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ホーム" sheetId="1" state="visible" r:id="rId1"/>
    <sheet name="①在庫を貼る" sheetId="2" state="visible" r:id="rId2"/>
    <sheet name="②発注する" sheetId="3" state="visible" r:id="rId3"/>
    <sheet name="③発注書" sheetId="4" state="visible" r:id="rId4"/>
    <sheet name="動員を入れる" sheetId="5" state="visible" r:id="rId5"/>
    <sheet name="つかいかた" sheetId="6" state="visible" r:id="rId6"/>
    <sheet name="月1回_1ヶ月前の在庫" sheetId="7" state="visible" r:id="rId7"/>
    <sheet name="月1回_2ヶ月前の在庫" sheetId="8" state="visible" r:id="rId8"/>
    <sheet name="商品マスタ" sheetId="9" state="visible" r:id="rId9"/>
    <sheet name="劇場マスタ" sheetId="10" state="visible" r:id="rId10"/>
    <sheet name="設定" sheetId="11" state="visible" r:id="rId11"/>
    <sheet name="計算" sheetId="12" state="hidden" r:id="rId12"/>
  </sheets>
  <definedNames>
    <definedName name="_xlnm._FilterDatabase" localSheetId="2" hidden="1">'②発注する'!$B$9:$AG$409</definedName>
    <definedName name="_xlnm.Print_Titles" localSheetId="2">'②発注する'!$9:$9</definedName>
    <definedName name="_xlnm.Print_Area" localSheetId="2">'②発注する'!$B$2:$AC$409</definedName>
    <definedName name="_xlnm.Print_Area" localSheetId="3">'③発注書'!$B$2:$J$110</definedName>
    <definedName name="_xlnm._FilterDatabase" localSheetId="8" hidden="1">'商品マスタ'!$B$5:$N$1005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&quot;行&quot;"/>
    <numFmt numFmtId="165" formatCode="#,##0&quot;品目&quot;"/>
    <numFmt numFmtId="166" formatCode="[$¥-411]#,##0;[Red][$¥-411]\-#,##0"/>
    <numFmt numFmtId="167" formatCode="0&quot;/14日&quot;"/>
    <numFmt numFmtId="168" formatCode="#,##0&quot;件&quot;"/>
    <numFmt numFmtId="169" formatCode="m/d"/>
    <numFmt numFmtId="170" formatCode="#,##0;[Red]\-#,##0"/>
    <numFmt numFmtId="171" formatCode="#,##0.0"/>
    <numFmt numFmtId="172" formatCode="#,##0;&quot;×&quot;;&quot;×&quot;"/>
    <numFmt numFmtId="173" formatCode="yyyy/m/d"/>
    <numFmt numFmtId="174" formatCode="0&quot;日&quot;"/>
  </numFmts>
  <fonts count="24">
    <font>
      <name val="Calibri"/>
      <family val="2"/>
      <color theme="1"/>
      <sz val="11"/>
      <scheme val="minor"/>
    </font>
    <font>
      <name val="BIZ UDPゴシック"/>
      <b val="1"/>
      <color rgb="FFFFFFFF"/>
      <sz val="11"/>
    </font>
    <font>
      <name val="BIZ UDPゴシック"/>
      <b val="1"/>
      <color rgb="FF1B1D24"/>
      <sz val="22"/>
    </font>
    <font>
      <name val="BIZ UDPゴシック"/>
      <color rgb="FF4E5163"/>
      <sz val="10"/>
    </font>
    <font>
      <name val="BIZ UDPゴシック"/>
      <b val="1"/>
      <color rgb="FF1B1D24"/>
      <sz val="11"/>
    </font>
    <font>
      <name val="BIZ UDPゴシック"/>
      <b val="1"/>
      <color rgb="FF1B1D24"/>
      <sz val="11"/>
      <u val="single"/>
    </font>
    <font>
      <name val="BIZ UDPゴシック"/>
      <b val="1"/>
      <color rgb="FF1B1D24"/>
      <sz val="13"/>
      <u val="single"/>
    </font>
    <font>
      <name val="BIZ UDPゴシック"/>
      <b val="1"/>
      <color rgb="FF1B1D24"/>
      <sz val="20"/>
    </font>
    <font>
      <name val="BIZ UDPゴシック"/>
      <color rgb="FF8A8D9C"/>
      <sz val="9"/>
    </font>
    <font>
      <name val="BIZ UDPゴシック"/>
      <b val="1"/>
      <color rgb="FFE8B44A"/>
      <sz val="10"/>
      <u val="single"/>
    </font>
    <font>
      <name val="BIZ UDPゴシック"/>
      <b val="1"/>
      <color rgb="FF1B1D24"/>
      <sz val="18"/>
    </font>
    <font>
      <name val="BIZ UDPゴシック"/>
      <b val="1"/>
      <color rgb="FF1B1D24"/>
      <sz val="16"/>
    </font>
    <font>
      <name val="BIZ UDPゴシック"/>
      <b val="1"/>
      <color rgb="FF4E5163"/>
      <sz val="10"/>
    </font>
    <font>
      <name val="BIZ UDPゴシック"/>
      <b val="1"/>
      <color rgb="FFA32A3C"/>
      <sz val="9"/>
    </font>
    <font>
      <name val="BIZ UDPゴシック"/>
      <b val="1"/>
      <color rgb="FFA32A3C"/>
      <sz val="20"/>
    </font>
    <font>
      <name val="BIZ UDPゴシック"/>
      <b val="1"/>
      <color rgb="FFC9761A"/>
      <sz val="9"/>
    </font>
    <font>
      <name val="BIZ UDPゴシック"/>
      <b val="1"/>
      <color rgb="FFC9761A"/>
      <sz val="20"/>
    </font>
    <font>
      <name val="BIZ UDPゴシック"/>
      <b val="1"/>
      <color rgb="FF1B1D24"/>
      <sz val="9"/>
    </font>
    <font>
      <name val="BIZ UDPゴシック"/>
      <color rgb="FF8A8D9C"/>
      <sz val="8"/>
    </font>
    <font>
      <name val="BIZ UDPゴシック"/>
      <color rgb="FF1B1D24"/>
      <sz val="11"/>
    </font>
    <font>
      <name val="BIZ UDPゴシック"/>
      <b val="1"/>
      <color rgb="FF7A5200"/>
      <sz val="11"/>
    </font>
    <font>
      <name val="BIZ UDPゴシック"/>
      <b val="1"/>
      <color rgb="FF1B1D24"/>
      <sz val="14"/>
    </font>
    <font>
      <name val="BIZ UDPゴシック"/>
      <b val="1"/>
      <color rgb="FF1B1D24"/>
      <sz val="10"/>
    </font>
    <font>
      <name val="BIZ UDPゴシック"/>
      <color rgb="FF4E5163"/>
      <sz val="9"/>
    </font>
  </fonts>
  <fills count="11">
    <fill>
      <patternFill/>
    </fill>
    <fill>
      <patternFill patternType="gray125"/>
    </fill>
    <fill>
      <patternFill patternType="solid">
        <fgColor rgb="FF1B1D24"/>
      </patternFill>
    </fill>
    <fill>
      <patternFill patternType="solid">
        <fgColor rgb="FFE8B44A"/>
      </patternFill>
    </fill>
    <fill>
      <patternFill patternType="solid">
        <fgColor rgb="FFFFFFFF"/>
      </patternFill>
    </fill>
    <fill>
      <patternFill patternType="solid">
        <fgColor rgb="FFA32A3C"/>
      </patternFill>
    </fill>
    <fill>
      <patternFill patternType="solid">
        <fgColor rgb="FF00795A"/>
      </patternFill>
    </fill>
    <fill>
      <patternFill patternType="solid">
        <fgColor rgb="FFF3F1EC"/>
      </patternFill>
    </fill>
    <fill>
      <patternFill patternType="solid">
        <fgColor rgb="FFF7F5F0"/>
      </patternFill>
    </fill>
    <fill>
      <patternFill patternType="solid">
        <fgColor rgb="FFFCFBF8"/>
      </patternFill>
    </fill>
    <fill>
      <patternFill patternType="solid">
        <fgColor rgb="FFFDF3D8"/>
      </patternFill>
    </fill>
  </fills>
  <borders count="4">
    <border>
      <left/>
      <right/>
      <top/>
      <bottom/>
      <diagonal/>
    </border>
    <border>
      <left style="thin">
        <color rgb="FFEFECE5"/>
      </left>
      <right style="thin">
        <color rgb="FFEFECE5"/>
      </right>
      <top style="thin">
        <color rgb="FFEFECE5"/>
      </top>
      <bottom style="thin">
        <color rgb="FFEFECE5"/>
      </bottom>
    </border>
    <border>
      <bottom style="medium">
        <color rgb="FF1B1D24"/>
      </bottom>
    </border>
    <border>
      <bottom style="thin">
        <color rgb="FFEFECE5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2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4" borderId="0" pivotButton="0" quotePrefix="0" xfId="0"/>
    <xf numFmtId="164" fontId="7" fillId="4" borderId="0" applyAlignment="1" pivotButton="0" quotePrefix="0" xfId="0">
      <alignment horizontal="right" vertical="center"/>
    </xf>
    <xf numFmtId="0" fontId="3" fillId="4" borderId="0" pivotButton="0" quotePrefix="0" xfId="0"/>
    <xf numFmtId="0" fontId="8" fillId="4" borderId="0" applyAlignment="1" pivotButton="0" quotePrefix="0" xfId="0">
      <alignment horizontal="right"/>
    </xf>
    <xf numFmtId="0" fontId="0" fillId="5" borderId="0" pivotButton="0" quotePrefix="0" xfId="0"/>
    <xf numFmtId="165" fontId="7" fillId="4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0" fontId="0" fillId="6" borderId="0" pivotButton="0" quotePrefix="0" xfId="0"/>
    <xf numFmtId="167" fontId="7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wrapText="1"/>
    </xf>
    <xf numFmtId="0" fontId="12" fillId="8" borderId="1" applyAlignment="1" pivotButton="0" quotePrefix="0" xfId="0">
      <alignment horizontal="center" wrapText="1"/>
    </xf>
    <xf numFmtId="49" fontId="0" fillId="0" borderId="0" pivotButton="0" quotePrefix="0" xfId="0"/>
    <xf numFmtId="0" fontId="3" fillId="0" borderId="0" applyAlignment="1" pivotButton="0" quotePrefix="0" xfId="0">
      <alignment vertical="center"/>
    </xf>
    <xf numFmtId="0" fontId="13" fillId="8" borderId="0" applyAlignment="1" pivotButton="0" quotePrefix="0" xfId="0">
      <alignment horizontal="left" vertical="bottom"/>
    </xf>
    <xf numFmtId="0" fontId="15" fillId="8" borderId="0" applyAlignment="1" pivotButton="0" quotePrefix="0" xfId="0">
      <alignment horizontal="left" vertical="bottom"/>
    </xf>
    <xf numFmtId="0" fontId="0" fillId="8" borderId="0" pivotButton="0" quotePrefix="0" xfId="0"/>
    <xf numFmtId="0" fontId="17" fillId="8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center" wrapText="1"/>
    </xf>
    <xf numFmtId="165" fontId="14" fillId="8" borderId="0" applyAlignment="1" pivotButton="0" quotePrefix="0" xfId="0">
      <alignment horizontal="left" vertical="center"/>
    </xf>
    <xf numFmtId="165" fontId="16" fillId="8" borderId="0" applyAlignment="1" pivotButton="0" quotePrefix="0" xfId="0">
      <alignment horizontal="left" vertical="center"/>
    </xf>
    <xf numFmtId="168" fontId="16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left" vertical="center"/>
    </xf>
    <xf numFmtId="166" fontId="7" fillId="8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/>
    </xf>
    <xf numFmtId="3" fontId="1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2" fillId="0" borderId="2" applyAlignment="1" pivotButton="0" quotePrefix="0" xfId="0">
      <alignment horizontal="center" vertical="center" wrapText="1"/>
    </xf>
    <xf numFmtId="169" fontId="12" fillId="0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/>
    </xf>
    <xf numFmtId="0" fontId="19" fillId="9" borderId="3" pivotButton="0" quotePrefix="0" xfId="0"/>
    <xf numFmtId="170" fontId="19" fillId="9" borderId="3" pivotButton="0" quotePrefix="0" xfId="0"/>
    <xf numFmtId="170" fontId="4" fillId="9" borderId="3" pivotButton="0" quotePrefix="0" xfId="0"/>
    <xf numFmtId="171" fontId="19" fillId="9" borderId="3" pivotButton="0" quotePrefix="0" xfId="0"/>
    <xf numFmtId="169" fontId="4" fillId="9" borderId="3" applyAlignment="1" pivotButton="0" quotePrefix="0" xfId="0">
      <alignment horizontal="center"/>
    </xf>
    <xf numFmtId="169" fontId="20" fillId="10" borderId="3" applyAlignment="1" applyProtection="1" pivotButton="0" quotePrefix="0" xfId="0">
      <alignment horizontal="center" vertical="center"/>
      <protection locked="0" hidden="0"/>
    </xf>
    <xf numFmtId="1" fontId="20" fillId="10" borderId="3" applyAlignment="1" applyProtection="1" pivotButton="0" quotePrefix="0" xfId="0">
      <alignment horizontal="center" vertical="center"/>
      <protection locked="0" hidden="0"/>
    </xf>
    <xf numFmtId="0" fontId="3" fillId="9" borderId="3" pivotButton="0" quotePrefix="0" xfId="0"/>
    <xf numFmtId="1" fontId="3" fillId="9" borderId="3" applyAlignment="1" pivotButton="0" quotePrefix="0" xfId="0">
      <alignment horizontal="center"/>
    </xf>
    <xf numFmtId="172" fontId="3" fillId="9" borderId="3" applyAlignment="1" pivotButton="0" quotePrefix="0" xfId="0">
      <alignment horizontal="center"/>
    </xf>
    <xf numFmtId="170" fontId="20" fillId="10" borderId="3" applyAlignment="1" applyProtection="1" pivotButton="0" quotePrefix="0" xfId="0">
      <alignment horizontal="center" vertical="center"/>
      <protection locked="0" hidden="0"/>
    </xf>
    <xf numFmtId="0" fontId="8" fillId="9" borderId="3" pivotButton="0" quotePrefix="0" xfId="0"/>
    <xf numFmtId="0" fontId="4" fillId="7" borderId="1" pivotButton="0" quotePrefix="0" xfId="0"/>
    <xf numFmtId="0" fontId="20" fillId="10" borderId="1" applyAlignment="1" applyProtection="1" pivotButton="0" quotePrefix="0" xfId="0">
      <alignment horizontal="left" vertical="center"/>
      <protection locked="0" hidden="0"/>
    </xf>
    <xf numFmtId="173" fontId="19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166" fontId="21" fillId="0" borderId="0" pivotButton="0" quotePrefix="0" xfId="0"/>
    <xf numFmtId="0" fontId="19" fillId="0" borderId="3" applyAlignment="1" pivotButton="0" quotePrefix="0" xfId="0">
      <alignment horizontal="center"/>
    </xf>
    <xf numFmtId="0" fontId="19" fillId="0" borderId="3" pivotButton="0" quotePrefix="0" xfId="0"/>
    <xf numFmtId="169" fontId="19" fillId="0" borderId="3" applyAlignment="1" pivotButton="0" quotePrefix="0" xfId="0">
      <alignment horizontal="center"/>
    </xf>
    <xf numFmtId="170" fontId="4" fillId="0" borderId="3" pivotButton="0" quotePrefix="0" xfId="0"/>
    <xf numFmtId="166" fontId="19" fillId="0" borderId="3" pivotButton="0" quotePrefix="0" xfId="0"/>
    <xf numFmtId="173" fontId="20" fillId="10" borderId="1" applyAlignment="1" applyProtection="1" pivotButton="0" quotePrefix="0" xfId="0">
      <alignment horizontal="center" vertical="center"/>
      <protection locked="0" hidden="0"/>
    </xf>
    <xf numFmtId="0" fontId="19" fillId="9" borderId="3" applyAlignment="1" pivotButton="0" quotePrefix="0" xfId="0">
      <alignment horizontal="center"/>
    </xf>
    <xf numFmtId="173" fontId="19" fillId="9" borderId="3" pivotButton="0" quotePrefix="0" xfId="0"/>
    <xf numFmtId="170" fontId="20" fillId="10" borderId="3" applyProtection="1" pivotButton="0" quotePrefix="0" xfId="0">
      <protection locked="0" hidden="0"/>
    </xf>
    <xf numFmtId="0" fontId="20" fillId="10" borderId="3" applyProtection="1" pivotButton="0" quotePrefix="0" xfId="0">
      <protection locked="0" hidden="0"/>
    </xf>
    <xf numFmtId="0" fontId="4" fillId="7" borderId="0" pivotButton="0" quotePrefix="0" xfId="0"/>
    <xf numFmtId="0" fontId="0" fillId="7" borderId="0" pivotButton="0" quotePrefix="0" xfId="0"/>
    <xf numFmtId="0" fontId="10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22" fillId="0" borderId="0" pivotButton="0" quotePrefix="0" xfId="0"/>
    <xf numFmtId="49" fontId="19" fillId="10" borderId="3" applyProtection="1" pivotButton="0" quotePrefix="0" xfId="0">
      <protection locked="0" hidden="0"/>
    </xf>
    <xf numFmtId="0" fontId="19" fillId="10" borderId="3" applyProtection="1" pivotButton="0" quotePrefix="0" xfId="0">
      <protection locked="0" hidden="0"/>
    </xf>
    <xf numFmtId="170" fontId="19" fillId="10" borderId="3" applyProtection="1" pivotButton="0" quotePrefix="0" xfId="0">
      <protection locked="0" hidden="0"/>
    </xf>
    <xf numFmtId="166" fontId="19" fillId="10" borderId="3" applyProtection="1" pivotButton="0" quotePrefix="0" xfId="0">
      <protection locked="0" hidden="0"/>
    </xf>
    <xf numFmtId="2" fontId="20" fillId="10" borderId="3" applyProtection="1" pivotButton="0" quotePrefix="0" xfId="0">
      <protection locked="0" hidden="0"/>
    </xf>
    <xf numFmtId="0" fontId="23" fillId="9" borderId="3" pivotButton="0" quotePrefix="0" xfId="0"/>
    <xf numFmtId="49" fontId="20" fillId="10" borderId="1" applyProtection="1" pivotButton="0" quotePrefix="0" xfId="0">
      <protection locked="0" hidden="0"/>
    </xf>
    <xf numFmtId="0" fontId="19" fillId="0" borderId="0" pivotButton="0" quotePrefix="0" xfId="0"/>
    <xf numFmtId="0" fontId="19" fillId="9" borderId="1" pivotButton="0" quotePrefix="0" xfId="0"/>
    <xf numFmtId="173" fontId="19" fillId="9" borderId="1" pivotButton="0" quotePrefix="0" xfId="0"/>
    <xf numFmtId="174" fontId="20" fillId="10" borderId="1" applyProtection="1" pivotButton="0" quotePrefix="0" xfId="0">
      <protection locked="0" hidden="0"/>
    </xf>
    <xf numFmtId="170" fontId="20" fillId="10" borderId="1" applyProtection="1" pivotButton="0" quotePrefix="0" xfId="0">
      <protection locked="0" hidden="0"/>
    </xf>
    <xf numFmtId="0" fontId="20" fillId="10" borderId="1" applyProtection="1" pivotButton="0" quotePrefix="0" xfId="0">
      <protection locked="0" hidden="0"/>
    </xf>
    <xf numFmtId="170" fontId="19" fillId="9" borderId="1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21">
    <dxf>
      <font>
        <name val="BIZ UDPゴシック"/>
        <b val="1"/>
        <color rgb="FFA32A3C"/>
        <sz val="10"/>
      </font>
      <fill>
        <patternFill patternType="solid">
          <bgColor rgb="FFF8E3E6"/>
        </patternFill>
      </fill>
    </dxf>
    <dxf>
      <font>
        <name val="BIZ UDPゴシック"/>
        <b val="1"/>
        <color rgb="FFC9761A"/>
        <sz val="10"/>
      </font>
      <fill>
        <patternFill patternType="solid">
          <bgColor rgb="FFFBEEDF"/>
        </patternFill>
      </fill>
    </dxf>
    <dxf>
      <font>
        <name val="BIZ UDPゴシック"/>
        <color rgb="FF00795A"/>
        <sz val="10"/>
      </font>
    </dxf>
    <dxf>
      <font>
        <name val="BIZ UDPゴシック"/>
        <color rgb="FF8A8D9C"/>
        <sz val="10"/>
      </font>
    </dxf>
    <dxf>
      <font>
        <name val="BIZ UDPゴシック"/>
        <b val="1"/>
        <color rgb="FFA32A3C"/>
        <sz val="16"/>
      </font>
      <fill>
        <patternFill patternType="solid">
          <bgColor rgb="FFF8E3E6"/>
        </patternFill>
      </fill>
    </dxf>
    <dxf>
      <font>
        <name val="BIZ UDPゴシック"/>
        <b val="1"/>
        <color rgb="FF00795A"/>
        <sz val="16"/>
      </font>
      <fill>
        <patternFill patternType="solid">
          <bgColor rgb="FFE3F1EC"/>
        </patternFill>
      </fill>
    </dxf>
    <dxf>
      <font>
        <name val="BIZ UDPゴシック"/>
        <b val="1"/>
        <color rgb="FFC9761A"/>
        <sz val="11"/>
      </font>
    </dxf>
    <dxf>
      <fill>
        <patternFill patternType="solid">
          <bgColor rgb="FFF3F1EC"/>
        </patternFill>
      </fill>
    </dxf>
    <dxf>
      <font>
        <name val="BIZ UDPゴシック"/>
        <b val="1"/>
        <color rgb="FFA32A3C"/>
        <sz val="11"/>
      </font>
      <fill>
        <patternFill patternType="solid">
          <bgColor rgb="FFF8E3E6"/>
        </patternFill>
      </fill>
    </dxf>
    <dxf>
      <font>
        <name val="BIZ UDPゴシック"/>
        <b val="1"/>
        <color rgb="FFC9761A"/>
        <sz val="11"/>
      </font>
      <fill>
        <patternFill patternType="solid">
          <bgColor rgb="FFFBEEDF"/>
        </patternFill>
      </fill>
    </dxf>
    <dxf>
      <font>
        <name val="BIZ UDPゴシック"/>
        <color rgb="FF00795A"/>
        <sz val="11"/>
      </font>
    </dxf>
    <dxf>
      <font>
        <name val="BIZ UDPゴシック"/>
        <color rgb="FF8A8D9C"/>
        <sz val="11"/>
      </font>
    </dxf>
    <dxf>
      <font>
        <name val="BIZ UDPゴシック"/>
        <b val="1"/>
        <color rgb="FFA32A3C"/>
        <sz val="11"/>
      </font>
    </dxf>
    <dxf>
      <font>
        <name val="BIZ UDPゴシック"/>
        <b val="1"/>
        <color rgb="FF00795A"/>
        <sz val="11"/>
      </font>
      <fill>
        <patternFill patternType="solid">
          <bgColor rgb="FFE3F1EC"/>
        </patternFill>
      </fill>
    </dxf>
    <dxf>
      <font>
        <name val="BIZ UDPゴシック"/>
        <b val="1"/>
        <color rgb="FF1B1D24"/>
        <sz val="11"/>
      </font>
      <fill>
        <patternFill patternType="solid">
          <bgColor rgb="FFFDF3D8"/>
        </patternFill>
      </fill>
    </dxf>
    <dxf>
      <fill>
        <patternFill patternType="solid">
          <bgColor rgb="FFF6D58A"/>
        </patternFill>
      </fill>
    </dxf>
    <dxf>
      <font>
        <name val="BIZ UDPゴシック"/>
        <b val="1"/>
        <color rgb="FFFFFFFF"/>
        <sz val="10"/>
      </font>
      <fill>
        <patternFill patternType="solid">
          <bgColor rgb="FFA32A3C"/>
        </patternFill>
      </fill>
    </dxf>
    <dxf>
      <font>
        <name val="BIZ UDPゴシック"/>
        <b val="1"/>
        <color rgb="FF1B1D24"/>
        <sz val="10"/>
      </font>
      <fill>
        <patternFill patternType="solid">
          <bgColor rgb="FFE8B44A"/>
        </patternFill>
      </fill>
    </dxf>
    <dxf>
      <fill>
        <patternFill patternType="solid">
          <bgColor rgb="FFFFF6DC"/>
        </patternFill>
      </fill>
    </dxf>
    <dxf>
      <font>
        <name val="BIZ UDPゴシック"/>
        <b val="1"/>
        <color rgb="FF4E5163"/>
        <sz val="11"/>
      </font>
    </dxf>
    <dxf>
      <fill>
        <patternFill patternType="solid">
          <bgColor rgb="FFFBEE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D24"/>
    <outlinePr summaryBelow="1" summaryRight="1"/>
    <pageSetUpPr/>
  </sheetPr>
  <dimension ref="B1:E41"/>
  <sheetViews>
    <sheetView showGridLines="0" workbookViewId="0">
      <selection activeCell="A1" sqref="A1"/>
    </sheetView>
  </sheetViews>
  <sheetFormatPr baseColWidth="8" defaultRowHeight="15"/>
  <cols>
    <col width="2.16" customWidth="1" min="1" max="1"/>
    <col width="3.24" customWidth="1" min="2" max="2"/>
    <col width="60.48" customWidth="1" min="3" max="3"/>
    <col width="43.2" customWidth="1" min="4" max="4"/>
    <col width="3.24" customWidth="1" min="5" max="5"/>
  </cols>
  <sheetData>
    <row r="1" ht="24" customHeight="1">
      <c r="B1" s="1" t="inlineStr">
        <is>
          <t xml:space="preserve">  ホーム</t>
        </is>
      </c>
      <c r="C1" s="2" t="n"/>
      <c r="D1" s="2" t="n"/>
      <c r="E1" s="3" t="n"/>
    </row>
    <row r="2" ht="34" customHeight="1">
      <c r="B2" s="4" t="inlineStr">
        <is>
          <t>売店発注ツール</t>
        </is>
      </c>
    </row>
    <row r="3">
      <c r="B3" s="5">
        <f>IF('設定'!$C$6="","まだ在庫CSVが貼られていません","きょう "&amp;TEXT('設定'!$C$6,"m/d")&amp;"("&amp;CHOOSE(WEEKDAY('設定'!$C$6),"日","月","火","水","木","金","土")&amp;")"&amp;"　"&amp;'設定'!$C$5&amp;"　"&amp;'設定'!$C$4)</f>
        <v/>
      </c>
    </row>
    <row r="5">
      <c r="B5" s="6" t="inlineStr">
        <is>
          <t>毎日やること　上から順に</t>
        </is>
      </c>
    </row>
    <row r="6" ht="8" customHeight="1">
      <c r="B6" s="7" t="n"/>
      <c r="C6" s="8" t="n"/>
      <c r="D6" s="8" t="n"/>
    </row>
    <row r="7" ht="24" customHeight="1">
      <c r="B7" s="7" t="n"/>
      <c r="C7" s="9" t="inlineStr">
        <is>
          <t>STEP 1　在庫を貼る  ›</t>
        </is>
      </c>
      <c r="D7" s="10">
        <f>COUNTIF('①在庫を貼る'!$V$6:$V$10005,'設定'!$C$4)</f>
        <v/>
      </c>
    </row>
    <row r="8">
      <c r="B8" s="7" t="n"/>
      <c r="C8" s="11" t="inlineStr">
        <is>
          <t>在庫システムの在庫一覧CSVを貼ります。</t>
        </is>
      </c>
      <c r="D8" s="12" t="inlineStr">
        <is>
          <t>読み込めた行</t>
        </is>
      </c>
    </row>
    <row r="9" ht="20" customHeight="1">
      <c r="B9" s="7" t="n"/>
      <c r="C9" s="11">
        <f>IF(COUNTIF('①在庫を貼る'!$V$6:$V$10005,'設定'!$C$4)=0,"● まだ貼られていません",IF('設定'!$C$6&lt;TODAY()-1,"● 在庫が "&amp;TEXT('設定'!$C$6,"m/d")&amp;" のものです（"&amp;(TODAY()-'設定'!$C$6)&amp;"日前）。今日のCSVを貼ってください","○ 貼れています（"&amp;TEXT('設定'!$C$6,"m/d")&amp;" の在庫）"))</f>
        <v/>
      </c>
      <c r="D9" s="8" t="n"/>
    </row>
    <row r="11" ht="8" customHeight="1">
      <c r="B11" s="13" t="n"/>
      <c r="C11" s="8" t="n"/>
      <c r="D11" s="8" t="n"/>
    </row>
    <row r="12" ht="24" customHeight="1">
      <c r="B12" s="13" t="n"/>
      <c r="C12" s="9" t="inlineStr">
        <is>
          <t>STEP 2　発注する  ›</t>
        </is>
      </c>
      <c r="D12" s="14">
        <f>COUNTIF('②発注する'!$H$10:$H$409,"●*")</f>
        <v/>
      </c>
    </row>
    <row r="13">
      <c r="B13" s="13" t="n"/>
      <c r="C13" s="11" t="inlineStr">
        <is>
          <t>「切れる日」を見て、黄色の「入庫日・入庫数」を入れます。</t>
        </is>
      </c>
      <c r="D13" s="12" t="inlineStr">
        <is>
          <t>今日発注が必要</t>
        </is>
      </c>
    </row>
    <row r="14" ht="20" customHeight="1">
      <c r="B14" s="13" t="n"/>
      <c r="C14" s="11">
        <f>IF('計算'!$B$3=0,"● 動員が入っていません → 動員を入れる",IF('計算'!$B$2=1,"● これから14日が動員の表の外です → 動員を入れる の「表の開始日」を直す",IF(COUNTIF('②発注する'!$H$10:$H$409,"●*")&gt;0,"● 赤 "&amp;COUNTIF('②発注する'!$H$10:$H$409,"●*")&amp;"品目は今日中に発注。橙 "&amp;COUNTIF('②発注する'!$H$10:$H$409,"△*")&amp;"品目も近く切れます",IF(COUNTIF('②発注する'!$H$10:$H$409,"△*")&gt;0,"△ 今日は急ぎなし。橙 "&amp;COUNTIF('②発注する'!$H$10:$H$409,"△*")&amp;"品目が近く切れます","○ 14日以内に切れる商品はありません"))))</f>
        <v/>
      </c>
      <c r="D14" s="8" t="n"/>
    </row>
    <row r="16" ht="8" customHeight="1">
      <c r="B16" s="2" t="n"/>
      <c r="C16" s="8" t="n"/>
      <c r="D16" s="8" t="n"/>
    </row>
    <row r="17" ht="24" customHeight="1">
      <c r="B17" s="2" t="n"/>
      <c r="C17" s="9" t="inlineStr">
        <is>
          <t>STEP 3　発注書を印刷する  ›</t>
        </is>
      </c>
      <c r="D17" s="15">
        <f>SUM('計算'!$CN$6:$CN$405)</f>
        <v/>
      </c>
    </row>
    <row r="18">
      <c r="B18" s="2" t="n"/>
      <c r="C18" s="11" t="inlineStr">
        <is>
          <t>入庫を入れた商品が発注書に集まります。仕入先を選んで印刷。</t>
        </is>
      </c>
      <c r="D18" s="12" t="inlineStr">
        <is>
          <t>発注予定額（税抜）</t>
        </is>
      </c>
    </row>
    <row r="19" ht="20" customHeight="1">
      <c r="B19" s="2" t="n"/>
      <c r="C19" s="11">
        <f>IF(COUNTIF('②発注する'!$O$10:$O$409,"⚠*")&gt;0,"● ⚠ が "&amp;COUNTIF('②発注する'!$O$10:$O$409,"⚠*")&amp;"件あります。STEP 2 で直すまで発注書に載りません",IF(SUM('計算'!$CM$6:$CM$405)=0,"入庫を入れた商品はまだありません","○ "&amp;SUM('計算'!$CM$6:$CM$405)&amp;"品目を発注します"))</f>
        <v/>
      </c>
      <c r="D19" s="8" t="n"/>
    </row>
    <row r="21">
      <c r="B21" s="6" t="inlineStr">
        <is>
          <t>随時</t>
        </is>
      </c>
    </row>
    <row r="22" ht="8" customHeight="1">
      <c r="B22" s="16" t="n"/>
      <c r="C22" s="8" t="n"/>
      <c r="D22" s="8" t="n"/>
    </row>
    <row r="23" ht="24" customHeight="1">
      <c r="B23" s="16" t="n"/>
      <c r="C23" s="9" t="inlineStr">
        <is>
          <t>動員を入れる  ›</t>
        </is>
      </c>
      <c r="D23" s="17">
        <f>COUNTIFS('動員を入れる'!$B$16:$B$415,"&gt;="&amp;N('設定'!$C$6),'動員を入れる'!$B$16:$B$415,"&lt;="&amp;(N('設定'!$C$6)+13),'動員を入れる'!$D$16:$D$415,"&gt;0")</f>
        <v/>
      </c>
    </row>
    <row r="24">
      <c r="B24" s="16" t="n"/>
      <c r="C24" s="11" t="inlineStr">
        <is>
          <t>予測動員を入れると減り数のスピードが変わります。実績は月1回まとめてでも。</t>
        </is>
      </c>
      <c r="D24" s="12" t="inlineStr">
        <is>
          <t>これから14日で予測が入っている日</t>
        </is>
      </c>
    </row>
    <row r="25" ht="20" customHeight="1">
      <c r="B25" s="16" t="n"/>
      <c r="C25" s="11">
        <f>IF('計算'!$B$2=1,"● これから14日が表の外です。「表の開始日」を今年の日付にしてください",IF('計算'!$B$3=0,"● 動員が0です。標準の動員（設定）か予測を入れてください",IF(COUNTIFS('動員を入れる'!$B$16:$B$415,"&gt;="&amp;N('設定'!$C$6),'動員を入れる'!$B$16:$B$415,"&lt;="&amp;(N('設定'!$C$6)+13),'動員を入れる'!$D$16:$D$415,"&gt;0")&lt;14,"△ 予測が無い日は曜日の実績平均（無ければ標準の動員）を使います","○ 14日分そろっています")))</f>
        <v/>
      </c>
      <c r="D25" s="8" t="n"/>
    </row>
    <row r="27">
      <c r="B27" s="6" t="inlineStr">
        <is>
          <t>月1回・社員</t>
        </is>
      </c>
    </row>
    <row r="28">
      <c r="C28" s="18" t="inlineStr">
        <is>
          <t>月1回_1ヶ月前の在庫  ›</t>
        </is>
      </c>
      <c r="D28" s="5">
        <f>IF(COUNTIF('月1回_1ヶ月前の在庫'!$V$6:$V$10005,'設定'!$C$4)=0,"未使用（貼らなくても動きます）","○ 貼れています（"&amp;TEXT('設定'!$C$12,"m/d")&amp;" の在庫）")</f>
        <v/>
      </c>
    </row>
    <row r="29">
      <c r="C29" s="19" t="inlineStr">
        <is>
          <t>取扱商品が変わっていないかの確認用。1ヶ月前の在庫CSVを貼り替えます。</t>
        </is>
      </c>
    </row>
    <row r="30">
      <c r="C30" s="18" t="inlineStr">
        <is>
          <t>月1回_2ヶ月前の在庫  ›</t>
        </is>
      </c>
      <c r="D30" s="5">
        <f>IF(COUNTIF('月1回_2ヶ月前の在庫'!$V$6:$V$10005,'設定'!$C$4)=0,"未使用（貼らなくても動きます）","○ 貼れています（"&amp;TEXT('設定'!$C$13,"m/d")&amp;" の在庫）")</f>
        <v/>
      </c>
    </row>
    <row r="31">
      <c r="C31" s="19" t="inlineStr">
        <is>
          <t>同じく2ヶ月前の在庫CSV。半年ごとに入れ替わる商品もこれで漏れません。</t>
        </is>
      </c>
    </row>
    <row r="32">
      <c r="C32" s="18" t="inlineStr">
        <is>
          <t>商品マスタ  ›</t>
        </is>
      </c>
      <c r="D32" s="5">
        <f>IF('設定'!$C$11=0,"",IF('設定'!$C$17+'設定'!$C$18+'設定'!$C$19&gt;0,"● マスタに無い商品が "&amp;('設定'!$C$17+'設定'!$C$18+'設定'!$C$19)&amp;"件（②の末尾に出ています）→ マスタに追加して減り数を入れる",IF('設定'!$C$14&lt;'設定'!$C$20,"● 減り数が未設定の商品が "&amp;('設定'!$C$20-'設定'!$C$14)&amp;"件あります","○ 減り数はすべて設定済み（定数 "&amp;'設定'!$C$15&amp;"/"&amp;'設定'!$C$20&amp;"）")))</f>
        <v/>
      </c>
    </row>
    <row r="33">
      <c r="C33" s="19" t="inlineStr">
        <is>
          <t>定数（最大保管数）と、100人あたりの減り数を商品ごとに決めます。</t>
        </is>
      </c>
    </row>
    <row r="34">
      <c r="C34" s="18" t="inlineStr">
        <is>
          <t>劇場マスタ  ›</t>
        </is>
      </c>
    </row>
    <row r="35">
      <c r="C35" s="19" t="inlineStr">
        <is>
          <t>劇場コードと名前。CSVの劇場コードと一致しているか照合できます。</t>
        </is>
      </c>
    </row>
    <row r="36">
      <c r="C36" s="18" t="inlineStr">
        <is>
          <t>設定  ›</t>
        </is>
      </c>
    </row>
    <row r="37">
      <c r="C37" s="19" t="inlineStr">
        <is>
          <t>対象劇場・発注から入庫までの日数・標準の動員・担当者・仕入先一覧。</t>
        </is>
      </c>
    </row>
    <row r="38">
      <c r="C38" s="18" t="inlineStr">
        <is>
          <t>つかいかた  ›</t>
        </is>
      </c>
    </row>
    <row r="39">
      <c r="C39" s="19" t="inlineStr">
        <is>
          <t>色の意味と、迷ったときの読み方。</t>
        </is>
      </c>
    </row>
    <row r="41">
      <c r="B41" s="19" t="inlineStr">
        <is>
          <t>黄色のセルだけ入力します。それ以外は保護されていて書き換えられません。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:D1"/>
  </mergeCells>
  <conditionalFormatting sqref="C9">
    <cfRule type="expression" priority="1" dxfId="0" stopIfTrue="1">
      <formula>LEFT($C9,1)="●"</formula>
    </cfRule>
    <cfRule type="expression" priority="2" dxfId="1" stopIfTrue="1">
      <formula>LEFT($C9,1)="△"</formula>
    </cfRule>
    <cfRule type="expression" priority="3" dxfId="1" stopIfTrue="1">
      <formula>LEFT($C9,1)="⚠"</formula>
    </cfRule>
    <cfRule type="expression" priority="4" dxfId="2" stopIfTrue="1">
      <formula>LEFT($C9,1)="○"</formula>
    </cfRule>
    <cfRule type="expression" priority="5" dxfId="3" stopIfTrue="1">
      <formula>LEFT($C9,1)="？"</formula>
    </cfRule>
    <cfRule type="expression" priority="6" dxfId="3" stopIfTrue="1">
      <formula>LEFT($C9,1)="－"</formula>
    </cfRule>
  </conditionalFormatting>
  <conditionalFormatting sqref="C14">
    <cfRule type="expression" priority="7" dxfId="0" stopIfTrue="1">
      <formula>LEFT($C14,1)="●"</formula>
    </cfRule>
    <cfRule type="expression" priority="8" dxfId="1" stopIfTrue="1">
      <formula>LEFT($C14,1)="△"</formula>
    </cfRule>
    <cfRule type="expression" priority="9" dxfId="1" stopIfTrue="1">
      <formula>LEFT($C14,1)="⚠"</formula>
    </cfRule>
    <cfRule type="expression" priority="10" dxfId="2" stopIfTrue="1">
      <formula>LEFT($C14,1)="○"</formula>
    </cfRule>
    <cfRule type="expression" priority="11" dxfId="3" stopIfTrue="1">
      <formula>LEFT($C14,1)="？"</formula>
    </cfRule>
    <cfRule type="expression" priority="12" dxfId="3" stopIfTrue="1">
      <formula>LEFT($C14,1)="－"</formula>
    </cfRule>
  </conditionalFormatting>
  <conditionalFormatting sqref="C19">
    <cfRule type="expression" priority="13" dxfId="0" stopIfTrue="1">
      <formula>LEFT($C19,1)="●"</formula>
    </cfRule>
    <cfRule type="expression" priority="14" dxfId="1" stopIfTrue="1">
      <formula>LEFT($C19,1)="△"</formula>
    </cfRule>
    <cfRule type="expression" priority="15" dxfId="1" stopIfTrue="1">
      <formula>LEFT($C19,1)="⚠"</formula>
    </cfRule>
    <cfRule type="expression" priority="16" dxfId="2" stopIfTrue="1">
      <formula>LEFT($C19,1)="○"</formula>
    </cfRule>
    <cfRule type="expression" priority="17" dxfId="3" stopIfTrue="1">
      <formula>LEFT($C19,1)="？"</formula>
    </cfRule>
    <cfRule type="expression" priority="18" dxfId="3" stopIfTrue="1">
      <formula>LEFT($C19,1)="－"</formula>
    </cfRule>
  </conditionalFormatting>
  <conditionalFormatting sqref="C25">
    <cfRule type="expression" priority="19" dxfId="0" stopIfTrue="1">
      <formula>LEFT($C25,1)="●"</formula>
    </cfRule>
    <cfRule type="expression" priority="20" dxfId="1" stopIfTrue="1">
      <formula>LEFT($C25,1)="△"</formula>
    </cfRule>
    <cfRule type="expression" priority="21" dxfId="1" stopIfTrue="1">
      <formula>LEFT($C25,1)="⚠"</formula>
    </cfRule>
    <cfRule type="expression" priority="22" dxfId="2" stopIfTrue="1">
      <formula>LEFT($C25,1)="○"</formula>
    </cfRule>
    <cfRule type="expression" priority="23" dxfId="3" stopIfTrue="1">
      <formula>LEFT($C25,1)="？"</formula>
    </cfRule>
    <cfRule type="expression" priority="24" dxfId="3" stopIfTrue="1">
      <formula>LEFT($C25,1)="－"</formula>
    </cfRule>
  </conditionalFormatting>
  <conditionalFormatting sqref="D28">
    <cfRule type="expression" priority="25" dxfId="0" stopIfTrue="1">
      <formula>LEFT($D28,1)="●"</formula>
    </cfRule>
    <cfRule type="expression" priority="26" dxfId="1" stopIfTrue="1">
      <formula>LEFT($D28,1)="△"</formula>
    </cfRule>
    <cfRule type="expression" priority="27" dxfId="1" stopIfTrue="1">
      <formula>LEFT($D28,1)="⚠"</formula>
    </cfRule>
    <cfRule type="expression" priority="28" dxfId="2" stopIfTrue="1">
      <formula>LEFT($D28,1)="○"</formula>
    </cfRule>
    <cfRule type="expression" priority="29" dxfId="3" stopIfTrue="1">
      <formula>LEFT($D28,1)="？"</formula>
    </cfRule>
    <cfRule type="expression" priority="30" dxfId="3" stopIfTrue="1">
      <formula>LEFT($D28,1)="－"</formula>
    </cfRule>
  </conditionalFormatting>
  <conditionalFormatting sqref="D30">
    <cfRule type="expression" priority="31" dxfId="0" stopIfTrue="1">
      <formula>LEFT($D30,1)="●"</formula>
    </cfRule>
    <cfRule type="expression" priority="32" dxfId="1" stopIfTrue="1">
      <formula>LEFT($D30,1)="△"</formula>
    </cfRule>
    <cfRule type="expression" priority="33" dxfId="1" stopIfTrue="1">
      <formula>LEFT($D30,1)="⚠"</formula>
    </cfRule>
    <cfRule type="expression" priority="34" dxfId="2" stopIfTrue="1">
      <formula>LEFT($D30,1)="○"</formula>
    </cfRule>
    <cfRule type="expression" priority="35" dxfId="3" stopIfTrue="1">
      <formula>LEFT($D30,1)="？"</formula>
    </cfRule>
    <cfRule type="expression" priority="36" dxfId="3" stopIfTrue="1">
      <formula>LEFT($D30,1)="－"</formula>
    </cfRule>
  </conditionalFormatting>
  <conditionalFormatting sqref="D32">
    <cfRule type="expression" priority="37" dxfId="0" stopIfTrue="1">
      <formula>LEFT($D32,1)="●"</formula>
    </cfRule>
    <cfRule type="expression" priority="38" dxfId="1" stopIfTrue="1">
      <formula>LEFT($D32,1)="△"</formula>
    </cfRule>
    <cfRule type="expression" priority="39" dxfId="1" stopIfTrue="1">
      <formula>LEFT($D32,1)="⚠"</formula>
    </cfRule>
    <cfRule type="expression" priority="40" dxfId="2" stopIfTrue="1">
      <formula>LEFT($D32,1)="○"</formula>
    </cfRule>
    <cfRule type="expression" priority="41" dxfId="3" stopIfTrue="1">
      <formula>LEFT($D32,1)="？"</formula>
    </cfRule>
    <cfRule type="expression" priority="42" dxfId="3" stopIfTrue="1">
      <formula>LEFT($D32,1)="－"</formula>
    </cfRule>
  </conditionalFormatting>
  <hyperlinks>
    <hyperlink ref="C7" location="'①在庫を貼る'!A1" display="STEP 1　在庫を貼る  ›"/>
    <hyperlink ref="C12" location="'②発注する'!A1" display="STEP 2　発注する  ›"/>
    <hyperlink ref="C17" location="'③発注書'!A1" display="STEP 3　発注書を印刷する  ›"/>
    <hyperlink ref="C23" location="'動員を入れる'!A1" display="動員を入れる  ›"/>
    <hyperlink ref="C28" location="'月1回_1ヶ月前の在庫'!A1" display="月1回_1ヶ月前の在庫  ›"/>
    <hyperlink ref="C30" location="'月1回_2ヶ月前の在庫'!A1" display="月1回_2ヶ月前の在庫  ›"/>
    <hyperlink ref="C32" location="'商品マスタ'!A1" display="商品マスタ  ›"/>
    <hyperlink ref="C34" location="'劇場マスタ'!A1" display="劇場マスタ  ›"/>
    <hyperlink ref="C36" location="'設定'!A1" display="設定  ›"/>
    <hyperlink ref="C38" location="'つかいかた'!A1" display="つかいかた  ›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B44A"/>
    <outlinePr summaryBelow="1" summaryRight="1"/>
    <pageSetUpPr/>
  </sheetPr>
  <dimension ref="A1:W10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96" customWidth="1" min="1" max="1"/>
    <col width="11.88" customWidth="1" min="2" max="2"/>
    <col width="10.8" customWidth="1" min="3" max="3"/>
    <col width="28.08" customWidth="1" min="5" max="5"/>
    <col width="17.28" customWidth="1" min="8" max="8"/>
    <col width="17.28" customWidth="1" min="9" max="9"/>
    <col width="32.4" customWidth="1" min="10" max="10"/>
    <col width="15.12" customWidth="1" min="21" max="21"/>
    <col width="12.96" customWidth="1" min="22" max="22"/>
    <col width="15.12" customWidth="1" min="23" max="23"/>
  </cols>
  <sheetData>
    <row r="1" ht="24" customHeight="1">
      <c r="B1" s="1" t="inlineStr">
        <is>
          <t xml:space="preserve">  STEP 1　在庫を貼る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0" t="inlineStr">
        <is>
          <t xml:space="preserve">◀ ホーム  </t>
        </is>
      </c>
    </row>
    <row r="2" ht="30" customHeight="1">
      <c r="B2" s="21" t="inlineStr">
        <is>
          <t>在庫を貼る</t>
        </is>
      </c>
      <c r="H2" s="22">
        <f>IF(COUNTIF($V$6:$V$10005,'設定'!$C$4)=0,"✖ まだ貼れていません","✔ "&amp;COUNTIF($V$6:$V$10005,'設定'!$C$4)&amp;"行 読み込めました")</f>
        <v/>
      </c>
    </row>
    <row r="3">
      <c r="B3" s="5" t="inlineStr">
        <is>
          <t>在庫システムから出した「今日の在庫一覧CSV」を貼ります。これが今の在庫になります。</t>
        </is>
      </c>
      <c r="H3" s="5">
        <f>IF(COUNTIF($V$6:$V$10005,'設定'!$C$4)=0,"CSVの見出し行を除いたデータを A6 セルに貼り付けてください。貼ったのに0のままなら、設定の劇場コードとCSVの劇場コードが違います。",IF('設定'!$C$11&gt;400,"⚠ 取扱商品が "&amp;'設定'!$C$11&amp;" 件あります。計算できるのは 400 件までなので、超えた分は発注画面に出ません。",IF(COUNTIF($A$6:$A$10005,"&lt;&gt;"&amp;INDEX($A$6:$A$10005,MATCH('設定'!$C$4,$V$6:$V$10005,0)))-COUNTBLANK($A$6:$A$10005)&gt;0,"⚠ 日付の違う行が混ざっています。前のデータを消してから同じ日のCSVだけを貼ってください。",IF('設定'!$C$21&gt;0,"⚠ 同じ商品コードの行が "&amp;'設定'!$C$21&amp;" 件重なっています（在庫は合算して1行で出します）。貼り替えのときに前のデータを消し忘れていませんか。","対象劇場："&amp;'設定'!$C$4&amp;"　"&amp;'設定'!$C$5&amp;"　　CSVの日付："&amp;TEXT('設定'!$C$6,"yyyy/m/d")))))</f>
        <v/>
      </c>
    </row>
    <row r="4">
      <c r="B4" s="6" t="inlineStr">
        <is>
          <t>CSVの見出し行を除いたデータを、A6 セルに貼り付けてください。貼り替えは A6 から S 列までを消してから。</t>
        </is>
      </c>
      <c r="U4" s="19" t="inlineStr">
        <is>
          <t>← この右の3列は自動です。消さないでください（消えたら社員に）。</t>
        </is>
      </c>
    </row>
    <row r="5">
      <c r="A5" s="23" t="inlineStr">
        <is>
          <t>対象日付</t>
        </is>
      </c>
      <c r="B5" s="23" t="inlineStr">
        <is>
          <t>劇場コード</t>
        </is>
      </c>
      <c r="C5" s="23" t="inlineStr">
        <is>
          <t>劇場名</t>
        </is>
      </c>
      <c r="D5" s="23" t="inlineStr">
        <is>
          <t>支払先コード</t>
        </is>
      </c>
      <c r="E5" s="23" t="inlineStr">
        <is>
          <t>支払先名</t>
        </is>
      </c>
      <c r="F5" s="23" t="inlineStr">
        <is>
          <t>大分類コード</t>
        </is>
      </c>
      <c r="G5" s="23" t="inlineStr">
        <is>
          <t>小分類コード</t>
        </is>
      </c>
      <c r="H5" s="23" t="inlineStr">
        <is>
          <t>商品分類名</t>
        </is>
      </c>
      <c r="I5" s="23" t="inlineStr">
        <is>
          <t>商品コード</t>
        </is>
      </c>
      <c r="J5" s="23" t="inlineStr">
        <is>
          <t>商品名</t>
        </is>
      </c>
      <c r="K5" s="23" t="inlineStr">
        <is>
          <t>入数</t>
        </is>
      </c>
      <c r="L5" s="23" t="inlineStr">
        <is>
          <t>在庫数ケース</t>
        </is>
      </c>
      <c r="M5" s="23" t="inlineStr">
        <is>
          <t>在庫数バラ</t>
        </is>
      </c>
      <c r="N5" s="23" t="inlineStr">
        <is>
          <t>総数</t>
        </is>
      </c>
      <c r="O5" s="23" t="inlineStr">
        <is>
          <t>規定数</t>
        </is>
      </c>
      <c r="P5" s="23" t="inlineStr">
        <is>
          <t>資産廃棄</t>
        </is>
      </c>
      <c r="Q5" s="23" t="inlineStr">
        <is>
          <t>税抜単価</t>
        </is>
      </c>
      <c r="R5" s="23" t="inlineStr">
        <is>
          <t>仕入税区分</t>
        </is>
      </c>
      <c r="S5" s="23" t="inlineStr">
        <is>
          <t>仕入税率</t>
        </is>
      </c>
      <c r="U5" s="24" t="inlineStr">
        <is>
          <t>マスタに無い商品の連番(自動)</t>
        </is>
      </c>
      <c r="V5" s="24" t="inlineStr">
        <is>
          <t>劇場コード(自動)</t>
        </is>
      </c>
      <c r="W5" s="24" t="inlineStr">
        <is>
          <t>商品コード(自動)</t>
        </is>
      </c>
    </row>
    <row r="6">
      <c r="B6" s="25" t="n"/>
      <c r="I6" s="25" t="n"/>
      <c r="U6" s="19">
        <f>IF(AND($V6='設定'!$C$4,COUNTIF('商品マスタ'!$B$6:$B$1005,$W6)=0),N(U5)+1,N(U5))</f>
        <v/>
      </c>
      <c r="V6" s="19">
        <f>IF($B6="","",TEXT($B6,"0000"))</f>
        <v/>
      </c>
      <c r="W6" s="19">
        <f>IF($I6="","",IF(ISNUMBER($I6),TEXT($I6,"0"),$I6))</f>
        <v/>
      </c>
    </row>
    <row r="7">
      <c r="B7" s="25" t="n"/>
      <c r="I7" s="25" t="n"/>
      <c r="U7" s="19">
        <f>IF(AND($V7='設定'!$C$4,COUNTIF('商品マスタ'!$B$6:$B$1005,$W7)=0),N(U6)+1,N(U6))</f>
        <v/>
      </c>
      <c r="V7" s="19">
        <f>IF($B7="","",TEXT($B7,"0000"))</f>
        <v/>
      </c>
      <c r="W7" s="19">
        <f>IF($I7="","",IF(ISNUMBER($I7),TEXT($I7,"0"),$I7))</f>
        <v/>
      </c>
    </row>
    <row r="8">
      <c r="B8" s="25" t="n"/>
      <c r="I8" s="25" t="n"/>
      <c r="U8" s="19">
        <f>IF(AND($V8='設定'!$C$4,COUNTIF('商品マスタ'!$B$6:$B$1005,$W8)=0),N(U7)+1,N(U7))</f>
        <v/>
      </c>
      <c r="V8" s="19">
        <f>IF($B8="","",TEXT($B8,"0000"))</f>
        <v/>
      </c>
      <c r="W8" s="19">
        <f>IF($I8="","",IF(ISNUMBER($I8),TEXT($I8,"0"),$I8))</f>
        <v/>
      </c>
    </row>
    <row r="9">
      <c r="B9" s="25" t="n"/>
      <c r="I9" s="25" t="n"/>
      <c r="U9" s="19">
        <f>IF(AND($V9='設定'!$C$4,COUNTIF('商品マスタ'!$B$6:$B$1005,$W9)=0),N(U8)+1,N(U8))</f>
        <v/>
      </c>
      <c r="V9" s="19">
        <f>IF($B9="","",TEXT($B9,"0000"))</f>
        <v/>
      </c>
      <c r="W9" s="19">
        <f>IF($I9="","",IF(ISNUMBER($I9),TEXT($I9,"0"),$I9))</f>
        <v/>
      </c>
    </row>
    <row r="10">
      <c r="B10" s="25" t="n"/>
      <c r="I10" s="25" t="n"/>
      <c r="U10" s="19">
        <f>IF(AND($V10='設定'!$C$4,COUNTIF('商品マスタ'!$B$6:$B$1005,$W10)=0),N(U9)+1,N(U9))</f>
        <v/>
      </c>
      <c r="V10" s="19">
        <f>IF($B10="","",TEXT($B10,"0000"))</f>
        <v/>
      </c>
      <c r="W10" s="19">
        <f>IF($I10="","",IF(ISNUMBER($I10),TEXT($I10,"0"),$I10))</f>
        <v/>
      </c>
    </row>
    <row r="11">
      <c r="B11" s="25" t="n"/>
      <c r="I11" s="25" t="n"/>
      <c r="U11" s="19">
        <f>IF(AND($V11='設定'!$C$4,COUNTIF('商品マスタ'!$B$6:$B$1005,$W11)=0),N(U10)+1,N(U10))</f>
        <v/>
      </c>
      <c r="V11" s="19">
        <f>IF($B11="","",TEXT($B11,"0000"))</f>
        <v/>
      </c>
      <c r="W11" s="19">
        <f>IF($I11="","",IF(ISNUMBER($I11),TEXT($I11,"0"),$I11))</f>
        <v/>
      </c>
    </row>
    <row r="12">
      <c r="B12" s="25" t="n"/>
      <c r="I12" s="25" t="n"/>
      <c r="U12" s="19">
        <f>IF(AND($V12='設定'!$C$4,COUNTIF('商品マスタ'!$B$6:$B$1005,$W12)=0),N(U11)+1,N(U11))</f>
        <v/>
      </c>
      <c r="V12" s="19">
        <f>IF($B12="","",TEXT($B12,"0000"))</f>
        <v/>
      </c>
      <c r="W12" s="19">
        <f>IF($I12="","",IF(ISNUMBER($I12),TEXT($I12,"0"),$I12))</f>
        <v/>
      </c>
    </row>
    <row r="13">
      <c r="B13" s="25" t="n"/>
      <c r="I13" s="25" t="n"/>
      <c r="U13" s="19">
        <f>IF(AND($V13='設定'!$C$4,COUNTIF('商品マスタ'!$B$6:$B$1005,$W13)=0),N(U12)+1,N(U12))</f>
        <v/>
      </c>
      <c r="V13" s="19">
        <f>IF($B13="","",TEXT($B13,"0000"))</f>
        <v/>
      </c>
      <c r="W13" s="19">
        <f>IF($I13="","",IF(ISNUMBER($I13),TEXT($I13,"0"),$I13))</f>
        <v/>
      </c>
    </row>
    <row r="14">
      <c r="B14" s="25" t="n"/>
      <c r="I14" s="25" t="n"/>
      <c r="U14" s="19">
        <f>IF(AND($V14='設定'!$C$4,COUNTIF('商品マスタ'!$B$6:$B$1005,$W14)=0),N(U13)+1,N(U13))</f>
        <v/>
      </c>
      <c r="V14" s="19">
        <f>IF($B14="","",TEXT($B14,"0000"))</f>
        <v/>
      </c>
      <c r="W14" s="19">
        <f>IF($I14="","",IF(ISNUMBER($I14),TEXT($I14,"0"),$I14))</f>
        <v/>
      </c>
    </row>
    <row r="15">
      <c r="B15" s="25" t="n"/>
      <c r="I15" s="25" t="n"/>
      <c r="U15" s="19">
        <f>IF(AND($V15='設定'!$C$4,COUNTIF('商品マスタ'!$B$6:$B$1005,$W15)=0),N(U14)+1,N(U14))</f>
        <v/>
      </c>
      <c r="V15" s="19">
        <f>IF($B15="","",TEXT($B15,"0000"))</f>
        <v/>
      </c>
      <c r="W15" s="19">
        <f>IF($I15="","",IF(ISNUMBER($I15),TEXT($I15,"0"),$I15))</f>
        <v/>
      </c>
    </row>
    <row r="16">
      <c r="B16" s="25" t="n"/>
      <c r="I16" s="25" t="n"/>
      <c r="U16" s="19">
        <f>IF(AND($V16='設定'!$C$4,COUNTIF('商品マスタ'!$B$6:$B$1005,$W16)=0),N(U15)+1,N(U15))</f>
        <v/>
      </c>
      <c r="V16" s="19">
        <f>IF($B16="","",TEXT($B16,"0000"))</f>
        <v/>
      </c>
      <c r="W16" s="19">
        <f>IF($I16="","",IF(ISNUMBER($I16),TEXT($I16,"0"),$I16))</f>
        <v/>
      </c>
    </row>
    <row r="17">
      <c r="B17" s="25" t="n"/>
      <c r="I17" s="25" t="n"/>
      <c r="U17" s="19">
        <f>IF(AND($V17='設定'!$C$4,COUNTIF('商品マスタ'!$B$6:$B$1005,$W17)=0),N(U16)+1,N(U16))</f>
        <v/>
      </c>
      <c r="V17" s="19">
        <f>IF($B17="","",TEXT($B17,"0000"))</f>
        <v/>
      </c>
      <c r="W17" s="19">
        <f>IF($I17="","",IF(ISNUMBER($I17),TEXT($I17,"0"),$I17))</f>
        <v/>
      </c>
    </row>
    <row r="18">
      <c r="B18" s="25" t="n"/>
      <c r="I18" s="25" t="n"/>
      <c r="U18" s="19">
        <f>IF(AND($V18='設定'!$C$4,COUNTIF('商品マスタ'!$B$6:$B$1005,$W18)=0),N(U17)+1,N(U17))</f>
        <v/>
      </c>
      <c r="V18" s="19">
        <f>IF($B18="","",TEXT($B18,"0000"))</f>
        <v/>
      </c>
      <c r="W18" s="19">
        <f>IF($I18="","",IF(ISNUMBER($I18),TEXT($I18,"0"),$I18))</f>
        <v/>
      </c>
    </row>
    <row r="19">
      <c r="B19" s="25" t="n"/>
      <c r="I19" s="25" t="n"/>
      <c r="U19" s="19">
        <f>IF(AND($V19='設定'!$C$4,COUNTIF('商品マスタ'!$B$6:$B$1005,$W19)=0),N(U18)+1,N(U18))</f>
        <v/>
      </c>
      <c r="V19" s="19">
        <f>IF($B19="","",TEXT($B19,"0000"))</f>
        <v/>
      </c>
      <c r="W19" s="19">
        <f>IF($I19="","",IF(ISNUMBER($I19),TEXT($I19,"0"),$I19))</f>
        <v/>
      </c>
    </row>
    <row r="20">
      <c r="B20" s="25" t="n"/>
      <c r="I20" s="25" t="n"/>
      <c r="U20" s="19">
        <f>IF(AND($V20='設定'!$C$4,COUNTIF('商品マスタ'!$B$6:$B$1005,$W20)=0),N(U19)+1,N(U19))</f>
        <v/>
      </c>
      <c r="V20" s="19">
        <f>IF($B20="","",TEXT($B20,"0000"))</f>
        <v/>
      </c>
      <c r="W20" s="19">
        <f>IF($I20="","",IF(ISNUMBER($I20),TEXT($I20,"0"),$I20))</f>
        <v/>
      </c>
    </row>
    <row r="21">
      <c r="B21" s="25" t="n"/>
      <c r="I21" s="25" t="n"/>
      <c r="U21" s="19">
        <f>IF(AND($V21='設定'!$C$4,COUNTIF('商品マスタ'!$B$6:$B$1005,$W21)=0),N(U20)+1,N(U20))</f>
        <v/>
      </c>
      <c r="V21" s="19">
        <f>IF($B21="","",TEXT($B21,"0000"))</f>
        <v/>
      </c>
      <c r="W21" s="19">
        <f>IF($I21="","",IF(ISNUMBER($I21),TEXT($I21,"0"),$I21))</f>
        <v/>
      </c>
    </row>
    <row r="22">
      <c r="B22" s="25" t="n"/>
      <c r="I22" s="25" t="n"/>
      <c r="U22" s="19">
        <f>IF(AND($V22='設定'!$C$4,COUNTIF('商品マスタ'!$B$6:$B$1005,$W22)=0),N(U21)+1,N(U21))</f>
        <v/>
      </c>
      <c r="V22" s="19">
        <f>IF($B22="","",TEXT($B22,"0000"))</f>
        <v/>
      </c>
      <c r="W22" s="19">
        <f>IF($I22="","",IF(ISNUMBER($I22),TEXT($I22,"0"),$I22))</f>
        <v/>
      </c>
    </row>
    <row r="23">
      <c r="B23" s="25" t="n"/>
      <c r="I23" s="25" t="n"/>
      <c r="U23" s="19">
        <f>IF(AND($V23='設定'!$C$4,COUNTIF('商品マスタ'!$B$6:$B$1005,$W23)=0),N(U22)+1,N(U22))</f>
        <v/>
      </c>
      <c r="V23" s="19">
        <f>IF($B23="","",TEXT($B23,"0000"))</f>
        <v/>
      </c>
      <c r="W23" s="19">
        <f>IF($I23="","",IF(ISNUMBER($I23),TEXT($I23,"0"),$I23))</f>
        <v/>
      </c>
    </row>
    <row r="24">
      <c r="B24" s="25" t="n"/>
      <c r="I24" s="25" t="n"/>
      <c r="U24" s="19">
        <f>IF(AND($V24='設定'!$C$4,COUNTIF('商品マスタ'!$B$6:$B$1005,$W24)=0),N(U23)+1,N(U23))</f>
        <v/>
      </c>
      <c r="V24" s="19">
        <f>IF($B24="","",TEXT($B24,"0000"))</f>
        <v/>
      </c>
      <c r="W24" s="19">
        <f>IF($I24="","",IF(ISNUMBER($I24),TEXT($I24,"0"),$I24))</f>
        <v/>
      </c>
    </row>
    <row r="25">
      <c r="B25" s="25" t="n"/>
      <c r="I25" s="25" t="n"/>
      <c r="U25" s="19">
        <f>IF(AND($V25='設定'!$C$4,COUNTIF('商品マスタ'!$B$6:$B$1005,$W25)=0),N(U24)+1,N(U24))</f>
        <v/>
      </c>
      <c r="V25" s="19">
        <f>IF($B25="","",TEXT($B25,"0000"))</f>
        <v/>
      </c>
      <c r="W25" s="19">
        <f>IF($I25="","",IF(ISNUMBER($I25),TEXT($I25,"0"),$I25))</f>
        <v/>
      </c>
    </row>
    <row r="26">
      <c r="B26" s="25" t="n"/>
      <c r="I26" s="25" t="n"/>
      <c r="U26" s="19">
        <f>IF(AND($V26='設定'!$C$4,COUNTIF('商品マスタ'!$B$6:$B$1005,$W26)=0),N(U25)+1,N(U25))</f>
        <v/>
      </c>
      <c r="V26" s="19">
        <f>IF($B26="","",TEXT($B26,"0000"))</f>
        <v/>
      </c>
      <c r="W26" s="19">
        <f>IF($I26="","",IF(ISNUMBER($I26),TEXT($I26,"0"),$I26))</f>
        <v/>
      </c>
    </row>
    <row r="27">
      <c r="B27" s="25" t="n"/>
      <c r="I27" s="25" t="n"/>
      <c r="U27" s="19">
        <f>IF(AND($V27='設定'!$C$4,COUNTIF('商品マスタ'!$B$6:$B$1005,$W27)=0),N(U26)+1,N(U26))</f>
        <v/>
      </c>
      <c r="V27" s="19">
        <f>IF($B27="","",TEXT($B27,"0000"))</f>
        <v/>
      </c>
      <c r="W27" s="19">
        <f>IF($I27="","",IF(ISNUMBER($I27),TEXT($I27,"0"),$I27))</f>
        <v/>
      </c>
    </row>
    <row r="28">
      <c r="B28" s="25" t="n"/>
      <c r="I28" s="25" t="n"/>
      <c r="U28" s="19">
        <f>IF(AND($V28='設定'!$C$4,COUNTIF('商品マスタ'!$B$6:$B$1005,$W28)=0),N(U27)+1,N(U27))</f>
        <v/>
      </c>
      <c r="V28" s="19">
        <f>IF($B28="","",TEXT($B28,"0000"))</f>
        <v/>
      </c>
      <c r="W28" s="19">
        <f>IF($I28="","",IF(ISNUMBER($I28),TEXT($I28,"0"),$I28))</f>
        <v/>
      </c>
    </row>
    <row r="29">
      <c r="B29" s="25" t="n"/>
      <c r="I29" s="25" t="n"/>
      <c r="U29" s="19">
        <f>IF(AND($V29='設定'!$C$4,COUNTIF('商品マスタ'!$B$6:$B$1005,$W29)=0),N(U28)+1,N(U28))</f>
        <v/>
      </c>
      <c r="V29" s="19">
        <f>IF($B29="","",TEXT($B29,"0000"))</f>
        <v/>
      </c>
      <c r="W29" s="19">
        <f>IF($I29="","",IF(ISNUMBER($I29),TEXT($I29,"0"),$I29))</f>
        <v/>
      </c>
    </row>
    <row r="30">
      <c r="B30" s="25" t="n"/>
      <c r="I30" s="25" t="n"/>
      <c r="U30" s="19">
        <f>IF(AND($V30='設定'!$C$4,COUNTIF('商品マスタ'!$B$6:$B$1005,$W30)=0),N(U29)+1,N(U29))</f>
        <v/>
      </c>
      <c r="V30" s="19">
        <f>IF($B30="","",TEXT($B30,"0000"))</f>
        <v/>
      </c>
      <c r="W30" s="19">
        <f>IF($I30="","",IF(ISNUMBER($I30),TEXT($I30,"0"),$I30))</f>
        <v/>
      </c>
    </row>
    <row r="31">
      <c r="B31" s="25" t="n"/>
      <c r="I31" s="25" t="n"/>
      <c r="U31" s="19">
        <f>IF(AND($V31='設定'!$C$4,COUNTIF('商品マスタ'!$B$6:$B$1005,$W31)=0),N(U30)+1,N(U30))</f>
        <v/>
      </c>
      <c r="V31" s="19">
        <f>IF($B31="","",TEXT($B31,"0000"))</f>
        <v/>
      </c>
      <c r="W31" s="19">
        <f>IF($I31="","",IF(ISNUMBER($I31),TEXT($I31,"0"),$I31))</f>
        <v/>
      </c>
    </row>
    <row r="32">
      <c r="B32" s="25" t="n"/>
      <c r="I32" s="25" t="n"/>
      <c r="U32" s="19">
        <f>IF(AND($V32='設定'!$C$4,COUNTIF('商品マスタ'!$B$6:$B$1005,$W32)=0),N(U31)+1,N(U31))</f>
        <v/>
      </c>
      <c r="V32" s="19">
        <f>IF($B32="","",TEXT($B32,"0000"))</f>
        <v/>
      </c>
      <c r="W32" s="19">
        <f>IF($I32="","",IF(ISNUMBER($I32),TEXT($I32,"0"),$I32))</f>
        <v/>
      </c>
    </row>
    <row r="33">
      <c r="B33" s="25" t="n"/>
      <c r="I33" s="25" t="n"/>
      <c r="U33" s="19">
        <f>IF(AND($V33='設定'!$C$4,COUNTIF('商品マスタ'!$B$6:$B$1005,$W33)=0),N(U32)+1,N(U32))</f>
        <v/>
      </c>
      <c r="V33" s="19">
        <f>IF($B33="","",TEXT($B33,"0000"))</f>
        <v/>
      </c>
      <c r="W33" s="19">
        <f>IF($I33="","",IF(ISNUMBER($I33),TEXT($I33,"0"),$I33))</f>
        <v/>
      </c>
    </row>
    <row r="34">
      <c r="B34" s="25" t="n"/>
      <c r="I34" s="25" t="n"/>
      <c r="U34" s="19">
        <f>IF(AND($V34='設定'!$C$4,COUNTIF('商品マスタ'!$B$6:$B$1005,$W34)=0),N(U33)+1,N(U33))</f>
        <v/>
      </c>
      <c r="V34" s="19">
        <f>IF($B34="","",TEXT($B34,"0000"))</f>
        <v/>
      </c>
      <c r="W34" s="19">
        <f>IF($I34="","",IF(ISNUMBER($I34),TEXT($I34,"0"),$I34))</f>
        <v/>
      </c>
    </row>
    <row r="35">
      <c r="B35" s="25" t="n"/>
      <c r="I35" s="25" t="n"/>
      <c r="U35" s="19">
        <f>IF(AND($V35='設定'!$C$4,COUNTIF('商品マスタ'!$B$6:$B$1005,$W35)=0),N(U34)+1,N(U34))</f>
        <v/>
      </c>
      <c r="V35" s="19">
        <f>IF($B35="","",TEXT($B35,"0000"))</f>
        <v/>
      </c>
      <c r="W35" s="19">
        <f>IF($I35="","",IF(ISNUMBER($I35),TEXT($I35,"0"),$I35))</f>
        <v/>
      </c>
    </row>
    <row r="36">
      <c r="B36" s="25" t="n"/>
      <c r="I36" s="25" t="n"/>
      <c r="U36" s="19">
        <f>IF(AND($V36='設定'!$C$4,COUNTIF('商品マスタ'!$B$6:$B$1005,$W36)=0),N(U35)+1,N(U35))</f>
        <v/>
      </c>
      <c r="V36" s="19">
        <f>IF($B36="","",TEXT($B36,"0000"))</f>
        <v/>
      </c>
      <c r="W36" s="19">
        <f>IF($I36="","",IF(ISNUMBER($I36),TEXT($I36,"0"),$I36))</f>
        <v/>
      </c>
    </row>
    <row r="37">
      <c r="B37" s="25" t="n"/>
      <c r="I37" s="25" t="n"/>
      <c r="U37" s="19">
        <f>IF(AND($V37='設定'!$C$4,COUNTIF('商品マスタ'!$B$6:$B$1005,$W37)=0),N(U36)+1,N(U36))</f>
        <v/>
      </c>
      <c r="V37" s="19">
        <f>IF($B37="","",TEXT($B37,"0000"))</f>
        <v/>
      </c>
      <c r="W37" s="19">
        <f>IF($I37="","",IF(ISNUMBER($I37),TEXT($I37,"0"),$I37))</f>
        <v/>
      </c>
    </row>
    <row r="38">
      <c r="B38" s="25" t="n"/>
      <c r="I38" s="25" t="n"/>
      <c r="U38" s="19">
        <f>IF(AND($V38='設定'!$C$4,COUNTIF('商品マスタ'!$B$6:$B$1005,$W38)=0),N(U37)+1,N(U37))</f>
        <v/>
      </c>
      <c r="V38" s="19">
        <f>IF($B38="","",TEXT($B38,"0000"))</f>
        <v/>
      </c>
      <c r="W38" s="19">
        <f>IF($I38="","",IF(ISNUMBER($I38),TEXT($I38,"0"),$I38))</f>
        <v/>
      </c>
    </row>
    <row r="39">
      <c r="B39" s="25" t="n"/>
      <c r="I39" s="25" t="n"/>
      <c r="U39" s="19">
        <f>IF(AND($V39='設定'!$C$4,COUNTIF('商品マスタ'!$B$6:$B$1005,$W39)=0),N(U38)+1,N(U38))</f>
        <v/>
      </c>
      <c r="V39" s="19">
        <f>IF($B39="","",TEXT($B39,"0000"))</f>
        <v/>
      </c>
      <c r="W39" s="19">
        <f>IF($I39="","",IF(ISNUMBER($I39),TEXT($I39,"0"),$I39))</f>
        <v/>
      </c>
    </row>
    <row r="40">
      <c r="B40" s="25" t="n"/>
      <c r="I40" s="25" t="n"/>
      <c r="U40" s="19">
        <f>IF(AND($V40='設定'!$C$4,COUNTIF('商品マスタ'!$B$6:$B$1005,$W40)=0),N(U39)+1,N(U39))</f>
        <v/>
      </c>
      <c r="V40" s="19">
        <f>IF($B40="","",TEXT($B40,"0000"))</f>
        <v/>
      </c>
      <c r="W40" s="19">
        <f>IF($I40="","",IF(ISNUMBER($I40),TEXT($I40,"0"),$I40))</f>
        <v/>
      </c>
    </row>
    <row r="41">
      <c r="B41" s="25" t="n"/>
      <c r="I41" s="25" t="n"/>
      <c r="U41" s="19">
        <f>IF(AND($V41='設定'!$C$4,COUNTIF('商品マスタ'!$B$6:$B$1005,$W41)=0),N(U40)+1,N(U40))</f>
        <v/>
      </c>
      <c r="V41" s="19">
        <f>IF($B41="","",TEXT($B41,"0000"))</f>
        <v/>
      </c>
      <c r="W41" s="19">
        <f>IF($I41="","",IF(ISNUMBER($I41),TEXT($I41,"0"),$I41))</f>
        <v/>
      </c>
    </row>
    <row r="42">
      <c r="B42" s="25" t="n"/>
      <c r="I42" s="25" t="n"/>
      <c r="U42" s="19">
        <f>IF(AND($V42='設定'!$C$4,COUNTIF('商品マスタ'!$B$6:$B$1005,$W42)=0),N(U41)+1,N(U41))</f>
        <v/>
      </c>
      <c r="V42" s="19">
        <f>IF($B42="","",TEXT($B42,"0000"))</f>
        <v/>
      </c>
      <c r="W42" s="19">
        <f>IF($I42="","",IF(ISNUMBER($I42),TEXT($I42,"0"),$I42))</f>
        <v/>
      </c>
    </row>
    <row r="43">
      <c r="B43" s="25" t="n"/>
      <c r="I43" s="25" t="n"/>
      <c r="U43" s="19">
        <f>IF(AND($V43='設定'!$C$4,COUNTIF('商品マスタ'!$B$6:$B$1005,$W43)=0),N(U42)+1,N(U42))</f>
        <v/>
      </c>
      <c r="V43" s="19">
        <f>IF($B43="","",TEXT($B43,"0000"))</f>
        <v/>
      </c>
      <c r="W43" s="19">
        <f>IF($I43="","",IF(ISNUMBER($I43),TEXT($I43,"0"),$I43))</f>
        <v/>
      </c>
    </row>
    <row r="44">
      <c r="B44" s="25" t="n"/>
      <c r="I44" s="25" t="n"/>
      <c r="U44" s="19">
        <f>IF(AND($V44='設定'!$C$4,COUNTIF('商品マスタ'!$B$6:$B$1005,$W44)=0),N(U43)+1,N(U43))</f>
        <v/>
      </c>
      <c r="V44" s="19">
        <f>IF($B44="","",TEXT($B44,"0000"))</f>
        <v/>
      </c>
      <c r="W44" s="19">
        <f>IF($I44="","",IF(ISNUMBER($I44),TEXT($I44,"0"),$I44))</f>
        <v/>
      </c>
    </row>
    <row r="45">
      <c r="B45" s="25" t="n"/>
      <c r="I45" s="25" t="n"/>
      <c r="U45" s="19">
        <f>IF(AND($V45='設定'!$C$4,COUNTIF('商品マスタ'!$B$6:$B$1005,$W45)=0),N(U44)+1,N(U44))</f>
        <v/>
      </c>
      <c r="V45" s="19">
        <f>IF($B45="","",TEXT($B45,"0000"))</f>
        <v/>
      </c>
      <c r="W45" s="19">
        <f>IF($I45="","",IF(ISNUMBER($I45),TEXT($I45,"0"),$I45))</f>
        <v/>
      </c>
    </row>
    <row r="46">
      <c r="B46" s="25" t="n"/>
      <c r="I46" s="25" t="n"/>
      <c r="U46" s="19">
        <f>IF(AND($V46='設定'!$C$4,COUNTIF('商品マスタ'!$B$6:$B$1005,$W46)=0),N(U45)+1,N(U45))</f>
        <v/>
      </c>
      <c r="V46" s="19">
        <f>IF($B46="","",TEXT($B46,"0000"))</f>
        <v/>
      </c>
      <c r="W46" s="19">
        <f>IF($I46="","",IF(ISNUMBER($I46),TEXT($I46,"0"),$I46))</f>
        <v/>
      </c>
    </row>
    <row r="47">
      <c r="B47" s="25" t="n"/>
      <c r="I47" s="25" t="n"/>
      <c r="U47" s="19">
        <f>IF(AND($V47='設定'!$C$4,COUNTIF('商品マスタ'!$B$6:$B$1005,$W47)=0),N(U46)+1,N(U46))</f>
        <v/>
      </c>
      <c r="V47" s="19">
        <f>IF($B47="","",TEXT($B47,"0000"))</f>
        <v/>
      </c>
      <c r="W47" s="19">
        <f>IF($I47="","",IF(ISNUMBER($I47),TEXT($I47,"0"),$I47))</f>
        <v/>
      </c>
    </row>
    <row r="48">
      <c r="B48" s="25" t="n"/>
      <c r="I48" s="25" t="n"/>
      <c r="U48" s="19">
        <f>IF(AND($V48='設定'!$C$4,COUNTIF('商品マスタ'!$B$6:$B$1005,$W48)=0),N(U47)+1,N(U47))</f>
        <v/>
      </c>
      <c r="V48" s="19">
        <f>IF($B48="","",TEXT($B48,"0000"))</f>
        <v/>
      </c>
      <c r="W48" s="19">
        <f>IF($I48="","",IF(ISNUMBER($I48),TEXT($I48,"0"),$I48))</f>
        <v/>
      </c>
    </row>
    <row r="49">
      <c r="B49" s="25" t="n"/>
      <c r="I49" s="25" t="n"/>
      <c r="U49" s="19">
        <f>IF(AND($V49='設定'!$C$4,COUNTIF('商品マスタ'!$B$6:$B$1005,$W49)=0),N(U48)+1,N(U48))</f>
        <v/>
      </c>
      <c r="V49" s="19">
        <f>IF($B49="","",TEXT($B49,"0000"))</f>
        <v/>
      </c>
      <c r="W49" s="19">
        <f>IF($I49="","",IF(ISNUMBER($I49),TEXT($I49,"0"),$I49))</f>
        <v/>
      </c>
    </row>
    <row r="50">
      <c r="B50" s="25" t="n"/>
      <c r="I50" s="25" t="n"/>
      <c r="U50" s="19">
        <f>IF(AND($V50='設定'!$C$4,COUNTIF('商品マスタ'!$B$6:$B$1005,$W50)=0),N(U49)+1,N(U49))</f>
        <v/>
      </c>
      <c r="V50" s="19">
        <f>IF($B50="","",TEXT($B50,"0000"))</f>
        <v/>
      </c>
      <c r="W50" s="19">
        <f>IF($I50="","",IF(ISNUMBER($I50),TEXT($I50,"0"),$I50))</f>
        <v/>
      </c>
    </row>
    <row r="51">
      <c r="B51" s="25" t="n"/>
      <c r="I51" s="25" t="n"/>
      <c r="U51" s="19">
        <f>IF(AND($V51='設定'!$C$4,COUNTIF('商品マスタ'!$B$6:$B$1005,$W51)=0),N(U50)+1,N(U50))</f>
        <v/>
      </c>
      <c r="V51" s="19">
        <f>IF($B51="","",TEXT($B51,"0000"))</f>
        <v/>
      </c>
      <c r="W51" s="19">
        <f>IF($I51="","",IF(ISNUMBER($I51),TEXT($I51,"0"),$I51))</f>
        <v/>
      </c>
    </row>
    <row r="52">
      <c r="B52" s="25" t="n"/>
      <c r="I52" s="25" t="n"/>
      <c r="U52" s="19">
        <f>IF(AND($V52='設定'!$C$4,COUNTIF('商品マスタ'!$B$6:$B$1005,$W52)=0),N(U51)+1,N(U51))</f>
        <v/>
      </c>
      <c r="V52" s="19">
        <f>IF($B52="","",TEXT($B52,"0000"))</f>
        <v/>
      </c>
      <c r="W52" s="19">
        <f>IF($I52="","",IF(ISNUMBER($I52),TEXT($I52,"0"),$I52))</f>
        <v/>
      </c>
    </row>
    <row r="53">
      <c r="B53" s="25" t="n"/>
      <c r="I53" s="25" t="n"/>
      <c r="U53" s="19">
        <f>IF(AND($V53='設定'!$C$4,COUNTIF('商品マスタ'!$B$6:$B$1005,$W53)=0),N(U52)+1,N(U52))</f>
        <v/>
      </c>
      <c r="V53" s="19">
        <f>IF($B53="","",TEXT($B53,"0000"))</f>
        <v/>
      </c>
      <c r="W53" s="19">
        <f>IF($I53="","",IF(ISNUMBER($I53),TEXT($I53,"0"),$I53))</f>
        <v/>
      </c>
    </row>
    <row r="54">
      <c r="B54" s="25" t="n"/>
      <c r="I54" s="25" t="n"/>
      <c r="U54" s="19">
        <f>IF(AND($V54='設定'!$C$4,COUNTIF('商品マスタ'!$B$6:$B$1005,$W54)=0),N(U53)+1,N(U53))</f>
        <v/>
      </c>
      <c r="V54" s="19">
        <f>IF($B54="","",TEXT($B54,"0000"))</f>
        <v/>
      </c>
      <c r="W54" s="19">
        <f>IF($I54="","",IF(ISNUMBER($I54),TEXT($I54,"0"),$I54))</f>
        <v/>
      </c>
    </row>
    <row r="55">
      <c r="B55" s="25" t="n"/>
      <c r="I55" s="25" t="n"/>
      <c r="U55" s="19">
        <f>IF(AND($V55='設定'!$C$4,COUNTIF('商品マスタ'!$B$6:$B$1005,$W55)=0),N(U54)+1,N(U54))</f>
        <v/>
      </c>
      <c r="V55" s="19">
        <f>IF($B55="","",TEXT($B55,"0000"))</f>
        <v/>
      </c>
      <c r="W55" s="19">
        <f>IF($I55="","",IF(ISNUMBER($I55),TEXT($I55,"0"),$I55))</f>
        <v/>
      </c>
    </row>
    <row r="56">
      <c r="B56" s="25" t="n"/>
      <c r="I56" s="25" t="n"/>
      <c r="U56" s="19">
        <f>IF(AND($V56='設定'!$C$4,COUNTIF('商品マスタ'!$B$6:$B$1005,$W56)=0),N(U55)+1,N(U55))</f>
        <v/>
      </c>
      <c r="V56" s="19">
        <f>IF($B56="","",TEXT($B56,"0000"))</f>
        <v/>
      </c>
      <c r="W56" s="19">
        <f>IF($I56="","",IF(ISNUMBER($I56),TEXT($I56,"0"),$I56))</f>
        <v/>
      </c>
    </row>
    <row r="57">
      <c r="B57" s="25" t="n"/>
      <c r="I57" s="25" t="n"/>
      <c r="U57" s="19">
        <f>IF(AND($V57='設定'!$C$4,COUNTIF('商品マスタ'!$B$6:$B$1005,$W57)=0),N(U56)+1,N(U56))</f>
        <v/>
      </c>
      <c r="V57" s="19">
        <f>IF($B57="","",TEXT($B57,"0000"))</f>
        <v/>
      </c>
      <c r="W57" s="19">
        <f>IF($I57="","",IF(ISNUMBER($I57),TEXT($I57,"0"),$I57))</f>
        <v/>
      </c>
    </row>
    <row r="58">
      <c r="B58" s="25" t="n"/>
      <c r="I58" s="25" t="n"/>
      <c r="U58" s="19">
        <f>IF(AND($V58='設定'!$C$4,COUNTIF('商品マスタ'!$B$6:$B$1005,$W58)=0),N(U57)+1,N(U57))</f>
        <v/>
      </c>
      <c r="V58" s="19">
        <f>IF($B58="","",TEXT($B58,"0000"))</f>
        <v/>
      </c>
      <c r="W58" s="19">
        <f>IF($I58="","",IF(ISNUMBER($I58),TEXT($I58,"0"),$I58))</f>
        <v/>
      </c>
    </row>
    <row r="59">
      <c r="B59" s="25" t="n"/>
      <c r="I59" s="25" t="n"/>
      <c r="U59" s="19">
        <f>IF(AND($V59='設定'!$C$4,COUNTIF('商品マスタ'!$B$6:$B$1005,$W59)=0),N(U58)+1,N(U58))</f>
        <v/>
      </c>
      <c r="V59" s="19">
        <f>IF($B59="","",TEXT($B59,"0000"))</f>
        <v/>
      </c>
      <c r="W59" s="19">
        <f>IF($I59="","",IF(ISNUMBER($I59),TEXT($I59,"0"),$I59))</f>
        <v/>
      </c>
    </row>
    <row r="60">
      <c r="B60" s="25" t="n"/>
      <c r="I60" s="25" t="n"/>
      <c r="U60" s="19">
        <f>IF(AND($V60='設定'!$C$4,COUNTIF('商品マスタ'!$B$6:$B$1005,$W60)=0),N(U59)+1,N(U59))</f>
        <v/>
      </c>
      <c r="V60" s="19">
        <f>IF($B60="","",TEXT($B60,"0000"))</f>
        <v/>
      </c>
      <c r="W60" s="19">
        <f>IF($I60="","",IF(ISNUMBER($I60),TEXT($I60,"0"),$I60))</f>
        <v/>
      </c>
    </row>
    <row r="61">
      <c r="B61" s="25" t="n"/>
      <c r="I61" s="25" t="n"/>
      <c r="U61" s="19">
        <f>IF(AND($V61='設定'!$C$4,COUNTIF('商品マスタ'!$B$6:$B$1005,$W61)=0),N(U60)+1,N(U60))</f>
        <v/>
      </c>
      <c r="V61" s="19">
        <f>IF($B61="","",TEXT($B61,"0000"))</f>
        <v/>
      </c>
      <c r="W61" s="19">
        <f>IF($I61="","",IF(ISNUMBER($I61),TEXT($I61,"0"),$I61))</f>
        <v/>
      </c>
    </row>
    <row r="62">
      <c r="B62" s="25" t="n"/>
      <c r="I62" s="25" t="n"/>
      <c r="U62" s="19">
        <f>IF(AND($V62='設定'!$C$4,COUNTIF('商品マスタ'!$B$6:$B$1005,$W62)=0),N(U61)+1,N(U61))</f>
        <v/>
      </c>
      <c r="V62" s="19">
        <f>IF($B62="","",TEXT($B62,"0000"))</f>
        <v/>
      </c>
      <c r="W62" s="19">
        <f>IF($I62="","",IF(ISNUMBER($I62),TEXT($I62,"0"),$I62))</f>
        <v/>
      </c>
    </row>
    <row r="63">
      <c r="B63" s="25" t="n"/>
      <c r="I63" s="25" t="n"/>
      <c r="U63" s="19">
        <f>IF(AND($V63='設定'!$C$4,COUNTIF('商品マスタ'!$B$6:$B$1005,$W63)=0),N(U62)+1,N(U62))</f>
        <v/>
      </c>
      <c r="V63" s="19">
        <f>IF($B63="","",TEXT($B63,"0000"))</f>
        <v/>
      </c>
      <c r="W63" s="19">
        <f>IF($I63="","",IF(ISNUMBER($I63),TEXT($I63,"0"),$I63))</f>
        <v/>
      </c>
    </row>
    <row r="64">
      <c r="B64" s="25" t="n"/>
      <c r="I64" s="25" t="n"/>
      <c r="U64" s="19">
        <f>IF(AND($V64='設定'!$C$4,COUNTIF('商品マスタ'!$B$6:$B$1005,$W64)=0),N(U63)+1,N(U63))</f>
        <v/>
      </c>
      <c r="V64" s="19">
        <f>IF($B64="","",TEXT($B64,"0000"))</f>
        <v/>
      </c>
      <c r="W64" s="19">
        <f>IF($I64="","",IF(ISNUMBER($I64),TEXT($I64,"0"),$I64))</f>
        <v/>
      </c>
    </row>
    <row r="65">
      <c r="B65" s="25" t="n"/>
      <c r="I65" s="25" t="n"/>
      <c r="U65" s="19">
        <f>IF(AND($V65='設定'!$C$4,COUNTIF('商品マスタ'!$B$6:$B$1005,$W65)=0),N(U64)+1,N(U64))</f>
        <v/>
      </c>
      <c r="V65" s="19">
        <f>IF($B65="","",TEXT($B65,"0000"))</f>
        <v/>
      </c>
      <c r="W65" s="19">
        <f>IF($I65="","",IF(ISNUMBER($I65),TEXT($I65,"0"),$I65))</f>
        <v/>
      </c>
    </row>
    <row r="66">
      <c r="B66" s="25" t="n"/>
      <c r="I66" s="25" t="n"/>
      <c r="U66" s="19">
        <f>IF(AND($V66='設定'!$C$4,COUNTIF('商品マスタ'!$B$6:$B$1005,$W66)=0),N(U65)+1,N(U65))</f>
        <v/>
      </c>
      <c r="V66" s="19">
        <f>IF($B66="","",TEXT($B66,"0000"))</f>
        <v/>
      </c>
      <c r="W66" s="19">
        <f>IF($I66="","",IF(ISNUMBER($I66),TEXT($I66,"0"),$I66))</f>
        <v/>
      </c>
    </row>
    <row r="67">
      <c r="B67" s="25" t="n"/>
      <c r="I67" s="25" t="n"/>
      <c r="U67" s="19">
        <f>IF(AND($V67='設定'!$C$4,COUNTIF('商品マスタ'!$B$6:$B$1005,$W67)=0),N(U66)+1,N(U66))</f>
        <v/>
      </c>
      <c r="V67" s="19">
        <f>IF($B67="","",TEXT($B67,"0000"))</f>
        <v/>
      </c>
      <c r="W67" s="19">
        <f>IF($I67="","",IF(ISNUMBER($I67),TEXT($I67,"0"),$I67))</f>
        <v/>
      </c>
    </row>
    <row r="68">
      <c r="B68" s="25" t="n"/>
      <c r="I68" s="25" t="n"/>
      <c r="U68" s="19">
        <f>IF(AND($V68='設定'!$C$4,COUNTIF('商品マスタ'!$B$6:$B$1005,$W68)=0),N(U67)+1,N(U67))</f>
        <v/>
      </c>
      <c r="V68" s="19">
        <f>IF($B68="","",TEXT($B68,"0000"))</f>
        <v/>
      </c>
      <c r="W68" s="19">
        <f>IF($I68="","",IF(ISNUMBER($I68),TEXT($I68,"0"),$I68))</f>
        <v/>
      </c>
    </row>
    <row r="69">
      <c r="B69" s="25" t="n"/>
      <c r="I69" s="25" t="n"/>
      <c r="U69" s="19">
        <f>IF(AND($V69='設定'!$C$4,COUNTIF('商品マスタ'!$B$6:$B$1005,$W69)=0),N(U68)+1,N(U68))</f>
        <v/>
      </c>
      <c r="V69" s="19">
        <f>IF($B69="","",TEXT($B69,"0000"))</f>
        <v/>
      </c>
      <c r="W69" s="19">
        <f>IF($I69="","",IF(ISNUMBER($I69),TEXT($I69,"0"),$I69))</f>
        <v/>
      </c>
    </row>
    <row r="70">
      <c r="B70" s="25" t="n"/>
      <c r="I70" s="25" t="n"/>
      <c r="U70" s="19">
        <f>IF(AND($V70='設定'!$C$4,COUNTIF('商品マスタ'!$B$6:$B$1005,$W70)=0),N(U69)+1,N(U69))</f>
        <v/>
      </c>
      <c r="V70" s="19">
        <f>IF($B70="","",TEXT($B70,"0000"))</f>
        <v/>
      </c>
      <c r="W70" s="19">
        <f>IF($I70="","",IF(ISNUMBER($I70),TEXT($I70,"0"),$I70))</f>
        <v/>
      </c>
    </row>
    <row r="71">
      <c r="B71" s="25" t="n"/>
      <c r="I71" s="25" t="n"/>
      <c r="U71" s="19">
        <f>IF(AND($V71='設定'!$C$4,COUNTIF('商品マスタ'!$B$6:$B$1005,$W71)=0),N(U70)+1,N(U70))</f>
        <v/>
      </c>
      <c r="V71" s="19">
        <f>IF($B71="","",TEXT($B71,"0000"))</f>
        <v/>
      </c>
      <c r="W71" s="19">
        <f>IF($I71="","",IF(ISNUMBER($I71),TEXT($I71,"0"),$I71))</f>
        <v/>
      </c>
    </row>
    <row r="72">
      <c r="B72" s="25" t="n"/>
      <c r="I72" s="25" t="n"/>
      <c r="U72" s="19">
        <f>IF(AND($V72='設定'!$C$4,COUNTIF('商品マスタ'!$B$6:$B$1005,$W72)=0),N(U71)+1,N(U71))</f>
        <v/>
      </c>
      <c r="V72" s="19">
        <f>IF($B72="","",TEXT($B72,"0000"))</f>
        <v/>
      </c>
      <c r="W72" s="19">
        <f>IF($I72="","",IF(ISNUMBER($I72),TEXT($I72,"0"),$I72))</f>
        <v/>
      </c>
    </row>
    <row r="73">
      <c r="B73" s="25" t="n"/>
      <c r="I73" s="25" t="n"/>
      <c r="U73" s="19">
        <f>IF(AND($V73='設定'!$C$4,COUNTIF('商品マスタ'!$B$6:$B$1005,$W73)=0),N(U72)+1,N(U72))</f>
        <v/>
      </c>
      <c r="V73" s="19">
        <f>IF($B73="","",TEXT($B73,"0000"))</f>
        <v/>
      </c>
      <c r="W73" s="19">
        <f>IF($I73="","",IF(ISNUMBER($I73),TEXT($I73,"0"),$I73))</f>
        <v/>
      </c>
    </row>
    <row r="74">
      <c r="B74" s="25" t="n"/>
      <c r="I74" s="25" t="n"/>
      <c r="U74" s="19">
        <f>IF(AND($V74='設定'!$C$4,COUNTIF('商品マスタ'!$B$6:$B$1005,$W74)=0),N(U73)+1,N(U73))</f>
        <v/>
      </c>
      <c r="V74" s="19">
        <f>IF($B74="","",TEXT($B74,"0000"))</f>
        <v/>
      </c>
      <c r="W74" s="19">
        <f>IF($I74="","",IF(ISNUMBER($I74),TEXT($I74,"0"),$I74))</f>
        <v/>
      </c>
    </row>
    <row r="75">
      <c r="B75" s="25" t="n"/>
      <c r="I75" s="25" t="n"/>
      <c r="U75" s="19">
        <f>IF(AND($V75='設定'!$C$4,COUNTIF('商品マスタ'!$B$6:$B$1005,$W75)=0),N(U74)+1,N(U74))</f>
        <v/>
      </c>
      <c r="V75" s="19">
        <f>IF($B75="","",TEXT($B75,"0000"))</f>
        <v/>
      </c>
      <c r="W75" s="19">
        <f>IF($I75="","",IF(ISNUMBER($I75),TEXT($I75,"0"),$I75))</f>
        <v/>
      </c>
    </row>
    <row r="76">
      <c r="B76" s="25" t="n"/>
      <c r="I76" s="25" t="n"/>
      <c r="U76" s="19">
        <f>IF(AND($V76='設定'!$C$4,COUNTIF('商品マスタ'!$B$6:$B$1005,$W76)=0),N(U75)+1,N(U75))</f>
        <v/>
      </c>
      <c r="V76" s="19">
        <f>IF($B76="","",TEXT($B76,"0000"))</f>
        <v/>
      </c>
      <c r="W76" s="19">
        <f>IF($I76="","",IF(ISNUMBER($I76),TEXT($I76,"0"),$I76))</f>
        <v/>
      </c>
    </row>
    <row r="77">
      <c r="B77" s="25" t="n"/>
      <c r="I77" s="25" t="n"/>
      <c r="U77" s="19">
        <f>IF(AND($V77='設定'!$C$4,COUNTIF('商品マスタ'!$B$6:$B$1005,$W77)=0),N(U76)+1,N(U76))</f>
        <v/>
      </c>
      <c r="V77" s="19">
        <f>IF($B77="","",TEXT($B77,"0000"))</f>
        <v/>
      </c>
      <c r="W77" s="19">
        <f>IF($I77="","",IF(ISNUMBER($I77),TEXT($I77,"0"),$I77))</f>
        <v/>
      </c>
    </row>
    <row r="78">
      <c r="B78" s="25" t="n"/>
      <c r="I78" s="25" t="n"/>
      <c r="U78" s="19">
        <f>IF(AND($V78='設定'!$C$4,COUNTIF('商品マスタ'!$B$6:$B$1005,$W78)=0),N(U77)+1,N(U77))</f>
        <v/>
      </c>
      <c r="V78" s="19">
        <f>IF($B78="","",TEXT($B78,"0000"))</f>
        <v/>
      </c>
      <c r="W78" s="19">
        <f>IF($I78="","",IF(ISNUMBER($I78),TEXT($I78,"0"),$I78))</f>
        <v/>
      </c>
    </row>
    <row r="79">
      <c r="B79" s="25" t="n"/>
      <c r="I79" s="25" t="n"/>
      <c r="U79" s="19">
        <f>IF(AND($V79='設定'!$C$4,COUNTIF('商品マスタ'!$B$6:$B$1005,$W79)=0),N(U78)+1,N(U78))</f>
        <v/>
      </c>
      <c r="V79" s="19">
        <f>IF($B79="","",TEXT($B79,"0000"))</f>
        <v/>
      </c>
      <c r="W79" s="19">
        <f>IF($I79="","",IF(ISNUMBER($I79),TEXT($I79,"0"),$I79))</f>
        <v/>
      </c>
    </row>
    <row r="80">
      <c r="B80" s="25" t="n"/>
      <c r="I80" s="25" t="n"/>
      <c r="U80" s="19">
        <f>IF(AND($V80='設定'!$C$4,COUNTIF('商品マスタ'!$B$6:$B$1005,$W80)=0),N(U79)+1,N(U79))</f>
        <v/>
      </c>
      <c r="V80" s="19">
        <f>IF($B80="","",TEXT($B80,"0000"))</f>
        <v/>
      </c>
      <c r="W80" s="19">
        <f>IF($I80="","",IF(ISNUMBER($I80),TEXT($I80,"0"),$I80))</f>
        <v/>
      </c>
    </row>
    <row r="81">
      <c r="B81" s="25" t="n"/>
      <c r="I81" s="25" t="n"/>
      <c r="U81" s="19">
        <f>IF(AND($V81='設定'!$C$4,COUNTIF('商品マスタ'!$B$6:$B$1005,$W81)=0),N(U80)+1,N(U80))</f>
        <v/>
      </c>
      <c r="V81" s="19">
        <f>IF($B81="","",TEXT($B81,"0000"))</f>
        <v/>
      </c>
      <c r="W81" s="19">
        <f>IF($I81="","",IF(ISNUMBER($I81),TEXT($I81,"0"),$I81))</f>
        <v/>
      </c>
    </row>
    <row r="82">
      <c r="B82" s="25" t="n"/>
      <c r="I82" s="25" t="n"/>
      <c r="U82" s="19">
        <f>IF(AND($V82='設定'!$C$4,COUNTIF('商品マスタ'!$B$6:$B$1005,$W82)=0),N(U81)+1,N(U81))</f>
        <v/>
      </c>
      <c r="V82" s="19">
        <f>IF($B82="","",TEXT($B82,"0000"))</f>
        <v/>
      </c>
      <c r="W82" s="19">
        <f>IF($I82="","",IF(ISNUMBER($I82),TEXT($I82,"0"),$I82))</f>
        <v/>
      </c>
    </row>
    <row r="83">
      <c r="B83" s="25" t="n"/>
      <c r="I83" s="25" t="n"/>
      <c r="U83" s="19">
        <f>IF(AND($V83='設定'!$C$4,COUNTIF('商品マスタ'!$B$6:$B$1005,$W83)=0),N(U82)+1,N(U82))</f>
        <v/>
      </c>
      <c r="V83" s="19">
        <f>IF($B83="","",TEXT($B83,"0000"))</f>
        <v/>
      </c>
      <c r="W83" s="19">
        <f>IF($I83="","",IF(ISNUMBER($I83),TEXT($I83,"0"),$I83))</f>
        <v/>
      </c>
    </row>
    <row r="84">
      <c r="B84" s="25" t="n"/>
      <c r="I84" s="25" t="n"/>
      <c r="U84" s="19">
        <f>IF(AND($V84='設定'!$C$4,COUNTIF('商品マスタ'!$B$6:$B$1005,$W84)=0),N(U83)+1,N(U83))</f>
        <v/>
      </c>
      <c r="V84" s="19">
        <f>IF($B84="","",TEXT($B84,"0000"))</f>
        <v/>
      </c>
      <c r="W84" s="19">
        <f>IF($I84="","",IF(ISNUMBER($I84),TEXT($I84,"0"),$I84))</f>
        <v/>
      </c>
    </row>
    <row r="85">
      <c r="B85" s="25" t="n"/>
      <c r="I85" s="25" t="n"/>
      <c r="U85" s="19">
        <f>IF(AND($V85='設定'!$C$4,COUNTIF('商品マスタ'!$B$6:$B$1005,$W85)=0),N(U84)+1,N(U84))</f>
        <v/>
      </c>
      <c r="V85" s="19">
        <f>IF($B85="","",TEXT($B85,"0000"))</f>
        <v/>
      </c>
      <c r="W85" s="19">
        <f>IF($I85="","",IF(ISNUMBER($I85),TEXT($I85,"0"),$I85))</f>
        <v/>
      </c>
    </row>
    <row r="86">
      <c r="B86" s="25" t="n"/>
      <c r="I86" s="25" t="n"/>
      <c r="U86" s="19">
        <f>IF(AND($V86='設定'!$C$4,COUNTIF('商品マスタ'!$B$6:$B$1005,$W86)=0),N(U85)+1,N(U85))</f>
        <v/>
      </c>
      <c r="V86" s="19">
        <f>IF($B86="","",TEXT($B86,"0000"))</f>
        <v/>
      </c>
      <c r="W86" s="19">
        <f>IF($I86="","",IF(ISNUMBER($I86),TEXT($I86,"0"),$I86))</f>
        <v/>
      </c>
    </row>
    <row r="87">
      <c r="B87" s="25" t="n"/>
      <c r="I87" s="25" t="n"/>
      <c r="U87" s="19">
        <f>IF(AND($V87='設定'!$C$4,COUNTIF('商品マスタ'!$B$6:$B$1005,$W87)=0),N(U86)+1,N(U86))</f>
        <v/>
      </c>
      <c r="V87" s="19">
        <f>IF($B87="","",TEXT($B87,"0000"))</f>
        <v/>
      </c>
      <c r="W87" s="19">
        <f>IF($I87="","",IF(ISNUMBER($I87),TEXT($I87,"0"),$I87))</f>
        <v/>
      </c>
    </row>
    <row r="88">
      <c r="B88" s="25" t="n"/>
      <c r="I88" s="25" t="n"/>
      <c r="U88" s="19">
        <f>IF(AND($V88='設定'!$C$4,COUNTIF('商品マスタ'!$B$6:$B$1005,$W88)=0),N(U87)+1,N(U87))</f>
        <v/>
      </c>
      <c r="V88" s="19">
        <f>IF($B88="","",TEXT($B88,"0000"))</f>
        <v/>
      </c>
      <c r="W88" s="19">
        <f>IF($I88="","",IF(ISNUMBER($I88),TEXT($I88,"0"),$I88))</f>
        <v/>
      </c>
    </row>
    <row r="89">
      <c r="B89" s="25" t="n"/>
      <c r="I89" s="25" t="n"/>
      <c r="U89" s="19">
        <f>IF(AND($V89='設定'!$C$4,COUNTIF('商品マスタ'!$B$6:$B$1005,$W89)=0),N(U88)+1,N(U88))</f>
        <v/>
      </c>
      <c r="V89" s="19">
        <f>IF($B89="","",TEXT($B89,"0000"))</f>
        <v/>
      </c>
      <c r="W89" s="19">
        <f>IF($I89="","",IF(ISNUMBER($I89),TEXT($I89,"0"),$I89))</f>
        <v/>
      </c>
    </row>
    <row r="90">
      <c r="B90" s="25" t="n"/>
      <c r="I90" s="25" t="n"/>
      <c r="U90" s="19">
        <f>IF(AND($V90='設定'!$C$4,COUNTIF('商品マスタ'!$B$6:$B$1005,$W90)=0),N(U89)+1,N(U89))</f>
        <v/>
      </c>
      <c r="V90" s="19">
        <f>IF($B90="","",TEXT($B90,"0000"))</f>
        <v/>
      </c>
      <c r="W90" s="19">
        <f>IF($I90="","",IF(ISNUMBER($I90),TEXT($I90,"0"),$I90))</f>
        <v/>
      </c>
    </row>
    <row r="91">
      <c r="B91" s="25" t="n"/>
      <c r="I91" s="25" t="n"/>
      <c r="U91" s="19">
        <f>IF(AND($V91='設定'!$C$4,COUNTIF('商品マスタ'!$B$6:$B$1005,$W91)=0),N(U90)+1,N(U90))</f>
        <v/>
      </c>
      <c r="V91" s="19">
        <f>IF($B91="","",TEXT($B91,"0000"))</f>
        <v/>
      </c>
      <c r="W91" s="19">
        <f>IF($I91="","",IF(ISNUMBER($I91),TEXT($I91,"0"),$I91))</f>
        <v/>
      </c>
    </row>
    <row r="92">
      <c r="B92" s="25" t="n"/>
      <c r="I92" s="25" t="n"/>
      <c r="U92" s="19">
        <f>IF(AND($V92='設定'!$C$4,COUNTIF('商品マスタ'!$B$6:$B$1005,$W92)=0),N(U91)+1,N(U91))</f>
        <v/>
      </c>
      <c r="V92" s="19">
        <f>IF($B92="","",TEXT($B92,"0000"))</f>
        <v/>
      </c>
      <c r="W92" s="19">
        <f>IF($I92="","",IF(ISNUMBER($I92),TEXT($I92,"0"),$I92))</f>
        <v/>
      </c>
    </row>
    <row r="93">
      <c r="B93" s="25" t="n"/>
      <c r="I93" s="25" t="n"/>
      <c r="U93" s="19">
        <f>IF(AND($V93='設定'!$C$4,COUNTIF('商品マスタ'!$B$6:$B$1005,$W93)=0),N(U92)+1,N(U92))</f>
        <v/>
      </c>
      <c r="V93" s="19">
        <f>IF($B93="","",TEXT($B93,"0000"))</f>
        <v/>
      </c>
      <c r="W93" s="19">
        <f>IF($I93="","",IF(ISNUMBER($I93),TEXT($I93,"0"),$I93))</f>
        <v/>
      </c>
    </row>
    <row r="94">
      <c r="B94" s="25" t="n"/>
      <c r="I94" s="25" t="n"/>
      <c r="U94" s="19">
        <f>IF(AND($V94='設定'!$C$4,COUNTIF('商品マスタ'!$B$6:$B$1005,$W94)=0),N(U93)+1,N(U93))</f>
        <v/>
      </c>
      <c r="V94" s="19">
        <f>IF($B94="","",TEXT($B94,"0000"))</f>
        <v/>
      </c>
      <c r="W94" s="19">
        <f>IF($I94="","",IF(ISNUMBER($I94),TEXT($I94,"0"),$I94))</f>
        <v/>
      </c>
    </row>
    <row r="95">
      <c r="B95" s="25" t="n"/>
      <c r="I95" s="25" t="n"/>
      <c r="U95" s="19">
        <f>IF(AND($V95='設定'!$C$4,COUNTIF('商品マスタ'!$B$6:$B$1005,$W95)=0),N(U94)+1,N(U94))</f>
        <v/>
      </c>
      <c r="V95" s="19">
        <f>IF($B95="","",TEXT($B95,"0000"))</f>
        <v/>
      </c>
      <c r="W95" s="19">
        <f>IF($I95="","",IF(ISNUMBER($I95),TEXT($I95,"0"),$I95))</f>
        <v/>
      </c>
    </row>
    <row r="96">
      <c r="B96" s="25" t="n"/>
      <c r="I96" s="25" t="n"/>
      <c r="U96" s="19">
        <f>IF(AND($V96='設定'!$C$4,COUNTIF('商品マスタ'!$B$6:$B$1005,$W96)=0),N(U95)+1,N(U95))</f>
        <v/>
      </c>
      <c r="V96" s="19">
        <f>IF($B96="","",TEXT($B96,"0000"))</f>
        <v/>
      </c>
      <c r="W96" s="19">
        <f>IF($I96="","",IF(ISNUMBER($I96),TEXT($I96,"0"),$I96))</f>
        <v/>
      </c>
    </row>
    <row r="97">
      <c r="B97" s="25" t="n"/>
      <c r="I97" s="25" t="n"/>
      <c r="U97" s="19">
        <f>IF(AND($V97='設定'!$C$4,COUNTIF('商品マスタ'!$B$6:$B$1005,$W97)=0),N(U96)+1,N(U96))</f>
        <v/>
      </c>
      <c r="V97" s="19">
        <f>IF($B97="","",TEXT($B97,"0000"))</f>
        <v/>
      </c>
      <c r="W97" s="19">
        <f>IF($I97="","",IF(ISNUMBER($I97),TEXT($I97,"0"),$I97))</f>
        <v/>
      </c>
    </row>
    <row r="98">
      <c r="B98" s="25" t="n"/>
      <c r="I98" s="25" t="n"/>
      <c r="U98" s="19">
        <f>IF(AND($V98='設定'!$C$4,COUNTIF('商品マスタ'!$B$6:$B$1005,$W98)=0),N(U97)+1,N(U97))</f>
        <v/>
      </c>
      <c r="V98" s="19">
        <f>IF($B98="","",TEXT($B98,"0000"))</f>
        <v/>
      </c>
      <c r="W98" s="19">
        <f>IF($I98="","",IF(ISNUMBER($I98),TEXT($I98,"0"),$I98))</f>
        <v/>
      </c>
    </row>
    <row r="99">
      <c r="B99" s="25" t="n"/>
      <c r="I99" s="25" t="n"/>
      <c r="U99" s="19">
        <f>IF(AND($V99='設定'!$C$4,COUNTIF('商品マスタ'!$B$6:$B$1005,$W99)=0),N(U98)+1,N(U98))</f>
        <v/>
      </c>
      <c r="V99" s="19">
        <f>IF($B99="","",TEXT($B99,"0000"))</f>
        <v/>
      </c>
      <c r="W99" s="19">
        <f>IF($I99="","",IF(ISNUMBER($I99),TEXT($I99,"0"),$I99))</f>
        <v/>
      </c>
    </row>
    <row r="100">
      <c r="B100" s="25" t="n"/>
      <c r="I100" s="25" t="n"/>
      <c r="U100" s="19">
        <f>IF(AND($V100='設定'!$C$4,COUNTIF('商品マスタ'!$B$6:$B$1005,$W100)=0),N(U99)+1,N(U99))</f>
        <v/>
      </c>
      <c r="V100" s="19">
        <f>IF($B100="","",TEXT($B100,"0000"))</f>
        <v/>
      </c>
      <c r="W100" s="19">
        <f>IF($I100="","",IF(ISNUMBER($I100),TEXT($I100,"0"),$I100))</f>
        <v/>
      </c>
    </row>
    <row r="101">
      <c r="B101" s="25" t="n"/>
      <c r="I101" s="25" t="n"/>
      <c r="U101" s="19">
        <f>IF(AND($V101='設定'!$C$4,COUNTIF('商品マスタ'!$B$6:$B$1005,$W101)=0),N(U100)+1,N(U100))</f>
        <v/>
      </c>
      <c r="V101" s="19">
        <f>IF($B101="","",TEXT($B101,"0000"))</f>
        <v/>
      </c>
      <c r="W101" s="19">
        <f>IF($I101="","",IF(ISNUMBER($I101),TEXT($I101,"0"),$I101))</f>
        <v/>
      </c>
    </row>
    <row r="102">
      <c r="B102" s="25" t="n"/>
      <c r="I102" s="25" t="n"/>
      <c r="U102" s="19">
        <f>IF(AND($V102='設定'!$C$4,COUNTIF('商品マスタ'!$B$6:$B$1005,$W102)=0),N(U101)+1,N(U101))</f>
        <v/>
      </c>
      <c r="V102" s="19">
        <f>IF($B102="","",TEXT($B102,"0000"))</f>
        <v/>
      </c>
      <c r="W102" s="19">
        <f>IF($I102="","",IF(ISNUMBER($I102),TEXT($I102,"0"),$I102))</f>
        <v/>
      </c>
    </row>
    <row r="103">
      <c r="B103" s="25" t="n"/>
      <c r="I103" s="25" t="n"/>
      <c r="U103" s="19">
        <f>IF(AND($V103='設定'!$C$4,COUNTIF('商品マスタ'!$B$6:$B$1005,$W103)=0),N(U102)+1,N(U102))</f>
        <v/>
      </c>
      <c r="V103" s="19">
        <f>IF($B103="","",TEXT($B103,"0000"))</f>
        <v/>
      </c>
      <c r="W103" s="19">
        <f>IF($I103="","",IF(ISNUMBER($I103),TEXT($I103,"0"),$I103))</f>
        <v/>
      </c>
    </row>
    <row r="104">
      <c r="B104" s="25" t="n"/>
      <c r="I104" s="25" t="n"/>
      <c r="U104" s="19">
        <f>IF(AND($V104='設定'!$C$4,COUNTIF('商品マスタ'!$B$6:$B$1005,$W104)=0),N(U103)+1,N(U103))</f>
        <v/>
      </c>
      <c r="V104" s="19">
        <f>IF($B104="","",TEXT($B104,"0000"))</f>
        <v/>
      </c>
      <c r="W104" s="19">
        <f>IF($I104="","",IF(ISNUMBER($I104),TEXT($I104,"0"),$I104))</f>
        <v/>
      </c>
    </row>
    <row r="105">
      <c r="B105" s="25" t="n"/>
      <c r="I105" s="25" t="n"/>
      <c r="U105" s="19">
        <f>IF(AND($V105='設定'!$C$4,COUNTIF('商品マスタ'!$B$6:$B$1005,$W105)=0),N(U104)+1,N(U104))</f>
        <v/>
      </c>
      <c r="V105" s="19">
        <f>IF($B105="","",TEXT($B105,"0000"))</f>
        <v/>
      </c>
      <c r="W105" s="19">
        <f>IF($I105="","",IF(ISNUMBER($I105),TEXT($I105,"0"),$I105))</f>
        <v/>
      </c>
    </row>
    <row r="106">
      <c r="B106" s="25" t="n"/>
      <c r="I106" s="25" t="n"/>
      <c r="U106" s="19">
        <f>IF(AND($V106='設定'!$C$4,COUNTIF('商品マスタ'!$B$6:$B$1005,$W106)=0),N(U105)+1,N(U105))</f>
        <v/>
      </c>
      <c r="V106" s="19">
        <f>IF($B106="","",TEXT($B106,"0000"))</f>
        <v/>
      </c>
      <c r="W106" s="19">
        <f>IF($I106="","",IF(ISNUMBER($I106),TEXT($I106,"0"),$I106))</f>
        <v/>
      </c>
    </row>
    <row r="107">
      <c r="B107" s="25" t="n"/>
      <c r="I107" s="25" t="n"/>
      <c r="U107" s="19">
        <f>IF(AND($V107='設定'!$C$4,COUNTIF('商品マスタ'!$B$6:$B$1005,$W107)=0),N(U106)+1,N(U106))</f>
        <v/>
      </c>
      <c r="V107" s="19">
        <f>IF($B107="","",TEXT($B107,"0000"))</f>
        <v/>
      </c>
      <c r="W107" s="19">
        <f>IF($I107="","",IF(ISNUMBER($I107),TEXT($I107,"0"),$I107))</f>
        <v/>
      </c>
    </row>
    <row r="108">
      <c r="B108" s="25" t="n"/>
      <c r="I108" s="25" t="n"/>
      <c r="U108" s="19">
        <f>IF(AND($V108='設定'!$C$4,COUNTIF('商品マスタ'!$B$6:$B$1005,$W108)=0),N(U107)+1,N(U107))</f>
        <v/>
      </c>
      <c r="V108" s="19">
        <f>IF($B108="","",TEXT($B108,"0000"))</f>
        <v/>
      </c>
      <c r="W108" s="19">
        <f>IF($I108="","",IF(ISNUMBER($I108),TEXT($I108,"0"),$I108))</f>
        <v/>
      </c>
    </row>
    <row r="109">
      <c r="B109" s="25" t="n"/>
      <c r="I109" s="25" t="n"/>
      <c r="U109" s="19">
        <f>IF(AND($V109='設定'!$C$4,COUNTIF('商品マスタ'!$B$6:$B$1005,$W109)=0),N(U108)+1,N(U108))</f>
        <v/>
      </c>
      <c r="V109" s="19">
        <f>IF($B109="","",TEXT($B109,"0000"))</f>
        <v/>
      </c>
      <c r="W109" s="19">
        <f>IF($I109="","",IF(ISNUMBER($I109),TEXT($I109,"0"),$I109))</f>
        <v/>
      </c>
    </row>
    <row r="110">
      <c r="B110" s="25" t="n"/>
      <c r="I110" s="25" t="n"/>
      <c r="U110" s="19">
        <f>IF(AND($V110='設定'!$C$4,COUNTIF('商品マスタ'!$B$6:$B$1005,$W110)=0),N(U109)+1,N(U109))</f>
        <v/>
      </c>
      <c r="V110" s="19">
        <f>IF($B110="","",TEXT($B110,"0000"))</f>
        <v/>
      </c>
      <c r="W110" s="19">
        <f>IF($I110="","",IF(ISNUMBER($I110),TEXT($I110,"0"),$I110))</f>
        <v/>
      </c>
    </row>
    <row r="111">
      <c r="B111" s="25" t="n"/>
      <c r="I111" s="25" t="n"/>
      <c r="U111" s="19">
        <f>IF(AND($V111='設定'!$C$4,COUNTIF('商品マスタ'!$B$6:$B$1005,$W111)=0),N(U110)+1,N(U110))</f>
        <v/>
      </c>
      <c r="V111" s="19">
        <f>IF($B111="","",TEXT($B111,"0000"))</f>
        <v/>
      </c>
      <c r="W111" s="19">
        <f>IF($I111="","",IF(ISNUMBER($I111),TEXT($I111,"0"),$I111))</f>
        <v/>
      </c>
    </row>
    <row r="112">
      <c r="B112" s="25" t="n"/>
      <c r="I112" s="25" t="n"/>
      <c r="U112" s="19">
        <f>IF(AND($V112='設定'!$C$4,COUNTIF('商品マスタ'!$B$6:$B$1005,$W112)=0),N(U111)+1,N(U111))</f>
        <v/>
      </c>
      <c r="V112" s="19">
        <f>IF($B112="","",TEXT($B112,"0000"))</f>
        <v/>
      </c>
      <c r="W112" s="19">
        <f>IF($I112="","",IF(ISNUMBER($I112),TEXT($I112,"0"),$I112))</f>
        <v/>
      </c>
    </row>
    <row r="113">
      <c r="B113" s="25" t="n"/>
      <c r="I113" s="25" t="n"/>
      <c r="U113" s="19">
        <f>IF(AND($V113='設定'!$C$4,COUNTIF('商品マスタ'!$B$6:$B$1005,$W113)=0),N(U112)+1,N(U112))</f>
        <v/>
      </c>
      <c r="V113" s="19">
        <f>IF($B113="","",TEXT($B113,"0000"))</f>
        <v/>
      </c>
      <c r="W113" s="19">
        <f>IF($I113="","",IF(ISNUMBER($I113),TEXT($I113,"0"),$I113))</f>
        <v/>
      </c>
    </row>
    <row r="114">
      <c r="B114" s="25" t="n"/>
      <c r="I114" s="25" t="n"/>
      <c r="U114" s="19">
        <f>IF(AND($V114='設定'!$C$4,COUNTIF('商品マスタ'!$B$6:$B$1005,$W114)=0),N(U113)+1,N(U113))</f>
        <v/>
      </c>
      <c r="V114" s="19">
        <f>IF($B114="","",TEXT($B114,"0000"))</f>
        <v/>
      </c>
      <c r="W114" s="19">
        <f>IF($I114="","",IF(ISNUMBER($I114),TEXT($I114,"0"),$I114))</f>
        <v/>
      </c>
    </row>
    <row r="115">
      <c r="B115" s="25" t="n"/>
      <c r="I115" s="25" t="n"/>
      <c r="U115" s="19">
        <f>IF(AND($V115='設定'!$C$4,COUNTIF('商品マスタ'!$B$6:$B$1005,$W115)=0),N(U114)+1,N(U114))</f>
        <v/>
      </c>
      <c r="V115" s="19">
        <f>IF($B115="","",TEXT($B115,"0000"))</f>
        <v/>
      </c>
      <c r="W115" s="19">
        <f>IF($I115="","",IF(ISNUMBER($I115),TEXT($I115,"0"),$I115))</f>
        <v/>
      </c>
    </row>
    <row r="116">
      <c r="B116" s="25" t="n"/>
      <c r="I116" s="25" t="n"/>
      <c r="U116" s="19">
        <f>IF(AND($V116='設定'!$C$4,COUNTIF('商品マスタ'!$B$6:$B$1005,$W116)=0),N(U115)+1,N(U115))</f>
        <v/>
      </c>
      <c r="V116" s="19">
        <f>IF($B116="","",TEXT($B116,"0000"))</f>
        <v/>
      </c>
      <c r="W116" s="19">
        <f>IF($I116="","",IF(ISNUMBER($I116),TEXT($I116,"0"),$I116))</f>
        <v/>
      </c>
    </row>
    <row r="117">
      <c r="B117" s="25" t="n"/>
      <c r="I117" s="25" t="n"/>
      <c r="U117" s="19">
        <f>IF(AND($V117='設定'!$C$4,COUNTIF('商品マスタ'!$B$6:$B$1005,$W117)=0),N(U116)+1,N(U116))</f>
        <v/>
      </c>
      <c r="V117" s="19">
        <f>IF($B117="","",TEXT($B117,"0000"))</f>
        <v/>
      </c>
      <c r="W117" s="19">
        <f>IF($I117="","",IF(ISNUMBER($I117),TEXT($I117,"0"),$I117))</f>
        <v/>
      </c>
    </row>
    <row r="118">
      <c r="B118" s="25" t="n"/>
      <c r="I118" s="25" t="n"/>
      <c r="U118" s="19">
        <f>IF(AND($V118='設定'!$C$4,COUNTIF('商品マスタ'!$B$6:$B$1005,$W118)=0),N(U117)+1,N(U117))</f>
        <v/>
      </c>
      <c r="V118" s="19">
        <f>IF($B118="","",TEXT($B118,"0000"))</f>
        <v/>
      </c>
      <c r="W118" s="19">
        <f>IF($I118="","",IF(ISNUMBER($I118),TEXT($I118,"0"),$I118))</f>
        <v/>
      </c>
    </row>
    <row r="119">
      <c r="B119" s="25" t="n"/>
      <c r="I119" s="25" t="n"/>
      <c r="U119" s="19">
        <f>IF(AND($V119='設定'!$C$4,COUNTIF('商品マスタ'!$B$6:$B$1005,$W119)=0),N(U118)+1,N(U118))</f>
        <v/>
      </c>
      <c r="V119" s="19">
        <f>IF($B119="","",TEXT($B119,"0000"))</f>
        <v/>
      </c>
      <c r="W119" s="19">
        <f>IF($I119="","",IF(ISNUMBER($I119),TEXT($I119,"0"),$I119))</f>
        <v/>
      </c>
    </row>
    <row r="120">
      <c r="B120" s="25" t="n"/>
      <c r="I120" s="25" t="n"/>
      <c r="U120" s="19">
        <f>IF(AND($V120='設定'!$C$4,COUNTIF('商品マスタ'!$B$6:$B$1005,$W120)=0),N(U119)+1,N(U119))</f>
        <v/>
      </c>
      <c r="V120" s="19">
        <f>IF($B120="","",TEXT($B120,"0000"))</f>
        <v/>
      </c>
      <c r="W120" s="19">
        <f>IF($I120="","",IF(ISNUMBER($I120),TEXT($I120,"0"),$I120))</f>
        <v/>
      </c>
    </row>
    <row r="121">
      <c r="B121" s="25" t="n"/>
      <c r="I121" s="25" t="n"/>
      <c r="U121" s="19">
        <f>IF(AND($V121='設定'!$C$4,COUNTIF('商品マスタ'!$B$6:$B$1005,$W121)=0),N(U120)+1,N(U120))</f>
        <v/>
      </c>
      <c r="V121" s="19">
        <f>IF($B121="","",TEXT($B121,"0000"))</f>
        <v/>
      </c>
      <c r="W121" s="19">
        <f>IF($I121="","",IF(ISNUMBER($I121),TEXT($I121,"0"),$I121))</f>
        <v/>
      </c>
    </row>
    <row r="122">
      <c r="B122" s="25" t="n"/>
      <c r="I122" s="25" t="n"/>
      <c r="U122" s="19">
        <f>IF(AND($V122='設定'!$C$4,COUNTIF('商品マスタ'!$B$6:$B$1005,$W122)=0),N(U121)+1,N(U121))</f>
        <v/>
      </c>
      <c r="V122" s="19">
        <f>IF($B122="","",TEXT($B122,"0000"))</f>
        <v/>
      </c>
      <c r="W122" s="19">
        <f>IF($I122="","",IF(ISNUMBER($I122),TEXT($I122,"0"),$I122))</f>
        <v/>
      </c>
    </row>
    <row r="123">
      <c r="B123" s="25" t="n"/>
      <c r="I123" s="25" t="n"/>
      <c r="U123" s="19">
        <f>IF(AND($V123='設定'!$C$4,COUNTIF('商品マスタ'!$B$6:$B$1005,$W123)=0),N(U122)+1,N(U122))</f>
        <v/>
      </c>
      <c r="V123" s="19">
        <f>IF($B123="","",TEXT($B123,"0000"))</f>
        <v/>
      </c>
      <c r="W123" s="19">
        <f>IF($I123="","",IF(ISNUMBER($I123),TEXT($I123,"0"),$I123))</f>
        <v/>
      </c>
    </row>
    <row r="124">
      <c r="B124" s="25" t="n"/>
      <c r="I124" s="25" t="n"/>
      <c r="U124" s="19">
        <f>IF(AND($V124='設定'!$C$4,COUNTIF('商品マスタ'!$B$6:$B$1005,$W124)=0),N(U123)+1,N(U123))</f>
        <v/>
      </c>
      <c r="V124" s="19">
        <f>IF($B124="","",TEXT($B124,"0000"))</f>
        <v/>
      </c>
      <c r="W124" s="19">
        <f>IF($I124="","",IF(ISNUMBER($I124),TEXT($I124,"0"),$I124))</f>
        <v/>
      </c>
    </row>
    <row r="125">
      <c r="B125" s="25" t="n"/>
      <c r="I125" s="25" t="n"/>
      <c r="U125" s="19">
        <f>IF(AND($V125='設定'!$C$4,COUNTIF('商品マスタ'!$B$6:$B$1005,$W125)=0),N(U124)+1,N(U124))</f>
        <v/>
      </c>
      <c r="V125" s="19">
        <f>IF($B125="","",TEXT($B125,"0000"))</f>
        <v/>
      </c>
      <c r="W125" s="19">
        <f>IF($I125="","",IF(ISNUMBER($I125),TEXT($I125,"0"),$I125))</f>
        <v/>
      </c>
    </row>
    <row r="126">
      <c r="B126" s="25" t="n"/>
      <c r="I126" s="25" t="n"/>
      <c r="U126" s="19">
        <f>IF(AND($V126='設定'!$C$4,COUNTIF('商品マスタ'!$B$6:$B$1005,$W126)=0),N(U125)+1,N(U125))</f>
        <v/>
      </c>
      <c r="V126" s="19">
        <f>IF($B126="","",TEXT($B126,"0000"))</f>
        <v/>
      </c>
      <c r="W126" s="19">
        <f>IF($I126="","",IF(ISNUMBER($I126),TEXT($I126,"0"),$I126))</f>
        <v/>
      </c>
    </row>
    <row r="127">
      <c r="B127" s="25" t="n"/>
      <c r="I127" s="25" t="n"/>
      <c r="U127" s="19">
        <f>IF(AND($V127='設定'!$C$4,COUNTIF('商品マスタ'!$B$6:$B$1005,$W127)=0),N(U126)+1,N(U126))</f>
        <v/>
      </c>
      <c r="V127" s="19">
        <f>IF($B127="","",TEXT($B127,"0000"))</f>
        <v/>
      </c>
      <c r="W127" s="19">
        <f>IF($I127="","",IF(ISNUMBER($I127),TEXT($I127,"0"),$I127))</f>
        <v/>
      </c>
    </row>
    <row r="128">
      <c r="B128" s="25" t="n"/>
      <c r="I128" s="25" t="n"/>
      <c r="U128" s="19">
        <f>IF(AND($V128='設定'!$C$4,COUNTIF('商品マスタ'!$B$6:$B$1005,$W128)=0),N(U127)+1,N(U127))</f>
        <v/>
      </c>
      <c r="V128" s="19">
        <f>IF($B128="","",TEXT($B128,"0000"))</f>
        <v/>
      </c>
      <c r="W128" s="19">
        <f>IF($I128="","",IF(ISNUMBER($I128),TEXT($I128,"0"),$I128))</f>
        <v/>
      </c>
    </row>
    <row r="129">
      <c r="B129" s="25" t="n"/>
      <c r="I129" s="25" t="n"/>
      <c r="U129" s="19">
        <f>IF(AND($V129='設定'!$C$4,COUNTIF('商品マスタ'!$B$6:$B$1005,$W129)=0),N(U128)+1,N(U128))</f>
        <v/>
      </c>
      <c r="V129" s="19">
        <f>IF($B129="","",TEXT($B129,"0000"))</f>
        <v/>
      </c>
      <c r="W129" s="19">
        <f>IF($I129="","",IF(ISNUMBER($I129),TEXT($I129,"0"),$I129))</f>
        <v/>
      </c>
    </row>
    <row r="130">
      <c r="B130" s="25" t="n"/>
      <c r="I130" s="25" t="n"/>
      <c r="U130" s="19">
        <f>IF(AND($V130='設定'!$C$4,COUNTIF('商品マスタ'!$B$6:$B$1005,$W130)=0),N(U129)+1,N(U129))</f>
        <v/>
      </c>
      <c r="V130" s="19">
        <f>IF($B130="","",TEXT($B130,"0000"))</f>
        <v/>
      </c>
      <c r="W130" s="19">
        <f>IF($I130="","",IF(ISNUMBER($I130),TEXT($I130,"0"),$I130))</f>
        <v/>
      </c>
    </row>
    <row r="131">
      <c r="B131" s="25" t="n"/>
      <c r="I131" s="25" t="n"/>
      <c r="U131" s="19">
        <f>IF(AND($V131='設定'!$C$4,COUNTIF('商品マスタ'!$B$6:$B$1005,$W131)=0),N(U130)+1,N(U130))</f>
        <v/>
      </c>
      <c r="V131" s="19">
        <f>IF($B131="","",TEXT($B131,"0000"))</f>
        <v/>
      </c>
      <c r="W131" s="19">
        <f>IF($I131="","",IF(ISNUMBER($I131),TEXT($I131,"0"),$I131))</f>
        <v/>
      </c>
    </row>
    <row r="132">
      <c r="B132" s="25" t="n"/>
      <c r="I132" s="25" t="n"/>
      <c r="U132" s="19">
        <f>IF(AND($V132='設定'!$C$4,COUNTIF('商品マスタ'!$B$6:$B$1005,$W132)=0),N(U131)+1,N(U131))</f>
        <v/>
      </c>
      <c r="V132" s="19">
        <f>IF($B132="","",TEXT($B132,"0000"))</f>
        <v/>
      </c>
      <c r="W132" s="19">
        <f>IF($I132="","",IF(ISNUMBER($I132),TEXT($I132,"0"),$I132))</f>
        <v/>
      </c>
    </row>
    <row r="133">
      <c r="B133" s="25" t="n"/>
      <c r="I133" s="25" t="n"/>
      <c r="U133" s="19">
        <f>IF(AND($V133='設定'!$C$4,COUNTIF('商品マスタ'!$B$6:$B$1005,$W133)=0),N(U132)+1,N(U132))</f>
        <v/>
      </c>
      <c r="V133" s="19">
        <f>IF($B133="","",TEXT($B133,"0000"))</f>
        <v/>
      </c>
      <c r="W133" s="19">
        <f>IF($I133="","",IF(ISNUMBER($I133),TEXT($I133,"0"),$I133))</f>
        <v/>
      </c>
    </row>
    <row r="134">
      <c r="B134" s="25" t="n"/>
      <c r="I134" s="25" t="n"/>
      <c r="U134" s="19">
        <f>IF(AND($V134='設定'!$C$4,COUNTIF('商品マスタ'!$B$6:$B$1005,$W134)=0),N(U133)+1,N(U133))</f>
        <v/>
      </c>
      <c r="V134" s="19">
        <f>IF($B134="","",TEXT($B134,"0000"))</f>
        <v/>
      </c>
      <c r="W134" s="19">
        <f>IF($I134="","",IF(ISNUMBER($I134),TEXT($I134,"0"),$I134))</f>
        <v/>
      </c>
    </row>
    <row r="135">
      <c r="B135" s="25" t="n"/>
      <c r="I135" s="25" t="n"/>
      <c r="U135" s="19">
        <f>IF(AND($V135='設定'!$C$4,COUNTIF('商品マスタ'!$B$6:$B$1005,$W135)=0),N(U134)+1,N(U134))</f>
        <v/>
      </c>
      <c r="V135" s="19">
        <f>IF($B135="","",TEXT($B135,"0000"))</f>
        <v/>
      </c>
      <c r="W135" s="19">
        <f>IF($I135="","",IF(ISNUMBER($I135),TEXT($I135,"0"),$I135))</f>
        <v/>
      </c>
    </row>
    <row r="136">
      <c r="B136" s="25" t="n"/>
      <c r="I136" s="25" t="n"/>
      <c r="U136" s="19">
        <f>IF(AND($V136='設定'!$C$4,COUNTIF('商品マスタ'!$B$6:$B$1005,$W136)=0),N(U135)+1,N(U135))</f>
        <v/>
      </c>
      <c r="V136" s="19">
        <f>IF($B136="","",TEXT($B136,"0000"))</f>
        <v/>
      </c>
      <c r="W136" s="19">
        <f>IF($I136="","",IF(ISNUMBER($I136),TEXT($I136,"0"),$I136))</f>
        <v/>
      </c>
    </row>
    <row r="137">
      <c r="B137" s="25" t="n"/>
      <c r="I137" s="25" t="n"/>
      <c r="U137" s="19">
        <f>IF(AND($V137='設定'!$C$4,COUNTIF('商品マスタ'!$B$6:$B$1005,$W137)=0),N(U136)+1,N(U136))</f>
        <v/>
      </c>
      <c r="V137" s="19">
        <f>IF($B137="","",TEXT($B137,"0000"))</f>
        <v/>
      </c>
      <c r="W137" s="19">
        <f>IF($I137="","",IF(ISNUMBER($I137),TEXT($I137,"0"),$I137))</f>
        <v/>
      </c>
    </row>
    <row r="138">
      <c r="B138" s="25" t="n"/>
      <c r="I138" s="25" t="n"/>
      <c r="U138" s="19">
        <f>IF(AND($V138='設定'!$C$4,COUNTIF('商品マスタ'!$B$6:$B$1005,$W138)=0),N(U137)+1,N(U137))</f>
        <v/>
      </c>
      <c r="V138" s="19">
        <f>IF($B138="","",TEXT($B138,"0000"))</f>
        <v/>
      </c>
      <c r="W138" s="19">
        <f>IF($I138="","",IF(ISNUMBER($I138),TEXT($I138,"0"),$I138))</f>
        <v/>
      </c>
    </row>
    <row r="139">
      <c r="B139" s="25" t="n"/>
      <c r="I139" s="25" t="n"/>
      <c r="U139" s="19">
        <f>IF(AND($V139='設定'!$C$4,COUNTIF('商品マスタ'!$B$6:$B$1005,$W139)=0),N(U138)+1,N(U138))</f>
        <v/>
      </c>
      <c r="V139" s="19">
        <f>IF($B139="","",TEXT($B139,"0000"))</f>
        <v/>
      </c>
      <c r="W139" s="19">
        <f>IF($I139="","",IF(ISNUMBER($I139),TEXT($I139,"0"),$I139))</f>
        <v/>
      </c>
    </row>
    <row r="140">
      <c r="B140" s="25" t="n"/>
      <c r="I140" s="25" t="n"/>
      <c r="U140" s="19">
        <f>IF(AND($V140='設定'!$C$4,COUNTIF('商品マスタ'!$B$6:$B$1005,$W140)=0),N(U139)+1,N(U139))</f>
        <v/>
      </c>
      <c r="V140" s="19">
        <f>IF($B140="","",TEXT($B140,"0000"))</f>
        <v/>
      </c>
      <c r="W140" s="19">
        <f>IF($I140="","",IF(ISNUMBER($I140),TEXT($I140,"0"),$I140))</f>
        <v/>
      </c>
    </row>
    <row r="141">
      <c r="B141" s="25" t="n"/>
      <c r="I141" s="25" t="n"/>
      <c r="U141" s="19">
        <f>IF(AND($V141='設定'!$C$4,COUNTIF('商品マスタ'!$B$6:$B$1005,$W141)=0),N(U140)+1,N(U140))</f>
        <v/>
      </c>
      <c r="V141" s="19">
        <f>IF($B141="","",TEXT($B141,"0000"))</f>
        <v/>
      </c>
      <c r="W141" s="19">
        <f>IF($I141="","",IF(ISNUMBER($I141),TEXT($I141,"0"),$I141))</f>
        <v/>
      </c>
    </row>
    <row r="142">
      <c r="B142" s="25" t="n"/>
      <c r="I142" s="25" t="n"/>
      <c r="U142" s="19">
        <f>IF(AND($V142='設定'!$C$4,COUNTIF('商品マスタ'!$B$6:$B$1005,$W142)=0),N(U141)+1,N(U141))</f>
        <v/>
      </c>
      <c r="V142" s="19">
        <f>IF($B142="","",TEXT($B142,"0000"))</f>
        <v/>
      </c>
      <c r="W142" s="19">
        <f>IF($I142="","",IF(ISNUMBER($I142),TEXT($I142,"0"),$I142))</f>
        <v/>
      </c>
    </row>
    <row r="143">
      <c r="B143" s="25" t="n"/>
      <c r="I143" s="25" t="n"/>
      <c r="U143" s="19">
        <f>IF(AND($V143='設定'!$C$4,COUNTIF('商品マスタ'!$B$6:$B$1005,$W143)=0),N(U142)+1,N(U142))</f>
        <v/>
      </c>
      <c r="V143" s="19">
        <f>IF($B143="","",TEXT($B143,"0000"))</f>
        <v/>
      </c>
      <c r="W143" s="19">
        <f>IF($I143="","",IF(ISNUMBER($I143),TEXT($I143,"0"),$I143))</f>
        <v/>
      </c>
    </row>
    <row r="144">
      <c r="B144" s="25" t="n"/>
      <c r="I144" s="25" t="n"/>
      <c r="U144" s="19">
        <f>IF(AND($V144='設定'!$C$4,COUNTIF('商品マスタ'!$B$6:$B$1005,$W144)=0),N(U143)+1,N(U143))</f>
        <v/>
      </c>
      <c r="V144" s="19">
        <f>IF($B144="","",TEXT($B144,"0000"))</f>
        <v/>
      </c>
      <c r="W144" s="19">
        <f>IF($I144="","",IF(ISNUMBER($I144),TEXT($I144,"0"),$I144))</f>
        <v/>
      </c>
    </row>
    <row r="145">
      <c r="B145" s="25" t="n"/>
      <c r="I145" s="25" t="n"/>
      <c r="U145" s="19">
        <f>IF(AND($V145='設定'!$C$4,COUNTIF('商品マスタ'!$B$6:$B$1005,$W145)=0),N(U144)+1,N(U144))</f>
        <v/>
      </c>
      <c r="V145" s="19">
        <f>IF($B145="","",TEXT($B145,"0000"))</f>
        <v/>
      </c>
      <c r="W145" s="19">
        <f>IF($I145="","",IF(ISNUMBER($I145),TEXT($I145,"0"),$I145))</f>
        <v/>
      </c>
    </row>
    <row r="146">
      <c r="B146" s="25" t="n"/>
      <c r="I146" s="25" t="n"/>
      <c r="U146" s="19">
        <f>IF(AND($V146='設定'!$C$4,COUNTIF('商品マスタ'!$B$6:$B$1005,$W146)=0),N(U145)+1,N(U145))</f>
        <v/>
      </c>
      <c r="V146" s="19">
        <f>IF($B146="","",TEXT($B146,"0000"))</f>
        <v/>
      </c>
      <c r="W146" s="19">
        <f>IF($I146="","",IF(ISNUMBER($I146),TEXT($I146,"0"),$I146))</f>
        <v/>
      </c>
    </row>
    <row r="147">
      <c r="B147" s="25" t="n"/>
      <c r="I147" s="25" t="n"/>
      <c r="U147" s="19">
        <f>IF(AND($V147='設定'!$C$4,COUNTIF('商品マスタ'!$B$6:$B$1005,$W147)=0),N(U146)+1,N(U146))</f>
        <v/>
      </c>
      <c r="V147" s="19">
        <f>IF($B147="","",TEXT($B147,"0000"))</f>
        <v/>
      </c>
      <c r="W147" s="19">
        <f>IF($I147="","",IF(ISNUMBER($I147),TEXT($I147,"0"),$I147))</f>
        <v/>
      </c>
    </row>
    <row r="148">
      <c r="B148" s="25" t="n"/>
      <c r="I148" s="25" t="n"/>
      <c r="U148" s="19">
        <f>IF(AND($V148='設定'!$C$4,COUNTIF('商品マスタ'!$B$6:$B$1005,$W148)=0),N(U147)+1,N(U147))</f>
        <v/>
      </c>
      <c r="V148" s="19">
        <f>IF($B148="","",TEXT($B148,"0000"))</f>
        <v/>
      </c>
      <c r="W148" s="19">
        <f>IF($I148="","",IF(ISNUMBER($I148),TEXT($I148,"0"),$I148))</f>
        <v/>
      </c>
    </row>
    <row r="149">
      <c r="B149" s="25" t="n"/>
      <c r="I149" s="25" t="n"/>
      <c r="U149" s="19">
        <f>IF(AND($V149='設定'!$C$4,COUNTIF('商品マスタ'!$B$6:$B$1005,$W149)=0),N(U148)+1,N(U148))</f>
        <v/>
      </c>
      <c r="V149" s="19">
        <f>IF($B149="","",TEXT($B149,"0000"))</f>
        <v/>
      </c>
      <c r="W149" s="19">
        <f>IF($I149="","",IF(ISNUMBER($I149),TEXT($I149,"0"),$I149))</f>
        <v/>
      </c>
    </row>
    <row r="150">
      <c r="B150" s="25" t="n"/>
      <c r="I150" s="25" t="n"/>
      <c r="U150" s="19">
        <f>IF(AND($V150='設定'!$C$4,COUNTIF('商品マスタ'!$B$6:$B$1005,$W150)=0),N(U149)+1,N(U149))</f>
        <v/>
      </c>
      <c r="V150" s="19">
        <f>IF($B150="","",TEXT($B150,"0000"))</f>
        <v/>
      </c>
      <c r="W150" s="19">
        <f>IF($I150="","",IF(ISNUMBER($I150),TEXT($I150,"0"),$I150))</f>
        <v/>
      </c>
    </row>
    <row r="151">
      <c r="B151" s="25" t="n"/>
      <c r="I151" s="25" t="n"/>
      <c r="U151" s="19">
        <f>IF(AND($V151='設定'!$C$4,COUNTIF('商品マスタ'!$B$6:$B$1005,$W151)=0),N(U150)+1,N(U150))</f>
        <v/>
      </c>
      <c r="V151" s="19">
        <f>IF($B151="","",TEXT($B151,"0000"))</f>
        <v/>
      </c>
      <c r="W151" s="19">
        <f>IF($I151="","",IF(ISNUMBER($I151),TEXT($I151,"0"),$I151))</f>
        <v/>
      </c>
    </row>
    <row r="152">
      <c r="B152" s="25" t="n"/>
      <c r="I152" s="25" t="n"/>
      <c r="U152" s="19">
        <f>IF(AND($V152='設定'!$C$4,COUNTIF('商品マスタ'!$B$6:$B$1005,$W152)=0),N(U151)+1,N(U151))</f>
        <v/>
      </c>
      <c r="V152" s="19">
        <f>IF($B152="","",TEXT($B152,"0000"))</f>
        <v/>
      </c>
      <c r="W152" s="19">
        <f>IF($I152="","",IF(ISNUMBER($I152),TEXT($I152,"0"),$I152))</f>
        <v/>
      </c>
    </row>
    <row r="153">
      <c r="B153" s="25" t="n"/>
      <c r="I153" s="25" t="n"/>
      <c r="U153" s="19">
        <f>IF(AND($V153='設定'!$C$4,COUNTIF('商品マスタ'!$B$6:$B$1005,$W153)=0),N(U152)+1,N(U152))</f>
        <v/>
      </c>
      <c r="V153" s="19">
        <f>IF($B153="","",TEXT($B153,"0000"))</f>
        <v/>
      </c>
      <c r="W153" s="19">
        <f>IF($I153="","",IF(ISNUMBER($I153),TEXT($I153,"0"),$I153))</f>
        <v/>
      </c>
    </row>
    <row r="154">
      <c r="B154" s="25" t="n"/>
      <c r="I154" s="25" t="n"/>
      <c r="U154" s="19">
        <f>IF(AND($V154='設定'!$C$4,COUNTIF('商品マスタ'!$B$6:$B$1005,$W154)=0),N(U153)+1,N(U153))</f>
        <v/>
      </c>
      <c r="V154" s="19">
        <f>IF($B154="","",TEXT($B154,"0000"))</f>
        <v/>
      </c>
      <c r="W154" s="19">
        <f>IF($I154="","",IF(ISNUMBER($I154),TEXT($I154,"0"),$I154))</f>
        <v/>
      </c>
    </row>
    <row r="155">
      <c r="B155" s="25" t="n"/>
      <c r="I155" s="25" t="n"/>
      <c r="U155" s="19">
        <f>IF(AND($V155='設定'!$C$4,COUNTIF('商品マスタ'!$B$6:$B$1005,$W155)=0),N(U154)+1,N(U154))</f>
        <v/>
      </c>
      <c r="V155" s="19">
        <f>IF($B155="","",TEXT($B155,"0000"))</f>
        <v/>
      </c>
      <c r="W155" s="19">
        <f>IF($I155="","",IF(ISNUMBER($I155),TEXT($I155,"0"),$I155))</f>
        <v/>
      </c>
    </row>
    <row r="156">
      <c r="B156" s="25" t="n"/>
      <c r="I156" s="25" t="n"/>
      <c r="U156" s="19">
        <f>IF(AND($V156='設定'!$C$4,COUNTIF('商品マスタ'!$B$6:$B$1005,$W156)=0),N(U155)+1,N(U155))</f>
        <v/>
      </c>
      <c r="V156" s="19">
        <f>IF($B156="","",TEXT($B156,"0000"))</f>
        <v/>
      </c>
      <c r="W156" s="19">
        <f>IF($I156="","",IF(ISNUMBER($I156),TEXT($I156,"0"),$I156))</f>
        <v/>
      </c>
    </row>
    <row r="157">
      <c r="B157" s="25" t="n"/>
      <c r="I157" s="25" t="n"/>
      <c r="U157" s="19">
        <f>IF(AND($V157='設定'!$C$4,COUNTIF('商品マスタ'!$B$6:$B$1005,$W157)=0),N(U156)+1,N(U156))</f>
        <v/>
      </c>
      <c r="V157" s="19">
        <f>IF($B157="","",TEXT($B157,"0000"))</f>
        <v/>
      </c>
      <c r="W157" s="19">
        <f>IF($I157="","",IF(ISNUMBER($I157),TEXT($I157,"0"),$I157))</f>
        <v/>
      </c>
    </row>
    <row r="158">
      <c r="B158" s="25" t="n"/>
      <c r="I158" s="25" t="n"/>
      <c r="U158" s="19">
        <f>IF(AND($V158='設定'!$C$4,COUNTIF('商品マスタ'!$B$6:$B$1005,$W158)=0),N(U157)+1,N(U157))</f>
        <v/>
      </c>
      <c r="V158" s="19">
        <f>IF($B158="","",TEXT($B158,"0000"))</f>
        <v/>
      </c>
      <c r="W158" s="19">
        <f>IF($I158="","",IF(ISNUMBER($I158),TEXT($I158,"0"),$I158))</f>
        <v/>
      </c>
    </row>
    <row r="159">
      <c r="B159" s="25" t="n"/>
      <c r="I159" s="25" t="n"/>
      <c r="U159" s="19">
        <f>IF(AND($V159='設定'!$C$4,COUNTIF('商品マスタ'!$B$6:$B$1005,$W159)=0),N(U158)+1,N(U158))</f>
        <v/>
      </c>
      <c r="V159" s="19">
        <f>IF($B159="","",TEXT($B159,"0000"))</f>
        <v/>
      </c>
      <c r="W159" s="19">
        <f>IF($I159="","",IF(ISNUMBER($I159),TEXT($I159,"0"),$I159))</f>
        <v/>
      </c>
    </row>
    <row r="160">
      <c r="B160" s="25" t="n"/>
      <c r="I160" s="25" t="n"/>
      <c r="U160" s="19">
        <f>IF(AND($V160='設定'!$C$4,COUNTIF('商品マスタ'!$B$6:$B$1005,$W160)=0),N(U159)+1,N(U159))</f>
        <v/>
      </c>
      <c r="V160" s="19">
        <f>IF($B160="","",TEXT($B160,"0000"))</f>
        <v/>
      </c>
      <c r="W160" s="19">
        <f>IF($I160="","",IF(ISNUMBER($I160),TEXT($I160,"0"),$I160))</f>
        <v/>
      </c>
    </row>
    <row r="161">
      <c r="B161" s="25" t="n"/>
      <c r="I161" s="25" t="n"/>
      <c r="U161" s="19">
        <f>IF(AND($V161='設定'!$C$4,COUNTIF('商品マスタ'!$B$6:$B$1005,$W161)=0),N(U160)+1,N(U160))</f>
        <v/>
      </c>
      <c r="V161" s="19">
        <f>IF($B161="","",TEXT($B161,"0000"))</f>
        <v/>
      </c>
      <c r="W161" s="19">
        <f>IF($I161="","",IF(ISNUMBER($I161),TEXT($I161,"0"),$I161))</f>
        <v/>
      </c>
    </row>
    <row r="162">
      <c r="B162" s="25" t="n"/>
      <c r="I162" s="25" t="n"/>
      <c r="U162" s="19">
        <f>IF(AND($V162='設定'!$C$4,COUNTIF('商品マスタ'!$B$6:$B$1005,$W162)=0),N(U161)+1,N(U161))</f>
        <v/>
      </c>
      <c r="V162" s="19">
        <f>IF($B162="","",TEXT($B162,"0000"))</f>
        <v/>
      </c>
      <c r="W162" s="19">
        <f>IF($I162="","",IF(ISNUMBER($I162),TEXT($I162,"0"),$I162))</f>
        <v/>
      </c>
    </row>
    <row r="163">
      <c r="B163" s="25" t="n"/>
      <c r="I163" s="25" t="n"/>
      <c r="U163" s="19">
        <f>IF(AND($V163='設定'!$C$4,COUNTIF('商品マスタ'!$B$6:$B$1005,$W163)=0),N(U162)+1,N(U162))</f>
        <v/>
      </c>
      <c r="V163" s="19">
        <f>IF($B163="","",TEXT($B163,"0000"))</f>
        <v/>
      </c>
      <c r="W163" s="19">
        <f>IF($I163="","",IF(ISNUMBER($I163),TEXT($I163,"0"),$I163))</f>
        <v/>
      </c>
    </row>
    <row r="164">
      <c r="B164" s="25" t="n"/>
      <c r="I164" s="25" t="n"/>
      <c r="U164" s="19">
        <f>IF(AND($V164='設定'!$C$4,COUNTIF('商品マスタ'!$B$6:$B$1005,$W164)=0),N(U163)+1,N(U163))</f>
        <v/>
      </c>
      <c r="V164" s="19">
        <f>IF($B164="","",TEXT($B164,"0000"))</f>
        <v/>
      </c>
      <c r="W164" s="19">
        <f>IF($I164="","",IF(ISNUMBER($I164),TEXT($I164,"0"),$I164))</f>
        <v/>
      </c>
    </row>
    <row r="165">
      <c r="B165" s="25" t="n"/>
      <c r="I165" s="25" t="n"/>
      <c r="U165" s="19">
        <f>IF(AND($V165='設定'!$C$4,COUNTIF('商品マスタ'!$B$6:$B$1005,$W165)=0),N(U164)+1,N(U164))</f>
        <v/>
      </c>
      <c r="V165" s="19">
        <f>IF($B165="","",TEXT($B165,"0000"))</f>
        <v/>
      </c>
      <c r="W165" s="19">
        <f>IF($I165="","",IF(ISNUMBER($I165),TEXT($I165,"0"),$I165))</f>
        <v/>
      </c>
    </row>
    <row r="166">
      <c r="B166" s="25" t="n"/>
      <c r="I166" s="25" t="n"/>
      <c r="U166" s="19">
        <f>IF(AND($V166='設定'!$C$4,COUNTIF('商品マスタ'!$B$6:$B$1005,$W166)=0),N(U165)+1,N(U165))</f>
        <v/>
      </c>
      <c r="V166" s="19">
        <f>IF($B166="","",TEXT($B166,"0000"))</f>
        <v/>
      </c>
      <c r="W166" s="19">
        <f>IF($I166="","",IF(ISNUMBER($I166),TEXT($I166,"0"),$I166))</f>
        <v/>
      </c>
    </row>
    <row r="167">
      <c r="B167" s="25" t="n"/>
      <c r="I167" s="25" t="n"/>
      <c r="U167" s="19">
        <f>IF(AND($V167='設定'!$C$4,COUNTIF('商品マスタ'!$B$6:$B$1005,$W167)=0),N(U166)+1,N(U166))</f>
        <v/>
      </c>
      <c r="V167" s="19">
        <f>IF($B167="","",TEXT($B167,"0000"))</f>
        <v/>
      </c>
      <c r="W167" s="19">
        <f>IF($I167="","",IF(ISNUMBER($I167),TEXT($I167,"0"),$I167))</f>
        <v/>
      </c>
    </row>
    <row r="168">
      <c r="B168" s="25" t="n"/>
      <c r="I168" s="25" t="n"/>
      <c r="U168" s="19">
        <f>IF(AND($V168='設定'!$C$4,COUNTIF('商品マスタ'!$B$6:$B$1005,$W168)=0),N(U167)+1,N(U167))</f>
        <v/>
      </c>
      <c r="V168" s="19">
        <f>IF($B168="","",TEXT($B168,"0000"))</f>
        <v/>
      </c>
      <c r="W168" s="19">
        <f>IF($I168="","",IF(ISNUMBER($I168),TEXT($I168,"0"),$I168))</f>
        <v/>
      </c>
    </row>
    <row r="169">
      <c r="B169" s="25" t="n"/>
      <c r="I169" s="25" t="n"/>
      <c r="U169" s="19">
        <f>IF(AND($V169='設定'!$C$4,COUNTIF('商品マスタ'!$B$6:$B$1005,$W169)=0),N(U168)+1,N(U168))</f>
        <v/>
      </c>
      <c r="V169" s="19">
        <f>IF($B169="","",TEXT($B169,"0000"))</f>
        <v/>
      </c>
      <c r="W169" s="19">
        <f>IF($I169="","",IF(ISNUMBER($I169),TEXT($I169,"0"),$I169))</f>
        <v/>
      </c>
    </row>
    <row r="170">
      <c r="B170" s="25" t="n"/>
      <c r="I170" s="25" t="n"/>
      <c r="U170" s="19">
        <f>IF(AND($V170='設定'!$C$4,COUNTIF('商品マスタ'!$B$6:$B$1005,$W170)=0),N(U169)+1,N(U169))</f>
        <v/>
      </c>
      <c r="V170" s="19">
        <f>IF($B170="","",TEXT($B170,"0000"))</f>
        <v/>
      </c>
      <c r="W170" s="19">
        <f>IF($I170="","",IF(ISNUMBER($I170),TEXT($I170,"0"),$I170))</f>
        <v/>
      </c>
    </row>
    <row r="171">
      <c r="B171" s="25" t="n"/>
      <c r="I171" s="25" t="n"/>
      <c r="U171" s="19">
        <f>IF(AND($V171='設定'!$C$4,COUNTIF('商品マスタ'!$B$6:$B$1005,$W171)=0),N(U170)+1,N(U170))</f>
        <v/>
      </c>
      <c r="V171" s="19">
        <f>IF($B171="","",TEXT($B171,"0000"))</f>
        <v/>
      </c>
      <c r="W171" s="19">
        <f>IF($I171="","",IF(ISNUMBER($I171),TEXT($I171,"0"),$I171))</f>
        <v/>
      </c>
    </row>
    <row r="172">
      <c r="B172" s="25" t="n"/>
      <c r="I172" s="25" t="n"/>
      <c r="U172" s="19">
        <f>IF(AND($V172='設定'!$C$4,COUNTIF('商品マスタ'!$B$6:$B$1005,$W172)=0),N(U171)+1,N(U171))</f>
        <v/>
      </c>
      <c r="V172" s="19">
        <f>IF($B172="","",TEXT($B172,"0000"))</f>
        <v/>
      </c>
      <c r="W172" s="19">
        <f>IF($I172="","",IF(ISNUMBER($I172),TEXT($I172,"0"),$I172))</f>
        <v/>
      </c>
    </row>
    <row r="173">
      <c r="B173" s="25" t="n"/>
      <c r="I173" s="25" t="n"/>
      <c r="U173" s="19">
        <f>IF(AND($V173='設定'!$C$4,COUNTIF('商品マスタ'!$B$6:$B$1005,$W173)=0),N(U172)+1,N(U172))</f>
        <v/>
      </c>
      <c r="V173" s="19">
        <f>IF($B173="","",TEXT($B173,"0000"))</f>
        <v/>
      </c>
      <c r="W173" s="19">
        <f>IF($I173="","",IF(ISNUMBER($I173),TEXT($I173,"0"),$I173))</f>
        <v/>
      </c>
    </row>
    <row r="174">
      <c r="B174" s="25" t="n"/>
      <c r="I174" s="25" t="n"/>
      <c r="U174" s="19">
        <f>IF(AND($V174='設定'!$C$4,COUNTIF('商品マスタ'!$B$6:$B$1005,$W174)=0),N(U173)+1,N(U173))</f>
        <v/>
      </c>
      <c r="V174" s="19">
        <f>IF($B174="","",TEXT($B174,"0000"))</f>
        <v/>
      </c>
      <c r="W174" s="19">
        <f>IF($I174="","",IF(ISNUMBER($I174),TEXT($I174,"0"),$I174))</f>
        <v/>
      </c>
    </row>
    <row r="175">
      <c r="B175" s="25" t="n"/>
      <c r="I175" s="25" t="n"/>
      <c r="U175" s="19">
        <f>IF(AND($V175='設定'!$C$4,COUNTIF('商品マスタ'!$B$6:$B$1005,$W175)=0),N(U174)+1,N(U174))</f>
        <v/>
      </c>
      <c r="V175" s="19">
        <f>IF($B175="","",TEXT($B175,"0000"))</f>
        <v/>
      </c>
      <c r="W175" s="19">
        <f>IF($I175="","",IF(ISNUMBER($I175),TEXT($I175,"0"),$I175))</f>
        <v/>
      </c>
    </row>
    <row r="176">
      <c r="B176" s="25" t="n"/>
      <c r="I176" s="25" t="n"/>
      <c r="U176" s="19">
        <f>IF(AND($V176='設定'!$C$4,COUNTIF('商品マスタ'!$B$6:$B$1005,$W176)=0),N(U175)+1,N(U175))</f>
        <v/>
      </c>
      <c r="V176" s="19">
        <f>IF($B176="","",TEXT($B176,"0000"))</f>
        <v/>
      </c>
      <c r="W176" s="19">
        <f>IF($I176="","",IF(ISNUMBER($I176),TEXT($I176,"0"),$I176))</f>
        <v/>
      </c>
    </row>
    <row r="177">
      <c r="B177" s="25" t="n"/>
      <c r="I177" s="25" t="n"/>
      <c r="U177" s="19">
        <f>IF(AND($V177='設定'!$C$4,COUNTIF('商品マスタ'!$B$6:$B$1005,$W177)=0),N(U176)+1,N(U176))</f>
        <v/>
      </c>
      <c r="V177" s="19">
        <f>IF($B177="","",TEXT($B177,"0000"))</f>
        <v/>
      </c>
      <c r="W177" s="19">
        <f>IF($I177="","",IF(ISNUMBER($I177),TEXT($I177,"0"),$I177))</f>
        <v/>
      </c>
    </row>
    <row r="178">
      <c r="B178" s="25" t="n"/>
      <c r="I178" s="25" t="n"/>
      <c r="U178" s="19">
        <f>IF(AND($V178='設定'!$C$4,COUNTIF('商品マスタ'!$B$6:$B$1005,$W178)=0),N(U177)+1,N(U177))</f>
        <v/>
      </c>
      <c r="V178" s="19">
        <f>IF($B178="","",TEXT($B178,"0000"))</f>
        <v/>
      </c>
      <c r="W178" s="19">
        <f>IF($I178="","",IF(ISNUMBER($I178),TEXT($I178,"0"),$I178))</f>
        <v/>
      </c>
    </row>
    <row r="179">
      <c r="B179" s="25" t="n"/>
      <c r="I179" s="25" t="n"/>
      <c r="U179" s="19">
        <f>IF(AND($V179='設定'!$C$4,COUNTIF('商品マスタ'!$B$6:$B$1005,$W179)=0),N(U178)+1,N(U178))</f>
        <v/>
      </c>
      <c r="V179" s="19">
        <f>IF($B179="","",TEXT($B179,"0000"))</f>
        <v/>
      </c>
      <c r="W179" s="19">
        <f>IF($I179="","",IF(ISNUMBER($I179),TEXT($I179,"0"),$I179))</f>
        <v/>
      </c>
    </row>
    <row r="180">
      <c r="B180" s="25" t="n"/>
      <c r="I180" s="25" t="n"/>
      <c r="U180" s="19">
        <f>IF(AND($V180='設定'!$C$4,COUNTIF('商品マスタ'!$B$6:$B$1005,$W180)=0),N(U179)+1,N(U179))</f>
        <v/>
      </c>
      <c r="V180" s="19">
        <f>IF($B180="","",TEXT($B180,"0000"))</f>
        <v/>
      </c>
      <c r="W180" s="19">
        <f>IF($I180="","",IF(ISNUMBER($I180),TEXT($I180,"0"),$I180))</f>
        <v/>
      </c>
    </row>
    <row r="181">
      <c r="B181" s="25" t="n"/>
      <c r="I181" s="25" t="n"/>
      <c r="U181" s="19">
        <f>IF(AND($V181='設定'!$C$4,COUNTIF('商品マスタ'!$B$6:$B$1005,$W181)=0),N(U180)+1,N(U180))</f>
        <v/>
      </c>
      <c r="V181" s="19">
        <f>IF($B181="","",TEXT($B181,"0000"))</f>
        <v/>
      </c>
      <c r="W181" s="19">
        <f>IF($I181="","",IF(ISNUMBER($I181),TEXT($I181,"0"),$I181))</f>
        <v/>
      </c>
    </row>
    <row r="182">
      <c r="B182" s="25" t="n"/>
      <c r="I182" s="25" t="n"/>
      <c r="U182" s="19">
        <f>IF(AND($V182='設定'!$C$4,COUNTIF('商品マスタ'!$B$6:$B$1005,$W182)=0),N(U181)+1,N(U181))</f>
        <v/>
      </c>
      <c r="V182" s="19">
        <f>IF($B182="","",TEXT($B182,"0000"))</f>
        <v/>
      </c>
      <c r="W182" s="19">
        <f>IF($I182="","",IF(ISNUMBER($I182),TEXT($I182,"0"),$I182))</f>
        <v/>
      </c>
    </row>
    <row r="183">
      <c r="B183" s="25" t="n"/>
      <c r="I183" s="25" t="n"/>
      <c r="U183" s="19">
        <f>IF(AND($V183='設定'!$C$4,COUNTIF('商品マスタ'!$B$6:$B$1005,$W183)=0),N(U182)+1,N(U182))</f>
        <v/>
      </c>
      <c r="V183" s="19">
        <f>IF($B183="","",TEXT($B183,"0000"))</f>
        <v/>
      </c>
      <c r="W183" s="19">
        <f>IF($I183="","",IF(ISNUMBER($I183),TEXT($I183,"0"),$I183))</f>
        <v/>
      </c>
    </row>
    <row r="184">
      <c r="B184" s="25" t="n"/>
      <c r="I184" s="25" t="n"/>
      <c r="U184" s="19">
        <f>IF(AND($V184='設定'!$C$4,COUNTIF('商品マスタ'!$B$6:$B$1005,$W184)=0),N(U183)+1,N(U183))</f>
        <v/>
      </c>
      <c r="V184" s="19">
        <f>IF($B184="","",TEXT($B184,"0000"))</f>
        <v/>
      </c>
      <c r="W184" s="19">
        <f>IF($I184="","",IF(ISNUMBER($I184),TEXT($I184,"0"),$I184))</f>
        <v/>
      </c>
    </row>
    <row r="185">
      <c r="B185" s="25" t="n"/>
      <c r="I185" s="25" t="n"/>
      <c r="U185" s="19">
        <f>IF(AND($V185='設定'!$C$4,COUNTIF('商品マスタ'!$B$6:$B$1005,$W185)=0),N(U184)+1,N(U184))</f>
        <v/>
      </c>
      <c r="V185" s="19">
        <f>IF($B185="","",TEXT($B185,"0000"))</f>
        <v/>
      </c>
      <c r="W185" s="19">
        <f>IF($I185="","",IF(ISNUMBER($I185),TEXT($I185,"0"),$I185))</f>
        <v/>
      </c>
    </row>
    <row r="186">
      <c r="B186" s="25" t="n"/>
      <c r="I186" s="25" t="n"/>
      <c r="U186" s="19">
        <f>IF(AND($V186='設定'!$C$4,COUNTIF('商品マスタ'!$B$6:$B$1005,$W186)=0),N(U185)+1,N(U185))</f>
        <v/>
      </c>
      <c r="V186" s="19">
        <f>IF($B186="","",TEXT($B186,"0000"))</f>
        <v/>
      </c>
      <c r="W186" s="19">
        <f>IF($I186="","",IF(ISNUMBER($I186),TEXT($I186,"0"),$I186))</f>
        <v/>
      </c>
    </row>
    <row r="187">
      <c r="B187" s="25" t="n"/>
      <c r="I187" s="25" t="n"/>
      <c r="U187" s="19">
        <f>IF(AND($V187='設定'!$C$4,COUNTIF('商品マスタ'!$B$6:$B$1005,$W187)=0),N(U186)+1,N(U186))</f>
        <v/>
      </c>
      <c r="V187" s="19">
        <f>IF($B187="","",TEXT($B187,"0000"))</f>
        <v/>
      </c>
      <c r="W187" s="19">
        <f>IF($I187="","",IF(ISNUMBER($I187),TEXT($I187,"0"),$I187))</f>
        <v/>
      </c>
    </row>
    <row r="188">
      <c r="B188" s="25" t="n"/>
      <c r="I188" s="25" t="n"/>
      <c r="U188" s="19">
        <f>IF(AND($V188='設定'!$C$4,COUNTIF('商品マスタ'!$B$6:$B$1005,$W188)=0),N(U187)+1,N(U187))</f>
        <v/>
      </c>
      <c r="V188" s="19">
        <f>IF($B188="","",TEXT($B188,"0000"))</f>
        <v/>
      </c>
      <c r="W188" s="19">
        <f>IF($I188="","",IF(ISNUMBER($I188),TEXT($I188,"0"),$I188))</f>
        <v/>
      </c>
    </row>
    <row r="189">
      <c r="B189" s="25" t="n"/>
      <c r="I189" s="25" t="n"/>
      <c r="U189" s="19">
        <f>IF(AND($V189='設定'!$C$4,COUNTIF('商品マスタ'!$B$6:$B$1005,$W189)=0),N(U188)+1,N(U188))</f>
        <v/>
      </c>
      <c r="V189" s="19">
        <f>IF($B189="","",TEXT($B189,"0000"))</f>
        <v/>
      </c>
      <c r="W189" s="19">
        <f>IF($I189="","",IF(ISNUMBER($I189),TEXT($I189,"0"),$I189))</f>
        <v/>
      </c>
    </row>
    <row r="190">
      <c r="B190" s="25" t="n"/>
      <c r="I190" s="25" t="n"/>
      <c r="U190" s="19">
        <f>IF(AND($V190='設定'!$C$4,COUNTIF('商品マスタ'!$B$6:$B$1005,$W190)=0),N(U189)+1,N(U189))</f>
        <v/>
      </c>
      <c r="V190" s="19">
        <f>IF($B190="","",TEXT($B190,"0000"))</f>
        <v/>
      </c>
      <c r="W190" s="19">
        <f>IF($I190="","",IF(ISNUMBER($I190),TEXT($I190,"0"),$I190))</f>
        <v/>
      </c>
    </row>
    <row r="191">
      <c r="B191" s="25" t="n"/>
      <c r="I191" s="25" t="n"/>
      <c r="U191" s="19">
        <f>IF(AND($V191='設定'!$C$4,COUNTIF('商品マスタ'!$B$6:$B$1005,$W191)=0),N(U190)+1,N(U190))</f>
        <v/>
      </c>
      <c r="V191" s="19">
        <f>IF($B191="","",TEXT($B191,"0000"))</f>
        <v/>
      </c>
      <c r="W191" s="19">
        <f>IF($I191="","",IF(ISNUMBER($I191),TEXT($I191,"0"),$I191))</f>
        <v/>
      </c>
    </row>
    <row r="192">
      <c r="B192" s="25" t="n"/>
      <c r="I192" s="25" t="n"/>
      <c r="U192" s="19">
        <f>IF(AND($V192='設定'!$C$4,COUNTIF('商品マスタ'!$B$6:$B$1005,$W192)=0),N(U191)+1,N(U191))</f>
        <v/>
      </c>
      <c r="V192" s="19">
        <f>IF($B192="","",TEXT($B192,"0000"))</f>
        <v/>
      </c>
      <c r="W192" s="19">
        <f>IF($I192="","",IF(ISNUMBER($I192),TEXT($I192,"0"),$I192))</f>
        <v/>
      </c>
    </row>
    <row r="193">
      <c r="B193" s="25" t="n"/>
      <c r="I193" s="25" t="n"/>
      <c r="U193" s="19">
        <f>IF(AND($V193='設定'!$C$4,COUNTIF('商品マスタ'!$B$6:$B$1005,$W193)=0),N(U192)+1,N(U192))</f>
        <v/>
      </c>
      <c r="V193" s="19">
        <f>IF($B193="","",TEXT($B193,"0000"))</f>
        <v/>
      </c>
      <c r="W193" s="19">
        <f>IF($I193="","",IF(ISNUMBER($I193),TEXT($I193,"0"),$I193))</f>
        <v/>
      </c>
    </row>
    <row r="194">
      <c r="B194" s="25" t="n"/>
      <c r="I194" s="25" t="n"/>
      <c r="U194" s="19">
        <f>IF(AND($V194='設定'!$C$4,COUNTIF('商品マスタ'!$B$6:$B$1005,$W194)=0),N(U193)+1,N(U193))</f>
        <v/>
      </c>
      <c r="V194" s="19">
        <f>IF($B194="","",TEXT($B194,"0000"))</f>
        <v/>
      </c>
      <c r="W194" s="19">
        <f>IF($I194="","",IF(ISNUMBER($I194),TEXT($I194,"0"),$I194))</f>
        <v/>
      </c>
    </row>
    <row r="195">
      <c r="B195" s="25" t="n"/>
      <c r="I195" s="25" t="n"/>
      <c r="U195" s="19">
        <f>IF(AND($V195='設定'!$C$4,COUNTIF('商品マスタ'!$B$6:$B$1005,$W195)=0),N(U194)+1,N(U194))</f>
        <v/>
      </c>
      <c r="V195" s="19">
        <f>IF($B195="","",TEXT($B195,"0000"))</f>
        <v/>
      </c>
      <c r="W195" s="19">
        <f>IF($I195="","",IF(ISNUMBER($I195),TEXT($I195,"0"),$I195))</f>
        <v/>
      </c>
    </row>
    <row r="196">
      <c r="B196" s="25" t="n"/>
      <c r="I196" s="25" t="n"/>
      <c r="U196" s="19">
        <f>IF(AND($V196='設定'!$C$4,COUNTIF('商品マスタ'!$B$6:$B$1005,$W196)=0),N(U195)+1,N(U195))</f>
        <v/>
      </c>
      <c r="V196" s="19">
        <f>IF($B196="","",TEXT($B196,"0000"))</f>
        <v/>
      </c>
      <c r="W196" s="19">
        <f>IF($I196="","",IF(ISNUMBER($I196),TEXT($I196,"0"),$I196))</f>
        <v/>
      </c>
    </row>
    <row r="197">
      <c r="B197" s="25" t="n"/>
      <c r="I197" s="25" t="n"/>
      <c r="U197" s="19">
        <f>IF(AND($V197='設定'!$C$4,COUNTIF('商品マスタ'!$B$6:$B$1005,$W197)=0),N(U196)+1,N(U196))</f>
        <v/>
      </c>
      <c r="V197" s="19">
        <f>IF($B197="","",TEXT($B197,"0000"))</f>
        <v/>
      </c>
      <c r="W197" s="19">
        <f>IF($I197="","",IF(ISNUMBER($I197),TEXT($I197,"0"),$I197))</f>
        <v/>
      </c>
    </row>
    <row r="198">
      <c r="B198" s="25" t="n"/>
      <c r="I198" s="25" t="n"/>
      <c r="U198" s="19">
        <f>IF(AND($V198='設定'!$C$4,COUNTIF('商品マスタ'!$B$6:$B$1005,$W198)=0),N(U197)+1,N(U197))</f>
        <v/>
      </c>
      <c r="V198" s="19">
        <f>IF($B198="","",TEXT($B198,"0000"))</f>
        <v/>
      </c>
      <c r="W198" s="19">
        <f>IF($I198="","",IF(ISNUMBER($I198),TEXT($I198,"0"),$I198))</f>
        <v/>
      </c>
    </row>
    <row r="199">
      <c r="B199" s="25" t="n"/>
      <c r="I199" s="25" t="n"/>
      <c r="U199" s="19">
        <f>IF(AND($V199='設定'!$C$4,COUNTIF('商品マスタ'!$B$6:$B$1005,$W199)=0),N(U198)+1,N(U198))</f>
        <v/>
      </c>
      <c r="V199" s="19">
        <f>IF($B199="","",TEXT($B199,"0000"))</f>
        <v/>
      </c>
      <c r="W199" s="19">
        <f>IF($I199="","",IF(ISNUMBER($I199),TEXT($I199,"0"),$I199))</f>
        <v/>
      </c>
    </row>
    <row r="200">
      <c r="B200" s="25" t="n"/>
      <c r="I200" s="25" t="n"/>
      <c r="U200" s="19">
        <f>IF(AND($V200='設定'!$C$4,COUNTIF('商品マスタ'!$B$6:$B$1005,$W200)=0),N(U199)+1,N(U199))</f>
        <v/>
      </c>
      <c r="V200" s="19">
        <f>IF($B200="","",TEXT($B200,"0000"))</f>
        <v/>
      </c>
      <c r="W200" s="19">
        <f>IF($I200="","",IF(ISNUMBER($I200),TEXT($I200,"0"),$I200))</f>
        <v/>
      </c>
    </row>
    <row r="201">
      <c r="B201" s="25" t="n"/>
      <c r="I201" s="25" t="n"/>
      <c r="U201" s="19">
        <f>IF(AND($V201='設定'!$C$4,COUNTIF('商品マスタ'!$B$6:$B$1005,$W201)=0),N(U200)+1,N(U200))</f>
        <v/>
      </c>
      <c r="V201" s="19">
        <f>IF($B201="","",TEXT($B201,"0000"))</f>
        <v/>
      </c>
      <c r="W201" s="19">
        <f>IF($I201="","",IF(ISNUMBER($I201),TEXT($I201,"0"),$I201))</f>
        <v/>
      </c>
    </row>
    <row r="202">
      <c r="B202" s="25" t="n"/>
      <c r="I202" s="25" t="n"/>
      <c r="U202" s="19">
        <f>IF(AND($V202='設定'!$C$4,COUNTIF('商品マスタ'!$B$6:$B$1005,$W202)=0),N(U201)+1,N(U201))</f>
        <v/>
      </c>
      <c r="V202" s="19">
        <f>IF($B202="","",TEXT($B202,"0000"))</f>
        <v/>
      </c>
      <c r="W202" s="19">
        <f>IF($I202="","",IF(ISNUMBER($I202),TEXT($I202,"0"),$I202))</f>
        <v/>
      </c>
    </row>
    <row r="203">
      <c r="B203" s="25" t="n"/>
      <c r="I203" s="25" t="n"/>
      <c r="U203" s="19">
        <f>IF(AND($V203='設定'!$C$4,COUNTIF('商品マスタ'!$B$6:$B$1005,$W203)=0),N(U202)+1,N(U202))</f>
        <v/>
      </c>
      <c r="V203" s="19">
        <f>IF($B203="","",TEXT($B203,"0000"))</f>
        <v/>
      </c>
      <c r="W203" s="19">
        <f>IF($I203="","",IF(ISNUMBER($I203),TEXT($I203,"0"),$I203))</f>
        <v/>
      </c>
    </row>
    <row r="204">
      <c r="B204" s="25" t="n"/>
      <c r="I204" s="25" t="n"/>
      <c r="U204" s="19">
        <f>IF(AND($V204='設定'!$C$4,COUNTIF('商品マスタ'!$B$6:$B$1005,$W204)=0),N(U203)+1,N(U203))</f>
        <v/>
      </c>
      <c r="V204" s="19">
        <f>IF($B204="","",TEXT($B204,"0000"))</f>
        <v/>
      </c>
      <c r="W204" s="19">
        <f>IF($I204="","",IF(ISNUMBER($I204),TEXT($I204,"0"),$I204))</f>
        <v/>
      </c>
    </row>
    <row r="205">
      <c r="B205" s="25" t="n"/>
      <c r="I205" s="25" t="n"/>
      <c r="U205" s="19">
        <f>IF(AND($V205='設定'!$C$4,COUNTIF('商品マスタ'!$B$6:$B$1005,$W205)=0),N(U204)+1,N(U204))</f>
        <v/>
      </c>
      <c r="V205" s="19">
        <f>IF($B205="","",TEXT($B205,"0000"))</f>
        <v/>
      </c>
      <c r="W205" s="19">
        <f>IF($I205="","",IF(ISNUMBER($I205),TEXT($I205,"0"),$I205))</f>
        <v/>
      </c>
    </row>
    <row r="206">
      <c r="B206" s="25" t="n"/>
      <c r="I206" s="25" t="n"/>
      <c r="U206" s="19">
        <f>IF(AND($V206='設定'!$C$4,COUNTIF('商品マスタ'!$B$6:$B$1005,$W206)=0),N(U205)+1,N(U205))</f>
        <v/>
      </c>
      <c r="V206" s="19">
        <f>IF($B206="","",TEXT($B206,"0000"))</f>
        <v/>
      </c>
      <c r="W206" s="19">
        <f>IF($I206="","",IF(ISNUMBER($I206),TEXT($I206,"0"),$I206))</f>
        <v/>
      </c>
    </row>
    <row r="207">
      <c r="B207" s="25" t="n"/>
      <c r="I207" s="25" t="n"/>
      <c r="U207" s="19">
        <f>IF(AND($V207='設定'!$C$4,COUNTIF('商品マスタ'!$B$6:$B$1005,$W207)=0),N(U206)+1,N(U206))</f>
        <v/>
      </c>
      <c r="V207" s="19">
        <f>IF($B207="","",TEXT($B207,"0000"))</f>
        <v/>
      </c>
      <c r="W207" s="19">
        <f>IF($I207="","",IF(ISNUMBER($I207),TEXT($I207,"0"),$I207))</f>
        <v/>
      </c>
    </row>
    <row r="208">
      <c r="B208" s="25" t="n"/>
      <c r="I208" s="25" t="n"/>
      <c r="U208" s="19">
        <f>IF(AND($V208='設定'!$C$4,COUNTIF('商品マスタ'!$B$6:$B$1005,$W208)=0),N(U207)+1,N(U207))</f>
        <v/>
      </c>
      <c r="V208" s="19">
        <f>IF($B208="","",TEXT($B208,"0000"))</f>
        <v/>
      </c>
      <c r="W208" s="19">
        <f>IF($I208="","",IF(ISNUMBER($I208),TEXT($I208,"0"),$I208))</f>
        <v/>
      </c>
    </row>
    <row r="209">
      <c r="B209" s="25" t="n"/>
      <c r="I209" s="25" t="n"/>
      <c r="U209" s="19">
        <f>IF(AND($V209='設定'!$C$4,COUNTIF('商品マスタ'!$B$6:$B$1005,$W209)=0),N(U208)+1,N(U208))</f>
        <v/>
      </c>
      <c r="V209" s="19">
        <f>IF($B209="","",TEXT($B209,"0000"))</f>
        <v/>
      </c>
      <c r="W209" s="19">
        <f>IF($I209="","",IF(ISNUMBER($I209),TEXT($I209,"0"),$I209))</f>
        <v/>
      </c>
    </row>
    <row r="210">
      <c r="B210" s="25" t="n"/>
      <c r="I210" s="25" t="n"/>
      <c r="U210" s="19">
        <f>IF(AND($V210='設定'!$C$4,COUNTIF('商品マスタ'!$B$6:$B$1005,$W210)=0),N(U209)+1,N(U209))</f>
        <v/>
      </c>
      <c r="V210" s="19">
        <f>IF($B210="","",TEXT($B210,"0000"))</f>
        <v/>
      </c>
      <c r="W210" s="19">
        <f>IF($I210="","",IF(ISNUMBER($I210),TEXT($I210,"0"),$I210))</f>
        <v/>
      </c>
    </row>
    <row r="211">
      <c r="B211" s="25" t="n"/>
      <c r="I211" s="25" t="n"/>
      <c r="U211" s="19">
        <f>IF(AND($V211='設定'!$C$4,COUNTIF('商品マスタ'!$B$6:$B$1005,$W211)=0),N(U210)+1,N(U210))</f>
        <v/>
      </c>
      <c r="V211" s="19">
        <f>IF($B211="","",TEXT($B211,"0000"))</f>
        <v/>
      </c>
      <c r="W211" s="19">
        <f>IF($I211="","",IF(ISNUMBER($I211),TEXT($I211,"0"),$I211))</f>
        <v/>
      </c>
    </row>
    <row r="212">
      <c r="B212" s="25" t="n"/>
      <c r="I212" s="25" t="n"/>
      <c r="U212" s="19">
        <f>IF(AND($V212='設定'!$C$4,COUNTIF('商品マスタ'!$B$6:$B$1005,$W212)=0),N(U211)+1,N(U211))</f>
        <v/>
      </c>
      <c r="V212" s="19">
        <f>IF($B212="","",TEXT($B212,"0000"))</f>
        <v/>
      </c>
      <c r="W212" s="19">
        <f>IF($I212="","",IF(ISNUMBER($I212),TEXT($I212,"0"),$I212))</f>
        <v/>
      </c>
    </row>
    <row r="213">
      <c r="B213" s="25" t="n"/>
      <c r="I213" s="25" t="n"/>
      <c r="U213" s="19">
        <f>IF(AND($V213='設定'!$C$4,COUNTIF('商品マスタ'!$B$6:$B$1005,$W213)=0),N(U212)+1,N(U212))</f>
        <v/>
      </c>
      <c r="V213" s="19">
        <f>IF($B213="","",TEXT($B213,"0000"))</f>
        <v/>
      </c>
      <c r="W213" s="19">
        <f>IF($I213="","",IF(ISNUMBER($I213),TEXT($I213,"0"),$I213))</f>
        <v/>
      </c>
    </row>
    <row r="214">
      <c r="B214" s="25" t="n"/>
      <c r="I214" s="25" t="n"/>
      <c r="U214" s="19">
        <f>IF(AND($V214='設定'!$C$4,COUNTIF('商品マスタ'!$B$6:$B$1005,$W214)=0),N(U213)+1,N(U213))</f>
        <v/>
      </c>
      <c r="V214" s="19">
        <f>IF($B214="","",TEXT($B214,"0000"))</f>
        <v/>
      </c>
      <c r="W214" s="19">
        <f>IF($I214="","",IF(ISNUMBER($I214),TEXT($I214,"0"),$I214))</f>
        <v/>
      </c>
    </row>
    <row r="215">
      <c r="B215" s="25" t="n"/>
      <c r="I215" s="25" t="n"/>
      <c r="U215" s="19">
        <f>IF(AND($V215='設定'!$C$4,COUNTIF('商品マスタ'!$B$6:$B$1005,$W215)=0),N(U214)+1,N(U214))</f>
        <v/>
      </c>
      <c r="V215" s="19">
        <f>IF($B215="","",TEXT($B215,"0000"))</f>
        <v/>
      </c>
      <c r="W215" s="19">
        <f>IF($I215="","",IF(ISNUMBER($I215),TEXT($I215,"0"),$I215))</f>
        <v/>
      </c>
    </row>
    <row r="216">
      <c r="B216" s="25" t="n"/>
      <c r="I216" s="25" t="n"/>
      <c r="U216" s="19">
        <f>IF(AND($V216='設定'!$C$4,COUNTIF('商品マスタ'!$B$6:$B$1005,$W216)=0),N(U215)+1,N(U215))</f>
        <v/>
      </c>
      <c r="V216" s="19">
        <f>IF($B216="","",TEXT($B216,"0000"))</f>
        <v/>
      </c>
      <c r="W216" s="19">
        <f>IF($I216="","",IF(ISNUMBER($I216),TEXT($I216,"0"),$I216))</f>
        <v/>
      </c>
    </row>
    <row r="217">
      <c r="B217" s="25" t="n"/>
      <c r="I217" s="25" t="n"/>
      <c r="U217" s="19">
        <f>IF(AND($V217='設定'!$C$4,COUNTIF('商品マスタ'!$B$6:$B$1005,$W217)=0),N(U216)+1,N(U216))</f>
        <v/>
      </c>
      <c r="V217" s="19">
        <f>IF($B217="","",TEXT($B217,"0000"))</f>
        <v/>
      </c>
      <c r="W217" s="19">
        <f>IF($I217="","",IF(ISNUMBER($I217),TEXT($I217,"0"),$I217))</f>
        <v/>
      </c>
    </row>
    <row r="218">
      <c r="B218" s="25" t="n"/>
      <c r="I218" s="25" t="n"/>
      <c r="U218" s="19">
        <f>IF(AND($V218='設定'!$C$4,COUNTIF('商品マスタ'!$B$6:$B$1005,$W218)=0),N(U217)+1,N(U217))</f>
        <v/>
      </c>
      <c r="V218" s="19">
        <f>IF($B218="","",TEXT($B218,"0000"))</f>
        <v/>
      </c>
      <c r="W218" s="19">
        <f>IF($I218="","",IF(ISNUMBER($I218),TEXT($I218,"0"),$I218))</f>
        <v/>
      </c>
    </row>
    <row r="219">
      <c r="B219" s="25" t="n"/>
      <c r="I219" s="25" t="n"/>
      <c r="U219" s="19">
        <f>IF(AND($V219='設定'!$C$4,COUNTIF('商品マスタ'!$B$6:$B$1005,$W219)=0),N(U218)+1,N(U218))</f>
        <v/>
      </c>
      <c r="V219" s="19">
        <f>IF($B219="","",TEXT($B219,"0000"))</f>
        <v/>
      </c>
      <c r="W219" s="19">
        <f>IF($I219="","",IF(ISNUMBER($I219),TEXT($I219,"0"),$I219))</f>
        <v/>
      </c>
    </row>
    <row r="220">
      <c r="B220" s="25" t="n"/>
      <c r="I220" s="25" t="n"/>
      <c r="U220" s="19">
        <f>IF(AND($V220='設定'!$C$4,COUNTIF('商品マスタ'!$B$6:$B$1005,$W220)=0),N(U219)+1,N(U219))</f>
        <v/>
      </c>
      <c r="V220" s="19">
        <f>IF($B220="","",TEXT($B220,"0000"))</f>
        <v/>
      </c>
      <c r="W220" s="19">
        <f>IF($I220="","",IF(ISNUMBER($I220),TEXT($I220,"0"),$I220))</f>
        <v/>
      </c>
    </row>
    <row r="221">
      <c r="B221" s="25" t="n"/>
      <c r="I221" s="25" t="n"/>
      <c r="U221" s="19">
        <f>IF(AND($V221='設定'!$C$4,COUNTIF('商品マスタ'!$B$6:$B$1005,$W221)=0),N(U220)+1,N(U220))</f>
        <v/>
      </c>
      <c r="V221" s="19">
        <f>IF($B221="","",TEXT($B221,"0000"))</f>
        <v/>
      </c>
      <c r="W221" s="19">
        <f>IF($I221="","",IF(ISNUMBER($I221),TEXT($I221,"0"),$I221))</f>
        <v/>
      </c>
    </row>
    <row r="222">
      <c r="B222" s="25" t="n"/>
      <c r="I222" s="25" t="n"/>
      <c r="U222" s="19">
        <f>IF(AND($V222='設定'!$C$4,COUNTIF('商品マスタ'!$B$6:$B$1005,$W222)=0),N(U221)+1,N(U221))</f>
        <v/>
      </c>
      <c r="V222" s="19">
        <f>IF($B222="","",TEXT($B222,"0000"))</f>
        <v/>
      </c>
      <c r="W222" s="19">
        <f>IF($I222="","",IF(ISNUMBER($I222),TEXT($I222,"0"),$I222))</f>
        <v/>
      </c>
    </row>
    <row r="223">
      <c r="B223" s="25" t="n"/>
      <c r="I223" s="25" t="n"/>
      <c r="U223" s="19">
        <f>IF(AND($V223='設定'!$C$4,COUNTIF('商品マスタ'!$B$6:$B$1005,$W223)=0),N(U222)+1,N(U222))</f>
        <v/>
      </c>
      <c r="V223" s="19">
        <f>IF($B223="","",TEXT($B223,"0000"))</f>
        <v/>
      </c>
      <c r="W223" s="19">
        <f>IF($I223="","",IF(ISNUMBER($I223),TEXT($I223,"0"),$I223))</f>
        <v/>
      </c>
    </row>
    <row r="224">
      <c r="B224" s="25" t="n"/>
      <c r="I224" s="25" t="n"/>
      <c r="U224" s="19">
        <f>IF(AND($V224='設定'!$C$4,COUNTIF('商品マスタ'!$B$6:$B$1005,$W224)=0),N(U223)+1,N(U223))</f>
        <v/>
      </c>
      <c r="V224" s="19">
        <f>IF($B224="","",TEXT($B224,"0000"))</f>
        <v/>
      </c>
      <c r="W224" s="19">
        <f>IF($I224="","",IF(ISNUMBER($I224),TEXT($I224,"0"),$I224))</f>
        <v/>
      </c>
    </row>
    <row r="225">
      <c r="B225" s="25" t="n"/>
      <c r="I225" s="25" t="n"/>
      <c r="U225" s="19">
        <f>IF(AND($V225='設定'!$C$4,COUNTIF('商品マスタ'!$B$6:$B$1005,$W225)=0),N(U224)+1,N(U224))</f>
        <v/>
      </c>
      <c r="V225" s="19">
        <f>IF($B225="","",TEXT($B225,"0000"))</f>
        <v/>
      </c>
      <c r="W225" s="19">
        <f>IF($I225="","",IF(ISNUMBER($I225),TEXT($I225,"0"),$I225))</f>
        <v/>
      </c>
    </row>
    <row r="226">
      <c r="B226" s="25" t="n"/>
      <c r="I226" s="25" t="n"/>
      <c r="U226" s="19">
        <f>IF(AND($V226='設定'!$C$4,COUNTIF('商品マスタ'!$B$6:$B$1005,$W226)=0),N(U225)+1,N(U225))</f>
        <v/>
      </c>
      <c r="V226" s="19">
        <f>IF($B226="","",TEXT($B226,"0000"))</f>
        <v/>
      </c>
      <c r="W226" s="19">
        <f>IF($I226="","",IF(ISNUMBER($I226),TEXT($I226,"0"),$I226))</f>
        <v/>
      </c>
    </row>
    <row r="227">
      <c r="B227" s="25" t="n"/>
      <c r="I227" s="25" t="n"/>
      <c r="U227" s="19">
        <f>IF(AND($V227='設定'!$C$4,COUNTIF('商品マスタ'!$B$6:$B$1005,$W227)=0),N(U226)+1,N(U226))</f>
        <v/>
      </c>
      <c r="V227" s="19">
        <f>IF($B227="","",TEXT($B227,"0000"))</f>
        <v/>
      </c>
      <c r="W227" s="19">
        <f>IF($I227="","",IF(ISNUMBER($I227),TEXT($I227,"0"),$I227))</f>
        <v/>
      </c>
    </row>
    <row r="228">
      <c r="B228" s="25" t="n"/>
      <c r="I228" s="25" t="n"/>
      <c r="U228" s="19">
        <f>IF(AND($V228='設定'!$C$4,COUNTIF('商品マスタ'!$B$6:$B$1005,$W228)=0),N(U227)+1,N(U227))</f>
        <v/>
      </c>
      <c r="V228" s="19">
        <f>IF($B228="","",TEXT($B228,"0000"))</f>
        <v/>
      </c>
      <c r="W228" s="19">
        <f>IF($I228="","",IF(ISNUMBER($I228),TEXT($I228,"0"),$I228))</f>
        <v/>
      </c>
    </row>
    <row r="229">
      <c r="B229" s="25" t="n"/>
      <c r="I229" s="25" t="n"/>
      <c r="U229" s="19">
        <f>IF(AND($V229='設定'!$C$4,COUNTIF('商品マスタ'!$B$6:$B$1005,$W229)=0),N(U228)+1,N(U228))</f>
        <v/>
      </c>
      <c r="V229" s="19">
        <f>IF($B229="","",TEXT($B229,"0000"))</f>
        <v/>
      </c>
      <c r="W229" s="19">
        <f>IF($I229="","",IF(ISNUMBER($I229),TEXT($I229,"0"),$I229))</f>
        <v/>
      </c>
    </row>
    <row r="230">
      <c r="B230" s="25" t="n"/>
      <c r="I230" s="25" t="n"/>
      <c r="U230" s="19">
        <f>IF(AND($V230='設定'!$C$4,COUNTIF('商品マスタ'!$B$6:$B$1005,$W230)=0),N(U229)+1,N(U229))</f>
        <v/>
      </c>
      <c r="V230" s="19">
        <f>IF($B230="","",TEXT($B230,"0000"))</f>
        <v/>
      </c>
      <c r="W230" s="19">
        <f>IF($I230="","",IF(ISNUMBER($I230),TEXT($I230,"0"),$I230))</f>
        <v/>
      </c>
    </row>
    <row r="231">
      <c r="B231" s="25" t="n"/>
      <c r="I231" s="25" t="n"/>
      <c r="U231" s="19">
        <f>IF(AND($V231='設定'!$C$4,COUNTIF('商品マスタ'!$B$6:$B$1005,$W231)=0),N(U230)+1,N(U230))</f>
        <v/>
      </c>
      <c r="V231" s="19">
        <f>IF($B231="","",TEXT($B231,"0000"))</f>
        <v/>
      </c>
      <c r="W231" s="19">
        <f>IF($I231="","",IF(ISNUMBER($I231),TEXT($I231,"0"),$I231))</f>
        <v/>
      </c>
    </row>
    <row r="232">
      <c r="B232" s="25" t="n"/>
      <c r="I232" s="25" t="n"/>
      <c r="U232" s="19">
        <f>IF(AND($V232='設定'!$C$4,COUNTIF('商品マスタ'!$B$6:$B$1005,$W232)=0),N(U231)+1,N(U231))</f>
        <v/>
      </c>
      <c r="V232" s="19">
        <f>IF($B232="","",TEXT($B232,"0000"))</f>
        <v/>
      </c>
      <c r="W232" s="19">
        <f>IF($I232="","",IF(ISNUMBER($I232),TEXT($I232,"0"),$I232))</f>
        <v/>
      </c>
    </row>
    <row r="233">
      <c r="B233" s="25" t="n"/>
      <c r="I233" s="25" t="n"/>
      <c r="U233" s="19">
        <f>IF(AND($V233='設定'!$C$4,COUNTIF('商品マスタ'!$B$6:$B$1005,$W233)=0),N(U232)+1,N(U232))</f>
        <v/>
      </c>
      <c r="V233" s="19">
        <f>IF($B233="","",TEXT($B233,"0000"))</f>
        <v/>
      </c>
      <c r="W233" s="19">
        <f>IF($I233="","",IF(ISNUMBER($I233),TEXT($I233,"0"),$I233))</f>
        <v/>
      </c>
    </row>
    <row r="234">
      <c r="B234" s="25" t="n"/>
      <c r="I234" s="25" t="n"/>
      <c r="U234" s="19">
        <f>IF(AND($V234='設定'!$C$4,COUNTIF('商品マスタ'!$B$6:$B$1005,$W234)=0),N(U233)+1,N(U233))</f>
        <v/>
      </c>
      <c r="V234" s="19">
        <f>IF($B234="","",TEXT($B234,"0000"))</f>
        <v/>
      </c>
      <c r="W234" s="19">
        <f>IF($I234="","",IF(ISNUMBER($I234),TEXT($I234,"0"),$I234))</f>
        <v/>
      </c>
    </row>
    <row r="235">
      <c r="B235" s="25" t="n"/>
      <c r="I235" s="25" t="n"/>
      <c r="U235" s="19">
        <f>IF(AND($V235='設定'!$C$4,COUNTIF('商品マスタ'!$B$6:$B$1005,$W235)=0),N(U234)+1,N(U234))</f>
        <v/>
      </c>
      <c r="V235" s="19">
        <f>IF($B235="","",TEXT($B235,"0000"))</f>
        <v/>
      </c>
      <c r="W235" s="19">
        <f>IF($I235="","",IF(ISNUMBER($I235),TEXT($I235,"0"),$I235))</f>
        <v/>
      </c>
    </row>
    <row r="236">
      <c r="B236" s="25" t="n"/>
      <c r="I236" s="25" t="n"/>
      <c r="U236" s="19">
        <f>IF(AND($V236='設定'!$C$4,COUNTIF('商品マスタ'!$B$6:$B$1005,$W236)=0),N(U235)+1,N(U235))</f>
        <v/>
      </c>
      <c r="V236" s="19">
        <f>IF($B236="","",TEXT($B236,"0000"))</f>
        <v/>
      </c>
      <c r="W236" s="19">
        <f>IF($I236="","",IF(ISNUMBER($I236),TEXT($I236,"0"),$I236))</f>
        <v/>
      </c>
    </row>
    <row r="237">
      <c r="B237" s="25" t="n"/>
      <c r="I237" s="25" t="n"/>
      <c r="U237" s="19">
        <f>IF(AND($V237='設定'!$C$4,COUNTIF('商品マスタ'!$B$6:$B$1005,$W237)=0),N(U236)+1,N(U236))</f>
        <v/>
      </c>
      <c r="V237" s="19">
        <f>IF($B237="","",TEXT($B237,"0000"))</f>
        <v/>
      </c>
      <c r="W237" s="19">
        <f>IF($I237="","",IF(ISNUMBER($I237),TEXT($I237,"0"),$I237))</f>
        <v/>
      </c>
    </row>
    <row r="238">
      <c r="B238" s="25" t="n"/>
      <c r="I238" s="25" t="n"/>
      <c r="U238" s="19">
        <f>IF(AND($V238='設定'!$C$4,COUNTIF('商品マスタ'!$B$6:$B$1005,$W238)=0),N(U237)+1,N(U237))</f>
        <v/>
      </c>
      <c r="V238" s="19">
        <f>IF($B238="","",TEXT($B238,"0000"))</f>
        <v/>
      </c>
      <c r="W238" s="19">
        <f>IF($I238="","",IF(ISNUMBER($I238),TEXT($I238,"0"),$I238))</f>
        <v/>
      </c>
    </row>
    <row r="239">
      <c r="B239" s="25" t="n"/>
      <c r="I239" s="25" t="n"/>
      <c r="U239" s="19">
        <f>IF(AND($V239='設定'!$C$4,COUNTIF('商品マスタ'!$B$6:$B$1005,$W239)=0),N(U238)+1,N(U238))</f>
        <v/>
      </c>
      <c r="V239" s="19">
        <f>IF($B239="","",TEXT($B239,"0000"))</f>
        <v/>
      </c>
      <c r="W239" s="19">
        <f>IF($I239="","",IF(ISNUMBER($I239),TEXT($I239,"0"),$I239))</f>
        <v/>
      </c>
    </row>
    <row r="240">
      <c r="B240" s="25" t="n"/>
      <c r="I240" s="25" t="n"/>
      <c r="U240" s="19">
        <f>IF(AND($V240='設定'!$C$4,COUNTIF('商品マスタ'!$B$6:$B$1005,$W240)=0),N(U239)+1,N(U239))</f>
        <v/>
      </c>
      <c r="V240" s="19">
        <f>IF($B240="","",TEXT($B240,"0000"))</f>
        <v/>
      </c>
      <c r="W240" s="19">
        <f>IF($I240="","",IF(ISNUMBER($I240),TEXT($I240,"0"),$I240))</f>
        <v/>
      </c>
    </row>
    <row r="241">
      <c r="B241" s="25" t="n"/>
      <c r="I241" s="25" t="n"/>
      <c r="U241" s="19">
        <f>IF(AND($V241='設定'!$C$4,COUNTIF('商品マスタ'!$B$6:$B$1005,$W241)=0),N(U240)+1,N(U240))</f>
        <v/>
      </c>
      <c r="V241" s="19">
        <f>IF($B241="","",TEXT($B241,"0000"))</f>
        <v/>
      </c>
      <c r="W241" s="19">
        <f>IF($I241="","",IF(ISNUMBER($I241),TEXT($I241,"0"),$I241))</f>
        <v/>
      </c>
    </row>
    <row r="242">
      <c r="B242" s="25" t="n"/>
      <c r="I242" s="25" t="n"/>
      <c r="U242" s="19">
        <f>IF(AND($V242='設定'!$C$4,COUNTIF('商品マスタ'!$B$6:$B$1005,$W242)=0),N(U241)+1,N(U241))</f>
        <v/>
      </c>
      <c r="V242" s="19">
        <f>IF($B242="","",TEXT($B242,"0000"))</f>
        <v/>
      </c>
      <c r="W242" s="19">
        <f>IF($I242="","",IF(ISNUMBER($I242),TEXT($I242,"0"),$I242))</f>
        <v/>
      </c>
    </row>
    <row r="243">
      <c r="B243" s="25" t="n"/>
      <c r="I243" s="25" t="n"/>
      <c r="U243" s="19">
        <f>IF(AND($V243='設定'!$C$4,COUNTIF('商品マスタ'!$B$6:$B$1005,$W243)=0),N(U242)+1,N(U242))</f>
        <v/>
      </c>
      <c r="V243" s="19">
        <f>IF($B243="","",TEXT($B243,"0000"))</f>
        <v/>
      </c>
      <c r="W243" s="19">
        <f>IF($I243="","",IF(ISNUMBER($I243),TEXT($I243,"0"),$I243))</f>
        <v/>
      </c>
    </row>
    <row r="244">
      <c r="B244" s="25" t="n"/>
      <c r="I244" s="25" t="n"/>
      <c r="U244" s="19">
        <f>IF(AND($V244='設定'!$C$4,COUNTIF('商品マスタ'!$B$6:$B$1005,$W244)=0),N(U243)+1,N(U243))</f>
        <v/>
      </c>
      <c r="V244" s="19">
        <f>IF($B244="","",TEXT($B244,"0000"))</f>
        <v/>
      </c>
      <c r="W244" s="19">
        <f>IF($I244="","",IF(ISNUMBER($I244),TEXT($I244,"0"),$I244))</f>
        <v/>
      </c>
    </row>
    <row r="245">
      <c r="B245" s="25" t="n"/>
      <c r="I245" s="25" t="n"/>
      <c r="U245" s="19">
        <f>IF(AND($V245='設定'!$C$4,COUNTIF('商品マスタ'!$B$6:$B$1005,$W245)=0),N(U244)+1,N(U244))</f>
        <v/>
      </c>
      <c r="V245" s="19">
        <f>IF($B245="","",TEXT($B245,"0000"))</f>
        <v/>
      </c>
      <c r="W245" s="19">
        <f>IF($I245="","",IF(ISNUMBER($I245),TEXT($I245,"0"),$I245))</f>
        <v/>
      </c>
    </row>
    <row r="246">
      <c r="B246" s="25" t="n"/>
      <c r="I246" s="25" t="n"/>
      <c r="U246" s="19">
        <f>IF(AND($V246='設定'!$C$4,COUNTIF('商品マスタ'!$B$6:$B$1005,$W246)=0),N(U245)+1,N(U245))</f>
        <v/>
      </c>
      <c r="V246" s="19">
        <f>IF($B246="","",TEXT($B246,"0000"))</f>
        <v/>
      </c>
      <c r="W246" s="19">
        <f>IF($I246="","",IF(ISNUMBER($I246),TEXT($I246,"0"),$I246))</f>
        <v/>
      </c>
    </row>
    <row r="247">
      <c r="B247" s="25" t="n"/>
      <c r="I247" s="25" t="n"/>
      <c r="U247" s="19">
        <f>IF(AND($V247='設定'!$C$4,COUNTIF('商品マスタ'!$B$6:$B$1005,$W247)=0),N(U246)+1,N(U246))</f>
        <v/>
      </c>
      <c r="V247" s="19">
        <f>IF($B247="","",TEXT($B247,"0000"))</f>
        <v/>
      </c>
      <c r="W247" s="19">
        <f>IF($I247="","",IF(ISNUMBER($I247),TEXT($I247,"0"),$I247))</f>
        <v/>
      </c>
    </row>
    <row r="248">
      <c r="B248" s="25" t="n"/>
      <c r="I248" s="25" t="n"/>
      <c r="U248" s="19">
        <f>IF(AND($V248='設定'!$C$4,COUNTIF('商品マスタ'!$B$6:$B$1005,$W248)=0),N(U247)+1,N(U247))</f>
        <v/>
      </c>
      <c r="V248" s="19">
        <f>IF($B248="","",TEXT($B248,"0000"))</f>
        <v/>
      </c>
      <c r="W248" s="19">
        <f>IF($I248="","",IF(ISNUMBER($I248),TEXT($I248,"0"),$I248))</f>
        <v/>
      </c>
    </row>
    <row r="249">
      <c r="B249" s="25" t="n"/>
      <c r="I249" s="25" t="n"/>
      <c r="U249" s="19">
        <f>IF(AND($V249='設定'!$C$4,COUNTIF('商品マスタ'!$B$6:$B$1005,$W249)=0),N(U248)+1,N(U248))</f>
        <v/>
      </c>
      <c r="V249" s="19">
        <f>IF($B249="","",TEXT($B249,"0000"))</f>
        <v/>
      </c>
      <c r="W249" s="19">
        <f>IF($I249="","",IF(ISNUMBER($I249),TEXT($I249,"0"),$I249))</f>
        <v/>
      </c>
    </row>
    <row r="250">
      <c r="B250" s="25" t="n"/>
      <c r="I250" s="25" t="n"/>
      <c r="U250" s="19">
        <f>IF(AND($V250='設定'!$C$4,COUNTIF('商品マスタ'!$B$6:$B$1005,$W250)=0),N(U249)+1,N(U249))</f>
        <v/>
      </c>
      <c r="V250" s="19">
        <f>IF($B250="","",TEXT($B250,"0000"))</f>
        <v/>
      </c>
      <c r="W250" s="19">
        <f>IF($I250="","",IF(ISNUMBER($I250),TEXT($I250,"0"),$I250))</f>
        <v/>
      </c>
    </row>
    <row r="251">
      <c r="B251" s="25" t="n"/>
      <c r="I251" s="25" t="n"/>
      <c r="U251" s="19">
        <f>IF(AND($V251='設定'!$C$4,COUNTIF('商品マスタ'!$B$6:$B$1005,$W251)=0),N(U250)+1,N(U250))</f>
        <v/>
      </c>
      <c r="V251" s="19">
        <f>IF($B251="","",TEXT($B251,"0000"))</f>
        <v/>
      </c>
      <c r="W251" s="19">
        <f>IF($I251="","",IF(ISNUMBER($I251),TEXT($I251,"0"),$I251))</f>
        <v/>
      </c>
    </row>
    <row r="252">
      <c r="B252" s="25" t="n"/>
      <c r="I252" s="25" t="n"/>
      <c r="U252" s="19">
        <f>IF(AND($V252='設定'!$C$4,COUNTIF('商品マスタ'!$B$6:$B$1005,$W252)=0),N(U251)+1,N(U251))</f>
        <v/>
      </c>
      <c r="V252" s="19">
        <f>IF($B252="","",TEXT($B252,"0000"))</f>
        <v/>
      </c>
      <c r="W252" s="19">
        <f>IF($I252="","",IF(ISNUMBER($I252),TEXT($I252,"0"),$I252))</f>
        <v/>
      </c>
    </row>
    <row r="253">
      <c r="B253" s="25" t="n"/>
      <c r="I253" s="25" t="n"/>
      <c r="U253" s="19">
        <f>IF(AND($V253='設定'!$C$4,COUNTIF('商品マスタ'!$B$6:$B$1005,$W253)=0),N(U252)+1,N(U252))</f>
        <v/>
      </c>
      <c r="V253" s="19">
        <f>IF($B253="","",TEXT($B253,"0000"))</f>
        <v/>
      </c>
      <c r="W253" s="19">
        <f>IF($I253="","",IF(ISNUMBER($I253),TEXT($I253,"0"),$I253))</f>
        <v/>
      </c>
    </row>
    <row r="254">
      <c r="B254" s="25" t="n"/>
      <c r="I254" s="25" t="n"/>
      <c r="U254" s="19">
        <f>IF(AND($V254='設定'!$C$4,COUNTIF('商品マスタ'!$B$6:$B$1005,$W254)=0),N(U253)+1,N(U253))</f>
        <v/>
      </c>
      <c r="V254" s="19">
        <f>IF($B254="","",TEXT($B254,"0000"))</f>
        <v/>
      </c>
      <c r="W254" s="19">
        <f>IF($I254="","",IF(ISNUMBER($I254),TEXT($I254,"0"),$I254))</f>
        <v/>
      </c>
    </row>
    <row r="255">
      <c r="B255" s="25" t="n"/>
      <c r="I255" s="25" t="n"/>
      <c r="U255" s="19">
        <f>IF(AND($V255='設定'!$C$4,COUNTIF('商品マスタ'!$B$6:$B$1005,$W255)=0),N(U254)+1,N(U254))</f>
        <v/>
      </c>
      <c r="V255" s="19">
        <f>IF($B255="","",TEXT($B255,"0000"))</f>
        <v/>
      </c>
      <c r="W255" s="19">
        <f>IF($I255="","",IF(ISNUMBER($I255),TEXT($I255,"0"),$I255))</f>
        <v/>
      </c>
    </row>
    <row r="256">
      <c r="B256" s="25" t="n"/>
      <c r="I256" s="25" t="n"/>
      <c r="U256" s="19">
        <f>IF(AND($V256='設定'!$C$4,COUNTIF('商品マスタ'!$B$6:$B$1005,$W256)=0),N(U255)+1,N(U255))</f>
        <v/>
      </c>
      <c r="V256" s="19">
        <f>IF($B256="","",TEXT($B256,"0000"))</f>
        <v/>
      </c>
      <c r="W256" s="19">
        <f>IF($I256="","",IF(ISNUMBER($I256),TEXT($I256,"0"),$I256))</f>
        <v/>
      </c>
    </row>
    <row r="257">
      <c r="B257" s="25" t="n"/>
      <c r="I257" s="25" t="n"/>
      <c r="U257" s="19">
        <f>IF(AND($V257='設定'!$C$4,COUNTIF('商品マスタ'!$B$6:$B$1005,$W257)=0),N(U256)+1,N(U256))</f>
        <v/>
      </c>
      <c r="V257" s="19">
        <f>IF($B257="","",TEXT($B257,"0000"))</f>
        <v/>
      </c>
      <c r="W257" s="19">
        <f>IF($I257="","",IF(ISNUMBER($I257),TEXT($I257,"0"),$I257))</f>
        <v/>
      </c>
    </row>
    <row r="258">
      <c r="B258" s="25" t="n"/>
      <c r="I258" s="25" t="n"/>
      <c r="U258" s="19">
        <f>IF(AND($V258='設定'!$C$4,COUNTIF('商品マスタ'!$B$6:$B$1005,$W258)=0),N(U257)+1,N(U257))</f>
        <v/>
      </c>
      <c r="V258" s="19">
        <f>IF($B258="","",TEXT($B258,"0000"))</f>
        <v/>
      </c>
      <c r="W258" s="19">
        <f>IF($I258="","",IF(ISNUMBER($I258),TEXT($I258,"0"),$I258))</f>
        <v/>
      </c>
    </row>
    <row r="259">
      <c r="B259" s="25" t="n"/>
      <c r="I259" s="25" t="n"/>
      <c r="U259" s="19">
        <f>IF(AND($V259='設定'!$C$4,COUNTIF('商品マスタ'!$B$6:$B$1005,$W259)=0),N(U258)+1,N(U258))</f>
        <v/>
      </c>
      <c r="V259" s="19">
        <f>IF($B259="","",TEXT($B259,"0000"))</f>
        <v/>
      </c>
      <c r="W259" s="19">
        <f>IF($I259="","",IF(ISNUMBER($I259),TEXT($I259,"0"),$I259))</f>
        <v/>
      </c>
    </row>
    <row r="260">
      <c r="B260" s="25" t="n"/>
      <c r="I260" s="25" t="n"/>
      <c r="U260" s="19">
        <f>IF(AND($V260='設定'!$C$4,COUNTIF('商品マスタ'!$B$6:$B$1005,$W260)=0),N(U259)+1,N(U259))</f>
        <v/>
      </c>
      <c r="V260" s="19">
        <f>IF($B260="","",TEXT($B260,"0000"))</f>
        <v/>
      </c>
      <c r="W260" s="19">
        <f>IF($I260="","",IF(ISNUMBER($I260),TEXT($I260,"0"),$I260))</f>
        <v/>
      </c>
    </row>
    <row r="261">
      <c r="B261" s="25" t="n"/>
      <c r="I261" s="25" t="n"/>
      <c r="U261" s="19">
        <f>IF(AND($V261='設定'!$C$4,COUNTIF('商品マスタ'!$B$6:$B$1005,$W261)=0),N(U260)+1,N(U260))</f>
        <v/>
      </c>
      <c r="V261" s="19">
        <f>IF($B261="","",TEXT($B261,"0000"))</f>
        <v/>
      </c>
      <c r="W261" s="19">
        <f>IF($I261="","",IF(ISNUMBER($I261),TEXT($I261,"0"),$I261))</f>
        <v/>
      </c>
    </row>
    <row r="262">
      <c r="B262" s="25" t="n"/>
      <c r="I262" s="25" t="n"/>
      <c r="U262" s="19">
        <f>IF(AND($V262='設定'!$C$4,COUNTIF('商品マスタ'!$B$6:$B$1005,$W262)=0),N(U261)+1,N(U261))</f>
        <v/>
      </c>
      <c r="V262" s="19">
        <f>IF($B262="","",TEXT($B262,"0000"))</f>
        <v/>
      </c>
      <c r="W262" s="19">
        <f>IF($I262="","",IF(ISNUMBER($I262),TEXT($I262,"0"),$I262))</f>
        <v/>
      </c>
    </row>
    <row r="263">
      <c r="B263" s="25" t="n"/>
      <c r="I263" s="25" t="n"/>
      <c r="U263" s="19">
        <f>IF(AND($V263='設定'!$C$4,COUNTIF('商品マスタ'!$B$6:$B$1005,$W263)=0),N(U262)+1,N(U262))</f>
        <v/>
      </c>
      <c r="V263" s="19">
        <f>IF($B263="","",TEXT($B263,"0000"))</f>
        <v/>
      </c>
      <c r="W263" s="19">
        <f>IF($I263="","",IF(ISNUMBER($I263),TEXT($I263,"0"),$I263))</f>
        <v/>
      </c>
    </row>
    <row r="264">
      <c r="B264" s="25" t="n"/>
      <c r="I264" s="25" t="n"/>
      <c r="U264" s="19">
        <f>IF(AND($V264='設定'!$C$4,COUNTIF('商品マスタ'!$B$6:$B$1005,$W264)=0),N(U263)+1,N(U263))</f>
        <v/>
      </c>
      <c r="V264" s="19">
        <f>IF($B264="","",TEXT($B264,"0000"))</f>
        <v/>
      </c>
      <c r="W264" s="19">
        <f>IF($I264="","",IF(ISNUMBER($I264),TEXT($I264,"0"),$I264))</f>
        <v/>
      </c>
    </row>
    <row r="265">
      <c r="B265" s="25" t="n"/>
      <c r="I265" s="25" t="n"/>
      <c r="U265" s="19">
        <f>IF(AND($V265='設定'!$C$4,COUNTIF('商品マスタ'!$B$6:$B$1005,$W265)=0),N(U264)+1,N(U264))</f>
        <v/>
      </c>
      <c r="V265" s="19">
        <f>IF($B265="","",TEXT($B265,"0000"))</f>
        <v/>
      </c>
      <c r="W265" s="19">
        <f>IF($I265="","",IF(ISNUMBER($I265),TEXT($I265,"0"),$I265))</f>
        <v/>
      </c>
    </row>
    <row r="266">
      <c r="B266" s="25" t="n"/>
      <c r="I266" s="25" t="n"/>
      <c r="U266" s="19">
        <f>IF(AND($V266='設定'!$C$4,COUNTIF('商品マスタ'!$B$6:$B$1005,$W266)=0),N(U265)+1,N(U265))</f>
        <v/>
      </c>
      <c r="V266" s="19">
        <f>IF($B266="","",TEXT($B266,"0000"))</f>
        <v/>
      </c>
      <c r="W266" s="19">
        <f>IF($I266="","",IF(ISNUMBER($I266),TEXT($I266,"0"),$I266))</f>
        <v/>
      </c>
    </row>
    <row r="267">
      <c r="B267" s="25" t="n"/>
      <c r="I267" s="25" t="n"/>
      <c r="U267" s="19">
        <f>IF(AND($V267='設定'!$C$4,COUNTIF('商品マスタ'!$B$6:$B$1005,$W267)=0),N(U266)+1,N(U266))</f>
        <v/>
      </c>
      <c r="V267" s="19">
        <f>IF($B267="","",TEXT($B267,"0000"))</f>
        <v/>
      </c>
      <c r="W267" s="19">
        <f>IF($I267="","",IF(ISNUMBER($I267),TEXT($I267,"0"),$I267))</f>
        <v/>
      </c>
    </row>
    <row r="268">
      <c r="B268" s="25" t="n"/>
      <c r="I268" s="25" t="n"/>
      <c r="U268" s="19">
        <f>IF(AND($V268='設定'!$C$4,COUNTIF('商品マスタ'!$B$6:$B$1005,$W268)=0),N(U267)+1,N(U267))</f>
        <v/>
      </c>
      <c r="V268" s="19">
        <f>IF($B268="","",TEXT($B268,"0000"))</f>
        <v/>
      </c>
      <c r="W268" s="19">
        <f>IF($I268="","",IF(ISNUMBER($I268),TEXT($I268,"0"),$I268))</f>
        <v/>
      </c>
    </row>
    <row r="269">
      <c r="B269" s="25" t="n"/>
      <c r="I269" s="25" t="n"/>
      <c r="U269" s="19">
        <f>IF(AND($V269='設定'!$C$4,COUNTIF('商品マスタ'!$B$6:$B$1005,$W269)=0),N(U268)+1,N(U268))</f>
        <v/>
      </c>
      <c r="V269" s="19">
        <f>IF($B269="","",TEXT($B269,"0000"))</f>
        <v/>
      </c>
      <c r="W269" s="19">
        <f>IF($I269="","",IF(ISNUMBER($I269),TEXT($I269,"0"),$I269))</f>
        <v/>
      </c>
    </row>
    <row r="270">
      <c r="B270" s="25" t="n"/>
      <c r="I270" s="25" t="n"/>
      <c r="U270" s="19">
        <f>IF(AND($V270='設定'!$C$4,COUNTIF('商品マスタ'!$B$6:$B$1005,$W270)=0),N(U269)+1,N(U269))</f>
        <v/>
      </c>
      <c r="V270" s="19">
        <f>IF($B270="","",TEXT($B270,"0000"))</f>
        <v/>
      </c>
      <c r="W270" s="19">
        <f>IF($I270="","",IF(ISNUMBER($I270),TEXT($I270,"0"),$I270))</f>
        <v/>
      </c>
    </row>
    <row r="271">
      <c r="B271" s="25" t="n"/>
      <c r="I271" s="25" t="n"/>
      <c r="U271" s="19">
        <f>IF(AND($V271='設定'!$C$4,COUNTIF('商品マスタ'!$B$6:$B$1005,$W271)=0),N(U270)+1,N(U270))</f>
        <v/>
      </c>
      <c r="V271" s="19">
        <f>IF($B271="","",TEXT($B271,"0000"))</f>
        <v/>
      </c>
      <c r="W271" s="19">
        <f>IF($I271="","",IF(ISNUMBER($I271),TEXT($I271,"0"),$I271))</f>
        <v/>
      </c>
    </row>
    <row r="272">
      <c r="B272" s="25" t="n"/>
      <c r="I272" s="25" t="n"/>
      <c r="U272" s="19">
        <f>IF(AND($V272='設定'!$C$4,COUNTIF('商品マスタ'!$B$6:$B$1005,$W272)=0),N(U271)+1,N(U271))</f>
        <v/>
      </c>
      <c r="V272" s="19">
        <f>IF($B272="","",TEXT($B272,"0000"))</f>
        <v/>
      </c>
      <c r="W272" s="19">
        <f>IF($I272="","",IF(ISNUMBER($I272),TEXT($I272,"0"),$I272))</f>
        <v/>
      </c>
    </row>
    <row r="273">
      <c r="B273" s="25" t="n"/>
      <c r="I273" s="25" t="n"/>
      <c r="U273" s="19">
        <f>IF(AND($V273='設定'!$C$4,COUNTIF('商品マスタ'!$B$6:$B$1005,$W273)=0),N(U272)+1,N(U272))</f>
        <v/>
      </c>
      <c r="V273" s="19">
        <f>IF($B273="","",TEXT($B273,"0000"))</f>
        <v/>
      </c>
      <c r="W273" s="19">
        <f>IF($I273="","",IF(ISNUMBER($I273),TEXT($I273,"0"),$I273))</f>
        <v/>
      </c>
    </row>
    <row r="274">
      <c r="B274" s="25" t="n"/>
      <c r="I274" s="25" t="n"/>
      <c r="U274" s="19">
        <f>IF(AND($V274='設定'!$C$4,COUNTIF('商品マスタ'!$B$6:$B$1005,$W274)=0),N(U273)+1,N(U273))</f>
        <v/>
      </c>
      <c r="V274" s="19">
        <f>IF($B274="","",TEXT($B274,"0000"))</f>
        <v/>
      </c>
      <c r="W274" s="19">
        <f>IF($I274="","",IF(ISNUMBER($I274),TEXT($I274,"0"),$I274))</f>
        <v/>
      </c>
    </row>
    <row r="275">
      <c r="B275" s="25" t="n"/>
      <c r="I275" s="25" t="n"/>
      <c r="U275" s="19">
        <f>IF(AND($V275='設定'!$C$4,COUNTIF('商品マスタ'!$B$6:$B$1005,$W275)=0),N(U274)+1,N(U274))</f>
        <v/>
      </c>
      <c r="V275" s="19">
        <f>IF($B275="","",TEXT($B275,"0000"))</f>
        <v/>
      </c>
      <c r="W275" s="19">
        <f>IF($I275="","",IF(ISNUMBER($I275),TEXT($I275,"0"),$I275))</f>
        <v/>
      </c>
    </row>
    <row r="276">
      <c r="B276" s="25" t="n"/>
      <c r="I276" s="25" t="n"/>
      <c r="U276" s="19">
        <f>IF(AND($V276='設定'!$C$4,COUNTIF('商品マスタ'!$B$6:$B$1005,$W276)=0),N(U275)+1,N(U275))</f>
        <v/>
      </c>
      <c r="V276" s="19">
        <f>IF($B276="","",TEXT($B276,"0000"))</f>
        <v/>
      </c>
      <c r="W276" s="19">
        <f>IF($I276="","",IF(ISNUMBER($I276),TEXT($I276,"0"),$I276))</f>
        <v/>
      </c>
    </row>
    <row r="277">
      <c r="B277" s="25" t="n"/>
      <c r="I277" s="25" t="n"/>
      <c r="U277" s="19">
        <f>IF(AND($V277='設定'!$C$4,COUNTIF('商品マスタ'!$B$6:$B$1005,$W277)=0),N(U276)+1,N(U276))</f>
        <v/>
      </c>
      <c r="V277" s="19">
        <f>IF($B277="","",TEXT($B277,"0000"))</f>
        <v/>
      </c>
      <c r="W277" s="19">
        <f>IF($I277="","",IF(ISNUMBER($I277),TEXT($I277,"0"),$I277))</f>
        <v/>
      </c>
    </row>
    <row r="278">
      <c r="B278" s="25" t="n"/>
      <c r="I278" s="25" t="n"/>
      <c r="U278" s="19">
        <f>IF(AND($V278='設定'!$C$4,COUNTIF('商品マスタ'!$B$6:$B$1005,$W278)=0),N(U277)+1,N(U277))</f>
        <v/>
      </c>
      <c r="V278" s="19">
        <f>IF($B278="","",TEXT($B278,"0000"))</f>
        <v/>
      </c>
      <c r="W278" s="19">
        <f>IF($I278="","",IF(ISNUMBER($I278),TEXT($I278,"0"),$I278))</f>
        <v/>
      </c>
    </row>
    <row r="279">
      <c r="B279" s="25" t="n"/>
      <c r="I279" s="25" t="n"/>
      <c r="U279" s="19">
        <f>IF(AND($V279='設定'!$C$4,COUNTIF('商品マスタ'!$B$6:$B$1005,$W279)=0),N(U278)+1,N(U278))</f>
        <v/>
      </c>
      <c r="V279" s="19">
        <f>IF($B279="","",TEXT($B279,"0000"))</f>
        <v/>
      </c>
      <c r="W279" s="19">
        <f>IF($I279="","",IF(ISNUMBER($I279),TEXT($I279,"0"),$I279))</f>
        <v/>
      </c>
    </row>
    <row r="280">
      <c r="B280" s="25" t="n"/>
      <c r="I280" s="25" t="n"/>
      <c r="U280" s="19">
        <f>IF(AND($V280='設定'!$C$4,COUNTIF('商品マスタ'!$B$6:$B$1005,$W280)=0),N(U279)+1,N(U279))</f>
        <v/>
      </c>
      <c r="V280" s="19">
        <f>IF($B280="","",TEXT($B280,"0000"))</f>
        <v/>
      </c>
      <c r="W280" s="19">
        <f>IF($I280="","",IF(ISNUMBER($I280),TEXT($I280,"0"),$I280))</f>
        <v/>
      </c>
    </row>
    <row r="281">
      <c r="B281" s="25" t="n"/>
      <c r="I281" s="25" t="n"/>
      <c r="U281" s="19">
        <f>IF(AND($V281='設定'!$C$4,COUNTIF('商品マスタ'!$B$6:$B$1005,$W281)=0),N(U280)+1,N(U280))</f>
        <v/>
      </c>
      <c r="V281" s="19">
        <f>IF($B281="","",TEXT($B281,"0000"))</f>
        <v/>
      </c>
      <c r="W281" s="19">
        <f>IF($I281="","",IF(ISNUMBER($I281),TEXT($I281,"0"),$I281))</f>
        <v/>
      </c>
    </row>
    <row r="282">
      <c r="B282" s="25" t="n"/>
      <c r="I282" s="25" t="n"/>
      <c r="U282" s="19">
        <f>IF(AND($V282='設定'!$C$4,COUNTIF('商品マスタ'!$B$6:$B$1005,$W282)=0),N(U281)+1,N(U281))</f>
        <v/>
      </c>
      <c r="V282" s="19">
        <f>IF($B282="","",TEXT($B282,"0000"))</f>
        <v/>
      </c>
      <c r="W282" s="19">
        <f>IF($I282="","",IF(ISNUMBER($I282),TEXT($I282,"0"),$I282))</f>
        <v/>
      </c>
    </row>
    <row r="283">
      <c r="B283" s="25" t="n"/>
      <c r="I283" s="25" t="n"/>
      <c r="U283" s="19">
        <f>IF(AND($V283='設定'!$C$4,COUNTIF('商品マスタ'!$B$6:$B$1005,$W283)=0),N(U282)+1,N(U282))</f>
        <v/>
      </c>
      <c r="V283" s="19">
        <f>IF($B283="","",TEXT($B283,"0000"))</f>
        <v/>
      </c>
      <c r="W283" s="19">
        <f>IF($I283="","",IF(ISNUMBER($I283),TEXT($I283,"0"),$I283))</f>
        <v/>
      </c>
    </row>
    <row r="284">
      <c r="B284" s="25" t="n"/>
      <c r="I284" s="25" t="n"/>
      <c r="U284" s="19">
        <f>IF(AND($V284='設定'!$C$4,COUNTIF('商品マスタ'!$B$6:$B$1005,$W284)=0),N(U283)+1,N(U283))</f>
        <v/>
      </c>
      <c r="V284" s="19">
        <f>IF($B284="","",TEXT($B284,"0000"))</f>
        <v/>
      </c>
      <c r="W284" s="19">
        <f>IF($I284="","",IF(ISNUMBER($I284),TEXT($I284,"0"),$I284))</f>
        <v/>
      </c>
    </row>
    <row r="285">
      <c r="B285" s="25" t="n"/>
      <c r="I285" s="25" t="n"/>
      <c r="U285" s="19">
        <f>IF(AND($V285='設定'!$C$4,COUNTIF('商品マスタ'!$B$6:$B$1005,$W285)=0),N(U284)+1,N(U284))</f>
        <v/>
      </c>
      <c r="V285" s="19">
        <f>IF($B285="","",TEXT($B285,"0000"))</f>
        <v/>
      </c>
      <c r="W285" s="19">
        <f>IF($I285="","",IF(ISNUMBER($I285),TEXT($I285,"0"),$I285))</f>
        <v/>
      </c>
    </row>
    <row r="286">
      <c r="B286" s="25" t="n"/>
      <c r="I286" s="25" t="n"/>
      <c r="U286" s="19">
        <f>IF(AND($V286='設定'!$C$4,COUNTIF('商品マスタ'!$B$6:$B$1005,$W286)=0),N(U285)+1,N(U285))</f>
        <v/>
      </c>
      <c r="V286" s="19">
        <f>IF($B286="","",TEXT($B286,"0000"))</f>
        <v/>
      </c>
      <c r="W286" s="19">
        <f>IF($I286="","",IF(ISNUMBER($I286),TEXT($I286,"0"),$I286))</f>
        <v/>
      </c>
    </row>
    <row r="287">
      <c r="B287" s="25" t="n"/>
      <c r="I287" s="25" t="n"/>
      <c r="U287" s="19">
        <f>IF(AND($V287='設定'!$C$4,COUNTIF('商品マスタ'!$B$6:$B$1005,$W287)=0),N(U286)+1,N(U286))</f>
        <v/>
      </c>
      <c r="V287" s="19">
        <f>IF($B287="","",TEXT($B287,"0000"))</f>
        <v/>
      </c>
      <c r="W287" s="19">
        <f>IF($I287="","",IF(ISNUMBER($I287),TEXT($I287,"0"),$I287))</f>
        <v/>
      </c>
    </row>
    <row r="288">
      <c r="B288" s="25" t="n"/>
      <c r="I288" s="25" t="n"/>
      <c r="U288" s="19">
        <f>IF(AND($V288='設定'!$C$4,COUNTIF('商品マスタ'!$B$6:$B$1005,$W288)=0),N(U287)+1,N(U287))</f>
        <v/>
      </c>
      <c r="V288" s="19">
        <f>IF($B288="","",TEXT($B288,"0000"))</f>
        <v/>
      </c>
      <c r="W288" s="19">
        <f>IF($I288="","",IF(ISNUMBER($I288),TEXT($I288,"0"),$I288))</f>
        <v/>
      </c>
    </row>
    <row r="289">
      <c r="B289" s="25" t="n"/>
      <c r="I289" s="25" t="n"/>
      <c r="U289" s="19">
        <f>IF(AND($V289='設定'!$C$4,COUNTIF('商品マスタ'!$B$6:$B$1005,$W289)=0),N(U288)+1,N(U288))</f>
        <v/>
      </c>
      <c r="V289" s="19">
        <f>IF($B289="","",TEXT($B289,"0000"))</f>
        <v/>
      </c>
      <c r="W289" s="19">
        <f>IF($I289="","",IF(ISNUMBER($I289),TEXT($I289,"0"),$I289))</f>
        <v/>
      </c>
    </row>
    <row r="290">
      <c r="B290" s="25" t="n"/>
      <c r="I290" s="25" t="n"/>
      <c r="U290" s="19">
        <f>IF(AND($V290='設定'!$C$4,COUNTIF('商品マスタ'!$B$6:$B$1005,$W290)=0),N(U289)+1,N(U289))</f>
        <v/>
      </c>
      <c r="V290" s="19">
        <f>IF($B290="","",TEXT($B290,"0000"))</f>
        <v/>
      </c>
      <c r="W290" s="19">
        <f>IF($I290="","",IF(ISNUMBER($I290),TEXT($I290,"0"),$I290))</f>
        <v/>
      </c>
    </row>
    <row r="291">
      <c r="B291" s="25" t="n"/>
      <c r="I291" s="25" t="n"/>
      <c r="U291" s="19">
        <f>IF(AND($V291='設定'!$C$4,COUNTIF('商品マスタ'!$B$6:$B$1005,$W291)=0),N(U290)+1,N(U290))</f>
        <v/>
      </c>
      <c r="V291" s="19">
        <f>IF($B291="","",TEXT($B291,"0000"))</f>
        <v/>
      </c>
      <c r="W291" s="19">
        <f>IF($I291="","",IF(ISNUMBER($I291),TEXT($I291,"0"),$I291))</f>
        <v/>
      </c>
    </row>
    <row r="292">
      <c r="B292" s="25" t="n"/>
      <c r="I292" s="25" t="n"/>
      <c r="U292" s="19">
        <f>IF(AND($V292='設定'!$C$4,COUNTIF('商品マスタ'!$B$6:$B$1005,$W292)=0),N(U291)+1,N(U291))</f>
        <v/>
      </c>
      <c r="V292" s="19">
        <f>IF($B292="","",TEXT($B292,"0000"))</f>
        <v/>
      </c>
      <c r="W292" s="19">
        <f>IF($I292="","",IF(ISNUMBER($I292),TEXT($I292,"0"),$I292))</f>
        <v/>
      </c>
    </row>
    <row r="293">
      <c r="B293" s="25" t="n"/>
      <c r="I293" s="25" t="n"/>
      <c r="U293" s="19">
        <f>IF(AND($V293='設定'!$C$4,COUNTIF('商品マスタ'!$B$6:$B$1005,$W293)=0),N(U292)+1,N(U292))</f>
        <v/>
      </c>
      <c r="V293" s="19">
        <f>IF($B293="","",TEXT($B293,"0000"))</f>
        <v/>
      </c>
      <c r="W293" s="19">
        <f>IF($I293="","",IF(ISNUMBER($I293),TEXT($I293,"0"),$I293))</f>
        <v/>
      </c>
    </row>
    <row r="294">
      <c r="B294" s="25" t="n"/>
      <c r="I294" s="25" t="n"/>
      <c r="U294" s="19">
        <f>IF(AND($V294='設定'!$C$4,COUNTIF('商品マスタ'!$B$6:$B$1005,$W294)=0),N(U293)+1,N(U293))</f>
        <v/>
      </c>
      <c r="V294" s="19">
        <f>IF($B294="","",TEXT($B294,"0000"))</f>
        <v/>
      </c>
      <c r="W294" s="19">
        <f>IF($I294="","",IF(ISNUMBER($I294),TEXT($I294,"0"),$I294))</f>
        <v/>
      </c>
    </row>
    <row r="295">
      <c r="B295" s="25" t="n"/>
      <c r="I295" s="25" t="n"/>
      <c r="U295" s="19">
        <f>IF(AND($V295='設定'!$C$4,COUNTIF('商品マスタ'!$B$6:$B$1005,$W295)=0),N(U294)+1,N(U294))</f>
        <v/>
      </c>
      <c r="V295" s="19">
        <f>IF($B295="","",TEXT($B295,"0000"))</f>
        <v/>
      </c>
      <c r="W295" s="19">
        <f>IF($I295="","",IF(ISNUMBER($I295),TEXT($I295,"0"),$I295))</f>
        <v/>
      </c>
    </row>
    <row r="296">
      <c r="B296" s="25" t="n"/>
      <c r="I296" s="25" t="n"/>
      <c r="U296" s="19">
        <f>IF(AND($V296='設定'!$C$4,COUNTIF('商品マスタ'!$B$6:$B$1005,$W296)=0),N(U295)+1,N(U295))</f>
        <v/>
      </c>
      <c r="V296" s="19">
        <f>IF($B296="","",TEXT($B296,"0000"))</f>
        <v/>
      </c>
      <c r="W296" s="19">
        <f>IF($I296="","",IF(ISNUMBER($I296),TEXT($I296,"0"),$I296))</f>
        <v/>
      </c>
    </row>
    <row r="297">
      <c r="B297" s="25" t="n"/>
      <c r="I297" s="25" t="n"/>
      <c r="U297" s="19">
        <f>IF(AND($V297='設定'!$C$4,COUNTIF('商品マスタ'!$B$6:$B$1005,$W297)=0),N(U296)+1,N(U296))</f>
        <v/>
      </c>
      <c r="V297" s="19">
        <f>IF($B297="","",TEXT($B297,"0000"))</f>
        <v/>
      </c>
      <c r="W297" s="19">
        <f>IF($I297="","",IF(ISNUMBER($I297),TEXT($I297,"0"),$I297))</f>
        <v/>
      </c>
    </row>
    <row r="298">
      <c r="B298" s="25" t="n"/>
      <c r="I298" s="25" t="n"/>
      <c r="U298" s="19">
        <f>IF(AND($V298='設定'!$C$4,COUNTIF('商品マスタ'!$B$6:$B$1005,$W298)=0),N(U297)+1,N(U297))</f>
        <v/>
      </c>
      <c r="V298" s="19">
        <f>IF($B298="","",TEXT($B298,"0000"))</f>
        <v/>
      </c>
      <c r="W298" s="19">
        <f>IF($I298="","",IF(ISNUMBER($I298),TEXT($I298,"0"),$I298))</f>
        <v/>
      </c>
    </row>
    <row r="299">
      <c r="B299" s="25" t="n"/>
      <c r="I299" s="25" t="n"/>
      <c r="U299" s="19">
        <f>IF(AND($V299='設定'!$C$4,COUNTIF('商品マスタ'!$B$6:$B$1005,$W299)=0),N(U298)+1,N(U298))</f>
        <v/>
      </c>
      <c r="V299" s="19">
        <f>IF($B299="","",TEXT($B299,"0000"))</f>
        <v/>
      </c>
      <c r="W299" s="19">
        <f>IF($I299="","",IF(ISNUMBER($I299),TEXT($I299,"0"),$I299))</f>
        <v/>
      </c>
    </row>
    <row r="300">
      <c r="B300" s="25" t="n"/>
      <c r="I300" s="25" t="n"/>
      <c r="U300" s="19">
        <f>IF(AND($V300='設定'!$C$4,COUNTIF('商品マスタ'!$B$6:$B$1005,$W300)=0),N(U299)+1,N(U299))</f>
        <v/>
      </c>
      <c r="V300" s="19">
        <f>IF($B300="","",TEXT($B300,"0000"))</f>
        <v/>
      </c>
      <c r="W300" s="19">
        <f>IF($I300="","",IF(ISNUMBER($I300),TEXT($I300,"0"),$I300))</f>
        <v/>
      </c>
    </row>
    <row r="301">
      <c r="B301" s="25" t="n"/>
      <c r="I301" s="25" t="n"/>
      <c r="U301" s="19">
        <f>IF(AND($V301='設定'!$C$4,COUNTIF('商品マスタ'!$B$6:$B$1005,$W301)=0),N(U300)+1,N(U300))</f>
        <v/>
      </c>
      <c r="V301" s="19">
        <f>IF($B301="","",TEXT($B301,"0000"))</f>
        <v/>
      </c>
      <c r="W301" s="19">
        <f>IF($I301="","",IF(ISNUMBER($I301),TEXT($I301,"0"),$I301))</f>
        <v/>
      </c>
    </row>
    <row r="302">
      <c r="B302" s="25" t="n"/>
      <c r="I302" s="25" t="n"/>
      <c r="U302" s="19">
        <f>IF(AND($V302='設定'!$C$4,COUNTIF('商品マスタ'!$B$6:$B$1005,$W302)=0),N(U301)+1,N(U301))</f>
        <v/>
      </c>
      <c r="V302" s="19">
        <f>IF($B302="","",TEXT($B302,"0000"))</f>
        <v/>
      </c>
      <c r="W302" s="19">
        <f>IF($I302="","",IF(ISNUMBER($I302),TEXT($I302,"0"),$I302))</f>
        <v/>
      </c>
    </row>
    <row r="303">
      <c r="B303" s="25" t="n"/>
      <c r="I303" s="25" t="n"/>
      <c r="U303" s="19">
        <f>IF(AND($V303='設定'!$C$4,COUNTIF('商品マスタ'!$B$6:$B$1005,$W303)=0),N(U302)+1,N(U302))</f>
        <v/>
      </c>
      <c r="V303" s="19">
        <f>IF($B303="","",TEXT($B303,"0000"))</f>
        <v/>
      </c>
      <c r="W303" s="19">
        <f>IF($I303="","",IF(ISNUMBER($I303),TEXT($I303,"0"),$I303))</f>
        <v/>
      </c>
    </row>
    <row r="304">
      <c r="B304" s="25" t="n"/>
      <c r="I304" s="25" t="n"/>
      <c r="U304" s="19">
        <f>IF(AND($V304='設定'!$C$4,COUNTIF('商品マスタ'!$B$6:$B$1005,$W304)=0),N(U303)+1,N(U303))</f>
        <v/>
      </c>
      <c r="V304" s="19">
        <f>IF($B304="","",TEXT($B304,"0000"))</f>
        <v/>
      </c>
      <c r="W304" s="19">
        <f>IF($I304="","",IF(ISNUMBER($I304),TEXT($I304,"0"),$I304))</f>
        <v/>
      </c>
    </row>
    <row r="305">
      <c r="B305" s="25" t="n"/>
      <c r="I305" s="25" t="n"/>
      <c r="U305" s="19">
        <f>IF(AND($V305='設定'!$C$4,COUNTIF('商品マスタ'!$B$6:$B$1005,$W305)=0),N(U304)+1,N(U304))</f>
        <v/>
      </c>
      <c r="V305" s="19">
        <f>IF($B305="","",TEXT($B305,"0000"))</f>
        <v/>
      </c>
      <c r="W305" s="19">
        <f>IF($I305="","",IF(ISNUMBER($I305),TEXT($I305,"0"),$I305))</f>
        <v/>
      </c>
    </row>
    <row r="306">
      <c r="B306" s="25" t="n"/>
      <c r="I306" s="25" t="n"/>
      <c r="U306" s="19">
        <f>IF(AND($V306='設定'!$C$4,COUNTIF('商品マスタ'!$B$6:$B$1005,$W306)=0),N(U305)+1,N(U305))</f>
        <v/>
      </c>
      <c r="V306" s="19">
        <f>IF($B306="","",TEXT($B306,"0000"))</f>
        <v/>
      </c>
      <c r="W306" s="19">
        <f>IF($I306="","",IF(ISNUMBER($I306),TEXT($I306,"0"),$I306))</f>
        <v/>
      </c>
    </row>
    <row r="307">
      <c r="B307" s="25" t="n"/>
      <c r="I307" s="25" t="n"/>
      <c r="U307" s="19">
        <f>IF(AND($V307='設定'!$C$4,COUNTIF('商品マスタ'!$B$6:$B$1005,$W307)=0),N(U306)+1,N(U306))</f>
        <v/>
      </c>
      <c r="V307" s="19">
        <f>IF($B307="","",TEXT($B307,"0000"))</f>
        <v/>
      </c>
      <c r="W307" s="19">
        <f>IF($I307="","",IF(ISNUMBER($I307),TEXT($I307,"0"),$I307))</f>
        <v/>
      </c>
    </row>
    <row r="308">
      <c r="B308" s="25" t="n"/>
      <c r="I308" s="25" t="n"/>
      <c r="U308" s="19">
        <f>IF(AND($V308='設定'!$C$4,COUNTIF('商品マスタ'!$B$6:$B$1005,$W308)=0),N(U307)+1,N(U307))</f>
        <v/>
      </c>
      <c r="V308" s="19">
        <f>IF($B308="","",TEXT($B308,"0000"))</f>
        <v/>
      </c>
      <c r="W308" s="19">
        <f>IF($I308="","",IF(ISNUMBER($I308),TEXT($I308,"0"),$I308))</f>
        <v/>
      </c>
    </row>
    <row r="309">
      <c r="B309" s="25" t="n"/>
      <c r="I309" s="25" t="n"/>
      <c r="U309" s="19">
        <f>IF(AND($V309='設定'!$C$4,COUNTIF('商品マスタ'!$B$6:$B$1005,$W309)=0),N(U308)+1,N(U308))</f>
        <v/>
      </c>
      <c r="V309" s="19">
        <f>IF($B309="","",TEXT($B309,"0000"))</f>
        <v/>
      </c>
      <c r="W309" s="19">
        <f>IF($I309="","",IF(ISNUMBER($I309),TEXT($I309,"0"),$I309))</f>
        <v/>
      </c>
    </row>
    <row r="310">
      <c r="B310" s="25" t="n"/>
      <c r="I310" s="25" t="n"/>
      <c r="U310" s="19">
        <f>IF(AND($V310='設定'!$C$4,COUNTIF('商品マスタ'!$B$6:$B$1005,$W310)=0),N(U309)+1,N(U309))</f>
        <v/>
      </c>
      <c r="V310" s="19">
        <f>IF($B310="","",TEXT($B310,"0000"))</f>
        <v/>
      </c>
      <c r="W310" s="19">
        <f>IF($I310="","",IF(ISNUMBER($I310),TEXT($I310,"0"),$I310))</f>
        <v/>
      </c>
    </row>
    <row r="311">
      <c r="B311" s="25" t="n"/>
      <c r="I311" s="25" t="n"/>
      <c r="U311" s="19">
        <f>IF(AND($V311='設定'!$C$4,COUNTIF('商品マスタ'!$B$6:$B$1005,$W311)=0),N(U310)+1,N(U310))</f>
        <v/>
      </c>
      <c r="V311" s="19">
        <f>IF($B311="","",TEXT($B311,"0000"))</f>
        <v/>
      </c>
      <c r="W311" s="19">
        <f>IF($I311="","",IF(ISNUMBER($I311),TEXT($I311,"0"),$I311))</f>
        <v/>
      </c>
    </row>
    <row r="312">
      <c r="B312" s="25" t="n"/>
      <c r="I312" s="25" t="n"/>
      <c r="U312" s="19">
        <f>IF(AND($V312='設定'!$C$4,COUNTIF('商品マスタ'!$B$6:$B$1005,$W312)=0),N(U311)+1,N(U311))</f>
        <v/>
      </c>
      <c r="V312" s="19">
        <f>IF($B312="","",TEXT($B312,"0000"))</f>
        <v/>
      </c>
      <c r="W312" s="19">
        <f>IF($I312="","",IF(ISNUMBER($I312),TEXT($I312,"0"),$I312))</f>
        <v/>
      </c>
    </row>
    <row r="313">
      <c r="B313" s="25" t="n"/>
      <c r="I313" s="25" t="n"/>
      <c r="U313" s="19">
        <f>IF(AND($V313='設定'!$C$4,COUNTIF('商品マスタ'!$B$6:$B$1005,$W313)=0),N(U312)+1,N(U312))</f>
        <v/>
      </c>
      <c r="V313" s="19">
        <f>IF($B313="","",TEXT($B313,"0000"))</f>
        <v/>
      </c>
      <c r="W313" s="19">
        <f>IF($I313="","",IF(ISNUMBER($I313),TEXT($I313,"0"),$I313))</f>
        <v/>
      </c>
    </row>
    <row r="314">
      <c r="B314" s="25" t="n"/>
      <c r="I314" s="25" t="n"/>
      <c r="U314" s="19">
        <f>IF(AND($V314='設定'!$C$4,COUNTIF('商品マスタ'!$B$6:$B$1005,$W314)=0),N(U313)+1,N(U313))</f>
        <v/>
      </c>
      <c r="V314" s="19">
        <f>IF($B314="","",TEXT($B314,"0000"))</f>
        <v/>
      </c>
      <c r="W314" s="19">
        <f>IF($I314="","",IF(ISNUMBER($I314),TEXT($I314,"0"),$I314))</f>
        <v/>
      </c>
    </row>
    <row r="315">
      <c r="B315" s="25" t="n"/>
      <c r="I315" s="25" t="n"/>
      <c r="U315" s="19">
        <f>IF(AND($V315='設定'!$C$4,COUNTIF('商品マスタ'!$B$6:$B$1005,$W315)=0),N(U314)+1,N(U314))</f>
        <v/>
      </c>
      <c r="V315" s="19">
        <f>IF($B315="","",TEXT($B315,"0000"))</f>
        <v/>
      </c>
      <c r="W315" s="19">
        <f>IF($I315="","",IF(ISNUMBER($I315),TEXT($I315,"0"),$I315))</f>
        <v/>
      </c>
    </row>
    <row r="316">
      <c r="B316" s="25" t="n"/>
      <c r="I316" s="25" t="n"/>
      <c r="U316" s="19">
        <f>IF(AND($V316='設定'!$C$4,COUNTIF('商品マスタ'!$B$6:$B$1005,$W316)=0),N(U315)+1,N(U315))</f>
        <v/>
      </c>
      <c r="V316" s="19">
        <f>IF($B316="","",TEXT($B316,"0000"))</f>
        <v/>
      </c>
      <c r="W316" s="19">
        <f>IF($I316="","",IF(ISNUMBER($I316),TEXT($I316,"0"),$I316))</f>
        <v/>
      </c>
    </row>
    <row r="317">
      <c r="B317" s="25" t="n"/>
      <c r="I317" s="25" t="n"/>
      <c r="U317" s="19">
        <f>IF(AND($V317='設定'!$C$4,COUNTIF('商品マスタ'!$B$6:$B$1005,$W317)=0),N(U316)+1,N(U316))</f>
        <v/>
      </c>
      <c r="V317" s="19">
        <f>IF($B317="","",TEXT($B317,"0000"))</f>
        <v/>
      </c>
      <c r="W317" s="19">
        <f>IF($I317="","",IF(ISNUMBER($I317),TEXT($I317,"0"),$I317))</f>
        <v/>
      </c>
    </row>
    <row r="318">
      <c r="B318" s="25" t="n"/>
      <c r="I318" s="25" t="n"/>
      <c r="U318" s="19">
        <f>IF(AND($V318='設定'!$C$4,COUNTIF('商品マスタ'!$B$6:$B$1005,$W318)=0),N(U317)+1,N(U317))</f>
        <v/>
      </c>
      <c r="V318" s="19">
        <f>IF($B318="","",TEXT($B318,"0000"))</f>
        <v/>
      </c>
      <c r="W318" s="19">
        <f>IF($I318="","",IF(ISNUMBER($I318),TEXT($I318,"0"),$I318))</f>
        <v/>
      </c>
    </row>
    <row r="319">
      <c r="B319" s="25" t="n"/>
      <c r="I319" s="25" t="n"/>
      <c r="U319" s="19">
        <f>IF(AND($V319='設定'!$C$4,COUNTIF('商品マスタ'!$B$6:$B$1005,$W319)=0),N(U318)+1,N(U318))</f>
        <v/>
      </c>
      <c r="V319" s="19">
        <f>IF($B319="","",TEXT($B319,"0000"))</f>
        <v/>
      </c>
      <c r="W319" s="19">
        <f>IF($I319="","",IF(ISNUMBER($I319),TEXT($I319,"0"),$I319))</f>
        <v/>
      </c>
    </row>
    <row r="320">
      <c r="B320" s="25" t="n"/>
      <c r="I320" s="25" t="n"/>
      <c r="U320" s="19">
        <f>IF(AND($V320='設定'!$C$4,COUNTIF('商品マスタ'!$B$6:$B$1005,$W320)=0),N(U319)+1,N(U319))</f>
        <v/>
      </c>
      <c r="V320" s="19">
        <f>IF($B320="","",TEXT($B320,"0000"))</f>
        <v/>
      </c>
      <c r="W320" s="19">
        <f>IF($I320="","",IF(ISNUMBER($I320),TEXT($I320,"0"),$I320))</f>
        <v/>
      </c>
    </row>
    <row r="321">
      <c r="B321" s="25" t="n"/>
      <c r="I321" s="25" t="n"/>
      <c r="U321" s="19">
        <f>IF(AND($V321='設定'!$C$4,COUNTIF('商品マスタ'!$B$6:$B$1005,$W321)=0),N(U320)+1,N(U320))</f>
        <v/>
      </c>
      <c r="V321" s="19">
        <f>IF($B321="","",TEXT($B321,"0000"))</f>
        <v/>
      </c>
      <c r="W321" s="19">
        <f>IF($I321="","",IF(ISNUMBER($I321),TEXT($I321,"0"),$I321))</f>
        <v/>
      </c>
    </row>
    <row r="322">
      <c r="B322" s="25" t="n"/>
      <c r="I322" s="25" t="n"/>
      <c r="U322" s="19">
        <f>IF(AND($V322='設定'!$C$4,COUNTIF('商品マスタ'!$B$6:$B$1005,$W322)=0),N(U321)+1,N(U321))</f>
        <v/>
      </c>
      <c r="V322" s="19">
        <f>IF($B322="","",TEXT($B322,"0000"))</f>
        <v/>
      </c>
      <c r="W322" s="19">
        <f>IF($I322="","",IF(ISNUMBER($I322),TEXT($I322,"0"),$I322))</f>
        <v/>
      </c>
    </row>
    <row r="323">
      <c r="B323" s="25" t="n"/>
      <c r="I323" s="25" t="n"/>
      <c r="U323" s="19">
        <f>IF(AND($V323='設定'!$C$4,COUNTIF('商品マスタ'!$B$6:$B$1005,$W323)=0),N(U322)+1,N(U322))</f>
        <v/>
      </c>
      <c r="V323" s="19">
        <f>IF($B323="","",TEXT($B323,"0000"))</f>
        <v/>
      </c>
      <c r="W323" s="19">
        <f>IF($I323="","",IF(ISNUMBER($I323),TEXT($I323,"0"),$I323))</f>
        <v/>
      </c>
    </row>
    <row r="324">
      <c r="B324" s="25" t="n"/>
      <c r="I324" s="25" t="n"/>
      <c r="U324" s="19">
        <f>IF(AND($V324='設定'!$C$4,COUNTIF('商品マスタ'!$B$6:$B$1005,$W324)=0),N(U323)+1,N(U323))</f>
        <v/>
      </c>
      <c r="V324" s="19">
        <f>IF($B324="","",TEXT($B324,"0000"))</f>
        <v/>
      </c>
      <c r="W324" s="19">
        <f>IF($I324="","",IF(ISNUMBER($I324),TEXT($I324,"0"),$I324))</f>
        <v/>
      </c>
    </row>
    <row r="325">
      <c r="B325" s="25" t="n"/>
      <c r="I325" s="25" t="n"/>
      <c r="U325" s="19">
        <f>IF(AND($V325='設定'!$C$4,COUNTIF('商品マスタ'!$B$6:$B$1005,$W325)=0),N(U324)+1,N(U324))</f>
        <v/>
      </c>
      <c r="V325" s="19">
        <f>IF($B325="","",TEXT($B325,"0000"))</f>
        <v/>
      </c>
      <c r="W325" s="19">
        <f>IF($I325="","",IF(ISNUMBER($I325),TEXT($I325,"0"),$I325))</f>
        <v/>
      </c>
    </row>
    <row r="326">
      <c r="B326" s="25" t="n"/>
      <c r="I326" s="25" t="n"/>
      <c r="U326" s="19">
        <f>IF(AND($V326='設定'!$C$4,COUNTIF('商品マスタ'!$B$6:$B$1005,$W326)=0),N(U325)+1,N(U325))</f>
        <v/>
      </c>
      <c r="V326" s="19">
        <f>IF($B326="","",TEXT($B326,"0000"))</f>
        <v/>
      </c>
      <c r="W326" s="19">
        <f>IF($I326="","",IF(ISNUMBER($I326),TEXT($I326,"0"),$I326))</f>
        <v/>
      </c>
    </row>
    <row r="327">
      <c r="B327" s="25" t="n"/>
      <c r="I327" s="25" t="n"/>
      <c r="U327" s="19">
        <f>IF(AND($V327='設定'!$C$4,COUNTIF('商品マスタ'!$B$6:$B$1005,$W327)=0),N(U326)+1,N(U326))</f>
        <v/>
      </c>
      <c r="V327" s="19">
        <f>IF($B327="","",TEXT($B327,"0000"))</f>
        <v/>
      </c>
      <c r="W327" s="19">
        <f>IF($I327="","",IF(ISNUMBER($I327),TEXT($I327,"0"),$I327))</f>
        <v/>
      </c>
    </row>
    <row r="328">
      <c r="B328" s="25" t="n"/>
      <c r="I328" s="25" t="n"/>
      <c r="U328" s="19">
        <f>IF(AND($V328='設定'!$C$4,COUNTIF('商品マスタ'!$B$6:$B$1005,$W328)=0),N(U327)+1,N(U327))</f>
        <v/>
      </c>
      <c r="V328" s="19">
        <f>IF($B328="","",TEXT($B328,"0000"))</f>
        <v/>
      </c>
      <c r="W328" s="19">
        <f>IF($I328="","",IF(ISNUMBER($I328),TEXT($I328,"0"),$I328))</f>
        <v/>
      </c>
    </row>
    <row r="329">
      <c r="B329" s="25" t="n"/>
      <c r="I329" s="25" t="n"/>
      <c r="U329" s="19">
        <f>IF(AND($V329='設定'!$C$4,COUNTIF('商品マスタ'!$B$6:$B$1005,$W329)=0),N(U328)+1,N(U328))</f>
        <v/>
      </c>
      <c r="V329" s="19">
        <f>IF($B329="","",TEXT($B329,"0000"))</f>
        <v/>
      </c>
      <c r="W329" s="19">
        <f>IF($I329="","",IF(ISNUMBER($I329),TEXT($I329,"0"),$I329))</f>
        <v/>
      </c>
    </row>
    <row r="330">
      <c r="B330" s="25" t="n"/>
      <c r="I330" s="25" t="n"/>
      <c r="U330" s="19">
        <f>IF(AND($V330='設定'!$C$4,COUNTIF('商品マスタ'!$B$6:$B$1005,$W330)=0),N(U329)+1,N(U329))</f>
        <v/>
      </c>
      <c r="V330" s="19">
        <f>IF($B330="","",TEXT($B330,"0000"))</f>
        <v/>
      </c>
      <c r="W330" s="19">
        <f>IF($I330="","",IF(ISNUMBER($I330),TEXT($I330,"0"),$I330))</f>
        <v/>
      </c>
    </row>
    <row r="331">
      <c r="B331" s="25" t="n"/>
      <c r="I331" s="25" t="n"/>
      <c r="U331" s="19">
        <f>IF(AND($V331='設定'!$C$4,COUNTIF('商品マスタ'!$B$6:$B$1005,$W331)=0),N(U330)+1,N(U330))</f>
        <v/>
      </c>
      <c r="V331" s="19">
        <f>IF($B331="","",TEXT($B331,"0000"))</f>
        <v/>
      </c>
      <c r="W331" s="19">
        <f>IF($I331="","",IF(ISNUMBER($I331),TEXT($I331,"0"),$I331))</f>
        <v/>
      </c>
    </row>
    <row r="332">
      <c r="B332" s="25" t="n"/>
      <c r="I332" s="25" t="n"/>
      <c r="U332" s="19">
        <f>IF(AND($V332='設定'!$C$4,COUNTIF('商品マスタ'!$B$6:$B$1005,$W332)=0),N(U331)+1,N(U331))</f>
        <v/>
      </c>
      <c r="V332" s="19">
        <f>IF($B332="","",TEXT($B332,"0000"))</f>
        <v/>
      </c>
      <c r="W332" s="19">
        <f>IF($I332="","",IF(ISNUMBER($I332),TEXT($I332,"0"),$I332))</f>
        <v/>
      </c>
    </row>
    <row r="333">
      <c r="B333" s="25" t="n"/>
      <c r="I333" s="25" t="n"/>
      <c r="U333" s="19">
        <f>IF(AND($V333='設定'!$C$4,COUNTIF('商品マスタ'!$B$6:$B$1005,$W333)=0),N(U332)+1,N(U332))</f>
        <v/>
      </c>
      <c r="V333" s="19">
        <f>IF($B333="","",TEXT($B333,"0000"))</f>
        <v/>
      </c>
      <c r="W333" s="19">
        <f>IF($I333="","",IF(ISNUMBER($I333),TEXT($I333,"0"),$I333))</f>
        <v/>
      </c>
    </row>
    <row r="334">
      <c r="B334" s="25" t="n"/>
      <c r="I334" s="25" t="n"/>
      <c r="U334" s="19">
        <f>IF(AND($V334='設定'!$C$4,COUNTIF('商品マスタ'!$B$6:$B$1005,$W334)=0),N(U333)+1,N(U333))</f>
        <v/>
      </c>
      <c r="V334" s="19">
        <f>IF($B334="","",TEXT($B334,"0000"))</f>
        <v/>
      </c>
      <c r="W334" s="19">
        <f>IF($I334="","",IF(ISNUMBER($I334),TEXT($I334,"0"),$I334))</f>
        <v/>
      </c>
    </row>
    <row r="335">
      <c r="B335" s="25" t="n"/>
      <c r="I335" s="25" t="n"/>
      <c r="U335" s="19">
        <f>IF(AND($V335='設定'!$C$4,COUNTIF('商品マスタ'!$B$6:$B$1005,$W335)=0),N(U334)+1,N(U334))</f>
        <v/>
      </c>
      <c r="V335" s="19">
        <f>IF($B335="","",TEXT($B335,"0000"))</f>
        <v/>
      </c>
      <c r="W335" s="19">
        <f>IF($I335="","",IF(ISNUMBER($I335),TEXT($I335,"0"),$I335))</f>
        <v/>
      </c>
    </row>
    <row r="336">
      <c r="B336" s="25" t="n"/>
      <c r="I336" s="25" t="n"/>
      <c r="U336" s="19">
        <f>IF(AND($V336='設定'!$C$4,COUNTIF('商品マスタ'!$B$6:$B$1005,$W336)=0),N(U335)+1,N(U335))</f>
        <v/>
      </c>
      <c r="V336" s="19">
        <f>IF($B336="","",TEXT($B336,"0000"))</f>
        <v/>
      </c>
      <c r="W336" s="19">
        <f>IF($I336="","",IF(ISNUMBER($I336),TEXT($I336,"0"),$I336))</f>
        <v/>
      </c>
    </row>
    <row r="337">
      <c r="B337" s="25" t="n"/>
      <c r="I337" s="25" t="n"/>
      <c r="U337" s="19">
        <f>IF(AND($V337='設定'!$C$4,COUNTIF('商品マスタ'!$B$6:$B$1005,$W337)=0),N(U336)+1,N(U336))</f>
        <v/>
      </c>
      <c r="V337" s="19">
        <f>IF($B337="","",TEXT($B337,"0000"))</f>
        <v/>
      </c>
      <c r="W337" s="19">
        <f>IF($I337="","",IF(ISNUMBER($I337),TEXT($I337,"0"),$I337))</f>
        <v/>
      </c>
    </row>
    <row r="338">
      <c r="B338" s="25" t="n"/>
      <c r="I338" s="25" t="n"/>
      <c r="U338" s="19">
        <f>IF(AND($V338='設定'!$C$4,COUNTIF('商品マスタ'!$B$6:$B$1005,$W338)=0),N(U337)+1,N(U337))</f>
        <v/>
      </c>
      <c r="V338" s="19">
        <f>IF($B338="","",TEXT($B338,"0000"))</f>
        <v/>
      </c>
      <c r="W338" s="19">
        <f>IF($I338="","",IF(ISNUMBER($I338),TEXT($I338,"0"),$I338))</f>
        <v/>
      </c>
    </row>
    <row r="339">
      <c r="B339" s="25" t="n"/>
      <c r="I339" s="25" t="n"/>
      <c r="U339" s="19">
        <f>IF(AND($V339='設定'!$C$4,COUNTIF('商品マスタ'!$B$6:$B$1005,$W339)=0),N(U338)+1,N(U338))</f>
        <v/>
      </c>
      <c r="V339" s="19">
        <f>IF($B339="","",TEXT($B339,"0000"))</f>
        <v/>
      </c>
      <c r="W339" s="19">
        <f>IF($I339="","",IF(ISNUMBER($I339),TEXT($I339,"0"),$I339))</f>
        <v/>
      </c>
    </row>
    <row r="340">
      <c r="B340" s="25" t="n"/>
      <c r="I340" s="25" t="n"/>
      <c r="U340" s="19">
        <f>IF(AND($V340='設定'!$C$4,COUNTIF('商品マスタ'!$B$6:$B$1005,$W340)=0),N(U339)+1,N(U339))</f>
        <v/>
      </c>
      <c r="V340" s="19">
        <f>IF($B340="","",TEXT($B340,"0000"))</f>
        <v/>
      </c>
      <c r="W340" s="19">
        <f>IF($I340="","",IF(ISNUMBER($I340),TEXT($I340,"0"),$I340))</f>
        <v/>
      </c>
    </row>
    <row r="341">
      <c r="B341" s="25" t="n"/>
      <c r="I341" s="25" t="n"/>
      <c r="U341" s="19">
        <f>IF(AND($V341='設定'!$C$4,COUNTIF('商品マスタ'!$B$6:$B$1005,$W341)=0),N(U340)+1,N(U340))</f>
        <v/>
      </c>
      <c r="V341" s="19">
        <f>IF($B341="","",TEXT($B341,"0000"))</f>
        <v/>
      </c>
      <c r="W341" s="19">
        <f>IF($I341="","",IF(ISNUMBER($I341),TEXT($I341,"0"),$I341))</f>
        <v/>
      </c>
    </row>
    <row r="342">
      <c r="B342" s="25" t="n"/>
      <c r="I342" s="25" t="n"/>
      <c r="U342" s="19">
        <f>IF(AND($V342='設定'!$C$4,COUNTIF('商品マスタ'!$B$6:$B$1005,$W342)=0),N(U341)+1,N(U341))</f>
        <v/>
      </c>
      <c r="V342" s="19">
        <f>IF($B342="","",TEXT($B342,"0000"))</f>
        <v/>
      </c>
      <c r="W342" s="19">
        <f>IF($I342="","",IF(ISNUMBER($I342),TEXT($I342,"0"),$I342))</f>
        <v/>
      </c>
    </row>
    <row r="343">
      <c r="B343" s="25" t="n"/>
      <c r="I343" s="25" t="n"/>
      <c r="U343" s="19">
        <f>IF(AND($V343='設定'!$C$4,COUNTIF('商品マスタ'!$B$6:$B$1005,$W343)=0),N(U342)+1,N(U342))</f>
        <v/>
      </c>
      <c r="V343" s="19">
        <f>IF($B343="","",TEXT($B343,"0000"))</f>
        <v/>
      </c>
      <c r="W343" s="19">
        <f>IF($I343="","",IF(ISNUMBER($I343),TEXT($I343,"0"),$I343))</f>
        <v/>
      </c>
    </row>
    <row r="344">
      <c r="B344" s="25" t="n"/>
      <c r="I344" s="25" t="n"/>
      <c r="U344" s="19">
        <f>IF(AND($V344='設定'!$C$4,COUNTIF('商品マスタ'!$B$6:$B$1005,$W344)=0),N(U343)+1,N(U343))</f>
        <v/>
      </c>
      <c r="V344" s="19">
        <f>IF($B344="","",TEXT($B344,"0000"))</f>
        <v/>
      </c>
      <c r="W344" s="19">
        <f>IF($I344="","",IF(ISNUMBER($I344),TEXT($I344,"0"),$I344))</f>
        <v/>
      </c>
    </row>
    <row r="345">
      <c r="B345" s="25" t="n"/>
      <c r="I345" s="25" t="n"/>
      <c r="U345" s="19">
        <f>IF(AND($V345='設定'!$C$4,COUNTIF('商品マスタ'!$B$6:$B$1005,$W345)=0),N(U344)+1,N(U344))</f>
        <v/>
      </c>
      <c r="V345" s="19">
        <f>IF($B345="","",TEXT($B345,"0000"))</f>
        <v/>
      </c>
      <c r="W345" s="19">
        <f>IF($I345="","",IF(ISNUMBER($I345),TEXT($I345,"0"),$I345))</f>
        <v/>
      </c>
    </row>
    <row r="346">
      <c r="B346" s="25" t="n"/>
      <c r="I346" s="25" t="n"/>
      <c r="U346" s="19">
        <f>IF(AND($V346='設定'!$C$4,COUNTIF('商品マスタ'!$B$6:$B$1005,$W346)=0),N(U345)+1,N(U345))</f>
        <v/>
      </c>
      <c r="V346" s="19">
        <f>IF($B346="","",TEXT($B346,"0000"))</f>
        <v/>
      </c>
      <c r="W346" s="19">
        <f>IF($I346="","",IF(ISNUMBER($I346),TEXT($I346,"0"),$I346))</f>
        <v/>
      </c>
    </row>
    <row r="347">
      <c r="B347" s="25" t="n"/>
      <c r="I347" s="25" t="n"/>
      <c r="U347" s="19">
        <f>IF(AND($V347='設定'!$C$4,COUNTIF('商品マスタ'!$B$6:$B$1005,$W347)=0),N(U346)+1,N(U346))</f>
        <v/>
      </c>
      <c r="V347" s="19">
        <f>IF($B347="","",TEXT($B347,"0000"))</f>
        <v/>
      </c>
      <c r="W347" s="19">
        <f>IF($I347="","",IF(ISNUMBER($I347),TEXT($I347,"0"),$I347))</f>
        <v/>
      </c>
    </row>
    <row r="348">
      <c r="B348" s="25" t="n"/>
      <c r="I348" s="25" t="n"/>
      <c r="U348" s="19">
        <f>IF(AND($V348='設定'!$C$4,COUNTIF('商品マスタ'!$B$6:$B$1005,$W348)=0),N(U347)+1,N(U347))</f>
        <v/>
      </c>
      <c r="V348" s="19">
        <f>IF($B348="","",TEXT($B348,"0000"))</f>
        <v/>
      </c>
      <c r="W348" s="19">
        <f>IF($I348="","",IF(ISNUMBER($I348),TEXT($I348,"0"),$I348))</f>
        <v/>
      </c>
    </row>
    <row r="349">
      <c r="B349" s="25" t="n"/>
      <c r="I349" s="25" t="n"/>
      <c r="U349" s="19">
        <f>IF(AND($V349='設定'!$C$4,COUNTIF('商品マスタ'!$B$6:$B$1005,$W349)=0),N(U348)+1,N(U348))</f>
        <v/>
      </c>
      <c r="V349" s="19">
        <f>IF($B349="","",TEXT($B349,"0000"))</f>
        <v/>
      </c>
      <c r="W349" s="19">
        <f>IF($I349="","",IF(ISNUMBER($I349),TEXT($I349,"0"),$I349))</f>
        <v/>
      </c>
    </row>
    <row r="350">
      <c r="B350" s="25" t="n"/>
      <c r="I350" s="25" t="n"/>
      <c r="U350" s="19">
        <f>IF(AND($V350='設定'!$C$4,COUNTIF('商品マスタ'!$B$6:$B$1005,$W350)=0),N(U349)+1,N(U349))</f>
        <v/>
      </c>
      <c r="V350" s="19">
        <f>IF($B350="","",TEXT($B350,"0000"))</f>
        <v/>
      </c>
      <c r="W350" s="19">
        <f>IF($I350="","",IF(ISNUMBER($I350),TEXT($I350,"0"),$I350))</f>
        <v/>
      </c>
    </row>
    <row r="351">
      <c r="B351" s="25" t="n"/>
      <c r="I351" s="25" t="n"/>
      <c r="U351" s="19">
        <f>IF(AND($V351='設定'!$C$4,COUNTIF('商品マスタ'!$B$6:$B$1005,$W351)=0),N(U350)+1,N(U350))</f>
        <v/>
      </c>
      <c r="V351" s="19">
        <f>IF($B351="","",TEXT($B351,"0000"))</f>
        <v/>
      </c>
      <c r="W351" s="19">
        <f>IF($I351="","",IF(ISNUMBER($I351),TEXT($I351,"0"),$I351))</f>
        <v/>
      </c>
    </row>
    <row r="352">
      <c r="B352" s="25" t="n"/>
      <c r="I352" s="25" t="n"/>
      <c r="U352" s="19">
        <f>IF(AND($V352='設定'!$C$4,COUNTIF('商品マスタ'!$B$6:$B$1005,$W352)=0),N(U351)+1,N(U351))</f>
        <v/>
      </c>
      <c r="V352" s="19">
        <f>IF($B352="","",TEXT($B352,"0000"))</f>
        <v/>
      </c>
      <c r="W352" s="19">
        <f>IF($I352="","",IF(ISNUMBER($I352),TEXT($I352,"0"),$I352))</f>
        <v/>
      </c>
    </row>
    <row r="353">
      <c r="B353" s="25" t="n"/>
      <c r="I353" s="25" t="n"/>
      <c r="U353" s="19">
        <f>IF(AND($V353='設定'!$C$4,COUNTIF('商品マスタ'!$B$6:$B$1005,$W353)=0),N(U352)+1,N(U352))</f>
        <v/>
      </c>
      <c r="V353" s="19">
        <f>IF($B353="","",TEXT($B353,"0000"))</f>
        <v/>
      </c>
      <c r="W353" s="19">
        <f>IF($I353="","",IF(ISNUMBER($I353),TEXT($I353,"0"),$I353))</f>
        <v/>
      </c>
    </row>
    <row r="354">
      <c r="B354" s="25" t="n"/>
      <c r="I354" s="25" t="n"/>
      <c r="U354" s="19">
        <f>IF(AND($V354='設定'!$C$4,COUNTIF('商品マスタ'!$B$6:$B$1005,$W354)=0),N(U353)+1,N(U353))</f>
        <v/>
      </c>
      <c r="V354" s="19">
        <f>IF($B354="","",TEXT($B354,"0000"))</f>
        <v/>
      </c>
      <c r="W354" s="19">
        <f>IF($I354="","",IF(ISNUMBER($I354),TEXT($I354,"0"),$I354))</f>
        <v/>
      </c>
    </row>
    <row r="355">
      <c r="B355" s="25" t="n"/>
      <c r="I355" s="25" t="n"/>
      <c r="U355" s="19">
        <f>IF(AND($V355='設定'!$C$4,COUNTIF('商品マスタ'!$B$6:$B$1005,$W355)=0),N(U354)+1,N(U354))</f>
        <v/>
      </c>
      <c r="V355" s="19">
        <f>IF($B355="","",TEXT($B355,"0000"))</f>
        <v/>
      </c>
      <c r="W355" s="19">
        <f>IF($I355="","",IF(ISNUMBER($I355),TEXT($I355,"0"),$I355))</f>
        <v/>
      </c>
    </row>
    <row r="356">
      <c r="B356" s="25" t="n"/>
      <c r="I356" s="25" t="n"/>
      <c r="U356" s="19">
        <f>IF(AND($V356='設定'!$C$4,COUNTIF('商品マスタ'!$B$6:$B$1005,$W356)=0),N(U355)+1,N(U355))</f>
        <v/>
      </c>
      <c r="V356" s="19">
        <f>IF($B356="","",TEXT($B356,"0000"))</f>
        <v/>
      </c>
      <c r="W356" s="19">
        <f>IF($I356="","",IF(ISNUMBER($I356),TEXT($I356,"0"),$I356))</f>
        <v/>
      </c>
    </row>
    <row r="357">
      <c r="B357" s="25" t="n"/>
      <c r="I357" s="25" t="n"/>
      <c r="U357" s="19">
        <f>IF(AND($V357='設定'!$C$4,COUNTIF('商品マスタ'!$B$6:$B$1005,$W357)=0),N(U356)+1,N(U356))</f>
        <v/>
      </c>
      <c r="V357" s="19">
        <f>IF($B357="","",TEXT($B357,"0000"))</f>
        <v/>
      </c>
      <c r="W357" s="19">
        <f>IF($I357="","",IF(ISNUMBER($I357),TEXT($I357,"0"),$I357))</f>
        <v/>
      </c>
    </row>
    <row r="358">
      <c r="B358" s="25" t="n"/>
      <c r="I358" s="25" t="n"/>
      <c r="U358" s="19">
        <f>IF(AND($V358='設定'!$C$4,COUNTIF('商品マスタ'!$B$6:$B$1005,$W358)=0),N(U357)+1,N(U357))</f>
        <v/>
      </c>
      <c r="V358" s="19">
        <f>IF($B358="","",TEXT($B358,"0000"))</f>
        <v/>
      </c>
      <c r="W358" s="19">
        <f>IF($I358="","",IF(ISNUMBER($I358),TEXT($I358,"0"),$I358))</f>
        <v/>
      </c>
    </row>
    <row r="359">
      <c r="B359" s="25" t="n"/>
      <c r="I359" s="25" t="n"/>
      <c r="U359" s="19">
        <f>IF(AND($V359='設定'!$C$4,COUNTIF('商品マスタ'!$B$6:$B$1005,$W359)=0),N(U358)+1,N(U358))</f>
        <v/>
      </c>
      <c r="V359" s="19">
        <f>IF($B359="","",TEXT($B359,"0000"))</f>
        <v/>
      </c>
      <c r="W359" s="19">
        <f>IF($I359="","",IF(ISNUMBER($I359),TEXT($I359,"0"),$I359))</f>
        <v/>
      </c>
    </row>
    <row r="360">
      <c r="B360" s="25" t="n"/>
      <c r="I360" s="25" t="n"/>
      <c r="U360" s="19">
        <f>IF(AND($V360='設定'!$C$4,COUNTIF('商品マスタ'!$B$6:$B$1005,$W360)=0),N(U359)+1,N(U359))</f>
        <v/>
      </c>
      <c r="V360" s="19">
        <f>IF($B360="","",TEXT($B360,"0000"))</f>
        <v/>
      </c>
      <c r="W360" s="19">
        <f>IF($I360="","",IF(ISNUMBER($I360),TEXT($I360,"0"),$I360))</f>
        <v/>
      </c>
    </row>
    <row r="361">
      <c r="B361" s="25" t="n"/>
      <c r="I361" s="25" t="n"/>
      <c r="U361" s="19">
        <f>IF(AND($V361='設定'!$C$4,COUNTIF('商品マスタ'!$B$6:$B$1005,$W361)=0),N(U360)+1,N(U360))</f>
        <v/>
      </c>
      <c r="V361" s="19">
        <f>IF($B361="","",TEXT($B361,"0000"))</f>
        <v/>
      </c>
      <c r="W361" s="19">
        <f>IF($I361="","",IF(ISNUMBER($I361),TEXT($I361,"0"),$I361))</f>
        <v/>
      </c>
    </row>
    <row r="362">
      <c r="B362" s="25" t="n"/>
      <c r="I362" s="25" t="n"/>
      <c r="U362" s="19">
        <f>IF(AND($V362='設定'!$C$4,COUNTIF('商品マスタ'!$B$6:$B$1005,$W362)=0),N(U361)+1,N(U361))</f>
        <v/>
      </c>
      <c r="V362" s="19">
        <f>IF($B362="","",TEXT($B362,"0000"))</f>
        <v/>
      </c>
      <c r="W362" s="19">
        <f>IF($I362="","",IF(ISNUMBER($I362),TEXT($I362,"0"),$I362))</f>
        <v/>
      </c>
    </row>
    <row r="363">
      <c r="B363" s="25" t="n"/>
      <c r="I363" s="25" t="n"/>
      <c r="U363" s="19">
        <f>IF(AND($V363='設定'!$C$4,COUNTIF('商品マスタ'!$B$6:$B$1005,$W363)=0),N(U362)+1,N(U362))</f>
        <v/>
      </c>
      <c r="V363" s="19">
        <f>IF($B363="","",TEXT($B363,"0000"))</f>
        <v/>
      </c>
      <c r="W363" s="19">
        <f>IF($I363="","",IF(ISNUMBER($I363),TEXT($I363,"0"),$I363))</f>
        <v/>
      </c>
    </row>
    <row r="364">
      <c r="B364" s="25" t="n"/>
      <c r="I364" s="25" t="n"/>
      <c r="U364" s="19">
        <f>IF(AND($V364='設定'!$C$4,COUNTIF('商品マスタ'!$B$6:$B$1005,$W364)=0),N(U363)+1,N(U363))</f>
        <v/>
      </c>
      <c r="V364" s="19">
        <f>IF($B364="","",TEXT($B364,"0000"))</f>
        <v/>
      </c>
      <c r="W364" s="19">
        <f>IF($I364="","",IF(ISNUMBER($I364),TEXT($I364,"0"),$I364))</f>
        <v/>
      </c>
    </row>
    <row r="365">
      <c r="B365" s="25" t="n"/>
      <c r="I365" s="25" t="n"/>
      <c r="U365" s="19">
        <f>IF(AND($V365='設定'!$C$4,COUNTIF('商品マスタ'!$B$6:$B$1005,$W365)=0),N(U364)+1,N(U364))</f>
        <v/>
      </c>
      <c r="V365" s="19">
        <f>IF($B365="","",TEXT($B365,"0000"))</f>
        <v/>
      </c>
      <c r="W365" s="19">
        <f>IF($I365="","",IF(ISNUMBER($I365),TEXT($I365,"0"),$I365))</f>
        <v/>
      </c>
    </row>
    <row r="366">
      <c r="B366" s="25" t="n"/>
      <c r="I366" s="25" t="n"/>
      <c r="U366" s="19">
        <f>IF(AND($V366='設定'!$C$4,COUNTIF('商品マスタ'!$B$6:$B$1005,$W366)=0),N(U365)+1,N(U365))</f>
        <v/>
      </c>
      <c r="V366" s="19">
        <f>IF($B366="","",TEXT($B366,"0000"))</f>
        <v/>
      </c>
      <c r="W366" s="19">
        <f>IF($I366="","",IF(ISNUMBER($I366),TEXT($I366,"0"),$I366))</f>
        <v/>
      </c>
    </row>
    <row r="367">
      <c r="B367" s="25" t="n"/>
      <c r="I367" s="25" t="n"/>
      <c r="U367" s="19">
        <f>IF(AND($V367='設定'!$C$4,COUNTIF('商品マスタ'!$B$6:$B$1005,$W367)=0),N(U366)+1,N(U366))</f>
        <v/>
      </c>
      <c r="V367" s="19">
        <f>IF($B367="","",TEXT($B367,"0000"))</f>
        <v/>
      </c>
      <c r="W367" s="19">
        <f>IF($I367="","",IF(ISNUMBER($I367),TEXT($I367,"0"),$I367))</f>
        <v/>
      </c>
    </row>
    <row r="368">
      <c r="B368" s="25" t="n"/>
      <c r="I368" s="25" t="n"/>
      <c r="U368" s="19">
        <f>IF(AND($V368='設定'!$C$4,COUNTIF('商品マスタ'!$B$6:$B$1005,$W368)=0),N(U367)+1,N(U367))</f>
        <v/>
      </c>
      <c r="V368" s="19">
        <f>IF($B368="","",TEXT($B368,"0000"))</f>
        <v/>
      </c>
      <c r="W368" s="19">
        <f>IF($I368="","",IF(ISNUMBER($I368),TEXT($I368,"0"),$I368))</f>
        <v/>
      </c>
    </row>
    <row r="369">
      <c r="B369" s="25" t="n"/>
      <c r="I369" s="25" t="n"/>
      <c r="U369" s="19">
        <f>IF(AND($V369='設定'!$C$4,COUNTIF('商品マスタ'!$B$6:$B$1005,$W369)=0),N(U368)+1,N(U368))</f>
        <v/>
      </c>
      <c r="V369" s="19">
        <f>IF($B369="","",TEXT($B369,"0000"))</f>
        <v/>
      </c>
      <c r="W369" s="19">
        <f>IF($I369="","",IF(ISNUMBER($I369),TEXT($I369,"0"),$I369))</f>
        <v/>
      </c>
    </row>
    <row r="370">
      <c r="B370" s="25" t="n"/>
      <c r="I370" s="25" t="n"/>
      <c r="U370" s="19">
        <f>IF(AND($V370='設定'!$C$4,COUNTIF('商品マスタ'!$B$6:$B$1005,$W370)=0),N(U369)+1,N(U369))</f>
        <v/>
      </c>
      <c r="V370" s="19">
        <f>IF($B370="","",TEXT($B370,"0000"))</f>
        <v/>
      </c>
      <c r="W370" s="19">
        <f>IF($I370="","",IF(ISNUMBER($I370),TEXT($I370,"0"),$I370))</f>
        <v/>
      </c>
    </row>
    <row r="371">
      <c r="B371" s="25" t="n"/>
      <c r="I371" s="25" t="n"/>
      <c r="U371" s="19">
        <f>IF(AND($V371='設定'!$C$4,COUNTIF('商品マスタ'!$B$6:$B$1005,$W371)=0),N(U370)+1,N(U370))</f>
        <v/>
      </c>
      <c r="V371" s="19">
        <f>IF($B371="","",TEXT($B371,"0000"))</f>
        <v/>
      </c>
      <c r="W371" s="19">
        <f>IF($I371="","",IF(ISNUMBER($I371),TEXT($I371,"0"),$I371))</f>
        <v/>
      </c>
    </row>
    <row r="372">
      <c r="B372" s="25" t="n"/>
      <c r="I372" s="25" t="n"/>
      <c r="U372" s="19">
        <f>IF(AND($V372='設定'!$C$4,COUNTIF('商品マスタ'!$B$6:$B$1005,$W372)=0),N(U371)+1,N(U371))</f>
        <v/>
      </c>
      <c r="V372" s="19">
        <f>IF($B372="","",TEXT($B372,"0000"))</f>
        <v/>
      </c>
      <c r="W372" s="19">
        <f>IF($I372="","",IF(ISNUMBER($I372),TEXT($I372,"0"),$I372))</f>
        <v/>
      </c>
    </row>
    <row r="373">
      <c r="B373" s="25" t="n"/>
      <c r="I373" s="25" t="n"/>
      <c r="U373" s="19">
        <f>IF(AND($V373='設定'!$C$4,COUNTIF('商品マスタ'!$B$6:$B$1005,$W373)=0),N(U372)+1,N(U372))</f>
        <v/>
      </c>
      <c r="V373" s="19">
        <f>IF($B373="","",TEXT($B373,"0000"))</f>
        <v/>
      </c>
      <c r="W373" s="19">
        <f>IF($I373="","",IF(ISNUMBER($I373),TEXT($I373,"0"),$I373))</f>
        <v/>
      </c>
    </row>
    <row r="374">
      <c r="B374" s="25" t="n"/>
      <c r="I374" s="25" t="n"/>
      <c r="U374" s="19">
        <f>IF(AND($V374='設定'!$C$4,COUNTIF('商品マスタ'!$B$6:$B$1005,$W374)=0),N(U373)+1,N(U373))</f>
        <v/>
      </c>
      <c r="V374" s="19">
        <f>IF($B374="","",TEXT($B374,"0000"))</f>
        <v/>
      </c>
      <c r="W374" s="19">
        <f>IF($I374="","",IF(ISNUMBER($I374),TEXT($I374,"0"),$I374))</f>
        <v/>
      </c>
    </row>
    <row r="375">
      <c r="B375" s="25" t="n"/>
      <c r="I375" s="25" t="n"/>
      <c r="U375" s="19">
        <f>IF(AND($V375='設定'!$C$4,COUNTIF('商品マスタ'!$B$6:$B$1005,$W375)=0),N(U374)+1,N(U374))</f>
        <v/>
      </c>
      <c r="V375" s="19">
        <f>IF($B375="","",TEXT($B375,"0000"))</f>
        <v/>
      </c>
      <c r="W375" s="19">
        <f>IF($I375="","",IF(ISNUMBER($I375),TEXT($I375,"0"),$I375))</f>
        <v/>
      </c>
    </row>
    <row r="376">
      <c r="B376" s="25" t="n"/>
      <c r="I376" s="25" t="n"/>
      <c r="U376" s="19">
        <f>IF(AND($V376='設定'!$C$4,COUNTIF('商品マスタ'!$B$6:$B$1005,$W376)=0),N(U375)+1,N(U375))</f>
        <v/>
      </c>
      <c r="V376" s="19">
        <f>IF($B376="","",TEXT($B376,"0000"))</f>
        <v/>
      </c>
      <c r="W376" s="19">
        <f>IF($I376="","",IF(ISNUMBER($I376),TEXT($I376,"0"),$I376))</f>
        <v/>
      </c>
    </row>
    <row r="377">
      <c r="B377" s="25" t="n"/>
      <c r="I377" s="25" t="n"/>
      <c r="U377" s="19">
        <f>IF(AND($V377='設定'!$C$4,COUNTIF('商品マスタ'!$B$6:$B$1005,$W377)=0),N(U376)+1,N(U376))</f>
        <v/>
      </c>
      <c r="V377" s="19">
        <f>IF($B377="","",TEXT($B377,"0000"))</f>
        <v/>
      </c>
      <c r="W377" s="19">
        <f>IF($I377="","",IF(ISNUMBER($I377),TEXT($I377,"0"),$I377))</f>
        <v/>
      </c>
    </row>
    <row r="378">
      <c r="B378" s="25" t="n"/>
      <c r="I378" s="25" t="n"/>
      <c r="U378" s="19">
        <f>IF(AND($V378='設定'!$C$4,COUNTIF('商品マスタ'!$B$6:$B$1005,$W378)=0),N(U377)+1,N(U377))</f>
        <v/>
      </c>
      <c r="V378" s="19">
        <f>IF($B378="","",TEXT($B378,"0000"))</f>
        <v/>
      </c>
      <c r="W378" s="19">
        <f>IF($I378="","",IF(ISNUMBER($I378),TEXT($I378,"0"),$I378))</f>
        <v/>
      </c>
    </row>
    <row r="379">
      <c r="B379" s="25" t="n"/>
      <c r="I379" s="25" t="n"/>
      <c r="U379" s="19">
        <f>IF(AND($V379='設定'!$C$4,COUNTIF('商品マスタ'!$B$6:$B$1005,$W379)=0),N(U378)+1,N(U378))</f>
        <v/>
      </c>
      <c r="V379" s="19">
        <f>IF($B379="","",TEXT($B379,"0000"))</f>
        <v/>
      </c>
      <c r="W379" s="19">
        <f>IF($I379="","",IF(ISNUMBER($I379),TEXT($I379,"0"),$I379))</f>
        <v/>
      </c>
    </row>
    <row r="380">
      <c r="B380" s="25" t="n"/>
      <c r="I380" s="25" t="n"/>
      <c r="U380" s="19">
        <f>IF(AND($V380='設定'!$C$4,COUNTIF('商品マスタ'!$B$6:$B$1005,$W380)=0),N(U379)+1,N(U379))</f>
        <v/>
      </c>
      <c r="V380" s="19">
        <f>IF($B380="","",TEXT($B380,"0000"))</f>
        <v/>
      </c>
      <c r="W380" s="19">
        <f>IF($I380="","",IF(ISNUMBER($I380),TEXT($I380,"0"),$I380))</f>
        <v/>
      </c>
    </row>
    <row r="381">
      <c r="B381" s="25" t="n"/>
      <c r="I381" s="25" t="n"/>
      <c r="U381" s="19">
        <f>IF(AND($V381='設定'!$C$4,COUNTIF('商品マスタ'!$B$6:$B$1005,$W381)=0),N(U380)+1,N(U380))</f>
        <v/>
      </c>
      <c r="V381" s="19">
        <f>IF($B381="","",TEXT($B381,"0000"))</f>
        <v/>
      </c>
      <c r="W381" s="19">
        <f>IF($I381="","",IF(ISNUMBER($I381),TEXT($I381,"0"),$I381))</f>
        <v/>
      </c>
    </row>
    <row r="382">
      <c r="B382" s="25" t="n"/>
      <c r="I382" s="25" t="n"/>
      <c r="U382" s="19">
        <f>IF(AND($V382='設定'!$C$4,COUNTIF('商品マスタ'!$B$6:$B$1005,$W382)=0),N(U381)+1,N(U381))</f>
        <v/>
      </c>
      <c r="V382" s="19">
        <f>IF($B382="","",TEXT($B382,"0000"))</f>
        <v/>
      </c>
      <c r="W382" s="19">
        <f>IF($I382="","",IF(ISNUMBER($I382),TEXT($I382,"0"),$I382))</f>
        <v/>
      </c>
    </row>
    <row r="383">
      <c r="B383" s="25" t="n"/>
      <c r="I383" s="25" t="n"/>
      <c r="U383" s="19">
        <f>IF(AND($V383='設定'!$C$4,COUNTIF('商品マスタ'!$B$6:$B$1005,$W383)=0),N(U382)+1,N(U382))</f>
        <v/>
      </c>
      <c r="V383" s="19">
        <f>IF($B383="","",TEXT($B383,"0000"))</f>
        <v/>
      </c>
      <c r="W383" s="19">
        <f>IF($I383="","",IF(ISNUMBER($I383),TEXT($I383,"0"),$I383))</f>
        <v/>
      </c>
    </row>
    <row r="384">
      <c r="B384" s="25" t="n"/>
      <c r="I384" s="25" t="n"/>
      <c r="U384" s="19">
        <f>IF(AND($V384='設定'!$C$4,COUNTIF('商品マスタ'!$B$6:$B$1005,$W384)=0),N(U383)+1,N(U383))</f>
        <v/>
      </c>
      <c r="V384" s="19">
        <f>IF($B384="","",TEXT($B384,"0000"))</f>
        <v/>
      </c>
      <c r="W384" s="19">
        <f>IF($I384="","",IF(ISNUMBER($I384),TEXT($I384,"0"),$I384))</f>
        <v/>
      </c>
    </row>
    <row r="385">
      <c r="B385" s="25" t="n"/>
      <c r="I385" s="25" t="n"/>
      <c r="U385" s="19">
        <f>IF(AND($V385='設定'!$C$4,COUNTIF('商品マスタ'!$B$6:$B$1005,$W385)=0),N(U384)+1,N(U384))</f>
        <v/>
      </c>
      <c r="V385" s="19">
        <f>IF($B385="","",TEXT($B385,"0000"))</f>
        <v/>
      </c>
      <c r="W385" s="19">
        <f>IF($I385="","",IF(ISNUMBER($I385),TEXT($I385,"0"),$I385))</f>
        <v/>
      </c>
    </row>
    <row r="386">
      <c r="B386" s="25" t="n"/>
      <c r="I386" s="25" t="n"/>
      <c r="U386" s="19">
        <f>IF(AND($V386='設定'!$C$4,COUNTIF('商品マスタ'!$B$6:$B$1005,$W386)=0),N(U385)+1,N(U385))</f>
        <v/>
      </c>
      <c r="V386" s="19">
        <f>IF($B386="","",TEXT($B386,"0000"))</f>
        <v/>
      </c>
      <c r="W386" s="19">
        <f>IF($I386="","",IF(ISNUMBER($I386),TEXT($I386,"0"),$I386))</f>
        <v/>
      </c>
    </row>
    <row r="387">
      <c r="B387" s="25" t="n"/>
      <c r="I387" s="25" t="n"/>
      <c r="U387" s="19">
        <f>IF(AND($V387='設定'!$C$4,COUNTIF('商品マスタ'!$B$6:$B$1005,$W387)=0),N(U386)+1,N(U386))</f>
        <v/>
      </c>
      <c r="V387" s="19">
        <f>IF($B387="","",TEXT($B387,"0000"))</f>
        <v/>
      </c>
      <c r="W387" s="19">
        <f>IF($I387="","",IF(ISNUMBER($I387),TEXT($I387,"0"),$I387))</f>
        <v/>
      </c>
    </row>
    <row r="388">
      <c r="B388" s="25" t="n"/>
      <c r="I388" s="25" t="n"/>
      <c r="U388" s="19">
        <f>IF(AND($V388='設定'!$C$4,COUNTIF('商品マスタ'!$B$6:$B$1005,$W388)=0),N(U387)+1,N(U387))</f>
        <v/>
      </c>
      <c r="V388" s="19">
        <f>IF($B388="","",TEXT($B388,"0000"))</f>
        <v/>
      </c>
      <c r="W388" s="19">
        <f>IF($I388="","",IF(ISNUMBER($I388),TEXT($I388,"0"),$I388))</f>
        <v/>
      </c>
    </row>
    <row r="389">
      <c r="B389" s="25" t="n"/>
      <c r="I389" s="25" t="n"/>
      <c r="U389" s="19">
        <f>IF(AND($V389='設定'!$C$4,COUNTIF('商品マスタ'!$B$6:$B$1005,$W389)=0),N(U388)+1,N(U388))</f>
        <v/>
      </c>
      <c r="V389" s="19">
        <f>IF($B389="","",TEXT($B389,"0000"))</f>
        <v/>
      </c>
      <c r="W389" s="19">
        <f>IF($I389="","",IF(ISNUMBER($I389),TEXT($I389,"0"),$I389))</f>
        <v/>
      </c>
    </row>
    <row r="390">
      <c r="B390" s="25" t="n"/>
      <c r="I390" s="25" t="n"/>
      <c r="U390" s="19">
        <f>IF(AND($V390='設定'!$C$4,COUNTIF('商品マスタ'!$B$6:$B$1005,$W390)=0),N(U389)+1,N(U389))</f>
        <v/>
      </c>
      <c r="V390" s="19">
        <f>IF($B390="","",TEXT($B390,"0000"))</f>
        <v/>
      </c>
      <c r="W390" s="19">
        <f>IF($I390="","",IF(ISNUMBER($I390),TEXT($I390,"0"),$I390))</f>
        <v/>
      </c>
    </row>
    <row r="391">
      <c r="B391" s="25" t="n"/>
      <c r="I391" s="25" t="n"/>
      <c r="U391" s="19">
        <f>IF(AND($V391='設定'!$C$4,COUNTIF('商品マスタ'!$B$6:$B$1005,$W391)=0),N(U390)+1,N(U390))</f>
        <v/>
      </c>
      <c r="V391" s="19">
        <f>IF($B391="","",TEXT($B391,"0000"))</f>
        <v/>
      </c>
      <c r="W391" s="19">
        <f>IF($I391="","",IF(ISNUMBER($I391),TEXT($I391,"0"),$I391))</f>
        <v/>
      </c>
    </row>
    <row r="392">
      <c r="B392" s="25" t="n"/>
      <c r="I392" s="25" t="n"/>
      <c r="U392" s="19">
        <f>IF(AND($V392='設定'!$C$4,COUNTIF('商品マスタ'!$B$6:$B$1005,$W392)=0),N(U391)+1,N(U391))</f>
        <v/>
      </c>
      <c r="V392" s="19">
        <f>IF($B392="","",TEXT($B392,"0000"))</f>
        <v/>
      </c>
      <c r="W392" s="19">
        <f>IF($I392="","",IF(ISNUMBER($I392),TEXT($I392,"0"),$I392))</f>
        <v/>
      </c>
    </row>
    <row r="393">
      <c r="B393" s="25" t="n"/>
      <c r="I393" s="25" t="n"/>
      <c r="U393" s="19">
        <f>IF(AND($V393='設定'!$C$4,COUNTIF('商品マスタ'!$B$6:$B$1005,$W393)=0),N(U392)+1,N(U392))</f>
        <v/>
      </c>
      <c r="V393" s="19">
        <f>IF($B393="","",TEXT($B393,"0000"))</f>
        <v/>
      </c>
      <c r="W393" s="19">
        <f>IF($I393="","",IF(ISNUMBER($I393),TEXT($I393,"0"),$I393))</f>
        <v/>
      </c>
    </row>
    <row r="394">
      <c r="B394" s="25" t="n"/>
      <c r="I394" s="25" t="n"/>
      <c r="U394" s="19">
        <f>IF(AND($V394='設定'!$C$4,COUNTIF('商品マスタ'!$B$6:$B$1005,$W394)=0),N(U393)+1,N(U393))</f>
        <v/>
      </c>
      <c r="V394" s="19">
        <f>IF($B394="","",TEXT($B394,"0000"))</f>
        <v/>
      </c>
      <c r="W394" s="19">
        <f>IF($I394="","",IF(ISNUMBER($I394),TEXT($I394,"0"),$I394))</f>
        <v/>
      </c>
    </row>
    <row r="395">
      <c r="B395" s="25" t="n"/>
      <c r="I395" s="25" t="n"/>
      <c r="U395" s="19">
        <f>IF(AND($V395='設定'!$C$4,COUNTIF('商品マスタ'!$B$6:$B$1005,$W395)=0),N(U394)+1,N(U394))</f>
        <v/>
      </c>
      <c r="V395" s="19">
        <f>IF($B395="","",TEXT($B395,"0000"))</f>
        <v/>
      </c>
      <c r="W395" s="19">
        <f>IF($I395="","",IF(ISNUMBER($I395),TEXT($I395,"0"),$I395))</f>
        <v/>
      </c>
    </row>
    <row r="396">
      <c r="B396" s="25" t="n"/>
      <c r="I396" s="25" t="n"/>
      <c r="U396" s="19">
        <f>IF(AND($V396='設定'!$C$4,COUNTIF('商品マスタ'!$B$6:$B$1005,$W396)=0),N(U395)+1,N(U395))</f>
        <v/>
      </c>
      <c r="V396" s="19">
        <f>IF($B396="","",TEXT($B396,"0000"))</f>
        <v/>
      </c>
      <c r="W396" s="19">
        <f>IF($I396="","",IF(ISNUMBER($I396),TEXT($I396,"0"),$I396))</f>
        <v/>
      </c>
    </row>
    <row r="397">
      <c r="B397" s="25" t="n"/>
      <c r="I397" s="25" t="n"/>
      <c r="U397" s="19">
        <f>IF(AND($V397='設定'!$C$4,COUNTIF('商品マスタ'!$B$6:$B$1005,$W397)=0),N(U396)+1,N(U396))</f>
        <v/>
      </c>
      <c r="V397" s="19">
        <f>IF($B397="","",TEXT($B397,"0000"))</f>
        <v/>
      </c>
      <c r="W397" s="19">
        <f>IF($I397="","",IF(ISNUMBER($I397),TEXT($I397,"0"),$I397))</f>
        <v/>
      </c>
    </row>
    <row r="398">
      <c r="B398" s="25" t="n"/>
      <c r="I398" s="25" t="n"/>
      <c r="U398" s="19">
        <f>IF(AND($V398='設定'!$C$4,COUNTIF('商品マスタ'!$B$6:$B$1005,$W398)=0),N(U397)+1,N(U397))</f>
        <v/>
      </c>
      <c r="V398" s="19">
        <f>IF($B398="","",TEXT($B398,"0000"))</f>
        <v/>
      </c>
      <c r="W398" s="19">
        <f>IF($I398="","",IF(ISNUMBER($I398),TEXT($I398,"0"),$I398))</f>
        <v/>
      </c>
    </row>
    <row r="399">
      <c r="B399" s="25" t="n"/>
      <c r="I399" s="25" t="n"/>
      <c r="U399" s="19">
        <f>IF(AND($V399='設定'!$C$4,COUNTIF('商品マスタ'!$B$6:$B$1005,$W399)=0),N(U398)+1,N(U398))</f>
        <v/>
      </c>
      <c r="V399" s="19">
        <f>IF($B399="","",TEXT($B399,"0000"))</f>
        <v/>
      </c>
      <c r="W399" s="19">
        <f>IF($I399="","",IF(ISNUMBER($I399),TEXT($I399,"0"),$I399))</f>
        <v/>
      </c>
    </row>
    <row r="400">
      <c r="B400" s="25" t="n"/>
      <c r="I400" s="25" t="n"/>
      <c r="U400" s="19">
        <f>IF(AND($V400='設定'!$C$4,COUNTIF('商品マスタ'!$B$6:$B$1005,$W400)=0),N(U399)+1,N(U399))</f>
        <v/>
      </c>
      <c r="V400" s="19">
        <f>IF($B400="","",TEXT($B400,"0000"))</f>
        <v/>
      </c>
      <c r="W400" s="19">
        <f>IF($I400="","",IF(ISNUMBER($I400),TEXT($I400,"0"),$I400))</f>
        <v/>
      </c>
    </row>
    <row r="401">
      <c r="B401" s="25" t="n"/>
      <c r="I401" s="25" t="n"/>
      <c r="U401" s="19">
        <f>IF(AND($V401='設定'!$C$4,COUNTIF('商品マスタ'!$B$6:$B$1005,$W401)=0),N(U400)+1,N(U400))</f>
        <v/>
      </c>
      <c r="V401" s="19">
        <f>IF($B401="","",TEXT($B401,"0000"))</f>
        <v/>
      </c>
      <c r="W401" s="19">
        <f>IF($I401="","",IF(ISNUMBER($I401),TEXT($I401,"0"),$I401))</f>
        <v/>
      </c>
    </row>
    <row r="402">
      <c r="B402" s="25" t="n"/>
      <c r="I402" s="25" t="n"/>
      <c r="U402" s="19">
        <f>IF(AND($V402='設定'!$C$4,COUNTIF('商品マスタ'!$B$6:$B$1005,$W402)=0),N(U401)+1,N(U401))</f>
        <v/>
      </c>
      <c r="V402" s="19">
        <f>IF($B402="","",TEXT($B402,"0000"))</f>
        <v/>
      </c>
      <c r="W402" s="19">
        <f>IF($I402="","",IF(ISNUMBER($I402),TEXT($I402,"0"),$I402))</f>
        <v/>
      </c>
    </row>
    <row r="403">
      <c r="B403" s="25" t="n"/>
      <c r="I403" s="25" t="n"/>
      <c r="U403" s="19">
        <f>IF(AND($V403='設定'!$C$4,COUNTIF('商品マスタ'!$B$6:$B$1005,$W403)=0),N(U402)+1,N(U402))</f>
        <v/>
      </c>
      <c r="V403" s="19">
        <f>IF($B403="","",TEXT($B403,"0000"))</f>
        <v/>
      </c>
      <c r="W403" s="19">
        <f>IF($I403="","",IF(ISNUMBER($I403),TEXT($I403,"0"),$I403))</f>
        <v/>
      </c>
    </row>
    <row r="404">
      <c r="B404" s="25" t="n"/>
      <c r="I404" s="25" t="n"/>
      <c r="U404" s="19">
        <f>IF(AND($V404='設定'!$C$4,COUNTIF('商品マスタ'!$B$6:$B$1005,$W404)=0),N(U403)+1,N(U403))</f>
        <v/>
      </c>
      <c r="V404" s="19">
        <f>IF($B404="","",TEXT($B404,"0000"))</f>
        <v/>
      </c>
      <c r="W404" s="19">
        <f>IF($I404="","",IF(ISNUMBER($I404),TEXT($I404,"0"),$I404))</f>
        <v/>
      </c>
    </row>
    <row r="405">
      <c r="B405" s="25" t="n"/>
      <c r="I405" s="25" t="n"/>
      <c r="U405" s="19">
        <f>IF(AND($V405='設定'!$C$4,COUNTIF('商品マスタ'!$B$6:$B$1005,$W405)=0),N(U404)+1,N(U404))</f>
        <v/>
      </c>
      <c r="V405" s="19">
        <f>IF($B405="","",TEXT($B405,"0000"))</f>
        <v/>
      </c>
      <c r="W405" s="19">
        <f>IF($I405="","",IF(ISNUMBER($I405),TEXT($I405,"0"),$I405))</f>
        <v/>
      </c>
    </row>
    <row r="406">
      <c r="B406" s="25" t="n"/>
      <c r="I406" s="25" t="n"/>
      <c r="U406" s="19">
        <f>IF(AND($V406='設定'!$C$4,COUNTIF('商品マスタ'!$B$6:$B$1005,$W406)=0),N(U405)+1,N(U405))</f>
        <v/>
      </c>
      <c r="V406" s="19">
        <f>IF($B406="","",TEXT($B406,"0000"))</f>
        <v/>
      </c>
      <c r="W406" s="19">
        <f>IF($I406="","",IF(ISNUMBER($I406),TEXT($I406,"0"),$I406))</f>
        <v/>
      </c>
    </row>
    <row r="407">
      <c r="B407" s="25" t="n"/>
      <c r="I407" s="25" t="n"/>
      <c r="U407" s="19">
        <f>IF(AND($V407='設定'!$C$4,COUNTIF('商品マスタ'!$B$6:$B$1005,$W407)=0),N(U406)+1,N(U406))</f>
        <v/>
      </c>
      <c r="V407" s="19">
        <f>IF($B407="","",TEXT($B407,"0000"))</f>
        <v/>
      </c>
      <c r="W407" s="19">
        <f>IF($I407="","",IF(ISNUMBER($I407),TEXT($I407,"0"),$I407))</f>
        <v/>
      </c>
    </row>
    <row r="408">
      <c r="B408" s="25" t="n"/>
      <c r="I408" s="25" t="n"/>
      <c r="U408" s="19">
        <f>IF(AND($V408='設定'!$C$4,COUNTIF('商品マスタ'!$B$6:$B$1005,$W408)=0),N(U407)+1,N(U407))</f>
        <v/>
      </c>
      <c r="V408" s="19">
        <f>IF($B408="","",TEXT($B408,"0000"))</f>
        <v/>
      </c>
      <c r="W408" s="19">
        <f>IF($I408="","",IF(ISNUMBER($I408),TEXT($I408,"0"),$I408))</f>
        <v/>
      </c>
    </row>
    <row r="409">
      <c r="B409" s="25" t="n"/>
      <c r="I409" s="25" t="n"/>
      <c r="U409" s="19">
        <f>IF(AND($V409='設定'!$C$4,COUNTIF('商品マスタ'!$B$6:$B$1005,$W409)=0),N(U408)+1,N(U408))</f>
        <v/>
      </c>
      <c r="V409" s="19">
        <f>IF($B409="","",TEXT($B409,"0000"))</f>
        <v/>
      </c>
      <c r="W409" s="19">
        <f>IF($I409="","",IF(ISNUMBER($I409),TEXT($I409,"0"),$I409))</f>
        <v/>
      </c>
    </row>
    <row r="410">
      <c r="B410" s="25" t="n"/>
      <c r="I410" s="25" t="n"/>
      <c r="U410" s="19">
        <f>IF(AND($V410='設定'!$C$4,COUNTIF('商品マスタ'!$B$6:$B$1005,$W410)=0),N(U409)+1,N(U409))</f>
        <v/>
      </c>
      <c r="V410" s="19">
        <f>IF($B410="","",TEXT($B410,"0000"))</f>
        <v/>
      </c>
      <c r="W410" s="19">
        <f>IF($I410="","",IF(ISNUMBER($I410),TEXT($I410,"0"),$I410))</f>
        <v/>
      </c>
    </row>
    <row r="411">
      <c r="B411" s="25" t="n"/>
      <c r="I411" s="25" t="n"/>
      <c r="U411" s="19">
        <f>IF(AND($V411='設定'!$C$4,COUNTIF('商品マスタ'!$B$6:$B$1005,$W411)=0),N(U410)+1,N(U410))</f>
        <v/>
      </c>
      <c r="V411" s="19">
        <f>IF($B411="","",TEXT($B411,"0000"))</f>
        <v/>
      </c>
      <c r="W411" s="19">
        <f>IF($I411="","",IF(ISNUMBER($I411),TEXT($I411,"0"),$I411))</f>
        <v/>
      </c>
    </row>
    <row r="412">
      <c r="B412" s="25" t="n"/>
      <c r="I412" s="25" t="n"/>
      <c r="U412" s="19">
        <f>IF(AND($V412='設定'!$C$4,COUNTIF('商品マスタ'!$B$6:$B$1005,$W412)=0),N(U411)+1,N(U411))</f>
        <v/>
      </c>
      <c r="V412" s="19">
        <f>IF($B412="","",TEXT($B412,"0000"))</f>
        <v/>
      </c>
      <c r="W412" s="19">
        <f>IF($I412="","",IF(ISNUMBER($I412),TEXT($I412,"0"),$I412))</f>
        <v/>
      </c>
    </row>
    <row r="413">
      <c r="B413" s="25" t="n"/>
      <c r="I413" s="25" t="n"/>
      <c r="U413" s="19">
        <f>IF(AND($V413='設定'!$C$4,COUNTIF('商品マスタ'!$B$6:$B$1005,$W413)=0),N(U412)+1,N(U412))</f>
        <v/>
      </c>
      <c r="V413" s="19">
        <f>IF($B413="","",TEXT($B413,"0000"))</f>
        <v/>
      </c>
      <c r="W413" s="19">
        <f>IF($I413="","",IF(ISNUMBER($I413),TEXT($I413,"0"),$I413))</f>
        <v/>
      </c>
    </row>
    <row r="414">
      <c r="B414" s="25" t="n"/>
      <c r="I414" s="25" t="n"/>
      <c r="U414" s="19">
        <f>IF(AND($V414='設定'!$C$4,COUNTIF('商品マスタ'!$B$6:$B$1005,$W414)=0),N(U413)+1,N(U413))</f>
        <v/>
      </c>
      <c r="V414" s="19">
        <f>IF($B414="","",TEXT($B414,"0000"))</f>
        <v/>
      </c>
      <c r="W414" s="19">
        <f>IF($I414="","",IF(ISNUMBER($I414),TEXT($I414,"0"),$I414))</f>
        <v/>
      </c>
    </row>
    <row r="415">
      <c r="B415" s="25" t="n"/>
      <c r="I415" s="25" t="n"/>
      <c r="U415" s="19">
        <f>IF(AND($V415='設定'!$C$4,COUNTIF('商品マスタ'!$B$6:$B$1005,$W415)=0),N(U414)+1,N(U414))</f>
        <v/>
      </c>
      <c r="V415" s="19">
        <f>IF($B415="","",TEXT($B415,"0000"))</f>
        <v/>
      </c>
      <c r="W415" s="19">
        <f>IF($I415="","",IF(ISNUMBER($I415),TEXT($I415,"0"),$I415))</f>
        <v/>
      </c>
    </row>
    <row r="416">
      <c r="B416" s="25" t="n"/>
      <c r="I416" s="25" t="n"/>
      <c r="U416" s="19">
        <f>IF(AND($V416='設定'!$C$4,COUNTIF('商品マスタ'!$B$6:$B$1005,$W416)=0),N(U415)+1,N(U415))</f>
        <v/>
      </c>
      <c r="V416" s="19">
        <f>IF($B416="","",TEXT($B416,"0000"))</f>
        <v/>
      </c>
      <c r="W416" s="19">
        <f>IF($I416="","",IF(ISNUMBER($I416),TEXT($I416,"0"),$I416))</f>
        <v/>
      </c>
    </row>
    <row r="417">
      <c r="B417" s="25" t="n"/>
      <c r="I417" s="25" t="n"/>
      <c r="U417" s="19">
        <f>IF(AND($V417='設定'!$C$4,COUNTIF('商品マスタ'!$B$6:$B$1005,$W417)=0),N(U416)+1,N(U416))</f>
        <v/>
      </c>
      <c r="V417" s="19">
        <f>IF($B417="","",TEXT($B417,"0000"))</f>
        <v/>
      </c>
      <c r="W417" s="19">
        <f>IF($I417="","",IF(ISNUMBER($I417),TEXT($I417,"0"),$I417))</f>
        <v/>
      </c>
    </row>
    <row r="418">
      <c r="B418" s="25" t="n"/>
      <c r="I418" s="25" t="n"/>
      <c r="U418" s="19">
        <f>IF(AND($V418='設定'!$C$4,COUNTIF('商品マスタ'!$B$6:$B$1005,$W418)=0),N(U417)+1,N(U417))</f>
        <v/>
      </c>
      <c r="V418" s="19">
        <f>IF($B418="","",TEXT($B418,"0000"))</f>
        <v/>
      </c>
      <c r="W418" s="19">
        <f>IF($I418="","",IF(ISNUMBER($I418),TEXT($I418,"0"),$I418))</f>
        <v/>
      </c>
    </row>
    <row r="419">
      <c r="B419" s="25" t="n"/>
      <c r="I419" s="25" t="n"/>
      <c r="U419" s="19">
        <f>IF(AND($V419='設定'!$C$4,COUNTIF('商品マスタ'!$B$6:$B$1005,$W419)=0),N(U418)+1,N(U418))</f>
        <v/>
      </c>
      <c r="V419" s="19">
        <f>IF($B419="","",TEXT($B419,"0000"))</f>
        <v/>
      </c>
      <c r="W419" s="19">
        <f>IF($I419="","",IF(ISNUMBER($I419),TEXT($I419,"0"),$I419))</f>
        <v/>
      </c>
    </row>
    <row r="420">
      <c r="B420" s="25" t="n"/>
      <c r="I420" s="25" t="n"/>
      <c r="U420" s="19">
        <f>IF(AND($V420='設定'!$C$4,COUNTIF('商品マスタ'!$B$6:$B$1005,$W420)=0),N(U419)+1,N(U419))</f>
        <v/>
      </c>
      <c r="V420" s="19">
        <f>IF($B420="","",TEXT($B420,"0000"))</f>
        <v/>
      </c>
      <c r="W420" s="19">
        <f>IF($I420="","",IF(ISNUMBER($I420),TEXT($I420,"0"),$I420))</f>
        <v/>
      </c>
    </row>
    <row r="421">
      <c r="B421" s="25" t="n"/>
      <c r="I421" s="25" t="n"/>
      <c r="U421" s="19">
        <f>IF(AND($V421='設定'!$C$4,COUNTIF('商品マスタ'!$B$6:$B$1005,$W421)=0),N(U420)+1,N(U420))</f>
        <v/>
      </c>
      <c r="V421" s="19">
        <f>IF($B421="","",TEXT($B421,"0000"))</f>
        <v/>
      </c>
      <c r="W421" s="19">
        <f>IF($I421="","",IF(ISNUMBER($I421),TEXT($I421,"0"),$I421))</f>
        <v/>
      </c>
    </row>
    <row r="422">
      <c r="B422" s="25" t="n"/>
      <c r="I422" s="25" t="n"/>
      <c r="U422" s="19">
        <f>IF(AND($V422='設定'!$C$4,COUNTIF('商品マスタ'!$B$6:$B$1005,$W422)=0),N(U421)+1,N(U421))</f>
        <v/>
      </c>
      <c r="V422" s="19">
        <f>IF($B422="","",TEXT($B422,"0000"))</f>
        <v/>
      </c>
      <c r="W422" s="19">
        <f>IF($I422="","",IF(ISNUMBER($I422),TEXT($I422,"0"),$I422))</f>
        <v/>
      </c>
    </row>
    <row r="423">
      <c r="B423" s="25" t="n"/>
      <c r="I423" s="25" t="n"/>
      <c r="U423" s="19">
        <f>IF(AND($V423='設定'!$C$4,COUNTIF('商品マスタ'!$B$6:$B$1005,$W423)=0),N(U422)+1,N(U422))</f>
        <v/>
      </c>
      <c r="V423" s="19">
        <f>IF($B423="","",TEXT($B423,"0000"))</f>
        <v/>
      </c>
      <c r="W423" s="19">
        <f>IF($I423="","",IF(ISNUMBER($I423),TEXT($I423,"0"),$I423))</f>
        <v/>
      </c>
    </row>
    <row r="424">
      <c r="B424" s="25" t="n"/>
      <c r="I424" s="25" t="n"/>
      <c r="U424" s="19">
        <f>IF(AND($V424='設定'!$C$4,COUNTIF('商品マスタ'!$B$6:$B$1005,$W424)=0),N(U423)+1,N(U423))</f>
        <v/>
      </c>
      <c r="V424" s="19">
        <f>IF($B424="","",TEXT($B424,"0000"))</f>
        <v/>
      </c>
      <c r="W424" s="19">
        <f>IF($I424="","",IF(ISNUMBER($I424),TEXT($I424,"0"),$I424))</f>
        <v/>
      </c>
    </row>
    <row r="425">
      <c r="B425" s="25" t="n"/>
      <c r="I425" s="25" t="n"/>
      <c r="U425" s="19">
        <f>IF(AND($V425='設定'!$C$4,COUNTIF('商品マスタ'!$B$6:$B$1005,$W425)=0),N(U424)+1,N(U424))</f>
        <v/>
      </c>
      <c r="V425" s="19">
        <f>IF($B425="","",TEXT($B425,"0000"))</f>
        <v/>
      </c>
      <c r="W425" s="19">
        <f>IF($I425="","",IF(ISNUMBER($I425),TEXT($I425,"0"),$I425))</f>
        <v/>
      </c>
    </row>
    <row r="426">
      <c r="B426" s="25" t="n"/>
      <c r="I426" s="25" t="n"/>
      <c r="U426" s="19">
        <f>IF(AND($V426='設定'!$C$4,COUNTIF('商品マスタ'!$B$6:$B$1005,$W426)=0),N(U425)+1,N(U425))</f>
        <v/>
      </c>
      <c r="V426" s="19">
        <f>IF($B426="","",TEXT($B426,"0000"))</f>
        <v/>
      </c>
      <c r="W426" s="19">
        <f>IF($I426="","",IF(ISNUMBER($I426),TEXT($I426,"0"),$I426))</f>
        <v/>
      </c>
    </row>
    <row r="427">
      <c r="B427" s="25" t="n"/>
      <c r="I427" s="25" t="n"/>
      <c r="U427" s="19">
        <f>IF(AND($V427='設定'!$C$4,COUNTIF('商品マスタ'!$B$6:$B$1005,$W427)=0),N(U426)+1,N(U426))</f>
        <v/>
      </c>
      <c r="V427" s="19">
        <f>IF($B427="","",TEXT($B427,"0000"))</f>
        <v/>
      </c>
      <c r="W427" s="19">
        <f>IF($I427="","",IF(ISNUMBER($I427),TEXT($I427,"0"),$I427))</f>
        <v/>
      </c>
    </row>
    <row r="428">
      <c r="B428" s="25" t="n"/>
      <c r="I428" s="25" t="n"/>
      <c r="U428" s="19">
        <f>IF(AND($V428='設定'!$C$4,COUNTIF('商品マスタ'!$B$6:$B$1005,$W428)=0),N(U427)+1,N(U427))</f>
        <v/>
      </c>
      <c r="V428" s="19">
        <f>IF($B428="","",TEXT($B428,"0000"))</f>
        <v/>
      </c>
      <c r="W428" s="19">
        <f>IF($I428="","",IF(ISNUMBER($I428),TEXT($I428,"0"),$I428))</f>
        <v/>
      </c>
    </row>
    <row r="429">
      <c r="B429" s="25" t="n"/>
      <c r="I429" s="25" t="n"/>
      <c r="U429" s="19">
        <f>IF(AND($V429='設定'!$C$4,COUNTIF('商品マスタ'!$B$6:$B$1005,$W429)=0),N(U428)+1,N(U428))</f>
        <v/>
      </c>
      <c r="V429" s="19">
        <f>IF($B429="","",TEXT($B429,"0000"))</f>
        <v/>
      </c>
      <c r="W429" s="19">
        <f>IF($I429="","",IF(ISNUMBER($I429),TEXT($I429,"0"),$I429))</f>
        <v/>
      </c>
    </row>
    <row r="430">
      <c r="B430" s="25" t="n"/>
      <c r="I430" s="25" t="n"/>
      <c r="U430" s="19">
        <f>IF(AND($V430='設定'!$C$4,COUNTIF('商品マスタ'!$B$6:$B$1005,$W430)=0),N(U429)+1,N(U429))</f>
        <v/>
      </c>
      <c r="V430" s="19">
        <f>IF($B430="","",TEXT($B430,"0000"))</f>
        <v/>
      </c>
      <c r="W430" s="19">
        <f>IF($I430="","",IF(ISNUMBER($I430),TEXT($I430,"0"),$I430))</f>
        <v/>
      </c>
    </row>
    <row r="431">
      <c r="B431" s="25" t="n"/>
      <c r="I431" s="25" t="n"/>
      <c r="U431" s="19">
        <f>IF(AND($V431='設定'!$C$4,COUNTIF('商品マスタ'!$B$6:$B$1005,$W431)=0),N(U430)+1,N(U430))</f>
        <v/>
      </c>
      <c r="V431" s="19">
        <f>IF($B431="","",TEXT($B431,"0000"))</f>
        <v/>
      </c>
      <c r="W431" s="19">
        <f>IF($I431="","",IF(ISNUMBER($I431),TEXT($I431,"0"),$I431))</f>
        <v/>
      </c>
    </row>
    <row r="432">
      <c r="B432" s="25" t="n"/>
      <c r="I432" s="25" t="n"/>
      <c r="U432" s="19">
        <f>IF(AND($V432='設定'!$C$4,COUNTIF('商品マスタ'!$B$6:$B$1005,$W432)=0),N(U431)+1,N(U431))</f>
        <v/>
      </c>
      <c r="V432" s="19">
        <f>IF($B432="","",TEXT($B432,"0000"))</f>
        <v/>
      </c>
      <c r="W432" s="19">
        <f>IF($I432="","",IF(ISNUMBER($I432),TEXT($I432,"0"),$I432))</f>
        <v/>
      </c>
    </row>
    <row r="433">
      <c r="B433" s="25" t="n"/>
      <c r="I433" s="25" t="n"/>
      <c r="U433" s="19">
        <f>IF(AND($V433='設定'!$C$4,COUNTIF('商品マスタ'!$B$6:$B$1005,$W433)=0),N(U432)+1,N(U432))</f>
        <v/>
      </c>
      <c r="V433" s="19">
        <f>IF($B433="","",TEXT($B433,"0000"))</f>
        <v/>
      </c>
      <c r="W433" s="19">
        <f>IF($I433="","",IF(ISNUMBER($I433),TEXT($I433,"0"),$I433))</f>
        <v/>
      </c>
    </row>
    <row r="434">
      <c r="B434" s="25" t="n"/>
      <c r="I434" s="25" t="n"/>
      <c r="U434" s="19">
        <f>IF(AND($V434='設定'!$C$4,COUNTIF('商品マスタ'!$B$6:$B$1005,$W434)=0),N(U433)+1,N(U433))</f>
        <v/>
      </c>
      <c r="V434" s="19">
        <f>IF($B434="","",TEXT($B434,"0000"))</f>
        <v/>
      </c>
      <c r="W434" s="19">
        <f>IF($I434="","",IF(ISNUMBER($I434),TEXT($I434,"0"),$I434))</f>
        <v/>
      </c>
    </row>
    <row r="435">
      <c r="B435" s="25" t="n"/>
      <c r="I435" s="25" t="n"/>
      <c r="U435" s="19">
        <f>IF(AND($V435='設定'!$C$4,COUNTIF('商品マスタ'!$B$6:$B$1005,$W435)=0),N(U434)+1,N(U434))</f>
        <v/>
      </c>
      <c r="V435" s="19">
        <f>IF($B435="","",TEXT($B435,"0000"))</f>
        <v/>
      </c>
      <c r="W435" s="19">
        <f>IF($I435="","",IF(ISNUMBER($I435),TEXT($I435,"0"),$I435))</f>
        <v/>
      </c>
    </row>
    <row r="436">
      <c r="B436" s="25" t="n"/>
      <c r="I436" s="25" t="n"/>
      <c r="U436" s="19">
        <f>IF(AND($V436='設定'!$C$4,COUNTIF('商品マスタ'!$B$6:$B$1005,$W436)=0),N(U435)+1,N(U435))</f>
        <v/>
      </c>
      <c r="V436" s="19">
        <f>IF($B436="","",TEXT($B436,"0000"))</f>
        <v/>
      </c>
      <c r="W436" s="19">
        <f>IF($I436="","",IF(ISNUMBER($I436),TEXT($I436,"0"),$I436))</f>
        <v/>
      </c>
    </row>
    <row r="437">
      <c r="B437" s="25" t="n"/>
      <c r="I437" s="25" t="n"/>
      <c r="U437" s="19">
        <f>IF(AND($V437='設定'!$C$4,COUNTIF('商品マスタ'!$B$6:$B$1005,$W437)=0),N(U436)+1,N(U436))</f>
        <v/>
      </c>
      <c r="V437" s="19">
        <f>IF($B437="","",TEXT($B437,"0000"))</f>
        <v/>
      </c>
      <c r="W437" s="19">
        <f>IF($I437="","",IF(ISNUMBER($I437),TEXT($I437,"0"),$I437))</f>
        <v/>
      </c>
    </row>
    <row r="438">
      <c r="B438" s="25" t="n"/>
      <c r="I438" s="25" t="n"/>
      <c r="U438" s="19">
        <f>IF(AND($V438='設定'!$C$4,COUNTIF('商品マスタ'!$B$6:$B$1005,$W438)=0),N(U437)+1,N(U437))</f>
        <v/>
      </c>
      <c r="V438" s="19">
        <f>IF($B438="","",TEXT($B438,"0000"))</f>
        <v/>
      </c>
      <c r="W438" s="19">
        <f>IF($I438="","",IF(ISNUMBER($I438),TEXT($I438,"0"),$I438))</f>
        <v/>
      </c>
    </row>
    <row r="439">
      <c r="B439" s="25" t="n"/>
      <c r="I439" s="25" t="n"/>
      <c r="U439" s="19">
        <f>IF(AND($V439='設定'!$C$4,COUNTIF('商品マスタ'!$B$6:$B$1005,$W439)=0),N(U438)+1,N(U438))</f>
        <v/>
      </c>
      <c r="V439" s="19">
        <f>IF($B439="","",TEXT($B439,"0000"))</f>
        <v/>
      </c>
      <c r="W439" s="19">
        <f>IF($I439="","",IF(ISNUMBER($I439),TEXT($I439,"0"),$I439))</f>
        <v/>
      </c>
    </row>
    <row r="440">
      <c r="B440" s="25" t="n"/>
      <c r="I440" s="25" t="n"/>
      <c r="U440" s="19">
        <f>IF(AND($V440='設定'!$C$4,COUNTIF('商品マスタ'!$B$6:$B$1005,$W440)=0),N(U439)+1,N(U439))</f>
        <v/>
      </c>
      <c r="V440" s="19">
        <f>IF($B440="","",TEXT($B440,"0000"))</f>
        <v/>
      </c>
      <c r="W440" s="19">
        <f>IF($I440="","",IF(ISNUMBER($I440),TEXT($I440,"0"),$I440))</f>
        <v/>
      </c>
    </row>
    <row r="441">
      <c r="B441" s="25" t="n"/>
      <c r="I441" s="25" t="n"/>
      <c r="U441" s="19">
        <f>IF(AND($V441='設定'!$C$4,COUNTIF('商品マスタ'!$B$6:$B$1005,$W441)=0),N(U440)+1,N(U440))</f>
        <v/>
      </c>
      <c r="V441" s="19">
        <f>IF($B441="","",TEXT($B441,"0000"))</f>
        <v/>
      </c>
      <c r="W441" s="19">
        <f>IF($I441="","",IF(ISNUMBER($I441),TEXT($I441,"0"),$I441))</f>
        <v/>
      </c>
    </row>
    <row r="442">
      <c r="B442" s="25" t="n"/>
      <c r="I442" s="25" t="n"/>
      <c r="U442" s="19">
        <f>IF(AND($V442='設定'!$C$4,COUNTIF('商品マスタ'!$B$6:$B$1005,$W442)=0),N(U441)+1,N(U441))</f>
        <v/>
      </c>
      <c r="V442" s="19">
        <f>IF($B442="","",TEXT($B442,"0000"))</f>
        <v/>
      </c>
      <c r="W442" s="19">
        <f>IF($I442="","",IF(ISNUMBER($I442),TEXT($I442,"0"),$I442))</f>
        <v/>
      </c>
    </row>
    <row r="443">
      <c r="B443" s="25" t="n"/>
      <c r="I443" s="25" t="n"/>
      <c r="U443" s="19">
        <f>IF(AND($V443='設定'!$C$4,COUNTIF('商品マスタ'!$B$6:$B$1005,$W443)=0),N(U442)+1,N(U442))</f>
        <v/>
      </c>
      <c r="V443" s="19">
        <f>IF($B443="","",TEXT($B443,"0000"))</f>
        <v/>
      </c>
      <c r="W443" s="19">
        <f>IF($I443="","",IF(ISNUMBER($I443),TEXT($I443,"0"),$I443))</f>
        <v/>
      </c>
    </row>
    <row r="444">
      <c r="B444" s="25" t="n"/>
      <c r="I444" s="25" t="n"/>
      <c r="U444" s="19">
        <f>IF(AND($V444='設定'!$C$4,COUNTIF('商品マスタ'!$B$6:$B$1005,$W444)=0),N(U443)+1,N(U443))</f>
        <v/>
      </c>
      <c r="V444" s="19">
        <f>IF($B444="","",TEXT($B444,"0000"))</f>
        <v/>
      </c>
      <c r="W444" s="19">
        <f>IF($I444="","",IF(ISNUMBER($I444),TEXT($I444,"0"),$I444))</f>
        <v/>
      </c>
    </row>
    <row r="445">
      <c r="B445" s="25" t="n"/>
      <c r="I445" s="25" t="n"/>
      <c r="U445" s="19">
        <f>IF(AND($V445='設定'!$C$4,COUNTIF('商品マスタ'!$B$6:$B$1005,$W445)=0),N(U444)+1,N(U444))</f>
        <v/>
      </c>
      <c r="V445" s="19">
        <f>IF($B445="","",TEXT($B445,"0000"))</f>
        <v/>
      </c>
      <c r="W445" s="19">
        <f>IF($I445="","",IF(ISNUMBER($I445),TEXT($I445,"0"),$I445))</f>
        <v/>
      </c>
    </row>
    <row r="446">
      <c r="B446" s="25" t="n"/>
      <c r="I446" s="25" t="n"/>
      <c r="U446" s="19">
        <f>IF(AND($V446='設定'!$C$4,COUNTIF('商品マスタ'!$B$6:$B$1005,$W446)=0),N(U445)+1,N(U445))</f>
        <v/>
      </c>
      <c r="V446" s="19">
        <f>IF($B446="","",TEXT($B446,"0000"))</f>
        <v/>
      </c>
      <c r="W446" s="19">
        <f>IF($I446="","",IF(ISNUMBER($I446),TEXT($I446,"0"),$I446))</f>
        <v/>
      </c>
    </row>
    <row r="447">
      <c r="B447" s="25" t="n"/>
      <c r="I447" s="25" t="n"/>
      <c r="U447" s="19">
        <f>IF(AND($V447='設定'!$C$4,COUNTIF('商品マスタ'!$B$6:$B$1005,$W447)=0),N(U446)+1,N(U446))</f>
        <v/>
      </c>
      <c r="V447" s="19">
        <f>IF($B447="","",TEXT($B447,"0000"))</f>
        <v/>
      </c>
      <c r="W447" s="19">
        <f>IF($I447="","",IF(ISNUMBER($I447),TEXT($I447,"0"),$I447))</f>
        <v/>
      </c>
    </row>
    <row r="448">
      <c r="B448" s="25" t="n"/>
      <c r="I448" s="25" t="n"/>
      <c r="U448" s="19">
        <f>IF(AND($V448='設定'!$C$4,COUNTIF('商品マスタ'!$B$6:$B$1005,$W448)=0),N(U447)+1,N(U447))</f>
        <v/>
      </c>
      <c r="V448" s="19">
        <f>IF($B448="","",TEXT($B448,"0000"))</f>
        <v/>
      </c>
      <c r="W448" s="19">
        <f>IF($I448="","",IF(ISNUMBER($I448),TEXT($I448,"0"),$I448))</f>
        <v/>
      </c>
    </row>
    <row r="449">
      <c r="B449" s="25" t="n"/>
      <c r="I449" s="25" t="n"/>
      <c r="U449" s="19">
        <f>IF(AND($V449='設定'!$C$4,COUNTIF('商品マスタ'!$B$6:$B$1005,$W449)=0),N(U448)+1,N(U448))</f>
        <v/>
      </c>
      <c r="V449" s="19">
        <f>IF($B449="","",TEXT($B449,"0000"))</f>
        <v/>
      </c>
      <c r="W449" s="19">
        <f>IF($I449="","",IF(ISNUMBER($I449),TEXT($I449,"0"),$I449))</f>
        <v/>
      </c>
    </row>
    <row r="450">
      <c r="B450" s="25" t="n"/>
      <c r="I450" s="25" t="n"/>
      <c r="U450" s="19">
        <f>IF(AND($V450='設定'!$C$4,COUNTIF('商品マスタ'!$B$6:$B$1005,$W450)=0),N(U449)+1,N(U449))</f>
        <v/>
      </c>
      <c r="V450" s="19">
        <f>IF($B450="","",TEXT($B450,"0000"))</f>
        <v/>
      </c>
      <c r="W450" s="19">
        <f>IF($I450="","",IF(ISNUMBER($I450),TEXT($I450,"0"),$I450))</f>
        <v/>
      </c>
    </row>
    <row r="451">
      <c r="B451" s="25" t="n"/>
      <c r="I451" s="25" t="n"/>
      <c r="U451" s="19">
        <f>IF(AND($V451='設定'!$C$4,COUNTIF('商品マスタ'!$B$6:$B$1005,$W451)=0),N(U450)+1,N(U450))</f>
        <v/>
      </c>
      <c r="V451" s="19">
        <f>IF($B451="","",TEXT($B451,"0000"))</f>
        <v/>
      </c>
      <c r="W451" s="19">
        <f>IF($I451="","",IF(ISNUMBER($I451),TEXT($I451,"0"),$I451))</f>
        <v/>
      </c>
    </row>
    <row r="452">
      <c r="B452" s="25" t="n"/>
      <c r="I452" s="25" t="n"/>
      <c r="U452" s="19">
        <f>IF(AND($V452='設定'!$C$4,COUNTIF('商品マスタ'!$B$6:$B$1005,$W452)=0),N(U451)+1,N(U451))</f>
        <v/>
      </c>
      <c r="V452" s="19">
        <f>IF($B452="","",TEXT($B452,"0000"))</f>
        <v/>
      </c>
      <c r="W452" s="19">
        <f>IF($I452="","",IF(ISNUMBER($I452),TEXT($I452,"0"),$I452))</f>
        <v/>
      </c>
    </row>
    <row r="453">
      <c r="B453" s="25" t="n"/>
      <c r="I453" s="25" t="n"/>
      <c r="U453" s="19">
        <f>IF(AND($V453='設定'!$C$4,COUNTIF('商品マスタ'!$B$6:$B$1005,$W453)=0),N(U452)+1,N(U452))</f>
        <v/>
      </c>
      <c r="V453" s="19">
        <f>IF($B453="","",TEXT($B453,"0000"))</f>
        <v/>
      </c>
      <c r="W453" s="19">
        <f>IF($I453="","",IF(ISNUMBER($I453),TEXT($I453,"0"),$I453))</f>
        <v/>
      </c>
    </row>
    <row r="454">
      <c r="B454" s="25" t="n"/>
      <c r="I454" s="25" t="n"/>
      <c r="U454" s="19">
        <f>IF(AND($V454='設定'!$C$4,COUNTIF('商品マスタ'!$B$6:$B$1005,$W454)=0),N(U453)+1,N(U453))</f>
        <v/>
      </c>
      <c r="V454" s="19">
        <f>IF($B454="","",TEXT($B454,"0000"))</f>
        <v/>
      </c>
      <c r="W454" s="19">
        <f>IF($I454="","",IF(ISNUMBER($I454),TEXT($I454,"0"),$I454))</f>
        <v/>
      </c>
    </row>
    <row r="455">
      <c r="B455" s="25" t="n"/>
      <c r="I455" s="25" t="n"/>
      <c r="U455" s="19">
        <f>IF(AND($V455='設定'!$C$4,COUNTIF('商品マスタ'!$B$6:$B$1005,$W455)=0),N(U454)+1,N(U454))</f>
        <v/>
      </c>
      <c r="V455" s="19">
        <f>IF($B455="","",TEXT($B455,"0000"))</f>
        <v/>
      </c>
      <c r="W455" s="19">
        <f>IF($I455="","",IF(ISNUMBER($I455),TEXT($I455,"0"),$I455))</f>
        <v/>
      </c>
    </row>
    <row r="456">
      <c r="B456" s="25" t="n"/>
      <c r="I456" s="25" t="n"/>
      <c r="U456" s="19">
        <f>IF(AND($V456='設定'!$C$4,COUNTIF('商品マスタ'!$B$6:$B$1005,$W456)=0),N(U455)+1,N(U455))</f>
        <v/>
      </c>
      <c r="V456" s="19">
        <f>IF($B456="","",TEXT($B456,"0000"))</f>
        <v/>
      </c>
      <c r="W456" s="19">
        <f>IF($I456="","",IF(ISNUMBER($I456),TEXT($I456,"0"),$I456))</f>
        <v/>
      </c>
    </row>
    <row r="457">
      <c r="B457" s="25" t="n"/>
      <c r="I457" s="25" t="n"/>
      <c r="U457" s="19">
        <f>IF(AND($V457='設定'!$C$4,COUNTIF('商品マスタ'!$B$6:$B$1005,$W457)=0),N(U456)+1,N(U456))</f>
        <v/>
      </c>
      <c r="V457" s="19">
        <f>IF($B457="","",TEXT($B457,"0000"))</f>
        <v/>
      </c>
      <c r="W457" s="19">
        <f>IF($I457="","",IF(ISNUMBER($I457),TEXT($I457,"0"),$I457))</f>
        <v/>
      </c>
    </row>
    <row r="458">
      <c r="B458" s="25" t="n"/>
      <c r="I458" s="25" t="n"/>
      <c r="U458" s="19">
        <f>IF(AND($V458='設定'!$C$4,COUNTIF('商品マスタ'!$B$6:$B$1005,$W458)=0),N(U457)+1,N(U457))</f>
        <v/>
      </c>
      <c r="V458" s="19">
        <f>IF($B458="","",TEXT($B458,"0000"))</f>
        <v/>
      </c>
      <c r="W458" s="19">
        <f>IF($I458="","",IF(ISNUMBER($I458),TEXT($I458,"0"),$I458))</f>
        <v/>
      </c>
    </row>
    <row r="459">
      <c r="B459" s="25" t="n"/>
      <c r="I459" s="25" t="n"/>
      <c r="U459" s="19">
        <f>IF(AND($V459='設定'!$C$4,COUNTIF('商品マスタ'!$B$6:$B$1005,$W459)=0),N(U458)+1,N(U458))</f>
        <v/>
      </c>
      <c r="V459" s="19">
        <f>IF($B459="","",TEXT($B459,"0000"))</f>
        <v/>
      </c>
      <c r="W459" s="19">
        <f>IF($I459="","",IF(ISNUMBER($I459),TEXT($I459,"0"),$I459))</f>
        <v/>
      </c>
    </row>
    <row r="460">
      <c r="B460" s="25" t="n"/>
      <c r="I460" s="25" t="n"/>
      <c r="U460" s="19">
        <f>IF(AND($V460='設定'!$C$4,COUNTIF('商品マスタ'!$B$6:$B$1005,$W460)=0),N(U459)+1,N(U459))</f>
        <v/>
      </c>
      <c r="V460" s="19">
        <f>IF($B460="","",TEXT($B460,"0000"))</f>
        <v/>
      </c>
      <c r="W460" s="19">
        <f>IF($I460="","",IF(ISNUMBER($I460),TEXT($I460,"0"),$I460))</f>
        <v/>
      </c>
    </row>
    <row r="461">
      <c r="B461" s="25" t="n"/>
      <c r="I461" s="25" t="n"/>
      <c r="U461" s="19">
        <f>IF(AND($V461='設定'!$C$4,COUNTIF('商品マスタ'!$B$6:$B$1005,$W461)=0),N(U460)+1,N(U460))</f>
        <v/>
      </c>
      <c r="V461" s="19">
        <f>IF($B461="","",TEXT($B461,"0000"))</f>
        <v/>
      </c>
      <c r="W461" s="19">
        <f>IF($I461="","",IF(ISNUMBER($I461),TEXT($I461,"0"),$I461))</f>
        <v/>
      </c>
    </row>
    <row r="462">
      <c r="B462" s="25" t="n"/>
      <c r="I462" s="25" t="n"/>
      <c r="U462" s="19">
        <f>IF(AND($V462='設定'!$C$4,COUNTIF('商品マスタ'!$B$6:$B$1005,$W462)=0),N(U461)+1,N(U461))</f>
        <v/>
      </c>
      <c r="V462" s="19">
        <f>IF($B462="","",TEXT($B462,"0000"))</f>
        <v/>
      </c>
      <c r="W462" s="19">
        <f>IF($I462="","",IF(ISNUMBER($I462),TEXT($I462,"0"),$I462))</f>
        <v/>
      </c>
    </row>
    <row r="463">
      <c r="B463" s="25" t="n"/>
      <c r="I463" s="25" t="n"/>
      <c r="U463" s="19">
        <f>IF(AND($V463='設定'!$C$4,COUNTIF('商品マスタ'!$B$6:$B$1005,$W463)=0),N(U462)+1,N(U462))</f>
        <v/>
      </c>
      <c r="V463" s="19">
        <f>IF($B463="","",TEXT($B463,"0000"))</f>
        <v/>
      </c>
      <c r="W463" s="19">
        <f>IF($I463="","",IF(ISNUMBER($I463),TEXT($I463,"0"),$I463))</f>
        <v/>
      </c>
    </row>
    <row r="464">
      <c r="B464" s="25" t="n"/>
      <c r="I464" s="25" t="n"/>
      <c r="U464" s="19">
        <f>IF(AND($V464='設定'!$C$4,COUNTIF('商品マスタ'!$B$6:$B$1005,$W464)=0),N(U463)+1,N(U463))</f>
        <v/>
      </c>
      <c r="V464" s="19">
        <f>IF($B464="","",TEXT($B464,"0000"))</f>
        <v/>
      </c>
      <c r="W464" s="19">
        <f>IF($I464="","",IF(ISNUMBER($I464),TEXT($I464,"0"),$I464))</f>
        <v/>
      </c>
    </row>
    <row r="465">
      <c r="B465" s="25" t="n"/>
      <c r="I465" s="25" t="n"/>
      <c r="U465" s="19">
        <f>IF(AND($V465='設定'!$C$4,COUNTIF('商品マスタ'!$B$6:$B$1005,$W465)=0),N(U464)+1,N(U464))</f>
        <v/>
      </c>
      <c r="V465" s="19">
        <f>IF($B465="","",TEXT($B465,"0000"))</f>
        <v/>
      </c>
      <c r="W465" s="19">
        <f>IF($I465="","",IF(ISNUMBER($I465),TEXT($I465,"0"),$I465))</f>
        <v/>
      </c>
    </row>
    <row r="466">
      <c r="B466" s="25" t="n"/>
      <c r="I466" s="25" t="n"/>
      <c r="U466" s="19">
        <f>IF(AND($V466='設定'!$C$4,COUNTIF('商品マスタ'!$B$6:$B$1005,$W466)=0),N(U465)+1,N(U465))</f>
        <v/>
      </c>
      <c r="V466" s="19">
        <f>IF($B466="","",TEXT($B466,"0000"))</f>
        <v/>
      </c>
      <c r="W466" s="19">
        <f>IF($I466="","",IF(ISNUMBER($I466),TEXT($I466,"0"),$I466))</f>
        <v/>
      </c>
    </row>
    <row r="467">
      <c r="B467" s="25" t="n"/>
      <c r="I467" s="25" t="n"/>
      <c r="U467" s="19">
        <f>IF(AND($V467='設定'!$C$4,COUNTIF('商品マスタ'!$B$6:$B$1005,$W467)=0),N(U466)+1,N(U466))</f>
        <v/>
      </c>
      <c r="V467" s="19">
        <f>IF($B467="","",TEXT($B467,"0000"))</f>
        <v/>
      </c>
      <c r="W467" s="19">
        <f>IF($I467="","",IF(ISNUMBER($I467),TEXT($I467,"0"),$I467))</f>
        <v/>
      </c>
    </row>
    <row r="468">
      <c r="B468" s="25" t="n"/>
      <c r="I468" s="25" t="n"/>
      <c r="U468" s="19">
        <f>IF(AND($V468='設定'!$C$4,COUNTIF('商品マスタ'!$B$6:$B$1005,$W468)=0),N(U467)+1,N(U467))</f>
        <v/>
      </c>
      <c r="V468" s="19">
        <f>IF($B468="","",TEXT($B468,"0000"))</f>
        <v/>
      </c>
      <c r="W468" s="19">
        <f>IF($I468="","",IF(ISNUMBER($I468),TEXT($I468,"0"),$I468))</f>
        <v/>
      </c>
    </row>
    <row r="469">
      <c r="B469" s="25" t="n"/>
      <c r="I469" s="25" t="n"/>
      <c r="U469" s="19">
        <f>IF(AND($V469='設定'!$C$4,COUNTIF('商品マスタ'!$B$6:$B$1005,$W469)=0),N(U468)+1,N(U468))</f>
        <v/>
      </c>
      <c r="V469" s="19">
        <f>IF($B469="","",TEXT($B469,"0000"))</f>
        <v/>
      </c>
      <c r="W469" s="19">
        <f>IF($I469="","",IF(ISNUMBER($I469),TEXT($I469,"0"),$I469))</f>
        <v/>
      </c>
    </row>
    <row r="470">
      <c r="B470" s="25" t="n"/>
      <c r="I470" s="25" t="n"/>
      <c r="U470" s="19">
        <f>IF(AND($V470='設定'!$C$4,COUNTIF('商品マスタ'!$B$6:$B$1005,$W470)=0),N(U469)+1,N(U469))</f>
        <v/>
      </c>
      <c r="V470" s="19">
        <f>IF($B470="","",TEXT($B470,"0000"))</f>
        <v/>
      </c>
      <c r="W470" s="19">
        <f>IF($I470="","",IF(ISNUMBER($I470),TEXT($I470,"0"),$I470))</f>
        <v/>
      </c>
    </row>
    <row r="471">
      <c r="B471" s="25" t="n"/>
      <c r="I471" s="25" t="n"/>
      <c r="U471" s="19">
        <f>IF(AND($V471='設定'!$C$4,COUNTIF('商品マスタ'!$B$6:$B$1005,$W471)=0),N(U470)+1,N(U470))</f>
        <v/>
      </c>
      <c r="V471" s="19">
        <f>IF($B471="","",TEXT($B471,"0000"))</f>
        <v/>
      </c>
      <c r="W471" s="19">
        <f>IF($I471="","",IF(ISNUMBER($I471),TEXT($I471,"0"),$I471))</f>
        <v/>
      </c>
    </row>
    <row r="472">
      <c r="B472" s="25" t="n"/>
      <c r="I472" s="25" t="n"/>
      <c r="U472" s="19">
        <f>IF(AND($V472='設定'!$C$4,COUNTIF('商品マスタ'!$B$6:$B$1005,$W472)=0),N(U471)+1,N(U471))</f>
        <v/>
      </c>
      <c r="V472" s="19">
        <f>IF($B472="","",TEXT($B472,"0000"))</f>
        <v/>
      </c>
      <c r="W472" s="19">
        <f>IF($I472="","",IF(ISNUMBER($I472),TEXT($I472,"0"),$I472))</f>
        <v/>
      </c>
    </row>
    <row r="473">
      <c r="B473" s="25" t="n"/>
      <c r="I473" s="25" t="n"/>
      <c r="U473" s="19">
        <f>IF(AND($V473='設定'!$C$4,COUNTIF('商品マスタ'!$B$6:$B$1005,$W473)=0),N(U472)+1,N(U472))</f>
        <v/>
      </c>
      <c r="V473" s="19">
        <f>IF($B473="","",TEXT($B473,"0000"))</f>
        <v/>
      </c>
      <c r="W473" s="19">
        <f>IF($I473="","",IF(ISNUMBER($I473),TEXT($I473,"0"),$I473))</f>
        <v/>
      </c>
    </row>
    <row r="474">
      <c r="B474" s="25" t="n"/>
      <c r="I474" s="25" t="n"/>
      <c r="U474" s="19">
        <f>IF(AND($V474='設定'!$C$4,COUNTIF('商品マスタ'!$B$6:$B$1005,$W474)=0),N(U473)+1,N(U473))</f>
        <v/>
      </c>
      <c r="V474" s="19">
        <f>IF($B474="","",TEXT($B474,"0000"))</f>
        <v/>
      </c>
      <c r="W474" s="19">
        <f>IF($I474="","",IF(ISNUMBER($I474),TEXT($I474,"0"),$I474))</f>
        <v/>
      </c>
    </row>
    <row r="475">
      <c r="B475" s="25" t="n"/>
      <c r="I475" s="25" t="n"/>
      <c r="U475" s="19">
        <f>IF(AND($V475='設定'!$C$4,COUNTIF('商品マスタ'!$B$6:$B$1005,$W475)=0),N(U474)+1,N(U474))</f>
        <v/>
      </c>
      <c r="V475" s="19">
        <f>IF($B475="","",TEXT($B475,"0000"))</f>
        <v/>
      </c>
      <c r="W475" s="19">
        <f>IF($I475="","",IF(ISNUMBER($I475),TEXT($I475,"0"),$I475))</f>
        <v/>
      </c>
    </row>
    <row r="476">
      <c r="B476" s="25" t="n"/>
      <c r="I476" s="25" t="n"/>
      <c r="U476" s="19">
        <f>IF(AND($V476='設定'!$C$4,COUNTIF('商品マスタ'!$B$6:$B$1005,$W476)=0),N(U475)+1,N(U475))</f>
        <v/>
      </c>
      <c r="V476" s="19">
        <f>IF($B476="","",TEXT($B476,"0000"))</f>
        <v/>
      </c>
      <c r="W476" s="19">
        <f>IF($I476="","",IF(ISNUMBER($I476),TEXT($I476,"0"),$I476))</f>
        <v/>
      </c>
    </row>
    <row r="477">
      <c r="B477" s="25" t="n"/>
      <c r="I477" s="25" t="n"/>
      <c r="U477" s="19">
        <f>IF(AND($V477='設定'!$C$4,COUNTIF('商品マスタ'!$B$6:$B$1005,$W477)=0),N(U476)+1,N(U476))</f>
        <v/>
      </c>
      <c r="V477" s="19">
        <f>IF($B477="","",TEXT($B477,"0000"))</f>
        <v/>
      </c>
      <c r="W477" s="19">
        <f>IF($I477="","",IF(ISNUMBER($I477),TEXT($I477,"0"),$I477))</f>
        <v/>
      </c>
    </row>
    <row r="478">
      <c r="B478" s="25" t="n"/>
      <c r="I478" s="25" t="n"/>
      <c r="U478" s="19">
        <f>IF(AND($V478='設定'!$C$4,COUNTIF('商品マスタ'!$B$6:$B$1005,$W478)=0),N(U477)+1,N(U477))</f>
        <v/>
      </c>
      <c r="V478" s="19">
        <f>IF($B478="","",TEXT($B478,"0000"))</f>
        <v/>
      </c>
      <c r="W478" s="19">
        <f>IF($I478="","",IF(ISNUMBER($I478),TEXT($I478,"0"),$I478))</f>
        <v/>
      </c>
    </row>
    <row r="479">
      <c r="B479" s="25" t="n"/>
      <c r="I479" s="25" t="n"/>
      <c r="U479" s="19">
        <f>IF(AND($V479='設定'!$C$4,COUNTIF('商品マスタ'!$B$6:$B$1005,$W479)=0),N(U478)+1,N(U478))</f>
        <v/>
      </c>
      <c r="V479" s="19">
        <f>IF($B479="","",TEXT($B479,"0000"))</f>
        <v/>
      </c>
      <c r="W479" s="19">
        <f>IF($I479="","",IF(ISNUMBER($I479),TEXT($I479,"0"),$I479))</f>
        <v/>
      </c>
    </row>
    <row r="480">
      <c r="B480" s="25" t="n"/>
      <c r="I480" s="25" t="n"/>
      <c r="U480" s="19">
        <f>IF(AND($V480='設定'!$C$4,COUNTIF('商品マスタ'!$B$6:$B$1005,$W480)=0),N(U479)+1,N(U479))</f>
        <v/>
      </c>
      <c r="V480" s="19">
        <f>IF($B480="","",TEXT($B480,"0000"))</f>
        <v/>
      </c>
      <c r="W480" s="19">
        <f>IF($I480="","",IF(ISNUMBER($I480),TEXT($I480,"0"),$I480))</f>
        <v/>
      </c>
    </row>
    <row r="481">
      <c r="B481" s="25" t="n"/>
      <c r="I481" s="25" t="n"/>
      <c r="U481" s="19">
        <f>IF(AND($V481='設定'!$C$4,COUNTIF('商品マスタ'!$B$6:$B$1005,$W481)=0),N(U480)+1,N(U480))</f>
        <v/>
      </c>
      <c r="V481" s="19">
        <f>IF($B481="","",TEXT($B481,"0000"))</f>
        <v/>
      </c>
      <c r="W481" s="19">
        <f>IF($I481="","",IF(ISNUMBER($I481),TEXT($I481,"0"),$I481))</f>
        <v/>
      </c>
    </row>
    <row r="482">
      <c r="B482" s="25" t="n"/>
      <c r="I482" s="25" t="n"/>
      <c r="U482" s="19">
        <f>IF(AND($V482='設定'!$C$4,COUNTIF('商品マスタ'!$B$6:$B$1005,$W482)=0),N(U481)+1,N(U481))</f>
        <v/>
      </c>
      <c r="V482" s="19">
        <f>IF($B482="","",TEXT($B482,"0000"))</f>
        <v/>
      </c>
      <c r="W482" s="19">
        <f>IF($I482="","",IF(ISNUMBER($I482),TEXT($I482,"0"),$I482))</f>
        <v/>
      </c>
    </row>
    <row r="483">
      <c r="B483" s="25" t="n"/>
      <c r="I483" s="25" t="n"/>
      <c r="U483" s="19">
        <f>IF(AND($V483='設定'!$C$4,COUNTIF('商品マスタ'!$B$6:$B$1005,$W483)=0),N(U482)+1,N(U482))</f>
        <v/>
      </c>
      <c r="V483" s="19">
        <f>IF($B483="","",TEXT($B483,"0000"))</f>
        <v/>
      </c>
      <c r="W483" s="19">
        <f>IF($I483="","",IF(ISNUMBER($I483),TEXT($I483,"0"),$I483))</f>
        <v/>
      </c>
    </row>
    <row r="484">
      <c r="B484" s="25" t="n"/>
      <c r="I484" s="25" t="n"/>
      <c r="U484" s="19">
        <f>IF(AND($V484='設定'!$C$4,COUNTIF('商品マスタ'!$B$6:$B$1005,$W484)=0),N(U483)+1,N(U483))</f>
        <v/>
      </c>
      <c r="V484" s="19">
        <f>IF($B484="","",TEXT($B484,"0000"))</f>
        <v/>
      </c>
      <c r="W484" s="19">
        <f>IF($I484="","",IF(ISNUMBER($I484),TEXT($I484,"0"),$I484))</f>
        <v/>
      </c>
    </row>
    <row r="485">
      <c r="B485" s="25" t="n"/>
      <c r="I485" s="25" t="n"/>
      <c r="U485" s="19">
        <f>IF(AND($V485='設定'!$C$4,COUNTIF('商品マスタ'!$B$6:$B$1005,$W485)=0),N(U484)+1,N(U484))</f>
        <v/>
      </c>
      <c r="V485" s="19">
        <f>IF($B485="","",TEXT($B485,"0000"))</f>
        <v/>
      </c>
      <c r="W485" s="19">
        <f>IF($I485="","",IF(ISNUMBER($I485),TEXT($I485,"0"),$I485))</f>
        <v/>
      </c>
    </row>
    <row r="486">
      <c r="B486" s="25" t="n"/>
      <c r="I486" s="25" t="n"/>
      <c r="U486" s="19">
        <f>IF(AND($V486='設定'!$C$4,COUNTIF('商品マスタ'!$B$6:$B$1005,$W486)=0),N(U485)+1,N(U485))</f>
        <v/>
      </c>
      <c r="V486" s="19">
        <f>IF($B486="","",TEXT($B486,"0000"))</f>
        <v/>
      </c>
      <c r="W486" s="19">
        <f>IF($I486="","",IF(ISNUMBER($I486),TEXT($I486,"0"),$I486))</f>
        <v/>
      </c>
    </row>
    <row r="487">
      <c r="B487" s="25" t="n"/>
      <c r="I487" s="25" t="n"/>
      <c r="U487" s="19">
        <f>IF(AND($V487='設定'!$C$4,COUNTIF('商品マスタ'!$B$6:$B$1005,$W487)=0),N(U486)+1,N(U486))</f>
        <v/>
      </c>
      <c r="V487" s="19">
        <f>IF($B487="","",TEXT($B487,"0000"))</f>
        <v/>
      </c>
      <c r="W487" s="19">
        <f>IF($I487="","",IF(ISNUMBER($I487),TEXT($I487,"0"),$I487))</f>
        <v/>
      </c>
    </row>
    <row r="488">
      <c r="B488" s="25" t="n"/>
      <c r="I488" s="25" t="n"/>
      <c r="U488" s="19">
        <f>IF(AND($V488='設定'!$C$4,COUNTIF('商品マスタ'!$B$6:$B$1005,$W488)=0),N(U487)+1,N(U487))</f>
        <v/>
      </c>
      <c r="V488" s="19">
        <f>IF($B488="","",TEXT($B488,"0000"))</f>
        <v/>
      </c>
      <c r="W488" s="19">
        <f>IF($I488="","",IF(ISNUMBER($I488),TEXT($I488,"0"),$I488))</f>
        <v/>
      </c>
    </row>
    <row r="489">
      <c r="B489" s="25" t="n"/>
      <c r="I489" s="25" t="n"/>
      <c r="U489" s="19">
        <f>IF(AND($V489='設定'!$C$4,COUNTIF('商品マスタ'!$B$6:$B$1005,$W489)=0),N(U488)+1,N(U488))</f>
        <v/>
      </c>
      <c r="V489" s="19">
        <f>IF($B489="","",TEXT($B489,"0000"))</f>
        <v/>
      </c>
      <c r="W489" s="19">
        <f>IF($I489="","",IF(ISNUMBER($I489),TEXT($I489,"0"),$I489))</f>
        <v/>
      </c>
    </row>
    <row r="490">
      <c r="B490" s="25" t="n"/>
      <c r="I490" s="25" t="n"/>
      <c r="U490" s="19">
        <f>IF(AND($V490='設定'!$C$4,COUNTIF('商品マスタ'!$B$6:$B$1005,$W490)=0),N(U489)+1,N(U489))</f>
        <v/>
      </c>
      <c r="V490" s="19">
        <f>IF($B490="","",TEXT($B490,"0000"))</f>
        <v/>
      </c>
      <c r="W490" s="19">
        <f>IF($I490="","",IF(ISNUMBER($I490),TEXT($I490,"0"),$I490))</f>
        <v/>
      </c>
    </row>
    <row r="491">
      <c r="B491" s="25" t="n"/>
      <c r="I491" s="25" t="n"/>
      <c r="U491" s="19">
        <f>IF(AND($V491='設定'!$C$4,COUNTIF('商品マスタ'!$B$6:$B$1005,$W491)=0),N(U490)+1,N(U490))</f>
        <v/>
      </c>
      <c r="V491" s="19">
        <f>IF($B491="","",TEXT($B491,"0000"))</f>
        <v/>
      </c>
      <c r="W491" s="19">
        <f>IF($I491="","",IF(ISNUMBER($I491),TEXT($I491,"0"),$I491))</f>
        <v/>
      </c>
    </row>
    <row r="492">
      <c r="B492" s="25" t="n"/>
      <c r="I492" s="25" t="n"/>
      <c r="U492" s="19">
        <f>IF(AND($V492='設定'!$C$4,COUNTIF('商品マスタ'!$B$6:$B$1005,$W492)=0),N(U491)+1,N(U491))</f>
        <v/>
      </c>
      <c r="V492" s="19">
        <f>IF($B492="","",TEXT($B492,"0000"))</f>
        <v/>
      </c>
      <c r="W492" s="19">
        <f>IF($I492="","",IF(ISNUMBER($I492),TEXT($I492,"0"),$I492))</f>
        <v/>
      </c>
    </row>
    <row r="493">
      <c r="B493" s="25" t="n"/>
      <c r="I493" s="25" t="n"/>
      <c r="U493" s="19">
        <f>IF(AND($V493='設定'!$C$4,COUNTIF('商品マスタ'!$B$6:$B$1005,$W493)=0),N(U492)+1,N(U492))</f>
        <v/>
      </c>
      <c r="V493" s="19">
        <f>IF($B493="","",TEXT($B493,"0000"))</f>
        <v/>
      </c>
      <c r="W493" s="19">
        <f>IF($I493="","",IF(ISNUMBER($I493),TEXT($I493,"0"),$I493))</f>
        <v/>
      </c>
    </row>
    <row r="494">
      <c r="B494" s="25" t="n"/>
      <c r="I494" s="25" t="n"/>
      <c r="U494" s="19">
        <f>IF(AND($V494='設定'!$C$4,COUNTIF('商品マスタ'!$B$6:$B$1005,$W494)=0),N(U493)+1,N(U493))</f>
        <v/>
      </c>
      <c r="V494" s="19">
        <f>IF($B494="","",TEXT($B494,"0000"))</f>
        <v/>
      </c>
      <c r="W494" s="19">
        <f>IF($I494="","",IF(ISNUMBER($I494),TEXT($I494,"0"),$I494))</f>
        <v/>
      </c>
    </row>
    <row r="495">
      <c r="B495" s="25" t="n"/>
      <c r="I495" s="25" t="n"/>
      <c r="U495" s="19">
        <f>IF(AND($V495='設定'!$C$4,COUNTIF('商品マスタ'!$B$6:$B$1005,$W495)=0),N(U494)+1,N(U494))</f>
        <v/>
      </c>
      <c r="V495" s="19">
        <f>IF($B495="","",TEXT($B495,"0000"))</f>
        <v/>
      </c>
      <c r="W495" s="19">
        <f>IF($I495="","",IF(ISNUMBER($I495),TEXT($I495,"0"),$I495))</f>
        <v/>
      </c>
    </row>
    <row r="496">
      <c r="B496" s="25" t="n"/>
      <c r="I496" s="25" t="n"/>
      <c r="U496" s="19">
        <f>IF(AND($V496='設定'!$C$4,COUNTIF('商品マスタ'!$B$6:$B$1005,$W496)=0),N(U495)+1,N(U495))</f>
        <v/>
      </c>
      <c r="V496" s="19">
        <f>IF($B496="","",TEXT($B496,"0000"))</f>
        <v/>
      </c>
      <c r="W496" s="19">
        <f>IF($I496="","",IF(ISNUMBER($I496),TEXT($I496,"0"),$I496))</f>
        <v/>
      </c>
    </row>
    <row r="497">
      <c r="B497" s="25" t="n"/>
      <c r="I497" s="25" t="n"/>
      <c r="U497" s="19">
        <f>IF(AND($V497='設定'!$C$4,COUNTIF('商品マスタ'!$B$6:$B$1005,$W497)=0),N(U496)+1,N(U496))</f>
        <v/>
      </c>
      <c r="V497" s="19">
        <f>IF($B497="","",TEXT($B497,"0000"))</f>
        <v/>
      </c>
      <c r="W497" s="19">
        <f>IF($I497="","",IF(ISNUMBER($I497),TEXT($I497,"0"),$I497))</f>
        <v/>
      </c>
    </row>
    <row r="498">
      <c r="B498" s="25" t="n"/>
      <c r="I498" s="25" t="n"/>
      <c r="U498" s="19">
        <f>IF(AND($V498='設定'!$C$4,COUNTIF('商品マスタ'!$B$6:$B$1005,$W498)=0),N(U497)+1,N(U497))</f>
        <v/>
      </c>
      <c r="V498" s="19">
        <f>IF($B498="","",TEXT($B498,"0000"))</f>
        <v/>
      </c>
      <c r="W498" s="19">
        <f>IF($I498="","",IF(ISNUMBER($I498),TEXT($I498,"0"),$I498))</f>
        <v/>
      </c>
    </row>
    <row r="499">
      <c r="B499" s="25" t="n"/>
      <c r="I499" s="25" t="n"/>
      <c r="U499" s="19">
        <f>IF(AND($V499='設定'!$C$4,COUNTIF('商品マスタ'!$B$6:$B$1005,$W499)=0),N(U498)+1,N(U498))</f>
        <v/>
      </c>
      <c r="V499" s="19">
        <f>IF($B499="","",TEXT($B499,"0000"))</f>
        <v/>
      </c>
      <c r="W499" s="19">
        <f>IF($I499="","",IF(ISNUMBER($I499),TEXT($I499,"0"),$I499))</f>
        <v/>
      </c>
    </row>
    <row r="500">
      <c r="B500" s="25" t="n"/>
      <c r="I500" s="25" t="n"/>
      <c r="U500" s="19">
        <f>IF(AND($V500='設定'!$C$4,COUNTIF('商品マスタ'!$B$6:$B$1005,$W500)=0),N(U499)+1,N(U499))</f>
        <v/>
      </c>
      <c r="V500" s="19">
        <f>IF($B500="","",TEXT($B500,"0000"))</f>
        <v/>
      </c>
      <c r="W500" s="19">
        <f>IF($I500="","",IF(ISNUMBER($I500),TEXT($I500,"0"),$I500))</f>
        <v/>
      </c>
    </row>
    <row r="501">
      <c r="B501" s="25" t="n"/>
      <c r="I501" s="25" t="n"/>
      <c r="U501" s="19">
        <f>IF(AND($V501='設定'!$C$4,COUNTIF('商品マスタ'!$B$6:$B$1005,$W501)=0),N(U500)+1,N(U500))</f>
        <v/>
      </c>
      <c r="V501" s="19">
        <f>IF($B501="","",TEXT($B501,"0000"))</f>
        <v/>
      </c>
      <c r="W501" s="19">
        <f>IF($I501="","",IF(ISNUMBER($I501),TEXT($I501,"0"),$I501))</f>
        <v/>
      </c>
    </row>
    <row r="502">
      <c r="B502" s="25" t="n"/>
      <c r="I502" s="25" t="n"/>
      <c r="U502" s="19">
        <f>IF(AND($V502='設定'!$C$4,COUNTIF('商品マスタ'!$B$6:$B$1005,$W502)=0),N(U501)+1,N(U501))</f>
        <v/>
      </c>
      <c r="V502" s="19">
        <f>IF($B502="","",TEXT($B502,"0000"))</f>
        <v/>
      </c>
      <c r="W502" s="19">
        <f>IF($I502="","",IF(ISNUMBER($I502),TEXT($I502,"0"),$I502))</f>
        <v/>
      </c>
    </row>
    <row r="503">
      <c r="B503" s="25" t="n"/>
      <c r="I503" s="25" t="n"/>
      <c r="U503" s="19">
        <f>IF(AND($V503='設定'!$C$4,COUNTIF('商品マスタ'!$B$6:$B$1005,$W503)=0),N(U502)+1,N(U502))</f>
        <v/>
      </c>
      <c r="V503" s="19">
        <f>IF($B503="","",TEXT($B503,"0000"))</f>
        <v/>
      </c>
      <c r="W503" s="19">
        <f>IF($I503="","",IF(ISNUMBER($I503),TEXT($I503,"0"),$I503))</f>
        <v/>
      </c>
    </row>
    <row r="504">
      <c r="B504" s="25" t="n"/>
      <c r="I504" s="25" t="n"/>
      <c r="U504" s="19">
        <f>IF(AND($V504='設定'!$C$4,COUNTIF('商品マスタ'!$B$6:$B$1005,$W504)=0),N(U503)+1,N(U503))</f>
        <v/>
      </c>
      <c r="V504" s="19">
        <f>IF($B504="","",TEXT($B504,"0000"))</f>
        <v/>
      </c>
      <c r="W504" s="19">
        <f>IF($I504="","",IF(ISNUMBER($I504),TEXT($I504,"0"),$I504))</f>
        <v/>
      </c>
    </row>
    <row r="505">
      <c r="B505" s="25" t="n"/>
      <c r="I505" s="25" t="n"/>
      <c r="U505" s="19">
        <f>IF(AND($V505='設定'!$C$4,COUNTIF('商品マスタ'!$B$6:$B$1005,$W505)=0),N(U504)+1,N(U504))</f>
        <v/>
      </c>
      <c r="V505" s="19">
        <f>IF($B505="","",TEXT($B505,"0000"))</f>
        <v/>
      </c>
      <c r="W505" s="19">
        <f>IF($I505="","",IF(ISNUMBER($I505),TEXT($I505,"0"),$I505))</f>
        <v/>
      </c>
    </row>
    <row r="506">
      <c r="B506" s="25" t="n"/>
      <c r="I506" s="25" t="n"/>
      <c r="U506" s="19">
        <f>IF(AND($V506='設定'!$C$4,COUNTIF('商品マスタ'!$B$6:$B$1005,$W506)=0),N(U505)+1,N(U505))</f>
        <v/>
      </c>
      <c r="V506" s="19">
        <f>IF($B506="","",TEXT($B506,"0000"))</f>
        <v/>
      </c>
      <c r="W506" s="19">
        <f>IF($I506="","",IF(ISNUMBER($I506),TEXT($I506,"0"),$I506))</f>
        <v/>
      </c>
    </row>
    <row r="507">
      <c r="B507" s="25" t="n"/>
      <c r="I507" s="25" t="n"/>
      <c r="U507" s="19">
        <f>IF(AND($V507='設定'!$C$4,COUNTIF('商品マスタ'!$B$6:$B$1005,$W507)=0),N(U506)+1,N(U506))</f>
        <v/>
      </c>
      <c r="V507" s="19">
        <f>IF($B507="","",TEXT($B507,"0000"))</f>
        <v/>
      </c>
      <c r="W507" s="19">
        <f>IF($I507="","",IF(ISNUMBER($I507),TEXT($I507,"0"),$I507))</f>
        <v/>
      </c>
    </row>
    <row r="508">
      <c r="B508" s="25" t="n"/>
      <c r="I508" s="25" t="n"/>
      <c r="U508" s="19">
        <f>IF(AND($V508='設定'!$C$4,COUNTIF('商品マスタ'!$B$6:$B$1005,$W508)=0),N(U507)+1,N(U507))</f>
        <v/>
      </c>
      <c r="V508" s="19">
        <f>IF($B508="","",TEXT($B508,"0000"))</f>
        <v/>
      </c>
      <c r="W508" s="19">
        <f>IF($I508="","",IF(ISNUMBER($I508),TEXT($I508,"0"),$I508))</f>
        <v/>
      </c>
    </row>
    <row r="509">
      <c r="B509" s="25" t="n"/>
      <c r="I509" s="25" t="n"/>
      <c r="U509" s="19">
        <f>IF(AND($V509='設定'!$C$4,COUNTIF('商品マスタ'!$B$6:$B$1005,$W509)=0),N(U508)+1,N(U508))</f>
        <v/>
      </c>
      <c r="V509" s="19">
        <f>IF($B509="","",TEXT($B509,"0000"))</f>
        <v/>
      </c>
      <c r="W509" s="19">
        <f>IF($I509="","",IF(ISNUMBER($I509),TEXT($I509,"0"),$I509))</f>
        <v/>
      </c>
    </row>
    <row r="510">
      <c r="B510" s="25" t="n"/>
      <c r="I510" s="25" t="n"/>
      <c r="U510" s="19">
        <f>IF(AND($V510='設定'!$C$4,COUNTIF('商品マスタ'!$B$6:$B$1005,$W510)=0),N(U509)+1,N(U509))</f>
        <v/>
      </c>
      <c r="V510" s="19">
        <f>IF($B510="","",TEXT($B510,"0000"))</f>
        <v/>
      </c>
      <c r="W510" s="19">
        <f>IF($I510="","",IF(ISNUMBER($I510),TEXT($I510,"0"),$I510))</f>
        <v/>
      </c>
    </row>
    <row r="511">
      <c r="B511" s="25" t="n"/>
      <c r="I511" s="25" t="n"/>
      <c r="U511" s="19">
        <f>IF(AND($V511='設定'!$C$4,COUNTIF('商品マスタ'!$B$6:$B$1005,$W511)=0),N(U510)+1,N(U510))</f>
        <v/>
      </c>
      <c r="V511" s="19">
        <f>IF($B511="","",TEXT($B511,"0000"))</f>
        <v/>
      </c>
      <c r="W511" s="19">
        <f>IF($I511="","",IF(ISNUMBER($I511),TEXT($I511,"0"),$I511))</f>
        <v/>
      </c>
    </row>
    <row r="512">
      <c r="B512" s="25" t="n"/>
      <c r="I512" s="25" t="n"/>
      <c r="U512" s="19">
        <f>IF(AND($V512='設定'!$C$4,COUNTIF('商品マスタ'!$B$6:$B$1005,$W512)=0),N(U511)+1,N(U511))</f>
        <v/>
      </c>
      <c r="V512" s="19">
        <f>IF($B512="","",TEXT($B512,"0000"))</f>
        <v/>
      </c>
      <c r="W512" s="19">
        <f>IF($I512="","",IF(ISNUMBER($I512),TEXT($I512,"0"),$I512))</f>
        <v/>
      </c>
    </row>
    <row r="513">
      <c r="B513" s="25" t="n"/>
      <c r="I513" s="25" t="n"/>
      <c r="U513" s="19">
        <f>IF(AND($V513='設定'!$C$4,COUNTIF('商品マスタ'!$B$6:$B$1005,$W513)=0),N(U512)+1,N(U512))</f>
        <v/>
      </c>
      <c r="V513" s="19">
        <f>IF($B513="","",TEXT($B513,"0000"))</f>
        <v/>
      </c>
      <c r="W513" s="19">
        <f>IF($I513="","",IF(ISNUMBER($I513),TEXT($I513,"0"),$I513))</f>
        <v/>
      </c>
    </row>
    <row r="514">
      <c r="B514" s="25" t="n"/>
      <c r="I514" s="25" t="n"/>
      <c r="U514" s="19">
        <f>IF(AND($V514='設定'!$C$4,COUNTIF('商品マスタ'!$B$6:$B$1005,$W514)=0),N(U513)+1,N(U513))</f>
        <v/>
      </c>
      <c r="V514" s="19">
        <f>IF($B514="","",TEXT($B514,"0000"))</f>
        <v/>
      </c>
      <c r="W514" s="19">
        <f>IF($I514="","",IF(ISNUMBER($I514),TEXT($I514,"0"),$I514))</f>
        <v/>
      </c>
    </row>
    <row r="515">
      <c r="B515" s="25" t="n"/>
      <c r="I515" s="25" t="n"/>
      <c r="U515" s="19">
        <f>IF(AND($V515='設定'!$C$4,COUNTIF('商品マスタ'!$B$6:$B$1005,$W515)=0),N(U514)+1,N(U514))</f>
        <v/>
      </c>
      <c r="V515" s="19">
        <f>IF($B515="","",TEXT($B515,"0000"))</f>
        <v/>
      </c>
      <c r="W515" s="19">
        <f>IF($I515="","",IF(ISNUMBER($I515),TEXT($I515,"0"),$I515))</f>
        <v/>
      </c>
    </row>
    <row r="516">
      <c r="B516" s="25" t="n"/>
      <c r="I516" s="25" t="n"/>
      <c r="U516" s="19">
        <f>IF(AND($V516='設定'!$C$4,COUNTIF('商品マスタ'!$B$6:$B$1005,$W516)=0),N(U515)+1,N(U515))</f>
        <v/>
      </c>
      <c r="V516" s="19">
        <f>IF($B516="","",TEXT($B516,"0000"))</f>
        <v/>
      </c>
      <c r="W516" s="19">
        <f>IF($I516="","",IF(ISNUMBER($I516),TEXT($I516,"0"),$I516))</f>
        <v/>
      </c>
    </row>
    <row r="517">
      <c r="B517" s="25" t="n"/>
      <c r="I517" s="25" t="n"/>
      <c r="U517" s="19">
        <f>IF(AND($V517='設定'!$C$4,COUNTIF('商品マスタ'!$B$6:$B$1005,$W517)=0),N(U516)+1,N(U516))</f>
        <v/>
      </c>
      <c r="V517" s="19">
        <f>IF($B517="","",TEXT($B517,"0000"))</f>
        <v/>
      </c>
      <c r="W517" s="19">
        <f>IF($I517="","",IF(ISNUMBER($I517),TEXT($I517,"0"),$I517))</f>
        <v/>
      </c>
    </row>
    <row r="518">
      <c r="B518" s="25" t="n"/>
      <c r="I518" s="25" t="n"/>
      <c r="U518" s="19">
        <f>IF(AND($V518='設定'!$C$4,COUNTIF('商品マスタ'!$B$6:$B$1005,$W518)=0),N(U517)+1,N(U517))</f>
        <v/>
      </c>
      <c r="V518" s="19">
        <f>IF($B518="","",TEXT($B518,"0000"))</f>
        <v/>
      </c>
      <c r="W518" s="19">
        <f>IF($I518="","",IF(ISNUMBER($I518),TEXT($I518,"0"),$I518))</f>
        <v/>
      </c>
    </row>
    <row r="519">
      <c r="B519" s="25" t="n"/>
      <c r="I519" s="25" t="n"/>
      <c r="U519" s="19">
        <f>IF(AND($V519='設定'!$C$4,COUNTIF('商品マスタ'!$B$6:$B$1005,$W519)=0),N(U518)+1,N(U518))</f>
        <v/>
      </c>
      <c r="V519" s="19">
        <f>IF($B519="","",TEXT($B519,"0000"))</f>
        <v/>
      </c>
      <c r="W519" s="19">
        <f>IF($I519="","",IF(ISNUMBER($I519),TEXT($I519,"0"),$I519))</f>
        <v/>
      </c>
    </row>
    <row r="520">
      <c r="B520" s="25" t="n"/>
      <c r="I520" s="25" t="n"/>
      <c r="U520" s="19">
        <f>IF(AND($V520='設定'!$C$4,COUNTIF('商品マスタ'!$B$6:$B$1005,$W520)=0),N(U519)+1,N(U519))</f>
        <v/>
      </c>
      <c r="V520" s="19">
        <f>IF($B520="","",TEXT($B520,"0000"))</f>
        <v/>
      </c>
      <c r="W520" s="19">
        <f>IF($I520="","",IF(ISNUMBER($I520),TEXT($I520,"0"),$I520))</f>
        <v/>
      </c>
    </row>
    <row r="521">
      <c r="B521" s="25" t="n"/>
      <c r="I521" s="25" t="n"/>
      <c r="U521" s="19">
        <f>IF(AND($V521='設定'!$C$4,COUNTIF('商品マスタ'!$B$6:$B$1005,$W521)=0),N(U520)+1,N(U520))</f>
        <v/>
      </c>
      <c r="V521" s="19">
        <f>IF($B521="","",TEXT($B521,"0000"))</f>
        <v/>
      </c>
      <c r="W521" s="19">
        <f>IF($I521="","",IF(ISNUMBER($I521),TEXT($I521,"0"),$I521))</f>
        <v/>
      </c>
    </row>
    <row r="522">
      <c r="B522" s="25" t="n"/>
      <c r="I522" s="25" t="n"/>
      <c r="U522" s="19">
        <f>IF(AND($V522='設定'!$C$4,COUNTIF('商品マスタ'!$B$6:$B$1005,$W522)=0),N(U521)+1,N(U521))</f>
        <v/>
      </c>
      <c r="V522" s="19">
        <f>IF($B522="","",TEXT($B522,"0000"))</f>
        <v/>
      </c>
      <c r="W522" s="19">
        <f>IF($I522="","",IF(ISNUMBER($I522),TEXT($I522,"0"),$I522))</f>
        <v/>
      </c>
    </row>
    <row r="523">
      <c r="B523" s="25" t="n"/>
      <c r="I523" s="25" t="n"/>
      <c r="U523" s="19">
        <f>IF(AND($V523='設定'!$C$4,COUNTIF('商品マスタ'!$B$6:$B$1005,$W523)=0),N(U522)+1,N(U522))</f>
        <v/>
      </c>
      <c r="V523" s="19">
        <f>IF($B523="","",TEXT($B523,"0000"))</f>
        <v/>
      </c>
      <c r="W523" s="19">
        <f>IF($I523="","",IF(ISNUMBER($I523),TEXT($I523,"0"),$I523))</f>
        <v/>
      </c>
    </row>
    <row r="524">
      <c r="B524" s="25" t="n"/>
      <c r="I524" s="25" t="n"/>
      <c r="U524" s="19">
        <f>IF(AND($V524='設定'!$C$4,COUNTIF('商品マスタ'!$B$6:$B$1005,$W524)=0),N(U523)+1,N(U523))</f>
        <v/>
      </c>
      <c r="V524" s="19">
        <f>IF($B524="","",TEXT($B524,"0000"))</f>
        <v/>
      </c>
      <c r="W524" s="19">
        <f>IF($I524="","",IF(ISNUMBER($I524),TEXT($I524,"0"),$I524))</f>
        <v/>
      </c>
    </row>
    <row r="525">
      <c r="B525" s="25" t="n"/>
      <c r="I525" s="25" t="n"/>
      <c r="U525" s="19">
        <f>IF(AND($V525='設定'!$C$4,COUNTIF('商品マスタ'!$B$6:$B$1005,$W525)=0),N(U524)+1,N(U524))</f>
        <v/>
      </c>
      <c r="V525" s="19">
        <f>IF($B525="","",TEXT($B525,"0000"))</f>
        <v/>
      </c>
      <c r="W525" s="19">
        <f>IF($I525="","",IF(ISNUMBER($I525),TEXT($I525,"0"),$I525))</f>
        <v/>
      </c>
    </row>
    <row r="526">
      <c r="B526" s="25" t="n"/>
      <c r="I526" s="25" t="n"/>
      <c r="U526" s="19">
        <f>IF(AND($V526='設定'!$C$4,COUNTIF('商品マスタ'!$B$6:$B$1005,$W526)=0),N(U525)+1,N(U525))</f>
        <v/>
      </c>
      <c r="V526" s="19">
        <f>IF($B526="","",TEXT($B526,"0000"))</f>
        <v/>
      </c>
      <c r="W526" s="19">
        <f>IF($I526="","",IF(ISNUMBER($I526),TEXT($I526,"0"),$I526))</f>
        <v/>
      </c>
    </row>
    <row r="527">
      <c r="B527" s="25" t="n"/>
      <c r="I527" s="25" t="n"/>
      <c r="U527" s="19">
        <f>IF(AND($V527='設定'!$C$4,COUNTIF('商品マスタ'!$B$6:$B$1005,$W527)=0),N(U526)+1,N(U526))</f>
        <v/>
      </c>
      <c r="V527" s="19">
        <f>IF($B527="","",TEXT($B527,"0000"))</f>
        <v/>
      </c>
      <c r="W527" s="19">
        <f>IF($I527="","",IF(ISNUMBER($I527),TEXT($I527,"0"),$I527))</f>
        <v/>
      </c>
    </row>
    <row r="528">
      <c r="B528" s="25" t="n"/>
      <c r="I528" s="25" t="n"/>
      <c r="U528" s="19">
        <f>IF(AND($V528='設定'!$C$4,COUNTIF('商品マスタ'!$B$6:$B$1005,$W528)=0),N(U527)+1,N(U527))</f>
        <v/>
      </c>
      <c r="V528" s="19">
        <f>IF($B528="","",TEXT($B528,"0000"))</f>
        <v/>
      </c>
      <c r="W528" s="19">
        <f>IF($I528="","",IF(ISNUMBER($I528),TEXT($I528,"0"),$I528))</f>
        <v/>
      </c>
    </row>
    <row r="529">
      <c r="B529" s="25" t="n"/>
      <c r="I529" s="25" t="n"/>
      <c r="U529" s="19">
        <f>IF(AND($V529='設定'!$C$4,COUNTIF('商品マスタ'!$B$6:$B$1005,$W529)=0),N(U528)+1,N(U528))</f>
        <v/>
      </c>
      <c r="V529" s="19">
        <f>IF($B529="","",TEXT($B529,"0000"))</f>
        <v/>
      </c>
      <c r="W529" s="19">
        <f>IF($I529="","",IF(ISNUMBER($I529),TEXT($I529,"0"),$I529))</f>
        <v/>
      </c>
    </row>
    <row r="530">
      <c r="B530" s="25" t="n"/>
      <c r="I530" s="25" t="n"/>
      <c r="U530" s="19">
        <f>IF(AND($V530='設定'!$C$4,COUNTIF('商品マスタ'!$B$6:$B$1005,$W530)=0),N(U529)+1,N(U529))</f>
        <v/>
      </c>
      <c r="V530" s="19">
        <f>IF($B530="","",TEXT($B530,"0000"))</f>
        <v/>
      </c>
      <c r="W530" s="19">
        <f>IF($I530="","",IF(ISNUMBER($I530),TEXT($I530,"0"),$I530))</f>
        <v/>
      </c>
    </row>
    <row r="531">
      <c r="B531" s="25" t="n"/>
      <c r="I531" s="25" t="n"/>
      <c r="U531" s="19">
        <f>IF(AND($V531='設定'!$C$4,COUNTIF('商品マスタ'!$B$6:$B$1005,$W531)=0),N(U530)+1,N(U530))</f>
        <v/>
      </c>
      <c r="V531" s="19">
        <f>IF($B531="","",TEXT($B531,"0000"))</f>
        <v/>
      </c>
      <c r="W531" s="19">
        <f>IF($I531="","",IF(ISNUMBER($I531),TEXT($I531,"0"),$I531))</f>
        <v/>
      </c>
    </row>
    <row r="532">
      <c r="B532" s="25" t="n"/>
      <c r="I532" s="25" t="n"/>
      <c r="U532" s="19">
        <f>IF(AND($V532='設定'!$C$4,COUNTIF('商品マスタ'!$B$6:$B$1005,$W532)=0),N(U531)+1,N(U531))</f>
        <v/>
      </c>
      <c r="V532" s="19">
        <f>IF($B532="","",TEXT($B532,"0000"))</f>
        <v/>
      </c>
      <c r="W532" s="19">
        <f>IF($I532="","",IF(ISNUMBER($I532),TEXT($I532,"0"),$I532))</f>
        <v/>
      </c>
    </row>
    <row r="533">
      <c r="B533" s="25" t="n"/>
      <c r="I533" s="25" t="n"/>
      <c r="U533" s="19">
        <f>IF(AND($V533='設定'!$C$4,COUNTIF('商品マスタ'!$B$6:$B$1005,$W533)=0),N(U532)+1,N(U532))</f>
        <v/>
      </c>
      <c r="V533" s="19">
        <f>IF($B533="","",TEXT($B533,"0000"))</f>
        <v/>
      </c>
      <c r="W533" s="19">
        <f>IF($I533="","",IF(ISNUMBER($I533),TEXT($I533,"0"),$I533))</f>
        <v/>
      </c>
    </row>
    <row r="534">
      <c r="B534" s="25" t="n"/>
      <c r="I534" s="25" t="n"/>
      <c r="U534" s="19">
        <f>IF(AND($V534='設定'!$C$4,COUNTIF('商品マスタ'!$B$6:$B$1005,$W534)=0),N(U533)+1,N(U533))</f>
        <v/>
      </c>
      <c r="V534" s="19">
        <f>IF($B534="","",TEXT($B534,"0000"))</f>
        <v/>
      </c>
      <c r="W534" s="19">
        <f>IF($I534="","",IF(ISNUMBER($I534),TEXT($I534,"0"),$I534))</f>
        <v/>
      </c>
    </row>
    <row r="535">
      <c r="B535" s="25" t="n"/>
      <c r="I535" s="25" t="n"/>
      <c r="U535" s="19">
        <f>IF(AND($V535='設定'!$C$4,COUNTIF('商品マスタ'!$B$6:$B$1005,$W535)=0),N(U534)+1,N(U534))</f>
        <v/>
      </c>
      <c r="V535" s="19">
        <f>IF($B535="","",TEXT($B535,"0000"))</f>
        <v/>
      </c>
      <c r="W535" s="19">
        <f>IF($I535="","",IF(ISNUMBER($I535),TEXT($I535,"0"),$I535))</f>
        <v/>
      </c>
    </row>
    <row r="536">
      <c r="B536" s="25" t="n"/>
      <c r="I536" s="25" t="n"/>
      <c r="U536" s="19">
        <f>IF(AND($V536='設定'!$C$4,COUNTIF('商品マスタ'!$B$6:$B$1005,$W536)=0),N(U535)+1,N(U535))</f>
        <v/>
      </c>
      <c r="V536" s="19">
        <f>IF($B536="","",TEXT($B536,"0000"))</f>
        <v/>
      </c>
      <c r="W536" s="19">
        <f>IF($I536="","",IF(ISNUMBER($I536),TEXT($I536,"0"),$I536))</f>
        <v/>
      </c>
    </row>
    <row r="537">
      <c r="B537" s="25" t="n"/>
      <c r="I537" s="25" t="n"/>
      <c r="U537" s="19">
        <f>IF(AND($V537='設定'!$C$4,COUNTIF('商品マスタ'!$B$6:$B$1005,$W537)=0),N(U536)+1,N(U536))</f>
        <v/>
      </c>
      <c r="V537" s="19">
        <f>IF($B537="","",TEXT($B537,"0000"))</f>
        <v/>
      </c>
      <c r="W537" s="19">
        <f>IF($I537="","",IF(ISNUMBER($I537),TEXT($I537,"0"),$I537))</f>
        <v/>
      </c>
    </row>
    <row r="538">
      <c r="B538" s="25" t="n"/>
      <c r="I538" s="25" t="n"/>
      <c r="U538" s="19">
        <f>IF(AND($V538='設定'!$C$4,COUNTIF('商品マスタ'!$B$6:$B$1005,$W538)=0),N(U537)+1,N(U537))</f>
        <v/>
      </c>
      <c r="V538" s="19">
        <f>IF($B538="","",TEXT($B538,"0000"))</f>
        <v/>
      </c>
      <c r="W538" s="19">
        <f>IF($I538="","",IF(ISNUMBER($I538),TEXT($I538,"0"),$I538))</f>
        <v/>
      </c>
    </row>
    <row r="539">
      <c r="B539" s="25" t="n"/>
      <c r="I539" s="25" t="n"/>
      <c r="U539" s="19">
        <f>IF(AND($V539='設定'!$C$4,COUNTIF('商品マスタ'!$B$6:$B$1005,$W539)=0),N(U538)+1,N(U538))</f>
        <v/>
      </c>
      <c r="V539" s="19">
        <f>IF($B539="","",TEXT($B539,"0000"))</f>
        <v/>
      </c>
      <c r="W539" s="19">
        <f>IF($I539="","",IF(ISNUMBER($I539),TEXT($I539,"0"),$I539))</f>
        <v/>
      </c>
    </row>
    <row r="540">
      <c r="B540" s="25" t="n"/>
      <c r="I540" s="25" t="n"/>
      <c r="U540" s="19">
        <f>IF(AND($V540='設定'!$C$4,COUNTIF('商品マスタ'!$B$6:$B$1005,$W540)=0),N(U539)+1,N(U539))</f>
        <v/>
      </c>
      <c r="V540" s="19">
        <f>IF($B540="","",TEXT($B540,"0000"))</f>
        <v/>
      </c>
      <c r="W540" s="19">
        <f>IF($I540="","",IF(ISNUMBER($I540),TEXT($I540,"0"),$I540))</f>
        <v/>
      </c>
    </row>
    <row r="541">
      <c r="B541" s="25" t="n"/>
      <c r="I541" s="25" t="n"/>
      <c r="U541" s="19">
        <f>IF(AND($V541='設定'!$C$4,COUNTIF('商品マスタ'!$B$6:$B$1005,$W541)=0),N(U540)+1,N(U540))</f>
        <v/>
      </c>
      <c r="V541" s="19">
        <f>IF($B541="","",TEXT($B541,"0000"))</f>
        <v/>
      </c>
      <c r="W541" s="19">
        <f>IF($I541="","",IF(ISNUMBER($I541),TEXT($I541,"0"),$I541))</f>
        <v/>
      </c>
    </row>
    <row r="542">
      <c r="B542" s="25" t="n"/>
      <c r="I542" s="25" t="n"/>
      <c r="U542" s="19">
        <f>IF(AND($V542='設定'!$C$4,COUNTIF('商品マスタ'!$B$6:$B$1005,$W542)=0),N(U541)+1,N(U541))</f>
        <v/>
      </c>
      <c r="V542" s="19">
        <f>IF($B542="","",TEXT($B542,"0000"))</f>
        <v/>
      </c>
      <c r="W542" s="19">
        <f>IF($I542="","",IF(ISNUMBER($I542),TEXT($I542,"0"),$I542))</f>
        <v/>
      </c>
    </row>
    <row r="543">
      <c r="B543" s="25" t="n"/>
      <c r="I543" s="25" t="n"/>
      <c r="U543" s="19">
        <f>IF(AND($V543='設定'!$C$4,COUNTIF('商品マスタ'!$B$6:$B$1005,$W543)=0),N(U542)+1,N(U542))</f>
        <v/>
      </c>
      <c r="V543" s="19">
        <f>IF($B543="","",TEXT($B543,"0000"))</f>
        <v/>
      </c>
      <c r="W543" s="19">
        <f>IF($I543="","",IF(ISNUMBER($I543),TEXT($I543,"0"),$I543))</f>
        <v/>
      </c>
    </row>
    <row r="544">
      <c r="B544" s="25" t="n"/>
      <c r="I544" s="25" t="n"/>
      <c r="U544" s="19">
        <f>IF(AND($V544='設定'!$C$4,COUNTIF('商品マスタ'!$B$6:$B$1005,$W544)=0),N(U543)+1,N(U543))</f>
        <v/>
      </c>
      <c r="V544" s="19">
        <f>IF($B544="","",TEXT($B544,"0000"))</f>
        <v/>
      </c>
      <c r="W544" s="19">
        <f>IF($I544="","",IF(ISNUMBER($I544),TEXT($I544,"0"),$I544))</f>
        <v/>
      </c>
    </row>
    <row r="545">
      <c r="B545" s="25" t="n"/>
      <c r="I545" s="25" t="n"/>
      <c r="U545" s="19">
        <f>IF(AND($V545='設定'!$C$4,COUNTIF('商品マスタ'!$B$6:$B$1005,$W545)=0),N(U544)+1,N(U544))</f>
        <v/>
      </c>
      <c r="V545" s="19">
        <f>IF($B545="","",TEXT($B545,"0000"))</f>
        <v/>
      </c>
      <c r="W545" s="19">
        <f>IF($I545="","",IF(ISNUMBER($I545),TEXT($I545,"0"),$I545))</f>
        <v/>
      </c>
    </row>
    <row r="546">
      <c r="B546" s="25" t="n"/>
      <c r="I546" s="25" t="n"/>
      <c r="U546" s="19">
        <f>IF(AND($V546='設定'!$C$4,COUNTIF('商品マスタ'!$B$6:$B$1005,$W546)=0),N(U545)+1,N(U545))</f>
        <v/>
      </c>
      <c r="V546" s="19">
        <f>IF($B546="","",TEXT($B546,"0000"))</f>
        <v/>
      </c>
      <c r="W546" s="19">
        <f>IF($I546="","",IF(ISNUMBER($I546),TEXT($I546,"0"),$I546))</f>
        <v/>
      </c>
    </row>
    <row r="547">
      <c r="B547" s="25" t="n"/>
      <c r="I547" s="25" t="n"/>
      <c r="U547" s="19">
        <f>IF(AND($V547='設定'!$C$4,COUNTIF('商品マスタ'!$B$6:$B$1005,$W547)=0),N(U546)+1,N(U546))</f>
        <v/>
      </c>
      <c r="V547" s="19">
        <f>IF($B547="","",TEXT($B547,"0000"))</f>
        <v/>
      </c>
      <c r="W547" s="19">
        <f>IF($I547="","",IF(ISNUMBER($I547),TEXT($I547,"0"),$I547))</f>
        <v/>
      </c>
    </row>
    <row r="548">
      <c r="B548" s="25" t="n"/>
      <c r="I548" s="25" t="n"/>
      <c r="U548" s="19">
        <f>IF(AND($V548='設定'!$C$4,COUNTIF('商品マスタ'!$B$6:$B$1005,$W548)=0),N(U547)+1,N(U547))</f>
        <v/>
      </c>
      <c r="V548" s="19">
        <f>IF($B548="","",TEXT($B548,"0000"))</f>
        <v/>
      </c>
      <c r="W548" s="19">
        <f>IF($I548="","",IF(ISNUMBER($I548),TEXT($I548,"0"),$I548))</f>
        <v/>
      </c>
    </row>
    <row r="549">
      <c r="B549" s="25" t="n"/>
      <c r="I549" s="25" t="n"/>
      <c r="U549" s="19">
        <f>IF(AND($V549='設定'!$C$4,COUNTIF('商品マスタ'!$B$6:$B$1005,$W549)=0),N(U548)+1,N(U548))</f>
        <v/>
      </c>
      <c r="V549" s="19">
        <f>IF($B549="","",TEXT($B549,"0000"))</f>
        <v/>
      </c>
      <c r="W549" s="19">
        <f>IF($I549="","",IF(ISNUMBER($I549),TEXT($I549,"0"),$I549))</f>
        <v/>
      </c>
    </row>
    <row r="550">
      <c r="B550" s="25" t="n"/>
      <c r="I550" s="25" t="n"/>
      <c r="U550" s="19">
        <f>IF(AND($V550='設定'!$C$4,COUNTIF('商品マスタ'!$B$6:$B$1005,$W550)=0),N(U549)+1,N(U549))</f>
        <v/>
      </c>
      <c r="V550" s="19">
        <f>IF($B550="","",TEXT($B550,"0000"))</f>
        <v/>
      </c>
      <c r="W550" s="19">
        <f>IF($I550="","",IF(ISNUMBER($I550),TEXT($I550,"0"),$I550))</f>
        <v/>
      </c>
    </row>
    <row r="551">
      <c r="B551" s="25" t="n"/>
      <c r="I551" s="25" t="n"/>
      <c r="U551" s="19">
        <f>IF(AND($V551='設定'!$C$4,COUNTIF('商品マスタ'!$B$6:$B$1005,$W551)=0),N(U550)+1,N(U550))</f>
        <v/>
      </c>
      <c r="V551" s="19">
        <f>IF($B551="","",TEXT($B551,"0000"))</f>
        <v/>
      </c>
      <c r="W551" s="19">
        <f>IF($I551="","",IF(ISNUMBER($I551),TEXT($I551,"0"),$I551))</f>
        <v/>
      </c>
    </row>
    <row r="552">
      <c r="B552" s="25" t="n"/>
      <c r="I552" s="25" t="n"/>
      <c r="U552" s="19">
        <f>IF(AND($V552='設定'!$C$4,COUNTIF('商品マスタ'!$B$6:$B$1005,$W552)=0),N(U551)+1,N(U551))</f>
        <v/>
      </c>
      <c r="V552" s="19">
        <f>IF($B552="","",TEXT($B552,"0000"))</f>
        <v/>
      </c>
      <c r="W552" s="19">
        <f>IF($I552="","",IF(ISNUMBER($I552),TEXT($I552,"0"),$I552))</f>
        <v/>
      </c>
    </row>
    <row r="553">
      <c r="B553" s="25" t="n"/>
      <c r="I553" s="25" t="n"/>
      <c r="U553" s="19">
        <f>IF(AND($V553='設定'!$C$4,COUNTIF('商品マスタ'!$B$6:$B$1005,$W553)=0),N(U552)+1,N(U552))</f>
        <v/>
      </c>
      <c r="V553" s="19">
        <f>IF($B553="","",TEXT($B553,"0000"))</f>
        <v/>
      </c>
      <c r="W553" s="19">
        <f>IF($I553="","",IF(ISNUMBER($I553),TEXT($I553,"0"),$I553))</f>
        <v/>
      </c>
    </row>
    <row r="554">
      <c r="B554" s="25" t="n"/>
      <c r="I554" s="25" t="n"/>
      <c r="U554" s="19">
        <f>IF(AND($V554='設定'!$C$4,COUNTIF('商品マスタ'!$B$6:$B$1005,$W554)=0),N(U553)+1,N(U553))</f>
        <v/>
      </c>
      <c r="V554" s="19">
        <f>IF($B554="","",TEXT($B554,"0000"))</f>
        <v/>
      </c>
      <c r="W554" s="19">
        <f>IF($I554="","",IF(ISNUMBER($I554),TEXT($I554,"0"),$I554))</f>
        <v/>
      </c>
    </row>
    <row r="555">
      <c r="B555" s="25" t="n"/>
      <c r="I555" s="25" t="n"/>
      <c r="U555" s="19">
        <f>IF(AND($V555='設定'!$C$4,COUNTIF('商品マスタ'!$B$6:$B$1005,$W555)=0),N(U554)+1,N(U554))</f>
        <v/>
      </c>
      <c r="V555" s="19">
        <f>IF($B555="","",TEXT($B555,"0000"))</f>
        <v/>
      </c>
      <c r="W555" s="19">
        <f>IF($I555="","",IF(ISNUMBER($I555),TEXT($I555,"0"),$I555))</f>
        <v/>
      </c>
    </row>
    <row r="556">
      <c r="B556" s="25" t="n"/>
      <c r="I556" s="25" t="n"/>
      <c r="U556" s="19">
        <f>IF(AND($V556='設定'!$C$4,COUNTIF('商品マスタ'!$B$6:$B$1005,$W556)=0),N(U555)+1,N(U555))</f>
        <v/>
      </c>
      <c r="V556" s="19">
        <f>IF($B556="","",TEXT($B556,"0000"))</f>
        <v/>
      </c>
      <c r="W556" s="19">
        <f>IF($I556="","",IF(ISNUMBER($I556),TEXT($I556,"0"),$I556))</f>
        <v/>
      </c>
    </row>
    <row r="557">
      <c r="B557" s="25" t="n"/>
      <c r="I557" s="25" t="n"/>
      <c r="U557" s="19">
        <f>IF(AND($V557='設定'!$C$4,COUNTIF('商品マスタ'!$B$6:$B$1005,$W557)=0),N(U556)+1,N(U556))</f>
        <v/>
      </c>
      <c r="V557" s="19">
        <f>IF($B557="","",TEXT($B557,"0000"))</f>
        <v/>
      </c>
      <c r="W557" s="19">
        <f>IF($I557="","",IF(ISNUMBER($I557),TEXT($I557,"0"),$I557))</f>
        <v/>
      </c>
    </row>
    <row r="558">
      <c r="B558" s="25" t="n"/>
      <c r="I558" s="25" t="n"/>
      <c r="U558" s="19">
        <f>IF(AND($V558='設定'!$C$4,COUNTIF('商品マスタ'!$B$6:$B$1005,$W558)=0),N(U557)+1,N(U557))</f>
        <v/>
      </c>
      <c r="V558" s="19">
        <f>IF($B558="","",TEXT($B558,"0000"))</f>
        <v/>
      </c>
      <c r="W558" s="19">
        <f>IF($I558="","",IF(ISNUMBER($I558),TEXT($I558,"0"),$I558))</f>
        <v/>
      </c>
    </row>
    <row r="559">
      <c r="B559" s="25" t="n"/>
      <c r="I559" s="25" t="n"/>
      <c r="U559" s="19">
        <f>IF(AND($V559='設定'!$C$4,COUNTIF('商品マスタ'!$B$6:$B$1005,$W559)=0),N(U558)+1,N(U558))</f>
        <v/>
      </c>
      <c r="V559" s="19">
        <f>IF($B559="","",TEXT($B559,"0000"))</f>
        <v/>
      </c>
      <c r="W559" s="19">
        <f>IF($I559="","",IF(ISNUMBER($I559),TEXT($I559,"0"),$I559))</f>
        <v/>
      </c>
    </row>
    <row r="560">
      <c r="B560" s="25" t="n"/>
      <c r="I560" s="25" t="n"/>
      <c r="U560" s="19">
        <f>IF(AND($V560='設定'!$C$4,COUNTIF('商品マスタ'!$B$6:$B$1005,$W560)=0),N(U559)+1,N(U559))</f>
        <v/>
      </c>
      <c r="V560" s="19">
        <f>IF($B560="","",TEXT($B560,"0000"))</f>
        <v/>
      </c>
      <c r="W560" s="19">
        <f>IF($I560="","",IF(ISNUMBER($I560),TEXT($I560,"0"),$I560))</f>
        <v/>
      </c>
    </row>
    <row r="561">
      <c r="B561" s="25" t="n"/>
      <c r="I561" s="25" t="n"/>
      <c r="U561" s="19">
        <f>IF(AND($V561='設定'!$C$4,COUNTIF('商品マスタ'!$B$6:$B$1005,$W561)=0),N(U560)+1,N(U560))</f>
        <v/>
      </c>
      <c r="V561" s="19">
        <f>IF($B561="","",TEXT($B561,"0000"))</f>
        <v/>
      </c>
      <c r="W561" s="19">
        <f>IF($I561="","",IF(ISNUMBER($I561),TEXT($I561,"0"),$I561))</f>
        <v/>
      </c>
    </row>
    <row r="562">
      <c r="B562" s="25" t="n"/>
      <c r="I562" s="25" t="n"/>
      <c r="U562" s="19">
        <f>IF(AND($V562='設定'!$C$4,COUNTIF('商品マスタ'!$B$6:$B$1005,$W562)=0),N(U561)+1,N(U561))</f>
        <v/>
      </c>
      <c r="V562" s="19">
        <f>IF($B562="","",TEXT($B562,"0000"))</f>
        <v/>
      </c>
      <c r="W562" s="19">
        <f>IF($I562="","",IF(ISNUMBER($I562),TEXT($I562,"0"),$I562))</f>
        <v/>
      </c>
    </row>
    <row r="563">
      <c r="B563" s="25" t="n"/>
      <c r="I563" s="25" t="n"/>
      <c r="U563" s="19">
        <f>IF(AND($V563='設定'!$C$4,COUNTIF('商品マスタ'!$B$6:$B$1005,$W563)=0),N(U562)+1,N(U562))</f>
        <v/>
      </c>
      <c r="V563" s="19">
        <f>IF($B563="","",TEXT($B563,"0000"))</f>
        <v/>
      </c>
      <c r="W563" s="19">
        <f>IF($I563="","",IF(ISNUMBER($I563),TEXT($I563,"0"),$I563))</f>
        <v/>
      </c>
    </row>
    <row r="564">
      <c r="B564" s="25" t="n"/>
      <c r="I564" s="25" t="n"/>
      <c r="U564" s="19">
        <f>IF(AND($V564='設定'!$C$4,COUNTIF('商品マスタ'!$B$6:$B$1005,$W564)=0),N(U563)+1,N(U563))</f>
        <v/>
      </c>
      <c r="V564" s="19">
        <f>IF($B564="","",TEXT($B564,"0000"))</f>
        <v/>
      </c>
      <c r="W564" s="19">
        <f>IF($I564="","",IF(ISNUMBER($I564),TEXT($I564,"0"),$I564))</f>
        <v/>
      </c>
    </row>
    <row r="565">
      <c r="B565" s="25" t="n"/>
      <c r="I565" s="25" t="n"/>
      <c r="U565" s="19">
        <f>IF(AND($V565='設定'!$C$4,COUNTIF('商品マスタ'!$B$6:$B$1005,$W565)=0),N(U564)+1,N(U564))</f>
        <v/>
      </c>
      <c r="V565" s="19">
        <f>IF($B565="","",TEXT($B565,"0000"))</f>
        <v/>
      </c>
      <c r="W565" s="19">
        <f>IF($I565="","",IF(ISNUMBER($I565),TEXT($I565,"0"),$I565))</f>
        <v/>
      </c>
    </row>
    <row r="566">
      <c r="B566" s="25" t="n"/>
      <c r="I566" s="25" t="n"/>
      <c r="U566" s="19">
        <f>IF(AND($V566='設定'!$C$4,COUNTIF('商品マスタ'!$B$6:$B$1005,$W566)=0),N(U565)+1,N(U565))</f>
        <v/>
      </c>
      <c r="V566" s="19">
        <f>IF($B566="","",TEXT($B566,"0000"))</f>
        <v/>
      </c>
      <c r="W566" s="19">
        <f>IF($I566="","",IF(ISNUMBER($I566),TEXT($I566,"0"),$I566))</f>
        <v/>
      </c>
    </row>
    <row r="567">
      <c r="B567" s="25" t="n"/>
      <c r="I567" s="25" t="n"/>
      <c r="U567" s="19">
        <f>IF(AND($V567='設定'!$C$4,COUNTIF('商品マスタ'!$B$6:$B$1005,$W567)=0),N(U566)+1,N(U566))</f>
        <v/>
      </c>
      <c r="V567" s="19">
        <f>IF($B567="","",TEXT($B567,"0000"))</f>
        <v/>
      </c>
      <c r="W567" s="19">
        <f>IF($I567="","",IF(ISNUMBER($I567),TEXT($I567,"0"),$I567))</f>
        <v/>
      </c>
    </row>
    <row r="568">
      <c r="B568" s="25" t="n"/>
      <c r="I568" s="25" t="n"/>
      <c r="U568" s="19">
        <f>IF(AND($V568='設定'!$C$4,COUNTIF('商品マスタ'!$B$6:$B$1005,$W568)=0),N(U567)+1,N(U567))</f>
        <v/>
      </c>
      <c r="V568" s="19">
        <f>IF($B568="","",TEXT($B568,"0000"))</f>
        <v/>
      </c>
      <c r="W568" s="19">
        <f>IF($I568="","",IF(ISNUMBER($I568),TEXT($I568,"0"),$I568))</f>
        <v/>
      </c>
    </row>
    <row r="569">
      <c r="B569" s="25" t="n"/>
      <c r="I569" s="25" t="n"/>
      <c r="U569" s="19">
        <f>IF(AND($V569='設定'!$C$4,COUNTIF('商品マスタ'!$B$6:$B$1005,$W569)=0),N(U568)+1,N(U568))</f>
        <v/>
      </c>
      <c r="V569" s="19">
        <f>IF($B569="","",TEXT($B569,"0000"))</f>
        <v/>
      </c>
      <c r="W569" s="19">
        <f>IF($I569="","",IF(ISNUMBER($I569),TEXT($I569,"0"),$I569))</f>
        <v/>
      </c>
    </row>
    <row r="570">
      <c r="B570" s="25" t="n"/>
      <c r="I570" s="25" t="n"/>
      <c r="U570" s="19">
        <f>IF(AND($V570='設定'!$C$4,COUNTIF('商品マスタ'!$B$6:$B$1005,$W570)=0),N(U569)+1,N(U569))</f>
        <v/>
      </c>
      <c r="V570" s="19">
        <f>IF($B570="","",TEXT($B570,"0000"))</f>
        <v/>
      </c>
      <c r="W570" s="19">
        <f>IF($I570="","",IF(ISNUMBER($I570),TEXT($I570,"0"),$I570))</f>
        <v/>
      </c>
    </row>
    <row r="571">
      <c r="B571" s="25" t="n"/>
      <c r="I571" s="25" t="n"/>
      <c r="U571" s="19">
        <f>IF(AND($V571='設定'!$C$4,COUNTIF('商品マスタ'!$B$6:$B$1005,$W571)=0),N(U570)+1,N(U570))</f>
        <v/>
      </c>
      <c r="V571" s="19">
        <f>IF($B571="","",TEXT($B571,"0000"))</f>
        <v/>
      </c>
      <c r="W571" s="19">
        <f>IF($I571="","",IF(ISNUMBER($I571),TEXT($I571,"0"),$I571))</f>
        <v/>
      </c>
    </row>
    <row r="572">
      <c r="B572" s="25" t="n"/>
      <c r="I572" s="25" t="n"/>
      <c r="U572" s="19">
        <f>IF(AND($V572='設定'!$C$4,COUNTIF('商品マスタ'!$B$6:$B$1005,$W572)=0),N(U571)+1,N(U571))</f>
        <v/>
      </c>
      <c r="V572" s="19">
        <f>IF($B572="","",TEXT($B572,"0000"))</f>
        <v/>
      </c>
      <c r="W572" s="19">
        <f>IF($I572="","",IF(ISNUMBER($I572),TEXT($I572,"0"),$I572))</f>
        <v/>
      </c>
    </row>
    <row r="573">
      <c r="B573" s="25" t="n"/>
      <c r="I573" s="25" t="n"/>
      <c r="U573" s="19">
        <f>IF(AND($V573='設定'!$C$4,COUNTIF('商品マスタ'!$B$6:$B$1005,$W573)=0),N(U572)+1,N(U572))</f>
        <v/>
      </c>
      <c r="V573" s="19">
        <f>IF($B573="","",TEXT($B573,"0000"))</f>
        <v/>
      </c>
      <c r="W573" s="19">
        <f>IF($I573="","",IF(ISNUMBER($I573),TEXT($I573,"0"),$I573))</f>
        <v/>
      </c>
    </row>
    <row r="574">
      <c r="B574" s="25" t="n"/>
      <c r="I574" s="25" t="n"/>
      <c r="U574" s="19">
        <f>IF(AND($V574='設定'!$C$4,COUNTIF('商品マスタ'!$B$6:$B$1005,$W574)=0),N(U573)+1,N(U573))</f>
        <v/>
      </c>
      <c r="V574" s="19">
        <f>IF($B574="","",TEXT($B574,"0000"))</f>
        <v/>
      </c>
      <c r="W574" s="19">
        <f>IF($I574="","",IF(ISNUMBER($I574),TEXT($I574,"0"),$I574))</f>
        <v/>
      </c>
    </row>
    <row r="575">
      <c r="B575" s="25" t="n"/>
      <c r="I575" s="25" t="n"/>
      <c r="U575" s="19">
        <f>IF(AND($V575='設定'!$C$4,COUNTIF('商品マスタ'!$B$6:$B$1005,$W575)=0),N(U574)+1,N(U574))</f>
        <v/>
      </c>
      <c r="V575" s="19">
        <f>IF($B575="","",TEXT($B575,"0000"))</f>
        <v/>
      </c>
      <c r="W575" s="19">
        <f>IF($I575="","",IF(ISNUMBER($I575),TEXT($I575,"0"),$I575))</f>
        <v/>
      </c>
    </row>
    <row r="576">
      <c r="B576" s="25" t="n"/>
      <c r="I576" s="25" t="n"/>
      <c r="U576" s="19">
        <f>IF(AND($V576='設定'!$C$4,COUNTIF('商品マスタ'!$B$6:$B$1005,$W576)=0),N(U575)+1,N(U575))</f>
        <v/>
      </c>
      <c r="V576" s="19">
        <f>IF($B576="","",TEXT($B576,"0000"))</f>
        <v/>
      </c>
      <c r="W576" s="19">
        <f>IF($I576="","",IF(ISNUMBER($I576),TEXT($I576,"0"),$I576))</f>
        <v/>
      </c>
    </row>
    <row r="577">
      <c r="B577" s="25" t="n"/>
      <c r="I577" s="25" t="n"/>
      <c r="U577" s="19">
        <f>IF(AND($V577='設定'!$C$4,COUNTIF('商品マスタ'!$B$6:$B$1005,$W577)=0),N(U576)+1,N(U576))</f>
        <v/>
      </c>
      <c r="V577" s="19">
        <f>IF($B577="","",TEXT($B577,"0000"))</f>
        <v/>
      </c>
      <c r="W577" s="19">
        <f>IF($I577="","",IF(ISNUMBER($I577),TEXT($I577,"0"),$I577))</f>
        <v/>
      </c>
    </row>
    <row r="578">
      <c r="B578" s="25" t="n"/>
      <c r="I578" s="25" t="n"/>
      <c r="U578" s="19">
        <f>IF(AND($V578='設定'!$C$4,COUNTIF('商品マスタ'!$B$6:$B$1005,$W578)=0),N(U577)+1,N(U577))</f>
        <v/>
      </c>
      <c r="V578" s="19">
        <f>IF($B578="","",TEXT($B578,"0000"))</f>
        <v/>
      </c>
      <c r="W578" s="19">
        <f>IF($I578="","",IF(ISNUMBER($I578),TEXT($I578,"0"),$I578))</f>
        <v/>
      </c>
    </row>
    <row r="579">
      <c r="B579" s="25" t="n"/>
      <c r="I579" s="25" t="n"/>
      <c r="U579" s="19">
        <f>IF(AND($V579='設定'!$C$4,COUNTIF('商品マスタ'!$B$6:$B$1005,$W579)=0),N(U578)+1,N(U578))</f>
        <v/>
      </c>
      <c r="V579" s="19">
        <f>IF($B579="","",TEXT($B579,"0000"))</f>
        <v/>
      </c>
      <c r="W579" s="19">
        <f>IF($I579="","",IF(ISNUMBER($I579),TEXT($I579,"0"),$I579))</f>
        <v/>
      </c>
    </row>
    <row r="580">
      <c r="B580" s="25" t="n"/>
      <c r="I580" s="25" t="n"/>
      <c r="U580" s="19">
        <f>IF(AND($V580='設定'!$C$4,COUNTIF('商品マスタ'!$B$6:$B$1005,$W580)=0),N(U579)+1,N(U579))</f>
        <v/>
      </c>
      <c r="V580" s="19">
        <f>IF($B580="","",TEXT($B580,"0000"))</f>
        <v/>
      </c>
      <c r="W580" s="19">
        <f>IF($I580="","",IF(ISNUMBER($I580),TEXT($I580,"0"),$I580))</f>
        <v/>
      </c>
    </row>
    <row r="581">
      <c r="B581" s="25" t="n"/>
      <c r="I581" s="25" t="n"/>
      <c r="U581" s="19">
        <f>IF(AND($V581='設定'!$C$4,COUNTIF('商品マスタ'!$B$6:$B$1005,$W581)=0),N(U580)+1,N(U580))</f>
        <v/>
      </c>
      <c r="V581" s="19">
        <f>IF($B581="","",TEXT($B581,"0000"))</f>
        <v/>
      </c>
      <c r="W581" s="19">
        <f>IF($I581="","",IF(ISNUMBER($I581),TEXT($I581,"0"),$I581))</f>
        <v/>
      </c>
    </row>
    <row r="582">
      <c r="B582" s="25" t="n"/>
      <c r="I582" s="25" t="n"/>
      <c r="U582" s="19">
        <f>IF(AND($V582='設定'!$C$4,COUNTIF('商品マスタ'!$B$6:$B$1005,$W582)=0),N(U581)+1,N(U581))</f>
        <v/>
      </c>
      <c r="V582" s="19">
        <f>IF($B582="","",TEXT($B582,"0000"))</f>
        <v/>
      </c>
      <c r="W582" s="19">
        <f>IF($I582="","",IF(ISNUMBER($I582),TEXT($I582,"0"),$I582))</f>
        <v/>
      </c>
    </row>
    <row r="583">
      <c r="B583" s="25" t="n"/>
      <c r="I583" s="25" t="n"/>
      <c r="U583" s="19">
        <f>IF(AND($V583='設定'!$C$4,COUNTIF('商品マスタ'!$B$6:$B$1005,$W583)=0),N(U582)+1,N(U582))</f>
        <v/>
      </c>
      <c r="V583" s="19">
        <f>IF($B583="","",TEXT($B583,"0000"))</f>
        <v/>
      </c>
      <c r="W583" s="19">
        <f>IF($I583="","",IF(ISNUMBER($I583),TEXT($I583,"0"),$I583))</f>
        <v/>
      </c>
    </row>
    <row r="584">
      <c r="B584" s="25" t="n"/>
      <c r="I584" s="25" t="n"/>
      <c r="U584" s="19">
        <f>IF(AND($V584='設定'!$C$4,COUNTIF('商品マスタ'!$B$6:$B$1005,$W584)=0),N(U583)+1,N(U583))</f>
        <v/>
      </c>
      <c r="V584" s="19">
        <f>IF($B584="","",TEXT($B584,"0000"))</f>
        <v/>
      </c>
      <c r="W584" s="19">
        <f>IF($I584="","",IF(ISNUMBER($I584),TEXT($I584,"0"),$I584))</f>
        <v/>
      </c>
    </row>
    <row r="585">
      <c r="B585" s="25" t="n"/>
      <c r="I585" s="25" t="n"/>
      <c r="U585" s="19">
        <f>IF(AND($V585='設定'!$C$4,COUNTIF('商品マスタ'!$B$6:$B$1005,$W585)=0),N(U584)+1,N(U584))</f>
        <v/>
      </c>
      <c r="V585" s="19">
        <f>IF($B585="","",TEXT($B585,"0000"))</f>
        <v/>
      </c>
      <c r="W585" s="19">
        <f>IF($I585="","",IF(ISNUMBER($I585),TEXT($I585,"0"),$I585))</f>
        <v/>
      </c>
    </row>
    <row r="586">
      <c r="B586" s="25" t="n"/>
      <c r="I586" s="25" t="n"/>
      <c r="U586" s="19">
        <f>IF(AND($V586='設定'!$C$4,COUNTIF('商品マスタ'!$B$6:$B$1005,$W586)=0),N(U585)+1,N(U585))</f>
        <v/>
      </c>
      <c r="V586" s="19">
        <f>IF($B586="","",TEXT($B586,"0000"))</f>
        <v/>
      </c>
      <c r="W586" s="19">
        <f>IF($I586="","",IF(ISNUMBER($I586),TEXT($I586,"0"),$I586))</f>
        <v/>
      </c>
    </row>
    <row r="587">
      <c r="B587" s="25" t="n"/>
      <c r="I587" s="25" t="n"/>
      <c r="U587" s="19">
        <f>IF(AND($V587='設定'!$C$4,COUNTIF('商品マスタ'!$B$6:$B$1005,$W587)=0),N(U586)+1,N(U586))</f>
        <v/>
      </c>
      <c r="V587" s="19">
        <f>IF($B587="","",TEXT($B587,"0000"))</f>
        <v/>
      </c>
      <c r="W587" s="19">
        <f>IF($I587="","",IF(ISNUMBER($I587),TEXT($I587,"0"),$I587))</f>
        <v/>
      </c>
    </row>
    <row r="588">
      <c r="B588" s="25" t="n"/>
      <c r="I588" s="25" t="n"/>
      <c r="U588" s="19">
        <f>IF(AND($V588='設定'!$C$4,COUNTIF('商品マスタ'!$B$6:$B$1005,$W588)=0),N(U587)+1,N(U587))</f>
        <v/>
      </c>
      <c r="V588" s="19">
        <f>IF($B588="","",TEXT($B588,"0000"))</f>
        <v/>
      </c>
      <c r="W588" s="19">
        <f>IF($I588="","",IF(ISNUMBER($I588),TEXT($I588,"0"),$I588))</f>
        <v/>
      </c>
    </row>
    <row r="589">
      <c r="B589" s="25" t="n"/>
      <c r="I589" s="25" t="n"/>
      <c r="U589" s="19">
        <f>IF(AND($V589='設定'!$C$4,COUNTIF('商品マスタ'!$B$6:$B$1005,$W589)=0),N(U588)+1,N(U588))</f>
        <v/>
      </c>
      <c r="V589" s="19">
        <f>IF($B589="","",TEXT($B589,"0000"))</f>
        <v/>
      </c>
      <c r="W589" s="19">
        <f>IF($I589="","",IF(ISNUMBER($I589),TEXT($I589,"0"),$I589))</f>
        <v/>
      </c>
    </row>
    <row r="590">
      <c r="B590" s="25" t="n"/>
      <c r="I590" s="25" t="n"/>
      <c r="U590" s="19">
        <f>IF(AND($V590='設定'!$C$4,COUNTIF('商品マスタ'!$B$6:$B$1005,$W590)=0),N(U589)+1,N(U589))</f>
        <v/>
      </c>
      <c r="V590" s="19">
        <f>IF($B590="","",TEXT($B590,"0000"))</f>
        <v/>
      </c>
      <c r="W590" s="19">
        <f>IF($I590="","",IF(ISNUMBER($I590),TEXT($I590,"0"),$I590))</f>
        <v/>
      </c>
    </row>
    <row r="591">
      <c r="B591" s="25" t="n"/>
      <c r="I591" s="25" t="n"/>
      <c r="U591" s="19">
        <f>IF(AND($V591='設定'!$C$4,COUNTIF('商品マスタ'!$B$6:$B$1005,$W591)=0),N(U590)+1,N(U590))</f>
        <v/>
      </c>
      <c r="V591" s="19">
        <f>IF($B591="","",TEXT($B591,"0000"))</f>
        <v/>
      </c>
      <c r="W591" s="19">
        <f>IF($I591="","",IF(ISNUMBER($I591),TEXT($I591,"0"),$I591))</f>
        <v/>
      </c>
    </row>
    <row r="592">
      <c r="B592" s="25" t="n"/>
      <c r="I592" s="25" t="n"/>
      <c r="U592" s="19">
        <f>IF(AND($V592='設定'!$C$4,COUNTIF('商品マスタ'!$B$6:$B$1005,$W592)=0),N(U591)+1,N(U591))</f>
        <v/>
      </c>
      <c r="V592" s="19">
        <f>IF($B592="","",TEXT($B592,"0000"))</f>
        <v/>
      </c>
      <c r="W592" s="19">
        <f>IF($I592="","",IF(ISNUMBER($I592),TEXT($I592,"0"),$I592))</f>
        <v/>
      </c>
    </row>
    <row r="593">
      <c r="B593" s="25" t="n"/>
      <c r="I593" s="25" t="n"/>
      <c r="U593" s="19">
        <f>IF(AND($V593='設定'!$C$4,COUNTIF('商品マスタ'!$B$6:$B$1005,$W593)=0),N(U592)+1,N(U592))</f>
        <v/>
      </c>
      <c r="V593" s="19">
        <f>IF($B593="","",TEXT($B593,"0000"))</f>
        <v/>
      </c>
      <c r="W593" s="19">
        <f>IF($I593="","",IF(ISNUMBER($I593),TEXT($I593,"0"),$I593))</f>
        <v/>
      </c>
    </row>
    <row r="594">
      <c r="B594" s="25" t="n"/>
      <c r="I594" s="25" t="n"/>
      <c r="U594" s="19">
        <f>IF(AND($V594='設定'!$C$4,COUNTIF('商品マスタ'!$B$6:$B$1005,$W594)=0),N(U593)+1,N(U593))</f>
        <v/>
      </c>
      <c r="V594" s="19">
        <f>IF($B594="","",TEXT($B594,"0000"))</f>
        <v/>
      </c>
      <c r="W594" s="19">
        <f>IF($I594="","",IF(ISNUMBER($I594),TEXT($I594,"0"),$I594))</f>
        <v/>
      </c>
    </row>
    <row r="595">
      <c r="B595" s="25" t="n"/>
      <c r="I595" s="25" t="n"/>
      <c r="U595" s="19">
        <f>IF(AND($V595='設定'!$C$4,COUNTIF('商品マスタ'!$B$6:$B$1005,$W595)=0),N(U594)+1,N(U594))</f>
        <v/>
      </c>
      <c r="V595" s="19">
        <f>IF($B595="","",TEXT($B595,"0000"))</f>
        <v/>
      </c>
      <c r="W595" s="19">
        <f>IF($I595="","",IF(ISNUMBER($I595),TEXT($I595,"0"),$I595))</f>
        <v/>
      </c>
    </row>
    <row r="596">
      <c r="B596" s="25" t="n"/>
      <c r="I596" s="25" t="n"/>
      <c r="U596" s="19">
        <f>IF(AND($V596='設定'!$C$4,COUNTIF('商品マスタ'!$B$6:$B$1005,$W596)=0),N(U595)+1,N(U595))</f>
        <v/>
      </c>
      <c r="V596" s="19">
        <f>IF($B596="","",TEXT($B596,"0000"))</f>
        <v/>
      </c>
      <c r="W596" s="19">
        <f>IF($I596="","",IF(ISNUMBER($I596),TEXT($I596,"0"),$I596))</f>
        <v/>
      </c>
    </row>
    <row r="597">
      <c r="B597" s="25" t="n"/>
      <c r="I597" s="25" t="n"/>
      <c r="U597" s="19">
        <f>IF(AND($V597='設定'!$C$4,COUNTIF('商品マスタ'!$B$6:$B$1005,$W597)=0),N(U596)+1,N(U596))</f>
        <v/>
      </c>
      <c r="V597" s="19">
        <f>IF($B597="","",TEXT($B597,"0000"))</f>
        <v/>
      </c>
      <c r="W597" s="19">
        <f>IF($I597="","",IF(ISNUMBER($I597),TEXT($I597,"0"),$I597))</f>
        <v/>
      </c>
    </row>
    <row r="598">
      <c r="B598" s="25" t="n"/>
      <c r="I598" s="25" t="n"/>
      <c r="U598" s="19">
        <f>IF(AND($V598='設定'!$C$4,COUNTIF('商品マスタ'!$B$6:$B$1005,$W598)=0),N(U597)+1,N(U597))</f>
        <v/>
      </c>
      <c r="V598" s="19">
        <f>IF($B598="","",TEXT($B598,"0000"))</f>
        <v/>
      </c>
      <c r="W598" s="19">
        <f>IF($I598="","",IF(ISNUMBER($I598),TEXT($I598,"0"),$I598))</f>
        <v/>
      </c>
    </row>
    <row r="599">
      <c r="B599" s="25" t="n"/>
      <c r="I599" s="25" t="n"/>
      <c r="U599" s="19">
        <f>IF(AND($V599='設定'!$C$4,COUNTIF('商品マスタ'!$B$6:$B$1005,$W599)=0),N(U598)+1,N(U598))</f>
        <v/>
      </c>
      <c r="V599" s="19">
        <f>IF($B599="","",TEXT($B599,"0000"))</f>
        <v/>
      </c>
      <c r="W599" s="19">
        <f>IF($I599="","",IF(ISNUMBER($I599),TEXT($I599,"0"),$I599))</f>
        <v/>
      </c>
    </row>
    <row r="600">
      <c r="B600" s="25" t="n"/>
      <c r="I600" s="25" t="n"/>
      <c r="U600" s="19">
        <f>IF(AND($V600='設定'!$C$4,COUNTIF('商品マスタ'!$B$6:$B$1005,$W600)=0),N(U599)+1,N(U599))</f>
        <v/>
      </c>
      <c r="V600" s="19">
        <f>IF($B600="","",TEXT($B600,"0000"))</f>
        <v/>
      </c>
      <c r="W600" s="19">
        <f>IF($I600="","",IF(ISNUMBER($I600),TEXT($I600,"0"),$I600))</f>
        <v/>
      </c>
    </row>
    <row r="601">
      <c r="B601" s="25" t="n"/>
      <c r="I601" s="25" t="n"/>
      <c r="U601" s="19">
        <f>IF(AND($V601='設定'!$C$4,COUNTIF('商品マスタ'!$B$6:$B$1005,$W601)=0),N(U600)+1,N(U600))</f>
        <v/>
      </c>
      <c r="V601" s="19">
        <f>IF($B601="","",TEXT($B601,"0000"))</f>
        <v/>
      </c>
      <c r="W601" s="19">
        <f>IF($I601="","",IF(ISNUMBER($I601),TEXT($I601,"0"),$I601))</f>
        <v/>
      </c>
    </row>
    <row r="602">
      <c r="B602" s="25" t="n"/>
      <c r="I602" s="25" t="n"/>
      <c r="U602" s="19">
        <f>IF(AND($V602='設定'!$C$4,COUNTIF('商品マスタ'!$B$6:$B$1005,$W602)=0),N(U601)+1,N(U601))</f>
        <v/>
      </c>
      <c r="V602" s="19">
        <f>IF($B602="","",TEXT($B602,"0000"))</f>
        <v/>
      </c>
      <c r="W602" s="19">
        <f>IF($I602="","",IF(ISNUMBER($I602),TEXT($I602,"0"),$I602))</f>
        <v/>
      </c>
    </row>
    <row r="603">
      <c r="B603" s="25" t="n"/>
      <c r="I603" s="25" t="n"/>
      <c r="U603" s="19">
        <f>IF(AND($V603='設定'!$C$4,COUNTIF('商品マスタ'!$B$6:$B$1005,$W603)=0),N(U602)+1,N(U602))</f>
        <v/>
      </c>
      <c r="V603" s="19">
        <f>IF($B603="","",TEXT($B603,"0000"))</f>
        <v/>
      </c>
      <c r="W603" s="19">
        <f>IF($I603="","",IF(ISNUMBER($I603),TEXT($I603,"0"),$I603))</f>
        <v/>
      </c>
    </row>
    <row r="604">
      <c r="B604" s="25" t="n"/>
      <c r="I604" s="25" t="n"/>
      <c r="U604" s="19">
        <f>IF(AND($V604='設定'!$C$4,COUNTIF('商品マスタ'!$B$6:$B$1005,$W604)=0),N(U603)+1,N(U603))</f>
        <v/>
      </c>
      <c r="V604" s="19">
        <f>IF($B604="","",TEXT($B604,"0000"))</f>
        <v/>
      </c>
      <c r="W604" s="19">
        <f>IF($I604="","",IF(ISNUMBER($I604),TEXT($I604,"0"),$I604))</f>
        <v/>
      </c>
    </row>
    <row r="605">
      <c r="B605" s="25" t="n"/>
      <c r="I605" s="25" t="n"/>
      <c r="U605" s="19">
        <f>IF(AND($V605='設定'!$C$4,COUNTIF('商品マスタ'!$B$6:$B$1005,$W605)=0),N(U604)+1,N(U604))</f>
        <v/>
      </c>
      <c r="V605" s="19">
        <f>IF($B605="","",TEXT($B605,"0000"))</f>
        <v/>
      </c>
      <c r="W605" s="19">
        <f>IF($I605="","",IF(ISNUMBER($I605),TEXT($I605,"0"),$I605))</f>
        <v/>
      </c>
    </row>
    <row r="606">
      <c r="B606" s="25" t="n"/>
      <c r="I606" s="25" t="n"/>
      <c r="U606" s="19">
        <f>IF(AND($V606='設定'!$C$4,COUNTIF('商品マスタ'!$B$6:$B$1005,$W606)=0),N(U605)+1,N(U605))</f>
        <v/>
      </c>
      <c r="V606" s="19">
        <f>IF($B606="","",TEXT($B606,"0000"))</f>
        <v/>
      </c>
      <c r="W606" s="19">
        <f>IF($I606="","",IF(ISNUMBER($I606),TEXT($I606,"0"),$I606))</f>
        <v/>
      </c>
    </row>
    <row r="607">
      <c r="B607" s="25" t="n"/>
      <c r="I607" s="25" t="n"/>
      <c r="U607" s="19">
        <f>IF(AND($V607='設定'!$C$4,COUNTIF('商品マスタ'!$B$6:$B$1005,$W607)=0),N(U606)+1,N(U606))</f>
        <v/>
      </c>
      <c r="V607" s="19">
        <f>IF($B607="","",TEXT($B607,"0000"))</f>
        <v/>
      </c>
      <c r="W607" s="19">
        <f>IF($I607="","",IF(ISNUMBER($I607),TEXT($I607,"0"),$I607))</f>
        <v/>
      </c>
    </row>
    <row r="608">
      <c r="B608" s="25" t="n"/>
      <c r="I608" s="25" t="n"/>
      <c r="U608" s="19">
        <f>IF(AND($V608='設定'!$C$4,COUNTIF('商品マスタ'!$B$6:$B$1005,$W608)=0),N(U607)+1,N(U607))</f>
        <v/>
      </c>
      <c r="V608" s="19">
        <f>IF($B608="","",TEXT($B608,"0000"))</f>
        <v/>
      </c>
      <c r="W608" s="19">
        <f>IF($I608="","",IF(ISNUMBER($I608),TEXT($I608,"0"),$I608))</f>
        <v/>
      </c>
    </row>
    <row r="609">
      <c r="B609" s="25" t="n"/>
      <c r="I609" s="25" t="n"/>
      <c r="U609" s="19">
        <f>IF(AND($V609='設定'!$C$4,COUNTIF('商品マスタ'!$B$6:$B$1005,$W609)=0),N(U608)+1,N(U608))</f>
        <v/>
      </c>
      <c r="V609" s="19">
        <f>IF($B609="","",TEXT($B609,"0000"))</f>
        <v/>
      </c>
      <c r="W609" s="19">
        <f>IF($I609="","",IF(ISNUMBER($I609),TEXT($I609,"0"),$I609))</f>
        <v/>
      </c>
    </row>
    <row r="610">
      <c r="B610" s="25" t="n"/>
      <c r="I610" s="25" t="n"/>
      <c r="U610" s="19">
        <f>IF(AND($V610='設定'!$C$4,COUNTIF('商品マスタ'!$B$6:$B$1005,$W610)=0),N(U609)+1,N(U609))</f>
        <v/>
      </c>
      <c r="V610" s="19">
        <f>IF($B610="","",TEXT($B610,"0000"))</f>
        <v/>
      </c>
      <c r="W610" s="19">
        <f>IF($I610="","",IF(ISNUMBER($I610),TEXT($I610,"0"),$I610))</f>
        <v/>
      </c>
    </row>
    <row r="611">
      <c r="B611" s="25" t="n"/>
      <c r="I611" s="25" t="n"/>
      <c r="U611" s="19">
        <f>IF(AND($V611='設定'!$C$4,COUNTIF('商品マスタ'!$B$6:$B$1005,$W611)=0),N(U610)+1,N(U610))</f>
        <v/>
      </c>
      <c r="V611" s="19">
        <f>IF($B611="","",TEXT($B611,"0000"))</f>
        <v/>
      </c>
      <c r="W611" s="19">
        <f>IF($I611="","",IF(ISNUMBER($I611),TEXT($I611,"0"),$I611))</f>
        <v/>
      </c>
    </row>
    <row r="612">
      <c r="B612" s="25" t="n"/>
      <c r="I612" s="25" t="n"/>
      <c r="U612" s="19">
        <f>IF(AND($V612='設定'!$C$4,COUNTIF('商品マスタ'!$B$6:$B$1005,$W612)=0),N(U611)+1,N(U611))</f>
        <v/>
      </c>
      <c r="V612" s="19">
        <f>IF($B612="","",TEXT($B612,"0000"))</f>
        <v/>
      </c>
      <c r="W612" s="19">
        <f>IF($I612="","",IF(ISNUMBER($I612),TEXT($I612,"0"),$I612))</f>
        <v/>
      </c>
    </row>
    <row r="613">
      <c r="B613" s="25" t="n"/>
      <c r="I613" s="25" t="n"/>
      <c r="U613" s="19">
        <f>IF(AND($V613='設定'!$C$4,COUNTIF('商品マスタ'!$B$6:$B$1005,$W613)=0),N(U612)+1,N(U612))</f>
        <v/>
      </c>
      <c r="V613" s="19">
        <f>IF($B613="","",TEXT($B613,"0000"))</f>
        <v/>
      </c>
      <c r="W613" s="19">
        <f>IF($I613="","",IF(ISNUMBER($I613),TEXT($I613,"0"),$I613))</f>
        <v/>
      </c>
    </row>
    <row r="614">
      <c r="B614" s="25" t="n"/>
      <c r="I614" s="25" t="n"/>
      <c r="U614" s="19">
        <f>IF(AND($V614='設定'!$C$4,COUNTIF('商品マスタ'!$B$6:$B$1005,$W614)=0),N(U613)+1,N(U613))</f>
        <v/>
      </c>
      <c r="V614" s="19">
        <f>IF($B614="","",TEXT($B614,"0000"))</f>
        <v/>
      </c>
      <c r="W614" s="19">
        <f>IF($I614="","",IF(ISNUMBER($I614),TEXT($I614,"0"),$I614))</f>
        <v/>
      </c>
    </row>
    <row r="615">
      <c r="B615" s="25" t="n"/>
      <c r="I615" s="25" t="n"/>
      <c r="U615" s="19">
        <f>IF(AND($V615='設定'!$C$4,COUNTIF('商品マスタ'!$B$6:$B$1005,$W615)=0),N(U614)+1,N(U614))</f>
        <v/>
      </c>
      <c r="V615" s="19">
        <f>IF($B615="","",TEXT($B615,"0000"))</f>
        <v/>
      </c>
      <c r="W615" s="19">
        <f>IF($I615="","",IF(ISNUMBER($I615),TEXT($I615,"0"),$I615))</f>
        <v/>
      </c>
    </row>
    <row r="616">
      <c r="B616" s="25" t="n"/>
      <c r="I616" s="25" t="n"/>
      <c r="U616" s="19">
        <f>IF(AND($V616='設定'!$C$4,COUNTIF('商品マスタ'!$B$6:$B$1005,$W616)=0),N(U615)+1,N(U615))</f>
        <v/>
      </c>
      <c r="V616" s="19">
        <f>IF($B616="","",TEXT($B616,"0000"))</f>
        <v/>
      </c>
      <c r="W616" s="19">
        <f>IF($I616="","",IF(ISNUMBER($I616),TEXT($I616,"0"),$I616))</f>
        <v/>
      </c>
    </row>
    <row r="617">
      <c r="B617" s="25" t="n"/>
      <c r="I617" s="25" t="n"/>
      <c r="U617" s="19">
        <f>IF(AND($V617='設定'!$C$4,COUNTIF('商品マスタ'!$B$6:$B$1005,$W617)=0),N(U616)+1,N(U616))</f>
        <v/>
      </c>
      <c r="V617" s="19">
        <f>IF($B617="","",TEXT($B617,"0000"))</f>
        <v/>
      </c>
      <c r="W617" s="19">
        <f>IF($I617="","",IF(ISNUMBER($I617),TEXT($I617,"0"),$I617))</f>
        <v/>
      </c>
    </row>
    <row r="618">
      <c r="B618" s="25" t="n"/>
      <c r="I618" s="25" t="n"/>
      <c r="U618" s="19">
        <f>IF(AND($V618='設定'!$C$4,COUNTIF('商品マスタ'!$B$6:$B$1005,$W618)=0),N(U617)+1,N(U617))</f>
        <v/>
      </c>
      <c r="V618" s="19">
        <f>IF($B618="","",TEXT($B618,"0000"))</f>
        <v/>
      </c>
      <c r="W618" s="19">
        <f>IF($I618="","",IF(ISNUMBER($I618),TEXT($I618,"0"),$I618))</f>
        <v/>
      </c>
    </row>
    <row r="619">
      <c r="B619" s="25" t="n"/>
      <c r="I619" s="25" t="n"/>
      <c r="U619" s="19">
        <f>IF(AND($V619='設定'!$C$4,COUNTIF('商品マスタ'!$B$6:$B$1005,$W619)=0),N(U618)+1,N(U618))</f>
        <v/>
      </c>
      <c r="V619" s="19">
        <f>IF($B619="","",TEXT($B619,"0000"))</f>
        <v/>
      </c>
      <c r="W619" s="19">
        <f>IF($I619="","",IF(ISNUMBER($I619),TEXT($I619,"0"),$I619))</f>
        <v/>
      </c>
    </row>
    <row r="620">
      <c r="B620" s="25" t="n"/>
      <c r="I620" s="25" t="n"/>
      <c r="U620" s="19">
        <f>IF(AND($V620='設定'!$C$4,COUNTIF('商品マスタ'!$B$6:$B$1005,$W620)=0),N(U619)+1,N(U619))</f>
        <v/>
      </c>
      <c r="V620" s="19">
        <f>IF($B620="","",TEXT($B620,"0000"))</f>
        <v/>
      </c>
      <c r="W620" s="19">
        <f>IF($I620="","",IF(ISNUMBER($I620),TEXT($I620,"0"),$I620))</f>
        <v/>
      </c>
    </row>
    <row r="621">
      <c r="B621" s="25" t="n"/>
      <c r="I621" s="25" t="n"/>
      <c r="U621" s="19">
        <f>IF(AND($V621='設定'!$C$4,COUNTIF('商品マスタ'!$B$6:$B$1005,$W621)=0),N(U620)+1,N(U620))</f>
        <v/>
      </c>
      <c r="V621" s="19">
        <f>IF($B621="","",TEXT($B621,"0000"))</f>
        <v/>
      </c>
      <c r="W621" s="19">
        <f>IF($I621="","",IF(ISNUMBER($I621),TEXT($I621,"0"),$I621))</f>
        <v/>
      </c>
    </row>
    <row r="622">
      <c r="B622" s="25" t="n"/>
      <c r="I622" s="25" t="n"/>
      <c r="U622" s="19">
        <f>IF(AND($V622='設定'!$C$4,COUNTIF('商品マスタ'!$B$6:$B$1005,$W622)=0),N(U621)+1,N(U621))</f>
        <v/>
      </c>
      <c r="V622" s="19">
        <f>IF($B622="","",TEXT($B622,"0000"))</f>
        <v/>
      </c>
      <c r="W622" s="19">
        <f>IF($I622="","",IF(ISNUMBER($I622),TEXT($I622,"0"),$I622))</f>
        <v/>
      </c>
    </row>
    <row r="623">
      <c r="B623" s="25" t="n"/>
      <c r="I623" s="25" t="n"/>
      <c r="U623" s="19">
        <f>IF(AND($V623='設定'!$C$4,COUNTIF('商品マスタ'!$B$6:$B$1005,$W623)=0),N(U622)+1,N(U622))</f>
        <v/>
      </c>
      <c r="V623" s="19">
        <f>IF($B623="","",TEXT($B623,"0000"))</f>
        <v/>
      </c>
      <c r="W623" s="19">
        <f>IF($I623="","",IF(ISNUMBER($I623),TEXT($I623,"0"),$I623))</f>
        <v/>
      </c>
    </row>
    <row r="624">
      <c r="B624" s="25" t="n"/>
      <c r="I624" s="25" t="n"/>
      <c r="U624" s="19">
        <f>IF(AND($V624='設定'!$C$4,COUNTIF('商品マスタ'!$B$6:$B$1005,$W624)=0),N(U623)+1,N(U623))</f>
        <v/>
      </c>
      <c r="V624" s="19">
        <f>IF($B624="","",TEXT($B624,"0000"))</f>
        <v/>
      </c>
      <c r="W624" s="19">
        <f>IF($I624="","",IF(ISNUMBER($I624),TEXT($I624,"0"),$I624))</f>
        <v/>
      </c>
    </row>
    <row r="625">
      <c r="B625" s="25" t="n"/>
      <c r="I625" s="25" t="n"/>
      <c r="U625" s="19">
        <f>IF(AND($V625='設定'!$C$4,COUNTIF('商品マスタ'!$B$6:$B$1005,$W625)=0),N(U624)+1,N(U624))</f>
        <v/>
      </c>
      <c r="V625" s="19">
        <f>IF($B625="","",TEXT($B625,"0000"))</f>
        <v/>
      </c>
      <c r="W625" s="19">
        <f>IF($I625="","",IF(ISNUMBER($I625),TEXT($I625,"0"),$I625))</f>
        <v/>
      </c>
    </row>
    <row r="626">
      <c r="B626" s="25" t="n"/>
      <c r="I626" s="25" t="n"/>
      <c r="U626" s="19">
        <f>IF(AND($V626='設定'!$C$4,COUNTIF('商品マスタ'!$B$6:$B$1005,$W626)=0),N(U625)+1,N(U625))</f>
        <v/>
      </c>
      <c r="V626" s="19">
        <f>IF($B626="","",TEXT($B626,"0000"))</f>
        <v/>
      </c>
      <c r="W626" s="19">
        <f>IF($I626="","",IF(ISNUMBER($I626),TEXT($I626,"0"),$I626))</f>
        <v/>
      </c>
    </row>
    <row r="627">
      <c r="B627" s="25" t="n"/>
      <c r="I627" s="25" t="n"/>
      <c r="U627" s="19">
        <f>IF(AND($V627='設定'!$C$4,COUNTIF('商品マスタ'!$B$6:$B$1005,$W627)=0),N(U626)+1,N(U626))</f>
        <v/>
      </c>
      <c r="V627" s="19">
        <f>IF($B627="","",TEXT($B627,"0000"))</f>
        <v/>
      </c>
      <c r="W627" s="19">
        <f>IF($I627="","",IF(ISNUMBER($I627),TEXT($I627,"0"),$I627))</f>
        <v/>
      </c>
    </row>
    <row r="628">
      <c r="B628" s="25" t="n"/>
      <c r="I628" s="25" t="n"/>
      <c r="U628" s="19">
        <f>IF(AND($V628='設定'!$C$4,COUNTIF('商品マスタ'!$B$6:$B$1005,$W628)=0),N(U627)+1,N(U627))</f>
        <v/>
      </c>
      <c r="V628" s="19">
        <f>IF($B628="","",TEXT($B628,"0000"))</f>
        <v/>
      </c>
      <c r="W628" s="19">
        <f>IF($I628="","",IF(ISNUMBER($I628),TEXT($I628,"0"),$I628))</f>
        <v/>
      </c>
    </row>
    <row r="629">
      <c r="B629" s="25" t="n"/>
      <c r="I629" s="25" t="n"/>
      <c r="U629" s="19">
        <f>IF(AND($V629='設定'!$C$4,COUNTIF('商品マスタ'!$B$6:$B$1005,$W629)=0),N(U628)+1,N(U628))</f>
        <v/>
      </c>
      <c r="V629" s="19">
        <f>IF($B629="","",TEXT($B629,"0000"))</f>
        <v/>
      </c>
      <c r="W629" s="19">
        <f>IF($I629="","",IF(ISNUMBER($I629),TEXT($I629,"0"),$I629))</f>
        <v/>
      </c>
    </row>
    <row r="630">
      <c r="B630" s="25" t="n"/>
      <c r="I630" s="25" t="n"/>
      <c r="U630" s="19">
        <f>IF(AND($V630='設定'!$C$4,COUNTIF('商品マスタ'!$B$6:$B$1005,$W630)=0),N(U629)+1,N(U629))</f>
        <v/>
      </c>
      <c r="V630" s="19">
        <f>IF($B630="","",TEXT($B630,"0000"))</f>
        <v/>
      </c>
      <c r="W630" s="19">
        <f>IF($I630="","",IF(ISNUMBER($I630),TEXT($I630,"0"),$I630))</f>
        <v/>
      </c>
    </row>
    <row r="631">
      <c r="B631" s="25" t="n"/>
      <c r="I631" s="25" t="n"/>
      <c r="U631" s="19">
        <f>IF(AND($V631='設定'!$C$4,COUNTIF('商品マスタ'!$B$6:$B$1005,$W631)=0),N(U630)+1,N(U630))</f>
        <v/>
      </c>
      <c r="V631" s="19">
        <f>IF($B631="","",TEXT($B631,"0000"))</f>
        <v/>
      </c>
      <c r="W631" s="19">
        <f>IF($I631="","",IF(ISNUMBER($I631),TEXT($I631,"0"),$I631))</f>
        <v/>
      </c>
    </row>
    <row r="632">
      <c r="B632" s="25" t="n"/>
      <c r="I632" s="25" t="n"/>
      <c r="U632" s="19">
        <f>IF(AND($V632='設定'!$C$4,COUNTIF('商品マスタ'!$B$6:$B$1005,$W632)=0),N(U631)+1,N(U631))</f>
        <v/>
      </c>
      <c r="V632" s="19">
        <f>IF($B632="","",TEXT($B632,"0000"))</f>
        <v/>
      </c>
      <c r="W632" s="19">
        <f>IF($I632="","",IF(ISNUMBER($I632),TEXT($I632,"0"),$I632))</f>
        <v/>
      </c>
    </row>
    <row r="633">
      <c r="B633" s="25" t="n"/>
      <c r="I633" s="25" t="n"/>
      <c r="U633" s="19">
        <f>IF(AND($V633='設定'!$C$4,COUNTIF('商品マスタ'!$B$6:$B$1005,$W633)=0),N(U632)+1,N(U632))</f>
        <v/>
      </c>
      <c r="V633" s="19">
        <f>IF($B633="","",TEXT($B633,"0000"))</f>
        <v/>
      </c>
      <c r="W633" s="19">
        <f>IF($I633="","",IF(ISNUMBER($I633),TEXT($I633,"0"),$I633))</f>
        <v/>
      </c>
    </row>
    <row r="634">
      <c r="B634" s="25" t="n"/>
      <c r="I634" s="25" t="n"/>
      <c r="U634" s="19">
        <f>IF(AND($V634='設定'!$C$4,COUNTIF('商品マスタ'!$B$6:$B$1005,$W634)=0),N(U633)+1,N(U633))</f>
        <v/>
      </c>
      <c r="V634" s="19">
        <f>IF($B634="","",TEXT($B634,"0000"))</f>
        <v/>
      </c>
      <c r="W634" s="19">
        <f>IF($I634="","",IF(ISNUMBER($I634),TEXT($I634,"0"),$I634))</f>
        <v/>
      </c>
    </row>
    <row r="635">
      <c r="B635" s="25" t="n"/>
      <c r="I635" s="25" t="n"/>
      <c r="U635" s="19">
        <f>IF(AND($V635='設定'!$C$4,COUNTIF('商品マスタ'!$B$6:$B$1005,$W635)=0),N(U634)+1,N(U634))</f>
        <v/>
      </c>
      <c r="V635" s="19">
        <f>IF($B635="","",TEXT($B635,"0000"))</f>
        <v/>
      </c>
      <c r="W635" s="19">
        <f>IF($I635="","",IF(ISNUMBER($I635),TEXT($I635,"0"),$I635))</f>
        <v/>
      </c>
    </row>
    <row r="636">
      <c r="B636" s="25" t="n"/>
      <c r="I636" s="25" t="n"/>
      <c r="U636" s="19">
        <f>IF(AND($V636='設定'!$C$4,COUNTIF('商品マスタ'!$B$6:$B$1005,$W636)=0),N(U635)+1,N(U635))</f>
        <v/>
      </c>
      <c r="V636" s="19">
        <f>IF($B636="","",TEXT($B636,"0000"))</f>
        <v/>
      </c>
      <c r="W636" s="19">
        <f>IF($I636="","",IF(ISNUMBER($I636),TEXT($I636,"0"),$I636))</f>
        <v/>
      </c>
    </row>
    <row r="637">
      <c r="B637" s="25" t="n"/>
      <c r="I637" s="25" t="n"/>
      <c r="U637" s="19">
        <f>IF(AND($V637='設定'!$C$4,COUNTIF('商品マスタ'!$B$6:$B$1005,$W637)=0),N(U636)+1,N(U636))</f>
        <v/>
      </c>
      <c r="V637" s="19">
        <f>IF($B637="","",TEXT($B637,"0000"))</f>
        <v/>
      </c>
      <c r="W637" s="19">
        <f>IF($I637="","",IF(ISNUMBER($I637),TEXT($I637,"0"),$I637))</f>
        <v/>
      </c>
    </row>
    <row r="638">
      <c r="B638" s="25" t="n"/>
      <c r="I638" s="25" t="n"/>
      <c r="U638" s="19">
        <f>IF(AND($V638='設定'!$C$4,COUNTIF('商品マスタ'!$B$6:$B$1005,$W638)=0),N(U637)+1,N(U637))</f>
        <v/>
      </c>
      <c r="V638" s="19">
        <f>IF($B638="","",TEXT($B638,"0000"))</f>
        <v/>
      </c>
      <c r="W638" s="19">
        <f>IF($I638="","",IF(ISNUMBER($I638),TEXT($I638,"0"),$I638))</f>
        <v/>
      </c>
    </row>
    <row r="639">
      <c r="B639" s="25" t="n"/>
      <c r="I639" s="25" t="n"/>
      <c r="U639" s="19">
        <f>IF(AND($V639='設定'!$C$4,COUNTIF('商品マスタ'!$B$6:$B$1005,$W639)=0),N(U638)+1,N(U638))</f>
        <v/>
      </c>
      <c r="V639" s="19">
        <f>IF($B639="","",TEXT($B639,"0000"))</f>
        <v/>
      </c>
      <c r="W639" s="19">
        <f>IF($I639="","",IF(ISNUMBER($I639),TEXT($I639,"0"),$I639))</f>
        <v/>
      </c>
    </row>
    <row r="640">
      <c r="B640" s="25" t="n"/>
      <c r="I640" s="25" t="n"/>
      <c r="U640" s="19">
        <f>IF(AND($V640='設定'!$C$4,COUNTIF('商品マスタ'!$B$6:$B$1005,$W640)=0),N(U639)+1,N(U639))</f>
        <v/>
      </c>
      <c r="V640" s="19">
        <f>IF($B640="","",TEXT($B640,"0000"))</f>
        <v/>
      </c>
      <c r="W640" s="19">
        <f>IF($I640="","",IF(ISNUMBER($I640),TEXT($I640,"0"),$I640))</f>
        <v/>
      </c>
    </row>
    <row r="641">
      <c r="B641" s="25" t="n"/>
      <c r="I641" s="25" t="n"/>
      <c r="U641" s="19">
        <f>IF(AND($V641='設定'!$C$4,COUNTIF('商品マスタ'!$B$6:$B$1005,$W641)=0),N(U640)+1,N(U640))</f>
        <v/>
      </c>
      <c r="V641" s="19">
        <f>IF($B641="","",TEXT($B641,"0000"))</f>
        <v/>
      </c>
      <c r="W641" s="19">
        <f>IF($I641="","",IF(ISNUMBER($I641),TEXT($I641,"0"),$I641))</f>
        <v/>
      </c>
    </row>
    <row r="642">
      <c r="B642" s="25" t="n"/>
      <c r="I642" s="25" t="n"/>
      <c r="U642" s="19">
        <f>IF(AND($V642='設定'!$C$4,COUNTIF('商品マスタ'!$B$6:$B$1005,$W642)=0),N(U641)+1,N(U641))</f>
        <v/>
      </c>
      <c r="V642" s="19">
        <f>IF($B642="","",TEXT($B642,"0000"))</f>
        <v/>
      </c>
      <c r="W642" s="19">
        <f>IF($I642="","",IF(ISNUMBER($I642),TEXT($I642,"0"),$I642))</f>
        <v/>
      </c>
    </row>
    <row r="643">
      <c r="B643" s="25" t="n"/>
      <c r="I643" s="25" t="n"/>
      <c r="U643" s="19">
        <f>IF(AND($V643='設定'!$C$4,COUNTIF('商品マスタ'!$B$6:$B$1005,$W643)=0),N(U642)+1,N(U642))</f>
        <v/>
      </c>
      <c r="V643" s="19">
        <f>IF($B643="","",TEXT($B643,"0000"))</f>
        <v/>
      </c>
      <c r="W643" s="19">
        <f>IF($I643="","",IF(ISNUMBER($I643),TEXT($I643,"0"),$I643))</f>
        <v/>
      </c>
    </row>
    <row r="644">
      <c r="B644" s="25" t="n"/>
      <c r="I644" s="25" t="n"/>
      <c r="U644" s="19">
        <f>IF(AND($V644='設定'!$C$4,COUNTIF('商品マスタ'!$B$6:$B$1005,$W644)=0),N(U643)+1,N(U643))</f>
        <v/>
      </c>
      <c r="V644" s="19">
        <f>IF($B644="","",TEXT($B644,"0000"))</f>
        <v/>
      </c>
      <c r="W644" s="19">
        <f>IF($I644="","",IF(ISNUMBER($I644),TEXT($I644,"0"),$I644))</f>
        <v/>
      </c>
    </row>
    <row r="645">
      <c r="B645" s="25" t="n"/>
      <c r="I645" s="25" t="n"/>
      <c r="U645" s="19">
        <f>IF(AND($V645='設定'!$C$4,COUNTIF('商品マスタ'!$B$6:$B$1005,$W645)=0),N(U644)+1,N(U644))</f>
        <v/>
      </c>
      <c r="V645" s="19">
        <f>IF($B645="","",TEXT($B645,"0000"))</f>
        <v/>
      </c>
      <c r="W645" s="19">
        <f>IF($I645="","",IF(ISNUMBER($I645),TEXT($I645,"0"),$I645))</f>
        <v/>
      </c>
    </row>
    <row r="646">
      <c r="B646" s="25" t="n"/>
      <c r="I646" s="25" t="n"/>
      <c r="U646" s="19">
        <f>IF(AND($V646='設定'!$C$4,COUNTIF('商品マスタ'!$B$6:$B$1005,$W646)=0),N(U645)+1,N(U645))</f>
        <v/>
      </c>
      <c r="V646" s="19">
        <f>IF($B646="","",TEXT($B646,"0000"))</f>
        <v/>
      </c>
      <c r="W646" s="19">
        <f>IF($I646="","",IF(ISNUMBER($I646),TEXT($I646,"0"),$I646))</f>
        <v/>
      </c>
    </row>
    <row r="647">
      <c r="B647" s="25" t="n"/>
      <c r="I647" s="25" t="n"/>
      <c r="U647" s="19">
        <f>IF(AND($V647='設定'!$C$4,COUNTIF('商品マスタ'!$B$6:$B$1005,$W647)=0),N(U646)+1,N(U646))</f>
        <v/>
      </c>
      <c r="V647" s="19">
        <f>IF($B647="","",TEXT($B647,"0000"))</f>
        <v/>
      </c>
      <c r="W647" s="19">
        <f>IF($I647="","",IF(ISNUMBER($I647),TEXT($I647,"0"),$I647))</f>
        <v/>
      </c>
    </row>
    <row r="648">
      <c r="B648" s="25" t="n"/>
      <c r="I648" s="25" t="n"/>
      <c r="U648" s="19">
        <f>IF(AND($V648='設定'!$C$4,COUNTIF('商品マスタ'!$B$6:$B$1005,$W648)=0),N(U647)+1,N(U647))</f>
        <v/>
      </c>
      <c r="V648" s="19">
        <f>IF($B648="","",TEXT($B648,"0000"))</f>
        <v/>
      </c>
      <c r="W648" s="19">
        <f>IF($I648="","",IF(ISNUMBER($I648),TEXT($I648,"0"),$I648))</f>
        <v/>
      </c>
    </row>
    <row r="649">
      <c r="B649" s="25" t="n"/>
      <c r="I649" s="25" t="n"/>
      <c r="U649" s="19">
        <f>IF(AND($V649='設定'!$C$4,COUNTIF('商品マスタ'!$B$6:$B$1005,$W649)=0),N(U648)+1,N(U648))</f>
        <v/>
      </c>
      <c r="V649" s="19">
        <f>IF($B649="","",TEXT($B649,"0000"))</f>
        <v/>
      </c>
      <c r="W649" s="19">
        <f>IF($I649="","",IF(ISNUMBER($I649),TEXT($I649,"0"),$I649))</f>
        <v/>
      </c>
    </row>
    <row r="650">
      <c r="B650" s="25" t="n"/>
      <c r="I650" s="25" t="n"/>
      <c r="U650" s="19">
        <f>IF(AND($V650='設定'!$C$4,COUNTIF('商品マスタ'!$B$6:$B$1005,$W650)=0),N(U649)+1,N(U649))</f>
        <v/>
      </c>
      <c r="V650" s="19">
        <f>IF($B650="","",TEXT($B650,"0000"))</f>
        <v/>
      </c>
      <c r="W650" s="19">
        <f>IF($I650="","",IF(ISNUMBER($I650),TEXT($I650,"0"),$I650))</f>
        <v/>
      </c>
    </row>
    <row r="651">
      <c r="B651" s="25" t="n"/>
      <c r="I651" s="25" t="n"/>
      <c r="U651" s="19">
        <f>IF(AND($V651='設定'!$C$4,COUNTIF('商品マスタ'!$B$6:$B$1005,$W651)=0),N(U650)+1,N(U650))</f>
        <v/>
      </c>
      <c r="V651" s="19">
        <f>IF($B651="","",TEXT($B651,"0000"))</f>
        <v/>
      </c>
      <c r="W651" s="19">
        <f>IF($I651="","",IF(ISNUMBER($I651),TEXT($I651,"0"),$I651))</f>
        <v/>
      </c>
    </row>
    <row r="652">
      <c r="B652" s="25" t="n"/>
      <c r="I652" s="25" t="n"/>
      <c r="U652" s="19">
        <f>IF(AND($V652='設定'!$C$4,COUNTIF('商品マスタ'!$B$6:$B$1005,$W652)=0),N(U651)+1,N(U651))</f>
        <v/>
      </c>
      <c r="V652" s="19">
        <f>IF($B652="","",TEXT($B652,"0000"))</f>
        <v/>
      </c>
      <c r="W652" s="19">
        <f>IF($I652="","",IF(ISNUMBER($I652),TEXT($I652,"0"),$I652))</f>
        <v/>
      </c>
    </row>
    <row r="653">
      <c r="B653" s="25" t="n"/>
      <c r="I653" s="25" t="n"/>
      <c r="U653" s="19">
        <f>IF(AND($V653='設定'!$C$4,COUNTIF('商品マスタ'!$B$6:$B$1005,$W653)=0),N(U652)+1,N(U652))</f>
        <v/>
      </c>
      <c r="V653" s="19">
        <f>IF($B653="","",TEXT($B653,"0000"))</f>
        <v/>
      </c>
      <c r="W653" s="19">
        <f>IF($I653="","",IF(ISNUMBER($I653),TEXT($I653,"0"),$I653))</f>
        <v/>
      </c>
    </row>
    <row r="654">
      <c r="B654" s="25" t="n"/>
      <c r="I654" s="25" t="n"/>
      <c r="U654" s="19">
        <f>IF(AND($V654='設定'!$C$4,COUNTIF('商品マスタ'!$B$6:$B$1005,$W654)=0),N(U653)+1,N(U653))</f>
        <v/>
      </c>
      <c r="V654" s="19">
        <f>IF($B654="","",TEXT($B654,"0000"))</f>
        <v/>
      </c>
      <c r="W654" s="19">
        <f>IF($I654="","",IF(ISNUMBER($I654),TEXT($I654,"0"),$I654))</f>
        <v/>
      </c>
    </row>
    <row r="655">
      <c r="B655" s="25" t="n"/>
      <c r="I655" s="25" t="n"/>
      <c r="U655" s="19">
        <f>IF(AND($V655='設定'!$C$4,COUNTIF('商品マスタ'!$B$6:$B$1005,$W655)=0),N(U654)+1,N(U654))</f>
        <v/>
      </c>
      <c r="V655" s="19">
        <f>IF($B655="","",TEXT($B655,"0000"))</f>
        <v/>
      </c>
      <c r="W655" s="19">
        <f>IF($I655="","",IF(ISNUMBER($I655),TEXT($I655,"0"),$I655))</f>
        <v/>
      </c>
    </row>
    <row r="656">
      <c r="B656" s="25" t="n"/>
      <c r="I656" s="25" t="n"/>
      <c r="U656" s="19">
        <f>IF(AND($V656='設定'!$C$4,COUNTIF('商品マスタ'!$B$6:$B$1005,$W656)=0),N(U655)+1,N(U655))</f>
        <v/>
      </c>
      <c r="V656" s="19">
        <f>IF($B656="","",TEXT($B656,"0000"))</f>
        <v/>
      </c>
      <c r="W656" s="19">
        <f>IF($I656="","",IF(ISNUMBER($I656),TEXT($I656,"0"),$I656))</f>
        <v/>
      </c>
    </row>
    <row r="657">
      <c r="B657" s="25" t="n"/>
      <c r="I657" s="25" t="n"/>
      <c r="U657" s="19">
        <f>IF(AND($V657='設定'!$C$4,COUNTIF('商品マスタ'!$B$6:$B$1005,$W657)=0),N(U656)+1,N(U656))</f>
        <v/>
      </c>
      <c r="V657" s="19">
        <f>IF($B657="","",TEXT($B657,"0000"))</f>
        <v/>
      </c>
      <c r="W657" s="19">
        <f>IF($I657="","",IF(ISNUMBER($I657),TEXT($I657,"0"),$I657))</f>
        <v/>
      </c>
    </row>
    <row r="658">
      <c r="B658" s="25" t="n"/>
      <c r="I658" s="25" t="n"/>
      <c r="U658" s="19">
        <f>IF(AND($V658='設定'!$C$4,COUNTIF('商品マスタ'!$B$6:$B$1005,$W658)=0),N(U657)+1,N(U657))</f>
        <v/>
      </c>
      <c r="V658" s="19">
        <f>IF($B658="","",TEXT($B658,"0000"))</f>
        <v/>
      </c>
      <c r="W658" s="19">
        <f>IF($I658="","",IF(ISNUMBER($I658),TEXT($I658,"0"),$I658))</f>
        <v/>
      </c>
    </row>
    <row r="659">
      <c r="B659" s="25" t="n"/>
      <c r="I659" s="25" t="n"/>
      <c r="U659" s="19">
        <f>IF(AND($V659='設定'!$C$4,COUNTIF('商品マスタ'!$B$6:$B$1005,$W659)=0),N(U658)+1,N(U658))</f>
        <v/>
      </c>
      <c r="V659" s="19">
        <f>IF($B659="","",TEXT($B659,"0000"))</f>
        <v/>
      </c>
      <c r="W659" s="19">
        <f>IF($I659="","",IF(ISNUMBER($I659),TEXT($I659,"0"),$I659))</f>
        <v/>
      </c>
    </row>
    <row r="660">
      <c r="B660" s="25" t="n"/>
      <c r="I660" s="25" t="n"/>
      <c r="U660" s="19">
        <f>IF(AND($V660='設定'!$C$4,COUNTIF('商品マスタ'!$B$6:$B$1005,$W660)=0),N(U659)+1,N(U659))</f>
        <v/>
      </c>
      <c r="V660" s="19">
        <f>IF($B660="","",TEXT($B660,"0000"))</f>
        <v/>
      </c>
      <c r="W660" s="19">
        <f>IF($I660="","",IF(ISNUMBER($I660),TEXT($I660,"0"),$I660))</f>
        <v/>
      </c>
    </row>
    <row r="661">
      <c r="B661" s="25" t="n"/>
      <c r="I661" s="25" t="n"/>
      <c r="U661" s="19">
        <f>IF(AND($V661='設定'!$C$4,COUNTIF('商品マスタ'!$B$6:$B$1005,$W661)=0),N(U660)+1,N(U660))</f>
        <v/>
      </c>
      <c r="V661" s="19">
        <f>IF($B661="","",TEXT($B661,"0000"))</f>
        <v/>
      </c>
      <c r="W661" s="19">
        <f>IF($I661="","",IF(ISNUMBER($I661),TEXT($I661,"0"),$I661))</f>
        <v/>
      </c>
    </row>
    <row r="662">
      <c r="B662" s="25" t="n"/>
      <c r="I662" s="25" t="n"/>
      <c r="U662" s="19">
        <f>IF(AND($V662='設定'!$C$4,COUNTIF('商品マスタ'!$B$6:$B$1005,$W662)=0),N(U661)+1,N(U661))</f>
        <v/>
      </c>
      <c r="V662" s="19">
        <f>IF($B662="","",TEXT($B662,"0000"))</f>
        <v/>
      </c>
      <c r="W662" s="19">
        <f>IF($I662="","",IF(ISNUMBER($I662),TEXT($I662,"0"),$I662))</f>
        <v/>
      </c>
    </row>
    <row r="663">
      <c r="B663" s="25" t="n"/>
      <c r="I663" s="25" t="n"/>
      <c r="U663" s="19">
        <f>IF(AND($V663='設定'!$C$4,COUNTIF('商品マスタ'!$B$6:$B$1005,$W663)=0),N(U662)+1,N(U662))</f>
        <v/>
      </c>
      <c r="V663" s="19">
        <f>IF($B663="","",TEXT($B663,"0000"))</f>
        <v/>
      </c>
      <c r="W663" s="19">
        <f>IF($I663="","",IF(ISNUMBER($I663),TEXT($I663,"0"),$I663))</f>
        <v/>
      </c>
    </row>
    <row r="664">
      <c r="B664" s="25" t="n"/>
      <c r="I664" s="25" t="n"/>
      <c r="U664" s="19">
        <f>IF(AND($V664='設定'!$C$4,COUNTIF('商品マスタ'!$B$6:$B$1005,$W664)=0),N(U663)+1,N(U663))</f>
        <v/>
      </c>
      <c r="V664" s="19">
        <f>IF($B664="","",TEXT($B664,"0000"))</f>
        <v/>
      </c>
      <c r="W664" s="19">
        <f>IF($I664="","",IF(ISNUMBER($I664),TEXT($I664,"0"),$I664))</f>
        <v/>
      </c>
    </row>
    <row r="665">
      <c r="B665" s="25" t="n"/>
      <c r="I665" s="25" t="n"/>
      <c r="U665" s="19">
        <f>IF(AND($V665='設定'!$C$4,COUNTIF('商品マスタ'!$B$6:$B$1005,$W665)=0),N(U664)+1,N(U664))</f>
        <v/>
      </c>
      <c r="V665" s="19">
        <f>IF($B665="","",TEXT($B665,"0000"))</f>
        <v/>
      </c>
      <c r="W665" s="19">
        <f>IF($I665="","",IF(ISNUMBER($I665),TEXT($I665,"0"),$I665))</f>
        <v/>
      </c>
    </row>
    <row r="666">
      <c r="B666" s="25" t="n"/>
      <c r="I666" s="25" t="n"/>
      <c r="U666" s="19">
        <f>IF(AND($V666='設定'!$C$4,COUNTIF('商品マスタ'!$B$6:$B$1005,$W666)=0),N(U665)+1,N(U665))</f>
        <v/>
      </c>
      <c r="V666" s="19">
        <f>IF($B666="","",TEXT($B666,"0000"))</f>
        <v/>
      </c>
      <c r="W666" s="19">
        <f>IF($I666="","",IF(ISNUMBER($I666),TEXT($I666,"0"),$I666))</f>
        <v/>
      </c>
    </row>
    <row r="667">
      <c r="B667" s="25" t="n"/>
      <c r="I667" s="25" t="n"/>
      <c r="U667" s="19">
        <f>IF(AND($V667='設定'!$C$4,COUNTIF('商品マスタ'!$B$6:$B$1005,$W667)=0),N(U666)+1,N(U666))</f>
        <v/>
      </c>
      <c r="V667" s="19">
        <f>IF($B667="","",TEXT($B667,"0000"))</f>
        <v/>
      </c>
      <c r="W667" s="19">
        <f>IF($I667="","",IF(ISNUMBER($I667),TEXT($I667,"0"),$I667))</f>
        <v/>
      </c>
    </row>
    <row r="668">
      <c r="B668" s="25" t="n"/>
      <c r="I668" s="25" t="n"/>
      <c r="U668" s="19">
        <f>IF(AND($V668='設定'!$C$4,COUNTIF('商品マスタ'!$B$6:$B$1005,$W668)=0),N(U667)+1,N(U667))</f>
        <v/>
      </c>
      <c r="V668" s="19">
        <f>IF($B668="","",TEXT($B668,"0000"))</f>
        <v/>
      </c>
      <c r="W668" s="19">
        <f>IF($I668="","",IF(ISNUMBER($I668),TEXT($I668,"0"),$I668))</f>
        <v/>
      </c>
    </row>
    <row r="669">
      <c r="B669" s="25" t="n"/>
      <c r="I669" s="25" t="n"/>
      <c r="U669" s="19">
        <f>IF(AND($V669='設定'!$C$4,COUNTIF('商品マスタ'!$B$6:$B$1005,$W669)=0),N(U668)+1,N(U668))</f>
        <v/>
      </c>
      <c r="V669" s="19">
        <f>IF($B669="","",TEXT($B669,"0000"))</f>
        <v/>
      </c>
      <c r="W669" s="19">
        <f>IF($I669="","",IF(ISNUMBER($I669),TEXT($I669,"0"),$I669))</f>
        <v/>
      </c>
    </row>
    <row r="670">
      <c r="B670" s="25" t="n"/>
      <c r="I670" s="25" t="n"/>
      <c r="U670" s="19">
        <f>IF(AND($V670='設定'!$C$4,COUNTIF('商品マスタ'!$B$6:$B$1005,$W670)=0),N(U669)+1,N(U669))</f>
        <v/>
      </c>
      <c r="V670" s="19">
        <f>IF($B670="","",TEXT($B670,"0000"))</f>
        <v/>
      </c>
      <c r="W670" s="19">
        <f>IF($I670="","",IF(ISNUMBER($I670),TEXT($I670,"0"),$I670))</f>
        <v/>
      </c>
    </row>
    <row r="671">
      <c r="B671" s="25" t="n"/>
      <c r="I671" s="25" t="n"/>
      <c r="U671" s="19">
        <f>IF(AND($V671='設定'!$C$4,COUNTIF('商品マスタ'!$B$6:$B$1005,$W671)=0),N(U670)+1,N(U670))</f>
        <v/>
      </c>
      <c r="V671" s="19">
        <f>IF($B671="","",TEXT($B671,"0000"))</f>
        <v/>
      </c>
      <c r="W671" s="19">
        <f>IF($I671="","",IF(ISNUMBER($I671),TEXT($I671,"0"),$I671))</f>
        <v/>
      </c>
    </row>
    <row r="672">
      <c r="B672" s="25" t="n"/>
      <c r="I672" s="25" t="n"/>
      <c r="U672" s="19">
        <f>IF(AND($V672='設定'!$C$4,COUNTIF('商品マスタ'!$B$6:$B$1005,$W672)=0),N(U671)+1,N(U671))</f>
        <v/>
      </c>
      <c r="V672" s="19">
        <f>IF($B672="","",TEXT($B672,"0000"))</f>
        <v/>
      </c>
      <c r="W672" s="19">
        <f>IF($I672="","",IF(ISNUMBER($I672),TEXT($I672,"0"),$I672))</f>
        <v/>
      </c>
    </row>
    <row r="673">
      <c r="B673" s="25" t="n"/>
      <c r="I673" s="25" t="n"/>
      <c r="U673" s="19">
        <f>IF(AND($V673='設定'!$C$4,COUNTIF('商品マスタ'!$B$6:$B$1005,$W673)=0),N(U672)+1,N(U672))</f>
        <v/>
      </c>
      <c r="V673" s="19">
        <f>IF($B673="","",TEXT($B673,"0000"))</f>
        <v/>
      </c>
      <c r="W673" s="19">
        <f>IF($I673="","",IF(ISNUMBER($I673),TEXT($I673,"0"),$I673))</f>
        <v/>
      </c>
    </row>
    <row r="674">
      <c r="B674" s="25" t="n"/>
      <c r="I674" s="25" t="n"/>
      <c r="U674" s="19">
        <f>IF(AND($V674='設定'!$C$4,COUNTIF('商品マスタ'!$B$6:$B$1005,$W674)=0),N(U673)+1,N(U673))</f>
        <v/>
      </c>
      <c r="V674" s="19">
        <f>IF($B674="","",TEXT($B674,"0000"))</f>
        <v/>
      </c>
      <c r="W674" s="19">
        <f>IF($I674="","",IF(ISNUMBER($I674),TEXT($I674,"0"),$I674))</f>
        <v/>
      </c>
    </row>
    <row r="675">
      <c r="B675" s="25" t="n"/>
      <c r="I675" s="25" t="n"/>
      <c r="U675" s="19">
        <f>IF(AND($V675='設定'!$C$4,COUNTIF('商品マスタ'!$B$6:$B$1005,$W675)=0),N(U674)+1,N(U674))</f>
        <v/>
      </c>
      <c r="V675" s="19">
        <f>IF($B675="","",TEXT($B675,"0000"))</f>
        <v/>
      </c>
      <c r="W675" s="19">
        <f>IF($I675="","",IF(ISNUMBER($I675),TEXT($I675,"0"),$I675))</f>
        <v/>
      </c>
    </row>
    <row r="676">
      <c r="B676" s="25" t="n"/>
      <c r="I676" s="25" t="n"/>
      <c r="U676" s="19">
        <f>IF(AND($V676='設定'!$C$4,COUNTIF('商品マスタ'!$B$6:$B$1005,$W676)=0),N(U675)+1,N(U675))</f>
        <v/>
      </c>
      <c r="V676" s="19">
        <f>IF($B676="","",TEXT($B676,"0000"))</f>
        <v/>
      </c>
      <c r="W676" s="19">
        <f>IF($I676="","",IF(ISNUMBER($I676),TEXT($I676,"0"),$I676))</f>
        <v/>
      </c>
    </row>
    <row r="677">
      <c r="B677" s="25" t="n"/>
      <c r="I677" s="25" t="n"/>
      <c r="U677" s="19">
        <f>IF(AND($V677='設定'!$C$4,COUNTIF('商品マスタ'!$B$6:$B$1005,$W677)=0),N(U676)+1,N(U676))</f>
        <v/>
      </c>
      <c r="V677" s="19">
        <f>IF($B677="","",TEXT($B677,"0000"))</f>
        <v/>
      </c>
      <c r="W677" s="19">
        <f>IF($I677="","",IF(ISNUMBER($I677),TEXT($I677,"0"),$I677))</f>
        <v/>
      </c>
    </row>
    <row r="678">
      <c r="B678" s="25" t="n"/>
      <c r="I678" s="25" t="n"/>
      <c r="U678" s="19">
        <f>IF(AND($V678='設定'!$C$4,COUNTIF('商品マスタ'!$B$6:$B$1005,$W678)=0),N(U677)+1,N(U677))</f>
        <v/>
      </c>
      <c r="V678" s="19">
        <f>IF($B678="","",TEXT($B678,"0000"))</f>
        <v/>
      </c>
      <c r="W678" s="19">
        <f>IF($I678="","",IF(ISNUMBER($I678),TEXT($I678,"0"),$I678))</f>
        <v/>
      </c>
    </row>
    <row r="679">
      <c r="B679" s="25" t="n"/>
      <c r="I679" s="25" t="n"/>
      <c r="U679" s="19">
        <f>IF(AND($V679='設定'!$C$4,COUNTIF('商品マスタ'!$B$6:$B$1005,$W679)=0),N(U678)+1,N(U678))</f>
        <v/>
      </c>
      <c r="V679" s="19">
        <f>IF($B679="","",TEXT($B679,"0000"))</f>
        <v/>
      </c>
      <c r="W679" s="19">
        <f>IF($I679="","",IF(ISNUMBER($I679),TEXT($I679,"0"),$I679))</f>
        <v/>
      </c>
    </row>
    <row r="680">
      <c r="B680" s="25" t="n"/>
      <c r="I680" s="25" t="n"/>
      <c r="U680" s="19">
        <f>IF(AND($V680='設定'!$C$4,COUNTIF('商品マスタ'!$B$6:$B$1005,$W680)=0),N(U679)+1,N(U679))</f>
        <v/>
      </c>
      <c r="V680" s="19">
        <f>IF($B680="","",TEXT($B680,"0000"))</f>
        <v/>
      </c>
      <c r="W680" s="19">
        <f>IF($I680="","",IF(ISNUMBER($I680),TEXT($I680,"0"),$I680))</f>
        <v/>
      </c>
    </row>
    <row r="681">
      <c r="B681" s="25" t="n"/>
      <c r="I681" s="25" t="n"/>
      <c r="U681" s="19">
        <f>IF(AND($V681='設定'!$C$4,COUNTIF('商品マスタ'!$B$6:$B$1005,$W681)=0),N(U680)+1,N(U680))</f>
        <v/>
      </c>
      <c r="V681" s="19">
        <f>IF($B681="","",TEXT($B681,"0000"))</f>
        <v/>
      </c>
      <c r="W681" s="19">
        <f>IF($I681="","",IF(ISNUMBER($I681),TEXT($I681,"0"),$I681))</f>
        <v/>
      </c>
    </row>
    <row r="682">
      <c r="B682" s="25" t="n"/>
      <c r="I682" s="25" t="n"/>
      <c r="U682" s="19">
        <f>IF(AND($V682='設定'!$C$4,COUNTIF('商品マスタ'!$B$6:$B$1005,$W682)=0),N(U681)+1,N(U681))</f>
        <v/>
      </c>
      <c r="V682" s="19">
        <f>IF($B682="","",TEXT($B682,"0000"))</f>
        <v/>
      </c>
      <c r="W682" s="19">
        <f>IF($I682="","",IF(ISNUMBER($I682),TEXT($I682,"0"),$I682))</f>
        <v/>
      </c>
    </row>
    <row r="683">
      <c r="B683" s="25" t="n"/>
      <c r="I683" s="25" t="n"/>
      <c r="U683" s="19">
        <f>IF(AND($V683='設定'!$C$4,COUNTIF('商品マスタ'!$B$6:$B$1005,$W683)=0),N(U682)+1,N(U682))</f>
        <v/>
      </c>
      <c r="V683" s="19">
        <f>IF($B683="","",TEXT($B683,"0000"))</f>
        <v/>
      </c>
      <c r="W683" s="19">
        <f>IF($I683="","",IF(ISNUMBER($I683),TEXT($I683,"0"),$I683))</f>
        <v/>
      </c>
    </row>
    <row r="684">
      <c r="B684" s="25" t="n"/>
      <c r="I684" s="25" t="n"/>
      <c r="U684" s="19">
        <f>IF(AND($V684='設定'!$C$4,COUNTIF('商品マスタ'!$B$6:$B$1005,$W684)=0),N(U683)+1,N(U683))</f>
        <v/>
      </c>
      <c r="V684" s="19">
        <f>IF($B684="","",TEXT($B684,"0000"))</f>
        <v/>
      </c>
      <c r="W684" s="19">
        <f>IF($I684="","",IF(ISNUMBER($I684),TEXT($I684,"0"),$I684))</f>
        <v/>
      </c>
    </row>
    <row r="685">
      <c r="B685" s="25" t="n"/>
      <c r="I685" s="25" t="n"/>
      <c r="U685" s="19">
        <f>IF(AND($V685='設定'!$C$4,COUNTIF('商品マスタ'!$B$6:$B$1005,$W685)=0),N(U684)+1,N(U684))</f>
        <v/>
      </c>
      <c r="V685" s="19">
        <f>IF($B685="","",TEXT($B685,"0000"))</f>
        <v/>
      </c>
      <c r="W685" s="19">
        <f>IF($I685="","",IF(ISNUMBER($I685),TEXT($I685,"0"),$I685))</f>
        <v/>
      </c>
    </row>
    <row r="686">
      <c r="B686" s="25" t="n"/>
      <c r="I686" s="25" t="n"/>
      <c r="U686" s="19">
        <f>IF(AND($V686='設定'!$C$4,COUNTIF('商品マスタ'!$B$6:$B$1005,$W686)=0),N(U685)+1,N(U685))</f>
        <v/>
      </c>
      <c r="V686" s="19">
        <f>IF($B686="","",TEXT($B686,"0000"))</f>
        <v/>
      </c>
      <c r="W686" s="19">
        <f>IF($I686="","",IF(ISNUMBER($I686),TEXT($I686,"0"),$I686))</f>
        <v/>
      </c>
    </row>
    <row r="687">
      <c r="B687" s="25" t="n"/>
      <c r="I687" s="25" t="n"/>
      <c r="U687" s="19">
        <f>IF(AND($V687='設定'!$C$4,COUNTIF('商品マスタ'!$B$6:$B$1005,$W687)=0),N(U686)+1,N(U686))</f>
        <v/>
      </c>
      <c r="V687" s="19">
        <f>IF($B687="","",TEXT($B687,"0000"))</f>
        <v/>
      </c>
      <c r="W687" s="19">
        <f>IF($I687="","",IF(ISNUMBER($I687),TEXT($I687,"0"),$I687))</f>
        <v/>
      </c>
    </row>
    <row r="688">
      <c r="B688" s="25" t="n"/>
      <c r="I688" s="25" t="n"/>
      <c r="U688" s="19">
        <f>IF(AND($V688='設定'!$C$4,COUNTIF('商品マスタ'!$B$6:$B$1005,$W688)=0),N(U687)+1,N(U687))</f>
        <v/>
      </c>
      <c r="V688" s="19">
        <f>IF($B688="","",TEXT($B688,"0000"))</f>
        <v/>
      </c>
      <c r="W688" s="19">
        <f>IF($I688="","",IF(ISNUMBER($I688),TEXT($I688,"0"),$I688))</f>
        <v/>
      </c>
    </row>
    <row r="689">
      <c r="B689" s="25" t="n"/>
      <c r="I689" s="25" t="n"/>
      <c r="U689" s="19">
        <f>IF(AND($V689='設定'!$C$4,COUNTIF('商品マスタ'!$B$6:$B$1005,$W689)=0),N(U688)+1,N(U688))</f>
        <v/>
      </c>
      <c r="V689" s="19">
        <f>IF($B689="","",TEXT($B689,"0000"))</f>
        <v/>
      </c>
      <c r="W689" s="19">
        <f>IF($I689="","",IF(ISNUMBER($I689),TEXT($I689,"0"),$I689))</f>
        <v/>
      </c>
    </row>
    <row r="690">
      <c r="B690" s="25" t="n"/>
      <c r="I690" s="25" t="n"/>
      <c r="U690" s="19">
        <f>IF(AND($V690='設定'!$C$4,COUNTIF('商品マスタ'!$B$6:$B$1005,$W690)=0),N(U689)+1,N(U689))</f>
        <v/>
      </c>
      <c r="V690" s="19">
        <f>IF($B690="","",TEXT($B690,"0000"))</f>
        <v/>
      </c>
      <c r="W690" s="19">
        <f>IF($I690="","",IF(ISNUMBER($I690),TEXT($I690,"0"),$I690))</f>
        <v/>
      </c>
    </row>
    <row r="691">
      <c r="B691" s="25" t="n"/>
      <c r="I691" s="25" t="n"/>
      <c r="U691" s="19">
        <f>IF(AND($V691='設定'!$C$4,COUNTIF('商品マスタ'!$B$6:$B$1005,$W691)=0),N(U690)+1,N(U690))</f>
        <v/>
      </c>
      <c r="V691" s="19">
        <f>IF($B691="","",TEXT($B691,"0000"))</f>
        <v/>
      </c>
      <c r="W691" s="19">
        <f>IF($I691="","",IF(ISNUMBER($I691),TEXT($I691,"0"),$I691))</f>
        <v/>
      </c>
    </row>
    <row r="692">
      <c r="B692" s="25" t="n"/>
      <c r="I692" s="25" t="n"/>
      <c r="U692" s="19">
        <f>IF(AND($V692='設定'!$C$4,COUNTIF('商品マスタ'!$B$6:$B$1005,$W692)=0),N(U691)+1,N(U691))</f>
        <v/>
      </c>
      <c r="V692" s="19">
        <f>IF($B692="","",TEXT($B692,"0000"))</f>
        <v/>
      </c>
      <c r="W692" s="19">
        <f>IF($I692="","",IF(ISNUMBER($I692),TEXT($I692,"0"),$I692))</f>
        <v/>
      </c>
    </row>
    <row r="693">
      <c r="B693" s="25" t="n"/>
      <c r="I693" s="25" t="n"/>
      <c r="U693" s="19">
        <f>IF(AND($V693='設定'!$C$4,COUNTIF('商品マスタ'!$B$6:$B$1005,$W693)=0),N(U692)+1,N(U692))</f>
        <v/>
      </c>
      <c r="V693" s="19">
        <f>IF($B693="","",TEXT($B693,"0000"))</f>
        <v/>
      </c>
      <c r="W693" s="19">
        <f>IF($I693="","",IF(ISNUMBER($I693),TEXT($I693,"0"),$I693))</f>
        <v/>
      </c>
    </row>
    <row r="694">
      <c r="B694" s="25" t="n"/>
      <c r="I694" s="25" t="n"/>
      <c r="U694" s="19">
        <f>IF(AND($V694='設定'!$C$4,COUNTIF('商品マスタ'!$B$6:$B$1005,$W694)=0),N(U693)+1,N(U693))</f>
        <v/>
      </c>
      <c r="V694" s="19">
        <f>IF($B694="","",TEXT($B694,"0000"))</f>
        <v/>
      </c>
      <c r="W694" s="19">
        <f>IF($I694="","",IF(ISNUMBER($I694),TEXT($I694,"0"),$I694))</f>
        <v/>
      </c>
    </row>
    <row r="695">
      <c r="B695" s="25" t="n"/>
      <c r="I695" s="25" t="n"/>
      <c r="U695" s="19">
        <f>IF(AND($V695='設定'!$C$4,COUNTIF('商品マスタ'!$B$6:$B$1005,$W695)=0),N(U694)+1,N(U694))</f>
        <v/>
      </c>
      <c r="V695" s="19">
        <f>IF($B695="","",TEXT($B695,"0000"))</f>
        <v/>
      </c>
      <c r="W695" s="19">
        <f>IF($I695="","",IF(ISNUMBER($I695),TEXT($I695,"0"),$I695))</f>
        <v/>
      </c>
    </row>
    <row r="696">
      <c r="B696" s="25" t="n"/>
      <c r="I696" s="25" t="n"/>
      <c r="U696" s="19">
        <f>IF(AND($V696='設定'!$C$4,COUNTIF('商品マスタ'!$B$6:$B$1005,$W696)=0),N(U695)+1,N(U695))</f>
        <v/>
      </c>
      <c r="V696" s="19">
        <f>IF($B696="","",TEXT($B696,"0000"))</f>
        <v/>
      </c>
      <c r="W696" s="19">
        <f>IF($I696="","",IF(ISNUMBER($I696),TEXT($I696,"0"),$I696))</f>
        <v/>
      </c>
    </row>
    <row r="697">
      <c r="B697" s="25" t="n"/>
      <c r="I697" s="25" t="n"/>
      <c r="U697" s="19">
        <f>IF(AND($V697='設定'!$C$4,COUNTIF('商品マスタ'!$B$6:$B$1005,$W697)=0),N(U696)+1,N(U696))</f>
        <v/>
      </c>
      <c r="V697" s="19">
        <f>IF($B697="","",TEXT($B697,"0000"))</f>
        <v/>
      </c>
      <c r="W697" s="19">
        <f>IF($I697="","",IF(ISNUMBER($I697),TEXT($I697,"0"),$I697))</f>
        <v/>
      </c>
    </row>
    <row r="698">
      <c r="B698" s="25" t="n"/>
      <c r="I698" s="25" t="n"/>
      <c r="U698" s="19">
        <f>IF(AND($V698='設定'!$C$4,COUNTIF('商品マスタ'!$B$6:$B$1005,$W698)=0),N(U697)+1,N(U697))</f>
        <v/>
      </c>
      <c r="V698" s="19">
        <f>IF($B698="","",TEXT($B698,"0000"))</f>
        <v/>
      </c>
      <c r="W698" s="19">
        <f>IF($I698="","",IF(ISNUMBER($I698),TEXT($I698,"0"),$I698))</f>
        <v/>
      </c>
    </row>
    <row r="699">
      <c r="B699" s="25" t="n"/>
      <c r="I699" s="25" t="n"/>
      <c r="U699" s="19">
        <f>IF(AND($V699='設定'!$C$4,COUNTIF('商品マスタ'!$B$6:$B$1005,$W699)=0),N(U698)+1,N(U698))</f>
        <v/>
      </c>
      <c r="V699" s="19">
        <f>IF($B699="","",TEXT($B699,"0000"))</f>
        <v/>
      </c>
      <c r="W699" s="19">
        <f>IF($I699="","",IF(ISNUMBER($I699),TEXT($I699,"0"),$I699))</f>
        <v/>
      </c>
    </row>
    <row r="700">
      <c r="B700" s="25" t="n"/>
      <c r="I700" s="25" t="n"/>
      <c r="U700" s="19">
        <f>IF(AND($V700='設定'!$C$4,COUNTIF('商品マスタ'!$B$6:$B$1005,$W700)=0),N(U699)+1,N(U699))</f>
        <v/>
      </c>
      <c r="V700" s="19">
        <f>IF($B700="","",TEXT($B700,"0000"))</f>
        <v/>
      </c>
      <c r="W700" s="19">
        <f>IF($I700="","",IF(ISNUMBER($I700),TEXT($I700,"0"),$I700))</f>
        <v/>
      </c>
    </row>
    <row r="701">
      <c r="B701" s="25" t="n"/>
      <c r="I701" s="25" t="n"/>
      <c r="U701" s="19">
        <f>IF(AND($V701='設定'!$C$4,COUNTIF('商品マスタ'!$B$6:$B$1005,$W701)=0),N(U700)+1,N(U700))</f>
        <v/>
      </c>
      <c r="V701" s="19">
        <f>IF($B701="","",TEXT($B701,"0000"))</f>
        <v/>
      </c>
      <c r="W701" s="19">
        <f>IF($I701="","",IF(ISNUMBER($I701),TEXT($I701,"0"),$I701))</f>
        <v/>
      </c>
    </row>
    <row r="702">
      <c r="B702" s="25" t="n"/>
      <c r="I702" s="25" t="n"/>
      <c r="U702" s="19">
        <f>IF(AND($V702='設定'!$C$4,COUNTIF('商品マスタ'!$B$6:$B$1005,$W702)=0),N(U701)+1,N(U701))</f>
        <v/>
      </c>
      <c r="V702" s="19">
        <f>IF($B702="","",TEXT($B702,"0000"))</f>
        <v/>
      </c>
      <c r="W702" s="19">
        <f>IF($I702="","",IF(ISNUMBER($I702),TEXT($I702,"0"),$I702))</f>
        <v/>
      </c>
    </row>
    <row r="703">
      <c r="B703" s="25" t="n"/>
      <c r="I703" s="25" t="n"/>
      <c r="U703" s="19">
        <f>IF(AND($V703='設定'!$C$4,COUNTIF('商品マスタ'!$B$6:$B$1005,$W703)=0),N(U702)+1,N(U702))</f>
        <v/>
      </c>
      <c r="V703" s="19">
        <f>IF($B703="","",TEXT($B703,"0000"))</f>
        <v/>
      </c>
      <c r="W703" s="19">
        <f>IF($I703="","",IF(ISNUMBER($I703),TEXT($I703,"0"),$I703))</f>
        <v/>
      </c>
    </row>
    <row r="704">
      <c r="B704" s="25" t="n"/>
      <c r="I704" s="25" t="n"/>
      <c r="U704" s="19">
        <f>IF(AND($V704='設定'!$C$4,COUNTIF('商品マスタ'!$B$6:$B$1005,$W704)=0),N(U703)+1,N(U703))</f>
        <v/>
      </c>
      <c r="V704" s="19">
        <f>IF($B704="","",TEXT($B704,"0000"))</f>
        <v/>
      </c>
      <c r="W704" s="19">
        <f>IF($I704="","",IF(ISNUMBER($I704),TEXT($I704,"0"),$I704))</f>
        <v/>
      </c>
    </row>
    <row r="705">
      <c r="B705" s="25" t="n"/>
      <c r="I705" s="25" t="n"/>
      <c r="U705" s="19">
        <f>IF(AND($V705='設定'!$C$4,COUNTIF('商品マスタ'!$B$6:$B$1005,$W705)=0),N(U704)+1,N(U704))</f>
        <v/>
      </c>
      <c r="V705" s="19">
        <f>IF($B705="","",TEXT($B705,"0000"))</f>
        <v/>
      </c>
      <c r="W705" s="19">
        <f>IF($I705="","",IF(ISNUMBER($I705),TEXT($I705,"0"),$I705))</f>
        <v/>
      </c>
    </row>
    <row r="706">
      <c r="B706" s="25" t="n"/>
      <c r="I706" s="25" t="n"/>
      <c r="U706" s="19">
        <f>IF(AND($V706='設定'!$C$4,COUNTIF('商品マスタ'!$B$6:$B$1005,$W706)=0),N(U705)+1,N(U705))</f>
        <v/>
      </c>
      <c r="V706" s="19">
        <f>IF($B706="","",TEXT($B706,"0000"))</f>
        <v/>
      </c>
      <c r="W706" s="19">
        <f>IF($I706="","",IF(ISNUMBER($I706),TEXT($I706,"0"),$I706))</f>
        <v/>
      </c>
    </row>
    <row r="707">
      <c r="B707" s="25" t="n"/>
      <c r="I707" s="25" t="n"/>
      <c r="U707" s="19">
        <f>IF(AND($V707='設定'!$C$4,COUNTIF('商品マスタ'!$B$6:$B$1005,$W707)=0),N(U706)+1,N(U706))</f>
        <v/>
      </c>
      <c r="V707" s="19">
        <f>IF($B707="","",TEXT($B707,"0000"))</f>
        <v/>
      </c>
      <c r="W707" s="19">
        <f>IF($I707="","",IF(ISNUMBER($I707),TEXT($I707,"0"),$I707))</f>
        <v/>
      </c>
    </row>
    <row r="708">
      <c r="B708" s="25" t="n"/>
      <c r="I708" s="25" t="n"/>
      <c r="U708" s="19">
        <f>IF(AND($V708='設定'!$C$4,COUNTIF('商品マスタ'!$B$6:$B$1005,$W708)=0),N(U707)+1,N(U707))</f>
        <v/>
      </c>
      <c r="V708" s="19">
        <f>IF($B708="","",TEXT($B708,"0000"))</f>
        <v/>
      </c>
      <c r="W708" s="19">
        <f>IF($I708="","",IF(ISNUMBER($I708),TEXT($I708,"0"),$I708))</f>
        <v/>
      </c>
    </row>
    <row r="709">
      <c r="B709" s="25" t="n"/>
      <c r="I709" s="25" t="n"/>
      <c r="U709" s="19">
        <f>IF(AND($V709='設定'!$C$4,COUNTIF('商品マスタ'!$B$6:$B$1005,$W709)=0),N(U708)+1,N(U708))</f>
        <v/>
      </c>
      <c r="V709" s="19">
        <f>IF($B709="","",TEXT($B709,"0000"))</f>
        <v/>
      </c>
      <c r="W709" s="19">
        <f>IF($I709="","",IF(ISNUMBER($I709),TEXT($I709,"0"),$I709))</f>
        <v/>
      </c>
    </row>
    <row r="710">
      <c r="B710" s="25" t="n"/>
      <c r="I710" s="25" t="n"/>
      <c r="U710" s="19">
        <f>IF(AND($V710='設定'!$C$4,COUNTIF('商品マスタ'!$B$6:$B$1005,$W710)=0),N(U709)+1,N(U709))</f>
        <v/>
      </c>
      <c r="V710" s="19">
        <f>IF($B710="","",TEXT($B710,"0000"))</f>
        <v/>
      </c>
      <c r="W710" s="19">
        <f>IF($I710="","",IF(ISNUMBER($I710),TEXT($I710,"0"),$I710))</f>
        <v/>
      </c>
    </row>
    <row r="711">
      <c r="B711" s="25" t="n"/>
      <c r="I711" s="25" t="n"/>
      <c r="U711" s="19">
        <f>IF(AND($V711='設定'!$C$4,COUNTIF('商品マスタ'!$B$6:$B$1005,$W711)=0),N(U710)+1,N(U710))</f>
        <v/>
      </c>
      <c r="V711" s="19">
        <f>IF($B711="","",TEXT($B711,"0000"))</f>
        <v/>
      </c>
      <c r="W711" s="19">
        <f>IF($I711="","",IF(ISNUMBER($I711),TEXT($I711,"0"),$I711))</f>
        <v/>
      </c>
    </row>
    <row r="712">
      <c r="B712" s="25" t="n"/>
      <c r="I712" s="25" t="n"/>
      <c r="U712" s="19">
        <f>IF(AND($V712='設定'!$C$4,COUNTIF('商品マスタ'!$B$6:$B$1005,$W712)=0),N(U711)+1,N(U711))</f>
        <v/>
      </c>
      <c r="V712" s="19">
        <f>IF($B712="","",TEXT($B712,"0000"))</f>
        <v/>
      </c>
      <c r="W712" s="19">
        <f>IF($I712="","",IF(ISNUMBER($I712),TEXT($I712,"0"),$I712))</f>
        <v/>
      </c>
    </row>
    <row r="713">
      <c r="B713" s="25" t="n"/>
      <c r="I713" s="25" t="n"/>
      <c r="U713" s="19">
        <f>IF(AND($V713='設定'!$C$4,COUNTIF('商品マスタ'!$B$6:$B$1005,$W713)=0),N(U712)+1,N(U712))</f>
        <v/>
      </c>
      <c r="V713" s="19">
        <f>IF($B713="","",TEXT($B713,"0000"))</f>
        <v/>
      </c>
      <c r="W713" s="19">
        <f>IF($I713="","",IF(ISNUMBER($I713),TEXT($I713,"0"),$I713))</f>
        <v/>
      </c>
    </row>
    <row r="714">
      <c r="B714" s="25" t="n"/>
      <c r="I714" s="25" t="n"/>
      <c r="U714" s="19">
        <f>IF(AND($V714='設定'!$C$4,COUNTIF('商品マスタ'!$B$6:$B$1005,$W714)=0),N(U713)+1,N(U713))</f>
        <v/>
      </c>
      <c r="V714" s="19">
        <f>IF($B714="","",TEXT($B714,"0000"))</f>
        <v/>
      </c>
      <c r="W714" s="19">
        <f>IF($I714="","",IF(ISNUMBER($I714),TEXT($I714,"0"),$I714))</f>
        <v/>
      </c>
    </row>
    <row r="715">
      <c r="B715" s="25" t="n"/>
      <c r="I715" s="25" t="n"/>
      <c r="U715" s="19">
        <f>IF(AND($V715='設定'!$C$4,COUNTIF('商品マスタ'!$B$6:$B$1005,$W715)=0),N(U714)+1,N(U714))</f>
        <v/>
      </c>
      <c r="V715" s="19">
        <f>IF($B715="","",TEXT($B715,"0000"))</f>
        <v/>
      </c>
      <c r="W715" s="19">
        <f>IF($I715="","",IF(ISNUMBER($I715),TEXT($I715,"0"),$I715))</f>
        <v/>
      </c>
    </row>
    <row r="716">
      <c r="B716" s="25" t="n"/>
      <c r="I716" s="25" t="n"/>
      <c r="U716" s="19">
        <f>IF(AND($V716='設定'!$C$4,COUNTIF('商品マスタ'!$B$6:$B$1005,$W716)=0),N(U715)+1,N(U715))</f>
        <v/>
      </c>
      <c r="V716" s="19">
        <f>IF($B716="","",TEXT($B716,"0000"))</f>
        <v/>
      </c>
      <c r="W716" s="19">
        <f>IF($I716="","",IF(ISNUMBER($I716),TEXT($I716,"0"),$I716))</f>
        <v/>
      </c>
    </row>
    <row r="717">
      <c r="B717" s="25" t="n"/>
      <c r="I717" s="25" t="n"/>
      <c r="U717" s="19">
        <f>IF(AND($V717='設定'!$C$4,COUNTIF('商品マスタ'!$B$6:$B$1005,$W717)=0),N(U716)+1,N(U716))</f>
        <v/>
      </c>
      <c r="V717" s="19">
        <f>IF($B717="","",TEXT($B717,"0000"))</f>
        <v/>
      </c>
      <c r="W717" s="19">
        <f>IF($I717="","",IF(ISNUMBER($I717),TEXT($I717,"0"),$I717))</f>
        <v/>
      </c>
    </row>
    <row r="718">
      <c r="B718" s="25" t="n"/>
      <c r="I718" s="25" t="n"/>
      <c r="U718" s="19">
        <f>IF(AND($V718='設定'!$C$4,COUNTIF('商品マスタ'!$B$6:$B$1005,$W718)=0),N(U717)+1,N(U717))</f>
        <v/>
      </c>
      <c r="V718" s="19">
        <f>IF($B718="","",TEXT($B718,"0000"))</f>
        <v/>
      </c>
      <c r="W718" s="19">
        <f>IF($I718="","",IF(ISNUMBER($I718),TEXT($I718,"0"),$I718))</f>
        <v/>
      </c>
    </row>
    <row r="719">
      <c r="B719" s="25" t="n"/>
      <c r="I719" s="25" t="n"/>
      <c r="U719" s="19">
        <f>IF(AND($V719='設定'!$C$4,COUNTIF('商品マスタ'!$B$6:$B$1005,$W719)=0),N(U718)+1,N(U718))</f>
        <v/>
      </c>
      <c r="V719" s="19">
        <f>IF($B719="","",TEXT($B719,"0000"))</f>
        <v/>
      </c>
      <c r="W719" s="19">
        <f>IF($I719="","",IF(ISNUMBER($I719),TEXT($I719,"0"),$I719))</f>
        <v/>
      </c>
    </row>
    <row r="720">
      <c r="B720" s="25" t="n"/>
      <c r="I720" s="25" t="n"/>
      <c r="U720" s="19">
        <f>IF(AND($V720='設定'!$C$4,COUNTIF('商品マスタ'!$B$6:$B$1005,$W720)=0),N(U719)+1,N(U719))</f>
        <v/>
      </c>
      <c r="V720" s="19">
        <f>IF($B720="","",TEXT($B720,"0000"))</f>
        <v/>
      </c>
      <c r="W720" s="19">
        <f>IF($I720="","",IF(ISNUMBER($I720),TEXT($I720,"0"),$I720))</f>
        <v/>
      </c>
    </row>
    <row r="721">
      <c r="B721" s="25" t="n"/>
      <c r="I721" s="25" t="n"/>
      <c r="U721" s="19">
        <f>IF(AND($V721='設定'!$C$4,COUNTIF('商品マスタ'!$B$6:$B$1005,$W721)=0),N(U720)+1,N(U720))</f>
        <v/>
      </c>
      <c r="V721" s="19">
        <f>IF($B721="","",TEXT($B721,"0000"))</f>
        <v/>
      </c>
      <c r="W721" s="19">
        <f>IF($I721="","",IF(ISNUMBER($I721),TEXT($I721,"0"),$I721))</f>
        <v/>
      </c>
    </row>
    <row r="722">
      <c r="B722" s="25" t="n"/>
      <c r="I722" s="25" t="n"/>
      <c r="U722" s="19">
        <f>IF(AND($V722='設定'!$C$4,COUNTIF('商品マスタ'!$B$6:$B$1005,$W722)=0),N(U721)+1,N(U721))</f>
        <v/>
      </c>
      <c r="V722" s="19">
        <f>IF($B722="","",TEXT($B722,"0000"))</f>
        <v/>
      </c>
      <c r="W722" s="19">
        <f>IF($I722="","",IF(ISNUMBER($I722),TEXT($I722,"0"),$I722))</f>
        <v/>
      </c>
    </row>
    <row r="723">
      <c r="B723" s="25" t="n"/>
      <c r="I723" s="25" t="n"/>
      <c r="U723" s="19">
        <f>IF(AND($V723='設定'!$C$4,COUNTIF('商品マスタ'!$B$6:$B$1005,$W723)=0),N(U722)+1,N(U722))</f>
        <v/>
      </c>
      <c r="V723" s="19">
        <f>IF($B723="","",TEXT($B723,"0000"))</f>
        <v/>
      </c>
      <c r="W723" s="19">
        <f>IF($I723="","",IF(ISNUMBER($I723),TEXT($I723,"0"),$I723))</f>
        <v/>
      </c>
    </row>
    <row r="724">
      <c r="B724" s="25" t="n"/>
      <c r="I724" s="25" t="n"/>
      <c r="U724" s="19">
        <f>IF(AND($V724='設定'!$C$4,COUNTIF('商品マスタ'!$B$6:$B$1005,$W724)=0),N(U723)+1,N(U723))</f>
        <v/>
      </c>
      <c r="V724" s="19">
        <f>IF($B724="","",TEXT($B724,"0000"))</f>
        <v/>
      </c>
      <c r="W724" s="19">
        <f>IF($I724="","",IF(ISNUMBER($I724),TEXT($I724,"0"),$I724))</f>
        <v/>
      </c>
    </row>
    <row r="725">
      <c r="B725" s="25" t="n"/>
      <c r="I725" s="25" t="n"/>
      <c r="U725" s="19">
        <f>IF(AND($V725='設定'!$C$4,COUNTIF('商品マスタ'!$B$6:$B$1005,$W725)=0),N(U724)+1,N(U724))</f>
        <v/>
      </c>
      <c r="V725" s="19">
        <f>IF($B725="","",TEXT($B725,"0000"))</f>
        <v/>
      </c>
      <c r="W725" s="19">
        <f>IF($I725="","",IF(ISNUMBER($I725),TEXT($I725,"0"),$I725))</f>
        <v/>
      </c>
    </row>
    <row r="726">
      <c r="B726" s="25" t="n"/>
      <c r="I726" s="25" t="n"/>
      <c r="U726" s="19">
        <f>IF(AND($V726='設定'!$C$4,COUNTIF('商品マスタ'!$B$6:$B$1005,$W726)=0),N(U725)+1,N(U725))</f>
        <v/>
      </c>
      <c r="V726" s="19">
        <f>IF($B726="","",TEXT($B726,"0000"))</f>
        <v/>
      </c>
      <c r="W726" s="19">
        <f>IF($I726="","",IF(ISNUMBER($I726),TEXT($I726,"0"),$I726))</f>
        <v/>
      </c>
    </row>
    <row r="727">
      <c r="B727" s="25" t="n"/>
      <c r="I727" s="25" t="n"/>
      <c r="U727" s="19">
        <f>IF(AND($V727='設定'!$C$4,COUNTIF('商品マスタ'!$B$6:$B$1005,$W727)=0),N(U726)+1,N(U726))</f>
        <v/>
      </c>
      <c r="V727" s="19">
        <f>IF($B727="","",TEXT($B727,"0000"))</f>
        <v/>
      </c>
      <c r="W727" s="19">
        <f>IF($I727="","",IF(ISNUMBER($I727),TEXT($I727,"0"),$I727))</f>
        <v/>
      </c>
    </row>
    <row r="728">
      <c r="B728" s="25" t="n"/>
      <c r="I728" s="25" t="n"/>
      <c r="U728" s="19">
        <f>IF(AND($V728='設定'!$C$4,COUNTIF('商品マスタ'!$B$6:$B$1005,$W728)=0),N(U727)+1,N(U727))</f>
        <v/>
      </c>
      <c r="V728" s="19">
        <f>IF($B728="","",TEXT($B728,"0000"))</f>
        <v/>
      </c>
      <c r="W728" s="19">
        <f>IF($I728="","",IF(ISNUMBER($I728),TEXT($I728,"0"),$I728))</f>
        <v/>
      </c>
    </row>
    <row r="729">
      <c r="B729" s="25" t="n"/>
      <c r="I729" s="25" t="n"/>
      <c r="U729" s="19">
        <f>IF(AND($V729='設定'!$C$4,COUNTIF('商品マスタ'!$B$6:$B$1005,$W729)=0),N(U728)+1,N(U728))</f>
        <v/>
      </c>
      <c r="V729" s="19">
        <f>IF($B729="","",TEXT($B729,"0000"))</f>
        <v/>
      </c>
      <c r="W729" s="19">
        <f>IF($I729="","",IF(ISNUMBER($I729),TEXT($I729,"0"),$I729))</f>
        <v/>
      </c>
    </row>
    <row r="730">
      <c r="B730" s="25" t="n"/>
      <c r="I730" s="25" t="n"/>
      <c r="U730" s="19">
        <f>IF(AND($V730='設定'!$C$4,COUNTIF('商品マスタ'!$B$6:$B$1005,$W730)=0),N(U729)+1,N(U729))</f>
        <v/>
      </c>
      <c r="V730" s="19">
        <f>IF($B730="","",TEXT($B730,"0000"))</f>
        <v/>
      </c>
      <c r="W730" s="19">
        <f>IF($I730="","",IF(ISNUMBER($I730),TEXT($I730,"0"),$I730))</f>
        <v/>
      </c>
    </row>
    <row r="731">
      <c r="B731" s="25" t="n"/>
      <c r="I731" s="25" t="n"/>
      <c r="U731" s="19">
        <f>IF(AND($V731='設定'!$C$4,COUNTIF('商品マスタ'!$B$6:$B$1005,$W731)=0),N(U730)+1,N(U730))</f>
        <v/>
      </c>
      <c r="V731" s="19">
        <f>IF($B731="","",TEXT($B731,"0000"))</f>
        <v/>
      </c>
      <c r="W731" s="19">
        <f>IF($I731="","",IF(ISNUMBER($I731),TEXT($I731,"0"),$I731))</f>
        <v/>
      </c>
    </row>
    <row r="732">
      <c r="B732" s="25" t="n"/>
      <c r="I732" s="25" t="n"/>
      <c r="U732" s="19">
        <f>IF(AND($V732='設定'!$C$4,COUNTIF('商品マスタ'!$B$6:$B$1005,$W732)=0),N(U731)+1,N(U731))</f>
        <v/>
      </c>
      <c r="V732" s="19">
        <f>IF($B732="","",TEXT($B732,"0000"))</f>
        <v/>
      </c>
      <c r="W732" s="19">
        <f>IF($I732="","",IF(ISNUMBER($I732),TEXT($I732,"0"),$I732))</f>
        <v/>
      </c>
    </row>
    <row r="733">
      <c r="B733" s="25" t="n"/>
      <c r="I733" s="25" t="n"/>
      <c r="U733" s="19">
        <f>IF(AND($V733='設定'!$C$4,COUNTIF('商品マスタ'!$B$6:$B$1005,$W733)=0),N(U732)+1,N(U732))</f>
        <v/>
      </c>
      <c r="V733" s="19">
        <f>IF($B733="","",TEXT($B733,"0000"))</f>
        <v/>
      </c>
      <c r="W733" s="19">
        <f>IF($I733="","",IF(ISNUMBER($I733),TEXT($I733,"0"),$I733))</f>
        <v/>
      </c>
    </row>
    <row r="734">
      <c r="B734" s="25" t="n"/>
      <c r="I734" s="25" t="n"/>
      <c r="U734" s="19">
        <f>IF(AND($V734='設定'!$C$4,COUNTIF('商品マスタ'!$B$6:$B$1005,$W734)=0),N(U733)+1,N(U733))</f>
        <v/>
      </c>
      <c r="V734" s="19">
        <f>IF($B734="","",TEXT($B734,"0000"))</f>
        <v/>
      </c>
      <c r="W734" s="19">
        <f>IF($I734="","",IF(ISNUMBER($I734),TEXT($I734,"0"),$I734))</f>
        <v/>
      </c>
    </row>
    <row r="735">
      <c r="B735" s="25" t="n"/>
      <c r="I735" s="25" t="n"/>
      <c r="U735" s="19">
        <f>IF(AND($V735='設定'!$C$4,COUNTIF('商品マスタ'!$B$6:$B$1005,$W735)=0),N(U734)+1,N(U734))</f>
        <v/>
      </c>
      <c r="V735" s="19">
        <f>IF($B735="","",TEXT($B735,"0000"))</f>
        <v/>
      </c>
      <c r="W735" s="19">
        <f>IF($I735="","",IF(ISNUMBER($I735),TEXT($I735,"0"),$I735))</f>
        <v/>
      </c>
    </row>
    <row r="736">
      <c r="B736" s="25" t="n"/>
      <c r="I736" s="25" t="n"/>
      <c r="U736" s="19">
        <f>IF(AND($V736='設定'!$C$4,COUNTIF('商品マスタ'!$B$6:$B$1005,$W736)=0),N(U735)+1,N(U735))</f>
        <v/>
      </c>
      <c r="V736" s="19">
        <f>IF($B736="","",TEXT($B736,"0000"))</f>
        <v/>
      </c>
      <c r="W736" s="19">
        <f>IF($I736="","",IF(ISNUMBER($I736),TEXT($I736,"0"),$I736))</f>
        <v/>
      </c>
    </row>
    <row r="737">
      <c r="B737" s="25" t="n"/>
      <c r="I737" s="25" t="n"/>
      <c r="U737" s="19">
        <f>IF(AND($V737='設定'!$C$4,COUNTIF('商品マスタ'!$B$6:$B$1005,$W737)=0),N(U736)+1,N(U736))</f>
        <v/>
      </c>
      <c r="V737" s="19">
        <f>IF($B737="","",TEXT($B737,"0000"))</f>
        <v/>
      </c>
      <c r="W737" s="19">
        <f>IF($I737="","",IF(ISNUMBER($I737),TEXT($I737,"0"),$I737))</f>
        <v/>
      </c>
    </row>
    <row r="738">
      <c r="B738" s="25" t="n"/>
      <c r="I738" s="25" t="n"/>
      <c r="U738" s="19">
        <f>IF(AND($V738='設定'!$C$4,COUNTIF('商品マスタ'!$B$6:$B$1005,$W738)=0),N(U737)+1,N(U737))</f>
        <v/>
      </c>
      <c r="V738" s="19">
        <f>IF($B738="","",TEXT($B738,"0000"))</f>
        <v/>
      </c>
      <c r="W738" s="19">
        <f>IF($I738="","",IF(ISNUMBER($I738),TEXT($I738,"0"),$I738))</f>
        <v/>
      </c>
    </row>
    <row r="739">
      <c r="B739" s="25" t="n"/>
      <c r="I739" s="25" t="n"/>
      <c r="U739" s="19">
        <f>IF(AND($V739='設定'!$C$4,COUNTIF('商品マスタ'!$B$6:$B$1005,$W739)=0),N(U738)+1,N(U738))</f>
        <v/>
      </c>
      <c r="V739" s="19">
        <f>IF($B739="","",TEXT($B739,"0000"))</f>
        <v/>
      </c>
      <c r="W739" s="19">
        <f>IF($I739="","",IF(ISNUMBER($I739),TEXT($I739,"0"),$I739))</f>
        <v/>
      </c>
    </row>
    <row r="740">
      <c r="B740" s="25" t="n"/>
      <c r="I740" s="25" t="n"/>
      <c r="U740" s="19">
        <f>IF(AND($V740='設定'!$C$4,COUNTIF('商品マスタ'!$B$6:$B$1005,$W740)=0),N(U739)+1,N(U739))</f>
        <v/>
      </c>
      <c r="V740" s="19">
        <f>IF($B740="","",TEXT($B740,"0000"))</f>
        <v/>
      </c>
      <c r="W740" s="19">
        <f>IF($I740="","",IF(ISNUMBER($I740),TEXT($I740,"0"),$I740))</f>
        <v/>
      </c>
    </row>
    <row r="741">
      <c r="B741" s="25" t="n"/>
      <c r="I741" s="25" t="n"/>
      <c r="U741" s="19">
        <f>IF(AND($V741='設定'!$C$4,COUNTIF('商品マスタ'!$B$6:$B$1005,$W741)=0),N(U740)+1,N(U740))</f>
        <v/>
      </c>
      <c r="V741" s="19">
        <f>IF($B741="","",TEXT($B741,"0000"))</f>
        <v/>
      </c>
      <c r="W741" s="19">
        <f>IF($I741="","",IF(ISNUMBER($I741),TEXT($I741,"0"),$I741))</f>
        <v/>
      </c>
    </row>
    <row r="742">
      <c r="B742" s="25" t="n"/>
      <c r="I742" s="25" t="n"/>
      <c r="U742" s="19">
        <f>IF(AND($V742='設定'!$C$4,COUNTIF('商品マスタ'!$B$6:$B$1005,$W742)=0),N(U741)+1,N(U741))</f>
        <v/>
      </c>
      <c r="V742" s="19">
        <f>IF($B742="","",TEXT($B742,"0000"))</f>
        <v/>
      </c>
      <c r="W742" s="19">
        <f>IF($I742="","",IF(ISNUMBER($I742),TEXT($I742,"0"),$I742))</f>
        <v/>
      </c>
    </row>
    <row r="743">
      <c r="B743" s="25" t="n"/>
      <c r="I743" s="25" t="n"/>
      <c r="U743" s="19">
        <f>IF(AND($V743='設定'!$C$4,COUNTIF('商品マスタ'!$B$6:$B$1005,$W743)=0),N(U742)+1,N(U742))</f>
        <v/>
      </c>
      <c r="V743" s="19">
        <f>IF($B743="","",TEXT($B743,"0000"))</f>
        <v/>
      </c>
      <c r="W743" s="19">
        <f>IF($I743="","",IF(ISNUMBER($I743),TEXT($I743,"0"),$I743))</f>
        <v/>
      </c>
    </row>
    <row r="744">
      <c r="B744" s="25" t="n"/>
      <c r="I744" s="25" t="n"/>
      <c r="U744" s="19">
        <f>IF(AND($V744='設定'!$C$4,COUNTIF('商品マスタ'!$B$6:$B$1005,$W744)=0),N(U743)+1,N(U743))</f>
        <v/>
      </c>
      <c r="V744" s="19">
        <f>IF($B744="","",TEXT($B744,"0000"))</f>
        <v/>
      </c>
      <c r="W744" s="19">
        <f>IF($I744="","",IF(ISNUMBER($I744),TEXT($I744,"0"),$I744))</f>
        <v/>
      </c>
    </row>
    <row r="745">
      <c r="B745" s="25" t="n"/>
      <c r="I745" s="25" t="n"/>
      <c r="U745" s="19">
        <f>IF(AND($V745='設定'!$C$4,COUNTIF('商品マスタ'!$B$6:$B$1005,$W745)=0),N(U744)+1,N(U744))</f>
        <v/>
      </c>
      <c r="V745" s="19">
        <f>IF($B745="","",TEXT($B745,"0000"))</f>
        <v/>
      </c>
      <c r="W745" s="19">
        <f>IF($I745="","",IF(ISNUMBER($I745),TEXT($I745,"0"),$I745))</f>
        <v/>
      </c>
    </row>
    <row r="746">
      <c r="B746" s="25" t="n"/>
      <c r="I746" s="25" t="n"/>
      <c r="U746" s="19">
        <f>IF(AND($V746='設定'!$C$4,COUNTIF('商品マスタ'!$B$6:$B$1005,$W746)=0),N(U745)+1,N(U745))</f>
        <v/>
      </c>
      <c r="V746" s="19">
        <f>IF($B746="","",TEXT($B746,"0000"))</f>
        <v/>
      </c>
      <c r="W746" s="19">
        <f>IF($I746="","",IF(ISNUMBER($I746),TEXT($I746,"0"),$I746))</f>
        <v/>
      </c>
    </row>
    <row r="747">
      <c r="B747" s="25" t="n"/>
      <c r="I747" s="25" t="n"/>
      <c r="U747" s="19">
        <f>IF(AND($V747='設定'!$C$4,COUNTIF('商品マスタ'!$B$6:$B$1005,$W747)=0),N(U746)+1,N(U746))</f>
        <v/>
      </c>
      <c r="V747" s="19">
        <f>IF($B747="","",TEXT($B747,"0000"))</f>
        <v/>
      </c>
      <c r="W747" s="19">
        <f>IF($I747="","",IF(ISNUMBER($I747),TEXT($I747,"0"),$I747))</f>
        <v/>
      </c>
    </row>
    <row r="748">
      <c r="B748" s="25" t="n"/>
      <c r="I748" s="25" t="n"/>
      <c r="U748" s="19">
        <f>IF(AND($V748='設定'!$C$4,COUNTIF('商品マスタ'!$B$6:$B$1005,$W748)=0),N(U747)+1,N(U747))</f>
        <v/>
      </c>
      <c r="V748" s="19">
        <f>IF($B748="","",TEXT($B748,"0000"))</f>
        <v/>
      </c>
      <c r="W748" s="19">
        <f>IF($I748="","",IF(ISNUMBER($I748),TEXT($I748,"0"),$I748))</f>
        <v/>
      </c>
    </row>
    <row r="749">
      <c r="B749" s="25" t="n"/>
      <c r="I749" s="25" t="n"/>
      <c r="U749" s="19">
        <f>IF(AND($V749='設定'!$C$4,COUNTIF('商品マスタ'!$B$6:$B$1005,$W749)=0),N(U748)+1,N(U748))</f>
        <v/>
      </c>
      <c r="V749" s="19">
        <f>IF($B749="","",TEXT($B749,"0000"))</f>
        <v/>
      </c>
      <c r="W749" s="19">
        <f>IF($I749="","",IF(ISNUMBER($I749),TEXT($I749,"0"),$I749))</f>
        <v/>
      </c>
    </row>
    <row r="750">
      <c r="B750" s="25" t="n"/>
      <c r="I750" s="25" t="n"/>
      <c r="U750" s="19">
        <f>IF(AND($V750='設定'!$C$4,COUNTIF('商品マスタ'!$B$6:$B$1005,$W750)=0),N(U749)+1,N(U749))</f>
        <v/>
      </c>
      <c r="V750" s="19">
        <f>IF($B750="","",TEXT($B750,"0000"))</f>
        <v/>
      </c>
      <c r="W750" s="19">
        <f>IF($I750="","",IF(ISNUMBER($I750),TEXT($I750,"0"),$I750))</f>
        <v/>
      </c>
    </row>
    <row r="751">
      <c r="B751" s="25" t="n"/>
      <c r="I751" s="25" t="n"/>
      <c r="U751" s="19">
        <f>IF(AND($V751='設定'!$C$4,COUNTIF('商品マスタ'!$B$6:$B$1005,$W751)=0),N(U750)+1,N(U750))</f>
        <v/>
      </c>
      <c r="V751" s="19">
        <f>IF($B751="","",TEXT($B751,"0000"))</f>
        <v/>
      </c>
      <c r="W751" s="19">
        <f>IF($I751="","",IF(ISNUMBER($I751),TEXT($I751,"0"),$I751))</f>
        <v/>
      </c>
    </row>
    <row r="752">
      <c r="B752" s="25" t="n"/>
      <c r="I752" s="25" t="n"/>
      <c r="U752" s="19">
        <f>IF(AND($V752='設定'!$C$4,COUNTIF('商品マスタ'!$B$6:$B$1005,$W752)=0),N(U751)+1,N(U751))</f>
        <v/>
      </c>
      <c r="V752" s="19">
        <f>IF($B752="","",TEXT($B752,"0000"))</f>
        <v/>
      </c>
      <c r="W752" s="19">
        <f>IF($I752="","",IF(ISNUMBER($I752),TEXT($I752,"0"),$I752))</f>
        <v/>
      </c>
    </row>
    <row r="753">
      <c r="B753" s="25" t="n"/>
      <c r="I753" s="25" t="n"/>
      <c r="U753" s="19">
        <f>IF(AND($V753='設定'!$C$4,COUNTIF('商品マスタ'!$B$6:$B$1005,$W753)=0),N(U752)+1,N(U752))</f>
        <v/>
      </c>
      <c r="V753" s="19">
        <f>IF($B753="","",TEXT($B753,"0000"))</f>
        <v/>
      </c>
      <c r="W753" s="19">
        <f>IF($I753="","",IF(ISNUMBER($I753),TEXT($I753,"0"),$I753))</f>
        <v/>
      </c>
    </row>
    <row r="754">
      <c r="B754" s="25" t="n"/>
      <c r="I754" s="25" t="n"/>
      <c r="U754" s="19">
        <f>IF(AND($V754='設定'!$C$4,COUNTIF('商品マスタ'!$B$6:$B$1005,$W754)=0),N(U753)+1,N(U753))</f>
        <v/>
      </c>
      <c r="V754" s="19">
        <f>IF($B754="","",TEXT($B754,"0000"))</f>
        <v/>
      </c>
      <c r="W754" s="19">
        <f>IF($I754="","",IF(ISNUMBER($I754),TEXT($I754,"0"),$I754))</f>
        <v/>
      </c>
    </row>
    <row r="755">
      <c r="B755" s="25" t="n"/>
      <c r="I755" s="25" t="n"/>
      <c r="U755" s="19">
        <f>IF(AND($V755='設定'!$C$4,COUNTIF('商品マスタ'!$B$6:$B$1005,$W755)=0),N(U754)+1,N(U754))</f>
        <v/>
      </c>
      <c r="V755" s="19">
        <f>IF($B755="","",TEXT($B755,"0000"))</f>
        <v/>
      </c>
      <c r="W755" s="19">
        <f>IF($I755="","",IF(ISNUMBER($I755),TEXT($I755,"0"),$I755))</f>
        <v/>
      </c>
    </row>
    <row r="756">
      <c r="B756" s="25" t="n"/>
      <c r="I756" s="25" t="n"/>
      <c r="U756" s="19">
        <f>IF(AND($V756='設定'!$C$4,COUNTIF('商品マスタ'!$B$6:$B$1005,$W756)=0),N(U755)+1,N(U755))</f>
        <v/>
      </c>
      <c r="V756" s="19">
        <f>IF($B756="","",TEXT($B756,"0000"))</f>
        <v/>
      </c>
      <c r="W756" s="19">
        <f>IF($I756="","",IF(ISNUMBER($I756),TEXT($I756,"0"),$I756))</f>
        <v/>
      </c>
    </row>
    <row r="757">
      <c r="B757" s="25" t="n"/>
      <c r="I757" s="25" t="n"/>
      <c r="U757" s="19">
        <f>IF(AND($V757='設定'!$C$4,COUNTIF('商品マスタ'!$B$6:$B$1005,$W757)=0),N(U756)+1,N(U756))</f>
        <v/>
      </c>
      <c r="V757" s="19">
        <f>IF($B757="","",TEXT($B757,"0000"))</f>
        <v/>
      </c>
      <c r="W757" s="19">
        <f>IF($I757="","",IF(ISNUMBER($I757),TEXT($I757,"0"),$I757))</f>
        <v/>
      </c>
    </row>
    <row r="758">
      <c r="B758" s="25" t="n"/>
      <c r="I758" s="25" t="n"/>
      <c r="U758" s="19">
        <f>IF(AND($V758='設定'!$C$4,COUNTIF('商品マスタ'!$B$6:$B$1005,$W758)=0),N(U757)+1,N(U757))</f>
        <v/>
      </c>
      <c r="V758" s="19">
        <f>IF($B758="","",TEXT($B758,"0000"))</f>
        <v/>
      </c>
      <c r="W758" s="19">
        <f>IF($I758="","",IF(ISNUMBER($I758),TEXT($I758,"0"),$I758))</f>
        <v/>
      </c>
    </row>
    <row r="759">
      <c r="B759" s="25" t="n"/>
      <c r="I759" s="25" t="n"/>
      <c r="U759" s="19">
        <f>IF(AND($V759='設定'!$C$4,COUNTIF('商品マスタ'!$B$6:$B$1005,$W759)=0),N(U758)+1,N(U758))</f>
        <v/>
      </c>
      <c r="V759" s="19">
        <f>IF($B759="","",TEXT($B759,"0000"))</f>
        <v/>
      </c>
      <c r="W759" s="19">
        <f>IF($I759="","",IF(ISNUMBER($I759),TEXT($I759,"0"),$I759))</f>
        <v/>
      </c>
    </row>
    <row r="760">
      <c r="B760" s="25" t="n"/>
      <c r="I760" s="25" t="n"/>
      <c r="U760" s="19">
        <f>IF(AND($V760='設定'!$C$4,COUNTIF('商品マスタ'!$B$6:$B$1005,$W760)=0),N(U759)+1,N(U759))</f>
        <v/>
      </c>
      <c r="V760" s="19">
        <f>IF($B760="","",TEXT($B760,"0000"))</f>
        <v/>
      </c>
      <c r="W760" s="19">
        <f>IF($I760="","",IF(ISNUMBER($I760),TEXT($I760,"0"),$I760))</f>
        <v/>
      </c>
    </row>
    <row r="761">
      <c r="B761" s="25" t="n"/>
      <c r="I761" s="25" t="n"/>
      <c r="U761" s="19">
        <f>IF(AND($V761='設定'!$C$4,COUNTIF('商品マスタ'!$B$6:$B$1005,$W761)=0),N(U760)+1,N(U760))</f>
        <v/>
      </c>
      <c r="V761" s="19">
        <f>IF($B761="","",TEXT($B761,"0000"))</f>
        <v/>
      </c>
      <c r="W761" s="19">
        <f>IF($I761="","",IF(ISNUMBER($I761),TEXT($I761,"0"),$I761))</f>
        <v/>
      </c>
    </row>
    <row r="762">
      <c r="B762" s="25" t="n"/>
      <c r="I762" s="25" t="n"/>
      <c r="U762" s="19">
        <f>IF(AND($V762='設定'!$C$4,COUNTIF('商品マスタ'!$B$6:$B$1005,$W762)=0),N(U761)+1,N(U761))</f>
        <v/>
      </c>
      <c r="V762" s="19">
        <f>IF($B762="","",TEXT($B762,"0000"))</f>
        <v/>
      </c>
      <c r="W762" s="19">
        <f>IF($I762="","",IF(ISNUMBER($I762),TEXT($I762,"0"),$I762))</f>
        <v/>
      </c>
    </row>
    <row r="763">
      <c r="B763" s="25" t="n"/>
      <c r="I763" s="25" t="n"/>
      <c r="U763" s="19">
        <f>IF(AND($V763='設定'!$C$4,COUNTIF('商品マスタ'!$B$6:$B$1005,$W763)=0),N(U762)+1,N(U762))</f>
        <v/>
      </c>
      <c r="V763" s="19">
        <f>IF($B763="","",TEXT($B763,"0000"))</f>
        <v/>
      </c>
      <c r="W763" s="19">
        <f>IF($I763="","",IF(ISNUMBER($I763),TEXT($I763,"0"),$I763))</f>
        <v/>
      </c>
    </row>
    <row r="764">
      <c r="B764" s="25" t="n"/>
      <c r="I764" s="25" t="n"/>
      <c r="U764" s="19">
        <f>IF(AND($V764='設定'!$C$4,COUNTIF('商品マスタ'!$B$6:$B$1005,$W764)=0),N(U763)+1,N(U763))</f>
        <v/>
      </c>
      <c r="V764" s="19">
        <f>IF($B764="","",TEXT($B764,"0000"))</f>
        <v/>
      </c>
      <c r="W764" s="19">
        <f>IF($I764="","",IF(ISNUMBER($I764),TEXT($I764,"0"),$I764))</f>
        <v/>
      </c>
    </row>
    <row r="765">
      <c r="B765" s="25" t="n"/>
      <c r="I765" s="25" t="n"/>
      <c r="U765" s="19">
        <f>IF(AND($V765='設定'!$C$4,COUNTIF('商品マスタ'!$B$6:$B$1005,$W765)=0),N(U764)+1,N(U764))</f>
        <v/>
      </c>
      <c r="V765" s="19">
        <f>IF($B765="","",TEXT($B765,"0000"))</f>
        <v/>
      </c>
      <c r="W765" s="19">
        <f>IF($I765="","",IF(ISNUMBER($I765),TEXT($I765,"0"),$I765))</f>
        <v/>
      </c>
    </row>
    <row r="766">
      <c r="B766" s="25" t="n"/>
      <c r="I766" s="25" t="n"/>
      <c r="U766" s="19">
        <f>IF(AND($V766='設定'!$C$4,COUNTIF('商品マスタ'!$B$6:$B$1005,$W766)=0),N(U765)+1,N(U765))</f>
        <v/>
      </c>
      <c r="V766" s="19">
        <f>IF($B766="","",TEXT($B766,"0000"))</f>
        <v/>
      </c>
      <c r="W766" s="19">
        <f>IF($I766="","",IF(ISNUMBER($I766),TEXT($I766,"0"),$I766))</f>
        <v/>
      </c>
    </row>
    <row r="767">
      <c r="B767" s="25" t="n"/>
      <c r="I767" s="25" t="n"/>
      <c r="U767" s="19">
        <f>IF(AND($V767='設定'!$C$4,COUNTIF('商品マスタ'!$B$6:$B$1005,$W767)=0),N(U766)+1,N(U766))</f>
        <v/>
      </c>
      <c r="V767" s="19">
        <f>IF($B767="","",TEXT($B767,"0000"))</f>
        <v/>
      </c>
      <c r="W767" s="19">
        <f>IF($I767="","",IF(ISNUMBER($I767),TEXT($I767,"0"),$I767))</f>
        <v/>
      </c>
    </row>
    <row r="768">
      <c r="B768" s="25" t="n"/>
      <c r="I768" s="25" t="n"/>
      <c r="U768" s="19">
        <f>IF(AND($V768='設定'!$C$4,COUNTIF('商品マスタ'!$B$6:$B$1005,$W768)=0),N(U767)+1,N(U767))</f>
        <v/>
      </c>
      <c r="V768" s="19">
        <f>IF($B768="","",TEXT($B768,"0000"))</f>
        <v/>
      </c>
      <c r="W768" s="19">
        <f>IF($I768="","",IF(ISNUMBER($I768),TEXT($I768,"0"),$I768))</f>
        <v/>
      </c>
    </row>
    <row r="769">
      <c r="B769" s="25" t="n"/>
      <c r="I769" s="25" t="n"/>
      <c r="U769" s="19">
        <f>IF(AND($V769='設定'!$C$4,COUNTIF('商品マスタ'!$B$6:$B$1005,$W769)=0),N(U768)+1,N(U768))</f>
        <v/>
      </c>
      <c r="V769" s="19">
        <f>IF($B769="","",TEXT($B769,"0000"))</f>
        <v/>
      </c>
      <c r="W769" s="19">
        <f>IF($I769="","",IF(ISNUMBER($I769),TEXT($I769,"0"),$I769))</f>
        <v/>
      </c>
    </row>
    <row r="770">
      <c r="B770" s="25" t="n"/>
      <c r="I770" s="25" t="n"/>
      <c r="U770" s="19">
        <f>IF(AND($V770='設定'!$C$4,COUNTIF('商品マスタ'!$B$6:$B$1005,$W770)=0),N(U769)+1,N(U769))</f>
        <v/>
      </c>
      <c r="V770" s="19">
        <f>IF($B770="","",TEXT($B770,"0000"))</f>
        <v/>
      </c>
      <c r="W770" s="19">
        <f>IF($I770="","",IF(ISNUMBER($I770),TEXT($I770,"0"),$I770))</f>
        <v/>
      </c>
    </row>
    <row r="771">
      <c r="B771" s="25" t="n"/>
      <c r="I771" s="25" t="n"/>
      <c r="U771" s="19">
        <f>IF(AND($V771='設定'!$C$4,COUNTIF('商品マスタ'!$B$6:$B$1005,$W771)=0),N(U770)+1,N(U770))</f>
        <v/>
      </c>
      <c r="V771" s="19">
        <f>IF($B771="","",TEXT($B771,"0000"))</f>
        <v/>
      </c>
      <c r="W771" s="19">
        <f>IF($I771="","",IF(ISNUMBER($I771),TEXT($I771,"0"),$I771))</f>
        <v/>
      </c>
    </row>
    <row r="772">
      <c r="B772" s="25" t="n"/>
      <c r="I772" s="25" t="n"/>
      <c r="U772" s="19">
        <f>IF(AND($V772='設定'!$C$4,COUNTIF('商品マスタ'!$B$6:$B$1005,$W772)=0),N(U771)+1,N(U771))</f>
        <v/>
      </c>
      <c r="V772" s="19">
        <f>IF($B772="","",TEXT($B772,"0000"))</f>
        <v/>
      </c>
      <c r="W772" s="19">
        <f>IF($I772="","",IF(ISNUMBER($I772),TEXT($I772,"0"),$I772))</f>
        <v/>
      </c>
    </row>
    <row r="773">
      <c r="B773" s="25" t="n"/>
      <c r="I773" s="25" t="n"/>
      <c r="U773" s="19">
        <f>IF(AND($V773='設定'!$C$4,COUNTIF('商品マスタ'!$B$6:$B$1005,$W773)=0),N(U772)+1,N(U772))</f>
        <v/>
      </c>
      <c r="V773" s="19">
        <f>IF($B773="","",TEXT($B773,"0000"))</f>
        <v/>
      </c>
      <c r="W773" s="19">
        <f>IF($I773="","",IF(ISNUMBER($I773),TEXT($I773,"0"),$I773))</f>
        <v/>
      </c>
    </row>
    <row r="774">
      <c r="B774" s="25" t="n"/>
      <c r="I774" s="25" t="n"/>
      <c r="U774" s="19">
        <f>IF(AND($V774='設定'!$C$4,COUNTIF('商品マスタ'!$B$6:$B$1005,$W774)=0),N(U773)+1,N(U773))</f>
        <v/>
      </c>
      <c r="V774" s="19">
        <f>IF($B774="","",TEXT($B774,"0000"))</f>
        <v/>
      </c>
      <c r="W774" s="19">
        <f>IF($I774="","",IF(ISNUMBER($I774),TEXT($I774,"0"),$I774))</f>
        <v/>
      </c>
    </row>
    <row r="775">
      <c r="B775" s="25" t="n"/>
      <c r="I775" s="25" t="n"/>
      <c r="U775" s="19">
        <f>IF(AND($V775='設定'!$C$4,COUNTIF('商品マスタ'!$B$6:$B$1005,$W775)=0),N(U774)+1,N(U774))</f>
        <v/>
      </c>
      <c r="V775" s="19">
        <f>IF($B775="","",TEXT($B775,"0000"))</f>
        <v/>
      </c>
      <c r="W775" s="19">
        <f>IF($I775="","",IF(ISNUMBER($I775),TEXT($I775,"0"),$I775))</f>
        <v/>
      </c>
    </row>
    <row r="776">
      <c r="B776" s="25" t="n"/>
      <c r="I776" s="25" t="n"/>
      <c r="U776" s="19">
        <f>IF(AND($V776='設定'!$C$4,COUNTIF('商品マスタ'!$B$6:$B$1005,$W776)=0),N(U775)+1,N(U775))</f>
        <v/>
      </c>
      <c r="V776" s="19">
        <f>IF($B776="","",TEXT($B776,"0000"))</f>
        <v/>
      </c>
      <c r="W776" s="19">
        <f>IF($I776="","",IF(ISNUMBER($I776),TEXT($I776,"0"),$I776))</f>
        <v/>
      </c>
    </row>
    <row r="777">
      <c r="B777" s="25" t="n"/>
      <c r="I777" s="25" t="n"/>
      <c r="U777" s="19">
        <f>IF(AND($V777='設定'!$C$4,COUNTIF('商品マスタ'!$B$6:$B$1005,$W777)=0),N(U776)+1,N(U776))</f>
        <v/>
      </c>
      <c r="V777" s="19">
        <f>IF($B777="","",TEXT($B777,"0000"))</f>
        <v/>
      </c>
      <c r="W777" s="19">
        <f>IF($I777="","",IF(ISNUMBER($I777),TEXT($I777,"0"),$I777))</f>
        <v/>
      </c>
    </row>
    <row r="778">
      <c r="B778" s="25" t="n"/>
      <c r="I778" s="25" t="n"/>
      <c r="U778" s="19">
        <f>IF(AND($V778='設定'!$C$4,COUNTIF('商品マスタ'!$B$6:$B$1005,$W778)=0),N(U777)+1,N(U777))</f>
        <v/>
      </c>
      <c r="V778" s="19">
        <f>IF($B778="","",TEXT($B778,"0000"))</f>
        <v/>
      </c>
      <c r="W778" s="19">
        <f>IF($I778="","",IF(ISNUMBER($I778),TEXT($I778,"0"),$I778))</f>
        <v/>
      </c>
    </row>
    <row r="779">
      <c r="B779" s="25" t="n"/>
      <c r="I779" s="25" t="n"/>
      <c r="U779" s="19">
        <f>IF(AND($V779='設定'!$C$4,COUNTIF('商品マスタ'!$B$6:$B$1005,$W779)=0),N(U778)+1,N(U778))</f>
        <v/>
      </c>
      <c r="V779" s="19">
        <f>IF($B779="","",TEXT($B779,"0000"))</f>
        <v/>
      </c>
      <c r="W779" s="19">
        <f>IF($I779="","",IF(ISNUMBER($I779),TEXT($I779,"0"),$I779))</f>
        <v/>
      </c>
    </row>
    <row r="780">
      <c r="B780" s="25" t="n"/>
      <c r="I780" s="25" t="n"/>
      <c r="U780" s="19">
        <f>IF(AND($V780='設定'!$C$4,COUNTIF('商品マスタ'!$B$6:$B$1005,$W780)=0),N(U779)+1,N(U779))</f>
        <v/>
      </c>
      <c r="V780" s="19">
        <f>IF($B780="","",TEXT($B780,"0000"))</f>
        <v/>
      </c>
      <c r="W780" s="19">
        <f>IF($I780="","",IF(ISNUMBER($I780),TEXT($I780,"0"),$I780))</f>
        <v/>
      </c>
    </row>
    <row r="781">
      <c r="B781" s="25" t="n"/>
      <c r="I781" s="25" t="n"/>
      <c r="U781" s="19">
        <f>IF(AND($V781='設定'!$C$4,COUNTIF('商品マスタ'!$B$6:$B$1005,$W781)=0),N(U780)+1,N(U780))</f>
        <v/>
      </c>
      <c r="V781" s="19">
        <f>IF($B781="","",TEXT($B781,"0000"))</f>
        <v/>
      </c>
      <c r="W781" s="19">
        <f>IF($I781="","",IF(ISNUMBER($I781),TEXT($I781,"0"),$I781))</f>
        <v/>
      </c>
    </row>
    <row r="782">
      <c r="B782" s="25" t="n"/>
      <c r="I782" s="25" t="n"/>
      <c r="U782" s="19">
        <f>IF(AND($V782='設定'!$C$4,COUNTIF('商品マスタ'!$B$6:$B$1005,$W782)=0),N(U781)+1,N(U781))</f>
        <v/>
      </c>
      <c r="V782" s="19">
        <f>IF($B782="","",TEXT($B782,"0000"))</f>
        <v/>
      </c>
      <c r="W782" s="19">
        <f>IF($I782="","",IF(ISNUMBER($I782),TEXT($I782,"0"),$I782))</f>
        <v/>
      </c>
    </row>
    <row r="783">
      <c r="B783" s="25" t="n"/>
      <c r="I783" s="25" t="n"/>
      <c r="U783" s="19">
        <f>IF(AND($V783='設定'!$C$4,COUNTIF('商品マスタ'!$B$6:$B$1005,$W783)=0),N(U782)+1,N(U782))</f>
        <v/>
      </c>
      <c r="V783" s="19">
        <f>IF($B783="","",TEXT($B783,"0000"))</f>
        <v/>
      </c>
      <c r="W783" s="19">
        <f>IF($I783="","",IF(ISNUMBER($I783),TEXT($I783,"0"),$I783))</f>
        <v/>
      </c>
    </row>
    <row r="784">
      <c r="B784" s="25" t="n"/>
      <c r="I784" s="25" t="n"/>
      <c r="U784" s="19">
        <f>IF(AND($V784='設定'!$C$4,COUNTIF('商品マスタ'!$B$6:$B$1005,$W784)=0),N(U783)+1,N(U783))</f>
        <v/>
      </c>
      <c r="V784" s="19">
        <f>IF($B784="","",TEXT($B784,"0000"))</f>
        <v/>
      </c>
      <c r="W784" s="19">
        <f>IF($I784="","",IF(ISNUMBER($I784),TEXT($I784,"0"),$I784))</f>
        <v/>
      </c>
    </row>
    <row r="785">
      <c r="B785" s="25" t="n"/>
      <c r="I785" s="25" t="n"/>
      <c r="U785" s="19">
        <f>IF(AND($V785='設定'!$C$4,COUNTIF('商品マスタ'!$B$6:$B$1005,$W785)=0),N(U784)+1,N(U784))</f>
        <v/>
      </c>
      <c r="V785" s="19">
        <f>IF($B785="","",TEXT($B785,"0000"))</f>
        <v/>
      </c>
      <c r="W785" s="19">
        <f>IF($I785="","",IF(ISNUMBER($I785),TEXT($I785,"0"),$I785))</f>
        <v/>
      </c>
    </row>
    <row r="786">
      <c r="B786" s="25" t="n"/>
      <c r="I786" s="25" t="n"/>
      <c r="U786" s="19">
        <f>IF(AND($V786='設定'!$C$4,COUNTIF('商品マスタ'!$B$6:$B$1005,$W786)=0),N(U785)+1,N(U785))</f>
        <v/>
      </c>
      <c r="V786" s="19">
        <f>IF($B786="","",TEXT($B786,"0000"))</f>
        <v/>
      </c>
      <c r="W786" s="19">
        <f>IF($I786="","",IF(ISNUMBER($I786),TEXT($I786,"0"),$I786))</f>
        <v/>
      </c>
    </row>
    <row r="787">
      <c r="B787" s="25" t="n"/>
      <c r="I787" s="25" t="n"/>
      <c r="U787" s="19">
        <f>IF(AND($V787='設定'!$C$4,COUNTIF('商品マスタ'!$B$6:$B$1005,$W787)=0),N(U786)+1,N(U786))</f>
        <v/>
      </c>
      <c r="V787" s="19">
        <f>IF($B787="","",TEXT($B787,"0000"))</f>
        <v/>
      </c>
      <c r="W787" s="19">
        <f>IF($I787="","",IF(ISNUMBER($I787),TEXT($I787,"0"),$I787))</f>
        <v/>
      </c>
    </row>
    <row r="788">
      <c r="B788" s="25" t="n"/>
      <c r="I788" s="25" t="n"/>
      <c r="U788" s="19">
        <f>IF(AND($V788='設定'!$C$4,COUNTIF('商品マスタ'!$B$6:$B$1005,$W788)=0),N(U787)+1,N(U787))</f>
        <v/>
      </c>
      <c r="V788" s="19">
        <f>IF($B788="","",TEXT($B788,"0000"))</f>
        <v/>
      </c>
      <c r="W788" s="19">
        <f>IF($I788="","",IF(ISNUMBER($I788),TEXT($I788,"0"),$I788))</f>
        <v/>
      </c>
    </row>
    <row r="789">
      <c r="B789" s="25" t="n"/>
      <c r="I789" s="25" t="n"/>
      <c r="U789" s="19">
        <f>IF(AND($V789='設定'!$C$4,COUNTIF('商品マスタ'!$B$6:$B$1005,$W789)=0),N(U788)+1,N(U788))</f>
        <v/>
      </c>
      <c r="V789" s="19">
        <f>IF($B789="","",TEXT($B789,"0000"))</f>
        <v/>
      </c>
      <c r="W789" s="19">
        <f>IF($I789="","",IF(ISNUMBER($I789),TEXT($I789,"0"),$I789))</f>
        <v/>
      </c>
    </row>
    <row r="790">
      <c r="B790" s="25" t="n"/>
      <c r="I790" s="25" t="n"/>
      <c r="U790" s="19">
        <f>IF(AND($V790='設定'!$C$4,COUNTIF('商品マスタ'!$B$6:$B$1005,$W790)=0),N(U789)+1,N(U789))</f>
        <v/>
      </c>
      <c r="V790" s="19">
        <f>IF($B790="","",TEXT($B790,"0000"))</f>
        <v/>
      </c>
      <c r="W790" s="19">
        <f>IF($I790="","",IF(ISNUMBER($I790),TEXT($I790,"0"),$I790))</f>
        <v/>
      </c>
    </row>
    <row r="791">
      <c r="B791" s="25" t="n"/>
      <c r="I791" s="25" t="n"/>
      <c r="U791" s="19">
        <f>IF(AND($V791='設定'!$C$4,COUNTIF('商品マスタ'!$B$6:$B$1005,$W791)=0),N(U790)+1,N(U790))</f>
        <v/>
      </c>
      <c r="V791" s="19">
        <f>IF($B791="","",TEXT($B791,"0000"))</f>
        <v/>
      </c>
      <c r="W791" s="19">
        <f>IF($I791="","",IF(ISNUMBER($I791),TEXT($I791,"0"),$I791))</f>
        <v/>
      </c>
    </row>
    <row r="792">
      <c r="B792" s="25" t="n"/>
      <c r="I792" s="25" t="n"/>
      <c r="U792" s="19">
        <f>IF(AND($V792='設定'!$C$4,COUNTIF('商品マスタ'!$B$6:$B$1005,$W792)=0),N(U791)+1,N(U791))</f>
        <v/>
      </c>
      <c r="V792" s="19">
        <f>IF($B792="","",TEXT($B792,"0000"))</f>
        <v/>
      </c>
      <c r="W792" s="19">
        <f>IF($I792="","",IF(ISNUMBER($I792),TEXT($I792,"0"),$I792))</f>
        <v/>
      </c>
    </row>
    <row r="793">
      <c r="B793" s="25" t="n"/>
      <c r="I793" s="25" t="n"/>
      <c r="U793" s="19">
        <f>IF(AND($V793='設定'!$C$4,COUNTIF('商品マスタ'!$B$6:$B$1005,$W793)=0),N(U792)+1,N(U792))</f>
        <v/>
      </c>
      <c r="V793" s="19">
        <f>IF($B793="","",TEXT($B793,"0000"))</f>
        <v/>
      </c>
      <c r="W793" s="19">
        <f>IF($I793="","",IF(ISNUMBER($I793),TEXT($I793,"0"),$I793))</f>
        <v/>
      </c>
    </row>
    <row r="794">
      <c r="B794" s="25" t="n"/>
      <c r="I794" s="25" t="n"/>
      <c r="U794" s="19">
        <f>IF(AND($V794='設定'!$C$4,COUNTIF('商品マスタ'!$B$6:$B$1005,$W794)=0),N(U793)+1,N(U793))</f>
        <v/>
      </c>
      <c r="V794" s="19">
        <f>IF($B794="","",TEXT($B794,"0000"))</f>
        <v/>
      </c>
      <c r="W794" s="19">
        <f>IF($I794="","",IF(ISNUMBER($I794),TEXT($I794,"0"),$I794))</f>
        <v/>
      </c>
    </row>
    <row r="795">
      <c r="B795" s="25" t="n"/>
      <c r="I795" s="25" t="n"/>
      <c r="U795" s="19">
        <f>IF(AND($V795='設定'!$C$4,COUNTIF('商品マスタ'!$B$6:$B$1005,$W795)=0),N(U794)+1,N(U794))</f>
        <v/>
      </c>
      <c r="V795" s="19">
        <f>IF($B795="","",TEXT($B795,"0000"))</f>
        <v/>
      </c>
      <c r="W795" s="19">
        <f>IF($I795="","",IF(ISNUMBER($I795),TEXT($I795,"0"),$I795))</f>
        <v/>
      </c>
    </row>
    <row r="796">
      <c r="B796" s="25" t="n"/>
      <c r="I796" s="25" t="n"/>
      <c r="U796" s="19">
        <f>IF(AND($V796='設定'!$C$4,COUNTIF('商品マスタ'!$B$6:$B$1005,$W796)=0),N(U795)+1,N(U795))</f>
        <v/>
      </c>
      <c r="V796" s="19">
        <f>IF($B796="","",TEXT($B796,"0000"))</f>
        <v/>
      </c>
      <c r="W796" s="19">
        <f>IF($I796="","",IF(ISNUMBER($I796),TEXT($I796,"0"),$I796))</f>
        <v/>
      </c>
    </row>
    <row r="797">
      <c r="B797" s="25" t="n"/>
      <c r="I797" s="25" t="n"/>
      <c r="U797" s="19">
        <f>IF(AND($V797='設定'!$C$4,COUNTIF('商品マスタ'!$B$6:$B$1005,$W797)=0),N(U796)+1,N(U796))</f>
        <v/>
      </c>
      <c r="V797" s="19">
        <f>IF($B797="","",TEXT($B797,"0000"))</f>
        <v/>
      </c>
      <c r="W797" s="19">
        <f>IF($I797="","",IF(ISNUMBER($I797),TEXT($I797,"0"),$I797))</f>
        <v/>
      </c>
    </row>
    <row r="798">
      <c r="B798" s="25" t="n"/>
      <c r="I798" s="25" t="n"/>
      <c r="U798" s="19">
        <f>IF(AND($V798='設定'!$C$4,COUNTIF('商品マスタ'!$B$6:$B$1005,$W798)=0),N(U797)+1,N(U797))</f>
        <v/>
      </c>
      <c r="V798" s="19">
        <f>IF($B798="","",TEXT($B798,"0000"))</f>
        <v/>
      </c>
      <c r="W798" s="19">
        <f>IF($I798="","",IF(ISNUMBER($I798),TEXT($I798,"0"),$I798))</f>
        <v/>
      </c>
    </row>
    <row r="799">
      <c r="B799" s="25" t="n"/>
      <c r="I799" s="25" t="n"/>
      <c r="U799" s="19">
        <f>IF(AND($V799='設定'!$C$4,COUNTIF('商品マスタ'!$B$6:$B$1005,$W799)=0),N(U798)+1,N(U798))</f>
        <v/>
      </c>
      <c r="V799" s="19">
        <f>IF($B799="","",TEXT($B799,"0000"))</f>
        <v/>
      </c>
      <c r="W799" s="19">
        <f>IF($I799="","",IF(ISNUMBER($I799),TEXT($I799,"0"),$I799))</f>
        <v/>
      </c>
    </row>
    <row r="800">
      <c r="B800" s="25" t="n"/>
      <c r="I800" s="25" t="n"/>
      <c r="U800" s="19">
        <f>IF(AND($V800='設定'!$C$4,COUNTIF('商品マスタ'!$B$6:$B$1005,$W800)=0),N(U799)+1,N(U799))</f>
        <v/>
      </c>
      <c r="V800" s="19">
        <f>IF($B800="","",TEXT($B800,"0000"))</f>
        <v/>
      </c>
      <c r="W800" s="19">
        <f>IF($I800="","",IF(ISNUMBER($I800),TEXT($I800,"0"),$I800))</f>
        <v/>
      </c>
    </row>
    <row r="801">
      <c r="B801" s="25" t="n"/>
      <c r="I801" s="25" t="n"/>
      <c r="U801" s="19">
        <f>IF(AND($V801='設定'!$C$4,COUNTIF('商品マスタ'!$B$6:$B$1005,$W801)=0),N(U800)+1,N(U800))</f>
        <v/>
      </c>
      <c r="V801" s="19">
        <f>IF($B801="","",TEXT($B801,"0000"))</f>
        <v/>
      </c>
      <c r="W801" s="19">
        <f>IF($I801="","",IF(ISNUMBER($I801),TEXT($I801,"0"),$I801))</f>
        <v/>
      </c>
    </row>
    <row r="802">
      <c r="B802" s="25" t="n"/>
      <c r="I802" s="25" t="n"/>
      <c r="U802" s="19">
        <f>IF(AND($V802='設定'!$C$4,COUNTIF('商品マスタ'!$B$6:$B$1005,$W802)=0),N(U801)+1,N(U801))</f>
        <v/>
      </c>
      <c r="V802" s="19">
        <f>IF($B802="","",TEXT($B802,"0000"))</f>
        <v/>
      </c>
      <c r="W802" s="19">
        <f>IF($I802="","",IF(ISNUMBER($I802),TEXT($I802,"0"),$I802))</f>
        <v/>
      </c>
    </row>
    <row r="803">
      <c r="B803" s="25" t="n"/>
      <c r="I803" s="25" t="n"/>
      <c r="U803" s="19">
        <f>IF(AND($V803='設定'!$C$4,COUNTIF('商品マスタ'!$B$6:$B$1005,$W803)=0),N(U802)+1,N(U802))</f>
        <v/>
      </c>
      <c r="V803" s="19">
        <f>IF($B803="","",TEXT($B803,"0000"))</f>
        <v/>
      </c>
      <c r="W803" s="19">
        <f>IF($I803="","",IF(ISNUMBER($I803),TEXT($I803,"0"),$I803))</f>
        <v/>
      </c>
    </row>
    <row r="804">
      <c r="B804" s="25" t="n"/>
      <c r="I804" s="25" t="n"/>
      <c r="U804" s="19">
        <f>IF(AND($V804='設定'!$C$4,COUNTIF('商品マスタ'!$B$6:$B$1005,$W804)=0),N(U803)+1,N(U803))</f>
        <v/>
      </c>
      <c r="V804" s="19">
        <f>IF($B804="","",TEXT($B804,"0000"))</f>
        <v/>
      </c>
      <c r="W804" s="19">
        <f>IF($I804="","",IF(ISNUMBER($I804),TEXT($I804,"0"),$I804))</f>
        <v/>
      </c>
    </row>
    <row r="805">
      <c r="B805" s="25" t="n"/>
      <c r="I805" s="25" t="n"/>
      <c r="U805" s="19">
        <f>IF(AND($V805='設定'!$C$4,COUNTIF('商品マスタ'!$B$6:$B$1005,$W805)=0),N(U804)+1,N(U804))</f>
        <v/>
      </c>
      <c r="V805" s="19">
        <f>IF($B805="","",TEXT($B805,"0000"))</f>
        <v/>
      </c>
      <c r="W805" s="19">
        <f>IF($I805="","",IF(ISNUMBER($I805),TEXT($I805,"0"),$I805))</f>
        <v/>
      </c>
    </row>
    <row r="806">
      <c r="B806" s="25" t="n"/>
      <c r="I806" s="25" t="n"/>
      <c r="U806" s="19">
        <f>IF(AND($V806='設定'!$C$4,COUNTIF('商品マスタ'!$B$6:$B$1005,$W806)=0),N(U805)+1,N(U805))</f>
        <v/>
      </c>
      <c r="V806" s="19">
        <f>IF($B806="","",TEXT($B806,"0000"))</f>
        <v/>
      </c>
      <c r="W806" s="19">
        <f>IF($I806="","",IF(ISNUMBER($I806),TEXT($I806,"0"),$I806))</f>
        <v/>
      </c>
    </row>
    <row r="807">
      <c r="B807" s="25" t="n"/>
      <c r="I807" s="25" t="n"/>
      <c r="U807" s="19">
        <f>IF(AND($V807='設定'!$C$4,COUNTIF('商品マスタ'!$B$6:$B$1005,$W807)=0),N(U806)+1,N(U806))</f>
        <v/>
      </c>
      <c r="V807" s="19">
        <f>IF($B807="","",TEXT($B807,"0000"))</f>
        <v/>
      </c>
      <c r="W807" s="19">
        <f>IF($I807="","",IF(ISNUMBER($I807),TEXT($I807,"0"),$I807))</f>
        <v/>
      </c>
    </row>
    <row r="808">
      <c r="B808" s="25" t="n"/>
      <c r="I808" s="25" t="n"/>
      <c r="U808" s="19">
        <f>IF(AND($V808='設定'!$C$4,COUNTIF('商品マスタ'!$B$6:$B$1005,$W808)=0),N(U807)+1,N(U807))</f>
        <v/>
      </c>
      <c r="V808" s="19">
        <f>IF($B808="","",TEXT($B808,"0000"))</f>
        <v/>
      </c>
      <c r="W808" s="19">
        <f>IF($I808="","",IF(ISNUMBER($I808),TEXT($I808,"0"),$I808))</f>
        <v/>
      </c>
    </row>
    <row r="809">
      <c r="B809" s="25" t="n"/>
      <c r="I809" s="25" t="n"/>
      <c r="U809" s="19">
        <f>IF(AND($V809='設定'!$C$4,COUNTIF('商品マスタ'!$B$6:$B$1005,$W809)=0),N(U808)+1,N(U808))</f>
        <v/>
      </c>
      <c r="V809" s="19">
        <f>IF($B809="","",TEXT($B809,"0000"))</f>
        <v/>
      </c>
      <c r="W809" s="19">
        <f>IF($I809="","",IF(ISNUMBER($I809),TEXT($I809,"0"),$I809))</f>
        <v/>
      </c>
    </row>
    <row r="810">
      <c r="B810" s="25" t="n"/>
      <c r="I810" s="25" t="n"/>
      <c r="U810" s="19">
        <f>IF(AND($V810='設定'!$C$4,COUNTIF('商品マスタ'!$B$6:$B$1005,$W810)=0),N(U809)+1,N(U809))</f>
        <v/>
      </c>
      <c r="V810" s="19">
        <f>IF($B810="","",TEXT($B810,"0000"))</f>
        <v/>
      </c>
      <c r="W810" s="19">
        <f>IF($I810="","",IF(ISNUMBER($I810),TEXT($I810,"0"),$I810))</f>
        <v/>
      </c>
    </row>
    <row r="811">
      <c r="B811" s="25" t="n"/>
      <c r="I811" s="25" t="n"/>
      <c r="U811" s="19">
        <f>IF(AND($V811='設定'!$C$4,COUNTIF('商品マスタ'!$B$6:$B$1005,$W811)=0),N(U810)+1,N(U810))</f>
        <v/>
      </c>
      <c r="V811" s="19">
        <f>IF($B811="","",TEXT($B811,"0000"))</f>
        <v/>
      </c>
      <c r="W811" s="19">
        <f>IF($I811="","",IF(ISNUMBER($I811),TEXT($I811,"0"),$I811))</f>
        <v/>
      </c>
    </row>
    <row r="812">
      <c r="B812" s="25" t="n"/>
      <c r="I812" s="25" t="n"/>
      <c r="U812" s="19">
        <f>IF(AND($V812='設定'!$C$4,COUNTIF('商品マスタ'!$B$6:$B$1005,$W812)=0),N(U811)+1,N(U811))</f>
        <v/>
      </c>
      <c r="V812" s="19">
        <f>IF($B812="","",TEXT($B812,"0000"))</f>
        <v/>
      </c>
      <c r="W812" s="19">
        <f>IF($I812="","",IF(ISNUMBER($I812),TEXT($I812,"0"),$I812))</f>
        <v/>
      </c>
    </row>
    <row r="813">
      <c r="B813" s="25" t="n"/>
      <c r="I813" s="25" t="n"/>
      <c r="U813" s="19">
        <f>IF(AND($V813='設定'!$C$4,COUNTIF('商品マスタ'!$B$6:$B$1005,$W813)=0),N(U812)+1,N(U812))</f>
        <v/>
      </c>
      <c r="V813" s="19">
        <f>IF($B813="","",TEXT($B813,"0000"))</f>
        <v/>
      </c>
      <c r="W813" s="19">
        <f>IF($I813="","",IF(ISNUMBER($I813),TEXT($I813,"0"),$I813))</f>
        <v/>
      </c>
    </row>
    <row r="814">
      <c r="B814" s="25" t="n"/>
      <c r="I814" s="25" t="n"/>
      <c r="U814" s="19">
        <f>IF(AND($V814='設定'!$C$4,COUNTIF('商品マスタ'!$B$6:$B$1005,$W814)=0),N(U813)+1,N(U813))</f>
        <v/>
      </c>
      <c r="V814" s="19">
        <f>IF($B814="","",TEXT($B814,"0000"))</f>
        <v/>
      </c>
      <c r="W814" s="19">
        <f>IF($I814="","",IF(ISNUMBER($I814),TEXT($I814,"0"),$I814))</f>
        <v/>
      </c>
    </row>
    <row r="815">
      <c r="B815" s="25" t="n"/>
      <c r="I815" s="25" t="n"/>
      <c r="U815" s="19">
        <f>IF(AND($V815='設定'!$C$4,COUNTIF('商品マスタ'!$B$6:$B$1005,$W815)=0),N(U814)+1,N(U814))</f>
        <v/>
      </c>
      <c r="V815" s="19">
        <f>IF($B815="","",TEXT($B815,"0000"))</f>
        <v/>
      </c>
      <c r="W815" s="19">
        <f>IF($I815="","",IF(ISNUMBER($I815),TEXT($I815,"0"),$I815))</f>
        <v/>
      </c>
    </row>
    <row r="816">
      <c r="B816" s="25" t="n"/>
      <c r="I816" s="25" t="n"/>
      <c r="U816" s="19">
        <f>IF(AND($V816='設定'!$C$4,COUNTIF('商品マスタ'!$B$6:$B$1005,$W816)=0),N(U815)+1,N(U815))</f>
        <v/>
      </c>
      <c r="V816" s="19">
        <f>IF($B816="","",TEXT($B816,"0000"))</f>
        <v/>
      </c>
      <c r="W816" s="19">
        <f>IF($I816="","",IF(ISNUMBER($I816),TEXT($I816,"0"),$I816))</f>
        <v/>
      </c>
    </row>
    <row r="817">
      <c r="B817" s="25" t="n"/>
      <c r="I817" s="25" t="n"/>
      <c r="U817" s="19">
        <f>IF(AND($V817='設定'!$C$4,COUNTIF('商品マスタ'!$B$6:$B$1005,$W817)=0),N(U816)+1,N(U816))</f>
        <v/>
      </c>
      <c r="V817" s="19">
        <f>IF($B817="","",TEXT($B817,"0000"))</f>
        <v/>
      </c>
      <c r="W817" s="19">
        <f>IF($I817="","",IF(ISNUMBER($I817),TEXT($I817,"0"),$I817))</f>
        <v/>
      </c>
    </row>
    <row r="818">
      <c r="B818" s="25" t="n"/>
      <c r="I818" s="25" t="n"/>
      <c r="U818" s="19">
        <f>IF(AND($V818='設定'!$C$4,COUNTIF('商品マスタ'!$B$6:$B$1005,$W818)=0),N(U817)+1,N(U817))</f>
        <v/>
      </c>
      <c r="V818" s="19">
        <f>IF($B818="","",TEXT($B818,"0000"))</f>
        <v/>
      </c>
      <c r="W818" s="19">
        <f>IF($I818="","",IF(ISNUMBER($I818),TEXT($I818,"0"),$I818))</f>
        <v/>
      </c>
    </row>
    <row r="819">
      <c r="B819" s="25" t="n"/>
      <c r="I819" s="25" t="n"/>
      <c r="U819" s="19">
        <f>IF(AND($V819='設定'!$C$4,COUNTIF('商品マスタ'!$B$6:$B$1005,$W819)=0),N(U818)+1,N(U818))</f>
        <v/>
      </c>
      <c r="V819" s="19">
        <f>IF($B819="","",TEXT($B819,"0000"))</f>
        <v/>
      </c>
      <c r="W819" s="19">
        <f>IF($I819="","",IF(ISNUMBER($I819),TEXT($I819,"0"),$I819))</f>
        <v/>
      </c>
    </row>
    <row r="820">
      <c r="B820" s="25" t="n"/>
      <c r="I820" s="25" t="n"/>
      <c r="U820" s="19">
        <f>IF(AND($V820='設定'!$C$4,COUNTIF('商品マスタ'!$B$6:$B$1005,$W820)=0),N(U819)+1,N(U819))</f>
        <v/>
      </c>
      <c r="V820" s="19">
        <f>IF($B820="","",TEXT($B820,"0000"))</f>
        <v/>
      </c>
      <c r="W820" s="19">
        <f>IF($I820="","",IF(ISNUMBER($I820),TEXT($I820,"0"),$I820))</f>
        <v/>
      </c>
    </row>
    <row r="821">
      <c r="B821" s="25" t="n"/>
      <c r="I821" s="25" t="n"/>
      <c r="U821" s="19">
        <f>IF(AND($V821='設定'!$C$4,COUNTIF('商品マスタ'!$B$6:$B$1005,$W821)=0),N(U820)+1,N(U820))</f>
        <v/>
      </c>
      <c r="V821" s="19">
        <f>IF($B821="","",TEXT($B821,"0000"))</f>
        <v/>
      </c>
      <c r="W821" s="19">
        <f>IF($I821="","",IF(ISNUMBER($I821),TEXT($I821,"0"),$I821))</f>
        <v/>
      </c>
    </row>
    <row r="822">
      <c r="B822" s="25" t="n"/>
      <c r="I822" s="25" t="n"/>
      <c r="U822" s="19">
        <f>IF(AND($V822='設定'!$C$4,COUNTIF('商品マスタ'!$B$6:$B$1005,$W822)=0),N(U821)+1,N(U821))</f>
        <v/>
      </c>
      <c r="V822" s="19">
        <f>IF($B822="","",TEXT($B822,"0000"))</f>
        <v/>
      </c>
      <c r="W822" s="19">
        <f>IF($I822="","",IF(ISNUMBER($I822),TEXT($I822,"0"),$I822))</f>
        <v/>
      </c>
    </row>
    <row r="823">
      <c r="B823" s="25" t="n"/>
      <c r="I823" s="25" t="n"/>
      <c r="U823" s="19">
        <f>IF(AND($V823='設定'!$C$4,COUNTIF('商品マスタ'!$B$6:$B$1005,$W823)=0),N(U822)+1,N(U822))</f>
        <v/>
      </c>
      <c r="V823" s="19">
        <f>IF($B823="","",TEXT($B823,"0000"))</f>
        <v/>
      </c>
      <c r="W823" s="19">
        <f>IF($I823="","",IF(ISNUMBER($I823),TEXT($I823,"0"),$I823))</f>
        <v/>
      </c>
    </row>
    <row r="824">
      <c r="B824" s="25" t="n"/>
      <c r="I824" s="25" t="n"/>
      <c r="U824" s="19">
        <f>IF(AND($V824='設定'!$C$4,COUNTIF('商品マスタ'!$B$6:$B$1005,$W824)=0),N(U823)+1,N(U823))</f>
        <v/>
      </c>
      <c r="V824" s="19">
        <f>IF($B824="","",TEXT($B824,"0000"))</f>
        <v/>
      </c>
      <c r="W824" s="19">
        <f>IF($I824="","",IF(ISNUMBER($I824),TEXT($I824,"0"),$I824))</f>
        <v/>
      </c>
    </row>
    <row r="825">
      <c r="B825" s="25" t="n"/>
      <c r="I825" s="25" t="n"/>
      <c r="U825" s="19">
        <f>IF(AND($V825='設定'!$C$4,COUNTIF('商品マスタ'!$B$6:$B$1005,$W825)=0),N(U824)+1,N(U824))</f>
        <v/>
      </c>
      <c r="V825" s="19">
        <f>IF($B825="","",TEXT($B825,"0000"))</f>
        <v/>
      </c>
      <c r="W825" s="19">
        <f>IF($I825="","",IF(ISNUMBER($I825),TEXT($I825,"0"),$I825))</f>
        <v/>
      </c>
    </row>
    <row r="826">
      <c r="B826" s="25" t="n"/>
      <c r="I826" s="25" t="n"/>
      <c r="U826" s="19">
        <f>IF(AND($V826='設定'!$C$4,COUNTIF('商品マスタ'!$B$6:$B$1005,$W826)=0),N(U825)+1,N(U825))</f>
        <v/>
      </c>
      <c r="V826" s="19">
        <f>IF($B826="","",TEXT($B826,"0000"))</f>
        <v/>
      </c>
      <c r="W826" s="19">
        <f>IF($I826="","",IF(ISNUMBER($I826),TEXT($I826,"0"),$I826))</f>
        <v/>
      </c>
    </row>
    <row r="827">
      <c r="B827" s="25" t="n"/>
      <c r="I827" s="25" t="n"/>
      <c r="U827" s="19">
        <f>IF(AND($V827='設定'!$C$4,COUNTIF('商品マスタ'!$B$6:$B$1005,$W827)=0),N(U826)+1,N(U826))</f>
        <v/>
      </c>
      <c r="V827" s="19">
        <f>IF($B827="","",TEXT($B827,"0000"))</f>
        <v/>
      </c>
      <c r="W827" s="19">
        <f>IF($I827="","",IF(ISNUMBER($I827),TEXT($I827,"0"),$I827))</f>
        <v/>
      </c>
    </row>
    <row r="828">
      <c r="B828" s="25" t="n"/>
      <c r="I828" s="25" t="n"/>
      <c r="U828" s="19">
        <f>IF(AND($V828='設定'!$C$4,COUNTIF('商品マスタ'!$B$6:$B$1005,$W828)=0),N(U827)+1,N(U827))</f>
        <v/>
      </c>
      <c r="V828" s="19">
        <f>IF($B828="","",TEXT($B828,"0000"))</f>
        <v/>
      </c>
      <c r="W828" s="19">
        <f>IF($I828="","",IF(ISNUMBER($I828),TEXT($I828,"0"),$I828))</f>
        <v/>
      </c>
    </row>
    <row r="829">
      <c r="B829" s="25" t="n"/>
      <c r="I829" s="25" t="n"/>
      <c r="U829" s="19">
        <f>IF(AND($V829='設定'!$C$4,COUNTIF('商品マスタ'!$B$6:$B$1005,$W829)=0),N(U828)+1,N(U828))</f>
        <v/>
      </c>
      <c r="V829" s="19">
        <f>IF($B829="","",TEXT($B829,"0000"))</f>
        <v/>
      </c>
      <c r="W829" s="19">
        <f>IF($I829="","",IF(ISNUMBER($I829),TEXT($I829,"0"),$I829))</f>
        <v/>
      </c>
    </row>
    <row r="830">
      <c r="B830" s="25" t="n"/>
      <c r="I830" s="25" t="n"/>
      <c r="U830" s="19">
        <f>IF(AND($V830='設定'!$C$4,COUNTIF('商品マスタ'!$B$6:$B$1005,$W830)=0),N(U829)+1,N(U829))</f>
        <v/>
      </c>
      <c r="V830" s="19">
        <f>IF($B830="","",TEXT($B830,"0000"))</f>
        <v/>
      </c>
      <c r="W830" s="19">
        <f>IF($I830="","",IF(ISNUMBER($I830),TEXT($I830,"0"),$I830))</f>
        <v/>
      </c>
    </row>
    <row r="831">
      <c r="B831" s="25" t="n"/>
      <c r="I831" s="25" t="n"/>
      <c r="U831" s="19">
        <f>IF(AND($V831='設定'!$C$4,COUNTIF('商品マスタ'!$B$6:$B$1005,$W831)=0),N(U830)+1,N(U830))</f>
        <v/>
      </c>
      <c r="V831" s="19">
        <f>IF($B831="","",TEXT($B831,"0000"))</f>
        <v/>
      </c>
      <c r="W831" s="19">
        <f>IF($I831="","",IF(ISNUMBER($I831),TEXT($I831,"0"),$I831))</f>
        <v/>
      </c>
    </row>
    <row r="832">
      <c r="B832" s="25" t="n"/>
      <c r="I832" s="25" t="n"/>
      <c r="U832" s="19">
        <f>IF(AND($V832='設定'!$C$4,COUNTIF('商品マスタ'!$B$6:$B$1005,$W832)=0),N(U831)+1,N(U831))</f>
        <v/>
      </c>
      <c r="V832" s="19">
        <f>IF($B832="","",TEXT($B832,"0000"))</f>
        <v/>
      </c>
      <c r="W832" s="19">
        <f>IF($I832="","",IF(ISNUMBER($I832),TEXT($I832,"0"),$I832))</f>
        <v/>
      </c>
    </row>
    <row r="833">
      <c r="B833" s="25" t="n"/>
      <c r="I833" s="25" t="n"/>
      <c r="U833" s="19">
        <f>IF(AND($V833='設定'!$C$4,COUNTIF('商品マスタ'!$B$6:$B$1005,$W833)=0),N(U832)+1,N(U832))</f>
        <v/>
      </c>
      <c r="V833" s="19">
        <f>IF($B833="","",TEXT($B833,"0000"))</f>
        <v/>
      </c>
      <c r="W833" s="19">
        <f>IF($I833="","",IF(ISNUMBER($I833),TEXT($I833,"0"),$I833))</f>
        <v/>
      </c>
    </row>
    <row r="834">
      <c r="B834" s="25" t="n"/>
      <c r="I834" s="25" t="n"/>
      <c r="U834" s="19">
        <f>IF(AND($V834='設定'!$C$4,COUNTIF('商品マスタ'!$B$6:$B$1005,$W834)=0),N(U833)+1,N(U833))</f>
        <v/>
      </c>
      <c r="V834" s="19">
        <f>IF($B834="","",TEXT($B834,"0000"))</f>
        <v/>
      </c>
      <c r="W834" s="19">
        <f>IF($I834="","",IF(ISNUMBER($I834),TEXT($I834,"0"),$I834))</f>
        <v/>
      </c>
    </row>
    <row r="835">
      <c r="B835" s="25" t="n"/>
      <c r="I835" s="25" t="n"/>
      <c r="U835" s="19">
        <f>IF(AND($V835='設定'!$C$4,COUNTIF('商品マスタ'!$B$6:$B$1005,$W835)=0),N(U834)+1,N(U834))</f>
        <v/>
      </c>
      <c r="V835" s="19">
        <f>IF($B835="","",TEXT($B835,"0000"))</f>
        <v/>
      </c>
      <c r="W835" s="19">
        <f>IF($I835="","",IF(ISNUMBER($I835),TEXT($I835,"0"),$I835))</f>
        <v/>
      </c>
    </row>
    <row r="836">
      <c r="B836" s="25" t="n"/>
      <c r="I836" s="25" t="n"/>
      <c r="U836" s="19">
        <f>IF(AND($V836='設定'!$C$4,COUNTIF('商品マスタ'!$B$6:$B$1005,$W836)=0),N(U835)+1,N(U835))</f>
        <v/>
      </c>
      <c r="V836" s="19">
        <f>IF($B836="","",TEXT($B836,"0000"))</f>
        <v/>
      </c>
      <c r="W836" s="19">
        <f>IF($I836="","",IF(ISNUMBER($I836),TEXT($I836,"0"),$I836))</f>
        <v/>
      </c>
    </row>
    <row r="837">
      <c r="B837" s="25" t="n"/>
      <c r="I837" s="25" t="n"/>
      <c r="U837" s="19">
        <f>IF(AND($V837='設定'!$C$4,COUNTIF('商品マスタ'!$B$6:$B$1005,$W837)=0),N(U836)+1,N(U836))</f>
        <v/>
      </c>
      <c r="V837" s="19">
        <f>IF($B837="","",TEXT($B837,"0000"))</f>
        <v/>
      </c>
      <c r="W837" s="19">
        <f>IF($I837="","",IF(ISNUMBER($I837),TEXT($I837,"0"),$I837))</f>
        <v/>
      </c>
    </row>
    <row r="838">
      <c r="B838" s="25" t="n"/>
      <c r="I838" s="25" t="n"/>
      <c r="U838" s="19">
        <f>IF(AND($V838='設定'!$C$4,COUNTIF('商品マスタ'!$B$6:$B$1005,$W838)=0),N(U837)+1,N(U837))</f>
        <v/>
      </c>
      <c r="V838" s="19">
        <f>IF($B838="","",TEXT($B838,"0000"))</f>
        <v/>
      </c>
      <c r="W838" s="19">
        <f>IF($I838="","",IF(ISNUMBER($I838),TEXT($I838,"0"),$I838))</f>
        <v/>
      </c>
    </row>
    <row r="839">
      <c r="B839" s="25" t="n"/>
      <c r="I839" s="25" t="n"/>
      <c r="U839" s="19">
        <f>IF(AND($V839='設定'!$C$4,COUNTIF('商品マスタ'!$B$6:$B$1005,$W839)=0),N(U838)+1,N(U838))</f>
        <v/>
      </c>
      <c r="V839" s="19">
        <f>IF($B839="","",TEXT($B839,"0000"))</f>
        <v/>
      </c>
      <c r="W839" s="19">
        <f>IF($I839="","",IF(ISNUMBER($I839),TEXT($I839,"0"),$I839))</f>
        <v/>
      </c>
    </row>
    <row r="840">
      <c r="B840" s="25" t="n"/>
      <c r="I840" s="25" t="n"/>
      <c r="U840" s="19">
        <f>IF(AND($V840='設定'!$C$4,COUNTIF('商品マスタ'!$B$6:$B$1005,$W840)=0),N(U839)+1,N(U839))</f>
        <v/>
      </c>
      <c r="V840" s="19">
        <f>IF($B840="","",TEXT($B840,"0000"))</f>
        <v/>
      </c>
      <c r="W840" s="19">
        <f>IF($I840="","",IF(ISNUMBER($I840),TEXT($I840,"0"),$I840))</f>
        <v/>
      </c>
    </row>
    <row r="841">
      <c r="B841" s="25" t="n"/>
      <c r="I841" s="25" t="n"/>
      <c r="U841" s="19">
        <f>IF(AND($V841='設定'!$C$4,COUNTIF('商品マスタ'!$B$6:$B$1005,$W841)=0),N(U840)+1,N(U840))</f>
        <v/>
      </c>
      <c r="V841" s="19">
        <f>IF($B841="","",TEXT($B841,"0000"))</f>
        <v/>
      </c>
      <c r="W841" s="19">
        <f>IF($I841="","",IF(ISNUMBER($I841),TEXT($I841,"0"),$I841))</f>
        <v/>
      </c>
    </row>
    <row r="842">
      <c r="B842" s="25" t="n"/>
      <c r="I842" s="25" t="n"/>
      <c r="U842" s="19">
        <f>IF(AND($V842='設定'!$C$4,COUNTIF('商品マスタ'!$B$6:$B$1005,$W842)=0),N(U841)+1,N(U841))</f>
        <v/>
      </c>
      <c r="V842" s="19">
        <f>IF($B842="","",TEXT($B842,"0000"))</f>
        <v/>
      </c>
      <c r="W842" s="19">
        <f>IF($I842="","",IF(ISNUMBER($I842),TEXT($I842,"0"),$I842))</f>
        <v/>
      </c>
    </row>
    <row r="843">
      <c r="B843" s="25" t="n"/>
      <c r="I843" s="25" t="n"/>
      <c r="U843" s="19">
        <f>IF(AND($V843='設定'!$C$4,COUNTIF('商品マスタ'!$B$6:$B$1005,$W843)=0),N(U842)+1,N(U842))</f>
        <v/>
      </c>
      <c r="V843" s="19">
        <f>IF($B843="","",TEXT($B843,"0000"))</f>
        <v/>
      </c>
      <c r="W843" s="19">
        <f>IF($I843="","",IF(ISNUMBER($I843),TEXT($I843,"0"),$I843))</f>
        <v/>
      </c>
    </row>
    <row r="844">
      <c r="B844" s="25" t="n"/>
      <c r="I844" s="25" t="n"/>
      <c r="U844" s="19">
        <f>IF(AND($V844='設定'!$C$4,COUNTIF('商品マスタ'!$B$6:$B$1005,$W844)=0),N(U843)+1,N(U843))</f>
        <v/>
      </c>
      <c r="V844" s="19">
        <f>IF($B844="","",TEXT($B844,"0000"))</f>
        <v/>
      </c>
      <c r="W844" s="19">
        <f>IF($I844="","",IF(ISNUMBER($I844),TEXT($I844,"0"),$I844))</f>
        <v/>
      </c>
    </row>
    <row r="845">
      <c r="B845" s="25" t="n"/>
      <c r="I845" s="25" t="n"/>
      <c r="U845" s="19">
        <f>IF(AND($V845='設定'!$C$4,COUNTIF('商品マスタ'!$B$6:$B$1005,$W845)=0),N(U844)+1,N(U844))</f>
        <v/>
      </c>
      <c r="V845" s="19">
        <f>IF($B845="","",TEXT($B845,"0000"))</f>
        <v/>
      </c>
      <c r="W845" s="19">
        <f>IF($I845="","",IF(ISNUMBER($I845),TEXT($I845,"0"),$I845))</f>
        <v/>
      </c>
    </row>
    <row r="846">
      <c r="B846" s="25" t="n"/>
      <c r="I846" s="25" t="n"/>
      <c r="U846" s="19">
        <f>IF(AND($V846='設定'!$C$4,COUNTIF('商品マスタ'!$B$6:$B$1005,$W846)=0),N(U845)+1,N(U845))</f>
        <v/>
      </c>
      <c r="V846" s="19">
        <f>IF($B846="","",TEXT($B846,"0000"))</f>
        <v/>
      </c>
      <c r="W846" s="19">
        <f>IF($I846="","",IF(ISNUMBER($I846),TEXT($I846,"0"),$I846))</f>
        <v/>
      </c>
    </row>
    <row r="847">
      <c r="B847" s="25" t="n"/>
      <c r="I847" s="25" t="n"/>
      <c r="U847" s="19">
        <f>IF(AND($V847='設定'!$C$4,COUNTIF('商品マスタ'!$B$6:$B$1005,$W847)=0),N(U846)+1,N(U846))</f>
        <v/>
      </c>
      <c r="V847" s="19">
        <f>IF($B847="","",TEXT($B847,"0000"))</f>
        <v/>
      </c>
      <c r="W847" s="19">
        <f>IF($I847="","",IF(ISNUMBER($I847),TEXT($I847,"0"),$I847))</f>
        <v/>
      </c>
    </row>
    <row r="848">
      <c r="B848" s="25" t="n"/>
      <c r="I848" s="25" t="n"/>
      <c r="U848" s="19">
        <f>IF(AND($V848='設定'!$C$4,COUNTIF('商品マスタ'!$B$6:$B$1005,$W848)=0),N(U847)+1,N(U847))</f>
        <v/>
      </c>
      <c r="V848" s="19">
        <f>IF($B848="","",TEXT($B848,"0000"))</f>
        <v/>
      </c>
      <c r="W848" s="19">
        <f>IF($I848="","",IF(ISNUMBER($I848),TEXT($I848,"0"),$I848))</f>
        <v/>
      </c>
    </row>
    <row r="849">
      <c r="B849" s="25" t="n"/>
      <c r="I849" s="25" t="n"/>
      <c r="U849" s="19">
        <f>IF(AND($V849='設定'!$C$4,COUNTIF('商品マスタ'!$B$6:$B$1005,$W849)=0),N(U848)+1,N(U848))</f>
        <v/>
      </c>
      <c r="V849" s="19">
        <f>IF($B849="","",TEXT($B849,"0000"))</f>
        <v/>
      </c>
      <c r="W849" s="19">
        <f>IF($I849="","",IF(ISNUMBER($I849),TEXT($I849,"0"),$I849))</f>
        <v/>
      </c>
    </row>
    <row r="850">
      <c r="B850" s="25" t="n"/>
      <c r="I850" s="25" t="n"/>
      <c r="U850" s="19">
        <f>IF(AND($V850='設定'!$C$4,COUNTIF('商品マスタ'!$B$6:$B$1005,$W850)=0),N(U849)+1,N(U849))</f>
        <v/>
      </c>
      <c r="V850" s="19">
        <f>IF($B850="","",TEXT($B850,"0000"))</f>
        <v/>
      </c>
      <c r="W850" s="19">
        <f>IF($I850="","",IF(ISNUMBER($I850),TEXT($I850,"0"),$I850))</f>
        <v/>
      </c>
    </row>
    <row r="851">
      <c r="B851" s="25" t="n"/>
      <c r="I851" s="25" t="n"/>
      <c r="U851" s="19">
        <f>IF(AND($V851='設定'!$C$4,COUNTIF('商品マスタ'!$B$6:$B$1005,$W851)=0),N(U850)+1,N(U850))</f>
        <v/>
      </c>
      <c r="V851" s="19">
        <f>IF($B851="","",TEXT($B851,"0000"))</f>
        <v/>
      </c>
      <c r="W851" s="19">
        <f>IF($I851="","",IF(ISNUMBER($I851),TEXT($I851,"0"),$I851))</f>
        <v/>
      </c>
    </row>
    <row r="852">
      <c r="B852" s="25" t="n"/>
      <c r="I852" s="25" t="n"/>
      <c r="U852" s="19">
        <f>IF(AND($V852='設定'!$C$4,COUNTIF('商品マスタ'!$B$6:$B$1005,$W852)=0),N(U851)+1,N(U851))</f>
        <v/>
      </c>
      <c r="V852" s="19">
        <f>IF($B852="","",TEXT($B852,"0000"))</f>
        <v/>
      </c>
      <c r="W852" s="19">
        <f>IF($I852="","",IF(ISNUMBER($I852),TEXT($I852,"0"),$I852))</f>
        <v/>
      </c>
    </row>
    <row r="853">
      <c r="B853" s="25" t="n"/>
      <c r="I853" s="25" t="n"/>
      <c r="U853" s="19">
        <f>IF(AND($V853='設定'!$C$4,COUNTIF('商品マスタ'!$B$6:$B$1005,$W853)=0),N(U852)+1,N(U852))</f>
        <v/>
      </c>
      <c r="V853" s="19">
        <f>IF($B853="","",TEXT($B853,"0000"))</f>
        <v/>
      </c>
      <c r="W853" s="19">
        <f>IF($I853="","",IF(ISNUMBER($I853),TEXT($I853,"0"),$I853))</f>
        <v/>
      </c>
    </row>
    <row r="854">
      <c r="B854" s="25" t="n"/>
      <c r="I854" s="25" t="n"/>
      <c r="U854" s="19">
        <f>IF(AND($V854='設定'!$C$4,COUNTIF('商品マスタ'!$B$6:$B$1005,$W854)=0),N(U853)+1,N(U853))</f>
        <v/>
      </c>
      <c r="V854" s="19">
        <f>IF($B854="","",TEXT($B854,"0000"))</f>
        <v/>
      </c>
      <c r="W854" s="19">
        <f>IF($I854="","",IF(ISNUMBER($I854),TEXT($I854,"0"),$I854))</f>
        <v/>
      </c>
    </row>
    <row r="855">
      <c r="B855" s="25" t="n"/>
      <c r="I855" s="25" t="n"/>
      <c r="U855" s="19">
        <f>IF(AND($V855='設定'!$C$4,COUNTIF('商品マスタ'!$B$6:$B$1005,$W855)=0),N(U854)+1,N(U854))</f>
        <v/>
      </c>
      <c r="V855" s="19">
        <f>IF($B855="","",TEXT($B855,"0000"))</f>
        <v/>
      </c>
      <c r="W855" s="19">
        <f>IF($I855="","",IF(ISNUMBER($I855),TEXT($I855,"0"),$I855))</f>
        <v/>
      </c>
    </row>
    <row r="856">
      <c r="B856" s="25" t="n"/>
      <c r="I856" s="25" t="n"/>
      <c r="U856" s="19">
        <f>IF(AND($V856='設定'!$C$4,COUNTIF('商品マスタ'!$B$6:$B$1005,$W856)=0),N(U855)+1,N(U855))</f>
        <v/>
      </c>
      <c r="V856" s="19">
        <f>IF($B856="","",TEXT($B856,"0000"))</f>
        <v/>
      </c>
      <c r="W856" s="19">
        <f>IF($I856="","",IF(ISNUMBER($I856),TEXT($I856,"0"),$I856))</f>
        <v/>
      </c>
    </row>
    <row r="857">
      <c r="B857" s="25" t="n"/>
      <c r="I857" s="25" t="n"/>
      <c r="U857" s="19">
        <f>IF(AND($V857='設定'!$C$4,COUNTIF('商品マスタ'!$B$6:$B$1005,$W857)=0),N(U856)+1,N(U856))</f>
        <v/>
      </c>
      <c r="V857" s="19">
        <f>IF($B857="","",TEXT($B857,"0000"))</f>
        <v/>
      </c>
      <c r="W857" s="19">
        <f>IF($I857="","",IF(ISNUMBER($I857),TEXT($I857,"0"),$I857))</f>
        <v/>
      </c>
    </row>
    <row r="858">
      <c r="B858" s="25" t="n"/>
      <c r="I858" s="25" t="n"/>
      <c r="U858" s="19">
        <f>IF(AND($V858='設定'!$C$4,COUNTIF('商品マスタ'!$B$6:$B$1005,$W858)=0),N(U857)+1,N(U857))</f>
        <v/>
      </c>
      <c r="V858" s="19">
        <f>IF($B858="","",TEXT($B858,"0000"))</f>
        <v/>
      </c>
      <c r="W858" s="19">
        <f>IF($I858="","",IF(ISNUMBER($I858),TEXT($I858,"0"),$I858))</f>
        <v/>
      </c>
    </row>
    <row r="859">
      <c r="B859" s="25" t="n"/>
      <c r="I859" s="25" t="n"/>
      <c r="U859" s="19">
        <f>IF(AND($V859='設定'!$C$4,COUNTIF('商品マスタ'!$B$6:$B$1005,$W859)=0),N(U858)+1,N(U858))</f>
        <v/>
      </c>
      <c r="V859" s="19">
        <f>IF($B859="","",TEXT($B859,"0000"))</f>
        <v/>
      </c>
      <c r="W859" s="19">
        <f>IF($I859="","",IF(ISNUMBER($I859),TEXT($I859,"0"),$I859))</f>
        <v/>
      </c>
    </row>
    <row r="860">
      <c r="B860" s="25" t="n"/>
      <c r="I860" s="25" t="n"/>
      <c r="U860" s="19">
        <f>IF(AND($V860='設定'!$C$4,COUNTIF('商品マスタ'!$B$6:$B$1005,$W860)=0),N(U859)+1,N(U859))</f>
        <v/>
      </c>
      <c r="V860" s="19">
        <f>IF($B860="","",TEXT($B860,"0000"))</f>
        <v/>
      </c>
      <c r="W860" s="19">
        <f>IF($I860="","",IF(ISNUMBER($I860),TEXT($I860,"0"),$I860))</f>
        <v/>
      </c>
    </row>
    <row r="861">
      <c r="B861" s="25" t="n"/>
      <c r="I861" s="25" t="n"/>
      <c r="U861" s="19">
        <f>IF(AND($V861='設定'!$C$4,COUNTIF('商品マスタ'!$B$6:$B$1005,$W861)=0),N(U860)+1,N(U860))</f>
        <v/>
      </c>
      <c r="V861" s="19">
        <f>IF($B861="","",TEXT($B861,"0000"))</f>
        <v/>
      </c>
      <c r="W861" s="19">
        <f>IF($I861="","",IF(ISNUMBER($I861),TEXT($I861,"0"),$I861))</f>
        <v/>
      </c>
    </row>
    <row r="862">
      <c r="B862" s="25" t="n"/>
      <c r="I862" s="25" t="n"/>
      <c r="U862" s="19">
        <f>IF(AND($V862='設定'!$C$4,COUNTIF('商品マスタ'!$B$6:$B$1005,$W862)=0),N(U861)+1,N(U861))</f>
        <v/>
      </c>
      <c r="V862" s="19">
        <f>IF($B862="","",TEXT($B862,"0000"))</f>
        <v/>
      </c>
      <c r="W862" s="19">
        <f>IF($I862="","",IF(ISNUMBER($I862),TEXT($I862,"0"),$I862))</f>
        <v/>
      </c>
    </row>
    <row r="863">
      <c r="B863" s="25" t="n"/>
      <c r="I863" s="25" t="n"/>
      <c r="U863" s="19">
        <f>IF(AND($V863='設定'!$C$4,COUNTIF('商品マスタ'!$B$6:$B$1005,$W863)=0),N(U862)+1,N(U862))</f>
        <v/>
      </c>
      <c r="V863" s="19">
        <f>IF($B863="","",TEXT($B863,"0000"))</f>
        <v/>
      </c>
      <c r="W863" s="19">
        <f>IF($I863="","",IF(ISNUMBER($I863),TEXT($I863,"0"),$I863))</f>
        <v/>
      </c>
    </row>
    <row r="864">
      <c r="B864" s="25" t="n"/>
      <c r="I864" s="25" t="n"/>
      <c r="U864" s="19">
        <f>IF(AND($V864='設定'!$C$4,COUNTIF('商品マスタ'!$B$6:$B$1005,$W864)=0),N(U863)+1,N(U863))</f>
        <v/>
      </c>
      <c r="V864" s="19">
        <f>IF($B864="","",TEXT($B864,"0000"))</f>
        <v/>
      </c>
      <c r="W864" s="19">
        <f>IF($I864="","",IF(ISNUMBER($I864),TEXT($I864,"0"),$I864))</f>
        <v/>
      </c>
    </row>
    <row r="865">
      <c r="B865" s="25" t="n"/>
      <c r="I865" s="25" t="n"/>
      <c r="U865" s="19">
        <f>IF(AND($V865='設定'!$C$4,COUNTIF('商品マスタ'!$B$6:$B$1005,$W865)=0),N(U864)+1,N(U864))</f>
        <v/>
      </c>
      <c r="V865" s="19">
        <f>IF($B865="","",TEXT($B865,"0000"))</f>
        <v/>
      </c>
      <c r="W865" s="19">
        <f>IF($I865="","",IF(ISNUMBER($I865),TEXT($I865,"0"),$I865))</f>
        <v/>
      </c>
    </row>
    <row r="866">
      <c r="B866" s="25" t="n"/>
      <c r="I866" s="25" t="n"/>
      <c r="U866" s="19">
        <f>IF(AND($V866='設定'!$C$4,COUNTIF('商品マスタ'!$B$6:$B$1005,$W866)=0),N(U865)+1,N(U865))</f>
        <v/>
      </c>
      <c r="V866" s="19">
        <f>IF($B866="","",TEXT($B866,"0000"))</f>
        <v/>
      </c>
      <c r="W866" s="19">
        <f>IF($I866="","",IF(ISNUMBER($I866),TEXT($I866,"0"),$I866))</f>
        <v/>
      </c>
    </row>
    <row r="867">
      <c r="B867" s="25" t="n"/>
      <c r="I867" s="25" t="n"/>
      <c r="U867" s="19">
        <f>IF(AND($V867='設定'!$C$4,COUNTIF('商品マスタ'!$B$6:$B$1005,$W867)=0),N(U866)+1,N(U866))</f>
        <v/>
      </c>
      <c r="V867" s="19">
        <f>IF($B867="","",TEXT($B867,"0000"))</f>
        <v/>
      </c>
      <c r="W867" s="19">
        <f>IF($I867="","",IF(ISNUMBER($I867),TEXT($I867,"0"),$I867))</f>
        <v/>
      </c>
    </row>
    <row r="868">
      <c r="B868" s="25" t="n"/>
      <c r="I868" s="25" t="n"/>
      <c r="U868" s="19">
        <f>IF(AND($V868='設定'!$C$4,COUNTIF('商品マスタ'!$B$6:$B$1005,$W868)=0),N(U867)+1,N(U867))</f>
        <v/>
      </c>
      <c r="V868" s="19">
        <f>IF($B868="","",TEXT($B868,"0000"))</f>
        <v/>
      </c>
      <c r="W868" s="19">
        <f>IF($I868="","",IF(ISNUMBER($I868),TEXT($I868,"0"),$I868))</f>
        <v/>
      </c>
    </row>
    <row r="869">
      <c r="B869" s="25" t="n"/>
      <c r="I869" s="25" t="n"/>
      <c r="U869" s="19">
        <f>IF(AND($V869='設定'!$C$4,COUNTIF('商品マスタ'!$B$6:$B$1005,$W869)=0),N(U868)+1,N(U868))</f>
        <v/>
      </c>
      <c r="V869" s="19">
        <f>IF($B869="","",TEXT($B869,"0000"))</f>
        <v/>
      </c>
      <c r="W869" s="19">
        <f>IF($I869="","",IF(ISNUMBER($I869),TEXT($I869,"0"),$I869))</f>
        <v/>
      </c>
    </row>
    <row r="870">
      <c r="B870" s="25" t="n"/>
      <c r="I870" s="25" t="n"/>
      <c r="U870" s="19">
        <f>IF(AND($V870='設定'!$C$4,COUNTIF('商品マスタ'!$B$6:$B$1005,$W870)=0),N(U869)+1,N(U869))</f>
        <v/>
      </c>
      <c r="V870" s="19">
        <f>IF($B870="","",TEXT($B870,"0000"))</f>
        <v/>
      </c>
      <c r="W870" s="19">
        <f>IF($I870="","",IF(ISNUMBER($I870),TEXT($I870,"0"),$I870))</f>
        <v/>
      </c>
    </row>
    <row r="871">
      <c r="B871" s="25" t="n"/>
      <c r="I871" s="25" t="n"/>
      <c r="U871" s="19">
        <f>IF(AND($V871='設定'!$C$4,COUNTIF('商品マスタ'!$B$6:$B$1005,$W871)=0),N(U870)+1,N(U870))</f>
        <v/>
      </c>
      <c r="V871" s="19">
        <f>IF($B871="","",TEXT($B871,"0000"))</f>
        <v/>
      </c>
      <c r="W871" s="19">
        <f>IF($I871="","",IF(ISNUMBER($I871),TEXT($I871,"0"),$I871))</f>
        <v/>
      </c>
    </row>
    <row r="872">
      <c r="B872" s="25" t="n"/>
      <c r="I872" s="25" t="n"/>
      <c r="U872" s="19">
        <f>IF(AND($V872='設定'!$C$4,COUNTIF('商品マスタ'!$B$6:$B$1005,$W872)=0),N(U871)+1,N(U871))</f>
        <v/>
      </c>
      <c r="V872" s="19">
        <f>IF($B872="","",TEXT($B872,"0000"))</f>
        <v/>
      </c>
      <c r="W872" s="19">
        <f>IF($I872="","",IF(ISNUMBER($I872),TEXT($I872,"0"),$I872))</f>
        <v/>
      </c>
    </row>
    <row r="873">
      <c r="B873" s="25" t="n"/>
      <c r="I873" s="25" t="n"/>
      <c r="U873" s="19">
        <f>IF(AND($V873='設定'!$C$4,COUNTIF('商品マスタ'!$B$6:$B$1005,$W873)=0),N(U872)+1,N(U872))</f>
        <v/>
      </c>
      <c r="V873" s="19">
        <f>IF($B873="","",TEXT($B873,"0000"))</f>
        <v/>
      </c>
      <c r="W873" s="19">
        <f>IF($I873="","",IF(ISNUMBER($I873),TEXT($I873,"0"),$I873))</f>
        <v/>
      </c>
    </row>
    <row r="874">
      <c r="B874" s="25" t="n"/>
      <c r="I874" s="25" t="n"/>
      <c r="U874" s="19">
        <f>IF(AND($V874='設定'!$C$4,COUNTIF('商品マスタ'!$B$6:$B$1005,$W874)=0),N(U873)+1,N(U873))</f>
        <v/>
      </c>
      <c r="V874" s="19">
        <f>IF($B874="","",TEXT($B874,"0000"))</f>
        <v/>
      </c>
      <c r="W874" s="19">
        <f>IF($I874="","",IF(ISNUMBER($I874),TEXT($I874,"0"),$I874))</f>
        <v/>
      </c>
    </row>
    <row r="875">
      <c r="B875" s="25" t="n"/>
      <c r="I875" s="25" t="n"/>
      <c r="U875" s="19">
        <f>IF(AND($V875='設定'!$C$4,COUNTIF('商品マスタ'!$B$6:$B$1005,$W875)=0),N(U874)+1,N(U874))</f>
        <v/>
      </c>
      <c r="V875" s="19">
        <f>IF($B875="","",TEXT($B875,"0000"))</f>
        <v/>
      </c>
      <c r="W875" s="19">
        <f>IF($I875="","",IF(ISNUMBER($I875),TEXT($I875,"0"),$I875))</f>
        <v/>
      </c>
    </row>
    <row r="876">
      <c r="B876" s="25" t="n"/>
      <c r="I876" s="25" t="n"/>
      <c r="U876" s="19">
        <f>IF(AND($V876='設定'!$C$4,COUNTIF('商品マスタ'!$B$6:$B$1005,$W876)=0),N(U875)+1,N(U875))</f>
        <v/>
      </c>
      <c r="V876" s="19">
        <f>IF($B876="","",TEXT($B876,"0000"))</f>
        <v/>
      </c>
      <c r="W876" s="19">
        <f>IF($I876="","",IF(ISNUMBER($I876),TEXT($I876,"0"),$I876))</f>
        <v/>
      </c>
    </row>
    <row r="877">
      <c r="B877" s="25" t="n"/>
      <c r="I877" s="25" t="n"/>
      <c r="U877" s="19">
        <f>IF(AND($V877='設定'!$C$4,COUNTIF('商品マスタ'!$B$6:$B$1005,$W877)=0),N(U876)+1,N(U876))</f>
        <v/>
      </c>
      <c r="V877" s="19">
        <f>IF($B877="","",TEXT($B877,"0000"))</f>
        <v/>
      </c>
      <c r="W877" s="19">
        <f>IF($I877="","",IF(ISNUMBER($I877),TEXT($I877,"0"),$I877))</f>
        <v/>
      </c>
    </row>
    <row r="878">
      <c r="B878" s="25" t="n"/>
      <c r="I878" s="25" t="n"/>
      <c r="U878" s="19">
        <f>IF(AND($V878='設定'!$C$4,COUNTIF('商品マスタ'!$B$6:$B$1005,$W878)=0),N(U877)+1,N(U877))</f>
        <v/>
      </c>
      <c r="V878" s="19">
        <f>IF($B878="","",TEXT($B878,"0000"))</f>
        <v/>
      </c>
      <c r="W878" s="19">
        <f>IF($I878="","",IF(ISNUMBER($I878),TEXT($I878,"0"),$I878))</f>
        <v/>
      </c>
    </row>
    <row r="879">
      <c r="B879" s="25" t="n"/>
      <c r="I879" s="25" t="n"/>
      <c r="U879" s="19">
        <f>IF(AND($V879='設定'!$C$4,COUNTIF('商品マスタ'!$B$6:$B$1005,$W879)=0),N(U878)+1,N(U878))</f>
        <v/>
      </c>
      <c r="V879" s="19">
        <f>IF($B879="","",TEXT($B879,"0000"))</f>
        <v/>
      </c>
      <c r="W879" s="19">
        <f>IF($I879="","",IF(ISNUMBER($I879),TEXT($I879,"0"),$I879))</f>
        <v/>
      </c>
    </row>
    <row r="880">
      <c r="B880" s="25" t="n"/>
      <c r="I880" s="25" t="n"/>
      <c r="U880" s="19">
        <f>IF(AND($V880='設定'!$C$4,COUNTIF('商品マスタ'!$B$6:$B$1005,$W880)=0),N(U879)+1,N(U879))</f>
        <v/>
      </c>
      <c r="V880" s="19">
        <f>IF($B880="","",TEXT($B880,"0000"))</f>
        <v/>
      </c>
      <c r="W880" s="19">
        <f>IF($I880="","",IF(ISNUMBER($I880),TEXT($I880,"0"),$I880))</f>
        <v/>
      </c>
    </row>
    <row r="881">
      <c r="B881" s="25" t="n"/>
      <c r="I881" s="25" t="n"/>
      <c r="U881" s="19">
        <f>IF(AND($V881='設定'!$C$4,COUNTIF('商品マスタ'!$B$6:$B$1005,$W881)=0),N(U880)+1,N(U880))</f>
        <v/>
      </c>
      <c r="V881" s="19">
        <f>IF($B881="","",TEXT($B881,"0000"))</f>
        <v/>
      </c>
      <c r="W881" s="19">
        <f>IF($I881="","",IF(ISNUMBER($I881),TEXT($I881,"0"),$I881))</f>
        <v/>
      </c>
    </row>
    <row r="882">
      <c r="B882" s="25" t="n"/>
      <c r="I882" s="25" t="n"/>
      <c r="U882" s="19">
        <f>IF(AND($V882='設定'!$C$4,COUNTIF('商品マスタ'!$B$6:$B$1005,$W882)=0),N(U881)+1,N(U881))</f>
        <v/>
      </c>
      <c r="V882" s="19">
        <f>IF($B882="","",TEXT($B882,"0000"))</f>
        <v/>
      </c>
      <c r="W882" s="19">
        <f>IF($I882="","",IF(ISNUMBER($I882),TEXT($I882,"0"),$I882))</f>
        <v/>
      </c>
    </row>
    <row r="883">
      <c r="B883" s="25" t="n"/>
      <c r="I883" s="25" t="n"/>
      <c r="U883" s="19">
        <f>IF(AND($V883='設定'!$C$4,COUNTIF('商品マスタ'!$B$6:$B$1005,$W883)=0),N(U882)+1,N(U882))</f>
        <v/>
      </c>
      <c r="V883" s="19">
        <f>IF($B883="","",TEXT($B883,"0000"))</f>
        <v/>
      </c>
      <c r="W883" s="19">
        <f>IF($I883="","",IF(ISNUMBER($I883),TEXT($I883,"0"),$I883))</f>
        <v/>
      </c>
    </row>
    <row r="884">
      <c r="B884" s="25" t="n"/>
      <c r="I884" s="25" t="n"/>
      <c r="U884" s="19">
        <f>IF(AND($V884='設定'!$C$4,COUNTIF('商品マスタ'!$B$6:$B$1005,$W884)=0),N(U883)+1,N(U883))</f>
        <v/>
      </c>
      <c r="V884" s="19">
        <f>IF($B884="","",TEXT($B884,"0000"))</f>
        <v/>
      </c>
      <c r="W884" s="19">
        <f>IF($I884="","",IF(ISNUMBER($I884),TEXT($I884,"0"),$I884))</f>
        <v/>
      </c>
    </row>
    <row r="885">
      <c r="B885" s="25" t="n"/>
      <c r="I885" s="25" t="n"/>
      <c r="U885" s="19">
        <f>IF(AND($V885='設定'!$C$4,COUNTIF('商品マスタ'!$B$6:$B$1005,$W885)=0),N(U884)+1,N(U884))</f>
        <v/>
      </c>
      <c r="V885" s="19">
        <f>IF($B885="","",TEXT($B885,"0000"))</f>
        <v/>
      </c>
      <c r="W885" s="19">
        <f>IF($I885="","",IF(ISNUMBER($I885),TEXT($I885,"0"),$I885))</f>
        <v/>
      </c>
    </row>
    <row r="886">
      <c r="B886" s="25" t="n"/>
      <c r="I886" s="25" t="n"/>
      <c r="U886" s="19">
        <f>IF(AND($V886='設定'!$C$4,COUNTIF('商品マスタ'!$B$6:$B$1005,$W886)=0),N(U885)+1,N(U885))</f>
        <v/>
      </c>
      <c r="V886" s="19">
        <f>IF($B886="","",TEXT($B886,"0000"))</f>
        <v/>
      </c>
      <c r="W886" s="19">
        <f>IF($I886="","",IF(ISNUMBER($I886),TEXT($I886,"0"),$I886))</f>
        <v/>
      </c>
    </row>
    <row r="887">
      <c r="B887" s="25" t="n"/>
      <c r="I887" s="25" t="n"/>
      <c r="U887" s="19">
        <f>IF(AND($V887='設定'!$C$4,COUNTIF('商品マスタ'!$B$6:$B$1005,$W887)=0),N(U886)+1,N(U886))</f>
        <v/>
      </c>
      <c r="V887" s="19">
        <f>IF($B887="","",TEXT($B887,"0000"))</f>
        <v/>
      </c>
      <c r="W887" s="19">
        <f>IF($I887="","",IF(ISNUMBER($I887),TEXT($I887,"0"),$I887))</f>
        <v/>
      </c>
    </row>
    <row r="888">
      <c r="B888" s="25" t="n"/>
      <c r="I888" s="25" t="n"/>
      <c r="U888" s="19">
        <f>IF(AND($V888='設定'!$C$4,COUNTIF('商品マスタ'!$B$6:$B$1005,$W888)=0),N(U887)+1,N(U887))</f>
        <v/>
      </c>
      <c r="V888" s="19">
        <f>IF($B888="","",TEXT($B888,"0000"))</f>
        <v/>
      </c>
      <c r="W888" s="19">
        <f>IF($I888="","",IF(ISNUMBER($I888),TEXT($I888,"0"),$I888))</f>
        <v/>
      </c>
    </row>
    <row r="889">
      <c r="B889" s="25" t="n"/>
      <c r="I889" s="25" t="n"/>
      <c r="U889" s="19">
        <f>IF(AND($V889='設定'!$C$4,COUNTIF('商品マスタ'!$B$6:$B$1005,$W889)=0),N(U888)+1,N(U888))</f>
        <v/>
      </c>
      <c r="V889" s="19">
        <f>IF($B889="","",TEXT($B889,"0000"))</f>
        <v/>
      </c>
      <c r="W889" s="19">
        <f>IF($I889="","",IF(ISNUMBER($I889),TEXT($I889,"0"),$I889))</f>
        <v/>
      </c>
    </row>
    <row r="890">
      <c r="B890" s="25" t="n"/>
      <c r="I890" s="25" t="n"/>
      <c r="U890" s="19">
        <f>IF(AND($V890='設定'!$C$4,COUNTIF('商品マスタ'!$B$6:$B$1005,$W890)=0),N(U889)+1,N(U889))</f>
        <v/>
      </c>
      <c r="V890" s="19">
        <f>IF($B890="","",TEXT($B890,"0000"))</f>
        <v/>
      </c>
      <c r="W890" s="19">
        <f>IF($I890="","",IF(ISNUMBER($I890),TEXT($I890,"0"),$I890))</f>
        <v/>
      </c>
    </row>
    <row r="891">
      <c r="B891" s="25" t="n"/>
      <c r="I891" s="25" t="n"/>
      <c r="U891" s="19">
        <f>IF(AND($V891='設定'!$C$4,COUNTIF('商品マスタ'!$B$6:$B$1005,$W891)=0),N(U890)+1,N(U890))</f>
        <v/>
      </c>
      <c r="V891" s="19">
        <f>IF($B891="","",TEXT($B891,"0000"))</f>
        <v/>
      </c>
      <c r="W891" s="19">
        <f>IF($I891="","",IF(ISNUMBER($I891),TEXT($I891,"0"),$I891))</f>
        <v/>
      </c>
    </row>
    <row r="892">
      <c r="B892" s="25" t="n"/>
      <c r="I892" s="25" t="n"/>
      <c r="U892" s="19">
        <f>IF(AND($V892='設定'!$C$4,COUNTIF('商品マスタ'!$B$6:$B$1005,$W892)=0),N(U891)+1,N(U891))</f>
        <v/>
      </c>
      <c r="V892" s="19">
        <f>IF($B892="","",TEXT($B892,"0000"))</f>
        <v/>
      </c>
      <c r="W892" s="19">
        <f>IF($I892="","",IF(ISNUMBER($I892),TEXT($I892,"0"),$I892))</f>
        <v/>
      </c>
    </row>
    <row r="893">
      <c r="B893" s="25" t="n"/>
      <c r="I893" s="25" t="n"/>
      <c r="U893" s="19">
        <f>IF(AND($V893='設定'!$C$4,COUNTIF('商品マスタ'!$B$6:$B$1005,$W893)=0),N(U892)+1,N(U892))</f>
        <v/>
      </c>
      <c r="V893" s="19">
        <f>IF($B893="","",TEXT($B893,"0000"))</f>
        <v/>
      </c>
      <c r="W893" s="19">
        <f>IF($I893="","",IF(ISNUMBER($I893),TEXT($I893,"0"),$I893))</f>
        <v/>
      </c>
    </row>
    <row r="894">
      <c r="B894" s="25" t="n"/>
      <c r="I894" s="25" t="n"/>
      <c r="U894" s="19">
        <f>IF(AND($V894='設定'!$C$4,COUNTIF('商品マスタ'!$B$6:$B$1005,$W894)=0),N(U893)+1,N(U893))</f>
        <v/>
      </c>
      <c r="V894" s="19">
        <f>IF($B894="","",TEXT($B894,"0000"))</f>
        <v/>
      </c>
      <c r="W894" s="19">
        <f>IF($I894="","",IF(ISNUMBER($I894),TEXT($I894,"0"),$I894))</f>
        <v/>
      </c>
    </row>
    <row r="895">
      <c r="B895" s="25" t="n"/>
      <c r="I895" s="25" t="n"/>
      <c r="U895" s="19">
        <f>IF(AND($V895='設定'!$C$4,COUNTIF('商品マスタ'!$B$6:$B$1005,$W895)=0),N(U894)+1,N(U894))</f>
        <v/>
      </c>
      <c r="V895" s="19">
        <f>IF($B895="","",TEXT($B895,"0000"))</f>
        <v/>
      </c>
      <c r="W895" s="19">
        <f>IF($I895="","",IF(ISNUMBER($I895),TEXT($I895,"0"),$I895))</f>
        <v/>
      </c>
    </row>
    <row r="896">
      <c r="B896" s="25" t="n"/>
      <c r="I896" s="25" t="n"/>
      <c r="U896" s="19">
        <f>IF(AND($V896='設定'!$C$4,COUNTIF('商品マスタ'!$B$6:$B$1005,$W896)=0),N(U895)+1,N(U895))</f>
        <v/>
      </c>
      <c r="V896" s="19">
        <f>IF($B896="","",TEXT($B896,"0000"))</f>
        <v/>
      </c>
      <c r="W896" s="19">
        <f>IF($I896="","",IF(ISNUMBER($I896),TEXT($I896,"0"),$I896))</f>
        <v/>
      </c>
    </row>
    <row r="897">
      <c r="B897" s="25" t="n"/>
      <c r="I897" s="25" t="n"/>
      <c r="U897" s="19">
        <f>IF(AND($V897='設定'!$C$4,COUNTIF('商品マスタ'!$B$6:$B$1005,$W897)=0),N(U896)+1,N(U896))</f>
        <v/>
      </c>
      <c r="V897" s="19">
        <f>IF($B897="","",TEXT($B897,"0000"))</f>
        <v/>
      </c>
      <c r="W897" s="19">
        <f>IF($I897="","",IF(ISNUMBER($I897),TEXT($I897,"0"),$I897))</f>
        <v/>
      </c>
    </row>
    <row r="898">
      <c r="B898" s="25" t="n"/>
      <c r="I898" s="25" t="n"/>
      <c r="U898" s="19">
        <f>IF(AND($V898='設定'!$C$4,COUNTIF('商品マスタ'!$B$6:$B$1005,$W898)=0),N(U897)+1,N(U897))</f>
        <v/>
      </c>
      <c r="V898" s="19">
        <f>IF($B898="","",TEXT($B898,"0000"))</f>
        <v/>
      </c>
      <c r="W898" s="19">
        <f>IF($I898="","",IF(ISNUMBER($I898),TEXT($I898,"0"),$I898))</f>
        <v/>
      </c>
    </row>
    <row r="899">
      <c r="B899" s="25" t="n"/>
      <c r="I899" s="25" t="n"/>
      <c r="U899" s="19">
        <f>IF(AND($V899='設定'!$C$4,COUNTIF('商品マスタ'!$B$6:$B$1005,$W899)=0),N(U898)+1,N(U898))</f>
        <v/>
      </c>
      <c r="V899" s="19">
        <f>IF($B899="","",TEXT($B899,"0000"))</f>
        <v/>
      </c>
      <c r="W899" s="19">
        <f>IF($I899="","",IF(ISNUMBER($I899),TEXT($I899,"0"),$I899))</f>
        <v/>
      </c>
    </row>
    <row r="900">
      <c r="B900" s="25" t="n"/>
      <c r="I900" s="25" t="n"/>
      <c r="U900" s="19">
        <f>IF(AND($V900='設定'!$C$4,COUNTIF('商品マスタ'!$B$6:$B$1005,$W900)=0),N(U899)+1,N(U899))</f>
        <v/>
      </c>
      <c r="V900" s="19">
        <f>IF($B900="","",TEXT($B900,"0000"))</f>
        <v/>
      </c>
      <c r="W900" s="19">
        <f>IF($I900="","",IF(ISNUMBER($I900),TEXT($I900,"0"),$I900))</f>
        <v/>
      </c>
    </row>
    <row r="901">
      <c r="B901" s="25" t="n"/>
      <c r="I901" s="25" t="n"/>
      <c r="U901" s="19">
        <f>IF(AND($V901='設定'!$C$4,COUNTIF('商品マスタ'!$B$6:$B$1005,$W901)=0),N(U900)+1,N(U900))</f>
        <v/>
      </c>
      <c r="V901" s="19">
        <f>IF($B901="","",TEXT($B901,"0000"))</f>
        <v/>
      </c>
      <c r="W901" s="19">
        <f>IF($I901="","",IF(ISNUMBER($I901),TEXT($I901,"0"),$I901))</f>
        <v/>
      </c>
    </row>
    <row r="902">
      <c r="B902" s="25" t="n"/>
      <c r="I902" s="25" t="n"/>
      <c r="U902" s="19">
        <f>IF(AND($V902='設定'!$C$4,COUNTIF('商品マスタ'!$B$6:$B$1005,$W902)=0),N(U901)+1,N(U901))</f>
        <v/>
      </c>
      <c r="V902" s="19">
        <f>IF($B902="","",TEXT($B902,"0000"))</f>
        <v/>
      </c>
      <c r="W902" s="19">
        <f>IF($I902="","",IF(ISNUMBER($I902),TEXT($I902,"0"),$I902))</f>
        <v/>
      </c>
    </row>
    <row r="903">
      <c r="B903" s="25" t="n"/>
      <c r="I903" s="25" t="n"/>
      <c r="U903" s="19">
        <f>IF(AND($V903='設定'!$C$4,COUNTIF('商品マスタ'!$B$6:$B$1005,$W903)=0),N(U902)+1,N(U902))</f>
        <v/>
      </c>
      <c r="V903" s="19">
        <f>IF($B903="","",TEXT($B903,"0000"))</f>
        <v/>
      </c>
      <c r="W903" s="19">
        <f>IF($I903="","",IF(ISNUMBER($I903),TEXT($I903,"0"),$I903))</f>
        <v/>
      </c>
    </row>
    <row r="904">
      <c r="B904" s="25" t="n"/>
      <c r="I904" s="25" t="n"/>
      <c r="U904" s="19">
        <f>IF(AND($V904='設定'!$C$4,COUNTIF('商品マスタ'!$B$6:$B$1005,$W904)=0),N(U903)+1,N(U903))</f>
        <v/>
      </c>
      <c r="V904" s="19">
        <f>IF($B904="","",TEXT($B904,"0000"))</f>
        <v/>
      </c>
      <c r="W904" s="19">
        <f>IF($I904="","",IF(ISNUMBER($I904),TEXT($I904,"0"),$I904))</f>
        <v/>
      </c>
    </row>
    <row r="905">
      <c r="B905" s="25" t="n"/>
      <c r="I905" s="25" t="n"/>
      <c r="U905" s="19">
        <f>IF(AND($V905='設定'!$C$4,COUNTIF('商品マスタ'!$B$6:$B$1005,$W905)=0),N(U904)+1,N(U904))</f>
        <v/>
      </c>
      <c r="V905" s="19">
        <f>IF($B905="","",TEXT($B905,"0000"))</f>
        <v/>
      </c>
      <c r="W905" s="19">
        <f>IF($I905="","",IF(ISNUMBER($I905),TEXT($I905,"0"),$I905))</f>
        <v/>
      </c>
    </row>
    <row r="906">
      <c r="B906" s="25" t="n"/>
      <c r="I906" s="25" t="n"/>
      <c r="U906" s="19">
        <f>IF(AND($V906='設定'!$C$4,COUNTIF('商品マスタ'!$B$6:$B$1005,$W906)=0),N(U905)+1,N(U905))</f>
        <v/>
      </c>
      <c r="V906" s="19">
        <f>IF($B906="","",TEXT($B906,"0000"))</f>
        <v/>
      </c>
      <c r="W906" s="19">
        <f>IF($I906="","",IF(ISNUMBER($I906),TEXT($I906,"0"),$I906))</f>
        <v/>
      </c>
    </row>
    <row r="907">
      <c r="B907" s="25" t="n"/>
      <c r="I907" s="25" t="n"/>
      <c r="U907" s="19">
        <f>IF(AND($V907='設定'!$C$4,COUNTIF('商品マスタ'!$B$6:$B$1005,$W907)=0),N(U906)+1,N(U906))</f>
        <v/>
      </c>
      <c r="V907" s="19">
        <f>IF($B907="","",TEXT($B907,"0000"))</f>
        <v/>
      </c>
      <c r="W907" s="19">
        <f>IF($I907="","",IF(ISNUMBER($I907),TEXT($I907,"0"),$I907))</f>
        <v/>
      </c>
    </row>
    <row r="908">
      <c r="B908" s="25" t="n"/>
      <c r="I908" s="25" t="n"/>
      <c r="U908" s="19">
        <f>IF(AND($V908='設定'!$C$4,COUNTIF('商品マスタ'!$B$6:$B$1005,$W908)=0),N(U907)+1,N(U907))</f>
        <v/>
      </c>
      <c r="V908" s="19">
        <f>IF($B908="","",TEXT($B908,"0000"))</f>
        <v/>
      </c>
      <c r="W908" s="19">
        <f>IF($I908="","",IF(ISNUMBER($I908),TEXT($I908,"0"),$I908))</f>
        <v/>
      </c>
    </row>
    <row r="909">
      <c r="B909" s="25" t="n"/>
      <c r="I909" s="25" t="n"/>
      <c r="U909" s="19">
        <f>IF(AND($V909='設定'!$C$4,COUNTIF('商品マスタ'!$B$6:$B$1005,$W909)=0),N(U908)+1,N(U908))</f>
        <v/>
      </c>
      <c r="V909" s="19">
        <f>IF($B909="","",TEXT($B909,"0000"))</f>
        <v/>
      </c>
      <c r="W909" s="19">
        <f>IF($I909="","",IF(ISNUMBER($I909),TEXT($I909,"0"),$I909))</f>
        <v/>
      </c>
    </row>
    <row r="910">
      <c r="B910" s="25" t="n"/>
      <c r="I910" s="25" t="n"/>
      <c r="U910" s="19">
        <f>IF(AND($V910='設定'!$C$4,COUNTIF('商品マスタ'!$B$6:$B$1005,$W910)=0),N(U909)+1,N(U909))</f>
        <v/>
      </c>
      <c r="V910" s="19">
        <f>IF($B910="","",TEXT($B910,"0000"))</f>
        <v/>
      </c>
      <c r="W910" s="19">
        <f>IF($I910="","",IF(ISNUMBER($I910),TEXT($I910,"0"),$I910))</f>
        <v/>
      </c>
    </row>
    <row r="911">
      <c r="B911" s="25" t="n"/>
      <c r="I911" s="25" t="n"/>
      <c r="U911" s="19">
        <f>IF(AND($V911='設定'!$C$4,COUNTIF('商品マスタ'!$B$6:$B$1005,$W911)=0),N(U910)+1,N(U910))</f>
        <v/>
      </c>
      <c r="V911" s="19">
        <f>IF($B911="","",TEXT($B911,"0000"))</f>
        <v/>
      </c>
      <c r="W911" s="19">
        <f>IF($I911="","",IF(ISNUMBER($I911),TEXT($I911,"0"),$I911))</f>
        <v/>
      </c>
    </row>
    <row r="912">
      <c r="B912" s="25" t="n"/>
      <c r="I912" s="25" t="n"/>
      <c r="U912" s="19">
        <f>IF(AND($V912='設定'!$C$4,COUNTIF('商品マスタ'!$B$6:$B$1005,$W912)=0),N(U911)+1,N(U911))</f>
        <v/>
      </c>
      <c r="V912" s="19">
        <f>IF($B912="","",TEXT($B912,"0000"))</f>
        <v/>
      </c>
      <c r="W912" s="19">
        <f>IF($I912="","",IF(ISNUMBER($I912),TEXT($I912,"0"),$I912))</f>
        <v/>
      </c>
    </row>
    <row r="913">
      <c r="B913" s="25" t="n"/>
      <c r="I913" s="25" t="n"/>
      <c r="U913" s="19">
        <f>IF(AND($V913='設定'!$C$4,COUNTIF('商品マスタ'!$B$6:$B$1005,$W913)=0),N(U912)+1,N(U912))</f>
        <v/>
      </c>
      <c r="V913" s="19">
        <f>IF($B913="","",TEXT($B913,"0000"))</f>
        <v/>
      </c>
      <c r="W913" s="19">
        <f>IF($I913="","",IF(ISNUMBER($I913),TEXT($I913,"0"),$I913))</f>
        <v/>
      </c>
    </row>
    <row r="914">
      <c r="B914" s="25" t="n"/>
      <c r="I914" s="25" t="n"/>
      <c r="U914" s="19">
        <f>IF(AND($V914='設定'!$C$4,COUNTIF('商品マスタ'!$B$6:$B$1005,$W914)=0),N(U913)+1,N(U913))</f>
        <v/>
      </c>
      <c r="V914" s="19">
        <f>IF($B914="","",TEXT($B914,"0000"))</f>
        <v/>
      </c>
      <c r="W914" s="19">
        <f>IF($I914="","",IF(ISNUMBER($I914),TEXT($I914,"0"),$I914))</f>
        <v/>
      </c>
    </row>
    <row r="915">
      <c r="B915" s="25" t="n"/>
      <c r="I915" s="25" t="n"/>
      <c r="U915" s="19">
        <f>IF(AND($V915='設定'!$C$4,COUNTIF('商品マスタ'!$B$6:$B$1005,$W915)=0),N(U914)+1,N(U914))</f>
        <v/>
      </c>
      <c r="V915" s="19">
        <f>IF($B915="","",TEXT($B915,"0000"))</f>
        <v/>
      </c>
      <c r="W915" s="19">
        <f>IF($I915="","",IF(ISNUMBER($I915),TEXT($I915,"0"),$I915))</f>
        <v/>
      </c>
    </row>
    <row r="916">
      <c r="B916" s="25" t="n"/>
      <c r="I916" s="25" t="n"/>
      <c r="U916" s="19">
        <f>IF(AND($V916='設定'!$C$4,COUNTIF('商品マスタ'!$B$6:$B$1005,$W916)=0),N(U915)+1,N(U915))</f>
        <v/>
      </c>
      <c r="V916" s="19">
        <f>IF($B916="","",TEXT($B916,"0000"))</f>
        <v/>
      </c>
      <c r="W916" s="19">
        <f>IF($I916="","",IF(ISNUMBER($I916),TEXT($I916,"0"),$I916))</f>
        <v/>
      </c>
    </row>
    <row r="917">
      <c r="B917" s="25" t="n"/>
      <c r="I917" s="25" t="n"/>
      <c r="U917" s="19">
        <f>IF(AND($V917='設定'!$C$4,COUNTIF('商品マスタ'!$B$6:$B$1005,$W917)=0),N(U916)+1,N(U916))</f>
        <v/>
      </c>
      <c r="V917" s="19">
        <f>IF($B917="","",TEXT($B917,"0000"))</f>
        <v/>
      </c>
      <c r="W917" s="19">
        <f>IF($I917="","",IF(ISNUMBER($I917),TEXT($I917,"0"),$I917))</f>
        <v/>
      </c>
    </row>
    <row r="918">
      <c r="B918" s="25" t="n"/>
      <c r="I918" s="25" t="n"/>
      <c r="U918" s="19">
        <f>IF(AND($V918='設定'!$C$4,COUNTIF('商品マスタ'!$B$6:$B$1005,$W918)=0),N(U917)+1,N(U917))</f>
        <v/>
      </c>
      <c r="V918" s="19">
        <f>IF($B918="","",TEXT($B918,"0000"))</f>
        <v/>
      </c>
      <c r="W918" s="19">
        <f>IF($I918="","",IF(ISNUMBER($I918),TEXT($I918,"0"),$I918))</f>
        <v/>
      </c>
    </row>
    <row r="919">
      <c r="B919" s="25" t="n"/>
      <c r="I919" s="25" t="n"/>
      <c r="U919" s="19">
        <f>IF(AND($V919='設定'!$C$4,COUNTIF('商品マスタ'!$B$6:$B$1005,$W919)=0),N(U918)+1,N(U918))</f>
        <v/>
      </c>
      <c r="V919" s="19">
        <f>IF($B919="","",TEXT($B919,"0000"))</f>
        <v/>
      </c>
      <c r="W919" s="19">
        <f>IF($I919="","",IF(ISNUMBER($I919),TEXT($I919,"0"),$I919))</f>
        <v/>
      </c>
    </row>
    <row r="920">
      <c r="B920" s="25" t="n"/>
      <c r="I920" s="25" t="n"/>
      <c r="U920" s="19">
        <f>IF(AND($V920='設定'!$C$4,COUNTIF('商品マスタ'!$B$6:$B$1005,$W920)=0),N(U919)+1,N(U919))</f>
        <v/>
      </c>
      <c r="V920" s="19">
        <f>IF($B920="","",TEXT($B920,"0000"))</f>
        <v/>
      </c>
      <c r="W920" s="19">
        <f>IF($I920="","",IF(ISNUMBER($I920),TEXT($I920,"0"),$I920))</f>
        <v/>
      </c>
    </row>
    <row r="921">
      <c r="B921" s="25" t="n"/>
      <c r="I921" s="25" t="n"/>
      <c r="U921" s="19">
        <f>IF(AND($V921='設定'!$C$4,COUNTIF('商品マスタ'!$B$6:$B$1005,$W921)=0),N(U920)+1,N(U920))</f>
        <v/>
      </c>
      <c r="V921" s="19">
        <f>IF($B921="","",TEXT($B921,"0000"))</f>
        <v/>
      </c>
      <c r="W921" s="19">
        <f>IF($I921="","",IF(ISNUMBER($I921),TEXT($I921,"0"),$I921))</f>
        <v/>
      </c>
    </row>
    <row r="922">
      <c r="B922" s="25" t="n"/>
      <c r="I922" s="25" t="n"/>
      <c r="U922" s="19">
        <f>IF(AND($V922='設定'!$C$4,COUNTIF('商品マスタ'!$B$6:$B$1005,$W922)=0),N(U921)+1,N(U921))</f>
        <v/>
      </c>
      <c r="V922" s="19">
        <f>IF($B922="","",TEXT($B922,"0000"))</f>
        <v/>
      </c>
      <c r="W922" s="19">
        <f>IF($I922="","",IF(ISNUMBER($I922),TEXT($I922,"0"),$I922))</f>
        <v/>
      </c>
    </row>
    <row r="923">
      <c r="B923" s="25" t="n"/>
      <c r="I923" s="25" t="n"/>
      <c r="U923" s="19">
        <f>IF(AND($V923='設定'!$C$4,COUNTIF('商品マスタ'!$B$6:$B$1005,$W923)=0),N(U922)+1,N(U922))</f>
        <v/>
      </c>
      <c r="V923" s="19">
        <f>IF($B923="","",TEXT($B923,"0000"))</f>
        <v/>
      </c>
      <c r="W923" s="19">
        <f>IF($I923="","",IF(ISNUMBER($I923),TEXT($I923,"0"),$I923))</f>
        <v/>
      </c>
    </row>
    <row r="924">
      <c r="B924" s="25" t="n"/>
      <c r="I924" s="25" t="n"/>
      <c r="U924" s="19">
        <f>IF(AND($V924='設定'!$C$4,COUNTIF('商品マスタ'!$B$6:$B$1005,$W924)=0),N(U923)+1,N(U923))</f>
        <v/>
      </c>
      <c r="V924" s="19">
        <f>IF($B924="","",TEXT($B924,"0000"))</f>
        <v/>
      </c>
      <c r="W924" s="19">
        <f>IF($I924="","",IF(ISNUMBER($I924),TEXT($I924,"0"),$I924))</f>
        <v/>
      </c>
    </row>
    <row r="925">
      <c r="B925" s="25" t="n"/>
      <c r="I925" s="25" t="n"/>
      <c r="U925" s="19">
        <f>IF(AND($V925='設定'!$C$4,COUNTIF('商品マスタ'!$B$6:$B$1005,$W925)=0),N(U924)+1,N(U924))</f>
        <v/>
      </c>
      <c r="V925" s="19">
        <f>IF($B925="","",TEXT($B925,"0000"))</f>
        <v/>
      </c>
      <c r="W925" s="19">
        <f>IF($I925="","",IF(ISNUMBER($I925),TEXT($I925,"0"),$I925))</f>
        <v/>
      </c>
    </row>
    <row r="926">
      <c r="B926" s="25" t="n"/>
      <c r="I926" s="25" t="n"/>
      <c r="U926" s="19">
        <f>IF(AND($V926='設定'!$C$4,COUNTIF('商品マスタ'!$B$6:$B$1005,$W926)=0),N(U925)+1,N(U925))</f>
        <v/>
      </c>
      <c r="V926" s="19">
        <f>IF($B926="","",TEXT($B926,"0000"))</f>
        <v/>
      </c>
      <c r="W926" s="19">
        <f>IF($I926="","",IF(ISNUMBER($I926),TEXT($I926,"0"),$I926))</f>
        <v/>
      </c>
    </row>
    <row r="927">
      <c r="B927" s="25" t="n"/>
      <c r="I927" s="25" t="n"/>
      <c r="U927" s="19">
        <f>IF(AND($V927='設定'!$C$4,COUNTIF('商品マスタ'!$B$6:$B$1005,$W927)=0),N(U926)+1,N(U926))</f>
        <v/>
      </c>
      <c r="V927" s="19">
        <f>IF($B927="","",TEXT($B927,"0000"))</f>
        <v/>
      </c>
      <c r="W927" s="19">
        <f>IF($I927="","",IF(ISNUMBER($I927),TEXT($I927,"0"),$I927))</f>
        <v/>
      </c>
    </row>
    <row r="928">
      <c r="B928" s="25" t="n"/>
      <c r="I928" s="25" t="n"/>
      <c r="U928" s="19">
        <f>IF(AND($V928='設定'!$C$4,COUNTIF('商品マスタ'!$B$6:$B$1005,$W928)=0),N(U927)+1,N(U927))</f>
        <v/>
      </c>
      <c r="V928" s="19">
        <f>IF($B928="","",TEXT($B928,"0000"))</f>
        <v/>
      </c>
      <c r="W928" s="19">
        <f>IF($I928="","",IF(ISNUMBER($I928),TEXT($I928,"0"),$I928))</f>
        <v/>
      </c>
    </row>
    <row r="929">
      <c r="B929" s="25" t="n"/>
      <c r="I929" s="25" t="n"/>
      <c r="U929" s="19">
        <f>IF(AND($V929='設定'!$C$4,COUNTIF('商品マスタ'!$B$6:$B$1005,$W929)=0),N(U928)+1,N(U928))</f>
        <v/>
      </c>
      <c r="V929" s="19">
        <f>IF($B929="","",TEXT($B929,"0000"))</f>
        <v/>
      </c>
      <c r="W929" s="19">
        <f>IF($I929="","",IF(ISNUMBER($I929),TEXT($I929,"0"),$I929))</f>
        <v/>
      </c>
    </row>
    <row r="930">
      <c r="B930" s="25" t="n"/>
      <c r="I930" s="25" t="n"/>
      <c r="U930" s="19">
        <f>IF(AND($V930='設定'!$C$4,COUNTIF('商品マスタ'!$B$6:$B$1005,$W930)=0),N(U929)+1,N(U929))</f>
        <v/>
      </c>
      <c r="V930" s="19">
        <f>IF($B930="","",TEXT($B930,"0000"))</f>
        <v/>
      </c>
      <c r="W930" s="19">
        <f>IF($I930="","",IF(ISNUMBER($I930),TEXT($I930,"0"),$I930))</f>
        <v/>
      </c>
    </row>
    <row r="931">
      <c r="B931" s="25" t="n"/>
      <c r="I931" s="25" t="n"/>
      <c r="U931" s="19">
        <f>IF(AND($V931='設定'!$C$4,COUNTIF('商品マスタ'!$B$6:$B$1005,$W931)=0),N(U930)+1,N(U930))</f>
        <v/>
      </c>
      <c r="V931" s="19">
        <f>IF($B931="","",TEXT($B931,"0000"))</f>
        <v/>
      </c>
      <c r="W931" s="19">
        <f>IF($I931="","",IF(ISNUMBER($I931),TEXT($I931,"0"),$I931))</f>
        <v/>
      </c>
    </row>
    <row r="932">
      <c r="B932" s="25" t="n"/>
      <c r="I932" s="25" t="n"/>
      <c r="U932" s="19">
        <f>IF(AND($V932='設定'!$C$4,COUNTIF('商品マスタ'!$B$6:$B$1005,$W932)=0),N(U931)+1,N(U931))</f>
        <v/>
      </c>
      <c r="V932" s="19">
        <f>IF($B932="","",TEXT($B932,"0000"))</f>
        <v/>
      </c>
      <c r="W932" s="19">
        <f>IF($I932="","",IF(ISNUMBER($I932),TEXT($I932,"0"),$I932))</f>
        <v/>
      </c>
    </row>
    <row r="933">
      <c r="B933" s="25" t="n"/>
      <c r="I933" s="25" t="n"/>
      <c r="U933" s="19">
        <f>IF(AND($V933='設定'!$C$4,COUNTIF('商品マスタ'!$B$6:$B$1005,$W933)=0),N(U932)+1,N(U932))</f>
        <v/>
      </c>
      <c r="V933" s="19">
        <f>IF($B933="","",TEXT($B933,"0000"))</f>
        <v/>
      </c>
      <c r="W933" s="19">
        <f>IF($I933="","",IF(ISNUMBER($I933),TEXT($I933,"0"),$I933))</f>
        <v/>
      </c>
    </row>
    <row r="934">
      <c r="B934" s="25" t="n"/>
      <c r="I934" s="25" t="n"/>
      <c r="U934" s="19">
        <f>IF(AND($V934='設定'!$C$4,COUNTIF('商品マスタ'!$B$6:$B$1005,$W934)=0),N(U933)+1,N(U933))</f>
        <v/>
      </c>
      <c r="V934" s="19">
        <f>IF($B934="","",TEXT($B934,"0000"))</f>
        <v/>
      </c>
      <c r="W934" s="19">
        <f>IF($I934="","",IF(ISNUMBER($I934),TEXT($I934,"0"),$I934))</f>
        <v/>
      </c>
    </row>
    <row r="935">
      <c r="B935" s="25" t="n"/>
      <c r="I935" s="25" t="n"/>
      <c r="U935" s="19">
        <f>IF(AND($V935='設定'!$C$4,COUNTIF('商品マスタ'!$B$6:$B$1005,$W935)=0),N(U934)+1,N(U934))</f>
        <v/>
      </c>
      <c r="V935" s="19">
        <f>IF($B935="","",TEXT($B935,"0000"))</f>
        <v/>
      </c>
      <c r="W935" s="19">
        <f>IF($I935="","",IF(ISNUMBER($I935),TEXT($I935,"0"),$I935))</f>
        <v/>
      </c>
    </row>
    <row r="936">
      <c r="B936" s="25" t="n"/>
      <c r="I936" s="25" t="n"/>
      <c r="U936" s="19">
        <f>IF(AND($V936='設定'!$C$4,COUNTIF('商品マスタ'!$B$6:$B$1005,$W936)=0),N(U935)+1,N(U935))</f>
        <v/>
      </c>
      <c r="V936" s="19">
        <f>IF($B936="","",TEXT($B936,"0000"))</f>
        <v/>
      </c>
      <c r="W936" s="19">
        <f>IF($I936="","",IF(ISNUMBER($I936),TEXT($I936,"0"),$I936))</f>
        <v/>
      </c>
    </row>
    <row r="937">
      <c r="B937" s="25" t="n"/>
      <c r="I937" s="25" t="n"/>
      <c r="U937" s="19">
        <f>IF(AND($V937='設定'!$C$4,COUNTIF('商品マスタ'!$B$6:$B$1005,$W937)=0),N(U936)+1,N(U936))</f>
        <v/>
      </c>
      <c r="V937" s="19">
        <f>IF($B937="","",TEXT($B937,"0000"))</f>
        <v/>
      </c>
      <c r="W937" s="19">
        <f>IF($I937="","",IF(ISNUMBER($I937),TEXT($I937,"0"),$I937))</f>
        <v/>
      </c>
    </row>
    <row r="938">
      <c r="B938" s="25" t="n"/>
      <c r="I938" s="25" t="n"/>
      <c r="U938" s="19">
        <f>IF(AND($V938='設定'!$C$4,COUNTIF('商品マスタ'!$B$6:$B$1005,$W938)=0),N(U937)+1,N(U937))</f>
        <v/>
      </c>
      <c r="V938" s="19">
        <f>IF($B938="","",TEXT($B938,"0000"))</f>
        <v/>
      </c>
      <c r="W938" s="19">
        <f>IF($I938="","",IF(ISNUMBER($I938),TEXT($I938,"0"),$I938))</f>
        <v/>
      </c>
    </row>
    <row r="939">
      <c r="B939" s="25" t="n"/>
      <c r="I939" s="25" t="n"/>
      <c r="U939" s="19">
        <f>IF(AND($V939='設定'!$C$4,COUNTIF('商品マスタ'!$B$6:$B$1005,$W939)=0),N(U938)+1,N(U938))</f>
        <v/>
      </c>
      <c r="V939" s="19">
        <f>IF($B939="","",TEXT($B939,"0000"))</f>
        <v/>
      </c>
      <c r="W939" s="19">
        <f>IF($I939="","",IF(ISNUMBER($I939),TEXT($I939,"0"),$I939))</f>
        <v/>
      </c>
    </row>
    <row r="940">
      <c r="B940" s="25" t="n"/>
      <c r="I940" s="25" t="n"/>
      <c r="U940" s="19">
        <f>IF(AND($V940='設定'!$C$4,COUNTIF('商品マスタ'!$B$6:$B$1005,$W940)=0),N(U939)+1,N(U939))</f>
        <v/>
      </c>
      <c r="V940" s="19">
        <f>IF($B940="","",TEXT($B940,"0000"))</f>
        <v/>
      </c>
      <c r="W940" s="19">
        <f>IF($I940="","",IF(ISNUMBER($I940),TEXT($I940,"0"),$I940))</f>
        <v/>
      </c>
    </row>
    <row r="941">
      <c r="B941" s="25" t="n"/>
      <c r="I941" s="25" t="n"/>
      <c r="U941" s="19">
        <f>IF(AND($V941='設定'!$C$4,COUNTIF('商品マスタ'!$B$6:$B$1005,$W941)=0),N(U940)+1,N(U940))</f>
        <v/>
      </c>
      <c r="V941" s="19">
        <f>IF($B941="","",TEXT($B941,"0000"))</f>
        <v/>
      </c>
      <c r="W941" s="19">
        <f>IF($I941="","",IF(ISNUMBER($I941),TEXT($I941,"0"),$I941))</f>
        <v/>
      </c>
    </row>
    <row r="942">
      <c r="B942" s="25" t="n"/>
      <c r="I942" s="25" t="n"/>
      <c r="U942" s="19">
        <f>IF(AND($V942='設定'!$C$4,COUNTIF('商品マスタ'!$B$6:$B$1005,$W942)=0),N(U941)+1,N(U941))</f>
        <v/>
      </c>
      <c r="V942" s="19">
        <f>IF($B942="","",TEXT($B942,"0000"))</f>
        <v/>
      </c>
      <c r="W942" s="19">
        <f>IF($I942="","",IF(ISNUMBER($I942),TEXT($I942,"0"),$I942))</f>
        <v/>
      </c>
    </row>
    <row r="943">
      <c r="B943" s="25" t="n"/>
      <c r="I943" s="25" t="n"/>
      <c r="U943" s="19">
        <f>IF(AND($V943='設定'!$C$4,COUNTIF('商品マスタ'!$B$6:$B$1005,$W943)=0),N(U942)+1,N(U942))</f>
        <v/>
      </c>
      <c r="V943" s="19">
        <f>IF($B943="","",TEXT($B943,"0000"))</f>
        <v/>
      </c>
      <c r="W943" s="19">
        <f>IF($I943="","",IF(ISNUMBER($I943),TEXT($I943,"0"),$I943))</f>
        <v/>
      </c>
    </row>
    <row r="944">
      <c r="B944" s="25" t="n"/>
      <c r="I944" s="25" t="n"/>
      <c r="U944" s="19">
        <f>IF(AND($V944='設定'!$C$4,COUNTIF('商品マスタ'!$B$6:$B$1005,$W944)=0),N(U943)+1,N(U943))</f>
        <v/>
      </c>
      <c r="V944" s="19">
        <f>IF($B944="","",TEXT($B944,"0000"))</f>
        <v/>
      </c>
      <c r="W944" s="19">
        <f>IF($I944="","",IF(ISNUMBER($I944),TEXT($I944,"0"),$I944))</f>
        <v/>
      </c>
    </row>
    <row r="945">
      <c r="B945" s="25" t="n"/>
      <c r="I945" s="25" t="n"/>
      <c r="U945" s="19">
        <f>IF(AND($V945='設定'!$C$4,COUNTIF('商品マスタ'!$B$6:$B$1005,$W945)=0),N(U944)+1,N(U944))</f>
        <v/>
      </c>
      <c r="V945" s="19">
        <f>IF($B945="","",TEXT($B945,"0000"))</f>
        <v/>
      </c>
      <c r="W945" s="19">
        <f>IF($I945="","",IF(ISNUMBER($I945),TEXT($I945,"0"),$I945))</f>
        <v/>
      </c>
    </row>
    <row r="946">
      <c r="B946" s="25" t="n"/>
      <c r="I946" s="25" t="n"/>
      <c r="U946" s="19">
        <f>IF(AND($V946='設定'!$C$4,COUNTIF('商品マスタ'!$B$6:$B$1005,$W946)=0),N(U945)+1,N(U945))</f>
        <v/>
      </c>
      <c r="V946" s="19">
        <f>IF($B946="","",TEXT($B946,"0000"))</f>
        <v/>
      </c>
      <c r="W946" s="19">
        <f>IF($I946="","",IF(ISNUMBER($I946),TEXT($I946,"0"),$I946))</f>
        <v/>
      </c>
    </row>
    <row r="947">
      <c r="B947" s="25" t="n"/>
      <c r="I947" s="25" t="n"/>
      <c r="U947" s="19">
        <f>IF(AND($V947='設定'!$C$4,COUNTIF('商品マスタ'!$B$6:$B$1005,$W947)=0),N(U946)+1,N(U946))</f>
        <v/>
      </c>
      <c r="V947" s="19">
        <f>IF($B947="","",TEXT($B947,"0000"))</f>
        <v/>
      </c>
      <c r="W947" s="19">
        <f>IF($I947="","",IF(ISNUMBER($I947),TEXT($I947,"0"),$I947))</f>
        <v/>
      </c>
    </row>
    <row r="948">
      <c r="B948" s="25" t="n"/>
      <c r="I948" s="25" t="n"/>
      <c r="U948" s="19">
        <f>IF(AND($V948='設定'!$C$4,COUNTIF('商品マスタ'!$B$6:$B$1005,$W948)=0),N(U947)+1,N(U947))</f>
        <v/>
      </c>
      <c r="V948" s="19">
        <f>IF($B948="","",TEXT($B948,"0000"))</f>
        <v/>
      </c>
      <c r="W948" s="19">
        <f>IF($I948="","",IF(ISNUMBER($I948),TEXT($I948,"0"),$I948))</f>
        <v/>
      </c>
    </row>
    <row r="949">
      <c r="B949" s="25" t="n"/>
      <c r="I949" s="25" t="n"/>
      <c r="U949" s="19">
        <f>IF(AND($V949='設定'!$C$4,COUNTIF('商品マスタ'!$B$6:$B$1005,$W949)=0),N(U948)+1,N(U948))</f>
        <v/>
      </c>
      <c r="V949" s="19">
        <f>IF($B949="","",TEXT($B949,"0000"))</f>
        <v/>
      </c>
      <c r="W949" s="19">
        <f>IF($I949="","",IF(ISNUMBER($I949),TEXT($I949,"0"),$I949))</f>
        <v/>
      </c>
    </row>
    <row r="950">
      <c r="B950" s="25" t="n"/>
      <c r="I950" s="25" t="n"/>
      <c r="U950" s="19">
        <f>IF(AND($V950='設定'!$C$4,COUNTIF('商品マスタ'!$B$6:$B$1005,$W950)=0),N(U949)+1,N(U949))</f>
        <v/>
      </c>
      <c r="V950" s="19">
        <f>IF($B950="","",TEXT($B950,"0000"))</f>
        <v/>
      </c>
      <c r="W950" s="19">
        <f>IF($I950="","",IF(ISNUMBER($I950),TEXT($I950,"0"),$I950))</f>
        <v/>
      </c>
    </row>
    <row r="951">
      <c r="B951" s="25" t="n"/>
      <c r="I951" s="25" t="n"/>
      <c r="U951" s="19">
        <f>IF(AND($V951='設定'!$C$4,COUNTIF('商品マスタ'!$B$6:$B$1005,$W951)=0),N(U950)+1,N(U950))</f>
        <v/>
      </c>
      <c r="V951" s="19">
        <f>IF($B951="","",TEXT($B951,"0000"))</f>
        <v/>
      </c>
      <c r="W951" s="19">
        <f>IF($I951="","",IF(ISNUMBER($I951),TEXT($I951,"0"),$I951))</f>
        <v/>
      </c>
    </row>
    <row r="952">
      <c r="B952" s="25" t="n"/>
      <c r="I952" s="25" t="n"/>
      <c r="U952" s="19">
        <f>IF(AND($V952='設定'!$C$4,COUNTIF('商品マスタ'!$B$6:$B$1005,$W952)=0),N(U951)+1,N(U951))</f>
        <v/>
      </c>
      <c r="V952" s="19">
        <f>IF($B952="","",TEXT($B952,"0000"))</f>
        <v/>
      </c>
      <c r="W952" s="19">
        <f>IF($I952="","",IF(ISNUMBER($I952),TEXT($I952,"0"),$I952))</f>
        <v/>
      </c>
    </row>
    <row r="953">
      <c r="B953" s="25" t="n"/>
      <c r="I953" s="25" t="n"/>
      <c r="U953" s="19">
        <f>IF(AND($V953='設定'!$C$4,COUNTIF('商品マスタ'!$B$6:$B$1005,$W953)=0),N(U952)+1,N(U952))</f>
        <v/>
      </c>
      <c r="V953" s="19">
        <f>IF($B953="","",TEXT($B953,"0000"))</f>
        <v/>
      </c>
      <c r="W953" s="19">
        <f>IF($I953="","",IF(ISNUMBER($I953),TEXT($I953,"0"),$I953))</f>
        <v/>
      </c>
    </row>
    <row r="954">
      <c r="B954" s="25" t="n"/>
      <c r="I954" s="25" t="n"/>
      <c r="U954" s="19">
        <f>IF(AND($V954='設定'!$C$4,COUNTIF('商品マスタ'!$B$6:$B$1005,$W954)=0),N(U953)+1,N(U953))</f>
        <v/>
      </c>
      <c r="V954" s="19">
        <f>IF($B954="","",TEXT($B954,"0000"))</f>
        <v/>
      </c>
      <c r="W954" s="19">
        <f>IF($I954="","",IF(ISNUMBER($I954),TEXT($I954,"0"),$I954))</f>
        <v/>
      </c>
    </row>
    <row r="955">
      <c r="B955" s="25" t="n"/>
      <c r="I955" s="25" t="n"/>
      <c r="U955" s="19">
        <f>IF(AND($V955='設定'!$C$4,COUNTIF('商品マスタ'!$B$6:$B$1005,$W955)=0),N(U954)+1,N(U954))</f>
        <v/>
      </c>
      <c r="V955" s="19">
        <f>IF($B955="","",TEXT($B955,"0000"))</f>
        <v/>
      </c>
      <c r="W955" s="19">
        <f>IF($I955="","",IF(ISNUMBER($I955),TEXT($I955,"0"),$I955))</f>
        <v/>
      </c>
    </row>
    <row r="956">
      <c r="B956" s="25" t="n"/>
      <c r="I956" s="25" t="n"/>
      <c r="U956" s="19">
        <f>IF(AND($V956='設定'!$C$4,COUNTIF('商品マスタ'!$B$6:$B$1005,$W956)=0),N(U955)+1,N(U955))</f>
        <v/>
      </c>
      <c r="V956" s="19">
        <f>IF($B956="","",TEXT($B956,"0000"))</f>
        <v/>
      </c>
      <c r="W956" s="19">
        <f>IF($I956="","",IF(ISNUMBER($I956),TEXT($I956,"0"),$I956))</f>
        <v/>
      </c>
    </row>
    <row r="957">
      <c r="B957" s="25" t="n"/>
      <c r="I957" s="25" t="n"/>
      <c r="U957" s="19">
        <f>IF(AND($V957='設定'!$C$4,COUNTIF('商品マスタ'!$B$6:$B$1005,$W957)=0),N(U956)+1,N(U956))</f>
        <v/>
      </c>
      <c r="V957" s="19">
        <f>IF($B957="","",TEXT($B957,"0000"))</f>
        <v/>
      </c>
      <c r="W957" s="19">
        <f>IF($I957="","",IF(ISNUMBER($I957),TEXT($I957,"0"),$I957))</f>
        <v/>
      </c>
    </row>
    <row r="958">
      <c r="B958" s="25" t="n"/>
      <c r="I958" s="25" t="n"/>
      <c r="U958" s="19">
        <f>IF(AND($V958='設定'!$C$4,COUNTIF('商品マスタ'!$B$6:$B$1005,$W958)=0),N(U957)+1,N(U957))</f>
        <v/>
      </c>
      <c r="V958" s="19">
        <f>IF($B958="","",TEXT($B958,"0000"))</f>
        <v/>
      </c>
      <c r="W958" s="19">
        <f>IF($I958="","",IF(ISNUMBER($I958),TEXT($I958,"0"),$I958))</f>
        <v/>
      </c>
    </row>
    <row r="959">
      <c r="B959" s="25" t="n"/>
      <c r="I959" s="25" t="n"/>
      <c r="U959" s="19">
        <f>IF(AND($V959='設定'!$C$4,COUNTIF('商品マスタ'!$B$6:$B$1005,$W959)=0),N(U958)+1,N(U958))</f>
        <v/>
      </c>
      <c r="V959" s="19">
        <f>IF($B959="","",TEXT($B959,"0000"))</f>
        <v/>
      </c>
      <c r="W959" s="19">
        <f>IF($I959="","",IF(ISNUMBER($I959),TEXT($I959,"0"),$I959))</f>
        <v/>
      </c>
    </row>
    <row r="960">
      <c r="B960" s="25" t="n"/>
      <c r="I960" s="25" t="n"/>
      <c r="U960" s="19">
        <f>IF(AND($V960='設定'!$C$4,COUNTIF('商品マスタ'!$B$6:$B$1005,$W960)=0),N(U959)+1,N(U959))</f>
        <v/>
      </c>
      <c r="V960" s="19">
        <f>IF($B960="","",TEXT($B960,"0000"))</f>
        <v/>
      </c>
      <c r="W960" s="19">
        <f>IF($I960="","",IF(ISNUMBER($I960),TEXT($I960,"0"),$I960))</f>
        <v/>
      </c>
    </row>
    <row r="961">
      <c r="B961" s="25" t="n"/>
      <c r="I961" s="25" t="n"/>
      <c r="U961" s="19">
        <f>IF(AND($V961='設定'!$C$4,COUNTIF('商品マスタ'!$B$6:$B$1005,$W961)=0),N(U960)+1,N(U960))</f>
        <v/>
      </c>
      <c r="V961" s="19">
        <f>IF($B961="","",TEXT($B961,"0000"))</f>
        <v/>
      </c>
      <c r="W961" s="19">
        <f>IF($I961="","",IF(ISNUMBER($I961),TEXT($I961,"0"),$I961))</f>
        <v/>
      </c>
    </row>
    <row r="962">
      <c r="B962" s="25" t="n"/>
      <c r="I962" s="25" t="n"/>
      <c r="U962" s="19">
        <f>IF(AND($V962='設定'!$C$4,COUNTIF('商品マスタ'!$B$6:$B$1005,$W962)=0),N(U961)+1,N(U961))</f>
        <v/>
      </c>
      <c r="V962" s="19">
        <f>IF($B962="","",TEXT($B962,"0000"))</f>
        <v/>
      </c>
      <c r="W962" s="19">
        <f>IF($I962="","",IF(ISNUMBER($I962),TEXT($I962,"0"),$I962))</f>
        <v/>
      </c>
    </row>
    <row r="963">
      <c r="B963" s="25" t="n"/>
      <c r="I963" s="25" t="n"/>
      <c r="U963" s="19">
        <f>IF(AND($V963='設定'!$C$4,COUNTIF('商品マスタ'!$B$6:$B$1005,$W963)=0),N(U962)+1,N(U962))</f>
        <v/>
      </c>
      <c r="V963" s="19">
        <f>IF($B963="","",TEXT($B963,"0000"))</f>
        <v/>
      </c>
      <c r="W963" s="19">
        <f>IF($I963="","",IF(ISNUMBER($I963),TEXT($I963,"0"),$I963))</f>
        <v/>
      </c>
    </row>
    <row r="964">
      <c r="B964" s="25" t="n"/>
      <c r="I964" s="25" t="n"/>
      <c r="U964" s="19">
        <f>IF(AND($V964='設定'!$C$4,COUNTIF('商品マスタ'!$B$6:$B$1005,$W964)=0),N(U963)+1,N(U963))</f>
        <v/>
      </c>
      <c r="V964" s="19">
        <f>IF($B964="","",TEXT($B964,"0000"))</f>
        <v/>
      </c>
      <c r="W964" s="19">
        <f>IF($I964="","",IF(ISNUMBER($I964),TEXT($I964,"0"),$I964))</f>
        <v/>
      </c>
    </row>
    <row r="965">
      <c r="B965" s="25" t="n"/>
      <c r="I965" s="25" t="n"/>
      <c r="U965" s="19">
        <f>IF(AND($V965='設定'!$C$4,COUNTIF('商品マスタ'!$B$6:$B$1005,$W965)=0),N(U964)+1,N(U964))</f>
        <v/>
      </c>
      <c r="V965" s="19">
        <f>IF($B965="","",TEXT($B965,"0000"))</f>
        <v/>
      </c>
      <c r="W965" s="19">
        <f>IF($I965="","",IF(ISNUMBER($I965),TEXT($I965,"0"),$I965))</f>
        <v/>
      </c>
    </row>
    <row r="966">
      <c r="B966" s="25" t="n"/>
      <c r="I966" s="25" t="n"/>
      <c r="U966" s="19">
        <f>IF(AND($V966='設定'!$C$4,COUNTIF('商品マスタ'!$B$6:$B$1005,$W966)=0),N(U965)+1,N(U965))</f>
        <v/>
      </c>
      <c r="V966" s="19">
        <f>IF($B966="","",TEXT($B966,"0000"))</f>
        <v/>
      </c>
      <c r="W966" s="19">
        <f>IF($I966="","",IF(ISNUMBER($I966),TEXT($I966,"0"),$I966))</f>
        <v/>
      </c>
    </row>
    <row r="967">
      <c r="B967" s="25" t="n"/>
      <c r="I967" s="25" t="n"/>
      <c r="U967" s="19">
        <f>IF(AND($V967='設定'!$C$4,COUNTIF('商品マスタ'!$B$6:$B$1005,$W967)=0),N(U966)+1,N(U966))</f>
        <v/>
      </c>
      <c r="V967" s="19">
        <f>IF($B967="","",TEXT($B967,"0000"))</f>
        <v/>
      </c>
      <c r="W967" s="19">
        <f>IF($I967="","",IF(ISNUMBER($I967),TEXT($I967,"0"),$I967))</f>
        <v/>
      </c>
    </row>
    <row r="968">
      <c r="B968" s="25" t="n"/>
      <c r="I968" s="25" t="n"/>
      <c r="U968" s="19">
        <f>IF(AND($V968='設定'!$C$4,COUNTIF('商品マスタ'!$B$6:$B$1005,$W968)=0),N(U967)+1,N(U967))</f>
        <v/>
      </c>
      <c r="V968" s="19">
        <f>IF($B968="","",TEXT($B968,"0000"))</f>
        <v/>
      </c>
      <c r="W968" s="19">
        <f>IF($I968="","",IF(ISNUMBER($I968),TEXT($I968,"0"),$I968))</f>
        <v/>
      </c>
    </row>
    <row r="969">
      <c r="B969" s="25" t="n"/>
      <c r="I969" s="25" t="n"/>
      <c r="U969" s="19">
        <f>IF(AND($V969='設定'!$C$4,COUNTIF('商品マスタ'!$B$6:$B$1005,$W969)=0),N(U968)+1,N(U968))</f>
        <v/>
      </c>
      <c r="V969" s="19">
        <f>IF($B969="","",TEXT($B969,"0000"))</f>
        <v/>
      </c>
      <c r="W969" s="19">
        <f>IF($I969="","",IF(ISNUMBER($I969),TEXT($I969,"0"),$I969))</f>
        <v/>
      </c>
    </row>
    <row r="970">
      <c r="B970" s="25" t="n"/>
      <c r="I970" s="25" t="n"/>
      <c r="U970" s="19">
        <f>IF(AND($V970='設定'!$C$4,COUNTIF('商品マスタ'!$B$6:$B$1005,$W970)=0),N(U969)+1,N(U969))</f>
        <v/>
      </c>
      <c r="V970" s="19">
        <f>IF($B970="","",TEXT($B970,"0000"))</f>
        <v/>
      </c>
      <c r="W970" s="19">
        <f>IF($I970="","",IF(ISNUMBER($I970),TEXT($I970,"0"),$I970))</f>
        <v/>
      </c>
    </row>
    <row r="971">
      <c r="B971" s="25" t="n"/>
      <c r="I971" s="25" t="n"/>
      <c r="U971" s="19">
        <f>IF(AND($V971='設定'!$C$4,COUNTIF('商品マスタ'!$B$6:$B$1005,$W971)=0),N(U970)+1,N(U970))</f>
        <v/>
      </c>
      <c r="V971" s="19">
        <f>IF($B971="","",TEXT($B971,"0000"))</f>
        <v/>
      </c>
      <c r="W971" s="19">
        <f>IF($I971="","",IF(ISNUMBER($I971),TEXT($I971,"0"),$I971))</f>
        <v/>
      </c>
    </row>
    <row r="972">
      <c r="B972" s="25" t="n"/>
      <c r="I972" s="25" t="n"/>
      <c r="U972" s="19">
        <f>IF(AND($V972='設定'!$C$4,COUNTIF('商品マスタ'!$B$6:$B$1005,$W972)=0),N(U971)+1,N(U971))</f>
        <v/>
      </c>
      <c r="V972" s="19">
        <f>IF($B972="","",TEXT($B972,"0000"))</f>
        <v/>
      </c>
      <c r="W972" s="19">
        <f>IF($I972="","",IF(ISNUMBER($I972),TEXT($I972,"0"),$I972))</f>
        <v/>
      </c>
    </row>
    <row r="973">
      <c r="B973" s="25" t="n"/>
      <c r="I973" s="25" t="n"/>
      <c r="U973" s="19">
        <f>IF(AND($V973='設定'!$C$4,COUNTIF('商品マスタ'!$B$6:$B$1005,$W973)=0),N(U972)+1,N(U972))</f>
        <v/>
      </c>
      <c r="V973" s="19">
        <f>IF($B973="","",TEXT($B973,"0000"))</f>
        <v/>
      </c>
      <c r="W973" s="19">
        <f>IF($I973="","",IF(ISNUMBER($I973),TEXT($I973,"0"),$I973))</f>
        <v/>
      </c>
    </row>
    <row r="974">
      <c r="B974" s="25" t="n"/>
      <c r="I974" s="25" t="n"/>
      <c r="U974" s="19">
        <f>IF(AND($V974='設定'!$C$4,COUNTIF('商品マスタ'!$B$6:$B$1005,$W974)=0),N(U973)+1,N(U973))</f>
        <v/>
      </c>
      <c r="V974" s="19">
        <f>IF($B974="","",TEXT($B974,"0000"))</f>
        <v/>
      </c>
      <c r="W974" s="19">
        <f>IF($I974="","",IF(ISNUMBER($I974),TEXT($I974,"0"),$I974))</f>
        <v/>
      </c>
    </row>
    <row r="975">
      <c r="B975" s="25" t="n"/>
      <c r="I975" s="25" t="n"/>
      <c r="U975" s="19">
        <f>IF(AND($V975='設定'!$C$4,COUNTIF('商品マスタ'!$B$6:$B$1005,$W975)=0),N(U974)+1,N(U974))</f>
        <v/>
      </c>
      <c r="V975" s="19">
        <f>IF($B975="","",TEXT($B975,"0000"))</f>
        <v/>
      </c>
      <c r="W975" s="19">
        <f>IF($I975="","",IF(ISNUMBER($I975),TEXT($I975,"0"),$I975))</f>
        <v/>
      </c>
    </row>
    <row r="976">
      <c r="B976" s="25" t="n"/>
      <c r="I976" s="25" t="n"/>
      <c r="U976" s="19">
        <f>IF(AND($V976='設定'!$C$4,COUNTIF('商品マスタ'!$B$6:$B$1005,$W976)=0),N(U975)+1,N(U975))</f>
        <v/>
      </c>
      <c r="V976" s="19">
        <f>IF($B976="","",TEXT($B976,"0000"))</f>
        <v/>
      </c>
      <c r="W976" s="19">
        <f>IF($I976="","",IF(ISNUMBER($I976),TEXT($I976,"0"),$I976))</f>
        <v/>
      </c>
    </row>
    <row r="977">
      <c r="B977" s="25" t="n"/>
      <c r="I977" s="25" t="n"/>
      <c r="U977" s="19">
        <f>IF(AND($V977='設定'!$C$4,COUNTIF('商品マスタ'!$B$6:$B$1005,$W977)=0),N(U976)+1,N(U976))</f>
        <v/>
      </c>
      <c r="V977" s="19">
        <f>IF($B977="","",TEXT($B977,"0000"))</f>
        <v/>
      </c>
      <c r="W977" s="19">
        <f>IF($I977="","",IF(ISNUMBER($I977),TEXT($I977,"0"),$I977))</f>
        <v/>
      </c>
    </row>
    <row r="978">
      <c r="B978" s="25" t="n"/>
      <c r="I978" s="25" t="n"/>
      <c r="U978" s="19">
        <f>IF(AND($V978='設定'!$C$4,COUNTIF('商品マスタ'!$B$6:$B$1005,$W978)=0),N(U977)+1,N(U977))</f>
        <v/>
      </c>
      <c r="V978" s="19">
        <f>IF($B978="","",TEXT($B978,"0000"))</f>
        <v/>
      </c>
      <c r="W978" s="19">
        <f>IF($I978="","",IF(ISNUMBER($I978),TEXT($I978,"0"),$I978))</f>
        <v/>
      </c>
    </row>
    <row r="979">
      <c r="B979" s="25" t="n"/>
      <c r="I979" s="25" t="n"/>
      <c r="U979" s="19">
        <f>IF(AND($V979='設定'!$C$4,COUNTIF('商品マスタ'!$B$6:$B$1005,$W979)=0),N(U978)+1,N(U978))</f>
        <v/>
      </c>
      <c r="V979" s="19">
        <f>IF($B979="","",TEXT($B979,"0000"))</f>
        <v/>
      </c>
      <c r="W979" s="19">
        <f>IF($I979="","",IF(ISNUMBER($I979),TEXT($I979,"0"),$I979))</f>
        <v/>
      </c>
    </row>
    <row r="980">
      <c r="B980" s="25" t="n"/>
      <c r="I980" s="25" t="n"/>
      <c r="U980" s="19">
        <f>IF(AND($V980='設定'!$C$4,COUNTIF('商品マスタ'!$B$6:$B$1005,$W980)=0),N(U979)+1,N(U979))</f>
        <v/>
      </c>
      <c r="V980" s="19">
        <f>IF($B980="","",TEXT($B980,"0000"))</f>
        <v/>
      </c>
      <c r="W980" s="19">
        <f>IF($I980="","",IF(ISNUMBER($I980),TEXT($I980,"0"),$I980))</f>
        <v/>
      </c>
    </row>
    <row r="981">
      <c r="B981" s="25" t="n"/>
      <c r="I981" s="25" t="n"/>
      <c r="U981" s="19">
        <f>IF(AND($V981='設定'!$C$4,COUNTIF('商品マスタ'!$B$6:$B$1005,$W981)=0),N(U980)+1,N(U980))</f>
        <v/>
      </c>
      <c r="V981" s="19">
        <f>IF($B981="","",TEXT($B981,"0000"))</f>
        <v/>
      </c>
      <c r="W981" s="19">
        <f>IF($I981="","",IF(ISNUMBER($I981),TEXT($I981,"0"),$I981))</f>
        <v/>
      </c>
    </row>
    <row r="982">
      <c r="B982" s="25" t="n"/>
      <c r="I982" s="25" t="n"/>
      <c r="U982" s="19">
        <f>IF(AND($V982='設定'!$C$4,COUNTIF('商品マスタ'!$B$6:$B$1005,$W982)=0),N(U981)+1,N(U981))</f>
        <v/>
      </c>
      <c r="V982" s="19">
        <f>IF($B982="","",TEXT($B982,"0000"))</f>
        <v/>
      </c>
      <c r="W982" s="19">
        <f>IF($I982="","",IF(ISNUMBER($I982),TEXT($I982,"0"),$I982))</f>
        <v/>
      </c>
    </row>
    <row r="983">
      <c r="B983" s="25" t="n"/>
      <c r="I983" s="25" t="n"/>
      <c r="U983" s="19">
        <f>IF(AND($V983='設定'!$C$4,COUNTIF('商品マスタ'!$B$6:$B$1005,$W983)=0),N(U982)+1,N(U982))</f>
        <v/>
      </c>
      <c r="V983" s="19">
        <f>IF($B983="","",TEXT($B983,"0000"))</f>
        <v/>
      </c>
      <c r="W983" s="19">
        <f>IF($I983="","",IF(ISNUMBER($I983),TEXT($I983,"0"),$I983))</f>
        <v/>
      </c>
    </row>
    <row r="984">
      <c r="B984" s="25" t="n"/>
      <c r="I984" s="25" t="n"/>
      <c r="U984" s="19">
        <f>IF(AND($V984='設定'!$C$4,COUNTIF('商品マスタ'!$B$6:$B$1005,$W984)=0),N(U983)+1,N(U983))</f>
        <v/>
      </c>
      <c r="V984" s="19">
        <f>IF($B984="","",TEXT($B984,"0000"))</f>
        <v/>
      </c>
      <c r="W984" s="19">
        <f>IF($I984="","",IF(ISNUMBER($I984),TEXT($I984,"0"),$I984))</f>
        <v/>
      </c>
    </row>
    <row r="985">
      <c r="B985" s="25" t="n"/>
      <c r="I985" s="25" t="n"/>
      <c r="U985" s="19">
        <f>IF(AND($V985='設定'!$C$4,COUNTIF('商品マスタ'!$B$6:$B$1005,$W985)=0),N(U984)+1,N(U984))</f>
        <v/>
      </c>
      <c r="V985" s="19">
        <f>IF($B985="","",TEXT($B985,"0000"))</f>
        <v/>
      </c>
      <c r="W985" s="19">
        <f>IF($I985="","",IF(ISNUMBER($I985),TEXT($I985,"0"),$I985))</f>
        <v/>
      </c>
    </row>
    <row r="986">
      <c r="B986" s="25" t="n"/>
      <c r="I986" s="25" t="n"/>
      <c r="U986" s="19">
        <f>IF(AND($V986='設定'!$C$4,COUNTIF('商品マスタ'!$B$6:$B$1005,$W986)=0),N(U985)+1,N(U985))</f>
        <v/>
      </c>
      <c r="V986" s="19">
        <f>IF($B986="","",TEXT($B986,"0000"))</f>
        <v/>
      </c>
      <c r="W986" s="19">
        <f>IF($I986="","",IF(ISNUMBER($I986),TEXT($I986,"0"),$I986))</f>
        <v/>
      </c>
    </row>
    <row r="987">
      <c r="B987" s="25" t="n"/>
      <c r="I987" s="25" t="n"/>
      <c r="U987" s="19">
        <f>IF(AND($V987='設定'!$C$4,COUNTIF('商品マスタ'!$B$6:$B$1005,$W987)=0),N(U986)+1,N(U986))</f>
        <v/>
      </c>
      <c r="V987" s="19">
        <f>IF($B987="","",TEXT($B987,"0000"))</f>
        <v/>
      </c>
      <c r="W987" s="19">
        <f>IF($I987="","",IF(ISNUMBER($I987),TEXT($I987,"0"),$I987))</f>
        <v/>
      </c>
    </row>
    <row r="988">
      <c r="B988" s="25" t="n"/>
      <c r="I988" s="25" t="n"/>
      <c r="U988" s="19">
        <f>IF(AND($V988='設定'!$C$4,COUNTIF('商品マスタ'!$B$6:$B$1005,$W988)=0),N(U987)+1,N(U987))</f>
        <v/>
      </c>
      <c r="V988" s="19">
        <f>IF($B988="","",TEXT($B988,"0000"))</f>
        <v/>
      </c>
      <c r="W988" s="19">
        <f>IF($I988="","",IF(ISNUMBER($I988),TEXT($I988,"0"),$I988))</f>
        <v/>
      </c>
    </row>
    <row r="989">
      <c r="B989" s="25" t="n"/>
      <c r="I989" s="25" t="n"/>
      <c r="U989" s="19">
        <f>IF(AND($V989='設定'!$C$4,COUNTIF('商品マスタ'!$B$6:$B$1005,$W989)=0),N(U988)+1,N(U988))</f>
        <v/>
      </c>
      <c r="V989" s="19">
        <f>IF($B989="","",TEXT($B989,"0000"))</f>
        <v/>
      </c>
      <c r="W989" s="19">
        <f>IF($I989="","",IF(ISNUMBER($I989),TEXT($I989,"0"),$I989))</f>
        <v/>
      </c>
    </row>
    <row r="990">
      <c r="B990" s="25" t="n"/>
      <c r="I990" s="25" t="n"/>
      <c r="U990" s="19">
        <f>IF(AND($V990='設定'!$C$4,COUNTIF('商品マスタ'!$B$6:$B$1005,$W990)=0),N(U989)+1,N(U989))</f>
        <v/>
      </c>
      <c r="V990" s="19">
        <f>IF($B990="","",TEXT($B990,"0000"))</f>
        <v/>
      </c>
      <c r="W990" s="19">
        <f>IF($I990="","",IF(ISNUMBER($I990),TEXT($I990,"0"),$I990))</f>
        <v/>
      </c>
    </row>
    <row r="991">
      <c r="B991" s="25" t="n"/>
      <c r="I991" s="25" t="n"/>
      <c r="U991" s="19">
        <f>IF(AND($V991='設定'!$C$4,COUNTIF('商品マスタ'!$B$6:$B$1005,$W991)=0),N(U990)+1,N(U990))</f>
        <v/>
      </c>
      <c r="V991" s="19">
        <f>IF($B991="","",TEXT($B991,"0000"))</f>
        <v/>
      </c>
      <c r="W991" s="19">
        <f>IF($I991="","",IF(ISNUMBER($I991),TEXT($I991,"0"),$I991))</f>
        <v/>
      </c>
    </row>
    <row r="992">
      <c r="B992" s="25" t="n"/>
      <c r="I992" s="25" t="n"/>
      <c r="U992" s="19">
        <f>IF(AND($V992='設定'!$C$4,COUNTIF('商品マスタ'!$B$6:$B$1005,$W992)=0),N(U991)+1,N(U991))</f>
        <v/>
      </c>
      <c r="V992" s="19">
        <f>IF($B992="","",TEXT($B992,"0000"))</f>
        <v/>
      </c>
      <c r="W992" s="19">
        <f>IF($I992="","",IF(ISNUMBER($I992),TEXT($I992,"0"),$I992))</f>
        <v/>
      </c>
    </row>
    <row r="993">
      <c r="B993" s="25" t="n"/>
      <c r="I993" s="25" t="n"/>
      <c r="U993" s="19">
        <f>IF(AND($V993='設定'!$C$4,COUNTIF('商品マスタ'!$B$6:$B$1005,$W993)=0),N(U992)+1,N(U992))</f>
        <v/>
      </c>
      <c r="V993" s="19">
        <f>IF($B993="","",TEXT($B993,"0000"))</f>
        <v/>
      </c>
      <c r="W993" s="19">
        <f>IF($I993="","",IF(ISNUMBER($I993),TEXT($I993,"0"),$I993))</f>
        <v/>
      </c>
    </row>
    <row r="994">
      <c r="B994" s="25" t="n"/>
      <c r="I994" s="25" t="n"/>
      <c r="U994" s="19">
        <f>IF(AND($V994='設定'!$C$4,COUNTIF('商品マスタ'!$B$6:$B$1005,$W994)=0),N(U993)+1,N(U993))</f>
        <v/>
      </c>
      <c r="V994" s="19">
        <f>IF($B994="","",TEXT($B994,"0000"))</f>
        <v/>
      </c>
      <c r="W994" s="19">
        <f>IF($I994="","",IF(ISNUMBER($I994),TEXT($I994,"0"),$I994))</f>
        <v/>
      </c>
    </row>
    <row r="995">
      <c r="B995" s="25" t="n"/>
      <c r="I995" s="25" t="n"/>
      <c r="U995" s="19">
        <f>IF(AND($V995='設定'!$C$4,COUNTIF('商品マスタ'!$B$6:$B$1005,$W995)=0),N(U994)+1,N(U994))</f>
        <v/>
      </c>
      <c r="V995" s="19">
        <f>IF($B995="","",TEXT($B995,"0000"))</f>
        <v/>
      </c>
      <c r="W995" s="19">
        <f>IF($I995="","",IF(ISNUMBER($I995),TEXT($I995,"0"),$I995))</f>
        <v/>
      </c>
    </row>
    <row r="996">
      <c r="B996" s="25" t="n"/>
      <c r="I996" s="25" t="n"/>
      <c r="U996" s="19">
        <f>IF(AND($V996='設定'!$C$4,COUNTIF('商品マスタ'!$B$6:$B$1005,$W996)=0),N(U995)+1,N(U995))</f>
        <v/>
      </c>
      <c r="V996" s="19">
        <f>IF($B996="","",TEXT($B996,"0000"))</f>
        <v/>
      </c>
      <c r="W996" s="19">
        <f>IF($I996="","",IF(ISNUMBER($I996),TEXT($I996,"0"),$I996))</f>
        <v/>
      </c>
    </row>
    <row r="997">
      <c r="B997" s="25" t="n"/>
      <c r="I997" s="25" t="n"/>
      <c r="U997" s="19">
        <f>IF(AND($V997='設定'!$C$4,COUNTIF('商品マスタ'!$B$6:$B$1005,$W997)=0),N(U996)+1,N(U996))</f>
        <v/>
      </c>
      <c r="V997" s="19">
        <f>IF($B997="","",TEXT($B997,"0000"))</f>
        <v/>
      </c>
      <c r="W997" s="19">
        <f>IF($I997="","",IF(ISNUMBER($I997),TEXT($I997,"0"),$I997))</f>
        <v/>
      </c>
    </row>
    <row r="998">
      <c r="B998" s="25" t="n"/>
      <c r="I998" s="25" t="n"/>
      <c r="U998" s="19">
        <f>IF(AND($V998='設定'!$C$4,COUNTIF('商品マスタ'!$B$6:$B$1005,$W998)=0),N(U997)+1,N(U997))</f>
        <v/>
      </c>
      <c r="V998" s="19">
        <f>IF($B998="","",TEXT($B998,"0000"))</f>
        <v/>
      </c>
      <c r="W998" s="19">
        <f>IF($I998="","",IF(ISNUMBER($I998),TEXT($I998,"0"),$I998))</f>
        <v/>
      </c>
    </row>
    <row r="999">
      <c r="B999" s="25" t="n"/>
      <c r="I999" s="25" t="n"/>
      <c r="U999" s="19">
        <f>IF(AND($V999='設定'!$C$4,COUNTIF('商品マスタ'!$B$6:$B$1005,$W999)=0),N(U998)+1,N(U998))</f>
        <v/>
      </c>
      <c r="V999" s="19">
        <f>IF($B999="","",TEXT($B999,"0000"))</f>
        <v/>
      </c>
      <c r="W999" s="19">
        <f>IF($I999="","",IF(ISNUMBER($I999),TEXT($I999,"0"),$I999))</f>
        <v/>
      </c>
    </row>
    <row r="1000">
      <c r="B1000" s="25" t="n"/>
      <c r="I1000" s="25" t="n"/>
      <c r="U1000" s="19">
        <f>IF(AND($V1000='設定'!$C$4,COUNTIF('商品マスタ'!$B$6:$B$1005,$W1000)=0),N(U999)+1,N(U999))</f>
        <v/>
      </c>
      <c r="V1000" s="19">
        <f>IF($B1000="","",TEXT($B1000,"0000"))</f>
        <v/>
      </c>
      <c r="W1000" s="19">
        <f>IF($I1000="","",IF(ISNUMBER($I1000),TEXT($I1000,"0"),$I1000))</f>
        <v/>
      </c>
    </row>
    <row r="1001">
      <c r="B1001" s="25" t="n"/>
      <c r="I1001" s="25" t="n"/>
      <c r="U1001" s="19">
        <f>IF(AND($V1001='設定'!$C$4,COUNTIF('商品マスタ'!$B$6:$B$1005,$W1001)=0),N(U1000)+1,N(U1000))</f>
        <v/>
      </c>
      <c r="V1001" s="19">
        <f>IF($B1001="","",TEXT($B1001,"0000"))</f>
        <v/>
      </c>
      <c r="W1001" s="19">
        <f>IF($I1001="","",IF(ISNUMBER($I1001),TEXT($I1001,"0"),$I1001))</f>
        <v/>
      </c>
    </row>
    <row r="1002">
      <c r="B1002" s="25" t="n"/>
      <c r="I1002" s="25" t="n"/>
      <c r="U1002" s="19">
        <f>IF(AND($V1002='設定'!$C$4,COUNTIF('商品マスタ'!$B$6:$B$1005,$W1002)=0),N(U1001)+1,N(U1001))</f>
        <v/>
      </c>
      <c r="V1002" s="19">
        <f>IF($B1002="","",TEXT($B1002,"0000"))</f>
        <v/>
      </c>
      <c r="W1002" s="19">
        <f>IF($I1002="","",IF(ISNUMBER($I1002),TEXT($I1002,"0"),$I1002))</f>
        <v/>
      </c>
    </row>
    <row r="1003">
      <c r="B1003" s="25" t="n"/>
      <c r="I1003" s="25" t="n"/>
      <c r="U1003" s="19">
        <f>IF(AND($V1003='設定'!$C$4,COUNTIF('商品マスタ'!$B$6:$B$1005,$W1003)=0),N(U1002)+1,N(U1002))</f>
        <v/>
      </c>
      <c r="V1003" s="19">
        <f>IF($B1003="","",TEXT($B1003,"0000"))</f>
        <v/>
      </c>
      <c r="W1003" s="19">
        <f>IF($I1003="","",IF(ISNUMBER($I1003),TEXT($I1003,"0"),$I1003))</f>
        <v/>
      </c>
    </row>
    <row r="1004">
      <c r="B1004" s="25" t="n"/>
      <c r="I1004" s="25" t="n"/>
      <c r="U1004" s="19">
        <f>IF(AND($V1004='設定'!$C$4,COUNTIF('商品マスタ'!$B$6:$B$1005,$W1004)=0),N(U1003)+1,N(U1003))</f>
        <v/>
      </c>
      <c r="V1004" s="19">
        <f>IF($B1004="","",TEXT($B1004,"0000"))</f>
        <v/>
      </c>
      <c r="W1004" s="19">
        <f>IF($I1004="","",IF(ISNUMBER($I1004),TEXT($I1004,"0"),$I1004))</f>
        <v/>
      </c>
    </row>
    <row r="1005">
      <c r="B1005" s="25" t="n"/>
      <c r="I1005" s="25" t="n"/>
      <c r="U1005" s="19">
        <f>IF(AND($V1005='設定'!$C$4,COUNTIF('商品マスタ'!$B$6:$B$1005,$W1005)=0),N(U1004)+1,N(U1004))</f>
        <v/>
      </c>
      <c r="V1005" s="19">
        <f>IF($B1005="","",TEXT($B1005,"0000"))</f>
        <v/>
      </c>
      <c r="W1005" s="19">
        <f>IF($I1005="","",IF(ISNUMBER($I1005),TEXT($I1005,"0"),$I1005))</f>
        <v/>
      </c>
    </row>
    <row r="1006">
      <c r="B1006" s="25" t="n"/>
      <c r="I1006" s="25" t="n"/>
      <c r="U1006" s="19">
        <f>IF(AND($V1006='設定'!$C$4,COUNTIF('商品マスタ'!$B$6:$B$1005,$W1006)=0),N(U1005)+1,N(U1005))</f>
        <v/>
      </c>
      <c r="V1006" s="19">
        <f>IF($B1006="","",TEXT($B1006,"0000"))</f>
        <v/>
      </c>
      <c r="W1006" s="19">
        <f>IF($I1006="","",IF(ISNUMBER($I1006),TEXT($I1006,"0"),$I1006))</f>
        <v/>
      </c>
    </row>
    <row r="1007">
      <c r="B1007" s="25" t="n"/>
      <c r="I1007" s="25" t="n"/>
      <c r="U1007" s="19">
        <f>IF(AND($V1007='設定'!$C$4,COUNTIF('商品マスタ'!$B$6:$B$1005,$W1007)=0),N(U1006)+1,N(U1006))</f>
        <v/>
      </c>
      <c r="V1007" s="19">
        <f>IF($B1007="","",TEXT($B1007,"0000"))</f>
        <v/>
      </c>
      <c r="W1007" s="19">
        <f>IF($I1007="","",IF(ISNUMBER($I1007),TEXT($I1007,"0"),$I1007))</f>
        <v/>
      </c>
    </row>
    <row r="1008">
      <c r="B1008" s="25" t="n"/>
      <c r="I1008" s="25" t="n"/>
      <c r="U1008" s="19">
        <f>IF(AND($V1008='設定'!$C$4,COUNTIF('商品マスタ'!$B$6:$B$1005,$W1008)=0),N(U1007)+1,N(U1007))</f>
        <v/>
      </c>
      <c r="V1008" s="19">
        <f>IF($B1008="","",TEXT($B1008,"0000"))</f>
        <v/>
      </c>
      <c r="W1008" s="19">
        <f>IF($I1008="","",IF(ISNUMBER($I1008),TEXT($I1008,"0"),$I1008))</f>
        <v/>
      </c>
    </row>
    <row r="1009">
      <c r="B1009" s="25" t="n"/>
      <c r="I1009" s="25" t="n"/>
      <c r="U1009" s="19">
        <f>IF(AND($V1009='設定'!$C$4,COUNTIF('商品マスタ'!$B$6:$B$1005,$W1009)=0),N(U1008)+1,N(U1008))</f>
        <v/>
      </c>
      <c r="V1009" s="19">
        <f>IF($B1009="","",TEXT($B1009,"0000"))</f>
        <v/>
      </c>
      <c r="W1009" s="19">
        <f>IF($I1009="","",IF(ISNUMBER($I1009),TEXT($I1009,"0"),$I1009))</f>
        <v/>
      </c>
    </row>
    <row r="1010">
      <c r="B1010" s="25" t="n"/>
      <c r="I1010" s="25" t="n"/>
      <c r="U1010" s="19">
        <f>IF(AND($V1010='設定'!$C$4,COUNTIF('商品マスタ'!$B$6:$B$1005,$W1010)=0),N(U1009)+1,N(U1009))</f>
        <v/>
      </c>
      <c r="V1010" s="19">
        <f>IF($B1010="","",TEXT($B1010,"0000"))</f>
        <v/>
      </c>
      <c r="W1010" s="19">
        <f>IF($I1010="","",IF(ISNUMBER($I1010),TEXT($I1010,"0"),$I1010))</f>
        <v/>
      </c>
    </row>
    <row r="1011">
      <c r="B1011" s="25" t="n"/>
      <c r="I1011" s="25" t="n"/>
      <c r="U1011" s="19">
        <f>IF(AND($V1011='設定'!$C$4,COUNTIF('商品マスタ'!$B$6:$B$1005,$W1011)=0),N(U1010)+1,N(U1010))</f>
        <v/>
      </c>
      <c r="V1011" s="19">
        <f>IF($B1011="","",TEXT($B1011,"0000"))</f>
        <v/>
      </c>
      <c r="W1011" s="19">
        <f>IF($I1011="","",IF(ISNUMBER($I1011),TEXT($I1011,"0"),$I1011))</f>
        <v/>
      </c>
    </row>
    <row r="1012">
      <c r="B1012" s="25" t="n"/>
      <c r="I1012" s="25" t="n"/>
      <c r="U1012" s="19">
        <f>IF(AND($V1012='設定'!$C$4,COUNTIF('商品マスタ'!$B$6:$B$1005,$W1012)=0),N(U1011)+1,N(U1011))</f>
        <v/>
      </c>
      <c r="V1012" s="19">
        <f>IF($B1012="","",TEXT($B1012,"0000"))</f>
        <v/>
      </c>
      <c r="W1012" s="19">
        <f>IF($I1012="","",IF(ISNUMBER($I1012),TEXT($I1012,"0"),$I1012))</f>
        <v/>
      </c>
    </row>
    <row r="1013">
      <c r="B1013" s="25" t="n"/>
      <c r="I1013" s="25" t="n"/>
      <c r="U1013" s="19">
        <f>IF(AND($V1013='設定'!$C$4,COUNTIF('商品マスタ'!$B$6:$B$1005,$W1013)=0),N(U1012)+1,N(U1012))</f>
        <v/>
      </c>
      <c r="V1013" s="19">
        <f>IF($B1013="","",TEXT($B1013,"0000"))</f>
        <v/>
      </c>
      <c r="W1013" s="19">
        <f>IF($I1013="","",IF(ISNUMBER($I1013),TEXT($I1013,"0"),$I1013))</f>
        <v/>
      </c>
    </row>
    <row r="1014">
      <c r="B1014" s="25" t="n"/>
      <c r="I1014" s="25" t="n"/>
      <c r="U1014" s="19">
        <f>IF(AND($V1014='設定'!$C$4,COUNTIF('商品マスタ'!$B$6:$B$1005,$W1014)=0),N(U1013)+1,N(U1013))</f>
        <v/>
      </c>
      <c r="V1014" s="19">
        <f>IF($B1014="","",TEXT($B1014,"0000"))</f>
        <v/>
      </c>
      <c r="W1014" s="19">
        <f>IF($I1014="","",IF(ISNUMBER($I1014),TEXT($I1014,"0"),$I1014))</f>
        <v/>
      </c>
    </row>
    <row r="1015">
      <c r="B1015" s="25" t="n"/>
      <c r="I1015" s="25" t="n"/>
      <c r="U1015" s="19">
        <f>IF(AND($V1015='設定'!$C$4,COUNTIF('商品マスタ'!$B$6:$B$1005,$W1015)=0),N(U1014)+1,N(U1014))</f>
        <v/>
      </c>
      <c r="V1015" s="19">
        <f>IF($B1015="","",TEXT($B1015,"0000"))</f>
        <v/>
      </c>
      <c r="W1015" s="19">
        <f>IF($I1015="","",IF(ISNUMBER($I1015),TEXT($I1015,"0"),$I1015))</f>
        <v/>
      </c>
    </row>
    <row r="1016">
      <c r="B1016" s="25" t="n"/>
      <c r="I1016" s="25" t="n"/>
      <c r="U1016" s="19">
        <f>IF(AND($V1016='設定'!$C$4,COUNTIF('商品マスタ'!$B$6:$B$1005,$W1016)=0),N(U1015)+1,N(U1015))</f>
        <v/>
      </c>
      <c r="V1016" s="19">
        <f>IF($B1016="","",TEXT($B1016,"0000"))</f>
        <v/>
      </c>
      <c r="W1016" s="19">
        <f>IF($I1016="","",IF(ISNUMBER($I1016),TEXT($I1016,"0"),$I1016))</f>
        <v/>
      </c>
    </row>
    <row r="1017">
      <c r="B1017" s="25" t="n"/>
      <c r="I1017" s="25" t="n"/>
      <c r="U1017" s="19">
        <f>IF(AND($V1017='設定'!$C$4,COUNTIF('商品マスタ'!$B$6:$B$1005,$W1017)=0),N(U1016)+1,N(U1016))</f>
        <v/>
      </c>
      <c r="V1017" s="19">
        <f>IF($B1017="","",TEXT($B1017,"0000"))</f>
        <v/>
      </c>
      <c r="W1017" s="19">
        <f>IF($I1017="","",IF(ISNUMBER($I1017),TEXT($I1017,"0"),$I1017))</f>
        <v/>
      </c>
    </row>
    <row r="1018">
      <c r="B1018" s="25" t="n"/>
      <c r="I1018" s="25" t="n"/>
      <c r="U1018" s="19">
        <f>IF(AND($V1018='設定'!$C$4,COUNTIF('商品マスタ'!$B$6:$B$1005,$W1018)=0),N(U1017)+1,N(U1017))</f>
        <v/>
      </c>
      <c r="V1018" s="19">
        <f>IF($B1018="","",TEXT($B1018,"0000"))</f>
        <v/>
      </c>
      <c r="W1018" s="19">
        <f>IF($I1018="","",IF(ISNUMBER($I1018),TEXT($I1018,"0"),$I1018))</f>
        <v/>
      </c>
    </row>
    <row r="1019">
      <c r="B1019" s="25" t="n"/>
      <c r="I1019" s="25" t="n"/>
      <c r="U1019" s="19">
        <f>IF(AND($V1019='設定'!$C$4,COUNTIF('商品マスタ'!$B$6:$B$1005,$W1019)=0),N(U1018)+1,N(U1018))</f>
        <v/>
      </c>
      <c r="V1019" s="19">
        <f>IF($B1019="","",TEXT($B1019,"0000"))</f>
        <v/>
      </c>
      <c r="W1019" s="19">
        <f>IF($I1019="","",IF(ISNUMBER($I1019),TEXT($I1019,"0"),$I1019))</f>
        <v/>
      </c>
    </row>
    <row r="1020">
      <c r="B1020" s="25" t="n"/>
      <c r="I1020" s="25" t="n"/>
      <c r="U1020" s="19">
        <f>IF(AND($V1020='設定'!$C$4,COUNTIF('商品マスタ'!$B$6:$B$1005,$W1020)=0),N(U1019)+1,N(U1019))</f>
        <v/>
      </c>
      <c r="V1020" s="19">
        <f>IF($B1020="","",TEXT($B1020,"0000"))</f>
        <v/>
      </c>
      <c r="W1020" s="19">
        <f>IF($I1020="","",IF(ISNUMBER($I1020),TEXT($I1020,"0"),$I1020))</f>
        <v/>
      </c>
    </row>
    <row r="1021">
      <c r="B1021" s="25" t="n"/>
      <c r="I1021" s="25" t="n"/>
      <c r="U1021" s="19">
        <f>IF(AND($V1021='設定'!$C$4,COUNTIF('商品マスタ'!$B$6:$B$1005,$W1021)=0),N(U1020)+1,N(U1020))</f>
        <v/>
      </c>
      <c r="V1021" s="19">
        <f>IF($B1021="","",TEXT($B1021,"0000"))</f>
        <v/>
      </c>
      <c r="W1021" s="19">
        <f>IF($I1021="","",IF(ISNUMBER($I1021),TEXT($I1021,"0"),$I1021))</f>
        <v/>
      </c>
    </row>
    <row r="1022">
      <c r="B1022" s="25" t="n"/>
      <c r="I1022" s="25" t="n"/>
      <c r="U1022" s="19">
        <f>IF(AND($V1022='設定'!$C$4,COUNTIF('商品マスタ'!$B$6:$B$1005,$W1022)=0),N(U1021)+1,N(U1021))</f>
        <v/>
      </c>
      <c r="V1022" s="19">
        <f>IF($B1022="","",TEXT($B1022,"0000"))</f>
        <v/>
      </c>
      <c r="W1022" s="19">
        <f>IF($I1022="","",IF(ISNUMBER($I1022),TEXT($I1022,"0"),$I1022))</f>
        <v/>
      </c>
    </row>
    <row r="1023">
      <c r="B1023" s="25" t="n"/>
      <c r="I1023" s="25" t="n"/>
      <c r="U1023" s="19">
        <f>IF(AND($V1023='設定'!$C$4,COUNTIF('商品マスタ'!$B$6:$B$1005,$W1023)=0),N(U1022)+1,N(U1022))</f>
        <v/>
      </c>
      <c r="V1023" s="19">
        <f>IF($B1023="","",TEXT($B1023,"0000"))</f>
        <v/>
      </c>
      <c r="W1023" s="19">
        <f>IF($I1023="","",IF(ISNUMBER($I1023),TEXT($I1023,"0"),$I1023))</f>
        <v/>
      </c>
    </row>
    <row r="1024">
      <c r="B1024" s="25" t="n"/>
      <c r="I1024" s="25" t="n"/>
      <c r="U1024" s="19">
        <f>IF(AND($V1024='設定'!$C$4,COUNTIF('商品マスタ'!$B$6:$B$1005,$W1024)=0),N(U1023)+1,N(U1023))</f>
        <v/>
      </c>
      <c r="V1024" s="19">
        <f>IF($B1024="","",TEXT($B1024,"0000"))</f>
        <v/>
      </c>
      <c r="W1024" s="19">
        <f>IF($I1024="","",IF(ISNUMBER($I1024),TEXT($I1024,"0"),$I1024))</f>
        <v/>
      </c>
    </row>
    <row r="1025">
      <c r="B1025" s="25" t="n"/>
      <c r="I1025" s="25" t="n"/>
      <c r="U1025" s="19">
        <f>IF(AND($V1025='設定'!$C$4,COUNTIF('商品マスタ'!$B$6:$B$1005,$W1025)=0),N(U1024)+1,N(U1024))</f>
        <v/>
      </c>
      <c r="V1025" s="19">
        <f>IF($B1025="","",TEXT($B1025,"0000"))</f>
        <v/>
      </c>
      <c r="W1025" s="19">
        <f>IF($I1025="","",IF(ISNUMBER($I1025),TEXT($I1025,"0"),$I1025))</f>
        <v/>
      </c>
    </row>
    <row r="1026">
      <c r="B1026" s="25" t="n"/>
      <c r="I1026" s="25" t="n"/>
      <c r="U1026" s="19">
        <f>IF(AND($V1026='設定'!$C$4,COUNTIF('商品マスタ'!$B$6:$B$1005,$W1026)=0),N(U1025)+1,N(U1025))</f>
        <v/>
      </c>
      <c r="V1026" s="19">
        <f>IF($B1026="","",TEXT($B1026,"0000"))</f>
        <v/>
      </c>
      <c r="W1026" s="19">
        <f>IF($I1026="","",IF(ISNUMBER($I1026),TEXT($I1026,"0"),$I1026))</f>
        <v/>
      </c>
    </row>
    <row r="1027">
      <c r="B1027" s="25" t="n"/>
      <c r="I1027" s="25" t="n"/>
      <c r="U1027" s="19">
        <f>IF(AND($V1027='設定'!$C$4,COUNTIF('商品マスタ'!$B$6:$B$1005,$W1027)=0),N(U1026)+1,N(U1026))</f>
        <v/>
      </c>
      <c r="V1027" s="19">
        <f>IF($B1027="","",TEXT($B1027,"0000"))</f>
        <v/>
      </c>
      <c r="W1027" s="19">
        <f>IF($I1027="","",IF(ISNUMBER($I1027),TEXT($I1027,"0"),$I1027))</f>
        <v/>
      </c>
    </row>
    <row r="1028">
      <c r="B1028" s="25" t="n"/>
      <c r="I1028" s="25" t="n"/>
      <c r="U1028" s="19">
        <f>IF(AND($V1028='設定'!$C$4,COUNTIF('商品マスタ'!$B$6:$B$1005,$W1028)=0),N(U1027)+1,N(U1027))</f>
        <v/>
      </c>
      <c r="V1028" s="19">
        <f>IF($B1028="","",TEXT($B1028,"0000"))</f>
        <v/>
      </c>
      <c r="W1028" s="19">
        <f>IF($I1028="","",IF(ISNUMBER($I1028),TEXT($I1028,"0"),$I1028))</f>
        <v/>
      </c>
    </row>
    <row r="1029">
      <c r="B1029" s="25" t="n"/>
      <c r="I1029" s="25" t="n"/>
      <c r="U1029" s="19">
        <f>IF(AND($V1029='設定'!$C$4,COUNTIF('商品マスタ'!$B$6:$B$1005,$W1029)=0),N(U1028)+1,N(U1028))</f>
        <v/>
      </c>
      <c r="V1029" s="19">
        <f>IF($B1029="","",TEXT($B1029,"0000"))</f>
        <v/>
      </c>
      <c r="W1029" s="19">
        <f>IF($I1029="","",IF(ISNUMBER($I1029),TEXT($I1029,"0"),$I1029))</f>
        <v/>
      </c>
    </row>
    <row r="1030">
      <c r="B1030" s="25" t="n"/>
      <c r="I1030" s="25" t="n"/>
      <c r="U1030" s="19">
        <f>IF(AND($V1030='設定'!$C$4,COUNTIF('商品マスタ'!$B$6:$B$1005,$W1030)=0),N(U1029)+1,N(U1029))</f>
        <v/>
      </c>
      <c r="V1030" s="19">
        <f>IF($B1030="","",TEXT($B1030,"0000"))</f>
        <v/>
      </c>
      <c r="W1030" s="19">
        <f>IF($I1030="","",IF(ISNUMBER($I1030),TEXT($I1030,"0"),$I1030))</f>
        <v/>
      </c>
    </row>
    <row r="1031">
      <c r="B1031" s="25" t="n"/>
      <c r="I1031" s="25" t="n"/>
      <c r="U1031" s="19">
        <f>IF(AND($V1031='設定'!$C$4,COUNTIF('商品マスタ'!$B$6:$B$1005,$W1031)=0),N(U1030)+1,N(U1030))</f>
        <v/>
      </c>
      <c r="V1031" s="19">
        <f>IF($B1031="","",TEXT($B1031,"0000"))</f>
        <v/>
      </c>
      <c r="W1031" s="19">
        <f>IF($I1031="","",IF(ISNUMBER($I1031),TEXT($I1031,"0"),$I1031))</f>
        <v/>
      </c>
    </row>
    <row r="1032">
      <c r="B1032" s="25" t="n"/>
      <c r="I1032" s="25" t="n"/>
      <c r="U1032" s="19">
        <f>IF(AND($V1032='設定'!$C$4,COUNTIF('商品マスタ'!$B$6:$B$1005,$W1032)=0),N(U1031)+1,N(U1031))</f>
        <v/>
      </c>
      <c r="V1032" s="19">
        <f>IF($B1032="","",TEXT($B1032,"0000"))</f>
        <v/>
      </c>
      <c r="W1032" s="19">
        <f>IF($I1032="","",IF(ISNUMBER($I1032),TEXT($I1032,"0"),$I1032))</f>
        <v/>
      </c>
    </row>
    <row r="1033">
      <c r="B1033" s="25" t="n"/>
      <c r="I1033" s="25" t="n"/>
      <c r="U1033" s="19">
        <f>IF(AND($V1033='設定'!$C$4,COUNTIF('商品マスタ'!$B$6:$B$1005,$W1033)=0),N(U1032)+1,N(U1032))</f>
        <v/>
      </c>
      <c r="V1033" s="19">
        <f>IF($B1033="","",TEXT($B1033,"0000"))</f>
        <v/>
      </c>
      <c r="W1033" s="19">
        <f>IF($I1033="","",IF(ISNUMBER($I1033),TEXT($I1033,"0"),$I1033))</f>
        <v/>
      </c>
    </row>
    <row r="1034">
      <c r="B1034" s="25" t="n"/>
      <c r="I1034" s="25" t="n"/>
      <c r="U1034" s="19">
        <f>IF(AND($V1034='設定'!$C$4,COUNTIF('商品マスタ'!$B$6:$B$1005,$W1034)=0),N(U1033)+1,N(U1033))</f>
        <v/>
      </c>
      <c r="V1034" s="19">
        <f>IF($B1034="","",TEXT($B1034,"0000"))</f>
        <v/>
      </c>
      <c r="W1034" s="19">
        <f>IF($I1034="","",IF(ISNUMBER($I1034),TEXT($I1034,"0"),$I1034))</f>
        <v/>
      </c>
    </row>
    <row r="1035">
      <c r="B1035" s="25" t="n"/>
      <c r="I1035" s="25" t="n"/>
      <c r="U1035" s="19">
        <f>IF(AND($V1035='設定'!$C$4,COUNTIF('商品マスタ'!$B$6:$B$1005,$W1035)=0),N(U1034)+1,N(U1034))</f>
        <v/>
      </c>
      <c r="V1035" s="19">
        <f>IF($B1035="","",TEXT($B1035,"0000"))</f>
        <v/>
      </c>
      <c r="W1035" s="19">
        <f>IF($I1035="","",IF(ISNUMBER($I1035),TEXT($I1035,"0"),$I1035))</f>
        <v/>
      </c>
    </row>
    <row r="1036">
      <c r="B1036" s="25" t="n"/>
      <c r="I1036" s="25" t="n"/>
      <c r="U1036" s="19">
        <f>IF(AND($V1036='設定'!$C$4,COUNTIF('商品マスタ'!$B$6:$B$1005,$W1036)=0),N(U1035)+1,N(U1035))</f>
        <v/>
      </c>
      <c r="V1036" s="19">
        <f>IF($B1036="","",TEXT($B1036,"0000"))</f>
        <v/>
      </c>
      <c r="W1036" s="19">
        <f>IF($I1036="","",IF(ISNUMBER($I1036),TEXT($I1036,"0"),$I1036))</f>
        <v/>
      </c>
    </row>
    <row r="1037">
      <c r="B1037" s="25" t="n"/>
      <c r="I1037" s="25" t="n"/>
      <c r="U1037" s="19">
        <f>IF(AND($V1037='設定'!$C$4,COUNTIF('商品マスタ'!$B$6:$B$1005,$W1037)=0),N(U1036)+1,N(U1036))</f>
        <v/>
      </c>
      <c r="V1037" s="19">
        <f>IF($B1037="","",TEXT($B1037,"0000"))</f>
        <v/>
      </c>
      <c r="W1037" s="19">
        <f>IF($I1037="","",IF(ISNUMBER($I1037),TEXT($I1037,"0"),$I1037))</f>
        <v/>
      </c>
    </row>
    <row r="1038">
      <c r="B1038" s="25" t="n"/>
      <c r="I1038" s="25" t="n"/>
      <c r="U1038" s="19">
        <f>IF(AND($V1038='設定'!$C$4,COUNTIF('商品マスタ'!$B$6:$B$1005,$W1038)=0),N(U1037)+1,N(U1037))</f>
        <v/>
      </c>
      <c r="V1038" s="19">
        <f>IF($B1038="","",TEXT($B1038,"0000"))</f>
        <v/>
      </c>
      <c r="W1038" s="19">
        <f>IF($I1038="","",IF(ISNUMBER($I1038),TEXT($I1038,"0"),$I1038))</f>
        <v/>
      </c>
    </row>
    <row r="1039">
      <c r="B1039" s="25" t="n"/>
      <c r="I1039" s="25" t="n"/>
      <c r="U1039" s="19">
        <f>IF(AND($V1039='設定'!$C$4,COUNTIF('商品マスタ'!$B$6:$B$1005,$W1039)=0),N(U1038)+1,N(U1038))</f>
        <v/>
      </c>
      <c r="V1039" s="19">
        <f>IF($B1039="","",TEXT($B1039,"0000"))</f>
        <v/>
      </c>
      <c r="W1039" s="19">
        <f>IF($I1039="","",IF(ISNUMBER($I1039),TEXT($I1039,"0"),$I1039))</f>
        <v/>
      </c>
    </row>
    <row r="1040">
      <c r="B1040" s="25" t="n"/>
      <c r="I1040" s="25" t="n"/>
      <c r="U1040" s="19">
        <f>IF(AND($V1040='設定'!$C$4,COUNTIF('商品マスタ'!$B$6:$B$1005,$W1040)=0),N(U1039)+1,N(U1039))</f>
        <v/>
      </c>
      <c r="V1040" s="19">
        <f>IF($B1040="","",TEXT($B1040,"0000"))</f>
        <v/>
      </c>
      <c r="W1040" s="19">
        <f>IF($I1040="","",IF(ISNUMBER($I1040),TEXT($I1040,"0"),$I1040))</f>
        <v/>
      </c>
    </row>
    <row r="1041">
      <c r="B1041" s="25" t="n"/>
      <c r="I1041" s="25" t="n"/>
      <c r="U1041" s="19">
        <f>IF(AND($V1041='設定'!$C$4,COUNTIF('商品マスタ'!$B$6:$B$1005,$W1041)=0),N(U1040)+1,N(U1040))</f>
        <v/>
      </c>
      <c r="V1041" s="19">
        <f>IF($B1041="","",TEXT($B1041,"0000"))</f>
        <v/>
      </c>
      <c r="W1041" s="19">
        <f>IF($I1041="","",IF(ISNUMBER($I1041),TEXT($I1041,"0"),$I1041))</f>
        <v/>
      </c>
    </row>
    <row r="1042">
      <c r="B1042" s="25" t="n"/>
      <c r="I1042" s="25" t="n"/>
      <c r="U1042" s="19">
        <f>IF(AND($V1042='設定'!$C$4,COUNTIF('商品マスタ'!$B$6:$B$1005,$W1042)=0),N(U1041)+1,N(U1041))</f>
        <v/>
      </c>
      <c r="V1042" s="19">
        <f>IF($B1042="","",TEXT($B1042,"0000"))</f>
        <v/>
      </c>
      <c r="W1042" s="19">
        <f>IF($I1042="","",IF(ISNUMBER($I1042),TEXT($I1042,"0"),$I1042))</f>
        <v/>
      </c>
    </row>
    <row r="1043">
      <c r="B1043" s="25" t="n"/>
      <c r="I1043" s="25" t="n"/>
      <c r="U1043" s="19">
        <f>IF(AND($V1043='設定'!$C$4,COUNTIF('商品マスタ'!$B$6:$B$1005,$W1043)=0),N(U1042)+1,N(U1042))</f>
        <v/>
      </c>
      <c r="V1043" s="19">
        <f>IF($B1043="","",TEXT($B1043,"0000"))</f>
        <v/>
      </c>
      <c r="W1043" s="19">
        <f>IF($I1043="","",IF(ISNUMBER($I1043),TEXT($I1043,"0"),$I1043))</f>
        <v/>
      </c>
    </row>
    <row r="1044">
      <c r="B1044" s="25" t="n"/>
      <c r="I1044" s="25" t="n"/>
      <c r="U1044" s="19">
        <f>IF(AND($V1044='設定'!$C$4,COUNTIF('商品マスタ'!$B$6:$B$1005,$W1044)=0),N(U1043)+1,N(U1043))</f>
        <v/>
      </c>
      <c r="V1044" s="19">
        <f>IF($B1044="","",TEXT($B1044,"0000"))</f>
        <v/>
      </c>
      <c r="W1044" s="19">
        <f>IF($I1044="","",IF(ISNUMBER($I1044),TEXT($I1044,"0"),$I1044))</f>
        <v/>
      </c>
    </row>
    <row r="1045">
      <c r="B1045" s="25" t="n"/>
      <c r="I1045" s="25" t="n"/>
      <c r="U1045" s="19">
        <f>IF(AND($V1045='設定'!$C$4,COUNTIF('商品マスタ'!$B$6:$B$1005,$W1045)=0),N(U1044)+1,N(U1044))</f>
        <v/>
      </c>
      <c r="V1045" s="19">
        <f>IF($B1045="","",TEXT($B1045,"0000"))</f>
        <v/>
      </c>
      <c r="W1045" s="19">
        <f>IF($I1045="","",IF(ISNUMBER($I1045),TEXT($I1045,"0"),$I1045))</f>
        <v/>
      </c>
    </row>
    <row r="1046">
      <c r="B1046" s="25" t="n"/>
      <c r="I1046" s="25" t="n"/>
      <c r="U1046" s="19">
        <f>IF(AND($V1046='設定'!$C$4,COUNTIF('商品マスタ'!$B$6:$B$1005,$W1046)=0),N(U1045)+1,N(U1045))</f>
        <v/>
      </c>
      <c r="V1046" s="19">
        <f>IF($B1046="","",TEXT($B1046,"0000"))</f>
        <v/>
      </c>
      <c r="W1046" s="19">
        <f>IF($I1046="","",IF(ISNUMBER($I1046),TEXT($I1046,"0"),$I1046))</f>
        <v/>
      </c>
    </row>
    <row r="1047">
      <c r="B1047" s="25" t="n"/>
      <c r="I1047" s="25" t="n"/>
      <c r="U1047" s="19">
        <f>IF(AND($V1047='設定'!$C$4,COUNTIF('商品マスタ'!$B$6:$B$1005,$W1047)=0),N(U1046)+1,N(U1046))</f>
        <v/>
      </c>
      <c r="V1047" s="19">
        <f>IF($B1047="","",TEXT($B1047,"0000"))</f>
        <v/>
      </c>
      <c r="W1047" s="19">
        <f>IF($I1047="","",IF(ISNUMBER($I1047),TEXT($I1047,"0"),$I1047))</f>
        <v/>
      </c>
    </row>
    <row r="1048">
      <c r="B1048" s="25" t="n"/>
      <c r="I1048" s="25" t="n"/>
      <c r="U1048" s="19">
        <f>IF(AND($V1048='設定'!$C$4,COUNTIF('商品マスタ'!$B$6:$B$1005,$W1048)=0),N(U1047)+1,N(U1047))</f>
        <v/>
      </c>
      <c r="V1048" s="19">
        <f>IF($B1048="","",TEXT($B1048,"0000"))</f>
        <v/>
      </c>
      <c r="W1048" s="19">
        <f>IF($I1048="","",IF(ISNUMBER($I1048),TEXT($I1048,"0"),$I1048))</f>
        <v/>
      </c>
    </row>
    <row r="1049">
      <c r="B1049" s="25" t="n"/>
      <c r="I1049" s="25" t="n"/>
      <c r="U1049" s="19">
        <f>IF(AND($V1049='設定'!$C$4,COUNTIF('商品マスタ'!$B$6:$B$1005,$W1049)=0),N(U1048)+1,N(U1048))</f>
        <v/>
      </c>
      <c r="V1049" s="19">
        <f>IF($B1049="","",TEXT($B1049,"0000"))</f>
        <v/>
      </c>
      <c r="W1049" s="19">
        <f>IF($I1049="","",IF(ISNUMBER($I1049),TEXT($I1049,"0"),$I1049))</f>
        <v/>
      </c>
    </row>
    <row r="1050">
      <c r="B1050" s="25" t="n"/>
      <c r="I1050" s="25" t="n"/>
      <c r="U1050" s="19">
        <f>IF(AND($V1050='設定'!$C$4,COUNTIF('商品マスタ'!$B$6:$B$1005,$W1050)=0),N(U1049)+1,N(U1049))</f>
        <v/>
      </c>
      <c r="V1050" s="19">
        <f>IF($B1050="","",TEXT($B1050,"0000"))</f>
        <v/>
      </c>
      <c r="W1050" s="19">
        <f>IF($I1050="","",IF(ISNUMBER($I1050),TEXT($I1050,"0"),$I1050))</f>
        <v/>
      </c>
    </row>
    <row r="1051">
      <c r="B1051" s="25" t="n"/>
      <c r="I1051" s="25" t="n"/>
      <c r="U1051" s="19">
        <f>IF(AND($V1051='設定'!$C$4,COUNTIF('商品マスタ'!$B$6:$B$1005,$W1051)=0),N(U1050)+1,N(U1050))</f>
        <v/>
      </c>
      <c r="V1051" s="19">
        <f>IF($B1051="","",TEXT($B1051,"0000"))</f>
        <v/>
      </c>
      <c r="W1051" s="19">
        <f>IF($I1051="","",IF(ISNUMBER($I1051),TEXT($I1051,"0"),$I1051))</f>
        <v/>
      </c>
    </row>
    <row r="1052">
      <c r="B1052" s="25" t="n"/>
      <c r="I1052" s="25" t="n"/>
      <c r="U1052" s="19">
        <f>IF(AND($V1052='設定'!$C$4,COUNTIF('商品マスタ'!$B$6:$B$1005,$W1052)=0),N(U1051)+1,N(U1051))</f>
        <v/>
      </c>
      <c r="V1052" s="19">
        <f>IF($B1052="","",TEXT($B1052,"0000"))</f>
        <v/>
      </c>
      <c r="W1052" s="19">
        <f>IF($I1052="","",IF(ISNUMBER($I1052),TEXT($I1052,"0"),$I1052))</f>
        <v/>
      </c>
    </row>
    <row r="1053">
      <c r="B1053" s="25" t="n"/>
      <c r="I1053" s="25" t="n"/>
      <c r="U1053" s="19">
        <f>IF(AND($V1053='設定'!$C$4,COUNTIF('商品マスタ'!$B$6:$B$1005,$W1053)=0),N(U1052)+1,N(U1052))</f>
        <v/>
      </c>
      <c r="V1053" s="19">
        <f>IF($B1053="","",TEXT($B1053,"0000"))</f>
        <v/>
      </c>
      <c r="W1053" s="19">
        <f>IF($I1053="","",IF(ISNUMBER($I1053),TEXT($I1053,"0"),$I1053))</f>
        <v/>
      </c>
    </row>
    <row r="1054">
      <c r="B1054" s="25" t="n"/>
      <c r="I1054" s="25" t="n"/>
      <c r="U1054" s="19">
        <f>IF(AND($V1054='設定'!$C$4,COUNTIF('商品マスタ'!$B$6:$B$1005,$W1054)=0),N(U1053)+1,N(U1053))</f>
        <v/>
      </c>
      <c r="V1054" s="19">
        <f>IF($B1054="","",TEXT($B1054,"0000"))</f>
        <v/>
      </c>
      <c r="W1054" s="19">
        <f>IF($I1054="","",IF(ISNUMBER($I1054),TEXT($I1054,"0"),$I1054))</f>
        <v/>
      </c>
    </row>
    <row r="1055">
      <c r="B1055" s="25" t="n"/>
      <c r="I1055" s="25" t="n"/>
      <c r="U1055" s="19">
        <f>IF(AND($V1055='設定'!$C$4,COUNTIF('商品マスタ'!$B$6:$B$1005,$W1055)=0),N(U1054)+1,N(U1054))</f>
        <v/>
      </c>
      <c r="V1055" s="19">
        <f>IF($B1055="","",TEXT($B1055,"0000"))</f>
        <v/>
      </c>
      <c r="W1055" s="19">
        <f>IF($I1055="","",IF(ISNUMBER($I1055),TEXT($I1055,"0"),$I1055))</f>
        <v/>
      </c>
    </row>
    <row r="1056">
      <c r="B1056" s="25" t="n"/>
      <c r="I1056" s="25" t="n"/>
      <c r="U1056" s="19">
        <f>IF(AND($V1056='設定'!$C$4,COUNTIF('商品マスタ'!$B$6:$B$1005,$W1056)=0),N(U1055)+1,N(U1055))</f>
        <v/>
      </c>
      <c r="V1056" s="19">
        <f>IF($B1056="","",TEXT($B1056,"0000"))</f>
        <v/>
      </c>
      <c r="W1056" s="19">
        <f>IF($I1056="","",IF(ISNUMBER($I1056),TEXT($I1056,"0"),$I1056))</f>
        <v/>
      </c>
    </row>
    <row r="1057">
      <c r="B1057" s="25" t="n"/>
      <c r="I1057" s="25" t="n"/>
      <c r="U1057" s="19">
        <f>IF(AND($V1057='設定'!$C$4,COUNTIF('商品マスタ'!$B$6:$B$1005,$W1057)=0),N(U1056)+1,N(U1056))</f>
        <v/>
      </c>
      <c r="V1057" s="19">
        <f>IF($B1057="","",TEXT($B1057,"0000"))</f>
        <v/>
      </c>
      <c r="W1057" s="19">
        <f>IF($I1057="","",IF(ISNUMBER($I1057),TEXT($I1057,"0"),$I1057))</f>
        <v/>
      </c>
    </row>
    <row r="1058">
      <c r="B1058" s="25" t="n"/>
      <c r="I1058" s="25" t="n"/>
      <c r="U1058" s="19">
        <f>IF(AND($V1058='設定'!$C$4,COUNTIF('商品マスタ'!$B$6:$B$1005,$W1058)=0),N(U1057)+1,N(U1057))</f>
        <v/>
      </c>
      <c r="V1058" s="19">
        <f>IF($B1058="","",TEXT($B1058,"0000"))</f>
        <v/>
      </c>
      <c r="W1058" s="19">
        <f>IF($I1058="","",IF(ISNUMBER($I1058),TEXT($I1058,"0"),$I1058))</f>
        <v/>
      </c>
    </row>
    <row r="1059">
      <c r="B1059" s="25" t="n"/>
      <c r="I1059" s="25" t="n"/>
      <c r="U1059" s="19">
        <f>IF(AND($V1059='設定'!$C$4,COUNTIF('商品マスタ'!$B$6:$B$1005,$W1059)=0),N(U1058)+1,N(U1058))</f>
        <v/>
      </c>
      <c r="V1059" s="19">
        <f>IF($B1059="","",TEXT($B1059,"0000"))</f>
        <v/>
      </c>
      <c r="W1059" s="19">
        <f>IF($I1059="","",IF(ISNUMBER($I1059),TEXT($I1059,"0"),$I1059))</f>
        <v/>
      </c>
    </row>
    <row r="1060">
      <c r="B1060" s="25" t="n"/>
      <c r="I1060" s="25" t="n"/>
      <c r="U1060" s="19">
        <f>IF(AND($V1060='設定'!$C$4,COUNTIF('商品マスタ'!$B$6:$B$1005,$W1060)=0),N(U1059)+1,N(U1059))</f>
        <v/>
      </c>
      <c r="V1060" s="19">
        <f>IF($B1060="","",TEXT($B1060,"0000"))</f>
        <v/>
      </c>
      <c r="W1060" s="19">
        <f>IF($I1060="","",IF(ISNUMBER($I1060),TEXT($I1060,"0"),$I1060))</f>
        <v/>
      </c>
    </row>
    <row r="1061">
      <c r="B1061" s="25" t="n"/>
      <c r="I1061" s="25" t="n"/>
      <c r="U1061" s="19">
        <f>IF(AND($V1061='設定'!$C$4,COUNTIF('商品マスタ'!$B$6:$B$1005,$W1061)=0),N(U1060)+1,N(U1060))</f>
        <v/>
      </c>
      <c r="V1061" s="19">
        <f>IF($B1061="","",TEXT($B1061,"0000"))</f>
        <v/>
      </c>
      <c r="W1061" s="19">
        <f>IF($I1061="","",IF(ISNUMBER($I1061),TEXT($I1061,"0"),$I1061))</f>
        <v/>
      </c>
    </row>
    <row r="1062">
      <c r="B1062" s="25" t="n"/>
      <c r="I1062" s="25" t="n"/>
      <c r="U1062" s="19">
        <f>IF(AND($V1062='設定'!$C$4,COUNTIF('商品マスタ'!$B$6:$B$1005,$W1062)=0),N(U1061)+1,N(U1061))</f>
        <v/>
      </c>
      <c r="V1062" s="19">
        <f>IF($B1062="","",TEXT($B1062,"0000"))</f>
        <v/>
      </c>
      <c r="W1062" s="19">
        <f>IF($I1062="","",IF(ISNUMBER($I1062),TEXT($I1062,"0"),$I1062))</f>
        <v/>
      </c>
    </row>
    <row r="1063">
      <c r="B1063" s="25" t="n"/>
      <c r="I1063" s="25" t="n"/>
      <c r="U1063" s="19">
        <f>IF(AND($V1063='設定'!$C$4,COUNTIF('商品マスタ'!$B$6:$B$1005,$W1063)=0),N(U1062)+1,N(U1062))</f>
        <v/>
      </c>
      <c r="V1063" s="19">
        <f>IF($B1063="","",TEXT($B1063,"0000"))</f>
        <v/>
      </c>
      <c r="W1063" s="19">
        <f>IF($I1063="","",IF(ISNUMBER($I1063),TEXT($I1063,"0"),$I1063))</f>
        <v/>
      </c>
    </row>
    <row r="1064">
      <c r="B1064" s="25" t="n"/>
      <c r="I1064" s="25" t="n"/>
      <c r="U1064" s="19">
        <f>IF(AND($V1064='設定'!$C$4,COUNTIF('商品マスタ'!$B$6:$B$1005,$W1064)=0),N(U1063)+1,N(U1063))</f>
        <v/>
      </c>
      <c r="V1064" s="19">
        <f>IF($B1064="","",TEXT($B1064,"0000"))</f>
        <v/>
      </c>
      <c r="W1064" s="19">
        <f>IF($I1064="","",IF(ISNUMBER($I1064),TEXT($I1064,"0"),$I1064))</f>
        <v/>
      </c>
    </row>
    <row r="1065">
      <c r="B1065" s="25" t="n"/>
      <c r="I1065" s="25" t="n"/>
      <c r="U1065" s="19">
        <f>IF(AND($V1065='設定'!$C$4,COUNTIF('商品マスタ'!$B$6:$B$1005,$W1065)=0),N(U1064)+1,N(U1064))</f>
        <v/>
      </c>
      <c r="V1065" s="19">
        <f>IF($B1065="","",TEXT($B1065,"0000"))</f>
        <v/>
      </c>
      <c r="W1065" s="19">
        <f>IF($I1065="","",IF(ISNUMBER($I1065),TEXT($I1065,"0"),$I1065))</f>
        <v/>
      </c>
    </row>
    <row r="1066">
      <c r="B1066" s="25" t="n"/>
      <c r="I1066" s="25" t="n"/>
      <c r="U1066" s="19">
        <f>IF(AND($V1066='設定'!$C$4,COUNTIF('商品マスタ'!$B$6:$B$1005,$W1066)=0),N(U1065)+1,N(U1065))</f>
        <v/>
      </c>
      <c r="V1066" s="19">
        <f>IF($B1066="","",TEXT($B1066,"0000"))</f>
        <v/>
      </c>
      <c r="W1066" s="19">
        <f>IF($I1066="","",IF(ISNUMBER($I1066),TEXT($I1066,"0"),$I1066))</f>
        <v/>
      </c>
    </row>
    <row r="1067">
      <c r="B1067" s="25" t="n"/>
      <c r="I1067" s="25" t="n"/>
      <c r="U1067" s="19">
        <f>IF(AND($V1067='設定'!$C$4,COUNTIF('商品マスタ'!$B$6:$B$1005,$W1067)=0),N(U1066)+1,N(U1066))</f>
        <v/>
      </c>
      <c r="V1067" s="19">
        <f>IF($B1067="","",TEXT($B1067,"0000"))</f>
        <v/>
      </c>
      <c r="W1067" s="19">
        <f>IF($I1067="","",IF(ISNUMBER($I1067),TEXT($I1067,"0"),$I1067))</f>
        <v/>
      </c>
    </row>
    <row r="1068">
      <c r="B1068" s="25" t="n"/>
      <c r="I1068" s="25" t="n"/>
      <c r="U1068" s="19">
        <f>IF(AND($V1068='設定'!$C$4,COUNTIF('商品マスタ'!$B$6:$B$1005,$W1068)=0),N(U1067)+1,N(U1067))</f>
        <v/>
      </c>
      <c r="V1068" s="19">
        <f>IF($B1068="","",TEXT($B1068,"0000"))</f>
        <v/>
      </c>
      <c r="W1068" s="19">
        <f>IF($I1068="","",IF(ISNUMBER($I1068),TEXT($I1068,"0"),$I1068))</f>
        <v/>
      </c>
    </row>
    <row r="1069">
      <c r="B1069" s="25" t="n"/>
      <c r="I1069" s="25" t="n"/>
      <c r="U1069" s="19">
        <f>IF(AND($V1069='設定'!$C$4,COUNTIF('商品マスタ'!$B$6:$B$1005,$W1069)=0),N(U1068)+1,N(U1068))</f>
        <v/>
      </c>
      <c r="V1069" s="19">
        <f>IF($B1069="","",TEXT($B1069,"0000"))</f>
        <v/>
      </c>
      <c r="W1069" s="19">
        <f>IF($I1069="","",IF(ISNUMBER($I1069),TEXT($I1069,"0"),$I1069))</f>
        <v/>
      </c>
    </row>
    <row r="1070">
      <c r="B1070" s="25" t="n"/>
      <c r="I1070" s="25" t="n"/>
      <c r="U1070" s="19">
        <f>IF(AND($V1070='設定'!$C$4,COUNTIF('商品マスタ'!$B$6:$B$1005,$W1070)=0),N(U1069)+1,N(U1069))</f>
        <v/>
      </c>
      <c r="V1070" s="19">
        <f>IF($B1070="","",TEXT($B1070,"0000"))</f>
        <v/>
      </c>
      <c r="W1070" s="19">
        <f>IF($I1070="","",IF(ISNUMBER($I1070),TEXT($I1070,"0"),$I1070))</f>
        <v/>
      </c>
    </row>
    <row r="1071">
      <c r="B1071" s="25" t="n"/>
      <c r="I1071" s="25" t="n"/>
      <c r="U1071" s="19">
        <f>IF(AND($V1071='設定'!$C$4,COUNTIF('商品マスタ'!$B$6:$B$1005,$W1071)=0),N(U1070)+1,N(U1070))</f>
        <v/>
      </c>
      <c r="V1071" s="19">
        <f>IF($B1071="","",TEXT($B1071,"0000"))</f>
        <v/>
      </c>
      <c r="W1071" s="19">
        <f>IF($I1071="","",IF(ISNUMBER($I1071),TEXT($I1071,"0"),$I1071))</f>
        <v/>
      </c>
    </row>
    <row r="1072">
      <c r="B1072" s="25" t="n"/>
      <c r="I1072" s="25" t="n"/>
      <c r="U1072" s="19">
        <f>IF(AND($V1072='設定'!$C$4,COUNTIF('商品マスタ'!$B$6:$B$1005,$W1072)=0),N(U1071)+1,N(U1071))</f>
        <v/>
      </c>
      <c r="V1072" s="19">
        <f>IF($B1072="","",TEXT($B1072,"0000"))</f>
        <v/>
      </c>
      <c r="W1072" s="19">
        <f>IF($I1072="","",IF(ISNUMBER($I1072),TEXT($I1072,"0"),$I1072))</f>
        <v/>
      </c>
    </row>
    <row r="1073">
      <c r="B1073" s="25" t="n"/>
      <c r="I1073" s="25" t="n"/>
      <c r="U1073" s="19">
        <f>IF(AND($V1073='設定'!$C$4,COUNTIF('商品マスタ'!$B$6:$B$1005,$W1073)=0),N(U1072)+1,N(U1072))</f>
        <v/>
      </c>
      <c r="V1073" s="19">
        <f>IF($B1073="","",TEXT($B1073,"0000"))</f>
        <v/>
      </c>
      <c r="W1073" s="19">
        <f>IF($I1073="","",IF(ISNUMBER($I1073),TEXT($I1073,"0"),$I1073))</f>
        <v/>
      </c>
    </row>
    <row r="1074">
      <c r="B1074" s="25" t="n"/>
      <c r="I1074" s="25" t="n"/>
      <c r="U1074" s="19">
        <f>IF(AND($V1074='設定'!$C$4,COUNTIF('商品マスタ'!$B$6:$B$1005,$W1074)=0),N(U1073)+1,N(U1073))</f>
        <v/>
      </c>
      <c r="V1074" s="19">
        <f>IF($B1074="","",TEXT($B1074,"0000"))</f>
        <v/>
      </c>
      <c r="W1074" s="19">
        <f>IF($I1074="","",IF(ISNUMBER($I1074),TEXT($I1074,"0"),$I1074))</f>
        <v/>
      </c>
    </row>
    <row r="1075">
      <c r="B1075" s="25" t="n"/>
      <c r="I1075" s="25" t="n"/>
      <c r="U1075" s="19">
        <f>IF(AND($V1075='設定'!$C$4,COUNTIF('商品マスタ'!$B$6:$B$1005,$W1075)=0),N(U1074)+1,N(U1074))</f>
        <v/>
      </c>
      <c r="V1075" s="19">
        <f>IF($B1075="","",TEXT($B1075,"0000"))</f>
        <v/>
      </c>
      <c r="W1075" s="19">
        <f>IF($I1075="","",IF(ISNUMBER($I1075),TEXT($I1075,"0"),$I1075))</f>
        <v/>
      </c>
    </row>
    <row r="1076">
      <c r="B1076" s="25" t="n"/>
      <c r="I1076" s="25" t="n"/>
      <c r="U1076" s="19">
        <f>IF(AND($V1076='設定'!$C$4,COUNTIF('商品マスタ'!$B$6:$B$1005,$W1076)=0),N(U1075)+1,N(U1075))</f>
        <v/>
      </c>
      <c r="V1076" s="19">
        <f>IF($B1076="","",TEXT($B1076,"0000"))</f>
        <v/>
      </c>
      <c r="W1076" s="19">
        <f>IF($I1076="","",IF(ISNUMBER($I1076),TEXT($I1076,"0"),$I1076))</f>
        <v/>
      </c>
    </row>
    <row r="1077">
      <c r="B1077" s="25" t="n"/>
      <c r="I1077" s="25" t="n"/>
      <c r="U1077" s="19">
        <f>IF(AND($V1077='設定'!$C$4,COUNTIF('商品マスタ'!$B$6:$B$1005,$W1077)=0),N(U1076)+1,N(U1076))</f>
        <v/>
      </c>
      <c r="V1077" s="19">
        <f>IF($B1077="","",TEXT($B1077,"0000"))</f>
        <v/>
      </c>
      <c r="W1077" s="19">
        <f>IF($I1077="","",IF(ISNUMBER($I1077),TEXT($I1077,"0"),$I1077))</f>
        <v/>
      </c>
    </row>
    <row r="1078">
      <c r="B1078" s="25" t="n"/>
      <c r="I1078" s="25" t="n"/>
      <c r="U1078" s="19">
        <f>IF(AND($V1078='設定'!$C$4,COUNTIF('商品マスタ'!$B$6:$B$1005,$W1078)=0),N(U1077)+1,N(U1077))</f>
        <v/>
      </c>
      <c r="V1078" s="19">
        <f>IF($B1078="","",TEXT($B1078,"0000"))</f>
        <v/>
      </c>
      <c r="W1078" s="19">
        <f>IF($I1078="","",IF(ISNUMBER($I1078),TEXT($I1078,"0"),$I1078))</f>
        <v/>
      </c>
    </row>
    <row r="1079">
      <c r="B1079" s="25" t="n"/>
      <c r="I1079" s="25" t="n"/>
      <c r="U1079" s="19">
        <f>IF(AND($V1079='設定'!$C$4,COUNTIF('商品マスタ'!$B$6:$B$1005,$W1079)=0),N(U1078)+1,N(U1078))</f>
        <v/>
      </c>
      <c r="V1079" s="19">
        <f>IF($B1079="","",TEXT($B1079,"0000"))</f>
        <v/>
      </c>
      <c r="W1079" s="19">
        <f>IF($I1079="","",IF(ISNUMBER($I1079),TEXT($I1079,"0"),$I1079))</f>
        <v/>
      </c>
    </row>
    <row r="1080">
      <c r="B1080" s="25" t="n"/>
      <c r="I1080" s="25" t="n"/>
      <c r="U1080" s="19">
        <f>IF(AND($V1080='設定'!$C$4,COUNTIF('商品マスタ'!$B$6:$B$1005,$W1080)=0),N(U1079)+1,N(U1079))</f>
        <v/>
      </c>
      <c r="V1080" s="19">
        <f>IF($B1080="","",TEXT($B1080,"0000"))</f>
        <v/>
      </c>
      <c r="W1080" s="19">
        <f>IF($I1080="","",IF(ISNUMBER($I1080),TEXT($I1080,"0"),$I1080))</f>
        <v/>
      </c>
    </row>
    <row r="1081">
      <c r="B1081" s="25" t="n"/>
      <c r="I1081" s="25" t="n"/>
      <c r="U1081" s="19">
        <f>IF(AND($V1081='設定'!$C$4,COUNTIF('商品マスタ'!$B$6:$B$1005,$W1081)=0),N(U1080)+1,N(U1080))</f>
        <v/>
      </c>
      <c r="V1081" s="19">
        <f>IF($B1081="","",TEXT($B1081,"0000"))</f>
        <v/>
      </c>
      <c r="W1081" s="19">
        <f>IF($I1081="","",IF(ISNUMBER($I1081),TEXT($I1081,"0"),$I1081))</f>
        <v/>
      </c>
    </row>
    <row r="1082">
      <c r="B1082" s="25" t="n"/>
      <c r="I1082" s="25" t="n"/>
      <c r="U1082" s="19">
        <f>IF(AND($V1082='設定'!$C$4,COUNTIF('商品マスタ'!$B$6:$B$1005,$W1082)=0),N(U1081)+1,N(U1081))</f>
        <v/>
      </c>
      <c r="V1082" s="19">
        <f>IF($B1082="","",TEXT($B1082,"0000"))</f>
        <v/>
      </c>
      <c r="W1082" s="19">
        <f>IF($I1082="","",IF(ISNUMBER($I1082),TEXT($I1082,"0"),$I1082))</f>
        <v/>
      </c>
    </row>
    <row r="1083">
      <c r="B1083" s="25" t="n"/>
      <c r="I1083" s="25" t="n"/>
      <c r="U1083" s="19">
        <f>IF(AND($V1083='設定'!$C$4,COUNTIF('商品マスタ'!$B$6:$B$1005,$W1083)=0),N(U1082)+1,N(U1082))</f>
        <v/>
      </c>
      <c r="V1083" s="19">
        <f>IF($B1083="","",TEXT($B1083,"0000"))</f>
        <v/>
      </c>
      <c r="W1083" s="19">
        <f>IF($I1083="","",IF(ISNUMBER($I1083),TEXT($I1083,"0"),$I1083))</f>
        <v/>
      </c>
    </row>
    <row r="1084">
      <c r="B1084" s="25" t="n"/>
      <c r="I1084" s="25" t="n"/>
      <c r="U1084" s="19">
        <f>IF(AND($V1084='設定'!$C$4,COUNTIF('商品マスタ'!$B$6:$B$1005,$W1084)=0),N(U1083)+1,N(U1083))</f>
        <v/>
      </c>
      <c r="V1084" s="19">
        <f>IF($B1084="","",TEXT($B1084,"0000"))</f>
        <v/>
      </c>
      <c r="W1084" s="19">
        <f>IF($I1084="","",IF(ISNUMBER($I1084),TEXT($I1084,"0"),$I1084))</f>
        <v/>
      </c>
    </row>
    <row r="1085">
      <c r="B1085" s="25" t="n"/>
      <c r="I1085" s="25" t="n"/>
      <c r="U1085" s="19">
        <f>IF(AND($V1085='設定'!$C$4,COUNTIF('商品マスタ'!$B$6:$B$1005,$W1085)=0),N(U1084)+1,N(U1084))</f>
        <v/>
      </c>
      <c r="V1085" s="19">
        <f>IF($B1085="","",TEXT($B1085,"0000"))</f>
        <v/>
      </c>
      <c r="W1085" s="19">
        <f>IF($I1085="","",IF(ISNUMBER($I1085),TEXT($I1085,"0"),$I1085))</f>
        <v/>
      </c>
    </row>
    <row r="1086">
      <c r="B1086" s="25" t="n"/>
      <c r="I1086" s="25" t="n"/>
      <c r="U1086" s="19">
        <f>IF(AND($V1086='設定'!$C$4,COUNTIF('商品マスタ'!$B$6:$B$1005,$W1086)=0),N(U1085)+1,N(U1085))</f>
        <v/>
      </c>
      <c r="V1086" s="19">
        <f>IF($B1086="","",TEXT($B1086,"0000"))</f>
        <v/>
      </c>
      <c r="W1086" s="19">
        <f>IF($I1086="","",IF(ISNUMBER($I1086),TEXT($I1086,"0"),$I1086))</f>
        <v/>
      </c>
    </row>
    <row r="1087">
      <c r="B1087" s="25" t="n"/>
      <c r="I1087" s="25" t="n"/>
      <c r="U1087" s="19">
        <f>IF(AND($V1087='設定'!$C$4,COUNTIF('商品マスタ'!$B$6:$B$1005,$W1087)=0),N(U1086)+1,N(U1086))</f>
        <v/>
      </c>
      <c r="V1087" s="19">
        <f>IF($B1087="","",TEXT($B1087,"0000"))</f>
        <v/>
      </c>
      <c r="W1087" s="19">
        <f>IF($I1087="","",IF(ISNUMBER($I1087),TEXT($I1087,"0"),$I1087))</f>
        <v/>
      </c>
    </row>
    <row r="1088">
      <c r="B1088" s="25" t="n"/>
      <c r="I1088" s="25" t="n"/>
      <c r="U1088" s="19">
        <f>IF(AND($V1088='設定'!$C$4,COUNTIF('商品マスタ'!$B$6:$B$1005,$W1088)=0),N(U1087)+1,N(U1087))</f>
        <v/>
      </c>
      <c r="V1088" s="19">
        <f>IF($B1088="","",TEXT($B1088,"0000"))</f>
        <v/>
      </c>
      <c r="W1088" s="19">
        <f>IF($I1088="","",IF(ISNUMBER($I1088),TEXT($I1088,"0"),$I1088))</f>
        <v/>
      </c>
    </row>
    <row r="1089">
      <c r="B1089" s="25" t="n"/>
      <c r="I1089" s="25" t="n"/>
      <c r="U1089" s="19">
        <f>IF(AND($V1089='設定'!$C$4,COUNTIF('商品マスタ'!$B$6:$B$1005,$W1089)=0),N(U1088)+1,N(U1088))</f>
        <v/>
      </c>
      <c r="V1089" s="19">
        <f>IF($B1089="","",TEXT($B1089,"0000"))</f>
        <v/>
      </c>
      <c r="W1089" s="19">
        <f>IF($I1089="","",IF(ISNUMBER($I1089),TEXT($I1089,"0"),$I1089))</f>
        <v/>
      </c>
    </row>
    <row r="1090">
      <c r="B1090" s="25" t="n"/>
      <c r="I1090" s="25" t="n"/>
      <c r="U1090" s="19">
        <f>IF(AND($V1090='設定'!$C$4,COUNTIF('商品マスタ'!$B$6:$B$1005,$W1090)=0),N(U1089)+1,N(U1089))</f>
        <v/>
      </c>
      <c r="V1090" s="19">
        <f>IF($B1090="","",TEXT($B1090,"0000"))</f>
        <v/>
      </c>
      <c r="W1090" s="19">
        <f>IF($I1090="","",IF(ISNUMBER($I1090),TEXT($I1090,"0"),$I1090))</f>
        <v/>
      </c>
    </row>
    <row r="1091">
      <c r="B1091" s="25" t="n"/>
      <c r="I1091" s="25" t="n"/>
      <c r="U1091" s="19">
        <f>IF(AND($V1091='設定'!$C$4,COUNTIF('商品マスタ'!$B$6:$B$1005,$W1091)=0),N(U1090)+1,N(U1090))</f>
        <v/>
      </c>
      <c r="V1091" s="19">
        <f>IF($B1091="","",TEXT($B1091,"0000"))</f>
        <v/>
      </c>
      <c r="W1091" s="19">
        <f>IF($I1091="","",IF(ISNUMBER($I1091),TEXT($I1091,"0"),$I1091))</f>
        <v/>
      </c>
    </row>
    <row r="1092">
      <c r="B1092" s="25" t="n"/>
      <c r="I1092" s="25" t="n"/>
      <c r="U1092" s="19">
        <f>IF(AND($V1092='設定'!$C$4,COUNTIF('商品マスタ'!$B$6:$B$1005,$W1092)=0),N(U1091)+1,N(U1091))</f>
        <v/>
      </c>
      <c r="V1092" s="19">
        <f>IF($B1092="","",TEXT($B1092,"0000"))</f>
        <v/>
      </c>
      <c r="W1092" s="19">
        <f>IF($I1092="","",IF(ISNUMBER($I1092),TEXT($I1092,"0"),$I1092))</f>
        <v/>
      </c>
    </row>
    <row r="1093">
      <c r="B1093" s="25" t="n"/>
      <c r="I1093" s="25" t="n"/>
      <c r="U1093" s="19">
        <f>IF(AND($V1093='設定'!$C$4,COUNTIF('商品マスタ'!$B$6:$B$1005,$W1093)=0),N(U1092)+1,N(U1092))</f>
        <v/>
      </c>
      <c r="V1093" s="19">
        <f>IF($B1093="","",TEXT($B1093,"0000"))</f>
        <v/>
      </c>
      <c r="W1093" s="19">
        <f>IF($I1093="","",IF(ISNUMBER($I1093),TEXT($I1093,"0"),$I1093))</f>
        <v/>
      </c>
    </row>
    <row r="1094">
      <c r="B1094" s="25" t="n"/>
      <c r="I1094" s="25" t="n"/>
      <c r="U1094" s="19">
        <f>IF(AND($V1094='設定'!$C$4,COUNTIF('商品マスタ'!$B$6:$B$1005,$W1094)=0),N(U1093)+1,N(U1093))</f>
        <v/>
      </c>
      <c r="V1094" s="19">
        <f>IF($B1094="","",TEXT($B1094,"0000"))</f>
        <v/>
      </c>
      <c r="W1094" s="19">
        <f>IF($I1094="","",IF(ISNUMBER($I1094),TEXT($I1094,"0"),$I1094))</f>
        <v/>
      </c>
    </row>
    <row r="1095">
      <c r="B1095" s="25" t="n"/>
      <c r="I1095" s="25" t="n"/>
      <c r="U1095" s="19">
        <f>IF(AND($V1095='設定'!$C$4,COUNTIF('商品マスタ'!$B$6:$B$1005,$W1095)=0),N(U1094)+1,N(U1094))</f>
        <v/>
      </c>
      <c r="V1095" s="19">
        <f>IF($B1095="","",TEXT($B1095,"0000"))</f>
        <v/>
      </c>
      <c r="W1095" s="19">
        <f>IF($I1095="","",IF(ISNUMBER($I1095),TEXT($I1095,"0"),$I1095))</f>
        <v/>
      </c>
    </row>
    <row r="1096">
      <c r="B1096" s="25" t="n"/>
      <c r="I1096" s="25" t="n"/>
      <c r="U1096" s="19">
        <f>IF(AND($V1096='設定'!$C$4,COUNTIF('商品マスタ'!$B$6:$B$1005,$W1096)=0),N(U1095)+1,N(U1095))</f>
        <v/>
      </c>
      <c r="V1096" s="19">
        <f>IF($B1096="","",TEXT($B1096,"0000"))</f>
        <v/>
      </c>
      <c r="W1096" s="19">
        <f>IF($I1096="","",IF(ISNUMBER($I1096),TEXT($I1096,"0"),$I1096))</f>
        <v/>
      </c>
    </row>
    <row r="1097">
      <c r="B1097" s="25" t="n"/>
      <c r="I1097" s="25" t="n"/>
      <c r="U1097" s="19">
        <f>IF(AND($V1097='設定'!$C$4,COUNTIF('商品マスタ'!$B$6:$B$1005,$W1097)=0),N(U1096)+1,N(U1096))</f>
        <v/>
      </c>
      <c r="V1097" s="19">
        <f>IF($B1097="","",TEXT($B1097,"0000"))</f>
        <v/>
      </c>
      <c r="W1097" s="19">
        <f>IF($I1097="","",IF(ISNUMBER($I1097),TEXT($I1097,"0"),$I1097))</f>
        <v/>
      </c>
    </row>
    <row r="1098">
      <c r="B1098" s="25" t="n"/>
      <c r="I1098" s="25" t="n"/>
      <c r="U1098" s="19">
        <f>IF(AND($V1098='設定'!$C$4,COUNTIF('商品マスタ'!$B$6:$B$1005,$W1098)=0),N(U1097)+1,N(U1097))</f>
        <v/>
      </c>
      <c r="V1098" s="19">
        <f>IF($B1098="","",TEXT($B1098,"0000"))</f>
        <v/>
      </c>
      <c r="W1098" s="19">
        <f>IF($I1098="","",IF(ISNUMBER($I1098),TEXT($I1098,"0"),$I1098))</f>
        <v/>
      </c>
    </row>
    <row r="1099">
      <c r="B1099" s="25" t="n"/>
      <c r="I1099" s="25" t="n"/>
      <c r="U1099" s="19">
        <f>IF(AND($V1099='設定'!$C$4,COUNTIF('商品マスタ'!$B$6:$B$1005,$W1099)=0),N(U1098)+1,N(U1098))</f>
        <v/>
      </c>
      <c r="V1099" s="19">
        <f>IF($B1099="","",TEXT($B1099,"0000"))</f>
        <v/>
      </c>
      <c r="W1099" s="19">
        <f>IF($I1099="","",IF(ISNUMBER($I1099),TEXT($I1099,"0"),$I1099))</f>
        <v/>
      </c>
    </row>
    <row r="1100">
      <c r="B1100" s="25" t="n"/>
      <c r="I1100" s="25" t="n"/>
      <c r="U1100" s="19">
        <f>IF(AND($V1100='設定'!$C$4,COUNTIF('商品マスタ'!$B$6:$B$1005,$W1100)=0),N(U1099)+1,N(U1099))</f>
        <v/>
      </c>
      <c r="V1100" s="19">
        <f>IF($B1100="","",TEXT($B1100,"0000"))</f>
        <v/>
      </c>
      <c r="W1100" s="19">
        <f>IF($I1100="","",IF(ISNUMBER($I1100),TEXT($I1100,"0"),$I1100))</f>
        <v/>
      </c>
    </row>
    <row r="1101">
      <c r="B1101" s="25" t="n"/>
      <c r="I1101" s="25" t="n"/>
      <c r="U1101" s="19">
        <f>IF(AND($V1101='設定'!$C$4,COUNTIF('商品マスタ'!$B$6:$B$1005,$W1101)=0),N(U1100)+1,N(U1100))</f>
        <v/>
      </c>
      <c r="V1101" s="19">
        <f>IF($B1101="","",TEXT($B1101,"0000"))</f>
        <v/>
      </c>
      <c r="W1101" s="19">
        <f>IF($I1101="","",IF(ISNUMBER($I1101),TEXT($I1101,"0"),$I1101))</f>
        <v/>
      </c>
    </row>
    <row r="1102">
      <c r="B1102" s="25" t="n"/>
      <c r="I1102" s="25" t="n"/>
      <c r="U1102" s="19">
        <f>IF(AND($V1102='設定'!$C$4,COUNTIF('商品マスタ'!$B$6:$B$1005,$W1102)=0),N(U1101)+1,N(U1101))</f>
        <v/>
      </c>
      <c r="V1102" s="19">
        <f>IF($B1102="","",TEXT($B1102,"0000"))</f>
        <v/>
      </c>
      <c r="W1102" s="19">
        <f>IF($I1102="","",IF(ISNUMBER($I1102),TEXT($I1102,"0"),$I1102))</f>
        <v/>
      </c>
    </row>
    <row r="1103">
      <c r="B1103" s="25" t="n"/>
      <c r="I1103" s="25" t="n"/>
      <c r="U1103" s="19">
        <f>IF(AND($V1103='設定'!$C$4,COUNTIF('商品マスタ'!$B$6:$B$1005,$W1103)=0),N(U1102)+1,N(U1102))</f>
        <v/>
      </c>
      <c r="V1103" s="19">
        <f>IF($B1103="","",TEXT($B1103,"0000"))</f>
        <v/>
      </c>
      <c r="W1103" s="19">
        <f>IF($I1103="","",IF(ISNUMBER($I1103),TEXT($I1103,"0"),$I1103))</f>
        <v/>
      </c>
    </row>
    <row r="1104">
      <c r="B1104" s="25" t="n"/>
      <c r="I1104" s="25" t="n"/>
      <c r="U1104" s="19">
        <f>IF(AND($V1104='設定'!$C$4,COUNTIF('商品マスタ'!$B$6:$B$1005,$W1104)=0),N(U1103)+1,N(U1103))</f>
        <v/>
      </c>
      <c r="V1104" s="19">
        <f>IF($B1104="","",TEXT($B1104,"0000"))</f>
        <v/>
      </c>
      <c r="W1104" s="19">
        <f>IF($I1104="","",IF(ISNUMBER($I1104),TEXT($I1104,"0"),$I1104))</f>
        <v/>
      </c>
    </row>
    <row r="1105">
      <c r="B1105" s="25" t="n"/>
      <c r="I1105" s="25" t="n"/>
      <c r="U1105" s="19">
        <f>IF(AND($V1105='設定'!$C$4,COUNTIF('商品マスタ'!$B$6:$B$1005,$W1105)=0),N(U1104)+1,N(U1104))</f>
        <v/>
      </c>
      <c r="V1105" s="19">
        <f>IF($B1105="","",TEXT($B1105,"0000"))</f>
        <v/>
      </c>
      <c r="W1105" s="19">
        <f>IF($I1105="","",IF(ISNUMBER($I1105),TEXT($I1105,"0"),$I1105))</f>
        <v/>
      </c>
    </row>
    <row r="1106">
      <c r="B1106" s="25" t="n"/>
      <c r="I1106" s="25" t="n"/>
      <c r="U1106" s="19">
        <f>IF(AND($V1106='設定'!$C$4,COUNTIF('商品マスタ'!$B$6:$B$1005,$W1106)=0),N(U1105)+1,N(U1105))</f>
        <v/>
      </c>
      <c r="V1106" s="19">
        <f>IF($B1106="","",TEXT($B1106,"0000"))</f>
        <v/>
      </c>
      <c r="W1106" s="19">
        <f>IF($I1106="","",IF(ISNUMBER($I1106),TEXT($I1106,"0"),$I1106))</f>
        <v/>
      </c>
    </row>
    <row r="1107">
      <c r="B1107" s="25" t="n"/>
      <c r="I1107" s="25" t="n"/>
      <c r="U1107" s="19">
        <f>IF(AND($V1107='設定'!$C$4,COUNTIF('商品マスタ'!$B$6:$B$1005,$W1107)=0),N(U1106)+1,N(U1106))</f>
        <v/>
      </c>
      <c r="V1107" s="19">
        <f>IF($B1107="","",TEXT($B1107,"0000"))</f>
        <v/>
      </c>
      <c r="W1107" s="19">
        <f>IF($I1107="","",IF(ISNUMBER($I1107),TEXT($I1107,"0"),$I1107))</f>
        <v/>
      </c>
    </row>
    <row r="1108">
      <c r="B1108" s="25" t="n"/>
      <c r="I1108" s="25" t="n"/>
      <c r="U1108" s="19">
        <f>IF(AND($V1108='設定'!$C$4,COUNTIF('商品マスタ'!$B$6:$B$1005,$W1108)=0),N(U1107)+1,N(U1107))</f>
        <v/>
      </c>
      <c r="V1108" s="19">
        <f>IF($B1108="","",TEXT($B1108,"0000"))</f>
        <v/>
      </c>
      <c r="W1108" s="19">
        <f>IF($I1108="","",IF(ISNUMBER($I1108),TEXT($I1108,"0"),$I1108))</f>
        <v/>
      </c>
    </row>
    <row r="1109">
      <c r="B1109" s="25" t="n"/>
      <c r="I1109" s="25" t="n"/>
      <c r="U1109" s="19">
        <f>IF(AND($V1109='設定'!$C$4,COUNTIF('商品マスタ'!$B$6:$B$1005,$W1109)=0),N(U1108)+1,N(U1108))</f>
        <v/>
      </c>
      <c r="V1109" s="19">
        <f>IF($B1109="","",TEXT($B1109,"0000"))</f>
        <v/>
      </c>
      <c r="W1109" s="19">
        <f>IF($I1109="","",IF(ISNUMBER($I1109),TEXT($I1109,"0"),$I1109))</f>
        <v/>
      </c>
    </row>
    <row r="1110">
      <c r="B1110" s="25" t="n"/>
      <c r="I1110" s="25" t="n"/>
      <c r="U1110" s="19">
        <f>IF(AND($V1110='設定'!$C$4,COUNTIF('商品マスタ'!$B$6:$B$1005,$W1110)=0),N(U1109)+1,N(U1109))</f>
        <v/>
      </c>
      <c r="V1110" s="19">
        <f>IF($B1110="","",TEXT($B1110,"0000"))</f>
        <v/>
      </c>
      <c r="W1110" s="19">
        <f>IF($I1110="","",IF(ISNUMBER($I1110),TEXT($I1110,"0"),$I1110))</f>
        <v/>
      </c>
    </row>
    <row r="1111">
      <c r="B1111" s="25" t="n"/>
      <c r="I1111" s="25" t="n"/>
      <c r="U1111" s="19">
        <f>IF(AND($V1111='設定'!$C$4,COUNTIF('商品マスタ'!$B$6:$B$1005,$W1111)=0),N(U1110)+1,N(U1110))</f>
        <v/>
      </c>
      <c r="V1111" s="19">
        <f>IF($B1111="","",TEXT($B1111,"0000"))</f>
        <v/>
      </c>
      <c r="W1111" s="19">
        <f>IF($I1111="","",IF(ISNUMBER($I1111),TEXT($I1111,"0"),$I1111))</f>
        <v/>
      </c>
    </row>
    <row r="1112">
      <c r="B1112" s="25" t="n"/>
      <c r="I1112" s="25" t="n"/>
      <c r="U1112" s="19">
        <f>IF(AND($V1112='設定'!$C$4,COUNTIF('商品マスタ'!$B$6:$B$1005,$W1112)=0),N(U1111)+1,N(U1111))</f>
        <v/>
      </c>
      <c r="V1112" s="19">
        <f>IF($B1112="","",TEXT($B1112,"0000"))</f>
        <v/>
      </c>
      <c r="W1112" s="19">
        <f>IF($I1112="","",IF(ISNUMBER($I1112),TEXT($I1112,"0"),$I1112))</f>
        <v/>
      </c>
    </row>
    <row r="1113">
      <c r="B1113" s="25" t="n"/>
      <c r="I1113" s="25" t="n"/>
      <c r="U1113" s="19">
        <f>IF(AND($V1113='設定'!$C$4,COUNTIF('商品マスタ'!$B$6:$B$1005,$W1113)=0),N(U1112)+1,N(U1112))</f>
        <v/>
      </c>
      <c r="V1113" s="19">
        <f>IF($B1113="","",TEXT($B1113,"0000"))</f>
        <v/>
      </c>
      <c r="W1113" s="19">
        <f>IF($I1113="","",IF(ISNUMBER($I1113),TEXT($I1113,"0"),$I1113))</f>
        <v/>
      </c>
    </row>
    <row r="1114">
      <c r="B1114" s="25" t="n"/>
      <c r="I1114" s="25" t="n"/>
      <c r="U1114" s="19">
        <f>IF(AND($V1114='設定'!$C$4,COUNTIF('商品マスタ'!$B$6:$B$1005,$W1114)=0),N(U1113)+1,N(U1113))</f>
        <v/>
      </c>
      <c r="V1114" s="19">
        <f>IF($B1114="","",TEXT($B1114,"0000"))</f>
        <v/>
      </c>
      <c r="W1114" s="19">
        <f>IF($I1114="","",IF(ISNUMBER($I1114),TEXT($I1114,"0"),$I1114))</f>
        <v/>
      </c>
    </row>
    <row r="1115">
      <c r="B1115" s="25" t="n"/>
      <c r="I1115" s="25" t="n"/>
      <c r="U1115" s="19">
        <f>IF(AND($V1115='設定'!$C$4,COUNTIF('商品マスタ'!$B$6:$B$1005,$W1115)=0),N(U1114)+1,N(U1114))</f>
        <v/>
      </c>
      <c r="V1115" s="19">
        <f>IF($B1115="","",TEXT($B1115,"0000"))</f>
        <v/>
      </c>
      <c r="W1115" s="19">
        <f>IF($I1115="","",IF(ISNUMBER($I1115),TEXT($I1115,"0"),$I1115))</f>
        <v/>
      </c>
    </row>
    <row r="1116">
      <c r="B1116" s="25" t="n"/>
      <c r="I1116" s="25" t="n"/>
      <c r="U1116" s="19">
        <f>IF(AND($V1116='設定'!$C$4,COUNTIF('商品マスタ'!$B$6:$B$1005,$W1116)=0),N(U1115)+1,N(U1115))</f>
        <v/>
      </c>
      <c r="V1116" s="19">
        <f>IF($B1116="","",TEXT($B1116,"0000"))</f>
        <v/>
      </c>
      <c r="W1116" s="19">
        <f>IF($I1116="","",IF(ISNUMBER($I1116),TEXT($I1116,"0"),$I1116))</f>
        <v/>
      </c>
    </row>
    <row r="1117">
      <c r="B1117" s="25" t="n"/>
      <c r="I1117" s="25" t="n"/>
      <c r="U1117" s="19">
        <f>IF(AND($V1117='設定'!$C$4,COUNTIF('商品マスタ'!$B$6:$B$1005,$W1117)=0),N(U1116)+1,N(U1116))</f>
        <v/>
      </c>
      <c r="V1117" s="19">
        <f>IF($B1117="","",TEXT($B1117,"0000"))</f>
        <v/>
      </c>
      <c r="W1117" s="19">
        <f>IF($I1117="","",IF(ISNUMBER($I1117),TEXT($I1117,"0"),$I1117))</f>
        <v/>
      </c>
    </row>
    <row r="1118">
      <c r="B1118" s="25" t="n"/>
      <c r="I1118" s="25" t="n"/>
      <c r="U1118" s="19">
        <f>IF(AND($V1118='設定'!$C$4,COUNTIF('商品マスタ'!$B$6:$B$1005,$W1118)=0),N(U1117)+1,N(U1117))</f>
        <v/>
      </c>
      <c r="V1118" s="19">
        <f>IF($B1118="","",TEXT($B1118,"0000"))</f>
        <v/>
      </c>
      <c r="W1118" s="19">
        <f>IF($I1118="","",IF(ISNUMBER($I1118),TEXT($I1118,"0"),$I1118))</f>
        <v/>
      </c>
    </row>
    <row r="1119">
      <c r="B1119" s="25" t="n"/>
      <c r="I1119" s="25" t="n"/>
      <c r="U1119" s="19">
        <f>IF(AND($V1119='設定'!$C$4,COUNTIF('商品マスタ'!$B$6:$B$1005,$W1119)=0),N(U1118)+1,N(U1118))</f>
        <v/>
      </c>
      <c r="V1119" s="19">
        <f>IF($B1119="","",TEXT($B1119,"0000"))</f>
        <v/>
      </c>
      <c r="W1119" s="19">
        <f>IF($I1119="","",IF(ISNUMBER($I1119),TEXT($I1119,"0"),$I1119))</f>
        <v/>
      </c>
    </row>
    <row r="1120">
      <c r="B1120" s="25" t="n"/>
      <c r="I1120" s="25" t="n"/>
      <c r="U1120" s="19">
        <f>IF(AND($V1120='設定'!$C$4,COUNTIF('商品マスタ'!$B$6:$B$1005,$W1120)=0),N(U1119)+1,N(U1119))</f>
        <v/>
      </c>
      <c r="V1120" s="19">
        <f>IF($B1120="","",TEXT($B1120,"0000"))</f>
        <v/>
      </c>
      <c r="W1120" s="19">
        <f>IF($I1120="","",IF(ISNUMBER($I1120),TEXT($I1120,"0"),$I1120))</f>
        <v/>
      </c>
    </row>
    <row r="1121">
      <c r="B1121" s="25" t="n"/>
      <c r="I1121" s="25" t="n"/>
      <c r="U1121" s="19">
        <f>IF(AND($V1121='設定'!$C$4,COUNTIF('商品マスタ'!$B$6:$B$1005,$W1121)=0),N(U1120)+1,N(U1120))</f>
        <v/>
      </c>
      <c r="V1121" s="19">
        <f>IF($B1121="","",TEXT($B1121,"0000"))</f>
        <v/>
      </c>
      <c r="W1121" s="19">
        <f>IF($I1121="","",IF(ISNUMBER($I1121),TEXT($I1121,"0"),$I1121))</f>
        <v/>
      </c>
    </row>
    <row r="1122">
      <c r="B1122" s="25" t="n"/>
      <c r="I1122" s="25" t="n"/>
      <c r="U1122" s="19">
        <f>IF(AND($V1122='設定'!$C$4,COUNTIF('商品マスタ'!$B$6:$B$1005,$W1122)=0),N(U1121)+1,N(U1121))</f>
        <v/>
      </c>
      <c r="V1122" s="19">
        <f>IF($B1122="","",TEXT($B1122,"0000"))</f>
        <v/>
      </c>
      <c r="W1122" s="19">
        <f>IF($I1122="","",IF(ISNUMBER($I1122),TEXT($I1122,"0"),$I1122))</f>
        <v/>
      </c>
    </row>
    <row r="1123">
      <c r="B1123" s="25" t="n"/>
      <c r="I1123" s="25" t="n"/>
      <c r="U1123" s="19">
        <f>IF(AND($V1123='設定'!$C$4,COUNTIF('商品マスタ'!$B$6:$B$1005,$W1123)=0),N(U1122)+1,N(U1122))</f>
        <v/>
      </c>
      <c r="V1123" s="19">
        <f>IF($B1123="","",TEXT($B1123,"0000"))</f>
        <v/>
      </c>
      <c r="W1123" s="19">
        <f>IF($I1123="","",IF(ISNUMBER($I1123),TEXT($I1123,"0"),$I1123))</f>
        <v/>
      </c>
    </row>
    <row r="1124">
      <c r="B1124" s="25" t="n"/>
      <c r="I1124" s="25" t="n"/>
      <c r="U1124" s="19">
        <f>IF(AND($V1124='設定'!$C$4,COUNTIF('商品マスタ'!$B$6:$B$1005,$W1124)=0),N(U1123)+1,N(U1123))</f>
        <v/>
      </c>
      <c r="V1124" s="19">
        <f>IF($B1124="","",TEXT($B1124,"0000"))</f>
        <v/>
      </c>
      <c r="W1124" s="19">
        <f>IF($I1124="","",IF(ISNUMBER($I1124),TEXT($I1124,"0"),$I1124))</f>
        <v/>
      </c>
    </row>
    <row r="1125">
      <c r="B1125" s="25" t="n"/>
      <c r="I1125" s="25" t="n"/>
      <c r="U1125" s="19">
        <f>IF(AND($V1125='設定'!$C$4,COUNTIF('商品マスタ'!$B$6:$B$1005,$W1125)=0),N(U1124)+1,N(U1124))</f>
        <v/>
      </c>
      <c r="V1125" s="19">
        <f>IF($B1125="","",TEXT($B1125,"0000"))</f>
        <v/>
      </c>
      <c r="W1125" s="19">
        <f>IF($I1125="","",IF(ISNUMBER($I1125),TEXT($I1125,"0"),$I1125))</f>
        <v/>
      </c>
    </row>
    <row r="1126">
      <c r="B1126" s="25" t="n"/>
      <c r="I1126" s="25" t="n"/>
      <c r="U1126" s="19">
        <f>IF(AND($V1126='設定'!$C$4,COUNTIF('商品マスタ'!$B$6:$B$1005,$W1126)=0),N(U1125)+1,N(U1125))</f>
        <v/>
      </c>
      <c r="V1126" s="19">
        <f>IF($B1126="","",TEXT($B1126,"0000"))</f>
        <v/>
      </c>
      <c r="W1126" s="19">
        <f>IF($I1126="","",IF(ISNUMBER($I1126),TEXT($I1126,"0"),$I1126))</f>
        <v/>
      </c>
    </row>
    <row r="1127">
      <c r="B1127" s="25" t="n"/>
      <c r="I1127" s="25" t="n"/>
      <c r="U1127" s="19">
        <f>IF(AND($V1127='設定'!$C$4,COUNTIF('商品マスタ'!$B$6:$B$1005,$W1127)=0),N(U1126)+1,N(U1126))</f>
        <v/>
      </c>
      <c r="V1127" s="19">
        <f>IF($B1127="","",TEXT($B1127,"0000"))</f>
        <v/>
      </c>
      <c r="W1127" s="19">
        <f>IF($I1127="","",IF(ISNUMBER($I1127),TEXT($I1127,"0"),$I1127))</f>
        <v/>
      </c>
    </row>
    <row r="1128">
      <c r="B1128" s="25" t="n"/>
      <c r="I1128" s="25" t="n"/>
      <c r="U1128" s="19">
        <f>IF(AND($V1128='設定'!$C$4,COUNTIF('商品マスタ'!$B$6:$B$1005,$W1128)=0),N(U1127)+1,N(U1127))</f>
        <v/>
      </c>
      <c r="V1128" s="19">
        <f>IF($B1128="","",TEXT($B1128,"0000"))</f>
        <v/>
      </c>
      <c r="W1128" s="19">
        <f>IF($I1128="","",IF(ISNUMBER($I1128),TEXT($I1128,"0"),$I1128))</f>
        <v/>
      </c>
    </row>
    <row r="1129">
      <c r="B1129" s="25" t="n"/>
      <c r="I1129" s="25" t="n"/>
      <c r="U1129" s="19">
        <f>IF(AND($V1129='設定'!$C$4,COUNTIF('商品マスタ'!$B$6:$B$1005,$W1129)=0),N(U1128)+1,N(U1128))</f>
        <v/>
      </c>
      <c r="V1129" s="19">
        <f>IF($B1129="","",TEXT($B1129,"0000"))</f>
        <v/>
      </c>
      <c r="W1129" s="19">
        <f>IF($I1129="","",IF(ISNUMBER($I1129),TEXT($I1129,"0"),$I1129))</f>
        <v/>
      </c>
    </row>
    <row r="1130">
      <c r="B1130" s="25" t="n"/>
      <c r="I1130" s="25" t="n"/>
      <c r="U1130" s="19">
        <f>IF(AND($V1130='設定'!$C$4,COUNTIF('商品マスタ'!$B$6:$B$1005,$W1130)=0),N(U1129)+1,N(U1129))</f>
        <v/>
      </c>
      <c r="V1130" s="19">
        <f>IF($B1130="","",TEXT($B1130,"0000"))</f>
        <v/>
      </c>
      <c r="W1130" s="19">
        <f>IF($I1130="","",IF(ISNUMBER($I1130),TEXT($I1130,"0"),$I1130))</f>
        <v/>
      </c>
    </row>
    <row r="1131">
      <c r="B1131" s="25" t="n"/>
      <c r="I1131" s="25" t="n"/>
      <c r="U1131" s="19">
        <f>IF(AND($V1131='設定'!$C$4,COUNTIF('商品マスタ'!$B$6:$B$1005,$W1131)=0),N(U1130)+1,N(U1130))</f>
        <v/>
      </c>
      <c r="V1131" s="19">
        <f>IF($B1131="","",TEXT($B1131,"0000"))</f>
        <v/>
      </c>
      <c r="W1131" s="19">
        <f>IF($I1131="","",IF(ISNUMBER($I1131),TEXT($I1131,"0"),$I1131))</f>
        <v/>
      </c>
    </row>
    <row r="1132">
      <c r="B1132" s="25" t="n"/>
      <c r="I1132" s="25" t="n"/>
      <c r="U1132" s="19">
        <f>IF(AND($V1132='設定'!$C$4,COUNTIF('商品マスタ'!$B$6:$B$1005,$W1132)=0),N(U1131)+1,N(U1131))</f>
        <v/>
      </c>
      <c r="V1132" s="19">
        <f>IF($B1132="","",TEXT($B1132,"0000"))</f>
        <v/>
      </c>
      <c r="W1132" s="19">
        <f>IF($I1132="","",IF(ISNUMBER($I1132),TEXT($I1132,"0"),$I1132))</f>
        <v/>
      </c>
    </row>
    <row r="1133">
      <c r="B1133" s="25" t="n"/>
      <c r="I1133" s="25" t="n"/>
      <c r="U1133" s="19">
        <f>IF(AND($V1133='設定'!$C$4,COUNTIF('商品マスタ'!$B$6:$B$1005,$W1133)=0),N(U1132)+1,N(U1132))</f>
        <v/>
      </c>
      <c r="V1133" s="19">
        <f>IF($B1133="","",TEXT($B1133,"0000"))</f>
        <v/>
      </c>
      <c r="W1133" s="19">
        <f>IF($I1133="","",IF(ISNUMBER($I1133),TEXT($I1133,"0"),$I1133))</f>
        <v/>
      </c>
    </row>
    <row r="1134">
      <c r="B1134" s="25" t="n"/>
      <c r="I1134" s="25" t="n"/>
      <c r="U1134" s="19">
        <f>IF(AND($V1134='設定'!$C$4,COUNTIF('商品マスタ'!$B$6:$B$1005,$W1134)=0),N(U1133)+1,N(U1133))</f>
        <v/>
      </c>
      <c r="V1134" s="19">
        <f>IF($B1134="","",TEXT($B1134,"0000"))</f>
        <v/>
      </c>
      <c r="W1134" s="19">
        <f>IF($I1134="","",IF(ISNUMBER($I1134),TEXT($I1134,"0"),$I1134))</f>
        <v/>
      </c>
    </row>
    <row r="1135">
      <c r="B1135" s="25" t="n"/>
      <c r="I1135" s="25" t="n"/>
      <c r="U1135" s="19">
        <f>IF(AND($V1135='設定'!$C$4,COUNTIF('商品マスタ'!$B$6:$B$1005,$W1135)=0),N(U1134)+1,N(U1134))</f>
        <v/>
      </c>
      <c r="V1135" s="19">
        <f>IF($B1135="","",TEXT($B1135,"0000"))</f>
        <v/>
      </c>
      <c r="W1135" s="19">
        <f>IF($I1135="","",IF(ISNUMBER($I1135),TEXT($I1135,"0"),$I1135))</f>
        <v/>
      </c>
    </row>
    <row r="1136">
      <c r="B1136" s="25" t="n"/>
      <c r="I1136" s="25" t="n"/>
      <c r="U1136" s="19">
        <f>IF(AND($V1136='設定'!$C$4,COUNTIF('商品マスタ'!$B$6:$B$1005,$W1136)=0),N(U1135)+1,N(U1135))</f>
        <v/>
      </c>
      <c r="V1136" s="19">
        <f>IF($B1136="","",TEXT($B1136,"0000"))</f>
        <v/>
      </c>
      <c r="W1136" s="19">
        <f>IF($I1136="","",IF(ISNUMBER($I1136),TEXT($I1136,"0"),$I1136))</f>
        <v/>
      </c>
    </row>
    <row r="1137">
      <c r="B1137" s="25" t="n"/>
      <c r="I1137" s="25" t="n"/>
      <c r="U1137" s="19">
        <f>IF(AND($V1137='設定'!$C$4,COUNTIF('商品マスタ'!$B$6:$B$1005,$W1137)=0),N(U1136)+1,N(U1136))</f>
        <v/>
      </c>
      <c r="V1137" s="19">
        <f>IF($B1137="","",TEXT($B1137,"0000"))</f>
        <v/>
      </c>
      <c r="W1137" s="19">
        <f>IF($I1137="","",IF(ISNUMBER($I1137),TEXT($I1137,"0"),$I1137))</f>
        <v/>
      </c>
    </row>
    <row r="1138">
      <c r="B1138" s="25" t="n"/>
      <c r="I1138" s="25" t="n"/>
      <c r="U1138" s="19">
        <f>IF(AND($V1138='設定'!$C$4,COUNTIF('商品マスタ'!$B$6:$B$1005,$W1138)=0),N(U1137)+1,N(U1137))</f>
        <v/>
      </c>
      <c r="V1138" s="19">
        <f>IF($B1138="","",TEXT($B1138,"0000"))</f>
        <v/>
      </c>
      <c r="W1138" s="19">
        <f>IF($I1138="","",IF(ISNUMBER($I1138),TEXT($I1138,"0"),$I1138))</f>
        <v/>
      </c>
    </row>
    <row r="1139">
      <c r="B1139" s="25" t="n"/>
      <c r="I1139" s="25" t="n"/>
      <c r="U1139" s="19">
        <f>IF(AND($V1139='設定'!$C$4,COUNTIF('商品マスタ'!$B$6:$B$1005,$W1139)=0),N(U1138)+1,N(U1138))</f>
        <v/>
      </c>
      <c r="V1139" s="19">
        <f>IF($B1139="","",TEXT($B1139,"0000"))</f>
        <v/>
      </c>
      <c r="W1139" s="19">
        <f>IF($I1139="","",IF(ISNUMBER($I1139),TEXT($I1139,"0"),$I1139))</f>
        <v/>
      </c>
    </row>
    <row r="1140">
      <c r="B1140" s="25" t="n"/>
      <c r="I1140" s="25" t="n"/>
      <c r="U1140" s="19">
        <f>IF(AND($V1140='設定'!$C$4,COUNTIF('商品マスタ'!$B$6:$B$1005,$W1140)=0),N(U1139)+1,N(U1139))</f>
        <v/>
      </c>
      <c r="V1140" s="19">
        <f>IF($B1140="","",TEXT($B1140,"0000"))</f>
        <v/>
      </c>
      <c r="W1140" s="19">
        <f>IF($I1140="","",IF(ISNUMBER($I1140),TEXT($I1140,"0"),$I1140))</f>
        <v/>
      </c>
    </row>
    <row r="1141">
      <c r="B1141" s="25" t="n"/>
      <c r="I1141" s="25" t="n"/>
      <c r="U1141" s="19">
        <f>IF(AND($V1141='設定'!$C$4,COUNTIF('商品マスタ'!$B$6:$B$1005,$W1141)=0),N(U1140)+1,N(U1140))</f>
        <v/>
      </c>
      <c r="V1141" s="19">
        <f>IF($B1141="","",TEXT($B1141,"0000"))</f>
        <v/>
      </c>
      <c r="W1141" s="19">
        <f>IF($I1141="","",IF(ISNUMBER($I1141),TEXT($I1141,"0"),$I1141))</f>
        <v/>
      </c>
    </row>
    <row r="1142">
      <c r="B1142" s="25" t="n"/>
      <c r="I1142" s="25" t="n"/>
      <c r="U1142" s="19">
        <f>IF(AND($V1142='設定'!$C$4,COUNTIF('商品マスタ'!$B$6:$B$1005,$W1142)=0),N(U1141)+1,N(U1141))</f>
        <v/>
      </c>
      <c r="V1142" s="19">
        <f>IF($B1142="","",TEXT($B1142,"0000"))</f>
        <v/>
      </c>
      <c r="W1142" s="19">
        <f>IF($I1142="","",IF(ISNUMBER($I1142),TEXT($I1142,"0"),$I1142))</f>
        <v/>
      </c>
    </row>
    <row r="1143">
      <c r="B1143" s="25" t="n"/>
      <c r="I1143" s="25" t="n"/>
      <c r="U1143" s="19">
        <f>IF(AND($V1143='設定'!$C$4,COUNTIF('商品マスタ'!$B$6:$B$1005,$W1143)=0),N(U1142)+1,N(U1142))</f>
        <v/>
      </c>
      <c r="V1143" s="19">
        <f>IF($B1143="","",TEXT($B1143,"0000"))</f>
        <v/>
      </c>
      <c r="W1143" s="19">
        <f>IF($I1143="","",IF(ISNUMBER($I1143),TEXT($I1143,"0"),$I1143))</f>
        <v/>
      </c>
    </row>
    <row r="1144">
      <c r="B1144" s="25" t="n"/>
      <c r="I1144" s="25" t="n"/>
      <c r="U1144" s="19">
        <f>IF(AND($V1144='設定'!$C$4,COUNTIF('商品マスタ'!$B$6:$B$1005,$W1144)=0),N(U1143)+1,N(U1143))</f>
        <v/>
      </c>
      <c r="V1144" s="19">
        <f>IF($B1144="","",TEXT($B1144,"0000"))</f>
        <v/>
      </c>
      <c r="W1144" s="19">
        <f>IF($I1144="","",IF(ISNUMBER($I1144),TEXT($I1144,"0"),$I1144))</f>
        <v/>
      </c>
    </row>
    <row r="1145">
      <c r="B1145" s="25" t="n"/>
      <c r="I1145" s="25" t="n"/>
      <c r="U1145" s="19">
        <f>IF(AND($V1145='設定'!$C$4,COUNTIF('商品マスタ'!$B$6:$B$1005,$W1145)=0),N(U1144)+1,N(U1144))</f>
        <v/>
      </c>
      <c r="V1145" s="19">
        <f>IF($B1145="","",TEXT($B1145,"0000"))</f>
        <v/>
      </c>
      <c r="W1145" s="19">
        <f>IF($I1145="","",IF(ISNUMBER($I1145),TEXT($I1145,"0"),$I1145))</f>
        <v/>
      </c>
    </row>
    <row r="1146">
      <c r="B1146" s="25" t="n"/>
      <c r="I1146" s="25" t="n"/>
      <c r="U1146" s="19">
        <f>IF(AND($V1146='設定'!$C$4,COUNTIF('商品マスタ'!$B$6:$B$1005,$W1146)=0),N(U1145)+1,N(U1145))</f>
        <v/>
      </c>
      <c r="V1146" s="19">
        <f>IF($B1146="","",TEXT($B1146,"0000"))</f>
        <v/>
      </c>
      <c r="W1146" s="19">
        <f>IF($I1146="","",IF(ISNUMBER($I1146),TEXT($I1146,"0"),$I1146))</f>
        <v/>
      </c>
    </row>
    <row r="1147">
      <c r="B1147" s="25" t="n"/>
      <c r="I1147" s="25" t="n"/>
      <c r="U1147" s="19">
        <f>IF(AND($V1147='設定'!$C$4,COUNTIF('商品マスタ'!$B$6:$B$1005,$W1147)=0),N(U1146)+1,N(U1146))</f>
        <v/>
      </c>
      <c r="V1147" s="19">
        <f>IF($B1147="","",TEXT($B1147,"0000"))</f>
        <v/>
      </c>
      <c r="W1147" s="19">
        <f>IF($I1147="","",IF(ISNUMBER($I1147),TEXT($I1147,"0"),$I1147))</f>
        <v/>
      </c>
    </row>
    <row r="1148">
      <c r="B1148" s="25" t="n"/>
      <c r="I1148" s="25" t="n"/>
      <c r="U1148" s="19">
        <f>IF(AND($V1148='設定'!$C$4,COUNTIF('商品マスタ'!$B$6:$B$1005,$W1148)=0),N(U1147)+1,N(U1147))</f>
        <v/>
      </c>
      <c r="V1148" s="19">
        <f>IF($B1148="","",TEXT($B1148,"0000"))</f>
        <v/>
      </c>
      <c r="W1148" s="19">
        <f>IF($I1148="","",IF(ISNUMBER($I1148),TEXT($I1148,"0"),$I1148))</f>
        <v/>
      </c>
    </row>
    <row r="1149">
      <c r="B1149" s="25" t="n"/>
      <c r="I1149" s="25" t="n"/>
      <c r="U1149" s="19">
        <f>IF(AND($V1149='設定'!$C$4,COUNTIF('商品マスタ'!$B$6:$B$1005,$W1149)=0),N(U1148)+1,N(U1148))</f>
        <v/>
      </c>
      <c r="V1149" s="19">
        <f>IF($B1149="","",TEXT($B1149,"0000"))</f>
        <v/>
      </c>
      <c r="W1149" s="19">
        <f>IF($I1149="","",IF(ISNUMBER($I1149),TEXT($I1149,"0"),$I1149))</f>
        <v/>
      </c>
    </row>
    <row r="1150">
      <c r="B1150" s="25" t="n"/>
      <c r="I1150" s="25" t="n"/>
      <c r="U1150" s="19">
        <f>IF(AND($V1150='設定'!$C$4,COUNTIF('商品マスタ'!$B$6:$B$1005,$W1150)=0),N(U1149)+1,N(U1149))</f>
        <v/>
      </c>
      <c r="V1150" s="19">
        <f>IF($B1150="","",TEXT($B1150,"0000"))</f>
        <v/>
      </c>
      <c r="W1150" s="19">
        <f>IF($I1150="","",IF(ISNUMBER($I1150),TEXT($I1150,"0"),$I1150))</f>
        <v/>
      </c>
    </row>
    <row r="1151">
      <c r="B1151" s="25" t="n"/>
      <c r="I1151" s="25" t="n"/>
      <c r="U1151" s="19">
        <f>IF(AND($V1151='設定'!$C$4,COUNTIF('商品マスタ'!$B$6:$B$1005,$W1151)=0),N(U1150)+1,N(U1150))</f>
        <v/>
      </c>
      <c r="V1151" s="19">
        <f>IF($B1151="","",TEXT($B1151,"0000"))</f>
        <v/>
      </c>
      <c r="W1151" s="19">
        <f>IF($I1151="","",IF(ISNUMBER($I1151),TEXT($I1151,"0"),$I1151))</f>
        <v/>
      </c>
    </row>
    <row r="1152">
      <c r="B1152" s="25" t="n"/>
      <c r="I1152" s="25" t="n"/>
      <c r="U1152" s="19">
        <f>IF(AND($V1152='設定'!$C$4,COUNTIF('商品マスタ'!$B$6:$B$1005,$W1152)=0),N(U1151)+1,N(U1151))</f>
        <v/>
      </c>
      <c r="V1152" s="19">
        <f>IF($B1152="","",TEXT($B1152,"0000"))</f>
        <v/>
      </c>
      <c r="W1152" s="19">
        <f>IF($I1152="","",IF(ISNUMBER($I1152),TEXT($I1152,"0"),$I1152))</f>
        <v/>
      </c>
    </row>
    <row r="1153">
      <c r="B1153" s="25" t="n"/>
      <c r="I1153" s="25" t="n"/>
      <c r="U1153" s="19">
        <f>IF(AND($V1153='設定'!$C$4,COUNTIF('商品マスタ'!$B$6:$B$1005,$W1153)=0),N(U1152)+1,N(U1152))</f>
        <v/>
      </c>
      <c r="V1153" s="19">
        <f>IF($B1153="","",TEXT($B1153,"0000"))</f>
        <v/>
      </c>
      <c r="W1153" s="19">
        <f>IF($I1153="","",IF(ISNUMBER($I1153),TEXT($I1153,"0"),$I1153))</f>
        <v/>
      </c>
    </row>
    <row r="1154">
      <c r="B1154" s="25" t="n"/>
      <c r="I1154" s="25" t="n"/>
      <c r="U1154" s="19">
        <f>IF(AND($V1154='設定'!$C$4,COUNTIF('商品マスタ'!$B$6:$B$1005,$W1154)=0),N(U1153)+1,N(U1153))</f>
        <v/>
      </c>
      <c r="V1154" s="19">
        <f>IF($B1154="","",TEXT($B1154,"0000"))</f>
        <v/>
      </c>
      <c r="W1154" s="19">
        <f>IF($I1154="","",IF(ISNUMBER($I1154),TEXT($I1154,"0"),$I1154))</f>
        <v/>
      </c>
    </row>
    <row r="1155">
      <c r="B1155" s="25" t="n"/>
      <c r="I1155" s="25" t="n"/>
      <c r="U1155" s="19">
        <f>IF(AND($V1155='設定'!$C$4,COUNTIF('商品マスタ'!$B$6:$B$1005,$W1155)=0),N(U1154)+1,N(U1154))</f>
        <v/>
      </c>
      <c r="V1155" s="19">
        <f>IF($B1155="","",TEXT($B1155,"0000"))</f>
        <v/>
      </c>
      <c r="W1155" s="19">
        <f>IF($I1155="","",IF(ISNUMBER($I1155),TEXT($I1155,"0"),$I1155))</f>
        <v/>
      </c>
    </row>
    <row r="1156">
      <c r="B1156" s="25" t="n"/>
      <c r="I1156" s="25" t="n"/>
      <c r="U1156" s="19">
        <f>IF(AND($V1156='設定'!$C$4,COUNTIF('商品マスタ'!$B$6:$B$1005,$W1156)=0),N(U1155)+1,N(U1155))</f>
        <v/>
      </c>
      <c r="V1156" s="19">
        <f>IF($B1156="","",TEXT($B1156,"0000"))</f>
        <v/>
      </c>
      <c r="W1156" s="19">
        <f>IF($I1156="","",IF(ISNUMBER($I1156),TEXT($I1156,"0"),$I1156))</f>
        <v/>
      </c>
    </row>
    <row r="1157">
      <c r="B1157" s="25" t="n"/>
      <c r="I1157" s="25" t="n"/>
      <c r="U1157" s="19">
        <f>IF(AND($V1157='設定'!$C$4,COUNTIF('商品マスタ'!$B$6:$B$1005,$W1157)=0),N(U1156)+1,N(U1156))</f>
        <v/>
      </c>
      <c r="V1157" s="19">
        <f>IF($B1157="","",TEXT($B1157,"0000"))</f>
        <v/>
      </c>
      <c r="W1157" s="19">
        <f>IF($I1157="","",IF(ISNUMBER($I1157),TEXT($I1157,"0"),$I1157))</f>
        <v/>
      </c>
    </row>
    <row r="1158">
      <c r="B1158" s="25" t="n"/>
      <c r="I1158" s="25" t="n"/>
      <c r="U1158" s="19">
        <f>IF(AND($V1158='設定'!$C$4,COUNTIF('商品マスタ'!$B$6:$B$1005,$W1158)=0),N(U1157)+1,N(U1157))</f>
        <v/>
      </c>
      <c r="V1158" s="19">
        <f>IF($B1158="","",TEXT($B1158,"0000"))</f>
        <v/>
      </c>
      <c r="W1158" s="19">
        <f>IF($I1158="","",IF(ISNUMBER($I1158),TEXT($I1158,"0"),$I1158))</f>
        <v/>
      </c>
    </row>
    <row r="1159">
      <c r="B1159" s="25" t="n"/>
      <c r="I1159" s="25" t="n"/>
      <c r="U1159" s="19">
        <f>IF(AND($V1159='設定'!$C$4,COUNTIF('商品マスタ'!$B$6:$B$1005,$W1159)=0),N(U1158)+1,N(U1158))</f>
        <v/>
      </c>
      <c r="V1159" s="19">
        <f>IF($B1159="","",TEXT($B1159,"0000"))</f>
        <v/>
      </c>
      <c r="W1159" s="19">
        <f>IF($I1159="","",IF(ISNUMBER($I1159),TEXT($I1159,"0"),$I1159))</f>
        <v/>
      </c>
    </row>
    <row r="1160">
      <c r="B1160" s="25" t="n"/>
      <c r="I1160" s="25" t="n"/>
      <c r="U1160" s="19">
        <f>IF(AND($V1160='設定'!$C$4,COUNTIF('商品マスタ'!$B$6:$B$1005,$W1160)=0),N(U1159)+1,N(U1159))</f>
        <v/>
      </c>
      <c r="V1160" s="19">
        <f>IF($B1160="","",TEXT($B1160,"0000"))</f>
        <v/>
      </c>
      <c r="W1160" s="19">
        <f>IF($I1160="","",IF(ISNUMBER($I1160),TEXT($I1160,"0"),$I1160))</f>
        <v/>
      </c>
    </row>
    <row r="1161">
      <c r="B1161" s="25" t="n"/>
      <c r="I1161" s="25" t="n"/>
      <c r="U1161" s="19">
        <f>IF(AND($V1161='設定'!$C$4,COUNTIF('商品マスタ'!$B$6:$B$1005,$W1161)=0),N(U1160)+1,N(U1160))</f>
        <v/>
      </c>
      <c r="V1161" s="19">
        <f>IF($B1161="","",TEXT($B1161,"0000"))</f>
        <v/>
      </c>
      <c r="W1161" s="19">
        <f>IF($I1161="","",IF(ISNUMBER($I1161),TEXT($I1161,"0"),$I1161))</f>
        <v/>
      </c>
    </row>
    <row r="1162">
      <c r="B1162" s="25" t="n"/>
      <c r="I1162" s="25" t="n"/>
      <c r="U1162" s="19">
        <f>IF(AND($V1162='設定'!$C$4,COUNTIF('商品マスタ'!$B$6:$B$1005,$W1162)=0),N(U1161)+1,N(U1161))</f>
        <v/>
      </c>
      <c r="V1162" s="19">
        <f>IF($B1162="","",TEXT($B1162,"0000"))</f>
        <v/>
      </c>
      <c r="W1162" s="19">
        <f>IF($I1162="","",IF(ISNUMBER($I1162),TEXT($I1162,"0"),$I1162))</f>
        <v/>
      </c>
    </row>
    <row r="1163">
      <c r="B1163" s="25" t="n"/>
      <c r="I1163" s="25" t="n"/>
      <c r="U1163" s="19">
        <f>IF(AND($V1163='設定'!$C$4,COUNTIF('商品マスタ'!$B$6:$B$1005,$W1163)=0),N(U1162)+1,N(U1162))</f>
        <v/>
      </c>
      <c r="V1163" s="19">
        <f>IF($B1163="","",TEXT($B1163,"0000"))</f>
        <v/>
      </c>
      <c r="W1163" s="19">
        <f>IF($I1163="","",IF(ISNUMBER($I1163),TEXT($I1163,"0"),$I1163))</f>
        <v/>
      </c>
    </row>
    <row r="1164">
      <c r="B1164" s="25" t="n"/>
      <c r="I1164" s="25" t="n"/>
      <c r="U1164" s="19">
        <f>IF(AND($V1164='設定'!$C$4,COUNTIF('商品マスタ'!$B$6:$B$1005,$W1164)=0),N(U1163)+1,N(U1163))</f>
        <v/>
      </c>
      <c r="V1164" s="19">
        <f>IF($B1164="","",TEXT($B1164,"0000"))</f>
        <v/>
      </c>
      <c r="W1164" s="19">
        <f>IF($I1164="","",IF(ISNUMBER($I1164),TEXT($I1164,"0"),$I1164))</f>
        <v/>
      </c>
    </row>
    <row r="1165">
      <c r="B1165" s="25" t="n"/>
      <c r="I1165" s="25" t="n"/>
      <c r="U1165" s="19">
        <f>IF(AND($V1165='設定'!$C$4,COUNTIF('商品マスタ'!$B$6:$B$1005,$W1165)=0),N(U1164)+1,N(U1164))</f>
        <v/>
      </c>
      <c r="V1165" s="19">
        <f>IF($B1165="","",TEXT($B1165,"0000"))</f>
        <v/>
      </c>
      <c r="W1165" s="19">
        <f>IF($I1165="","",IF(ISNUMBER($I1165),TEXT($I1165,"0"),$I1165))</f>
        <v/>
      </c>
    </row>
    <row r="1166">
      <c r="B1166" s="25" t="n"/>
      <c r="I1166" s="25" t="n"/>
      <c r="U1166" s="19">
        <f>IF(AND($V1166='設定'!$C$4,COUNTIF('商品マスタ'!$B$6:$B$1005,$W1166)=0),N(U1165)+1,N(U1165))</f>
        <v/>
      </c>
      <c r="V1166" s="19">
        <f>IF($B1166="","",TEXT($B1166,"0000"))</f>
        <v/>
      </c>
      <c r="W1166" s="19">
        <f>IF($I1166="","",IF(ISNUMBER($I1166),TEXT($I1166,"0"),$I1166))</f>
        <v/>
      </c>
    </row>
    <row r="1167">
      <c r="B1167" s="25" t="n"/>
      <c r="I1167" s="25" t="n"/>
      <c r="U1167" s="19">
        <f>IF(AND($V1167='設定'!$C$4,COUNTIF('商品マスタ'!$B$6:$B$1005,$W1167)=0),N(U1166)+1,N(U1166))</f>
        <v/>
      </c>
      <c r="V1167" s="19">
        <f>IF($B1167="","",TEXT($B1167,"0000"))</f>
        <v/>
      </c>
      <c r="W1167" s="19">
        <f>IF($I1167="","",IF(ISNUMBER($I1167),TEXT($I1167,"0"),$I1167))</f>
        <v/>
      </c>
    </row>
    <row r="1168">
      <c r="B1168" s="25" t="n"/>
      <c r="I1168" s="25" t="n"/>
      <c r="U1168" s="19">
        <f>IF(AND($V1168='設定'!$C$4,COUNTIF('商品マスタ'!$B$6:$B$1005,$W1168)=0),N(U1167)+1,N(U1167))</f>
        <v/>
      </c>
      <c r="V1168" s="19">
        <f>IF($B1168="","",TEXT($B1168,"0000"))</f>
        <v/>
      </c>
      <c r="W1168" s="19">
        <f>IF($I1168="","",IF(ISNUMBER($I1168),TEXT($I1168,"0"),$I1168))</f>
        <v/>
      </c>
    </row>
    <row r="1169">
      <c r="B1169" s="25" t="n"/>
      <c r="I1169" s="25" t="n"/>
      <c r="U1169" s="19">
        <f>IF(AND($V1169='設定'!$C$4,COUNTIF('商品マスタ'!$B$6:$B$1005,$W1169)=0),N(U1168)+1,N(U1168))</f>
        <v/>
      </c>
      <c r="V1169" s="19">
        <f>IF($B1169="","",TEXT($B1169,"0000"))</f>
        <v/>
      </c>
      <c r="W1169" s="19">
        <f>IF($I1169="","",IF(ISNUMBER($I1169),TEXT($I1169,"0"),$I1169))</f>
        <v/>
      </c>
    </row>
    <row r="1170">
      <c r="B1170" s="25" t="n"/>
      <c r="I1170" s="25" t="n"/>
      <c r="U1170" s="19">
        <f>IF(AND($V1170='設定'!$C$4,COUNTIF('商品マスタ'!$B$6:$B$1005,$W1170)=0),N(U1169)+1,N(U1169))</f>
        <v/>
      </c>
      <c r="V1170" s="19">
        <f>IF($B1170="","",TEXT($B1170,"0000"))</f>
        <v/>
      </c>
      <c r="W1170" s="19">
        <f>IF($I1170="","",IF(ISNUMBER($I1170),TEXT($I1170,"0"),$I1170))</f>
        <v/>
      </c>
    </row>
    <row r="1171">
      <c r="B1171" s="25" t="n"/>
      <c r="I1171" s="25" t="n"/>
      <c r="U1171" s="19">
        <f>IF(AND($V1171='設定'!$C$4,COUNTIF('商品マスタ'!$B$6:$B$1005,$W1171)=0),N(U1170)+1,N(U1170))</f>
        <v/>
      </c>
      <c r="V1171" s="19">
        <f>IF($B1171="","",TEXT($B1171,"0000"))</f>
        <v/>
      </c>
      <c r="W1171" s="19">
        <f>IF($I1171="","",IF(ISNUMBER($I1171),TEXT($I1171,"0"),$I1171))</f>
        <v/>
      </c>
    </row>
    <row r="1172">
      <c r="B1172" s="25" t="n"/>
      <c r="I1172" s="25" t="n"/>
      <c r="U1172" s="19">
        <f>IF(AND($V1172='設定'!$C$4,COUNTIF('商品マスタ'!$B$6:$B$1005,$W1172)=0),N(U1171)+1,N(U1171))</f>
        <v/>
      </c>
      <c r="V1172" s="19">
        <f>IF($B1172="","",TEXT($B1172,"0000"))</f>
        <v/>
      </c>
      <c r="W1172" s="19">
        <f>IF($I1172="","",IF(ISNUMBER($I1172),TEXT($I1172,"0"),$I1172))</f>
        <v/>
      </c>
    </row>
    <row r="1173">
      <c r="B1173" s="25" t="n"/>
      <c r="I1173" s="25" t="n"/>
      <c r="U1173" s="19">
        <f>IF(AND($V1173='設定'!$C$4,COUNTIF('商品マスタ'!$B$6:$B$1005,$W1173)=0),N(U1172)+1,N(U1172))</f>
        <v/>
      </c>
      <c r="V1173" s="19">
        <f>IF($B1173="","",TEXT($B1173,"0000"))</f>
        <v/>
      </c>
      <c r="W1173" s="19">
        <f>IF($I1173="","",IF(ISNUMBER($I1173),TEXT($I1173,"0"),$I1173))</f>
        <v/>
      </c>
    </row>
    <row r="1174">
      <c r="B1174" s="25" t="n"/>
      <c r="I1174" s="25" t="n"/>
      <c r="U1174" s="19">
        <f>IF(AND($V1174='設定'!$C$4,COUNTIF('商品マスタ'!$B$6:$B$1005,$W1174)=0),N(U1173)+1,N(U1173))</f>
        <v/>
      </c>
      <c r="V1174" s="19">
        <f>IF($B1174="","",TEXT($B1174,"0000"))</f>
        <v/>
      </c>
      <c r="W1174" s="19">
        <f>IF($I1174="","",IF(ISNUMBER($I1174),TEXT($I1174,"0"),$I1174))</f>
        <v/>
      </c>
    </row>
    <row r="1175">
      <c r="B1175" s="25" t="n"/>
      <c r="I1175" s="25" t="n"/>
      <c r="U1175" s="19">
        <f>IF(AND($V1175='設定'!$C$4,COUNTIF('商品マスタ'!$B$6:$B$1005,$W1175)=0),N(U1174)+1,N(U1174))</f>
        <v/>
      </c>
      <c r="V1175" s="19">
        <f>IF($B1175="","",TEXT($B1175,"0000"))</f>
        <v/>
      </c>
      <c r="W1175" s="19">
        <f>IF($I1175="","",IF(ISNUMBER($I1175),TEXT($I1175,"0"),$I1175))</f>
        <v/>
      </c>
    </row>
    <row r="1176">
      <c r="B1176" s="25" t="n"/>
      <c r="I1176" s="25" t="n"/>
      <c r="U1176" s="19">
        <f>IF(AND($V1176='設定'!$C$4,COUNTIF('商品マスタ'!$B$6:$B$1005,$W1176)=0),N(U1175)+1,N(U1175))</f>
        <v/>
      </c>
      <c r="V1176" s="19">
        <f>IF($B1176="","",TEXT($B1176,"0000"))</f>
        <v/>
      </c>
      <c r="W1176" s="19">
        <f>IF($I1176="","",IF(ISNUMBER($I1176),TEXT($I1176,"0"),$I1176))</f>
        <v/>
      </c>
    </row>
    <row r="1177">
      <c r="B1177" s="25" t="n"/>
      <c r="I1177" s="25" t="n"/>
      <c r="U1177" s="19">
        <f>IF(AND($V1177='設定'!$C$4,COUNTIF('商品マスタ'!$B$6:$B$1005,$W1177)=0),N(U1176)+1,N(U1176))</f>
        <v/>
      </c>
      <c r="V1177" s="19">
        <f>IF($B1177="","",TEXT($B1177,"0000"))</f>
        <v/>
      </c>
      <c r="W1177" s="19">
        <f>IF($I1177="","",IF(ISNUMBER($I1177),TEXT($I1177,"0"),$I1177))</f>
        <v/>
      </c>
    </row>
    <row r="1178">
      <c r="B1178" s="25" t="n"/>
      <c r="I1178" s="25" t="n"/>
      <c r="U1178" s="19">
        <f>IF(AND($V1178='設定'!$C$4,COUNTIF('商品マスタ'!$B$6:$B$1005,$W1178)=0),N(U1177)+1,N(U1177))</f>
        <v/>
      </c>
      <c r="V1178" s="19">
        <f>IF($B1178="","",TEXT($B1178,"0000"))</f>
        <v/>
      </c>
      <c r="W1178" s="19">
        <f>IF($I1178="","",IF(ISNUMBER($I1178),TEXT($I1178,"0"),$I1178))</f>
        <v/>
      </c>
    </row>
    <row r="1179">
      <c r="B1179" s="25" t="n"/>
      <c r="I1179" s="25" t="n"/>
      <c r="U1179" s="19">
        <f>IF(AND($V1179='設定'!$C$4,COUNTIF('商品マスタ'!$B$6:$B$1005,$W1179)=0),N(U1178)+1,N(U1178))</f>
        <v/>
      </c>
      <c r="V1179" s="19">
        <f>IF($B1179="","",TEXT($B1179,"0000"))</f>
        <v/>
      </c>
      <c r="W1179" s="19">
        <f>IF($I1179="","",IF(ISNUMBER($I1179),TEXT($I1179,"0"),$I1179))</f>
        <v/>
      </c>
    </row>
    <row r="1180">
      <c r="B1180" s="25" t="n"/>
      <c r="I1180" s="25" t="n"/>
      <c r="U1180" s="19">
        <f>IF(AND($V1180='設定'!$C$4,COUNTIF('商品マスタ'!$B$6:$B$1005,$W1180)=0),N(U1179)+1,N(U1179))</f>
        <v/>
      </c>
      <c r="V1180" s="19">
        <f>IF($B1180="","",TEXT($B1180,"0000"))</f>
        <v/>
      </c>
      <c r="W1180" s="19">
        <f>IF($I1180="","",IF(ISNUMBER($I1180),TEXT($I1180,"0"),$I1180))</f>
        <v/>
      </c>
    </row>
    <row r="1181">
      <c r="B1181" s="25" t="n"/>
      <c r="I1181" s="25" t="n"/>
      <c r="U1181" s="19">
        <f>IF(AND($V1181='設定'!$C$4,COUNTIF('商品マスタ'!$B$6:$B$1005,$W1181)=0),N(U1180)+1,N(U1180))</f>
        <v/>
      </c>
      <c r="V1181" s="19">
        <f>IF($B1181="","",TEXT($B1181,"0000"))</f>
        <v/>
      </c>
      <c r="W1181" s="19">
        <f>IF($I1181="","",IF(ISNUMBER($I1181),TEXT($I1181,"0"),$I1181))</f>
        <v/>
      </c>
    </row>
    <row r="1182">
      <c r="B1182" s="25" t="n"/>
      <c r="I1182" s="25" t="n"/>
      <c r="U1182" s="19">
        <f>IF(AND($V1182='設定'!$C$4,COUNTIF('商品マスタ'!$B$6:$B$1005,$W1182)=0),N(U1181)+1,N(U1181))</f>
        <v/>
      </c>
      <c r="V1182" s="19">
        <f>IF($B1182="","",TEXT($B1182,"0000"))</f>
        <v/>
      </c>
      <c r="W1182" s="19">
        <f>IF($I1182="","",IF(ISNUMBER($I1182),TEXT($I1182,"0"),$I1182))</f>
        <v/>
      </c>
    </row>
    <row r="1183">
      <c r="B1183" s="25" t="n"/>
      <c r="I1183" s="25" t="n"/>
      <c r="U1183" s="19">
        <f>IF(AND($V1183='設定'!$C$4,COUNTIF('商品マスタ'!$B$6:$B$1005,$W1183)=0),N(U1182)+1,N(U1182))</f>
        <v/>
      </c>
      <c r="V1183" s="19">
        <f>IF($B1183="","",TEXT($B1183,"0000"))</f>
        <v/>
      </c>
      <c r="W1183" s="19">
        <f>IF($I1183="","",IF(ISNUMBER($I1183),TEXT($I1183,"0"),$I1183))</f>
        <v/>
      </c>
    </row>
    <row r="1184">
      <c r="B1184" s="25" t="n"/>
      <c r="I1184" s="25" t="n"/>
      <c r="U1184" s="19">
        <f>IF(AND($V1184='設定'!$C$4,COUNTIF('商品マスタ'!$B$6:$B$1005,$W1184)=0),N(U1183)+1,N(U1183))</f>
        <v/>
      </c>
      <c r="V1184" s="19">
        <f>IF($B1184="","",TEXT($B1184,"0000"))</f>
        <v/>
      </c>
      <c r="W1184" s="19">
        <f>IF($I1184="","",IF(ISNUMBER($I1184),TEXT($I1184,"0"),$I1184))</f>
        <v/>
      </c>
    </row>
    <row r="1185">
      <c r="B1185" s="25" t="n"/>
      <c r="I1185" s="25" t="n"/>
      <c r="U1185" s="19">
        <f>IF(AND($V1185='設定'!$C$4,COUNTIF('商品マスタ'!$B$6:$B$1005,$W1185)=0),N(U1184)+1,N(U1184))</f>
        <v/>
      </c>
      <c r="V1185" s="19">
        <f>IF($B1185="","",TEXT($B1185,"0000"))</f>
        <v/>
      </c>
      <c r="W1185" s="19">
        <f>IF($I1185="","",IF(ISNUMBER($I1185),TEXT($I1185,"0"),$I1185))</f>
        <v/>
      </c>
    </row>
    <row r="1186">
      <c r="B1186" s="25" t="n"/>
      <c r="I1186" s="25" t="n"/>
      <c r="U1186" s="19">
        <f>IF(AND($V1186='設定'!$C$4,COUNTIF('商品マスタ'!$B$6:$B$1005,$W1186)=0),N(U1185)+1,N(U1185))</f>
        <v/>
      </c>
      <c r="V1186" s="19">
        <f>IF($B1186="","",TEXT($B1186,"0000"))</f>
        <v/>
      </c>
      <c r="W1186" s="19">
        <f>IF($I1186="","",IF(ISNUMBER($I1186),TEXT($I1186,"0"),$I1186))</f>
        <v/>
      </c>
    </row>
    <row r="1187">
      <c r="B1187" s="25" t="n"/>
      <c r="I1187" s="25" t="n"/>
      <c r="U1187" s="19">
        <f>IF(AND($V1187='設定'!$C$4,COUNTIF('商品マスタ'!$B$6:$B$1005,$W1187)=0),N(U1186)+1,N(U1186))</f>
        <v/>
      </c>
      <c r="V1187" s="19">
        <f>IF($B1187="","",TEXT($B1187,"0000"))</f>
        <v/>
      </c>
      <c r="W1187" s="19">
        <f>IF($I1187="","",IF(ISNUMBER($I1187),TEXT($I1187,"0"),$I1187))</f>
        <v/>
      </c>
    </row>
    <row r="1188">
      <c r="B1188" s="25" t="n"/>
      <c r="I1188" s="25" t="n"/>
      <c r="U1188" s="19">
        <f>IF(AND($V1188='設定'!$C$4,COUNTIF('商品マスタ'!$B$6:$B$1005,$W1188)=0),N(U1187)+1,N(U1187))</f>
        <v/>
      </c>
      <c r="V1188" s="19">
        <f>IF($B1188="","",TEXT($B1188,"0000"))</f>
        <v/>
      </c>
      <c r="W1188" s="19">
        <f>IF($I1188="","",IF(ISNUMBER($I1188),TEXT($I1188,"0"),$I1188))</f>
        <v/>
      </c>
    </row>
    <row r="1189">
      <c r="B1189" s="25" t="n"/>
      <c r="I1189" s="25" t="n"/>
      <c r="U1189" s="19">
        <f>IF(AND($V1189='設定'!$C$4,COUNTIF('商品マスタ'!$B$6:$B$1005,$W1189)=0),N(U1188)+1,N(U1188))</f>
        <v/>
      </c>
      <c r="V1189" s="19">
        <f>IF($B1189="","",TEXT($B1189,"0000"))</f>
        <v/>
      </c>
      <c r="W1189" s="19">
        <f>IF($I1189="","",IF(ISNUMBER($I1189),TEXT($I1189,"0"),$I1189))</f>
        <v/>
      </c>
    </row>
    <row r="1190">
      <c r="B1190" s="25" t="n"/>
      <c r="I1190" s="25" t="n"/>
      <c r="U1190" s="19">
        <f>IF(AND($V1190='設定'!$C$4,COUNTIF('商品マスタ'!$B$6:$B$1005,$W1190)=0),N(U1189)+1,N(U1189))</f>
        <v/>
      </c>
      <c r="V1190" s="19">
        <f>IF($B1190="","",TEXT($B1190,"0000"))</f>
        <v/>
      </c>
      <c r="W1190" s="19">
        <f>IF($I1190="","",IF(ISNUMBER($I1190),TEXT($I1190,"0"),$I1190))</f>
        <v/>
      </c>
    </row>
    <row r="1191">
      <c r="B1191" s="25" t="n"/>
      <c r="I1191" s="25" t="n"/>
      <c r="U1191" s="19">
        <f>IF(AND($V1191='設定'!$C$4,COUNTIF('商品マスタ'!$B$6:$B$1005,$W1191)=0),N(U1190)+1,N(U1190))</f>
        <v/>
      </c>
      <c r="V1191" s="19">
        <f>IF($B1191="","",TEXT($B1191,"0000"))</f>
        <v/>
      </c>
      <c r="W1191" s="19">
        <f>IF($I1191="","",IF(ISNUMBER($I1191),TEXT($I1191,"0"),$I1191))</f>
        <v/>
      </c>
    </row>
    <row r="1192">
      <c r="B1192" s="25" t="n"/>
      <c r="I1192" s="25" t="n"/>
      <c r="U1192" s="19">
        <f>IF(AND($V1192='設定'!$C$4,COUNTIF('商品マスタ'!$B$6:$B$1005,$W1192)=0),N(U1191)+1,N(U1191))</f>
        <v/>
      </c>
      <c r="V1192" s="19">
        <f>IF($B1192="","",TEXT($B1192,"0000"))</f>
        <v/>
      </c>
      <c r="W1192" s="19">
        <f>IF($I1192="","",IF(ISNUMBER($I1192),TEXT($I1192,"0"),$I1192))</f>
        <v/>
      </c>
    </row>
    <row r="1193">
      <c r="B1193" s="25" t="n"/>
      <c r="I1193" s="25" t="n"/>
      <c r="U1193" s="19">
        <f>IF(AND($V1193='設定'!$C$4,COUNTIF('商品マスタ'!$B$6:$B$1005,$W1193)=0),N(U1192)+1,N(U1192))</f>
        <v/>
      </c>
      <c r="V1193" s="19">
        <f>IF($B1193="","",TEXT($B1193,"0000"))</f>
        <v/>
      </c>
      <c r="W1193" s="19">
        <f>IF($I1193="","",IF(ISNUMBER($I1193),TEXT($I1193,"0"),$I1193))</f>
        <v/>
      </c>
    </row>
    <row r="1194">
      <c r="B1194" s="25" t="n"/>
      <c r="I1194" s="25" t="n"/>
      <c r="U1194" s="19">
        <f>IF(AND($V1194='設定'!$C$4,COUNTIF('商品マスタ'!$B$6:$B$1005,$W1194)=0),N(U1193)+1,N(U1193))</f>
        <v/>
      </c>
      <c r="V1194" s="19">
        <f>IF($B1194="","",TEXT($B1194,"0000"))</f>
        <v/>
      </c>
      <c r="W1194" s="19">
        <f>IF($I1194="","",IF(ISNUMBER($I1194),TEXT($I1194,"0"),$I1194))</f>
        <v/>
      </c>
    </row>
    <row r="1195">
      <c r="B1195" s="25" t="n"/>
      <c r="I1195" s="25" t="n"/>
      <c r="U1195" s="19">
        <f>IF(AND($V1195='設定'!$C$4,COUNTIF('商品マスタ'!$B$6:$B$1005,$W1195)=0),N(U1194)+1,N(U1194))</f>
        <v/>
      </c>
      <c r="V1195" s="19">
        <f>IF($B1195="","",TEXT($B1195,"0000"))</f>
        <v/>
      </c>
      <c r="W1195" s="19">
        <f>IF($I1195="","",IF(ISNUMBER($I1195),TEXT($I1195,"0"),$I1195))</f>
        <v/>
      </c>
    </row>
    <row r="1196">
      <c r="B1196" s="25" t="n"/>
      <c r="I1196" s="25" t="n"/>
      <c r="U1196" s="19">
        <f>IF(AND($V1196='設定'!$C$4,COUNTIF('商品マスタ'!$B$6:$B$1005,$W1196)=0),N(U1195)+1,N(U1195))</f>
        <v/>
      </c>
      <c r="V1196" s="19">
        <f>IF($B1196="","",TEXT($B1196,"0000"))</f>
        <v/>
      </c>
      <c r="W1196" s="19">
        <f>IF($I1196="","",IF(ISNUMBER($I1196),TEXT($I1196,"0"),$I1196))</f>
        <v/>
      </c>
    </row>
    <row r="1197">
      <c r="B1197" s="25" t="n"/>
      <c r="I1197" s="25" t="n"/>
      <c r="U1197" s="19">
        <f>IF(AND($V1197='設定'!$C$4,COUNTIF('商品マスタ'!$B$6:$B$1005,$W1197)=0),N(U1196)+1,N(U1196))</f>
        <v/>
      </c>
      <c r="V1197" s="19">
        <f>IF($B1197="","",TEXT($B1197,"0000"))</f>
        <v/>
      </c>
      <c r="W1197" s="19">
        <f>IF($I1197="","",IF(ISNUMBER($I1197),TEXT($I1197,"0"),$I1197))</f>
        <v/>
      </c>
    </row>
    <row r="1198">
      <c r="B1198" s="25" t="n"/>
      <c r="I1198" s="25" t="n"/>
      <c r="U1198" s="19">
        <f>IF(AND($V1198='設定'!$C$4,COUNTIF('商品マスタ'!$B$6:$B$1005,$W1198)=0),N(U1197)+1,N(U1197))</f>
        <v/>
      </c>
      <c r="V1198" s="19">
        <f>IF($B1198="","",TEXT($B1198,"0000"))</f>
        <v/>
      </c>
      <c r="W1198" s="19">
        <f>IF($I1198="","",IF(ISNUMBER($I1198),TEXT($I1198,"0"),$I1198))</f>
        <v/>
      </c>
    </row>
    <row r="1199">
      <c r="B1199" s="25" t="n"/>
      <c r="I1199" s="25" t="n"/>
      <c r="U1199" s="19">
        <f>IF(AND($V1199='設定'!$C$4,COUNTIF('商品マスタ'!$B$6:$B$1005,$W1199)=0),N(U1198)+1,N(U1198))</f>
        <v/>
      </c>
      <c r="V1199" s="19">
        <f>IF($B1199="","",TEXT($B1199,"0000"))</f>
        <v/>
      </c>
      <c r="W1199" s="19">
        <f>IF($I1199="","",IF(ISNUMBER($I1199),TEXT($I1199,"0"),$I1199))</f>
        <v/>
      </c>
    </row>
    <row r="1200">
      <c r="B1200" s="25" t="n"/>
      <c r="I1200" s="25" t="n"/>
      <c r="U1200" s="19">
        <f>IF(AND($V1200='設定'!$C$4,COUNTIF('商品マスタ'!$B$6:$B$1005,$W1200)=0),N(U1199)+1,N(U1199))</f>
        <v/>
      </c>
      <c r="V1200" s="19">
        <f>IF($B1200="","",TEXT($B1200,"0000"))</f>
        <v/>
      </c>
      <c r="W1200" s="19">
        <f>IF($I1200="","",IF(ISNUMBER($I1200),TEXT($I1200,"0"),$I1200))</f>
        <v/>
      </c>
    </row>
    <row r="1201">
      <c r="B1201" s="25" t="n"/>
      <c r="I1201" s="25" t="n"/>
      <c r="U1201" s="19">
        <f>IF(AND($V1201='設定'!$C$4,COUNTIF('商品マスタ'!$B$6:$B$1005,$W1201)=0),N(U1200)+1,N(U1200))</f>
        <v/>
      </c>
      <c r="V1201" s="19">
        <f>IF($B1201="","",TEXT($B1201,"0000"))</f>
        <v/>
      </c>
      <c r="W1201" s="19">
        <f>IF($I1201="","",IF(ISNUMBER($I1201),TEXT($I1201,"0"),$I1201))</f>
        <v/>
      </c>
    </row>
    <row r="1202">
      <c r="B1202" s="25" t="n"/>
      <c r="I1202" s="25" t="n"/>
      <c r="U1202" s="19">
        <f>IF(AND($V1202='設定'!$C$4,COUNTIF('商品マスタ'!$B$6:$B$1005,$W1202)=0),N(U1201)+1,N(U1201))</f>
        <v/>
      </c>
      <c r="V1202" s="19">
        <f>IF($B1202="","",TEXT($B1202,"0000"))</f>
        <v/>
      </c>
      <c r="W1202" s="19">
        <f>IF($I1202="","",IF(ISNUMBER($I1202),TEXT($I1202,"0"),$I1202))</f>
        <v/>
      </c>
    </row>
    <row r="1203">
      <c r="B1203" s="25" t="n"/>
      <c r="I1203" s="25" t="n"/>
      <c r="U1203" s="19">
        <f>IF(AND($V1203='設定'!$C$4,COUNTIF('商品マスタ'!$B$6:$B$1005,$W1203)=0),N(U1202)+1,N(U1202))</f>
        <v/>
      </c>
      <c r="V1203" s="19">
        <f>IF($B1203="","",TEXT($B1203,"0000"))</f>
        <v/>
      </c>
      <c r="W1203" s="19">
        <f>IF($I1203="","",IF(ISNUMBER($I1203),TEXT($I1203,"0"),$I1203))</f>
        <v/>
      </c>
    </row>
    <row r="1204">
      <c r="B1204" s="25" t="n"/>
      <c r="I1204" s="25" t="n"/>
      <c r="U1204" s="19">
        <f>IF(AND($V1204='設定'!$C$4,COUNTIF('商品マスタ'!$B$6:$B$1005,$W1204)=0),N(U1203)+1,N(U1203))</f>
        <v/>
      </c>
      <c r="V1204" s="19">
        <f>IF($B1204="","",TEXT($B1204,"0000"))</f>
        <v/>
      </c>
      <c r="W1204" s="19">
        <f>IF($I1204="","",IF(ISNUMBER($I1204),TEXT($I1204,"0"),$I1204))</f>
        <v/>
      </c>
    </row>
    <row r="1205">
      <c r="B1205" s="25" t="n"/>
      <c r="I1205" s="25" t="n"/>
      <c r="U1205" s="19">
        <f>IF(AND($V1205='設定'!$C$4,COUNTIF('商品マスタ'!$B$6:$B$1005,$W1205)=0),N(U1204)+1,N(U1204))</f>
        <v/>
      </c>
      <c r="V1205" s="19">
        <f>IF($B1205="","",TEXT($B1205,"0000"))</f>
        <v/>
      </c>
      <c r="W1205" s="19">
        <f>IF($I1205="","",IF(ISNUMBER($I1205),TEXT($I1205,"0"),$I1205))</f>
        <v/>
      </c>
    </row>
    <row r="1206">
      <c r="B1206" s="25" t="n"/>
      <c r="I1206" s="25" t="n"/>
      <c r="U1206" s="19">
        <f>IF(AND($V1206='設定'!$C$4,COUNTIF('商品マスタ'!$B$6:$B$1005,$W1206)=0),N(U1205)+1,N(U1205))</f>
        <v/>
      </c>
      <c r="V1206" s="19">
        <f>IF($B1206="","",TEXT($B1206,"0000"))</f>
        <v/>
      </c>
      <c r="W1206" s="19">
        <f>IF($I1206="","",IF(ISNUMBER($I1206),TEXT($I1206,"0"),$I1206))</f>
        <v/>
      </c>
    </row>
    <row r="1207">
      <c r="B1207" s="25" t="n"/>
      <c r="I1207" s="25" t="n"/>
      <c r="U1207" s="19">
        <f>IF(AND($V1207='設定'!$C$4,COUNTIF('商品マスタ'!$B$6:$B$1005,$W1207)=0),N(U1206)+1,N(U1206))</f>
        <v/>
      </c>
      <c r="V1207" s="19">
        <f>IF($B1207="","",TEXT($B1207,"0000"))</f>
        <v/>
      </c>
      <c r="W1207" s="19">
        <f>IF($I1207="","",IF(ISNUMBER($I1207),TEXT($I1207,"0"),$I1207))</f>
        <v/>
      </c>
    </row>
    <row r="1208">
      <c r="B1208" s="25" t="n"/>
      <c r="I1208" s="25" t="n"/>
      <c r="U1208" s="19">
        <f>IF(AND($V1208='設定'!$C$4,COUNTIF('商品マスタ'!$B$6:$B$1005,$W1208)=0),N(U1207)+1,N(U1207))</f>
        <v/>
      </c>
      <c r="V1208" s="19">
        <f>IF($B1208="","",TEXT($B1208,"0000"))</f>
        <v/>
      </c>
      <c r="W1208" s="19">
        <f>IF($I1208="","",IF(ISNUMBER($I1208),TEXT($I1208,"0"),$I1208))</f>
        <v/>
      </c>
    </row>
    <row r="1209">
      <c r="B1209" s="25" t="n"/>
      <c r="I1209" s="25" t="n"/>
      <c r="U1209" s="19">
        <f>IF(AND($V1209='設定'!$C$4,COUNTIF('商品マスタ'!$B$6:$B$1005,$W1209)=0),N(U1208)+1,N(U1208))</f>
        <v/>
      </c>
      <c r="V1209" s="19">
        <f>IF($B1209="","",TEXT($B1209,"0000"))</f>
        <v/>
      </c>
      <c r="W1209" s="19">
        <f>IF($I1209="","",IF(ISNUMBER($I1209),TEXT($I1209,"0"),$I1209))</f>
        <v/>
      </c>
    </row>
    <row r="1210">
      <c r="B1210" s="25" t="n"/>
      <c r="I1210" s="25" t="n"/>
      <c r="U1210" s="19">
        <f>IF(AND($V1210='設定'!$C$4,COUNTIF('商品マスタ'!$B$6:$B$1005,$W1210)=0),N(U1209)+1,N(U1209))</f>
        <v/>
      </c>
      <c r="V1210" s="19">
        <f>IF($B1210="","",TEXT($B1210,"0000"))</f>
        <v/>
      </c>
      <c r="W1210" s="19">
        <f>IF($I1210="","",IF(ISNUMBER($I1210),TEXT($I1210,"0"),$I1210))</f>
        <v/>
      </c>
    </row>
    <row r="1211">
      <c r="B1211" s="25" t="n"/>
      <c r="I1211" s="25" t="n"/>
      <c r="U1211" s="19">
        <f>IF(AND($V1211='設定'!$C$4,COUNTIF('商品マスタ'!$B$6:$B$1005,$W1211)=0),N(U1210)+1,N(U1210))</f>
        <v/>
      </c>
      <c r="V1211" s="19">
        <f>IF($B1211="","",TEXT($B1211,"0000"))</f>
        <v/>
      </c>
      <c r="W1211" s="19">
        <f>IF($I1211="","",IF(ISNUMBER($I1211),TEXT($I1211,"0"),$I1211))</f>
        <v/>
      </c>
    </row>
    <row r="1212">
      <c r="B1212" s="25" t="n"/>
      <c r="I1212" s="25" t="n"/>
      <c r="U1212" s="19">
        <f>IF(AND($V1212='設定'!$C$4,COUNTIF('商品マスタ'!$B$6:$B$1005,$W1212)=0),N(U1211)+1,N(U1211))</f>
        <v/>
      </c>
      <c r="V1212" s="19">
        <f>IF($B1212="","",TEXT($B1212,"0000"))</f>
        <v/>
      </c>
      <c r="W1212" s="19">
        <f>IF($I1212="","",IF(ISNUMBER($I1212),TEXT($I1212,"0"),$I1212))</f>
        <v/>
      </c>
    </row>
    <row r="1213">
      <c r="B1213" s="25" t="n"/>
      <c r="I1213" s="25" t="n"/>
      <c r="U1213" s="19">
        <f>IF(AND($V1213='設定'!$C$4,COUNTIF('商品マスタ'!$B$6:$B$1005,$W1213)=0),N(U1212)+1,N(U1212))</f>
        <v/>
      </c>
      <c r="V1213" s="19">
        <f>IF($B1213="","",TEXT($B1213,"0000"))</f>
        <v/>
      </c>
      <c r="W1213" s="19">
        <f>IF($I1213="","",IF(ISNUMBER($I1213),TEXT($I1213,"0"),$I1213))</f>
        <v/>
      </c>
    </row>
    <row r="1214">
      <c r="B1214" s="25" t="n"/>
      <c r="I1214" s="25" t="n"/>
      <c r="U1214" s="19">
        <f>IF(AND($V1214='設定'!$C$4,COUNTIF('商品マスタ'!$B$6:$B$1005,$W1214)=0),N(U1213)+1,N(U1213))</f>
        <v/>
      </c>
      <c r="V1214" s="19">
        <f>IF($B1214="","",TEXT($B1214,"0000"))</f>
        <v/>
      </c>
      <c r="W1214" s="19">
        <f>IF($I1214="","",IF(ISNUMBER($I1214),TEXT($I1214,"0"),$I1214))</f>
        <v/>
      </c>
    </row>
    <row r="1215">
      <c r="B1215" s="25" t="n"/>
      <c r="I1215" s="25" t="n"/>
      <c r="U1215" s="19">
        <f>IF(AND($V1215='設定'!$C$4,COUNTIF('商品マスタ'!$B$6:$B$1005,$W1215)=0),N(U1214)+1,N(U1214))</f>
        <v/>
      </c>
      <c r="V1215" s="19">
        <f>IF($B1215="","",TEXT($B1215,"0000"))</f>
        <v/>
      </c>
      <c r="W1215" s="19">
        <f>IF($I1215="","",IF(ISNUMBER($I1215),TEXT($I1215,"0"),$I1215))</f>
        <v/>
      </c>
    </row>
    <row r="1216">
      <c r="B1216" s="25" t="n"/>
      <c r="I1216" s="25" t="n"/>
      <c r="U1216" s="19">
        <f>IF(AND($V1216='設定'!$C$4,COUNTIF('商品マスタ'!$B$6:$B$1005,$W1216)=0),N(U1215)+1,N(U1215))</f>
        <v/>
      </c>
      <c r="V1216" s="19">
        <f>IF($B1216="","",TEXT($B1216,"0000"))</f>
        <v/>
      </c>
      <c r="W1216" s="19">
        <f>IF($I1216="","",IF(ISNUMBER($I1216),TEXT($I1216,"0"),$I1216))</f>
        <v/>
      </c>
    </row>
    <row r="1217">
      <c r="B1217" s="25" t="n"/>
      <c r="I1217" s="25" t="n"/>
      <c r="U1217" s="19">
        <f>IF(AND($V1217='設定'!$C$4,COUNTIF('商品マスタ'!$B$6:$B$1005,$W1217)=0),N(U1216)+1,N(U1216))</f>
        <v/>
      </c>
      <c r="V1217" s="19">
        <f>IF($B1217="","",TEXT($B1217,"0000"))</f>
        <v/>
      </c>
      <c r="W1217" s="19">
        <f>IF($I1217="","",IF(ISNUMBER($I1217),TEXT($I1217,"0"),$I1217))</f>
        <v/>
      </c>
    </row>
    <row r="1218">
      <c r="B1218" s="25" t="n"/>
      <c r="I1218" s="25" t="n"/>
      <c r="U1218" s="19">
        <f>IF(AND($V1218='設定'!$C$4,COUNTIF('商品マスタ'!$B$6:$B$1005,$W1218)=0),N(U1217)+1,N(U1217))</f>
        <v/>
      </c>
      <c r="V1218" s="19">
        <f>IF($B1218="","",TEXT($B1218,"0000"))</f>
        <v/>
      </c>
      <c r="W1218" s="19">
        <f>IF($I1218="","",IF(ISNUMBER($I1218),TEXT($I1218,"0"),$I1218))</f>
        <v/>
      </c>
    </row>
    <row r="1219">
      <c r="B1219" s="25" t="n"/>
      <c r="I1219" s="25" t="n"/>
      <c r="U1219" s="19">
        <f>IF(AND($V1219='設定'!$C$4,COUNTIF('商品マスタ'!$B$6:$B$1005,$W1219)=0),N(U1218)+1,N(U1218))</f>
        <v/>
      </c>
      <c r="V1219" s="19">
        <f>IF($B1219="","",TEXT($B1219,"0000"))</f>
        <v/>
      </c>
      <c r="W1219" s="19">
        <f>IF($I1219="","",IF(ISNUMBER($I1219),TEXT($I1219,"0"),$I1219))</f>
        <v/>
      </c>
    </row>
    <row r="1220">
      <c r="B1220" s="25" t="n"/>
      <c r="I1220" s="25" t="n"/>
      <c r="U1220" s="19">
        <f>IF(AND($V1220='設定'!$C$4,COUNTIF('商品マスタ'!$B$6:$B$1005,$W1220)=0),N(U1219)+1,N(U1219))</f>
        <v/>
      </c>
      <c r="V1220" s="19">
        <f>IF($B1220="","",TEXT($B1220,"0000"))</f>
        <v/>
      </c>
      <c r="W1220" s="19">
        <f>IF($I1220="","",IF(ISNUMBER($I1220),TEXT($I1220,"0"),$I1220))</f>
        <v/>
      </c>
    </row>
    <row r="1221">
      <c r="B1221" s="25" t="n"/>
      <c r="I1221" s="25" t="n"/>
      <c r="U1221" s="19">
        <f>IF(AND($V1221='設定'!$C$4,COUNTIF('商品マスタ'!$B$6:$B$1005,$W1221)=0),N(U1220)+1,N(U1220))</f>
        <v/>
      </c>
      <c r="V1221" s="19">
        <f>IF($B1221="","",TEXT($B1221,"0000"))</f>
        <v/>
      </c>
      <c r="W1221" s="19">
        <f>IF($I1221="","",IF(ISNUMBER($I1221),TEXT($I1221,"0"),$I1221))</f>
        <v/>
      </c>
    </row>
    <row r="1222">
      <c r="B1222" s="25" t="n"/>
      <c r="I1222" s="25" t="n"/>
      <c r="U1222" s="19">
        <f>IF(AND($V1222='設定'!$C$4,COUNTIF('商品マスタ'!$B$6:$B$1005,$W1222)=0),N(U1221)+1,N(U1221))</f>
        <v/>
      </c>
      <c r="V1222" s="19">
        <f>IF($B1222="","",TEXT($B1222,"0000"))</f>
        <v/>
      </c>
      <c r="W1222" s="19">
        <f>IF($I1222="","",IF(ISNUMBER($I1222),TEXT($I1222,"0"),$I1222))</f>
        <v/>
      </c>
    </row>
    <row r="1223">
      <c r="B1223" s="25" t="n"/>
      <c r="I1223" s="25" t="n"/>
      <c r="U1223" s="19">
        <f>IF(AND($V1223='設定'!$C$4,COUNTIF('商品マスタ'!$B$6:$B$1005,$W1223)=0),N(U1222)+1,N(U1222))</f>
        <v/>
      </c>
      <c r="V1223" s="19">
        <f>IF($B1223="","",TEXT($B1223,"0000"))</f>
        <v/>
      </c>
      <c r="W1223" s="19">
        <f>IF($I1223="","",IF(ISNUMBER($I1223),TEXT($I1223,"0"),$I1223))</f>
        <v/>
      </c>
    </row>
    <row r="1224">
      <c r="B1224" s="25" t="n"/>
      <c r="I1224" s="25" t="n"/>
      <c r="U1224" s="19">
        <f>IF(AND($V1224='設定'!$C$4,COUNTIF('商品マスタ'!$B$6:$B$1005,$W1224)=0),N(U1223)+1,N(U1223))</f>
        <v/>
      </c>
      <c r="V1224" s="19">
        <f>IF($B1224="","",TEXT($B1224,"0000"))</f>
        <v/>
      </c>
      <c r="W1224" s="19">
        <f>IF($I1224="","",IF(ISNUMBER($I1224),TEXT($I1224,"0"),$I1224))</f>
        <v/>
      </c>
    </row>
    <row r="1225">
      <c r="B1225" s="25" t="n"/>
      <c r="I1225" s="25" t="n"/>
      <c r="U1225" s="19">
        <f>IF(AND($V1225='設定'!$C$4,COUNTIF('商品マスタ'!$B$6:$B$1005,$W1225)=0),N(U1224)+1,N(U1224))</f>
        <v/>
      </c>
      <c r="V1225" s="19">
        <f>IF($B1225="","",TEXT($B1225,"0000"))</f>
        <v/>
      </c>
      <c r="W1225" s="19">
        <f>IF($I1225="","",IF(ISNUMBER($I1225),TEXT($I1225,"0"),$I1225))</f>
        <v/>
      </c>
    </row>
    <row r="1226">
      <c r="B1226" s="25" t="n"/>
      <c r="I1226" s="25" t="n"/>
      <c r="U1226" s="19">
        <f>IF(AND($V1226='設定'!$C$4,COUNTIF('商品マスタ'!$B$6:$B$1005,$W1226)=0),N(U1225)+1,N(U1225))</f>
        <v/>
      </c>
      <c r="V1226" s="19">
        <f>IF($B1226="","",TEXT($B1226,"0000"))</f>
        <v/>
      </c>
      <c r="W1226" s="19">
        <f>IF($I1226="","",IF(ISNUMBER($I1226),TEXT($I1226,"0"),$I1226))</f>
        <v/>
      </c>
    </row>
    <row r="1227">
      <c r="B1227" s="25" t="n"/>
      <c r="I1227" s="25" t="n"/>
      <c r="U1227" s="19">
        <f>IF(AND($V1227='設定'!$C$4,COUNTIF('商品マスタ'!$B$6:$B$1005,$W1227)=0),N(U1226)+1,N(U1226))</f>
        <v/>
      </c>
      <c r="V1227" s="19">
        <f>IF($B1227="","",TEXT($B1227,"0000"))</f>
        <v/>
      </c>
      <c r="W1227" s="19">
        <f>IF($I1227="","",IF(ISNUMBER($I1227),TEXT($I1227,"0"),$I1227))</f>
        <v/>
      </c>
    </row>
    <row r="1228">
      <c r="B1228" s="25" t="n"/>
      <c r="I1228" s="25" t="n"/>
      <c r="U1228" s="19">
        <f>IF(AND($V1228='設定'!$C$4,COUNTIF('商品マスタ'!$B$6:$B$1005,$W1228)=0),N(U1227)+1,N(U1227))</f>
        <v/>
      </c>
      <c r="V1228" s="19">
        <f>IF($B1228="","",TEXT($B1228,"0000"))</f>
        <v/>
      </c>
      <c r="W1228" s="19">
        <f>IF($I1228="","",IF(ISNUMBER($I1228),TEXT($I1228,"0"),$I1228))</f>
        <v/>
      </c>
    </row>
    <row r="1229">
      <c r="B1229" s="25" t="n"/>
      <c r="I1229" s="25" t="n"/>
      <c r="U1229" s="19">
        <f>IF(AND($V1229='設定'!$C$4,COUNTIF('商品マスタ'!$B$6:$B$1005,$W1229)=0),N(U1228)+1,N(U1228))</f>
        <v/>
      </c>
      <c r="V1229" s="19">
        <f>IF($B1229="","",TEXT($B1229,"0000"))</f>
        <v/>
      </c>
      <c r="W1229" s="19">
        <f>IF($I1229="","",IF(ISNUMBER($I1229),TEXT($I1229,"0"),$I1229))</f>
        <v/>
      </c>
    </row>
    <row r="1230">
      <c r="B1230" s="25" t="n"/>
      <c r="I1230" s="25" t="n"/>
      <c r="U1230" s="19">
        <f>IF(AND($V1230='設定'!$C$4,COUNTIF('商品マスタ'!$B$6:$B$1005,$W1230)=0),N(U1229)+1,N(U1229))</f>
        <v/>
      </c>
      <c r="V1230" s="19">
        <f>IF($B1230="","",TEXT($B1230,"0000"))</f>
        <v/>
      </c>
      <c r="W1230" s="19">
        <f>IF($I1230="","",IF(ISNUMBER($I1230),TEXT($I1230,"0"),$I1230))</f>
        <v/>
      </c>
    </row>
    <row r="1231">
      <c r="B1231" s="25" t="n"/>
      <c r="I1231" s="25" t="n"/>
      <c r="U1231" s="19">
        <f>IF(AND($V1231='設定'!$C$4,COUNTIF('商品マスタ'!$B$6:$B$1005,$W1231)=0),N(U1230)+1,N(U1230))</f>
        <v/>
      </c>
      <c r="V1231" s="19">
        <f>IF($B1231="","",TEXT($B1231,"0000"))</f>
        <v/>
      </c>
      <c r="W1231" s="19">
        <f>IF($I1231="","",IF(ISNUMBER($I1231),TEXT($I1231,"0"),$I1231))</f>
        <v/>
      </c>
    </row>
    <row r="1232">
      <c r="B1232" s="25" t="n"/>
      <c r="I1232" s="25" t="n"/>
      <c r="U1232" s="19">
        <f>IF(AND($V1232='設定'!$C$4,COUNTIF('商品マスタ'!$B$6:$B$1005,$W1232)=0),N(U1231)+1,N(U1231))</f>
        <v/>
      </c>
      <c r="V1232" s="19">
        <f>IF($B1232="","",TEXT($B1232,"0000"))</f>
        <v/>
      </c>
      <c r="W1232" s="19">
        <f>IF($I1232="","",IF(ISNUMBER($I1232),TEXT($I1232,"0"),$I1232))</f>
        <v/>
      </c>
    </row>
    <row r="1233">
      <c r="B1233" s="25" t="n"/>
      <c r="I1233" s="25" t="n"/>
      <c r="U1233" s="19">
        <f>IF(AND($V1233='設定'!$C$4,COUNTIF('商品マスタ'!$B$6:$B$1005,$W1233)=0),N(U1232)+1,N(U1232))</f>
        <v/>
      </c>
      <c r="V1233" s="19">
        <f>IF($B1233="","",TEXT($B1233,"0000"))</f>
        <v/>
      </c>
      <c r="W1233" s="19">
        <f>IF($I1233="","",IF(ISNUMBER($I1233),TEXT($I1233,"0"),$I1233))</f>
        <v/>
      </c>
    </row>
    <row r="1234">
      <c r="B1234" s="25" t="n"/>
      <c r="I1234" s="25" t="n"/>
      <c r="U1234" s="19">
        <f>IF(AND($V1234='設定'!$C$4,COUNTIF('商品マスタ'!$B$6:$B$1005,$W1234)=0),N(U1233)+1,N(U1233))</f>
        <v/>
      </c>
      <c r="V1234" s="19">
        <f>IF($B1234="","",TEXT($B1234,"0000"))</f>
        <v/>
      </c>
      <c r="W1234" s="19">
        <f>IF($I1234="","",IF(ISNUMBER($I1234),TEXT($I1234,"0"),$I1234))</f>
        <v/>
      </c>
    </row>
    <row r="1235">
      <c r="B1235" s="25" t="n"/>
      <c r="I1235" s="25" t="n"/>
      <c r="U1235" s="19">
        <f>IF(AND($V1235='設定'!$C$4,COUNTIF('商品マスタ'!$B$6:$B$1005,$W1235)=0),N(U1234)+1,N(U1234))</f>
        <v/>
      </c>
      <c r="V1235" s="19">
        <f>IF($B1235="","",TEXT($B1235,"0000"))</f>
        <v/>
      </c>
      <c r="W1235" s="19">
        <f>IF($I1235="","",IF(ISNUMBER($I1235),TEXT($I1235,"0"),$I1235))</f>
        <v/>
      </c>
    </row>
    <row r="1236">
      <c r="B1236" s="25" t="n"/>
      <c r="I1236" s="25" t="n"/>
      <c r="U1236" s="19">
        <f>IF(AND($V1236='設定'!$C$4,COUNTIF('商品マスタ'!$B$6:$B$1005,$W1236)=0),N(U1235)+1,N(U1235))</f>
        <v/>
      </c>
      <c r="V1236" s="19">
        <f>IF($B1236="","",TEXT($B1236,"0000"))</f>
        <v/>
      </c>
      <c r="W1236" s="19">
        <f>IF($I1236="","",IF(ISNUMBER($I1236),TEXT($I1236,"0"),$I1236))</f>
        <v/>
      </c>
    </row>
    <row r="1237">
      <c r="B1237" s="25" t="n"/>
      <c r="I1237" s="25" t="n"/>
      <c r="U1237" s="19">
        <f>IF(AND($V1237='設定'!$C$4,COUNTIF('商品マスタ'!$B$6:$B$1005,$W1237)=0),N(U1236)+1,N(U1236))</f>
        <v/>
      </c>
      <c r="V1237" s="19">
        <f>IF($B1237="","",TEXT($B1237,"0000"))</f>
        <v/>
      </c>
      <c r="W1237" s="19">
        <f>IF($I1237="","",IF(ISNUMBER($I1237),TEXT($I1237,"0"),$I1237))</f>
        <v/>
      </c>
    </row>
    <row r="1238">
      <c r="B1238" s="25" t="n"/>
      <c r="I1238" s="25" t="n"/>
      <c r="U1238" s="19">
        <f>IF(AND($V1238='設定'!$C$4,COUNTIF('商品マスタ'!$B$6:$B$1005,$W1238)=0),N(U1237)+1,N(U1237))</f>
        <v/>
      </c>
      <c r="V1238" s="19">
        <f>IF($B1238="","",TEXT($B1238,"0000"))</f>
        <v/>
      </c>
      <c r="W1238" s="19">
        <f>IF($I1238="","",IF(ISNUMBER($I1238),TEXT($I1238,"0"),$I1238))</f>
        <v/>
      </c>
    </row>
    <row r="1239">
      <c r="B1239" s="25" t="n"/>
      <c r="I1239" s="25" t="n"/>
      <c r="U1239" s="19">
        <f>IF(AND($V1239='設定'!$C$4,COUNTIF('商品マスタ'!$B$6:$B$1005,$W1239)=0),N(U1238)+1,N(U1238))</f>
        <v/>
      </c>
      <c r="V1239" s="19">
        <f>IF($B1239="","",TEXT($B1239,"0000"))</f>
        <v/>
      </c>
      <c r="W1239" s="19">
        <f>IF($I1239="","",IF(ISNUMBER($I1239),TEXT($I1239,"0"),$I1239))</f>
        <v/>
      </c>
    </row>
    <row r="1240">
      <c r="B1240" s="25" t="n"/>
      <c r="I1240" s="25" t="n"/>
      <c r="U1240" s="19">
        <f>IF(AND($V1240='設定'!$C$4,COUNTIF('商品マスタ'!$B$6:$B$1005,$W1240)=0),N(U1239)+1,N(U1239))</f>
        <v/>
      </c>
      <c r="V1240" s="19">
        <f>IF($B1240="","",TEXT($B1240,"0000"))</f>
        <v/>
      </c>
      <c r="W1240" s="19">
        <f>IF($I1240="","",IF(ISNUMBER($I1240),TEXT($I1240,"0"),$I1240))</f>
        <v/>
      </c>
    </row>
    <row r="1241">
      <c r="B1241" s="25" t="n"/>
      <c r="I1241" s="25" t="n"/>
      <c r="U1241" s="19">
        <f>IF(AND($V1241='設定'!$C$4,COUNTIF('商品マスタ'!$B$6:$B$1005,$W1241)=0),N(U1240)+1,N(U1240))</f>
        <v/>
      </c>
      <c r="V1241" s="19">
        <f>IF($B1241="","",TEXT($B1241,"0000"))</f>
        <v/>
      </c>
      <c r="W1241" s="19">
        <f>IF($I1241="","",IF(ISNUMBER($I1241),TEXT($I1241,"0"),$I1241))</f>
        <v/>
      </c>
    </row>
    <row r="1242">
      <c r="B1242" s="25" t="n"/>
      <c r="I1242" s="25" t="n"/>
      <c r="U1242" s="19">
        <f>IF(AND($V1242='設定'!$C$4,COUNTIF('商品マスタ'!$B$6:$B$1005,$W1242)=0),N(U1241)+1,N(U1241))</f>
        <v/>
      </c>
      <c r="V1242" s="19">
        <f>IF($B1242="","",TEXT($B1242,"0000"))</f>
        <v/>
      </c>
      <c r="W1242" s="19">
        <f>IF($I1242="","",IF(ISNUMBER($I1242),TEXT($I1242,"0"),$I1242))</f>
        <v/>
      </c>
    </row>
    <row r="1243">
      <c r="B1243" s="25" t="n"/>
      <c r="I1243" s="25" t="n"/>
      <c r="U1243" s="19">
        <f>IF(AND($V1243='設定'!$C$4,COUNTIF('商品マスタ'!$B$6:$B$1005,$W1243)=0),N(U1242)+1,N(U1242))</f>
        <v/>
      </c>
      <c r="V1243" s="19">
        <f>IF($B1243="","",TEXT($B1243,"0000"))</f>
        <v/>
      </c>
      <c r="W1243" s="19">
        <f>IF($I1243="","",IF(ISNUMBER($I1243),TEXT($I1243,"0"),$I1243))</f>
        <v/>
      </c>
    </row>
    <row r="1244">
      <c r="B1244" s="25" t="n"/>
      <c r="I1244" s="25" t="n"/>
      <c r="U1244" s="19">
        <f>IF(AND($V1244='設定'!$C$4,COUNTIF('商品マスタ'!$B$6:$B$1005,$W1244)=0),N(U1243)+1,N(U1243))</f>
        <v/>
      </c>
      <c r="V1244" s="19">
        <f>IF($B1244="","",TEXT($B1244,"0000"))</f>
        <v/>
      </c>
      <c r="W1244" s="19">
        <f>IF($I1244="","",IF(ISNUMBER($I1244),TEXT($I1244,"0"),$I1244))</f>
        <v/>
      </c>
    </row>
    <row r="1245">
      <c r="B1245" s="25" t="n"/>
      <c r="I1245" s="25" t="n"/>
      <c r="U1245" s="19">
        <f>IF(AND($V1245='設定'!$C$4,COUNTIF('商品マスタ'!$B$6:$B$1005,$W1245)=0),N(U1244)+1,N(U1244))</f>
        <v/>
      </c>
      <c r="V1245" s="19">
        <f>IF($B1245="","",TEXT($B1245,"0000"))</f>
        <v/>
      </c>
      <c r="W1245" s="19">
        <f>IF($I1245="","",IF(ISNUMBER($I1245),TEXT($I1245,"0"),$I1245))</f>
        <v/>
      </c>
    </row>
    <row r="1246">
      <c r="B1246" s="25" t="n"/>
      <c r="I1246" s="25" t="n"/>
      <c r="U1246" s="19">
        <f>IF(AND($V1246='設定'!$C$4,COUNTIF('商品マスタ'!$B$6:$B$1005,$W1246)=0),N(U1245)+1,N(U1245))</f>
        <v/>
      </c>
      <c r="V1246" s="19">
        <f>IF($B1246="","",TEXT($B1246,"0000"))</f>
        <v/>
      </c>
      <c r="W1246" s="19">
        <f>IF($I1246="","",IF(ISNUMBER($I1246),TEXT($I1246,"0"),$I1246))</f>
        <v/>
      </c>
    </row>
    <row r="1247">
      <c r="B1247" s="25" t="n"/>
      <c r="I1247" s="25" t="n"/>
      <c r="U1247" s="19">
        <f>IF(AND($V1247='設定'!$C$4,COUNTIF('商品マスタ'!$B$6:$B$1005,$W1247)=0),N(U1246)+1,N(U1246))</f>
        <v/>
      </c>
      <c r="V1247" s="19">
        <f>IF($B1247="","",TEXT($B1247,"0000"))</f>
        <v/>
      </c>
      <c r="W1247" s="19">
        <f>IF($I1247="","",IF(ISNUMBER($I1247),TEXT($I1247,"0"),$I1247))</f>
        <v/>
      </c>
    </row>
    <row r="1248">
      <c r="B1248" s="25" t="n"/>
      <c r="I1248" s="25" t="n"/>
      <c r="U1248" s="19">
        <f>IF(AND($V1248='設定'!$C$4,COUNTIF('商品マスタ'!$B$6:$B$1005,$W1248)=0),N(U1247)+1,N(U1247))</f>
        <v/>
      </c>
      <c r="V1248" s="19">
        <f>IF($B1248="","",TEXT($B1248,"0000"))</f>
        <v/>
      </c>
      <c r="W1248" s="19">
        <f>IF($I1248="","",IF(ISNUMBER($I1248),TEXT($I1248,"0"),$I1248))</f>
        <v/>
      </c>
    </row>
    <row r="1249">
      <c r="B1249" s="25" t="n"/>
      <c r="I1249" s="25" t="n"/>
      <c r="U1249" s="19">
        <f>IF(AND($V1249='設定'!$C$4,COUNTIF('商品マスタ'!$B$6:$B$1005,$W1249)=0),N(U1248)+1,N(U1248))</f>
        <v/>
      </c>
      <c r="V1249" s="19">
        <f>IF($B1249="","",TEXT($B1249,"0000"))</f>
        <v/>
      </c>
      <c r="W1249" s="19">
        <f>IF($I1249="","",IF(ISNUMBER($I1249),TEXT($I1249,"0"),$I1249))</f>
        <v/>
      </c>
    </row>
    <row r="1250">
      <c r="B1250" s="25" t="n"/>
      <c r="I1250" s="25" t="n"/>
      <c r="U1250" s="19">
        <f>IF(AND($V1250='設定'!$C$4,COUNTIF('商品マスタ'!$B$6:$B$1005,$W1250)=0),N(U1249)+1,N(U1249))</f>
        <v/>
      </c>
      <c r="V1250" s="19">
        <f>IF($B1250="","",TEXT($B1250,"0000"))</f>
        <v/>
      </c>
      <c r="W1250" s="19">
        <f>IF($I1250="","",IF(ISNUMBER($I1250),TEXT($I1250,"0"),$I1250))</f>
        <v/>
      </c>
    </row>
    <row r="1251">
      <c r="B1251" s="25" t="n"/>
      <c r="I1251" s="25" t="n"/>
      <c r="U1251" s="19">
        <f>IF(AND($V1251='設定'!$C$4,COUNTIF('商品マスタ'!$B$6:$B$1005,$W1251)=0),N(U1250)+1,N(U1250))</f>
        <v/>
      </c>
      <c r="V1251" s="19">
        <f>IF($B1251="","",TEXT($B1251,"0000"))</f>
        <v/>
      </c>
      <c r="W1251" s="19">
        <f>IF($I1251="","",IF(ISNUMBER($I1251),TEXT($I1251,"0"),$I1251))</f>
        <v/>
      </c>
    </row>
    <row r="1252">
      <c r="B1252" s="25" t="n"/>
      <c r="I1252" s="25" t="n"/>
      <c r="U1252" s="19">
        <f>IF(AND($V1252='設定'!$C$4,COUNTIF('商品マスタ'!$B$6:$B$1005,$W1252)=0),N(U1251)+1,N(U1251))</f>
        <v/>
      </c>
      <c r="V1252" s="19">
        <f>IF($B1252="","",TEXT($B1252,"0000"))</f>
        <v/>
      </c>
      <c r="W1252" s="19">
        <f>IF($I1252="","",IF(ISNUMBER($I1252),TEXT($I1252,"0"),$I1252))</f>
        <v/>
      </c>
    </row>
    <row r="1253">
      <c r="B1253" s="25" t="n"/>
      <c r="I1253" s="25" t="n"/>
      <c r="U1253" s="19">
        <f>IF(AND($V1253='設定'!$C$4,COUNTIF('商品マスタ'!$B$6:$B$1005,$W1253)=0),N(U1252)+1,N(U1252))</f>
        <v/>
      </c>
      <c r="V1253" s="19">
        <f>IF($B1253="","",TEXT($B1253,"0000"))</f>
        <v/>
      </c>
      <c r="W1253" s="19">
        <f>IF($I1253="","",IF(ISNUMBER($I1253),TEXT($I1253,"0"),$I1253))</f>
        <v/>
      </c>
    </row>
    <row r="1254">
      <c r="B1254" s="25" t="n"/>
      <c r="I1254" s="25" t="n"/>
      <c r="U1254" s="19">
        <f>IF(AND($V1254='設定'!$C$4,COUNTIF('商品マスタ'!$B$6:$B$1005,$W1254)=0),N(U1253)+1,N(U1253))</f>
        <v/>
      </c>
      <c r="V1254" s="19">
        <f>IF($B1254="","",TEXT($B1254,"0000"))</f>
        <v/>
      </c>
      <c r="W1254" s="19">
        <f>IF($I1254="","",IF(ISNUMBER($I1254),TEXT($I1254,"0"),$I1254))</f>
        <v/>
      </c>
    </row>
    <row r="1255">
      <c r="B1255" s="25" t="n"/>
      <c r="I1255" s="25" t="n"/>
      <c r="U1255" s="19">
        <f>IF(AND($V1255='設定'!$C$4,COUNTIF('商品マスタ'!$B$6:$B$1005,$W1255)=0),N(U1254)+1,N(U1254))</f>
        <v/>
      </c>
      <c r="V1255" s="19">
        <f>IF($B1255="","",TEXT($B1255,"0000"))</f>
        <v/>
      </c>
      <c r="W1255" s="19">
        <f>IF($I1255="","",IF(ISNUMBER($I1255),TEXT($I1255,"0"),$I1255))</f>
        <v/>
      </c>
    </row>
    <row r="1256">
      <c r="B1256" s="25" t="n"/>
      <c r="I1256" s="25" t="n"/>
      <c r="U1256" s="19">
        <f>IF(AND($V1256='設定'!$C$4,COUNTIF('商品マスタ'!$B$6:$B$1005,$W1256)=0),N(U1255)+1,N(U1255))</f>
        <v/>
      </c>
      <c r="V1256" s="19">
        <f>IF($B1256="","",TEXT($B1256,"0000"))</f>
        <v/>
      </c>
      <c r="W1256" s="19">
        <f>IF($I1256="","",IF(ISNUMBER($I1256),TEXT($I1256,"0"),$I1256))</f>
        <v/>
      </c>
    </row>
    <row r="1257">
      <c r="B1257" s="25" t="n"/>
      <c r="I1257" s="25" t="n"/>
      <c r="U1257" s="19">
        <f>IF(AND($V1257='設定'!$C$4,COUNTIF('商品マスタ'!$B$6:$B$1005,$W1257)=0),N(U1256)+1,N(U1256))</f>
        <v/>
      </c>
      <c r="V1257" s="19">
        <f>IF($B1257="","",TEXT($B1257,"0000"))</f>
        <v/>
      </c>
      <c r="W1257" s="19">
        <f>IF($I1257="","",IF(ISNUMBER($I1257),TEXT($I1257,"0"),$I1257))</f>
        <v/>
      </c>
    </row>
    <row r="1258">
      <c r="B1258" s="25" t="n"/>
      <c r="I1258" s="25" t="n"/>
      <c r="U1258" s="19">
        <f>IF(AND($V1258='設定'!$C$4,COUNTIF('商品マスタ'!$B$6:$B$1005,$W1258)=0),N(U1257)+1,N(U1257))</f>
        <v/>
      </c>
      <c r="V1258" s="19">
        <f>IF($B1258="","",TEXT($B1258,"0000"))</f>
        <v/>
      </c>
      <c r="W1258" s="19">
        <f>IF($I1258="","",IF(ISNUMBER($I1258),TEXT($I1258,"0"),$I1258))</f>
        <v/>
      </c>
    </row>
    <row r="1259">
      <c r="B1259" s="25" t="n"/>
      <c r="I1259" s="25" t="n"/>
      <c r="U1259" s="19">
        <f>IF(AND($V1259='設定'!$C$4,COUNTIF('商品マスタ'!$B$6:$B$1005,$W1259)=0),N(U1258)+1,N(U1258))</f>
        <v/>
      </c>
      <c r="V1259" s="19">
        <f>IF($B1259="","",TEXT($B1259,"0000"))</f>
        <v/>
      </c>
      <c r="W1259" s="19">
        <f>IF($I1259="","",IF(ISNUMBER($I1259),TEXT($I1259,"0"),$I1259))</f>
        <v/>
      </c>
    </row>
    <row r="1260">
      <c r="B1260" s="25" t="n"/>
      <c r="I1260" s="25" t="n"/>
      <c r="U1260" s="19">
        <f>IF(AND($V1260='設定'!$C$4,COUNTIF('商品マスタ'!$B$6:$B$1005,$W1260)=0),N(U1259)+1,N(U1259))</f>
        <v/>
      </c>
      <c r="V1260" s="19">
        <f>IF($B1260="","",TEXT($B1260,"0000"))</f>
        <v/>
      </c>
      <c r="W1260" s="19">
        <f>IF($I1260="","",IF(ISNUMBER($I1260),TEXT($I1260,"0"),$I1260))</f>
        <v/>
      </c>
    </row>
    <row r="1261">
      <c r="B1261" s="25" t="n"/>
      <c r="I1261" s="25" t="n"/>
      <c r="U1261" s="19">
        <f>IF(AND($V1261='設定'!$C$4,COUNTIF('商品マスタ'!$B$6:$B$1005,$W1261)=0),N(U1260)+1,N(U1260))</f>
        <v/>
      </c>
      <c r="V1261" s="19">
        <f>IF($B1261="","",TEXT($B1261,"0000"))</f>
        <v/>
      </c>
      <c r="W1261" s="19">
        <f>IF($I1261="","",IF(ISNUMBER($I1261),TEXT($I1261,"0"),$I1261))</f>
        <v/>
      </c>
    </row>
    <row r="1262">
      <c r="B1262" s="25" t="n"/>
      <c r="I1262" s="25" t="n"/>
      <c r="U1262" s="19">
        <f>IF(AND($V1262='設定'!$C$4,COUNTIF('商品マスタ'!$B$6:$B$1005,$W1262)=0),N(U1261)+1,N(U1261))</f>
        <v/>
      </c>
      <c r="V1262" s="19">
        <f>IF($B1262="","",TEXT($B1262,"0000"))</f>
        <v/>
      </c>
      <c r="W1262" s="19">
        <f>IF($I1262="","",IF(ISNUMBER($I1262),TEXT($I1262,"0"),$I1262))</f>
        <v/>
      </c>
    </row>
    <row r="1263">
      <c r="B1263" s="25" t="n"/>
      <c r="I1263" s="25" t="n"/>
      <c r="U1263" s="19">
        <f>IF(AND($V1263='設定'!$C$4,COUNTIF('商品マスタ'!$B$6:$B$1005,$W1263)=0),N(U1262)+1,N(U1262))</f>
        <v/>
      </c>
      <c r="V1263" s="19">
        <f>IF($B1263="","",TEXT($B1263,"0000"))</f>
        <v/>
      </c>
      <c r="W1263" s="19">
        <f>IF($I1263="","",IF(ISNUMBER($I1263),TEXT($I1263,"0"),$I1263))</f>
        <v/>
      </c>
    </row>
    <row r="1264">
      <c r="B1264" s="25" t="n"/>
      <c r="I1264" s="25" t="n"/>
      <c r="U1264" s="19">
        <f>IF(AND($V1264='設定'!$C$4,COUNTIF('商品マスタ'!$B$6:$B$1005,$W1264)=0),N(U1263)+1,N(U1263))</f>
        <v/>
      </c>
      <c r="V1264" s="19">
        <f>IF($B1264="","",TEXT($B1264,"0000"))</f>
        <v/>
      </c>
      <c r="W1264" s="19">
        <f>IF($I1264="","",IF(ISNUMBER($I1264),TEXT($I1264,"0"),$I1264))</f>
        <v/>
      </c>
    </row>
    <row r="1265">
      <c r="B1265" s="25" t="n"/>
      <c r="I1265" s="25" t="n"/>
      <c r="U1265" s="19">
        <f>IF(AND($V1265='設定'!$C$4,COUNTIF('商品マスタ'!$B$6:$B$1005,$W1265)=0),N(U1264)+1,N(U1264))</f>
        <v/>
      </c>
      <c r="V1265" s="19">
        <f>IF($B1265="","",TEXT($B1265,"0000"))</f>
        <v/>
      </c>
      <c r="W1265" s="19">
        <f>IF($I1265="","",IF(ISNUMBER($I1265),TEXT($I1265,"0"),$I1265))</f>
        <v/>
      </c>
    </row>
    <row r="1266">
      <c r="B1266" s="25" t="n"/>
      <c r="I1266" s="25" t="n"/>
      <c r="U1266" s="19">
        <f>IF(AND($V1266='設定'!$C$4,COUNTIF('商品マスタ'!$B$6:$B$1005,$W1266)=0),N(U1265)+1,N(U1265))</f>
        <v/>
      </c>
      <c r="V1266" s="19">
        <f>IF($B1266="","",TEXT($B1266,"0000"))</f>
        <v/>
      </c>
      <c r="W1266" s="19">
        <f>IF($I1266="","",IF(ISNUMBER($I1266),TEXT($I1266,"0"),$I1266))</f>
        <v/>
      </c>
    </row>
    <row r="1267">
      <c r="B1267" s="25" t="n"/>
      <c r="I1267" s="25" t="n"/>
      <c r="U1267" s="19">
        <f>IF(AND($V1267='設定'!$C$4,COUNTIF('商品マスタ'!$B$6:$B$1005,$W1267)=0),N(U1266)+1,N(U1266))</f>
        <v/>
      </c>
      <c r="V1267" s="19">
        <f>IF($B1267="","",TEXT($B1267,"0000"))</f>
        <v/>
      </c>
      <c r="W1267" s="19">
        <f>IF($I1267="","",IF(ISNUMBER($I1267),TEXT($I1267,"0"),$I1267))</f>
        <v/>
      </c>
    </row>
    <row r="1268">
      <c r="B1268" s="25" t="n"/>
      <c r="I1268" s="25" t="n"/>
      <c r="U1268" s="19">
        <f>IF(AND($V1268='設定'!$C$4,COUNTIF('商品マスタ'!$B$6:$B$1005,$W1268)=0),N(U1267)+1,N(U1267))</f>
        <v/>
      </c>
      <c r="V1268" s="19">
        <f>IF($B1268="","",TEXT($B1268,"0000"))</f>
        <v/>
      </c>
      <c r="W1268" s="19">
        <f>IF($I1268="","",IF(ISNUMBER($I1268),TEXT($I1268,"0"),$I1268))</f>
        <v/>
      </c>
    </row>
    <row r="1269">
      <c r="B1269" s="25" t="n"/>
      <c r="I1269" s="25" t="n"/>
      <c r="U1269" s="19">
        <f>IF(AND($V1269='設定'!$C$4,COUNTIF('商品マスタ'!$B$6:$B$1005,$W1269)=0),N(U1268)+1,N(U1268))</f>
        <v/>
      </c>
      <c r="V1269" s="19">
        <f>IF($B1269="","",TEXT($B1269,"0000"))</f>
        <v/>
      </c>
      <c r="W1269" s="19">
        <f>IF($I1269="","",IF(ISNUMBER($I1269),TEXT($I1269,"0"),$I1269))</f>
        <v/>
      </c>
    </row>
    <row r="1270">
      <c r="B1270" s="25" t="n"/>
      <c r="I1270" s="25" t="n"/>
      <c r="U1270" s="19">
        <f>IF(AND($V1270='設定'!$C$4,COUNTIF('商品マスタ'!$B$6:$B$1005,$W1270)=0),N(U1269)+1,N(U1269))</f>
        <v/>
      </c>
      <c r="V1270" s="19">
        <f>IF($B1270="","",TEXT($B1270,"0000"))</f>
        <v/>
      </c>
      <c r="W1270" s="19">
        <f>IF($I1270="","",IF(ISNUMBER($I1270),TEXT($I1270,"0"),$I1270))</f>
        <v/>
      </c>
    </row>
    <row r="1271">
      <c r="B1271" s="25" t="n"/>
      <c r="I1271" s="25" t="n"/>
      <c r="U1271" s="19">
        <f>IF(AND($V1271='設定'!$C$4,COUNTIF('商品マスタ'!$B$6:$B$1005,$W1271)=0),N(U1270)+1,N(U1270))</f>
        <v/>
      </c>
      <c r="V1271" s="19">
        <f>IF($B1271="","",TEXT($B1271,"0000"))</f>
        <v/>
      </c>
      <c r="W1271" s="19">
        <f>IF($I1271="","",IF(ISNUMBER($I1271),TEXT($I1271,"0"),$I1271))</f>
        <v/>
      </c>
    </row>
    <row r="1272">
      <c r="B1272" s="25" t="n"/>
      <c r="I1272" s="25" t="n"/>
      <c r="U1272" s="19">
        <f>IF(AND($V1272='設定'!$C$4,COUNTIF('商品マスタ'!$B$6:$B$1005,$W1272)=0),N(U1271)+1,N(U1271))</f>
        <v/>
      </c>
      <c r="V1272" s="19">
        <f>IF($B1272="","",TEXT($B1272,"0000"))</f>
        <v/>
      </c>
      <c r="W1272" s="19">
        <f>IF($I1272="","",IF(ISNUMBER($I1272),TEXT($I1272,"0"),$I1272))</f>
        <v/>
      </c>
    </row>
    <row r="1273">
      <c r="B1273" s="25" t="n"/>
      <c r="I1273" s="25" t="n"/>
      <c r="U1273" s="19">
        <f>IF(AND($V1273='設定'!$C$4,COUNTIF('商品マスタ'!$B$6:$B$1005,$W1273)=0),N(U1272)+1,N(U1272))</f>
        <v/>
      </c>
      <c r="V1273" s="19">
        <f>IF($B1273="","",TEXT($B1273,"0000"))</f>
        <v/>
      </c>
      <c r="W1273" s="19">
        <f>IF($I1273="","",IF(ISNUMBER($I1273),TEXT($I1273,"0"),$I1273))</f>
        <v/>
      </c>
    </row>
    <row r="1274">
      <c r="B1274" s="25" t="n"/>
      <c r="I1274" s="25" t="n"/>
      <c r="U1274" s="19">
        <f>IF(AND($V1274='設定'!$C$4,COUNTIF('商品マスタ'!$B$6:$B$1005,$W1274)=0),N(U1273)+1,N(U1273))</f>
        <v/>
      </c>
      <c r="V1274" s="19">
        <f>IF($B1274="","",TEXT($B1274,"0000"))</f>
        <v/>
      </c>
      <c r="W1274" s="19">
        <f>IF($I1274="","",IF(ISNUMBER($I1274),TEXT($I1274,"0"),$I1274))</f>
        <v/>
      </c>
    </row>
    <row r="1275">
      <c r="B1275" s="25" t="n"/>
      <c r="I1275" s="25" t="n"/>
      <c r="U1275" s="19">
        <f>IF(AND($V1275='設定'!$C$4,COUNTIF('商品マスタ'!$B$6:$B$1005,$W1275)=0),N(U1274)+1,N(U1274))</f>
        <v/>
      </c>
      <c r="V1275" s="19">
        <f>IF($B1275="","",TEXT($B1275,"0000"))</f>
        <v/>
      </c>
      <c r="W1275" s="19">
        <f>IF($I1275="","",IF(ISNUMBER($I1275),TEXT($I1275,"0"),$I1275))</f>
        <v/>
      </c>
    </row>
    <row r="1276">
      <c r="B1276" s="25" t="n"/>
      <c r="I1276" s="25" t="n"/>
      <c r="U1276" s="19">
        <f>IF(AND($V1276='設定'!$C$4,COUNTIF('商品マスタ'!$B$6:$B$1005,$W1276)=0),N(U1275)+1,N(U1275))</f>
        <v/>
      </c>
      <c r="V1276" s="19">
        <f>IF($B1276="","",TEXT($B1276,"0000"))</f>
        <v/>
      </c>
      <c r="W1276" s="19">
        <f>IF($I1276="","",IF(ISNUMBER($I1276),TEXT($I1276,"0"),$I1276))</f>
        <v/>
      </c>
    </row>
    <row r="1277">
      <c r="B1277" s="25" t="n"/>
      <c r="I1277" s="25" t="n"/>
      <c r="U1277" s="19">
        <f>IF(AND($V1277='設定'!$C$4,COUNTIF('商品マスタ'!$B$6:$B$1005,$W1277)=0),N(U1276)+1,N(U1276))</f>
        <v/>
      </c>
      <c r="V1277" s="19">
        <f>IF($B1277="","",TEXT($B1277,"0000"))</f>
        <v/>
      </c>
      <c r="W1277" s="19">
        <f>IF($I1277="","",IF(ISNUMBER($I1277),TEXT($I1277,"0"),$I1277))</f>
        <v/>
      </c>
    </row>
    <row r="1278">
      <c r="B1278" s="25" t="n"/>
      <c r="I1278" s="25" t="n"/>
      <c r="U1278" s="19">
        <f>IF(AND($V1278='設定'!$C$4,COUNTIF('商品マスタ'!$B$6:$B$1005,$W1278)=0),N(U1277)+1,N(U1277))</f>
        <v/>
      </c>
      <c r="V1278" s="19">
        <f>IF($B1278="","",TEXT($B1278,"0000"))</f>
        <v/>
      </c>
      <c r="W1278" s="19">
        <f>IF($I1278="","",IF(ISNUMBER($I1278),TEXT($I1278,"0"),$I1278))</f>
        <v/>
      </c>
    </row>
    <row r="1279">
      <c r="B1279" s="25" t="n"/>
      <c r="I1279" s="25" t="n"/>
      <c r="U1279" s="19">
        <f>IF(AND($V1279='設定'!$C$4,COUNTIF('商品マスタ'!$B$6:$B$1005,$W1279)=0),N(U1278)+1,N(U1278))</f>
        <v/>
      </c>
      <c r="V1279" s="19">
        <f>IF($B1279="","",TEXT($B1279,"0000"))</f>
        <v/>
      </c>
      <c r="W1279" s="19">
        <f>IF($I1279="","",IF(ISNUMBER($I1279),TEXT($I1279,"0"),$I1279))</f>
        <v/>
      </c>
    </row>
    <row r="1280">
      <c r="B1280" s="25" t="n"/>
      <c r="I1280" s="25" t="n"/>
      <c r="U1280" s="19">
        <f>IF(AND($V1280='設定'!$C$4,COUNTIF('商品マスタ'!$B$6:$B$1005,$W1280)=0),N(U1279)+1,N(U1279))</f>
        <v/>
      </c>
      <c r="V1280" s="19">
        <f>IF($B1280="","",TEXT($B1280,"0000"))</f>
        <v/>
      </c>
      <c r="W1280" s="19">
        <f>IF($I1280="","",IF(ISNUMBER($I1280),TEXT($I1280,"0"),$I1280))</f>
        <v/>
      </c>
    </row>
    <row r="1281">
      <c r="B1281" s="25" t="n"/>
      <c r="I1281" s="25" t="n"/>
      <c r="U1281" s="19">
        <f>IF(AND($V1281='設定'!$C$4,COUNTIF('商品マスタ'!$B$6:$B$1005,$W1281)=0),N(U1280)+1,N(U1280))</f>
        <v/>
      </c>
      <c r="V1281" s="19">
        <f>IF($B1281="","",TEXT($B1281,"0000"))</f>
        <v/>
      </c>
      <c r="W1281" s="19">
        <f>IF($I1281="","",IF(ISNUMBER($I1281),TEXT($I1281,"0"),$I1281))</f>
        <v/>
      </c>
    </row>
    <row r="1282">
      <c r="B1282" s="25" t="n"/>
      <c r="I1282" s="25" t="n"/>
      <c r="U1282" s="19">
        <f>IF(AND($V1282='設定'!$C$4,COUNTIF('商品マスタ'!$B$6:$B$1005,$W1282)=0),N(U1281)+1,N(U1281))</f>
        <v/>
      </c>
      <c r="V1282" s="19">
        <f>IF($B1282="","",TEXT($B1282,"0000"))</f>
        <v/>
      </c>
      <c r="W1282" s="19">
        <f>IF($I1282="","",IF(ISNUMBER($I1282),TEXT($I1282,"0"),$I1282))</f>
        <v/>
      </c>
    </row>
    <row r="1283">
      <c r="B1283" s="25" t="n"/>
      <c r="I1283" s="25" t="n"/>
      <c r="U1283" s="19">
        <f>IF(AND($V1283='設定'!$C$4,COUNTIF('商品マスタ'!$B$6:$B$1005,$W1283)=0),N(U1282)+1,N(U1282))</f>
        <v/>
      </c>
      <c r="V1283" s="19">
        <f>IF($B1283="","",TEXT($B1283,"0000"))</f>
        <v/>
      </c>
      <c r="W1283" s="19">
        <f>IF($I1283="","",IF(ISNUMBER($I1283),TEXT($I1283,"0"),$I1283))</f>
        <v/>
      </c>
    </row>
    <row r="1284">
      <c r="B1284" s="25" t="n"/>
      <c r="I1284" s="25" t="n"/>
      <c r="U1284" s="19">
        <f>IF(AND($V1284='設定'!$C$4,COUNTIF('商品マスタ'!$B$6:$B$1005,$W1284)=0),N(U1283)+1,N(U1283))</f>
        <v/>
      </c>
      <c r="V1284" s="19">
        <f>IF($B1284="","",TEXT($B1284,"0000"))</f>
        <v/>
      </c>
      <c r="W1284" s="19">
        <f>IF($I1284="","",IF(ISNUMBER($I1284),TEXT($I1284,"0"),$I1284))</f>
        <v/>
      </c>
    </row>
    <row r="1285">
      <c r="B1285" s="25" t="n"/>
      <c r="I1285" s="25" t="n"/>
      <c r="U1285" s="19">
        <f>IF(AND($V1285='設定'!$C$4,COUNTIF('商品マスタ'!$B$6:$B$1005,$W1285)=0),N(U1284)+1,N(U1284))</f>
        <v/>
      </c>
      <c r="V1285" s="19">
        <f>IF($B1285="","",TEXT($B1285,"0000"))</f>
        <v/>
      </c>
      <c r="W1285" s="19">
        <f>IF($I1285="","",IF(ISNUMBER($I1285),TEXT($I1285,"0"),$I1285))</f>
        <v/>
      </c>
    </row>
    <row r="1286">
      <c r="B1286" s="25" t="n"/>
      <c r="I1286" s="25" t="n"/>
      <c r="U1286" s="19">
        <f>IF(AND($V1286='設定'!$C$4,COUNTIF('商品マスタ'!$B$6:$B$1005,$W1286)=0),N(U1285)+1,N(U1285))</f>
        <v/>
      </c>
      <c r="V1286" s="19">
        <f>IF($B1286="","",TEXT($B1286,"0000"))</f>
        <v/>
      </c>
      <c r="W1286" s="19">
        <f>IF($I1286="","",IF(ISNUMBER($I1286),TEXT($I1286,"0"),$I1286))</f>
        <v/>
      </c>
    </row>
    <row r="1287">
      <c r="B1287" s="25" t="n"/>
      <c r="I1287" s="25" t="n"/>
      <c r="U1287" s="19">
        <f>IF(AND($V1287='設定'!$C$4,COUNTIF('商品マスタ'!$B$6:$B$1005,$W1287)=0),N(U1286)+1,N(U1286))</f>
        <v/>
      </c>
      <c r="V1287" s="19">
        <f>IF($B1287="","",TEXT($B1287,"0000"))</f>
        <v/>
      </c>
      <c r="W1287" s="19">
        <f>IF($I1287="","",IF(ISNUMBER($I1287),TEXT($I1287,"0"),$I1287))</f>
        <v/>
      </c>
    </row>
    <row r="1288">
      <c r="B1288" s="25" t="n"/>
      <c r="I1288" s="25" t="n"/>
      <c r="U1288" s="19">
        <f>IF(AND($V1288='設定'!$C$4,COUNTIF('商品マスタ'!$B$6:$B$1005,$W1288)=0),N(U1287)+1,N(U1287))</f>
        <v/>
      </c>
      <c r="V1288" s="19">
        <f>IF($B1288="","",TEXT($B1288,"0000"))</f>
        <v/>
      </c>
      <c r="W1288" s="19">
        <f>IF($I1288="","",IF(ISNUMBER($I1288),TEXT($I1288,"0"),$I1288))</f>
        <v/>
      </c>
    </row>
    <row r="1289">
      <c r="B1289" s="25" t="n"/>
      <c r="I1289" s="25" t="n"/>
      <c r="U1289" s="19">
        <f>IF(AND($V1289='設定'!$C$4,COUNTIF('商品マスタ'!$B$6:$B$1005,$W1289)=0),N(U1288)+1,N(U1288))</f>
        <v/>
      </c>
      <c r="V1289" s="19">
        <f>IF($B1289="","",TEXT($B1289,"0000"))</f>
        <v/>
      </c>
      <c r="W1289" s="19">
        <f>IF($I1289="","",IF(ISNUMBER($I1289),TEXT($I1289,"0"),$I1289))</f>
        <v/>
      </c>
    </row>
    <row r="1290">
      <c r="B1290" s="25" t="n"/>
      <c r="I1290" s="25" t="n"/>
      <c r="U1290" s="19">
        <f>IF(AND($V1290='設定'!$C$4,COUNTIF('商品マスタ'!$B$6:$B$1005,$W1290)=0),N(U1289)+1,N(U1289))</f>
        <v/>
      </c>
      <c r="V1290" s="19">
        <f>IF($B1290="","",TEXT($B1290,"0000"))</f>
        <v/>
      </c>
      <c r="W1290" s="19">
        <f>IF($I1290="","",IF(ISNUMBER($I1290),TEXT($I1290,"0"),$I1290))</f>
        <v/>
      </c>
    </row>
    <row r="1291">
      <c r="B1291" s="25" t="n"/>
      <c r="I1291" s="25" t="n"/>
      <c r="U1291" s="19">
        <f>IF(AND($V1291='設定'!$C$4,COUNTIF('商品マスタ'!$B$6:$B$1005,$W1291)=0),N(U1290)+1,N(U1290))</f>
        <v/>
      </c>
      <c r="V1291" s="19">
        <f>IF($B1291="","",TEXT($B1291,"0000"))</f>
        <v/>
      </c>
      <c r="W1291" s="19">
        <f>IF($I1291="","",IF(ISNUMBER($I1291),TEXT($I1291,"0"),$I1291))</f>
        <v/>
      </c>
    </row>
    <row r="1292">
      <c r="B1292" s="25" t="n"/>
      <c r="I1292" s="25" t="n"/>
      <c r="U1292" s="19">
        <f>IF(AND($V1292='設定'!$C$4,COUNTIF('商品マスタ'!$B$6:$B$1005,$W1292)=0),N(U1291)+1,N(U1291))</f>
        <v/>
      </c>
      <c r="V1292" s="19">
        <f>IF($B1292="","",TEXT($B1292,"0000"))</f>
        <v/>
      </c>
      <c r="W1292" s="19">
        <f>IF($I1292="","",IF(ISNUMBER($I1292),TEXT($I1292,"0"),$I1292))</f>
        <v/>
      </c>
    </row>
    <row r="1293">
      <c r="B1293" s="25" t="n"/>
      <c r="I1293" s="25" t="n"/>
      <c r="U1293" s="19">
        <f>IF(AND($V1293='設定'!$C$4,COUNTIF('商品マスタ'!$B$6:$B$1005,$W1293)=0),N(U1292)+1,N(U1292))</f>
        <v/>
      </c>
      <c r="V1293" s="19">
        <f>IF($B1293="","",TEXT($B1293,"0000"))</f>
        <v/>
      </c>
      <c r="W1293" s="19">
        <f>IF($I1293="","",IF(ISNUMBER($I1293),TEXT($I1293,"0"),$I1293))</f>
        <v/>
      </c>
    </row>
    <row r="1294">
      <c r="B1294" s="25" t="n"/>
      <c r="I1294" s="25" t="n"/>
      <c r="U1294" s="19">
        <f>IF(AND($V1294='設定'!$C$4,COUNTIF('商品マスタ'!$B$6:$B$1005,$W1294)=0),N(U1293)+1,N(U1293))</f>
        <v/>
      </c>
      <c r="V1294" s="19">
        <f>IF($B1294="","",TEXT($B1294,"0000"))</f>
        <v/>
      </c>
      <c r="W1294" s="19">
        <f>IF($I1294="","",IF(ISNUMBER($I1294),TEXT($I1294,"0"),$I1294))</f>
        <v/>
      </c>
    </row>
    <row r="1295">
      <c r="B1295" s="25" t="n"/>
      <c r="I1295" s="25" t="n"/>
      <c r="U1295" s="19">
        <f>IF(AND($V1295='設定'!$C$4,COUNTIF('商品マスタ'!$B$6:$B$1005,$W1295)=0),N(U1294)+1,N(U1294))</f>
        <v/>
      </c>
      <c r="V1295" s="19">
        <f>IF($B1295="","",TEXT($B1295,"0000"))</f>
        <v/>
      </c>
      <c r="W1295" s="19">
        <f>IF($I1295="","",IF(ISNUMBER($I1295),TEXT($I1295,"0"),$I1295))</f>
        <v/>
      </c>
    </row>
    <row r="1296">
      <c r="B1296" s="25" t="n"/>
      <c r="I1296" s="25" t="n"/>
      <c r="U1296" s="19">
        <f>IF(AND($V1296='設定'!$C$4,COUNTIF('商品マスタ'!$B$6:$B$1005,$W1296)=0),N(U1295)+1,N(U1295))</f>
        <v/>
      </c>
      <c r="V1296" s="19">
        <f>IF($B1296="","",TEXT($B1296,"0000"))</f>
        <v/>
      </c>
      <c r="W1296" s="19">
        <f>IF($I1296="","",IF(ISNUMBER($I1296),TEXT($I1296,"0"),$I1296))</f>
        <v/>
      </c>
    </row>
    <row r="1297">
      <c r="B1297" s="25" t="n"/>
      <c r="I1297" s="25" t="n"/>
      <c r="U1297" s="19">
        <f>IF(AND($V1297='設定'!$C$4,COUNTIF('商品マスタ'!$B$6:$B$1005,$W1297)=0),N(U1296)+1,N(U1296))</f>
        <v/>
      </c>
      <c r="V1297" s="19">
        <f>IF($B1297="","",TEXT($B1297,"0000"))</f>
        <v/>
      </c>
      <c r="W1297" s="19">
        <f>IF($I1297="","",IF(ISNUMBER($I1297),TEXT($I1297,"0"),$I1297))</f>
        <v/>
      </c>
    </row>
    <row r="1298">
      <c r="B1298" s="25" t="n"/>
      <c r="I1298" s="25" t="n"/>
      <c r="U1298" s="19">
        <f>IF(AND($V1298='設定'!$C$4,COUNTIF('商品マスタ'!$B$6:$B$1005,$W1298)=0),N(U1297)+1,N(U1297))</f>
        <v/>
      </c>
      <c r="V1298" s="19">
        <f>IF($B1298="","",TEXT($B1298,"0000"))</f>
        <v/>
      </c>
      <c r="W1298" s="19">
        <f>IF($I1298="","",IF(ISNUMBER($I1298),TEXT($I1298,"0"),$I1298))</f>
        <v/>
      </c>
    </row>
    <row r="1299">
      <c r="B1299" s="25" t="n"/>
      <c r="I1299" s="25" t="n"/>
      <c r="U1299" s="19">
        <f>IF(AND($V1299='設定'!$C$4,COUNTIF('商品マスタ'!$B$6:$B$1005,$W1299)=0),N(U1298)+1,N(U1298))</f>
        <v/>
      </c>
      <c r="V1299" s="19">
        <f>IF($B1299="","",TEXT($B1299,"0000"))</f>
        <v/>
      </c>
      <c r="W1299" s="19">
        <f>IF($I1299="","",IF(ISNUMBER($I1299),TEXT($I1299,"0"),$I1299))</f>
        <v/>
      </c>
    </row>
    <row r="1300">
      <c r="B1300" s="25" t="n"/>
      <c r="I1300" s="25" t="n"/>
      <c r="U1300" s="19">
        <f>IF(AND($V1300='設定'!$C$4,COUNTIF('商品マスタ'!$B$6:$B$1005,$W1300)=0),N(U1299)+1,N(U1299))</f>
        <v/>
      </c>
      <c r="V1300" s="19">
        <f>IF($B1300="","",TEXT($B1300,"0000"))</f>
        <v/>
      </c>
      <c r="W1300" s="19">
        <f>IF($I1300="","",IF(ISNUMBER($I1300),TEXT($I1300,"0"),$I1300))</f>
        <v/>
      </c>
    </row>
    <row r="1301">
      <c r="B1301" s="25" t="n"/>
      <c r="I1301" s="25" t="n"/>
      <c r="U1301" s="19">
        <f>IF(AND($V1301='設定'!$C$4,COUNTIF('商品マスタ'!$B$6:$B$1005,$W1301)=0),N(U1300)+1,N(U1300))</f>
        <v/>
      </c>
      <c r="V1301" s="19">
        <f>IF($B1301="","",TEXT($B1301,"0000"))</f>
        <v/>
      </c>
      <c r="W1301" s="19">
        <f>IF($I1301="","",IF(ISNUMBER($I1301),TEXT($I1301,"0"),$I1301))</f>
        <v/>
      </c>
    </row>
    <row r="1302">
      <c r="B1302" s="25" t="n"/>
      <c r="I1302" s="25" t="n"/>
      <c r="U1302" s="19">
        <f>IF(AND($V1302='設定'!$C$4,COUNTIF('商品マスタ'!$B$6:$B$1005,$W1302)=0),N(U1301)+1,N(U1301))</f>
        <v/>
      </c>
      <c r="V1302" s="19">
        <f>IF($B1302="","",TEXT($B1302,"0000"))</f>
        <v/>
      </c>
      <c r="W1302" s="19">
        <f>IF($I1302="","",IF(ISNUMBER($I1302),TEXT($I1302,"0"),$I1302))</f>
        <v/>
      </c>
    </row>
    <row r="1303">
      <c r="B1303" s="25" t="n"/>
      <c r="I1303" s="25" t="n"/>
      <c r="U1303" s="19">
        <f>IF(AND($V1303='設定'!$C$4,COUNTIF('商品マスタ'!$B$6:$B$1005,$W1303)=0),N(U1302)+1,N(U1302))</f>
        <v/>
      </c>
      <c r="V1303" s="19">
        <f>IF($B1303="","",TEXT($B1303,"0000"))</f>
        <v/>
      </c>
      <c r="W1303" s="19">
        <f>IF($I1303="","",IF(ISNUMBER($I1303),TEXT($I1303,"0"),$I1303))</f>
        <v/>
      </c>
    </row>
    <row r="1304">
      <c r="B1304" s="25" t="n"/>
      <c r="I1304" s="25" t="n"/>
      <c r="U1304" s="19">
        <f>IF(AND($V1304='設定'!$C$4,COUNTIF('商品マスタ'!$B$6:$B$1005,$W1304)=0),N(U1303)+1,N(U1303))</f>
        <v/>
      </c>
      <c r="V1304" s="19">
        <f>IF($B1304="","",TEXT($B1304,"0000"))</f>
        <v/>
      </c>
      <c r="W1304" s="19">
        <f>IF($I1304="","",IF(ISNUMBER($I1304),TEXT($I1304,"0"),$I1304))</f>
        <v/>
      </c>
    </row>
    <row r="1305">
      <c r="B1305" s="25" t="n"/>
      <c r="I1305" s="25" t="n"/>
      <c r="U1305" s="19">
        <f>IF(AND($V1305='設定'!$C$4,COUNTIF('商品マスタ'!$B$6:$B$1005,$W1305)=0),N(U1304)+1,N(U1304))</f>
        <v/>
      </c>
      <c r="V1305" s="19">
        <f>IF($B1305="","",TEXT($B1305,"0000"))</f>
        <v/>
      </c>
      <c r="W1305" s="19">
        <f>IF($I1305="","",IF(ISNUMBER($I1305),TEXT($I1305,"0"),$I1305))</f>
        <v/>
      </c>
    </row>
    <row r="1306">
      <c r="B1306" s="25" t="n"/>
      <c r="I1306" s="25" t="n"/>
      <c r="U1306" s="19">
        <f>IF(AND($V1306='設定'!$C$4,COUNTIF('商品マスタ'!$B$6:$B$1005,$W1306)=0),N(U1305)+1,N(U1305))</f>
        <v/>
      </c>
      <c r="V1306" s="19">
        <f>IF($B1306="","",TEXT($B1306,"0000"))</f>
        <v/>
      </c>
      <c r="W1306" s="19">
        <f>IF($I1306="","",IF(ISNUMBER($I1306),TEXT($I1306,"0"),$I1306))</f>
        <v/>
      </c>
    </row>
    <row r="1307">
      <c r="B1307" s="25" t="n"/>
      <c r="I1307" s="25" t="n"/>
      <c r="U1307" s="19">
        <f>IF(AND($V1307='設定'!$C$4,COUNTIF('商品マスタ'!$B$6:$B$1005,$W1307)=0),N(U1306)+1,N(U1306))</f>
        <v/>
      </c>
      <c r="V1307" s="19">
        <f>IF($B1307="","",TEXT($B1307,"0000"))</f>
        <v/>
      </c>
      <c r="W1307" s="19">
        <f>IF($I1307="","",IF(ISNUMBER($I1307),TEXT($I1307,"0"),$I1307))</f>
        <v/>
      </c>
    </row>
    <row r="1308">
      <c r="B1308" s="25" t="n"/>
      <c r="I1308" s="25" t="n"/>
      <c r="U1308" s="19">
        <f>IF(AND($V1308='設定'!$C$4,COUNTIF('商品マスタ'!$B$6:$B$1005,$W1308)=0),N(U1307)+1,N(U1307))</f>
        <v/>
      </c>
      <c r="V1308" s="19">
        <f>IF($B1308="","",TEXT($B1308,"0000"))</f>
        <v/>
      </c>
      <c r="W1308" s="19">
        <f>IF($I1308="","",IF(ISNUMBER($I1308),TEXT($I1308,"0"),$I1308))</f>
        <v/>
      </c>
    </row>
    <row r="1309">
      <c r="B1309" s="25" t="n"/>
      <c r="I1309" s="25" t="n"/>
      <c r="U1309" s="19">
        <f>IF(AND($V1309='設定'!$C$4,COUNTIF('商品マスタ'!$B$6:$B$1005,$W1309)=0),N(U1308)+1,N(U1308))</f>
        <v/>
      </c>
      <c r="V1309" s="19">
        <f>IF($B1309="","",TEXT($B1309,"0000"))</f>
        <v/>
      </c>
      <c r="W1309" s="19">
        <f>IF($I1309="","",IF(ISNUMBER($I1309),TEXT($I1309,"0"),$I1309))</f>
        <v/>
      </c>
    </row>
    <row r="1310">
      <c r="B1310" s="25" t="n"/>
      <c r="I1310" s="25" t="n"/>
      <c r="U1310" s="19">
        <f>IF(AND($V1310='設定'!$C$4,COUNTIF('商品マスタ'!$B$6:$B$1005,$W1310)=0),N(U1309)+1,N(U1309))</f>
        <v/>
      </c>
      <c r="V1310" s="19">
        <f>IF($B1310="","",TEXT($B1310,"0000"))</f>
        <v/>
      </c>
      <c r="W1310" s="19">
        <f>IF($I1310="","",IF(ISNUMBER($I1310),TEXT($I1310,"0"),$I1310))</f>
        <v/>
      </c>
    </row>
    <row r="1311">
      <c r="B1311" s="25" t="n"/>
      <c r="I1311" s="25" t="n"/>
      <c r="U1311" s="19">
        <f>IF(AND($V1311='設定'!$C$4,COUNTIF('商品マスタ'!$B$6:$B$1005,$W1311)=0),N(U1310)+1,N(U1310))</f>
        <v/>
      </c>
      <c r="V1311" s="19">
        <f>IF($B1311="","",TEXT($B1311,"0000"))</f>
        <v/>
      </c>
      <c r="W1311" s="19">
        <f>IF($I1311="","",IF(ISNUMBER($I1311),TEXT($I1311,"0"),$I1311))</f>
        <v/>
      </c>
    </row>
    <row r="1312">
      <c r="B1312" s="25" t="n"/>
      <c r="I1312" s="25" t="n"/>
      <c r="U1312" s="19">
        <f>IF(AND($V1312='設定'!$C$4,COUNTIF('商品マスタ'!$B$6:$B$1005,$W1312)=0),N(U1311)+1,N(U1311))</f>
        <v/>
      </c>
      <c r="V1312" s="19">
        <f>IF($B1312="","",TEXT($B1312,"0000"))</f>
        <v/>
      </c>
      <c r="W1312" s="19">
        <f>IF($I1312="","",IF(ISNUMBER($I1312),TEXT($I1312,"0"),$I1312))</f>
        <v/>
      </c>
    </row>
    <row r="1313">
      <c r="B1313" s="25" t="n"/>
      <c r="I1313" s="25" t="n"/>
      <c r="U1313" s="19">
        <f>IF(AND($V1313='設定'!$C$4,COUNTIF('商品マスタ'!$B$6:$B$1005,$W1313)=0),N(U1312)+1,N(U1312))</f>
        <v/>
      </c>
      <c r="V1313" s="19">
        <f>IF($B1313="","",TEXT($B1313,"0000"))</f>
        <v/>
      </c>
      <c r="W1313" s="19">
        <f>IF($I1313="","",IF(ISNUMBER($I1313),TEXT($I1313,"0"),$I1313))</f>
        <v/>
      </c>
    </row>
    <row r="1314">
      <c r="B1314" s="25" t="n"/>
      <c r="I1314" s="25" t="n"/>
      <c r="U1314" s="19">
        <f>IF(AND($V1314='設定'!$C$4,COUNTIF('商品マスタ'!$B$6:$B$1005,$W1314)=0),N(U1313)+1,N(U1313))</f>
        <v/>
      </c>
      <c r="V1314" s="19">
        <f>IF($B1314="","",TEXT($B1314,"0000"))</f>
        <v/>
      </c>
      <c r="W1314" s="19">
        <f>IF($I1314="","",IF(ISNUMBER($I1314),TEXT($I1314,"0"),$I1314))</f>
        <v/>
      </c>
    </row>
    <row r="1315">
      <c r="B1315" s="25" t="n"/>
      <c r="I1315" s="25" t="n"/>
      <c r="U1315" s="19">
        <f>IF(AND($V1315='設定'!$C$4,COUNTIF('商品マスタ'!$B$6:$B$1005,$W1315)=0),N(U1314)+1,N(U1314))</f>
        <v/>
      </c>
      <c r="V1315" s="19">
        <f>IF($B1315="","",TEXT($B1315,"0000"))</f>
        <v/>
      </c>
      <c r="W1315" s="19">
        <f>IF($I1315="","",IF(ISNUMBER($I1315),TEXT($I1315,"0"),$I1315))</f>
        <v/>
      </c>
    </row>
    <row r="1316">
      <c r="B1316" s="25" t="n"/>
      <c r="I1316" s="25" t="n"/>
      <c r="U1316" s="19">
        <f>IF(AND($V1316='設定'!$C$4,COUNTIF('商品マスタ'!$B$6:$B$1005,$W1316)=0),N(U1315)+1,N(U1315))</f>
        <v/>
      </c>
      <c r="V1316" s="19">
        <f>IF($B1316="","",TEXT($B1316,"0000"))</f>
        <v/>
      </c>
      <c r="W1316" s="19">
        <f>IF($I1316="","",IF(ISNUMBER($I1316),TEXT($I1316,"0"),$I1316))</f>
        <v/>
      </c>
    </row>
    <row r="1317">
      <c r="B1317" s="25" t="n"/>
      <c r="I1317" s="25" t="n"/>
      <c r="U1317" s="19">
        <f>IF(AND($V1317='設定'!$C$4,COUNTIF('商品マスタ'!$B$6:$B$1005,$W1317)=0),N(U1316)+1,N(U1316))</f>
        <v/>
      </c>
      <c r="V1317" s="19">
        <f>IF($B1317="","",TEXT($B1317,"0000"))</f>
        <v/>
      </c>
      <c r="W1317" s="19">
        <f>IF($I1317="","",IF(ISNUMBER($I1317),TEXT($I1317,"0"),$I1317))</f>
        <v/>
      </c>
    </row>
    <row r="1318">
      <c r="B1318" s="25" t="n"/>
      <c r="I1318" s="25" t="n"/>
      <c r="U1318" s="19">
        <f>IF(AND($V1318='設定'!$C$4,COUNTIF('商品マスタ'!$B$6:$B$1005,$W1318)=0),N(U1317)+1,N(U1317))</f>
        <v/>
      </c>
      <c r="V1318" s="19">
        <f>IF($B1318="","",TEXT($B1318,"0000"))</f>
        <v/>
      </c>
      <c r="W1318" s="19">
        <f>IF($I1318="","",IF(ISNUMBER($I1318),TEXT($I1318,"0"),$I1318))</f>
        <v/>
      </c>
    </row>
    <row r="1319">
      <c r="B1319" s="25" t="n"/>
      <c r="I1319" s="25" t="n"/>
      <c r="U1319" s="19">
        <f>IF(AND($V1319='設定'!$C$4,COUNTIF('商品マスタ'!$B$6:$B$1005,$W1319)=0),N(U1318)+1,N(U1318))</f>
        <v/>
      </c>
      <c r="V1319" s="19">
        <f>IF($B1319="","",TEXT($B1319,"0000"))</f>
        <v/>
      </c>
      <c r="W1319" s="19">
        <f>IF($I1319="","",IF(ISNUMBER($I1319),TEXT($I1319,"0"),$I1319))</f>
        <v/>
      </c>
    </row>
    <row r="1320">
      <c r="B1320" s="25" t="n"/>
      <c r="I1320" s="25" t="n"/>
      <c r="U1320" s="19">
        <f>IF(AND($V1320='設定'!$C$4,COUNTIF('商品マスタ'!$B$6:$B$1005,$W1320)=0),N(U1319)+1,N(U1319))</f>
        <v/>
      </c>
      <c r="V1320" s="19">
        <f>IF($B1320="","",TEXT($B1320,"0000"))</f>
        <v/>
      </c>
      <c r="W1320" s="19">
        <f>IF($I1320="","",IF(ISNUMBER($I1320),TEXT($I1320,"0"),$I1320))</f>
        <v/>
      </c>
    </row>
    <row r="1321">
      <c r="B1321" s="25" t="n"/>
      <c r="I1321" s="25" t="n"/>
      <c r="U1321" s="19">
        <f>IF(AND($V1321='設定'!$C$4,COUNTIF('商品マスタ'!$B$6:$B$1005,$W1321)=0),N(U1320)+1,N(U1320))</f>
        <v/>
      </c>
      <c r="V1321" s="19">
        <f>IF($B1321="","",TEXT($B1321,"0000"))</f>
        <v/>
      </c>
      <c r="W1321" s="19">
        <f>IF($I1321="","",IF(ISNUMBER($I1321),TEXT($I1321,"0"),$I1321))</f>
        <v/>
      </c>
    </row>
    <row r="1322">
      <c r="B1322" s="25" t="n"/>
      <c r="I1322" s="25" t="n"/>
      <c r="U1322" s="19">
        <f>IF(AND($V1322='設定'!$C$4,COUNTIF('商品マスタ'!$B$6:$B$1005,$W1322)=0),N(U1321)+1,N(U1321))</f>
        <v/>
      </c>
      <c r="V1322" s="19">
        <f>IF($B1322="","",TEXT($B1322,"0000"))</f>
        <v/>
      </c>
      <c r="W1322" s="19">
        <f>IF($I1322="","",IF(ISNUMBER($I1322),TEXT($I1322,"0"),$I1322))</f>
        <v/>
      </c>
    </row>
    <row r="1323">
      <c r="B1323" s="25" t="n"/>
      <c r="I1323" s="25" t="n"/>
      <c r="U1323" s="19">
        <f>IF(AND($V1323='設定'!$C$4,COUNTIF('商品マスタ'!$B$6:$B$1005,$W1323)=0),N(U1322)+1,N(U1322))</f>
        <v/>
      </c>
      <c r="V1323" s="19">
        <f>IF($B1323="","",TEXT($B1323,"0000"))</f>
        <v/>
      </c>
      <c r="W1323" s="19">
        <f>IF($I1323="","",IF(ISNUMBER($I1323),TEXT($I1323,"0"),$I1323))</f>
        <v/>
      </c>
    </row>
    <row r="1324">
      <c r="B1324" s="25" t="n"/>
      <c r="I1324" s="25" t="n"/>
      <c r="U1324" s="19">
        <f>IF(AND($V1324='設定'!$C$4,COUNTIF('商品マスタ'!$B$6:$B$1005,$W1324)=0),N(U1323)+1,N(U1323))</f>
        <v/>
      </c>
      <c r="V1324" s="19">
        <f>IF($B1324="","",TEXT($B1324,"0000"))</f>
        <v/>
      </c>
      <c r="W1324" s="19">
        <f>IF($I1324="","",IF(ISNUMBER($I1324),TEXT($I1324,"0"),$I1324))</f>
        <v/>
      </c>
    </row>
    <row r="1325">
      <c r="B1325" s="25" t="n"/>
      <c r="I1325" s="25" t="n"/>
      <c r="U1325" s="19">
        <f>IF(AND($V1325='設定'!$C$4,COUNTIF('商品マスタ'!$B$6:$B$1005,$W1325)=0),N(U1324)+1,N(U1324))</f>
        <v/>
      </c>
      <c r="V1325" s="19">
        <f>IF($B1325="","",TEXT($B1325,"0000"))</f>
        <v/>
      </c>
      <c r="W1325" s="19">
        <f>IF($I1325="","",IF(ISNUMBER($I1325),TEXT($I1325,"0"),$I1325))</f>
        <v/>
      </c>
    </row>
    <row r="1326">
      <c r="B1326" s="25" t="n"/>
      <c r="I1326" s="25" t="n"/>
      <c r="U1326" s="19">
        <f>IF(AND($V1326='設定'!$C$4,COUNTIF('商品マスタ'!$B$6:$B$1005,$W1326)=0),N(U1325)+1,N(U1325))</f>
        <v/>
      </c>
      <c r="V1326" s="19">
        <f>IF($B1326="","",TEXT($B1326,"0000"))</f>
        <v/>
      </c>
      <c r="W1326" s="19">
        <f>IF($I1326="","",IF(ISNUMBER($I1326),TEXT($I1326,"0"),$I1326))</f>
        <v/>
      </c>
    </row>
    <row r="1327">
      <c r="B1327" s="25" t="n"/>
      <c r="I1327" s="25" t="n"/>
      <c r="U1327" s="19">
        <f>IF(AND($V1327='設定'!$C$4,COUNTIF('商品マスタ'!$B$6:$B$1005,$W1327)=0),N(U1326)+1,N(U1326))</f>
        <v/>
      </c>
      <c r="V1327" s="19">
        <f>IF($B1327="","",TEXT($B1327,"0000"))</f>
        <v/>
      </c>
      <c r="W1327" s="19">
        <f>IF($I1327="","",IF(ISNUMBER($I1327),TEXT($I1327,"0"),$I1327))</f>
        <v/>
      </c>
    </row>
    <row r="1328">
      <c r="B1328" s="25" t="n"/>
      <c r="I1328" s="25" t="n"/>
      <c r="U1328" s="19">
        <f>IF(AND($V1328='設定'!$C$4,COUNTIF('商品マスタ'!$B$6:$B$1005,$W1328)=0),N(U1327)+1,N(U1327))</f>
        <v/>
      </c>
      <c r="V1328" s="19">
        <f>IF($B1328="","",TEXT($B1328,"0000"))</f>
        <v/>
      </c>
      <c r="W1328" s="19">
        <f>IF($I1328="","",IF(ISNUMBER($I1328),TEXT($I1328,"0"),$I1328))</f>
        <v/>
      </c>
    </row>
    <row r="1329">
      <c r="B1329" s="25" t="n"/>
      <c r="I1329" s="25" t="n"/>
      <c r="U1329" s="19">
        <f>IF(AND($V1329='設定'!$C$4,COUNTIF('商品マスタ'!$B$6:$B$1005,$W1329)=0),N(U1328)+1,N(U1328))</f>
        <v/>
      </c>
      <c r="V1329" s="19">
        <f>IF($B1329="","",TEXT($B1329,"0000"))</f>
        <v/>
      </c>
      <c r="W1329" s="19">
        <f>IF($I1329="","",IF(ISNUMBER($I1329),TEXT($I1329,"0"),$I1329))</f>
        <v/>
      </c>
    </row>
    <row r="1330">
      <c r="B1330" s="25" t="n"/>
      <c r="I1330" s="25" t="n"/>
      <c r="U1330" s="19">
        <f>IF(AND($V1330='設定'!$C$4,COUNTIF('商品マスタ'!$B$6:$B$1005,$W1330)=0),N(U1329)+1,N(U1329))</f>
        <v/>
      </c>
      <c r="V1330" s="19">
        <f>IF($B1330="","",TEXT($B1330,"0000"))</f>
        <v/>
      </c>
      <c r="W1330" s="19">
        <f>IF($I1330="","",IF(ISNUMBER($I1330),TEXT($I1330,"0"),$I1330))</f>
        <v/>
      </c>
    </row>
    <row r="1331">
      <c r="B1331" s="25" t="n"/>
      <c r="I1331" s="25" t="n"/>
      <c r="U1331" s="19">
        <f>IF(AND($V1331='設定'!$C$4,COUNTIF('商品マスタ'!$B$6:$B$1005,$W1331)=0),N(U1330)+1,N(U1330))</f>
        <v/>
      </c>
      <c r="V1331" s="19">
        <f>IF($B1331="","",TEXT($B1331,"0000"))</f>
        <v/>
      </c>
      <c r="W1331" s="19">
        <f>IF($I1331="","",IF(ISNUMBER($I1331),TEXT($I1331,"0"),$I1331))</f>
        <v/>
      </c>
    </row>
    <row r="1332">
      <c r="B1332" s="25" t="n"/>
      <c r="I1332" s="25" t="n"/>
      <c r="U1332" s="19">
        <f>IF(AND($V1332='設定'!$C$4,COUNTIF('商品マスタ'!$B$6:$B$1005,$W1332)=0),N(U1331)+1,N(U1331))</f>
        <v/>
      </c>
      <c r="V1332" s="19">
        <f>IF($B1332="","",TEXT($B1332,"0000"))</f>
        <v/>
      </c>
      <c r="W1332" s="19">
        <f>IF($I1332="","",IF(ISNUMBER($I1332),TEXT($I1332,"0"),$I1332))</f>
        <v/>
      </c>
    </row>
    <row r="1333">
      <c r="B1333" s="25" t="n"/>
      <c r="I1333" s="25" t="n"/>
      <c r="U1333" s="19">
        <f>IF(AND($V1333='設定'!$C$4,COUNTIF('商品マスタ'!$B$6:$B$1005,$W1333)=0),N(U1332)+1,N(U1332))</f>
        <v/>
      </c>
      <c r="V1333" s="19">
        <f>IF($B1333="","",TEXT($B1333,"0000"))</f>
        <v/>
      </c>
      <c r="W1333" s="19">
        <f>IF($I1333="","",IF(ISNUMBER($I1333),TEXT($I1333,"0"),$I1333))</f>
        <v/>
      </c>
    </row>
    <row r="1334">
      <c r="B1334" s="25" t="n"/>
      <c r="I1334" s="25" t="n"/>
      <c r="U1334" s="19">
        <f>IF(AND($V1334='設定'!$C$4,COUNTIF('商品マスタ'!$B$6:$B$1005,$W1334)=0),N(U1333)+1,N(U1333))</f>
        <v/>
      </c>
      <c r="V1334" s="19">
        <f>IF($B1334="","",TEXT($B1334,"0000"))</f>
        <v/>
      </c>
      <c r="W1334" s="19">
        <f>IF($I1334="","",IF(ISNUMBER($I1334),TEXT($I1334,"0"),$I1334))</f>
        <v/>
      </c>
    </row>
    <row r="1335">
      <c r="B1335" s="25" t="n"/>
      <c r="I1335" s="25" t="n"/>
      <c r="U1335" s="19">
        <f>IF(AND($V1335='設定'!$C$4,COUNTIF('商品マスタ'!$B$6:$B$1005,$W1335)=0),N(U1334)+1,N(U1334))</f>
        <v/>
      </c>
      <c r="V1335" s="19">
        <f>IF($B1335="","",TEXT($B1335,"0000"))</f>
        <v/>
      </c>
      <c r="W1335" s="19">
        <f>IF($I1335="","",IF(ISNUMBER($I1335),TEXT($I1335,"0"),$I1335))</f>
        <v/>
      </c>
    </row>
    <row r="1336">
      <c r="B1336" s="25" t="n"/>
      <c r="I1336" s="25" t="n"/>
      <c r="U1336" s="19">
        <f>IF(AND($V1336='設定'!$C$4,COUNTIF('商品マスタ'!$B$6:$B$1005,$W1336)=0),N(U1335)+1,N(U1335))</f>
        <v/>
      </c>
      <c r="V1336" s="19">
        <f>IF($B1336="","",TEXT($B1336,"0000"))</f>
        <v/>
      </c>
      <c r="W1336" s="19">
        <f>IF($I1336="","",IF(ISNUMBER($I1336),TEXT($I1336,"0"),$I1336))</f>
        <v/>
      </c>
    </row>
    <row r="1337">
      <c r="B1337" s="25" t="n"/>
      <c r="I1337" s="25" t="n"/>
      <c r="U1337" s="19">
        <f>IF(AND($V1337='設定'!$C$4,COUNTIF('商品マスタ'!$B$6:$B$1005,$W1337)=0),N(U1336)+1,N(U1336))</f>
        <v/>
      </c>
      <c r="V1337" s="19">
        <f>IF($B1337="","",TEXT($B1337,"0000"))</f>
        <v/>
      </c>
      <c r="W1337" s="19">
        <f>IF($I1337="","",IF(ISNUMBER($I1337),TEXT($I1337,"0"),$I1337))</f>
        <v/>
      </c>
    </row>
    <row r="1338">
      <c r="B1338" s="25" t="n"/>
      <c r="I1338" s="25" t="n"/>
      <c r="U1338" s="19">
        <f>IF(AND($V1338='設定'!$C$4,COUNTIF('商品マスタ'!$B$6:$B$1005,$W1338)=0),N(U1337)+1,N(U1337))</f>
        <v/>
      </c>
      <c r="V1338" s="19">
        <f>IF($B1338="","",TEXT($B1338,"0000"))</f>
        <v/>
      </c>
      <c r="W1338" s="19">
        <f>IF($I1338="","",IF(ISNUMBER($I1338),TEXT($I1338,"0"),$I1338))</f>
        <v/>
      </c>
    </row>
    <row r="1339">
      <c r="B1339" s="25" t="n"/>
      <c r="I1339" s="25" t="n"/>
      <c r="U1339" s="19">
        <f>IF(AND($V1339='設定'!$C$4,COUNTIF('商品マスタ'!$B$6:$B$1005,$W1339)=0),N(U1338)+1,N(U1338))</f>
        <v/>
      </c>
      <c r="V1339" s="19">
        <f>IF($B1339="","",TEXT($B1339,"0000"))</f>
        <v/>
      </c>
      <c r="W1339" s="19">
        <f>IF($I1339="","",IF(ISNUMBER($I1339),TEXT($I1339,"0"),$I1339))</f>
        <v/>
      </c>
    </row>
    <row r="1340">
      <c r="B1340" s="25" t="n"/>
      <c r="I1340" s="25" t="n"/>
      <c r="U1340" s="19">
        <f>IF(AND($V1340='設定'!$C$4,COUNTIF('商品マスタ'!$B$6:$B$1005,$W1340)=0),N(U1339)+1,N(U1339))</f>
        <v/>
      </c>
      <c r="V1340" s="19">
        <f>IF($B1340="","",TEXT($B1340,"0000"))</f>
        <v/>
      </c>
      <c r="W1340" s="19">
        <f>IF($I1340="","",IF(ISNUMBER($I1340),TEXT($I1340,"0"),$I1340))</f>
        <v/>
      </c>
    </row>
    <row r="1341">
      <c r="B1341" s="25" t="n"/>
      <c r="I1341" s="25" t="n"/>
      <c r="U1341" s="19">
        <f>IF(AND($V1341='設定'!$C$4,COUNTIF('商品マスタ'!$B$6:$B$1005,$W1341)=0),N(U1340)+1,N(U1340))</f>
        <v/>
      </c>
      <c r="V1341" s="19">
        <f>IF($B1341="","",TEXT($B1341,"0000"))</f>
        <v/>
      </c>
      <c r="W1341" s="19">
        <f>IF($I1341="","",IF(ISNUMBER($I1341),TEXT($I1341,"0"),$I1341))</f>
        <v/>
      </c>
    </row>
    <row r="1342">
      <c r="B1342" s="25" t="n"/>
      <c r="I1342" s="25" t="n"/>
      <c r="U1342" s="19">
        <f>IF(AND($V1342='設定'!$C$4,COUNTIF('商品マスタ'!$B$6:$B$1005,$W1342)=0),N(U1341)+1,N(U1341))</f>
        <v/>
      </c>
      <c r="V1342" s="19">
        <f>IF($B1342="","",TEXT($B1342,"0000"))</f>
        <v/>
      </c>
      <c r="W1342" s="19">
        <f>IF($I1342="","",IF(ISNUMBER($I1342),TEXT($I1342,"0"),$I1342))</f>
        <v/>
      </c>
    </row>
    <row r="1343">
      <c r="B1343" s="25" t="n"/>
      <c r="I1343" s="25" t="n"/>
      <c r="U1343" s="19">
        <f>IF(AND($V1343='設定'!$C$4,COUNTIF('商品マスタ'!$B$6:$B$1005,$W1343)=0),N(U1342)+1,N(U1342))</f>
        <v/>
      </c>
      <c r="V1343" s="19">
        <f>IF($B1343="","",TEXT($B1343,"0000"))</f>
        <v/>
      </c>
      <c r="W1343" s="19">
        <f>IF($I1343="","",IF(ISNUMBER($I1343),TEXT($I1343,"0"),$I1343))</f>
        <v/>
      </c>
    </row>
    <row r="1344">
      <c r="B1344" s="25" t="n"/>
      <c r="I1344" s="25" t="n"/>
      <c r="U1344" s="19">
        <f>IF(AND($V1344='設定'!$C$4,COUNTIF('商品マスタ'!$B$6:$B$1005,$W1344)=0),N(U1343)+1,N(U1343))</f>
        <v/>
      </c>
      <c r="V1344" s="19">
        <f>IF($B1344="","",TEXT($B1344,"0000"))</f>
        <v/>
      </c>
      <c r="W1344" s="19">
        <f>IF($I1344="","",IF(ISNUMBER($I1344),TEXT($I1344,"0"),$I1344))</f>
        <v/>
      </c>
    </row>
    <row r="1345">
      <c r="B1345" s="25" t="n"/>
      <c r="I1345" s="25" t="n"/>
      <c r="U1345" s="19">
        <f>IF(AND($V1345='設定'!$C$4,COUNTIF('商品マスタ'!$B$6:$B$1005,$W1345)=0),N(U1344)+1,N(U1344))</f>
        <v/>
      </c>
      <c r="V1345" s="19">
        <f>IF($B1345="","",TEXT($B1345,"0000"))</f>
        <v/>
      </c>
      <c r="W1345" s="19">
        <f>IF($I1345="","",IF(ISNUMBER($I1345),TEXT($I1345,"0"),$I1345))</f>
        <v/>
      </c>
    </row>
    <row r="1346">
      <c r="B1346" s="25" t="n"/>
      <c r="I1346" s="25" t="n"/>
      <c r="U1346" s="19">
        <f>IF(AND($V1346='設定'!$C$4,COUNTIF('商品マスタ'!$B$6:$B$1005,$W1346)=0),N(U1345)+1,N(U1345))</f>
        <v/>
      </c>
      <c r="V1346" s="19">
        <f>IF($B1346="","",TEXT($B1346,"0000"))</f>
        <v/>
      </c>
      <c r="W1346" s="19">
        <f>IF($I1346="","",IF(ISNUMBER($I1346),TEXT($I1346,"0"),$I1346))</f>
        <v/>
      </c>
    </row>
    <row r="1347">
      <c r="B1347" s="25" t="n"/>
      <c r="I1347" s="25" t="n"/>
      <c r="U1347" s="19">
        <f>IF(AND($V1347='設定'!$C$4,COUNTIF('商品マスタ'!$B$6:$B$1005,$W1347)=0),N(U1346)+1,N(U1346))</f>
        <v/>
      </c>
      <c r="V1347" s="19">
        <f>IF($B1347="","",TEXT($B1347,"0000"))</f>
        <v/>
      </c>
      <c r="W1347" s="19">
        <f>IF($I1347="","",IF(ISNUMBER($I1347),TEXT($I1347,"0"),$I1347))</f>
        <v/>
      </c>
    </row>
    <row r="1348">
      <c r="B1348" s="25" t="n"/>
      <c r="I1348" s="25" t="n"/>
      <c r="U1348" s="19">
        <f>IF(AND($V1348='設定'!$C$4,COUNTIF('商品マスタ'!$B$6:$B$1005,$W1348)=0),N(U1347)+1,N(U1347))</f>
        <v/>
      </c>
      <c r="V1348" s="19">
        <f>IF($B1348="","",TEXT($B1348,"0000"))</f>
        <v/>
      </c>
      <c r="W1348" s="19">
        <f>IF($I1348="","",IF(ISNUMBER($I1348),TEXT($I1348,"0"),$I1348))</f>
        <v/>
      </c>
    </row>
    <row r="1349">
      <c r="B1349" s="25" t="n"/>
      <c r="I1349" s="25" t="n"/>
      <c r="U1349" s="19">
        <f>IF(AND($V1349='設定'!$C$4,COUNTIF('商品マスタ'!$B$6:$B$1005,$W1349)=0),N(U1348)+1,N(U1348))</f>
        <v/>
      </c>
      <c r="V1349" s="19">
        <f>IF($B1349="","",TEXT($B1349,"0000"))</f>
        <v/>
      </c>
      <c r="W1349" s="19">
        <f>IF($I1349="","",IF(ISNUMBER($I1349),TEXT($I1349,"0"),$I1349))</f>
        <v/>
      </c>
    </row>
    <row r="1350">
      <c r="B1350" s="25" t="n"/>
      <c r="I1350" s="25" t="n"/>
      <c r="U1350" s="19">
        <f>IF(AND($V1350='設定'!$C$4,COUNTIF('商品マスタ'!$B$6:$B$1005,$W1350)=0),N(U1349)+1,N(U1349))</f>
        <v/>
      </c>
      <c r="V1350" s="19">
        <f>IF($B1350="","",TEXT($B1350,"0000"))</f>
        <v/>
      </c>
      <c r="W1350" s="19">
        <f>IF($I1350="","",IF(ISNUMBER($I1350),TEXT($I1350,"0"),$I1350))</f>
        <v/>
      </c>
    </row>
    <row r="1351">
      <c r="B1351" s="25" t="n"/>
      <c r="I1351" s="25" t="n"/>
      <c r="U1351" s="19">
        <f>IF(AND($V1351='設定'!$C$4,COUNTIF('商品マスタ'!$B$6:$B$1005,$W1351)=0),N(U1350)+1,N(U1350))</f>
        <v/>
      </c>
      <c r="V1351" s="19">
        <f>IF($B1351="","",TEXT($B1351,"0000"))</f>
        <v/>
      </c>
      <c r="W1351" s="19">
        <f>IF($I1351="","",IF(ISNUMBER($I1351),TEXT($I1351,"0"),$I1351))</f>
        <v/>
      </c>
    </row>
    <row r="1352">
      <c r="B1352" s="25" t="n"/>
      <c r="I1352" s="25" t="n"/>
      <c r="U1352" s="19">
        <f>IF(AND($V1352='設定'!$C$4,COUNTIF('商品マスタ'!$B$6:$B$1005,$W1352)=0),N(U1351)+1,N(U1351))</f>
        <v/>
      </c>
      <c r="V1352" s="19">
        <f>IF($B1352="","",TEXT($B1352,"0000"))</f>
        <v/>
      </c>
      <c r="W1352" s="19">
        <f>IF($I1352="","",IF(ISNUMBER($I1352),TEXT($I1352,"0"),$I1352))</f>
        <v/>
      </c>
    </row>
    <row r="1353">
      <c r="B1353" s="25" t="n"/>
      <c r="I1353" s="25" t="n"/>
      <c r="U1353" s="19">
        <f>IF(AND($V1353='設定'!$C$4,COUNTIF('商品マスタ'!$B$6:$B$1005,$W1353)=0),N(U1352)+1,N(U1352))</f>
        <v/>
      </c>
      <c r="V1353" s="19">
        <f>IF($B1353="","",TEXT($B1353,"0000"))</f>
        <v/>
      </c>
      <c r="W1353" s="19">
        <f>IF($I1353="","",IF(ISNUMBER($I1353),TEXT($I1353,"0"),$I1353))</f>
        <v/>
      </c>
    </row>
    <row r="1354">
      <c r="B1354" s="25" t="n"/>
      <c r="I1354" s="25" t="n"/>
      <c r="U1354" s="19">
        <f>IF(AND($V1354='設定'!$C$4,COUNTIF('商品マスタ'!$B$6:$B$1005,$W1354)=0),N(U1353)+1,N(U1353))</f>
        <v/>
      </c>
      <c r="V1354" s="19">
        <f>IF($B1354="","",TEXT($B1354,"0000"))</f>
        <v/>
      </c>
      <c r="W1354" s="19">
        <f>IF($I1354="","",IF(ISNUMBER($I1354),TEXT($I1354,"0"),$I1354))</f>
        <v/>
      </c>
    </row>
    <row r="1355">
      <c r="B1355" s="25" t="n"/>
      <c r="I1355" s="25" t="n"/>
      <c r="U1355" s="19">
        <f>IF(AND($V1355='設定'!$C$4,COUNTIF('商品マスタ'!$B$6:$B$1005,$W1355)=0),N(U1354)+1,N(U1354))</f>
        <v/>
      </c>
      <c r="V1355" s="19">
        <f>IF($B1355="","",TEXT($B1355,"0000"))</f>
        <v/>
      </c>
      <c r="W1355" s="19">
        <f>IF($I1355="","",IF(ISNUMBER($I1355),TEXT($I1355,"0"),$I1355))</f>
        <v/>
      </c>
    </row>
    <row r="1356">
      <c r="B1356" s="25" t="n"/>
      <c r="I1356" s="25" t="n"/>
      <c r="U1356" s="19">
        <f>IF(AND($V1356='設定'!$C$4,COUNTIF('商品マスタ'!$B$6:$B$1005,$W1356)=0),N(U1355)+1,N(U1355))</f>
        <v/>
      </c>
      <c r="V1356" s="19">
        <f>IF($B1356="","",TEXT($B1356,"0000"))</f>
        <v/>
      </c>
      <c r="W1356" s="19">
        <f>IF($I1356="","",IF(ISNUMBER($I1356),TEXT($I1356,"0"),$I1356))</f>
        <v/>
      </c>
    </row>
    <row r="1357">
      <c r="B1357" s="25" t="n"/>
      <c r="I1357" s="25" t="n"/>
      <c r="U1357" s="19">
        <f>IF(AND($V1357='設定'!$C$4,COUNTIF('商品マスタ'!$B$6:$B$1005,$W1357)=0),N(U1356)+1,N(U1356))</f>
        <v/>
      </c>
      <c r="V1357" s="19">
        <f>IF($B1357="","",TEXT($B1357,"0000"))</f>
        <v/>
      </c>
      <c r="W1357" s="19">
        <f>IF($I1357="","",IF(ISNUMBER($I1357),TEXT($I1357,"0"),$I1357))</f>
        <v/>
      </c>
    </row>
    <row r="1358">
      <c r="B1358" s="25" t="n"/>
      <c r="I1358" s="25" t="n"/>
      <c r="U1358" s="19">
        <f>IF(AND($V1358='設定'!$C$4,COUNTIF('商品マスタ'!$B$6:$B$1005,$W1358)=0),N(U1357)+1,N(U1357))</f>
        <v/>
      </c>
      <c r="V1358" s="19">
        <f>IF($B1358="","",TEXT($B1358,"0000"))</f>
        <v/>
      </c>
      <c r="W1358" s="19">
        <f>IF($I1358="","",IF(ISNUMBER($I1358),TEXT($I1358,"0"),$I1358))</f>
        <v/>
      </c>
    </row>
    <row r="1359">
      <c r="B1359" s="25" t="n"/>
      <c r="I1359" s="25" t="n"/>
      <c r="U1359" s="19">
        <f>IF(AND($V1359='設定'!$C$4,COUNTIF('商品マスタ'!$B$6:$B$1005,$W1359)=0),N(U1358)+1,N(U1358))</f>
        <v/>
      </c>
      <c r="V1359" s="19">
        <f>IF($B1359="","",TEXT($B1359,"0000"))</f>
        <v/>
      </c>
      <c r="W1359" s="19">
        <f>IF($I1359="","",IF(ISNUMBER($I1359),TEXT($I1359,"0"),$I1359))</f>
        <v/>
      </c>
    </row>
    <row r="1360">
      <c r="B1360" s="25" t="n"/>
      <c r="I1360" s="25" t="n"/>
      <c r="U1360" s="19">
        <f>IF(AND($V1360='設定'!$C$4,COUNTIF('商品マスタ'!$B$6:$B$1005,$W1360)=0),N(U1359)+1,N(U1359))</f>
        <v/>
      </c>
      <c r="V1360" s="19">
        <f>IF($B1360="","",TEXT($B1360,"0000"))</f>
        <v/>
      </c>
      <c r="W1360" s="19">
        <f>IF($I1360="","",IF(ISNUMBER($I1360),TEXT($I1360,"0"),$I1360))</f>
        <v/>
      </c>
    </row>
    <row r="1361">
      <c r="B1361" s="25" t="n"/>
      <c r="I1361" s="25" t="n"/>
      <c r="U1361" s="19">
        <f>IF(AND($V1361='設定'!$C$4,COUNTIF('商品マスタ'!$B$6:$B$1005,$W1361)=0),N(U1360)+1,N(U1360))</f>
        <v/>
      </c>
      <c r="V1361" s="19">
        <f>IF($B1361="","",TEXT($B1361,"0000"))</f>
        <v/>
      </c>
      <c r="W1361" s="19">
        <f>IF($I1361="","",IF(ISNUMBER($I1361),TEXT($I1361,"0"),$I1361))</f>
        <v/>
      </c>
    </row>
    <row r="1362">
      <c r="B1362" s="25" t="n"/>
      <c r="I1362" s="25" t="n"/>
      <c r="U1362" s="19">
        <f>IF(AND($V1362='設定'!$C$4,COUNTIF('商品マスタ'!$B$6:$B$1005,$W1362)=0),N(U1361)+1,N(U1361))</f>
        <v/>
      </c>
      <c r="V1362" s="19">
        <f>IF($B1362="","",TEXT($B1362,"0000"))</f>
        <v/>
      </c>
      <c r="W1362" s="19">
        <f>IF($I1362="","",IF(ISNUMBER($I1362),TEXT($I1362,"0"),$I1362))</f>
        <v/>
      </c>
    </row>
    <row r="1363">
      <c r="B1363" s="25" t="n"/>
      <c r="I1363" s="25" t="n"/>
      <c r="U1363" s="19">
        <f>IF(AND($V1363='設定'!$C$4,COUNTIF('商品マスタ'!$B$6:$B$1005,$W1363)=0),N(U1362)+1,N(U1362))</f>
        <v/>
      </c>
      <c r="V1363" s="19">
        <f>IF($B1363="","",TEXT($B1363,"0000"))</f>
        <v/>
      </c>
      <c r="W1363" s="19">
        <f>IF($I1363="","",IF(ISNUMBER($I1363),TEXT($I1363,"0"),$I1363))</f>
        <v/>
      </c>
    </row>
    <row r="1364">
      <c r="B1364" s="25" t="n"/>
      <c r="I1364" s="25" t="n"/>
      <c r="U1364" s="19">
        <f>IF(AND($V1364='設定'!$C$4,COUNTIF('商品マスタ'!$B$6:$B$1005,$W1364)=0),N(U1363)+1,N(U1363))</f>
        <v/>
      </c>
      <c r="V1364" s="19">
        <f>IF($B1364="","",TEXT($B1364,"0000"))</f>
        <v/>
      </c>
      <c r="W1364" s="19">
        <f>IF($I1364="","",IF(ISNUMBER($I1364),TEXT($I1364,"0"),$I1364))</f>
        <v/>
      </c>
    </row>
    <row r="1365">
      <c r="B1365" s="25" t="n"/>
      <c r="I1365" s="25" t="n"/>
      <c r="U1365" s="19">
        <f>IF(AND($V1365='設定'!$C$4,COUNTIF('商品マスタ'!$B$6:$B$1005,$W1365)=0),N(U1364)+1,N(U1364))</f>
        <v/>
      </c>
      <c r="V1365" s="19">
        <f>IF($B1365="","",TEXT($B1365,"0000"))</f>
        <v/>
      </c>
      <c r="W1365" s="19">
        <f>IF($I1365="","",IF(ISNUMBER($I1365),TEXT($I1365,"0"),$I1365))</f>
        <v/>
      </c>
    </row>
    <row r="1366">
      <c r="B1366" s="25" t="n"/>
      <c r="I1366" s="25" t="n"/>
      <c r="U1366" s="19">
        <f>IF(AND($V1366='設定'!$C$4,COUNTIF('商品マスタ'!$B$6:$B$1005,$W1366)=0),N(U1365)+1,N(U1365))</f>
        <v/>
      </c>
      <c r="V1366" s="19">
        <f>IF($B1366="","",TEXT($B1366,"0000"))</f>
        <v/>
      </c>
      <c r="W1366" s="19">
        <f>IF($I1366="","",IF(ISNUMBER($I1366),TEXT($I1366,"0"),$I1366))</f>
        <v/>
      </c>
    </row>
    <row r="1367">
      <c r="B1367" s="25" t="n"/>
      <c r="I1367" s="25" t="n"/>
      <c r="U1367" s="19">
        <f>IF(AND($V1367='設定'!$C$4,COUNTIF('商品マスタ'!$B$6:$B$1005,$W1367)=0),N(U1366)+1,N(U1366))</f>
        <v/>
      </c>
      <c r="V1367" s="19">
        <f>IF($B1367="","",TEXT($B1367,"0000"))</f>
        <v/>
      </c>
      <c r="W1367" s="19">
        <f>IF($I1367="","",IF(ISNUMBER($I1367),TEXT($I1367,"0"),$I1367))</f>
        <v/>
      </c>
    </row>
    <row r="1368">
      <c r="B1368" s="25" t="n"/>
      <c r="I1368" s="25" t="n"/>
      <c r="U1368" s="19">
        <f>IF(AND($V1368='設定'!$C$4,COUNTIF('商品マスタ'!$B$6:$B$1005,$W1368)=0),N(U1367)+1,N(U1367))</f>
        <v/>
      </c>
      <c r="V1368" s="19">
        <f>IF($B1368="","",TEXT($B1368,"0000"))</f>
        <v/>
      </c>
      <c r="W1368" s="19">
        <f>IF($I1368="","",IF(ISNUMBER($I1368),TEXT($I1368,"0"),$I1368))</f>
        <v/>
      </c>
    </row>
    <row r="1369">
      <c r="B1369" s="25" t="n"/>
      <c r="I1369" s="25" t="n"/>
      <c r="U1369" s="19">
        <f>IF(AND($V1369='設定'!$C$4,COUNTIF('商品マスタ'!$B$6:$B$1005,$W1369)=0),N(U1368)+1,N(U1368))</f>
        <v/>
      </c>
      <c r="V1369" s="19">
        <f>IF($B1369="","",TEXT($B1369,"0000"))</f>
        <v/>
      </c>
      <c r="W1369" s="19">
        <f>IF($I1369="","",IF(ISNUMBER($I1369),TEXT($I1369,"0"),$I1369))</f>
        <v/>
      </c>
    </row>
    <row r="1370">
      <c r="B1370" s="25" t="n"/>
      <c r="I1370" s="25" t="n"/>
      <c r="U1370" s="19">
        <f>IF(AND($V1370='設定'!$C$4,COUNTIF('商品マスタ'!$B$6:$B$1005,$W1370)=0),N(U1369)+1,N(U1369))</f>
        <v/>
      </c>
      <c r="V1370" s="19">
        <f>IF($B1370="","",TEXT($B1370,"0000"))</f>
        <v/>
      </c>
      <c r="W1370" s="19">
        <f>IF($I1370="","",IF(ISNUMBER($I1370),TEXT($I1370,"0"),$I1370))</f>
        <v/>
      </c>
    </row>
    <row r="1371">
      <c r="B1371" s="25" t="n"/>
      <c r="I1371" s="25" t="n"/>
      <c r="U1371" s="19">
        <f>IF(AND($V1371='設定'!$C$4,COUNTIF('商品マスタ'!$B$6:$B$1005,$W1371)=0),N(U1370)+1,N(U1370))</f>
        <v/>
      </c>
      <c r="V1371" s="19">
        <f>IF($B1371="","",TEXT($B1371,"0000"))</f>
        <v/>
      </c>
      <c r="W1371" s="19">
        <f>IF($I1371="","",IF(ISNUMBER($I1371),TEXT($I1371,"0"),$I1371))</f>
        <v/>
      </c>
    </row>
    <row r="1372">
      <c r="B1372" s="25" t="n"/>
      <c r="I1372" s="25" t="n"/>
      <c r="U1372" s="19">
        <f>IF(AND($V1372='設定'!$C$4,COUNTIF('商品マスタ'!$B$6:$B$1005,$W1372)=0),N(U1371)+1,N(U1371))</f>
        <v/>
      </c>
      <c r="V1372" s="19">
        <f>IF($B1372="","",TEXT($B1372,"0000"))</f>
        <v/>
      </c>
      <c r="W1372" s="19">
        <f>IF($I1372="","",IF(ISNUMBER($I1372),TEXT($I1372,"0"),$I1372))</f>
        <v/>
      </c>
    </row>
    <row r="1373">
      <c r="B1373" s="25" t="n"/>
      <c r="I1373" s="25" t="n"/>
      <c r="U1373" s="19">
        <f>IF(AND($V1373='設定'!$C$4,COUNTIF('商品マスタ'!$B$6:$B$1005,$W1373)=0),N(U1372)+1,N(U1372))</f>
        <v/>
      </c>
      <c r="V1373" s="19">
        <f>IF($B1373="","",TEXT($B1373,"0000"))</f>
        <v/>
      </c>
      <c r="W1373" s="19">
        <f>IF($I1373="","",IF(ISNUMBER($I1373),TEXT($I1373,"0"),$I1373))</f>
        <v/>
      </c>
    </row>
    <row r="1374">
      <c r="B1374" s="25" t="n"/>
      <c r="I1374" s="25" t="n"/>
      <c r="U1374" s="19">
        <f>IF(AND($V1374='設定'!$C$4,COUNTIF('商品マスタ'!$B$6:$B$1005,$W1374)=0),N(U1373)+1,N(U1373))</f>
        <v/>
      </c>
      <c r="V1374" s="19">
        <f>IF($B1374="","",TEXT($B1374,"0000"))</f>
        <v/>
      </c>
      <c r="W1374" s="19">
        <f>IF($I1374="","",IF(ISNUMBER($I1374),TEXT($I1374,"0"),$I1374))</f>
        <v/>
      </c>
    </row>
    <row r="1375">
      <c r="B1375" s="25" t="n"/>
      <c r="I1375" s="25" t="n"/>
      <c r="U1375" s="19">
        <f>IF(AND($V1375='設定'!$C$4,COUNTIF('商品マスタ'!$B$6:$B$1005,$W1375)=0),N(U1374)+1,N(U1374))</f>
        <v/>
      </c>
      <c r="V1375" s="19">
        <f>IF($B1375="","",TEXT($B1375,"0000"))</f>
        <v/>
      </c>
      <c r="W1375" s="19">
        <f>IF($I1375="","",IF(ISNUMBER($I1375),TEXT($I1375,"0"),$I1375))</f>
        <v/>
      </c>
    </row>
    <row r="1376">
      <c r="B1376" s="25" t="n"/>
      <c r="I1376" s="25" t="n"/>
      <c r="U1376" s="19">
        <f>IF(AND($V1376='設定'!$C$4,COUNTIF('商品マスタ'!$B$6:$B$1005,$W1376)=0),N(U1375)+1,N(U1375))</f>
        <v/>
      </c>
      <c r="V1376" s="19">
        <f>IF($B1376="","",TEXT($B1376,"0000"))</f>
        <v/>
      </c>
      <c r="W1376" s="19">
        <f>IF($I1376="","",IF(ISNUMBER($I1376),TEXT($I1376,"0"),$I1376))</f>
        <v/>
      </c>
    </row>
    <row r="1377">
      <c r="B1377" s="25" t="n"/>
      <c r="I1377" s="25" t="n"/>
      <c r="U1377" s="19">
        <f>IF(AND($V1377='設定'!$C$4,COUNTIF('商品マスタ'!$B$6:$B$1005,$W1377)=0),N(U1376)+1,N(U1376))</f>
        <v/>
      </c>
      <c r="V1377" s="19">
        <f>IF($B1377="","",TEXT($B1377,"0000"))</f>
        <v/>
      </c>
      <c r="W1377" s="19">
        <f>IF($I1377="","",IF(ISNUMBER($I1377),TEXT($I1377,"0"),$I1377))</f>
        <v/>
      </c>
    </row>
    <row r="1378">
      <c r="B1378" s="25" t="n"/>
      <c r="I1378" s="25" t="n"/>
      <c r="U1378" s="19">
        <f>IF(AND($V1378='設定'!$C$4,COUNTIF('商品マスタ'!$B$6:$B$1005,$W1378)=0),N(U1377)+1,N(U1377))</f>
        <v/>
      </c>
      <c r="V1378" s="19">
        <f>IF($B1378="","",TEXT($B1378,"0000"))</f>
        <v/>
      </c>
      <c r="W1378" s="19">
        <f>IF($I1378="","",IF(ISNUMBER($I1378),TEXT($I1378,"0"),$I1378))</f>
        <v/>
      </c>
    </row>
    <row r="1379">
      <c r="B1379" s="25" t="n"/>
      <c r="I1379" s="25" t="n"/>
      <c r="U1379" s="19">
        <f>IF(AND($V1379='設定'!$C$4,COUNTIF('商品マスタ'!$B$6:$B$1005,$W1379)=0),N(U1378)+1,N(U1378))</f>
        <v/>
      </c>
      <c r="V1379" s="19">
        <f>IF($B1379="","",TEXT($B1379,"0000"))</f>
        <v/>
      </c>
      <c r="W1379" s="19">
        <f>IF($I1379="","",IF(ISNUMBER($I1379),TEXT($I1379,"0"),$I1379))</f>
        <v/>
      </c>
    </row>
    <row r="1380">
      <c r="B1380" s="25" t="n"/>
      <c r="I1380" s="25" t="n"/>
      <c r="U1380" s="19">
        <f>IF(AND($V1380='設定'!$C$4,COUNTIF('商品マスタ'!$B$6:$B$1005,$W1380)=0),N(U1379)+1,N(U1379))</f>
        <v/>
      </c>
      <c r="V1380" s="19">
        <f>IF($B1380="","",TEXT($B1380,"0000"))</f>
        <v/>
      </c>
      <c r="W1380" s="19">
        <f>IF($I1380="","",IF(ISNUMBER($I1380),TEXT($I1380,"0"),$I1380))</f>
        <v/>
      </c>
    </row>
    <row r="1381">
      <c r="B1381" s="25" t="n"/>
      <c r="I1381" s="25" t="n"/>
      <c r="U1381" s="19">
        <f>IF(AND($V1381='設定'!$C$4,COUNTIF('商品マスタ'!$B$6:$B$1005,$W1381)=0),N(U1380)+1,N(U1380))</f>
        <v/>
      </c>
      <c r="V1381" s="19">
        <f>IF($B1381="","",TEXT($B1381,"0000"))</f>
        <v/>
      </c>
      <c r="W1381" s="19">
        <f>IF($I1381="","",IF(ISNUMBER($I1381),TEXT($I1381,"0"),$I1381))</f>
        <v/>
      </c>
    </row>
    <row r="1382">
      <c r="B1382" s="25" t="n"/>
      <c r="I1382" s="25" t="n"/>
      <c r="U1382" s="19">
        <f>IF(AND($V1382='設定'!$C$4,COUNTIF('商品マスタ'!$B$6:$B$1005,$W1382)=0),N(U1381)+1,N(U1381))</f>
        <v/>
      </c>
      <c r="V1382" s="19">
        <f>IF($B1382="","",TEXT($B1382,"0000"))</f>
        <v/>
      </c>
      <c r="W1382" s="19">
        <f>IF($I1382="","",IF(ISNUMBER($I1382),TEXT($I1382,"0"),$I1382))</f>
        <v/>
      </c>
    </row>
    <row r="1383">
      <c r="B1383" s="25" t="n"/>
      <c r="I1383" s="25" t="n"/>
      <c r="U1383" s="19">
        <f>IF(AND($V1383='設定'!$C$4,COUNTIF('商品マスタ'!$B$6:$B$1005,$W1383)=0),N(U1382)+1,N(U1382))</f>
        <v/>
      </c>
      <c r="V1383" s="19">
        <f>IF($B1383="","",TEXT($B1383,"0000"))</f>
        <v/>
      </c>
      <c r="W1383" s="19">
        <f>IF($I1383="","",IF(ISNUMBER($I1383),TEXT($I1383,"0"),$I1383))</f>
        <v/>
      </c>
    </row>
    <row r="1384">
      <c r="B1384" s="25" t="n"/>
      <c r="I1384" s="25" t="n"/>
      <c r="U1384" s="19">
        <f>IF(AND($V1384='設定'!$C$4,COUNTIF('商品マスタ'!$B$6:$B$1005,$W1384)=0),N(U1383)+1,N(U1383))</f>
        <v/>
      </c>
      <c r="V1384" s="19">
        <f>IF($B1384="","",TEXT($B1384,"0000"))</f>
        <v/>
      </c>
      <c r="W1384" s="19">
        <f>IF($I1384="","",IF(ISNUMBER($I1384),TEXT($I1384,"0"),$I1384))</f>
        <v/>
      </c>
    </row>
    <row r="1385">
      <c r="B1385" s="25" t="n"/>
      <c r="I1385" s="25" t="n"/>
      <c r="U1385" s="19">
        <f>IF(AND($V1385='設定'!$C$4,COUNTIF('商品マスタ'!$B$6:$B$1005,$W1385)=0),N(U1384)+1,N(U1384))</f>
        <v/>
      </c>
      <c r="V1385" s="19">
        <f>IF($B1385="","",TEXT($B1385,"0000"))</f>
        <v/>
      </c>
      <c r="W1385" s="19">
        <f>IF($I1385="","",IF(ISNUMBER($I1385),TEXT($I1385,"0"),$I1385))</f>
        <v/>
      </c>
    </row>
    <row r="1386">
      <c r="B1386" s="25" t="n"/>
      <c r="I1386" s="25" t="n"/>
      <c r="U1386" s="19">
        <f>IF(AND($V1386='設定'!$C$4,COUNTIF('商品マスタ'!$B$6:$B$1005,$W1386)=0),N(U1385)+1,N(U1385))</f>
        <v/>
      </c>
      <c r="V1386" s="19">
        <f>IF($B1386="","",TEXT($B1386,"0000"))</f>
        <v/>
      </c>
      <c r="W1386" s="19">
        <f>IF($I1386="","",IF(ISNUMBER($I1386),TEXT($I1386,"0"),$I1386))</f>
        <v/>
      </c>
    </row>
    <row r="1387">
      <c r="B1387" s="25" t="n"/>
      <c r="I1387" s="25" t="n"/>
      <c r="U1387" s="19">
        <f>IF(AND($V1387='設定'!$C$4,COUNTIF('商品マスタ'!$B$6:$B$1005,$W1387)=0),N(U1386)+1,N(U1386))</f>
        <v/>
      </c>
      <c r="V1387" s="19">
        <f>IF($B1387="","",TEXT($B1387,"0000"))</f>
        <v/>
      </c>
      <c r="W1387" s="19">
        <f>IF($I1387="","",IF(ISNUMBER($I1387),TEXT($I1387,"0"),$I1387))</f>
        <v/>
      </c>
    </row>
    <row r="1388">
      <c r="B1388" s="25" t="n"/>
      <c r="I1388" s="25" t="n"/>
      <c r="U1388" s="19">
        <f>IF(AND($V1388='設定'!$C$4,COUNTIF('商品マスタ'!$B$6:$B$1005,$W1388)=0),N(U1387)+1,N(U1387))</f>
        <v/>
      </c>
      <c r="V1388" s="19">
        <f>IF($B1388="","",TEXT($B1388,"0000"))</f>
        <v/>
      </c>
      <c r="W1388" s="19">
        <f>IF($I1388="","",IF(ISNUMBER($I1388),TEXT($I1388,"0"),$I1388))</f>
        <v/>
      </c>
    </row>
    <row r="1389">
      <c r="B1389" s="25" t="n"/>
      <c r="I1389" s="25" t="n"/>
      <c r="U1389" s="19">
        <f>IF(AND($V1389='設定'!$C$4,COUNTIF('商品マスタ'!$B$6:$B$1005,$W1389)=0),N(U1388)+1,N(U1388))</f>
        <v/>
      </c>
      <c r="V1389" s="19">
        <f>IF($B1389="","",TEXT($B1389,"0000"))</f>
        <v/>
      </c>
      <c r="W1389" s="19">
        <f>IF($I1389="","",IF(ISNUMBER($I1389),TEXT($I1389,"0"),$I1389))</f>
        <v/>
      </c>
    </row>
    <row r="1390">
      <c r="B1390" s="25" t="n"/>
      <c r="I1390" s="25" t="n"/>
      <c r="U1390" s="19">
        <f>IF(AND($V1390='設定'!$C$4,COUNTIF('商品マスタ'!$B$6:$B$1005,$W1390)=0),N(U1389)+1,N(U1389))</f>
        <v/>
      </c>
      <c r="V1390" s="19">
        <f>IF($B1390="","",TEXT($B1390,"0000"))</f>
        <v/>
      </c>
      <c r="W1390" s="19">
        <f>IF($I1390="","",IF(ISNUMBER($I1390),TEXT($I1390,"0"),$I1390))</f>
        <v/>
      </c>
    </row>
    <row r="1391">
      <c r="B1391" s="25" t="n"/>
      <c r="I1391" s="25" t="n"/>
      <c r="U1391" s="19">
        <f>IF(AND($V1391='設定'!$C$4,COUNTIF('商品マスタ'!$B$6:$B$1005,$W1391)=0),N(U1390)+1,N(U1390))</f>
        <v/>
      </c>
      <c r="V1391" s="19">
        <f>IF($B1391="","",TEXT($B1391,"0000"))</f>
        <v/>
      </c>
      <c r="W1391" s="19">
        <f>IF($I1391="","",IF(ISNUMBER($I1391),TEXT($I1391,"0"),$I1391))</f>
        <v/>
      </c>
    </row>
    <row r="1392">
      <c r="B1392" s="25" t="n"/>
      <c r="I1392" s="25" t="n"/>
      <c r="U1392" s="19">
        <f>IF(AND($V1392='設定'!$C$4,COUNTIF('商品マスタ'!$B$6:$B$1005,$W1392)=0),N(U1391)+1,N(U1391))</f>
        <v/>
      </c>
      <c r="V1392" s="19">
        <f>IF($B1392="","",TEXT($B1392,"0000"))</f>
        <v/>
      </c>
      <c r="W1392" s="19">
        <f>IF($I1392="","",IF(ISNUMBER($I1392),TEXT($I1392,"0"),$I1392))</f>
        <v/>
      </c>
    </row>
    <row r="1393">
      <c r="B1393" s="25" t="n"/>
      <c r="I1393" s="25" t="n"/>
      <c r="U1393" s="19">
        <f>IF(AND($V1393='設定'!$C$4,COUNTIF('商品マスタ'!$B$6:$B$1005,$W1393)=0),N(U1392)+1,N(U1392))</f>
        <v/>
      </c>
      <c r="V1393" s="19">
        <f>IF($B1393="","",TEXT($B1393,"0000"))</f>
        <v/>
      </c>
      <c r="W1393" s="19">
        <f>IF($I1393="","",IF(ISNUMBER($I1393),TEXT($I1393,"0"),$I1393))</f>
        <v/>
      </c>
    </row>
    <row r="1394">
      <c r="B1394" s="25" t="n"/>
      <c r="I1394" s="25" t="n"/>
      <c r="U1394" s="19">
        <f>IF(AND($V1394='設定'!$C$4,COUNTIF('商品マスタ'!$B$6:$B$1005,$W1394)=0),N(U1393)+1,N(U1393))</f>
        <v/>
      </c>
      <c r="V1394" s="19">
        <f>IF($B1394="","",TEXT($B1394,"0000"))</f>
        <v/>
      </c>
      <c r="W1394" s="19">
        <f>IF($I1394="","",IF(ISNUMBER($I1394),TEXT($I1394,"0"),$I1394))</f>
        <v/>
      </c>
    </row>
    <row r="1395">
      <c r="B1395" s="25" t="n"/>
      <c r="I1395" s="25" t="n"/>
      <c r="U1395" s="19">
        <f>IF(AND($V1395='設定'!$C$4,COUNTIF('商品マスタ'!$B$6:$B$1005,$W1395)=0),N(U1394)+1,N(U1394))</f>
        <v/>
      </c>
      <c r="V1395" s="19">
        <f>IF($B1395="","",TEXT($B1395,"0000"))</f>
        <v/>
      </c>
      <c r="W1395" s="19">
        <f>IF($I1395="","",IF(ISNUMBER($I1395),TEXT($I1395,"0"),$I1395))</f>
        <v/>
      </c>
    </row>
    <row r="1396">
      <c r="B1396" s="25" t="n"/>
      <c r="I1396" s="25" t="n"/>
      <c r="U1396" s="19">
        <f>IF(AND($V1396='設定'!$C$4,COUNTIF('商品マスタ'!$B$6:$B$1005,$W1396)=0),N(U1395)+1,N(U1395))</f>
        <v/>
      </c>
      <c r="V1396" s="19">
        <f>IF($B1396="","",TEXT($B1396,"0000"))</f>
        <v/>
      </c>
      <c r="W1396" s="19">
        <f>IF($I1396="","",IF(ISNUMBER($I1396),TEXT($I1396,"0"),$I1396))</f>
        <v/>
      </c>
    </row>
    <row r="1397">
      <c r="B1397" s="25" t="n"/>
      <c r="I1397" s="25" t="n"/>
      <c r="U1397" s="19">
        <f>IF(AND($V1397='設定'!$C$4,COUNTIF('商品マスタ'!$B$6:$B$1005,$W1397)=0),N(U1396)+1,N(U1396))</f>
        <v/>
      </c>
      <c r="V1397" s="19">
        <f>IF($B1397="","",TEXT($B1397,"0000"))</f>
        <v/>
      </c>
      <c r="W1397" s="19">
        <f>IF($I1397="","",IF(ISNUMBER($I1397),TEXT($I1397,"0"),$I1397))</f>
        <v/>
      </c>
    </row>
    <row r="1398">
      <c r="B1398" s="25" t="n"/>
      <c r="I1398" s="25" t="n"/>
      <c r="U1398" s="19">
        <f>IF(AND($V1398='設定'!$C$4,COUNTIF('商品マスタ'!$B$6:$B$1005,$W1398)=0),N(U1397)+1,N(U1397))</f>
        <v/>
      </c>
      <c r="V1398" s="19">
        <f>IF($B1398="","",TEXT($B1398,"0000"))</f>
        <v/>
      </c>
      <c r="W1398" s="19">
        <f>IF($I1398="","",IF(ISNUMBER($I1398),TEXT($I1398,"0"),$I1398))</f>
        <v/>
      </c>
    </row>
    <row r="1399">
      <c r="B1399" s="25" t="n"/>
      <c r="I1399" s="25" t="n"/>
      <c r="U1399" s="19">
        <f>IF(AND($V1399='設定'!$C$4,COUNTIF('商品マスタ'!$B$6:$B$1005,$W1399)=0),N(U1398)+1,N(U1398))</f>
        <v/>
      </c>
      <c r="V1399" s="19">
        <f>IF($B1399="","",TEXT($B1399,"0000"))</f>
        <v/>
      </c>
      <c r="W1399" s="19">
        <f>IF($I1399="","",IF(ISNUMBER($I1399),TEXT($I1399,"0"),$I1399))</f>
        <v/>
      </c>
    </row>
    <row r="1400">
      <c r="B1400" s="25" t="n"/>
      <c r="I1400" s="25" t="n"/>
      <c r="U1400" s="19">
        <f>IF(AND($V1400='設定'!$C$4,COUNTIF('商品マスタ'!$B$6:$B$1005,$W1400)=0),N(U1399)+1,N(U1399))</f>
        <v/>
      </c>
      <c r="V1400" s="19">
        <f>IF($B1400="","",TEXT($B1400,"0000"))</f>
        <v/>
      </c>
      <c r="W1400" s="19">
        <f>IF($I1400="","",IF(ISNUMBER($I1400),TEXT($I1400,"0"),$I1400))</f>
        <v/>
      </c>
    </row>
    <row r="1401">
      <c r="B1401" s="25" t="n"/>
      <c r="I1401" s="25" t="n"/>
      <c r="U1401" s="19">
        <f>IF(AND($V1401='設定'!$C$4,COUNTIF('商品マスタ'!$B$6:$B$1005,$W1401)=0),N(U1400)+1,N(U1400))</f>
        <v/>
      </c>
      <c r="V1401" s="19">
        <f>IF($B1401="","",TEXT($B1401,"0000"))</f>
        <v/>
      </c>
      <c r="W1401" s="19">
        <f>IF($I1401="","",IF(ISNUMBER($I1401),TEXT($I1401,"0"),$I1401))</f>
        <v/>
      </c>
    </row>
    <row r="1402">
      <c r="B1402" s="25" t="n"/>
      <c r="I1402" s="25" t="n"/>
      <c r="U1402" s="19">
        <f>IF(AND($V1402='設定'!$C$4,COUNTIF('商品マスタ'!$B$6:$B$1005,$W1402)=0),N(U1401)+1,N(U1401))</f>
        <v/>
      </c>
      <c r="V1402" s="19">
        <f>IF($B1402="","",TEXT($B1402,"0000"))</f>
        <v/>
      </c>
      <c r="W1402" s="19">
        <f>IF($I1402="","",IF(ISNUMBER($I1402),TEXT($I1402,"0"),$I1402))</f>
        <v/>
      </c>
    </row>
    <row r="1403">
      <c r="B1403" s="25" t="n"/>
      <c r="I1403" s="25" t="n"/>
      <c r="U1403" s="19">
        <f>IF(AND($V1403='設定'!$C$4,COUNTIF('商品マスタ'!$B$6:$B$1005,$W1403)=0),N(U1402)+1,N(U1402))</f>
        <v/>
      </c>
      <c r="V1403" s="19">
        <f>IF($B1403="","",TEXT($B1403,"0000"))</f>
        <v/>
      </c>
      <c r="W1403" s="19">
        <f>IF($I1403="","",IF(ISNUMBER($I1403),TEXT($I1403,"0"),$I1403))</f>
        <v/>
      </c>
    </row>
    <row r="1404">
      <c r="B1404" s="25" t="n"/>
      <c r="I1404" s="25" t="n"/>
      <c r="U1404" s="19">
        <f>IF(AND($V1404='設定'!$C$4,COUNTIF('商品マスタ'!$B$6:$B$1005,$W1404)=0),N(U1403)+1,N(U1403))</f>
        <v/>
      </c>
      <c r="V1404" s="19">
        <f>IF($B1404="","",TEXT($B1404,"0000"))</f>
        <v/>
      </c>
      <c r="W1404" s="19">
        <f>IF($I1404="","",IF(ISNUMBER($I1404),TEXT($I1404,"0"),$I1404))</f>
        <v/>
      </c>
    </row>
    <row r="1405">
      <c r="B1405" s="25" t="n"/>
      <c r="I1405" s="25" t="n"/>
      <c r="U1405" s="19">
        <f>IF(AND($V1405='設定'!$C$4,COUNTIF('商品マスタ'!$B$6:$B$1005,$W1405)=0),N(U1404)+1,N(U1404))</f>
        <v/>
      </c>
      <c r="V1405" s="19">
        <f>IF($B1405="","",TEXT($B1405,"0000"))</f>
        <v/>
      </c>
      <c r="W1405" s="19">
        <f>IF($I1405="","",IF(ISNUMBER($I1405),TEXT($I1405,"0"),$I1405))</f>
        <v/>
      </c>
    </row>
    <row r="1406">
      <c r="B1406" s="25" t="n"/>
      <c r="I1406" s="25" t="n"/>
      <c r="U1406" s="19">
        <f>IF(AND($V1406='設定'!$C$4,COUNTIF('商品マスタ'!$B$6:$B$1005,$W1406)=0),N(U1405)+1,N(U1405))</f>
        <v/>
      </c>
      <c r="V1406" s="19">
        <f>IF($B1406="","",TEXT($B1406,"0000"))</f>
        <v/>
      </c>
      <c r="W1406" s="19">
        <f>IF($I1406="","",IF(ISNUMBER($I1406),TEXT($I1406,"0"),$I1406))</f>
        <v/>
      </c>
    </row>
    <row r="1407">
      <c r="B1407" s="25" t="n"/>
      <c r="I1407" s="25" t="n"/>
      <c r="U1407" s="19">
        <f>IF(AND($V1407='設定'!$C$4,COUNTIF('商品マスタ'!$B$6:$B$1005,$W1407)=0),N(U1406)+1,N(U1406))</f>
        <v/>
      </c>
      <c r="V1407" s="19">
        <f>IF($B1407="","",TEXT($B1407,"0000"))</f>
        <v/>
      </c>
      <c r="W1407" s="19">
        <f>IF($I1407="","",IF(ISNUMBER($I1407),TEXT($I1407,"0"),$I1407))</f>
        <v/>
      </c>
    </row>
    <row r="1408">
      <c r="B1408" s="25" t="n"/>
      <c r="I1408" s="25" t="n"/>
      <c r="U1408" s="19">
        <f>IF(AND($V1408='設定'!$C$4,COUNTIF('商品マスタ'!$B$6:$B$1005,$W1408)=0),N(U1407)+1,N(U1407))</f>
        <v/>
      </c>
      <c r="V1408" s="19">
        <f>IF($B1408="","",TEXT($B1408,"0000"))</f>
        <v/>
      </c>
      <c r="W1408" s="19">
        <f>IF($I1408="","",IF(ISNUMBER($I1408),TEXT($I1408,"0"),$I1408))</f>
        <v/>
      </c>
    </row>
    <row r="1409">
      <c r="B1409" s="25" t="n"/>
      <c r="I1409" s="25" t="n"/>
      <c r="U1409" s="19">
        <f>IF(AND($V1409='設定'!$C$4,COUNTIF('商品マスタ'!$B$6:$B$1005,$W1409)=0),N(U1408)+1,N(U1408))</f>
        <v/>
      </c>
      <c r="V1409" s="19">
        <f>IF($B1409="","",TEXT($B1409,"0000"))</f>
        <v/>
      </c>
      <c r="W1409" s="19">
        <f>IF($I1409="","",IF(ISNUMBER($I1409),TEXT($I1409,"0"),$I1409))</f>
        <v/>
      </c>
    </row>
    <row r="1410">
      <c r="B1410" s="25" t="n"/>
      <c r="I1410" s="25" t="n"/>
      <c r="U1410" s="19">
        <f>IF(AND($V1410='設定'!$C$4,COUNTIF('商品マスタ'!$B$6:$B$1005,$W1410)=0),N(U1409)+1,N(U1409))</f>
        <v/>
      </c>
      <c r="V1410" s="19">
        <f>IF($B1410="","",TEXT($B1410,"0000"))</f>
        <v/>
      </c>
      <c r="W1410" s="19">
        <f>IF($I1410="","",IF(ISNUMBER($I1410),TEXT($I1410,"0"),$I1410))</f>
        <v/>
      </c>
    </row>
    <row r="1411">
      <c r="B1411" s="25" t="n"/>
      <c r="I1411" s="25" t="n"/>
      <c r="U1411" s="19">
        <f>IF(AND($V1411='設定'!$C$4,COUNTIF('商品マスタ'!$B$6:$B$1005,$W1411)=0),N(U1410)+1,N(U1410))</f>
        <v/>
      </c>
      <c r="V1411" s="19">
        <f>IF($B1411="","",TEXT($B1411,"0000"))</f>
        <v/>
      </c>
      <c r="W1411" s="19">
        <f>IF($I1411="","",IF(ISNUMBER($I1411),TEXT($I1411,"0"),$I1411))</f>
        <v/>
      </c>
    </row>
    <row r="1412">
      <c r="B1412" s="25" t="n"/>
      <c r="I1412" s="25" t="n"/>
      <c r="U1412" s="19">
        <f>IF(AND($V1412='設定'!$C$4,COUNTIF('商品マスタ'!$B$6:$B$1005,$W1412)=0),N(U1411)+1,N(U1411))</f>
        <v/>
      </c>
      <c r="V1412" s="19">
        <f>IF($B1412="","",TEXT($B1412,"0000"))</f>
        <v/>
      </c>
      <c r="W1412" s="19">
        <f>IF($I1412="","",IF(ISNUMBER($I1412),TEXT($I1412,"0"),$I1412))</f>
        <v/>
      </c>
    </row>
    <row r="1413">
      <c r="B1413" s="25" t="n"/>
      <c r="I1413" s="25" t="n"/>
      <c r="U1413" s="19">
        <f>IF(AND($V1413='設定'!$C$4,COUNTIF('商品マスタ'!$B$6:$B$1005,$W1413)=0),N(U1412)+1,N(U1412))</f>
        <v/>
      </c>
      <c r="V1413" s="19">
        <f>IF($B1413="","",TEXT($B1413,"0000"))</f>
        <v/>
      </c>
      <c r="W1413" s="19">
        <f>IF($I1413="","",IF(ISNUMBER($I1413),TEXT($I1413,"0"),$I1413))</f>
        <v/>
      </c>
    </row>
    <row r="1414">
      <c r="B1414" s="25" t="n"/>
      <c r="I1414" s="25" t="n"/>
      <c r="U1414" s="19">
        <f>IF(AND($V1414='設定'!$C$4,COUNTIF('商品マスタ'!$B$6:$B$1005,$W1414)=0),N(U1413)+1,N(U1413))</f>
        <v/>
      </c>
      <c r="V1414" s="19">
        <f>IF($B1414="","",TEXT($B1414,"0000"))</f>
        <v/>
      </c>
      <c r="W1414" s="19">
        <f>IF($I1414="","",IF(ISNUMBER($I1414),TEXT($I1414,"0"),$I1414))</f>
        <v/>
      </c>
    </row>
    <row r="1415">
      <c r="B1415" s="25" t="n"/>
      <c r="I1415" s="25" t="n"/>
      <c r="U1415" s="19">
        <f>IF(AND($V1415='設定'!$C$4,COUNTIF('商品マスタ'!$B$6:$B$1005,$W1415)=0),N(U1414)+1,N(U1414))</f>
        <v/>
      </c>
      <c r="V1415" s="19">
        <f>IF($B1415="","",TEXT($B1415,"0000"))</f>
        <v/>
      </c>
      <c r="W1415" s="19">
        <f>IF($I1415="","",IF(ISNUMBER($I1415),TEXT($I1415,"0"),$I1415))</f>
        <v/>
      </c>
    </row>
    <row r="1416">
      <c r="B1416" s="25" t="n"/>
      <c r="I1416" s="25" t="n"/>
      <c r="U1416" s="19">
        <f>IF(AND($V1416='設定'!$C$4,COUNTIF('商品マスタ'!$B$6:$B$1005,$W1416)=0),N(U1415)+1,N(U1415))</f>
        <v/>
      </c>
      <c r="V1416" s="19">
        <f>IF($B1416="","",TEXT($B1416,"0000"))</f>
        <v/>
      </c>
      <c r="W1416" s="19">
        <f>IF($I1416="","",IF(ISNUMBER($I1416),TEXT($I1416,"0"),$I1416))</f>
        <v/>
      </c>
    </row>
    <row r="1417">
      <c r="B1417" s="25" t="n"/>
      <c r="I1417" s="25" t="n"/>
      <c r="U1417" s="19">
        <f>IF(AND($V1417='設定'!$C$4,COUNTIF('商品マスタ'!$B$6:$B$1005,$W1417)=0),N(U1416)+1,N(U1416))</f>
        <v/>
      </c>
      <c r="V1417" s="19">
        <f>IF($B1417="","",TEXT($B1417,"0000"))</f>
        <v/>
      </c>
      <c r="W1417" s="19">
        <f>IF($I1417="","",IF(ISNUMBER($I1417),TEXT($I1417,"0"),$I1417))</f>
        <v/>
      </c>
    </row>
    <row r="1418">
      <c r="B1418" s="25" t="n"/>
      <c r="I1418" s="25" t="n"/>
      <c r="U1418" s="19">
        <f>IF(AND($V1418='設定'!$C$4,COUNTIF('商品マスタ'!$B$6:$B$1005,$W1418)=0),N(U1417)+1,N(U1417))</f>
        <v/>
      </c>
      <c r="V1418" s="19">
        <f>IF($B1418="","",TEXT($B1418,"0000"))</f>
        <v/>
      </c>
      <c r="W1418" s="19">
        <f>IF($I1418="","",IF(ISNUMBER($I1418),TEXT($I1418,"0"),$I1418))</f>
        <v/>
      </c>
    </row>
    <row r="1419">
      <c r="B1419" s="25" t="n"/>
      <c r="I1419" s="25" t="n"/>
      <c r="U1419" s="19">
        <f>IF(AND($V1419='設定'!$C$4,COUNTIF('商品マスタ'!$B$6:$B$1005,$W1419)=0),N(U1418)+1,N(U1418))</f>
        <v/>
      </c>
      <c r="V1419" s="19">
        <f>IF($B1419="","",TEXT($B1419,"0000"))</f>
        <v/>
      </c>
      <c r="W1419" s="19">
        <f>IF($I1419="","",IF(ISNUMBER($I1419),TEXT($I1419,"0"),$I1419))</f>
        <v/>
      </c>
    </row>
    <row r="1420">
      <c r="B1420" s="25" t="n"/>
      <c r="I1420" s="25" t="n"/>
      <c r="U1420" s="19">
        <f>IF(AND($V1420='設定'!$C$4,COUNTIF('商品マスタ'!$B$6:$B$1005,$W1420)=0),N(U1419)+1,N(U1419))</f>
        <v/>
      </c>
      <c r="V1420" s="19">
        <f>IF($B1420="","",TEXT($B1420,"0000"))</f>
        <v/>
      </c>
      <c r="W1420" s="19">
        <f>IF($I1420="","",IF(ISNUMBER($I1420),TEXT($I1420,"0"),$I1420))</f>
        <v/>
      </c>
    </row>
    <row r="1421">
      <c r="B1421" s="25" t="n"/>
      <c r="I1421" s="25" t="n"/>
      <c r="U1421" s="19">
        <f>IF(AND($V1421='設定'!$C$4,COUNTIF('商品マスタ'!$B$6:$B$1005,$W1421)=0),N(U1420)+1,N(U1420))</f>
        <v/>
      </c>
      <c r="V1421" s="19">
        <f>IF($B1421="","",TEXT($B1421,"0000"))</f>
        <v/>
      </c>
      <c r="W1421" s="19">
        <f>IF($I1421="","",IF(ISNUMBER($I1421),TEXT($I1421,"0"),$I1421))</f>
        <v/>
      </c>
    </row>
    <row r="1422">
      <c r="B1422" s="25" t="n"/>
      <c r="I1422" s="25" t="n"/>
      <c r="U1422" s="19">
        <f>IF(AND($V1422='設定'!$C$4,COUNTIF('商品マスタ'!$B$6:$B$1005,$W1422)=0),N(U1421)+1,N(U1421))</f>
        <v/>
      </c>
      <c r="V1422" s="19">
        <f>IF($B1422="","",TEXT($B1422,"0000"))</f>
        <v/>
      </c>
      <c r="W1422" s="19">
        <f>IF($I1422="","",IF(ISNUMBER($I1422),TEXT($I1422,"0"),$I1422))</f>
        <v/>
      </c>
    </row>
    <row r="1423">
      <c r="B1423" s="25" t="n"/>
      <c r="I1423" s="25" t="n"/>
      <c r="U1423" s="19">
        <f>IF(AND($V1423='設定'!$C$4,COUNTIF('商品マスタ'!$B$6:$B$1005,$W1423)=0),N(U1422)+1,N(U1422))</f>
        <v/>
      </c>
      <c r="V1423" s="19">
        <f>IF($B1423="","",TEXT($B1423,"0000"))</f>
        <v/>
      </c>
      <c r="W1423" s="19">
        <f>IF($I1423="","",IF(ISNUMBER($I1423),TEXT($I1423,"0"),$I1423))</f>
        <v/>
      </c>
    </row>
    <row r="1424">
      <c r="B1424" s="25" t="n"/>
      <c r="I1424" s="25" t="n"/>
      <c r="U1424" s="19">
        <f>IF(AND($V1424='設定'!$C$4,COUNTIF('商品マスタ'!$B$6:$B$1005,$W1424)=0),N(U1423)+1,N(U1423))</f>
        <v/>
      </c>
      <c r="V1424" s="19">
        <f>IF($B1424="","",TEXT($B1424,"0000"))</f>
        <v/>
      </c>
      <c r="W1424" s="19">
        <f>IF($I1424="","",IF(ISNUMBER($I1424),TEXT($I1424,"0"),$I1424))</f>
        <v/>
      </c>
    </row>
    <row r="1425">
      <c r="B1425" s="25" t="n"/>
      <c r="I1425" s="25" t="n"/>
      <c r="U1425" s="19">
        <f>IF(AND($V1425='設定'!$C$4,COUNTIF('商品マスタ'!$B$6:$B$1005,$W1425)=0),N(U1424)+1,N(U1424))</f>
        <v/>
      </c>
      <c r="V1425" s="19">
        <f>IF($B1425="","",TEXT($B1425,"0000"))</f>
        <v/>
      </c>
      <c r="W1425" s="19">
        <f>IF($I1425="","",IF(ISNUMBER($I1425),TEXT($I1425,"0"),$I1425))</f>
        <v/>
      </c>
    </row>
    <row r="1426">
      <c r="B1426" s="25" t="n"/>
      <c r="I1426" s="25" t="n"/>
      <c r="U1426" s="19">
        <f>IF(AND($V1426='設定'!$C$4,COUNTIF('商品マスタ'!$B$6:$B$1005,$W1426)=0),N(U1425)+1,N(U1425))</f>
        <v/>
      </c>
      <c r="V1426" s="19">
        <f>IF($B1426="","",TEXT($B1426,"0000"))</f>
        <v/>
      </c>
      <c r="W1426" s="19">
        <f>IF($I1426="","",IF(ISNUMBER($I1426),TEXT($I1426,"0"),$I1426))</f>
        <v/>
      </c>
    </row>
    <row r="1427">
      <c r="B1427" s="25" t="n"/>
      <c r="I1427" s="25" t="n"/>
      <c r="U1427" s="19">
        <f>IF(AND($V1427='設定'!$C$4,COUNTIF('商品マスタ'!$B$6:$B$1005,$W1427)=0),N(U1426)+1,N(U1426))</f>
        <v/>
      </c>
      <c r="V1427" s="19">
        <f>IF($B1427="","",TEXT($B1427,"0000"))</f>
        <v/>
      </c>
      <c r="W1427" s="19">
        <f>IF($I1427="","",IF(ISNUMBER($I1427),TEXT($I1427,"0"),$I1427))</f>
        <v/>
      </c>
    </row>
    <row r="1428">
      <c r="B1428" s="25" t="n"/>
      <c r="I1428" s="25" t="n"/>
      <c r="U1428" s="19">
        <f>IF(AND($V1428='設定'!$C$4,COUNTIF('商品マスタ'!$B$6:$B$1005,$W1428)=0),N(U1427)+1,N(U1427))</f>
        <v/>
      </c>
      <c r="V1428" s="19">
        <f>IF($B1428="","",TEXT($B1428,"0000"))</f>
        <v/>
      </c>
      <c r="W1428" s="19">
        <f>IF($I1428="","",IF(ISNUMBER($I1428),TEXT($I1428,"0"),$I1428))</f>
        <v/>
      </c>
    </row>
    <row r="1429">
      <c r="B1429" s="25" t="n"/>
      <c r="I1429" s="25" t="n"/>
      <c r="U1429" s="19">
        <f>IF(AND($V1429='設定'!$C$4,COUNTIF('商品マスタ'!$B$6:$B$1005,$W1429)=0),N(U1428)+1,N(U1428))</f>
        <v/>
      </c>
      <c r="V1429" s="19">
        <f>IF($B1429="","",TEXT($B1429,"0000"))</f>
        <v/>
      </c>
      <c r="W1429" s="19">
        <f>IF($I1429="","",IF(ISNUMBER($I1429),TEXT($I1429,"0"),$I1429))</f>
        <v/>
      </c>
    </row>
    <row r="1430">
      <c r="B1430" s="25" t="n"/>
      <c r="I1430" s="25" t="n"/>
      <c r="U1430" s="19">
        <f>IF(AND($V1430='設定'!$C$4,COUNTIF('商品マスタ'!$B$6:$B$1005,$W1430)=0),N(U1429)+1,N(U1429))</f>
        <v/>
      </c>
      <c r="V1430" s="19">
        <f>IF($B1430="","",TEXT($B1430,"0000"))</f>
        <v/>
      </c>
      <c r="W1430" s="19">
        <f>IF($I1430="","",IF(ISNUMBER($I1430),TEXT($I1430,"0"),$I1430))</f>
        <v/>
      </c>
    </row>
    <row r="1431">
      <c r="B1431" s="25" t="n"/>
      <c r="I1431" s="25" t="n"/>
      <c r="U1431" s="19">
        <f>IF(AND($V1431='設定'!$C$4,COUNTIF('商品マスタ'!$B$6:$B$1005,$W1431)=0),N(U1430)+1,N(U1430))</f>
        <v/>
      </c>
      <c r="V1431" s="19">
        <f>IF($B1431="","",TEXT($B1431,"0000"))</f>
        <v/>
      </c>
      <c r="W1431" s="19">
        <f>IF($I1431="","",IF(ISNUMBER($I1431),TEXT($I1431,"0"),$I1431))</f>
        <v/>
      </c>
    </row>
    <row r="1432">
      <c r="B1432" s="25" t="n"/>
      <c r="I1432" s="25" t="n"/>
      <c r="U1432" s="19">
        <f>IF(AND($V1432='設定'!$C$4,COUNTIF('商品マスタ'!$B$6:$B$1005,$W1432)=0),N(U1431)+1,N(U1431))</f>
        <v/>
      </c>
      <c r="V1432" s="19">
        <f>IF($B1432="","",TEXT($B1432,"0000"))</f>
        <v/>
      </c>
      <c r="W1432" s="19">
        <f>IF($I1432="","",IF(ISNUMBER($I1432),TEXT($I1432,"0"),$I1432))</f>
        <v/>
      </c>
    </row>
    <row r="1433">
      <c r="B1433" s="25" t="n"/>
      <c r="I1433" s="25" t="n"/>
      <c r="U1433" s="19">
        <f>IF(AND($V1433='設定'!$C$4,COUNTIF('商品マスタ'!$B$6:$B$1005,$W1433)=0),N(U1432)+1,N(U1432))</f>
        <v/>
      </c>
      <c r="V1433" s="19">
        <f>IF($B1433="","",TEXT($B1433,"0000"))</f>
        <v/>
      </c>
      <c r="W1433" s="19">
        <f>IF($I1433="","",IF(ISNUMBER($I1433),TEXT($I1433,"0"),$I1433))</f>
        <v/>
      </c>
    </row>
    <row r="1434">
      <c r="B1434" s="25" t="n"/>
      <c r="I1434" s="25" t="n"/>
      <c r="U1434" s="19">
        <f>IF(AND($V1434='設定'!$C$4,COUNTIF('商品マスタ'!$B$6:$B$1005,$W1434)=0),N(U1433)+1,N(U1433))</f>
        <v/>
      </c>
      <c r="V1434" s="19">
        <f>IF($B1434="","",TEXT($B1434,"0000"))</f>
        <v/>
      </c>
      <c r="W1434" s="19">
        <f>IF($I1434="","",IF(ISNUMBER($I1434),TEXT($I1434,"0"),$I1434))</f>
        <v/>
      </c>
    </row>
    <row r="1435">
      <c r="B1435" s="25" t="n"/>
      <c r="I1435" s="25" t="n"/>
      <c r="U1435" s="19">
        <f>IF(AND($V1435='設定'!$C$4,COUNTIF('商品マスタ'!$B$6:$B$1005,$W1435)=0),N(U1434)+1,N(U1434))</f>
        <v/>
      </c>
      <c r="V1435" s="19">
        <f>IF($B1435="","",TEXT($B1435,"0000"))</f>
        <v/>
      </c>
      <c r="W1435" s="19">
        <f>IF($I1435="","",IF(ISNUMBER($I1435),TEXT($I1435,"0"),$I1435))</f>
        <v/>
      </c>
    </row>
    <row r="1436">
      <c r="B1436" s="25" t="n"/>
      <c r="I1436" s="25" t="n"/>
      <c r="U1436" s="19">
        <f>IF(AND($V1436='設定'!$C$4,COUNTIF('商品マスタ'!$B$6:$B$1005,$W1436)=0),N(U1435)+1,N(U1435))</f>
        <v/>
      </c>
      <c r="V1436" s="19">
        <f>IF($B1436="","",TEXT($B1436,"0000"))</f>
        <v/>
      </c>
      <c r="W1436" s="19">
        <f>IF($I1436="","",IF(ISNUMBER($I1436),TEXT($I1436,"0"),$I1436))</f>
        <v/>
      </c>
    </row>
    <row r="1437">
      <c r="B1437" s="25" t="n"/>
      <c r="I1437" s="25" t="n"/>
      <c r="U1437" s="19">
        <f>IF(AND($V1437='設定'!$C$4,COUNTIF('商品マスタ'!$B$6:$B$1005,$W1437)=0),N(U1436)+1,N(U1436))</f>
        <v/>
      </c>
      <c r="V1437" s="19">
        <f>IF($B1437="","",TEXT($B1437,"0000"))</f>
        <v/>
      </c>
      <c r="W1437" s="19">
        <f>IF($I1437="","",IF(ISNUMBER($I1437),TEXT($I1437,"0"),$I1437))</f>
        <v/>
      </c>
    </row>
    <row r="1438">
      <c r="B1438" s="25" t="n"/>
      <c r="I1438" s="25" t="n"/>
      <c r="U1438" s="19">
        <f>IF(AND($V1438='設定'!$C$4,COUNTIF('商品マスタ'!$B$6:$B$1005,$W1438)=0),N(U1437)+1,N(U1437))</f>
        <v/>
      </c>
      <c r="V1438" s="19">
        <f>IF($B1438="","",TEXT($B1438,"0000"))</f>
        <v/>
      </c>
      <c r="W1438" s="19">
        <f>IF($I1438="","",IF(ISNUMBER($I1438),TEXT($I1438,"0"),$I1438))</f>
        <v/>
      </c>
    </row>
    <row r="1439">
      <c r="B1439" s="25" t="n"/>
      <c r="I1439" s="25" t="n"/>
      <c r="U1439" s="19">
        <f>IF(AND($V1439='設定'!$C$4,COUNTIF('商品マスタ'!$B$6:$B$1005,$W1439)=0),N(U1438)+1,N(U1438))</f>
        <v/>
      </c>
      <c r="V1439" s="19">
        <f>IF($B1439="","",TEXT($B1439,"0000"))</f>
        <v/>
      </c>
      <c r="W1439" s="19">
        <f>IF($I1439="","",IF(ISNUMBER($I1439),TEXT($I1439,"0"),$I1439))</f>
        <v/>
      </c>
    </row>
    <row r="1440">
      <c r="B1440" s="25" t="n"/>
      <c r="I1440" s="25" t="n"/>
      <c r="U1440" s="19">
        <f>IF(AND($V1440='設定'!$C$4,COUNTIF('商品マスタ'!$B$6:$B$1005,$W1440)=0),N(U1439)+1,N(U1439))</f>
        <v/>
      </c>
      <c r="V1440" s="19">
        <f>IF($B1440="","",TEXT($B1440,"0000"))</f>
        <v/>
      </c>
      <c r="W1440" s="19">
        <f>IF($I1440="","",IF(ISNUMBER($I1440),TEXT($I1440,"0"),$I1440))</f>
        <v/>
      </c>
    </row>
    <row r="1441">
      <c r="B1441" s="25" t="n"/>
      <c r="I1441" s="25" t="n"/>
      <c r="U1441" s="19">
        <f>IF(AND($V1441='設定'!$C$4,COUNTIF('商品マスタ'!$B$6:$B$1005,$W1441)=0),N(U1440)+1,N(U1440))</f>
        <v/>
      </c>
      <c r="V1441" s="19">
        <f>IF($B1441="","",TEXT($B1441,"0000"))</f>
        <v/>
      </c>
      <c r="W1441" s="19">
        <f>IF($I1441="","",IF(ISNUMBER($I1441),TEXT($I1441,"0"),$I1441))</f>
        <v/>
      </c>
    </row>
    <row r="1442">
      <c r="B1442" s="25" t="n"/>
      <c r="I1442" s="25" t="n"/>
      <c r="U1442" s="19">
        <f>IF(AND($V1442='設定'!$C$4,COUNTIF('商品マスタ'!$B$6:$B$1005,$W1442)=0),N(U1441)+1,N(U1441))</f>
        <v/>
      </c>
      <c r="V1442" s="19">
        <f>IF($B1442="","",TEXT($B1442,"0000"))</f>
        <v/>
      </c>
      <c r="W1442" s="19">
        <f>IF($I1442="","",IF(ISNUMBER($I1442),TEXT($I1442,"0"),$I1442))</f>
        <v/>
      </c>
    </row>
    <row r="1443">
      <c r="B1443" s="25" t="n"/>
      <c r="I1443" s="25" t="n"/>
      <c r="U1443" s="19">
        <f>IF(AND($V1443='設定'!$C$4,COUNTIF('商品マスタ'!$B$6:$B$1005,$W1443)=0),N(U1442)+1,N(U1442))</f>
        <v/>
      </c>
      <c r="V1443" s="19">
        <f>IF($B1443="","",TEXT($B1443,"0000"))</f>
        <v/>
      </c>
      <c r="W1443" s="19">
        <f>IF($I1443="","",IF(ISNUMBER($I1443),TEXT($I1443,"0"),$I1443))</f>
        <v/>
      </c>
    </row>
    <row r="1444">
      <c r="B1444" s="25" t="n"/>
      <c r="I1444" s="25" t="n"/>
      <c r="U1444" s="19">
        <f>IF(AND($V1444='設定'!$C$4,COUNTIF('商品マスタ'!$B$6:$B$1005,$W1444)=0),N(U1443)+1,N(U1443))</f>
        <v/>
      </c>
      <c r="V1444" s="19">
        <f>IF($B1444="","",TEXT($B1444,"0000"))</f>
        <v/>
      </c>
      <c r="W1444" s="19">
        <f>IF($I1444="","",IF(ISNUMBER($I1444),TEXT($I1444,"0"),$I1444))</f>
        <v/>
      </c>
    </row>
    <row r="1445">
      <c r="B1445" s="25" t="n"/>
      <c r="I1445" s="25" t="n"/>
      <c r="U1445" s="19">
        <f>IF(AND($V1445='設定'!$C$4,COUNTIF('商品マスタ'!$B$6:$B$1005,$W1445)=0),N(U1444)+1,N(U1444))</f>
        <v/>
      </c>
      <c r="V1445" s="19">
        <f>IF($B1445="","",TEXT($B1445,"0000"))</f>
        <v/>
      </c>
      <c r="W1445" s="19">
        <f>IF($I1445="","",IF(ISNUMBER($I1445),TEXT($I1445,"0"),$I1445))</f>
        <v/>
      </c>
    </row>
    <row r="1446">
      <c r="B1446" s="25" t="n"/>
      <c r="I1446" s="25" t="n"/>
      <c r="U1446" s="19">
        <f>IF(AND($V1446='設定'!$C$4,COUNTIF('商品マスタ'!$B$6:$B$1005,$W1446)=0),N(U1445)+1,N(U1445))</f>
        <v/>
      </c>
      <c r="V1446" s="19">
        <f>IF($B1446="","",TEXT($B1446,"0000"))</f>
        <v/>
      </c>
      <c r="W1446" s="19">
        <f>IF($I1446="","",IF(ISNUMBER($I1446),TEXT($I1446,"0"),$I1446))</f>
        <v/>
      </c>
    </row>
    <row r="1447">
      <c r="B1447" s="25" t="n"/>
      <c r="I1447" s="25" t="n"/>
      <c r="U1447" s="19">
        <f>IF(AND($V1447='設定'!$C$4,COUNTIF('商品マスタ'!$B$6:$B$1005,$W1447)=0),N(U1446)+1,N(U1446))</f>
        <v/>
      </c>
      <c r="V1447" s="19">
        <f>IF($B1447="","",TEXT($B1447,"0000"))</f>
        <v/>
      </c>
      <c r="W1447" s="19">
        <f>IF($I1447="","",IF(ISNUMBER($I1447),TEXT($I1447,"0"),$I1447))</f>
        <v/>
      </c>
    </row>
    <row r="1448">
      <c r="B1448" s="25" t="n"/>
      <c r="I1448" s="25" t="n"/>
      <c r="U1448" s="19">
        <f>IF(AND($V1448='設定'!$C$4,COUNTIF('商品マスタ'!$B$6:$B$1005,$W1448)=0),N(U1447)+1,N(U1447))</f>
        <v/>
      </c>
      <c r="V1448" s="19">
        <f>IF($B1448="","",TEXT($B1448,"0000"))</f>
        <v/>
      </c>
      <c r="W1448" s="19">
        <f>IF($I1448="","",IF(ISNUMBER($I1448),TEXT($I1448,"0"),$I1448))</f>
        <v/>
      </c>
    </row>
    <row r="1449">
      <c r="B1449" s="25" t="n"/>
      <c r="I1449" s="25" t="n"/>
      <c r="U1449" s="19">
        <f>IF(AND($V1449='設定'!$C$4,COUNTIF('商品マスタ'!$B$6:$B$1005,$W1449)=0),N(U1448)+1,N(U1448))</f>
        <v/>
      </c>
      <c r="V1449" s="19">
        <f>IF($B1449="","",TEXT($B1449,"0000"))</f>
        <v/>
      </c>
      <c r="W1449" s="19">
        <f>IF($I1449="","",IF(ISNUMBER($I1449),TEXT($I1449,"0"),$I1449))</f>
        <v/>
      </c>
    </row>
    <row r="1450">
      <c r="B1450" s="25" t="n"/>
      <c r="I1450" s="25" t="n"/>
      <c r="U1450" s="19">
        <f>IF(AND($V1450='設定'!$C$4,COUNTIF('商品マスタ'!$B$6:$B$1005,$W1450)=0),N(U1449)+1,N(U1449))</f>
        <v/>
      </c>
      <c r="V1450" s="19">
        <f>IF($B1450="","",TEXT($B1450,"0000"))</f>
        <v/>
      </c>
      <c r="W1450" s="19">
        <f>IF($I1450="","",IF(ISNUMBER($I1450),TEXT($I1450,"0"),$I1450))</f>
        <v/>
      </c>
    </row>
    <row r="1451">
      <c r="B1451" s="25" t="n"/>
      <c r="I1451" s="25" t="n"/>
      <c r="U1451" s="19">
        <f>IF(AND($V1451='設定'!$C$4,COUNTIF('商品マスタ'!$B$6:$B$1005,$W1451)=0),N(U1450)+1,N(U1450))</f>
        <v/>
      </c>
      <c r="V1451" s="19">
        <f>IF($B1451="","",TEXT($B1451,"0000"))</f>
        <v/>
      </c>
      <c r="W1451" s="19">
        <f>IF($I1451="","",IF(ISNUMBER($I1451),TEXT($I1451,"0"),$I1451))</f>
        <v/>
      </c>
    </row>
    <row r="1452">
      <c r="B1452" s="25" t="n"/>
      <c r="I1452" s="25" t="n"/>
      <c r="U1452" s="19">
        <f>IF(AND($V1452='設定'!$C$4,COUNTIF('商品マスタ'!$B$6:$B$1005,$W1452)=0),N(U1451)+1,N(U1451))</f>
        <v/>
      </c>
      <c r="V1452" s="19">
        <f>IF($B1452="","",TEXT($B1452,"0000"))</f>
        <v/>
      </c>
      <c r="W1452" s="19">
        <f>IF($I1452="","",IF(ISNUMBER($I1452),TEXT($I1452,"0"),$I1452))</f>
        <v/>
      </c>
    </row>
    <row r="1453">
      <c r="B1453" s="25" t="n"/>
      <c r="I1453" s="25" t="n"/>
      <c r="U1453" s="19">
        <f>IF(AND($V1453='設定'!$C$4,COUNTIF('商品マスタ'!$B$6:$B$1005,$W1453)=0),N(U1452)+1,N(U1452))</f>
        <v/>
      </c>
      <c r="V1453" s="19">
        <f>IF($B1453="","",TEXT($B1453,"0000"))</f>
        <v/>
      </c>
      <c r="W1453" s="19">
        <f>IF($I1453="","",IF(ISNUMBER($I1453),TEXT($I1453,"0"),$I1453))</f>
        <v/>
      </c>
    </row>
    <row r="1454">
      <c r="B1454" s="25" t="n"/>
      <c r="I1454" s="25" t="n"/>
      <c r="U1454" s="19">
        <f>IF(AND($V1454='設定'!$C$4,COUNTIF('商品マスタ'!$B$6:$B$1005,$W1454)=0),N(U1453)+1,N(U1453))</f>
        <v/>
      </c>
      <c r="V1454" s="19">
        <f>IF($B1454="","",TEXT($B1454,"0000"))</f>
        <v/>
      </c>
      <c r="W1454" s="19">
        <f>IF($I1454="","",IF(ISNUMBER($I1454),TEXT($I1454,"0"),$I1454))</f>
        <v/>
      </c>
    </row>
    <row r="1455">
      <c r="B1455" s="25" t="n"/>
      <c r="I1455" s="25" t="n"/>
      <c r="U1455" s="19">
        <f>IF(AND($V1455='設定'!$C$4,COUNTIF('商品マスタ'!$B$6:$B$1005,$W1455)=0),N(U1454)+1,N(U1454))</f>
        <v/>
      </c>
      <c r="V1455" s="19">
        <f>IF($B1455="","",TEXT($B1455,"0000"))</f>
        <v/>
      </c>
      <c r="W1455" s="19">
        <f>IF($I1455="","",IF(ISNUMBER($I1455),TEXT($I1455,"0"),$I1455))</f>
        <v/>
      </c>
    </row>
    <row r="1456">
      <c r="B1456" s="25" t="n"/>
      <c r="I1456" s="25" t="n"/>
      <c r="U1456" s="19">
        <f>IF(AND($V1456='設定'!$C$4,COUNTIF('商品マスタ'!$B$6:$B$1005,$W1456)=0),N(U1455)+1,N(U1455))</f>
        <v/>
      </c>
      <c r="V1456" s="19">
        <f>IF($B1456="","",TEXT($B1456,"0000"))</f>
        <v/>
      </c>
      <c r="W1456" s="19">
        <f>IF($I1456="","",IF(ISNUMBER($I1456),TEXT($I1456,"0"),$I1456))</f>
        <v/>
      </c>
    </row>
    <row r="1457">
      <c r="B1457" s="25" t="n"/>
      <c r="I1457" s="25" t="n"/>
      <c r="U1457" s="19">
        <f>IF(AND($V1457='設定'!$C$4,COUNTIF('商品マスタ'!$B$6:$B$1005,$W1457)=0),N(U1456)+1,N(U1456))</f>
        <v/>
      </c>
      <c r="V1457" s="19">
        <f>IF($B1457="","",TEXT($B1457,"0000"))</f>
        <v/>
      </c>
      <c r="W1457" s="19">
        <f>IF($I1457="","",IF(ISNUMBER($I1457),TEXT($I1457,"0"),$I1457))</f>
        <v/>
      </c>
    </row>
    <row r="1458">
      <c r="B1458" s="25" t="n"/>
      <c r="I1458" s="25" t="n"/>
      <c r="U1458" s="19">
        <f>IF(AND($V1458='設定'!$C$4,COUNTIF('商品マスタ'!$B$6:$B$1005,$W1458)=0),N(U1457)+1,N(U1457))</f>
        <v/>
      </c>
      <c r="V1458" s="19">
        <f>IF($B1458="","",TEXT($B1458,"0000"))</f>
        <v/>
      </c>
      <c r="W1458" s="19">
        <f>IF($I1458="","",IF(ISNUMBER($I1458),TEXT($I1458,"0"),$I1458))</f>
        <v/>
      </c>
    </row>
    <row r="1459">
      <c r="B1459" s="25" t="n"/>
      <c r="I1459" s="25" t="n"/>
      <c r="U1459" s="19">
        <f>IF(AND($V1459='設定'!$C$4,COUNTIF('商品マスタ'!$B$6:$B$1005,$W1459)=0),N(U1458)+1,N(U1458))</f>
        <v/>
      </c>
      <c r="V1459" s="19">
        <f>IF($B1459="","",TEXT($B1459,"0000"))</f>
        <v/>
      </c>
      <c r="W1459" s="19">
        <f>IF($I1459="","",IF(ISNUMBER($I1459),TEXT($I1459,"0"),$I1459))</f>
        <v/>
      </c>
    </row>
    <row r="1460">
      <c r="B1460" s="25" t="n"/>
      <c r="I1460" s="25" t="n"/>
      <c r="U1460" s="19">
        <f>IF(AND($V1460='設定'!$C$4,COUNTIF('商品マスタ'!$B$6:$B$1005,$W1460)=0),N(U1459)+1,N(U1459))</f>
        <v/>
      </c>
      <c r="V1460" s="19">
        <f>IF($B1460="","",TEXT($B1460,"0000"))</f>
        <v/>
      </c>
      <c r="W1460" s="19">
        <f>IF($I1460="","",IF(ISNUMBER($I1460),TEXT($I1460,"0"),$I1460))</f>
        <v/>
      </c>
    </row>
    <row r="1461">
      <c r="B1461" s="25" t="n"/>
      <c r="I1461" s="25" t="n"/>
      <c r="U1461" s="19">
        <f>IF(AND($V1461='設定'!$C$4,COUNTIF('商品マスタ'!$B$6:$B$1005,$W1461)=0),N(U1460)+1,N(U1460))</f>
        <v/>
      </c>
      <c r="V1461" s="19">
        <f>IF($B1461="","",TEXT($B1461,"0000"))</f>
        <v/>
      </c>
      <c r="W1461" s="19">
        <f>IF($I1461="","",IF(ISNUMBER($I1461),TEXT($I1461,"0"),$I1461))</f>
        <v/>
      </c>
    </row>
    <row r="1462">
      <c r="B1462" s="25" t="n"/>
      <c r="I1462" s="25" t="n"/>
      <c r="U1462" s="19">
        <f>IF(AND($V1462='設定'!$C$4,COUNTIF('商品マスタ'!$B$6:$B$1005,$W1462)=0),N(U1461)+1,N(U1461))</f>
        <v/>
      </c>
      <c r="V1462" s="19">
        <f>IF($B1462="","",TEXT($B1462,"0000"))</f>
        <v/>
      </c>
      <c r="W1462" s="19">
        <f>IF($I1462="","",IF(ISNUMBER($I1462),TEXT($I1462,"0"),$I1462))</f>
        <v/>
      </c>
    </row>
    <row r="1463">
      <c r="B1463" s="25" t="n"/>
      <c r="I1463" s="25" t="n"/>
      <c r="U1463" s="19">
        <f>IF(AND($V1463='設定'!$C$4,COUNTIF('商品マスタ'!$B$6:$B$1005,$W1463)=0),N(U1462)+1,N(U1462))</f>
        <v/>
      </c>
      <c r="V1463" s="19">
        <f>IF($B1463="","",TEXT($B1463,"0000"))</f>
        <v/>
      </c>
      <c r="W1463" s="19">
        <f>IF($I1463="","",IF(ISNUMBER($I1463),TEXT($I1463,"0"),$I1463))</f>
        <v/>
      </c>
    </row>
    <row r="1464">
      <c r="B1464" s="25" t="n"/>
      <c r="I1464" s="25" t="n"/>
      <c r="U1464" s="19">
        <f>IF(AND($V1464='設定'!$C$4,COUNTIF('商品マスタ'!$B$6:$B$1005,$W1464)=0),N(U1463)+1,N(U1463))</f>
        <v/>
      </c>
      <c r="V1464" s="19">
        <f>IF($B1464="","",TEXT($B1464,"0000"))</f>
        <v/>
      </c>
      <c r="W1464" s="19">
        <f>IF($I1464="","",IF(ISNUMBER($I1464),TEXT($I1464,"0"),$I1464))</f>
        <v/>
      </c>
    </row>
    <row r="1465">
      <c r="B1465" s="25" t="n"/>
      <c r="I1465" s="25" t="n"/>
      <c r="U1465" s="19">
        <f>IF(AND($V1465='設定'!$C$4,COUNTIF('商品マスタ'!$B$6:$B$1005,$W1465)=0),N(U1464)+1,N(U1464))</f>
        <v/>
      </c>
      <c r="V1465" s="19">
        <f>IF($B1465="","",TEXT($B1465,"0000"))</f>
        <v/>
      </c>
      <c r="W1465" s="19">
        <f>IF($I1465="","",IF(ISNUMBER($I1465),TEXT($I1465,"0"),$I1465))</f>
        <v/>
      </c>
    </row>
    <row r="1466">
      <c r="B1466" s="25" t="n"/>
      <c r="I1466" s="25" t="n"/>
      <c r="U1466" s="19">
        <f>IF(AND($V1466='設定'!$C$4,COUNTIF('商品マスタ'!$B$6:$B$1005,$W1466)=0),N(U1465)+1,N(U1465))</f>
        <v/>
      </c>
      <c r="V1466" s="19">
        <f>IF($B1466="","",TEXT($B1466,"0000"))</f>
        <v/>
      </c>
      <c r="W1466" s="19">
        <f>IF($I1466="","",IF(ISNUMBER($I1466),TEXT($I1466,"0"),$I1466))</f>
        <v/>
      </c>
    </row>
    <row r="1467">
      <c r="B1467" s="25" t="n"/>
      <c r="I1467" s="25" t="n"/>
      <c r="U1467" s="19">
        <f>IF(AND($V1467='設定'!$C$4,COUNTIF('商品マスタ'!$B$6:$B$1005,$W1467)=0),N(U1466)+1,N(U1466))</f>
        <v/>
      </c>
      <c r="V1467" s="19">
        <f>IF($B1467="","",TEXT($B1467,"0000"))</f>
        <v/>
      </c>
      <c r="W1467" s="19">
        <f>IF($I1467="","",IF(ISNUMBER($I1467),TEXT($I1467,"0"),$I1467))</f>
        <v/>
      </c>
    </row>
    <row r="1468">
      <c r="B1468" s="25" t="n"/>
      <c r="I1468" s="25" t="n"/>
      <c r="U1468" s="19">
        <f>IF(AND($V1468='設定'!$C$4,COUNTIF('商品マスタ'!$B$6:$B$1005,$W1468)=0),N(U1467)+1,N(U1467))</f>
        <v/>
      </c>
      <c r="V1468" s="19">
        <f>IF($B1468="","",TEXT($B1468,"0000"))</f>
        <v/>
      </c>
      <c r="W1468" s="19">
        <f>IF($I1468="","",IF(ISNUMBER($I1468),TEXT($I1468,"0"),$I1468))</f>
        <v/>
      </c>
    </row>
    <row r="1469">
      <c r="B1469" s="25" t="n"/>
      <c r="I1469" s="25" t="n"/>
      <c r="U1469" s="19">
        <f>IF(AND($V1469='設定'!$C$4,COUNTIF('商品マスタ'!$B$6:$B$1005,$W1469)=0),N(U1468)+1,N(U1468))</f>
        <v/>
      </c>
      <c r="V1469" s="19">
        <f>IF($B1469="","",TEXT($B1469,"0000"))</f>
        <v/>
      </c>
      <c r="W1469" s="19">
        <f>IF($I1469="","",IF(ISNUMBER($I1469),TEXT($I1469,"0"),$I1469))</f>
        <v/>
      </c>
    </row>
    <row r="1470">
      <c r="B1470" s="25" t="n"/>
      <c r="I1470" s="25" t="n"/>
      <c r="U1470" s="19">
        <f>IF(AND($V1470='設定'!$C$4,COUNTIF('商品マスタ'!$B$6:$B$1005,$W1470)=0),N(U1469)+1,N(U1469))</f>
        <v/>
      </c>
      <c r="V1470" s="19">
        <f>IF($B1470="","",TEXT($B1470,"0000"))</f>
        <v/>
      </c>
      <c r="W1470" s="19">
        <f>IF($I1470="","",IF(ISNUMBER($I1470),TEXT($I1470,"0"),$I1470))</f>
        <v/>
      </c>
    </row>
    <row r="1471">
      <c r="B1471" s="25" t="n"/>
      <c r="I1471" s="25" t="n"/>
      <c r="U1471" s="19">
        <f>IF(AND($V1471='設定'!$C$4,COUNTIF('商品マスタ'!$B$6:$B$1005,$W1471)=0),N(U1470)+1,N(U1470))</f>
        <v/>
      </c>
      <c r="V1471" s="19">
        <f>IF($B1471="","",TEXT($B1471,"0000"))</f>
        <v/>
      </c>
      <c r="W1471" s="19">
        <f>IF($I1471="","",IF(ISNUMBER($I1471),TEXT($I1471,"0"),$I1471))</f>
        <v/>
      </c>
    </row>
    <row r="1472">
      <c r="B1472" s="25" t="n"/>
      <c r="I1472" s="25" t="n"/>
      <c r="U1472" s="19">
        <f>IF(AND($V1472='設定'!$C$4,COUNTIF('商品マスタ'!$B$6:$B$1005,$W1472)=0),N(U1471)+1,N(U1471))</f>
        <v/>
      </c>
      <c r="V1472" s="19">
        <f>IF($B1472="","",TEXT($B1472,"0000"))</f>
        <v/>
      </c>
      <c r="W1472" s="19">
        <f>IF($I1472="","",IF(ISNUMBER($I1472),TEXT($I1472,"0"),$I1472))</f>
        <v/>
      </c>
    </row>
    <row r="1473">
      <c r="B1473" s="25" t="n"/>
      <c r="I1473" s="25" t="n"/>
      <c r="U1473" s="19">
        <f>IF(AND($V1473='設定'!$C$4,COUNTIF('商品マスタ'!$B$6:$B$1005,$W1473)=0),N(U1472)+1,N(U1472))</f>
        <v/>
      </c>
      <c r="V1473" s="19">
        <f>IF($B1473="","",TEXT($B1473,"0000"))</f>
        <v/>
      </c>
      <c r="W1473" s="19">
        <f>IF($I1473="","",IF(ISNUMBER($I1473),TEXT($I1473,"0"),$I1473))</f>
        <v/>
      </c>
    </row>
    <row r="1474">
      <c r="B1474" s="25" t="n"/>
      <c r="I1474" s="25" t="n"/>
      <c r="U1474" s="19">
        <f>IF(AND($V1474='設定'!$C$4,COUNTIF('商品マスタ'!$B$6:$B$1005,$W1474)=0),N(U1473)+1,N(U1473))</f>
        <v/>
      </c>
      <c r="V1474" s="19">
        <f>IF($B1474="","",TEXT($B1474,"0000"))</f>
        <v/>
      </c>
      <c r="W1474" s="19">
        <f>IF($I1474="","",IF(ISNUMBER($I1474),TEXT($I1474,"0"),$I1474))</f>
        <v/>
      </c>
    </row>
    <row r="1475">
      <c r="B1475" s="25" t="n"/>
      <c r="I1475" s="25" t="n"/>
      <c r="U1475" s="19">
        <f>IF(AND($V1475='設定'!$C$4,COUNTIF('商品マスタ'!$B$6:$B$1005,$W1475)=0),N(U1474)+1,N(U1474))</f>
        <v/>
      </c>
      <c r="V1475" s="19">
        <f>IF($B1475="","",TEXT($B1475,"0000"))</f>
        <v/>
      </c>
      <c r="W1475" s="19">
        <f>IF($I1475="","",IF(ISNUMBER($I1475),TEXT($I1475,"0"),$I1475))</f>
        <v/>
      </c>
    </row>
    <row r="1476">
      <c r="B1476" s="25" t="n"/>
      <c r="I1476" s="25" t="n"/>
      <c r="U1476" s="19">
        <f>IF(AND($V1476='設定'!$C$4,COUNTIF('商品マスタ'!$B$6:$B$1005,$W1476)=0),N(U1475)+1,N(U1475))</f>
        <v/>
      </c>
      <c r="V1476" s="19">
        <f>IF($B1476="","",TEXT($B1476,"0000"))</f>
        <v/>
      </c>
      <c r="W1476" s="19">
        <f>IF($I1476="","",IF(ISNUMBER($I1476),TEXT($I1476,"0"),$I1476))</f>
        <v/>
      </c>
    </row>
    <row r="1477">
      <c r="B1477" s="25" t="n"/>
      <c r="I1477" s="25" t="n"/>
      <c r="U1477" s="19">
        <f>IF(AND($V1477='設定'!$C$4,COUNTIF('商品マスタ'!$B$6:$B$1005,$W1477)=0),N(U1476)+1,N(U1476))</f>
        <v/>
      </c>
      <c r="V1477" s="19">
        <f>IF($B1477="","",TEXT($B1477,"0000"))</f>
        <v/>
      </c>
      <c r="W1477" s="19">
        <f>IF($I1477="","",IF(ISNUMBER($I1477),TEXT($I1477,"0"),$I1477))</f>
        <v/>
      </c>
    </row>
    <row r="1478">
      <c r="B1478" s="25" t="n"/>
      <c r="I1478" s="25" t="n"/>
      <c r="U1478" s="19">
        <f>IF(AND($V1478='設定'!$C$4,COUNTIF('商品マスタ'!$B$6:$B$1005,$W1478)=0),N(U1477)+1,N(U1477))</f>
        <v/>
      </c>
      <c r="V1478" s="19">
        <f>IF($B1478="","",TEXT($B1478,"0000"))</f>
        <v/>
      </c>
      <c r="W1478" s="19">
        <f>IF($I1478="","",IF(ISNUMBER($I1478),TEXT($I1478,"0"),$I1478))</f>
        <v/>
      </c>
    </row>
    <row r="1479">
      <c r="B1479" s="25" t="n"/>
      <c r="I1479" s="25" t="n"/>
      <c r="U1479" s="19">
        <f>IF(AND($V1479='設定'!$C$4,COUNTIF('商品マスタ'!$B$6:$B$1005,$W1479)=0),N(U1478)+1,N(U1478))</f>
        <v/>
      </c>
      <c r="V1479" s="19">
        <f>IF($B1479="","",TEXT($B1479,"0000"))</f>
        <v/>
      </c>
      <c r="W1479" s="19">
        <f>IF($I1479="","",IF(ISNUMBER($I1479),TEXT($I1479,"0"),$I1479))</f>
        <v/>
      </c>
    </row>
    <row r="1480">
      <c r="B1480" s="25" t="n"/>
      <c r="I1480" s="25" t="n"/>
      <c r="U1480" s="19">
        <f>IF(AND($V1480='設定'!$C$4,COUNTIF('商品マスタ'!$B$6:$B$1005,$W1480)=0),N(U1479)+1,N(U1479))</f>
        <v/>
      </c>
      <c r="V1480" s="19">
        <f>IF($B1480="","",TEXT($B1480,"0000"))</f>
        <v/>
      </c>
      <c r="W1480" s="19">
        <f>IF($I1480="","",IF(ISNUMBER($I1480),TEXT($I1480,"0"),$I1480))</f>
        <v/>
      </c>
    </row>
    <row r="1481">
      <c r="B1481" s="25" t="n"/>
      <c r="I1481" s="25" t="n"/>
      <c r="U1481" s="19">
        <f>IF(AND($V1481='設定'!$C$4,COUNTIF('商品マスタ'!$B$6:$B$1005,$W1481)=0),N(U1480)+1,N(U1480))</f>
        <v/>
      </c>
      <c r="V1481" s="19">
        <f>IF($B1481="","",TEXT($B1481,"0000"))</f>
        <v/>
      </c>
      <c r="W1481" s="19">
        <f>IF($I1481="","",IF(ISNUMBER($I1481),TEXT($I1481,"0"),$I1481))</f>
        <v/>
      </c>
    </row>
    <row r="1482">
      <c r="B1482" s="25" t="n"/>
      <c r="I1482" s="25" t="n"/>
      <c r="U1482" s="19">
        <f>IF(AND($V1482='設定'!$C$4,COUNTIF('商品マスタ'!$B$6:$B$1005,$W1482)=0),N(U1481)+1,N(U1481))</f>
        <v/>
      </c>
      <c r="V1482" s="19">
        <f>IF($B1482="","",TEXT($B1482,"0000"))</f>
        <v/>
      </c>
      <c r="W1482" s="19">
        <f>IF($I1482="","",IF(ISNUMBER($I1482),TEXT($I1482,"0"),$I1482))</f>
        <v/>
      </c>
    </row>
    <row r="1483">
      <c r="B1483" s="25" t="n"/>
      <c r="I1483" s="25" t="n"/>
      <c r="U1483" s="19">
        <f>IF(AND($V1483='設定'!$C$4,COUNTIF('商品マスタ'!$B$6:$B$1005,$W1483)=0),N(U1482)+1,N(U1482))</f>
        <v/>
      </c>
      <c r="V1483" s="19">
        <f>IF($B1483="","",TEXT($B1483,"0000"))</f>
        <v/>
      </c>
      <c r="W1483" s="19">
        <f>IF($I1483="","",IF(ISNUMBER($I1483),TEXT($I1483,"0"),$I1483))</f>
        <v/>
      </c>
    </row>
    <row r="1484">
      <c r="B1484" s="25" t="n"/>
      <c r="I1484" s="25" t="n"/>
      <c r="U1484" s="19">
        <f>IF(AND($V1484='設定'!$C$4,COUNTIF('商品マスタ'!$B$6:$B$1005,$W1484)=0),N(U1483)+1,N(U1483))</f>
        <v/>
      </c>
      <c r="V1484" s="19">
        <f>IF($B1484="","",TEXT($B1484,"0000"))</f>
        <v/>
      </c>
      <c r="W1484" s="19">
        <f>IF($I1484="","",IF(ISNUMBER($I1484),TEXT($I1484,"0"),$I1484))</f>
        <v/>
      </c>
    </row>
    <row r="1485">
      <c r="B1485" s="25" t="n"/>
      <c r="I1485" s="25" t="n"/>
      <c r="U1485" s="19">
        <f>IF(AND($V1485='設定'!$C$4,COUNTIF('商品マスタ'!$B$6:$B$1005,$W1485)=0),N(U1484)+1,N(U1484))</f>
        <v/>
      </c>
      <c r="V1485" s="19">
        <f>IF($B1485="","",TEXT($B1485,"0000"))</f>
        <v/>
      </c>
      <c r="W1485" s="19">
        <f>IF($I1485="","",IF(ISNUMBER($I1485),TEXT($I1485,"0"),$I1485))</f>
        <v/>
      </c>
    </row>
    <row r="1486">
      <c r="B1486" s="25" t="n"/>
      <c r="I1486" s="25" t="n"/>
      <c r="U1486" s="19">
        <f>IF(AND($V1486='設定'!$C$4,COUNTIF('商品マスタ'!$B$6:$B$1005,$W1486)=0),N(U1485)+1,N(U1485))</f>
        <v/>
      </c>
      <c r="V1486" s="19">
        <f>IF($B1486="","",TEXT($B1486,"0000"))</f>
        <v/>
      </c>
      <c r="W1486" s="19">
        <f>IF($I1486="","",IF(ISNUMBER($I1486),TEXT($I1486,"0"),$I1486))</f>
        <v/>
      </c>
    </row>
    <row r="1487">
      <c r="B1487" s="25" t="n"/>
      <c r="I1487" s="25" t="n"/>
      <c r="U1487" s="19">
        <f>IF(AND($V1487='設定'!$C$4,COUNTIF('商品マスタ'!$B$6:$B$1005,$W1487)=0),N(U1486)+1,N(U1486))</f>
        <v/>
      </c>
      <c r="V1487" s="19">
        <f>IF($B1487="","",TEXT($B1487,"0000"))</f>
        <v/>
      </c>
      <c r="W1487" s="19">
        <f>IF($I1487="","",IF(ISNUMBER($I1487),TEXT($I1487,"0"),$I1487))</f>
        <v/>
      </c>
    </row>
    <row r="1488">
      <c r="B1488" s="25" t="n"/>
      <c r="I1488" s="25" t="n"/>
      <c r="U1488" s="19">
        <f>IF(AND($V1488='設定'!$C$4,COUNTIF('商品マスタ'!$B$6:$B$1005,$W1488)=0),N(U1487)+1,N(U1487))</f>
        <v/>
      </c>
      <c r="V1488" s="19">
        <f>IF($B1488="","",TEXT($B1488,"0000"))</f>
        <v/>
      </c>
      <c r="W1488" s="19">
        <f>IF($I1488="","",IF(ISNUMBER($I1488),TEXT($I1488,"0"),$I1488))</f>
        <v/>
      </c>
    </row>
    <row r="1489">
      <c r="B1489" s="25" t="n"/>
      <c r="I1489" s="25" t="n"/>
      <c r="U1489" s="19">
        <f>IF(AND($V1489='設定'!$C$4,COUNTIF('商品マスタ'!$B$6:$B$1005,$W1489)=0),N(U1488)+1,N(U1488))</f>
        <v/>
      </c>
      <c r="V1489" s="19">
        <f>IF($B1489="","",TEXT($B1489,"0000"))</f>
        <v/>
      </c>
      <c r="W1489" s="19">
        <f>IF($I1489="","",IF(ISNUMBER($I1489),TEXT($I1489,"0"),$I1489))</f>
        <v/>
      </c>
    </row>
    <row r="1490">
      <c r="B1490" s="25" t="n"/>
      <c r="I1490" s="25" t="n"/>
      <c r="U1490" s="19">
        <f>IF(AND($V1490='設定'!$C$4,COUNTIF('商品マスタ'!$B$6:$B$1005,$W1490)=0),N(U1489)+1,N(U1489))</f>
        <v/>
      </c>
      <c r="V1490" s="19">
        <f>IF($B1490="","",TEXT($B1490,"0000"))</f>
        <v/>
      </c>
      <c r="W1490" s="19">
        <f>IF($I1490="","",IF(ISNUMBER($I1490),TEXT($I1490,"0"),$I1490))</f>
        <v/>
      </c>
    </row>
    <row r="1491">
      <c r="B1491" s="25" t="n"/>
      <c r="I1491" s="25" t="n"/>
      <c r="U1491" s="19">
        <f>IF(AND($V1491='設定'!$C$4,COUNTIF('商品マスタ'!$B$6:$B$1005,$W1491)=0),N(U1490)+1,N(U1490))</f>
        <v/>
      </c>
      <c r="V1491" s="19">
        <f>IF($B1491="","",TEXT($B1491,"0000"))</f>
        <v/>
      </c>
      <c r="W1491" s="19">
        <f>IF($I1491="","",IF(ISNUMBER($I1491),TEXT($I1491,"0"),$I1491))</f>
        <v/>
      </c>
    </row>
    <row r="1492">
      <c r="B1492" s="25" t="n"/>
      <c r="I1492" s="25" t="n"/>
      <c r="U1492" s="19">
        <f>IF(AND($V1492='設定'!$C$4,COUNTIF('商品マスタ'!$B$6:$B$1005,$W1492)=0),N(U1491)+1,N(U1491))</f>
        <v/>
      </c>
      <c r="V1492" s="19">
        <f>IF($B1492="","",TEXT($B1492,"0000"))</f>
        <v/>
      </c>
      <c r="W1492" s="19">
        <f>IF($I1492="","",IF(ISNUMBER($I1492),TEXT($I1492,"0"),$I1492))</f>
        <v/>
      </c>
    </row>
    <row r="1493">
      <c r="B1493" s="25" t="n"/>
      <c r="I1493" s="25" t="n"/>
      <c r="U1493" s="19">
        <f>IF(AND($V1493='設定'!$C$4,COUNTIF('商品マスタ'!$B$6:$B$1005,$W1493)=0),N(U1492)+1,N(U1492))</f>
        <v/>
      </c>
      <c r="V1493" s="19">
        <f>IF($B1493="","",TEXT($B1493,"0000"))</f>
        <v/>
      </c>
      <c r="W1493" s="19">
        <f>IF($I1493="","",IF(ISNUMBER($I1493),TEXT($I1493,"0"),$I1493))</f>
        <v/>
      </c>
    </row>
    <row r="1494">
      <c r="B1494" s="25" t="n"/>
      <c r="I1494" s="25" t="n"/>
      <c r="U1494" s="19">
        <f>IF(AND($V1494='設定'!$C$4,COUNTIF('商品マスタ'!$B$6:$B$1005,$W1494)=0),N(U1493)+1,N(U1493))</f>
        <v/>
      </c>
      <c r="V1494" s="19">
        <f>IF($B1494="","",TEXT($B1494,"0000"))</f>
        <v/>
      </c>
      <c r="W1494" s="19">
        <f>IF($I1494="","",IF(ISNUMBER($I1494),TEXT($I1494,"0"),$I1494))</f>
        <v/>
      </c>
    </row>
    <row r="1495">
      <c r="B1495" s="25" t="n"/>
      <c r="I1495" s="25" t="n"/>
      <c r="U1495" s="19">
        <f>IF(AND($V1495='設定'!$C$4,COUNTIF('商品マスタ'!$B$6:$B$1005,$W1495)=0),N(U1494)+1,N(U1494))</f>
        <v/>
      </c>
      <c r="V1495" s="19">
        <f>IF($B1495="","",TEXT($B1495,"0000"))</f>
        <v/>
      </c>
      <c r="W1495" s="19">
        <f>IF($I1495="","",IF(ISNUMBER($I1495),TEXT($I1495,"0"),$I1495))</f>
        <v/>
      </c>
    </row>
    <row r="1496">
      <c r="B1496" s="25" t="n"/>
      <c r="I1496" s="25" t="n"/>
      <c r="U1496" s="19">
        <f>IF(AND($V1496='設定'!$C$4,COUNTIF('商品マスタ'!$B$6:$B$1005,$W1496)=0),N(U1495)+1,N(U1495))</f>
        <v/>
      </c>
      <c r="V1496" s="19">
        <f>IF($B1496="","",TEXT($B1496,"0000"))</f>
        <v/>
      </c>
      <c r="W1496" s="19">
        <f>IF($I1496="","",IF(ISNUMBER($I1496),TEXT($I1496,"0"),$I1496))</f>
        <v/>
      </c>
    </row>
    <row r="1497">
      <c r="B1497" s="25" t="n"/>
      <c r="I1497" s="25" t="n"/>
      <c r="U1497" s="19">
        <f>IF(AND($V1497='設定'!$C$4,COUNTIF('商品マスタ'!$B$6:$B$1005,$W1497)=0),N(U1496)+1,N(U1496))</f>
        <v/>
      </c>
      <c r="V1497" s="19">
        <f>IF($B1497="","",TEXT($B1497,"0000"))</f>
        <v/>
      </c>
      <c r="W1497" s="19">
        <f>IF($I1497="","",IF(ISNUMBER($I1497),TEXT($I1497,"0"),$I1497))</f>
        <v/>
      </c>
    </row>
    <row r="1498">
      <c r="B1498" s="25" t="n"/>
      <c r="I1498" s="25" t="n"/>
      <c r="U1498" s="19">
        <f>IF(AND($V1498='設定'!$C$4,COUNTIF('商品マスタ'!$B$6:$B$1005,$W1498)=0),N(U1497)+1,N(U1497))</f>
        <v/>
      </c>
      <c r="V1498" s="19">
        <f>IF($B1498="","",TEXT($B1498,"0000"))</f>
        <v/>
      </c>
      <c r="W1498" s="19">
        <f>IF($I1498="","",IF(ISNUMBER($I1498),TEXT($I1498,"0"),$I1498))</f>
        <v/>
      </c>
    </row>
    <row r="1499">
      <c r="B1499" s="25" t="n"/>
      <c r="I1499" s="25" t="n"/>
      <c r="U1499" s="19">
        <f>IF(AND($V1499='設定'!$C$4,COUNTIF('商品マスタ'!$B$6:$B$1005,$W1499)=0),N(U1498)+1,N(U1498))</f>
        <v/>
      </c>
      <c r="V1499" s="19">
        <f>IF($B1499="","",TEXT($B1499,"0000"))</f>
        <v/>
      </c>
      <c r="W1499" s="19">
        <f>IF($I1499="","",IF(ISNUMBER($I1499),TEXT($I1499,"0"),$I1499))</f>
        <v/>
      </c>
    </row>
    <row r="1500">
      <c r="B1500" s="25" t="n"/>
      <c r="I1500" s="25" t="n"/>
      <c r="U1500" s="19">
        <f>IF(AND($V1500='設定'!$C$4,COUNTIF('商品マスタ'!$B$6:$B$1005,$W1500)=0),N(U1499)+1,N(U1499))</f>
        <v/>
      </c>
      <c r="V1500" s="19">
        <f>IF($B1500="","",TEXT($B1500,"0000"))</f>
        <v/>
      </c>
      <c r="W1500" s="19">
        <f>IF($I1500="","",IF(ISNUMBER($I1500),TEXT($I1500,"0"),$I1500))</f>
        <v/>
      </c>
    </row>
    <row r="1501">
      <c r="B1501" s="25" t="n"/>
      <c r="I1501" s="25" t="n"/>
      <c r="U1501" s="19">
        <f>IF(AND($V1501='設定'!$C$4,COUNTIF('商品マスタ'!$B$6:$B$1005,$W1501)=0),N(U1500)+1,N(U1500))</f>
        <v/>
      </c>
      <c r="V1501" s="19">
        <f>IF($B1501="","",TEXT($B1501,"0000"))</f>
        <v/>
      </c>
      <c r="W1501" s="19">
        <f>IF($I1501="","",IF(ISNUMBER($I1501),TEXT($I1501,"0"),$I1501))</f>
        <v/>
      </c>
    </row>
    <row r="1502">
      <c r="B1502" s="25" t="n"/>
      <c r="I1502" s="25" t="n"/>
      <c r="U1502" s="19">
        <f>IF(AND($V1502='設定'!$C$4,COUNTIF('商品マスタ'!$B$6:$B$1005,$W1502)=0),N(U1501)+1,N(U1501))</f>
        <v/>
      </c>
      <c r="V1502" s="19">
        <f>IF($B1502="","",TEXT($B1502,"0000"))</f>
        <v/>
      </c>
      <c r="W1502" s="19">
        <f>IF($I1502="","",IF(ISNUMBER($I1502),TEXT($I1502,"0"),$I1502))</f>
        <v/>
      </c>
    </row>
    <row r="1503">
      <c r="B1503" s="25" t="n"/>
      <c r="I1503" s="25" t="n"/>
      <c r="U1503" s="19">
        <f>IF(AND($V1503='設定'!$C$4,COUNTIF('商品マスタ'!$B$6:$B$1005,$W1503)=0),N(U1502)+1,N(U1502))</f>
        <v/>
      </c>
      <c r="V1503" s="19">
        <f>IF($B1503="","",TEXT($B1503,"0000"))</f>
        <v/>
      </c>
      <c r="W1503" s="19">
        <f>IF($I1503="","",IF(ISNUMBER($I1503),TEXT($I1503,"0"),$I1503))</f>
        <v/>
      </c>
    </row>
    <row r="1504">
      <c r="B1504" s="25" t="n"/>
      <c r="I1504" s="25" t="n"/>
      <c r="U1504" s="19">
        <f>IF(AND($V1504='設定'!$C$4,COUNTIF('商品マスタ'!$B$6:$B$1005,$W1504)=0),N(U1503)+1,N(U1503))</f>
        <v/>
      </c>
      <c r="V1504" s="19">
        <f>IF($B1504="","",TEXT($B1504,"0000"))</f>
        <v/>
      </c>
      <c r="W1504" s="19">
        <f>IF($I1504="","",IF(ISNUMBER($I1504),TEXT($I1504,"0"),$I1504))</f>
        <v/>
      </c>
    </row>
    <row r="1505">
      <c r="B1505" s="25" t="n"/>
      <c r="I1505" s="25" t="n"/>
      <c r="U1505" s="19">
        <f>IF(AND($V1505='設定'!$C$4,COUNTIF('商品マスタ'!$B$6:$B$1005,$W1505)=0),N(U1504)+1,N(U1504))</f>
        <v/>
      </c>
      <c r="V1505" s="19">
        <f>IF($B1505="","",TEXT($B1505,"0000"))</f>
        <v/>
      </c>
      <c r="W1505" s="19">
        <f>IF($I1505="","",IF(ISNUMBER($I1505),TEXT($I1505,"0"),$I1505))</f>
        <v/>
      </c>
    </row>
    <row r="1506">
      <c r="B1506" s="25" t="n"/>
      <c r="I1506" s="25" t="n"/>
      <c r="U1506" s="19">
        <f>IF(AND($V1506='設定'!$C$4,COUNTIF('商品マスタ'!$B$6:$B$1005,$W1506)=0),N(U1505)+1,N(U1505))</f>
        <v/>
      </c>
      <c r="V1506" s="19">
        <f>IF($B1506="","",TEXT($B1506,"0000"))</f>
        <v/>
      </c>
      <c r="W1506" s="19">
        <f>IF($I1506="","",IF(ISNUMBER($I1506),TEXT($I1506,"0"),$I1506))</f>
        <v/>
      </c>
    </row>
    <row r="1507">
      <c r="B1507" s="25" t="n"/>
      <c r="I1507" s="25" t="n"/>
      <c r="U1507" s="19">
        <f>IF(AND($V1507='設定'!$C$4,COUNTIF('商品マスタ'!$B$6:$B$1005,$W1507)=0),N(U1506)+1,N(U1506))</f>
        <v/>
      </c>
      <c r="V1507" s="19">
        <f>IF($B1507="","",TEXT($B1507,"0000"))</f>
        <v/>
      </c>
      <c r="W1507" s="19">
        <f>IF($I1507="","",IF(ISNUMBER($I1507),TEXT($I1507,"0"),$I1507))</f>
        <v/>
      </c>
    </row>
    <row r="1508">
      <c r="B1508" s="25" t="n"/>
      <c r="I1508" s="25" t="n"/>
      <c r="U1508" s="19">
        <f>IF(AND($V1508='設定'!$C$4,COUNTIF('商品マスタ'!$B$6:$B$1005,$W1508)=0),N(U1507)+1,N(U1507))</f>
        <v/>
      </c>
      <c r="V1508" s="19">
        <f>IF($B1508="","",TEXT($B1508,"0000"))</f>
        <v/>
      </c>
      <c r="W1508" s="19">
        <f>IF($I1508="","",IF(ISNUMBER($I1508),TEXT($I1508,"0"),$I1508))</f>
        <v/>
      </c>
    </row>
    <row r="1509">
      <c r="B1509" s="25" t="n"/>
      <c r="I1509" s="25" t="n"/>
      <c r="U1509" s="19">
        <f>IF(AND($V1509='設定'!$C$4,COUNTIF('商品マスタ'!$B$6:$B$1005,$W1509)=0),N(U1508)+1,N(U1508))</f>
        <v/>
      </c>
      <c r="V1509" s="19">
        <f>IF($B1509="","",TEXT($B1509,"0000"))</f>
        <v/>
      </c>
      <c r="W1509" s="19">
        <f>IF($I1509="","",IF(ISNUMBER($I1509),TEXT($I1509,"0"),$I1509))</f>
        <v/>
      </c>
    </row>
    <row r="1510">
      <c r="B1510" s="25" t="n"/>
      <c r="I1510" s="25" t="n"/>
      <c r="U1510" s="19">
        <f>IF(AND($V1510='設定'!$C$4,COUNTIF('商品マスタ'!$B$6:$B$1005,$W1510)=0),N(U1509)+1,N(U1509))</f>
        <v/>
      </c>
      <c r="V1510" s="19">
        <f>IF($B1510="","",TEXT($B1510,"0000"))</f>
        <v/>
      </c>
      <c r="W1510" s="19">
        <f>IF($I1510="","",IF(ISNUMBER($I1510),TEXT($I1510,"0"),$I1510))</f>
        <v/>
      </c>
    </row>
    <row r="1511">
      <c r="B1511" s="25" t="n"/>
      <c r="I1511" s="25" t="n"/>
      <c r="U1511" s="19">
        <f>IF(AND($V1511='設定'!$C$4,COUNTIF('商品マスタ'!$B$6:$B$1005,$W1511)=0),N(U1510)+1,N(U1510))</f>
        <v/>
      </c>
      <c r="V1511" s="19">
        <f>IF($B1511="","",TEXT($B1511,"0000"))</f>
        <v/>
      </c>
      <c r="W1511" s="19">
        <f>IF($I1511="","",IF(ISNUMBER($I1511),TEXT($I1511,"0"),$I1511))</f>
        <v/>
      </c>
    </row>
    <row r="1512">
      <c r="B1512" s="25" t="n"/>
      <c r="I1512" s="25" t="n"/>
      <c r="U1512" s="19">
        <f>IF(AND($V1512='設定'!$C$4,COUNTIF('商品マスタ'!$B$6:$B$1005,$W1512)=0),N(U1511)+1,N(U1511))</f>
        <v/>
      </c>
      <c r="V1512" s="19">
        <f>IF($B1512="","",TEXT($B1512,"0000"))</f>
        <v/>
      </c>
      <c r="W1512" s="19">
        <f>IF($I1512="","",IF(ISNUMBER($I1512),TEXT($I1512,"0"),$I1512))</f>
        <v/>
      </c>
    </row>
    <row r="1513">
      <c r="B1513" s="25" t="n"/>
      <c r="I1513" s="25" t="n"/>
      <c r="U1513" s="19">
        <f>IF(AND($V1513='設定'!$C$4,COUNTIF('商品マスタ'!$B$6:$B$1005,$W1513)=0),N(U1512)+1,N(U1512))</f>
        <v/>
      </c>
      <c r="V1513" s="19">
        <f>IF($B1513="","",TEXT($B1513,"0000"))</f>
        <v/>
      </c>
      <c r="W1513" s="19">
        <f>IF($I1513="","",IF(ISNUMBER($I1513),TEXT($I1513,"0"),$I1513))</f>
        <v/>
      </c>
    </row>
    <row r="1514">
      <c r="B1514" s="25" t="n"/>
      <c r="I1514" s="25" t="n"/>
      <c r="U1514" s="19">
        <f>IF(AND($V1514='設定'!$C$4,COUNTIF('商品マスタ'!$B$6:$B$1005,$W1514)=0),N(U1513)+1,N(U1513))</f>
        <v/>
      </c>
      <c r="V1514" s="19">
        <f>IF($B1514="","",TEXT($B1514,"0000"))</f>
        <v/>
      </c>
      <c r="W1514" s="19">
        <f>IF($I1514="","",IF(ISNUMBER($I1514),TEXT($I1514,"0"),$I1514))</f>
        <v/>
      </c>
    </row>
    <row r="1515">
      <c r="B1515" s="25" t="n"/>
      <c r="I1515" s="25" t="n"/>
      <c r="U1515" s="19">
        <f>IF(AND($V1515='設定'!$C$4,COUNTIF('商品マスタ'!$B$6:$B$1005,$W1515)=0),N(U1514)+1,N(U1514))</f>
        <v/>
      </c>
      <c r="V1515" s="19">
        <f>IF($B1515="","",TEXT($B1515,"0000"))</f>
        <v/>
      </c>
      <c r="W1515" s="19">
        <f>IF($I1515="","",IF(ISNUMBER($I1515),TEXT($I1515,"0"),$I1515))</f>
        <v/>
      </c>
    </row>
    <row r="1516">
      <c r="B1516" s="25" t="n"/>
      <c r="I1516" s="25" t="n"/>
      <c r="U1516" s="19">
        <f>IF(AND($V1516='設定'!$C$4,COUNTIF('商品マスタ'!$B$6:$B$1005,$W1516)=0),N(U1515)+1,N(U1515))</f>
        <v/>
      </c>
      <c r="V1516" s="19">
        <f>IF($B1516="","",TEXT($B1516,"0000"))</f>
        <v/>
      </c>
      <c r="W1516" s="19">
        <f>IF($I1516="","",IF(ISNUMBER($I1516),TEXT($I1516,"0"),$I1516))</f>
        <v/>
      </c>
    </row>
    <row r="1517">
      <c r="B1517" s="25" t="n"/>
      <c r="I1517" s="25" t="n"/>
      <c r="U1517" s="19">
        <f>IF(AND($V1517='設定'!$C$4,COUNTIF('商品マスタ'!$B$6:$B$1005,$W1517)=0),N(U1516)+1,N(U1516))</f>
        <v/>
      </c>
      <c r="V1517" s="19">
        <f>IF($B1517="","",TEXT($B1517,"0000"))</f>
        <v/>
      </c>
      <c r="W1517" s="19">
        <f>IF($I1517="","",IF(ISNUMBER($I1517),TEXT($I1517,"0"),$I1517))</f>
        <v/>
      </c>
    </row>
    <row r="1518">
      <c r="B1518" s="25" t="n"/>
      <c r="I1518" s="25" t="n"/>
      <c r="U1518" s="19">
        <f>IF(AND($V1518='設定'!$C$4,COUNTIF('商品マスタ'!$B$6:$B$1005,$W1518)=0),N(U1517)+1,N(U1517))</f>
        <v/>
      </c>
      <c r="V1518" s="19">
        <f>IF($B1518="","",TEXT($B1518,"0000"))</f>
        <v/>
      </c>
      <c r="W1518" s="19">
        <f>IF($I1518="","",IF(ISNUMBER($I1518),TEXT($I1518,"0"),$I1518))</f>
        <v/>
      </c>
    </row>
    <row r="1519">
      <c r="B1519" s="25" t="n"/>
      <c r="I1519" s="25" t="n"/>
      <c r="U1519" s="19">
        <f>IF(AND($V1519='設定'!$C$4,COUNTIF('商品マスタ'!$B$6:$B$1005,$W1519)=0),N(U1518)+1,N(U1518))</f>
        <v/>
      </c>
      <c r="V1519" s="19">
        <f>IF($B1519="","",TEXT($B1519,"0000"))</f>
        <v/>
      </c>
      <c r="W1519" s="19">
        <f>IF($I1519="","",IF(ISNUMBER($I1519),TEXT($I1519,"0"),$I1519))</f>
        <v/>
      </c>
    </row>
    <row r="1520">
      <c r="B1520" s="25" t="n"/>
      <c r="I1520" s="25" t="n"/>
      <c r="U1520" s="19">
        <f>IF(AND($V1520='設定'!$C$4,COUNTIF('商品マスタ'!$B$6:$B$1005,$W1520)=0),N(U1519)+1,N(U1519))</f>
        <v/>
      </c>
      <c r="V1520" s="19">
        <f>IF($B1520="","",TEXT($B1520,"0000"))</f>
        <v/>
      </c>
      <c r="W1520" s="19">
        <f>IF($I1520="","",IF(ISNUMBER($I1520),TEXT($I1520,"0"),$I1520))</f>
        <v/>
      </c>
    </row>
    <row r="1521">
      <c r="B1521" s="25" t="n"/>
      <c r="I1521" s="25" t="n"/>
      <c r="U1521" s="19">
        <f>IF(AND($V1521='設定'!$C$4,COUNTIF('商品マスタ'!$B$6:$B$1005,$W1521)=0),N(U1520)+1,N(U1520))</f>
        <v/>
      </c>
      <c r="V1521" s="19">
        <f>IF($B1521="","",TEXT($B1521,"0000"))</f>
        <v/>
      </c>
      <c r="W1521" s="19">
        <f>IF($I1521="","",IF(ISNUMBER($I1521),TEXT($I1521,"0"),$I1521))</f>
        <v/>
      </c>
    </row>
    <row r="1522">
      <c r="B1522" s="25" t="n"/>
      <c r="I1522" s="25" t="n"/>
      <c r="U1522" s="19">
        <f>IF(AND($V1522='設定'!$C$4,COUNTIF('商品マスタ'!$B$6:$B$1005,$W1522)=0),N(U1521)+1,N(U1521))</f>
        <v/>
      </c>
      <c r="V1522" s="19">
        <f>IF($B1522="","",TEXT($B1522,"0000"))</f>
        <v/>
      </c>
      <c r="W1522" s="19">
        <f>IF($I1522="","",IF(ISNUMBER($I1522),TEXT($I1522,"0"),$I1522))</f>
        <v/>
      </c>
    </row>
    <row r="1523">
      <c r="B1523" s="25" t="n"/>
      <c r="I1523" s="25" t="n"/>
      <c r="U1523" s="19">
        <f>IF(AND($V1523='設定'!$C$4,COUNTIF('商品マスタ'!$B$6:$B$1005,$W1523)=0),N(U1522)+1,N(U1522))</f>
        <v/>
      </c>
      <c r="V1523" s="19">
        <f>IF($B1523="","",TEXT($B1523,"0000"))</f>
        <v/>
      </c>
      <c r="W1523" s="19">
        <f>IF($I1523="","",IF(ISNUMBER($I1523),TEXT($I1523,"0"),$I1523))</f>
        <v/>
      </c>
    </row>
    <row r="1524">
      <c r="B1524" s="25" t="n"/>
      <c r="I1524" s="25" t="n"/>
      <c r="U1524" s="19">
        <f>IF(AND($V1524='設定'!$C$4,COUNTIF('商品マスタ'!$B$6:$B$1005,$W1524)=0),N(U1523)+1,N(U1523))</f>
        <v/>
      </c>
      <c r="V1524" s="19">
        <f>IF($B1524="","",TEXT($B1524,"0000"))</f>
        <v/>
      </c>
      <c r="W1524" s="19">
        <f>IF($I1524="","",IF(ISNUMBER($I1524),TEXT($I1524,"0"),$I1524))</f>
        <v/>
      </c>
    </row>
    <row r="1525">
      <c r="B1525" s="25" t="n"/>
      <c r="I1525" s="25" t="n"/>
      <c r="U1525" s="19">
        <f>IF(AND($V1525='設定'!$C$4,COUNTIF('商品マスタ'!$B$6:$B$1005,$W1525)=0),N(U1524)+1,N(U1524))</f>
        <v/>
      </c>
      <c r="V1525" s="19">
        <f>IF($B1525="","",TEXT($B1525,"0000"))</f>
        <v/>
      </c>
      <c r="W1525" s="19">
        <f>IF($I1525="","",IF(ISNUMBER($I1525),TEXT($I1525,"0"),$I1525))</f>
        <v/>
      </c>
    </row>
    <row r="1526">
      <c r="B1526" s="25" t="n"/>
      <c r="I1526" s="25" t="n"/>
      <c r="U1526" s="19">
        <f>IF(AND($V1526='設定'!$C$4,COUNTIF('商品マスタ'!$B$6:$B$1005,$W1526)=0),N(U1525)+1,N(U1525))</f>
        <v/>
      </c>
      <c r="V1526" s="19">
        <f>IF($B1526="","",TEXT($B1526,"0000"))</f>
        <v/>
      </c>
      <c r="W1526" s="19">
        <f>IF($I1526="","",IF(ISNUMBER($I1526),TEXT($I1526,"0"),$I1526))</f>
        <v/>
      </c>
    </row>
    <row r="1527">
      <c r="B1527" s="25" t="n"/>
      <c r="I1527" s="25" t="n"/>
      <c r="U1527" s="19">
        <f>IF(AND($V1527='設定'!$C$4,COUNTIF('商品マスタ'!$B$6:$B$1005,$W1527)=0),N(U1526)+1,N(U1526))</f>
        <v/>
      </c>
      <c r="V1527" s="19">
        <f>IF($B1527="","",TEXT($B1527,"0000"))</f>
        <v/>
      </c>
      <c r="W1527" s="19">
        <f>IF($I1527="","",IF(ISNUMBER($I1527),TEXT($I1527,"0"),$I1527))</f>
        <v/>
      </c>
    </row>
    <row r="1528">
      <c r="B1528" s="25" t="n"/>
      <c r="I1528" s="25" t="n"/>
      <c r="U1528" s="19">
        <f>IF(AND($V1528='設定'!$C$4,COUNTIF('商品マスタ'!$B$6:$B$1005,$W1528)=0),N(U1527)+1,N(U1527))</f>
        <v/>
      </c>
      <c r="V1528" s="19">
        <f>IF($B1528="","",TEXT($B1528,"0000"))</f>
        <v/>
      </c>
      <c r="W1528" s="19">
        <f>IF($I1528="","",IF(ISNUMBER($I1528),TEXT($I1528,"0"),$I1528))</f>
        <v/>
      </c>
    </row>
    <row r="1529">
      <c r="B1529" s="25" t="n"/>
      <c r="I1529" s="25" t="n"/>
      <c r="U1529" s="19">
        <f>IF(AND($V1529='設定'!$C$4,COUNTIF('商品マスタ'!$B$6:$B$1005,$W1529)=0),N(U1528)+1,N(U1528))</f>
        <v/>
      </c>
      <c r="V1529" s="19">
        <f>IF($B1529="","",TEXT($B1529,"0000"))</f>
        <v/>
      </c>
      <c r="W1529" s="19">
        <f>IF($I1529="","",IF(ISNUMBER($I1529),TEXT($I1529,"0"),$I1529))</f>
        <v/>
      </c>
    </row>
    <row r="1530">
      <c r="B1530" s="25" t="n"/>
      <c r="I1530" s="25" t="n"/>
      <c r="U1530" s="19">
        <f>IF(AND($V1530='設定'!$C$4,COUNTIF('商品マスタ'!$B$6:$B$1005,$W1530)=0),N(U1529)+1,N(U1529))</f>
        <v/>
      </c>
      <c r="V1530" s="19">
        <f>IF($B1530="","",TEXT($B1530,"0000"))</f>
        <v/>
      </c>
      <c r="W1530" s="19">
        <f>IF($I1530="","",IF(ISNUMBER($I1530),TEXT($I1530,"0"),$I1530))</f>
        <v/>
      </c>
    </row>
    <row r="1531">
      <c r="B1531" s="25" t="n"/>
      <c r="I1531" s="25" t="n"/>
      <c r="U1531" s="19">
        <f>IF(AND($V1531='設定'!$C$4,COUNTIF('商品マスタ'!$B$6:$B$1005,$W1531)=0),N(U1530)+1,N(U1530))</f>
        <v/>
      </c>
      <c r="V1531" s="19">
        <f>IF($B1531="","",TEXT($B1531,"0000"))</f>
        <v/>
      </c>
      <c r="W1531" s="19">
        <f>IF($I1531="","",IF(ISNUMBER($I1531),TEXT($I1531,"0"),$I1531))</f>
        <v/>
      </c>
    </row>
    <row r="1532">
      <c r="B1532" s="25" t="n"/>
      <c r="I1532" s="25" t="n"/>
      <c r="U1532" s="19">
        <f>IF(AND($V1532='設定'!$C$4,COUNTIF('商品マスタ'!$B$6:$B$1005,$W1532)=0),N(U1531)+1,N(U1531))</f>
        <v/>
      </c>
      <c r="V1532" s="19">
        <f>IF($B1532="","",TEXT($B1532,"0000"))</f>
        <v/>
      </c>
      <c r="W1532" s="19">
        <f>IF($I1532="","",IF(ISNUMBER($I1532),TEXT($I1532,"0"),$I1532))</f>
        <v/>
      </c>
    </row>
    <row r="1533">
      <c r="B1533" s="25" t="n"/>
      <c r="I1533" s="25" t="n"/>
      <c r="U1533" s="19">
        <f>IF(AND($V1533='設定'!$C$4,COUNTIF('商品マスタ'!$B$6:$B$1005,$W1533)=0),N(U1532)+1,N(U1532))</f>
        <v/>
      </c>
      <c r="V1533" s="19">
        <f>IF($B1533="","",TEXT($B1533,"0000"))</f>
        <v/>
      </c>
      <c r="W1533" s="19">
        <f>IF($I1533="","",IF(ISNUMBER($I1533),TEXT($I1533,"0"),$I1533))</f>
        <v/>
      </c>
    </row>
    <row r="1534">
      <c r="B1534" s="25" t="n"/>
      <c r="I1534" s="25" t="n"/>
      <c r="U1534" s="19">
        <f>IF(AND($V1534='設定'!$C$4,COUNTIF('商品マスタ'!$B$6:$B$1005,$W1534)=0),N(U1533)+1,N(U1533))</f>
        <v/>
      </c>
      <c r="V1534" s="19">
        <f>IF($B1534="","",TEXT($B1534,"0000"))</f>
        <v/>
      </c>
      <c r="W1534" s="19">
        <f>IF($I1534="","",IF(ISNUMBER($I1534),TEXT($I1534,"0"),$I1534))</f>
        <v/>
      </c>
    </row>
    <row r="1535">
      <c r="B1535" s="25" t="n"/>
      <c r="I1535" s="25" t="n"/>
      <c r="U1535" s="19">
        <f>IF(AND($V1535='設定'!$C$4,COUNTIF('商品マスタ'!$B$6:$B$1005,$W1535)=0),N(U1534)+1,N(U1534))</f>
        <v/>
      </c>
      <c r="V1535" s="19">
        <f>IF($B1535="","",TEXT($B1535,"0000"))</f>
        <v/>
      </c>
      <c r="W1535" s="19">
        <f>IF($I1535="","",IF(ISNUMBER($I1535),TEXT($I1535,"0"),$I1535))</f>
        <v/>
      </c>
    </row>
    <row r="1536">
      <c r="B1536" s="25" t="n"/>
      <c r="I1536" s="25" t="n"/>
      <c r="U1536" s="19">
        <f>IF(AND($V1536='設定'!$C$4,COUNTIF('商品マスタ'!$B$6:$B$1005,$W1536)=0),N(U1535)+1,N(U1535))</f>
        <v/>
      </c>
      <c r="V1536" s="19">
        <f>IF($B1536="","",TEXT($B1536,"0000"))</f>
        <v/>
      </c>
      <c r="W1536" s="19">
        <f>IF($I1536="","",IF(ISNUMBER($I1536),TEXT($I1536,"0"),$I1536))</f>
        <v/>
      </c>
    </row>
    <row r="1537">
      <c r="B1537" s="25" t="n"/>
      <c r="I1537" s="25" t="n"/>
      <c r="U1537" s="19">
        <f>IF(AND($V1537='設定'!$C$4,COUNTIF('商品マスタ'!$B$6:$B$1005,$W1537)=0),N(U1536)+1,N(U1536))</f>
        <v/>
      </c>
      <c r="V1537" s="19">
        <f>IF($B1537="","",TEXT($B1537,"0000"))</f>
        <v/>
      </c>
      <c r="W1537" s="19">
        <f>IF($I1537="","",IF(ISNUMBER($I1537),TEXT($I1537,"0"),$I1537))</f>
        <v/>
      </c>
    </row>
    <row r="1538">
      <c r="B1538" s="25" t="n"/>
      <c r="I1538" s="25" t="n"/>
      <c r="U1538" s="19">
        <f>IF(AND($V1538='設定'!$C$4,COUNTIF('商品マスタ'!$B$6:$B$1005,$W1538)=0),N(U1537)+1,N(U1537))</f>
        <v/>
      </c>
      <c r="V1538" s="19">
        <f>IF($B1538="","",TEXT($B1538,"0000"))</f>
        <v/>
      </c>
      <c r="W1538" s="19">
        <f>IF($I1538="","",IF(ISNUMBER($I1538),TEXT($I1538,"0"),$I1538))</f>
        <v/>
      </c>
    </row>
    <row r="1539">
      <c r="B1539" s="25" t="n"/>
      <c r="I1539" s="25" t="n"/>
      <c r="U1539" s="19">
        <f>IF(AND($V1539='設定'!$C$4,COUNTIF('商品マスタ'!$B$6:$B$1005,$W1539)=0),N(U1538)+1,N(U1538))</f>
        <v/>
      </c>
      <c r="V1539" s="19">
        <f>IF($B1539="","",TEXT($B1539,"0000"))</f>
        <v/>
      </c>
      <c r="W1539" s="19">
        <f>IF($I1539="","",IF(ISNUMBER($I1539),TEXT($I1539,"0"),$I1539))</f>
        <v/>
      </c>
    </row>
    <row r="1540">
      <c r="B1540" s="25" t="n"/>
      <c r="I1540" s="25" t="n"/>
      <c r="U1540" s="19">
        <f>IF(AND($V1540='設定'!$C$4,COUNTIF('商品マスタ'!$B$6:$B$1005,$W1540)=0),N(U1539)+1,N(U1539))</f>
        <v/>
      </c>
      <c r="V1540" s="19">
        <f>IF($B1540="","",TEXT($B1540,"0000"))</f>
        <v/>
      </c>
      <c r="W1540" s="19">
        <f>IF($I1540="","",IF(ISNUMBER($I1540),TEXT($I1540,"0"),$I1540))</f>
        <v/>
      </c>
    </row>
    <row r="1541">
      <c r="B1541" s="25" t="n"/>
      <c r="I1541" s="25" t="n"/>
      <c r="U1541" s="19">
        <f>IF(AND($V1541='設定'!$C$4,COUNTIF('商品マスタ'!$B$6:$B$1005,$W1541)=0),N(U1540)+1,N(U1540))</f>
        <v/>
      </c>
      <c r="V1541" s="19">
        <f>IF($B1541="","",TEXT($B1541,"0000"))</f>
        <v/>
      </c>
      <c r="W1541" s="19">
        <f>IF($I1541="","",IF(ISNUMBER($I1541),TEXT($I1541,"0"),$I1541))</f>
        <v/>
      </c>
    </row>
    <row r="1542">
      <c r="B1542" s="25" t="n"/>
      <c r="I1542" s="25" t="n"/>
      <c r="U1542" s="19">
        <f>IF(AND($V1542='設定'!$C$4,COUNTIF('商品マスタ'!$B$6:$B$1005,$W1542)=0),N(U1541)+1,N(U1541))</f>
        <v/>
      </c>
      <c r="V1542" s="19">
        <f>IF($B1542="","",TEXT($B1542,"0000"))</f>
        <v/>
      </c>
      <c r="W1542" s="19">
        <f>IF($I1542="","",IF(ISNUMBER($I1542),TEXT($I1542,"0"),$I1542))</f>
        <v/>
      </c>
    </row>
    <row r="1543">
      <c r="B1543" s="25" t="n"/>
      <c r="I1543" s="25" t="n"/>
      <c r="U1543" s="19">
        <f>IF(AND($V1543='設定'!$C$4,COUNTIF('商品マスタ'!$B$6:$B$1005,$W1543)=0),N(U1542)+1,N(U1542))</f>
        <v/>
      </c>
      <c r="V1543" s="19">
        <f>IF($B1543="","",TEXT($B1543,"0000"))</f>
        <v/>
      </c>
      <c r="W1543" s="19">
        <f>IF($I1543="","",IF(ISNUMBER($I1543),TEXT($I1543,"0"),$I1543))</f>
        <v/>
      </c>
    </row>
    <row r="1544">
      <c r="B1544" s="25" t="n"/>
      <c r="I1544" s="25" t="n"/>
      <c r="U1544" s="19">
        <f>IF(AND($V1544='設定'!$C$4,COUNTIF('商品マスタ'!$B$6:$B$1005,$W1544)=0),N(U1543)+1,N(U1543))</f>
        <v/>
      </c>
      <c r="V1544" s="19">
        <f>IF($B1544="","",TEXT($B1544,"0000"))</f>
        <v/>
      </c>
      <c r="W1544" s="19">
        <f>IF($I1544="","",IF(ISNUMBER($I1544),TEXT($I1544,"0"),$I1544))</f>
        <v/>
      </c>
    </row>
    <row r="1545">
      <c r="B1545" s="25" t="n"/>
      <c r="I1545" s="25" t="n"/>
      <c r="U1545" s="19">
        <f>IF(AND($V1545='設定'!$C$4,COUNTIF('商品マスタ'!$B$6:$B$1005,$W1545)=0),N(U1544)+1,N(U1544))</f>
        <v/>
      </c>
      <c r="V1545" s="19">
        <f>IF($B1545="","",TEXT($B1545,"0000"))</f>
        <v/>
      </c>
      <c r="W1545" s="19">
        <f>IF($I1545="","",IF(ISNUMBER($I1545),TEXT($I1545,"0"),$I1545))</f>
        <v/>
      </c>
    </row>
    <row r="1546">
      <c r="B1546" s="25" t="n"/>
      <c r="I1546" s="25" t="n"/>
      <c r="U1546" s="19">
        <f>IF(AND($V1546='設定'!$C$4,COUNTIF('商品マスタ'!$B$6:$B$1005,$W1546)=0),N(U1545)+1,N(U1545))</f>
        <v/>
      </c>
      <c r="V1546" s="19">
        <f>IF($B1546="","",TEXT($B1546,"0000"))</f>
        <v/>
      </c>
      <c r="W1546" s="19">
        <f>IF($I1546="","",IF(ISNUMBER($I1546),TEXT($I1546,"0"),$I1546))</f>
        <v/>
      </c>
    </row>
    <row r="1547">
      <c r="B1547" s="25" t="n"/>
      <c r="I1547" s="25" t="n"/>
      <c r="U1547" s="19">
        <f>IF(AND($V1547='設定'!$C$4,COUNTIF('商品マスタ'!$B$6:$B$1005,$W1547)=0),N(U1546)+1,N(U1546))</f>
        <v/>
      </c>
      <c r="V1547" s="19">
        <f>IF($B1547="","",TEXT($B1547,"0000"))</f>
        <v/>
      </c>
      <c r="W1547" s="19">
        <f>IF($I1547="","",IF(ISNUMBER($I1547),TEXT($I1547,"0"),$I1547))</f>
        <v/>
      </c>
    </row>
    <row r="1548">
      <c r="B1548" s="25" t="n"/>
      <c r="I1548" s="25" t="n"/>
      <c r="U1548" s="19">
        <f>IF(AND($V1548='設定'!$C$4,COUNTIF('商品マスタ'!$B$6:$B$1005,$W1548)=0),N(U1547)+1,N(U1547))</f>
        <v/>
      </c>
      <c r="V1548" s="19">
        <f>IF($B1548="","",TEXT($B1548,"0000"))</f>
        <v/>
      </c>
      <c r="W1548" s="19">
        <f>IF($I1548="","",IF(ISNUMBER($I1548),TEXT($I1548,"0"),$I1548))</f>
        <v/>
      </c>
    </row>
    <row r="1549">
      <c r="B1549" s="25" t="n"/>
      <c r="I1549" s="25" t="n"/>
      <c r="U1549" s="19">
        <f>IF(AND($V1549='設定'!$C$4,COUNTIF('商品マスタ'!$B$6:$B$1005,$W1549)=0),N(U1548)+1,N(U1548))</f>
        <v/>
      </c>
      <c r="V1549" s="19">
        <f>IF($B1549="","",TEXT($B1549,"0000"))</f>
        <v/>
      </c>
      <c r="W1549" s="19">
        <f>IF($I1549="","",IF(ISNUMBER($I1549),TEXT($I1549,"0"),$I1549))</f>
        <v/>
      </c>
    </row>
    <row r="1550">
      <c r="B1550" s="25" t="n"/>
      <c r="I1550" s="25" t="n"/>
      <c r="U1550" s="19">
        <f>IF(AND($V1550='設定'!$C$4,COUNTIF('商品マスタ'!$B$6:$B$1005,$W1550)=0),N(U1549)+1,N(U1549))</f>
        <v/>
      </c>
      <c r="V1550" s="19">
        <f>IF($B1550="","",TEXT($B1550,"0000"))</f>
        <v/>
      </c>
      <c r="W1550" s="19">
        <f>IF($I1550="","",IF(ISNUMBER($I1550),TEXT($I1550,"0"),$I1550))</f>
        <v/>
      </c>
    </row>
    <row r="1551">
      <c r="B1551" s="25" t="n"/>
      <c r="I1551" s="25" t="n"/>
      <c r="U1551" s="19">
        <f>IF(AND($V1551='設定'!$C$4,COUNTIF('商品マスタ'!$B$6:$B$1005,$W1551)=0),N(U1550)+1,N(U1550))</f>
        <v/>
      </c>
      <c r="V1551" s="19">
        <f>IF($B1551="","",TEXT($B1551,"0000"))</f>
        <v/>
      </c>
      <c r="W1551" s="19">
        <f>IF($I1551="","",IF(ISNUMBER($I1551),TEXT($I1551,"0"),$I1551))</f>
        <v/>
      </c>
    </row>
    <row r="1552">
      <c r="B1552" s="25" t="n"/>
      <c r="I1552" s="25" t="n"/>
      <c r="U1552" s="19">
        <f>IF(AND($V1552='設定'!$C$4,COUNTIF('商品マスタ'!$B$6:$B$1005,$W1552)=0),N(U1551)+1,N(U1551))</f>
        <v/>
      </c>
      <c r="V1552" s="19">
        <f>IF($B1552="","",TEXT($B1552,"0000"))</f>
        <v/>
      </c>
      <c r="W1552" s="19">
        <f>IF($I1552="","",IF(ISNUMBER($I1552),TEXT($I1552,"0"),$I1552))</f>
        <v/>
      </c>
    </row>
    <row r="1553">
      <c r="B1553" s="25" t="n"/>
      <c r="I1553" s="25" t="n"/>
      <c r="U1553" s="19">
        <f>IF(AND($V1553='設定'!$C$4,COUNTIF('商品マスタ'!$B$6:$B$1005,$W1553)=0),N(U1552)+1,N(U1552))</f>
        <v/>
      </c>
      <c r="V1553" s="19">
        <f>IF($B1553="","",TEXT($B1553,"0000"))</f>
        <v/>
      </c>
      <c r="W1553" s="19">
        <f>IF($I1553="","",IF(ISNUMBER($I1553),TEXT($I1553,"0"),$I1553))</f>
        <v/>
      </c>
    </row>
    <row r="1554">
      <c r="B1554" s="25" t="n"/>
      <c r="I1554" s="25" t="n"/>
      <c r="U1554" s="19">
        <f>IF(AND($V1554='設定'!$C$4,COUNTIF('商品マスタ'!$B$6:$B$1005,$W1554)=0),N(U1553)+1,N(U1553))</f>
        <v/>
      </c>
      <c r="V1554" s="19">
        <f>IF($B1554="","",TEXT($B1554,"0000"))</f>
        <v/>
      </c>
      <c r="W1554" s="19">
        <f>IF($I1554="","",IF(ISNUMBER($I1554),TEXT($I1554,"0"),$I1554))</f>
        <v/>
      </c>
    </row>
    <row r="1555">
      <c r="B1555" s="25" t="n"/>
      <c r="I1555" s="25" t="n"/>
      <c r="U1555" s="19">
        <f>IF(AND($V1555='設定'!$C$4,COUNTIF('商品マスタ'!$B$6:$B$1005,$W1555)=0),N(U1554)+1,N(U1554))</f>
        <v/>
      </c>
      <c r="V1555" s="19">
        <f>IF($B1555="","",TEXT($B1555,"0000"))</f>
        <v/>
      </c>
      <c r="W1555" s="19">
        <f>IF($I1555="","",IF(ISNUMBER($I1555),TEXT($I1555,"0"),$I1555))</f>
        <v/>
      </c>
    </row>
    <row r="1556">
      <c r="B1556" s="25" t="n"/>
      <c r="I1556" s="25" t="n"/>
      <c r="U1556" s="19">
        <f>IF(AND($V1556='設定'!$C$4,COUNTIF('商品マスタ'!$B$6:$B$1005,$W1556)=0),N(U1555)+1,N(U1555))</f>
        <v/>
      </c>
      <c r="V1556" s="19">
        <f>IF($B1556="","",TEXT($B1556,"0000"))</f>
        <v/>
      </c>
      <c r="W1556" s="19">
        <f>IF($I1556="","",IF(ISNUMBER($I1556),TEXT($I1556,"0"),$I1556))</f>
        <v/>
      </c>
    </row>
    <row r="1557">
      <c r="B1557" s="25" t="n"/>
      <c r="I1557" s="25" t="n"/>
      <c r="U1557" s="19">
        <f>IF(AND($V1557='設定'!$C$4,COUNTIF('商品マスタ'!$B$6:$B$1005,$W1557)=0),N(U1556)+1,N(U1556))</f>
        <v/>
      </c>
      <c r="V1557" s="19">
        <f>IF($B1557="","",TEXT($B1557,"0000"))</f>
        <v/>
      </c>
      <c r="W1557" s="19">
        <f>IF($I1557="","",IF(ISNUMBER($I1557),TEXT($I1557,"0"),$I1557))</f>
        <v/>
      </c>
    </row>
    <row r="1558">
      <c r="B1558" s="25" t="n"/>
      <c r="I1558" s="25" t="n"/>
      <c r="U1558" s="19">
        <f>IF(AND($V1558='設定'!$C$4,COUNTIF('商品マスタ'!$B$6:$B$1005,$W1558)=0),N(U1557)+1,N(U1557))</f>
        <v/>
      </c>
      <c r="V1558" s="19">
        <f>IF($B1558="","",TEXT($B1558,"0000"))</f>
        <v/>
      </c>
      <c r="W1558" s="19">
        <f>IF($I1558="","",IF(ISNUMBER($I1558),TEXT($I1558,"0"),$I1558))</f>
        <v/>
      </c>
    </row>
    <row r="1559">
      <c r="B1559" s="25" t="n"/>
      <c r="I1559" s="25" t="n"/>
      <c r="U1559" s="19">
        <f>IF(AND($V1559='設定'!$C$4,COUNTIF('商品マスタ'!$B$6:$B$1005,$W1559)=0),N(U1558)+1,N(U1558))</f>
        <v/>
      </c>
      <c r="V1559" s="19">
        <f>IF($B1559="","",TEXT($B1559,"0000"))</f>
        <v/>
      </c>
      <c r="W1559" s="19">
        <f>IF($I1559="","",IF(ISNUMBER($I1559),TEXT($I1559,"0"),$I1559))</f>
        <v/>
      </c>
    </row>
    <row r="1560">
      <c r="B1560" s="25" t="n"/>
      <c r="I1560" s="25" t="n"/>
      <c r="U1560" s="19">
        <f>IF(AND($V1560='設定'!$C$4,COUNTIF('商品マスタ'!$B$6:$B$1005,$W1560)=0),N(U1559)+1,N(U1559))</f>
        <v/>
      </c>
      <c r="V1560" s="19">
        <f>IF($B1560="","",TEXT($B1560,"0000"))</f>
        <v/>
      </c>
      <c r="W1560" s="19">
        <f>IF($I1560="","",IF(ISNUMBER($I1560),TEXT($I1560,"0"),$I1560))</f>
        <v/>
      </c>
    </row>
    <row r="1561">
      <c r="B1561" s="25" t="n"/>
      <c r="I1561" s="25" t="n"/>
      <c r="U1561" s="19">
        <f>IF(AND($V1561='設定'!$C$4,COUNTIF('商品マスタ'!$B$6:$B$1005,$W1561)=0),N(U1560)+1,N(U1560))</f>
        <v/>
      </c>
      <c r="V1561" s="19">
        <f>IF($B1561="","",TEXT($B1561,"0000"))</f>
        <v/>
      </c>
      <c r="W1561" s="19">
        <f>IF($I1561="","",IF(ISNUMBER($I1561),TEXT($I1561,"0"),$I1561))</f>
        <v/>
      </c>
    </row>
    <row r="1562">
      <c r="B1562" s="25" t="n"/>
      <c r="I1562" s="25" t="n"/>
      <c r="U1562" s="19">
        <f>IF(AND($V1562='設定'!$C$4,COUNTIF('商品マスタ'!$B$6:$B$1005,$W1562)=0),N(U1561)+1,N(U1561))</f>
        <v/>
      </c>
      <c r="V1562" s="19">
        <f>IF($B1562="","",TEXT($B1562,"0000"))</f>
        <v/>
      </c>
      <c r="W1562" s="19">
        <f>IF($I1562="","",IF(ISNUMBER($I1562),TEXT($I1562,"0"),$I1562))</f>
        <v/>
      </c>
    </row>
    <row r="1563">
      <c r="B1563" s="25" t="n"/>
      <c r="I1563" s="25" t="n"/>
      <c r="U1563" s="19">
        <f>IF(AND($V1563='設定'!$C$4,COUNTIF('商品マスタ'!$B$6:$B$1005,$W1563)=0),N(U1562)+1,N(U1562))</f>
        <v/>
      </c>
      <c r="V1563" s="19">
        <f>IF($B1563="","",TEXT($B1563,"0000"))</f>
        <v/>
      </c>
      <c r="W1563" s="19">
        <f>IF($I1563="","",IF(ISNUMBER($I1563),TEXT($I1563,"0"),$I1563))</f>
        <v/>
      </c>
    </row>
    <row r="1564">
      <c r="B1564" s="25" t="n"/>
      <c r="I1564" s="25" t="n"/>
      <c r="U1564" s="19">
        <f>IF(AND($V1564='設定'!$C$4,COUNTIF('商品マスタ'!$B$6:$B$1005,$W1564)=0),N(U1563)+1,N(U1563))</f>
        <v/>
      </c>
      <c r="V1564" s="19">
        <f>IF($B1564="","",TEXT($B1564,"0000"))</f>
        <v/>
      </c>
      <c r="W1564" s="19">
        <f>IF($I1564="","",IF(ISNUMBER($I1564),TEXT($I1564,"0"),$I1564))</f>
        <v/>
      </c>
    </row>
    <row r="1565">
      <c r="B1565" s="25" t="n"/>
      <c r="I1565" s="25" t="n"/>
      <c r="U1565" s="19">
        <f>IF(AND($V1565='設定'!$C$4,COUNTIF('商品マスタ'!$B$6:$B$1005,$W1565)=0),N(U1564)+1,N(U1564))</f>
        <v/>
      </c>
      <c r="V1565" s="19">
        <f>IF($B1565="","",TEXT($B1565,"0000"))</f>
        <v/>
      </c>
      <c r="W1565" s="19">
        <f>IF($I1565="","",IF(ISNUMBER($I1565),TEXT($I1565,"0"),$I1565))</f>
        <v/>
      </c>
    </row>
    <row r="1566">
      <c r="B1566" s="25" t="n"/>
      <c r="I1566" s="25" t="n"/>
      <c r="U1566" s="19">
        <f>IF(AND($V1566='設定'!$C$4,COUNTIF('商品マスタ'!$B$6:$B$1005,$W1566)=0),N(U1565)+1,N(U1565))</f>
        <v/>
      </c>
      <c r="V1566" s="19">
        <f>IF($B1566="","",TEXT($B1566,"0000"))</f>
        <v/>
      </c>
      <c r="W1566" s="19">
        <f>IF($I1566="","",IF(ISNUMBER($I1566),TEXT($I1566,"0"),$I1566))</f>
        <v/>
      </c>
    </row>
    <row r="1567">
      <c r="B1567" s="25" t="n"/>
      <c r="I1567" s="25" t="n"/>
      <c r="U1567" s="19">
        <f>IF(AND($V1567='設定'!$C$4,COUNTIF('商品マスタ'!$B$6:$B$1005,$W1567)=0),N(U1566)+1,N(U1566))</f>
        <v/>
      </c>
      <c r="V1567" s="19">
        <f>IF($B1567="","",TEXT($B1567,"0000"))</f>
        <v/>
      </c>
      <c r="W1567" s="19">
        <f>IF($I1567="","",IF(ISNUMBER($I1567),TEXT($I1567,"0"),$I1567))</f>
        <v/>
      </c>
    </row>
    <row r="1568">
      <c r="B1568" s="25" t="n"/>
      <c r="I1568" s="25" t="n"/>
      <c r="U1568" s="19">
        <f>IF(AND($V1568='設定'!$C$4,COUNTIF('商品マスタ'!$B$6:$B$1005,$W1568)=0),N(U1567)+1,N(U1567))</f>
        <v/>
      </c>
      <c r="V1568" s="19">
        <f>IF($B1568="","",TEXT($B1568,"0000"))</f>
        <v/>
      </c>
      <c r="W1568" s="19">
        <f>IF($I1568="","",IF(ISNUMBER($I1568),TEXT($I1568,"0"),$I1568))</f>
        <v/>
      </c>
    </row>
    <row r="1569">
      <c r="B1569" s="25" t="n"/>
      <c r="I1569" s="25" t="n"/>
      <c r="U1569" s="19">
        <f>IF(AND($V1569='設定'!$C$4,COUNTIF('商品マスタ'!$B$6:$B$1005,$W1569)=0),N(U1568)+1,N(U1568))</f>
        <v/>
      </c>
      <c r="V1569" s="19">
        <f>IF($B1569="","",TEXT($B1569,"0000"))</f>
        <v/>
      </c>
      <c r="W1569" s="19">
        <f>IF($I1569="","",IF(ISNUMBER($I1569),TEXT($I1569,"0"),$I1569))</f>
        <v/>
      </c>
    </row>
    <row r="1570">
      <c r="B1570" s="25" t="n"/>
      <c r="I1570" s="25" t="n"/>
      <c r="U1570" s="19">
        <f>IF(AND($V1570='設定'!$C$4,COUNTIF('商品マスタ'!$B$6:$B$1005,$W1570)=0),N(U1569)+1,N(U1569))</f>
        <v/>
      </c>
      <c r="V1570" s="19">
        <f>IF($B1570="","",TEXT($B1570,"0000"))</f>
        <v/>
      </c>
      <c r="W1570" s="19">
        <f>IF($I1570="","",IF(ISNUMBER($I1570),TEXT($I1570,"0"),$I1570))</f>
        <v/>
      </c>
    </row>
    <row r="1571">
      <c r="B1571" s="25" t="n"/>
      <c r="I1571" s="25" t="n"/>
      <c r="U1571" s="19">
        <f>IF(AND($V1571='設定'!$C$4,COUNTIF('商品マスタ'!$B$6:$B$1005,$W1571)=0),N(U1570)+1,N(U1570))</f>
        <v/>
      </c>
      <c r="V1571" s="19">
        <f>IF($B1571="","",TEXT($B1571,"0000"))</f>
        <v/>
      </c>
      <c r="W1571" s="19">
        <f>IF($I1571="","",IF(ISNUMBER($I1571),TEXT($I1571,"0"),$I1571))</f>
        <v/>
      </c>
    </row>
    <row r="1572">
      <c r="B1572" s="25" t="n"/>
      <c r="I1572" s="25" t="n"/>
      <c r="U1572" s="19">
        <f>IF(AND($V1572='設定'!$C$4,COUNTIF('商品マスタ'!$B$6:$B$1005,$W1572)=0),N(U1571)+1,N(U1571))</f>
        <v/>
      </c>
      <c r="V1572" s="19">
        <f>IF($B1572="","",TEXT($B1572,"0000"))</f>
        <v/>
      </c>
      <c r="W1572" s="19">
        <f>IF($I1572="","",IF(ISNUMBER($I1572),TEXT($I1572,"0"),$I1572))</f>
        <v/>
      </c>
    </row>
    <row r="1573">
      <c r="B1573" s="25" t="n"/>
      <c r="I1573" s="25" t="n"/>
      <c r="U1573" s="19">
        <f>IF(AND($V1573='設定'!$C$4,COUNTIF('商品マスタ'!$B$6:$B$1005,$W1573)=0),N(U1572)+1,N(U1572))</f>
        <v/>
      </c>
      <c r="V1573" s="19">
        <f>IF($B1573="","",TEXT($B1573,"0000"))</f>
        <v/>
      </c>
      <c r="W1573" s="19">
        <f>IF($I1573="","",IF(ISNUMBER($I1573),TEXT($I1573,"0"),$I1573))</f>
        <v/>
      </c>
    </row>
    <row r="1574">
      <c r="B1574" s="25" t="n"/>
      <c r="I1574" s="25" t="n"/>
      <c r="U1574" s="19">
        <f>IF(AND($V1574='設定'!$C$4,COUNTIF('商品マスタ'!$B$6:$B$1005,$W1574)=0),N(U1573)+1,N(U1573))</f>
        <v/>
      </c>
      <c r="V1574" s="19">
        <f>IF($B1574="","",TEXT($B1574,"0000"))</f>
        <v/>
      </c>
      <c r="W1574" s="19">
        <f>IF($I1574="","",IF(ISNUMBER($I1574),TEXT($I1574,"0"),$I1574))</f>
        <v/>
      </c>
    </row>
    <row r="1575">
      <c r="B1575" s="25" t="n"/>
      <c r="I1575" s="25" t="n"/>
      <c r="U1575" s="19">
        <f>IF(AND($V1575='設定'!$C$4,COUNTIF('商品マスタ'!$B$6:$B$1005,$W1575)=0),N(U1574)+1,N(U1574))</f>
        <v/>
      </c>
      <c r="V1575" s="19">
        <f>IF($B1575="","",TEXT($B1575,"0000"))</f>
        <v/>
      </c>
      <c r="W1575" s="19">
        <f>IF($I1575="","",IF(ISNUMBER($I1575),TEXT($I1575,"0"),$I1575))</f>
        <v/>
      </c>
    </row>
    <row r="1576">
      <c r="B1576" s="25" t="n"/>
      <c r="I1576" s="25" t="n"/>
      <c r="U1576" s="19">
        <f>IF(AND($V1576='設定'!$C$4,COUNTIF('商品マスタ'!$B$6:$B$1005,$W1576)=0),N(U1575)+1,N(U1575))</f>
        <v/>
      </c>
      <c r="V1576" s="19">
        <f>IF($B1576="","",TEXT($B1576,"0000"))</f>
        <v/>
      </c>
      <c r="W1576" s="19">
        <f>IF($I1576="","",IF(ISNUMBER($I1576),TEXT($I1576,"0"),$I1576))</f>
        <v/>
      </c>
    </row>
    <row r="1577">
      <c r="B1577" s="25" t="n"/>
      <c r="I1577" s="25" t="n"/>
      <c r="U1577" s="19">
        <f>IF(AND($V1577='設定'!$C$4,COUNTIF('商品マスタ'!$B$6:$B$1005,$W1577)=0),N(U1576)+1,N(U1576))</f>
        <v/>
      </c>
      <c r="V1577" s="19">
        <f>IF($B1577="","",TEXT($B1577,"0000"))</f>
        <v/>
      </c>
      <c r="W1577" s="19">
        <f>IF($I1577="","",IF(ISNUMBER($I1577),TEXT($I1577,"0"),$I1577))</f>
        <v/>
      </c>
    </row>
    <row r="1578">
      <c r="B1578" s="25" t="n"/>
      <c r="I1578" s="25" t="n"/>
      <c r="U1578" s="19">
        <f>IF(AND($V1578='設定'!$C$4,COUNTIF('商品マスタ'!$B$6:$B$1005,$W1578)=0),N(U1577)+1,N(U1577))</f>
        <v/>
      </c>
      <c r="V1578" s="19">
        <f>IF($B1578="","",TEXT($B1578,"0000"))</f>
        <v/>
      </c>
      <c r="W1578" s="19">
        <f>IF($I1578="","",IF(ISNUMBER($I1578),TEXT($I1578,"0"),$I1578))</f>
        <v/>
      </c>
    </row>
    <row r="1579">
      <c r="B1579" s="25" t="n"/>
      <c r="I1579" s="25" t="n"/>
      <c r="U1579" s="19">
        <f>IF(AND($V1579='設定'!$C$4,COUNTIF('商品マスタ'!$B$6:$B$1005,$W1579)=0),N(U1578)+1,N(U1578))</f>
        <v/>
      </c>
      <c r="V1579" s="19">
        <f>IF($B1579="","",TEXT($B1579,"0000"))</f>
        <v/>
      </c>
      <c r="W1579" s="19">
        <f>IF($I1579="","",IF(ISNUMBER($I1579),TEXT($I1579,"0"),$I1579))</f>
        <v/>
      </c>
    </row>
    <row r="1580">
      <c r="B1580" s="25" t="n"/>
      <c r="I1580" s="25" t="n"/>
      <c r="U1580" s="19">
        <f>IF(AND($V1580='設定'!$C$4,COUNTIF('商品マスタ'!$B$6:$B$1005,$W1580)=0),N(U1579)+1,N(U1579))</f>
        <v/>
      </c>
      <c r="V1580" s="19">
        <f>IF($B1580="","",TEXT($B1580,"0000"))</f>
        <v/>
      </c>
      <c r="W1580" s="19">
        <f>IF($I1580="","",IF(ISNUMBER($I1580),TEXT($I1580,"0"),$I1580))</f>
        <v/>
      </c>
    </row>
    <row r="1581">
      <c r="B1581" s="25" t="n"/>
      <c r="I1581" s="25" t="n"/>
      <c r="U1581" s="19">
        <f>IF(AND($V1581='設定'!$C$4,COUNTIF('商品マスタ'!$B$6:$B$1005,$W1581)=0),N(U1580)+1,N(U1580))</f>
        <v/>
      </c>
      <c r="V1581" s="19">
        <f>IF($B1581="","",TEXT($B1581,"0000"))</f>
        <v/>
      </c>
      <c r="W1581" s="19">
        <f>IF($I1581="","",IF(ISNUMBER($I1581),TEXT($I1581,"0"),$I1581))</f>
        <v/>
      </c>
    </row>
    <row r="1582">
      <c r="B1582" s="25" t="n"/>
      <c r="I1582" s="25" t="n"/>
      <c r="U1582" s="19">
        <f>IF(AND($V1582='設定'!$C$4,COUNTIF('商品マスタ'!$B$6:$B$1005,$W1582)=0),N(U1581)+1,N(U1581))</f>
        <v/>
      </c>
      <c r="V1582" s="19">
        <f>IF($B1582="","",TEXT($B1582,"0000"))</f>
        <v/>
      </c>
      <c r="W1582" s="19">
        <f>IF($I1582="","",IF(ISNUMBER($I1582),TEXT($I1582,"0"),$I1582))</f>
        <v/>
      </c>
    </row>
    <row r="1583">
      <c r="B1583" s="25" t="n"/>
      <c r="I1583" s="25" t="n"/>
      <c r="U1583" s="19">
        <f>IF(AND($V1583='設定'!$C$4,COUNTIF('商品マスタ'!$B$6:$B$1005,$W1583)=0),N(U1582)+1,N(U1582))</f>
        <v/>
      </c>
      <c r="V1583" s="19">
        <f>IF($B1583="","",TEXT($B1583,"0000"))</f>
        <v/>
      </c>
      <c r="W1583" s="19">
        <f>IF($I1583="","",IF(ISNUMBER($I1583),TEXT($I1583,"0"),$I1583))</f>
        <v/>
      </c>
    </row>
    <row r="1584">
      <c r="B1584" s="25" t="n"/>
      <c r="I1584" s="25" t="n"/>
      <c r="U1584" s="19">
        <f>IF(AND($V1584='設定'!$C$4,COUNTIF('商品マスタ'!$B$6:$B$1005,$W1584)=0),N(U1583)+1,N(U1583))</f>
        <v/>
      </c>
      <c r="V1584" s="19">
        <f>IF($B1584="","",TEXT($B1584,"0000"))</f>
        <v/>
      </c>
      <c r="W1584" s="19">
        <f>IF($I1584="","",IF(ISNUMBER($I1584),TEXT($I1584,"0"),$I1584))</f>
        <v/>
      </c>
    </row>
    <row r="1585">
      <c r="B1585" s="25" t="n"/>
      <c r="I1585" s="25" t="n"/>
      <c r="U1585" s="19">
        <f>IF(AND($V1585='設定'!$C$4,COUNTIF('商品マスタ'!$B$6:$B$1005,$W1585)=0),N(U1584)+1,N(U1584))</f>
        <v/>
      </c>
      <c r="V1585" s="19">
        <f>IF($B1585="","",TEXT($B1585,"0000"))</f>
        <v/>
      </c>
      <c r="W1585" s="19">
        <f>IF($I1585="","",IF(ISNUMBER($I1585),TEXT($I1585,"0"),$I1585))</f>
        <v/>
      </c>
    </row>
    <row r="1586">
      <c r="B1586" s="25" t="n"/>
      <c r="I1586" s="25" t="n"/>
      <c r="U1586" s="19">
        <f>IF(AND($V1586='設定'!$C$4,COUNTIF('商品マスタ'!$B$6:$B$1005,$W1586)=0),N(U1585)+1,N(U1585))</f>
        <v/>
      </c>
      <c r="V1586" s="19">
        <f>IF($B1586="","",TEXT($B1586,"0000"))</f>
        <v/>
      </c>
      <c r="W1586" s="19">
        <f>IF($I1586="","",IF(ISNUMBER($I1586),TEXT($I1586,"0"),$I1586))</f>
        <v/>
      </c>
    </row>
    <row r="1587">
      <c r="B1587" s="25" t="n"/>
      <c r="I1587" s="25" t="n"/>
      <c r="U1587" s="19">
        <f>IF(AND($V1587='設定'!$C$4,COUNTIF('商品マスタ'!$B$6:$B$1005,$W1587)=0),N(U1586)+1,N(U1586))</f>
        <v/>
      </c>
      <c r="V1587" s="19">
        <f>IF($B1587="","",TEXT($B1587,"0000"))</f>
        <v/>
      </c>
      <c r="W1587" s="19">
        <f>IF($I1587="","",IF(ISNUMBER($I1587),TEXT($I1587,"0"),$I1587))</f>
        <v/>
      </c>
    </row>
    <row r="1588">
      <c r="B1588" s="25" t="n"/>
      <c r="I1588" s="25" t="n"/>
      <c r="U1588" s="19">
        <f>IF(AND($V1588='設定'!$C$4,COUNTIF('商品マスタ'!$B$6:$B$1005,$W1588)=0),N(U1587)+1,N(U1587))</f>
        <v/>
      </c>
      <c r="V1588" s="19">
        <f>IF($B1588="","",TEXT($B1588,"0000"))</f>
        <v/>
      </c>
      <c r="W1588" s="19">
        <f>IF($I1588="","",IF(ISNUMBER($I1588),TEXT($I1588,"0"),$I1588))</f>
        <v/>
      </c>
    </row>
    <row r="1589">
      <c r="B1589" s="25" t="n"/>
      <c r="I1589" s="25" t="n"/>
      <c r="U1589" s="19">
        <f>IF(AND($V1589='設定'!$C$4,COUNTIF('商品マスタ'!$B$6:$B$1005,$W1589)=0),N(U1588)+1,N(U1588))</f>
        <v/>
      </c>
      <c r="V1589" s="19">
        <f>IF($B1589="","",TEXT($B1589,"0000"))</f>
        <v/>
      </c>
      <c r="W1589" s="19">
        <f>IF($I1589="","",IF(ISNUMBER($I1589),TEXT($I1589,"0"),$I1589))</f>
        <v/>
      </c>
    </row>
    <row r="1590">
      <c r="B1590" s="25" t="n"/>
      <c r="I1590" s="25" t="n"/>
      <c r="U1590" s="19">
        <f>IF(AND($V1590='設定'!$C$4,COUNTIF('商品マスタ'!$B$6:$B$1005,$W1590)=0),N(U1589)+1,N(U1589))</f>
        <v/>
      </c>
      <c r="V1590" s="19">
        <f>IF($B1590="","",TEXT($B1590,"0000"))</f>
        <v/>
      </c>
      <c r="W1590" s="19">
        <f>IF($I1590="","",IF(ISNUMBER($I1590),TEXT($I1590,"0"),$I1590))</f>
        <v/>
      </c>
    </row>
    <row r="1591">
      <c r="B1591" s="25" t="n"/>
      <c r="I1591" s="25" t="n"/>
      <c r="U1591" s="19">
        <f>IF(AND($V1591='設定'!$C$4,COUNTIF('商品マスタ'!$B$6:$B$1005,$W1591)=0),N(U1590)+1,N(U1590))</f>
        <v/>
      </c>
      <c r="V1591" s="19">
        <f>IF($B1591="","",TEXT($B1591,"0000"))</f>
        <v/>
      </c>
      <c r="W1591" s="19">
        <f>IF($I1591="","",IF(ISNUMBER($I1591),TEXT($I1591,"0"),$I1591))</f>
        <v/>
      </c>
    </row>
    <row r="1592">
      <c r="B1592" s="25" t="n"/>
      <c r="I1592" s="25" t="n"/>
      <c r="U1592" s="19">
        <f>IF(AND($V1592='設定'!$C$4,COUNTIF('商品マスタ'!$B$6:$B$1005,$W1592)=0),N(U1591)+1,N(U1591))</f>
        <v/>
      </c>
      <c r="V1592" s="19">
        <f>IF($B1592="","",TEXT($B1592,"0000"))</f>
        <v/>
      </c>
      <c r="W1592" s="19">
        <f>IF($I1592="","",IF(ISNUMBER($I1592),TEXT($I1592,"0"),$I1592))</f>
        <v/>
      </c>
    </row>
    <row r="1593">
      <c r="B1593" s="25" t="n"/>
      <c r="I1593" s="25" t="n"/>
      <c r="U1593" s="19">
        <f>IF(AND($V1593='設定'!$C$4,COUNTIF('商品マスタ'!$B$6:$B$1005,$W1593)=0),N(U1592)+1,N(U1592))</f>
        <v/>
      </c>
      <c r="V1593" s="19">
        <f>IF($B1593="","",TEXT($B1593,"0000"))</f>
        <v/>
      </c>
      <c r="W1593" s="19">
        <f>IF($I1593="","",IF(ISNUMBER($I1593),TEXT($I1593,"0"),$I1593))</f>
        <v/>
      </c>
    </row>
    <row r="1594">
      <c r="B1594" s="25" t="n"/>
      <c r="I1594" s="25" t="n"/>
      <c r="U1594" s="19">
        <f>IF(AND($V1594='設定'!$C$4,COUNTIF('商品マスタ'!$B$6:$B$1005,$W1594)=0),N(U1593)+1,N(U1593))</f>
        <v/>
      </c>
      <c r="V1594" s="19">
        <f>IF($B1594="","",TEXT($B1594,"0000"))</f>
        <v/>
      </c>
      <c r="W1594" s="19">
        <f>IF($I1594="","",IF(ISNUMBER($I1594),TEXT($I1594,"0"),$I1594))</f>
        <v/>
      </c>
    </row>
    <row r="1595">
      <c r="B1595" s="25" t="n"/>
      <c r="I1595" s="25" t="n"/>
      <c r="U1595" s="19">
        <f>IF(AND($V1595='設定'!$C$4,COUNTIF('商品マスタ'!$B$6:$B$1005,$W1595)=0),N(U1594)+1,N(U1594))</f>
        <v/>
      </c>
      <c r="V1595" s="19">
        <f>IF($B1595="","",TEXT($B1595,"0000"))</f>
        <v/>
      </c>
      <c r="W1595" s="19">
        <f>IF($I1595="","",IF(ISNUMBER($I1595),TEXT($I1595,"0"),$I1595))</f>
        <v/>
      </c>
    </row>
    <row r="1596">
      <c r="B1596" s="25" t="n"/>
      <c r="I1596" s="25" t="n"/>
      <c r="U1596" s="19">
        <f>IF(AND($V1596='設定'!$C$4,COUNTIF('商品マスタ'!$B$6:$B$1005,$W1596)=0),N(U1595)+1,N(U1595))</f>
        <v/>
      </c>
      <c r="V1596" s="19">
        <f>IF($B1596="","",TEXT($B1596,"0000"))</f>
        <v/>
      </c>
      <c r="W1596" s="19">
        <f>IF($I1596="","",IF(ISNUMBER($I1596),TEXT($I1596,"0"),$I1596))</f>
        <v/>
      </c>
    </row>
    <row r="1597">
      <c r="B1597" s="25" t="n"/>
      <c r="I1597" s="25" t="n"/>
      <c r="U1597" s="19">
        <f>IF(AND($V1597='設定'!$C$4,COUNTIF('商品マスタ'!$B$6:$B$1005,$W1597)=0),N(U1596)+1,N(U1596))</f>
        <v/>
      </c>
      <c r="V1597" s="19">
        <f>IF($B1597="","",TEXT($B1597,"0000"))</f>
        <v/>
      </c>
      <c r="W1597" s="19">
        <f>IF($I1597="","",IF(ISNUMBER($I1597),TEXT($I1597,"0"),$I1597))</f>
        <v/>
      </c>
    </row>
    <row r="1598">
      <c r="B1598" s="25" t="n"/>
      <c r="I1598" s="25" t="n"/>
      <c r="U1598" s="19">
        <f>IF(AND($V1598='設定'!$C$4,COUNTIF('商品マスタ'!$B$6:$B$1005,$W1598)=0),N(U1597)+1,N(U1597))</f>
        <v/>
      </c>
      <c r="V1598" s="19">
        <f>IF($B1598="","",TEXT($B1598,"0000"))</f>
        <v/>
      </c>
      <c r="W1598" s="19">
        <f>IF($I1598="","",IF(ISNUMBER($I1598),TEXT($I1598,"0"),$I1598))</f>
        <v/>
      </c>
    </row>
    <row r="1599">
      <c r="B1599" s="25" t="n"/>
      <c r="I1599" s="25" t="n"/>
      <c r="U1599" s="19">
        <f>IF(AND($V1599='設定'!$C$4,COUNTIF('商品マスタ'!$B$6:$B$1005,$W1599)=0),N(U1598)+1,N(U1598))</f>
        <v/>
      </c>
      <c r="V1599" s="19">
        <f>IF($B1599="","",TEXT($B1599,"0000"))</f>
        <v/>
      </c>
      <c r="W1599" s="19">
        <f>IF($I1599="","",IF(ISNUMBER($I1599),TEXT($I1599,"0"),$I1599))</f>
        <v/>
      </c>
    </row>
    <row r="1600">
      <c r="B1600" s="25" t="n"/>
      <c r="I1600" s="25" t="n"/>
      <c r="U1600" s="19">
        <f>IF(AND($V1600='設定'!$C$4,COUNTIF('商品マスタ'!$B$6:$B$1005,$W1600)=0),N(U1599)+1,N(U1599))</f>
        <v/>
      </c>
      <c r="V1600" s="19">
        <f>IF($B1600="","",TEXT($B1600,"0000"))</f>
        <v/>
      </c>
      <c r="W1600" s="19">
        <f>IF($I1600="","",IF(ISNUMBER($I1600),TEXT($I1600,"0"),$I1600))</f>
        <v/>
      </c>
    </row>
    <row r="1601">
      <c r="B1601" s="25" t="n"/>
      <c r="I1601" s="25" t="n"/>
      <c r="U1601" s="19">
        <f>IF(AND($V1601='設定'!$C$4,COUNTIF('商品マスタ'!$B$6:$B$1005,$W1601)=0),N(U1600)+1,N(U1600))</f>
        <v/>
      </c>
      <c r="V1601" s="19">
        <f>IF($B1601="","",TEXT($B1601,"0000"))</f>
        <v/>
      </c>
      <c r="W1601" s="19">
        <f>IF($I1601="","",IF(ISNUMBER($I1601),TEXT($I1601,"0"),$I1601))</f>
        <v/>
      </c>
    </row>
    <row r="1602">
      <c r="B1602" s="25" t="n"/>
      <c r="I1602" s="25" t="n"/>
      <c r="U1602" s="19">
        <f>IF(AND($V1602='設定'!$C$4,COUNTIF('商品マスタ'!$B$6:$B$1005,$W1602)=0),N(U1601)+1,N(U1601))</f>
        <v/>
      </c>
      <c r="V1602" s="19">
        <f>IF($B1602="","",TEXT($B1602,"0000"))</f>
        <v/>
      </c>
      <c r="W1602" s="19">
        <f>IF($I1602="","",IF(ISNUMBER($I1602),TEXT($I1602,"0"),$I1602))</f>
        <v/>
      </c>
    </row>
    <row r="1603">
      <c r="B1603" s="25" t="n"/>
      <c r="I1603" s="25" t="n"/>
      <c r="U1603" s="19">
        <f>IF(AND($V1603='設定'!$C$4,COUNTIF('商品マスタ'!$B$6:$B$1005,$W1603)=0),N(U1602)+1,N(U1602))</f>
        <v/>
      </c>
      <c r="V1603" s="19">
        <f>IF($B1603="","",TEXT($B1603,"0000"))</f>
        <v/>
      </c>
      <c r="W1603" s="19">
        <f>IF($I1603="","",IF(ISNUMBER($I1603),TEXT($I1603,"0"),$I1603))</f>
        <v/>
      </c>
    </row>
    <row r="1604">
      <c r="B1604" s="25" t="n"/>
      <c r="I1604" s="25" t="n"/>
      <c r="U1604" s="19">
        <f>IF(AND($V1604='設定'!$C$4,COUNTIF('商品マスタ'!$B$6:$B$1005,$W1604)=0),N(U1603)+1,N(U1603))</f>
        <v/>
      </c>
      <c r="V1604" s="19">
        <f>IF($B1604="","",TEXT($B1604,"0000"))</f>
        <v/>
      </c>
      <c r="W1604" s="19">
        <f>IF($I1604="","",IF(ISNUMBER($I1604),TEXT($I1604,"0"),$I1604))</f>
        <v/>
      </c>
    </row>
    <row r="1605">
      <c r="B1605" s="25" t="n"/>
      <c r="I1605" s="25" t="n"/>
      <c r="U1605" s="19">
        <f>IF(AND($V1605='設定'!$C$4,COUNTIF('商品マスタ'!$B$6:$B$1005,$W1605)=0),N(U1604)+1,N(U1604))</f>
        <v/>
      </c>
      <c r="V1605" s="19">
        <f>IF($B1605="","",TEXT($B1605,"0000"))</f>
        <v/>
      </c>
      <c r="W1605" s="19">
        <f>IF($I1605="","",IF(ISNUMBER($I1605),TEXT($I1605,"0"),$I1605))</f>
        <v/>
      </c>
    </row>
    <row r="1606">
      <c r="B1606" s="25" t="n"/>
      <c r="I1606" s="25" t="n"/>
      <c r="U1606" s="19">
        <f>IF(AND($V1606='設定'!$C$4,COUNTIF('商品マスタ'!$B$6:$B$1005,$W1606)=0),N(U1605)+1,N(U1605))</f>
        <v/>
      </c>
      <c r="V1606" s="19">
        <f>IF($B1606="","",TEXT($B1606,"0000"))</f>
        <v/>
      </c>
      <c r="W1606" s="19">
        <f>IF($I1606="","",IF(ISNUMBER($I1606),TEXT($I1606,"0"),$I1606))</f>
        <v/>
      </c>
    </row>
    <row r="1607">
      <c r="B1607" s="25" t="n"/>
      <c r="I1607" s="25" t="n"/>
      <c r="U1607" s="19">
        <f>IF(AND($V1607='設定'!$C$4,COUNTIF('商品マスタ'!$B$6:$B$1005,$W1607)=0),N(U1606)+1,N(U1606))</f>
        <v/>
      </c>
      <c r="V1607" s="19">
        <f>IF($B1607="","",TEXT($B1607,"0000"))</f>
        <v/>
      </c>
      <c r="W1607" s="19">
        <f>IF($I1607="","",IF(ISNUMBER($I1607),TEXT($I1607,"0"),$I1607))</f>
        <v/>
      </c>
    </row>
    <row r="1608">
      <c r="B1608" s="25" t="n"/>
      <c r="I1608" s="25" t="n"/>
      <c r="U1608" s="19">
        <f>IF(AND($V1608='設定'!$C$4,COUNTIF('商品マスタ'!$B$6:$B$1005,$W1608)=0),N(U1607)+1,N(U1607))</f>
        <v/>
      </c>
      <c r="V1608" s="19">
        <f>IF($B1608="","",TEXT($B1608,"0000"))</f>
        <v/>
      </c>
      <c r="W1608" s="19">
        <f>IF($I1608="","",IF(ISNUMBER($I1608),TEXT($I1608,"0"),$I1608))</f>
        <v/>
      </c>
    </row>
    <row r="1609">
      <c r="B1609" s="25" t="n"/>
      <c r="I1609" s="25" t="n"/>
      <c r="U1609" s="19">
        <f>IF(AND($V1609='設定'!$C$4,COUNTIF('商品マスタ'!$B$6:$B$1005,$W1609)=0),N(U1608)+1,N(U1608))</f>
        <v/>
      </c>
      <c r="V1609" s="19">
        <f>IF($B1609="","",TEXT($B1609,"0000"))</f>
        <v/>
      </c>
      <c r="W1609" s="19">
        <f>IF($I1609="","",IF(ISNUMBER($I1609),TEXT($I1609,"0"),$I1609))</f>
        <v/>
      </c>
    </row>
    <row r="1610">
      <c r="B1610" s="25" t="n"/>
      <c r="I1610" s="25" t="n"/>
      <c r="U1610" s="19">
        <f>IF(AND($V1610='設定'!$C$4,COUNTIF('商品マスタ'!$B$6:$B$1005,$W1610)=0),N(U1609)+1,N(U1609))</f>
        <v/>
      </c>
      <c r="V1610" s="19">
        <f>IF($B1610="","",TEXT($B1610,"0000"))</f>
        <v/>
      </c>
      <c r="W1610" s="19">
        <f>IF($I1610="","",IF(ISNUMBER($I1610),TEXT($I1610,"0"),$I1610))</f>
        <v/>
      </c>
    </row>
    <row r="1611">
      <c r="B1611" s="25" t="n"/>
      <c r="I1611" s="25" t="n"/>
      <c r="U1611" s="19">
        <f>IF(AND($V1611='設定'!$C$4,COUNTIF('商品マスタ'!$B$6:$B$1005,$W1611)=0),N(U1610)+1,N(U1610))</f>
        <v/>
      </c>
      <c r="V1611" s="19">
        <f>IF($B1611="","",TEXT($B1611,"0000"))</f>
        <v/>
      </c>
      <c r="W1611" s="19">
        <f>IF($I1611="","",IF(ISNUMBER($I1611),TEXT($I1611,"0"),$I1611))</f>
        <v/>
      </c>
    </row>
    <row r="1612">
      <c r="B1612" s="25" t="n"/>
      <c r="I1612" s="25" t="n"/>
      <c r="U1612" s="19">
        <f>IF(AND($V1612='設定'!$C$4,COUNTIF('商品マスタ'!$B$6:$B$1005,$W1612)=0),N(U1611)+1,N(U1611))</f>
        <v/>
      </c>
      <c r="V1612" s="19">
        <f>IF($B1612="","",TEXT($B1612,"0000"))</f>
        <v/>
      </c>
      <c r="W1612" s="19">
        <f>IF($I1612="","",IF(ISNUMBER($I1612),TEXT($I1612,"0"),$I1612))</f>
        <v/>
      </c>
    </row>
    <row r="1613">
      <c r="B1613" s="25" t="n"/>
      <c r="I1613" s="25" t="n"/>
      <c r="U1613" s="19">
        <f>IF(AND($V1613='設定'!$C$4,COUNTIF('商品マスタ'!$B$6:$B$1005,$W1613)=0),N(U1612)+1,N(U1612))</f>
        <v/>
      </c>
      <c r="V1613" s="19">
        <f>IF($B1613="","",TEXT($B1613,"0000"))</f>
        <v/>
      </c>
      <c r="W1613" s="19">
        <f>IF($I1613="","",IF(ISNUMBER($I1613),TEXT($I1613,"0"),$I1613))</f>
        <v/>
      </c>
    </row>
    <row r="1614">
      <c r="B1614" s="25" t="n"/>
      <c r="I1614" s="25" t="n"/>
      <c r="U1614" s="19">
        <f>IF(AND($V1614='設定'!$C$4,COUNTIF('商品マスタ'!$B$6:$B$1005,$W1614)=0),N(U1613)+1,N(U1613))</f>
        <v/>
      </c>
      <c r="V1614" s="19">
        <f>IF($B1614="","",TEXT($B1614,"0000"))</f>
        <v/>
      </c>
      <c r="W1614" s="19">
        <f>IF($I1614="","",IF(ISNUMBER($I1614),TEXT($I1614,"0"),$I1614))</f>
        <v/>
      </c>
    </row>
    <row r="1615">
      <c r="B1615" s="25" t="n"/>
      <c r="I1615" s="25" t="n"/>
      <c r="U1615" s="19">
        <f>IF(AND($V1615='設定'!$C$4,COUNTIF('商品マスタ'!$B$6:$B$1005,$W1615)=0),N(U1614)+1,N(U1614))</f>
        <v/>
      </c>
      <c r="V1615" s="19">
        <f>IF($B1615="","",TEXT($B1615,"0000"))</f>
        <v/>
      </c>
      <c r="W1615" s="19">
        <f>IF($I1615="","",IF(ISNUMBER($I1615),TEXT($I1615,"0"),$I1615))</f>
        <v/>
      </c>
    </row>
    <row r="1616">
      <c r="B1616" s="25" t="n"/>
      <c r="I1616" s="25" t="n"/>
      <c r="U1616" s="19">
        <f>IF(AND($V1616='設定'!$C$4,COUNTIF('商品マスタ'!$B$6:$B$1005,$W1616)=0),N(U1615)+1,N(U1615))</f>
        <v/>
      </c>
      <c r="V1616" s="19">
        <f>IF($B1616="","",TEXT($B1616,"0000"))</f>
        <v/>
      </c>
      <c r="W1616" s="19">
        <f>IF($I1616="","",IF(ISNUMBER($I1616),TEXT($I1616,"0"),$I1616))</f>
        <v/>
      </c>
    </row>
    <row r="1617">
      <c r="B1617" s="25" t="n"/>
      <c r="I1617" s="25" t="n"/>
      <c r="U1617" s="19">
        <f>IF(AND($V1617='設定'!$C$4,COUNTIF('商品マスタ'!$B$6:$B$1005,$W1617)=0),N(U1616)+1,N(U1616))</f>
        <v/>
      </c>
      <c r="V1617" s="19">
        <f>IF($B1617="","",TEXT($B1617,"0000"))</f>
        <v/>
      </c>
      <c r="W1617" s="19">
        <f>IF($I1617="","",IF(ISNUMBER($I1617),TEXT($I1617,"0"),$I1617))</f>
        <v/>
      </c>
    </row>
    <row r="1618">
      <c r="B1618" s="25" t="n"/>
      <c r="I1618" s="25" t="n"/>
      <c r="U1618" s="19">
        <f>IF(AND($V1618='設定'!$C$4,COUNTIF('商品マスタ'!$B$6:$B$1005,$W1618)=0),N(U1617)+1,N(U1617))</f>
        <v/>
      </c>
      <c r="V1618" s="19">
        <f>IF($B1618="","",TEXT($B1618,"0000"))</f>
        <v/>
      </c>
      <c r="W1618" s="19">
        <f>IF($I1618="","",IF(ISNUMBER($I1618),TEXT($I1618,"0"),$I1618))</f>
        <v/>
      </c>
    </row>
    <row r="1619">
      <c r="B1619" s="25" t="n"/>
      <c r="I1619" s="25" t="n"/>
      <c r="U1619" s="19">
        <f>IF(AND($V1619='設定'!$C$4,COUNTIF('商品マスタ'!$B$6:$B$1005,$W1619)=0),N(U1618)+1,N(U1618))</f>
        <v/>
      </c>
      <c r="V1619" s="19">
        <f>IF($B1619="","",TEXT($B1619,"0000"))</f>
        <v/>
      </c>
      <c r="W1619" s="19">
        <f>IF($I1619="","",IF(ISNUMBER($I1619),TEXT($I1619,"0"),$I1619))</f>
        <v/>
      </c>
    </row>
    <row r="1620">
      <c r="B1620" s="25" t="n"/>
      <c r="I1620" s="25" t="n"/>
      <c r="U1620" s="19">
        <f>IF(AND($V1620='設定'!$C$4,COUNTIF('商品マスタ'!$B$6:$B$1005,$W1620)=0),N(U1619)+1,N(U1619))</f>
        <v/>
      </c>
      <c r="V1620" s="19">
        <f>IF($B1620="","",TEXT($B1620,"0000"))</f>
        <v/>
      </c>
      <c r="W1620" s="19">
        <f>IF($I1620="","",IF(ISNUMBER($I1620),TEXT($I1620,"0"),$I1620))</f>
        <v/>
      </c>
    </row>
    <row r="1621">
      <c r="B1621" s="25" t="n"/>
      <c r="I1621" s="25" t="n"/>
      <c r="U1621" s="19">
        <f>IF(AND($V1621='設定'!$C$4,COUNTIF('商品マスタ'!$B$6:$B$1005,$W1621)=0),N(U1620)+1,N(U1620))</f>
        <v/>
      </c>
      <c r="V1621" s="19">
        <f>IF($B1621="","",TEXT($B1621,"0000"))</f>
        <v/>
      </c>
      <c r="W1621" s="19">
        <f>IF($I1621="","",IF(ISNUMBER($I1621),TEXT($I1621,"0"),$I1621))</f>
        <v/>
      </c>
    </row>
    <row r="1622">
      <c r="B1622" s="25" t="n"/>
      <c r="I1622" s="25" t="n"/>
      <c r="U1622" s="19">
        <f>IF(AND($V1622='設定'!$C$4,COUNTIF('商品マスタ'!$B$6:$B$1005,$W1622)=0),N(U1621)+1,N(U1621))</f>
        <v/>
      </c>
      <c r="V1622" s="19">
        <f>IF($B1622="","",TEXT($B1622,"0000"))</f>
        <v/>
      </c>
      <c r="W1622" s="19">
        <f>IF($I1622="","",IF(ISNUMBER($I1622),TEXT($I1622,"0"),$I1622))</f>
        <v/>
      </c>
    </row>
    <row r="1623">
      <c r="B1623" s="25" t="n"/>
      <c r="I1623" s="25" t="n"/>
      <c r="U1623" s="19">
        <f>IF(AND($V1623='設定'!$C$4,COUNTIF('商品マスタ'!$B$6:$B$1005,$W1623)=0),N(U1622)+1,N(U1622))</f>
        <v/>
      </c>
      <c r="V1623" s="19">
        <f>IF($B1623="","",TEXT($B1623,"0000"))</f>
        <v/>
      </c>
      <c r="W1623" s="19">
        <f>IF($I1623="","",IF(ISNUMBER($I1623),TEXT($I1623,"0"),$I1623))</f>
        <v/>
      </c>
    </row>
    <row r="1624">
      <c r="B1624" s="25" t="n"/>
      <c r="I1624" s="25" t="n"/>
      <c r="U1624" s="19">
        <f>IF(AND($V1624='設定'!$C$4,COUNTIF('商品マスタ'!$B$6:$B$1005,$W1624)=0),N(U1623)+1,N(U1623))</f>
        <v/>
      </c>
      <c r="V1624" s="19">
        <f>IF($B1624="","",TEXT($B1624,"0000"))</f>
        <v/>
      </c>
      <c r="W1624" s="19">
        <f>IF($I1624="","",IF(ISNUMBER($I1624),TEXT($I1624,"0"),$I1624))</f>
        <v/>
      </c>
    </row>
    <row r="1625">
      <c r="B1625" s="25" t="n"/>
      <c r="I1625" s="25" t="n"/>
      <c r="U1625" s="19">
        <f>IF(AND($V1625='設定'!$C$4,COUNTIF('商品マスタ'!$B$6:$B$1005,$W1625)=0),N(U1624)+1,N(U1624))</f>
        <v/>
      </c>
      <c r="V1625" s="19">
        <f>IF($B1625="","",TEXT($B1625,"0000"))</f>
        <v/>
      </c>
      <c r="W1625" s="19">
        <f>IF($I1625="","",IF(ISNUMBER($I1625),TEXT($I1625,"0"),$I1625))</f>
        <v/>
      </c>
    </row>
    <row r="1626">
      <c r="B1626" s="25" t="n"/>
      <c r="I1626" s="25" t="n"/>
      <c r="U1626" s="19">
        <f>IF(AND($V1626='設定'!$C$4,COUNTIF('商品マスタ'!$B$6:$B$1005,$W1626)=0),N(U1625)+1,N(U1625))</f>
        <v/>
      </c>
      <c r="V1626" s="19">
        <f>IF($B1626="","",TEXT($B1626,"0000"))</f>
        <v/>
      </c>
      <c r="W1626" s="19">
        <f>IF($I1626="","",IF(ISNUMBER($I1626),TEXT($I1626,"0"),$I1626))</f>
        <v/>
      </c>
    </row>
    <row r="1627">
      <c r="B1627" s="25" t="n"/>
      <c r="I1627" s="25" t="n"/>
      <c r="U1627" s="19">
        <f>IF(AND($V1627='設定'!$C$4,COUNTIF('商品マスタ'!$B$6:$B$1005,$W1627)=0),N(U1626)+1,N(U1626))</f>
        <v/>
      </c>
      <c r="V1627" s="19">
        <f>IF($B1627="","",TEXT($B1627,"0000"))</f>
        <v/>
      </c>
      <c r="W1627" s="19">
        <f>IF($I1627="","",IF(ISNUMBER($I1627),TEXT($I1627,"0"),$I1627))</f>
        <v/>
      </c>
    </row>
    <row r="1628">
      <c r="B1628" s="25" t="n"/>
      <c r="I1628" s="25" t="n"/>
      <c r="U1628" s="19">
        <f>IF(AND($V1628='設定'!$C$4,COUNTIF('商品マスタ'!$B$6:$B$1005,$W1628)=0),N(U1627)+1,N(U1627))</f>
        <v/>
      </c>
      <c r="V1628" s="19">
        <f>IF($B1628="","",TEXT($B1628,"0000"))</f>
        <v/>
      </c>
      <c r="W1628" s="19">
        <f>IF($I1628="","",IF(ISNUMBER($I1628),TEXT($I1628,"0"),$I1628))</f>
        <v/>
      </c>
    </row>
    <row r="1629">
      <c r="B1629" s="25" t="n"/>
      <c r="I1629" s="25" t="n"/>
      <c r="U1629" s="19">
        <f>IF(AND($V1629='設定'!$C$4,COUNTIF('商品マスタ'!$B$6:$B$1005,$W1629)=0),N(U1628)+1,N(U1628))</f>
        <v/>
      </c>
      <c r="V1629" s="19">
        <f>IF($B1629="","",TEXT($B1629,"0000"))</f>
        <v/>
      </c>
      <c r="W1629" s="19">
        <f>IF($I1629="","",IF(ISNUMBER($I1629),TEXT($I1629,"0"),$I1629))</f>
        <v/>
      </c>
    </row>
    <row r="1630">
      <c r="B1630" s="25" t="n"/>
      <c r="I1630" s="25" t="n"/>
      <c r="U1630" s="19">
        <f>IF(AND($V1630='設定'!$C$4,COUNTIF('商品マスタ'!$B$6:$B$1005,$W1630)=0),N(U1629)+1,N(U1629))</f>
        <v/>
      </c>
      <c r="V1630" s="19">
        <f>IF($B1630="","",TEXT($B1630,"0000"))</f>
        <v/>
      </c>
      <c r="W1630" s="19">
        <f>IF($I1630="","",IF(ISNUMBER($I1630),TEXT($I1630,"0"),$I1630))</f>
        <v/>
      </c>
    </row>
    <row r="1631">
      <c r="B1631" s="25" t="n"/>
      <c r="I1631" s="25" t="n"/>
      <c r="U1631" s="19">
        <f>IF(AND($V1631='設定'!$C$4,COUNTIF('商品マスタ'!$B$6:$B$1005,$W1631)=0),N(U1630)+1,N(U1630))</f>
        <v/>
      </c>
      <c r="V1631" s="19">
        <f>IF($B1631="","",TEXT($B1631,"0000"))</f>
        <v/>
      </c>
      <c r="W1631" s="19">
        <f>IF($I1631="","",IF(ISNUMBER($I1631),TEXT($I1631,"0"),$I1631))</f>
        <v/>
      </c>
    </row>
    <row r="1632">
      <c r="B1632" s="25" t="n"/>
      <c r="I1632" s="25" t="n"/>
      <c r="U1632" s="19">
        <f>IF(AND($V1632='設定'!$C$4,COUNTIF('商品マスタ'!$B$6:$B$1005,$W1632)=0),N(U1631)+1,N(U1631))</f>
        <v/>
      </c>
      <c r="V1632" s="19">
        <f>IF($B1632="","",TEXT($B1632,"0000"))</f>
        <v/>
      </c>
      <c r="W1632" s="19">
        <f>IF($I1632="","",IF(ISNUMBER($I1632),TEXT($I1632,"0"),$I1632))</f>
        <v/>
      </c>
    </row>
    <row r="1633">
      <c r="B1633" s="25" t="n"/>
      <c r="I1633" s="25" t="n"/>
      <c r="U1633" s="19">
        <f>IF(AND($V1633='設定'!$C$4,COUNTIF('商品マスタ'!$B$6:$B$1005,$W1633)=0),N(U1632)+1,N(U1632))</f>
        <v/>
      </c>
      <c r="V1633" s="19">
        <f>IF($B1633="","",TEXT($B1633,"0000"))</f>
        <v/>
      </c>
      <c r="W1633" s="19">
        <f>IF($I1633="","",IF(ISNUMBER($I1633),TEXT($I1633,"0"),$I1633))</f>
        <v/>
      </c>
    </row>
    <row r="1634">
      <c r="B1634" s="25" t="n"/>
      <c r="I1634" s="25" t="n"/>
      <c r="U1634" s="19">
        <f>IF(AND($V1634='設定'!$C$4,COUNTIF('商品マスタ'!$B$6:$B$1005,$W1634)=0),N(U1633)+1,N(U1633))</f>
        <v/>
      </c>
      <c r="V1634" s="19">
        <f>IF($B1634="","",TEXT($B1634,"0000"))</f>
        <v/>
      </c>
      <c r="W1634" s="19">
        <f>IF($I1634="","",IF(ISNUMBER($I1634),TEXT($I1634,"0"),$I1634))</f>
        <v/>
      </c>
    </row>
    <row r="1635">
      <c r="B1635" s="25" t="n"/>
      <c r="I1635" s="25" t="n"/>
      <c r="U1635" s="19">
        <f>IF(AND($V1635='設定'!$C$4,COUNTIF('商品マスタ'!$B$6:$B$1005,$W1635)=0),N(U1634)+1,N(U1634))</f>
        <v/>
      </c>
      <c r="V1635" s="19">
        <f>IF($B1635="","",TEXT($B1635,"0000"))</f>
        <v/>
      </c>
      <c r="W1635" s="19">
        <f>IF($I1635="","",IF(ISNUMBER($I1635),TEXT($I1635,"0"),$I1635))</f>
        <v/>
      </c>
    </row>
    <row r="1636">
      <c r="B1636" s="25" t="n"/>
      <c r="I1636" s="25" t="n"/>
      <c r="U1636" s="19">
        <f>IF(AND($V1636='設定'!$C$4,COUNTIF('商品マスタ'!$B$6:$B$1005,$W1636)=0),N(U1635)+1,N(U1635))</f>
        <v/>
      </c>
      <c r="V1636" s="19">
        <f>IF($B1636="","",TEXT($B1636,"0000"))</f>
        <v/>
      </c>
      <c r="W1636" s="19">
        <f>IF($I1636="","",IF(ISNUMBER($I1636),TEXT($I1636,"0"),$I1636))</f>
        <v/>
      </c>
    </row>
    <row r="1637">
      <c r="B1637" s="25" t="n"/>
      <c r="I1637" s="25" t="n"/>
      <c r="U1637" s="19">
        <f>IF(AND($V1637='設定'!$C$4,COUNTIF('商品マスタ'!$B$6:$B$1005,$W1637)=0),N(U1636)+1,N(U1636))</f>
        <v/>
      </c>
      <c r="V1637" s="19">
        <f>IF($B1637="","",TEXT($B1637,"0000"))</f>
        <v/>
      </c>
      <c r="W1637" s="19">
        <f>IF($I1637="","",IF(ISNUMBER($I1637),TEXT($I1637,"0"),$I1637))</f>
        <v/>
      </c>
    </row>
    <row r="1638">
      <c r="B1638" s="25" t="n"/>
      <c r="I1638" s="25" t="n"/>
      <c r="U1638" s="19">
        <f>IF(AND($V1638='設定'!$C$4,COUNTIF('商品マスタ'!$B$6:$B$1005,$W1638)=0),N(U1637)+1,N(U1637))</f>
        <v/>
      </c>
      <c r="V1638" s="19">
        <f>IF($B1638="","",TEXT($B1638,"0000"))</f>
        <v/>
      </c>
      <c r="W1638" s="19">
        <f>IF($I1638="","",IF(ISNUMBER($I1638),TEXT($I1638,"0"),$I1638))</f>
        <v/>
      </c>
    </row>
    <row r="1639">
      <c r="B1639" s="25" t="n"/>
      <c r="I1639" s="25" t="n"/>
      <c r="U1639" s="19">
        <f>IF(AND($V1639='設定'!$C$4,COUNTIF('商品マスタ'!$B$6:$B$1005,$W1639)=0),N(U1638)+1,N(U1638))</f>
        <v/>
      </c>
      <c r="V1639" s="19">
        <f>IF($B1639="","",TEXT($B1639,"0000"))</f>
        <v/>
      </c>
      <c r="W1639" s="19">
        <f>IF($I1639="","",IF(ISNUMBER($I1639),TEXT($I1639,"0"),$I1639))</f>
        <v/>
      </c>
    </row>
    <row r="1640">
      <c r="B1640" s="25" t="n"/>
      <c r="I1640" s="25" t="n"/>
      <c r="U1640" s="19">
        <f>IF(AND($V1640='設定'!$C$4,COUNTIF('商品マスタ'!$B$6:$B$1005,$W1640)=0),N(U1639)+1,N(U1639))</f>
        <v/>
      </c>
      <c r="V1640" s="19">
        <f>IF($B1640="","",TEXT($B1640,"0000"))</f>
        <v/>
      </c>
      <c r="W1640" s="19">
        <f>IF($I1640="","",IF(ISNUMBER($I1640),TEXT($I1640,"0"),$I1640))</f>
        <v/>
      </c>
    </row>
    <row r="1641">
      <c r="B1641" s="25" t="n"/>
      <c r="I1641" s="25" t="n"/>
      <c r="U1641" s="19">
        <f>IF(AND($V1641='設定'!$C$4,COUNTIF('商品マスタ'!$B$6:$B$1005,$W1641)=0),N(U1640)+1,N(U1640))</f>
        <v/>
      </c>
      <c r="V1641" s="19">
        <f>IF($B1641="","",TEXT($B1641,"0000"))</f>
        <v/>
      </c>
      <c r="W1641" s="19">
        <f>IF($I1641="","",IF(ISNUMBER($I1641),TEXT($I1641,"0"),$I1641))</f>
        <v/>
      </c>
    </row>
    <row r="1642">
      <c r="B1642" s="25" t="n"/>
      <c r="I1642" s="25" t="n"/>
      <c r="U1642" s="19">
        <f>IF(AND($V1642='設定'!$C$4,COUNTIF('商品マスタ'!$B$6:$B$1005,$W1642)=0),N(U1641)+1,N(U1641))</f>
        <v/>
      </c>
      <c r="V1642" s="19">
        <f>IF($B1642="","",TEXT($B1642,"0000"))</f>
        <v/>
      </c>
      <c r="W1642" s="19">
        <f>IF($I1642="","",IF(ISNUMBER($I1642),TEXT($I1642,"0"),$I1642))</f>
        <v/>
      </c>
    </row>
    <row r="1643">
      <c r="B1643" s="25" t="n"/>
      <c r="I1643" s="25" t="n"/>
      <c r="U1643" s="19">
        <f>IF(AND($V1643='設定'!$C$4,COUNTIF('商品マスタ'!$B$6:$B$1005,$W1643)=0),N(U1642)+1,N(U1642))</f>
        <v/>
      </c>
      <c r="V1643" s="19">
        <f>IF($B1643="","",TEXT($B1643,"0000"))</f>
        <v/>
      </c>
      <c r="W1643" s="19">
        <f>IF($I1643="","",IF(ISNUMBER($I1643),TEXT($I1643,"0"),$I1643))</f>
        <v/>
      </c>
    </row>
    <row r="1644">
      <c r="B1644" s="25" t="n"/>
      <c r="I1644" s="25" t="n"/>
      <c r="U1644" s="19">
        <f>IF(AND($V1644='設定'!$C$4,COUNTIF('商品マスタ'!$B$6:$B$1005,$W1644)=0),N(U1643)+1,N(U1643))</f>
        <v/>
      </c>
      <c r="V1644" s="19">
        <f>IF($B1644="","",TEXT($B1644,"0000"))</f>
        <v/>
      </c>
      <c r="W1644" s="19">
        <f>IF($I1644="","",IF(ISNUMBER($I1644),TEXT($I1644,"0"),$I1644))</f>
        <v/>
      </c>
    </row>
    <row r="1645">
      <c r="B1645" s="25" t="n"/>
      <c r="I1645" s="25" t="n"/>
      <c r="U1645" s="19">
        <f>IF(AND($V1645='設定'!$C$4,COUNTIF('商品マスタ'!$B$6:$B$1005,$W1645)=0),N(U1644)+1,N(U1644))</f>
        <v/>
      </c>
      <c r="V1645" s="19">
        <f>IF($B1645="","",TEXT($B1645,"0000"))</f>
        <v/>
      </c>
      <c r="W1645" s="19">
        <f>IF($I1645="","",IF(ISNUMBER($I1645),TEXT($I1645,"0"),$I1645))</f>
        <v/>
      </c>
    </row>
    <row r="1646">
      <c r="B1646" s="25" t="n"/>
      <c r="I1646" s="25" t="n"/>
      <c r="U1646" s="19">
        <f>IF(AND($V1646='設定'!$C$4,COUNTIF('商品マスタ'!$B$6:$B$1005,$W1646)=0),N(U1645)+1,N(U1645))</f>
        <v/>
      </c>
      <c r="V1646" s="19">
        <f>IF($B1646="","",TEXT($B1646,"0000"))</f>
        <v/>
      </c>
      <c r="W1646" s="19">
        <f>IF($I1646="","",IF(ISNUMBER($I1646),TEXT($I1646,"0"),$I1646))</f>
        <v/>
      </c>
    </row>
    <row r="1647">
      <c r="B1647" s="25" t="n"/>
      <c r="I1647" s="25" t="n"/>
      <c r="U1647" s="19">
        <f>IF(AND($V1647='設定'!$C$4,COUNTIF('商品マスタ'!$B$6:$B$1005,$W1647)=0),N(U1646)+1,N(U1646))</f>
        <v/>
      </c>
      <c r="V1647" s="19">
        <f>IF($B1647="","",TEXT($B1647,"0000"))</f>
        <v/>
      </c>
      <c r="W1647" s="19">
        <f>IF($I1647="","",IF(ISNUMBER($I1647),TEXT($I1647,"0"),$I1647))</f>
        <v/>
      </c>
    </row>
    <row r="1648">
      <c r="B1648" s="25" t="n"/>
      <c r="I1648" s="25" t="n"/>
      <c r="U1648" s="19">
        <f>IF(AND($V1648='設定'!$C$4,COUNTIF('商品マスタ'!$B$6:$B$1005,$W1648)=0),N(U1647)+1,N(U1647))</f>
        <v/>
      </c>
      <c r="V1648" s="19">
        <f>IF($B1648="","",TEXT($B1648,"0000"))</f>
        <v/>
      </c>
      <c r="W1648" s="19">
        <f>IF($I1648="","",IF(ISNUMBER($I1648),TEXT($I1648,"0"),$I1648))</f>
        <v/>
      </c>
    </row>
    <row r="1649">
      <c r="B1649" s="25" t="n"/>
      <c r="I1649" s="25" t="n"/>
      <c r="U1649" s="19">
        <f>IF(AND($V1649='設定'!$C$4,COUNTIF('商品マスタ'!$B$6:$B$1005,$W1649)=0),N(U1648)+1,N(U1648))</f>
        <v/>
      </c>
      <c r="V1649" s="19">
        <f>IF($B1649="","",TEXT($B1649,"0000"))</f>
        <v/>
      </c>
      <c r="W1649" s="19">
        <f>IF($I1649="","",IF(ISNUMBER($I1649),TEXT($I1649,"0"),$I1649))</f>
        <v/>
      </c>
    </row>
    <row r="1650">
      <c r="B1650" s="25" t="n"/>
      <c r="I1650" s="25" t="n"/>
      <c r="U1650" s="19">
        <f>IF(AND($V1650='設定'!$C$4,COUNTIF('商品マスタ'!$B$6:$B$1005,$W1650)=0),N(U1649)+1,N(U1649))</f>
        <v/>
      </c>
      <c r="V1650" s="19">
        <f>IF($B1650="","",TEXT($B1650,"0000"))</f>
        <v/>
      </c>
      <c r="W1650" s="19">
        <f>IF($I1650="","",IF(ISNUMBER($I1650),TEXT($I1650,"0"),$I1650))</f>
        <v/>
      </c>
    </row>
    <row r="1651">
      <c r="B1651" s="25" t="n"/>
      <c r="I1651" s="25" t="n"/>
      <c r="U1651" s="19">
        <f>IF(AND($V1651='設定'!$C$4,COUNTIF('商品マスタ'!$B$6:$B$1005,$W1651)=0),N(U1650)+1,N(U1650))</f>
        <v/>
      </c>
      <c r="V1651" s="19">
        <f>IF($B1651="","",TEXT($B1651,"0000"))</f>
        <v/>
      </c>
      <c r="W1651" s="19">
        <f>IF($I1651="","",IF(ISNUMBER($I1651),TEXT($I1651,"0"),$I1651))</f>
        <v/>
      </c>
    </row>
    <row r="1652">
      <c r="B1652" s="25" t="n"/>
      <c r="I1652" s="25" t="n"/>
      <c r="U1652" s="19">
        <f>IF(AND($V1652='設定'!$C$4,COUNTIF('商品マスタ'!$B$6:$B$1005,$W1652)=0),N(U1651)+1,N(U1651))</f>
        <v/>
      </c>
      <c r="V1652" s="19">
        <f>IF($B1652="","",TEXT($B1652,"0000"))</f>
        <v/>
      </c>
      <c r="W1652" s="19">
        <f>IF($I1652="","",IF(ISNUMBER($I1652),TEXT($I1652,"0"),$I1652))</f>
        <v/>
      </c>
    </row>
    <row r="1653">
      <c r="B1653" s="25" t="n"/>
      <c r="I1653" s="25" t="n"/>
      <c r="U1653" s="19">
        <f>IF(AND($V1653='設定'!$C$4,COUNTIF('商品マスタ'!$B$6:$B$1005,$W1653)=0),N(U1652)+1,N(U1652))</f>
        <v/>
      </c>
      <c r="V1653" s="19">
        <f>IF($B1653="","",TEXT($B1653,"0000"))</f>
        <v/>
      </c>
      <c r="W1653" s="19">
        <f>IF($I1653="","",IF(ISNUMBER($I1653),TEXT($I1653,"0"),$I1653))</f>
        <v/>
      </c>
    </row>
    <row r="1654">
      <c r="B1654" s="25" t="n"/>
      <c r="I1654" s="25" t="n"/>
      <c r="U1654" s="19">
        <f>IF(AND($V1654='設定'!$C$4,COUNTIF('商品マスタ'!$B$6:$B$1005,$W1654)=0),N(U1653)+1,N(U1653))</f>
        <v/>
      </c>
      <c r="V1654" s="19">
        <f>IF($B1654="","",TEXT($B1654,"0000"))</f>
        <v/>
      </c>
      <c r="W1654" s="19">
        <f>IF($I1654="","",IF(ISNUMBER($I1654),TEXT($I1654,"0"),$I1654))</f>
        <v/>
      </c>
    </row>
    <row r="1655">
      <c r="B1655" s="25" t="n"/>
      <c r="I1655" s="25" t="n"/>
      <c r="U1655" s="19">
        <f>IF(AND($V1655='設定'!$C$4,COUNTIF('商品マスタ'!$B$6:$B$1005,$W1655)=0),N(U1654)+1,N(U1654))</f>
        <v/>
      </c>
      <c r="V1655" s="19">
        <f>IF($B1655="","",TEXT($B1655,"0000"))</f>
        <v/>
      </c>
      <c r="W1655" s="19">
        <f>IF($I1655="","",IF(ISNUMBER($I1655),TEXT($I1655,"0"),$I1655))</f>
        <v/>
      </c>
    </row>
    <row r="1656">
      <c r="B1656" s="25" t="n"/>
      <c r="I1656" s="25" t="n"/>
      <c r="U1656" s="19">
        <f>IF(AND($V1656='設定'!$C$4,COUNTIF('商品マスタ'!$B$6:$B$1005,$W1656)=0),N(U1655)+1,N(U1655))</f>
        <v/>
      </c>
      <c r="V1656" s="19">
        <f>IF($B1656="","",TEXT($B1656,"0000"))</f>
        <v/>
      </c>
      <c r="W1656" s="19">
        <f>IF($I1656="","",IF(ISNUMBER($I1656),TEXT($I1656,"0"),$I1656))</f>
        <v/>
      </c>
    </row>
    <row r="1657">
      <c r="B1657" s="25" t="n"/>
      <c r="I1657" s="25" t="n"/>
      <c r="U1657" s="19">
        <f>IF(AND($V1657='設定'!$C$4,COUNTIF('商品マスタ'!$B$6:$B$1005,$W1657)=0),N(U1656)+1,N(U1656))</f>
        <v/>
      </c>
      <c r="V1657" s="19">
        <f>IF($B1657="","",TEXT($B1657,"0000"))</f>
        <v/>
      </c>
      <c r="W1657" s="19">
        <f>IF($I1657="","",IF(ISNUMBER($I1657),TEXT($I1657,"0"),$I1657))</f>
        <v/>
      </c>
    </row>
    <row r="1658">
      <c r="B1658" s="25" t="n"/>
      <c r="I1658" s="25" t="n"/>
      <c r="U1658" s="19">
        <f>IF(AND($V1658='設定'!$C$4,COUNTIF('商品マスタ'!$B$6:$B$1005,$W1658)=0),N(U1657)+1,N(U1657))</f>
        <v/>
      </c>
      <c r="V1658" s="19">
        <f>IF($B1658="","",TEXT($B1658,"0000"))</f>
        <v/>
      </c>
      <c r="W1658" s="19">
        <f>IF($I1658="","",IF(ISNUMBER($I1658),TEXT($I1658,"0"),$I1658))</f>
        <v/>
      </c>
    </row>
    <row r="1659">
      <c r="B1659" s="25" t="n"/>
      <c r="I1659" s="25" t="n"/>
      <c r="U1659" s="19">
        <f>IF(AND($V1659='設定'!$C$4,COUNTIF('商品マスタ'!$B$6:$B$1005,$W1659)=0),N(U1658)+1,N(U1658))</f>
        <v/>
      </c>
      <c r="V1659" s="19">
        <f>IF($B1659="","",TEXT($B1659,"0000"))</f>
        <v/>
      </c>
      <c r="W1659" s="19">
        <f>IF($I1659="","",IF(ISNUMBER($I1659),TEXT($I1659,"0"),$I1659))</f>
        <v/>
      </c>
    </row>
    <row r="1660">
      <c r="B1660" s="25" t="n"/>
      <c r="I1660" s="25" t="n"/>
      <c r="U1660" s="19">
        <f>IF(AND($V1660='設定'!$C$4,COUNTIF('商品マスタ'!$B$6:$B$1005,$W1660)=0),N(U1659)+1,N(U1659))</f>
        <v/>
      </c>
      <c r="V1660" s="19">
        <f>IF($B1660="","",TEXT($B1660,"0000"))</f>
        <v/>
      </c>
      <c r="W1660" s="19">
        <f>IF($I1660="","",IF(ISNUMBER($I1660),TEXT($I1660,"0"),$I1660))</f>
        <v/>
      </c>
    </row>
    <row r="1661">
      <c r="B1661" s="25" t="n"/>
      <c r="I1661" s="25" t="n"/>
      <c r="U1661" s="19">
        <f>IF(AND($V1661='設定'!$C$4,COUNTIF('商品マスタ'!$B$6:$B$1005,$W1661)=0),N(U1660)+1,N(U1660))</f>
        <v/>
      </c>
      <c r="V1661" s="19">
        <f>IF($B1661="","",TEXT($B1661,"0000"))</f>
        <v/>
      </c>
      <c r="W1661" s="19">
        <f>IF($I1661="","",IF(ISNUMBER($I1661),TEXT($I1661,"0"),$I1661))</f>
        <v/>
      </c>
    </row>
    <row r="1662">
      <c r="B1662" s="25" t="n"/>
      <c r="I1662" s="25" t="n"/>
      <c r="U1662" s="19">
        <f>IF(AND($V1662='設定'!$C$4,COUNTIF('商品マスタ'!$B$6:$B$1005,$W1662)=0),N(U1661)+1,N(U1661))</f>
        <v/>
      </c>
      <c r="V1662" s="19">
        <f>IF($B1662="","",TEXT($B1662,"0000"))</f>
        <v/>
      </c>
      <c r="W1662" s="19">
        <f>IF($I1662="","",IF(ISNUMBER($I1662),TEXT($I1662,"0"),$I1662))</f>
        <v/>
      </c>
    </row>
    <row r="1663">
      <c r="B1663" s="25" t="n"/>
      <c r="I1663" s="25" t="n"/>
      <c r="U1663" s="19">
        <f>IF(AND($V1663='設定'!$C$4,COUNTIF('商品マスタ'!$B$6:$B$1005,$W1663)=0),N(U1662)+1,N(U1662))</f>
        <v/>
      </c>
      <c r="V1663" s="19">
        <f>IF($B1663="","",TEXT($B1663,"0000"))</f>
        <v/>
      </c>
      <c r="W1663" s="19">
        <f>IF($I1663="","",IF(ISNUMBER($I1663),TEXT($I1663,"0"),$I1663))</f>
        <v/>
      </c>
    </row>
    <row r="1664">
      <c r="B1664" s="25" t="n"/>
      <c r="I1664" s="25" t="n"/>
      <c r="U1664" s="19">
        <f>IF(AND($V1664='設定'!$C$4,COUNTIF('商品マスタ'!$B$6:$B$1005,$W1664)=0),N(U1663)+1,N(U1663))</f>
        <v/>
      </c>
      <c r="V1664" s="19">
        <f>IF($B1664="","",TEXT($B1664,"0000"))</f>
        <v/>
      </c>
      <c r="W1664" s="19">
        <f>IF($I1664="","",IF(ISNUMBER($I1664),TEXT($I1664,"0"),$I1664))</f>
        <v/>
      </c>
    </row>
    <row r="1665">
      <c r="B1665" s="25" t="n"/>
      <c r="I1665" s="25" t="n"/>
      <c r="U1665" s="19">
        <f>IF(AND($V1665='設定'!$C$4,COUNTIF('商品マスタ'!$B$6:$B$1005,$W1665)=0),N(U1664)+1,N(U1664))</f>
        <v/>
      </c>
      <c r="V1665" s="19">
        <f>IF($B1665="","",TEXT($B1665,"0000"))</f>
        <v/>
      </c>
      <c r="W1665" s="19">
        <f>IF($I1665="","",IF(ISNUMBER($I1665),TEXT($I1665,"0"),$I1665))</f>
        <v/>
      </c>
    </row>
    <row r="1666">
      <c r="B1666" s="25" t="n"/>
      <c r="I1666" s="25" t="n"/>
      <c r="U1666" s="19">
        <f>IF(AND($V1666='設定'!$C$4,COUNTIF('商品マスタ'!$B$6:$B$1005,$W1666)=0),N(U1665)+1,N(U1665))</f>
        <v/>
      </c>
      <c r="V1666" s="19">
        <f>IF($B1666="","",TEXT($B1666,"0000"))</f>
        <v/>
      </c>
      <c r="W1666" s="19">
        <f>IF($I1666="","",IF(ISNUMBER($I1666),TEXT($I1666,"0"),$I1666))</f>
        <v/>
      </c>
    </row>
    <row r="1667">
      <c r="B1667" s="25" t="n"/>
      <c r="I1667" s="25" t="n"/>
      <c r="U1667" s="19">
        <f>IF(AND($V1667='設定'!$C$4,COUNTIF('商品マスタ'!$B$6:$B$1005,$W1667)=0),N(U1666)+1,N(U1666))</f>
        <v/>
      </c>
      <c r="V1667" s="19">
        <f>IF($B1667="","",TEXT($B1667,"0000"))</f>
        <v/>
      </c>
      <c r="W1667" s="19">
        <f>IF($I1667="","",IF(ISNUMBER($I1667),TEXT($I1667,"0"),$I1667))</f>
        <v/>
      </c>
    </row>
    <row r="1668">
      <c r="B1668" s="25" t="n"/>
      <c r="I1668" s="25" t="n"/>
      <c r="U1668" s="19">
        <f>IF(AND($V1668='設定'!$C$4,COUNTIF('商品マスタ'!$B$6:$B$1005,$W1668)=0),N(U1667)+1,N(U1667))</f>
        <v/>
      </c>
      <c r="V1668" s="19">
        <f>IF($B1668="","",TEXT($B1668,"0000"))</f>
        <v/>
      </c>
      <c r="W1668" s="19">
        <f>IF($I1668="","",IF(ISNUMBER($I1668),TEXT($I1668,"0"),$I1668))</f>
        <v/>
      </c>
    </row>
    <row r="1669">
      <c r="B1669" s="25" t="n"/>
      <c r="I1669" s="25" t="n"/>
      <c r="U1669" s="19">
        <f>IF(AND($V1669='設定'!$C$4,COUNTIF('商品マスタ'!$B$6:$B$1005,$W1669)=0),N(U1668)+1,N(U1668))</f>
        <v/>
      </c>
      <c r="V1669" s="19">
        <f>IF($B1669="","",TEXT($B1669,"0000"))</f>
        <v/>
      </c>
      <c r="W1669" s="19">
        <f>IF($I1669="","",IF(ISNUMBER($I1669),TEXT($I1669,"0"),$I1669))</f>
        <v/>
      </c>
    </row>
    <row r="1670">
      <c r="B1670" s="25" t="n"/>
      <c r="I1670" s="25" t="n"/>
      <c r="U1670" s="19">
        <f>IF(AND($V1670='設定'!$C$4,COUNTIF('商品マスタ'!$B$6:$B$1005,$W1670)=0),N(U1669)+1,N(U1669))</f>
        <v/>
      </c>
      <c r="V1670" s="19">
        <f>IF($B1670="","",TEXT($B1670,"0000"))</f>
        <v/>
      </c>
      <c r="W1670" s="19">
        <f>IF($I1670="","",IF(ISNUMBER($I1670),TEXT($I1670,"0"),$I1670))</f>
        <v/>
      </c>
    </row>
    <row r="1671">
      <c r="B1671" s="25" t="n"/>
      <c r="I1671" s="25" t="n"/>
      <c r="U1671" s="19">
        <f>IF(AND($V1671='設定'!$C$4,COUNTIF('商品マスタ'!$B$6:$B$1005,$W1671)=0),N(U1670)+1,N(U1670))</f>
        <v/>
      </c>
      <c r="V1671" s="19">
        <f>IF($B1671="","",TEXT($B1671,"0000"))</f>
        <v/>
      </c>
      <c r="W1671" s="19">
        <f>IF($I1671="","",IF(ISNUMBER($I1671),TEXT($I1671,"0"),$I1671))</f>
        <v/>
      </c>
    </row>
    <row r="1672">
      <c r="B1672" s="25" t="n"/>
      <c r="I1672" s="25" t="n"/>
      <c r="U1672" s="19">
        <f>IF(AND($V1672='設定'!$C$4,COUNTIF('商品マスタ'!$B$6:$B$1005,$W1672)=0),N(U1671)+1,N(U1671))</f>
        <v/>
      </c>
      <c r="V1672" s="19">
        <f>IF($B1672="","",TEXT($B1672,"0000"))</f>
        <v/>
      </c>
      <c r="W1672" s="19">
        <f>IF($I1672="","",IF(ISNUMBER($I1672),TEXT($I1672,"0"),$I1672))</f>
        <v/>
      </c>
    </row>
    <row r="1673">
      <c r="B1673" s="25" t="n"/>
      <c r="I1673" s="25" t="n"/>
      <c r="U1673" s="19">
        <f>IF(AND($V1673='設定'!$C$4,COUNTIF('商品マスタ'!$B$6:$B$1005,$W1673)=0),N(U1672)+1,N(U1672))</f>
        <v/>
      </c>
      <c r="V1673" s="19">
        <f>IF($B1673="","",TEXT($B1673,"0000"))</f>
        <v/>
      </c>
      <c r="W1673" s="19">
        <f>IF($I1673="","",IF(ISNUMBER($I1673),TEXT($I1673,"0"),$I1673))</f>
        <v/>
      </c>
    </row>
    <row r="1674">
      <c r="B1674" s="25" t="n"/>
      <c r="I1674" s="25" t="n"/>
      <c r="U1674" s="19">
        <f>IF(AND($V1674='設定'!$C$4,COUNTIF('商品マスタ'!$B$6:$B$1005,$W1674)=0),N(U1673)+1,N(U1673))</f>
        <v/>
      </c>
      <c r="V1674" s="19">
        <f>IF($B1674="","",TEXT($B1674,"0000"))</f>
        <v/>
      </c>
      <c r="W1674" s="19">
        <f>IF($I1674="","",IF(ISNUMBER($I1674),TEXT($I1674,"0"),$I1674))</f>
        <v/>
      </c>
    </row>
    <row r="1675">
      <c r="B1675" s="25" t="n"/>
      <c r="I1675" s="25" t="n"/>
      <c r="U1675" s="19">
        <f>IF(AND($V1675='設定'!$C$4,COUNTIF('商品マスタ'!$B$6:$B$1005,$W1675)=0),N(U1674)+1,N(U1674))</f>
        <v/>
      </c>
      <c r="V1675" s="19">
        <f>IF($B1675="","",TEXT($B1675,"0000"))</f>
        <v/>
      </c>
      <c r="W1675" s="19">
        <f>IF($I1675="","",IF(ISNUMBER($I1675),TEXT($I1675,"0"),$I1675))</f>
        <v/>
      </c>
    </row>
    <row r="1676">
      <c r="B1676" s="25" t="n"/>
      <c r="I1676" s="25" t="n"/>
      <c r="U1676" s="19">
        <f>IF(AND($V1676='設定'!$C$4,COUNTIF('商品マスタ'!$B$6:$B$1005,$W1676)=0),N(U1675)+1,N(U1675))</f>
        <v/>
      </c>
      <c r="V1676" s="19">
        <f>IF($B1676="","",TEXT($B1676,"0000"))</f>
        <v/>
      </c>
      <c r="W1676" s="19">
        <f>IF($I1676="","",IF(ISNUMBER($I1676),TEXT($I1676,"0"),$I1676))</f>
        <v/>
      </c>
    </row>
    <row r="1677">
      <c r="B1677" s="25" t="n"/>
      <c r="I1677" s="25" t="n"/>
      <c r="U1677" s="19">
        <f>IF(AND($V1677='設定'!$C$4,COUNTIF('商品マスタ'!$B$6:$B$1005,$W1677)=0),N(U1676)+1,N(U1676))</f>
        <v/>
      </c>
      <c r="V1677" s="19">
        <f>IF($B1677="","",TEXT($B1677,"0000"))</f>
        <v/>
      </c>
      <c r="W1677" s="19">
        <f>IF($I1677="","",IF(ISNUMBER($I1677),TEXT($I1677,"0"),$I1677))</f>
        <v/>
      </c>
    </row>
    <row r="1678">
      <c r="B1678" s="25" t="n"/>
      <c r="I1678" s="25" t="n"/>
      <c r="U1678" s="19">
        <f>IF(AND($V1678='設定'!$C$4,COUNTIF('商品マスタ'!$B$6:$B$1005,$W1678)=0),N(U1677)+1,N(U1677))</f>
        <v/>
      </c>
      <c r="V1678" s="19">
        <f>IF($B1678="","",TEXT($B1678,"0000"))</f>
        <v/>
      </c>
      <c r="W1678" s="19">
        <f>IF($I1678="","",IF(ISNUMBER($I1678),TEXT($I1678,"0"),$I1678))</f>
        <v/>
      </c>
    </row>
    <row r="1679">
      <c r="B1679" s="25" t="n"/>
      <c r="I1679" s="25" t="n"/>
      <c r="U1679" s="19">
        <f>IF(AND($V1679='設定'!$C$4,COUNTIF('商品マスタ'!$B$6:$B$1005,$W1679)=0),N(U1678)+1,N(U1678))</f>
        <v/>
      </c>
      <c r="V1679" s="19">
        <f>IF($B1679="","",TEXT($B1679,"0000"))</f>
        <v/>
      </c>
      <c r="W1679" s="19">
        <f>IF($I1679="","",IF(ISNUMBER($I1679),TEXT($I1679,"0"),$I1679))</f>
        <v/>
      </c>
    </row>
    <row r="1680">
      <c r="B1680" s="25" t="n"/>
      <c r="I1680" s="25" t="n"/>
      <c r="U1680" s="19">
        <f>IF(AND($V1680='設定'!$C$4,COUNTIF('商品マスタ'!$B$6:$B$1005,$W1680)=0),N(U1679)+1,N(U1679))</f>
        <v/>
      </c>
      <c r="V1680" s="19">
        <f>IF($B1680="","",TEXT($B1680,"0000"))</f>
        <v/>
      </c>
      <c r="W1680" s="19">
        <f>IF($I1680="","",IF(ISNUMBER($I1680),TEXT($I1680,"0"),$I1680))</f>
        <v/>
      </c>
    </row>
    <row r="1681">
      <c r="B1681" s="25" t="n"/>
      <c r="I1681" s="25" t="n"/>
      <c r="U1681" s="19">
        <f>IF(AND($V1681='設定'!$C$4,COUNTIF('商品マスタ'!$B$6:$B$1005,$W1681)=0),N(U1680)+1,N(U1680))</f>
        <v/>
      </c>
      <c r="V1681" s="19">
        <f>IF($B1681="","",TEXT($B1681,"0000"))</f>
        <v/>
      </c>
      <c r="W1681" s="19">
        <f>IF($I1681="","",IF(ISNUMBER($I1681),TEXT($I1681,"0"),$I1681))</f>
        <v/>
      </c>
    </row>
    <row r="1682">
      <c r="B1682" s="25" t="n"/>
      <c r="I1682" s="25" t="n"/>
      <c r="U1682" s="19">
        <f>IF(AND($V1682='設定'!$C$4,COUNTIF('商品マスタ'!$B$6:$B$1005,$W1682)=0),N(U1681)+1,N(U1681))</f>
        <v/>
      </c>
      <c r="V1682" s="19">
        <f>IF($B1682="","",TEXT($B1682,"0000"))</f>
        <v/>
      </c>
      <c r="W1682" s="19">
        <f>IF($I1682="","",IF(ISNUMBER($I1682),TEXT($I1682,"0"),$I1682))</f>
        <v/>
      </c>
    </row>
    <row r="1683">
      <c r="B1683" s="25" t="n"/>
      <c r="I1683" s="25" t="n"/>
      <c r="U1683" s="19">
        <f>IF(AND($V1683='設定'!$C$4,COUNTIF('商品マスタ'!$B$6:$B$1005,$W1683)=0),N(U1682)+1,N(U1682))</f>
        <v/>
      </c>
      <c r="V1683" s="19">
        <f>IF($B1683="","",TEXT($B1683,"0000"))</f>
        <v/>
      </c>
      <c r="W1683" s="19">
        <f>IF($I1683="","",IF(ISNUMBER($I1683),TEXT($I1683,"0"),$I1683))</f>
        <v/>
      </c>
    </row>
    <row r="1684">
      <c r="B1684" s="25" t="n"/>
      <c r="I1684" s="25" t="n"/>
      <c r="U1684" s="19">
        <f>IF(AND($V1684='設定'!$C$4,COUNTIF('商品マスタ'!$B$6:$B$1005,$W1684)=0),N(U1683)+1,N(U1683))</f>
        <v/>
      </c>
      <c r="V1684" s="19">
        <f>IF($B1684="","",TEXT($B1684,"0000"))</f>
        <v/>
      </c>
      <c r="W1684" s="19">
        <f>IF($I1684="","",IF(ISNUMBER($I1684),TEXT($I1684,"0"),$I1684))</f>
        <v/>
      </c>
    </row>
    <row r="1685">
      <c r="B1685" s="25" t="n"/>
      <c r="I1685" s="25" t="n"/>
      <c r="U1685" s="19">
        <f>IF(AND($V1685='設定'!$C$4,COUNTIF('商品マスタ'!$B$6:$B$1005,$W1685)=0),N(U1684)+1,N(U1684))</f>
        <v/>
      </c>
      <c r="V1685" s="19">
        <f>IF($B1685="","",TEXT($B1685,"0000"))</f>
        <v/>
      </c>
      <c r="W1685" s="19">
        <f>IF($I1685="","",IF(ISNUMBER($I1685),TEXT($I1685,"0"),$I1685))</f>
        <v/>
      </c>
    </row>
    <row r="1686">
      <c r="B1686" s="25" t="n"/>
      <c r="I1686" s="25" t="n"/>
      <c r="U1686" s="19">
        <f>IF(AND($V1686='設定'!$C$4,COUNTIF('商品マスタ'!$B$6:$B$1005,$W1686)=0),N(U1685)+1,N(U1685))</f>
        <v/>
      </c>
      <c r="V1686" s="19">
        <f>IF($B1686="","",TEXT($B1686,"0000"))</f>
        <v/>
      </c>
      <c r="W1686" s="19">
        <f>IF($I1686="","",IF(ISNUMBER($I1686),TEXT($I1686,"0"),$I1686))</f>
        <v/>
      </c>
    </row>
    <row r="1687">
      <c r="B1687" s="25" t="n"/>
      <c r="I1687" s="25" t="n"/>
      <c r="U1687" s="19">
        <f>IF(AND($V1687='設定'!$C$4,COUNTIF('商品マスタ'!$B$6:$B$1005,$W1687)=0),N(U1686)+1,N(U1686))</f>
        <v/>
      </c>
      <c r="V1687" s="19">
        <f>IF($B1687="","",TEXT($B1687,"0000"))</f>
        <v/>
      </c>
      <c r="W1687" s="19">
        <f>IF($I1687="","",IF(ISNUMBER($I1687),TEXT($I1687,"0"),$I1687))</f>
        <v/>
      </c>
    </row>
    <row r="1688">
      <c r="B1688" s="25" t="n"/>
      <c r="I1688" s="25" t="n"/>
      <c r="U1688" s="19">
        <f>IF(AND($V1688='設定'!$C$4,COUNTIF('商品マスタ'!$B$6:$B$1005,$W1688)=0),N(U1687)+1,N(U1687))</f>
        <v/>
      </c>
      <c r="V1688" s="19">
        <f>IF($B1688="","",TEXT($B1688,"0000"))</f>
        <v/>
      </c>
      <c r="W1688" s="19">
        <f>IF($I1688="","",IF(ISNUMBER($I1688),TEXT($I1688,"0"),$I1688))</f>
        <v/>
      </c>
    </row>
    <row r="1689">
      <c r="B1689" s="25" t="n"/>
      <c r="I1689" s="25" t="n"/>
      <c r="U1689" s="19">
        <f>IF(AND($V1689='設定'!$C$4,COUNTIF('商品マスタ'!$B$6:$B$1005,$W1689)=0),N(U1688)+1,N(U1688))</f>
        <v/>
      </c>
      <c r="V1689" s="19">
        <f>IF($B1689="","",TEXT($B1689,"0000"))</f>
        <v/>
      </c>
      <c r="W1689" s="19">
        <f>IF($I1689="","",IF(ISNUMBER($I1689),TEXT($I1689,"0"),$I1689))</f>
        <v/>
      </c>
    </row>
    <row r="1690">
      <c r="B1690" s="25" t="n"/>
      <c r="I1690" s="25" t="n"/>
      <c r="U1690" s="19">
        <f>IF(AND($V1690='設定'!$C$4,COUNTIF('商品マスタ'!$B$6:$B$1005,$W1690)=0),N(U1689)+1,N(U1689))</f>
        <v/>
      </c>
      <c r="V1690" s="19">
        <f>IF($B1690="","",TEXT($B1690,"0000"))</f>
        <v/>
      </c>
      <c r="W1690" s="19">
        <f>IF($I1690="","",IF(ISNUMBER($I1690),TEXT($I1690,"0"),$I1690))</f>
        <v/>
      </c>
    </row>
    <row r="1691">
      <c r="B1691" s="25" t="n"/>
      <c r="I1691" s="25" t="n"/>
      <c r="U1691" s="19">
        <f>IF(AND($V1691='設定'!$C$4,COUNTIF('商品マスタ'!$B$6:$B$1005,$W1691)=0),N(U1690)+1,N(U1690))</f>
        <v/>
      </c>
      <c r="V1691" s="19">
        <f>IF($B1691="","",TEXT($B1691,"0000"))</f>
        <v/>
      </c>
      <c r="W1691" s="19">
        <f>IF($I1691="","",IF(ISNUMBER($I1691),TEXT($I1691,"0"),$I1691))</f>
        <v/>
      </c>
    </row>
    <row r="1692">
      <c r="B1692" s="25" t="n"/>
      <c r="I1692" s="25" t="n"/>
      <c r="U1692" s="19">
        <f>IF(AND($V1692='設定'!$C$4,COUNTIF('商品マスタ'!$B$6:$B$1005,$W1692)=0),N(U1691)+1,N(U1691))</f>
        <v/>
      </c>
      <c r="V1692" s="19">
        <f>IF($B1692="","",TEXT($B1692,"0000"))</f>
        <v/>
      </c>
      <c r="W1692" s="19">
        <f>IF($I1692="","",IF(ISNUMBER($I1692),TEXT($I1692,"0"),$I1692))</f>
        <v/>
      </c>
    </row>
    <row r="1693">
      <c r="B1693" s="25" t="n"/>
      <c r="I1693" s="25" t="n"/>
      <c r="U1693" s="19">
        <f>IF(AND($V1693='設定'!$C$4,COUNTIF('商品マスタ'!$B$6:$B$1005,$W1693)=0),N(U1692)+1,N(U1692))</f>
        <v/>
      </c>
      <c r="V1693" s="19">
        <f>IF($B1693="","",TEXT($B1693,"0000"))</f>
        <v/>
      </c>
      <c r="W1693" s="19">
        <f>IF($I1693="","",IF(ISNUMBER($I1693),TEXT($I1693,"0"),$I1693))</f>
        <v/>
      </c>
    </row>
    <row r="1694">
      <c r="B1694" s="25" t="n"/>
      <c r="I1694" s="25" t="n"/>
      <c r="U1694" s="19">
        <f>IF(AND($V1694='設定'!$C$4,COUNTIF('商品マスタ'!$B$6:$B$1005,$W1694)=0),N(U1693)+1,N(U1693))</f>
        <v/>
      </c>
      <c r="V1694" s="19">
        <f>IF($B1694="","",TEXT($B1694,"0000"))</f>
        <v/>
      </c>
      <c r="W1694" s="19">
        <f>IF($I1694="","",IF(ISNUMBER($I1694),TEXT($I1694,"0"),$I1694))</f>
        <v/>
      </c>
    </row>
    <row r="1695">
      <c r="B1695" s="25" t="n"/>
      <c r="I1695" s="25" t="n"/>
      <c r="U1695" s="19">
        <f>IF(AND($V1695='設定'!$C$4,COUNTIF('商品マスタ'!$B$6:$B$1005,$W1695)=0),N(U1694)+1,N(U1694))</f>
        <v/>
      </c>
      <c r="V1695" s="19">
        <f>IF($B1695="","",TEXT($B1695,"0000"))</f>
        <v/>
      </c>
      <c r="W1695" s="19">
        <f>IF($I1695="","",IF(ISNUMBER($I1695),TEXT($I1695,"0"),$I1695))</f>
        <v/>
      </c>
    </row>
    <row r="1696">
      <c r="B1696" s="25" t="n"/>
      <c r="I1696" s="25" t="n"/>
      <c r="U1696" s="19">
        <f>IF(AND($V1696='設定'!$C$4,COUNTIF('商品マスタ'!$B$6:$B$1005,$W1696)=0),N(U1695)+1,N(U1695))</f>
        <v/>
      </c>
      <c r="V1696" s="19">
        <f>IF($B1696="","",TEXT($B1696,"0000"))</f>
        <v/>
      </c>
      <c r="W1696" s="19">
        <f>IF($I1696="","",IF(ISNUMBER($I1696),TEXT($I1696,"0"),$I1696))</f>
        <v/>
      </c>
    </row>
    <row r="1697">
      <c r="B1697" s="25" t="n"/>
      <c r="I1697" s="25" t="n"/>
      <c r="U1697" s="19">
        <f>IF(AND($V1697='設定'!$C$4,COUNTIF('商品マスタ'!$B$6:$B$1005,$W1697)=0),N(U1696)+1,N(U1696))</f>
        <v/>
      </c>
      <c r="V1697" s="19">
        <f>IF($B1697="","",TEXT($B1697,"0000"))</f>
        <v/>
      </c>
      <c r="W1697" s="19">
        <f>IF($I1697="","",IF(ISNUMBER($I1697),TEXT($I1697,"0"),$I1697))</f>
        <v/>
      </c>
    </row>
    <row r="1698">
      <c r="B1698" s="25" t="n"/>
      <c r="I1698" s="25" t="n"/>
      <c r="U1698" s="19">
        <f>IF(AND($V1698='設定'!$C$4,COUNTIF('商品マスタ'!$B$6:$B$1005,$W1698)=0),N(U1697)+1,N(U1697))</f>
        <v/>
      </c>
      <c r="V1698" s="19">
        <f>IF($B1698="","",TEXT($B1698,"0000"))</f>
        <v/>
      </c>
      <c r="W1698" s="19">
        <f>IF($I1698="","",IF(ISNUMBER($I1698),TEXT($I1698,"0"),$I1698))</f>
        <v/>
      </c>
    </row>
    <row r="1699">
      <c r="B1699" s="25" t="n"/>
      <c r="I1699" s="25" t="n"/>
      <c r="U1699" s="19">
        <f>IF(AND($V1699='設定'!$C$4,COUNTIF('商品マスタ'!$B$6:$B$1005,$W1699)=0),N(U1698)+1,N(U1698))</f>
        <v/>
      </c>
      <c r="V1699" s="19">
        <f>IF($B1699="","",TEXT($B1699,"0000"))</f>
        <v/>
      </c>
      <c r="W1699" s="19">
        <f>IF($I1699="","",IF(ISNUMBER($I1699),TEXT($I1699,"0"),$I1699))</f>
        <v/>
      </c>
    </row>
    <row r="1700">
      <c r="B1700" s="25" t="n"/>
      <c r="I1700" s="25" t="n"/>
      <c r="U1700" s="19">
        <f>IF(AND($V1700='設定'!$C$4,COUNTIF('商品マスタ'!$B$6:$B$1005,$W1700)=0),N(U1699)+1,N(U1699))</f>
        <v/>
      </c>
      <c r="V1700" s="19">
        <f>IF($B1700="","",TEXT($B1700,"0000"))</f>
        <v/>
      </c>
      <c r="W1700" s="19">
        <f>IF($I1700="","",IF(ISNUMBER($I1700),TEXT($I1700,"0"),$I1700))</f>
        <v/>
      </c>
    </row>
    <row r="1701">
      <c r="B1701" s="25" t="n"/>
      <c r="I1701" s="25" t="n"/>
      <c r="U1701" s="19">
        <f>IF(AND($V1701='設定'!$C$4,COUNTIF('商品マスタ'!$B$6:$B$1005,$W1701)=0),N(U1700)+1,N(U1700))</f>
        <v/>
      </c>
      <c r="V1701" s="19">
        <f>IF($B1701="","",TEXT($B1701,"0000"))</f>
        <v/>
      </c>
      <c r="W1701" s="19">
        <f>IF($I1701="","",IF(ISNUMBER($I1701),TEXT($I1701,"0"),$I1701))</f>
        <v/>
      </c>
    </row>
    <row r="1702">
      <c r="B1702" s="25" t="n"/>
      <c r="I1702" s="25" t="n"/>
      <c r="U1702" s="19">
        <f>IF(AND($V1702='設定'!$C$4,COUNTIF('商品マスタ'!$B$6:$B$1005,$W1702)=0),N(U1701)+1,N(U1701))</f>
        <v/>
      </c>
      <c r="V1702" s="19">
        <f>IF($B1702="","",TEXT($B1702,"0000"))</f>
        <v/>
      </c>
      <c r="W1702" s="19">
        <f>IF($I1702="","",IF(ISNUMBER($I1702),TEXT($I1702,"0"),$I1702))</f>
        <v/>
      </c>
    </row>
    <row r="1703">
      <c r="B1703" s="25" t="n"/>
      <c r="I1703" s="25" t="n"/>
      <c r="U1703" s="19">
        <f>IF(AND($V1703='設定'!$C$4,COUNTIF('商品マスタ'!$B$6:$B$1005,$W1703)=0),N(U1702)+1,N(U1702))</f>
        <v/>
      </c>
      <c r="V1703" s="19">
        <f>IF($B1703="","",TEXT($B1703,"0000"))</f>
        <v/>
      </c>
      <c r="W1703" s="19">
        <f>IF($I1703="","",IF(ISNUMBER($I1703),TEXT($I1703,"0"),$I1703))</f>
        <v/>
      </c>
    </row>
    <row r="1704">
      <c r="B1704" s="25" t="n"/>
      <c r="I1704" s="25" t="n"/>
      <c r="U1704" s="19">
        <f>IF(AND($V1704='設定'!$C$4,COUNTIF('商品マスタ'!$B$6:$B$1005,$W1704)=0),N(U1703)+1,N(U1703))</f>
        <v/>
      </c>
      <c r="V1704" s="19">
        <f>IF($B1704="","",TEXT($B1704,"0000"))</f>
        <v/>
      </c>
      <c r="W1704" s="19">
        <f>IF($I1704="","",IF(ISNUMBER($I1704),TEXT($I1704,"0"),$I1704))</f>
        <v/>
      </c>
    </row>
    <row r="1705">
      <c r="B1705" s="25" t="n"/>
      <c r="I1705" s="25" t="n"/>
      <c r="U1705" s="19">
        <f>IF(AND($V1705='設定'!$C$4,COUNTIF('商品マスタ'!$B$6:$B$1005,$W1705)=0),N(U1704)+1,N(U1704))</f>
        <v/>
      </c>
      <c r="V1705" s="19">
        <f>IF($B1705="","",TEXT($B1705,"0000"))</f>
        <v/>
      </c>
      <c r="W1705" s="19">
        <f>IF($I1705="","",IF(ISNUMBER($I1705),TEXT($I1705,"0"),$I1705))</f>
        <v/>
      </c>
    </row>
    <row r="1706">
      <c r="B1706" s="25" t="n"/>
      <c r="I1706" s="25" t="n"/>
      <c r="U1706" s="19">
        <f>IF(AND($V1706='設定'!$C$4,COUNTIF('商品マスタ'!$B$6:$B$1005,$W1706)=0),N(U1705)+1,N(U1705))</f>
        <v/>
      </c>
      <c r="V1706" s="19">
        <f>IF($B1706="","",TEXT($B1706,"0000"))</f>
        <v/>
      </c>
      <c r="W1706" s="19">
        <f>IF($I1706="","",IF(ISNUMBER($I1706),TEXT($I1706,"0"),$I1706))</f>
        <v/>
      </c>
    </row>
    <row r="1707">
      <c r="B1707" s="25" t="n"/>
      <c r="I1707" s="25" t="n"/>
      <c r="U1707" s="19">
        <f>IF(AND($V1707='設定'!$C$4,COUNTIF('商品マスタ'!$B$6:$B$1005,$W1707)=0),N(U1706)+1,N(U1706))</f>
        <v/>
      </c>
      <c r="V1707" s="19">
        <f>IF($B1707="","",TEXT($B1707,"0000"))</f>
        <v/>
      </c>
      <c r="W1707" s="19">
        <f>IF($I1707="","",IF(ISNUMBER($I1707),TEXT($I1707,"0"),$I1707))</f>
        <v/>
      </c>
    </row>
    <row r="1708">
      <c r="B1708" s="25" t="n"/>
      <c r="I1708" s="25" t="n"/>
      <c r="U1708" s="19">
        <f>IF(AND($V1708='設定'!$C$4,COUNTIF('商品マスタ'!$B$6:$B$1005,$W1708)=0),N(U1707)+1,N(U1707))</f>
        <v/>
      </c>
      <c r="V1708" s="19">
        <f>IF($B1708="","",TEXT($B1708,"0000"))</f>
        <v/>
      </c>
      <c r="W1708" s="19">
        <f>IF($I1708="","",IF(ISNUMBER($I1708),TEXT($I1708,"0"),$I1708))</f>
        <v/>
      </c>
    </row>
    <row r="1709">
      <c r="B1709" s="25" t="n"/>
      <c r="I1709" s="25" t="n"/>
      <c r="U1709" s="19">
        <f>IF(AND($V1709='設定'!$C$4,COUNTIF('商品マスタ'!$B$6:$B$1005,$W1709)=0),N(U1708)+1,N(U1708))</f>
        <v/>
      </c>
      <c r="V1709" s="19">
        <f>IF($B1709="","",TEXT($B1709,"0000"))</f>
        <v/>
      </c>
      <c r="W1709" s="19">
        <f>IF($I1709="","",IF(ISNUMBER($I1709),TEXT($I1709,"0"),$I1709))</f>
        <v/>
      </c>
    </row>
    <row r="1710">
      <c r="B1710" s="25" t="n"/>
      <c r="I1710" s="25" t="n"/>
      <c r="U1710" s="19">
        <f>IF(AND($V1710='設定'!$C$4,COUNTIF('商品マスタ'!$B$6:$B$1005,$W1710)=0),N(U1709)+1,N(U1709))</f>
        <v/>
      </c>
      <c r="V1710" s="19">
        <f>IF($B1710="","",TEXT($B1710,"0000"))</f>
        <v/>
      </c>
      <c r="W1710" s="19">
        <f>IF($I1710="","",IF(ISNUMBER($I1710),TEXT($I1710,"0"),$I1710))</f>
        <v/>
      </c>
    </row>
    <row r="1711">
      <c r="B1711" s="25" t="n"/>
      <c r="I1711" s="25" t="n"/>
      <c r="U1711" s="19">
        <f>IF(AND($V1711='設定'!$C$4,COUNTIF('商品マスタ'!$B$6:$B$1005,$W1711)=0),N(U1710)+1,N(U1710))</f>
        <v/>
      </c>
      <c r="V1711" s="19">
        <f>IF($B1711="","",TEXT($B1711,"0000"))</f>
        <v/>
      </c>
      <c r="W1711" s="19">
        <f>IF($I1711="","",IF(ISNUMBER($I1711),TEXT($I1711,"0"),$I1711))</f>
        <v/>
      </c>
    </row>
    <row r="1712">
      <c r="B1712" s="25" t="n"/>
      <c r="I1712" s="25" t="n"/>
      <c r="U1712" s="19">
        <f>IF(AND($V1712='設定'!$C$4,COUNTIF('商品マスタ'!$B$6:$B$1005,$W1712)=0),N(U1711)+1,N(U1711))</f>
        <v/>
      </c>
      <c r="V1712" s="19">
        <f>IF($B1712="","",TEXT($B1712,"0000"))</f>
        <v/>
      </c>
      <c r="W1712" s="19">
        <f>IF($I1712="","",IF(ISNUMBER($I1712),TEXT($I1712,"0"),$I1712))</f>
        <v/>
      </c>
    </row>
    <row r="1713">
      <c r="B1713" s="25" t="n"/>
      <c r="I1713" s="25" t="n"/>
      <c r="U1713" s="19">
        <f>IF(AND($V1713='設定'!$C$4,COUNTIF('商品マスタ'!$B$6:$B$1005,$W1713)=0),N(U1712)+1,N(U1712))</f>
        <v/>
      </c>
      <c r="V1713" s="19">
        <f>IF($B1713="","",TEXT($B1713,"0000"))</f>
        <v/>
      </c>
      <c r="W1713" s="19">
        <f>IF($I1713="","",IF(ISNUMBER($I1713),TEXT($I1713,"0"),$I1713))</f>
        <v/>
      </c>
    </row>
    <row r="1714">
      <c r="B1714" s="25" t="n"/>
      <c r="I1714" s="25" t="n"/>
      <c r="U1714" s="19">
        <f>IF(AND($V1714='設定'!$C$4,COUNTIF('商品マスタ'!$B$6:$B$1005,$W1714)=0),N(U1713)+1,N(U1713))</f>
        <v/>
      </c>
      <c r="V1714" s="19">
        <f>IF($B1714="","",TEXT($B1714,"0000"))</f>
        <v/>
      </c>
      <c r="W1714" s="19">
        <f>IF($I1714="","",IF(ISNUMBER($I1714),TEXT($I1714,"0"),$I1714))</f>
        <v/>
      </c>
    </row>
    <row r="1715">
      <c r="B1715" s="25" t="n"/>
      <c r="I1715" s="25" t="n"/>
      <c r="U1715" s="19">
        <f>IF(AND($V1715='設定'!$C$4,COUNTIF('商品マスタ'!$B$6:$B$1005,$W1715)=0),N(U1714)+1,N(U1714))</f>
        <v/>
      </c>
      <c r="V1715" s="19">
        <f>IF($B1715="","",TEXT($B1715,"0000"))</f>
        <v/>
      </c>
      <c r="W1715" s="19">
        <f>IF($I1715="","",IF(ISNUMBER($I1715),TEXT($I1715,"0"),$I1715))</f>
        <v/>
      </c>
    </row>
    <row r="1716">
      <c r="B1716" s="25" t="n"/>
      <c r="I1716" s="25" t="n"/>
      <c r="U1716" s="19">
        <f>IF(AND($V1716='設定'!$C$4,COUNTIF('商品マスタ'!$B$6:$B$1005,$W1716)=0),N(U1715)+1,N(U1715))</f>
        <v/>
      </c>
      <c r="V1716" s="19">
        <f>IF($B1716="","",TEXT($B1716,"0000"))</f>
        <v/>
      </c>
      <c r="W1716" s="19">
        <f>IF($I1716="","",IF(ISNUMBER($I1716),TEXT($I1716,"0"),$I1716))</f>
        <v/>
      </c>
    </row>
    <row r="1717">
      <c r="B1717" s="25" t="n"/>
      <c r="I1717" s="25" t="n"/>
      <c r="U1717" s="19">
        <f>IF(AND($V1717='設定'!$C$4,COUNTIF('商品マスタ'!$B$6:$B$1005,$W1717)=0),N(U1716)+1,N(U1716))</f>
        <v/>
      </c>
      <c r="V1717" s="19">
        <f>IF($B1717="","",TEXT($B1717,"0000"))</f>
        <v/>
      </c>
      <c r="W1717" s="19">
        <f>IF($I1717="","",IF(ISNUMBER($I1717),TEXT($I1717,"0"),$I1717))</f>
        <v/>
      </c>
    </row>
    <row r="1718">
      <c r="B1718" s="25" t="n"/>
      <c r="I1718" s="25" t="n"/>
      <c r="U1718" s="19">
        <f>IF(AND($V1718='設定'!$C$4,COUNTIF('商品マスタ'!$B$6:$B$1005,$W1718)=0),N(U1717)+1,N(U1717))</f>
        <v/>
      </c>
      <c r="V1718" s="19">
        <f>IF($B1718="","",TEXT($B1718,"0000"))</f>
        <v/>
      </c>
      <c r="W1718" s="19">
        <f>IF($I1718="","",IF(ISNUMBER($I1718),TEXT($I1718,"0"),$I1718))</f>
        <v/>
      </c>
    </row>
    <row r="1719">
      <c r="B1719" s="25" t="n"/>
      <c r="I1719" s="25" t="n"/>
      <c r="U1719" s="19">
        <f>IF(AND($V1719='設定'!$C$4,COUNTIF('商品マスタ'!$B$6:$B$1005,$W1719)=0),N(U1718)+1,N(U1718))</f>
        <v/>
      </c>
      <c r="V1719" s="19">
        <f>IF($B1719="","",TEXT($B1719,"0000"))</f>
        <v/>
      </c>
      <c r="W1719" s="19">
        <f>IF($I1719="","",IF(ISNUMBER($I1719),TEXT($I1719,"0"),$I1719))</f>
        <v/>
      </c>
    </row>
    <row r="1720">
      <c r="B1720" s="25" t="n"/>
      <c r="I1720" s="25" t="n"/>
      <c r="U1720" s="19">
        <f>IF(AND($V1720='設定'!$C$4,COUNTIF('商品マスタ'!$B$6:$B$1005,$W1720)=0),N(U1719)+1,N(U1719))</f>
        <v/>
      </c>
      <c r="V1720" s="19">
        <f>IF($B1720="","",TEXT($B1720,"0000"))</f>
        <v/>
      </c>
      <c r="W1720" s="19">
        <f>IF($I1720="","",IF(ISNUMBER($I1720),TEXT($I1720,"0"),$I1720))</f>
        <v/>
      </c>
    </row>
    <row r="1721">
      <c r="B1721" s="25" t="n"/>
      <c r="I1721" s="25" t="n"/>
      <c r="U1721" s="19">
        <f>IF(AND($V1721='設定'!$C$4,COUNTIF('商品マスタ'!$B$6:$B$1005,$W1721)=0),N(U1720)+1,N(U1720))</f>
        <v/>
      </c>
      <c r="V1721" s="19">
        <f>IF($B1721="","",TEXT($B1721,"0000"))</f>
        <v/>
      </c>
      <c r="W1721" s="19">
        <f>IF($I1721="","",IF(ISNUMBER($I1721),TEXT($I1721,"0"),$I1721))</f>
        <v/>
      </c>
    </row>
    <row r="1722">
      <c r="B1722" s="25" t="n"/>
      <c r="I1722" s="25" t="n"/>
      <c r="U1722" s="19">
        <f>IF(AND($V1722='設定'!$C$4,COUNTIF('商品マスタ'!$B$6:$B$1005,$W1722)=0),N(U1721)+1,N(U1721))</f>
        <v/>
      </c>
      <c r="V1722" s="19">
        <f>IF($B1722="","",TEXT($B1722,"0000"))</f>
        <v/>
      </c>
      <c r="W1722" s="19">
        <f>IF($I1722="","",IF(ISNUMBER($I1722),TEXT($I1722,"0"),$I1722))</f>
        <v/>
      </c>
    </row>
    <row r="1723">
      <c r="B1723" s="25" t="n"/>
      <c r="I1723" s="25" t="n"/>
      <c r="U1723" s="19">
        <f>IF(AND($V1723='設定'!$C$4,COUNTIF('商品マスタ'!$B$6:$B$1005,$W1723)=0),N(U1722)+1,N(U1722))</f>
        <v/>
      </c>
      <c r="V1723" s="19">
        <f>IF($B1723="","",TEXT($B1723,"0000"))</f>
        <v/>
      </c>
      <c r="W1723" s="19">
        <f>IF($I1723="","",IF(ISNUMBER($I1723),TEXT($I1723,"0"),$I1723))</f>
        <v/>
      </c>
    </row>
    <row r="1724">
      <c r="B1724" s="25" t="n"/>
      <c r="I1724" s="25" t="n"/>
      <c r="U1724" s="19">
        <f>IF(AND($V1724='設定'!$C$4,COUNTIF('商品マスタ'!$B$6:$B$1005,$W1724)=0),N(U1723)+1,N(U1723))</f>
        <v/>
      </c>
      <c r="V1724" s="19">
        <f>IF($B1724="","",TEXT($B1724,"0000"))</f>
        <v/>
      </c>
      <c r="W1724" s="19">
        <f>IF($I1724="","",IF(ISNUMBER($I1724),TEXT($I1724,"0"),$I1724))</f>
        <v/>
      </c>
    </row>
    <row r="1725">
      <c r="B1725" s="25" t="n"/>
      <c r="I1725" s="25" t="n"/>
      <c r="U1725" s="19">
        <f>IF(AND($V1725='設定'!$C$4,COUNTIF('商品マスタ'!$B$6:$B$1005,$W1725)=0),N(U1724)+1,N(U1724))</f>
        <v/>
      </c>
      <c r="V1725" s="19">
        <f>IF($B1725="","",TEXT($B1725,"0000"))</f>
        <v/>
      </c>
      <c r="W1725" s="19">
        <f>IF($I1725="","",IF(ISNUMBER($I1725),TEXT($I1725,"0"),$I1725))</f>
        <v/>
      </c>
    </row>
    <row r="1726">
      <c r="B1726" s="25" t="n"/>
      <c r="I1726" s="25" t="n"/>
      <c r="U1726" s="19">
        <f>IF(AND($V1726='設定'!$C$4,COUNTIF('商品マスタ'!$B$6:$B$1005,$W1726)=0),N(U1725)+1,N(U1725))</f>
        <v/>
      </c>
      <c r="V1726" s="19">
        <f>IF($B1726="","",TEXT($B1726,"0000"))</f>
        <v/>
      </c>
      <c r="W1726" s="19">
        <f>IF($I1726="","",IF(ISNUMBER($I1726),TEXT($I1726,"0"),$I1726))</f>
        <v/>
      </c>
    </row>
    <row r="1727">
      <c r="B1727" s="25" t="n"/>
      <c r="I1727" s="25" t="n"/>
      <c r="U1727" s="19">
        <f>IF(AND($V1727='設定'!$C$4,COUNTIF('商品マスタ'!$B$6:$B$1005,$W1727)=0),N(U1726)+1,N(U1726))</f>
        <v/>
      </c>
      <c r="V1727" s="19">
        <f>IF($B1727="","",TEXT($B1727,"0000"))</f>
        <v/>
      </c>
      <c r="W1727" s="19">
        <f>IF($I1727="","",IF(ISNUMBER($I1727),TEXT($I1727,"0"),$I1727))</f>
        <v/>
      </c>
    </row>
    <row r="1728">
      <c r="B1728" s="25" t="n"/>
      <c r="I1728" s="25" t="n"/>
      <c r="U1728" s="19">
        <f>IF(AND($V1728='設定'!$C$4,COUNTIF('商品マスタ'!$B$6:$B$1005,$W1728)=0),N(U1727)+1,N(U1727))</f>
        <v/>
      </c>
      <c r="V1728" s="19">
        <f>IF($B1728="","",TEXT($B1728,"0000"))</f>
        <v/>
      </c>
      <c r="W1728" s="19">
        <f>IF($I1728="","",IF(ISNUMBER($I1728),TEXT($I1728,"0"),$I1728))</f>
        <v/>
      </c>
    </row>
    <row r="1729">
      <c r="B1729" s="25" t="n"/>
      <c r="I1729" s="25" t="n"/>
      <c r="U1729" s="19">
        <f>IF(AND($V1729='設定'!$C$4,COUNTIF('商品マスタ'!$B$6:$B$1005,$W1729)=0),N(U1728)+1,N(U1728))</f>
        <v/>
      </c>
      <c r="V1729" s="19">
        <f>IF($B1729="","",TEXT($B1729,"0000"))</f>
        <v/>
      </c>
      <c r="W1729" s="19">
        <f>IF($I1729="","",IF(ISNUMBER($I1729),TEXT($I1729,"0"),$I1729))</f>
        <v/>
      </c>
    </row>
    <row r="1730">
      <c r="B1730" s="25" t="n"/>
      <c r="I1730" s="25" t="n"/>
      <c r="U1730" s="19">
        <f>IF(AND($V1730='設定'!$C$4,COUNTIF('商品マスタ'!$B$6:$B$1005,$W1730)=0),N(U1729)+1,N(U1729))</f>
        <v/>
      </c>
      <c r="V1730" s="19">
        <f>IF($B1730="","",TEXT($B1730,"0000"))</f>
        <v/>
      </c>
      <c r="W1730" s="19">
        <f>IF($I1730="","",IF(ISNUMBER($I1730),TEXT($I1730,"0"),$I1730))</f>
        <v/>
      </c>
    </row>
    <row r="1731">
      <c r="B1731" s="25" t="n"/>
      <c r="I1731" s="25" t="n"/>
      <c r="U1731" s="19">
        <f>IF(AND($V1731='設定'!$C$4,COUNTIF('商品マスタ'!$B$6:$B$1005,$W1731)=0),N(U1730)+1,N(U1730))</f>
        <v/>
      </c>
      <c r="V1731" s="19">
        <f>IF($B1731="","",TEXT($B1731,"0000"))</f>
        <v/>
      </c>
      <c r="W1731" s="19">
        <f>IF($I1731="","",IF(ISNUMBER($I1731),TEXT($I1731,"0"),$I1731))</f>
        <v/>
      </c>
    </row>
    <row r="1732">
      <c r="B1732" s="25" t="n"/>
      <c r="I1732" s="25" t="n"/>
      <c r="U1732" s="19">
        <f>IF(AND($V1732='設定'!$C$4,COUNTIF('商品マスタ'!$B$6:$B$1005,$W1732)=0),N(U1731)+1,N(U1731))</f>
        <v/>
      </c>
      <c r="V1732" s="19">
        <f>IF($B1732="","",TEXT($B1732,"0000"))</f>
        <v/>
      </c>
      <c r="W1732" s="19">
        <f>IF($I1732="","",IF(ISNUMBER($I1732),TEXT($I1732,"0"),$I1732))</f>
        <v/>
      </c>
    </row>
    <row r="1733">
      <c r="B1733" s="25" t="n"/>
      <c r="I1733" s="25" t="n"/>
      <c r="U1733" s="19">
        <f>IF(AND($V1733='設定'!$C$4,COUNTIF('商品マスタ'!$B$6:$B$1005,$W1733)=0),N(U1732)+1,N(U1732))</f>
        <v/>
      </c>
      <c r="V1733" s="19">
        <f>IF($B1733="","",TEXT($B1733,"0000"))</f>
        <v/>
      </c>
      <c r="W1733" s="19">
        <f>IF($I1733="","",IF(ISNUMBER($I1733),TEXT($I1733,"0"),$I1733))</f>
        <v/>
      </c>
    </row>
    <row r="1734">
      <c r="B1734" s="25" t="n"/>
      <c r="I1734" s="25" t="n"/>
      <c r="U1734" s="19">
        <f>IF(AND($V1734='設定'!$C$4,COUNTIF('商品マスタ'!$B$6:$B$1005,$W1734)=0),N(U1733)+1,N(U1733))</f>
        <v/>
      </c>
      <c r="V1734" s="19">
        <f>IF($B1734="","",TEXT($B1734,"0000"))</f>
        <v/>
      </c>
      <c r="W1734" s="19">
        <f>IF($I1734="","",IF(ISNUMBER($I1734),TEXT($I1734,"0"),$I1734))</f>
        <v/>
      </c>
    </row>
    <row r="1735">
      <c r="B1735" s="25" t="n"/>
      <c r="I1735" s="25" t="n"/>
      <c r="U1735" s="19">
        <f>IF(AND($V1735='設定'!$C$4,COUNTIF('商品マスタ'!$B$6:$B$1005,$W1735)=0),N(U1734)+1,N(U1734))</f>
        <v/>
      </c>
      <c r="V1735" s="19">
        <f>IF($B1735="","",TEXT($B1735,"0000"))</f>
        <v/>
      </c>
      <c r="W1735" s="19">
        <f>IF($I1735="","",IF(ISNUMBER($I1735),TEXT($I1735,"0"),$I1735))</f>
        <v/>
      </c>
    </row>
    <row r="1736">
      <c r="B1736" s="25" t="n"/>
      <c r="I1736" s="25" t="n"/>
      <c r="U1736" s="19">
        <f>IF(AND($V1736='設定'!$C$4,COUNTIF('商品マスタ'!$B$6:$B$1005,$W1736)=0),N(U1735)+1,N(U1735))</f>
        <v/>
      </c>
      <c r="V1736" s="19">
        <f>IF($B1736="","",TEXT($B1736,"0000"))</f>
        <v/>
      </c>
      <c r="W1736" s="19">
        <f>IF($I1736="","",IF(ISNUMBER($I1736),TEXT($I1736,"0"),$I1736))</f>
        <v/>
      </c>
    </row>
    <row r="1737">
      <c r="B1737" s="25" t="n"/>
      <c r="I1737" s="25" t="n"/>
      <c r="U1737" s="19">
        <f>IF(AND($V1737='設定'!$C$4,COUNTIF('商品マスタ'!$B$6:$B$1005,$W1737)=0),N(U1736)+1,N(U1736))</f>
        <v/>
      </c>
      <c r="V1737" s="19">
        <f>IF($B1737="","",TEXT($B1737,"0000"))</f>
        <v/>
      </c>
      <c r="W1737" s="19">
        <f>IF($I1737="","",IF(ISNUMBER($I1737),TEXT($I1737,"0"),$I1737))</f>
        <v/>
      </c>
    </row>
    <row r="1738">
      <c r="B1738" s="25" t="n"/>
      <c r="I1738" s="25" t="n"/>
      <c r="U1738" s="19">
        <f>IF(AND($V1738='設定'!$C$4,COUNTIF('商品マスタ'!$B$6:$B$1005,$W1738)=0),N(U1737)+1,N(U1737))</f>
        <v/>
      </c>
      <c r="V1738" s="19">
        <f>IF($B1738="","",TEXT($B1738,"0000"))</f>
        <v/>
      </c>
      <c r="W1738" s="19">
        <f>IF($I1738="","",IF(ISNUMBER($I1738),TEXT($I1738,"0"),$I1738))</f>
        <v/>
      </c>
    </row>
    <row r="1739">
      <c r="B1739" s="25" t="n"/>
      <c r="I1739" s="25" t="n"/>
      <c r="U1739" s="19">
        <f>IF(AND($V1739='設定'!$C$4,COUNTIF('商品マスタ'!$B$6:$B$1005,$W1739)=0),N(U1738)+1,N(U1738))</f>
        <v/>
      </c>
      <c r="V1739" s="19">
        <f>IF($B1739="","",TEXT($B1739,"0000"))</f>
        <v/>
      </c>
      <c r="W1739" s="19">
        <f>IF($I1739="","",IF(ISNUMBER($I1739),TEXT($I1739,"0"),$I1739))</f>
        <v/>
      </c>
    </row>
    <row r="1740">
      <c r="B1740" s="25" t="n"/>
      <c r="I1740" s="25" t="n"/>
      <c r="U1740" s="19">
        <f>IF(AND($V1740='設定'!$C$4,COUNTIF('商品マスタ'!$B$6:$B$1005,$W1740)=0),N(U1739)+1,N(U1739))</f>
        <v/>
      </c>
      <c r="V1740" s="19">
        <f>IF($B1740="","",TEXT($B1740,"0000"))</f>
        <v/>
      </c>
      <c r="W1740" s="19">
        <f>IF($I1740="","",IF(ISNUMBER($I1740),TEXT($I1740,"0"),$I1740))</f>
        <v/>
      </c>
    </row>
    <row r="1741">
      <c r="B1741" s="25" t="n"/>
      <c r="I1741" s="25" t="n"/>
      <c r="U1741" s="19">
        <f>IF(AND($V1741='設定'!$C$4,COUNTIF('商品マスタ'!$B$6:$B$1005,$W1741)=0),N(U1740)+1,N(U1740))</f>
        <v/>
      </c>
      <c r="V1741" s="19">
        <f>IF($B1741="","",TEXT($B1741,"0000"))</f>
        <v/>
      </c>
      <c r="W1741" s="19">
        <f>IF($I1741="","",IF(ISNUMBER($I1741),TEXT($I1741,"0"),$I1741))</f>
        <v/>
      </c>
    </row>
    <row r="1742">
      <c r="B1742" s="25" t="n"/>
      <c r="I1742" s="25" t="n"/>
      <c r="U1742" s="19">
        <f>IF(AND($V1742='設定'!$C$4,COUNTIF('商品マスタ'!$B$6:$B$1005,$W1742)=0),N(U1741)+1,N(U1741))</f>
        <v/>
      </c>
      <c r="V1742" s="19">
        <f>IF($B1742="","",TEXT($B1742,"0000"))</f>
        <v/>
      </c>
      <c r="W1742" s="19">
        <f>IF($I1742="","",IF(ISNUMBER($I1742),TEXT($I1742,"0"),$I1742))</f>
        <v/>
      </c>
    </row>
    <row r="1743">
      <c r="B1743" s="25" t="n"/>
      <c r="I1743" s="25" t="n"/>
      <c r="U1743" s="19">
        <f>IF(AND($V1743='設定'!$C$4,COUNTIF('商品マスタ'!$B$6:$B$1005,$W1743)=0),N(U1742)+1,N(U1742))</f>
        <v/>
      </c>
      <c r="V1743" s="19">
        <f>IF($B1743="","",TEXT($B1743,"0000"))</f>
        <v/>
      </c>
      <c r="W1743" s="19">
        <f>IF($I1743="","",IF(ISNUMBER($I1743),TEXT($I1743,"0"),$I1743))</f>
        <v/>
      </c>
    </row>
    <row r="1744">
      <c r="B1744" s="25" t="n"/>
      <c r="I1744" s="25" t="n"/>
      <c r="U1744" s="19">
        <f>IF(AND($V1744='設定'!$C$4,COUNTIF('商品マスタ'!$B$6:$B$1005,$W1744)=0),N(U1743)+1,N(U1743))</f>
        <v/>
      </c>
      <c r="V1744" s="19">
        <f>IF($B1744="","",TEXT($B1744,"0000"))</f>
        <v/>
      </c>
      <c r="W1744" s="19">
        <f>IF($I1744="","",IF(ISNUMBER($I1744),TEXT($I1744,"0"),$I1744))</f>
        <v/>
      </c>
    </row>
    <row r="1745">
      <c r="B1745" s="25" t="n"/>
      <c r="I1745" s="25" t="n"/>
      <c r="U1745" s="19">
        <f>IF(AND($V1745='設定'!$C$4,COUNTIF('商品マスタ'!$B$6:$B$1005,$W1745)=0),N(U1744)+1,N(U1744))</f>
        <v/>
      </c>
      <c r="V1745" s="19">
        <f>IF($B1745="","",TEXT($B1745,"0000"))</f>
        <v/>
      </c>
      <c r="W1745" s="19">
        <f>IF($I1745="","",IF(ISNUMBER($I1745),TEXT($I1745,"0"),$I1745))</f>
        <v/>
      </c>
    </row>
    <row r="1746">
      <c r="B1746" s="25" t="n"/>
      <c r="I1746" s="25" t="n"/>
      <c r="U1746" s="19">
        <f>IF(AND($V1746='設定'!$C$4,COUNTIF('商品マスタ'!$B$6:$B$1005,$W1746)=0),N(U1745)+1,N(U1745))</f>
        <v/>
      </c>
      <c r="V1746" s="19">
        <f>IF($B1746="","",TEXT($B1746,"0000"))</f>
        <v/>
      </c>
      <c r="W1746" s="19">
        <f>IF($I1746="","",IF(ISNUMBER($I1746),TEXT($I1746,"0"),$I1746))</f>
        <v/>
      </c>
    </row>
    <row r="1747">
      <c r="B1747" s="25" t="n"/>
      <c r="I1747" s="25" t="n"/>
      <c r="U1747" s="19">
        <f>IF(AND($V1747='設定'!$C$4,COUNTIF('商品マスタ'!$B$6:$B$1005,$W1747)=0),N(U1746)+1,N(U1746))</f>
        <v/>
      </c>
      <c r="V1747" s="19">
        <f>IF($B1747="","",TEXT($B1747,"0000"))</f>
        <v/>
      </c>
      <c r="W1747" s="19">
        <f>IF($I1747="","",IF(ISNUMBER($I1747),TEXT($I1747,"0"),$I1747))</f>
        <v/>
      </c>
    </row>
    <row r="1748">
      <c r="B1748" s="25" t="n"/>
      <c r="I1748" s="25" t="n"/>
      <c r="U1748" s="19">
        <f>IF(AND($V1748='設定'!$C$4,COUNTIF('商品マスタ'!$B$6:$B$1005,$W1748)=0),N(U1747)+1,N(U1747))</f>
        <v/>
      </c>
      <c r="V1748" s="19">
        <f>IF($B1748="","",TEXT($B1748,"0000"))</f>
        <v/>
      </c>
      <c r="W1748" s="19">
        <f>IF($I1748="","",IF(ISNUMBER($I1748),TEXT($I1748,"0"),$I1748))</f>
        <v/>
      </c>
    </row>
    <row r="1749">
      <c r="B1749" s="25" t="n"/>
      <c r="I1749" s="25" t="n"/>
      <c r="U1749" s="19">
        <f>IF(AND($V1749='設定'!$C$4,COUNTIF('商品マスタ'!$B$6:$B$1005,$W1749)=0),N(U1748)+1,N(U1748))</f>
        <v/>
      </c>
      <c r="V1749" s="19">
        <f>IF($B1749="","",TEXT($B1749,"0000"))</f>
        <v/>
      </c>
      <c r="W1749" s="19">
        <f>IF($I1749="","",IF(ISNUMBER($I1749),TEXT($I1749,"0"),$I1749))</f>
        <v/>
      </c>
    </row>
    <row r="1750">
      <c r="B1750" s="25" t="n"/>
      <c r="I1750" s="25" t="n"/>
      <c r="U1750" s="19">
        <f>IF(AND($V1750='設定'!$C$4,COUNTIF('商品マスタ'!$B$6:$B$1005,$W1750)=0),N(U1749)+1,N(U1749))</f>
        <v/>
      </c>
      <c r="V1750" s="19">
        <f>IF($B1750="","",TEXT($B1750,"0000"))</f>
        <v/>
      </c>
      <c r="W1750" s="19">
        <f>IF($I1750="","",IF(ISNUMBER($I1750),TEXT($I1750,"0"),$I1750))</f>
        <v/>
      </c>
    </row>
    <row r="1751">
      <c r="B1751" s="25" t="n"/>
      <c r="I1751" s="25" t="n"/>
      <c r="U1751" s="19">
        <f>IF(AND($V1751='設定'!$C$4,COUNTIF('商品マスタ'!$B$6:$B$1005,$W1751)=0),N(U1750)+1,N(U1750))</f>
        <v/>
      </c>
      <c r="V1751" s="19">
        <f>IF($B1751="","",TEXT($B1751,"0000"))</f>
        <v/>
      </c>
      <c r="W1751" s="19">
        <f>IF($I1751="","",IF(ISNUMBER($I1751),TEXT($I1751,"0"),$I1751))</f>
        <v/>
      </c>
    </row>
    <row r="1752">
      <c r="B1752" s="25" t="n"/>
      <c r="I1752" s="25" t="n"/>
      <c r="U1752" s="19">
        <f>IF(AND($V1752='設定'!$C$4,COUNTIF('商品マスタ'!$B$6:$B$1005,$W1752)=0),N(U1751)+1,N(U1751))</f>
        <v/>
      </c>
      <c r="V1752" s="19">
        <f>IF($B1752="","",TEXT($B1752,"0000"))</f>
        <v/>
      </c>
      <c r="W1752" s="19">
        <f>IF($I1752="","",IF(ISNUMBER($I1752),TEXT($I1752,"0"),$I1752))</f>
        <v/>
      </c>
    </row>
    <row r="1753">
      <c r="B1753" s="25" t="n"/>
      <c r="I1753" s="25" t="n"/>
      <c r="U1753" s="19">
        <f>IF(AND($V1753='設定'!$C$4,COUNTIF('商品マスタ'!$B$6:$B$1005,$W1753)=0),N(U1752)+1,N(U1752))</f>
        <v/>
      </c>
      <c r="V1753" s="19">
        <f>IF($B1753="","",TEXT($B1753,"0000"))</f>
        <v/>
      </c>
      <c r="W1753" s="19">
        <f>IF($I1753="","",IF(ISNUMBER($I1753),TEXT($I1753,"0"),$I1753))</f>
        <v/>
      </c>
    </row>
    <row r="1754">
      <c r="B1754" s="25" t="n"/>
      <c r="I1754" s="25" t="n"/>
      <c r="U1754" s="19">
        <f>IF(AND($V1754='設定'!$C$4,COUNTIF('商品マスタ'!$B$6:$B$1005,$W1754)=0),N(U1753)+1,N(U1753))</f>
        <v/>
      </c>
      <c r="V1754" s="19">
        <f>IF($B1754="","",TEXT($B1754,"0000"))</f>
        <v/>
      </c>
      <c r="W1754" s="19">
        <f>IF($I1754="","",IF(ISNUMBER($I1754),TEXT($I1754,"0"),$I1754))</f>
        <v/>
      </c>
    </row>
    <row r="1755">
      <c r="B1755" s="25" t="n"/>
      <c r="I1755" s="25" t="n"/>
      <c r="U1755" s="19">
        <f>IF(AND($V1755='設定'!$C$4,COUNTIF('商品マスタ'!$B$6:$B$1005,$W1755)=0),N(U1754)+1,N(U1754))</f>
        <v/>
      </c>
      <c r="V1755" s="19">
        <f>IF($B1755="","",TEXT($B1755,"0000"))</f>
        <v/>
      </c>
      <c r="W1755" s="19">
        <f>IF($I1755="","",IF(ISNUMBER($I1755),TEXT($I1755,"0"),$I1755))</f>
        <v/>
      </c>
    </row>
    <row r="1756">
      <c r="B1756" s="25" t="n"/>
      <c r="I1756" s="25" t="n"/>
      <c r="U1756" s="19">
        <f>IF(AND($V1756='設定'!$C$4,COUNTIF('商品マスタ'!$B$6:$B$1005,$W1756)=0),N(U1755)+1,N(U1755))</f>
        <v/>
      </c>
      <c r="V1756" s="19">
        <f>IF($B1756="","",TEXT($B1756,"0000"))</f>
        <v/>
      </c>
      <c r="W1756" s="19">
        <f>IF($I1756="","",IF(ISNUMBER($I1756),TEXT($I1756,"0"),$I1756))</f>
        <v/>
      </c>
    </row>
    <row r="1757">
      <c r="B1757" s="25" t="n"/>
      <c r="I1757" s="25" t="n"/>
      <c r="U1757" s="19">
        <f>IF(AND($V1757='設定'!$C$4,COUNTIF('商品マスタ'!$B$6:$B$1005,$W1757)=0),N(U1756)+1,N(U1756))</f>
        <v/>
      </c>
      <c r="V1757" s="19">
        <f>IF($B1757="","",TEXT($B1757,"0000"))</f>
        <v/>
      </c>
      <c r="W1757" s="19">
        <f>IF($I1757="","",IF(ISNUMBER($I1757),TEXT($I1757,"0"),$I1757))</f>
        <v/>
      </c>
    </row>
    <row r="1758">
      <c r="B1758" s="25" t="n"/>
      <c r="I1758" s="25" t="n"/>
      <c r="U1758" s="19">
        <f>IF(AND($V1758='設定'!$C$4,COUNTIF('商品マスタ'!$B$6:$B$1005,$W1758)=0),N(U1757)+1,N(U1757))</f>
        <v/>
      </c>
      <c r="V1758" s="19">
        <f>IF($B1758="","",TEXT($B1758,"0000"))</f>
        <v/>
      </c>
      <c r="W1758" s="19">
        <f>IF($I1758="","",IF(ISNUMBER($I1758),TEXT($I1758,"0"),$I1758))</f>
        <v/>
      </c>
    </row>
    <row r="1759">
      <c r="B1759" s="25" t="n"/>
      <c r="I1759" s="25" t="n"/>
      <c r="U1759" s="19">
        <f>IF(AND($V1759='設定'!$C$4,COUNTIF('商品マスタ'!$B$6:$B$1005,$W1759)=0),N(U1758)+1,N(U1758))</f>
        <v/>
      </c>
      <c r="V1759" s="19">
        <f>IF($B1759="","",TEXT($B1759,"0000"))</f>
        <v/>
      </c>
      <c r="W1759" s="19">
        <f>IF($I1759="","",IF(ISNUMBER($I1759),TEXT($I1759,"0"),$I1759))</f>
        <v/>
      </c>
    </row>
    <row r="1760">
      <c r="B1760" s="25" t="n"/>
      <c r="I1760" s="25" t="n"/>
      <c r="U1760" s="19">
        <f>IF(AND($V1760='設定'!$C$4,COUNTIF('商品マスタ'!$B$6:$B$1005,$W1760)=0),N(U1759)+1,N(U1759))</f>
        <v/>
      </c>
      <c r="V1760" s="19">
        <f>IF($B1760="","",TEXT($B1760,"0000"))</f>
        <v/>
      </c>
      <c r="W1760" s="19">
        <f>IF($I1760="","",IF(ISNUMBER($I1760),TEXT($I1760,"0"),$I1760))</f>
        <v/>
      </c>
    </row>
    <row r="1761">
      <c r="B1761" s="25" t="n"/>
      <c r="I1761" s="25" t="n"/>
      <c r="U1761" s="19">
        <f>IF(AND($V1761='設定'!$C$4,COUNTIF('商品マスタ'!$B$6:$B$1005,$W1761)=0),N(U1760)+1,N(U1760))</f>
        <v/>
      </c>
      <c r="V1761" s="19">
        <f>IF($B1761="","",TEXT($B1761,"0000"))</f>
        <v/>
      </c>
      <c r="W1761" s="19">
        <f>IF($I1761="","",IF(ISNUMBER($I1761),TEXT($I1761,"0"),$I1761))</f>
        <v/>
      </c>
    </row>
    <row r="1762">
      <c r="B1762" s="25" t="n"/>
      <c r="I1762" s="25" t="n"/>
      <c r="U1762" s="19">
        <f>IF(AND($V1762='設定'!$C$4,COUNTIF('商品マスタ'!$B$6:$B$1005,$W1762)=0),N(U1761)+1,N(U1761))</f>
        <v/>
      </c>
      <c r="V1762" s="19">
        <f>IF($B1762="","",TEXT($B1762,"0000"))</f>
        <v/>
      </c>
      <c r="W1762" s="19">
        <f>IF($I1762="","",IF(ISNUMBER($I1762),TEXT($I1762,"0"),$I1762))</f>
        <v/>
      </c>
    </row>
    <row r="1763">
      <c r="B1763" s="25" t="n"/>
      <c r="I1763" s="25" t="n"/>
      <c r="U1763" s="19">
        <f>IF(AND($V1763='設定'!$C$4,COUNTIF('商品マスタ'!$B$6:$B$1005,$W1763)=0),N(U1762)+1,N(U1762))</f>
        <v/>
      </c>
      <c r="V1763" s="19">
        <f>IF($B1763="","",TEXT($B1763,"0000"))</f>
        <v/>
      </c>
      <c r="W1763" s="19">
        <f>IF($I1763="","",IF(ISNUMBER($I1763),TEXT($I1763,"0"),$I1763))</f>
        <v/>
      </c>
    </row>
    <row r="1764">
      <c r="B1764" s="25" t="n"/>
      <c r="I1764" s="25" t="n"/>
      <c r="U1764" s="19">
        <f>IF(AND($V1764='設定'!$C$4,COUNTIF('商品マスタ'!$B$6:$B$1005,$W1764)=0),N(U1763)+1,N(U1763))</f>
        <v/>
      </c>
      <c r="V1764" s="19">
        <f>IF($B1764="","",TEXT($B1764,"0000"))</f>
        <v/>
      </c>
      <c r="W1764" s="19">
        <f>IF($I1764="","",IF(ISNUMBER($I1764),TEXT($I1764,"0"),$I1764))</f>
        <v/>
      </c>
    </row>
    <row r="1765">
      <c r="B1765" s="25" t="n"/>
      <c r="I1765" s="25" t="n"/>
      <c r="U1765" s="19">
        <f>IF(AND($V1765='設定'!$C$4,COUNTIF('商品マスタ'!$B$6:$B$1005,$W1765)=0),N(U1764)+1,N(U1764))</f>
        <v/>
      </c>
      <c r="V1765" s="19">
        <f>IF($B1765="","",TEXT($B1765,"0000"))</f>
        <v/>
      </c>
      <c r="W1765" s="19">
        <f>IF($I1765="","",IF(ISNUMBER($I1765),TEXT($I1765,"0"),$I1765))</f>
        <v/>
      </c>
    </row>
    <row r="1766">
      <c r="B1766" s="25" t="n"/>
      <c r="I1766" s="25" t="n"/>
      <c r="U1766" s="19">
        <f>IF(AND($V1766='設定'!$C$4,COUNTIF('商品マスタ'!$B$6:$B$1005,$W1766)=0),N(U1765)+1,N(U1765))</f>
        <v/>
      </c>
      <c r="V1766" s="19">
        <f>IF($B1766="","",TEXT($B1766,"0000"))</f>
        <v/>
      </c>
      <c r="W1766" s="19">
        <f>IF($I1766="","",IF(ISNUMBER($I1766),TEXT($I1766,"0"),$I1766))</f>
        <v/>
      </c>
    </row>
    <row r="1767">
      <c r="B1767" s="25" t="n"/>
      <c r="I1767" s="25" t="n"/>
      <c r="U1767" s="19">
        <f>IF(AND($V1767='設定'!$C$4,COUNTIF('商品マスタ'!$B$6:$B$1005,$W1767)=0),N(U1766)+1,N(U1766))</f>
        <v/>
      </c>
      <c r="V1767" s="19">
        <f>IF($B1767="","",TEXT($B1767,"0000"))</f>
        <v/>
      </c>
      <c r="W1767" s="19">
        <f>IF($I1767="","",IF(ISNUMBER($I1767),TEXT($I1767,"0"),$I1767))</f>
        <v/>
      </c>
    </row>
    <row r="1768">
      <c r="B1768" s="25" t="n"/>
      <c r="I1768" s="25" t="n"/>
      <c r="U1768" s="19">
        <f>IF(AND($V1768='設定'!$C$4,COUNTIF('商品マスタ'!$B$6:$B$1005,$W1768)=0),N(U1767)+1,N(U1767))</f>
        <v/>
      </c>
      <c r="V1768" s="19">
        <f>IF($B1768="","",TEXT($B1768,"0000"))</f>
        <v/>
      </c>
      <c r="W1768" s="19">
        <f>IF($I1768="","",IF(ISNUMBER($I1768),TEXT($I1768,"0"),$I1768))</f>
        <v/>
      </c>
    </row>
    <row r="1769">
      <c r="B1769" s="25" t="n"/>
      <c r="I1769" s="25" t="n"/>
      <c r="U1769" s="19">
        <f>IF(AND($V1769='設定'!$C$4,COUNTIF('商品マスタ'!$B$6:$B$1005,$W1769)=0),N(U1768)+1,N(U1768))</f>
        <v/>
      </c>
      <c r="V1769" s="19">
        <f>IF($B1769="","",TEXT($B1769,"0000"))</f>
        <v/>
      </c>
      <c r="W1769" s="19">
        <f>IF($I1769="","",IF(ISNUMBER($I1769),TEXT($I1769,"0"),$I1769))</f>
        <v/>
      </c>
    </row>
    <row r="1770">
      <c r="B1770" s="25" t="n"/>
      <c r="I1770" s="25" t="n"/>
      <c r="U1770" s="19">
        <f>IF(AND($V1770='設定'!$C$4,COUNTIF('商品マスタ'!$B$6:$B$1005,$W1770)=0),N(U1769)+1,N(U1769))</f>
        <v/>
      </c>
      <c r="V1770" s="19">
        <f>IF($B1770="","",TEXT($B1770,"0000"))</f>
        <v/>
      </c>
      <c r="W1770" s="19">
        <f>IF($I1770="","",IF(ISNUMBER($I1770),TEXT($I1770,"0"),$I1770))</f>
        <v/>
      </c>
    </row>
    <row r="1771">
      <c r="B1771" s="25" t="n"/>
      <c r="I1771" s="25" t="n"/>
      <c r="U1771" s="19">
        <f>IF(AND($V1771='設定'!$C$4,COUNTIF('商品マスタ'!$B$6:$B$1005,$W1771)=0),N(U1770)+1,N(U1770))</f>
        <v/>
      </c>
      <c r="V1771" s="19">
        <f>IF($B1771="","",TEXT($B1771,"0000"))</f>
        <v/>
      </c>
      <c r="W1771" s="19">
        <f>IF($I1771="","",IF(ISNUMBER($I1771),TEXT($I1771,"0"),$I1771))</f>
        <v/>
      </c>
    </row>
    <row r="1772">
      <c r="B1772" s="25" t="n"/>
      <c r="I1772" s="25" t="n"/>
      <c r="U1772" s="19">
        <f>IF(AND($V1772='設定'!$C$4,COUNTIF('商品マスタ'!$B$6:$B$1005,$W1772)=0),N(U1771)+1,N(U1771))</f>
        <v/>
      </c>
      <c r="V1772" s="19">
        <f>IF($B1772="","",TEXT($B1772,"0000"))</f>
        <v/>
      </c>
      <c r="W1772" s="19">
        <f>IF($I1772="","",IF(ISNUMBER($I1772),TEXT($I1772,"0"),$I1772))</f>
        <v/>
      </c>
    </row>
    <row r="1773">
      <c r="B1773" s="25" t="n"/>
      <c r="I1773" s="25" t="n"/>
      <c r="U1773" s="19">
        <f>IF(AND($V1773='設定'!$C$4,COUNTIF('商品マスタ'!$B$6:$B$1005,$W1773)=0),N(U1772)+1,N(U1772))</f>
        <v/>
      </c>
      <c r="V1773" s="19">
        <f>IF($B1773="","",TEXT($B1773,"0000"))</f>
        <v/>
      </c>
      <c r="W1773" s="19">
        <f>IF($I1773="","",IF(ISNUMBER($I1773),TEXT($I1773,"0"),$I1773))</f>
        <v/>
      </c>
    </row>
    <row r="1774">
      <c r="B1774" s="25" t="n"/>
      <c r="I1774" s="25" t="n"/>
      <c r="U1774" s="19">
        <f>IF(AND($V1774='設定'!$C$4,COUNTIF('商品マスタ'!$B$6:$B$1005,$W1774)=0),N(U1773)+1,N(U1773))</f>
        <v/>
      </c>
      <c r="V1774" s="19">
        <f>IF($B1774="","",TEXT($B1774,"0000"))</f>
        <v/>
      </c>
      <c r="W1774" s="19">
        <f>IF($I1774="","",IF(ISNUMBER($I1774),TEXT($I1774,"0"),$I1774))</f>
        <v/>
      </c>
    </row>
    <row r="1775">
      <c r="B1775" s="25" t="n"/>
      <c r="I1775" s="25" t="n"/>
      <c r="U1775" s="19">
        <f>IF(AND($V1775='設定'!$C$4,COUNTIF('商品マスタ'!$B$6:$B$1005,$W1775)=0),N(U1774)+1,N(U1774))</f>
        <v/>
      </c>
      <c r="V1775" s="19">
        <f>IF($B1775="","",TEXT($B1775,"0000"))</f>
        <v/>
      </c>
      <c r="W1775" s="19">
        <f>IF($I1775="","",IF(ISNUMBER($I1775),TEXT($I1775,"0"),$I1775))</f>
        <v/>
      </c>
    </row>
    <row r="1776">
      <c r="B1776" s="25" t="n"/>
      <c r="I1776" s="25" t="n"/>
      <c r="U1776" s="19">
        <f>IF(AND($V1776='設定'!$C$4,COUNTIF('商品マスタ'!$B$6:$B$1005,$W1776)=0),N(U1775)+1,N(U1775))</f>
        <v/>
      </c>
      <c r="V1776" s="19">
        <f>IF($B1776="","",TEXT($B1776,"0000"))</f>
        <v/>
      </c>
      <c r="W1776" s="19">
        <f>IF($I1776="","",IF(ISNUMBER($I1776),TEXT($I1776,"0"),$I1776))</f>
        <v/>
      </c>
    </row>
    <row r="1777">
      <c r="B1777" s="25" t="n"/>
      <c r="I1777" s="25" t="n"/>
      <c r="U1777" s="19">
        <f>IF(AND($V1777='設定'!$C$4,COUNTIF('商品マスタ'!$B$6:$B$1005,$W1777)=0),N(U1776)+1,N(U1776))</f>
        <v/>
      </c>
      <c r="V1777" s="19">
        <f>IF($B1777="","",TEXT($B1777,"0000"))</f>
        <v/>
      </c>
      <c r="W1777" s="19">
        <f>IF($I1777="","",IF(ISNUMBER($I1777),TEXT($I1777,"0"),$I1777))</f>
        <v/>
      </c>
    </row>
    <row r="1778">
      <c r="B1778" s="25" t="n"/>
      <c r="I1778" s="25" t="n"/>
      <c r="U1778" s="19">
        <f>IF(AND($V1778='設定'!$C$4,COUNTIF('商品マスタ'!$B$6:$B$1005,$W1778)=0),N(U1777)+1,N(U1777))</f>
        <v/>
      </c>
      <c r="V1778" s="19">
        <f>IF($B1778="","",TEXT($B1778,"0000"))</f>
        <v/>
      </c>
      <c r="W1778" s="19">
        <f>IF($I1778="","",IF(ISNUMBER($I1778),TEXT($I1778,"0"),$I1778))</f>
        <v/>
      </c>
    </row>
    <row r="1779">
      <c r="B1779" s="25" t="n"/>
      <c r="I1779" s="25" t="n"/>
      <c r="U1779" s="19">
        <f>IF(AND($V1779='設定'!$C$4,COUNTIF('商品マスタ'!$B$6:$B$1005,$W1779)=0),N(U1778)+1,N(U1778))</f>
        <v/>
      </c>
      <c r="V1779" s="19">
        <f>IF($B1779="","",TEXT($B1779,"0000"))</f>
        <v/>
      </c>
      <c r="W1779" s="19">
        <f>IF($I1779="","",IF(ISNUMBER($I1779),TEXT($I1779,"0"),$I1779))</f>
        <v/>
      </c>
    </row>
    <row r="1780">
      <c r="B1780" s="25" t="n"/>
      <c r="I1780" s="25" t="n"/>
      <c r="U1780" s="19">
        <f>IF(AND($V1780='設定'!$C$4,COUNTIF('商品マスタ'!$B$6:$B$1005,$W1780)=0),N(U1779)+1,N(U1779))</f>
        <v/>
      </c>
      <c r="V1780" s="19">
        <f>IF($B1780="","",TEXT($B1780,"0000"))</f>
        <v/>
      </c>
      <c r="W1780" s="19">
        <f>IF($I1780="","",IF(ISNUMBER($I1780),TEXT($I1780,"0"),$I1780))</f>
        <v/>
      </c>
    </row>
    <row r="1781">
      <c r="B1781" s="25" t="n"/>
      <c r="I1781" s="25" t="n"/>
      <c r="U1781" s="19">
        <f>IF(AND($V1781='設定'!$C$4,COUNTIF('商品マスタ'!$B$6:$B$1005,$W1781)=0),N(U1780)+1,N(U1780))</f>
        <v/>
      </c>
      <c r="V1781" s="19">
        <f>IF($B1781="","",TEXT($B1781,"0000"))</f>
        <v/>
      </c>
      <c r="W1781" s="19">
        <f>IF($I1781="","",IF(ISNUMBER($I1781),TEXT($I1781,"0"),$I1781))</f>
        <v/>
      </c>
    </row>
    <row r="1782">
      <c r="B1782" s="25" t="n"/>
      <c r="I1782" s="25" t="n"/>
      <c r="U1782" s="19">
        <f>IF(AND($V1782='設定'!$C$4,COUNTIF('商品マスタ'!$B$6:$B$1005,$W1782)=0),N(U1781)+1,N(U1781))</f>
        <v/>
      </c>
      <c r="V1782" s="19">
        <f>IF($B1782="","",TEXT($B1782,"0000"))</f>
        <v/>
      </c>
      <c r="W1782" s="19">
        <f>IF($I1782="","",IF(ISNUMBER($I1782),TEXT($I1782,"0"),$I1782))</f>
        <v/>
      </c>
    </row>
    <row r="1783">
      <c r="B1783" s="25" t="n"/>
      <c r="I1783" s="25" t="n"/>
      <c r="U1783" s="19">
        <f>IF(AND($V1783='設定'!$C$4,COUNTIF('商品マスタ'!$B$6:$B$1005,$W1783)=0),N(U1782)+1,N(U1782))</f>
        <v/>
      </c>
      <c r="V1783" s="19">
        <f>IF($B1783="","",TEXT($B1783,"0000"))</f>
        <v/>
      </c>
      <c r="W1783" s="19">
        <f>IF($I1783="","",IF(ISNUMBER($I1783),TEXT($I1783,"0"),$I1783))</f>
        <v/>
      </c>
    </row>
    <row r="1784">
      <c r="B1784" s="25" t="n"/>
      <c r="I1784" s="25" t="n"/>
      <c r="U1784" s="19">
        <f>IF(AND($V1784='設定'!$C$4,COUNTIF('商品マスタ'!$B$6:$B$1005,$W1784)=0),N(U1783)+1,N(U1783))</f>
        <v/>
      </c>
      <c r="V1784" s="19">
        <f>IF($B1784="","",TEXT($B1784,"0000"))</f>
        <v/>
      </c>
      <c r="W1784" s="19">
        <f>IF($I1784="","",IF(ISNUMBER($I1784),TEXT($I1784,"0"),$I1784))</f>
        <v/>
      </c>
    </row>
    <row r="1785">
      <c r="B1785" s="25" t="n"/>
      <c r="I1785" s="25" t="n"/>
      <c r="U1785" s="19">
        <f>IF(AND($V1785='設定'!$C$4,COUNTIF('商品マスタ'!$B$6:$B$1005,$W1785)=0),N(U1784)+1,N(U1784))</f>
        <v/>
      </c>
      <c r="V1785" s="19">
        <f>IF($B1785="","",TEXT($B1785,"0000"))</f>
        <v/>
      </c>
      <c r="W1785" s="19">
        <f>IF($I1785="","",IF(ISNUMBER($I1785),TEXT($I1785,"0"),$I1785))</f>
        <v/>
      </c>
    </row>
    <row r="1786">
      <c r="B1786" s="25" t="n"/>
      <c r="I1786" s="25" t="n"/>
      <c r="U1786" s="19">
        <f>IF(AND($V1786='設定'!$C$4,COUNTIF('商品マスタ'!$B$6:$B$1005,$W1786)=0),N(U1785)+1,N(U1785))</f>
        <v/>
      </c>
      <c r="V1786" s="19">
        <f>IF($B1786="","",TEXT($B1786,"0000"))</f>
        <v/>
      </c>
      <c r="W1786" s="19">
        <f>IF($I1786="","",IF(ISNUMBER($I1786),TEXT($I1786,"0"),$I1786))</f>
        <v/>
      </c>
    </row>
    <row r="1787">
      <c r="B1787" s="25" t="n"/>
      <c r="I1787" s="25" t="n"/>
      <c r="U1787" s="19">
        <f>IF(AND($V1787='設定'!$C$4,COUNTIF('商品マスタ'!$B$6:$B$1005,$W1787)=0),N(U1786)+1,N(U1786))</f>
        <v/>
      </c>
      <c r="V1787" s="19">
        <f>IF($B1787="","",TEXT($B1787,"0000"))</f>
        <v/>
      </c>
      <c r="W1787" s="19">
        <f>IF($I1787="","",IF(ISNUMBER($I1787),TEXT($I1787,"0"),$I1787))</f>
        <v/>
      </c>
    </row>
    <row r="1788">
      <c r="B1788" s="25" t="n"/>
      <c r="I1788" s="25" t="n"/>
      <c r="U1788" s="19">
        <f>IF(AND($V1788='設定'!$C$4,COUNTIF('商品マスタ'!$B$6:$B$1005,$W1788)=0),N(U1787)+1,N(U1787))</f>
        <v/>
      </c>
      <c r="V1788" s="19">
        <f>IF($B1788="","",TEXT($B1788,"0000"))</f>
        <v/>
      </c>
      <c r="W1788" s="19">
        <f>IF($I1788="","",IF(ISNUMBER($I1788),TEXT($I1788,"0"),$I1788))</f>
        <v/>
      </c>
    </row>
    <row r="1789">
      <c r="B1789" s="25" t="n"/>
      <c r="I1789" s="25" t="n"/>
      <c r="U1789" s="19">
        <f>IF(AND($V1789='設定'!$C$4,COUNTIF('商品マスタ'!$B$6:$B$1005,$W1789)=0),N(U1788)+1,N(U1788))</f>
        <v/>
      </c>
      <c r="V1789" s="19">
        <f>IF($B1789="","",TEXT($B1789,"0000"))</f>
        <v/>
      </c>
      <c r="W1789" s="19">
        <f>IF($I1789="","",IF(ISNUMBER($I1789),TEXT($I1789,"0"),$I1789))</f>
        <v/>
      </c>
    </row>
    <row r="1790">
      <c r="B1790" s="25" t="n"/>
      <c r="I1790" s="25" t="n"/>
      <c r="U1790" s="19">
        <f>IF(AND($V1790='設定'!$C$4,COUNTIF('商品マスタ'!$B$6:$B$1005,$W1790)=0),N(U1789)+1,N(U1789))</f>
        <v/>
      </c>
      <c r="V1790" s="19">
        <f>IF($B1790="","",TEXT($B1790,"0000"))</f>
        <v/>
      </c>
      <c r="W1790" s="19">
        <f>IF($I1790="","",IF(ISNUMBER($I1790),TEXT($I1790,"0"),$I1790))</f>
        <v/>
      </c>
    </row>
    <row r="1791">
      <c r="B1791" s="25" t="n"/>
      <c r="I1791" s="25" t="n"/>
      <c r="U1791" s="19">
        <f>IF(AND($V1791='設定'!$C$4,COUNTIF('商品マスタ'!$B$6:$B$1005,$W1791)=0),N(U1790)+1,N(U1790))</f>
        <v/>
      </c>
      <c r="V1791" s="19">
        <f>IF($B1791="","",TEXT($B1791,"0000"))</f>
        <v/>
      </c>
      <c r="W1791" s="19">
        <f>IF($I1791="","",IF(ISNUMBER($I1791),TEXT($I1791,"0"),$I1791))</f>
        <v/>
      </c>
    </row>
    <row r="1792">
      <c r="B1792" s="25" t="n"/>
      <c r="I1792" s="25" t="n"/>
      <c r="U1792" s="19">
        <f>IF(AND($V1792='設定'!$C$4,COUNTIF('商品マスタ'!$B$6:$B$1005,$W1792)=0),N(U1791)+1,N(U1791))</f>
        <v/>
      </c>
      <c r="V1792" s="19">
        <f>IF($B1792="","",TEXT($B1792,"0000"))</f>
        <v/>
      </c>
      <c r="W1792" s="19">
        <f>IF($I1792="","",IF(ISNUMBER($I1792),TEXT($I1792,"0"),$I1792))</f>
        <v/>
      </c>
    </row>
    <row r="1793">
      <c r="B1793" s="25" t="n"/>
      <c r="I1793" s="25" t="n"/>
      <c r="U1793" s="19">
        <f>IF(AND($V1793='設定'!$C$4,COUNTIF('商品マスタ'!$B$6:$B$1005,$W1793)=0),N(U1792)+1,N(U1792))</f>
        <v/>
      </c>
      <c r="V1793" s="19">
        <f>IF($B1793="","",TEXT($B1793,"0000"))</f>
        <v/>
      </c>
      <c r="W1793" s="19">
        <f>IF($I1793="","",IF(ISNUMBER($I1793),TEXT($I1793,"0"),$I1793))</f>
        <v/>
      </c>
    </row>
    <row r="1794">
      <c r="B1794" s="25" t="n"/>
      <c r="I1794" s="25" t="n"/>
      <c r="U1794" s="19">
        <f>IF(AND($V1794='設定'!$C$4,COUNTIF('商品マスタ'!$B$6:$B$1005,$W1794)=0),N(U1793)+1,N(U1793))</f>
        <v/>
      </c>
      <c r="V1794" s="19">
        <f>IF($B1794="","",TEXT($B1794,"0000"))</f>
        <v/>
      </c>
      <c r="W1794" s="19">
        <f>IF($I1794="","",IF(ISNUMBER($I1794),TEXT($I1794,"0"),$I1794))</f>
        <v/>
      </c>
    </row>
    <row r="1795">
      <c r="B1795" s="25" t="n"/>
      <c r="I1795" s="25" t="n"/>
      <c r="U1795" s="19">
        <f>IF(AND($V1795='設定'!$C$4,COUNTIF('商品マスタ'!$B$6:$B$1005,$W1795)=0),N(U1794)+1,N(U1794))</f>
        <v/>
      </c>
      <c r="V1795" s="19">
        <f>IF($B1795="","",TEXT($B1795,"0000"))</f>
        <v/>
      </c>
      <c r="W1795" s="19">
        <f>IF($I1795="","",IF(ISNUMBER($I1795),TEXT($I1795,"0"),$I1795))</f>
        <v/>
      </c>
    </row>
    <row r="1796">
      <c r="B1796" s="25" t="n"/>
      <c r="I1796" s="25" t="n"/>
      <c r="U1796" s="19">
        <f>IF(AND($V1796='設定'!$C$4,COUNTIF('商品マスタ'!$B$6:$B$1005,$W1796)=0),N(U1795)+1,N(U1795))</f>
        <v/>
      </c>
      <c r="V1796" s="19">
        <f>IF($B1796="","",TEXT($B1796,"0000"))</f>
        <v/>
      </c>
      <c r="W1796" s="19">
        <f>IF($I1796="","",IF(ISNUMBER($I1796),TEXT($I1796,"0"),$I1796))</f>
        <v/>
      </c>
    </row>
    <row r="1797">
      <c r="B1797" s="25" t="n"/>
      <c r="I1797" s="25" t="n"/>
      <c r="U1797" s="19">
        <f>IF(AND($V1797='設定'!$C$4,COUNTIF('商品マスタ'!$B$6:$B$1005,$W1797)=0),N(U1796)+1,N(U1796))</f>
        <v/>
      </c>
      <c r="V1797" s="19">
        <f>IF($B1797="","",TEXT($B1797,"0000"))</f>
        <v/>
      </c>
      <c r="W1797" s="19">
        <f>IF($I1797="","",IF(ISNUMBER($I1797),TEXT($I1797,"0"),$I1797))</f>
        <v/>
      </c>
    </row>
    <row r="1798">
      <c r="B1798" s="25" t="n"/>
      <c r="I1798" s="25" t="n"/>
      <c r="U1798" s="19">
        <f>IF(AND($V1798='設定'!$C$4,COUNTIF('商品マスタ'!$B$6:$B$1005,$W1798)=0),N(U1797)+1,N(U1797))</f>
        <v/>
      </c>
      <c r="V1798" s="19">
        <f>IF($B1798="","",TEXT($B1798,"0000"))</f>
        <v/>
      </c>
      <c r="W1798" s="19">
        <f>IF($I1798="","",IF(ISNUMBER($I1798),TEXT($I1798,"0"),$I1798))</f>
        <v/>
      </c>
    </row>
    <row r="1799">
      <c r="B1799" s="25" t="n"/>
      <c r="I1799" s="25" t="n"/>
      <c r="U1799" s="19">
        <f>IF(AND($V1799='設定'!$C$4,COUNTIF('商品マスタ'!$B$6:$B$1005,$W1799)=0),N(U1798)+1,N(U1798))</f>
        <v/>
      </c>
      <c r="V1799" s="19">
        <f>IF($B1799="","",TEXT($B1799,"0000"))</f>
        <v/>
      </c>
      <c r="W1799" s="19">
        <f>IF($I1799="","",IF(ISNUMBER($I1799),TEXT($I1799,"0"),$I1799))</f>
        <v/>
      </c>
    </row>
    <row r="1800">
      <c r="B1800" s="25" t="n"/>
      <c r="I1800" s="25" t="n"/>
      <c r="U1800" s="19">
        <f>IF(AND($V1800='設定'!$C$4,COUNTIF('商品マスタ'!$B$6:$B$1005,$W1800)=0),N(U1799)+1,N(U1799))</f>
        <v/>
      </c>
      <c r="V1800" s="19">
        <f>IF($B1800="","",TEXT($B1800,"0000"))</f>
        <v/>
      </c>
      <c r="W1800" s="19">
        <f>IF($I1800="","",IF(ISNUMBER($I1800),TEXT($I1800,"0"),$I1800))</f>
        <v/>
      </c>
    </row>
    <row r="1801">
      <c r="B1801" s="25" t="n"/>
      <c r="I1801" s="25" t="n"/>
      <c r="U1801" s="19">
        <f>IF(AND($V1801='設定'!$C$4,COUNTIF('商品マスタ'!$B$6:$B$1005,$W1801)=0),N(U1800)+1,N(U1800))</f>
        <v/>
      </c>
      <c r="V1801" s="19">
        <f>IF($B1801="","",TEXT($B1801,"0000"))</f>
        <v/>
      </c>
      <c r="W1801" s="19">
        <f>IF($I1801="","",IF(ISNUMBER($I1801),TEXT($I1801,"0"),$I1801))</f>
        <v/>
      </c>
    </row>
    <row r="1802">
      <c r="B1802" s="25" t="n"/>
      <c r="I1802" s="25" t="n"/>
      <c r="U1802" s="19">
        <f>IF(AND($V1802='設定'!$C$4,COUNTIF('商品マスタ'!$B$6:$B$1005,$W1802)=0),N(U1801)+1,N(U1801))</f>
        <v/>
      </c>
      <c r="V1802" s="19">
        <f>IF($B1802="","",TEXT($B1802,"0000"))</f>
        <v/>
      </c>
      <c r="W1802" s="19">
        <f>IF($I1802="","",IF(ISNUMBER($I1802),TEXT($I1802,"0"),$I1802))</f>
        <v/>
      </c>
    </row>
    <row r="1803">
      <c r="B1803" s="25" t="n"/>
      <c r="I1803" s="25" t="n"/>
      <c r="U1803" s="19">
        <f>IF(AND($V1803='設定'!$C$4,COUNTIF('商品マスタ'!$B$6:$B$1005,$W1803)=0),N(U1802)+1,N(U1802))</f>
        <v/>
      </c>
      <c r="V1803" s="19">
        <f>IF($B1803="","",TEXT($B1803,"0000"))</f>
        <v/>
      </c>
      <c r="W1803" s="19">
        <f>IF($I1803="","",IF(ISNUMBER($I1803),TEXT($I1803,"0"),$I1803))</f>
        <v/>
      </c>
    </row>
    <row r="1804">
      <c r="B1804" s="25" t="n"/>
      <c r="I1804" s="25" t="n"/>
      <c r="U1804" s="19">
        <f>IF(AND($V1804='設定'!$C$4,COUNTIF('商品マスタ'!$B$6:$B$1005,$W1804)=0),N(U1803)+1,N(U1803))</f>
        <v/>
      </c>
      <c r="V1804" s="19">
        <f>IF($B1804="","",TEXT($B1804,"0000"))</f>
        <v/>
      </c>
      <c r="W1804" s="19">
        <f>IF($I1804="","",IF(ISNUMBER($I1804),TEXT($I1804,"0"),$I1804))</f>
        <v/>
      </c>
    </row>
    <row r="1805">
      <c r="B1805" s="25" t="n"/>
      <c r="I1805" s="25" t="n"/>
      <c r="U1805" s="19">
        <f>IF(AND($V1805='設定'!$C$4,COUNTIF('商品マスタ'!$B$6:$B$1005,$W1805)=0),N(U1804)+1,N(U1804))</f>
        <v/>
      </c>
      <c r="V1805" s="19">
        <f>IF($B1805="","",TEXT($B1805,"0000"))</f>
        <v/>
      </c>
      <c r="W1805" s="19">
        <f>IF($I1805="","",IF(ISNUMBER($I1805),TEXT($I1805,"0"),$I1805))</f>
        <v/>
      </c>
    </row>
    <row r="1806">
      <c r="B1806" s="25" t="n"/>
      <c r="I1806" s="25" t="n"/>
      <c r="U1806" s="19">
        <f>IF(AND($V1806='設定'!$C$4,COUNTIF('商品マスタ'!$B$6:$B$1005,$W1806)=0),N(U1805)+1,N(U1805))</f>
        <v/>
      </c>
      <c r="V1806" s="19">
        <f>IF($B1806="","",TEXT($B1806,"0000"))</f>
        <v/>
      </c>
      <c r="W1806" s="19">
        <f>IF($I1806="","",IF(ISNUMBER($I1806),TEXT($I1806,"0"),$I1806))</f>
        <v/>
      </c>
    </row>
    <row r="1807">
      <c r="B1807" s="25" t="n"/>
      <c r="I1807" s="25" t="n"/>
      <c r="U1807" s="19">
        <f>IF(AND($V1807='設定'!$C$4,COUNTIF('商品マスタ'!$B$6:$B$1005,$W1807)=0),N(U1806)+1,N(U1806))</f>
        <v/>
      </c>
      <c r="V1807" s="19">
        <f>IF($B1807="","",TEXT($B1807,"0000"))</f>
        <v/>
      </c>
      <c r="W1807" s="19">
        <f>IF($I1807="","",IF(ISNUMBER($I1807),TEXT($I1807,"0"),$I1807))</f>
        <v/>
      </c>
    </row>
    <row r="1808">
      <c r="B1808" s="25" t="n"/>
      <c r="I1808" s="25" t="n"/>
      <c r="U1808" s="19">
        <f>IF(AND($V1808='設定'!$C$4,COUNTIF('商品マスタ'!$B$6:$B$1005,$W1808)=0),N(U1807)+1,N(U1807))</f>
        <v/>
      </c>
      <c r="V1808" s="19">
        <f>IF($B1808="","",TEXT($B1808,"0000"))</f>
        <v/>
      </c>
      <c r="W1808" s="19">
        <f>IF($I1808="","",IF(ISNUMBER($I1808),TEXT($I1808,"0"),$I1808))</f>
        <v/>
      </c>
    </row>
    <row r="1809">
      <c r="B1809" s="25" t="n"/>
      <c r="I1809" s="25" t="n"/>
      <c r="U1809" s="19">
        <f>IF(AND($V1809='設定'!$C$4,COUNTIF('商品マスタ'!$B$6:$B$1005,$W1809)=0),N(U1808)+1,N(U1808))</f>
        <v/>
      </c>
      <c r="V1809" s="19">
        <f>IF($B1809="","",TEXT($B1809,"0000"))</f>
        <v/>
      </c>
      <c r="W1809" s="19">
        <f>IF($I1809="","",IF(ISNUMBER($I1809),TEXT($I1809,"0"),$I1809))</f>
        <v/>
      </c>
    </row>
    <row r="1810">
      <c r="B1810" s="25" t="n"/>
      <c r="I1810" s="25" t="n"/>
      <c r="U1810" s="19">
        <f>IF(AND($V1810='設定'!$C$4,COUNTIF('商品マスタ'!$B$6:$B$1005,$W1810)=0),N(U1809)+1,N(U1809))</f>
        <v/>
      </c>
      <c r="V1810" s="19">
        <f>IF($B1810="","",TEXT($B1810,"0000"))</f>
        <v/>
      </c>
      <c r="W1810" s="19">
        <f>IF($I1810="","",IF(ISNUMBER($I1810),TEXT($I1810,"0"),$I1810))</f>
        <v/>
      </c>
    </row>
    <row r="1811">
      <c r="B1811" s="25" t="n"/>
      <c r="I1811" s="25" t="n"/>
      <c r="U1811" s="19">
        <f>IF(AND($V1811='設定'!$C$4,COUNTIF('商品マスタ'!$B$6:$B$1005,$W1811)=0),N(U1810)+1,N(U1810))</f>
        <v/>
      </c>
      <c r="V1811" s="19">
        <f>IF($B1811="","",TEXT($B1811,"0000"))</f>
        <v/>
      </c>
      <c r="W1811" s="19">
        <f>IF($I1811="","",IF(ISNUMBER($I1811),TEXT($I1811,"0"),$I1811))</f>
        <v/>
      </c>
    </row>
    <row r="1812">
      <c r="B1812" s="25" t="n"/>
      <c r="I1812" s="25" t="n"/>
      <c r="U1812" s="19">
        <f>IF(AND($V1812='設定'!$C$4,COUNTIF('商品マスタ'!$B$6:$B$1005,$W1812)=0),N(U1811)+1,N(U1811))</f>
        <v/>
      </c>
      <c r="V1812" s="19">
        <f>IF($B1812="","",TEXT($B1812,"0000"))</f>
        <v/>
      </c>
      <c r="W1812" s="19">
        <f>IF($I1812="","",IF(ISNUMBER($I1812),TEXT($I1812,"0"),$I1812))</f>
        <v/>
      </c>
    </row>
    <row r="1813">
      <c r="B1813" s="25" t="n"/>
      <c r="I1813" s="25" t="n"/>
      <c r="U1813" s="19">
        <f>IF(AND($V1813='設定'!$C$4,COUNTIF('商品マスタ'!$B$6:$B$1005,$W1813)=0),N(U1812)+1,N(U1812))</f>
        <v/>
      </c>
      <c r="V1813" s="19">
        <f>IF($B1813="","",TEXT($B1813,"0000"))</f>
        <v/>
      </c>
      <c r="W1813" s="19">
        <f>IF($I1813="","",IF(ISNUMBER($I1813),TEXT($I1813,"0"),$I1813))</f>
        <v/>
      </c>
    </row>
    <row r="1814">
      <c r="B1814" s="25" t="n"/>
      <c r="I1814" s="25" t="n"/>
      <c r="U1814" s="19">
        <f>IF(AND($V1814='設定'!$C$4,COUNTIF('商品マスタ'!$B$6:$B$1005,$W1814)=0),N(U1813)+1,N(U1813))</f>
        <v/>
      </c>
      <c r="V1814" s="19">
        <f>IF($B1814="","",TEXT($B1814,"0000"))</f>
        <v/>
      </c>
      <c r="W1814" s="19">
        <f>IF($I1814="","",IF(ISNUMBER($I1814),TEXT($I1814,"0"),$I1814))</f>
        <v/>
      </c>
    </row>
    <row r="1815">
      <c r="B1815" s="25" t="n"/>
      <c r="I1815" s="25" t="n"/>
      <c r="U1815" s="19">
        <f>IF(AND($V1815='設定'!$C$4,COUNTIF('商品マスタ'!$B$6:$B$1005,$W1815)=0),N(U1814)+1,N(U1814))</f>
        <v/>
      </c>
      <c r="V1815" s="19">
        <f>IF($B1815="","",TEXT($B1815,"0000"))</f>
        <v/>
      </c>
      <c r="W1815" s="19">
        <f>IF($I1815="","",IF(ISNUMBER($I1815),TEXT($I1815,"0"),$I1815))</f>
        <v/>
      </c>
    </row>
    <row r="1816">
      <c r="B1816" s="25" t="n"/>
      <c r="I1816" s="25" t="n"/>
      <c r="U1816" s="19">
        <f>IF(AND($V1816='設定'!$C$4,COUNTIF('商品マスタ'!$B$6:$B$1005,$W1816)=0),N(U1815)+1,N(U1815))</f>
        <v/>
      </c>
      <c r="V1816" s="19">
        <f>IF($B1816="","",TEXT($B1816,"0000"))</f>
        <v/>
      </c>
      <c r="W1816" s="19">
        <f>IF($I1816="","",IF(ISNUMBER($I1816),TEXT($I1816,"0"),$I1816))</f>
        <v/>
      </c>
    </row>
    <row r="1817">
      <c r="B1817" s="25" t="n"/>
      <c r="I1817" s="25" t="n"/>
      <c r="U1817" s="19">
        <f>IF(AND($V1817='設定'!$C$4,COUNTIF('商品マスタ'!$B$6:$B$1005,$W1817)=0),N(U1816)+1,N(U1816))</f>
        <v/>
      </c>
      <c r="V1817" s="19">
        <f>IF($B1817="","",TEXT($B1817,"0000"))</f>
        <v/>
      </c>
      <c r="W1817" s="19">
        <f>IF($I1817="","",IF(ISNUMBER($I1817),TEXT($I1817,"0"),$I1817))</f>
        <v/>
      </c>
    </row>
    <row r="1818">
      <c r="B1818" s="25" t="n"/>
      <c r="I1818" s="25" t="n"/>
      <c r="U1818" s="19">
        <f>IF(AND($V1818='設定'!$C$4,COUNTIF('商品マスタ'!$B$6:$B$1005,$W1818)=0),N(U1817)+1,N(U1817))</f>
        <v/>
      </c>
      <c r="V1818" s="19">
        <f>IF($B1818="","",TEXT($B1818,"0000"))</f>
        <v/>
      </c>
      <c r="W1818" s="19">
        <f>IF($I1818="","",IF(ISNUMBER($I1818),TEXT($I1818,"0"),$I1818))</f>
        <v/>
      </c>
    </row>
    <row r="1819">
      <c r="B1819" s="25" t="n"/>
      <c r="I1819" s="25" t="n"/>
      <c r="U1819" s="19">
        <f>IF(AND($V1819='設定'!$C$4,COUNTIF('商品マスタ'!$B$6:$B$1005,$W1819)=0),N(U1818)+1,N(U1818))</f>
        <v/>
      </c>
      <c r="V1819" s="19">
        <f>IF($B1819="","",TEXT($B1819,"0000"))</f>
        <v/>
      </c>
      <c r="W1819" s="19">
        <f>IF($I1819="","",IF(ISNUMBER($I1819),TEXT($I1819,"0"),$I1819))</f>
        <v/>
      </c>
    </row>
    <row r="1820">
      <c r="B1820" s="25" t="n"/>
      <c r="I1820" s="25" t="n"/>
      <c r="U1820" s="19">
        <f>IF(AND($V1820='設定'!$C$4,COUNTIF('商品マスタ'!$B$6:$B$1005,$W1820)=0),N(U1819)+1,N(U1819))</f>
        <v/>
      </c>
      <c r="V1820" s="19">
        <f>IF($B1820="","",TEXT($B1820,"0000"))</f>
        <v/>
      </c>
      <c r="W1820" s="19">
        <f>IF($I1820="","",IF(ISNUMBER($I1820),TEXT($I1820,"0"),$I1820))</f>
        <v/>
      </c>
    </row>
    <row r="1821">
      <c r="B1821" s="25" t="n"/>
      <c r="I1821" s="25" t="n"/>
      <c r="U1821" s="19">
        <f>IF(AND($V1821='設定'!$C$4,COUNTIF('商品マスタ'!$B$6:$B$1005,$W1821)=0),N(U1820)+1,N(U1820))</f>
        <v/>
      </c>
      <c r="V1821" s="19">
        <f>IF($B1821="","",TEXT($B1821,"0000"))</f>
        <v/>
      </c>
      <c r="W1821" s="19">
        <f>IF($I1821="","",IF(ISNUMBER($I1821),TEXT($I1821,"0"),$I1821))</f>
        <v/>
      </c>
    </row>
    <row r="1822">
      <c r="B1822" s="25" t="n"/>
      <c r="I1822" s="25" t="n"/>
      <c r="U1822" s="19">
        <f>IF(AND($V1822='設定'!$C$4,COUNTIF('商品マスタ'!$B$6:$B$1005,$W1822)=0),N(U1821)+1,N(U1821))</f>
        <v/>
      </c>
      <c r="V1822" s="19">
        <f>IF($B1822="","",TEXT($B1822,"0000"))</f>
        <v/>
      </c>
      <c r="W1822" s="19">
        <f>IF($I1822="","",IF(ISNUMBER($I1822),TEXT($I1822,"0"),$I1822))</f>
        <v/>
      </c>
    </row>
    <row r="1823">
      <c r="B1823" s="25" t="n"/>
      <c r="I1823" s="25" t="n"/>
      <c r="U1823" s="19">
        <f>IF(AND($V1823='設定'!$C$4,COUNTIF('商品マスタ'!$B$6:$B$1005,$W1823)=0),N(U1822)+1,N(U1822))</f>
        <v/>
      </c>
      <c r="V1823" s="19">
        <f>IF($B1823="","",TEXT($B1823,"0000"))</f>
        <v/>
      </c>
      <c r="W1823" s="19">
        <f>IF($I1823="","",IF(ISNUMBER($I1823),TEXT($I1823,"0"),$I1823))</f>
        <v/>
      </c>
    </row>
    <row r="1824">
      <c r="B1824" s="25" t="n"/>
      <c r="I1824" s="25" t="n"/>
      <c r="U1824" s="19">
        <f>IF(AND($V1824='設定'!$C$4,COUNTIF('商品マスタ'!$B$6:$B$1005,$W1824)=0),N(U1823)+1,N(U1823))</f>
        <v/>
      </c>
      <c r="V1824" s="19">
        <f>IF($B1824="","",TEXT($B1824,"0000"))</f>
        <v/>
      </c>
      <c r="W1824" s="19">
        <f>IF($I1824="","",IF(ISNUMBER($I1824),TEXT($I1824,"0"),$I1824))</f>
        <v/>
      </c>
    </row>
    <row r="1825">
      <c r="B1825" s="25" t="n"/>
      <c r="I1825" s="25" t="n"/>
      <c r="U1825" s="19">
        <f>IF(AND($V1825='設定'!$C$4,COUNTIF('商品マスタ'!$B$6:$B$1005,$W1825)=0),N(U1824)+1,N(U1824))</f>
        <v/>
      </c>
      <c r="V1825" s="19">
        <f>IF($B1825="","",TEXT($B1825,"0000"))</f>
        <v/>
      </c>
      <c r="W1825" s="19">
        <f>IF($I1825="","",IF(ISNUMBER($I1825),TEXT($I1825,"0"),$I1825))</f>
        <v/>
      </c>
    </row>
    <row r="1826">
      <c r="B1826" s="25" t="n"/>
      <c r="I1826" s="25" t="n"/>
      <c r="U1826" s="19">
        <f>IF(AND($V1826='設定'!$C$4,COUNTIF('商品マスタ'!$B$6:$B$1005,$W1826)=0),N(U1825)+1,N(U1825))</f>
        <v/>
      </c>
      <c r="V1826" s="19">
        <f>IF($B1826="","",TEXT($B1826,"0000"))</f>
        <v/>
      </c>
      <c r="W1826" s="19">
        <f>IF($I1826="","",IF(ISNUMBER($I1826),TEXT($I1826,"0"),$I1826))</f>
        <v/>
      </c>
    </row>
    <row r="1827">
      <c r="B1827" s="25" t="n"/>
      <c r="I1827" s="25" t="n"/>
      <c r="U1827" s="19">
        <f>IF(AND($V1827='設定'!$C$4,COUNTIF('商品マスタ'!$B$6:$B$1005,$W1827)=0),N(U1826)+1,N(U1826))</f>
        <v/>
      </c>
      <c r="V1827" s="19">
        <f>IF($B1827="","",TEXT($B1827,"0000"))</f>
        <v/>
      </c>
      <c r="W1827" s="19">
        <f>IF($I1827="","",IF(ISNUMBER($I1827),TEXT($I1827,"0"),$I1827))</f>
        <v/>
      </c>
    </row>
    <row r="1828">
      <c r="B1828" s="25" t="n"/>
      <c r="I1828" s="25" t="n"/>
      <c r="U1828" s="19">
        <f>IF(AND($V1828='設定'!$C$4,COUNTIF('商品マスタ'!$B$6:$B$1005,$W1828)=0),N(U1827)+1,N(U1827))</f>
        <v/>
      </c>
      <c r="V1828" s="19">
        <f>IF($B1828="","",TEXT($B1828,"0000"))</f>
        <v/>
      </c>
      <c r="W1828" s="19">
        <f>IF($I1828="","",IF(ISNUMBER($I1828),TEXT($I1828,"0"),$I1828))</f>
        <v/>
      </c>
    </row>
    <row r="1829">
      <c r="B1829" s="25" t="n"/>
      <c r="I1829" s="25" t="n"/>
      <c r="U1829" s="19">
        <f>IF(AND($V1829='設定'!$C$4,COUNTIF('商品マスタ'!$B$6:$B$1005,$W1829)=0),N(U1828)+1,N(U1828))</f>
        <v/>
      </c>
      <c r="V1829" s="19">
        <f>IF($B1829="","",TEXT($B1829,"0000"))</f>
        <v/>
      </c>
      <c r="W1829" s="19">
        <f>IF($I1829="","",IF(ISNUMBER($I1829),TEXT($I1829,"0"),$I1829))</f>
        <v/>
      </c>
    </row>
    <row r="1830">
      <c r="B1830" s="25" t="n"/>
      <c r="I1830" s="25" t="n"/>
      <c r="U1830" s="19">
        <f>IF(AND($V1830='設定'!$C$4,COUNTIF('商品マスタ'!$B$6:$B$1005,$W1830)=0),N(U1829)+1,N(U1829))</f>
        <v/>
      </c>
      <c r="V1830" s="19">
        <f>IF($B1830="","",TEXT($B1830,"0000"))</f>
        <v/>
      </c>
      <c r="W1830" s="19">
        <f>IF($I1830="","",IF(ISNUMBER($I1830),TEXT($I1830,"0"),$I1830))</f>
        <v/>
      </c>
    </row>
    <row r="1831">
      <c r="B1831" s="25" t="n"/>
      <c r="I1831" s="25" t="n"/>
      <c r="U1831" s="19">
        <f>IF(AND($V1831='設定'!$C$4,COUNTIF('商品マスタ'!$B$6:$B$1005,$W1831)=0),N(U1830)+1,N(U1830))</f>
        <v/>
      </c>
      <c r="V1831" s="19">
        <f>IF($B1831="","",TEXT($B1831,"0000"))</f>
        <v/>
      </c>
      <c r="W1831" s="19">
        <f>IF($I1831="","",IF(ISNUMBER($I1831),TEXT($I1831,"0"),$I1831))</f>
        <v/>
      </c>
    </row>
    <row r="1832">
      <c r="B1832" s="25" t="n"/>
      <c r="I1832" s="25" t="n"/>
      <c r="U1832" s="19">
        <f>IF(AND($V1832='設定'!$C$4,COUNTIF('商品マスタ'!$B$6:$B$1005,$W1832)=0),N(U1831)+1,N(U1831))</f>
        <v/>
      </c>
      <c r="V1832" s="19">
        <f>IF($B1832="","",TEXT($B1832,"0000"))</f>
        <v/>
      </c>
      <c r="W1832" s="19">
        <f>IF($I1832="","",IF(ISNUMBER($I1832),TEXT($I1832,"0"),$I1832))</f>
        <v/>
      </c>
    </row>
    <row r="1833">
      <c r="B1833" s="25" t="n"/>
      <c r="I1833" s="25" t="n"/>
      <c r="U1833" s="19">
        <f>IF(AND($V1833='設定'!$C$4,COUNTIF('商品マスタ'!$B$6:$B$1005,$W1833)=0),N(U1832)+1,N(U1832))</f>
        <v/>
      </c>
      <c r="V1833" s="19">
        <f>IF($B1833="","",TEXT($B1833,"0000"))</f>
        <v/>
      </c>
      <c r="W1833" s="19">
        <f>IF($I1833="","",IF(ISNUMBER($I1833),TEXT($I1833,"0"),$I1833))</f>
        <v/>
      </c>
    </row>
    <row r="1834">
      <c r="B1834" s="25" t="n"/>
      <c r="I1834" s="25" t="n"/>
      <c r="U1834" s="19">
        <f>IF(AND($V1834='設定'!$C$4,COUNTIF('商品マスタ'!$B$6:$B$1005,$W1834)=0),N(U1833)+1,N(U1833))</f>
        <v/>
      </c>
      <c r="V1834" s="19">
        <f>IF($B1834="","",TEXT($B1834,"0000"))</f>
        <v/>
      </c>
      <c r="W1834" s="19">
        <f>IF($I1834="","",IF(ISNUMBER($I1834),TEXT($I1834,"0"),$I1834))</f>
        <v/>
      </c>
    </row>
    <row r="1835">
      <c r="B1835" s="25" t="n"/>
      <c r="I1835" s="25" t="n"/>
      <c r="U1835" s="19">
        <f>IF(AND($V1835='設定'!$C$4,COUNTIF('商品マスタ'!$B$6:$B$1005,$W1835)=0),N(U1834)+1,N(U1834))</f>
        <v/>
      </c>
      <c r="V1835" s="19">
        <f>IF($B1835="","",TEXT($B1835,"0000"))</f>
        <v/>
      </c>
      <c r="W1835" s="19">
        <f>IF($I1835="","",IF(ISNUMBER($I1835),TEXT($I1835,"0"),$I1835))</f>
        <v/>
      </c>
    </row>
    <row r="1836">
      <c r="B1836" s="25" t="n"/>
      <c r="I1836" s="25" t="n"/>
      <c r="U1836" s="19">
        <f>IF(AND($V1836='設定'!$C$4,COUNTIF('商品マスタ'!$B$6:$B$1005,$W1836)=0),N(U1835)+1,N(U1835))</f>
        <v/>
      </c>
      <c r="V1836" s="19">
        <f>IF($B1836="","",TEXT($B1836,"0000"))</f>
        <v/>
      </c>
      <c r="W1836" s="19">
        <f>IF($I1836="","",IF(ISNUMBER($I1836),TEXT($I1836,"0"),$I1836))</f>
        <v/>
      </c>
    </row>
    <row r="1837">
      <c r="B1837" s="25" t="n"/>
      <c r="I1837" s="25" t="n"/>
      <c r="U1837" s="19">
        <f>IF(AND($V1837='設定'!$C$4,COUNTIF('商品マスタ'!$B$6:$B$1005,$W1837)=0),N(U1836)+1,N(U1836))</f>
        <v/>
      </c>
      <c r="V1837" s="19">
        <f>IF($B1837="","",TEXT($B1837,"0000"))</f>
        <v/>
      </c>
      <c r="W1837" s="19">
        <f>IF($I1837="","",IF(ISNUMBER($I1837),TEXT($I1837,"0"),$I1837))</f>
        <v/>
      </c>
    </row>
    <row r="1838">
      <c r="B1838" s="25" t="n"/>
      <c r="I1838" s="25" t="n"/>
      <c r="U1838" s="19">
        <f>IF(AND($V1838='設定'!$C$4,COUNTIF('商品マスタ'!$B$6:$B$1005,$W1838)=0),N(U1837)+1,N(U1837))</f>
        <v/>
      </c>
      <c r="V1838" s="19">
        <f>IF($B1838="","",TEXT($B1838,"0000"))</f>
        <v/>
      </c>
      <c r="W1838" s="19">
        <f>IF($I1838="","",IF(ISNUMBER($I1838),TEXT($I1838,"0"),$I1838))</f>
        <v/>
      </c>
    </row>
    <row r="1839">
      <c r="B1839" s="25" t="n"/>
      <c r="I1839" s="25" t="n"/>
      <c r="U1839" s="19">
        <f>IF(AND($V1839='設定'!$C$4,COUNTIF('商品マスタ'!$B$6:$B$1005,$W1839)=0),N(U1838)+1,N(U1838))</f>
        <v/>
      </c>
      <c r="V1839" s="19">
        <f>IF($B1839="","",TEXT($B1839,"0000"))</f>
        <v/>
      </c>
      <c r="W1839" s="19">
        <f>IF($I1839="","",IF(ISNUMBER($I1839),TEXT($I1839,"0"),$I1839))</f>
        <v/>
      </c>
    </row>
    <row r="1840">
      <c r="B1840" s="25" t="n"/>
      <c r="I1840" s="25" t="n"/>
      <c r="U1840" s="19">
        <f>IF(AND($V1840='設定'!$C$4,COUNTIF('商品マスタ'!$B$6:$B$1005,$W1840)=0),N(U1839)+1,N(U1839))</f>
        <v/>
      </c>
      <c r="V1840" s="19">
        <f>IF($B1840="","",TEXT($B1840,"0000"))</f>
        <v/>
      </c>
      <c r="W1840" s="19">
        <f>IF($I1840="","",IF(ISNUMBER($I1840),TEXT($I1840,"0"),$I1840))</f>
        <v/>
      </c>
    </row>
    <row r="1841">
      <c r="B1841" s="25" t="n"/>
      <c r="I1841" s="25" t="n"/>
      <c r="U1841" s="19">
        <f>IF(AND($V1841='設定'!$C$4,COUNTIF('商品マスタ'!$B$6:$B$1005,$W1841)=0),N(U1840)+1,N(U1840))</f>
        <v/>
      </c>
      <c r="V1841" s="19">
        <f>IF($B1841="","",TEXT($B1841,"0000"))</f>
        <v/>
      </c>
      <c r="W1841" s="19">
        <f>IF($I1841="","",IF(ISNUMBER($I1841),TEXT($I1841,"0"),$I1841))</f>
        <v/>
      </c>
    </row>
    <row r="1842">
      <c r="B1842" s="25" t="n"/>
      <c r="I1842" s="25" t="n"/>
      <c r="U1842" s="19">
        <f>IF(AND($V1842='設定'!$C$4,COUNTIF('商品マスタ'!$B$6:$B$1005,$W1842)=0),N(U1841)+1,N(U1841))</f>
        <v/>
      </c>
      <c r="V1842" s="19">
        <f>IF($B1842="","",TEXT($B1842,"0000"))</f>
        <v/>
      </c>
      <c r="W1842" s="19">
        <f>IF($I1842="","",IF(ISNUMBER($I1842),TEXT($I1842,"0"),$I1842))</f>
        <v/>
      </c>
    </row>
    <row r="1843">
      <c r="B1843" s="25" t="n"/>
      <c r="I1843" s="25" t="n"/>
      <c r="U1843" s="19">
        <f>IF(AND($V1843='設定'!$C$4,COUNTIF('商品マスタ'!$B$6:$B$1005,$W1843)=0),N(U1842)+1,N(U1842))</f>
        <v/>
      </c>
      <c r="V1843" s="19">
        <f>IF($B1843="","",TEXT($B1843,"0000"))</f>
        <v/>
      </c>
      <c r="W1843" s="19">
        <f>IF($I1843="","",IF(ISNUMBER($I1843),TEXT($I1843,"0"),$I1843))</f>
        <v/>
      </c>
    </row>
    <row r="1844">
      <c r="B1844" s="25" t="n"/>
      <c r="I1844" s="25" t="n"/>
      <c r="U1844" s="19">
        <f>IF(AND($V1844='設定'!$C$4,COUNTIF('商品マスタ'!$B$6:$B$1005,$W1844)=0),N(U1843)+1,N(U1843))</f>
        <v/>
      </c>
      <c r="V1844" s="19">
        <f>IF($B1844="","",TEXT($B1844,"0000"))</f>
        <v/>
      </c>
      <c r="W1844" s="19">
        <f>IF($I1844="","",IF(ISNUMBER($I1844),TEXT($I1844,"0"),$I1844))</f>
        <v/>
      </c>
    </row>
    <row r="1845">
      <c r="B1845" s="25" t="n"/>
      <c r="I1845" s="25" t="n"/>
      <c r="U1845" s="19">
        <f>IF(AND($V1845='設定'!$C$4,COUNTIF('商品マスタ'!$B$6:$B$1005,$W1845)=0),N(U1844)+1,N(U1844))</f>
        <v/>
      </c>
      <c r="V1845" s="19">
        <f>IF($B1845="","",TEXT($B1845,"0000"))</f>
        <v/>
      </c>
      <c r="W1845" s="19">
        <f>IF($I1845="","",IF(ISNUMBER($I1845),TEXT($I1845,"0"),$I1845))</f>
        <v/>
      </c>
    </row>
    <row r="1846">
      <c r="B1846" s="25" t="n"/>
      <c r="I1846" s="25" t="n"/>
      <c r="U1846" s="19">
        <f>IF(AND($V1846='設定'!$C$4,COUNTIF('商品マスタ'!$B$6:$B$1005,$W1846)=0),N(U1845)+1,N(U1845))</f>
        <v/>
      </c>
      <c r="V1846" s="19">
        <f>IF($B1846="","",TEXT($B1846,"0000"))</f>
        <v/>
      </c>
      <c r="W1846" s="19">
        <f>IF($I1846="","",IF(ISNUMBER($I1846),TEXT($I1846,"0"),$I1846))</f>
        <v/>
      </c>
    </row>
    <row r="1847">
      <c r="B1847" s="25" t="n"/>
      <c r="I1847" s="25" t="n"/>
      <c r="U1847" s="19">
        <f>IF(AND($V1847='設定'!$C$4,COUNTIF('商品マスタ'!$B$6:$B$1005,$W1847)=0),N(U1846)+1,N(U1846))</f>
        <v/>
      </c>
      <c r="V1847" s="19">
        <f>IF($B1847="","",TEXT($B1847,"0000"))</f>
        <v/>
      </c>
      <c r="W1847" s="19">
        <f>IF($I1847="","",IF(ISNUMBER($I1847),TEXT($I1847,"0"),$I1847))</f>
        <v/>
      </c>
    </row>
    <row r="1848">
      <c r="B1848" s="25" t="n"/>
      <c r="I1848" s="25" t="n"/>
      <c r="U1848" s="19">
        <f>IF(AND($V1848='設定'!$C$4,COUNTIF('商品マスタ'!$B$6:$B$1005,$W1848)=0),N(U1847)+1,N(U1847))</f>
        <v/>
      </c>
      <c r="V1848" s="19">
        <f>IF($B1848="","",TEXT($B1848,"0000"))</f>
        <v/>
      </c>
      <c r="W1848" s="19">
        <f>IF($I1848="","",IF(ISNUMBER($I1848),TEXT($I1848,"0"),$I1848))</f>
        <v/>
      </c>
    </row>
    <row r="1849">
      <c r="B1849" s="25" t="n"/>
      <c r="I1849" s="25" t="n"/>
      <c r="U1849" s="19">
        <f>IF(AND($V1849='設定'!$C$4,COUNTIF('商品マスタ'!$B$6:$B$1005,$W1849)=0),N(U1848)+1,N(U1848))</f>
        <v/>
      </c>
      <c r="V1849" s="19">
        <f>IF($B1849="","",TEXT($B1849,"0000"))</f>
        <v/>
      </c>
      <c r="W1849" s="19">
        <f>IF($I1849="","",IF(ISNUMBER($I1849),TEXT($I1849,"0"),$I1849))</f>
        <v/>
      </c>
    </row>
    <row r="1850">
      <c r="B1850" s="25" t="n"/>
      <c r="I1850" s="25" t="n"/>
      <c r="U1850" s="19">
        <f>IF(AND($V1850='設定'!$C$4,COUNTIF('商品マスタ'!$B$6:$B$1005,$W1850)=0),N(U1849)+1,N(U1849))</f>
        <v/>
      </c>
      <c r="V1850" s="19">
        <f>IF($B1850="","",TEXT($B1850,"0000"))</f>
        <v/>
      </c>
      <c r="W1850" s="19">
        <f>IF($I1850="","",IF(ISNUMBER($I1850),TEXT($I1850,"0"),$I1850))</f>
        <v/>
      </c>
    </row>
    <row r="1851">
      <c r="B1851" s="25" t="n"/>
      <c r="I1851" s="25" t="n"/>
      <c r="U1851" s="19">
        <f>IF(AND($V1851='設定'!$C$4,COUNTIF('商品マスタ'!$B$6:$B$1005,$W1851)=0),N(U1850)+1,N(U1850))</f>
        <v/>
      </c>
      <c r="V1851" s="19">
        <f>IF($B1851="","",TEXT($B1851,"0000"))</f>
        <v/>
      </c>
      <c r="W1851" s="19">
        <f>IF($I1851="","",IF(ISNUMBER($I1851),TEXT($I1851,"0"),$I1851))</f>
        <v/>
      </c>
    </row>
    <row r="1852">
      <c r="B1852" s="25" t="n"/>
      <c r="I1852" s="25" t="n"/>
      <c r="U1852" s="19">
        <f>IF(AND($V1852='設定'!$C$4,COUNTIF('商品マスタ'!$B$6:$B$1005,$W1852)=0),N(U1851)+1,N(U1851))</f>
        <v/>
      </c>
      <c r="V1852" s="19">
        <f>IF($B1852="","",TEXT($B1852,"0000"))</f>
        <v/>
      </c>
      <c r="W1852" s="19">
        <f>IF($I1852="","",IF(ISNUMBER($I1852),TEXT($I1852,"0"),$I1852))</f>
        <v/>
      </c>
    </row>
    <row r="1853">
      <c r="B1853" s="25" t="n"/>
      <c r="I1853" s="25" t="n"/>
      <c r="U1853" s="19">
        <f>IF(AND($V1853='設定'!$C$4,COUNTIF('商品マスタ'!$B$6:$B$1005,$W1853)=0),N(U1852)+1,N(U1852))</f>
        <v/>
      </c>
      <c r="V1853" s="19">
        <f>IF($B1853="","",TEXT($B1853,"0000"))</f>
        <v/>
      </c>
      <c r="W1853" s="19">
        <f>IF($I1853="","",IF(ISNUMBER($I1853),TEXT($I1853,"0"),$I1853))</f>
        <v/>
      </c>
    </row>
    <row r="1854">
      <c r="B1854" s="25" t="n"/>
      <c r="I1854" s="25" t="n"/>
      <c r="U1854" s="19">
        <f>IF(AND($V1854='設定'!$C$4,COUNTIF('商品マスタ'!$B$6:$B$1005,$W1854)=0),N(U1853)+1,N(U1853))</f>
        <v/>
      </c>
      <c r="V1854" s="19">
        <f>IF($B1854="","",TEXT($B1854,"0000"))</f>
        <v/>
      </c>
      <c r="W1854" s="19">
        <f>IF($I1854="","",IF(ISNUMBER($I1854),TEXT($I1854,"0"),$I1854))</f>
        <v/>
      </c>
    </row>
    <row r="1855">
      <c r="B1855" s="25" t="n"/>
      <c r="I1855" s="25" t="n"/>
      <c r="U1855" s="19">
        <f>IF(AND($V1855='設定'!$C$4,COUNTIF('商品マスタ'!$B$6:$B$1005,$W1855)=0),N(U1854)+1,N(U1854))</f>
        <v/>
      </c>
      <c r="V1855" s="19">
        <f>IF($B1855="","",TEXT($B1855,"0000"))</f>
        <v/>
      </c>
      <c r="W1855" s="19">
        <f>IF($I1855="","",IF(ISNUMBER($I1855),TEXT($I1855,"0"),$I1855))</f>
        <v/>
      </c>
    </row>
    <row r="1856">
      <c r="B1856" s="25" t="n"/>
      <c r="I1856" s="25" t="n"/>
      <c r="U1856" s="19">
        <f>IF(AND($V1856='設定'!$C$4,COUNTIF('商品マスタ'!$B$6:$B$1005,$W1856)=0),N(U1855)+1,N(U1855))</f>
        <v/>
      </c>
      <c r="V1856" s="19">
        <f>IF($B1856="","",TEXT($B1856,"0000"))</f>
        <v/>
      </c>
      <c r="W1856" s="19">
        <f>IF($I1856="","",IF(ISNUMBER($I1856),TEXT($I1856,"0"),$I1856))</f>
        <v/>
      </c>
    </row>
    <row r="1857">
      <c r="B1857" s="25" t="n"/>
      <c r="I1857" s="25" t="n"/>
      <c r="U1857" s="19">
        <f>IF(AND($V1857='設定'!$C$4,COUNTIF('商品マスタ'!$B$6:$B$1005,$W1857)=0),N(U1856)+1,N(U1856))</f>
        <v/>
      </c>
      <c r="V1857" s="19">
        <f>IF($B1857="","",TEXT($B1857,"0000"))</f>
        <v/>
      </c>
      <c r="W1857" s="19">
        <f>IF($I1857="","",IF(ISNUMBER($I1857),TEXT($I1857,"0"),$I1857))</f>
        <v/>
      </c>
    </row>
    <row r="1858">
      <c r="B1858" s="25" t="n"/>
      <c r="I1858" s="25" t="n"/>
      <c r="U1858" s="19">
        <f>IF(AND($V1858='設定'!$C$4,COUNTIF('商品マスタ'!$B$6:$B$1005,$W1858)=0),N(U1857)+1,N(U1857))</f>
        <v/>
      </c>
      <c r="V1858" s="19">
        <f>IF($B1858="","",TEXT($B1858,"0000"))</f>
        <v/>
      </c>
      <c r="W1858" s="19">
        <f>IF($I1858="","",IF(ISNUMBER($I1858),TEXT($I1858,"0"),$I1858))</f>
        <v/>
      </c>
    </row>
    <row r="1859">
      <c r="B1859" s="25" t="n"/>
      <c r="I1859" s="25" t="n"/>
      <c r="U1859" s="19">
        <f>IF(AND($V1859='設定'!$C$4,COUNTIF('商品マスタ'!$B$6:$B$1005,$W1859)=0),N(U1858)+1,N(U1858))</f>
        <v/>
      </c>
      <c r="V1859" s="19">
        <f>IF($B1859="","",TEXT($B1859,"0000"))</f>
        <v/>
      </c>
      <c r="W1859" s="19">
        <f>IF($I1859="","",IF(ISNUMBER($I1859),TEXT($I1859,"0"),$I1859))</f>
        <v/>
      </c>
    </row>
    <row r="1860">
      <c r="B1860" s="25" t="n"/>
      <c r="I1860" s="25" t="n"/>
      <c r="U1860" s="19">
        <f>IF(AND($V1860='設定'!$C$4,COUNTIF('商品マスタ'!$B$6:$B$1005,$W1860)=0),N(U1859)+1,N(U1859))</f>
        <v/>
      </c>
      <c r="V1860" s="19">
        <f>IF($B1860="","",TEXT($B1860,"0000"))</f>
        <v/>
      </c>
      <c r="W1860" s="19">
        <f>IF($I1860="","",IF(ISNUMBER($I1860),TEXT($I1860,"0"),$I1860))</f>
        <v/>
      </c>
    </row>
    <row r="1861">
      <c r="B1861" s="25" t="n"/>
      <c r="I1861" s="25" t="n"/>
      <c r="U1861" s="19">
        <f>IF(AND($V1861='設定'!$C$4,COUNTIF('商品マスタ'!$B$6:$B$1005,$W1861)=0),N(U1860)+1,N(U1860))</f>
        <v/>
      </c>
      <c r="V1861" s="19">
        <f>IF($B1861="","",TEXT($B1861,"0000"))</f>
        <v/>
      </c>
      <c r="W1861" s="19">
        <f>IF($I1861="","",IF(ISNUMBER($I1861),TEXT($I1861,"0"),$I1861))</f>
        <v/>
      </c>
    </row>
    <row r="1862">
      <c r="B1862" s="25" t="n"/>
      <c r="I1862" s="25" t="n"/>
      <c r="U1862" s="19">
        <f>IF(AND($V1862='設定'!$C$4,COUNTIF('商品マスタ'!$B$6:$B$1005,$W1862)=0),N(U1861)+1,N(U1861))</f>
        <v/>
      </c>
      <c r="V1862" s="19">
        <f>IF($B1862="","",TEXT($B1862,"0000"))</f>
        <v/>
      </c>
      <c r="W1862" s="19">
        <f>IF($I1862="","",IF(ISNUMBER($I1862),TEXT($I1862,"0"),$I1862))</f>
        <v/>
      </c>
    </row>
    <row r="1863">
      <c r="B1863" s="25" t="n"/>
      <c r="I1863" s="25" t="n"/>
      <c r="U1863" s="19">
        <f>IF(AND($V1863='設定'!$C$4,COUNTIF('商品マスタ'!$B$6:$B$1005,$W1863)=0),N(U1862)+1,N(U1862))</f>
        <v/>
      </c>
      <c r="V1863" s="19">
        <f>IF($B1863="","",TEXT($B1863,"0000"))</f>
        <v/>
      </c>
      <c r="W1863" s="19">
        <f>IF($I1863="","",IF(ISNUMBER($I1863),TEXT($I1863,"0"),$I1863))</f>
        <v/>
      </c>
    </row>
    <row r="1864">
      <c r="B1864" s="25" t="n"/>
      <c r="I1864" s="25" t="n"/>
      <c r="U1864" s="19">
        <f>IF(AND($V1864='設定'!$C$4,COUNTIF('商品マスタ'!$B$6:$B$1005,$W1864)=0),N(U1863)+1,N(U1863))</f>
        <v/>
      </c>
      <c r="V1864" s="19">
        <f>IF($B1864="","",TEXT($B1864,"0000"))</f>
        <v/>
      </c>
      <c r="W1864" s="19">
        <f>IF($I1864="","",IF(ISNUMBER($I1864),TEXT($I1864,"0"),$I1864))</f>
        <v/>
      </c>
    </row>
    <row r="1865">
      <c r="B1865" s="25" t="n"/>
      <c r="I1865" s="25" t="n"/>
      <c r="U1865" s="19">
        <f>IF(AND($V1865='設定'!$C$4,COUNTIF('商品マスタ'!$B$6:$B$1005,$W1865)=0),N(U1864)+1,N(U1864))</f>
        <v/>
      </c>
      <c r="V1865" s="19">
        <f>IF($B1865="","",TEXT($B1865,"0000"))</f>
        <v/>
      </c>
      <c r="W1865" s="19">
        <f>IF($I1865="","",IF(ISNUMBER($I1865),TEXT($I1865,"0"),$I1865))</f>
        <v/>
      </c>
    </row>
    <row r="1866">
      <c r="B1866" s="25" t="n"/>
      <c r="I1866" s="25" t="n"/>
      <c r="U1866" s="19">
        <f>IF(AND($V1866='設定'!$C$4,COUNTIF('商品マスタ'!$B$6:$B$1005,$W1866)=0),N(U1865)+1,N(U1865))</f>
        <v/>
      </c>
      <c r="V1866" s="19">
        <f>IF($B1866="","",TEXT($B1866,"0000"))</f>
        <v/>
      </c>
      <c r="W1866" s="19">
        <f>IF($I1866="","",IF(ISNUMBER($I1866),TEXT($I1866,"0"),$I1866))</f>
        <v/>
      </c>
    </row>
    <row r="1867">
      <c r="B1867" s="25" t="n"/>
      <c r="I1867" s="25" t="n"/>
      <c r="U1867" s="19">
        <f>IF(AND($V1867='設定'!$C$4,COUNTIF('商品マスタ'!$B$6:$B$1005,$W1867)=0),N(U1866)+1,N(U1866))</f>
        <v/>
      </c>
      <c r="V1867" s="19">
        <f>IF($B1867="","",TEXT($B1867,"0000"))</f>
        <v/>
      </c>
      <c r="W1867" s="19">
        <f>IF($I1867="","",IF(ISNUMBER($I1867),TEXT($I1867,"0"),$I1867))</f>
        <v/>
      </c>
    </row>
    <row r="1868">
      <c r="B1868" s="25" t="n"/>
      <c r="I1868" s="25" t="n"/>
      <c r="U1868" s="19">
        <f>IF(AND($V1868='設定'!$C$4,COUNTIF('商品マスタ'!$B$6:$B$1005,$W1868)=0),N(U1867)+1,N(U1867))</f>
        <v/>
      </c>
      <c r="V1868" s="19">
        <f>IF($B1868="","",TEXT($B1868,"0000"))</f>
        <v/>
      </c>
      <c r="W1868" s="19">
        <f>IF($I1868="","",IF(ISNUMBER($I1868),TEXT($I1868,"0"),$I1868))</f>
        <v/>
      </c>
    </row>
    <row r="1869">
      <c r="B1869" s="25" t="n"/>
      <c r="I1869" s="25" t="n"/>
      <c r="U1869" s="19">
        <f>IF(AND($V1869='設定'!$C$4,COUNTIF('商品マスタ'!$B$6:$B$1005,$W1869)=0),N(U1868)+1,N(U1868))</f>
        <v/>
      </c>
      <c r="V1869" s="19">
        <f>IF($B1869="","",TEXT($B1869,"0000"))</f>
        <v/>
      </c>
      <c r="W1869" s="19">
        <f>IF($I1869="","",IF(ISNUMBER($I1869),TEXT($I1869,"0"),$I1869))</f>
        <v/>
      </c>
    </row>
    <row r="1870">
      <c r="B1870" s="25" t="n"/>
      <c r="I1870" s="25" t="n"/>
      <c r="U1870" s="19">
        <f>IF(AND($V1870='設定'!$C$4,COUNTIF('商品マスタ'!$B$6:$B$1005,$W1870)=0),N(U1869)+1,N(U1869))</f>
        <v/>
      </c>
      <c r="V1870" s="19">
        <f>IF($B1870="","",TEXT($B1870,"0000"))</f>
        <v/>
      </c>
      <c r="W1870" s="19">
        <f>IF($I1870="","",IF(ISNUMBER($I1870),TEXT($I1870,"0"),$I1870))</f>
        <v/>
      </c>
    </row>
    <row r="1871">
      <c r="B1871" s="25" t="n"/>
      <c r="I1871" s="25" t="n"/>
      <c r="U1871" s="19">
        <f>IF(AND($V1871='設定'!$C$4,COUNTIF('商品マスタ'!$B$6:$B$1005,$W1871)=0),N(U1870)+1,N(U1870))</f>
        <v/>
      </c>
      <c r="V1871" s="19">
        <f>IF($B1871="","",TEXT($B1871,"0000"))</f>
        <v/>
      </c>
      <c r="W1871" s="19">
        <f>IF($I1871="","",IF(ISNUMBER($I1871),TEXT($I1871,"0"),$I1871))</f>
        <v/>
      </c>
    </row>
    <row r="1872">
      <c r="B1872" s="25" t="n"/>
      <c r="I1872" s="25" t="n"/>
      <c r="U1872" s="19">
        <f>IF(AND($V1872='設定'!$C$4,COUNTIF('商品マスタ'!$B$6:$B$1005,$W1872)=0),N(U1871)+1,N(U1871))</f>
        <v/>
      </c>
      <c r="V1872" s="19">
        <f>IF($B1872="","",TEXT($B1872,"0000"))</f>
        <v/>
      </c>
      <c r="W1872" s="19">
        <f>IF($I1872="","",IF(ISNUMBER($I1872),TEXT($I1872,"0"),$I1872))</f>
        <v/>
      </c>
    </row>
    <row r="1873">
      <c r="B1873" s="25" t="n"/>
      <c r="I1873" s="25" t="n"/>
      <c r="U1873" s="19">
        <f>IF(AND($V1873='設定'!$C$4,COUNTIF('商品マスタ'!$B$6:$B$1005,$W1873)=0),N(U1872)+1,N(U1872))</f>
        <v/>
      </c>
      <c r="V1873" s="19">
        <f>IF($B1873="","",TEXT($B1873,"0000"))</f>
        <v/>
      </c>
      <c r="W1873" s="19">
        <f>IF($I1873="","",IF(ISNUMBER($I1873),TEXT($I1873,"0"),$I1873))</f>
        <v/>
      </c>
    </row>
    <row r="1874">
      <c r="B1874" s="25" t="n"/>
      <c r="I1874" s="25" t="n"/>
      <c r="U1874" s="19">
        <f>IF(AND($V1874='設定'!$C$4,COUNTIF('商品マスタ'!$B$6:$B$1005,$W1874)=0),N(U1873)+1,N(U1873))</f>
        <v/>
      </c>
      <c r="V1874" s="19">
        <f>IF($B1874="","",TEXT($B1874,"0000"))</f>
        <v/>
      </c>
      <c r="W1874" s="19">
        <f>IF($I1874="","",IF(ISNUMBER($I1874),TEXT($I1874,"0"),$I1874))</f>
        <v/>
      </c>
    </row>
    <row r="1875">
      <c r="B1875" s="25" t="n"/>
      <c r="I1875" s="25" t="n"/>
      <c r="U1875" s="19">
        <f>IF(AND($V1875='設定'!$C$4,COUNTIF('商品マスタ'!$B$6:$B$1005,$W1875)=0),N(U1874)+1,N(U1874))</f>
        <v/>
      </c>
      <c r="V1875" s="19">
        <f>IF($B1875="","",TEXT($B1875,"0000"))</f>
        <v/>
      </c>
      <c r="W1875" s="19">
        <f>IF($I1875="","",IF(ISNUMBER($I1875),TEXT($I1875,"0"),$I1875))</f>
        <v/>
      </c>
    </row>
    <row r="1876">
      <c r="B1876" s="25" t="n"/>
      <c r="I1876" s="25" t="n"/>
      <c r="U1876" s="19">
        <f>IF(AND($V1876='設定'!$C$4,COUNTIF('商品マスタ'!$B$6:$B$1005,$W1876)=0),N(U1875)+1,N(U1875))</f>
        <v/>
      </c>
      <c r="V1876" s="19">
        <f>IF($B1876="","",TEXT($B1876,"0000"))</f>
        <v/>
      </c>
      <c r="W1876" s="19">
        <f>IF($I1876="","",IF(ISNUMBER($I1876),TEXT($I1876,"0"),$I1876))</f>
        <v/>
      </c>
    </row>
    <row r="1877">
      <c r="B1877" s="25" t="n"/>
      <c r="I1877" s="25" t="n"/>
      <c r="U1877" s="19">
        <f>IF(AND($V1877='設定'!$C$4,COUNTIF('商品マスタ'!$B$6:$B$1005,$W1877)=0),N(U1876)+1,N(U1876))</f>
        <v/>
      </c>
      <c r="V1877" s="19">
        <f>IF($B1877="","",TEXT($B1877,"0000"))</f>
        <v/>
      </c>
      <c r="W1877" s="19">
        <f>IF($I1877="","",IF(ISNUMBER($I1877),TEXT($I1877,"0"),$I1877))</f>
        <v/>
      </c>
    </row>
    <row r="1878">
      <c r="B1878" s="25" t="n"/>
      <c r="I1878" s="25" t="n"/>
      <c r="U1878" s="19">
        <f>IF(AND($V1878='設定'!$C$4,COUNTIF('商品マスタ'!$B$6:$B$1005,$W1878)=0),N(U1877)+1,N(U1877))</f>
        <v/>
      </c>
      <c r="V1878" s="19">
        <f>IF($B1878="","",TEXT($B1878,"0000"))</f>
        <v/>
      </c>
      <c r="W1878" s="19">
        <f>IF($I1878="","",IF(ISNUMBER($I1878),TEXT($I1878,"0"),$I1878))</f>
        <v/>
      </c>
    </row>
    <row r="1879">
      <c r="B1879" s="25" t="n"/>
      <c r="I1879" s="25" t="n"/>
      <c r="U1879" s="19">
        <f>IF(AND($V1879='設定'!$C$4,COUNTIF('商品マスタ'!$B$6:$B$1005,$W1879)=0),N(U1878)+1,N(U1878))</f>
        <v/>
      </c>
      <c r="V1879" s="19">
        <f>IF($B1879="","",TEXT($B1879,"0000"))</f>
        <v/>
      </c>
      <c r="W1879" s="19">
        <f>IF($I1879="","",IF(ISNUMBER($I1879),TEXT($I1879,"0"),$I1879))</f>
        <v/>
      </c>
    </row>
    <row r="1880">
      <c r="B1880" s="25" t="n"/>
      <c r="I1880" s="25" t="n"/>
      <c r="U1880" s="19">
        <f>IF(AND($V1880='設定'!$C$4,COUNTIF('商品マスタ'!$B$6:$B$1005,$W1880)=0),N(U1879)+1,N(U1879))</f>
        <v/>
      </c>
      <c r="V1880" s="19">
        <f>IF($B1880="","",TEXT($B1880,"0000"))</f>
        <v/>
      </c>
      <c r="W1880" s="19">
        <f>IF($I1880="","",IF(ISNUMBER($I1880),TEXT($I1880,"0"),$I1880))</f>
        <v/>
      </c>
    </row>
    <row r="1881">
      <c r="B1881" s="25" t="n"/>
      <c r="I1881" s="25" t="n"/>
      <c r="U1881" s="19">
        <f>IF(AND($V1881='設定'!$C$4,COUNTIF('商品マスタ'!$B$6:$B$1005,$W1881)=0),N(U1880)+1,N(U1880))</f>
        <v/>
      </c>
      <c r="V1881" s="19">
        <f>IF($B1881="","",TEXT($B1881,"0000"))</f>
        <v/>
      </c>
      <c r="W1881" s="19">
        <f>IF($I1881="","",IF(ISNUMBER($I1881),TEXT($I1881,"0"),$I1881))</f>
        <v/>
      </c>
    </row>
    <row r="1882">
      <c r="B1882" s="25" t="n"/>
      <c r="I1882" s="25" t="n"/>
      <c r="U1882" s="19">
        <f>IF(AND($V1882='設定'!$C$4,COUNTIF('商品マスタ'!$B$6:$B$1005,$W1882)=0),N(U1881)+1,N(U1881))</f>
        <v/>
      </c>
      <c r="V1882" s="19">
        <f>IF($B1882="","",TEXT($B1882,"0000"))</f>
        <v/>
      </c>
      <c r="W1882" s="19">
        <f>IF($I1882="","",IF(ISNUMBER($I1882),TEXT($I1882,"0"),$I1882))</f>
        <v/>
      </c>
    </row>
    <row r="1883">
      <c r="B1883" s="25" t="n"/>
      <c r="I1883" s="25" t="n"/>
      <c r="U1883" s="19">
        <f>IF(AND($V1883='設定'!$C$4,COUNTIF('商品マスタ'!$B$6:$B$1005,$W1883)=0),N(U1882)+1,N(U1882))</f>
        <v/>
      </c>
      <c r="V1883" s="19">
        <f>IF($B1883="","",TEXT($B1883,"0000"))</f>
        <v/>
      </c>
      <c r="W1883" s="19">
        <f>IF($I1883="","",IF(ISNUMBER($I1883),TEXT($I1883,"0"),$I1883))</f>
        <v/>
      </c>
    </row>
    <row r="1884">
      <c r="B1884" s="25" t="n"/>
      <c r="I1884" s="25" t="n"/>
      <c r="U1884" s="19">
        <f>IF(AND($V1884='設定'!$C$4,COUNTIF('商品マスタ'!$B$6:$B$1005,$W1884)=0),N(U1883)+1,N(U1883))</f>
        <v/>
      </c>
      <c r="V1884" s="19">
        <f>IF($B1884="","",TEXT($B1884,"0000"))</f>
        <v/>
      </c>
      <c r="W1884" s="19">
        <f>IF($I1884="","",IF(ISNUMBER($I1884),TEXT($I1884,"0"),$I1884))</f>
        <v/>
      </c>
    </row>
    <row r="1885">
      <c r="B1885" s="25" t="n"/>
      <c r="I1885" s="25" t="n"/>
      <c r="U1885" s="19">
        <f>IF(AND($V1885='設定'!$C$4,COUNTIF('商品マスタ'!$B$6:$B$1005,$W1885)=0),N(U1884)+1,N(U1884))</f>
        <v/>
      </c>
      <c r="V1885" s="19">
        <f>IF($B1885="","",TEXT($B1885,"0000"))</f>
        <v/>
      </c>
      <c r="W1885" s="19">
        <f>IF($I1885="","",IF(ISNUMBER($I1885),TEXT($I1885,"0"),$I1885))</f>
        <v/>
      </c>
    </row>
    <row r="1886">
      <c r="B1886" s="25" t="n"/>
      <c r="I1886" s="25" t="n"/>
      <c r="U1886" s="19">
        <f>IF(AND($V1886='設定'!$C$4,COUNTIF('商品マスタ'!$B$6:$B$1005,$W1886)=0),N(U1885)+1,N(U1885))</f>
        <v/>
      </c>
      <c r="V1886" s="19">
        <f>IF($B1886="","",TEXT($B1886,"0000"))</f>
        <v/>
      </c>
      <c r="W1886" s="19">
        <f>IF($I1886="","",IF(ISNUMBER($I1886),TEXT($I1886,"0"),$I1886))</f>
        <v/>
      </c>
    </row>
    <row r="1887">
      <c r="B1887" s="25" t="n"/>
      <c r="I1887" s="25" t="n"/>
      <c r="U1887" s="19">
        <f>IF(AND($V1887='設定'!$C$4,COUNTIF('商品マスタ'!$B$6:$B$1005,$W1887)=0),N(U1886)+1,N(U1886))</f>
        <v/>
      </c>
      <c r="V1887" s="19">
        <f>IF($B1887="","",TEXT($B1887,"0000"))</f>
        <v/>
      </c>
      <c r="W1887" s="19">
        <f>IF($I1887="","",IF(ISNUMBER($I1887),TEXT($I1887,"0"),$I1887))</f>
        <v/>
      </c>
    </row>
    <row r="1888">
      <c r="B1888" s="25" t="n"/>
      <c r="I1888" s="25" t="n"/>
      <c r="U1888" s="19">
        <f>IF(AND($V1888='設定'!$C$4,COUNTIF('商品マスタ'!$B$6:$B$1005,$W1888)=0),N(U1887)+1,N(U1887))</f>
        <v/>
      </c>
      <c r="V1888" s="19">
        <f>IF($B1888="","",TEXT($B1888,"0000"))</f>
        <v/>
      </c>
      <c r="W1888" s="19">
        <f>IF($I1888="","",IF(ISNUMBER($I1888),TEXT($I1888,"0"),$I1888))</f>
        <v/>
      </c>
    </row>
    <row r="1889">
      <c r="B1889" s="25" t="n"/>
      <c r="I1889" s="25" t="n"/>
      <c r="U1889" s="19">
        <f>IF(AND($V1889='設定'!$C$4,COUNTIF('商品マスタ'!$B$6:$B$1005,$W1889)=0),N(U1888)+1,N(U1888))</f>
        <v/>
      </c>
      <c r="V1889" s="19">
        <f>IF($B1889="","",TEXT($B1889,"0000"))</f>
        <v/>
      </c>
      <c r="W1889" s="19">
        <f>IF($I1889="","",IF(ISNUMBER($I1889),TEXT($I1889,"0"),$I1889))</f>
        <v/>
      </c>
    </row>
    <row r="1890">
      <c r="B1890" s="25" t="n"/>
      <c r="I1890" s="25" t="n"/>
      <c r="U1890" s="19">
        <f>IF(AND($V1890='設定'!$C$4,COUNTIF('商品マスタ'!$B$6:$B$1005,$W1890)=0),N(U1889)+1,N(U1889))</f>
        <v/>
      </c>
      <c r="V1890" s="19">
        <f>IF($B1890="","",TEXT($B1890,"0000"))</f>
        <v/>
      </c>
      <c r="W1890" s="19">
        <f>IF($I1890="","",IF(ISNUMBER($I1890),TEXT($I1890,"0"),$I1890))</f>
        <v/>
      </c>
    </row>
    <row r="1891">
      <c r="B1891" s="25" t="n"/>
      <c r="I1891" s="25" t="n"/>
      <c r="U1891" s="19">
        <f>IF(AND($V1891='設定'!$C$4,COUNTIF('商品マスタ'!$B$6:$B$1005,$W1891)=0),N(U1890)+1,N(U1890))</f>
        <v/>
      </c>
      <c r="V1891" s="19">
        <f>IF($B1891="","",TEXT($B1891,"0000"))</f>
        <v/>
      </c>
      <c r="W1891" s="19">
        <f>IF($I1891="","",IF(ISNUMBER($I1891),TEXT($I1891,"0"),$I1891))</f>
        <v/>
      </c>
    </row>
    <row r="1892">
      <c r="B1892" s="25" t="n"/>
      <c r="I1892" s="25" t="n"/>
      <c r="U1892" s="19">
        <f>IF(AND($V1892='設定'!$C$4,COUNTIF('商品マスタ'!$B$6:$B$1005,$W1892)=0),N(U1891)+1,N(U1891))</f>
        <v/>
      </c>
      <c r="V1892" s="19">
        <f>IF($B1892="","",TEXT($B1892,"0000"))</f>
        <v/>
      </c>
      <c r="W1892" s="19">
        <f>IF($I1892="","",IF(ISNUMBER($I1892),TEXT($I1892,"0"),$I1892))</f>
        <v/>
      </c>
    </row>
    <row r="1893">
      <c r="B1893" s="25" t="n"/>
      <c r="I1893" s="25" t="n"/>
      <c r="U1893" s="19">
        <f>IF(AND($V1893='設定'!$C$4,COUNTIF('商品マスタ'!$B$6:$B$1005,$W1893)=0),N(U1892)+1,N(U1892))</f>
        <v/>
      </c>
      <c r="V1893" s="19">
        <f>IF($B1893="","",TEXT($B1893,"0000"))</f>
        <v/>
      </c>
      <c r="W1893" s="19">
        <f>IF($I1893="","",IF(ISNUMBER($I1893),TEXT($I1893,"0"),$I1893))</f>
        <v/>
      </c>
    </row>
    <row r="1894">
      <c r="B1894" s="25" t="n"/>
      <c r="I1894" s="25" t="n"/>
      <c r="U1894" s="19">
        <f>IF(AND($V1894='設定'!$C$4,COUNTIF('商品マスタ'!$B$6:$B$1005,$W1894)=0),N(U1893)+1,N(U1893))</f>
        <v/>
      </c>
      <c r="V1894" s="19">
        <f>IF($B1894="","",TEXT($B1894,"0000"))</f>
        <v/>
      </c>
      <c r="W1894" s="19">
        <f>IF($I1894="","",IF(ISNUMBER($I1894),TEXT($I1894,"0"),$I1894))</f>
        <v/>
      </c>
    </row>
    <row r="1895">
      <c r="B1895" s="25" t="n"/>
      <c r="I1895" s="25" t="n"/>
      <c r="U1895" s="19">
        <f>IF(AND($V1895='設定'!$C$4,COUNTIF('商品マスタ'!$B$6:$B$1005,$W1895)=0),N(U1894)+1,N(U1894))</f>
        <v/>
      </c>
      <c r="V1895" s="19">
        <f>IF($B1895="","",TEXT($B1895,"0000"))</f>
        <v/>
      </c>
      <c r="W1895" s="19">
        <f>IF($I1895="","",IF(ISNUMBER($I1895),TEXT($I1895,"0"),$I1895))</f>
        <v/>
      </c>
    </row>
    <row r="1896">
      <c r="B1896" s="25" t="n"/>
      <c r="I1896" s="25" t="n"/>
      <c r="U1896" s="19">
        <f>IF(AND($V1896='設定'!$C$4,COUNTIF('商品マスタ'!$B$6:$B$1005,$W1896)=0),N(U1895)+1,N(U1895))</f>
        <v/>
      </c>
      <c r="V1896" s="19">
        <f>IF($B1896="","",TEXT($B1896,"0000"))</f>
        <v/>
      </c>
      <c r="W1896" s="19">
        <f>IF($I1896="","",IF(ISNUMBER($I1896),TEXT($I1896,"0"),$I1896))</f>
        <v/>
      </c>
    </row>
    <row r="1897">
      <c r="B1897" s="25" t="n"/>
      <c r="I1897" s="25" t="n"/>
      <c r="U1897" s="19">
        <f>IF(AND($V1897='設定'!$C$4,COUNTIF('商品マスタ'!$B$6:$B$1005,$W1897)=0),N(U1896)+1,N(U1896))</f>
        <v/>
      </c>
      <c r="V1897" s="19">
        <f>IF($B1897="","",TEXT($B1897,"0000"))</f>
        <v/>
      </c>
      <c r="W1897" s="19">
        <f>IF($I1897="","",IF(ISNUMBER($I1897),TEXT($I1897,"0"),$I1897))</f>
        <v/>
      </c>
    </row>
    <row r="1898">
      <c r="B1898" s="25" t="n"/>
      <c r="I1898" s="25" t="n"/>
      <c r="U1898" s="19">
        <f>IF(AND($V1898='設定'!$C$4,COUNTIF('商品マスタ'!$B$6:$B$1005,$W1898)=0),N(U1897)+1,N(U1897))</f>
        <v/>
      </c>
      <c r="V1898" s="19">
        <f>IF($B1898="","",TEXT($B1898,"0000"))</f>
        <v/>
      </c>
      <c r="W1898" s="19">
        <f>IF($I1898="","",IF(ISNUMBER($I1898),TEXT($I1898,"0"),$I1898))</f>
        <v/>
      </c>
    </row>
    <row r="1899">
      <c r="B1899" s="25" t="n"/>
      <c r="I1899" s="25" t="n"/>
      <c r="U1899" s="19">
        <f>IF(AND($V1899='設定'!$C$4,COUNTIF('商品マスタ'!$B$6:$B$1005,$W1899)=0),N(U1898)+1,N(U1898))</f>
        <v/>
      </c>
      <c r="V1899" s="19">
        <f>IF($B1899="","",TEXT($B1899,"0000"))</f>
        <v/>
      </c>
      <c r="W1899" s="19">
        <f>IF($I1899="","",IF(ISNUMBER($I1899),TEXT($I1899,"0"),$I1899))</f>
        <v/>
      </c>
    </row>
    <row r="1900">
      <c r="B1900" s="25" t="n"/>
      <c r="I1900" s="25" t="n"/>
      <c r="U1900" s="19">
        <f>IF(AND($V1900='設定'!$C$4,COUNTIF('商品マスタ'!$B$6:$B$1005,$W1900)=0),N(U1899)+1,N(U1899))</f>
        <v/>
      </c>
      <c r="V1900" s="19">
        <f>IF($B1900="","",TEXT($B1900,"0000"))</f>
        <v/>
      </c>
      <c r="W1900" s="19">
        <f>IF($I1900="","",IF(ISNUMBER($I1900),TEXT($I1900,"0"),$I1900))</f>
        <v/>
      </c>
    </row>
    <row r="1901">
      <c r="B1901" s="25" t="n"/>
      <c r="I1901" s="25" t="n"/>
      <c r="U1901" s="19">
        <f>IF(AND($V1901='設定'!$C$4,COUNTIF('商品マスタ'!$B$6:$B$1005,$W1901)=0),N(U1900)+1,N(U1900))</f>
        <v/>
      </c>
      <c r="V1901" s="19">
        <f>IF($B1901="","",TEXT($B1901,"0000"))</f>
        <v/>
      </c>
      <c r="W1901" s="19">
        <f>IF($I1901="","",IF(ISNUMBER($I1901),TEXT($I1901,"0"),$I1901))</f>
        <v/>
      </c>
    </row>
    <row r="1902">
      <c r="B1902" s="25" t="n"/>
      <c r="I1902" s="25" t="n"/>
      <c r="U1902" s="19">
        <f>IF(AND($V1902='設定'!$C$4,COUNTIF('商品マスタ'!$B$6:$B$1005,$W1902)=0),N(U1901)+1,N(U1901))</f>
        <v/>
      </c>
      <c r="V1902" s="19">
        <f>IF($B1902="","",TEXT($B1902,"0000"))</f>
        <v/>
      </c>
      <c r="W1902" s="19">
        <f>IF($I1902="","",IF(ISNUMBER($I1902),TEXT($I1902,"0"),$I1902))</f>
        <v/>
      </c>
    </row>
    <row r="1903">
      <c r="B1903" s="25" t="n"/>
      <c r="I1903" s="25" t="n"/>
      <c r="U1903" s="19">
        <f>IF(AND($V1903='設定'!$C$4,COUNTIF('商品マスタ'!$B$6:$B$1005,$W1903)=0),N(U1902)+1,N(U1902))</f>
        <v/>
      </c>
      <c r="V1903" s="19">
        <f>IF($B1903="","",TEXT($B1903,"0000"))</f>
        <v/>
      </c>
      <c r="W1903" s="19">
        <f>IF($I1903="","",IF(ISNUMBER($I1903),TEXT($I1903,"0"),$I1903))</f>
        <v/>
      </c>
    </row>
    <row r="1904">
      <c r="B1904" s="25" t="n"/>
      <c r="I1904" s="25" t="n"/>
      <c r="U1904" s="19">
        <f>IF(AND($V1904='設定'!$C$4,COUNTIF('商品マスタ'!$B$6:$B$1005,$W1904)=0),N(U1903)+1,N(U1903))</f>
        <v/>
      </c>
      <c r="V1904" s="19">
        <f>IF($B1904="","",TEXT($B1904,"0000"))</f>
        <v/>
      </c>
      <c r="W1904" s="19">
        <f>IF($I1904="","",IF(ISNUMBER($I1904),TEXT($I1904,"0"),$I1904))</f>
        <v/>
      </c>
    </row>
    <row r="1905">
      <c r="B1905" s="25" t="n"/>
      <c r="I1905" s="25" t="n"/>
      <c r="U1905" s="19">
        <f>IF(AND($V1905='設定'!$C$4,COUNTIF('商品マスタ'!$B$6:$B$1005,$W1905)=0),N(U1904)+1,N(U1904))</f>
        <v/>
      </c>
      <c r="V1905" s="19">
        <f>IF($B1905="","",TEXT($B1905,"0000"))</f>
        <v/>
      </c>
      <c r="W1905" s="19">
        <f>IF($I1905="","",IF(ISNUMBER($I1905),TEXT($I1905,"0"),$I1905))</f>
        <v/>
      </c>
    </row>
    <row r="1906">
      <c r="B1906" s="25" t="n"/>
      <c r="I1906" s="25" t="n"/>
      <c r="U1906" s="19">
        <f>IF(AND($V1906='設定'!$C$4,COUNTIF('商品マスタ'!$B$6:$B$1005,$W1906)=0),N(U1905)+1,N(U1905))</f>
        <v/>
      </c>
      <c r="V1906" s="19">
        <f>IF($B1906="","",TEXT($B1906,"0000"))</f>
        <v/>
      </c>
      <c r="W1906" s="19">
        <f>IF($I1906="","",IF(ISNUMBER($I1906),TEXT($I1906,"0"),$I1906))</f>
        <v/>
      </c>
    </row>
    <row r="1907">
      <c r="B1907" s="25" t="n"/>
      <c r="I1907" s="25" t="n"/>
      <c r="U1907" s="19">
        <f>IF(AND($V1907='設定'!$C$4,COUNTIF('商品マスタ'!$B$6:$B$1005,$W1907)=0),N(U1906)+1,N(U1906))</f>
        <v/>
      </c>
      <c r="V1907" s="19">
        <f>IF($B1907="","",TEXT($B1907,"0000"))</f>
        <v/>
      </c>
      <c r="W1907" s="19">
        <f>IF($I1907="","",IF(ISNUMBER($I1907),TEXT($I1907,"0"),$I1907))</f>
        <v/>
      </c>
    </row>
    <row r="1908">
      <c r="B1908" s="25" t="n"/>
      <c r="I1908" s="25" t="n"/>
      <c r="U1908" s="19">
        <f>IF(AND($V1908='設定'!$C$4,COUNTIF('商品マスタ'!$B$6:$B$1005,$W1908)=0),N(U1907)+1,N(U1907))</f>
        <v/>
      </c>
      <c r="V1908" s="19">
        <f>IF($B1908="","",TEXT($B1908,"0000"))</f>
        <v/>
      </c>
      <c r="W1908" s="19">
        <f>IF($I1908="","",IF(ISNUMBER($I1908),TEXT($I1908,"0"),$I1908))</f>
        <v/>
      </c>
    </row>
    <row r="1909">
      <c r="B1909" s="25" t="n"/>
      <c r="I1909" s="25" t="n"/>
      <c r="U1909" s="19">
        <f>IF(AND($V1909='設定'!$C$4,COUNTIF('商品マスタ'!$B$6:$B$1005,$W1909)=0),N(U1908)+1,N(U1908))</f>
        <v/>
      </c>
      <c r="V1909" s="19">
        <f>IF($B1909="","",TEXT($B1909,"0000"))</f>
        <v/>
      </c>
      <c r="W1909" s="19">
        <f>IF($I1909="","",IF(ISNUMBER($I1909),TEXT($I1909,"0"),$I1909))</f>
        <v/>
      </c>
    </row>
    <row r="1910">
      <c r="B1910" s="25" t="n"/>
      <c r="I1910" s="25" t="n"/>
      <c r="U1910" s="19">
        <f>IF(AND($V1910='設定'!$C$4,COUNTIF('商品マスタ'!$B$6:$B$1005,$W1910)=0),N(U1909)+1,N(U1909))</f>
        <v/>
      </c>
      <c r="V1910" s="19">
        <f>IF($B1910="","",TEXT($B1910,"0000"))</f>
        <v/>
      </c>
      <c r="W1910" s="19">
        <f>IF($I1910="","",IF(ISNUMBER($I1910),TEXT($I1910,"0"),$I1910))</f>
        <v/>
      </c>
    </row>
    <row r="1911">
      <c r="B1911" s="25" t="n"/>
      <c r="I1911" s="25" t="n"/>
      <c r="U1911" s="19">
        <f>IF(AND($V1911='設定'!$C$4,COUNTIF('商品マスタ'!$B$6:$B$1005,$W1911)=0),N(U1910)+1,N(U1910))</f>
        <v/>
      </c>
      <c r="V1911" s="19">
        <f>IF($B1911="","",TEXT($B1911,"0000"))</f>
        <v/>
      </c>
      <c r="W1911" s="19">
        <f>IF($I1911="","",IF(ISNUMBER($I1911),TEXT($I1911,"0"),$I1911))</f>
        <v/>
      </c>
    </row>
    <row r="1912">
      <c r="B1912" s="25" t="n"/>
      <c r="I1912" s="25" t="n"/>
      <c r="U1912" s="19">
        <f>IF(AND($V1912='設定'!$C$4,COUNTIF('商品マスタ'!$B$6:$B$1005,$W1912)=0),N(U1911)+1,N(U1911))</f>
        <v/>
      </c>
      <c r="V1912" s="19">
        <f>IF($B1912="","",TEXT($B1912,"0000"))</f>
        <v/>
      </c>
      <c r="W1912" s="19">
        <f>IF($I1912="","",IF(ISNUMBER($I1912),TEXT($I1912,"0"),$I1912))</f>
        <v/>
      </c>
    </row>
    <row r="1913">
      <c r="B1913" s="25" t="n"/>
      <c r="I1913" s="25" t="n"/>
      <c r="U1913" s="19">
        <f>IF(AND($V1913='設定'!$C$4,COUNTIF('商品マスタ'!$B$6:$B$1005,$W1913)=0),N(U1912)+1,N(U1912))</f>
        <v/>
      </c>
      <c r="V1913" s="19">
        <f>IF($B1913="","",TEXT($B1913,"0000"))</f>
        <v/>
      </c>
      <c r="W1913" s="19">
        <f>IF($I1913="","",IF(ISNUMBER($I1913),TEXT($I1913,"0"),$I1913))</f>
        <v/>
      </c>
    </row>
    <row r="1914">
      <c r="B1914" s="25" t="n"/>
      <c r="I1914" s="25" t="n"/>
      <c r="U1914" s="19">
        <f>IF(AND($V1914='設定'!$C$4,COUNTIF('商品マスタ'!$B$6:$B$1005,$W1914)=0),N(U1913)+1,N(U1913))</f>
        <v/>
      </c>
      <c r="V1914" s="19">
        <f>IF($B1914="","",TEXT($B1914,"0000"))</f>
        <v/>
      </c>
      <c r="W1914" s="19">
        <f>IF($I1914="","",IF(ISNUMBER($I1914),TEXT($I1914,"0"),$I1914))</f>
        <v/>
      </c>
    </row>
    <row r="1915">
      <c r="B1915" s="25" t="n"/>
      <c r="I1915" s="25" t="n"/>
      <c r="U1915" s="19">
        <f>IF(AND($V1915='設定'!$C$4,COUNTIF('商品マスタ'!$B$6:$B$1005,$W1915)=0),N(U1914)+1,N(U1914))</f>
        <v/>
      </c>
      <c r="V1915" s="19">
        <f>IF($B1915="","",TEXT($B1915,"0000"))</f>
        <v/>
      </c>
      <c r="W1915" s="19">
        <f>IF($I1915="","",IF(ISNUMBER($I1915),TEXT($I1915,"0"),$I1915))</f>
        <v/>
      </c>
    </row>
    <row r="1916">
      <c r="B1916" s="25" t="n"/>
      <c r="I1916" s="25" t="n"/>
      <c r="U1916" s="19">
        <f>IF(AND($V1916='設定'!$C$4,COUNTIF('商品マスタ'!$B$6:$B$1005,$W1916)=0),N(U1915)+1,N(U1915))</f>
        <v/>
      </c>
      <c r="V1916" s="19">
        <f>IF($B1916="","",TEXT($B1916,"0000"))</f>
        <v/>
      </c>
      <c r="W1916" s="19">
        <f>IF($I1916="","",IF(ISNUMBER($I1916),TEXT($I1916,"0"),$I1916))</f>
        <v/>
      </c>
    </row>
    <row r="1917">
      <c r="B1917" s="25" t="n"/>
      <c r="I1917" s="25" t="n"/>
      <c r="U1917" s="19">
        <f>IF(AND($V1917='設定'!$C$4,COUNTIF('商品マスタ'!$B$6:$B$1005,$W1917)=0),N(U1916)+1,N(U1916))</f>
        <v/>
      </c>
      <c r="V1917" s="19">
        <f>IF($B1917="","",TEXT($B1917,"0000"))</f>
        <v/>
      </c>
      <c r="W1917" s="19">
        <f>IF($I1917="","",IF(ISNUMBER($I1917),TEXT($I1917,"0"),$I1917))</f>
        <v/>
      </c>
    </row>
    <row r="1918">
      <c r="B1918" s="25" t="n"/>
      <c r="I1918" s="25" t="n"/>
      <c r="U1918" s="19">
        <f>IF(AND($V1918='設定'!$C$4,COUNTIF('商品マスタ'!$B$6:$B$1005,$W1918)=0),N(U1917)+1,N(U1917))</f>
        <v/>
      </c>
      <c r="V1918" s="19">
        <f>IF($B1918="","",TEXT($B1918,"0000"))</f>
        <v/>
      </c>
      <c r="W1918" s="19">
        <f>IF($I1918="","",IF(ISNUMBER($I1918),TEXT($I1918,"0"),$I1918))</f>
        <v/>
      </c>
    </row>
    <row r="1919">
      <c r="B1919" s="25" t="n"/>
      <c r="I1919" s="25" t="n"/>
      <c r="U1919" s="19">
        <f>IF(AND($V1919='設定'!$C$4,COUNTIF('商品マスタ'!$B$6:$B$1005,$W1919)=0),N(U1918)+1,N(U1918))</f>
        <v/>
      </c>
      <c r="V1919" s="19">
        <f>IF($B1919="","",TEXT($B1919,"0000"))</f>
        <v/>
      </c>
      <c r="W1919" s="19">
        <f>IF($I1919="","",IF(ISNUMBER($I1919),TEXT($I1919,"0"),$I1919))</f>
        <v/>
      </c>
    </row>
    <row r="1920">
      <c r="B1920" s="25" t="n"/>
      <c r="I1920" s="25" t="n"/>
      <c r="U1920" s="19">
        <f>IF(AND($V1920='設定'!$C$4,COUNTIF('商品マスタ'!$B$6:$B$1005,$W1920)=0),N(U1919)+1,N(U1919))</f>
        <v/>
      </c>
      <c r="V1920" s="19">
        <f>IF($B1920="","",TEXT($B1920,"0000"))</f>
        <v/>
      </c>
      <c r="W1920" s="19">
        <f>IF($I1920="","",IF(ISNUMBER($I1920),TEXT($I1920,"0"),$I1920))</f>
        <v/>
      </c>
    </row>
    <row r="1921">
      <c r="B1921" s="25" t="n"/>
      <c r="I1921" s="25" t="n"/>
      <c r="U1921" s="19">
        <f>IF(AND($V1921='設定'!$C$4,COUNTIF('商品マスタ'!$B$6:$B$1005,$W1921)=0),N(U1920)+1,N(U1920))</f>
        <v/>
      </c>
      <c r="V1921" s="19">
        <f>IF($B1921="","",TEXT($B1921,"0000"))</f>
        <v/>
      </c>
      <c r="W1921" s="19">
        <f>IF($I1921="","",IF(ISNUMBER($I1921),TEXT($I1921,"0"),$I1921))</f>
        <v/>
      </c>
    </row>
    <row r="1922">
      <c r="B1922" s="25" t="n"/>
      <c r="I1922" s="25" t="n"/>
      <c r="U1922" s="19">
        <f>IF(AND($V1922='設定'!$C$4,COUNTIF('商品マスタ'!$B$6:$B$1005,$W1922)=0),N(U1921)+1,N(U1921))</f>
        <v/>
      </c>
      <c r="V1922" s="19">
        <f>IF($B1922="","",TEXT($B1922,"0000"))</f>
        <v/>
      </c>
      <c r="W1922" s="19">
        <f>IF($I1922="","",IF(ISNUMBER($I1922),TEXT($I1922,"0"),$I1922))</f>
        <v/>
      </c>
    </row>
    <row r="1923">
      <c r="B1923" s="25" t="n"/>
      <c r="I1923" s="25" t="n"/>
      <c r="U1923" s="19">
        <f>IF(AND($V1923='設定'!$C$4,COUNTIF('商品マスタ'!$B$6:$B$1005,$W1923)=0),N(U1922)+1,N(U1922))</f>
        <v/>
      </c>
      <c r="V1923" s="19">
        <f>IF($B1923="","",TEXT($B1923,"0000"))</f>
        <v/>
      </c>
      <c r="W1923" s="19">
        <f>IF($I1923="","",IF(ISNUMBER($I1923),TEXT($I1923,"0"),$I1923))</f>
        <v/>
      </c>
    </row>
    <row r="1924">
      <c r="B1924" s="25" t="n"/>
      <c r="I1924" s="25" t="n"/>
      <c r="U1924" s="19">
        <f>IF(AND($V1924='設定'!$C$4,COUNTIF('商品マスタ'!$B$6:$B$1005,$W1924)=0),N(U1923)+1,N(U1923))</f>
        <v/>
      </c>
      <c r="V1924" s="19">
        <f>IF($B1924="","",TEXT($B1924,"0000"))</f>
        <v/>
      </c>
      <c r="W1924" s="19">
        <f>IF($I1924="","",IF(ISNUMBER($I1924),TEXT($I1924,"0"),$I1924))</f>
        <v/>
      </c>
    </row>
    <row r="1925">
      <c r="B1925" s="25" t="n"/>
      <c r="I1925" s="25" t="n"/>
      <c r="U1925" s="19">
        <f>IF(AND($V1925='設定'!$C$4,COUNTIF('商品マスタ'!$B$6:$B$1005,$W1925)=0),N(U1924)+1,N(U1924))</f>
        <v/>
      </c>
      <c r="V1925" s="19">
        <f>IF($B1925="","",TEXT($B1925,"0000"))</f>
        <v/>
      </c>
      <c r="W1925" s="19">
        <f>IF($I1925="","",IF(ISNUMBER($I1925),TEXT($I1925,"0"),$I1925))</f>
        <v/>
      </c>
    </row>
    <row r="1926">
      <c r="B1926" s="25" t="n"/>
      <c r="I1926" s="25" t="n"/>
      <c r="U1926" s="19">
        <f>IF(AND($V1926='設定'!$C$4,COUNTIF('商品マスタ'!$B$6:$B$1005,$W1926)=0),N(U1925)+1,N(U1925))</f>
        <v/>
      </c>
      <c r="V1926" s="19">
        <f>IF($B1926="","",TEXT($B1926,"0000"))</f>
        <v/>
      </c>
      <c r="W1926" s="19">
        <f>IF($I1926="","",IF(ISNUMBER($I1926),TEXT($I1926,"0"),$I1926))</f>
        <v/>
      </c>
    </row>
    <row r="1927">
      <c r="B1927" s="25" t="n"/>
      <c r="I1927" s="25" t="n"/>
      <c r="U1927" s="19">
        <f>IF(AND($V1927='設定'!$C$4,COUNTIF('商品マスタ'!$B$6:$B$1005,$W1927)=0),N(U1926)+1,N(U1926))</f>
        <v/>
      </c>
      <c r="V1927" s="19">
        <f>IF($B1927="","",TEXT($B1927,"0000"))</f>
        <v/>
      </c>
      <c r="W1927" s="19">
        <f>IF($I1927="","",IF(ISNUMBER($I1927),TEXT($I1927,"0"),$I1927))</f>
        <v/>
      </c>
    </row>
    <row r="1928">
      <c r="B1928" s="25" t="n"/>
      <c r="I1928" s="25" t="n"/>
      <c r="U1928" s="19">
        <f>IF(AND($V1928='設定'!$C$4,COUNTIF('商品マスタ'!$B$6:$B$1005,$W1928)=0),N(U1927)+1,N(U1927))</f>
        <v/>
      </c>
      <c r="V1928" s="19">
        <f>IF($B1928="","",TEXT($B1928,"0000"))</f>
        <v/>
      </c>
      <c r="W1928" s="19">
        <f>IF($I1928="","",IF(ISNUMBER($I1928),TEXT($I1928,"0"),$I1928))</f>
        <v/>
      </c>
    </row>
    <row r="1929">
      <c r="B1929" s="25" t="n"/>
      <c r="I1929" s="25" t="n"/>
      <c r="U1929" s="19">
        <f>IF(AND($V1929='設定'!$C$4,COUNTIF('商品マスタ'!$B$6:$B$1005,$W1929)=0),N(U1928)+1,N(U1928))</f>
        <v/>
      </c>
      <c r="V1929" s="19">
        <f>IF($B1929="","",TEXT($B1929,"0000"))</f>
        <v/>
      </c>
      <c r="W1929" s="19">
        <f>IF($I1929="","",IF(ISNUMBER($I1929),TEXT($I1929,"0"),$I1929))</f>
        <v/>
      </c>
    </row>
    <row r="1930">
      <c r="B1930" s="25" t="n"/>
      <c r="I1930" s="25" t="n"/>
      <c r="U1930" s="19">
        <f>IF(AND($V1930='設定'!$C$4,COUNTIF('商品マスタ'!$B$6:$B$1005,$W1930)=0),N(U1929)+1,N(U1929))</f>
        <v/>
      </c>
      <c r="V1930" s="19">
        <f>IF($B1930="","",TEXT($B1930,"0000"))</f>
        <v/>
      </c>
      <c r="W1930" s="19">
        <f>IF($I1930="","",IF(ISNUMBER($I1930),TEXT($I1930,"0"),$I1930))</f>
        <v/>
      </c>
    </row>
    <row r="1931">
      <c r="B1931" s="25" t="n"/>
      <c r="I1931" s="25" t="n"/>
      <c r="U1931" s="19">
        <f>IF(AND($V1931='設定'!$C$4,COUNTIF('商品マスタ'!$B$6:$B$1005,$W1931)=0),N(U1930)+1,N(U1930))</f>
        <v/>
      </c>
      <c r="V1931" s="19">
        <f>IF($B1931="","",TEXT($B1931,"0000"))</f>
        <v/>
      </c>
      <c r="W1931" s="19">
        <f>IF($I1931="","",IF(ISNUMBER($I1931),TEXT($I1931,"0"),$I1931))</f>
        <v/>
      </c>
    </row>
    <row r="1932">
      <c r="B1932" s="25" t="n"/>
      <c r="I1932" s="25" t="n"/>
      <c r="U1932" s="19">
        <f>IF(AND($V1932='設定'!$C$4,COUNTIF('商品マスタ'!$B$6:$B$1005,$W1932)=0),N(U1931)+1,N(U1931))</f>
        <v/>
      </c>
      <c r="V1932" s="19">
        <f>IF($B1932="","",TEXT($B1932,"0000"))</f>
        <v/>
      </c>
      <c r="W1932" s="19">
        <f>IF($I1932="","",IF(ISNUMBER($I1932),TEXT($I1932,"0"),$I1932))</f>
        <v/>
      </c>
    </row>
    <row r="1933">
      <c r="B1933" s="25" t="n"/>
      <c r="I1933" s="25" t="n"/>
      <c r="U1933" s="19">
        <f>IF(AND($V1933='設定'!$C$4,COUNTIF('商品マスタ'!$B$6:$B$1005,$W1933)=0),N(U1932)+1,N(U1932))</f>
        <v/>
      </c>
      <c r="V1933" s="19">
        <f>IF($B1933="","",TEXT($B1933,"0000"))</f>
        <v/>
      </c>
      <c r="W1933" s="19">
        <f>IF($I1933="","",IF(ISNUMBER($I1933),TEXT($I1933,"0"),$I1933))</f>
        <v/>
      </c>
    </row>
    <row r="1934">
      <c r="B1934" s="25" t="n"/>
      <c r="I1934" s="25" t="n"/>
      <c r="U1934" s="19">
        <f>IF(AND($V1934='設定'!$C$4,COUNTIF('商品マスタ'!$B$6:$B$1005,$W1934)=0),N(U1933)+1,N(U1933))</f>
        <v/>
      </c>
      <c r="V1934" s="19">
        <f>IF($B1934="","",TEXT($B1934,"0000"))</f>
        <v/>
      </c>
      <c r="W1934" s="19">
        <f>IF($I1934="","",IF(ISNUMBER($I1934),TEXT($I1934,"0"),$I1934))</f>
        <v/>
      </c>
    </row>
    <row r="1935">
      <c r="B1935" s="25" t="n"/>
      <c r="I1935" s="25" t="n"/>
      <c r="U1935" s="19">
        <f>IF(AND($V1935='設定'!$C$4,COUNTIF('商品マスタ'!$B$6:$B$1005,$W1935)=0),N(U1934)+1,N(U1934))</f>
        <v/>
      </c>
      <c r="V1935" s="19">
        <f>IF($B1935="","",TEXT($B1935,"0000"))</f>
        <v/>
      </c>
      <c r="W1935" s="19">
        <f>IF($I1935="","",IF(ISNUMBER($I1935),TEXT($I1935,"0"),$I1935))</f>
        <v/>
      </c>
    </row>
    <row r="1936">
      <c r="B1936" s="25" t="n"/>
      <c r="I1936" s="25" t="n"/>
      <c r="U1936" s="19">
        <f>IF(AND($V1936='設定'!$C$4,COUNTIF('商品マスタ'!$B$6:$B$1005,$W1936)=0),N(U1935)+1,N(U1935))</f>
        <v/>
      </c>
      <c r="V1936" s="19">
        <f>IF($B1936="","",TEXT($B1936,"0000"))</f>
        <v/>
      </c>
      <c r="W1936" s="19">
        <f>IF($I1936="","",IF(ISNUMBER($I1936),TEXT($I1936,"0"),$I1936))</f>
        <v/>
      </c>
    </row>
    <row r="1937">
      <c r="B1937" s="25" t="n"/>
      <c r="I1937" s="25" t="n"/>
      <c r="U1937" s="19">
        <f>IF(AND($V1937='設定'!$C$4,COUNTIF('商品マスタ'!$B$6:$B$1005,$W1937)=0),N(U1936)+1,N(U1936))</f>
        <v/>
      </c>
      <c r="V1937" s="19">
        <f>IF($B1937="","",TEXT($B1937,"0000"))</f>
        <v/>
      </c>
      <c r="W1937" s="19">
        <f>IF($I1937="","",IF(ISNUMBER($I1937),TEXT($I1937,"0"),$I1937))</f>
        <v/>
      </c>
    </row>
    <row r="1938">
      <c r="B1938" s="25" t="n"/>
      <c r="I1938" s="25" t="n"/>
      <c r="U1938" s="19">
        <f>IF(AND($V1938='設定'!$C$4,COUNTIF('商品マスタ'!$B$6:$B$1005,$W1938)=0),N(U1937)+1,N(U1937))</f>
        <v/>
      </c>
      <c r="V1938" s="19">
        <f>IF($B1938="","",TEXT($B1938,"0000"))</f>
        <v/>
      </c>
      <c r="W1938" s="19">
        <f>IF($I1938="","",IF(ISNUMBER($I1938),TEXT($I1938,"0"),$I1938))</f>
        <v/>
      </c>
    </row>
    <row r="1939">
      <c r="B1939" s="25" t="n"/>
      <c r="I1939" s="25" t="n"/>
      <c r="U1939" s="19">
        <f>IF(AND($V1939='設定'!$C$4,COUNTIF('商品マスタ'!$B$6:$B$1005,$W1939)=0),N(U1938)+1,N(U1938))</f>
        <v/>
      </c>
      <c r="V1939" s="19">
        <f>IF($B1939="","",TEXT($B1939,"0000"))</f>
        <v/>
      </c>
      <c r="W1939" s="19">
        <f>IF($I1939="","",IF(ISNUMBER($I1939),TEXT($I1939,"0"),$I1939))</f>
        <v/>
      </c>
    </row>
    <row r="1940">
      <c r="B1940" s="25" t="n"/>
      <c r="I1940" s="25" t="n"/>
      <c r="U1940" s="19">
        <f>IF(AND($V1940='設定'!$C$4,COUNTIF('商品マスタ'!$B$6:$B$1005,$W1940)=0),N(U1939)+1,N(U1939))</f>
        <v/>
      </c>
      <c r="V1940" s="19">
        <f>IF($B1940="","",TEXT($B1940,"0000"))</f>
        <v/>
      </c>
      <c r="W1940" s="19">
        <f>IF($I1940="","",IF(ISNUMBER($I1940),TEXT($I1940,"0"),$I1940))</f>
        <v/>
      </c>
    </row>
    <row r="1941">
      <c r="B1941" s="25" t="n"/>
      <c r="I1941" s="25" t="n"/>
      <c r="U1941" s="19">
        <f>IF(AND($V1941='設定'!$C$4,COUNTIF('商品マスタ'!$B$6:$B$1005,$W1941)=0),N(U1940)+1,N(U1940))</f>
        <v/>
      </c>
      <c r="V1941" s="19">
        <f>IF($B1941="","",TEXT($B1941,"0000"))</f>
        <v/>
      </c>
      <c r="W1941" s="19">
        <f>IF($I1941="","",IF(ISNUMBER($I1941),TEXT($I1941,"0"),$I1941))</f>
        <v/>
      </c>
    </row>
    <row r="1942">
      <c r="B1942" s="25" t="n"/>
      <c r="I1942" s="25" t="n"/>
      <c r="U1942" s="19">
        <f>IF(AND($V1942='設定'!$C$4,COUNTIF('商品マスタ'!$B$6:$B$1005,$W1942)=0),N(U1941)+1,N(U1941))</f>
        <v/>
      </c>
      <c r="V1942" s="19">
        <f>IF($B1942="","",TEXT($B1942,"0000"))</f>
        <v/>
      </c>
      <c r="W1942" s="19">
        <f>IF($I1942="","",IF(ISNUMBER($I1942),TEXT($I1942,"0"),$I1942))</f>
        <v/>
      </c>
    </row>
    <row r="1943">
      <c r="B1943" s="25" t="n"/>
      <c r="I1943" s="25" t="n"/>
      <c r="U1943" s="19">
        <f>IF(AND($V1943='設定'!$C$4,COUNTIF('商品マスタ'!$B$6:$B$1005,$W1943)=0),N(U1942)+1,N(U1942))</f>
        <v/>
      </c>
      <c r="V1943" s="19">
        <f>IF($B1943="","",TEXT($B1943,"0000"))</f>
        <v/>
      </c>
      <c r="W1943" s="19">
        <f>IF($I1943="","",IF(ISNUMBER($I1943),TEXT($I1943,"0"),$I1943))</f>
        <v/>
      </c>
    </row>
    <row r="1944">
      <c r="B1944" s="25" t="n"/>
      <c r="I1944" s="25" t="n"/>
      <c r="U1944" s="19">
        <f>IF(AND($V1944='設定'!$C$4,COUNTIF('商品マスタ'!$B$6:$B$1005,$W1944)=0),N(U1943)+1,N(U1943))</f>
        <v/>
      </c>
      <c r="V1944" s="19">
        <f>IF($B1944="","",TEXT($B1944,"0000"))</f>
        <v/>
      </c>
      <c r="W1944" s="19">
        <f>IF($I1944="","",IF(ISNUMBER($I1944),TEXT($I1944,"0"),$I1944))</f>
        <v/>
      </c>
    </row>
    <row r="1945">
      <c r="B1945" s="25" t="n"/>
      <c r="I1945" s="25" t="n"/>
      <c r="U1945" s="19">
        <f>IF(AND($V1945='設定'!$C$4,COUNTIF('商品マスタ'!$B$6:$B$1005,$W1945)=0),N(U1944)+1,N(U1944))</f>
        <v/>
      </c>
      <c r="V1945" s="19">
        <f>IF($B1945="","",TEXT($B1945,"0000"))</f>
        <v/>
      </c>
      <c r="W1945" s="19">
        <f>IF($I1945="","",IF(ISNUMBER($I1945),TEXT($I1945,"0"),$I1945))</f>
        <v/>
      </c>
    </row>
    <row r="1946">
      <c r="B1946" s="25" t="n"/>
      <c r="I1946" s="25" t="n"/>
      <c r="U1946" s="19">
        <f>IF(AND($V1946='設定'!$C$4,COUNTIF('商品マスタ'!$B$6:$B$1005,$W1946)=0),N(U1945)+1,N(U1945))</f>
        <v/>
      </c>
      <c r="V1946" s="19">
        <f>IF($B1946="","",TEXT($B1946,"0000"))</f>
        <v/>
      </c>
      <c r="W1946" s="19">
        <f>IF($I1946="","",IF(ISNUMBER($I1946),TEXT($I1946,"0"),$I1946))</f>
        <v/>
      </c>
    </row>
    <row r="1947">
      <c r="B1947" s="25" t="n"/>
      <c r="I1947" s="25" t="n"/>
      <c r="U1947" s="19">
        <f>IF(AND($V1947='設定'!$C$4,COUNTIF('商品マスタ'!$B$6:$B$1005,$W1947)=0),N(U1946)+1,N(U1946))</f>
        <v/>
      </c>
      <c r="V1947" s="19">
        <f>IF($B1947="","",TEXT($B1947,"0000"))</f>
        <v/>
      </c>
      <c r="W1947" s="19">
        <f>IF($I1947="","",IF(ISNUMBER($I1947),TEXT($I1947,"0"),$I1947))</f>
        <v/>
      </c>
    </row>
    <row r="1948">
      <c r="B1948" s="25" t="n"/>
      <c r="I1948" s="25" t="n"/>
      <c r="U1948" s="19">
        <f>IF(AND($V1948='設定'!$C$4,COUNTIF('商品マスタ'!$B$6:$B$1005,$W1948)=0),N(U1947)+1,N(U1947))</f>
        <v/>
      </c>
      <c r="V1948" s="19">
        <f>IF($B1948="","",TEXT($B1948,"0000"))</f>
        <v/>
      </c>
      <c r="W1948" s="19">
        <f>IF($I1948="","",IF(ISNUMBER($I1948),TEXT($I1948,"0"),$I1948))</f>
        <v/>
      </c>
    </row>
    <row r="1949">
      <c r="B1949" s="25" t="n"/>
      <c r="I1949" s="25" t="n"/>
      <c r="U1949" s="19">
        <f>IF(AND($V1949='設定'!$C$4,COUNTIF('商品マスタ'!$B$6:$B$1005,$W1949)=0),N(U1948)+1,N(U1948))</f>
        <v/>
      </c>
      <c r="V1949" s="19">
        <f>IF($B1949="","",TEXT($B1949,"0000"))</f>
        <v/>
      </c>
      <c r="W1949" s="19">
        <f>IF($I1949="","",IF(ISNUMBER($I1949),TEXT($I1949,"0"),$I1949))</f>
        <v/>
      </c>
    </row>
    <row r="1950">
      <c r="B1950" s="25" t="n"/>
      <c r="I1950" s="25" t="n"/>
      <c r="U1950" s="19">
        <f>IF(AND($V1950='設定'!$C$4,COUNTIF('商品マスタ'!$B$6:$B$1005,$W1950)=0),N(U1949)+1,N(U1949))</f>
        <v/>
      </c>
      <c r="V1950" s="19">
        <f>IF($B1950="","",TEXT($B1950,"0000"))</f>
        <v/>
      </c>
      <c r="W1950" s="19">
        <f>IF($I1950="","",IF(ISNUMBER($I1950),TEXT($I1950,"0"),$I1950))</f>
        <v/>
      </c>
    </row>
    <row r="1951">
      <c r="B1951" s="25" t="n"/>
      <c r="I1951" s="25" t="n"/>
      <c r="U1951" s="19">
        <f>IF(AND($V1951='設定'!$C$4,COUNTIF('商品マスタ'!$B$6:$B$1005,$W1951)=0),N(U1950)+1,N(U1950))</f>
        <v/>
      </c>
      <c r="V1951" s="19">
        <f>IF($B1951="","",TEXT($B1951,"0000"))</f>
        <v/>
      </c>
      <c r="W1951" s="19">
        <f>IF($I1951="","",IF(ISNUMBER($I1951),TEXT($I1951,"0"),$I1951))</f>
        <v/>
      </c>
    </row>
    <row r="1952">
      <c r="B1952" s="25" t="n"/>
      <c r="I1952" s="25" t="n"/>
      <c r="U1952" s="19">
        <f>IF(AND($V1952='設定'!$C$4,COUNTIF('商品マスタ'!$B$6:$B$1005,$W1952)=0),N(U1951)+1,N(U1951))</f>
        <v/>
      </c>
      <c r="V1952" s="19">
        <f>IF($B1952="","",TEXT($B1952,"0000"))</f>
        <v/>
      </c>
      <c r="W1952" s="19">
        <f>IF($I1952="","",IF(ISNUMBER($I1952),TEXT($I1952,"0"),$I1952))</f>
        <v/>
      </c>
    </row>
    <row r="1953">
      <c r="B1953" s="25" t="n"/>
      <c r="I1953" s="25" t="n"/>
      <c r="U1953" s="19">
        <f>IF(AND($V1953='設定'!$C$4,COUNTIF('商品マスタ'!$B$6:$B$1005,$W1953)=0),N(U1952)+1,N(U1952))</f>
        <v/>
      </c>
      <c r="V1953" s="19">
        <f>IF($B1953="","",TEXT($B1953,"0000"))</f>
        <v/>
      </c>
      <c r="W1953" s="19">
        <f>IF($I1953="","",IF(ISNUMBER($I1953),TEXT($I1953,"0"),$I1953))</f>
        <v/>
      </c>
    </row>
    <row r="1954">
      <c r="B1954" s="25" t="n"/>
      <c r="I1954" s="25" t="n"/>
      <c r="U1954" s="19">
        <f>IF(AND($V1954='設定'!$C$4,COUNTIF('商品マスタ'!$B$6:$B$1005,$W1954)=0),N(U1953)+1,N(U1953))</f>
        <v/>
      </c>
      <c r="V1954" s="19">
        <f>IF($B1954="","",TEXT($B1954,"0000"))</f>
        <v/>
      </c>
      <c r="W1954" s="19">
        <f>IF($I1954="","",IF(ISNUMBER($I1954),TEXT($I1954,"0"),$I1954))</f>
        <v/>
      </c>
    </row>
    <row r="1955">
      <c r="B1955" s="25" t="n"/>
      <c r="I1955" s="25" t="n"/>
      <c r="U1955" s="19">
        <f>IF(AND($V1955='設定'!$C$4,COUNTIF('商品マスタ'!$B$6:$B$1005,$W1955)=0),N(U1954)+1,N(U1954))</f>
        <v/>
      </c>
      <c r="V1955" s="19">
        <f>IF($B1955="","",TEXT($B1955,"0000"))</f>
        <v/>
      </c>
      <c r="W1955" s="19">
        <f>IF($I1955="","",IF(ISNUMBER($I1955),TEXT($I1955,"0"),$I1955))</f>
        <v/>
      </c>
    </row>
    <row r="1956">
      <c r="B1956" s="25" t="n"/>
      <c r="I1956" s="25" t="n"/>
      <c r="U1956" s="19">
        <f>IF(AND($V1956='設定'!$C$4,COUNTIF('商品マスタ'!$B$6:$B$1005,$W1956)=0),N(U1955)+1,N(U1955))</f>
        <v/>
      </c>
      <c r="V1956" s="19">
        <f>IF($B1956="","",TEXT($B1956,"0000"))</f>
        <v/>
      </c>
      <c r="W1956" s="19">
        <f>IF($I1956="","",IF(ISNUMBER($I1956),TEXT($I1956,"0"),$I1956))</f>
        <v/>
      </c>
    </row>
    <row r="1957">
      <c r="B1957" s="25" t="n"/>
      <c r="I1957" s="25" t="n"/>
      <c r="U1957" s="19">
        <f>IF(AND($V1957='設定'!$C$4,COUNTIF('商品マスタ'!$B$6:$B$1005,$W1957)=0),N(U1956)+1,N(U1956))</f>
        <v/>
      </c>
      <c r="V1957" s="19">
        <f>IF($B1957="","",TEXT($B1957,"0000"))</f>
        <v/>
      </c>
      <c r="W1957" s="19">
        <f>IF($I1957="","",IF(ISNUMBER($I1957),TEXT($I1957,"0"),$I1957))</f>
        <v/>
      </c>
    </row>
    <row r="1958">
      <c r="B1958" s="25" t="n"/>
      <c r="I1958" s="25" t="n"/>
      <c r="U1958" s="19">
        <f>IF(AND($V1958='設定'!$C$4,COUNTIF('商品マスタ'!$B$6:$B$1005,$W1958)=0),N(U1957)+1,N(U1957))</f>
        <v/>
      </c>
      <c r="V1958" s="19">
        <f>IF($B1958="","",TEXT($B1958,"0000"))</f>
        <v/>
      </c>
      <c r="W1958" s="19">
        <f>IF($I1958="","",IF(ISNUMBER($I1958),TEXT($I1958,"0"),$I1958))</f>
        <v/>
      </c>
    </row>
    <row r="1959">
      <c r="B1959" s="25" t="n"/>
      <c r="I1959" s="25" t="n"/>
      <c r="U1959" s="19">
        <f>IF(AND($V1959='設定'!$C$4,COUNTIF('商品マスタ'!$B$6:$B$1005,$W1959)=0),N(U1958)+1,N(U1958))</f>
        <v/>
      </c>
      <c r="V1959" s="19">
        <f>IF($B1959="","",TEXT($B1959,"0000"))</f>
        <v/>
      </c>
      <c r="W1959" s="19">
        <f>IF($I1959="","",IF(ISNUMBER($I1959),TEXT($I1959,"0"),$I1959))</f>
        <v/>
      </c>
    </row>
    <row r="1960">
      <c r="B1960" s="25" t="n"/>
      <c r="I1960" s="25" t="n"/>
      <c r="U1960" s="19">
        <f>IF(AND($V1960='設定'!$C$4,COUNTIF('商品マスタ'!$B$6:$B$1005,$W1960)=0),N(U1959)+1,N(U1959))</f>
        <v/>
      </c>
      <c r="V1960" s="19">
        <f>IF($B1960="","",TEXT($B1960,"0000"))</f>
        <v/>
      </c>
      <c r="W1960" s="19">
        <f>IF($I1960="","",IF(ISNUMBER($I1960),TEXT($I1960,"0"),$I1960))</f>
        <v/>
      </c>
    </row>
    <row r="1961">
      <c r="B1961" s="25" t="n"/>
      <c r="I1961" s="25" t="n"/>
      <c r="U1961" s="19">
        <f>IF(AND($V1961='設定'!$C$4,COUNTIF('商品マスタ'!$B$6:$B$1005,$W1961)=0),N(U1960)+1,N(U1960))</f>
        <v/>
      </c>
      <c r="V1961" s="19">
        <f>IF($B1961="","",TEXT($B1961,"0000"))</f>
        <v/>
      </c>
      <c r="W1961" s="19">
        <f>IF($I1961="","",IF(ISNUMBER($I1961),TEXT($I1961,"0"),$I1961))</f>
        <v/>
      </c>
    </row>
    <row r="1962">
      <c r="B1962" s="25" t="n"/>
      <c r="I1962" s="25" t="n"/>
      <c r="U1962" s="19">
        <f>IF(AND($V1962='設定'!$C$4,COUNTIF('商品マスタ'!$B$6:$B$1005,$W1962)=0),N(U1961)+1,N(U1961))</f>
        <v/>
      </c>
      <c r="V1962" s="19">
        <f>IF($B1962="","",TEXT($B1962,"0000"))</f>
        <v/>
      </c>
      <c r="W1962" s="19">
        <f>IF($I1962="","",IF(ISNUMBER($I1962),TEXT($I1962,"0"),$I1962))</f>
        <v/>
      </c>
    </row>
    <row r="1963">
      <c r="B1963" s="25" t="n"/>
      <c r="I1963" s="25" t="n"/>
      <c r="U1963" s="19">
        <f>IF(AND($V1963='設定'!$C$4,COUNTIF('商品マスタ'!$B$6:$B$1005,$W1963)=0),N(U1962)+1,N(U1962))</f>
        <v/>
      </c>
      <c r="V1963" s="19">
        <f>IF($B1963="","",TEXT($B1963,"0000"))</f>
        <v/>
      </c>
      <c r="W1963" s="19">
        <f>IF($I1963="","",IF(ISNUMBER($I1963),TEXT($I1963,"0"),$I1963))</f>
        <v/>
      </c>
    </row>
    <row r="1964">
      <c r="B1964" s="25" t="n"/>
      <c r="I1964" s="25" t="n"/>
      <c r="U1964" s="19">
        <f>IF(AND($V1964='設定'!$C$4,COUNTIF('商品マスタ'!$B$6:$B$1005,$W1964)=0),N(U1963)+1,N(U1963))</f>
        <v/>
      </c>
      <c r="V1964" s="19">
        <f>IF($B1964="","",TEXT($B1964,"0000"))</f>
        <v/>
      </c>
      <c r="W1964" s="19">
        <f>IF($I1964="","",IF(ISNUMBER($I1964),TEXT($I1964,"0"),$I1964))</f>
        <v/>
      </c>
    </row>
    <row r="1965">
      <c r="B1965" s="25" t="n"/>
      <c r="I1965" s="25" t="n"/>
      <c r="U1965" s="19">
        <f>IF(AND($V1965='設定'!$C$4,COUNTIF('商品マスタ'!$B$6:$B$1005,$W1965)=0),N(U1964)+1,N(U1964))</f>
        <v/>
      </c>
      <c r="V1965" s="19">
        <f>IF($B1965="","",TEXT($B1965,"0000"))</f>
        <v/>
      </c>
      <c r="W1965" s="19">
        <f>IF($I1965="","",IF(ISNUMBER($I1965),TEXT($I1965,"0"),$I1965))</f>
        <v/>
      </c>
    </row>
    <row r="1966">
      <c r="B1966" s="25" t="n"/>
      <c r="I1966" s="25" t="n"/>
      <c r="U1966" s="19">
        <f>IF(AND($V1966='設定'!$C$4,COUNTIF('商品マスタ'!$B$6:$B$1005,$W1966)=0),N(U1965)+1,N(U1965))</f>
        <v/>
      </c>
      <c r="V1966" s="19">
        <f>IF($B1966="","",TEXT($B1966,"0000"))</f>
        <v/>
      </c>
      <c r="W1966" s="19">
        <f>IF($I1966="","",IF(ISNUMBER($I1966),TEXT($I1966,"0"),$I1966))</f>
        <v/>
      </c>
    </row>
    <row r="1967">
      <c r="B1967" s="25" t="n"/>
      <c r="I1967" s="25" t="n"/>
      <c r="U1967" s="19">
        <f>IF(AND($V1967='設定'!$C$4,COUNTIF('商品マスタ'!$B$6:$B$1005,$W1967)=0),N(U1966)+1,N(U1966))</f>
        <v/>
      </c>
      <c r="V1967" s="19">
        <f>IF($B1967="","",TEXT($B1967,"0000"))</f>
        <v/>
      </c>
      <c r="W1967" s="19">
        <f>IF($I1967="","",IF(ISNUMBER($I1967),TEXT($I1967,"0"),$I1967))</f>
        <v/>
      </c>
    </row>
    <row r="1968">
      <c r="B1968" s="25" t="n"/>
      <c r="I1968" s="25" t="n"/>
      <c r="U1968" s="19">
        <f>IF(AND($V1968='設定'!$C$4,COUNTIF('商品マスタ'!$B$6:$B$1005,$W1968)=0),N(U1967)+1,N(U1967))</f>
        <v/>
      </c>
      <c r="V1968" s="19">
        <f>IF($B1968="","",TEXT($B1968,"0000"))</f>
        <v/>
      </c>
      <c r="W1968" s="19">
        <f>IF($I1968="","",IF(ISNUMBER($I1968),TEXT($I1968,"0"),$I1968))</f>
        <v/>
      </c>
    </row>
    <row r="1969">
      <c r="B1969" s="25" t="n"/>
      <c r="I1969" s="25" t="n"/>
      <c r="U1969" s="19">
        <f>IF(AND($V1969='設定'!$C$4,COUNTIF('商品マスタ'!$B$6:$B$1005,$W1969)=0),N(U1968)+1,N(U1968))</f>
        <v/>
      </c>
      <c r="V1969" s="19">
        <f>IF($B1969="","",TEXT($B1969,"0000"))</f>
        <v/>
      </c>
      <c r="W1969" s="19">
        <f>IF($I1969="","",IF(ISNUMBER($I1969),TEXT($I1969,"0"),$I1969))</f>
        <v/>
      </c>
    </row>
    <row r="1970">
      <c r="B1970" s="25" t="n"/>
      <c r="I1970" s="25" t="n"/>
      <c r="U1970" s="19">
        <f>IF(AND($V1970='設定'!$C$4,COUNTIF('商品マスタ'!$B$6:$B$1005,$W1970)=0),N(U1969)+1,N(U1969))</f>
        <v/>
      </c>
      <c r="V1970" s="19">
        <f>IF($B1970="","",TEXT($B1970,"0000"))</f>
        <v/>
      </c>
      <c r="W1970" s="19">
        <f>IF($I1970="","",IF(ISNUMBER($I1970),TEXT($I1970,"0"),$I1970))</f>
        <v/>
      </c>
    </row>
    <row r="1971">
      <c r="B1971" s="25" t="n"/>
      <c r="I1971" s="25" t="n"/>
      <c r="U1971" s="19">
        <f>IF(AND($V1971='設定'!$C$4,COUNTIF('商品マスタ'!$B$6:$B$1005,$W1971)=0),N(U1970)+1,N(U1970))</f>
        <v/>
      </c>
      <c r="V1971" s="19">
        <f>IF($B1971="","",TEXT($B1971,"0000"))</f>
        <v/>
      </c>
      <c r="W1971" s="19">
        <f>IF($I1971="","",IF(ISNUMBER($I1971),TEXT($I1971,"0"),$I1971))</f>
        <v/>
      </c>
    </row>
    <row r="1972">
      <c r="B1972" s="25" t="n"/>
      <c r="I1972" s="25" t="n"/>
      <c r="U1972" s="19">
        <f>IF(AND($V1972='設定'!$C$4,COUNTIF('商品マスタ'!$B$6:$B$1005,$W1972)=0),N(U1971)+1,N(U1971))</f>
        <v/>
      </c>
      <c r="V1972" s="19">
        <f>IF($B1972="","",TEXT($B1972,"0000"))</f>
        <v/>
      </c>
      <c r="W1972" s="19">
        <f>IF($I1972="","",IF(ISNUMBER($I1972),TEXT($I1972,"0"),$I1972))</f>
        <v/>
      </c>
    </row>
    <row r="1973">
      <c r="B1973" s="25" t="n"/>
      <c r="I1973" s="25" t="n"/>
      <c r="U1973" s="19">
        <f>IF(AND($V1973='設定'!$C$4,COUNTIF('商品マスタ'!$B$6:$B$1005,$W1973)=0),N(U1972)+1,N(U1972))</f>
        <v/>
      </c>
      <c r="V1973" s="19">
        <f>IF($B1973="","",TEXT($B1973,"0000"))</f>
        <v/>
      </c>
      <c r="W1973" s="19">
        <f>IF($I1973="","",IF(ISNUMBER($I1973),TEXT($I1973,"0"),$I1973))</f>
        <v/>
      </c>
    </row>
    <row r="1974">
      <c r="B1974" s="25" t="n"/>
      <c r="I1974" s="25" t="n"/>
      <c r="U1974" s="19">
        <f>IF(AND($V1974='設定'!$C$4,COUNTIF('商品マスタ'!$B$6:$B$1005,$W1974)=0),N(U1973)+1,N(U1973))</f>
        <v/>
      </c>
      <c r="V1974" s="19">
        <f>IF($B1974="","",TEXT($B1974,"0000"))</f>
        <v/>
      </c>
      <c r="W1974" s="19">
        <f>IF($I1974="","",IF(ISNUMBER($I1974),TEXT($I1974,"0"),$I1974))</f>
        <v/>
      </c>
    </row>
    <row r="1975">
      <c r="B1975" s="25" t="n"/>
      <c r="I1975" s="25" t="n"/>
      <c r="U1975" s="19">
        <f>IF(AND($V1975='設定'!$C$4,COUNTIF('商品マスタ'!$B$6:$B$1005,$W1975)=0),N(U1974)+1,N(U1974))</f>
        <v/>
      </c>
      <c r="V1975" s="19">
        <f>IF($B1975="","",TEXT($B1975,"0000"))</f>
        <v/>
      </c>
      <c r="W1975" s="19">
        <f>IF($I1975="","",IF(ISNUMBER($I1975),TEXT($I1975,"0"),$I1975))</f>
        <v/>
      </c>
    </row>
    <row r="1976">
      <c r="B1976" s="25" t="n"/>
      <c r="I1976" s="25" t="n"/>
      <c r="U1976" s="19">
        <f>IF(AND($V1976='設定'!$C$4,COUNTIF('商品マスタ'!$B$6:$B$1005,$W1976)=0),N(U1975)+1,N(U1975))</f>
        <v/>
      </c>
      <c r="V1976" s="19">
        <f>IF($B1976="","",TEXT($B1976,"0000"))</f>
        <v/>
      </c>
      <c r="W1976" s="19">
        <f>IF($I1976="","",IF(ISNUMBER($I1976),TEXT($I1976,"0"),$I1976))</f>
        <v/>
      </c>
    </row>
    <row r="1977">
      <c r="B1977" s="25" t="n"/>
      <c r="I1977" s="25" t="n"/>
      <c r="U1977" s="19">
        <f>IF(AND($V1977='設定'!$C$4,COUNTIF('商品マスタ'!$B$6:$B$1005,$W1977)=0),N(U1976)+1,N(U1976))</f>
        <v/>
      </c>
      <c r="V1977" s="19">
        <f>IF($B1977="","",TEXT($B1977,"0000"))</f>
        <v/>
      </c>
      <c r="W1977" s="19">
        <f>IF($I1977="","",IF(ISNUMBER($I1977),TEXT($I1977,"0"),$I1977))</f>
        <v/>
      </c>
    </row>
    <row r="1978">
      <c r="B1978" s="25" t="n"/>
      <c r="I1978" s="25" t="n"/>
      <c r="U1978" s="19">
        <f>IF(AND($V1978='設定'!$C$4,COUNTIF('商品マスタ'!$B$6:$B$1005,$W1978)=0),N(U1977)+1,N(U1977))</f>
        <v/>
      </c>
      <c r="V1978" s="19">
        <f>IF($B1978="","",TEXT($B1978,"0000"))</f>
        <v/>
      </c>
      <c r="W1978" s="19">
        <f>IF($I1978="","",IF(ISNUMBER($I1978),TEXT($I1978,"0"),$I1978))</f>
        <v/>
      </c>
    </row>
    <row r="1979">
      <c r="B1979" s="25" t="n"/>
      <c r="I1979" s="25" t="n"/>
      <c r="U1979" s="19">
        <f>IF(AND($V1979='設定'!$C$4,COUNTIF('商品マスタ'!$B$6:$B$1005,$W1979)=0),N(U1978)+1,N(U1978))</f>
        <v/>
      </c>
      <c r="V1979" s="19">
        <f>IF($B1979="","",TEXT($B1979,"0000"))</f>
        <v/>
      </c>
      <c r="W1979" s="19">
        <f>IF($I1979="","",IF(ISNUMBER($I1979),TEXT($I1979,"0"),$I1979))</f>
        <v/>
      </c>
    </row>
    <row r="1980">
      <c r="B1980" s="25" t="n"/>
      <c r="I1980" s="25" t="n"/>
      <c r="U1980" s="19">
        <f>IF(AND($V1980='設定'!$C$4,COUNTIF('商品マスタ'!$B$6:$B$1005,$W1980)=0),N(U1979)+1,N(U1979))</f>
        <v/>
      </c>
      <c r="V1980" s="19">
        <f>IF($B1980="","",TEXT($B1980,"0000"))</f>
        <v/>
      </c>
      <c r="W1980" s="19">
        <f>IF($I1980="","",IF(ISNUMBER($I1980),TEXT($I1980,"0"),$I1980))</f>
        <v/>
      </c>
    </row>
    <row r="1981">
      <c r="B1981" s="25" t="n"/>
      <c r="I1981" s="25" t="n"/>
      <c r="U1981" s="19">
        <f>IF(AND($V1981='設定'!$C$4,COUNTIF('商品マスタ'!$B$6:$B$1005,$W1981)=0),N(U1980)+1,N(U1980))</f>
        <v/>
      </c>
      <c r="V1981" s="19">
        <f>IF($B1981="","",TEXT($B1981,"0000"))</f>
        <v/>
      </c>
      <c r="W1981" s="19">
        <f>IF($I1981="","",IF(ISNUMBER($I1981),TEXT($I1981,"0"),$I1981))</f>
        <v/>
      </c>
    </row>
    <row r="1982">
      <c r="B1982" s="25" t="n"/>
      <c r="I1982" s="25" t="n"/>
      <c r="U1982" s="19">
        <f>IF(AND($V1982='設定'!$C$4,COUNTIF('商品マスタ'!$B$6:$B$1005,$W1982)=0),N(U1981)+1,N(U1981))</f>
        <v/>
      </c>
      <c r="V1982" s="19">
        <f>IF($B1982="","",TEXT($B1982,"0000"))</f>
        <v/>
      </c>
      <c r="W1982" s="19">
        <f>IF($I1982="","",IF(ISNUMBER($I1982),TEXT($I1982,"0"),$I1982))</f>
        <v/>
      </c>
    </row>
    <row r="1983">
      <c r="B1983" s="25" t="n"/>
      <c r="I1983" s="25" t="n"/>
      <c r="U1983" s="19">
        <f>IF(AND($V1983='設定'!$C$4,COUNTIF('商品マスタ'!$B$6:$B$1005,$W1983)=0),N(U1982)+1,N(U1982))</f>
        <v/>
      </c>
      <c r="V1983" s="19">
        <f>IF($B1983="","",TEXT($B1983,"0000"))</f>
        <v/>
      </c>
      <c r="W1983" s="19">
        <f>IF($I1983="","",IF(ISNUMBER($I1983),TEXT($I1983,"0"),$I1983))</f>
        <v/>
      </c>
    </row>
    <row r="1984">
      <c r="B1984" s="25" t="n"/>
      <c r="I1984" s="25" t="n"/>
      <c r="U1984" s="19">
        <f>IF(AND($V1984='設定'!$C$4,COUNTIF('商品マスタ'!$B$6:$B$1005,$W1984)=0),N(U1983)+1,N(U1983))</f>
        <v/>
      </c>
      <c r="V1984" s="19">
        <f>IF($B1984="","",TEXT($B1984,"0000"))</f>
        <v/>
      </c>
      <c r="W1984" s="19">
        <f>IF($I1984="","",IF(ISNUMBER($I1984),TEXT($I1984,"0"),$I1984))</f>
        <v/>
      </c>
    </row>
    <row r="1985">
      <c r="B1985" s="25" t="n"/>
      <c r="I1985" s="25" t="n"/>
      <c r="U1985" s="19">
        <f>IF(AND($V1985='設定'!$C$4,COUNTIF('商品マスタ'!$B$6:$B$1005,$W1985)=0),N(U1984)+1,N(U1984))</f>
        <v/>
      </c>
      <c r="V1985" s="19">
        <f>IF($B1985="","",TEXT($B1985,"0000"))</f>
        <v/>
      </c>
      <c r="W1985" s="19">
        <f>IF($I1985="","",IF(ISNUMBER($I1985),TEXT($I1985,"0"),$I1985))</f>
        <v/>
      </c>
    </row>
    <row r="1986">
      <c r="B1986" s="25" t="n"/>
      <c r="I1986" s="25" t="n"/>
      <c r="U1986" s="19">
        <f>IF(AND($V1986='設定'!$C$4,COUNTIF('商品マスタ'!$B$6:$B$1005,$W1986)=0),N(U1985)+1,N(U1985))</f>
        <v/>
      </c>
      <c r="V1986" s="19">
        <f>IF($B1986="","",TEXT($B1986,"0000"))</f>
        <v/>
      </c>
      <c r="W1986" s="19">
        <f>IF($I1986="","",IF(ISNUMBER($I1986),TEXT($I1986,"0"),$I1986))</f>
        <v/>
      </c>
    </row>
    <row r="1987">
      <c r="B1987" s="25" t="n"/>
      <c r="I1987" s="25" t="n"/>
      <c r="U1987" s="19">
        <f>IF(AND($V1987='設定'!$C$4,COUNTIF('商品マスタ'!$B$6:$B$1005,$W1987)=0),N(U1986)+1,N(U1986))</f>
        <v/>
      </c>
      <c r="V1987" s="19">
        <f>IF($B1987="","",TEXT($B1987,"0000"))</f>
        <v/>
      </c>
      <c r="W1987" s="19">
        <f>IF($I1987="","",IF(ISNUMBER($I1987),TEXT($I1987,"0"),$I1987))</f>
        <v/>
      </c>
    </row>
    <row r="1988">
      <c r="B1988" s="25" t="n"/>
      <c r="I1988" s="25" t="n"/>
      <c r="U1988" s="19">
        <f>IF(AND($V1988='設定'!$C$4,COUNTIF('商品マスタ'!$B$6:$B$1005,$W1988)=0),N(U1987)+1,N(U1987))</f>
        <v/>
      </c>
      <c r="V1988" s="19">
        <f>IF($B1988="","",TEXT($B1988,"0000"))</f>
        <v/>
      </c>
      <c r="W1988" s="19">
        <f>IF($I1988="","",IF(ISNUMBER($I1988),TEXT($I1988,"0"),$I1988))</f>
        <v/>
      </c>
    </row>
    <row r="1989">
      <c r="B1989" s="25" t="n"/>
      <c r="I1989" s="25" t="n"/>
      <c r="U1989" s="19">
        <f>IF(AND($V1989='設定'!$C$4,COUNTIF('商品マスタ'!$B$6:$B$1005,$W1989)=0),N(U1988)+1,N(U1988))</f>
        <v/>
      </c>
      <c r="V1989" s="19">
        <f>IF($B1989="","",TEXT($B1989,"0000"))</f>
        <v/>
      </c>
      <c r="W1989" s="19">
        <f>IF($I1989="","",IF(ISNUMBER($I1989),TEXT($I1989,"0"),$I1989))</f>
        <v/>
      </c>
    </row>
    <row r="1990">
      <c r="B1990" s="25" t="n"/>
      <c r="I1990" s="25" t="n"/>
      <c r="U1990" s="19">
        <f>IF(AND($V1990='設定'!$C$4,COUNTIF('商品マスタ'!$B$6:$B$1005,$W1990)=0),N(U1989)+1,N(U1989))</f>
        <v/>
      </c>
      <c r="V1990" s="19">
        <f>IF($B1990="","",TEXT($B1990,"0000"))</f>
        <v/>
      </c>
      <c r="W1990" s="19">
        <f>IF($I1990="","",IF(ISNUMBER($I1990),TEXT($I1990,"0"),$I1990))</f>
        <v/>
      </c>
    </row>
    <row r="1991">
      <c r="B1991" s="25" t="n"/>
      <c r="I1991" s="25" t="n"/>
      <c r="U1991" s="19">
        <f>IF(AND($V1991='設定'!$C$4,COUNTIF('商品マスタ'!$B$6:$B$1005,$W1991)=0),N(U1990)+1,N(U1990))</f>
        <v/>
      </c>
      <c r="V1991" s="19">
        <f>IF($B1991="","",TEXT($B1991,"0000"))</f>
        <v/>
      </c>
      <c r="W1991" s="19">
        <f>IF($I1991="","",IF(ISNUMBER($I1991),TEXT($I1991,"0"),$I1991))</f>
        <v/>
      </c>
    </row>
    <row r="1992">
      <c r="B1992" s="25" t="n"/>
      <c r="I1992" s="25" t="n"/>
      <c r="U1992" s="19">
        <f>IF(AND($V1992='設定'!$C$4,COUNTIF('商品マスタ'!$B$6:$B$1005,$W1992)=0),N(U1991)+1,N(U1991))</f>
        <v/>
      </c>
      <c r="V1992" s="19">
        <f>IF($B1992="","",TEXT($B1992,"0000"))</f>
        <v/>
      </c>
      <c r="W1992" s="19">
        <f>IF($I1992="","",IF(ISNUMBER($I1992),TEXT($I1992,"0"),$I1992))</f>
        <v/>
      </c>
    </row>
    <row r="1993">
      <c r="B1993" s="25" t="n"/>
      <c r="I1993" s="25" t="n"/>
      <c r="U1993" s="19">
        <f>IF(AND($V1993='設定'!$C$4,COUNTIF('商品マスタ'!$B$6:$B$1005,$W1993)=0),N(U1992)+1,N(U1992))</f>
        <v/>
      </c>
      <c r="V1993" s="19">
        <f>IF($B1993="","",TEXT($B1993,"0000"))</f>
        <v/>
      </c>
      <c r="W1993" s="19">
        <f>IF($I1993="","",IF(ISNUMBER($I1993),TEXT($I1993,"0"),$I1993))</f>
        <v/>
      </c>
    </row>
    <row r="1994">
      <c r="B1994" s="25" t="n"/>
      <c r="I1994" s="25" t="n"/>
      <c r="U1994" s="19">
        <f>IF(AND($V1994='設定'!$C$4,COUNTIF('商品マスタ'!$B$6:$B$1005,$W1994)=0),N(U1993)+1,N(U1993))</f>
        <v/>
      </c>
      <c r="V1994" s="19">
        <f>IF($B1994="","",TEXT($B1994,"0000"))</f>
        <v/>
      </c>
      <c r="W1994" s="19">
        <f>IF($I1994="","",IF(ISNUMBER($I1994),TEXT($I1994,"0"),$I1994))</f>
        <v/>
      </c>
    </row>
    <row r="1995">
      <c r="B1995" s="25" t="n"/>
      <c r="I1995" s="25" t="n"/>
      <c r="U1995" s="19">
        <f>IF(AND($V1995='設定'!$C$4,COUNTIF('商品マスタ'!$B$6:$B$1005,$W1995)=0),N(U1994)+1,N(U1994))</f>
        <v/>
      </c>
      <c r="V1995" s="19">
        <f>IF($B1995="","",TEXT($B1995,"0000"))</f>
        <v/>
      </c>
      <c r="W1995" s="19">
        <f>IF($I1995="","",IF(ISNUMBER($I1995),TEXT($I1995,"0"),$I1995))</f>
        <v/>
      </c>
    </row>
    <row r="1996">
      <c r="B1996" s="25" t="n"/>
      <c r="I1996" s="25" t="n"/>
      <c r="U1996" s="19">
        <f>IF(AND($V1996='設定'!$C$4,COUNTIF('商品マスタ'!$B$6:$B$1005,$W1996)=0),N(U1995)+1,N(U1995))</f>
        <v/>
      </c>
      <c r="V1996" s="19">
        <f>IF($B1996="","",TEXT($B1996,"0000"))</f>
        <v/>
      </c>
      <c r="W1996" s="19">
        <f>IF($I1996="","",IF(ISNUMBER($I1996),TEXT($I1996,"0"),$I1996))</f>
        <v/>
      </c>
    </row>
    <row r="1997">
      <c r="B1997" s="25" t="n"/>
      <c r="I1997" s="25" t="n"/>
      <c r="U1997" s="19">
        <f>IF(AND($V1997='設定'!$C$4,COUNTIF('商品マスタ'!$B$6:$B$1005,$W1997)=0),N(U1996)+1,N(U1996))</f>
        <v/>
      </c>
      <c r="V1997" s="19">
        <f>IF($B1997="","",TEXT($B1997,"0000"))</f>
        <v/>
      </c>
      <c r="W1997" s="19">
        <f>IF($I1997="","",IF(ISNUMBER($I1997),TEXT($I1997,"0"),$I1997))</f>
        <v/>
      </c>
    </row>
    <row r="1998">
      <c r="B1998" s="25" t="n"/>
      <c r="I1998" s="25" t="n"/>
      <c r="U1998" s="19">
        <f>IF(AND($V1998='設定'!$C$4,COUNTIF('商品マスタ'!$B$6:$B$1005,$W1998)=0),N(U1997)+1,N(U1997))</f>
        <v/>
      </c>
      <c r="V1998" s="19">
        <f>IF($B1998="","",TEXT($B1998,"0000"))</f>
        <v/>
      </c>
      <c r="W1998" s="19">
        <f>IF($I1998="","",IF(ISNUMBER($I1998),TEXT($I1998,"0"),$I1998))</f>
        <v/>
      </c>
    </row>
    <row r="1999">
      <c r="B1999" s="25" t="n"/>
      <c r="I1999" s="25" t="n"/>
      <c r="U1999" s="19">
        <f>IF(AND($V1999='設定'!$C$4,COUNTIF('商品マスタ'!$B$6:$B$1005,$W1999)=0),N(U1998)+1,N(U1998))</f>
        <v/>
      </c>
      <c r="V1999" s="19">
        <f>IF($B1999="","",TEXT($B1999,"0000"))</f>
        <v/>
      </c>
      <c r="W1999" s="19">
        <f>IF($I1999="","",IF(ISNUMBER($I1999),TEXT($I1999,"0"),$I1999))</f>
        <v/>
      </c>
    </row>
    <row r="2000">
      <c r="B2000" s="25" t="n"/>
      <c r="I2000" s="25" t="n"/>
      <c r="U2000" s="19">
        <f>IF(AND($V2000='設定'!$C$4,COUNTIF('商品マスタ'!$B$6:$B$1005,$W2000)=0),N(U1999)+1,N(U1999))</f>
        <v/>
      </c>
      <c r="V2000" s="19">
        <f>IF($B2000="","",TEXT($B2000,"0000"))</f>
        <v/>
      </c>
      <c r="W2000" s="19">
        <f>IF($I2000="","",IF(ISNUMBER($I2000),TEXT($I2000,"0"),$I2000))</f>
        <v/>
      </c>
    </row>
    <row r="2001">
      <c r="B2001" s="25" t="n"/>
      <c r="I2001" s="25" t="n"/>
      <c r="U2001" s="19">
        <f>IF(AND($V2001='設定'!$C$4,COUNTIF('商品マスタ'!$B$6:$B$1005,$W2001)=0),N(U2000)+1,N(U2000))</f>
        <v/>
      </c>
      <c r="V2001" s="19">
        <f>IF($B2001="","",TEXT($B2001,"0000"))</f>
        <v/>
      </c>
      <c r="W2001" s="19">
        <f>IF($I2001="","",IF(ISNUMBER($I2001),TEXT($I2001,"0"),$I2001))</f>
        <v/>
      </c>
    </row>
    <row r="2002">
      <c r="B2002" s="25" t="n"/>
      <c r="I2002" s="25" t="n"/>
      <c r="U2002" s="19">
        <f>IF(AND($V2002='設定'!$C$4,COUNTIF('商品マスタ'!$B$6:$B$1005,$W2002)=0),N(U2001)+1,N(U2001))</f>
        <v/>
      </c>
      <c r="V2002" s="19">
        <f>IF($B2002="","",TEXT($B2002,"0000"))</f>
        <v/>
      </c>
      <c r="W2002" s="19">
        <f>IF($I2002="","",IF(ISNUMBER($I2002),TEXT($I2002,"0"),$I2002))</f>
        <v/>
      </c>
    </row>
    <row r="2003">
      <c r="B2003" s="25" t="n"/>
      <c r="I2003" s="25" t="n"/>
      <c r="U2003" s="19">
        <f>IF(AND($V2003='設定'!$C$4,COUNTIF('商品マスタ'!$B$6:$B$1005,$W2003)=0),N(U2002)+1,N(U2002))</f>
        <v/>
      </c>
      <c r="V2003" s="19">
        <f>IF($B2003="","",TEXT($B2003,"0000"))</f>
        <v/>
      </c>
      <c r="W2003" s="19">
        <f>IF($I2003="","",IF(ISNUMBER($I2003),TEXT($I2003,"0"),$I2003))</f>
        <v/>
      </c>
    </row>
    <row r="2004">
      <c r="B2004" s="25" t="n"/>
      <c r="I2004" s="25" t="n"/>
      <c r="U2004" s="19">
        <f>IF(AND($V2004='設定'!$C$4,COUNTIF('商品マスタ'!$B$6:$B$1005,$W2004)=0),N(U2003)+1,N(U2003))</f>
        <v/>
      </c>
      <c r="V2004" s="19">
        <f>IF($B2004="","",TEXT($B2004,"0000"))</f>
        <v/>
      </c>
      <c r="W2004" s="19">
        <f>IF($I2004="","",IF(ISNUMBER($I2004),TEXT($I2004,"0"),$I2004))</f>
        <v/>
      </c>
    </row>
    <row r="2005">
      <c r="B2005" s="25" t="n"/>
      <c r="I2005" s="25" t="n"/>
      <c r="U2005" s="19">
        <f>IF(AND($V2005='設定'!$C$4,COUNTIF('商品マスタ'!$B$6:$B$1005,$W2005)=0),N(U2004)+1,N(U2004))</f>
        <v/>
      </c>
      <c r="V2005" s="19">
        <f>IF($B2005="","",TEXT($B2005,"0000"))</f>
        <v/>
      </c>
      <c r="W2005" s="19">
        <f>IF($I2005="","",IF(ISNUMBER($I2005),TEXT($I2005,"0"),$I2005))</f>
        <v/>
      </c>
    </row>
    <row r="2006">
      <c r="B2006" s="25" t="n"/>
      <c r="I2006" s="25" t="n"/>
      <c r="U2006" s="19">
        <f>IF(AND($V2006='設定'!$C$4,COUNTIF('商品マスタ'!$B$6:$B$1005,$W2006)=0),N(U2005)+1,N(U2005))</f>
        <v/>
      </c>
      <c r="V2006" s="19">
        <f>IF($B2006="","",TEXT($B2006,"0000"))</f>
        <v/>
      </c>
      <c r="W2006" s="19">
        <f>IF($I2006="","",IF(ISNUMBER($I2006),TEXT($I2006,"0"),$I2006))</f>
        <v/>
      </c>
    </row>
    <row r="2007">
      <c r="B2007" s="25" t="n"/>
      <c r="I2007" s="25" t="n"/>
      <c r="U2007" s="19">
        <f>IF(AND($V2007='設定'!$C$4,COUNTIF('商品マスタ'!$B$6:$B$1005,$W2007)=0),N(U2006)+1,N(U2006))</f>
        <v/>
      </c>
      <c r="V2007" s="19">
        <f>IF($B2007="","",TEXT($B2007,"0000"))</f>
        <v/>
      </c>
      <c r="W2007" s="19">
        <f>IF($I2007="","",IF(ISNUMBER($I2007),TEXT($I2007,"0"),$I2007))</f>
        <v/>
      </c>
    </row>
    <row r="2008">
      <c r="B2008" s="25" t="n"/>
      <c r="I2008" s="25" t="n"/>
      <c r="U2008" s="19">
        <f>IF(AND($V2008='設定'!$C$4,COUNTIF('商品マスタ'!$B$6:$B$1005,$W2008)=0),N(U2007)+1,N(U2007))</f>
        <v/>
      </c>
      <c r="V2008" s="19">
        <f>IF($B2008="","",TEXT($B2008,"0000"))</f>
        <v/>
      </c>
      <c r="W2008" s="19">
        <f>IF($I2008="","",IF(ISNUMBER($I2008),TEXT($I2008,"0"),$I2008))</f>
        <v/>
      </c>
    </row>
    <row r="2009">
      <c r="B2009" s="25" t="n"/>
      <c r="I2009" s="25" t="n"/>
      <c r="U2009" s="19">
        <f>IF(AND($V2009='設定'!$C$4,COUNTIF('商品マスタ'!$B$6:$B$1005,$W2009)=0),N(U2008)+1,N(U2008))</f>
        <v/>
      </c>
      <c r="V2009" s="19">
        <f>IF($B2009="","",TEXT($B2009,"0000"))</f>
        <v/>
      </c>
      <c r="W2009" s="19">
        <f>IF($I2009="","",IF(ISNUMBER($I2009),TEXT($I2009,"0"),$I2009))</f>
        <v/>
      </c>
    </row>
    <row r="2010">
      <c r="B2010" s="25" t="n"/>
      <c r="I2010" s="25" t="n"/>
      <c r="U2010" s="19">
        <f>IF(AND($V2010='設定'!$C$4,COUNTIF('商品マスタ'!$B$6:$B$1005,$W2010)=0),N(U2009)+1,N(U2009))</f>
        <v/>
      </c>
      <c r="V2010" s="19">
        <f>IF($B2010="","",TEXT($B2010,"0000"))</f>
        <v/>
      </c>
      <c r="W2010" s="19">
        <f>IF($I2010="","",IF(ISNUMBER($I2010),TEXT($I2010,"0"),$I2010))</f>
        <v/>
      </c>
    </row>
    <row r="2011">
      <c r="B2011" s="25" t="n"/>
      <c r="I2011" s="25" t="n"/>
      <c r="U2011" s="19">
        <f>IF(AND($V2011='設定'!$C$4,COUNTIF('商品マスタ'!$B$6:$B$1005,$W2011)=0),N(U2010)+1,N(U2010))</f>
        <v/>
      </c>
      <c r="V2011" s="19">
        <f>IF($B2011="","",TEXT($B2011,"0000"))</f>
        <v/>
      </c>
      <c r="W2011" s="19">
        <f>IF($I2011="","",IF(ISNUMBER($I2011),TEXT($I2011,"0"),$I2011))</f>
        <v/>
      </c>
    </row>
    <row r="2012">
      <c r="B2012" s="25" t="n"/>
      <c r="I2012" s="25" t="n"/>
      <c r="U2012" s="19">
        <f>IF(AND($V2012='設定'!$C$4,COUNTIF('商品マスタ'!$B$6:$B$1005,$W2012)=0),N(U2011)+1,N(U2011))</f>
        <v/>
      </c>
      <c r="V2012" s="19">
        <f>IF($B2012="","",TEXT($B2012,"0000"))</f>
        <v/>
      </c>
      <c r="W2012" s="19">
        <f>IF($I2012="","",IF(ISNUMBER($I2012),TEXT($I2012,"0"),$I2012))</f>
        <v/>
      </c>
    </row>
    <row r="2013">
      <c r="B2013" s="25" t="n"/>
      <c r="I2013" s="25" t="n"/>
      <c r="U2013" s="19">
        <f>IF(AND($V2013='設定'!$C$4,COUNTIF('商品マスタ'!$B$6:$B$1005,$W2013)=0),N(U2012)+1,N(U2012))</f>
        <v/>
      </c>
      <c r="V2013" s="19">
        <f>IF($B2013="","",TEXT($B2013,"0000"))</f>
        <v/>
      </c>
      <c r="W2013" s="19">
        <f>IF($I2013="","",IF(ISNUMBER($I2013),TEXT($I2013,"0"),$I2013))</f>
        <v/>
      </c>
    </row>
    <row r="2014">
      <c r="B2014" s="25" t="n"/>
      <c r="I2014" s="25" t="n"/>
      <c r="U2014" s="19">
        <f>IF(AND($V2014='設定'!$C$4,COUNTIF('商品マスタ'!$B$6:$B$1005,$W2014)=0),N(U2013)+1,N(U2013))</f>
        <v/>
      </c>
      <c r="V2014" s="19">
        <f>IF($B2014="","",TEXT($B2014,"0000"))</f>
        <v/>
      </c>
      <c r="W2014" s="19">
        <f>IF($I2014="","",IF(ISNUMBER($I2014),TEXT($I2014,"0"),$I2014))</f>
        <v/>
      </c>
    </row>
    <row r="2015">
      <c r="B2015" s="25" t="n"/>
      <c r="I2015" s="25" t="n"/>
      <c r="U2015" s="19">
        <f>IF(AND($V2015='設定'!$C$4,COUNTIF('商品マスタ'!$B$6:$B$1005,$W2015)=0),N(U2014)+1,N(U2014))</f>
        <v/>
      </c>
      <c r="V2015" s="19">
        <f>IF($B2015="","",TEXT($B2015,"0000"))</f>
        <v/>
      </c>
      <c r="W2015" s="19">
        <f>IF($I2015="","",IF(ISNUMBER($I2015),TEXT($I2015,"0"),$I2015))</f>
        <v/>
      </c>
    </row>
    <row r="2016">
      <c r="B2016" s="25" t="n"/>
      <c r="I2016" s="25" t="n"/>
      <c r="U2016" s="19">
        <f>IF(AND($V2016='設定'!$C$4,COUNTIF('商品マスタ'!$B$6:$B$1005,$W2016)=0),N(U2015)+1,N(U2015))</f>
        <v/>
      </c>
      <c r="V2016" s="19">
        <f>IF($B2016="","",TEXT($B2016,"0000"))</f>
        <v/>
      </c>
      <c r="W2016" s="19">
        <f>IF($I2016="","",IF(ISNUMBER($I2016),TEXT($I2016,"0"),$I2016))</f>
        <v/>
      </c>
    </row>
    <row r="2017">
      <c r="B2017" s="25" t="n"/>
      <c r="I2017" s="25" t="n"/>
      <c r="U2017" s="19">
        <f>IF(AND($V2017='設定'!$C$4,COUNTIF('商品マスタ'!$B$6:$B$1005,$W2017)=0),N(U2016)+1,N(U2016))</f>
        <v/>
      </c>
      <c r="V2017" s="19">
        <f>IF($B2017="","",TEXT($B2017,"0000"))</f>
        <v/>
      </c>
      <c r="W2017" s="19">
        <f>IF($I2017="","",IF(ISNUMBER($I2017),TEXT($I2017,"0"),$I2017))</f>
        <v/>
      </c>
    </row>
    <row r="2018">
      <c r="B2018" s="25" t="n"/>
      <c r="I2018" s="25" t="n"/>
      <c r="U2018" s="19">
        <f>IF(AND($V2018='設定'!$C$4,COUNTIF('商品マスタ'!$B$6:$B$1005,$W2018)=0),N(U2017)+1,N(U2017))</f>
        <v/>
      </c>
      <c r="V2018" s="19">
        <f>IF($B2018="","",TEXT($B2018,"0000"))</f>
        <v/>
      </c>
      <c r="W2018" s="19">
        <f>IF($I2018="","",IF(ISNUMBER($I2018),TEXT($I2018,"0"),$I2018))</f>
        <v/>
      </c>
    </row>
    <row r="2019">
      <c r="B2019" s="25" t="n"/>
      <c r="I2019" s="25" t="n"/>
      <c r="U2019" s="19">
        <f>IF(AND($V2019='設定'!$C$4,COUNTIF('商品マスタ'!$B$6:$B$1005,$W2019)=0),N(U2018)+1,N(U2018))</f>
        <v/>
      </c>
      <c r="V2019" s="19">
        <f>IF($B2019="","",TEXT($B2019,"0000"))</f>
        <v/>
      </c>
      <c r="W2019" s="19">
        <f>IF($I2019="","",IF(ISNUMBER($I2019),TEXT($I2019,"0"),$I2019))</f>
        <v/>
      </c>
    </row>
    <row r="2020">
      <c r="B2020" s="25" t="n"/>
      <c r="I2020" s="25" t="n"/>
      <c r="U2020" s="19">
        <f>IF(AND($V2020='設定'!$C$4,COUNTIF('商品マスタ'!$B$6:$B$1005,$W2020)=0),N(U2019)+1,N(U2019))</f>
        <v/>
      </c>
      <c r="V2020" s="19">
        <f>IF($B2020="","",TEXT($B2020,"0000"))</f>
        <v/>
      </c>
      <c r="W2020" s="19">
        <f>IF($I2020="","",IF(ISNUMBER($I2020),TEXT($I2020,"0"),$I2020))</f>
        <v/>
      </c>
    </row>
    <row r="2021">
      <c r="B2021" s="25" t="n"/>
      <c r="I2021" s="25" t="n"/>
      <c r="U2021" s="19">
        <f>IF(AND($V2021='設定'!$C$4,COUNTIF('商品マスタ'!$B$6:$B$1005,$W2021)=0),N(U2020)+1,N(U2020))</f>
        <v/>
      </c>
      <c r="V2021" s="19">
        <f>IF($B2021="","",TEXT($B2021,"0000"))</f>
        <v/>
      </c>
      <c r="W2021" s="19">
        <f>IF($I2021="","",IF(ISNUMBER($I2021),TEXT($I2021,"0"),$I2021))</f>
        <v/>
      </c>
    </row>
    <row r="2022">
      <c r="B2022" s="25" t="n"/>
      <c r="I2022" s="25" t="n"/>
      <c r="U2022" s="19">
        <f>IF(AND($V2022='設定'!$C$4,COUNTIF('商品マスタ'!$B$6:$B$1005,$W2022)=0),N(U2021)+1,N(U2021))</f>
        <v/>
      </c>
      <c r="V2022" s="19">
        <f>IF($B2022="","",TEXT($B2022,"0000"))</f>
        <v/>
      </c>
      <c r="W2022" s="19">
        <f>IF($I2022="","",IF(ISNUMBER($I2022),TEXT($I2022,"0"),$I2022))</f>
        <v/>
      </c>
    </row>
    <row r="2023">
      <c r="B2023" s="25" t="n"/>
      <c r="I2023" s="25" t="n"/>
      <c r="U2023" s="19">
        <f>IF(AND($V2023='設定'!$C$4,COUNTIF('商品マスタ'!$B$6:$B$1005,$W2023)=0),N(U2022)+1,N(U2022))</f>
        <v/>
      </c>
      <c r="V2023" s="19">
        <f>IF($B2023="","",TEXT($B2023,"0000"))</f>
        <v/>
      </c>
      <c r="W2023" s="19">
        <f>IF($I2023="","",IF(ISNUMBER($I2023),TEXT($I2023,"0"),$I2023))</f>
        <v/>
      </c>
    </row>
    <row r="2024">
      <c r="B2024" s="25" t="n"/>
      <c r="I2024" s="25" t="n"/>
      <c r="U2024" s="19">
        <f>IF(AND($V2024='設定'!$C$4,COUNTIF('商品マスタ'!$B$6:$B$1005,$W2024)=0),N(U2023)+1,N(U2023))</f>
        <v/>
      </c>
      <c r="V2024" s="19">
        <f>IF($B2024="","",TEXT($B2024,"0000"))</f>
        <v/>
      </c>
      <c r="W2024" s="19">
        <f>IF($I2024="","",IF(ISNUMBER($I2024),TEXT($I2024,"0"),$I2024))</f>
        <v/>
      </c>
    </row>
    <row r="2025">
      <c r="B2025" s="25" t="n"/>
      <c r="I2025" s="25" t="n"/>
      <c r="U2025" s="19">
        <f>IF(AND($V2025='設定'!$C$4,COUNTIF('商品マスタ'!$B$6:$B$1005,$W2025)=0),N(U2024)+1,N(U2024))</f>
        <v/>
      </c>
      <c r="V2025" s="19">
        <f>IF($B2025="","",TEXT($B2025,"0000"))</f>
        <v/>
      </c>
      <c r="W2025" s="19">
        <f>IF($I2025="","",IF(ISNUMBER($I2025),TEXT($I2025,"0"),$I2025))</f>
        <v/>
      </c>
    </row>
    <row r="2026">
      <c r="B2026" s="25" t="n"/>
      <c r="I2026" s="25" t="n"/>
      <c r="U2026" s="19">
        <f>IF(AND($V2026='設定'!$C$4,COUNTIF('商品マスタ'!$B$6:$B$1005,$W2026)=0),N(U2025)+1,N(U2025))</f>
        <v/>
      </c>
      <c r="V2026" s="19">
        <f>IF($B2026="","",TEXT($B2026,"0000"))</f>
        <v/>
      </c>
      <c r="W2026" s="19">
        <f>IF($I2026="","",IF(ISNUMBER($I2026),TEXT($I2026,"0"),$I2026))</f>
        <v/>
      </c>
    </row>
    <row r="2027">
      <c r="B2027" s="25" t="n"/>
      <c r="I2027" s="25" t="n"/>
      <c r="U2027" s="19">
        <f>IF(AND($V2027='設定'!$C$4,COUNTIF('商品マスタ'!$B$6:$B$1005,$W2027)=0),N(U2026)+1,N(U2026))</f>
        <v/>
      </c>
      <c r="V2027" s="19">
        <f>IF($B2027="","",TEXT($B2027,"0000"))</f>
        <v/>
      </c>
      <c r="W2027" s="19">
        <f>IF($I2027="","",IF(ISNUMBER($I2027),TEXT($I2027,"0"),$I2027))</f>
        <v/>
      </c>
    </row>
    <row r="2028">
      <c r="B2028" s="25" t="n"/>
      <c r="I2028" s="25" t="n"/>
      <c r="U2028" s="19">
        <f>IF(AND($V2028='設定'!$C$4,COUNTIF('商品マスタ'!$B$6:$B$1005,$W2028)=0),N(U2027)+1,N(U2027))</f>
        <v/>
      </c>
      <c r="V2028" s="19">
        <f>IF($B2028="","",TEXT($B2028,"0000"))</f>
        <v/>
      </c>
      <c r="W2028" s="19">
        <f>IF($I2028="","",IF(ISNUMBER($I2028),TEXT($I2028,"0"),$I2028))</f>
        <v/>
      </c>
    </row>
    <row r="2029">
      <c r="B2029" s="25" t="n"/>
      <c r="I2029" s="25" t="n"/>
      <c r="U2029" s="19">
        <f>IF(AND($V2029='設定'!$C$4,COUNTIF('商品マスタ'!$B$6:$B$1005,$W2029)=0),N(U2028)+1,N(U2028))</f>
        <v/>
      </c>
      <c r="V2029" s="19">
        <f>IF($B2029="","",TEXT($B2029,"0000"))</f>
        <v/>
      </c>
      <c r="W2029" s="19">
        <f>IF($I2029="","",IF(ISNUMBER($I2029),TEXT($I2029,"0"),$I2029))</f>
        <v/>
      </c>
    </row>
    <row r="2030">
      <c r="B2030" s="25" t="n"/>
      <c r="I2030" s="25" t="n"/>
      <c r="U2030" s="19">
        <f>IF(AND($V2030='設定'!$C$4,COUNTIF('商品マスタ'!$B$6:$B$1005,$W2030)=0),N(U2029)+1,N(U2029))</f>
        <v/>
      </c>
      <c r="V2030" s="19">
        <f>IF($B2030="","",TEXT($B2030,"0000"))</f>
        <v/>
      </c>
      <c r="W2030" s="19">
        <f>IF($I2030="","",IF(ISNUMBER($I2030),TEXT($I2030,"0"),$I2030))</f>
        <v/>
      </c>
    </row>
    <row r="2031">
      <c r="B2031" s="25" t="n"/>
      <c r="I2031" s="25" t="n"/>
      <c r="U2031" s="19">
        <f>IF(AND($V2031='設定'!$C$4,COUNTIF('商品マスタ'!$B$6:$B$1005,$W2031)=0),N(U2030)+1,N(U2030))</f>
        <v/>
      </c>
      <c r="V2031" s="19">
        <f>IF($B2031="","",TEXT($B2031,"0000"))</f>
        <v/>
      </c>
      <c r="W2031" s="19">
        <f>IF($I2031="","",IF(ISNUMBER($I2031),TEXT($I2031,"0"),$I2031))</f>
        <v/>
      </c>
    </row>
    <row r="2032">
      <c r="B2032" s="25" t="n"/>
      <c r="I2032" s="25" t="n"/>
      <c r="U2032" s="19">
        <f>IF(AND($V2032='設定'!$C$4,COUNTIF('商品マスタ'!$B$6:$B$1005,$W2032)=0),N(U2031)+1,N(U2031))</f>
        <v/>
      </c>
      <c r="V2032" s="19">
        <f>IF($B2032="","",TEXT($B2032,"0000"))</f>
        <v/>
      </c>
      <c r="W2032" s="19">
        <f>IF($I2032="","",IF(ISNUMBER($I2032),TEXT($I2032,"0"),$I2032))</f>
        <v/>
      </c>
    </row>
    <row r="2033">
      <c r="B2033" s="25" t="n"/>
      <c r="I2033" s="25" t="n"/>
      <c r="U2033" s="19">
        <f>IF(AND($V2033='設定'!$C$4,COUNTIF('商品マスタ'!$B$6:$B$1005,$W2033)=0),N(U2032)+1,N(U2032))</f>
        <v/>
      </c>
      <c r="V2033" s="19">
        <f>IF($B2033="","",TEXT($B2033,"0000"))</f>
        <v/>
      </c>
      <c r="W2033" s="19">
        <f>IF($I2033="","",IF(ISNUMBER($I2033),TEXT($I2033,"0"),$I2033))</f>
        <v/>
      </c>
    </row>
    <row r="2034">
      <c r="B2034" s="25" t="n"/>
      <c r="I2034" s="25" t="n"/>
      <c r="U2034" s="19">
        <f>IF(AND($V2034='設定'!$C$4,COUNTIF('商品マスタ'!$B$6:$B$1005,$W2034)=0),N(U2033)+1,N(U2033))</f>
        <v/>
      </c>
      <c r="V2034" s="19">
        <f>IF($B2034="","",TEXT($B2034,"0000"))</f>
        <v/>
      </c>
      <c r="W2034" s="19">
        <f>IF($I2034="","",IF(ISNUMBER($I2034),TEXT($I2034,"0"),$I2034))</f>
        <v/>
      </c>
    </row>
    <row r="2035">
      <c r="B2035" s="25" t="n"/>
      <c r="I2035" s="25" t="n"/>
      <c r="U2035" s="19">
        <f>IF(AND($V2035='設定'!$C$4,COUNTIF('商品マスタ'!$B$6:$B$1005,$W2035)=0),N(U2034)+1,N(U2034))</f>
        <v/>
      </c>
      <c r="V2035" s="19">
        <f>IF($B2035="","",TEXT($B2035,"0000"))</f>
        <v/>
      </c>
      <c r="W2035" s="19">
        <f>IF($I2035="","",IF(ISNUMBER($I2035),TEXT($I2035,"0"),$I2035))</f>
        <v/>
      </c>
    </row>
    <row r="2036">
      <c r="B2036" s="25" t="n"/>
      <c r="I2036" s="25" t="n"/>
      <c r="U2036" s="19">
        <f>IF(AND($V2036='設定'!$C$4,COUNTIF('商品マスタ'!$B$6:$B$1005,$W2036)=0),N(U2035)+1,N(U2035))</f>
        <v/>
      </c>
      <c r="V2036" s="19">
        <f>IF($B2036="","",TEXT($B2036,"0000"))</f>
        <v/>
      </c>
      <c r="W2036" s="19">
        <f>IF($I2036="","",IF(ISNUMBER($I2036),TEXT($I2036,"0"),$I2036))</f>
        <v/>
      </c>
    </row>
    <row r="2037">
      <c r="B2037" s="25" t="n"/>
      <c r="I2037" s="25" t="n"/>
      <c r="U2037" s="19">
        <f>IF(AND($V2037='設定'!$C$4,COUNTIF('商品マスタ'!$B$6:$B$1005,$W2037)=0),N(U2036)+1,N(U2036))</f>
        <v/>
      </c>
      <c r="V2037" s="19">
        <f>IF($B2037="","",TEXT($B2037,"0000"))</f>
        <v/>
      </c>
      <c r="W2037" s="19">
        <f>IF($I2037="","",IF(ISNUMBER($I2037),TEXT($I2037,"0"),$I2037))</f>
        <v/>
      </c>
    </row>
    <row r="2038">
      <c r="B2038" s="25" t="n"/>
      <c r="I2038" s="25" t="n"/>
      <c r="U2038" s="19">
        <f>IF(AND($V2038='設定'!$C$4,COUNTIF('商品マスタ'!$B$6:$B$1005,$W2038)=0),N(U2037)+1,N(U2037))</f>
        <v/>
      </c>
      <c r="V2038" s="19">
        <f>IF($B2038="","",TEXT($B2038,"0000"))</f>
        <v/>
      </c>
      <c r="W2038" s="19">
        <f>IF($I2038="","",IF(ISNUMBER($I2038),TEXT($I2038,"0"),$I2038))</f>
        <v/>
      </c>
    </row>
    <row r="2039">
      <c r="B2039" s="25" t="n"/>
      <c r="I2039" s="25" t="n"/>
      <c r="U2039" s="19">
        <f>IF(AND($V2039='設定'!$C$4,COUNTIF('商品マスタ'!$B$6:$B$1005,$W2039)=0),N(U2038)+1,N(U2038))</f>
        <v/>
      </c>
      <c r="V2039" s="19">
        <f>IF($B2039="","",TEXT($B2039,"0000"))</f>
        <v/>
      </c>
      <c r="W2039" s="19">
        <f>IF($I2039="","",IF(ISNUMBER($I2039),TEXT($I2039,"0"),$I2039))</f>
        <v/>
      </c>
    </row>
    <row r="2040">
      <c r="B2040" s="25" t="n"/>
      <c r="I2040" s="25" t="n"/>
      <c r="U2040" s="19">
        <f>IF(AND($V2040='設定'!$C$4,COUNTIF('商品マスタ'!$B$6:$B$1005,$W2040)=0),N(U2039)+1,N(U2039))</f>
        <v/>
      </c>
      <c r="V2040" s="19">
        <f>IF($B2040="","",TEXT($B2040,"0000"))</f>
        <v/>
      </c>
      <c r="W2040" s="19">
        <f>IF($I2040="","",IF(ISNUMBER($I2040),TEXT($I2040,"0"),$I2040))</f>
        <v/>
      </c>
    </row>
    <row r="2041">
      <c r="B2041" s="25" t="n"/>
      <c r="I2041" s="25" t="n"/>
      <c r="U2041" s="19">
        <f>IF(AND($V2041='設定'!$C$4,COUNTIF('商品マスタ'!$B$6:$B$1005,$W2041)=0),N(U2040)+1,N(U2040))</f>
        <v/>
      </c>
      <c r="V2041" s="19">
        <f>IF($B2041="","",TEXT($B2041,"0000"))</f>
        <v/>
      </c>
      <c r="W2041" s="19">
        <f>IF($I2041="","",IF(ISNUMBER($I2041),TEXT($I2041,"0"),$I2041))</f>
        <v/>
      </c>
    </row>
    <row r="2042">
      <c r="B2042" s="25" t="n"/>
      <c r="I2042" s="25" t="n"/>
      <c r="U2042" s="19">
        <f>IF(AND($V2042='設定'!$C$4,COUNTIF('商品マスタ'!$B$6:$B$1005,$W2042)=0),N(U2041)+1,N(U2041))</f>
        <v/>
      </c>
      <c r="V2042" s="19">
        <f>IF($B2042="","",TEXT($B2042,"0000"))</f>
        <v/>
      </c>
      <c r="W2042" s="19">
        <f>IF($I2042="","",IF(ISNUMBER($I2042),TEXT($I2042,"0"),$I2042))</f>
        <v/>
      </c>
    </row>
    <row r="2043">
      <c r="B2043" s="25" t="n"/>
      <c r="I2043" s="25" t="n"/>
      <c r="U2043" s="19">
        <f>IF(AND($V2043='設定'!$C$4,COUNTIF('商品マスタ'!$B$6:$B$1005,$W2043)=0),N(U2042)+1,N(U2042))</f>
        <v/>
      </c>
      <c r="V2043" s="19">
        <f>IF($B2043="","",TEXT($B2043,"0000"))</f>
        <v/>
      </c>
      <c r="W2043" s="19">
        <f>IF($I2043="","",IF(ISNUMBER($I2043),TEXT($I2043,"0"),$I2043))</f>
        <v/>
      </c>
    </row>
    <row r="2044">
      <c r="B2044" s="25" t="n"/>
      <c r="I2044" s="25" t="n"/>
      <c r="U2044" s="19">
        <f>IF(AND($V2044='設定'!$C$4,COUNTIF('商品マスタ'!$B$6:$B$1005,$W2044)=0),N(U2043)+1,N(U2043))</f>
        <v/>
      </c>
      <c r="V2044" s="19">
        <f>IF($B2044="","",TEXT($B2044,"0000"))</f>
        <v/>
      </c>
      <c r="W2044" s="19">
        <f>IF($I2044="","",IF(ISNUMBER($I2044),TEXT($I2044,"0"),$I2044))</f>
        <v/>
      </c>
    </row>
    <row r="2045">
      <c r="B2045" s="25" t="n"/>
      <c r="I2045" s="25" t="n"/>
      <c r="U2045" s="19">
        <f>IF(AND($V2045='設定'!$C$4,COUNTIF('商品マスタ'!$B$6:$B$1005,$W2045)=0),N(U2044)+1,N(U2044))</f>
        <v/>
      </c>
      <c r="V2045" s="19">
        <f>IF($B2045="","",TEXT($B2045,"0000"))</f>
        <v/>
      </c>
      <c r="W2045" s="19">
        <f>IF($I2045="","",IF(ISNUMBER($I2045),TEXT($I2045,"0"),$I2045))</f>
        <v/>
      </c>
    </row>
    <row r="2046">
      <c r="B2046" s="25" t="n"/>
      <c r="I2046" s="25" t="n"/>
      <c r="U2046" s="19">
        <f>IF(AND($V2046='設定'!$C$4,COUNTIF('商品マスタ'!$B$6:$B$1005,$W2046)=0),N(U2045)+1,N(U2045))</f>
        <v/>
      </c>
      <c r="V2046" s="19">
        <f>IF($B2046="","",TEXT($B2046,"0000"))</f>
        <v/>
      </c>
      <c r="W2046" s="19">
        <f>IF($I2046="","",IF(ISNUMBER($I2046),TEXT($I2046,"0"),$I2046))</f>
        <v/>
      </c>
    </row>
    <row r="2047">
      <c r="B2047" s="25" t="n"/>
      <c r="I2047" s="25" t="n"/>
      <c r="U2047" s="19">
        <f>IF(AND($V2047='設定'!$C$4,COUNTIF('商品マスタ'!$B$6:$B$1005,$W2047)=0),N(U2046)+1,N(U2046))</f>
        <v/>
      </c>
      <c r="V2047" s="19">
        <f>IF($B2047="","",TEXT($B2047,"0000"))</f>
        <v/>
      </c>
      <c r="W2047" s="19">
        <f>IF($I2047="","",IF(ISNUMBER($I2047),TEXT($I2047,"0"),$I2047))</f>
        <v/>
      </c>
    </row>
    <row r="2048">
      <c r="B2048" s="25" t="n"/>
      <c r="I2048" s="25" t="n"/>
      <c r="U2048" s="19">
        <f>IF(AND($V2048='設定'!$C$4,COUNTIF('商品マスタ'!$B$6:$B$1005,$W2048)=0),N(U2047)+1,N(U2047))</f>
        <v/>
      </c>
      <c r="V2048" s="19">
        <f>IF($B2048="","",TEXT($B2048,"0000"))</f>
        <v/>
      </c>
      <c r="W2048" s="19">
        <f>IF($I2048="","",IF(ISNUMBER($I2048),TEXT($I2048,"0"),$I2048))</f>
        <v/>
      </c>
    </row>
    <row r="2049">
      <c r="B2049" s="25" t="n"/>
      <c r="I2049" s="25" t="n"/>
      <c r="U2049" s="19">
        <f>IF(AND($V2049='設定'!$C$4,COUNTIF('商品マスタ'!$B$6:$B$1005,$W2049)=0),N(U2048)+1,N(U2048))</f>
        <v/>
      </c>
      <c r="V2049" s="19">
        <f>IF($B2049="","",TEXT($B2049,"0000"))</f>
        <v/>
      </c>
      <c r="W2049" s="19">
        <f>IF($I2049="","",IF(ISNUMBER($I2049),TEXT($I2049,"0"),$I2049))</f>
        <v/>
      </c>
    </row>
    <row r="2050">
      <c r="B2050" s="25" t="n"/>
      <c r="I2050" s="25" t="n"/>
      <c r="U2050" s="19">
        <f>IF(AND($V2050='設定'!$C$4,COUNTIF('商品マスタ'!$B$6:$B$1005,$W2050)=0),N(U2049)+1,N(U2049))</f>
        <v/>
      </c>
      <c r="V2050" s="19">
        <f>IF($B2050="","",TEXT($B2050,"0000"))</f>
        <v/>
      </c>
      <c r="W2050" s="19">
        <f>IF($I2050="","",IF(ISNUMBER($I2050),TEXT($I2050,"0"),$I2050))</f>
        <v/>
      </c>
    </row>
    <row r="2051">
      <c r="B2051" s="25" t="n"/>
      <c r="I2051" s="25" t="n"/>
      <c r="U2051" s="19">
        <f>IF(AND($V2051='設定'!$C$4,COUNTIF('商品マスタ'!$B$6:$B$1005,$W2051)=0),N(U2050)+1,N(U2050))</f>
        <v/>
      </c>
      <c r="V2051" s="19">
        <f>IF($B2051="","",TEXT($B2051,"0000"))</f>
        <v/>
      </c>
      <c r="W2051" s="19">
        <f>IF($I2051="","",IF(ISNUMBER($I2051),TEXT($I2051,"0"),$I2051))</f>
        <v/>
      </c>
    </row>
    <row r="2052">
      <c r="B2052" s="25" t="n"/>
      <c r="I2052" s="25" t="n"/>
      <c r="U2052" s="19">
        <f>IF(AND($V2052='設定'!$C$4,COUNTIF('商品マスタ'!$B$6:$B$1005,$W2052)=0),N(U2051)+1,N(U2051))</f>
        <v/>
      </c>
      <c r="V2052" s="19">
        <f>IF($B2052="","",TEXT($B2052,"0000"))</f>
        <v/>
      </c>
      <c r="W2052" s="19">
        <f>IF($I2052="","",IF(ISNUMBER($I2052),TEXT($I2052,"0"),$I2052))</f>
        <v/>
      </c>
    </row>
    <row r="2053">
      <c r="B2053" s="25" t="n"/>
      <c r="I2053" s="25" t="n"/>
      <c r="U2053" s="19">
        <f>IF(AND($V2053='設定'!$C$4,COUNTIF('商品マスタ'!$B$6:$B$1005,$W2053)=0),N(U2052)+1,N(U2052))</f>
        <v/>
      </c>
      <c r="V2053" s="19">
        <f>IF($B2053="","",TEXT($B2053,"0000"))</f>
        <v/>
      </c>
      <c r="W2053" s="19">
        <f>IF($I2053="","",IF(ISNUMBER($I2053),TEXT($I2053,"0"),$I2053))</f>
        <v/>
      </c>
    </row>
    <row r="2054">
      <c r="B2054" s="25" t="n"/>
      <c r="I2054" s="25" t="n"/>
      <c r="U2054" s="19">
        <f>IF(AND($V2054='設定'!$C$4,COUNTIF('商品マスタ'!$B$6:$B$1005,$W2054)=0),N(U2053)+1,N(U2053))</f>
        <v/>
      </c>
      <c r="V2054" s="19">
        <f>IF($B2054="","",TEXT($B2054,"0000"))</f>
        <v/>
      </c>
      <c r="W2054" s="19">
        <f>IF($I2054="","",IF(ISNUMBER($I2054),TEXT($I2054,"0"),$I2054))</f>
        <v/>
      </c>
    </row>
    <row r="2055">
      <c r="B2055" s="25" t="n"/>
      <c r="I2055" s="25" t="n"/>
      <c r="U2055" s="19">
        <f>IF(AND($V2055='設定'!$C$4,COUNTIF('商品マスタ'!$B$6:$B$1005,$W2055)=0),N(U2054)+1,N(U2054))</f>
        <v/>
      </c>
      <c r="V2055" s="19">
        <f>IF($B2055="","",TEXT($B2055,"0000"))</f>
        <v/>
      </c>
      <c r="W2055" s="19">
        <f>IF($I2055="","",IF(ISNUMBER($I2055),TEXT($I2055,"0"),$I2055))</f>
        <v/>
      </c>
    </row>
    <row r="2056">
      <c r="B2056" s="25" t="n"/>
      <c r="I2056" s="25" t="n"/>
      <c r="U2056" s="19">
        <f>IF(AND($V2056='設定'!$C$4,COUNTIF('商品マスタ'!$B$6:$B$1005,$W2056)=0),N(U2055)+1,N(U2055))</f>
        <v/>
      </c>
      <c r="V2056" s="19">
        <f>IF($B2056="","",TEXT($B2056,"0000"))</f>
        <v/>
      </c>
      <c r="W2056" s="19">
        <f>IF($I2056="","",IF(ISNUMBER($I2056),TEXT($I2056,"0"),$I2056))</f>
        <v/>
      </c>
    </row>
    <row r="2057">
      <c r="B2057" s="25" t="n"/>
      <c r="I2057" s="25" t="n"/>
      <c r="U2057" s="19">
        <f>IF(AND($V2057='設定'!$C$4,COUNTIF('商品マスタ'!$B$6:$B$1005,$W2057)=0),N(U2056)+1,N(U2056))</f>
        <v/>
      </c>
      <c r="V2057" s="19">
        <f>IF($B2057="","",TEXT($B2057,"0000"))</f>
        <v/>
      </c>
      <c r="W2057" s="19">
        <f>IF($I2057="","",IF(ISNUMBER($I2057),TEXT($I2057,"0"),$I2057))</f>
        <v/>
      </c>
    </row>
    <row r="2058">
      <c r="B2058" s="25" t="n"/>
      <c r="I2058" s="25" t="n"/>
      <c r="U2058" s="19">
        <f>IF(AND($V2058='設定'!$C$4,COUNTIF('商品マスタ'!$B$6:$B$1005,$W2058)=0),N(U2057)+1,N(U2057))</f>
        <v/>
      </c>
      <c r="V2058" s="19">
        <f>IF($B2058="","",TEXT($B2058,"0000"))</f>
        <v/>
      </c>
      <c r="W2058" s="19">
        <f>IF($I2058="","",IF(ISNUMBER($I2058),TEXT($I2058,"0"),$I2058))</f>
        <v/>
      </c>
    </row>
    <row r="2059">
      <c r="B2059" s="25" t="n"/>
      <c r="I2059" s="25" t="n"/>
      <c r="U2059" s="19">
        <f>IF(AND($V2059='設定'!$C$4,COUNTIF('商品マスタ'!$B$6:$B$1005,$W2059)=0),N(U2058)+1,N(U2058))</f>
        <v/>
      </c>
      <c r="V2059" s="19">
        <f>IF($B2059="","",TEXT($B2059,"0000"))</f>
        <v/>
      </c>
      <c r="W2059" s="19">
        <f>IF($I2059="","",IF(ISNUMBER($I2059),TEXT($I2059,"0"),$I2059))</f>
        <v/>
      </c>
    </row>
    <row r="2060">
      <c r="B2060" s="25" t="n"/>
      <c r="I2060" s="25" t="n"/>
      <c r="U2060" s="19">
        <f>IF(AND($V2060='設定'!$C$4,COUNTIF('商品マスタ'!$B$6:$B$1005,$W2060)=0),N(U2059)+1,N(U2059))</f>
        <v/>
      </c>
      <c r="V2060" s="19">
        <f>IF($B2060="","",TEXT($B2060,"0000"))</f>
        <v/>
      </c>
      <c r="W2060" s="19">
        <f>IF($I2060="","",IF(ISNUMBER($I2060),TEXT($I2060,"0"),$I2060))</f>
        <v/>
      </c>
    </row>
    <row r="2061">
      <c r="B2061" s="25" t="n"/>
      <c r="I2061" s="25" t="n"/>
      <c r="U2061" s="19">
        <f>IF(AND($V2061='設定'!$C$4,COUNTIF('商品マスタ'!$B$6:$B$1005,$W2061)=0),N(U2060)+1,N(U2060))</f>
        <v/>
      </c>
      <c r="V2061" s="19">
        <f>IF($B2061="","",TEXT($B2061,"0000"))</f>
        <v/>
      </c>
      <c r="W2061" s="19">
        <f>IF($I2061="","",IF(ISNUMBER($I2061),TEXT($I2061,"0"),$I2061))</f>
        <v/>
      </c>
    </row>
    <row r="2062">
      <c r="B2062" s="25" t="n"/>
      <c r="I2062" s="25" t="n"/>
      <c r="U2062" s="19">
        <f>IF(AND($V2062='設定'!$C$4,COUNTIF('商品マスタ'!$B$6:$B$1005,$W2062)=0),N(U2061)+1,N(U2061))</f>
        <v/>
      </c>
      <c r="V2062" s="19">
        <f>IF($B2062="","",TEXT($B2062,"0000"))</f>
        <v/>
      </c>
      <c r="W2062" s="19">
        <f>IF($I2062="","",IF(ISNUMBER($I2062),TEXT($I2062,"0"),$I2062))</f>
        <v/>
      </c>
    </row>
    <row r="2063">
      <c r="B2063" s="25" t="n"/>
      <c r="I2063" s="25" t="n"/>
      <c r="U2063" s="19">
        <f>IF(AND($V2063='設定'!$C$4,COUNTIF('商品マスタ'!$B$6:$B$1005,$W2063)=0),N(U2062)+1,N(U2062))</f>
        <v/>
      </c>
      <c r="V2063" s="19">
        <f>IF($B2063="","",TEXT($B2063,"0000"))</f>
        <v/>
      </c>
      <c r="W2063" s="19">
        <f>IF($I2063="","",IF(ISNUMBER($I2063),TEXT($I2063,"0"),$I2063))</f>
        <v/>
      </c>
    </row>
    <row r="2064">
      <c r="B2064" s="25" t="n"/>
      <c r="I2064" s="25" t="n"/>
      <c r="U2064" s="19">
        <f>IF(AND($V2064='設定'!$C$4,COUNTIF('商品マスタ'!$B$6:$B$1005,$W2064)=0),N(U2063)+1,N(U2063))</f>
        <v/>
      </c>
      <c r="V2064" s="19">
        <f>IF($B2064="","",TEXT($B2064,"0000"))</f>
        <v/>
      </c>
      <c r="W2064" s="19">
        <f>IF($I2064="","",IF(ISNUMBER($I2064),TEXT($I2064,"0"),$I2064))</f>
        <v/>
      </c>
    </row>
    <row r="2065">
      <c r="B2065" s="25" t="n"/>
      <c r="I2065" s="25" t="n"/>
      <c r="U2065" s="19">
        <f>IF(AND($V2065='設定'!$C$4,COUNTIF('商品マスタ'!$B$6:$B$1005,$W2065)=0),N(U2064)+1,N(U2064))</f>
        <v/>
      </c>
      <c r="V2065" s="19">
        <f>IF($B2065="","",TEXT($B2065,"0000"))</f>
        <v/>
      </c>
      <c r="W2065" s="19">
        <f>IF($I2065="","",IF(ISNUMBER($I2065),TEXT($I2065,"0"),$I2065))</f>
        <v/>
      </c>
    </row>
    <row r="2066">
      <c r="B2066" s="25" t="n"/>
      <c r="I2066" s="25" t="n"/>
      <c r="U2066" s="19">
        <f>IF(AND($V2066='設定'!$C$4,COUNTIF('商品マスタ'!$B$6:$B$1005,$W2066)=0),N(U2065)+1,N(U2065))</f>
        <v/>
      </c>
      <c r="V2066" s="19">
        <f>IF($B2066="","",TEXT($B2066,"0000"))</f>
        <v/>
      </c>
      <c r="W2066" s="19">
        <f>IF($I2066="","",IF(ISNUMBER($I2066),TEXT($I2066,"0"),$I2066))</f>
        <v/>
      </c>
    </row>
    <row r="2067">
      <c r="B2067" s="25" t="n"/>
      <c r="I2067" s="25" t="n"/>
      <c r="U2067" s="19">
        <f>IF(AND($V2067='設定'!$C$4,COUNTIF('商品マスタ'!$B$6:$B$1005,$W2067)=0),N(U2066)+1,N(U2066))</f>
        <v/>
      </c>
      <c r="V2067" s="19">
        <f>IF($B2067="","",TEXT($B2067,"0000"))</f>
        <v/>
      </c>
      <c r="W2067" s="19">
        <f>IF($I2067="","",IF(ISNUMBER($I2067),TEXT($I2067,"0"),$I2067))</f>
        <v/>
      </c>
    </row>
    <row r="2068">
      <c r="B2068" s="25" t="n"/>
      <c r="I2068" s="25" t="n"/>
      <c r="U2068" s="19">
        <f>IF(AND($V2068='設定'!$C$4,COUNTIF('商品マスタ'!$B$6:$B$1005,$W2068)=0),N(U2067)+1,N(U2067))</f>
        <v/>
      </c>
      <c r="V2068" s="19">
        <f>IF($B2068="","",TEXT($B2068,"0000"))</f>
        <v/>
      </c>
      <c r="W2068" s="19">
        <f>IF($I2068="","",IF(ISNUMBER($I2068),TEXT($I2068,"0"),$I2068))</f>
        <v/>
      </c>
    </row>
    <row r="2069">
      <c r="B2069" s="25" t="n"/>
      <c r="I2069" s="25" t="n"/>
      <c r="U2069" s="19">
        <f>IF(AND($V2069='設定'!$C$4,COUNTIF('商品マスタ'!$B$6:$B$1005,$W2069)=0),N(U2068)+1,N(U2068))</f>
        <v/>
      </c>
      <c r="V2069" s="19">
        <f>IF($B2069="","",TEXT($B2069,"0000"))</f>
        <v/>
      </c>
      <c r="W2069" s="19">
        <f>IF($I2069="","",IF(ISNUMBER($I2069),TEXT($I2069,"0"),$I2069))</f>
        <v/>
      </c>
    </row>
    <row r="2070">
      <c r="B2070" s="25" t="n"/>
      <c r="I2070" s="25" t="n"/>
      <c r="U2070" s="19">
        <f>IF(AND($V2070='設定'!$C$4,COUNTIF('商品マスタ'!$B$6:$B$1005,$W2070)=0),N(U2069)+1,N(U2069))</f>
        <v/>
      </c>
      <c r="V2070" s="19">
        <f>IF($B2070="","",TEXT($B2070,"0000"))</f>
        <v/>
      </c>
      <c r="W2070" s="19">
        <f>IF($I2070="","",IF(ISNUMBER($I2070),TEXT($I2070,"0"),$I2070))</f>
        <v/>
      </c>
    </row>
    <row r="2071">
      <c r="B2071" s="25" t="n"/>
      <c r="I2071" s="25" t="n"/>
      <c r="U2071" s="19">
        <f>IF(AND($V2071='設定'!$C$4,COUNTIF('商品マスタ'!$B$6:$B$1005,$W2071)=0),N(U2070)+1,N(U2070))</f>
        <v/>
      </c>
      <c r="V2071" s="19">
        <f>IF($B2071="","",TEXT($B2071,"0000"))</f>
        <v/>
      </c>
      <c r="W2071" s="19">
        <f>IF($I2071="","",IF(ISNUMBER($I2071),TEXT($I2071,"0"),$I2071))</f>
        <v/>
      </c>
    </row>
    <row r="2072">
      <c r="B2072" s="25" t="n"/>
      <c r="I2072" s="25" t="n"/>
      <c r="U2072" s="19">
        <f>IF(AND($V2072='設定'!$C$4,COUNTIF('商品マスタ'!$B$6:$B$1005,$W2072)=0),N(U2071)+1,N(U2071))</f>
        <v/>
      </c>
      <c r="V2072" s="19">
        <f>IF($B2072="","",TEXT($B2072,"0000"))</f>
        <v/>
      </c>
      <c r="W2072" s="19">
        <f>IF($I2072="","",IF(ISNUMBER($I2072),TEXT($I2072,"0"),$I2072))</f>
        <v/>
      </c>
    </row>
    <row r="2073">
      <c r="B2073" s="25" t="n"/>
      <c r="I2073" s="25" t="n"/>
      <c r="U2073" s="19">
        <f>IF(AND($V2073='設定'!$C$4,COUNTIF('商品マスタ'!$B$6:$B$1005,$W2073)=0),N(U2072)+1,N(U2072))</f>
        <v/>
      </c>
      <c r="V2073" s="19">
        <f>IF($B2073="","",TEXT($B2073,"0000"))</f>
        <v/>
      </c>
      <c r="W2073" s="19">
        <f>IF($I2073="","",IF(ISNUMBER($I2073),TEXT($I2073,"0"),$I2073))</f>
        <v/>
      </c>
    </row>
    <row r="2074">
      <c r="B2074" s="25" t="n"/>
      <c r="I2074" s="25" t="n"/>
      <c r="U2074" s="19">
        <f>IF(AND($V2074='設定'!$C$4,COUNTIF('商品マスタ'!$B$6:$B$1005,$W2074)=0),N(U2073)+1,N(U2073))</f>
        <v/>
      </c>
      <c r="V2074" s="19">
        <f>IF($B2074="","",TEXT($B2074,"0000"))</f>
        <v/>
      </c>
      <c r="W2074" s="19">
        <f>IF($I2074="","",IF(ISNUMBER($I2074),TEXT($I2074,"0"),$I2074))</f>
        <v/>
      </c>
    </row>
    <row r="2075">
      <c r="B2075" s="25" t="n"/>
      <c r="I2075" s="25" t="n"/>
      <c r="U2075" s="19">
        <f>IF(AND($V2075='設定'!$C$4,COUNTIF('商品マスタ'!$B$6:$B$1005,$W2075)=0),N(U2074)+1,N(U2074))</f>
        <v/>
      </c>
      <c r="V2075" s="19">
        <f>IF($B2075="","",TEXT($B2075,"0000"))</f>
        <v/>
      </c>
      <c r="W2075" s="19">
        <f>IF($I2075="","",IF(ISNUMBER($I2075),TEXT($I2075,"0"),$I2075))</f>
        <v/>
      </c>
    </row>
    <row r="2076">
      <c r="B2076" s="25" t="n"/>
      <c r="I2076" s="25" t="n"/>
      <c r="U2076" s="19">
        <f>IF(AND($V2076='設定'!$C$4,COUNTIF('商品マスタ'!$B$6:$B$1005,$W2076)=0),N(U2075)+1,N(U2075))</f>
        <v/>
      </c>
      <c r="V2076" s="19">
        <f>IF($B2076="","",TEXT($B2076,"0000"))</f>
        <v/>
      </c>
      <c r="W2076" s="19">
        <f>IF($I2076="","",IF(ISNUMBER($I2076),TEXT($I2076,"0"),$I2076))</f>
        <v/>
      </c>
    </row>
    <row r="2077">
      <c r="B2077" s="25" t="n"/>
      <c r="I2077" s="25" t="n"/>
      <c r="U2077" s="19">
        <f>IF(AND($V2077='設定'!$C$4,COUNTIF('商品マスタ'!$B$6:$B$1005,$W2077)=0),N(U2076)+1,N(U2076))</f>
        <v/>
      </c>
      <c r="V2077" s="19">
        <f>IF($B2077="","",TEXT($B2077,"0000"))</f>
        <v/>
      </c>
      <c r="W2077" s="19">
        <f>IF($I2077="","",IF(ISNUMBER($I2077),TEXT($I2077,"0"),$I2077))</f>
        <v/>
      </c>
    </row>
    <row r="2078">
      <c r="B2078" s="25" t="n"/>
      <c r="I2078" s="25" t="n"/>
      <c r="U2078" s="19">
        <f>IF(AND($V2078='設定'!$C$4,COUNTIF('商品マスタ'!$B$6:$B$1005,$W2078)=0),N(U2077)+1,N(U2077))</f>
        <v/>
      </c>
      <c r="V2078" s="19">
        <f>IF($B2078="","",TEXT($B2078,"0000"))</f>
        <v/>
      </c>
      <c r="W2078" s="19">
        <f>IF($I2078="","",IF(ISNUMBER($I2078),TEXT($I2078,"0"),$I2078))</f>
        <v/>
      </c>
    </row>
    <row r="2079">
      <c r="B2079" s="25" t="n"/>
      <c r="I2079" s="25" t="n"/>
      <c r="U2079" s="19">
        <f>IF(AND($V2079='設定'!$C$4,COUNTIF('商品マスタ'!$B$6:$B$1005,$W2079)=0),N(U2078)+1,N(U2078))</f>
        <v/>
      </c>
      <c r="V2079" s="19">
        <f>IF($B2079="","",TEXT($B2079,"0000"))</f>
        <v/>
      </c>
      <c r="W2079" s="19">
        <f>IF($I2079="","",IF(ISNUMBER($I2079),TEXT($I2079,"0"),$I2079))</f>
        <v/>
      </c>
    </row>
    <row r="2080">
      <c r="B2080" s="25" t="n"/>
      <c r="I2080" s="25" t="n"/>
      <c r="U2080" s="19">
        <f>IF(AND($V2080='設定'!$C$4,COUNTIF('商品マスタ'!$B$6:$B$1005,$W2080)=0),N(U2079)+1,N(U2079))</f>
        <v/>
      </c>
      <c r="V2080" s="19">
        <f>IF($B2080="","",TEXT($B2080,"0000"))</f>
        <v/>
      </c>
      <c r="W2080" s="19">
        <f>IF($I2080="","",IF(ISNUMBER($I2080),TEXT($I2080,"0"),$I2080))</f>
        <v/>
      </c>
    </row>
    <row r="2081">
      <c r="B2081" s="25" t="n"/>
      <c r="I2081" s="25" t="n"/>
      <c r="U2081" s="19">
        <f>IF(AND($V2081='設定'!$C$4,COUNTIF('商品マスタ'!$B$6:$B$1005,$W2081)=0),N(U2080)+1,N(U2080))</f>
        <v/>
      </c>
      <c r="V2081" s="19">
        <f>IF($B2081="","",TEXT($B2081,"0000"))</f>
        <v/>
      </c>
      <c r="W2081" s="19">
        <f>IF($I2081="","",IF(ISNUMBER($I2081),TEXT($I2081,"0"),$I2081))</f>
        <v/>
      </c>
    </row>
    <row r="2082">
      <c r="B2082" s="25" t="n"/>
      <c r="I2082" s="25" t="n"/>
      <c r="U2082" s="19">
        <f>IF(AND($V2082='設定'!$C$4,COUNTIF('商品マスタ'!$B$6:$B$1005,$W2082)=0),N(U2081)+1,N(U2081))</f>
        <v/>
      </c>
      <c r="V2082" s="19">
        <f>IF($B2082="","",TEXT($B2082,"0000"))</f>
        <v/>
      </c>
      <c r="W2082" s="19">
        <f>IF($I2082="","",IF(ISNUMBER($I2082),TEXT($I2082,"0"),$I2082))</f>
        <v/>
      </c>
    </row>
    <row r="2083">
      <c r="B2083" s="25" t="n"/>
      <c r="I2083" s="25" t="n"/>
      <c r="U2083" s="19">
        <f>IF(AND($V2083='設定'!$C$4,COUNTIF('商品マスタ'!$B$6:$B$1005,$W2083)=0),N(U2082)+1,N(U2082))</f>
        <v/>
      </c>
      <c r="V2083" s="19">
        <f>IF($B2083="","",TEXT($B2083,"0000"))</f>
        <v/>
      </c>
      <c r="W2083" s="19">
        <f>IF($I2083="","",IF(ISNUMBER($I2083),TEXT($I2083,"0"),$I2083))</f>
        <v/>
      </c>
    </row>
    <row r="2084">
      <c r="B2084" s="25" t="n"/>
      <c r="I2084" s="25" t="n"/>
      <c r="U2084" s="19">
        <f>IF(AND($V2084='設定'!$C$4,COUNTIF('商品マスタ'!$B$6:$B$1005,$W2084)=0),N(U2083)+1,N(U2083))</f>
        <v/>
      </c>
      <c r="V2084" s="19">
        <f>IF($B2084="","",TEXT($B2084,"0000"))</f>
        <v/>
      </c>
      <c r="W2084" s="19">
        <f>IF($I2084="","",IF(ISNUMBER($I2084),TEXT($I2084,"0"),$I2084))</f>
        <v/>
      </c>
    </row>
    <row r="2085">
      <c r="B2085" s="25" t="n"/>
      <c r="I2085" s="25" t="n"/>
      <c r="U2085" s="19">
        <f>IF(AND($V2085='設定'!$C$4,COUNTIF('商品マスタ'!$B$6:$B$1005,$W2085)=0),N(U2084)+1,N(U2084))</f>
        <v/>
      </c>
      <c r="V2085" s="19">
        <f>IF($B2085="","",TEXT($B2085,"0000"))</f>
        <v/>
      </c>
      <c r="W2085" s="19">
        <f>IF($I2085="","",IF(ISNUMBER($I2085),TEXT($I2085,"0"),$I2085))</f>
        <v/>
      </c>
    </row>
    <row r="2086">
      <c r="B2086" s="25" t="n"/>
      <c r="I2086" s="25" t="n"/>
      <c r="U2086" s="19">
        <f>IF(AND($V2086='設定'!$C$4,COUNTIF('商品マスタ'!$B$6:$B$1005,$W2086)=0),N(U2085)+1,N(U2085))</f>
        <v/>
      </c>
      <c r="V2086" s="19">
        <f>IF($B2086="","",TEXT($B2086,"0000"))</f>
        <v/>
      </c>
      <c r="W2086" s="19">
        <f>IF($I2086="","",IF(ISNUMBER($I2086),TEXT($I2086,"0"),$I2086))</f>
        <v/>
      </c>
    </row>
    <row r="2087">
      <c r="B2087" s="25" t="n"/>
      <c r="I2087" s="25" t="n"/>
      <c r="U2087" s="19">
        <f>IF(AND($V2087='設定'!$C$4,COUNTIF('商品マスタ'!$B$6:$B$1005,$W2087)=0),N(U2086)+1,N(U2086))</f>
        <v/>
      </c>
      <c r="V2087" s="19">
        <f>IF($B2087="","",TEXT($B2087,"0000"))</f>
        <v/>
      </c>
      <c r="W2087" s="19">
        <f>IF($I2087="","",IF(ISNUMBER($I2087),TEXT($I2087,"0"),$I2087))</f>
        <v/>
      </c>
    </row>
    <row r="2088">
      <c r="B2088" s="25" t="n"/>
      <c r="I2088" s="25" t="n"/>
      <c r="U2088" s="19">
        <f>IF(AND($V2088='設定'!$C$4,COUNTIF('商品マスタ'!$B$6:$B$1005,$W2088)=0),N(U2087)+1,N(U2087))</f>
        <v/>
      </c>
      <c r="V2088" s="19">
        <f>IF($B2088="","",TEXT($B2088,"0000"))</f>
        <v/>
      </c>
      <c r="W2088" s="19">
        <f>IF($I2088="","",IF(ISNUMBER($I2088),TEXT($I2088,"0"),$I2088))</f>
        <v/>
      </c>
    </row>
    <row r="2089">
      <c r="B2089" s="25" t="n"/>
      <c r="I2089" s="25" t="n"/>
      <c r="U2089" s="19">
        <f>IF(AND($V2089='設定'!$C$4,COUNTIF('商品マスタ'!$B$6:$B$1005,$W2089)=0),N(U2088)+1,N(U2088))</f>
        <v/>
      </c>
      <c r="V2089" s="19">
        <f>IF($B2089="","",TEXT($B2089,"0000"))</f>
        <v/>
      </c>
      <c r="W2089" s="19">
        <f>IF($I2089="","",IF(ISNUMBER($I2089),TEXT($I2089,"0"),$I2089))</f>
        <v/>
      </c>
    </row>
    <row r="2090">
      <c r="B2090" s="25" t="n"/>
      <c r="I2090" s="25" t="n"/>
      <c r="U2090" s="19">
        <f>IF(AND($V2090='設定'!$C$4,COUNTIF('商品マスタ'!$B$6:$B$1005,$W2090)=0),N(U2089)+1,N(U2089))</f>
        <v/>
      </c>
      <c r="V2090" s="19">
        <f>IF($B2090="","",TEXT($B2090,"0000"))</f>
        <v/>
      </c>
      <c r="W2090" s="19">
        <f>IF($I2090="","",IF(ISNUMBER($I2090),TEXT($I2090,"0"),$I2090))</f>
        <v/>
      </c>
    </row>
    <row r="2091">
      <c r="B2091" s="25" t="n"/>
      <c r="I2091" s="25" t="n"/>
      <c r="U2091" s="19">
        <f>IF(AND($V2091='設定'!$C$4,COUNTIF('商品マスタ'!$B$6:$B$1005,$W2091)=0),N(U2090)+1,N(U2090))</f>
        <v/>
      </c>
      <c r="V2091" s="19">
        <f>IF($B2091="","",TEXT($B2091,"0000"))</f>
        <v/>
      </c>
      <c r="W2091" s="19">
        <f>IF($I2091="","",IF(ISNUMBER($I2091),TEXT($I2091,"0"),$I2091))</f>
        <v/>
      </c>
    </row>
    <row r="2092">
      <c r="B2092" s="25" t="n"/>
      <c r="I2092" s="25" t="n"/>
      <c r="U2092" s="19">
        <f>IF(AND($V2092='設定'!$C$4,COUNTIF('商品マスタ'!$B$6:$B$1005,$W2092)=0),N(U2091)+1,N(U2091))</f>
        <v/>
      </c>
      <c r="V2092" s="19">
        <f>IF($B2092="","",TEXT($B2092,"0000"))</f>
        <v/>
      </c>
      <c r="W2092" s="19">
        <f>IF($I2092="","",IF(ISNUMBER($I2092),TEXT($I2092,"0"),$I2092))</f>
        <v/>
      </c>
    </row>
    <row r="2093">
      <c r="B2093" s="25" t="n"/>
      <c r="I2093" s="25" t="n"/>
      <c r="U2093" s="19">
        <f>IF(AND($V2093='設定'!$C$4,COUNTIF('商品マスタ'!$B$6:$B$1005,$W2093)=0),N(U2092)+1,N(U2092))</f>
        <v/>
      </c>
      <c r="V2093" s="19">
        <f>IF($B2093="","",TEXT($B2093,"0000"))</f>
        <v/>
      </c>
      <c r="W2093" s="19">
        <f>IF($I2093="","",IF(ISNUMBER($I2093),TEXT($I2093,"0"),$I2093))</f>
        <v/>
      </c>
    </row>
    <row r="2094">
      <c r="B2094" s="25" t="n"/>
      <c r="I2094" s="25" t="n"/>
      <c r="U2094" s="19">
        <f>IF(AND($V2094='設定'!$C$4,COUNTIF('商品マスタ'!$B$6:$B$1005,$W2094)=0),N(U2093)+1,N(U2093))</f>
        <v/>
      </c>
      <c r="V2094" s="19">
        <f>IF($B2094="","",TEXT($B2094,"0000"))</f>
        <v/>
      </c>
      <c r="W2094" s="19">
        <f>IF($I2094="","",IF(ISNUMBER($I2094),TEXT($I2094,"0"),$I2094))</f>
        <v/>
      </c>
    </row>
    <row r="2095">
      <c r="B2095" s="25" t="n"/>
      <c r="I2095" s="25" t="n"/>
      <c r="U2095" s="19">
        <f>IF(AND($V2095='設定'!$C$4,COUNTIF('商品マスタ'!$B$6:$B$1005,$W2095)=0),N(U2094)+1,N(U2094))</f>
        <v/>
      </c>
      <c r="V2095" s="19">
        <f>IF($B2095="","",TEXT($B2095,"0000"))</f>
        <v/>
      </c>
      <c r="W2095" s="19">
        <f>IF($I2095="","",IF(ISNUMBER($I2095),TEXT($I2095,"0"),$I2095))</f>
        <v/>
      </c>
    </row>
    <row r="2096">
      <c r="B2096" s="25" t="n"/>
      <c r="I2096" s="25" t="n"/>
      <c r="U2096" s="19">
        <f>IF(AND($V2096='設定'!$C$4,COUNTIF('商品マスタ'!$B$6:$B$1005,$W2096)=0),N(U2095)+1,N(U2095))</f>
        <v/>
      </c>
      <c r="V2096" s="19">
        <f>IF($B2096="","",TEXT($B2096,"0000"))</f>
        <v/>
      </c>
      <c r="W2096" s="19">
        <f>IF($I2096="","",IF(ISNUMBER($I2096),TEXT($I2096,"0"),$I2096))</f>
        <v/>
      </c>
    </row>
    <row r="2097">
      <c r="B2097" s="25" t="n"/>
      <c r="I2097" s="25" t="n"/>
      <c r="U2097" s="19">
        <f>IF(AND($V2097='設定'!$C$4,COUNTIF('商品マスタ'!$B$6:$B$1005,$W2097)=0),N(U2096)+1,N(U2096))</f>
        <v/>
      </c>
      <c r="V2097" s="19">
        <f>IF($B2097="","",TEXT($B2097,"0000"))</f>
        <v/>
      </c>
      <c r="W2097" s="19">
        <f>IF($I2097="","",IF(ISNUMBER($I2097),TEXT($I2097,"0"),$I2097))</f>
        <v/>
      </c>
    </row>
    <row r="2098">
      <c r="B2098" s="25" t="n"/>
      <c r="I2098" s="25" t="n"/>
      <c r="U2098" s="19">
        <f>IF(AND($V2098='設定'!$C$4,COUNTIF('商品マスタ'!$B$6:$B$1005,$W2098)=0),N(U2097)+1,N(U2097))</f>
        <v/>
      </c>
      <c r="V2098" s="19">
        <f>IF($B2098="","",TEXT($B2098,"0000"))</f>
        <v/>
      </c>
      <c r="W2098" s="19">
        <f>IF($I2098="","",IF(ISNUMBER($I2098),TEXT($I2098,"0"),$I2098))</f>
        <v/>
      </c>
    </row>
    <row r="2099">
      <c r="B2099" s="25" t="n"/>
      <c r="I2099" s="25" t="n"/>
      <c r="U2099" s="19">
        <f>IF(AND($V2099='設定'!$C$4,COUNTIF('商品マスタ'!$B$6:$B$1005,$W2099)=0),N(U2098)+1,N(U2098))</f>
        <v/>
      </c>
      <c r="V2099" s="19">
        <f>IF($B2099="","",TEXT($B2099,"0000"))</f>
        <v/>
      </c>
      <c r="W2099" s="19">
        <f>IF($I2099="","",IF(ISNUMBER($I2099),TEXT($I2099,"0"),$I2099))</f>
        <v/>
      </c>
    </row>
    <row r="2100">
      <c r="B2100" s="25" t="n"/>
      <c r="I2100" s="25" t="n"/>
      <c r="U2100" s="19">
        <f>IF(AND($V2100='設定'!$C$4,COUNTIF('商品マスタ'!$B$6:$B$1005,$W2100)=0),N(U2099)+1,N(U2099))</f>
        <v/>
      </c>
      <c r="V2100" s="19">
        <f>IF($B2100="","",TEXT($B2100,"0000"))</f>
        <v/>
      </c>
      <c r="W2100" s="19">
        <f>IF($I2100="","",IF(ISNUMBER($I2100),TEXT($I2100,"0"),$I2100))</f>
        <v/>
      </c>
    </row>
    <row r="2101">
      <c r="B2101" s="25" t="n"/>
      <c r="I2101" s="25" t="n"/>
      <c r="U2101" s="19">
        <f>IF(AND($V2101='設定'!$C$4,COUNTIF('商品マスタ'!$B$6:$B$1005,$W2101)=0),N(U2100)+1,N(U2100))</f>
        <v/>
      </c>
      <c r="V2101" s="19">
        <f>IF($B2101="","",TEXT($B2101,"0000"))</f>
        <v/>
      </c>
      <c r="W2101" s="19">
        <f>IF($I2101="","",IF(ISNUMBER($I2101),TEXT($I2101,"0"),$I2101))</f>
        <v/>
      </c>
    </row>
    <row r="2102">
      <c r="B2102" s="25" t="n"/>
      <c r="I2102" s="25" t="n"/>
      <c r="U2102" s="19">
        <f>IF(AND($V2102='設定'!$C$4,COUNTIF('商品マスタ'!$B$6:$B$1005,$W2102)=0),N(U2101)+1,N(U2101))</f>
        <v/>
      </c>
      <c r="V2102" s="19">
        <f>IF($B2102="","",TEXT($B2102,"0000"))</f>
        <v/>
      </c>
      <c r="W2102" s="19">
        <f>IF($I2102="","",IF(ISNUMBER($I2102),TEXT($I2102,"0"),$I2102))</f>
        <v/>
      </c>
    </row>
    <row r="2103">
      <c r="B2103" s="25" t="n"/>
      <c r="I2103" s="25" t="n"/>
      <c r="U2103" s="19">
        <f>IF(AND($V2103='設定'!$C$4,COUNTIF('商品マスタ'!$B$6:$B$1005,$W2103)=0),N(U2102)+1,N(U2102))</f>
        <v/>
      </c>
      <c r="V2103" s="19">
        <f>IF($B2103="","",TEXT($B2103,"0000"))</f>
        <v/>
      </c>
      <c r="W2103" s="19">
        <f>IF($I2103="","",IF(ISNUMBER($I2103),TEXT($I2103,"0"),$I2103))</f>
        <v/>
      </c>
    </row>
    <row r="2104">
      <c r="B2104" s="25" t="n"/>
      <c r="I2104" s="25" t="n"/>
      <c r="U2104" s="19">
        <f>IF(AND($V2104='設定'!$C$4,COUNTIF('商品マスタ'!$B$6:$B$1005,$W2104)=0),N(U2103)+1,N(U2103))</f>
        <v/>
      </c>
      <c r="V2104" s="19">
        <f>IF($B2104="","",TEXT($B2104,"0000"))</f>
        <v/>
      </c>
      <c r="W2104" s="19">
        <f>IF($I2104="","",IF(ISNUMBER($I2104),TEXT($I2104,"0"),$I2104))</f>
        <v/>
      </c>
    </row>
    <row r="2105">
      <c r="B2105" s="25" t="n"/>
      <c r="I2105" s="25" t="n"/>
      <c r="U2105" s="19">
        <f>IF(AND($V2105='設定'!$C$4,COUNTIF('商品マスタ'!$B$6:$B$1005,$W2105)=0),N(U2104)+1,N(U2104))</f>
        <v/>
      </c>
      <c r="V2105" s="19">
        <f>IF($B2105="","",TEXT($B2105,"0000"))</f>
        <v/>
      </c>
      <c r="W2105" s="19">
        <f>IF($I2105="","",IF(ISNUMBER($I2105),TEXT($I2105,"0"),$I2105))</f>
        <v/>
      </c>
    </row>
    <row r="2106">
      <c r="B2106" s="25" t="n"/>
      <c r="I2106" s="25" t="n"/>
      <c r="U2106" s="19">
        <f>IF(AND($V2106='設定'!$C$4,COUNTIF('商品マスタ'!$B$6:$B$1005,$W2106)=0),N(U2105)+1,N(U2105))</f>
        <v/>
      </c>
      <c r="V2106" s="19">
        <f>IF($B2106="","",TEXT($B2106,"0000"))</f>
        <v/>
      </c>
      <c r="W2106" s="19">
        <f>IF($I2106="","",IF(ISNUMBER($I2106),TEXT($I2106,"0"),$I2106))</f>
        <v/>
      </c>
    </row>
    <row r="2107">
      <c r="B2107" s="25" t="n"/>
      <c r="I2107" s="25" t="n"/>
      <c r="U2107" s="19">
        <f>IF(AND($V2107='設定'!$C$4,COUNTIF('商品マスタ'!$B$6:$B$1005,$W2107)=0),N(U2106)+1,N(U2106))</f>
        <v/>
      </c>
      <c r="V2107" s="19">
        <f>IF($B2107="","",TEXT($B2107,"0000"))</f>
        <v/>
      </c>
      <c r="W2107" s="19">
        <f>IF($I2107="","",IF(ISNUMBER($I2107),TEXT($I2107,"0"),$I2107))</f>
        <v/>
      </c>
    </row>
    <row r="2108">
      <c r="B2108" s="25" t="n"/>
      <c r="I2108" s="25" t="n"/>
      <c r="U2108" s="19">
        <f>IF(AND($V2108='設定'!$C$4,COUNTIF('商品マスタ'!$B$6:$B$1005,$W2108)=0),N(U2107)+1,N(U2107))</f>
        <v/>
      </c>
      <c r="V2108" s="19">
        <f>IF($B2108="","",TEXT($B2108,"0000"))</f>
        <v/>
      </c>
      <c r="W2108" s="19">
        <f>IF($I2108="","",IF(ISNUMBER($I2108),TEXT($I2108,"0"),$I2108))</f>
        <v/>
      </c>
    </row>
    <row r="2109">
      <c r="B2109" s="25" t="n"/>
      <c r="I2109" s="25" t="n"/>
      <c r="U2109" s="19">
        <f>IF(AND($V2109='設定'!$C$4,COUNTIF('商品マスタ'!$B$6:$B$1005,$W2109)=0),N(U2108)+1,N(U2108))</f>
        <v/>
      </c>
      <c r="V2109" s="19">
        <f>IF($B2109="","",TEXT($B2109,"0000"))</f>
        <v/>
      </c>
      <c r="W2109" s="19">
        <f>IF($I2109="","",IF(ISNUMBER($I2109),TEXT($I2109,"0"),$I2109))</f>
        <v/>
      </c>
    </row>
    <row r="2110">
      <c r="B2110" s="25" t="n"/>
      <c r="I2110" s="25" t="n"/>
      <c r="U2110" s="19">
        <f>IF(AND($V2110='設定'!$C$4,COUNTIF('商品マスタ'!$B$6:$B$1005,$W2110)=0),N(U2109)+1,N(U2109))</f>
        <v/>
      </c>
      <c r="V2110" s="19">
        <f>IF($B2110="","",TEXT($B2110,"0000"))</f>
        <v/>
      </c>
      <c r="W2110" s="19">
        <f>IF($I2110="","",IF(ISNUMBER($I2110),TEXT($I2110,"0"),$I2110))</f>
        <v/>
      </c>
    </row>
    <row r="2111">
      <c r="B2111" s="25" t="n"/>
      <c r="I2111" s="25" t="n"/>
      <c r="U2111" s="19">
        <f>IF(AND($V2111='設定'!$C$4,COUNTIF('商品マスタ'!$B$6:$B$1005,$W2111)=0),N(U2110)+1,N(U2110))</f>
        <v/>
      </c>
      <c r="V2111" s="19">
        <f>IF($B2111="","",TEXT($B2111,"0000"))</f>
        <v/>
      </c>
      <c r="W2111" s="19">
        <f>IF($I2111="","",IF(ISNUMBER($I2111),TEXT($I2111,"0"),$I2111))</f>
        <v/>
      </c>
    </row>
    <row r="2112">
      <c r="B2112" s="25" t="n"/>
      <c r="I2112" s="25" t="n"/>
      <c r="U2112" s="19">
        <f>IF(AND($V2112='設定'!$C$4,COUNTIF('商品マスタ'!$B$6:$B$1005,$W2112)=0),N(U2111)+1,N(U2111))</f>
        <v/>
      </c>
      <c r="V2112" s="19">
        <f>IF($B2112="","",TEXT($B2112,"0000"))</f>
        <v/>
      </c>
      <c r="W2112" s="19">
        <f>IF($I2112="","",IF(ISNUMBER($I2112),TEXT($I2112,"0"),$I2112))</f>
        <v/>
      </c>
    </row>
    <row r="2113">
      <c r="B2113" s="25" t="n"/>
      <c r="I2113" s="25" t="n"/>
      <c r="U2113" s="19">
        <f>IF(AND($V2113='設定'!$C$4,COUNTIF('商品マスタ'!$B$6:$B$1005,$W2113)=0),N(U2112)+1,N(U2112))</f>
        <v/>
      </c>
      <c r="V2113" s="19">
        <f>IF($B2113="","",TEXT($B2113,"0000"))</f>
        <v/>
      </c>
      <c r="W2113" s="19">
        <f>IF($I2113="","",IF(ISNUMBER($I2113),TEXT($I2113,"0"),$I2113))</f>
        <v/>
      </c>
    </row>
    <row r="2114">
      <c r="B2114" s="25" t="n"/>
      <c r="I2114" s="25" t="n"/>
      <c r="U2114" s="19">
        <f>IF(AND($V2114='設定'!$C$4,COUNTIF('商品マスタ'!$B$6:$B$1005,$W2114)=0),N(U2113)+1,N(U2113))</f>
        <v/>
      </c>
      <c r="V2114" s="19">
        <f>IF($B2114="","",TEXT($B2114,"0000"))</f>
        <v/>
      </c>
      <c r="W2114" s="19">
        <f>IF($I2114="","",IF(ISNUMBER($I2114),TEXT($I2114,"0"),$I2114))</f>
        <v/>
      </c>
    </row>
    <row r="2115">
      <c r="B2115" s="25" t="n"/>
      <c r="I2115" s="25" t="n"/>
      <c r="U2115" s="19">
        <f>IF(AND($V2115='設定'!$C$4,COUNTIF('商品マスタ'!$B$6:$B$1005,$W2115)=0),N(U2114)+1,N(U2114))</f>
        <v/>
      </c>
      <c r="V2115" s="19">
        <f>IF($B2115="","",TEXT($B2115,"0000"))</f>
        <v/>
      </c>
      <c r="W2115" s="19">
        <f>IF($I2115="","",IF(ISNUMBER($I2115),TEXT($I2115,"0"),$I2115))</f>
        <v/>
      </c>
    </row>
    <row r="2116">
      <c r="B2116" s="25" t="n"/>
      <c r="I2116" s="25" t="n"/>
      <c r="U2116" s="19">
        <f>IF(AND($V2116='設定'!$C$4,COUNTIF('商品マスタ'!$B$6:$B$1005,$W2116)=0),N(U2115)+1,N(U2115))</f>
        <v/>
      </c>
      <c r="V2116" s="19">
        <f>IF($B2116="","",TEXT($B2116,"0000"))</f>
        <v/>
      </c>
      <c r="W2116" s="19">
        <f>IF($I2116="","",IF(ISNUMBER($I2116),TEXT($I2116,"0"),$I2116))</f>
        <v/>
      </c>
    </row>
    <row r="2117">
      <c r="B2117" s="25" t="n"/>
      <c r="I2117" s="25" t="n"/>
      <c r="U2117" s="19">
        <f>IF(AND($V2117='設定'!$C$4,COUNTIF('商品マスタ'!$B$6:$B$1005,$W2117)=0),N(U2116)+1,N(U2116))</f>
        <v/>
      </c>
      <c r="V2117" s="19">
        <f>IF($B2117="","",TEXT($B2117,"0000"))</f>
        <v/>
      </c>
      <c r="W2117" s="19">
        <f>IF($I2117="","",IF(ISNUMBER($I2117),TEXT($I2117,"0"),$I2117))</f>
        <v/>
      </c>
    </row>
    <row r="2118">
      <c r="B2118" s="25" t="n"/>
      <c r="I2118" s="25" t="n"/>
      <c r="U2118" s="19">
        <f>IF(AND($V2118='設定'!$C$4,COUNTIF('商品マスタ'!$B$6:$B$1005,$W2118)=0),N(U2117)+1,N(U2117))</f>
        <v/>
      </c>
      <c r="V2118" s="19">
        <f>IF($B2118="","",TEXT($B2118,"0000"))</f>
        <v/>
      </c>
      <c r="W2118" s="19">
        <f>IF($I2118="","",IF(ISNUMBER($I2118),TEXT($I2118,"0"),$I2118))</f>
        <v/>
      </c>
    </row>
    <row r="2119">
      <c r="B2119" s="25" t="n"/>
      <c r="I2119" s="25" t="n"/>
      <c r="U2119" s="19">
        <f>IF(AND($V2119='設定'!$C$4,COUNTIF('商品マスタ'!$B$6:$B$1005,$W2119)=0),N(U2118)+1,N(U2118))</f>
        <v/>
      </c>
      <c r="V2119" s="19">
        <f>IF($B2119="","",TEXT($B2119,"0000"))</f>
        <v/>
      </c>
      <c r="W2119" s="19">
        <f>IF($I2119="","",IF(ISNUMBER($I2119),TEXT($I2119,"0"),$I2119))</f>
        <v/>
      </c>
    </row>
    <row r="2120">
      <c r="B2120" s="25" t="n"/>
      <c r="I2120" s="25" t="n"/>
      <c r="U2120" s="19">
        <f>IF(AND($V2120='設定'!$C$4,COUNTIF('商品マスタ'!$B$6:$B$1005,$W2120)=0),N(U2119)+1,N(U2119))</f>
        <v/>
      </c>
      <c r="V2120" s="19">
        <f>IF($B2120="","",TEXT($B2120,"0000"))</f>
        <v/>
      </c>
      <c r="W2120" s="19">
        <f>IF($I2120="","",IF(ISNUMBER($I2120),TEXT($I2120,"0"),$I2120))</f>
        <v/>
      </c>
    </row>
    <row r="2121">
      <c r="B2121" s="25" t="n"/>
      <c r="I2121" s="25" t="n"/>
      <c r="U2121" s="19">
        <f>IF(AND($V2121='設定'!$C$4,COUNTIF('商品マスタ'!$B$6:$B$1005,$W2121)=0),N(U2120)+1,N(U2120))</f>
        <v/>
      </c>
      <c r="V2121" s="19">
        <f>IF($B2121="","",TEXT($B2121,"0000"))</f>
        <v/>
      </c>
      <c r="W2121" s="19">
        <f>IF($I2121="","",IF(ISNUMBER($I2121),TEXT($I2121,"0"),$I2121))</f>
        <v/>
      </c>
    </row>
    <row r="2122">
      <c r="B2122" s="25" t="n"/>
      <c r="I2122" s="25" t="n"/>
      <c r="U2122" s="19">
        <f>IF(AND($V2122='設定'!$C$4,COUNTIF('商品マスタ'!$B$6:$B$1005,$W2122)=0),N(U2121)+1,N(U2121))</f>
        <v/>
      </c>
      <c r="V2122" s="19">
        <f>IF($B2122="","",TEXT($B2122,"0000"))</f>
        <v/>
      </c>
      <c r="W2122" s="19">
        <f>IF($I2122="","",IF(ISNUMBER($I2122),TEXT($I2122,"0"),$I2122))</f>
        <v/>
      </c>
    </row>
    <row r="2123">
      <c r="B2123" s="25" t="n"/>
      <c r="I2123" s="25" t="n"/>
      <c r="U2123" s="19">
        <f>IF(AND($V2123='設定'!$C$4,COUNTIF('商品マスタ'!$B$6:$B$1005,$W2123)=0),N(U2122)+1,N(U2122))</f>
        <v/>
      </c>
      <c r="V2123" s="19">
        <f>IF($B2123="","",TEXT($B2123,"0000"))</f>
        <v/>
      </c>
      <c r="W2123" s="19">
        <f>IF($I2123="","",IF(ISNUMBER($I2123),TEXT($I2123,"0"),$I2123))</f>
        <v/>
      </c>
    </row>
    <row r="2124">
      <c r="B2124" s="25" t="n"/>
      <c r="I2124" s="25" t="n"/>
      <c r="U2124" s="19">
        <f>IF(AND($V2124='設定'!$C$4,COUNTIF('商品マスタ'!$B$6:$B$1005,$W2124)=0),N(U2123)+1,N(U2123))</f>
        <v/>
      </c>
      <c r="V2124" s="19">
        <f>IF($B2124="","",TEXT($B2124,"0000"))</f>
        <v/>
      </c>
      <c r="W2124" s="19">
        <f>IF($I2124="","",IF(ISNUMBER($I2124),TEXT($I2124,"0"),$I2124))</f>
        <v/>
      </c>
    </row>
    <row r="2125">
      <c r="B2125" s="25" t="n"/>
      <c r="I2125" s="25" t="n"/>
      <c r="U2125" s="19">
        <f>IF(AND($V2125='設定'!$C$4,COUNTIF('商品マスタ'!$B$6:$B$1005,$W2125)=0),N(U2124)+1,N(U2124))</f>
        <v/>
      </c>
      <c r="V2125" s="19">
        <f>IF($B2125="","",TEXT($B2125,"0000"))</f>
        <v/>
      </c>
      <c r="W2125" s="19">
        <f>IF($I2125="","",IF(ISNUMBER($I2125),TEXT($I2125,"0"),$I2125))</f>
        <v/>
      </c>
    </row>
    <row r="2126">
      <c r="B2126" s="25" t="n"/>
      <c r="I2126" s="25" t="n"/>
      <c r="U2126" s="19">
        <f>IF(AND($V2126='設定'!$C$4,COUNTIF('商品マスタ'!$B$6:$B$1005,$W2126)=0),N(U2125)+1,N(U2125))</f>
        <v/>
      </c>
      <c r="V2126" s="19">
        <f>IF($B2126="","",TEXT($B2126,"0000"))</f>
        <v/>
      </c>
      <c r="W2126" s="19">
        <f>IF($I2126="","",IF(ISNUMBER($I2126),TEXT($I2126,"0"),$I2126))</f>
        <v/>
      </c>
    </row>
    <row r="2127">
      <c r="B2127" s="25" t="n"/>
      <c r="I2127" s="25" t="n"/>
      <c r="U2127" s="19">
        <f>IF(AND($V2127='設定'!$C$4,COUNTIF('商品マスタ'!$B$6:$B$1005,$W2127)=0),N(U2126)+1,N(U2126))</f>
        <v/>
      </c>
      <c r="V2127" s="19">
        <f>IF($B2127="","",TEXT($B2127,"0000"))</f>
        <v/>
      </c>
      <c r="W2127" s="19">
        <f>IF($I2127="","",IF(ISNUMBER($I2127),TEXT($I2127,"0"),$I2127))</f>
        <v/>
      </c>
    </row>
    <row r="2128">
      <c r="B2128" s="25" t="n"/>
      <c r="I2128" s="25" t="n"/>
      <c r="U2128" s="19">
        <f>IF(AND($V2128='設定'!$C$4,COUNTIF('商品マスタ'!$B$6:$B$1005,$W2128)=0),N(U2127)+1,N(U2127))</f>
        <v/>
      </c>
      <c r="V2128" s="19">
        <f>IF($B2128="","",TEXT($B2128,"0000"))</f>
        <v/>
      </c>
      <c r="W2128" s="19">
        <f>IF($I2128="","",IF(ISNUMBER($I2128),TEXT($I2128,"0"),$I2128))</f>
        <v/>
      </c>
    </row>
    <row r="2129">
      <c r="B2129" s="25" t="n"/>
      <c r="I2129" s="25" t="n"/>
      <c r="U2129" s="19">
        <f>IF(AND($V2129='設定'!$C$4,COUNTIF('商品マスタ'!$B$6:$B$1005,$W2129)=0),N(U2128)+1,N(U2128))</f>
        <v/>
      </c>
      <c r="V2129" s="19">
        <f>IF($B2129="","",TEXT($B2129,"0000"))</f>
        <v/>
      </c>
      <c r="W2129" s="19">
        <f>IF($I2129="","",IF(ISNUMBER($I2129),TEXT($I2129,"0"),$I2129))</f>
        <v/>
      </c>
    </row>
    <row r="2130">
      <c r="B2130" s="25" t="n"/>
      <c r="I2130" s="25" t="n"/>
      <c r="U2130" s="19">
        <f>IF(AND($V2130='設定'!$C$4,COUNTIF('商品マスタ'!$B$6:$B$1005,$W2130)=0),N(U2129)+1,N(U2129))</f>
        <v/>
      </c>
      <c r="V2130" s="19">
        <f>IF($B2130="","",TEXT($B2130,"0000"))</f>
        <v/>
      </c>
      <c r="W2130" s="19">
        <f>IF($I2130="","",IF(ISNUMBER($I2130),TEXT($I2130,"0"),$I2130))</f>
        <v/>
      </c>
    </row>
    <row r="2131">
      <c r="B2131" s="25" t="n"/>
      <c r="I2131" s="25" t="n"/>
      <c r="U2131" s="19">
        <f>IF(AND($V2131='設定'!$C$4,COUNTIF('商品マスタ'!$B$6:$B$1005,$W2131)=0),N(U2130)+1,N(U2130))</f>
        <v/>
      </c>
      <c r="V2131" s="19">
        <f>IF($B2131="","",TEXT($B2131,"0000"))</f>
        <v/>
      </c>
      <c r="W2131" s="19">
        <f>IF($I2131="","",IF(ISNUMBER($I2131),TEXT($I2131,"0"),$I2131))</f>
        <v/>
      </c>
    </row>
    <row r="2132">
      <c r="B2132" s="25" t="n"/>
      <c r="I2132" s="25" t="n"/>
      <c r="U2132" s="19">
        <f>IF(AND($V2132='設定'!$C$4,COUNTIF('商品マスタ'!$B$6:$B$1005,$W2132)=0),N(U2131)+1,N(U2131))</f>
        <v/>
      </c>
      <c r="V2132" s="19">
        <f>IF($B2132="","",TEXT($B2132,"0000"))</f>
        <v/>
      </c>
      <c r="W2132" s="19">
        <f>IF($I2132="","",IF(ISNUMBER($I2132),TEXT($I2132,"0"),$I2132))</f>
        <v/>
      </c>
    </row>
    <row r="2133">
      <c r="B2133" s="25" t="n"/>
      <c r="I2133" s="25" t="n"/>
      <c r="U2133" s="19">
        <f>IF(AND($V2133='設定'!$C$4,COUNTIF('商品マスタ'!$B$6:$B$1005,$W2133)=0),N(U2132)+1,N(U2132))</f>
        <v/>
      </c>
      <c r="V2133" s="19">
        <f>IF($B2133="","",TEXT($B2133,"0000"))</f>
        <v/>
      </c>
      <c r="W2133" s="19">
        <f>IF($I2133="","",IF(ISNUMBER($I2133),TEXT($I2133,"0"),$I2133))</f>
        <v/>
      </c>
    </row>
    <row r="2134">
      <c r="B2134" s="25" t="n"/>
      <c r="I2134" s="25" t="n"/>
      <c r="U2134" s="19">
        <f>IF(AND($V2134='設定'!$C$4,COUNTIF('商品マスタ'!$B$6:$B$1005,$W2134)=0),N(U2133)+1,N(U2133))</f>
        <v/>
      </c>
      <c r="V2134" s="19">
        <f>IF($B2134="","",TEXT($B2134,"0000"))</f>
        <v/>
      </c>
      <c r="W2134" s="19">
        <f>IF($I2134="","",IF(ISNUMBER($I2134),TEXT($I2134,"0"),$I2134))</f>
        <v/>
      </c>
    </row>
    <row r="2135">
      <c r="B2135" s="25" t="n"/>
      <c r="I2135" s="25" t="n"/>
      <c r="U2135" s="19">
        <f>IF(AND($V2135='設定'!$C$4,COUNTIF('商品マスタ'!$B$6:$B$1005,$W2135)=0),N(U2134)+1,N(U2134))</f>
        <v/>
      </c>
      <c r="V2135" s="19">
        <f>IF($B2135="","",TEXT($B2135,"0000"))</f>
        <v/>
      </c>
      <c r="W2135" s="19">
        <f>IF($I2135="","",IF(ISNUMBER($I2135),TEXT($I2135,"0"),$I2135))</f>
        <v/>
      </c>
    </row>
    <row r="2136">
      <c r="B2136" s="25" t="n"/>
      <c r="I2136" s="25" t="n"/>
      <c r="U2136" s="19">
        <f>IF(AND($V2136='設定'!$C$4,COUNTIF('商品マスタ'!$B$6:$B$1005,$W2136)=0),N(U2135)+1,N(U2135))</f>
        <v/>
      </c>
      <c r="V2136" s="19">
        <f>IF($B2136="","",TEXT($B2136,"0000"))</f>
        <v/>
      </c>
      <c r="W2136" s="19">
        <f>IF($I2136="","",IF(ISNUMBER($I2136),TEXT($I2136,"0"),$I2136))</f>
        <v/>
      </c>
    </row>
    <row r="2137">
      <c r="B2137" s="25" t="n"/>
      <c r="I2137" s="25" t="n"/>
      <c r="U2137" s="19">
        <f>IF(AND($V2137='設定'!$C$4,COUNTIF('商品マスタ'!$B$6:$B$1005,$W2137)=0),N(U2136)+1,N(U2136))</f>
        <v/>
      </c>
      <c r="V2137" s="19">
        <f>IF($B2137="","",TEXT($B2137,"0000"))</f>
        <v/>
      </c>
      <c r="W2137" s="19">
        <f>IF($I2137="","",IF(ISNUMBER($I2137),TEXT($I2137,"0"),$I2137))</f>
        <v/>
      </c>
    </row>
    <row r="2138">
      <c r="B2138" s="25" t="n"/>
      <c r="I2138" s="25" t="n"/>
      <c r="U2138" s="19">
        <f>IF(AND($V2138='設定'!$C$4,COUNTIF('商品マスタ'!$B$6:$B$1005,$W2138)=0),N(U2137)+1,N(U2137))</f>
        <v/>
      </c>
      <c r="V2138" s="19">
        <f>IF($B2138="","",TEXT($B2138,"0000"))</f>
        <v/>
      </c>
      <c r="W2138" s="19">
        <f>IF($I2138="","",IF(ISNUMBER($I2138),TEXT($I2138,"0"),$I2138))</f>
        <v/>
      </c>
    </row>
    <row r="2139">
      <c r="B2139" s="25" t="n"/>
      <c r="I2139" s="25" t="n"/>
      <c r="U2139" s="19">
        <f>IF(AND($V2139='設定'!$C$4,COUNTIF('商品マスタ'!$B$6:$B$1005,$W2139)=0),N(U2138)+1,N(U2138))</f>
        <v/>
      </c>
      <c r="V2139" s="19">
        <f>IF($B2139="","",TEXT($B2139,"0000"))</f>
        <v/>
      </c>
      <c r="W2139" s="19">
        <f>IF($I2139="","",IF(ISNUMBER($I2139),TEXT($I2139,"0"),$I2139))</f>
        <v/>
      </c>
    </row>
    <row r="2140">
      <c r="B2140" s="25" t="n"/>
      <c r="I2140" s="25" t="n"/>
      <c r="U2140" s="19">
        <f>IF(AND($V2140='設定'!$C$4,COUNTIF('商品マスタ'!$B$6:$B$1005,$W2140)=0),N(U2139)+1,N(U2139))</f>
        <v/>
      </c>
      <c r="V2140" s="19">
        <f>IF($B2140="","",TEXT($B2140,"0000"))</f>
        <v/>
      </c>
      <c r="W2140" s="19">
        <f>IF($I2140="","",IF(ISNUMBER($I2140),TEXT($I2140,"0"),$I2140))</f>
        <v/>
      </c>
    </row>
    <row r="2141">
      <c r="B2141" s="25" t="n"/>
      <c r="I2141" s="25" t="n"/>
      <c r="U2141" s="19">
        <f>IF(AND($V2141='設定'!$C$4,COUNTIF('商品マスタ'!$B$6:$B$1005,$W2141)=0),N(U2140)+1,N(U2140))</f>
        <v/>
      </c>
      <c r="V2141" s="19">
        <f>IF($B2141="","",TEXT($B2141,"0000"))</f>
        <v/>
      </c>
      <c r="W2141" s="19">
        <f>IF($I2141="","",IF(ISNUMBER($I2141),TEXT($I2141,"0"),$I2141))</f>
        <v/>
      </c>
    </row>
    <row r="2142">
      <c r="B2142" s="25" t="n"/>
      <c r="I2142" s="25" t="n"/>
      <c r="U2142" s="19">
        <f>IF(AND($V2142='設定'!$C$4,COUNTIF('商品マスタ'!$B$6:$B$1005,$W2142)=0),N(U2141)+1,N(U2141))</f>
        <v/>
      </c>
      <c r="V2142" s="19">
        <f>IF($B2142="","",TEXT($B2142,"0000"))</f>
        <v/>
      </c>
      <c r="W2142" s="19">
        <f>IF($I2142="","",IF(ISNUMBER($I2142),TEXT($I2142,"0"),$I2142))</f>
        <v/>
      </c>
    </row>
    <row r="2143">
      <c r="B2143" s="25" t="n"/>
      <c r="I2143" s="25" t="n"/>
      <c r="U2143" s="19">
        <f>IF(AND($V2143='設定'!$C$4,COUNTIF('商品マスタ'!$B$6:$B$1005,$W2143)=0),N(U2142)+1,N(U2142))</f>
        <v/>
      </c>
      <c r="V2143" s="19">
        <f>IF($B2143="","",TEXT($B2143,"0000"))</f>
        <v/>
      </c>
      <c r="W2143" s="19">
        <f>IF($I2143="","",IF(ISNUMBER($I2143),TEXT($I2143,"0"),$I2143))</f>
        <v/>
      </c>
    </row>
    <row r="2144">
      <c r="B2144" s="25" t="n"/>
      <c r="I2144" s="25" t="n"/>
      <c r="U2144" s="19">
        <f>IF(AND($V2144='設定'!$C$4,COUNTIF('商品マスタ'!$B$6:$B$1005,$W2144)=0),N(U2143)+1,N(U2143))</f>
        <v/>
      </c>
      <c r="V2144" s="19">
        <f>IF($B2144="","",TEXT($B2144,"0000"))</f>
        <v/>
      </c>
      <c r="W2144" s="19">
        <f>IF($I2144="","",IF(ISNUMBER($I2144),TEXT($I2144,"0"),$I2144))</f>
        <v/>
      </c>
    </row>
    <row r="2145">
      <c r="B2145" s="25" t="n"/>
      <c r="I2145" s="25" t="n"/>
      <c r="U2145" s="19">
        <f>IF(AND($V2145='設定'!$C$4,COUNTIF('商品マスタ'!$B$6:$B$1005,$W2145)=0),N(U2144)+1,N(U2144))</f>
        <v/>
      </c>
      <c r="V2145" s="19">
        <f>IF($B2145="","",TEXT($B2145,"0000"))</f>
        <v/>
      </c>
      <c r="W2145" s="19">
        <f>IF($I2145="","",IF(ISNUMBER($I2145),TEXT($I2145,"0"),$I2145))</f>
        <v/>
      </c>
    </row>
    <row r="2146">
      <c r="B2146" s="25" t="n"/>
      <c r="I2146" s="25" t="n"/>
      <c r="U2146" s="19">
        <f>IF(AND($V2146='設定'!$C$4,COUNTIF('商品マスタ'!$B$6:$B$1005,$W2146)=0),N(U2145)+1,N(U2145))</f>
        <v/>
      </c>
      <c r="V2146" s="19">
        <f>IF($B2146="","",TEXT($B2146,"0000"))</f>
        <v/>
      </c>
      <c r="W2146" s="19">
        <f>IF($I2146="","",IF(ISNUMBER($I2146),TEXT($I2146,"0"),$I2146))</f>
        <v/>
      </c>
    </row>
    <row r="2147">
      <c r="B2147" s="25" t="n"/>
      <c r="I2147" s="25" t="n"/>
      <c r="U2147" s="19">
        <f>IF(AND($V2147='設定'!$C$4,COUNTIF('商品マスタ'!$B$6:$B$1005,$W2147)=0),N(U2146)+1,N(U2146))</f>
        <v/>
      </c>
      <c r="V2147" s="19">
        <f>IF($B2147="","",TEXT($B2147,"0000"))</f>
        <v/>
      </c>
      <c r="W2147" s="19">
        <f>IF($I2147="","",IF(ISNUMBER($I2147),TEXT($I2147,"0"),$I2147))</f>
        <v/>
      </c>
    </row>
    <row r="2148">
      <c r="B2148" s="25" t="n"/>
      <c r="I2148" s="25" t="n"/>
      <c r="U2148" s="19">
        <f>IF(AND($V2148='設定'!$C$4,COUNTIF('商品マスタ'!$B$6:$B$1005,$W2148)=0),N(U2147)+1,N(U2147))</f>
        <v/>
      </c>
      <c r="V2148" s="19">
        <f>IF($B2148="","",TEXT($B2148,"0000"))</f>
        <v/>
      </c>
      <c r="W2148" s="19">
        <f>IF($I2148="","",IF(ISNUMBER($I2148),TEXT($I2148,"0"),$I2148))</f>
        <v/>
      </c>
    </row>
    <row r="2149">
      <c r="B2149" s="25" t="n"/>
      <c r="I2149" s="25" t="n"/>
      <c r="U2149" s="19">
        <f>IF(AND($V2149='設定'!$C$4,COUNTIF('商品マスタ'!$B$6:$B$1005,$W2149)=0),N(U2148)+1,N(U2148))</f>
        <v/>
      </c>
      <c r="V2149" s="19">
        <f>IF($B2149="","",TEXT($B2149,"0000"))</f>
        <v/>
      </c>
      <c r="W2149" s="19">
        <f>IF($I2149="","",IF(ISNUMBER($I2149),TEXT($I2149,"0"),$I2149))</f>
        <v/>
      </c>
    </row>
    <row r="2150">
      <c r="B2150" s="25" t="n"/>
      <c r="I2150" s="25" t="n"/>
      <c r="U2150" s="19">
        <f>IF(AND($V2150='設定'!$C$4,COUNTIF('商品マスタ'!$B$6:$B$1005,$W2150)=0),N(U2149)+1,N(U2149))</f>
        <v/>
      </c>
      <c r="V2150" s="19">
        <f>IF($B2150="","",TEXT($B2150,"0000"))</f>
        <v/>
      </c>
      <c r="W2150" s="19">
        <f>IF($I2150="","",IF(ISNUMBER($I2150),TEXT($I2150,"0"),$I2150))</f>
        <v/>
      </c>
    </row>
    <row r="2151">
      <c r="B2151" s="25" t="n"/>
      <c r="I2151" s="25" t="n"/>
      <c r="U2151" s="19">
        <f>IF(AND($V2151='設定'!$C$4,COUNTIF('商品マスタ'!$B$6:$B$1005,$W2151)=0),N(U2150)+1,N(U2150))</f>
        <v/>
      </c>
      <c r="V2151" s="19">
        <f>IF($B2151="","",TEXT($B2151,"0000"))</f>
        <v/>
      </c>
      <c r="W2151" s="19">
        <f>IF($I2151="","",IF(ISNUMBER($I2151),TEXT($I2151,"0"),$I2151))</f>
        <v/>
      </c>
    </row>
    <row r="2152">
      <c r="B2152" s="25" t="n"/>
      <c r="I2152" s="25" t="n"/>
      <c r="U2152" s="19">
        <f>IF(AND($V2152='設定'!$C$4,COUNTIF('商品マスタ'!$B$6:$B$1005,$W2152)=0),N(U2151)+1,N(U2151))</f>
        <v/>
      </c>
      <c r="V2152" s="19">
        <f>IF($B2152="","",TEXT($B2152,"0000"))</f>
        <v/>
      </c>
      <c r="W2152" s="19">
        <f>IF($I2152="","",IF(ISNUMBER($I2152),TEXT($I2152,"0"),$I2152))</f>
        <v/>
      </c>
    </row>
    <row r="2153">
      <c r="B2153" s="25" t="n"/>
      <c r="I2153" s="25" t="n"/>
      <c r="U2153" s="19">
        <f>IF(AND($V2153='設定'!$C$4,COUNTIF('商品マスタ'!$B$6:$B$1005,$W2153)=0),N(U2152)+1,N(U2152))</f>
        <v/>
      </c>
      <c r="V2153" s="19">
        <f>IF($B2153="","",TEXT($B2153,"0000"))</f>
        <v/>
      </c>
      <c r="W2153" s="19">
        <f>IF($I2153="","",IF(ISNUMBER($I2153),TEXT($I2153,"0"),$I2153))</f>
        <v/>
      </c>
    </row>
    <row r="2154">
      <c r="B2154" s="25" t="n"/>
      <c r="I2154" s="25" t="n"/>
      <c r="U2154" s="19">
        <f>IF(AND($V2154='設定'!$C$4,COUNTIF('商品マスタ'!$B$6:$B$1005,$W2154)=0),N(U2153)+1,N(U2153))</f>
        <v/>
      </c>
      <c r="V2154" s="19">
        <f>IF($B2154="","",TEXT($B2154,"0000"))</f>
        <v/>
      </c>
      <c r="W2154" s="19">
        <f>IF($I2154="","",IF(ISNUMBER($I2154),TEXT($I2154,"0"),$I2154))</f>
        <v/>
      </c>
    </row>
    <row r="2155">
      <c r="B2155" s="25" t="n"/>
      <c r="I2155" s="25" t="n"/>
      <c r="U2155" s="19">
        <f>IF(AND($V2155='設定'!$C$4,COUNTIF('商品マスタ'!$B$6:$B$1005,$W2155)=0),N(U2154)+1,N(U2154))</f>
        <v/>
      </c>
      <c r="V2155" s="19">
        <f>IF($B2155="","",TEXT($B2155,"0000"))</f>
        <v/>
      </c>
      <c r="W2155" s="19">
        <f>IF($I2155="","",IF(ISNUMBER($I2155),TEXT($I2155,"0"),$I2155))</f>
        <v/>
      </c>
    </row>
    <row r="2156">
      <c r="B2156" s="25" t="n"/>
      <c r="I2156" s="25" t="n"/>
      <c r="U2156" s="19">
        <f>IF(AND($V2156='設定'!$C$4,COUNTIF('商品マスタ'!$B$6:$B$1005,$W2156)=0),N(U2155)+1,N(U2155))</f>
        <v/>
      </c>
      <c r="V2156" s="19">
        <f>IF($B2156="","",TEXT($B2156,"0000"))</f>
        <v/>
      </c>
      <c r="W2156" s="19">
        <f>IF($I2156="","",IF(ISNUMBER($I2156),TEXT($I2156,"0"),$I2156))</f>
        <v/>
      </c>
    </row>
    <row r="2157">
      <c r="B2157" s="25" t="n"/>
      <c r="I2157" s="25" t="n"/>
      <c r="U2157" s="19">
        <f>IF(AND($V2157='設定'!$C$4,COUNTIF('商品マスタ'!$B$6:$B$1005,$W2157)=0),N(U2156)+1,N(U2156))</f>
        <v/>
      </c>
      <c r="V2157" s="19">
        <f>IF($B2157="","",TEXT($B2157,"0000"))</f>
        <v/>
      </c>
      <c r="W2157" s="19">
        <f>IF($I2157="","",IF(ISNUMBER($I2157),TEXT($I2157,"0"),$I2157))</f>
        <v/>
      </c>
    </row>
    <row r="2158">
      <c r="B2158" s="25" t="n"/>
      <c r="I2158" s="25" t="n"/>
      <c r="U2158" s="19">
        <f>IF(AND($V2158='設定'!$C$4,COUNTIF('商品マスタ'!$B$6:$B$1005,$W2158)=0),N(U2157)+1,N(U2157))</f>
        <v/>
      </c>
      <c r="V2158" s="19">
        <f>IF($B2158="","",TEXT($B2158,"0000"))</f>
        <v/>
      </c>
      <c r="W2158" s="19">
        <f>IF($I2158="","",IF(ISNUMBER($I2158),TEXT($I2158,"0"),$I2158))</f>
        <v/>
      </c>
    </row>
    <row r="2159">
      <c r="B2159" s="25" t="n"/>
      <c r="I2159" s="25" t="n"/>
      <c r="U2159" s="19">
        <f>IF(AND($V2159='設定'!$C$4,COUNTIF('商品マスタ'!$B$6:$B$1005,$W2159)=0),N(U2158)+1,N(U2158))</f>
        <v/>
      </c>
      <c r="V2159" s="19">
        <f>IF($B2159="","",TEXT($B2159,"0000"))</f>
        <v/>
      </c>
      <c r="W2159" s="19">
        <f>IF($I2159="","",IF(ISNUMBER($I2159),TEXT($I2159,"0"),$I2159))</f>
        <v/>
      </c>
    </row>
    <row r="2160">
      <c r="B2160" s="25" t="n"/>
      <c r="I2160" s="25" t="n"/>
      <c r="U2160" s="19">
        <f>IF(AND($V2160='設定'!$C$4,COUNTIF('商品マスタ'!$B$6:$B$1005,$W2160)=0),N(U2159)+1,N(U2159))</f>
        <v/>
      </c>
      <c r="V2160" s="19">
        <f>IF($B2160="","",TEXT($B2160,"0000"))</f>
        <v/>
      </c>
      <c r="W2160" s="19">
        <f>IF($I2160="","",IF(ISNUMBER($I2160),TEXT($I2160,"0"),$I2160))</f>
        <v/>
      </c>
    </row>
    <row r="2161">
      <c r="B2161" s="25" t="n"/>
      <c r="I2161" s="25" t="n"/>
      <c r="U2161" s="19">
        <f>IF(AND($V2161='設定'!$C$4,COUNTIF('商品マスタ'!$B$6:$B$1005,$W2161)=0),N(U2160)+1,N(U2160))</f>
        <v/>
      </c>
      <c r="V2161" s="19">
        <f>IF($B2161="","",TEXT($B2161,"0000"))</f>
        <v/>
      </c>
      <c r="W2161" s="19">
        <f>IF($I2161="","",IF(ISNUMBER($I2161),TEXT($I2161,"0"),$I2161))</f>
        <v/>
      </c>
    </row>
    <row r="2162">
      <c r="B2162" s="25" t="n"/>
      <c r="I2162" s="25" t="n"/>
      <c r="U2162" s="19">
        <f>IF(AND($V2162='設定'!$C$4,COUNTIF('商品マスタ'!$B$6:$B$1005,$W2162)=0),N(U2161)+1,N(U2161))</f>
        <v/>
      </c>
      <c r="V2162" s="19">
        <f>IF($B2162="","",TEXT($B2162,"0000"))</f>
        <v/>
      </c>
      <c r="W2162" s="19">
        <f>IF($I2162="","",IF(ISNUMBER($I2162),TEXT($I2162,"0"),$I2162))</f>
        <v/>
      </c>
    </row>
    <row r="2163">
      <c r="B2163" s="25" t="n"/>
      <c r="I2163" s="25" t="n"/>
      <c r="U2163" s="19">
        <f>IF(AND($V2163='設定'!$C$4,COUNTIF('商品マスタ'!$B$6:$B$1005,$W2163)=0),N(U2162)+1,N(U2162))</f>
        <v/>
      </c>
      <c r="V2163" s="19">
        <f>IF($B2163="","",TEXT($B2163,"0000"))</f>
        <v/>
      </c>
      <c r="W2163" s="19">
        <f>IF($I2163="","",IF(ISNUMBER($I2163),TEXT($I2163,"0"),$I2163))</f>
        <v/>
      </c>
    </row>
    <row r="2164">
      <c r="B2164" s="25" t="n"/>
      <c r="I2164" s="25" t="n"/>
      <c r="U2164" s="19">
        <f>IF(AND($V2164='設定'!$C$4,COUNTIF('商品マスタ'!$B$6:$B$1005,$W2164)=0),N(U2163)+1,N(U2163))</f>
        <v/>
      </c>
      <c r="V2164" s="19">
        <f>IF($B2164="","",TEXT($B2164,"0000"))</f>
        <v/>
      </c>
      <c r="W2164" s="19">
        <f>IF($I2164="","",IF(ISNUMBER($I2164),TEXT($I2164,"0"),$I2164))</f>
        <v/>
      </c>
    </row>
    <row r="2165">
      <c r="B2165" s="25" t="n"/>
      <c r="I2165" s="25" t="n"/>
      <c r="U2165" s="19">
        <f>IF(AND($V2165='設定'!$C$4,COUNTIF('商品マスタ'!$B$6:$B$1005,$W2165)=0),N(U2164)+1,N(U2164))</f>
        <v/>
      </c>
      <c r="V2165" s="19">
        <f>IF($B2165="","",TEXT($B2165,"0000"))</f>
        <v/>
      </c>
      <c r="W2165" s="19">
        <f>IF($I2165="","",IF(ISNUMBER($I2165),TEXT($I2165,"0"),$I2165))</f>
        <v/>
      </c>
    </row>
    <row r="2166">
      <c r="B2166" s="25" t="n"/>
      <c r="I2166" s="25" t="n"/>
      <c r="U2166" s="19">
        <f>IF(AND($V2166='設定'!$C$4,COUNTIF('商品マスタ'!$B$6:$B$1005,$W2166)=0),N(U2165)+1,N(U2165))</f>
        <v/>
      </c>
      <c r="V2166" s="19">
        <f>IF($B2166="","",TEXT($B2166,"0000"))</f>
        <v/>
      </c>
      <c r="W2166" s="19">
        <f>IF($I2166="","",IF(ISNUMBER($I2166),TEXT($I2166,"0"),$I2166))</f>
        <v/>
      </c>
    </row>
    <row r="2167">
      <c r="B2167" s="25" t="n"/>
      <c r="I2167" s="25" t="n"/>
      <c r="U2167" s="19">
        <f>IF(AND($V2167='設定'!$C$4,COUNTIF('商品マスタ'!$B$6:$B$1005,$W2167)=0),N(U2166)+1,N(U2166))</f>
        <v/>
      </c>
      <c r="V2167" s="19">
        <f>IF($B2167="","",TEXT($B2167,"0000"))</f>
        <v/>
      </c>
      <c r="W2167" s="19">
        <f>IF($I2167="","",IF(ISNUMBER($I2167),TEXT($I2167,"0"),$I2167))</f>
        <v/>
      </c>
    </row>
    <row r="2168">
      <c r="B2168" s="25" t="n"/>
      <c r="I2168" s="25" t="n"/>
      <c r="U2168" s="19">
        <f>IF(AND($V2168='設定'!$C$4,COUNTIF('商品マスタ'!$B$6:$B$1005,$W2168)=0),N(U2167)+1,N(U2167))</f>
        <v/>
      </c>
      <c r="V2168" s="19">
        <f>IF($B2168="","",TEXT($B2168,"0000"))</f>
        <v/>
      </c>
      <c r="W2168" s="19">
        <f>IF($I2168="","",IF(ISNUMBER($I2168),TEXT($I2168,"0"),$I2168))</f>
        <v/>
      </c>
    </row>
    <row r="2169">
      <c r="B2169" s="25" t="n"/>
      <c r="I2169" s="25" t="n"/>
      <c r="U2169" s="19">
        <f>IF(AND($V2169='設定'!$C$4,COUNTIF('商品マスタ'!$B$6:$B$1005,$W2169)=0),N(U2168)+1,N(U2168))</f>
        <v/>
      </c>
      <c r="V2169" s="19">
        <f>IF($B2169="","",TEXT($B2169,"0000"))</f>
        <v/>
      </c>
      <c r="W2169" s="19">
        <f>IF($I2169="","",IF(ISNUMBER($I2169),TEXT($I2169,"0"),$I2169))</f>
        <v/>
      </c>
    </row>
    <row r="2170">
      <c r="B2170" s="25" t="n"/>
      <c r="I2170" s="25" t="n"/>
      <c r="U2170" s="19">
        <f>IF(AND($V2170='設定'!$C$4,COUNTIF('商品マスタ'!$B$6:$B$1005,$W2170)=0),N(U2169)+1,N(U2169))</f>
        <v/>
      </c>
      <c r="V2170" s="19">
        <f>IF($B2170="","",TEXT($B2170,"0000"))</f>
        <v/>
      </c>
      <c r="W2170" s="19">
        <f>IF($I2170="","",IF(ISNUMBER($I2170),TEXT($I2170,"0"),$I2170))</f>
        <v/>
      </c>
    </row>
    <row r="2171">
      <c r="B2171" s="25" t="n"/>
      <c r="I2171" s="25" t="n"/>
      <c r="U2171" s="19">
        <f>IF(AND($V2171='設定'!$C$4,COUNTIF('商品マスタ'!$B$6:$B$1005,$W2171)=0),N(U2170)+1,N(U2170))</f>
        <v/>
      </c>
      <c r="V2171" s="19">
        <f>IF($B2171="","",TEXT($B2171,"0000"))</f>
        <v/>
      </c>
      <c r="W2171" s="19">
        <f>IF($I2171="","",IF(ISNUMBER($I2171),TEXT($I2171,"0"),$I2171))</f>
        <v/>
      </c>
    </row>
    <row r="2172">
      <c r="B2172" s="25" t="n"/>
      <c r="I2172" s="25" t="n"/>
      <c r="U2172" s="19">
        <f>IF(AND($V2172='設定'!$C$4,COUNTIF('商品マスタ'!$B$6:$B$1005,$W2172)=0),N(U2171)+1,N(U2171))</f>
        <v/>
      </c>
      <c r="V2172" s="19">
        <f>IF($B2172="","",TEXT($B2172,"0000"))</f>
        <v/>
      </c>
      <c r="W2172" s="19">
        <f>IF($I2172="","",IF(ISNUMBER($I2172),TEXT($I2172,"0"),$I2172))</f>
        <v/>
      </c>
    </row>
    <row r="2173">
      <c r="B2173" s="25" t="n"/>
      <c r="I2173" s="25" t="n"/>
      <c r="U2173" s="19">
        <f>IF(AND($V2173='設定'!$C$4,COUNTIF('商品マスタ'!$B$6:$B$1005,$W2173)=0),N(U2172)+1,N(U2172))</f>
        <v/>
      </c>
      <c r="V2173" s="19">
        <f>IF($B2173="","",TEXT($B2173,"0000"))</f>
        <v/>
      </c>
      <c r="W2173" s="19">
        <f>IF($I2173="","",IF(ISNUMBER($I2173),TEXT($I2173,"0"),$I2173))</f>
        <v/>
      </c>
    </row>
    <row r="2174">
      <c r="B2174" s="25" t="n"/>
      <c r="I2174" s="25" t="n"/>
      <c r="U2174" s="19">
        <f>IF(AND($V2174='設定'!$C$4,COUNTIF('商品マスタ'!$B$6:$B$1005,$W2174)=0),N(U2173)+1,N(U2173))</f>
        <v/>
      </c>
      <c r="V2174" s="19">
        <f>IF($B2174="","",TEXT($B2174,"0000"))</f>
        <v/>
      </c>
      <c r="W2174" s="19">
        <f>IF($I2174="","",IF(ISNUMBER($I2174),TEXT($I2174,"0"),$I2174))</f>
        <v/>
      </c>
    </row>
    <row r="2175">
      <c r="B2175" s="25" t="n"/>
      <c r="I2175" s="25" t="n"/>
      <c r="U2175" s="19">
        <f>IF(AND($V2175='設定'!$C$4,COUNTIF('商品マスタ'!$B$6:$B$1005,$W2175)=0),N(U2174)+1,N(U2174))</f>
        <v/>
      </c>
      <c r="V2175" s="19">
        <f>IF($B2175="","",TEXT($B2175,"0000"))</f>
        <v/>
      </c>
      <c r="W2175" s="19">
        <f>IF($I2175="","",IF(ISNUMBER($I2175),TEXT($I2175,"0"),$I2175))</f>
        <v/>
      </c>
    </row>
    <row r="2176">
      <c r="B2176" s="25" t="n"/>
      <c r="I2176" s="25" t="n"/>
      <c r="U2176" s="19">
        <f>IF(AND($V2176='設定'!$C$4,COUNTIF('商品マスタ'!$B$6:$B$1005,$W2176)=0),N(U2175)+1,N(U2175))</f>
        <v/>
      </c>
      <c r="V2176" s="19">
        <f>IF($B2176="","",TEXT($B2176,"0000"))</f>
        <v/>
      </c>
      <c r="W2176" s="19">
        <f>IF($I2176="","",IF(ISNUMBER($I2176),TEXT($I2176,"0"),$I2176))</f>
        <v/>
      </c>
    </row>
    <row r="2177">
      <c r="B2177" s="25" t="n"/>
      <c r="I2177" s="25" t="n"/>
      <c r="U2177" s="19">
        <f>IF(AND($V2177='設定'!$C$4,COUNTIF('商品マスタ'!$B$6:$B$1005,$W2177)=0),N(U2176)+1,N(U2176))</f>
        <v/>
      </c>
      <c r="V2177" s="19">
        <f>IF($B2177="","",TEXT($B2177,"0000"))</f>
        <v/>
      </c>
      <c r="W2177" s="19">
        <f>IF($I2177="","",IF(ISNUMBER($I2177),TEXT($I2177,"0"),$I2177))</f>
        <v/>
      </c>
    </row>
    <row r="2178">
      <c r="B2178" s="25" t="n"/>
      <c r="I2178" s="25" t="n"/>
      <c r="U2178" s="19">
        <f>IF(AND($V2178='設定'!$C$4,COUNTIF('商品マスタ'!$B$6:$B$1005,$W2178)=0),N(U2177)+1,N(U2177))</f>
        <v/>
      </c>
      <c r="V2178" s="19">
        <f>IF($B2178="","",TEXT($B2178,"0000"))</f>
        <v/>
      </c>
      <c r="W2178" s="19">
        <f>IF($I2178="","",IF(ISNUMBER($I2178),TEXT($I2178,"0"),$I2178))</f>
        <v/>
      </c>
    </row>
    <row r="2179">
      <c r="B2179" s="25" t="n"/>
      <c r="I2179" s="25" t="n"/>
      <c r="U2179" s="19">
        <f>IF(AND($V2179='設定'!$C$4,COUNTIF('商品マスタ'!$B$6:$B$1005,$W2179)=0),N(U2178)+1,N(U2178))</f>
        <v/>
      </c>
      <c r="V2179" s="19">
        <f>IF($B2179="","",TEXT($B2179,"0000"))</f>
        <v/>
      </c>
      <c r="W2179" s="19">
        <f>IF($I2179="","",IF(ISNUMBER($I2179),TEXT($I2179,"0"),$I2179))</f>
        <v/>
      </c>
    </row>
    <row r="2180">
      <c r="B2180" s="25" t="n"/>
      <c r="I2180" s="25" t="n"/>
      <c r="U2180" s="19">
        <f>IF(AND($V2180='設定'!$C$4,COUNTIF('商品マスタ'!$B$6:$B$1005,$W2180)=0),N(U2179)+1,N(U2179))</f>
        <v/>
      </c>
      <c r="V2180" s="19">
        <f>IF($B2180="","",TEXT($B2180,"0000"))</f>
        <v/>
      </c>
      <c r="W2180" s="19">
        <f>IF($I2180="","",IF(ISNUMBER($I2180),TEXT($I2180,"0"),$I2180))</f>
        <v/>
      </c>
    </row>
    <row r="2181">
      <c r="B2181" s="25" t="n"/>
      <c r="I2181" s="25" t="n"/>
      <c r="U2181" s="19">
        <f>IF(AND($V2181='設定'!$C$4,COUNTIF('商品マスタ'!$B$6:$B$1005,$W2181)=0),N(U2180)+1,N(U2180))</f>
        <v/>
      </c>
      <c r="V2181" s="19">
        <f>IF($B2181="","",TEXT($B2181,"0000"))</f>
        <v/>
      </c>
      <c r="W2181" s="19">
        <f>IF($I2181="","",IF(ISNUMBER($I2181),TEXT($I2181,"0"),$I2181))</f>
        <v/>
      </c>
    </row>
    <row r="2182">
      <c r="B2182" s="25" t="n"/>
      <c r="I2182" s="25" t="n"/>
      <c r="U2182" s="19">
        <f>IF(AND($V2182='設定'!$C$4,COUNTIF('商品マスタ'!$B$6:$B$1005,$W2182)=0),N(U2181)+1,N(U2181))</f>
        <v/>
      </c>
      <c r="V2182" s="19">
        <f>IF($B2182="","",TEXT($B2182,"0000"))</f>
        <v/>
      </c>
      <c r="W2182" s="19">
        <f>IF($I2182="","",IF(ISNUMBER($I2182),TEXT($I2182,"0"),$I2182))</f>
        <v/>
      </c>
    </row>
    <row r="2183">
      <c r="B2183" s="25" t="n"/>
      <c r="I2183" s="25" t="n"/>
      <c r="U2183" s="19">
        <f>IF(AND($V2183='設定'!$C$4,COUNTIF('商品マスタ'!$B$6:$B$1005,$W2183)=0),N(U2182)+1,N(U2182))</f>
        <v/>
      </c>
      <c r="V2183" s="19">
        <f>IF($B2183="","",TEXT($B2183,"0000"))</f>
        <v/>
      </c>
      <c r="W2183" s="19">
        <f>IF($I2183="","",IF(ISNUMBER($I2183),TEXT($I2183,"0"),$I2183))</f>
        <v/>
      </c>
    </row>
    <row r="2184">
      <c r="B2184" s="25" t="n"/>
      <c r="I2184" s="25" t="n"/>
      <c r="U2184" s="19">
        <f>IF(AND($V2184='設定'!$C$4,COUNTIF('商品マスタ'!$B$6:$B$1005,$W2184)=0),N(U2183)+1,N(U2183))</f>
        <v/>
      </c>
      <c r="V2184" s="19">
        <f>IF($B2184="","",TEXT($B2184,"0000"))</f>
        <v/>
      </c>
      <c r="W2184" s="19">
        <f>IF($I2184="","",IF(ISNUMBER($I2184),TEXT($I2184,"0"),$I2184))</f>
        <v/>
      </c>
    </row>
    <row r="2185">
      <c r="B2185" s="25" t="n"/>
      <c r="I2185" s="25" t="n"/>
      <c r="U2185" s="19">
        <f>IF(AND($V2185='設定'!$C$4,COUNTIF('商品マスタ'!$B$6:$B$1005,$W2185)=0),N(U2184)+1,N(U2184))</f>
        <v/>
      </c>
      <c r="V2185" s="19">
        <f>IF($B2185="","",TEXT($B2185,"0000"))</f>
        <v/>
      </c>
      <c r="W2185" s="19">
        <f>IF($I2185="","",IF(ISNUMBER($I2185),TEXT($I2185,"0"),$I2185))</f>
        <v/>
      </c>
    </row>
    <row r="2186">
      <c r="B2186" s="25" t="n"/>
      <c r="I2186" s="25" t="n"/>
      <c r="U2186" s="19">
        <f>IF(AND($V2186='設定'!$C$4,COUNTIF('商品マスタ'!$B$6:$B$1005,$W2186)=0),N(U2185)+1,N(U2185))</f>
        <v/>
      </c>
      <c r="V2186" s="19">
        <f>IF($B2186="","",TEXT($B2186,"0000"))</f>
        <v/>
      </c>
      <c r="W2186" s="19">
        <f>IF($I2186="","",IF(ISNUMBER($I2186),TEXT($I2186,"0"),$I2186))</f>
        <v/>
      </c>
    </row>
    <row r="2187">
      <c r="B2187" s="25" t="n"/>
      <c r="I2187" s="25" t="n"/>
      <c r="U2187" s="19">
        <f>IF(AND($V2187='設定'!$C$4,COUNTIF('商品マスタ'!$B$6:$B$1005,$W2187)=0),N(U2186)+1,N(U2186))</f>
        <v/>
      </c>
      <c r="V2187" s="19">
        <f>IF($B2187="","",TEXT($B2187,"0000"))</f>
        <v/>
      </c>
      <c r="W2187" s="19">
        <f>IF($I2187="","",IF(ISNUMBER($I2187),TEXT($I2187,"0"),$I2187))</f>
        <v/>
      </c>
    </row>
    <row r="2188">
      <c r="B2188" s="25" t="n"/>
      <c r="I2188" s="25" t="n"/>
      <c r="U2188" s="19">
        <f>IF(AND($V2188='設定'!$C$4,COUNTIF('商品マスタ'!$B$6:$B$1005,$W2188)=0),N(U2187)+1,N(U2187))</f>
        <v/>
      </c>
      <c r="V2188" s="19">
        <f>IF($B2188="","",TEXT($B2188,"0000"))</f>
        <v/>
      </c>
      <c r="W2188" s="19">
        <f>IF($I2188="","",IF(ISNUMBER($I2188),TEXT($I2188,"0"),$I2188))</f>
        <v/>
      </c>
    </row>
    <row r="2189">
      <c r="B2189" s="25" t="n"/>
      <c r="I2189" s="25" t="n"/>
      <c r="U2189" s="19">
        <f>IF(AND($V2189='設定'!$C$4,COUNTIF('商品マスタ'!$B$6:$B$1005,$W2189)=0),N(U2188)+1,N(U2188))</f>
        <v/>
      </c>
      <c r="V2189" s="19">
        <f>IF($B2189="","",TEXT($B2189,"0000"))</f>
        <v/>
      </c>
      <c r="W2189" s="19">
        <f>IF($I2189="","",IF(ISNUMBER($I2189),TEXT($I2189,"0"),$I2189))</f>
        <v/>
      </c>
    </row>
    <row r="2190">
      <c r="B2190" s="25" t="n"/>
      <c r="I2190" s="25" t="n"/>
      <c r="U2190" s="19">
        <f>IF(AND($V2190='設定'!$C$4,COUNTIF('商品マスタ'!$B$6:$B$1005,$W2190)=0),N(U2189)+1,N(U2189))</f>
        <v/>
      </c>
      <c r="V2190" s="19">
        <f>IF($B2190="","",TEXT($B2190,"0000"))</f>
        <v/>
      </c>
      <c r="W2190" s="19">
        <f>IF($I2190="","",IF(ISNUMBER($I2190),TEXT($I2190,"0"),$I2190))</f>
        <v/>
      </c>
    </row>
    <row r="2191">
      <c r="B2191" s="25" t="n"/>
      <c r="I2191" s="25" t="n"/>
      <c r="U2191" s="19">
        <f>IF(AND($V2191='設定'!$C$4,COUNTIF('商品マスタ'!$B$6:$B$1005,$W2191)=0),N(U2190)+1,N(U2190))</f>
        <v/>
      </c>
      <c r="V2191" s="19">
        <f>IF($B2191="","",TEXT($B2191,"0000"))</f>
        <v/>
      </c>
      <c r="W2191" s="19">
        <f>IF($I2191="","",IF(ISNUMBER($I2191),TEXT($I2191,"0"),$I2191))</f>
        <v/>
      </c>
    </row>
    <row r="2192">
      <c r="B2192" s="25" t="n"/>
      <c r="I2192" s="25" t="n"/>
      <c r="U2192" s="19">
        <f>IF(AND($V2192='設定'!$C$4,COUNTIF('商品マスタ'!$B$6:$B$1005,$W2192)=0),N(U2191)+1,N(U2191))</f>
        <v/>
      </c>
      <c r="V2192" s="19">
        <f>IF($B2192="","",TEXT($B2192,"0000"))</f>
        <v/>
      </c>
      <c r="W2192" s="19">
        <f>IF($I2192="","",IF(ISNUMBER($I2192),TEXT($I2192,"0"),$I2192))</f>
        <v/>
      </c>
    </row>
    <row r="2193">
      <c r="B2193" s="25" t="n"/>
      <c r="I2193" s="25" t="n"/>
      <c r="U2193" s="19">
        <f>IF(AND($V2193='設定'!$C$4,COUNTIF('商品マスタ'!$B$6:$B$1005,$W2193)=0),N(U2192)+1,N(U2192))</f>
        <v/>
      </c>
      <c r="V2193" s="19">
        <f>IF($B2193="","",TEXT($B2193,"0000"))</f>
        <v/>
      </c>
      <c r="W2193" s="19">
        <f>IF($I2193="","",IF(ISNUMBER($I2193),TEXT($I2193,"0"),$I2193))</f>
        <v/>
      </c>
    </row>
    <row r="2194">
      <c r="B2194" s="25" t="n"/>
      <c r="I2194" s="25" t="n"/>
      <c r="U2194" s="19">
        <f>IF(AND($V2194='設定'!$C$4,COUNTIF('商品マスタ'!$B$6:$B$1005,$W2194)=0),N(U2193)+1,N(U2193))</f>
        <v/>
      </c>
      <c r="V2194" s="19">
        <f>IF($B2194="","",TEXT($B2194,"0000"))</f>
        <v/>
      </c>
      <c r="W2194" s="19">
        <f>IF($I2194="","",IF(ISNUMBER($I2194),TEXT($I2194,"0"),$I2194))</f>
        <v/>
      </c>
    </row>
    <row r="2195">
      <c r="B2195" s="25" t="n"/>
      <c r="I2195" s="25" t="n"/>
      <c r="U2195" s="19">
        <f>IF(AND($V2195='設定'!$C$4,COUNTIF('商品マスタ'!$B$6:$B$1005,$W2195)=0),N(U2194)+1,N(U2194))</f>
        <v/>
      </c>
      <c r="V2195" s="19">
        <f>IF($B2195="","",TEXT($B2195,"0000"))</f>
        <v/>
      </c>
      <c r="W2195" s="19">
        <f>IF($I2195="","",IF(ISNUMBER($I2195),TEXT($I2195,"0"),$I2195))</f>
        <v/>
      </c>
    </row>
    <row r="2196">
      <c r="B2196" s="25" t="n"/>
      <c r="I2196" s="25" t="n"/>
      <c r="U2196" s="19">
        <f>IF(AND($V2196='設定'!$C$4,COUNTIF('商品マスタ'!$B$6:$B$1005,$W2196)=0),N(U2195)+1,N(U2195))</f>
        <v/>
      </c>
      <c r="V2196" s="19">
        <f>IF($B2196="","",TEXT($B2196,"0000"))</f>
        <v/>
      </c>
      <c r="W2196" s="19">
        <f>IF($I2196="","",IF(ISNUMBER($I2196),TEXT($I2196,"0"),$I2196))</f>
        <v/>
      </c>
    </row>
    <row r="2197">
      <c r="B2197" s="25" t="n"/>
      <c r="I2197" s="25" t="n"/>
      <c r="U2197" s="19">
        <f>IF(AND($V2197='設定'!$C$4,COUNTIF('商品マスタ'!$B$6:$B$1005,$W2197)=0),N(U2196)+1,N(U2196))</f>
        <v/>
      </c>
      <c r="V2197" s="19">
        <f>IF($B2197="","",TEXT($B2197,"0000"))</f>
        <v/>
      </c>
      <c r="W2197" s="19">
        <f>IF($I2197="","",IF(ISNUMBER($I2197),TEXT($I2197,"0"),$I2197))</f>
        <v/>
      </c>
    </row>
    <row r="2198">
      <c r="B2198" s="25" t="n"/>
      <c r="I2198" s="25" t="n"/>
      <c r="U2198" s="19">
        <f>IF(AND($V2198='設定'!$C$4,COUNTIF('商品マスタ'!$B$6:$B$1005,$W2198)=0),N(U2197)+1,N(U2197))</f>
        <v/>
      </c>
      <c r="V2198" s="19">
        <f>IF($B2198="","",TEXT($B2198,"0000"))</f>
        <v/>
      </c>
      <c r="W2198" s="19">
        <f>IF($I2198="","",IF(ISNUMBER($I2198),TEXT($I2198,"0"),$I2198))</f>
        <v/>
      </c>
    </row>
    <row r="2199">
      <c r="B2199" s="25" t="n"/>
      <c r="I2199" s="25" t="n"/>
      <c r="U2199" s="19">
        <f>IF(AND($V2199='設定'!$C$4,COUNTIF('商品マスタ'!$B$6:$B$1005,$W2199)=0),N(U2198)+1,N(U2198))</f>
        <v/>
      </c>
      <c r="V2199" s="19">
        <f>IF($B2199="","",TEXT($B2199,"0000"))</f>
        <v/>
      </c>
      <c r="W2199" s="19">
        <f>IF($I2199="","",IF(ISNUMBER($I2199),TEXT($I2199,"0"),$I2199))</f>
        <v/>
      </c>
    </row>
    <row r="2200">
      <c r="B2200" s="25" t="n"/>
      <c r="I2200" s="25" t="n"/>
      <c r="U2200" s="19">
        <f>IF(AND($V2200='設定'!$C$4,COUNTIF('商品マスタ'!$B$6:$B$1005,$W2200)=0),N(U2199)+1,N(U2199))</f>
        <v/>
      </c>
      <c r="V2200" s="19">
        <f>IF($B2200="","",TEXT($B2200,"0000"))</f>
        <v/>
      </c>
      <c r="W2200" s="19">
        <f>IF($I2200="","",IF(ISNUMBER($I2200),TEXT($I2200,"0"),$I2200))</f>
        <v/>
      </c>
    </row>
    <row r="2201">
      <c r="B2201" s="25" t="n"/>
      <c r="I2201" s="25" t="n"/>
      <c r="U2201" s="19">
        <f>IF(AND($V2201='設定'!$C$4,COUNTIF('商品マスタ'!$B$6:$B$1005,$W2201)=0),N(U2200)+1,N(U2200))</f>
        <v/>
      </c>
      <c r="V2201" s="19">
        <f>IF($B2201="","",TEXT($B2201,"0000"))</f>
        <v/>
      </c>
      <c r="W2201" s="19">
        <f>IF($I2201="","",IF(ISNUMBER($I2201),TEXT($I2201,"0"),$I2201))</f>
        <v/>
      </c>
    </row>
    <row r="2202">
      <c r="B2202" s="25" t="n"/>
      <c r="I2202" s="25" t="n"/>
      <c r="U2202" s="19">
        <f>IF(AND($V2202='設定'!$C$4,COUNTIF('商品マスタ'!$B$6:$B$1005,$W2202)=0),N(U2201)+1,N(U2201))</f>
        <v/>
      </c>
      <c r="V2202" s="19">
        <f>IF($B2202="","",TEXT($B2202,"0000"))</f>
        <v/>
      </c>
      <c r="W2202" s="19">
        <f>IF($I2202="","",IF(ISNUMBER($I2202),TEXT($I2202,"0"),$I2202))</f>
        <v/>
      </c>
    </row>
    <row r="2203">
      <c r="B2203" s="25" t="n"/>
      <c r="I2203" s="25" t="n"/>
      <c r="U2203" s="19">
        <f>IF(AND($V2203='設定'!$C$4,COUNTIF('商品マスタ'!$B$6:$B$1005,$W2203)=0),N(U2202)+1,N(U2202))</f>
        <v/>
      </c>
      <c r="V2203" s="19">
        <f>IF($B2203="","",TEXT($B2203,"0000"))</f>
        <v/>
      </c>
      <c r="W2203" s="19">
        <f>IF($I2203="","",IF(ISNUMBER($I2203),TEXT($I2203,"0"),$I2203))</f>
        <v/>
      </c>
    </row>
    <row r="2204">
      <c r="B2204" s="25" t="n"/>
      <c r="I2204" s="25" t="n"/>
      <c r="U2204" s="19">
        <f>IF(AND($V2204='設定'!$C$4,COUNTIF('商品マスタ'!$B$6:$B$1005,$W2204)=0),N(U2203)+1,N(U2203))</f>
        <v/>
      </c>
      <c r="V2204" s="19">
        <f>IF($B2204="","",TEXT($B2204,"0000"))</f>
        <v/>
      </c>
      <c r="W2204" s="19">
        <f>IF($I2204="","",IF(ISNUMBER($I2204),TEXT($I2204,"0"),$I2204))</f>
        <v/>
      </c>
    </row>
    <row r="2205">
      <c r="B2205" s="25" t="n"/>
      <c r="I2205" s="25" t="n"/>
      <c r="U2205" s="19">
        <f>IF(AND($V2205='設定'!$C$4,COUNTIF('商品マスタ'!$B$6:$B$1005,$W2205)=0),N(U2204)+1,N(U2204))</f>
        <v/>
      </c>
      <c r="V2205" s="19">
        <f>IF($B2205="","",TEXT($B2205,"0000"))</f>
        <v/>
      </c>
      <c r="W2205" s="19">
        <f>IF($I2205="","",IF(ISNUMBER($I2205),TEXT($I2205,"0"),$I2205))</f>
        <v/>
      </c>
    </row>
    <row r="2206">
      <c r="B2206" s="25" t="n"/>
      <c r="I2206" s="25" t="n"/>
      <c r="U2206" s="19">
        <f>IF(AND($V2206='設定'!$C$4,COUNTIF('商品マスタ'!$B$6:$B$1005,$W2206)=0),N(U2205)+1,N(U2205))</f>
        <v/>
      </c>
      <c r="V2206" s="19">
        <f>IF($B2206="","",TEXT($B2206,"0000"))</f>
        <v/>
      </c>
      <c r="W2206" s="19">
        <f>IF($I2206="","",IF(ISNUMBER($I2206),TEXT($I2206,"0"),$I2206))</f>
        <v/>
      </c>
    </row>
    <row r="2207">
      <c r="B2207" s="25" t="n"/>
      <c r="I2207" s="25" t="n"/>
      <c r="U2207" s="19">
        <f>IF(AND($V2207='設定'!$C$4,COUNTIF('商品マスタ'!$B$6:$B$1005,$W2207)=0),N(U2206)+1,N(U2206))</f>
        <v/>
      </c>
      <c r="V2207" s="19">
        <f>IF($B2207="","",TEXT($B2207,"0000"))</f>
        <v/>
      </c>
      <c r="W2207" s="19">
        <f>IF($I2207="","",IF(ISNUMBER($I2207),TEXT($I2207,"0"),$I2207))</f>
        <v/>
      </c>
    </row>
    <row r="2208">
      <c r="B2208" s="25" t="n"/>
      <c r="I2208" s="25" t="n"/>
      <c r="U2208" s="19">
        <f>IF(AND($V2208='設定'!$C$4,COUNTIF('商品マスタ'!$B$6:$B$1005,$W2208)=0),N(U2207)+1,N(U2207))</f>
        <v/>
      </c>
      <c r="V2208" s="19">
        <f>IF($B2208="","",TEXT($B2208,"0000"))</f>
        <v/>
      </c>
      <c r="W2208" s="19">
        <f>IF($I2208="","",IF(ISNUMBER($I2208),TEXT($I2208,"0"),$I2208))</f>
        <v/>
      </c>
    </row>
    <row r="2209">
      <c r="B2209" s="25" t="n"/>
      <c r="I2209" s="25" t="n"/>
      <c r="U2209" s="19">
        <f>IF(AND($V2209='設定'!$C$4,COUNTIF('商品マスタ'!$B$6:$B$1005,$W2209)=0),N(U2208)+1,N(U2208))</f>
        <v/>
      </c>
      <c r="V2209" s="19">
        <f>IF($B2209="","",TEXT($B2209,"0000"))</f>
        <v/>
      </c>
      <c r="W2209" s="19">
        <f>IF($I2209="","",IF(ISNUMBER($I2209),TEXT($I2209,"0"),$I2209))</f>
        <v/>
      </c>
    </row>
    <row r="2210">
      <c r="B2210" s="25" t="n"/>
      <c r="I2210" s="25" t="n"/>
      <c r="U2210" s="19">
        <f>IF(AND($V2210='設定'!$C$4,COUNTIF('商品マスタ'!$B$6:$B$1005,$W2210)=0),N(U2209)+1,N(U2209))</f>
        <v/>
      </c>
      <c r="V2210" s="19">
        <f>IF($B2210="","",TEXT($B2210,"0000"))</f>
        <v/>
      </c>
      <c r="W2210" s="19">
        <f>IF($I2210="","",IF(ISNUMBER($I2210),TEXT($I2210,"0"),$I2210))</f>
        <v/>
      </c>
    </row>
    <row r="2211">
      <c r="B2211" s="25" t="n"/>
      <c r="I2211" s="25" t="n"/>
      <c r="U2211" s="19">
        <f>IF(AND($V2211='設定'!$C$4,COUNTIF('商品マスタ'!$B$6:$B$1005,$W2211)=0),N(U2210)+1,N(U2210))</f>
        <v/>
      </c>
      <c r="V2211" s="19">
        <f>IF($B2211="","",TEXT($B2211,"0000"))</f>
        <v/>
      </c>
      <c r="W2211" s="19">
        <f>IF($I2211="","",IF(ISNUMBER($I2211),TEXT($I2211,"0"),$I2211))</f>
        <v/>
      </c>
    </row>
    <row r="2212">
      <c r="B2212" s="25" t="n"/>
      <c r="I2212" s="25" t="n"/>
      <c r="U2212" s="19">
        <f>IF(AND($V2212='設定'!$C$4,COUNTIF('商品マスタ'!$B$6:$B$1005,$W2212)=0),N(U2211)+1,N(U2211))</f>
        <v/>
      </c>
      <c r="V2212" s="19">
        <f>IF($B2212="","",TEXT($B2212,"0000"))</f>
        <v/>
      </c>
      <c r="W2212" s="19">
        <f>IF($I2212="","",IF(ISNUMBER($I2212),TEXT($I2212,"0"),$I2212))</f>
        <v/>
      </c>
    </row>
    <row r="2213">
      <c r="B2213" s="25" t="n"/>
      <c r="I2213" s="25" t="n"/>
      <c r="U2213" s="19">
        <f>IF(AND($V2213='設定'!$C$4,COUNTIF('商品マスタ'!$B$6:$B$1005,$W2213)=0),N(U2212)+1,N(U2212))</f>
        <v/>
      </c>
      <c r="V2213" s="19">
        <f>IF($B2213="","",TEXT($B2213,"0000"))</f>
        <v/>
      </c>
      <c r="W2213" s="19">
        <f>IF($I2213="","",IF(ISNUMBER($I2213),TEXT($I2213,"0"),$I2213))</f>
        <v/>
      </c>
    </row>
    <row r="2214">
      <c r="B2214" s="25" t="n"/>
      <c r="I2214" s="25" t="n"/>
      <c r="U2214" s="19">
        <f>IF(AND($V2214='設定'!$C$4,COUNTIF('商品マスタ'!$B$6:$B$1005,$W2214)=0),N(U2213)+1,N(U2213))</f>
        <v/>
      </c>
      <c r="V2214" s="19">
        <f>IF($B2214="","",TEXT($B2214,"0000"))</f>
        <v/>
      </c>
      <c r="W2214" s="19">
        <f>IF($I2214="","",IF(ISNUMBER($I2214),TEXT($I2214,"0"),$I2214))</f>
        <v/>
      </c>
    </row>
    <row r="2215">
      <c r="B2215" s="25" t="n"/>
      <c r="I2215" s="25" t="n"/>
      <c r="U2215" s="19">
        <f>IF(AND($V2215='設定'!$C$4,COUNTIF('商品マスタ'!$B$6:$B$1005,$W2215)=0),N(U2214)+1,N(U2214))</f>
        <v/>
      </c>
      <c r="V2215" s="19">
        <f>IF($B2215="","",TEXT($B2215,"0000"))</f>
        <v/>
      </c>
      <c r="W2215" s="19">
        <f>IF($I2215="","",IF(ISNUMBER($I2215),TEXT($I2215,"0"),$I2215))</f>
        <v/>
      </c>
    </row>
    <row r="2216">
      <c r="B2216" s="25" t="n"/>
      <c r="I2216" s="25" t="n"/>
      <c r="U2216" s="19">
        <f>IF(AND($V2216='設定'!$C$4,COUNTIF('商品マスタ'!$B$6:$B$1005,$W2216)=0),N(U2215)+1,N(U2215))</f>
        <v/>
      </c>
      <c r="V2216" s="19">
        <f>IF($B2216="","",TEXT($B2216,"0000"))</f>
        <v/>
      </c>
      <c r="W2216" s="19">
        <f>IF($I2216="","",IF(ISNUMBER($I2216),TEXT($I2216,"0"),$I2216))</f>
        <v/>
      </c>
    </row>
    <row r="2217">
      <c r="B2217" s="25" t="n"/>
      <c r="I2217" s="25" t="n"/>
      <c r="U2217" s="19">
        <f>IF(AND($V2217='設定'!$C$4,COUNTIF('商品マスタ'!$B$6:$B$1005,$W2217)=0),N(U2216)+1,N(U2216))</f>
        <v/>
      </c>
      <c r="V2217" s="19">
        <f>IF($B2217="","",TEXT($B2217,"0000"))</f>
        <v/>
      </c>
      <c r="W2217" s="19">
        <f>IF($I2217="","",IF(ISNUMBER($I2217),TEXT($I2217,"0"),$I2217))</f>
        <v/>
      </c>
    </row>
    <row r="2218">
      <c r="B2218" s="25" t="n"/>
      <c r="I2218" s="25" t="n"/>
      <c r="U2218" s="19">
        <f>IF(AND($V2218='設定'!$C$4,COUNTIF('商品マスタ'!$B$6:$B$1005,$W2218)=0),N(U2217)+1,N(U2217))</f>
        <v/>
      </c>
      <c r="V2218" s="19">
        <f>IF($B2218="","",TEXT($B2218,"0000"))</f>
        <v/>
      </c>
      <c r="W2218" s="19">
        <f>IF($I2218="","",IF(ISNUMBER($I2218),TEXT($I2218,"0"),$I2218))</f>
        <v/>
      </c>
    </row>
    <row r="2219">
      <c r="B2219" s="25" t="n"/>
      <c r="I2219" s="25" t="n"/>
      <c r="U2219" s="19">
        <f>IF(AND($V2219='設定'!$C$4,COUNTIF('商品マスタ'!$B$6:$B$1005,$W2219)=0),N(U2218)+1,N(U2218))</f>
        <v/>
      </c>
      <c r="V2219" s="19">
        <f>IF($B2219="","",TEXT($B2219,"0000"))</f>
        <v/>
      </c>
      <c r="W2219" s="19">
        <f>IF($I2219="","",IF(ISNUMBER($I2219),TEXT($I2219,"0"),$I2219))</f>
        <v/>
      </c>
    </row>
    <row r="2220">
      <c r="B2220" s="25" t="n"/>
      <c r="I2220" s="25" t="n"/>
      <c r="U2220" s="19">
        <f>IF(AND($V2220='設定'!$C$4,COUNTIF('商品マスタ'!$B$6:$B$1005,$W2220)=0),N(U2219)+1,N(U2219))</f>
        <v/>
      </c>
      <c r="V2220" s="19">
        <f>IF($B2220="","",TEXT($B2220,"0000"))</f>
        <v/>
      </c>
      <c r="W2220" s="19">
        <f>IF($I2220="","",IF(ISNUMBER($I2220),TEXT($I2220,"0"),$I2220))</f>
        <v/>
      </c>
    </row>
    <row r="2221">
      <c r="B2221" s="25" t="n"/>
      <c r="I2221" s="25" t="n"/>
      <c r="U2221" s="19">
        <f>IF(AND($V2221='設定'!$C$4,COUNTIF('商品マスタ'!$B$6:$B$1005,$W2221)=0),N(U2220)+1,N(U2220))</f>
        <v/>
      </c>
      <c r="V2221" s="19">
        <f>IF($B2221="","",TEXT($B2221,"0000"))</f>
        <v/>
      </c>
      <c r="W2221" s="19">
        <f>IF($I2221="","",IF(ISNUMBER($I2221),TEXT($I2221,"0"),$I2221))</f>
        <v/>
      </c>
    </row>
    <row r="2222">
      <c r="B2222" s="25" t="n"/>
      <c r="I2222" s="25" t="n"/>
      <c r="U2222" s="19">
        <f>IF(AND($V2222='設定'!$C$4,COUNTIF('商品マスタ'!$B$6:$B$1005,$W2222)=0),N(U2221)+1,N(U2221))</f>
        <v/>
      </c>
      <c r="V2222" s="19">
        <f>IF($B2222="","",TEXT($B2222,"0000"))</f>
        <v/>
      </c>
      <c r="W2222" s="19">
        <f>IF($I2222="","",IF(ISNUMBER($I2222),TEXT($I2222,"0"),$I2222))</f>
        <v/>
      </c>
    </row>
    <row r="2223">
      <c r="B2223" s="25" t="n"/>
      <c r="I2223" s="25" t="n"/>
      <c r="U2223" s="19">
        <f>IF(AND($V2223='設定'!$C$4,COUNTIF('商品マスタ'!$B$6:$B$1005,$W2223)=0),N(U2222)+1,N(U2222))</f>
        <v/>
      </c>
      <c r="V2223" s="19">
        <f>IF($B2223="","",TEXT($B2223,"0000"))</f>
        <v/>
      </c>
      <c r="W2223" s="19">
        <f>IF($I2223="","",IF(ISNUMBER($I2223),TEXT($I2223,"0"),$I2223))</f>
        <v/>
      </c>
    </row>
    <row r="2224">
      <c r="B2224" s="25" t="n"/>
      <c r="I2224" s="25" t="n"/>
      <c r="U2224" s="19">
        <f>IF(AND($V2224='設定'!$C$4,COUNTIF('商品マスタ'!$B$6:$B$1005,$W2224)=0),N(U2223)+1,N(U2223))</f>
        <v/>
      </c>
      <c r="V2224" s="19">
        <f>IF($B2224="","",TEXT($B2224,"0000"))</f>
        <v/>
      </c>
      <c r="W2224" s="19">
        <f>IF($I2224="","",IF(ISNUMBER($I2224),TEXT($I2224,"0"),$I2224))</f>
        <v/>
      </c>
    </row>
    <row r="2225">
      <c r="B2225" s="25" t="n"/>
      <c r="I2225" s="25" t="n"/>
      <c r="U2225" s="19">
        <f>IF(AND($V2225='設定'!$C$4,COUNTIF('商品マスタ'!$B$6:$B$1005,$W2225)=0),N(U2224)+1,N(U2224))</f>
        <v/>
      </c>
      <c r="V2225" s="19">
        <f>IF($B2225="","",TEXT($B2225,"0000"))</f>
        <v/>
      </c>
      <c r="W2225" s="19">
        <f>IF($I2225="","",IF(ISNUMBER($I2225),TEXT($I2225,"0"),$I2225))</f>
        <v/>
      </c>
    </row>
    <row r="2226">
      <c r="B2226" s="25" t="n"/>
      <c r="I2226" s="25" t="n"/>
      <c r="U2226" s="19">
        <f>IF(AND($V2226='設定'!$C$4,COUNTIF('商品マスタ'!$B$6:$B$1005,$W2226)=0),N(U2225)+1,N(U2225))</f>
        <v/>
      </c>
      <c r="V2226" s="19">
        <f>IF($B2226="","",TEXT($B2226,"0000"))</f>
        <v/>
      </c>
      <c r="W2226" s="19">
        <f>IF($I2226="","",IF(ISNUMBER($I2226),TEXT($I2226,"0"),$I2226))</f>
        <v/>
      </c>
    </row>
    <row r="2227">
      <c r="B2227" s="25" t="n"/>
      <c r="I2227" s="25" t="n"/>
      <c r="U2227" s="19">
        <f>IF(AND($V2227='設定'!$C$4,COUNTIF('商品マスタ'!$B$6:$B$1005,$W2227)=0),N(U2226)+1,N(U2226))</f>
        <v/>
      </c>
      <c r="V2227" s="19">
        <f>IF($B2227="","",TEXT($B2227,"0000"))</f>
        <v/>
      </c>
      <c r="W2227" s="19">
        <f>IF($I2227="","",IF(ISNUMBER($I2227),TEXT($I2227,"0"),$I2227))</f>
        <v/>
      </c>
    </row>
    <row r="2228">
      <c r="B2228" s="25" t="n"/>
      <c r="I2228" s="25" t="n"/>
      <c r="U2228" s="19">
        <f>IF(AND($V2228='設定'!$C$4,COUNTIF('商品マスタ'!$B$6:$B$1005,$W2228)=0),N(U2227)+1,N(U2227))</f>
        <v/>
      </c>
      <c r="V2228" s="19">
        <f>IF($B2228="","",TEXT($B2228,"0000"))</f>
        <v/>
      </c>
      <c r="W2228" s="19">
        <f>IF($I2228="","",IF(ISNUMBER($I2228),TEXT($I2228,"0"),$I2228))</f>
        <v/>
      </c>
    </row>
    <row r="2229">
      <c r="B2229" s="25" t="n"/>
      <c r="I2229" s="25" t="n"/>
      <c r="U2229" s="19">
        <f>IF(AND($V2229='設定'!$C$4,COUNTIF('商品マスタ'!$B$6:$B$1005,$W2229)=0),N(U2228)+1,N(U2228))</f>
        <v/>
      </c>
      <c r="V2229" s="19">
        <f>IF($B2229="","",TEXT($B2229,"0000"))</f>
        <v/>
      </c>
      <c r="W2229" s="19">
        <f>IF($I2229="","",IF(ISNUMBER($I2229),TEXT($I2229,"0"),$I2229))</f>
        <v/>
      </c>
    </row>
    <row r="2230">
      <c r="B2230" s="25" t="n"/>
      <c r="I2230" s="25" t="n"/>
      <c r="U2230" s="19">
        <f>IF(AND($V2230='設定'!$C$4,COUNTIF('商品マスタ'!$B$6:$B$1005,$W2230)=0),N(U2229)+1,N(U2229))</f>
        <v/>
      </c>
      <c r="V2230" s="19">
        <f>IF($B2230="","",TEXT($B2230,"0000"))</f>
        <v/>
      </c>
      <c r="W2230" s="19">
        <f>IF($I2230="","",IF(ISNUMBER($I2230),TEXT($I2230,"0"),$I2230))</f>
        <v/>
      </c>
    </row>
    <row r="2231">
      <c r="B2231" s="25" t="n"/>
      <c r="I2231" s="25" t="n"/>
      <c r="U2231" s="19">
        <f>IF(AND($V2231='設定'!$C$4,COUNTIF('商品マスタ'!$B$6:$B$1005,$W2231)=0),N(U2230)+1,N(U2230))</f>
        <v/>
      </c>
      <c r="V2231" s="19">
        <f>IF($B2231="","",TEXT($B2231,"0000"))</f>
        <v/>
      </c>
      <c r="W2231" s="19">
        <f>IF($I2231="","",IF(ISNUMBER($I2231),TEXT($I2231,"0"),$I2231))</f>
        <v/>
      </c>
    </row>
    <row r="2232">
      <c r="B2232" s="25" t="n"/>
      <c r="I2232" s="25" t="n"/>
      <c r="U2232" s="19">
        <f>IF(AND($V2232='設定'!$C$4,COUNTIF('商品マスタ'!$B$6:$B$1005,$W2232)=0),N(U2231)+1,N(U2231))</f>
        <v/>
      </c>
      <c r="V2232" s="19">
        <f>IF($B2232="","",TEXT($B2232,"0000"))</f>
        <v/>
      </c>
      <c r="W2232" s="19">
        <f>IF($I2232="","",IF(ISNUMBER($I2232),TEXT($I2232,"0"),$I2232))</f>
        <v/>
      </c>
    </row>
    <row r="2233">
      <c r="B2233" s="25" t="n"/>
      <c r="I2233" s="25" t="n"/>
      <c r="U2233" s="19">
        <f>IF(AND($V2233='設定'!$C$4,COUNTIF('商品マスタ'!$B$6:$B$1005,$W2233)=0),N(U2232)+1,N(U2232))</f>
        <v/>
      </c>
      <c r="V2233" s="19">
        <f>IF($B2233="","",TEXT($B2233,"0000"))</f>
        <v/>
      </c>
      <c r="W2233" s="19">
        <f>IF($I2233="","",IF(ISNUMBER($I2233),TEXT($I2233,"0"),$I2233))</f>
        <v/>
      </c>
    </row>
    <row r="2234">
      <c r="B2234" s="25" t="n"/>
      <c r="I2234" s="25" t="n"/>
      <c r="U2234" s="19">
        <f>IF(AND($V2234='設定'!$C$4,COUNTIF('商品マスタ'!$B$6:$B$1005,$W2234)=0),N(U2233)+1,N(U2233))</f>
        <v/>
      </c>
      <c r="V2234" s="19">
        <f>IF($B2234="","",TEXT($B2234,"0000"))</f>
        <v/>
      </c>
      <c r="W2234" s="19">
        <f>IF($I2234="","",IF(ISNUMBER($I2234),TEXT($I2234,"0"),$I2234))</f>
        <v/>
      </c>
    </row>
    <row r="2235">
      <c r="B2235" s="25" t="n"/>
      <c r="I2235" s="25" t="n"/>
      <c r="U2235" s="19">
        <f>IF(AND($V2235='設定'!$C$4,COUNTIF('商品マスタ'!$B$6:$B$1005,$W2235)=0),N(U2234)+1,N(U2234))</f>
        <v/>
      </c>
      <c r="V2235" s="19">
        <f>IF($B2235="","",TEXT($B2235,"0000"))</f>
        <v/>
      </c>
      <c r="W2235" s="19">
        <f>IF($I2235="","",IF(ISNUMBER($I2235),TEXT($I2235,"0"),$I2235))</f>
        <v/>
      </c>
    </row>
    <row r="2236">
      <c r="B2236" s="25" t="n"/>
      <c r="I2236" s="25" t="n"/>
      <c r="U2236" s="19">
        <f>IF(AND($V2236='設定'!$C$4,COUNTIF('商品マスタ'!$B$6:$B$1005,$W2236)=0),N(U2235)+1,N(U2235))</f>
        <v/>
      </c>
      <c r="V2236" s="19">
        <f>IF($B2236="","",TEXT($B2236,"0000"))</f>
        <v/>
      </c>
      <c r="W2236" s="19">
        <f>IF($I2236="","",IF(ISNUMBER($I2236),TEXT($I2236,"0"),$I2236))</f>
        <v/>
      </c>
    </row>
    <row r="2237">
      <c r="B2237" s="25" t="n"/>
      <c r="I2237" s="25" t="n"/>
      <c r="U2237" s="19">
        <f>IF(AND($V2237='設定'!$C$4,COUNTIF('商品マスタ'!$B$6:$B$1005,$W2237)=0),N(U2236)+1,N(U2236))</f>
        <v/>
      </c>
      <c r="V2237" s="19">
        <f>IF($B2237="","",TEXT($B2237,"0000"))</f>
        <v/>
      </c>
      <c r="W2237" s="19">
        <f>IF($I2237="","",IF(ISNUMBER($I2237),TEXT($I2237,"0"),$I2237))</f>
        <v/>
      </c>
    </row>
    <row r="2238">
      <c r="B2238" s="25" t="n"/>
      <c r="I2238" s="25" t="n"/>
      <c r="U2238" s="19">
        <f>IF(AND($V2238='設定'!$C$4,COUNTIF('商品マスタ'!$B$6:$B$1005,$W2238)=0),N(U2237)+1,N(U2237))</f>
        <v/>
      </c>
      <c r="V2238" s="19">
        <f>IF($B2238="","",TEXT($B2238,"0000"))</f>
        <v/>
      </c>
      <c r="W2238" s="19">
        <f>IF($I2238="","",IF(ISNUMBER($I2238),TEXT($I2238,"0"),$I2238))</f>
        <v/>
      </c>
    </row>
    <row r="2239">
      <c r="B2239" s="25" t="n"/>
      <c r="I2239" s="25" t="n"/>
      <c r="U2239" s="19">
        <f>IF(AND($V2239='設定'!$C$4,COUNTIF('商品マスタ'!$B$6:$B$1005,$W2239)=0),N(U2238)+1,N(U2238))</f>
        <v/>
      </c>
      <c r="V2239" s="19">
        <f>IF($B2239="","",TEXT($B2239,"0000"))</f>
        <v/>
      </c>
      <c r="W2239" s="19">
        <f>IF($I2239="","",IF(ISNUMBER($I2239),TEXT($I2239,"0"),$I2239))</f>
        <v/>
      </c>
    </row>
    <row r="2240">
      <c r="B2240" s="25" t="n"/>
      <c r="I2240" s="25" t="n"/>
      <c r="U2240" s="19">
        <f>IF(AND($V2240='設定'!$C$4,COUNTIF('商品マスタ'!$B$6:$B$1005,$W2240)=0),N(U2239)+1,N(U2239))</f>
        <v/>
      </c>
      <c r="V2240" s="19">
        <f>IF($B2240="","",TEXT($B2240,"0000"))</f>
        <v/>
      </c>
      <c r="W2240" s="19">
        <f>IF($I2240="","",IF(ISNUMBER($I2240),TEXT($I2240,"0"),$I2240))</f>
        <v/>
      </c>
    </row>
    <row r="2241">
      <c r="B2241" s="25" t="n"/>
      <c r="I2241" s="25" t="n"/>
      <c r="U2241" s="19">
        <f>IF(AND($V2241='設定'!$C$4,COUNTIF('商品マスタ'!$B$6:$B$1005,$W2241)=0),N(U2240)+1,N(U2240))</f>
        <v/>
      </c>
      <c r="V2241" s="19">
        <f>IF($B2241="","",TEXT($B2241,"0000"))</f>
        <v/>
      </c>
      <c r="W2241" s="19">
        <f>IF($I2241="","",IF(ISNUMBER($I2241),TEXT($I2241,"0"),$I2241))</f>
        <v/>
      </c>
    </row>
    <row r="2242">
      <c r="B2242" s="25" t="n"/>
      <c r="I2242" s="25" t="n"/>
      <c r="U2242" s="19">
        <f>IF(AND($V2242='設定'!$C$4,COUNTIF('商品マスタ'!$B$6:$B$1005,$W2242)=0),N(U2241)+1,N(U2241))</f>
        <v/>
      </c>
      <c r="V2242" s="19">
        <f>IF($B2242="","",TEXT($B2242,"0000"))</f>
        <v/>
      </c>
      <c r="W2242" s="19">
        <f>IF($I2242="","",IF(ISNUMBER($I2242),TEXT($I2242,"0"),$I2242))</f>
        <v/>
      </c>
    </row>
    <row r="2243">
      <c r="B2243" s="25" t="n"/>
      <c r="I2243" s="25" t="n"/>
      <c r="U2243" s="19">
        <f>IF(AND($V2243='設定'!$C$4,COUNTIF('商品マスタ'!$B$6:$B$1005,$W2243)=0),N(U2242)+1,N(U2242))</f>
        <v/>
      </c>
      <c r="V2243" s="19">
        <f>IF($B2243="","",TEXT($B2243,"0000"))</f>
        <v/>
      </c>
      <c r="W2243" s="19">
        <f>IF($I2243="","",IF(ISNUMBER($I2243),TEXT($I2243,"0"),$I2243))</f>
        <v/>
      </c>
    </row>
    <row r="2244">
      <c r="B2244" s="25" t="n"/>
      <c r="I2244" s="25" t="n"/>
      <c r="U2244" s="19">
        <f>IF(AND($V2244='設定'!$C$4,COUNTIF('商品マスタ'!$B$6:$B$1005,$W2244)=0),N(U2243)+1,N(U2243))</f>
        <v/>
      </c>
      <c r="V2244" s="19">
        <f>IF($B2244="","",TEXT($B2244,"0000"))</f>
        <v/>
      </c>
      <c r="W2244" s="19">
        <f>IF($I2244="","",IF(ISNUMBER($I2244),TEXT($I2244,"0"),$I2244))</f>
        <v/>
      </c>
    </row>
    <row r="2245">
      <c r="B2245" s="25" t="n"/>
      <c r="I2245" s="25" t="n"/>
      <c r="U2245" s="19">
        <f>IF(AND($V2245='設定'!$C$4,COUNTIF('商品マスタ'!$B$6:$B$1005,$W2245)=0),N(U2244)+1,N(U2244))</f>
        <v/>
      </c>
      <c r="V2245" s="19">
        <f>IF($B2245="","",TEXT($B2245,"0000"))</f>
        <v/>
      </c>
      <c r="W2245" s="19">
        <f>IF($I2245="","",IF(ISNUMBER($I2245),TEXT($I2245,"0"),$I2245))</f>
        <v/>
      </c>
    </row>
    <row r="2246">
      <c r="B2246" s="25" t="n"/>
      <c r="I2246" s="25" t="n"/>
      <c r="U2246" s="19">
        <f>IF(AND($V2246='設定'!$C$4,COUNTIF('商品マスタ'!$B$6:$B$1005,$W2246)=0),N(U2245)+1,N(U2245))</f>
        <v/>
      </c>
      <c r="V2246" s="19">
        <f>IF($B2246="","",TEXT($B2246,"0000"))</f>
        <v/>
      </c>
      <c r="W2246" s="19">
        <f>IF($I2246="","",IF(ISNUMBER($I2246),TEXT($I2246,"0"),$I2246))</f>
        <v/>
      </c>
    </row>
    <row r="2247">
      <c r="B2247" s="25" t="n"/>
      <c r="I2247" s="25" t="n"/>
      <c r="U2247" s="19">
        <f>IF(AND($V2247='設定'!$C$4,COUNTIF('商品マスタ'!$B$6:$B$1005,$W2247)=0),N(U2246)+1,N(U2246))</f>
        <v/>
      </c>
      <c r="V2247" s="19">
        <f>IF($B2247="","",TEXT($B2247,"0000"))</f>
        <v/>
      </c>
      <c r="W2247" s="19">
        <f>IF($I2247="","",IF(ISNUMBER($I2247),TEXT($I2247,"0"),$I2247))</f>
        <v/>
      </c>
    </row>
    <row r="2248">
      <c r="B2248" s="25" t="n"/>
      <c r="I2248" s="25" t="n"/>
      <c r="U2248" s="19">
        <f>IF(AND($V2248='設定'!$C$4,COUNTIF('商品マスタ'!$B$6:$B$1005,$W2248)=0),N(U2247)+1,N(U2247))</f>
        <v/>
      </c>
      <c r="V2248" s="19">
        <f>IF($B2248="","",TEXT($B2248,"0000"))</f>
        <v/>
      </c>
      <c r="W2248" s="19">
        <f>IF($I2248="","",IF(ISNUMBER($I2248),TEXT($I2248,"0"),$I2248))</f>
        <v/>
      </c>
    </row>
    <row r="2249">
      <c r="B2249" s="25" t="n"/>
      <c r="I2249" s="25" t="n"/>
      <c r="U2249" s="19">
        <f>IF(AND($V2249='設定'!$C$4,COUNTIF('商品マスタ'!$B$6:$B$1005,$W2249)=0),N(U2248)+1,N(U2248))</f>
        <v/>
      </c>
      <c r="V2249" s="19">
        <f>IF($B2249="","",TEXT($B2249,"0000"))</f>
        <v/>
      </c>
      <c r="W2249" s="19">
        <f>IF($I2249="","",IF(ISNUMBER($I2249),TEXT($I2249,"0"),$I2249))</f>
        <v/>
      </c>
    </row>
    <row r="2250">
      <c r="B2250" s="25" t="n"/>
      <c r="I2250" s="25" t="n"/>
      <c r="U2250" s="19">
        <f>IF(AND($V2250='設定'!$C$4,COUNTIF('商品マスタ'!$B$6:$B$1005,$W2250)=0),N(U2249)+1,N(U2249))</f>
        <v/>
      </c>
      <c r="V2250" s="19">
        <f>IF($B2250="","",TEXT($B2250,"0000"))</f>
        <v/>
      </c>
      <c r="W2250" s="19">
        <f>IF($I2250="","",IF(ISNUMBER($I2250),TEXT($I2250,"0"),$I2250))</f>
        <v/>
      </c>
    </row>
    <row r="2251">
      <c r="B2251" s="25" t="n"/>
      <c r="I2251" s="25" t="n"/>
      <c r="U2251" s="19">
        <f>IF(AND($V2251='設定'!$C$4,COUNTIF('商品マスタ'!$B$6:$B$1005,$W2251)=0),N(U2250)+1,N(U2250))</f>
        <v/>
      </c>
      <c r="V2251" s="19">
        <f>IF($B2251="","",TEXT($B2251,"0000"))</f>
        <v/>
      </c>
      <c r="W2251" s="19">
        <f>IF($I2251="","",IF(ISNUMBER($I2251),TEXT($I2251,"0"),$I2251))</f>
        <v/>
      </c>
    </row>
    <row r="2252">
      <c r="B2252" s="25" t="n"/>
      <c r="I2252" s="25" t="n"/>
      <c r="U2252" s="19">
        <f>IF(AND($V2252='設定'!$C$4,COUNTIF('商品マスタ'!$B$6:$B$1005,$W2252)=0),N(U2251)+1,N(U2251))</f>
        <v/>
      </c>
      <c r="V2252" s="19">
        <f>IF($B2252="","",TEXT($B2252,"0000"))</f>
        <v/>
      </c>
      <c r="W2252" s="19">
        <f>IF($I2252="","",IF(ISNUMBER($I2252),TEXT($I2252,"0"),$I2252))</f>
        <v/>
      </c>
    </row>
    <row r="2253">
      <c r="B2253" s="25" t="n"/>
      <c r="I2253" s="25" t="n"/>
      <c r="U2253" s="19">
        <f>IF(AND($V2253='設定'!$C$4,COUNTIF('商品マスタ'!$B$6:$B$1005,$W2253)=0),N(U2252)+1,N(U2252))</f>
        <v/>
      </c>
      <c r="V2253" s="19">
        <f>IF($B2253="","",TEXT($B2253,"0000"))</f>
        <v/>
      </c>
      <c r="W2253" s="19">
        <f>IF($I2253="","",IF(ISNUMBER($I2253),TEXT($I2253,"0"),$I2253))</f>
        <v/>
      </c>
    </row>
    <row r="2254">
      <c r="B2254" s="25" t="n"/>
      <c r="I2254" s="25" t="n"/>
      <c r="U2254" s="19">
        <f>IF(AND($V2254='設定'!$C$4,COUNTIF('商品マスタ'!$B$6:$B$1005,$W2254)=0),N(U2253)+1,N(U2253))</f>
        <v/>
      </c>
      <c r="V2254" s="19">
        <f>IF($B2254="","",TEXT($B2254,"0000"))</f>
        <v/>
      </c>
      <c r="W2254" s="19">
        <f>IF($I2254="","",IF(ISNUMBER($I2254),TEXT($I2254,"0"),$I2254))</f>
        <v/>
      </c>
    </row>
    <row r="2255">
      <c r="B2255" s="25" t="n"/>
      <c r="I2255" s="25" t="n"/>
      <c r="U2255" s="19">
        <f>IF(AND($V2255='設定'!$C$4,COUNTIF('商品マスタ'!$B$6:$B$1005,$W2255)=0),N(U2254)+1,N(U2254))</f>
        <v/>
      </c>
      <c r="V2255" s="19">
        <f>IF($B2255="","",TEXT($B2255,"0000"))</f>
        <v/>
      </c>
      <c r="W2255" s="19">
        <f>IF($I2255="","",IF(ISNUMBER($I2255),TEXT($I2255,"0"),$I2255))</f>
        <v/>
      </c>
    </row>
    <row r="2256">
      <c r="B2256" s="25" t="n"/>
      <c r="I2256" s="25" t="n"/>
      <c r="U2256" s="19">
        <f>IF(AND($V2256='設定'!$C$4,COUNTIF('商品マスタ'!$B$6:$B$1005,$W2256)=0),N(U2255)+1,N(U2255))</f>
        <v/>
      </c>
      <c r="V2256" s="19">
        <f>IF($B2256="","",TEXT($B2256,"0000"))</f>
        <v/>
      </c>
      <c r="W2256" s="19">
        <f>IF($I2256="","",IF(ISNUMBER($I2256),TEXT($I2256,"0"),$I2256))</f>
        <v/>
      </c>
    </row>
    <row r="2257">
      <c r="B2257" s="25" t="n"/>
      <c r="I2257" s="25" t="n"/>
      <c r="U2257" s="19">
        <f>IF(AND($V2257='設定'!$C$4,COUNTIF('商品マスタ'!$B$6:$B$1005,$W2257)=0),N(U2256)+1,N(U2256))</f>
        <v/>
      </c>
      <c r="V2257" s="19">
        <f>IF($B2257="","",TEXT($B2257,"0000"))</f>
        <v/>
      </c>
      <c r="W2257" s="19">
        <f>IF($I2257="","",IF(ISNUMBER($I2257),TEXT($I2257,"0"),$I2257))</f>
        <v/>
      </c>
    </row>
    <row r="2258">
      <c r="B2258" s="25" t="n"/>
      <c r="I2258" s="25" t="n"/>
      <c r="U2258" s="19">
        <f>IF(AND($V2258='設定'!$C$4,COUNTIF('商品マスタ'!$B$6:$B$1005,$W2258)=0),N(U2257)+1,N(U2257))</f>
        <v/>
      </c>
      <c r="V2258" s="19">
        <f>IF($B2258="","",TEXT($B2258,"0000"))</f>
        <v/>
      </c>
      <c r="W2258" s="19">
        <f>IF($I2258="","",IF(ISNUMBER($I2258),TEXT($I2258,"0"),$I2258))</f>
        <v/>
      </c>
    </row>
    <row r="2259">
      <c r="B2259" s="25" t="n"/>
      <c r="I2259" s="25" t="n"/>
      <c r="U2259" s="19">
        <f>IF(AND($V2259='設定'!$C$4,COUNTIF('商品マスタ'!$B$6:$B$1005,$W2259)=0),N(U2258)+1,N(U2258))</f>
        <v/>
      </c>
      <c r="V2259" s="19">
        <f>IF($B2259="","",TEXT($B2259,"0000"))</f>
        <v/>
      </c>
      <c r="W2259" s="19">
        <f>IF($I2259="","",IF(ISNUMBER($I2259),TEXT($I2259,"0"),$I2259))</f>
        <v/>
      </c>
    </row>
    <row r="2260">
      <c r="B2260" s="25" t="n"/>
      <c r="I2260" s="25" t="n"/>
      <c r="U2260" s="19">
        <f>IF(AND($V2260='設定'!$C$4,COUNTIF('商品マスタ'!$B$6:$B$1005,$W2260)=0),N(U2259)+1,N(U2259))</f>
        <v/>
      </c>
      <c r="V2260" s="19">
        <f>IF($B2260="","",TEXT($B2260,"0000"))</f>
        <v/>
      </c>
      <c r="W2260" s="19">
        <f>IF($I2260="","",IF(ISNUMBER($I2260),TEXT($I2260,"0"),$I2260))</f>
        <v/>
      </c>
    </row>
    <row r="2261">
      <c r="B2261" s="25" t="n"/>
      <c r="I2261" s="25" t="n"/>
      <c r="U2261" s="19">
        <f>IF(AND($V2261='設定'!$C$4,COUNTIF('商品マスタ'!$B$6:$B$1005,$W2261)=0),N(U2260)+1,N(U2260))</f>
        <v/>
      </c>
      <c r="V2261" s="19">
        <f>IF($B2261="","",TEXT($B2261,"0000"))</f>
        <v/>
      </c>
      <c r="W2261" s="19">
        <f>IF($I2261="","",IF(ISNUMBER($I2261),TEXT($I2261,"0"),$I2261))</f>
        <v/>
      </c>
    </row>
    <row r="2262">
      <c r="B2262" s="25" t="n"/>
      <c r="I2262" s="25" t="n"/>
      <c r="U2262" s="19">
        <f>IF(AND($V2262='設定'!$C$4,COUNTIF('商品マスタ'!$B$6:$B$1005,$W2262)=0),N(U2261)+1,N(U2261))</f>
        <v/>
      </c>
      <c r="V2262" s="19">
        <f>IF($B2262="","",TEXT($B2262,"0000"))</f>
        <v/>
      </c>
      <c r="W2262" s="19">
        <f>IF($I2262="","",IF(ISNUMBER($I2262),TEXT($I2262,"0"),$I2262))</f>
        <v/>
      </c>
    </row>
    <row r="2263">
      <c r="B2263" s="25" t="n"/>
      <c r="I2263" s="25" t="n"/>
      <c r="U2263" s="19">
        <f>IF(AND($V2263='設定'!$C$4,COUNTIF('商品マスタ'!$B$6:$B$1005,$W2263)=0),N(U2262)+1,N(U2262))</f>
        <v/>
      </c>
      <c r="V2263" s="19">
        <f>IF($B2263="","",TEXT($B2263,"0000"))</f>
        <v/>
      </c>
      <c r="W2263" s="19">
        <f>IF($I2263="","",IF(ISNUMBER($I2263),TEXT($I2263,"0"),$I2263))</f>
        <v/>
      </c>
    </row>
    <row r="2264">
      <c r="B2264" s="25" t="n"/>
      <c r="I2264" s="25" t="n"/>
      <c r="U2264" s="19">
        <f>IF(AND($V2264='設定'!$C$4,COUNTIF('商品マスタ'!$B$6:$B$1005,$W2264)=0),N(U2263)+1,N(U2263))</f>
        <v/>
      </c>
      <c r="V2264" s="19">
        <f>IF($B2264="","",TEXT($B2264,"0000"))</f>
        <v/>
      </c>
      <c r="W2264" s="19">
        <f>IF($I2264="","",IF(ISNUMBER($I2264),TEXT($I2264,"0"),$I2264))</f>
        <v/>
      </c>
    </row>
    <row r="2265">
      <c r="B2265" s="25" t="n"/>
      <c r="I2265" s="25" t="n"/>
      <c r="U2265" s="19">
        <f>IF(AND($V2265='設定'!$C$4,COUNTIF('商品マスタ'!$B$6:$B$1005,$W2265)=0),N(U2264)+1,N(U2264))</f>
        <v/>
      </c>
      <c r="V2265" s="19">
        <f>IF($B2265="","",TEXT($B2265,"0000"))</f>
        <v/>
      </c>
      <c r="W2265" s="19">
        <f>IF($I2265="","",IF(ISNUMBER($I2265),TEXT($I2265,"0"),$I2265))</f>
        <v/>
      </c>
    </row>
    <row r="2266">
      <c r="B2266" s="25" t="n"/>
      <c r="I2266" s="25" t="n"/>
      <c r="U2266" s="19">
        <f>IF(AND($V2266='設定'!$C$4,COUNTIF('商品マスタ'!$B$6:$B$1005,$W2266)=0),N(U2265)+1,N(U2265))</f>
        <v/>
      </c>
      <c r="V2266" s="19">
        <f>IF($B2266="","",TEXT($B2266,"0000"))</f>
        <v/>
      </c>
      <c r="W2266" s="19">
        <f>IF($I2266="","",IF(ISNUMBER($I2266),TEXT($I2266,"0"),$I2266))</f>
        <v/>
      </c>
    </row>
    <row r="2267">
      <c r="B2267" s="25" t="n"/>
      <c r="I2267" s="25" t="n"/>
      <c r="U2267" s="19">
        <f>IF(AND($V2267='設定'!$C$4,COUNTIF('商品マスタ'!$B$6:$B$1005,$W2267)=0),N(U2266)+1,N(U2266))</f>
        <v/>
      </c>
      <c r="V2267" s="19">
        <f>IF($B2267="","",TEXT($B2267,"0000"))</f>
        <v/>
      </c>
      <c r="W2267" s="19">
        <f>IF($I2267="","",IF(ISNUMBER($I2267),TEXT($I2267,"0"),$I2267))</f>
        <v/>
      </c>
    </row>
    <row r="2268">
      <c r="B2268" s="25" t="n"/>
      <c r="I2268" s="25" t="n"/>
      <c r="U2268" s="19">
        <f>IF(AND($V2268='設定'!$C$4,COUNTIF('商品マスタ'!$B$6:$B$1005,$W2268)=0),N(U2267)+1,N(U2267))</f>
        <v/>
      </c>
      <c r="V2268" s="19">
        <f>IF($B2268="","",TEXT($B2268,"0000"))</f>
        <v/>
      </c>
      <c r="W2268" s="19">
        <f>IF($I2268="","",IF(ISNUMBER($I2268),TEXT($I2268,"0"),$I2268))</f>
        <v/>
      </c>
    </row>
    <row r="2269">
      <c r="B2269" s="25" t="n"/>
      <c r="I2269" s="25" t="n"/>
      <c r="U2269" s="19">
        <f>IF(AND($V2269='設定'!$C$4,COUNTIF('商品マスタ'!$B$6:$B$1005,$W2269)=0),N(U2268)+1,N(U2268))</f>
        <v/>
      </c>
      <c r="V2269" s="19">
        <f>IF($B2269="","",TEXT($B2269,"0000"))</f>
        <v/>
      </c>
      <c r="W2269" s="19">
        <f>IF($I2269="","",IF(ISNUMBER($I2269),TEXT($I2269,"0"),$I2269))</f>
        <v/>
      </c>
    </row>
    <row r="2270">
      <c r="B2270" s="25" t="n"/>
      <c r="I2270" s="25" t="n"/>
      <c r="U2270" s="19">
        <f>IF(AND($V2270='設定'!$C$4,COUNTIF('商品マスタ'!$B$6:$B$1005,$W2270)=0),N(U2269)+1,N(U2269))</f>
        <v/>
      </c>
      <c r="V2270" s="19">
        <f>IF($B2270="","",TEXT($B2270,"0000"))</f>
        <v/>
      </c>
      <c r="W2270" s="19">
        <f>IF($I2270="","",IF(ISNUMBER($I2270),TEXT($I2270,"0"),$I2270))</f>
        <v/>
      </c>
    </row>
    <row r="2271">
      <c r="B2271" s="25" t="n"/>
      <c r="I2271" s="25" t="n"/>
      <c r="U2271" s="19">
        <f>IF(AND($V2271='設定'!$C$4,COUNTIF('商品マスタ'!$B$6:$B$1005,$W2271)=0),N(U2270)+1,N(U2270))</f>
        <v/>
      </c>
      <c r="V2271" s="19">
        <f>IF($B2271="","",TEXT($B2271,"0000"))</f>
        <v/>
      </c>
      <c r="W2271" s="19">
        <f>IF($I2271="","",IF(ISNUMBER($I2271),TEXT($I2271,"0"),$I2271))</f>
        <v/>
      </c>
    </row>
    <row r="2272">
      <c r="B2272" s="25" t="n"/>
      <c r="I2272" s="25" t="n"/>
      <c r="U2272" s="19">
        <f>IF(AND($V2272='設定'!$C$4,COUNTIF('商品マスタ'!$B$6:$B$1005,$W2272)=0),N(U2271)+1,N(U2271))</f>
        <v/>
      </c>
      <c r="V2272" s="19">
        <f>IF($B2272="","",TEXT($B2272,"0000"))</f>
        <v/>
      </c>
      <c r="W2272" s="19">
        <f>IF($I2272="","",IF(ISNUMBER($I2272),TEXT($I2272,"0"),$I2272))</f>
        <v/>
      </c>
    </row>
    <row r="2273">
      <c r="B2273" s="25" t="n"/>
      <c r="I2273" s="25" t="n"/>
      <c r="U2273" s="19">
        <f>IF(AND($V2273='設定'!$C$4,COUNTIF('商品マスタ'!$B$6:$B$1005,$W2273)=0),N(U2272)+1,N(U2272))</f>
        <v/>
      </c>
      <c r="V2273" s="19">
        <f>IF($B2273="","",TEXT($B2273,"0000"))</f>
        <v/>
      </c>
      <c r="W2273" s="19">
        <f>IF($I2273="","",IF(ISNUMBER($I2273),TEXT($I2273,"0"),$I2273))</f>
        <v/>
      </c>
    </row>
    <row r="2274">
      <c r="B2274" s="25" t="n"/>
      <c r="I2274" s="25" t="n"/>
      <c r="U2274" s="19">
        <f>IF(AND($V2274='設定'!$C$4,COUNTIF('商品マスタ'!$B$6:$B$1005,$W2274)=0),N(U2273)+1,N(U2273))</f>
        <v/>
      </c>
      <c r="V2274" s="19">
        <f>IF($B2274="","",TEXT($B2274,"0000"))</f>
        <v/>
      </c>
      <c r="W2274" s="19">
        <f>IF($I2274="","",IF(ISNUMBER($I2274),TEXT($I2274,"0"),$I2274))</f>
        <v/>
      </c>
    </row>
    <row r="2275">
      <c r="B2275" s="25" t="n"/>
      <c r="I2275" s="25" t="n"/>
      <c r="U2275" s="19">
        <f>IF(AND($V2275='設定'!$C$4,COUNTIF('商品マスタ'!$B$6:$B$1005,$W2275)=0),N(U2274)+1,N(U2274))</f>
        <v/>
      </c>
      <c r="V2275" s="19">
        <f>IF($B2275="","",TEXT($B2275,"0000"))</f>
        <v/>
      </c>
      <c r="W2275" s="19">
        <f>IF($I2275="","",IF(ISNUMBER($I2275),TEXT($I2275,"0"),$I2275))</f>
        <v/>
      </c>
    </row>
    <row r="2276">
      <c r="B2276" s="25" t="n"/>
      <c r="I2276" s="25" t="n"/>
      <c r="U2276" s="19">
        <f>IF(AND($V2276='設定'!$C$4,COUNTIF('商品マスタ'!$B$6:$B$1005,$W2276)=0),N(U2275)+1,N(U2275))</f>
        <v/>
      </c>
      <c r="V2276" s="19">
        <f>IF($B2276="","",TEXT($B2276,"0000"))</f>
        <v/>
      </c>
      <c r="W2276" s="19">
        <f>IF($I2276="","",IF(ISNUMBER($I2276),TEXT($I2276,"0"),$I2276))</f>
        <v/>
      </c>
    </row>
    <row r="2277">
      <c r="B2277" s="25" t="n"/>
      <c r="I2277" s="25" t="n"/>
      <c r="U2277" s="19">
        <f>IF(AND($V2277='設定'!$C$4,COUNTIF('商品マスタ'!$B$6:$B$1005,$W2277)=0),N(U2276)+1,N(U2276))</f>
        <v/>
      </c>
      <c r="V2277" s="19">
        <f>IF($B2277="","",TEXT($B2277,"0000"))</f>
        <v/>
      </c>
      <c r="W2277" s="19">
        <f>IF($I2277="","",IF(ISNUMBER($I2277),TEXT($I2277,"0"),$I2277))</f>
        <v/>
      </c>
    </row>
    <row r="2278">
      <c r="B2278" s="25" t="n"/>
      <c r="I2278" s="25" t="n"/>
      <c r="U2278" s="19">
        <f>IF(AND($V2278='設定'!$C$4,COUNTIF('商品マスタ'!$B$6:$B$1005,$W2278)=0),N(U2277)+1,N(U2277))</f>
        <v/>
      </c>
      <c r="V2278" s="19">
        <f>IF($B2278="","",TEXT($B2278,"0000"))</f>
        <v/>
      </c>
      <c r="W2278" s="19">
        <f>IF($I2278="","",IF(ISNUMBER($I2278),TEXT($I2278,"0"),$I2278))</f>
        <v/>
      </c>
    </row>
    <row r="2279">
      <c r="B2279" s="25" t="n"/>
      <c r="I2279" s="25" t="n"/>
      <c r="U2279" s="19">
        <f>IF(AND($V2279='設定'!$C$4,COUNTIF('商品マスタ'!$B$6:$B$1005,$W2279)=0),N(U2278)+1,N(U2278))</f>
        <v/>
      </c>
      <c r="V2279" s="19">
        <f>IF($B2279="","",TEXT($B2279,"0000"))</f>
        <v/>
      </c>
      <c r="W2279" s="19">
        <f>IF($I2279="","",IF(ISNUMBER($I2279),TEXT($I2279,"0"),$I2279))</f>
        <v/>
      </c>
    </row>
    <row r="2280">
      <c r="B2280" s="25" t="n"/>
      <c r="I2280" s="25" t="n"/>
      <c r="U2280" s="19">
        <f>IF(AND($V2280='設定'!$C$4,COUNTIF('商品マスタ'!$B$6:$B$1005,$W2280)=0),N(U2279)+1,N(U2279))</f>
        <v/>
      </c>
      <c r="V2280" s="19">
        <f>IF($B2280="","",TEXT($B2280,"0000"))</f>
        <v/>
      </c>
      <c r="W2280" s="19">
        <f>IF($I2280="","",IF(ISNUMBER($I2280),TEXT($I2280,"0"),$I2280))</f>
        <v/>
      </c>
    </row>
    <row r="2281">
      <c r="B2281" s="25" t="n"/>
      <c r="I2281" s="25" t="n"/>
      <c r="U2281" s="19">
        <f>IF(AND($V2281='設定'!$C$4,COUNTIF('商品マスタ'!$B$6:$B$1005,$W2281)=0),N(U2280)+1,N(U2280))</f>
        <v/>
      </c>
      <c r="V2281" s="19">
        <f>IF($B2281="","",TEXT($B2281,"0000"))</f>
        <v/>
      </c>
      <c r="W2281" s="19">
        <f>IF($I2281="","",IF(ISNUMBER($I2281),TEXT($I2281,"0"),$I2281))</f>
        <v/>
      </c>
    </row>
    <row r="2282">
      <c r="B2282" s="25" t="n"/>
      <c r="I2282" s="25" t="n"/>
      <c r="U2282" s="19">
        <f>IF(AND($V2282='設定'!$C$4,COUNTIF('商品マスタ'!$B$6:$B$1005,$W2282)=0),N(U2281)+1,N(U2281))</f>
        <v/>
      </c>
      <c r="V2282" s="19">
        <f>IF($B2282="","",TEXT($B2282,"0000"))</f>
        <v/>
      </c>
      <c r="W2282" s="19">
        <f>IF($I2282="","",IF(ISNUMBER($I2282),TEXT($I2282,"0"),$I2282))</f>
        <v/>
      </c>
    </row>
    <row r="2283">
      <c r="B2283" s="25" t="n"/>
      <c r="I2283" s="25" t="n"/>
      <c r="U2283" s="19">
        <f>IF(AND($V2283='設定'!$C$4,COUNTIF('商品マスタ'!$B$6:$B$1005,$W2283)=0),N(U2282)+1,N(U2282))</f>
        <v/>
      </c>
      <c r="V2283" s="19">
        <f>IF($B2283="","",TEXT($B2283,"0000"))</f>
        <v/>
      </c>
      <c r="W2283" s="19">
        <f>IF($I2283="","",IF(ISNUMBER($I2283),TEXT($I2283,"0"),$I2283))</f>
        <v/>
      </c>
    </row>
    <row r="2284">
      <c r="B2284" s="25" t="n"/>
      <c r="I2284" s="25" t="n"/>
      <c r="U2284" s="19">
        <f>IF(AND($V2284='設定'!$C$4,COUNTIF('商品マスタ'!$B$6:$B$1005,$W2284)=0),N(U2283)+1,N(U2283))</f>
        <v/>
      </c>
      <c r="V2284" s="19">
        <f>IF($B2284="","",TEXT($B2284,"0000"))</f>
        <v/>
      </c>
      <c r="W2284" s="19">
        <f>IF($I2284="","",IF(ISNUMBER($I2284),TEXT($I2284,"0"),$I2284))</f>
        <v/>
      </c>
    </row>
    <row r="2285">
      <c r="B2285" s="25" t="n"/>
      <c r="I2285" s="25" t="n"/>
      <c r="U2285" s="19">
        <f>IF(AND($V2285='設定'!$C$4,COUNTIF('商品マスタ'!$B$6:$B$1005,$W2285)=0),N(U2284)+1,N(U2284))</f>
        <v/>
      </c>
      <c r="V2285" s="19">
        <f>IF($B2285="","",TEXT($B2285,"0000"))</f>
        <v/>
      </c>
      <c r="W2285" s="19">
        <f>IF($I2285="","",IF(ISNUMBER($I2285),TEXT($I2285,"0"),$I2285))</f>
        <v/>
      </c>
    </row>
    <row r="2286">
      <c r="B2286" s="25" t="n"/>
      <c r="I2286" s="25" t="n"/>
      <c r="U2286" s="19">
        <f>IF(AND($V2286='設定'!$C$4,COUNTIF('商品マスタ'!$B$6:$B$1005,$W2286)=0),N(U2285)+1,N(U2285))</f>
        <v/>
      </c>
      <c r="V2286" s="19">
        <f>IF($B2286="","",TEXT($B2286,"0000"))</f>
        <v/>
      </c>
      <c r="W2286" s="19">
        <f>IF($I2286="","",IF(ISNUMBER($I2286),TEXT($I2286,"0"),$I2286))</f>
        <v/>
      </c>
    </row>
    <row r="2287">
      <c r="B2287" s="25" t="n"/>
      <c r="I2287" s="25" t="n"/>
      <c r="U2287" s="19">
        <f>IF(AND($V2287='設定'!$C$4,COUNTIF('商品マスタ'!$B$6:$B$1005,$W2287)=0),N(U2286)+1,N(U2286))</f>
        <v/>
      </c>
      <c r="V2287" s="19">
        <f>IF($B2287="","",TEXT($B2287,"0000"))</f>
        <v/>
      </c>
      <c r="W2287" s="19">
        <f>IF($I2287="","",IF(ISNUMBER($I2287),TEXT($I2287,"0"),$I2287))</f>
        <v/>
      </c>
    </row>
    <row r="2288">
      <c r="B2288" s="25" t="n"/>
      <c r="I2288" s="25" t="n"/>
      <c r="U2288" s="19">
        <f>IF(AND($V2288='設定'!$C$4,COUNTIF('商品マスタ'!$B$6:$B$1005,$W2288)=0),N(U2287)+1,N(U2287))</f>
        <v/>
      </c>
      <c r="V2288" s="19">
        <f>IF($B2288="","",TEXT($B2288,"0000"))</f>
        <v/>
      </c>
      <c r="W2288" s="19">
        <f>IF($I2288="","",IF(ISNUMBER($I2288),TEXT($I2288,"0"),$I2288))</f>
        <v/>
      </c>
    </row>
    <row r="2289">
      <c r="B2289" s="25" t="n"/>
      <c r="I2289" s="25" t="n"/>
      <c r="U2289" s="19">
        <f>IF(AND($V2289='設定'!$C$4,COUNTIF('商品マスタ'!$B$6:$B$1005,$W2289)=0),N(U2288)+1,N(U2288))</f>
        <v/>
      </c>
      <c r="V2289" s="19">
        <f>IF($B2289="","",TEXT($B2289,"0000"))</f>
        <v/>
      </c>
      <c r="W2289" s="19">
        <f>IF($I2289="","",IF(ISNUMBER($I2289),TEXT($I2289,"0"),$I2289))</f>
        <v/>
      </c>
    </row>
    <row r="2290">
      <c r="B2290" s="25" t="n"/>
      <c r="I2290" s="25" t="n"/>
      <c r="U2290" s="19">
        <f>IF(AND($V2290='設定'!$C$4,COUNTIF('商品マスタ'!$B$6:$B$1005,$W2290)=0),N(U2289)+1,N(U2289))</f>
        <v/>
      </c>
      <c r="V2290" s="19">
        <f>IF($B2290="","",TEXT($B2290,"0000"))</f>
        <v/>
      </c>
      <c r="W2290" s="19">
        <f>IF($I2290="","",IF(ISNUMBER($I2290),TEXT($I2290,"0"),$I2290))</f>
        <v/>
      </c>
    </row>
    <row r="2291">
      <c r="B2291" s="25" t="n"/>
      <c r="I2291" s="25" t="n"/>
      <c r="U2291" s="19">
        <f>IF(AND($V2291='設定'!$C$4,COUNTIF('商品マスタ'!$B$6:$B$1005,$W2291)=0),N(U2290)+1,N(U2290))</f>
        <v/>
      </c>
      <c r="V2291" s="19">
        <f>IF($B2291="","",TEXT($B2291,"0000"))</f>
        <v/>
      </c>
      <c r="W2291" s="19">
        <f>IF($I2291="","",IF(ISNUMBER($I2291),TEXT($I2291,"0"),$I2291))</f>
        <v/>
      </c>
    </row>
    <row r="2292">
      <c r="B2292" s="25" t="n"/>
      <c r="I2292" s="25" t="n"/>
      <c r="U2292" s="19">
        <f>IF(AND($V2292='設定'!$C$4,COUNTIF('商品マスタ'!$B$6:$B$1005,$W2292)=0),N(U2291)+1,N(U2291))</f>
        <v/>
      </c>
      <c r="V2292" s="19">
        <f>IF($B2292="","",TEXT($B2292,"0000"))</f>
        <v/>
      </c>
      <c r="W2292" s="19">
        <f>IF($I2292="","",IF(ISNUMBER($I2292),TEXT($I2292,"0"),$I2292))</f>
        <v/>
      </c>
    </row>
    <row r="2293">
      <c r="B2293" s="25" t="n"/>
      <c r="I2293" s="25" t="n"/>
      <c r="U2293" s="19">
        <f>IF(AND($V2293='設定'!$C$4,COUNTIF('商品マスタ'!$B$6:$B$1005,$W2293)=0),N(U2292)+1,N(U2292))</f>
        <v/>
      </c>
      <c r="V2293" s="19">
        <f>IF($B2293="","",TEXT($B2293,"0000"))</f>
        <v/>
      </c>
      <c r="W2293" s="19">
        <f>IF($I2293="","",IF(ISNUMBER($I2293),TEXT($I2293,"0"),$I2293))</f>
        <v/>
      </c>
    </row>
    <row r="2294">
      <c r="B2294" s="25" t="n"/>
      <c r="I2294" s="25" t="n"/>
      <c r="U2294" s="19">
        <f>IF(AND($V2294='設定'!$C$4,COUNTIF('商品マスタ'!$B$6:$B$1005,$W2294)=0),N(U2293)+1,N(U2293))</f>
        <v/>
      </c>
      <c r="V2294" s="19">
        <f>IF($B2294="","",TEXT($B2294,"0000"))</f>
        <v/>
      </c>
      <c r="W2294" s="19">
        <f>IF($I2294="","",IF(ISNUMBER($I2294),TEXT($I2294,"0"),$I2294))</f>
        <v/>
      </c>
    </row>
    <row r="2295">
      <c r="B2295" s="25" t="n"/>
      <c r="I2295" s="25" t="n"/>
      <c r="U2295" s="19">
        <f>IF(AND($V2295='設定'!$C$4,COUNTIF('商品マスタ'!$B$6:$B$1005,$W2295)=0),N(U2294)+1,N(U2294))</f>
        <v/>
      </c>
      <c r="V2295" s="19">
        <f>IF($B2295="","",TEXT($B2295,"0000"))</f>
        <v/>
      </c>
      <c r="W2295" s="19">
        <f>IF($I2295="","",IF(ISNUMBER($I2295),TEXT($I2295,"0"),$I2295))</f>
        <v/>
      </c>
    </row>
    <row r="2296">
      <c r="B2296" s="25" t="n"/>
      <c r="I2296" s="25" t="n"/>
      <c r="U2296" s="19">
        <f>IF(AND($V2296='設定'!$C$4,COUNTIF('商品マスタ'!$B$6:$B$1005,$W2296)=0),N(U2295)+1,N(U2295))</f>
        <v/>
      </c>
      <c r="V2296" s="19">
        <f>IF($B2296="","",TEXT($B2296,"0000"))</f>
        <v/>
      </c>
      <c r="W2296" s="19">
        <f>IF($I2296="","",IF(ISNUMBER($I2296),TEXT($I2296,"0"),$I2296))</f>
        <v/>
      </c>
    </row>
    <row r="2297">
      <c r="B2297" s="25" t="n"/>
      <c r="I2297" s="25" t="n"/>
      <c r="U2297" s="19">
        <f>IF(AND($V2297='設定'!$C$4,COUNTIF('商品マスタ'!$B$6:$B$1005,$W2297)=0),N(U2296)+1,N(U2296))</f>
        <v/>
      </c>
      <c r="V2297" s="19">
        <f>IF($B2297="","",TEXT($B2297,"0000"))</f>
        <v/>
      </c>
      <c r="W2297" s="19">
        <f>IF($I2297="","",IF(ISNUMBER($I2297),TEXT($I2297,"0"),$I2297))</f>
        <v/>
      </c>
    </row>
    <row r="2298">
      <c r="B2298" s="25" t="n"/>
      <c r="I2298" s="25" t="n"/>
      <c r="U2298" s="19">
        <f>IF(AND($V2298='設定'!$C$4,COUNTIF('商品マスタ'!$B$6:$B$1005,$W2298)=0),N(U2297)+1,N(U2297))</f>
        <v/>
      </c>
      <c r="V2298" s="19">
        <f>IF($B2298="","",TEXT($B2298,"0000"))</f>
        <v/>
      </c>
      <c r="W2298" s="19">
        <f>IF($I2298="","",IF(ISNUMBER($I2298),TEXT($I2298,"0"),$I2298))</f>
        <v/>
      </c>
    </row>
    <row r="2299">
      <c r="B2299" s="25" t="n"/>
      <c r="I2299" s="25" t="n"/>
      <c r="U2299" s="19">
        <f>IF(AND($V2299='設定'!$C$4,COUNTIF('商品マスタ'!$B$6:$B$1005,$W2299)=0),N(U2298)+1,N(U2298))</f>
        <v/>
      </c>
      <c r="V2299" s="19">
        <f>IF($B2299="","",TEXT($B2299,"0000"))</f>
        <v/>
      </c>
      <c r="W2299" s="19">
        <f>IF($I2299="","",IF(ISNUMBER($I2299),TEXT($I2299,"0"),$I2299))</f>
        <v/>
      </c>
    </row>
    <row r="2300">
      <c r="B2300" s="25" t="n"/>
      <c r="I2300" s="25" t="n"/>
      <c r="U2300" s="19">
        <f>IF(AND($V2300='設定'!$C$4,COUNTIF('商品マスタ'!$B$6:$B$1005,$W2300)=0),N(U2299)+1,N(U2299))</f>
        <v/>
      </c>
      <c r="V2300" s="19">
        <f>IF($B2300="","",TEXT($B2300,"0000"))</f>
        <v/>
      </c>
      <c r="W2300" s="19">
        <f>IF($I2300="","",IF(ISNUMBER($I2300),TEXT($I2300,"0"),$I2300))</f>
        <v/>
      </c>
    </row>
    <row r="2301">
      <c r="B2301" s="25" t="n"/>
      <c r="I2301" s="25" t="n"/>
      <c r="U2301" s="19">
        <f>IF(AND($V2301='設定'!$C$4,COUNTIF('商品マスタ'!$B$6:$B$1005,$W2301)=0),N(U2300)+1,N(U2300))</f>
        <v/>
      </c>
      <c r="V2301" s="19">
        <f>IF($B2301="","",TEXT($B2301,"0000"))</f>
        <v/>
      </c>
      <c r="W2301" s="19">
        <f>IF($I2301="","",IF(ISNUMBER($I2301),TEXT($I2301,"0"),$I2301))</f>
        <v/>
      </c>
    </row>
    <row r="2302">
      <c r="B2302" s="25" t="n"/>
      <c r="I2302" s="25" t="n"/>
      <c r="U2302" s="19">
        <f>IF(AND($V2302='設定'!$C$4,COUNTIF('商品マスタ'!$B$6:$B$1005,$W2302)=0),N(U2301)+1,N(U2301))</f>
        <v/>
      </c>
      <c r="V2302" s="19">
        <f>IF($B2302="","",TEXT($B2302,"0000"))</f>
        <v/>
      </c>
      <c r="W2302" s="19">
        <f>IF($I2302="","",IF(ISNUMBER($I2302),TEXT($I2302,"0"),$I2302))</f>
        <v/>
      </c>
    </row>
    <row r="2303">
      <c r="B2303" s="25" t="n"/>
      <c r="I2303" s="25" t="n"/>
      <c r="U2303" s="19">
        <f>IF(AND($V2303='設定'!$C$4,COUNTIF('商品マスタ'!$B$6:$B$1005,$W2303)=0),N(U2302)+1,N(U2302))</f>
        <v/>
      </c>
      <c r="V2303" s="19">
        <f>IF($B2303="","",TEXT($B2303,"0000"))</f>
        <v/>
      </c>
      <c r="W2303" s="19">
        <f>IF($I2303="","",IF(ISNUMBER($I2303),TEXT($I2303,"0"),$I2303))</f>
        <v/>
      </c>
    </row>
    <row r="2304">
      <c r="B2304" s="25" t="n"/>
      <c r="I2304" s="25" t="n"/>
      <c r="U2304" s="19">
        <f>IF(AND($V2304='設定'!$C$4,COUNTIF('商品マスタ'!$B$6:$B$1005,$W2304)=0),N(U2303)+1,N(U2303))</f>
        <v/>
      </c>
      <c r="V2304" s="19">
        <f>IF($B2304="","",TEXT($B2304,"0000"))</f>
        <v/>
      </c>
      <c r="W2304" s="19">
        <f>IF($I2304="","",IF(ISNUMBER($I2304),TEXT($I2304,"0"),$I2304))</f>
        <v/>
      </c>
    </row>
    <row r="2305">
      <c r="B2305" s="25" t="n"/>
      <c r="I2305" s="25" t="n"/>
      <c r="U2305" s="19">
        <f>IF(AND($V2305='設定'!$C$4,COUNTIF('商品マスタ'!$B$6:$B$1005,$W2305)=0),N(U2304)+1,N(U2304))</f>
        <v/>
      </c>
      <c r="V2305" s="19">
        <f>IF($B2305="","",TEXT($B2305,"0000"))</f>
        <v/>
      </c>
      <c r="W2305" s="19">
        <f>IF($I2305="","",IF(ISNUMBER($I2305),TEXT($I2305,"0"),$I2305))</f>
        <v/>
      </c>
    </row>
    <row r="2306">
      <c r="B2306" s="25" t="n"/>
      <c r="I2306" s="25" t="n"/>
      <c r="U2306" s="19">
        <f>IF(AND($V2306='設定'!$C$4,COUNTIF('商品マスタ'!$B$6:$B$1005,$W2306)=0),N(U2305)+1,N(U2305))</f>
        <v/>
      </c>
      <c r="V2306" s="19">
        <f>IF($B2306="","",TEXT($B2306,"0000"))</f>
        <v/>
      </c>
      <c r="W2306" s="19">
        <f>IF($I2306="","",IF(ISNUMBER($I2306),TEXT($I2306,"0"),$I2306))</f>
        <v/>
      </c>
    </row>
    <row r="2307">
      <c r="B2307" s="25" t="n"/>
      <c r="I2307" s="25" t="n"/>
      <c r="U2307" s="19">
        <f>IF(AND($V2307='設定'!$C$4,COUNTIF('商品マスタ'!$B$6:$B$1005,$W2307)=0),N(U2306)+1,N(U2306))</f>
        <v/>
      </c>
      <c r="V2307" s="19">
        <f>IF($B2307="","",TEXT($B2307,"0000"))</f>
        <v/>
      </c>
      <c r="W2307" s="19">
        <f>IF($I2307="","",IF(ISNUMBER($I2307),TEXT($I2307,"0"),$I2307))</f>
        <v/>
      </c>
    </row>
    <row r="2308">
      <c r="B2308" s="25" t="n"/>
      <c r="I2308" s="25" t="n"/>
      <c r="U2308" s="19">
        <f>IF(AND($V2308='設定'!$C$4,COUNTIF('商品マスタ'!$B$6:$B$1005,$W2308)=0),N(U2307)+1,N(U2307))</f>
        <v/>
      </c>
      <c r="V2308" s="19">
        <f>IF($B2308="","",TEXT($B2308,"0000"))</f>
        <v/>
      </c>
      <c r="W2308" s="19">
        <f>IF($I2308="","",IF(ISNUMBER($I2308),TEXT($I2308,"0"),$I2308))</f>
        <v/>
      </c>
    </row>
    <row r="2309">
      <c r="B2309" s="25" t="n"/>
      <c r="I2309" s="25" t="n"/>
      <c r="U2309" s="19">
        <f>IF(AND($V2309='設定'!$C$4,COUNTIF('商品マスタ'!$B$6:$B$1005,$W2309)=0),N(U2308)+1,N(U2308))</f>
        <v/>
      </c>
      <c r="V2309" s="19">
        <f>IF($B2309="","",TEXT($B2309,"0000"))</f>
        <v/>
      </c>
      <c r="W2309" s="19">
        <f>IF($I2309="","",IF(ISNUMBER($I2309),TEXT($I2309,"0"),$I2309))</f>
        <v/>
      </c>
    </row>
    <row r="2310">
      <c r="B2310" s="25" t="n"/>
      <c r="I2310" s="25" t="n"/>
      <c r="U2310" s="19">
        <f>IF(AND($V2310='設定'!$C$4,COUNTIF('商品マスタ'!$B$6:$B$1005,$W2310)=0),N(U2309)+1,N(U2309))</f>
        <v/>
      </c>
      <c r="V2310" s="19">
        <f>IF($B2310="","",TEXT($B2310,"0000"))</f>
        <v/>
      </c>
      <c r="W2310" s="19">
        <f>IF($I2310="","",IF(ISNUMBER($I2310),TEXT($I2310,"0"),$I2310))</f>
        <v/>
      </c>
    </row>
    <row r="2311">
      <c r="B2311" s="25" t="n"/>
      <c r="I2311" s="25" t="n"/>
      <c r="U2311" s="19">
        <f>IF(AND($V2311='設定'!$C$4,COUNTIF('商品マスタ'!$B$6:$B$1005,$W2311)=0),N(U2310)+1,N(U2310))</f>
        <v/>
      </c>
      <c r="V2311" s="19">
        <f>IF($B2311="","",TEXT($B2311,"0000"))</f>
        <v/>
      </c>
      <c r="W2311" s="19">
        <f>IF($I2311="","",IF(ISNUMBER($I2311),TEXT($I2311,"0"),$I2311))</f>
        <v/>
      </c>
    </row>
    <row r="2312">
      <c r="B2312" s="25" t="n"/>
      <c r="I2312" s="25" t="n"/>
      <c r="U2312" s="19">
        <f>IF(AND($V2312='設定'!$C$4,COUNTIF('商品マスタ'!$B$6:$B$1005,$W2312)=0),N(U2311)+1,N(U2311))</f>
        <v/>
      </c>
      <c r="V2312" s="19">
        <f>IF($B2312="","",TEXT($B2312,"0000"))</f>
        <v/>
      </c>
      <c r="W2312" s="19">
        <f>IF($I2312="","",IF(ISNUMBER($I2312),TEXT($I2312,"0"),$I2312))</f>
        <v/>
      </c>
    </row>
    <row r="2313">
      <c r="B2313" s="25" t="n"/>
      <c r="I2313" s="25" t="n"/>
      <c r="U2313" s="19">
        <f>IF(AND($V2313='設定'!$C$4,COUNTIF('商品マスタ'!$B$6:$B$1005,$W2313)=0),N(U2312)+1,N(U2312))</f>
        <v/>
      </c>
      <c r="V2313" s="19">
        <f>IF($B2313="","",TEXT($B2313,"0000"))</f>
        <v/>
      </c>
      <c r="W2313" s="19">
        <f>IF($I2313="","",IF(ISNUMBER($I2313),TEXT($I2313,"0"),$I2313))</f>
        <v/>
      </c>
    </row>
    <row r="2314">
      <c r="B2314" s="25" t="n"/>
      <c r="I2314" s="25" t="n"/>
      <c r="U2314" s="19">
        <f>IF(AND($V2314='設定'!$C$4,COUNTIF('商品マスタ'!$B$6:$B$1005,$W2314)=0),N(U2313)+1,N(U2313))</f>
        <v/>
      </c>
      <c r="V2314" s="19">
        <f>IF($B2314="","",TEXT($B2314,"0000"))</f>
        <v/>
      </c>
      <c r="W2314" s="19">
        <f>IF($I2314="","",IF(ISNUMBER($I2314),TEXT($I2314,"0"),$I2314))</f>
        <v/>
      </c>
    </row>
    <row r="2315">
      <c r="B2315" s="25" t="n"/>
      <c r="I2315" s="25" t="n"/>
      <c r="U2315" s="19">
        <f>IF(AND($V2315='設定'!$C$4,COUNTIF('商品マスタ'!$B$6:$B$1005,$W2315)=0),N(U2314)+1,N(U2314))</f>
        <v/>
      </c>
      <c r="V2315" s="19">
        <f>IF($B2315="","",TEXT($B2315,"0000"))</f>
        <v/>
      </c>
      <c r="W2315" s="19">
        <f>IF($I2315="","",IF(ISNUMBER($I2315),TEXT($I2315,"0"),$I2315))</f>
        <v/>
      </c>
    </row>
    <row r="2316">
      <c r="B2316" s="25" t="n"/>
      <c r="I2316" s="25" t="n"/>
      <c r="U2316" s="19">
        <f>IF(AND($V2316='設定'!$C$4,COUNTIF('商品マスタ'!$B$6:$B$1005,$W2316)=0),N(U2315)+1,N(U2315))</f>
        <v/>
      </c>
      <c r="V2316" s="19">
        <f>IF($B2316="","",TEXT($B2316,"0000"))</f>
        <v/>
      </c>
      <c r="W2316" s="19">
        <f>IF($I2316="","",IF(ISNUMBER($I2316),TEXT($I2316,"0"),$I2316))</f>
        <v/>
      </c>
    </row>
    <row r="2317">
      <c r="B2317" s="25" t="n"/>
      <c r="I2317" s="25" t="n"/>
      <c r="U2317" s="19">
        <f>IF(AND($V2317='設定'!$C$4,COUNTIF('商品マスタ'!$B$6:$B$1005,$W2317)=0),N(U2316)+1,N(U2316))</f>
        <v/>
      </c>
      <c r="V2317" s="19">
        <f>IF($B2317="","",TEXT($B2317,"0000"))</f>
        <v/>
      </c>
      <c r="W2317" s="19">
        <f>IF($I2317="","",IF(ISNUMBER($I2317),TEXT($I2317,"0"),$I2317))</f>
        <v/>
      </c>
    </row>
    <row r="2318">
      <c r="B2318" s="25" t="n"/>
      <c r="I2318" s="25" t="n"/>
      <c r="U2318" s="19">
        <f>IF(AND($V2318='設定'!$C$4,COUNTIF('商品マスタ'!$B$6:$B$1005,$W2318)=0),N(U2317)+1,N(U2317))</f>
        <v/>
      </c>
      <c r="V2318" s="19">
        <f>IF($B2318="","",TEXT($B2318,"0000"))</f>
        <v/>
      </c>
      <c r="W2318" s="19">
        <f>IF($I2318="","",IF(ISNUMBER($I2318),TEXT($I2318,"0"),$I2318))</f>
        <v/>
      </c>
    </row>
    <row r="2319">
      <c r="B2319" s="25" t="n"/>
      <c r="I2319" s="25" t="n"/>
      <c r="U2319" s="19">
        <f>IF(AND($V2319='設定'!$C$4,COUNTIF('商品マスタ'!$B$6:$B$1005,$W2319)=0),N(U2318)+1,N(U2318))</f>
        <v/>
      </c>
      <c r="V2319" s="19">
        <f>IF($B2319="","",TEXT($B2319,"0000"))</f>
        <v/>
      </c>
      <c r="W2319" s="19">
        <f>IF($I2319="","",IF(ISNUMBER($I2319),TEXT($I2319,"0"),$I2319))</f>
        <v/>
      </c>
    </row>
    <row r="2320">
      <c r="B2320" s="25" t="n"/>
      <c r="I2320" s="25" t="n"/>
      <c r="U2320" s="19">
        <f>IF(AND($V2320='設定'!$C$4,COUNTIF('商品マスタ'!$B$6:$B$1005,$W2320)=0),N(U2319)+1,N(U2319))</f>
        <v/>
      </c>
      <c r="V2320" s="19">
        <f>IF($B2320="","",TEXT($B2320,"0000"))</f>
        <v/>
      </c>
      <c r="W2320" s="19">
        <f>IF($I2320="","",IF(ISNUMBER($I2320),TEXT($I2320,"0"),$I2320))</f>
        <v/>
      </c>
    </row>
    <row r="2321">
      <c r="B2321" s="25" t="n"/>
      <c r="I2321" s="25" t="n"/>
      <c r="U2321" s="19">
        <f>IF(AND($V2321='設定'!$C$4,COUNTIF('商品マスタ'!$B$6:$B$1005,$W2321)=0),N(U2320)+1,N(U2320))</f>
        <v/>
      </c>
      <c r="V2321" s="19">
        <f>IF($B2321="","",TEXT($B2321,"0000"))</f>
        <v/>
      </c>
      <c r="W2321" s="19">
        <f>IF($I2321="","",IF(ISNUMBER($I2321),TEXT($I2321,"0"),$I2321))</f>
        <v/>
      </c>
    </row>
    <row r="2322">
      <c r="B2322" s="25" t="n"/>
      <c r="I2322" s="25" t="n"/>
      <c r="U2322" s="19">
        <f>IF(AND($V2322='設定'!$C$4,COUNTIF('商品マスタ'!$B$6:$B$1005,$W2322)=0),N(U2321)+1,N(U2321))</f>
        <v/>
      </c>
      <c r="V2322" s="19">
        <f>IF($B2322="","",TEXT($B2322,"0000"))</f>
        <v/>
      </c>
      <c r="W2322" s="19">
        <f>IF($I2322="","",IF(ISNUMBER($I2322),TEXT($I2322,"0"),$I2322))</f>
        <v/>
      </c>
    </row>
    <row r="2323">
      <c r="B2323" s="25" t="n"/>
      <c r="I2323" s="25" t="n"/>
      <c r="U2323" s="19">
        <f>IF(AND($V2323='設定'!$C$4,COUNTIF('商品マスタ'!$B$6:$B$1005,$W2323)=0),N(U2322)+1,N(U2322))</f>
        <v/>
      </c>
      <c r="V2323" s="19">
        <f>IF($B2323="","",TEXT($B2323,"0000"))</f>
        <v/>
      </c>
      <c r="W2323" s="19">
        <f>IF($I2323="","",IF(ISNUMBER($I2323),TEXT($I2323,"0"),$I2323))</f>
        <v/>
      </c>
    </row>
    <row r="2324">
      <c r="B2324" s="25" t="n"/>
      <c r="I2324" s="25" t="n"/>
      <c r="U2324" s="19">
        <f>IF(AND($V2324='設定'!$C$4,COUNTIF('商品マスタ'!$B$6:$B$1005,$W2324)=0),N(U2323)+1,N(U2323))</f>
        <v/>
      </c>
      <c r="V2324" s="19">
        <f>IF($B2324="","",TEXT($B2324,"0000"))</f>
        <v/>
      </c>
      <c r="W2324" s="19">
        <f>IF($I2324="","",IF(ISNUMBER($I2324),TEXT($I2324,"0"),$I2324))</f>
        <v/>
      </c>
    </row>
    <row r="2325">
      <c r="B2325" s="25" t="n"/>
      <c r="I2325" s="25" t="n"/>
      <c r="U2325" s="19">
        <f>IF(AND($V2325='設定'!$C$4,COUNTIF('商品マスタ'!$B$6:$B$1005,$W2325)=0),N(U2324)+1,N(U2324))</f>
        <v/>
      </c>
      <c r="V2325" s="19">
        <f>IF($B2325="","",TEXT($B2325,"0000"))</f>
        <v/>
      </c>
      <c r="W2325" s="19">
        <f>IF($I2325="","",IF(ISNUMBER($I2325),TEXT($I2325,"0"),$I2325))</f>
        <v/>
      </c>
    </row>
    <row r="2326">
      <c r="B2326" s="25" t="n"/>
      <c r="I2326" s="25" t="n"/>
      <c r="U2326" s="19">
        <f>IF(AND($V2326='設定'!$C$4,COUNTIF('商品マスタ'!$B$6:$B$1005,$W2326)=0),N(U2325)+1,N(U2325))</f>
        <v/>
      </c>
      <c r="V2326" s="19">
        <f>IF($B2326="","",TEXT($B2326,"0000"))</f>
        <v/>
      </c>
      <c r="W2326" s="19">
        <f>IF($I2326="","",IF(ISNUMBER($I2326),TEXT($I2326,"0"),$I2326))</f>
        <v/>
      </c>
    </row>
    <row r="2327">
      <c r="B2327" s="25" t="n"/>
      <c r="I2327" s="25" t="n"/>
      <c r="U2327" s="19">
        <f>IF(AND($V2327='設定'!$C$4,COUNTIF('商品マスタ'!$B$6:$B$1005,$W2327)=0),N(U2326)+1,N(U2326))</f>
        <v/>
      </c>
      <c r="V2327" s="19">
        <f>IF($B2327="","",TEXT($B2327,"0000"))</f>
        <v/>
      </c>
      <c r="W2327" s="19">
        <f>IF($I2327="","",IF(ISNUMBER($I2327),TEXT($I2327,"0"),$I2327))</f>
        <v/>
      </c>
    </row>
    <row r="2328">
      <c r="B2328" s="25" t="n"/>
      <c r="I2328" s="25" t="n"/>
      <c r="U2328" s="19">
        <f>IF(AND($V2328='設定'!$C$4,COUNTIF('商品マスタ'!$B$6:$B$1005,$W2328)=0),N(U2327)+1,N(U2327))</f>
        <v/>
      </c>
      <c r="V2328" s="19">
        <f>IF($B2328="","",TEXT($B2328,"0000"))</f>
        <v/>
      </c>
      <c r="W2328" s="19">
        <f>IF($I2328="","",IF(ISNUMBER($I2328),TEXT($I2328,"0"),$I2328))</f>
        <v/>
      </c>
    </row>
    <row r="2329">
      <c r="B2329" s="25" t="n"/>
      <c r="I2329" s="25" t="n"/>
      <c r="U2329" s="19">
        <f>IF(AND($V2329='設定'!$C$4,COUNTIF('商品マスタ'!$B$6:$B$1005,$W2329)=0),N(U2328)+1,N(U2328))</f>
        <v/>
      </c>
      <c r="V2329" s="19">
        <f>IF($B2329="","",TEXT($B2329,"0000"))</f>
        <v/>
      </c>
      <c r="W2329" s="19">
        <f>IF($I2329="","",IF(ISNUMBER($I2329),TEXT($I2329,"0"),$I2329))</f>
        <v/>
      </c>
    </row>
    <row r="2330">
      <c r="B2330" s="25" t="n"/>
      <c r="I2330" s="25" t="n"/>
      <c r="U2330" s="19">
        <f>IF(AND($V2330='設定'!$C$4,COUNTIF('商品マスタ'!$B$6:$B$1005,$W2330)=0),N(U2329)+1,N(U2329))</f>
        <v/>
      </c>
      <c r="V2330" s="19">
        <f>IF($B2330="","",TEXT($B2330,"0000"))</f>
        <v/>
      </c>
      <c r="W2330" s="19">
        <f>IF($I2330="","",IF(ISNUMBER($I2330),TEXT($I2330,"0"),$I2330))</f>
        <v/>
      </c>
    </row>
    <row r="2331">
      <c r="B2331" s="25" t="n"/>
      <c r="I2331" s="25" t="n"/>
      <c r="U2331" s="19">
        <f>IF(AND($V2331='設定'!$C$4,COUNTIF('商品マスタ'!$B$6:$B$1005,$W2331)=0),N(U2330)+1,N(U2330))</f>
        <v/>
      </c>
      <c r="V2331" s="19">
        <f>IF($B2331="","",TEXT($B2331,"0000"))</f>
        <v/>
      </c>
      <c r="W2331" s="19">
        <f>IF($I2331="","",IF(ISNUMBER($I2331),TEXT($I2331,"0"),$I2331))</f>
        <v/>
      </c>
    </row>
    <row r="2332">
      <c r="B2332" s="25" t="n"/>
      <c r="I2332" s="25" t="n"/>
      <c r="U2332" s="19">
        <f>IF(AND($V2332='設定'!$C$4,COUNTIF('商品マスタ'!$B$6:$B$1005,$W2332)=0),N(U2331)+1,N(U2331))</f>
        <v/>
      </c>
      <c r="V2332" s="19">
        <f>IF($B2332="","",TEXT($B2332,"0000"))</f>
        <v/>
      </c>
      <c r="W2332" s="19">
        <f>IF($I2332="","",IF(ISNUMBER($I2332),TEXT($I2332,"0"),$I2332))</f>
        <v/>
      </c>
    </row>
    <row r="2333">
      <c r="B2333" s="25" t="n"/>
      <c r="I2333" s="25" t="n"/>
      <c r="U2333" s="19">
        <f>IF(AND($V2333='設定'!$C$4,COUNTIF('商品マスタ'!$B$6:$B$1005,$W2333)=0),N(U2332)+1,N(U2332))</f>
        <v/>
      </c>
      <c r="V2333" s="19">
        <f>IF($B2333="","",TEXT($B2333,"0000"))</f>
        <v/>
      </c>
      <c r="W2333" s="19">
        <f>IF($I2333="","",IF(ISNUMBER($I2333),TEXT($I2333,"0"),$I2333))</f>
        <v/>
      </c>
    </row>
    <row r="2334">
      <c r="B2334" s="25" t="n"/>
      <c r="I2334" s="25" t="n"/>
      <c r="U2334" s="19">
        <f>IF(AND($V2334='設定'!$C$4,COUNTIF('商品マスタ'!$B$6:$B$1005,$W2334)=0),N(U2333)+1,N(U2333))</f>
        <v/>
      </c>
      <c r="V2334" s="19">
        <f>IF($B2334="","",TEXT($B2334,"0000"))</f>
        <v/>
      </c>
      <c r="W2334" s="19">
        <f>IF($I2334="","",IF(ISNUMBER($I2334),TEXT($I2334,"0"),$I2334))</f>
        <v/>
      </c>
    </row>
    <row r="2335">
      <c r="B2335" s="25" t="n"/>
      <c r="I2335" s="25" t="n"/>
      <c r="U2335" s="19">
        <f>IF(AND($V2335='設定'!$C$4,COUNTIF('商品マスタ'!$B$6:$B$1005,$W2335)=0),N(U2334)+1,N(U2334))</f>
        <v/>
      </c>
      <c r="V2335" s="19">
        <f>IF($B2335="","",TEXT($B2335,"0000"))</f>
        <v/>
      </c>
      <c r="W2335" s="19">
        <f>IF($I2335="","",IF(ISNUMBER($I2335),TEXT($I2335,"0"),$I2335))</f>
        <v/>
      </c>
    </row>
    <row r="2336">
      <c r="B2336" s="25" t="n"/>
      <c r="I2336" s="25" t="n"/>
      <c r="U2336" s="19">
        <f>IF(AND($V2336='設定'!$C$4,COUNTIF('商品マスタ'!$B$6:$B$1005,$W2336)=0),N(U2335)+1,N(U2335))</f>
        <v/>
      </c>
      <c r="V2336" s="19">
        <f>IF($B2336="","",TEXT($B2336,"0000"))</f>
        <v/>
      </c>
      <c r="W2336" s="19">
        <f>IF($I2336="","",IF(ISNUMBER($I2336),TEXT($I2336,"0"),$I2336))</f>
        <v/>
      </c>
    </row>
    <row r="2337">
      <c r="B2337" s="25" t="n"/>
      <c r="I2337" s="25" t="n"/>
      <c r="U2337" s="19">
        <f>IF(AND($V2337='設定'!$C$4,COUNTIF('商品マスタ'!$B$6:$B$1005,$W2337)=0),N(U2336)+1,N(U2336))</f>
        <v/>
      </c>
      <c r="V2337" s="19">
        <f>IF($B2337="","",TEXT($B2337,"0000"))</f>
        <v/>
      </c>
      <c r="W2337" s="19">
        <f>IF($I2337="","",IF(ISNUMBER($I2337),TEXT($I2337,"0"),$I2337))</f>
        <v/>
      </c>
    </row>
    <row r="2338">
      <c r="B2338" s="25" t="n"/>
      <c r="I2338" s="25" t="n"/>
      <c r="U2338" s="19">
        <f>IF(AND($V2338='設定'!$C$4,COUNTIF('商品マスタ'!$B$6:$B$1005,$W2338)=0),N(U2337)+1,N(U2337))</f>
        <v/>
      </c>
      <c r="V2338" s="19">
        <f>IF($B2338="","",TEXT($B2338,"0000"))</f>
        <v/>
      </c>
      <c r="W2338" s="19">
        <f>IF($I2338="","",IF(ISNUMBER($I2338),TEXT($I2338,"0"),$I2338))</f>
        <v/>
      </c>
    </row>
    <row r="2339">
      <c r="B2339" s="25" t="n"/>
      <c r="I2339" s="25" t="n"/>
      <c r="U2339" s="19">
        <f>IF(AND($V2339='設定'!$C$4,COUNTIF('商品マスタ'!$B$6:$B$1005,$W2339)=0),N(U2338)+1,N(U2338))</f>
        <v/>
      </c>
      <c r="V2339" s="19">
        <f>IF($B2339="","",TEXT($B2339,"0000"))</f>
        <v/>
      </c>
      <c r="W2339" s="19">
        <f>IF($I2339="","",IF(ISNUMBER($I2339),TEXT($I2339,"0"),$I2339))</f>
        <v/>
      </c>
    </row>
    <row r="2340">
      <c r="B2340" s="25" t="n"/>
      <c r="I2340" s="25" t="n"/>
      <c r="U2340" s="19">
        <f>IF(AND($V2340='設定'!$C$4,COUNTIF('商品マスタ'!$B$6:$B$1005,$W2340)=0),N(U2339)+1,N(U2339))</f>
        <v/>
      </c>
      <c r="V2340" s="19">
        <f>IF($B2340="","",TEXT($B2340,"0000"))</f>
        <v/>
      </c>
      <c r="W2340" s="19">
        <f>IF($I2340="","",IF(ISNUMBER($I2340),TEXT($I2340,"0"),$I2340))</f>
        <v/>
      </c>
    </row>
    <row r="2341">
      <c r="B2341" s="25" t="n"/>
      <c r="I2341" s="25" t="n"/>
      <c r="U2341" s="19">
        <f>IF(AND($V2341='設定'!$C$4,COUNTIF('商品マスタ'!$B$6:$B$1005,$W2341)=0),N(U2340)+1,N(U2340))</f>
        <v/>
      </c>
      <c r="V2341" s="19">
        <f>IF($B2341="","",TEXT($B2341,"0000"))</f>
        <v/>
      </c>
      <c r="W2341" s="19">
        <f>IF($I2341="","",IF(ISNUMBER($I2341),TEXT($I2341,"0"),$I2341))</f>
        <v/>
      </c>
    </row>
    <row r="2342">
      <c r="B2342" s="25" t="n"/>
      <c r="I2342" s="25" t="n"/>
      <c r="U2342" s="19">
        <f>IF(AND($V2342='設定'!$C$4,COUNTIF('商品マスタ'!$B$6:$B$1005,$W2342)=0),N(U2341)+1,N(U2341))</f>
        <v/>
      </c>
      <c r="V2342" s="19">
        <f>IF($B2342="","",TEXT($B2342,"0000"))</f>
        <v/>
      </c>
      <c r="W2342" s="19">
        <f>IF($I2342="","",IF(ISNUMBER($I2342),TEXT($I2342,"0"),$I2342))</f>
        <v/>
      </c>
    </row>
    <row r="2343">
      <c r="B2343" s="25" t="n"/>
      <c r="I2343" s="25" t="n"/>
      <c r="U2343" s="19">
        <f>IF(AND($V2343='設定'!$C$4,COUNTIF('商品マスタ'!$B$6:$B$1005,$W2343)=0),N(U2342)+1,N(U2342))</f>
        <v/>
      </c>
      <c r="V2343" s="19">
        <f>IF($B2343="","",TEXT($B2343,"0000"))</f>
        <v/>
      </c>
      <c r="W2343" s="19">
        <f>IF($I2343="","",IF(ISNUMBER($I2343),TEXT($I2343,"0"),$I2343))</f>
        <v/>
      </c>
    </row>
    <row r="2344">
      <c r="B2344" s="25" t="n"/>
      <c r="I2344" s="25" t="n"/>
      <c r="U2344" s="19">
        <f>IF(AND($V2344='設定'!$C$4,COUNTIF('商品マスタ'!$B$6:$B$1005,$W2344)=0),N(U2343)+1,N(U2343))</f>
        <v/>
      </c>
      <c r="V2344" s="19">
        <f>IF($B2344="","",TEXT($B2344,"0000"))</f>
        <v/>
      </c>
      <c r="W2344" s="19">
        <f>IF($I2344="","",IF(ISNUMBER($I2344),TEXT($I2344,"0"),$I2344))</f>
        <v/>
      </c>
    </row>
    <row r="2345">
      <c r="B2345" s="25" t="n"/>
      <c r="I2345" s="25" t="n"/>
      <c r="U2345" s="19">
        <f>IF(AND($V2345='設定'!$C$4,COUNTIF('商品マスタ'!$B$6:$B$1005,$W2345)=0),N(U2344)+1,N(U2344))</f>
        <v/>
      </c>
      <c r="V2345" s="19">
        <f>IF($B2345="","",TEXT($B2345,"0000"))</f>
        <v/>
      </c>
      <c r="W2345" s="19">
        <f>IF($I2345="","",IF(ISNUMBER($I2345),TEXT($I2345,"0"),$I2345))</f>
        <v/>
      </c>
    </row>
    <row r="2346">
      <c r="B2346" s="25" t="n"/>
      <c r="I2346" s="25" t="n"/>
      <c r="U2346" s="19">
        <f>IF(AND($V2346='設定'!$C$4,COUNTIF('商品マスタ'!$B$6:$B$1005,$W2346)=0),N(U2345)+1,N(U2345))</f>
        <v/>
      </c>
      <c r="V2346" s="19">
        <f>IF($B2346="","",TEXT($B2346,"0000"))</f>
        <v/>
      </c>
      <c r="W2346" s="19">
        <f>IF($I2346="","",IF(ISNUMBER($I2346),TEXT($I2346,"0"),$I2346))</f>
        <v/>
      </c>
    </row>
    <row r="2347">
      <c r="B2347" s="25" t="n"/>
      <c r="I2347" s="25" t="n"/>
      <c r="U2347" s="19">
        <f>IF(AND($V2347='設定'!$C$4,COUNTIF('商品マスタ'!$B$6:$B$1005,$W2347)=0),N(U2346)+1,N(U2346))</f>
        <v/>
      </c>
      <c r="V2347" s="19">
        <f>IF($B2347="","",TEXT($B2347,"0000"))</f>
        <v/>
      </c>
      <c r="W2347" s="19">
        <f>IF($I2347="","",IF(ISNUMBER($I2347),TEXT($I2347,"0"),$I2347))</f>
        <v/>
      </c>
    </row>
    <row r="2348">
      <c r="B2348" s="25" t="n"/>
      <c r="I2348" s="25" t="n"/>
      <c r="U2348" s="19">
        <f>IF(AND($V2348='設定'!$C$4,COUNTIF('商品マスタ'!$B$6:$B$1005,$W2348)=0),N(U2347)+1,N(U2347))</f>
        <v/>
      </c>
      <c r="V2348" s="19">
        <f>IF($B2348="","",TEXT($B2348,"0000"))</f>
        <v/>
      </c>
      <c r="W2348" s="19">
        <f>IF($I2348="","",IF(ISNUMBER($I2348),TEXT($I2348,"0"),$I2348))</f>
        <v/>
      </c>
    </row>
    <row r="2349">
      <c r="B2349" s="25" t="n"/>
      <c r="I2349" s="25" t="n"/>
      <c r="U2349" s="19">
        <f>IF(AND($V2349='設定'!$C$4,COUNTIF('商品マスタ'!$B$6:$B$1005,$W2349)=0),N(U2348)+1,N(U2348))</f>
        <v/>
      </c>
      <c r="V2349" s="19">
        <f>IF($B2349="","",TEXT($B2349,"0000"))</f>
        <v/>
      </c>
      <c r="W2349" s="19">
        <f>IF($I2349="","",IF(ISNUMBER($I2349),TEXT($I2349,"0"),$I2349))</f>
        <v/>
      </c>
    </row>
    <row r="2350">
      <c r="B2350" s="25" t="n"/>
      <c r="I2350" s="25" t="n"/>
      <c r="U2350" s="19">
        <f>IF(AND($V2350='設定'!$C$4,COUNTIF('商品マスタ'!$B$6:$B$1005,$W2350)=0),N(U2349)+1,N(U2349))</f>
        <v/>
      </c>
      <c r="V2350" s="19">
        <f>IF($B2350="","",TEXT($B2350,"0000"))</f>
        <v/>
      </c>
      <c r="W2350" s="19">
        <f>IF($I2350="","",IF(ISNUMBER($I2350),TEXT($I2350,"0"),$I2350))</f>
        <v/>
      </c>
    </row>
    <row r="2351">
      <c r="B2351" s="25" t="n"/>
      <c r="I2351" s="25" t="n"/>
      <c r="U2351" s="19">
        <f>IF(AND($V2351='設定'!$C$4,COUNTIF('商品マスタ'!$B$6:$B$1005,$W2351)=0),N(U2350)+1,N(U2350))</f>
        <v/>
      </c>
      <c r="V2351" s="19">
        <f>IF($B2351="","",TEXT($B2351,"0000"))</f>
        <v/>
      </c>
      <c r="W2351" s="19">
        <f>IF($I2351="","",IF(ISNUMBER($I2351),TEXT($I2351,"0"),$I2351))</f>
        <v/>
      </c>
    </row>
    <row r="2352">
      <c r="B2352" s="25" t="n"/>
      <c r="I2352" s="25" t="n"/>
      <c r="U2352" s="19">
        <f>IF(AND($V2352='設定'!$C$4,COUNTIF('商品マスタ'!$B$6:$B$1005,$W2352)=0),N(U2351)+1,N(U2351))</f>
        <v/>
      </c>
      <c r="V2352" s="19">
        <f>IF($B2352="","",TEXT($B2352,"0000"))</f>
        <v/>
      </c>
      <c r="W2352" s="19">
        <f>IF($I2352="","",IF(ISNUMBER($I2352),TEXT($I2352,"0"),$I2352))</f>
        <v/>
      </c>
    </row>
    <row r="2353">
      <c r="B2353" s="25" t="n"/>
      <c r="I2353" s="25" t="n"/>
      <c r="U2353" s="19">
        <f>IF(AND($V2353='設定'!$C$4,COUNTIF('商品マスタ'!$B$6:$B$1005,$W2353)=0),N(U2352)+1,N(U2352))</f>
        <v/>
      </c>
      <c r="V2353" s="19">
        <f>IF($B2353="","",TEXT($B2353,"0000"))</f>
        <v/>
      </c>
      <c r="W2353" s="19">
        <f>IF($I2353="","",IF(ISNUMBER($I2353),TEXT($I2353,"0"),$I2353))</f>
        <v/>
      </c>
    </row>
    <row r="2354">
      <c r="B2354" s="25" t="n"/>
      <c r="I2354" s="25" t="n"/>
      <c r="U2354" s="19">
        <f>IF(AND($V2354='設定'!$C$4,COUNTIF('商品マスタ'!$B$6:$B$1005,$W2354)=0),N(U2353)+1,N(U2353))</f>
        <v/>
      </c>
      <c r="V2354" s="19">
        <f>IF($B2354="","",TEXT($B2354,"0000"))</f>
        <v/>
      </c>
      <c r="W2354" s="19">
        <f>IF($I2354="","",IF(ISNUMBER($I2354),TEXT($I2354,"0"),$I2354))</f>
        <v/>
      </c>
    </row>
    <row r="2355">
      <c r="B2355" s="25" t="n"/>
      <c r="I2355" s="25" t="n"/>
      <c r="U2355" s="19">
        <f>IF(AND($V2355='設定'!$C$4,COUNTIF('商品マスタ'!$B$6:$B$1005,$W2355)=0),N(U2354)+1,N(U2354))</f>
        <v/>
      </c>
      <c r="V2355" s="19">
        <f>IF($B2355="","",TEXT($B2355,"0000"))</f>
        <v/>
      </c>
      <c r="W2355" s="19">
        <f>IF($I2355="","",IF(ISNUMBER($I2355),TEXT($I2355,"0"),$I2355))</f>
        <v/>
      </c>
    </row>
    <row r="2356">
      <c r="B2356" s="25" t="n"/>
      <c r="I2356" s="25" t="n"/>
      <c r="U2356" s="19">
        <f>IF(AND($V2356='設定'!$C$4,COUNTIF('商品マスタ'!$B$6:$B$1005,$W2356)=0),N(U2355)+1,N(U2355))</f>
        <v/>
      </c>
      <c r="V2356" s="19">
        <f>IF($B2356="","",TEXT($B2356,"0000"))</f>
        <v/>
      </c>
      <c r="W2356" s="19">
        <f>IF($I2356="","",IF(ISNUMBER($I2356),TEXT($I2356,"0"),$I2356))</f>
        <v/>
      </c>
    </row>
    <row r="2357">
      <c r="B2357" s="25" t="n"/>
      <c r="I2357" s="25" t="n"/>
      <c r="U2357" s="19">
        <f>IF(AND($V2357='設定'!$C$4,COUNTIF('商品マスタ'!$B$6:$B$1005,$W2357)=0),N(U2356)+1,N(U2356))</f>
        <v/>
      </c>
      <c r="V2357" s="19">
        <f>IF($B2357="","",TEXT($B2357,"0000"))</f>
        <v/>
      </c>
      <c r="W2357" s="19">
        <f>IF($I2357="","",IF(ISNUMBER($I2357),TEXT($I2357,"0"),$I2357))</f>
        <v/>
      </c>
    </row>
    <row r="2358">
      <c r="B2358" s="25" t="n"/>
      <c r="I2358" s="25" t="n"/>
      <c r="U2358" s="19">
        <f>IF(AND($V2358='設定'!$C$4,COUNTIF('商品マスタ'!$B$6:$B$1005,$W2358)=0),N(U2357)+1,N(U2357))</f>
        <v/>
      </c>
      <c r="V2358" s="19">
        <f>IF($B2358="","",TEXT($B2358,"0000"))</f>
        <v/>
      </c>
      <c r="W2358" s="19">
        <f>IF($I2358="","",IF(ISNUMBER($I2358),TEXT($I2358,"0"),$I2358))</f>
        <v/>
      </c>
    </row>
    <row r="2359">
      <c r="B2359" s="25" t="n"/>
      <c r="I2359" s="25" t="n"/>
      <c r="U2359" s="19">
        <f>IF(AND($V2359='設定'!$C$4,COUNTIF('商品マスタ'!$B$6:$B$1005,$W2359)=0),N(U2358)+1,N(U2358))</f>
        <v/>
      </c>
      <c r="V2359" s="19">
        <f>IF($B2359="","",TEXT($B2359,"0000"))</f>
        <v/>
      </c>
      <c r="W2359" s="19">
        <f>IF($I2359="","",IF(ISNUMBER($I2359),TEXT($I2359,"0"),$I2359))</f>
        <v/>
      </c>
    </row>
    <row r="2360">
      <c r="B2360" s="25" t="n"/>
      <c r="I2360" s="25" t="n"/>
      <c r="U2360" s="19">
        <f>IF(AND($V2360='設定'!$C$4,COUNTIF('商品マスタ'!$B$6:$B$1005,$W2360)=0),N(U2359)+1,N(U2359))</f>
        <v/>
      </c>
      <c r="V2360" s="19">
        <f>IF($B2360="","",TEXT($B2360,"0000"))</f>
        <v/>
      </c>
      <c r="W2360" s="19">
        <f>IF($I2360="","",IF(ISNUMBER($I2360),TEXT($I2360,"0"),$I2360))</f>
        <v/>
      </c>
    </row>
    <row r="2361">
      <c r="B2361" s="25" t="n"/>
      <c r="I2361" s="25" t="n"/>
      <c r="U2361" s="19">
        <f>IF(AND($V2361='設定'!$C$4,COUNTIF('商品マスタ'!$B$6:$B$1005,$W2361)=0),N(U2360)+1,N(U2360))</f>
        <v/>
      </c>
      <c r="V2361" s="19">
        <f>IF($B2361="","",TEXT($B2361,"0000"))</f>
        <v/>
      </c>
      <c r="W2361" s="19">
        <f>IF($I2361="","",IF(ISNUMBER($I2361),TEXT($I2361,"0"),$I2361))</f>
        <v/>
      </c>
    </row>
    <row r="2362">
      <c r="B2362" s="25" t="n"/>
      <c r="I2362" s="25" t="n"/>
      <c r="U2362" s="19">
        <f>IF(AND($V2362='設定'!$C$4,COUNTIF('商品マスタ'!$B$6:$B$1005,$W2362)=0),N(U2361)+1,N(U2361))</f>
        <v/>
      </c>
      <c r="V2362" s="19">
        <f>IF($B2362="","",TEXT($B2362,"0000"))</f>
        <v/>
      </c>
      <c r="W2362" s="19">
        <f>IF($I2362="","",IF(ISNUMBER($I2362),TEXT($I2362,"0"),$I2362))</f>
        <v/>
      </c>
    </row>
    <row r="2363">
      <c r="B2363" s="25" t="n"/>
      <c r="I2363" s="25" t="n"/>
      <c r="U2363" s="19">
        <f>IF(AND($V2363='設定'!$C$4,COUNTIF('商品マスタ'!$B$6:$B$1005,$W2363)=0),N(U2362)+1,N(U2362))</f>
        <v/>
      </c>
      <c r="V2363" s="19">
        <f>IF($B2363="","",TEXT($B2363,"0000"))</f>
        <v/>
      </c>
      <c r="W2363" s="19">
        <f>IF($I2363="","",IF(ISNUMBER($I2363),TEXT($I2363,"0"),$I2363))</f>
        <v/>
      </c>
    </row>
    <row r="2364">
      <c r="B2364" s="25" t="n"/>
      <c r="I2364" s="25" t="n"/>
      <c r="U2364" s="19">
        <f>IF(AND($V2364='設定'!$C$4,COUNTIF('商品マスタ'!$B$6:$B$1005,$W2364)=0),N(U2363)+1,N(U2363))</f>
        <v/>
      </c>
      <c r="V2364" s="19">
        <f>IF($B2364="","",TEXT($B2364,"0000"))</f>
        <v/>
      </c>
      <c r="W2364" s="19">
        <f>IF($I2364="","",IF(ISNUMBER($I2364),TEXT($I2364,"0"),$I2364))</f>
        <v/>
      </c>
    </row>
    <row r="2365">
      <c r="B2365" s="25" t="n"/>
      <c r="I2365" s="25" t="n"/>
      <c r="U2365" s="19">
        <f>IF(AND($V2365='設定'!$C$4,COUNTIF('商品マスタ'!$B$6:$B$1005,$W2365)=0),N(U2364)+1,N(U2364))</f>
        <v/>
      </c>
      <c r="V2365" s="19">
        <f>IF($B2365="","",TEXT($B2365,"0000"))</f>
        <v/>
      </c>
      <c r="W2365" s="19">
        <f>IF($I2365="","",IF(ISNUMBER($I2365),TEXT($I2365,"0"),$I2365))</f>
        <v/>
      </c>
    </row>
    <row r="2366">
      <c r="B2366" s="25" t="n"/>
      <c r="I2366" s="25" t="n"/>
      <c r="U2366" s="19">
        <f>IF(AND($V2366='設定'!$C$4,COUNTIF('商品マスタ'!$B$6:$B$1005,$W2366)=0),N(U2365)+1,N(U2365))</f>
        <v/>
      </c>
      <c r="V2366" s="19">
        <f>IF($B2366="","",TEXT($B2366,"0000"))</f>
        <v/>
      </c>
      <c r="W2366" s="19">
        <f>IF($I2366="","",IF(ISNUMBER($I2366),TEXT($I2366,"0"),$I2366))</f>
        <v/>
      </c>
    </row>
    <row r="2367">
      <c r="B2367" s="25" t="n"/>
      <c r="I2367" s="25" t="n"/>
      <c r="U2367" s="19">
        <f>IF(AND($V2367='設定'!$C$4,COUNTIF('商品マスタ'!$B$6:$B$1005,$W2367)=0),N(U2366)+1,N(U2366))</f>
        <v/>
      </c>
      <c r="V2367" s="19">
        <f>IF($B2367="","",TEXT($B2367,"0000"))</f>
        <v/>
      </c>
      <c r="W2367" s="19">
        <f>IF($I2367="","",IF(ISNUMBER($I2367),TEXT($I2367,"0"),$I2367))</f>
        <v/>
      </c>
    </row>
    <row r="2368">
      <c r="B2368" s="25" t="n"/>
      <c r="I2368" s="25" t="n"/>
      <c r="U2368" s="19">
        <f>IF(AND($V2368='設定'!$C$4,COUNTIF('商品マスタ'!$B$6:$B$1005,$W2368)=0),N(U2367)+1,N(U2367))</f>
        <v/>
      </c>
      <c r="V2368" s="19">
        <f>IF($B2368="","",TEXT($B2368,"0000"))</f>
        <v/>
      </c>
      <c r="W2368" s="19">
        <f>IF($I2368="","",IF(ISNUMBER($I2368),TEXT($I2368,"0"),$I2368))</f>
        <v/>
      </c>
    </row>
    <row r="2369">
      <c r="B2369" s="25" t="n"/>
      <c r="I2369" s="25" t="n"/>
      <c r="U2369" s="19">
        <f>IF(AND($V2369='設定'!$C$4,COUNTIF('商品マスタ'!$B$6:$B$1005,$W2369)=0),N(U2368)+1,N(U2368))</f>
        <v/>
      </c>
      <c r="V2369" s="19">
        <f>IF($B2369="","",TEXT($B2369,"0000"))</f>
        <v/>
      </c>
      <c r="W2369" s="19">
        <f>IF($I2369="","",IF(ISNUMBER($I2369),TEXT($I2369,"0"),$I2369))</f>
        <v/>
      </c>
    </row>
    <row r="2370">
      <c r="B2370" s="25" t="n"/>
      <c r="I2370" s="25" t="n"/>
      <c r="U2370" s="19">
        <f>IF(AND($V2370='設定'!$C$4,COUNTIF('商品マスタ'!$B$6:$B$1005,$W2370)=0),N(U2369)+1,N(U2369))</f>
        <v/>
      </c>
      <c r="V2370" s="19">
        <f>IF($B2370="","",TEXT($B2370,"0000"))</f>
        <v/>
      </c>
      <c r="W2370" s="19">
        <f>IF($I2370="","",IF(ISNUMBER($I2370),TEXT($I2370,"0"),$I2370))</f>
        <v/>
      </c>
    </row>
    <row r="2371">
      <c r="B2371" s="25" t="n"/>
      <c r="I2371" s="25" t="n"/>
      <c r="U2371" s="19">
        <f>IF(AND($V2371='設定'!$C$4,COUNTIF('商品マスタ'!$B$6:$B$1005,$W2371)=0),N(U2370)+1,N(U2370))</f>
        <v/>
      </c>
      <c r="V2371" s="19">
        <f>IF($B2371="","",TEXT($B2371,"0000"))</f>
        <v/>
      </c>
      <c r="W2371" s="19">
        <f>IF($I2371="","",IF(ISNUMBER($I2371),TEXT($I2371,"0"),$I2371))</f>
        <v/>
      </c>
    </row>
    <row r="2372">
      <c r="B2372" s="25" t="n"/>
      <c r="I2372" s="25" t="n"/>
      <c r="U2372" s="19">
        <f>IF(AND($V2372='設定'!$C$4,COUNTIF('商品マスタ'!$B$6:$B$1005,$W2372)=0),N(U2371)+1,N(U2371))</f>
        <v/>
      </c>
      <c r="V2372" s="19">
        <f>IF($B2372="","",TEXT($B2372,"0000"))</f>
        <v/>
      </c>
      <c r="W2372" s="19">
        <f>IF($I2372="","",IF(ISNUMBER($I2372),TEXT($I2372,"0"),$I2372))</f>
        <v/>
      </c>
    </row>
    <row r="2373">
      <c r="B2373" s="25" t="n"/>
      <c r="I2373" s="25" t="n"/>
      <c r="U2373" s="19">
        <f>IF(AND($V2373='設定'!$C$4,COUNTIF('商品マスタ'!$B$6:$B$1005,$W2373)=0),N(U2372)+1,N(U2372))</f>
        <v/>
      </c>
      <c r="V2373" s="19">
        <f>IF($B2373="","",TEXT($B2373,"0000"))</f>
        <v/>
      </c>
      <c r="W2373" s="19">
        <f>IF($I2373="","",IF(ISNUMBER($I2373),TEXT($I2373,"0"),$I2373))</f>
        <v/>
      </c>
    </row>
    <row r="2374">
      <c r="B2374" s="25" t="n"/>
      <c r="I2374" s="25" t="n"/>
      <c r="U2374" s="19">
        <f>IF(AND($V2374='設定'!$C$4,COUNTIF('商品マスタ'!$B$6:$B$1005,$W2374)=0),N(U2373)+1,N(U2373))</f>
        <v/>
      </c>
      <c r="V2374" s="19">
        <f>IF($B2374="","",TEXT($B2374,"0000"))</f>
        <v/>
      </c>
      <c r="W2374" s="19">
        <f>IF($I2374="","",IF(ISNUMBER($I2374),TEXT($I2374,"0"),$I2374))</f>
        <v/>
      </c>
    </row>
    <row r="2375">
      <c r="B2375" s="25" t="n"/>
      <c r="I2375" s="25" t="n"/>
      <c r="U2375" s="19">
        <f>IF(AND($V2375='設定'!$C$4,COUNTIF('商品マスタ'!$B$6:$B$1005,$W2375)=0),N(U2374)+1,N(U2374))</f>
        <v/>
      </c>
      <c r="V2375" s="19">
        <f>IF($B2375="","",TEXT($B2375,"0000"))</f>
        <v/>
      </c>
      <c r="W2375" s="19">
        <f>IF($I2375="","",IF(ISNUMBER($I2375),TEXT($I2375,"0"),$I2375))</f>
        <v/>
      </c>
    </row>
    <row r="2376">
      <c r="B2376" s="25" t="n"/>
      <c r="I2376" s="25" t="n"/>
      <c r="U2376" s="19">
        <f>IF(AND($V2376='設定'!$C$4,COUNTIF('商品マスタ'!$B$6:$B$1005,$W2376)=0),N(U2375)+1,N(U2375))</f>
        <v/>
      </c>
      <c r="V2376" s="19">
        <f>IF($B2376="","",TEXT($B2376,"0000"))</f>
        <v/>
      </c>
      <c r="W2376" s="19">
        <f>IF($I2376="","",IF(ISNUMBER($I2376),TEXT($I2376,"0"),$I2376))</f>
        <v/>
      </c>
    </row>
    <row r="2377">
      <c r="B2377" s="25" t="n"/>
      <c r="I2377" s="25" t="n"/>
      <c r="U2377" s="19">
        <f>IF(AND($V2377='設定'!$C$4,COUNTIF('商品マスタ'!$B$6:$B$1005,$W2377)=0),N(U2376)+1,N(U2376))</f>
        <v/>
      </c>
      <c r="V2377" s="19">
        <f>IF($B2377="","",TEXT($B2377,"0000"))</f>
        <v/>
      </c>
      <c r="W2377" s="19">
        <f>IF($I2377="","",IF(ISNUMBER($I2377),TEXT($I2377,"0"),$I2377))</f>
        <v/>
      </c>
    </row>
    <row r="2378">
      <c r="B2378" s="25" t="n"/>
      <c r="I2378" s="25" t="n"/>
      <c r="U2378" s="19">
        <f>IF(AND($V2378='設定'!$C$4,COUNTIF('商品マスタ'!$B$6:$B$1005,$W2378)=0),N(U2377)+1,N(U2377))</f>
        <v/>
      </c>
      <c r="V2378" s="19">
        <f>IF($B2378="","",TEXT($B2378,"0000"))</f>
        <v/>
      </c>
      <c r="W2378" s="19">
        <f>IF($I2378="","",IF(ISNUMBER($I2378),TEXT($I2378,"0"),$I2378))</f>
        <v/>
      </c>
    </row>
    <row r="2379">
      <c r="B2379" s="25" t="n"/>
      <c r="I2379" s="25" t="n"/>
      <c r="U2379" s="19">
        <f>IF(AND($V2379='設定'!$C$4,COUNTIF('商品マスタ'!$B$6:$B$1005,$W2379)=0),N(U2378)+1,N(U2378))</f>
        <v/>
      </c>
      <c r="V2379" s="19">
        <f>IF($B2379="","",TEXT($B2379,"0000"))</f>
        <v/>
      </c>
      <c r="W2379" s="19">
        <f>IF($I2379="","",IF(ISNUMBER($I2379),TEXT($I2379,"0"),$I2379))</f>
        <v/>
      </c>
    </row>
    <row r="2380">
      <c r="B2380" s="25" t="n"/>
      <c r="I2380" s="25" t="n"/>
      <c r="U2380" s="19">
        <f>IF(AND($V2380='設定'!$C$4,COUNTIF('商品マスタ'!$B$6:$B$1005,$W2380)=0),N(U2379)+1,N(U2379))</f>
        <v/>
      </c>
      <c r="V2380" s="19">
        <f>IF($B2380="","",TEXT($B2380,"0000"))</f>
        <v/>
      </c>
      <c r="W2380" s="19">
        <f>IF($I2380="","",IF(ISNUMBER($I2380),TEXT($I2380,"0"),$I2380))</f>
        <v/>
      </c>
    </row>
    <row r="2381">
      <c r="B2381" s="25" t="n"/>
      <c r="I2381" s="25" t="n"/>
      <c r="U2381" s="19">
        <f>IF(AND($V2381='設定'!$C$4,COUNTIF('商品マスタ'!$B$6:$B$1005,$W2381)=0),N(U2380)+1,N(U2380))</f>
        <v/>
      </c>
      <c r="V2381" s="19">
        <f>IF($B2381="","",TEXT($B2381,"0000"))</f>
        <v/>
      </c>
      <c r="W2381" s="19">
        <f>IF($I2381="","",IF(ISNUMBER($I2381),TEXT($I2381,"0"),$I2381))</f>
        <v/>
      </c>
    </row>
    <row r="2382">
      <c r="B2382" s="25" t="n"/>
      <c r="I2382" s="25" t="n"/>
      <c r="U2382" s="19">
        <f>IF(AND($V2382='設定'!$C$4,COUNTIF('商品マスタ'!$B$6:$B$1005,$W2382)=0),N(U2381)+1,N(U2381))</f>
        <v/>
      </c>
      <c r="V2382" s="19">
        <f>IF($B2382="","",TEXT($B2382,"0000"))</f>
        <v/>
      </c>
      <c r="W2382" s="19">
        <f>IF($I2382="","",IF(ISNUMBER($I2382),TEXT($I2382,"0"),$I2382))</f>
        <v/>
      </c>
    </row>
    <row r="2383">
      <c r="B2383" s="25" t="n"/>
      <c r="I2383" s="25" t="n"/>
      <c r="U2383" s="19">
        <f>IF(AND($V2383='設定'!$C$4,COUNTIF('商品マスタ'!$B$6:$B$1005,$W2383)=0),N(U2382)+1,N(U2382))</f>
        <v/>
      </c>
      <c r="V2383" s="19">
        <f>IF($B2383="","",TEXT($B2383,"0000"))</f>
        <v/>
      </c>
      <c r="W2383" s="19">
        <f>IF($I2383="","",IF(ISNUMBER($I2383),TEXT($I2383,"0"),$I2383))</f>
        <v/>
      </c>
    </row>
    <row r="2384">
      <c r="B2384" s="25" t="n"/>
      <c r="I2384" s="25" t="n"/>
      <c r="U2384" s="19">
        <f>IF(AND($V2384='設定'!$C$4,COUNTIF('商品マスタ'!$B$6:$B$1005,$W2384)=0),N(U2383)+1,N(U2383))</f>
        <v/>
      </c>
      <c r="V2384" s="19">
        <f>IF($B2384="","",TEXT($B2384,"0000"))</f>
        <v/>
      </c>
      <c r="W2384" s="19">
        <f>IF($I2384="","",IF(ISNUMBER($I2384),TEXT($I2384,"0"),$I2384))</f>
        <v/>
      </c>
    </row>
    <row r="2385">
      <c r="B2385" s="25" t="n"/>
      <c r="I2385" s="25" t="n"/>
      <c r="U2385" s="19">
        <f>IF(AND($V2385='設定'!$C$4,COUNTIF('商品マスタ'!$B$6:$B$1005,$W2385)=0),N(U2384)+1,N(U2384))</f>
        <v/>
      </c>
      <c r="V2385" s="19">
        <f>IF($B2385="","",TEXT($B2385,"0000"))</f>
        <v/>
      </c>
      <c r="W2385" s="19">
        <f>IF($I2385="","",IF(ISNUMBER($I2385),TEXT($I2385,"0"),$I2385))</f>
        <v/>
      </c>
    </row>
    <row r="2386">
      <c r="B2386" s="25" t="n"/>
      <c r="I2386" s="25" t="n"/>
      <c r="U2386" s="19">
        <f>IF(AND($V2386='設定'!$C$4,COUNTIF('商品マスタ'!$B$6:$B$1005,$W2386)=0),N(U2385)+1,N(U2385))</f>
        <v/>
      </c>
      <c r="V2386" s="19">
        <f>IF($B2386="","",TEXT($B2386,"0000"))</f>
        <v/>
      </c>
      <c r="W2386" s="19">
        <f>IF($I2386="","",IF(ISNUMBER($I2386),TEXT($I2386,"0"),$I2386))</f>
        <v/>
      </c>
    </row>
    <row r="2387">
      <c r="B2387" s="25" t="n"/>
      <c r="I2387" s="25" t="n"/>
      <c r="U2387" s="19">
        <f>IF(AND($V2387='設定'!$C$4,COUNTIF('商品マスタ'!$B$6:$B$1005,$W2387)=0),N(U2386)+1,N(U2386))</f>
        <v/>
      </c>
      <c r="V2387" s="19">
        <f>IF($B2387="","",TEXT($B2387,"0000"))</f>
        <v/>
      </c>
      <c r="W2387" s="19">
        <f>IF($I2387="","",IF(ISNUMBER($I2387),TEXT($I2387,"0"),$I2387))</f>
        <v/>
      </c>
    </row>
    <row r="2388">
      <c r="B2388" s="25" t="n"/>
      <c r="I2388" s="25" t="n"/>
      <c r="U2388" s="19">
        <f>IF(AND($V2388='設定'!$C$4,COUNTIF('商品マスタ'!$B$6:$B$1005,$W2388)=0),N(U2387)+1,N(U2387))</f>
        <v/>
      </c>
      <c r="V2388" s="19">
        <f>IF($B2388="","",TEXT($B2388,"0000"))</f>
        <v/>
      </c>
      <c r="W2388" s="19">
        <f>IF($I2388="","",IF(ISNUMBER($I2388),TEXT($I2388,"0"),$I2388))</f>
        <v/>
      </c>
    </row>
    <row r="2389">
      <c r="B2389" s="25" t="n"/>
      <c r="I2389" s="25" t="n"/>
      <c r="U2389" s="19">
        <f>IF(AND($V2389='設定'!$C$4,COUNTIF('商品マスタ'!$B$6:$B$1005,$W2389)=0),N(U2388)+1,N(U2388))</f>
        <v/>
      </c>
      <c r="V2389" s="19">
        <f>IF($B2389="","",TEXT($B2389,"0000"))</f>
        <v/>
      </c>
      <c r="W2389" s="19">
        <f>IF($I2389="","",IF(ISNUMBER($I2389),TEXT($I2389,"0"),$I2389))</f>
        <v/>
      </c>
    </row>
    <row r="2390">
      <c r="B2390" s="25" t="n"/>
      <c r="I2390" s="25" t="n"/>
      <c r="U2390" s="19">
        <f>IF(AND($V2390='設定'!$C$4,COUNTIF('商品マスタ'!$B$6:$B$1005,$W2390)=0),N(U2389)+1,N(U2389))</f>
        <v/>
      </c>
      <c r="V2390" s="19">
        <f>IF($B2390="","",TEXT($B2390,"0000"))</f>
        <v/>
      </c>
      <c r="W2390" s="19">
        <f>IF($I2390="","",IF(ISNUMBER($I2390),TEXT($I2390,"0"),$I2390))</f>
        <v/>
      </c>
    </row>
    <row r="2391">
      <c r="B2391" s="25" t="n"/>
      <c r="I2391" s="25" t="n"/>
      <c r="U2391" s="19">
        <f>IF(AND($V2391='設定'!$C$4,COUNTIF('商品マスタ'!$B$6:$B$1005,$W2391)=0),N(U2390)+1,N(U2390))</f>
        <v/>
      </c>
      <c r="V2391" s="19">
        <f>IF($B2391="","",TEXT($B2391,"0000"))</f>
        <v/>
      </c>
      <c r="W2391" s="19">
        <f>IF($I2391="","",IF(ISNUMBER($I2391),TEXT($I2391,"0"),$I2391))</f>
        <v/>
      </c>
    </row>
    <row r="2392">
      <c r="B2392" s="25" t="n"/>
      <c r="I2392" s="25" t="n"/>
      <c r="U2392" s="19">
        <f>IF(AND($V2392='設定'!$C$4,COUNTIF('商品マスタ'!$B$6:$B$1005,$W2392)=0),N(U2391)+1,N(U2391))</f>
        <v/>
      </c>
      <c r="V2392" s="19">
        <f>IF($B2392="","",TEXT($B2392,"0000"))</f>
        <v/>
      </c>
      <c r="W2392" s="19">
        <f>IF($I2392="","",IF(ISNUMBER($I2392),TEXT($I2392,"0"),$I2392))</f>
        <v/>
      </c>
    </row>
    <row r="2393">
      <c r="B2393" s="25" t="n"/>
      <c r="I2393" s="25" t="n"/>
      <c r="U2393" s="19">
        <f>IF(AND($V2393='設定'!$C$4,COUNTIF('商品マスタ'!$B$6:$B$1005,$W2393)=0),N(U2392)+1,N(U2392))</f>
        <v/>
      </c>
      <c r="V2393" s="19">
        <f>IF($B2393="","",TEXT($B2393,"0000"))</f>
        <v/>
      </c>
      <c r="W2393" s="19">
        <f>IF($I2393="","",IF(ISNUMBER($I2393),TEXT($I2393,"0"),$I2393))</f>
        <v/>
      </c>
    </row>
    <row r="2394">
      <c r="B2394" s="25" t="n"/>
      <c r="I2394" s="25" t="n"/>
      <c r="U2394" s="19">
        <f>IF(AND($V2394='設定'!$C$4,COUNTIF('商品マスタ'!$B$6:$B$1005,$W2394)=0),N(U2393)+1,N(U2393))</f>
        <v/>
      </c>
      <c r="V2394" s="19">
        <f>IF($B2394="","",TEXT($B2394,"0000"))</f>
        <v/>
      </c>
      <c r="W2394" s="19">
        <f>IF($I2394="","",IF(ISNUMBER($I2394),TEXT($I2394,"0"),$I2394))</f>
        <v/>
      </c>
    </row>
    <row r="2395">
      <c r="B2395" s="25" t="n"/>
      <c r="I2395" s="25" t="n"/>
      <c r="U2395" s="19">
        <f>IF(AND($V2395='設定'!$C$4,COUNTIF('商品マスタ'!$B$6:$B$1005,$W2395)=0),N(U2394)+1,N(U2394))</f>
        <v/>
      </c>
      <c r="V2395" s="19">
        <f>IF($B2395="","",TEXT($B2395,"0000"))</f>
        <v/>
      </c>
      <c r="W2395" s="19">
        <f>IF($I2395="","",IF(ISNUMBER($I2395),TEXT($I2395,"0"),$I2395))</f>
        <v/>
      </c>
    </row>
    <row r="2396">
      <c r="B2396" s="25" t="n"/>
      <c r="I2396" s="25" t="n"/>
      <c r="U2396" s="19">
        <f>IF(AND($V2396='設定'!$C$4,COUNTIF('商品マスタ'!$B$6:$B$1005,$W2396)=0),N(U2395)+1,N(U2395))</f>
        <v/>
      </c>
      <c r="V2396" s="19">
        <f>IF($B2396="","",TEXT($B2396,"0000"))</f>
        <v/>
      </c>
      <c r="W2396" s="19">
        <f>IF($I2396="","",IF(ISNUMBER($I2396),TEXT($I2396,"0"),$I2396))</f>
        <v/>
      </c>
    </row>
    <row r="2397">
      <c r="B2397" s="25" t="n"/>
      <c r="I2397" s="25" t="n"/>
      <c r="U2397" s="19">
        <f>IF(AND($V2397='設定'!$C$4,COUNTIF('商品マスタ'!$B$6:$B$1005,$W2397)=0),N(U2396)+1,N(U2396))</f>
        <v/>
      </c>
      <c r="V2397" s="19">
        <f>IF($B2397="","",TEXT($B2397,"0000"))</f>
        <v/>
      </c>
      <c r="W2397" s="19">
        <f>IF($I2397="","",IF(ISNUMBER($I2397),TEXT($I2397,"0"),$I2397))</f>
        <v/>
      </c>
    </row>
    <row r="2398">
      <c r="B2398" s="25" t="n"/>
      <c r="I2398" s="25" t="n"/>
      <c r="U2398" s="19">
        <f>IF(AND($V2398='設定'!$C$4,COUNTIF('商品マスタ'!$B$6:$B$1005,$W2398)=0),N(U2397)+1,N(U2397))</f>
        <v/>
      </c>
      <c r="V2398" s="19">
        <f>IF($B2398="","",TEXT($B2398,"0000"))</f>
        <v/>
      </c>
      <c r="W2398" s="19">
        <f>IF($I2398="","",IF(ISNUMBER($I2398),TEXT($I2398,"0"),$I2398))</f>
        <v/>
      </c>
    </row>
    <row r="2399">
      <c r="B2399" s="25" t="n"/>
      <c r="I2399" s="25" t="n"/>
      <c r="U2399" s="19">
        <f>IF(AND($V2399='設定'!$C$4,COUNTIF('商品マスタ'!$B$6:$B$1005,$W2399)=0),N(U2398)+1,N(U2398))</f>
        <v/>
      </c>
      <c r="V2399" s="19">
        <f>IF($B2399="","",TEXT($B2399,"0000"))</f>
        <v/>
      </c>
      <c r="W2399" s="19">
        <f>IF($I2399="","",IF(ISNUMBER($I2399),TEXT($I2399,"0"),$I2399))</f>
        <v/>
      </c>
    </row>
    <row r="2400">
      <c r="B2400" s="25" t="n"/>
      <c r="I2400" s="25" t="n"/>
      <c r="U2400" s="19">
        <f>IF(AND($V2400='設定'!$C$4,COUNTIF('商品マスタ'!$B$6:$B$1005,$W2400)=0),N(U2399)+1,N(U2399))</f>
        <v/>
      </c>
      <c r="V2400" s="19">
        <f>IF($B2400="","",TEXT($B2400,"0000"))</f>
        <v/>
      </c>
      <c r="W2400" s="19">
        <f>IF($I2400="","",IF(ISNUMBER($I2400),TEXT($I2400,"0"),$I2400))</f>
        <v/>
      </c>
    </row>
    <row r="2401">
      <c r="B2401" s="25" t="n"/>
      <c r="I2401" s="25" t="n"/>
      <c r="U2401" s="19">
        <f>IF(AND($V2401='設定'!$C$4,COUNTIF('商品マスタ'!$B$6:$B$1005,$W2401)=0),N(U2400)+1,N(U2400))</f>
        <v/>
      </c>
      <c r="V2401" s="19">
        <f>IF($B2401="","",TEXT($B2401,"0000"))</f>
        <v/>
      </c>
      <c r="W2401" s="19">
        <f>IF($I2401="","",IF(ISNUMBER($I2401),TEXT($I2401,"0"),$I2401))</f>
        <v/>
      </c>
    </row>
    <row r="2402">
      <c r="B2402" s="25" t="n"/>
      <c r="I2402" s="25" t="n"/>
      <c r="U2402" s="19">
        <f>IF(AND($V2402='設定'!$C$4,COUNTIF('商品マスタ'!$B$6:$B$1005,$W2402)=0),N(U2401)+1,N(U2401))</f>
        <v/>
      </c>
      <c r="V2402" s="19">
        <f>IF($B2402="","",TEXT($B2402,"0000"))</f>
        <v/>
      </c>
      <c r="W2402" s="19">
        <f>IF($I2402="","",IF(ISNUMBER($I2402),TEXT($I2402,"0"),$I2402))</f>
        <v/>
      </c>
    </row>
    <row r="2403">
      <c r="B2403" s="25" t="n"/>
      <c r="I2403" s="25" t="n"/>
      <c r="U2403" s="19">
        <f>IF(AND($V2403='設定'!$C$4,COUNTIF('商品マスタ'!$B$6:$B$1005,$W2403)=0),N(U2402)+1,N(U2402))</f>
        <v/>
      </c>
      <c r="V2403" s="19">
        <f>IF($B2403="","",TEXT($B2403,"0000"))</f>
        <v/>
      </c>
      <c r="W2403" s="19">
        <f>IF($I2403="","",IF(ISNUMBER($I2403),TEXT($I2403,"0"),$I2403))</f>
        <v/>
      </c>
    </row>
    <row r="2404">
      <c r="B2404" s="25" t="n"/>
      <c r="I2404" s="25" t="n"/>
      <c r="U2404" s="19">
        <f>IF(AND($V2404='設定'!$C$4,COUNTIF('商品マスタ'!$B$6:$B$1005,$W2404)=0),N(U2403)+1,N(U2403))</f>
        <v/>
      </c>
      <c r="V2404" s="19">
        <f>IF($B2404="","",TEXT($B2404,"0000"))</f>
        <v/>
      </c>
      <c r="W2404" s="19">
        <f>IF($I2404="","",IF(ISNUMBER($I2404),TEXT($I2404,"0"),$I2404))</f>
        <v/>
      </c>
    </row>
    <row r="2405">
      <c r="B2405" s="25" t="n"/>
      <c r="I2405" s="25" t="n"/>
      <c r="U2405" s="19">
        <f>IF(AND($V2405='設定'!$C$4,COUNTIF('商品マスタ'!$B$6:$B$1005,$W2405)=0),N(U2404)+1,N(U2404))</f>
        <v/>
      </c>
      <c r="V2405" s="19">
        <f>IF($B2405="","",TEXT($B2405,"0000"))</f>
        <v/>
      </c>
      <c r="W2405" s="19">
        <f>IF($I2405="","",IF(ISNUMBER($I2405),TEXT($I2405,"0"),$I2405))</f>
        <v/>
      </c>
    </row>
    <row r="2406">
      <c r="B2406" s="25" t="n"/>
      <c r="I2406" s="25" t="n"/>
      <c r="U2406" s="19">
        <f>IF(AND($V2406='設定'!$C$4,COUNTIF('商品マスタ'!$B$6:$B$1005,$W2406)=0),N(U2405)+1,N(U2405))</f>
        <v/>
      </c>
      <c r="V2406" s="19">
        <f>IF($B2406="","",TEXT($B2406,"0000"))</f>
        <v/>
      </c>
      <c r="W2406" s="19">
        <f>IF($I2406="","",IF(ISNUMBER($I2406),TEXT($I2406,"0"),$I2406))</f>
        <v/>
      </c>
    </row>
    <row r="2407">
      <c r="B2407" s="25" t="n"/>
      <c r="I2407" s="25" t="n"/>
      <c r="U2407" s="19">
        <f>IF(AND($V2407='設定'!$C$4,COUNTIF('商品マスタ'!$B$6:$B$1005,$W2407)=0),N(U2406)+1,N(U2406))</f>
        <v/>
      </c>
      <c r="V2407" s="19">
        <f>IF($B2407="","",TEXT($B2407,"0000"))</f>
        <v/>
      </c>
      <c r="W2407" s="19">
        <f>IF($I2407="","",IF(ISNUMBER($I2407),TEXT($I2407,"0"),$I2407))</f>
        <v/>
      </c>
    </row>
    <row r="2408">
      <c r="B2408" s="25" t="n"/>
      <c r="I2408" s="25" t="n"/>
      <c r="U2408" s="19">
        <f>IF(AND($V2408='設定'!$C$4,COUNTIF('商品マスタ'!$B$6:$B$1005,$W2408)=0),N(U2407)+1,N(U2407))</f>
        <v/>
      </c>
      <c r="V2408" s="19">
        <f>IF($B2408="","",TEXT($B2408,"0000"))</f>
        <v/>
      </c>
      <c r="W2408" s="19">
        <f>IF($I2408="","",IF(ISNUMBER($I2408),TEXT($I2408,"0"),$I2408))</f>
        <v/>
      </c>
    </row>
    <row r="2409">
      <c r="B2409" s="25" t="n"/>
      <c r="I2409" s="25" t="n"/>
      <c r="U2409" s="19">
        <f>IF(AND($V2409='設定'!$C$4,COUNTIF('商品マスタ'!$B$6:$B$1005,$W2409)=0),N(U2408)+1,N(U2408))</f>
        <v/>
      </c>
      <c r="V2409" s="19">
        <f>IF($B2409="","",TEXT($B2409,"0000"))</f>
        <v/>
      </c>
      <c r="W2409" s="19">
        <f>IF($I2409="","",IF(ISNUMBER($I2409),TEXT($I2409,"0"),$I2409))</f>
        <v/>
      </c>
    </row>
    <row r="2410">
      <c r="B2410" s="25" t="n"/>
      <c r="I2410" s="25" t="n"/>
      <c r="U2410" s="19">
        <f>IF(AND($V2410='設定'!$C$4,COUNTIF('商品マスタ'!$B$6:$B$1005,$W2410)=0),N(U2409)+1,N(U2409))</f>
        <v/>
      </c>
      <c r="V2410" s="19">
        <f>IF($B2410="","",TEXT($B2410,"0000"))</f>
        <v/>
      </c>
      <c r="W2410" s="19">
        <f>IF($I2410="","",IF(ISNUMBER($I2410),TEXT($I2410,"0"),$I2410))</f>
        <v/>
      </c>
    </row>
    <row r="2411">
      <c r="B2411" s="25" t="n"/>
      <c r="I2411" s="25" t="n"/>
      <c r="U2411" s="19">
        <f>IF(AND($V2411='設定'!$C$4,COUNTIF('商品マスタ'!$B$6:$B$1005,$W2411)=0),N(U2410)+1,N(U2410))</f>
        <v/>
      </c>
      <c r="V2411" s="19">
        <f>IF($B2411="","",TEXT($B2411,"0000"))</f>
        <v/>
      </c>
      <c r="W2411" s="19">
        <f>IF($I2411="","",IF(ISNUMBER($I2411),TEXT($I2411,"0"),$I2411))</f>
        <v/>
      </c>
    </row>
    <row r="2412">
      <c r="B2412" s="25" t="n"/>
      <c r="I2412" s="25" t="n"/>
      <c r="U2412" s="19">
        <f>IF(AND($V2412='設定'!$C$4,COUNTIF('商品マスタ'!$B$6:$B$1005,$W2412)=0),N(U2411)+1,N(U2411))</f>
        <v/>
      </c>
      <c r="V2412" s="19">
        <f>IF($B2412="","",TEXT($B2412,"0000"))</f>
        <v/>
      </c>
      <c r="W2412" s="19">
        <f>IF($I2412="","",IF(ISNUMBER($I2412),TEXT($I2412,"0"),$I2412))</f>
        <v/>
      </c>
    </row>
    <row r="2413">
      <c r="B2413" s="25" t="n"/>
      <c r="I2413" s="25" t="n"/>
      <c r="U2413" s="19">
        <f>IF(AND($V2413='設定'!$C$4,COUNTIF('商品マスタ'!$B$6:$B$1005,$W2413)=0),N(U2412)+1,N(U2412))</f>
        <v/>
      </c>
      <c r="V2413" s="19">
        <f>IF($B2413="","",TEXT($B2413,"0000"))</f>
        <v/>
      </c>
      <c r="W2413" s="19">
        <f>IF($I2413="","",IF(ISNUMBER($I2413),TEXT($I2413,"0"),$I2413))</f>
        <v/>
      </c>
    </row>
    <row r="2414">
      <c r="B2414" s="25" t="n"/>
      <c r="I2414" s="25" t="n"/>
      <c r="U2414" s="19">
        <f>IF(AND($V2414='設定'!$C$4,COUNTIF('商品マスタ'!$B$6:$B$1005,$W2414)=0),N(U2413)+1,N(U2413))</f>
        <v/>
      </c>
      <c r="V2414" s="19">
        <f>IF($B2414="","",TEXT($B2414,"0000"))</f>
        <v/>
      </c>
      <c r="W2414" s="19">
        <f>IF($I2414="","",IF(ISNUMBER($I2414),TEXT($I2414,"0"),$I2414))</f>
        <v/>
      </c>
    </row>
    <row r="2415">
      <c r="B2415" s="25" t="n"/>
      <c r="I2415" s="25" t="n"/>
      <c r="U2415" s="19">
        <f>IF(AND($V2415='設定'!$C$4,COUNTIF('商品マスタ'!$B$6:$B$1005,$W2415)=0),N(U2414)+1,N(U2414))</f>
        <v/>
      </c>
      <c r="V2415" s="19">
        <f>IF($B2415="","",TEXT($B2415,"0000"))</f>
        <v/>
      </c>
      <c r="W2415" s="19">
        <f>IF($I2415="","",IF(ISNUMBER($I2415),TEXT($I2415,"0"),$I2415))</f>
        <v/>
      </c>
    </row>
    <row r="2416">
      <c r="B2416" s="25" t="n"/>
      <c r="I2416" s="25" t="n"/>
      <c r="U2416" s="19">
        <f>IF(AND($V2416='設定'!$C$4,COUNTIF('商品マスタ'!$B$6:$B$1005,$W2416)=0),N(U2415)+1,N(U2415))</f>
        <v/>
      </c>
      <c r="V2416" s="19">
        <f>IF($B2416="","",TEXT($B2416,"0000"))</f>
        <v/>
      </c>
      <c r="W2416" s="19">
        <f>IF($I2416="","",IF(ISNUMBER($I2416),TEXT($I2416,"0"),$I2416))</f>
        <v/>
      </c>
    </row>
    <row r="2417">
      <c r="B2417" s="25" t="n"/>
      <c r="I2417" s="25" t="n"/>
      <c r="U2417" s="19">
        <f>IF(AND($V2417='設定'!$C$4,COUNTIF('商品マスタ'!$B$6:$B$1005,$W2417)=0),N(U2416)+1,N(U2416))</f>
        <v/>
      </c>
      <c r="V2417" s="19">
        <f>IF($B2417="","",TEXT($B2417,"0000"))</f>
        <v/>
      </c>
      <c r="W2417" s="19">
        <f>IF($I2417="","",IF(ISNUMBER($I2417),TEXT($I2417,"0"),$I2417))</f>
        <v/>
      </c>
    </row>
    <row r="2418">
      <c r="B2418" s="25" t="n"/>
      <c r="I2418" s="25" t="n"/>
      <c r="U2418" s="19">
        <f>IF(AND($V2418='設定'!$C$4,COUNTIF('商品マスタ'!$B$6:$B$1005,$W2418)=0),N(U2417)+1,N(U2417))</f>
        <v/>
      </c>
      <c r="V2418" s="19">
        <f>IF($B2418="","",TEXT($B2418,"0000"))</f>
        <v/>
      </c>
      <c r="W2418" s="19">
        <f>IF($I2418="","",IF(ISNUMBER($I2418),TEXT($I2418,"0"),$I2418))</f>
        <v/>
      </c>
    </row>
    <row r="2419">
      <c r="B2419" s="25" t="n"/>
      <c r="I2419" s="25" t="n"/>
      <c r="U2419" s="19">
        <f>IF(AND($V2419='設定'!$C$4,COUNTIF('商品マスタ'!$B$6:$B$1005,$W2419)=0),N(U2418)+1,N(U2418))</f>
        <v/>
      </c>
      <c r="V2419" s="19">
        <f>IF($B2419="","",TEXT($B2419,"0000"))</f>
        <v/>
      </c>
      <c r="W2419" s="19">
        <f>IF($I2419="","",IF(ISNUMBER($I2419),TEXT($I2419,"0"),$I2419))</f>
        <v/>
      </c>
    </row>
    <row r="2420">
      <c r="B2420" s="25" t="n"/>
      <c r="I2420" s="25" t="n"/>
      <c r="U2420" s="19">
        <f>IF(AND($V2420='設定'!$C$4,COUNTIF('商品マスタ'!$B$6:$B$1005,$W2420)=0),N(U2419)+1,N(U2419))</f>
        <v/>
      </c>
      <c r="V2420" s="19">
        <f>IF($B2420="","",TEXT($B2420,"0000"))</f>
        <v/>
      </c>
      <c r="W2420" s="19">
        <f>IF($I2420="","",IF(ISNUMBER($I2420),TEXT($I2420,"0"),$I2420))</f>
        <v/>
      </c>
    </row>
    <row r="2421">
      <c r="B2421" s="25" t="n"/>
      <c r="I2421" s="25" t="n"/>
      <c r="U2421" s="19">
        <f>IF(AND($V2421='設定'!$C$4,COUNTIF('商品マスタ'!$B$6:$B$1005,$W2421)=0),N(U2420)+1,N(U2420))</f>
        <v/>
      </c>
      <c r="V2421" s="19">
        <f>IF($B2421="","",TEXT($B2421,"0000"))</f>
        <v/>
      </c>
      <c r="W2421" s="19">
        <f>IF($I2421="","",IF(ISNUMBER($I2421),TEXT($I2421,"0"),$I2421))</f>
        <v/>
      </c>
    </row>
    <row r="2422">
      <c r="B2422" s="25" t="n"/>
      <c r="I2422" s="25" t="n"/>
      <c r="U2422" s="19">
        <f>IF(AND($V2422='設定'!$C$4,COUNTIF('商品マスタ'!$B$6:$B$1005,$W2422)=0),N(U2421)+1,N(U2421))</f>
        <v/>
      </c>
      <c r="V2422" s="19">
        <f>IF($B2422="","",TEXT($B2422,"0000"))</f>
        <v/>
      </c>
      <c r="W2422" s="19">
        <f>IF($I2422="","",IF(ISNUMBER($I2422),TEXT($I2422,"0"),$I2422))</f>
        <v/>
      </c>
    </row>
    <row r="2423">
      <c r="B2423" s="25" t="n"/>
      <c r="I2423" s="25" t="n"/>
      <c r="U2423" s="19">
        <f>IF(AND($V2423='設定'!$C$4,COUNTIF('商品マスタ'!$B$6:$B$1005,$W2423)=0),N(U2422)+1,N(U2422))</f>
        <v/>
      </c>
      <c r="V2423" s="19">
        <f>IF($B2423="","",TEXT($B2423,"0000"))</f>
        <v/>
      </c>
      <c r="W2423" s="19">
        <f>IF($I2423="","",IF(ISNUMBER($I2423),TEXT($I2423,"0"),$I2423))</f>
        <v/>
      </c>
    </row>
    <row r="2424">
      <c r="B2424" s="25" t="n"/>
      <c r="I2424" s="25" t="n"/>
      <c r="U2424" s="19">
        <f>IF(AND($V2424='設定'!$C$4,COUNTIF('商品マスタ'!$B$6:$B$1005,$W2424)=0),N(U2423)+1,N(U2423))</f>
        <v/>
      </c>
      <c r="V2424" s="19">
        <f>IF($B2424="","",TEXT($B2424,"0000"))</f>
        <v/>
      </c>
      <c r="W2424" s="19">
        <f>IF($I2424="","",IF(ISNUMBER($I2424),TEXT($I2424,"0"),$I2424))</f>
        <v/>
      </c>
    </row>
    <row r="2425">
      <c r="B2425" s="25" t="n"/>
      <c r="I2425" s="25" t="n"/>
      <c r="U2425" s="19">
        <f>IF(AND($V2425='設定'!$C$4,COUNTIF('商品マスタ'!$B$6:$B$1005,$W2425)=0),N(U2424)+1,N(U2424))</f>
        <v/>
      </c>
      <c r="V2425" s="19">
        <f>IF($B2425="","",TEXT($B2425,"0000"))</f>
        <v/>
      </c>
      <c r="W2425" s="19">
        <f>IF($I2425="","",IF(ISNUMBER($I2425),TEXT($I2425,"0"),$I2425))</f>
        <v/>
      </c>
    </row>
    <row r="2426">
      <c r="B2426" s="25" t="n"/>
      <c r="I2426" s="25" t="n"/>
      <c r="U2426" s="19">
        <f>IF(AND($V2426='設定'!$C$4,COUNTIF('商品マスタ'!$B$6:$B$1005,$W2426)=0),N(U2425)+1,N(U2425))</f>
        <v/>
      </c>
      <c r="V2426" s="19">
        <f>IF($B2426="","",TEXT($B2426,"0000"))</f>
        <v/>
      </c>
      <c r="W2426" s="19">
        <f>IF($I2426="","",IF(ISNUMBER($I2426),TEXT($I2426,"0"),$I2426))</f>
        <v/>
      </c>
    </row>
    <row r="2427">
      <c r="B2427" s="25" t="n"/>
      <c r="I2427" s="25" t="n"/>
      <c r="U2427" s="19">
        <f>IF(AND($V2427='設定'!$C$4,COUNTIF('商品マスタ'!$B$6:$B$1005,$W2427)=0),N(U2426)+1,N(U2426))</f>
        <v/>
      </c>
      <c r="V2427" s="19">
        <f>IF($B2427="","",TEXT($B2427,"0000"))</f>
        <v/>
      </c>
      <c r="W2427" s="19">
        <f>IF($I2427="","",IF(ISNUMBER($I2427),TEXT($I2427,"0"),$I2427))</f>
        <v/>
      </c>
    </row>
    <row r="2428">
      <c r="B2428" s="25" t="n"/>
      <c r="I2428" s="25" t="n"/>
      <c r="U2428" s="19">
        <f>IF(AND($V2428='設定'!$C$4,COUNTIF('商品マスタ'!$B$6:$B$1005,$W2428)=0),N(U2427)+1,N(U2427))</f>
        <v/>
      </c>
      <c r="V2428" s="19">
        <f>IF($B2428="","",TEXT($B2428,"0000"))</f>
        <v/>
      </c>
      <c r="W2428" s="19">
        <f>IF($I2428="","",IF(ISNUMBER($I2428),TEXT($I2428,"0"),$I2428))</f>
        <v/>
      </c>
    </row>
    <row r="2429">
      <c r="B2429" s="25" t="n"/>
      <c r="I2429" s="25" t="n"/>
      <c r="U2429" s="19">
        <f>IF(AND($V2429='設定'!$C$4,COUNTIF('商品マスタ'!$B$6:$B$1005,$W2429)=0),N(U2428)+1,N(U2428))</f>
        <v/>
      </c>
      <c r="V2429" s="19">
        <f>IF($B2429="","",TEXT($B2429,"0000"))</f>
        <v/>
      </c>
      <c r="W2429" s="19">
        <f>IF($I2429="","",IF(ISNUMBER($I2429),TEXT($I2429,"0"),$I2429))</f>
        <v/>
      </c>
    </row>
    <row r="2430">
      <c r="B2430" s="25" t="n"/>
      <c r="I2430" s="25" t="n"/>
      <c r="U2430" s="19">
        <f>IF(AND($V2430='設定'!$C$4,COUNTIF('商品マスタ'!$B$6:$B$1005,$W2430)=0),N(U2429)+1,N(U2429))</f>
        <v/>
      </c>
      <c r="V2430" s="19">
        <f>IF($B2430="","",TEXT($B2430,"0000"))</f>
        <v/>
      </c>
      <c r="W2430" s="19">
        <f>IF($I2430="","",IF(ISNUMBER($I2430),TEXT($I2430,"0"),$I2430))</f>
        <v/>
      </c>
    </row>
    <row r="2431">
      <c r="B2431" s="25" t="n"/>
      <c r="I2431" s="25" t="n"/>
      <c r="U2431" s="19">
        <f>IF(AND($V2431='設定'!$C$4,COUNTIF('商品マスタ'!$B$6:$B$1005,$W2431)=0),N(U2430)+1,N(U2430))</f>
        <v/>
      </c>
      <c r="V2431" s="19">
        <f>IF($B2431="","",TEXT($B2431,"0000"))</f>
        <v/>
      </c>
      <c r="W2431" s="19">
        <f>IF($I2431="","",IF(ISNUMBER($I2431),TEXT($I2431,"0"),$I2431))</f>
        <v/>
      </c>
    </row>
    <row r="2432">
      <c r="B2432" s="25" t="n"/>
      <c r="I2432" s="25" t="n"/>
      <c r="U2432" s="19">
        <f>IF(AND($V2432='設定'!$C$4,COUNTIF('商品マスタ'!$B$6:$B$1005,$W2432)=0),N(U2431)+1,N(U2431))</f>
        <v/>
      </c>
      <c r="V2432" s="19">
        <f>IF($B2432="","",TEXT($B2432,"0000"))</f>
        <v/>
      </c>
      <c r="W2432" s="19">
        <f>IF($I2432="","",IF(ISNUMBER($I2432),TEXT($I2432,"0"),$I2432))</f>
        <v/>
      </c>
    </row>
    <row r="2433">
      <c r="B2433" s="25" t="n"/>
      <c r="I2433" s="25" t="n"/>
      <c r="U2433" s="19">
        <f>IF(AND($V2433='設定'!$C$4,COUNTIF('商品マスタ'!$B$6:$B$1005,$W2433)=0),N(U2432)+1,N(U2432))</f>
        <v/>
      </c>
      <c r="V2433" s="19">
        <f>IF($B2433="","",TEXT($B2433,"0000"))</f>
        <v/>
      </c>
      <c r="W2433" s="19">
        <f>IF($I2433="","",IF(ISNUMBER($I2433),TEXT($I2433,"0"),$I2433))</f>
        <v/>
      </c>
    </row>
    <row r="2434">
      <c r="B2434" s="25" t="n"/>
      <c r="I2434" s="25" t="n"/>
      <c r="U2434" s="19">
        <f>IF(AND($V2434='設定'!$C$4,COUNTIF('商品マスタ'!$B$6:$B$1005,$W2434)=0),N(U2433)+1,N(U2433))</f>
        <v/>
      </c>
      <c r="V2434" s="19">
        <f>IF($B2434="","",TEXT($B2434,"0000"))</f>
        <v/>
      </c>
      <c r="W2434" s="19">
        <f>IF($I2434="","",IF(ISNUMBER($I2434),TEXT($I2434,"0"),$I2434))</f>
        <v/>
      </c>
    </row>
    <row r="2435">
      <c r="B2435" s="25" t="n"/>
      <c r="I2435" s="25" t="n"/>
      <c r="U2435" s="19">
        <f>IF(AND($V2435='設定'!$C$4,COUNTIF('商品マスタ'!$B$6:$B$1005,$W2435)=0),N(U2434)+1,N(U2434))</f>
        <v/>
      </c>
      <c r="V2435" s="19">
        <f>IF($B2435="","",TEXT($B2435,"0000"))</f>
        <v/>
      </c>
      <c r="W2435" s="19">
        <f>IF($I2435="","",IF(ISNUMBER($I2435),TEXT($I2435,"0"),$I2435))</f>
        <v/>
      </c>
    </row>
    <row r="2436">
      <c r="B2436" s="25" t="n"/>
      <c r="I2436" s="25" t="n"/>
      <c r="U2436" s="19">
        <f>IF(AND($V2436='設定'!$C$4,COUNTIF('商品マスタ'!$B$6:$B$1005,$W2436)=0),N(U2435)+1,N(U2435))</f>
        <v/>
      </c>
      <c r="V2436" s="19">
        <f>IF($B2436="","",TEXT($B2436,"0000"))</f>
        <v/>
      </c>
      <c r="W2436" s="19">
        <f>IF($I2436="","",IF(ISNUMBER($I2436),TEXT($I2436,"0"),$I2436))</f>
        <v/>
      </c>
    </row>
    <row r="2437">
      <c r="B2437" s="25" t="n"/>
      <c r="I2437" s="25" t="n"/>
      <c r="U2437" s="19">
        <f>IF(AND($V2437='設定'!$C$4,COUNTIF('商品マスタ'!$B$6:$B$1005,$W2437)=0),N(U2436)+1,N(U2436))</f>
        <v/>
      </c>
      <c r="V2437" s="19">
        <f>IF($B2437="","",TEXT($B2437,"0000"))</f>
        <v/>
      </c>
      <c r="W2437" s="19">
        <f>IF($I2437="","",IF(ISNUMBER($I2437),TEXT($I2437,"0"),$I2437))</f>
        <v/>
      </c>
    </row>
    <row r="2438">
      <c r="B2438" s="25" t="n"/>
      <c r="I2438" s="25" t="n"/>
      <c r="U2438" s="19">
        <f>IF(AND($V2438='設定'!$C$4,COUNTIF('商品マスタ'!$B$6:$B$1005,$W2438)=0),N(U2437)+1,N(U2437))</f>
        <v/>
      </c>
      <c r="V2438" s="19">
        <f>IF($B2438="","",TEXT($B2438,"0000"))</f>
        <v/>
      </c>
      <c r="W2438" s="19">
        <f>IF($I2438="","",IF(ISNUMBER($I2438),TEXT($I2438,"0"),$I2438))</f>
        <v/>
      </c>
    </row>
    <row r="2439">
      <c r="B2439" s="25" t="n"/>
      <c r="I2439" s="25" t="n"/>
      <c r="U2439" s="19">
        <f>IF(AND($V2439='設定'!$C$4,COUNTIF('商品マスタ'!$B$6:$B$1005,$W2439)=0),N(U2438)+1,N(U2438))</f>
        <v/>
      </c>
      <c r="V2439" s="19">
        <f>IF($B2439="","",TEXT($B2439,"0000"))</f>
        <v/>
      </c>
      <c r="W2439" s="19">
        <f>IF($I2439="","",IF(ISNUMBER($I2439),TEXT($I2439,"0"),$I2439))</f>
        <v/>
      </c>
    </row>
    <row r="2440">
      <c r="B2440" s="25" t="n"/>
      <c r="I2440" s="25" t="n"/>
      <c r="U2440" s="19">
        <f>IF(AND($V2440='設定'!$C$4,COUNTIF('商品マスタ'!$B$6:$B$1005,$W2440)=0),N(U2439)+1,N(U2439))</f>
        <v/>
      </c>
      <c r="V2440" s="19">
        <f>IF($B2440="","",TEXT($B2440,"0000"))</f>
        <v/>
      </c>
      <c r="W2440" s="19">
        <f>IF($I2440="","",IF(ISNUMBER($I2440),TEXT($I2440,"0"),$I2440))</f>
        <v/>
      </c>
    </row>
    <row r="2441">
      <c r="B2441" s="25" t="n"/>
      <c r="I2441" s="25" t="n"/>
      <c r="U2441" s="19">
        <f>IF(AND($V2441='設定'!$C$4,COUNTIF('商品マスタ'!$B$6:$B$1005,$W2441)=0),N(U2440)+1,N(U2440))</f>
        <v/>
      </c>
      <c r="V2441" s="19">
        <f>IF($B2441="","",TEXT($B2441,"0000"))</f>
        <v/>
      </c>
      <c r="W2441" s="19">
        <f>IF($I2441="","",IF(ISNUMBER($I2441),TEXT($I2441,"0"),$I2441))</f>
        <v/>
      </c>
    </row>
    <row r="2442">
      <c r="B2442" s="25" t="n"/>
      <c r="I2442" s="25" t="n"/>
      <c r="U2442" s="19">
        <f>IF(AND($V2442='設定'!$C$4,COUNTIF('商品マスタ'!$B$6:$B$1005,$W2442)=0),N(U2441)+1,N(U2441))</f>
        <v/>
      </c>
      <c r="V2442" s="19">
        <f>IF($B2442="","",TEXT($B2442,"0000"))</f>
        <v/>
      </c>
      <c r="W2442" s="19">
        <f>IF($I2442="","",IF(ISNUMBER($I2442),TEXT($I2442,"0"),$I2442))</f>
        <v/>
      </c>
    </row>
    <row r="2443">
      <c r="B2443" s="25" t="n"/>
      <c r="I2443" s="25" t="n"/>
      <c r="U2443" s="19">
        <f>IF(AND($V2443='設定'!$C$4,COUNTIF('商品マスタ'!$B$6:$B$1005,$W2443)=0),N(U2442)+1,N(U2442))</f>
        <v/>
      </c>
      <c r="V2443" s="19">
        <f>IF($B2443="","",TEXT($B2443,"0000"))</f>
        <v/>
      </c>
      <c r="W2443" s="19">
        <f>IF($I2443="","",IF(ISNUMBER($I2443),TEXT($I2443,"0"),$I2443))</f>
        <v/>
      </c>
    </row>
    <row r="2444">
      <c r="B2444" s="25" t="n"/>
      <c r="I2444" s="25" t="n"/>
      <c r="U2444" s="19">
        <f>IF(AND($V2444='設定'!$C$4,COUNTIF('商品マスタ'!$B$6:$B$1005,$W2444)=0),N(U2443)+1,N(U2443))</f>
        <v/>
      </c>
      <c r="V2444" s="19">
        <f>IF($B2444="","",TEXT($B2444,"0000"))</f>
        <v/>
      </c>
      <c r="W2444" s="19">
        <f>IF($I2444="","",IF(ISNUMBER($I2444),TEXT($I2444,"0"),$I2444))</f>
        <v/>
      </c>
    </row>
    <row r="2445">
      <c r="B2445" s="25" t="n"/>
      <c r="I2445" s="25" t="n"/>
      <c r="U2445" s="19">
        <f>IF(AND($V2445='設定'!$C$4,COUNTIF('商品マスタ'!$B$6:$B$1005,$W2445)=0),N(U2444)+1,N(U2444))</f>
        <v/>
      </c>
      <c r="V2445" s="19">
        <f>IF($B2445="","",TEXT($B2445,"0000"))</f>
        <v/>
      </c>
      <c r="W2445" s="19">
        <f>IF($I2445="","",IF(ISNUMBER($I2445),TEXT($I2445,"0"),$I2445))</f>
        <v/>
      </c>
    </row>
    <row r="2446">
      <c r="B2446" s="25" t="n"/>
      <c r="I2446" s="25" t="n"/>
      <c r="U2446" s="19">
        <f>IF(AND($V2446='設定'!$C$4,COUNTIF('商品マスタ'!$B$6:$B$1005,$W2446)=0),N(U2445)+1,N(U2445))</f>
        <v/>
      </c>
      <c r="V2446" s="19">
        <f>IF($B2446="","",TEXT($B2446,"0000"))</f>
        <v/>
      </c>
      <c r="W2446" s="19">
        <f>IF($I2446="","",IF(ISNUMBER($I2446),TEXT($I2446,"0"),$I2446))</f>
        <v/>
      </c>
    </row>
    <row r="2447">
      <c r="B2447" s="25" t="n"/>
      <c r="I2447" s="25" t="n"/>
      <c r="U2447" s="19">
        <f>IF(AND($V2447='設定'!$C$4,COUNTIF('商品マスタ'!$B$6:$B$1005,$W2447)=0),N(U2446)+1,N(U2446))</f>
        <v/>
      </c>
      <c r="V2447" s="19">
        <f>IF($B2447="","",TEXT($B2447,"0000"))</f>
        <v/>
      </c>
      <c r="W2447" s="19">
        <f>IF($I2447="","",IF(ISNUMBER($I2447),TEXT($I2447,"0"),$I2447))</f>
        <v/>
      </c>
    </row>
    <row r="2448">
      <c r="B2448" s="25" t="n"/>
      <c r="I2448" s="25" t="n"/>
      <c r="U2448" s="19">
        <f>IF(AND($V2448='設定'!$C$4,COUNTIF('商品マスタ'!$B$6:$B$1005,$W2448)=0),N(U2447)+1,N(U2447))</f>
        <v/>
      </c>
      <c r="V2448" s="19">
        <f>IF($B2448="","",TEXT($B2448,"0000"))</f>
        <v/>
      </c>
      <c r="W2448" s="19">
        <f>IF($I2448="","",IF(ISNUMBER($I2448),TEXT($I2448,"0"),$I2448))</f>
        <v/>
      </c>
    </row>
    <row r="2449">
      <c r="B2449" s="25" t="n"/>
      <c r="I2449" s="25" t="n"/>
      <c r="U2449" s="19">
        <f>IF(AND($V2449='設定'!$C$4,COUNTIF('商品マスタ'!$B$6:$B$1005,$W2449)=0),N(U2448)+1,N(U2448))</f>
        <v/>
      </c>
      <c r="V2449" s="19">
        <f>IF($B2449="","",TEXT($B2449,"0000"))</f>
        <v/>
      </c>
      <c r="W2449" s="19">
        <f>IF($I2449="","",IF(ISNUMBER($I2449),TEXT($I2449,"0"),$I2449))</f>
        <v/>
      </c>
    </row>
    <row r="2450">
      <c r="B2450" s="25" t="n"/>
      <c r="I2450" s="25" t="n"/>
      <c r="U2450" s="19">
        <f>IF(AND($V2450='設定'!$C$4,COUNTIF('商品マスタ'!$B$6:$B$1005,$W2450)=0),N(U2449)+1,N(U2449))</f>
        <v/>
      </c>
      <c r="V2450" s="19">
        <f>IF($B2450="","",TEXT($B2450,"0000"))</f>
        <v/>
      </c>
      <c r="W2450" s="19">
        <f>IF($I2450="","",IF(ISNUMBER($I2450),TEXT($I2450,"0"),$I2450))</f>
        <v/>
      </c>
    </row>
    <row r="2451">
      <c r="B2451" s="25" t="n"/>
      <c r="I2451" s="25" t="n"/>
      <c r="U2451" s="19">
        <f>IF(AND($V2451='設定'!$C$4,COUNTIF('商品マスタ'!$B$6:$B$1005,$W2451)=0),N(U2450)+1,N(U2450))</f>
        <v/>
      </c>
      <c r="V2451" s="19">
        <f>IF($B2451="","",TEXT($B2451,"0000"))</f>
        <v/>
      </c>
      <c r="W2451" s="19">
        <f>IF($I2451="","",IF(ISNUMBER($I2451),TEXT($I2451,"0"),$I2451))</f>
        <v/>
      </c>
    </row>
    <row r="2452">
      <c r="B2452" s="25" t="n"/>
      <c r="I2452" s="25" t="n"/>
      <c r="U2452" s="19">
        <f>IF(AND($V2452='設定'!$C$4,COUNTIF('商品マスタ'!$B$6:$B$1005,$W2452)=0),N(U2451)+1,N(U2451))</f>
        <v/>
      </c>
      <c r="V2452" s="19">
        <f>IF($B2452="","",TEXT($B2452,"0000"))</f>
        <v/>
      </c>
      <c r="W2452" s="19">
        <f>IF($I2452="","",IF(ISNUMBER($I2452),TEXT($I2452,"0"),$I2452))</f>
        <v/>
      </c>
    </row>
    <row r="2453">
      <c r="B2453" s="25" t="n"/>
      <c r="I2453" s="25" t="n"/>
      <c r="U2453" s="19">
        <f>IF(AND($V2453='設定'!$C$4,COUNTIF('商品マスタ'!$B$6:$B$1005,$W2453)=0),N(U2452)+1,N(U2452))</f>
        <v/>
      </c>
      <c r="V2453" s="19">
        <f>IF($B2453="","",TEXT($B2453,"0000"))</f>
        <v/>
      </c>
      <c r="W2453" s="19">
        <f>IF($I2453="","",IF(ISNUMBER($I2453),TEXT($I2453,"0"),$I2453))</f>
        <v/>
      </c>
    </row>
    <row r="2454">
      <c r="B2454" s="25" t="n"/>
      <c r="I2454" s="25" t="n"/>
      <c r="U2454" s="19">
        <f>IF(AND($V2454='設定'!$C$4,COUNTIF('商品マスタ'!$B$6:$B$1005,$W2454)=0),N(U2453)+1,N(U2453))</f>
        <v/>
      </c>
      <c r="V2454" s="19">
        <f>IF($B2454="","",TEXT($B2454,"0000"))</f>
        <v/>
      </c>
      <c r="W2454" s="19">
        <f>IF($I2454="","",IF(ISNUMBER($I2454),TEXT($I2454,"0"),$I2454))</f>
        <v/>
      </c>
    </row>
    <row r="2455">
      <c r="B2455" s="25" t="n"/>
      <c r="I2455" s="25" t="n"/>
      <c r="U2455" s="19">
        <f>IF(AND($V2455='設定'!$C$4,COUNTIF('商品マスタ'!$B$6:$B$1005,$W2455)=0),N(U2454)+1,N(U2454))</f>
        <v/>
      </c>
      <c r="V2455" s="19">
        <f>IF($B2455="","",TEXT($B2455,"0000"))</f>
        <v/>
      </c>
      <c r="W2455" s="19">
        <f>IF($I2455="","",IF(ISNUMBER($I2455),TEXT($I2455,"0"),$I2455))</f>
        <v/>
      </c>
    </row>
    <row r="2456">
      <c r="B2456" s="25" t="n"/>
      <c r="I2456" s="25" t="n"/>
      <c r="U2456" s="19">
        <f>IF(AND($V2456='設定'!$C$4,COUNTIF('商品マスタ'!$B$6:$B$1005,$W2456)=0),N(U2455)+1,N(U2455))</f>
        <v/>
      </c>
      <c r="V2456" s="19">
        <f>IF($B2456="","",TEXT($B2456,"0000"))</f>
        <v/>
      </c>
      <c r="W2456" s="19">
        <f>IF($I2456="","",IF(ISNUMBER($I2456),TEXT($I2456,"0"),$I2456))</f>
        <v/>
      </c>
    </row>
    <row r="2457">
      <c r="B2457" s="25" t="n"/>
      <c r="I2457" s="25" t="n"/>
      <c r="U2457" s="19">
        <f>IF(AND($V2457='設定'!$C$4,COUNTIF('商品マスタ'!$B$6:$B$1005,$W2457)=0),N(U2456)+1,N(U2456))</f>
        <v/>
      </c>
      <c r="V2457" s="19">
        <f>IF($B2457="","",TEXT($B2457,"0000"))</f>
        <v/>
      </c>
      <c r="W2457" s="19">
        <f>IF($I2457="","",IF(ISNUMBER($I2457),TEXT($I2457,"0"),$I2457))</f>
        <v/>
      </c>
    </row>
    <row r="2458">
      <c r="B2458" s="25" t="n"/>
      <c r="I2458" s="25" t="n"/>
      <c r="U2458" s="19">
        <f>IF(AND($V2458='設定'!$C$4,COUNTIF('商品マスタ'!$B$6:$B$1005,$W2458)=0),N(U2457)+1,N(U2457))</f>
        <v/>
      </c>
      <c r="V2458" s="19">
        <f>IF($B2458="","",TEXT($B2458,"0000"))</f>
        <v/>
      </c>
      <c r="W2458" s="19">
        <f>IF($I2458="","",IF(ISNUMBER($I2458),TEXT($I2458,"0"),$I2458))</f>
        <v/>
      </c>
    </row>
    <row r="2459">
      <c r="B2459" s="25" t="n"/>
      <c r="I2459" s="25" t="n"/>
      <c r="U2459" s="19">
        <f>IF(AND($V2459='設定'!$C$4,COUNTIF('商品マスタ'!$B$6:$B$1005,$W2459)=0),N(U2458)+1,N(U2458))</f>
        <v/>
      </c>
      <c r="V2459" s="19">
        <f>IF($B2459="","",TEXT($B2459,"0000"))</f>
        <v/>
      </c>
      <c r="W2459" s="19">
        <f>IF($I2459="","",IF(ISNUMBER($I2459),TEXT($I2459,"0"),$I2459))</f>
        <v/>
      </c>
    </row>
    <row r="2460">
      <c r="B2460" s="25" t="n"/>
      <c r="I2460" s="25" t="n"/>
      <c r="U2460" s="19">
        <f>IF(AND($V2460='設定'!$C$4,COUNTIF('商品マスタ'!$B$6:$B$1005,$W2460)=0),N(U2459)+1,N(U2459))</f>
        <v/>
      </c>
      <c r="V2460" s="19">
        <f>IF($B2460="","",TEXT($B2460,"0000"))</f>
        <v/>
      </c>
      <c r="W2460" s="19">
        <f>IF($I2460="","",IF(ISNUMBER($I2460),TEXT($I2460,"0"),$I2460))</f>
        <v/>
      </c>
    </row>
    <row r="2461">
      <c r="B2461" s="25" t="n"/>
      <c r="I2461" s="25" t="n"/>
      <c r="U2461" s="19">
        <f>IF(AND($V2461='設定'!$C$4,COUNTIF('商品マスタ'!$B$6:$B$1005,$W2461)=0),N(U2460)+1,N(U2460))</f>
        <v/>
      </c>
      <c r="V2461" s="19">
        <f>IF($B2461="","",TEXT($B2461,"0000"))</f>
        <v/>
      </c>
      <c r="W2461" s="19">
        <f>IF($I2461="","",IF(ISNUMBER($I2461),TEXT($I2461,"0"),$I2461))</f>
        <v/>
      </c>
    </row>
    <row r="2462">
      <c r="B2462" s="25" t="n"/>
      <c r="I2462" s="25" t="n"/>
      <c r="U2462" s="19">
        <f>IF(AND($V2462='設定'!$C$4,COUNTIF('商品マスタ'!$B$6:$B$1005,$W2462)=0),N(U2461)+1,N(U2461))</f>
        <v/>
      </c>
      <c r="V2462" s="19">
        <f>IF($B2462="","",TEXT($B2462,"0000"))</f>
        <v/>
      </c>
      <c r="W2462" s="19">
        <f>IF($I2462="","",IF(ISNUMBER($I2462),TEXT($I2462,"0"),$I2462))</f>
        <v/>
      </c>
    </row>
    <row r="2463">
      <c r="B2463" s="25" t="n"/>
      <c r="I2463" s="25" t="n"/>
      <c r="U2463" s="19">
        <f>IF(AND($V2463='設定'!$C$4,COUNTIF('商品マスタ'!$B$6:$B$1005,$W2463)=0),N(U2462)+1,N(U2462))</f>
        <v/>
      </c>
      <c r="V2463" s="19">
        <f>IF($B2463="","",TEXT($B2463,"0000"))</f>
        <v/>
      </c>
      <c r="W2463" s="19">
        <f>IF($I2463="","",IF(ISNUMBER($I2463),TEXT($I2463,"0"),$I2463))</f>
        <v/>
      </c>
    </row>
    <row r="2464">
      <c r="B2464" s="25" t="n"/>
      <c r="I2464" s="25" t="n"/>
      <c r="U2464" s="19">
        <f>IF(AND($V2464='設定'!$C$4,COUNTIF('商品マスタ'!$B$6:$B$1005,$W2464)=0),N(U2463)+1,N(U2463))</f>
        <v/>
      </c>
      <c r="V2464" s="19">
        <f>IF($B2464="","",TEXT($B2464,"0000"))</f>
        <v/>
      </c>
      <c r="W2464" s="19">
        <f>IF($I2464="","",IF(ISNUMBER($I2464),TEXT($I2464,"0"),$I2464))</f>
        <v/>
      </c>
    </row>
    <row r="2465">
      <c r="B2465" s="25" t="n"/>
      <c r="I2465" s="25" t="n"/>
      <c r="U2465" s="19">
        <f>IF(AND($V2465='設定'!$C$4,COUNTIF('商品マスタ'!$B$6:$B$1005,$W2465)=0),N(U2464)+1,N(U2464))</f>
        <v/>
      </c>
      <c r="V2465" s="19">
        <f>IF($B2465="","",TEXT($B2465,"0000"))</f>
        <v/>
      </c>
      <c r="W2465" s="19">
        <f>IF($I2465="","",IF(ISNUMBER($I2465),TEXT($I2465,"0"),$I2465))</f>
        <v/>
      </c>
    </row>
    <row r="2466">
      <c r="B2466" s="25" t="n"/>
      <c r="I2466" s="25" t="n"/>
      <c r="U2466" s="19">
        <f>IF(AND($V2466='設定'!$C$4,COUNTIF('商品マスタ'!$B$6:$B$1005,$W2466)=0),N(U2465)+1,N(U2465))</f>
        <v/>
      </c>
      <c r="V2466" s="19">
        <f>IF($B2466="","",TEXT($B2466,"0000"))</f>
        <v/>
      </c>
      <c r="W2466" s="19">
        <f>IF($I2466="","",IF(ISNUMBER($I2466),TEXT($I2466,"0"),$I2466))</f>
        <v/>
      </c>
    </row>
    <row r="2467">
      <c r="B2467" s="25" t="n"/>
      <c r="I2467" s="25" t="n"/>
      <c r="U2467" s="19">
        <f>IF(AND($V2467='設定'!$C$4,COUNTIF('商品マスタ'!$B$6:$B$1005,$W2467)=0),N(U2466)+1,N(U2466))</f>
        <v/>
      </c>
      <c r="V2467" s="19">
        <f>IF($B2467="","",TEXT($B2467,"0000"))</f>
        <v/>
      </c>
      <c r="W2467" s="19">
        <f>IF($I2467="","",IF(ISNUMBER($I2467),TEXT($I2467,"0"),$I2467))</f>
        <v/>
      </c>
    </row>
    <row r="2468">
      <c r="B2468" s="25" t="n"/>
      <c r="I2468" s="25" t="n"/>
      <c r="U2468" s="19">
        <f>IF(AND($V2468='設定'!$C$4,COUNTIF('商品マスタ'!$B$6:$B$1005,$W2468)=0),N(U2467)+1,N(U2467))</f>
        <v/>
      </c>
      <c r="V2468" s="19">
        <f>IF($B2468="","",TEXT($B2468,"0000"))</f>
        <v/>
      </c>
      <c r="W2468" s="19">
        <f>IF($I2468="","",IF(ISNUMBER($I2468),TEXT($I2468,"0"),$I2468))</f>
        <v/>
      </c>
    </row>
    <row r="2469">
      <c r="B2469" s="25" t="n"/>
      <c r="I2469" s="25" t="n"/>
      <c r="U2469" s="19">
        <f>IF(AND($V2469='設定'!$C$4,COUNTIF('商品マスタ'!$B$6:$B$1005,$W2469)=0),N(U2468)+1,N(U2468))</f>
        <v/>
      </c>
      <c r="V2469" s="19">
        <f>IF($B2469="","",TEXT($B2469,"0000"))</f>
        <v/>
      </c>
      <c r="W2469" s="19">
        <f>IF($I2469="","",IF(ISNUMBER($I2469),TEXT($I2469,"0"),$I2469))</f>
        <v/>
      </c>
    </row>
    <row r="2470">
      <c r="B2470" s="25" t="n"/>
      <c r="I2470" s="25" t="n"/>
      <c r="U2470" s="19">
        <f>IF(AND($V2470='設定'!$C$4,COUNTIF('商品マスタ'!$B$6:$B$1005,$W2470)=0),N(U2469)+1,N(U2469))</f>
        <v/>
      </c>
      <c r="V2470" s="19">
        <f>IF($B2470="","",TEXT($B2470,"0000"))</f>
        <v/>
      </c>
      <c r="W2470" s="19">
        <f>IF($I2470="","",IF(ISNUMBER($I2470),TEXT($I2470,"0"),$I2470))</f>
        <v/>
      </c>
    </row>
    <row r="2471">
      <c r="B2471" s="25" t="n"/>
      <c r="I2471" s="25" t="n"/>
      <c r="U2471" s="19">
        <f>IF(AND($V2471='設定'!$C$4,COUNTIF('商品マスタ'!$B$6:$B$1005,$W2471)=0),N(U2470)+1,N(U2470))</f>
        <v/>
      </c>
      <c r="V2471" s="19">
        <f>IF($B2471="","",TEXT($B2471,"0000"))</f>
        <v/>
      </c>
      <c r="W2471" s="19">
        <f>IF($I2471="","",IF(ISNUMBER($I2471),TEXT($I2471,"0"),$I2471))</f>
        <v/>
      </c>
    </row>
    <row r="2472">
      <c r="B2472" s="25" t="n"/>
      <c r="I2472" s="25" t="n"/>
      <c r="U2472" s="19">
        <f>IF(AND($V2472='設定'!$C$4,COUNTIF('商品マスタ'!$B$6:$B$1005,$W2472)=0),N(U2471)+1,N(U2471))</f>
        <v/>
      </c>
      <c r="V2472" s="19">
        <f>IF($B2472="","",TEXT($B2472,"0000"))</f>
        <v/>
      </c>
      <c r="W2472" s="19">
        <f>IF($I2472="","",IF(ISNUMBER($I2472),TEXT($I2472,"0"),$I2472))</f>
        <v/>
      </c>
    </row>
    <row r="2473">
      <c r="B2473" s="25" t="n"/>
      <c r="I2473" s="25" t="n"/>
      <c r="U2473" s="19">
        <f>IF(AND($V2473='設定'!$C$4,COUNTIF('商品マスタ'!$B$6:$B$1005,$W2473)=0),N(U2472)+1,N(U2472))</f>
        <v/>
      </c>
      <c r="V2473" s="19">
        <f>IF($B2473="","",TEXT($B2473,"0000"))</f>
        <v/>
      </c>
      <c r="W2473" s="19">
        <f>IF($I2473="","",IF(ISNUMBER($I2473),TEXT($I2473,"0"),$I2473))</f>
        <v/>
      </c>
    </row>
    <row r="2474">
      <c r="B2474" s="25" t="n"/>
      <c r="I2474" s="25" t="n"/>
      <c r="U2474" s="19">
        <f>IF(AND($V2474='設定'!$C$4,COUNTIF('商品マスタ'!$B$6:$B$1005,$W2474)=0),N(U2473)+1,N(U2473))</f>
        <v/>
      </c>
      <c r="V2474" s="19">
        <f>IF($B2474="","",TEXT($B2474,"0000"))</f>
        <v/>
      </c>
      <c r="W2474" s="19">
        <f>IF($I2474="","",IF(ISNUMBER($I2474),TEXT($I2474,"0"),$I2474))</f>
        <v/>
      </c>
    </row>
    <row r="2475">
      <c r="B2475" s="25" t="n"/>
      <c r="I2475" s="25" t="n"/>
      <c r="U2475" s="19">
        <f>IF(AND($V2475='設定'!$C$4,COUNTIF('商品マスタ'!$B$6:$B$1005,$W2475)=0),N(U2474)+1,N(U2474))</f>
        <v/>
      </c>
      <c r="V2475" s="19">
        <f>IF($B2475="","",TEXT($B2475,"0000"))</f>
        <v/>
      </c>
      <c r="W2475" s="19">
        <f>IF($I2475="","",IF(ISNUMBER($I2475),TEXT($I2475,"0"),$I2475))</f>
        <v/>
      </c>
    </row>
    <row r="2476">
      <c r="B2476" s="25" t="n"/>
      <c r="I2476" s="25" t="n"/>
      <c r="U2476" s="19">
        <f>IF(AND($V2476='設定'!$C$4,COUNTIF('商品マスタ'!$B$6:$B$1005,$W2476)=0),N(U2475)+1,N(U2475))</f>
        <v/>
      </c>
      <c r="V2476" s="19">
        <f>IF($B2476="","",TEXT($B2476,"0000"))</f>
        <v/>
      </c>
      <c r="W2476" s="19">
        <f>IF($I2476="","",IF(ISNUMBER($I2476),TEXT($I2476,"0"),$I2476))</f>
        <v/>
      </c>
    </row>
    <row r="2477">
      <c r="B2477" s="25" t="n"/>
      <c r="I2477" s="25" t="n"/>
      <c r="U2477" s="19">
        <f>IF(AND($V2477='設定'!$C$4,COUNTIF('商品マスタ'!$B$6:$B$1005,$W2477)=0),N(U2476)+1,N(U2476))</f>
        <v/>
      </c>
      <c r="V2477" s="19">
        <f>IF($B2477="","",TEXT($B2477,"0000"))</f>
        <v/>
      </c>
      <c r="W2477" s="19">
        <f>IF($I2477="","",IF(ISNUMBER($I2477),TEXT($I2477,"0"),$I2477))</f>
        <v/>
      </c>
    </row>
    <row r="2478">
      <c r="B2478" s="25" t="n"/>
      <c r="I2478" s="25" t="n"/>
      <c r="U2478" s="19">
        <f>IF(AND($V2478='設定'!$C$4,COUNTIF('商品マスタ'!$B$6:$B$1005,$W2478)=0),N(U2477)+1,N(U2477))</f>
        <v/>
      </c>
      <c r="V2478" s="19">
        <f>IF($B2478="","",TEXT($B2478,"0000"))</f>
        <v/>
      </c>
      <c r="W2478" s="19">
        <f>IF($I2478="","",IF(ISNUMBER($I2478),TEXT($I2478,"0"),$I2478))</f>
        <v/>
      </c>
    </row>
    <row r="2479">
      <c r="B2479" s="25" t="n"/>
      <c r="I2479" s="25" t="n"/>
      <c r="U2479" s="19">
        <f>IF(AND($V2479='設定'!$C$4,COUNTIF('商品マスタ'!$B$6:$B$1005,$W2479)=0),N(U2478)+1,N(U2478))</f>
        <v/>
      </c>
      <c r="V2479" s="19">
        <f>IF($B2479="","",TEXT($B2479,"0000"))</f>
        <v/>
      </c>
      <c r="W2479" s="19">
        <f>IF($I2479="","",IF(ISNUMBER($I2479),TEXT($I2479,"0"),$I2479))</f>
        <v/>
      </c>
    </row>
    <row r="2480">
      <c r="B2480" s="25" t="n"/>
      <c r="I2480" s="25" t="n"/>
      <c r="U2480" s="19">
        <f>IF(AND($V2480='設定'!$C$4,COUNTIF('商品マスタ'!$B$6:$B$1005,$W2480)=0),N(U2479)+1,N(U2479))</f>
        <v/>
      </c>
      <c r="V2480" s="19">
        <f>IF($B2480="","",TEXT($B2480,"0000"))</f>
        <v/>
      </c>
      <c r="W2480" s="19">
        <f>IF($I2480="","",IF(ISNUMBER($I2480),TEXT($I2480,"0"),$I2480))</f>
        <v/>
      </c>
    </row>
    <row r="2481">
      <c r="B2481" s="25" t="n"/>
      <c r="I2481" s="25" t="n"/>
      <c r="U2481" s="19">
        <f>IF(AND($V2481='設定'!$C$4,COUNTIF('商品マスタ'!$B$6:$B$1005,$W2481)=0),N(U2480)+1,N(U2480))</f>
        <v/>
      </c>
      <c r="V2481" s="19">
        <f>IF($B2481="","",TEXT($B2481,"0000"))</f>
        <v/>
      </c>
      <c r="W2481" s="19">
        <f>IF($I2481="","",IF(ISNUMBER($I2481),TEXT($I2481,"0"),$I2481))</f>
        <v/>
      </c>
    </row>
    <row r="2482">
      <c r="B2482" s="25" t="n"/>
      <c r="I2482" s="25" t="n"/>
      <c r="U2482" s="19">
        <f>IF(AND($V2482='設定'!$C$4,COUNTIF('商品マスタ'!$B$6:$B$1005,$W2482)=0),N(U2481)+1,N(U2481))</f>
        <v/>
      </c>
      <c r="V2482" s="19">
        <f>IF($B2482="","",TEXT($B2482,"0000"))</f>
        <v/>
      </c>
      <c r="W2482" s="19">
        <f>IF($I2482="","",IF(ISNUMBER($I2482),TEXT($I2482,"0"),$I2482))</f>
        <v/>
      </c>
    </row>
    <row r="2483">
      <c r="B2483" s="25" t="n"/>
      <c r="I2483" s="25" t="n"/>
      <c r="U2483" s="19">
        <f>IF(AND($V2483='設定'!$C$4,COUNTIF('商品マスタ'!$B$6:$B$1005,$W2483)=0),N(U2482)+1,N(U2482))</f>
        <v/>
      </c>
      <c r="V2483" s="19">
        <f>IF($B2483="","",TEXT($B2483,"0000"))</f>
        <v/>
      </c>
      <c r="W2483" s="19">
        <f>IF($I2483="","",IF(ISNUMBER($I2483),TEXT($I2483,"0"),$I2483))</f>
        <v/>
      </c>
    </row>
    <row r="2484">
      <c r="B2484" s="25" t="n"/>
      <c r="I2484" s="25" t="n"/>
      <c r="U2484" s="19">
        <f>IF(AND($V2484='設定'!$C$4,COUNTIF('商品マスタ'!$B$6:$B$1005,$W2484)=0),N(U2483)+1,N(U2483))</f>
        <v/>
      </c>
      <c r="V2484" s="19">
        <f>IF($B2484="","",TEXT($B2484,"0000"))</f>
        <v/>
      </c>
      <c r="W2484" s="19">
        <f>IF($I2484="","",IF(ISNUMBER($I2484),TEXT($I2484,"0"),$I2484))</f>
        <v/>
      </c>
    </row>
    <row r="2485">
      <c r="B2485" s="25" t="n"/>
      <c r="I2485" s="25" t="n"/>
      <c r="U2485" s="19">
        <f>IF(AND($V2485='設定'!$C$4,COUNTIF('商品マスタ'!$B$6:$B$1005,$W2485)=0),N(U2484)+1,N(U2484))</f>
        <v/>
      </c>
      <c r="V2485" s="19">
        <f>IF($B2485="","",TEXT($B2485,"0000"))</f>
        <v/>
      </c>
      <c r="W2485" s="19">
        <f>IF($I2485="","",IF(ISNUMBER($I2485),TEXT($I2485,"0"),$I2485))</f>
        <v/>
      </c>
    </row>
    <row r="2486">
      <c r="B2486" s="25" t="n"/>
      <c r="I2486" s="25" t="n"/>
      <c r="U2486" s="19">
        <f>IF(AND($V2486='設定'!$C$4,COUNTIF('商品マスタ'!$B$6:$B$1005,$W2486)=0),N(U2485)+1,N(U2485))</f>
        <v/>
      </c>
      <c r="V2486" s="19">
        <f>IF($B2486="","",TEXT($B2486,"0000"))</f>
        <v/>
      </c>
      <c r="W2486" s="19">
        <f>IF($I2486="","",IF(ISNUMBER($I2486),TEXT($I2486,"0"),$I2486))</f>
        <v/>
      </c>
    </row>
    <row r="2487">
      <c r="B2487" s="25" t="n"/>
      <c r="I2487" s="25" t="n"/>
      <c r="U2487" s="19">
        <f>IF(AND($V2487='設定'!$C$4,COUNTIF('商品マスタ'!$B$6:$B$1005,$W2487)=0),N(U2486)+1,N(U2486))</f>
        <v/>
      </c>
      <c r="V2487" s="19">
        <f>IF($B2487="","",TEXT($B2487,"0000"))</f>
        <v/>
      </c>
      <c r="W2487" s="19">
        <f>IF($I2487="","",IF(ISNUMBER($I2487),TEXT($I2487,"0"),$I2487))</f>
        <v/>
      </c>
    </row>
    <row r="2488">
      <c r="B2488" s="25" t="n"/>
      <c r="I2488" s="25" t="n"/>
      <c r="U2488" s="19">
        <f>IF(AND($V2488='設定'!$C$4,COUNTIF('商品マスタ'!$B$6:$B$1005,$W2488)=0),N(U2487)+1,N(U2487))</f>
        <v/>
      </c>
      <c r="V2488" s="19">
        <f>IF($B2488="","",TEXT($B2488,"0000"))</f>
        <v/>
      </c>
      <c r="W2488" s="19">
        <f>IF($I2488="","",IF(ISNUMBER($I2488),TEXT($I2488,"0"),$I2488))</f>
        <v/>
      </c>
    </row>
    <row r="2489">
      <c r="B2489" s="25" t="n"/>
      <c r="I2489" s="25" t="n"/>
      <c r="U2489" s="19">
        <f>IF(AND($V2489='設定'!$C$4,COUNTIF('商品マスタ'!$B$6:$B$1005,$W2489)=0),N(U2488)+1,N(U2488))</f>
        <v/>
      </c>
      <c r="V2489" s="19">
        <f>IF($B2489="","",TEXT($B2489,"0000"))</f>
        <v/>
      </c>
      <c r="W2489" s="19">
        <f>IF($I2489="","",IF(ISNUMBER($I2489),TEXT($I2489,"0"),$I2489))</f>
        <v/>
      </c>
    </row>
    <row r="2490">
      <c r="B2490" s="25" t="n"/>
      <c r="I2490" s="25" t="n"/>
      <c r="U2490" s="19">
        <f>IF(AND($V2490='設定'!$C$4,COUNTIF('商品マスタ'!$B$6:$B$1005,$W2490)=0),N(U2489)+1,N(U2489))</f>
        <v/>
      </c>
      <c r="V2490" s="19">
        <f>IF($B2490="","",TEXT($B2490,"0000"))</f>
        <v/>
      </c>
      <c r="W2490" s="19">
        <f>IF($I2490="","",IF(ISNUMBER($I2490),TEXT($I2490,"0"),$I2490))</f>
        <v/>
      </c>
    </row>
    <row r="2491">
      <c r="B2491" s="25" t="n"/>
      <c r="I2491" s="25" t="n"/>
      <c r="U2491" s="19">
        <f>IF(AND($V2491='設定'!$C$4,COUNTIF('商品マスタ'!$B$6:$B$1005,$W2491)=0),N(U2490)+1,N(U2490))</f>
        <v/>
      </c>
      <c r="V2491" s="19">
        <f>IF($B2491="","",TEXT($B2491,"0000"))</f>
        <v/>
      </c>
      <c r="W2491" s="19">
        <f>IF($I2491="","",IF(ISNUMBER($I2491),TEXT($I2491,"0"),$I2491))</f>
        <v/>
      </c>
    </row>
    <row r="2492">
      <c r="B2492" s="25" t="n"/>
      <c r="I2492" s="25" t="n"/>
      <c r="U2492" s="19">
        <f>IF(AND($V2492='設定'!$C$4,COUNTIF('商品マスタ'!$B$6:$B$1005,$W2492)=0),N(U2491)+1,N(U2491))</f>
        <v/>
      </c>
      <c r="V2492" s="19">
        <f>IF($B2492="","",TEXT($B2492,"0000"))</f>
        <v/>
      </c>
      <c r="W2492" s="19">
        <f>IF($I2492="","",IF(ISNUMBER($I2492),TEXT($I2492,"0"),$I2492))</f>
        <v/>
      </c>
    </row>
    <row r="2493">
      <c r="B2493" s="25" t="n"/>
      <c r="I2493" s="25" t="n"/>
      <c r="U2493" s="19">
        <f>IF(AND($V2493='設定'!$C$4,COUNTIF('商品マスタ'!$B$6:$B$1005,$W2493)=0),N(U2492)+1,N(U2492))</f>
        <v/>
      </c>
      <c r="V2493" s="19">
        <f>IF($B2493="","",TEXT($B2493,"0000"))</f>
        <v/>
      </c>
      <c r="W2493" s="19">
        <f>IF($I2493="","",IF(ISNUMBER($I2493),TEXT($I2493,"0"),$I2493))</f>
        <v/>
      </c>
    </row>
    <row r="2494">
      <c r="B2494" s="25" t="n"/>
      <c r="I2494" s="25" t="n"/>
      <c r="U2494" s="19">
        <f>IF(AND($V2494='設定'!$C$4,COUNTIF('商品マスタ'!$B$6:$B$1005,$W2494)=0),N(U2493)+1,N(U2493))</f>
        <v/>
      </c>
      <c r="V2494" s="19">
        <f>IF($B2494="","",TEXT($B2494,"0000"))</f>
        <v/>
      </c>
      <c r="W2494" s="19">
        <f>IF($I2494="","",IF(ISNUMBER($I2494),TEXT($I2494,"0"),$I2494))</f>
        <v/>
      </c>
    </row>
    <row r="2495">
      <c r="B2495" s="25" t="n"/>
      <c r="I2495" s="25" t="n"/>
      <c r="U2495" s="19">
        <f>IF(AND($V2495='設定'!$C$4,COUNTIF('商品マスタ'!$B$6:$B$1005,$W2495)=0),N(U2494)+1,N(U2494))</f>
        <v/>
      </c>
      <c r="V2495" s="19">
        <f>IF($B2495="","",TEXT($B2495,"0000"))</f>
        <v/>
      </c>
      <c r="W2495" s="19">
        <f>IF($I2495="","",IF(ISNUMBER($I2495),TEXT($I2495,"0"),$I2495))</f>
        <v/>
      </c>
    </row>
    <row r="2496">
      <c r="B2496" s="25" t="n"/>
      <c r="I2496" s="25" t="n"/>
      <c r="U2496" s="19">
        <f>IF(AND($V2496='設定'!$C$4,COUNTIF('商品マスタ'!$B$6:$B$1005,$W2496)=0),N(U2495)+1,N(U2495))</f>
        <v/>
      </c>
      <c r="V2496" s="19">
        <f>IF($B2496="","",TEXT($B2496,"0000"))</f>
        <v/>
      </c>
      <c r="W2496" s="19">
        <f>IF($I2496="","",IF(ISNUMBER($I2496),TEXT($I2496,"0"),$I2496))</f>
        <v/>
      </c>
    </row>
    <row r="2497">
      <c r="B2497" s="25" t="n"/>
      <c r="I2497" s="25" t="n"/>
      <c r="U2497" s="19">
        <f>IF(AND($V2497='設定'!$C$4,COUNTIF('商品マスタ'!$B$6:$B$1005,$W2497)=0),N(U2496)+1,N(U2496))</f>
        <v/>
      </c>
      <c r="V2497" s="19">
        <f>IF($B2497="","",TEXT($B2497,"0000"))</f>
        <v/>
      </c>
      <c r="W2497" s="19">
        <f>IF($I2497="","",IF(ISNUMBER($I2497),TEXT($I2497,"0"),$I2497))</f>
        <v/>
      </c>
    </row>
    <row r="2498">
      <c r="B2498" s="25" t="n"/>
      <c r="I2498" s="25" t="n"/>
      <c r="U2498" s="19">
        <f>IF(AND($V2498='設定'!$C$4,COUNTIF('商品マスタ'!$B$6:$B$1005,$W2498)=0),N(U2497)+1,N(U2497))</f>
        <v/>
      </c>
      <c r="V2498" s="19">
        <f>IF($B2498="","",TEXT($B2498,"0000"))</f>
        <v/>
      </c>
      <c r="W2498" s="19">
        <f>IF($I2498="","",IF(ISNUMBER($I2498),TEXT($I2498,"0"),$I2498))</f>
        <v/>
      </c>
    </row>
    <row r="2499">
      <c r="B2499" s="25" t="n"/>
      <c r="I2499" s="25" t="n"/>
      <c r="U2499" s="19">
        <f>IF(AND($V2499='設定'!$C$4,COUNTIF('商品マスタ'!$B$6:$B$1005,$W2499)=0),N(U2498)+1,N(U2498))</f>
        <v/>
      </c>
      <c r="V2499" s="19">
        <f>IF($B2499="","",TEXT($B2499,"0000"))</f>
        <v/>
      </c>
      <c r="W2499" s="19">
        <f>IF($I2499="","",IF(ISNUMBER($I2499),TEXT($I2499,"0"),$I2499))</f>
        <v/>
      </c>
    </row>
    <row r="2500">
      <c r="B2500" s="25" t="n"/>
      <c r="I2500" s="25" t="n"/>
      <c r="U2500" s="19">
        <f>IF(AND($V2500='設定'!$C$4,COUNTIF('商品マスタ'!$B$6:$B$1005,$W2500)=0),N(U2499)+1,N(U2499))</f>
        <v/>
      </c>
      <c r="V2500" s="19">
        <f>IF($B2500="","",TEXT($B2500,"0000"))</f>
        <v/>
      </c>
      <c r="W2500" s="19">
        <f>IF($I2500="","",IF(ISNUMBER($I2500),TEXT($I2500,"0"),$I2500))</f>
        <v/>
      </c>
    </row>
    <row r="2501">
      <c r="B2501" s="25" t="n"/>
      <c r="I2501" s="25" t="n"/>
      <c r="U2501" s="19">
        <f>IF(AND($V2501='設定'!$C$4,COUNTIF('商品マスタ'!$B$6:$B$1005,$W2501)=0),N(U2500)+1,N(U2500))</f>
        <v/>
      </c>
      <c r="V2501" s="19">
        <f>IF($B2501="","",TEXT($B2501,"0000"))</f>
        <v/>
      </c>
      <c r="W2501" s="19">
        <f>IF($I2501="","",IF(ISNUMBER($I2501),TEXT($I2501,"0"),$I2501))</f>
        <v/>
      </c>
    </row>
    <row r="2502">
      <c r="B2502" s="25" t="n"/>
      <c r="I2502" s="25" t="n"/>
      <c r="U2502" s="19">
        <f>IF(AND($V2502='設定'!$C$4,COUNTIF('商品マスタ'!$B$6:$B$1005,$W2502)=0),N(U2501)+1,N(U2501))</f>
        <v/>
      </c>
      <c r="V2502" s="19">
        <f>IF($B2502="","",TEXT($B2502,"0000"))</f>
        <v/>
      </c>
      <c r="W2502" s="19">
        <f>IF($I2502="","",IF(ISNUMBER($I2502),TEXT($I2502,"0"),$I2502))</f>
        <v/>
      </c>
    </row>
    <row r="2503">
      <c r="B2503" s="25" t="n"/>
      <c r="I2503" s="25" t="n"/>
      <c r="U2503" s="19">
        <f>IF(AND($V2503='設定'!$C$4,COUNTIF('商品マスタ'!$B$6:$B$1005,$W2503)=0),N(U2502)+1,N(U2502))</f>
        <v/>
      </c>
      <c r="V2503" s="19">
        <f>IF($B2503="","",TEXT($B2503,"0000"))</f>
        <v/>
      </c>
      <c r="W2503" s="19">
        <f>IF($I2503="","",IF(ISNUMBER($I2503),TEXT($I2503,"0"),$I2503))</f>
        <v/>
      </c>
    </row>
    <row r="2504">
      <c r="B2504" s="25" t="n"/>
      <c r="I2504" s="25" t="n"/>
      <c r="U2504" s="19">
        <f>IF(AND($V2504='設定'!$C$4,COUNTIF('商品マスタ'!$B$6:$B$1005,$W2504)=0),N(U2503)+1,N(U2503))</f>
        <v/>
      </c>
      <c r="V2504" s="19">
        <f>IF($B2504="","",TEXT($B2504,"0000"))</f>
        <v/>
      </c>
      <c r="W2504" s="19">
        <f>IF($I2504="","",IF(ISNUMBER($I2504),TEXT($I2504,"0"),$I2504))</f>
        <v/>
      </c>
    </row>
    <row r="2505">
      <c r="B2505" s="25" t="n"/>
      <c r="I2505" s="25" t="n"/>
      <c r="U2505" s="19">
        <f>IF(AND($V2505='設定'!$C$4,COUNTIF('商品マスタ'!$B$6:$B$1005,$W2505)=0),N(U2504)+1,N(U2504))</f>
        <v/>
      </c>
      <c r="V2505" s="19">
        <f>IF($B2505="","",TEXT($B2505,"0000"))</f>
        <v/>
      </c>
      <c r="W2505" s="19">
        <f>IF($I2505="","",IF(ISNUMBER($I2505),TEXT($I2505,"0"),$I2505))</f>
        <v/>
      </c>
    </row>
    <row r="2506">
      <c r="B2506" s="25" t="n"/>
      <c r="I2506" s="25" t="n"/>
      <c r="U2506" s="19">
        <f>IF(AND($V2506='設定'!$C$4,COUNTIF('商品マスタ'!$B$6:$B$1005,$W2506)=0),N(U2505)+1,N(U2505))</f>
        <v/>
      </c>
      <c r="V2506" s="19">
        <f>IF($B2506="","",TEXT($B2506,"0000"))</f>
        <v/>
      </c>
      <c r="W2506" s="19">
        <f>IF($I2506="","",IF(ISNUMBER($I2506),TEXT($I2506,"0"),$I2506))</f>
        <v/>
      </c>
    </row>
    <row r="2507">
      <c r="B2507" s="25" t="n"/>
      <c r="I2507" s="25" t="n"/>
      <c r="U2507" s="19">
        <f>IF(AND($V2507='設定'!$C$4,COUNTIF('商品マスタ'!$B$6:$B$1005,$W2507)=0),N(U2506)+1,N(U2506))</f>
        <v/>
      </c>
      <c r="V2507" s="19">
        <f>IF($B2507="","",TEXT($B2507,"0000"))</f>
        <v/>
      </c>
      <c r="W2507" s="19">
        <f>IF($I2507="","",IF(ISNUMBER($I2507),TEXT($I2507,"0"),$I2507))</f>
        <v/>
      </c>
    </row>
    <row r="2508">
      <c r="B2508" s="25" t="n"/>
      <c r="I2508" s="25" t="n"/>
      <c r="U2508" s="19">
        <f>IF(AND($V2508='設定'!$C$4,COUNTIF('商品マスタ'!$B$6:$B$1005,$W2508)=0),N(U2507)+1,N(U2507))</f>
        <v/>
      </c>
      <c r="V2508" s="19">
        <f>IF($B2508="","",TEXT($B2508,"0000"))</f>
        <v/>
      </c>
      <c r="W2508" s="19">
        <f>IF($I2508="","",IF(ISNUMBER($I2508),TEXT($I2508,"0"),$I2508))</f>
        <v/>
      </c>
    </row>
    <row r="2509">
      <c r="B2509" s="25" t="n"/>
      <c r="I2509" s="25" t="n"/>
      <c r="U2509" s="19">
        <f>IF(AND($V2509='設定'!$C$4,COUNTIF('商品マスタ'!$B$6:$B$1005,$W2509)=0),N(U2508)+1,N(U2508))</f>
        <v/>
      </c>
      <c r="V2509" s="19">
        <f>IF($B2509="","",TEXT($B2509,"0000"))</f>
        <v/>
      </c>
      <c r="W2509" s="19">
        <f>IF($I2509="","",IF(ISNUMBER($I2509),TEXT($I2509,"0"),$I2509))</f>
        <v/>
      </c>
    </row>
    <row r="2510">
      <c r="B2510" s="25" t="n"/>
      <c r="I2510" s="25" t="n"/>
      <c r="U2510" s="19">
        <f>IF(AND($V2510='設定'!$C$4,COUNTIF('商品マスタ'!$B$6:$B$1005,$W2510)=0),N(U2509)+1,N(U2509))</f>
        <v/>
      </c>
      <c r="V2510" s="19">
        <f>IF($B2510="","",TEXT($B2510,"0000"))</f>
        <v/>
      </c>
      <c r="W2510" s="19">
        <f>IF($I2510="","",IF(ISNUMBER($I2510),TEXT($I2510,"0"),$I2510))</f>
        <v/>
      </c>
    </row>
    <row r="2511">
      <c r="B2511" s="25" t="n"/>
      <c r="I2511" s="25" t="n"/>
      <c r="U2511" s="19">
        <f>IF(AND($V2511='設定'!$C$4,COUNTIF('商品マスタ'!$B$6:$B$1005,$W2511)=0),N(U2510)+1,N(U2510))</f>
        <v/>
      </c>
      <c r="V2511" s="19">
        <f>IF($B2511="","",TEXT($B2511,"0000"))</f>
        <v/>
      </c>
      <c r="W2511" s="19">
        <f>IF($I2511="","",IF(ISNUMBER($I2511),TEXT($I2511,"0"),$I2511))</f>
        <v/>
      </c>
    </row>
    <row r="2512">
      <c r="B2512" s="25" t="n"/>
      <c r="I2512" s="25" t="n"/>
      <c r="U2512" s="19">
        <f>IF(AND($V2512='設定'!$C$4,COUNTIF('商品マスタ'!$B$6:$B$1005,$W2512)=0),N(U2511)+1,N(U2511))</f>
        <v/>
      </c>
      <c r="V2512" s="19">
        <f>IF($B2512="","",TEXT($B2512,"0000"))</f>
        <v/>
      </c>
      <c r="W2512" s="19">
        <f>IF($I2512="","",IF(ISNUMBER($I2512),TEXT($I2512,"0"),$I2512))</f>
        <v/>
      </c>
    </row>
    <row r="2513">
      <c r="B2513" s="25" t="n"/>
      <c r="I2513" s="25" t="n"/>
      <c r="U2513" s="19">
        <f>IF(AND($V2513='設定'!$C$4,COUNTIF('商品マスタ'!$B$6:$B$1005,$W2513)=0),N(U2512)+1,N(U2512))</f>
        <v/>
      </c>
      <c r="V2513" s="19">
        <f>IF($B2513="","",TEXT($B2513,"0000"))</f>
        <v/>
      </c>
      <c r="W2513" s="19">
        <f>IF($I2513="","",IF(ISNUMBER($I2513),TEXT($I2513,"0"),$I2513))</f>
        <v/>
      </c>
    </row>
    <row r="2514">
      <c r="B2514" s="25" t="n"/>
      <c r="I2514" s="25" t="n"/>
      <c r="U2514" s="19">
        <f>IF(AND($V2514='設定'!$C$4,COUNTIF('商品マスタ'!$B$6:$B$1005,$W2514)=0),N(U2513)+1,N(U2513))</f>
        <v/>
      </c>
      <c r="V2514" s="19">
        <f>IF($B2514="","",TEXT($B2514,"0000"))</f>
        <v/>
      </c>
      <c r="W2514" s="19">
        <f>IF($I2514="","",IF(ISNUMBER($I2514),TEXT($I2514,"0"),$I2514))</f>
        <v/>
      </c>
    </row>
    <row r="2515">
      <c r="B2515" s="25" t="n"/>
      <c r="I2515" s="25" t="n"/>
      <c r="U2515" s="19">
        <f>IF(AND($V2515='設定'!$C$4,COUNTIF('商品マスタ'!$B$6:$B$1005,$W2515)=0),N(U2514)+1,N(U2514))</f>
        <v/>
      </c>
      <c r="V2515" s="19">
        <f>IF($B2515="","",TEXT($B2515,"0000"))</f>
        <v/>
      </c>
      <c r="W2515" s="19">
        <f>IF($I2515="","",IF(ISNUMBER($I2515),TEXT($I2515,"0"),$I2515))</f>
        <v/>
      </c>
    </row>
    <row r="2516">
      <c r="B2516" s="25" t="n"/>
      <c r="I2516" s="25" t="n"/>
      <c r="U2516" s="19">
        <f>IF(AND($V2516='設定'!$C$4,COUNTIF('商品マスタ'!$B$6:$B$1005,$W2516)=0),N(U2515)+1,N(U2515))</f>
        <v/>
      </c>
      <c r="V2516" s="19">
        <f>IF($B2516="","",TEXT($B2516,"0000"))</f>
        <v/>
      </c>
      <c r="W2516" s="19">
        <f>IF($I2516="","",IF(ISNUMBER($I2516),TEXT($I2516,"0"),$I2516))</f>
        <v/>
      </c>
    </row>
    <row r="2517">
      <c r="B2517" s="25" t="n"/>
      <c r="I2517" s="25" t="n"/>
      <c r="U2517" s="19">
        <f>IF(AND($V2517='設定'!$C$4,COUNTIF('商品マスタ'!$B$6:$B$1005,$W2517)=0),N(U2516)+1,N(U2516))</f>
        <v/>
      </c>
      <c r="V2517" s="19">
        <f>IF($B2517="","",TEXT($B2517,"0000"))</f>
        <v/>
      </c>
      <c r="W2517" s="19">
        <f>IF($I2517="","",IF(ISNUMBER($I2517),TEXT($I2517,"0"),$I2517))</f>
        <v/>
      </c>
    </row>
    <row r="2518">
      <c r="B2518" s="25" t="n"/>
      <c r="I2518" s="25" t="n"/>
      <c r="U2518" s="19">
        <f>IF(AND($V2518='設定'!$C$4,COUNTIF('商品マスタ'!$B$6:$B$1005,$W2518)=0),N(U2517)+1,N(U2517))</f>
        <v/>
      </c>
      <c r="V2518" s="19">
        <f>IF($B2518="","",TEXT($B2518,"0000"))</f>
        <v/>
      </c>
      <c r="W2518" s="19">
        <f>IF($I2518="","",IF(ISNUMBER($I2518),TEXT($I2518,"0"),$I2518))</f>
        <v/>
      </c>
    </row>
    <row r="2519">
      <c r="B2519" s="25" t="n"/>
      <c r="I2519" s="25" t="n"/>
      <c r="U2519" s="19">
        <f>IF(AND($V2519='設定'!$C$4,COUNTIF('商品マスタ'!$B$6:$B$1005,$W2519)=0),N(U2518)+1,N(U2518))</f>
        <v/>
      </c>
      <c r="V2519" s="19">
        <f>IF($B2519="","",TEXT($B2519,"0000"))</f>
        <v/>
      </c>
      <c r="W2519" s="19">
        <f>IF($I2519="","",IF(ISNUMBER($I2519),TEXT($I2519,"0"),$I2519))</f>
        <v/>
      </c>
    </row>
    <row r="2520">
      <c r="B2520" s="25" t="n"/>
      <c r="I2520" s="25" t="n"/>
      <c r="U2520" s="19">
        <f>IF(AND($V2520='設定'!$C$4,COUNTIF('商品マスタ'!$B$6:$B$1005,$W2520)=0),N(U2519)+1,N(U2519))</f>
        <v/>
      </c>
      <c r="V2520" s="19">
        <f>IF($B2520="","",TEXT($B2520,"0000"))</f>
        <v/>
      </c>
      <c r="W2520" s="19">
        <f>IF($I2520="","",IF(ISNUMBER($I2520),TEXT($I2520,"0"),$I2520))</f>
        <v/>
      </c>
    </row>
    <row r="2521">
      <c r="B2521" s="25" t="n"/>
      <c r="I2521" s="25" t="n"/>
      <c r="U2521" s="19">
        <f>IF(AND($V2521='設定'!$C$4,COUNTIF('商品マスタ'!$B$6:$B$1005,$W2521)=0),N(U2520)+1,N(U2520))</f>
        <v/>
      </c>
      <c r="V2521" s="19">
        <f>IF($B2521="","",TEXT($B2521,"0000"))</f>
        <v/>
      </c>
      <c r="W2521" s="19">
        <f>IF($I2521="","",IF(ISNUMBER($I2521),TEXT($I2521,"0"),$I2521))</f>
        <v/>
      </c>
    </row>
    <row r="2522">
      <c r="B2522" s="25" t="n"/>
      <c r="I2522" s="25" t="n"/>
      <c r="U2522" s="19">
        <f>IF(AND($V2522='設定'!$C$4,COUNTIF('商品マスタ'!$B$6:$B$1005,$W2522)=0),N(U2521)+1,N(U2521))</f>
        <v/>
      </c>
      <c r="V2522" s="19">
        <f>IF($B2522="","",TEXT($B2522,"0000"))</f>
        <v/>
      </c>
      <c r="W2522" s="19">
        <f>IF($I2522="","",IF(ISNUMBER($I2522),TEXT($I2522,"0"),$I2522))</f>
        <v/>
      </c>
    </row>
    <row r="2523">
      <c r="B2523" s="25" t="n"/>
      <c r="I2523" s="25" t="n"/>
      <c r="U2523" s="19">
        <f>IF(AND($V2523='設定'!$C$4,COUNTIF('商品マスタ'!$B$6:$B$1005,$W2523)=0),N(U2522)+1,N(U2522))</f>
        <v/>
      </c>
      <c r="V2523" s="19">
        <f>IF($B2523="","",TEXT($B2523,"0000"))</f>
        <v/>
      </c>
      <c r="W2523" s="19">
        <f>IF($I2523="","",IF(ISNUMBER($I2523),TEXT($I2523,"0"),$I2523))</f>
        <v/>
      </c>
    </row>
    <row r="2524">
      <c r="B2524" s="25" t="n"/>
      <c r="I2524" s="25" t="n"/>
      <c r="U2524" s="19">
        <f>IF(AND($V2524='設定'!$C$4,COUNTIF('商品マスタ'!$B$6:$B$1005,$W2524)=0),N(U2523)+1,N(U2523))</f>
        <v/>
      </c>
      <c r="V2524" s="19">
        <f>IF($B2524="","",TEXT($B2524,"0000"))</f>
        <v/>
      </c>
      <c r="W2524" s="19">
        <f>IF($I2524="","",IF(ISNUMBER($I2524),TEXT($I2524,"0"),$I2524))</f>
        <v/>
      </c>
    </row>
    <row r="2525">
      <c r="B2525" s="25" t="n"/>
      <c r="I2525" s="25" t="n"/>
      <c r="U2525" s="19">
        <f>IF(AND($V2525='設定'!$C$4,COUNTIF('商品マスタ'!$B$6:$B$1005,$W2525)=0),N(U2524)+1,N(U2524))</f>
        <v/>
      </c>
      <c r="V2525" s="19">
        <f>IF($B2525="","",TEXT($B2525,"0000"))</f>
        <v/>
      </c>
      <c r="W2525" s="19">
        <f>IF($I2525="","",IF(ISNUMBER($I2525),TEXT($I2525,"0"),$I2525))</f>
        <v/>
      </c>
    </row>
    <row r="2526">
      <c r="B2526" s="25" t="n"/>
      <c r="I2526" s="25" t="n"/>
      <c r="U2526" s="19">
        <f>IF(AND($V2526='設定'!$C$4,COUNTIF('商品マスタ'!$B$6:$B$1005,$W2526)=0),N(U2525)+1,N(U2525))</f>
        <v/>
      </c>
      <c r="V2526" s="19">
        <f>IF($B2526="","",TEXT($B2526,"0000"))</f>
        <v/>
      </c>
      <c r="W2526" s="19">
        <f>IF($I2526="","",IF(ISNUMBER($I2526),TEXT($I2526,"0"),$I2526))</f>
        <v/>
      </c>
    </row>
    <row r="2527">
      <c r="B2527" s="25" t="n"/>
      <c r="I2527" s="25" t="n"/>
      <c r="U2527" s="19">
        <f>IF(AND($V2527='設定'!$C$4,COUNTIF('商品マスタ'!$B$6:$B$1005,$W2527)=0),N(U2526)+1,N(U2526))</f>
        <v/>
      </c>
      <c r="V2527" s="19">
        <f>IF($B2527="","",TEXT($B2527,"0000"))</f>
        <v/>
      </c>
      <c r="W2527" s="19">
        <f>IF($I2527="","",IF(ISNUMBER($I2527),TEXT($I2527,"0"),$I2527))</f>
        <v/>
      </c>
    </row>
    <row r="2528">
      <c r="B2528" s="25" t="n"/>
      <c r="I2528" s="25" t="n"/>
      <c r="U2528" s="19">
        <f>IF(AND($V2528='設定'!$C$4,COUNTIF('商品マスタ'!$B$6:$B$1005,$W2528)=0),N(U2527)+1,N(U2527))</f>
        <v/>
      </c>
      <c r="V2528" s="19">
        <f>IF($B2528="","",TEXT($B2528,"0000"))</f>
        <v/>
      </c>
      <c r="W2528" s="19">
        <f>IF($I2528="","",IF(ISNUMBER($I2528),TEXT($I2528,"0"),$I2528))</f>
        <v/>
      </c>
    </row>
    <row r="2529">
      <c r="B2529" s="25" t="n"/>
      <c r="I2529" s="25" t="n"/>
      <c r="U2529" s="19">
        <f>IF(AND($V2529='設定'!$C$4,COUNTIF('商品マスタ'!$B$6:$B$1005,$W2529)=0),N(U2528)+1,N(U2528))</f>
        <v/>
      </c>
      <c r="V2529" s="19">
        <f>IF($B2529="","",TEXT($B2529,"0000"))</f>
        <v/>
      </c>
      <c r="W2529" s="19">
        <f>IF($I2529="","",IF(ISNUMBER($I2529),TEXT($I2529,"0"),$I2529))</f>
        <v/>
      </c>
    </row>
    <row r="2530">
      <c r="B2530" s="25" t="n"/>
      <c r="I2530" s="25" t="n"/>
      <c r="U2530" s="19">
        <f>IF(AND($V2530='設定'!$C$4,COUNTIF('商品マスタ'!$B$6:$B$1005,$W2530)=0),N(U2529)+1,N(U2529))</f>
        <v/>
      </c>
      <c r="V2530" s="19">
        <f>IF($B2530="","",TEXT($B2530,"0000"))</f>
        <v/>
      </c>
      <c r="W2530" s="19">
        <f>IF($I2530="","",IF(ISNUMBER($I2530),TEXT($I2530,"0"),$I2530))</f>
        <v/>
      </c>
    </row>
    <row r="2531">
      <c r="B2531" s="25" t="n"/>
      <c r="I2531" s="25" t="n"/>
      <c r="U2531" s="19">
        <f>IF(AND($V2531='設定'!$C$4,COUNTIF('商品マスタ'!$B$6:$B$1005,$W2531)=0),N(U2530)+1,N(U2530))</f>
        <v/>
      </c>
      <c r="V2531" s="19">
        <f>IF($B2531="","",TEXT($B2531,"0000"))</f>
        <v/>
      </c>
      <c r="W2531" s="19">
        <f>IF($I2531="","",IF(ISNUMBER($I2531),TEXT($I2531,"0"),$I2531))</f>
        <v/>
      </c>
    </row>
    <row r="2532">
      <c r="B2532" s="25" t="n"/>
      <c r="I2532" s="25" t="n"/>
      <c r="U2532" s="19">
        <f>IF(AND($V2532='設定'!$C$4,COUNTIF('商品マスタ'!$B$6:$B$1005,$W2532)=0),N(U2531)+1,N(U2531))</f>
        <v/>
      </c>
      <c r="V2532" s="19">
        <f>IF($B2532="","",TEXT($B2532,"0000"))</f>
        <v/>
      </c>
      <c r="W2532" s="19">
        <f>IF($I2532="","",IF(ISNUMBER($I2532),TEXT($I2532,"0"),$I2532))</f>
        <v/>
      </c>
    </row>
    <row r="2533">
      <c r="B2533" s="25" t="n"/>
      <c r="I2533" s="25" t="n"/>
      <c r="U2533" s="19">
        <f>IF(AND($V2533='設定'!$C$4,COUNTIF('商品マスタ'!$B$6:$B$1005,$W2533)=0),N(U2532)+1,N(U2532))</f>
        <v/>
      </c>
      <c r="V2533" s="19">
        <f>IF($B2533="","",TEXT($B2533,"0000"))</f>
        <v/>
      </c>
      <c r="W2533" s="19">
        <f>IF($I2533="","",IF(ISNUMBER($I2533),TEXT($I2533,"0"),$I2533))</f>
        <v/>
      </c>
    </row>
    <row r="2534">
      <c r="B2534" s="25" t="n"/>
      <c r="I2534" s="25" t="n"/>
      <c r="U2534" s="19">
        <f>IF(AND($V2534='設定'!$C$4,COUNTIF('商品マスタ'!$B$6:$B$1005,$W2534)=0),N(U2533)+1,N(U2533))</f>
        <v/>
      </c>
      <c r="V2534" s="19">
        <f>IF($B2534="","",TEXT($B2534,"0000"))</f>
        <v/>
      </c>
      <c r="W2534" s="19">
        <f>IF($I2534="","",IF(ISNUMBER($I2534),TEXT($I2534,"0"),$I2534))</f>
        <v/>
      </c>
    </row>
    <row r="2535">
      <c r="B2535" s="25" t="n"/>
      <c r="I2535" s="25" t="n"/>
      <c r="U2535" s="19">
        <f>IF(AND($V2535='設定'!$C$4,COUNTIF('商品マスタ'!$B$6:$B$1005,$W2535)=0),N(U2534)+1,N(U2534))</f>
        <v/>
      </c>
      <c r="V2535" s="19">
        <f>IF($B2535="","",TEXT($B2535,"0000"))</f>
        <v/>
      </c>
      <c r="W2535" s="19">
        <f>IF($I2535="","",IF(ISNUMBER($I2535),TEXT($I2535,"0"),$I2535))</f>
        <v/>
      </c>
    </row>
    <row r="2536">
      <c r="B2536" s="25" t="n"/>
      <c r="I2536" s="25" t="n"/>
      <c r="U2536" s="19">
        <f>IF(AND($V2536='設定'!$C$4,COUNTIF('商品マスタ'!$B$6:$B$1005,$W2536)=0),N(U2535)+1,N(U2535))</f>
        <v/>
      </c>
      <c r="V2536" s="19">
        <f>IF($B2536="","",TEXT($B2536,"0000"))</f>
        <v/>
      </c>
      <c r="W2536" s="19">
        <f>IF($I2536="","",IF(ISNUMBER($I2536),TEXT($I2536,"0"),$I2536))</f>
        <v/>
      </c>
    </row>
    <row r="2537">
      <c r="B2537" s="25" t="n"/>
      <c r="I2537" s="25" t="n"/>
      <c r="U2537" s="19">
        <f>IF(AND($V2537='設定'!$C$4,COUNTIF('商品マスタ'!$B$6:$B$1005,$W2537)=0),N(U2536)+1,N(U2536))</f>
        <v/>
      </c>
      <c r="V2537" s="19">
        <f>IF($B2537="","",TEXT($B2537,"0000"))</f>
        <v/>
      </c>
      <c r="W2537" s="19">
        <f>IF($I2537="","",IF(ISNUMBER($I2537),TEXT($I2537,"0"),$I2537))</f>
        <v/>
      </c>
    </row>
    <row r="2538">
      <c r="B2538" s="25" t="n"/>
      <c r="I2538" s="25" t="n"/>
      <c r="U2538" s="19">
        <f>IF(AND($V2538='設定'!$C$4,COUNTIF('商品マスタ'!$B$6:$B$1005,$W2538)=0),N(U2537)+1,N(U2537))</f>
        <v/>
      </c>
      <c r="V2538" s="19">
        <f>IF($B2538="","",TEXT($B2538,"0000"))</f>
        <v/>
      </c>
      <c r="W2538" s="19">
        <f>IF($I2538="","",IF(ISNUMBER($I2538),TEXT($I2538,"0"),$I2538))</f>
        <v/>
      </c>
    </row>
    <row r="2539">
      <c r="B2539" s="25" t="n"/>
      <c r="I2539" s="25" t="n"/>
      <c r="U2539" s="19">
        <f>IF(AND($V2539='設定'!$C$4,COUNTIF('商品マスタ'!$B$6:$B$1005,$W2539)=0),N(U2538)+1,N(U2538))</f>
        <v/>
      </c>
      <c r="V2539" s="19">
        <f>IF($B2539="","",TEXT($B2539,"0000"))</f>
        <v/>
      </c>
      <c r="W2539" s="19">
        <f>IF($I2539="","",IF(ISNUMBER($I2539),TEXT($I2539,"0"),$I2539))</f>
        <v/>
      </c>
    </row>
    <row r="2540">
      <c r="B2540" s="25" t="n"/>
      <c r="I2540" s="25" t="n"/>
      <c r="U2540" s="19">
        <f>IF(AND($V2540='設定'!$C$4,COUNTIF('商品マスタ'!$B$6:$B$1005,$W2540)=0),N(U2539)+1,N(U2539))</f>
        <v/>
      </c>
      <c r="V2540" s="19">
        <f>IF($B2540="","",TEXT($B2540,"0000"))</f>
        <v/>
      </c>
      <c r="W2540" s="19">
        <f>IF($I2540="","",IF(ISNUMBER($I2540),TEXT($I2540,"0"),$I2540))</f>
        <v/>
      </c>
    </row>
    <row r="2541">
      <c r="B2541" s="25" t="n"/>
      <c r="I2541" s="25" t="n"/>
      <c r="U2541" s="19">
        <f>IF(AND($V2541='設定'!$C$4,COUNTIF('商品マスタ'!$B$6:$B$1005,$W2541)=0),N(U2540)+1,N(U2540))</f>
        <v/>
      </c>
      <c r="V2541" s="19">
        <f>IF($B2541="","",TEXT($B2541,"0000"))</f>
        <v/>
      </c>
      <c r="W2541" s="19">
        <f>IF($I2541="","",IF(ISNUMBER($I2541),TEXT($I2541,"0"),$I2541))</f>
        <v/>
      </c>
    </row>
    <row r="2542">
      <c r="B2542" s="25" t="n"/>
      <c r="I2542" s="25" t="n"/>
      <c r="U2542" s="19">
        <f>IF(AND($V2542='設定'!$C$4,COUNTIF('商品マスタ'!$B$6:$B$1005,$W2542)=0),N(U2541)+1,N(U2541))</f>
        <v/>
      </c>
      <c r="V2542" s="19">
        <f>IF($B2542="","",TEXT($B2542,"0000"))</f>
        <v/>
      </c>
      <c r="W2542" s="19">
        <f>IF($I2542="","",IF(ISNUMBER($I2542),TEXT($I2542,"0"),$I2542))</f>
        <v/>
      </c>
    </row>
    <row r="2543">
      <c r="B2543" s="25" t="n"/>
      <c r="I2543" s="25" t="n"/>
      <c r="U2543" s="19">
        <f>IF(AND($V2543='設定'!$C$4,COUNTIF('商品マスタ'!$B$6:$B$1005,$W2543)=0),N(U2542)+1,N(U2542))</f>
        <v/>
      </c>
      <c r="V2543" s="19">
        <f>IF($B2543="","",TEXT($B2543,"0000"))</f>
        <v/>
      </c>
      <c r="W2543" s="19">
        <f>IF($I2543="","",IF(ISNUMBER($I2543),TEXT($I2543,"0"),$I2543))</f>
        <v/>
      </c>
    </row>
    <row r="2544">
      <c r="B2544" s="25" t="n"/>
      <c r="I2544" s="25" t="n"/>
      <c r="U2544" s="19">
        <f>IF(AND($V2544='設定'!$C$4,COUNTIF('商品マスタ'!$B$6:$B$1005,$W2544)=0),N(U2543)+1,N(U2543))</f>
        <v/>
      </c>
      <c r="V2544" s="19">
        <f>IF($B2544="","",TEXT($B2544,"0000"))</f>
        <v/>
      </c>
      <c r="W2544" s="19">
        <f>IF($I2544="","",IF(ISNUMBER($I2544),TEXT($I2544,"0"),$I2544))</f>
        <v/>
      </c>
    </row>
    <row r="2545">
      <c r="B2545" s="25" t="n"/>
      <c r="I2545" s="25" t="n"/>
      <c r="U2545" s="19">
        <f>IF(AND($V2545='設定'!$C$4,COUNTIF('商品マスタ'!$B$6:$B$1005,$W2545)=0),N(U2544)+1,N(U2544))</f>
        <v/>
      </c>
      <c r="V2545" s="19">
        <f>IF($B2545="","",TEXT($B2545,"0000"))</f>
        <v/>
      </c>
      <c r="W2545" s="19">
        <f>IF($I2545="","",IF(ISNUMBER($I2545),TEXT($I2545,"0"),$I2545))</f>
        <v/>
      </c>
    </row>
    <row r="2546">
      <c r="B2546" s="25" t="n"/>
      <c r="I2546" s="25" t="n"/>
      <c r="U2546" s="19">
        <f>IF(AND($V2546='設定'!$C$4,COUNTIF('商品マスタ'!$B$6:$B$1005,$W2546)=0),N(U2545)+1,N(U2545))</f>
        <v/>
      </c>
      <c r="V2546" s="19">
        <f>IF($B2546="","",TEXT($B2546,"0000"))</f>
        <v/>
      </c>
      <c r="W2546" s="19">
        <f>IF($I2546="","",IF(ISNUMBER($I2546),TEXT($I2546,"0"),$I2546))</f>
        <v/>
      </c>
    </row>
    <row r="2547">
      <c r="B2547" s="25" t="n"/>
      <c r="I2547" s="25" t="n"/>
      <c r="U2547" s="19">
        <f>IF(AND($V2547='設定'!$C$4,COUNTIF('商品マスタ'!$B$6:$B$1005,$W2547)=0),N(U2546)+1,N(U2546))</f>
        <v/>
      </c>
      <c r="V2547" s="19">
        <f>IF($B2547="","",TEXT($B2547,"0000"))</f>
        <v/>
      </c>
      <c r="W2547" s="19">
        <f>IF($I2547="","",IF(ISNUMBER($I2547),TEXT($I2547,"0"),$I2547))</f>
        <v/>
      </c>
    </row>
    <row r="2548">
      <c r="B2548" s="25" t="n"/>
      <c r="I2548" s="25" t="n"/>
      <c r="U2548" s="19">
        <f>IF(AND($V2548='設定'!$C$4,COUNTIF('商品マスタ'!$B$6:$B$1005,$W2548)=0),N(U2547)+1,N(U2547))</f>
        <v/>
      </c>
      <c r="V2548" s="19">
        <f>IF($B2548="","",TEXT($B2548,"0000"))</f>
        <v/>
      </c>
      <c r="W2548" s="19">
        <f>IF($I2548="","",IF(ISNUMBER($I2548),TEXT($I2548,"0"),$I2548))</f>
        <v/>
      </c>
    </row>
    <row r="2549">
      <c r="B2549" s="25" t="n"/>
      <c r="I2549" s="25" t="n"/>
      <c r="U2549" s="19">
        <f>IF(AND($V2549='設定'!$C$4,COUNTIF('商品マスタ'!$B$6:$B$1005,$W2549)=0),N(U2548)+1,N(U2548))</f>
        <v/>
      </c>
      <c r="V2549" s="19">
        <f>IF($B2549="","",TEXT($B2549,"0000"))</f>
        <v/>
      </c>
      <c r="W2549" s="19">
        <f>IF($I2549="","",IF(ISNUMBER($I2549),TEXT($I2549,"0"),$I2549))</f>
        <v/>
      </c>
    </row>
    <row r="2550">
      <c r="B2550" s="25" t="n"/>
      <c r="I2550" s="25" t="n"/>
      <c r="U2550" s="19">
        <f>IF(AND($V2550='設定'!$C$4,COUNTIF('商品マスタ'!$B$6:$B$1005,$W2550)=0),N(U2549)+1,N(U2549))</f>
        <v/>
      </c>
      <c r="V2550" s="19">
        <f>IF($B2550="","",TEXT($B2550,"0000"))</f>
        <v/>
      </c>
      <c r="W2550" s="19">
        <f>IF($I2550="","",IF(ISNUMBER($I2550),TEXT($I2550,"0"),$I2550))</f>
        <v/>
      </c>
    </row>
    <row r="2551">
      <c r="B2551" s="25" t="n"/>
      <c r="I2551" s="25" t="n"/>
      <c r="U2551" s="19">
        <f>IF(AND($V2551='設定'!$C$4,COUNTIF('商品マスタ'!$B$6:$B$1005,$W2551)=0),N(U2550)+1,N(U2550))</f>
        <v/>
      </c>
      <c r="V2551" s="19">
        <f>IF($B2551="","",TEXT($B2551,"0000"))</f>
        <v/>
      </c>
      <c r="W2551" s="19">
        <f>IF($I2551="","",IF(ISNUMBER($I2551),TEXT($I2551,"0"),$I2551))</f>
        <v/>
      </c>
    </row>
    <row r="2552">
      <c r="B2552" s="25" t="n"/>
      <c r="I2552" s="25" t="n"/>
      <c r="U2552" s="19">
        <f>IF(AND($V2552='設定'!$C$4,COUNTIF('商品マスタ'!$B$6:$B$1005,$W2552)=0),N(U2551)+1,N(U2551))</f>
        <v/>
      </c>
      <c r="V2552" s="19">
        <f>IF($B2552="","",TEXT($B2552,"0000"))</f>
        <v/>
      </c>
      <c r="W2552" s="19">
        <f>IF($I2552="","",IF(ISNUMBER($I2552),TEXT($I2552,"0"),$I2552))</f>
        <v/>
      </c>
    </row>
    <row r="2553">
      <c r="B2553" s="25" t="n"/>
      <c r="I2553" s="25" t="n"/>
      <c r="U2553" s="19">
        <f>IF(AND($V2553='設定'!$C$4,COUNTIF('商品マスタ'!$B$6:$B$1005,$W2553)=0),N(U2552)+1,N(U2552))</f>
        <v/>
      </c>
      <c r="V2553" s="19">
        <f>IF($B2553="","",TEXT($B2553,"0000"))</f>
        <v/>
      </c>
      <c r="W2553" s="19">
        <f>IF($I2553="","",IF(ISNUMBER($I2553),TEXT($I2553,"0"),$I2553))</f>
        <v/>
      </c>
    </row>
    <row r="2554">
      <c r="B2554" s="25" t="n"/>
      <c r="I2554" s="25" t="n"/>
      <c r="U2554" s="19">
        <f>IF(AND($V2554='設定'!$C$4,COUNTIF('商品マスタ'!$B$6:$B$1005,$W2554)=0),N(U2553)+1,N(U2553))</f>
        <v/>
      </c>
      <c r="V2554" s="19">
        <f>IF($B2554="","",TEXT($B2554,"0000"))</f>
        <v/>
      </c>
      <c r="W2554" s="19">
        <f>IF($I2554="","",IF(ISNUMBER($I2554),TEXT($I2554,"0"),$I2554))</f>
        <v/>
      </c>
    </row>
    <row r="2555">
      <c r="B2555" s="25" t="n"/>
      <c r="I2555" s="25" t="n"/>
      <c r="U2555" s="19">
        <f>IF(AND($V2555='設定'!$C$4,COUNTIF('商品マスタ'!$B$6:$B$1005,$W2555)=0),N(U2554)+1,N(U2554))</f>
        <v/>
      </c>
      <c r="V2555" s="19">
        <f>IF($B2555="","",TEXT($B2555,"0000"))</f>
        <v/>
      </c>
      <c r="W2555" s="19">
        <f>IF($I2555="","",IF(ISNUMBER($I2555),TEXT($I2555,"0"),$I2555))</f>
        <v/>
      </c>
    </row>
    <row r="2556">
      <c r="B2556" s="25" t="n"/>
      <c r="I2556" s="25" t="n"/>
      <c r="U2556" s="19">
        <f>IF(AND($V2556='設定'!$C$4,COUNTIF('商品マスタ'!$B$6:$B$1005,$W2556)=0),N(U2555)+1,N(U2555))</f>
        <v/>
      </c>
      <c r="V2556" s="19">
        <f>IF($B2556="","",TEXT($B2556,"0000"))</f>
        <v/>
      </c>
      <c r="W2556" s="19">
        <f>IF($I2556="","",IF(ISNUMBER($I2556),TEXT($I2556,"0"),$I2556))</f>
        <v/>
      </c>
    </row>
    <row r="2557">
      <c r="B2557" s="25" t="n"/>
      <c r="I2557" s="25" t="n"/>
      <c r="U2557" s="19">
        <f>IF(AND($V2557='設定'!$C$4,COUNTIF('商品マスタ'!$B$6:$B$1005,$W2557)=0),N(U2556)+1,N(U2556))</f>
        <v/>
      </c>
      <c r="V2557" s="19">
        <f>IF($B2557="","",TEXT($B2557,"0000"))</f>
        <v/>
      </c>
      <c r="W2557" s="19">
        <f>IF($I2557="","",IF(ISNUMBER($I2557),TEXT($I2557,"0"),$I2557))</f>
        <v/>
      </c>
    </row>
    <row r="2558">
      <c r="B2558" s="25" t="n"/>
      <c r="I2558" s="25" t="n"/>
      <c r="U2558" s="19">
        <f>IF(AND($V2558='設定'!$C$4,COUNTIF('商品マスタ'!$B$6:$B$1005,$W2558)=0),N(U2557)+1,N(U2557))</f>
        <v/>
      </c>
      <c r="V2558" s="19">
        <f>IF($B2558="","",TEXT($B2558,"0000"))</f>
        <v/>
      </c>
      <c r="W2558" s="19">
        <f>IF($I2558="","",IF(ISNUMBER($I2558),TEXT($I2558,"0"),$I2558))</f>
        <v/>
      </c>
    </row>
    <row r="2559">
      <c r="B2559" s="25" t="n"/>
      <c r="I2559" s="25" t="n"/>
      <c r="U2559" s="19">
        <f>IF(AND($V2559='設定'!$C$4,COUNTIF('商品マスタ'!$B$6:$B$1005,$W2559)=0),N(U2558)+1,N(U2558))</f>
        <v/>
      </c>
      <c r="V2559" s="19">
        <f>IF($B2559="","",TEXT($B2559,"0000"))</f>
        <v/>
      </c>
      <c r="W2559" s="19">
        <f>IF($I2559="","",IF(ISNUMBER($I2559),TEXT($I2559,"0"),$I2559))</f>
        <v/>
      </c>
    </row>
    <row r="2560">
      <c r="B2560" s="25" t="n"/>
      <c r="I2560" s="25" t="n"/>
      <c r="U2560" s="19">
        <f>IF(AND($V2560='設定'!$C$4,COUNTIF('商品マスタ'!$B$6:$B$1005,$W2560)=0),N(U2559)+1,N(U2559))</f>
        <v/>
      </c>
      <c r="V2560" s="19">
        <f>IF($B2560="","",TEXT($B2560,"0000"))</f>
        <v/>
      </c>
      <c r="W2560" s="19">
        <f>IF($I2560="","",IF(ISNUMBER($I2560),TEXT($I2560,"0"),$I2560))</f>
        <v/>
      </c>
    </row>
    <row r="2561">
      <c r="B2561" s="25" t="n"/>
      <c r="I2561" s="25" t="n"/>
      <c r="U2561" s="19">
        <f>IF(AND($V2561='設定'!$C$4,COUNTIF('商品マスタ'!$B$6:$B$1005,$W2561)=0),N(U2560)+1,N(U2560))</f>
        <v/>
      </c>
      <c r="V2561" s="19">
        <f>IF($B2561="","",TEXT($B2561,"0000"))</f>
        <v/>
      </c>
      <c r="W2561" s="19">
        <f>IF($I2561="","",IF(ISNUMBER($I2561),TEXT($I2561,"0"),$I2561))</f>
        <v/>
      </c>
    </row>
    <row r="2562">
      <c r="B2562" s="25" t="n"/>
      <c r="I2562" s="25" t="n"/>
      <c r="U2562" s="19">
        <f>IF(AND($V2562='設定'!$C$4,COUNTIF('商品マスタ'!$B$6:$B$1005,$W2562)=0),N(U2561)+1,N(U2561))</f>
        <v/>
      </c>
      <c r="V2562" s="19">
        <f>IF($B2562="","",TEXT($B2562,"0000"))</f>
        <v/>
      </c>
      <c r="W2562" s="19">
        <f>IF($I2562="","",IF(ISNUMBER($I2562),TEXT($I2562,"0"),$I2562))</f>
        <v/>
      </c>
    </row>
    <row r="2563">
      <c r="B2563" s="25" t="n"/>
      <c r="I2563" s="25" t="n"/>
      <c r="U2563" s="19">
        <f>IF(AND($V2563='設定'!$C$4,COUNTIF('商品マスタ'!$B$6:$B$1005,$W2563)=0),N(U2562)+1,N(U2562))</f>
        <v/>
      </c>
      <c r="V2563" s="19">
        <f>IF($B2563="","",TEXT($B2563,"0000"))</f>
        <v/>
      </c>
      <c r="W2563" s="19">
        <f>IF($I2563="","",IF(ISNUMBER($I2563),TEXT($I2563,"0"),$I2563))</f>
        <v/>
      </c>
    </row>
    <row r="2564">
      <c r="B2564" s="25" t="n"/>
      <c r="I2564" s="25" t="n"/>
      <c r="U2564" s="19">
        <f>IF(AND($V2564='設定'!$C$4,COUNTIF('商品マスタ'!$B$6:$B$1005,$W2564)=0),N(U2563)+1,N(U2563))</f>
        <v/>
      </c>
      <c r="V2564" s="19">
        <f>IF($B2564="","",TEXT($B2564,"0000"))</f>
        <v/>
      </c>
      <c r="W2564" s="19">
        <f>IF($I2564="","",IF(ISNUMBER($I2564),TEXT($I2564,"0"),$I2564))</f>
        <v/>
      </c>
    </row>
    <row r="2565">
      <c r="B2565" s="25" t="n"/>
      <c r="I2565" s="25" t="n"/>
      <c r="U2565" s="19">
        <f>IF(AND($V2565='設定'!$C$4,COUNTIF('商品マスタ'!$B$6:$B$1005,$W2565)=0),N(U2564)+1,N(U2564))</f>
        <v/>
      </c>
      <c r="V2565" s="19">
        <f>IF($B2565="","",TEXT($B2565,"0000"))</f>
        <v/>
      </c>
      <c r="W2565" s="19">
        <f>IF($I2565="","",IF(ISNUMBER($I2565),TEXT($I2565,"0"),$I2565))</f>
        <v/>
      </c>
    </row>
    <row r="2566">
      <c r="B2566" s="25" t="n"/>
      <c r="I2566" s="25" t="n"/>
      <c r="U2566" s="19">
        <f>IF(AND($V2566='設定'!$C$4,COUNTIF('商品マスタ'!$B$6:$B$1005,$W2566)=0),N(U2565)+1,N(U2565))</f>
        <v/>
      </c>
      <c r="V2566" s="19">
        <f>IF($B2566="","",TEXT($B2566,"0000"))</f>
        <v/>
      </c>
      <c r="W2566" s="19">
        <f>IF($I2566="","",IF(ISNUMBER($I2566),TEXT($I2566,"0"),$I2566))</f>
        <v/>
      </c>
    </row>
    <row r="2567">
      <c r="B2567" s="25" t="n"/>
      <c r="I2567" s="25" t="n"/>
      <c r="U2567" s="19">
        <f>IF(AND($V2567='設定'!$C$4,COUNTIF('商品マスタ'!$B$6:$B$1005,$W2567)=0),N(U2566)+1,N(U2566))</f>
        <v/>
      </c>
      <c r="V2567" s="19">
        <f>IF($B2567="","",TEXT($B2567,"0000"))</f>
        <v/>
      </c>
      <c r="W2567" s="19">
        <f>IF($I2567="","",IF(ISNUMBER($I2567),TEXT($I2567,"0"),$I2567))</f>
        <v/>
      </c>
    </row>
    <row r="2568">
      <c r="B2568" s="25" t="n"/>
      <c r="I2568" s="25" t="n"/>
      <c r="U2568" s="19">
        <f>IF(AND($V2568='設定'!$C$4,COUNTIF('商品マスタ'!$B$6:$B$1005,$W2568)=0),N(U2567)+1,N(U2567))</f>
        <v/>
      </c>
      <c r="V2568" s="19">
        <f>IF($B2568="","",TEXT($B2568,"0000"))</f>
        <v/>
      </c>
      <c r="W2568" s="19">
        <f>IF($I2568="","",IF(ISNUMBER($I2568),TEXT($I2568,"0"),$I2568))</f>
        <v/>
      </c>
    </row>
    <row r="2569">
      <c r="B2569" s="25" t="n"/>
      <c r="I2569" s="25" t="n"/>
      <c r="U2569" s="19">
        <f>IF(AND($V2569='設定'!$C$4,COUNTIF('商品マスタ'!$B$6:$B$1005,$W2569)=0),N(U2568)+1,N(U2568))</f>
        <v/>
      </c>
      <c r="V2569" s="19">
        <f>IF($B2569="","",TEXT($B2569,"0000"))</f>
        <v/>
      </c>
      <c r="W2569" s="19">
        <f>IF($I2569="","",IF(ISNUMBER($I2569),TEXT($I2569,"0"),$I2569))</f>
        <v/>
      </c>
    </row>
    <row r="2570">
      <c r="B2570" s="25" t="n"/>
      <c r="I2570" s="25" t="n"/>
      <c r="U2570" s="19">
        <f>IF(AND($V2570='設定'!$C$4,COUNTIF('商品マスタ'!$B$6:$B$1005,$W2570)=0),N(U2569)+1,N(U2569))</f>
        <v/>
      </c>
      <c r="V2570" s="19">
        <f>IF($B2570="","",TEXT($B2570,"0000"))</f>
        <v/>
      </c>
      <c r="W2570" s="19">
        <f>IF($I2570="","",IF(ISNUMBER($I2570),TEXT($I2570,"0"),$I2570))</f>
        <v/>
      </c>
    </row>
    <row r="2571">
      <c r="B2571" s="25" t="n"/>
      <c r="I2571" s="25" t="n"/>
      <c r="U2571" s="19">
        <f>IF(AND($V2571='設定'!$C$4,COUNTIF('商品マスタ'!$B$6:$B$1005,$W2571)=0),N(U2570)+1,N(U2570))</f>
        <v/>
      </c>
      <c r="V2571" s="19">
        <f>IF($B2571="","",TEXT($B2571,"0000"))</f>
        <v/>
      </c>
      <c r="W2571" s="19">
        <f>IF($I2571="","",IF(ISNUMBER($I2571),TEXT($I2571,"0"),$I2571))</f>
        <v/>
      </c>
    </row>
    <row r="2572">
      <c r="B2572" s="25" t="n"/>
      <c r="I2572" s="25" t="n"/>
      <c r="U2572" s="19">
        <f>IF(AND($V2572='設定'!$C$4,COUNTIF('商品マスタ'!$B$6:$B$1005,$W2572)=0),N(U2571)+1,N(U2571))</f>
        <v/>
      </c>
      <c r="V2572" s="19">
        <f>IF($B2572="","",TEXT($B2572,"0000"))</f>
        <v/>
      </c>
      <c r="W2572" s="19">
        <f>IF($I2572="","",IF(ISNUMBER($I2572),TEXT($I2572,"0"),$I2572))</f>
        <v/>
      </c>
    </row>
    <row r="2573">
      <c r="B2573" s="25" t="n"/>
      <c r="I2573" s="25" t="n"/>
      <c r="U2573" s="19">
        <f>IF(AND($V2573='設定'!$C$4,COUNTIF('商品マスタ'!$B$6:$B$1005,$W2573)=0),N(U2572)+1,N(U2572))</f>
        <v/>
      </c>
      <c r="V2573" s="19">
        <f>IF($B2573="","",TEXT($B2573,"0000"))</f>
        <v/>
      </c>
      <c r="W2573" s="19">
        <f>IF($I2573="","",IF(ISNUMBER($I2573),TEXT($I2573,"0"),$I2573))</f>
        <v/>
      </c>
    </row>
    <row r="2574">
      <c r="B2574" s="25" t="n"/>
      <c r="I2574" s="25" t="n"/>
      <c r="U2574" s="19">
        <f>IF(AND($V2574='設定'!$C$4,COUNTIF('商品マスタ'!$B$6:$B$1005,$W2574)=0),N(U2573)+1,N(U2573))</f>
        <v/>
      </c>
      <c r="V2574" s="19">
        <f>IF($B2574="","",TEXT($B2574,"0000"))</f>
        <v/>
      </c>
      <c r="W2574" s="19">
        <f>IF($I2574="","",IF(ISNUMBER($I2574),TEXT($I2574,"0"),$I2574))</f>
        <v/>
      </c>
    </row>
    <row r="2575">
      <c r="B2575" s="25" t="n"/>
      <c r="I2575" s="25" t="n"/>
      <c r="U2575" s="19">
        <f>IF(AND($V2575='設定'!$C$4,COUNTIF('商品マスタ'!$B$6:$B$1005,$W2575)=0),N(U2574)+1,N(U2574))</f>
        <v/>
      </c>
      <c r="V2575" s="19">
        <f>IF($B2575="","",TEXT($B2575,"0000"))</f>
        <v/>
      </c>
      <c r="W2575" s="19">
        <f>IF($I2575="","",IF(ISNUMBER($I2575),TEXT($I2575,"0"),$I2575))</f>
        <v/>
      </c>
    </row>
    <row r="2576">
      <c r="B2576" s="25" t="n"/>
      <c r="I2576" s="25" t="n"/>
      <c r="U2576" s="19">
        <f>IF(AND($V2576='設定'!$C$4,COUNTIF('商品マスタ'!$B$6:$B$1005,$W2576)=0),N(U2575)+1,N(U2575))</f>
        <v/>
      </c>
      <c r="V2576" s="19">
        <f>IF($B2576="","",TEXT($B2576,"0000"))</f>
        <v/>
      </c>
      <c r="W2576" s="19">
        <f>IF($I2576="","",IF(ISNUMBER($I2576),TEXT($I2576,"0"),$I2576))</f>
        <v/>
      </c>
    </row>
    <row r="2577">
      <c r="B2577" s="25" t="n"/>
      <c r="I2577" s="25" t="n"/>
      <c r="U2577" s="19">
        <f>IF(AND($V2577='設定'!$C$4,COUNTIF('商品マスタ'!$B$6:$B$1005,$W2577)=0),N(U2576)+1,N(U2576))</f>
        <v/>
      </c>
      <c r="V2577" s="19">
        <f>IF($B2577="","",TEXT($B2577,"0000"))</f>
        <v/>
      </c>
      <c r="W2577" s="19">
        <f>IF($I2577="","",IF(ISNUMBER($I2577),TEXT($I2577,"0"),$I2577))</f>
        <v/>
      </c>
    </row>
    <row r="2578">
      <c r="B2578" s="25" t="n"/>
      <c r="I2578" s="25" t="n"/>
      <c r="U2578" s="19">
        <f>IF(AND($V2578='設定'!$C$4,COUNTIF('商品マスタ'!$B$6:$B$1005,$W2578)=0),N(U2577)+1,N(U2577))</f>
        <v/>
      </c>
      <c r="V2578" s="19">
        <f>IF($B2578="","",TEXT($B2578,"0000"))</f>
        <v/>
      </c>
      <c r="W2578" s="19">
        <f>IF($I2578="","",IF(ISNUMBER($I2578),TEXT($I2578,"0"),$I2578))</f>
        <v/>
      </c>
    </row>
    <row r="2579">
      <c r="B2579" s="25" t="n"/>
      <c r="I2579" s="25" t="n"/>
      <c r="U2579" s="19">
        <f>IF(AND($V2579='設定'!$C$4,COUNTIF('商品マスタ'!$B$6:$B$1005,$W2579)=0),N(U2578)+1,N(U2578))</f>
        <v/>
      </c>
      <c r="V2579" s="19">
        <f>IF($B2579="","",TEXT($B2579,"0000"))</f>
        <v/>
      </c>
      <c r="W2579" s="19">
        <f>IF($I2579="","",IF(ISNUMBER($I2579),TEXT($I2579,"0"),$I2579))</f>
        <v/>
      </c>
    </row>
    <row r="2580">
      <c r="B2580" s="25" t="n"/>
      <c r="I2580" s="25" t="n"/>
      <c r="U2580" s="19">
        <f>IF(AND($V2580='設定'!$C$4,COUNTIF('商品マスタ'!$B$6:$B$1005,$W2580)=0),N(U2579)+1,N(U2579))</f>
        <v/>
      </c>
      <c r="V2580" s="19">
        <f>IF($B2580="","",TEXT($B2580,"0000"))</f>
        <v/>
      </c>
      <c r="W2580" s="19">
        <f>IF($I2580="","",IF(ISNUMBER($I2580),TEXT($I2580,"0"),$I2580))</f>
        <v/>
      </c>
    </row>
    <row r="2581">
      <c r="B2581" s="25" t="n"/>
      <c r="I2581" s="25" t="n"/>
      <c r="U2581" s="19">
        <f>IF(AND($V2581='設定'!$C$4,COUNTIF('商品マスタ'!$B$6:$B$1005,$W2581)=0),N(U2580)+1,N(U2580))</f>
        <v/>
      </c>
      <c r="V2581" s="19">
        <f>IF($B2581="","",TEXT($B2581,"0000"))</f>
        <v/>
      </c>
      <c r="W2581" s="19">
        <f>IF($I2581="","",IF(ISNUMBER($I2581),TEXT($I2581,"0"),$I2581))</f>
        <v/>
      </c>
    </row>
    <row r="2582">
      <c r="B2582" s="25" t="n"/>
      <c r="I2582" s="25" t="n"/>
      <c r="U2582" s="19">
        <f>IF(AND($V2582='設定'!$C$4,COUNTIF('商品マスタ'!$B$6:$B$1005,$W2582)=0),N(U2581)+1,N(U2581))</f>
        <v/>
      </c>
      <c r="V2582" s="19">
        <f>IF($B2582="","",TEXT($B2582,"0000"))</f>
        <v/>
      </c>
      <c r="W2582" s="19">
        <f>IF($I2582="","",IF(ISNUMBER($I2582),TEXT($I2582,"0"),$I2582))</f>
        <v/>
      </c>
    </row>
    <row r="2583">
      <c r="B2583" s="25" t="n"/>
      <c r="I2583" s="25" t="n"/>
      <c r="U2583" s="19">
        <f>IF(AND($V2583='設定'!$C$4,COUNTIF('商品マスタ'!$B$6:$B$1005,$W2583)=0),N(U2582)+1,N(U2582))</f>
        <v/>
      </c>
      <c r="V2583" s="19">
        <f>IF($B2583="","",TEXT($B2583,"0000"))</f>
        <v/>
      </c>
      <c r="W2583" s="19">
        <f>IF($I2583="","",IF(ISNUMBER($I2583),TEXT($I2583,"0"),$I2583))</f>
        <v/>
      </c>
    </row>
    <row r="2584">
      <c r="B2584" s="25" t="n"/>
      <c r="I2584" s="25" t="n"/>
      <c r="U2584" s="19">
        <f>IF(AND($V2584='設定'!$C$4,COUNTIF('商品マスタ'!$B$6:$B$1005,$W2584)=0),N(U2583)+1,N(U2583))</f>
        <v/>
      </c>
      <c r="V2584" s="19">
        <f>IF($B2584="","",TEXT($B2584,"0000"))</f>
        <v/>
      </c>
      <c r="W2584" s="19">
        <f>IF($I2584="","",IF(ISNUMBER($I2584),TEXT($I2584,"0"),$I2584))</f>
        <v/>
      </c>
    </row>
    <row r="2585">
      <c r="B2585" s="25" t="n"/>
      <c r="I2585" s="25" t="n"/>
      <c r="U2585" s="19">
        <f>IF(AND($V2585='設定'!$C$4,COUNTIF('商品マスタ'!$B$6:$B$1005,$W2585)=0),N(U2584)+1,N(U2584))</f>
        <v/>
      </c>
      <c r="V2585" s="19">
        <f>IF($B2585="","",TEXT($B2585,"0000"))</f>
        <v/>
      </c>
      <c r="W2585" s="19">
        <f>IF($I2585="","",IF(ISNUMBER($I2585),TEXT($I2585,"0"),$I2585))</f>
        <v/>
      </c>
    </row>
    <row r="2586">
      <c r="B2586" s="25" t="n"/>
      <c r="I2586" s="25" t="n"/>
      <c r="U2586" s="19">
        <f>IF(AND($V2586='設定'!$C$4,COUNTIF('商品マスタ'!$B$6:$B$1005,$W2586)=0),N(U2585)+1,N(U2585))</f>
        <v/>
      </c>
      <c r="V2586" s="19">
        <f>IF($B2586="","",TEXT($B2586,"0000"))</f>
        <v/>
      </c>
      <c r="W2586" s="19">
        <f>IF($I2586="","",IF(ISNUMBER($I2586),TEXT($I2586,"0"),$I2586))</f>
        <v/>
      </c>
    </row>
    <row r="2587">
      <c r="B2587" s="25" t="n"/>
      <c r="I2587" s="25" t="n"/>
      <c r="U2587" s="19">
        <f>IF(AND($V2587='設定'!$C$4,COUNTIF('商品マスタ'!$B$6:$B$1005,$W2587)=0),N(U2586)+1,N(U2586))</f>
        <v/>
      </c>
      <c r="V2587" s="19">
        <f>IF($B2587="","",TEXT($B2587,"0000"))</f>
        <v/>
      </c>
      <c r="W2587" s="19">
        <f>IF($I2587="","",IF(ISNUMBER($I2587),TEXT($I2587,"0"),$I2587))</f>
        <v/>
      </c>
    </row>
    <row r="2588">
      <c r="B2588" s="25" t="n"/>
      <c r="I2588" s="25" t="n"/>
      <c r="U2588" s="19">
        <f>IF(AND($V2588='設定'!$C$4,COUNTIF('商品マスタ'!$B$6:$B$1005,$W2588)=0),N(U2587)+1,N(U2587))</f>
        <v/>
      </c>
      <c r="V2588" s="19">
        <f>IF($B2588="","",TEXT($B2588,"0000"))</f>
        <v/>
      </c>
      <c r="W2588" s="19">
        <f>IF($I2588="","",IF(ISNUMBER($I2588),TEXT($I2588,"0"),$I2588))</f>
        <v/>
      </c>
    </row>
    <row r="2589">
      <c r="B2589" s="25" t="n"/>
      <c r="I2589" s="25" t="n"/>
      <c r="U2589" s="19">
        <f>IF(AND($V2589='設定'!$C$4,COUNTIF('商品マスタ'!$B$6:$B$1005,$W2589)=0),N(U2588)+1,N(U2588))</f>
        <v/>
      </c>
      <c r="V2589" s="19">
        <f>IF($B2589="","",TEXT($B2589,"0000"))</f>
        <v/>
      </c>
      <c r="W2589" s="19">
        <f>IF($I2589="","",IF(ISNUMBER($I2589),TEXT($I2589,"0"),$I2589))</f>
        <v/>
      </c>
    </row>
    <row r="2590">
      <c r="B2590" s="25" t="n"/>
      <c r="I2590" s="25" t="n"/>
      <c r="U2590" s="19">
        <f>IF(AND($V2590='設定'!$C$4,COUNTIF('商品マスタ'!$B$6:$B$1005,$W2590)=0),N(U2589)+1,N(U2589))</f>
        <v/>
      </c>
      <c r="V2590" s="19">
        <f>IF($B2590="","",TEXT($B2590,"0000"))</f>
        <v/>
      </c>
      <c r="W2590" s="19">
        <f>IF($I2590="","",IF(ISNUMBER($I2590),TEXT($I2590,"0"),$I2590))</f>
        <v/>
      </c>
    </row>
    <row r="2591">
      <c r="B2591" s="25" t="n"/>
      <c r="I2591" s="25" t="n"/>
      <c r="U2591" s="19">
        <f>IF(AND($V2591='設定'!$C$4,COUNTIF('商品マスタ'!$B$6:$B$1005,$W2591)=0),N(U2590)+1,N(U2590))</f>
        <v/>
      </c>
      <c r="V2591" s="19">
        <f>IF($B2591="","",TEXT($B2591,"0000"))</f>
        <v/>
      </c>
      <c r="W2591" s="19">
        <f>IF($I2591="","",IF(ISNUMBER($I2591),TEXT($I2591,"0"),$I2591))</f>
        <v/>
      </c>
    </row>
    <row r="2592">
      <c r="B2592" s="25" t="n"/>
      <c r="I2592" s="25" t="n"/>
      <c r="U2592" s="19">
        <f>IF(AND($V2592='設定'!$C$4,COUNTIF('商品マスタ'!$B$6:$B$1005,$W2592)=0),N(U2591)+1,N(U2591))</f>
        <v/>
      </c>
      <c r="V2592" s="19">
        <f>IF($B2592="","",TEXT($B2592,"0000"))</f>
        <v/>
      </c>
      <c r="W2592" s="19">
        <f>IF($I2592="","",IF(ISNUMBER($I2592),TEXT($I2592,"0"),$I2592))</f>
        <v/>
      </c>
    </row>
    <row r="2593">
      <c r="B2593" s="25" t="n"/>
      <c r="I2593" s="25" t="n"/>
      <c r="U2593" s="19">
        <f>IF(AND($V2593='設定'!$C$4,COUNTIF('商品マスタ'!$B$6:$B$1005,$W2593)=0),N(U2592)+1,N(U2592))</f>
        <v/>
      </c>
      <c r="V2593" s="19">
        <f>IF($B2593="","",TEXT($B2593,"0000"))</f>
        <v/>
      </c>
      <c r="W2593" s="19">
        <f>IF($I2593="","",IF(ISNUMBER($I2593),TEXT($I2593,"0"),$I2593))</f>
        <v/>
      </c>
    </row>
    <row r="2594">
      <c r="B2594" s="25" t="n"/>
      <c r="I2594" s="25" t="n"/>
      <c r="U2594" s="19">
        <f>IF(AND($V2594='設定'!$C$4,COUNTIF('商品マスタ'!$B$6:$B$1005,$W2594)=0),N(U2593)+1,N(U2593))</f>
        <v/>
      </c>
      <c r="V2594" s="19">
        <f>IF($B2594="","",TEXT($B2594,"0000"))</f>
        <v/>
      </c>
      <c r="W2594" s="19">
        <f>IF($I2594="","",IF(ISNUMBER($I2594),TEXT($I2594,"0"),$I2594))</f>
        <v/>
      </c>
    </row>
    <row r="2595">
      <c r="B2595" s="25" t="n"/>
      <c r="I2595" s="25" t="n"/>
      <c r="U2595" s="19">
        <f>IF(AND($V2595='設定'!$C$4,COUNTIF('商品マスタ'!$B$6:$B$1005,$W2595)=0),N(U2594)+1,N(U2594))</f>
        <v/>
      </c>
      <c r="V2595" s="19">
        <f>IF($B2595="","",TEXT($B2595,"0000"))</f>
        <v/>
      </c>
      <c r="W2595" s="19">
        <f>IF($I2595="","",IF(ISNUMBER($I2595),TEXT($I2595,"0"),$I2595))</f>
        <v/>
      </c>
    </row>
    <row r="2596">
      <c r="B2596" s="25" t="n"/>
      <c r="I2596" s="25" t="n"/>
      <c r="U2596" s="19">
        <f>IF(AND($V2596='設定'!$C$4,COUNTIF('商品マスタ'!$B$6:$B$1005,$W2596)=0),N(U2595)+1,N(U2595))</f>
        <v/>
      </c>
      <c r="V2596" s="19">
        <f>IF($B2596="","",TEXT($B2596,"0000"))</f>
        <v/>
      </c>
      <c r="W2596" s="19">
        <f>IF($I2596="","",IF(ISNUMBER($I2596),TEXT($I2596,"0"),$I2596))</f>
        <v/>
      </c>
    </row>
    <row r="2597">
      <c r="B2597" s="25" t="n"/>
      <c r="I2597" s="25" t="n"/>
      <c r="U2597" s="19">
        <f>IF(AND($V2597='設定'!$C$4,COUNTIF('商品マスタ'!$B$6:$B$1005,$W2597)=0),N(U2596)+1,N(U2596))</f>
        <v/>
      </c>
      <c r="V2597" s="19">
        <f>IF($B2597="","",TEXT($B2597,"0000"))</f>
        <v/>
      </c>
      <c r="W2597" s="19">
        <f>IF($I2597="","",IF(ISNUMBER($I2597),TEXT($I2597,"0"),$I2597))</f>
        <v/>
      </c>
    </row>
    <row r="2598">
      <c r="B2598" s="25" t="n"/>
      <c r="I2598" s="25" t="n"/>
      <c r="U2598" s="19">
        <f>IF(AND($V2598='設定'!$C$4,COUNTIF('商品マスタ'!$B$6:$B$1005,$W2598)=0),N(U2597)+1,N(U2597))</f>
        <v/>
      </c>
      <c r="V2598" s="19">
        <f>IF($B2598="","",TEXT($B2598,"0000"))</f>
        <v/>
      </c>
      <c r="W2598" s="19">
        <f>IF($I2598="","",IF(ISNUMBER($I2598),TEXT($I2598,"0"),$I2598))</f>
        <v/>
      </c>
    </row>
    <row r="2599">
      <c r="B2599" s="25" t="n"/>
      <c r="I2599" s="25" t="n"/>
      <c r="U2599" s="19">
        <f>IF(AND($V2599='設定'!$C$4,COUNTIF('商品マスタ'!$B$6:$B$1005,$W2599)=0),N(U2598)+1,N(U2598))</f>
        <v/>
      </c>
      <c r="V2599" s="19">
        <f>IF($B2599="","",TEXT($B2599,"0000"))</f>
        <v/>
      </c>
      <c r="W2599" s="19">
        <f>IF($I2599="","",IF(ISNUMBER($I2599),TEXT($I2599,"0"),$I2599))</f>
        <v/>
      </c>
    </row>
    <row r="2600">
      <c r="B2600" s="25" t="n"/>
      <c r="I2600" s="25" t="n"/>
      <c r="U2600" s="19">
        <f>IF(AND($V2600='設定'!$C$4,COUNTIF('商品マスタ'!$B$6:$B$1005,$W2600)=0),N(U2599)+1,N(U2599))</f>
        <v/>
      </c>
      <c r="V2600" s="19">
        <f>IF($B2600="","",TEXT($B2600,"0000"))</f>
        <v/>
      </c>
      <c r="W2600" s="19">
        <f>IF($I2600="","",IF(ISNUMBER($I2600),TEXT($I2600,"0"),$I2600))</f>
        <v/>
      </c>
    </row>
    <row r="2601">
      <c r="B2601" s="25" t="n"/>
      <c r="I2601" s="25" t="n"/>
      <c r="U2601" s="19">
        <f>IF(AND($V2601='設定'!$C$4,COUNTIF('商品マスタ'!$B$6:$B$1005,$W2601)=0),N(U2600)+1,N(U2600))</f>
        <v/>
      </c>
      <c r="V2601" s="19">
        <f>IF($B2601="","",TEXT($B2601,"0000"))</f>
        <v/>
      </c>
      <c r="W2601" s="19">
        <f>IF($I2601="","",IF(ISNUMBER($I2601),TEXT($I2601,"0"),$I2601))</f>
        <v/>
      </c>
    </row>
    <row r="2602">
      <c r="B2602" s="25" t="n"/>
      <c r="I2602" s="25" t="n"/>
      <c r="U2602" s="19">
        <f>IF(AND($V2602='設定'!$C$4,COUNTIF('商品マスタ'!$B$6:$B$1005,$W2602)=0),N(U2601)+1,N(U2601))</f>
        <v/>
      </c>
      <c r="V2602" s="19">
        <f>IF($B2602="","",TEXT($B2602,"0000"))</f>
        <v/>
      </c>
      <c r="W2602" s="19">
        <f>IF($I2602="","",IF(ISNUMBER($I2602),TEXT($I2602,"0"),$I2602))</f>
        <v/>
      </c>
    </row>
    <row r="2603">
      <c r="B2603" s="25" t="n"/>
      <c r="I2603" s="25" t="n"/>
      <c r="U2603" s="19">
        <f>IF(AND($V2603='設定'!$C$4,COUNTIF('商品マスタ'!$B$6:$B$1005,$W2603)=0),N(U2602)+1,N(U2602))</f>
        <v/>
      </c>
      <c r="V2603" s="19">
        <f>IF($B2603="","",TEXT($B2603,"0000"))</f>
        <v/>
      </c>
      <c r="W2603" s="19">
        <f>IF($I2603="","",IF(ISNUMBER($I2603),TEXT($I2603,"0"),$I2603))</f>
        <v/>
      </c>
    </row>
    <row r="2604">
      <c r="B2604" s="25" t="n"/>
      <c r="I2604" s="25" t="n"/>
      <c r="U2604" s="19">
        <f>IF(AND($V2604='設定'!$C$4,COUNTIF('商品マスタ'!$B$6:$B$1005,$W2604)=0),N(U2603)+1,N(U2603))</f>
        <v/>
      </c>
      <c r="V2604" s="19">
        <f>IF($B2604="","",TEXT($B2604,"0000"))</f>
        <v/>
      </c>
      <c r="W2604" s="19">
        <f>IF($I2604="","",IF(ISNUMBER($I2604),TEXT($I2604,"0"),$I2604))</f>
        <v/>
      </c>
    </row>
    <row r="2605">
      <c r="B2605" s="25" t="n"/>
      <c r="I2605" s="25" t="n"/>
      <c r="U2605" s="19">
        <f>IF(AND($V2605='設定'!$C$4,COUNTIF('商品マスタ'!$B$6:$B$1005,$W2605)=0),N(U2604)+1,N(U2604))</f>
        <v/>
      </c>
      <c r="V2605" s="19">
        <f>IF($B2605="","",TEXT($B2605,"0000"))</f>
        <v/>
      </c>
      <c r="W2605" s="19">
        <f>IF($I2605="","",IF(ISNUMBER($I2605),TEXT($I2605,"0"),$I2605))</f>
        <v/>
      </c>
    </row>
    <row r="2606">
      <c r="B2606" s="25" t="n"/>
      <c r="I2606" s="25" t="n"/>
      <c r="U2606" s="19">
        <f>IF(AND($V2606='設定'!$C$4,COUNTIF('商品マスタ'!$B$6:$B$1005,$W2606)=0),N(U2605)+1,N(U2605))</f>
        <v/>
      </c>
      <c r="V2606" s="19">
        <f>IF($B2606="","",TEXT($B2606,"0000"))</f>
        <v/>
      </c>
      <c r="W2606" s="19">
        <f>IF($I2606="","",IF(ISNUMBER($I2606),TEXT($I2606,"0"),$I2606))</f>
        <v/>
      </c>
    </row>
    <row r="2607">
      <c r="B2607" s="25" t="n"/>
      <c r="I2607" s="25" t="n"/>
      <c r="U2607" s="19">
        <f>IF(AND($V2607='設定'!$C$4,COUNTIF('商品マスタ'!$B$6:$B$1005,$W2607)=0),N(U2606)+1,N(U2606))</f>
        <v/>
      </c>
      <c r="V2607" s="19">
        <f>IF($B2607="","",TEXT($B2607,"0000"))</f>
        <v/>
      </c>
      <c r="W2607" s="19">
        <f>IF($I2607="","",IF(ISNUMBER($I2607),TEXT($I2607,"0"),$I2607))</f>
        <v/>
      </c>
    </row>
    <row r="2608">
      <c r="B2608" s="25" t="n"/>
      <c r="I2608" s="25" t="n"/>
      <c r="U2608" s="19">
        <f>IF(AND($V2608='設定'!$C$4,COUNTIF('商品マスタ'!$B$6:$B$1005,$W2608)=0),N(U2607)+1,N(U2607))</f>
        <v/>
      </c>
      <c r="V2608" s="19">
        <f>IF($B2608="","",TEXT($B2608,"0000"))</f>
        <v/>
      </c>
      <c r="W2608" s="19">
        <f>IF($I2608="","",IF(ISNUMBER($I2608),TEXT($I2608,"0"),$I2608))</f>
        <v/>
      </c>
    </row>
    <row r="2609">
      <c r="B2609" s="25" t="n"/>
      <c r="I2609" s="25" t="n"/>
      <c r="U2609" s="19">
        <f>IF(AND($V2609='設定'!$C$4,COUNTIF('商品マスタ'!$B$6:$B$1005,$W2609)=0),N(U2608)+1,N(U2608))</f>
        <v/>
      </c>
      <c r="V2609" s="19">
        <f>IF($B2609="","",TEXT($B2609,"0000"))</f>
        <v/>
      </c>
      <c r="W2609" s="19">
        <f>IF($I2609="","",IF(ISNUMBER($I2609),TEXT($I2609,"0"),$I2609))</f>
        <v/>
      </c>
    </row>
    <row r="2610">
      <c r="B2610" s="25" t="n"/>
      <c r="I2610" s="25" t="n"/>
      <c r="U2610" s="19">
        <f>IF(AND($V2610='設定'!$C$4,COUNTIF('商品マスタ'!$B$6:$B$1005,$W2610)=0),N(U2609)+1,N(U2609))</f>
        <v/>
      </c>
      <c r="V2610" s="19">
        <f>IF($B2610="","",TEXT($B2610,"0000"))</f>
        <v/>
      </c>
      <c r="W2610" s="19">
        <f>IF($I2610="","",IF(ISNUMBER($I2610),TEXT($I2610,"0"),$I2610))</f>
        <v/>
      </c>
    </row>
    <row r="2611">
      <c r="B2611" s="25" t="n"/>
      <c r="I2611" s="25" t="n"/>
      <c r="U2611" s="19">
        <f>IF(AND($V2611='設定'!$C$4,COUNTIF('商品マスタ'!$B$6:$B$1005,$W2611)=0),N(U2610)+1,N(U2610))</f>
        <v/>
      </c>
      <c r="V2611" s="19">
        <f>IF($B2611="","",TEXT($B2611,"0000"))</f>
        <v/>
      </c>
      <c r="W2611" s="19">
        <f>IF($I2611="","",IF(ISNUMBER($I2611),TEXT($I2611,"0"),$I2611))</f>
        <v/>
      </c>
    </row>
    <row r="2612">
      <c r="B2612" s="25" t="n"/>
      <c r="I2612" s="25" t="n"/>
      <c r="U2612" s="19">
        <f>IF(AND($V2612='設定'!$C$4,COUNTIF('商品マスタ'!$B$6:$B$1005,$W2612)=0),N(U2611)+1,N(U2611))</f>
        <v/>
      </c>
      <c r="V2612" s="19">
        <f>IF($B2612="","",TEXT($B2612,"0000"))</f>
        <v/>
      </c>
      <c r="W2612" s="19">
        <f>IF($I2612="","",IF(ISNUMBER($I2612),TEXT($I2612,"0"),$I2612))</f>
        <v/>
      </c>
    </row>
    <row r="2613">
      <c r="B2613" s="25" t="n"/>
      <c r="I2613" s="25" t="n"/>
      <c r="U2613" s="19">
        <f>IF(AND($V2613='設定'!$C$4,COUNTIF('商品マスタ'!$B$6:$B$1005,$W2613)=0),N(U2612)+1,N(U2612))</f>
        <v/>
      </c>
      <c r="V2613" s="19">
        <f>IF($B2613="","",TEXT($B2613,"0000"))</f>
        <v/>
      </c>
      <c r="W2613" s="19">
        <f>IF($I2613="","",IF(ISNUMBER($I2613),TEXT($I2613,"0"),$I2613))</f>
        <v/>
      </c>
    </row>
    <row r="2614">
      <c r="B2614" s="25" t="n"/>
      <c r="I2614" s="25" t="n"/>
      <c r="U2614" s="19">
        <f>IF(AND($V2614='設定'!$C$4,COUNTIF('商品マスタ'!$B$6:$B$1005,$W2614)=0),N(U2613)+1,N(U2613))</f>
        <v/>
      </c>
      <c r="V2614" s="19">
        <f>IF($B2614="","",TEXT($B2614,"0000"))</f>
        <v/>
      </c>
      <c r="W2614" s="19">
        <f>IF($I2614="","",IF(ISNUMBER($I2614),TEXT($I2614,"0"),$I2614))</f>
        <v/>
      </c>
    </row>
    <row r="2615">
      <c r="B2615" s="25" t="n"/>
      <c r="I2615" s="25" t="n"/>
      <c r="U2615" s="19">
        <f>IF(AND($V2615='設定'!$C$4,COUNTIF('商品マスタ'!$B$6:$B$1005,$W2615)=0),N(U2614)+1,N(U2614))</f>
        <v/>
      </c>
      <c r="V2615" s="19">
        <f>IF($B2615="","",TEXT($B2615,"0000"))</f>
        <v/>
      </c>
      <c r="W2615" s="19">
        <f>IF($I2615="","",IF(ISNUMBER($I2615),TEXT($I2615,"0"),$I2615))</f>
        <v/>
      </c>
    </row>
    <row r="2616">
      <c r="B2616" s="25" t="n"/>
      <c r="I2616" s="25" t="n"/>
      <c r="U2616" s="19">
        <f>IF(AND($V2616='設定'!$C$4,COUNTIF('商品マスタ'!$B$6:$B$1005,$W2616)=0),N(U2615)+1,N(U2615))</f>
        <v/>
      </c>
      <c r="V2616" s="19">
        <f>IF($B2616="","",TEXT($B2616,"0000"))</f>
        <v/>
      </c>
      <c r="W2616" s="19">
        <f>IF($I2616="","",IF(ISNUMBER($I2616),TEXT($I2616,"0"),$I2616))</f>
        <v/>
      </c>
    </row>
    <row r="2617">
      <c r="B2617" s="25" t="n"/>
      <c r="I2617" s="25" t="n"/>
      <c r="U2617" s="19">
        <f>IF(AND($V2617='設定'!$C$4,COUNTIF('商品マスタ'!$B$6:$B$1005,$W2617)=0),N(U2616)+1,N(U2616))</f>
        <v/>
      </c>
      <c r="V2617" s="19">
        <f>IF($B2617="","",TEXT($B2617,"0000"))</f>
        <v/>
      </c>
      <c r="W2617" s="19">
        <f>IF($I2617="","",IF(ISNUMBER($I2617),TEXT($I2617,"0"),$I2617))</f>
        <v/>
      </c>
    </row>
    <row r="2618">
      <c r="B2618" s="25" t="n"/>
      <c r="I2618" s="25" t="n"/>
      <c r="U2618" s="19">
        <f>IF(AND($V2618='設定'!$C$4,COUNTIF('商品マスタ'!$B$6:$B$1005,$W2618)=0),N(U2617)+1,N(U2617))</f>
        <v/>
      </c>
      <c r="V2618" s="19">
        <f>IF($B2618="","",TEXT($B2618,"0000"))</f>
        <v/>
      </c>
      <c r="W2618" s="19">
        <f>IF($I2618="","",IF(ISNUMBER($I2618),TEXT($I2618,"0"),$I2618))</f>
        <v/>
      </c>
    </row>
    <row r="2619">
      <c r="B2619" s="25" t="n"/>
      <c r="I2619" s="25" t="n"/>
      <c r="U2619" s="19">
        <f>IF(AND($V2619='設定'!$C$4,COUNTIF('商品マスタ'!$B$6:$B$1005,$W2619)=0),N(U2618)+1,N(U2618))</f>
        <v/>
      </c>
      <c r="V2619" s="19">
        <f>IF($B2619="","",TEXT($B2619,"0000"))</f>
        <v/>
      </c>
      <c r="W2619" s="19">
        <f>IF($I2619="","",IF(ISNUMBER($I2619),TEXT($I2619,"0"),$I2619))</f>
        <v/>
      </c>
    </row>
    <row r="2620">
      <c r="B2620" s="25" t="n"/>
      <c r="I2620" s="25" t="n"/>
      <c r="U2620" s="19">
        <f>IF(AND($V2620='設定'!$C$4,COUNTIF('商品マスタ'!$B$6:$B$1005,$W2620)=0),N(U2619)+1,N(U2619))</f>
        <v/>
      </c>
      <c r="V2620" s="19">
        <f>IF($B2620="","",TEXT($B2620,"0000"))</f>
        <v/>
      </c>
      <c r="W2620" s="19">
        <f>IF($I2620="","",IF(ISNUMBER($I2620),TEXT($I2620,"0"),$I2620))</f>
        <v/>
      </c>
    </row>
    <row r="2621">
      <c r="B2621" s="25" t="n"/>
      <c r="I2621" s="25" t="n"/>
      <c r="U2621" s="19">
        <f>IF(AND($V2621='設定'!$C$4,COUNTIF('商品マスタ'!$B$6:$B$1005,$W2621)=0),N(U2620)+1,N(U2620))</f>
        <v/>
      </c>
      <c r="V2621" s="19">
        <f>IF($B2621="","",TEXT($B2621,"0000"))</f>
        <v/>
      </c>
      <c r="W2621" s="19">
        <f>IF($I2621="","",IF(ISNUMBER($I2621),TEXT($I2621,"0"),$I2621))</f>
        <v/>
      </c>
    </row>
    <row r="2622">
      <c r="B2622" s="25" t="n"/>
      <c r="I2622" s="25" t="n"/>
      <c r="U2622" s="19">
        <f>IF(AND($V2622='設定'!$C$4,COUNTIF('商品マスタ'!$B$6:$B$1005,$W2622)=0),N(U2621)+1,N(U2621))</f>
        <v/>
      </c>
      <c r="V2622" s="19">
        <f>IF($B2622="","",TEXT($B2622,"0000"))</f>
        <v/>
      </c>
      <c r="W2622" s="19">
        <f>IF($I2622="","",IF(ISNUMBER($I2622),TEXT($I2622,"0"),$I2622))</f>
        <v/>
      </c>
    </row>
    <row r="2623">
      <c r="B2623" s="25" t="n"/>
      <c r="I2623" s="25" t="n"/>
      <c r="U2623" s="19">
        <f>IF(AND($V2623='設定'!$C$4,COUNTIF('商品マスタ'!$B$6:$B$1005,$W2623)=0),N(U2622)+1,N(U2622))</f>
        <v/>
      </c>
      <c r="V2623" s="19">
        <f>IF($B2623="","",TEXT($B2623,"0000"))</f>
        <v/>
      </c>
      <c r="W2623" s="19">
        <f>IF($I2623="","",IF(ISNUMBER($I2623),TEXT($I2623,"0"),$I2623))</f>
        <v/>
      </c>
    </row>
    <row r="2624">
      <c r="B2624" s="25" t="n"/>
      <c r="I2624" s="25" t="n"/>
      <c r="U2624" s="19">
        <f>IF(AND($V2624='設定'!$C$4,COUNTIF('商品マスタ'!$B$6:$B$1005,$W2624)=0),N(U2623)+1,N(U2623))</f>
        <v/>
      </c>
      <c r="V2624" s="19">
        <f>IF($B2624="","",TEXT($B2624,"0000"))</f>
        <v/>
      </c>
      <c r="W2624" s="19">
        <f>IF($I2624="","",IF(ISNUMBER($I2624),TEXT($I2624,"0"),$I2624))</f>
        <v/>
      </c>
    </row>
    <row r="2625">
      <c r="B2625" s="25" t="n"/>
      <c r="I2625" s="25" t="n"/>
      <c r="U2625" s="19">
        <f>IF(AND($V2625='設定'!$C$4,COUNTIF('商品マスタ'!$B$6:$B$1005,$W2625)=0),N(U2624)+1,N(U2624))</f>
        <v/>
      </c>
      <c r="V2625" s="19">
        <f>IF($B2625="","",TEXT($B2625,"0000"))</f>
        <v/>
      </c>
      <c r="W2625" s="19">
        <f>IF($I2625="","",IF(ISNUMBER($I2625),TEXT($I2625,"0"),$I2625))</f>
        <v/>
      </c>
    </row>
    <row r="2626">
      <c r="B2626" s="25" t="n"/>
      <c r="I2626" s="25" t="n"/>
      <c r="U2626" s="19">
        <f>IF(AND($V2626='設定'!$C$4,COUNTIF('商品マスタ'!$B$6:$B$1005,$W2626)=0),N(U2625)+1,N(U2625))</f>
        <v/>
      </c>
      <c r="V2626" s="19">
        <f>IF($B2626="","",TEXT($B2626,"0000"))</f>
        <v/>
      </c>
      <c r="W2626" s="19">
        <f>IF($I2626="","",IF(ISNUMBER($I2626),TEXT($I2626,"0"),$I2626))</f>
        <v/>
      </c>
    </row>
    <row r="2627">
      <c r="B2627" s="25" t="n"/>
      <c r="I2627" s="25" t="n"/>
      <c r="U2627" s="19">
        <f>IF(AND($V2627='設定'!$C$4,COUNTIF('商品マスタ'!$B$6:$B$1005,$W2627)=0),N(U2626)+1,N(U2626))</f>
        <v/>
      </c>
      <c r="V2627" s="19">
        <f>IF($B2627="","",TEXT($B2627,"0000"))</f>
        <v/>
      </c>
      <c r="W2627" s="19">
        <f>IF($I2627="","",IF(ISNUMBER($I2627),TEXT($I2627,"0"),$I2627))</f>
        <v/>
      </c>
    </row>
    <row r="2628">
      <c r="B2628" s="25" t="n"/>
      <c r="I2628" s="25" t="n"/>
      <c r="U2628" s="19">
        <f>IF(AND($V2628='設定'!$C$4,COUNTIF('商品マスタ'!$B$6:$B$1005,$W2628)=0),N(U2627)+1,N(U2627))</f>
        <v/>
      </c>
      <c r="V2628" s="19">
        <f>IF($B2628="","",TEXT($B2628,"0000"))</f>
        <v/>
      </c>
      <c r="W2628" s="19">
        <f>IF($I2628="","",IF(ISNUMBER($I2628),TEXT($I2628,"0"),$I2628))</f>
        <v/>
      </c>
    </row>
    <row r="2629">
      <c r="B2629" s="25" t="n"/>
      <c r="I2629" s="25" t="n"/>
      <c r="U2629" s="19">
        <f>IF(AND($V2629='設定'!$C$4,COUNTIF('商品マスタ'!$B$6:$B$1005,$W2629)=0),N(U2628)+1,N(U2628))</f>
        <v/>
      </c>
      <c r="V2629" s="19">
        <f>IF($B2629="","",TEXT($B2629,"0000"))</f>
        <v/>
      </c>
      <c r="W2629" s="19">
        <f>IF($I2629="","",IF(ISNUMBER($I2629),TEXT($I2629,"0"),$I2629))</f>
        <v/>
      </c>
    </row>
    <row r="2630">
      <c r="B2630" s="25" t="n"/>
      <c r="I2630" s="25" t="n"/>
      <c r="U2630" s="19">
        <f>IF(AND($V2630='設定'!$C$4,COUNTIF('商品マスタ'!$B$6:$B$1005,$W2630)=0),N(U2629)+1,N(U2629))</f>
        <v/>
      </c>
      <c r="V2630" s="19">
        <f>IF($B2630="","",TEXT($B2630,"0000"))</f>
        <v/>
      </c>
      <c r="W2630" s="19">
        <f>IF($I2630="","",IF(ISNUMBER($I2630),TEXT($I2630,"0"),$I2630))</f>
        <v/>
      </c>
    </row>
    <row r="2631">
      <c r="B2631" s="25" t="n"/>
      <c r="I2631" s="25" t="n"/>
      <c r="U2631" s="19">
        <f>IF(AND($V2631='設定'!$C$4,COUNTIF('商品マスタ'!$B$6:$B$1005,$W2631)=0),N(U2630)+1,N(U2630))</f>
        <v/>
      </c>
      <c r="V2631" s="19">
        <f>IF($B2631="","",TEXT($B2631,"0000"))</f>
        <v/>
      </c>
      <c r="W2631" s="19">
        <f>IF($I2631="","",IF(ISNUMBER($I2631),TEXT($I2631,"0"),$I2631))</f>
        <v/>
      </c>
    </row>
    <row r="2632">
      <c r="B2632" s="25" t="n"/>
      <c r="I2632" s="25" t="n"/>
      <c r="U2632" s="19">
        <f>IF(AND($V2632='設定'!$C$4,COUNTIF('商品マスタ'!$B$6:$B$1005,$W2632)=0),N(U2631)+1,N(U2631))</f>
        <v/>
      </c>
      <c r="V2632" s="19">
        <f>IF($B2632="","",TEXT($B2632,"0000"))</f>
        <v/>
      </c>
      <c r="W2632" s="19">
        <f>IF($I2632="","",IF(ISNUMBER($I2632),TEXT($I2632,"0"),$I2632))</f>
        <v/>
      </c>
    </row>
    <row r="2633">
      <c r="B2633" s="25" t="n"/>
      <c r="I2633" s="25" t="n"/>
      <c r="U2633" s="19">
        <f>IF(AND($V2633='設定'!$C$4,COUNTIF('商品マスタ'!$B$6:$B$1005,$W2633)=0),N(U2632)+1,N(U2632))</f>
        <v/>
      </c>
      <c r="V2633" s="19">
        <f>IF($B2633="","",TEXT($B2633,"0000"))</f>
        <v/>
      </c>
      <c r="W2633" s="19">
        <f>IF($I2633="","",IF(ISNUMBER($I2633),TEXT($I2633,"0"),$I2633))</f>
        <v/>
      </c>
    </row>
    <row r="2634">
      <c r="B2634" s="25" t="n"/>
      <c r="I2634" s="25" t="n"/>
      <c r="U2634" s="19">
        <f>IF(AND($V2634='設定'!$C$4,COUNTIF('商品マスタ'!$B$6:$B$1005,$W2634)=0),N(U2633)+1,N(U2633))</f>
        <v/>
      </c>
      <c r="V2634" s="19">
        <f>IF($B2634="","",TEXT($B2634,"0000"))</f>
        <v/>
      </c>
      <c r="W2634" s="19">
        <f>IF($I2634="","",IF(ISNUMBER($I2634),TEXT($I2634,"0"),$I2634))</f>
        <v/>
      </c>
    </row>
    <row r="2635">
      <c r="B2635" s="25" t="n"/>
      <c r="I2635" s="25" t="n"/>
      <c r="U2635" s="19">
        <f>IF(AND($V2635='設定'!$C$4,COUNTIF('商品マスタ'!$B$6:$B$1005,$W2635)=0),N(U2634)+1,N(U2634))</f>
        <v/>
      </c>
      <c r="V2635" s="19">
        <f>IF($B2635="","",TEXT($B2635,"0000"))</f>
        <v/>
      </c>
      <c r="W2635" s="19">
        <f>IF($I2635="","",IF(ISNUMBER($I2635),TEXT($I2635,"0"),$I2635))</f>
        <v/>
      </c>
    </row>
    <row r="2636">
      <c r="B2636" s="25" t="n"/>
      <c r="I2636" s="25" t="n"/>
      <c r="U2636" s="19">
        <f>IF(AND($V2636='設定'!$C$4,COUNTIF('商品マスタ'!$B$6:$B$1005,$W2636)=0),N(U2635)+1,N(U2635))</f>
        <v/>
      </c>
      <c r="V2636" s="19">
        <f>IF($B2636="","",TEXT($B2636,"0000"))</f>
        <v/>
      </c>
      <c r="W2636" s="19">
        <f>IF($I2636="","",IF(ISNUMBER($I2636),TEXT($I2636,"0"),$I2636))</f>
        <v/>
      </c>
    </row>
    <row r="2637">
      <c r="B2637" s="25" t="n"/>
      <c r="I2637" s="25" t="n"/>
      <c r="U2637" s="19">
        <f>IF(AND($V2637='設定'!$C$4,COUNTIF('商品マスタ'!$B$6:$B$1005,$W2637)=0),N(U2636)+1,N(U2636))</f>
        <v/>
      </c>
      <c r="V2637" s="19">
        <f>IF($B2637="","",TEXT($B2637,"0000"))</f>
        <v/>
      </c>
      <c r="W2637" s="19">
        <f>IF($I2637="","",IF(ISNUMBER($I2637),TEXT($I2637,"0"),$I2637))</f>
        <v/>
      </c>
    </row>
    <row r="2638">
      <c r="B2638" s="25" t="n"/>
      <c r="I2638" s="25" t="n"/>
      <c r="U2638" s="19">
        <f>IF(AND($V2638='設定'!$C$4,COUNTIF('商品マスタ'!$B$6:$B$1005,$W2638)=0),N(U2637)+1,N(U2637))</f>
        <v/>
      </c>
      <c r="V2638" s="19">
        <f>IF($B2638="","",TEXT($B2638,"0000"))</f>
        <v/>
      </c>
      <c r="W2638" s="19">
        <f>IF($I2638="","",IF(ISNUMBER($I2638),TEXT($I2638,"0"),$I2638))</f>
        <v/>
      </c>
    </row>
    <row r="2639">
      <c r="B2639" s="25" t="n"/>
      <c r="I2639" s="25" t="n"/>
      <c r="U2639" s="19">
        <f>IF(AND($V2639='設定'!$C$4,COUNTIF('商品マスタ'!$B$6:$B$1005,$W2639)=0),N(U2638)+1,N(U2638))</f>
        <v/>
      </c>
      <c r="V2639" s="19">
        <f>IF($B2639="","",TEXT($B2639,"0000"))</f>
        <v/>
      </c>
      <c r="W2639" s="19">
        <f>IF($I2639="","",IF(ISNUMBER($I2639),TEXT($I2639,"0"),$I2639))</f>
        <v/>
      </c>
    </row>
    <row r="2640">
      <c r="B2640" s="25" t="n"/>
      <c r="I2640" s="25" t="n"/>
      <c r="U2640" s="19">
        <f>IF(AND($V2640='設定'!$C$4,COUNTIF('商品マスタ'!$B$6:$B$1005,$W2640)=0),N(U2639)+1,N(U2639))</f>
        <v/>
      </c>
      <c r="V2640" s="19">
        <f>IF($B2640="","",TEXT($B2640,"0000"))</f>
        <v/>
      </c>
      <c r="W2640" s="19">
        <f>IF($I2640="","",IF(ISNUMBER($I2640),TEXT($I2640,"0"),$I2640))</f>
        <v/>
      </c>
    </row>
    <row r="2641">
      <c r="B2641" s="25" t="n"/>
      <c r="I2641" s="25" t="n"/>
      <c r="U2641" s="19">
        <f>IF(AND($V2641='設定'!$C$4,COUNTIF('商品マスタ'!$B$6:$B$1005,$W2641)=0),N(U2640)+1,N(U2640))</f>
        <v/>
      </c>
      <c r="V2641" s="19">
        <f>IF($B2641="","",TEXT($B2641,"0000"))</f>
        <v/>
      </c>
      <c r="W2641" s="19">
        <f>IF($I2641="","",IF(ISNUMBER($I2641),TEXT($I2641,"0"),$I2641))</f>
        <v/>
      </c>
    </row>
    <row r="2642">
      <c r="B2642" s="25" t="n"/>
      <c r="I2642" s="25" t="n"/>
      <c r="U2642" s="19">
        <f>IF(AND($V2642='設定'!$C$4,COUNTIF('商品マスタ'!$B$6:$B$1005,$W2642)=0),N(U2641)+1,N(U2641))</f>
        <v/>
      </c>
      <c r="V2642" s="19">
        <f>IF($B2642="","",TEXT($B2642,"0000"))</f>
        <v/>
      </c>
      <c r="W2642" s="19">
        <f>IF($I2642="","",IF(ISNUMBER($I2642),TEXT($I2642,"0"),$I2642))</f>
        <v/>
      </c>
    </row>
    <row r="2643">
      <c r="B2643" s="25" t="n"/>
      <c r="I2643" s="25" t="n"/>
      <c r="U2643" s="19">
        <f>IF(AND($V2643='設定'!$C$4,COUNTIF('商品マスタ'!$B$6:$B$1005,$W2643)=0),N(U2642)+1,N(U2642))</f>
        <v/>
      </c>
      <c r="V2643" s="19">
        <f>IF($B2643="","",TEXT($B2643,"0000"))</f>
        <v/>
      </c>
      <c r="W2643" s="19">
        <f>IF($I2643="","",IF(ISNUMBER($I2643),TEXT($I2643,"0"),$I2643))</f>
        <v/>
      </c>
    </row>
    <row r="2644">
      <c r="B2644" s="25" t="n"/>
      <c r="I2644" s="25" t="n"/>
      <c r="U2644" s="19">
        <f>IF(AND($V2644='設定'!$C$4,COUNTIF('商品マスタ'!$B$6:$B$1005,$W2644)=0),N(U2643)+1,N(U2643))</f>
        <v/>
      </c>
      <c r="V2644" s="19">
        <f>IF($B2644="","",TEXT($B2644,"0000"))</f>
        <v/>
      </c>
      <c r="W2644" s="19">
        <f>IF($I2644="","",IF(ISNUMBER($I2644),TEXT($I2644,"0"),$I2644))</f>
        <v/>
      </c>
    </row>
    <row r="2645">
      <c r="B2645" s="25" t="n"/>
      <c r="I2645" s="25" t="n"/>
      <c r="U2645" s="19">
        <f>IF(AND($V2645='設定'!$C$4,COUNTIF('商品マスタ'!$B$6:$B$1005,$W2645)=0),N(U2644)+1,N(U2644))</f>
        <v/>
      </c>
      <c r="V2645" s="19">
        <f>IF($B2645="","",TEXT($B2645,"0000"))</f>
        <v/>
      </c>
      <c r="W2645" s="19">
        <f>IF($I2645="","",IF(ISNUMBER($I2645),TEXT($I2645,"0"),$I2645))</f>
        <v/>
      </c>
    </row>
    <row r="2646">
      <c r="B2646" s="25" t="n"/>
      <c r="I2646" s="25" t="n"/>
      <c r="U2646" s="19">
        <f>IF(AND($V2646='設定'!$C$4,COUNTIF('商品マスタ'!$B$6:$B$1005,$W2646)=0),N(U2645)+1,N(U2645))</f>
        <v/>
      </c>
      <c r="V2646" s="19">
        <f>IF($B2646="","",TEXT($B2646,"0000"))</f>
        <v/>
      </c>
      <c r="W2646" s="19">
        <f>IF($I2646="","",IF(ISNUMBER($I2646),TEXT($I2646,"0"),$I2646))</f>
        <v/>
      </c>
    </row>
    <row r="2647">
      <c r="B2647" s="25" t="n"/>
      <c r="I2647" s="25" t="n"/>
      <c r="U2647" s="19">
        <f>IF(AND($V2647='設定'!$C$4,COUNTIF('商品マスタ'!$B$6:$B$1005,$W2647)=0),N(U2646)+1,N(U2646))</f>
        <v/>
      </c>
      <c r="V2647" s="19">
        <f>IF($B2647="","",TEXT($B2647,"0000"))</f>
        <v/>
      </c>
      <c r="W2647" s="19">
        <f>IF($I2647="","",IF(ISNUMBER($I2647),TEXT($I2647,"0"),$I2647))</f>
        <v/>
      </c>
    </row>
    <row r="2648">
      <c r="B2648" s="25" t="n"/>
      <c r="I2648" s="25" t="n"/>
      <c r="U2648" s="19">
        <f>IF(AND($V2648='設定'!$C$4,COUNTIF('商品マスタ'!$B$6:$B$1005,$W2648)=0),N(U2647)+1,N(U2647))</f>
        <v/>
      </c>
      <c r="V2648" s="19">
        <f>IF($B2648="","",TEXT($B2648,"0000"))</f>
        <v/>
      </c>
      <c r="W2648" s="19">
        <f>IF($I2648="","",IF(ISNUMBER($I2648),TEXT($I2648,"0"),$I2648))</f>
        <v/>
      </c>
    </row>
    <row r="2649">
      <c r="B2649" s="25" t="n"/>
      <c r="I2649" s="25" t="n"/>
      <c r="U2649" s="19">
        <f>IF(AND($V2649='設定'!$C$4,COUNTIF('商品マスタ'!$B$6:$B$1005,$W2649)=0),N(U2648)+1,N(U2648))</f>
        <v/>
      </c>
      <c r="V2649" s="19">
        <f>IF($B2649="","",TEXT($B2649,"0000"))</f>
        <v/>
      </c>
      <c r="W2649" s="19">
        <f>IF($I2649="","",IF(ISNUMBER($I2649),TEXT($I2649,"0"),$I2649))</f>
        <v/>
      </c>
    </row>
    <row r="2650">
      <c r="B2650" s="25" t="n"/>
      <c r="I2650" s="25" t="n"/>
      <c r="U2650" s="19">
        <f>IF(AND($V2650='設定'!$C$4,COUNTIF('商品マスタ'!$B$6:$B$1005,$W2650)=0),N(U2649)+1,N(U2649))</f>
        <v/>
      </c>
      <c r="V2650" s="19">
        <f>IF($B2650="","",TEXT($B2650,"0000"))</f>
        <v/>
      </c>
      <c r="W2650" s="19">
        <f>IF($I2650="","",IF(ISNUMBER($I2650),TEXT($I2650,"0"),$I2650))</f>
        <v/>
      </c>
    </row>
    <row r="2651">
      <c r="B2651" s="25" t="n"/>
      <c r="I2651" s="25" t="n"/>
      <c r="U2651" s="19">
        <f>IF(AND($V2651='設定'!$C$4,COUNTIF('商品マスタ'!$B$6:$B$1005,$W2651)=0),N(U2650)+1,N(U2650))</f>
        <v/>
      </c>
      <c r="V2651" s="19">
        <f>IF($B2651="","",TEXT($B2651,"0000"))</f>
        <v/>
      </c>
      <c r="W2651" s="19">
        <f>IF($I2651="","",IF(ISNUMBER($I2651),TEXT($I2651,"0"),$I2651))</f>
        <v/>
      </c>
    </row>
    <row r="2652">
      <c r="B2652" s="25" t="n"/>
      <c r="I2652" s="25" t="n"/>
      <c r="U2652" s="19">
        <f>IF(AND($V2652='設定'!$C$4,COUNTIF('商品マスタ'!$B$6:$B$1005,$W2652)=0),N(U2651)+1,N(U2651))</f>
        <v/>
      </c>
      <c r="V2652" s="19">
        <f>IF($B2652="","",TEXT($B2652,"0000"))</f>
        <v/>
      </c>
      <c r="W2652" s="19">
        <f>IF($I2652="","",IF(ISNUMBER($I2652),TEXT($I2652,"0"),$I2652))</f>
        <v/>
      </c>
    </row>
    <row r="2653">
      <c r="B2653" s="25" t="n"/>
      <c r="I2653" s="25" t="n"/>
      <c r="U2653" s="19">
        <f>IF(AND($V2653='設定'!$C$4,COUNTIF('商品マスタ'!$B$6:$B$1005,$W2653)=0),N(U2652)+1,N(U2652))</f>
        <v/>
      </c>
      <c r="V2653" s="19">
        <f>IF($B2653="","",TEXT($B2653,"0000"))</f>
        <v/>
      </c>
      <c r="W2653" s="19">
        <f>IF($I2653="","",IF(ISNUMBER($I2653),TEXT($I2653,"0"),$I2653))</f>
        <v/>
      </c>
    </row>
    <row r="2654">
      <c r="B2654" s="25" t="n"/>
      <c r="I2654" s="25" t="n"/>
      <c r="U2654" s="19">
        <f>IF(AND($V2654='設定'!$C$4,COUNTIF('商品マスタ'!$B$6:$B$1005,$W2654)=0),N(U2653)+1,N(U2653))</f>
        <v/>
      </c>
      <c r="V2654" s="19">
        <f>IF($B2654="","",TEXT($B2654,"0000"))</f>
        <v/>
      </c>
      <c r="W2654" s="19">
        <f>IF($I2654="","",IF(ISNUMBER($I2654),TEXT($I2654,"0"),$I2654))</f>
        <v/>
      </c>
    </row>
    <row r="2655">
      <c r="B2655" s="25" t="n"/>
      <c r="I2655" s="25" t="n"/>
      <c r="U2655" s="19">
        <f>IF(AND($V2655='設定'!$C$4,COUNTIF('商品マスタ'!$B$6:$B$1005,$W2655)=0),N(U2654)+1,N(U2654))</f>
        <v/>
      </c>
      <c r="V2655" s="19">
        <f>IF($B2655="","",TEXT($B2655,"0000"))</f>
        <v/>
      </c>
      <c r="W2655" s="19">
        <f>IF($I2655="","",IF(ISNUMBER($I2655),TEXT($I2655,"0"),$I2655))</f>
        <v/>
      </c>
    </row>
    <row r="2656">
      <c r="B2656" s="25" t="n"/>
      <c r="I2656" s="25" t="n"/>
      <c r="U2656" s="19">
        <f>IF(AND($V2656='設定'!$C$4,COUNTIF('商品マスタ'!$B$6:$B$1005,$W2656)=0),N(U2655)+1,N(U2655))</f>
        <v/>
      </c>
      <c r="V2656" s="19">
        <f>IF($B2656="","",TEXT($B2656,"0000"))</f>
        <v/>
      </c>
      <c r="W2656" s="19">
        <f>IF($I2656="","",IF(ISNUMBER($I2656),TEXT($I2656,"0"),$I2656))</f>
        <v/>
      </c>
    </row>
    <row r="2657">
      <c r="B2657" s="25" t="n"/>
      <c r="I2657" s="25" t="n"/>
      <c r="U2657" s="19">
        <f>IF(AND($V2657='設定'!$C$4,COUNTIF('商品マスタ'!$B$6:$B$1005,$W2657)=0),N(U2656)+1,N(U2656))</f>
        <v/>
      </c>
      <c r="V2657" s="19">
        <f>IF($B2657="","",TEXT($B2657,"0000"))</f>
        <v/>
      </c>
      <c r="W2657" s="19">
        <f>IF($I2657="","",IF(ISNUMBER($I2657),TEXT($I2657,"0"),$I2657))</f>
        <v/>
      </c>
    </row>
    <row r="2658">
      <c r="B2658" s="25" t="n"/>
      <c r="I2658" s="25" t="n"/>
      <c r="U2658" s="19">
        <f>IF(AND($V2658='設定'!$C$4,COUNTIF('商品マスタ'!$B$6:$B$1005,$W2658)=0),N(U2657)+1,N(U2657))</f>
        <v/>
      </c>
      <c r="V2658" s="19">
        <f>IF($B2658="","",TEXT($B2658,"0000"))</f>
        <v/>
      </c>
      <c r="W2658" s="19">
        <f>IF($I2658="","",IF(ISNUMBER($I2658),TEXT($I2658,"0"),$I2658))</f>
        <v/>
      </c>
    </row>
    <row r="2659">
      <c r="B2659" s="25" t="n"/>
      <c r="I2659" s="25" t="n"/>
      <c r="U2659" s="19">
        <f>IF(AND($V2659='設定'!$C$4,COUNTIF('商品マスタ'!$B$6:$B$1005,$W2659)=0),N(U2658)+1,N(U2658))</f>
        <v/>
      </c>
      <c r="V2659" s="19">
        <f>IF($B2659="","",TEXT($B2659,"0000"))</f>
        <v/>
      </c>
      <c r="W2659" s="19">
        <f>IF($I2659="","",IF(ISNUMBER($I2659),TEXT($I2659,"0"),$I2659))</f>
        <v/>
      </c>
    </row>
    <row r="2660">
      <c r="B2660" s="25" t="n"/>
      <c r="I2660" s="25" t="n"/>
      <c r="U2660" s="19">
        <f>IF(AND($V2660='設定'!$C$4,COUNTIF('商品マスタ'!$B$6:$B$1005,$W2660)=0),N(U2659)+1,N(U2659))</f>
        <v/>
      </c>
      <c r="V2660" s="19">
        <f>IF($B2660="","",TEXT($B2660,"0000"))</f>
        <v/>
      </c>
      <c r="W2660" s="19">
        <f>IF($I2660="","",IF(ISNUMBER($I2660),TEXT($I2660,"0"),$I2660))</f>
        <v/>
      </c>
    </row>
    <row r="2661">
      <c r="B2661" s="25" t="n"/>
      <c r="I2661" s="25" t="n"/>
      <c r="U2661" s="19">
        <f>IF(AND($V2661='設定'!$C$4,COUNTIF('商品マスタ'!$B$6:$B$1005,$W2661)=0),N(U2660)+1,N(U2660))</f>
        <v/>
      </c>
      <c r="V2661" s="19">
        <f>IF($B2661="","",TEXT($B2661,"0000"))</f>
        <v/>
      </c>
      <c r="W2661" s="19">
        <f>IF($I2661="","",IF(ISNUMBER($I2661),TEXT($I2661,"0"),$I2661))</f>
        <v/>
      </c>
    </row>
    <row r="2662">
      <c r="B2662" s="25" t="n"/>
      <c r="I2662" s="25" t="n"/>
      <c r="U2662" s="19">
        <f>IF(AND($V2662='設定'!$C$4,COUNTIF('商品マスタ'!$B$6:$B$1005,$W2662)=0),N(U2661)+1,N(U2661))</f>
        <v/>
      </c>
      <c r="V2662" s="19">
        <f>IF($B2662="","",TEXT($B2662,"0000"))</f>
        <v/>
      </c>
      <c r="W2662" s="19">
        <f>IF($I2662="","",IF(ISNUMBER($I2662),TEXT($I2662,"0"),$I2662))</f>
        <v/>
      </c>
    </row>
    <row r="2663">
      <c r="B2663" s="25" t="n"/>
      <c r="I2663" s="25" t="n"/>
      <c r="U2663" s="19">
        <f>IF(AND($V2663='設定'!$C$4,COUNTIF('商品マスタ'!$B$6:$B$1005,$W2663)=0),N(U2662)+1,N(U2662))</f>
        <v/>
      </c>
      <c r="V2663" s="19">
        <f>IF($B2663="","",TEXT($B2663,"0000"))</f>
        <v/>
      </c>
      <c r="W2663" s="19">
        <f>IF($I2663="","",IF(ISNUMBER($I2663),TEXT($I2663,"0"),$I2663))</f>
        <v/>
      </c>
    </row>
    <row r="2664">
      <c r="B2664" s="25" t="n"/>
      <c r="I2664" s="25" t="n"/>
      <c r="U2664" s="19">
        <f>IF(AND($V2664='設定'!$C$4,COUNTIF('商品マスタ'!$B$6:$B$1005,$W2664)=0),N(U2663)+1,N(U2663))</f>
        <v/>
      </c>
      <c r="V2664" s="19">
        <f>IF($B2664="","",TEXT($B2664,"0000"))</f>
        <v/>
      </c>
      <c r="W2664" s="19">
        <f>IF($I2664="","",IF(ISNUMBER($I2664),TEXT($I2664,"0"),$I2664))</f>
        <v/>
      </c>
    </row>
    <row r="2665">
      <c r="B2665" s="25" t="n"/>
      <c r="I2665" s="25" t="n"/>
      <c r="U2665" s="19">
        <f>IF(AND($V2665='設定'!$C$4,COUNTIF('商品マスタ'!$B$6:$B$1005,$W2665)=0),N(U2664)+1,N(U2664))</f>
        <v/>
      </c>
      <c r="V2665" s="19">
        <f>IF($B2665="","",TEXT($B2665,"0000"))</f>
        <v/>
      </c>
      <c r="W2665" s="19">
        <f>IF($I2665="","",IF(ISNUMBER($I2665),TEXT($I2665,"0"),$I2665))</f>
        <v/>
      </c>
    </row>
    <row r="2666">
      <c r="B2666" s="25" t="n"/>
      <c r="I2666" s="25" t="n"/>
      <c r="U2666" s="19">
        <f>IF(AND($V2666='設定'!$C$4,COUNTIF('商品マスタ'!$B$6:$B$1005,$W2666)=0),N(U2665)+1,N(U2665))</f>
        <v/>
      </c>
      <c r="V2666" s="19">
        <f>IF($B2666="","",TEXT($B2666,"0000"))</f>
        <v/>
      </c>
      <c r="W2666" s="19">
        <f>IF($I2666="","",IF(ISNUMBER($I2666),TEXT($I2666,"0"),$I2666))</f>
        <v/>
      </c>
    </row>
    <row r="2667">
      <c r="B2667" s="25" t="n"/>
      <c r="I2667" s="25" t="n"/>
      <c r="U2667" s="19">
        <f>IF(AND($V2667='設定'!$C$4,COUNTIF('商品マスタ'!$B$6:$B$1005,$W2667)=0),N(U2666)+1,N(U2666))</f>
        <v/>
      </c>
      <c r="V2667" s="19">
        <f>IF($B2667="","",TEXT($B2667,"0000"))</f>
        <v/>
      </c>
      <c r="W2667" s="19">
        <f>IF($I2667="","",IF(ISNUMBER($I2667),TEXT($I2667,"0"),$I2667))</f>
        <v/>
      </c>
    </row>
    <row r="2668">
      <c r="B2668" s="25" t="n"/>
      <c r="I2668" s="25" t="n"/>
      <c r="U2668" s="19">
        <f>IF(AND($V2668='設定'!$C$4,COUNTIF('商品マスタ'!$B$6:$B$1005,$W2668)=0),N(U2667)+1,N(U2667))</f>
        <v/>
      </c>
      <c r="V2668" s="19">
        <f>IF($B2668="","",TEXT($B2668,"0000"))</f>
        <v/>
      </c>
      <c r="W2668" s="19">
        <f>IF($I2668="","",IF(ISNUMBER($I2668),TEXT($I2668,"0"),$I2668))</f>
        <v/>
      </c>
    </row>
    <row r="2669">
      <c r="B2669" s="25" t="n"/>
      <c r="I2669" s="25" t="n"/>
      <c r="U2669" s="19">
        <f>IF(AND($V2669='設定'!$C$4,COUNTIF('商品マスタ'!$B$6:$B$1005,$W2669)=0),N(U2668)+1,N(U2668))</f>
        <v/>
      </c>
      <c r="V2669" s="19">
        <f>IF($B2669="","",TEXT($B2669,"0000"))</f>
        <v/>
      </c>
      <c r="W2669" s="19">
        <f>IF($I2669="","",IF(ISNUMBER($I2669),TEXT($I2669,"0"),$I2669))</f>
        <v/>
      </c>
    </row>
    <row r="2670">
      <c r="B2670" s="25" t="n"/>
      <c r="I2670" s="25" t="n"/>
      <c r="U2670" s="19">
        <f>IF(AND($V2670='設定'!$C$4,COUNTIF('商品マスタ'!$B$6:$B$1005,$W2670)=0),N(U2669)+1,N(U2669))</f>
        <v/>
      </c>
      <c r="V2670" s="19">
        <f>IF($B2670="","",TEXT($B2670,"0000"))</f>
        <v/>
      </c>
      <c r="W2670" s="19">
        <f>IF($I2670="","",IF(ISNUMBER($I2670),TEXT($I2670,"0"),$I2670))</f>
        <v/>
      </c>
    </row>
    <row r="2671">
      <c r="B2671" s="25" t="n"/>
      <c r="I2671" s="25" t="n"/>
      <c r="U2671" s="19">
        <f>IF(AND($V2671='設定'!$C$4,COUNTIF('商品マスタ'!$B$6:$B$1005,$W2671)=0),N(U2670)+1,N(U2670))</f>
        <v/>
      </c>
      <c r="V2671" s="19">
        <f>IF($B2671="","",TEXT($B2671,"0000"))</f>
        <v/>
      </c>
      <c r="W2671" s="19">
        <f>IF($I2671="","",IF(ISNUMBER($I2671),TEXT($I2671,"0"),$I2671))</f>
        <v/>
      </c>
    </row>
    <row r="2672">
      <c r="B2672" s="25" t="n"/>
      <c r="I2672" s="25" t="n"/>
      <c r="U2672" s="19">
        <f>IF(AND($V2672='設定'!$C$4,COUNTIF('商品マスタ'!$B$6:$B$1005,$W2672)=0),N(U2671)+1,N(U2671))</f>
        <v/>
      </c>
      <c r="V2672" s="19">
        <f>IF($B2672="","",TEXT($B2672,"0000"))</f>
        <v/>
      </c>
      <c r="W2672" s="19">
        <f>IF($I2672="","",IF(ISNUMBER($I2672),TEXT($I2672,"0"),$I2672))</f>
        <v/>
      </c>
    </row>
    <row r="2673">
      <c r="B2673" s="25" t="n"/>
      <c r="I2673" s="25" t="n"/>
      <c r="U2673" s="19">
        <f>IF(AND($V2673='設定'!$C$4,COUNTIF('商品マスタ'!$B$6:$B$1005,$W2673)=0),N(U2672)+1,N(U2672))</f>
        <v/>
      </c>
      <c r="V2673" s="19">
        <f>IF($B2673="","",TEXT($B2673,"0000"))</f>
        <v/>
      </c>
      <c r="W2673" s="19">
        <f>IF($I2673="","",IF(ISNUMBER($I2673),TEXT($I2673,"0"),$I2673))</f>
        <v/>
      </c>
    </row>
    <row r="2674">
      <c r="B2674" s="25" t="n"/>
      <c r="I2674" s="25" t="n"/>
      <c r="U2674" s="19">
        <f>IF(AND($V2674='設定'!$C$4,COUNTIF('商品マスタ'!$B$6:$B$1005,$W2674)=0),N(U2673)+1,N(U2673))</f>
        <v/>
      </c>
      <c r="V2674" s="19">
        <f>IF($B2674="","",TEXT($B2674,"0000"))</f>
        <v/>
      </c>
      <c r="W2674" s="19">
        <f>IF($I2674="","",IF(ISNUMBER($I2674),TEXT($I2674,"0"),$I2674))</f>
        <v/>
      </c>
    </row>
    <row r="2675">
      <c r="B2675" s="25" t="n"/>
      <c r="I2675" s="25" t="n"/>
      <c r="U2675" s="19">
        <f>IF(AND($V2675='設定'!$C$4,COUNTIF('商品マスタ'!$B$6:$B$1005,$W2675)=0),N(U2674)+1,N(U2674))</f>
        <v/>
      </c>
      <c r="V2675" s="19">
        <f>IF($B2675="","",TEXT($B2675,"0000"))</f>
        <v/>
      </c>
      <c r="W2675" s="19">
        <f>IF($I2675="","",IF(ISNUMBER($I2675),TEXT($I2675,"0"),$I2675))</f>
        <v/>
      </c>
    </row>
    <row r="2676">
      <c r="B2676" s="25" t="n"/>
      <c r="I2676" s="25" t="n"/>
      <c r="U2676" s="19">
        <f>IF(AND($V2676='設定'!$C$4,COUNTIF('商品マスタ'!$B$6:$B$1005,$W2676)=0),N(U2675)+1,N(U2675))</f>
        <v/>
      </c>
      <c r="V2676" s="19">
        <f>IF($B2676="","",TEXT($B2676,"0000"))</f>
        <v/>
      </c>
      <c r="W2676" s="19">
        <f>IF($I2676="","",IF(ISNUMBER($I2676),TEXT($I2676,"0"),$I2676))</f>
        <v/>
      </c>
    </row>
    <row r="2677">
      <c r="B2677" s="25" t="n"/>
      <c r="I2677" s="25" t="n"/>
      <c r="U2677" s="19">
        <f>IF(AND($V2677='設定'!$C$4,COUNTIF('商品マスタ'!$B$6:$B$1005,$W2677)=0),N(U2676)+1,N(U2676))</f>
        <v/>
      </c>
      <c r="V2677" s="19">
        <f>IF($B2677="","",TEXT($B2677,"0000"))</f>
        <v/>
      </c>
      <c r="W2677" s="19">
        <f>IF($I2677="","",IF(ISNUMBER($I2677),TEXT($I2677,"0"),$I2677))</f>
        <v/>
      </c>
    </row>
    <row r="2678">
      <c r="B2678" s="25" t="n"/>
      <c r="I2678" s="25" t="n"/>
      <c r="U2678" s="19">
        <f>IF(AND($V2678='設定'!$C$4,COUNTIF('商品マスタ'!$B$6:$B$1005,$W2678)=0),N(U2677)+1,N(U2677))</f>
        <v/>
      </c>
      <c r="V2678" s="19">
        <f>IF($B2678="","",TEXT($B2678,"0000"))</f>
        <v/>
      </c>
      <c r="W2678" s="19">
        <f>IF($I2678="","",IF(ISNUMBER($I2678),TEXT($I2678,"0"),$I2678))</f>
        <v/>
      </c>
    </row>
    <row r="2679">
      <c r="B2679" s="25" t="n"/>
      <c r="I2679" s="25" t="n"/>
      <c r="U2679" s="19">
        <f>IF(AND($V2679='設定'!$C$4,COUNTIF('商品マスタ'!$B$6:$B$1005,$W2679)=0),N(U2678)+1,N(U2678))</f>
        <v/>
      </c>
      <c r="V2679" s="19">
        <f>IF($B2679="","",TEXT($B2679,"0000"))</f>
        <v/>
      </c>
      <c r="W2679" s="19">
        <f>IF($I2679="","",IF(ISNUMBER($I2679),TEXT($I2679,"0"),$I2679))</f>
        <v/>
      </c>
    </row>
    <row r="2680">
      <c r="B2680" s="25" t="n"/>
      <c r="I2680" s="25" t="n"/>
      <c r="U2680" s="19">
        <f>IF(AND($V2680='設定'!$C$4,COUNTIF('商品マスタ'!$B$6:$B$1005,$W2680)=0),N(U2679)+1,N(U2679))</f>
        <v/>
      </c>
      <c r="V2680" s="19">
        <f>IF($B2680="","",TEXT($B2680,"0000"))</f>
        <v/>
      </c>
      <c r="W2680" s="19">
        <f>IF($I2680="","",IF(ISNUMBER($I2680),TEXT($I2680,"0"),$I2680))</f>
        <v/>
      </c>
    </row>
    <row r="2681">
      <c r="B2681" s="25" t="n"/>
      <c r="I2681" s="25" t="n"/>
      <c r="U2681" s="19">
        <f>IF(AND($V2681='設定'!$C$4,COUNTIF('商品マスタ'!$B$6:$B$1005,$W2681)=0),N(U2680)+1,N(U2680))</f>
        <v/>
      </c>
      <c r="V2681" s="19">
        <f>IF($B2681="","",TEXT($B2681,"0000"))</f>
        <v/>
      </c>
      <c r="W2681" s="19">
        <f>IF($I2681="","",IF(ISNUMBER($I2681),TEXT($I2681,"0"),$I2681))</f>
        <v/>
      </c>
    </row>
    <row r="2682">
      <c r="B2682" s="25" t="n"/>
      <c r="I2682" s="25" t="n"/>
      <c r="U2682" s="19">
        <f>IF(AND($V2682='設定'!$C$4,COUNTIF('商品マスタ'!$B$6:$B$1005,$W2682)=0),N(U2681)+1,N(U2681))</f>
        <v/>
      </c>
      <c r="V2682" s="19">
        <f>IF($B2682="","",TEXT($B2682,"0000"))</f>
        <v/>
      </c>
      <c r="W2682" s="19">
        <f>IF($I2682="","",IF(ISNUMBER($I2682),TEXT($I2682,"0"),$I2682))</f>
        <v/>
      </c>
    </row>
    <row r="2683">
      <c r="B2683" s="25" t="n"/>
      <c r="I2683" s="25" t="n"/>
      <c r="U2683" s="19">
        <f>IF(AND($V2683='設定'!$C$4,COUNTIF('商品マスタ'!$B$6:$B$1005,$W2683)=0),N(U2682)+1,N(U2682))</f>
        <v/>
      </c>
      <c r="V2683" s="19">
        <f>IF($B2683="","",TEXT($B2683,"0000"))</f>
        <v/>
      </c>
      <c r="W2683" s="19">
        <f>IF($I2683="","",IF(ISNUMBER($I2683),TEXT($I2683,"0"),$I2683))</f>
        <v/>
      </c>
    </row>
    <row r="2684">
      <c r="B2684" s="25" t="n"/>
      <c r="I2684" s="25" t="n"/>
      <c r="U2684" s="19">
        <f>IF(AND($V2684='設定'!$C$4,COUNTIF('商品マスタ'!$B$6:$B$1005,$W2684)=0),N(U2683)+1,N(U2683))</f>
        <v/>
      </c>
      <c r="V2684" s="19">
        <f>IF($B2684="","",TEXT($B2684,"0000"))</f>
        <v/>
      </c>
      <c r="W2684" s="19">
        <f>IF($I2684="","",IF(ISNUMBER($I2684),TEXT($I2684,"0"),$I2684))</f>
        <v/>
      </c>
    </row>
    <row r="2685">
      <c r="B2685" s="25" t="n"/>
      <c r="I2685" s="25" t="n"/>
      <c r="U2685" s="19">
        <f>IF(AND($V2685='設定'!$C$4,COUNTIF('商品マスタ'!$B$6:$B$1005,$W2685)=0),N(U2684)+1,N(U2684))</f>
        <v/>
      </c>
      <c r="V2685" s="19">
        <f>IF($B2685="","",TEXT($B2685,"0000"))</f>
        <v/>
      </c>
      <c r="W2685" s="19">
        <f>IF($I2685="","",IF(ISNUMBER($I2685),TEXT($I2685,"0"),$I2685))</f>
        <v/>
      </c>
    </row>
    <row r="2686">
      <c r="B2686" s="25" t="n"/>
      <c r="I2686" s="25" t="n"/>
      <c r="U2686" s="19">
        <f>IF(AND($V2686='設定'!$C$4,COUNTIF('商品マスタ'!$B$6:$B$1005,$W2686)=0),N(U2685)+1,N(U2685))</f>
        <v/>
      </c>
      <c r="V2686" s="19">
        <f>IF($B2686="","",TEXT($B2686,"0000"))</f>
        <v/>
      </c>
      <c r="W2686" s="19">
        <f>IF($I2686="","",IF(ISNUMBER($I2686),TEXT($I2686,"0"),$I2686))</f>
        <v/>
      </c>
    </row>
    <row r="2687">
      <c r="B2687" s="25" t="n"/>
      <c r="I2687" s="25" t="n"/>
      <c r="U2687" s="19">
        <f>IF(AND($V2687='設定'!$C$4,COUNTIF('商品マスタ'!$B$6:$B$1005,$W2687)=0),N(U2686)+1,N(U2686))</f>
        <v/>
      </c>
      <c r="V2687" s="19">
        <f>IF($B2687="","",TEXT($B2687,"0000"))</f>
        <v/>
      </c>
      <c r="W2687" s="19">
        <f>IF($I2687="","",IF(ISNUMBER($I2687),TEXT($I2687,"0"),$I2687))</f>
        <v/>
      </c>
    </row>
    <row r="2688">
      <c r="B2688" s="25" t="n"/>
      <c r="I2688" s="25" t="n"/>
      <c r="U2688" s="19">
        <f>IF(AND($V2688='設定'!$C$4,COUNTIF('商品マスタ'!$B$6:$B$1005,$W2688)=0),N(U2687)+1,N(U2687))</f>
        <v/>
      </c>
      <c r="V2688" s="19">
        <f>IF($B2688="","",TEXT($B2688,"0000"))</f>
        <v/>
      </c>
      <c r="W2688" s="19">
        <f>IF($I2688="","",IF(ISNUMBER($I2688),TEXT($I2688,"0"),$I2688))</f>
        <v/>
      </c>
    </row>
    <row r="2689">
      <c r="B2689" s="25" t="n"/>
      <c r="I2689" s="25" t="n"/>
      <c r="U2689" s="19">
        <f>IF(AND($V2689='設定'!$C$4,COUNTIF('商品マスタ'!$B$6:$B$1005,$W2689)=0),N(U2688)+1,N(U2688))</f>
        <v/>
      </c>
      <c r="V2689" s="19">
        <f>IF($B2689="","",TEXT($B2689,"0000"))</f>
        <v/>
      </c>
      <c r="W2689" s="19">
        <f>IF($I2689="","",IF(ISNUMBER($I2689),TEXT($I2689,"0"),$I2689))</f>
        <v/>
      </c>
    </row>
    <row r="2690">
      <c r="B2690" s="25" t="n"/>
      <c r="I2690" s="25" t="n"/>
      <c r="U2690" s="19">
        <f>IF(AND($V2690='設定'!$C$4,COUNTIF('商品マスタ'!$B$6:$B$1005,$W2690)=0),N(U2689)+1,N(U2689))</f>
        <v/>
      </c>
      <c r="V2690" s="19">
        <f>IF($B2690="","",TEXT($B2690,"0000"))</f>
        <v/>
      </c>
      <c r="W2690" s="19">
        <f>IF($I2690="","",IF(ISNUMBER($I2690),TEXT($I2690,"0"),$I2690))</f>
        <v/>
      </c>
    </row>
    <row r="2691">
      <c r="B2691" s="25" t="n"/>
      <c r="I2691" s="25" t="n"/>
      <c r="U2691" s="19">
        <f>IF(AND($V2691='設定'!$C$4,COUNTIF('商品マスタ'!$B$6:$B$1005,$W2691)=0),N(U2690)+1,N(U2690))</f>
        <v/>
      </c>
      <c r="V2691" s="19">
        <f>IF($B2691="","",TEXT($B2691,"0000"))</f>
        <v/>
      </c>
      <c r="W2691" s="19">
        <f>IF($I2691="","",IF(ISNUMBER($I2691),TEXT($I2691,"0"),$I2691))</f>
        <v/>
      </c>
    </row>
    <row r="2692">
      <c r="B2692" s="25" t="n"/>
      <c r="I2692" s="25" t="n"/>
      <c r="U2692" s="19">
        <f>IF(AND($V2692='設定'!$C$4,COUNTIF('商品マスタ'!$B$6:$B$1005,$W2692)=0),N(U2691)+1,N(U2691))</f>
        <v/>
      </c>
      <c r="V2692" s="19">
        <f>IF($B2692="","",TEXT($B2692,"0000"))</f>
        <v/>
      </c>
      <c r="W2692" s="19">
        <f>IF($I2692="","",IF(ISNUMBER($I2692),TEXT($I2692,"0"),$I2692))</f>
        <v/>
      </c>
    </row>
    <row r="2693">
      <c r="B2693" s="25" t="n"/>
      <c r="I2693" s="25" t="n"/>
      <c r="U2693" s="19">
        <f>IF(AND($V2693='設定'!$C$4,COUNTIF('商品マスタ'!$B$6:$B$1005,$W2693)=0),N(U2692)+1,N(U2692))</f>
        <v/>
      </c>
      <c r="V2693" s="19">
        <f>IF($B2693="","",TEXT($B2693,"0000"))</f>
        <v/>
      </c>
      <c r="W2693" s="19">
        <f>IF($I2693="","",IF(ISNUMBER($I2693),TEXT($I2693,"0"),$I2693))</f>
        <v/>
      </c>
    </row>
    <row r="2694">
      <c r="B2694" s="25" t="n"/>
      <c r="I2694" s="25" t="n"/>
      <c r="U2694" s="19">
        <f>IF(AND($V2694='設定'!$C$4,COUNTIF('商品マスタ'!$B$6:$B$1005,$W2694)=0),N(U2693)+1,N(U2693))</f>
        <v/>
      </c>
      <c r="V2694" s="19">
        <f>IF($B2694="","",TEXT($B2694,"0000"))</f>
        <v/>
      </c>
      <c r="W2694" s="19">
        <f>IF($I2694="","",IF(ISNUMBER($I2694),TEXT($I2694,"0"),$I2694))</f>
        <v/>
      </c>
    </row>
    <row r="2695">
      <c r="B2695" s="25" t="n"/>
      <c r="I2695" s="25" t="n"/>
      <c r="U2695" s="19">
        <f>IF(AND($V2695='設定'!$C$4,COUNTIF('商品マスタ'!$B$6:$B$1005,$W2695)=0),N(U2694)+1,N(U2694))</f>
        <v/>
      </c>
      <c r="V2695" s="19">
        <f>IF($B2695="","",TEXT($B2695,"0000"))</f>
        <v/>
      </c>
      <c r="W2695" s="19">
        <f>IF($I2695="","",IF(ISNUMBER($I2695),TEXT($I2695,"0"),$I2695))</f>
        <v/>
      </c>
    </row>
    <row r="2696">
      <c r="B2696" s="25" t="n"/>
      <c r="I2696" s="25" t="n"/>
      <c r="U2696" s="19">
        <f>IF(AND($V2696='設定'!$C$4,COUNTIF('商品マスタ'!$B$6:$B$1005,$W2696)=0),N(U2695)+1,N(U2695))</f>
        <v/>
      </c>
      <c r="V2696" s="19">
        <f>IF($B2696="","",TEXT($B2696,"0000"))</f>
        <v/>
      </c>
      <c r="W2696" s="19">
        <f>IF($I2696="","",IF(ISNUMBER($I2696),TEXT($I2696,"0"),$I2696))</f>
        <v/>
      </c>
    </row>
    <row r="2697">
      <c r="B2697" s="25" t="n"/>
      <c r="I2697" s="25" t="n"/>
      <c r="U2697" s="19">
        <f>IF(AND($V2697='設定'!$C$4,COUNTIF('商品マスタ'!$B$6:$B$1005,$W2697)=0),N(U2696)+1,N(U2696))</f>
        <v/>
      </c>
      <c r="V2697" s="19">
        <f>IF($B2697="","",TEXT($B2697,"0000"))</f>
        <v/>
      </c>
      <c r="W2697" s="19">
        <f>IF($I2697="","",IF(ISNUMBER($I2697),TEXT($I2697,"0"),$I2697))</f>
        <v/>
      </c>
    </row>
    <row r="2698">
      <c r="B2698" s="25" t="n"/>
      <c r="I2698" s="25" t="n"/>
      <c r="U2698" s="19">
        <f>IF(AND($V2698='設定'!$C$4,COUNTIF('商品マスタ'!$B$6:$B$1005,$W2698)=0),N(U2697)+1,N(U2697))</f>
        <v/>
      </c>
      <c r="V2698" s="19">
        <f>IF($B2698="","",TEXT($B2698,"0000"))</f>
        <v/>
      </c>
      <c r="W2698" s="19">
        <f>IF($I2698="","",IF(ISNUMBER($I2698),TEXT($I2698,"0"),$I2698))</f>
        <v/>
      </c>
    </row>
    <row r="2699">
      <c r="B2699" s="25" t="n"/>
      <c r="I2699" s="25" t="n"/>
      <c r="U2699" s="19">
        <f>IF(AND($V2699='設定'!$C$4,COUNTIF('商品マスタ'!$B$6:$B$1005,$W2699)=0),N(U2698)+1,N(U2698))</f>
        <v/>
      </c>
      <c r="V2699" s="19">
        <f>IF($B2699="","",TEXT($B2699,"0000"))</f>
        <v/>
      </c>
      <c r="W2699" s="19">
        <f>IF($I2699="","",IF(ISNUMBER($I2699),TEXT($I2699,"0"),$I2699))</f>
        <v/>
      </c>
    </row>
    <row r="2700">
      <c r="B2700" s="25" t="n"/>
      <c r="I2700" s="25" t="n"/>
      <c r="U2700" s="19">
        <f>IF(AND($V2700='設定'!$C$4,COUNTIF('商品マスタ'!$B$6:$B$1005,$W2700)=0),N(U2699)+1,N(U2699))</f>
        <v/>
      </c>
      <c r="V2700" s="19">
        <f>IF($B2700="","",TEXT($B2700,"0000"))</f>
        <v/>
      </c>
      <c r="W2700" s="19">
        <f>IF($I2700="","",IF(ISNUMBER($I2700),TEXT($I2700,"0"),$I2700))</f>
        <v/>
      </c>
    </row>
    <row r="2701">
      <c r="B2701" s="25" t="n"/>
      <c r="I2701" s="25" t="n"/>
      <c r="U2701" s="19">
        <f>IF(AND($V2701='設定'!$C$4,COUNTIF('商品マスタ'!$B$6:$B$1005,$W2701)=0),N(U2700)+1,N(U2700))</f>
        <v/>
      </c>
      <c r="V2701" s="19">
        <f>IF($B2701="","",TEXT($B2701,"0000"))</f>
        <v/>
      </c>
      <c r="W2701" s="19">
        <f>IF($I2701="","",IF(ISNUMBER($I2701),TEXT($I2701,"0"),$I2701))</f>
        <v/>
      </c>
    </row>
    <row r="2702">
      <c r="B2702" s="25" t="n"/>
      <c r="I2702" s="25" t="n"/>
      <c r="U2702" s="19">
        <f>IF(AND($V2702='設定'!$C$4,COUNTIF('商品マスタ'!$B$6:$B$1005,$W2702)=0),N(U2701)+1,N(U2701))</f>
        <v/>
      </c>
      <c r="V2702" s="19">
        <f>IF($B2702="","",TEXT($B2702,"0000"))</f>
        <v/>
      </c>
      <c r="W2702" s="19">
        <f>IF($I2702="","",IF(ISNUMBER($I2702),TEXT($I2702,"0"),$I2702))</f>
        <v/>
      </c>
    </row>
    <row r="2703">
      <c r="B2703" s="25" t="n"/>
      <c r="I2703" s="25" t="n"/>
      <c r="U2703" s="19">
        <f>IF(AND($V2703='設定'!$C$4,COUNTIF('商品マスタ'!$B$6:$B$1005,$W2703)=0),N(U2702)+1,N(U2702))</f>
        <v/>
      </c>
      <c r="V2703" s="19">
        <f>IF($B2703="","",TEXT($B2703,"0000"))</f>
        <v/>
      </c>
      <c r="W2703" s="19">
        <f>IF($I2703="","",IF(ISNUMBER($I2703),TEXT($I2703,"0"),$I2703))</f>
        <v/>
      </c>
    </row>
    <row r="2704">
      <c r="B2704" s="25" t="n"/>
      <c r="I2704" s="25" t="n"/>
      <c r="U2704" s="19">
        <f>IF(AND($V2704='設定'!$C$4,COUNTIF('商品マスタ'!$B$6:$B$1005,$W2704)=0),N(U2703)+1,N(U2703))</f>
        <v/>
      </c>
      <c r="V2704" s="19">
        <f>IF($B2704="","",TEXT($B2704,"0000"))</f>
        <v/>
      </c>
      <c r="W2704" s="19">
        <f>IF($I2704="","",IF(ISNUMBER($I2704),TEXT($I2704,"0"),$I2704))</f>
        <v/>
      </c>
    </row>
    <row r="2705">
      <c r="B2705" s="25" t="n"/>
      <c r="I2705" s="25" t="n"/>
      <c r="U2705" s="19">
        <f>IF(AND($V2705='設定'!$C$4,COUNTIF('商品マスタ'!$B$6:$B$1005,$W2705)=0),N(U2704)+1,N(U2704))</f>
        <v/>
      </c>
      <c r="V2705" s="19">
        <f>IF($B2705="","",TEXT($B2705,"0000"))</f>
        <v/>
      </c>
      <c r="W2705" s="19">
        <f>IF($I2705="","",IF(ISNUMBER($I2705),TEXT($I2705,"0"),$I2705))</f>
        <v/>
      </c>
    </row>
    <row r="2706">
      <c r="B2706" s="25" t="n"/>
      <c r="I2706" s="25" t="n"/>
      <c r="U2706" s="19">
        <f>IF(AND($V2706='設定'!$C$4,COUNTIF('商品マスタ'!$B$6:$B$1005,$W2706)=0),N(U2705)+1,N(U2705))</f>
        <v/>
      </c>
      <c r="V2706" s="19">
        <f>IF($B2706="","",TEXT($B2706,"0000"))</f>
        <v/>
      </c>
      <c r="W2706" s="19">
        <f>IF($I2706="","",IF(ISNUMBER($I2706),TEXT($I2706,"0"),$I2706))</f>
        <v/>
      </c>
    </row>
    <row r="2707">
      <c r="B2707" s="25" t="n"/>
      <c r="I2707" s="25" t="n"/>
      <c r="U2707" s="19">
        <f>IF(AND($V2707='設定'!$C$4,COUNTIF('商品マスタ'!$B$6:$B$1005,$W2707)=0),N(U2706)+1,N(U2706))</f>
        <v/>
      </c>
      <c r="V2707" s="19">
        <f>IF($B2707="","",TEXT($B2707,"0000"))</f>
        <v/>
      </c>
      <c r="W2707" s="19">
        <f>IF($I2707="","",IF(ISNUMBER($I2707),TEXT($I2707,"0"),$I2707))</f>
        <v/>
      </c>
    </row>
    <row r="2708">
      <c r="B2708" s="25" t="n"/>
      <c r="I2708" s="25" t="n"/>
      <c r="U2708" s="19">
        <f>IF(AND($V2708='設定'!$C$4,COUNTIF('商品マスタ'!$B$6:$B$1005,$W2708)=0),N(U2707)+1,N(U2707))</f>
        <v/>
      </c>
      <c r="V2708" s="19">
        <f>IF($B2708="","",TEXT($B2708,"0000"))</f>
        <v/>
      </c>
      <c r="W2708" s="19">
        <f>IF($I2708="","",IF(ISNUMBER($I2708),TEXT($I2708,"0"),$I2708))</f>
        <v/>
      </c>
    </row>
    <row r="2709">
      <c r="B2709" s="25" t="n"/>
      <c r="I2709" s="25" t="n"/>
      <c r="U2709" s="19">
        <f>IF(AND($V2709='設定'!$C$4,COUNTIF('商品マスタ'!$B$6:$B$1005,$W2709)=0),N(U2708)+1,N(U2708))</f>
        <v/>
      </c>
      <c r="V2709" s="19">
        <f>IF($B2709="","",TEXT($B2709,"0000"))</f>
        <v/>
      </c>
      <c r="W2709" s="19">
        <f>IF($I2709="","",IF(ISNUMBER($I2709),TEXT($I2709,"0"),$I2709))</f>
        <v/>
      </c>
    </row>
    <row r="2710">
      <c r="B2710" s="25" t="n"/>
      <c r="I2710" s="25" t="n"/>
      <c r="U2710" s="19">
        <f>IF(AND($V2710='設定'!$C$4,COUNTIF('商品マスタ'!$B$6:$B$1005,$W2710)=0),N(U2709)+1,N(U2709))</f>
        <v/>
      </c>
      <c r="V2710" s="19">
        <f>IF($B2710="","",TEXT($B2710,"0000"))</f>
        <v/>
      </c>
      <c r="W2710" s="19">
        <f>IF($I2710="","",IF(ISNUMBER($I2710),TEXT($I2710,"0"),$I2710))</f>
        <v/>
      </c>
    </row>
    <row r="2711">
      <c r="B2711" s="25" t="n"/>
      <c r="I2711" s="25" t="n"/>
      <c r="U2711" s="19">
        <f>IF(AND($V2711='設定'!$C$4,COUNTIF('商品マスタ'!$B$6:$B$1005,$W2711)=0),N(U2710)+1,N(U2710))</f>
        <v/>
      </c>
      <c r="V2711" s="19">
        <f>IF($B2711="","",TEXT($B2711,"0000"))</f>
        <v/>
      </c>
      <c r="W2711" s="19">
        <f>IF($I2711="","",IF(ISNUMBER($I2711),TEXT($I2711,"0"),$I2711))</f>
        <v/>
      </c>
    </row>
    <row r="2712">
      <c r="B2712" s="25" t="n"/>
      <c r="I2712" s="25" t="n"/>
      <c r="U2712" s="19">
        <f>IF(AND($V2712='設定'!$C$4,COUNTIF('商品マスタ'!$B$6:$B$1005,$W2712)=0),N(U2711)+1,N(U2711))</f>
        <v/>
      </c>
      <c r="V2712" s="19">
        <f>IF($B2712="","",TEXT($B2712,"0000"))</f>
        <v/>
      </c>
      <c r="W2712" s="19">
        <f>IF($I2712="","",IF(ISNUMBER($I2712),TEXT($I2712,"0"),$I2712))</f>
        <v/>
      </c>
    </row>
    <row r="2713">
      <c r="B2713" s="25" t="n"/>
      <c r="I2713" s="25" t="n"/>
      <c r="U2713" s="19">
        <f>IF(AND($V2713='設定'!$C$4,COUNTIF('商品マスタ'!$B$6:$B$1005,$W2713)=0),N(U2712)+1,N(U2712))</f>
        <v/>
      </c>
      <c r="V2713" s="19">
        <f>IF($B2713="","",TEXT($B2713,"0000"))</f>
        <v/>
      </c>
      <c r="W2713" s="19">
        <f>IF($I2713="","",IF(ISNUMBER($I2713),TEXT($I2713,"0"),$I2713))</f>
        <v/>
      </c>
    </row>
    <row r="2714">
      <c r="B2714" s="25" t="n"/>
      <c r="I2714" s="25" t="n"/>
      <c r="U2714" s="19">
        <f>IF(AND($V2714='設定'!$C$4,COUNTIF('商品マスタ'!$B$6:$B$1005,$W2714)=0),N(U2713)+1,N(U2713))</f>
        <v/>
      </c>
      <c r="V2714" s="19">
        <f>IF($B2714="","",TEXT($B2714,"0000"))</f>
        <v/>
      </c>
      <c r="W2714" s="19">
        <f>IF($I2714="","",IF(ISNUMBER($I2714),TEXT($I2714,"0"),$I2714))</f>
        <v/>
      </c>
    </row>
    <row r="2715">
      <c r="B2715" s="25" t="n"/>
      <c r="I2715" s="25" t="n"/>
      <c r="U2715" s="19">
        <f>IF(AND($V2715='設定'!$C$4,COUNTIF('商品マスタ'!$B$6:$B$1005,$W2715)=0),N(U2714)+1,N(U2714))</f>
        <v/>
      </c>
      <c r="V2715" s="19">
        <f>IF($B2715="","",TEXT($B2715,"0000"))</f>
        <v/>
      </c>
      <c r="W2715" s="19">
        <f>IF($I2715="","",IF(ISNUMBER($I2715),TEXT($I2715,"0"),$I2715))</f>
        <v/>
      </c>
    </row>
    <row r="2716">
      <c r="B2716" s="25" t="n"/>
      <c r="I2716" s="25" t="n"/>
      <c r="U2716" s="19">
        <f>IF(AND($V2716='設定'!$C$4,COUNTIF('商品マスタ'!$B$6:$B$1005,$W2716)=0),N(U2715)+1,N(U2715))</f>
        <v/>
      </c>
      <c r="V2716" s="19">
        <f>IF($B2716="","",TEXT($B2716,"0000"))</f>
        <v/>
      </c>
      <c r="W2716" s="19">
        <f>IF($I2716="","",IF(ISNUMBER($I2716),TEXT($I2716,"0"),$I2716))</f>
        <v/>
      </c>
    </row>
    <row r="2717">
      <c r="B2717" s="25" t="n"/>
      <c r="I2717" s="25" t="n"/>
      <c r="U2717" s="19">
        <f>IF(AND($V2717='設定'!$C$4,COUNTIF('商品マスタ'!$B$6:$B$1005,$W2717)=0),N(U2716)+1,N(U2716))</f>
        <v/>
      </c>
      <c r="V2717" s="19">
        <f>IF($B2717="","",TEXT($B2717,"0000"))</f>
        <v/>
      </c>
      <c r="W2717" s="19">
        <f>IF($I2717="","",IF(ISNUMBER($I2717),TEXT($I2717,"0"),$I2717))</f>
        <v/>
      </c>
    </row>
    <row r="2718">
      <c r="B2718" s="25" t="n"/>
      <c r="I2718" s="25" t="n"/>
      <c r="U2718" s="19">
        <f>IF(AND($V2718='設定'!$C$4,COUNTIF('商品マスタ'!$B$6:$B$1005,$W2718)=0),N(U2717)+1,N(U2717))</f>
        <v/>
      </c>
      <c r="V2718" s="19">
        <f>IF($B2718="","",TEXT($B2718,"0000"))</f>
        <v/>
      </c>
      <c r="W2718" s="19">
        <f>IF($I2718="","",IF(ISNUMBER($I2718),TEXT($I2718,"0"),$I2718))</f>
        <v/>
      </c>
    </row>
    <row r="2719">
      <c r="B2719" s="25" t="n"/>
      <c r="I2719" s="25" t="n"/>
      <c r="U2719" s="19">
        <f>IF(AND($V2719='設定'!$C$4,COUNTIF('商品マスタ'!$B$6:$B$1005,$W2719)=0),N(U2718)+1,N(U2718))</f>
        <v/>
      </c>
      <c r="V2719" s="19">
        <f>IF($B2719="","",TEXT($B2719,"0000"))</f>
        <v/>
      </c>
      <c r="W2719" s="19">
        <f>IF($I2719="","",IF(ISNUMBER($I2719),TEXT($I2719,"0"),$I2719))</f>
        <v/>
      </c>
    </row>
    <row r="2720">
      <c r="B2720" s="25" t="n"/>
      <c r="I2720" s="25" t="n"/>
      <c r="U2720" s="19">
        <f>IF(AND($V2720='設定'!$C$4,COUNTIF('商品マスタ'!$B$6:$B$1005,$W2720)=0),N(U2719)+1,N(U2719))</f>
        <v/>
      </c>
      <c r="V2720" s="19">
        <f>IF($B2720="","",TEXT($B2720,"0000"))</f>
        <v/>
      </c>
      <c r="W2720" s="19">
        <f>IF($I2720="","",IF(ISNUMBER($I2720),TEXT($I2720,"0"),$I2720))</f>
        <v/>
      </c>
    </row>
    <row r="2721">
      <c r="B2721" s="25" t="n"/>
      <c r="I2721" s="25" t="n"/>
      <c r="U2721" s="19">
        <f>IF(AND($V2721='設定'!$C$4,COUNTIF('商品マスタ'!$B$6:$B$1005,$W2721)=0),N(U2720)+1,N(U2720))</f>
        <v/>
      </c>
      <c r="V2721" s="19">
        <f>IF($B2721="","",TEXT($B2721,"0000"))</f>
        <v/>
      </c>
      <c r="W2721" s="19">
        <f>IF($I2721="","",IF(ISNUMBER($I2721),TEXT($I2721,"0"),$I2721))</f>
        <v/>
      </c>
    </row>
    <row r="2722">
      <c r="B2722" s="25" t="n"/>
      <c r="I2722" s="25" t="n"/>
      <c r="U2722" s="19">
        <f>IF(AND($V2722='設定'!$C$4,COUNTIF('商品マスタ'!$B$6:$B$1005,$W2722)=0),N(U2721)+1,N(U2721))</f>
        <v/>
      </c>
      <c r="V2722" s="19">
        <f>IF($B2722="","",TEXT($B2722,"0000"))</f>
        <v/>
      </c>
      <c r="W2722" s="19">
        <f>IF($I2722="","",IF(ISNUMBER($I2722),TEXT($I2722,"0"),$I2722))</f>
        <v/>
      </c>
    </row>
    <row r="2723">
      <c r="B2723" s="25" t="n"/>
      <c r="I2723" s="25" t="n"/>
      <c r="U2723" s="19">
        <f>IF(AND($V2723='設定'!$C$4,COUNTIF('商品マスタ'!$B$6:$B$1005,$W2723)=0),N(U2722)+1,N(U2722))</f>
        <v/>
      </c>
      <c r="V2723" s="19">
        <f>IF($B2723="","",TEXT($B2723,"0000"))</f>
        <v/>
      </c>
      <c r="W2723" s="19">
        <f>IF($I2723="","",IF(ISNUMBER($I2723),TEXT($I2723,"0"),$I2723))</f>
        <v/>
      </c>
    </row>
    <row r="2724">
      <c r="B2724" s="25" t="n"/>
      <c r="I2724" s="25" t="n"/>
      <c r="U2724" s="19">
        <f>IF(AND($V2724='設定'!$C$4,COUNTIF('商品マスタ'!$B$6:$B$1005,$W2724)=0),N(U2723)+1,N(U2723))</f>
        <v/>
      </c>
      <c r="V2724" s="19">
        <f>IF($B2724="","",TEXT($B2724,"0000"))</f>
        <v/>
      </c>
      <c r="W2724" s="19">
        <f>IF($I2724="","",IF(ISNUMBER($I2724),TEXT($I2724,"0"),$I2724))</f>
        <v/>
      </c>
    </row>
    <row r="2725">
      <c r="B2725" s="25" t="n"/>
      <c r="I2725" s="25" t="n"/>
      <c r="U2725" s="19">
        <f>IF(AND($V2725='設定'!$C$4,COUNTIF('商品マスタ'!$B$6:$B$1005,$W2725)=0),N(U2724)+1,N(U2724))</f>
        <v/>
      </c>
      <c r="V2725" s="19">
        <f>IF($B2725="","",TEXT($B2725,"0000"))</f>
        <v/>
      </c>
      <c r="W2725" s="19">
        <f>IF($I2725="","",IF(ISNUMBER($I2725),TEXT($I2725,"0"),$I2725))</f>
        <v/>
      </c>
    </row>
    <row r="2726">
      <c r="B2726" s="25" t="n"/>
      <c r="I2726" s="25" t="n"/>
      <c r="U2726" s="19">
        <f>IF(AND($V2726='設定'!$C$4,COUNTIF('商品マスタ'!$B$6:$B$1005,$W2726)=0),N(U2725)+1,N(U2725))</f>
        <v/>
      </c>
      <c r="V2726" s="19">
        <f>IF($B2726="","",TEXT($B2726,"0000"))</f>
        <v/>
      </c>
      <c r="W2726" s="19">
        <f>IF($I2726="","",IF(ISNUMBER($I2726),TEXT($I2726,"0"),$I2726))</f>
        <v/>
      </c>
    </row>
    <row r="2727">
      <c r="B2727" s="25" t="n"/>
      <c r="I2727" s="25" t="n"/>
      <c r="U2727" s="19">
        <f>IF(AND($V2727='設定'!$C$4,COUNTIF('商品マスタ'!$B$6:$B$1005,$W2727)=0),N(U2726)+1,N(U2726))</f>
        <v/>
      </c>
      <c r="V2727" s="19">
        <f>IF($B2727="","",TEXT($B2727,"0000"))</f>
        <v/>
      </c>
      <c r="W2727" s="19">
        <f>IF($I2727="","",IF(ISNUMBER($I2727),TEXT($I2727,"0"),$I2727))</f>
        <v/>
      </c>
    </row>
    <row r="2728">
      <c r="B2728" s="25" t="n"/>
      <c r="I2728" s="25" t="n"/>
      <c r="U2728" s="19">
        <f>IF(AND($V2728='設定'!$C$4,COUNTIF('商品マスタ'!$B$6:$B$1005,$W2728)=0),N(U2727)+1,N(U2727))</f>
        <v/>
      </c>
      <c r="V2728" s="19">
        <f>IF($B2728="","",TEXT($B2728,"0000"))</f>
        <v/>
      </c>
      <c r="W2728" s="19">
        <f>IF($I2728="","",IF(ISNUMBER($I2728),TEXT($I2728,"0"),$I2728))</f>
        <v/>
      </c>
    </row>
    <row r="2729">
      <c r="B2729" s="25" t="n"/>
      <c r="I2729" s="25" t="n"/>
      <c r="U2729" s="19">
        <f>IF(AND($V2729='設定'!$C$4,COUNTIF('商品マスタ'!$B$6:$B$1005,$W2729)=0),N(U2728)+1,N(U2728))</f>
        <v/>
      </c>
      <c r="V2729" s="19">
        <f>IF($B2729="","",TEXT($B2729,"0000"))</f>
        <v/>
      </c>
      <c r="W2729" s="19">
        <f>IF($I2729="","",IF(ISNUMBER($I2729),TEXT($I2729,"0"),$I2729))</f>
        <v/>
      </c>
    </row>
    <row r="2730">
      <c r="B2730" s="25" t="n"/>
      <c r="I2730" s="25" t="n"/>
      <c r="U2730" s="19">
        <f>IF(AND($V2730='設定'!$C$4,COUNTIF('商品マスタ'!$B$6:$B$1005,$W2730)=0),N(U2729)+1,N(U2729))</f>
        <v/>
      </c>
      <c r="V2730" s="19">
        <f>IF($B2730="","",TEXT($B2730,"0000"))</f>
        <v/>
      </c>
      <c r="W2730" s="19">
        <f>IF($I2730="","",IF(ISNUMBER($I2730),TEXT($I2730,"0"),$I2730))</f>
        <v/>
      </c>
    </row>
    <row r="2731">
      <c r="B2731" s="25" t="n"/>
      <c r="I2731" s="25" t="n"/>
      <c r="U2731" s="19">
        <f>IF(AND($V2731='設定'!$C$4,COUNTIF('商品マスタ'!$B$6:$B$1005,$W2731)=0),N(U2730)+1,N(U2730))</f>
        <v/>
      </c>
      <c r="V2731" s="19">
        <f>IF($B2731="","",TEXT($B2731,"0000"))</f>
        <v/>
      </c>
      <c r="W2731" s="19">
        <f>IF($I2731="","",IF(ISNUMBER($I2731),TEXT($I2731,"0"),$I2731))</f>
        <v/>
      </c>
    </row>
    <row r="2732">
      <c r="B2732" s="25" t="n"/>
      <c r="I2732" s="25" t="n"/>
      <c r="U2732" s="19">
        <f>IF(AND($V2732='設定'!$C$4,COUNTIF('商品マスタ'!$B$6:$B$1005,$W2732)=0),N(U2731)+1,N(U2731))</f>
        <v/>
      </c>
      <c r="V2732" s="19">
        <f>IF($B2732="","",TEXT($B2732,"0000"))</f>
        <v/>
      </c>
      <c r="W2732" s="19">
        <f>IF($I2732="","",IF(ISNUMBER($I2732),TEXT($I2732,"0"),$I2732))</f>
        <v/>
      </c>
    </row>
    <row r="2733">
      <c r="B2733" s="25" t="n"/>
      <c r="I2733" s="25" t="n"/>
      <c r="U2733" s="19">
        <f>IF(AND($V2733='設定'!$C$4,COUNTIF('商品マスタ'!$B$6:$B$1005,$W2733)=0),N(U2732)+1,N(U2732))</f>
        <v/>
      </c>
      <c r="V2733" s="19">
        <f>IF($B2733="","",TEXT($B2733,"0000"))</f>
        <v/>
      </c>
      <c r="W2733" s="19">
        <f>IF($I2733="","",IF(ISNUMBER($I2733),TEXT($I2733,"0"),$I2733))</f>
        <v/>
      </c>
    </row>
    <row r="2734">
      <c r="B2734" s="25" t="n"/>
      <c r="I2734" s="25" t="n"/>
      <c r="U2734" s="19">
        <f>IF(AND($V2734='設定'!$C$4,COUNTIF('商品マスタ'!$B$6:$B$1005,$W2734)=0),N(U2733)+1,N(U2733))</f>
        <v/>
      </c>
      <c r="V2734" s="19">
        <f>IF($B2734="","",TEXT($B2734,"0000"))</f>
        <v/>
      </c>
      <c r="W2734" s="19">
        <f>IF($I2734="","",IF(ISNUMBER($I2734),TEXT($I2734,"0"),$I2734))</f>
        <v/>
      </c>
    </row>
    <row r="2735">
      <c r="B2735" s="25" t="n"/>
      <c r="I2735" s="25" t="n"/>
      <c r="U2735" s="19">
        <f>IF(AND($V2735='設定'!$C$4,COUNTIF('商品マスタ'!$B$6:$B$1005,$W2735)=0),N(U2734)+1,N(U2734))</f>
        <v/>
      </c>
      <c r="V2735" s="19">
        <f>IF($B2735="","",TEXT($B2735,"0000"))</f>
        <v/>
      </c>
      <c r="W2735" s="19">
        <f>IF($I2735="","",IF(ISNUMBER($I2735),TEXT($I2735,"0"),$I2735))</f>
        <v/>
      </c>
    </row>
    <row r="2736">
      <c r="B2736" s="25" t="n"/>
      <c r="I2736" s="25" t="n"/>
      <c r="U2736" s="19">
        <f>IF(AND($V2736='設定'!$C$4,COUNTIF('商品マスタ'!$B$6:$B$1005,$W2736)=0),N(U2735)+1,N(U2735))</f>
        <v/>
      </c>
      <c r="V2736" s="19">
        <f>IF($B2736="","",TEXT($B2736,"0000"))</f>
        <v/>
      </c>
      <c r="W2736" s="19">
        <f>IF($I2736="","",IF(ISNUMBER($I2736),TEXT($I2736,"0"),$I2736))</f>
        <v/>
      </c>
    </row>
    <row r="2737">
      <c r="B2737" s="25" t="n"/>
      <c r="I2737" s="25" t="n"/>
      <c r="U2737" s="19">
        <f>IF(AND($V2737='設定'!$C$4,COUNTIF('商品マスタ'!$B$6:$B$1005,$W2737)=0),N(U2736)+1,N(U2736))</f>
        <v/>
      </c>
      <c r="V2737" s="19">
        <f>IF($B2737="","",TEXT($B2737,"0000"))</f>
        <v/>
      </c>
      <c r="W2737" s="19">
        <f>IF($I2737="","",IF(ISNUMBER($I2737),TEXT($I2737,"0"),$I2737))</f>
        <v/>
      </c>
    </row>
    <row r="2738">
      <c r="B2738" s="25" t="n"/>
      <c r="I2738" s="25" t="n"/>
      <c r="U2738" s="19">
        <f>IF(AND($V2738='設定'!$C$4,COUNTIF('商品マスタ'!$B$6:$B$1005,$W2738)=0),N(U2737)+1,N(U2737))</f>
        <v/>
      </c>
      <c r="V2738" s="19">
        <f>IF($B2738="","",TEXT($B2738,"0000"))</f>
        <v/>
      </c>
      <c r="W2738" s="19">
        <f>IF($I2738="","",IF(ISNUMBER($I2738),TEXT($I2738,"0"),$I2738))</f>
        <v/>
      </c>
    </row>
    <row r="2739">
      <c r="B2739" s="25" t="n"/>
      <c r="I2739" s="25" t="n"/>
      <c r="U2739" s="19">
        <f>IF(AND($V2739='設定'!$C$4,COUNTIF('商品マスタ'!$B$6:$B$1005,$W2739)=0),N(U2738)+1,N(U2738))</f>
        <v/>
      </c>
      <c r="V2739" s="19">
        <f>IF($B2739="","",TEXT($B2739,"0000"))</f>
        <v/>
      </c>
      <c r="W2739" s="19">
        <f>IF($I2739="","",IF(ISNUMBER($I2739),TEXT($I2739,"0"),$I2739))</f>
        <v/>
      </c>
    </row>
    <row r="2740">
      <c r="B2740" s="25" t="n"/>
      <c r="I2740" s="25" t="n"/>
      <c r="U2740" s="19">
        <f>IF(AND($V2740='設定'!$C$4,COUNTIF('商品マスタ'!$B$6:$B$1005,$W2740)=0),N(U2739)+1,N(U2739))</f>
        <v/>
      </c>
      <c r="V2740" s="19">
        <f>IF($B2740="","",TEXT($B2740,"0000"))</f>
        <v/>
      </c>
      <c r="W2740" s="19">
        <f>IF($I2740="","",IF(ISNUMBER($I2740),TEXT($I2740,"0"),$I2740))</f>
        <v/>
      </c>
    </row>
    <row r="2741">
      <c r="B2741" s="25" t="n"/>
      <c r="I2741" s="25" t="n"/>
      <c r="U2741" s="19">
        <f>IF(AND($V2741='設定'!$C$4,COUNTIF('商品マスタ'!$B$6:$B$1005,$W2741)=0),N(U2740)+1,N(U2740))</f>
        <v/>
      </c>
      <c r="V2741" s="19">
        <f>IF($B2741="","",TEXT($B2741,"0000"))</f>
        <v/>
      </c>
      <c r="W2741" s="19">
        <f>IF($I2741="","",IF(ISNUMBER($I2741),TEXT($I2741,"0"),$I2741))</f>
        <v/>
      </c>
    </row>
    <row r="2742">
      <c r="B2742" s="25" t="n"/>
      <c r="I2742" s="25" t="n"/>
      <c r="U2742" s="19">
        <f>IF(AND($V2742='設定'!$C$4,COUNTIF('商品マスタ'!$B$6:$B$1005,$W2742)=0),N(U2741)+1,N(U2741))</f>
        <v/>
      </c>
      <c r="V2742" s="19">
        <f>IF($B2742="","",TEXT($B2742,"0000"))</f>
        <v/>
      </c>
      <c r="W2742" s="19">
        <f>IF($I2742="","",IF(ISNUMBER($I2742),TEXT($I2742,"0"),$I2742))</f>
        <v/>
      </c>
    </row>
    <row r="2743">
      <c r="B2743" s="25" t="n"/>
      <c r="I2743" s="25" t="n"/>
      <c r="U2743" s="19">
        <f>IF(AND($V2743='設定'!$C$4,COUNTIF('商品マスタ'!$B$6:$B$1005,$W2743)=0),N(U2742)+1,N(U2742))</f>
        <v/>
      </c>
      <c r="V2743" s="19">
        <f>IF($B2743="","",TEXT($B2743,"0000"))</f>
        <v/>
      </c>
      <c r="W2743" s="19">
        <f>IF($I2743="","",IF(ISNUMBER($I2743),TEXT($I2743,"0"),$I2743))</f>
        <v/>
      </c>
    </row>
    <row r="2744">
      <c r="B2744" s="25" t="n"/>
      <c r="I2744" s="25" t="n"/>
      <c r="U2744" s="19">
        <f>IF(AND($V2744='設定'!$C$4,COUNTIF('商品マスタ'!$B$6:$B$1005,$W2744)=0),N(U2743)+1,N(U2743))</f>
        <v/>
      </c>
      <c r="V2744" s="19">
        <f>IF($B2744="","",TEXT($B2744,"0000"))</f>
        <v/>
      </c>
      <c r="W2744" s="19">
        <f>IF($I2744="","",IF(ISNUMBER($I2744),TEXT($I2744,"0"),$I2744))</f>
        <v/>
      </c>
    </row>
    <row r="2745">
      <c r="B2745" s="25" t="n"/>
      <c r="I2745" s="25" t="n"/>
      <c r="U2745" s="19">
        <f>IF(AND($V2745='設定'!$C$4,COUNTIF('商品マスタ'!$B$6:$B$1005,$W2745)=0),N(U2744)+1,N(U2744))</f>
        <v/>
      </c>
      <c r="V2745" s="19">
        <f>IF($B2745="","",TEXT($B2745,"0000"))</f>
        <v/>
      </c>
      <c r="W2745" s="19">
        <f>IF($I2745="","",IF(ISNUMBER($I2745),TEXT($I2745,"0"),$I2745))</f>
        <v/>
      </c>
    </row>
    <row r="2746">
      <c r="B2746" s="25" t="n"/>
      <c r="I2746" s="25" t="n"/>
      <c r="U2746" s="19">
        <f>IF(AND($V2746='設定'!$C$4,COUNTIF('商品マスタ'!$B$6:$B$1005,$W2746)=0),N(U2745)+1,N(U2745))</f>
        <v/>
      </c>
      <c r="V2746" s="19">
        <f>IF($B2746="","",TEXT($B2746,"0000"))</f>
        <v/>
      </c>
      <c r="W2746" s="19">
        <f>IF($I2746="","",IF(ISNUMBER($I2746),TEXT($I2746,"0"),$I2746))</f>
        <v/>
      </c>
    </row>
    <row r="2747">
      <c r="B2747" s="25" t="n"/>
      <c r="I2747" s="25" t="n"/>
      <c r="U2747" s="19">
        <f>IF(AND($V2747='設定'!$C$4,COUNTIF('商品マスタ'!$B$6:$B$1005,$W2747)=0),N(U2746)+1,N(U2746))</f>
        <v/>
      </c>
      <c r="V2747" s="19">
        <f>IF($B2747="","",TEXT($B2747,"0000"))</f>
        <v/>
      </c>
      <c r="W2747" s="19">
        <f>IF($I2747="","",IF(ISNUMBER($I2747),TEXT($I2747,"0"),$I2747))</f>
        <v/>
      </c>
    </row>
    <row r="2748">
      <c r="B2748" s="25" t="n"/>
      <c r="I2748" s="25" t="n"/>
      <c r="U2748" s="19">
        <f>IF(AND($V2748='設定'!$C$4,COUNTIF('商品マスタ'!$B$6:$B$1005,$W2748)=0),N(U2747)+1,N(U2747))</f>
        <v/>
      </c>
      <c r="V2748" s="19">
        <f>IF($B2748="","",TEXT($B2748,"0000"))</f>
        <v/>
      </c>
      <c r="W2748" s="19">
        <f>IF($I2748="","",IF(ISNUMBER($I2748),TEXT($I2748,"0"),$I2748))</f>
        <v/>
      </c>
    </row>
    <row r="2749">
      <c r="B2749" s="25" t="n"/>
      <c r="I2749" s="25" t="n"/>
      <c r="U2749" s="19">
        <f>IF(AND($V2749='設定'!$C$4,COUNTIF('商品マスタ'!$B$6:$B$1005,$W2749)=0),N(U2748)+1,N(U2748))</f>
        <v/>
      </c>
      <c r="V2749" s="19">
        <f>IF($B2749="","",TEXT($B2749,"0000"))</f>
        <v/>
      </c>
      <c r="W2749" s="19">
        <f>IF($I2749="","",IF(ISNUMBER($I2749),TEXT($I2749,"0"),$I2749))</f>
        <v/>
      </c>
    </row>
    <row r="2750">
      <c r="B2750" s="25" t="n"/>
      <c r="I2750" s="25" t="n"/>
      <c r="U2750" s="19">
        <f>IF(AND($V2750='設定'!$C$4,COUNTIF('商品マスタ'!$B$6:$B$1005,$W2750)=0),N(U2749)+1,N(U2749))</f>
        <v/>
      </c>
      <c r="V2750" s="19">
        <f>IF($B2750="","",TEXT($B2750,"0000"))</f>
        <v/>
      </c>
      <c r="W2750" s="19">
        <f>IF($I2750="","",IF(ISNUMBER($I2750),TEXT($I2750,"0"),$I2750))</f>
        <v/>
      </c>
    </row>
    <row r="2751">
      <c r="B2751" s="25" t="n"/>
      <c r="I2751" s="25" t="n"/>
      <c r="U2751" s="19">
        <f>IF(AND($V2751='設定'!$C$4,COUNTIF('商品マスタ'!$B$6:$B$1005,$W2751)=0),N(U2750)+1,N(U2750))</f>
        <v/>
      </c>
      <c r="V2751" s="19">
        <f>IF($B2751="","",TEXT($B2751,"0000"))</f>
        <v/>
      </c>
      <c r="W2751" s="19">
        <f>IF($I2751="","",IF(ISNUMBER($I2751),TEXT($I2751,"0"),$I2751))</f>
        <v/>
      </c>
    </row>
    <row r="2752">
      <c r="B2752" s="25" t="n"/>
      <c r="I2752" s="25" t="n"/>
      <c r="U2752" s="19">
        <f>IF(AND($V2752='設定'!$C$4,COUNTIF('商品マスタ'!$B$6:$B$1005,$W2752)=0),N(U2751)+1,N(U2751))</f>
        <v/>
      </c>
      <c r="V2752" s="19">
        <f>IF($B2752="","",TEXT($B2752,"0000"))</f>
        <v/>
      </c>
      <c r="W2752" s="19">
        <f>IF($I2752="","",IF(ISNUMBER($I2752),TEXT($I2752,"0"),$I2752))</f>
        <v/>
      </c>
    </row>
    <row r="2753">
      <c r="B2753" s="25" t="n"/>
      <c r="I2753" s="25" t="n"/>
      <c r="U2753" s="19">
        <f>IF(AND($V2753='設定'!$C$4,COUNTIF('商品マスタ'!$B$6:$B$1005,$W2753)=0),N(U2752)+1,N(U2752))</f>
        <v/>
      </c>
      <c r="V2753" s="19">
        <f>IF($B2753="","",TEXT($B2753,"0000"))</f>
        <v/>
      </c>
      <c r="W2753" s="19">
        <f>IF($I2753="","",IF(ISNUMBER($I2753),TEXT($I2753,"0"),$I2753))</f>
        <v/>
      </c>
    </row>
    <row r="2754">
      <c r="B2754" s="25" t="n"/>
      <c r="I2754" s="25" t="n"/>
      <c r="U2754" s="19">
        <f>IF(AND($V2754='設定'!$C$4,COUNTIF('商品マスタ'!$B$6:$B$1005,$W2754)=0),N(U2753)+1,N(U2753))</f>
        <v/>
      </c>
      <c r="V2754" s="19">
        <f>IF($B2754="","",TEXT($B2754,"0000"))</f>
        <v/>
      </c>
      <c r="W2754" s="19">
        <f>IF($I2754="","",IF(ISNUMBER($I2754),TEXT($I2754,"0"),$I2754))</f>
        <v/>
      </c>
    </row>
    <row r="2755">
      <c r="B2755" s="25" t="n"/>
      <c r="I2755" s="25" t="n"/>
      <c r="U2755" s="19">
        <f>IF(AND($V2755='設定'!$C$4,COUNTIF('商品マスタ'!$B$6:$B$1005,$W2755)=0),N(U2754)+1,N(U2754))</f>
        <v/>
      </c>
      <c r="V2755" s="19">
        <f>IF($B2755="","",TEXT($B2755,"0000"))</f>
        <v/>
      </c>
      <c r="W2755" s="19">
        <f>IF($I2755="","",IF(ISNUMBER($I2755),TEXT($I2755,"0"),$I2755))</f>
        <v/>
      </c>
    </row>
    <row r="2756">
      <c r="B2756" s="25" t="n"/>
      <c r="I2756" s="25" t="n"/>
      <c r="U2756" s="19">
        <f>IF(AND($V2756='設定'!$C$4,COUNTIF('商品マスタ'!$B$6:$B$1005,$W2756)=0),N(U2755)+1,N(U2755))</f>
        <v/>
      </c>
      <c r="V2756" s="19">
        <f>IF($B2756="","",TEXT($B2756,"0000"))</f>
        <v/>
      </c>
      <c r="W2756" s="19">
        <f>IF($I2756="","",IF(ISNUMBER($I2756),TEXT($I2756,"0"),$I2756))</f>
        <v/>
      </c>
    </row>
    <row r="2757">
      <c r="B2757" s="25" t="n"/>
      <c r="I2757" s="25" t="n"/>
      <c r="U2757" s="19">
        <f>IF(AND($V2757='設定'!$C$4,COUNTIF('商品マスタ'!$B$6:$B$1005,$W2757)=0),N(U2756)+1,N(U2756))</f>
        <v/>
      </c>
      <c r="V2757" s="19">
        <f>IF($B2757="","",TEXT($B2757,"0000"))</f>
        <v/>
      </c>
      <c r="W2757" s="19">
        <f>IF($I2757="","",IF(ISNUMBER($I2757),TEXT($I2757,"0"),$I2757))</f>
        <v/>
      </c>
    </row>
    <row r="2758">
      <c r="B2758" s="25" t="n"/>
      <c r="I2758" s="25" t="n"/>
      <c r="U2758" s="19">
        <f>IF(AND($V2758='設定'!$C$4,COUNTIF('商品マスタ'!$B$6:$B$1005,$W2758)=0),N(U2757)+1,N(U2757))</f>
        <v/>
      </c>
      <c r="V2758" s="19">
        <f>IF($B2758="","",TEXT($B2758,"0000"))</f>
        <v/>
      </c>
      <c r="W2758" s="19">
        <f>IF($I2758="","",IF(ISNUMBER($I2758),TEXT($I2758,"0"),$I2758))</f>
        <v/>
      </c>
    </row>
    <row r="2759">
      <c r="B2759" s="25" t="n"/>
      <c r="I2759" s="25" t="n"/>
      <c r="U2759" s="19">
        <f>IF(AND($V2759='設定'!$C$4,COUNTIF('商品マスタ'!$B$6:$B$1005,$W2759)=0),N(U2758)+1,N(U2758))</f>
        <v/>
      </c>
      <c r="V2759" s="19">
        <f>IF($B2759="","",TEXT($B2759,"0000"))</f>
        <v/>
      </c>
      <c r="W2759" s="19">
        <f>IF($I2759="","",IF(ISNUMBER($I2759),TEXT($I2759,"0"),$I2759))</f>
        <v/>
      </c>
    </row>
    <row r="2760">
      <c r="B2760" s="25" t="n"/>
      <c r="I2760" s="25" t="n"/>
      <c r="U2760" s="19">
        <f>IF(AND($V2760='設定'!$C$4,COUNTIF('商品マスタ'!$B$6:$B$1005,$W2760)=0),N(U2759)+1,N(U2759))</f>
        <v/>
      </c>
      <c r="V2760" s="19">
        <f>IF($B2760="","",TEXT($B2760,"0000"))</f>
        <v/>
      </c>
      <c r="W2760" s="19">
        <f>IF($I2760="","",IF(ISNUMBER($I2760),TEXT($I2760,"0"),$I2760))</f>
        <v/>
      </c>
    </row>
    <row r="2761">
      <c r="B2761" s="25" t="n"/>
      <c r="I2761" s="25" t="n"/>
      <c r="U2761" s="19">
        <f>IF(AND($V2761='設定'!$C$4,COUNTIF('商品マスタ'!$B$6:$B$1005,$W2761)=0),N(U2760)+1,N(U2760))</f>
        <v/>
      </c>
      <c r="V2761" s="19">
        <f>IF($B2761="","",TEXT($B2761,"0000"))</f>
        <v/>
      </c>
      <c r="W2761" s="19">
        <f>IF($I2761="","",IF(ISNUMBER($I2761),TEXT($I2761,"0"),$I2761))</f>
        <v/>
      </c>
    </row>
    <row r="2762">
      <c r="B2762" s="25" t="n"/>
      <c r="I2762" s="25" t="n"/>
      <c r="U2762" s="19">
        <f>IF(AND($V2762='設定'!$C$4,COUNTIF('商品マスタ'!$B$6:$B$1005,$W2762)=0),N(U2761)+1,N(U2761))</f>
        <v/>
      </c>
      <c r="V2762" s="19">
        <f>IF($B2762="","",TEXT($B2762,"0000"))</f>
        <v/>
      </c>
      <c r="W2762" s="19">
        <f>IF($I2762="","",IF(ISNUMBER($I2762),TEXT($I2762,"0"),$I2762))</f>
        <v/>
      </c>
    </row>
    <row r="2763">
      <c r="B2763" s="25" t="n"/>
      <c r="I2763" s="25" t="n"/>
      <c r="U2763" s="19">
        <f>IF(AND($V2763='設定'!$C$4,COUNTIF('商品マスタ'!$B$6:$B$1005,$W2763)=0),N(U2762)+1,N(U2762))</f>
        <v/>
      </c>
      <c r="V2763" s="19">
        <f>IF($B2763="","",TEXT($B2763,"0000"))</f>
        <v/>
      </c>
      <c r="W2763" s="19">
        <f>IF($I2763="","",IF(ISNUMBER($I2763),TEXT($I2763,"0"),$I2763))</f>
        <v/>
      </c>
    </row>
    <row r="2764">
      <c r="B2764" s="25" t="n"/>
      <c r="I2764" s="25" t="n"/>
      <c r="U2764" s="19">
        <f>IF(AND($V2764='設定'!$C$4,COUNTIF('商品マスタ'!$B$6:$B$1005,$W2764)=0),N(U2763)+1,N(U2763))</f>
        <v/>
      </c>
      <c r="V2764" s="19">
        <f>IF($B2764="","",TEXT($B2764,"0000"))</f>
        <v/>
      </c>
      <c r="W2764" s="19">
        <f>IF($I2764="","",IF(ISNUMBER($I2764),TEXT($I2764,"0"),$I2764))</f>
        <v/>
      </c>
    </row>
    <row r="2765">
      <c r="B2765" s="25" t="n"/>
      <c r="I2765" s="25" t="n"/>
      <c r="U2765" s="19">
        <f>IF(AND($V2765='設定'!$C$4,COUNTIF('商品マスタ'!$B$6:$B$1005,$W2765)=0),N(U2764)+1,N(U2764))</f>
        <v/>
      </c>
      <c r="V2765" s="19">
        <f>IF($B2765="","",TEXT($B2765,"0000"))</f>
        <v/>
      </c>
      <c r="W2765" s="19">
        <f>IF($I2765="","",IF(ISNUMBER($I2765),TEXT($I2765,"0"),$I2765))</f>
        <v/>
      </c>
    </row>
    <row r="2766">
      <c r="B2766" s="25" t="n"/>
      <c r="I2766" s="25" t="n"/>
      <c r="U2766" s="19">
        <f>IF(AND($V2766='設定'!$C$4,COUNTIF('商品マスタ'!$B$6:$B$1005,$W2766)=0),N(U2765)+1,N(U2765))</f>
        <v/>
      </c>
      <c r="V2766" s="19">
        <f>IF($B2766="","",TEXT($B2766,"0000"))</f>
        <v/>
      </c>
      <c r="W2766" s="19">
        <f>IF($I2766="","",IF(ISNUMBER($I2766),TEXT($I2766,"0"),$I2766))</f>
        <v/>
      </c>
    </row>
    <row r="2767">
      <c r="B2767" s="25" t="n"/>
      <c r="I2767" s="25" t="n"/>
      <c r="U2767" s="19">
        <f>IF(AND($V2767='設定'!$C$4,COUNTIF('商品マスタ'!$B$6:$B$1005,$W2767)=0),N(U2766)+1,N(U2766))</f>
        <v/>
      </c>
      <c r="V2767" s="19">
        <f>IF($B2767="","",TEXT($B2767,"0000"))</f>
        <v/>
      </c>
      <c r="W2767" s="19">
        <f>IF($I2767="","",IF(ISNUMBER($I2767),TEXT($I2767,"0"),$I2767))</f>
        <v/>
      </c>
    </row>
    <row r="2768">
      <c r="B2768" s="25" t="n"/>
      <c r="I2768" s="25" t="n"/>
      <c r="U2768" s="19">
        <f>IF(AND($V2768='設定'!$C$4,COUNTIF('商品マスタ'!$B$6:$B$1005,$W2768)=0),N(U2767)+1,N(U2767))</f>
        <v/>
      </c>
      <c r="V2768" s="19">
        <f>IF($B2768="","",TEXT($B2768,"0000"))</f>
        <v/>
      </c>
      <c r="W2768" s="19">
        <f>IF($I2768="","",IF(ISNUMBER($I2768),TEXT($I2768,"0"),$I2768))</f>
        <v/>
      </c>
    </row>
    <row r="2769">
      <c r="B2769" s="25" t="n"/>
      <c r="I2769" s="25" t="n"/>
      <c r="U2769" s="19">
        <f>IF(AND($V2769='設定'!$C$4,COUNTIF('商品マスタ'!$B$6:$B$1005,$W2769)=0),N(U2768)+1,N(U2768))</f>
        <v/>
      </c>
      <c r="V2769" s="19">
        <f>IF($B2769="","",TEXT($B2769,"0000"))</f>
        <v/>
      </c>
      <c r="W2769" s="19">
        <f>IF($I2769="","",IF(ISNUMBER($I2769),TEXT($I2769,"0"),$I2769))</f>
        <v/>
      </c>
    </row>
    <row r="2770">
      <c r="B2770" s="25" t="n"/>
      <c r="I2770" s="25" t="n"/>
      <c r="U2770" s="19">
        <f>IF(AND($V2770='設定'!$C$4,COUNTIF('商品マスタ'!$B$6:$B$1005,$W2770)=0),N(U2769)+1,N(U2769))</f>
        <v/>
      </c>
      <c r="V2770" s="19">
        <f>IF($B2770="","",TEXT($B2770,"0000"))</f>
        <v/>
      </c>
      <c r="W2770" s="19">
        <f>IF($I2770="","",IF(ISNUMBER($I2770),TEXT($I2770,"0"),$I2770))</f>
        <v/>
      </c>
    </row>
    <row r="2771">
      <c r="B2771" s="25" t="n"/>
      <c r="I2771" s="25" t="n"/>
      <c r="U2771" s="19">
        <f>IF(AND($V2771='設定'!$C$4,COUNTIF('商品マスタ'!$B$6:$B$1005,$W2771)=0),N(U2770)+1,N(U2770))</f>
        <v/>
      </c>
      <c r="V2771" s="19">
        <f>IF($B2771="","",TEXT($B2771,"0000"))</f>
        <v/>
      </c>
      <c r="W2771" s="19">
        <f>IF($I2771="","",IF(ISNUMBER($I2771),TEXT($I2771,"0"),$I2771))</f>
        <v/>
      </c>
    </row>
    <row r="2772">
      <c r="B2772" s="25" t="n"/>
      <c r="I2772" s="25" t="n"/>
      <c r="U2772" s="19">
        <f>IF(AND($V2772='設定'!$C$4,COUNTIF('商品マスタ'!$B$6:$B$1005,$W2772)=0),N(U2771)+1,N(U2771))</f>
        <v/>
      </c>
      <c r="V2772" s="19">
        <f>IF($B2772="","",TEXT($B2772,"0000"))</f>
        <v/>
      </c>
      <c r="W2772" s="19">
        <f>IF($I2772="","",IF(ISNUMBER($I2772),TEXT($I2772,"0"),$I2772))</f>
        <v/>
      </c>
    </row>
    <row r="2773">
      <c r="B2773" s="25" t="n"/>
      <c r="I2773" s="25" t="n"/>
      <c r="U2773" s="19">
        <f>IF(AND($V2773='設定'!$C$4,COUNTIF('商品マスタ'!$B$6:$B$1005,$W2773)=0),N(U2772)+1,N(U2772))</f>
        <v/>
      </c>
      <c r="V2773" s="19">
        <f>IF($B2773="","",TEXT($B2773,"0000"))</f>
        <v/>
      </c>
      <c r="W2773" s="19">
        <f>IF($I2773="","",IF(ISNUMBER($I2773),TEXT($I2773,"0"),$I2773))</f>
        <v/>
      </c>
    </row>
    <row r="2774">
      <c r="B2774" s="25" t="n"/>
      <c r="I2774" s="25" t="n"/>
      <c r="U2774" s="19">
        <f>IF(AND($V2774='設定'!$C$4,COUNTIF('商品マスタ'!$B$6:$B$1005,$W2774)=0),N(U2773)+1,N(U2773))</f>
        <v/>
      </c>
      <c r="V2774" s="19">
        <f>IF($B2774="","",TEXT($B2774,"0000"))</f>
        <v/>
      </c>
      <c r="W2774" s="19">
        <f>IF($I2774="","",IF(ISNUMBER($I2774),TEXT($I2774,"0"),$I2774))</f>
        <v/>
      </c>
    </row>
    <row r="2775">
      <c r="B2775" s="25" t="n"/>
      <c r="I2775" s="25" t="n"/>
      <c r="U2775" s="19">
        <f>IF(AND($V2775='設定'!$C$4,COUNTIF('商品マスタ'!$B$6:$B$1005,$W2775)=0),N(U2774)+1,N(U2774))</f>
        <v/>
      </c>
      <c r="V2775" s="19">
        <f>IF($B2775="","",TEXT($B2775,"0000"))</f>
        <v/>
      </c>
      <c r="W2775" s="19">
        <f>IF($I2775="","",IF(ISNUMBER($I2775),TEXT($I2775,"0"),$I2775))</f>
        <v/>
      </c>
    </row>
    <row r="2776">
      <c r="B2776" s="25" t="n"/>
      <c r="I2776" s="25" t="n"/>
      <c r="U2776" s="19">
        <f>IF(AND($V2776='設定'!$C$4,COUNTIF('商品マスタ'!$B$6:$B$1005,$W2776)=0),N(U2775)+1,N(U2775))</f>
        <v/>
      </c>
      <c r="V2776" s="19">
        <f>IF($B2776="","",TEXT($B2776,"0000"))</f>
        <v/>
      </c>
      <c r="W2776" s="19">
        <f>IF($I2776="","",IF(ISNUMBER($I2776),TEXT($I2776,"0"),$I2776))</f>
        <v/>
      </c>
    </row>
    <row r="2777">
      <c r="B2777" s="25" t="n"/>
      <c r="I2777" s="25" t="n"/>
      <c r="U2777" s="19">
        <f>IF(AND($V2777='設定'!$C$4,COUNTIF('商品マスタ'!$B$6:$B$1005,$W2777)=0),N(U2776)+1,N(U2776))</f>
        <v/>
      </c>
      <c r="V2777" s="19">
        <f>IF($B2777="","",TEXT($B2777,"0000"))</f>
        <v/>
      </c>
      <c r="W2777" s="19">
        <f>IF($I2777="","",IF(ISNUMBER($I2777),TEXT($I2777,"0"),$I2777))</f>
        <v/>
      </c>
    </row>
    <row r="2778">
      <c r="B2778" s="25" t="n"/>
      <c r="I2778" s="25" t="n"/>
      <c r="U2778" s="19">
        <f>IF(AND($V2778='設定'!$C$4,COUNTIF('商品マスタ'!$B$6:$B$1005,$W2778)=0),N(U2777)+1,N(U2777))</f>
        <v/>
      </c>
      <c r="V2778" s="19">
        <f>IF($B2778="","",TEXT($B2778,"0000"))</f>
        <v/>
      </c>
      <c r="W2778" s="19">
        <f>IF($I2778="","",IF(ISNUMBER($I2778),TEXT($I2778,"0"),$I2778))</f>
        <v/>
      </c>
    </row>
    <row r="2779">
      <c r="B2779" s="25" t="n"/>
      <c r="I2779" s="25" t="n"/>
      <c r="U2779" s="19">
        <f>IF(AND($V2779='設定'!$C$4,COUNTIF('商品マスタ'!$B$6:$B$1005,$W2779)=0),N(U2778)+1,N(U2778))</f>
        <v/>
      </c>
      <c r="V2779" s="19">
        <f>IF($B2779="","",TEXT($B2779,"0000"))</f>
        <v/>
      </c>
      <c r="W2779" s="19">
        <f>IF($I2779="","",IF(ISNUMBER($I2779),TEXT($I2779,"0"),$I2779))</f>
        <v/>
      </c>
    </row>
    <row r="2780">
      <c r="B2780" s="25" t="n"/>
      <c r="I2780" s="25" t="n"/>
      <c r="U2780" s="19">
        <f>IF(AND($V2780='設定'!$C$4,COUNTIF('商品マスタ'!$B$6:$B$1005,$W2780)=0),N(U2779)+1,N(U2779))</f>
        <v/>
      </c>
      <c r="V2780" s="19">
        <f>IF($B2780="","",TEXT($B2780,"0000"))</f>
        <v/>
      </c>
      <c r="W2780" s="19">
        <f>IF($I2780="","",IF(ISNUMBER($I2780),TEXT($I2780,"0"),$I2780))</f>
        <v/>
      </c>
    </row>
    <row r="2781">
      <c r="B2781" s="25" t="n"/>
      <c r="I2781" s="25" t="n"/>
      <c r="U2781" s="19">
        <f>IF(AND($V2781='設定'!$C$4,COUNTIF('商品マスタ'!$B$6:$B$1005,$W2781)=0),N(U2780)+1,N(U2780))</f>
        <v/>
      </c>
      <c r="V2781" s="19">
        <f>IF($B2781="","",TEXT($B2781,"0000"))</f>
        <v/>
      </c>
      <c r="W2781" s="19">
        <f>IF($I2781="","",IF(ISNUMBER($I2781),TEXT($I2781,"0"),$I2781))</f>
        <v/>
      </c>
    </row>
    <row r="2782">
      <c r="B2782" s="25" t="n"/>
      <c r="I2782" s="25" t="n"/>
      <c r="U2782" s="19">
        <f>IF(AND($V2782='設定'!$C$4,COUNTIF('商品マスタ'!$B$6:$B$1005,$W2782)=0),N(U2781)+1,N(U2781))</f>
        <v/>
      </c>
      <c r="V2782" s="19">
        <f>IF($B2782="","",TEXT($B2782,"0000"))</f>
        <v/>
      </c>
      <c r="W2782" s="19">
        <f>IF($I2782="","",IF(ISNUMBER($I2782),TEXT($I2782,"0"),$I2782))</f>
        <v/>
      </c>
    </row>
    <row r="2783">
      <c r="B2783" s="25" t="n"/>
      <c r="I2783" s="25" t="n"/>
      <c r="U2783" s="19">
        <f>IF(AND($V2783='設定'!$C$4,COUNTIF('商品マスタ'!$B$6:$B$1005,$W2783)=0),N(U2782)+1,N(U2782))</f>
        <v/>
      </c>
      <c r="V2783" s="19">
        <f>IF($B2783="","",TEXT($B2783,"0000"))</f>
        <v/>
      </c>
      <c r="W2783" s="19">
        <f>IF($I2783="","",IF(ISNUMBER($I2783),TEXT($I2783,"0"),$I2783))</f>
        <v/>
      </c>
    </row>
    <row r="2784">
      <c r="B2784" s="25" t="n"/>
      <c r="I2784" s="25" t="n"/>
      <c r="U2784" s="19">
        <f>IF(AND($V2784='設定'!$C$4,COUNTIF('商品マスタ'!$B$6:$B$1005,$W2784)=0),N(U2783)+1,N(U2783))</f>
        <v/>
      </c>
      <c r="V2784" s="19">
        <f>IF($B2784="","",TEXT($B2784,"0000"))</f>
        <v/>
      </c>
      <c r="W2784" s="19">
        <f>IF($I2784="","",IF(ISNUMBER($I2784),TEXT($I2784,"0"),$I2784))</f>
        <v/>
      </c>
    </row>
    <row r="2785">
      <c r="B2785" s="25" t="n"/>
      <c r="I2785" s="25" t="n"/>
      <c r="U2785" s="19">
        <f>IF(AND($V2785='設定'!$C$4,COUNTIF('商品マスタ'!$B$6:$B$1005,$W2785)=0),N(U2784)+1,N(U2784))</f>
        <v/>
      </c>
      <c r="V2785" s="19">
        <f>IF($B2785="","",TEXT($B2785,"0000"))</f>
        <v/>
      </c>
      <c r="W2785" s="19">
        <f>IF($I2785="","",IF(ISNUMBER($I2785),TEXT($I2785,"0"),$I2785))</f>
        <v/>
      </c>
    </row>
    <row r="2786">
      <c r="B2786" s="25" t="n"/>
      <c r="I2786" s="25" t="n"/>
      <c r="U2786" s="19">
        <f>IF(AND($V2786='設定'!$C$4,COUNTIF('商品マスタ'!$B$6:$B$1005,$W2786)=0),N(U2785)+1,N(U2785))</f>
        <v/>
      </c>
      <c r="V2786" s="19">
        <f>IF($B2786="","",TEXT($B2786,"0000"))</f>
        <v/>
      </c>
      <c r="W2786" s="19">
        <f>IF($I2786="","",IF(ISNUMBER($I2786),TEXT($I2786,"0"),$I2786))</f>
        <v/>
      </c>
    </row>
    <row r="2787">
      <c r="B2787" s="25" t="n"/>
      <c r="I2787" s="25" t="n"/>
      <c r="U2787" s="19">
        <f>IF(AND($V2787='設定'!$C$4,COUNTIF('商品マスタ'!$B$6:$B$1005,$W2787)=0),N(U2786)+1,N(U2786))</f>
        <v/>
      </c>
      <c r="V2787" s="19">
        <f>IF($B2787="","",TEXT($B2787,"0000"))</f>
        <v/>
      </c>
      <c r="W2787" s="19">
        <f>IF($I2787="","",IF(ISNUMBER($I2787),TEXT($I2787,"0"),$I2787))</f>
        <v/>
      </c>
    </row>
    <row r="2788">
      <c r="B2788" s="25" t="n"/>
      <c r="I2788" s="25" t="n"/>
      <c r="U2788" s="19">
        <f>IF(AND($V2788='設定'!$C$4,COUNTIF('商品マスタ'!$B$6:$B$1005,$W2788)=0),N(U2787)+1,N(U2787))</f>
        <v/>
      </c>
      <c r="V2788" s="19">
        <f>IF($B2788="","",TEXT($B2788,"0000"))</f>
        <v/>
      </c>
      <c r="W2788" s="19">
        <f>IF($I2788="","",IF(ISNUMBER($I2788),TEXT($I2788,"0"),$I2788))</f>
        <v/>
      </c>
    </row>
    <row r="2789">
      <c r="B2789" s="25" t="n"/>
      <c r="I2789" s="25" t="n"/>
      <c r="U2789" s="19">
        <f>IF(AND($V2789='設定'!$C$4,COUNTIF('商品マスタ'!$B$6:$B$1005,$W2789)=0),N(U2788)+1,N(U2788))</f>
        <v/>
      </c>
      <c r="V2789" s="19">
        <f>IF($B2789="","",TEXT($B2789,"0000"))</f>
        <v/>
      </c>
      <c r="W2789" s="19">
        <f>IF($I2789="","",IF(ISNUMBER($I2789),TEXT($I2789,"0"),$I2789))</f>
        <v/>
      </c>
    </row>
    <row r="2790">
      <c r="B2790" s="25" t="n"/>
      <c r="I2790" s="25" t="n"/>
      <c r="U2790" s="19">
        <f>IF(AND($V2790='設定'!$C$4,COUNTIF('商品マスタ'!$B$6:$B$1005,$W2790)=0),N(U2789)+1,N(U2789))</f>
        <v/>
      </c>
      <c r="V2790" s="19">
        <f>IF($B2790="","",TEXT($B2790,"0000"))</f>
        <v/>
      </c>
      <c r="W2790" s="19">
        <f>IF($I2790="","",IF(ISNUMBER($I2790),TEXT($I2790,"0"),$I2790))</f>
        <v/>
      </c>
    </row>
    <row r="2791">
      <c r="B2791" s="25" t="n"/>
      <c r="I2791" s="25" t="n"/>
      <c r="U2791" s="19">
        <f>IF(AND($V2791='設定'!$C$4,COUNTIF('商品マスタ'!$B$6:$B$1005,$W2791)=0),N(U2790)+1,N(U2790))</f>
        <v/>
      </c>
      <c r="V2791" s="19">
        <f>IF($B2791="","",TEXT($B2791,"0000"))</f>
        <v/>
      </c>
      <c r="W2791" s="19">
        <f>IF($I2791="","",IF(ISNUMBER($I2791),TEXT($I2791,"0"),$I2791))</f>
        <v/>
      </c>
    </row>
    <row r="2792">
      <c r="B2792" s="25" t="n"/>
      <c r="I2792" s="25" t="n"/>
      <c r="U2792" s="19">
        <f>IF(AND($V2792='設定'!$C$4,COUNTIF('商品マスタ'!$B$6:$B$1005,$W2792)=0),N(U2791)+1,N(U2791))</f>
        <v/>
      </c>
      <c r="V2792" s="19">
        <f>IF($B2792="","",TEXT($B2792,"0000"))</f>
        <v/>
      </c>
      <c r="W2792" s="19">
        <f>IF($I2792="","",IF(ISNUMBER($I2792),TEXT($I2792,"0"),$I2792))</f>
        <v/>
      </c>
    </row>
    <row r="2793">
      <c r="B2793" s="25" t="n"/>
      <c r="I2793" s="25" t="n"/>
      <c r="U2793" s="19">
        <f>IF(AND($V2793='設定'!$C$4,COUNTIF('商品マスタ'!$B$6:$B$1005,$W2793)=0),N(U2792)+1,N(U2792))</f>
        <v/>
      </c>
      <c r="V2793" s="19">
        <f>IF($B2793="","",TEXT($B2793,"0000"))</f>
        <v/>
      </c>
      <c r="W2793" s="19">
        <f>IF($I2793="","",IF(ISNUMBER($I2793),TEXT($I2793,"0"),$I2793))</f>
        <v/>
      </c>
    </row>
    <row r="2794">
      <c r="B2794" s="25" t="n"/>
      <c r="I2794" s="25" t="n"/>
      <c r="U2794" s="19">
        <f>IF(AND($V2794='設定'!$C$4,COUNTIF('商品マスタ'!$B$6:$B$1005,$W2794)=0),N(U2793)+1,N(U2793))</f>
        <v/>
      </c>
      <c r="V2794" s="19">
        <f>IF($B2794="","",TEXT($B2794,"0000"))</f>
        <v/>
      </c>
      <c r="W2794" s="19">
        <f>IF($I2794="","",IF(ISNUMBER($I2794),TEXT($I2794,"0"),$I2794))</f>
        <v/>
      </c>
    </row>
    <row r="2795">
      <c r="B2795" s="25" t="n"/>
      <c r="I2795" s="25" t="n"/>
      <c r="U2795" s="19">
        <f>IF(AND($V2795='設定'!$C$4,COUNTIF('商品マスタ'!$B$6:$B$1005,$W2795)=0),N(U2794)+1,N(U2794))</f>
        <v/>
      </c>
      <c r="V2795" s="19">
        <f>IF($B2795="","",TEXT($B2795,"0000"))</f>
        <v/>
      </c>
      <c r="W2795" s="19">
        <f>IF($I2795="","",IF(ISNUMBER($I2795),TEXT($I2795,"0"),$I2795))</f>
        <v/>
      </c>
    </row>
    <row r="2796">
      <c r="B2796" s="25" t="n"/>
      <c r="I2796" s="25" t="n"/>
      <c r="U2796" s="19">
        <f>IF(AND($V2796='設定'!$C$4,COUNTIF('商品マスタ'!$B$6:$B$1005,$W2796)=0),N(U2795)+1,N(U2795))</f>
        <v/>
      </c>
      <c r="V2796" s="19">
        <f>IF($B2796="","",TEXT($B2796,"0000"))</f>
        <v/>
      </c>
      <c r="W2796" s="19">
        <f>IF($I2796="","",IF(ISNUMBER($I2796),TEXT($I2796,"0"),$I2796))</f>
        <v/>
      </c>
    </row>
    <row r="2797">
      <c r="B2797" s="25" t="n"/>
      <c r="I2797" s="25" t="n"/>
      <c r="U2797" s="19">
        <f>IF(AND($V2797='設定'!$C$4,COUNTIF('商品マスタ'!$B$6:$B$1005,$W2797)=0),N(U2796)+1,N(U2796))</f>
        <v/>
      </c>
      <c r="V2797" s="19">
        <f>IF($B2797="","",TEXT($B2797,"0000"))</f>
        <v/>
      </c>
      <c r="W2797" s="19">
        <f>IF($I2797="","",IF(ISNUMBER($I2797),TEXT($I2797,"0"),$I2797))</f>
        <v/>
      </c>
    </row>
    <row r="2798">
      <c r="B2798" s="25" t="n"/>
      <c r="I2798" s="25" t="n"/>
      <c r="U2798" s="19">
        <f>IF(AND($V2798='設定'!$C$4,COUNTIF('商品マスタ'!$B$6:$B$1005,$W2798)=0),N(U2797)+1,N(U2797))</f>
        <v/>
      </c>
      <c r="V2798" s="19">
        <f>IF($B2798="","",TEXT($B2798,"0000"))</f>
        <v/>
      </c>
      <c r="W2798" s="19">
        <f>IF($I2798="","",IF(ISNUMBER($I2798),TEXT($I2798,"0"),$I2798))</f>
        <v/>
      </c>
    </row>
    <row r="2799">
      <c r="B2799" s="25" t="n"/>
      <c r="I2799" s="25" t="n"/>
      <c r="U2799" s="19">
        <f>IF(AND($V2799='設定'!$C$4,COUNTIF('商品マスタ'!$B$6:$B$1005,$W2799)=0),N(U2798)+1,N(U2798))</f>
        <v/>
      </c>
      <c r="V2799" s="19">
        <f>IF($B2799="","",TEXT($B2799,"0000"))</f>
        <v/>
      </c>
      <c r="W2799" s="19">
        <f>IF($I2799="","",IF(ISNUMBER($I2799),TEXT($I2799,"0"),$I2799))</f>
        <v/>
      </c>
    </row>
    <row r="2800">
      <c r="B2800" s="25" t="n"/>
      <c r="I2800" s="25" t="n"/>
      <c r="U2800" s="19">
        <f>IF(AND($V2800='設定'!$C$4,COUNTIF('商品マスタ'!$B$6:$B$1005,$W2800)=0),N(U2799)+1,N(U2799))</f>
        <v/>
      </c>
      <c r="V2800" s="19">
        <f>IF($B2800="","",TEXT($B2800,"0000"))</f>
        <v/>
      </c>
      <c r="W2800" s="19">
        <f>IF($I2800="","",IF(ISNUMBER($I2800),TEXT($I2800,"0"),$I2800))</f>
        <v/>
      </c>
    </row>
    <row r="2801">
      <c r="B2801" s="25" t="n"/>
      <c r="I2801" s="25" t="n"/>
      <c r="U2801" s="19">
        <f>IF(AND($V2801='設定'!$C$4,COUNTIF('商品マスタ'!$B$6:$B$1005,$W2801)=0),N(U2800)+1,N(U2800))</f>
        <v/>
      </c>
      <c r="V2801" s="19">
        <f>IF($B2801="","",TEXT($B2801,"0000"))</f>
        <v/>
      </c>
      <c r="W2801" s="19">
        <f>IF($I2801="","",IF(ISNUMBER($I2801),TEXT($I2801,"0"),$I2801))</f>
        <v/>
      </c>
    </row>
    <row r="2802">
      <c r="B2802" s="25" t="n"/>
      <c r="I2802" s="25" t="n"/>
      <c r="U2802" s="19">
        <f>IF(AND($V2802='設定'!$C$4,COUNTIF('商品マスタ'!$B$6:$B$1005,$W2802)=0),N(U2801)+1,N(U2801))</f>
        <v/>
      </c>
      <c r="V2802" s="19">
        <f>IF($B2802="","",TEXT($B2802,"0000"))</f>
        <v/>
      </c>
      <c r="W2802" s="19">
        <f>IF($I2802="","",IF(ISNUMBER($I2802),TEXT($I2802,"0"),$I2802))</f>
        <v/>
      </c>
    </row>
    <row r="2803">
      <c r="B2803" s="25" t="n"/>
      <c r="I2803" s="25" t="n"/>
      <c r="U2803" s="19">
        <f>IF(AND($V2803='設定'!$C$4,COUNTIF('商品マスタ'!$B$6:$B$1005,$W2803)=0),N(U2802)+1,N(U2802))</f>
        <v/>
      </c>
      <c r="V2803" s="19">
        <f>IF($B2803="","",TEXT($B2803,"0000"))</f>
        <v/>
      </c>
      <c r="W2803" s="19">
        <f>IF($I2803="","",IF(ISNUMBER($I2803),TEXT($I2803,"0"),$I2803))</f>
        <v/>
      </c>
    </row>
    <row r="2804">
      <c r="B2804" s="25" t="n"/>
      <c r="I2804" s="25" t="n"/>
      <c r="U2804" s="19">
        <f>IF(AND($V2804='設定'!$C$4,COUNTIF('商品マスタ'!$B$6:$B$1005,$W2804)=0),N(U2803)+1,N(U2803))</f>
        <v/>
      </c>
      <c r="V2804" s="19">
        <f>IF($B2804="","",TEXT($B2804,"0000"))</f>
        <v/>
      </c>
      <c r="W2804" s="19">
        <f>IF($I2804="","",IF(ISNUMBER($I2804),TEXT($I2804,"0"),$I2804))</f>
        <v/>
      </c>
    </row>
    <row r="2805">
      <c r="B2805" s="25" t="n"/>
      <c r="I2805" s="25" t="n"/>
      <c r="U2805" s="19">
        <f>IF(AND($V2805='設定'!$C$4,COUNTIF('商品マスタ'!$B$6:$B$1005,$W2805)=0),N(U2804)+1,N(U2804))</f>
        <v/>
      </c>
      <c r="V2805" s="19">
        <f>IF($B2805="","",TEXT($B2805,"0000"))</f>
        <v/>
      </c>
      <c r="W2805" s="19">
        <f>IF($I2805="","",IF(ISNUMBER($I2805),TEXT($I2805,"0"),$I2805))</f>
        <v/>
      </c>
    </row>
    <row r="2806">
      <c r="B2806" s="25" t="n"/>
      <c r="I2806" s="25" t="n"/>
      <c r="U2806" s="19">
        <f>IF(AND($V2806='設定'!$C$4,COUNTIF('商品マスタ'!$B$6:$B$1005,$W2806)=0),N(U2805)+1,N(U2805))</f>
        <v/>
      </c>
      <c r="V2806" s="19">
        <f>IF($B2806="","",TEXT($B2806,"0000"))</f>
        <v/>
      </c>
      <c r="W2806" s="19">
        <f>IF($I2806="","",IF(ISNUMBER($I2806),TEXT($I2806,"0"),$I2806))</f>
        <v/>
      </c>
    </row>
    <row r="2807">
      <c r="B2807" s="25" t="n"/>
      <c r="I2807" s="25" t="n"/>
      <c r="U2807" s="19">
        <f>IF(AND($V2807='設定'!$C$4,COUNTIF('商品マスタ'!$B$6:$B$1005,$W2807)=0),N(U2806)+1,N(U2806))</f>
        <v/>
      </c>
      <c r="V2807" s="19">
        <f>IF($B2807="","",TEXT($B2807,"0000"))</f>
        <v/>
      </c>
      <c r="W2807" s="19">
        <f>IF($I2807="","",IF(ISNUMBER($I2807),TEXT($I2807,"0"),$I2807))</f>
        <v/>
      </c>
    </row>
    <row r="2808">
      <c r="B2808" s="25" t="n"/>
      <c r="I2808" s="25" t="n"/>
      <c r="U2808" s="19">
        <f>IF(AND($V2808='設定'!$C$4,COUNTIF('商品マスタ'!$B$6:$B$1005,$W2808)=0),N(U2807)+1,N(U2807))</f>
        <v/>
      </c>
      <c r="V2808" s="19">
        <f>IF($B2808="","",TEXT($B2808,"0000"))</f>
        <v/>
      </c>
      <c r="W2808" s="19">
        <f>IF($I2808="","",IF(ISNUMBER($I2808),TEXT($I2808,"0"),$I2808))</f>
        <v/>
      </c>
    </row>
    <row r="2809">
      <c r="B2809" s="25" t="n"/>
      <c r="I2809" s="25" t="n"/>
      <c r="U2809" s="19">
        <f>IF(AND($V2809='設定'!$C$4,COUNTIF('商品マスタ'!$B$6:$B$1005,$W2809)=0),N(U2808)+1,N(U2808))</f>
        <v/>
      </c>
      <c r="V2809" s="19">
        <f>IF($B2809="","",TEXT($B2809,"0000"))</f>
        <v/>
      </c>
      <c r="W2809" s="19">
        <f>IF($I2809="","",IF(ISNUMBER($I2809),TEXT($I2809,"0"),$I2809))</f>
        <v/>
      </c>
    </row>
    <row r="2810">
      <c r="B2810" s="25" t="n"/>
      <c r="I2810" s="25" t="n"/>
      <c r="U2810" s="19">
        <f>IF(AND($V2810='設定'!$C$4,COUNTIF('商品マスタ'!$B$6:$B$1005,$W2810)=0),N(U2809)+1,N(U2809))</f>
        <v/>
      </c>
      <c r="V2810" s="19">
        <f>IF($B2810="","",TEXT($B2810,"0000"))</f>
        <v/>
      </c>
      <c r="W2810" s="19">
        <f>IF($I2810="","",IF(ISNUMBER($I2810),TEXT($I2810,"0"),$I2810))</f>
        <v/>
      </c>
    </row>
    <row r="2811">
      <c r="B2811" s="25" t="n"/>
      <c r="I2811" s="25" t="n"/>
      <c r="U2811" s="19">
        <f>IF(AND($V2811='設定'!$C$4,COUNTIF('商品マスタ'!$B$6:$B$1005,$W2811)=0),N(U2810)+1,N(U2810))</f>
        <v/>
      </c>
      <c r="V2811" s="19">
        <f>IF($B2811="","",TEXT($B2811,"0000"))</f>
        <v/>
      </c>
      <c r="W2811" s="19">
        <f>IF($I2811="","",IF(ISNUMBER($I2811),TEXT($I2811,"0"),$I2811))</f>
        <v/>
      </c>
    </row>
    <row r="2812">
      <c r="B2812" s="25" t="n"/>
      <c r="I2812" s="25" t="n"/>
      <c r="U2812" s="19">
        <f>IF(AND($V2812='設定'!$C$4,COUNTIF('商品マスタ'!$B$6:$B$1005,$W2812)=0),N(U2811)+1,N(U2811))</f>
        <v/>
      </c>
      <c r="V2812" s="19">
        <f>IF($B2812="","",TEXT($B2812,"0000"))</f>
        <v/>
      </c>
      <c r="W2812" s="19">
        <f>IF($I2812="","",IF(ISNUMBER($I2812),TEXT($I2812,"0"),$I2812))</f>
        <v/>
      </c>
    </row>
    <row r="2813">
      <c r="B2813" s="25" t="n"/>
      <c r="I2813" s="25" t="n"/>
      <c r="U2813" s="19">
        <f>IF(AND($V2813='設定'!$C$4,COUNTIF('商品マスタ'!$B$6:$B$1005,$W2813)=0),N(U2812)+1,N(U2812))</f>
        <v/>
      </c>
      <c r="V2813" s="19">
        <f>IF($B2813="","",TEXT($B2813,"0000"))</f>
        <v/>
      </c>
      <c r="W2813" s="19">
        <f>IF($I2813="","",IF(ISNUMBER($I2813),TEXT($I2813,"0"),$I2813))</f>
        <v/>
      </c>
    </row>
    <row r="2814">
      <c r="B2814" s="25" t="n"/>
      <c r="I2814" s="25" t="n"/>
      <c r="U2814" s="19">
        <f>IF(AND($V2814='設定'!$C$4,COUNTIF('商品マスタ'!$B$6:$B$1005,$W2814)=0),N(U2813)+1,N(U2813))</f>
        <v/>
      </c>
      <c r="V2814" s="19">
        <f>IF($B2814="","",TEXT($B2814,"0000"))</f>
        <v/>
      </c>
      <c r="W2814" s="19">
        <f>IF($I2814="","",IF(ISNUMBER($I2814),TEXT($I2814,"0"),$I2814))</f>
        <v/>
      </c>
    </row>
    <row r="2815">
      <c r="B2815" s="25" t="n"/>
      <c r="I2815" s="25" t="n"/>
      <c r="U2815" s="19">
        <f>IF(AND($V2815='設定'!$C$4,COUNTIF('商品マスタ'!$B$6:$B$1005,$W2815)=0),N(U2814)+1,N(U2814))</f>
        <v/>
      </c>
      <c r="V2815" s="19">
        <f>IF($B2815="","",TEXT($B2815,"0000"))</f>
        <v/>
      </c>
      <c r="W2815" s="19">
        <f>IF($I2815="","",IF(ISNUMBER($I2815),TEXT($I2815,"0"),$I2815))</f>
        <v/>
      </c>
    </row>
    <row r="2816">
      <c r="B2816" s="25" t="n"/>
      <c r="I2816" s="25" t="n"/>
      <c r="U2816" s="19">
        <f>IF(AND($V2816='設定'!$C$4,COUNTIF('商品マスタ'!$B$6:$B$1005,$W2816)=0),N(U2815)+1,N(U2815))</f>
        <v/>
      </c>
      <c r="V2816" s="19">
        <f>IF($B2816="","",TEXT($B2816,"0000"))</f>
        <v/>
      </c>
      <c r="W2816" s="19">
        <f>IF($I2816="","",IF(ISNUMBER($I2816),TEXT($I2816,"0"),$I2816))</f>
        <v/>
      </c>
    </row>
    <row r="2817">
      <c r="B2817" s="25" t="n"/>
      <c r="I2817" s="25" t="n"/>
      <c r="U2817" s="19">
        <f>IF(AND($V2817='設定'!$C$4,COUNTIF('商品マスタ'!$B$6:$B$1005,$W2817)=0),N(U2816)+1,N(U2816))</f>
        <v/>
      </c>
      <c r="V2817" s="19">
        <f>IF($B2817="","",TEXT($B2817,"0000"))</f>
        <v/>
      </c>
      <c r="W2817" s="19">
        <f>IF($I2817="","",IF(ISNUMBER($I2817),TEXT($I2817,"0"),$I2817))</f>
        <v/>
      </c>
    </row>
    <row r="2818">
      <c r="B2818" s="25" t="n"/>
      <c r="I2818" s="25" t="n"/>
      <c r="U2818" s="19">
        <f>IF(AND($V2818='設定'!$C$4,COUNTIF('商品マスタ'!$B$6:$B$1005,$W2818)=0),N(U2817)+1,N(U2817))</f>
        <v/>
      </c>
      <c r="V2818" s="19">
        <f>IF($B2818="","",TEXT($B2818,"0000"))</f>
        <v/>
      </c>
      <c r="W2818" s="19">
        <f>IF($I2818="","",IF(ISNUMBER($I2818),TEXT($I2818,"0"),$I2818))</f>
        <v/>
      </c>
    </row>
    <row r="2819">
      <c r="B2819" s="25" t="n"/>
      <c r="I2819" s="25" t="n"/>
      <c r="U2819" s="19">
        <f>IF(AND($V2819='設定'!$C$4,COUNTIF('商品マスタ'!$B$6:$B$1005,$W2819)=0),N(U2818)+1,N(U2818))</f>
        <v/>
      </c>
      <c r="V2819" s="19">
        <f>IF($B2819="","",TEXT($B2819,"0000"))</f>
        <v/>
      </c>
      <c r="W2819" s="19">
        <f>IF($I2819="","",IF(ISNUMBER($I2819),TEXT($I2819,"0"),$I2819))</f>
        <v/>
      </c>
    </row>
    <row r="2820">
      <c r="B2820" s="25" t="n"/>
      <c r="I2820" s="25" t="n"/>
      <c r="U2820" s="19">
        <f>IF(AND($V2820='設定'!$C$4,COUNTIF('商品マスタ'!$B$6:$B$1005,$W2820)=0),N(U2819)+1,N(U2819))</f>
        <v/>
      </c>
      <c r="V2820" s="19">
        <f>IF($B2820="","",TEXT($B2820,"0000"))</f>
        <v/>
      </c>
      <c r="W2820" s="19">
        <f>IF($I2820="","",IF(ISNUMBER($I2820),TEXT($I2820,"0"),$I2820))</f>
        <v/>
      </c>
    </row>
    <row r="2821">
      <c r="B2821" s="25" t="n"/>
      <c r="I2821" s="25" t="n"/>
      <c r="U2821" s="19">
        <f>IF(AND($V2821='設定'!$C$4,COUNTIF('商品マスタ'!$B$6:$B$1005,$W2821)=0),N(U2820)+1,N(U2820))</f>
        <v/>
      </c>
      <c r="V2821" s="19">
        <f>IF($B2821="","",TEXT($B2821,"0000"))</f>
        <v/>
      </c>
      <c r="W2821" s="19">
        <f>IF($I2821="","",IF(ISNUMBER($I2821),TEXT($I2821,"0"),$I2821))</f>
        <v/>
      </c>
    </row>
    <row r="2822">
      <c r="B2822" s="25" t="n"/>
      <c r="I2822" s="25" t="n"/>
      <c r="U2822" s="19">
        <f>IF(AND($V2822='設定'!$C$4,COUNTIF('商品マスタ'!$B$6:$B$1005,$W2822)=0),N(U2821)+1,N(U2821))</f>
        <v/>
      </c>
      <c r="V2822" s="19">
        <f>IF($B2822="","",TEXT($B2822,"0000"))</f>
        <v/>
      </c>
      <c r="W2822" s="19">
        <f>IF($I2822="","",IF(ISNUMBER($I2822),TEXT($I2822,"0"),$I2822))</f>
        <v/>
      </c>
    </row>
    <row r="2823">
      <c r="B2823" s="25" t="n"/>
      <c r="I2823" s="25" t="n"/>
      <c r="U2823" s="19">
        <f>IF(AND($V2823='設定'!$C$4,COUNTIF('商品マスタ'!$B$6:$B$1005,$W2823)=0),N(U2822)+1,N(U2822))</f>
        <v/>
      </c>
      <c r="V2823" s="19">
        <f>IF($B2823="","",TEXT($B2823,"0000"))</f>
        <v/>
      </c>
      <c r="W2823" s="19">
        <f>IF($I2823="","",IF(ISNUMBER($I2823),TEXT($I2823,"0"),$I2823))</f>
        <v/>
      </c>
    </row>
    <row r="2824">
      <c r="B2824" s="25" t="n"/>
      <c r="I2824" s="25" t="n"/>
      <c r="U2824" s="19">
        <f>IF(AND($V2824='設定'!$C$4,COUNTIF('商品マスタ'!$B$6:$B$1005,$W2824)=0),N(U2823)+1,N(U2823))</f>
        <v/>
      </c>
      <c r="V2824" s="19">
        <f>IF($B2824="","",TEXT($B2824,"0000"))</f>
        <v/>
      </c>
      <c r="W2824" s="19">
        <f>IF($I2824="","",IF(ISNUMBER($I2824),TEXT($I2824,"0"),$I2824))</f>
        <v/>
      </c>
    </row>
    <row r="2825">
      <c r="B2825" s="25" t="n"/>
      <c r="I2825" s="25" t="n"/>
      <c r="U2825" s="19">
        <f>IF(AND($V2825='設定'!$C$4,COUNTIF('商品マスタ'!$B$6:$B$1005,$W2825)=0),N(U2824)+1,N(U2824))</f>
        <v/>
      </c>
      <c r="V2825" s="19">
        <f>IF($B2825="","",TEXT($B2825,"0000"))</f>
        <v/>
      </c>
      <c r="W2825" s="19">
        <f>IF($I2825="","",IF(ISNUMBER($I2825),TEXT($I2825,"0"),$I2825))</f>
        <v/>
      </c>
    </row>
    <row r="2826">
      <c r="B2826" s="25" t="n"/>
      <c r="I2826" s="25" t="n"/>
      <c r="U2826" s="19">
        <f>IF(AND($V2826='設定'!$C$4,COUNTIF('商品マスタ'!$B$6:$B$1005,$W2826)=0),N(U2825)+1,N(U2825))</f>
        <v/>
      </c>
      <c r="V2826" s="19">
        <f>IF($B2826="","",TEXT($B2826,"0000"))</f>
        <v/>
      </c>
      <c r="W2826" s="19">
        <f>IF($I2826="","",IF(ISNUMBER($I2826),TEXT($I2826,"0"),$I2826))</f>
        <v/>
      </c>
    </row>
    <row r="2827">
      <c r="B2827" s="25" t="n"/>
      <c r="I2827" s="25" t="n"/>
      <c r="U2827" s="19">
        <f>IF(AND($V2827='設定'!$C$4,COUNTIF('商品マスタ'!$B$6:$B$1005,$W2827)=0),N(U2826)+1,N(U2826))</f>
        <v/>
      </c>
      <c r="V2827" s="19">
        <f>IF($B2827="","",TEXT($B2827,"0000"))</f>
        <v/>
      </c>
      <c r="W2827" s="19">
        <f>IF($I2827="","",IF(ISNUMBER($I2827),TEXT($I2827,"0"),$I2827))</f>
        <v/>
      </c>
    </row>
    <row r="2828">
      <c r="B2828" s="25" t="n"/>
      <c r="I2828" s="25" t="n"/>
      <c r="U2828" s="19">
        <f>IF(AND($V2828='設定'!$C$4,COUNTIF('商品マスタ'!$B$6:$B$1005,$W2828)=0),N(U2827)+1,N(U2827))</f>
        <v/>
      </c>
      <c r="V2828" s="19">
        <f>IF($B2828="","",TEXT($B2828,"0000"))</f>
        <v/>
      </c>
      <c r="W2828" s="19">
        <f>IF($I2828="","",IF(ISNUMBER($I2828),TEXT($I2828,"0"),$I2828))</f>
        <v/>
      </c>
    </row>
    <row r="2829">
      <c r="B2829" s="25" t="n"/>
      <c r="I2829" s="25" t="n"/>
      <c r="U2829" s="19">
        <f>IF(AND($V2829='設定'!$C$4,COUNTIF('商品マスタ'!$B$6:$B$1005,$W2829)=0),N(U2828)+1,N(U2828))</f>
        <v/>
      </c>
      <c r="V2829" s="19">
        <f>IF($B2829="","",TEXT($B2829,"0000"))</f>
        <v/>
      </c>
      <c r="W2829" s="19">
        <f>IF($I2829="","",IF(ISNUMBER($I2829),TEXT($I2829,"0"),$I2829))</f>
        <v/>
      </c>
    </row>
    <row r="2830">
      <c r="B2830" s="25" t="n"/>
      <c r="I2830" s="25" t="n"/>
      <c r="U2830" s="19">
        <f>IF(AND($V2830='設定'!$C$4,COUNTIF('商品マスタ'!$B$6:$B$1005,$W2830)=0),N(U2829)+1,N(U2829))</f>
        <v/>
      </c>
      <c r="V2830" s="19">
        <f>IF($B2830="","",TEXT($B2830,"0000"))</f>
        <v/>
      </c>
      <c r="W2830" s="19">
        <f>IF($I2830="","",IF(ISNUMBER($I2830),TEXT($I2830,"0"),$I2830))</f>
        <v/>
      </c>
    </row>
    <row r="2831">
      <c r="B2831" s="25" t="n"/>
      <c r="I2831" s="25" t="n"/>
      <c r="U2831" s="19">
        <f>IF(AND($V2831='設定'!$C$4,COUNTIF('商品マスタ'!$B$6:$B$1005,$W2831)=0),N(U2830)+1,N(U2830))</f>
        <v/>
      </c>
      <c r="V2831" s="19">
        <f>IF($B2831="","",TEXT($B2831,"0000"))</f>
        <v/>
      </c>
      <c r="W2831" s="19">
        <f>IF($I2831="","",IF(ISNUMBER($I2831),TEXT($I2831,"0"),$I2831))</f>
        <v/>
      </c>
    </row>
    <row r="2832">
      <c r="B2832" s="25" t="n"/>
      <c r="I2832" s="25" t="n"/>
      <c r="U2832" s="19">
        <f>IF(AND($V2832='設定'!$C$4,COUNTIF('商品マスタ'!$B$6:$B$1005,$W2832)=0),N(U2831)+1,N(U2831))</f>
        <v/>
      </c>
      <c r="V2832" s="19">
        <f>IF($B2832="","",TEXT($B2832,"0000"))</f>
        <v/>
      </c>
      <c r="W2832" s="19">
        <f>IF($I2832="","",IF(ISNUMBER($I2832),TEXT($I2832,"0"),$I2832))</f>
        <v/>
      </c>
    </row>
    <row r="2833">
      <c r="B2833" s="25" t="n"/>
      <c r="I2833" s="25" t="n"/>
      <c r="U2833" s="19">
        <f>IF(AND($V2833='設定'!$C$4,COUNTIF('商品マスタ'!$B$6:$B$1005,$W2833)=0),N(U2832)+1,N(U2832))</f>
        <v/>
      </c>
      <c r="V2833" s="19">
        <f>IF($B2833="","",TEXT($B2833,"0000"))</f>
        <v/>
      </c>
      <c r="W2833" s="19">
        <f>IF($I2833="","",IF(ISNUMBER($I2833),TEXT($I2833,"0"),$I2833))</f>
        <v/>
      </c>
    </row>
    <row r="2834">
      <c r="B2834" s="25" t="n"/>
      <c r="I2834" s="25" t="n"/>
      <c r="U2834" s="19">
        <f>IF(AND($V2834='設定'!$C$4,COUNTIF('商品マスタ'!$B$6:$B$1005,$W2834)=0),N(U2833)+1,N(U2833))</f>
        <v/>
      </c>
      <c r="V2834" s="19">
        <f>IF($B2834="","",TEXT($B2834,"0000"))</f>
        <v/>
      </c>
      <c r="W2834" s="19">
        <f>IF($I2834="","",IF(ISNUMBER($I2834),TEXT($I2834,"0"),$I2834))</f>
        <v/>
      </c>
    </row>
    <row r="2835">
      <c r="B2835" s="25" t="n"/>
      <c r="I2835" s="25" t="n"/>
      <c r="U2835" s="19">
        <f>IF(AND($V2835='設定'!$C$4,COUNTIF('商品マスタ'!$B$6:$B$1005,$W2835)=0),N(U2834)+1,N(U2834))</f>
        <v/>
      </c>
      <c r="V2835" s="19">
        <f>IF($B2835="","",TEXT($B2835,"0000"))</f>
        <v/>
      </c>
      <c r="W2835" s="19">
        <f>IF($I2835="","",IF(ISNUMBER($I2835),TEXT($I2835,"0"),$I2835))</f>
        <v/>
      </c>
    </row>
    <row r="2836">
      <c r="B2836" s="25" t="n"/>
      <c r="I2836" s="25" t="n"/>
      <c r="U2836" s="19">
        <f>IF(AND($V2836='設定'!$C$4,COUNTIF('商品マスタ'!$B$6:$B$1005,$W2836)=0),N(U2835)+1,N(U2835))</f>
        <v/>
      </c>
      <c r="V2836" s="19">
        <f>IF($B2836="","",TEXT($B2836,"0000"))</f>
        <v/>
      </c>
      <c r="W2836" s="19">
        <f>IF($I2836="","",IF(ISNUMBER($I2836),TEXT($I2836,"0"),$I2836))</f>
        <v/>
      </c>
    </row>
    <row r="2837">
      <c r="B2837" s="25" t="n"/>
      <c r="I2837" s="25" t="n"/>
      <c r="U2837" s="19">
        <f>IF(AND($V2837='設定'!$C$4,COUNTIF('商品マスタ'!$B$6:$B$1005,$W2837)=0),N(U2836)+1,N(U2836))</f>
        <v/>
      </c>
      <c r="V2837" s="19">
        <f>IF($B2837="","",TEXT($B2837,"0000"))</f>
        <v/>
      </c>
      <c r="W2837" s="19">
        <f>IF($I2837="","",IF(ISNUMBER($I2837),TEXT($I2837,"0"),$I2837))</f>
        <v/>
      </c>
    </row>
    <row r="2838">
      <c r="B2838" s="25" t="n"/>
      <c r="I2838" s="25" t="n"/>
      <c r="U2838" s="19">
        <f>IF(AND($V2838='設定'!$C$4,COUNTIF('商品マスタ'!$B$6:$B$1005,$W2838)=0),N(U2837)+1,N(U2837))</f>
        <v/>
      </c>
      <c r="V2838" s="19">
        <f>IF($B2838="","",TEXT($B2838,"0000"))</f>
        <v/>
      </c>
      <c r="W2838" s="19">
        <f>IF($I2838="","",IF(ISNUMBER($I2838),TEXT($I2838,"0"),$I2838))</f>
        <v/>
      </c>
    </row>
    <row r="2839">
      <c r="B2839" s="25" t="n"/>
      <c r="I2839" s="25" t="n"/>
      <c r="U2839" s="19">
        <f>IF(AND($V2839='設定'!$C$4,COUNTIF('商品マスタ'!$B$6:$B$1005,$W2839)=0),N(U2838)+1,N(U2838))</f>
        <v/>
      </c>
      <c r="V2839" s="19">
        <f>IF($B2839="","",TEXT($B2839,"0000"))</f>
        <v/>
      </c>
      <c r="W2839" s="19">
        <f>IF($I2839="","",IF(ISNUMBER($I2839),TEXT($I2839,"0"),$I2839))</f>
        <v/>
      </c>
    </row>
    <row r="2840">
      <c r="B2840" s="25" t="n"/>
      <c r="I2840" s="25" t="n"/>
      <c r="U2840" s="19">
        <f>IF(AND($V2840='設定'!$C$4,COUNTIF('商品マスタ'!$B$6:$B$1005,$W2840)=0),N(U2839)+1,N(U2839))</f>
        <v/>
      </c>
      <c r="V2840" s="19">
        <f>IF($B2840="","",TEXT($B2840,"0000"))</f>
        <v/>
      </c>
      <c r="W2840" s="19">
        <f>IF($I2840="","",IF(ISNUMBER($I2840),TEXT($I2840,"0"),$I2840))</f>
        <v/>
      </c>
    </row>
    <row r="2841">
      <c r="B2841" s="25" t="n"/>
      <c r="I2841" s="25" t="n"/>
      <c r="U2841" s="19">
        <f>IF(AND($V2841='設定'!$C$4,COUNTIF('商品マスタ'!$B$6:$B$1005,$W2841)=0),N(U2840)+1,N(U2840))</f>
        <v/>
      </c>
      <c r="V2841" s="19">
        <f>IF($B2841="","",TEXT($B2841,"0000"))</f>
        <v/>
      </c>
      <c r="W2841" s="19">
        <f>IF($I2841="","",IF(ISNUMBER($I2841),TEXT($I2841,"0"),$I2841))</f>
        <v/>
      </c>
    </row>
    <row r="2842">
      <c r="B2842" s="25" t="n"/>
      <c r="I2842" s="25" t="n"/>
      <c r="U2842" s="19">
        <f>IF(AND($V2842='設定'!$C$4,COUNTIF('商品マスタ'!$B$6:$B$1005,$W2842)=0),N(U2841)+1,N(U2841))</f>
        <v/>
      </c>
      <c r="V2842" s="19">
        <f>IF($B2842="","",TEXT($B2842,"0000"))</f>
        <v/>
      </c>
      <c r="W2842" s="19">
        <f>IF($I2842="","",IF(ISNUMBER($I2842),TEXT($I2842,"0"),$I2842))</f>
        <v/>
      </c>
    </row>
    <row r="2843">
      <c r="B2843" s="25" t="n"/>
      <c r="I2843" s="25" t="n"/>
      <c r="U2843" s="19">
        <f>IF(AND($V2843='設定'!$C$4,COUNTIF('商品マスタ'!$B$6:$B$1005,$W2843)=0),N(U2842)+1,N(U2842))</f>
        <v/>
      </c>
      <c r="V2843" s="19">
        <f>IF($B2843="","",TEXT($B2843,"0000"))</f>
        <v/>
      </c>
      <c r="W2843" s="19">
        <f>IF($I2843="","",IF(ISNUMBER($I2843),TEXT($I2843,"0"),$I2843))</f>
        <v/>
      </c>
    </row>
    <row r="2844">
      <c r="B2844" s="25" t="n"/>
      <c r="I2844" s="25" t="n"/>
      <c r="U2844" s="19">
        <f>IF(AND($V2844='設定'!$C$4,COUNTIF('商品マスタ'!$B$6:$B$1005,$W2844)=0),N(U2843)+1,N(U2843))</f>
        <v/>
      </c>
      <c r="V2844" s="19">
        <f>IF($B2844="","",TEXT($B2844,"0000"))</f>
        <v/>
      </c>
      <c r="W2844" s="19">
        <f>IF($I2844="","",IF(ISNUMBER($I2844),TEXT($I2844,"0"),$I2844))</f>
        <v/>
      </c>
    </row>
    <row r="2845">
      <c r="B2845" s="25" t="n"/>
      <c r="I2845" s="25" t="n"/>
      <c r="U2845" s="19">
        <f>IF(AND($V2845='設定'!$C$4,COUNTIF('商品マスタ'!$B$6:$B$1005,$W2845)=0),N(U2844)+1,N(U2844))</f>
        <v/>
      </c>
      <c r="V2845" s="19">
        <f>IF($B2845="","",TEXT($B2845,"0000"))</f>
        <v/>
      </c>
      <c r="W2845" s="19">
        <f>IF($I2845="","",IF(ISNUMBER($I2845),TEXT($I2845,"0"),$I2845))</f>
        <v/>
      </c>
    </row>
    <row r="2846">
      <c r="B2846" s="25" t="n"/>
      <c r="I2846" s="25" t="n"/>
      <c r="U2846" s="19">
        <f>IF(AND($V2846='設定'!$C$4,COUNTIF('商品マスタ'!$B$6:$B$1005,$W2846)=0),N(U2845)+1,N(U2845))</f>
        <v/>
      </c>
      <c r="V2846" s="19">
        <f>IF($B2846="","",TEXT($B2846,"0000"))</f>
        <v/>
      </c>
      <c r="W2846" s="19">
        <f>IF($I2846="","",IF(ISNUMBER($I2846),TEXT($I2846,"0"),$I2846))</f>
        <v/>
      </c>
    </row>
    <row r="2847">
      <c r="B2847" s="25" t="n"/>
      <c r="I2847" s="25" t="n"/>
      <c r="U2847" s="19">
        <f>IF(AND($V2847='設定'!$C$4,COUNTIF('商品マスタ'!$B$6:$B$1005,$W2847)=0),N(U2846)+1,N(U2846))</f>
        <v/>
      </c>
      <c r="V2847" s="19">
        <f>IF($B2847="","",TEXT($B2847,"0000"))</f>
        <v/>
      </c>
      <c r="W2847" s="19">
        <f>IF($I2847="","",IF(ISNUMBER($I2847),TEXT($I2847,"0"),$I2847))</f>
        <v/>
      </c>
    </row>
    <row r="2848">
      <c r="B2848" s="25" t="n"/>
      <c r="I2848" s="25" t="n"/>
      <c r="U2848" s="19">
        <f>IF(AND($V2848='設定'!$C$4,COUNTIF('商品マスタ'!$B$6:$B$1005,$W2848)=0),N(U2847)+1,N(U2847))</f>
        <v/>
      </c>
      <c r="V2848" s="19">
        <f>IF($B2848="","",TEXT($B2848,"0000"))</f>
        <v/>
      </c>
      <c r="W2848" s="19">
        <f>IF($I2848="","",IF(ISNUMBER($I2848),TEXT($I2848,"0"),$I2848))</f>
        <v/>
      </c>
    </row>
    <row r="2849">
      <c r="B2849" s="25" t="n"/>
      <c r="I2849" s="25" t="n"/>
      <c r="U2849" s="19">
        <f>IF(AND($V2849='設定'!$C$4,COUNTIF('商品マスタ'!$B$6:$B$1005,$W2849)=0),N(U2848)+1,N(U2848))</f>
        <v/>
      </c>
      <c r="V2849" s="19">
        <f>IF($B2849="","",TEXT($B2849,"0000"))</f>
        <v/>
      </c>
      <c r="W2849" s="19">
        <f>IF($I2849="","",IF(ISNUMBER($I2849),TEXT($I2849,"0"),$I2849))</f>
        <v/>
      </c>
    </row>
    <row r="2850">
      <c r="B2850" s="25" t="n"/>
      <c r="I2850" s="25" t="n"/>
      <c r="U2850" s="19">
        <f>IF(AND($V2850='設定'!$C$4,COUNTIF('商品マスタ'!$B$6:$B$1005,$W2850)=0),N(U2849)+1,N(U2849))</f>
        <v/>
      </c>
      <c r="V2850" s="19">
        <f>IF($B2850="","",TEXT($B2850,"0000"))</f>
        <v/>
      </c>
      <c r="W2850" s="19">
        <f>IF($I2850="","",IF(ISNUMBER($I2850),TEXT($I2850,"0"),$I2850))</f>
        <v/>
      </c>
    </row>
    <row r="2851">
      <c r="B2851" s="25" t="n"/>
      <c r="I2851" s="25" t="n"/>
      <c r="U2851" s="19">
        <f>IF(AND($V2851='設定'!$C$4,COUNTIF('商品マスタ'!$B$6:$B$1005,$W2851)=0),N(U2850)+1,N(U2850))</f>
        <v/>
      </c>
      <c r="V2851" s="19">
        <f>IF($B2851="","",TEXT($B2851,"0000"))</f>
        <v/>
      </c>
      <c r="W2851" s="19">
        <f>IF($I2851="","",IF(ISNUMBER($I2851),TEXT($I2851,"0"),$I2851))</f>
        <v/>
      </c>
    </row>
    <row r="2852">
      <c r="B2852" s="25" t="n"/>
      <c r="I2852" s="25" t="n"/>
      <c r="U2852" s="19">
        <f>IF(AND($V2852='設定'!$C$4,COUNTIF('商品マスタ'!$B$6:$B$1005,$W2852)=0),N(U2851)+1,N(U2851))</f>
        <v/>
      </c>
      <c r="V2852" s="19">
        <f>IF($B2852="","",TEXT($B2852,"0000"))</f>
        <v/>
      </c>
      <c r="W2852" s="19">
        <f>IF($I2852="","",IF(ISNUMBER($I2852),TEXT($I2852,"0"),$I2852))</f>
        <v/>
      </c>
    </row>
    <row r="2853">
      <c r="B2853" s="25" t="n"/>
      <c r="I2853" s="25" t="n"/>
      <c r="U2853" s="19">
        <f>IF(AND($V2853='設定'!$C$4,COUNTIF('商品マスタ'!$B$6:$B$1005,$W2853)=0),N(U2852)+1,N(U2852))</f>
        <v/>
      </c>
      <c r="V2853" s="19">
        <f>IF($B2853="","",TEXT($B2853,"0000"))</f>
        <v/>
      </c>
      <c r="W2853" s="19">
        <f>IF($I2853="","",IF(ISNUMBER($I2853),TEXT($I2853,"0"),$I2853))</f>
        <v/>
      </c>
    </row>
    <row r="2854">
      <c r="B2854" s="25" t="n"/>
      <c r="I2854" s="25" t="n"/>
      <c r="U2854" s="19">
        <f>IF(AND($V2854='設定'!$C$4,COUNTIF('商品マスタ'!$B$6:$B$1005,$W2854)=0),N(U2853)+1,N(U2853))</f>
        <v/>
      </c>
      <c r="V2854" s="19">
        <f>IF($B2854="","",TEXT($B2854,"0000"))</f>
        <v/>
      </c>
      <c r="W2854" s="19">
        <f>IF($I2854="","",IF(ISNUMBER($I2854),TEXT($I2854,"0"),$I2854))</f>
        <v/>
      </c>
    </row>
    <row r="2855">
      <c r="B2855" s="25" t="n"/>
      <c r="I2855" s="25" t="n"/>
      <c r="U2855" s="19">
        <f>IF(AND($V2855='設定'!$C$4,COUNTIF('商品マスタ'!$B$6:$B$1005,$W2855)=0),N(U2854)+1,N(U2854))</f>
        <v/>
      </c>
      <c r="V2855" s="19">
        <f>IF($B2855="","",TEXT($B2855,"0000"))</f>
        <v/>
      </c>
      <c r="W2855" s="19">
        <f>IF($I2855="","",IF(ISNUMBER($I2855),TEXT($I2855,"0"),$I2855))</f>
        <v/>
      </c>
    </row>
    <row r="2856">
      <c r="B2856" s="25" t="n"/>
      <c r="I2856" s="25" t="n"/>
      <c r="U2856" s="19">
        <f>IF(AND($V2856='設定'!$C$4,COUNTIF('商品マスタ'!$B$6:$B$1005,$W2856)=0),N(U2855)+1,N(U2855))</f>
        <v/>
      </c>
      <c r="V2856" s="19">
        <f>IF($B2856="","",TEXT($B2856,"0000"))</f>
        <v/>
      </c>
      <c r="W2856" s="19">
        <f>IF($I2856="","",IF(ISNUMBER($I2856),TEXT($I2856,"0"),$I2856))</f>
        <v/>
      </c>
    </row>
    <row r="2857">
      <c r="B2857" s="25" t="n"/>
      <c r="I2857" s="25" t="n"/>
      <c r="U2857" s="19">
        <f>IF(AND($V2857='設定'!$C$4,COUNTIF('商品マスタ'!$B$6:$B$1005,$W2857)=0),N(U2856)+1,N(U2856))</f>
        <v/>
      </c>
      <c r="V2857" s="19">
        <f>IF($B2857="","",TEXT($B2857,"0000"))</f>
        <v/>
      </c>
      <c r="W2857" s="19">
        <f>IF($I2857="","",IF(ISNUMBER($I2857),TEXT($I2857,"0"),$I2857))</f>
        <v/>
      </c>
    </row>
    <row r="2858">
      <c r="B2858" s="25" t="n"/>
      <c r="I2858" s="25" t="n"/>
      <c r="U2858" s="19">
        <f>IF(AND($V2858='設定'!$C$4,COUNTIF('商品マスタ'!$B$6:$B$1005,$W2858)=0),N(U2857)+1,N(U2857))</f>
        <v/>
      </c>
      <c r="V2858" s="19">
        <f>IF($B2858="","",TEXT($B2858,"0000"))</f>
        <v/>
      </c>
      <c r="W2858" s="19">
        <f>IF($I2858="","",IF(ISNUMBER($I2858),TEXT($I2858,"0"),$I2858))</f>
        <v/>
      </c>
    </row>
    <row r="2859">
      <c r="B2859" s="25" t="n"/>
      <c r="I2859" s="25" t="n"/>
      <c r="U2859" s="19">
        <f>IF(AND($V2859='設定'!$C$4,COUNTIF('商品マスタ'!$B$6:$B$1005,$W2859)=0),N(U2858)+1,N(U2858))</f>
        <v/>
      </c>
      <c r="V2859" s="19">
        <f>IF($B2859="","",TEXT($B2859,"0000"))</f>
        <v/>
      </c>
      <c r="W2859" s="19">
        <f>IF($I2859="","",IF(ISNUMBER($I2859),TEXT($I2859,"0"),$I2859))</f>
        <v/>
      </c>
    </row>
    <row r="2860">
      <c r="B2860" s="25" t="n"/>
      <c r="I2860" s="25" t="n"/>
      <c r="U2860" s="19">
        <f>IF(AND($V2860='設定'!$C$4,COUNTIF('商品マスタ'!$B$6:$B$1005,$W2860)=0),N(U2859)+1,N(U2859))</f>
        <v/>
      </c>
      <c r="V2860" s="19">
        <f>IF($B2860="","",TEXT($B2860,"0000"))</f>
        <v/>
      </c>
      <c r="W2860" s="19">
        <f>IF($I2860="","",IF(ISNUMBER($I2860),TEXT($I2860,"0"),$I2860))</f>
        <v/>
      </c>
    </row>
    <row r="2861">
      <c r="B2861" s="25" t="n"/>
      <c r="I2861" s="25" t="n"/>
      <c r="U2861" s="19">
        <f>IF(AND($V2861='設定'!$C$4,COUNTIF('商品マスタ'!$B$6:$B$1005,$W2861)=0),N(U2860)+1,N(U2860))</f>
        <v/>
      </c>
      <c r="V2861" s="19">
        <f>IF($B2861="","",TEXT($B2861,"0000"))</f>
        <v/>
      </c>
      <c r="W2861" s="19">
        <f>IF($I2861="","",IF(ISNUMBER($I2861),TEXT($I2861,"0"),$I2861))</f>
        <v/>
      </c>
    </row>
    <row r="2862">
      <c r="B2862" s="25" t="n"/>
      <c r="I2862" s="25" t="n"/>
      <c r="U2862" s="19">
        <f>IF(AND($V2862='設定'!$C$4,COUNTIF('商品マスタ'!$B$6:$B$1005,$W2862)=0),N(U2861)+1,N(U2861))</f>
        <v/>
      </c>
      <c r="V2862" s="19">
        <f>IF($B2862="","",TEXT($B2862,"0000"))</f>
        <v/>
      </c>
      <c r="W2862" s="19">
        <f>IF($I2862="","",IF(ISNUMBER($I2862),TEXT($I2862,"0"),$I2862))</f>
        <v/>
      </c>
    </row>
    <row r="2863">
      <c r="B2863" s="25" t="n"/>
      <c r="I2863" s="25" t="n"/>
      <c r="U2863" s="19">
        <f>IF(AND($V2863='設定'!$C$4,COUNTIF('商品マスタ'!$B$6:$B$1005,$W2863)=0),N(U2862)+1,N(U2862))</f>
        <v/>
      </c>
      <c r="V2863" s="19">
        <f>IF($B2863="","",TEXT($B2863,"0000"))</f>
        <v/>
      </c>
      <c r="W2863" s="19">
        <f>IF($I2863="","",IF(ISNUMBER($I2863),TEXT($I2863,"0"),$I2863))</f>
        <v/>
      </c>
    </row>
    <row r="2864">
      <c r="B2864" s="25" t="n"/>
      <c r="I2864" s="25" t="n"/>
      <c r="U2864" s="19">
        <f>IF(AND($V2864='設定'!$C$4,COUNTIF('商品マスタ'!$B$6:$B$1005,$W2864)=0),N(U2863)+1,N(U2863))</f>
        <v/>
      </c>
      <c r="V2864" s="19">
        <f>IF($B2864="","",TEXT($B2864,"0000"))</f>
        <v/>
      </c>
      <c r="W2864" s="19">
        <f>IF($I2864="","",IF(ISNUMBER($I2864),TEXT($I2864,"0"),$I2864))</f>
        <v/>
      </c>
    </row>
    <row r="2865">
      <c r="B2865" s="25" t="n"/>
      <c r="I2865" s="25" t="n"/>
      <c r="U2865" s="19">
        <f>IF(AND($V2865='設定'!$C$4,COUNTIF('商品マスタ'!$B$6:$B$1005,$W2865)=0),N(U2864)+1,N(U2864))</f>
        <v/>
      </c>
      <c r="V2865" s="19">
        <f>IF($B2865="","",TEXT($B2865,"0000"))</f>
        <v/>
      </c>
      <c r="W2865" s="19">
        <f>IF($I2865="","",IF(ISNUMBER($I2865),TEXT($I2865,"0"),$I2865))</f>
        <v/>
      </c>
    </row>
    <row r="2866">
      <c r="B2866" s="25" t="n"/>
      <c r="I2866" s="25" t="n"/>
      <c r="U2866" s="19">
        <f>IF(AND($V2866='設定'!$C$4,COUNTIF('商品マスタ'!$B$6:$B$1005,$W2866)=0),N(U2865)+1,N(U2865))</f>
        <v/>
      </c>
      <c r="V2866" s="19">
        <f>IF($B2866="","",TEXT($B2866,"0000"))</f>
        <v/>
      </c>
      <c r="W2866" s="19">
        <f>IF($I2866="","",IF(ISNUMBER($I2866),TEXT($I2866,"0"),$I2866))</f>
        <v/>
      </c>
    </row>
    <row r="2867">
      <c r="B2867" s="25" t="n"/>
      <c r="I2867" s="25" t="n"/>
      <c r="U2867" s="19">
        <f>IF(AND($V2867='設定'!$C$4,COUNTIF('商品マスタ'!$B$6:$B$1005,$W2867)=0),N(U2866)+1,N(U2866))</f>
        <v/>
      </c>
      <c r="V2867" s="19">
        <f>IF($B2867="","",TEXT($B2867,"0000"))</f>
        <v/>
      </c>
      <c r="W2867" s="19">
        <f>IF($I2867="","",IF(ISNUMBER($I2867),TEXT($I2867,"0"),$I2867))</f>
        <v/>
      </c>
    </row>
    <row r="2868">
      <c r="B2868" s="25" t="n"/>
      <c r="I2868" s="25" t="n"/>
      <c r="U2868" s="19">
        <f>IF(AND($V2868='設定'!$C$4,COUNTIF('商品マスタ'!$B$6:$B$1005,$W2868)=0),N(U2867)+1,N(U2867))</f>
        <v/>
      </c>
      <c r="V2868" s="19">
        <f>IF($B2868="","",TEXT($B2868,"0000"))</f>
        <v/>
      </c>
      <c r="W2868" s="19">
        <f>IF($I2868="","",IF(ISNUMBER($I2868),TEXT($I2868,"0"),$I2868))</f>
        <v/>
      </c>
    </row>
    <row r="2869">
      <c r="B2869" s="25" t="n"/>
      <c r="I2869" s="25" t="n"/>
      <c r="U2869" s="19">
        <f>IF(AND($V2869='設定'!$C$4,COUNTIF('商品マスタ'!$B$6:$B$1005,$W2869)=0),N(U2868)+1,N(U2868))</f>
        <v/>
      </c>
      <c r="V2869" s="19">
        <f>IF($B2869="","",TEXT($B2869,"0000"))</f>
        <v/>
      </c>
      <c r="W2869" s="19">
        <f>IF($I2869="","",IF(ISNUMBER($I2869),TEXT($I2869,"0"),$I2869))</f>
        <v/>
      </c>
    </row>
    <row r="2870">
      <c r="B2870" s="25" t="n"/>
      <c r="I2870" s="25" t="n"/>
      <c r="U2870" s="19">
        <f>IF(AND($V2870='設定'!$C$4,COUNTIF('商品マスタ'!$B$6:$B$1005,$W2870)=0),N(U2869)+1,N(U2869))</f>
        <v/>
      </c>
      <c r="V2870" s="19">
        <f>IF($B2870="","",TEXT($B2870,"0000"))</f>
        <v/>
      </c>
      <c r="W2870" s="19">
        <f>IF($I2870="","",IF(ISNUMBER($I2870),TEXT($I2870,"0"),$I2870))</f>
        <v/>
      </c>
    </row>
    <row r="2871">
      <c r="B2871" s="25" t="n"/>
      <c r="I2871" s="25" t="n"/>
      <c r="U2871" s="19">
        <f>IF(AND($V2871='設定'!$C$4,COUNTIF('商品マスタ'!$B$6:$B$1005,$W2871)=0),N(U2870)+1,N(U2870))</f>
        <v/>
      </c>
      <c r="V2871" s="19">
        <f>IF($B2871="","",TEXT($B2871,"0000"))</f>
        <v/>
      </c>
      <c r="W2871" s="19">
        <f>IF($I2871="","",IF(ISNUMBER($I2871),TEXT($I2871,"0"),$I2871))</f>
        <v/>
      </c>
    </row>
    <row r="2872">
      <c r="B2872" s="25" t="n"/>
      <c r="I2872" s="25" t="n"/>
      <c r="U2872" s="19">
        <f>IF(AND($V2872='設定'!$C$4,COUNTIF('商品マスタ'!$B$6:$B$1005,$W2872)=0),N(U2871)+1,N(U2871))</f>
        <v/>
      </c>
      <c r="V2872" s="19">
        <f>IF($B2872="","",TEXT($B2872,"0000"))</f>
        <v/>
      </c>
      <c r="W2872" s="19">
        <f>IF($I2872="","",IF(ISNUMBER($I2872),TEXT($I2872,"0"),$I2872))</f>
        <v/>
      </c>
    </row>
    <row r="2873">
      <c r="B2873" s="25" t="n"/>
      <c r="I2873" s="25" t="n"/>
      <c r="U2873" s="19">
        <f>IF(AND($V2873='設定'!$C$4,COUNTIF('商品マスタ'!$B$6:$B$1005,$W2873)=0),N(U2872)+1,N(U2872))</f>
        <v/>
      </c>
      <c r="V2873" s="19">
        <f>IF($B2873="","",TEXT($B2873,"0000"))</f>
        <v/>
      </c>
      <c r="W2873" s="19">
        <f>IF($I2873="","",IF(ISNUMBER($I2873),TEXT($I2873,"0"),$I2873))</f>
        <v/>
      </c>
    </row>
    <row r="2874">
      <c r="B2874" s="25" t="n"/>
      <c r="I2874" s="25" t="n"/>
      <c r="U2874" s="19">
        <f>IF(AND($V2874='設定'!$C$4,COUNTIF('商品マスタ'!$B$6:$B$1005,$W2874)=0),N(U2873)+1,N(U2873))</f>
        <v/>
      </c>
      <c r="V2874" s="19">
        <f>IF($B2874="","",TEXT($B2874,"0000"))</f>
        <v/>
      </c>
      <c r="W2874" s="19">
        <f>IF($I2874="","",IF(ISNUMBER($I2874),TEXT($I2874,"0"),$I2874))</f>
        <v/>
      </c>
    </row>
    <row r="2875">
      <c r="B2875" s="25" t="n"/>
      <c r="I2875" s="25" t="n"/>
      <c r="U2875" s="19">
        <f>IF(AND($V2875='設定'!$C$4,COUNTIF('商品マスタ'!$B$6:$B$1005,$W2875)=0),N(U2874)+1,N(U2874))</f>
        <v/>
      </c>
      <c r="V2875" s="19">
        <f>IF($B2875="","",TEXT($B2875,"0000"))</f>
        <v/>
      </c>
      <c r="W2875" s="19">
        <f>IF($I2875="","",IF(ISNUMBER($I2875),TEXT($I2875,"0"),$I2875))</f>
        <v/>
      </c>
    </row>
    <row r="2876">
      <c r="B2876" s="25" t="n"/>
      <c r="I2876" s="25" t="n"/>
      <c r="U2876" s="19">
        <f>IF(AND($V2876='設定'!$C$4,COUNTIF('商品マスタ'!$B$6:$B$1005,$W2876)=0),N(U2875)+1,N(U2875))</f>
        <v/>
      </c>
      <c r="V2876" s="19">
        <f>IF($B2876="","",TEXT($B2876,"0000"))</f>
        <v/>
      </c>
      <c r="W2876" s="19">
        <f>IF($I2876="","",IF(ISNUMBER($I2876),TEXT($I2876,"0"),$I2876))</f>
        <v/>
      </c>
    </row>
    <row r="2877">
      <c r="B2877" s="25" t="n"/>
      <c r="I2877" s="25" t="n"/>
      <c r="U2877" s="19">
        <f>IF(AND($V2877='設定'!$C$4,COUNTIF('商品マスタ'!$B$6:$B$1005,$W2877)=0),N(U2876)+1,N(U2876))</f>
        <v/>
      </c>
      <c r="V2877" s="19">
        <f>IF($B2877="","",TEXT($B2877,"0000"))</f>
        <v/>
      </c>
      <c r="W2877" s="19">
        <f>IF($I2877="","",IF(ISNUMBER($I2877),TEXT($I2877,"0"),$I2877))</f>
        <v/>
      </c>
    </row>
    <row r="2878">
      <c r="B2878" s="25" t="n"/>
      <c r="I2878" s="25" t="n"/>
      <c r="U2878" s="19">
        <f>IF(AND($V2878='設定'!$C$4,COUNTIF('商品マスタ'!$B$6:$B$1005,$W2878)=0),N(U2877)+1,N(U2877))</f>
        <v/>
      </c>
      <c r="V2878" s="19">
        <f>IF($B2878="","",TEXT($B2878,"0000"))</f>
        <v/>
      </c>
      <c r="W2878" s="19">
        <f>IF($I2878="","",IF(ISNUMBER($I2878),TEXT($I2878,"0"),$I2878))</f>
        <v/>
      </c>
    </row>
    <row r="2879">
      <c r="B2879" s="25" t="n"/>
      <c r="I2879" s="25" t="n"/>
      <c r="U2879" s="19">
        <f>IF(AND($V2879='設定'!$C$4,COUNTIF('商品マスタ'!$B$6:$B$1005,$W2879)=0),N(U2878)+1,N(U2878))</f>
        <v/>
      </c>
      <c r="V2879" s="19">
        <f>IF($B2879="","",TEXT($B2879,"0000"))</f>
        <v/>
      </c>
      <c r="W2879" s="19">
        <f>IF($I2879="","",IF(ISNUMBER($I2879),TEXT($I2879,"0"),$I2879))</f>
        <v/>
      </c>
    </row>
    <row r="2880">
      <c r="B2880" s="25" t="n"/>
      <c r="I2880" s="25" t="n"/>
      <c r="U2880" s="19">
        <f>IF(AND($V2880='設定'!$C$4,COUNTIF('商品マスタ'!$B$6:$B$1005,$W2880)=0),N(U2879)+1,N(U2879))</f>
        <v/>
      </c>
      <c r="V2880" s="19">
        <f>IF($B2880="","",TEXT($B2880,"0000"))</f>
        <v/>
      </c>
      <c r="W2880" s="19">
        <f>IF($I2880="","",IF(ISNUMBER($I2880),TEXT($I2880,"0"),$I2880))</f>
        <v/>
      </c>
    </row>
    <row r="2881">
      <c r="B2881" s="25" t="n"/>
      <c r="I2881" s="25" t="n"/>
      <c r="U2881" s="19">
        <f>IF(AND($V2881='設定'!$C$4,COUNTIF('商品マスタ'!$B$6:$B$1005,$W2881)=0),N(U2880)+1,N(U2880))</f>
        <v/>
      </c>
      <c r="V2881" s="19">
        <f>IF($B2881="","",TEXT($B2881,"0000"))</f>
        <v/>
      </c>
      <c r="W2881" s="19">
        <f>IF($I2881="","",IF(ISNUMBER($I2881),TEXT($I2881,"0"),$I2881))</f>
        <v/>
      </c>
    </row>
    <row r="2882">
      <c r="B2882" s="25" t="n"/>
      <c r="I2882" s="25" t="n"/>
      <c r="U2882" s="19">
        <f>IF(AND($V2882='設定'!$C$4,COUNTIF('商品マスタ'!$B$6:$B$1005,$W2882)=0),N(U2881)+1,N(U2881))</f>
        <v/>
      </c>
      <c r="V2882" s="19">
        <f>IF($B2882="","",TEXT($B2882,"0000"))</f>
        <v/>
      </c>
      <c r="W2882" s="19">
        <f>IF($I2882="","",IF(ISNUMBER($I2882),TEXT($I2882,"0"),$I2882))</f>
        <v/>
      </c>
    </row>
    <row r="2883">
      <c r="B2883" s="25" t="n"/>
      <c r="I2883" s="25" t="n"/>
      <c r="U2883" s="19">
        <f>IF(AND($V2883='設定'!$C$4,COUNTIF('商品マスタ'!$B$6:$B$1005,$W2883)=0),N(U2882)+1,N(U2882))</f>
        <v/>
      </c>
      <c r="V2883" s="19">
        <f>IF($B2883="","",TEXT($B2883,"0000"))</f>
        <v/>
      </c>
      <c r="W2883" s="19">
        <f>IF($I2883="","",IF(ISNUMBER($I2883),TEXT($I2883,"0"),$I2883))</f>
        <v/>
      </c>
    </row>
    <row r="2884">
      <c r="B2884" s="25" t="n"/>
      <c r="I2884" s="25" t="n"/>
      <c r="U2884" s="19">
        <f>IF(AND($V2884='設定'!$C$4,COUNTIF('商品マスタ'!$B$6:$B$1005,$W2884)=0),N(U2883)+1,N(U2883))</f>
        <v/>
      </c>
      <c r="V2884" s="19">
        <f>IF($B2884="","",TEXT($B2884,"0000"))</f>
        <v/>
      </c>
      <c r="W2884" s="19">
        <f>IF($I2884="","",IF(ISNUMBER($I2884),TEXT($I2884,"0"),$I2884))</f>
        <v/>
      </c>
    </row>
    <row r="2885">
      <c r="B2885" s="25" t="n"/>
      <c r="I2885" s="25" t="n"/>
      <c r="U2885" s="19">
        <f>IF(AND($V2885='設定'!$C$4,COUNTIF('商品マスタ'!$B$6:$B$1005,$W2885)=0),N(U2884)+1,N(U2884))</f>
        <v/>
      </c>
      <c r="V2885" s="19">
        <f>IF($B2885="","",TEXT($B2885,"0000"))</f>
        <v/>
      </c>
      <c r="W2885" s="19">
        <f>IF($I2885="","",IF(ISNUMBER($I2885),TEXT($I2885,"0"),$I2885))</f>
        <v/>
      </c>
    </row>
    <row r="2886">
      <c r="B2886" s="25" t="n"/>
      <c r="I2886" s="25" t="n"/>
      <c r="U2886" s="19">
        <f>IF(AND($V2886='設定'!$C$4,COUNTIF('商品マスタ'!$B$6:$B$1005,$W2886)=0),N(U2885)+1,N(U2885))</f>
        <v/>
      </c>
      <c r="V2886" s="19">
        <f>IF($B2886="","",TEXT($B2886,"0000"))</f>
        <v/>
      </c>
      <c r="W2886" s="19">
        <f>IF($I2886="","",IF(ISNUMBER($I2886),TEXT($I2886,"0"),$I2886))</f>
        <v/>
      </c>
    </row>
    <row r="2887">
      <c r="B2887" s="25" t="n"/>
      <c r="I2887" s="25" t="n"/>
      <c r="U2887" s="19">
        <f>IF(AND($V2887='設定'!$C$4,COUNTIF('商品マスタ'!$B$6:$B$1005,$W2887)=0),N(U2886)+1,N(U2886))</f>
        <v/>
      </c>
      <c r="V2887" s="19">
        <f>IF($B2887="","",TEXT($B2887,"0000"))</f>
        <v/>
      </c>
      <c r="W2887" s="19">
        <f>IF($I2887="","",IF(ISNUMBER($I2887),TEXT($I2887,"0"),$I2887))</f>
        <v/>
      </c>
    </row>
    <row r="2888">
      <c r="B2888" s="25" t="n"/>
      <c r="I2888" s="25" t="n"/>
      <c r="U2888" s="19">
        <f>IF(AND($V2888='設定'!$C$4,COUNTIF('商品マスタ'!$B$6:$B$1005,$W2888)=0),N(U2887)+1,N(U2887))</f>
        <v/>
      </c>
      <c r="V2888" s="19">
        <f>IF($B2888="","",TEXT($B2888,"0000"))</f>
        <v/>
      </c>
      <c r="W2888" s="19">
        <f>IF($I2888="","",IF(ISNUMBER($I2888),TEXT($I2888,"0"),$I2888))</f>
        <v/>
      </c>
    </row>
    <row r="2889">
      <c r="B2889" s="25" t="n"/>
      <c r="I2889" s="25" t="n"/>
      <c r="U2889" s="19">
        <f>IF(AND($V2889='設定'!$C$4,COUNTIF('商品マスタ'!$B$6:$B$1005,$W2889)=0),N(U2888)+1,N(U2888))</f>
        <v/>
      </c>
      <c r="V2889" s="19">
        <f>IF($B2889="","",TEXT($B2889,"0000"))</f>
        <v/>
      </c>
      <c r="W2889" s="19">
        <f>IF($I2889="","",IF(ISNUMBER($I2889),TEXT($I2889,"0"),$I2889))</f>
        <v/>
      </c>
    </row>
    <row r="2890">
      <c r="B2890" s="25" t="n"/>
      <c r="I2890" s="25" t="n"/>
      <c r="U2890" s="19">
        <f>IF(AND($V2890='設定'!$C$4,COUNTIF('商品マスタ'!$B$6:$B$1005,$W2890)=0),N(U2889)+1,N(U2889))</f>
        <v/>
      </c>
      <c r="V2890" s="19">
        <f>IF($B2890="","",TEXT($B2890,"0000"))</f>
        <v/>
      </c>
      <c r="W2890" s="19">
        <f>IF($I2890="","",IF(ISNUMBER($I2890),TEXT($I2890,"0"),$I2890))</f>
        <v/>
      </c>
    </row>
    <row r="2891">
      <c r="B2891" s="25" t="n"/>
      <c r="I2891" s="25" t="n"/>
      <c r="U2891" s="19">
        <f>IF(AND($V2891='設定'!$C$4,COUNTIF('商品マスタ'!$B$6:$B$1005,$W2891)=0),N(U2890)+1,N(U2890))</f>
        <v/>
      </c>
      <c r="V2891" s="19">
        <f>IF($B2891="","",TEXT($B2891,"0000"))</f>
        <v/>
      </c>
      <c r="W2891" s="19">
        <f>IF($I2891="","",IF(ISNUMBER($I2891),TEXT($I2891,"0"),$I2891))</f>
        <v/>
      </c>
    </row>
    <row r="2892">
      <c r="B2892" s="25" t="n"/>
      <c r="I2892" s="25" t="n"/>
      <c r="U2892" s="19">
        <f>IF(AND($V2892='設定'!$C$4,COUNTIF('商品マスタ'!$B$6:$B$1005,$W2892)=0),N(U2891)+1,N(U2891))</f>
        <v/>
      </c>
      <c r="V2892" s="19">
        <f>IF($B2892="","",TEXT($B2892,"0000"))</f>
        <v/>
      </c>
      <c r="W2892" s="19">
        <f>IF($I2892="","",IF(ISNUMBER($I2892),TEXT($I2892,"0"),$I2892))</f>
        <v/>
      </c>
    </row>
    <row r="2893">
      <c r="B2893" s="25" t="n"/>
      <c r="I2893" s="25" t="n"/>
      <c r="U2893" s="19">
        <f>IF(AND($V2893='設定'!$C$4,COUNTIF('商品マスタ'!$B$6:$B$1005,$W2893)=0),N(U2892)+1,N(U2892))</f>
        <v/>
      </c>
      <c r="V2893" s="19">
        <f>IF($B2893="","",TEXT($B2893,"0000"))</f>
        <v/>
      </c>
      <c r="W2893" s="19">
        <f>IF($I2893="","",IF(ISNUMBER($I2893),TEXT($I2893,"0"),$I2893))</f>
        <v/>
      </c>
    </row>
    <row r="2894">
      <c r="B2894" s="25" t="n"/>
      <c r="I2894" s="25" t="n"/>
      <c r="U2894" s="19">
        <f>IF(AND($V2894='設定'!$C$4,COUNTIF('商品マスタ'!$B$6:$B$1005,$W2894)=0),N(U2893)+1,N(U2893))</f>
        <v/>
      </c>
      <c r="V2894" s="19">
        <f>IF($B2894="","",TEXT($B2894,"0000"))</f>
        <v/>
      </c>
      <c r="W2894" s="19">
        <f>IF($I2894="","",IF(ISNUMBER($I2894),TEXT($I2894,"0"),$I2894))</f>
        <v/>
      </c>
    </row>
    <row r="2895">
      <c r="B2895" s="25" t="n"/>
      <c r="I2895" s="25" t="n"/>
      <c r="U2895" s="19">
        <f>IF(AND($V2895='設定'!$C$4,COUNTIF('商品マスタ'!$B$6:$B$1005,$W2895)=0),N(U2894)+1,N(U2894))</f>
        <v/>
      </c>
      <c r="V2895" s="19">
        <f>IF($B2895="","",TEXT($B2895,"0000"))</f>
        <v/>
      </c>
      <c r="W2895" s="19">
        <f>IF($I2895="","",IF(ISNUMBER($I2895),TEXT($I2895,"0"),$I2895))</f>
        <v/>
      </c>
    </row>
    <row r="2896">
      <c r="B2896" s="25" t="n"/>
      <c r="I2896" s="25" t="n"/>
      <c r="U2896" s="19">
        <f>IF(AND($V2896='設定'!$C$4,COUNTIF('商品マスタ'!$B$6:$B$1005,$W2896)=0),N(U2895)+1,N(U2895))</f>
        <v/>
      </c>
      <c r="V2896" s="19">
        <f>IF($B2896="","",TEXT($B2896,"0000"))</f>
        <v/>
      </c>
      <c r="W2896" s="19">
        <f>IF($I2896="","",IF(ISNUMBER($I2896),TEXT($I2896,"0"),$I2896))</f>
        <v/>
      </c>
    </row>
    <row r="2897">
      <c r="B2897" s="25" t="n"/>
      <c r="I2897" s="25" t="n"/>
      <c r="U2897" s="19">
        <f>IF(AND($V2897='設定'!$C$4,COUNTIF('商品マスタ'!$B$6:$B$1005,$W2897)=0),N(U2896)+1,N(U2896))</f>
        <v/>
      </c>
      <c r="V2897" s="19">
        <f>IF($B2897="","",TEXT($B2897,"0000"))</f>
        <v/>
      </c>
      <c r="W2897" s="19">
        <f>IF($I2897="","",IF(ISNUMBER($I2897),TEXT($I2897,"0"),$I2897))</f>
        <v/>
      </c>
    </row>
    <row r="2898">
      <c r="B2898" s="25" t="n"/>
      <c r="I2898" s="25" t="n"/>
      <c r="U2898" s="19">
        <f>IF(AND($V2898='設定'!$C$4,COUNTIF('商品マスタ'!$B$6:$B$1005,$W2898)=0),N(U2897)+1,N(U2897))</f>
        <v/>
      </c>
      <c r="V2898" s="19">
        <f>IF($B2898="","",TEXT($B2898,"0000"))</f>
        <v/>
      </c>
      <c r="W2898" s="19">
        <f>IF($I2898="","",IF(ISNUMBER($I2898),TEXT($I2898,"0"),$I2898))</f>
        <v/>
      </c>
    </row>
    <row r="2899">
      <c r="B2899" s="25" t="n"/>
      <c r="I2899" s="25" t="n"/>
      <c r="U2899" s="19">
        <f>IF(AND($V2899='設定'!$C$4,COUNTIF('商品マスタ'!$B$6:$B$1005,$W2899)=0),N(U2898)+1,N(U2898))</f>
        <v/>
      </c>
      <c r="V2899" s="19">
        <f>IF($B2899="","",TEXT($B2899,"0000"))</f>
        <v/>
      </c>
      <c r="W2899" s="19">
        <f>IF($I2899="","",IF(ISNUMBER($I2899),TEXT($I2899,"0"),$I2899))</f>
        <v/>
      </c>
    </row>
    <row r="2900">
      <c r="B2900" s="25" t="n"/>
      <c r="I2900" s="25" t="n"/>
      <c r="U2900" s="19">
        <f>IF(AND($V2900='設定'!$C$4,COUNTIF('商品マスタ'!$B$6:$B$1005,$W2900)=0),N(U2899)+1,N(U2899))</f>
        <v/>
      </c>
      <c r="V2900" s="19">
        <f>IF($B2900="","",TEXT($B2900,"0000"))</f>
        <v/>
      </c>
      <c r="W2900" s="19">
        <f>IF($I2900="","",IF(ISNUMBER($I2900),TEXT($I2900,"0"),$I2900))</f>
        <v/>
      </c>
    </row>
    <row r="2901">
      <c r="B2901" s="25" t="n"/>
      <c r="I2901" s="25" t="n"/>
      <c r="U2901" s="19">
        <f>IF(AND($V2901='設定'!$C$4,COUNTIF('商品マスタ'!$B$6:$B$1005,$W2901)=0),N(U2900)+1,N(U2900))</f>
        <v/>
      </c>
      <c r="V2901" s="19">
        <f>IF($B2901="","",TEXT($B2901,"0000"))</f>
        <v/>
      </c>
      <c r="W2901" s="19">
        <f>IF($I2901="","",IF(ISNUMBER($I2901),TEXT($I2901,"0"),$I2901))</f>
        <v/>
      </c>
    </row>
    <row r="2902">
      <c r="B2902" s="25" t="n"/>
      <c r="I2902" s="25" t="n"/>
      <c r="U2902" s="19">
        <f>IF(AND($V2902='設定'!$C$4,COUNTIF('商品マスタ'!$B$6:$B$1005,$W2902)=0),N(U2901)+1,N(U2901))</f>
        <v/>
      </c>
      <c r="V2902" s="19">
        <f>IF($B2902="","",TEXT($B2902,"0000"))</f>
        <v/>
      </c>
      <c r="W2902" s="19">
        <f>IF($I2902="","",IF(ISNUMBER($I2902),TEXT($I2902,"0"),$I2902))</f>
        <v/>
      </c>
    </row>
    <row r="2903">
      <c r="B2903" s="25" t="n"/>
      <c r="I2903" s="25" t="n"/>
      <c r="U2903" s="19">
        <f>IF(AND($V2903='設定'!$C$4,COUNTIF('商品マスタ'!$B$6:$B$1005,$W2903)=0),N(U2902)+1,N(U2902))</f>
        <v/>
      </c>
      <c r="V2903" s="19">
        <f>IF($B2903="","",TEXT($B2903,"0000"))</f>
        <v/>
      </c>
      <c r="W2903" s="19">
        <f>IF($I2903="","",IF(ISNUMBER($I2903),TEXT($I2903,"0"),$I2903))</f>
        <v/>
      </c>
    </row>
    <row r="2904">
      <c r="B2904" s="25" t="n"/>
      <c r="I2904" s="25" t="n"/>
      <c r="U2904" s="19">
        <f>IF(AND($V2904='設定'!$C$4,COUNTIF('商品マスタ'!$B$6:$B$1005,$W2904)=0),N(U2903)+1,N(U2903))</f>
        <v/>
      </c>
      <c r="V2904" s="19">
        <f>IF($B2904="","",TEXT($B2904,"0000"))</f>
        <v/>
      </c>
      <c r="W2904" s="19">
        <f>IF($I2904="","",IF(ISNUMBER($I2904),TEXT($I2904,"0"),$I2904))</f>
        <v/>
      </c>
    </row>
    <row r="2905">
      <c r="B2905" s="25" t="n"/>
      <c r="I2905" s="25" t="n"/>
      <c r="U2905" s="19">
        <f>IF(AND($V2905='設定'!$C$4,COUNTIF('商品マスタ'!$B$6:$B$1005,$W2905)=0),N(U2904)+1,N(U2904))</f>
        <v/>
      </c>
      <c r="V2905" s="19">
        <f>IF($B2905="","",TEXT($B2905,"0000"))</f>
        <v/>
      </c>
      <c r="W2905" s="19">
        <f>IF($I2905="","",IF(ISNUMBER($I2905),TEXT($I2905,"0"),$I2905))</f>
        <v/>
      </c>
    </row>
    <row r="2906">
      <c r="B2906" s="25" t="n"/>
      <c r="I2906" s="25" t="n"/>
      <c r="U2906" s="19">
        <f>IF(AND($V2906='設定'!$C$4,COUNTIF('商品マスタ'!$B$6:$B$1005,$W2906)=0),N(U2905)+1,N(U2905))</f>
        <v/>
      </c>
      <c r="V2906" s="19">
        <f>IF($B2906="","",TEXT($B2906,"0000"))</f>
        <v/>
      </c>
      <c r="W2906" s="19">
        <f>IF($I2906="","",IF(ISNUMBER($I2906),TEXT($I2906,"0"),$I2906))</f>
        <v/>
      </c>
    </row>
    <row r="2907">
      <c r="B2907" s="25" t="n"/>
      <c r="I2907" s="25" t="n"/>
      <c r="U2907" s="19">
        <f>IF(AND($V2907='設定'!$C$4,COUNTIF('商品マスタ'!$B$6:$B$1005,$W2907)=0),N(U2906)+1,N(U2906))</f>
        <v/>
      </c>
      <c r="V2907" s="19">
        <f>IF($B2907="","",TEXT($B2907,"0000"))</f>
        <v/>
      </c>
      <c r="W2907" s="19">
        <f>IF($I2907="","",IF(ISNUMBER($I2907),TEXT($I2907,"0"),$I2907))</f>
        <v/>
      </c>
    </row>
    <row r="2908">
      <c r="B2908" s="25" t="n"/>
      <c r="I2908" s="25" t="n"/>
      <c r="U2908" s="19">
        <f>IF(AND($V2908='設定'!$C$4,COUNTIF('商品マスタ'!$B$6:$B$1005,$W2908)=0),N(U2907)+1,N(U2907))</f>
        <v/>
      </c>
      <c r="V2908" s="19">
        <f>IF($B2908="","",TEXT($B2908,"0000"))</f>
        <v/>
      </c>
      <c r="W2908" s="19">
        <f>IF($I2908="","",IF(ISNUMBER($I2908),TEXT($I2908,"0"),$I2908))</f>
        <v/>
      </c>
    </row>
    <row r="2909">
      <c r="B2909" s="25" t="n"/>
      <c r="I2909" s="25" t="n"/>
      <c r="U2909" s="19">
        <f>IF(AND($V2909='設定'!$C$4,COUNTIF('商品マスタ'!$B$6:$B$1005,$W2909)=0),N(U2908)+1,N(U2908))</f>
        <v/>
      </c>
      <c r="V2909" s="19">
        <f>IF($B2909="","",TEXT($B2909,"0000"))</f>
        <v/>
      </c>
      <c r="W2909" s="19">
        <f>IF($I2909="","",IF(ISNUMBER($I2909),TEXT($I2909,"0"),$I2909))</f>
        <v/>
      </c>
    </row>
    <row r="2910">
      <c r="B2910" s="25" t="n"/>
      <c r="I2910" s="25" t="n"/>
      <c r="U2910" s="19">
        <f>IF(AND($V2910='設定'!$C$4,COUNTIF('商品マスタ'!$B$6:$B$1005,$W2910)=0),N(U2909)+1,N(U2909))</f>
        <v/>
      </c>
      <c r="V2910" s="19">
        <f>IF($B2910="","",TEXT($B2910,"0000"))</f>
        <v/>
      </c>
      <c r="W2910" s="19">
        <f>IF($I2910="","",IF(ISNUMBER($I2910),TEXT($I2910,"0"),$I2910))</f>
        <v/>
      </c>
    </row>
    <row r="2911">
      <c r="B2911" s="25" t="n"/>
      <c r="I2911" s="25" t="n"/>
      <c r="U2911" s="19">
        <f>IF(AND($V2911='設定'!$C$4,COUNTIF('商品マスタ'!$B$6:$B$1005,$W2911)=0),N(U2910)+1,N(U2910))</f>
        <v/>
      </c>
      <c r="V2911" s="19">
        <f>IF($B2911="","",TEXT($B2911,"0000"))</f>
        <v/>
      </c>
      <c r="W2911" s="19">
        <f>IF($I2911="","",IF(ISNUMBER($I2911),TEXT($I2911,"0"),$I2911))</f>
        <v/>
      </c>
    </row>
    <row r="2912">
      <c r="B2912" s="25" t="n"/>
      <c r="I2912" s="25" t="n"/>
      <c r="U2912" s="19">
        <f>IF(AND($V2912='設定'!$C$4,COUNTIF('商品マスタ'!$B$6:$B$1005,$W2912)=0),N(U2911)+1,N(U2911))</f>
        <v/>
      </c>
      <c r="V2912" s="19">
        <f>IF($B2912="","",TEXT($B2912,"0000"))</f>
        <v/>
      </c>
      <c r="W2912" s="19">
        <f>IF($I2912="","",IF(ISNUMBER($I2912),TEXT($I2912,"0"),$I2912))</f>
        <v/>
      </c>
    </row>
    <row r="2913">
      <c r="B2913" s="25" t="n"/>
      <c r="I2913" s="25" t="n"/>
      <c r="U2913" s="19">
        <f>IF(AND($V2913='設定'!$C$4,COUNTIF('商品マスタ'!$B$6:$B$1005,$W2913)=0),N(U2912)+1,N(U2912))</f>
        <v/>
      </c>
      <c r="V2913" s="19">
        <f>IF($B2913="","",TEXT($B2913,"0000"))</f>
        <v/>
      </c>
      <c r="W2913" s="19">
        <f>IF($I2913="","",IF(ISNUMBER($I2913),TEXT($I2913,"0"),$I2913))</f>
        <v/>
      </c>
    </row>
    <row r="2914">
      <c r="B2914" s="25" t="n"/>
      <c r="I2914" s="25" t="n"/>
      <c r="U2914" s="19">
        <f>IF(AND($V2914='設定'!$C$4,COUNTIF('商品マスタ'!$B$6:$B$1005,$W2914)=0),N(U2913)+1,N(U2913))</f>
        <v/>
      </c>
      <c r="V2914" s="19">
        <f>IF($B2914="","",TEXT($B2914,"0000"))</f>
        <v/>
      </c>
      <c r="W2914" s="19">
        <f>IF($I2914="","",IF(ISNUMBER($I2914),TEXT($I2914,"0"),$I2914))</f>
        <v/>
      </c>
    </row>
    <row r="2915">
      <c r="B2915" s="25" t="n"/>
      <c r="I2915" s="25" t="n"/>
      <c r="U2915" s="19">
        <f>IF(AND($V2915='設定'!$C$4,COUNTIF('商品マスタ'!$B$6:$B$1005,$W2915)=0),N(U2914)+1,N(U2914))</f>
        <v/>
      </c>
      <c r="V2915" s="19">
        <f>IF($B2915="","",TEXT($B2915,"0000"))</f>
        <v/>
      </c>
      <c r="W2915" s="19">
        <f>IF($I2915="","",IF(ISNUMBER($I2915),TEXT($I2915,"0"),$I2915))</f>
        <v/>
      </c>
    </row>
    <row r="2916">
      <c r="B2916" s="25" t="n"/>
      <c r="I2916" s="25" t="n"/>
      <c r="U2916" s="19">
        <f>IF(AND($V2916='設定'!$C$4,COUNTIF('商品マスタ'!$B$6:$B$1005,$W2916)=0),N(U2915)+1,N(U2915))</f>
        <v/>
      </c>
      <c r="V2916" s="19">
        <f>IF($B2916="","",TEXT($B2916,"0000"))</f>
        <v/>
      </c>
      <c r="W2916" s="19">
        <f>IF($I2916="","",IF(ISNUMBER($I2916),TEXT($I2916,"0"),$I2916))</f>
        <v/>
      </c>
    </row>
    <row r="2917">
      <c r="B2917" s="25" t="n"/>
      <c r="I2917" s="25" t="n"/>
      <c r="U2917" s="19">
        <f>IF(AND($V2917='設定'!$C$4,COUNTIF('商品マスタ'!$B$6:$B$1005,$W2917)=0),N(U2916)+1,N(U2916))</f>
        <v/>
      </c>
      <c r="V2917" s="19">
        <f>IF($B2917="","",TEXT($B2917,"0000"))</f>
        <v/>
      </c>
      <c r="W2917" s="19">
        <f>IF($I2917="","",IF(ISNUMBER($I2917),TEXT($I2917,"0"),$I2917))</f>
        <v/>
      </c>
    </row>
    <row r="2918">
      <c r="B2918" s="25" t="n"/>
      <c r="I2918" s="25" t="n"/>
      <c r="U2918" s="19">
        <f>IF(AND($V2918='設定'!$C$4,COUNTIF('商品マスタ'!$B$6:$B$1005,$W2918)=0),N(U2917)+1,N(U2917))</f>
        <v/>
      </c>
      <c r="V2918" s="19">
        <f>IF($B2918="","",TEXT($B2918,"0000"))</f>
        <v/>
      </c>
      <c r="W2918" s="19">
        <f>IF($I2918="","",IF(ISNUMBER($I2918),TEXT($I2918,"0"),$I2918))</f>
        <v/>
      </c>
    </row>
    <row r="2919">
      <c r="B2919" s="25" t="n"/>
      <c r="I2919" s="25" t="n"/>
      <c r="U2919" s="19">
        <f>IF(AND($V2919='設定'!$C$4,COUNTIF('商品マスタ'!$B$6:$B$1005,$W2919)=0),N(U2918)+1,N(U2918))</f>
        <v/>
      </c>
      <c r="V2919" s="19">
        <f>IF($B2919="","",TEXT($B2919,"0000"))</f>
        <v/>
      </c>
      <c r="W2919" s="19">
        <f>IF($I2919="","",IF(ISNUMBER($I2919),TEXT($I2919,"0"),$I2919))</f>
        <v/>
      </c>
    </row>
    <row r="2920">
      <c r="B2920" s="25" t="n"/>
      <c r="I2920" s="25" t="n"/>
      <c r="U2920" s="19">
        <f>IF(AND($V2920='設定'!$C$4,COUNTIF('商品マスタ'!$B$6:$B$1005,$W2920)=0),N(U2919)+1,N(U2919))</f>
        <v/>
      </c>
      <c r="V2920" s="19">
        <f>IF($B2920="","",TEXT($B2920,"0000"))</f>
        <v/>
      </c>
      <c r="W2920" s="19">
        <f>IF($I2920="","",IF(ISNUMBER($I2920),TEXT($I2920,"0"),$I2920))</f>
        <v/>
      </c>
    </row>
    <row r="2921">
      <c r="B2921" s="25" t="n"/>
      <c r="I2921" s="25" t="n"/>
      <c r="U2921" s="19">
        <f>IF(AND($V2921='設定'!$C$4,COUNTIF('商品マスタ'!$B$6:$B$1005,$W2921)=0),N(U2920)+1,N(U2920))</f>
        <v/>
      </c>
      <c r="V2921" s="19">
        <f>IF($B2921="","",TEXT($B2921,"0000"))</f>
        <v/>
      </c>
      <c r="W2921" s="19">
        <f>IF($I2921="","",IF(ISNUMBER($I2921),TEXT($I2921,"0"),$I2921))</f>
        <v/>
      </c>
    </row>
    <row r="2922">
      <c r="B2922" s="25" t="n"/>
      <c r="I2922" s="25" t="n"/>
      <c r="U2922" s="19">
        <f>IF(AND($V2922='設定'!$C$4,COUNTIF('商品マスタ'!$B$6:$B$1005,$W2922)=0),N(U2921)+1,N(U2921))</f>
        <v/>
      </c>
      <c r="V2922" s="19">
        <f>IF($B2922="","",TEXT($B2922,"0000"))</f>
        <v/>
      </c>
      <c r="W2922" s="19">
        <f>IF($I2922="","",IF(ISNUMBER($I2922),TEXT($I2922,"0"),$I2922))</f>
        <v/>
      </c>
    </row>
    <row r="2923">
      <c r="B2923" s="25" t="n"/>
      <c r="I2923" s="25" t="n"/>
      <c r="U2923" s="19">
        <f>IF(AND($V2923='設定'!$C$4,COUNTIF('商品マスタ'!$B$6:$B$1005,$W2923)=0),N(U2922)+1,N(U2922))</f>
        <v/>
      </c>
      <c r="V2923" s="19">
        <f>IF($B2923="","",TEXT($B2923,"0000"))</f>
        <v/>
      </c>
      <c r="W2923" s="19">
        <f>IF($I2923="","",IF(ISNUMBER($I2923),TEXT($I2923,"0"),$I2923))</f>
        <v/>
      </c>
    </row>
    <row r="2924">
      <c r="B2924" s="25" t="n"/>
      <c r="I2924" s="25" t="n"/>
      <c r="U2924" s="19">
        <f>IF(AND($V2924='設定'!$C$4,COUNTIF('商品マスタ'!$B$6:$B$1005,$W2924)=0),N(U2923)+1,N(U2923))</f>
        <v/>
      </c>
      <c r="V2924" s="19">
        <f>IF($B2924="","",TEXT($B2924,"0000"))</f>
        <v/>
      </c>
      <c r="W2924" s="19">
        <f>IF($I2924="","",IF(ISNUMBER($I2924),TEXT($I2924,"0"),$I2924))</f>
        <v/>
      </c>
    </row>
    <row r="2925">
      <c r="B2925" s="25" t="n"/>
      <c r="I2925" s="25" t="n"/>
      <c r="U2925" s="19">
        <f>IF(AND($V2925='設定'!$C$4,COUNTIF('商品マスタ'!$B$6:$B$1005,$W2925)=0),N(U2924)+1,N(U2924))</f>
        <v/>
      </c>
      <c r="V2925" s="19">
        <f>IF($B2925="","",TEXT($B2925,"0000"))</f>
        <v/>
      </c>
      <c r="W2925" s="19">
        <f>IF($I2925="","",IF(ISNUMBER($I2925),TEXT($I2925,"0"),$I2925))</f>
        <v/>
      </c>
    </row>
    <row r="2926">
      <c r="B2926" s="25" t="n"/>
      <c r="I2926" s="25" t="n"/>
      <c r="U2926" s="19">
        <f>IF(AND($V2926='設定'!$C$4,COUNTIF('商品マスタ'!$B$6:$B$1005,$W2926)=0),N(U2925)+1,N(U2925))</f>
        <v/>
      </c>
      <c r="V2926" s="19">
        <f>IF($B2926="","",TEXT($B2926,"0000"))</f>
        <v/>
      </c>
      <c r="W2926" s="19">
        <f>IF($I2926="","",IF(ISNUMBER($I2926),TEXT($I2926,"0"),$I2926))</f>
        <v/>
      </c>
    </row>
    <row r="2927">
      <c r="B2927" s="25" t="n"/>
      <c r="I2927" s="25" t="n"/>
      <c r="U2927" s="19">
        <f>IF(AND($V2927='設定'!$C$4,COUNTIF('商品マスタ'!$B$6:$B$1005,$W2927)=0),N(U2926)+1,N(U2926))</f>
        <v/>
      </c>
      <c r="V2927" s="19">
        <f>IF($B2927="","",TEXT($B2927,"0000"))</f>
        <v/>
      </c>
      <c r="W2927" s="19">
        <f>IF($I2927="","",IF(ISNUMBER($I2927),TEXT($I2927,"0"),$I2927))</f>
        <v/>
      </c>
    </row>
    <row r="2928">
      <c r="B2928" s="25" t="n"/>
      <c r="I2928" s="25" t="n"/>
      <c r="U2928" s="19">
        <f>IF(AND($V2928='設定'!$C$4,COUNTIF('商品マスタ'!$B$6:$B$1005,$W2928)=0),N(U2927)+1,N(U2927))</f>
        <v/>
      </c>
      <c r="V2928" s="19">
        <f>IF($B2928="","",TEXT($B2928,"0000"))</f>
        <v/>
      </c>
      <c r="W2928" s="19">
        <f>IF($I2928="","",IF(ISNUMBER($I2928),TEXT($I2928,"0"),$I2928))</f>
        <v/>
      </c>
    </row>
    <row r="2929">
      <c r="B2929" s="25" t="n"/>
      <c r="I2929" s="25" t="n"/>
      <c r="U2929" s="19">
        <f>IF(AND($V2929='設定'!$C$4,COUNTIF('商品マスタ'!$B$6:$B$1005,$W2929)=0),N(U2928)+1,N(U2928))</f>
        <v/>
      </c>
      <c r="V2929" s="19">
        <f>IF($B2929="","",TEXT($B2929,"0000"))</f>
        <v/>
      </c>
      <c r="W2929" s="19">
        <f>IF($I2929="","",IF(ISNUMBER($I2929),TEXT($I2929,"0"),$I2929))</f>
        <v/>
      </c>
    </row>
    <row r="2930">
      <c r="B2930" s="25" t="n"/>
      <c r="I2930" s="25" t="n"/>
      <c r="U2930" s="19">
        <f>IF(AND($V2930='設定'!$C$4,COUNTIF('商品マスタ'!$B$6:$B$1005,$W2930)=0),N(U2929)+1,N(U2929))</f>
        <v/>
      </c>
      <c r="V2930" s="19">
        <f>IF($B2930="","",TEXT($B2930,"0000"))</f>
        <v/>
      </c>
      <c r="W2930" s="19">
        <f>IF($I2930="","",IF(ISNUMBER($I2930),TEXT($I2930,"0"),$I2930))</f>
        <v/>
      </c>
    </row>
    <row r="2931">
      <c r="B2931" s="25" t="n"/>
      <c r="I2931" s="25" t="n"/>
      <c r="U2931" s="19">
        <f>IF(AND($V2931='設定'!$C$4,COUNTIF('商品マスタ'!$B$6:$B$1005,$W2931)=0),N(U2930)+1,N(U2930))</f>
        <v/>
      </c>
      <c r="V2931" s="19">
        <f>IF($B2931="","",TEXT($B2931,"0000"))</f>
        <v/>
      </c>
      <c r="W2931" s="19">
        <f>IF($I2931="","",IF(ISNUMBER($I2931),TEXT($I2931,"0"),$I2931))</f>
        <v/>
      </c>
    </row>
    <row r="2932">
      <c r="B2932" s="25" t="n"/>
      <c r="I2932" s="25" t="n"/>
      <c r="U2932" s="19">
        <f>IF(AND($V2932='設定'!$C$4,COUNTIF('商品マスタ'!$B$6:$B$1005,$W2932)=0),N(U2931)+1,N(U2931))</f>
        <v/>
      </c>
      <c r="V2932" s="19">
        <f>IF($B2932="","",TEXT($B2932,"0000"))</f>
        <v/>
      </c>
      <c r="W2932" s="19">
        <f>IF($I2932="","",IF(ISNUMBER($I2932),TEXT($I2932,"0"),$I2932))</f>
        <v/>
      </c>
    </row>
    <row r="2933">
      <c r="B2933" s="25" t="n"/>
      <c r="I2933" s="25" t="n"/>
      <c r="U2933" s="19">
        <f>IF(AND($V2933='設定'!$C$4,COUNTIF('商品マスタ'!$B$6:$B$1005,$W2933)=0),N(U2932)+1,N(U2932))</f>
        <v/>
      </c>
      <c r="V2933" s="19">
        <f>IF($B2933="","",TEXT($B2933,"0000"))</f>
        <v/>
      </c>
      <c r="W2933" s="19">
        <f>IF($I2933="","",IF(ISNUMBER($I2933),TEXT($I2933,"0"),$I2933))</f>
        <v/>
      </c>
    </row>
    <row r="2934">
      <c r="B2934" s="25" t="n"/>
      <c r="I2934" s="25" t="n"/>
      <c r="U2934" s="19">
        <f>IF(AND($V2934='設定'!$C$4,COUNTIF('商品マスタ'!$B$6:$B$1005,$W2934)=0),N(U2933)+1,N(U2933))</f>
        <v/>
      </c>
      <c r="V2934" s="19">
        <f>IF($B2934="","",TEXT($B2934,"0000"))</f>
        <v/>
      </c>
      <c r="W2934" s="19">
        <f>IF($I2934="","",IF(ISNUMBER($I2934),TEXT($I2934,"0"),$I2934))</f>
        <v/>
      </c>
    </row>
    <row r="2935">
      <c r="B2935" s="25" t="n"/>
      <c r="I2935" s="25" t="n"/>
      <c r="U2935" s="19">
        <f>IF(AND($V2935='設定'!$C$4,COUNTIF('商品マスタ'!$B$6:$B$1005,$W2935)=0),N(U2934)+1,N(U2934))</f>
        <v/>
      </c>
      <c r="V2935" s="19">
        <f>IF($B2935="","",TEXT($B2935,"0000"))</f>
        <v/>
      </c>
      <c r="W2935" s="19">
        <f>IF($I2935="","",IF(ISNUMBER($I2935),TEXT($I2935,"0"),$I2935))</f>
        <v/>
      </c>
    </row>
    <row r="2936">
      <c r="B2936" s="25" t="n"/>
      <c r="I2936" s="25" t="n"/>
      <c r="U2936" s="19">
        <f>IF(AND($V2936='設定'!$C$4,COUNTIF('商品マスタ'!$B$6:$B$1005,$W2936)=0),N(U2935)+1,N(U2935))</f>
        <v/>
      </c>
      <c r="V2936" s="19">
        <f>IF($B2936="","",TEXT($B2936,"0000"))</f>
        <v/>
      </c>
      <c r="W2936" s="19">
        <f>IF($I2936="","",IF(ISNUMBER($I2936),TEXT($I2936,"0"),$I2936))</f>
        <v/>
      </c>
    </row>
    <row r="2937">
      <c r="B2937" s="25" t="n"/>
      <c r="I2937" s="25" t="n"/>
      <c r="U2937" s="19">
        <f>IF(AND($V2937='設定'!$C$4,COUNTIF('商品マスタ'!$B$6:$B$1005,$W2937)=0),N(U2936)+1,N(U2936))</f>
        <v/>
      </c>
      <c r="V2937" s="19">
        <f>IF($B2937="","",TEXT($B2937,"0000"))</f>
        <v/>
      </c>
      <c r="W2937" s="19">
        <f>IF($I2937="","",IF(ISNUMBER($I2937),TEXT($I2937,"0"),$I2937))</f>
        <v/>
      </c>
    </row>
    <row r="2938">
      <c r="B2938" s="25" t="n"/>
      <c r="I2938" s="25" t="n"/>
      <c r="U2938" s="19">
        <f>IF(AND($V2938='設定'!$C$4,COUNTIF('商品マスタ'!$B$6:$B$1005,$W2938)=0),N(U2937)+1,N(U2937))</f>
        <v/>
      </c>
      <c r="V2938" s="19">
        <f>IF($B2938="","",TEXT($B2938,"0000"))</f>
        <v/>
      </c>
      <c r="W2938" s="19">
        <f>IF($I2938="","",IF(ISNUMBER($I2938),TEXT($I2938,"0"),$I2938))</f>
        <v/>
      </c>
    </row>
    <row r="2939">
      <c r="B2939" s="25" t="n"/>
      <c r="I2939" s="25" t="n"/>
      <c r="U2939" s="19">
        <f>IF(AND($V2939='設定'!$C$4,COUNTIF('商品マスタ'!$B$6:$B$1005,$W2939)=0),N(U2938)+1,N(U2938))</f>
        <v/>
      </c>
      <c r="V2939" s="19">
        <f>IF($B2939="","",TEXT($B2939,"0000"))</f>
        <v/>
      </c>
      <c r="W2939" s="19">
        <f>IF($I2939="","",IF(ISNUMBER($I2939),TEXT($I2939,"0"),$I2939))</f>
        <v/>
      </c>
    </row>
    <row r="2940">
      <c r="B2940" s="25" t="n"/>
      <c r="I2940" s="25" t="n"/>
      <c r="U2940" s="19">
        <f>IF(AND($V2940='設定'!$C$4,COUNTIF('商品マスタ'!$B$6:$B$1005,$W2940)=0),N(U2939)+1,N(U2939))</f>
        <v/>
      </c>
      <c r="V2940" s="19">
        <f>IF($B2940="","",TEXT($B2940,"0000"))</f>
        <v/>
      </c>
      <c r="W2940" s="19">
        <f>IF($I2940="","",IF(ISNUMBER($I2940),TEXT($I2940,"0"),$I2940))</f>
        <v/>
      </c>
    </row>
    <row r="2941">
      <c r="B2941" s="25" t="n"/>
      <c r="I2941" s="25" t="n"/>
      <c r="U2941" s="19">
        <f>IF(AND($V2941='設定'!$C$4,COUNTIF('商品マスタ'!$B$6:$B$1005,$W2941)=0),N(U2940)+1,N(U2940))</f>
        <v/>
      </c>
      <c r="V2941" s="19">
        <f>IF($B2941="","",TEXT($B2941,"0000"))</f>
        <v/>
      </c>
      <c r="W2941" s="19">
        <f>IF($I2941="","",IF(ISNUMBER($I2941),TEXT($I2941,"0"),$I2941))</f>
        <v/>
      </c>
    </row>
    <row r="2942">
      <c r="B2942" s="25" t="n"/>
      <c r="I2942" s="25" t="n"/>
      <c r="U2942" s="19">
        <f>IF(AND($V2942='設定'!$C$4,COUNTIF('商品マスタ'!$B$6:$B$1005,$W2942)=0),N(U2941)+1,N(U2941))</f>
        <v/>
      </c>
      <c r="V2942" s="19">
        <f>IF($B2942="","",TEXT($B2942,"0000"))</f>
        <v/>
      </c>
      <c r="W2942" s="19">
        <f>IF($I2942="","",IF(ISNUMBER($I2942),TEXT($I2942,"0"),$I2942))</f>
        <v/>
      </c>
    </row>
    <row r="2943">
      <c r="B2943" s="25" t="n"/>
      <c r="I2943" s="25" t="n"/>
      <c r="U2943" s="19">
        <f>IF(AND($V2943='設定'!$C$4,COUNTIF('商品マスタ'!$B$6:$B$1005,$W2943)=0),N(U2942)+1,N(U2942))</f>
        <v/>
      </c>
      <c r="V2943" s="19">
        <f>IF($B2943="","",TEXT($B2943,"0000"))</f>
        <v/>
      </c>
      <c r="W2943" s="19">
        <f>IF($I2943="","",IF(ISNUMBER($I2943),TEXT($I2943,"0"),$I2943))</f>
        <v/>
      </c>
    </row>
    <row r="2944">
      <c r="B2944" s="25" t="n"/>
      <c r="I2944" s="25" t="n"/>
      <c r="U2944" s="19">
        <f>IF(AND($V2944='設定'!$C$4,COUNTIF('商品マスタ'!$B$6:$B$1005,$W2944)=0),N(U2943)+1,N(U2943))</f>
        <v/>
      </c>
      <c r="V2944" s="19">
        <f>IF($B2944="","",TEXT($B2944,"0000"))</f>
        <v/>
      </c>
      <c r="W2944" s="19">
        <f>IF($I2944="","",IF(ISNUMBER($I2944),TEXT($I2944,"0"),$I2944))</f>
        <v/>
      </c>
    </row>
    <row r="2945">
      <c r="B2945" s="25" t="n"/>
      <c r="I2945" s="25" t="n"/>
      <c r="U2945" s="19">
        <f>IF(AND($V2945='設定'!$C$4,COUNTIF('商品マスタ'!$B$6:$B$1005,$W2945)=0),N(U2944)+1,N(U2944))</f>
        <v/>
      </c>
      <c r="V2945" s="19">
        <f>IF($B2945="","",TEXT($B2945,"0000"))</f>
        <v/>
      </c>
      <c r="W2945" s="19">
        <f>IF($I2945="","",IF(ISNUMBER($I2945),TEXT($I2945,"0"),$I2945))</f>
        <v/>
      </c>
    </row>
    <row r="2946">
      <c r="B2946" s="25" t="n"/>
      <c r="I2946" s="25" t="n"/>
      <c r="U2946" s="19">
        <f>IF(AND($V2946='設定'!$C$4,COUNTIF('商品マスタ'!$B$6:$B$1005,$W2946)=0),N(U2945)+1,N(U2945))</f>
        <v/>
      </c>
      <c r="V2946" s="19">
        <f>IF($B2946="","",TEXT($B2946,"0000"))</f>
        <v/>
      </c>
      <c r="W2946" s="19">
        <f>IF($I2946="","",IF(ISNUMBER($I2946),TEXT($I2946,"0"),$I2946))</f>
        <v/>
      </c>
    </row>
    <row r="2947">
      <c r="B2947" s="25" t="n"/>
      <c r="I2947" s="25" t="n"/>
      <c r="U2947" s="19">
        <f>IF(AND($V2947='設定'!$C$4,COUNTIF('商品マスタ'!$B$6:$B$1005,$W2947)=0),N(U2946)+1,N(U2946))</f>
        <v/>
      </c>
      <c r="V2947" s="19">
        <f>IF($B2947="","",TEXT($B2947,"0000"))</f>
        <v/>
      </c>
      <c r="W2947" s="19">
        <f>IF($I2947="","",IF(ISNUMBER($I2947),TEXT($I2947,"0"),$I2947))</f>
        <v/>
      </c>
    </row>
    <row r="2948">
      <c r="B2948" s="25" t="n"/>
      <c r="I2948" s="25" t="n"/>
      <c r="U2948" s="19">
        <f>IF(AND($V2948='設定'!$C$4,COUNTIF('商品マスタ'!$B$6:$B$1005,$W2948)=0),N(U2947)+1,N(U2947))</f>
        <v/>
      </c>
      <c r="V2948" s="19">
        <f>IF($B2948="","",TEXT($B2948,"0000"))</f>
        <v/>
      </c>
      <c r="W2948" s="19">
        <f>IF($I2948="","",IF(ISNUMBER($I2948),TEXT($I2948,"0"),$I2948))</f>
        <v/>
      </c>
    </row>
    <row r="2949">
      <c r="B2949" s="25" t="n"/>
      <c r="I2949" s="25" t="n"/>
      <c r="U2949" s="19">
        <f>IF(AND($V2949='設定'!$C$4,COUNTIF('商品マスタ'!$B$6:$B$1005,$W2949)=0),N(U2948)+1,N(U2948))</f>
        <v/>
      </c>
      <c r="V2949" s="19">
        <f>IF($B2949="","",TEXT($B2949,"0000"))</f>
        <v/>
      </c>
      <c r="W2949" s="19">
        <f>IF($I2949="","",IF(ISNUMBER($I2949),TEXT($I2949,"0"),$I2949))</f>
        <v/>
      </c>
    </row>
    <row r="2950">
      <c r="B2950" s="25" t="n"/>
      <c r="I2950" s="25" t="n"/>
      <c r="U2950" s="19">
        <f>IF(AND($V2950='設定'!$C$4,COUNTIF('商品マスタ'!$B$6:$B$1005,$W2950)=0),N(U2949)+1,N(U2949))</f>
        <v/>
      </c>
      <c r="V2950" s="19">
        <f>IF($B2950="","",TEXT($B2950,"0000"))</f>
        <v/>
      </c>
      <c r="W2950" s="19">
        <f>IF($I2950="","",IF(ISNUMBER($I2950),TEXT($I2950,"0"),$I2950))</f>
        <v/>
      </c>
    </row>
    <row r="2951">
      <c r="B2951" s="25" t="n"/>
      <c r="I2951" s="25" t="n"/>
      <c r="U2951" s="19">
        <f>IF(AND($V2951='設定'!$C$4,COUNTIF('商品マスタ'!$B$6:$B$1005,$W2951)=0),N(U2950)+1,N(U2950))</f>
        <v/>
      </c>
      <c r="V2951" s="19">
        <f>IF($B2951="","",TEXT($B2951,"0000"))</f>
        <v/>
      </c>
      <c r="W2951" s="19">
        <f>IF($I2951="","",IF(ISNUMBER($I2951),TEXT($I2951,"0"),$I2951))</f>
        <v/>
      </c>
    </row>
    <row r="2952">
      <c r="B2952" s="25" t="n"/>
      <c r="I2952" s="25" t="n"/>
      <c r="U2952" s="19">
        <f>IF(AND($V2952='設定'!$C$4,COUNTIF('商品マスタ'!$B$6:$B$1005,$W2952)=0),N(U2951)+1,N(U2951))</f>
        <v/>
      </c>
      <c r="V2952" s="19">
        <f>IF($B2952="","",TEXT($B2952,"0000"))</f>
        <v/>
      </c>
      <c r="W2952" s="19">
        <f>IF($I2952="","",IF(ISNUMBER($I2952),TEXT($I2952,"0"),$I2952))</f>
        <v/>
      </c>
    </row>
    <row r="2953">
      <c r="B2953" s="25" t="n"/>
      <c r="I2953" s="25" t="n"/>
      <c r="U2953" s="19">
        <f>IF(AND($V2953='設定'!$C$4,COUNTIF('商品マスタ'!$B$6:$B$1005,$W2953)=0),N(U2952)+1,N(U2952))</f>
        <v/>
      </c>
      <c r="V2953" s="19">
        <f>IF($B2953="","",TEXT($B2953,"0000"))</f>
        <v/>
      </c>
      <c r="W2953" s="19">
        <f>IF($I2953="","",IF(ISNUMBER($I2953),TEXT($I2953,"0"),$I2953))</f>
        <v/>
      </c>
    </row>
    <row r="2954">
      <c r="B2954" s="25" t="n"/>
      <c r="I2954" s="25" t="n"/>
      <c r="U2954" s="19">
        <f>IF(AND($V2954='設定'!$C$4,COUNTIF('商品マスタ'!$B$6:$B$1005,$W2954)=0),N(U2953)+1,N(U2953))</f>
        <v/>
      </c>
      <c r="V2954" s="19">
        <f>IF($B2954="","",TEXT($B2954,"0000"))</f>
        <v/>
      </c>
      <c r="W2954" s="19">
        <f>IF($I2954="","",IF(ISNUMBER($I2954),TEXT($I2954,"0"),$I2954))</f>
        <v/>
      </c>
    </row>
    <row r="2955">
      <c r="B2955" s="25" t="n"/>
      <c r="I2955" s="25" t="n"/>
      <c r="U2955" s="19">
        <f>IF(AND($V2955='設定'!$C$4,COUNTIF('商品マスタ'!$B$6:$B$1005,$W2955)=0),N(U2954)+1,N(U2954))</f>
        <v/>
      </c>
      <c r="V2955" s="19">
        <f>IF($B2955="","",TEXT($B2955,"0000"))</f>
        <v/>
      </c>
      <c r="W2955" s="19">
        <f>IF($I2955="","",IF(ISNUMBER($I2955),TEXT($I2955,"0"),$I2955))</f>
        <v/>
      </c>
    </row>
    <row r="2956">
      <c r="B2956" s="25" t="n"/>
      <c r="I2956" s="25" t="n"/>
      <c r="U2956" s="19">
        <f>IF(AND($V2956='設定'!$C$4,COUNTIF('商品マスタ'!$B$6:$B$1005,$W2956)=0),N(U2955)+1,N(U2955))</f>
        <v/>
      </c>
      <c r="V2956" s="19">
        <f>IF($B2956="","",TEXT($B2956,"0000"))</f>
        <v/>
      </c>
      <c r="W2956" s="19">
        <f>IF($I2956="","",IF(ISNUMBER($I2956),TEXT($I2956,"0"),$I2956))</f>
        <v/>
      </c>
    </row>
    <row r="2957">
      <c r="B2957" s="25" t="n"/>
      <c r="I2957" s="25" t="n"/>
      <c r="U2957" s="19">
        <f>IF(AND($V2957='設定'!$C$4,COUNTIF('商品マスタ'!$B$6:$B$1005,$W2957)=0),N(U2956)+1,N(U2956))</f>
        <v/>
      </c>
      <c r="V2957" s="19">
        <f>IF($B2957="","",TEXT($B2957,"0000"))</f>
        <v/>
      </c>
      <c r="W2957" s="19">
        <f>IF($I2957="","",IF(ISNUMBER($I2957),TEXT($I2957,"0"),$I2957))</f>
        <v/>
      </c>
    </row>
    <row r="2958">
      <c r="B2958" s="25" t="n"/>
      <c r="I2958" s="25" t="n"/>
      <c r="U2958" s="19">
        <f>IF(AND($V2958='設定'!$C$4,COUNTIF('商品マスタ'!$B$6:$B$1005,$W2958)=0),N(U2957)+1,N(U2957))</f>
        <v/>
      </c>
      <c r="V2958" s="19">
        <f>IF($B2958="","",TEXT($B2958,"0000"))</f>
        <v/>
      </c>
      <c r="W2958" s="19">
        <f>IF($I2958="","",IF(ISNUMBER($I2958),TEXT($I2958,"0"),$I2958))</f>
        <v/>
      </c>
    </row>
    <row r="2959">
      <c r="B2959" s="25" t="n"/>
      <c r="I2959" s="25" t="n"/>
      <c r="U2959" s="19">
        <f>IF(AND($V2959='設定'!$C$4,COUNTIF('商品マスタ'!$B$6:$B$1005,$W2959)=0),N(U2958)+1,N(U2958))</f>
        <v/>
      </c>
      <c r="V2959" s="19">
        <f>IF($B2959="","",TEXT($B2959,"0000"))</f>
        <v/>
      </c>
      <c r="W2959" s="19">
        <f>IF($I2959="","",IF(ISNUMBER($I2959),TEXT($I2959,"0"),$I2959))</f>
        <v/>
      </c>
    </row>
    <row r="2960">
      <c r="B2960" s="25" t="n"/>
      <c r="I2960" s="25" t="n"/>
      <c r="U2960" s="19">
        <f>IF(AND($V2960='設定'!$C$4,COUNTIF('商品マスタ'!$B$6:$B$1005,$W2960)=0),N(U2959)+1,N(U2959))</f>
        <v/>
      </c>
      <c r="V2960" s="19">
        <f>IF($B2960="","",TEXT($B2960,"0000"))</f>
        <v/>
      </c>
      <c r="W2960" s="19">
        <f>IF($I2960="","",IF(ISNUMBER($I2960),TEXT($I2960,"0"),$I2960))</f>
        <v/>
      </c>
    </row>
    <row r="2961">
      <c r="B2961" s="25" t="n"/>
      <c r="I2961" s="25" t="n"/>
      <c r="U2961" s="19">
        <f>IF(AND($V2961='設定'!$C$4,COUNTIF('商品マスタ'!$B$6:$B$1005,$W2961)=0),N(U2960)+1,N(U2960))</f>
        <v/>
      </c>
      <c r="V2961" s="19">
        <f>IF($B2961="","",TEXT($B2961,"0000"))</f>
        <v/>
      </c>
      <c r="W2961" s="19">
        <f>IF($I2961="","",IF(ISNUMBER($I2961),TEXT($I2961,"0"),$I2961))</f>
        <v/>
      </c>
    </row>
    <row r="2962">
      <c r="B2962" s="25" t="n"/>
      <c r="I2962" s="25" t="n"/>
      <c r="U2962" s="19">
        <f>IF(AND($V2962='設定'!$C$4,COUNTIF('商品マスタ'!$B$6:$B$1005,$W2962)=0),N(U2961)+1,N(U2961))</f>
        <v/>
      </c>
      <c r="V2962" s="19">
        <f>IF($B2962="","",TEXT($B2962,"0000"))</f>
        <v/>
      </c>
      <c r="W2962" s="19">
        <f>IF($I2962="","",IF(ISNUMBER($I2962),TEXT($I2962,"0"),$I2962))</f>
        <v/>
      </c>
    </row>
    <row r="2963">
      <c r="B2963" s="25" t="n"/>
      <c r="I2963" s="25" t="n"/>
      <c r="U2963" s="19">
        <f>IF(AND($V2963='設定'!$C$4,COUNTIF('商品マスタ'!$B$6:$B$1005,$W2963)=0),N(U2962)+1,N(U2962))</f>
        <v/>
      </c>
      <c r="V2963" s="19">
        <f>IF($B2963="","",TEXT($B2963,"0000"))</f>
        <v/>
      </c>
      <c r="W2963" s="19">
        <f>IF($I2963="","",IF(ISNUMBER($I2963),TEXT($I2963,"0"),$I2963))</f>
        <v/>
      </c>
    </row>
    <row r="2964">
      <c r="B2964" s="25" t="n"/>
      <c r="I2964" s="25" t="n"/>
      <c r="U2964" s="19">
        <f>IF(AND($V2964='設定'!$C$4,COUNTIF('商品マスタ'!$B$6:$B$1005,$W2964)=0),N(U2963)+1,N(U2963))</f>
        <v/>
      </c>
      <c r="V2964" s="19">
        <f>IF($B2964="","",TEXT($B2964,"0000"))</f>
        <v/>
      </c>
      <c r="W2964" s="19">
        <f>IF($I2964="","",IF(ISNUMBER($I2964),TEXT($I2964,"0"),$I2964))</f>
        <v/>
      </c>
    </row>
    <row r="2965">
      <c r="B2965" s="25" t="n"/>
      <c r="I2965" s="25" t="n"/>
      <c r="U2965" s="19">
        <f>IF(AND($V2965='設定'!$C$4,COUNTIF('商品マスタ'!$B$6:$B$1005,$W2965)=0),N(U2964)+1,N(U2964))</f>
        <v/>
      </c>
      <c r="V2965" s="19">
        <f>IF($B2965="","",TEXT($B2965,"0000"))</f>
        <v/>
      </c>
      <c r="W2965" s="19">
        <f>IF($I2965="","",IF(ISNUMBER($I2965),TEXT($I2965,"0"),$I2965))</f>
        <v/>
      </c>
    </row>
    <row r="2966">
      <c r="B2966" s="25" t="n"/>
      <c r="I2966" s="25" t="n"/>
      <c r="U2966" s="19">
        <f>IF(AND($V2966='設定'!$C$4,COUNTIF('商品マスタ'!$B$6:$B$1005,$W2966)=0),N(U2965)+1,N(U2965))</f>
        <v/>
      </c>
      <c r="V2966" s="19">
        <f>IF($B2966="","",TEXT($B2966,"0000"))</f>
        <v/>
      </c>
      <c r="W2966" s="19">
        <f>IF($I2966="","",IF(ISNUMBER($I2966),TEXT($I2966,"0"),$I2966))</f>
        <v/>
      </c>
    </row>
    <row r="2967">
      <c r="B2967" s="25" t="n"/>
      <c r="I2967" s="25" t="n"/>
      <c r="U2967" s="19">
        <f>IF(AND($V2967='設定'!$C$4,COUNTIF('商品マスタ'!$B$6:$B$1005,$W2967)=0),N(U2966)+1,N(U2966))</f>
        <v/>
      </c>
      <c r="V2967" s="19">
        <f>IF($B2967="","",TEXT($B2967,"0000"))</f>
        <v/>
      </c>
      <c r="W2967" s="19">
        <f>IF($I2967="","",IF(ISNUMBER($I2967),TEXT($I2967,"0"),$I2967))</f>
        <v/>
      </c>
    </row>
    <row r="2968">
      <c r="B2968" s="25" t="n"/>
      <c r="I2968" s="25" t="n"/>
      <c r="U2968" s="19">
        <f>IF(AND($V2968='設定'!$C$4,COUNTIF('商品マスタ'!$B$6:$B$1005,$W2968)=0),N(U2967)+1,N(U2967))</f>
        <v/>
      </c>
      <c r="V2968" s="19">
        <f>IF($B2968="","",TEXT($B2968,"0000"))</f>
        <v/>
      </c>
      <c r="W2968" s="19">
        <f>IF($I2968="","",IF(ISNUMBER($I2968),TEXT($I2968,"0"),$I2968))</f>
        <v/>
      </c>
    </row>
    <row r="2969">
      <c r="B2969" s="25" t="n"/>
      <c r="I2969" s="25" t="n"/>
      <c r="U2969" s="19">
        <f>IF(AND($V2969='設定'!$C$4,COUNTIF('商品マスタ'!$B$6:$B$1005,$W2969)=0),N(U2968)+1,N(U2968))</f>
        <v/>
      </c>
      <c r="V2969" s="19">
        <f>IF($B2969="","",TEXT($B2969,"0000"))</f>
        <v/>
      </c>
      <c r="W2969" s="19">
        <f>IF($I2969="","",IF(ISNUMBER($I2969),TEXT($I2969,"0"),$I2969))</f>
        <v/>
      </c>
    </row>
    <row r="2970">
      <c r="B2970" s="25" t="n"/>
      <c r="I2970" s="25" t="n"/>
      <c r="U2970" s="19">
        <f>IF(AND($V2970='設定'!$C$4,COUNTIF('商品マスタ'!$B$6:$B$1005,$W2970)=0),N(U2969)+1,N(U2969))</f>
        <v/>
      </c>
      <c r="V2970" s="19">
        <f>IF($B2970="","",TEXT($B2970,"0000"))</f>
        <v/>
      </c>
      <c r="W2970" s="19">
        <f>IF($I2970="","",IF(ISNUMBER($I2970),TEXT($I2970,"0"),$I2970))</f>
        <v/>
      </c>
    </row>
    <row r="2971">
      <c r="B2971" s="25" t="n"/>
      <c r="I2971" s="25" t="n"/>
      <c r="U2971" s="19">
        <f>IF(AND($V2971='設定'!$C$4,COUNTIF('商品マスタ'!$B$6:$B$1005,$W2971)=0),N(U2970)+1,N(U2970))</f>
        <v/>
      </c>
      <c r="V2971" s="19">
        <f>IF($B2971="","",TEXT($B2971,"0000"))</f>
        <v/>
      </c>
      <c r="W2971" s="19">
        <f>IF($I2971="","",IF(ISNUMBER($I2971),TEXT($I2971,"0"),$I2971))</f>
        <v/>
      </c>
    </row>
    <row r="2972">
      <c r="B2972" s="25" t="n"/>
      <c r="I2972" s="25" t="n"/>
      <c r="U2972" s="19">
        <f>IF(AND($V2972='設定'!$C$4,COUNTIF('商品マスタ'!$B$6:$B$1005,$W2972)=0),N(U2971)+1,N(U2971))</f>
        <v/>
      </c>
      <c r="V2972" s="19">
        <f>IF($B2972="","",TEXT($B2972,"0000"))</f>
        <v/>
      </c>
      <c r="W2972" s="19">
        <f>IF($I2972="","",IF(ISNUMBER($I2972),TEXT($I2972,"0"),$I2972))</f>
        <v/>
      </c>
    </row>
    <row r="2973">
      <c r="B2973" s="25" t="n"/>
      <c r="I2973" s="25" t="n"/>
      <c r="U2973" s="19">
        <f>IF(AND($V2973='設定'!$C$4,COUNTIF('商品マスタ'!$B$6:$B$1005,$W2973)=0),N(U2972)+1,N(U2972))</f>
        <v/>
      </c>
      <c r="V2973" s="19">
        <f>IF($B2973="","",TEXT($B2973,"0000"))</f>
        <v/>
      </c>
      <c r="W2973" s="19">
        <f>IF($I2973="","",IF(ISNUMBER($I2973),TEXT($I2973,"0"),$I2973))</f>
        <v/>
      </c>
    </row>
    <row r="2974">
      <c r="B2974" s="25" t="n"/>
      <c r="I2974" s="25" t="n"/>
      <c r="U2974" s="19">
        <f>IF(AND($V2974='設定'!$C$4,COUNTIF('商品マスタ'!$B$6:$B$1005,$W2974)=0),N(U2973)+1,N(U2973))</f>
        <v/>
      </c>
      <c r="V2974" s="19">
        <f>IF($B2974="","",TEXT($B2974,"0000"))</f>
        <v/>
      </c>
      <c r="W2974" s="19">
        <f>IF($I2974="","",IF(ISNUMBER($I2974),TEXT($I2974,"0"),$I2974))</f>
        <v/>
      </c>
    </row>
    <row r="2975">
      <c r="B2975" s="25" t="n"/>
      <c r="I2975" s="25" t="n"/>
      <c r="U2975" s="19">
        <f>IF(AND($V2975='設定'!$C$4,COUNTIF('商品マスタ'!$B$6:$B$1005,$W2975)=0),N(U2974)+1,N(U2974))</f>
        <v/>
      </c>
      <c r="V2975" s="19">
        <f>IF($B2975="","",TEXT($B2975,"0000"))</f>
        <v/>
      </c>
      <c r="W2975" s="19">
        <f>IF($I2975="","",IF(ISNUMBER($I2975),TEXT($I2975,"0"),$I2975))</f>
        <v/>
      </c>
    </row>
    <row r="2976">
      <c r="B2976" s="25" t="n"/>
      <c r="I2976" s="25" t="n"/>
      <c r="U2976" s="19">
        <f>IF(AND($V2976='設定'!$C$4,COUNTIF('商品マスタ'!$B$6:$B$1005,$W2976)=0),N(U2975)+1,N(U2975))</f>
        <v/>
      </c>
      <c r="V2976" s="19">
        <f>IF($B2976="","",TEXT($B2976,"0000"))</f>
        <v/>
      </c>
      <c r="W2976" s="19">
        <f>IF($I2976="","",IF(ISNUMBER($I2976),TEXT($I2976,"0"),$I2976))</f>
        <v/>
      </c>
    </row>
    <row r="2977">
      <c r="B2977" s="25" t="n"/>
      <c r="I2977" s="25" t="n"/>
      <c r="U2977" s="19">
        <f>IF(AND($V2977='設定'!$C$4,COUNTIF('商品マスタ'!$B$6:$B$1005,$W2977)=0),N(U2976)+1,N(U2976))</f>
        <v/>
      </c>
      <c r="V2977" s="19">
        <f>IF($B2977="","",TEXT($B2977,"0000"))</f>
        <v/>
      </c>
      <c r="W2977" s="19">
        <f>IF($I2977="","",IF(ISNUMBER($I2977),TEXT($I2977,"0"),$I2977))</f>
        <v/>
      </c>
    </row>
    <row r="2978">
      <c r="B2978" s="25" t="n"/>
      <c r="I2978" s="25" t="n"/>
      <c r="U2978" s="19">
        <f>IF(AND($V2978='設定'!$C$4,COUNTIF('商品マスタ'!$B$6:$B$1005,$W2978)=0),N(U2977)+1,N(U2977))</f>
        <v/>
      </c>
      <c r="V2978" s="19">
        <f>IF($B2978="","",TEXT($B2978,"0000"))</f>
        <v/>
      </c>
      <c r="W2978" s="19">
        <f>IF($I2978="","",IF(ISNUMBER($I2978),TEXT($I2978,"0"),$I2978))</f>
        <v/>
      </c>
    </row>
    <row r="2979">
      <c r="B2979" s="25" t="n"/>
      <c r="I2979" s="25" t="n"/>
      <c r="U2979" s="19">
        <f>IF(AND($V2979='設定'!$C$4,COUNTIF('商品マスタ'!$B$6:$B$1005,$W2979)=0),N(U2978)+1,N(U2978))</f>
        <v/>
      </c>
      <c r="V2979" s="19">
        <f>IF($B2979="","",TEXT($B2979,"0000"))</f>
        <v/>
      </c>
      <c r="W2979" s="19">
        <f>IF($I2979="","",IF(ISNUMBER($I2979),TEXT($I2979,"0"),$I2979))</f>
        <v/>
      </c>
    </row>
    <row r="2980">
      <c r="B2980" s="25" t="n"/>
      <c r="I2980" s="25" t="n"/>
      <c r="U2980" s="19">
        <f>IF(AND($V2980='設定'!$C$4,COUNTIF('商品マスタ'!$B$6:$B$1005,$W2980)=0),N(U2979)+1,N(U2979))</f>
        <v/>
      </c>
      <c r="V2980" s="19">
        <f>IF($B2980="","",TEXT($B2980,"0000"))</f>
        <v/>
      </c>
      <c r="W2980" s="19">
        <f>IF($I2980="","",IF(ISNUMBER($I2980),TEXT($I2980,"0"),$I2980))</f>
        <v/>
      </c>
    </row>
    <row r="2981">
      <c r="B2981" s="25" t="n"/>
      <c r="I2981" s="25" t="n"/>
      <c r="U2981" s="19">
        <f>IF(AND($V2981='設定'!$C$4,COUNTIF('商品マスタ'!$B$6:$B$1005,$W2981)=0),N(U2980)+1,N(U2980))</f>
        <v/>
      </c>
      <c r="V2981" s="19">
        <f>IF($B2981="","",TEXT($B2981,"0000"))</f>
        <v/>
      </c>
      <c r="W2981" s="19">
        <f>IF($I2981="","",IF(ISNUMBER($I2981),TEXT($I2981,"0"),$I2981))</f>
        <v/>
      </c>
    </row>
    <row r="2982">
      <c r="B2982" s="25" t="n"/>
      <c r="I2982" s="25" t="n"/>
      <c r="U2982" s="19">
        <f>IF(AND($V2982='設定'!$C$4,COUNTIF('商品マスタ'!$B$6:$B$1005,$W2982)=0),N(U2981)+1,N(U2981))</f>
        <v/>
      </c>
      <c r="V2982" s="19">
        <f>IF($B2982="","",TEXT($B2982,"0000"))</f>
        <v/>
      </c>
      <c r="W2982" s="19">
        <f>IF($I2982="","",IF(ISNUMBER($I2982),TEXT($I2982,"0"),$I2982))</f>
        <v/>
      </c>
    </row>
    <row r="2983">
      <c r="B2983" s="25" t="n"/>
      <c r="I2983" s="25" t="n"/>
      <c r="U2983" s="19">
        <f>IF(AND($V2983='設定'!$C$4,COUNTIF('商品マスタ'!$B$6:$B$1005,$W2983)=0),N(U2982)+1,N(U2982))</f>
        <v/>
      </c>
      <c r="V2983" s="19">
        <f>IF($B2983="","",TEXT($B2983,"0000"))</f>
        <v/>
      </c>
      <c r="W2983" s="19">
        <f>IF($I2983="","",IF(ISNUMBER($I2983),TEXT($I2983,"0"),$I2983))</f>
        <v/>
      </c>
    </row>
    <row r="2984">
      <c r="B2984" s="25" t="n"/>
      <c r="I2984" s="25" t="n"/>
      <c r="U2984" s="19">
        <f>IF(AND($V2984='設定'!$C$4,COUNTIF('商品マスタ'!$B$6:$B$1005,$W2984)=0),N(U2983)+1,N(U2983))</f>
        <v/>
      </c>
      <c r="V2984" s="19">
        <f>IF($B2984="","",TEXT($B2984,"0000"))</f>
        <v/>
      </c>
      <c r="W2984" s="19">
        <f>IF($I2984="","",IF(ISNUMBER($I2984),TEXT($I2984,"0"),$I2984))</f>
        <v/>
      </c>
    </row>
    <row r="2985">
      <c r="B2985" s="25" t="n"/>
      <c r="I2985" s="25" t="n"/>
      <c r="U2985" s="19">
        <f>IF(AND($V2985='設定'!$C$4,COUNTIF('商品マスタ'!$B$6:$B$1005,$W2985)=0),N(U2984)+1,N(U2984))</f>
        <v/>
      </c>
      <c r="V2985" s="19">
        <f>IF($B2985="","",TEXT($B2985,"0000"))</f>
        <v/>
      </c>
      <c r="W2985" s="19">
        <f>IF($I2985="","",IF(ISNUMBER($I2985),TEXT($I2985,"0"),$I2985))</f>
        <v/>
      </c>
    </row>
    <row r="2986">
      <c r="B2986" s="25" t="n"/>
      <c r="I2986" s="25" t="n"/>
      <c r="U2986" s="19">
        <f>IF(AND($V2986='設定'!$C$4,COUNTIF('商品マスタ'!$B$6:$B$1005,$W2986)=0),N(U2985)+1,N(U2985))</f>
        <v/>
      </c>
      <c r="V2986" s="19">
        <f>IF($B2986="","",TEXT($B2986,"0000"))</f>
        <v/>
      </c>
      <c r="W2986" s="19">
        <f>IF($I2986="","",IF(ISNUMBER($I2986),TEXT($I2986,"0"),$I2986))</f>
        <v/>
      </c>
    </row>
    <row r="2987">
      <c r="B2987" s="25" t="n"/>
      <c r="I2987" s="25" t="n"/>
      <c r="U2987" s="19">
        <f>IF(AND($V2987='設定'!$C$4,COUNTIF('商品マスタ'!$B$6:$B$1005,$W2987)=0),N(U2986)+1,N(U2986))</f>
        <v/>
      </c>
      <c r="V2987" s="19">
        <f>IF($B2987="","",TEXT($B2987,"0000"))</f>
        <v/>
      </c>
      <c r="W2987" s="19">
        <f>IF($I2987="","",IF(ISNUMBER($I2987),TEXT($I2987,"0"),$I2987))</f>
        <v/>
      </c>
    </row>
    <row r="2988">
      <c r="B2988" s="25" t="n"/>
      <c r="I2988" s="25" t="n"/>
      <c r="U2988" s="19">
        <f>IF(AND($V2988='設定'!$C$4,COUNTIF('商品マスタ'!$B$6:$B$1005,$W2988)=0),N(U2987)+1,N(U2987))</f>
        <v/>
      </c>
      <c r="V2988" s="19">
        <f>IF($B2988="","",TEXT($B2988,"0000"))</f>
        <v/>
      </c>
      <c r="W2988" s="19">
        <f>IF($I2988="","",IF(ISNUMBER($I2988),TEXT($I2988,"0"),$I2988))</f>
        <v/>
      </c>
    </row>
    <row r="2989">
      <c r="B2989" s="25" t="n"/>
      <c r="I2989" s="25" t="n"/>
      <c r="U2989" s="19">
        <f>IF(AND($V2989='設定'!$C$4,COUNTIF('商品マスタ'!$B$6:$B$1005,$W2989)=0),N(U2988)+1,N(U2988))</f>
        <v/>
      </c>
      <c r="V2989" s="19">
        <f>IF($B2989="","",TEXT($B2989,"0000"))</f>
        <v/>
      </c>
      <c r="W2989" s="19">
        <f>IF($I2989="","",IF(ISNUMBER($I2989),TEXT($I2989,"0"),$I2989))</f>
        <v/>
      </c>
    </row>
    <row r="2990">
      <c r="B2990" s="25" t="n"/>
      <c r="I2990" s="25" t="n"/>
      <c r="U2990" s="19">
        <f>IF(AND($V2990='設定'!$C$4,COUNTIF('商品マスタ'!$B$6:$B$1005,$W2990)=0),N(U2989)+1,N(U2989))</f>
        <v/>
      </c>
      <c r="V2990" s="19">
        <f>IF($B2990="","",TEXT($B2990,"0000"))</f>
        <v/>
      </c>
      <c r="W2990" s="19">
        <f>IF($I2990="","",IF(ISNUMBER($I2990),TEXT($I2990,"0"),$I2990))</f>
        <v/>
      </c>
    </row>
    <row r="2991">
      <c r="B2991" s="25" t="n"/>
      <c r="I2991" s="25" t="n"/>
      <c r="U2991" s="19">
        <f>IF(AND($V2991='設定'!$C$4,COUNTIF('商品マスタ'!$B$6:$B$1005,$W2991)=0),N(U2990)+1,N(U2990))</f>
        <v/>
      </c>
      <c r="V2991" s="19">
        <f>IF($B2991="","",TEXT($B2991,"0000"))</f>
        <v/>
      </c>
      <c r="W2991" s="19">
        <f>IF($I2991="","",IF(ISNUMBER($I2991),TEXT($I2991,"0"),$I2991))</f>
        <v/>
      </c>
    </row>
    <row r="2992">
      <c r="B2992" s="25" t="n"/>
      <c r="I2992" s="25" t="n"/>
      <c r="U2992" s="19">
        <f>IF(AND($V2992='設定'!$C$4,COUNTIF('商品マスタ'!$B$6:$B$1005,$W2992)=0),N(U2991)+1,N(U2991))</f>
        <v/>
      </c>
      <c r="V2992" s="19">
        <f>IF($B2992="","",TEXT($B2992,"0000"))</f>
        <v/>
      </c>
      <c r="W2992" s="19">
        <f>IF($I2992="","",IF(ISNUMBER($I2992),TEXT($I2992,"0"),$I2992))</f>
        <v/>
      </c>
    </row>
    <row r="2993">
      <c r="B2993" s="25" t="n"/>
      <c r="I2993" s="25" t="n"/>
      <c r="U2993" s="19">
        <f>IF(AND($V2993='設定'!$C$4,COUNTIF('商品マスタ'!$B$6:$B$1005,$W2993)=0),N(U2992)+1,N(U2992))</f>
        <v/>
      </c>
      <c r="V2993" s="19">
        <f>IF($B2993="","",TEXT($B2993,"0000"))</f>
        <v/>
      </c>
      <c r="W2993" s="19">
        <f>IF($I2993="","",IF(ISNUMBER($I2993),TEXT($I2993,"0"),$I2993))</f>
        <v/>
      </c>
    </row>
    <row r="2994">
      <c r="B2994" s="25" t="n"/>
      <c r="I2994" s="25" t="n"/>
      <c r="U2994" s="19">
        <f>IF(AND($V2994='設定'!$C$4,COUNTIF('商品マスタ'!$B$6:$B$1005,$W2994)=0),N(U2993)+1,N(U2993))</f>
        <v/>
      </c>
      <c r="V2994" s="19">
        <f>IF($B2994="","",TEXT($B2994,"0000"))</f>
        <v/>
      </c>
      <c r="W2994" s="19">
        <f>IF($I2994="","",IF(ISNUMBER($I2994),TEXT($I2994,"0"),$I2994))</f>
        <v/>
      </c>
    </row>
    <row r="2995">
      <c r="B2995" s="25" t="n"/>
      <c r="I2995" s="25" t="n"/>
      <c r="U2995" s="19">
        <f>IF(AND($V2995='設定'!$C$4,COUNTIF('商品マスタ'!$B$6:$B$1005,$W2995)=0),N(U2994)+1,N(U2994))</f>
        <v/>
      </c>
      <c r="V2995" s="19">
        <f>IF($B2995="","",TEXT($B2995,"0000"))</f>
        <v/>
      </c>
      <c r="W2995" s="19">
        <f>IF($I2995="","",IF(ISNUMBER($I2995),TEXT($I2995,"0"),$I2995))</f>
        <v/>
      </c>
    </row>
    <row r="2996">
      <c r="B2996" s="25" t="n"/>
      <c r="I2996" s="25" t="n"/>
      <c r="U2996" s="19">
        <f>IF(AND($V2996='設定'!$C$4,COUNTIF('商品マスタ'!$B$6:$B$1005,$W2996)=0),N(U2995)+1,N(U2995))</f>
        <v/>
      </c>
      <c r="V2996" s="19">
        <f>IF($B2996="","",TEXT($B2996,"0000"))</f>
        <v/>
      </c>
      <c r="W2996" s="19">
        <f>IF($I2996="","",IF(ISNUMBER($I2996),TEXT($I2996,"0"),$I2996))</f>
        <v/>
      </c>
    </row>
    <row r="2997">
      <c r="B2997" s="25" t="n"/>
      <c r="I2997" s="25" t="n"/>
      <c r="U2997" s="19">
        <f>IF(AND($V2997='設定'!$C$4,COUNTIF('商品マスタ'!$B$6:$B$1005,$W2997)=0),N(U2996)+1,N(U2996))</f>
        <v/>
      </c>
      <c r="V2997" s="19">
        <f>IF($B2997="","",TEXT($B2997,"0000"))</f>
        <v/>
      </c>
      <c r="W2997" s="19">
        <f>IF($I2997="","",IF(ISNUMBER($I2997),TEXT($I2997,"0"),$I2997))</f>
        <v/>
      </c>
    </row>
    <row r="2998">
      <c r="B2998" s="25" t="n"/>
      <c r="I2998" s="25" t="n"/>
      <c r="U2998" s="19">
        <f>IF(AND($V2998='設定'!$C$4,COUNTIF('商品マスタ'!$B$6:$B$1005,$W2998)=0),N(U2997)+1,N(U2997))</f>
        <v/>
      </c>
      <c r="V2998" s="19">
        <f>IF($B2998="","",TEXT($B2998,"0000"))</f>
        <v/>
      </c>
      <c r="W2998" s="19">
        <f>IF($I2998="","",IF(ISNUMBER($I2998),TEXT($I2998,"0"),$I2998))</f>
        <v/>
      </c>
    </row>
    <row r="2999">
      <c r="B2999" s="25" t="n"/>
      <c r="I2999" s="25" t="n"/>
      <c r="U2999" s="19">
        <f>IF(AND($V2999='設定'!$C$4,COUNTIF('商品マスタ'!$B$6:$B$1005,$W2999)=0),N(U2998)+1,N(U2998))</f>
        <v/>
      </c>
      <c r="V2999" s="19">
        <f>IF($B2999="","",TEXT($B2999,"0000"))</f>
        <v/>
      </c>
      <c r="W2999" s="19">
        <f>IF($I2999="","",IF(ISNUMBER($I2999),TEXT($I2999,"0"),$I2999))</f>
        <v/>
      </c>
    </row>
    <row r="3000">
      <c r="B3000" s="25" t="n"/>
      <c r="I3000" s="25" t="n"/>
      <c r="U3000" s="19">
        <f>IF(AND($V3000='設定'!$C$4,COUNTIF('商品マスタ'!$B$6:$B$1005,$W3000)=0),N(U2999)+1,N(U2999))</f>
        <v/>
      </c>
      <c r="V3000" s="19">
        <f>IF($B3000="","",TEXT($B3000,"0000"))</f>
        <v/>
      </c>
      <c r="W3000" s="19">
        <f>IF($I3000="","",IF(ISNUMBER($I3000),TEXT($I3000,"0"),$I3000))</f>
        <v/>
      </c>
    </row>
    <row r="3001">
      <c r="B3001" s="25" t="n"/>
      <c r="I3001" s="25" t="n"/>
      <c r="U3001" s="19">
        <f>IF(AND($V3001='設定'!$C$4,COUNTIF('商品マスタ'!$B$6:$B$1005,$W3001)=0),N(U3000)+1,N(U3000))</f>
        <v/>
      </c>
      <c r="V3001" s="19">
        <f>IF($B3001="","",TEXT($B3001,"0000"))</f>
        <v/>
      </c>
      <c r="W3001" s="19">
        <f>IF($I3001="","",IF(ISNUMBER($I3001),TEXT($I3001,"0"),$I3001))</f>
        <v/>
      </c>
    </row>
    <row r="3002">
      <c r="B3002" s="25" t="n"/>
      <c r="I3002" s="25" t="n"/>
      <c r="U3002" s="19">
        <f>IF(AND($V3002='設定'!$C$4,COUNTIF('商品マスタ'!$B$6:$B$1005,$W3002)=0),N(U3001)+1,N(U3001))</f>
        <v/>
      </c>
      <c r="V3002" s="19">
        <f>IF($B3002="","",TEXT($B3002,"0000"))</f>
        <v/>
      </c>
      <c r="W3002" s="19">
        <f>IF($I3002="","",IF(ISNUMBER($I3002),TEXT($I3002,"0"),$I3002))</f>
        <v/>
      </c>
    </row>
    <row r="3003">
      <c r="B3003" s="25" t="n"/>
      <c r="I3003" s="25" t="n"/>
      <c r="U3003" s="19">
        <f>IF(AND($V3003='設定'!$C$4,COUNTIF('商品マスタ'!$B$6:$B$1005,$W3003)=0),N(U3002)+1,N(U3002))</f>
        <v/>
      </c>
      <c r="V3003" s="19">
        <f>IF($B3003="","",TEXT($B3003,"0000"))</f>
        <v/>
      </c>
      <c r="W3003" s="19">
        <f>IF($I3003="","",IF(ISNUMBER($I3003),TEXT($I3003,"0"),$I3003))</f>
        <v/>
      </c>
    </row>
    <row r="3004">
      <c r="B3004" s="25" t="n"/>
      <c r="I3004" s="25" t="n"/>
      <c r="U3004" s="19">
        <f>IF(AND($V3004='設定'!$C$4,COUNTIF('商品マスタ'!$B$6:$B$1005,$W3004)=0),N(U3003)+1,N(U3003))</f>
        <v/>
      </c>
      <c r="V3004" s="19">
        <f>IF($B3004="","",TEXT($B3004,"0000"))</f>
        <v/>
      </c>
      <c r="W3004" s="19">
        <f>IF($I3004="","",IF(ISNUMBER($I3004),TEXT($I3004,"0"),$I3004))</f>
        <v/>
      </c>
    </row>
    <row r="3005">
      <c r="B3005" s="25" t="n"/>
      <c r="I3005" s="25" t="n"/>
      <c r="U3005" s="19">
        <f>IF(AND($V3005='設定'!$C$4,COUNTIF('商品マスタ'!$B$6:$B$1005,$W3005)=0),N(U3004)+1,N(U3004))</f>
        <v/>
      </c>
      <c r="V3005" s="19">
        <f>IF($B3005="","",TEXT($B3005,"0000"))</f>
        <v/>
      </c>
      <c r="W3005" s="19">
        <f>IF($I3005="","",IF(ISNUMBER($I3005),TEXT($I3005,"0"),$I3005))</f>
        <v/>
      </c>
    </row>
    <row r="3006">
      <c r="B3006" s="25" t="n"/>
      <c r="I3006" s="25" t="n"/>
      <c r="U3006" s="19">
        <f>IF(AND($V3006='設定'!$C$4,COUNTIF('商品マスタ'!$B$6:$B$1005,$W3006)=0),N(U3005)+1,N(U3005))</f>
        <v/>
      </c>
      <c r="V3006" s="19">
        <f>IF($B3006="","",TEXT($B3006,"0000"))</f>
        <v/>
      </c>
      <c r="W3006" s="19">
        <f>IF($I3006="","",IF(ISNUMBER($I3006),TEXT($I3006,"0"),$I3006))</f>
        <v/>
      </c>
    </row>
    <row r="3007">
      <c r="B3007" s="25" t="n"/>
      <c r="I3007" s="25" t="n"/>
      <c r="U3007" s="19">
        <f>IF(AND($V3007='設定'!$C$4,COUNTIF('商品マスタ'!$B$6:$B$1005,$W3007)=0),N(U3006)+1,N(U3006))</f>
        <v/>
      </c>
      <c r="V3007" s="19">
        <f>IF($B3007="","",TEXT($B3007,"0000"))</f>
        <v/>
      </c>
      <c r="W3007" s="19">
        <f>IF($I3007="","",IF(ISNUMBER($I3007),TEXT($I3007,"0"),$I3007))</f>
        <v/>
      </c>
    </row>
    <row r="3008">
      <c r="B3008" s="25" t="n"/>
      <c r="I3008" s="25" t="n"/>
      <c r="U3008" s="19">
        <f>IF(AND($V3008='設定'!$C$4,COUNTIF('商品マスタ'!$B$6:$B$1005,$W3008)=0),N(U3007)+1,N(U3007))</f>
        <v/>
      </c>
      <c r="V3008" s="19">
        <f>IF($B3008="","",TEXT($B3008,"0000"))</f>
        <v/>
      </c>
      <c r="W3008" s="19">
        <f>IF($I3008="","",IF(ISNUMBER($I3008),TEXT($I3008,"0"),$I3008))</f>
        <v/>
      </c>
    </row>
    <row r="3009">
      <c r="B3009" s="25" t="n"/>
      <c r="I3009" s="25" t="n"/>
      <c r="U3009" s="19">
        <f>IF(AND($V3009='設定'!$C$4,COUNTIF('商品マスタ'!$B$6:$B$1005,$W3009)=0),N(U3008)+1,N(U3008))</f>
        <v/>
      </c>
      <c r="V3009" s="19">
        <f>IF($B3009="","",TEXT($B3009,"0000"))</f>
        <v/>
      </c>
      <c r="W3009" s="19">
        <f>IF($I3009="","",IF(ISNUMBER($I3009),TEXT($I3009,"0"),$I3009))</f>
        <v/>
      </c>
    </row>
    <row r="3010">
      <c r="B3010" s="25" t="n"/>
      <c r="I3010" s="25" t="n"/>
      <c r="U3010" s="19">
        <f>IF(AND($V3010='設定'!$C$4,COUNTIF('商品マスタ'!$B$6:$B$1005,$W3010)=0),N(U3009)+1,N(U3009))</f>
        <v/>
      </c>
      <c r="V3010" s="19">
        <f>IF($B3010="","",TEXT($B3010,"0000"))</f>
        <v/>
      </c>
      <c r="W3010" s="19">
        <f>IF($I3010="","",IF(ISNUMBER($I3010),TEXT($I3010,"0"),$I3010))</f>
        <v/>
      </c>
    </row>
    <row r="3011">
      <c r="B3011" s="25" t="n"/>
      <c r="I3011" s="25" t="n"/>
      <c r="U3011" s="19">
        <f>IF(AND($V3011='設定'!$C$4,COUNTIF('商品マスタ'!$B$6:$B$1005,$W3011)=0),N(U3010)+1,N(U3010))</f>
        <v/>
      </c>
      <c r="V3011" s="19">
        <f>IF($B3011="","",TEXT($B3011,"0000"))</f>
        <v/>
      </c>
      <c r="W3011" s="19">
        <f>IF($I3011="","",IF(ISNUMBER($I3011),TEXT($I3011,"0"),$I3011))</f>
        <v/>
      </c>
    </row>
    <row r="3012">
      <c r="B3012" s="25" t="n"/>
      <c r="I3012" s="25" t="n"/>
      <c r="U3012" s="19">
        <f>IF(AND($V3012='設定'!$C$4,COUNTIF('商品マスタ'!$B$6:$B$1005,$W3012)=0),N(U3011)+1,N(U3011))</f>
        <v/>
      </c>
      <c r="V3012" s="19">
        <f>IF($B3012="","",TEXT($B3012,"0000"))</f>
        <v/>
      </c>
      <c r="W3012" s="19">
        <f>IF($I3012="","",IF(ISNUMBER($I3012),TEXT($I3012,"0"),$I3012))</f>
        <v/>
      </c>
    </row>
    <row r="3013">
      <c r="B3013" s="25" t="n"/>
      <c r="I3013" s="25" t="n"/>
      <c r="U3013" s="19">
        <f>IF(AND($V3013='設定'!$C$4,COUNTIF('商品マスタ'!$B$6:$B$1005,$W3013)=0),N(U3012)+1,N(U3012))</f>
        <v/>
      </c>
      <c r="V3013" s="19">
        <f>IF($B3013="","",TEXT($B3013,"0000"))</f>
        <v/>
      </c>
      <c r="W3013" s="19">
        <f>IF($I3013="","",IF(ISNUMBER($I3013),TEXT($I3013,"0"),$I3013))</f>
        <v/>
      </c>
    </row>
    <row r="3014">
      <c r="B3014" s="25" t="n"/>
      <c r="I3014" s="25" t="n"/>
      <c r="U3014" s="19">
        <f>IF(AND($V3014='設定'!$C$4,COUNTIF('商品マスタ'!$B$6:$B$1005,$W3014)=0),N(U3013)+1,N(U3013))</f>
        <v/>
      </c>
      <c r="V3014" s="19">
        <f>IF($B3014="","",TEXT($B3014,"0000"))</f>
        <v/>
      </c>
      <c r="W3014" s="19">
        <f>IF($I3014="","",IF(ISNUMBER($I3014),TEXT($I3014,"0"),$I3014))</f>
        <v/>
      </c>
    </row>
    <row r="3015">
      <c r="B3015" s="25" t="n"/>
      <c r="I3015" s="25" t="n"/>
      <c r="U3015" s="19">
        <f>IF(AND($V3015='設定'!$C$4,COUNTIF('商品マスタ'!$B$6:$B$1005,$W3015)=0),N(U3014)+1,N(U3014))</f>
        <v/>
      </c>
      <c r="V3015" s="19">
        <f>IF($B3015="","",TEXT($B3015,"0000"))</f>
        <v/>
      </c>
      <c r="W3015" s="19">
        <f>IF($I3015="","",IF(ISNUMBER($I3015),TEXT($I3015,"0"),$I3015))</f>
        <v/>
      </c>
    </row>
    <row r="3016">
      <c r="B3016" s="25" t="n"/>
      <c r="I3016" s="25" t="n"/>
      <c r="U3016" s="19">
        <f>IF(AND($V3016='設定'!$C$4,COUNTIF('商品マスタ'!$B$6:$B$1005,$W3016)=0),N(U3015)+1,N(U3015))</f>
        <v/>
      </c>
      <c r="V3016" s="19">
        <f>IF($B3016="","",TEXT($B3016,"0000"))</f>
        <v/>
      </c>
      <c r="W3016" s="19">
        <f>IF($I3016="","",IF(ISNUMBER($I3016),TEXT($I3016,"0"),$I3016))</f>
        <v/>
      </c>
    </row>
    <row r="3017">
      <c r="B3017" s="25" t="n"/>
      <c r="I3017" s="25" t="n"/>
      <c r="U3017" s="19">
        <f>IF(AND($V3017='設定'!$C$4,COUNTIF('商品マスタ'!$B$6:$B$1005,$W3017)=0),N(U3016)+1,N(U3016))</f>
        <v/>
      </c>
      <c r="V3017" s="19">
        <f>IF($B3017="","",TEXT($B3017,"0000"))</f>
        <v/>
      </c>
      <c r="W3017" s="19">
        <f>IF($I3017="","",IF(ISNUMBER($I3017),TEXT($I3017,"0"),$I3017))</f>
        <v/>
      </c>
    </row>
    <row r="3018">
      <c r="B3018" s="25" t="n"/>
      <c r="I3018" s="25" t="n"/>
      <c r="U3018" s="19">
        <f>IF(AND($V3018='設定'!$C$4,COUNTIF('商品マスタ'!$B$6:$B$1005,$W3018)=0),N(U3017)+1,N(U3017))</f>
        <v/>
      </c>
      <c r="V3018" s="19">
        <f>IF($B3018="","",TEXT($B3018,"0000"))</f>
        <v/>
      </c>
      <c r="W3018" s="19">
        <f>IF($I3018="","",IF(ISNUMBER($I3018),TEXT($I3018,"0"),$I3018))</f>
        <v/>
      </c>
    </row>
    <row r="3019">
      <c r="B3019" s="25" t="n"/>
      <c r="I3019" s="25" t="n"/>
      <c r="U3019" s="19">
        <f>IF(AND($V3019='設定'!$C$4,COUNTIF('商品マスタ'!$B$6:$B$1005,$W3019)=0),N(U3018)+1,N(U3018))</f>
        <v/>
      </c>
      <c r="V3019" s="19">
        <f>IF($B3019="","",TEXT($B3019,"0000"))</f>
        <v/>
      </c>
      <c r="W3019" s="19">
        <f>IF($I3019="","",IF(ISNUMBER($I3019),TEXT($I3019,"0"),$I3019))</f>
        <v/>
      </c>
    </row>
    <row r="3020">
      <c r="B3020" s="25" t="n"/>
      <c r="I3020" s="25" t="n"/>
      <c r="U3020" s="19">
        <f>IF(AND($V3020='設定'!$C$4,COUNTIF('商品マスタ'!$B$6:$B$1005,$W3020)=0),N(U3019)+1,N(U3019))</f>
        <v/>
      </c>
      <c r="V3020" s="19">
        <f>IF($B3020="","",TEXT($B3020,"0000"))</f>
        <v/>
      </c>
      <c r="W3020" s="19">
        <f>IF($I3020="","",IF(ISNUMBER($I3020),TEXT($I3020,"0"),$I3020))</f>
        <v/>
      </c>
    </row>
    <row r="3021">
      <c r="B3021" s="25" t="n"/>
      <c r="I3021" s="25" t="n"/>
      <c r="U3021" s="19">
        <f>IF(AND($V3021='設定'!$C$4,COUNTIF('商品マスタ'!$B$6:$B$1005,$W3021)=0),N(U3020)+1,N(U3020))</f>
        <v/>
      </c>
      <c r="V3021" s="19">
        <f>IF($B3021="","",TEXT($B3021,"0000"))</f>
        <v/>
      </c>
      <c r="W3021" s="19">
        <f>IF($I3021="","",IF(ISNUMBER($I3021),TEXT($I3021,"0"),$I3021))</f>
        <v/>
      </c>
    </row>
    <row r="3022">
      <c r="B3022" s="25" t="n"/>
      <c r="I3022" s="25" t="n"/>
      <c r="U3022" s="19">
        <f>IF(AND($V3022='設定'!$C$4,COUNTIF('商品マスタ'!$B$6:$B$1005,$W3022)=0),N(U3021)+1,N(U3021))</f>
        <v/>
      </c>
      <c r="V3022" s="19">
        <f>IF($B3022="","",TEXT($B3022,"0000"))</f>
        <v/>
      </c>
      <c r="W3022" s="19">
        <f>IF($I3022="","",IF(ISNUMBER($I3022),TEXT($I3022,"0"),$I3022))</f>
        <v/>
      </c>
    </row>
    <row r="3023">
      <c r="B3023" s="25" t="n"/>
      <c r="I3023" s="25" t="n"/>
      <c r="U3023" s="19">
        <f>IF(AND($V3023='設定'!$C$4,COUNTIF('商品マスタ'!$B$6:$B$1005,$W3023)=0),N(U3022)+1,N(U3022))</f>
        <v/>
      </c>
      <c r="V3023" s="19">
        <f>IF($B3023="","",TEXT($B3023,"0000"))</f>
        <v/>
      </c>
      <c r="W3023" s="19">
        <f>IF($I3023="","",IF(ISNUMBER($I3023),TEXT($I3023,"0"),$I3023))</f>
        <v/>
      </c>
    </row>
    <row r="3024">
      <c r="B3024" s="25" t="n"/>
      <c r="I3024" s="25" t="n"/>
      <c r="U3024" s="19">
        <f>IF(AND($V3024='設定'!$C$4,COUNTIF('商品マスタ'!$B$6:$B$1005,$W3024)=0),N(U3023)+1,N(U3023))</f>
        <v/>
      </c>
      <c r="V3024" s="19">
        <f>IF($B3024="","",TEXT($B3024,"0000"))</f>
        <v/>
      </c>
      <c r="W3024" s="19">
        <f>IF($I3024="","",IF(ISNUMBER($I3024),TEXT($I3024,"0"),$I3024))</f>
        <v/>
      </c>
    </row>
    <row r="3025">
      <c r="B3025" s="25" t="n"/>
      <c r="I3025" s="25" t="n"/>
      <c r="U3025" s="19">
        <f>IF(AND($V3025='設定'!$C$4,COUNTIF('商品マスタ'!$B$6:$B$1005,$W3025)=0),N(U3024)+1,N(U3024))</f>
        <v/>
      </c>
      <c r="V3025" s="19">
        <f>IF($B3025="","",TEXT($B3025,"0000"))</f>
        <v/>
      </c>
      <c r="W3025" s="19">
        <f>IF($I3025="","",IF(ISNUMBER($I3025),TEXT($I3025,"0"),$I3025))</f>
        <v/>
      </c>
    </row>
    <row r="3026">
      <c r="B3026" s="25" t="n"/>
      <c r="I3026" s="25" t="n"/>
      <c r="U3026" s="19">
        <f>IF(AND($V3026='設定'!$C$4,COUNTIF('商品マスタ'!$B$6:$B$1005,$W3026)=0),N(U3025)+1,N(U3025))</f>
        <v/>
      </c>
      <c r="V3026" s="19">
        <f>IF($B3026="","",TEXT($B3026,"0000"))</f>
        <v/>
      </c>
      <c r="W3026" s="19">
        <f>IF($I3026="","",IF(ISNUMBER($I3026),TEXT($I3026,"0"),$I3026))</f>
        <v/>
      </c>
    </row>
    <row r="3027">
      <c r="B3027" s="25" t="n"/>
      <c r="I3027" s="25" t="n"/>
      <c r="U3027" s="19">
        <f>IF(AND($V3027='設定'!$C$4,COUNTIF('商品マスタ'!$B$6:$B$1005,$W3027)=0),N(U3026)+1,N(U3026))</f>
        <v/>
      </c>
      <c r="V3027" s="19">
        <f>IF($B3027="","",TEXT($B3027,"0000"))</f>
        <v/>
      </c>
      <c r="W3027" s="19">
        <f>IF($I3027="","",IF(ISNUMBER($I3027),TEXT($I3027,"0"),$I3027))</f>
        <v/>
      </c>
    </row>
    <row r="3028">
      <c r="B3028" s="25" t="n"/>
      <c r="I3028" s="25" t="n"/>
      <c r="U3028" s="19">
        <f>IF(AND($V3028='設定'!$C$4,COUNTIF('商品マスタ'!$B$6:$B$1005,$W3028)=0),N(U3027)+1,N(U3027))</f>
        <v/>
      </c>
      <c r="V3028" s="19">
        <f>IF($B3028="","",TEXT($B3028,"0000"))</f>
        <v/>
      </c>
      <c r="W3028" s="19">
        <f>IF($I3028="","",IF(ISNUMBER($I3028),TEXT($I3028,"0"),$I3028))</f>
        <v/>
      </c>
    </row>
    <row r="3029">
      <c r="B3029" s="25" t="n"/>
      <c r="I3029" s="25" t="n"/>
      <c r="U3029" s="19">
        <f>IF(AND($V3029='設定'!$C$4,COUNTIF('商品マスタ'!$B$6:$B$1005,$W3029)=0),N(U3028)+1,N(U3028))</f>
        <v/>
      </c>
      <c r="V3029" s="19">
        <f>IF($B3029="","",TEXT($B3029,"0000"))</f>
        <v/>
      </c>
      <c r="W3029" s="19">
        <f>IF($I3029="","",IF(ISNUMBER($I3029),TEXT($I3029,"0"),$I3029))</f>
        <v/>
      </c>
    </row>
    <row r="3030">
      <c r="B3030" s="25" t="n"/>
      <c r="I3030" s="25" t="n"/>
      <c r="U3030" s="19">
        <f>IF(AND($V3030='設定'!$C$4,COUNTIF('商品マスタ'!$B$6:$B$1005,$W3030)=0),N(U3029)+1,N(U3029))</f>
        <v/>
      </c>
      <c r="V3030" s="19">
        <f>IF($B3030="","",TEXT($B3030,"0000"))</f>
        <v/>
      </c>
      <c r="W3030" s="19">
        <f>IF($I3030="","",IF(ISNUMBER($I3030),TEXT($I3030,"0"),$I3030))</f>
        <v/>
      </c>
    </row>
    <row r="3031">
      <c r="B3031" s="25" t="n"/>
      <c r="I3031" s="25" t="n"/>
      <c r="U3031" s="19">
        <f>IF(AND($V3031='設定'!$C$4,COUNTIF('商品マスタ'!$B$6:$B$1005,$W3031)=0),N(U3030)+1,N(U3030))</f>
        <v/>
      </c>
      <c r="V3031" s="19">
        <f>IF($B3031="","",TEXT($B3031,"0000"))</f>
        <v/>
      </c>
      <c r="W3031" s="19">
        <f>IF($I3031="","",IF(ISNUMBER($I3031),TEXT($I3031,"0"),$I3031))</f>
        <v/>
      </c>
    </row>
    <row r="3032">
      <c r="B3032" s="25" t="n"/>
      <c r="I3032" s="25" t="n"/>
      <c r="U3032" s="19">
        <f>IF(AND($V3032='設定'!$C$4,COUNTIF('商品マスタ'!$B$6:$B$1005,$W3032)=0),N(U3031)+1,N(U3031))</f>
        <v/>
      </c>
      <c r="V3032" s="19">
        <f>IF($B3032="","",TEXT($B3032,"0000"))</f>
        <v/>
      </c>
      <c r="W3032" s="19">
        <f>IF($I3032="","",IF(ISNUMBER($I3032),TEXT($I3032,"0"),$I3032))</f>
        <v/>
      </c>
    </row>
    <row r="3033">
      <c r="B3033" s="25" t="n"/>
      <c r="I3033" s="25" t="n"/>
      <c r="U3033" s="19">
        <f>IF(AND($V3033='設定'!$C$4,COUNTIF('商品マスタ'!$B$6:$B$1005,$W3033)=0),N(U3032)+1,N(U3032))</f>
        <v/>
      </c>
      <c r="V3033" s="19">
        <f>IF($B3033="","",TEXT($B3033,"0000"))</f>
        <v/>
      </c>
      <c r="W3033" s="19">
        <f>IF($I3033="","",IF(ISNUMBER($I3033),TEXT($I3033,"0"),$I3033))</f>
        <v/>
      </c>
    </row>
    <row r="3034">
      <c r="B3034" s="25" t="n"/>
      <c r="I3034" s="25" t="n"/>
      <c r="U3034" s="19">
        <f>IF(AND($V3034='設定'!$C$4,COUNTIF('商品マスタ'!$B$6:$B$1005,$W3034)=0),N(U3033)+1,N(U3033))</f>
        <v/>
      </c>
      <c r="V3034" s="19">
        <f>IF($B3034="","",TEXT($B3034,"0000"))</f>
        <v/>
      </c>
      <c r="W3034" s="19">
        <f>IF($I3034="","",IF(ISNUMBER($I3034),TEXT($I3034,"0"),$I3034))</f>
        <v/>
      </c>
    </row>
    <row r="3035">
      <c r="B3035" s="25" t="n"/>
      <c r="I3035" s="25" t="n"/>
      <c r="U3035" s="19">
        <f>IF(AND($V3035='設定'!$C$4,COUNTIF('商品マスタ'!$B$6:$B$1005,$W3035)=0),N(U3034)+1,N(U3034))</f>
        <v/>
      </c>
      <c r="V3035" s="19">
        <f>IF($B3035="","",TEXT($B3035,"0000"))</f>
        <v/>
      </c>
      <c r="W3035" s="19">
        <f>IF($I3035="","",IF(ISNUMBER($I3035),TEXT($I3035,"0"),$I3035))</f>
        <v/>
      </c>
    </row>
    <row r="3036">
      <c r="B3036" s="25" t="n"/>
      <c r="I3036" s="25" t="n"/>
      <c r="U3036" s="19">
        <f>IF(AND($V3036='設定'!$C$4,COUNTIF('商品マスタ'!$B$6:$B$1005,$W3036)=0),N(U3035)+1,N(U3035))</f>
        <v/>
      </c>
      <c r="V3036" s="19">
        <f>IF($B3036="","",TEXT($B3036,"0000"))</f>
        <v/>
      </c>
      <c r="W3036" s="19">
        <f>IF($I3036="","",IF(ISNUMBER($I3036),TEXT($I3036,"0"),$I3036))</f>
        <v/>
      </c>
    </row>
    <row r="3037">
      <c r="B3037" s="25" t="n"/>
      <c r="I3037" s="25" t="n"/>
      <c r="U3037" s="19">
        <f>IF(AND($V3037='設定'!$C$4,COUNTIF('商品マスタ'!$B$6:$B$1005,$W3037)=0),N(U3036)+1,N(U3036))</f>
        <v/>
      </c>
      <c r="V3037" s="19">
        <f>IF($B3037="","",TEXT($B3037,"0000"))</f>
        <v/>
      </c>
      <c r="W3037" s="19">
        <f>IF($I3037="","",IF(ISNUMBER($I3037),TEXT($I3037,"0"),$I3037))</f>
        <v/>
      </c>
    </row>
    <row r="3038">
      <c r="B3038" s="25" t="n"/>
      <c r="I3038" s="25" t="n"/>
      <c r="U3038" s="19">
        <f>IF(AND($V3038='設定'!$C$4,COUNTIF('商品マスタ'!$B$6:$B$1005,$W3038)=0),N(U3037)+1,N(U3037))</f>
        <v/>
      </c>
      <c r="V3038" s="19">
        <f>IF($B3038="","",TEXT($B3038,"0000"))</f>
        <v/>
      </c>
      <c r="W3038" s="19">
        <f>IF($I3038="","",IF(ISNUMBER($I3038),TEXT($I3038,"0"),$I3038))</f>
        <v/>
      </c>
    </row>
    <row r="3039">
      <c r="B3039" s="25" t="n"/>
      <c r="I3039" s="25" t="n"/>
      <c r="U3039" s="19">
        <f>IF(AND($V3039='設定'!$C$4,COUNTIF('商品マスタ'!$B$6:$B$1005,$W3039)=0),N(U3038)+1,N(U3038))</f>
        <v/>
      </c>
      <c r="V3039" s="19">
        <f>IF($B3039="","",TEXT($B3039,"0000"))</f>
        <v/>
      </c>
      <c r="W3039" s="19">
        <f>IF($I3039="","",IF(ISNUMBER($I3039),TEXT($I3039,"0"),$I3039))</f>
        <v/>
      </c>
    </row>
    <row r="3040">
      <c r="B3040" s="25" t="n"/>
      <c r="I3040" s="25" t="n"/>
      <c r="U3040" s="19">
        <f>IF(AND($V3040='設定'!$C$4,COUNTIF('商品マスタ'!$B$6:$B$1005,$W3040)=0),N(U3039)+1,N(U3039))</f>
        <v/>
      </c>
      <c r="V3040" s="19">
        <f>IF($B3040="","",TEXT($B3040,"0000"))</f>
        <v/>
      </c>
      <c r="W3040" s="19">
        <f>IF($I3040="","",IF(ISNUMBER($I3040),TEXT($I3040,"0"),$I3040))</f>
        <v/>
      </c>
    </row>
    <row r="3041">
      <c r="B3041" s="25" t="n"/>
      <c r="I3041" s="25" t="n"/>
      <c r="U3041" s="19">
        <f>IF(AND($V3041='設定'!$C$4,COUNTIF('商品マスタ'!$B$6:$B$1005,$W3041)=0),N(U3040)+1,N(U3040))</f>
        <v/>
      </c>
      <c r="V3041" s="19">
        <f>IF($B3041="","",TEXT($B3041,"0000"))</f>
        <v/>
      </c>
      <c r="W3041" s="19">
        <f>IF($I3041="","",IF(ISNUMBER($I3041),TEXT($I3041,"0"),$I3041))</f>
        <v/>
      </c>
    </row>
    <row r="3042">
      <c r="B3042" s="25" t="n"/>
      <c r="I3042" s="25" t="n"/>
      <c r="U3042" s="19">
        <f>IF(AND($V3042='設定'!$C$4,COUNTIF('商品マスタ'!$B$6:$B$1005,$W3042)=0),N(U3041)+1,N(U3041))</f>
        <v/>
      </c>
      <c r="V3042" s="19">
        <f>IF($B3042="","",TEXT($B3042,"0000"))</f>
        <v/>
      </c>
      <c r="W3042" s="19">
        <f>IF($I3042="","",IF(ISNUMBER($I3042),TEXT($I3042,"0"),$I3042))</f>
        <v/>
      </c>
    </row>
    <row r="3043">
      <c r="B3043" s="25" t="n"/>
      <c r="I3043" s="25" t="n"/>
      <c r="U3043" s="19">
        <f>IF(AND($V3043='設定'!$C$4,COUNTIF('商品マスタ'!$B$6:$B$1005,$W3043)=0),N(U3042)+1,N(U3042))</f>
        <v/>
      </c>
      <c r="V3043" s="19">
        <f>IF($B3043="","",TEXT($B3043,"0000"))</f>
        <v/>
      </c>
      <c r="W3043" s="19">
        <f>IF($I3043="","",IF(ISNUMBER($I3043),TEXT($I3043,"0"),$I3043))</f>
        <v/>
      </c>
    </row>
    <row r="3044">
      <c r="B3044" s="25" t="n"/>
      <c r="I3044" s="25" t="n"/>
      <c r="U3044" s="19">
        <f>IF(AND($V3044='設定'!$C$4,COUNTIF('商品マスタ'!$B$6:$B$1005,$W3044)=0),N(U3043)+1,N(U3043))</f>
        <v/>
      </c>
      <c r="V3044" s="19">
        <f>IF($B3044="","",TEXT($B3044,"0000"))</f>
        <v/>
      </c>
      <c r="W3044" s="19">
        <f>IF($I3044="","",IF(ISNUMBER($I3044),TEXT($I3044,"0"),$I3044))</f>
        <v/>
      </c>
    </row>
    <row r="3045">
      <c r="B3045" s="25" t="n"/>
      <c r="I3045" s="25" t="n"/>
      <c r="U3045" s="19">
        <f>IF(AND($V3045='設定'!$C$4,COUNTIF('商品マスタ'!$B$6:$B$1005,$W3045)=0),N(U3044)+1,N(U3044))</f>
        <v/>
      </c>
      <c r="V3045" s="19">
        <f>IF($B3045="","",TEXT($B3045,"0000"))</f>
        <v/>
      </c>
      <c r="W3045" s="19">
        <f>IF($I3045="","",IF(ISNUMBER($I3045),TEXT($I3045,"0"),$I3045))</f>
        <v/>
      </c>
    </row>
    <row r="3046">
      <c r="B3046" s="25" t="n"/>
      <c r="I3046" s="25" t="n"/>
      <c r="U3046" s="19">
        <f>IF(AND($V3046='設定'!$C$4,COUNTIF('商品マスタ'!$B$6:$B$1005,$W3046)=0),N(U3045)+1,N(U3045))</f>
        <v/>
      </c>
      <c r="V3046" s="19">
        <f>IF($B3046="","",TEXT($B3046,"0000"))</f>
        <v/>
      </c>
      <c r="W3046" s="19">
        <f>IF($I3046="","",IF(ISNUMBER($I3046),TEXT($I3046,"0"),$I3046))</f>
        <v/>
      </c>
    </row>
    <row r="3047">
      <c r="B3047" s="25" t="n"/>
      <c r="I3047" s="25" t="n"/>
      <c r="U3047" s="19">
        <f>IF(AND($V3047='設定'!$C$4,COUNTIF('商品マスタ'!$B$6:$B$1005,$W3047)=0),N(U3046)+1,N(U3046))</f>
        <v/>
      </c>
      <c r="V3047" s="19">
        <f>IF($B3047="","",TEXT($B3047,"0000"))</f>
        <v/>
      </c>
      <c r="W3047" s="19">
        <f>IF($I3047="","",IF(ISNUMBER($I3047),TEXT($I3047,"0"),$I3047))</f>
        <v/>
      </c>
    </row>
    <row r="3048">
      <c r="B3048" s="25" t="n"/>
      <c r="I3048" s="25" t="n"/>
      <c r="U3048" s="19">
        <f>IF(AND($V3048='設定'!$C$4,COUNTIF('商品マスタ'!$B$6:$B$1005,$W3048)=0),N(U3047)+1,N(U3047))</f>
        <v/>
      </c>
      <c r="V3048" s="19">
        <f>IF($B3048="","",TEXT($B3048,"0000"))</f>
        <v/>
      </c>
      <c r="W3048" s="19">
        <f>IF($I3048="","",IF(ISNUMBER($I3048),TEXT($I3048,"0"),$I3048))</f>
        <v/>
      </c>
    </row>
    <row r="3049">
      <c r="B3049" s="25" t="n"/>
      <c r="I3049" s="25" t="n"/>
      <c r="U3049" s="19">
        <f>IF(AND($V3049='設定'!$C$4,COUNTIF('商品マスタ'!$B$6:$B$1005,$W3049)=0),N(U3048)+1,N(U3048))</f>
        <v/>
      </c>
      <c r="V3049" s="19">
        <f>IF($B3049="","",TEXT($B3049,"0000"))</f>
        <v/>
      </c>
      <c r="W3049" s="19">
        <f>IF($I3049="","",IF(ISNUMBER($I3049),TEXT($I3049,"0"),$I3049))</f>
        <v/>
      </c>
    </row>
    <row r="3050">
      <c r="B3050" s="25" t="n"/>
      <c r="I3050" s="25" t="n"/>
      <c r="U3050" s="19">
        <f>IF(AND($V3050='設定'!$C$4,COUNTIF('商品マスタ'!$B$6:$B$1005,$W3050)=0),N(U3049)+1,N(U3049))</f>
        <v/>
      </c>
      <c r="V3050" s="19">
        <f>IF($B3050="","",TEXT($B3050,"0000"))</f>
        <v/>
      </c>
      <c r="W3050" s="19">
        <f>IF($I3050="","",IF(ISNUMBER($I3050),TEXT($I3050,"0"),$I3050))</f>
        <v/>
      </c>
    </row>
    <row r="3051">
      <c r="B3051" s="25" t="n"/>
      <c r="I3051" s="25" t="n"/>
      <c r="U3051" s="19">
        <f>IF(AND($V3051='設定'!$C$4,COUNTIF('商品マスタ'!$B$6:$B$1005,$W3051)=0),N(U3050)+1,N(U3050))</f>
        <v/>
      </c>
      <c r="V3051" s="19">
        <f>IF($B3051="","",TEXT($B3051,"0000"))</f>
        <v/>
      </c>
      <c r="W3051" s="19">
        <f>IF($I3051="","",IF(ISNUMBER($I3051),TEXT($I3051,"0"),$I3051))</f>
        <v/>
      </c>
    </row>
    <row r="3052">
      <c r="B3052" s="25" t="n"/>
      <c r="I3052" s="25" t="n"/>
      <c r="U3052" s="19">
        <f>IF(AND($V3052='設定'!$C$4,COUNTIF('商品マスタ'!$B$6:$B$1005,$W3052)=0),N(U3051)+1,N(U3051))</f>
        <v/>
      </c>
      <c r="V3052" s="19">
        <f>IF($B3052="","",TEXT($B3052,"0000"))</f>
        <v/>
      </c>
      <c r="W3052" s="19">
        <f>IF($I3052="","",IF(ISNUMBER($I3052),TEXT($I3052,"0"),$I3052))</f>
        <v/>
      </c>
    </row>
    <row r="3053">
      <c r="B3053" s="25" t="n"/>
      <c r="I3053" s="25" t="n"/>
      <c r="U3053" s="19">
        <f>IF(AND($V3053='設定'!$C$4,COUNTIF('商品マスタ'!$B$6:$B$1005,$W3053)=0),N(U3052)+1,N(U3052))</f>
        <v/>
      </c>
      <c r="V3053" s="19">
        <f>IF($B3053="","",TEXT($B3053,"0000"))</f>
        <v/>
      </c>
      <c r="W3053" s="19">
        <f>IF($I3053="","",IF(ISNUMBER($I3053),TEXT($I3053,"0"),$I3053))</f>
        <v/>
      </c>
    </row>
    <row r="3054">
      <c r="B3054" s="25" t="n"/>
      <c r="I3054" s="25" t="n"/>
      <c r="U3054" s="19">
        <f>IF(AND($V3054='設定'!$C$4,COUNTIF('商品マスタ'!$B$6:$B$1005,$W3054)=0),N(U3053)+1,N(U3053))</f>
        <v/>
      </c>
      <c r="V3054" s="19">
        <f>IF($B3054="","",TEXT($B3054,"0000"))</f>
        <v/>
      </c>
      <c r="W3054" s="19">
        <f>IF($I3054="","",IF(ISNUMBER($I3054),TEXT($I3054,"0"),$I3054))</f>
        <v/>
      </c>
    </row>
    <row r="3055">
      <c r="B3055" s="25" t="n"/>
      <c r="I3055" s="25" t="n"/>
      <c r="U3055" s="19">
        <f>IF(AND($V3055='設定'!$C$4,COUNTIF('商品マスタ'!$B$6:$B$1005,$W3055)=0),N(U3054)+1,N(U3054))</f>
        <v/>
      </c>
      <c r="V3055" s="19">
        <f>IF($B3055="","",TEXT($B3055,"0000"))</f>
        <v/>
      </c>
      <c r="W3055" s="19">
        <f>IF($I3055="","",IF(ISNUMBER($I3055),TEXT($I3055,"0"),$I3055))</f>
        <v/>
      </c>
    </row>
    <row r="3056">
      <c r="B3056" s="25" t="n"/>
      <c r="I3056" s="25" t="n"/>
      <c r="U3056" s="19">
        <f>IF(AND($V3056='設定'!$C$4,COUNTIF('商品マスタ'!$B$6:$B$1005,$W3056)=0),N(U3055)+1,N(U3055))</f>
        <v/>
      </c>
      <c r="V3056" s="19">
        <f>IF($B3056="","",TEXT($B3056,"0000"))</f>
        <v/>
      </c>
      <c r="W3056" s="19">
        <f>IF($I3056="","",IF(ISNUMBER($I3056),TEXT($I3056,"0"),$I3056))</f>
        <v/>
      </c>
    </row>
    <row r="3057">
      <c r="B3057" s="25" t="n"/>
      <c r="I3057" s="25" t="n"/>
      <c r="U3057" s="19">
        <f>IF(AND($V3057='設定'!$C$4,COUNTIF('商品マスタ'!$B$6:$B$1005,$W3057)=0),N(U3056)+1,N(U3056))</f>
        <v/>
      </c>
      <c r="V3057" s="19">
        <f>IF($B3057="","",TEXT($B3057,"0000"))</f>
        <v/>
      </c>
      <c r="W3057" s="19">
        <f>IF($I3057="","",IF(ISNUMBER($I3057),TEXT($I3057,"0"),$I3057))</f>
        <v/>
      </c>
    </row>
    <row r="3058">
      <c r="B3058" s="25" t="n"/>
      <c r="I3058" s="25" t="n"/>
      <c r="U3058" s="19">
        <f>IF(AND($V3058='設定'!$C$4,COUNTIF('商品マスタ'!$B$6:$B$1005,$W3058)=0),N(U3057)+1,N(U3057))</f>
        <v/>
      </c>
      <c r="V3058" s="19">
        <f>IF($B3058="","",TEXT($B3058,"0000"))</f>
        <v/>
      </c>
      <c r="W3058" s="19">
        <f>IF($I3058="","",IF(ISNUMBER($I3058),TEXT($I3058,"0"),$I3058))</f>
        <v/>
      </c>
    </row>
    <row r="3059">
      <c r="B3059" s="25" t="n"/>
      <c r="I3059" s="25" t="n"/>
      <c r="U3059" s="19">
        <f>IF(AND($V3059='設定'!$C$4,COUNTIF('商品マスタ'!$B$6:$B$1005,$W3059)=0),N(U3058)+1,N(U3058))</f>
        <v/>
      </c>
      <c r="V3059" s="19">
        <f>IF($B3059="","",TEXT($B3059,"0000"))</f>
        <v/>
      </c>
      <c r="W3059" s="19">
        <f>IF($I3059="","",IF(ISNUMBER($I3059),TEXT($I3059,"0"),$I3059))</f>
        <v/>
      </c>
    </row>
    <row r="3060">
      <c r="B3060" s="25" t="n"/>
      <c r="I3060" s="25" t="n"/>
      <c r="U3060" s="19">
        <f>IF(AND($V3060='設定'!$C$4,COUNTIF('商品マスタ'!$B$6:$B$1005,$W3060)=0),N(U3059)+1,N(U3059))</f>
        <v/>
      </c>
      <c r="V3060" s="19">
        <f>IF($B3060="","",TEXT($B3060,"0000"))</f>
        <v/>
      </c>
      <c r="W3060" s="19">
        <f>IF($I3060="","",IF(ISNUMBER($I3060),TEXT($I3060,"0"),$I3060))</f>
        <v/>
      </c>
    </row>
    <row r="3061">
      <c r="B3061" s="25" t="n"/>
      <c r="I3061" s="25" t="n"/>
      <c r="U3061" s="19">
        <f>IF(AND($V3061='設定'!$C$4,COUNTIF('商品マスタ'!$B$6:$B$1005,$W3061)=0),N(U3060)+1,N(U3060))</f>
        <v/>
      </c>
      <c r="V3061" s="19">
        <f>IF($B3061="","",TEXT($B3061,"0000"))</f>
        <v/>
      </c>
      <c r="W3061" s="19">
        <f>IF($I3061="","",IF(ISNUMBER($I3061),TEXT($I3061,"0"),$I3061))</f>
        <v/>
      </c>
    </row>
    <row r="3062">
      <c r="B3062" s="25" t="n"/>
      <c r="I3062" s="25" t="n"/>
      <c r="U3062" s="19">
        <f>IF(AND($V3062='設定'!$C$4,COUNTIF('商品マスタ'!$B$6:$B$1005,$W3062)=0),N(U3061)+1,N(U3061))</f>
        <v/>
      </c>
      <c r="V3062" s="19">
        <f>IF($B3062="","",TEXT($B3062,"0000"))</f>
        <v/>
      </c>
      <c r="W3062" s="19">
        <f>IF($I3062="","",IF(ISNUMBER($I3062),TEXT($I3062,"0"),$I3062))</f>
        <v/>
      </c>
    </row>
    <row r="3063">
      <c r="B3063" s="25" t="n"/>
      <c r="I3063" s="25" t="n"/>
      <c r="U3063" s="19">
        <f>IF(AND($V3063='設定'!$C$4,COUNTIF('商品マスタ'!$B$6:$B$1005,$W3063)=0),N(U3062)+1,N(U3062))</f>
        <v/>
      </c>
      <c r="V3063" s="19">
        <f>IF($B3063="","",TEXT($B3063,"0000"))</f>
        <v/>
      </c>
      <c r="W3063" s="19">
        <f>IF($I3063="","",IF(ISNUMBER($I3063),TEXT($I3063,"0"),$I3063))</f>
        <v/>
      </c>
    </row>
    <row r="3064">
      <c r="B3064" s="25" t="n"/>
      <c r="I3064" s="25" t="n"/>
      <c r="U3064" s="19">
        <f>IF(AND($V3064='設定'!$C$4,COUNTIF('商品マスタ'!$B$6:$B$1005,$W3064)=0),N(U3063)+1,N(U3063))</f>
        <v/>
      </c>
      <c r="V3064" s="19">
        <f>IF($B3064="","",TEXT($B3064,"0000"))</f>
        <v/>
      </c>
      <c r="W3064" s="19">
        <f>IF($I3064="","",IF(ISNUMBER($I3064),TEXT($I3064,"0"),$I3064))</f>
        <v/>
      </c>
    </row>
    <row r="3065">
      <c r="B3065" s="25" t="n"/>
      <c r="I3065" s="25" t="n"/>
      <c r="U3065" s="19">
        <f>IF(AND($V3065='設定'!$C$4,COUNTIF('商品マスタ'!$B$6:$B$1005,$W3065)=0),N(U3064)+1,N(U3064))</f>
        <v/>
      </c>
      <c r="V3065" s="19">
        <f>IF($B3065="","",TEXT($B3065,"0000"))</f>
        <v/>
      </c>
      <c r="W3065" s="19">
        <f>IF($I3065="","",IF(ISNUMBER($I3065),TEXT($I3065,"0"),$I3065))</f>
        <v/>
      </c>
    </row>
    <row r="3066">
      <c r="B3066" s="25" t="n"/>
      <c r="I3066" s="25" t="n"/>
      <c r="U3066" s="19">
        <f>IF(AND($V3066='設定'!$C$4,COUNTIF('商品マスタ'!$B$6:$B$1005,$W3066)=0),N(U3065)+1,N(U3065))</f>
        <v/>
      </c>
      <c r="V3066" s="19">
        <f>IF($B3066="","",TEXT($B3066,"0000"))</f>
        <v/>
      </c>
      <c r="W3066" s="19">
        <f>IF($I3066="","",IF(ISNUMBER($I3066),TEXT($I3066,"0"),$I3066))</f>
        <v/>
      </c>
    </row>
    <row r="3067">
      <c r="B3067" s="25" t="n"/>
      <c r="I3067" s="25" t="n"/>
      <c r="U3067" s="19">
        <f>IF(AND($V3067='設定'!$C$4,COUNTIF('商品マスタ'!$B$6:$B$1005,$W3067)=0),N(U3066)+1,N(U3066))</f>
        <v/>
      </c>
      <c r="V3067" s="19">
        <f>IF($B3067="","",TEXT($B3067,"0000"))</f>
        <v/>
      </c>
      <c r="W3067" s="19">
        <f>IF($I3067="","",IF(ISNUMBER($I3067),TEXT($I3067,"0"),$I3067))</f>
        <v/>
      </c>
    </row>
    <row r="3068">
      <c r="B3068" s="25" t="n"/>
      <c r="I3068" s="25" t="n"/>
      <c r="U3068" s="19">
        <f>IF(AND($V3068='設定'!$C$4,COUNTIF('商品マスタ'!$B$6:$B$1005,$W3068)=0),N(U3067)+1,N(U3067))</f>
        <v/>
      </c>
      <c r="V3068" s="19">
        <f>IF($B3068="","",TEXT($B3068,"0000"))</f>
        <v/>
      </c>
      <c r="W3068" s="19">
        <f>IF($I3068="","",IF(ISNUMBER($I3068),TEXT($I3068,"0"),$I3068))</f>
        <v/>
      </c>
    </row>
    <row r="3069">
      <c r="B3069" s="25" t="n"/>
      <c r="I3069" s="25" t="n"/>
      <c r="U3069" s="19">
        <f>IF(AND($V3069='設定'!$C$4,COUNTIF('商品マスタ'!$B$6:$B$1005,$W3069)=0),N(U3068)+1,N(U3068))</f>
        <v/>
      </c>
      <c r="V3069" s="19">
        <f>IF($B3069="","",TEXT($B3069,"0000"))</f>
        <v/>
      </c>
      <c r="W3069" s="19">
        <f>IF($I3069="","",IF(ISNUMBER($I3069),TEXT($I3069,"0"),$I3069))</f>
        <v/>
      </c>
    </row>
    <row r="3070">
      <c r="B3070" s="25" t="n"/>
      <c r="I3070" s="25" t="n"/>
      <c r="U3070" s="19">
        <f>IF(AND($V3070='設定'!$C$4,COUNTIF('商品マスタ'!$B$6:$B$1005,$W3070)=0),N(U3069)+1,N(U3069))</f>
        <v/>
      </c>
      <c r="V3070" s="19">
        <f>IF($B3070="","",TEXT($B3070,"0000"))</f>
        <v/>
      </c>
      <c r="W3070" s="19">
        <f>IF($I3070="","",IF(ISNUMBER($I3070),TEXT($I3070,"0"),$I3070))</f>
        <v/>
      </c>
    </row>
    <row r="3071">
      <c r="B3071" s="25" t="n"/>
      <c r="I3071" s="25" t="n"/>
      <c r="U3071" s="19">
        <f>IF(AND($V3071='設定'!$C$4,COUNTIF('商品マスタ'!$B$6:$B$1005,$W3071)=0),N(U3070)+1,N(U3070))</f>
        <v/>
      </c>
      <c r="V3071" s="19">
        <f>IF($B3071="","",TEXT($B3071,"0000"))</f>
        <v/>
      </c>
      <c r="W3071" s="19">
        <f>IF($I3071="","",IF(ISNUMBER($I3071),TEXT($I3071,"0"),$I3071))</f>
        <v/>
      </c>
    </row>
    <row r="3072">
      <c r="B3072" s="25" t="n"/>
      <c r="I3072" s="25" t="n"/>
      <c r="U3072" s="19">
        <f>IF(AND($V3072='設定'!$C$4,COUNTIF('商品マスタ'!$B$6:$B$1005,$W3072)=0),N(U3071)+1,N(U3071))</f>
        <v/>
      </c>
      <c r="V3072" s="19">
        <f>IF($B3072="","",TEXT($B3072,"0000"))</f>
        <v/>
      </c>
      <c r="W3072" s="19">
        <f>IF($I3072="","",IF(ISNUMBER($I3072),TEXT($I3072,"0"),$I3072))</f>
        <v/>
      </c>
    </row>
    <row r="3073">
      <c r="B3073" s="25" t="n"/>
      <c r="I3073" s="25" t="n"/>
      <c r="U3073" s="19">
        <f>IF(AND($V3073='設定'!$C$4,COUNTIF('商品マスタ'!$B$6:$B$1005,$W3073)=0),N(U3072)+1,N(U3072))</f>
        <v/>
      </c>
      <c r="V3073" s="19">
        <f>IF($B3073="","",TEXT($B3073,"0000"))</f>
        <v/>
      </c>
      <c r="W3073" s="19">
        <f>IF($I3073="","",IF(ISNUMBER($I3073),TEXT($I3073,"0"),$I3073))</f>
        <v/>
      </c>
    </row>
    <row r="3074">
      <c r="B3074" s="25" t="n"/>
      <c r="I3074" s="25" t="n"/>
      <c r="U3074" s="19">
        <f>IF(AND($V3074='設定'!$C$4,COUNTIF('商品マスタ'!$B$6:$B$1005,$W3074)=0),N(U3073)+1,N(U3073))</f>
        <v/>
      </c>
      <c r="V3074" s="19">
        <f>IF($B3074="","",TEXT($B3074,"0000"))</f>
        <v/>
      </c>
      <c r="W3074" s="19">
        <f>IF($I3074="","",IF(ISNUMBER($I3074),TEXT($I3074,"0"),$I3074))</f>
        <v/>
      </c>
    </row>
    <row r="3075">
      <c r="B3075" s="25" t="n"/>
      <c r="I3075" s="25" t="n"/>
      <c r="U3075" s="19">
        <f>IF(AND($V3075='設定'!$C$4,COUNTIF('商品マスタ'!$B$6:$B$1005,$W3075)=0),N(U3074)+1,N(U3074))</f>
        <v/>
      </c>
      <c r="V3075" s="19">
        <f>IF($B3075="","",TEXT($B3075,"0000"))</f>
        <v/>
      </c>
      <c r="W3075" s="19">
        <f>IF($I3075="","",IF(ISNUMBER($I3075),TEXT($I3075,"0"),$I3075))</f>
        <v/>
      </c>
    </row>
    <row r="3076">
      <c r="B3076" s="25" t="n"/>
      <c r="I3076" s="25" t="n"/>
      <c r="U3076" s="19">
        <f>IF(AND($V3076='設定'!$C$4,COUNTIF('商品マスタ'!$B$6:$B$1005,$W3076)=0),N(U3075)+1,N(U3075))</f>
        <v/>
      </c>
      <c r="V3076" s="19">
        <f>IF($B3076="","",TEXT($B3076,"0000"))</f>
        <v/>
      </c>
      <c r="W3076" s="19">
        <f>IF($I3076="","",IF(ISNUMBER($I3076),TEXT($I3076,"0"),$I3076))</f>
        <v/>
      </c>
    </row>
    <row r="3077">
      <c r="B3077" s="25" t="n"/>
      <c r="I3077" s="25" t="n"/>
      <c r="U3077" s="19">
        <f>IF(AND($V3077='設定'!$C$4,COUNTIF('商品マスタ'!$B$6:$B$1005,$W3077)=0),N(U3076)+1,N(U3076))</f>
        <v/>
      </c>
      <c r="V3077" s="19">
        <f>IF($B3077="","",TEXT($B3077,"0000"))</f>
        <v/>
      </c>
      <c r="W3077" s="19">
        <f>IF($I3077="","",IF(ISNUMBER($I3077),TEXT($I3077,"0"),$I3077))</f>
        <v/>
      </c>
    </row>
    <row r="3078">
      <c r="B3078" s="25" t="n"/>
      <c r="I3078" s="25" t="n"/>
      <c r="U3078" s="19">
        <f>IF(AND($V3078='設定'!$C$4,COUNTIF('商品マスタ'!$B$6:$B$1005,$W3078)=0),N(U3077)+1,N(U3077))</f>
        <v/>
      </c>
      <c r="V3078" s="19">
        <f>IF($B3078="","",TEXT($B3078,"0000"))</f>
        <v/>
      </c>
      <c r="W3078" s="19">
        <f>IF($I3078="","",IF(ISNUMBER($I3078),TEXT($I3078,"0"),$I3078))</f>
        <v/>
      </c>
    </row>
    <row r="3079">
      <c r="B3079" s="25" t="n"/>
      <c r="I3079" s="25" t="n"/>
      <c r="U3079" s="19">
        <f>IF(AND($V3079='設定'!$C$4,COUNTIF('商品マスタ'!$B$6:$B$1005,$W3079)=0),N(U3078)+1,N(U3078))</f>
        <v/>
      </c>
      <c r="V3079" s="19">
        <f>IF($B3079="","",TEXT($B3079,"0000"))</f>
        <v/>
      </c>
      <c r="W3079" s="19">
        <f>IF($I3079="","",IF(ISNUMBER($I3079),TEXT($I3079,"0"),$I3079))</f>
        <v/>
      </c>
    </row>
    <row r="3080">
      <c r="B3080" s="25" t="n"/>
      <c r="I3080" s="25" t="n"/>
      <c r="U3080" s="19">
        <f>IF(AND($V3080='設定'!$C$4,COUNTIF('商品マスタ'!$B$6:$B$1005,$W3080)=0),N(U3079)+1,N(U3079))</f>
        <v/>
      </c>
      <c r="V3080" s="19">
        <f>IF($B3080="","",TEXT($B3080,"0000"))</f>
        <v/>
      </c>
      <c r="W3080" s="19">
        <f>IF($I3080="","",IF(ISNUMBER($I3080),TEXT($I3080,"0"),$I3080))</f>
        <v/>
      </c>
    </row>
    <row r="3081">
      <c r="B3081" s="25" t="n"/>
      <c r="I3081" s="25" t="n"/>
      <c r="U3081" s="19">
        <f>IF(AND($V3081='設定'!$C$4,COUNTIF('商品マスタ'!$B$6:$B$1005,$W3081)=0),N(U3080)+1,N(U3080))</f>
        <v/>
      </c>
      <c r="V3081" s="19">
        <f>IF($B3081="","",TEXT($B3081,"0000"))</f>
        <v/>
      </c>
      <c r="W3081" s="19">
        <f>IF($I3081="","",IF(ISNUMBER($I3081),TEXT($I3081,"0"),$I3081))</f>
        <v/>
      </c>
    </row>
    <row r="3082">
      <c r="B3082" s="25" t="n"/>
      <c r="I3082" s="25" t="n"/>
      <c r="U3082" s="19">
        <f>IF(AND($V3082='設定'!$C$4,COUNTIF('商品マスタ'!$B$6:$B$1005,$W3082)=0),N(U3081)+1,N(U3081))</f>
        <v/>
      </c>
      <c r="V3082" s="19">
        <f>IF($B3082="","",TEXT($B3082,"0000"))</f>
        <v/>
      </c>
      <c r="W3082" s="19">
        <f>IF($I3082="","",IF(ISNUMBER($I3082),TEXT($I3082,"0"),$I3082))</f>
        <v/>
      </c>
    </row>
    <row r="3083">
      <c r="B3083" s="25" t="n"/>
      <c r="I3083" s="25" t="n"/>
      <c r="U3083" s="19">
        <f>IF(AND($V3083='設定'!$C$4,COUNTIF('商品マスタ'!$B$6:$B$1005,$W3083)=0),N(U3082)+1,N(U3082))</f>
        <v/>
      </c>
      <c r="V3083" s="19">
        <f>IF($B3083="","",TEXT($B3083,"0000"))</f>
        <v/>
      </c>
      <c r="W3083" s="19">
        <f>IF($I3083="","",IF(ISNUMBER($I3083),TEXT($I3083,"0"),$I3083))</f>
        <v/>
      </c>
    </row>
    <row r="3084">
      <c r="B3084" s="25" t="n"/>
      <c r="I3084" s="25" t="n"/>
      <c r="U3084" s="19">
        <f>IF(AND($V3084='設定'!$C$4,COUNTIF('商品マスタ'!$B$6:$B$1005,$W3084)=0),N(U3083)+1,N(U3083))</f>
        <v/>
      </c>
      <c r="V3084" s="19">
        <f>IF($B3084="","",TEXT($B3084,"0000"))</f>
        <v/>
      </c>
      <c r="W3084" s="19">
        <f>IF($I3084="","",IF(ISNUMBER($I3084),TEXT($I3084,"0"),$I3084))</f>
        <v/>
      </c>
    </row>
    <row r="3085">
      <c r="B3085" s="25" t="n"/>
      <c r="I3085" s="25" t="n"/>
      <c r="U3085" s="19">
        <f>IF(AND($V3085='設定'!$C$4,COUNTIF('商品マスタ'!$B$6:$B$1005,$W3085)=0),N(U3084)+1,N(U3084))</f>
        <v/>
      </c>
      <c r="V3085" s="19">
        <f>IF($B3085="","",TEXT($B3085,"0000"))</f>
        <v/>
      </c>
      <c r="W3085" s="19">
        <f>IF($I3085="","",IF(ISNUMBER($I3085),TEXT($I3085,"0"),$I3085))</f>
        <v/>
      </c>
    </row>
    <row r="3086">
      <c r="B3086" s="25" t="n"/>
      <c r="I3086" s="25" t="n"/>
      <c r="U3086" s="19">
        <f>IF(AND($V3086='設定'!$C$4,COUNTIF('商品マスタ'!$B$6:$B$1005,$W3086)=0),N(U3085)+1,N(U3085))</f>
        <v/>
      </c>
      <c r="V3086" s="19">
        <f>IF($B3086="","",TEXT($B3086,"0000"))</f>
        <v/>
      </c>
      <c r="W3086" s="19">
        <f>IF($I3086="","",IF(ISNUMBER($I3086),TEXT($I3086,"0"),$I3086))</f>
        <v/>
      </c>
    </row>
    <row r="3087">
      <c r="B3087" s="25" t="n"/>
      <c r="I3087" s="25" t="n"/>
      <c r="U3087" s="19">
        <f>IF(AND($V3087='設定'!$C$4,COUNTIF('商品マスタ'!$B$6:$B$1005,$W3087)=0),N(U3086)+1,N(U3086))</f>
        <v/>
      </c>
      <c r="V3087" s="19">
        <f>IF($B3087="","",TEXT($B3087,"0000"))</f>
        <v/>
      </c>
      <c r="W3087" s="19">
        <f>IF($I3087="","",IF(ISNUMBER($I3087),TEXT($I3087,"0"),$I3087))</f>
        <v/>
      </c>
    </row>
    <row r="3088">
      <c r="B3088" s="25" t="n"/>
      <c r="I3088" s="25" t="n"/>
      <c r="U3088" s="19">
        <f>IF(AND($V3088='設定'!$C$4,COUNTIF('商品マスタ'!$B$6:$B$1005,$W3088)=0),N(U3087)+1,N(U3087))</f>
        <v/>
      </c>
      <c r="V3088" s="19">
        <f>IF($B3088="","",TEXT($B3088,"0000"))</f>
        <v/>
      </c>
      <c r="W3088" s="19">
        <f>IF($I3088="","",IF(ISNUMBER($I3088),TEXT($I3088,"0"),$I3088))</f>
        <v/>
      </c>
    </row>
    <row r="3089">
      <c r="B3089" s="25" t="n"/>
      <c r="I3089" s="25" t="n"/>
      <c r="U3089" s="19">
        <f>IF(AND($V3089='設定'!$C$4,COUNTIF('商品マスタ'!$B$6:$B$1005,$W3089)=0),N(U3088)+1,N(U3088))</f>
        <v/>
      </c>
      <c r="V3089" s="19">
        <f>IF($B3089="","",TEXT($B3089,"0000"))</f>
        <v/>
      </c>
      <c r="W3089" s="19">
        <f>IF($I3089="","",IF(ISNUMBER($I3089),TEXT($I3089,"0"),$I3089))</f>
        <v/>
      </c>
    </row>
    <row r="3090">
      <c r="B3090" s="25" t="n"/>
      <c r="I3090" s="25" t="n"/>
      <c r="U3090" s="19">
        <f>IF(AND($V3090='設定'!$C$4,COUNTIF('商品マスタ'!$B$6:$B$1005,$W3090)=0),N(U3089)+1,N(U3089))</f>
        <v/>
      </c>
      <c r="V3090" s="19">
        <f>IF($B3090="","",TEXT($B3090,"0000"))</f>
        <v/>
      </c>
      <c r="W3090" s="19">
        <f>IF($I3090="","",IF(ISNUMBER($I3090),TEXT($I3090,"0"),$I3090))</f>
        <v/>
      </c>
    </row>
    <row r="3091">
      <c r="B3091" s="25" t="n"/>
      <c r="I3091" s="25" t="n"/>
      <c r="U3091" s="19">
        <f>IF(AND($V3091='設定'!$C$4,COUNTIF('商品マスタ'!$B$6:$B$1005,$W3091)=0),N(U3090)+1,N(U3090))</f>
        <v/>
      </c>
      <c r="V3091" s="19">
        <f>IF($B3091="","",TEXT($B3091,"0000"))</f>
        <v/>
      </c>
      <c r="W3091" s="19">
        <f>IF($I3091="","",IF(ISNUMBER($I3091),TEXT($I3091,"0"),$I3091))</f>
        <v/>
      </c>
    </row>
    <row r="3092">
      <c r="B3092" s="25" t="n"/>
      <c r="I3092" s="25" t="n"/>
      <c r="U3092" s="19">
        <f>IF(AND($V3092='設定'!$C$4,COUNTIF('商品マスタ'!$B$6:$B$1005,$W3092)=0),N(U3091)+1,N(U3091))</f>
        <v/>
      </c>
      <c r="V3092" s="19">
        <f>IF($B3092="","",TEXT($B3092,"0000"))</f>
        <v/>
      </c>
      <c r="W3092" s="19">
        <f>IF($I3092="","",IF(ISNUMBER($I3092),TEXT($I3092,"0"),$I3092))</f>
        <v/>
      </c>
    </row>
    <row r="3093">
      <c r="B3093" s="25" t="n"/>
      <c r="I3093" s="25" t="n"/>
      <c r="U3093" s="19">
        <f>IF(AND($V3093='設定'!$C$4,COUNTIF('商品マスタ'!$B$6:$B$1005,$W3093)=0),N(U3092)+1,N(U3092))</f>
        <v/>
      </c>
      <c r="V3093" s="19">
        <f>IF($B3093="","",TEXT($B3093,"0000"))</f>
        <v/>
      </c>
      <c r="W3093" s="19">
        <f>IF($I3093="","",IF(ISNUMBER($I3093),TEXT($I3093,"0"),$I3093))</f>
        <v/>
      </c>
    </row>
    <row r="3094">
      <c r="B3094" s="25" t="n"/>
      <c r="I3094" s="25" t="n"/>
      <c r="U3094" s="19">
        <f>IF(AND($V3094='設定'!$C$4,COUNTIF('商品マスタ'!$B$6:$B$1005,$W3094)=0),N(U3093)+1,N(U3093))</f>
        <v/>
      </c>
      <c r="V3094" s="19">
        <f>IF($B3094="","",TEXT($B3094,"0000"))</f>
        <v/>
      </c>
      <c r="W3094" s="19">
        <f>IF($I3094="","",IF(ISNUMBER($I3094),TEXT($I3094,"0"),$I3094))</f>
        <v/>
      </c>
    </row>
    <row r="3095">
      <c r="B3095" s="25" t="n"/>
      <c r="I3095" s="25" t="n"/>
      <c r="U3095" s="19">
        <f>IF(AND($V3095='設定'!$C$4,COUNTIF('商品マスタ'!$B$6:$B$1005,$W3095)=0),N(U3094)+1,N(U3094))</f>
        <v/>
      </c>
      <c r="V3095" s="19">
        <f>IF($B3095="","",TEXT($B3095,"0000"))</f>
        <v/>
      </c>
      <c r="W3095" s="19">
        <f>IF($I3095="","",IF(ISNUMBER($I3095),TEXT($I3095,"0"),$I3095))</f>
        <v/>
      </c>
    </row>
    <row r="3096">
      <c r="B3096" s="25" t="n"/>
      <c r="I3096" s="25" t="n"/>
      <c r="U3096" s="19">
        <f>IF(AND($V3096='設定'!$C$4,COUNTIF('商品マスタ'!$B$6:$B$1005,$W3096)=0),N(U3095)+1,N(U3095))</f>
        <v/>
      </c>
      <c r="V3096" s="19">
        <f>IF($B3096="","",TEXT($B3096,"0000"))</f>
        <v/>
      </c>
      <c r="W3096" s="19">
        <f>IF($I3096="","",IF(ISNUMBER($I3096),TEXT($I3096,"0"),$I3096))</f>
        <v/>
      </c>
    </row>
    <row r="3097">
      <c r="B3097" s="25" t="n"/>
      <c r="I3097" s="25" t="n"/>
      <c r="U3097" s="19">
        <f>IF(AND($V3097='設定'!$C$4,COUNTIF('商品マスタ'!$B$6:$B$1005,$W3097)=0),N(U3096)+1,N(U3096))</f>
        <v/>
      </c>
      <c r="V3097" s="19">
        <f>IF($B3097="","",TEXT($B3097,"0000"))</f>
        <v/>
      </c>
      <c r="W3097" s="19">
        <f>IF($I3097="","",IF(ISNUMBER($I3097),TEXT($I3097,"0"),$I3097))</f>
        <v/>
      </c>
    </row>
    <row r="3098">
      <c r="B3098" s="25" t="n"/>
      <c r="I3098" s="25" t="n"/>
      <c r="U3098" s="19">
        <f>IF(AND($V3098='設定'!$C$4,COUNTIF('商品マスタ'!$B$6:$B$1005,$W3098)=0),N(U3097)+1,N(U3097))</f>
        <v/>
      </c>
      <c r="V3098" s="19">
        <f>IF($B3098="","",TEXT($B3098,"0000"))</f>
        <v/>
      </c>
      <c r="W3098" s="19">
        <f>IF($I3098="","",IF(ISNUMBER($I3098),TEXT($I3098,"0"),$I3098))</f>
        <v/>
      </c>
    </row>
    <row r="3099">
      <c r="B3099" s="25" t="n"/>
      <c r="I3099" s="25" t="n"/>
      <c r="U3099" s="19">
        <f>IF(AND($V3099='設定'!$C$4,COUNTIF('商品マスタ'!$B$6:$B$1005,$W3099)=0),N(U3098)+1,N(U3098))</f>
        <v/>
      </c>
      <c r="V3099" s="19">
        <f>IF($B3099="","",TEXT($B3099,"0000"))</f>
        <v/>
      </c>
      <c r="W3099" s="19">
        <f>IF($I3099="","",IF(ISNUMBER($I3099),TEXT($I3099,"0"),$I3099))</f>
        <v/>
      </c>
    </row>
    <row r="3100">
      <c r="B3100" s="25" t="n"/>
      <c r="I3100" s="25" t="n"/>
      <c r="U3100" s="19">
        <f>IF(AND($V3100='設定'!$C$4,COUNTIF('商品マスタ'!$B$6:$B$1005,$W3100)=0),N(U3099)+1,N(U3099))</f>
        <v/>
      </c>
      <c r="V3100" s="19">
        <f>IF($B3100="","",TEXT($B3100,"0000"))</f>
        <v/>
      </c>
      <c r="W3100" s="19">
        <f>IF($I3100="","",IF(ISNUMBER($I3100),TEXT($I3100,"0"),$I3100))</f>
        <v/>
      </c>
    </row>
    <row r="3101">
      <c r="B3101" s="25" t="n"/>
      <c r="I3101" s="25" t="n"/>
      <c r="U3101" s="19">
        <f>IF(AND($V3101='設定'!$C$4,COUNTIF('商品マスタ'!$B$6:$B$1005,$W3101)=0),N(U3100)+1,N(U3100))</f>
        <v/>
      </c>
      <c r="V3101" s="19">
        <f>IF($B3101="","",TEXT($B3101,"0000"))</f>
        <v/>
      </c>
      <c r="W3101" s="19">
        <f>IF($I3101="","",IF(ISNUMBER($I3101),TEXT($I3101,"0"),$I3101))</f>
        <v/>
      </c>
    </row>
    <row r="3102">
      <c r="B3102" s="25" t="n"/>
      <c r="I3102" s="25" t="n"/>
      <c r="U3102" s="19">
        <f>IF(AND($V3102='設定'!$C$4,COUNTIF('商品マスタ'!$B$6:$B$1005,$W3102)=0),N(U3101)+1,N(U3101))</f>
        <v/>
      </c>
      <c r="V3102" s="19">
        <f>IF($B3102="","",TEXT($B3102,"0000"))</f>
        <v/>
      </c>
      <c r="W3102" s="19">
        <f>IF($I3102="","",IF(ISNUMBER($I3102),TEXT($I3102,"0"),$I3102))</f>
        <v/>
      </c>
    </row>
    <row r="3103">
      <c r="B3103" s="25" t="n"/>
      <c r="I3103" s="25" t="n"/>
      <c r="U3103" s="19">
        <f>IF(AND($V3103='設定'!$C$4,COUNTIF('商品マスタ'!$B$6:$B$1005,$W3103)=0),N(U3102)+1,N(U3102))</f>
        <v/>
      </c>
      <c r="V3103" s="19">
        <f>IF($B3103="","",TEXT($B3103,"0000"))</f>
        <v/>
      </c>
      <c r="W3103" s="19">
        <f>IF($I3103="","",IF(ISNUMBER($I3103),TEXT($I3103,"0"),$I3103))</f>
        <v/>
      </c>
    </row>
    <row r="3104">
      <c r="B3104" s="25" t="n"/>
      <c r="I3104" s="25" t="n"/>
      <c r="U3104" s="19">
        <f>IF(AND($V3104='設定'!$C$4,COUNTIF('商品マスタ'!$B$6:$B$1005,$W3104)=0),N(U3103)+1,N(U3103))</f>
        <v/>
      </c>
      <c r="V3104" s="19">
        <f>IF($B3104="","",TEXT($B3104,"0000"))</f>
        <v/>
      </c>
      <c r="W3104" s="19">
        <f>IF($I3104="","",IF(ISNUMBER($I3104),TEXT($I3104,"0"),$I3104))</f>
        <v/>
      </c>
    </row>
    <row r="3105">
      <c r="B3105" s="25" t="n"/>
      <c r="I3105" s="25" t="n"/>
      <c r="U3105" s="19">
        <f>IF(AND($V3105='設定'!$C$4,COUNTIF('商品マスタ'!$B$6:$B$1005,$W3105)=0),N(U3104)+1,N(U3104))</f>
        <v/>
      </c>
      <c r="V3105" s="19">
        <f>IF($B3105="","",TEXT($B3105,"0000"))</f>
        <v/>
      </c>
      <c r="W3105" s="19">
        <f>IF($I3105="","",IF(ISNUMBER($I3105),TEXT($I3105,"0"),$I3105))</f>
        <v/>
      </c>
    </row>
    <row r="3106">
      <c r="B3106" s="25" t="n"/>
      <c r="I3106" s="25" t="n"/>
      <c r="U3106" s="19">
        <f>IF(AND($V3106='設定'!$C$4,COUNTIF('商品マスタ'!$B$6:$B$1005,$W3106)=0),N(U3105)+1,N(U3105))</f>
        <v/>
      </c>
      <c r="V3106" s="19">
        <f>IF($B3106="","",TEXT($B3106,"0000"))</f>
        <v/>
      </c>
      <c r="W3106" s="19">
        <f>IF($I3106="","",IF(ISNUMBER($I3106),TEXT($I3106,"0"),$I3106))</f>
        <v/>
      </c>
    </row>
    <row r="3107">
      <c r="B3107" s="25" t="n"/>
      <c r="I3107" s="25" t="n"/>
      <c r="U3107" s="19">
        <f>IF(AND($V3107='設定'!$C$4,COUNTIF('商品マスタ'!$B$6:$B$1005,$W3107)=0),N(U3106)+1,N(U3106))</f>
        <v/>
      </c>
      <c r="V3107" s="19">
        <f>IF($B3107="","",TEXT($B3107,"0000"))</f>
        <v/>
      </c>
      <c r="W3107" s="19">
        <f>IF($I3107="","",IF(ISNUMBER($I3107),TEXT($I3107,"0"),$I3107))</f>
        <v/>
      </c>
    </row>
    <row r="3108">
      <c r="B3108" s="25" t="n"/>
      <c r="I3108" s="25" t="n"/>
      <c r="U3108" s="19">
        <f>IF(AND($V3108='設定'!$C$4,COUNTIF('商品マスタ'!$B$6:$B$1005,$W3108)=0),N(U3107)+1,N(U3107))</f>
        <v/>
      </c>
      <c r="V3108" s="19">
        <f>IF($B3108="","",TEXT($B3108,"0000"))</f>
        <v/>
      </c>
      <c r="W3108" s="19">
        <f>IF($I3108="","",IF(ISNUMBER($I3108),TEXT($I3108,"0"),$I3108))</f>
        <v/>
      </c>
    </row>
    <row r="3109">
      <c r="B3109" s="25" t="n"/>
      <c r="I3109" s="25" t="n"/>
      <c r="U3109" s="19">
        <f>IF(AND($V3109='設定'!$C$4,COUNTIF('商品マスタ'!$B$6:$B$1005,$W3109)=0),N(U3108)+1,N(U3108))</f>
        <v/>
      </c>
      <c r="V3109" s="19">
        <f>IF($B3109="","",TEXT($B3109,"0000"))</f>
        <v/>
      </c>
      <c r="W3109" s="19">
        <f>IF($I3109="","",IF(ISNUMBER($I3109),TEXT($I3109,"0"),$I3109))</f>
        <v/>
      </c>
    </row>
    <row r="3110">
      <c r="B3110" s="25" t="n"/>
      <c r="I3110" s="25" t="n"/>
      <c r="U3110" s="19">
        <f>IF(AND($V3110='設定'!$C$4,COUNTIF('商品マスタ'!$B$6:$B$1005,$W3110)=0),N(U3109)+1,N(U3109))</f>
        <v/>
      </c>
      <c r="V3110" s="19">
        <f>IF($B3110="","",TEXT($B3110,"0000"))</f>
        <v/>
      </c>
      <c r="W3110" s="19">
        <f>IF($I3110="","",IF(ISNUMBER($I3110),TEXT($I3110,"0"),$I3110))</f>
        <v/>
      </c>
    </row>
    <row r="3111">
      <c r="B3111" s="25" t="n"/>
      <c r="I3111" s="25" t="n"/>
      <c r="U3111" s="19">
        <f>IF(AND($V3111='設定'!$C$4,COUNTIF('商品マスタ'!$B$6:$B$1005,$W3111)=0),N(U3110)+1,N(U3110))</f>
        <v/>
      </c>
      <c r="V3111" s="19">
        <f>IF($B3111="","",TEXT($B3111,"0000"))</f>
        <v/>
      </c>
      <c r="W3111" s="19">
        <f>IF($I3111="","",IF(ISNUMBER($I3111),TEXT($I3111,"0"),$I3111))</f>
        <v/>
      </c>
    </row>
    <row r="3112">
      <c r="B3112" s="25" t="n"/>
      <c r="I3112" s="25" t="n"/>
      <c r="U3112" s="19">
        <f>IF(AND($V3112='設定'!$C$4,COUNTIF('商品マスタ'!$B$6:$B$1005,$W3112)=0),N(U3111)+1,N(U3111))</f>
        <v/>
      </c>
      <c r="V3112" s="19">
        <f>IF($B3112="","",TEXT($B3112,"0000"))</f>
        <v/>
      </c>
      <c r="W3112" s="19">
        <f>IF($I3112="","",IF(ISNUMBER($I3112),TEXT($I3112,"0"),$I3112))</f>
        <v/>
      </c>
    </row>
    <row r="3113">
      <c r="B3113" s="25" t="n"/>
      <c r="I3113" s="25" t="n"/>
      <c r="U3113" s="19">
        <f>IF(AND($V3113='設定'!$C$4,COUNTIF('商品マスタ'!$B$6:$B$1005,$W3113)=0),N(U3112)+1,N(U3112))</f>
        <v/>
      </c>
      <c r="V3113" s="19">
        <f>IF($B3113="","",TEXT($B3113,"0000"))</f>
        <v/>
      </c>
      <c r="W3113" s="19">
        <f>IF($I3113="","",IF(ISNUMBER($I3113),TEXT($I3113,"0"),$I3113))</f>
        <v/>
      </c>
    </row>
    <row r="3114">
      <c r="B3114" s="25" t="n"/>
      <c r="I3114" s="25" t="n"/>
      <c r="U3114" s="19">
        <f>IF(AND($V3114='設定'!$C$4,COUNTIF('商品マスタ'!$B$6:$B$1005,$W3114)=0),N(U3113)+1,N(U3113))</f>
        <v/>
      </c>
      <c r="V3114" s="19">
        <f>IF($B3114="","",TEXT($B3114,"0000"))</f>
        <v/>
      </c>
      <c r="W3114" s="19">
        <f>IF($I3114="","",IF(ISNUMBER($I3114),TEXT($I3114,"0"),$I3114))</f>
        <v/>
      </c>
    </row>
    <row r="3115">
      <c r="B3115" s="25" t="n"/>
      <c r="I3115" s="25" t="n"/>
      <c r="U3115" s="19">
        <f>IF(AND($V3115='設定'!$C$4,COUNTIF('商品マスタ'!$B$6:$B$1005,$W3115)=0),N(U3114)+1,N(U3114))</f>
        <v/>
      </c>
      <c r="V3115" s="19">
        <f>IF($B3115="","",TEXT($B3115,"0000"))</f>
        <v/>
      </c>
      <c r="W3115" s="19">
        <f>IF($I3115="","",IF(ISNUMBER($I3115),TEXT($I3115,"0"),$I3115))</f>
        <v/>
      </c>
    </row>
    <row r="3116">
      <c r="B3116" s="25" t="n"/>
      <c r="I3116" s="25" t="n"/>
      <c r="U3116" s="19">
        <f>IF(AND($V3116='設定'!$C$4,COUNTIF('商品マスタ'!$B$6:$B$1005,$W3116)=0),N(U3115)+1,N(U3115))</f>
        <v/>
      </c>
      <c r="V3116" s="19">
        <f>IF($B3116="","",TEXT($B3116,"0000"))</f>
        <v/>
      </c>
      <c r="W3116" s="19">
        <f>IF($I3116="","",IF(ISNUMBER($I3116),TEXT($I3116,"0"),$I3116))</f>
        <v/>
      </c>
    </row>
    <row r="3117">
      <c r="B3117" s="25" t="n"/>
      <c r="I3117" s="25" t="n"/>
      <c r="U3117" s="19">
        <f>IF(AND($V3117='設定'!$C$4,COUNTIF('商品マスタ'!$B$6:$B$1005,$W3117)=0),N(U3116)+1,N(U3116))</f>
        <v/>
      </c>
      <c r="V3117" s="19">
        <f>IF($B3117="","",TEXT($B3117,"0000"))</f>
        <v/>
      </c>
      <c r="W3117" s="19">
        <f>IF($I3117="","",IF(ISNUMBER($I3117),TEXT($I3117,"0"),$I3117))</f>
        <v/>
      </c>
    </row>
    <row r="3118">
      <c r="B3118" s="25" t="n"/>
      <c r="I3118" s="25" t="n"/>
      <c r="U3118" s="19">
        <f>IF(AND($V3118='設定'!$C$4,COUNTIF('商品マスタ'!$B$6:$B$1005,$W3118)=0),N(U3117)+1,N(U3117))</f>
        <v/>
      </c>
      <c r="V3118" s="19">
        <f>IF($B3118="","",TEXT($B3118,"0000"))</f>
        <v/>
      </c>
      <c r="W3118" s="19">
        <f>IF($I3118="","",IF(ISNUMBER($I3118),TEXT($I3118,"0"),$I3118))</f>
        <v/>
      </c>
    </row>
    <row r="3119">
      <c r="B3119" s="25" t="n"/>
      <c r="I3119" s="25" t="n"/>
      <c r="U3119" s="19">
        <f>IF(AND($V3119='設定'!$C$4,COUNTIF('商品マスタ'!$B$6:$B$1005,$W3119)=0),N(U3118)+1,N(U3118))</f>
        <v/>
      </c>
      <c r="V3119" s="19">
        <f>IF($B3119="","",TEXT($B3119,"0000"))</f>
        <v/>
      </c>
      <c r="W3119" s="19">
        <f>IF($I3119="","",IF(ISNUMBER($I3119),TEXT($I3119,"0"),$I3119))</f>
        <v/>
      </c>
    </row>
    <row r="3120">
      <c r="B3120" s="25" t="n"/>
      <c r="I3120" s="25" t="n"/>
      <c r="U3120" s="19">
        <f>IF(AND($V3120='設定'!$C$4,COUNTIF('商品マスタ'!$B$6:$B$1005,$W3120)=0),N(U3119)+1,N(U3119))</f>
        <v/>
      </c>
      <c r="V3120" s="19">
        <f>IF($B3120="","",TEXT($B3120,"0000"))</f>
        <v/>
      </c>
      <c r="W3120" s="19">
        <f>IF($I3120="","",IF(ISNUMBER($I3120),TEXT($I3120,"0"),$I3120))</f>
        <v/>
      </c>
    </row>
    <row r="3121">
      <c r="B3121" s="25" t="n"/>
      <c r="I3121" s="25" t="n"/>
      <c r="U3121" s="19">
        <f>IF(AND($V3121='設定'!$C$4,COUNTIF('商品マスタ'!$B$6:$B$1005,$W3121)=0),N(U3120)+1,N(U3120))</f>
        <v/>
      </c>
      <c r="V3121" s="19">
        <f>IF($B3121="","",TEXT($B3121,"0000"))</f>
        <v/>
      </c>
      <c r="W3121" s="19">
        <f>IF($I3121="","",IF(ISNUMBER($I3121),TEXT($I3121,"0"),$I3121))</f>
        <v/>
      </c>
    </row>
    <row r="3122">
      <c r="B3122" s="25" t="n"/>
      <c r="I3122" s="25" t="n"/>
      <c r="U3122" s="19">
        <f>IF(AND($V3122='設定'!$C$4,COUNTIF('商品マスタ'!$B$6:$B$1005,$W3122)=0),N(U3121)+1,N(U3121))</f>
        <v/>
      </c>
      <c r="V3122" s="19">
        <f>IF($B3122="","",TEXT($B3122,"0000"))</f>
        <v/>
      </c>
      <c r="W3122" s="19">
        <f>IF($I3122="","",IF(ISNUMBER($I3122),TEXT($I3122,"0"),$I3122))</f>
        <v/>
      </c>
    </row>
    <row r="3123">
      <c r="B3123" s="25" t="n"/>
      <c r="I3123" s="25" t="n"/>
      <c r="U3123" s="19">
        <f>IF(AND($V3123='設定'!$C$4,COUNTIF('商品マスタ'!$B$6:$B$1005,$W3123)=0),N(U3122)+1,N(U3122))</f>
        <v/>
      </c>
      <c r="V3123" s="19">
        <f>IF($B3123="","",TEXT($B3123,"0000"))</f>
        <v/>
      </c>
      <c r="W3123" s="19">
        <f>IF($I3123="","",IF(ISNUMBER($I3123),TEXT($I3123,"0"),$I3123))</f>
        <v/>
      </c>
    </row>
    <row r="3124">
      <c r="B3124" s="25" t="n"/>
      <c r="I3124" s="25" t="n"/>
      <c r="U3124" s="19">
        <f>IF(AND($V3124='設定'!$C$4,COUNTIF('商品マスタ'!$B$6:$B$1005,$W3124)=0),N(U3123)+1,N(U3123))</f>
        <v/>
      </c>
      <c r="V3124" s="19">
        <f>IF($B3124="","",TEXT($B3124,"0000"))</f>
        <v/>
      </c>
      <c r="W3124" s="19">
        <f>IF($I3124="","",IF(ISNUMBER($I3124),TEXT($I3124,"0"),$I3124))</f>
        <v/>
      </c>
    </row>
    <row r="3125">
      <c r="B3125" s="25" t="n"/>
      <c r="I3125" s="25" t="n"/>
      <c r="U3125" s="19">
        <f>IF(AND($V3125='設定'!$C$4,COUNTIF('商品マスタ'!$B$6:$B$1005,$W3125)=0),N(U3124)+1,N(U3124))</f>
        <v/>
      </c>
      <c r="V3125" s="19">
        <f>IF($B3125="","",TEXT($B3125,"0000"))</f>
        <v/>
      </c>
      <c r="W3125" s="19">
        <f>IF($I3125="","",IF(ISNUMBER($I3125),TEXT($I3125,"0"),$I3125))</f>
        <v/>
      </c>
    </row>
    <row r="3126">
      <c r="B3126" s="25" t="n"/>
      <c r="I3126" s="25" t="n"/>
      <c r="U3126" s="19">
        <f>IF(AND($V3126='設定'!$C$4,COUNTIF('商品マスタ'!$B$6:$B$1005,$W3126)=0),N(U3125)+1,N(U3125))</f>
        <v/>
      </c>
      <c r="V3126" s="19">
        <f>IF($B3126="","",TEXT($B3126,"0000"))</f>
        <v/>
      </c>
      <c r="W3126" s="19">
        <f>IF($I3126="","",IF(ISNUMBER($I3126),TEXT($I3126,"0"),$I3126))</f>
        <v/>
      </c>
    </row>
    <row r="3127">
      <c r="B3127" s="25" t="n"/>
      <c r="I3127" s="25" t="n"/>
      <c r="U3127" s="19">
        <f>IF(AND($V3127='設定'!$C$4,COUNTIF('商品マスタ'!$B$6:$B$1005,$W3127)=0),N(U3126)+1,N(U3126))</f>
        <v/>
      </c>
      <c r="V3127" s="19">
        <f>IF($B3127="","",TEXT($B3127,"0000"))</f>
        <v/>
      </c>
      <c r="W3127" s="19">
        <f>IF($I3127="","",IF(ISNUMBER($I3127),TEXT($I3127,"0"),$I3127))</f>
        <v/>
      </c>
    </row>
    <row r="3128">
      <c r="B3128" s="25" t="n"/>
      <c r="I3128" s="25" t="n"/>
      <c r="U3128" s="19">
        <f>IF(AND($V3128='設定'!$C$4,COUNTIF('商品マスタ'!$B$6:$B$1005,$W3128)=0),N(U3127)+1,N(U3127))</f>
        <v/>
      </c>
      <c r="V3128" s="19">
        <f>IF($B3128="","",TEXT($B3128,"0000"))</f>
        <v/>
      </c>
      <c r="W3128" s="19">
        <f>IF($I3128="","",IF(ISNUMBER($I3128),TEXT($I3128,"0"),$I3128))</f>
        <v/>
      </c>
    </row>
    <row r="3129">
      <c r="B3129" s="25" t="n"/>
      <c r="I3129" s="25" t="n"/>
      <c r="U3129" s="19">
        <f>IF(AND($V3129='設定'!$C$4,COUNTIF('商品マスタ'!$B$6:$B$1005,$W3129)=0),N(U3128)+1,N(U3128))</f>
        <v/>
      </c>
      <c r="V3129" s="19">
        <f>IF($B3129="","",TEXT($B3129,"0000"))</f>
        <v/>
      </c>
      <c r="W3129" s="19">
        <f>IF($I3129="","",IF(ISNUMBER($I3129),TEXT($I3129,"0"),$I3129))</f>
        <v/>
      </c>
    </row>
    <row r="3130">
      <c r="B3130" s="25" t="n"/>
      <c r="I3130" s="25" t="n"/>
      <c r="U3130" s="19">
        <f>IF(AND($V3130='設定'!$C$4,COUNTIF('商品マスタ'!$B$6:$B$1005,$W3130)=0),N(U3129)+1,N(U3129))</f>
        <v/>
      </c>
      <c r="V3130" s="19">
        <f>IF($B3130="","",TEXT($B3130,"0000"))</f>
        <v/>
      </c>
      <c r="W3130" s="19">
        <f>IF($I3130="","",IF(ISNUMBER($I3130),TEXT($I3130,"0"),$I3130))</f>
        <v/>
      </c>
    </row>
    <row r="3131">
      <c r="B3131" s="25" t="n"/>
      <c r="I3131" s="25" t="n"/>
      <c r="U3131" s="19">
        <f>IF(AND($V3131='設定'!$C$4,COUNTIF('商品マスタ'!$B$6:$B$1005,$W3131)=0),N(U3130)+1,N(U3130))</f>
        <v/>
      </c>
      <c r="V3131" s="19">
        <f>IF($B3131="","",TEXT($B3131,"0000"))</f>
        <v/>
      </c>
      <c r="W3131" s="19">
        <f>IF($I3131="","",IF(ISNUMBER($I3131),TEXT($I3131,"0"),$I3131))</f>
        <v/>
      </c>
    </row>
    <row r="3132">
      <c r="B3132" s="25" t="n"/>
      <c r="I3132" s="25" t="n"/>
      <c r="U3132" s="19">
        <f>IF(AND($V3132='設定'!$C$4,COUNTIF('商品マスタ'!$B$6:$B$1005,$W3132)=0),N(U3131)+1,N(U3131))</f>
        <v/>
      </c>
      <c r="V3132" s="19">
        <f>IF($B3132="","",TEXT($B3132,"0000"))</f>
        <v/>
      </c>
      <c r="W3132" s="19">
        <f>IF($I3132="","",IF(ISNUMBER($I3132),TEXT($I3132,"0"),$I3132))</f>
        <v/>
      </c>
    </row>
    <row r="3133">
      <c r="B3133" s="25" t="n"/>
      <c r="I3133" s="25" t="n"/>
      <c r="U3133" s="19">
        <f>IF(AND($V3133='設定'!$C$4,COUNTIF('商品マスタ'!$B$6:$B$1005,$W3133)=0),N(U3132)+1,N(U3132))</f>
        <v/>
      </c>
      <c r="V3133" s="19">
        <f>IF($B3133="","",TEXT($B3133,"0000"))</f>
        <v/>
      </c>
      <c r="W3133" s="19">
        <f>IF($I3133="","",IF(ISNUMBER($I3133),TEXT($I3133,"0"),$I3133))</f>
        <v/>
      </c>
    </row>
    <row r="3134">
      <c r="B3134" s="25" t="n"/>
      <c r="I3134" s="25" t="n"/>
      <c r="U3134" s="19">
        <f>IF(AND($V3134='設定'!$C$4,COUNTIF('商品マスタ'!$B$6:$B$1005,$W3134)=0),N(U3133)+1,N(U3133))</f>
        <v/>
      </c>
      <c r="V3134" s="19">
        <f>IF($B3134="","",TEXT($B3134,"0000"))</f>
        <v/>
      </c>
      <c r="W3134" s="19">
        <f>IF($I3134="","",IF(ISNUMBER($I3134),TEXT($I3134,"0"),$I3134))</f>
        <v/>
      </c>
    </row>
    <row r="3135">
      <c r="B3135" s="25" t="n"/>
      <c r="I3135" s="25" t="n"/>
      <c r="U3135" s="19">
        <f>IF(AND($V3135='設定'!$C$4,COUNTIF('商品マスタ'!$B$6:$B$1005,$W3135)=0),N(U3134)+1,N(U3134))</f>
        <v/>
      </c>
      <c r="V3135" s="19">
        <f>IF($B3135="","",TEXT($B3135,"0000"))</f>
        <v/>
      </c>
      <c r="W3135" s="19">
        <f>IF($I3135="","",IF(ISNUMBER($I3135),TEXT($I3135,"0"),$I3135))</f>
        <v/>
      </c>
    </row>
    <row r="3136">
      <c r="B3136" s="25" t="n"/>
      <c r="I3136" s="25" t="n"/>
      <c r="U3136" s="19">
        <f>IF(AND($V3136='設定'!$C$4,COUNTIF('商品マスタ'!$B$6:$B$1005,$W3136)=0),N(U3135)+1,N(U3135))</f>
        <v/>
      </c>
      <c r="V3136" s="19">
        <f>IF($B3136="","",TEXT($B3136,"0000"))</f>
        <v/>
      </c>
      <c r="W3136" s="19">
        <f>IF($I3136="","",IF(ISNUMBER($I3136),TEXT($I3136,"0"),$I3136))</f>
        <v/>
      </c>
    </row>
    <row r="3137">
      <c r="B3137" s="25" t="n"/>
      <c r="I3137" s="25" t="n"/>
      <c r="U3137" s="19">
        <f>IF(AND($V3137='設定'!$C$4,COUNTIF('商品マスタ'!$B$6:$B$1005,$W3137)=0),N(U3136)+1,N(U3136))</f>
        <v/>
      </c>
      <c r="V3137" s="19">
        <f>IF($B3137="","",TEXT($B3137,"0000"))</f>
        <v/>
      </c>
      <c r="W3137" s="19">
        <f>IF($I3137="","",IF(ISNUMBER($I3137),TEXT($I3137,"0"),$I3137))</f>
        <v/>
      </c>
    </row>
    <row r="3138">
      <c r="B3138" s="25" t="n"/>
      <c r="I3138" s="25" t="n"/>
      <c r="U3138" s="19">
        <f>IF(AND($V3138='設定'!$C$4,COUNTIF('商品マスタ'!$B$6:$B$1005,$W3138)=0),N(U3137)+1,N(U3137))</f>
        <v/>
      </c>
      <c r="V3138" s="19">
        <f>IF($B3138="","",TEXT($B3138,"0000"))</f>
        <v/>
      </c>
      <c r="W3138" s="19">
        <f>IF($I3138="","",IF(ISNUMBER($I3138),TEXT($I3138,"0"),$I3138))</f>
        <v/>
      </c>
    </row>
    <row r="3139">
      <c r="B3139" s="25" t="n"/>
      <c r="I3139" s="25" t="n"/>
      <c r="U3139" s="19">
        <f>IF(AND($V3139='設定'!$C$4,COUNTIF('商品マスタ'!$B$6:$B$1005,$W3139)=0),N(U3138)+1,N(U3138))</f>
        <v/>
      </c>
      <c r="V3139" s="19">
        <f>IF($B3139="","",TEXT($B3139,"0000"))</f>
        <v/>
      </c>
      <c r="W3139" s="19">
        <f>IF($I3139="","",IF(ISNUMBER($I3139),TEXT($I3139,"0"),$I3139))</f>
        <v/>
      </c>
    </row>
    <row r="3140">
      <c r="B3140" s="25" t="n"/>
      <c r="I3140" s="25" t="n"/>
      <c r="U3140" s="19">
        <f>IF(AND($V3140='設定'!$C$4,COUNTIF('商品マスタ'!$B$6:$B$1005,$W3140)=0),N(U3139)+1,N(U3139))</f>
        <v/>
      </c>
      <c r="V3140" s="19">
        <f>IF($B3140="","",TEXT($B3140,"0000"))</f>
        <v/>
      </c>
      <c r="W3140" s="19">
        <f>IF($I3140="","",IF(ISNUMBER($I3140),TEXT($I3140,"0"),$I3140))</f>
        <v/>
      </c>
    </row>
    <row r="3141">
      <c r="B3141" s="25" t="n"/>
      <c r="I3141" s="25" t="n"/>
      <c r="U3141" s="19">
        <f>IF(AND($V3141='設定'!$C$4,COUNTIF('商品マスタ'!$B$6:$B$1005,$W3141)=0),N(U3140)+1,N(U3140))</f>
        <v/>
      </c>
      <c r="V3141" s="19">
        <f>IF($B3141="","",TEXT($B3141,"0000"))</f>
        <v/>
      </c>
      <c r="W3141" s="19">
        <f>IF($I3141="","",IF(ISNUMBER($I3141),TEXT($I3141,"0"),$I3141))</f>
        <v/>
      </c>
    </row>
    <row r="3142">
      <c r="B3142" s="25" t="n"/>
      <c r="I3142" s="25" t="n"/>
      <c r="U3142" s="19">
        <f>IF(AND($V3142='設定'!$C$4,COUNTIF('商品マスタ'!$B$6:$B$1005,$W3142)=0),N(U3141)+1,N(U3141))</f>
        <v/>
      </c>
      <c r="V3142" s="19">
        <f>IF($B3142="","",TEXT($B3142,"0000"))</f>
        <v/>
      </c>
      <c r="W3142" s="19">
        <f>IF($I3142="","",IF(ISNUMBER($I3142),TEXT($I3142,"0"),$I3142))</f>
        <v/>
      </c>
    </row>
    <row r="3143">
      <c r="B3143" s="25" t="n"/>
      <c r="I3143" s="25" t="n"/>
      <c r="U3143" s="19">
        <f>IF(AND($V3143='設定'!$C$4,COUNTIF('商品マスタ'!$B$6:$B$1005,$W3143)=0),N(U3142)+1,N(U3142))</f>
        <v/>
      </c>
      <c r="V3143" s="19">
        <f>IF($B3143="","",TEXT($B3143,"0000"))</f>
        <v/>
      </c>
      <c r="W3143" s="19">
        <f>IF($I3143="","",IF(ISNUMBER($I3143),TEXT($I3143,"0"),$I3143))</f>
        <v/>
      </c>
    </row>
    <row r="3144">
      <c r="B3144" s="25" t="n"/>
      <c r="I3144" s="25" t="n"/>
      <c r="U3144" s="19">
        <f>IF(AND($V3144='設定'!$C$4,COUNTIF('商品マスタ'!$B$6:$B$1005,$W3144)=0),N(U3143)+1,N(U3143))</f>
        <v/>
      </c>
      <c r="V3144" s="19">
        <f>IF($B3144="","",TEXT($B3144,"0000"))</f>
        <v/>
      </c>
      <c r="W3144" s="19">
        <f>IF($I3144="","",IF(ISNUMBER($I3144),TEXT($I3144,"0"),$I3144))</f>
        <v/>
      </c>
    </row>
    <row r="3145">
      <c r="B3145" s="25" t="n"/>
      <c r="I3145" s="25" t="n"/>
      <c r="U3145" s="19">
        <f>IF(AND($V3145='設定'!$C$4,COUNTIF('商品マスタ'!$B$6:$B$1005,$W3145)=0),N(U3144)+1,N(U3144))</f>
        <v/>
      </c>
      <c r="V3145" s="19">
        <f>IF($B3145="","",TEXT($B3145,"0000"))</f>
        <v/>
      </c>
      <c r="W3145" s="19">
        <f>IF($I3145="","",IF(ISNUMBER($I3145),TEXT($I3145,"0"),$I3145))</f>
        <v/>
      </c>
    </row>
    <row r="3146">
      <c r="B3146" s="25" t="n"/>
      <c r="I3146" s="25" t="n"/>
      <c r="U3146" s="19">
        <f>IF(AND($V3146='設定'!$C$4,COUNTIF('商品マスタ'!$B$6:$B$1005,$W3146)=0),N(U3145)+1,N(U3145))</f>
        <v/>
      </c>
      <c r="V3146" s="19">
        <f>IF($B3146="","",TEXT($B3146,"0000"))</f>
        <v/>
      </c>
      <c r="W3146" s="19">
        <f>IF($I3146="","",IF(ISNUMBER($I3146),TEXT($I3146,"0"),$I3146))</f>
        <v/>
      </c>
    </row>
    <row r="3147">
      <c r="B3147" s="25" t="n"/>
      <c r="I3147" s="25" t="n"/>
      <c r="U3147" s="19">
        <f>IF(AND($V3147='設定'!$C$4,COUNTIF('商品マスタ'!$B$6:$B$1005,$W3147)=0),N(U3146)+1,N(U3146))</f>
        <v/>
      </c>
      <c r="V3147" s="19">
        <f>IF($B3147="","",TEXT($B3147,"0000"))</f>
        <v/>
      </c>
      <c r="W3147" s="19">
        <f>IF($I3147="","",IF(ISNUMBER($I3147),TEXT($I3147,"0"),$I3147))</f>
        <v/>
      </c>
    </row>
    <row r="3148">
      <c r="B3148" s="25" t="n"/>
      <c r="I3148" s="25" t="n"/>
      <c r="U3148" s="19">
        <f>IF(AND($V3148='設定'!$C$4,COUNTIF('商品マスタ'!$B$6:$B$1005,$W3148)=0),N(U3147)+1,N(U3147))</f>
        <v/>
      </c>
      <c r="V3148" s="19">
        <f>IF($B3148="","",TEXT($B3148,"0000"))</f>
        <v/>
      </c>
      <c r="W3148" s="19">
        <f>IF($I3148="","",IF(ISNUMBER($I3148),TEXT($I3148,"0"),$I3148))</f>
        <v/>
      </c>
    </row>
    <row r="3149">
      <c r="B3149" s="25" t="n"/>
      <c r="I3149" s="25" t="n"/>
      <c r="U3149" s="19">
        <f>IF(AND($V3149='設定'!$C$4,COUNTIF('商品マスタ'!$B$6:$B$1005,$W3149)=0),N(U3148)+1,N(U3148))</f>
        <v/>
      </c>
      <c r="V3149" s="19">
        <f>IF($B3149="","",TEXT($B3149,"0000"))</f>
        <v/>
      </c>
      <c r="W3149" s="19">
        <f>IF($I3149="","",IF(ISNUMBER($I3149),TEXT($I3149,"0"),$I3149))</f>
        <v/>
      </c>
    </row>
    <row r="3150">
      <c r="B3150" s="25" t="n"/>
      <c r="I3150" s="25" t="n"/>
      <c r="U3150" s="19">
        <f>IF(AND($V3150='設定'!$C$4,COUNTIF('商品マスタ'!$B$6:$B$1005,$W3150)=0),N(U3149)+1,N(U3149))</f>
        <v/>
      </c>
      <c r="V3150" s="19">
        <f>IF($B3150="","",TEXT($B3150,"0000"))</f>
        <v/>
      </c>
      <c r="W3150" s="19">
        <f>IF($I3150="","",IF(ISNUMBER($I3150),TEXT($I3150,"0"),$I3150))</f>
        <v/>
      </c>
    </row>
    <row r="3151">
      <c r="B3151" s="25" t="n"/>
      <c r="I3151" s="25" t="n"/>
      <c r="U3151" s="19">
        <f>IF(AND($V3151='設定'!$C$4,COUNTIF('商品マスタ'!$B$6:$B$1005,$W3151)=0),N(U3150)+1,N(U3150))</f>
        <v/>
      </c>
      <c r="V3151" s="19">
        <f>IF($B3151="","",TEXT($B3151,"0000"))</f>
        <v/>
      </c>
      <c r="W3151" s="19">
        <f>IF($I3151="","",IF(ISNUMBER($I3151),TEXT($I3151,"0"),$I3151))</f>
        <v/>
      </c>
    </row>
    <row r="3152">
      <c r="B3152" s="25" t="n"/>
      <c r="I3152" s="25" t="n"/>
      <c r="U3152" s="19">
        <f>IF(AND($V3152='設定'!$C$4,COUNTIF('商品マスタ'!$B$6:$B$1005,$W3152)=0),N(U3151)+1,N(U3151))</f>
        <v/>
      </c>
      <c r="V3152" s="19">
        <f>IF($B3152="","",TEXT($B3152,"0000"))</f>
        <v/>
      </c>
      <c r="W3152" s="19">
        <f>IF($I3152="","",IF(ISNUMBER($I3152),TEXT($I3152,"0"),$I3152))</f>
        <v/>
      </c>
    </row>
    <row r="3153">
      <c r="B3153" s="25" t="n"/>
      <c r="I3153" s="25" t="n"/>
      <c r="U3153" s="19">
        <f>IF(AND($V3153='設定'!$C$4,COUNTIF('商品マスタ'!$B$6:$B$1005,$W3153)=0),N(U3152)+1,N(U3152))</f>
        <v/>
      </c>
      <c r="V3153" s="19">
        <f>IF($B3153="","",TEXT($B3153,"0000"))</f>
        <v/>
      </c>
      <c r="W3153" s="19">
        <f>IF($I3153="","",IF(ISNUMBER($I3153),TEXT($I3153,"0"),$I3153))</f>
        <v/>
      </c>
    </row>
    <row r="3154">
      <c r="B3154" s="25" t="n"/>
      <c r="I3154" s="25" t="n"/>
      <c r="U3154" s="19">
        <f>IF(AND($V3154='設定'!$C$4,COUNTIF('商品マスタ'!$B$6:$B$1005,$W3154)=0),N(U3153)+1,N(U3153))</f>
        <v/>
      </c>
      <c r="V3154" s="19">
        <f>IF($B3154="","",TEXT($B3154,"0000"))</f>
        <v/>
      </c>
      <c r="W3154" s="19">
        <f>IF($I3154="","",IF(ISNUMBER($I3154),TEXT($I3154,"0"),$I3154))</f>
        <v/>
      </c>
    </row>
    <row r="3155">
      <c r="B3155" s="25" t="n"/>
      <c r="I3155" s="25" t="n"/>
      <c r="U3155" s="19">
        <f>IF(AND($V3155='設定'!$C$4,COUNTIF('商品マスタ'!$B$6:$B$1005,$W3155)=0),N(U3154)+1,N(U3154))</f>
        <v/>
      </c>
      <c r="V3155" s="19">
        <f>IF($B3155="","",TEXT($B3155,"0000"))</f>
        <v/>
      </c>
      <c r="W3155" s="19">
        <f>IF($I3155="","",IF(ISNUMBER($I3155),TEXT($I3155,"0"),$I3155))</f>
        <v/>
      </c>
    </row>
    <row r="3156">
      <c r="B3156" s="25" t="n"/>
      <c r="I3156" s="25" t="n"/>
      <c r="U3156" s="19">
        <f>IF(AND($V3156='設定'!$C$4,COUNTIF('商品マスタ'!$B$6:$B$1005,$W3156)=0),N(U3155)+1,N(U3155))</f>
        <v/>
      </c>
      <c r="V3156" s="19">
        <f>IF($B3156="","",TEXT($B3156,"0000"))</f>
        <v/>
      </c>
      <c r="W3156" s="19">
        <f>IF($I3156="","",IF(ISNUMBER($I3156),TEXT($I3156,"0"),$I3156))</f>
        <v/>
      </c>
    </row>
    <row r="3157">
      <c r="B3157" s="25" t="n"/>
      <c r="I3157" s="25" t="n"/>
      <c r="U3157" s="19">
        <f>IF(AND($V3157='設定'!$C$4,COUNTIF('商品マスタ'!$B$6:$B$1005,$W3157)=0),N(U3156)+1,N(U3156))</f>
        <v/>
      </c>
      <c r="V3157" s="19">
        <f>IF($B3157="","",TEXT($B3157,"0000"))</f>
        <v/>
      </c>
      <c r="W3157" s="19">
        <f>IF($I3157="","",IF(ISNUMBER($I3157),TEXT($I3157,"0"),$I3157))</f>
        <v/>
      </c>
    </row>
    <row r="3158">
      <c r="B3158" s="25" t="n"/>
      <c r="I3158" s="25" t="n"/>
      <c r="U3158" s="19">
        <f>IF(AND($V3158='設定'!$C$4,COUNTIF('商品マスタ'!$B$6:$B$1005,$W3158)=0),N(U3157)+1,N(U3157))</f>
        <v/>
      </c>
      <c r="V3158" s="19">
        <f>IF($B3158="","",TEXT($B3158,"0000"))</f>
        <v/>
      </c>
      <c r="W3158" s="19">
        <f>IF($I3158="","",IF(ISNUMBER($I3158),TEXT($I3158,"0"),$I3158))</f>
        <v/>
      </c>
    </row>
    <row r="3159">
      <c r="B3159" s="25" t="n"/>
      <c r="I3159" s="25" t="n"/>
      <c r="U3159" s="19">
        <f>IF(AND($V3159='設定'!$C$4,COUNTIF('商品マスタ'!$B$6:$B$1005,$W3159)=0),N(U3158)+1,N(U3158))</f>
        <v/>
      </c>
      <c r="V3159" s="19">
        <f>IF($B3159="","",TEXT($B3159,"0000"))</f>
        <v/>
      </c>
      <c r="W3159" s="19">
        <f>IF($I3159="","",IF(ISNUMBER($I3159),TEXT($I3159,"0"),$I3159))</f>
        <v/>
      </c>
    </row>
    <row r="3160">
      <c r="B3160" s="25" t="n"/>
      <c r="I3160" s="25" t="n"/>
      <c r="U3160" s="19">
        <f>IF(AND($V3160='設定'!$C$4,COUNTIF('商品マスタ'!$B$6:$B$1005,$W3160)=0),N(U3159)+1,N(U3159))</f>
        <v/>
      </c>
      <c r="V3160" s="19">
        <f>IF($B3160="","",TEXT($B3160,"0000"))</f>
        <v/>
      </c>
      <c r="W3160" s="19">
        <f>IF($I3160="","",IF(ISNUMBER($I3160),TEXT($I3160,"0"),$I3160))</f>
        <v/>
      </c>
    </row>
    <row r="3161">
      <c r="B3161" s="25" t="n"/>
      <c r="I3161" s="25" t="n"/>
      <c r="U3161" s="19">
        <f>IF(AND($V3161='設定'!$C$4,COUNTIF('商品マスタ'!$B$6:$B$1005,$W3161)=0),N(U3160)+1,N(U3160))</f>
        <v/>
      </c>
      <c r="V3161" s="19">
        <f>IF($B3161="","",TEXT($B3161,"0000"))</f>
        <v/>
      </c>
      <c r="W3161" s="19">
        <f>IF($I3161="","",IF(ISNUMBER($I3161),TEXT($I3161,"0"),$I3161))</f>
        <v/>
      </c>
    </row>
    <row r="3162">
      <c r="B3162" s="25" t="n"/>
      <c r="I3162" s="25" t="n"/>
      <c r="U3162" s="19">
        <f>IF(AND($V3162='設定'!$C$4,COUNTIF('商品マスタ'!$B$6:$B$1005,$W3162)=0),N(U3161)+1,N(U3161))</f>
        <v/>
      </c>
      <c r="V3162" s="19">
        <f>IF($B3162="","",TEXT($B3162,"0000"))</f>
        <v/>
      </c>
      <c r="W3162" s="19">
        <f>IF($I3162="","",IF(ISNUMBER($I3162),TEXT($I3162,"0"),$I3162))</f>
        <v/>
      </c>
    </row>
    <row r="3163">
      <c r="B3163" s="25" t="n"/>
      <c r="I3163" s="25" t="n"/>
      <c r="U3163" s="19">
        <f>IF(AND($V3163='設定'!$C$4,COUNTIF('商品マスタ'!$B$6:$B$1005,$W3163)=0),N(U3162)+1,N(U3162))</f>
        <v/>
      </c>
      <c r="V3163" s="19">
        <f>IF($B3163="","",TEXT($B3163,"0000"))</f>
        <v/>
      </c>
      <c r="W3163" s="19">
        <f>IF($I3163="","",IF(ISNUMBER($I3163),TEXT($I3163,"0"),$I3163))</f>
        <v/>
      </c>
    </row>
    <row r="3164">
      <c r="B3164" s="25" t="n"/>
      <c r="I3164" s="25" t="n"/>
      <c r="U3164" s="19">
        <f>IF(AND($V3164='設定'!$C$4,COUNTIF('商品マスタ'!$B$6:$B$1005,$W3164)=0),N(U3163)+1,N(U3163))</f>
        <v/>
      </c>
      <c r="V3164" s="19">
        <f>IF($B3164="","",TEXT($B3164,"0000"))</f>
        <v/>
      </c>
      <c r="W3164" s="19">
        <f>IF($I3164="","",IF(ISNUMBER($I3164),TEXT($I3164,"0"),$I3164))</f>
        <v/>
      </c>
    </row>
    <row r="3165">
      <c r="B3165" s="25" t="n"/>
      <c r="I3165" s="25" t="n"/>
      <c r="U3165" s="19">
        <f>IF(AND($V3165='設定'!$C$4,COUNTIF('商品マスタ'!$B$6:$B$1005,$W3165)=0),N(U3164)+1,N(U3164))</f>
        <v/>
      </c>
      <c r="V3165" s="19">
        <f>IF($B3165="","",TEXT($B3165,"0000"))</f>
        <v/>
      </c>
      <c r="W3165" s="19">
        <f>IF($I3165="","",IF(ISNUMBER($I3165),TEXT($I3165,"0"),$I3165))</f>
        <v/>
      </c>
    </row>
    <row r="3166">
      <c r="B3166" s="25" t="n"/>
      <c r="I3166" s="25" t="n"/>
      <c r="U3166" s="19">
        <f>IF(AND($V3166='設定'!$C$4,COUNTIF('商品マスタ'!$B$6:$B$1005,$W3166)=0),N(U3165)+1,N(U3165))</f>
        <v/>
      </c>
      <c r="V3166" s="19">
        <f>IF($B3166="","",TEXT($B3166,"0000"))</f>
        <v/>
      </c>
      <c r="W3166" s="19">
        <f>IF($I3166="","",IF(ISNUMBER($I3166),TEXT($I3166,"0"),$I3166))</f>
        <v/>
      </c>
    </row>
    <row r="3167">
      <c r="B3167" s="25" t="n"/>
      <c r="I3167" s="25" t="n"/>
      <c r="U3167" s="19">
        <f>IF(AND($V3167='設定'!$C$4,COUNTIF('商品マスタ'!$B$6:$B$1005,$W3167)=0),N(U3166)+1,N(U3166))</f>
        <v/>
      </c>
      <c r="V3167" s="19">
        <f>IF($B3167="","",TEXT($B3167,"0000"))</f>
        <v/>
      </c>
      <c r="W3167" s="19">
        <f>IF($I3167="","",IF(ISNUMBER($I3167),TEXT($I3167,"0"),$I3167))</f>
        <v/>
      </c>
    </row>
    <row r="3168">
      <c r="B3168" s="25" t="n"/>
      <c r="I3168" s="25" t="n"/>
      <c r="U3168" s="19">
        <f>IF(AND($V3168='設定'!$C$4,COUNTIF('商品マスタ'!$B$6:$B$1005,$W3168)=0),N(U3167)+1,N(U3167))</f>
        <v/>
      </c>
      <c r="V3168" s="19">
        <f>IF($B3168="","",TEXT($B3168,"0000"))</f>
        <v/>
      </c>
      <c r="W3168" s="19">
        <f>IF($I3168="","",IF(ISNUMBER($I3168),TEXT($I3168,"0"),$I3168))</f>
        <v/>
      </c>
    </row>
    <row r="3169">
      <c r="B3169" s="25" t="n"/>
      <c r="I3169" s="25" t="n"/>
      <c r="U3169" s="19">
        <f>IF(AND($V3169='設定'!$C$4,COUNTIF('商品マスタ'!$B$6:$B$1005,$W3169)=0),N(U3168)+1,N(U3168))</f>
        <v/>
      </c>
      <c r="V3169" s="19">
        <f>IF($B3169="","",TEXT($B3169,"0000"))</f>
        <v/>
      </c>
      <c r="W3169" s="19">
        <f>IF($I3169="","",IF(ISNUMBER($I3169),TEXT($I3169,"0"),$I3169))</f>
        <v/>
      </c>
    </row>
    <row r="3170">
      <c r="B3170" s="25" t="n"/>
      <c r="I3170" s="25" t="n"/>
      <c r="U3170" s="19">
        <f>IF(AND($V3170='設定'!$C$4,COUNTIF('商品マスタ'!$B$6:$B$1005,$W3170)=0),N(U3169)+1,N(U3169))</f>
        <v/>
      </c>
      <c r="V3170" s="19">
        <f>IF($B3170="","",TEXT($B3170,"0000"))</f>
        <v/>
      </c>
      <c r="W3170" s="19">
        <f>IF($I3170="","",IF(ISNUMBER($I3170),TEXT($I3170,"0"),$I3170))</f>
        <v/>
      </c>
    </row>
    <row r="3171">
      <c r="B3171" s="25" t="n"/>
      <c r="I3171" s="25" t="n"/>
      <c r="U3171" s="19">
        <f>IF(AND($V3171='設定'!$C$4,COUNTIF('商品マスタ'!$B$6:$B$1005,$W3171)=0),N(U3170)+1,N(U3170))</f>
        <v/>
      </c>
      <c r="V3171" s="19">
        <f>IF($B3171="","",TEXT($B3171,"0000"))</f>
        <v/>
      </c>
      <c r="W3171" s="19">
        <f>IF($I3171="","",IF(ISNUMBER($I3171),TEXT($I3171,"0"),$I3171))</f>
        <v/>
      </c>
    </row>
    <row r="3172">
      <c r="B3172" s="25" t="n"/>
      <c r="I3172" s="25" t="n"/>
      <c r="U3172" s="19">
        <f>IF(AND($V3172='設定'!$C$4,COUNTIF('商品マスタ'!$B$6:$B$1005,$W3172)=0),N(U3171)+1,N(U3171))</f>
        <v/>
      </c>
      <c r="V3172" s="19">
        <f>IF($B3172="","",TEXT($B3172,"0000"))</f>
        <v/>
      </c>
      <c r="W3172" s="19">
        <f>IF($I3172="","",IF(ISNUMBER($I3172),TEXT($I3172,"0"),$I3172))</f>
        <v/>
      </c>
    </row>
    <row r="3173">
      <c r="B3173" s="25" t="n"/>
      <c r="I3173" s="25" t="n"/>
      <c r="U3173" s="19">
        <f>IF(AND($V3173='設定'!$C$4,COUNTIF('商品マスタ'!$B$6:$B$1005,$W3173)=0),N(U3172)+1,N(U3172))</f>
        <v/>
      </c>
      <c r="V3173" s="19">
        <f>IF($B3173="","",TEXT($B3173,"0000"))</f>
        <v/>
      </c>
      <c r="W3173" s="19">
        <f>IF($I3173="","",IF(ISNUMBER($I3173),TEXT($I3173,"0"),$I3173))</f>
        <v/>
      </c>
    </row>
    <row r="3174">
      <c r="B3174" s="25" t="n"/>
      <c r="I3174" s="25" t="n"/>
      <c r="U3174" s="19">
        <f>IF(AND($V3174='設定'!$C$4,COUNTIF('商品マスタ'!$B$6:$B$1005,$W3174)=0),N(U3173)+1,N(U3173))</f>
        <v/>
      </c>
      <c r="V3174" s="19">
        <f>IF($B3174="","",TEXT($B3174,"0000"))</f>
        <v/>
      </c>
      <c r="W3174" s="19">
        <f>IF($I3174="","",IF(ISNUMBER($I3174),TEXT($I3174,"0"),$I3174))</f>
        <v/>
      </c>
    </row>
    <row r="3175">
      <c r="B3175" s="25" t="n"/>
      <c r="I3175" s="25" t="n"/>
      <c r="U3175" s="19">
        <f>IF(AND($V3175='設定'!$C$4,COUNTIF('商品マスタ'!$B$6:$B$1005,$W3175)=0),N(U3174)+1,N(U3174))</f>
        <v/>
      </c>
      <c r="V3175" s="19">
        <f>IF($B3175="","",TEXT($B3175,"0000"))</f>
        <v/>
      </c>
      <c r="W3175" s="19">
        <f>IF($I3175="","",IF(ISNUMBER($I3175),TEXT($I3175,"0"),$I3175))</f>
        <v/>
      </c>
    </row>
    <row r="3176">
      <c r="B3176" s="25" t="n"/>
      <c r="I3176" s="25" t="n"/>
      <c r="U3176" s="19">
        <f>IF(AND($V3176='設定'!$C$4,COUNTIF('商品マスタ'!$B$6:$B$1005,$W3176)=0),N(U3175)+1,N(U3175))</f>
        <v/>
      </c>
      <c r="V3176" s="19">
        <f>IF($B3176="","",TEXT($B3176,"0000"))</f>
        <v/>
      </c>
      <c r="W3176" s="19">
        <f>IF($I3176="","",IF(ISNUMBER($I3176),TEXT($I3176,"0"),$I3176))</f>
        <v/>
      </c>
    </row>
    <row r="3177">
      <c r="B3177" s="25" t="n"/>
      <c r="I3177" s="25" t="n"/>
      <c r="U3177" s="19">
        <f>IF(AND($V3177='設定'!$C$4,COUNTIF('商品マスタ'!$B$6:$B$1005,$W3177)=0),N(U3176)+1,N(U3176))</f>
        <v/>
      </c>
      <c r="V3177" s="19">
        <f>IF($B3177="","",TEXT($B3177,"0000"))</f>
        <v/>
      </c>
      <c r="W3177" s="19">
        <f>IF($I3177="","",IF(ISNUMBER($I3177),TEXT($I3177,"0"),$I3177))</f>
        <v/>
      </c>
    </row>
    <row r="3178">
      <c r="B3178" s="25" t="n"/>
      <c r="I3178" s="25" t="n"/>
      <c r="U3178" s="19">
        <f>IF(AND($V3178='設定'!$C$4,COUNTIF('商品マスタ'!$B$6:$B$1005,$W3178)=0),N(U3177)+1,N(U3177))</f>
        <v/>
      </c>
      <c r="V3178" s="19">
        <f>IF($B3178="","",TEXT($B3178,"0000"))</f>
        <v/>
      </c>
      <c r="W3178" s="19">
        <f>IF($I3178="","",IF(ISNUMBER($I3178),TEXT($I3178,"0"),$I3178))</f>
        <v/>
      </c>
    </row>
    <row r="3179">
      <c r="B3179" s="25" t="n"/>
      <c r="I3179" s="25" t="n"/>
      <c r="U3179" s="19">
        <f>IF(AND($V3179='設定'!$C$4,COUNTIF('商品マスタ'!$B$6:$B$1005,$W3179)=0),N(U3178)+1,N(U3178))</f>
        <v/>
      </c>
      <c r="V3179" s="19">
        <f>IF($B3179="","",TEXT($B3179,"0000"))</f>
        <v/>
      </c>
      <c r="W3179" s="19">
        <f>IF($I3179="","",IF(ISNUMBER($I3179),TEXT($I3179,"0"),$I3179))</f>
        <v/>
      </c>
    </row>
    <row r="3180">
      <c r="B3180" s="25" t="n"/>
      <c r="I3180" s="25" t="n"/>
      <c r="U3180" s="19">
        <f>IF(AND($V3180='設定'!$C$4,COUNTIF('商品マスタ'!$B$6:$B$1005,$W3180)=0),N(U3179)+1,N(U3179))</f>
        <v/>
      </c>
      <c r="V3180" s="19">
        <f>IF($B3180="","",TEXT($B3180,"0000"))</f>
        <v/>
      </c>
      <c r="W3180" s="19">
        <f>IF($I3180="","",IF(ISNUMBER($I3180),TEXT($I3180,"0"),$I3180))</f>
        <v/>
      </c>
    </row>
    <row r="3181">
      <c r="B3181" s="25" t="n"/>
      <c r="I3181" s="25" t="n"/>
      <c r="U3181" s="19">
        <f>IF(AND($V3181='設定'!$C$4,COUNTIF('商品マスタ'!$B$6:$B$1005,$W3181)=0),N(U3180)+1,N(U3180))</f>
        <v/>
      </c>
      <c r="V3181" s="19">
        <f>IF($B3181="","",TEXT($B3181,"0000"))</f>
        <v/>
      </c>
      <c r="W3181" s="19">
        <f>IF($I3181="","",IF(ISNUMBER($I3181),TEXT($I3181,"0"),$I3181))</f>
        <v/>
      </c>
    </row>
    <row r="3182">
      <c r="B3182" s="25" t="n"/>
      <c r="I3182" s="25" t="n"/>
      <c r="U3182" s="19">
        <f>IF(AND($V3182='設定'!$C$4,COUNTIF('商品マスタ'!$B$6:$B$1005,$W3182)=0),N(U3181)+1,N(U3181))</f>
        <v/>
      </c>
      <c r="V3182" s="19">
        <f>IF($B3182="","",TEXT($B3182,"0000"))</f>
        <v/>
      </c>
      <c r="W3182" s="19">
        <f>IF($I3182="","",IF(ISNUMBER($I3182),TEXT($I3182,"0"),$I3182))</f>
        <v/>
      </c>
    </row>
    <row r="3183">
      <c r="B3183" s="25" t="n"/>
      <c r="I3183" s="25" t="n"/>
      <c r="U3183" s="19">
        <f>IF(AND($V3183='設定'!$C$4,COUNTIF('商品マスタ'!$B$6:$B$1005,$W3183)=0),N(U3182)+1,N(U3182))</f>
        <v/>
      </c>
      <c r="V3183" s="19">
        <f>IF($B3183="","",TEXT($B3183,"0000"))</f>
        <v/>
      </c>
      <c r="W3183" s="19">
        <f>IF($I3183="","",IF(ISNUMBER($I3183),TEXT($I3183,"0"),$I3183))</f>
        <v/>
      </c>
    </row>
    <row r="3184">
      <c r="B3184" s="25" t="n"/>
      <c r="I3184" s="25" t="n"/>
      <c r="U3184" s="19">
        <f>IF(AND($V3184='設定'!$C$4,COUNTIF('商品マスタ'!$B$6:$B$1005,$W3184)=0),N(U3183)+1,N(U3183))</f>
        <v/>
      </c>
      <c r="V3184" s="19">
        <f>IF($B3184="","",TEXT($B3184,"0000"))</f>
        <v/>
      </c>
      <c r="W3184" s="19">
        <f>IF($I3184="","",IF(ISNUMBER($I3184),TEXT($I3184,"0"),$I3184))</f>
        <v/>
      </c>
    </row>
    <row r="3185">
      <c r="B3185" s="25" t="n"/>
      <c r="I3185" s="25" t="n"/>
      <c r="U3185" s="19">
        <f>IF(AND($V3185='設定'!$C$4,COUNTIF('商品マスタ'!$B$6:$B$1005,$W3185)=0),N(U3184)+1,N(U3184))</f>
        <v/>
      </c>
      <c r="V3185" s="19">
        <f>IF($B3185="","",TEXT($B3185,"0000"))</f>
        <v/>
      </c>
      <c r="W3185" s="19">
        <f>IF($I3185="","",IF(ISNUMBER($I3185),TEXT($I3185,"0"),$I3185))</f>
        <v/>
      </c>
    </row>
    <row r="3186">
      <c r="B3186" s="25" t="n"/>
      <c r="I3186" s="25" t="n"/>
      <c r="U3186" s="19">
        <f>IF(AND($V3186='設定'!$C$4,COUNTIF('商品マスタ'!$B$6:$B$1005,$W3186)=0),N(U3185)+1,N(U3185))</f>
        <v/>
      </c>
      <c r="V3186" s="19">
        <f>IF($B3186="","",TEXT($B3186,"0000"))</f>
        <v/>
      </c>
      <c r="W3186" s="19">
        <f>IF($I3186="","",IF(ISNUMBER($I3186),TEXT($I3186,"0"),$I3186))</f>
        <v/>
      </c>
    </row>
    <row r="3187">
      <c r="B3187" s="25" t="n"/>
      <c r="I3187" s="25" t="n"/>
      <c r="U3187" s="19">
        <f>IF(AND($V3187='設定'!$C$4,COUNTIF('商品マスタ'!$B$6:$B$1005,$W3187)=0),N(U3186)+1,N(U3186))</f>
        <v/>
      </c>
      <c r="V3187" s="19">
        <f>IF($B3187="","",TEXT($B3187,"0000"))</f>
        <v/>
      </c>
      <c r="W3187" s="19">
        <f>IF($I3187="","",IF(ISNUMBER($I3187),TEXT($I3187,"0"),$I3187))</f>
        <v/>
      </c>
    </row>
    <row r="3188">
      <c r="B3188" s="25" t="n"/>
      <c r="I3188" s="25" t="n"/>
      <c r="U3188" s="19">
        <f>IF(AND($V3188='設定'!$C$4,COUNTIF('商品マスタ'!$B$6:$B$1005,$W3188)=0),N(U3187)+1,N(U3187))</f>
        <v/>
      </c>
      <c r="V3188" s="19">
        <f>IF($B3188="","",TEXT($B3188,"0000"))</f>
        <v/>
      </c>
      <c r="W3188" s="19">
        <f>IF($I3188="","",IF(ISNUMBER($I3188),TEXT($I3188,"0"),$I3188))</f>
        <v/>
      </c>
    </row>
    <row r="3189">
      <c r="B3189" s="25" t="n"/>
      <c r="I3189" s="25" t="n"/>
      <c r="U3189" s="19">
        <f>IF(AND($V3189='設定'!$C$4,COUNTIF('商品マスタ'!$B$6:$B$1005,$W3189)=0),N(U3188)+1,N(U3188))</f>
        <v/>
      </c>
      <c r="V3189" s="19">
        <f>IF($B3189="","",TEXT($B3189,"0000"))</f>
        <v/>
      </c>
      <c r="W3189" s="19">
        <f>IF($I3189="","",IF(ISNUMBER($I3189),TEXT($I3189,"0"),$I3189))</f>
        <v/>
      </c>
    </row>
    <row r="3190">
      <c r="B3190" s="25" t="n"/>
      <c r="I3190" s="25" t="n"/>
      <c r="U3190" s="19">
        <f>IF(AND($V3190='設定'!$C$4,COUNTIF('商品マスタ'!$B$6:$B$1005,$W3190)=0),N(U3189)+1,N(U3189))</f>
        <v/>
      </c>
      <c r="V3190" s="19">
        <f>IF($B3190="","",TEXT($B3190,"0000"))</f>
        <v/>
      </c>
      <c r="W3190" s="19">
        <f>IF($I3190="","",IF(ISNUMBER($I3190),TEXT($I3190,"0"),$I3190))</f>
        <v/>
      </c>
    </row>
    <row r="3191">
      <c r="B3191" s="25" t="n"/>
      <c r="I3191" s="25" t="n"/>
      <c r="U3191" s="19">
        <f>IF(AND($V3191='設定'!$C$4,COUNTIF('商品マスタ'!$B$6:$B$1005,$W3191)=0),N(U3190)+1,N(U3190))</f>
        <v/>
      </c>
      <c r="V3191" s="19">
        <f>IF($B3191="","",TEXT($B3191,"0000"))</f>
        <v/>
      </c>
      <c r="W3191" s="19">
        <f>IF($I3191="","",IF(ISNUMBER($I3191),TEXT($I3191,"0"),$I3191))</f>
        <v/>
      </c>
    </row>
    <row r="3192">
      <c r="B3192" s="25" t="n"/>
      <c r="I3192" s="25" t="n"/>
      <c r="U3192" s="19">
        <f>IF(AND($V3192='設定'!$C$4,COUNTIF('商品マスタ'!$B$6:$B$1005,$W3192)=0),N(U3191)+1,N(U3191))</f>
        <v/>
      </c>
      <c r="V3192" s="19">
        <f>IF($B3192="","",TEXT($B3192,"0000"))</f>
        <v/>
      </c>
      <c r="W3192" s="19">
        <f>IF($I3192="","",IF(ISNUMBER($I3192),TEXT($I3192,"0"),$I3192))</f>
        <v/>
      </c>
    </row>
    <row r="3193">
      <c r="B3193" s="25" t="n"/>
      <c r="I3193" s="25" t="n"/>
      <c r="U3193" s="19">
        <f>IF(AND($V3193='設定'!$C$4,COUNTIF('商品マスタ'!$B$6:$B$1005,$W3193)=0),N(U3192)+1,N(U3192))</f>
        <v/>
      </c>
      <c r="V3193" s="19">
        <f>IF($B3193="","",TEXT($B3193,"0000"))</f>
        <v/>
      </c>
      <c r="W3193" s="19">
        <f>IF($I3193="","",IF(ISNUMBER($I3193),TEXT($I3193,"0"),$I3193))</f>
        <v/>
      </c>
    </row>
    <row r="3194">
      <c r="B3194" s="25" t="n"/>
      <c r="I3194" s="25" t="n"/>
      <c r="U3194" s="19">
        <f>IF(AND($V3194='設定'!$C$4,COUNTIF('商品マスタ'!$B$6:$B$1005,$W3194)=0),N(U3193)+1,N(U3193))</f>
        <v/>
      </c>
      <c r="V3194" s="19">
        <f>IF($B3194="","",TEXT($B3194,"0000"))</f>
        <v/>
      </c>
      <c r="W3194" s="19">
        <f>IF($I3194="","",IF(ISNUMBER($I3194),TEXT($I3194,"0"),$I3194))</f>
        <v/>
      </c>
    </row>
    <row r="3195">
      <c r="B3195" s="25" t="n"/>
      <c r="I3195" s="25" t="n"/>
      <c r="U3195" s="19">
        <f>IF(AND($V3195='設定'!$C$4,COUNTIF('商品マスタ'!$B$6:$B$1005,$W3195)=0),N(U3194)+1,N(U3194))</f>
        <v/>
      </c>
      <c r="V3195" s="19">
        <f>IF($B3195="","",TEXT($B3195,"0000"))</f>
        <v/>
      </c>
      <c r="W3195" s="19">
        <f>IF($I3195="","",IF(ISNUMBER($I3195),TEXT($I3195,"0"),$I3195))</f>
        <v/>
      </c>
    </row>
    <row r="3196">
      <c r="B3196" s="25" t="n"/>
      <c r="I3196" s="25" t="n"/>
      <c r="U3196" s="19">
        <f>IF(AND($V3196='設定'!$C$4,COUNTIF('商品マスタ'!$B$6:$B$1005,$W3196)=0),N(U3195)+1,N(U3195))</f>
        <v/>
      </c>
      <c r="V3196" s="19">
        <f>IF($B3196="","",TEXT($B3196,"0000"))</f>
        <v/>
      </c>
      <c r="W3196" s="19">
        <f>IF($I3196="","",IF(ISNUMBER($I3196),TEXT($I3196,"0"),$I3196))</f>
        <v/>
      </c>
    </row>
    <row r="3197">
      <c r="B3197" s="25" t="n"/>
      <c r="I3197" s="25" t="n"/>
      <c r="U3197" s="19">
        <f>IF(AND($V3197='設定'!$C$4,COUNTIF('商品マスタ'!$B$6:$B$1005,$W3197)=0),N(U3196)+1,N(U3196))</f>
        <v/>
      </c>
      <c r="V3197" s="19">
        <f>IF($B3197="","",TEXT($B3197,"0000"))</f>
        <v/>
      </c>
      <c r="W3197" s="19">
        <f>IF($I3197="","",IF(ISNUMBER($I3197),TEXT($I3197,"0"),$I3197))</f>
        <v/>
      </c>
    </row>
    <row r="3198">
      <c r="B3198" s="25" t="n"/>
      <c r="I3198" s="25" t="n"/>
      <c r="U3198" s="19">
        <f>IF(AND($V3198='設定'!$C$4,COUNTIF('商品マスタ'!$B$6:$B$1005,$W3198)=0),N(U3197)+1,N(U3197))</f>
        <v/>
      </c>
      <c r="V3198" s="19">
        <f>IF($B3198="","",TEXT($B3198,"0000"))</f>
        <v/>
      </c>
      <c r="W3198" s="19">
        <f>IF($I3198="","",IF(ISNUMBER($I3198),TEXT($I3198,"0"),$I3198))</f>
        <v/>
      </c>
    </row>
    <row r="3199">
      <c r="B3199" s="25" t="n"/>
      <c r="I3199" s="25" t="n"/>
      <c r="U3199" s="19">
        <f>IF(AND($V3199='設定'!$C$4,COUNTIF('商品マスタ'!$B$6:$B$1005,$W3199)=0),N(U3198)+1,N(U3198))</f>
        <v/>
      </c>
      <c r="V3199" s="19">
        <f>IF($B3199="","",TEXT($B3199,"0000"))</f>
        <v/>
      </c>
      <c r="W3199" s="19">
        <f>IF($I3199="","",IF(ISNUMBER($I3199),TEXT($I3199,"0"),$I3199))</f>
        <v/>
      </c>
    </row>
    <row r="3200">
      <c r="B3200" s="25" t="n"/>
      <c r="I3200" s="25" t="n"/>
      <c r="U3200" s="19">
        <f>IF(AND($V3200='設定'!$C$4,COUNTIF('商品マスタ'!$B$6:$B$1005,$W3200)=0),N(U3199)+1,N(U3199))</f>
        <v/>
      </c>
      <c r="V3200" s="19">
        <f>IF($B3200="","",TEXT($B3200,"0000"))</f>
        <v/>
      </c>
      <c r="W3200" s="19">
        <f>IF($I3200="","",IF(ISNUMBER($I3200),TEXT($I3200,"0"),$I3200))</f>
        <v/>
      </c>
    </row>
    <row r="3201">
      <c r="B3201" s="25" t="n"/>
      <c r="I3201" s="25" t="n"/>
      <c r="U3201" s="19">
        <f>IF(AND($V3201='設定'!$C$4,COUNTIF('商品マスタ'!$B$6:$B$1005,$W3201)=0),N(U3200)+1,N(U3200))</f>
        <v/>
      </c>
      <c r="V3201" s="19">
        <f>IF($B3201="","",TEXT($B3201,"0000"))</f>
        <v/>
      </c>
      <c r="W3201" s="19">
        <f>IF($I3201="","",IF(ISNUMBER($I3201),TEXT($I3201,"0"),$I3201))</f>
        <v/>
      </c>
    </row>
    <row r="3202">
      <c r="B3202" s="25" t="n"/>
      <c r="I3202" s="25" t="n"/>
      <c r="U3202" s="19">
        <f>IF(AND($V3202='設定'!$C$4,COUNTIF('商品マスタ'!$B$6:$B$1005,$W3202)=0),N(U3201)+1,N(U3201))</f>
        <v/>
      </c>
      <c r="V3202" s="19">
        <f>IF($B3202="","",TEXT($B3202,"0000"))</f>
        <v/>
      </c>
      <c r="W3202" s="19">
        <f>IF($I3202="","",IF(ISNUMBER($I3202),TEXT($I3202,"0"),$I3202))</f>
        <v/>
      </c>
    </row>
    <row r="3203">
      <c r="B3203" s="25" t="n"/>
      <c r="I3203" s="25" t="n"/>
      <c r="U3203" s="19">
        <f>IF(AND($V3203='設定'!$C$4,COUNTIF('商品マスタ'!$B$6:$B$1005,$W3203)=0),N(U3202)+1,N(U3202))</f>
        <v/>
      </c>
      <c r="V3203" s="19">
        <f>IF($B3203="","",TEXT($B3203,"0000"))</f>
        <v/>
      </c>
      <c r="W3203" s="19">
        <f>IF($I3203="","",IF(ISNUMBER($I3203),TEXT($I3203,"0"),$I3203))</f>
        <v/>
      </c>
    </row>
    <row r="3204">
      <c r="B3204" s="25" t="n"/>
      <c r="I3204" s="25" t="n"/>
      <c r="U3204" s="19">
        <f>IF(AND($V3204='設定'!$C$4,COUNTIF('商品マスタ'!$B$6:$B$1005,$W3204)=0),N(U3203)+1,N(U3203))</f>
        <v/>
      </c>
      <c r="V3204" s="19">
        <f>IF($B3204="","",TEXT($B3204,"0000"))</f>
        <v/>
      </c>
      <c r="W3204" s="19">
        <f>IF($I3204="","",IF(ISNUMBER($I3204),TEXT($I3204,"0"),$I3204))</f>
        <v/>
      </c>
    </row>
    <row r="3205">
      <c r="B3205" s="25" t="n"/>
      <c r="I3205" s="25" t="n"/>
      <c r="U3205" s="19">
        <f>IF(AND($V3205='設定'!$C$4,COUNTIF('商品マスタ'!$B$6:$B$1005,$W3205)=0),N(U3204)+1,N(U3204))</f>
        <v/>
      </c>
      <c r="V3205" s="19">
        <f>IF($B3205="","",TEXT($B3205,"0000"))</f>
        <v/>
      </c>
      <c r="W3205" s="19">
        <f>IF($I3205="","",IF(ISNUMBER($I3205),TEXT($I3205,"0"),$I3205))</f>
        <v/>
      </c>
    </row>
    <row r="3206">
      <c r="B3206" s="25" t="n"/>
      <c r="I3206" s="25" t="n"/>
      <c r="U3206" s="19">
        <f>IF(AND($V3206='設定'!$C$4,COUNTIF('商品マスタ'!$B$6:$B$1005,$W3206)=0),N(U3205)+1,N(U3205))</f>
        <v/>
      </c>
      <c r="V3206" s="19">
        <f>IF($B3206="","",TEXT($B3206,"0000"))</f>
        <v/>
      </c>
      <c r="W3206" s="19">
        <f>IF($I3206="","",IF(ISNUMBER($I3206),TEXT($I3206,"0"),$I3206))</f>
        <v/>
      </c>
    </row>
    <row r="3207">
      <c r="B3207" s="25" t="n"/>
      <c r="I3207" s="25" t="n"/>
      <c r="U3207" s="19">
        <f>IF(AND($V3207='設定'!$C$4,COUNTIF('商品マスタ'!$B$6:$B$1005,$W3207)=0),N(U3206)+1,N(U3206))</f>
        <v/>
      </c>
      <c r="V3207" s="19">
        <f>IF($B3207="","",TEXT($B3207,"0000"))</f>
        <v/>
      </c>
      <c r="W3207" s="19">
        <f>IF($I3207="","",IF(ISNUMBER($I3207),TEXT($I3207,"0"),$I3207))</f>
        <v/>
      </c>
    </row>
    <row r="3208">
      <c r="B3208" s="25" t="n"/>
      <c r="I3208" s="25" t="n"/>
      <c r="U3208" s="19">
        <f>IF(AND($V3208='設定'!$C$4,COUNTIF('商品マスタ'!$B$6:$B$1005,$W3208)=0),N(U3207)+1,N(U3207))</f>
        <v/>
      </c>
      <c r="V3208" s="19">
        <f>IF($B3208="","",TEXT($B3208,"0000"))</f>
        <v/>
      </c>
      <c r="W3208" s="19">
        <f>IF($I3208="","",IF(ISNUMBER($I3208),TEXT($I3208,"0"),$I3208))</f>
        <v/>
      </c>
    </row>
    <row r="3209">
      <c r="B3209" s="25" t="n"/>
      <c r="I3209" s="25" t="n"/>
      <c r="U3209" s="19">
        <f>IF(AND($V3209='設定'!$C$4,COUNTIF('商品マスタ'!$B$6:$B$1005,$W3209)=0),N(U3208)+1,N(U3208))</f>
        <v/>
      </c>
      <c r="V3209" s="19">
        <f>IF($B3209="","",TEXT($B3209,"0000"))</f>
        <v/>
      </c>
      <c r="W3209" s="19">
        <f>IF($I3209="","",IF(ISNUMBER($I3209),TEXT($I3209,"0"),$I3209))</f>
        <v/>
      </c>
    </row>
    <row r="3210">
      <c r="B3210" s="25" t="n"/>
      <c r="I3210" s="25" t="n"/>
      <c r="U3210" s="19">
        <f>IF(AND($V3210='設定'!$C$4,COUNTIF('商品マスタ'!$B$6:$B$1005,$W3210)=0),N(U3209)+1,N(U3209))</f>
        <v/>
      </c>
      <c r="V3210" s="19">
        <f>IF($B3210="","",TEXT($B3210,"0000"))</f>
        <v/>
      </c>
      <c r="W3210" s="19">
        <f>IF($I3210="","",IF(ISNUMBER($I3210),TEXT($I3210,"0"),$I3210))</f>
        <v/>
      </c>
    </row>
    <row r="3211">
      <c r="B3211" s="25" t="n"/>
      <c r="I3211" s="25" t="n"/>
      <c r="U3211" s="19">
        <f>IF(AND($V3211='設定'!$C$4,COUNTIF('商品マスタ'!$B$6:$B$1005,$W3211)=0),N(U3210)+1,N(U3210))</f>
        <v/>
      </c>
      <c r="V3211" s="19">
        <f>IF($B3211="","",TEXT($B3211,"0000"))</f>
        <v/>
      </c>
      <c r="W3211" s="19">
        <f>IF($I3211="","",IF(ISNUMBER($I3211),TEXT($I3211,"0"),$I3211))</f>
        <v/>
      </c>
    </row>
    <row r="3212">
      <c r="B3212" s="25" t="n"/>
      <c r="I3212" s="25" t="n"/>
      <c r="U3212" s="19">
        <f>IF(AND($V3212='設定'!$C$4,COUNTIF('商品マスタ'!$B$6:$B$1005,$W3212)=0),N(U3211)+1,N(U3211))</f>
        <v/>
      </c>
      <c r="V3212" s="19">
        <f>IF($B3212="","",TEXT($B3212,"0000"))</f>
        <v/>
      </c>
      <c r="W3212" s="19">
        <f>IF($I3212="","",IF(ISNUMBER($I3212),TEXT($I3212,"0"),$I3212))</f>
        <v/>
      </c>
    </row>
    <row r="3213">
      <c r="B3213" s="25" t="n"/>
      <c r="I3213" s="25" t="n"/>
      <c r="U3213" s="19">
        <f>IF(AND($V3213='設定'!$C$4,COUNTIF('商品マスタ'!$B$6:$B$1005,$W3213)=0),N(U3212)+1,N(U3212))</f>
        <v/>
      </c>
      <c r="V3213" s="19">
        <f>IF($B3213="","",TEXT($B3213,"0000"))</f>
        <v/>
      </c>
      <c r="W3213" s="19">
        <f>IF($I3213="","",IF(ISNUMBER($I3213),TEXT($I3213,"0"),$I3213))</f>
        <v/>
      </c>
    </row>
    <row r="3214">
      <c r="B3214" s="25" t="n"/>
      <c r="I3214" s="25" t="n"/>
      <c r="U3214" s="19">
        <f>IF(AND($V3214='設定'!$C$4,COUNTIF('商品マスタ'!$B$6:$B$1005,$W3214)=0),N(U3213)+1,N(U3213))</f>
        <v/>
      </c>
      <c r="V3214" s="19">
        <f>IF($B3214="","",TEXT($B3214,"0000"))</f>
        <v/>
      </c>
      <c r="W3214" s="19">
        <f>IF($I3214="","",IF(ISNUMBER($I3214),TEXT($I3214,"0"),$I3214))</f>
        <v/>
      </c>
    </row>
    <row r="3215">
      <c r="B3215" s="25" t="n"/>
      <c r="I3215" s="25" t="n"/>
      <c r="U3215" s="19">
        <f>IF(AND($V3215='設定'!$C$4,COUNTIF('商品マスタ'!$B$6:$B$1005,$W3215)=0),N(U3214)+1,N(U3214))</f>
        <v/>
      </c>
      <c r="V3215" s="19">
        <f>IF($B3215="","",TEXT($B3215,"0000"))</f>
        <v/>
      </c>
      <c r="W3215" s="19">
        <f>IF($I3215="","",IF(ISNUMBER($I3215),TEXT($I3215,"0"),$I3215))</f>
        <v/>
      </c>
    </row>
    <row r="3216">
      <c r="B3216" s="25" t="n"/>
      <c r="I3216" s="25" t="n"/>
      <c r="U3216" s="19">
        <f>IF(AND($V3216='設定'!$C$4,COUNTIF('商品マスタ'!$B$6:$B$1005,$W3216)=0),N(U3215)+1,N(U3215))</f>
        <v/>
      </c>
      <c r="V3216" s="19">
        <f>IF($B3216="","",TEXT($B3216,"0000"))</f>
        <v/>
      </c>
      <c r="W3216" s="19">
        <f>IF($I3216="","",IF(ISNUMBER($I3216),TEXT($I3216,"0"),$I3216))</f>
        <v/>
      </c>
    </row>
    <row r="3217">
      <c r="B3217" s="25" t="n"/>
      <c r="I3217" s="25" t="n"/>
      <c r="U3217" s="19">
        <f>IF(AND($V3217='設定'!$C$4,COUNTIF('商品マスタ'!$B$6:$B$1005,$W3217)=0),N(U3216)+1,N(U3216))</f>
        <v/>
      </c>
      <c r="V3217" s="19">
        <f>IF($B3217="","",TEXT($B3217,"0000"))</f>
        <v/>
      </c>
      <c r="W3217" s="19">
        <f>IF($I3217="","",IF(ISNUMBER($I3217),TEXT($I3217,"0"),$I3217))</f>
        <v/>
      </c>
    </row>
    <row r="3218">
      <c r="B3218" s="25" t="n"/>
      <c r="I3218" s="25" t="n"/>
      <c r="U3218" s="19">
        <f>IF(AND($V3218='設定'!$C$4,COUNTIF('商品マスタ'!$B$6:$B$1005,$W3218)=0),N(U3217)+1,N(U3217))</f>
        <v/>
      </c>
      <c r="V3218" s="19">
        <f>IF($B3218="","",TEXT($B3218,"0000"))</f>
        <v/>
      </c>
      <c r="W3218" s="19">
        <f>IF($I3218="","",IF(ISNUMBER($I3218),TEXT($I3218,"0"),$I3218))</f>
        <v/>
      </c>
    </row>
    <row r="3219">
      <c r="B3219" s="25" t="n"/>
      <c r="I3219" s="25" t="n"/>
      <c r="U3219" s="19">
        <f>IF(AND($V3219='設定'!$C$4,COUNTIF('商品マスタ'!$B$6:$B$1005,$W3219)=0),N(U3218)+1,N(U3218))</f>
        <v/>
      </c>
      <c r="V3219" s="19">
        <f>IF($B3219="","",TEXT($B3219,"0000"))</f>
        <v/>
      </c>
      <c r="W3219" s="19">
        <f>IF($I3219="","",IF(ISNUMBER($I3219),TEXT($I3219,"0"),$I3219))</f>
        <v/>
      </c>
    </row>
    <row r="3220">
      <c r="B3220" s="25" t="n"/>
      <c r="I3220" s="25" t="n"/>
      <c r="U3220" s="19">
        <f>IF(AND($V3220='設定'!$C$4,COUNTIF('商品マスタ'!$B$6:$B$1005,$W3220)=0),N(U3219)+1,N(U3219))</f>
        <v/>
      </c>
      <c r="V3220" s="19">
        <f>IF($B3220="","",TEXT($B3220,"0000"))</f>
        <v/>
      </c>
      <c r="W3220" s="19">
        <f>IF($I3220="","",IF(ISNUMBER($I3220),TEXT($I3220,"0"),$I3220))</f>
        <v/>
      </c>
    </row>
    <row r="3221">
      <c r="B3221" s="25" t="n"/>
      <c r="I3221" s="25" t="n"/>
      <c r="U3221" s="19">
        <f>IF(AND($V3221='設定'!$C$4,COUNTIF('商品マスタ'!$B$6:$B$1005,$W3221)=0),N(U3220)+1,N(U3220))</f>
        <v/>
      </c>
      <c r="V3221" s="19">
        <f>IF($B3221="","",TEXT($B3221,"0000"))</f>
        <v/>
      </c>
      <c r="W3221" s="19">
        <f>IF($I3221="","",IF(ISNUMBER($I3221),TEXT($I3221,"0"),$I3221))</f>
        <v/>
      </c>
    </row>
    <row r="3222">
      <c r="B3222" s="25" t="n"/>
      <c r="I3222" s="25" t="n"/>
      <c r="U3222" s="19">
        <f>IF(AND($V3222='設定'!$C$4,COUNTIF('商品マスタ'!$B$6:$B$1005,$W3222)=0),N(U3221)+1,N(U3221))</f>
        <v/>
      </c>
      <c r="V3222" s="19">
        <f>IF($B3222="","",TEXT($B3222,"0000"))</f>
        <v/>
      </c>
      <c r="W3222" s="19">
        <f>IF($I3222="","",IF(ISNUMBER($I3222),TEXT($I3222,"0"),$I3222))</f>
        <v/>
      </c>
    </row>
    <row r="3223">
      <c r="B3223" s="25" t="n"/>
      <c r="I3223" s="25" t="n"/>
      <c r="U3223" s="19">
        <f>IF(AND($V3223='設定'!$C$4,COUNTIF('商品マスタ'!$B$6:$B$1005,$W3223)=0),N(U3222)+1,N(U3222))</f>
        <v/>
      </c>
      <c r="V3223" s="19">
        <f>IF($B3223="","",TEXT($B3223,"0000"))</f>
        <v/>
      </c>
      <c r="W3223" s="19">
        <f>IF($I3223="","",IF(ISNUMBER($I3223),TEXT($I3223,"0"),$I3223))</f>
        <v/>
      </c>
    </row>
    <row r="3224">
      <c r="B3224" s="25" t="n"/>
      <c r="I3224" s="25" t="n"/>
      <c r="U3224" s="19">
        <f>IF(AND($V3224='設定'!$C$4,COUNTIF('商品マスタ'!$B$6:$B$1005,$W3224)=0),N(U3223)+1,N(U3223))</f>
        <v/>
      </c>
      <c r="V3224" s="19">
        <f>IF($B3224="","",TEXT($B3224,"0000"))</f>
        <v/>
      </c>
      <c r="W3224" s="19">
        <f>IF($I3224="","",IF(ISNUMBER($I3224),TEXT($I3224,"0"),$I3224))</f>
        <v/>
      </c>
    </row>
    <row r="3225">
      <c r="B3225" s="25" t="n"/>
      <c r="I3225" s="25" t="n"/>
      <c r="U3225" s="19">
        <f>IF(AND($V3225='設定'!$C$4,COUNTIF('商品マスタ'!$B$6:$B$1005,$W3225)=0),N(U3224)+1,N(U3224))</f>
        <v/>
      </c>
      <c r="V3225" s="19">
        <f>IF($B3225="","",TEXT($B3225,"0000"))</f>
        <v/>
      </c>
      <c r="W3225" s="19">
        <f>IF($I3225="","",IF(ISNUMBER($I3225),TEXT($I3225,"0"),$I3225))</f>
        <v/>
      </c>
    </row>
    <row r="3226">
      <c r="B3226" s="25" t="n"/>
      <c r="I3226" s="25" t="n"/>
      <c r="U3226" s="19">
        <f>IF(AND($V3226='設定'!$C$4,COUNTIF('商品マスタ'!$B$6:$B$1005,$W3226)=0),N(U3225)+1,N(U3225))</f>
        <v/>
      </c>
      <c r="V3226" s="19">
        <f>IF($B3226="","",TEXT($B3226,"0000"))</f>
        <v/>
      </c>
      <c r="W3226" s="19">
        <f>IF($I3226="","",IF(ISNUMBER($I3226),TEXT($I3226,"0"),$I3226))</f>
        <v/>
      </c>
    </row>
    <row r="3227">
      <c r="B3227" s="25" t="n"/>
      <c r="I3227" s="25" t="n"/>
      <c r="U3227" s="19">
        <f>IF(AND($V3227='設定'!$C$4,COUNTIF('商品マスタ'!$B$6:$B$1005,$W3227)=0),N(U3226)+1,N(U3226))</f>
        <v/>
      </c>
      <c r="V3227" s="19">
        <f>IF($B3227="","",TEXT($B3227,"0000"))</f>
        <v/>
      </c>
      <c r="W3227" s="19">
        <f>IF($I3227="","",IF(ISNUMBER($I3227),TEXT($I3227,"0"),$I3227))</f>
        <v/>
      </c>
    </row>
    <row r="3228">
      <c r="B3228" s="25" t="n"/>
      <c r="I3228" s="25" t="n"/>
      <c r="U3228" s="19">
        <f>IF(AND($V3228='設定'!$C$4,COUNTIF('商品マスタ'!$B$6:$B$1005,$W3228)=0),N(U3227)+1,N(U3227))</f>
        <v/>
      </c>
      <c r="V3228" s="19">
        <f>IF($B3228="","",TEXT($B3228,"0000"))</f>
        <v/>
      </c>
      <c r="W3228" s="19">
        <f>IF($I3228="","",IF(ISNUMBER($I3228),TEXT($I3228,"0"),$I3228))</f>
        <v/>
      </c>
    </row>
    <row r="3229">
      <c r="B3229" s="25" t="n"/>
      <c r="I3229" s="25" t="n"/>
      <c r="U3229" s="19">
        <f>IF(AND($V3229='設定'!$C$4,COUNTIF('商品マスタ'!$B$6:$B$1005,$W3229)=0),N(U3228)+1,N(U3228))</f>
        <v/>
      </c>
      <c r="V3229" s="19">
        <f>IF($B3229="","",TEXT($B3229,"0000"))</f>
        <v/>
      </c>
      <c r="W3229" s="19">
        <f>IF($I3229="","",IF(ISNUMBER($I3229),TEXT($I3229,"0"),$I3229))</f>
        <v/>
      </c>
    </row>
    <row r="3230">
      <c r="B3230" s="25" t="n"/>
      <c r="I3230" s="25" t="n"/>
      <c r="U3230" s="19">
        <f>IF(AND($V3230='設定'!$C$4,COUNTIF('商品マスタ'!$B$6:$B$1005,$W3230)=0),N(U3229)+1,N(U3229))</f>
        <v/>
      </c>
      <c r="V3230" s="19">
        <f>IF($B3230="","",TEXT($B3230,"0000"))</f>
        <v/>
      </c>
      <c r="W3230" s="19">
        <f>IF($I3230="","",IF(ISNUMBER($I3230),TEXT($I3230,"0"),$I3230))</f>
        <v/>
      </c>
    </row>
    <row r="3231">
      <c r="B3231" s="25" t="n"/>
      <c r="I3231" s="25" t="n"/>
      <c r="U3231" s="19">
        <f>IF(AND($V3231='設定'!$C$4,COUNTIF('商品マスタ'!$B$6:$B$1005,$W3231)=0),N(U3230)+1,N(U3230))</f>
        <v/>
      </c>
      <c r="V3231" s="19">
        <f>IF($B3231="","",TEXT($B3231,"0000"))</f>
        <v/>
      </c>
      <c r="W3231" s="19">
        <f>IF($I3231="","",IF(ISNUMBER($I3231),TEXT($I3231,"0"),$I3231))</f>
        <v/>
      </c>
    </row>
    <row r="3232">
      <c r="B3232" s="25" t="n"/>
      <c r="I3232" s="25" t="n"/>
      <c r="U3232" s="19">
        <f>IF(AND($V3232='設定'!$C$4,COUNTIF('商品マスタ'!$B$6:$B$1005,$W3232)=0),N(U3231)+1,N(U3231))</f>
        <v/>
      </c>
      <c r="V3232" s="19">
        <f>IF($B3232="","",TEXT($B3232,"0000"))</f>
        <v/>
      </c>
      <c r="W3232" s="19">
        <f>IF($I3232="","",IF(ISNUMBER($I3232),TEXT($I3232,"0"),$I3232))</f>
        <v/>
      </c>
    </row>
    <row r="3233">
      <c r="B3233" s="25" t="n"/>
      <c r="I3233" s="25" t="n"/>
      <c r="U3233" s="19">
        <f>IF(AND($V3233='設定'!$C$4,COUNTIF('商品マスタ'!$B$6:$B$1005,$W3233)=0),N(U3232)+1,N(U3232))</f>
        <v/>
      </c>
      <c r="V3233" s="19">
        <f>IF($B3233="","",TEXT($B3233,"0000"))</f>
        <v/>
      </c>
      <c r="W3233" s="19">
        <f>IF($I3233="","",IF(ISNUMBER($I3233),TEXT($I3233,"0"),$I3233))</f>
        <v/>
      </c>
    </row>
    <row r="3234">
      <c r="B3234" s="25" t="n"/>
      <c r="I3234" s="25" t="n"/>
      <c r="U3234" s="19">
        <f>IF(AND($V3234='設定'!$C$4,COUNTIF('商品マスタ'!$B$6:$B$1005,$W3234)=0),N(U3233)+1,N(U3233))</f>
        <v/>
      </c>
      <c r="V3234" s="19">
        <f>IF($B3234="","",TEXT($B3234,"0000"))</f>
        <v/>
      </c>
      <c r="W3234" s="19">
        <f>IF($I3234="","",IF(ISNUMBER($I3234),TEXT($I3234,"0"),$I3234))</f>
        <v/>
      </c>
    </row>
    <row r="3235">
      <c r="B3235" s="25" t="n"/>
      <c r="I3235" s="25" t="n"/>
      <c r="U3235" s="19">
        <f>IF(AND($V3235='設定'!$C$4,COUNTIF('商品マスタ'!$B$6:$B$1005,$W3235)=0),N(U3234)+1,N(U3234))</f>
        <v/>
      </c>
      <c r="V3235" s="19">
        <f>IF($B3235="","",TEXT($B3235,"0000"))</f>
        <v/>
      </c>
      <c r="W3235" s="19">
        <f>IF($I3235="","",IF(ISNUMBER($I3235),TEXT($I3235,"0"),$I3235))</f>
        <v/>
      </c>
    </row>
    <row r="3236">
      <c r="B3236" s="25" t="n"/>
      <c r="I3236" s="25" t="n"/>
      <c r="U3236" s="19">
        <f>IF(AND($V3236='設定'!$C$4,COUNTIF('商品マスタ'!$B$6:$B$1005,$W3236)=0),N(U3235)+1,N(U3235))</f>
        <v/>
      </c>
      <c r="V3236" s="19">
        <f>IF($B3236="","",TEXT($B3236,"0000"))</f>
        <v/>
      </c>
      <c r="W3236" s="19">
        <f>IF($I3236="","",IF(ISNUMBER($I3236),TEXT($I3236,"0"),$I3236))</f>
        <v/>
      </c>
    </row>
    <row r="3237">
      <c r="B3237" s="25" t="n"/>
      <c r="I3237" s="25" t="n"/>
      <c r="U3237" s="19">
        <f>IF(AND($V3237='設定'!$C$4,COUNTIF('商品マスタ'!$B$6:$B$1005,$W3237)=0),N(U3236)+1,N(U3236))</f>
        <v/>
      </c>
      <c r="V3237" s="19">
        <f>IF($B3237="","",TEXT($B3237,"0000"))</f>
        <v/>
      </c>
      <c r="W3237" s="19">
        <f>IF($I3237="","",IF(ISNUMBER($I3237),TEXT($I3237,"0"),$I3237))</f>
        <v/>
      </c>
    </row>
    <row r="3238">
      <c r="B3238" s="25" t="n"/>
      <c r="I3238" s="25" t="n"/>
      <c r="U3238" s="19">
        <f>IF(AND($V3238='設定'!$C$4,COUNTIF('商品マスタ'!$B$6:$B$1005,$W3238)=0),N(U3237)+1,N(U3237))</f>
        <v/>
      </c>
      <c r="V3238" s="19">
        <f>IF($B3238="","",TEXT($B3238,"0000"))</f>
        <v/>
      </c>
      <c r="W3238" s="19">
        <f>IF($I3238="","",IF(ISNUMBER($I3238),TEXT($I3238,"0"),$I3238))</f>
        <v/>
      </c>
    </row>
    <row r="3239">
      <c r="B3239" s="25" t="n"/>
      <c r="I3239" s="25" t="n"/>
      <c r="U3239" s="19">
        <f>IF(AND($V3239='設定'!$C$4,COUNTIF('商品マスタ'!$B$6:$B$1005,$W3239)=0),N(U3238)+1,N(U3238))</f>
        <v/>
      </c>
      <c r="V3239" s="19">
        <f>IF($B3239="","",TEXT($B3239,"0000"))</f>
        <v/>
      </c>
      <c r="W3239" s="19">
        <f>IF($I3239="","",IF(ISNUMBER($I3239),TEXT($I3239,"0"),$I3239))</f>
        <v/>
      </c>
    </row>
    <row r="3240">
      <c r="B3240" s="25" t="n"/>
      <c r="I3240" s="25" t="n"/>
      <c r="U3240" s="19">
        <f>IF(AND($V3240='設定'!$C$4,COUNTIF('商品マスタ'!$B$6:$B$1005,$W3240)=0),N(U3239)+1,N(U3239))</f>
        <v/>
      </c>
      <c r="V3240" s="19">
        <f>IF($B3240="","",TEXT($B3240,"0000"))</f>
        <v/>
      </c>
      <c r="W3240" s="19">
        <f>IF($I3240="","",IF(ISNUMBER($I3240),TEXT($I3240,"0"),$I3240))</f>
        <v/>
      </c>
    </row>
    <row r="3241">
      <c r="B3241" s="25" t="n"/>
      <c r="I3241" s="25" t="n"/>
      <c r="U3241" s="19">
        <f>IF(AND($V3241='設定'!$C$4,COUNTIF('商品マスタ'!$B$6:$B$1005,$W3241)=0),N(U3240)+1,N(U3240))</f>
        <v/>
      </c>
      <c r="V3241" s="19">
        <f>IF($B3241="","",TEXT($B3241,"0000"))</f>
        <v/>
      </c>
      <c r="W3241" s="19">
        <f>IF($I3241="","",IF(ISNUMBER($I3241),TEXT($I3241,"0"),$I3241))</f>
        <v/>
      </c>
    </row>
    <row r="3242">
      <c r="B3242" s="25" t="n"/>
      <c r="I3242" s="25" t="n"/>
      <c r="U3242" s="19">
        <f>IF(AND($V3242='設定'!$C$4,COUNTIF('商品マスタ'!$B$6:$B$1005,$W3242)=0),N(U3241)+1,N(U3241))</f>
        <v/>
      </c>
      <c r="V3242" s="19">
        <f>IF($B3242="","",TEXT($B3242,"0000"))</f>
        <v/>
      </c>
      <c r="W3242" s="19">
        <f>IF($I3242="","",IF(ISNUMBER($I3242),TEXT($I3242,"0"),$I3242))</f>
        <v/>
      </c>
    </row>
    <row r="3243">
      <c r="B3243" s="25" t="n"/>
      <c r="I3243" s="25" t="n"/>
      <c r="U3243" s="19">
        <f>IF(AND($V3243='設定'!$C$4,COUNTIF('商品マスタ'!$B$6:$B$1005,$W3243)=0),N(U3242)+1,N(U3242))</f>
        <v/>
      </c>
      <c r="V3243" s="19">
        <f>IF($B3243="","",TEXT($B3243,"0000"))</f>
        <v/>
      </c>
      <c r="W3243" s="19">
        <f>IF($I3243="","",IF(ISNUMBER($I3243),TEXT($I3243,"0"),$I3243))</f>
        <v/>
      </c>
    </row>
    <row r="3244">
      <c r="B3244" s="25" t="n"/>
      <c r="I3244" s="25" t="n"/>
      <c r="U3244" s="19">
        <f>IF(AND($V3244='設定'!$C$4,COUNTIF('商品マスタ'!$B$6:$B$1005,$W3244)=0),N(U3243)+1,N(U3243))</f>
        <v/>
      </c>
      <c r="V3244" s="19">
        <f>IF($B3244="","",TEXT($B3244,"0000"))</f>
        <v/>
      </c>
      <c r="W3244" s="19">
        <f>IF($I3244="","",IF(ISNUMBER($I3244),TEXT($I3244,"0"),$I3244))</f>
        <v/>
      </c>
    </row>
    <row r="3245">
      <c r="B3245" s="25" t="n"/>
      <c r="I3245" s="25" t="n"/>
      <c r="U3245" s="19">
        <f>IF(AND($V3245='設定'!$C$4,COUNTIF('商品マスタ'!$B$6:$B$1005,$W3245)=0),N(U3244)+1,N(U3244))</f>
        <v/>
      </c>
      <c r="V3245" s="19">
        <f>IF($B3245="","",TEXT($B3245,"0000"))</f>
        <v/>
      </c>
      <c r="W3245" s="19">
        <f>IF($I3245="","",IF(ISNUMBER($I3245),TEXT($I3245,"0"),$I3245))</f>
        <v/>
      </c>
    </row>
    <row r="3246">
      <c r="B3246" s="25" t="n"/>
      <c r="I3246" s="25" t="n"/>
      <c r="U3246" s="19">
        <f>IF(AND($V3246='設定'!$C$4,COUNTIF('商品マスタ'!$B$6:$B$1005,$W3246)=0),N(U3245)+1,N(U3245))</f>
        <v/>
      </c>
      <c r="V3246" s="19">
        <f>IF($B3246="","",TEXT($B3246,"0000"))</f>
        <v/>
      </c>
      <c r="W3246" s="19">
        <f>IF($I3246="","",IF(ISNUMBER($I3246),TEXT($I3246,"0"),$I3246))</f>
        <v/>
      </c>
    </row>
    <row r="3247">
      <c r="B3247" s="25" t="n"/>
      <c r="I3247" s="25" t="n"/>
      <c r="U3247" s="19">
        <f>IF(AND($V3247='設定'!$C$4,COUNTIF('商品マスタ'!$B$6:$B$1005,$W3247)=0),N(U3246)+1,N(U3246))</f>
        <v/>
      </c>
      <c r="V3247" s="19">
        <f>IF($B3247="","",TEXT($B3247,"0000"))</f>
        <v/>
      </c>
      <c r="W3247" s="19">
        <f>IF($I3247="","",IF(ISNUMBER($I3247),TEXT($I3247,"0"),$I3247))</f>
        <v/>
      </c>
    </row>
    <row r="3248">
      <c r="B3248" s="25" t="n"/>
      <c r="I3248" s="25" t="n"/>
      <c r="U3248" s="19">
        <f>IF(AND($V3248='設定'!$C$4,COUNTIF('商品マスタ'!$B$6:$B$1005,$W3248)=0),N(U3247)+1,N(U3247))</f>
        <v/>
      </c>
      <c r="V3248" s="19">
        <f>IF($B3248="","",TEXT($B3248,"0000"))</f>
        <v/>
      </c>
      <c r="W3248" s="19">
        <f>IF($I3248="","",IF(ISNUMBER($I3248),TEXT($I3248,"0"),$I3248))</f>
        <v/>
      </c>
    </row>
    <row r="3249">
      <c r="B3249" s="25" t="n"/>
      <c r="I3249" s="25" t="n"/>
      <c r="U3249" s="19">
        <f>IF(AND($V3249='設定'!$C$4,COUNTIF('商品マスタ'!$B$6:$B$1005,$W3249)=0),N(U3248)+1,N(U3248))</f>
        <v/>
      </c>
      <c r="V3249" s="19">
        <f>IF($B3249="","",TEXT($B3249,"0000"))</f>
        <v/>
      </c>
      <c r="W3249" s="19">
        <f>IF($I3249="","",IF(ISNUMBER($I3249),TEXT($I3249,"0"),$I3249))</f>
        <v/>
      </c>
    </row>
    <row r="3250">
      <c r="B3250" s="25" t="n"/>
      <c r="I3250" s="25" t="n"/>
      <c r="U3250" s="19">
        <f>IF(AND($V3250='設定'!$C$4,COUNTIF('商品マスタ'!$B$6:$B$1005,$W3250)=0),N(U3249)+1,N(U3249))</f>
        <v/>
      </c>
      <c r="V3250" s="19">
        <f>IF($B3250="","",TEXT($B3250,"0000"))</f>
        <v/>
      </c>
      <c r="W3250" s="19">
        <f>IF($I3250="","",IF(ISNUMBER($I3250),TEXT($I3250,"0"),$I3250))</f>
        <v/>
      </c>
    </row>
    <row r="3251">
      <c r="B3251" s="25" t="n"/>
      <c r="I3251" s="25" t="n"/>
      <c r="U3251" s="19">
        <f>IF(AND($V3251='設定'!$C$4,COUNTIF('商品マスタ'!$B$6:$B$1005,$W3251)=0),N(U3250)+1,N(U3250))</f>
        <v/>
      </c>
      <c r="V3251" s="19">
        <f>IF($B3251="","",TEXT($B3251,"0000"))</f>
        <v/>
      </c>
      <c r="W3251" s="19">
        <f>IF($I3251="","",IF(ISNUMBER($I3251),TEXT($I3251,"0"),$I3251))</f>
        <v/>
      </c>
    </row>
    <row r="3252">
      <c r="B3252" s="25" t="n"/>
      <c r="I3252" s="25" t="n"/>
      <c r="U3252" s="19">
        <f>IF(AND($V3252='設定'!$C$4,COUNTIF('商品マスタ'!$B$6:$B$1005,$W3252)=0),N(U3251)+1,N(U3251))</f>
        <v/>
      </c>
      <c r="V3252" s="19">
        <f>IF($B3252="","",TEXT($B3252,"0000"))</f>
        <v/>
      </c>
      <c r="W3252" s="19">
        <f>IF($I3252="","",IF(ISNUMBER($I3252),TEXT($I3252,"0"),$I3252))</f>
        <v/>
      </c>
    </row>
    <row r="3253">
      <c r="B3253" s="25" t="n"/>
      <c r="I3253" s="25" t="n"/>
      <c r="U3253" s="19">
        <f>IF(AND($V3253='設定'!$C$4,COUNTIF('商品マスタ'!$B$6:$B$1005,$W3253)=0),N(U3252)+1,N(U3252))</f>
        <v/>
      </c>
      <c r="V3253" s="19">
        <f>IF($B3253="","",TEXT($B3253,"0000"))</f>
        <v/>
      </c>
      <c r="W3253" s="19">
        <f>IF($I3253="","",IF(ISNUMBER($I3253),TEXT($I3253,"0"),$I3253))</f>
        <v/>
      </c>
    </row>
    <row r="3254">
      <c r="B3254" s="25" t="n"/>
      <c r="I3254" s="25" t="n"/>
      <c r="U3254" s="19">
        <f>IF(AND($V3254='設定'!$C$4,COUNTIF('商品マスタ'!$B$6:$B$1005,$W3254)=0),N(U3253)+1,N(U3253))</f>
        <v/>
      </c>
      <c r="V3254" s="19">
        <f>IF($B3254="","",TEXT($B3254,"0000"))</f>
        <v/>
      </c>
      <c r="W3254" s="19">
        <f>IF($I3254="","",IF(ISNUMBER($I3254),TEXT($I3254,"0"),$I3254))</f>
        <v/>
      </c>
    </row>
    <row r="3255">
      <c r="B3255" s="25" t="n"/>
      <c r="I3255" s="25" t="n"/>
      <c r="U3255" s="19">
        <f>IF(AND($V3255='設定'!$C$4,COUNTIF('商品マスタ'!$B$6:$B$1005,$W3255)=0),N(U3254)+1,N(U3254))</f>
        <v/>
      </c>
      <c r="V3255" s="19">
        <f>IF($B3255="","",TEXT($B3255,"0000"))</f>
        <v/>
      </c>
      <c r="W3255" s="19">
        <f>IF($I3255="","",IF(ISNUMBER($I3255),TEXT($I3255,"0"),$I3255))</f>
        <v/>
      </c>
    </row>
    <row r="3256">
      <c r="B3256" s="25" t="n"/>
      <c r="I3256" s="25" t="n"/>
      <c r="U3256" s="19">
        <f>IF(AND($V3256='設定'!$C$4,COUNTIF('商品マスタ'!$B$6:$B$1005,$W3256)=0),N(U3255)+1,N(U3255))</f>
        <v/>
      </c>
      <c r="V3256" s="19">
        <f>IF($B3256="","",TEXT($B3256,"0000"))</f>
        <v/>
      </c>
      <c r="W3256" s="19">
        <f>IF($I3256="","",IF(ISNUMBER($I3256),TEXT($I3256,"0"),$I3256))</f>
        <v/>
      </c>
    </row>
    <row r="3257">
      <c r="B3257" s="25" t="n"/>
      <c r="I3257" s="25" t="n"/>
      <c r="U3257" s="19">
        <f>IF(AND($V3257='設定'!$C$4,COUNTIF('商品マスタ'!$B$6:$B$1005,$W3257)=0),N(U3256)+1,N(U3256))</f>
        <v/>
      </c>
      <c r="V3257" s="19">
        <f>IF($B3257="","",TEXT($B3257,"0000"))</f>
        <v/>
      </c>
      <c r="W3257" s="19">
        <f>IF($I3257="","",IF(ISNUMBER($I3257),TEXT($I3257,"0"),$I3257))</f>
        <v/>
      </c>
    </row>
    <row r="3258">
      <c r="B3258" s="25" t="n"/>
      <c r="I3258" s="25" t="n"/>
      <c r="U3258" s="19">
        <f>IF(AND($V3258='設定'!$C$4,COUNTIF('商品マスタ'!$B$6:$B$1005,$W3258)=0),N(U3257)+1,N(U3257))</f>
        <v/>
      </c>
      <c r="V3258" s="19">
        <f>IF($B3258="","",TEXT($B3258,"0000"))</f>
        <v/>
      </c>
      <c r="W3258" s="19">
        <f>IF($I3258="","",IF(ISNUMBER($I3258),TEXT($I3258,"0"),$I3258))</f>
        <v/>
      </c>
    </row>
    <row r="3259">
      <c r="B3259" s="25" t="n"/>
      <c r="I3259" s="25" t="n"/>
      <c r="U3259" s="19">
        <f>IF(AND($V3259='設定'!$C$4,COUNTIF('商品マスタ'!$B$6:$B$1005,$W3259)=0),N(U3258)+1,N(U3258))</f>
        <v/>
      </c>
      <c r="V3259" s="19">
        <f>IF($B3259="","",TEXT($B3259,"0000"))</f>
        <v/>
      </c>
      <c r="W3259" s="19">
        <f>IF($I3259="","",IF(ISNUMBER($I3259),TEXT($I3259,"0"),$I3259))</f>
        <v/>
      </c>
    </row>
    <row r="3260">
      <c r="B3260" s="25" t="n"/>
      <c r="I3260" s="25" t="n"/>
      <c r="U3260" s="19">
        <f>IF(AND($V3260='設定'!$C$4,COUNTIF('商品マスタ'!$B$6:$B$1005,$W3260)=0),N(U3259)+1,N(U3259))</f>
        <v/>
      </c>
      <c r="V3260" s="19">
        <f>IF($B3260="","",TEXT($B3260,"0000"))</f>
        <v/>
      </c>
      <c r="W3260" s="19">
        <f>IF($I3260="","",IF(ISNUMBER($I3260),TEXT($I3260,"0"),$I3260))</f>
        <v/>
      </c>
    </row>
    <row r="3261">
      <c r="B3261" s="25" t="n"/>
      <c r="I3261" s="25" t="n"/>
      <c r="U3261" s="19">
        <f>IF(AND($V3261='設定'!$C$4,COUNTIF('商品マスタ'!$B$6:$B$1005,$W3261)=0),N(U3260)+1,N(U3260))</f>
        <v/>
      </c>
      <c r="V3261" s="19">
        <f>IF($B3261="","",TEXT($B3261,"0000"))</f>
        <v/>
      </c>
      <c r="W3261" s="19">
        <f>IF($I3261="","",IF(ISNUMBER($I3261),TEXT($I3261,"0"),$I3261))</f>
        <v/>
      </c>
    </row>
    <row r="3262">
      <c r="B3262" s="25" t="n"/>
      <c r="I3262" s="25" t="n"/>
      <c r="U3262" s="19">
        <f>IF(AND($V3262='設定'!$C$4,COUNTIF('商品マスタ'!$B$6:$B$1005,$W3262)=0),N(U3261)+1,N(U3261))</f>
        <v/>
      </c>
      <c r="V3262" s="19">
        <f>IF($B3262="","",TEXT($B3262,"0000"))</f>
        <v/>
      </c>
      <c r="W3262" s="19">
        <f>IF($I3262="","",IF(ISNUMBER($I3262),TEXT($I3262,"0"),$I3262))</f>
        <v/>
      </c>
    </row>
    <row r="3263">
      <c r="B3263" s="25" t="n"/>
      <c r="I3263" s="25" t="n"/>
      <c r="U3263" s="19">
        <f>IF(AND($V3263='設定'!$C$4,COUNTIF('商品マスタ'!$B$6:$B$1005,$W3263)=0),N(U3262)+1,N(U3262))</f>
        <v/>
      </c>
      <c r="V3263" s="19">
        <f>IF($B3263="","",TEXT($B3263,"0000"))</f>
        <v/>
      </c>
      <c r="W3263" s="19">
        <f>IF($I3263="","",IF(ISNUMBER($I3263),TEXT($I3263,"0"),$I3263))</f>
        <v/>
      </c>
    </row>
    <row r="3264">
      <c r="B3264" s="25" t="n"/>
      <c r="I3264" s="25" t="n"/>
      <c r="U3264" s="19">
        <f>IF(AND($V3264='設定'!$C$4,COUNTIF('商品マスタ'!$B$6:$B$1005,$W3264)=0),N(U3263)+1,N(U3263))</f>
        <v/>
      </c>
      <c r="V3264" s="19">
        <f>IF($B3264="","",TEXT($B3264,"0000"))</f>
        <v/>
      </c>
      <c r="W3264" s="19">
        <f>IF($I3264="","",IF(ISNUMBER($I3264),TEXT($I3264,"0"),$I3264))</f>
        <v/>
      </c>
    </row>
    <row r="3265">
      <c r="B3265" s="25" t="n"/>
      <c r="I3265" s="25" t="n"/>
      <c r="U3265" s="19">
        <f>IF(AND($V3265='設定'!$C$4,COUNTIF('商品マスタ'!$B$6:$B$1005,$W3265)=0),N(U3264)+1,N(U3264))</f>
        <v/>
      </c>
      <c r="V3265" s="19">
        <f>IF($B3265="","",TEXT($B3265,"0000"))</f>
        <v/>
      </c>
      <c r="W3265" s="19">
        <f>IF($I3265="","",IF(ISNUMBER($I3265),TEXT($I3265,"0"),$I3265))</f>
        <v/>
      </c>
    </row>
    <row r="3266">
      <c r="B3266" s="25" t="n"/>
      <c r="I3266" s="25" t="n"/>
      <c r="U3266" s="19">
        <f>IF(AND($V3266='設定'!$C$4,COUNTIF('商品マスタ'!$B$6:$B$1005,$W3266)=0),N(U3265)+1,N(U3265))</f>
        <v/>
      </c>
      <c r="V3266" s="19">
        <f>IF($B3266="","",TEXT($B3266,"0000"))</f>
        <v/>
      </c>
      <c r="W3266" s="19">
        <f>IF($I3266="","",IF(ISNUMBER($I3266),TEXT($I3266,"0"),$I3266))</f>
        <v/>
      </c>
    </row>
    <row r="3267">
      <c r="B3267" s="25" t="n"/>
      <c r="I3267" s="25" t="n"/>
      <c r="U3267" s="19">
        <f>IF(AND($V3267='設定'!$C$4,COUNTIF('商品マスタ'!$B$6:$B$1005,$W3267)=0),N(U3266)+1,N(U3266))</f>
        <v/>
      </c>
      <c r="V3267" s="19">
        <f>IF($B3267="","",TEXT($B3267,"0000"))</f>
        <v/>
      </c>
      <c r="W3267" s="19">
        <f>IF($I3267="","",IF(ISNUMBER($I3267),TEXT($I3267,"0"),$I3267))</f>
        <v/>
      </c>
    </row>
    <row r="3268">
      <c r="B3268" s="25" t="n"/>
      <c r="I3268" s="25" t="n"/>
      <c r="U3268" s="19">
        <f>IF(AND($V3268='設定'!$C$4,COUNTIF('商品マスタ'!$B$6:$B$1005,$W3268)=0),N(U3267)+1,N(U3267))</f>
        <v/>
      </c>
      <c r="V3268" s="19">
        <f>IF($B3268="","",TEXT($B3268,"0000"))</f>
        <v/>
      </c>
      <c r="W3268" s="19">
        <f>IF($I3268="","",IF(ISNUMBER($I3268),TEXT($I3268,"0"),$I3268))</f>
        <v/>
      </c>
    </row>
    <row r="3269">
      <c r="B3269" s="25" t="n"/>
      <c r="I3269" s="25" t="n"/>
      <c r="U3269" s="19">
        <f>IF(AND($V3269='設定'!$C$4,COUNTIF('商品マスタ'!$B$6:$B$1005,$W3269)=0),N(U3268)+1,N(U3268))</f>
        <v/>
      </c>
      <c r="V3269" s="19">
        <f>IF($B3269="","",TEXT($B3269,"0000"))</f>
        <v/>
      </c>
      <c r="W3269" s="19">
        <f>IF($I3269="","",IF(ISNUMBER($I3269),TEXT($I3269,"0"),$I3269))</f>
        <v/>
      </c>
    </row>
    <row r="3270">
      <c r="B3270" s="25" t="n"/>
      <c r="I3270" s="25" t="n"/>
      <c r="U3270" s="19">
        <f>IF(AND($V3270='設定'!$C$4,COUNTIF('商品マスタ'!$B$6:$B$1005,$W3270)=0),N(U3269)+1,N(U3269))</f>
        <v/>
      </c>
      <c r="V3270" s="19">
        <f>IF($B3270="","",TEXT($B3270,"0000"))</f>
        <v/>
      </c>
      <c r="W3270" s="19">
        <f>IF($I3270="","",IF(ISNUMBER($I3270),TEXT($I3270,"0"),$I3270))</f>
        <v/>
      </c>
    </row>
    <row r="3271">
      <c r="B3271" s="25" t="n"/>
      <c r="I3271" s="25" t="n"/>
      <c r="U3271" s="19">
        <f>IF(AND($V3271='設定'!$C$4,COUNTIF('商品マスタ'!$B$6:$B$1005,$W3271)=0),N(U3270)+1,N(U3270))</f>
        <v/>
      </c>
      <c r="V3271" s="19">
        <f>IF($B3271="","",TEXT($B3271,"0000"))</f>
        <v/>
      </c>
      <c r="W3271" s="19">
        <f>IF($I3271="","",IF(ISNUMBER($I3271),TEXT($I3271,"0"),$I3271))</f>
        <v/>
      </c>
    </row>
    <row r="3272">
      <c r="B3272" s="25" t="n"/>
      <c r="I3272" s="25" t="n"/>
      <c r="U3272" s="19">
        <f>IF(AND($V3272='設定'!$C$4,COUNTIF('商品マスタ'!$B$6:$B$1005,$W3272)=0),N(U3271)+1,N(U3271))</f>
        <v/>
      </c>
      <c r="V3272" s="19">
        <f>IF($B3272="","",TEXT($B3272,"0000"))</f>
        <v/>
      </c>
      <c r="W3272" s="19">
        <f>IF($I3272="","",IF(ISNUMBER($I3272),TEXT($I3272,"0"),$I3272))</f>
        <v/>
      </c>
    </row>
    <row r="3273">
      <c r="B3273" s="25" t="n"/>
      <c r="I3273" s="25" t="n"/>
      <c r="U3273" s="19">
        <f>IF(AND($V3273='設定'!$C$4,COUNTIF('商品マスタ'!$B$6:$B$1005,$W3273)=0),N(U3272)+1,N(U3272))</f>
        <v/>
      </c>
      <c r="V3273" s="19">
        <f>IF($B3273="","",TEXT($B3273,"0000"))</f>
        <v/>
      </c>
      <c r="W3273" s="19">
        <f>IF($I3273="","",IF(ISNUMBER($I3273),TEXT($I3273,"0"),$I3273))</f>
        <v/>
      </c>
    </row>
    <row r="3274">
      <c r="B3274" s="25" t="n"/>
      <c r="I3274" s="25" t="n"/>
      <c r="U3274" s="19">
        <f>IF(AND($V3274='設定'!$C$4,COUNTIF('商品マスタ'!$B$6:$B$1005,$W3274)=0),N(U3273)+1,N(U3273))</f>
        <v/>
      </c>
      <c r="V3274" s="19">
        <f>IF($B3274="","",TEXT($B3274,"0000"))</f>
        <v/>
      </c>
      <c r="W3274" s="19">
        <f>IF($I3274="","",IF(ISNUMBER($I3274),TEXT($I3274,"0"),$I3274))</f>
        <v/>
      </c>
    </row>
    <row r="3275">
      <c r="B3275" s="25" t="n"/>
      <c r="I3275" s="25" t="n"/>
      <c r="U3275" s="19">
        <f>IF(AND($V3275='設定'!$C$4,COUNTIF('商品マスタ'!$B$6:$B$1005,$W3275)=0),N(U3274)+1,N(U3274))</f>
        <v/>
      </c>
      <c r="V3275" s="19">
        <f>IF($B3275="","",TEXT($B3275,"0000"))</f>
        <v/>
      </c>
      <c r="W3275" s="19">
        <f>IF($I3275="","",IF(ISNUMBER($I3275),TEXT($I3275,"0"),$I3275))</f>
        <v/>
      </c>
    </row>
    <row r="3276">
      <c r="B3276" s="25" t="n"/>
      <c r="I3276" s="25" t="n"/>
      <c r="U3276" s="19">
        <f>IF(AND($V3276='設定'!$C$4,COUNTIF('商品マスタ'!$B$6:$B$1005,$W3276)=0),N(U3275)+1,N(U3275))</f>
        <v/>
      </c>
      <c r="V3276" s="19">
        <f>IF($B3276="","",TEXT($B3276,"0000"))</f>
        <v/>
      </c>
      <c r="W3276" s="19">
        <f>IF($I3276="","",IF(ISNUMBER($I3276),TEXT($I3276,"0"),$I3276))</f>
        <v/>
      </c>
    </row>
    <row r="3277">
      <c r="B3277" s="25" t="n"/>
      <c r="I3277" s="25" t="n"/>
      <c r="U3277" s="19">
        <f>IF(AND($V3277='設定'!$C$4,COUNTIF('商品マスタ'!$B$6:$B$1005,$W3277)=0),N(U3276)+1,N(U3276))</f>
        <v/>
      </c>
      <c r="V3277" s="19">
        <f>IF($B3277="","",TEXT($B3277,"0000"))</f>
        <v/>
      </c>
      <c r="W3277" s="19">
        <f>IF($I3277="","",IF(ISNUMBER($I3277),TEXT($I3277,"0"),$I3277))</f>
        <v/>
      </c>
    </row>
    <row r="3278">
      <c r="B3278" s="25" t="n"/>
      <c r="I3278" s="25" t="n"/>
      <c r="U3278" s="19">
        <f>IF(AND($V3278='設定'!$C$4,COUNTIF('商品マスタ'!$B$6:$B$1005,$W3278)=0),N(U3277)+1,N(U3277))</f>
        <v/>
      </c>
      <c r="V3278" s="19">
        <f>IF($B3278="","",TEXT($B3278,"0000"))</f>
        <v/>
      </c>
      <c r="W3278" s="19">
        <f>IF($I3278="","",IF(ISNUMBER($I3278),TEXT($I3278,"0"),$I3278))</f>
        <v/>
      </c>
    </row>
    <row r="3279">
      <c r="B3279" s="25" t="n"/>
      <c r="I3279" s="25" t="n"/>
      <c r="U3279" s="19">
        <f>IF(AND($V3279='設定'!$C$4,COUNTIF('商品マスタ'!$B$6:$B$1005,$W3279)=0),N(U3278)+1,N(U3278))</f>
        <v/>
      </c>
      <c r="V3279" s="19">
        <f>IF($B3279="","",TEXT($B3279,"0000"))</f>
        <v/>
      </c>
      <c r="W3279" s="19">
        <f>IF($I3279="","",IF(ISNUMBER($I3279),TEXT($I3279,"0"),$I3279))</f>
        <v/>
      </c>
    </row>
    <row r="3280">
      <c r="B3280" s="25" t="n"/>
      <c r="I3280" s="25" t="n"/>
      <c r="U3280" s="19">
        <f>IF(AND($V3280='設定'!$C$4,COUNTIF('商品マスタ'!$B$6:$B$1005,$W3280)=0),N(U3279)+1,N(U3279))</f>
        <v/>
      </c>
      <c r="V3280" s="19">
        <f>IF($B3280="","",TEXT($B3280,"0000"))</f>
        <v/>
      </c>
      <c r="W3280" s="19">
        <f>IF($I3280="","",IF(ISNUMBER($I3280),TEXT($I3280,"0"),$I3280))</f>
        <v/>
      </c>
    </row>
    <row r="3281">
      <c r="B3281" s="25" t="n"/>
      <c r="I3281" s="25" t="n"/>
      <c r="U3281" s="19">
        <f>IF(AND($V3281='設定'!$C$4,COUNTIF('商品マスタ'!$B$6:$B$1005,$W3281)=0),N(U3280)+1,N(U3280))</f>
        <v/>
      </c>
      <c r="V3281" s="19">
        <f>IF($B3281="","",TEXT($B3281,"0000"))</f>
        <v/>
      </c>
      <c r="W3281" s="19">
        <f>IF($I3281="","",IF(ISNUMBER($I3281),TEXT($I3281,"0"),$I3281))</f>
        <v/>
      </c>
    </row>
    <row r="3282">
      <c r="B3282" s="25" t="n"/>
      <c r="I3282" s="25" t="n"/>
      <c r="U3282" s="19">
        <f>IF(AND($V3282='設定'!$C$4,COUNTIF('商品マスタ'!$B$6:$B$1005,$W3282)=0),N(U3281)+1,N(U3281))</f>
        <v/>
      </c>
      <c r="V3282" s="19">
        <f>IF($B3282="","",TEXT($B3282,"0000"))</f>
        <v/>
      </c>
      <c r="W3282" s="19">
        <f>IF($I3282="","",IF(ISNUMBER($I3282),TEXT($I3282,"0"),$I3282))</f>
        <v/>
      </c>
    </row>
    <row r="3283">
      <c r="B3283" s="25" t="n"/>
      <c r="I3283" s="25" t="n"/>
      <c r="U3283" s="19">
        <f>IF(AND($V3283='設定'!$C$4,COUNTIF('商品マスタ'!$B$6:$B$1005,$W3283)=0),N(U3282)+1,N(U3282))</f>
        <v/>
      </c>
      <c r="V3283" s="19">
        <f>IF($B3283="","",TEXT($B3283,"0000"))</f>
        <v/>
      </c>
      <c r="W3283" s="19">
        <f>IF($I3283="","",IF(ISNUMBER($I3283),TEXT($I3283,"0"),$I3283))</f>
        <v/>
      </c>
    </row>
    <row r="3284">
      <c r="B3284" s="25" t="n"/>
      <c r="I3284" s="25" t="n"/>
      <c r="U3284" s="19">
        <f>IF(AND($V3284='設定'!$C$4,COUNTIF('商品マスタ'!$B$6:$B$1005,$W3284)=0),N(U3283)+1,N(U3283))</f>
        <v/>
      </c>
      <c r="V3284" s="19">
        <f>IF($B3284="","",TEXT($B3284,"0000"))</f>
        <v/>
      </c>
      <c r="W3284" s="19">
        <f>IF($I3284="","",IF(ISNUMBER($I3284),TEXT($I3284,"0"),$I3284))</f>
        <v/>
      </c>
    </row>
    <row r="3285">
      <c r="B3285" s="25" t="n"/>
      <c r="I3285" s="25" t="n"/>
      <c r="U3285" s="19">
        <f>IF(AND($V3285='設定'!$C$4,COUNTIF('商品マスタ'!$B$6:$B$1005,$W3285)=0),N(U3284)+1,N(U3284))</f>
        <v/>
      </c>
      <c r="V3285" s="19">
        <f>IF($B3285="","",TEXT($B3285,"0000"))</f>
        <v/>
      </c>
      <c r="W3285" s="19">
        <f>IF($I3285="","",IF(ISNUMBER($I3285),TEXT($I3285,"0"),$I3285))</f>
        <v/>
      </c>
    </row>
    <row r="3286">
      <c r="B3286" s="25" t="n"/>
      <c r="I3286" s="25" t="n"/>
      <c r="U3286" s="19">
        <f>IF(AND($V3286='設定'!$C$4,COUNTIF('商品マスタ'!$B$6:$B$1005,$W3286)=0),N(U3285)+1,N(U3285))</f>
        <v/>
      </c>
      <c r="V3286" s="19">
        <f>IF($B3286="","",TEXT($B3286,"0000"))</f>
        <v/>
      </c>
      <c r="W3286" s="19">
        <f>IF($I3286="","",IF(ISNUMBER($I3286),TEXT($I3286,"0"),$I3286))</f>
        <v/>
      </c>
    </row>
    <row r="3287">
      <c r="B3287" s="25" t="n"/>
      <c r="I3287" s="25" t="n"/>
      <c r="U3287" s="19">
        <f>IF(AND($V3287='設定'!$C$4,COUNTIF('商品マスタ'!$B$6:$B$1005,$W3287)=0),N(U3286)+1,N(U3286))</f>
        <v/>
      </c>
      <c r="V3287" s="19">
        <f>IF($B3287="","",TEXT($B3287,"0000"))</f>
        <v/>
      </c>
      <c r="W3287" s="19">
        <f>IF($I3287="","",IF(ISNUMBER($I3287),TEXT($I3287,"0"),$I3287))</f>
        <v/>
      </c>
    </row>
    <row r="3288">
      <c r="B3288" s="25" t="n"/>
      <c r="I3288" s="25" t="n"/>
      <c r="U3288" s="19">
        <f>IF(AND($V3288='設定'!$C$4,COUNTIF('商品マスタ'!$B$6:$B$1005,$W3288)=0),N(U3287)+1,N(U3287))</f>
        <v/>
      </c>
      <c r="V3288" s="19">
        <f>IF($B3288="","",TEXT($B3288,"0000"))</f>
        <v/>
      </c>
      <c r="W3288" s="19">
        <f>IF($I3288="","",IF(ISNUMBER($I3288),TEXT($I3288,"0"),$I3288))</f>
        <v/>
      </c>
    </row>
    <row r="3289">
      <c r="B3289" s="25" t="n"/>
      <c r="I3289" s="25" t="n"/>
      <c r="U3289" s="19">
        <f>IF(AND($V3289='設定'!$C$4,COUNTIF('商品マスタ'!$B$6:$B$1005,$W3289)=0),N(U3288)+1,N(U3288))</f>
        <v/>
      </c>
      <c r="V3289" s="19">
        <f>IF($B3289="","",TEXT($B3289,"0000"))</f>
        <v/>
      </c>
      <c r="W3289" s="19">
        <f>IF($I3289="","",IF(ISNUMBER($I3289),TEXT($I3289,"0"),$I3289))</f>
        <v/>
      </c>
    </row>
    <row r="3290">
      <c r="B3290" s="25" t="n"/>
      <c r="I3290" s="25" t="n"/>
      <c r="U3290" s="19">
        <f>IF(AND($V3290='設定'!$C$4,COUNTIF('商品マスタ'!$B$6:$B$1005,$W3290)=0),N(U3289)+1,N(U3289))</f>
        <v/>
      </c>
      <c r="V3290" s="19">
        <f>IF($B3290="","",TEXT($B3290,"0000"))</f>
        <v/>
      </c>
      <c r="W3290" s="19">
        <f>IF($I3290="","",IF(ISNUMBER($I3290),TEXT($I3290,"0"),$I3290))</f>
        <v/>
      </c>
    </row>
    <row r="3291">
      <c r="B3291" s="25" t="n"/>
      <c r="I3291" s="25" t="n"/>
      <c r="U3291" s="19">
        <f>IF(AND($V3291='設定'!$C$4,COUNTIF('商品マスタ'!$B$6:$B$1005,$W3291)=0),N(U3290)+1,N(U3290))</f>
        <v/>
      </c>
      <c r="V3291" s="19">
        <f>IF($B3291="","",TEXT($B3291,"0000"))</f>
        <v/>
      </c>
      <c r="W3291" s="19">
        <f>IF($I3291="","",IF(ISNUMBER($I3291),TEXT($I3291,"0"),$I3291))</f>
        <v/>
      </c>
    </row>
    <row r="3292">
      <c r="B3292" s="25" t="n"/>
      <c r="I3292" s="25" t="n"/>
      <c r="U3292" s="19">
        <f>IF(AND($V3292='設定'!$C$4,COUNTIF('商品マスタ'!$B$6:$B$1005,$W3292)=0),N(U3291)+1,N(U3291))</f>
        <v/>
      </c>
      <c r="V3292" s="19">
        <f>IF($B3292="","",TEXT($B3292,"0000"))</f>
        <v/>
      </c>
      <c r="W3292" s="19">
        <f>IF($I3292="","",IF(ISNUMBER($I3292),TEXT($I3292,"0"),$I3292))</f>
        <v/>
      </c>
    </row>
    <row r="3293">
      <c r="B3293" s="25" t="n"/>
      <c r="I3293" s="25" t="n"/>
      <c r="U3293" s="19">
        <f>IF(AND($V3293='設定'!$C$4,COUNTIF('商品マスタ'!$B$6:$B$1005,$W3293)=0),N(U3292)+1,N(U3292))</f>
        <v/>
      </c>
      <c r="V3293" s="19">
        <f>IF($B3293="","",TEXT($B3293,"0000"))</f>
        <v/>
      </c>
      <c r="W3293" s="19">
        <f>IF($I3293="","",IF(ISNUMBER($I3293),TEXT($I3293,"0"),$I3293))</f>
        <v/>
      </c>
    </row>
    <row r="3294">
      <c r="B3294" s="25" t="n"/>
      <c r="I3294" s="25" t="n"/>
      <c r="U3294" s="19">
        <f>IF(AND($V3294='設定'!$C$4,COUNTIF('商品マスタ'!$B$6:$B$1005,$W3294)=0),N(U3293)+1,N(U3293))</f>
        <v/>
      </c>
      <c r="V3294" s="19">
        <f>IF($B3294="","",TEXT($B3294,"0000"))</f>
        <v/>
      </c>
      <c r="W3294" s="19">
        <f>IF($I3294="","",IF(ISNUMBER($I3294),TEXT($I3294,"0"),$I3294))</f>
        <v/>
      </c>
    </row>
    <row r="3295">
      <c r="B3295" s="25" t="n"/>
      <c r="I3295" s="25" t="n"/>
      <c r="U3295" s="19">
        <f>IF(AND($V3295='設定'!$C$4,COUNTIF('商品マスタ'!$B$6:$B$1005,$W3295)=0),N(U3294)+1,N(U3294))</f>
        <v/>
      </c>
      <c r="V3295" s="19">
        <f>IF($B3295="","",TEXT($B3295,"0000"))</f>
        <v/>
      </c>
      <c r="W3295" s="19">
        <f>IF($I3295="","",IF(ISNUMBER($I3295),TEXT($I3295,"0"),$I3295))</f>
        <v/>
      </c>
    </row>
    <row r="3296">
      <c r="B3296" s="25" t="n"/>
      <c r="I3296" s="25" t="n"/>
      <c r="U3296" s="19">
        <f>IF(AND($V3296='設定'!$C$4,COUNTIF('商品マスタ'!$B$6:$B$1005,$W3296)=0),N(U3295)+1,N(U3295))</f>
        <v/>
      </c>
      <c r="V3296" s="19">
        <f>IF($B3296="","",TEXT($B3296,"0000"))</f>
        <v/>
      </c>
      <c r="W3296" s="19">
        <f>IF($I3296="","",IF(ISNUMBER($I3296),TEXT($I3296,"0"),$I3296))</f>
        <v/>
      </c>
    </row>
    <row r="3297">
      <c r="B3297" s="25" t="n"/>
      <c r="I3297" s="25" t="n"/>
      <c r="U3297" s="19">
        <f>IF(AND($V3297='設定'!$C$4,COUNTIF('商品マスタ'!$B$6:$B$1005,$W3297)=0),N(U3296)+1,N(U3296))</f>
        <v/>
      </c>
      <c r="V3297" s="19">
        <f>IF($B3297="","",TEXT($B3297,"0000"))</f>
        <v/>
      </c>
      <c r="W3297" s="19">
        <f>IF($I3297="","",IF(ISNUMBER($I3297),TEXT($I3297,"0"),$I3297))</f>
        <v/>
      </c>
    </row>
    <row r="3298">
      <c r="B3298" s="25" t="n"/>
      <c r="I3298" s="25" t="n"/>
      <c r="U3298" s="19">
        <f>IF(AND($V3298='設定'!$C$4,COUNTIF('商品マスタ'!$B$6:$B$1005,$W3298)=0),N(U3297)+1,N(U3297))</f>
        <v/>
      </c>
      <c r="V3298" s="19">
        <f>IF($B3298="","",TEXT($B3298,"0000"))</f>
        <v/>
      </c>
      <c r="W3298" s="19">
        <f>IF($I3298="","",IF(ISNUMBER($I3298),TEXT($I3298,"0"),$I3298))</f>
        <v/>
      </c>
    </row>
    <row r="3299">
      <c r="B3299" s="25" t="n"/>
      <c r="I3299" s="25" t="n"/>
      <c r="U3299" s="19">
        <f>IF(AND($V3299='設定'!$C$4,COUNTIF('商品マスタ'!$B$6:$B$1005,$W3299)=0),N(U3298)+1,N(U3298))</f>
        <v/>
      </c>
      <c r="V3299" s="19">
        <f>IF($B3299="","",TEXT($B3299,"0000"))</f>
        <v/>
      </c>
      <c r="W3299" s="19">
        <f>IF($I3299="","",IF(ISNUMBER($I3299),TEXT($I3299,"0"),$I3299))</f>
        <v/>
      </c>
    </row>
    <row r="3300">
      <c r="B3300" s="25" t="n"/>
      <c r="I3300" s="25" t="n"/>
      <c r="U3300" s="19">
        <f>IF(AND($V3300='設定'!$C$4,COUNTIF('商品マスタ'!$B$6:$B$1005,$W3300)=0),N(U3299)+1,N(U3299))</f>
        <v/>
      </c>
      <c r="V3300" s="19">
        <f>IF($B3300="","",TEXT($B3300,"0000"))</f>
        <v/>
      </c>
      <c r="W3300" s="19">
        <f>IF($I3300="","",IF(ISNUMBER($I3300),TEXT($I3300,"0"),$I3300))</f>
        <v/>
      </c>
    </row>
    <row r="3301">
      <c r="B3301" s="25" t="n"/>
      <c r="I3301" s="25" t="n"/>
      <c r="U3301" s="19">
        <f>IF(AND($V3301='設定'!$C$4,COUNTIF('商品マスタ'!$B$6:$B$1005,$W3301)=0),N(U3300)+1,N(U3300))</f>
        <v/>
      </c>
      <c r="V3301" s="19">
        <f>IF($B3301="","",TEXT($B3301,"0000"))</f>
        <v/>
      </c>
      <c r="W3301" s="19">
        <f>IF($I3301="","",IF(ISNUMBER($I3301),TEXT($I3301,"0"),$I3301))</f>
        <v/>
      </c>
    </row>
    <row r="3302">
      <c r="B3302" s="25" t="n"/>
      <c r="I3302" s="25" t="n"/>
      <c r="U3302" s="19">
        <f>IF(AND($V3302='設定'!$C$4,COUNTIF('商品マスタ'!$B$6:$B$1005,$W3302)=0),N(U3301)+1,N(U3301))</f>
        <v/>
      </c>
      <c r="V3302" s="19">
        <f>IF($B3302="","",TEXT($B3302,"0000"))</f>
        <v/>
      </c>
      <c r="W3302" s="19">
        <f>IF($I3302="","",IF(ISNUMBER($I3302),TEXT($I3302,"0"),$I3302))</f>
        <v/>
      </c>
    </row>
    <row r="3303">
      <c r="B3303" s="25" t="n"/>
      <c r="I3303" s="25" t="n"/>
      <c r="U3303" s="19">
        <f>IF(AND($V3303='設定'!$C$4,COUNTIF('商品マスタ'!$B$6:$B$1005,$W3303)=0),N(U3302)+1,N(U3302))</f>
        <v/>
      </c>
      <c r="V3303" s="19">
        <f>IF($B3303="","",TEXT($B3303,"0000"))</f>
        <v/>
      </c>
      <c r="W3303" s="19">
        <f>IF($I3303="","",IF(ISNUMBER($I3303),TEXT($I3303,"0"),$I3303))</f>
        <v/>
      </c>
    </row>
    <row r="3304">
      <c r="B3304" s="25" t="n"/>
      <c r="I3304" s="25" t="n"/>
      <c r="U3304" s="19">
        <f>IF(AND($V3304='設定'!$C$4,COUNTIF('商品マスタ'!$B$6:$B$1005,$W3304)=0),N(U3303)+1,N(U3303))</f>
        <v/>
      </c>
      <c r="V3304" s="19">
        <f>IF($B3304="","",TEXT($B3304,"0000"))</f>
        <v/>
      </c>
      <c r="W3304" s="19">
        <f>IF($I3304="","",IF(ISNUMBER($I3304),TEXT($I3304,"0"),$I3304))</f>
        <v/>
      </c>
    </row>
    <row r="3305">
      <c r="B3305" s="25" t="n"/>
      <c r="I3305" s="25" t="n"/>
      <c r="U3305" s="19">
        <f>IF(AND($V3305='設定'!$C$4,COUNTIF('商品マスタ'!$B$6:$B$1005,$W3305)=0),N(U3304)+1,N(U3304))</f>
        <v/>
      </c>
      <c r="V3305" s="19">
        <f>IF($B3305="","",TEXT($B3305,"0000"))</f>
        <v/>
      </c>
      <c r="W3305" s="19">
        <f>IF($I3305="","",IF(ISNUMBER($I3305),TEXT($I3305,"0"),$I3305))</f>
        <v/>
      </c>
    </row>
    <row r="3306">
      <c r="B3306" s="25" t="n"/>
      <c r="I3306" s="25" t="n"/>
      <c r="U3306" s="19">
        <f>IF(AND($V3306='設定'!$C$4,COUNTIF('商品マスタ'!$B$6:$B$1005,$W3306)=0),N(U3305)+1,N(U3305))</f>
        <v/>
      </c>
      <c r="V3306" s="19">
        <f>IF($B3306="","",TEXT($B3306,"0000"))</f>
        <v/>
      </c>
      <c r="W3306" s="19">
        <f>IF($I3306="","",IF(ISNUMBER($I3306),TEXT($I3306,"0"),$I3306))</f>
        <v/>
      </c>
    </row>
    <row r="3307">
      <c r="B3307" s="25" t="n"/>
      <c r="I3307" s="25" t="n"/>
      <c r="U3307" s="19">
        <f>IF(AND($V3307='設定'!$C$4,COUNTIF('商品マスタ'!$B$6:$B$1005,$W3307)=0),N(U3306)+1,N(U3306))</f>
        <v/>
      </c>
      <c r="V3307" s="19">
        <f>IF($B3307="","",TEXT($B3307,"0000"))</f>
        <v/>
      </c>
      <c r="W3307" s="19">
        <f>IF($I3307="","",IF(ISNUMBER($I3307),TEXT($I3307,"0"),$I3307))</f>
        <v/>
      </c>
    </row>
    <row r="3308">
      <c r="B3308" s="25" t="n"/>
      <c r="I3308" s="25" t="n"/>
      <c r="U3308" s="19">
        <f>IF(AND($V3308='設定'!$C$4,COUNTIF('商品マスタ'!$B$6:$B$1005,$W3308)=0),N(U3307)+1,N(U3307))</f>
        <v/>
      </c>
      <c r="V3308" s="19">
        <f>IF($B3308="","",TEXT($B3308,"0000"))</f>
        <v/>
      </c>
      <c r="W3308" s="19">
        <f>IF($I3308="","",IF(ISNUMBER($I3308),TEXT($I3308,"0"),$I3308))</f>
        <v/>
      </c>
    </row>
    <row r="3309">
      <c r="B3309" s="25" t="n"/>
      <c r="I3309" s="25" t="n"/>
      <c r="U3309" s="19">
        <f>IF(AND($V3309='設定'!$C$4,COUNTIF('商品マスタ'!$B$6:$B$1005,$W3309)=0),N(U3308)+1,N(U3308))</f>
        <v/>
      </c>
      <c r="V3309" s="19">
        <f>IF($B3309="","",TEXT($B3309,"0000"))</f>
        <v/>
      </c>
      <c r="W3309" s="19">
        <f>IF($I3309="","",IF(ISNUMBER($I3309),TEXT($I3309,"0"),$I3309))</f>
        <v/>
      </c>
    </row>
    <row r="3310">
      <c r="B3310" s="25" t="n"/>
      <c r="I3310" s="25" t="n"/>
      <c r="U3310" s="19">
        <f>IF(AND($V3310='設定'!$C$4,COUNTIF('商品マスタ'!$B$6:$B$1005,$W3310)=0),N(U3309)+1,N(U3309))</f>
        <v/>
      </c>
      <c r="V3310" s="19">
        <f>IF($B3310="","",TEXT($B3310,"0000"))</f>
        <v/>
      </c>
      <c r="W3310" s="19">
        <f>IF($I3310="","",IF(ISNUMBER($I3310),TEXT($I3310,"0"),$I3310))</f>
        <v/>
      </c>
    </row>
    <row r="3311">
      <c r="B3311" s="25" t="n"/>
      <c r="I3311" s="25" t="n"/>
      <c r="U3311" s="19">
        <f>IF(AND($V3311='設定'!$C$4,COUNTIF('商品マスタ'!$B$6:$B$1005,$W3311)=0),N(U3310)+1,N(U3310))</f>
        <v/>
      </c>
      <c r="V3311" s="19">
        <f>IF($B3311="","",TEXT($B3311,"0000"))</f>
        <v/>
      </c>
      <c r="W3311" s="19">
        <f>IF($I3311="","",IF(ISNUMBER($I3311),TEXT($I3311,"0"),$I3311))</f>
        <v/>
      </c>
    </row>
    <row r="3312">
      <c r="B3312" s="25" t="n"/>
      <c r="I3312" s="25" t="n"/>
      <c r="U3312" s="19">
        <f>IF(AND($V3312='設定'!$C$4,COUNTIF('商品マスタ'!$B$6:$B$1005,$W3312)=0),N(U3311)+1,N(U3311))</f>
        <v/>
      </c>
      <c r="V3312" s="19">
        <f>IF($B3312="","",TEXT($B3312,"0000"))</f>
        <v/>
      </c>
      <c r="W3312" s="19">
        <f>IF($I3312="","",IF(ISNUMBER($I3312),TEXT($I3312,"0"),$I3312))</f>
        <v/>
      </c>
    </row>
    <row r="3313">
      <c r="B3313" s="25" t="n"/>
      <c r="I3313" s="25" t="n"/>
      <c r="U3313" s="19">
        <f>IF(AND($V3313='設定'!$C$4,COUNTIF('商品マスタ'!$B$6:$B$1005,$W3313)=0),N(U3312)+1,N(U3312))</f>
        <v/>
      </c>
      <c r="V3313" s="19">
        <f>IF($B3313="","",TEXT($B3313,"0000"))</f>
        <v/>
      </c>
      <c r="W3313" s="19">
        <f>IF($I3313="","",IF(ISNUMBER($I3313),TEXT($I3313,"0"),$I3313))</f>
        <v/>
      </c>
    </row>
    <row r="3314">
      <c r="B3314" s="25" t="n"/>
      <c r="I3314" s="25" t="n"/>
      <c r="U3314" s="19">
        <f>IF(AND($V3314='設定'!$C$4,COUNTIF('商品マスタ'!$B$6:$B$1005,$W3314)=0),N(U3313)+1,N(U3313))</f>
        <v/>
      </c>
      <c r="V3314" s="19">
        <f>IF($B3314="","",TEXT($B3314,"0000"))</f>
        <v/>
      </c>
      <c r="W3314" s="19">
        <f>IF($I3314="","",IF(ISNUMBER($I3314),TEXT($I3314,"0"),$I3314))</f>
        <v/>
      </c>
    </row>
    <row r="3315">
      <c r="B3315" s="25" t="n"/>
      <c r="I3315" s="25" t="n"/>
      <c r="U3315" s="19">
        <f>IF(AND($V3315='設定'!$C$4,COUNTIF('商品マスタ'!$B$6:$B$1005,$W3315)=0),N(U3314)+1,N(U3314))</f>
        <v/>
      </c>
      <c r="V3315" s="19">
        <f>IF($B3315="","",TEXT($B3315,"0000"))</f>
        <v/>
      </c>
      <c r="W3315" s="19">
        <f>IF($I3315="","",IF(ISNUMBER($I3315),TEXT($I3315,"0"),$I3315))</f>
        <v/>
      </c>
    </row>
    <row r="3316">
      <c r="B3316" s="25" t="n"/>
      <c r="I3316" s="25" t="n"/>
      <c r="U3316" s="19">
        <f>IF(AND($V3316='設定'!$C$4,COUNTIF('商品マスタ'!$B$6:$B$1005,$W3316)=0),N(U3315)+1,N(U3315))</f>
        <v/>
      </c>
      <c r="V3316" s="19">
        <f>IF($B3316="","",TEXT($B3316,"0000"))</f>
        <v/>
      </c>
      <c r="W3316" s="19">
        <f>IF($I3316="","",IF(ISNUMBER($I3316),TEXT($I3316,"0"),$I3316))</f>
        <v/>
      </c>
    </row>
    <row r="3317">
      <c r="B3317" s="25" t="n"/>
      <c r="I3317" s="25" t="n"/>
      <c r="U3317" s="19">
        <f>IF(AND($V3317='設定'!$C$4,COUNTIF('商品マスタ'!$B$6:$B$1005,$W3317)=0),N(U3316)+1,N(U3316))</f>
        <v/>
      </c>
      <c r="V3317" s="19">
        <f>IF($B3317="","",TEXT($B3317,"0000"))</f>
        <v/>
      </c>
      <c r="W3317" s="19">
        <f>IF($I3317="","",IF(ISNUMBER($I3317),TEXT($I3317,"0"),$I3317))</f>
        <v/>
      </c>
    </row>
    <row r="3318">
      <c r="B3318" s="25" t="n"/>
      <c r="I3318" s="25" t="n"/>
      <c r="U3318" s="19">
        <f>IF(AND($V3318='設定'!$C$4,COUNTIF('商品マスタ'!$B$6:$B$1005,$W3318)=0),N(U3317)+1,N(U3317))</f>
        <v/>
      </c>
      <c r="V3318" s="19">
        <f>IF($B3318="","",TEXT($B3318,"0000"))</f>
        <v/>
      </c>
      <c r="W3318" s="19">
        <f>IF($I3318="","",IF(ISNUMBER($I3318),TEXT($I3318,"0"),$I3318))</f>
        <v/>
      </c>
    </row>
    <row r="3319">
      <c r="B3319" s="25" t="n"/>
      <c r="I3319" s="25" t="n"/>
      <c r="U3319" s="19">
        <f>IF(AND($V3319='設定'!$C$4,COUNTIF('商品マスタ'!$B$6:$B$1005,$W3319)=0),N(U3318)+1,N(U3318))</f>
        <v/>
      </c>
      <c r="V3319" s="19">
        <f>IF($B3319="","",TEXT($B3319,"0000"))</f>
        <v/>
      </c>
      <c r="W3319" s="19">
        <f>IF($I3319="","",IF(ISNUMBER($I3319),TEXT($I3319,"0"),$I3319))</f>
        <v/>
      </c>
    </row>
    <row r="3320">
      <c r="B3320" s="25" t="n"/>
      <c r="I3320" s="25" t="n"/>
      <c r="U3320" s="19">
        <f>IF(AND($V3320='設定'!$C$4,COUNTIF('商品マスタ'!$B$6:$B$1005,$W3320)=0),N(U3319)+1,N(U3319))</f>
        <v/>
      </c>
      <c r="V3320" s="19">
        <f>IF($B3320="","",TEXT($B3320,"0000"))</f>
        <v/>
      </c>
      <c r="W3320" s="19">
        <f>IF($I3320="","",IF(ISNUMBER($I3320),TEXT($I3320,"0"),$I3320))</f>
        <v/>
      </c>
    </row>
    <row r="3321">
      <c r="B3321" s="25" t="n"/>
      <c r="I3321" s="25" t="n"/>
      <c r="U3321" s="19">
        <f>IF(AND($V3321='設定'!$C$4,COUNTIF('商品マスタ'!$B$6:$B$1005,$W3321)=0),N(U3320)+1,N(U3320))</f>
        <v/>
      </c>
      <c r="V3321" s="19">
        <f>IF($B3321="","",TEXT($B3321,"0000"))</f>
        <v/>
      </c>
      <c r="W3321" s="19">
        <f>IF($I3321="","",IF(ISNUMBER($I3321),TEXT($I3321,"0"),$I3321))</f>
        <v/>
      </c>
    </row>
    <row r="3322">
      <c r="B3322" s="25" t="n"/>
      <c r="I3322" s="25" t="n"/>
      <c r="U3322" s="19">
        <f>IF(AND($V3322='設定'!$C$4,COUNTIF('商品マスタ'!$B$6:$B$1005,$W3322)=0),N(U3321)+1,N(U3321))</f>
        <v/>
      </c>
      <c r="V3322" s="19">
        <f>IF($B3322="","",TEXT($B3322,"0000"))</f>
        <v/>
      </c>
      <c r="W3322" s="19">
        <f>IF($I3322="","",IF(ISNUMBER($I3322),TEXT($I3322,"0"),$I3322))</f>
        <v/>
      </c>
    </row>
    <row r="3323">
      <c r="B3323" s="25" t="n"/>
      <c r="I3323" s="25" t="n"/>
      <c r="U3323" s="19">
        <f>IF(AND($V3323='設定'!$C$4,COUNTIF('商品マスタ'!$B$6:$B$1005,$W3323)=0),N(U3322)+1,N(U3322))</f>
        <v/>
      </c>
      <c r="V3323" s="19">
        <f>IF($B3323="","",TEXT($B3323,"0000"))</f>
        <v/>
      </c>
      <c r="W3323" s="19">
        <f>IF($I3323="","",IF(ISNUMBER($I3323),TEXT($I3323,"0"),$I3323))</f>
        <v/>
      </c>
    </row>
    <row r="3324">
      <c r="B3324" s="25" t="n"/>
      <c r="I3324" s="25" t="n"/>
      <c r="U3324" s="19">
        <f>IF(AND($V3324='設定'!$C$4,COUNTIF('商品マスタ'!$B$6:$B$1005,$W3324)=0),N(U3323)+1,N(U3323))</f>
        <v/>
      </c>
      <c r="V3324" s="19">
        <f>IF($B3324="","",TEXT($B3324,"0000"))</f>
        <v/>
      </c>
      <c r="W3324" s="19">
        <f>IF($I3324="","",IF(ISNUMBER($I3324),TEXT($I3324,"0"),$I3324))</f>
        <v/>
      </c>
    </row>
    <row r="3325">
      <c r="B3325" s="25" t="n"/>
      <c r="I3325" s="25" t="n"/>
      <c r="U3325" s="19">
        <f>IF(AND($V3325='設定'!$C$4,COUNTIF('商品マスタ'!$B$6:$B$1005,$W3325)=0),N(U3324)+1,N(U3324))</f>
        <v/>
      </c>
      <c r="V3325" s="19">
        <f>IF($B3325="","",TEXT($B3325,"0000"))</f>
        <v/>
      </c>
      <c r="W3325" s="19">
        <f>IF($I3325="","",IF(ISNUMBER($I3325),TEXT($I3325,"0"),$I3325))</f>
        <v/>
      </c>
    </row>
    <row r="3326">
      <c r="B3326" s="25" t="n"/>
      <c r="I3326" s="25" t="n"/>
      <c r="U3326" s="19">
        <f>IF(AND($V3326='設定'!$C$4,COUNTIF('商品マスタ'!$B$6:$B$1005,$W3326)=0),N(U3325)+1,N(U3325))</f>
        <v/>
      </c>
      <c r="V3326" s="19">
        <f>IF($B3326="","",TEXT($B3326,"0000"))</f>
        <v/>
      </c>
      <c r="W3326" s="19">
        <f>IF($I3326="","",IF(ISNUMBER($I3326),TEXT($I3326,"0"),$I3326))</f>
        <v/>
      </c>
    </row>
    <row r="3327">
      <c r="B3327" s="25" t="n"/>
      <c r="I3327" s="25" t="n"/>
      <c r="U3327" s="19">
        <f>IF(AND($V3327='設定'!$C$4,COUNTIF('商品マスタ'!$B$6:$B$1005,$W3327)=0),N(U3326)+1,N(U3326))</f>
        <v/>
      </c>
      <c r="V3327" s="19">
        <f>IF($B3327="","",TEXT($B3327,"0000"))</f>
        <v/>
      </c>
      <c r="W3327" s="19">
        <f>IF($I3327="","",IF(ISNUMBER($I3327),TEXT($I3327,"0"),$I3327))</f>
        <v/>
      </c>
    </row>
    <row r="3328">
      <c r="B3328" s="25" t="n"/>
      <c r="I3328" s="25" t="n"/>
      <c r="U3328" s="19">
        <f>IF(AND($V3328='設定'!$C$4,COUNTIF('商品マスタ'!$B$6:$B$1005,$W3328)=0),N(U3327)+1,N(U3327))</f>
        <v/>
      </c>
      <c r="V3328" s="19">
        <f>IF($B3328="","",TEXT($B3328,"0000"))</f>
        <v/>
      </c>
      <c r="W3328" s="19">
        <f>IF($I3328="","",IF(ISNUMBER($I3328),TEXT($I3328,"0"),$I3328))</f>
        <v/>
      </c>
    </row>
    <row r="3329">
      <c r="B3329" s="25" t="n"/>
      <c r="I3329" s="25" t="n"/>
      <c r="U3329" s="19">
        <f>IF(AND($V3329='設定'!$C$4,COUNTIF('商品マスタ'!$B$6:$B$1005,$W3329)=0),N(U3328)+1,N(U3328))</f>
        <v/>
      </c>
      <c r="V3329" s="19">
        <f>IF($B3329="","",TEXT($B3329,"0000"))</f>
        <v/>
      </c>
      <c r="W3329" s="19">
        <f>IF($I3329="","",IF(ISNUMBER($I3329),TEXT($I3329,"0"),$I3329))</f>
        <v/>
      </c>
    </row>
    <row r="3330">
      <c r="B3330" s="25" t="n"/>
      <c r="I3330" s="25" t="n"/>
      <c r="U3330" s="19">
        <f>IF(AND($V3330='設定'!$C$4,COUNTIF('商品マスタ'!$B$6:$B$1005,$W3330)=0),N(U3329)+1,N(U3329))</f>
        <v/>
      </c>
      <c r="V3330" s="19">
        <f>IF($B3330="","",TEXT($B3330,"0000"))</f>
        <v/>
      </c>
      <c r="W3330" s="19">
        <f>IF($I3330="","",IF(ISNUMBER($I3330),TEXT($I3330,"0"),$I3330))</f>
        <v/>
      </c>
    </row>
    <row r="3331">
      <c r="B3331" s="25" t="n"/>
      <c r="I3331" s="25" t="n"/>
      <c r="U3331" s="19">
        <f>IF(AND($V3331='設定'!$C$4,COUNTIF('商品マスタ'!$B$6:$B$1005,$W3331)=0),N(U3330)+1,N(U3330))</f>
        <v/>
      </c>
      <c r="V3331" s="19">
        <f>IF($B3331="","",TEXT($B3331,"0000"))</f>
        <v/>
      </c>
      <c r="W3331" s="19">
        <f>IF($I3331="","",IF(ISNUMBER($I3331),TEXT($I3331,"0"),$I3331))</f>
        <v/>
      </c>
    </row>
    <row r="3332">
      <c r="B3332" s="25" t="n"/>
      <c r="I3332" s="25" t="n"/>
      <c r="U3332" s="19">
        <f>IF(AND($V3332='設定'!$C$4,COUNTIF('商品マスタ'!$B$6:$B$1005,$W3332)=0),N(U3331)+1,N(U3331))</f>
        <v/>
      </c>
      <c r="V3332" s="19">
        <f>IF($B3332="","",TEXT($B3332,"0000"))</f>
        <v/>
      </c>
      <c r="W3332" s="19">
        <f>IF($I3332="","",IF(ISNUMBER($I3332),TEXT($I3332,"0"),$I3332))</f>
        <v/>
      </c>
    </row>
    <row r="3333">
      <c r="B3333" s="25" t="n"/>
      <c r="I3333" s="25" t="n"/>
      <c r="U3333" s="19">
        <f>IF(AND($V3333='設定'!$C$4,COUNTIF('商品マスタ'!$B$6:$B$1005,$W3333)=0),N(U3332)+1,N(U3332))</f>
        <v/>
      </c>
      <c r="V3333" s="19">
        <f>IF($B3333="","",TEXT($B3333,"0000"))</f>
        <v/>
      </c>
      <c r="W3333" s="19">
        <f>IF($I3333="","",IF(ISNUMBER($I3333),TEXT($I3333,"0"),$I3333))</f>
        <v/>
      </c>
    </row>
    <row r="3334">
      <c r="B3334" s="25" t="n"/>
      <c r="I3334" s="25" t="n"/>
      <c r="U3334" s="19">
        <f>IF(AND($V3334='設定'!$C$4,COUNTIF('商品マスタ'!$B$6:$B$1005,$W3334)=0),N(U3333)+1,N(U3333))</f>
        <v/>
      </c>
      <c r="V3334" s="19">
        <f>IF($B3334="","",TEXT($B3334,"0000"))</f>
        <v/>
      </c>
      <c r="W3334" s="19">
        <f>IF($I3334="","",IF(ISNUMBER($I3334),TEXT($I3334,"0"),$I3334))</f>
        <v/>
      </c>
    </row>
    <row r="3335">
      <c r="B3335" s="25" t="n"/>
      <c r="I3335" s="25" t="n"/>
      <c r="U3335" s="19">
        <f>IF(AND($V3335='設定'!$C$4,COUNTIF('商品マスタ'!$B$6:$B$1005,$W3335)=0),N(U3334)+1,N(U3334))</f>
        <v/>
      </c>
      <c r="V3335" s="19">
        <f>IF($B3335="","",TEXT($B3335,"0000"))</f>
        <v/>
      </c>
      <c r="W3335" s="19">
        <f>IF($I3335="","",IF(ISNUMBER($I3335),TEXT($I3335,"0"),$I3335))</f>
        <v/>
      </c>
    </row>
    <row r="3336">
      <c r="B3336" s="25" t="n"/>
      <c r="I3336" s="25" t="n"/>
      <c r="U3336" s="19">
        <f>IF(AND($V3336='設定'!$C$4,COUNTIF('商品マスタ'!$B$6:$B$1005,$W3336)=0),N(U3335)+1,N(U3335))</f>
        <v/>
      </c>
      <c r="V3336" s="19">
        <f>IF($B3336="","",TEXT($B3336,"0000"))</f>
        <v/>
      </c>
      <c r="W3336" s="19">
        <f>IF($I3336="","",IF(ISNUMBER($I3336),TEXT($I3336,"0"),$I3336))</f>
        <v/>
      </c>
    </row>
    <row r="3337">
      <c r="B3337" s="25" t="n"/>
      <c r="I3337" s="25" t="n"/>
      <c r="U3337" s="19">
        <f>IF(AND($V3337='設定'!$C$4,COUNTIF('商品マスタ'!$B$6:$B$1005,$W3337)=0),N(U3336)+1,N(U3336))</f>
        <v/>
      </c>
      <c r="V3337" s="19">
        <f>IF($B3337="","",TEXT($B3337,"0000"))</f>
        <v/>
      </c>
      <c r="W3337" s="19">
        <f>IF($I3337="","",IF(ISNUMBER($I3337),TEXT($I3337,"0"),$I3337))</f>
        <v/>
      </c>
    </row>
    <row r="3338">
      <c r="B3338" s="25" t="n"/>
      <c r="I3338" s="25" t="n"/>
      <c r="U3338" s="19">
        <f>IF(AND($V3338='設定'!$C$4,COUNTIF('商品マスタ'!$B$6:$B$1005,$W3338)=0),N(U3337)+1,N(U3337))</f>
        <v/>
      </c>
      <c r="V3338" s="19">
        <f>IF($B3338="","",TEXT($B3338,"0000"))</f>
        <v/>
      </c>
      <c r="W3338" s="19">
        <f>IF($I3338="","",IF(ISNUMBER($I3338),TEXT($I3338,"0"),$I3338))</f>
        <v/>
      </c>
    </row>
    <row r="3339">
      <c r="B3339" s="25" t="n"/>
      <c r="I3339" s="25" t="n"/>
      <c r="U3339" s="19">
        <f>IF(AND($V3339='設定'!$C$4,COUNTIF('商品マスタ'!$B$6:$B$1005,$W3339)=0),N(U3338)+1,N(U3338))</f>
        <v/>
      </c>
      <c r="V3339" s="19">
        <f>IF($B3339="","",TEXT($B3339,"0000"))</f>
        <v/>
      </c>
      <c r="W3339" s="19">
        <f>IF($I3339="","",IF(ISNUMBER($I3339),TEXT($I3339,"0"),$I3339))</f>
        <v/>
      </c>
    </row>
    <row r="3340">
      <c r="B3340" s="25" t="n"/>
      <c r="I3340" s="25" t="n"/>
      <c r="U3340" s="19">
        <f>IF(AND($V3340='設定'!$C$4,COUNTIF('商品マスタ'!$B$6:$B$1005,$W3340)=0),N(U3339)+1,N(U3339))</f>
        <v/>
      </c>
      <c r="V3340" s="19">
        <f>IF($B3340="","",TEXT($B3340,"0000"))</f>
        <v/>
      </c>
      <c r="W3340" s="19">
        <f>IF($I3340="","",IF(ISNUMBER($I3340),TEXT($I3340,"0"),$I3340))</f>
        <v/>
      </c>
    </row>
    <row r="3341">
      <c r="B3341" s="25" t="n"/>
      <c r="I3341" s="25" t="n"/>
      <c r="U3341" s="19">
        <f>IF(AND($V3341='設定'!$C$4,COUNTIF('商品マスタ'!$B$6:$B$1005,$W3341)=0),N(U3340)+1,N(U3340))</f>
        <v/>
      </c>
      <c r="V3341" s="19">
        <f>IF($B3341="","",TEXT($B3341,"0000"))</f>
        <v/>
      </c>
      <c r="W3341" s="19">
        <f>IF($I3341="","",IF(ISNUMBER($I3341),TEXT($I3341,"0"),$I3341))</f>
        <v/>
      </c>
    </row>
    <row r="3342">
      <c r="B3342" s="25" t="n"/>
      <c r="I3342" s="25" t="n"/>
      <c r="U3342" s="19">
        <f>IF(AND($V3342='設定'!$C$4,COUNTIF('商品マスタ'!$B$6:$B$1005,$W3342)=0),N(U3341)+1,N(U3341))</f>
        <v/>
      </c>
      <c r="V3342" s="19">
        <f>IF($B3342="","",TEXT($B3342,"0000"))</f>
        <v/>
      </c>
      <c r="W3342" s="19">
        <f>IF($I3342="","",IF(ISNUMBER($I3342),TEXT($I3342,"0"),$I3342))</f>
        <v/>
      </c>
    </row>
    <row r="3343">
      <c r="B3343" s="25" t="n"/>
      <c r="I3343" s="25" t="n"/>
      <c r="U3343" s="19">
        <f>IF(AND($V3343='設定'!$C$4,COUNTIF('商品マスタ'!$B$6:$B$1005,$W3343)=0),N(U3342)+1,N(U3342))</f>
        <v/>
      </c>
      <c r="V3343" s="19">
        <f>IF($B3343="","",TEXT($B3343,"0000"))</f>
        <v/>
      </c>
      <c r="W3343" s="19">
        <f>IF($I3343="","",IF(ISNUMBER($I3343),TEXT($I3343,"0"),$I3343))</f>
        <v/>
      </c>
    </row>
    <row r="3344">
      <c r="B3344" s="25" t="n"/>
      <c r="I3344" s="25" t="n"/>
      <c r="U3344" s="19">
        <f>IF(AND($V3344='設定'!$C$4,COUNTIF('商品マスタ'!$B$6:$B$1005,$W3344)=0),N(U3343)+1,N(U3343))</f>
        <v/>
      </c>
      <c r="V3344" s="19">
        <f>IF($B3344="","",TEXT($B3344,"0000"))</f>
        <v/>
      </c>
      <c r="W3344" s="19">
        <f>IF($I3344="","",IF(ISNUMBER($I3344),TEXT($I3344,"0"),$I3344))</f>
        <v/>
      </c>
    </row>
    <row r="3345">
      <c r="B3345" s="25" t="n"/>
      <c r="I3345" s="25" t="n"/>
      <c r="U3345" s="19">
        <f>IF(AND($V3345='設定'!$C$4,COUNTIF('商品マスタ'!$B$6:$B$1005,$W3345)=0),N(U3344)+1,N(U3344))</f>
        <v/>
      </c>
      <c r="V3345" s="19">
        <f>IF($B3345="","",TEXT($B3345,"0000"))</f>
        <v/>
      </c>
      <c r="W3345" s="19">
        <f>IF($I3345="","",IF(ISNUMBER($I3345),TEXT($I3345,"0"),$I3345))</f>
        <v/>
      </c>
    </row>
    <row r="3346">
      <c r="B3346" s="25" t="n"/>
      <c r="I3346" s="25" t="n"/>
      <c r="U3346" s="19">
        <f>IF(AND($V3346='設定'!$C$4,COUNTIF('商品マスタ'!$B$6:$B$1005,$W3346)=0),N(U3345)+1,N(U3345))</f>
        <v/>
      </c>
      <c r="V3346" s="19">
        <f>IF($B3346="","",TEXT($B3346,"0000"))</f>
        <v/>
      </c>
      <c r="W3346" s="19">
        <f>IF($I3346="","",IF(ISNUMBER($I3346),TEXT($I3346,"0"),$I3346))</f>
        <v/>
      </c>
    </row>
    <row r="3347">
      <c r="B3347" s="25" t="n"/>
      <c r="I3347" s="25" t="n"/>
      <c r="U3347" s="19">
        <f>IF(AND($V3347='設定'!$C$4,COUNTIF('商品マスタ'!$B$6:$B$1005,$W3347)=0),N(U3346)+1,N(U3346))</f>
        <v/>
      </c>
      <c r="V3347" s="19">
        <f>IF($B3347="","",TEXT($B3347,"0000"))</f>
        <v/>
      </c>
      <c r="W3347" s="19">
        <f>IF($I3347="","",IF(ISNUMBER($I3347),TEXT($I3347,"0"),$I3347))</f>
        <v/>
      </c>
    </row>
    <row r="3348">
      <c r="B3348" s="25" t="n"/>
      <c r="I3348" s="25" t="n"/>
      <c r="U3348" s="19">
        <f>IF(AND($V3348='設定'!$C$4,COUNTIF('商品マスタ'!$B$6:$B$1005,$W3348)=0),N(U3347)+1,N(U3347))</f>
        <v/>
      </c>
      <c r="V3348" s="19">
        <f>IF($B3348="","",TEXT($B3348,"0000"))</f>
        <v/>
      </c>
      <c r="W3348" s="19">
        <f>IF($I3348="","",IF(ISNUMBER($I3348),TEXT($I3348,"0"),$I3348))</f>
        <v/>
      </c>
    </row>
    <row r="3349">
      <c r="B3349" s="25" t="n"/>
      <c r="I3349" s="25" t="n"/>
      <c r="U3349" s="19">
        <f>IF(AND($V3349='設定'!$C$4,COUNTIF('商品マスタ'!$B$6:$B$1005,$W3349)=0),N(U3348)+1,N(U3348))</f>
        <v/>
      </c>
      <c r="V3349" s="19">
        <f>IF($B3349="","",TEXT($B3349,"0000"))</f>
        <v/>
      </c>
      <c r="W3349" s="19">
        <f>IF($I3349="","",IF(ISNUMBER($I3349),TEXT($I3349,"0"),$I3349))</f>
        <v/>
      </c>
    </row>
    <row r="3350">
      <c r="B3350" s="25" t="n"/>
      <c r="I3350" s="25" t="n"/>
      <c r="U3350" s="19">
        <f>IF(AND($V3350='設定'!$C$4,COUNTIF('商品マスタ'!$B$6:$B$1005,$W3350)=0),N(U3349)+1,N(U3349))</f>
        <v/>
      </c>
      <c r="V3350" s="19">
        <f>IF($B3350="","",TEXT($B3350,"0000"))</f>
        <v/>
      </c>
      <c r="W3350" s="19">
        <f>IF($I3350="","",IF(ISNUMBER($I3350),TEXT($I3350,"0"),$I3350))</f>
        <v/>
      </c>
    </row>
    <row r="3351">
      <c r="B3351" s="25" t="n"/>
      <c r="I3351" s="25" t="n"/>
      <c r="U3351" s="19">
        <f>IF(AND($V3351='設定'!$C$4,COUNTIF('商品マスタ'!$B$6:$B$1005,$W3351)=0),N(U3350)+1,N(U3350))</f>
        <v/>
      </c>
      <c r="V3351" s="19">
        <f>IF($B3351="","",TEXT($B3351,"0000"))</f>
        <v/>
      </c>
      <c r="W3351" s="19">
        <f>IF($I3351="","",IF(ISNUMBER($I3351),TEXT($I3351,"0"),$I3351))</f>
        <v/>
      </c>
    </row>
    <row r="3352">
      <c r="B3352" s="25" t="n"/>
      <c r="I3352" s="25" t="n"/>
      <c r="U3352" s="19">
        <f>IF(AND($V3352='設定'!$C$4,COUNTIF('商品マスタ'!$B$6:$B$1005,$W3352)=0),N(U3351)+1,N(U3351))</f>
        <v/>
      </c>
      <c r="V3352" s="19">
        <f>IF($B3352="","",TEXT($B3352,"0000"))</f>
        <v/>
      </c>
      <c r="W3352" s="19">
        <f>IF($I3352="","",IF(ISNUMBER($I3352),TEXT($I3352,"0"),$I3352))</f>
        <v/>
      </c>
    </row>
    <row r="3353">
      <c r="B3353" s="25" t="n"/>
      <c r="I3353" s="25" t="n"/>
      <c r="U3353" s="19">
        <f>IF(AND($V3353='設定'!$C$4,COUNTIF('商品マスタ'!$B$6:$B$1005,$W3353)=0),N(U3352)+1,N(U3352))</f>
        <v/>
      </c>
      <c r="V3353" s="19">
        <f>IF($B3353="","",TEXT($B3353,"0000"))</f>
        <v/>
      </c>
      <c r="W3353" s="19">
        <f>IF($I3353="","",IF(ISNUMBER($I3353),TEXT($I3353,"0"),$I3353))</f>
        <v/>
      </c>
    </row>
    <row r="3354">
      <c r="B3354" s="25" t="n"/>
      <c r="I3354" s="25" t="n"/>
      <c r="U3354" s="19">
        <f>IF(AND($V3354='設定'!$C$4,COUNTIF('商品マスタ'!$B$6:$B$1005,$W3354)=0),N(U3353)+1,N(U3353))</f>
        <v/>
      </c>
      <c r="V3354" s="19">
        <f>IF($B3354="","",TEXT($B3354,"0000"))</f>
        <v/>
      </c>
      <c r="W3354" s="19">
        <f>IF($I3354="","",IF(ISNUMBER($I3354),TEXT($I3354,"0"),$I3354))</f>
        <v/>
      </c>
    </row>
    <row r="3355">
      <c r="B3355" s="25" t="n"/>
      <c r="I3355" s="25" t="n"/>
      <c r="U3355" s="19">
        <f>IF(AND($V3355='設定'!$C$4,COUNTIF('商品マスタ'!$B$6:$B$1005,$W3355)=0),N(U3354)+1,N(U3354))</f>
        <v/>
      </c>
      <c r="V3355" s="19">
        <f>IF($B3355="","",TEXT($B3355,"0000"))</f>
        <v/>
      </c>
      <c r="W3355" s="19">
        <f>IF($I3355="","",IF(ISNUMBER($I3355),TEXT($I3355,"0"),$I3355))</f>
        <v/>
      </c>
    </row>
    <row r="3356">
      <c r="B3356" s="25" t="n"/>
      <c r="I3356" s="25" t="n"/>
      <c r="U3356" s="19">
        <f>IF(AND($V3356='設定'!$C$4,COUNTIF('商品マスタ'!$B$6:$B$1005,$W3356)=0),N(U3355)+1,N(U3355))</f>
        <v/>
      </c>
      <c r="V3356" s="19">
        <f>IF($B3356="","",TEXT($B3356,"0000"))</f>
        <v/>
      </c>
      <c r="W3356" s="19">
        <f>IF($I3356="","",IF(ISNUMBER($I3356),TEXT($I3356,"0"),$I3356))</f>
        <v/>
      </c>
    </row>
    <row r="3357">
      <c r="B3357" s="25" t="n"/>
      <c r="I3357" s="25" t="n"/>
      <c r="U3357" s="19">
        <f>IF(AND($V3357='設定'!$C$4,COUNTIF('商品マスタ'!$B$6:$B$1005,$W3357)=0),N(U3356)+1,N(U3356))</f>
        <v/>
      </c>
      <c r="V3357" s="19">
        <f>IF($B3357="","",TEXT($B3357,"0000"))</f>
        <v/>
      </c>
      <c r="W3357" s="19">
        <f>IF($I3357="","",IF(ISNUMBER($I3357),TEXT($I3357,"0"),$I3357))</f>
        <v/>
      </c>
    </row>
    <row r="3358">
      <c r="B3358" s="25" t="n"/>
      <c r="I3358" s="25" t="n"/>
      <c r="U3358" s="19">
        <f>IF(AND($V3358='設定'!$C$4,COUNTIF('商品マスタ'!$B$6:$B$1005,$W3358)=0),N(U3357)+1,N(U3357))</f>
        <v/>
      </c>
      <c r="V3358" s="19">
        <f>IF($B3358="","",TEXT($B3358,"0000"))</f>
        <v/>
      </c>
      <c r="W3358" s="19">
        <f>IF($I3358="","",IF(ISNUMBER($I3358),TEXT($I3358,"0"),$I3358))</f>
        <v/>
      </c>
    </row>
    <row r="3359">
      <c r="B3359" s="25" t="n"/>
      <c r="I3359" s="25" t="n"/>
      <c r="U3359" s="19">
        <f>IF(AND($V3359='設定'!$C$4,COUNTIF('商品マスタ'!$B$6:$B$1005,$W3359)=0),N(U3358)+1,N(U3358))</f>
        <v/>
      </c>
      <c r="V3359" s="19">
        <f>IF($B3359="","",TEXT($B3359,"0000"))</f>
        <v/>
      </c>
      <c r="W3359" s="19">
        <f>IF($I3359="","",IF(ISNUMBER($I3359),TEXT($I3359,"0"),$I3359))</f>
        <v/>
      </c>
    </row>
    <row r="3360">
      <c r="B3360" s="25" t="n"/>
      <c r="I3360" s="25" t="n"/>
      <c r="U3360" s="19">
        <f>IF(AND($V3360='設定'!$C$4,COUNTIF('商品マスタ'!$B$6:$B$1005,$W3360)=0),N(U3359)+1,N(U3359))</f>
        <v/>
      </c>
      <c r="V3360" s="19">
        <f>IF($B3360="","",TEXT($B3360,"0000"))</f>
        <v/>
      </c>
      <c r="W3360" s="19">
        <f>IF($I3360="","",IF(ISNUMBER($I3360),TEXT($I3360,"0"),$I3360))</f>
        <v/>
      </c>
    </row>
    <row r="3361">
      <c r="B3361" s="25" t="n"/>
      <c r="I3361" s="25" t="n"/>
      <c r="U3361" s="19">
        <f>IF(AND($V3361='設定'!$C$4,COUNTIF('商品マスタ'!$B$6:$B$1005,$W3361)=0),N(U3360)+1,N(U3360))</f>
        <v/>
      </c>
      <c r="V3361" s="19">
        <f>IF($B3361="","",TEXT($B3361,"0000"))</f>
        <v/>
      </c>
      <c r="W3361" s="19">
        <f>IF($I3361="","",IF(ISNUMBER($I3361),TEXT($I3361,"0"),$I3361))</f>
        <v/>
      </c>
    </row>
    <row r="3362">
      <c r="B3362" s="25" t="n"/>
      <c r="I3362" s="25" t="n"/>
      <c r="U3362" s="19">
        <f>IF(AND($V3362='設定'!$C$4,COUNTIF('商品マスタ'!$B$6:$B$1005,$W3362)=0),N(U3361)+1,N(U3361))</f>
        <v/>
      </c>
      <c r="V3362" s="19">
        <f>IF($B3362="","",TEXT($B3362,"0000"))</f>
        <v/>
      </c>
      <c r="W3362" s="19">
        <f>IF($I3362="","",IF(ISNUMBER($I3362),TEXT($I3362,"0"),$I3362))</f>
        <v/>
      </c>
    </row>
    <row r="3363">
      <c r="B3363" s="25" t="n"/>
      <c r="I3363" s="25" t="n"/>
      <c r="U3363" s="19">
        <f>IF(AND($V3363='設定'!$C$4,COUNTIF('商品マスタ'!$B$6:$B$1005,$W3363)=0),N(U3362)+1,N(U3362))</f>
        <v/>
      </c>
      <c r="V3363" s="19">
        <f>IF($B3363="","",TEXT($B3363,"0000"))</f>
        <v/>
      </c>
      <c r="W3363" s="19">
        <f>IF($I3363="","",IF(ISNUMBER($I3363),TEXT($I3363,"0"),$I3363))</f>
        <v/>
      </c>
    </row>
    <row r="3364">
      <c r="B3364" s="25" t="n"/>
      <c r="I3364" s="25" t="n"/>
      <c r="U3364" s="19">
        <f>IF(AND($V3364='設定'!$C$4,COUNTIF('商品マスタ'!$B$6:$B$1005,$W3364)=0),N(U3363)+1,N(U3363))</f>
        <v/>
      </c>
      <c r="V3364" s="19">
        <f>IF($B3364="","",TEXT($B3364,"0000"))</f>
        <v/>
      </c>
      <c r="W3364" s="19">
        <f>IF($I3364="","",IF(ISNUMBER($I3364),TEXT($I3364,"0"),$I3364))</f>
        <v/>
      </c>
    </row>
    <row r="3365">
      <c r="B3365" s="25" t="n"/>
      <c r="I3365" s="25" t="n"/>
      <c r="U3365" s="19">
        <f>IF(AND($V3365='設定'!$C$4,COUNTIF('商品マスタ'!$B$6:$B$1005,$W3365)=0),N(U3364)+1,N(U3364))</f>
        <v/>
      </c>
      <c r="V3365" s="19">
        <f>IF($B3365="","",TEXT($B3365,"0000"))</f>
        <v/>
      </c>
      <c r="W3365" s="19">
        <f>IF($I3365="","",IF(ISNUMBER($I3365),TEXT($I3365,"0"),$I3365))</f>
        <v/>
      </c>
    </row>
    <row r="3366">
      <c r="B3366" s="25" t="n"/>
      <c r="I3366" s="25" t="n"/>
      <c r="U3366" s="19">
        <f>IF(AND($V3366='設定'!$C$4,COUNTIF('商品マスタ'!$B$6:$B$1005,$W3366)=0),N(U3365)+1,N(U3365))</f>
        <v/>
      </c>
      <c r="V3366" s="19">
        <f>IF($B3366="","",TEXT($B3366,"0000"))</f>
        <v/>
      </c>
      <c r="W3366" s="19">
        <f>IF($I3366="","",IF(ISNUMBER($I3366),TEXT($I3366,"0"),$I3366))</f>
        <v/>
      </c>
    </row>
    <row r="3367">
      <c r="B3367" s="25" t="n"/>
      <c r="I3367" s="25" t="n"/>
      <c r="U3367" s="19">
        <f>IF(AND($V3367='設定'!$C$4,COUNTIF('商品マスタ'!$B$6:$B$1005,$W3367)=0),N(U3366)+1,N(U3366))</f>
        <v/>
      </c>
      <c r="V3367" s="19">
        <f>IF($B3367="","",TEXT($B3367,"0000"))</f>
        <v/>
      </c>
      <c r="W3367" s="19">
        <f>IF($I3367="","",IF(ISNUMBER($I3367),TEXT($I3367,"0"),$I3367))</f>
        <v/>
      </c>
    </row>
    <row r="3368">
      <c r="B3368" s="25" t="n"/>
      <c r="I3368" s="25" t="n"/>
      <c r="U3368" s="19">
        <f>IF(AND($V3368='設定'!$C$4,COUNTIF('商品マスタ'!$B$6:$B$1005,$W3368)=0),N(U3367)+1,N(U3367))</f>
        <v/>
      </c>
      <c r="V3368" s="19">
        <f>IF($B3368="","",TEXT($B3368,"0000"))</f>
        <v/>
      </c>
      <c r="W3368" s="19">
        <f>IF($I3368="","",IF(ISNUMBER($I3368),TEXT($I3368,"0"),$I3368))</f>
        <v/>
      </c>
    </row>
    <row r="3369">
      <c r="B3369" s="25" t="n"/>
      <c r="I3369" s="25" t="n"/>
      <c r="U3369" s="19">
        <f>IF(AND($V3369='設定'!$C$4,COUNTIF('商品マスタ'!$B$6:$B$1005,$W3369)=0),N(U3368)+1,N(U3368))</f>
        <v/>
      </c>
      <c r="V3369" s="19">
        <f>IF($B3369="","",TEXT($B3369,"0000"))</f>
        <v/>
      </c>
      <c r="W3369" s="19">
        <f>IF($I3369="","",IF(ISNUMBER($I3369),TEXT($I3369,"0"),$I3369))</f>
        <v/>
      </c>
    </row>
    <row r="3370">
      <c r="B3370" s="25" t="n"/>
      <c r="I3370" s="25" t="n"/>
      <c r="U3370" s="19">
        <f>IF(AND($V3370='設定'!$C$4,COUNTIF('商品マスタ'!$B$6:$B$1005,$W3370)=0),N(U3369)+1,N(U3369))</f>
        <v/>
      </c>
      <c r="V3370" s="19">
        <f>IF($B3370="","",TEXT($B3370,"0000"))</f>
        <v/>
      </c>
      <c r="W3370" s="19">
        <f>IF($I3370="","",IF(ISNUMBER($I3370),TEXT($I3370,"0"),$I3370))</f>
        <v/>
      </c>
    </row>
    <row r="3371">
      <c r="B3371" s="25" t="n"/>
      <c r="I3371" s="25" t="n"/>
      <c r="U3371" s="19">
        <f>IF(AND($V3371='設定'!$C$4,COUNTIF('商品マスタ'!$B$6:$B$1005,$W3371)=0),N(U3370)+1,N(U3370))</f>
        <v/>
      </c>
      <c r="V3371" s="19">
        <f>IF($B3371="","",TEXT($B3371,"0000"))</f>
        <v/>
      </c>
      <c r="W3371" s="19">
        <f>IF($I3371="","",IF(ISNUMBER($I3371),TEXT($I3371,"0"),$I3371))</f>
        <v/>
      </c>
    </row>
    <row r="3372">
      <c r="B3372" s="25" t="n"/>
      <c r="I3372" s="25" t="n"/>
      <c r="U3372" s="19">
        <f>IF(AND($V3372='設定'!$C$4,COUNTIF('商品マスタ'!$B$6:$B$1005,$W3372)=0),N(U3371)+1,N(U3371))</f>
        <v/>
      </c>
      <c r="V3372" s="19">
        <f>IF($B3372="","",TEXT($B3372,"0000"))</f>
        <v/>
      </c>
      <c r="W3372" s="19">
        <f>IF($I3372="","",IF(ISNUMBER($I3372),TEXT($I3372,"0"),$I3372))</f>
        <v/>
      </c>
    </row>
    <row r="3373">
      <c r="B3373" s="25" t="n"/>
      <c r="I3373" s="25" t="n"/>
      <c r="U3373" s="19">
        <f>IF(AND($V3373='設定'!$C$4,COUNTIF('商品マスタ'!$B$6:$B$1005,$W3373)=0),N(U3372)+1,N(U3372))</f>
        <v/>
      </c>
      <c r="V3373" s="19">
        <f>IF($B3373="","",TEXT($B3373,"0000"))</f>
        <v/>
      </c>
      <c r="W3373" s="19">
        <f>IF($I3373="","",IF(ISNUMBER($I3373),TEXT($I3373,"0"),$I3373))</f>
        <v/>
      </c>
    </row>
    <row r="3374">
      <c r="B3374" s="25" t="n"/>
      <c r="I3374" s="25" t="n"/>
      <c r="U3374" s="19">
        <f>IF(AND($V3374='設定'!$C$4,COUNTIF('商品マスタ'!$B$6:$B$1005,$W3374)=0),N(U3373)+1,N(U3373))</f>
        <v/>
      </c>
      <c r="V3374" s="19">
        <f>IF($B3374="","",TEXT($B3374,"0000"))</f>
        <v/>
      </c>
      <c r="W3374" s="19">
        <f>IF($I3374="","",IF(ISNUMBER($I3374),TEXT($I3374,"0"),$I3374))</f>
        <v/>
      </c>
    </row>
    <row r="3375">
      <c r="B3375" s="25" t="n"/>
      <c r="I3375" s="25" t="n"/>
      <c r="U3375" s="19">
        <f>IF(AND($V3375='設定'!$C$4,COUNTIF('商品マスタ'!$B$6:$B$1005,$W3375)=0),N(U3374)+1,N(U3374))</f>
        <v/>
      </c>
      <c r="V3375" s="19">
        <f>IF($B3375="","",TEXT($B3375,"0000"))</f>
        <v/>
      </c>
      <c r="W3375" s="19">
        <f>IF($I3375="","",IF(ISNUMBER($I3375),TEXT($I3375,"0"),$I3375))</f>
        <v/>
      </c>
    </row>
    <row r="3376">
      <c r="B3376" s="25" t="n"/>
      <c r="I3376" s="25" t="n"/>
      <c r="U3376" s="19">
        <f>IF(AND($V3376='設定'!$C$4,COUNTIF('商品マスタ'!$B$6:$B$1005,$W3376)=0),N(U3375)+1,N(U3375))</f>
        <v/>
      </c>
      <c r="V3376" s="19">
        <f>IF($B3376="","",TEXT($B3376,"0000"))</f>
        <v/>
      </c>
      <c r="W3376" s="19">
        <f>IF($I3376="","",IF(ISNUMBER($I3376),TEXT($I3376,"0"),$I3376))</f>
        <v/>
      </c>
    </row>
    <row r="3377">
      <c r="B3377" s="25" t="n"/>
      <c r="I3377" s="25" t="n"/>
      <c r="U3377" s="19">
        <f>IF(AND($V3377='設定'!$C$4,COUNTIF('商品マスタ'!$B$6:$B$1005,$W3377)=0),N(U3376)+1,N(U3376))</f>
        <v/>
      </c>
      <c r="V3377" s="19">
        <f>IF($B3377="","",TEXT($B3377,"0000"))</f>
        <v/>
      </c>
      <c r="W3377" s="19">
        <f>IF($I3377="","",IF(ISNUMBER($I3377),TEXT($I3377,"0"),$I3377))</f>
        <v/>
      </c>
    </row>
    <row r="3378">
      <c r="B3378" s="25" t="n"/>
      <c r="I3378" s="25" t="n"/>
      <c r="U3378" s="19">
        <f>IF(AND($V3378='設定'!$C$4,COUNTIF('商品マスタ'!$B$6:$B$1005,$W3378)=0),N(U3377)+1,N(U3377))</f>
        <v/>
      </c>
      <c r="V3378" s="19">
        <f>IF($B3378="","",TEXT($B3378,"0000"))</f>
        <v/>
      </c>
      <c r="W3378" s="19">
        <f>IF($I3378="","",IF(ISNUMBER($I3378),TEXT($I3378,"0"),$I3378))</f>
        <v/>
      </c>
    </row>
    <row r="3379">
      <c r="B3379" s="25" t="n"/>
      <c r="I3379" s="25" t="n"/>
      <c r="U3379" s="19">
        <f>IF(AND($V3379='設定'!$C$4,COUNTIF('商品マスタ'!$B$6:$B$1005,$W3379)=0),N(U3378)+1,N(U3378))</f>
        <v/>
      </c>
      <c r="V3379" s="19">
        <f>IF($B3379="","",TEXT($B3379,"0000"))</f>
        <v/>
      </c>
      <c r="W3379" s="19">
        <f>IF($I3379="","",IF(ISNUMBER($I3379),TEXT($I3379,"0"),$I3379))</f>
        <v/>
      </c>
    </row>
    <row r="3380">
      <c r="B3380" s="25" t="n"/>
      <c r="I3380" s="25" t="n"/>
      <c r="U3380" s="19">
        <f>IF(AND($V3380='設定'!$C$4,COUNTIF('商品マスタ'!$B$6:$B$1005,$W3380)=0),N(U3379)+1,N(U3379))</f>
        <v/>
      </c>
      <c r="V3380" s="19">
        <f>IF($B3380="","",TEXT($B3380,"0000"))</f>
        <v/>
      </c>
      <c r="W3380" s="19">
        <f>IF($I3380="","",IF(ISNUMBER($I3380),TEXT($I3380,"0"),$I3380))</f>
        <v/>
      </c>
    </row>
    <row r="3381">
      <c r="B3381" s="25" t="n"/>
      <c r="I3381" s="25" t="n"/>
      <c r="U3381" s="19">
        <f>IF(AND($V3381='設定'!$C$4,COUNTIF('商品マスタ'!$B$6:$B$1005,$W3381)=0),N(U3380)+1,N(U3380))</f>
        <v/>
      </c>
      <c r="V3381" s="19">
        <f>IF($B3381="","",TEXT($B3381,"0000"))</f>
        <v/>
      </c>
      <c r="W3381" s="19">
        <f>IF($I3381="","",IF(ISNUMBER($I3381),TEXT($I3381,"0"),$I3381))</f>
        <v/>
      </c>
    </row>
    <row r="3382">
      <c r="B3382" s="25" t="n"/>
      <c r="I3382" s="25" t="n"/>
      <c r="U3382" s="19">
        <f>IF(AND($V3382='設定'!$C$4,COUNTIF('商品マスタ'!$B$6:$B$1005,$W3382)=0),N(U3381)+1,N(U3381))</f>
        <v/>
      </c>
      <c r="V3382" s="19">
        <f>IF($B3382="","",TEXT($B3382,"0000"))</f>
        <v/>
      </c>
      <c r="W3382" s="19">
        <f>IF($I3382="","",IF(ISNUMBER($I3382),TEXT($I3382,"0"),$I3382))</f>
        <v/>
      </c>
    </row>
    <row r="3383">
      <c r="B3383" s="25" t="n"/>
      <c r="I3383" s="25" t="n"/>
      <c r="U3383" s="19">
        <f>IF(AND($V3383='設定'!$C$4,COUNTIF('商品マスタ'!$B$6:$B$1005,$W3383)=0),N(U3382)+1,N(U3382))</f>
        <v/>
      </c>
      <c r="V3383" s="19">
        <f>IF($B3383="","",TEXT($B3383,"0000"))</f>
        <v/>
      </c>
      <c r="W3383" s="19">
        <f>IF($I3383="","",IF(ISNUMBER($I3383),TEXT($I3383,"0"),$I3383))</f>
        <v/>
      </c>
    </row>
    <row r="3384">
      <c r="B3384" s="25" t="n"/>
      <c r="I3384" s="25" t="n"/>
      <c r="U3384" s="19">
        <f>IF(AND($V3384='設定'!$C$4,COUNTIF('商品マスタ'!$B$6:$B$1005,$W3384)=0),N(U3383)+1,N(U3383))</f>
        <v/>
      </c>
      <c r="V3384" s="19">
        <f>IF($B3384="","",TEXT($B3384,"0000"))</f>
        <v/>
      </c>
      <c r="W3384" s="19">
        <f>IF($I3384="","",IF(ISNUMBER($I3384),TEXT($I3384,"0"),$I3384))</f>
        <v/>
      </c>
    </row>
    <row r="3385">
      <c r="B3385" s="25" t="n"/>
      <c r="I3385" s="25" t="n"/>
      <c r="U3385" s="19">
        <f>IF(AND($V3385='設定'!$C$4,COUNTIF('商品マスタ'!$B$6:$B$1005,$W3385)=0),N(U3384)+1,N(U3384))</f>
        <v/>
      </c>
      <c r="V3385" s="19">
        <f>IF($B3385="","",TEXT($B3385,"0000"))</f>
        <v/>
      </c>
      <c r="W3385" s="19">
        <f>IF($I3385="","",IF(ISNUMBER($I3385),TEXT($I3385,"0"),$I3385))</f>
        <v/>
      </c>
    </row>
    <row r="3386">
      <c r="B3386" s="25" t="n"/>
      <c r="I3386" s="25" t="n"/>
      <c r="U3386" s="19">
        <f>IF(AND($V3386='設定'!$C$4,COUNTIF('商品マスタ'!$B$6:$B$1005,$W3386)=0),N(U3385)+1,N(U3385))</f>
        <v/>
      </c>
      <c r="V3386" s="19">
        <f>IF($B3386="","",TEXT($B3386,"0000"))</f>
        <v/>
      </c>
      <c r="W3386" s="19">
        <f>IF($I3386="","",IF(ISNUMBER($I3386),TEXT($I3386,"0"),$I3386))</f>
        <v/>
      </c>
    </row>
    <row r="3387">
      <c r="B3387" s="25" t="n"/>
      <c r="I3387" s="25" t="n"/>
      <c r="U3387" s="19">
        <f>IF(AND($V3387='設定'!$C$4,COUNTIF('商品マスタ'!$B$6:$B$1005,$W3387)=0),N(U3386)+1,N(U3386))</f>
        <v/>
      </c>
      <c r="V3387" s="19">
        <f>IF($B3387="","",TEXT($B3387,"0000"))</f>
        <v/>
      </c>
      <c r="W3387" s="19">
        <f>IF($I3387="","",IF(ISNUMBER($I3387),TEXT($I3387,"0"),$I3387))</f>
        <v/>
      </c>
    </row>
    <row r="3388">
      <c r="B3388" s="25" t="n"/>
      <c r="I3388" s="25" t="n"/>
      <c r="U3388" s="19">
        <f>IF(AND($V3388='設定'!$C$4,COUNTIF('商品マスタ'!$B$6:$B$1005,$W3388)=0),N(U3387)+1,N(U3387))</f>
        <v/>
      </c>
      <c r="V3388" s="19">
        <f>IF($B3388="","",TEXT($B3388,"0000"))</f>
        <v/>
      </c>
      <c r="W3388" s="19">
        <f>IF($I3388="","",IF(ISNUMBER($I3388),TEXT($I3388,"0"),$I3388))</f>
        <v/>
      </c>
    </row>
    <row r="3389">
      <c r="B3389" s="25" t="n"/>
      <c r="I3389" s="25" t="n"/>
      <c r="U3389" s="19">
        <f>IF(AND($V3389='設定'!$C$4,COUNTIF('商品マスタ'!$B$6:$B$1005,$W3389)=0),N(U3388)+1,N(U3388))</f>
        <v/>
      </c>
      <c r="V3389" s="19">
        <f>IF($B3389="","",TEXT($B3389,"0000"))</f>
        <v/>
      </c>
      <c r="W3389" s="19">
        <f>IF($I3389="","",IF(ISNUMBER($I3389),TEXT($I3389,"0"),$I3389))</f>
        <v/>
      </c>
    </row>
    <row r="3390">
      <c r="B3390" s="25" t="n"/>
      <c r="I3390" s="25" t="n"/>
      <c r="U3390" s="19">
        <f>IF(AND($V3390='設定'!$C$4,COUNTIF('商品マスタ'!$B$6:$B$1005,$W3390)=0),N(U3389)+1,N(U3389))</f>
        <v/>
      </c>
      <c r="V3390" s="19">
        <f>IF($B3390="","",TEXT($B3390,"0000"))</f>
        <v/>
      </c>
      <c r="W3390" s="19">
        <f>IF($I3390="","",IF(ISNUMBER($I3390),TEXT($I3390,"0"),$I3390))</f>
        <v/>
      </c>
    </row>
    <row r="3391">
      <c r="B3391" s="25" t="n"/>
      <c r="I3391" s="25" t="n"/>
      <c r="U3391" s="19">
        <f>IF(AND($V3391='設定'!$C$4,COUNTIF('商品マスタ'!$B$6:$B$1005,$W3391)=0),N(U3390)+1,N(U3390))</f>
        <v/>
      </c>
      <c r="V3391" s="19">
        <f>IF($B3391="","",TEXT($B3391,"0000"))</f>
        <v/>
      </c>
      <c r="W3391" s="19">
        <f>IF($I3391="","",IF(ISNUMBER($I3391),TEXT($I3391,"0"),$I3391))</f>
        <v/>
      </c>
    </row>
    <row r="3392">
      <c r="B3392" s="25" t="n"/>
      <c r="I3392" s="25" t="n"/>
      <c r="U3392" s="19">
        <f>IF(AND($V3392='設定'!$C$4,COUNTIF('商品マスタ'!$B$6:$B$1005,$W3392)=0),N(U3391)+1,N(U3391))</f>
        <v/>
      </c>
      <c r="V3392" s="19">
        <f>IF($B3392="","",TEXT($B3392,"0000"))</f>
        <v/>
      </c>
      <c r="W3392" s="19">
        <f>IF($I3392="","",IF(ISNUMBER($I3392),TEXT($I3392,"0"),$I3392))</f>
        <v/>
      </c>
    </row>
    <row r="3393">
      <c r="B3393" s="25" t="n"/>
      <c r="I3393" s="25" t="n"/>
      <c r="U3393" s="19">
        <f>IF(AND($V3393='設定'!$C$4,COUNTIF('商品マスタ'!$B$6:$B$1005,$W3393)=0),N(U3392)+1,N(U3392))</f>
        <v/>
      </c>
      <c r="V3393" s="19">
        <f>IF($B3393="","",TEXT($B3393,"0000"))</f>
        <v/>
      </c>
      <c r="W3393" s="19">
        <f>IF($I3393="","",IF(ISNUMBER($I3393),TEXT($I3393,"0"),$I3393))</f>
        <v/>
      </c>
    </row>
    <row r="3394">
      <c r="B3394" s="25" t="n"/>
      <c r="I3394" s="25" t="n"/>
      <c r="U3394" s="19">
        <f>IF(AND($V3394='設定'!$C$4,COUNTIF('商品マスタ'!$B$6:$B$1005,$W3394)=0),N(U3393)+1,N(U3393))</f>
        <v/>
      </c>
      <c r="V3394" s="19">
        <f>IF($B3394="","",TEXT($B3394,"0000"))</f>
        <v/>
      </c>
      <c r="W3394" s="19">
        <f>IF($I3394="","",IF(ISNUMBER($I3394),TEXT($I3394,"0"),$I3394))</f>
        <v/>
      </c>
    </row>
    <row r="3395">
      <c r="B3395" s="25" t="n"/>
      <c r="I3395" s="25" t="n"/>
      <c r="U3395" s="19">
        <f>IF(AND($V3395='設定'!$C$4,COUNTIF('商品マスタ'!$B$6:$B$1005,$W3395)=0),N(U3394)+1,N(U3394))</f>
        <v/>
      </c>
      <c r="V3395" s="19">
        <f>IF($B3395="","",TEXT($B3395,"0000"))</f>
        <v/>
      </c>
      <c r="W3395" s="19">
        <f>IF($I3395="","",IF(ISNUMBER($I3395),TEXT($I3395,"0"),$I3395))</f>
        <v/>
      </c>
    </row>
    <row r="3396">
      <c r="B3396" s="25" t="n"/>
      <c r="I3396" s="25" t="n"/>
      <c r="U3396" s="19">
        <f>IF(AND($V3396='設定'!$C$4,COUNTIF('商品マスタ'!$B$6:$B$1005,$W3396)=0),N(U3395)+1,N(U3395))</f>
        <v/>
      </c>
      <c r="V3396" s="19">
        <f>IF($B3396="","",TEXT($B3396,"0000"))</f>
        <v/>
      </c>
      <c r="W3396" s="19">
        <f>IF($I3396="","",IF(ISNUMBER($I3396),TEXT($I3396,"0"),$I3396))</f>
        <v/>
      </c>
    </row>
    <row r="3397">
      <c r="B3397" s="25" t="n"/>
      <c r="I3397" s="25" t="n"/>
      <c r="U3397" s="19">
        <f>IF(AND($V3397='設定'!$C$4,COUNTIF('商品マスタ'!$B$6:$B$1005,$W3397)=0),N(U3396)+1,N(U3396))</f>
        <v/>
      </c>
      <c r="V3397" s="19">
        <f>IF($B3397="","",TEXT($B3397,"0000"))</f>
        <v/>
      </c>
      <c r="W3397" s="19">
        <f>IF($I3397="","",IF(ISNUMBER($I3397),TEXT($I3397,"0"),$I3397))</f>
        <v/>
      </c>
    </row>
    <row r="3398">
      <c r="B3398" s="25" t="n"/>
      <c r="I3398" s="25" t="n"/>
      <c r="U3398" s="19">
        <f>IF(AND($V3398='設定'!$C$4,COUNTIF('商品マスタ'!$B$6:$B$1005,$W3398)=0),N(U3397)+1,N(U3397))</f>
        <v/>
      </c>
      <c r="V3398" s="19">
        <f>IF($B3398="","",TEXT($B3398,"0000"))</f>
        <v/>
      </c>
      <c r="W3398" s="19">
        <f>IF($I3398="","",IF(ISNUMBER($I3398),TEXT($I3398,"0"),$I3398))</f>
        <v/>
      </c>
    </row>
    <row r="3399">
      <c r="B3399" s="25" t="n"/>
      <c r="I3399" s="25" t="n"/>
      <c r="U3399" s="19">
        <f>IF(AND($V3399='設定'!$C$4,COUNTIF('商品マスタ'!$B$6:$B$1005,$W3399)=0),N(U3398)+1,N(U3398))</f>
        <v/>
      </c>
      <c r="V3399" s="19">
        <f>IF($B3399="","",TEXT($B3399,"0000"))</f>
        <v/>
      </c>
      <c r="W3399" s="19">
        <f>IF($I3399="","",IF(ISNUMBER($I3399),TEXT($I3399,"0"),$I3399))</f>
        <v/>
      </c>
    </row>
    <row r="3400">
      <c r="B3400" s="25" t="n"/>
      <c r="I3400" s="25" t="n"/>
      <c r="U3400" s="19">
        <f>IF(AND($V3400='設定'!$C$4,COUNTIF('商品マスタ'!$B$6:$B$1005,$W3400)=0),N(U3399)+1,N(U3399))</f>
        <v/>
      </c>
      <c r="V3400" s="19">
        <f>IF($B3400="","",TEXT($B3400,"0000"))</f>
        <v/>
      </c>
      <c r="W3400" s="19">
        <f>IF($I3400="","",IF(ISNUMBER($I3400),TEXT($I3400,"0"),$I3400))</f>
        <v/>
      </c>
    </row>
    <row r="3401">
      <c r="B3401" s="25" t="n"/>
      <c r="I3401" s="25" t="n"/>
      <c r="U3401" s="19">
        <f>IF(AND($V3401='設定'!$C$4,COUNTIF('商品マスタ'!$B$6:$B$1005,$W3401)=0),N(U3400)+1,N(U3400))</f>
        <v/>
      </c>
      <c r="V3401" s="19">
        <f>IF($B3401="","",TEXT($B3401,"0000"))</f>
        <v/>
      </c>
      <c r="W3401" s="19">
        <f>IF($I3401="","",IF(ISNUMBER($I3401),TEXT($I3401,"0"),$I3401))</f>
        <v/>
      </c>
    </row>
    <row r="3402">
      <c r="B3402" s="25" t="n"/>
      <c r="I3402" s="25" t="n"/>
      <c r="U3402" s="19">
        <f>IF(AND($V3402='設定'!$C$4,COUNTIF('商品マスタ'!$B$6:$B$1005,$W3402)=0),N(U3401)+1,N(U3401))</f>
        <v/>
      </c>
      <c r="V3402" s="19">
        <f>IF($B3402="","",TEXT($B3402,"0000"))</f>
        <v/>
      </c>
      <c r="W3402" s="19">
        <f>IF($I3402="","",IF(ISNUMBER($I3402),TEXT($I3402,"0"),$I3402))</f>
        <v/>
      </c>
    </row>
    <row r="3403">
      <c r="B3403" s="25" t="n"/>
      <c r="I3403" s="25" t="n"/>
      <c r="U3403" s="19">
        <f>IF(AND($V3403='設定'!$C$4,COUNTIF('商品マスタ'!$B$6:$B$1005,$W3403)=0),N(U3402)+1,N(U3402))</f>
        <v/>
      </c>
      <c r="V3403" s="19">
        <f>IF($B3403="","",TEXT($B3403,"0000"))</f>
        <v/>
      </c>
      <c r="W3403" s="19">
        <f>IF($I3403="","",IF(ISNUMBER($I3403),TEXT($I3403,"0"),$I3403))</f>
        <v/>
      </c>
    </row>
    <row r="3404">
      <c r="B3404" s="25" t="n"/>
      <c r="I3404" s="25" t="n"/>
      <c r="U3404" s="19">
        <f>IF(AND($V3404='設定'!$C$4,COUNTIF('商品マスタ'!$B$6:$B$1005,$W3404)=0),N(U3403)+1,N(U3403))</f>
        <v/>
      </c>
      <c r="V3404" s="19">
        <f>IF($B3404="","",TEXT($B3404,"0000"))</f>
        <v/>
      </c>
      <c r="W3404" s="19">
        <f>IF($I3404="","",IF(ISNUMBER($I3404),TEXT($I3404,"0"),$I3404))</f>
        <v/>
      </c>
    </row>
    <row r="3405">
      <c r="B3405" s="25" t="n"/>
      <c r="I3405" s="25" t="n"/>
      <c r="U3405" s="19">
        <f>IF(AND($V3405='設定'!$C$4,COUNTIF('商品マスタ'!$B$6:$B$1005,$W3405)=0),N(U3404)+1,N(U3404))</f>
        <v/>
      </c>
      <c r="V3405" s="19">
        <f>IF($B3405="","",TEXT($B3405,"0000"))</f>
        <v/>
      </c>
      <c r="W3405" s="19">
        <f>IF($I3405="","",IF(ISNUMBER($I3405),TEXT($I3405,"0"),$I3405))</f>
        <v/>
      </c>
    </row>
    <row r="3406">
      <c r="B3406" s="25" t="n"/>
      <c r="I3406" s="25" t="n"/>
      <c r="U3406" s="19">
        <f>IF(AND($V3406='設定'!$C$4,COUNTIF('商品マスタ'!$B$6:$B$1005,$W3406)=0),N(U3405)+1,N(U3405))</f>
        <v/>
      </c>
      <c r="V3406" s="19">
        <f>IF($B3406="","",TEXT($B3406,"0000"))</f>
        <v/>
      </c>
      <c r="W3406" s="19">
        <f>IF($I3406="","",IF(ISNUMBER($I3406),TEXT($I3406,"0"),$I3406))</f>
        <v/>
      </c>
    </row>
    <row r="3407">
      <c r="B3407" s="25" t="n"/>
      <c r="I3407" s="25" t="n"/>
      <c r="U3407" s="19">
        <f>IF(AND($V3407='設定'!$C$4,COUNTIF('商品マスタ'!$B$6:$B$1005,$W3407)=0),N(U3406)+1,N(U3406))</f>
        <v/>
      </c>
      <c r="V3407" s="19">
        <f>IF($B3407="","",TEXT($B3407,"0000"))</f>
        <v/>
      </c>
      <c r="W3407" s="19">
        <f>IF($I3407="","",IF(ISNUMBER($I3407),TEXT($I3407,"0"),$I3407))</f>
        <v/>
      </c>
    </row>
    <row r="3408">
      <c r="B3408" s="25" t="n"/>
      <c r="I3408" s="25" t="n"/>
      <c r="U3408" s="19">
        <f>IF(AND($V3408='設定'!$C$4,COUNTIF('商品マスタ'!$B$6:$B$1005,$W3408)=0),N(U3407)+1,N(U3407))</f>
        <v/>
      </c>
      <c r="V3408" s="19">
        <f>IF($B3408="","",TEXT($B3408,"0000"))</f>
        <v/>
      </c>
      <c r="W3408" s="19">
        <f>IF($I3408="","",IF(ISNUMBER($I3408),TEXT($I3408,"0"),$I3408))</f>
        <v/>
      </c>
    </row>
    <row r="3409">
      <c r="B3409" s="25" t="n"/>
      <c r="I3409" s="25" t="n"/>
      <c r="U3409" s="19">
        <f>IF(AND($V3409='設定'!$C$4,COUNTIF('商品マスタ'!$B$6:$B$1005,$W3409)=0),N(U3408)+1,N(U3408))</f>
        <v/>
      </c>
      <c r="V3409" s="19">
        <f>IF($B3409="","",TEXT($B3409,"0000"))</f>
        <v/>
      </c>
      <c r="W3409" s="19">
        <f>IF($I3409="","",IF(ISNUMBER($I3409),TEXT($I3409,"0"),$I3409))</f>
        <v/>
      </c>
    </row>
    <row r="3410">
      <c r="B3410" s="25" t="n"/>
      <c r="I3410" s="25" t="n"/>
      <c r="U3410" s="19">
        <f>IF(AND($V3410='設定'!$C$4,COUNTIF('商品マスタ'!$B$6:$B$1005,$W3410)=0),N(U3409)+1,N(U3409))</f>
        <v/>
      </c>
      <c r="V3410" s="19">
        <f>IF($B3410="","",TEXT($B3410,"0000"))</f>
        <v/>
      </c>
      <c r="W3410" s="19">
        <f>IF($I3410="","",IF(ISNUMBER($I3410),TEXT($I3410,"0"),$I3410))</f>
        <v/>
      </c>
    </row>
    <row r="3411">
      <c r="B3411" s="25" t="n"/>
      <c r="I3411" s="25" t="n"/>
      <c r="U3411" s="19">
        <f>IF(AND($V3411='設定'!$C$4,COUNTIF('商品マスタ'!$B$6:$B$1005,$W3411)=0),N(U3410)+1,N(U3410))</f>
        <v/>
      </c>
      <c r="V3411" s="19">
        <f>IF($B3411="","",TEXT($B3411,"0000"))</f>
        <v/>
      </c>
      <c r="W3411" s="19">
        <f>IF($I3411="","",IF(ISNUMBER($I3411),TEXT($I3411,"0"),$I3411))</f>
        <v/>
      </c>
    </row>
    <row r="3412">
      <c r="B3412" s="25" t="n"/>
      <c r="I3412" s="25" t="n"/>
      <c r="U3412" s="19">
        <f>IF(AND($V3412='設定'!$C$4,COUNTIF('商品マスタ'!$B$6:$B$1005,$W3412)=0),N(U3411)+1,N(U3411))</f>
        <v/>
      </c>
      <c r="V3412" s="19">
        <f>IF($B3412="","",TEXT($B3412,"0000"))</f>
        <v/>
      </c>
      <c r="W3412" s="19">
        <f>IF($I3412="","",IF(ISNUMBER($I3412),TEXT($I3412,"0"),$I3412))</f>
        <v/>
      </c>
    </row>
    <row r="3413">
      <c r="B3413" s="25" t="n"/>
      <c r="I3413" s="25" t="n"/>
      <c r="U3413" s="19">
        <f>IF(AND($V3413='設定'!$C$4,COUNTIF('商品マスタ'!$B$6:$B$1005,$W3413)=0),N(U3412)+1,N(U3412))</f>
        <v/>
      </c>
      <c r="V3413" s="19">
        <f>IF($B3413="","",TEXT($B3413,"0000"))</f>
        <v/>
      </c>
      <c r="W3413" s="19">
        <f>IF($I3413="","",IF(ISNUMBER($I3413),TEXT($I3413,"0"),$I3413))</f>
        <v/>
      </c>
    </row>
    <row r="3414">
      <c r="B3414" s="25" t="n"/>
      <c r="I3414" s="25" t="n"/>
      <c r="U3414" s="19">
        <f>IF(AND($V3414='設定'!$C$4,COUNTIF('商品マスタ'!$B$6:$B$1005,$W3414)=0),N(U3413)+1,N(U3413))</f>
        <v/>
      </c>
      <c r="V3414" s="19">
        <f>IF($B3414="","",TEXT($B3414,"0000"))</f>
        <v/>
      </c>
      <c r="W3414" s="19">
        <f>IF($I3414="","",IF(ISNUMBER($I3414),TEXT($I3414,"0"),$I3414))</f>
        <v/>
      </c>
    </row>
    <row r="3415">
      <c r="B3415" s="25" t="n"/>
      <c r="I3415" s="25" t="n"/>
      <c r="U3415" s="19">
        <f>IF(AND($V3415='設定'!$C$4,COUNTIF('商品マスタ'!$B$6:$B$1005,$W3415)=0),N(U3414)+1,N(U3414))</f>
        <v/>
      </c>
      <c r="V3415" s="19">
        <f>IF($B3415="","",TEXT($B3415,"0000"))</f>
        <v/>
      </c>
      <c r="W3415" s="19">
        <f>IF($I3415="","",IF(ISNUMBER($I3415),TEXT($I3415,"0"),$I3415))</f>
        <v/>
      </c>
    </row>
    <row r="3416">
      <c r="B3416" s="25" t="n"/>
      <c r="I3416" s="25" t="n"/>
      <c r="U3416" s="19">
        <f>IF(AND($V3416='設定'!$C$4,COUNTIF('商品マスタ'!$B$6:$B$1005,$W3416)=0),N(U3415)+1,N(U3415))</f>
        <v/>
      </c>
      <c r="V3416" s="19">
        <f>IF($B3416="","",TEXT($B3416,"0000"))</f>
        <v/>
      </c>
      <c r="W3416" s="19">
        <f>IF($I3416="","",IF(ISNUMBER($I3416),TEXT($I3416,"0"),$I3416))</f>
        <v/>
      </c>
    </row>
    <row r="3417">
      <c r="B3417" s="25" t="n"/>
      <c r="I3417" s="25" t="n"/>
      <c r="U3417" s="19">
        <f>IF(AND($V3417='設定'!$C$4,COUNTIF('商品マスタ'!$B$6:$B$1005,$W3417)=0),N(U3416)+1,N(U3416))</f>
        <v/>
      </c>
      <c r="V3417" s="19">
        <f>IF($B3417="","",TEXT($B3417,"0000"))</f>
        <v/>
      </c>
      <c r="W3417" s="19">
        <f>IF($I3417="","",IF(ISNUMBER($I3417),TEXT($I3417,"0"),$I3417))</f>
        <v/>
      </c>
    </row>
    <row r="3418">
      <c r="B3418" s="25" t="n"/>
      <c r="I3418" s="25" t="n"/>
      <c r="U3418" s="19">
        <f>IF(AND($V3418='設定'!$C$4,COUNTIF('商品マスタ'!$B$6:$B$1005,$W3418)=0),N(U3417)+1,N(U3417))</f>
        <v/>
      </c>
      <c r="V3418" s="19">
        <f>IF($B3418="","",TEXT($B3418,"0000"))</f>
        <v/>
      </c>
      <c r="W3418" s="19">
        <f>IF($I3418="","",IF(ISNUMBER($I3418),TEXT($I3418,"0"),$I3418))</f>
        <v/>
      </c>
    </row>
    <row r="3419">
      <c r="B3419" s="25" t="n"/>
      <c r="I3419" s="25" t="n"/>
      <c r="U3419" s="19">
        <f>IF(AND($V3419='設定'!$C$4,COUNTIF('商品マスタ'!$B$6:$B$1005,$W3419)=0),N(U3418)+1,N(U3418))</f>
        <v/>
      </c>
      <c r="V3419" s="19">
        <f>IF($B3419="","",TEXT($B3419,"0000"))</f>
        <v/>
      </c>
      <c r="W3419" s="19">
        <f>IF($I3419="","",IF(ISNUMBER($I3419),TEXT($I3419,"0"),$I3419))</f>
        <v/>
      </c>
    </row>
    <row r="3420">
      <c r="B3420" s="25" t="n"/>
      <c r="I3420" s="25" t="n"/>
      <c r="U3420" s="19">
        <f>IF(AND($V3420='設定'!$C$4,COUNTIF('商品マスタ'!$B$6:$B$1005,$W3420)=0),N(U3419)+1,N(U3419))</f>
        <v/>
      </c>
      <c r="V3420" s="19">
        <f>IF($B3420="","",TEXT($B3420,"0000"))</f>
        <v/>
      </c>
      <c r="W3420" s="19">
        <f>IF($I3420="","",IF(ISNUMBER($I3420),TEXT($I3420,"0"),$I3420))</f>
        <v/>
      </c>
    </row>
    <row r="3421">
      <c r="B3421" s="25" t="n"/>
      <c r="I3421" s="25" t="n"/>
      <c r="U3421" s="19">
        <f>IF(AND($V3421='設定'!$C$4,COUNTIF('商品マスタ'!$B$6:$B$1005,$W3421)=0),N(U3420)+1,N(U3420))</f>
        <v/>
      </c>
      <c r="V3421" s="19">
        <f>IF($B3421="","",TEXT($B3421,"0000"))</f>
        <v/>
      </c>
      <c r="W3421" s="19">
        <f>IF($I3421="","",IF(ISNUMBER($I3421),TEXT($I3421,"0"),$I3421))</f>
        <v/>
      </c>
    </row>
    <row r="3422">
      <c r="B3422" s="25" t="n"/>
      <c r="I3422" s="25" t="n"/>
      <c r="U3422" s="19">
        <f>IF(AND($V3422='設定'!$C$4,COUNTIF('商品マスタ'!$B$6:$B$1005,$W3422)=0),N(U3421)+1,N(U3421))</f>
        <v/>
      </c>
      <c r="V3422" s="19">
        <f>IF($B3422="","",TEXT($B3422,"0000"))</f>
        <v/>
      </c>
      <c r="W3422" s="19">
        <f>IF($I3422="","",IF(ISNUMBER($I3422),TEXT($I3422,"0"),$I3422))</f>
        <v/>
      </c>
    </row>
    <row r="3423">
      <c r="B3423" s="25" t="n"/>
      <c r="I3423" s="25" t="n"/>
      <c r="U3423" s="19">
        <f>IF(AND($V3423='設定'!$C$4,COUNTIF('商品マスタ'!$B$6:$B$1005,$W3423)=0),N(U3422)+1,N(U3422))</f>
        <v/>
      </c>
      <c r="V3423" s="19">
        <f>IF($B3423="","",TEXT($B3423,"0000"))</f>
        <v/>
      </c>
      <c r="W3423" s="19">
        <f>IF($I3423="","",IF(ISNUMBER($I3423),TEXT($I3423,"0"),$I3423))</f>
        <v/>
      </c>
    </row>
    <row r="3424">
      <c r="B3424" s="25" t="n"/>
      <c r="I3424" s="25" t="n"/>
      <c r="U3424" s="19">
        <f>IF(AND($V3424='設定'!$C$4,COUNTIF('商品マスタ'!$B$6:$B$1005,$W3424)=0),N(U3423)+1,N(U3423))</f>
        <v/>
      </c>
      <c r="V3424" s="19">
        <f>IF($B3424="","",TEXT($B3424,"0000"))</f>
        <v/>
      </c>
      <c r="W3424" s="19">
        <f>IF($I3424="","",IF(ISNUMBER($I3424),TEXT($I3424,"0"),$I3424))</f>
        <v/>
      </c>
    </row>
    <row r="3425">
      <c r="B3425" s="25" t="n"/>
      <c r="I3425" s="25" t="n"/>
      <c r="U3425" s="19">
        <f>IF(AND($V3425='設定'!$C$4,COUNTIF('商品マスタ'!$B$6:$B$1005,$W3425)=0),N(U3424)+1,N(U3424))</f>
        <v/>
      </c>
      <c r="V3425" s="19">
        <f>IF($B3425="","",TEXT($B3425,"0000"))</f>
        <v/>
      </c>
      <c r="W3425" s="19">
        <f>IF($I3425="","",IF(ISNUMBER($I3425),TEXT($I3425,"0"),$I3425))</f>
        <v/>
      </c>
    </row>
    <row r="3426">
      <c r="B3426" s="25" t="n"/>
      <c r="I3426" s="25" t="n"/>
      <c r="U3426" s="19">
        <f>IF(AND($V3426='設定'!$C$4,COUNTIF('商品マスタ'!$B$6:$B$1005,$W3426)=0),N(U3425)+1,N(U3425))</f>
        <v/>
      </c>
      <c r="V3426" s="19">
        <f>IF($B3426="","",TEXT($B3426,"0000"))</f>
        <v/>
      </c>
      <c r="W3426" s="19">
        <f>IF($I3426="","",IF(ISNUMBER($I3426),TEXT($I3426,"0"),$I3426))</f>
        <v/>
      </c>
    </row>
    <row r="3427">
      <c r="B3427" s="25" t="n"/>
      <c r="I3427" s="25" t="n"/>
      <c r="U3427" s="19">
        <f>IF(AND($V3427='設定'!$C$4,COUNTIF('商品マスタ'!$B$6:$B$1005,$W3427)=0),N(U3426)+1,N(U3426))</f>
        <v/>
      </c>
      <c r="V3427" s="19">
        <f>IF($B3427="","",TEXT($B3427,"0000"))</f>
        <v/>
      </c>
      <c r="W3427" s="19">
        <f>IF($I3427="","",IF(ISNUMBER($I3427),TEXT($I3427,"0"),$I3427))</f>
        <v/>
      </c>
    </row>
    <row r="3428">
      <c r="B3428" s="25" t="n"/>
      <c r="I3428" s="25" t="n"/>
      <c r="U3428" s="19">
        <f>IF(AND($V3428='設定'!$C$4,COUNTIF('商品マスタ'!$B$6:$B$1005,$W3428)=0),N(U3427)+1,N(U3427))</f>
        <v/>
      </c>
      <c r="V3428" s="19">
        <f>IF($B3428="","",TEXT($B3428,"0000"))</f>
        <v/>
      </c>
      <c r="W3428" s="19">
        <f>IF($I3428="","",IF(ISNUMBER($I3428),TEXT($I3428,"0"),$I3428))</f>
        <v/>
      </c>
    </row>
    <row r="3429">
      <c r="B3429" s="25" t="n"/>
      <c r="I3429" s="25" t="n"/>
      <c r="U3429" s="19">
        <f>IF(AND($V3429='設定'!$C$4,COUNTIF('商品マスタ'!$B$6:$B$1005,$W3429)=0),N(U3428)+1,N(U3428))</f>
        <v/>
      </c>
      <c r="V3429" s="19">
        <f>IF($B3429="","",TEXT($B3429,"0000"))</f>
        <v/>
      </c>
      <c r="W3429" s="19">
        <f>IF($I3429="","",IF(ISNUMBER($I3429),TEXT($I3429,"0"),$I3429))</f>
        <v/>
      </c>
    </row>
    <row r="3430">
      <c r="B3430" s="25" t="n"/>
      <c r="I3430" s="25" t="n"/>
      <c r="U3430" s="19">
        <f>IF(AND($V3430='設定'!$C$4,COUNTIF('商品マスタ'!$B$6:$B$1005,$W3430)=0),N(U3429)+1,N(U3429))</f>
        <v/>
      </c>
      <c r="V3430" s="19">
        <f>IF($B3430="","",TEXT($B3430,"0000"))</f>
        <v/>
      </c>
      <c r="W3430" s="19">
        <f>IF($I3430="","",IF(ISNUMBER($I3430),TEXT($I3430,"0"),$I3430))</f>
        <v/>
      </c>
    </row>
    <row r="3431">
      <c r="B3431" s="25" t="n"/>
      <c r="I3431" s="25" t="n"/>
      <c r="U3431" s="19">
        <f>IF(AND($V3431='設定'!$C$4,COUNTIF('商品マスタ'!$B$6:$B$1005,$W3431)=0),N(U3430)+1,N(U3430))</f>
        <v/>
      </c>
      <c r="V3431" s="19">
        <f>IF($B3431="","",TEXT($B3431,"0000"))</f>
        <v/>
      </c>
      <c r="W3431" s="19">
        <f>IF($I3431="","",IF(ISNUMBER($I3431),TEXT($I3431,"0"),$I3431))</f>
        <v/>
      </c>
    </row>
    <row r="3432">
      <c r="B3432" s="25" t="n"/>
      <c r="I3432" s="25" t="n"/>
      <c r="U3432" s="19">
        <f>IF(AND($V3432='設定'!$C$4,COUNTIF('商品マスタ'!$B$6:$B$1005,$W3432)=0),N(U3431)+1,N(U3431))</f>
        <v/>
      </c>
      <c r="V3432" s="19">
        <f>IF($B3432="","",TEXT($B3432,"0000"))</f>
        <v/>
      </c>
      <c r="W3432" s="19">
        <f>IF($I3432="","",IF(ISNUMBER($I3432),TEXT($I3432,"0"),$I3432))</f>
        <v/>
      </c>
    </row>
    <row r="3433">
      <c r="B3433" s="25" t="n"/>
      <c r="I3433" s="25" t="n"/>
      <c r="U3433" s="19">
        <f>IF(AND($V3433='設定'!$C$4,COUNTIF('商品マスタ'!$B$6:$B$1005,$W3433)=0),N(U3432)+1,N(U3432))</f>
        <v/>
      </c>
      <c r="V3433" s="19">
        <f>IF($B3433="","",TEXT($B3433,"0000"))</f>
        <v/>
      </c>
      <c r="W3433" s="19">
        <f>IF($I3433="","",IF(ISNUMBER($I3433),TEXT($I3433,"0"),$I3433))</f>
        <v/>
      </c>
    </row>
    <row r="3434">
      <c r="B3434" s="25" t="n"/>
      <c r="I3434" s="25" t="n"/>
      <c r="U3434" s="19">
        <f>IF(AND($V3434='設定'!$C$4,COUNTIF('商品マスタ'!$B$6:$B$1005,$W3434)=0),N(U3433)+1,N(U3433))</f>
        <v/>
      </c>
      <c r="V3434" s="19">
        <f>IF($B3434="","",TEXT($B3434,"0000"))</f>
        <v/>
      </c>
      <c r="W3434" s="19">
        <f>IF($I3434="","",IF(ISNUMBER($I3434),TEXT($I3434,"0"),$I3434))</f>
        <v/>
      </c>
    </row>
    <row r="3435">
      <c r="B3435" s="25" t="n"/>
      <c r="I3435" s="25" t="n"/>
      <c r="U3435" s="19">
        <f>IF(AND($V3435='設定'!$C$4,COUNTIF('商品マスタ'!$B$6:$B$1005,$W3435)=0),N(U3434)+1,N(U3434))</f>
        <v/>
      </c>
      <c r="V3435" s="19">
        <f>IF($B3435="","",TEXT($B3435,"0000"))</f>
        <v/>
      </c>
      <c r="W3435" s="19">
        <f>IF($I3435="","",IF(ISNUMBER($I3435),TEXT($I3435,"0"),$I3435))</f>
        <v/>
      </c>
    </row>
    <row r="3436">
      <c r="B3436" s="25" t="n"/>
      <c r="I3436" s="25" t="n"/>
      <c r="U3436" s="19">
        <f>IF(AND($V3436='設定'!$C$4,COUNTIF('商品マスタ'!$B$6:$B$1005,$W3436)=0),N(U3435)+1,N(U3435))</f>
        <v/>
      </c>
      <c r="V3436" s="19">
        <f>IF($B3436="","",TEXT($B3436,"0000"))</f>
        <v/>
      </c>
      <c r="W3436" s="19">
        <f>IF($I3436="","",IF(ISNUMBER($I3436),TEXT($I3436,"0"),$I3436))</f>
        <v/>
      </c>
    </row>
    <row r="3437">
      <c r="B3437" s="25" t="n"/>
      <c r="I3437" s="25" t="n"/>
      <c r="U3437" s="19">
        <f>IF(AND($V3437='設定'!$C$4,COUNTIF('商品マスタ'!$B$6:$B$1005,$W3437)=0),N(U3436)+1,N(U3436))</f>
        <v/>
      </c>
      <c r="V3437" s="19">
        <f>IF($B3437="","",TEXT($B3437,"0000"))</f>
        <v/>
      </c>
      <c r="W3437" s="19">
        <f>IF($I3437="","",IF(ISNUMBER($I3437),TEXT($I3437,"0"),$I3437))</f>
        <v/>
      </c>
    </row>
    <row r="3438">
      <c r="B3438" s="25" t="n"/>
      <c r="I3438" s="25" t="n"/>
      <c r="U3438" s="19">
        <f>IF(AND($V3438='設定'!$C$4,COUNTIF('商品マスタ'!$B$6:$B$1005,$W3438)=0),N(U3437)+1,N(U3437))</f>
        <v/>
      </c>
      <c r="V3438" s="19">
        <f>IF($B3438="","",TEXT($B3438,"0000"))</f>
        <v/>
      </c>
      <c r="W3438" s="19">
        <f>IF($I3438="","",IF(ISNUMBER($I3438),TEXT($I3438,"0"),$I3438))</f>
        <v/>
      </c>
    </row>
    <row r="3439">
      <c r="B3439" s="25" t="n"/>
      <c r="I3439" s="25" t="n"/>
      <c r="U3439" s="19">
        <f>IF(AND($V3439='設定'!$C$4,COUNTIF('商品マスタ'!$B$6:$B$1005,$W3439)=0),N(U3438)+1,N(U3438))</f>
        <v/>
      </c>
      <c r="V3439" s="19">
        <f>IF($B3439="","",TEXT($B3439,"0000"))</f>
        <v/>
      </c>
      <c r="W3439" s="19">
        <f>IF($I3439="","",IF(ISNUMBER($I3439),TEXT($I3439,"0"),$I3439))</f>
        <v/>
      </c>
    </row>
    <row r="3440">
      <c r="B3440" s="25" t="n"/>
      <c r="I3440" s="25" t="n"/>
      <c r="U3440" s="19">
        <f>IF(AND($V3440='設定'!$C$4,COUNTIF('商品マスタ'!$B$6:$B$1005,$W3440)=0),N(U3439)+1,N(U3439))</f>
        <v/>
      </c>
      <c r="V3440" s="19">
        <f>IF($B3440="","",TEXT($B3440,"0000"))</f>
        <v/>
      </c>
      <c r="W3440" s="19">
        <f>IF($I3440="","",IF(ISNUMBER($I3440),TEXT($I3440,"0"),$I3440))</f>
        <v/>
      </c>
    </row>
    <row r="3441">
      <c r="B3441" s="25" t="n"/>
      <c r="I3441" s="25" t="n"/>
      <c r="U3441" s="19">
        <f>IF(AND($V3441='設定'!$C$4,COUNTIF('商品マスタ'!$B$6:$B$1005,$W3441)=0),N(U3440)+1,N(U3440))</f>
        <v/>
      </c>
      <c r="V3441" s="19">
        <f>IF($B3441="","",TEXT($B3441,"0000"))</f>
        <v/>
      </c>
      <c r="W3441" s="19">
        <f>IF($I3441="","",IF(ISNUMBER($I3441),TEXT($I3441,"0"),$I3441))</f>
        <v/>
      </c>
    </row>
    <row r="3442">
      <c r="B3442" s="25" t="n"/>
      <c r="I3442" s="25" t="n"/>
      <c r="U3442" s="19">
        <f>IF(AND($V3442='設定'!$C$4,COUNTIF('商品マスタ'!$B$6:$B$1005,$W3442)=0),N(U3441)+1,N(U3441))</f>
        <v/>
      </c>
      <c r="V3442" s="19">
        <f>IF($B3442="","",TEXT($B3442,"0000"))</f>
        <v/>
      </c>
      <c r="W3442" s="19">
        <f>IF($I3442="","",IF(ISNUMBER($I3442),TEXT($I3442,"0"),$I3442))</f>
        <v/>
      </c>
    </row>
    <row r="3443">
      <c r="B3443" s="25" t="n"/>
      <c r="I3443" s="25" t="n"/>
      <c r="U3443" s="19">
        <f>IF(AND($V3443='設定'!$C$4,COUNTIF('商品マスタ'!$B$6:$B$1005,$W3443)=0),N(U3442)+1,N(U3442))</f>
        <v/>
      </c>
      <c r="V3443" s="19">
        <f>IF($B3443="","",TEXT($B3443,"0000"))</f>
        <v/>
      </c>
      <c r="W3443" s="19">
        <f>IF($I3443="","",IF(ISNUMBER($I3443),TEXT($I3443,"0"),$I3443))</f>
        <v/>
      </c>
    </row>
    <row r="3444">
      <c r="B3444" s="25" t="n"/>
      <c r="I3444" s="25" t="n"/>
      <c r="U3444" s="19">
        <f>IF(AND($V3444='設定'!$C$4,COUNTIF('商品マスタ'!$B$6:$B$1005,$W3444)=0),N(U3443)+1,N(U3443))</f>
        <v/>
      </c>
      <c r="V3444" s="19">
        <f>IF($B3444="","",TEXT($B3444,"0000"))</f>
        <v/>
      </c>
      <c r="W3444" s="19">
        <f>IF($I3444="","",IF(ISNUMBER($I3444),TEXT($I3444,"0"),$I3444))</f>
        <v/>
      </c>
    </row>
    <row r="3445">
      <c r="B3445" s="25" t="n"/>
      <c r="I3445" s="25" t="n"/>
      <c r="U3445" s="19">
        <f>IF(AND($V3445='設定'!$C$4,COUNTIF('商品マスタ'!$B$6:$B$1005,$W3445)=0),N(U3444)+1,N(U3444))</f>
        <v/>
      </c>
      <c r="V3445" s="19">
        <f>IF($B3445="","",TEXT($B3445,"0000"))</f>
        <v/>
      </c>
      <c r="W3445" s="19">
        <f>IF($I3445="","",IF(ISNUMBER($I3445),TEXT($I3445,"0"),$I3445))</f>
        <v/>
      </c>
    </row>
    <row r="3446">
      <c r="B3446" s="25" t="n"/>
      <c r="I3446" s="25" t="n"/>
      <c r="U3446" s="19">
        <f>IF(AND($V3446='設定'!$C$4,COUNTIF('商品マスタ'!$B$6:$B$1005,$W3446)=0),N(U3445)+1,N(U3445))</f>
        <v/>
      </c>
      <c r="V3446" s="19">
        <f>IF($B3446="","",TEXT($B3446,"0000"))</f>
        <v/>
      </c>
      <c r="W3446" s="19">
        <f>IF($I3446="","",IF(ISNUMBER($I3446),TEXT($I3446,"0"),$I3446))</f>
        <v/>
      </c>
    </row>
    <row r="3447">
      <c r="B3447" s="25" t="n"/>
      <c r="I3447" s="25" t="n"/>
      <c r="U3447" s="19">
        <f>IF(AND($V3447='設定'!$C$4,COUNTIF('商品マスタ'!$B$6:$B$1005,$W3447)=0),N(U3446)+1,N(U3446))</f>
        <v/>
      </c>
      <c r="V3447" s="19">
        <f>IF($B3447="","",TEXT($B3447,"0000"))</f>
        <v/>
      </c>
      <c r="W3447" s="19">
        <f>IF($I3447="","",IF(ISNUMBER($I3447),TEXT($I3447,"0"),$I3447))</f>
        <v/>
      </c>
    </row>
    <row r="3448">
      <c r="B3448" s="25" t="n"/>
      <c r="I3448" s="25" t="n"/>
      <c r="U3448" s="19">
        <f>IF(AND($V3448='設定'!$C$4,COUNTIF('商品マスタ'!$B$6:$B$1005,$W3448)=0),N(U3447)+1,N(U3447))</f>
        <v/>
      </c>
      <c r="V3448" s="19">
        <f>IF($B3448="","",TEXT($B3448,"0000"))</f>
        <v/>
      </c>
      <c r="W3448" s="19">
        <f>IF($I3448="","",IF(ISNUMBER($I3448),TEXT($I3448,"0"),$I3448))</f>
        <v/>
      </c>
    </row>
    <row r="3449">
      <c r="B3449" s="25" t="n"/>
      <c r="I3449" s="25" t="n"/>
      <c r="U3449" s="19">
        <f>IF(AND($V3449='設定'!$C$4,COUNTIF('商品マスタ'!$B$6:$B$1005,$W3449)=0),N(U3448)+1,N(U3448))</f>
        <v/>
      </c>
      <c r="V3449" s="19">
        <f>IF($B3449="","",TEXT($B3449,"0000"))</f>
        <v/>
      </c>
      <c r="W3449" s="19">
        <f>IF($I3449="","",IF(ISNUMBER($I3449),TEXT($I3449,"0"),$I3449))</f>
        <v/>
      </c>
    </row>
    <row r="3450">
      <c r="B3450" s="25" t="n"/>
      <c r="I3450" s="25" t="n"/>
      <c r="U3450" s="19">
        <f>IF(AND($V3450='設定'!$C$4,COUNTIF('商品マスタ'!$B$6:$B$1005,$W3450)=0),N(U3449)+1,N(U3449))</f>
        <v/>
      </c>
      <c r="V3450" s="19">
        <f>IF($B3450="","",TEXT($B3450,"0000"))</f>
        <v/>
      </c>
      <c r="W3450" s="19">
        <f>IF($I3450="","",IF(ISNUMBER($I3450),TEXT($I3450,"0"),$I3450))</f>
        <v/>
      </c>
    </row>
    <row r="3451">
      <c r="B3451" s="25" t="n"/>
      <c r="I3451" s="25" t="n"/>
      <c r="U3451" s="19">
        <f>IF(AND($V3451='設定'!$C$4,COUNTIF('商品マスタ'!$B$6:$B$1005,$W3451)=0),N(U3450)+1,N(U3450))</f>
        <v/>
      </c>
      <c r="V3451" s="19">
        <f>IF($B3451="","",TEXT($B3451,"0000"))</f>
        <v/>
      </c>
      <c r="W3451" s="19">
        <f>IF($I3451="","",IF(ISNUMBER($I3451),TEXT($I3451,"0"),$I3451))</f>
        <v/>
      </c>
    </row>
    <row r="3452">
      <c r="B3452" s="25" t="n"/>
      <c r="I3452" s="25" t="n"/>
      <c r="U3452" s="19">
        <f>IF(AND($V3452='設定'!$C$4,COUNTIF('商品マスタ'!$B$6:$B$1005,$W3452)=0),N(U3451)+1,N(U3451))</f>
        <v/>
      </c>
      <c r="V3452" s="19">
        <f>IF($B3452="","",TEXT($B3452,"0000"))</f>
        <v/>
      </c>
      <c r="W3452" s="19">
        <f>IF($I3452="","",IF(ISNUMBER($I3452),TEXT($I3452,"0"),$I3452))</f>
        <v/>
      </c>
    </row>
    <row r="3453">
      <c r="B3453" s="25" t="n"/>
      <c r="I3453" s="25" t="n"/>
      <c r="U3453" s="19">
        <f>IF(AND($V3453='設定'!$C$4,COUNTIF('商品マスタ'!$B$6:$B$1005,$W3453)=0),N(U3452)+1,N(U3452))</f>
        <v/>
      </c>
      <c r="V3453" s="19">
        <f>IF($B3453="","",TEXT($B3453,"0000"))</f>
        <v/>
      </c>
      <c r="W3453" s="19">
        <f>IF($I3453="","",IF(ISNUMBER($I3453),TEXT($I3453,"0"),$I3453))</f>
        <v/>
      </c>
    </row>
    <row r="3454">
      <c r="B3454" s="25" t="n"/>
      <c r="I3454" s="25" t="n"/>
      <c r="U3454" s="19">
        <f>IF(AND($V3454='設定'!$C$4,COUNTIF('商品マスタ'!$B$6:$B$1005,$W3454)=0),N(U3453)+1,N(U3453))</f>
        <v/>
      </c>
      <c r="V3454" s="19">
        <f>IF($B3454="","",TEXT($B3454,"0000"))</f>
        <v/>
      </c>
      <c r="W3454" s="19">
        <f>IF($I3454="","",IF(ISNUMBER($I3454),TEXT($I3454,"0"),$I3454))</f>
        <v/>
      </c>
    </row>
    <row r="3455">
      <c r="B3455" s="25" t="n"/>
      <c r="I3455" s="25" t="n"/>
      <c r="U3455" s="19">
        <f>IF(AND($V3455='設定'!$C$4,COUNTIF('商品マスタ'!$B$6:$B$1005,$W3455)=0),N(U3454)+1,N(U3454))</f>
        <v/>
      </c>
      <c r="V3455" s="19">
        <f>IF($B3455="","",TEXT($B3455,"0000"))</f>
        <v/>
      </c>
      <c r="W3455" s="19">
        <f>IF($I3455="","",IF(ISNUMBER($I3455),TEXT($I3455,"0"),$I3455))</f>
        <v/>
      </c>
    </row>
    <row r="3456">
      <c r="B3456" s="25" t="n"/>
      <c r="I3456" s="25" t="n"/>
      <c r="U3456" s="19">
        <f>IF(AND($V3456='設定'!$C$4,COUNTIF('商品マスタ'!$B$6:$B$1005,$W3456)=0),N(U3455)+1,N(U3455))</f>
        <v/>
      </c>
      <c r="V3456" s="19">
        <f>IF($B3456="","",TEXT($B3456,"0000"))</f>
        <v/>
      </c>
      <c r="W3456" s="19">
        <f>IF($I3456="","",IF(ISNUMBER($I3456),TEXT($I3456,"0"),$I3456))</f>
        <v/>
      </c>
    </row>
    <row r="3457">
      <c r="B3457" s="25" t="n"/>
      <c r="I3457" s="25" t="n"/>
      <c r="U3457" s="19">
        <f>IF(AND($V3457='設定'!$C$4,COUNTIF('商品マスタ'!$B$6:$B$1005,$W3457)=0),N(U3456)+1,N(U3456))</f>
        <v/>
      </c>
      <c r="V3457" s="19">
        <f>IF($B3457="","",TEXT($B3457,"0000"))</f>
        <v/>
      </c>
      <c r="W3457" s="19">
        <f>IF($I3457="","",IF(ISNUMBER($I3457),TEXT($I3457,"0"),$I3457))</f>
        <v/>
      </c>
    </row>
    <row r="3458">
      <c r="B3458" s="25" t="n"/>
      <c r="I3458" s="25" t="n"/>
      <c r="U3458" s="19">
        <f>IF(AND($V3458='設定'!$C$4,COUNTIF('商品マスタ'!$B$6:$B$1005,$W3458)=0),N(U3457)+1,N(U3457))</f>
        <v/>
      </c>
      <c r="V3458" s="19">
        <f>IF($B3458="","",TEXT($B3458,"0000"))</f>
        <v/>
      </c>
      <c r="W3458" s="19">
        <f>IF($I3458="","",IF(ISNUMBER($I3458),TEXT($I3458,"0"),$I3458))</f>
        <v/>
      </c>
    </row>
    <row r="3459">
      <c r="B3459" s="25" t="n"/>
      <c r="I3459" s="25" t="n"/>
      <c r="U3459" s="19">
        <f>IF(AND($V3459='設定'!$C$4,COUNTIF('商品マスタ'!$B$6:$B$1005,$W3459)=0),N(U3458)+1,N(U3458))</f>
        <v/>
      </c>
      <c r="V3459" s="19">
        <f>IF($B3459="","",TEXT($B3459,"0000"))</f>
        <v/>
      </c>
      <c r="W3459" s="19">
        <f>IF($I3459="","",IF(ISNUMBER($I3459),TEXT($I3459,"0"),$I3459))</f>
        <v/>
      </c>
    </row>
    <row r="3460">
      <c r="B3460" s="25" t="n"/>
      <c r="I3460" s="25" t="n"/>
      <c r="U3460" s="19">
        <f>IF(AND($V3460='設定'!$C$4,COUNTIF('商品マスタ'!$B$6:$B$1005,$W3460)=0),N(U3459)+1,N(U3459))</f>
        <v/>
      </c>
      <c r="V3460" s="19">
        <f>IF($B3460="","",TEXT($B3460,"0000"))</f>
        <v/>
      </c>
      <c r="W3460" s="19">
        <f>IF($I3460="","",IF(ISNUMBER($I3460),TEXT($I3460,"0"),$I3460))</f>
        <v/>
      </c>
    </row>
    <row r="3461">
      <c r="B3461" s="25" t="n"/>
      <c r="I3461" s="25" t="n"/>
      <c r="U3461" s="19">
        <f>IF(AND($V3461='設定'!$C$4,COUNTIF('商品マスタ'!$B$6:$B$1005,$W3461)=0),N(U3460)+1,N(U3460))</f>
        <v/>
      </c>
      <c r="V3461" s="19">
        <f>IF($B3461="","",TEXT($B3461,"0000"))</f>
        <v/>
      </c>
      <c r="W3461" s="19">
        <f>IF($I3461="","",IF(ISNUMBER($I3461),TEXT($I3461,"0"),$I3461))</f>
        <v/>
      </c>
    </row>
    <row r="3462">
      <c r="B3462" s="25" t="n"/>
      <c r="I3462" s="25" t="n"/>
      <c r="U3462" s="19">
        <f>IF(AND($V3462='設定'!$C$4,COUNTIF('商品マスタ'!$B$6:$B$1005,$W3462)=0),N(U3461)+1,N(U3461))</f>
        <v/>
      </c>
      <c r="V3462" s="19">
        <f>IF($B3462="","",TEXT($B3462,"0000"))</f>
        <v/>
      </c>
      <c r="W3462" s="19">
        <f>IF($I3462="","",IF(ISNUMBER($I3462),TEXT($I3462,"0"),$I3462))</f>
        <v/>
      </c>
    </row>
    <row r="3463">
      <c r="B3463" s="25" t="n"/>
      <c r="I3463" s="25" t="n"/>
      <c r="U3463" s="19">
        <f>IF(AND($V3463='設定'!$C$4,COUNTIF('商品マスタ'!$B$6:$B$1005,$W3463)=0),N(U3462)+1,N(U3462))</f>
        <v/>
      </c>
      <c r="V3463" s="19">
        <f>IF($B3463="","",TEXT($B3463,"0000"))</f>
        <v/>
      </c>
      <c r="W3463" s="19">
        <f>IF($I3463="","",IF(ISNUMBER($I3463),TEXT($I3463,"0"),$I3463))</f>
        <v/>
      </c>
    </row>
    <row r="3464">
      <c r="B3464" s="25" t="n"/>
      <c r="I3464" s="25" t="n"/>
      <c r="U3464" s="19">
        <f>IF(AND($V3464='設定'!$C$4,COUNTIF('商品マスタ'!$B$6:$B$1005,$W3464)=0),N(U3463)+1,N(U3463))</f>
        <v/>
      </c>
      <c r="V3464" s="19">
        <f>IF($B3464="","",TEXT($B3464,"0000"))</f>
        <v/>
      </c>
      <c r="W3464" s="19">
        <f>IF($I3464="","",IF(ISNUMBER($I3464),TEXT($I3464,"0"),$I3464))</f>
        <v/>
      </c>
    </row>
    <row r="3465">
      <c r="B3465" s="25" t="n"/>
      <c r="I3465" s="25" t="n"/>
      <c r="U3465" s="19">
        <f>IF(AND($V3465='設定'!$C$4,COUNTIF('商品マスタ'!$B$6:$B$1005,$W3465)=0),N(U3464)+1,N(U3464))</f>
        <v/>
      </c>
      <c r="V3465" s="19">
        <f>IF($B3465="","",TEXT($B3465,"0000"))</f>
        <v/>
      </c>
      <c r="W3465" s="19">
        <f>IF($I3465="","",IF(ISNUMBER($I3465),TEXT($I3465,"0"),$I3465))</f>
        <v/>
      </c>
    </row>
    <row r="3466">
      <c r="B3466" s="25" t="n"/>
      <c r="I3466" s="25" t="n"/>
      <c r="U3466" s="19">
        <f>IF(AND($V3466='設定'!$C$4,COUNTIF('商品マスタ'!$B$6:$B$1005,$W3466)=0),N(U3465)+1,N(U3465))</f>
        <v/>
      </c>
      <c r="V3466" s="19">
        <f>IF($B3466="","",TEXT($B3466,"0000"))</f>
        <v/>
      </c>
      <c r="W3466" s="19">
        <f>IF($I3466="","",IF(ISNUMBER($I3466),TEXT($I3466,"0"),$I3466))</f>
        <v/>
      </c>
    </row>
    <row r="3467">
      <c r="B3467" s="25" t="n"/>
      <c r="I3467" s="25" t="n"/>
      <c r="U3467" s="19">
        <f>IF(AND($V3467='設定'!$C$4,COUNTIF('商品マスタ'!$B$6:$B$1005,$W3467)=0),N(U3466)+1,N(U3466))</f>
        <v/>
      </c>
      <c r="V3467" s="19">
        <f>IF($B3467="","",TEXT($B3467,"0000"))</f>
        <v/>
      </c>
      <c r="W3467" s="19">
        <f>IF($I3467="","",IF(ISNUMBER($I3467),TEXT($I3467,"0"),$I3467))</f>
        <v/>
      </c>
    </row>
    <row r="3468">
      <c r="B3468" s="25" t="n"/>
      <c r="I3468" s="25" t="n"/>
      <c r="U3468" s="19">
        <f>IF(AND($V3468='設定'!$C$4,COUNTIF('商品マスタ'!$B$6:$B$1005,$W3468)=0),N(U3467)+1,N(U3467))</f>
        <v/>
      </c>
      <c r="V3468" s="19">
        <f>IF($B3468="","",TEXT($B3468,"0000"))</f>
        <v/>
      </c>
      <c r="W3468" s="19">
        <f>IF($I3468="","",IF(ISNUMBER($I3468),TEXT($I3468,"0"),$I3468))</f>
        <v/>
      </c>
    </row>
    <row r="3469">
      <c r="B3469" s="25" t="n"/>
      <c r="I3469" s="25" t="n"/>
      <c r="U3469" s="19">
        <f>IF(AND($V3469='設定'!$C$4,COUNTIF('商品マスタ'!$B$6:$B$1005,$W3469)=0),N(U3468)+1,N(U3468))</f>
        <v/>
      </c>
      <c r="V3469" s="19">
        <f>IF($B3469="","",TEXT($B3469,"0000"))</f>
        <v/>
      </c>
      <c r="W3469" s="19">
        <f>IF($I3469="","",IF(ISNUMBER($I3469),TEXT($I3469,"0"),$I3469))</f>
        <v/>
      </c>
    </row>
    <row r="3470">
      <c r="B3470" s="25" t="n"/>
      <c r="I3470" s="25" t="n"/>
      <c r="U3470" s="19">
        <f>IF(AND($V3470='設定'!$C$4,COUNTIF('商品マスタ'!$B$6:$B$1005,$W3470)=0),N(U3469)+1,N(U3469))</f>
        <v/>
      </c>
      <c r="V3470" s="19">
        <f>IF($B3470="","",TEXT($B3470,"0000"))</f>
        <v/>
      </c>
      <c r="W3470" s="19">
        <f>IF($I3470="","",IF(ISNUMBER($I3470),TEXT($I3470,"0"),$I3470))</f>
        <v/>
      </c>
    </row>
    <row r="3471">
      <c r="B3471" s="25" t="n"/>
      <c r="I3471" s="25" t="n"/>
      <c r="U3471" s="19">
        <f>IF(AND($V3471='設定'!$C$4,COUNTIF('商品マスタ'!$B$6:$B$1005,$W3471)=0),N(U3470)+1,N(U3470))</f>
        <v/>
      </c>
      <c r="V3471" s="19">
        <f>IF($B3471="","",TEXT($B3471,"0000"))</f>
        <v/>
      </c>
      <c r="W3471" s="19">
        <f>IF($I3471="","",IF(ISNUMBER($I3471),TEXT($I3471,"0"),$I3471))</f>
        <v/>
      </c>
    </row>
    <row r="3472">
      <c r="B3472" s="25" t="n"/>
      <c r="I3472" s="25" t="n"/>
      <c r="U3472" s="19">
        <f>IF(AND($V3472='設定'!$C$4,COUNTIF('商品マスタ'!$B$6:$B$1005,$W3472)=0),N(U3471)+1,N(U3471))</f>
        <v/>
      </c>
      <c r="V3472" s="19">
        <f>IF($B3472="","",TEXT($B3472,"0000"))</f>
        <v/>
      </c>
      <c r="W3472" s="19">
        <f>IF($I3472="","",IF(ISNUMBER($I3472),TEXT($I3472,"0"),$I3472))</f>
        <v/>
      </c>
    </row>
    <row r="3473">
      <c r="B3473" s="25" t="n"/>
      <c r="I3473" s="25" t="n"/>
      <c r="U3473" s="19">
        <f>IF(AND($V3473='設定'!$C$4,COUNTIF('商品マスタ'!$B$6:$B$1005,$W3473)=0),N(U3472)+1,N(U3472))</f>
        <v/>
      </c>
      <c r="V3473" s="19">
        <f>IF($B3473="","",TEXT($B3473,"0000"))</f>
        <v/>
      </c>
      <c r="W3473" s="19">
        <f>IF($I3473="","",IF(ISNUMBER($I3473),TEXT($I3473,"0"),$I3473))</f>
        <v/>
      </c>
    </row>
    <row r="3474">
      <c r="B3474" s="25" t="n"/>
      <c r="I3474" s="25" t="n"/>
      <c r="U3474" s="19">
        <f>IF(AND($V3474='設定'!$C$4,COUNTIF('商品マスタ'!$B$6:$B$1005,$W3474)=0),N(U3473)+1,N(U3473))</f>
        <v/>
      </c>
      <c r="V3474" s="19">
        <f>IF($B3474="","",TEXT($B3474,"0000"))</f>
        <v/>
      </c>
      <c r="W3474" s="19">
        <f>IF($I3474="","",IF(ISNUMBER($I3474),TEXT($I3474,"0"),$I3474))</f>
        <v/>
      </c>
    </row>
    <row r="3475">
      <c r="B3475" s="25" t="n"/>
      <c r="I3475" s="25" t="n"/>
      <c r="U3475" s="19">
        <f>IF(AND($V3475='設定'!$C$4,COUNTIF('商品マスタ'!$B$6:$B$1005,$W3475)=0),N(U3474)+1,N(U3474))</f>
        <v/>
      </c>
      <c r="V3475" s="19">
        <f>IF($B3475="","",TEXT($B3475,"0000"))</f>
        <v/>
      </c>
      <c r="W3475" s="19">
        <f>IF($I3475="","",IF(ISNUMBER($I3475),TEXT($I3475,"0"),$I3475))</f>
        <v/>
      </c>
    </row>
    <row r="3476">
      <c r="B3476" s="25" t="n"/>
      <c r="I3476" s="25" t="n"/>
      <c r="U3476" s="19">
        <f>IF(AND($V3476='設定'!$C$4,COUNTIF('商品マスタ'!$B$6:$B$1005,$W3476)=0),N(U3475)+1,N(U3475))</f>
        <v/>
      </c>
      <c r="V3476" s="19">
        <f>IF($B3476="","",TEXT($B3476,"0000"))</f>
        <v/>
      </c>
      <c r="W3476" s="19">
        <f>IF($I3476="","",IF(ISNUMBER($I3476),TEXT($I3476,"0"),$I3476))</f>
        <v/>
      </c>
    </row>
    <row r="3477">
      <c r="B3477" s="25" t="n"/>
      <c r="I3477" s="25" t="n"/>
      <c r="U3477" s="19">
        <f>IF(AND($V3477='設定'!$C$4,COUNTIF('商品マスタ'!$B$6:$B$1005,$W3477)=0),N(U3476)+1,N(U3476))</f>
        <v/>
      </c>
      <c r="V3477" s="19">
        <f>IF($B3477="","",TEXT($B3477,"0000"))</f>
        <v/>
      </c>
      <c r="W3477" s="19">
        <f>IF($I3477="","",IF(ISNUMBER($I3477),TEXT($I3477,"0"),$I3477))</f>
        <v/>
      </c>
    </row>
    <row r="3478">
      <c r="B3478" s="25" t="n"/>
      <c r="I3478" s="25" t="n"/>
      <c r="U3478" s="19">
        <f>IF(AND($V3478='設定'!$C$4,COUNTIF('商品マスタ'!$B$6:$B$1005,$W3478)=0),N(U3477)+1,N(U3477))</f>
        <v/>
      </c>
      <c r="V3478" s="19">
        <f>IF($B3478="","",TEXT($B3478,"0000"))</f>
        <v/>
      </c>
      <c r="W3478" s="19">
        <f>IF($I3478="","",IF(ISNUMBER($I3478),TEXT($I3478,"0"),$I3478))</f>
        <v/>
      </c>
    </row>
    <row r="3479">
      <c r="B3479" s="25" t="n"/>
      <c r="I3479" s="25" t="n"/>
      <c r="U3479" s="19">
        <f>IF(AND($V3479='設定'!$C$4,COUNTIF('商品マスタ'!$B$6:$B$1005,$W3479)=0),N(U3478)+1,N(U3478))</f>
        <v/>
      </c>
      <c r="V3479" s="19">
        <f>IF($B3479="","",TEXT($B3479,"0000"))</f>
        <v/>
      </c>
      <c r="W3479" s="19">
        <f>IF($I3479="","",IF(ISNUMBER($I3479),TEXT($I3479,"0"),$I3479))</f>
        <v/>
      </c>
    </row>
    <row r="3480">
      <c r="B3480" s="25" t="n"/>
      <c r="I3480" s="25" t="n"/>
      <c r="U3480" s="19">
        <f>IF(AND($V3480='設定'!$C$4,COUNTIF('商品マスタ'!$B$6:$B$1005,$W3480)=0),N(U3479)+1,N(U3479))</f>
        <v/>
      </c>
      <c r="V3480" s="19">
        <f>IF($B3480="","",TEXT($B3480,"0000"))</f>
        <v/>
      </c>
      <c r="W3480" s="19">
        <f>IF($I3480="","",IF(ISNUMBER($I3480),TEXT($I3480,"0"),$I3480))</f>
        <v/>
      </c>
    </row>
    <row r="3481">
      <c r="B3481" s="25" t="n"/>
      <c r="I3481" s="25" t="n"/>
      <c r="U3481" s="19">
        <f>IF(AND($V3481='設定'!$C$4,COUNTIF('商品マスタ'!$B$6:$B$1005,$W3481)=0),N(U3480)+1,N(U3480))</f>
        <v/>
      </c>
      <c r="V3481" s="19">
        <f>IF($B3481="","",TEXT($B3481,"0000"))</f>
        <v/>
      </c>
      <c r="W3481" s="19">
        <f>IF($I3481="","",IF(ISNUMBER($I3481),TEXT($I3481,"0"),$I3481))</f>
        <v/>
      </c>
    </row>
    <row r="3482">
      <c r="B3482" s="25" t="n"/>
      <c r="I3482" s="25" t="n"/>
      <c r="U3482" s="19">
        <f>IF(AND($V3482='設定'!$C$4,COUNTIF('商品マスタ'!$B$6:$B$1005,$W3482)=0),N(U3481)+1,N(U3481))</f>
        <v/>
      </c>
      <c r="V3482" s="19">
        <f>IF($B3482="","",TEXT($B3482,"0000"))</f>
        <v/>
      </c>
      <c r="W3482" s="19">
        <f>IF($I3482="","",IF(ISNUMBER($I3482),TEXT($I3482,"0"),$I3482))</f>
        <v/>
      </c>
    </row>
    <row r="3483">
      <c r="B3483" s="25" t="n"/>
      <c r="I3483" s="25" t="n"/>
      <c r="U3483" s="19">
        <f>IF(AND($V3483='設定'!$C$4,COUNTIF('商品マスタ'!$B$6:$B$1005,$W3483)=0),N(U3482)+1,N(U3482))</f>
        <v/>
      </c>
      <c r="V3483" s="19">
        <f>IF($B3483="","",TEXT($B3483,"0000"))</f>
        <v/>
      </c>
      <c r="W3483" s="19">
        <f>IF($I3483="","",IF(ISNUMBER($I3483),TEXT($I3483,"0"),$I3483))</f>
        <v/>
      </c>
    </row>
    <row r="3484">
      <c r="B3484" s="25" t="n"/>
      <c r="I3484" s="25" t="n"/>
      <c r="U3484" s="19">
        <f>IF(AND($V3484='設定'!$C$4,COUNTIF('商品マスタ'!$B$6:$B$1005,$W3484)=0),N(U3483)+1,N(U3483))</f>
        <v/>
      </c>
      <c r="V3484" s="19">
        <f>IF($B3484="","",TEXT($B3484,"0000"))</f>
        <v/>
      </c>
      <c r="W3484" s="19">
        <f>IF($I3484="","",IF(ISNUMBER($I3484),TEXT($I3484,"0"),$I3484))</f>
        <v/>
      </c>
    </row>
    <row r="3485">
      <c r="B3485" s="25" t="n"/>
      <c r="I3485" s="25" t="n"/>
      <c r="U3485" s="19">
        <f>IF(AND($V3485='設定'!$C$4,COUNTIF('商品マスタ'!$B$6:$B$1005,$W3485)=0),N(U3484)+1,N(U3484))</f>
        <v/>
      </c>
      <c r="V3485" s="19">
        <f>IF($B3485="","",TEXT($B3485,"0000"))</f>
        <v/>
      </c>
      <c r="W3485" s="19">
        <f>IF($I3485="","",IF(ISNUMBER($I3485),TEXT($I3485,"0"),$I3485))</f>
        <v/>
      </c>
    </row>
    <row r="3486">
      <c r="B3486" s="25" t="n"/>
      <c r="I3486" s="25" t="n"/>
      <c r="U3486" s="19">
        <f>IF(AND($V3486='設定'!$C$4,COUNTIF('商品マスタ'!$B$6:$B$1005,$W3486)=0),N(U3485)+1,N(U3485))</f>
        <v/>
      </c>
      <c r="V3486" s="19">
        <f>IF($B3486="","",TEXT($B3486,"0000"))</f>
        <v/>
      </c>
      <c r="W3486" s="19">
        <f>IF($I3486="","",IF(ISNUMBER($I3486),TEXT($I3486,"0"),$I3486))</f>
        <v/>
      </c>
    </row>
    <row r="3487">
      <c r="B3487" s="25" t="n"/>
      <c r="I3487" s="25" t="n"/>
      <c r="U3487" s="19">
        <f>IF(AND($V3487='設定'!$C$4,COUNTIF('商品マスタ'!$B$6:$B$1005,$W3487)=0),N(U3486)+1,N(U3486))</f>
        <v/>
      </c>
      <c r="V3487" s="19">
        <f>IF($B3487="","",TEXT($B3487,"0000"))</f>
        <v/>
      </c>
      <c r="W3487" s="19">
        <f>IF($I3487="","",IF(ISNUMBER($I3487),TEXT($I3487,"0"),$I3487))</f>
        <v/>
      </c>
    </row>
    <row r="3488">
      <c r="B3488" s="25" t="n"/>
      <c r="I3488" s="25" t="n"/>
      <c r="U3488" s="19">
        <f>IF(AND($V3488='設定'!$C$4,COUNTIF('商品マスタ'!$B$6:$B$1005,$W3488)=0),N(U3487)+1,N(U3487))</f>
        <v/>
      </c>
      <c r="V3488" s="19">
        <f>IF($B3488="","",TEXT($B3488,"0000"))</f>
        <v/>
      </c>
      <c r="W3488" s="19">
        <f>IF($I3488="","",IF(ISNUMBER($I3488),TEXT($I3488,"0"),$I3488))</f>
        <v/>
      </c>
    </row>
    <row r="3489">
      <c r="B3489" s="25" t="n"/>
      <c r="I3489" s="25" t="n"/>
      <c r="U3489" s="19">
        <f>IF(AND($V3489='設定'!$C$4,COUNTIF('商品マスタ'!$B$6:$B$1005,$W3489)=0),N(U3488)+1,N(U3488))</f>
        <v/>
      </c>
      <c r="V3489" s="19">
        <f>IF($B3489="","",TEXT($B3489,"0000"))</f>
        <v/>
      </c>
      <c r="W3489" s="19">
        <f>IF($I3489="","",IF(ISNUMBER($I3489),TEXT($I3489,"0"),$I3489))</f>
        <v/>
      </c>
    </row>
    <row r="3490">
      <c r="B3490" s="25" t="n"/>
      <c r="I3490" s="25" t="n"/>
      <c r="U3490" s="19">
        <f>IF(AND($V3490='設定'!$C$4,COUNTIF('商品マスタ'!$B$6:$B$1005,$W3490)=0),N(U3489)+1,N(U3489))</f>
        <v/>
      </c>
      <c r="V3490" s="19">
        <f>IF($B3490="","",TEXT($B3490,"0000"))</f>
        <v/>
      </c>
      <c r="W3490" s="19">
        <f>IF($I3490="","",IF(ISNUMBER($I3490),TEXT($I3490,"0"),$I3490))</f>
        <v/>
      </c>
    </row>
    <row r="3491">
      <c r="B3491" s="25" t="n"/>
      <c r="I3491" s="25" t="n"/>
      <c r="U3491" s="19">
        <f>IF(AND($V3491='設定'!$C$4,COUNTIF('商品マスタ'!$B$6:$B$1005,$W3491)=0),N(U3490)+1,N(U3490))</f>
        <v/>
      </c>
      <c r="V3491" s="19">
        <f>IF($B3491="","",TEXT($B3491,"0000"))</f>
        <v/>
      </c>
      <c r="W3491" s="19">
        <f>IF($I3491="","",IF(ISNUMBER($I3491),TEXT($I3491,"0"),$I3491))</f>
        <v/>
      </c>
    </row>
    <row r="3492">
      <c r="B3492" s="25" t="n"/>
      <c r="I3492" s="25" t="n"/>
      <c r="U3492" s="19">
        <f>IF(AND($V3492='設定'!$C$4,COUNTIF('商品マスタ'!$B$6:$B$1005,$W3492)=0),N(U3491)+1,N(U3491))</f>
        <v/>
      </c>
      <c r="V3492" s="19">
        <f>IF($B3492="","",TEXT($B3492,"0000"))</f>
        <v/>
      </c>
      <c r="W3492" s="19">
        <f>IF($I3492="","",IF(ISNUMBER($I3492),TEXT($I3492,"0"),$I3492))</f>
        <v/>
      </c>
    </row>
    <row r="3493">
      <c r="B3493" s="25" t="n"/>
      <c r="I3493" s="25" t="n"/>
      <c r="U3493" s="19">
        <f>IF(AND($V3493='設定'!$C$4,COUNTIF('商品マスタ'!$B$6:$B$1005,$W3493)=0),N(U3492)+1,N(U3492))</f>
        <v/>
      </c>
      <c r="V3493" s="19">
        <f>IF($B3493="","",TEXT($B3493,"0000"))</f>
        <v/>
      </c>
      <c r="W3493" s="19">
        <f>IF($I3493="","",IF(ISNUMBER($I3493),TEXT($I3493,"0"),$I3493))</f>
        <v/>
      </c>
    </row>
    <row r="3494">
      <c r="B3494" s="25" t="n"/>
      <c r="I3494" s="25" t="n"/>
      <c r="U3494" s="19">
        <f>IF(AND($V3494='設定'!$C$4,COUNTIF('商品マスタ'!$B$6:$B$1005,$W3494)=0),N(U3493)+1,N(U3493))</f>
        <v/>
      </c>
      <c r="V3494" s="19">
        <f>IF($B3494="","",TEXT($B3494,"0000"))</f>
        <v/>
      </c>
      <c r="W3494" s="19">
        <f>IF($I3494="","",IF(ISNUMBER($I3494),TEXT($I3494,"0"),$I3494))</f>
        <v/>
      </c>
    </row>
    <row r="3495">
      <c r="B3495" s="25" t="n"/>
      <c r="I3495" s="25" t="n"/>
      <c r="U3495" s="19">
        <f>IF(AND($V3495='設定'!$C$4,COUNTIF('商品マスタ'!$B$6:$B$1005,$W3495)=0),N(U3494)+1,N(U3494))</f>
        <v/>
      </c>
      <c r="V3495" s="19">
        <f>IF($B3495="","",TEXT($B3495,"0000"))</f>
        <v/>
      </c>
      <c r="W3495" s="19">
        <f>IF($I3495="","",IF(ISNUMBER($I3495),TEXT($I3495,"0"),$I3495))</f>
        <v/>
      </c>
    </row>
    <row r="3496">
      <c r="B3496" s="25" t="n"/>
      <c r="I3496" s="25" t="n"/>
      <c r="U3496" s="19">
        <f>IF(AND($V3496='設定'!$C$4,COUNTIF('商品マスタ'!$B$6:$B$1005,$W3496)=0),N(U3495)+1,N(U3495))</f>
        <v/>
      </c>
      <c r="V3496" s="19">
        <f>IF($B3496="","",TEXT($B3496,"0000"))</f>
        <v/>
      </c>
      <c r="W3496" s="19">
        <f>IF($I3496="","",IF(ISNUMBER($I3496),TEXT($I3496,"0"),$I3496))</f>
        <v/>
      </c>
    </row>
    <row r="3497">
      <c r="B3497" s="25" t="n"/>
      <c r="I3497" s="25" t="n"/>
      <c r="U3497" s="19">
        <f>IF(AND($V3497='設定'!$C$4,COUNTIF('商品マスタ'!$B$6:$B$1005,$W3497)=0),N(U3496)+1,N(U3496))</f>
        <v/>
      </c>
      <c r="V3497" s="19">
        <f>IF($B3497="","",TEXT($B3497,"0000"))</f>
        <v/>
      </c>
      <c r="W3497" s="19">
        <f>IF($I3497="","",IF(ISNUMBER($I3497),TEXT($I3497,"0"),$I3497))</f>
        <v/>
      </c>
    </row>
    <row r="3498">
      <c r="B3498" s="25" t="n"/>
      <c r="I3498" s="25" t="n"/>
      <c r="U3498" s="19">
        <f>IF(AND($V3498='設定'!$C$4,COUNTIF('商品マスタ'!$B$6:$B$1005,$W3498)=0),N(U3497)+1,N(U3497))</f>
        <v/>
      </c>
      <c r="V3498" s="19">
        <f>IF($B3498="","",TEXT($B3498,"0000"))</f>
        <v/>
      </c>
      <c r="W3498" s="19">
        <f>IF($I3498="","",IF(ISNUMBER($I3498),TEXT($I3498,"0"),$I3498))</f>
        <v/>
      </c>
    </row>
    <row r="3499">
      <c r="B3499" s="25" t="n"/>
      <c r="I3499" s="25" t="n"/>
      <c r="U3499" s="19">
        <f>IF(AND($V3499='設定'!$C$4,COUNTIF('商品マスタ'!$B$6:$B$1005,$W3499)=0),N(U3498)+1,N(U3498))</f>
        <v/>
      </c>
      <c r="V3499" s="19">
        <f>IF($B3499="","",TEXT($B3499,"0000"))</f>
        <v/>
      </c>
      <c r="W3499" s="19">
        <f>IF($I3499="","",IF(ISNUMBER($I3499),TEXT($I3499,"0"),$I3499))</f>
        <v/>
      </c>
    </row>
    <row r="3500">
      <c r="B3500" s="25" t="n"/>
      <c r="I3500" s="25" t="n"/>
      <c r="U3500" s="19">
        <f>IF(AND($V3500='設定'!$C$4,COUNTIF('商品マスタ'!$B$6:$B$1005,$W3500)=0),N(U3499)+1,N(U3499))</f>
        <v/>
      </c>
      <c r="V3500" s="19">
        <f>IF($B3500="","",TEXT($B3500,"0000"))</f>
        <v/>
      </c>
      <c r="W3500" s="19">
        <f>IF($I3500="","",IF(ISNUMBER($I3500),TEXT($I3500,"0"),$I3500))</f>
        <v/>
      </c>
    </row>
    <row r="3501">
      <c r="B3501" s="25" t="n"/>
      <c r="I3501" s="25" t="n"/>
      <c r="U3501" s="19">
        <f>IF(AND($V3501='設定'!$C$4,COUNTIF('商品マスタ'!$B$6:$B$1005,$W3501)=0),N(U3500)+1,N(U3500))</f>
        <v/>
      </c>
      <c r="V3501" s="19">
        <f>IF($B3501="","",TEXT($B3501,"0000"))</f>
        <v/>
      </c>
      <c r="W3501" s="19">
        <f>IF($I3501="","",IF(ISNUMBER($I3501),TEXT($I3501,"0"),$I3501))</f>
        <v/>
      </c>
    </row>
    <row r="3502">
      <c r="B3502" s="25" t="n"/>
      <c r="I3502" s="25" t="n"/>
      <c r="U3502" s="19">
        <f>IF(AND($V3502='設定'!$C$4,COUNTIF('商品マスタ'!$B$6:$B$1005,$W3502)=0),N(U3501)+1,N(U3501))</f>
        <v/>
      </c>
      <c r="V3502" s="19">
        <f>IF($B3502="","",TEXT($B3502,"0000"))</f>
        <v/>
      </c>
      <c r="W3502" s="19">
        <f>IF($I3502="","",IF(ISNUMBER($I3502),TEXT($I3502,"0"),$I3502))</f>
        <v/>
      </c>
    </row>
    <row r="3503">
      <c r="B3503" s="25" t="n"/>
      <c r="I3503" s="25" t="n"/>
      <c r="U3503" s="19">
        <f>IF(AND($V3503='設定'!$C$4,COUNTIF('商品マスタ'!$B$6:$B$1005,$W3503)=0),N(U3502)+1,N(U3502))</f>
        <v/>
      </c>
      <c r="V3503" s="19">
        <f>IF($B3503="","",TEXT($B3503,"0000"))</f>
        <v/>
      </c>
      <c r="W3503" s="19">
        <f>IF($I3503="","",IF(ISNUMBER($I3503),TEXT($I3503,"0"),$I3503))</f>
        <v/>
      </c>
    </row>
    <row r="3504">
      <c r="B3504" s="25" t="n"/>
      <c r="I3504" s="25" t="n"/>
      <c r="U3504" s="19">
        <f>IF(AND($V3504='設定'!$C$4,COUNTIF('商品マスタ'!$B$6:$B$1005,$W3504)=0),N(U3503)+1,N(U3503))</f>
        <v/>
      </c>
      <c r="V3504" s="19">
        <f>IF($B3504="","",TEXT($B3504,"0000"))</f>
        <v/>
      </c>
      <c r="W3504" s="19">
        <f>IF($I3504="","",IF(ISNUMBER($I3504),TEXT($I3504,"0"),$I3504))</f>
        <v/>
      </c>
    </row>
    <row r="3505">
      <c r="B3505" s="25" t="n"/>
      <c r="I3505" s="25" t="n"/>
      <c r="U3505" s="19">
        <f>IF(AND($V3505='設定'!$C$4,COUNTIF('商品マスタ'!$B$6:$B$1005,$W3505)=0),N(U3504)+1,N(U3504))</f>
        <v/>
      </c>
      <c r="V3505" s="19">
        <f>IF($B3505="","",TEXT($B3505,"0000"))</f>
        <v/>
      </c>
      <c r="W3505" s="19">
        <f>IF($I3505="","",IF(ISNUMBER($I3505),TEXT($I3505,"0"),$I3505))</f>
        <v/>
      </c>
    </row>
    <row r="3506">
      <c r="B3506" s="25" t="n"/>
      <c r="I3506" s="25" t="n"/>
      <c r="U3506" s="19">
        <f>IF(AND($V3506='設定'!$C$4,COUNTIF('商品マスタ'!$B$6:$B$1005,$W3506)=0),N(U3505)+1,N(U3505))</f>
        <v/>
      </c>
      <c r="V3506" s="19">
        <f>IF($B3506="","",TEXT($B3506,"0000"))</f>
        <v/>
      </c>
      <c r="W3506" s="19">
        <f>IF($I3506="","",IF(ISNUMBER($I3506),TEXT($I3506,"0"),$I3506))</f>
        <v/>
      </c>
    </row>
    <row r="3507">
      <c r="B3507" s="25" t="n"/>
      <c r="I3507" s="25" t="n"/>
      <c r="U3507" s="19">
        <f>IF(AND($V3507='設定'!$C$4,COUNTIF('商品マスタ'!$B$6:$B$1005,$W3507)=0),N(U3506)+1,N(U3506))</f>
        <v/>
      </c>
      <c r="V3507" s="19">
        <f>IF($B3507="","",TEXT($B3507,"0000"))</f>
        <v/>
      </c>
      <c r="W3507" s="19">
        <f>IF($I3507="","",IF(ISNUMBER($I3507),TEXT($I3507,"0"),$I3507))</f>
        <v/>
      </c>
    </row>
    <row r="3508">
      <c r="B3508" s="25" t="n"/>
      <c r="I3508" s="25" t="n"/>
      <c r="U3508" s="19">
        <f>IF(AND($V3508='設定'!$C$4,COUNTIF('商品マスタ'!$B$6:$B$1005,$W3508)=0),N(U3507)+1,N(U3507))</f>
        <v/>
      </c>
      <c r="V3508" s="19">
        <f>IF($B3508="","",TEXT($B3508,"0000"))</f>
        <v/>
      </c>
      <c r="W3508" s="19">
        <f>IF($I3508="","",IF(ISNUMBER($I3508),TEXT($I3508,"0"),$I3508))</f>
        <v/>
      </c>
    </row>
    <row r="3509">
      <c r="B3509" s="25" t="n"/>
      <c r="I3509" s="25" t="n"/>
      <c r="U3509" s="19">
        <f>IF(AND($V3509='設定'!$C$4,COUNTIF('商品マスタ'!$B$6:$B$1005,$W3509)=0),N(U3508)+1,N(U3508))</f>
        <v/>
      </c>
      <c r="V3509" s="19">
        <f>IF($B3509="","",TEXT($B3509,"0000"))</f>
        <v/>
      </c>
      <c r="W3509" s="19">
        <f>IF($I3509="","",IF(ISNUMBER($I3509),TEXT($I3509,"0"),$I3509))</f>
        <v/>
      </c>
    </row>
    <row r="3510">
      <c r="B3510" s="25" t="n"/>
      <c r="I3510" s="25" t="n"/>
      <c r="U3510" s="19">
        <f>IF(AND($V3510='設定'!$C$4,COUNTIF('商品マスタ'!$B$6:$B$1005,$W3510)=0),N(U3509)+1,N(U3509))</f>
        <v/>
      </c>
      <c r="V3510" s="19">
        <f>IF($B3510="","",TEXT($B3510,"0000"))</f>
        <v/>
      </c>
      <c r="W3510" s="19">
        <f>IF($I3510="","",IF(ISNUMBER($I3510),TEXT($I3510,"0"),$I3510))</f>
        <v/>
      </c>
    </row>
    <row r="3511">
      <c r="B3511" s="25" t="n"/>
      <c r="I3511" s="25" t="n"/>
      <c r="U3511" s="19">
        <f>IF(AND($V3511='設定'!$C$4,COUNTIF('商品マスタ'!$B$6:$B$1005,$W3511)=0),N(U3510)+1,N(U3510))</f>
        <v/>
      </c>
      <c r="V3511" s="19">
        <f>IF($B3511="","",TEXT($B3511,"0000"))</f>
        <v/>
      </c>
      <c r="W3511" s="19">
        <f>IF($I3511="","",IF(ISNUMBER($I3511),TEXT($I3511,"0"),$I3511))</f>
        <v/>
      </c>
    </row>
    <row r="3512">
      <c r="B3512" s="25" t="n"/>
      <c r="I3512" s="25" t="n"/>
      <c r="U3512" s="19">
        <f>IF(AND($V3512='設定'!$C$4,COUNTIF('商品マスタ'!$B$6:$B$1005,$W3512)=0),N(U3511)+1,N(U3511))</f>
        <v/>
      </c>
      <c r="V3512" s="19">
        <f>IF($B3512="","",TEXT($B3512,"0000"))</f>
        <v/>
      </c>
      <c r="W3512" s="19">
        <f>IF($I3512="","",IF(ISNUMBER($I3512),TEXT($I3512,"0"),$I3512))</f>
        <v/>
      </c>
    </row>
    <row r="3513">
      <c r="B3513" s="25" t="n"/>
      <c r="I3513" s="25" t="n"/>
      <c r="U3513" s="19">
        <f>IF(AND($V3513='設定'!$C$4,COUNTIF('商品マスタ'!$B$6:$B$1005,$W3513)=0),N(U3512)+1,N(U3512))</f>
        <v/>
      </c>
      <c r="V3513" s="19">
        <f>IF($B3513="","",TEXT($B3513,"0000"))</f>
        <v/>
      </c>
      <c r="W3513" s="19">
        <f>IF($I3513="","",IF(ISNUMBER($I3513),TEXT($I3513,"0"),$I3513))</f>
        <v/>
      </c>
    </row>
    <row r="3514">
      <c r="B3514" s="25" t="n"/>
      <c r="I3514" s="25" t="n"/>
      <c r="U3514" s="19">
        <f>IF(AND($V3514='設定'!$C$4,COUNTIF('商品マスタ'!$B$6:$B$1005,$W3514)=0),N(U3513)+1,N(U3513))</f>
        <v/>
      </c>
      <c r="V3514" s="19">
        <f>IF($B3514="","",TEXT($B3514,"0000"))</f>
        <v/>
      </c>
      <c r="W3514" s="19">
        <f>IF($I3514="","",IF(ISNUMBER($I3514),TEXT($I3514,"0"),$I3514))</f>
        <v/>
      </c>
    </row>
    <row r="3515">
      <c r="B3515" s="25" t="n"/>
      <c r="I3515" s="25" t="n"/>
      <c r="U3515" s="19">
        <f>IF(AND($V3515='設定'!$C$4,COUNTIF('商品マスタ'!$B$6:$B$1005,$W3515)=0),N(U3514)+1,N(U3514))</f>
        <v/>
      </c>
      <c r="V3515" s="19">
        <f>IF($B3515="","",TEXT($B3515,"0000"))</f>
        <v/>
      </c>
      <c r="W3515" s="19">
        <f>IF($I3515="","",IF(ISNUMBER($I3515),TEXT($I3515,"0"),$I3515))</f>
        <v/>
      </c>
    </row>
    <row r="3516">
      <c r="B3516" s="25" t="n"/>
      <c r="I3516" s="25" t="n"/>
      <c r="U3516" s="19">
        <f>IF(AND($V3516='設定'!$C$4,COUNTIF('商品マスタ'!$B$6:$B$1005,$W3516)=0),N(U3515)+1,N(U3515))</f>
        <v/>
      </c>
      <c r="V3516" s="19">
        <f>IF($B3516="","",TEXT($B3516,"0000"))</f>
        <v/>
      </c>
      <c r="W3516" s="19">
        <f>IF($I3516="","",IF(ISNUMBER($I3516),TEXT($I3516,"0"),$I3516))</f>
        <v/>
      </c>
    </row>
    <row r="3517">
      <c r="B3517" s="25" t="n"/>
      <c r="I3517" s="25" t="n"/>
      <c r="U3517" s="19">
        <f>IF(AND($V3517='設定'!$C$4,COUNTIF('商品マスタ'!$B$6:$B$1005,$W3517)=0),N(U3516)+1,N(U3516))</f>
        <v/>
      </c>
      <c r="V3517" s="19">
        <f>IF($B3517="","",TEXT($B3517,"0000"))</f>
        <v/>
      </c>
      <c r="W3517" s="19">
        <f>IF($I3517="","",IF(ISNUMBER($I3517),TEXT($I3517,"0"),$I3517))</f>
        <v/>
      </c>
    </row>
    <row r="3518">
      <c r="B3518" s="25" t="n"/>
      <c r="I3518" s="25" t="n"/>
      <c r="U3518" s="19">
        <f>IF(AND($V3518='設定'!$C$4,COUNTIF('商品マスタ'!$B$6:$B$1005,$W3518)=0),N(U3517)+1,N(U3517))</f>
        <v/>
      </c>
      <c r="V3518" s="19">
        <f>IF($B3518="","",TEXT($B3518,"0000"))</f>
        <v/>
      </c>
      <c r="W3518" s="19">
        <f>IF($I3518="","",IF(ISNUMBER($I3518),TEXT($I3518,"0"),$I3518))</f>
        <v/>
      </c>
    </row>
    <row r="3519">
      <c r="B3519" s="25" t="n"/>
      <c r="I3519" s="25" t="n"/>
      <c r="U3519" s="19">
        <f>IF(AND($V3519='設定'!$C$4,COUNTIF('商品マスタ'!$B$6:$B$1005,$W3519)=0),N(U3518)+1,N(U3518))</f>
        <v/>
      </c>
      <c r="V3519" s="19">
        <f>IF($B3519="","",TEXT($B3519,"0000"))</f>
        <v/>
      </c>
      <c r="W3519" s="19">
        <f>IF($I3519="","",IF(ISNUMBER($I3519),TEXT($I3519,"0"),$I3519))</f>
        <v/>
      </c>
    </row>
    <row r="3520">
      <c r="B3520" s="25" t="n"/>
      <c r="I3520" s="25" t="n"/>
      <c r="U3520" s="19">
        <f>IF(AND($V3520='設定'!$C$4,COUNTIF('商品マスタ'!$B$6:$B$1005,$W3520)=0),N(U3519)+1,N(U3519))</f>
        <v/>
      </c>
      <c r="V3520" s="19">
        <f>IF($B3520="","",TEXT($B3520,"0000"))</f>
        <v/>
      </c>
      <c r="W3520" s="19">
        <f>IF($I3520="","",IF(ISNUMBER($I3520),TEXT($I3520,"0"),$I3520))</f>
        <v/>
      </c>
    </row>
    <row r="3521">
      <c r="B3521" s="25" t="n"/>
      <c r="I3521" s="25" t="n"/>
      <c r="U3521" s="19">
        <f>IF(AND($V3521='設定'!$C$4,COUNTIF('商品マスタ'!$B$6:$B$1005,$W3521)=0),N(U3520)+1,N(U3520))</f>
        <v/>
      </c>
      <c r="V3521" s="19">
        <f>IF($B3521="","",TEXT($B3521,"0000"))</f>
        <v/>
      </c>
      <c r="W3521" s="19">
        <f>IF($I3521="","",IF(ISNUMBER($I3521),TEXT($I3521,"0"),$I3521))</f>
        <v/>
      </c>
    </row>
    <row r="3522">
      <c r="B3522" s="25" t="n"/>
      <c r="I3522" s="25" t="n"/>
      <c r="U3522" s="19">
        <f>IF(AND($V3522='設定'!$C$4,COUNTIF('商品マスタ'!$B$6:$B$1005,$W3522)=0),N(U3521)+1,N(U3521))</f>
        <v/>
      </c>
      <c r="V3522" s="19">
        <f>IF($B3522="","",TEXT($B3522,"0000"))</f>
        <v/>
      </c>
      <c r="W3522" s="19">
        <f>IF($I3522="","",IF(ISNUMBER($I3522),TEXT($I3522,"0"),$I3522))</f>
        <v/>
      </c>
    </row>
    <row r="3523">
      <c r="B3523" s="25" t="n"/>
      <c r="I3523" s="25" t="n"/>
      <c r="U3523" s="19">
        <f>IF(AND($V3523='設定'!$C$4,COUNTIF('商品マスタ'!$B$6:$B$1005,$W3523)=0),N(U3522)+1,N(U3522))</f>
        <v/>
      </c>
      <c r="V3523" s="19">
        <f>IF($B3523="","",TEXT($B3523,"0000"))</f>
        <v/>
      </c>
      <c r="W3523" s="19">
        <f>IF($I3523="","",IF(ISNUMBER($I3523),TEXT($I3523,"0"),$I3523))</f>
        <v/>
      </c>
    </row>
    <row r="3524">
      <c r="B3524" s="25" t="n"/>
      <c r="I3524" s="25" t="n"/>
      <c r="U3524" s="19">
        <f>IF(AND($V3524='設定'!$C$4,COUNTIF('商品マスタ'!$B$6:$B$1005,$W3524)=0),N(U3523)+1,N(U3523))</f>
        <v/>
      </c>
      <c r="V3524" s="19">
        <f>IF($B3524="","",TEXT($B3524,"0000"))</f>
        <v/>
      </c>
      <c r="W3524" s="19">
        <f>IF($I3524="","",IF(ISNUMBER($I3524),TEXT($I3524,"0"),$I3524))</f>
        <v/>
      </c>
    </row>
    <row r="3525">
      <c r="B3525" s="25" t="n"/>
      <c r="I3525" s="25" t="n"/>
      <c r="U3525" s="19">
        <f>IF(AND($V3525='設定'!$C$4,COUNTIF('商品マスタ'!$B$6:$B$1005,$W3525)=0),N(U3524)+1,N(U3524))</f>
        <v/>
      </c>
      <c r="V3525" s="19">
        <f>IF($B3525="","",TEXT($B3525,"0000"))</f>
        <v/>
      </c>
      <c r="W3525" s="19">
        <f>IF($I3525="","",IF(ISNUMBER($I3525),TEXT($I3525,"0"),$I3525))</f>
        <v/>
      </c>
    </row>
    <row r="3526">
      <c r="B3526" s="25" t="n"/>
      <c r="I3526" s="25" t="n"/>
      <c r="U3526" s="19">
        <f>IF(AND($V3526='設定'!$C$4,COUNTIF('商品マスタ'!$B$6:$B$1005,$W3526)=0),N(U3525)+1,N(U3525))</f>
        <v/>
      </c>
      <c r="V3526" s="19">
        <f>IF($B3526="","",TEXT($B3526,"0000"))</f>
        <v/>
      </c>
      <c r="W3526" s="19">
        <f>IF($I3526="","",IF(ISNUMBER($I3526),TEXT($I3526,"0"),$I3526))</f>
        <v/>
      </c>
    </row>
    <row r="3527">
      <c r="B3527" s="25" t="n"/>
      <c r="I3527" s="25" t="n"/>
      <c r="U3527" s="19">
        <f>IF(AND($V3527='設定'!$C$4,COUNTIF('商品マスタ'!$B$6:$B$1005,$W3527)=0),N(U3526)+1,N(U3526))</f>
        <v/>
      </c>
      <c r="V3527" s="19">
        <f>IF($B3527="","",TEXT($B3527,"0000"))</f>
        <v/>
      </c>
      <c r="W3527" s="19">
        <f>IF($I3527="","",IF(ISNUMBER($I3527),TEXT($I3527,"0"),$I3527))</f>
        <v/>
      </c>
    </row>
    <row r="3528">
      <c r="B3528" s="25" t="n"/>
      <c r="I3528" s="25" t="n"/>
      <c r="U3528" s="19">
        <f>IF(AND($V3528='設定'!$C$4,COUNTIF('商品マスタ'!$B$6:$B$1005,$W3528)=0),N(U3527)+1,N(U3527))</f>
        <v/>
      </c>
      <c r="V3528" s="19">
        <f>IF($B3528="","",TEXT($B3528,"0000"))</f>
        <v/>
      </c>
      <c r="W3528" s="19">
        <f>IF($I3528="","",IF(ISNUMBER($I3528),TEXT($I3528,"0"),$I3528))</f>
        <v/>
      </c>
    </row>
    <row r="3529">
      <c r="B3529" s="25" t="n"/>
      <c r="I3529" s="25" t="n"/>
      <c r="U3529" s="19">
        <f>IF(AND($V3529='設定'!$C$4,COUNTIF('商品マスタ'!$B$6:$B$1005,$W3529)=0),N(U3528)+1,N(U3528))</f>
        <v/>
      </c>
      <c r="V3529" s="19">
        <f>IF($B3529="","",TEXT($B3529,"0000"))</f>
        <v/>
      </c>
      <c r="W3529" s="19">
        <f>IF($I3529="","",IF(ISNUMBER($I3529),TEXT($I3529,"0"),$I3529))</f>
        <v/>
      </c>
    </row>
    <row r="3530">
      <c r="B3530" s="25" t="n"/>
      <c r="I3530" s="25" t="n"/>
      <c r="U3530" s="19">
        <f>IF(AND($V3530='設定'!$C$4,COUNTIF('商品マスタ'!$B$6:$B$1005,$W3530)=0),N(U3529)+1,N(U3529))</f>
        <v/>
      </c>
      <c r="V3530" s="19">
        <f>IF($B3530="","",TEXT($B3530,"0000"))</f>
        <v/>
      </c>
      <c r="W3530" s="19">
        <f>IF($I3530="","",IF(ISNUMBER($I3530),TEXT($I3530,"0"),$I3530))</f>
        <v/>
      </c>
    </row>
    <row r="3531">
      <c r="B3531" s="25" t="n"/>
      <c r="I3531" s="25" t="n"/>
      <c r="U3531" s="19">
        <f>IF(AND($V3531='設定'!$C$4,COUNTIF('商品マスタ'!$B$6:$B$1005,$W3531)=0),N(U3530)+1,N(U3530))</f>
        <v/>
      </c>
      <c r="V3531" s="19">
        <f>IF($B3531="","",TEXT($B3531,"0000"))</f>
        <v/>
      </c>
      <c r="W3531" s="19">
        <f>IF($I3531="","",IF(ISNUMBER($I3531),TEXT($I3531,"0"),$I3531))</f>
        <v/>
      </c>
    </row>
    <row r="3532">
      <c r="B3532" s="25" t="n"/>
      <c r="I3532" s="25" t="n"/>
      <c r="U3532" s="19">
        <f>IF(AND($V3532='設定'!$C$4,COUNTIF('商品マスタ'!$B$6:$B$1005,$W3532)=0),N(U3531)+1,N(U3531))</f>
        <v/>
      </c>
      <c r="V3532" s="19">
        <f>IF($B3532="","",TEXT($B3532,"0000"))</f>
        <v/>
      </c>
      <c r="W3532" s="19">
        <f>IF($I3532="","",IF(ISNUMBER($I3532),TEXT($I3532,"0"),$I3532))</f>
        <v/>
      </c>
    </row>
    <row r="3533">
      <c r="B3533" s="25" t="n"/>
      <c r="I3533" s="25" t="n"/>
      <c r="U3533" s="19">
        <f>IF(AND($V3533='設定'!$C$4,COUNTIF('商品マスタ'!$B$6:$B$1005,$W3533)=0),N(U3532)+1,N(U3532))</f>
        <v/>
      </c>
      <c r="V3533" s="19">
        <f>IF($B3533="","",TEXT($B3533,"0000"))</f>
        <v/>
      </c>
      <c r="W3533" s="19">
        <f>IF($I3533="","",IF(ISNUMBER($I3533),TEXT($I3533,"0"),$I3533))</f>
        <v/>
      </c>
    </row>
    <row r="3534">
      <c r="B3534" s="25" t="n"/>
      <c r="I3534" s="25" t="n"/>
      <c r="U3534" s="19">
        <f>IF(AND($V3534='設定'!$C$4,COUNTIF('商品マスタ'!$B$6:$B$1005,$W3534)=0),N(U3533)+1,N(U3533))</f>
        <v/>
      </c>
      <c r="V3534" s="19">
        <f>IF($B3534="","",TEXT($B3534,"0000"))</f>
        <v/>
      </c>
      <c r="W3534" s="19">
        <f>IF($I3534="","",IF(ISNUMBER($I3534),TEXT($I3534,"0"),$I3534))</f>
        <v/>
      </c>
    </row>
    <row r="3535">
      <c r="B3535" s="25" t="n"/>
      <c r="I3535" s="25" t="n"/>
      <c r="U3535" s="19">
        <f>IF(AND($V3535='設定'!$C$4,COUNTIF('商品マスタ'!$B$6:$B$1005,$W3535)=0),N(U3534)+1,N(U3534))</f>
        <v/>
      </c>
      <c r="V3535" s="19">
        <f>IF($B3535="","",TEXT($B3535,"0000"))</f>
        <v/>
      </c>
      <c r="W3535" s="19">
        <f>IF($I3535="","",IF(ISNUMBER($I3535),TEXT($I3535,"0"),$I3535))</f>
        <v/>
      </c>
    </row>
    <row r="3536">
      <c r="B3536" s="25" t="n"/>
      <c r="I3536" s="25" t="n"/>
      <c r="U3536" s="19">
        <f>IF(AND($V3536='設定'!$C$4,COUNTIF('商品マスタ'!$B$6:$B$1005,$W3536)=0),N(U3535)+1,N(U3535))</f>
        <v/>
      </c>
      <c r="V3536" s="19">
        <f>IF($B3536="","",TEXT($B3536,"0000"))</f>
        <v/>
      </c>
      <c r="W3536" s="19">
        <f>IF($I3536="","",IF(ISNUMBER($I3536),TEXT($I3536,"0"),$I3536))</f>
        <v/>
      </c>
    </row>
    <row r="3537">
      <c r="B3537" s="25" t="n"/>
      <c r="I3537" s="25" t="n"/>
      <c r="U3537" s="19">
        <f>IF(AND($V3537='設定'!$C$4,COUNTIF('商品マスタ'!$B$6:$B$1005,$W3537)=0),N(U3536)+1,N(U3536))</f>
        <v/>
      </c>
      <c r="V3537" s="19">
        <f>IF($B3537="","",TEXT($B3537,"0000"))</f>
        <v/>
      </c>
      <c r="W3537" s="19">
        <f>IF($I3537="","",IF(ISNUMBER($I3537),TEXT($I3537,"0"),$I3537))</f>
        <v/>
      </c>
    </row>
    <row r="3538">
      <c r="B3538" s="25" t="n"/>
      <c r="I3538" s="25" t="n"/>
      <c r="U3538" s="19">
        <f>IF(AND($V3538='設定'!$C$4,COUNTIF('商品マスタ'!$B$6:$B$1005,$W3538)=0),N(U3537)+1,N(U3537))</f>
        <v/>
      </c>
      <c r="V3538" s="19">
        <f>IF($B3538="","",TEXT($B3538,"0000"))</f>
        <v/>
      </c>
      <c r="W3538" s="19">
        <f>IF($I3538="","",IF(ISNUMBER($I3538),TEXT($I3538,"0"),$I3538))</f>
        <v/>
      </c>
    </row>
    <row r="3539">
      <c r="B3539" s="25" t="n"/>
      <c r="I3539" s="25" t="n"/>
      <c r="U3539" s="19">
        <f>IF(AND($V3539='設定'!$C$4,COUNTIF('商品マスタ'!$B$6:$B$1005,$W3539)=0),N(U3538)+1,N(U3538))</f>
        <v/>
      </c>
      <c r="V3539" s="19">
        <f>IF($B3539="","",TEXT($B3539,"0000"))</f>
        <v/>
      </c>
      <c r="W3539" s="19">
        <f>IF($I3539="","",IF(ISNUMBER($I3539),TEXT($I3539,"0"),$I3539))</f>
        <v/>
      </c>
    </row>
    <row r="3540">
      <c r="B3540" s="25" t="n"/>
      <c r="I3540" s="25" t="n"/>
      <c r="U3540" s="19">
        <f>IF(AND($V3540='設定'!$C$4,COUNTIF('商品マスタ'!$B$6:$B$1005,$W3540)=0),N(U3539)+1,N(U3539))</f>
        <v/>
      </c>
      <c r="V3540" s="19">
        <f>IF($B3540="","",TEXT($B3540,"0000"))</f>
        <v/>
      </c>
      <c r="W3540" s="19">
        <f>IF($I3540="","",IF(ISNUMBER($I3540),TEXT($I3540,"0"),$I3540))</f>
        <v/>
      </c>
    </row>
    <row r="3541">
      <c r="B3541" s="25" t="n"/>
      <c r="I3541" s="25" t="n"/>
      <c r="U3541" s="19">
        <f>IF(AND($V3541='設定'!$C$4,COUNTIF('商品マスタ'!$B$6:$B$1005,$W3541)=0),N(U3540)+1,N(U3540))</f>
        <v/>
      </c>
      <c r="V3541" s="19">
        <f>IF($B3541="","",TEXT($B3541,"0000"))</f>
        <v/>
      </c>
      <c r="W3541" s="19">
        <f>IF($I3541="","",IF(ISNUMBER($I3541),TEXT($I3541,"0"),$I3541))</f>
        <v/>
      </c>
    </row>
    <row r="3542">
      <c r="B3542" s="25" t="n"/>
      <c r="I3542" s="25" t="n"/>
      <c r="U3542" s="19">
        <f>IF(AND($V3542='設定'!$C$4,COUNTIF('商品マスタ'!$B$6:$B$1005,$W3542)=0),N(U3541)+1,N(U3541))</f>
        <v/>
      </c>
      <c r="V3542" s="19">
        <f>IF($B3542="","",TEXT($B3542,"0000"))</f>
        <v/>
      </c>
      <c r="W3542" s="19">
        <f>IF($I3542="","",IF(ISNUMBER($I3542),TEXT($I3542,"0"),$I3542))</f>
        <v/>
      </c>
    </row>
    <row r="3543">
      <c r="B3543" s="25" t="n"/>
      <c r="I3543" s="25" t="n"/>
      <c r="U3543" s="19">
        <f>IF(AND($V3543='設定'!$C$4,COUNTIF('商品マスタ'!$B$6:$B$1005,$W3543)=0),N(U3542)+1,N(U3542))</f>
        <v/>
      </c>
      <c r="V3543" s="19">
        <f>IF($B3543="","",TEXT($B3543,"0000"))</f>
        <v/>
      </c>
      <c r="W3543" s="19">
        <f>IF($I3543="","",IF(ISNUMBER($I3543),TEXT($I3543,"0"),$I3543))</f>
        <v/>
      </c>
    </row>
    <row r="3544">
      <c r="B3544" s="25" t="n"/>
      <c r="I3544" s="25" t="n"/>
      <c r="U3544" s="19">
        <f>IF(AND($V3544='設定'!$C$4,COUNTIF('商品マスタ'!$B$6:$B$1005,$W3544)=0),N(U3543)+1,N(U3543))</f>
        <v/>
      </c>
      <c r="V3544" s="19">
        <f>IF($B3544="","",TEXT($B3544,"0000"))</f>
        <v/>
      </c>
      <c r="W3544" s="19">
        <f>IF($I3544="","",IF(ISNUMBER($I3544),TEXT($I3544,"0"),$I3544))</f>
        <v/>
      </c>
    </row>
    <row r="3545">
      <c r="B3545" s="25" t="n"/>
      <c r="I3545" s="25" t="n"/>
      <c r="U3545" s="19">
        <f>IF(AND($V3545='設定'!$C$4,COUNTIF('商品マスタ'!$B$6:$B$1005,$W3545)=0),N(U3544)+1,N(U3544))</f>
        <v/>
      </c>
      <c r="V3545" s="19">
        <f>IF($B3545="","",TEXT($B3545,"0000"))</f>
        <v/>
      </c>
      <c r="W3545" s="19">
        <f>IF($I3545="","",IF(ISNUMBER($I3545),TEXT($I3545,"0"),$I3545))</f>
        <v/>
      </c>
    </row>
    <row r="3546">
      <c r="B3546" s="25" t="n"/>
      <c r="I3546" s="25" t="n"/>
      <c r="U3546" s="19">
        <f>IF(AND($V3546='設定'!$C$4,COUNTIF('商品マスタ'!$B$6:$B$1005,$W3546)=0),N(U3545)+1,N(U3545))</f>
        <v/>
      </c>
      <c r="V3546" s="19">
        <f>IF($B3546="","",TEXT($B3546,"0000"))</f>
        <v/>
      </c>
      <c r="W3546" s="19">
        <f>IF($I3546="","",IF(ISNUMBER($I3546),TEXT($I3546,"0"),$I3546))</f>
        <v/>
      </c>
    </row>
    <row r="3547">
      <c r="B3547" s="25" t="n"/>
      <c r="I3547" s="25" t="n"/>
      <c r="U3547" s="19">
        <f>IF(AND($V3547='設定'!$C$4,COUNTIF('商品マスタ'!$B$6:$B$1005,$W3547)=0),N(U3546)+1,N(U3546))</f>
        <v/>
      </c>
      <c r="V3547" s="19">
        <f>IF($B3547="","",TEXT($B3547,"0000"))</f>
        <v/>
      </c>
      <c r="W3547" s="19">
        <f>IF($I3547="","",IF(ISNUMBER($I3547),TEXT($I3547,"0"),$I3547))</f>
        <v/>
      </c>
    </row>
    <row r="3548">
      <c r="B3548" s="25" t="n"/>
      <c r="I3548" s="25" t="n"/>
      <c r="U3548" s="19">
        <f>IF(AND($V3548='設定'!$C$4,COUNTIF('商品マスタ'!$B$6:$B$1005,$W3548)=0),N(U3547)+1,N(U3547))</f>
        <v/>
      </c>
      <c r="V3548" s="19">
        <f>IF($B3548="","",TEXT($B3548,"0000"))</f>
        <v/>
      </c>
      <c r="W3548" s="19">
        <f>IF($I3548="","",IF(ISNUMBER($I3548),TEXT($I3548,"0"),$I3548))</f>
        <v/>
      </c>
    </row>
    <row r="3549">
      <c r="B3549" s="25" t="n"/>
      <c r="I3549" s="25" t="n"/>
      <c r="U3549" s="19">
        <f>IF(AND($V3549='設定'!$C$4,COUNTIF('商品マスタ'!$B$6:$B$1005,$W3549)=0),N(U3548)+1,N(U3548))</f>
        <v/>
      </c>
      <c r="V3549" s="19">
        <f>IF($B3549="","",TEXT($B3549,"0000"))</f>
        <v/>
      </c>
      <c r="W3549" s="19">
        <f>IF($I3549="","",IF(ISNUMBER($I3549),TEXT($I3549,"0"),$I3549))</f>
        <v/>
      </c>
    </row>
    <row r="3550">
      <c r="B3550" s="25" t="n"/>
      <c r="I3550" s="25" t="n"/>
      <c r="U3550" s="19">
        <f>IF(AND($V3550='設定'!$C$4,COUNTIF('商品マスタ'!$B$6:$B$1005,$W3550)=0),N(U3549)+1,N(U3549))</f>
        <v/>
      </c>
      <c r="V3550" s="19">
        <f>IF($B3550="","",TEXT($B3550,"0000"))</f>
        <v/>
      </c>
      <c r="W3550" s="19">
        <f>IF($I3550="","",IF(ISNUMBER($I3550),TEXT($I3550,"0"),$I3550))</f>
        <v/>
      </c>
    </row>
    <row r="3551">
      <c r="B3551" s="25" t="n"/>
      <c r="I3551" s="25" t="n"/>
      <c r="U3551" s="19">
        <f>IF(AND($V3551='設定'!$C$4,COUNTIF('商品マスタ'!$B$6:$B$1005,$W3551)=0),N(U3550)+1,N(U3550))</f>
        <v/>
      </c>
      <c r="V3551" s="19">
        <f>IF($B3551="","",TEXT($B3551,"0000"))</f>
        <v/>
      </c>
      <c r="W3551" s="19">
        <f>IF($I3551="","",IF(ISNUMBER($I3551),TEXT($I3551,"0"),$I3551))</f>
        <v/>
      </c>
    </row>
    <row r="3552">
      <c r="B3552" s="25" t="n"/>
      <c r="I3552" s="25" t="n"/>
      <c r="U3552" s="19">
        <f>IF(AND($V3552='設定'!$C$4,COUNTIF('商品マスタ'!$B$6:$B$1005,$W3552)=0),N(U3551)+1,N(U3551))</f>
        <v/>
      </c>
      <c r="V3552" s="19">
        <f>IF($B3552="","",TEXT($B3552,"0000"))</f>
        <v/>
      </c>
      <c r="W3552" s="19">
        <f>IF($I3552="","",IF(ISNUMBER($I3552),TEXT($I3552,"0"),$I3552))</f>
        <v/>
      </c>
    </row>
    <row r="3553">
      <c r="B3553" s="25" t="n"/>
      <c r="I3553" s="25" t="n"/>
      <c r="U3553" s="19">
        <f>IF(AND($V3553='設定'!$C$4,COUNTIF('商品マスタ'!$B$6:$B$1005,$W3553)=0),N(U3552)+1,N(U3552))</f>
        <v/>
      </c>
      <c r="V3553" s="19">
        <f>IF($B3553="","",TEXT($B3553,"0000"))</f>
        <v/>
      </c>
      <c r="W3553" s="19">
        <f>IF($I3553="","",IF(ISNUMBER($I3553),TEXT($I3553,"0"),$I3553))</f>
        <v/>
      </c>
    </row>
    <row r="3554">
      <c r="B3554" s="25" t="n"/>
      <c r="I3554" s="25" t="n"/>
      <c r="U3554" s="19">
        <f>IF(AND($V3554='設定'!$C$4,COUNTIF('商品マスタ'!$B$6:$B$1005,$W3554)=0),N(U3553)+1,N(U3553))</f>
        <v/>
      </c>
      <c r="V3554" s="19">
        <f>IF($B3554="","",TEXT($B3554,"0000"))</f>
        <v/>
      </c>
      <c r="W3554" s="19">
        <f>IF($I3554="","",IF(ISNUMBER($I3554),TEXT($I3554,"0"),$I3554))</f>
        <v/>
      </c>
    </row>
    <row r="3555">
      <c r="B3555" s="25" t="n"/>
      <c r="I3555" s="25" t="n"/>
      <c r="U3555" s="19">
        <f>IF(AND($V3555='設定'!$C$4,COUNTIF('商品マスタ'!$B$6:$B$1005,$W3555)=0),N(U3554)+1,N(U3554))</f>
        <v/>
      </c>
      <c r="V3555" s="19">
        <f>IF($B3555="","",TEXT($B3555,"0000"))</f>
        <v/>
      </c>
      <c r="W3555" s="19">
        <f>IF($I3555="","",IF(ISNUMBER($I3555),TEXT($I3555,"0"),$I3555))</f>
        <v/>
      </c>
    </row>
    <row r="3556">
      <c r="B3556" s="25" t="n"/>
      <c r="I3556" s="25" t="n"/>
      <c r="U3556" s="19">
        <f>IF(AND($V3556='設定'!$C$4,COUNTIF('商品マスタ'!$B$6:$B$1005,$W3556)=0),N(U3555)+1,N(U3555))</f>
        <v/>
      </c>
      <c r="V3556" s="19">
        <f>IF($B3556="","",TEXT($B3556,"0000"))</f>
        <v/>
      </c>
      <c r="W3556" s="19">
        <f>IF($I3556="","",IF(ISNUMBER($I3556),TEXT($I3556,"0"),$I3556))</f>
        <v/>
      </c>
    </row>
    <row r="3557">
      <c r="B3557" s="25" t="n"/>
      <c r="I3557" s="25" t="n"/>
      <c r="U3557" s="19">
        <f>IF(AND($V3557='設定'!$C$4,COUNTIF('商品マスタ'!$B$6:$B$1005,$W3557)=0),N(U3556)+1,N(U3556))</f>
        <v/>
      </c>
      <c r="V3557" s="19">
        <f>IF($B3557="","",TEXT($B3557,"0000"))</f>
        <v/>
      </c>
      <c r="W3557" s="19">
        <f>IF($I3557="","",IF(ISNUMBER($I3557),TEXT($I3557,"0"),$I3557))</f>
        <v/>
      </c>
    </row>
    <row r="3558">
      <c r="B3558" s="25" t="n"/>
      <c r="I3558" s="25" t="n"/>
      <c r="U3558" s="19">
        <f>IF(AND($V3558='設定'!$C$4,COUNTIF('商品マスタ'!$B$6:$B$1005,$W3558)=0),N(U3557)+1,N(U3557))</f>
        <v/>
      </c>
      <c r="V3558" s="19">
        <f>IF($B3558="","",TEXT($B3558,"0000"))</f>
        <v/>
      </c>
      <c r="W3558" s="19">
        <f>IF($I3558="","",IF(ISNUMBER($I3558),TEXT($I3558,"0"),$I3558))</f>
        <v/>
      </c>
    </row>
    <row r="3559">
      <c r="B3559" s="25" t="n"/>
      <c r="I3559" s="25" t="n"/>
      <c r="U3559" s="19">
        <f>IF(AND($V3559='設定'!$C$4,COUNTIF('商品マスタ'!$B$6:$B$1005,$W3559)=0),N(U3558)+1,N(U3558))</f>
        <v/>
      </c>
      <c r="V3559" s="19">
        <f>IF($B3559="","",TEXT($B3559,"0000"))</f>
        <v/>
      </c>
      <c r="W3559" s="19">
        <f>IF($I3559="","",IF(ISNUMBER($I3559),TEXT($I3559,"0"),$I3559))</f>
        <v/>
      </c>
    </row>
    <row r="3560">
      <c r="B3560" s="25" t="n"/>
      <c r="I3560" s="25" t="n"/>
      <c r="U3560" s="19">
        <f>IF(AND($V3560='設定'!$C$4,COUNTIF('商品マスタ'!$B$6:$B$1005,$W3560)=0),N(U3559)+1,N(U3559))</f>
        <v/>
      </c>
      <c r="V3560" s="19">
        <f>IF($B3560="","",TEXT($B3560,"0000"))</f>
        <v/>
      </c>
      <c r="W3560" s="19">
        <f>IF($I3560="","",IF(ISNUMBER($I3560),TEXT($I3560,"0"),$I3560))</f>
        <v/>
      </c>
    </row>
    <row r="3561">
      <c r="B3561" s="25" t="n"/>
      <c r="I3561" s="25" t="n"/>
      <c r="U3561" s="19">
        <f>IF(AND($V3561='設定'!$C$4,COUNTIF('商品マスタ'!$B$6:$B$1005,$W3561)=0),N(U3560)+1,N(U3560))</f>
        <v/>
      </c>
      <c r="V3561" s="19">
        <f>IF($B3561="","",TEXT($B3561,"0000"))</f>
        <v/>
      </c>
      <c r="W3561" s="19">
        <f>IF($I3561="","",IF(ISNUMBER($I3561),TEXT($I3561,"0"),$I3561))</f>
        <v/>
      </c>
    </row>
    <row r="3562">
      <c r="B3562" s="25" t="n"/>
      <c r="I3562" s="25" t="n"/>
      <c r="U3562" s="19">
        <f>IF(AND($V3562='設定'!$C$4,COUNTIF('商品マスタ'!$B$6:$B$1005,$W3562)=0),N(U3561)+1,N(U3561))</f>
        <v/>
      </c>
      <c r="V3562" s="19">
        <f>IF($B3562="","",TEXT($B3562,"0000"))</f>
        <v/>
      </c>
      <c r="W3562" s="19">
        <f>IF($I3562="","",IF(ISNUMBER($I3562),TEXT($I3562,"0"),$I3562))</f>
        <v/>
      </c>
    </row>
    <row r="3563">
      <c r="B3563" s="25" t="n"/>
      <c r="I3563" s="25" t="n"/>
      <c r="U3563" s="19">
        <f>IF(AND($V3563='設定'!$C$4,COUNTIF('商品マスタ'!$B$6:$B$1005,$W3563)=0),N(U3562)+1,N(U3562))</f>
        <v/>
      </c>
      <c r="V3563" s="19">
        <f>IF($B3563="","",TEXT($B3563,"0000"))</f>
        <v/>
      </c>
      <c r="W3563" s="19">
        <f>IF($I3563="","",IF(ISNUMBER($I3563),TEXT($I3563,"0"),$I3563))</f>
        <v/>
      </c>
    </row>
    <row r="3564">
      <c r="B3564" s="25" t="n"/>
      <c r="I3564" s="25" t="n"/>
      <c r="U3564" s="19">
        <f>IF(AND($V3564='設定'!$C$4,COUNTIF('商品マスタ'!$B$6:$B$1005,$W3564)=0),N(U3563)+1,N(U3563))</f>
        <v/>
      </c>
      <c r="V3564" s="19">
        <f>IF($B3564="","",TEXT($B3564,"0000"))</f>
        <v/>
      </c>
      <c r="W3564" s="19">
        <f>IF($I3564="","",IF(ISNUMBER($I3564),TEXT($I3564,"0"),$I3564))</f>
        <v/>
      </c>
    </row>
    <row r="3565">
      <c r="B3565" s="25" t="n"/>
      <c r="I3565" s="25" t="n"/>
      <c r="U3565" s="19">
        <f>IF(AND($V3565='設定'!$C$4,COUNTIF('商品マスタ'!$B$6:$B$1005,$W3565)=0),N(U3564)+1,N(U3564))</f>
        <v/>
      </c>
      <c r="V3565" s="19">
        <f>IF($B3565="","",TEXT($B3565,"0000"))</f>
        <v/>
      </c>
      <c r="W3565" s="19">
        <f>IF($I3565="","",IF(ISNUMBER($I3565),TEXT($I3565,"0"),$I3565))</f>
        <v/>
      </c>
    </row>
    <row r="3566">
      <c r="B3566" s="25" t="n"/>
      <c r="I3566" s="25" t="n"/>
      <c r="U3566" s="19">
        <f>IF(AND($V3566='設定'!$C$4,COUNTIF('商品マスタ'!$B$6:$B$1005,$W3566)=0),N(U3565)+1,N(U3565))</f>
        <v/>
      </c>
      <c r="V3566" s="19">
        <f>IF($B3566="","",TEXT($B3566,"0000"))</f>
        <v/>
      </c>
      <c r="W3566" s="19">
        <f>IF($I3566="","",IF(ISNUMBER($I3566),TEXT($I3566,"0"),$I3566))</f>
        <v/>
      </c>
    </row>
    <row r="3567">
      <c r="B3567" s="25" t="n"/>
      <c r="I3567" s="25" t="n"/>
      <c r="U3567" s="19">
        <f>IF(AND($V3567='設定'!$C$4,COUNTIF('商品マスタ'!$B$6:$B$1005,$W3567)=0),N(U3566)+1,N(U3566))</f>
        <v/>
      </c>
      <c r="V3567" s="19">
        <f>IF($B3567="","",TEXT($B3567,"0000"))</f>
        <v/>
      </c>
      <c r="W3567" s="19">
        <f>IF($I3567="","",IF(ISNUMBER($I3567),TEXT($I3567,"0"),$I3567))</f>
        <v/>
      </c>
    </row>
    <row r="3568">
      <c r="B3568" s="25" t="n"/>
      <c r="I3568" s="25" t="n"/>
      <c r="U3568" s="19">
        <f>IF(AND($V3568='設定'!$C$4,COUNTIF('商品マスタ'!$B$6:$B$1005,$W3568)=0),N(U3567)+1,N(U3567))</f>
        <v/>
      </c>
      <c r="V3568" s="19">
        <f>IF($B3568="","",TEXT($B3568,"0000"))</f>
        <v/>
      </c>
      <c r="W3568" s="19">
        <f>IF($I3568="","",IF(ISNUMBER($I3568),TEXT($I3568,"0"),$I3568))</f>
        <v/>
      </c>
    </row>
    <row r="3569">
      <c r="B3569" s="25" t="n"/>
      <c r="I3569" s="25" t="n"/>
      <c r="U3569" s="19">
        <f>IF(AND($V3569='設定'!$C$4,COUNTIF('商品マスタ'!$B$6:$B$1005,$W3569)=0),N(U3568)+1,N(U3568))</f>
        <v/>
      </c>
      <c r="V3569" s="19">
        <f>IF($B3569="","",TEXT($B3569,"0000"))</f>
        <v/>
      </c>
      <c r="W3569" s="19">
        <f>IF($I3569="","",IF(ISNUMBER($I3569),TEXT($I3569,"0"),$I3569))</f>
        <v/>
      </c>
    </row>
    <row r="3570">
      <c r="B3570" s="25" t="n"/>
      <c r="I3570" s="25" t="n"/>
      <c r="U3570" s="19">
        <f>IF(AND($V3570='設定'!$C$4,COUNTIF('商品マスタ'!$B$6:$B$1005,$W3570)=0),N(U3569)+1,N(U3569))</f>
        <v/>
      </c>
      <c r="V3570" s="19">
        <f>IF($B3570="","",TEXT($B3570,"0000"))</f>
        <v/>
      </c>
      <c r="W3570" s="19">
        <f>IF($I3570="","",IF(ISNUMBER($I3570),TEXT($I3570,"0"),$I3570))</f>
        <v/>
      </c>
    </row>
    <row r="3571">
      <c r="B3571" s="25" t="n"/>
      <c r="I3571" s="25" t="n"/>
      <c r="U3571" s="19">
        <f>IF(AND($V3571='設定'!$C$4,COUNTIF('商品マスタ'!$B$6:$B$1005,$W3571)=0),N(U3570)+1,N(U3570))</f>
        <v/>
      </c>
      <c r="V3571" s="19">
        <f>IF($B3571="","",TEXT($B3571,"0000"))</f>
        <v/>
      </c>
      <c r="W3571" s="19">
        <f>IF($I3571="","",IF(ISNUMBER($I3571),TEXT($I3571,"0"),$I3571))</f>
        <v/>
      </c>
    </row>
    <row r="3572">
      <c r="B3572" s="25" t="n"/>
      <c r="I3572" s="25" t="n"/>
      <c r="U3572" s="19">
        <f>IF(AND($V3572='設定'!$C$4,COUNTIF('商品マスタ'!$B$6:$B$1005,$W3572)=0),N(U3571)+1,N(U3571))</f>
        <v/>
      </c>
      <c r="V3572" s="19">
        <f>IF($B3572="","",TEXT($B3572,"0000"))</f>
        <v/>
      </c>
      <c r="W3572" s="19">
        <f>IF($I3572="","",IF(ISNUMBER($I3572),TEXT($I3572,"0"),$I3572))</f>
        <v/>
      </c>
    </row>
    <row r="3573">
      <c r="B3573" s="25" t="n"/>
      <c r="I3573" s="25" t="n"/>
      <c r="U3573" s="19">
        <f>IF(AND($V3573='設定'!$C$4,COUNTIF('商品マスタ'!$B$6:$B$1005,$W3573)=0),N(U3572)+1,N(U3572))</f>
        <v/>
      </c>
      <c r="V3573" s="19">
        <f>IF($B3573="","",TEXT($B3573,"0000"))</f>
        <v/>
      </c>
      <c r="W3573" s="19">
        <f>IF($I3573="","",IF(ISNUMBER($I3573),TEXT($I3573,"0"),$I3573))</f>
        <v/>
      </c>
    </row>
    <row r="3574">
      <c r="B3574" s="25" t="n"/>
      <c r="I3574" s="25" t="n"/>
      <c r="U3574" s="19">
        <f>IF(AND($V3574='設定'!$C$4,COUNTIF('商品マスタ'!$B$6:$B$1005,$W3574)=0),N(U3573)+1,N(U3573))</f>
        <v/>
      </c>
      <c r="V3574" s="19">
        <f>IF($B3574="","",TEXT($B3574,"0000"))</f>
        <v/>
      </c>
      <c r="W3574" s="19">
        <f>IF($I3574="","",IF(ISNUMBER($I3574),TEXT($I3574,"0"),$I3574))</f>
        <v/>
      </c>
    </row>
    <row r="3575">
      <c r="B3575" s="25" t="n"/>
      <c r="I3575" s="25" t="n"/>
      <c r="U3575" s="19">
        <f>IF(AND($V3575='設定'!$C$4,COUNTIF('商品マスタ'!$B$6:$B$1005,$W3575)=0),N(U3574)+1,N(U3574))</f>
        <v/>
      </c>
      <c r="V3575" s="19">
        <f>IF($B3575="","",TEXT($B3575,"0000"))</f>
        <v/>
      </c>
      <c r="W3575" s="19">
        <f>IF($I3575="","",IF(ISNUMBER($I3575),TEXT($I3575,"0"),$I3575))</f>
        <v/>
      </c>
    </row>
    <row r="3576">
      <c r="B3576" s="25" t="n"/>
      <c r="I3576" s="25" t="n"/>
      <c r="U3576" s="19">
        <f>IF(AND($V3576='設定'!$C$4,COUNTIF('商品マスタ'!$B$6:$B$1005,$W3576)=0),N(U3575)+1,N(U3575))</f>
        <v/>
      </c>
      <c r="V3576" s="19">
        <f>IF($B3576="","",TEXT($B3576,"0000"))</f>
        <v/>
      </c>
      <c r="W3576" s="19">
        <f>IF($I3576="","",IF(ISNUMBER($I3576),TEXT($I3576,"0"),$I3576))</f>
        <v/>
      </c>
    </row>
    <row r="3577">
      <c r="B3577" s="25" t="n"/>
      <c r="I3577" s="25" t="n"/>
      <c r="U3577" s="19">
        <f>IF(AND($V3577='設定'!$C$4,COUNTIF('商品マスタ'!$B$6:$B$1005,$W3577)=0),N(U3576)+1,N(U3576))</f>
        <v/>
      </c>
      <c r="V3577" s="19">
        <f>IF($B3577="","",TEXT($B3577,"0000"))</f>
        <v/>
      </c>
      <c r="W3577" s="19">
        <f>IF($I3577="","",IF(ISNUMBER($I3577),TEXT($I3577,"0"),$I3577))</f>
        <v/>
      </c>
    </row>
    <row r="3578">
      <c r="B3578" s="25" t="n"/>
      <c r="I3578" s="25" t="n"/>
      <c r="U3578" s="19">
        <f>IF(AND($V3578='設定'!$C$4,COUNTIF('商品マスタ'!$B$6:$B$1005,$W3578)=0),N(U3577)+1,N(U3577))</f>
        <v/>
      </c>
      <c r="V3578" s="19">
        <f>IF($B3578="","",TEXT($B3578,"0000"))</f>
        <v/>
      </c>
      <c r="W3578" s="19">
        <f>IF($I3578="","",IF(ISNUMBER($I3578),TEXT($I3578,"0"),$I3578))</f>
        <v/>
      </c>
    </row>
    <row r="3579">
      <c r="B3579" s="25" t="n"/>
      <c r="I3579" s="25" t="n"/>
      <c r="U3579" s="19">
        <f>IF(AND($V3579='設定'!$C$4,COUNTIF('商品マスタ'!$B$6:$B$1005,$W3579)=0),N(U3578)+1,N(U3578))</f>
        <v/>
      </c>
      <c r="V3579" s="19">
        <f>IF($B3579="","",TEXT($B3579,"0000"))</f>
        <v/>
      </c>
      <c r="W3579" s="19">
        <f>IF($I3579="","",IF(ISNUMBER($I3579),TEXT($I3579,"0"),$I3579))</f>
        <v/>
      </c>
    </row>
    <row r="3580">
      <c r="B3580" s="25" t="n"/>
      <c r="I3580" s="25" t="n"/>
      <c r="U3580" s="19">
        <f>IF(AND($V3580='設定'!$C$4,COUNTIF('商品マスタ'!$B$6:$B$1005,$W3580)=0),N(U3579)+1,N(U3579))</f>
        <v/>
      </c>
      <c r="V3580" s="19">
        <f>IF($B3580="","",TEXT($B3580,"0000"))</f>
        <v/>
      </c>
      <c r="W3580" s="19">
        <f>IF($I3580="","",IF(ISNUMBER($I3580),TEXT($I3580,"0"),$I3580))</f>
        <v/>
      </c>
    </row>
    <row r="3581">
      <c r="B3581" s="25" t="n"/>
      <c r="I3581" s="25" t="n"/>
      <c r="U3581" s="19">
        <f>IF(AND($V3581='設定'!$C$4,COUNTIF('商品マスタ'!$B$6:$B$1005,$W3581)=0),N(U3580)+1,N(U3580))</f>
        <v/>
      </c>
      <c r="V3581" s="19">
        <f>IF($B3581="","",TEXT($B3581,"0000"))</f>
        <v/>
      </c>
      <c r="W3581" s="19">
        <f>IF($I3581="","",IF(ISNUMBER($I3581),TEXT($I3581,"0"),$I3581))</f>
        <v/>
      </c>
    </row>
    <row r="3582">
      <c r="B3582" s="25" t="n"/>
      <c r="I3582" s="25" t="n"/>
      <c r="U3582" s="19">
        <f>IF(AND($V3582='設定'!$C$4,COUNTIF('商品マスタ'!$B$6:$B$1005,$W3582)=0),N(U3581)+1,N(U3581))</f>
        <v/>
      </c>
      <c r="V3582" s="19">
        <f>IF($B3582="","",TEXT($B3582,"0000"))</f>
        <v/>
      </c>
      <c r="W3582" s="19">
        <f>IF($I3582="","",IF(ISNUMBER($I3582),TEXT($I3582,"0"),$I3582))</f>
        <v/>
      </c>
    </row>
    <row r="3583">
      <c r="B3583" s="25" t="n"/>
      <c r="I3583" s="25" t="n"/>
      <c r="U3583" s="19">
        <f>IF(AND($V3583='設定'!$C$4,COUNTIF('商品マスタ'!$B$6:$B$1005,$W3583)=0),N(U3582)+1,N(U3582))</f>
        <v/>
      </c>
      <c r="V3583" s="19">
        <f>IF($B3583="","",TEXT($B3583,"0000"))</f>
        <v/>
      </c>
      <c r="W3583" s="19">
        <f>IF($I3583="","",IF(ISNUMBER($I3583),TEXT($I3583,"0"),$I3583))</f>
        <v/>
      </c>
    </row>
    <row r="3584">
      <c r="B3584" s="25" t="n"/>
      <c r="I3584" s="25" t="n"/>
      <c r="U3584" s="19">
        <f>IF(AND($V3584='設定'!$C$4,COUNTIF('商品マスタ'!$B$6:$B$1005,$W3584)=0),N(U3583)+1,N(U3583))</f>
        <v/>
      </c>
      <c r="V3584" s="19">
        <f>IF($B3584="","",TEXT($B3584,"0000"))</f>
        <v/>
      </c>
      <c r="W3584" s="19">
        <f>IF($I3584="","",IF(ISNUMBER($I3584),TEXT($I3584,"0"),$I3584))</f>
        <v/>
      </c>
    </row>
    <row r="3585">
      <c r="B3585" s="25" t="n"/>
      <c r="I3585" s="25" t="n"/>
      <c r="U3585" s="19">
        <f>IF(AND($V3585='設定'!$C$4,COUNTIF('商品マスタ'!$B$6:$B$1005,$W3585)=0),N(U3584)+1,N(U3584))</f>
        <v/>
      </c>
      <c r="V3585" s="19">
        <f>IF($B3585="","",TEXT($B3585,"0000"))</f>
        <v/>
      </c>
      <c r="W3585" s="19">
        <f>IF($I3585="","",IF(ISNUMBER($I3585),TEXT($I3585,"0"),$I3585))</f>
        <v/>
      </c>
    </row>
    <row r="3586">
      <c r="B3586" s="25" t="n"/>
      <c r="I3586" s="25" t="n"/>
      <c r="U3586" s="19">
        <f>IF(AND($V3586='設定'!$C$4,COUNTIF('商品マスタ'!$B$6:$B$1005,$W3586)=0),N(U3585)+1,N(U3585))</f>
        <v/>
      </c>
      <c r="V3586" s="19">
        <f>IF($B3586="","",TEXT($B3586,"0000"))</f>
        <v/>
      </c>
      <c r="W3586" s="19">
        <f>IF($I3586="","",IF(ISNUMBER($I3586),TEXT($I3586,"0"),$I3586))</f>
        <v/>
      </c>
    </row>
    <row r="3587">
      <c r="B3587" s="25" t="n"/>
      <c r="I3587" s="25" t="n"/>
      <c r="U3587" s="19">
        <f>IF(AND($V3587='設定'!$C$4,COUNTIF('商品マスタ'!$B$6:$B$1005,$W3587)=0),N(U3586)+1,N(U3586))</f>
        <v/>
      </c>
      <c r="V3587" s="19">
        <f>IF($B3587="","",TEXT($B3587,"0000"))</f>
        <v/>
      </c>
      <c r="W3587" s="19">
        <f>IF($I3587="","",IF(ISNUMBER($I3587),TEXT($I3587,"0"),$I3587))</f>
        <v/>
      </c>
    </row>
    <row r="3588">
      <c r="B3588" s="25" t="n"/>
      <c r="I3588" s="25" t="n"/>
      <c r="U3588" s="19">
        <f>IF(AND($V3588='設定'!$C$4,COUNTIF('商品マスタ'!$B$6:$B$1005,$W3588)=0),N(U3587)+1,N(U3587))</f>
        <v/>
      </c>
      <c r="V3588" s="19">
        <f>IF($B3588="","",TEXT($B3588,"0000"))</f>
        <v/>
      </c>
      <c r="W3588" s="19">
        <f>IF($I3588="","",IF(ISNUMBER($I3588),TEXT($I3588,"0"),$I3588))</f>
        <v/>
      </c>
    </row>
    <row r="3589">
      <c r="B3589" s="25" t="n"/>
      <c r="I3589" s="25" t="n"/>
      <c r="U3589" s="19">
        <f>IF(AND($V3589='設定'!$C$4,COUNTIF('商品マスタ'!$B$6:$B$1005,$W3589)=0),N(U3588)+1,N(U3588))</f>
        <v/>
      </c>
      <c r="V3589" s="19">
        <f>IF($B3589="","",TEXT($B3589,"0000"))</f>
        <v/>
      </c>
      <c r="W3589" s="19">
        <f>IF($I3589="","",IF(ISNUMBER($I3589),TEXT($I3589,"0"),$I3589))</f>
        <v/>
      </c>
    </row>
    <row r="3590">
      <c r="B3590" s="25" t="n"/>
      <c r="I3590" s="25" t="n"/>
      <c r="U3590" s="19">
        <f>IF(AND($V3590='設定'!$C$4,COUNTIF('商品マスタ'!$B$6:$B$1005,$W3590)=0),N(U3589)+1,N(U3589))</f>
        <v/>
      </c>
      <c r="V3590" s="19">
        <f>IF($B3590="","",TEXT($B3590,"0000"))</f>
        <v/>
      </c>
      <c r="W3590" s="19">
        <f>IF($I3590="","",IF(ISNUMBER($I3590),TEXT($I3590,"0"),$I3590))</f>
        <v/>
      </c>
    </row>
    <row r="3591">
      <c r="B3591" s="25" t="n"/>
      <c r="I3591" s="25" t="n"/>
      <c r="U3591" s="19">
        <f>IF(AND($V3591='設定'!$C$4,COUNTIF('商品マスタ'!$B$6:$B$1005,$W3591)=0),N(U3590)+1,N(U3590))</f>
        <v/>
      </c>
      <c r="V3591" s="19">
        <f>IF($B3591="","",TEXT($B3591,"0000"))</f>
        <v/>
      </c>
      <c r="W3591" s="19">
        <f>IF($I3591="","",IF(ISNUMBER($I3591),TEXT($I3591,"0"),$I3591))</f>
        <v/>
      </c>
    </row>
    <row r="3592">
      <c r="B3592" s="25" t="n"/>
      <c r="I3592" s="25" t="n"/>
      <c r="U3592" s="19">
        <f>IF(AND($V3592='設定'!$C$4,COUNTIF('商品マスタ'!$B$6:$B$1005,$W3592)=0),N(U3591)+1,N(U3591))</f>
        <v/>
      </c>
      <c r="V3592" s="19">
        <f>IF($B3592="","",TEXT($B3592,"0000"))</f>
        <v/>
      </c>
      <c r="W3592" s="19">
        <f>IF($I3592="","",IF(ISNUMBER($I3592),TEXT($I3592,"0"),$I3592))</f>
        <v/>
      </c>
    </row>
    <row r="3593">
      <c r="B3593" s="25" t="n"/>
      <c r="I3593" s="25" t="n"/>
      <c r="U3593" s="19">
        <f>IF(AND($V3593='設定'!$C$4,COUNTIF('商品マスタ'!$B$6:$B$1005,$W3593)=0),N(U3592)+1,N(U3592))</f>
        <v/>
      </c>
      <c r="V3593" s="19">
        <f>IF($B3593="","",TEXT($B3593,"0000"))</f>
        <v/>
      </c>
      <c r="W3593" s="19">
        <f>IF($I3593="","",IF(ISNUMBER($I3593),TEXT($I3593,"0"),$I3593))</f>
        <v/>
      </c>
    </row>
    <row r="3594">
      <c r="B3594" s="25" t="n"/>
      <c r="I3594" s="25" t="n"/>
      <c r="U3594" s="19">
        <f>IF(AND($V3594='設定'!$C$4,COUNTIF('商品マスタ'!$B$6:$B$1005,$W3594)=0),N(U3593)+1,N(U3593))</f>
        <v/>
      </c>
      <c r="V3594" s="19">
        <f>IF($B3594="","",TEXT($B3594,"0000"))</f>
        <v/>
      </c>
      <c r="W3594" s="19">
        <f>IF($I3594="","",IF(ISNUMBER($I3594),TEXT($I3594,"0"),$I3594))</f>
        <v/>
      </c>
    </row>
    <row r="3595">
      <c r="B3595" s="25" t="n"/>
      <c r="I3595" s="25" t="n"/>
      <c r="U3595" s="19">
        <f>IF(AND($V3595='設定'!$C$4,COUNTIF('商品マスタ'!$B$6:$B$1005,$W3595)=0),N(U3594)+1,N(U3594))</f>
        <v/>
      </c>
      <c r="V3595" s="19">
        <f>IF($B3595="","",TEXT($B3595,"0000"))</f>
        <v/>
      </c>
      <c r="W3595" s="19">
        <f>IF($I3595="","",IF(ISNUMBER($I3595),TEXT($I3595,"0"),$I3595))</f>
        <v/>
      </c>
    </row>
    <row r="3596">
      <c r="B3596" s="25" t="n"/>
      <c r="I3596" s="25" t="n"/>
      <c r="U3596" s="19">
        <f>IF(AND($V3596='設定'!$C$4,COUNTIF('商品マスタ'!$B$6:$B$1005,$W3596)=0),N(U3595)+1,N(U3595))</f>
        <v/>
      </c>
      <c r="V3596" s="19">
        <f>IF($B3596="","",TEXT($B3596,"0000"))</f>
        <v/>
      </c>
      <c r="W3596" s="19">
        <f>IF($I3596="","",IF(ISNUMBER($I3596),TEXT($I3596,"0"),$I3596))</f>
        <v/>
      </c>
    </row>
    <row r="3597">
      <c r="B3597" s="25" t="n"/>
      <c r="I3597" s="25" t="n"/>
      <c r="U3597" s="19">
        <f>IF(AND($V3597='設定'!$C$4,COUNTIF('商品マスタ'!$B$6:$B$1005,$W3597)=0),N(U3596)+1,N(U3596))</f>
        <v/>
      </c>
      <c r="V3597" s="19">
        <f>IF($B3597="","",TEXT($B3597,"0000"))</f>
        <v/>
      </c>
      <c r="W3597" s="19">
        <f>IF($I3597="","",IF(ISNUMBER($I3597),TEXT($I3597,"0"),$I3597))</f>
        <v/>
      </c>
    </row>
    <row r="3598">
      <c r="B3598" s="25" t="n"/>
      <c r="I3598" s="25" t="n"/>
      <c r="U3598" s="19">
        <f>IF(AND($V3598='設定'!$C$4,COUNTIF('商品マスタ'!$B$6:$B$1005,$W3598)=0),N(U3597)+1,N(U3597))</f>
        <v/>
      </c>
      <c r="V3598" s="19">
        <f>IF($B3598="","",TEXT($B3598,"0000"))</f>
        <v/>
      </c>
      <c r="W3598" s="19">
        <f>IF($I3598="","",IF(ISNUMBER($I3598),TEXT($I3598,"0"),$I3598))</f>
        <v/>
      </c>
    </row>
    <row r="3599">
      <c r="B3599" s="25" t="n"/>
      <c r="I3599" s="25" t="n"/>
      <c r="U3599" s="19">
        <f>IF(AND($V3599='設定'!$C$4,COUNTIF('商品マスタ'!$B$6:$B$1005,$W3599)=0),N(U3598)+1,N(U3598))</f>
        <v/>
      </c>
      <c r="V3599" s="19">
        <f>IF($B3599="","",TEXT($B3599,"0000"))</f>
        <v/>
      </c>
      <c r="W3599" s="19">
        <f>IF($I3599="","",IF(ISNUMBER($I3599),TEXT($I3599,"0"),$I3599))</f>
        <v/>
      </c>
    </row>
    <row r="3600">
      <c r="B3600" s="25" t="n"/>
      <c r="I3600" s="25" t="n"/>
      <c r="U3600" s="19">
        <f>IF(AND($V3600='設定'!$C$4,COUNTIF('商品マスタ'!$B$6:$B$1005,$W3600)=0),N(U3599)+1,N(U3599))</f>
        <v/>
      </c>
      <c r="V3600" s="19">
        <f>IF($B3600="","",TEXT($B3600,"0000"))</f>
        <v/>
      </c>
      <c r="W3600" s="19">
        <f>IF($I3600="","",IF(ISNUMBER($I3600),TEXT($I3600,"0"),$I3600))</f>
        <v/>
      </c>
    </row>
    <row r="3601">
      <c r="B3601" s="25" t="n"/>
      <c r="I3601" s="25" t="n"/>
      <c r="U3601" s="19">
        <f>IF(AND($V3601='設定'!$C$4,COUNTIF('商品マスタ'!$B$6:$B$1005,$W3601)=0),N(U3600)+1,N(U3600))</f>
        <v/>
      </c>
      <c r="V3601" s="19">
        <f>IF($B3601="","",TEXT($B3601,"0000"))</f>
        <v/>
      </c>
      <c r="W3601" s="19">
        <f>IF($I3601="","",IF(ISNUMBER($I3601),TEXT($I3601,"0"),$I3601))</f>
        <v/>
      </c>
    </row>
    <row r="3602">
      <c r="B3602" s="25" t="n"/>
      <c r="I3602" s="25" t="n"/>
      <c r="U3602" s="19">
        <f>IF(AND($V3602='設定'!$C$4,COUNTIF('商品マスタ'!$B$6:$B$1005,$W3602)=0),N(U3601)+1,N(U3601))</f>
        <v/>
      </c>
      <c r="V3602" s="19">
        <f>IF($B3602="","",TEXT($B3602,"0000"))</f>
        <v/>
      </c>
      <c r="W3602" s="19">
        <f>IF($I3602="","",IF(ISNUMBER($I3602),TEXT($I3602,"0"),$I3602))</f>
        <v/>
      </c>
    </row>
    <row r="3603">
      <c r="B3603" s="25" t="n"/>
      <c r="I3603" s="25" t="n"/>
      <c r="U3603" s="19">
        <f>IF(AND($V3603='設定'!$C$4,COUNTIF('商品マスタ'!$B$6:$B$1005,$W3603)=0),N(U3602)+1,N(U3602))</f>
        <v/>
      </c>
      <c r="V3603" s="19">
        <f>IF($B3603="","",TEXT($B3603,"0000"))</f>
        <v/>
      </c>
      <c r="W3603" s="19">
        <f>IF($I3603="","",IF(ISNUMBER($I3603),TEXT($I3603,"0"),$I3603))</f>
        <v/>
      </c>
    </row>
    <row r="3604">
      <c r="B3604" s="25" t="n"/>
      <c r="I3604" s="25" t="n"/>
      <c r="U3604" s="19">
        <f>IF(AND($V3604='設定'!$C$4,COUNTIF('商品マスタ'!$B$6:$B$1005,$W3604)=0),N(U3603)+1,N(U3603))</f>
        <v/>
      </c>
      <c r="V3604" s="19">
        <f>IF($B3604="","",TEXT($B3604,"0000"))</f>
        <v/>
      </c>
      <c r="W3604" s="19">
        <f>IF($I3604="","",IF(ISNUMBER($I3604),TEXT($I3604,"0"),$I3604))</f>
        <v/>
      </c>
    </row>
    <row r="3605">
      <c r="B3605" s="25" t="n"/>
      <c r="I3605" s="25" t="n"/>
      <c r="U3605" s="19">
        <f>IF(AND($V3605='設定'!$C$4,COUNTIF('商品マスタ'!$B$6:$B$1005,$W3605)=0),N(U3604)+1,N(U3604))</f>
        <v/>
      </c>
      <c r="V3605" s="19">
        <f>IF($B3605="","",TEXT($B3605,"0000"))</f>
        <v/>
      </c>
      <c r="W3605" s="19">
        <f>IF($I3605="","",IF(ISNUMBER($I3605),TEXT($I3605,"0"),$I3605))</f>
        <v/>
      </c>
    </row>
    <row r="3606">
      <c r="B3606" s="25" t="n"/>
      <c r="I3606" s="25" t="n"/>
      <c r="U3606" s="19">
        <f>IF(AND($V3606='設定'!$C$4,COUNTIF('商品マスタ'!$B$6:$B$1005,$W3606)=0),N(U3605)+1,N(U3605))</f>
        <v/>
      </c>
      <c r="V3606" s="19">
        <f>IF($B3606="","",TEXT($B3606,"0000"))</f>
        <v/>
      </c>
      <c r="W3606" s="19">
        <f>IF($I3606="","",IF(ISNUMBER($I3606),TEXT($I3606,"0"),$I3606))</f>
        <v/>
      </c>
    </row>
    <row r="3607">
      <c r="B3607" s="25" t="n"/>
      <c r="I3607" s="25" t="n"/>
      <c r="U3607" s="19">
        <f>IF(AND($V3607='設定'!$C$4,COUNTIF('商品マスタ'!$B$6:$B$1005,$W3607)=0),N(U3606)+1,N(U3606))</f>
        <v/>
      </c>
      <c r="V3607" s="19">
        <f>IF($B3607="","",TEXT($B3607,"0000"))</f>
        <v/>
      </c>
      <c r="W3607" s="19">
        <f>IF($I3607="","",IF(ISNUMBER($I3607),TEXT($I3607,"0"),$I3607))</f>
        <v/>
      </c>
    </row>
    <row r="3608">
      <c r="B3608" s="25" t="n"/>
      <c r="I3608" s="25" t="n"/>
      <c r="U3608" s="19">
        <f>IF(AND($V3608='設定'!$C$4,COUNTIF('商品マスタ'!$B$6:$B$1005,$W3608)=0),N(U3607)+1,N(U3607))</f>
        <v/>
      </c>
      <c r="V3608" s="19">
        <f>IF($B3608="","",TEXT($B3608,"0000"))</f>
        <v/>
      </c>
      <c r="W3608" s="19">
        <f>IF($I3608="","",IF(ISNUMBER($I3608),TEXT($I3608,"0"),$I3608))</f>
        <v/>
      </c>
    </row>
    <row r="3609">
      <c r="B3609" s="25" t="n"/>
      <c r="I3609" s="25" t="n"/>
      <c r="U3609" s="19">
        <f>IF(AND($V3609='設定'!$C$4,COUNTIF('商品マスタ'!$B$6:$B$1005,$W3609)=0),N(U3608)+1,N(U3608))</f>
        <v/>
      </c>
      <c r="V3609" s="19">
        <f>IF($B3609="","",TEXT($B3609,"0000"))</f>
        <v/>
      </c>
      <c r="W3609" s="19">
        <f>IF($I3609="","",IF(ISNUMBER($I3609),TEXT($I3609,"0"),$I3609))</f>
        <v/>
      </c>
    </row>
    <row r="3610">
      <c r="B3610" s="25" t="n"/>
      <c r="I3610" s="25" t="n"/>
      <c r="U3610" s="19">
        <f>IF(AND($V3610='設定'!$C$4,COUNTIF('商品マスタ'!$B$6:$B$1005,$W3610)=0),N(U3609)+1,N(U3609))</f>
        <v/>
      </c>
      <c r="V3610" s="19">
        <f>IF($B3610="","",TEXT($B3610,"0000"))</f>
        <v/>
      </c>
      <c r="W3610" s="19">
        <f>IF($I3610="","",IF(ISNUMBER($I3610),TEXT($I3610,"0"),$I3610))</f>
        <v/>
      </c>
    </row>
    <row r="3611">
      <c r="B3611" s="25" t="n"/>
      <c r="I3611" s="25" t="n"/>
      <c r="U3611" s="19">
        <f>IF(AND($V3611='設定'!$C$4,COUNTIF('商品マスタ'!$B$6:$B$1005,$W3611)=0),N(U3610)+1,N(U3610))</f>
        <v/>
      </c>
      <c r="V3611" s="19">
        <f>IF($B3611="","",TEXT($B3611,"0000"))</f>
        <v/>
      </c>
      <c r="W3611" s="19">
        <f>IF($I3611="","",IF(ISNUMBER($I3611),TEXT($I3611,"0"),$I3611))</f>
        <v/>
      </c>
    </row>
    <row r="3612">
      <c r="B3612" s="25" t="n"/>
      <c r="I3612" s="25" t="n"/>
      <c r="U3612" s="19">
        <f>IF(AND($V3612='設定'!$C$4,COUNTIF('商品マスタ'!$B$6:$B$1005,$W3612)=0),N(U3611)+1,N(U3611))</f>
        <v/>
      </c>
      <c r="V3612" s="19">
        <f>IF($B3612="","",TEXT($B3612,"0000"))</f>
        <v/>
      </c>
      <c r="W3612" s="19">
        <f>IF($I3612="","",IF(ISNUMBER($I3612),TEXT($I3612,"0"),$I3612))</f>
        <v/>
      </c>
    </row>
    <row r="3613">
      <c r="B3613" s="25" t="n"/>
      <c r="I3613" s="25" t="n"/>
      <c r="U3613" s="19">
        <f>IF(AND($V3613='設定'!$C$4,COUNTIF('商品マスタ'!$B$6:$B$1005,$W3613)=0),N(U3612)+1,N(U3612))</f>
        <v/>
      </c>
      <c r="V3613" s="19">
        <f>IF($B3613="","",TEXT($B3613,"0000"))</f>
        <v/>
      </c>
      <c r="W3613" s="19">
        <f>IF($I3613="","",IF(ISNUMBER($I3613),TEXT($I3613,"0"),$I3613))</f>
        <v/>
      </c>
    </row>
    <row r="3614">
      <c r="B3614" s="25" t="n"/>
      <c r="I3614" s="25" t="n"/>
      <c r="U3614" s="19">
        <f>IF(AND($V3614='設定'!$C$4,COUNTIF('商品マスタ'!$B$6:$B$1005,$W3614)=0),N(U3613)+1,N(U3613))</f>
        <v/>
      </c>
      <c r="V3614" s="19">
        <f>IF($B3614="","",TEXT($B3614,"0000"))</f>
        <v/>
      </c>
      <c r="W3614" s="19">
        <f>IF($I3614="","",IF(ISNUMBER($I3614),TEXT($I3614,"0"),$I3614))</f>
        <v/>
      </c>
    </row>
    <row r="3615">
      <c r="B3615" s="25" t="n"/>
      <c r="I3615" s="25" t="n"/>
      <c r="U3615" s="19">
        <f>IF(AND($V3615='設定'!$C$4,COUNTIF('商品マスタ'!$B$6:$B$1005,$W3615)=0),N(U3614)+1,N(U3614))</f>
        <v/>
      </c>
      <c r="V3615" s="19">
        <f>IF($B3615="","",TEXT($B3615,"0000"))</f>
        <v/>
      </c>
      <c r="W3615" s="19">
        <f>IF($I3615="","",IF(ISNUMBER($I3615),TEXT($I3615,"0"),$I3615))</f>
        <v/>
      </c>
    </row>
    <row r="3616">
      <c r="B3616" s="25" t="n"/>
      <c r="I3616" s="25" t="n"/>
      <c r="U3616" s="19">
        <f>IF(AND($V3616='設定'!$C$4,COUNTIF('商品マスタ'!$B$6:$B$1005,$W3616)=0),N(U3615)+1,N(U3615))</f>
        <v/>
      </c>
      <c r="V3616" s="19">
        <f>IF($B3616="","",TEXT($B3616,"0000"))</f>
        <v/>
      </c>
      <c r="W3616" s="19">
        <f>IF($I3616="","",IF(ISNUMBER($I3616),TEXT($I3616,"0"),$I3616))</f>
        <v/>
      </c>
    </row>
    <row r="3617">
      <c r="B3617" s="25" t="n"/>
      <c r="I3617" s="25" t="n"/>
      <c r="U3617" s="19">
        <f>IF(AND($V3617='設定'!$C$4,COUNTIF('商品マスタ'!$B$6:$B$1005,$W3617)=0),N(U3616)+1,N(U3616))</f>
        <v/>
      </c>
      <c r="V3617" s="19">
        <f>IF($B3617="","",TEXT($B3617,"0000"))</f>
        <v/>
      </c>
      <c r="W3617" s="19">
        <f>IF($I3617="","",IF(ISNUMBER($I3617),TEXT($I3617,"0"),$I3617))</f>
        <v/>
      </c>
    </row>
    <row r="3618">
      <c r="B3618" s="25" t="n"/>
      <c r="I3618" s="25" t="n"/>
      <c r="U3618" s="19">
        <f>IF(AND($V3618='設定'!$C$4,COUNTIF('商品マスタ'!$B$6:$B$1005,$W3618)=0),N(U3617)+1,N(U3617))</f>
        <v/>
      </c>
      <c r="V3618" s="19">
        <f>IF($B3618="","",TEXT($B3618,"0000"))</f>
        <v/>
      </c>
      <c r="W3618" s="19">
        <f>IF($I3618="","",IF(ISNUMBER($I3618),TEXT($I3618,"0"),$I3618))</f>
        <v/>
      </c>
    </row>
    <row r="3619">
      <c r="B3619" s="25" t="n"/>
      <c r="I3619" s="25" t="n"/>
      <c r="U3619" s="19">
        <f>IF(AND($V3619='設定'!$C$4,COUNTIF('商品マスタ'!$B$6:$B$1005,$W3619)=0),N(U3618)+1,N(U3618))</f>
        <v/>
      </c>
      <c r="V3619" s="19">
        <f>IF($B3619="","",TEXT($B3619,"0000"))</f>
        <v/>
      </c>
      <c r="W3619" s="19">
        <f>IF($I3619="","",IF(ISNUMBER($I3619),TEXT($I3619,"0"),$I3619))</f>
        <v/>
      </c>
    </row>
    <row r="3620">
      <c r="B3620" s="25" t="n"/>
      <c r="I3620" s="25" t="n"/>
      <c r="U3620" s="19">
        <f>IF(AND($V3620='設定'!$C$4,COUNTIF('商品マスタ'!$B$6:$B$1005,$W3620)=0),N(U3619)+1,N(U3619))</f>
        <v/>
      </c>
      <c r="V3620" s="19">
        <f>IF($B3620="","",TEXT($B3620,"0000"))</f>
        <v/>
      </c>
      <c r="W3620" s="19">
        <f>IF($I3620="","",IF(ISNUMBER($I3620),TEXT($I3620,"0"),$I3620))</f>
        <v/>
      </c>
    </row>
    <row r="3621">
      <c r="B3621" s="25" t="n"/>
      <c r="I3621" s="25" t="n"/>
      <c r="U3621" s="19">
        <f>IF(AND($V3621='設定'!$C$4,COUNTIF('商品マスタ'!$B$6:$B$1005,$W3621)=0),N(U3620)+1,N(U3620))</f>
        <v/>
      </c>
      <c r="V3621" s="19">
        <f>IF($B3621="","",TEXT($B3621,"0000"))</f>
        <v/>
      </c>
      <c r="W3621" s="19">
        <f>IF($I3621="","",IF(ISNUMBER($I3621),TEXT($I3621,"0"),$I3621))</f>
        <v/>
      </c>
    </row>
    <row r="3622">
      <c r="B3622" s="25" t="n"/>
      <c r="I3622" s="25" t="n"/>
      <c r="U3622" s="19">
        <f>IF(AND($V3622='設定'!$C$4,COUNTIF('商品マスタ'!$B$6:$B$1005,$W3622)=0),N(U3621)+1,N(U3621))</f>
        <v/>
      </c>
      <c r="V3622" s="19">
        <f>IF($B3622="","",TEXT($B3622,"0000"))</f>
        <v/>
      </c>
      <c r="W3622" s="19">
        <f>IF($I3622="","",IF(ISNUMBER($I3622),TEXT($I3622,"0"),$I3622))</f>
        <v/>
      </c>
    </row>
    <row r="3623">
      <c r="B3623" s="25" t="n"/>
      <c r="I3623" s="25" t="n"/>
      <c r="U3623" s="19">
        <f>IF(AND($V3623='設定'!$C$4,COUNTIF('商品マスタ'!$B$6:$B$1005,$W3623)=0),N(U3622)+1,N(U3622))</f>
        <v/>
      </c>
      <c r="V3623" s="19">
        <f>IF($B3623="","",TEXT($B3623,"0000"))</f>
        <v/>
      </c>
      <c r="W3623" s="19">
        <f>IF($I3623="","",IF(ISNUMBER($I3623),TEXT($I3623,"0"),$I3623))</f>
        <v/>
      </c>
    </row>
    <row r="3624">
      <c r="B3624" s="25" t="n"/>
      <c r="I3624" s="25" t="n"/>
      <c r="U3624" s="19">
        <f>IF(AND($V3624='設定'!$C$4,COUNTIF('商品マスタ'!$B$6:$B$1005,$W3624)=0),N(U3623)+1,N(U3623))</f>
        <v/>
      </c>
      <c r="V3624" s="19">
        <f>IF($B3624="","",TEXT($B3624,"0000"))</f>
        <v/>
      </c>
      <c r="W3624" s="19">
        <f>IF($I3624="","",IF(ISNUMBER($I3624),TEXT($I3624,"0"),$I3624))</f>
        <v/>
      </c>
    </row>
    <row r="3625">
      <c r="B3625" s="25" t="n"/>
      <c r="I3625" s="25" t="n"/>
      <c r="U3625" s="19">
        <f>IF(AND($V3625='設定'!$C$4,COUNTIF('商品マスタ'!$B$6:$B$1005,$W3625)=0),N(U3624)+1,N(U3624))</f>
        <v/>
      </c>
      <c r="V3625" s="19">
        <f>IF($B3625="","",TEXT($B3625,"0000"))</f>
        <v/>
      </c>
      <c r="W3625" s="19">
        <f>IF($I3625="","",IF(ISNUMBER($I3625),TEXT($I3625,"0"),$I3625))</f>
        <v/>
      </c>
    </row>
    <row r="3626">
      <c r="B3626" s="25" t="n"/>
      <c r="I3626" s="25" t="n"/>
      <c r="U3626" s="19">
        <f>IF(AND($V3626='設定'!$C$4,COUNTIF('商品マスタ'!$B$6:$B$1005,$W3626)=0),N(U3625)+1,N(U3625))</f>
        <v/>
      </c>
      <c r="V3626" s="19">
        <f>IF($B3626="","",TEXT($B3626,"0000"))</f>
        <v/>
      </c>
      <c r="W3626" s="19">
        <f>IF($I3626="","",IF(ISNUMBER($I3626),TEXT($I3626,"0"),$I3626))</f>
        <v/>
      </c>
    </row>
    <row r="3627">
      <c r="B3627" s="25" t="n"/>
      <c r="I3627" s="25" t="n"/>
      <c r="U3627" s="19">
        <f>IF(AND($V3627='設定'!$C$4,COUNTIF('商品マスタ'!$B$6:$B$1005,$W3627)=0),N(U3626)+1,N(U3626))</f>
        <v/>
      </c>
      <c r="V3627" s="19">
        <f>IF($B3627="","",TEXT($B3627,"0000"))</f>
        <v/>
      </c>
      <c r="W3627" s="19">
        <f>IF($I3627="","",IF(ISNUMBER($I3627),TEXT($I3627,"0"),$I3627))</f>
        <v/>
      </c>
    </row>
    <row r="3628">
      <c r="B3628" s="25" t="n"/>
      <c r="I3628" s="25" t="n"/>
      <c r="U3628" s="19">
        <f>IF(AND($V3628='設定'!$C$4,COUNTIF('商品マスタ'!$B$6:$B$1005,$W3628)=0),N(U3627)+1,N(U3627))</f>
        <v/>
      </c>
      <c r="V3628" s="19">
        <f>IF($B3628="","",TEXT($B3628,"0000"))</f>
        <v/>
      </c>
      <c r="W3628" s="19">
        <f>IF($I3628="","",IF(ISNUMBER($I3628),TEXT($I3628,"0"),$I3628))</f>
        <v/>
      </c>
    </row>
    <row r="3629">
      <c r="B3629" s="25" t="n"/>
      <c r="I3629" s="25" t="n"/>
      <c r="U3629" s="19">
        <f>IF(AND($V3629='設定'!$C$4,COUNTIF('商品マスタ'!$B$6:$B$1005,$W3629)=0),N(U3628)+1,N(U3628))</f>
        <v/>
      </c>
      <c r="V3629" s="19">
        <f>IF($B3629="","",TEXT($B3629,"0000"))</f>
        <v/>
      </c>
      <c r="W3629" s="19">
        <f>IF($I3629="","",IF(ISNUMBER($I3629),TEXT($I3629,"0"),$I3629))</f>
        <v/>
      </c>
    </row>
    <row r="3630">
      <c r="B3630" s="25" t="n"/>
      <c r="I3630" s="25" t="n"/>
      <c r="U3630" s="19">
        <f>IF(AND($V3630='設定'!$C$4,COUNTIF('商品マスタ'!$B$6:$B$1005,$W3630)=0),N(U3629)+1,N(U3629))</f>
        <v/>
      </c>
      <c r="V3630" s="19">
        <f>IF($B3630="","",TEXT($B3630,"0000"))</f>
        <v/>
      </c>
      <c r="W3630" s="19">
        <f>IF($I3630="","",IF(ISNUMBER($I3630),TEXT($I3630,"0"),$I3630))</f>
        <v/>
      </c>
    </row>
    <row r="3631">
      <c r="B3631" s="25" t="n"/>
      <c r="I3631" s="25" t="n"/>
      <c r="U3631" s="19">
        <f>IF(AND($V3631='設定'!$C$4,COUNTIF('商品マスタ'!$B$6:$B$1005,$W3631)=0),N(U3630)+1,N(U3630))</f>
        <v/>
      </c>
      <c r="V3631" s="19">
        <f>IF($B3631="","",TEXT($B3631,"0000"))</f>
        <v/>
      </c>
      <c r="W3631" s="19">
        <f>IF($I3631="","",IF(ISNUMBER($I3631),TEXT($I3631,"0"),$I3631))</f>
        <v/>
      </c>
    </row>
    <row r="3632">
      <c r="B3632" s="25" t="n"/>
      <c r="I3632" s="25" t="n"/>
      <c r="U3632" s="19">
        <f>IF(AND($V3632='設定'!$C$4,COUNTIF('商品マスタ'!$B$6:$B$1005,$W3632)=0),N(U3631)+1,N(U3631))</f>
        <v/>
      </c>
      <c r="V3632" s="19">
        <f>IF($B3632="","",TEXT($B3632,"0000"))</f>
        <v/>
      </c>
      <c r="W3632" s="19">
        <f>IF($I3632="","",IF(ISNUMBER($I3632),TEXT($I3632,"0"),$I3632))</f>
        <v/>
      </c>
    </row>
    <row r="3633">
      <c r="B3633" s="25" t="n"/>
      <c r="I3633" s="25" t="n"/>
      <c r="U3633" s="19">
        <f>IF(AND($V3633='設定'!$C$4,COUNTIF('商品マスタ'!$B$6:$B$1005,$W3633)=0),N(U3632)+1,N(U3632))</f>
        <v/>
      </c>
      <c r="V3633" s="19">
        <f>IF($B3633="","",TEXT($B3633,"0000"))</f>
        <v/>
      </c>
      <c r="W3633" s="19">
        <f>IF($I3633="","",IF(ISNUMBER($I3633),TEXT($I3633,"0"),$I3633))</f>
        <v/>
      </c>
    </row>
    <row r="3634">
      <c r="B3634" s="25" t="n"/>
      <c r="I3634" s="25" t="n"/>
      <c r="U3634" s="19">
        <f>IF(AND($V3634='設定'!$C$4,COUNTIF('商品マスタ'!$B$6:$B$1005,$W3634)=0),N(U3633)+1,N(U3633))</f>
        <v/>
      </c>
      <c r="V3634" s="19">
        <f>IF($B3634="","",TEXT($B3634,"0000"))</f>
        <v/>
      </c>
      <c r="W3634" s="19">
        <f>IF($I3634="","",IF(ISNUMBER($I3634),TEXT($I3634,"0"),$I3634))</f>
        <v/>
      </c>
    </row>
    <row r="3635">
      <c r="B3635" s="25" t="n"/>
      <c r="I3635" s="25" t="n"/>
      <c r="U3635" s="19">
        <f>IF(AND($V3635='設定'!$C$4,COUNTIF('商品マスタ'!$B$6:$B$1005,$W3635)=0),N(U3634)+1,N(U3634))</f>
        <v/>
      </c>
      <c r="V3635" s="19">
        <f>IF($B3635="","",TEXT($B3635,"0000"))</f>
        <v/>
      </c>
      <c r="W3635" s="19">
        <f>IF($I3635="","",IF(ISNUMBER($I3635),TEXT($I3635,"0"),$I3635))</f>
        <v/>
      </c>
    </row>
    <row r="3636">
      <c r="B3636" s="25" t="n"/>
      <c r="I3636" s="25" t="n"/>
      <c r="U3636" s="19">
        <f>IF(AND($V3636='設定'!$C$4,COUNTIF('商品マスタ'!$B$6:$B$1005,$W3636)=0),N(U3635)+1,N(U3635))</f>
        <v/>
      </c>
      <c r="V3636" s="19">
        <f>IF($B3636="","",TEXT($B3636,"0000"))</f>
        <v/>
      </c>
      <c r="W3636" s="19">
        <f>IF($I3636="","",IF(ISNUMBER($I3636),TEXT($I3636,"0"),$I3636))</f>
        <v/>
      </c>
    </row>
    <row r="3637">
      <c r="B3637" s="25" t="n"/>
      <c r="I3637" s="25" t="n"/>
      <c r="U3637" s="19">
        <f>IF(AND($V3637='設定'!$C$4,COUNTIF('商品マスタ'!$B$6:$B$1005,$W3637)=0),N(U3636)+1,N(U3636))</f>
        <v/>
      </c>
      <c r="V3637" s="19">
        <f>IF($B3637="","",TEXT($B3637,"0000"))</f>
        <v/>
      </c>
      <c r="W3637" s="19">
        <f>IF($I3637="","",IF(ISNUMBER($I3637),TEXT($I3637,"0"),$I3637))</f>
        <v/>
      </c>
    </row>
    <row r="3638">
      <c r="B3638" s="25" t="n"/>
      <c r="I3638" s="25" t="n"/>
      <c r="U3638" s="19">
        <f>IF(AND($V3638='設定'!$C$4,COUNTIF('商品マスタ'!$B$6:$B$1005,$W3638)=0),N(U3637)+1,N(U3637))</f>
        <v/>
      </c>
      <c r="V3638" s="19">
        <f>IF($B3638="","",TEXT($B3638,"0000"))</f>
        <v/>
      </c>
      <c r="W3638" s="19">
        <f>IF($I3638="","",IF(ISNUMBER($I3638),TEXT($I3638,"0"),$I3638))</f>
        <v/>
      </c>
    </row>
    <row r="3639">
      <c r="B3639" s="25" t="n"/>
      <c r="I3639" s="25" t="n"/>
      <c r="U3639" s="19">
        <f>IF(AND($V3639='設定'!$C$4,COUNTIF('商品マスタ'!$B$6:$B$1005,$W3639)=0),N(U3638)+1,N(U3638))</f>
        <v/>
      </c>
      <c r="V3639" s="19">
        <f>IF($B3639="","",TEXT($B3639,"0000"))</f>
        <v/>
      </c>
      <c r="W3639" s="19">
        <f>IF($I3639="","",IF(ISNUMBER($I3639),TEXT($I3639,"0"),$I3639))</f>
        <v/>
      </c>
    </row>
    <row r="3640">
      <c r="B3640" s="25" t="n"/>
      <c r="I3640" s="25" t="n"/>
      <c r="U3640" s="19">
        <f>IF(AND($V3640='設定'!$C$4,COUNTIF('商品マスタ'!$B$6:$B$1005,$W3640)=0),N(U3639)+1,N(U3639))</f>
        <v/>
      </c>
      <c r="V3640" s="19">
        <f>IF($B3640="","",TEXT($B3640,"0000"))</f>
        <v/>
      </c>
      <c r="W3640" s="19">
        <f>IF($I3640="","",IF(ISNUMBER($I3640),TEXT($I3640,"0"),$I3640))</f>
        <v/>
      </c>
    </row>
    <row r="3641">
      <c r="B3641" s="25" t="n"/>
      <c r="I3641" s="25" t="n"/>
      <c r="U3641" s="19">
        <f>IF(AND($V3641='設定'!$C$4,COUNTIF('商品マスタ'!$B$6:$B$1005,$W3641)=0),N(U3640)+1,N(U3640))</f>
        <v/>
      </c>
      <c r="V3641" s="19">
        <f>IF($B3641="","",TEXT($B3641,"0000"))</f>
        <v/>
      </c>
      <c r="W3641" s="19">
        <f>IF($I3641="","",IF(ISNUMBER($I3641),TEXT($I3641,"0"),$I3641))</f>
        <v/>
      </c>
    </row>
    <row r="3642">
      <c r="B3642" s="25" t="n"/>
      <c r="I3642" s="25" t="n"/>
      <c r="U3642" s="19">
        <f>IF(AND($V3642='設定'!$C$4,COUNTIF('商品マスタ'!$B$6:$B$1005,$W3642)=0),N(U3641)+1,N(U3641))</f>
        <v/>
      </c>
      <c r="V3642" s="19">
        <f>IF($B3642="","",TEXT($B3642,"0000"))</f>
        <v/>
      </c>
      <c r="W3642" s="19">
        <f>IF($I3642="","",IF(ISNUMBER($I3642),TEXT($I3642,"0"),$I3642))</f>
        <v/>
      </c>
    </row>
    <row r="3643">
      <c r="B3643" s="25" t="n"/>
      <c r="I3643" s="25" t="n"/>
      <c r="U3643" s="19">
        <f>IF(AND($V3643='設定'!$C$4,COUNTIF('商品マスタ'!$B$6:$B$1005,$W3643)=0),N(U3642)+1,N(U3642))</f>
        <v/>
      </c>
      <c r="V3643" s="19">
        <f>IF($B3643="","",TEXT($B3643,"0000"))</f>
        <v/>
      </c>
      <c r="W3643" s="19">
        <f>IF($I3643="","",IF(ISNUMBER($I3643),TEXT($I3643,"0"),$I3643))</f>
        <v/>
      </c>
    </row>
    <row r="3644">
      <c r="B3644" s="25" t="n"/>
      <c r="I3644" s="25" t="n"/>
      <c r="U3644" s="19">
        <f>IF(AND($V3644='設定'!$C$4,COUNTIF('商品マスタ'!$B$6:$B$1005,$W3644)=0),N(U3643)+1,N(U3643))</f>
        <v/>
      </c>
      <c r="V3644" s="19">
        <f>IF($B3644="","",TEXT($B3644,"0000"))</f>
        <v/>
      </c>
      <c r="W3644" s="19">
        <f>IF($I3644="","",IF(ISNUMBER($I3644),TEXT($I3644,"0"),$I3644))</f>
        <v/>
      </c>
    </row>
    <row r="3645">
      <c r="B3645" s="25" t="n"/>
      <c r="I3645" s="25" t="n"/>
      <c r="U3645" s="19">
        <f>IF(AND($V3645='設定'!$C$4,COUNTIF('商品マスタ'!$B$6:$B$1005,$W3645)=0),N(U3644)+1,N(U3644))</f>
        <v/>
      </c>
      <c r="V3645" s="19">
        <f>IF($B3645="","",TEXT($B3645,"0000"))</f>
        <v/>
      </c>
      <c r="W3645" s="19">
        <f>IF($I3645="","",IF(ISNUMBER($I3645),TEXT($I3645,"0"),$I3645))</f>
        <v/>
      </c>
    </row>
    <row r="3646">
      <c r="B3646" s="25" t="n"/>
      <c r="I3646" s="25" t="n"/>
      <c r="U3646" s="19">
        <f>IF(AND($V3646='設定'!$C$4,COUNTIF('商品マスタ'!$B$6:$B$1005,$W3646)=0),N(U3645)+1,N(U3645))</f>
        <v/>
      </c>
      <c r="V3646" s="19">
        <f>IF($B3646="","",TEXT($B3646,"0000"))</f>
        <v/>
      </c>
      <c r="W3646" s="19">
        <f>IF($I3646="","",IF(ISNUMBER($I3646),TEXT($I3646,"0"),$I3646))</f>
        <v/>
      </c>
    </row>
    <row r="3647">
      <c r="B3647" s="25" t="n"/>
      <c r="I3647" s="25" t="n"/>
      <c r="U3647" s="19">
        <f>IF(AND($V3647='設定'!$C$4,COUNTIF('商品マスタ'!$B$6:$B$1005,$W3647)=0),N(U3646)+1,N(U3646))</f>
        <v/>
      </c>
      <c r="V3647" s="19">
        <f>IF($B3647="","",TEXT($B3647,"0000"))</f>
        <v/>
      </c>
      <c r="W3647" s="19">
        <f>IF($I3647="","",IF(ISNUMBER($I3647),TEXT($I3647,"0"),$I3647))</f>
        <v/>
      </c>
    </row>
    <row r="3648">
      <c r="B3648" s="25" t="n"/>
      <c r="I3648" s="25" t="n"/>
      <c r="U3648" s="19">
        <f>IF(AND($V3648='設定'!$C$4,COUNTIF('商品マスタ'!$B$6:$B$1005,$W3648)=0),N(U3647)+1,N(U3647))</f>
        <v/>
      </c>
      <c r="V3648" s="19">
        <f>IF($B3648="","",TEXT($B3648,"0000"))</f>
        <v/>
      </c>
      <c r="W3648" s="19">
        <f>IF($I3648="","",IF(ISNUMBER($I3648),TEXT($I3648,"0"),$I3648))</f>
        <v/>
      </c>
    </row>
    <row r="3649">
      <c r="B3649" s="25" t="n"/>
      <c r="I3649" s="25" t="n"/>
      <c r="U3649" s="19">
        <f>IF(AND($V3649='設定'!$C$4,COUNTIF('商品マスタ'!$B$6:$B$1005,$W3649)=0),N(U3648)+1,N(U3648))</f>
        <v/>
      </c>
      <c r="V3649" s="19">
        <f>IF($B3649="","",TEXT($B3649,"0000"))</f>
        <v/>
      </c>
      <c r="W3649" s="19">
        <f>IF($I3649="","",IF(ISNUMBER($I3649),TEXT($I3649,"0"),$I3649))</f>
        <v/>
      </c>
    </row>
    <row r="3650">
      <c r="B3650" s="25" t="n"/>
      <c r="I3650" s="25" t="n"/>
      <c r="U3650" s="19">
        <f>IF(AND($V3650='設定'!$C$4,COUNTIF('商品マスタ'!$B$6:$B$1005,$W3650)=0),N(U3649)+1,N(U3649))</f>
        <v/>
      </c>
      <c r="V3650" s="19">
        <f>IF($B3650="","",TEXT($B3650,"0000"))</f>
        <v/>
      </c>
      <c r="W3650" s="19">
        <f>IF($I3650="","",IF(ISNUMBER($I3650),TEXT($I3650,"0"),$I3650))</f>
        <v/>
      </c>
    </row>
    <row r="3651">
      <c r="B3651" s="25" t="n"/>
      <c r="I3651" s="25" t="n"/>
      <c r="U3651" s="19">
        <f>IF(AND($V3651='設定'!$C$4,COUNTIF('商品マスタ'!$B$6:$B$1005,$W3651)=0),N(U3650)+1,N(U3650))</f>
        <v/>
      </c>
      <c r="V3651" s="19">
        <f>IF($B3651="","",TEXT($B3651,"0000"))</f>
        <v/>
      </c>
      <c r="W3651" s="19">
        <f>IF($I3651="","",IF(ISNUMBER($I3651),TEXT($I3651,"0"),$I3651))</f>
        <v/>
      </c>
    </row>
    <row r="3652">
      <c r="B3652" s="25" t="n"/>
      <c r="I3652" s="25" t="n"/>
      <c r="U3652" s="19">
        <f>IF(AND($V3652='設定'!$C$4,COUNTIF('商品マスタ'!$B$6:$B$1005,$W3652)=0),N(U3651)+1,N(U3651))</f>
        <v/>
      </c>
      <c r="V3652" s="19">
        <f>IF($B3652="","",TEXT($B3652,"0000"))</f>
        <v/>
      </c>
      <c r="W3652" s="19">
        <f>IF($I3652="","",IF(ISNUMBER($I3652),TEXT($I3652,"0"),$I3652))</f>
        <v/>
      </c>
    </row>
    <row r="3653">
      <c r="B3653" s="25" t="n"/>
      <c r="I3653" s="25" t="n"/>
      <c r="U3653" s="19">
        <f>IF(AND($V3653='設定'!$C$4,COUNTIF('商品マスタ'!$B$6:$B$1005,$W3653)=0),N(U3652)+1,N(U3652))</f>
        <v/>
      </c>
      <c r="V3653" s="19">
        <f>IF($B3653="","",TEXT($B3653,"0000"))</f>
        <v/>
      </c>
      <c r="W3653" s="19">
        <f>IF($I3653="","",IF(ISNUMBER($I3653),TEXT($I3653,"0"),$I3653))</f>
        <v/>
      </c>
    </row>
    <row r="3654">
      <c r="B3654" s="25" t="n"/>
      <c r="I3654" s="25" t="n"/>
      <c r="U3654" s="19">
        <f>IF(AND($V3654='設定'!$C$4,COUNTIF('商品マスタ'!$B$6:$B$1005,$W3654)=0),N(U3653)+1,N(U3653))</f>
        <v/>
      </c>
      <c r="V3654" s="19">
        <f>IF($B3654="","",TEXT($B3654,"0000"))</f>
        <v/>
      </c>
      <c r="W3654" s="19">
        <f>IF($I3654="","",IF(ISNUMBER($I3654),TEXT($I3654,"0"),$I3654))</f>
        <v/>
      </c>
    </row>
    <row r="3655">
      <c r="B3655" s="25" t="n"/>
      <c r="I3655" s="25" t="n"/>
      <c r="U3655" s="19">
        <f>IF(AND($V3655='設定'!$C$4,COUNTIF('商品マスタ'!$B$6:$B$1005,$W3655)=0),N(U3654)+1,N(U3654))</f>
        <v/>
      </c>
      <c r="V3655" s="19">
        <f>IF($B3655="","",TEXT($B3655,"0000"))</f>
        <v/>
      </c>
      <c r="W3655" s="19">
        <f>IF($I3655="","",IF(ISNUMBER($I3655),TEXT($I3655,"0"),$I3655))</f>
        <v/>
      </c>
    </row>
    <row r="3656">
      <c r="B3656" s="25" t="n"/>
      <c r="I3656" s="25" t="n"/>
      <c r="U3656" s="19">
        <f>IF(AND($V3656='設定'!$C$4,COUNTIF('商品マスタ'!$B$6:$B$1005,$W3656)=0),N(U3655)+1,N(U3655))</f>
        <v/>
      </c>
      <c r="V3656" s="19">
        <f>IF($B3656="","",TEXT($B3656,"0000"))</f>
        <v/>
      </c>
      <c r="W3656" s="19">
        <f>IF($I3656="","",IF(ISNUMBER($I3656),TEXT($I3656,"0"),$I3656))</f>
        <v/>
      </c>
    </row>
    <row r="3657">
      <c r="B3657" s="25" t="n"/>
      <c r="I3657" s="25" t="n"/>
      <c r="U3657" s="19">
        <f>IF(AND($V3657='設定'!$C$4,COUNTIF('商品マスタ'!$B$6:$B$1005,$W3657)=0),N(U3656)+1,N(U3656))</f>
        <v/>
      </c>
      <c r="V3657" s="19">
        <f>IF($B3657="","",TEXT($B3657,"0000"))</f>
        <v/>
      </c>
      <c r="W3657" s="19">
        <f>IF($I3657="","",IF(ISNUMBER($I3657),TEXT($I3657,"0"),$I3657))</f>
        <v/>
      </c>
    </row>
    <row r="3658">
      <c r="B3658" s="25" t="n"/>
      <c r="I3658" s="25" t="n"/>
      <c r="U3658" s="19">
        <f>IF(AND($V3658='設定'!$C$4,COUNTIF('商品マスタ'!$B$6:$B$1005,$W3658)=0),N(U3657)+1,N(U3657))</f>
        <v/>
      </c>
      <c r="V3658" s="19">
        <f>IF($B3658="","",TEXT($B3658,"0000"))</f>
        <v/>
      </c>
      <c r="W3658" s="19">
        <f>IF($I3658="","",IF(ISNUMBER($I3658),TEXT($I3658,"0"),$I3658))</f>
        <v/>
      </c>
    </row>
    <row r="3659">
      <c r="B3659" s="25" t="n"/>
      <c r="I3659" s="25" t="n"/>
      <c r="U3659" s="19">
        <f>IF(AND($V3659='設定'!$C$4,COUNTIF('商品マスタ'!$B$6:$B$1005,$W3659)=0),N(U3658)+1,N(U3658))</f>
        <v/>
      </c>
      <c r="V3659" s="19">
        <f>IF($B3659="","",TEXT($B3659,"0000"))</f>
        <v/>
      </c>
      <c r="W3659" s="19">
        <f>IF($I3659="","",IF(ISNUMBER($I3659),TEXT($I3659,"0"),$I3659))</f>
        <v/>
      </c>
    </row>
    <row r="3660">
      <c r="B3660" s="25" t="n"/>
      <c r="I3660" s="25" t="n"/>
      <c r="U3660" s="19">
        <f>IF(AND($V3660='設定'!$C$4,COUNTIF('商品マスタ'!$B$6:$B$1005,$W3660)=0),N(U3659)+1,N(U3659))</f>
        <v/>
      </c>
      <c r="V3660" s="19">
        <f>IF($B3660="","",TEXT($B3660,"0000"))</f>
        <v/>
      </c>
      <c r="W3660" s="19">
        <f>IF($I3660="","",IF(ISNUMBER($I3660),TEXT($I3660,"0"),$I3660))</f>
        <v/>
      </c>
    </row>
    <row r="3661">
      <c r="B3661" s="25" t="n"/>
      <c r="I3661" s="25" t="n"/>
      <c r="U3661" s="19">
        <f>IF(AND($V3661='設定'!$C$4,COUNTIF('商品マスタ'!$B$6:$B$1005,$W3661)=0),N(U3660)+1,N(U3660))</f>
        <v/>
      </c>
      <c r="V3661" s="19">
        <f>IF($B3661="","",TEXT($B3661,"0000"))</f>
        <v/>
      </c>
      <c r="W3661" s="19">
        <f>IF($I3661="","",IF(ISNUMBER($I3661),TEXT($I3661,"0"),$I3661))</f>
        <v/>
      </c>
    </row>
    <row r="3662">
      <c r="B3662" s="25" t="n"/>
      <c r="I3662" s="25" t="n"/>
      <c r="U3662" s="19">
        <f>IF(AND($V3662='設定'!$C$4,COUNTIF('商品マスタ'!$B$6:$B$1005,$W3662)=0),N(U3661)+1,N(U3661))</f>
        <v/>
      </c>
      <c r="V3662" s="19">
        <f>IF($B3662="","",TEXT($B3662,"0000"))</f>
        <v/>
      </c>
      <c r="W3662" s="19">
        <f>IF($I3662="","",IF(ISNUMBER($I3662),TEXT($I3662,"0"),$I3662))</f>
        <v/>
      </c>
    </row>
    <row r="3663">
      <c r="B3663" s="25" t="n"/>
      <c r="I3663" s="25" t="n"/>
      <c r="U3663" s="19">
        <f>IF(AND($V3663='設定'!$C$4,COUNTIF('商品マスタ'!$B$6:$B$1005,$W3663)=0),N(U3662)+1,N(U3662))</f>
        <v/>
      </c>
      <c r="V3663" s="19">
        <f>IF($B3663="","",TEXT($B3663,"0000"))</f>
        <v/>
      </c>
      <c r="W3663" s="19">
        <f>IF($I3663="","",IF(ISNUMBER($I3663),TEXT($I3663,"0"),$I3663))</f>
        <v/>
      </c>
    </row>
    <row r="3664">
      <c r="B3664" s="25" t="n"/>
      <c r="I3664" s="25" t="n"/>
      <c r="U3664" s="19">
        <f>IF(AND($V3664='設定'!$C$4,COUNTIF('商品マスタ'!$B$6:$B$1005,$W3664)=0),N(U3663)+1,N(U3663))</f>
        <v/>
      </c>
      <c r="V3664" s="19">
        <f>IF($B3664="","",TEXT($B3664,"0000"))</f>
        <v/>
      </c>
      <c r="W3664" s="19">
        <f>IF($I3664="","",IF(ISNUMBER($I3664),TEXT($I3664,"0"),$I3664))</f>
        <v/>
      </c>
    </row>
    <row r="3665">
      <c r="B3665" s="25" t="n"/>
      <c r="I3665" s="25" t="n"/>
      <c r="U3665" s="19">
        <f>IF(AND($V3665='設定'!$C$4,COUNTIF('商品マスタ'!$B$6:$B$1005,$W3665)=0),N(U3664)+1,N(U3664))</f>
        <v/>
      </c>
      <c r="V3665" s="19">
        <f>IF($B3665="","",TEXT($B3665,"0000"))</f>
        <v/>
      </c>
      <c r="W3665" s="19">
        <f>IF($I3665="","",IF(ISNUMBER($I3665),TEXT($I3665,"0"),$I3665))</f>
        <v/>
      </c>
    </row>
    <row r="3666">
      <c r="B3666" s="25" t="n"/>
      <c r="I3666" s="25" t="n"/>
      <c r="U3666" s="19">
        <f>IF(AND($V3666='設定'!$C$4,COUNTIF('商品マスタ'!$B$6:$B$1005,$W3666)=0),N(U3665)+1,N(U3665))</f>
        <v/>
      </c>
      <c r="V3666" s="19">
        <f>IF($B3666="","",TEXT($B3666,"0000"))</f>
        <v/>
      </c>
      <c r="W3666" s="19">
        <f>IF($I3666="","",IF(ISNUMBER($I3666),TEXT($I3666,"0"),$I3666))</f>
        <v/>
      </c>
    </row>
    <row r="3667">
      <c r="B3667" s="25" t="n"/>
      <c r="I3667" s="25" t="n"/>
      <c r="U3667" s="19">
        <f>IF(AND($V3667='設定'!$C$4,COUNTIF('商品マスタ'!$B$6:$B$1005,$W3667)=0),N(U3666)+1,N(U3666))</f>
        <v/>
      </c>
      <c r="V3667" s="19">
        <f>IF($B3667="","",TEXT($B3667,"0000"))</f>
        <v/>
      </c>
      <c r="W3667" s="19">
        <f>IF($I3667="","",IF(ISNUMBER($I3667),TEXT($I3667,"0"),$I3667))</f>
        <v/>
      </c>
    </row>
    <row r="3668">
      <c r="B3668" s="25" t="n"/>
      <c r="I3668" s="25" t="n"/>
      <c r="U3668" s="19">
        <f>IF(AND($V3668='設定'!$C$4,COUNTIF('商品マスタ'!$B$6:$B$1005,$W3668)=0),N(U3667)+1,N(U3667))</f>
        <v/>
      </c>
      <c r="V3668" s="19">
        <f>IF($B3668="","",TEXT($B3668,"0000"))</f>
        <v/>
      </c>
      <c r="W3668" s="19">
        <f>IF($I3668="","",IF(ISNUMBER($I3668),TEXT($I3668,"0"),$I3668))</f>
        <v/>
      </c>
    </row>
    <row r="3669">
      <c r="B3669" s="25" t="n"/>
      <c r="I3669" s="25" t="n"/>
      <c r="U3669" s="19">
        <f>IF(AND($V3669='設定'!$C$4,COUNTIF('商品マスタ'!$B$6:$B$1005,$W3669)=0),N(U3668)+1,N(U3668))</f>
        <v/>
      </c>
      <c r="V3669" s="19">
        <f>IF($B3669="","",TEXT($B3669,"0000"))</f>
        <v/>
      </c>
      <c r="W3669" s="19">
        <f>IF($I3669="","",IF(ISNUMBER($I3669),TEXT($I3669,"0"),$I3669))</f>
        <v/>
      </c>
    </row>
    <row r="3670">
      <c r="B3670" s="25" t="n"/>
      <c r="I3670" s="25" t="n"/>
      <c r="U3670" s="19">
        <f>IF(AND($V3670='設定'!$C$4,COUNTIF('商品マスタ'!$B$6:$B$1005,$W3670)=0),N(U3669)+1,N(U3669))</f>
        <v/>
      </c>
      <c r="V3670" s="19">
        <f>IF($B3670="","",TEXT($B3670,"0000"))</f>
        <v/>
      </c>
      <c r="W3670" s="19">
        <f>IF($I3670="","",IF(ISNUMBER($I3670),TEXT($I3670,"0"),$I3670))</f>
        <v/>
      </c>
    </row>
    <row r="3671">
      <c r="B3671" s="25" t="n"/>
      <c r="I3671" s="25" t="n"/>
      <c r="U3671" s="19">
        <f>IF(AND($V3671='設定'!$C$4,COUNTIF('商品マスタ'!$B$6:$B$1005,$W3671)=0),N(U3670)+1,N(U3670))</f>
        <v/>
      </c>
      <c r="V3671" s="19">
        <f>IF($B3671="","",TEXT($B3671,"0000"))</f>
        <v/>
      </c>
      <c r="W3671" s="19">
        <f>IF($I3671="","",IF(ISNUMBER($I3671),TEXT($I3671,"0"),$I3671))</f>
        <v/>
      </c>
    </row>
    <row r="3672">
      <c r="B3672" s="25" t="n"/>
      <c r="I3672" s="25" t="n"/>
      <c r="U3672" s="19">
        <f>IF(AND($V3672='設定'!$C$4,COUNTIF('商品マスタ'!$B$6:$B$1005,$W3672)=0),N(U3671)+1,N(U3671))</f>
        <v/>
      </c>
      <c r="V3672" s="19">
        <f>IF($B3672="","",TEXT($B3672,"0000"))</f>
        <v/>
      </c>
      <c r="W3672" s="19">
        <f>IF($I3672="","",IF(ISNUMBER($I3672),TEXT($I3672,"0"),$I3672))</f>
        <v/>
      </c>
    </row>
    <row r="3673">
      <c r="B3673" s="25" t="n"/>
      <c r="I3673" s="25" t="n"/>
      <c r="U3673" s="19">
        <f>IF(AND($V3673='設定'!$C$4,COUNTIF('商品マスタ'!$B$6:$B$1005,$W3673)=0),N(U3672)+1,N(U3672))</f>
        <v/>
      </c>
      <c r="V3673" s="19">
        <f>IF($B3673="","",TEXT($B3673,"0000"))</f>
        <v/>
      </c>
      <c r="W3673" s="19">
        <f>IF($I3673="","",IF(ISNUMBER($I3673),TEXT($I3673,"0"),$I3673))</f>
        <v/>
      </c>
    </row>
    <row r="3674">
      <c r="B3674" s="25" t="n"/>
      <c r="I3674" s="25" t="n"/>
      <c r="U3674" s="19">
        <f>IF(AND($V3674='設定'!$C$4,COUNTIF('商品マスタ'!$B$6:$B$1005,$W3674)=0),N(U3673)+1,N(U3673))</f>
        <v/>
      </c>
      <c r="V3674" s="19">
        <f>IF($B3674="","",TEXT($B3674,"0000"))</f>
        <v/>
      </c>
      <c r="W3674" s="19">
        <f>IF($I3674="","",IF(ISNUMBER($I3674),TEXT($I3674,"0"),$I3674))</f>
        <v/>
      </c>
    </row>
    <row r="3675">
      <c r="B3675" s="25" t="n"/>
      <c r="I3675" s="25" t="n"/>
      <c r="U3675" s="19">
        <f>IF(AND($V3675='設定'!$C$4,COUNTIF('商品マスタ'!$B$6:$B$1005,$W3675)=0),N(U3674)+1,N(U3674))</f>
        <v/>
      </c>
      <c r="V3675" s="19">
        <f>IF($B3675="","",TEXT($B3675,"0000"))</f>
        <v/>
      </c>
      <c r="W3675" s="19">
        <f>IF($I3675="","",IF(ISNUMBER($I3675),TEXT($I3675,"0"),$I3675))</f>
        <v/>
      </c>
    </row>
    <row r="3676">
      <c r="B3676" s="25" t="n"/>
      <c r="I3676" s="25" t="n"/>
      <c r="U3676" s="19">
        <f>IF(AND($V3676='設定'!$C$4,COUNTIF('商品マスタ'!$B$6:$B$1005,$W3676)=0),N(U3675)+1,N(U3675))</f>
        <v/>
      </c>
      <c r="V3676" s="19">
        <f>IF($B3676="","",TEXT($B3676,"0000"))</f>
        <v/>
      </c>
      <c r="W3676" s="19">
        <f>IF($I3676="","",IF(ISNUMBER($I3676),TEXT($I3676,"0"),$I3676))</f>
        <v/>
      </c>
    </row>
    <row r="3677">
      <c r="B3677" s="25" t="n"/>
      <c r="I3677" s="25" t="n"/>
      <c r="U3677" s="19">
        <f>IF(AND($V3677='設定'!$C$4,COUNTIF('商品マスタ'!$B$6:$B$1005,$W3677)=0),N(U3676)+1,N(U3676))</f>
        <v/>
      </c>
      <c r="V3677" s="19">
        <f>IF($B3677="","",TEXT($B3677,"0000"))</f>
        <v/>
      </c>
      <c r="W3677" s="19">
        <f>IF($I3677="","",IF(ISNUMBER($I3677),TEXT($I3677,"0"),$I3677))</f>
        <v/>
      </c>
    </row>
    <row r="3678">
      <c r="B3678" s="25" t="n"/>
      <c r="I3678" s="25" t="n"/>
      <c r="U3678" s="19">
        <f>IF(AND($V3678='設定'!$C$4,COUNTIF('商品マスタ'!$B$6:$B$1005,$W3678)=0),N(U3677)+1,N(U3677))</f>
        <v/>
      </c>
      <c r="V3678" s="19">
        <f>IF($B3678="","",TEXT($B3678,"0000"))</f>
        <v/>
      </c>
      <c r="W3678" s="19">
        <f>IF($I3678="","",IF(ISNUMBER($I3678),TEXT($I3678,"0"),$I3678))</f>
        <v/>
      </c>
    </row>
    <row r="3679">
      <c r="B3679" s="25" t="n"/>
      <c r="I3679" s="25" t="n"/>
      <c r="U3679" s="19">
        <f>IF(AND($V3679='設定'!$C$4,COUNTIF('商品マスタ'!$B$6:$B$1005,$W3679)=0),N(U3678)+1,N(U3678))</f>
        <v/>
      </c>
      <c r="V3679" s="19">
        <f>IF($B3679="","",TEXT($B3679,"0000"))</f>
        <v/>
      </c>
      <c r="W3679" s="19">
        <f>IF($I3679="","",IF(ISNUMBER($I3679),TEXT($I3679,"0"),$I3679))</f>
        <v/>
      </c>
    </row>
    <row r="3680">
      <c r="B3680" s="25" t="n"/>
      <c r="I3680" s="25" t="n"/>
      <c r="U3680" s="19">
        <f>IF(AND($V3680='設定'!$C$4,COUNTIF('商品マスタ'!$B$6:$B$1005,$W3680)=0),N(U3679)+1,N(U3679))</f>
        <v/>
      </c>
      <c r="V3680" s="19">
        <f>IF($B3680="","",TEXT($B3680,"0000"))</f>
        <v/>
      </c>
      <c r="W3680" s="19">
        <f>IF($I3680="","",IF(ISNUMBER($I3680),TEXT($I3680,"0"),$I3680))</f>
        <v/>
      </c>
    </row>
    <row r="3681">
      <c r="B3681" s="25" t="n"/>
      <c r="I3681" s="25" t="n"/>
      <c r="U3681" s="19">
        <f>IF(AND($V3681='設定'!$C$4,COUNTIF('商品マスタ'!$B$6:$B$1005,$W3681)=0),N(U3680)+1,N(U3680))</f>
        <v/>
      </c>
      <c r="V3681" s="19">
        <f>IF($B3681="","",TEXT($B3681,"0000"))</f>
        <v/>
      </c>
      <c r="W3681" s="19">
        <f>IF($I3681="","",IF(ISNUMBER($I3681),TEXT($I3681,"0"),$I3681))</f>
        <v/>
      </c>
    </row>
    <row r="3682">
      <c r="B3682" s="25" t="n"/>
      <c r="I3682" s="25" t="n"/>
      <c r="U3682" s="19">
        <f>IF(AND($V3682='設定'!$C$4,COUNTIF('商品マスタ'!$B$6:$B$1005,$W3682)=0),N(U3681)+1,N(U3681))</f>
        <v/>
      </c>
      <c r="V3682" s="19">
        <f>IF($B3682="","",TEXT($B3682,"0000"))</f>
        <v/>
      </c>
      <c r="W3682" s="19">
        <f>IF($I3682="","",IF(ISNUMBER($I3682),TEXT($I3682,"0"),$I3682))</f>
        <v/>
      </c>
    </row>
    <row r="3683">
      <c r="B3683" s="25" t="n"/>
      <c r="I3683" s="25" t="n"/>
      <c r="U3683" s="19">
        <f>IF(AND($V3683='設定'!$C$4,COUNTIF('商品マスタ'!$B$6:$B$1005,$W3683)=0),N(U3682)+1,N(U3682))</f>
        <v/>
      </c>
      <c r="V3683" s="19">
        <f>IF($B3683="","",TEXT($B3683,"0000"))</f>
        <v/>
      </c>
      <c r="W3683" s="19">
        <f>IF($I3683="","",IF(ISNUMBER($I3683),TEXT($I3683,"0"),$I3683))</f>
        <v/>
      </c>
    </row>
    <row r="3684">
      <c r="B3684" s="25" t="n"/>
      <c r="I3684" s="25" t="n"/>
      <c r="U3684" s="19">
        <f>IF(AND($V3684='設定'!$C$4,COUNTIF('商品マスタ'!$B$6:$B$1005,$W3684)=0),N(U3683)+1,N(U3683))</f>
        <v/>
      </c>
      <c r="V3684" s="19">
        <f>IF($B3684="","",TEXT($B3684,"0000"))</f>
        <v/>
      </c>
      <c r="W3684" s="19">
        <f>IF($I3684="","",IF(ISNUMBER($I3684),TEXT($I3684,"0"),$I3684))</f>
        <v/>
      </c>
    </row>
    <row r="3685">
      <c r="B3685" s="25" t="n"/>
      <c r="I3685" s="25" t="n"/>
      <c r="U3685" s="19">
        <f>IF(AND($V3685='設定'!$C$4,COUNTIF('商品マスタ'!$B$6:$B$1005,$W3685)=0),N(U3684)+1,N(U3684))</f>
        <v/>
      </c>
      <c r="V3685" s="19">
        <f>IF($B3685="","",TEXT($B3685,"0000"))</f>
        <v/>
      </c>
      <c r="W3685" s="19">
        <f>IF($I3685="","",IF(ISNUMBER($I3685),TEXT($I3685,"0"),$I3685))</f>
        <v/>
      </c>
    </row>
    <row r="3686">
      <c r="B3686" s="25" t="n"/>
      <c r="I3686" s="25" t="n"/>
      <c r="U3686" s="19">
        <f>IF(AND($V3686='設定'!$C$4,COUNTIF('商品マスタ'!$B$6:$B$1005,$W3686)=0),N(U3685)+1,N(U3685))</f>
        <v/>
      </c>
      <c r="V3686" s="19">
        <f>IF($B3686="","",TEXT($B3686,"0000"))</f>
        <v/>
      </c>
      <c r="W3686" s="19">
        <f>IF($I3686="","",IF(ISNUMBER($I3686),TEXT($I3686,"0"),$I3686))</f>
        <v/>
      </c>
    </row>
    <row r="3687">
      <c r="B3687" s="25" t="n"/>
      <c r="I3687" s="25" t="n"/>
      <c r="U3687" s="19">
        <f>IF(AND($V3687='設定'!$C$4,COUNTIF('商品マスタ'!$B$6:$B$1005,$W3687)=0),N(U3686)+1,N(U3686))</f>
        <v/>
      </c>
      <c r="V3687" s="19">
        <f>IF($B3687="","",TEXT($B3687,"0000"))</f>
        <v/>
      </c>
      <c r="W3687" s="19">
        <f>IF($I3687="","",IF(ISNUMBER($I3687),TEXT($I3687,"0"),$I3687))</f>
        <v/>
      </c>
    </row>
    <row r="3688">
      <c r="B3688" s="25" t="n"/>
      <c r="I3688" s="25" t="n"/>
      <c r="U3688" s="19">
        <f>IF(AND($V3688='設定'!$C$4,COUNTIF('商品マスタ'!$B$6:$B$1005,$W3688)=0),N(U3687)+1,N(U3687))</f>
        <v/>
      </c>
      <c r="V3688" s="19">
        <f>IF($B3688="","",TEXT($B3688,"0000"))</f>
        <v/>
      </c>
      <c r="W3688" s="19">
        <f>IF($I3688="","",IF(ISNUMBER($I3688),TEXT($I3688,"0"),$I3688))</f>
        <v/>
      </c>
    </row>
    <row r="3689">
      <c r="B3689" s="25" t="n"/>
      <c r="I3689" s="25" t="n"/>
      <c r="U3689" s="19">
        <f>IF(AND($V3689='設定'!$C$4,COUNTIF('商品マスタ'!$B$6:$B$1005,$W3689)=0),N(U3688)+1,N(U3688))</f>
        <v/>
      </c>
      <c r="V3689" s="19">
        <f>IF($B3689="","",TEXT($B3689,"0000"))</f>
        <v/>
      </c>
      <c r="W3689" s="19">
        <f>IF($I3689="","",IF(ISNUMBER($I3689),TEXT($I3689,"0"),$I3689))</f>
        <v/>
      </c>
    </row>
    <row r="3690">
      <c r="B3690" s="25" t="n"/>
      <c r="I3690" s="25" t="n"/>
      <c r="U3690" s="19">
        <f>IF(AND($V3690='設定'!$C$4,COUNTIF('商品マスタ'!$B$6:$B$1005,$W3690)=0),N(U3689)+1,N(U3689))</f>
        <v/>
      </c>
      <c r="V3690" s="19">
        <f>IF($B3690="","",TEXT($B3690,"0000"))</f>
        <v/>
      </c>
      <c r="W3690" s="19">
        <f>IF($I3690="","",IF(ISNUMBER($I3690),TEXT($I3690,"0"),$I3690))</f>
        <v/>
      </c>
    </row>
    <row r="3691">
      <c r="B3691" s="25" t="n"/>
      <c r="I3691" s="25" t="n"/>
      <c r="U3691" s="19">
        <f>IF(AND($V3691='設定'!$C$4,COUNTIF('商品マスタ'!$B$6:$B$1005,$W3691)=0),N(U3690)+1,N(U3690))</f>
        <v/>
      </c>
      <c r="V3691" s="19">
        <f>IF($B3691="","",TEXT($B3691,"0000"))</f>
        <v/>
      </c>
      <c r="W3691" s="19">
        <f>IF($I3691="","",IF(ISNUMBER($I3691),TEXT($I3691,"0"),$I3691))</f>
        <v/>
      </c>
    </row>
    <row r="3692">
      <c r="B3692" s="25" t="n"/>
      <c r="I3692" s="25" t="n"/>
      <c r="U3692" s="19">
        <f>IF(AND($V3692='設定'!$C$4,COUNTIF('商品マスタ'!$B$6:$B$1005,$W3692)=0),N(U3691)+1,N(U3691))</f>
        <v/>
      </c>
      <c r="V3692" s="19">
        <f>IF($B3692="","",TEXT($B3692,"0000"))</f>
        <v/>
      </c>
      <c r="W3692" s="19">
        <f>IF($I3692="","",IF(ISNUMBER($I3692),TEXT($I3692,"0"),$I3692))</f>
        <v/>
      </c>
    </row>
    <row r="3693">
      <c r="B3693" s="25" t="n"/>
      <c r="I3693" s="25" t="n"/>
      <c r="U3693" s="19">
        <f>IF(AND($V3693='設定'!$C$4,COUNTIF('商品マスタ'!$B$6:$B$1005,$W3693)=0),N(U3692)+1,N(U3692))</f>
        <v/>
      </c>
      <c r="V3693" s="19">
        <f>IF($B3693="","",TEXT($B3693,"0000"))</f>
        <v/>
      </c>
      <c r="W3693" s="19">
        <f>IF($I3693="","",IF(ISNUMBER($I3693),TEXT($I3693,"0"),$I3693))</f>
        <v/>
      </c>
    </row>
    <row r="3694">
      <c r="B3694" s="25" t="n"/>
      <c r="I3694" s="25" t="n"/>
      <c r="U3694" s="19">
        <f>IF(AND($V3694='設定'!$C$4,COUNTIF('商品マスタ'!$B$6:$B$1005,$W3694)=0),N(U3693)+1,N(U3693))</f>
        <v/>
      </c>
      <c r="V3694" s="19">
        <f>IF($B3694="","",TEXT($B3694,"0000"))</f>
        <v/>
      </c>
      <c r="W3694" s="19">
        <f>IF($I3694="","",IF(ISNUMBER($I3694),TEXT($I3694,"0"),$I3694))</f>
        <v/>
      </c>
    </row>
    <row r="3695">
      <c r="B3695" s="25" t="n"/>
      <c r="I3695" s="25" t="n"/>
      <c r="U3695" s="19">
        <f>IF(AND($V3695='設定'!$C$4,COUNTIF('商品マスタ'!$B$6:$B$1005,$W3695)=0),N(U3694)+1,N(U3694))</f>
        <v/>
      </c>
      <c r="V3695" s="19">
        <f>IF($B3695="","",TEXT($B3695,"0000"))</f>
        <v/>
      </c>
      <c r="W3695" s="19">
        <f>IF($I3695="","",IF(ISNUMBER($I3695),TEXT($I3695,"0"),$I3695))</f>
        <v/>
      </c>
    </row>
    <row r="3696">
      <c r="B3696" s="25" t="n"/>
      <c r="I3696" s="25" t="n"/>
      <c r="U3696" s="19">
        <f>IF(AND($V3696='設定'!$C$4,COUNTIF('商品マスタ'!$B$6:$B$1005,$W3696)=0),N(U3695)+1,N(U3695))</f>
        <v/>
      </c>
      <c r="V3696" s="19">
        <f>IF($B3696="","",TEXT($B3696,"0000"))</f>
        <v/>
      </c>
      <c r="W3696" s="19">
        <f>IF($I3696="","",IF(ISNUMBER($I3696),TEXT($I3696,"0"),$I3696))</f>
        <v/>
      </c>
    </row>
    <row r="3697">
      <c r="B3697" s="25" t="n"/>
      <c r="I3697" s="25" t="n"/>
      <c r="U3697" s="19">
        <f>IF(AND($V3697='設定'!$C$4,COUNTIF('商品マスタ'!$B$6:$B$1005,$W3697)=0),N(U3696)+1,N(U3696))</f>
        <v/>
      </c>
      <c r="V3697" s="19">
        <f>IF($B3697="","",TEXT($B3697,"0000"))</f>
        <v/>
      </c>
      <c r="W3697" s="19">
        <f>IF($I3697="","",IF(ISNUMBER($I3697),TEXT($I3697,"0"),$I3697))</f>
        <v/>
      </c>
    </row>
    <row r="3698">
      <c r="B3698" s="25" t="n"/>
      <c r="I3698" s="25" t="n"/>
      <c r="U3698" s="19">
        <f>IF(AND($V3698='設定'!$C$4,COUNTIF('商品マスタ'!$B$6:$B$1005,$W3698)=0),N(U3697)+1,N(U3697))</f>
        <v/>
      </c>
      <c r="V3698" s="19">
        <f>IF($B3698="","",TEXT($B3698,"0000"))</f>
        <v/>
      </c>
      <c r="W3698" s="19">
        <f>IF($I3698="","",IF(ISNUMBER($I3698),TEXT($I3698,"0"),$I3698))</f>
        <v/>
      </c>
    </row>
    <row r="3699">
      <c r="B3699" s="25" t="n"/>
      <c r="I3699" s="25" t="n"/>
      <c r="U3699" s="19">
        <f>IF(AND($V3699='設定'!$C$4,COUNTIF('商品マスタ'!$B$6:$B$1005,$W3699)=0),N(U3698)+1,N(U3698))</f>
        <v/>
      </c>
      <c r="V3699" s="19">
        <f>IF($B3699="","",TEXT($B3699,"0000"))</f>
        <v/>
      </c>
      <c r="W3699" s="19">
        <f>IF($I3699="","",IF(ISNUMBER($I3699),TEXT($I3699,"0"),$I3699))</f>
        <v/>
      </c>
    </row>
    <row r="3700">
      <c r="B3700" s="25" t="n"/>
      <c r="I3700" s="25" t="n"/>
      <c r="U3700" s="19">
        <f>IF(AND($V3700='設定'!$C$4,COUNTIF('商品マスタ'!$B$6:$B$1005,$W3700)=0),N(U3699)+1,N(U3699))</f>
        <v/>
      </c>
      <c r="V3700" s="19">
        <f>IF($B3700="","",TEXT($B3700,"0000"))</f>
        <v/>
      </c>
      <c r="W3700" s="19">
        <f>IF($I3700="","",IF(ISNUMBER($I3700),TEXT($I3700,"0"),$I3700))</f>
        <v/>
      </c>
    </row>
    <row r="3701">
      <c r="B3701" s="25" t="n"/>
      <c r="I3701" s="25" t="n"/>
      <c r="U3701" s="19">
        <f>IF(AND($V3701='設定'!$C$4,COUNTIF('商品マスタ'!$B$6:$B$1005,$W3701)=0),N(U3700)+1,N(U3700))</f>
        <v/>
      </c>
      <c r="V3701" s="19">
        <f>IF($B3701="","",TEXT($B3701,"0000"))</f>
        <v/>
      </c>
      <c r="W3701" s="19">
        <f>IF($I3701="","",IF(ISNUMBER($I3701),TEXT($I3701,"0"),$I3701))</f>
        <v/>
      </c>
    </row>
    <row r="3702">
      <c r="B3702" s="25" t="n"/>
      <c r="I3702" s="25" t="n"/>
      <c r="U3702" s="19">
        <f>IF(AND($V3702='設定'!$C$4,COUNTIF('商品マスタ'!$B$6:$B$1005,$W3702)=0),N(U3701)+1,N(U3701))</f>
        <v/>
      </c>
      <c r="V3702" s="19">
        <f>IF($B3702="","",TEXT($B3702,"0000"))</f>
        <v/>
      </c>
      <c r="W3702" s="19">
        <f>IF($I3702="","",IF(ISNUMBER($I3702),TEXT($I3702,"0"),$I3702))</f>
        <v/>
      </c>
    </row>
    <row r="3703">
      <c r="B3703" s="25" t="n"/>
      <c r="I3703" s="25" t="n"/>
      <c r="U3703" s="19">
        <f>IF(AND($V3703='設定'!$C$4,COUNTIF('商品マスタ'!$B$6:$B$1005,$W3703)=0),N(U3702)+1,N(U3702))</f>
        <v/>
      </c>
      <c r="V3703" s="19">
        <f>IF($B3703="","",TEXT($B3703,"0000"))</f>
        <v/>
      </c>
      <c r="W3703" s="19">
        <f>IF($I3703="","",IF(ISNUMBER($I3703),TEXT($I3703,"0"),$I3703))</f>
        <v/>
      </c>
    </row>
    <row r="3704">
      <c r="B3704" s="25" t="n"/>
      <c r="I3704" s="25" t="n"/>
      <c r="U3704" s="19">
        <f>IF(AND($V3704='設定'!$C$4,COUNTIF('商品マスタ'!$B$6:$B$1005,$W3704)=0),N(U3703)+1,N(U3703))</f>
        <v/>
      </c>
      <c r="V3704" s="19">
        <f>IF($B3704="","",TEXT($B3704,"0000"))</f>
        <v/>
      </c>
      <c r="W3704" s="19">
        <f>IF($I3704="","",IF(ISNUMBER($I3704),TEXT($I3704,"0"),$I3704))</f>
        <v/>
      </c>
    </row>
    <row r="3705">
      <c r="B3705" s="25" t="n"/>
      <c r="I3705" s="25" t="n"/>
      <c r="U3705" s="19">
        <f>IF(AND($V3705='設定'!$C$4,COUNTIF('商品マスタ'!$B$6:$B$1005,$W3705)=0),N(U3704)+1,N(U3704))</f>
        <v/>
      </c>
      <c r="V3705" s="19">
        <f>IF($B3705="","",TEXT($B3705,"0000"))</f>
        <v/>
      </c>
      <c r="W3705" s="19">
        <f>IF($I3705="","",IF(ISNUMBER($I3705),TEXT($I3705,"0"),$I3705))</f>
        <v/>
      </c>
    </row>
    <row r="3706">
      <c r="B3706" s="25" t="n"/>
      <c r="I3706" s="25" t="n"/>
      <c r="U3706" s="19">
        <f>IF(AND($V3706='設定'!$C$4,COUNTIF('商品マスタ'!$B$6:$B$1005,$W3706)=0),N(U3705)+1,N(U3705))</f>
        <v/>
      </c>
      <c r="V3706" s="19">
        <f>IF($B3706="","",TEXT($B3706,"0000"))</f>
        <v/>
      </c>
      <c r="W3706" s="19">
        <f>IF($I3706="","",IF(ISNUMBER($I3706),TEXT($I3706,"0"),$I3706))</f>
        <v/>
      </c>
    </row>
    <row r="3707">
      <c r="B3707" s="25" t="n"/>
      <c r="I3707" s="25" t="n"/>
      <c r="U3707" s="19">
        <f>IF(AND($V3707='設定'!$C$4,COUNTIF('商品マスタ'!$B$6:$B$1005,$W3707)=0),N(U3706)+1,N(U3706))</f>
        <v/>
      </c>
      <c r="V3707" s="19">
        <f>IF($B3707="","",TEXT($B3707,"0000"))</f>
        <v/>
      </c>
      <c r="W3707" s="19">
        <f>IF($I3707="","",IF(ISNUMBER($I3707),TEXT($I3707,"0"),$I3707))</f>
        <v/>
      </c>
    </row>
    <row r="3708">
      <c r="B3708" s="25" t="n"/>
      <c r="I3708" s="25" t="n"/>
      <c r="U3708" s="19">
        <f>IF(AND($V3708='設定'!$C$4,COUNTIF('商品マスタ'!$B$6:$B$1005,$W3708)=0),N(U3707)+1,N(U3707))</f>
        <v/>
      </c>
      <c r="V3708" s="19">
        <f>IF($B3708="","",TEXT($B3708,"0000"))</f>
        <v/>
      </c>
      <c r="W3708" s="19">
        <f>IF($I3708="","",IF(ISNUMBER($I3708),TEXT($I3708,"0"),$I3708))</f>
        <v/>
      </c>
    </row>
    <row r="3709">
      <c r="B3709" s="25" t="n"/>
      <c r="I3709" s="25" t="n"/>
      <c r="U3709" s="19">
        <f>IF(AND($V3709='設定'!$C$4,COUNTIF('商品マスタ'!$B$6:$B$1005,$W3709)=0),N(U3708)+1,N(U3708))</f>
        <v/>
      </c>
      <c r="V3709" s="19">
        <f>IF($B3709="","",TEXT($B3709,"0000"))</f>
        <v/>
      </c>
      <c r="W3709" s="19">
        <f>IF($I3709="","",IF(ISNUMBER($I3709),TEXT($I3709,"0"),$I3709))</f>
        <v/>
      </c>
    </row>
    <row r="3710">
      <c r="B3710" s="25" t="n"/>
      <c r="I3710" s="25" t="n"/>
      <c r="U3710" s="19">
        <f>IF(AND($V3710='設定'!$C$4,COUNTIF('商品マスタ'!$B$6:$B$1005,$W3710)=0),N(U3709)+1,N(U3709))</f>
        <v/>
      </c>
      <c r="V3710" s="19">
        <f>IF($B3710="","",TEXT($B3710,"0000"))</f>
        <v/>
      </c>
      <c r="W3710" s="19">
        <f>IF($I3710="","",IF(ISNUMBER($I3710),TEXT($I3710,"0"),$I3710))</f>
        <v/>
      </c>
    </row>
    <row r="3711">
      <c r="B3711" s="25" t="n"/>
      <c r="I3711" s="25" t="n"/>
      <c r="U3711" s="19">
        <f>IF(AND($V3711='設定'!$C$4,COUNTIF('商品マスタ'!$B$6:$B$1005,$W3711)=0),N(U3710)+1,N(U3710))</f>
        <v/>
      </c>
      <c r="V3711" s="19">
        <f>IF($B3711="","",TEXT($B3711,"0000"))</f>
        <v/>
      </c>
      <c r="W3711" s="19">
        <f>IF($I3711="","",IF(ISNUMBER($I3711),TEXT($I3711,"0"),$I3711))</f>
        <v/>
      </c>
    </row>
    <row r="3712">
      <c r="B3712" s="25" t="n"/>
      <c r="I3712" s="25" t="n"/>
      <c r="U3712" s="19">
        <f>IF(AND($V3712='設定'!$C$4,COUNTIF('商品マスタ'!$B$6:$B$1005,$W3712)=0),N(U3711)+1,N(U3711))</f>
        <v/>
      </c>
      <c r="V3712" s="19">
        <f>IF($B3712="","",TEXT($B3712,"0000"))</f>
        <v/>
      </c>
      <c r="W3712" s="19">
        <f>IF($I3712="","",IF(ISNUMBER($I3712),TEXT($I3712,"0"),$I3712))</f>
        <v/>
      </c>
    </row>
    <row r="3713">
      <c r="B3713" s="25" t="n"/>
      <c r="I3713" s="25" t="n"/>
      <c r="U3713" s="19">
        <f>IF(AND($V3713='設定'!$C$4,COUNTIF('商品マスタ'!$B$6:$B$1005,$W3713)=0),N(U3712)+1,N(U3712))</f>
        <v/>
      </c>
      <c r="V3713" s="19">
        <f>IF($B3713="","",TEXT($B3713,"0000"))</f>
        <v/>
      </c>
      <c r="W3713" s="19">
        <f>IF($I3713="","",IF(ISNUMBER($I3713),TEXT($I3713,"0"),$I3713))</f>
        <v/>
      </c>
    </row>
    <row r="3714">
      <c r="B3714" s="25" t="n"/>
      <c r="I3714" s="25" t="n"/>
      <c r="U3714" s="19">
        <f>IF(AND($V3714='設定'!$C$4,COUNTIF('商品マスタ'!$B$6:$B$1005,$W3714)=0),N(U3713)+1,N(U3713))</f>
        <v/>
      </c>
      <c r="V3714" s="19">
        <f>IF($B3714="","",TEXT($B3714,"0000"))</f>
        <v/>
      </c>
      <c r="W3714" s="19">
        <f>IF($I3714="","",IF(ISNUMBER($I3714),TEXT($I3714,"0"),$I3714))</f>
        <v/>
      </c>
    </row>
    <row r="3715">
      <c r="B3715" s="25" t="n"/>
      <c r="I3715" s="25" t="n"/>
      <c r="U3715" s="19">
        <f>IF(AND($V3715='設定'!$C$4,COUNTIF('商品マスタ'!$B$6:$B$1005,$W3715)=0),N(U3714)+1,N(U3714))</f>
        <v/>
      </c>
      <c r="V3715" s="19">
        <f>IF($B3715="","",TEXT($B3715,"0000"))</f>
        <v/>
      </c>
      <c r="W3715" s="19">
        <f>IF($I3715="","",IF(ISNUMBER($I3715),TEXT($I3715,"0"),$I3715))</f>
        <v/>
      </c>
    </row>
    <row r="3716">
      <c r="B3716" s="25" t="n"/>
      <c r="I3716" s="25" t="n"/>
      <c r="U3716" s="19">
        <f>IF(AND($V3716='設定'!$C$4,COUNTIF('商品マスタ'!$B$6:$B$1005,$W3716)=0),N(U3715)+1,N(U3715))</f>
        <v/>
      </c>
      <c r="V3716" s="19">
        <f>IF($B3716="","",TEXT($B3716,"0000"))</f>
        <v/>
      </c>
      <c r="W3716" s="19">
        <f>IF($I3716="","",IF(ISNUMBER($I3716),TEXT($I3716,"0"),$I3716))</f>
        <v/>
      </c>
    </row>
    <row r="3717">
      <c r="B3717" s="25" t="n"/>
      <c r="I3717" s="25" t="n"/>
      <c r="U3717" s="19">
        <f>IF(AND($V3717='設定'!$C$4,COUNTIF('商品マスタ'!$B$6:$B$1005,$W3717)=0),N(U3716)+1,N(U3716))</f>
        <v/>
      </c>
      <c r="V3717" s="19">
        <f>IF($B3717="","",TEXT($B3717,"0000"))</f>
        <v/>
      </c>
      <c r="W3717" s="19">
        <f>IF($I3717="","",IF(ISNUMBER($I3717),TEXT($I3717,"0"),$I3717))</f>
        <v/>
      </c>
    </row>
    <row r="3718">
      <c r="B3718" s="25" t="n"/>
      <c r="I3718" s="25" t="n"/>
      <c r="U3718" s="19">
        <f>IF(AND($V3718='設定'!$C$4,COUNTIF('商品マスタ'!$B$6:$B$1005,$W3718)=0),N(U3717)+1,N(U3717))</f>
        <v/>
      </c>
      <c r="V3718" s="19">
        <f>IF($B3718="","",TEXT($B3718,"0000"))</f>
        <v/>
      </c>
      <c r="W3718" s="19">
        <f>IF($I3718="","",IF(ISNUMBER($I3718),TEXT($I3718,"0"),$I3718))</f>
        <v/>
      </c>
    </row>
    <row r="3719">
      <c r="B3719" s="25" t="n"/>
      <c r="I3719" s="25" t="n"/>
      <c r="U3719" s="19">
        <f>IF(AND($V3719='設定'!$C$4,COUNTIF('商品マスタ'!$B$6:$B$1005,$W3719)=0),N(U3718)+1,N(U3718))</f>
        <v/>
      </c>
      <c r="V3719" s="19">
        <f>IF($B3719="","",TEXT($B3719,"0000"))</f>
        <v/>
      </c>
      <c r="W3719" s="19">
        <f>IF($I3719="","",IF(ISNUMBER($I3719),TEXT($I3719,"0"),$I3719))</f>
        <v/>
      </c>
    </row>
    <row r="3720">
      <c r="B3720" s="25" t="n"/>
      <c r="I3720" s="25" t="n"/>
      <c r="U3720" s="19">
        <f>IF(AND($V3720='設定'!$C$4,COUNTIF('商品マスタ'!$B$6:$B$1005,$W3720)=0),N(U3719)+1,N(U3719))</f>
        <v/>
      </c>
      <c r="V3720" s="19">
        <f>IF($B3720="","",TEXT($B3720,"0000"))</f>
        <v/>
      </c>
      <c r="W3720" s="19">
        <f>IF($I3720="","",IF(ISNUMBER($I3720),TEXT($I3720,"0"),$I3720))</f>
        <v/>
      </c>
    </row>
    <row r="3721">
      <c r="B3721" s="25" t="n"/>
      <c r="I3721" s="25" t="n"/>
      <c r="U3721" s="19">
        <f>IF(AND($V3721='設定'!$C$4,COUNTIF('商品マスタ'!$B$6:$B$1005,$W3721)=0),N(U3720)+1,N(U3720))</f>
        <v/>
      </c>
      <c r="V3721" s="19">
        <f>IF($B3721="","",TEXT($B3721,"0000"))</f>
        <v/>
      </c>
      <c r="W3721" s="19">
        <f>IF($I3721="","",IF(ISNUMBER($I3721),TEXT($I3721,"0"),$I3721))</f>
        <v/>
      </c>
    </row>
    <row r="3722">
      <c r="B3722" s="25" t="n"/>
      <c r="I3722" s="25" t="n"/>
      <c r="U3722" s="19">
        <f>IF(AND($V3722='設定'!$C$4,COUNTIF('商品マスタ'!$B$6:$B$1005,$W3722)=0),N(U3721)+1,N(U3721))</f>
        <v/>
      </c>
      <c r="V3722" s="19">
        <f>IF($B3722="","",TEXT($B3722,"0000"))</f>
        <v/>
      </c>
      <c r="W3722" s="19">
        <f>IF($I3722="","",IF(ISNUMBER($I3722),TEXT($I3722,"0"),$I3722))</f>
        <v/>
      </c>
    </row>
    <row r="3723">
      <c r="B3723" s="25" t="n"/>
      <c r="I3723" s="25" t="n"/>
      <c r="U3723" s="19">
        <f>IF(AND($V3723='設定'!$C$4,COUNTIF('商品マスタ'!$B$6:$B$1005,$W3723)=0),N(U3722)+1,N(U3722))</f>
        <v/>
      </c>
      <c r="V3723" s="19">
        <f>IF($B3723="","",TEXT($B3723,"0000"))</f>
        <v/>
      </c>
      <c r="W3723" s="19">
        <f>IF($I3723="","",IF(ISNUMBER($I3723),TEXT($I3723,"0"),$I3723))</f>
        <v/>
      </c>
    </row>
    <row r="3724">
      <c r="B3724" s="25" t="n"/>
      <c r="I3724" s="25" t="n"/>
      <c r="U3724" s="19">
        <f>IF(AND($V3724='設定'!$C$4,COUNTIF('商品マスタ'!$B$6:$B$1005,$W3724)=0),N(U3723)+1,N(U3723))</f>
        <v/>
      </c>
      <c r="V3724" s="19">
        <f>IF($B3724="","",TEXT($B3724,"0000"))</f>
        <v/>
      </c>
      <c r="W3724" s="19">
        <f>IF($I3724="","",IF(ISNUMBER($I3724),TEXT($I3724,"0"),$I3724))</f>
        <v/>
      </c>
    </row>
    <row r="3725">
      <c r="B3725" s="25" t="n"/>
      <c r="I3725" s="25" t="n"/>
      <c r="U3725" s="19">
        <f>IF(AND($V3725='設定'!$C$4,COUNTIF('商品マスタ'!$B$6:$B$1005,$W3725)=0),N(U3724)+1,N(U3724))</f>
        <v/>
      </c>
      <c r="V3725" s="19">
        <f>IF($B3725="","",TEXT($B3725,"0000"))</f>
        <v/>
      </c>
      <c r="W3725" s="19">
        <f>IF($I3725="","",IF(ISNUMBER($I3725),TEXT($I3725,"0"),$I3725))</f>
        <v/>
      </c>
    </row>
    <row r="3726">
      <c r="B3726" s="25" t="n"/>
      <c r="I3726" s="25" t="n"/>
      <c r="U3726" s="19">
        <f>IF(AND($V3726='設定'!$C$4,COUNTIF('商品マスタ'!$B$6:$B$1005,$W3726)=0),N(U3725)+1,N(U3725))</f>
        <v/>
      </c>
      <c r="V3726" s="19">
        <f>IF($B3726="","",TEXT($B3726,"0000"))</f>
        <v/>
      </c>
      <c r="W3726" s="19">
        <f>IF($I3726="","",IF(ISNUMBER($I3726),TEXT($I3726,"0"),$I3726))</f>
        <v/>
      </c>
    </row>
    <row r="3727">
      <c r="B3727" s="25" t="n"/>
      <c r="I3727" s="25" t="n"/>
      <c r="U3727" s="19">
        <f>IF(AND($V3727='設定'!$C$4,COUNTIF('商品マスタ'!$B$6:$B$1005,$W3727)=0),N(U3726)+1,N(U3726))</f>
        <v/>
      </c>
      <c r="V3727" s="19">
        <f>IF($B3727="","",TEXT($B3727,"0000"))</f>
        <v/>
      </c>
      <c r="W3727" s="19">
        <f>IF($I3727="","",IF(ISNUMBER($I3727),TEXT($I3727,"0"),$I3727))</f>
        <v/>
      </c>
    </row>
    <row r="3728">
      <c r="B3728" s="25" t="n"/>
      <c r="I3728" s="25" t="n"/>
      <c r="U3728" s="19">
        <f>IF(AND($V3728='設定'!$C$4,COUNTIF('商品マスタ'!$B$6:$B$1005,$W3728)=0),N(U3727)+1,N(U3727))</f>
        <v/>
      </c>
      <c r="V3728" s="19">
        <f>IF($B3728="","",TEXT($B3728,"0000"))</f>
        <v/>
      </c>
      <c r="W3728" s="19">
        <f>IF($I3728="","",IF(ISNUMBER($I3728),TEXT($I3728,"0"),$I3728))</f>
        <v/>
      </c>
    </row>
    <row r="3729">
      <c r="B3729" s="25" t="n"/>
      <c r="I3729" s="25" t="n"/>
      <c r="U3729" s="19">
        <f>IF(AND($V3729='設定'!$C$4,COUNTIF('商品マスタ'!$B$6:$B$1005,$W3729)=0),N(U3728)+1,N(U3728))</f>
        <v/>
      </c>
      <c r="V3729" s="19">
        <f>IF($B3729="","",TEXT($B3729,"0000"))</f>
        <v/>
      </c>
      <c r="W3729" s="19">
        <f>IF($I3729="","",IF(ISNUMBER($I3729),TEXT($I3729,"0"),$I3729))</f>
        <v/>
      </c>
    </row>
    <row r="3730">
      <c r="B3730" s="25" t="n"/>
      <c r="I3730" s="25" t="n"/>
      <c r="U3730" s="19">
        <f>IF(AND($V3730='設定'!$C$4,COUNTIF('商品マスタ'!$B$6:$B$1005,$W3730)=0),N(U3729)+1,N(U3729))</f>
        <v/>
      </c>
      <c r="V3730" s="19">
        <f>IF($B3730="","",TEXT($B3730,"0000"))</f>
        <v/>
      </c>
      <c r="W3730" s="19">
        <f>IF($I3730="","",IF(ISNUMBER($I3730),TEXT($I3730,"0"),$I3730))</f>
        <v/>
      </c>
    </row>
    <row r="3731">
      <c r="B3731" s="25" t="n"/>
      <c r="I3731" s="25" t="n"/>
      <c r="U3731" s="19">
        <f>IF(AND($V3731='設定'!$C$4,COUNTIF('商品マスタ'!$B$6:$B$1005,$W3731)=0),N(U3730)+1,N(U3730))</f>
        <v/>
      </c>
      <c r="V3731" s="19">
        <f>IF($B3731="","",TEXT($B3731,"0000"))</f>
        <v/>
      </c>
      <c r="W3731" s="19">
        <f>IF($I3731="","",IF(ISNUMBER($I3731),TEXT($I3731,"0"),$I3731))</f>
        <v/>
      </c>
    </row>
    <row r="3732">
      <c r="B3732" s="25" t="n"/>
      <c r="I3732" s="25" t="n"/>
      <c r="U3732" s="19">
        <f>IF(AND($V3732='設定'!$C$4,COUNTIF('商品マスタ'!$B$6:$B$1005,$W3732)=0),N(U3731)+1,N(U3731))</f>
        <v/>
      </c>
      <c r="V3732" s="19">
        <f>IF($B3732="","",TEXT($B3732,"0000"))</f>
        <v/>
      </c>
      <c r="W3732" s="19">
        <f>IF($I3732="","",IF(ISNUMBER($I3732),TEXT($I3732,"0"),$I3732))</f>
        <v/>
      </c>
    </row>
    <row r="3733">
      <c r="B3733" s="25" t="n"/>
      <c r="I3733" s="25" t="n"/>
      <c r="U3733" s="19">
        <f>IF(AND($V3733='設定'!$C$4,COUNTIF('商品マスタ'!$B$6:$B$1005,$W3733)=0),N(U3732)+1,N(U3732))</f>
        <v/>
      </c>
      <c r="V3733" s="19">
        <f>IF($B3733="","",TEXT($B3733,"0000"))</f>
        <v/>
      </c>
      <c r="W3733" s="19">
        <f>IF($I3733="","",IF(ISNUMBER($I3733),TEXT($I3733,"0"),$I3733))</f>
        <v/>
      </c>
    </row>
    <row r="3734">
      <c r="B3734" s="25" t="n"/>
      <c r="I3734" s="25" t="n"/>
      <c r="U3734" s="19">
        <f>IF(AND($V3734='設定'!$C$4,COUNTIF('商品マスタ'!$B$6:$B$1005,$W3734)=0),N(U3733)+1,N(U3733))</f>
        <v/>
      </c>
      <c r="V3734" s="19">
        <f>IF($B3734="","",TEXT($B3734,"0000"))</f>
        <v/>
      </c>
      <c r="W3734" s="19">
        <f>IF($I3734="","",IF(ISNUMBER($I3734),TEXT($I3734,"0"),$I3734))</f>
        <v/>
      </c>
    </row>
    <row r="3735">
      <c r="B3735" s="25" t="n"/>
      <c r="I3735" s="25" t="n"/>
      <c r="U3735" s="19">
        <f>IF(AND($V3735='設定'!$C$4,COUNTIF('商品マスタ'!$B$6:$B$1005,$W3735)=0),N(U3734)+1,N(U3734))</f>
        <v/>
      </c>
      <c r="V3735" s="19">
        <f>IF($B3735="","",TEXT($B3735,"0000"))</f>
        <v/>
      </c>
      <c r="W3735" s="19">
        <f>IF($I3735="","",IF(ISNUMBER($I3735),TEXT($I3735,"0"),$I3735))</f>
        <v/>
      </c>
    </row>
    <row r="3736">
      <c r="B3736" s="25" t="n"/>
      <c r="I3736" s="25" t="n"/>
      <c r="U3736" s="19">
        <f>IF(AND($V3736='設定'!$C$4,COUNTIF('商品マスタ'!$B$6:$B$1005,$W3736)=0),N(U3735)+1,N(U3735))</f>
        <v/>
      </c>
      <c r="V3736" s="19">
        <f>IF($B3736="","",TEXT($B3736,"0000"))</f>
        <v/>
      </c>
      <c r="W3736" s="19">
        <f>IF($I3736="","",IF(ISNUMBER($I3736),TEXT($I3736,"0"),$I3736))</f>
        <v/>
      </c>
    </row>
    <row r="3737">
      <c r="B3737" s="25" t="n"/>
      <c r="I3737" s="25" t="n"/>
      <c r="U3737" s="19">
        <f>IF(AND($V3737='設定'!$C$4,COUNTIF('商品マスタ'!$B$6:$B$1005,$W3737)=0),N(U3736)+1,N(U3736))</f>
        <v/>
      </c>
      <c r="V3737" s="19">
        <f>IF($B3737="","",TEXT($B3737,"0000"))</f>
        <v/>
      </c>
      <c r="W3737" s="19">
        <f>IF($I3737="","",IF(ISNUMBER($I3737),TEXT($I3737,"0"),$I3737))</f>
        <v/>
      </c>
    </row>
    <row r="3738">
      <c r="B3738" s="25" t="n"/>
      <c r="I3738" s="25" t="n"/>
      <c r="U3738" s="19">
        <f>IF(AND($V3738='設定'!$C$4,COUNTIF('商品マスタ'!$B$6:$B$1005,$W3738)=0),N(U3737)+1,N(U3737))</f>
        <v/>
      </c>
      <c r="V3738" s="19">
        <f>IF($B3738="","",TEXT($B3738,"0000"))</f>
        <v/>
      </c>
      <c r="W3738" s="19">
        <f>IF($I3738="","",IF(ISNUMBER($I3738),TEXT($I3738,"0"),$I3738))</f>
        <v/>
      </c>
    </row>
    <row r="3739">
      <c r="B3739" s="25" t="n"/>
      <c r="I3739" s="25" t="n"/>
      <c r="U3739" s="19">
        <f>IF(AND($V3739='設定'!$C$4,COUNTIF('商品マスタ'!$B$6:$B$1005,$W3739)=0),N(U3738)+1,N(U3738))</f>
        <v/>
      </c>
      <c r="V3739" s="19">
        <f>IF($B3739="","",TEXT($B3739,"0000"))</f>
        <v/>
      </c>
      <c r="W3739" s="19">
        <f>IF($I3739="","",IF(ISNUMBER($I3739),TEXT($I3739,"0"),$I3739))</f>
        <v/>
      </c>
    </row>
    <row r="3740">
      <c r="B3740" s="25" t="n"/>
      <c r="I3740" s="25" t="n"/>
      <c r="U3740" s="19">
        <f>IF(AND($V3740='設定'!$C$4,COUNTIF('商品マスタ'!$B$6:$B$1005,$W3740)=0),N(U3739)+1,N(U3739))</f>
        <v/>
      </c>
      <c r="V3740" s="19">
        <f>IF($B3740="","",TEXT($B3740,"0000"))</f>
        <v/>
      </c>
      <c r="W3740" s="19">
        <f>IF($I3740="","",IF(ISNUMBER($I3740),TEXT($I3740,"0"),$I3740))</f>
        <v/>
      </c>
    </row>
    <row r="3741">
      <c r="B3741" s="25" t="n"/>
      <c r="I3741" s="25" t="n"/>
      <c r="U3741" s="19">
        <f>IF(AND($V3741='設定'!$C$4,COUNTIF('商品マスタ'!$B$6:$B$1005,$W3741)=0),N(U3740)+1,N(U3740))</f>
        <v/>
      </c>
      <c r="V3741" s="19">
        <f>IF($B3741="","",TEXT($B3741,"0000"))</f>
        <v/>
      </c>
      <c r="W3741" s="19">
        <f>IF($I3741="","",IF(ISNUMBER($I3741),TEXT($I3741,"0"),$I3741))</f>
        <v/>
      </c>
    </row>
    <row r="3742">
      <c r="B3742" s="25" t="n"/>
      <c r="I3742" s="25" t="n"/>
      <c r="U3742" s="19">
        <f>IF(AND($V3742='設定'!$C$4,COUNTIF('商品マスタ'!$B$6:$B$1005,$W3742)=0),N(U3741)+1,N(U3741))</f>
        <v/>
      </c>
      <c r="V3742" s="19">
        <f>IF($B3742="","",TEXT($B3742,"0000"))</f>
        <v/>
      </c>
      <c r="W3742" s="19">
        <f>IF($I3742="","",IF(ISNUMBER($I3742),TEXT($I3742,"0"),$I3742))</f>
        <v/>
      </c>
    </row>
    <row r="3743">
      <c r="B3743" s="25" t="n"/>
      <c r="I3743" s="25" t="n"/>
      <c r="U3743" s="19">
        <f>IF(AND($V3743='設定'!$C$4,COUNTIF('商品マスタ'!$B$6:$B$1005,$W3743)=0),N(U3742)+1,N(U3742))</f>
        <v/>
      </c>
      <c r="V3743" s="19">
        <f>IF($B3743="","",TEXT($B3743,"0000"))</f>
        <v/>
      </c>
      <c r="W3743" s="19">
        <f>IF($I3743="","",IF(ISNUMBER($I3743),TEXT($I3743,"0"),$I3743))</f>
        <v/>
      </c>
    </row>
    <row r="3744">
      <c r="B3744" s="25" t="n"/>
      <c r="I3744" s="25" t="n"/>
      <c r="U3744" s="19">
        <f>IF(AND($V3744='設定'!$C$4,COUNTIF('商品マスタ'!$B$6:$B$1005,$W3744)=0),N(U3743)+1,N(U3743))</f>
        <v/>
      </c>
      <c r="V3744" s="19">
        <f>IF($B3744="","",TEXT($B3744,"0000"))</f>
        <v/>
      </c>
      <c r="W3744" s="19">
        <f>IF($I3744="","",IF(ISNUMBER($I3744),TEXT($I3744,"0"),$I3744))</f>
        <v/>
      </c>
    </row>
    <row r="3745">
      <c r="B3745" s="25" t="n"/>
      <c r="I3745" s="25" t="n"/>
      <c r="U3745" s="19">
        <f>IF(AND($V3745='設定'!$C$4,COUNTIF('商品マスタ'!$B$6:$B$1005,$W3745)=0),N(U3744)+1,N(U3744))</f>
        <v/>
      </c>
      <c r="V3745" s="19">
        <f>IF($B3745="","",TEXT($B3745,"0000"))</f>
        <v/>
      </c>
      <c r="W3745" s="19">
        <f>IF($I3745="","",IF(ISNUMBER($I3745),TEXT($I3745,"0"),$I3745))</f>
        <v/>
      </c>
    </row>
    <row r="3746">
      <c r="B3746" s="25" t="n"/>
      <c r="I3746" s="25" t="n"/>
      <c r="U3746" s="19">
        <f>IF(AND($V3746='設定'!$C$4,COUNTIF('商品マスタ'!$B$6:$B$1005,$W3746)=0),N(U3745)+1,N(U3745))</f>
        <v/>
      </c>
      <c r="V3746" s="19">
        <f>IF($B3746="","",TEXT($B3746,"0000"))</f>
        <v/>
      </c>
      <c r="W3746" s="19">
        <f>IF($I3746="","",IF(ISNUMBER($I3746),TEXT($I3746,"0"),$I3746))</f>
        <v/>
      </c>
    </row>
    <row r="3747">
      <c r="B3747" s="25" t="n"/>
      <c r="I3747" s="25" t="n"/>
      <c r="U3747" s="19">
        <f>IF(AND($V3747='設定'!$C$4,COUNTIF('商品マスタ'!$B$6:$B$1005,$W3747)=0),N(U3746)+1,N(U3746))</f>
        <v/>
      </c>
      <c r="V3747" s="19">
        <f>IF($B3747="","",TEXT($B3747,"0000"))</f>
        <v/>
      </c>
      <c r="W3747" s="19">
        <f>IF($I3747="","",IF(ISNUMBER($I3747),TEXT($I3747,"0"),$I3747))</f>
        <v/>
      </c>
    </row>
    <row r="3748">
      <c r="B3748" s="25" t="n"/>
      <c r="I3748" s="25" t="n"/>
      <c r="U3748" s="19">
        <f>IF(AND($V3748='設定'!$C$4,COUNTIF('商品マスタ'!$B$6:$B$1005,$W3748)=0),N(U3747)+1,N(U3747))</f>
        <v/>
      </c>
      <c r="V3748" s="19">
        <f>IF($B3748="","",TEXT($B3748,"0000"))</f>
        <v/>
      </c>
      <c r="W3748" s="19">
        <f>IF($I3748="","",IF(ISNUMBER($I3748),TEXT($I3748,"0"),$I3748))</f>
        <v/>
      </c>
    </row>
    <row r="3749">
      <c r="B3749" s="25" t="n"/>
      <c r="I3749" s="25" t="n"/>
      <c r="U3749" s="19">
        <f>IF(AND($V3749='設定'!$C$4,COUNTIF('商品マスタ'!$B$6:$B$1005,$W3749)=0),N(U3748)+1,N(U3748))</f>
        <v/>
      </c>
      <c r="V3749" s="19">
        <f>IF($B3749="","",TEXT($B3749,"0000"))</f>
        <v/>
      </c>
      <c r="W3749" s="19">
        <f>IF($I3749="","",IF(ISNUMBER($I3749),TEXT($I3749,"0"),$I3749))</f>
        <v/>
      </c>
    </row>
    <row r="3750">
      <c r="B3750" s="25" t="n"/>
      <c r="I3750" s="25" t="n"/>
      <c r="U3750" s="19">
        <f>IF(AND($V3750='設定'!$C$4,COUNTIF('商品マスタ'!$B$6:$B$1005,$W3750)=0),N(U3749)+1,N(U3749))</f>
        <v/>
      </c>
      <c r="V3750" s="19">
        <f>IF($B3750="","",TEXT($B3750,"0000"))</f>
        <v/>
      </c>
      <c r="W3750" s="19">
        <f>IF($I3750="","",IF(ISNUMBER($I3750),TEXT($I3750,"0"),$I3750))</f>
        <v/>
      </c>
    </row>
    <row r="3751">
      <c r="B3751" s="25" t="n"/>
      <c r="I3751" s="25" t="n"/>
      <c r="U3751" s="19">
        <f>IF(AND($V3751='設定'!$C$4,COUNTIF('商品マスタ'!$B$6:$B$1005,$W3751)=0),N(U3750)+1,N(U3750))</f>
        <v/>
      </c>
      <c r="V3751" s="19">
        <f>IF($B3751="","",TEXT($B3751,"0000"))</f>
        <v/>
      </c>
      <c r="W3751" s="19">
        <f>IF($I3751="","",IF(ISNUMBER($I3751),TEXT($I3751,"0"),$I3751))</f>
        <v/>
      </c>
    </row>
    <row r="3752">
      <c r="B3752" s="25" t="n"/>
      <c r="I3752" s="25" t="n"/>
      <c r="U3752" s="19">
        <f>IF(AND($V3752='設定'!$C$4,COUNTIF('商品マスタ'!$B$6:$B$1005,$W3752)=0),N(U3751)+1,N(U3751))</f>
        <v/>
      </c>
      <c r="V3752" s="19">
        <f>IF($B3752="","",TEXT($B3752,"0000"))</f>
        <v/>
      </c>
      <c r="W3752" s="19">
        <f>IF($I3752="","",IF(ISNUMBER($I3752),TEXT($I3752,"0"),$I3752))</f>
        <v/>
      </c>
    </row>
    <row r="3753">
      <c r="B3753" s="25" t="n"/>
      <c r="I3753" s="25" t="n"/>
      <c r="U3753" s="19">
        <f>IF(AND($V3753='設定'!$C$4,COUNTIF('商品マスタ'!$B$6:$B$1005,$W3753)=0),N(U3752)+1,N(U3752))</f>
        <v/>
      </c>
      <c r="V3753" s="19">
        <f>IF($B3753="","",TEXT($B3753,"0000"))</f>
        <v/>
      </c>
      <c r="W3753" s="19">
        <f>IF($I3753="","",IF(ISNUMBER($I3753),TEXT($I3753,"0"),$I3753))</f>
        <v/>
      </c>
    </row>
    <row r="3754">
      <c r="B3754" s="25" t="n"/>
      <c r="I3754" s="25" t="n"/>
      <c r="U3754" s="19">
        <f>IF(AND($V3754='設定'!$C$4,COUNTIF('商品マスタ'!$B$6:$B$1005,$W3754)=0),N(U3753)+1,N(U3753))</f>
        <v/>
      </c>
      <c r="V3754" s="19">
        <f>IF($B3754="","",TEXT($B3754,"0000"))</f>
        <v/>
      </c>
      <c r="W3754" s="19">
        <f>IF($I3754="","",IF(ISNUMBER($I3754),TEXT($I3754,"0"),$I3754))</f>
        <v/>
      </c>
    </row>
    <row r="3755">
      <c r="B3755" s="25" t="n"/>
      <c r="I3755" s="25" t="n"/>
      <c r="U3755" s="19">
        <f>IF(AND($V3755='設定'!$C$4,COUNTIF('商品マスタ'!$B$6:$B$1005,$W3755)=0),N(U3754)+1,N(U3754))</f>
        <v/>
      </c>
      <c r="V3755" s="19">
        <f>IF($B3755="","",TEXT($B3755,"0000"))</f>
        <v/>
      </c>
      <c r="W3755" s="19">
        <f>IF($I3755="","",IF(ISNUMBER($I3755),TEXT($I3755,"0"),$I3755))</f>
        <v/>
      </c>
    </row>
    <row r="3756">
      <c r="B3756" s="25" t="n"/>
      <c r="I3756" s="25" t="n"/>
      <c r="U3756" s="19">
        <f>IF(AND($V3756='設定'!$C$4,COUNTIF('商品マスタ'!$B$6:$B$1005,$W3756)=0),N(U3755)+1,N(U3755))</f>
        <v/>
      </c>
      <c r="V3756" s="19">
        <f>IF($B3756="","",TEXT($B3756,"0000"))</f>
        <v/>
      </c>
      <c r="W3756" s="19">
        <f>IF($I3756="","",IF(ISNUMBER($I3756),TEXT($I3756,"0"),$I3756))</f>
        <v/>
      </c>
    </row>
    <row r="3757">
      <c r="B3757" s="25" t="n"/>
      <c r="I3757" s="25" t="n"/>
      <c r="U3757" s="19">
        <f>IF(AND($V3757='設定'!$C$4,COUNTIF('商品マスタ'!$B$6:$B$1005,$W3757)=0),N(U3756)+1,N(U3756))</f>
        <v/>
      </c>
      <c r="V3757" s="19">
        <f>IF($B3757="","",TEXT($B3757,"0000"))</f>
        <v/>
      </c>
      <c r="W3757" s="19">
        <f>IF($I3757="","",IF(ISNUMBER($I3757),TEXT($I3757,"0"),$I3757))</f>
        <v/>
      </c>
    </row>
    <row r="3758">
      <c r="B3758" s="25" t="n"/>
      <c r="I3758" s="25" t="n"/>
      <c r="U3758" s="19">
        <f>IF(AND($V3758='設定'!$C$4,COUNTIF('商品マスタ'!$B$6:$B$1005,$W3758)=0),N(U3757)+1,N(U3757))</f>
        <v/>
      </c>
      <c r="V3758" s="19">
        <f>IF($B3758="","",TEXT($B3758,"0000"))</f>
        <v/>
      </c>
      <c r="W3758" s="19">
        <f>IF($I3758="","",IF(ISNUMBER($I3758),TEXT($I3758,"0"),$I3758))</f>
        <v/>
      </c>
    </row>
    <row r="3759">
      <c r="B3759" s="25" t="n"/>
      <c r="I3759" s="25" t="n"/>
      <c r="U3759" s="19">
        <f>IF(AND($V3759='設定'!$C$4,COUNTIF('商品マスタ'!$B$6:$B$1005,$W3759)=0),N(U3758)+1,N(U3758))</f>
        <v/>
      </c>
      <c r="V3759" s="19">
        <f>IF($B3759="","",TEXT($B3759,"0000"))</f>
        <v/>
      </c>
      <c r="W3759" s="19">
        <f>IF($I3759="","",IF(ISNUMBER($I3759),TEXT($I3759,"0"),$I3759))</f>
        <v/>
      </c>
    </row>
    <row r="3760">
      <c r="B3760" s="25" t="n"/>
      <c r="I3760" s="25" t="n"/>
      <c r="U3760" s="19">
        <f>IF(AND($V3760='設定'!$C$4,COUNTIF('商品マスタ'!$B$6:$B$1005,$W3760)=0),N(U3759)+1,N(U3759))</f>
        <v/>
      </c>
      <c r="V3760" s="19">
        <f>IF($B3760="","",TEXT($B3760,"0000"))</f>
        <v/>
      </c>
      <c r="W3760" s="19">
        <f>IF($I3760="","",IF(ISNUMBER($I3760),TEXT($I3760,"0"),$I3760))</f>
        <v/>
      </c>
    </row>
    <row r="3761">
      <c r="B3761" s="25" t="n"/>
      <c r="I3761" s="25" t="n"/>
      <c r="U3761" s="19">
        <f>IF(AND($V3761='設定'!$C$4,COUNTIF('商品マスタ'!$B$6:$B$1005,$W3761)=0),N(U3760)+1,N(U3760))</f>
        <v/>
      </c>
      <c r="V3761" s="19">
        <f>IF($B3761="","",TEXT($B3761,"0000"))</f>
        <v/>
      </c>
      <c r="W3761" s="19">
        <f>IF($I3761="","",IF(ISNUMBER($I3761),TEXT($I3761,"0"),$I3761))</f>
        <v/>
      </c>
    </row>
    <row r="3762">
      <c r="B3762" s="25" t="n"/>
      <c r="I3762" s="25" t="n"/>
      <c r="U3762" s="19">
        <f>IF(AND($V3762='設定'!$C$4,COUNTIF('商品マスタ'!$B$6:$B$1005,$W3762)=0),N(U3761)+1,N(U3761))</f>
        <v/>
      </c>
      <c r="V3762" s="19">
        <f>IF($B3762="","",TEXT($B3762,"0000"))</f>
        <v/>
      </c>
      <c r="W3762" s="19">
        <f>IF($I3762="","",IF(ISNUMBER($I3762),TEXT($I3762,"0"),$I3762))</f>
        <v/>
      </c>
    </row>
    <row r="3763">
      <c r="B3763" s="25" t="n"/>
      <c r="I3763" s="25" t="n"/>
      <c r="U3763" s="19">
        <f>IF(AND($V3763='設定'!$C$4,COUNTIF('商品マスタ'!$B$6:$B$1005,$W3763)=0),N(U3762)+1,N(U3762))</f>
        <v/>
      </c>
      <c r="V3763" s="19">
        <f>IF($B3763="","",TEXT($B3763,"0000"))</f>
        <v/>
      </c>
      <c r="W3763" s="19">
        <f>IF($I3763="","",IF(ISNUMBER($I3763),TEXT($I3763,"0"),$I3763))</f>
        <v/>
      </c>
    </row>
    <row r="3764">
      <c r="B3764" s="25" t="n"/>
      <c r="I3764" s="25" t="n"/>
      <c r="U3764" s="19">
        <f>IF(AND($V3764='設定'!$C$4,COUNTIF('商品マスタ'!$B$6:$B$1005,$W3764)=0),N(U3763)+1,N(U3763))</f>
        <v/>
      </c>
      <c r="V3764" s="19">
        <f>IF($B3764="","",TEXT($B3764,"0000"))</f>
        <v/>
      </c>
      <c r="W3764" s="19">
        <f>IF($I3764="","",IF(ISNUMBER($I3764),TEXT($I3764,"0"),$I3764))</f>
        <v/>
      </c>
    </row>
    <row r="3765">
      <c r="B3765" s="25" t="n"/>
      <c r="I3765" s="25" t="n"/>
      <c r="U3765" s="19">
        <f>IF(AND($V3765='設定'!$C$4,COUNTIF('商品マスタ'!$B$6:$B$1005,$W3765)=0),N(U3764)+1,N(U3764))</f>
        <v/>
      </c>
      <c r="V3765" s="19">
        <f>IF($B3765="","",TEXT($B3765,"0000"))</f>
        <v/>
      </c>
      <c r="W3765" s="19">
        <f>IF($I3765="","",IF(ISNUMBER($I3765),TEXT($I3765,"0"),$I3765))</f>
        <v/>
      </c>
    </row>
    <row r="3766">
      <c r="B3766" s="25" t="n"/>
      <c r="I3766" s="25" t="n"/>
      <c r="U3766" s="19">
        <f>IF(AND($V3766='設定'!$C$4,COUNTIF('商品マスタ'!$B$6:$B$1005,$W3766)=0),N(U3765)+1,N(U3765))</f>
        <v/>
      </c>
      <c r="V3766" s="19">
        <f>IF($B3766="","",TEXT($B3766,"0000"))</f>
        <v/>
      </c>
      <c r="W3766" s="19">
        <f>IF($I3766="","",IF(ISNUMBER($I3766),TEXT($I3766,"0"),$I3766))</f>
        <v/>
      </c>
    </row>
    <row r="3767">
      <c r="B3767" s="25" t="n"/>
      <c r="I3767" s="25" t="n"/>
      <c r="U3767" s="19">
        <f>IF(AND($V3767='設定'!$C$4,COUNTIF('商品マスタ'!$B$6:$B$1005,$W3767)=0),N(U3766)+1,N(U3766))</f>
        <v/>
      </c>
      <c r="V3767" s="19">
        <f>IF($B3767="","",TEXT($B3767,"0000"))</f>
        <v/>
      </c>
      <c r="W3767" s="19">
        <f>IF($I3767="","",IF(ISNUMBER($I3767),TEXT($I3767,"0"),$I3767))</f>
        <v/>
      </c>
    </row>
    <row r="3768">
      <c r="B3768" s="25" t="n"/>
      <c r="I3768" s="25" t="n"/>
      <c r="U3768" s="19">
        <f>IF(AND($V3768='設定'!$C$4,COUNTIF('商品マスタ'!$B$6:$B$1005,$W3768)=0),N(U3767)+1,N(U3767))</f>
        <v/>
      </c>
      <c r="V3768" s="19">
        <f>IF($B3768="","",TEXT($B3768,"0000"))</f>
        <v/>
      </c>
      <c r="W3768" s="19">
        <f>IF($I3768="","",IF(ISNUMBER($I3768),TEXT($I3768,"0"),$I3768))</f>
        <v/>
      </c>
    </row>
    <row r="3769">
      <c r="B3769" s="25" t="n"/>
      <c r="I3769" s="25" t="n"/>
      <c r="U3769" s="19">
        <f>IF(AND($V3769='設定'!$C$4,COUNTIF('商品マスタ'!$B$6:$B$1005,$W3769)=0),N(U3768)+1,N(U3768))</f>
        <v/>
      </c>
      <c r="V3769" s="19">
        <f>IF($B3769="","",TEXT($B3769,"0000"))</f>
        <v/>
      </c>
      <c r="W3769" s="19">
        <f>IF($I3769="","",IF(ISNUMBER($I3769),TEXT($I3769,"0"),$I3769))</f>
        <v/>
      </c>
    </row>
    <row r="3770">
      <c r="B3770" s="25" t="n"/>
      <c r="I3770" s="25" t="n"/>
      <c r="U3770" s="19">
        <f>IF(AND($V3770='設定'!$C$4,COUNTIF('商品マスタ'!$B$6:$B$1005,$W3770)=0),N(U3769)+1,N(U3769))</f>
        <v/>
      </c>
      <c r="V3770" s="19">
        <f>IF($B3770="","",TEXT($B3770,"0000"))</f>
        <v/>
      </c>
      <c r="W3770" s="19">
        <f>IF($I3770="","",IF(ISNUMBER($I3770),TEXT($I3770,"0"),$I3770))</f>
        <v/>
      </c>
    </row>
    <row r="3771">
      <c r="B3771" s="25" t="n"/>
      <c r="I3771" s="25" t="n"/>
      <c r="U3771" s="19">
        <f>IF(AND($V3771='設定'!$C$4,COUNTIF('商品マスタ'!$B$6:$B$1005,$W3771)=0),N(U3770)+1,N(U3770))</f>
        <v/>
      </c>
      <c r="V3771" s="19">
        <f>IF($B3771="","",TEXT($B3771,"0000"))</f>
        <v/>
      </c>
      <c r="W3771" s="19">
        <f>IF($I3771="","",IF(ISNUMBER($I3771),TEXT($I3771,"0"),$I3771))</f>
        <v/>
      </c>
    </row>
    <row r="3772">
      <c r="B3772" s="25" t="n"/>
      <c r="I3772" s="25" t="n"/>
      <c r="U3772" s="19">
        <f>IF(AND($V3772='設定'!$C$4,COUNTIF('商品マスタ'!$B$6:$B$1005,$W3772)=0),N(U3771)+1,N(U3771))</f>
        <v/>
      </c>
      <c r="V3772" s="19">
        <f>IF($B3772="","",TEXT($B3772,"0000"))</f>
        <v/>
      </c>
      <c r="W3772" s="19">
        <f>IF($I3772="","",IF(ISNUMBER($I3772),TEXT($I3772,"0"),$I3772))</f>
        <v/>
      </c>
    </row>
    <row r="3773">
      <c r="B3773" s="25" t="n"/>
      <c r="I3773" s="25" t="n"/>
      <c r="U3773" s="19">
        <f>IF(AND($V3773='設定'!$C$4,COUNTIF('商品マスタ'!$B$6:$B$1005,$W3773)=0),N(U3772)+1,N(U3772))</f>
        <v/>
      </c>
      <c r="V3773" s="19">
        <f>IF($B3773="","",TEXT($B3773,"0000"))</f>
        <v/>
      </c>
      <c r="W3773" s="19">
        <f>IF($I3773="","",IF(ISNUMBER($I3773),TEXT($I3773,"0"),$I3773))</f>
        <v/>
      </c>
    </row>
    <row r="3774">
      <c r="B3774" s="25" t="n"/>
      <c r="I3774" s="25" t="n"/>
      <c r="U3774" s="19">
        <f>IF(AND($V3774='設定'!$C$4,COUNTIF('商品マスタ'!$B$6:$B$1005,$W3774)=0),N(U3773)+1,N(U3773))</f>
        <v/>
      </c>
      <c r="V3774" s="19">
        <f>IF($B3774="","",TEXT($B3774,"0000"))</f>
        <v/>
      </c>
      <c r="W3774" s="19">
        <f>IF($I3774="","",IF(ISNUMBER($I3774),TEXT($I3774,"0"),$I3774))</f>
        <v/>
      </c>
    </row>
    <row r="3775">
      <c r="B3775" s="25" t="n"/>
      <c r="I3775" s="25" t="n"/>
      <c r="U3775" s="19">
        <f>IF(AND($V3775='設定'!$C$4,COUNTIF('商品マスタ'!$B$6:$B$1005,$W3775)=0),N(U3774)+1,N(U3774))</f>
        <v/>
      </c>
      <c r="V3775" s="19">
        <f>IF($B3775="","",TEXT($B3775,"0000"))</f>
        <v/>
      </c>
      <c r="W3775" s="19">
        <f>IF($I3775="","",IF(ISNUMBER($I3775),TEXT($I3775,"0"),$I3775))</f>
        <v/>
      </c>
    </row>
    <row r="3776">
      <c r="B3776" s="25" t="n"/>
      <c r="I3776" s="25" t="n"/>
      <c r="U3776" s="19">
        <f>IF(AND($V3776='設定'!$C$4,COUNTIF('商品マスタ'!$B$6:$B$1005,$W3776)=0),N(U3775)+1,N(U3775))</f>
        <v/>
      </c>
      <c r="V3776" s="19">
        <f>IF($B3776="","",TEXT($B3776,"0000"))</f>
        <v/>
      </c>
      <c r="W3776" s="19">
        <f>IF($I3776="","",IF(ISNUMBER($I3776),TEXT($I3776,"0"),$I3776))</f>
        <v/>
      </c>
    </row>
    <row r="3777">
      <c r="B3777" s="25" t="n"/>
      <c r="I3777" s="25" t="n"/>
      <c r="U3777" s="19">
        <f>IF(AND($V3777='設定'!$C$4,COUNTIF('商品マスタ'!$B$6:$B$1005,$W3777)=0),N(U3776)+1,N(U3776))</f>
        <v/>
      </c>
      <c r="V3777" s="19">
        <f>IF($B3777="","",TEXT($B3777,"0000"))</f>
        <v/>
      </c>
      <c r="W3777" s="19">
        <f>IF($I3777="","",IF(ISNUMBER($I3777),TEXT($I3777,"0"),$I3777))</f>
        <v/>
      </c>
    </row>
    <row r="3778">
      <c r="B3778" s="25" t="n"/>
      <c r="I3778" s="25" t="n"/>
      <c r="U3778" s="19">
        <f>IF(AND($V3778='設定'!$C$4,COUNTIF('商品マスタ'!$B$6:$B$1005,$W3778)=0),N(U3777)+1,N(U3777))</f>
        <v/>
      </c>
      <c r="V3778" s="19">
        <f>IF($B3778="","",TEXT($B3778,"0000"))</f>
        <v/>
      </c>
      <c r="W3778" s="19">
        <f>IF($I3778="","",IF(ISNUMBER($I3778),TEXT($I3778,"0"),$I3778))</f>
        <v/>
      </c>
    </row>
    <row r="3779">
      <c r="B3779" s="25" t="n"/>
      <c r="I3779" s="25" t="n"/>
      <c r="U3779" s="19">
        <f>IF(AND($V3779='設定'!$C$4,COUNTIF('商品マスタ'!$B$6:$B$1005,$W3779)=0),N(U3778)+1,N(U3778))</f>
        <v/>
      </c>
      <c r="V3779" s="19">
        <f>IF($B3779="","",TEXT($B3779,"0000"))</f>
        <v/>
      </c>
      <c r="W3779" s="19">
        <f>IF($I3779="","",IF(ISNUMBER($I3779),TEXT($I3779,"0"),$I3779))</f>
        <v/>
      </c>
    </row>
    <row r="3780">
      <c r="B3780" s="25" t="n"/>
      <c r="I3780" s="25" t="n"/>
      <c r="U3780" s="19">
        <f>IF(AND($V3780='設定'!$C$4,COUNTIF('商品マスタ'!$B$6:$B$1005,$W3780)=0),N(U3779)+1,N(U3779))</f>
        <v/>
      </c>
      <c r="V3780" s="19">
        <f>IF($B3780="","",TEXT($B3780,"0000"))</f>
        <v/>
      </c>
      <c r="W3780" s="19">
        <f>IF($I3780="","",IF(ISNUMBER($I3780),TEXT($I3780,"0"),$I3780))</f>
        <v/>
      </c>
    </row>
    <row r="3781">
      <c r="B3781" s="25" t="n"/>
      <c r="I3781" s="25" t="n"/>
      <c r="U3781" s="19">
        <f>IF(AND($V3781='設定'!$C$4,COUNTIF('商品マスタ'!$B$6:$B$1005,$W3781)=0),N(U3780)+1,N(U3780))</f>
        <v/>
      </c>
      <c r="V3781" s="19">
        <f>IF($B3781="","",TEXT($B3781,"0000"))</f>
        <v/>
      </c>
      <c r="W3781" s="19">
        <f>IF($I3781="","",IF(ISNUMBER($I3781),TEXT($I3781,"0"),$I3781))</f>
        <v/>
      </c>
    </row>
    <row r="3782">
      <c r="B3782" s="25" t="n"/>
      <c r="I3782" s="25" t="n"/>
      <c r="U3782" s="19">
        <f>IF(AND($V3782='設定'!$C$4,COUNTIF('商品マスタ'!$B$6:$B$1005,$W3782)=0),N(U3781)+1,N(U3781))</f>
        <v/>
      </c>
      <c r="V3782" s="19">
        <f>IF($B3782="","",TEXT($B3782,"0000"))</f>
        <v/>
      </c>
      <c r="W3782" s="19">
        <f>IF($I3782="","",IF(ISNUMBER($I3782),TEXT($I3782,"0"),$I3782))</f>
        <v/>
      </c>
    </row>
    <row r="3783">
      <c r="B3783" s="25" t="n"/>
      <c r="I3783" s="25" t="n"/>
      <c r="U3783" s="19">
        <f>IF(AND($V3783='設定'!$C$4,COUNTIF('商品マスタ'!$B$6:$B$1005,$W3783)=0),N(U3782)+1,N(U3782))</f>
        <v/>
      </c>
      <c r="V3783" s="19">
        <f>IF($B3783="","",TEXT($B3783,"0000"))</f>
        <v/>
      </c>
      <c r="W3783" s="19">
        <f>IF($I3783="","",IF(ISNUMBER($I3783),TEXT($I3783,"0"),$I3783))</f>
        <v/>
      </c>
    </row>
    <row r="3784">
      <c r="B3784" s="25" t="n"/>
      <c r="I3784" s="25" t="n"/>
      <c r="U3784" s="19">
        <f>IF(AND($V3784='設定'!$C$4,COUNTIF('商品マスタ'!$B$6:$B$1005,$W3784)=0),N(U3783)+1,N(U3783))</f>
        <v/>
      </c>
      <c r="V3784" s="19">
        <f>IF($B3784="","",TEXT($B3784,"0000"))</f>
        <v/>
      </c>
      <c r="W3784" s="19">
        <f>IF($I3784="","",IF(ISNUMBER($I3784),TEXT($I3784,"0"),$I3784))</f>
        <v/>
      </c>
    </row>
    <row r="3785">
      <c r="B3785" s="25" t="n"/>
      <c r="I3785" s="25" t="n"/>
      <c r="U3785" s="19">
        <f>IF(AND($V3785='設定'!$C$4,COUNTIF('商品マスタ'!$B$6:$B$1005,$W3785)=0),N(U3784)+1,N(U3784))</f>
        <v/>
      </c>
      <c r="V3785" s="19">
        <f>IF($B3785="","",TEXT($B3785,"0000"))</f>
        <v/>
      </c>
      <c r="W3785" s="19">
        <f>IF($I3785="","",IF(ISNUMBER($I3785),TEXT($I3785,"0"),$I3785))</f>
        <v/>
      </c>
    </row>
    <row r="3786">
      <c r="B3786" s="25" t="n"/>
      <c r="I3786" s="25" t="n"/>
      <c r="U3786" s="19">
        <f>IF(AND($V3786='設定'!$C$4,COUNTIF('商品マスタ'!$B$6:$B$1005,$W3786)=0),N(U3785)+1,N(U3785))</f>
        <v/>
      </c>
      <c r="V3786" s="19">
        <f>IF($B3786="","",TEXT($B3786,"0000"))</f>
        <v/>
      </c>
      <c r="W3786" s="19">
        <f>IF($I3786="","",IF(ISNUMBER($I3786),TEXT($I3786,"0"),$I3786))</f>
        <v/>
      </c>
    </row>
    <row r="3787">
      <c r="B3787" s="25" t="n"/>
      <c r="I3787" s="25" t="n"/>
      <c r="U3787" s="19">
        <f>IF(AND($V3787='設定'!$C$4,COUNTIF('商品マスタ'!$B$6:$B$1005,$W3787)=0),N(U3786)+1,N(U3786))</f>
        <v/>
      </c>
      <c r="V3787" s="19">
        <f>IF($B3787="","",TEXT($B3787,"0000"))</f>
        <v/>
      </c>
      <c r="W3787" s="19">
        <f>IF($I3787="","",IF(ISNUMBER($I3787),TEXT($I3787,"0"),$I3787))</f>
        <v/>
      </c>
    </row>
    <row r="3788">
      <c r="B3788" s="25" t="n"/>
      <c r="I3788" s="25" t="n"/>
      <c r="U3788" s="19">
        <f>IF(AND($V3788='設定'!$C$4,COUNTIF('商品マスタ'!$B$6:$B$1005,$W3788)=0),N(U3787)+1,N(U3787))</f>
        <v/>
      </c>
      <c r="V3788" s="19">
        <f>IF($B3788="","",TEXT($B3788,"0000"))</f>
        <v/>
      </c>
      <c r="W3788" s="19">
        <f>IF($I3788="","",IF(ISNUMBER($I3788),TEXT($I3788,"0"),$I3788))</f>
        <v/>
      </c>
    </row>
    <row r="3789">
      <c r="B3789" s="25" t="n"/>
      <c r="I3789" s="25" t="n"/>
      <c r="U3789" s="19">
        <f>IF(AND($V3789='設定'!$C$4,COUNTIF('商品マスタ'!$B$6:$B$1005,$W3789)=0),N(U3788)+1,N(U3788))</f>
        <v/>
      </c>
      <c r="V3789" s="19">
        <f>IF($B3789="","",TEXT($B3789,"0000"))</f>
        <v/>
      </c>
      <c r="W3789" s="19">
        <f>IF($I3789="","",IF(ISNUMBER($I3789),TEXT($I3789,"0"),$I3789))</f>
        <v/>
      </c>
    </row>
    <row r="3790">
      <c r="B3790" s="25" t="n"/>
      <c r="I3790" s="25" t="n"/>
      <c r="U3790" s="19">
        <f>IF(AND($V3790='設定'!$C$4,COUNTIF('商品マスタ'!$B$6:$B$1005,$W3790)=0),N(U3789)+1,N(U3789))</f>
        <v/>
      </c>
      <c r="V3790" s="19">
        <f>IF($B3790="","",TEXT($B3790,"0000"))</f>
        <v/>
      </c>
      <c r="W3790" s="19">
        <f>IF($I3790="","",IF(ISNUMBER($I3790),TEXT($I3790,"0"),$I3790))</f>
        <v/>
      </c>
    </row>
    <row r="3791">
      <c r="B3791" s="25" t="n"/>
      <c r="I3791" s="25" t="n"/>
      <c r="U3791" s="19">
        <f>IF(AND($V3791='設定'!$C$4,COUNTIF('商品マスタ'!$B$6:$B$1005,$W3791)=0),N(U3790)+1,N(U3790))</f>
        <v/>
      </c>
      <c r="V3791" s="19">
        <f>IF($B3791="","",TEXT($B3791,"0000"))</f>
        <v/>
      </c>
      <c r="W3791" s="19">
        <f>IF($I3791="","",IF(ISNUMBER($I3791),TEXT($I3791,"0"),$I3791))</f>
        <v/>
      </c>
    </row>
    <row r="3792">
      <c r="B3792" s="25" t="n"/>
      <c r="I3792" s="25" t="n"/>
      <c r="U3792" s="19">
        <f>IF(AND($V3792='設定'!$C$4,COUNTIF('商品マスタ'!$B$6:$B$1005,$W3792)=0),N(U3791)+1,N(U3791))</f>
        <v/>
      </c>
      <c r="V3792" s="19">
        <f>IF($B3792="","",TEXT($B3792,"0000"))</f>
        <v/>
      </c>
      <c r="W3792" s="19">
        <f>IF($I3792="","",IF(ISNUMBER($I3792),TEXT($I3792,"0"),$I3792))</f>
        <v/>
      </c>
    </row>
    <row r="3793">
      <c r="B3793" s="25" t="n"/>
      <c r="I3793" s="25" t="n"/>
      <c r="U3793" s="19">
        <f>IF(AND($V3793='設定'!$C$4,COUNTIF('商品マスタ'!$B$6:$B$1005,$W3793)=0),N(U3792)+1,N(U3792))</f>
        <v/>
      </c>
      <c r="V3793" s="19">
        <f>IF($B3793="","",TEXT($B3793,"0000"))</f>
        <v/>
      </c>
      <c r="W3793" s="19">
        <f>IF($I3793="","",IF(ISNUMBER($I3793),TEXT($I3793,"0"),$I3793))</f>
        <v/>
      </c>
    </row>
    <row r="3794">
      <c r="B3794" s="25" t="n"/>
      <c r="I3794" s="25" t="n"/>
      <c r="U3794" s="19">
        <f>IF(AND($V3794='設定'!$C$4,COUNTIF('商品マスタ'!$B$6:$B$1005,$W3794)=0),N(U3793)+1,N(U3793))</f>
        <v/>
      </c>
      <c r="V3794" s="19">
        <f>IF($B3794="","",TEXT($B3794,"0000"))</f>
        <v/>
      </c>
      <c r="W3794" s="19">
        <f>IF($I3794="","",IF(ISNUMBER($I3794),TEXT($I3794,"0"),$I3794))</f>
        <v/>
      </c>
    </row>
    <row r="3795">
      <c r="B3795" s="25" t="n"/>
      <c r="I3795" s="25" t="n"/>
      <c r="U3795" s="19">
        <f>IF(AND($V3795='設定'!$C$4,COUNTIF('商品マスタ'!$B$6:$B$1005,$W3795)=0),N(U3794)+1,N(U3794))</f>
        <v/>
      </c>
      <c r="V3795" s="19">
        <f>IF($B3795="","",TEXT($B3795,"0000"))</f>
        <v/>
      </c>
      <c r="W3795" s="19">
        <f>IF($I3795="","",IF(ISNUMBER($I3795),TEXT($I3795,"0"),$I3795))</f>
        <v/>
      </c>
    </row>
    <row r="3796">
      <c r="B3796" s="25" t="n"/>
      <c r="I3796" s="25" t="n"/>
      <c r="U3796" s="19">
        <f>IF(AND($V3796='設定'!$C$4,COUNTIF('商品マスタ'!$B$6:$B$1005,$W3796)=0),N(U3795)+1,N(U3795))</f>
        <v/>
      </c>
      <c r="V3796" s="19">
        <f>IF($B3796="","",TEXT($B3796,"0000"))</f>
        <v/>
      </c>
      <c r="W3796" s="19">
        <f>IF($I3796="","",IF(ISNUMBER($I3796),TEXT($I3796,"0"),$I3796))</f>
        <v/>
      </c>
    </row>
    <row r="3797">
      <c r="B3797" s="25" t="n"/>
      <c r="I3797" s="25" t="n"/>
      <c r="U3797" s="19">
        <f>IF(AND($V3797='設定'!$C$4,COUNTIF('商品マスタ'!$B$6:$B$1005,$W3797)=0),N(U3796)+1,N(U3796))</f>
        <v/>
      </c>
      <c r="V3797" s="19">
        <f>IF($B3797="","",TEXT($B3797,"0000"))</f>
        <v/>
      </c>
      <c r="W3797" s="19">
        <f>IF($I3797="","",IF(ISNUMBER($I3797),TEXT($I3797,"0"),$I3797))</f>
        <v/>
      </c>
    </row>
    <row r="3798">
      <c r="B3798" s="25" t="n"/>
      <c r="I3798" s="25" t="n"/>
      <c r="U3798" s="19">
        <f>IF(AND($V3798='設定'!$C$4,COUNTIF('商品マスタ'!$B$6:$B$1005,$W3798)=0),N(U3797)+1,N(U3797))</f>
        <v/>
      </c>
      <c r="V3798" s="19">
        <f>IF($B3798="","",TEXT($B3798,"0000"))</f>
        <v/>
      </c>
      <c r="W3798" s="19">
        <f>IF($I3798="","",IF(ISNUMBER($I3798),TEXT($I3798,"0"),$I3798))</f>
        <v/>
      </c>
    </row>
    <row r="3799">
      <c r="B3799" s="25" t="n"/>
      <c r="I3799" s="25" t="n"/>
      <c r="U3799" s="19">
        <f>IF(AND($V3799='設定'!$C$4,COUNTIF('商品マスタ'!$B$6:$B$1005,$W3799)=0),N(U3798)+1,N(U3798))</f>
        <v/>
      </c>
      <c r="V3799" s="19">
        <f>IF($B3799="","",TEXT($B3799,"0000"))</f>
        <v/>
      </c>
      <c r="W3799" s="19">
        <f>IF($I3799="","",IF(ISNUMBER($I3799),TEXT($I3799,"0"),$I3799))</f>
        <v/>
      </c>
    </row>
    <row r="3800">
      <c r="B3800" s="25" t="n"/>
      <c r="I3800" s="25" t="n"/>
      <c r="U3800" s="19">
        <f>IF(AND($V3800='設定'!$C$4,COUNTIF('商品マスタ'!$B$6:$B$1005,$W3800)=0),N(U3799)+1,N(U3799))</f>
        <v/>
      </c>
      <c r="V3800" s="19">
        <f>IF($B3800="","",TEXT($B3800,"0000"))</f>
        <v/>
      </c>
      <c r="W3800" s="19">
        <f>IF($I3800="","",IF(ISNUMBER($I3800),TEXT($I3800,"0"),$I3800))</f>
        <v/>
      </c>
    </row>
    <row r="3801">
      <c r="B3801" s="25" t="n"/>
      <c r="I3801" s="25" t="n"/>
      <c r="U3801" s="19">
        <f>IF(AND($V3801='設定'!$C$4,COUNTIF('商品マスタ'!$B$6:$B$1005,$W3801)=0),N(U3800)+1,N(U3800))</f>
        <v/>
      </c>
      <c r="V3801" s="19">
        <f>IF($B3801="","",TEXT($B3801,"0000"))</f>
        <v/>
      </c>
      <c r="W3801" s="19">
        <f>IF($I3801="","",IF(ISNUMBER($I3801),TEXT($I3801,"0"),$I3801))</f>
        <v/>
      </c>
    </row>
    <row r="3802">
      <c r="B3802" s="25" t="n"/>
      <c r="I3802" s="25" t="n"/>
      <c r="U3802" s="19">
        <f>IF(AND($V3802='設定'!$C$4,COUNTIF('商品マスタ'!$B$6:$B$1005,$W3802)=0),N(U3801)+1,N(U3801))</f>
        <v/>
      </c>
      <c r="V3802" s="19">
        <f>IF($B3802="","",TEXT($B3802,"0000"))</f>
        <v/>
      </c>
      <c r="W3802" s="19">
        <f>IF($I3802="","",IF(ISNUMBER($I3802),TEXT($I3802,"0"),$I3802))</f>
        <v/>
      </c>
    </row>
    <row r="3803">
      <c r="B3803" s="25" t="n"/>
      <c r="I3803" s="25" t="n"/>
      <c r="U3803" s="19">
        <f>IF(AND($V3803='設定'!$C$4,COUNTIF('商品マスタ'!$B$6:$B$1005,$W3803)=0),N(U3802)+1,N(U3802))</f>
        <v/>
      </c>
      <c r="V3803" s="19">
        <f>IF($B3803="","",TEXT($B3803,"0000"))</f>
        <v/>
      </c>
      <c r="W3803" s="19">
        <f>IF($I3803="","",IF(ISNUMBER($I3803),TEXT($I3803,"0"),$I3803))</f>
        <v/>
      </c>
    </row>
    <row r="3804">
      <c r="B3804" s="25" t="n"/>
      <c r="I3804" s="25" t="n"/>
      <c r="U3804" s="19">
        <f>IF(AND($V3804='設定'!$C$4,COUNTIF('商品マスタ'!$B$6:$B$1005,$W3804)=0),N(U3803)+1,N(U3803))</f>
        <v/>
      </c>
      <c r="V3804" s="19">
        <f>IF($B3804="","",TEXT($B3804,"0000"))</f>
        <v/>
      </c>
      <c r="W3804" s="19">
        <f>IF($I3804="","",IF(ISNUMBER($I3804),TEXT($I3804,"0"),$I3804))</f>
        <v/>
      </c>
    </row>
    <row r="3805">
      <c r="B3805" s="25" t="n"/>
      <c r="I3805" s="25" t="n"/>
      <c r="U3805" s="19">
        <f>IF(AND($V3805='設定'!$C$4,COUNTIF('商品マスタ'!$B$6:$B$1005,$W3805)=0),N(U3804)+1,N(U3804))</f>
        <v/>
      </c>
      <c r="V3805" s="19">
        <f>IF($B3805="","",TEXT($B3805,"0000"))</f>
        <v/>
      </c>
      <c r="W3805" s="19">
        <f>IF($I3805="","",IF(ISNUMBER($I3805),TEXT($I3805,"0"),$I3805))</f>
        <v/>
      </c>
    </row>
    <row r="3806">
      <c r="B3806" s="25" t="n"/>
      <c r="I3806" s="25" t="n"/>
      <c r="U3806" s="19">
        <f>IF(AND($V3806='設定'!$C$4,COUNTIF('商品マスタ'!$B$6:$B$1005,$W3806)=0),N(U3805)+1,N(U3805))</f>
        <v/>
      </c>
      <c r="V3806" s="19">
        <f>IF($B3806="","",TEXT($B3806,"0000"))</f>
        <v/>
      </c>
      <c r="W3806" s="19">
        <f>IF($I3806="","",IF(ISNUMBER($I3806),TEXT($I3806,"0"),$I3806))</f>
        <v/>
      </c>
    </row>
    <row r="3807">
      <c r="B3807" s="25" t="n"/>
      <c r="I3807" s="25" t="n"/>
      <c r="U3807" s="19">
        <f>IF(AND($V3807='設定'!$C$4,COUNTIF('商品マスタ'!$B$6:$B$1005,$W3807)=0),N(U3806)+1,N(U3806))</f>
        <v/>
      </c>
      <c r="V3807" s="19">
        <f>IF($B3807="","",TEXT($B3807,"0000"))</f>
        <v/>
      </c>
      <c r="W3807" s="19">
        <f>IF($I3807="","",IF(ISNUMBER($I3807),TEXT($I3807,"0"),$I3807))</f>
        <v/>
      </c>
    </row>
    <row r="3808">
      <c r="B3808" s="25" t="n"/>
      <c r="I3808" s="25" t="n"/>
      <c r="U3808" s="19">
        <f>IF(AND($V3808='設定'!$C$4,COUNTIF('商品マスタ'!$B$6:$B$1005,$W3808)=0),N(U3807)+1,N(U3807))</f>
        <v/>
      </c>
      <c r="V3808" s="19">
        <f>IF($B3808="","",TEXT($B3808,"0000"))</f>
        <v/>
      </c>
      <c r="W3808" s="19">
        <f>IF($I3808="","",IF(ISNUMBER($I3808),TEXT($I3808,"0"),$I3808))</f>
        <v/>
      </c>
    </row>
    <row r="3809">
      <c r="B3809" s="25" t="n"/>
      <c r="I3809" s="25" t="n"/>
      <c r="U3809" s="19">
        <f>IF(AND($V3809='設定'!$C$4,COUNTIF('商品マスタ'!$B$6:$B$1005,$W3809)=0),N(U3808)+1,N(U3808))</f>
        <v/>
      </c>
      <c r="V3809" s="19">
        <f>IF($B3809="","",TEXT($B3809,"0000"))</f>
        <v/>
      </c>
      <c r="W3809" s="19">
        <f>IF($I3809="","",IF(ISNUMBER($I3809),TEXT($I3809,"0"),$I3809))</f>
        <v/>
      </c>
    </row>
    <row r="3810">
      <c r="B3810" s="25" t="n"/>
      <c r="I3810" s="25" t="n"/>
      <c r="U3810" s="19">
        <f>IF(AND($V3810='設定'!$C$4,COUNTIF('商品マスタ'!$B$6:$B$1005,$W3810)=0),N(U3809)+1,N(U3809))</f>
        <v/>
      </c>
      <c r="V3810" s="19">
        <f>IF($B3810="","",TEXT($B3810,"0000"))</f>
        <v/>
      </c>
      <c r="W3810" s="19">
        <f>IF($I3810="","",IF(ISNUMBER($I3810),TEXT($I3810,"0"),$I3810))</f>
        <v/>
      </c>
    </row>
    <row r="3811">
      <c r="B3811" s="25" t="n"/>
      <c r="I3811" s="25" t="n"/>
      <c r="U3811" s="19">
        <f>IF(AND($V3811='設定'!$C$4,COUNTIF('商品マスタ'!$B$6:$B$1005,$W3811)=0),N(U3810)+1,N(U3810))</f>
        <v/>
      </c>
      <c r="V3811" s="19">
        <f>IF($B3811="","",TEXT($B3811,"0000"))</f>
        <v/>
      </c>
      <c r="W3811" s="19">
        <f>IF($I3811="","",IF(ISNUMBER($I3811),TEXT($I3811,"0"),$I3811))</f>
        <v/>
      </c>
    </row>
    <row r="3812">
      <c r="B3812" s="25" t="n"/>
      <c r="I3812" s="25" t="n"/>
      <c r="U3812" s="19">
        <f>IF(AND($V3812='設定'!$C$4,COUNTIF('商品マスタ'!$B$6:$B$1005,$W3812)=0),N(U3811)+1,N(U3811))</f>
        <v/>
      </c>
      <c r="V3812" s="19">
        <f>IF($B3812="","",TEXT($B3812,"0000"))</f>
        <v/>
      </c>
      <c r="W3812" s="19">
        <f>IF($I3812="","",IF(ISNUMBER($I3812),TEXT($I3812,"0"),$I3812))</f>
        <v/>
      </c>
    </row>
    <row r="3813">
      <c r="B3813" s="25" t="n"/>
      <c r="I3813" s="25" t="n"/>
      <c r="U3813" s="19">
        <f>IF(AND($V3813='設定'!$C$4,COUNTIF('商品マスタ'!$B$6:$B$1005,$W3813)=0),N(U3812)+1,N(U3812))</f>
        <v/>
      </c>
      <c r="V3813" s="19">
        <f>IF($B3813="","",TEXT($B3813,"0000"))</f>
        <v/>
      </c>
      <c r="W3813" s="19">
        <f>IF($I3813="","",IF(ISNUMBER($I3813),TEXT($I3813,"0"),$I3813))</f>
        <v/>
      </c>
    </row>
    <row r="3814">
      <c r="B3814" s="25" t="n"/>
      <c r="I3814" s="25" t="n"/>
      <c r="U3814" s="19">
        <f>IF(AND($V3814='設定'!$C$4,COUNTIF('商品マスタ'!$B$6:$B$1005,$W3814)=0),N(U3813)+1,N(U3813))</f>
        <v/>
      </c>
      <c r="V3814" s="19">
        <f>IF($B3814="","",TEXT($B3814,"0000"))</f>
        <v/>
      </c>
      <c r="W3814" s="19">
        <f>IF($I3814="","",IF(ISNUMBER($I3814),TEXT($I3814,"0"),$I3814))</f>
        <v/>
      </c>
    </row>
    <row r="3815">
      <c r="B3815" s="25" t="n"/>
      <c r="I3815" s="25" t="n"/>
      <c r="U3815" s="19">
        <f>IF(AND($V3815='設定'!$C$4,COUNTIF('商品マスタ'!$B$6:$B$1005,$W3815)=0),N(U3814)+1,N(U3814))</f>
        <v/>
      </c>
      <c r="V3815" s="19">
        <f>IF($B3815="","",TEXT($B3815,"0000"))</f>
        <v/>
      </c>
      <c r="W3815" s="19">
        <f>IF($I3815="","",IF(ISNUMBER($I3815),TEXT($I3815,"0"),$I3815))</f>
        <v/>
      </c>
    </row>
    <row r="3816">
      <c r="B3816" s="25" t="n"/>
      <c r="I3816" s="25" t="n"/>
      <c r="U3816" s="19">
        <f>IF(AND($V3816='設定'!$C$4,COUNTIF('商品マスタ'!$B$6:$B$1005,$W3816)=0),N(U3815)+1,N(U3815))</f>
        <v/>
      </c>
      <c r="V3816" s="19">
        <f>IF($B3816="","",TEXT($B3816,"0000"))</f>
        <v/>
      </c>
      <c r="W3816" s="19">
        <f>IF($I3816="","",IF(ISNUMBER($I3816),TEXT($I3816,"0"),$I3816))</f>
        <v/>
      </c>
    </row>
    <row r="3817">
      <c r="B3817" s="25" t="n"/>
      <c r="I3817" s="25" t="n"/>
      <c r="U3817" s="19">
        <f>IF(AND($V3817='設定'!$C$4,COUNTIF('商品マスタ'!$B$6:$B$1005,$W3817)=0),N(U3816)+1,N(U3816))</f>
        <v/>
      </c>
      <c r="V3817" s="19">
        <f>IF($B3817="","",TEXT($B3817,"0000"))</f>
        <v/>
      </c>
      <c r="W3817" s="19">
        <f>IF($I3817="","",IF(ISNUMBER($I3817),TEXT($I3817,"0"),$I3817))</f>
        <v/>
      </c>
    </row>
    <row r="3818">
      <c r="B3818" s="25" t="n"/>
      <c r="I3818" s="25" t="n"/>
      <c r="U3818" s="19">
        <f>IF(AND($V3818='設定'!$C$4,COUNTIF('商品マスタ'!$B$6:$B$1005,$W3818)=0),N(U3817)+1,N(U3817))</f>
        <v/>
      </c>
      <c r="V3818" s="19">
        <f>IF($B3818="","",TEXT($B3818,"0000"))</f>
        <v/>
      </c>
      <c r="W3818" s="19">
        <f>IF($I3818="","",IF(ISNUMBER($I3818),TEXT($I3818,"0"),$I3818))</f>
        <v/>
      </c>
    </row>
    <row r="3819">
      <c r="B3819" s="25" t="n"/>
      <c r="I3819" s="25" t="n"/>
      <c r="U3819" s="19">
        <f>IF(AND($V3819='設定'!$C$4,COUNTIF('商品マスタ'!$B$6:$B$1005,$W3819)=0),N(U3818)+1,N(U3818))</f>
        <v/>
      </c>
      <c r="V3819" s="19">
        <f>IF($B3819="","",TEXT($B3819,"0000"))</f>
        <v/>
      </c>
      <c r="W3819" s="19">
        <f>IF($I3819="","",IF(ISNUMBER($I3819),TEXT($I3819,"0"),$I3819))</f>
        <v/>
      </c>
    </row>
    <row r="3820">
      <c r="B3820" s="25" t="n"/>
      <c r="I3820" s="25" t="n"/>
      <c r="U3820" s="19">
        <f>IF(AND($V3820='設定'!$C$4,COUNTIF('商品マスタ'!$B$6:$B$1005,$W3820)=0),N(U3819)+1,N(U3819))</f>
        <v/>
      </c>
      <c r="V3820" s="19">
        <f>IF($B3820="","",TEXT($B3820,"0000"))</f>
        <v/>
      </c>
      <c r="W3820" s="19">
        <f>IF($I3820="","",IF(ISNUMBER($I3820),TEXT($I3820,"0"),$I3820))</f>
        <v/>
      </c>
    </row>
    <row r="3821">
      <c r="B3821" s="25" t="n"/>
      <c r="I3821" s="25" t="n"/>
      <c r="U3821" s="19">
        <f>IF(AND($V3821='設定'!$C$4,COUNTIF('商品マスタ'!$B$6:$B$1005,$W3821)=0),N(U3820)+1,N(U3820))</f>
        <v/>
      </c>
      <c r="V3821" s="19">
        <f>IF($B3821="","",TEXT($B3821,"0000"))</f>
        <v/>
      </c>
      <c r="W3821" s="19">
        <f>IF($I3821="","",IF(ISNUMBER($I3821),TEXT($I3821,"0"),$I3821))</f>
        <v/>
      </c>
    </row>
    <row r="3822">
      <c r="B3822" s="25" t="n"/>
      <c r="I3822" s="25" t="n"/>
      <c r="U3822" s="19">
        <f>IF(AND($V3822='設定'!$C$4,COUNTIF('商品マスタ'!$B$6:$B$1005,$W3822)=0),N(U3821)+1,N(U3821))</f>
        <v/>
      </c>
      <c r="V3822" s="19">
        <f>IF($B3822="","",TEXT($B3822,"0000"))</f>
        <v/>
      </c>
      <c r="W3822" s="19">
        <f>IF($I3822="","",IF(ISNUMBER($I3822),TEXT($I3822,"0"),$I3822))</f>
        <v/>
      </c>
    </row>
    <row r="3823">
      <c r="B3823" s="25" t="n"/>
      <c r="I3823" s="25" t="n"/>
      <c r="U3823" s="19">
        <f>IF(AND($V3823='設定'!$C$4,COUNTIF('商品マスタ'!$B$6:$B$1005,$W3823)=0),N(U3822)+1,N(U3822))</f>
        <v/>
      </c>
      <c r="V3823" s="19">
        <f>IF($B3823="","",TEXT($B3823,"0000"))</f>
        <v/>
      </c>
      <c r="W3823" s="19">
        <f>IF($I3823="","",IF(ISNUMBER($I3823),TEXT($I3823,"0"),$I3823))</f>
        <v/>
      </c>
    </row>
    <row r="3824">
      <c r="B3824" s="25" t="n"/>
      <c r="I3824" s="25" t="n"/>
      <c r="U3824" s="19">
        <f>IF(AND($V3824='設定'!$C$4,COUNTIF('商品マスタ'!$B$6:$B$1005,$W3824)=0),N(U3823)+1,N(U3823))</f>
        <v/>
      </c>
      <c r="V3824" s="19">
        <f>IF($B3824="","",TEXT($B3824,"0000"))</f>
        <v/>
      </c>
      <c r="W3824" s="19">
        <f>IF($I3824="","",IF(ISNUMBER($I3824),TEXT($I3824,"0"),$I3824))</f>
        <v/>
      </c>
    </row>
    <row r="3825">
      <c r="B3825" s="25" t="n"/>
      <c r="I3825" s="25" t="n"/>
      <c r="U3825" s="19">
        <f>IF(AND($V3825='設定'!$C$4,COUNTIF('商品マスタ'!$B$6:$B$1005,$W3825)=0),N(U3824)+1,N(U3824))</f>
        <v/>
      </c>
      <c r="V3825" s="19">
        <f>IF($B3825="","",TEXT($B3825,"0000"))</f>
        <v/>
      </c>
      <c r="W3825" s="19">
        <f>IF($I3825="","",IF(ISNUMBER($I3825),TEXT($I3825,"0"),$I3825))</f>
        <v/>
      </c>
    </row>
    <row r="3826">
      <c r="B3826" s="25" t="n"/>
      <c r="I3826" s="25" t="n"/>
      <c r="U3826" s="19">
        <f>IF(AND($V3826='設定'!$C$4,COUNTIF('商品マスタ'!$B$6:$B$1005,$W3826)=0),N(U3825)+1,N(U3825))</f>
        <v/>
      </c>
      <c r="V3826" s="19">
        <f>IF($B3826="","",TEXT($B3826,"0000"))</f>
        <v/>
      </c>
      <c r="W3826" s="19">
        <f>IF($I3826="","",IF(ISNUMBER($I3826),TEXT($I3826,"0"),$I3826))</f>
        <v/>
      </c>
    </row>
    <row r="3827">
      <c r="B3827" s="25" t="n"/>
      <c r="I3827" s="25" t="n"/>
      <c r="U3827" s="19">
        <f>IF(AND($V3827='設定'!$C$4,COUNTIF('商品マスタ'!$B$6:$B$1005,$W3827)=0),N(U3826)+1,N(U3826))</f>
        <v/>
      </c>
      <c r="V3827" s="19">
        <f>IF($B3827="","",TEXT($B3827,"0000"))</f>
        <v/>
      </c>
      <c r="W3827" s="19">
        <f>IF($I3827="","",IF(ISNUMBER($I3827),TEXT($I3827,"0"),$I3827))</f>
        <v/>
      </c>
    </row>
    <row r="3828">
      <c r="B3828" s="25" t="n"/>
      <c r="I3828" s="25" t="n"/>
      <c r="U3828" s="19">
        <f>IF(AND($V3828='設定'!$C$4,COUNTIF('商品マスタ'!$B$6:$B$1005,$W3828)=0),N(U3827)+1,N(U3827))</f>
        <v/>
      </c>
      <c r="V3828" s="19">
        <f>IF($B3828="","",TEXT($B3828,"0000"))</f>
        <v/>
      </c>
      <c r="W3828" s="19">
        <f>IF($I3828="","",IF(ISNUMBER($I3828),TEXT($I3828,"0"),$I3828))</f>
        <v/>
      </c>
    </row>
    <row r="3829">
      <c r="B3829" s="25" t="n"/>
      <c r="I3829" s="25" t="n"/>
      <c r="U3829" s="19">
        <f>IF(AND($V3829='設定'!$C$4,COUNTIF('商品マスタ'!$B$6:$B$1005,$W3829)=0),N(U3828)+1,N(U3828))</f>
        <v/>
      </c>
      <c r="V3829" s="19">
        <f>IF($B3829="","",TEXT($B3829,"0000"))</f>
        <v/>
      </c>
      <c r="W3829" s="19">
        <f>IF($I3829="","",IF(ISNUMBER($I3829),TEXT($I3829,"0"),$I3829))</f>
        <v/>
      </c>
    </row>
    <row r="3830">
      <c r="B3830" s="25" t="n"/>
      <c r="I3830" s="25" t="n"/>
      <c r="U3830" s="19">
        <f>IF(AND($V3830='設定'!$C$4,COUNTIF('商品マスタ'!$B$6:$B$1005,$W3830)=0),N(U3829)+1,N(U3829))</f>
        <v/>
      </c>
      <c r="V3830" s="19">
        <f>IF($B3830="","",TEXT($B3830,"0000"))</f>
        <v/>
      </c>
      <c r="W3830" s="19">
        <f>IF($I3830="","",IF(ISNUMBER($I3830),TEXT($I3830,"0"),$I3830))</f>
        <v/>
      </c>
    </row>
    <row r="3831">
      <c r="B3831" s="25" t="n"/>
      <c r="I3831" s="25" t="n"/>
      <c r="U3831" s="19">
        <f>IF(AND($V3831='設定'!$C$4,COUNTIF('商品マスタ'!$B$6:$B$1005,$W3831)=0),N(U3830)+1,N(U3830))</f>
        <v/>
      </c>
      <c r="V3831" s="19">
        <f>IF($B3831="","",TEXT($B3831,"0000"))</f>
        <v/>
      </c>
      <c r="W3831" s="19">
        <f>IF($I3831="","",IF(ISNUMBER($I3831),TEXT($I3831,"0"),$I3831))</f>
        <v/>
      </c>
    </row>
    <row r="3832">
      <c r="B3832" s="25" t="n"/>
      <c r="I3832" s="25" t="n"/>
      <c r="U3832" s="19">
        <f>IF(AND($V3832='設定'!$C$4,COUNTIF('商品マスタ'!$B$6:$B$1005,$W3832)=0),N(U3831)+1,N(U3831))</f>
        <v/>
      </c>
      <c r="V3832" s="19">
        <f>IF($B3832="","",TEXT($B3832,"0000"))</f>
        <v/>
      </c>
      <c r="W3832" s="19">
        <f>IF($I3832="","",IF(ISNUMBER($I3832),TEXT($I3832,"0"),$I3832))</f>
        <v/>
      </c>
    </row>
    <row r="3833">
      <c r="B3833" s="25" t="n"/>
      <c r="I3833" s="25" t="n"/>
      <c r="U3833" s="19">
        <f>IF(AND($V3833='設定'!$C$4,COUNTIF('商品マスタ'!$B$6:$B$1005,$W3833)=0),N(U3832)+1,N(U3832))</f>
        <v/>
      </c>
      <c r="V3833" s="19">
        <f>IF($B3833="","",TEXT($B3833,"0000"))</f>
        <v/>
      </c>
      <c r="W3833" s="19">
        <f>IF($I3833="","",IF(ISNUMBER($I3833),TEXT($I3833,"0"),$I3833))</f>
        <v/>
      </c>
    </row>
    <row r="3834">
      <c r="B3834" s="25" t="n"/>
      <c r="I3834" s="25" t="n"/>
      <c r="U3834" s="19">
        <f>IF(AND($V3834='設定'!$C$4,COUNTIF('商品マスタ'!$B$6:$B$1005,$W3834)=0),N(U3833)+1,N(U3833))</f>
        <v/>
      </c>
      <c r="V3834" s="19">
        <f>IF($B3834="","",TEXT($B3834,"0000"))</f>
        <v/>
      </c>
      <c r="W3834" s="19">
        <f>IF($I3834="","",IF(ISNUMBER($I3834),TEXT($I3834,"0"),$I3834))</f>
        <v/>
      </c>
    </row>
    <row r="3835">
      <c r="B3835" s="25" t="n"/>
      <c r="I3835" s="25" t="n"/>
      <c r="U3835" s="19">
        <f>IF(AND($V3835='設定'!$C$4,COUNTIF('商品マスタ'!$B$6:$B$1005,$W3835)=0),N(U3834)+1,N(U3834))</f>
        <v/>
      </c>
      <c r="V3835" s="19">
        <f>IF($B3835="","",TEXT($B3835,"0000"))</f>
        <v/>
      </c>
      <c r="W3835" s="19">
        <f>IF($I3835="","",IF(ISNUMBER($I3835),TEXT($I3835,"0"),$I3835))</f>
        <v/>
      </c>
    </row>
    <row r="3836">
      <c r="B3836" s="25" t="n"/>
      <c r="I3836" s="25" t="n"/>
      <c r="U3836" s="19">
        <f>IF(AND($V3836='設定'!$C$4,COUNTIF('商品マスタ'!$B$6:$B$1005,$W3836)=0),N(U3835)+1,N(U3835))</f>
        <v/>
      </c>
      <c r="V3836" s="19">
        <f>IF($B3836="","",TEXT($B3836,"0000"))</f>
        <v/>
      </c>
      <c r="W3836" s="19">
        <f>IF($I3836="","",IF(ISNUMBER($I3836),TEXT($I3836,"0"),$I3836))</f>
        <v/>
      </c>
    </row>
    <row r="3837">
      <c r="B3837" s="25" t="n"/>
      <c r="I3837" s="25" t="n"/>
      <c r="U3837" s="19">
        <f>IF(AND($V3837='設定'!$C$4,COUNTIF('商品マスタ'!$B$6:$B$1005,$W3837)=0),N(U3836)+1,N(U3836))</f>
        <v/>
      </c>
      <c r="V3837" s="19">
        <f>IF($B3837="","",TEXT($B3837,"0000"))</f>
        <v/>
      </c>
      <c r="W3837" s="19">
        <f>IF($I3837="","",IF(ISNUMBER($I3837),TEXT($I3837,"0"),$I3837))</f>
        <v/>
      </c>
    </row>
    <row r="3838">
      <c r="B3838" s="25" t="n"/>
      <c r="I3838" s="25" t="n"/>
      <c r="U3838" s="19">
        <f>IF(AND($V3838='設定'!$C$4,COUNTIF('商品マスタ'!$B$6:$B$1005,$W3838)=0),N(U3837)+1,N(U3837))</f>
        <v/>
      </c>
      <c r="V3838" s="19">
        <f>IF($B3838="","",TEXT($B3838,"0000"))</f>
        <v/>
      </c>
      <c r="W3838" s="19">
        <f>IF($I3838="","",IF(ISNUMBER($I3838),TEXT($I3838,"0"),$I3838))</f>
        <v/>
      </c>
    </row>
    <row r="3839">
      <c r="B3839" s="25" t="n"/>
      <c r="I3839" s="25" t="n"/>
      <c r="U3839" s="19">
        <f>IF(AND($V3839='設定'!$C$4,COUNTIF('商品マスタ'!$B$6:$B$1005,$W3839)=0),N(U3838)+1,N(U3838))</f>
        <v/>
      </c>
      <c r="V3839" s="19">
        <f>IF($B3839="","",TEXT($B3839,"0000"))</f>
        <v/>
      </c>
      <c r="W3839" s="19">
        <f>IF($I3839="","",IF(ISNUMBER($I3839),TEXT($I3839,"0"),$I3839))</f>
        <v/>
      </c>
    </row>
    <row r="3840">
      <c r="B3840" s="25" t="n"/>
      <c r="I3840" s="25" t="n"/>
      <c r="U3840" s="19">
        <f>IF(AND($V3840='設定'!$C$4,COUNTIF('商品マスタ'!$B$6:$B$1005,$W3840)=0),N(U3839)+1,N(U3839))</f>
        <v/>
      </c>
      <c r="V3840" s="19">
        <f>IF($B3840="","",TEXT($B3840,"0000"))</f>
        <v/>
      </c>
      <c r="W3840" s="19">
        <f>IF($I3840="","",IF(ISNUMBER($I3840),TEXT($I3840,"0"),$I3840))</f>
        <v/>
      </c>
    </row>
    <row r="3841">
      <c r="B3841" s="25" t="n"/>
      <c r="I3841" s="25" t="n"/>
      <c r="U3841" s="19">
        <f>IF(AND($V3841='設定'!$C$4,COUNTIF('商品マスタ'!$B$6:$B$1005,$W3841)=0),N(U3840)+1,N(U3840))</f>
        <v/>
      </c>
      <c r="V3841" s="19">
        <f>IF($B3841="","",TEXT($B3841,"0000"))</f>
        <v/>
      </c>
      <c r="W3841" s="19">
        <f>IF($I3841="","",IF(ISNUMBER($I3841),TEXT($I3841,"0"),$I3841))</f>
        <v/>
      </c>
    </row>
    <row r="3842">
      <c r="B3842" s="25" t="n"/>
      <c r="I3842" s="25" t="n"/>
      <c r="U3842" s="19">
        <f>IF(AND($V3842='設定'!$C$4,COUNTIF('商品マスタ'!$B$6:$B$1005,$W3842)=0),N(U3841)+1,N(U3841))</f>
        <v/>
      </c>
      <c r="V3842" s="19">
        <f>IF($B3842="","",TEXT($B3842,"0000"))</f>
        <v/>
      </c>
      <c r="W3842" s="19">
        <f>IF($I3842="","",IF(ISNUMBER($I3842),TEXT($I3842,"0"),$I3842))</f>
        <v/>
      </c>
    </row>
    <row r="3843">
      <c r="B3843" s="25" t="n"/>
      <c r="I3843" s="25" t="n"/>
      <c r="U3843" s="19">
        <f>IF(AND($V3843='設定'!$C$4,COUNTIF('商品マスタ'!$B$6:$B$1005,$W3843)=0),N(U3842)+1,N(U3842))</f>
        <v/>
      </c>
      <c r="V3843" s="19">
        <f>IF($B3843="","",TEXT($B3843,"0000"))</f>
        <v/>
      </c>
      <c r="W3843" s="19">
        <f>IF($I3843="","",IF(ISNUMBER($I3843),TEXT($I3843,"0"),$I3843))</f>
        <v/>
      </c>
    </row>
    <row r="3844">
      <c r="B3844" s="25" t="n"/>
      <c r="I3844" s="25" t="n"/>
      <c r="U3844" s="19">
        <f>IF(AND($V3844='設定'!$C$4,COUNTIF('商品マスタ'!$B$6:$B$1005,$W3844)=0),N(U3843)+1,N(U3843))</f>
        <v/>
      </c>
      <c r="V3844" s="19">
        <f>IF($B3844="","",TEXT($B3844,"0000"))</f>
        <v/>
      </c>
      <c r="W3844" s="19">
        <f>IF($I3844="","",IF(ISNUMBER($I3844),TEXT($I3844,"0"),$I3844))</f>
        <v/>
      </c>
    </row>
    <row r="3845">
      <c r="B3845" s="25" t="n"/>
      <c r="I3845" s="25" t="n"/>
      <c r="U3845" s="19">
        <f>IF(AND($V3845='設定'!$C$4,COUNTIF('商品マスタ'!$B$6:$B$1005,$W3845)=0),N(U3844)+1,N(U3844))</f>
        <v/>
      </c>
      <c r="V3845" s="19">
        <f>IF($B3845="","",TEXT($B3845,"0000"))</f>
        <v/>
      </c>
      <c r="W3845" s="19">
        <f>IF($I3845="","",IF(ISNUMBER($I3845),TEXT($I3845,"0"),$I3845))</f>
        <v/>
      </c>
    </row>
    <row r="3846">
      <c r="B3846" s="25" t="n"/>
      <c r="I3846" s="25" t="n"/>
      <c r="U3846" s="19">
        <f>IF(AND($V3846='設定'!$C$4,COUNTIF('商品マスタ'!$B$6:$B$1005,$W3846)=0),N(U3845)+1,N(U3845))</f>
        <v/>
      </c>
      <c r="V3846" s="19">
        <f>IF($B3846="","",TEXT($B3846,"0000"))</f>
        <v/>
      </c>
      <c r="W3846" s="19">
        <f>IF($I3846="","",IF(ISNUMBER($I3846),TEXT($I3846,"0"),$I3846))</f>
        <v/>
      </c>
    </row>
    <row r="3847">
      <c r="B3847" s="25" t="n"/>
      <c r="I3847" s="25" t="n"/>
      <c r="U3847" s="19">
        <f>IF(AND($V3847='設定'!$C$4,COUNTIF('商品マスタ'!$B$6:$B$1005,$W3847)=0),N(U3846)+1,N(U3846))</f>
        <v/>
      </c>
      <c r="V3847" s="19">
        <f>IF($B3847="","",TEXT($B3847,"0000"))</f>
        <v/>
      </c>
      <c r="W3847" s="19">
        <f>IF($I3847="","",IF(ISNUMBER($I3847),TEXT($I3847,"0"),$I3847))</f>
        <v/>
      </c>
    </row>
    <row r="3848">
      <c r="B3848" s="25" t="n"/>
      <c r="I3848" s="25" t="n"/>
      <c r="U3848" s="19">
        <f>IF(AND($V3848='設定'!$C$4,COUNTIF('商品マスタ'!$B$6:$B$1005,$W3848)=0),N(U3847)+1,N(U3847))</f>
        <v/>
      </c>
      <c r="V3848" s="19">
        <f>IF($B3848="","",TEXT($B3848,"0000"))</f>
        <v/>
      </c>
      <c r="W3848" s="19">
        <f>IF($I3848="","",IF(ISNUMBER($I3848),TEXT($I3848,"0"),$I3848))</f>
        <v/>
      </c>
    </row>
    <row r="3849">
      <c r="B3849" s="25" t="n"/>
      <c r="I3849" s="25" t="n"/>
      <c r="U3849" s="19">
        <f>IF(AND($V3849='設定'!$C$4,COUNTIF('商品マスタ'!$B$6:$B$1005,$W3849)=0),N(U3848)+1,N(U3848))</f>
        <v/>
      </c>
      <c r="V3849" s="19">
        <f>IF($B3849="","",TEXT($B3849,"0000"))</f>
        <v/>
      </c>
      <c r="W3849" s="19">
        <f>IF($I3849="","",IF(ISNUMBER($I3849),TEXT($I3849,"0"),$I3849))</f>
        <v/>
      </c>
    </row>
    <row r="3850">
      <c r="B3850" s="25" t="n"/>
      <c r="I3850" s="25" t="n"/>
      <c r="U3850" s="19">
        <f>IF(AND($V3850='設定'!$C$4,COUNTIF('商品マスタ'!$B$6:$B$1005,$W3850)=0),N(U3849)+1,N(U3849))</f>
        <v/>
      </c>
      <c r="V3850" s="19">
        <f>IF($B3850="","",TEXT($B3850,"0000"))</f>
        <v/>
      </c>
      <c r="W3850" s="19">
        <f>IF($I3850="","",IF(ISNUMBER($I3850),TEXT($I3850,"0"),$I3850))</f>
        <v/>
      </c>
    </row>
    <row r="3851">
      <c r="B3851" s="25" t="n"/>
      <c r="I3851" s="25" t="n"/>
      <c r="U3851" s="19">
        <f>IF(AND($V3851='設定'!$C$4,COUNTIF('商品マスタ'!$B$6:$B$1005,$W3851)=0),N(U3850)+1,N(U3850))</f>
        <v/>
      </c>
      <c r="V3851" s="19">
        <f>IF($B3851="","",TEXT($B3851,"0000"))</f>
        <v/>
      </c>
      <c r="W3851" s="19">
        <f>IF($I3851="","",IF(ISNUMBER($I3851),TEXT($I3851,"0"),$I3851))</f>
        <v/>
      </c>
    </row>
    <row r="3852">
      <c r="B3852" s="25" t="n"/>
      <c r="I3852" s="25" t="n"/>
      <c r="U3852" s="19">
        <f>IF(AND($V3852='設定'!$C$4,COUNTIF('商品マスタ'!$B$6:$B$1005,$W3852)=0),N(U3851)+1,N(U3851))</f>
        <v/>
      </c>
      <c r="V3852" s="19">
        <f>IF($B3852="","",TEXT($B3852,"0000"))</f>
        <v/>
      </c>
      <c r="W3852" s="19">
        <f>IF($I3852="","",IF(ISNUMBER($I3852),TEXT($I3852,"0"),$I3852))</f>
        <v/>
      </c>
    </row>
    <row r="3853">
      <c r="B3853" s="25" t="n"/>
      <c r="I3853" s="25" t="n"/>
      <c r="U3853" s="19">
        <f>IF(AND($V3853='設定'!$C$4,COUNTIF('商品マスタ'!$B$6:$B$1005,$W3853)=0),N(U3852)+1,N(U3852))</f>
        <v/>
      </c>
      <c r="V3853" s="19">
        <f>IF($B3853="","",TEXT($B3853,"0000"))</f>
        <v/>
      </c>
      <c r="W3853" s="19">
        <f>IF($I3853="","",IF(ISNUMBER($I3853),TEXT($I3853,"0"),$I3853))</f>
        <v/>
      </c>
    </row>
    <row r="3854">
      <c r="B3854" s="25" t="n"/>
      <c r="I3854" s="25" t="n"/>
      <c r="U3854" s="19">
        <f>IF(AND($V3854='設定'!$C$4,COUNTIF('商品マスタ'!$B$6:$B$1005,$W3854)=0),N(U3853)+1,N(U3853))</f>
        <v/>
      </c>
      <c r="V3854" s="19">
        <f>IF($B3854="","",TEXT($B3854,"0000"))</f>
        <v/>
      </c>
      <c r="W3854" s="19">
        <f>IF($I3854="","",IF(ISNUMBER($I3854),TEXT($I3854,"0"),$I3854))</f>
        <v/>
      </c>
    </row>
    <row r="3855">
      <c r="B3855" s="25" t="n"/>
      <c r="I3855" s="25" t="n"/>
      <c r="U3855" s="19">
        <f>IF(AND($V3855='設定'!$C$4,COUNTIF('商品マスタ'!$B$6:$B$1005,$W3855)=0),N(U3854)+1,N(U3854))</f>
        <v/>
      </c>
      <c r="V3855" s="19">
        <f>IF($B3855="","",TEXT($B3855,"0000"))</f>
        <v/>
      </c>
      <c r="W3855" s="19">
        <f>IF($I3855="","",IF(ISNUMBER($I3855),TEXT($I3855,"0"),$I3855))</f>
        <v/>
      </c>
    </row>
    <row r="3856">
      <c r="B3856" s="25" t="n"/>
      <c r="I3856" s="25" t="n"/>
      <c r="U3856" s="19">
        <f>IF(AND($V3856='設定'!$C$4,COUNTIF('商品マスタ'!$B$6:$B$1005,$W3856)=0),N(U3855)+1,N(U3855))</f>
        <v/>
      </c>
      <c r="V3856" s="19">
        <f>IF($B3856="","",TEXT($B3856,"0000"))</f>
        <v/>
      </c>
      <c r="W3856" s="19">
        <f>IF($I3856="","",IF(ISNUMBER($I3856),TEXT($I3856,"0"),$I3856))</f>
        <v/>
      </c>
    </row>
    <row r="3857">
      <c r="B3857" s="25" t="n"/>
      <c r="I3857" s="25" t="n"/>
      <c r="U3857" s="19">
        <f>IF(AND($V3857='設定'!$C$4,COUNTIF('商品マスタ'!$B$6:$B$1005,$W3857)=0),N(U3856)+1,N(U3856))</f>
        <v/>
      </c>
      <c r="V3857" s="19">
        <f>IF($B3857="","",TEXT($B3857,"0000"))</f>
        <v/>
      </c>
      <c r="W3857" s="19">
        <f>IF($I3857="","",IF(ISNUMBER($I3857),TEXT($I3857,"0"),$I3857))</f>
        <v/>
      </c>
    </row>
    <row r="3858">
      <c r="B3858" s="25" t="n"/>
      <c r="I3858" s="25" t="n"/>
      <c r="U3858" s="19">
        <f>IF(AND($V3858='設定'!$C$4,COUNTIF('商品マスタ'!$B$6:$B$1005,$W3858)=0),N(U3857)+1,N(U3857))</f>
        <v/>
      </c>
      <c r="V3858" s="19">
        <f>IF($B3858="","",TEXT($B3858,"0000"))</f>
        <v/>
      </c>
      <c r="W3858" s="19">
        <f>IF($I3858="","",IF(ISNUMBER($I3858),TEXT($I3858,"0"),$I3858))</f>
        <v/>
      </c>
    </row>
    <row r="3859">
      <c r="B3859" s="25" t="n"/>
      <c r="I3859" s="25" t="n"/>
      <c r="U3859" s="19">
        <f>IF(AND($V3859='設定'!$C$4,COUNTIF('商品マスタ'!$B$6:$B$1005,$W3859)=0),N(U3858)+1,N(U3858))</f>
        <v/>
      </c>
      <c r="V3859" s="19">
        <f>IF($B3859="","",TEXT($B3859,"0000"))</f>
        <v/>
      </c>
      <c r="W3859" s="19">
        <f>IF($I3859="","",IF(ISNUMBER($I3859),TEXT($I3859,"0"),$I3859))</f>
        <v/>
      </c>
    </row>
    <row r="3860">
      <c r="B3860" s="25" t="n"/>
      <c r="I3860" s="25" t="n"/>
      <c r="U3860" s="19">
        <f>IF(AND($V3860='設定'!$C$4,COUNTIF('商品マスタ'!$B$6:$B$1005,$W3860)=0),N(U3859)+1,N(U3859))</f>
        <v/>
      </c>
      <c r="V3860" s="19">
        <f>IF($B3860="","",TEXT($B3860,"0000"))</f>
        <v/>
      </c>
      <c r="W3860" s="19">
        <f>IF($I3860="","",IF(ISNUMBER($I3860),TEXT($I3860,"0"),$I3860))</f>
        <v/>
      </c>
    </row>
    <row r="3861">
      <c r="B3861" s="25" t="n"/>
      <c r="I3861" s="25" t="n"/>
      <c r="U3861" s="19">
        <f>IF(AND($V3861='設定'!$C$4,COUNTIF('商品マスタ'!$B$6:$B$1005,$W3861)=0),N(U3860)+1,N(U3860))</f>
        <v/>
      </c>
      <c r="V3861" s="19">
        <f>IF($B3861="","",TEXT($B3861,"0000"))</f>
        <v/>
      </c>
      <c r="W3861" s="19">
        <f>IF($I3861="","",IF(ISNUMBER($I3861),TEXT($I3861,"0"),$I3861))</f>
        <v/>
      </c>
    </row>
    <row r="3862">
      <c r="B3862" s="25" t="n"/>
      <c r="I3862" s="25" t="n"/>
      <c r="U3862" s="19">
        <f>IF(AND($V3862='設定'!$C$4,COUNTIF('商品マスタ'!$B$6:$B$1005,$W3862)=0),N(U3861)+1,N(U3861))</f>
        <v/>
      </c>
      <c r="V3862" s="19">
        <f>IF($B3862="","",TEXT($B3862,"0000"))</f>
        <v/>
      </c>
      <c r="W3862" s="19">
        <f>IF($I3862="","",IF(ISNUMBER($I3862),TEXT($I3862,"0"),$I3862))</f>
        <v/>
      </c>
    </row>
    <row r="3863">
      <c r="B3863" s="25" t="n"/>
      <c r="I3863" s="25" t="n"/>
      <c r="U3863" s="19">
        <f>IF(AND($V3863='設定'!$C$4,COUNTIF('商品マスタ'!$B$6:$B$1005,$W3863)=0),N(U3862)+1,N(U3862))</f>
        <v/>
      </c>
      <c r="V3863" s="19">
        <f>IF($B3863="","",TEXT($B3863,"0000"))</f>
        <v/>
      </c>
      <c r="W3863" s="19">
        <f>IF($I3863="","",IF(ISNUMBER($I3863),TEXT($I3863,"0"),$I3863))</f>
        <v/>
      </c>
    </row>
    <row r="3864">
      <c r="B3864" s="25" t="n"/>
      <c r="I3864" s="25" t="n"/>
      <c r="U3864" s="19">
        <f>IF(AND($V3864='設定'!$C$4,COUNTIF('商品マスタ'!$B$6:$B$1005,$W3864)=0),N(U3863)+1,N(U3863))</f>
        <v/>
      </c>
      <c r="V3864" s="19">
        <f>IF($B3864="","",TEXT($B3864,"0000"))</f>
        <v/>
      </c>
      <c r="W3864" s="19">
        <f>IF($I3864="","",IF(ISNUMBER($I3864),TEXT($I3864,"0"),$I3864))</f>
        <v/>
      </c>
    </row>
    <row r="3865">
      <c r="B3865" s="25" t="n"/>
      <c r="I3865" s="25" t="n"/>
      <c r="U3865" s="19">
        <f>IF(AND($V3865='設定'!$C$4,COUNTIF('商品マスタ'!$B$6:$B$1005,$W3865)=0),N(U3864)+1,N(U3864))</f>
        <v/>
      </c>
      <c r="V3865" s="19">
        <f>IF($B3865="","",TEXT($B3865,"0000"))</f>
        <v/>
      </c>
      <c r="W3865" s="19">
        <f>IF($I3865="","",IF(ISNUMBER($I3865),TEXT($I3865,"0"),$I3865))</f>
        <v/>
      </c>
    </row>
    <row r="3866">
      <c r="B3866" s="25" t="n"/>
      <c r="I3866" s="25" t="n"/>
      <c r="U3866" s="19">
        <f>IF(AND($V3866='設定'!$C$4,COUNTIF('商品マスタ'!$B$6:$B$1005,$W3866)=0),N(U3865)+1,N(U3865))</f>
        <v/>
      </c>
      <c r="V3866" s="19">
        <f>IF($B3866="","",TEXT($B3866,"0000"))</f>
        <v/>
      </c>
      <c r="W3866" s="19">
        <f>IF($I3866="","",IF(ISNUMBER($I3866),TEXT($I3866,"0"),$I3866))</f>
        <v/>
      </c>
    </row>
    <row r="3867">
      <c r="B3867" s="25" t="n"/>
      <c r="I3867" s="25" t="n"/>
      <c r="U3867" s="19">
        <f>IF(AND($V3867='設定'!$C$4,COUNTIF('商品マスタ'!$B$6:$B$1005,$W3867)=0),N(U3866)+1,N(U3866))</f>
        <v/>
      </c>
      <c r="V3867" s="19">
        <f>IF($B3867="","",TEXT($B3867,"0000"))</f>
        <v/>
      </c>
      <c r="W3867" s="19">
        <f>IF($I3867="","",IF(ISNUMBER($I3867),TEXT($I3867,"0"),$I3867))</f>
        <v/>
      </c>
    </row>
    <row r="3868">
      <c r="B3868" s="25" t="n"/>
      <c r="I3868" s="25" t="n"/>
      <c r="U3868" s="19">
        <f>IF(AND($V3868='設定'!$C$4,COUNTIF('商品マスタ'!$B$6:$B$1005,$W3868)=0),N(U3867)+1,N(U3867))</f>
        <v/>
      </c>
      <c r="V3868" s="19">
        <f>IF($B3868="","",TEXT($B3868,"0000"))</f>
        <v/>
      </c>
      <c r="W3868" s="19">
        <f>IF($I3868="","",IF(ISNUMBER($I3868),TEXT($I3868,"0"),$I3868))</f>
        <v/>
      </c>
    </row>
    <row r="3869">
      <c r="B3869" s="25" t="n"/>
      <c r="I3869" s="25" t="n"/>
      <c r="U3869" s="19">
        <f>IF(AND($V3869='設定'!$C$4,COUNTIF('商品マスタ'!$B$6:$B$1005,$W3869)=0),N(U3868)+1,N(U3868))</f>
        <v/>
      </c>
      <c r="V3869" s="19">
        <f>IF($B3869="","",TEXT($B3869,"0000"))</f>
        <v/>
      </c>
      <c r="W3869" s="19">
        <f>IF($I3869="","",IF(ISNUMBER($I3869),TEXT($I3869,"0"),$I3869))</f>
        <v/>
      </c>
    </row>
    <row r="3870">
      <c r="B3870" s="25" t="n"/>
      <c r="I3870" s="25" t="n"/>
      <c r="U3870" s="19">
        <f>IF(AND($V3870='設定'!$C$4,COUNTIF('商品マスタ'!$B$6:$B$1005,$W3870)=0),N(U3869)+1,N(U3869))</f>
        <v/>
      </c>
      <c r="V3870" s="19">
        <f>IF($B3870="","",TEXT($B3870,"0000"))</f>
        <v/>
      </c>
      <c r="W3870" s="19">
        <f>IF($I3870="","",IF(ISNUMBER($I3870),TEXT($I3870,"0"),$I3870))</f>
        <v/>
      </c>
    </row>
    <row r="3871">
      <c r="B3871" s="25" t="n"/>
      <c r="I3871" s="25" t="n"/>
      <c r="U3871" s="19">
        <f>IF(AND($V3871='設定'!$C$4,COUNTIF('商品マスタ'!$B$6:$B$1005,$W3871)=0),N(U3870)+1,N(U3870))</f>
        <v/>
      </c>
      <c r="V3871" s="19">
        <f>IF($B3871="","",TEXT($B3871,"0000"))</f>
        <v/>
      </c>
      <c r="W3871" s="19">
        <f>IF($I3871="","",IF(ISNUMBER($I3871),TEXT($I3871,"0"),$I3871))</f>
        <v/>
      </c>
    </row>
    <row r="3872">
      <c r="B3872" s="25" t="n"/>
      <c r="I3872" s="25" t="n"/>
      <c r="U3872" s="19">
        <f>IF(AND($V3872='設定'!$C$4,COUNTIF('商品マスタ'!$B$6:$B$1005,$W3872)=0),N(U3871)+1,N(U3871))</f>
        <v/>
      </c>
      <c r="V3872" s="19">
        <f>IF($B3872="","",TEXT($B3872,"0000"))</f>
        <v/>
      </c>
      <c r="W3872" s="19">
        <f>IF($I3872="","",IF(ISNUMBER($I3872),TEXT($I3872,"0"),$I3872))</f>
        <v/>
      </c>
    </row>
    <row r="3873">
      <c r="B3873" s="25" t="n"/>
      <c r="I3873" s="25" t="n"/>
      <c r="U3873" s="19">
        <f>IF(AND($V3873='設定'!$C$4,COUNTIF('商品マスタ'!$B$6:$B$1005,$W3873)=0),N(U3872)+1,N(U3872))</f>
        <v/>
      </c>
      <c r="V3873" s="19">
        <f>IF($B3873="","",TEXT($B3873,"0000"))</f>
        <v/>
      </c>
      <c r="W3873" s="19">
        <f>IF($I3873="","",IF(ISNUMBER($I3873),TEXT($I3873,"0"),$I3873))</f>
        <v/>
      </c>
    </row>
    <row r="3874">
      <c r="B3874" s="25" t="n"/>
      <c r="I3874" s="25" t="n"/>
      <c r="U3874" s="19">
        <f>IF(AND($V3874='設定'!$C$4,COUNTIF('商品マスタ'!$B$6:$B$1005,$W3874)=0),N(U3873)+1,N(U3873))</f>
        <v/>
      </c>
      <c r="V3874" s="19">
        <f>IF($B3874="","",TEXT($B3874,"0000"))</f>
        <v/>
      </c>
      <c r="W3874" s="19">
        <f>IF($I3874="","",IF(ISNUMBER($I3874),TEXT($I3874,"0"),$I3874))</f>
        <v/>
      </c>
    </row>
    <row r="3875">
      <c r="B3875" s="25" t="n"/>
      <c r="I3875" s="25" t="n"/>
      <c r="U3875" s="19">
        <f>IF(AND($V3875='設定'!$C$4,COUNTIF('商品マスタ'!$B$6:$B$1005,$W3875)=0),N(U3874)+1,N(U3874))</f>
        <v/>
      </c>
      <c r="V3875" s="19">
        <f>IF($B3875="","",TEXT($B3875,"0000"))</f>
        <v/>
      </c>
      <c r="W3875" s="19">
        <f>IF($I3875="","",IF(ISNUMBER($I3875),TEXT($I3875,"0"),$I3875))</f>
        <v/>
      </c>
    </row>
    <row r="3876">
      <c r="B3876" s="25" t="n"/>
      <c r="I3876" s="25" t="n"/>
      <c r="U3876" s="19">
        <f>IF(AND($V3876='設定'!$C$4,COUNTIF('商品マスタ'!$B$6:$B$1005,$W3876)=0),N(U3875)+1,N(U3875))</f>
        <v/>
      </c>
      <c r="V3876" s="19">
        <f>IF($B3876="","",TEXT($B3876,"0000"))</f>
        <v/>
      </c>
      <c r="W3876" s="19">
        <f>IF($I3876="","",IF(ISNUMBER($I3876),TEXT($I3876,"0"),$I3876))</f>
        <v/>
      </c>
    </row>
    <row r="3877">
      <c r="B3877" s="25" t="n"/>
      <c r="I3877" s="25" t="n"/>
      <c r="U3877" s="19">
        <f>IF(AND($V3877='設定'!$C$4,COUNTIF('商品マスタ'!$B$6:$B$1005,$W3877)=0),N(U3876)+1,N(U3876))</f>
        <v/>
      </c>
      <c r="V3877" s="19">
        <f>IF($B3877="","",TEXT($B3877,"0000"))</f>
        <v/>
      </c>
      <c r="W3877" s="19">
        <f>IF($I3877="","",IF(ISNUMBER($I3877),TEXT($I3877,"0"),$I3877))</f>
        <v/>
      </c>
    </row>
    <row r="3878">
      <c r="B3878" s="25" t="n"/>
      <c r="I3878" s="25" t="n"/>
      <c r="U3878" s="19">
        <f>IF(AND($V3878='設定'!$C$4,COUNTIF('商品マスタ'!$B$6:$B$1005,$W3878)=0),N(U3877)+1,N(U3877))</f>
        <v/>
      </c>
      <c r="V3878" s="19">
        <f>IF($B3878="","",TEXT($B3878,"0000"))</f>
        <v/>
      </c>
      <c r="W3878" s="19">
        <f>IF($I3878="","",IF(ISNUMBER($I3878),TEXT($I3878,"0"),$I3878))</f>
        <v/>
      </c>
    </row>
    <row r="3879">
      <c r="B3879" s="25" t="n"/>
      <c r="I3879" s="25" t="n"/>
      <c r="U3879" s="19">
        <f>IF(AND($V3879='設定'!$C$4,COUNTIF('商品マスタ'!$B$6:$B$1005,$W3879)=0),N(U3878)+1,N(U3878))</f>
        <v/>
      </c>
      <c r="V3879" s="19">
        <f>IF($B3879="","",TEXT($B3879,"0000"))</f>
        <v/>
      </c>
      <c r="W3879" s="19">
        <f>IF($I3879="","",IF(ISNUMBER($I3879),TEXT($I3879,"0"),$I3879))</f>
        <v/>
      </c>
    </row>
    <row r="3880">
      <c r="B3880" s="25" t="n"/>
      <c r="I3880" s="25" t="n"/>
      <c r="U3880" s="19">
        <f>IF(AND($V3880='設定'!$C$4,COUNTIF('商品マスタ'!$B$6:$B$1005,$W3880)=0),N(U3879)+1,N(U3879))</f>
        <v/>
      </c>
      <c r="V3880" s="19">
        <f>IF($B3880="","",TEXT($B3880,"0000"))</f>
        <v/>
      </c>
      <c r="W3880" s="19">
        <f>IF($I3880="","",IF(ISNUMBER($I3880),TEXT($I3880,"0"),$I3880))</f>
        <v/>
      </c>
    </row>
    <row r="3881">
      <c r="B3881" s="25" t="n"/>
      <c r="I3881" s="25" t="n"/>
      <c r="U3881" s="19">
        <f>IF(AND($V3881='設定'!$C$4,COUNTIF('商品マスタ'!$B$6:$B$1005,$W3881)=0),N(U3880)+1,N(U3880))</f>
        <v/>
      </c>
      <c r="V3881" s="19">
        <f>IF($B3881="","",TEXT($B3881,"0000"))</f>
        <v/>
      </c>
      <c r="W3881" s="19">
        <f>IF($I3881="","",IF(ISNUMBER($I3881),TEXT($I3881,"0"),$I3881))</f>
        <v/>
      </c>
    </row>
    <row r="3882">
      <c r="B3882" s="25" t="n"/>
      <c r="I3882" s="25" t="n"/>
      <c r="U3882" s="19">
        <f>IF(AND($V3882='設定'!$C$4,COUNTIF('商品マスタ'!$B$6:$B$1005,$W3882)=0),N(U3881)+1,N(U3881))</f>
        <v/>
      </c>
      <c r="V3882" s="19">
        <f>IF($B3882="","",TEXT($B3882,"0000"))</f>
        <v/>
      </c>
      <c r="W3882" s="19">
        <f>IF($I3882="","",IF(ISNUMBER($I3882),TEXT($I3882,"0"),$I3882))</f>
        <v/>
      </c>
    </row>
    <row r="3883">
      <c r="B3883" s="25" t="n"/>
      <c r="I3883" s="25" t="n"/>
      <c r="U3883" s="19">
        <f>IF(AND($V3883='設定'!$C$4,COUNTIF('商品マスタ'!$B$6:$B$1005,$W3883)=0),N(U3882)+1,N(U3882))</f>
        <v/>
      </c>
      <c r="V3883" s="19">
        <f>IF($B3883="","",TEXT($B3883,"0000"))</f>
        <v/>
      </c>
      <c r="W3883" s="19">
        <f>IF($I3883="","",IF(ISNUMBER($I3883),TEXT($I3883,"0"),$I3883))</f>
        <v/>
      </c>
    </row>
    <row r="3884">
      <c r="B3884" s="25" t="n"/>
      <c r="I3884" s="25" t="n"/>
      <c r="U3884" s="19">
        <f>IF(AND($V3884='設定'!$C$4,COUNTIF('商品マスタ'!$B$6:$B$1005,$W3884)=0),N(U3883)+1,N(U3883))</f>
        <v/>
      </c>
      <c r="V3884" s="19">
        <f>IF($B3884="","",TEXT($B3884,"0000"))</f>
        <v/>
      </c>
      <c r="W3884" s="19">
        <f>IF($I3884="","",IF(ISNUMBER($I3884),TEXT($I3884,"0"),$I3884))</f>
        <v/>
      </c>
    </row>
    <row r="3885">
      <c r="B3885" s="25" t="n"/>
      <c r="I3885" s="25" t="n"/>
      <c r="U3885" s="19">
        <f>IF(AND($V3885='設定'!$C$4,COUNTIF('商品マスタ'!$B$6:$B$1005,$W3885)=0),N(U3884)+1,N(U3884))</f>
        <v/>
      </c>
      <c r="V3885" s="19">
        <f>IF($B3885="","",TEXT($B3885,"0000"))</f>
        <v/>
      </c>
      <c r="W3885" s="19">
        <f>IF($I3885="","",IF(ISNUMBER($I3885),TEXT($I3885,"0"),$I3885))</f>
        <v/>
      </c>
    </row>
    <row r="3886">
      <c r="B3886" s="25" t="n"/>
      <c r="I3886" s="25" t="n"/>
      <c r="U3886" s="19">
        <f>IF(AND($V3886='設定'!$C$4,COUNTIF('商品マスタ'!$B$6:$B$1005,$W3886)=0),N(U3885)+1,N(U3885))</f>
        <v/>
      </c>
      <c r="V3886" s="19">
        <f>IF($B3886="","",TEXT($B3886,"0000"))</f>
        <v/>
      </c>
      <c r="W3886" s="19">
        <f>IF($I3886="","",IF(ISNUMBER($I3886),TEXT($I3886,"0"),$I3886))</f>
        <v/>
      </c>
    </row>
    <row r="3887">
      <c r="B3887" s="25" t="n"/>
      <c r="I3887" s="25" t="n"/>
      <c r="U3887" s="19">
        <f>IF(AND($V3887='設定'!$C$4,COUNTIF('商品マスタ'!$B$6:$B$1005,$W3887)=0),N(U3886)+1,N(U3886))</f>
        <v/>
      </c>
      <c r="V3887" s="19">
        <f>IF($B3887="","",TEXT($B3887,"0000"))</f>
        <v/>
      </c>
      <c r="W3887" s="19">
        <f>IF($I3887="","",IF(ISNUMBER($I3887),TEXT($I3887,"0"),$I3887))</f>
        <v/>
      </c>
    </row>
    <row r="3888">
      <c r="B3888" s="25" t="n"/>
      <c r="I3888" s="25" t="n"/>
      <c r="U3888" s="19">
        <f>IF(AND($V3888='設定'!$C$4,COUNTIF('商品マスタ'!$B$6:$B$1005,$W3888)=0),N(U3887)+1,N(U3887))</f>
        <v/>
      </c>
      <c r="V3888" s="19">
        <f>IF($B3888="","",TEXT($B3888,"0000"))</f>
        <v/>
      </c>
      <c r="W3888" s="19">
        <f>IF($I3888="","",IF(ISNUMBER($I3888),TEXT($I3888,"0"),$I3888))</f>
        <v/>
      </c>
    </row>
    <row r="3889">
      <c r="B3889" s="25" t="n"/>
      <c r="I3889" s="25" t="n"/>
      <c r="U3889" s="19">
        <f>IF(AND($V3889='設定'!$C$4,COUNTIF('商品マスタ'!$B$6:$B$1005,$W3889)=0),N(U3888)+1,N(U3888))</f>
        <v/>
      </c>
      <c r="V3889" s="19">
        <f>IF($B3889="","",TEXT($B3889,"0000"))</f>
        <v/>
      </c>
      <c r="W3889" s="19">
        <f>IF($I3889="","",IF(ISNUMBER($I3889),TEXT($I3889,"0"),$I3889))</f>
        <v/>
      </c>
    </row>
    <row r="3890">
      <c r="B3890" s="25" t="n"/>
      <c r="I3890" s="25" t="n"/>
      <c r="U3890" s="19">
        <f>IF(AND($V3890='設定'!$C$4,COUNTIF('商品マスタ'!$B$6:$B$1005,$W3890)=0),N(U3889)+1,N(U3889))</f>
        <v/>
      </c>
      <c r="V3890" s="19">
        <f>IF($B3890="","",TEXT($B3890,"0000"))</f>
        <v/>
      </c>
      <c r="W3890" s="19">
        <f>IF($I3890="","",IF(ISNUMBER($I3890),TEXT($I3890,"0"),$I3890))</f>
        <v/>
      </c>
    </row>
    <row r="3891">
      <c r="B3891" s="25" t="n"/>
      <c r="I3891" s="25" t="n"/>
      <c r="U3891" s="19">
        <f>IF(AND($V3891='設定'!$C$4,COUNTIF('商品マスタ'!$B$6:$B$1005,$W3891)=0),N(U3890)+1,N(U3890))</f>
        <v/>
      </c>
      <c r="V3891" s="19">
        <f>IF($B3891="","",TEXT($B3891,"0000"))</f>
        <v/>
      </c>
      <c r="W3891" s="19">
        <f>IF($I3891="","",IF(ISNUMBER($I3891),TEXT($I3891,"0"),$I3891))</f>
        <v/>
      </c>
    </row>
    <row r="3892">
      <c r="B3892" s="25" t="n"/>
      <c r="I3892" s="25" t="n"/>
      <c r="U3892" s="19">
        <f>IF(AND($V3892='設定'!$C$4,COUNTIF('商品マスタ'!$B$6:$B$1005,$W3892)=0),N(U3891)+1,N(U3891))</f>
        <v/>
      </c>
      <c r="V3892" s="19">
        <f>IF($B3892="","",TEXT($B3892,"0000"))</f>
        <v/>
      </c>
      <c r="W3892" s="19">
        <f>IF($I3892="","",IF(ISNUMBER($I3892),TEXT($I3892,"0"),$I3892))</f>
        <v/>
      </c>
    </row>
    <row r="3893">
      <c r="B3893" s="25" t="n"/>
      <c r="I3893" s="25" t="n"/>
      <c r="U3893" s="19">
        <f>IF(AND($V3893='設定'!$C$4,COUNTIF('商品マスタ'!$B$6:$B$1005,$W3893)=0),N(U3892)+1,N(U3892))</f>
        <v/>
      </c>
      <c r="V3893" s="19">
        <f>IF($B3893="","",TEXT($B3893,"0000"))</f>
        <v/>
      </c>
      <c r="W3893" s="19">
        <f>IF($I3893="","",IF(ISNUMBER($I3893),TEXT($I3893,"0"),$I3893))</f>
        <v/>
      </c>
    </row>
    <row r="3894">
      <c r="B3894" s="25" t="n"/>
      <c r="I3894" s="25" t="n"/>
      <c r="U3894" s="19">
        <f>IF(AND($V3894='設定'!$C$4,COUNTIF('商品マスタ'!$B$6:$B$1005,$W3894)=0),N(U3893)+1,N(U3893))</f>
        <v/>
      </c>
      <c r="V3894" s="19">
        <f>IF($B3894="","",TEXT($B3894,"0000"))</f>
        <v/>
      </c>
      <c r="W3894" s="19">
        <f>IF($I3894="","",IF(ISNUMBER($I3894),TEXT($I3894,"0"),$I3894))</f>
        <v/>
      </c>
    </row>
    <row r="3895">
      <c r="B3895" s="25" t="n"/>
      <c r="I3895" s="25" t="n"/>
      <c r="U3895" s="19">
        <f>IF(AND($V3895='設定'!$C$4,COUNTIF('商品マスタ'!$B$6:$B$1005,$W3895)=0),N(U3894)+1,N(U3894))</f>
        <v/>
      </c>
      <c r="V3895" s="19">
        <f>IF($B3895="","",TEXT($B3895,"0000"))</f>
        <v/>
      </c>
      <c r="W3895" s="19">
        <f>IF($I3895="","",IF(ISNUMBER($I3895),TEXT($I3895,"0"),$I3895))</f>
        <v/>
      </c>
    </row>
    <row r="3896">
      <c r="B3896" s="25" t="n"/>
      <c r="I3896" s="25" t="n"/>
      <c r="U3896" s="19">
        <f>IF(AND($V3896='設定'!$C$4,COUNTIF('商品マスタ'!$B$6:$B$1005,$W3896)=0),N(U3895)+1,N(U3895))</f>
        <v/>
      </c>
      <c r="V3896" s="19">
        <f>IF($B3896="","",TEXT($B3896,"0000"))</f>
        <v/>
      </c>
      <c r="W3896" s="19">
        <f>IF($I3896="","",IF(ISNUMBER($I3896),TEXT($I3896,"0"),$I3896))</f>
        <v/>
      </c>
    </row>
    <row r="3897">
      <c r="B3897" s="25" t="n"/>
      <c r="I3897" s="25" t="n"/>
      <c r="U3897" s="19">
        <f>IF(AND($V3897='設定'!$C$4,COUNTIF('商品マスタ'!$B$6:$B$1005,$W3897)=0),N(U3896)+1,N(U3896))</f>
        <v/>
      </c>
      <c r="V3897" s="19">
        <f>IF($B3897="","",TEXT($B3897,"0000"))</f>
        <v/>
      </c>
      <c r="W3897" s="19">
        <f>IF($I3897="","",IF(ISNUMBER($I3897),TEXT($I3897,"0"),$I3897))</f>
        <v/>
      </c>
    </row>
    <row r="3898">
      <c r="B3898" s="25" t="n"/>
      <c r="I3898" s="25" t="n"/>
      <c r="U3898" s="19">
        <f>IF(AND($V3898='設定'!$C$4,COUNTIF('商品マスタ'!$B$6:$B$1005,$W3898)=0),N(U3897)+1,N(U3897))</f>
        <v/>
      </c>
      <c r="V3898" s="19">
        <f>IF($B3898="","",TEXT($B3898,"0000"))</f>
        <v/>
      </c>
      <c r="W3898" s="19">
        <f>IF($I3898="","",IF(ISNUMBER($I3898),TEXT($I3898,"0"),$I3898))</f>
        <v/>
      </c>
    </row>
    <row r="3899">
      <c r="B3899" s="25" t="n"/>
      <c r="I3899" s="25" t="n"/>
      <c r="U3899" s="19">
        <f>IF(AND($V3899='設定'!$C$4,COUNTIF('商品マスタ'!$B$6:$B$1005,$W3899)=0),N(U3898)+1,N(U3898))</f>
        <v/>
      </c>
      <c r="V3899" s="19">
        <f>IF($B3899="","",TEXT($B3899,"0000"))</f>
        <v/>
      </c>
      <c r="W3899" s="19">
        <f>IF($I3899="","",IF(ISNUMBER($I3899),TEXT($I3899,"0"),$I3899))</f>
        <v/>
      </c>
    </row>
    <row r="3900">
      <c r="B3900" s="25" t="n"/>
      <c r="I3900" s="25" t="n"/>
      <c r="U3900" s="19">
        <f>IF(AND($V3900='設定'!$C$4,COUNTIF('商品マスタ'!$B$6:$B$1005,$W3900)=0),N(U3899)+1,N(U3899))</f>
        <v/>
      </c>
      <c r="V3900" s="19">
        <f>IF($B3900="","",TEXT($B3900,"0000"))</f>
        <v/>
      </c>
      <c r="W3900" s="19">
        <f>IF($I3900="","",IF(ISNUMBER($I3900),TEXT($I3900,"0"),$I3900))</f>
        <v/>
      </c>
    </row>
    <row r="3901">
      <c r="B3901" s="25" t="n"/>
      <c r="I3901" s="25" t="n"/>
      <c r="U3901" s="19">
        <f>IF(AND($V3901='設定'!$C$4,COUNTIF('商品マスタ'!$B$6:$B$1005,$W3901)=0),N(U3900)+1,N(U3900))</f>
        <v/>
      </c>
      <c r="V3901" s="19">
        <f>IF($B3901="","",TEXT($B3901,"0000"))</f>
        <v/>
      </c>
      <c r="W3901" s="19">
        <f>IF($I3901="","",IF(ISNUMBER($I3901),TEXT($I3901,"0"),$I3901))</f>
        <v/>
      </c>
    </row>
    <row r="3902">
      <c r="B3902" s="25" t="n"/>
      <c r="I3902" s="25" t="n"/>
      <c r="U3902" s="19">
        <f>IF(AND($V3902='設定'!$C$4,COUNTIF('商品マスタ'!$B$6:$B$1005,$W3902)=0),N(U3901)+1,N(U3901))</f>
        <v/>
      </c>
      <c r="V3902" s="19">
        <f>IF($B3902="","",TEXT($B3902,"0000"))</f>
        <v/>
      </c>
      <c r="W3902" s="19">
        <f>IF($I3902="","",IF(ISNUMBER($I3902),TEXT($I3902,"0"),$I3902))</f>
        <v/>
      </c>
    </row>
    <row r="3903">
      <c r="B3903" s="25" t="n"/>
      <c r="I3903" s="25" t="n"/>
      <c r="U3903" s="19">
        <f>IF(AND($V3903='設定'!$C$4,COUNTIF('商品マスタ'!$B$6:$B$1005,$W3903)=0),N(U3902)+1,N(U3902))</f>
        <v/>
      </c>
      <c r="V3903" s="19">
        <f>IF($B3903="","",TEXT($B3903,"0000"))</f>
        <v/>
      </c>
      <c r="W3903" s="19">
        <f>IF($I3903="","",IF(ISNUMBER($I3903),TEXT($I3903,"0"),$I3903))</f>
        <v/>
      </c>
    </row>
    <row r="3904">
      <c r="B3904" s="25" t="n"/>
      <c r="I3904" s="25" t="n"/>
      <c r="U3904" s="19">
        <f>IF(AND($V3904='設定'!$C$4,COUNTIF('商品マスタ'!$B$6:$B$1005,$W3904)=0),N(U3903)+1,N(U3903))</f>
        <v/>
      </c>
      <c r="V3904" s="19">
        <f>IF($B3904="","",TEXT($B3904,"0000"))</f>
        <v/>
      </c>
      <c r="W3904" s="19">
        <f>IF($I3904="","",IF(ISNUMBER($I3904),TEXT($I3904,"0"),$I3904))</f>
        <v/>
      </c>
    </row>
    <row r="3905">
      <c r="B3905" s="25" t="n"/>
      <c r="I3905" s="25" t="n"/>
      <c r="U3905" s="19">
        <f>IF(AND($V3905='設定'!$C$4,COUNTIF('商品マスタ'!$B$6:$B$1005,$W3905)=0),N(U3904)+1,N(U3904))</f>
        <v/>
      </c>
      <c r="V3905" s="19">
        <f>IF($B3905="","",TEXT($B3905,"0000"))</f>
        <v/>
      </c>
      <c r="W3905" s="19">
        <f>IF($I3905="","",IF(ISNUMBER($I3905),TEXT($I3905,"0"),$I3905))</f>
        <v/>
      </c>
    </row>
    <row r="3906">
      <c r="B3906" s="25" t="n"/>
      <c r="I3906" s="25" t="n"/>
      <c r="U3906" s="19">
        <f>IF(AND($V3906='設定'!$C$4,COUNTIF('商品マスタ'!$B$6:$B$1005,$W3906)=0),N(U3905)+1,N(U3905))</f>
        <v/>
      </c>
      <c r="V3906" s="19">
        <f>IF($B3906="","",TEXT($B3906,"0000"))</f>
        <v/>
      </c>
      <c r="W3906" s="19">
        <f>IF($I3906="","",IF(ISNUMBER($I3906),TEXT($I3906,"0"),$I3906))</f>
        <v/>
      </c>
    </row>
    <row r="3907">
      <c r="B3907" s="25" t="n"/>
      <c r="I3907" s="25" t="n"/>
      <c r="U3907" s="19">
        <f>IF(AND($V3907='設定'!$C$4,COUNTIF('商品マスタ'!$B$6:$B$1005,$W3907)=0),N(U3906)+1,N(U3906))</f>
        <v/>
      </c>
      <c r="V3907" s="19">
        <f>IF($B3907="","",TEXT($B3907,"0000"))</f>
        <v/>
      </c>
      <c r="W3907" s="19">
        <f>IF($I3907="","",IF(ISNUMBER($I3907),TEXT($I3907,"0"),$I3907))</f>
        <v/>
      </c>
    </row>
    <row r="3908">
      <c r="B3908" s="25" t="n"/>
      <c r="I3908" s="25" t="n"/>
      <c r="U3908" s="19">
        <f>IF(AND($V3908='設定'!$C$4,COUNTIF('商品マスタ'!$B$6:$B$1005,$W3908)=0),N(U3907)+1,N(U3907))</f>
        <v/>
      </c>
      <c r="V3908" s="19">
        <f>IF($B3908="","",TEXT($B3908,"0000"))</f>
        <v/>
      </c>
      <c r="W3908" s="19">
        <f>IF($I3908="","",IF(ISNUMBER($I3908),TEXT($I3908,"0"),$I3908))</f>
        <v/>
      </c>
    </row>
    <row r="3909">
      <c r="B3909" s="25" t="n"/>
      <c r="I3909" s="25" t="n"/>
      <c r="U3909" s="19">
        <f>IF(AND($V3909='設定'!$C$4,COUNTIF('商品マスタ'!$B$6:$B$1005,$W3909)=0),N(U3908)+1,N(U3908))</f>
        <v/>
      </c>
      <c r="V3909" s="19">
        <f>IF($B3909="","",TEXT($B3909,"0000"))</f>
        <v/>
      </c>
      <c r="W3909" s="19">
        <f>IF($I3909="","",IF(ISNUMBER($I3909),TEXT($I3909,"0"),$I3909))</f>
        <v/>
      </c>
    </row>
    <row r="3910">
      <c r="B3910" s="25" t="n"/>
      <c r="I3910" s="25" t="n"/>
      <c r="U3910" s="19">
        <f>IF(AND($V3910='設定'!$C$4,COUNTIF('商品マスタ'!$B$6:$B$1005,$W3910)=0),N(U3909)+1,N(U3909))</f>
        <v/>
      </c>
      <c r="V3910" s="19">
        <f>IF($B3910="","",TEXT($B3910,"0000"))</f>
        <v/>
      </c>
      <c r="W3910" s="19">
        <f>IF($I3910="","",IF(ISNUMBER($I3910),TEXT($I3910,"0"),$I3910))</f>
        <v/>
      </c>
    </row>
    <row r="3911">
      <c r="B3911" s="25" t="n"/>
      <c r="I3911" s="25" t="n"/>
      <c r="U3911" s="19">
        <f>IF(AND($V3911='設定'!$C$4,COUNTIF('商品マスタ'!$B$6:$B$1005,$W3911)=0),N(U3910)+1,N(U3910))</f>
        <v/>
      </c>
      <c r="V3911" s="19">
        <f>IF($B3911="","",TEXT($B3911,"0000"))</f>
        <v/>
      </c>
      <c r="W3911" s="19">
        <f>IF($I3911="","",IF(ISNUMBER($I3911),TEXT($I3911,"0"),$I3911))</f>
        <v/>
      </c>
    </row>
    <row r="3912">
      <c r="B3912" s="25" t="n"/>
      <c r="I3912" s="25" t="n"/>
      <c r="U3912" s="19">
        <f>IF(AND($V3912='設定'!$C$4,COUNTIF('商品マスタ'!$B$6:$B$1005,$W3912)=0),N(U3911)+1,N(U3911))</f>
        <v/>
      </c>
      <c r="V3912" s="19">
        <f>IF($B3912="","",TEXT($B3912,"0000"))</f>
        <v/>
      </c>
      <c r="W3912" s="19">
        <f>IF($I3912="","",IF(ISNUMBER($I3912),TEXT($I3912,"0"),$I3912))</f>
        <v/>
      </c>
    </row>
    <row r="3913">
      <c r="B3913" s="25" t="n"/>
      <c r="I3913" s="25" t="n"/>
      <c r="U3913" s="19">
        <f>IF(AND($V3913='設定'!$C$4,COUNTIF('商品マスタ'!$B$6:$B$1005,$W3913)=0),N(U3912)+1,N(U3912))</f>
        <v/>
      </c>
      <c r="V3913" s="19">
        <f>IF($B3913="","",TEXT($B3913,"0000"))</f>
        <v/>
      </c>
      <c r="W3913" s="19">
        <f>IF($I3913="","",IF(ISNUMBER($I3913),TEXT($I3913,"0"),$I3913))</f>
        <v/>
      </c>
    </row>
    <row r="3914">
      <c r="B3914" s="25" t="n"/>
      <c r="I3914" s="25" t="n"/>
      <c r="U3914" s="19">
        <f>IF(AND($V3914='設定'!$C$4,COUNTIF('商品マスタ'!$B$6:$B$1005,$W3914)=0),N(U3913)+1,N(U3913))</f>
        <v/>
      </c>
      <c r="V3914" s="19">
        <f>IF($B3914="","",TEXT($B3914,"0000"))</f>
        <v/>
      </c>
      <c r="W3914" s="19">
        <f>IF($I3914="","",IF(ISNUMBER($I3914),TEXT($I3914,"0"),$I3914))</f>
        <v/>
      </c>
    </row>
    <row r="3915">
      <c r="B3915" s="25" t="n"/>
      <c r="I3915" s="25" t="n"/>
      <c r="U3915" s="19">
        <f>IF(AND($V3915='設定'!$C$4,COUNTIF('商品マスタ'!$B$6:$B$1005,$W3915)=0),N(U3914)+1,N(U3914))</f>
        <v/>
      </c>
      <c r="V3915" s="19">
        <f>IF($B3915="","",TEXT($B3915,"0000"))</f>
        <v/>
      </c>
      <c r="W3915" s="19">
        <f>IF($I3915="","",IF(ISNUMBER($I3915),TEXT($I3915,"0"),$I3915))</f>
        <v/>
      </c>
    </row>
    <row r="3916">
      <c r="B3916" s="25" t="n"/>
      <c r="I3916" s="25" t="n"/>
      <c r="U3916" s="19">
        <f>IF(AND($V3916='設定'!$C$4,COUNTIF('商品マスタ'!$B$6:$B$1005,$W3916)=0),N(U3915)+1,N(U3915))</f>
        <v/>
      </c>
      <c r="V3916" s="19">
        <f>IF($B3916="","",TEXT($B3916,"0000"))</f>
        <v/>
      </c>
      <c r="W3916" s="19">
        <f>IF($I3916="","",IF(ISNUMBER($I3916),TEXT($I3916,"0"),$I3916))</f>
        <v/>
      </c>
    </row>
    <row r="3917">
      <c r="B3917" s="25" t="n"/>
      <c r="I3917" s="25" t="n"/>
      <c r="U3917" s="19">
        <f>IF(AND($V3917='設定'!$C$4,COUNTIF('商品マスタ'!$B$6:$B$1005,$W3917)=0),N(U3916)+1,N(U3916))</f>
        <v/>
      </c>
      <c r="V3917" s="19">
        <f>IF($B3917="","",TEXT($B3917,"0000"))</f>
        <v/>
      </c>
      <c r="W3917" s="19">
        <f>IF($I3917="","",IF(ISNUMBER($I3917),TEXT($I3917,"0"),$I3917))</f>
        <v/>
      </c>
    </row>
    <row r="3918">
      <c r="B3918" s="25" t="n"/>
      <c r="I3918" s="25" t="n"/>
      <c r="U3918" s="19">
        <f>IF(AND($V3918='設定'!$C$4,COUNTIF('商品マスタ'!$B$6:$B$1005,$W3918)=0),N(U3917)+1,N(U3917))</f>
        <v/>
      </c>
      <c r="V3918" s="19">
        <f>IF($B3918="","",TEXT($B3918,"0000"))</f>
        <v/>
      </c>
      <c r="W3918" s="19">
        <f>IF($I3918="","",IF(ISNUMBER($I3918),TEXT($I3918,"0"),$I3918))</f>
        <v/>
      </c>
    </row>
    <row r="3919">
      <c r="B3919" s="25" t="n"/>
      <c r="I3919" s="25" t="n"/>
      <c r="U3919" s="19">
        <f>IF(AND($V3919='設定'!$C$4,COUNTIF('商品マスタ'!$B$6:$B$1005,$W3919)=0),N(U3918)+1,N(U3918))</f>
        <v/>
      </c>
      <c r="V3919" s="19">
        <f>IF($B3919="","",TEXT($B3919,"0000"))</f>
        <v/>
      </c>
      <c r="W3919" s="19">
        <f>IF($I3919="","",IF(ISNUMBER($I3919),TEXT($I3919,"0"),$I3919))</f>
        <v/>
      </c>
    </row>
    <row r="3920">
      <c r="B3920" s="25" t="n"/>
      <c r="I3920" s="25" t="n"/>
      <c r="U3920" s="19">
        <f>IF(AND($V3920='設定'!$C$4,COUNTIF('商品マスタ'!$B$6:$B$1005,$W3920)=0),N(U3919)+1,N(U3919))</f>
        <v/>
      </c>
      <c r="V3920" s="19">
        <f>IF($B3920="","",TEXT($B3920,"0000"))</f>
        <v/>
      </c>
      <c r="W3920" s="19">
        <f>IF($I3920="","",IF(ISNUMBER($I3920),TEXT($I3920,"0"),$I3920))</f>
        <v/>
      </c>
    </row>
    <row r="3921">
      <c r="B3921" s="25" t="n"/>
      <c r="I3921" s="25" t="n"/>
      <c r="U3921" s="19">
        <f>IF(AND($V3921='設定'!$C$4,COUNTIF('商品マスタ'!$B$6:$B$1005,$W3921)=0),N(U3920)+1,N(U3920))</f>
        <v/>
      </c>
      <c r="V3921" s="19">
        <f>IF($B3921="","",TEXT($B3921,"0000"))</f>
        <v/>
      </c>
      <c r="W3921" s="19">
        <f>IF($I3921="","",IF(ISNUMBER($I3921),TEXT($I3921,"0"),$I3921))</f>
        <v/>
      </c>
    </row>
    <row r="3922">
      <c r="B3922" s="25" t="n"/>
      <c r="I3922" s="25" t="n"/>
      <c r="U3922" s="19">
        <f>IF(AND($V3922='設定'!$C$4,COUNTIF('商品マスタ'!$B$6:$B$1005,$W3922)=0),N(U3921)+1,N(U3921))</f>
        <v/>
      </c>
      <c r="V3922" s="19">
        <f>IF($B3922="","",TEXT($B3922,"0000"))</f>
        <v/>
      </c>
      <c r="W3922" s="19">
        <f>IF($I3922="","",IF(ISNUMBER($I3922),TEXT($I3922,"0"),$I3922))</f>
        <v/>
      </c>
    </row>
    <row r="3923">
      <c r="B3923" s="25" t="n"/>
      <c r="I3923" s="25" t="n"/>
      <c r="U3923" s="19">
        <f>IF(AND($V3923='設定'!$C$4,COUNTIF('商品マスタ'!$B$6:$B$1005,$W3923)=0),N(U3922)+1,N(U3922))</f>
        <v/>
      </c>
      <c r="V3923" s="19">
        <f>IF($B3923="","",TEXT($B3923,"0000"))</f>
        <v/>
      </c>
      <c r="W3923" s="19">
        <f>IF($I3923="","",IF(ISNUMBER($I3923),TEXT($I3923,"0"),$I3923))</f>
        <v/>
      </c>
    </row>
    <row r="3924">
      <c r="B3924" s="25" t="n"/>
      <c r="I3924" s="25" t="n"/>
      <c r="U3924" s="19">
        <f>IF(AND($V3924='設定'!$C$4,COUNTIF('商品マスタ'!$B$6:$B$1005,$W3924)=0),N(U3923)+1,N(U3923))</f>
        <v/>
      </c>
      <c r="V3924" s="19">
        <f>IF($B3924="","",TEXT($B3924,"0000"))</f>
        <v/>
      </c>
      <c r="W3924" s="19">
        <f>IF($I3924="","",IF(ISNUMBER($I3924),TEXT($I3924,"0"),$I3924))</f>
        <v/>
      </c>
    </row>
    <row r="3925">
      <c r="B3925" s="25" t="n"/>
      <c r="I3925" s="25" t="n"/>
      <c r="U3925" s="19">
        <f>IF(AND($V3925='設定'!$C$4,COUNTIF('商品マスタ'!$B$6:$B$1005,$W3925)=0),N(U3924)+1,N(U3924))</f>
        <v/>
      </c>
      <c r="V3925" s="19">
        <f>IF($B3925="","",TEXT($B3925,"0000"))</f>
        <v/>
      </c>
      <c r="W3925" s="19">
        <f>IF($I3925="","",IF(ISNUMBER($I3925),TEXT($I3925,"0"),$I3925))</f>
        <v/>
      </c>
    </row>
    <row r="3926">
      <c r="B3926" s="25" t="n"/>
      <c r="I3926" s="25" t="n"/>
      <c r="U3926" s="19">
        <f>IF(AND($V3926='設定'!$C$4,COUNTIF('商品マスタ'!$B$6:$B$1005,$W3926)=0),N(U3925)+1,N(U3925))</f>
        <v/>
      </c>
      <c r="V3926" s="19">
        <f>IF($B3926="","",TEXT($B3926,"0000"))</f>
        <v/>
      </c>
      <c r="W3926" s="19">
        <f>IF($I3926="","",IF(ISNUMBER($I3926),TEXT($I3926,"0"),$I3926))</f>
        <v/>
      </c>
    </row>
    <row r="3927">
      <c r="B3927" s="25" t="n"/>
      <c r="I3927" s="25" t="n"/>
      <c r="U3927" s="19">
        <f>IF(AND($V3927='設定'!$C$4,COUNTIF('商品マスタ'!$B$6:$B$1005,$W3927)=0),N(U3926)+1,N(U3926))</f>
        <v/>
      </c>
      <c r="V3927" s="19">
        <f>IF($B3927="","",TEXT($B3927,"0000"))</f>
        <v/>
      </c>
      <c r="W3927" s="19">
        <f>IF($I3927="","",IF(ISNUMBER($I3927),TEXT($I3927,"0"),$I3927))</f>
        <v/>
      </c>
    </row>
    <row r="3928">
      <c r="B3928" s="25" t="n"/>
      <c r="I3928" s="25" t="n"/>
      <c r="U3928" s="19">
        <f>IF(AND($V3928='設定'!$C$4,COUNTIF('商品マスタ'!$B$6:$B$1005,$W3928)=0),N(U3927)+1,N(U3927))</f>
        <v/>
      </c>
      <c r="V3928" s="19">
        <f>IF($B3928="","",TEXT($B3928,"0000"))</f>
        <v/>
      </c>
      <c r="W3928" s="19">
        <f>IF($I3928="","",IF(ISNUMBER($I3928),TEXT($I3928,"0"),$I3928))</f>
        <v/>
      </c>
    </row>
    <row r="3929">
      <c r="B3929" s="25" t="n"/>
      <c r="I3929" s="25" t="n"/>
      <c r="U3929" s="19">
        <f>IF(AND($V3929='設定'!$C$4,COUNTIF('商品マスタ'!$B$6:$B$1005,$W3929)=0),N(U3928)+1,N(U3928))</f>
        <v/>
      </c>
      <c r="V3929" s="19">
        <f>IF($B3929="","",TEXT($B3929,"0000"))</f>
        <v/>
      </c>
      <c r="W3929" s="19">
        <f>IF($I3929="","",IF(ISNUMBER($I3929),TEXT($I3929,"0"),$I3929))</f>
        <v/>
      </c>
    </row>
    <row r="3930">
      <c r="B3930" s="25" t="n"/>
      <c r="I3930" s="25" t="n"/>
      <c r="U3930" s="19">
        <f>IF(AND($V3930='設定'!$C$4,COUNTIF('商品マスタ'!$B$6:$B$1005,$W3930)=0),N(U3929)+1,N(U3929))</f>
        <v/>
      </c>
      <c r="V3930" s="19">
        <f>IF($B3930="","",TEXT($B3930,"0000"))</f>
        <v/>
      </c>
      <c r="W3930" s="19">
        <f>IF($I3930="","",IF(ISNUMBER($I3930),TEXT($I3930,"0"),$I3930))</f>
        <v/>
      </c>
    </row>
    <row r="3931">
      <c r="B3931" s="25" t="n"/>
      <c r="I3931" s="25" t="n"/>
      <c r="U3931" s="19">
        <f>IF(AND($V3931='設定'!$C$4,COUNTIF('商品マスタ'!$B$6:$B$1005,$W3931)=0),N(U3930)+1,N(U3930))</f>
        <v/>
      </c>
      <c r="V3931" s="19">
        <f>IF($B3931="","",TEXT($B3931,"0000"))</f>
        <v/>
      </c>
      <c r="W3931" s="19">
        <f>IF($I3931="","",IF(ISNUMBER($I3931),TEXT($I3931,"0"),$I3931))</f>
        <v/>
      </c>
    </row>
    <row r="3932">
      <c r="B3932" s="25" t="n"/>
      <c r="I3932" s="25" t="n"/>
      <c r="U3932" s="19">
        <f>IF(AND($V3932='設定'!$C$4,COUNTIF('商品マスタ'!$B$6:$B$1005,$W3932)=0),N(U3931)+1,N(U3931))</f>
        <v/>
      </c>
      <c r="V3932" s="19">
        <f>IF($B3932="","",TEXT($B3932,"0000"))</f>
        <v/>
      </c>
      <c r="W3932" s="19">
        <f>IF($I3932="","",IF(ISNUMBER($I3932),TEXT($I3932,"0"),$I3932))</f>
        <v/>
      </c>
    </row>
    <row r="3933">
      <c r="B3933" s="25" t="n"/>
      <c r="I3933" s="25" t="n"/>
      <c r="U3933" s="19">
        <f>IF(AND($V3933='設定'!$C$4,COUNTIF('商品マスタ'!$B$6:$B$1005,$W3933)=0),N(U3932)+1,N(U3932))</f>
        <v/>
      </c>
      <c r="V3933" s="19">
        <f>IF($B3933="","",TEXT($B3933,"0000"))</f>
        <v/>
      </c>
      <c r="W3933" s="19">
        <f>IF($I3933="","",IF(ISNUMBER($I3933),TEXT($I3933,"0"),$I3933))</f>
        <v/>
      </c>
    </row>
    <row r="3934">
      <c r="B3934" s="25" t="n"/>
      <c r="I3934" s="25" t="n"/>
      <c r="U3934" s="19">
        <f>IF(AND($V3934='設定'!$C$4,COUNTIF('商品マスタ'!$B$6:$B$1005,$W3934)=0),N(U3933)+1,N(U3933))</f>
        <v/>
      </c>
      <c r="V3934" s="19">
        <f>IF($B3934="","",TEXT($B3934,"0000"))</f>
        <v/>
      </c>
      <c r="W3934" s="19">
        <f>IF($I3934="","",IF(ISNUMBER($I3934),TEXT($I3934,"0"),$I3934))</f>
        <v/>
      </c>
    </row>
    <row r="3935">
      <c r="B3935" s="25" t="n"/>
      <c r="I3935" s="25" t="n"/>
      <c r="U3935" s="19">
        <f>IF(AND($V3935='設定'!$C$4,COUNTIF('商品マスタ'!$B$6:$B$1005,$W3935)=0),N(U3934)+1,N(U3934))</f>
        <v/>
      </c>
      <c r="V3935" s="19">
        <f>IF($B3935="","",TEXT($B3935,"0000"))</f>
        <v/>
      </c>
      <c r="W3935" s="19">
        <f>IF($I3935="","",IF(ISNUMBER($I3935),TEXT($I3935,"0"),$I3935))</f>
        <v/>
      </c>
    </row>
    <row r="3936">
      <c r="B3936" s="25" t="n"/>
      <c r="I3936" s="25" t="n"/>
      <c r="U3936" s="19">
        <f>IF(AND($V3936='設定'!$C$4,COUNTIF('商品マスタ'!$B$6:$B$1005,$W3936)=0),N(U3935)+1,N(U3935))</f>
        <v/>
      </c>
      <c r="V3936" s="19">
        <f>IF($B3936="","",TEXT($B3936,"0000"))</f>
        <v/>
      </c>
      <c r="W3936" s="19">
        <f>IF($I3936="","",IF(ISNUMBER($I3936),TEXT($I3936,"0"),$I3936))</f>
        <v/>
      </c>
    </row>
    <row r="3937">
      <c r="B3937" s="25" t="n"/>
      <c r="I3937" s="25" t="n"/>
      <c r="U3937" s="19">
        <f>IF(AND($V3937='設定'!$C$4,COUNTIF('商品マスタ'!$B$6:$B$1005,$W3937)=0),N(U3936)+1,N(U3936))</f>
        <v/>
      </c>
      <c r="V3937" s="19">
        <f>IF($B3937="","",TEXT($B3937,"0000"))</f>
        <v/>
      </c>
      <c r="W3937" s="19">
        <f>IF($I3937="","",IF(ISNUMBER($I3937),TEXT($I3937,"0"),$I3937))</f>
        <v/>
      </c>
    </row>
    <row r="3938">
      <c r="B3938" s="25" t="n"/>
      <c r="I3938" s="25" t="n"/>
      <c r="U3938" s="19">
        <f>IF(AND($V3938='設定'!$C$4,COUNTIF('商品マスタ'!$B$6:$B$1005,$W3938)=0),N(U3937)+1,N(U3937))</f>
        <v/>
      </c>
      <c r="V3938" s="19">
        <f>IF($B3938="","",TEXT($B3938,"0000"))</f>
        <v/>
      </c>
      <c r="W3938" s="19">
        <f>IF($I3938="","",IF(ISNUMBER($I3938),TEXT($I3938,"0"),$I3938))</f>
        <v/>
      </c>
    </row>
    <row r="3939">
      <c r="B3939" s="25" t="n"/>
      <c r="I3939" s="25" t="n"/>
      <c r="U3939" s="19">
        <f>IF(AND($V3939='設定'!$C$4,COUNTIF('商品マスタ'!$B$6:$B$1005,$W3939)=0),N(U3938)+1,N(U3938))</f>
        <v/>
      </c>
      <c r="V3939" s="19">
        <f>IF($B3939="","",TEXT($B3939,"0000"))</f>
        <v/>
      </c>
      <c r="W3939" s="19">
        <f>IF($I3939="","",IF(ISNUMBER($I3939),TEXT($I3939,"0"),$I3939))</f>
        <v/>
      </c>
    </row>
    <row r="3940">
      <c r="B3940" s="25" t="n"/>
      <c r="I3940" s="25" t="n"/>
      <c r="U3940" s="19">
        <f>IF(AND($V3940='設定'!$C$4,COUNTIF('商品マスタ'!$B$6:$B$1005,$W3940)=0),N(U3939)+1,N(U3939))</f>
        <v/>
      </c>
      <c r="V3940" s="19">
        <f>IF($B3940="","",TEXT($B3940,"0000"))</f>
        <v/>
      </c>
      <c r="W3940" s="19">
        <f>IF($I3940="","",IF(ISNUMBER($I3940),TEXT($I3940,"0"),$I3940))</f>
        <v/>
      </c>
    </row>
    <row r="3941">
      <c r="B3941" s="25" t="n"/>
      <c r="I3941" s="25" t="n"/>
      <c r="U3941" s="19">
        <f>IF(AND($V3941='設定'!$C$4,COUNTIF('商品マスタ'!$B$6:$B$1005,$W3941)=0),N(U3940)+1,N(U3940))</f>
        <v/>
      </c>
      <c r="V3941" s="19">
        <f>IF($B3941="","",TEXT($B3941,"0000"))</f>
        <v/>
      </c>
      <c r="W3941" s="19">
        <f>IF($I3941="","",IF(ISNUMBER($I3941),TEXT($I3941,"0"),$I3941))</f>
        <v/>
      </c>
    </row>
    <row r="3942">
      <c r="B3942" s="25" t="n"/>
      <c r="I3942" s="25" t="n"/>
      <c r="U3942" s="19">
        <f>IF(AND($V3942='設定'!$C$4,COUNTIF('商品マスタ'!$B$6:$B$1005,$W3942)=0),N(U3941)+1,N(U3941))</f>
        <v/>
      </c>
      <c r="V3942" s="19">
        <f>IF($B3942="","",TEXT($B3942,"0000"))</f>
        <v/>
      </c>
      <c r="W3942" s="19">
        <f>IF($I3942="","",IF(ISNUMBER($I3942),TEXT($I3942,"0"),$I3942))</f>
        <v/>
      </c>
    </row>
    <row r="3943">
      <c r="B3943" s="25" t="n"/>
      <c r="I3943" s="25" t="n"/>
      <c r="U3943" s="19">
        <f>IF(AND($V3943='設定'!$C$4,COUNTIF('商品マスタ'!$B$6:$B$1005,$W3943)=0),N(U3942)+1,N(U3942))</f>
        <v/>
      </c>
      <c r="V3943" s="19">
        <f>IF($B3943="","",TEXT($B3943,"0000"))</f>
        <v/>
      </c>
      <c r="W3943" s="19">
        <f>IF($I3943="","",IF(ISNUMBER($I3943),TEXT($I3943,"0"),$I3943))</f>
        <v/>
      </c>
    </row>
    <row r="3944">
      <c r="B3944" s="25" t="n"/>
      <c r="I3944" s="25" t="n"/>
      <c r="U3944" s="19">
        <f>IF(AND($V3944='設定'!$C$4,COUNTIF('商品マスタ'!$B$6:$B$1005,$W3944)=0),N(U3943)+1,N(U3943))</f>
        <v/>
      </c>
      <c r="V3944" s="19">
        <f>IF($B3944="","",TEXT($B3944,"0000"))</f>
        <v/>
      </c>
      <c r="W3944" s="19">
        <f>IF($I3944="","",IF(ISNUMBER($I3944),TEXT($I3944,"0"),$I3944))</f>
        <v/>
      </c>
    </row>
    <row r="3945">
      <c r="B3945" s="25" t="n"/>
      <c r="I3945" s="25" t="n"/>
      <c r="U3945" s="19">
        <f>IF(AND($V3945='設定'!$C$4,COUNTIF('商品マスタ'!$B$6:$B$1005,$W3945)=0),N(U3944)+1,N(U3944))</f>
        <v/>
      </c>
      <c r="V3945" s="19">
        <f>IF($B3945="","",TEXT($B3945,"0000"))</f>
        <v/>
      </c>
      <c r="W3945" s="19">
        <f>IF($I3945="","",IF(ISNUMBER($I3945),TEXT($I3945,"0"),$I3945))</f>
        <v/>
      </c>
    </row>
    <row r="3946">
      <c r="B3946" s="25" t="n"/>
      <c r="I3946" s="25" t="n"/>
      <c r="U3946" s="19">
        <f>IF(AND($V3946='設定'!$C$4,COUNTIF('商品マスタ'!$B$6:$B$1005,$W3946)=0),N(U3945)+1,N(U3945))</f>
        <v/>
      </c>
      <c r="V3946" s="19">
        <f>IF($B3946="","",TEXT($B3946,"0000"))</f>
        <v/>
      </c>
      <c r="W3946" s="19">
        <f>IF($I3946="","",IF(ISNUMBER($I3946),TEXT($I3946,"0"),$I3946))</f>
        <v/>
      </c>
    </row>
    <row r="3947">
      <c r="B3947" s="25" t="n"/>
      <c r="I3947" s="25" t="n"/>
      <c r="U3947" s="19">
        <f>IF(AND($V3947='設定'!$C$4,COUNTIF('商品マスタ'!$B$6:$B$1005,$W3947)=0),N(U3946)+1,N(U3946))</f>
        <v/>
      </c>
      <c r="V3947" s="19">
        <f>IF($B3947="","",TEXT($B3947,"0000"))</f>
        <v/>
      </c>
      <c r="W3947" s="19">
        <f>IF($I3947="","",IF(ISNUMBER($I3947),TEXT($I3947,"0"),$I3947))</f>
        <v/>
      </c>
    </row>
    <row r="3948">
      <c r="B3948" s="25" t="n"/>
      <c r="I3948" s="25" t="n"/>
      <c r="U3948" s="19">
        <f>IF(AND($V3948='設定'!$C$4,COUNTIF('商品マスタ'!$B$6:$B$1005,$W3948)=0),N(U3947)+1,N(U3947))</f>
        <v/>
      </c>
      <c r="V3948" s="19">
        <f>IF($B3948="","",TEXT($B3948,"0000"))</f>
        <v/>
      </c>
      <c r="W3948" s="19">
        <f>IF($I3948="","",IF(ISNUMBER($I3948),TEXT($I3948,"0"),$I3948))</f>
        <v/>
      </c>
    </row>
    <row r="3949">
      <c r="B3949" s="25" t="n"/>
      <c r="I3949" s="25" t="n"/>
      <c r="U3949" s="19">
        <f>IF(AND($V3949='設定'!$C$4,COUNTIF('商品マスタ'!$B$6:$B$1005,$W3949)=0),N(U3948)+1,N(U3948))</f>
        <v/>
      </c>
      <c r="V3949" s="19">
        <f>IF($B3949="","",TEXT($B3949,"0000"))</f>
        <v/>
      </c>
      <c r="W3949" s="19">
        <f>IF($I3949="","",IF(ISNUMBER($I3949),TEXT($I3949,"0"),$I3949))</f>
        <v/>
      </c>
    </row>
    <row r="3950">
      <c r="B3950" s="25" t="n"/>
      <c r="I3950" s="25" t="n"/>
      <c r="U3950" s="19">
        <f>IF(AND($V3950='設定'!$C$4,COUNTIF('商品マスタ'!$B$6:$B$1005,$W3950)=0),N(U3949)+1,N(U3949))</f>
        <v/>
      </c>
      <c r="V3950" s="19">
        <f>IF($B3950="","",TEXT($B3950,"0000"))</f>
        <v/>
      </c>
      <c r="W3950" s="19">
        <f>IF($I3950="","",IF(ISNUMBER($I3950),TEXT($I3950,"0"),$I3950))</f>
        <v/>
      </c>
    </row>
    <row r="3951">
      <c r="B3951" s="25" t="n"/>
      <c r="I3951" s="25" t="n"/>
      <c r="U3951" s="19">
        <f>IF(AND($V3951='設定'!$C$4,COUNTIF('商品マスタ'!$B$6:$B$1005,$W3951)=0),N(U3950)+1,N(U3950))</f>
        <v/>
      </c>
      <c r="V3951" s="19">
        <f>IF($B3951="","",TEXT($B3951,"0000"))</f>
        <v/>
      </c>
      <c r="W3951" s="19">
        <f>IF($I3951="","",IF(ISNUMBER($I3951),TEXT($I3951,"0"),$I3951))</f>
        <v/>
      </c>
    </row>
    <row r="3952">
      <c r="B3952" s="25" t="n"/>
      <c r="I3952" s="25" t="n"/>
      <c r="U3952" s="19">
        <f>IF(AND($V3952='設定'!$C$4,COUNTIF('商品マスタ'!$B$6:$B$1005,$W3952)=0),N(U3951)+1,N(U3951))</f>
        <v/>
      </c>
      <c r="V3952" s="19">
        <f>IF($B3952="","",TEXT($B3952,"0000"))</f>
        <v/>
      </c>
      <c r="W3952" s="19">
        <f>IF($I3952="","",IF(ISNUMBER($I3952),TEXT($I3952,"0"),$I3952))</f>
        <v/>
      </c>
    </row>
    <row r="3953">
      <c r="B3953" s="25" t="n"/>
      <c r="I3953" s="25" t="n"/>
      <c r="U3953" s="19">
        <f>IF(AND($V3953='設定'!$C$4,COUNTIF('商品マスタ'!$B$6:$B$1005,$W3953)=0),N(U3952)+1,N(U3952))</f>
        <v/>
      </c>
      <c r="V3953" s="19">
        <f>IF($B3953="","",TEXT($B3953,"0000"))</f>
        <v/>
      </c>
      <c r="W3953" s="19">
        <f>IF($I3953="","",IF(ISNUMBER($I3953),TEXT($I3953,"0"),$I3953))</f>
        <v/>
      </c>
    </row>
    <row r="3954">
      <c r="B3954" s="25" t="n"/>
      <c r="I3954" s="25" t="n"/>
      <c r="U3954" s="19">
        <f>IF(AND($V3954='設定'!$C$4,COUNTIF('商品マスタ'!$B$6:$B$1005,$W3954)=0),N(U3953)+1,N(U3953))</f>
        <v/>
      </c>
      <c r="V3954" s="19">
        <f>IF($B3954="","",TEXT($B3954,"0000"))</f>
        <v/>
      </c>
      <c r="W3954" s="19">
        <f>IF($I3954="","",IF(ISNUMBER($I3954),TEXT($I3954,"0"),$I3954))</f>
        <v/>
      </c>
    </row>
    <row r="3955">
      <c r="B3955" s="25" t="n"/>
      <c r="I3955" s="25" t="n"/>
      <c r="U3955" s="19">
        <f>IF(AND($V3955='設定'!$C$4,COUNTIF('商品マスタ'!$B$6:$B$1005,$W3955)=0),N(U3954)+1,N(U3954))</f>
        <v/>
      </c>
      <c r="V3955" s="19">
        <f>IF($B3955="","",TEXT($B3955,"0000"))</f>
        <v/>
      </c>
      <c r="W3955" s="19">
        <f>IF($I3955="","",IF(ISNUMBER($I3955),TEXT($I3955,"0"),$I3955))</f>
        <v/>
      </c>
    </row>
    <row r="3956">
      <c r="B3956" s="25" t="n"/>
      <c r="I3956" s="25" t="n"/>
      <c r="U3956" s="19">
        <f>IF(AND($V3956='設定'!$C$4,COUNTIF('商品マスタ'!$B$6:$B$1005,$W3956)=0),N(U3955)+1,N(U3955))</f>
        <v/>
      </c>
      <c r="V3956" s="19">
        <f>IF($B3956="","",TEXT($B3956,"0000"))</f>
        <v/>
      </c>
      <c r="W3956" s="19">
        <f>IF($I3956="","",IF(ISNUMBER($I3956),TEXT($I3956,"0"),$I3956))</f>
        <v/>
      </c>
    </row>
    <row r="3957">
      <c r="B3957" s="25" t="n"/>
      <c r="I3957" s="25" t="n"/>
      <c r="U3957" s="19">
        <f>IF(AND($V3957='設定'!$C$4,COUNTIF('商品マスタ'!$B$6:$B$1005,$W3957)=0),N(U3956)+1,N(U3956))</f>
        <v/>
      </c>
      <c r="V3957" s="19">
        <f>IF($B3957="","",TEXT($B3957,"0000"))</f>
        <v/>
      </c>
      <c r="W3957" s="19">
        <f>IF($I3957="","",IF(ISNUMBER($I3957),TEXT($I3957,"0"),$I3957))</f>
        <v/>
      </c>
    </row>
    <row r="3958">
      <c r="B3958" s="25" t="n"/>
      <c r="I3958" s="25" t="n"/>
      <c r="U3958" s="19">
        <f>IF(AND($V3958='設定'!$C$4,COUNTIF('商品マスタ'!$B$6:$B$1005,$W3958)=0),N(U3957)+1,N(U3957))</f>
        <v/>
      </c>
      <c r="V3958" s="19">
        <f>IF($B3958="","",TEXT($B3958,"0000"))</f>
        <v/>
      </c>
      <c r="W3958" s="19">
        <f>IF($I3958="","",IF(ISNUMBER($I3958),TEXT($I3958,"0"),$I3958))</f>
        <v/>
      </c>
    </row>
    <row r="3959">
      <c r="B3959" s="25" t="n"/>
      <c r="I3959" s="25" t="n"/>
      <c r="U3959" s="19">
        <f>IF(AND($V3959='設定'!$C$4,COUNTIF('商品マスタ'!$B$6:$B$1005,$W3959)=0),N(U3958)+1,N(U3958))</f>
        <v/>
      </c>
      <c r="V3959" s="19">
        <f>IF($B3959="","",TEXT($B3959,"0000"))</f>
        <v/>
      </c>
      <c r="W3959" s="19">
        <f>IF($I3959="","",IF(ISNUMBER($I3959),TEXT($I3959,"0"),$I3959))</f>
        <v/>
      </c>
    </row>
    <row r="3960">
      <c r="B3960" s="25" t="n"/>
      <c r="I3960" s="25" t="n"/>
      <c r="U3960" s="19">
        <f>IF(AND($V3960='設定'!$C$4,COUNTIF('商品マスタ'!$B$6:$B$1005,$W3960)=0),N(U3959)+1,N(U3959))</f>
        <v/>
      </c>
      <c r="V3960" s="19">
        <f>IF($B3960="","",TEXT($B3960,"0000"))</f>
        <v/>
      </c>
      <c r="W3960" s="19">
        <f>IF($I3960="","",IF(ISNUMBER($I3960),TEXT($I3960,"0"),$I3960))</f>
        <v/>
      </c>
    </row>
    <row r="3961">
      <c r="B3961" s="25" t="n"/>
      <c r="I3961" s="25" t="n"/>
      <c r="U3961" s="19">
        <f>IF(AND($V3961='設定'!$C$4,COUNTIF('商品マスタ'!$B$6:$B$1005,$W3961)=0),N(U3960)+1,N(U3960))</f>
        <v/>
      </c>
      <c r="V3961" s="19">
        <f>IF($B3961="","",TEXT($B3961,"0000"))</f>
        <v/>
      </c>
      <c r="W3961" s="19">
        <f>IF($I3961="","",IF(ISNUMBER($I3961),TEXT($I3961,"0"),$I3961))</f>
        <v/>
      </c>
    </row>
    <row r="3962">
      <c r="B3962" s="25" t="n"/>
      <c r="I3962" s="25" t="n"/>
      <c r="U3962" s="19">
        <f>IF(AND($V3962='設定'!$C$4,COUNTIF('商品マスタ'!$B$6:$B$1005,$W3962)=0),N(U3961)+1,N(U3961))</f>
        <v/>
      </c>
      <c r="V3962" s="19">
        <f>IF($B3962="","",TEXT($B3962,"0000"))</f>
        <v/>
      </c>
      <c r="W3962" s="19">
        <f>IF($I3962="","",IF(ISNUMBER($I3962),TEXT($I3962,"0"),$I3962))</f>
        <v/>
      </c>
    </row>
    <row r="3963">
      <c r="B3963" s="25" t="n"/>
      <c r="I3963" s="25" t="n"/>
      <c r="U3963" s="19">
        <f>IF(AND($V3963='設定'!$C$4,COUNTIF('商品マスタ'!$B$6:$B$1005,$W3963)=0),N(U3962)+1,N(U3962))</f>
        <v/>
      </c>
      <c r="V3963" s="19">
        <f>IF($B3963="","",TEXT($B3963,"0000"))</f>
        <v/>
      </c>
      <c r="W3963" s="19">
        <f>IF($I3963="","",IF(ISNUMBER($I3963),TEXT($I3963,"0"),$I3963))</f>
        <v/>
      </c>
    </row>
    <row r="3964">
      <c r="B3964" s="25" t="n"/>
      <c r="I3964" s="25" t="n"/>
      <c r="U3964" s="19">
        <f>IF(AND($V3964='設定'!$C$4,COUNTIF('商品マスタ'!$B$6:$B$1005,$W3964)=0),N(U3963)+1,N(U3963))</f>
        <v/>
      </c>
      <c r="V3964" s="19">
        <f>IF($B3964="","",TEXT($B3964,"0000"))</f>
        <v/>
      </c>
      <c r="W3964" s="19">
        <f>IF($I3964="","",IF(ISNUMBER($I3964),TEXT($I3964,"0"),$I3964))</f>
        <v/>
      </c>
    </row>
    <row r="3965">
      <c r="B3965" s="25" t="n"/>
      <c r="I3965" s="25" t="n"/>
      <c r="U3965" s="19">
        <f>IF(AND($V3965='設定'!$C$4,COUNTIF('商品マスタ'!$B$6:$B$1005,$W3965)=0),N(U3964)+1,N(U3964))</f>
        <v/>
      </c>
      <c r="V3965" s="19">
        <f>IF($B3965="","",TEXT($B3965,"0000"))</f>
        <v/>
      </c>
      <c r="W3965" s="19">
        <f>IF($I3965="","",IF(ISNUMBER($I3965),TEXT($I3965,"0"),$I3965))</f>
        <v/>
      </c>
    </row>
    <row r="3966">
      <c r="B3966" s="25" t="n"/>
      <c r="I3966" s="25" t="n"/>
      <c r="U3966" s="19">
        <f>IF(AND($V3966='設定'!$C$4,COUNTIF('商品マスタ'!$B$6:$B$1005,$W3966)=0),N(U3965)+1,N(U3965))</f>
        <v/>
      </c>
      <c r="V3966" s="19">
        <f>IF($B3966="","",TEXT($B3966,"0000"))</f>
        <v/>
      </c>
      <c r="W3966" s="19">
        <f>IF($I3966="","",IF(ISNUMBER($I3966),TEXT($I3966,"0"),$I3966))</f>
        <v/>
      </c>
    </row>
    <row r="3967">
      <c r="B3967" s="25" t="n"/>
      <c r="I3967" s="25" t="n"/>
      <c r="U3967" s="19">
        <f>IF(AND($V3967='設定'!$C$4,COUNTIF('商品マスタ'!$B$6:$B$1005,$W3967)=0),N(U3966)+1,N(U3966))</f>
        <v/>
      </c>
      <c r="V3967" s="19">
        <f>IF($B3967="","",TEXT($B3967,"0000"))</f>
        <v/>
      </c>
      <c r="W3967" s="19">
        <f>IF($I3967="","",IF(ISNUMBER($I3967),TEXT($I3967,"0"),$I3967))</f>
        <v/>
      </c>
    </row>
    <row r="3968">
      <c r="B3968" s="25" t="n"/>
      <c r="I3968" s="25" t="n"/>
      <c r="U3968" s="19">
        <f>IF(AND($V3968='設定'!$C$4,COUNTIF('商品マスタ'!$B$6:$B$1005,$W3968)=0),N(U3967)+1,N(U3967))</f>
        <v/>
      </c>
      <c r="V3968" s="19">
        <f>IF($B3968="","",TEXT($B3968,"0000"))</f>
        <v/>
      </c>
      <c r="W3968" s="19">
        <f>IF($I3968="","",IF(ISNUMBER($I3968),TEXT($I3968,"0"),$I3968))</f>
        <v/>
      </c>
    </row>
    <row r="3969">
      <c r="B3969" s="25" t="n"/>
      <c r="I3969" s="25" t="n"/>
      <c r="U3969" s="19">
        <f>IF(AND($V3969='設定'!$C$4,COUNTIF('商品マスタ'!$B$6:$B$1005,$W3969)=0),N(U3968)+1,N(U3968))</f>
        <v/>
      </c>
      <c r="V3969" s="19">
        <f>IF($B3969="","",TEXT($B3969,"0000"))</f>
        <v/>
      </c>
      <c r="W3969" s="19">
        <f>IF($I3969="","",IF(ISNUMBER($I3969),TEXT($I3969,"0"),$I3969))</f>
        <v/>
      </c>
    </row>
    <row r="3970">
      <c r="B3970" s="25" t="n"/>
      <c r="I3970" s="25" t="n"/>
      <c r="U3970" s="19">
        <f>IF(AND($V3970='設定'!$C$4,COUNTIF('商品マスタ'!$B$6:$B$1005,$W3970)=0),N(U3969)+1,N(U3969))</f>
        <v/>
      </c>
      <c r="V3970" s="19">
        <f>IF($B3970="","",TEXT($B3970,"0000"))</f>
        <v/>
      </c>
      <c r="W3970" s="19">
        <f>IF($I3970="","",IF(ISNUMBER($I3970),TEXT($I3970,"0"),$I3970))</f>
        <v/>
      </c>
    </row>
    <row r="3971">
      <c r="B3971" s="25" t="n"/>
      <c r="I3971" s="25" t="n"/>
      <c r="U3971" s="19">
        <f>IF(AND($V3971='設定'!$C$4,COUNTIF('商品マスタ'!$B$6:$B$1005,$W3971)=0),N(U3970)+1,N(U3970))</f>
        <v/>
      </c>
      <c r="V3971" s="19">
        <f>IF($B3971="","",TEXT($B3971,"0000"))</f>
        <v/>
      </c>
      <c r="W3971" s="19">
        <f>IF($I3971="","",IF(ISNUMBER($I3971),TEXT($I3971,"0"),$I3971))</f>
        <v/>
      </c>
    </row>
    <row r="3972">
      <c r="B3972" s="25" t="n"/>
      <c r="I3972" s="25" t="n"/>
      <c r="U3972" s="19">
        <f>IF(AND($V3972='設定'!$C$4,COUNTIF('商品マスタ'!$B$6:$B$1005,$W3972)=0),N(U3971)+1,N(U3971))</f>
        <v/>
      </c>
      <c r="V3972" s="19">
        <f>IF($B3972="","",TEXT($B3972,"0000"))</f>
        <v/>
      </c>
      <c r="W3972" s="19">
        <f>IF($I3972="","",IF(ISNUMBER($I3972),TEXT($I3972,"0"),$I3972))</f>
        <v/>
      </c>
    </row>
    <row r="3973">
      <c r="B3973" s="25" t="n"/>
      <c r="I3973" s="25" t="n"/>
      <c r="U3973" s="19">
        <f>IF(AND($V3973='設定'!$C$4,COUNTIF('商品マスタ'!$B$6:$B$1005,$W3973)=0),N(U3972)+1,N(U3972))</f>
        <v/>
      </c>
      <c r="V3973" s="19">
        <f>IF($B3973="","",TEXT($B3973,"0000"))</f>
        <v/>
      </c>
      <c r="W3973" s="19">
        <f>IF($I3973="","",IF(ISNUMBER($I3973),TEXT($I3973,"0"),$I3973))</f>
        <v/>
      </c>
    </row>
    <row r="3974">
      <c r="B3974" s="25" t="n"/>
      <c r="I3974" s="25" t="n"/>
      <c r="U3974" s="19">
        <f>IF(AND($V3974='設定'!$C$4,COUNTIF('商品マスタ'!$B$6:$B$1005,$W3974)=0),N(U3973)+1,N(U3973))</f>
        <v/>
      </c>
      <c r="V3974" s="19">
        <f>IF($B3974="","",TEXT($B3974,"0000"))</f>
        <v/>
      </c>
      <c r="W3974" s="19">
        <f>IF($I3974="","",IF(ISNUMBER($I3974),TEXT($I3974,"0"),$I3974))</f>
        <v/>
      </c>
    </row>
    <row r="3975">
      <c r="B3975" s="25" t="n"/>
      <c r="I3975" s="25" t="n"/>
      <c r="U3975" s="19">
        <f>IF(AND($V3975='設定'!$C$4,COUNTIF('商品マスタ'!$B$6:$B$1005,$W3975)=0),N(U3974)+1,N(U3974))</f>
        <v/>
      </c>
      <c r="V3975" s="19">
        <f>IF($B3975="","",TEXT($B3975,"0000"))</f>
        <v/>
      </c>
      <c r="W3975" s="19">
        <f>IF($I3975="","",IF(ISNUMBER($I3975),TEXT($I3975,"0"),$I3975))</f>
        <v/>
      </c>
    </row>
    <row r="3976">
      <c r="B3976" s="25" t="n"/>
      <c r="I3976" s="25" t="n"/>
      <c r="U3976" s="19">
        <f>IF(AND($V3976='設定'!$C$4,COUNTIF('商品マスタ'!$B$6:$B$1005,$W3976)=0),N(U3975)+1,N(U3975))</f>
        <v/>
      </c>
      <c r="V3976" s="19">
        <f>IF($B3976="","",TEXT($B3976,"0000"))</f>
        <v/>
      </c>
      <c r="W3976" s="19">
        <f>IF($I3976="","",IF(ISNUMBER($I3976),TEXT($I3976,"0"),$I3976))</f>
        <v/>
      </c>
    </row>
    <row r="3977">
      <c r="B3977" s="25" t="n"/>
      <c r="I3977" s="25" t="n"/>
      <c r="U3977" s="19">
        <f>IF(AND($V3977='設定'!$C$4,COUNTIF('商品マスタ'!$B$6:$B$1005,$W3977)=0),N(U3976)+1,N(U3976))</f>
        <v/>
      </c>
      <c r="V3977" s="19">
        <f>IF($B3977="","",TEXT($B3977,"0000"))</f>
        <v/>
      </c>
      <c r="W3977" s="19">
        <f>IF($I3977="","",IF(ISNUMBER($I3977),TEXT($I3977,"0"),$I3977))</f>
        <v/>
      </c>
    </row>
    <row r="3978">
      <c r="B3978" s="25" t="n"/>
      <c r="I3978" s="25" t="n"/>
      <c r="U3978" s="19">
        <f>IF(AND($V3978='設定'!$C$4,COUNTIF('商品マスタ'!$B$6:$B$1005,$W3978)=0),N(U3977)+1,N(U3977))</f>
        <v/>
      </c>
      <c r="V3978" s="19">
        <f>IF($B3978="","",TEXT($B3978,"0000"))</f>
        <v/>
      </c>
      <c r="W3978" s="19">
        <f>IF($I3978="","",IF(ISNUMBER($I3978),TEXT($I3978,"0"),$I3978))</f>
        <v/>
      </c>
    </row>
    <row r="3979">
      <c r="B3979" s="25" t="n"/>
      <c r="I3979" s="25" t="n"/>
      <c r="U3979" s="19">
        <f>IF(AND($V3979='設定'!$C$4,COUNTIF('商品マスタ'!$B$6:$B$1005,$W3979)=0),N(U3978)+1,N(U3978))</f>
        <v/>
      </c>
      <c r="V3979" s="19">
        <f>IF($B3979="","",TEXT($B3979,"0000"))</f>
        <v/>
      </c>
      <c r="W3979" s="19">
        <f>IF($I3979="","",IF(ISNUMBER($I3979),TEXT($I3979,"0"),$I3979))</f>
        <v/>
      </c>
    </row>
    <row r="3980">
      <c r="B3980" s="25" t="n"/>
      <c r="I3980" s="25" t="n"/>
      <c r="U3980" s="19">
        <f>IF(AND($V3980='設定'!$C$4,COUNTIF('商品マスタ'!$B$6:$B$1005,$W3980)=0),N(U3979)+1,N(U3979))</f>
        <v/>
      </c>
      <c r="V3980" s="19">
        <f>IF($B3980="","",TEXT($B3980,"0000"))</f>
        <v/>
      </c>
      <c r="W3980" s="19">
        <f>IF($I3980="","",IF(ISNUMBER($I3980),TEXT($I3980,"0"),$I3980))</f>
        <v/>
      </c>
    </row>
    <row r="3981">
      <c r="B3981" s="25" t="n"/>
      <c r="I3981" s="25" t="n"/>
      <c r="U3981" s="19">
        <f>IF(AND($V3981='設定'!$C$4,COUNTIF('商品マスタ'!$B$6:$B$1005,$W3981)=0),N(U3980)+1,N(U3980))</f>
        <v/>
      </c>
      <c r="V3981" s="19">
        <f>IF($B3981="","",TEXT($B3981,"0000"))</f>
        <v/>
      </c>
      <c r="W3981" s="19">
        <f>IF($I3981="","",IF(ISNUMBER($I3981),TEXT($I3981,"0"),$I3981))</f>
        <v/>
      </c>
    </row>
    <row r="3982">
      <c r="B3982" s="25" t="n"/>
      <c r="I3982" s="25" t="n"/>
      <c r="U3982" s="19">
        <f>IF(AND($V3982='設定'!$C$4,COUNTIF('商品マスタ'!$B$6:$B$1005,$W3982)=0),N(U3981)+1,N(U3981))</f>
        <v/>
      </c>
      <c r="V3982" s="19">
        <f>IF($B3982="","",TEXT($B3982,"0000"))</f>
        <v/>
      </c>
      <c r="W3982" s="19">
        <f>IF($I3982="","",IF(ISNUMBER($I3982),TEXT($I3982,"0"),$I3982))</f>
        <v/>
      </c>
    </row>
    <row r="3983">
      <c r="B3983" s="25" t="n"/>
      <c r="I3983" s="25" t="n"/>
      <c r="U3983" s="19">
        <f>IF(AND($V3983='設定'!$C$4,COUNTIF('商品マスタ'!$B$6:$B$1005,$W3983)=0),N(U3982)+1,N(U3982))</f>
        <v/>
      </c>
      <c r="V3983" s="19">
        <f>IF($B3983="","",TEXT($B3983,"0000"))</f>
        <v/>
      </c>
      <c r="W3983" s="19">
        <f>IF($I3983="","",IF(ISNUMBER($I3983),TEXT($I3983,"0"),$I3983))</f>
        <v/>
      </c>
    </row>
    <row r="3984">
      <c r="B3984" s="25" t="n"/>
      <c r="I3984" s="25" t="n"/>
      <c r="U3984" s="19">
        <f>IF(AND($V3984='設定'!$C$4,COUNTIF('商品マスタ'!$B$6:$B$1005,$W3984)=0),N(U3983)+1,N(U3983))</f>
        <v/>
      </c>
      <c r="V3984" s="19">
        <f>IF($B3984="","",TEXT($B3984,"0000"))</f>
        <v/>
      </c>
      <c r="W3984" s="19">
        <f>IF($I3984="","",IF(ISNUMBER($I3984),TEXT($I3984,"0"),$I3984))</f>
        <v/>
      </c>
    </row>
    <row r="3985">
      <c r="B3985" s="25" t="n"/>
      <c r="I3985" s="25" t="n"/>
      <c r="U3985" s="19">
        <f>IF(AND($V3985='設定'!$C$4,COUNTIF('商品マスタ'!$B$6:$B$1005,$W3985)=0),N(U3984)+1,N(U3984))</f>
        <v/>
      </c>
      <c r="V3985" s="19">
        <f>IF($B3985="","",TEXT($B3985,"0000"))</f>
        <v/>
      </c>
      <c r="W3985" s="19">
        <f>IF($I3985="","",IF(ISNUMBER($I3985),TEXT($I3985,"0"),$I3985))</f>
        <v/>
      </c>
    </row>
    <row r="3986">
      <c r="B3986" s="25" t="n"/>
      <c r="I3986" s="25" t="n"/>
      <c r="U3986" s="19">
        <f>IF(AND($V3986='設定'!$C$4,COUNTIF('商品マスタ'!$B$6:$B$1005,$W3986)=0),N(U3985)+1,N(U3985))</f>
        <v/>
      </c>
      <c r="V3986" s="19">
        <f>IF($B3986="","",TEXT($B3986,"0000"))</f>
        <v/>
      </c>
      <c r="W3986" s="19">
        <f>IF($I3986="","",IF(ISNUMBER($I3986),TEXT($I3986,"0"),$I3986))</f>
        <v/>
      </c>
    </row>
    <row r="3987">
      <c r="B3987" s="25" t="n"/>
      <c r="I3987" s="25" t="n"/>
      <c r="U3987" s="19">
        <f>IF(AND($V3987='設定'!$C$4,COUNTIF('商品マスタ'!$B$6:$B$1005,$W3987)=0),N(U3986)+1,N(U3986))</f>
        <v/>
      </c>
      <c r="V3987" s="19">
        <f>IF($B3987="","",TEXT($B3987,"0000"))</f>
        <v/>
      </c>
      <c r="W3987" s="19">
        <f>IF($I3987="","",IF(ISNUMBER($I3987),TEXT($I3987,"0"),$I3987))</f>
        <v/>
      </c>
    </row>
    <row r="3988">
      <c r="B3988" s="25" t="n"/>
      <c r="I3988" s="25" t="n"/>
      <c r="U3988" s="19">
        <f>IF(AND($V3988='設定'!$C$4,COUNTIF('商品マスタ'!$B$6:$B$1005,$W3988)=0),N(U3987)+1,N(U3987))</f>
        <v/>
      </c>
      <c r="V3988" s="19">
        <f>IF($B3988="","",TEXT($B3988,"0000"))</f>
        <v/>
      </c>
      <c r="W3988" s="19">
        <f>IF($I3988="","",IF(ISNUMBER($I3988),TEXT($I3988,"0"),$I3988))</f>
        <v/>
      </c>
    </row>
    <row r="3989">
      <c r="B3989" s="25" t="n"/>
      <c r="I3989" s="25" t="n"/>
      <c r="U3989" s="19">
        <f>IF(AND($V3989='設定'!$C$4,COUNTIF('商品マスタ'!$B$6:$B$1005,$W3989)=0),N(U3988)+1,N(U3988))</f>
        <v/>
      </c>
      <c r="V3989" s="19">
        <f>IF($B3989="","",TEXT($B3989,"0000"))</f>
        <v/>
      </c>
      <c r="W3989" s="19">
        <f>IF($I3989="","",IF(ISNUMBER($I3989),TEXT($I3989,"0"),$I3989))</f>
        <v/>
      </c>
    </row>
    <row r="3990">
      <c r="B3990" s="25" t="n"/>
      <c r="I3990" s="25" t="n"/>
      <c r="U3990" s="19">
        <f>IF(AND($V3990='設定'!$C$4,COUNTIF('商品マスタ'!$B$6:$B$1005,$W3990)=0),N(U3989)+1,N(U3989))</f>
        <v/>
      </c>
      <c r="V3990" s="19">
        <f>IF($B3990="","",TEXT($B3990,"0000"))</f>
        <v/>
      </c>
      <c r="W3990" s="19">
        <f>IF($I3990="","",IF(ISNUMBER($I3990),TEXT($I3990,"0"),$I3990))</f>
        <v/>
      </c>
    </row>
    <row r="3991">
      <c r="B3991" s="25" t="n"/>
      <c r="I3991" s="25" t="n"/>
      <c r="U3991" s="19">
        <f>IF(AND($V3991='設定'!$C$4,COUNTIF('商品マスタ'!$B$6:$B$1005,$W3991)=0),N(U3990)+1,N(U3990))</f>
        <v/>
      </c>
      <c r="V3991" s="19">
        <f>IF($B3991="","",TEXT($B3991,"0000"))</f>
        <v/>
      </c>
      <c r="W3991" s="19">
        <f>IF($I3991="","",IF(ISNUMBER($I3991),TEXT($I3991,"0"),$I3991))</f>
        <v/>
      </c>
    </row>
    <row r="3992">
      <c r="B3992" s="25" t="n"/>
      <c r="I3992" s="25" t="n"/>
      <c r="U3992" s="19">
        <f>IF(AND($V3992='設定'!$C$4,COUNTIF('商品マスタ'!$B$6:$B$1005,$W3992)=0),N(U3991)+1,N(U3991))</f>
        <v/>
      </c>
      <c r="V3992" s="19">
        <f>IF($B3992="","",TEXT($B3992,"0000"))</f>
        <v/>
      </c>
      <c r="W3992" s="19">
        <f>IF($I3992="","",IF(ISNUMBER($I3992),TEXT($I3992,"0"),$I3992))</f>
        <v/>
      </c>
    </row>
    <row r="3993">
      <c r="B3993" s="25" t="n"/>
      <c r="I3993" s="25" t="n"/>
      <c r="U3993" s="19">
        <f>IF(AND($V3993='設定'!$C$4,COUNTIF('商品マスタ'!$B$6:$B$1005,$W3993)=0),N(U3992)+1,N(U3992))</f>
        <v/>
      </c>
      <c r="V3993" s="19">
        <f>IF($B3993="","",TEXT($B3993,"0000"))</f>
        <v/>
      </c>
      <c r="W3993" s="19">
        <f>IF($I3993="","",IF(ISNUMBER($I3993),TEXT($I3993,"0"),$I3993))</f>
        <v/>
      </c>
    </row>
    <row r="3994">
      <c r="B3994" s="25" t="n"/>
      <c r="I3994" s="25" t="n"/>
      <c r="U3994" s="19">
        <f>IF(AND($V3994='設定'!$C$4,COUNTIF('商品マスタ'!$B$6:$B$1005,$W3994)=0),N(U3993)+1,N(U3993))</f>
        <v/>
      </c>
      <c r="V3994" s="19">
        <f>IF($B3994="","",TEXT($B3994,"0000"))</f>
        <v/>
      </c>
      <c r="W3994" s="19">
        <f>IF($I3994="","",IF(ISNUMBER($I3994),TEXT($I3994,"0"),$I3994))</f>
        <v/>
      </c>
    </row>
    <row r="3995">
      <c r="B3995" s="25" t="n"/>
      <c r="I3995" s="25" t="n"/>
      <c r="U3995" s="19">
        <f>IF(AND($V3995='設定'!$C$4,COUNTIF('商品マスタ'!$B$6:$B$1005,$W3995)=0),N(U3994)+1,N(U3994))</f>
        <v/>
      </c>
      <c r="V3995" s="19">
        <f>IF($B3995="","",TEXT($B3995,"0000"))</f>
        <v/>
      </c>
      <c r="W3995" s="19">
        <f>IF($I3995="","",IF(ISNUMBER($I3995),TEXT($I3995,"0"),$I3995))</f>
        <v/>
      </c>
    </row>
    <row r="3996">
      <c r="B3996" s="25" t="n"/>
      <c r="I3996" s="25" t="n"/>
      <c r="U3996" s="19">
        <f>IF(AND($V3996='設定'!$C$4,COUNTIF('商品マスタ'!$B$6:$B$1005,$W3996)=0),N(U3995)+1,N(U3995))</f>
        <v/>
      </c>
      <c r="V3996" s="19">
        <f>IF($B3996="","",TEXT($B3996,"0000"))</f>
        <v/>
      </c>
      <c r="W3996" s="19">
        <f>IF($I3996="","",IF(ISNUMBER($I3996),TEXT($I3996,"0"),$I3996))</f>
        <v/>
      </c>
    </row>
    <row r="3997">
      <c r="B3997" s="25" t="n"/>
      <c r="I3997" s="25" t="n"/>
      <c r="U3997" s="19">
        <f>IF(AND($V3997='設定'!$C$4,COUNTIF('商品マスタ'!$B$6:$B$1005,$W3997)=0),N(U3996)+1,N(U3996))</f>
        <v/>
      </c>
      <c r="V3997" s="19">
        <f>IF($B3997="","",TEXT($B3997,"0000"))</f>
        <v/>
      </c>
      <c r="W3997" s="19">
        <f>IF($I3997="","",IF(ISNUMBER($I3997),TEXT($I3997,"0"),$I3997))</f>
        <v/>
      </c>
    </row>
    <row r="3998">
      <c r="B3998" s="25" t="n"/>
      <c r="I3998" s="25" t="n"/>
      <c r="U3998" s="19">
        <f>IF(AND($V3998='設定'!$C$4,COUNTIF('商品マスタ'!$B$6:$B$1005,$W3998)=0),N(U3997)+1,N(U3997))</f>
        <v/>
      </c>
      <c r="V3998" s="19">
        <f>IF($B3998="","",TEXT($B3998,"0000"))</f>
        <v/>
      </c>
      <c r="W3998" s="19">
        <f>IF($I3998="","",IF(ISNUMBER($I3998),TEXT($I3998,"0"),$I3998))</f>
        <v/>
      </c>
    </row>
    <row r="3999">
      <c r="B3999" s="25" t="n"/>
      <c r="I3999" s="25" t="n"/>
      <c r="U3999" s="19">
        <f>IF(AND($V3999='設定'!$C$4,COUNTIF('商品マスタ'!$B$6:$B$1005,$W3999)=0),N(U3998)+1,N(U3998))</f>
        <v/>
      </c>
      <c r="V3999" s="19">
        <f>IF($B3999="","",TEXT($B3999,"0000"))</f>
        <v/>
      </c>
      <c r="W3999" s="19">
        <f>IF($I3999="","",IF(ISNUMBER($I3999),TEXT($I3999,"0"),$I3999))</f>
        <v/>
      </c>
    </row>
    <row r="4000">
      <c r="B4000" s="25" t="n"/>
      <c r="I4000" s="25" t="n"/>
      <c r="U4000" s="19">
        <f>IF(AND($V4000='設定'!$C$4,COUNTIF('商品マスタ'!$B$6:$B$1005,$W4000)=0),N(U3999)+1,N(U3999))</f>
        <v/>
      </c>
      <c r="V4000" s="19">
        <f>IF($B4000="","",TEXT($B4000,"0000"))</f>
        <v/>
      </c>
      <c r="W4000" s="19">
        <f>IF($I4000="","",IF(ISNUMBER($I4000),TEXT($I4000,"0"),$I4000))</f>
        <v/>
      </c>
    </row>
    <row r="4001">
      <c r="B4001" s="25" t="n"/>
      <c r="I4001" s="25" t="n"/>
      <c r="U4001" s="19">
        <f>IF(AND($V4001='設定'!$C$4,COUNTIF('商品マスタ'!$B$6:$B$1005,$W4001)=0),N(U4000)+1,N(U4000))</f>
        <v/>
      </c>
      <c r="V4001" s="19">
        <f>IF($B4001="","",TEXT($B4001,"0000"))</f>
        <v/>
      </c>
      <c r="W4001" s="19">
        <f>IF($I4001="","",IF(ISNUMBER($I4001),TEXT($I4001,"0"),$I4001))</f>
        <v/>
      </c>
    </row>
    <row r="4002">
      <c r="B4002" s="25" t="n"/>
      <c r="I4002" s="25" t="n"/>
      <c r="U4002" s="19">
        <f>IF(AND($V4002='設定'!$C$4,COUNTIF('商品マスタ'!$B$6:$B$1005,$W4002)=0),N(U4001)+1,N(U4001))</f>
        <v/>
      </c>
      <c r="V4002" s="19">
        <f>IF($B4002="","",TEXT($B4002,"0000"))</f>
        <v/>
      </c>
      <c r="W4002" s="19">
        <f>IF($I4002="","",IF(ISNUMBER($I4002),TEXT($I4002,"0"),$I4002))</f>
        <v/>
      </c>
    </row>
    <row r="4003">
      <c r="B4003" s="25" t="n"/>
      <c r="I4003" s="25" t="n"/>
      <c r="U4003" s="19">
        <f>IF(AND($V4003='設定'!$C$4,COUNTIF('商品マスタ'!$B$6:$B$1005,$W4003)=0),N(U4002)+1,N(U4002))</f>
        <v/>
      </c>
      <c r="V4003" s="19">
        <f>IF($B4003="","",TEXT($B4003,"0000"))</f>
        <v/>
      </c>
      <c r="W4003" s="19">
        <f>IF($I4003="","",IF(ISNUMBER($I4003),TEXT($I4003,"0"),$I4003))</f>
        <v/>
      </c>
    </row>
    <row r="4004">
      <c r="B4004" s="25" t="n"/>
      <c r="I4004" s="25" t="n"/>
      <c r="U4004" s="19">
        <f>IF(AND($V4004='設定'!$C$4,COUNTIF('商品マスタ'!$B$6:$B$1005,$W4004)=0),N(U4003)+1,N(U4003))</f>
        <v/>
      </c>
      <c r="V4004" s="19">
        <f>IF($B4004="","",TEXT($B4004,"0000"))</f>
        <v/>
      </c>
      <c r="W4004" s="19">
        <f>IF($I4004="","",IF(ISNUMBER($I4004),TEXT($I4004,"0"),$I4004))</f>
        <v/>
      </c>
    </row>
    <row r="4005">
      <c r="B4005" s="25" t="n"/>
      <c r="I4005" s="25" t="n"/>
      <c r="U4005" s="19">
        <f>IF(AND($V4005='設定'!$C$4,COUNTIF('商品マスタ'!$B$6:$B$1005,$W4005)=0),N(U4004)+1,N(U4004))</f>
        <v/>
      </c>
      <c r="V4005" s="19">
        <f>IF($B4005="","",TEXT($B4005,"0000"))</f>
        <v/>
      </c>
      <c r="W4005" s="19">
        <f>IF($I4005="","",IF(ISNUMBER($I4005),TEXT($I4005,"0"),$I4005))</f>
        <v/>
      </c>
    </row>
    <row r="4006">
      <c r="B4006" s="25" t="n"/>
      <c r="I4006" s="25" t="n"/>
      <c r="U4006" s="19">
        <f>IF(AND($V4006='設定'!$C$4,COUNTIF('商品マスタ'!$B$6:$B$1005,$W4006)=0),N(U4005)+1,N(U4005))</f>
        <v/>
      </c>
      <c r="V4006" s="19">
        <f>IF($B4006="","",TEXT($B4006,"0000"))</f>
        <v/>
      </c>
      <c r="W4006" s="19">
        <f>IF($I4006="","",IF(ISNUMBER($I4006),TEXT($I4006,"0"),$I4006))</f>
        <v/>
      </c>
    </row>
    <row r="4007">
      <c r="B4007" s="25" t="n"/>
      <c r="I4007" s="25" t="n"/>
      <c r="U4007" s="19">
        <f>IF(AND($V4007='設定'!$C$4,COUNTIF('商品マスタ'!$B$6:$B$1005,$W4007)=0),N(U4006)+1,N(U4006))</f>
        <v/>
      </c>
      <c r="V4007" s="19">
        <f>IF($B4007="","",TEXT($B4007,"0000"))</f>
        <v/>
      </c>
      <c r="W4007" s="19">
        <f>IF($I4007="","",IF(ISNUMBER($I4007),TEXT($I4007,"0"),$I4007))</f>
        <v/>
      </c>
    </row>
    <row r="4008">
      <c r="B4008" s="25" t="n"/>
      <c r="I4008" s="25" t="n"/>
      <c r="U4008" s="19">
        <f>IF(AND($V4008='設定'!$C$4,COUNTIF('商品マスタ'!$B$6:$B$1005,$W4008)=0),N(U4007)+1,N(U4007))</f>
        <v/>
      </c>
      <c r="V4008" s="19">
        <f>IF($B4008="","",TEXT($B4008,"0000"))</f>
        <v/>
      </c>
      <c r="W4008" s="19">
        <f>IF($I4008="","",IF(ISNUMBER($I4008),TEXT($I4008,"0"),$I4008))</f>
        <v/>
      </c>
    </row>
    <row r="4009">
      <c r="B4009" s="25" t="n"/>
      <c r="I4009" s="25" t="n"/>
      <c r="U4009" s="19">
        <f>IF(AND($V4009='設定'!$C$4,COUNTIF('商品マスタ'!$B$6:$B$1005,$W4009)=0),N(U4008)+1,N(U4008))</f>
        <v/>
      </c>
      <c r="V4009" s="19">
        <f>IF($B4009="","",TEXT($B4009,"0000"))</f>
        <v/>
      </c>
      <c r="W4009" s="19">
        <f>IF($I4009="","",IF(ISNUMBER($I4009),TEXT($I4009,"0"),$I4009))</f>
        <v/>
      </c>
    </row>
    <row r="4010">
      <c r="B4010" s="25" t="n"/>
      <c r="I4010" s="25" t="n"/>
      <c r="U4010" s="19">
        <f>IF(AND($V4010='設定'!$C$4,COUNTIF('商品マスタ'!$B$6:$B$1005,$W4010)=0),N(U4009)+1,N(U4009))</f>
        <v/>
      </c>
      <c r="V4010" s="19">
        <f>IF($B4010="","",TEXT($B4010,"0000"))</f>
        <v/>
      </c>
      <c r="W4010" s="19">
        <f>IF($I4010="","",IF(ISNUMBER($I4010),TEXT($I4010,"0"),$I4010))</f>
        <v/>
      </c>
    </row>
    <row r="4011">
      <c r="B4011" s="25" t="n"/>
      <c r="I4011" s="25" t="n"/>
      <c r="U4011" s="19">
        <f>IF(AND($V4011='設定'!$C$4,COUNTIF('商品マスタ'!$B$6:$B$1005,$W4011)=0),N(U4010)+1,N(U4010))</f>
        <v/>
      </c>
      <c r="V4011" s="19">
        <f>IF($B4011="","",TEXT($B4011,"0000"))</f>
        <v/>
      </c>
      <c r="W4011" s="19">
        <f>IF($I4011="","",IF(ISNUMBER($I4011),TEXT($I4011,"0"),$I4011))</f>
        <v/>
      </c>
    </row>
    <row r="4012">
      <c r="B4012" s="25" t="n"/>
      <c r="I4012" s="25" t="n"/>
      <c r="U4012" s="19">
        <f>IF(AND($V4012='設定'!$C$4,COUNTIF('商品マスタ'!$B$6:$B$1005,$W4012)=0),N(U4011)+1,N(U4011))</f>
        <v/>
      </c>
      <c r="V4012" s="19">
        <f>IF($B4012="","",TEXT($B4012,"0000"))</f>
        <v/>
      </c>
      <c r="W4012" s="19">
        <f>IF($I4012="","",IF(ISNUMBER($I4012),TEXT($I4012,"0"),$I4012))</f>
        <v/>
      </c>
    </row>
    <row r="4013">
      <c r="B4013" s="25" t="n"/>
      <c r="I4013" s="25" t="n"/>
      <c r="U4013" s="19">
        <f>IF(AND($V4013='設定'!$C$4,COUNTIF('商品マスタ'!$B$6:$B$1005,$W4013)=0),N(U4012)+1,N(U4012))</f>
        <v/>
      </c>
      <c r="V4013" s="19">
        <f>IF($B4013="","",TEXT($B4013,"0000"))</f>
        <v/>
      </c>
      <c r="W4013" s="19">
        <f>IF($I4013="","",IF(ISNUMBER($I4013),TEXT($I4013,"0"),$I4013))</f>
        <v/>
      </c>
    </row>
    <row r="4014">
      <c r="B4014" s="25" t="n"/>
      <c r="I4014" s="25" t="n"/>
      <c r="U4014" s="19">
        <f>IF(AND($V4014='設定'!$C$4,COUNTIF('商品マスタ'!$B$6:$B$1005,$W4014)=0),N(U4013)+1,N(U4013))</f>
        <v/>
      </c>
      <c r="V4014" s="19">
        <f>IF($B4014="","",TEXT($B4014,"0000"))</f>
        <v/>
      </c>
      <c r="W4014" s="19">
        <f>IF($I4014="","",IF(ISNUMBER($I4014),TEXT($I4014,"0"),$I4014))</f>
        <v/>
      </c>
    </row>
    <row r="4015">
      <c r="B4015" s="25" t="n"/>
      <c r="I4015" s="25" t="n"/>
      <c r="U4015" s="19">
        <f>IF(AND($V4015='設定'!$C$4,COUNTIF('商品マスタ'!$B$6:$B$1005,$W4015)=0),N(U4014)+1,N(U4014))</f>
        <v/>
      </c>
      <c r="V4015" s="19">
        <f>IF($B4015="","",TEXT($B4015,"0000"))</f>
        <v/>
      </c>
      <c r="W4015" s="19">
        <f>IF($I4015="","",IF(ISNUMBER($I4015),TEXT($I4015,"0"),$I4015))</f>
        <v/>
      </c>
    </row>
    <row r="4016">
      <c r="B4016" s="25" t="n"/>
      <c r="I4016" s="25" t="n"/>
      <c r="U4016" s="19">
        <f>IF(AND($V4016='設定'!$C$4,COUNTIF('商品マスタ'!$B$6:$B$1005,$W4016)=0),N(U4015)+1,N(U4015))</f>
        <v/>
      </c>
      <c r="V4016" s="19">
        <f>IF($B4016="","",TEXT($B4016,"0000"))</f>
        <v/>
      </c>
      <c r="W4016" s="19">
        <f>IF($I4016="","",IF(ISNUMBER($I4016),TEXT($I4016,"0"),$I4016))</f>
        <v/>
      </c>
    </row>
    <row r="4017">
      <c r="B4017" s="25" t="n"/>
      <c r="I4017" s="25" t="n"/>
      <c r="U4017" s="19">
        <f>IF(AND($V4017='設定'!$C$4,COUNTIF('商品マスタ'!$B$6:$B$1005,$W4017)=0),N(U4016)+1,N(U4016))</f>
        <v/>
      </c>
      <c r="V4017" s="19">
        <f>IF($B4017="","",TEXT($B4017,"0000"))</f>
        <v/>
      </c>
      <c r="W4017" s="19">
        <f>IF($I4017="","",IF(ISNUMBER($I4017),TEXT($I4017,"0"),$I4017))</f>
        <v/>
      </c>
    </row>
    <row r="4018">
      <c r="B4018" s="25" t="n"/>
      <c r="I4018" s="25" t="n"/>
      <c r="U4018" s="19">
        <f>IF(AND($V4018='設定'!$C$4,COUNTIF('商品マスタ'!$B$6:$B$1005,$W4018)=0),N(U4017)+1,N(U4017))</f>
        <v/>
      </c>
      <c r="V4018" s="19">
        <f>IF($B4018="","",TEXT($B4018,"0000"))</f>
        <v/>
      </c>
      <c r="W4018" s="19">
        <f>IF($I4018="","",IF(ISNUMBER($I4018),TEXT($I4018,"0"),$I4018))</f>
        <v/>
      </c>
    </row>
    <row r="4019">
      <c r="B4019" s="25" t="n"/>
      <c r="I4019" s="25" t="n"/>
      <c r="U4019" s="19">
        <f>IF(AND($V4019='設定'!$C$4,COUNTIF('商品マスタ'!$B$6:$B$1005,$W4019)=0),N(U4018)+1,N(U4018))</f>
        <v/>
      </c>
      <c r="V4019" s="19">
        <f>IF($B4019="","",TEXT($B4019,"0000"))</f>
        <v/>
      </c>
      <c r="W4019" s="19">
        <f>IF($I4019="","",IF(ISNUMBER($I4019),TEXT($I4019,"0"),$I4019))</f>
        <v/>
      </c>
    </row>
    <row r="4020">
      <c r="B4020" s="25" t="n"/>
      <c r="I4020" s="25" t="n"/>
      <c r="U4020" s="19">
        <f>IF(AND($V4020='設定'!$C$4,COUNTIF('商品マスタ'!$B$6:$B$1005,$W4020)=0),N(U4019)+1,N(U4019))</f>
        <v/>
      </c>
      <c r="V4020" s="19">
        <f>IF($B4020="","",TEXT($B4020,"0000"))</f>
        <v/>
      </c>
      <c r="W4020" s="19">
        <f>IF($I4020="","",IF(ISNUMBER($I4020),TEXT($I4020,"0"),$I4020))</f>
        <v/>
      </c>
    </row>
    <row r="4021">
      <c r="B4021" s="25" t="n"/>
      <c r="I4021" s="25" t="n"/>
      <c r="U4021" s="19">
        <f>IF(AND($V4021='設定'!$C$4,COUNTIF('商品マスタ'!$B$6:$B$1005,$W4021)=0),N(U4020)+1,N(U4020))</f>
        <v/>
      </c>
      <c r="V4021" s="19">
        <f>IF($B4021="","",TEXT($B4021,"0000"))</f>
        <v/>
      </c>
      <c r="W4021" s="19">
        <f>IF($I4021="","",IF(ISNUMBER($I4021),TEXT($I4021,"0"),$I4021))</f>
        <v/>
      </c>
    </row>
    <row r="4022">
      <c r="B4022" s="25" t="n"/>
      <c r="I4022" s="25" t="n"/>
      <c r="U4022" s="19">
        <f>IF(AND($V4022='設定'!$C$4,COUNTIF('商品マスタ'!$B$6:$B$1005,$W4022)=0),N(U4021)+1,N(U4021))</f>
        <v/>
      </c>
      <c r="V4022" s="19">
        <f>IF($B4022="","",TEXT($B4022,"0000"))</f>
        <v/>
      </c>
      <c r="W4022" s="19">
        <f>IF($I4022="","",IF(ISNUMBER($I4022),TEXT($I4022,"0"),$I4022))</f>
        <v/>
      </c>
    </row>
    <row r="4023">
      <c r="B4023" s="25" t="n"/>
      <c r="I4023" s="25" t="n"/>
      <c r="U4023" s="19">
        <f>IF(AND($V4023='設定'!$C$4,COUNTIF('商品マスタ'!$B$6:$B$1005,$W4023)=0),N(U4022)+1,N(U4022))</f>
        <v/>
      </c>
      <c r="V4023" s="19">
        <f>IF($B4023="","",TEXT($B4023,"0000"))</f>
        <v/>
      </c>
      <c r="W4023" s="19">
        <f>IF($I4023="","",IF(ISNUMBER($I4023),TEXT($I4023,"0"),$I4023))</f>
        <v/>
      </c>
    </row>
    <row r="4024">
      <c r="B4024" s="25" t="n"/>
      <c r="I4024" s="25" t="n"/>
      <c r="U4024" s="19">
        <f>IF(AND($V4024='設定'!$C$4,COUNTIF('商品マスタ'!$B$6:$B$1005,$W4024)=0),N(U4023)+1,N(U4023))</f>
        <v/>
      </c>
      <c r="V4024" s="19">
        <f>IF($B4024="","",TEXT($B4024,"0000"))</f>
        <v/>
      </c>
      <c r="W4024" s="19">
        <f>IF($I4024="","",IF(ISNUMBER($I4024),TEXT($I4024,"0"),$I4024))</f>
        <v/>
      </c>
    </row>
    <row r="4025">
      <c r="B4025" s="25" t="n"/>
      <c r="I4025" s="25" t="n"/>
      <c r="U4025" s="19">
        <f>IF(AND($V4025='設定'!$C$4,COUNTIF('商品マスタ'!$B$6:$B$1005,$W4025)=0),N(U4024)+1,N(U4024))</f>
        <v/>
      </c>
      <c r="V4025" s="19">
        <f>IF($B4025="","",TEXT($B4025,"0000"))</f>
        <v/>
      </c>
      <c r="W4025" s="19">
        <f>IF($I4025="","",IF(ISNUMBER($I4025),TEXT($I4025,"0"),$I4025))</f>
        <v/>
      </c>
    </row>
    <row r="4026">
      <c r="B4026" s="25" t="n"/>
      <c r="I4026" s="25" t="n"/>
      <c r="U4026" s="19">
        <f>IF(AND($V4026='設定'!$C$4,COUNTIF('商品マスタ'!$B$6:$B$1005,$W4026)=0),N(U4025)+1,N(U4025))</f>
        <v/>
      </c>
      <c r="V4026" s="19">
        <f>IF($B4026="","",TEXT($B4026,"0000"))</f>
        <v/>
      </c>
      <c r="W4026" s="19">
        <f>IF($I4026="","",IF(ISNUMBER($I4026),TEXT($I4026,"0"),$I4026))</f>
        <v/>
      </c>
    </row>
    <row r="4027">
      <c r="B4027" s="25" t="n"/>
      <c r="I4027" s="25" t="n"/>
      <c r="U4027" s="19">
        <f>IF(AND($V4027='設定'!$C$4,COUNTIF('商品マスタ'!$B$6:$B$1005,$W4027)=0),N(U4026)+1,N(U4026))</f>
        <v/>
      </c>
      <c r="V4027" s="19">
        <f>IF($B4027="","",TEXT($B4027,"0000"))</f>
        <v/>
      </c>
      <c r="W4027" s="19">
        <f>IF($I4027="","",IF(ISNUMBER($I4027),TEXT($I4027,"0"),$I4027))</f>
        <v/>
      </c>
    </row>
    <row r="4028">
      <c r="B4028" s="25" t="n"/>
      <c r="I4028" s="25" t="n"/>
      <c r="U4028" s="19">
        <f>IF(AND($V4028='設定'!$C$4,COUNTIF('商品マスタ'!$B$6:$B$1005,$W4028)=0),N(U4027)+1,N(U4027))</f>
        <v/>
      </c>
      <c r="V4028" s="19">
        <f>IF($B4028="","",TEXT($B4028,"0000"))</f>
        <v/>
      </c>
      <c r="W4028" s="19">
        <f>IF($I4028="","",IF(ISNUMBER($I4028),TEXT($I4028,"0"),$I4028))</f>
        <v/>
      </c>
    </row>
    <row r="4029">
      <c r="B4029" s="25" t="n"/>
      <c r="I4029" s="25" t="n"/>
      <c r="U4029" s="19">
        <f>IF(AND($V4029='設定'!$C$4,COUNTIF('商品マスタ'!$B$6:$B$1005,$W4029)=0),N(U4028)+1,N(U4028))</f>
        <v/>
      </c>
      <c r="V4029" s="19">
        <f>IF($B4029="","",TEXT($B4029,"0000"))</f>
        <v/>
      </c>
      <c r="W4029" s="19">
        <f>IF($I4029="","",IF(ISNUMBER($I4029),TEXT($I4029,"0"),$I4029))</f>
        <v/>
      </c>
    </row>
    <row r="4030">
      <c r="B4030" s="25" t="n"/>
      <c r="I4030" s="25" t="n"/>
      <c r="U4030" s="19">
        <f>IF(AND($V4030='設定'!$C$4,COUNTIF('商品マスタ'!$B$6:$B$1005,$W4030)=0),N(U4029)+1,N(U4029))</f>
        <v/>
      </c>
      <c r="V4030" s="19">
        <f>IF($B4030="","",TEXT($B4030,"0000"))</f>
        <v/>
      </c>
      <c r="W4030" s="19">
        <f>IF($I4030="","",IF(ISNUMBER($I4030),TEXT($I4030,"0"),$I4030))</f>
        <v/>
      </c>
    </row>
    <row r="4031">
      <c r="B4031" s="25" t="n"/>
      <c r="I4031" s="25" t="n"/>
      <c r="U4031" s="19">
        <f>IF(AND($V4031='設定'!$C$4,COUNTIF('商品マスタ'!$B$6:$B$1005,$W4031)=0),N(U4030)+1,N(U4030))</f>
        <v/>
      </c>
      <c r="V4031" s="19">
        <f>IF($B4031="","",TEXT($B4031,"0000"))</f>
        <v/>
      </c>
      <c r="W4031" s="19">
        <f>IF($I4031="","",IF(ISNUMBER($I4031),TEXT($I4031,"0"),$I4031))</f>
        <v/>
      </c>
    </row>
    <row r="4032">
      <c r="B4032" s="25" t="n"/>
      <c r="I4032" s="25" t="n"/>
      <c r="U4032" s="19">
        <f>IF(AND($V4032='設定'!$C$4,COUNTIF('商品マスタ'!$B$6:$B$1005,$W4032)=0),N(U4031)+1,N(U4031))</f>
        <v/>
      </c>
      <c r="V4032" s="19">
        <f>IF($B4032="","",TEXT($B4032,"0000"))</f>
        <v/>
      </c>
      <c r="W4032" s="19">
        <f>IF($I4032="","",IF(ISNUMBER($I4032),TEXT($I4032,"0"),$I4032))</f>
        <v/>
      </c>
    </row>
    <row r="4033">
      <c r="B4033" s="25" t="n"/>
      <c r="I4033" s="25" t="n"/>
      <c r="U4033" s="19">
        <f>IF(AND($V4033='設定'!$C$4,COUNTIF('商品マスタ'!$B$6:$B$1005,$W4033)=0),N(U4032)+1,N(U4032))</f>
        <v/>
      </c>
      <c r="V4033" s="19">
        <f>IF($B4033="","",TEXT($B4033,"0000"))</f>
        <v/>
      </c>
      <c r="W4033" s="19">
        <f>IF($I4033="","",IF(ISNUMBER($I4033),TEXT($I4033,"0"),$I4033))</f>
        <v/>
      </c>
    </row>
    <row r="4034">
      <c r="B4034" s="25" t="n"/>
      <c r="I4034" s="25" t="n"/>
      <c r="U4034" s="19">
        <f>IF(AND($V4034='設定'!$C$4,COUNTIF('商品マスタ'!$B$6:$B$1005,$W4034)=0),N(U4033)+1,N(U4033))</f>
        <v/>
      </c>
      <c r="V4034" s="19">
        <f>IF($B4034="","",TEXT($B4034,"0000"))</f>
        <v/>
      </c>
      <c r="W4034" s="19">
        <f>IF($I4034="","",IF(ISNUMBER($I4034),TEXT($I4034,"0"),$I4034))</f>
        <v/>
      </c>
    </row>
    <row r="4035">
      <c r="B4035" s="25" t="n"/>
      <c r="I4035" s="25" t="n"/>
      <c r="U4035" s="19">
        <f>IF(AND($V4035='設定'!$C$4,COUNTIF('商品マスタ'!$B$6:$B$1005,$W4035)=0),N(U4034)+1,N(U4034))</f>
        <v/>
      </c>
      <c r="V4035" s="19">
        <f>IF($B4035="","",TEXT($B4035,"0000"))</f>
        <v/>
      </c>
      <c r="W4035" s="19">
        <f>IF($I4035="","",IF(ISNUMBER($I4035),TEXT($I4035,"0"),$I4035))</f>
        <v/>
      </c>
    </row>
    <row r="4036">
      <c r="B4036" s="25" t="n"/>
      <c r="I4036" s="25" t="n"/>
      <c r="U4036" s="19">
        <f>IF(AND($V4036='設定'!$C$4,COUNTIF('商品マスタ'!$B$6:$B$1005,$W4036)=0),N(U4035)+1,N(U4035))</f>
        <v/>
      </c>
      <c r="V4036" s="19">
        <f>IF($B4036="","",TEXT($B4036,"0000"))</f>
        <v/>
      </c>
      <c r="W4036" s="19">
        <f>IF($I4036="","",IF(ISNUMBER($I4036),TEXT($I4036,"0"),$I4036))</f>
        <v/>
      </c>
    </row>
    <row r="4037">
      <c r="B4037" s="25" t="n"/>
      <c r="I4037" s="25" t="n"/>
      <c r="U4037" s="19">
        <f>IF(AND($V4037='設定'!$C$4,COUNTIF('商品マスタ'!$B$6:$B$1005,$W4037)=0),N(U4036)+1,N(U4036))</f>
        <v/>
      </c>
      <c r="V4037" s="19">
        <f>IF($B4037="","",TEXT($B4037,"0000"))</f>
        <v/>
      </c>
      <c r="W4037" s="19">
        <f>IF($I4037="","",IF(ISNUMBER($I4037),TEXT($I4037,"0"),$I4037))</f>
        <v/>
      </c>
    </row>
    <row r="4038">
      <c r="B4038" s="25" t="n"/>
      <c r="I4038" s="25" t="n"/>
      <c r="U4038" s="19">
        <f>IF(AND($V4038='設定'!$C$4,COUNTIF('商品マスタ'!$B$6:$B$1005,$W4038)=0),N(U4037)+1,N(U4037))</f>
        <v/>
      </c>
      <c r="V4038" s="19">
        <f>IF($B4038="","",TEXT($B4038,"0000"))</f>
        <v/>
      </c>
      <c r="W4038" s="19">
        <f>IF($I4038="","",IF(ISNUMBER($I4038),TEXT($I4038,"0"),$I4038))</f>
        <v/>
      </c>
    </row>
    <row r="4039">
      <c r="B4039" s="25" t="n"/>
      <c r="I4039" s="25" t="n"/>
      <c r="U4039" s="19">
        <f>IF(AND($V4039='設定'!$C$4,COUNTIF('商品マスタ'!$B$6:$B$1005,$W4039)=0),N(U4038)+1,N(U4038))</f>
        <v/>
      </c>
      <c r="V4039" s="19">
        <f>IF($B4039="","",TEXT($B4039,"0000"))</f>
        <v/>
      </c>
      <c r="W4039" s="19">
        <f>IF($I4039="","",IF(ISNUMBER($I4039),TEXT($I4039,"0"),$I4039))</f>
        <v/>
      </c>
    </row>
    <row r="4040">
      <c r="B4040" s="25" t="n"/>
      <c r="I4040" s="25" t="n"/>
      <c r="U4040" s="19">
        <f>IF(AND($V4040='設定'!$C$4,COUNTIF('商品マスタ'!$B$6:$B$1005,$W4040)=0),N(U4039)+1,N(U4039))</f>
        <v/>
      </c>
      <c r="V4040" s="19">
        <f>IF($B4040="","",TEXT($B4040,"0000"))</f>
        <v/>
      </c>
      <c r="W4040" s="19">
        <f>IF($I4040="","",IF(ISNUMBER($I4040),TEXT($I4040,"0"),$I4040))</f>
        <v/>
      </c>
    </row>
    <row r="4041">
      <c r="B4041" s="25" t="n"/>
      <c r="I4041" s="25" t="n"/>
      <c r="U4041" s="19">
        <f>IF(AND($V4041='設定'!$C$4,COUNTIF('商品マスタ'!$B$6:$B$1005,$W4041)=0),N(U4040)+1,N(U4040))</f>
        <v/>
      </c>
      <c r="V4041" s="19">
        <f>IF($B4041="","",TEXT($B4041,"0000"))</f>
        <v/>
      </c>
      <c r="W4041" s="19">
        <f>IF($I4041="","",IF(ISNUMBER($I4041),TEXT($I4041,"0"),$I4041))</f>
        <v/>
      </c>
    </row>
    <row r="4042">
      <c r="B4042" s="25" t="n"/>
      <c r="I4042" s="25" t="n"/>
      <c r="U4042" s="19">
        <f>IF(AND($V4042='設定'!$C$4,COUNTIF('商品マスタ'!$B$6:$B$1005,$W4042)=0),N(U4041)+1,N(U4041))</f>
        <v/>
      </c>
      <c r="V4042" s="19">
        <f>IF($B4042="","",TEXT($B4042,"0000"))</f>
        <v/>
      </c>
      <c r="W4042" s="19">
        <f>IF($I4042="","",IF(ISNUMBER($I4042),TEXT($I4042,"0"),$I4042))</f>
        <v/>
      </c>
    </row>
    <row r="4043">
      <c r="B4043" s="25" t="n"/>
      <c r="I4043" s="25" t="n"/>
      <c r="U4043" s="19">
        <f>IF(AND($V4043='設定'!$C$4,COUNTIF('商品マスタ'!$B$6:$B$1005,$W4043)=0),N(U4042)+1,N(U4042))</f>
        <v/>
      </c>
      <c r="V4043" s="19">
        <f>IF($B4043="","",TEXT($B4043,"0000"))</f>
        <v/>
      </c>
      <c r="W4043" s="19">
        <f>IF($I4043="","",IF(ISNUMBER($I4043),TEXT($I4043,"0"),$I4043))</f>
        <v/>
      </c>
    </row>
    <row r="4044">
      <c r="B4044" s="25" t="n"/>
      <c r="I4044" s="25" t="n"/>
      <c r="U4044" s="19">
        <f>IF(AND($V4044='設定'!$C$4,COUNTIF('商品マスタ'!$B$6:$B$1005,$W4044)=0),N(U4043)+1,N(U4043))</f>
        <v/>
      </c>
      <c r="V4044" s="19">
        <f>IF($B4044="","",TEXT($B4044,"0000"))</f>
        <v/>
      </c>
      <c r="W4044" s="19">
        <f>IF($I4044="","",IF(ISNUMBER($I4044),TEXT($I4044,"0"),$I4044))</f>
        <v/>
      </c>
    </row>
    <row r="4045">
      <c r="B4045" s="25" t="n"/>
      <c r="I4045" s="25" t="n"/>
      <c r="U4045" s="19">
        <f>IF(AND($V4045='設定'!$C$4,COUNTIF('商品マスタ'!$B$6:$B$1005,$W4045)=0),N(U4044)+1,N(U4044))</f>
        <v/>
      </c>
      <c r="V4045" s="19">
        <f>IF($B4045="","",TEXT($B4045,"0000"))</f>
        <v/>
      </c>
      <c r="W4045" s="19">
        <f>IF($I4045="","",IF(ISNUMBER($I4045),TEXT($I4045,"0"),$I4045))</f>
        <v/>
      </c>
    </row>
    <row r="4046">
      <c r="B4046" s="25" t="n"/>
      <c r="I4046" s="25" t="n"/>
      <c r="U4046" s="19">
        <f>IF(AND($V4046='設定'!$C$4,COUNTIF('商品マスタ'!$B$6:$B$1005,$W4046)=0),N(U4045)+1,N(U4045))</f>
        <v/>
      </c>
      <c r="V4046" s="19">
        <f>IF($B4046="","",TEXT($B4046,"0000"))</f>
        <v/>
      </c>
      <c r="W4046" s="19">
        <f>IF($I4046="","",IF(ISNUMBER($I4046),TEXT($I4046,"0"),$I4046))</f>
        <v/>
      </c>
    </row>
    <row r="4047">
      <c r="B4047" s="25" t="n"/>
      <c r="I4047" s="25" t="n"/>
      <c r="U4047" s="19">
        <f>IF(AND($V4047='設定'!$C$4,COUNTIF('商品マスタ'!$B$6:$B$1005,$W4047)=0),N(U4046)+1,N(U4046))</f>
        <v/>
      </c>
      <c r="V4047" s="19">
        <f>IF($B4047="","",TEXT($B4047,"0000"))</f>
        <v/>
      </c>
      <c r="W4047" s="19">
        <f>IF($I4047="","",IF(ISNUMBER($I4047),TEXT($I4047,"0"),$I4047))</f>
        <v/>
      </c>
    </row>
    <row r="4048">
      <c r="B4048" s="25" t="n"/>
      <c r="I4048" s="25" t="n"/>
      <c r="U4048" s="19">
        <f>IF(AND($V4048='設定'!$C$4,COUNTIF('商品マスタ'!$B$6:$B$1005,$W4048)=0),N(U4047)+1,N(U4047))</f>
        <v/>
      </c>
      <c r="V4048" s="19">
        <f>IF($B4048="","",TEXT($B4048,"0000"))</f>
        <v/>
      </c>
      <c r="W4048" s="19">
        <f>IF($I4048="","",IF(ISNUMBER($I4048),TEXT($I4048,"0"),$I4048))</f>
        <v/>
      </c>
    </row>
    <row r="4049">
      <c r="B4049" s="25" t="n"/>
      <c r="I4049" s="25" t="n"/>
      <c r="U4049" s="19">
        <f>IF(AND($V4049='設定'!$C$4,COUNTIF('商品マスタ'!$B$6:$B$1005,$W4049)=0),N(U4048)+1,N(U4048))</f>
        <v/>
      </c>
      <c r="V4049" s="19">
        <f>IF($B4049="","",TEXT($B4049,"0000"))</f>
        <v/>
      </c>
      <c r="W4049" s="19">
        <f>IF($I4049="","",IF(ISNUMBER($I4049),TEXT($I4049,"0"),$I4049))</f>
        <v/>
      </c>
    </row>
    <row r="4050">
      <c r="B4050" s="25" t="n"/>
      <c r="I4050" s="25" t="n"/>
      <c r="U4050" s="19">
        <f>IF(AND($V4050='設定'!$C$4,COUNTIF('商品マスタ'!$B$6:$B$1005,$W4050)=0),N(U4049)+1,N(U4049))</f>
        <v/>
      </c>
      <c r="V4050" s="19">
        <f>IF($B4050="","",TEXT($B4050,"0000"))</f>
        <v/>
      </c>
      <c r="W4050" s="19">
        <f>IF($I4050="","",IF(ISNUMBER($I4050),TEXT($I4050,"0"),$I4050))</f>
        <v/>
      </c>
    </row>
    <row r="4051">
      <c r="B4051" s="25" t="n"/>
      <c r="I4051" s="25" t="n"/>
      <c r="U4051" s="19">
        <f>IF(AND($V4051='設定'!$C$4,COUNTIF('商品マスタ'!$B$6:$B$1005,$W4051)=0),N(U4050)+1,N(U4050))</f>
        <v/>
      </c>
      <c r="V4051" s="19">
        <f>IF($B4051="","",TEXT($B4051,"0000"))</f>
        <v/>
      </c>
      <c r="W4051" s="19">
        <f>IF($I4051="","",IF(ISNUMBER($I4051),TEXT($I4051,"0"),$I4051))</f>
        <v/>
      </c>
    </row>
    <row r="4052">
      <c r="B4052" s="25" t="n"/>
      <c r="I4052" s="25" t="n"/>
      <c r="U4052" s="19">
        <f>IF(AND($V4052='設定'!$C$4,COUNTIF('商品マスタ'!$B$6:$B$1005,$W4052)=0),N(U4051)+1,N(U4051))</f>
        <v/>
      </c>
      <c r="V4052" s="19">
        <f>IF($B4052="","",TEXT($B4052,"0000"))</f>
        <v/>
      </c>
      <c r="W4052" s="19">
        <f>IF($I4052="","",IF(ISNUMBER($I4052),TEXT($I4052,"0"),$I4052))</f>
        <v/>
      </c>
    </row>
    <row r="4053">
      <c r="B4053" s="25" t="n"/>
      <c r="I4053" s="25" t="n"/>
      <c r="U4053" s="19">
        <f>IF(AND($V4053='設定'!$C$4,COUNTIF('商品マスタ'!$B$6:$B$1005,$W4053)=0),N(U4052)+1,N(U4052))</f>
        <v/>
      </c>
      <c r="V4053" s="19">
        <f>IF($B4053="","",TEXT($B4053,"0000"))</f>
        <v/>
      </c>
      <c r="W4053" s="19">
        <f>IF($I4053="","",IF(ISNUMBER($I4053),TEXT($I4053,"0"),$I4053))</f>
        <v/>
      </c>
    </row>
    <row r="4054">
      <c r="B4054" s="25" t="n"/>
      <c r="I4054" s="25" t="n"/>
      <c r="U4054" s="19">
        <f>IF(AND($V4054='設定'!$C$4,COUNTIF('商品マスタ'!$B$6:$B$1005,$W4054)=0),N(U4053)+1,N(U4053))</f>
        <v/>
      </c>
      <c r="V4054" s="19">
        <f>IF($B4054="","",TEXT($B4054,"0000"))</f>
        <v/>
      </c>
      <c r="W4054" s="19">
        <f>IF($I4054="","",IF(ISNUMBER($I4054),TEXT($I4054,"0"),$I4054))</f>
        <v/>
      </c>
    </row>
    <row r="4055">
      <c r="B4055" s="25" t="n"/>
      <c r="I4055" s="25" t="n"/>
      <c r="U4055" s="19">
        <f>IF(AND($V4055='設定'!$C$4,COUNTIF('商品マスタ'!$B$6:$B$1005,$W4055)=0),N(U4054)+1,N(U4054))</f>
        <v/>
      </c>
      <c r="V4055" s="19">
        <f>IF($B4055="","",TEXT($B4055,"0000"))</f>
        <v/>
      </c>
      <c r="W4055" s="19">
        <f>IF($I4055="","",IF(ISNUMBER($I4055),TEXT($I4055,"0"),$I4055))</f>
        <v/>
      </c>
    </row>
    <row r="4056">
      <c r="B4056" s="25" t="n"/>
      <c r="I4056" s="25" t="n"/>
      <c r="U4056" s="19">
        <f>IF(AND($V4056='設定'!$C$4,COUNTIF('商品マスタ'!$B$6:$B$1005,$W4056)=0),N(U4055)+1,N(U4055))</f>
        <v/>
      </c>
      <c r="V4056" s="19">
        <f>IF($B4056="","",TEXT($B4056,"0000"))</f>
        <v/>
      </c>
      <c r="W4056" s="19">
        <f>IF($I4056="","",IF(ISNUMBER($I4056),TEXT($I4056,"0"),$I4056))</f>
        <v/>
      </c>
    </row>
    <row r="4057">
      <c r="B4057" s="25" t="n"/>
      <c r="I4057" s="25" t="n"/>
      <c r="U4057" s="19">
        <f>IF(AND($V4057='設定'!$C$4,COUNTIF('商品マスタ'!$B$6:$B$1005,$W4057)=0),N(U4056)+1,N(U4056))</f>
        <v/>
      </c>
      <c r="V4057" s="19">
        <f>IF($B4057="","",TEXT($B4057,"0000"))</f>
        <v/>
      </c>
      <c r="W4057" s="19">
        <f>IF($I4057="","",IF(ISNUMBER($I4057),TEXT($I4057,"0"),$I4057))</f>
        <v/>
      </c>
    </row>
    <row r="4058">
      <c r="B4058" s="25" t="n"/>
      <c r="I4058" s="25" t="n"/>
      <c r="U4058" s="19">
        <f>IF(AND($V4058='設定'!$C$4,COUNTIF('商品マスタ'!$B$6:$B$1005,$W4058)=0),N(U4057)+1,N(U4057))</f>
        <v/>
      </c>
      <c r="V4058" s="19">
        <f>IF($B4058="","",TEXT($B4058,"0000"))</f>
        <v/>
      </c>
      <c r="W4058" s="19">
        <f>IF($I4058="","",IF(ISNUMBER($I4058),TEXT($I4058,"0"),$I4058))</f>
        <v/>
      </c>
    </row>
    <row r="4059">
      <c r="B4059" s="25" t="n"/>
      <c r="I4059" s="25" t="n"/>
      <c r="U4059" s="19">
        <f>IF(AND($V4059='設定'!$C$4,COUNTIF('商品マスタ'!$B$6:$B$1005,$W4059)=0),N(U4058)+1,N(U4058))</f>
        <v/>
      </c>
      <c r="V4059" s="19">
        <f>IF($B4059="","",TEXT($B4059,"0000"))</f>
        <v/>
      </c>
      <c r="W4059" s="19">
        <f>IF($I4059="","",IF(ISNUMBER($I4059),TEXT($I4059,"0"),$I4059))</f>
        <v/>
      </c>
    </row>
    <row r="4060">
      <c r="B4060" s="25" t="n"/>
      <c r="I4060" s="25" t="n"/>
      <c r="U4060" s="19">
        <f>IF(AND($V4060='設定'!$C$4,COUNTIF('商品マスタ'!$B$6:$B$1005,$W4060)=0),N(U4059)+1,N(U4059))</f>
        <v/>
      </c>
      <c r="V4060" s="19">
        <f>IF($B4060="","",TEXT($B4060,"0000"))</f>
        <v/>
      </c>
      <c r="W4060" s="19">
        <f>IF($I4060="","",IF(ISNUMBER($I4060),TEXT($I4060,"0"),$I4060))</f>
        <v/>
      </c>
    </row>
    <row r="4061">
      <c r="B4061" s="25" t="n"/>
      <c r="I4061" s="25" t="n"/>
      <c r="U4061" s="19">
        <f>IF(AND($V4061='設定'!$C$4,COUNTIF('商品マスタ'!$B$6:$B$1005,$W4061)=0),N(U4060)+1,N(U4060))</f>
        <v/>
      </c>
      <c r="V4061" s="19">
        <f>IF($B4061="","",TEXT($B4061,"0000"))</f>
        <v/>
      </c>
      <c r="W4061" s="19">
        <f>IF($I4061="","",IF(ISNUMBER($I4061),TEXT($I4061,"0"),$I4061))</f>
        <v/>
      </c>
    </row>
    <row r="4062">
      <c r="B4062" s="25" t="n"/>
      <c r="I4062" s="25" t="n"/>
      <c r="U4062" s="19">
        <f>IF(AND($V4062='設定'!$C$4,COUNTIF('商品マスタ'!$B$6:$B$1005,$W4062)=0),N(U4061)+1,N(U4061))</f>
        <v/>
      </c>
      <c r="V4062" s="19">
        <f>IF($B4062="","",TEXT($B4062,"0000"))</f>
        <v/>
      </c>
      <c r="W4062" s="19">
        <f>IF($I4062="","",IF(ISNUMBER($I4062),TEXT($I4062,"0"),$I4062))</f>
        <v/>
      </c>
    </row>
    <row r="4063">
      <c r="B4063" s="25" t="n"/>
      <c r="I4063" s="25" t="n"/>
      <c r="U4063" s="19">
        <f>IF(AND($V4063='設定'!$C$4,COUNTIF('商品マスタ'!$B$6:$B$1005,$W4063)=0),N(U4062)+1,N(U4062))</f>
        <v/>
      </c>
      <c r="V4063" s="19">
        <f>IF($B4063="","",TEXT($B4063,"0000"))</f>
        <v/>
      </c>
      <c r="W4063" s="19">
        <f>IF($I4063="","",IF(ISNUMBER($I4063),TEXT($I4063,"0"),$I4063))</f>
        <v/>
      </c>
    </row>
    <row r="4064">
      <c r="B4064" s="25" t="n"/>
      <c r="I4064" s="25" t="n"/>
      <c r="U4064" s="19">
        <f>IF(AND($V4064='設定'!$C$4,COUNTIF('商品マスタ'!$B$6:$B$1005,$W4064)=0),N(U4063)+1,N(U4063))</f>
        <v/>
      </c>
      <c r="V4064" s="19">
        <f>IF($B4064="","",TEXT($B4064,"0000"))</f>
        <v/>
      </c>
      <c r="W4064" s="19">
        <f>IF($I4064="","",IF(ISNUMBER($I4064),TEXT($I4064,"0"),$I4064))</f>
        <v/>
      </c>
    </row>
    <row r="4065">
      <c r="B4065" s="25" t="n"/>
      <c r="I4065" s="25" t="n"/>
      <c r="U4065" s="19">
        <f>IF(AND($V4065='設定'!$C$4,COUNTIF('商品マスタ'!$B$6:$B$1005,$W4065)=0),N(U4064)+1,N(U4064))</f>
        <v/>
      </c>
      <c r="V4065" s="19">
        <f>IF($B4065="","",TEXT($B4065,"0000"))</f>
        <v/>
      </c>
      <c r="W4065" s="19">
        <f>IF($I4065="","",IF(ISNUMBER($I4065),TEXT($I4065,"0"),$I4065))</f>
        <v/>
      </c>
    </row>
    <row r="4066">
      <c r="B4066" s="25" t="n"/>
      <c r="I4066" s="25" t="n"/>
      <c r="U4066" s="19">
        <f>IF(AND($V4066='設定'!$C$4,COUNTIF('商品マスタ'!$B$6:$B$1005,$W4066)=0),N(U4065)+1,N(U4065))</f>
        <v/>
      </c>
      <c r="V4066" s="19">
        <f>IF($B4066="","",TEXT($B4066,"0000"))</f>
        <v/>
      </c>
      <c r="W4066" s="19">
        <f>IF($I4066="","",IF(ISNUMBER($I4066),TEXT($I4066,"0"),$I4066))</f>
        <v/>
      </c>
    </row>
    <row r="4067">
      <c r="B4067" s="25" t="n"/>
      <c r="I4067" s="25" t="n"/>
      <c r="U4067" s="19">
        <f>IF(AND($V4067='設定'!$C$4,COUNTIF('商品マスタ'!$B$6:$B$1005,$W4067)=0),N(U4066)+1,N(U4066))</f>
        <v/>
      </c>
      <c r="V4067" s="19">
        <f>IF($B4067="","",TEXT($B4067,"0000"))</f>
        <v/>
      </c>
      <c r="W4067" s="19">
        <f>IF($I4067="","",IF(ISNUMBER($I4067),TEXT($I4067,"0"),$I4067))</f>
        <v/>
      </c>
    </row>
    <row r="4068">
      <c r="B4068" s="25" t="n"/>
      <c r="I4068" s="25" t="n"/>
      <c r="U4068" s="19">
        <f>IF(AND($V4068='設定'!$C$4,COUNTIF('商品マスタ'!$B$6:$B$1005,$W4068)=0),N(U4067)+1,N(U4067))</f>
        <v/>
      </c>
      <c r="V4068" s="19">
        <f>IF($B4068="","",TEXT($B4068,"0000"))</f>
        <v/>
      </c>
      <c r="W4068" s="19">
        <f>IF($I4068="","",IF(ISNUMBER($I4068),TEXT($I4068,"0"),$I4068))</f>
        <v/>
      </c>
    </row>
    <row r="4069">
      <c r="B4069" s="25" t="n"/>
      <c r="I4069" s="25" t="n"/>
      <c r="U4069" s="19">
        <f>IF(AND($V4069='設定'!$C$4,COUNTIF('商品マスタ'!$B$6:$B$1005,$W4069)=0),N(U4068)+1,N(U4068))</f>
        <v/>
      </c>
      <c r="V4069" s="19">
        <f>IF($B4069="","",TEXT($B4069,"0000"))</f>
        <v/>
      </c>
      <c r="W4069" s="19">
        <f>IF($I4069="","",IF(ISNUMBER($I4069),TEXT($I4069,"0"),$I4069))</f>
        <v/>
      </c>
    </row>
    <row r="4070">
      <c r="B4070" s="25" t="n"/>
      <c r="I4070" s="25" t="n"/>
      <c r="U4070" s="19">
        <f>IF(AND($V4070='設定'!$C$4,COUNTIF('商品マスタ'!$B$6:$B$1005,$W4070)=0),N(U4069)+1,N(U4069))</f>
        <v/>
      </c>
      <c r="V4070" s="19">
        <f>IF($B4070="","",TEXT($B4070,"0000"))</f>
        <v/>
      </c>
      <c r="W4070" s="19">
        <f>IF($I4070="","",IF(ISNUMBER($I4070),TEXT($I4070,"0"),$I4070))</f>
        <v/>
      </c>
    </row>
    <row r="4071">
      <c r="B4071" s="25" t="n"/>
      <c r="I4071" s="25" t="n"/>
      <c r="U4071" s="19">
        <f>IF(AND($V4071='設定'!$C$4,COUNTIF('商品マスタ'!$B$6:$B$1005,$W4071)=0),N(U4070)+1,N(U4070))</f>
        <v/>
      </c>
      <c r="V4071" s="19">
        <f>IF($B4071="","",TEXT($B4071,"0000"))</f>
        <v/>
      </c>
      <c r="W4071" s="19">
        <f>IF($I4071="","",IF(ISNUMBER($I4071),TEXT($I4071,"0"),$I4071))</f>
        <v/>
      </c>
    </row>
    <row r="4072">
      <c r="B4072" s="25" t="n"/>
      <c r="I4072" s="25" t="n"/>
      <c r="U4072" s="19">
        <f>IF(AND($V4072='設定'!$C$4,COUNTIF('商品マスタ'!$B$6:$B$1005,$W4072)=0),N(U4071)+1,N(U4071))</f>
        <v/>
      </c>
      <c r="V4072" s="19">
        <f>IF($B4072="","",TEXT($B4072,"0000"))</f>
        <v/>
      </c>
      <c r="W4072" s="19">
        <f>IF($I4072="","",IF(ISNUMBER($I4072),TEXT($I4072,"0"),$I4072))</f>
        <v/>
      </c>
    </row>
    <row r="4073">
      <c r="B4073" s="25" t="n"/>
      <c r="I4073" s="25" t="n"/>
      <c r="U4073" s="19">
        <f>IF(AND($V4073='設定'!$C$4,COUNTIF('商品マスタ'!$B$6:$B$1005,$W4073)=0),N(U4072)+1,N(U4072))</f>
        <v/>
      </c>
      <c r="V4073" s="19">
        <f>IF($B4073="","",TEXT($B4073,"0000"))</f>
        <v/>
      </c>
      <c r="W4073" s="19">
        <f>IF($I4073="","",IF(ISNUMBER($I4073),TEXT($I4073,"0"),$I4073))</f>
        <v/>
      </c>
    </row>
    <row r="4074">
      <c r="B4074" s="25" t="n"/>
      <c r="I4074" s="25" t="n"/>
      <c r="U4074" s="19">
        <f>IF(AND($V4074='設定'!$C$4,COUNTIF('商品マスタ'!$B$6:$B$1005,$W4074)=0),N(U4073)+1,N(U4073))</f>
        <v/>
      </c>
      <c r="V4074" s="19">
        <f>IF($B4074="","",TEXT($B4074,"0000"))</f>
        <v/>
      </c>
      <c r="W4074" s="19">
        <f>IF($I4074="","",IF(ISNUMBER($I4074),TEXT($I4074,"0"),$I4074))</f>
        <v/>
      </c>
    </row>
    <row r="4075">
      <c r="B4075" s="25" t="n"/>
      <c r="I4075" s="25" t="n"/>
      <c r="U4075" s="19">
        <f>IF(AND($V4075='設定'!$C$4,COUNTIF('商品マスタ'!$B$6:$B$1005,$W4075)=0),N(U4074)+1,N(U4074))</f>
        <v/>
      </c>
      <c r="V4075" s="19">
        <f>IF($B4075="","",TEXT($B4075,"0000"))</f>
        <v/>
      </c>
      <c r="W4075" s="19">
        <f>IF($I4075="","",IF(ISNUMBER($I4075),TEXT($I4075,"0"),$I4075))</f>
        <v/>
      </c>
    </row>
    <row r="4076">
      <c r="B4076" s="25" t="n"/>
      <c r="I4076" s="25" t="n"/>
      <c r="U4076" s="19">
        <f>IF(AND($V4076='設定'!$C$4,COUNTIF('商品マスタ'!$B$6:$B$1005,$W4076)=0),N(U4075)+1,N(U4075))</f>
        <v/>
      </c>
      <c r="V4076" s="19">
        <f>IF($B4076="","",TEXT($B4076,"0000"))</f>
        <v/>
      </c>
      <c r="W4076" s="19">
        <f>IF($I4076="","",IF(ISNUMBER($I4076),TEXT($I4076,"0"),$I4076))</f>
        <v/>
      </c>
    </row>
    <row r="4077">
      <c r="B4077" s="25" t="n"/>
      <c r="I4077" s="25" t="n"/>
      <c r="U4077" s="19">
        <f>IF(AND($V4077='設定'!$C$4,COUNTIF('商品マスタ'!$B$6:$B$1005,$W4077)=0),N(U4076)+1,N(U4076))</f>
        <v/>
      </c>
      <c r="V4077" s="19">
        <f>IF($B4077="","",TEXT($B4077,"0000"))</f>
        <v/>
      </c>
      <c r="W4077" s="19">
        <f>IF($I4077="","",IF(ISNUMBER($I4077),TEXT($I4077,"0"),$I4077))</f>
        <v/>
      </c>
    </row>
    <row r="4078">
      <c r="B4078" s="25" t="n"/>
      <c r="I4078" s="25" t="n"/>
      <c r="U4078" s="19">
        <f>IF(AND($V4078='設定'!$C$4,COUNTIF('商品マスタ'!$B$6:$B$1005,$W4078)=0),N(U4077)+1,N(U4077))</f>
        <v/>
      </c>
      <c r="V4078" s="19">
        <f>IF($B4078="","",TEXT($B4078,"0000"))</f>
        <v/>
      </c>
      <c r="W4078" s="19">
        <f>IF($I4078="","",IF(ISNUMBER($I4078),TEXT($I4078,"0"),$I4078))</f>
        <v/>
      </c>
    </row>
    <row r="4079">
      <c r="B4079" s="25" t="n"/>
      <c r="I4079" s="25" t="n"/>
      <c r="U4079" s="19">
        <f>IF(AND($V4079='設定'!$C$4,COUNTIF('商品マスタ'!$B$6:$B$1005,$W4079)=0),N(U4078)+1,N(U4078))</f>
        <v/>
      </c>
      <c r="V4079" s="19">
        <f>IF($B4079="","",TEXT($B4079,"0000"))</f>
        <v/>
      </c>
      <c r="W4079" s="19">
        <f>IF($I4079="","",IF(ISNUMBER($I4079),TEXT($I4079,"0"),$I4079))</f>
        <v/>
      </c>
    </row>
    <row r="4080">
      <c r="B4080" s="25" t="n"/>
      <c r="I4080" s="25" t="n"/>
      <c r="U4080" s="19">
        <f>IF(AND($V4080='設定'!$C$4,COUNTIF('商品マスタ'!$B$6:$B$1005,$W4080)=0),N(U4079)+1,N(U4079))</f>
        <v/>
      </c>
      <c r="V4080" s="19">
        <f>IF($B4080="","",TEXT($B4080,"0000"))</f>
        <v/>
      </c>
      <c r="W4080" s="19">
        <f>IF($I4080="","",IF(ISNUMBER($I4080),TEXT($I4080,"0"),$I4080))</f>
        <v/>
      </c>
    </row>
    <row r="4081">
      <c r="B4081" s="25" t="n"/>
      <c r="I4081" s="25" t="n"/>
      <c r="U4081" s="19">
        <f>IF(AND($V4081='設定'!$C$4,COUNTIF('商品マスタ'!$B$6:$B$1005,$W4081)=0),N(U4080)+1,N(U4080))</f>
        <v/>
      </c>
      <c r="V4081" s="19">
        <f>IF($B4081="","",TEXT($B4081,"0000"))</f>
        <v/>
      </c>
      <c r="W4081" s="19">
        <f>IF($I4081="","",IF(ISNUMBER($I4081),TEXT($I4081,"0"),$I4081))</f>
        <v/>
      </c>
    </row>
    <row r="4082">
      <c r="B4082" s="25" t="n"/>
      <c r="I4082" s="25" t="n"/>
      <c r="U4082" s="19">
        <f>IF(AND($V4082='設定'!$C$4,COUNTIF('商品マスタ'!$B$6:$B$1005,$W4082)=0),N(U4081)+1,N(U4081))</f>
        <v/>
      </c>
      <c r="V4082" s="19">
        <f>IF($B4082="","",TEXT($B4082,"0000"))</f>
        <v/>
      </c>
      <c r="W4082" s="19">
        <f>IF($I4082="","",IF(ISNUMBER($I4082),TEXT($I4082,"0"),$I4082))</f>
        <v/>
      </c>
    </row>
    <row r="4083">
      <c r="B4083" s="25" t="n"/>
      <c r="I4083" s="25" t="n"/>
      <c r="U4083" s="19">
        <f>IF(AND($V4083='設定'!$C$4,COUNTIF('商品マスタ'!$B$6:$B$1005,$W4083)=0),N(U4082)+1,N(U4082))</f>
        <v/>
      </c>
      <c r="V4083" s="19">
        <f>IF($B4083="","",TEXT($B4083,"0000"))</f>
        <v/>
      </c>
      <c r="W4083" s="19">
        <f>IF($I4083="","",IF(ISNUMBER($I4083),TEXT($I4083,"0"),$I4083))</f>
        <v/>
      </c>
    </row>
    <row r="4084">
      <c r="B4084" s="25" t="n"/>
      <c r="I4084" s="25" t="n"/>
      <c r="U4084" s="19">
        <f>IF(AND($V4084='設定'!$C$4,COUNTIF('商品マスタ'!$B$6:$B$1005,$W4084)=0),N(U4083)+1,N(U4083))</f>
        <v/>
      </c>
      <c r="V4084" s="19">
        <f>IF($B4084="","",TEXT($B4084,"0000"))</f>
        <v/>
      </c>
      <c r="W4084" s="19">
        <f>IF($I4084="","",IF(ISNUMBER($I4084),TEXT($I4084,"0"),$I4084))</f>
        <v/>
      </c>
    </row>
    <row r="4085">
      <c r="B4085" s="25" t="n"/>
      <c r="I4085" s="25" t="n"/>
      <c r="U4085" s="19">
        <f>IF(AND($V4085='設定'!$C$4,COUNTIF('商品マスタ'!$B$6:$B$1005,$W4085)=0),N(U4084)+1,N(U4084))</f>
        <v/>
      </c>
      <c r="V4085" s="19">
        <f>IF($B4085="","",TEXT($B4085,"0000"))</f>
        <v/>
      </c>
      <c r="W4085" s="19">
        <f>IF($I4085="","",IF(ISNUMBER($I4085),TEXT($I4085,"0"),$I4085))</f>
        <v/>
      </c>
    </row>
    <row r="4086">
      <c r="B4086" s="25" t="n"/>
      <c r="I4086" s="25" t="n"/>
      <c r="U4086" s="19">
        <f>IF(AND($V4086='設定'!$C$4,COUNTIF('商品マスタ'!$B$6:$B$1005,$W4086)=0),N(U4085)+1,N(U4085))</f>
        <v/>
      </c>
      <c r="V4086" s="19">
        <f>IF($B4086="","",TEXT($B4086,"0000"))</f>
        <v/>
      </c>
      <c r="W4086" s="19">
        <f>IF($I4086="","",IF(ISNUMBER($I4086),TEXT($I4086,"0"),$I4086))</f>
        <v/>
      </c>
    </row>
    <row r="4087">
      <c r="B4087" s="25" t="n"/>
      <c r="I4087" s="25" t="n"/>
      <c r="U4087" s="19">
        <f>IF(AND($V4087='設定'!$C$4,COUNTIF('商品マスタ'!$B$6:$B$1005,$W4087)=0),N(U4086)+1,N(U4086))</f>
        <v/>
      </c>
      <c r="V4087" s="19">
        <f>IF($B4087="","",TEXT($B4087,"0000"))</f>
        <v/>
      </c>
      <c r="W4087" s="19">
        <f>IF($I4087="","",IF(ISNUMBER($I4087),TEXT($I4087,"0"),$I4087))</f>
        <v/>
      </c>
    </row>
    <row r="4088">
      <c r="B4088" s="25" t="n"/>
      <c r="I4088" s="25" t="n"/>
      <c r="U4088" s="19">
        <f>IF(AND($V4088='設定'!$C$4,COUNTIF('商品マスタ'!$B$6:$B$1005,$W4088)=0),N(U4087)+1,N(U4087))</f>
        <v/>
      </c>
      <c r="V4088" s="19">
        <f>IF($B4088="","",TEXT($B4088,"0000"))</f>
        <v/>
      </c>
      <c r="W4088" s="19">
        <f>IF($I4088="","",IF(ISNUMBER($I4088),TEXT($I4088,"0"),$I4088))</f>
        <v/>
      </c>
    </row>
    <row r="4089">
      <c r="B4089" s="25" t="n"/>
      <c r="I4089" s="25" t="n"/>
      <c r="U4089" s="19">
        <f>IF(AND($V4089='設定'!$C$4,COUNTIF('商品マスタ'!$B$6:$B$1005,$W4089)=0),N(U4088)+1,N(U4088))</f>
        <v/>
      </c>
      <c r="V4089" s="19">
        <f>IF($B4089="","",TEXT($B4089,"0000"))</f>
        <v/>
      </c>
      <c r="W4089" s="19">
        <f>IF($I4089="","",IF(ISNUMBER($I4089),TEXT($I4089,"0"),$I4089))</f>
        <v/>
      </c>
    </row>
    <row r="4090">
      <c r="B4090" s="25" t="n"/>
      <c r="I4090" s="25" t="n"/>
      <c r="U4090" s="19">
        <f>IF(AND($V4090='設定'!$C$4,COUNTIF('商品マスタ'!$B$6:$B$1005,$W4090)=0),N(U4089)+1,N(U4089))</f>
        <v/>
      </c>
      <c r="V4090" s="19">
        <f>IF($B4090="","",TEXT($B4090,"0000"))</f>
        <v/>
      </c>
      <c r="W4090" s="19">
        <f>IF($I4090="","",IF(ISNUMBER($I4090),TEXT($I4090,"0"),$I4090))</f>
        <v/>
      </c>
    </row>
    <row r="4091">
      <c r="B4091" s="25" t="n"/>
      <c r="I4091" s="25" t="n"/>
      <c r="U4091" s="19">
        <f>IF(AND($V4091='設定'!$C$4,COUNTIF('商品マスタ'!$B$6:$B$1005,$W4091)=0),N(U4090)+1,N(U4090))</f>
        <v/>
      </c>
      <c r="V4091" s="19">
        <f>IF($B4091="","",TEXT($B4091,"0000"))</f>
        <v/>
      </c>
      <c r="W4091" s="19">
        <f>IF($I4091="","",IF(ISNUMBER($I4091),TEXT($I4091,"0"),$I4091))</f>
        <v/>
      </c>
    </row>
    <row r="4092">
      <c r="B4092" s="25" t="n"/>
      <c r="I4092" s="25" t="n"/>
      <c r="U4092" s="19">
        <f>IF(AND($V4092='設定'!$C$4,COUNTIF('商品マスタ'!$B$6:$B$1005,$W4092)=0),N(U4091)+1,N(U4091))</f>
        <v/>
      </c>
      <c r="V4092" s="19">
        <f>IF($B4092="","",TEXT($B4092,"0000"))</f>
        <v/>
      </c>
      <c r="W4092" s="19">
        <f>IF($I4092="","",IF(ISNUMBER($I4092),TEXT($I4092,"0"),$I4092))</f>
        <v/>
      </c>
    </row>
    <row r="4093">
      <c r="B4093" s="25" t="n"/>
      <c r="I4093" s="25" t="n"/>
      <c r="U4093" s="19">
        <f>IF(AND($V4093='設定'!$C$4,COUNTIF('商品マスタ'!$B$6:$B$1005,$W4093)=0),N(U4092)+1,N(U4092))</f>
        <v/>
      </c>
      <c r="V4093" s="19">
        <f>IF($B4093="","",TEXT($B4093,"0000"))</f>
        <v/>
      </c>
      <c r="W4093" s="19">
        <f>IF($I4093="","",IF(ISNUMBER($I4093),TEXT($I4093,"0"),$I4093))</f>
        <v/>
      </c>
    </row>
    <row r="4094">
      <c r="B4094" s="25" t="n"/>
      <c r="I4094" s="25" t="n"/>
      <c r="U4094" s="19">
        <f>IF(AND($V4094='設定'!$C$4,COUNTIF('商品マスタ'!$B$6:$B$1005,$W4094)=0),N(U4093)+1,N(U4093))</f>
        <v/>
      </c>
      <c r="V4094" s="19">
        <f>IF($B4094="","",TEXT($B4094,"0000"))</f>
        <v/>
      </c>
      <c r="W4094" s="19">
        <f>IF($I4094="","",IF(ISNUMBER($I4094),TEXT($I4094,"0"),$I4094))</f>
        <v/>
      </c>
    </row>
    <row r="4095">
      <c r="B4095" s="25" t="n"/>
      <c r="I4095" s="25" t="n"/>
      <c r="U4095" s="19">
        <f>IF(AND($V4095='設定'!$C$4,COUNTIF('商品マスタ'!$B$6:$B$1005,$W4095)=0),N(U4094)+1,N(U4094))</f>
        <v/>
      </c>
      <c r="V4095" s="19">
        <f>IF($B4095="","",TEXT($B4095,"0000"))</f>
        <v/>
      </c>
      <c r="W4095" s="19">
        <f>IF($I4095="","",IF(ISNUMBER($I4095),TEXT($I4095,"0"),$I4095))</f>
        <v/>
      </c>
    </row>
    <row r="4096">
      <c r="B4096" s="25" t="n"/>
      <c r="I4096" s="25" t="n"/>
      <c r="U4096" s="19">
        <f>IF(AND($V4096='設定'!$C$4,COUNTIF('商品マスタ'!$B$6:$B$1005,$W4096)=0),N(U4095)+1,N(U4095))</f>
        <v/>
      </c>
      <c r="V4096" s="19">
        <f>IF($B4096="","",TEXT($B4096,"0000"))</f>
        <v/>
      </c>
      <c r="W4096" s="19">
        <f>IF($I4096="","",IF(ISNUMBER($I4096),TEXT($I4096,"0"),$I4096))</f>
        <v/>
      </c>
    </row>
    <row r="4097">
      <c r="B4097" s="25" t="n"/>
      <c r="I4097" s="25" t="n"/>
      <c r="U4097" s="19">
        <f>IF(AND($V4097='設定'!$C$4,COUNTIF('商品マスタ'!$B$6:$B$1005,$W4097)=0),N(U4096)+1,N(U4096))</f>
        <v/>
      </c>
      <c r="V4097" s="19">
        <f>IF($B4097="","",TEXT($B4097,"0000"))</f>
        <v/>
      </c>
      <c r="W4097" s="19">
        <f>IF($I4097="","",IF(ISNUMBER($I4097),TEXT($I4097,"0"),$I4097))</f>
        <v/>
      </c>
    </row>
    <row r="4098">
      <c r="B4098" s="25" t="n"/>
      <c r="I4098" s="25" t="n"/>
      <c r="U4098" s="19">
        <f>IF(AND($V4098='設定'!$C$4,COUNTIF('商品マスタ'!$B$6:$B$1005,$W4098)=0),N(U4097)+1,N(U4097))</f>
        <v/>
      </c>
      <c r="V4098" s="19">
        <f>IF($B4098="","",TEXT($B4098,"0000"))</f>
        <v/>
      </c>
      <c r="W4098" s="19">
        <f>IF($I4098="","",IF(ISNUMBER($I4098),TEXT($I4098,"0"),$I4098))</f>
        <v/>
      </c>
    </row>
    <row r="4099">
      <c r="B4099" s="25" t="n"/>
      <c r="I4099" s="25" t="n"/>
      <c r="U4099" s="19">
        <f>IF(AND($V4099='設定'!$C$4,COUNTIF('商品マスタ'!$B$6:$B$1005,$W4099)=0),N(U4098)+1,N(U4098))</f>
        <v/>
      </c>
      <c r="V4099" s="19">
        <f>IF($B4099="","",TEXT($B4099,"0000"))</f>
        <v/>
      </c>
      <c r="W4099" s="19">
        <f>IF($I4099="","",IF(ISNUMBER($I4099),TEXT($I4099,"0"),$I4099))</f>
        <v/>
      </c>
    </row>
    <row r="4100">
      <c r="B4100" s="25" t="n"/>
      <c r="I4100" s="25" t="n"/>
      <c r="U4100" s="19">
        <f>IF(AND($V4100='設定'!$C$4,COUNTIF('商品マスタ'!$B$6:$B$1005,$W4100)=0),N(U4099)+1,N(U4099))</f>
        <v/>
      </c>
      <c r="V4100" s="19">
        <f>IF($B4100="","",TEXT($B4100,"0000"))</f>
        <v/>
      </c>
      <c r="W4100" s="19">
        <f>IF($I4100="","",IF(ISNUMBER($I4100),TEXT($I4100,"0"),$I4100))</f>
        <v/>
      </c>
    </row>
    <row r="4101">
      <c r="B4101" s="25" t="n"/>
      <c r="I4101" s="25" t="n"/>
      <c r="U4101" s="19">
        <f>IF(AND($V4101='設定'!$C$4,COUNTIF('商品マスタ'!$B$6:$B$1005,$W4101)=0),N(U4100)+1,N(U4100))</f>
        <v/>
      </c>
      <c r="V4101" s="19">
        <f>IF($B4101="","",TEXT($B4101,"0000"))</f>
        <v/>
      </c>
      <c r="W4101" s="19">
        <f>IF($I4101="","",IF(ISNUMBER($I4101),TEXT($I4101,"0"),$I4101))</f>
        <v/>
      </c>
    </row>
    <row r="4102">
      <c r="B4102" s="25" t="n"/>
      <c r="I4102" s="25" t="n"/>
      <c r="U4102" s="19">
        <f>IF(AND($V4102='設定'!$C$4,COUNTIF('商品マスタ'!$B$6:$B$1005,$W4102)=0),N(U4101)+1,N(U4101))</f>
        <v/>
      </c>
      <c r="V4102" s="19">
        <f>IF($B4102="","",TEXT($B4102,"0000"))</f>
        <v/>
      </c>
      <c r="W4102" s="19">
        <f>IF($I4102="","",IF(ISNUMBER($I4102),TEXT($I4102,"0"),$I4102))</f>
        <v/>
      </c>
    </row>
    <row r="4103">
      <c r="B4103" s="25" t="n"/>
      <c r="I4103" s="25" t="n"/>
      <c r="U4103" s="19">
        <f>IF(AND($V4103='設定'!$C$4,COUNTIF('商品マスタ'!$B$6:$B$1005,$W4103)=0),N(U4102)+1,N(U4102))</f>
        <v/>
      </c>
      <c r="V4103" s="19">
        <f>IF($B4103="","",TEXT($B4103,"0000"))</f>
        <v/>
      </c>
      <c r="W4103" s="19">
        <f>IF($I4103="","",IF(ISNUMBER($I4103),TEXT($I4103,"0"),$I4103))</f>
        <v/>
      </c>
    </row>
    <row r="4104">
      <c r="B4104" s="25" t="n"/>
      <c r="I4104" s="25" t="n"/>
      <c r="U4104" s="19">
        <f>IF(AND($V4104='設定'!$C$4,COUNTIF('商品マスタ'!$B$6:$B$1005,$W4104)=0),N(U4103)+1,N(U4103))</f>
        <v/>
      </c>
      <c r="V4104" s="19">
        <f>IF($B4104="","",TEXT($B4104,"0000"))</f>
        <v/>
      </c>
      <c r="W4104" s="19">
        <f>IF($I4104="","",IF(ISNUMBER($I4104),TEXT($I4104,"0"),$I4104))</f>
        <v/>
      </c>
    </row>
    <row r="4105">
      <c r="B4105" s="25" t="n"/>
      <c r="I4105" s="25" t="n"/>
      <c r="U4105" s="19">
        <f>IF(AND($V4105='設定'!$C$4,COUNTIF('商品マスタ'!$B$6:$B$1005,$W4105)=0),N(U4104)+1,N(U4104))</f>
        <v/>
      </c>
      <c r="V4105" s="19">
        <f>IF($B4105="","",TEXT($B4105,"0000"))</f>
        <v/>
      </c>
      <c r="W4105" s="19">
        <f>IF($I4105="","",IF(ISNUMBER($I4105),TEXT($I4105,"0"),$I4105))</f>
        <v/>
      </c>
    </row>
    <row r="4106">
      <c r="B4106" s="25" t="n"/>
      <c r="I4106" s="25" t="n"/>
      <c r="U4106" s="19">
        <f>IF(AND($V4106='設定'!$C$4,COUNTIF('商品マスタ'!$B$6:$B$1005,$W4106)=0),N(U4105)+1,N(U4105))</f>
        <v/>
      </c>
      <c r="V4106" s="19">
        <f>IF($B4106="","",TEXT($B4106,"0000"))</f>
        <v/>
      </c>
      <c r="W4106" s="19">
        <f>IF($I4106="","",IF(ISNUMBER($I4106),TEXT($I4106,"0"),$I4106))</f>
        <v/>
      </c>
    </row>
    <row r="4107">
      <c r="B4107" s="25" t="n"/>
      <c r="I4107" s="25" t="n"/>
      <c r="U4107" s="19">
        <f>IF(AND($V4107='設定'!$C$4,COUNTIF('商品マスタ'!$B$6:$B$1005,$W4107)=0),N(U4106)+1,N(U4106))</f>
        <v/>
      </c>
      <c r="V4107" s="19">
        <f>IF($B4107="","",TEXT($B4107,"0000"))</f>
        <v/>
      </c>
      <c r="W4107" s="19">
        <f>IF($I4107="","",IF(ISNUMBER($I4107),TEXT($I4107,"0"),$I4107))</f>
        <v/>
      </c>
    </row>
    <row r="4108">
      <c r="B4108" s="25" t="n"/>
      <c r="I4108" s="25" t="n"/>
      <c r="U4108" s="19">
        <f>IF(AND($V4108='設定'!$C$4,COUNTIF('商品マスタ'!$B$6:$B$1005,$W4108)=0),N(U4107)+1,N(U4107))</f>
        <v/>
      </c>
      <c r="V4108" s="19">
        <f>IF($B4108="","",TEXT($B4108,"0000"))</f>
        <v/>
      </c>
      <c r="W4108" s="19">
        <f>IF($I4108="","",IF(ISNUMBER($I4108),TEXT($I4108,"0"),$I4108))</f>
        <v/>
      </c>
    </row>
    <row r="4109">
      <c r="B4109" s="25" t="n"/>
      <c r="I4109" s="25" t="n"/>
      <c r="U4109" s="19">
        <f>IF(AND($V4109='設定'!$C$4,COUNTIF('商品マスタ'!$B$6:$B$1005,$W4109)=0),N(U4108)+1,N(U4108))</f>
        <v/>
      </c>
      <c r="V4109" s="19">
        <f>IF($B4109="","",TEXT($B4109,"0000"))</f>
        <v/>
      </c>
      <c r="W4109" s="19">
        <f>IF($I4109="","",IF(ISNUMBER($I4109),TEXT($I4109,"0"),$I4109))</f>
        <v/>
      </c>
    </row>
    <row r="4110">
      <c r="B4110" s="25" t="n"/>
      <c r="I4110" s="25" t="n"/>
      <c r="U4110" s="19">
        <f>IF(AND($V4110='設定'!$C$4,COUNTIF('商品マスタ'!$B$6:$B$1005,$W4110)=0),N(U4109)+1,N(U4109))</f>
        <v/>
      </c>
      <c r="V4110" s="19">
        <f>IF($B4110="","",TEXT($B4110,"0000"))</f>
        <v/>
      </c>
      <c r="W4110" s="19">
        <f>IF($I4110="","",IF(ISNUMBER($I4110),TEXT($I4110,"0"),$I4110))</f>
        <v/>
      </c>
    </row>
    <row r="4111">
      <c r="B4111" s="25" t="n"/>
      <c r="I4111" s="25" t="n"/>
      <c r="U4111" s="19">
        <f>IF(AND($V4111='設定'!$C$4,COUNTIF('商品マスタ'!$B$6:$B$1005,$W4111)=0),N(U4110)+1,N(U4110))</f>
        <v/>
      </c>
      <c r="V4111" s="19">
        <f>IF($B4111="","",TEXT($B4111,"0000"))</f>
        <v/>
      </c>
      <c r="W4111" s="19">
        <f>IF($I4111="","",IF(ISNUMBER($I4111),TEXT($I4111,"0"),$I4111))</f>
        <v/>
      </c>
    </row>
    <row r="4112">
      <c r="B4112" s="25" t="n"/>
      <c r="I4112" s="25" t="n"/>
      <c r="U4112" s="19">
        <f>IF(AND($V4112='設定'!$C$4,COUNTIF('商品マスタ'!$B$6:$B$1005,$W4112)=0),N(U4111)+1,N(U4111))</f>
        <v/>
      </c>
      <c r="V4112" s="19">
        <f>IF($B4112="","",TEXT($B4112,"0000"))</f>
        <v/>
      </c>
      <c r="W4112" s="19">
        <f>IF($I4112="","",IF(ISNUMBER($I4112),TEXT($I4112,"0"),$I4112))</f>
        <v/>
      </c>
    </row>
    <row r="4113">
      <c r="B4113" s="25" t="n"/>
      <c r="I4113" s="25" t="n"/>
      <c r="U4113" s="19">
        <f>IF(AND($V4113='設定'!$C$4,COUNTIF('商品マスタ'!$B$6:$B$1005,$W4113)=0),N(U4112)+1,N(U4112))</f>
        <v/>
      </c>
      <c r="V4113" s="19">
        <f>IF($B4113="","",TEXT($B4113,"0000"))</f>
        <v/>
      </c>
      <c r="W4113" s="19">
        <f>IF($I4113="","",IF(ISNUMBER($I4113),TEXT($I4113,"0"),$I4113))</f>
        <v/>
      </c>
    </row>
    <row r="4114">
      <c r="B4114" s="25" t="n"/>
      <c r="I4114" s="25" t="n"/>
      <c r="U4114" s="19">
        <f>IF(AND($V4114='設定'!$C$4,COUNTIF('商品マスタ'!$B$6:$B$1005,$W4114)=0),N(U4113)+1,N(U4113))</f>
        <v/>
      </c>
      <c r="V4114" s="19">
        <f>IF($B4114="","",TEXT($B4114,"0000"))</f>
        <v/>
      </c>
      <c r="W4114" s="19">
        <f>IF($I4114="","",IF(ISNUMBER($I4114),TEXT($I4114,"0"),$I4114))</f>
        <v/>
      </c>
    </row>
    <row r="4115">
      <c r="B4115" s="25" t="n"/>
      <c r="I4115" s="25" t="n"/>
      <c r="U4115" s="19">
        <f>IF(AND($V4115='設定'!$C$4,COUNTIF('商品マスタ'!$B$6:$B$1005,$W4115)=0),N(U4114)+1,N(U4114))</f>
        <v/>
      </c>
      <c r="V4115" s="19">
        <f>IF($B4115="","",TEXT($B4115,"0000"))</f>
        <v/>
      </c>
      <c r="W4115" s="19">
        <f>IF($I4115="","",IF(ISNUMBER($I4115),TEXT($I4115,"0"),$I4115))</f>
        <v/>
      </c>
    </row>
    <row r="4116">
      <c r="B4116" s="25" t="n"/>
      <c r="I4116" s="25" t="n"/>
      <c r="U4116" s="19">
        <f>IF(AND($V4116='設定'!$C$4,COUNTIF('商品マスタ'!$B$6:$B$1005,$W4116)=0),N(U4115)+1,N(U4115))</f>
        <v/>
      </c>
      <c r="V4116" s="19">
        <f>IF($B4116="","",TEXT($B4116,"0000"))</f>
        <v/>
      </c>
      <c r="W4116" s="19">
        <f>IF($I4116="","",IF(ISNUMBER($I4116),TEXT($I4116,"0"),$I4116))</f>
        <v/>
      </c>
    </row>
    <row r="4117">
      <c r="B4117" s="25" t="n"/>
      <c r="I4117" s="25" t="n"/>
      <c r="U4117" s="19">
        <f>IF(AND($V4117='設定'!$C$4,COUNTIF('商品マスタ'!$B$6:$B$1005,$W4117)=0),N(U4116)+1,N(U4116))</f>
        <v/>
      </c>
      <c r="V4117" s="19">
        <f>IF($B4117="","",TEXT($B4117,"0000"))</f>
        <v/>
      </c>
      <c r="W4117" s="19">
        <f>IF($I4117="","",IF(ISNUMBER($I4117),TEXT($I4117,"0"),$I4117))</f>
        <v/>
      </c>
    </row>
    <row r="4118">
      <c r="B4118" s="25" t="n"/>
      <c r="I4118" s="25" t="n"/>
      <c r="U4118" s="19">
        <f>IF(AND($V4118='設定'!$C$4,COUNTIF('商品マスタ'!$B$6:$B$1005,$W4118)=0),N(U4117)+1,N(U4117))</f>
        <v/>
      </c>
      <c r="V4118" s="19">
        <f>IF($B4118="","",TEXT($B4118,"0000"))</f>
        <v/>
      </c>
      <c r="W4118" s="19">
        <f>IF($I4118="","",IF(ISNUMBER($I4118),TEXT($I4118,"0"),$I4118))</f>
        <v/>
      </c>
    </row>
    <row r="4119">
      <c r="B4119" s="25" t="n"/>
      <c r="I4119" s="25" t="n"/>
      <c r="U4119" s="19">
        <f>IF(AND($V4119='設定'!$C$4,COUNTIF('商品マスタ'!$B$6:$B$1005,$W4119)=0),N(U4118)+1,N(U4118))</f>
        <v/>
      </c>
      <c r="V4119" s="19">
        <f>IF($B4119="","",TEXT($B4119,"0000"))</f>
        <v/>
      </c>
      <c r="W4119" s="19">
        <f>IF($I4119="","",IF(ISNUMBER($I4119),TEXT($I4119,"0"),$I4119))</f>
        <v/>
      </c>
    </row>
    <row r="4120">
      <c r="B4120" s="25" t="n"/>
      <c r="I4120" s="25" t="n"/>
      <c r="U4120" s="19">
        <f>IF(AND($V4120='設定'!$C$4,COUNTIF('商品マスタ'!$B$6:$B$1005,$W4120)=0),N(U4119)+1,N(U4119))</f>
        <v/>
      </c>
      <c r="V4120" s="19">
        <f>IF($B4120="","",TEXT($B4120,"0000"))</f>
        <v/>
      </c>
      <c r="W4120" s="19">
        <f>IF($I4120="","",IF(ISNUMBER($I4120),TEXT($I4120,"0"),$I4120))</f>
        <v/>
      </c>
    </row>
    <row r="4121">
      <c r="B4121" s="25" t="n"/>
      <c r="I4121" s="25" t="n"/>
      <c r="U4121" s="19">
        <f>IF(AND($V4121='設定'!$C$4,COUNTIF('商品マスタ'!$B$6:$B$1005,$W4121)=0),N(U4120)+1,N(U4120))</f>
        <v/>
      </c>
      <c r="V4121" s="19">
        <f>IF($B4121="","",TEXT($B4121,"0000"))</f>
        <v/>
      </c>
      <c r="W4121" s="19">
        <f>IF($I4121="","",IF(ISNUMBER($I4121),TEXT($I4121,"0"),$I4121))</f>
        <v/>
      </c>
    </row>
    <row r="4122">
      <c r="B4122" s="25" t="n"/>
      <c r="I4122" s="25" t="n"/>
      <c r="U4122" s="19">
        <f>IF(AND($V4122='設定'!$C$4,COUNTIF('商品マスタ'!$B$6:$B$1005,$W4122)=0),N(U4121)+1,N(U4121))</f>
        <v/>
      </c>
      <c r="V4122" s="19">
        <f>IF($B4122="","",TEXT($B4122,"0000"))</f>
        <v/>
      </c>
      <c r="W4122" s="19">
        <f>IF($I4122="","",IF(ISNUMBER($I4122),TEXT($I4122,"0"),$I4122))</f>
        <v/>
      </c>
    </row>
    <row r="4123">
      <c r="B4123" s="25" t="n"/>
      <c r="I4123" s="25" t="n"/>
      <c r="U4123" s="19">
        <f>IF(AND($V4123='設定'!$C$4,COUNTIF('商品マスタ'!$B$6:$B$1005,$W4123)=0),N(U4122)+1,N(U4122))</f>
        <v/>
      </c>
      <c r="V4123" s="19">
        <f>IF($B4123="","",TEXT($B4123,"0000"))</f>
        <v/>
      </c>
      <c r="W4123" s="19">
        <f>IF($I4123="","",IF(ISNUMBER($I4123),TEXT($I4123,"0"),$I4123))</f>
        <v/>
      </c>
    </row>
    <row r="4124">
      <c r="B4124" s="25" t="n"/>
      <c r="I4124" s="25" t="n"/>
      <c r="U4124" s="19">
        <f>IF(AND($V4124='設定'!$C$4,COUNTIF('商品マスタ'!$B$6:$B$1005,$W4124)=0),N(U4123)+1,N(U4123))</f>
        <v/>
      </c>
      <c r="V4124" s="19">
        <f>IF($B4124="","",TEXT($B4124,"0000"))</f>
        <v/>
      </c>
      <c r="W4124" s="19">
        <f>IF($I4124="","",IF(ISNUMBER($I4124),TEXT($I4124,"0"),$I4124))</f>
        <v/>
      </c>
    </row>
    <row r="4125">
      <c r="B4125" s="25" t="n"/>
      <c r="I4125" s="25" t="n"/>
      <c r="U4125" s="19">
        <f>IF(AND($V4125='設定'!$C$4,COUNTIF('商品マスタ'!$B$6:$B$1005,$W4125)=0),N(U4124)+1,N(U4124))</f>
        <v/>
      </c>
      <c r="V4125" s="19">
        <f>IF($B4125="","",TEXT($B4125,"0000"))</f>
        <v/>
      </c>
      <c r="W4125" s="19">
        <f>IF($I4125="","",IF(ISNUMBER($I4125),TEXT($I4125,"0"),$I4125))</f>
        <v/>
      </c>
    </row>
    <row r="4126">
      <c r="B4126" s="25" t="n"/>
      <c r="I4126" s="25" t="n"/>
      <c r="U4126" s="19">
        <f>IF(AND($V4126='設定'!$C$4,COUNTIF('商品マスタ'!$B$6:$B$1005,$W4126)=0),N(U4125)+1,N(U4125))</f>
        <v/>
      </c>
      <c r="V4126" s="19">
        <f>IF($B4126="","",TEXT($B4126,"0000"))</f>
        <v/>
      </c>
      <c r="W4126" s="19">
        <f>IF($I4126="","",IF(ISNUMBER($I4126),TEXT($I4126,"0"),$I4126))</f>
        <v/>
      </c>
    </row>
    <row r="4127">
      <c r="B4127" s="25" t="n"/>
      <c r="I4127" s="25" t="n"/>
      <c r="U4127" s="19">
        <f>IF(AND($V4127='設定'!$C$4,COUNTIF('商品マスタ'!$B$6:$B$1005,$W4127)=0),N(U4126)+1,N(U4126))</f>
        <v/>
      </c>
      <c r="V4127" s="19">
        <f>IF($B4127="","",TEXT($B4127,"0000"))</f>
        <v/>
      </c>
      <c r="W4127" s="19">
        <f>IF($I4127="","",IF(ISNUMBER($I4127),TEXT($I4127,"0"),$I4127))</f>
        <v/>
      </c>
    </row>
    <row r="4128">
      <c r="B4128" s="25" t="n"/>
      <c r="I4128" s="25" t="n"/>
      <c r="U4128" s="19">
        <f>IF(AND($V4128='設定'!$C$4,COUNTIF('商品マスタ'!$B$6:$B$1005,$W4128)=0),N(U4127)+1,N(U4127))</f>
        <v/>
      </c>
      <c r="V4128" s="19">
        <f>IF($B4128="","",TEXT($B4128,"0000"))</f>
        <v/>
      </c>
      <c r="W4128" s="19">
        <f>IF($I4128="","",IF(ISNUMBER($I4128),TEXT($I4128,"0"),$I4128))</f>
        <v/>
      </c>
    </row>
    <row r="4129">
      <c r="B4129" s="25" t="n"/>
      <c r="I4129" s="25" t="n"/>
      <c r="U4129" s="19">
        <f>IF(AND($V4129='設定'!$C$4,COUNTIF('商品マスタ'!$B$6:$B$1005,$W4129)=0),N(U4128)+1,N(U4128))</f>
        <v/>
      </c>
      <c r="V4129" s="19">
        <f>IF($B4129="","",TEXT($B4129,"0000"))</f>
        <v/>
      </c>
      <c r="W4129" s="19">
        <f>IF($I4129="","",IF(ISNUMBER($I4129),TEXT($I4129,"0"),$I4129))</f>
        <v/>
      </c>
    </row>
    <row r="4130">
      <c r="B4130" s="25" t="n"/>
      <c r="I4130" s="25" t="n"/>
      <c r="U4130" s="19">
        <f>IF(AND($V4130='設定'!$C$4,COUNTIF('商品マスタ'!$B$6:$B$1005,$W4130)=0),N(U4129)+1,N(U4129))</f>
        <v/>
      </c>
      <c r="V4130" s="19">
        <f>IF($B4130="","",TEXT($B4130,"0000"))</f>
        <v/>
      </c>
      <c r="W4130" s="19">
        <f>IF($I4130="","",IF(ISNUMBER($I4130),TEXT($I4130,"0"),$I4130))</f>
        <v/>
      </c>
    </row>
    <row r="4131">
      <c r="B4131" s="25" t="n"/>
      <c r="I4131" s="25" t="n"/>
      <c r="U4131" s="19">
        <f>IF(AND($V4131='設定'!$C$4,COUNTIF('商品マスタ'!$B$6:$B$1005,$W4131)=0),N(U4130)+1,N(U4130))</f>
        <v/>
      </c>
      <c r="V4131" s="19">
        <f>IF($B4131="","",TEXT($B4131,"0000"))</f>
        <v/>
      </c>
      <c r="W4131" s="19">
        <f>IF($I4131="","",IF(ISNUMBER($I4131),TEXT($I4131,"0"),$I4131))</f>
        <v/>
      </c>
    </row>
    <row r="4132">
      <c r="B4132" s="25" t="n"/>
      <c r="I4132" s="25" t="n"/>
      <c r="U4132" s="19">
        <f>IF(AND($V4132='設定'!$C$4,COUNTIF('商品マスタ'!$B$6:$B$1005,$W4132)=0),N(U4131)+1,N(U4131))</f>
        <v/>
      </c>
      <c r="V4132" s="19">
        <f>IF($B4132="","",TEXT($B4132,"0000"))</f>
        <v/>
      </c>
      <c r="W4132" s="19">
        <f>IF($I4132="","",IF(ISNUMBER($I4132),TEXT($I4132,"0"),$I4132))</f>
        <v/>
      </c>
    </row>
    <row r="4133">
      <c r="B4133" s="25" t="n"/>
      <c r="I4133" s="25" t="n"/>
      <c r="U4133" s="19">
        <f>IF(AND($V4133='設定'!$C$4,COUNTIF('商品マスタ'!$B$6:$B$1005,$W4133)=0),N(U4132)+1,N(U4132))</f>
        <v/>
      </c>
      <c r="V4133" s="19">
        <f>IF($B4133="","",TEXT($B4133,"0000"))</f>
        <v/>
      </c>
      <c r="W4133" s="19">
        <f>IF($I4133="","",IF(ISNUMBER($I4133),TEXT($I4133,"0"),$I4133))</f>
        <v/>
      </c>
    </row>
    <row r="4134">
      <c r="B4134" s="25" t="n"/>
      <c r="I4134" s="25" t="n"/>
      <c r="U4134" s="19">
        <f>IF(AND($V4134='設定'!$C$4,COUNTIF('商品マスタ'!$B$6:$B$1005,$W4134)=0),N(U4133)+1,N(U4133))</f>
        <v/>
      </c>
      <c r="V4134" s="19">
        <f>IF($B4134="","",TEXT($B4134,"0000"))</f>
        <v/>
      </c>
      <c r="W4134" s="19">
        <f>IF($I4134="","",IF(ISNUMBER($I4134),TEXT($I4134,"0"),$I4134))</f>
        <v/>
      </c>
    </row>
    <row r="4135">
      <c r="B4135" s="25" t="n"/>
      <c r="I4135" s="25" t="n"/>
      <c r="U4135" s="19">
        <f>IF(AND($V4135='設定'!$C$4,COUNTIF('商品マスタ'!$B$6:$B$1005,$W4135)=0),N(U4134)+1,N(U4134))</f>
        <v/>
      </c>
      <c r="V4135" s="19">
        <f>IF($B4135="","",TEXT($B4135,"0000"))</f>
        <v/>
      </c>
      <c r="W4135" s="19">
        <f>IF($I4135="","",IF(ISNUMBER($I4135),TEXT($I4135,"0"),$I4135))</f>
        <v/>
      </c>
    </row>
    <row r="4136">
      <c r="B4136" s="25" t="n"/>
      <c r="I4136" s="25" t="n"/>
      <c r="U4136" s="19">
        <f>IF(AND($V4136='設定'!$C$4,COUNTIF('商品マスタ'!$B$6:$B$1005,$W4136)=0),N(U4135)+1,N(U4135))</f>
        <v/>
      </c>
      <c r="V4136" s="19">
        <f>IF($B4136="","",TEXT($B4136,"0000"))</f>
        <v/>
      </c>
      <c r="W4136" s="19">
        <f>IF($I4136="","",IF(ISNUMBER($I4136),TEXT($I4136,"0"),$I4136))</f>
        <v/>
      </c>
    </row>
    <row r="4137">
      <c r="B4137" s="25" t="n"/>
      <c r="I4137" s="25" t="n"/>
      <c r="U4137" s="19">
        <f>IF(AND($V4137='設定'!$C$4,COUNTIF('商品マスタ'!$B$6:$B$1005,$W4137)=0),N(U4136)+1,N(U4136))</f>
        <v/>
      </c>
      <c r="V4137" s="19">
        <f>IF($B4137="","",TEXT($B4137,"0000"))</f>
        <v/>
      </c>
      <c r="W4137" s="19">
        <f>IF($I4137="","",IF(ISNUMBER($I4137),TEXT($I4137,"0"),$I4137))</f>
        <v/>
      </c>
    </row>
    <row r="4138">
      <c r="B4138" s="25" t="n"/>
      <c r="I4138" s="25" t="n"/>
      <c r="U4138" s="19">
        <f>IF(AND($V4138='設定'!$C$4,COUNTIF('商品マスタ'!$B$6:$B$1005,$W4138)=0),N(U4137)+1,N(U4137))</f>
        <v/>
      </c>
      <c r="V4138" s="19">
        <f>IF($B4138="","",TEXT($B4138,"0000"))</f>
        <v/>
      </c>
      <c r="W4138" s="19">
        <f>IF($I4138="","",IF(ISNUMBER($I4138),TEXT($I4138,"0"),$I4138))</f>
        <v/>
      </c>
    </row>
    <row r="4139">
      <c r="B4139" s="25" t="n"/>
      <c r="I4139" s="25" t="n"/>
      <c r="U4139" s="19">
        <f>IF(AND($V4139='設定'!$C$4,COUNTIF('商品マスタ'!$B$6:$B$1005,$W4139)=0),N(U4138)+1,N(U4138))</f>
        <v/>
      </c>
      <c r="V4139" s="19">
        <f>IF($B4139="","",TEXT($B4139,"0000"))</f>
        <v/>
      </c>
      <c r="W4139" s="19">
        <f>IF($I4139="","",IF(ISNUMBER($I4139),TEXT($I4139,"0"),$I4139))</f>
        <v/>
      </c>
    </row>
    <row r="4140">
      <c r="B4140" s="25" t="n"/>
      <c r="I4140" s="25" t="n"/>
      <c r="U4140" s="19">
        <f>IF(AND($V4140='設定'!$C$4,COUNTIF('商品マスタ'!$B$6:$B$1005,$W4140)=0),N(U4139)+1,N(U4139))</f>
        <v/>
      </c>
      <c r="V4140" s="19">
        <f>IF($B4140="","",TEXT($B4140,"0000"))</f>
        <v/>
      </c>
      <c r="W4140" s="19">
        <f>IF($I4140="","",IF(ISNUMBER($I4140),TEXT($I4140,"0"),$I4140))</f>
        <v/>
      </c>
    </row>
    <row r="4141">
      <c r="B4141" s="25" t="n"/>
      <c r="I4141" s="25" t="n"/>
      <c r="U4141" s="19">
        <f>IF(AND($V4141='設定'!$C$4,COUNTIF('商品マスタ'!$B$6:$B$1005,$W4141)=0),N(U4140)+1,N(U4140))</f>
        <v/>
      </c>
      <c r="V4141" s="19">
        <f>IF($B4141="","",TEXT($B4141,"0000"))</f>
        <v/>
      </c>
      <c r="W4141" s="19">
        <f>IF($I4141="","",IF(ISNUMBER($I4141),TEXT($I4141,"0"),$I4141))</f>
        <v/>
      </c>
    </row>
    <row r="4142">
      <c r="B4142" s="25" t="n"/>
      <c r="I4142" s="25" t="n"/>
      <c r="U4142" s="19">
        <f>IF(AND($V4142='設定'!$C$4,COUNTIF('商品マスタ'!$B$6:$B$1005,$W4142)=0),N(U4141)+1,N(U4141))</f>
        <v/>
      </c>
      <c r="V4142" s="19">
        <f>IF($B4142="","",TEXT($B4142,"0000"))</f>
        <v/>
      </c>
      <c r="W4142" s="19">
        <f>IF($I4142="","",IF(ISNUMBER($I4142),TEXT($I4142,"0"),$I4142))</f>
        <v/>
      </c>
    </row>
    <row r="4143">
      <c r="B4143" s="25" t="n"/>
      <c r="I4143" s="25" t="n"/>
      <c r="U4143" s="19">
        <f>IF(AND($V4143='設定'!$C$4,COUNTIF('商品マスタ'!$B$6:$B$1005,$W4143)=0),N(U4142)+1,N(U4142))</f>
        <v/>
      </c>
      <c r="V4143" s="19">
        <f>IF($B4143="","",TEXT($B4143,"0000"))</f>
        <v/>
      </c>
      <c r="W4143" s="19">
        <f>IF($I4143="","",IF(ISNUMBER($I4143),TEXT($I4143,"0"),$I4143))</f>
        <v/>
      </c>
    </row>
    <row r="4144">
      <c r="B4144" s="25" t="n"/>
      <c r="I4144" s="25" t="n"/>
      <c r="U4144" s="19">
        <f>IF(AND($V4144='設定'!$C$4,COUNTIF('商品マスタ'!$B$6:$B$1005,$W4144)=0),N(U4143)+1,N(U4143))</f>
        <v/>
      </c>
      <c r="V4144" s="19">
        <f>IF($B4144="","",TEXT($B4144,"0000"))</f>
        <v/>
      </c>
      <c r="W4144" s="19">
        <f>IF($I4144="","",IF(ISNUMBER($I4144),TEXT($I4144,"0"),$I4144))</f>
        <v/>
      </c>
    </row>
    <row r="4145">
      <c r="B4145" s="25" t="n"/>
      <c r="I4145" s="25" t="n"/>
      <c r="U4145" s="19">
        <f>IF(AND($V4145='設定'!$C$4,COUNTIF('商品マスタ'!$B$6:$B$1005,$W4145)=0),N(U4144)+1,N(U4144))</f>
        <v/>
      </c>
      <c r="V4145" s="19">
        <f>IF($B4145="","",TEXT($B4145,"0000"))</f>
        <v/>
      </c>
      <c r="W4145" s="19">
        <f>IF($I4145="","",IF(ISNUMBER($I4145),TEXT($I4145,"0"),$I4145))</f>
        <v/>
      </c>
    </row>
    <row r="4146">
      <c r="B4146" s="25" t="n"/>
      <c r="I4146" s="25" t="n"/>
      <c r="U4146" s="19">
        <f>IF(AND($V4146='設定'!$C$4,COUNTIF('商品マスタ'!$B$6:$B$1005,$W4146)=0),N(U4145)+1,N(U4145))</f>
        <v/>
      </c>
      <c r="V4146" s="19">
        <f>IF($B4146="","",TEXT($B4146,"0000"))</f>
        <v/>
      </c>
      <c r="W4146" s="19">
        <f>IF($I4146="","",IF(ISNUMBER($I4146),TEXT($I4146,"0"),$I4146))</f>
        <v/>
      </c>
    </row>
    <row r="4147">
      <c r="B4147" s="25" t="n"/>
      <c r="I4147" s="25" t="n"/>
      <c r="U4147" s="19">
        <f>IF(AND($V4147='設定'!$C$4,COUNTIF('商品マスタ'!$B$6:$B$1005,$W4147)=0),N(U4146)+1,N(U4146))</f>
        <v/>
      </c>
      <c r="V4147" s="19">
        <f>IF($B4147="","",TEXT($B4147,"0000"))</f>
        <v/>
      </c>
      <c r="W4147" s="19">
        <f>IF($I4147="","",IF(ISNUMBER($I4147),TEXT($I4147,"0"),$I4147))</f>
        <v/>
      </c>
    </row>
    <row r="4148">
      <c r="B4148" s="25" t="n"/>
      <c r="I4148" s="25" t="n"/>
      <c r="U4148" s="19">
        <f>IF(AND($V4148='設定'!$C$4,COUNTIF('商品マスタ'!$B$6:$B$1005,$W4148)=0),N(U4147)+1,N(U4147))</f>
        <v/>
      </c>
      <c r="V4148" s="19">
        <f>IF($B4148="","",TEXT($B4148,"0000"))</f>
        <v/>
      </c>
      <c r="W4148" s="19">
        <f>IF($I4148="","",IF(ISNUMBER($I4148),TEXT($I4148,"0"),$I4148))</f>
        <v/>
      </c>
    </row>
    <row r="4149">
      <c r="B4149" s="25" t="n"/>
      <c r="I4149" s="25" t="n"/>
      <c r="U4149" s="19">
        <f>IF(AND($V4149='設定'!$C$4,COUNTIF('商品マスタ'!$B$6:$B$1005,$W4149)=0),N(U4148)+1,N(U4148))</f>
        <v/>
      </c>
      <c r="V4149" s="19">
        <f>IF($B4149="","",TEXT($B4149,"0000"))</f>
        <v/>
      </c>
      <c r="W4149" s="19">
        <f>IF($I4149="","",IF(ISNUMBER($I4149),TEXT($I4149,"0"),$I4149))</f>
        <v/>
      </c>
    </row>
    <row r="4150">
      <c r="B4150" s="25" t="n"/>
      <c r="I4150" s="25" t="n"/>
      <c r="U4150" s="19">
        <f>IF(AND($V4150='設定'!$C$4,COUNTIF('商品マスタ'!$B$6:$B$1005,$W4150)=0),N(U4149)+1,N(U4149))</f>
        <v/>
      </c>
      <c r="V4150" s="19">
        <f>IF($B4150="","",TEXT($B4150,"0000"))</f>
        <v/>
      </c>
      <c r="W4150" s="19">
        <f>IF($I4150="","",IF(ISNUMBER($I4150),TEXT($I4150,"0"),$I4150))</f>
        <v/>
      </c>
    </row>
    <row r="4151">
      <c r="B4151" s="25" t="n"/>
      <c r="I4151" s="25" t="n"/>
      <c r="U4151" s="19">
        <f>IF(AND($V4151='設定'!$C$4,COUNTIF('商品マスタ'!$B$6:$B$1005,$W4151)=0),N(U4150)+1,N(U4150))</f>
        <v/>
      </c>
      <c r="V4151" s="19">
        <f>IF($B4151="","",TEXT($B4151,"0000"))</f>
        <v/>
      </c>
      <c r="W4151" s="19">
        <f>IF($I4151="","",IF(ISNUMBER($I4151),TEXT($I4151,"0"),$I4151))</f>
        <v/>
      </c>
    </row>
    <row r="4152">
      <c r="B4152" s="25" t="n"/>
      <c r="I4152" s="25" t="n"/>
      <c r="U4152" s="19">
        <f>IF(AND($V4152='設定'!$C$4,COUNTIF('商品マスタ'!$B$6:$B$1005,$W4152)=0),N(U4151)+1,N(U4151))</f>
        <v/>
      </c>
      <c r="V4152" s="19">
        <f>IF($B4152="","",TEXT($B4152,"0000"))</f>
        <v/>
      </c>
      <c r="W4152" s="19">
        <f>IF($I4152="","",IF(ISNUMBER($I4152),TEXT($I4152,"0"),$I4152))</f>
        <v/>
      </c>
    </row>
    <row r="4153">
      <c r="B4153" s="25" t="n"/>
      <c r="I4153" s="25" t="n"/>
      <c r="U4153" s="19">
        <f>IF(AND($V4153='設定'!$C$4,COUNTIF('商品マスタ'!$B$6:$B$1005,$W4153)=0),N(U4152)+1,N(U4152))</f>
        <v/>
      </c>
      <c r="V4153" s="19">
        <f>IF($B4153="","",TEXT($B4153,"0000"))</f>
        <v/>
      </c>
      <c r="W4153" s="19">
        <f>IF($I4153="","",IF(ISNUMBER($I4153),TEXT($I4153,"0"),$I4153))</f>
        <v/>
      </c>
    </row>
    <row r="4154">
      <c r="B4154" s="25" t="n"/>
      <c r="I4154" s="25" t="n"/>
      <c r="U4154" s="19">
        <f>IF(AND($V4154='設定'!$C$4,COUNTIF('商品マスタ'!$B$6:$B$1005,$W4154)=0),N(U4153)+1,N(U4153))</f>
        <v/>
      </c>
      <c r="V4154" s="19">
        <f>IF($B4154="","",TEXT($B4154,"0000"))</f>
        <v/>
      </c>
      <c r="W4154" s="19">
        <f>IF($I4154="","",IF(ISNUMBER($I4154),TEXT($I4154,"0"),$I4154))</f>
        <v/>
      </c>
    </row>
    <row r="4155">
      <c r="B4155" s="25" t="n"/>
      <c r="I4155" s="25" t="n"/>
      <c r="U4155" s="19">
        <f>IF(AND($V4155='設定'!$C$4,COUNTIF('商品マスタ'!$B$6:$B$1005,$W4155)=0),N(U4154)+1,N(U4154))</f>
        <v/>
      </c>
      <c r="V4155" s="19">
        <f>IF($B4155="","",TEXT($B4155,"0000"))</f>
        <v/>
      </c>
      <c r="W4155" s="19">
        <f>IF($I4155="","",IF(ISNUMBER($I4155),TEXT($I4155,"0"),$I4155))</f>
        <v/>
      </c>
    </row>
    <row r="4156">
      <c r="B4156" s="25" t="n"/>
      <c r="I4156" s="25" t="n"/>
      <c r="U4156" s="19">
        <f>IF(AND($V4156='設定'!$C$4,COUNTIF('商品マスタ'!$B$6:$B$1005,$W4156)=0),N(U4155)+1,N(U4155))</f>
        <v/>
      </c>
      <c r="V4156" s="19">
        <f>IF($B4156="","",TEXT($B4156,"0000"))</f>
        <v/>
      </c>
      <c r="W4156" s="19">
        <f>IF($I4156="","",IF(ISNUMBER($I4156),TEXT($I4156,"0"),$I4156))</f>
        <v/>
      </c>
    </row>
    <row r="4157">
      <c r="B4157" s="25" t="n"/>
      <c r="I4157" s="25" t="n"/>
      <c r="U4157" s="19">
        <f>IF(AND($V4157='設定'!$C$4,COUNTIF('商品マスタ'!$B$6:$B$1005,$W4157)=0),N(U4156)+1,N(U4156))</f>
        <v/>
      </c>
      <c r="V4157" s="19">
        <f>IF($B4157="","",TEXT($B4157,"0000"))</f>
        <v/>
      </c>
      <c r="W4157" s="19">
        <f>IF($I4157="","",IF(ISNUMBER($I4157),TEXT($I4157,"0"),$I4157))</f>
        <v/>
      </c>
    </row>
    <row r="4158">
      <c r="B4158" s="25" t="n"/>
      <c r="I4158" s="25" t="n"/>
      <c r="U4158" s="19">
        <f>IF(AND($V4158='設定'!$C$4,COUNTIF('商品マスタ'!$B$6:$B$1005,$W4158)=0),N(U4157)+1,N(U4157))</f>
        <v/>
      </c>
      <c r="V4158" s="19">
        <f>IF($B4158="","",TEXT($B4158,"0000"))</f>
        <v/>
      </c>
      <c r="W4158" s="19">
        <f>IF($I4158="","",IF(ISNUMBER($I4158),TEXT($I4158,"0"),$I4158))</f>
        <v/>
      </c>
    </row>
    <row r="4159">
      <c r="B4159" s="25" t="n"/>
      <c r="I4159" s="25" t="n"/>
      <c r="U4159" s="19">
        <f>IF(AND($V4159='設定'!$C$4,COUNTIF('商品マスタ'!$B$6:$B$1005,$W4159)=0),N(U4158)+1,N(U4158))</f>
        <v/>
      </c>
      <c r="V4159" s="19">
        <f>IF($B4159="","",TEXT($B4159,"0000"))</f>
        <v/>
      </c>
      <c r="W4159" s="19">
        <f>IF($I4159="","",IF(ISNUMBER($I4159),TEXT($I4159,"0"),$I4159))</f>
        <v/>
      </c>
    </row>
    <row r="4160">
      <c r="B4160" s="25" t="n"/>
      <c r="I4160" s="25" t="n"/>
      <c r="U4160" s="19">
        <f>IF(AND($V4160='設定'!$C$4,COUNTIF('商品マスタ'!$B$6:$B$1005,$W4160)=0),N(U4159)+1,N(U4159))</f>
        <v/>
      </c>
      <c r="V4160" s="19">
        <f>IF($B4160="","",TEXT($B4160,"0000"))</f>
        <v/>
      </c>
      <c r="W4160" s="19">
        <f>IF($I4160="","",IF(ISNUMBER($I4160),TEXT($I4160,"0"),$I4160))</f>
        <v/>
      </c>
    </row>
    <row r="4161">
      <c r="B4161" s="25" t="n"/>
      <c r="I4161" s="25" t="n"/>
      <c r="U4161" s="19">
        <f>IF(AND($V4161='設定'!$C$4,COUNTIF('商品マスタ'!$B$6:$B$1005,$W4161)=0),N(U4160)+1,N(U4160))</f>
        <v/>
      </c>
      <c r="V4161" s="19">
        <f>IF($B4161="","",TEXT($B4161,"0000"))</f>
        <v/>
      </c>
      <c r="W4161" s="19">
        <f>IF($I4161="","",IF(ISNUMBER($I4161),TEXT($I4161,"0"),$I4161))</f>
        <v/>
      </c>
    </row>
    <row r="4162">
      <c r="B4162" s="25" t="n"/>
      <c r="I4162" s="25" t="n"/>
      <c r="U4162" s="19">
        <f>IF(AND($V4162='設定'!$C$4,COUNTIF('商品マスタ'!$B$6:$B$1005,$W4162)=0),N(U4161)+1,N(U4161))</f>
        <v/>
      </c>
      <c r="V4162" s="19">
        <f>IF($B4162="","",TEXT($B4162,"0000"))</f>
        <v/>
      </c>
      <c r="W4162" s="19">
        <f>IF($I4162="","",IF(ISNUMBER($I4162),TEXT($I4162,"0"),$I4162))</f>
        <v/>
      </c>
    </row>
    <row r="4163">
      <c r="B4163" s="25" t="n"/>
      <c r="I4163" s="25" t="n"/>
      <c r="U4163" s="19">
        <f>IF(AND($V4163='設定'!$C$4,COUNTIF('商品マスタ'!$B$6:$B$1005,$W4163)=0),N(U4162)+1,N(U4162))</f>
        <v/>
      </c>
      <c r="V4163" s="19">
        <f>IF($B4163="","",TEXT($B4163,"0000"))</f>
        <v/>
      </c>
      <c r="W4163" s="19">
        <f>IF($I4163="","",IF(ISNUMBER($I4163),TEXT($I4163,"0"),$I4163))</f>
        <v/>
      </c>
    </row>
    <row r="4164">
      <c r="B4164" s="25" t="n"/>
      <c r="I4164" s="25" t="n"/>
      <c r="U4164" s="19">
        <f>IF(AND($V4164='設定'!$C$4,COUNTIF('商品マスタ'!$B$6:$B$1005,$W4164)=0),N(U4163)+1,N(U4163))</f>
        <v/>
      </c>
      <c r="V4164" s="19">
        <f>IF($B4164="","",TEXT($B4164,"0000"))</f>
        <v/>
      </c>
      <c r="W4164" s="19">
        <f>IF($I4164="","",IF(ISNUMBER($I4164),TEXT($I4164,"0"),$I4164))</f>
        <v/>
      </c>
    </row>
    <row r="4165">
      <c r="B4165" s="25" t="n"/>
      <c r="I4165" s="25" t="n"/>
      <c r="U4165" s="19">
        <f>IF(AND($V4165='設定'!$C$4,COUNTIF('商品マスタ'!$B$6:$B$1005,$W4165)=0),N(U4164)+1,N(U4164))</f>
        <v/>
      </c>
      <c r="V4165" s="19">
        <f>IF($B4165="","",TEXT($B4165,"0000"))</f>
        <v/>
      </c>
      <c r="W4165" s="19">
        <f>IF($I4165="","",IF(ISNUMBER($I4165),TEXT($I4165,"0"),$I4165))</f>
        <v/>
      </c>
    </row>
    <row r="4166">
      <c r="B4166" s="25" t="n"/>
      <c r="I4166" s="25" t="n"/>
      <c r="U4166" s="19">
        <f>IF(AND($V4166='設定'!$C$4,COUNTIF('商品マスタ'!$B$6:$B$1005,$W4166)=0),N(U4165)+1,N(U4165))</f>
        <v/>
      </c>
      <c r="V4166" s="19">
        <f>IF($B4166="","",TEXT($B4166,"0000"))</f>
        <v/>
      </c>
      <c r="W4166" s="19">
        <f>IF($I4166="","",IF(ISNUMBER($I4166),TEXT($I4166,"0"),$I4166))</f>
        <v/>
      </c>
    </row>
    <row r="4167">
      <c r="B4167" s="25" t="n"/>
      <c r="I4167" s="25" t="n"/>
      <c r="U4167" s="19">
        <f>IF(AND($V4167='設定'!$C$4,COUNTIF('商品マスタ'!$B$6:$B$1005,$W4167)=0),N(U4166)+1,N(U4166))</f>
        <v/>
      </c>
      <c r="V4167" s="19">
        <f>IF($B4167="","",TEXT($B4167,"0000"))</f>
        <v/>
      </c>
      <c r="W4167" s="19">
        <f>IF($I4167="","",IF(ISNUMBER($I4167),TEXT($I4167,"0"),$I4167))</f>
        <v/>
      </c>
    </row>
    <row r="4168">
      <c r="B4168" s="25" t="n"/>
      <c r="I4168" s="25" t="n"/>
      <c r="U4168" s="19">
        <f>IF(AND($V4168='設定'!$C$4,COUNTIF('商品マスタ'!$B$6:$B$1005,$W4168)=0),N(U4167)+1,N(U4167))</f>
        <v/>
      </c>
      <c r="V4168" s="19">
        <f>IF($B4168="","",TEXT($B4168,"0000"))</f>
        <v/>
      </c>
      <c r="W4168" s="19">
        <f>IF($I4168="","",IF(ISNUMBER($I4168),TEXT($I4168,"0"),$I4168))</f>
        <v/>
      </c>
    </row>
    <row r="4169">
      <c r="B4169" s="25" t="n"/>
      <c r="I4169" s="25" t="n"/>
      <c r="U4169" s="19">
        <f>IF(AND($V4169='設定'!$C$4,COUNTIF('商品マスタ'!$B$6:$B$1005,$W4169)=0),N(U4168)+1,N(U4168))</f>
        <v/>
      </c>
      <c r="V4169" s="19">
        <f>IF($B4169="","",TEXT($B4169,"0000"))</f>
        <v/>
      </c>
      <c r="W4169" s="19">
        <f>IF($I4169="","",IF(ISNUMBER($I4169),TEXT($I4169,"0"),$I4169))</f>
        <v/>
      </c>
    </row>
    <row r="4170">
      <c r="B4170" s="25" t="n"/>
      <c r="I4170" s="25" t="n"/>
      <c r="U4170" s="19">
        <f>IF(AND($V4170='設定'!$C$4,COUNTIF('商品マスタ'!$B$6:$B$1005,$W4170)=0),N(U4169)+1,N(U4169))</f>
        <v/>
      </c>
      <c r="V4170" s="19">
        <f>IF($B4170="","",TEXT($B4170,"0000"))</f>
        <v/>
      </c>
      <c r="W4170" s="19">
        <f>IF($I4170="","",IF(ISNUMBER($I4170),TEXT($I4170,"0"),$I4170))</f>
        <v/>
      </c>
    </row>
    <row r="4171">
      <c r="B4171" s="25" t="n"/>
      <c r="I4171" s="25" t="n"/>
      <c r="U4171" s="19">
        <f>IF(AND($V4171='設定'!$C$4,COUNTIF('商品マスタ'!$B$6:$B$1005,$W4171)=0),N(U4170)+1,N(U4170))</f>
        <v/>
      </c>
      <c r="V4171" s="19">
        <f>IF($B4171="","",TEXT($B4171,"0000"))</f>
        <v/>
      </c>
      <c r="W4171" s="19">
        <f>IF($I4171="","",IF(ISNUMBER($I4171),TEXT($I4171,"0"),$I4171))</f>
        <v/>
      </c>
    </row>
    <row r="4172">
      <c r="B4172" s="25" t="n"/>
      <c r="I4172" s="25" t="n"/>
      <c r="U4172" s="19">
        <f>IF(AND($V4172='設定'!$C$4,COUNTIF('商品マスタ'!$B$6:$B$1005,$W4172)=0),N(U4171)+1,N(U4171))</f>
        <v/>
      </c>
      <c r="V4172" s="19">
        <f>IF($B4172="","",TEXT($B4172,"0000"))</f>
        <v/>
      </c>
      <c r="W4172" s="19">
        <f>IF($I4172="","",IF(ISNUMBER($I4172),TEXT($I4172,"0"),$I4172))</f>
        <v/>
      </c>
    </row>
    <row r="4173">
      <c r="B4173" s="25" t="n"/>
      <c r="I4173" s="25" t="n"/>
      <c r="U4173" s="19">
        <f>IF(AND($V4173='設定'!$C$4,COUNTIF('商品マスタ'!$B$6:$B$1005,$W4173)=0),N(U4172)+1,N(U4172))</f>
        <v/>
      </c>
      <c r="V4173" s="19">
        <f>IF($B4173="","",TEXT($B4173,"0000"))</f>
        <v/>
      </c>
      <c r="W4173" s="19">
        <f>IF($I4173="","",IF(ISNUMBER($I4173),TEXT($I4173,"0"),$I4173))</f>
        <v/>
      </c>
    </row>
    <row r="4174">
      <c r="B4174" s="25" t="n"/>
      <c r="I4174" s="25" t="n"/>
      <c r="U4174" s="19">
        <f>IF(AND($V4174='設定'!$C$4,COUNTIF('商品マスタ'!$B$6:$B$1005,$W4174)=0),N(U4173)+1,N(U4173))</f>
        <v/>
      </c>
      <c r="V4174" s="19">
        <f>IF($B4174="","",TEXT($B4174,"0000"))</f>
        <v/>
      </c>
      <c r="W4174" s="19">
        <f>IF($I4174="","",IF(ISNUMBER($I4174),TEXT($I4174,"0"),$I4174))</f>
        <v/>
      </c>
    </row>
    <row r="4175">
      <c r="B4175" s="25" t="n"/>
      <c r="I4175" s="25" t="n"/>
      <c r="U4175" s="19">
        <f>IF(AND($V4175='設定'!$C$4,COUNTIF('商品マスタ'!$B$6:$B$1005,$W4175)=0),N(U4174)+1,N(U4174))</f>
        <v/>
      </c>
      <c r="V4175" s="19">
        <f>IF($B4175="","",TEXT($B4175,"0000"))</f>
        <v/>
      </c>
      <c r="W4175" s="19">
        <f>IF($I4175="","",IF(ISNUMBER($I4175),TEXT($I4175,"0"),$I4175))</f>
        <v/>
      </c>
    </row>
    <row r="4176">
      <c r="B4176" s="25" t="n"/>
      <c r="I4176" s="25" t="n"/>
      <c r="U4176" s="19">
        <f>IF(AND($V4176='設定'!$C$4,COUNTIF('商品マスタ'!$B$6:$B$1005,$W4176)=0),N(U4175)+1,N(U4175))</f>
        <v/>
      </c>
      <c r="V4176" s="19">
        <f>IF($B4176="","",TEXT($B4176,"0000"))</f>
        <v/>
      </c>
      <c r="W4176" s="19">
        <f>IF($I4176="","",IF(ISNUMBER($I4176),TEXT($I4176,"0"),$I4176))</f>
        <v/>
      </c>
    </row>
    <row r="4177">
      <c r="B4177" s="25" t="n"/>
      <c r="I4177" s="25" t="n"/>
      <c r="U4177" s="19">
        <f>IF(AND($V4177='設定'!$C$4,COUNTIF('商品マスタ'!$B$6:$B$1005,$W4177)=0),N(U4176)+1,N(U4176))</f>
        <v/>
      </c>
      <c r="V4177" s="19">
        <f>IF($B4177="","",TEXT($B4177,"0000"))</f>
        <v/>
      </c>
      <c r="W4177" s="19">
        <f>IF($I4177="","",IF(ISNUMBER($I4177),TEXT($I4177,"0"),$I4177))</f>
        <v/>
      </c>
    </row>
    <row r="4178">
      <c r="B4178" s="25" t="n"/>
      <c r="I4178" s="25" t="n"/>
      <c r="U4178" s="19">
        <f>IF(AND($V4178='設定'!$C$4,COUNTIF('商品マスタ'!$B$6:$B$1005,$W4178)=0),N(U4177)+1,N(U4177))</f>
        <v/>
      </c>
      <c r="V4178" s="19">
        <f>IF($B4178="","",TEXT($B4178,"0000"))</f>
        <v/>
      </c>
      <c r="W4178" s="19">
        <f>IF($I4178="","",IF(ISNUMBER($I4178),TEXT($I4178,"0"),$I4178))</f>
        <v/>
      </c>
    </row>
    <row r="4179">
      <c r="B4179" s="25" t="n"/>
      <c r="I4179" s="25" t="n"/>
      <c r="U4179" s="19">
        <f>IF(AND($V4179='設定'!$C$4,COUNTIF('商品マスタ'!$B$6:$B$1005,$W4179)=0),N(U4178)+1,N(U4178))</f>
        <v/>
      </c>
      <c r="V4179" s="19">
        <f>IF($B4179="","",TEXT($B4179,"0000"))</f>
        <v/>
      </c>
      <c r="W4179" s="19">
        <f>IF($I4179="","",IF(ISNUMBER($I4179),TEXT($I4179,"0"),$I4179))</f>
        <v/>
      </c>
    </row>
    <row r="4180">
      <c r="B4180" s="25" t="n"/>
      <c r="I4180" s="25" t="n"/>
      <c r="U4180" s="19">
        <f>IF(AND($V4180='設定'!$C$4,COUNTIF('商品マスタ'!$B$6:$B$1005,$W4180)=0),N(U4179)+1,N(U4179))</f>
        <v/>
      </c>
      <c r="V4180" s="19">
        <f>IF($B4180="","",TEXT($B4180,"0000"))</f>
        <v/>
      </c>
      <c r="W4180" s="19">
        <f>IF($I4180="","",IF(ISNUMBER($I4180),TEXT($I4180,"0"),$I4180))</f>
        <v/>
      </c>
    </row>
    <row r="4181">
      <c r="B4181" s="25" t="n"/>
      <c r="I4181" s="25" t="n"/>
      <c r="U4181" s="19">
        <f>IF(AND($V4181='設定'!$C$4,COUNTIF('商品マスタ'!$B$6:$B$1005,$W4181)=0),N(U4180)+1,N(U4180))</f>
        <v/>
      </c>
      <c r="V4181" s="19">
        <f>IF($B4181="","",TEXT($B4181,"0000"))</f>
        <v/>
      </c>
      <c r="W4181" s="19">
        <f>IF($I4181="","",IF(ISNUMBER($I4181),TEXT($I4181,"0"),$I4181))</f>
        <v/>
      </c>
    </row>
    <row r="4182">
      <c r="B4182" s="25" t="n"/>
      <c r="I4182" s="25" t="n"/>
      <c r="U4182" s="19">
        <f>IF(AND($V4182='設定'!$C$4,COUNTIF('商品マスタ'!$B$6:$B$1005,$W4182)=0),N(U4181)+1,N(U4181))</f>
        <v/>
      </c>
      <c r="V4182" s="19">
        <f>IF($B4182="","",TEXT($B4182,"0000"))</f>
        <v/>
      </c>
      <c r="W4182" s="19">
        <f>IF($I4182="","",IF(ISNUMBER($I4182),TEXT($I4182,"0"),$I4182))</f>
        <v/>
      </c>
    </row>
    <row r="4183">
      <c r="B4183" s="25" t="n"/>
      <c r="I4183" s="25" t="n"/>
      <c r="U4183" s="19">
        <f>IF(AND($V4183='設定'!$C$4,COUNTIF('商品マスタ'!$B$6:$B$1005,$W4183)=0),N(U4182)+1,N(U4182))</f>
        <v/>
      </c>
      <c r="V4183" s="19">
        <f>IF($B4183="","",TEXT($B4183,"0000"))</f>
        <v/>
      </c>
      <c r="W4183" s="19">
        <f>IF($I4183="","",IF(ISNUMBER($I4183),TEXT($I4183,"0"),$I4183))</f>
        <v/>
      </c>
    </row>
    <row r="4184">
      <c r="B4184" s="25" t="n"/>
      <c r="I4184" s="25" t="n"/>
      <c r="U4184" s="19">
        <f>IF(AND($V4184='設定'!$C$4,COUNTIF('商品マスタ'!$B$6:$B$1005,$W4184)=0),N(U4183)+1,N(U4183))</f>
        <v/>
      </c>
      <c r="V4184" s="19">
        <f>IF($B4184="","",TEXT($B4184,"0000"))</f>
        <v/>
      </c>
      <c r="W4184" s="19">
        <f>IF($I4184="","",IF(ISNUMBER($I4184),TEXT($I4184,"0"),$I4184))</f>
        <v/>
      </c>
    </row>
    <row r="4185">
      <c r="B4185" s="25" t="n"/>
      <c r="I4185" s="25" t="n"/>
      <c r="U4185" s="19">
        <f>IF(AND($V4185='設定'!$C$4,COUNTIF('商品マスタ'!$B$6:$B$1005,$W4185)=0),N(U4184)+1,N(U4184))</f>
        <v/>
      </c>
      <c r="V4185" s="19">
        <f>IF($B4185="","",TEXT($B4185,"0000"))</f>
        <v/>
      </c>
      <c r="W4185" s="19">
        <f>IF($I4185="","",IF(ISNUMBER($I4185),TEXT($I4185,"0"),$I4185))</f>
        <v/>
      </c>
    </row>
    <row r="4186">
      <c r="B4186" s="25" t="n"/>
      <c r="I4186" s="25" t="n"/>
      <c r="U4186" s="19">
        <f>IF(AND($V4186='設定'!$C$4,COUNTIF('商品マスタ'!$B$6:$B$1005,$W4186)=0),N(U4185)+1,N(U4185))</f>
        <v/>
      </c>
      <c r="V4186" s="19">
        <f>IF($B4186="","",TEXT($B4186,"0000"))</f>
        <v/>
      </c>
      <c r="W4186" s="19">
        <f>IF($I4186="","",IF(ISNUMBER($I4186),TEXT($I4186,"0"),$I4186))</f>
        <v/>
      </c>
    </row>
    <row r="4187">
      <c r="B4187" s="25" t="n"/>
      <c r="I4187" s="25" t="n"/>
      <c r="U4187" s="19">
        <f>IF(AND($V4187='設定'!$C$4,COUNTIF('商品マスタ'!$B$6:$B$1005,$W4187)=0),N(U4186)+1,N(U4186))</f>
        <v/>
      </c>
      <c r="V4187" s="19">
        <f>IF($B4187="","",TEXT($B4187,"0000"))</f>
        <v/>
      </c>
      <c r="W4187" s="19">
        <f>IF($I4187="","",IF(ISNUMBER($I4187),TEXT($I4187,"0"),$I4187))</f>
        <v/>
      </c>
    </row>
    <row r="4188">
      <c r="B4188" s="25" t="n"/>
      <c r="I4188" s="25" t="n"/>
      <c r="U4188" s="19">
        <f>IF(AND($V4188='設定'!$C$4,COUNTIF('商品マスタ'!$B$6:$B$1005,$W4188)=0),N(U4187)+1,N(U4187))</f>
        <v/>
      </c>
      <c r="V4188" s="19">
        <f>IF($B4188="","",TEXT($B4188,"0000"))</f>
        <v/>
      </c>
      <c r="W4188" s="19">
        <f>IF($I4188="","",IF(ISNUMBER($I4188),TEXT($I4188,"0"),$I4188))</f>
        <v/>
      </c>
    </row>
    <row r="4189">
      <c r="B4189" s="25" t="n"/>
      <c r="I4189" s="25" t="n"/>
      <c r="U4189" s="19">
        <f>IF(AND($V4189='設定'!$C$4,COUNTIF('商品マスタ'!$B$6:$B$1005,$W4189)=0),N(U4188)+1,N(U4188))</f>
        <v/>
      </c>
      <c r="V4189" s="19">
        <f>IF($B4189="","",TEXT($B4189,"0000"))</f>
        <v/>
      </c>
      <c r="W4189" s="19">
        <f>IF($I4189="","",IF(ISNUMBER($I4189),TEXT($I4189,"0"),$I4189))</f>
        <v/>
      </c>
    </row>
    <row r="4190">
      <c r="B4190" s="25" t="n"/>
      <c r="I4190" s="25" t="n"/>
      <c r="U4190" s="19">
        <f>IF(AND($V4190='設定'!$C$4,COUNTIF('商品マスタ'!$B$6:$B$1005,$W4190)=0),N(U4189)+1,N(U4189))</f>
        <v/>
      </c>
      <c r="V4190" s="19">
        <f>IF($B4190="","",TEXT($B4190,"0000"))</f>
        <v/>
      </c>
      <c r="W4190" s="19">
        <f>IF($I4190="","",IF(ISNUMBER($I4190),TEXT($I4190,"0"),$I4190))</f>
        <v/>
      </c>
    </row>
    <row r="4191">
      <c r="B4191" s="25" t="n"/>
      <c r="I4191" s="25" t="n"/>
      <c r="U4191" s="19">
        <f>IF(AND($V4191='設定'!$C$4,COUNTIF('商品マスタ'!$B$6:$B$1005,$W4191)=0),N(U4190)+1,N(U4190))</f>
        <v/>
      </c>
      <c r="V4191" s="19">
        <f>IF($B4191="","",TEXT($B4191,"0000"))</f>
        <v/>
      </c>
      <c r="W4191" s="19">
        <f>IF($I4191="","",IF(ISNUMBER($I4191),TEXT($I4191,"0"),$I4191))</f>
        <v/>
      </c>
    </row>
    <row r="4192">
      <c r="B4192" s="25" t="n"/>
      <c r="I4192" s="25" t="n"/>
      <c r="U4192" s="19">
        <f>IF(AND($V4192='設定'!$C$4,COUNTIF('商品マスタ'!$B$6:$B$1005,$W4192)=0),N(U4191)+1,N(U4191))</f>
        <v/>
      </c>
      <c r="V4192" s="19">
        <f>IF($B4192="","",TEXT($B4192,"0000"))</f>
        <v/>
      </c>
      <c r="W4192" s="19">
        <f>IF($I4192="","",IF(ISNUMBER($I4192),TEXT($I4192,"0"),$I4192))</f>
        <v/>
      </c>
    </row>
    <row r="4193">
      <c r="B4193" s="25" t="n"/>
      <c r="I4193" s="25" t="n"/>
      <c r="U4193" s="19">
        <f>IF(AND($V4193='設定'!$C$4,COUNTIF('商品マスタ'!$B$6:$B$1005,$W4193)=0),N(U4192)+1,N(U4192))</f>
        <v/>
      </c>
      <c r="V4193" s="19">
        <f>IF($B4193="","",TEXT($B4193,"0000"))</f>
        <v/>
      </c>
      <c r="W4193" s="19">
        <f>IF($I4193="","",IF(ISNUMBER($I4193),TEXT($I4193,"0"),$I4193))</f>
        <v/>
      </c>
    </row>
    <row r="4194">
      <c r="B4194" s="25" t="n"/>
      <c r="I4194" s="25" t="n"/>
      <c r="U4194" s="19">
        <f>IF(AND($V4194='設定'!$C$4,COUNTIF('商品マスタ'!$B$6:$B$1005,$W4194)=0),N(U4193)+1,N(U4193))</f>
        <v/>
      </c>
      <c r="V4194" s="19">
        <f>IF($B4194="","",TEXT($B4194,"0000"))</f>
        <v/>
      </c>
      <c r="W4194" s="19">
        <f>IF($I4194="","",IF(ISNUMBER($I4194),TEXT($I4194,"0"),$I4194))</f>
        <v/>
      </c>
    </row>
    <row r="4195">
      <c r="B4195" s="25" t="n"/>
      <c r="I4195" s="25" t="n"/>
      <c r="U4195" s="19">
        <f>IF(AND($V4195='設定'!$C$4,COUNTIF('商品マスタ'!$B$6:$B$1005,$W4195)=0),N(U4194)+1,N(U4194))</f>
        <v/>
      </c>
      <c r="V4195" s="19">
        <f>IF($B4195="","",TEXT($B4195,"0000"))</f>
        <v/>
      </c>
      <c r="W4195" s="19">
        <f>IF($I4195="","",IF(ISNUMBER($I4195),TEXT($I4195,"0"),$I4195))</f>
        <v/>
      </c>
    </row>
    <row r="4196">
      <c r="B4196" s="25" t="n"/>
      <c r="I4196" s="25" t="n"/>
      <c r="U4196" s="19">
        <f>IF(AND($V4196='設定'!$C$4,COUNTIF('商品マスタ'!$B$6:$B$1005,$W4196)=0),N(U4195)+1,N(U4195))</f>
        <v/>
      </c>
      <c r="V4196" s="19">
        <f>IF($B4196="","",TEXT($B4196,"0000"))</f>
        <v/>
      </c>
      <c r="W4196" s="19">
        <f>IF($I4196="","",IF(ISNUMBER($I4196),TEXT($I4196,"0"),$I4196))</f>
        <v/>
      </c>
    </row>
    <row r="4197">
      <c r="B4197" s="25" t="n"/>
      <c r="I4197" s="25" t="n"/>
      <c r="U4197" s="19">
        <f>IF(AND($V4197='設定'!$C$4,COUNTIF('商品マスタ'!$B$6:$B$1005,$W4197)=0),N(U4196)+1,N(U4196))</f>
        <v/>
      </c>
      <c r="V4197" s="19">
        <f>IF($B4197="","",TEXT($B4197,"0000"))</f>
        <v/>
      </c>
      <c r="W4197" s="19">
        <f>IF($I4197="","",IF(ISNUMBER($I4197),TEXT($I4197,"0"),$I4197))</f>
        <v/>
      </c>
    </row>
    <row r="4198">
      <c r="B4198" s="25" t="n"/>
      <c r="I4198" s="25" t="n"/>
      <c r="U4198" s="19">
        <f>IF(AND($V4198='設定'!$C$4,COUNTIF('商品マスタ'!$B$6:$B$1005,$W4198)=0),N(U4197)+1,N(U4197))</f>
        <v/>
      </c>
      <c r="V4198" s="19">
        <f>IF($B4198="","",TEXT($B4198,"0000"))</f>
        <v/>
      </c>
      <c r="W4198" s="19">
        <f>IF($I4198="","",IF(ISNUMBER($I4198),TEXT($I4198,"0"),$I4198))</f>
        <v/>
      </c>
    </row>
    <row r="4199">
      <c r="B4199" s="25" t="n"/>
      <c r="I4199" s="25" t="n"/>
      <c r="U4199" s="19">
        <f>IF(AND($V4199='設定'!$C$4,COUNTIF('商品マスタ'!$B$6:$B$1005,$W4199)=0),N(U4198)+1,N(U4198))</f>
        <v/>
      </c>
      <c r="V4199" s="19">
        <f>IF($B4199="","",TEXT($B4199,"0000"))</f>
        <v/>
      </c>
      <c r="W4199" s="19">
        <f>IF($I4199="","",IF(ISNUMBER($I4199),TEXT($I4199,"0"),$I4199))</f>
        <v/>
      </c>
    </row>
    <row r="4200">
      <c r="B4200" s="25" t="n"/>
      <c r="I4200" s="25" t="n"/>
      <c r="U4200" s="19">
        <f>IF(AND($V4200='設定'!$C$4,COUNTIF('商品マスタ'!$B$6:$B$1005,$W4200)=0),N(U4199)+1,N(U4199))</f>
        <v/>
      </c>
      <c r="V4200" s="19">
        <f>IF($B4200="","",TEXT($B4200,"0000"))</f>
        <v/>
      </c>
      <c r="W4200" s="19">
        <f>IF($I4200="","",IF(ISNUMBER($I4200),TEXT($I4200,"0"),$I4200))</f>
        <v/>
      </c>
    </row>
    <row r="4201">
      <c r="B4201" s="25" t="n"/>
      <c r="I4201" s="25" t="n"/>
      <c r="U4201" s="19">
        <f>IF(AND($V4201='設定'!$C$4,COUNTIF('商品マスタ'!$B$6:$B$1005,$W4201)=0),N(U4200)+1,N(U4200))</f>
        <v/>
      </c>
      <c r="V4201" s="19">
        <f>IF($B4201="","",TEXT($B4201,"0000"))</f>
        <v/>
      </c>
      <c r="W4201" s="19">
        <f>IF($I4201="","",IF(ISNUMBER($I4201),TEXT($I4201,"0"),$I4201))</f>
        <v/>
      </c>
    </row>
    <row r="4202">
      <c r="B4202" s="25" t="n"/>
      <c r="I4202" s="25" t="n"/>
      <c r="U4202" s="19">
        <f>IF(AND($V4202='設定'!$C$4,COUNTIF('商品マスタ'!$B$6:$B$1005,$W4202)=0),N(U4201)+1,N(U4201))</f>
        <v/>
      </c>
      <c r="V4202" s="19">
        <f>IF($B4202="","",TEXT($B4202,"0000"))</f>
        <v/>
      </c>
      <c r="W4202" s="19">
        <f>IF($I4202="","",IF(ISNUMBER($I4202),TEXT($I4202,"0"),$I4202))</f>
        <v/>
      </c>
    </row>
    <row r="4203">
      <c r="B4203" s="25" t="n"/>
      <c r="I4203" s="25" t="n"/>
      <c r="U4203" s="19">
        <f>IF(AND($V4203='設定'!$C$4,COUNTIF('商品マスタ'!$B$6:$B$1005,$W4203)=0),N(U4202)+1,N(U4202))</f>
        <v/>
      </c>
      <c r="V4203" s="19">
        <f>IF($B4203="","",TEXT($B4203,"0000"))</f>
        <v/>
      </c>
      <c r="W4203" s="19">
        <f>IF($I4203="","",IF(ISNUMBER($I4203),TEXT($I4203,"0"),$I4203))</f>
        <v/>
      </c>
    </row>
    <row r="4204">
      <c r="B4204" s="25" t="n"/>
      <c r="I4204" s="25" t="n"/>
      <c r="U4204" s="19">
        <f>IF(AND($V4204='設定'!$C$4,COUNTIF('商品マスタ'!$B$6:$B$1005,$W4204)=0),N(U4203)+1,N(U4203))</f>
        <v/>
      </c>
      <c r="V4204" s="19">
        <f>IF($B4204="","",TEXT($B4204,"0000"))</f>
        <v/>
      </c>
      <c r="W4204" s="19">
        <f>IF($I4204="","",IF(ISNUMBER($I4204),TEXT($I4204,"0"),$I4204))</f>
        <v/>
      </c>
    </row>
    <row r="4205">
      <c r="B4205" s="25" t="n"/>
      <c r="I4205" s="25" t="n"/>
      <c r="U4205" s="19">
        <f>IF(AND($V4205='設定'!$C$4,COUNTIF('商品マスタ'!$B$6:$B$1005,$W4205)=0),N(U4204)+1,N(U4204))</f>
        <v/>
      </c>
      <c r="V4205" s="19">
        <f>IF($B4205="","",TEXT($B4205,"0000"))</f>
        <v/>
      </c>
      <c r="W4205" s="19">
        <f>IF($I4205="","",IF(ISNUMBER($I4205),TEXT($I4205,"0"),$I4205))</f>
        <v/>
      </c>
    </row>
    <row r="4206">
      <c r="B4206" s="25" t="n"/>
      <c r="I4206" s="25" t="n"/>
      <c r="U4206" s="19">
        <f>IF(AND($V4206='設定'!$C$4,COUNTIF('商品マスタ'!$B$6:$B$1005,$W4206)=0),N(U4205)+1,N(U4205))</f>
        <v/>
      </c>
      <c r="V4206" s="19">
        <f>IF($B4206="","",TEXT($B4206,"0000"))</f>
        <v/>
      </c>
      <c r="W4206" s="19">
        <f>IF($I4206="","",IF(ISNUMBER($I4206),TEXT($I4206,"0"),$I4206))</f>
        <v/>
      </c>
    </row>
    <row r="4207">
      <c r="B4207" s="25" t="n"/>
      <c r="I4207" s="25" t="n"/>
      <c r="U4207" s="19">
        <f>IF(AND($V4207='設定'!$C$4,COUNTIF('商品マスタ'!$B$6:$B$1005,$W4207)=0),N(U4206)+1,N(U4206))</f>
        <v/>
      </c>
      <c r="V4207" s="19">
        <f>IF($B4207="","",TEXT($B4207,"0000"))</f>
        <v/>
      </c>
      <c r="W4207" s="19">
        <f>IF($I4207="","",IF(ISNUMBER($I4207),TEXT($I4207,"0"),$I4207))</f>
        <v/>
      </c>
    </row>
    <row r="4208">
      <c r="B4208" s="25" t="n"/>
      <c r="I4208" s="25" t="n"/>
      <c r="U4208" s="19">
        <f>IF(AND($V4208='設定'!$C$4,COUNTIF('商品マスタ'!$B$6:$B$1005,$W4208)=0),N(U4207)+1,N(U4207))</f>
        <v/>
      </c>
      <c r="V4208" s="19">
        <f>IF($B4208="","",TEXT($B4208,"0000"))</f>
        <v/>
      </c>
      <c r="W4208" s="19">
        <f>IF($I4208="","",IF(ISNUMBER($I4208),TEXT($I4208,"0"),$I4208))</f>
        <v/>
      </c>
    </row>
    <row r="4209">
      <c r="B4209" s="25" t="n"/>
      <c r="I4209" s="25" t="n"/>
      <c r="U4209" s="19">
        <f>IF(AND($V4209='設定'!$C$4,COUNTIF('商品マスタ'!$B$6:$B$1005,$W4209)=0),N(U4208)+1,N(U4208))</f>
        <v/>
      </c>
      <c r="V4209" s="19">
        <f>IF($B4209="","",TEXT($B4209,"0000"))</f>
        <v/>
      </c>
      <c r="W4209" s="19">
        <f>IF($I4209="","",IF(ISNUMBER($I4209),TEXT($I4209,"0"),$I4209))</f>
        <v/>
      </c>
    </row>
    <row r="4210">
      <c r="B4210" s="25" t="n"/>
      <c r="I4210" s="25" t="n"/>
      <c r="U4210" s="19">
        <f>IF(AND($V4210='設定'!$C$4,COUNTIF('商品マスタ'!$B$6:$B$1005,$W4210)=0),N(U4209)+1,N(U4209))</f>
        <v/>
      </c>
      <c r="V4210" s="19">
        <f>IF($B4210="","",TEXT($B4210,"0000"))</f>
        <v/>
      </c>
      <c r="W4210" s="19">
        <f>IF($I4210="","",IF(ISNUMBER($I4210),TEXT($I4210,"0"),$I4210))</f>
        <v/>
      </c>
    </row>
    <row r="4211">
      <c r="B4211" s="25" t="n"/>
      <c r="I4211" s="25" t="n"/>
      <c r="U4211" s="19">
        <f>IF(AND($V4211='設定'!$C$4,COUNTIF('商品マスタ'!$B$6:$B$1005,$W4211)=0),N(U4210)+1,N(U4210))</f>
        <v/>
      </c>
      <c r="V4211" s="19">
        <f>IF($B4211="","",TEXT($B4211,"0000"))</f>
        <v/>
      </c>
      <c r="W4211" s="19">
        <f>IF($I4211="","",IF(ISNUMBER($I4211),TEXT($I4211,"0"),$I4211))</f>
        <v/>
      </c>
    </row>
    <row r="4212">
      <c r="B4212" s="25" t="n"/>
      <c r="I4212" s="25" t="n"/>
      <c r="U4212" s="19">
        <f>IF(AND($V4212='設定'!$C$4,COUNTIF('商品マスタ'!$B$6:$B$1005,$W4212)=0),N(U4211)+1,N(U4211))</f>
        <v/>
      </c>
      <c r="V4212" s="19">
        <f>IF($B4212="","",TEXT($B4212,"0000"))</f>
        <v/>
      </c>
      <c r="W4212" s="19">
        <f>IF($I4212="","",IF(ISNUMBER($I4212),TEXT($I4212,"0"),$I4212))</f>
        <v/>
      </c>
    </row>
    <row r="4213">
      <c r="B4213" s="25" t="n"/>
      <c r="I4213" s="25" t="n"/>
      <c r="U4213" s="19">
        <f>IF(AND($V4213='設定'!$C$4,COUNTIF('商品マスタ'!$B$6:$B$1005,$W4213)=0),N(U4212)+1,N(U4212))</f>
        <v/>
      </c>
      <c r="V4213" s="19">
        <f>IF($B4213="","",TEXT($B4213,"0000"))</f>
        <v/>
      </c>
      <c r="W4213" s="19">
        <f>IF($I4213="","",IF(ISNUMBER($I4213),TEXT($I4213,"0"),$I4213))</f>
        <v/>
      </c>
    </row>
    <row r="4214">
      <c r="B4214" s="25" t="n"/>
      <c r="I4214" s="25" t="n"/>
      <c r="U4214" s="19">
        <f>IF(AND($V4214='設定'!$C$4,COUNTIF('商品マスタ'!$B$6:$B$1005,$W4214)=0),N(U4213)+1,N(U4213))</f>
        <v/>
      </c>
      <c r="V4214" s="19">
        <f>IF($B4214="","",TEXT($B4214,"0000"))</f>
        <v/>
      </c>
      <c r="W4214" s="19">
        <f>IF($I4214="","",IF(ISNUMBER($I4214),TEXT($I4214,"0"),$I4214))</f>
        <v/>
      </c>
    </row>
    <row r="4215">
      <c r="B4215" s="25" t="n"/>
      <c r="I4215" s="25" t="n"/>
      <c r="U4215" s="19">
        <f>IF(AND($V4215='設定'!$C$4,COUNTIF('商品マスタ'!$B$6:$B$1005,$W4215)=0),N(U4214)+1,N(U4214))</f>
        <v/>
      </c>
      <c r="V4215" s="19">
        <f>IF($B4215="","",TEXT($B4215,"0000"))</f>
        <v/>
      </c>
      <c r="W4215" s="19">
        <f>IF($I4215="","",IF(ISNUMBER($I4215),TEXT($I4215,"0"),$I4215))</f>
        <v/>
      </c>
    </row>
    <row r="4216">
      <c r="B4216" s="25" t="n"/>
      <c r="I4216" s="25" t="n"/>
      <c r="U4216" s="19">
        <f>IF(AND($V4216='設定'!$C$4,COUNTIF('商品マスタ'!$B$6:$B$1005,$W4216)=0),N(U4215)+1,N(U4215))</f>
        <v/>
      </c>
      <c r="V4216" s="19">
        <f>IF($B4216="","",TEXT($B4216,"0000"))</f>
        <v/>
      </c>
      <c r="W4216" s="19">
        <f>IF($I4216="","",IF(ISNUMBER($I4216),TEXT($I4216,"0"),$I4216))</f>
        <v/>
      </c>
    </row>
    <row r="4217">
      <c r="B4217" s="25" t="n"/>
      <c r="I4217" s="25" t="n"/>
      <c r="U4217" s="19">
        <f>IF(AND($V4217='設定'!$C$4,COUNTIF('商品マスタ'!$B$6:$B$1005,$W4217)=0),N(U4216)+1,N(U4216))</f>
        <v/>
      </c>
      <c r="V4217" s="19">
        <f>IF($B4217="","",TEXT($B4217,"0000"))</f>
        <v/>
      </c>
      <c r="W4217" s="19">
        <f>IF($I4217="","",IF(ISNUMBER($I4217),TEXT($I4217,"0"),$I4217))</f>
        <v/>
      </c>
    </row>
    <row r="4218">
      <c r="B4218" s="25" t="n"/>
      <c r="I4218" s="25" t="n"/>
      <c r="U4218" s="19">
        <f>IF(AND($V4218='設定'!$C$4,COUNTIF('商品マスタ'!$B$6:$B$1005,$W4218)=0),N(U4217)+1,N(U4217))</f>
        <v/>
      </c>
      <c r="V4218" s="19">
        <f>IF($B4218="","",TEXT($B4218,"0000"))</f>
        <v/>
      </c>
      <c r="W4218" s="19">
        <f>IF($I4218="","",IF(ISNUMBER($I4218),TEXT($I4218,"0"),$I4218))</f>
        <v/>
      </c>
    </row>
    <row r="4219">
      <c r="B4219" s="25" t="n"/>
      <c r="I4219" s="25" t="n"/>
      <c r="U4219" s="19">
        <f>IF(AND($V4219='設定'!$C$4,COUNTIF('商品マスタ'!$B$6:$B$1005,$W4219)=0),N(U4218)+1,N(U4218))</f>
        <v/>
      </c>
      <c r="V4219" s="19">
        <f>IF($B4219="","",TEXT($B4219,"0000"))</f>
        <v/>
      </c>
      <c r="W4219" s="19">
        <f>IF($I4219="","",IF(ISNUMBER($I4219),TEXT($I4219,"0"),$I4219))</f>
        <v/>
      </c>
    </row>
    <row r="4220">
      <c r="B4220" s="25" t="n"/>
      <c r="I4220" s="25" t="n"/>
      <c r="U4220" s="19">
        <f>IF(AND($V4220='設定'!$C$4,COUNTIF('商品マスタ'!$B$6:$B$1005,$W4220)=0),N(U4219)+1,N(U4219))</f>
        <v/>
      </c>
      <c r="V4220" s="19">
        <f>IF($B4220="","",TEXT($B4220,"0000"))</f>
        <v/>
      </c>
      <c r="W4220" s="19">
        <f>IF($I4220="","",IF(ISNUMBER($I4220),TEXT($I4220,"0"),$I4220))</f>
        <v/>
      </c>
    </row>
    <row r="4221">
      <c r="B4221" s="25" t="n"/>
      <c r="I4221" s="25" t="n"/>
      <c r="U4221" s="19">
        <f>IF(AND($V4221='設定'!$C$4,COUNTIF('商品マスタ'!$B$6:$B$1005,$W4221)=0),N(U4220)+1,N(U4220))</f>
        <v/>
      </c>
      <c r="V4221" s="19">
        <f>IF($B4221="","",TEXT($B4221,"0000"))</f>
        <v/>
      </c>
      <c r="W4221" s="19">
        <f>IF($I4221="","",IF(ISNUMBER($I4221),TEXT($I4221,"0"),$I4221))</f>
        <v/>
      </c>
    </row>
    <row r="4222">
      <c r="B4222" s="25" t="n"/>
      <c r="I4222" s="25" t="n"/>
      <c r="U4222" s="19">
        <f>IF(AND($V4222='設定'!$C$4,COUNTIF('商品マスタ'!$B$6:$B$1005,$W4222)=0),N(U4221)+1,N(U4221))</f>
        <v/>
      </c>
      <c r="V4222" s="19">
        <f>IF($B4222="","",TEXT($B4222,"0000"))</f>
        <v/>
      </c>
      <c r="W4222" s="19">
        <f>IF($I4222="","",IF(ISNUMBER($I4222),TEXT($I4222,"0"),$I4222))</f>
        <v/>
      </c>
    </row>
    <row r="4223">
      <c r="B4223" s="25" t="n"/>
      <c r="I4223" s="25" t="n"/>
      <c r="U4223" s="19">
        <f>IF(AND($V4223='設定'!$C$4,COUNTIF('商品マスタ'!$B$6:$B$1005,$W4223)=0),N(U4222)+1,N(U4222))</f>
        <v/>
      </c>
      <c r="V4223" s="19">
        <f>IF($B4223="","",TEXT($B4223,"0000"))</f>
        <v/>
      </c>
      <c r="W4223" s="19">
        <f>IF($I4223="","",IF(ISNUMBER($I4223),TEXT($I4223,"0"),$I4223))</f>
        <v/>
      </c>
    </row>
    <row r="4224">
      <c r="B4224" s="25" t="n"/>
      <c r="I4224" s="25" t="n"/>
      <c r="U4224" s="19">
        <f>IF(AND($V4224='設定'!$C$4,COUNTIF('商品マスタ'!$B$6:$B$1005,$W4224)=0),N(U4223)+1,N(U4223))</f>
        <v/>
      </c>
      <c r="V4224" s="19">
        <f>IF($B4224="","",TEXT($B4224,"0000"))</f>
        <v/>
      </c>
      <c r="W4224" s="19">
        <f>IF($I4224="","",IF(ISNUMBER($I4224),TEXT($I4224,"0"),$I4224))</f>
        <v/>
      </c>
    </row>
    <row r="4225">
      <c r="B4225" s="25" t="n"/>
      <c r="I4225" s="25" t="n"/>
      <c r="U4225" s="19">
        <f>IF(AND($V4225='設定'!$C$4,COUNTIF('商品マスタ'!$B$6:$B$1005,$W4225)=0),N(U4224)+1,N(U4224))</f>
        <v/>
      </c>
      <c r="V4225" s="19">
        <f>IF($B4225="","",TEXT($B4225,"0000"))</f>
        <v/>
      </c>
      <c r="W4225" s="19">
        <f>IF($I4225="","",IF(ISNUMBER($I4225),TEXT($I4225,"0"),$I4225))</f>
        <v/>
      </c>
    </row>
    <row r="4226">
      <c r="B4226" s="25" t="n"/>
      <c r="I4226" s="25" t="n"/>
      <c r="U4226" s="19">
        <f>IF(AND($V4226='設定'!$C$4,COUNTIF('商品マスタ'!$B$6:$B$1005,$W4226)=0),N(U4225)+1,N(U4225))</f>
        <v/>
      </c>
      <c r="V4226" s="19">
        <f>IF($B4226="","",TEXT($B4226,"0000"))</f>
        <v/>
      </c>
      <c r="W4226" s="19">
        <f>IF($I4226="","",IF(ISNUMBER($I4226),TEXT($I4226,"0"),$I4226))</f>
        <v/>
      </c>
    </row>
    <row r="4227">
      <c r="B4227" s="25" t="n"/>
      <c r="I4227" s="25" t="n"/>
      <c r="U4227" s="19">
        <f>IF(AND($V4227='設定'!$C$4,COUNTIF('商品マスタ'!$B$6:$B$1005,$W4227)=0),N(U4226)+1,N(U4226))</f>
        <v/>
      </c>
      <c r="V4227" s="19">
        <f>IF($B4227="","",TEXT($B4227,"0000"))</f>
        <v/>
      </c>
      <c r="W4227" s="19">
        <f>IF($I4227="","",IF(ISNUMBER($I4227),TEXT($I4227,"0"),$I4227))</f>
        <v/>
      </c>
    </row>
    <row r="4228">
      <c r="B4228" s="25" t="n"/>
      <c r="I4228" s="25" t="n"/>
      <c r="U4228" s="19">
        <f>IF(AND($V4228='設定'!$C$4,COUNTIF('商品マスタ'!$B$6:$B$1005,$W4228)=0),N(U4227)+1,N(U4227))</f>
        <v/>
      </c>
      <c r="V4228" s="19">
        <f>IF($B4228="","",TEXT($B4228,"0000"))</f>
        <v/>
      </c>
      <c r="W4228" s="19">
        <f>IF($I4228="","",IF(ISNUMBER($I4228),TEXT($I4228,"0"),$I4228))</f>
        <v/>
      </c>
    </row>
    <row r="4229">
      <c r="B4229" s="25" t="n"/>
      <c r="I4229" s="25" t="n"/>
      <c r="U4229" s="19">
        <f>IF(AND($V4229='設定'!$C$4,COUNTIF('商品マスタ'!$B$6:$B$1005,$W4229)=0),N(U4228)+1,N(U4228))</f>
        <v/>
      </c>
      <c r="V4229" s="19">
        <f>IF($B4229="","",TEXT($B4229,"0000"))</f>
        <v/>
      </c>
      <c r="W4229" s="19">
        <f>IF($I4229="","",IF(ISNUMBER($I4229),TEXT($I4229,"0"),$I4229))</f>
        <v/>
      </c>
    </row>
    <row r="4230">
      <c r="B4230" s="25" t="n"/>
      <c r="I4230" s="25" t="n"/>
      <c r="U4230" s="19">
        <f>IF(AND($V4230='設定'!$C$4,COUNTIF('商品マスタ'!$B$6:$B$1005,$W4230)=0),N(U4229)+1,N(U4229))</f>
        <v/>
      </c>
      <c r="V4230" s="19">
        <f>IF($B4230="","",TEXT($B4230,"0000"))</f>
        <v/>
      </c>
      <c r="W4230" s="19">
        <f>IF($I4230="","",IF(ISNUMBER($I4230),TEXT($I4230,"0"),$I4230))</f>
        <v/>
      </c>
    </row>
    <row r="4231">
      <c r="B4231" s="25" t="n"/>
      <c r="I4231" s="25" t="n"/>
      <c r="U4231" s="19">
        <f>IF(AND($V4231='設定'!$C$4,COUNTIF('商品マスタ'!$B$6:$B$1005,$W4231)=0),N(U4230)+1,N(U4230))</f>
        <v/>
      </c>
      <c r="V4231" s="19">
        <f>IF($B4231="","",TEXT($B4231,"0000"))</f>
        <v/>
      </c>
      <c r="W4231" s="19">
        <f>IF($I4231="","",IF(ISNUMBER($I4231),TEXT($I4231,"0"),$I4231))</f>
        <v/>
      </c>
    </row>
    <row r="4232">
      <c r="B4232" s="25" t="n"/>
      <c r="I4232" s="25" t="n"/>
      <c r="U4232" s="19">
        <f>IF(AND($V4232='設定'!$C$4,COUNTIF('商品マスタ'!$B$6:$B$1005,$W4232)=0),N(U4231)+1,N(U4231))</f>
        <v/>
      </c>
      <c r="V4232" s="19">
        <f>IF($B4232="","",TEXT($B4232,"0000"))</f>
        <v/>
      </c>
      <c r="W4232" s="19">
        <f>IF($I4232="","",IF(ISNUMBER($I4232),TEXT($I4232,"0"),$I4232))</f>
        <v/>
      </c>
    </row>
    <row r="4233">
      <c r="B4233" s="25" t="n"/>
      <c r="I4233" s="25" t="n"/>
      <c r="U4233" s="19">
        <f>IF(AND($V4233='設定'!$C$4,COUNTIF('商品マスタ'!$B$6:$B$1005,$W4233)=0),N(U4232)+1,N(U4232))</f>
        <v/>
      </c>
      <c r="V4233" s="19">
        <f>IF($B4233="","",TEXT($B4233,"0000"))</f>
        <v/>
      </c>
      <c r="W4233" s="19">
        <f>IF($I4233="","",IF(ISNUMBER($I4233),TEXT($I4233,"0"),$I4233))</f>
        <v/>
      </c>
    </row>
    <row r="4234">
      <c r="B4234" s="25" t="n"/>
      <c r="I4234" s="25" t="n"/>
      <c r="U4234" s="19">
        <f>IF(AND($V4234='設定'!$C$4,COUNTIF('商品マスタ'!$B$6:$B$1005,$W4234)=0),N(U4233)+1,N(U4233))</f>
        <v/>
      </c>
      <c r="V4234" s="19">
        <f>IF($B4234="","",TEXT($B4234,"0000"))</f>
        <v/>
      </c>
      <c r="W4234" s="19">
        <f>IF($I4234="","",IF(ISNUMBER($I4234),TEXT($I4234,"0"),$I4234))</f>
        <v/>
      </c>
    </row>
    <row r="4235">
      <c r="B4235" s="25" t="n"/>
      <c r="I4235" s="25" t="n"/>
      <c r="U4235" s="19">
        <f>IF(AND($V4235='設定'!$C$4,COUNTIF('商品マスタ'!$B$6:$B$1005,$W4235)=0),N(U4234)+1,N(U4234))</f>
        <v/>
      </c>
      <c r="V4235" s="19">
        <f>IF($B4235="","",TEXT($B4235,"0000"))</f>
        <v/>
      </c>
      <c r="W4235" s="19">
        <f>IF($I4235="","",IF(ISNUMBER($I4235),TEXT($I4235,"0"),$I4235))</f>
        <v/>
      </c>
    </row>
    <row r="4236">
      <c r="B4236" s="25" t="n"/>
      <c r="I4236" s="25" t="n"/>
      <c r="U4236" s="19">
        <f>IF(AND($V4236='設定'!$C$4,COUNTIF('商品マスタ'!$B$6:$B$1005,$W4236)=0),N(U4235)+1,N(U4235))</f>
        <v/>
      </c>
      <c r="V4236" s="19">
        <f>IF($B4236="","",TEXT($B4236,"0000"))</f>
        <v/>
      </c>
      <c r="W4236" s="19">
        <f>IF($I4236="","",IF(ISNUMBER($I4236),TEXT($I4236,"0"),$I4236))</f>
        <v/>
      </c>
    </row>
    <row r="4237">
      <c r="B4237" s="25" t="n"/>
      <c r="I4237" s="25" t="n"/>
      <c r="U4237" s="19">
        <f>IF(AND($V4237='設定'!$C$4,COUNTIF('商品マスタ'!$B$6:$B$1005,$W4237)=0),N(U4236)+1,N(U4236))</f>
        <v/>
      </c>
      <c r="V4237" s="19">
        <f>IF($B4237="","",TEXT($B4237,"0000"))</f>
        <v/>
      </c>
      <c r="W4237" s="19">
        <f>IF($I4237="","",IF(ISNUMBER($I4237),TEXT($I4237,"0"),$I4237))</f>
        <v/>
      </c>
    </row>
    <row r="4238">
      <c r="B4238" s="25" t="n"/>
      <c r="I4238" s="25" t="n"/>
      <c r="U4238" s="19">
        <f>IF(AND($V4238='設定'!$C$4,COUNTIF('商品マスタ'!$B$6:$B$1005,$W4238)=0),N(U4237)+1,N(U4237))</f>
        <v/>
      </c>
      <c r="V4238" s="19">
        <f>IF($B4238="","",TEXT($B4238,"0000"))</f>
        <v/>
      </c>
      <c r="W4238" s="19">
        <f>IF($I4238="","",IF(ISNUMBER($I4238),TEXT($I4238,"0"),$I4238))</f>
        <v/>
      </c>
    </row>
    <row r="4239">
      <c r="B4239" s="25" t="n"/>
      <c r="I4239" s="25" t="n"/>
      <c r="U4239" s="19">
        <f>IF(AND($V4239='設定'!$C$4,COUNTIF('商品マスタ'!$B$6:$B$1005,$W4239)=0),N(U4238)+1,N(U4238))</f>
        <v/>
      </c>
      <c r="V4239" s="19">
        <f>IF($B4239="","",TEXT($B4239,"0000"))</f>
        <v/>
      </c>
      <c r="W4239" s="19">
        <f>IF($I4239="","",IF(ISNUMBER($I4239),TEXT($I4239,"0"),$I4239))</f>
        <v/>
      </c>
    </row>
    <row r="4240">
      <c r="B4240" s="25" t="n"/>
      <c r="I4240" s="25" t="n"/>
      <c r="U4240" s="19">
        <f>IF(AND($V4240='設定'!$C$4,COUNTIF('商品マスタ'!$B$6:$B$1005,$W4240)=0),N(U4239)+1,N(U4239))</f>
        <v/>
      </c>
      <c r="V4240" s="19">
        <f>IF($B4240="","",TEXT($B4240,"0000"))</f>
        <v/>
      </c>
      <c r="W4240" s="19">
        <f>IF($I4240="","",IF(ISNUMBER($I4240),TEXT($I4240,"0"),$I4240))</f>
        <v/>
      </c>
    </row>
    <row r="4241">
      <c r="B4241" s="25" t="n"/>
      <c r="I4241" s="25" t="n"/>
      <c r="U4241" s="19">
        <f>IF(AND($V4241='設定'!$C$4,COUNTIF('商品マスタ'!$B$6:$B$1005,$W4241)=0),N(U4240)+1,N(U4240))</f>
        <v/>
      </c>
      <c r="V4241" s="19">
        <f>IF($B4241="","",TEXT($B4241,"0000"))</f>
        <v/>
      </c>
      <c r="W4241" s="19">
        <f>IF($I4241="","",IF(ISNUMBER($I4241),TEXT($I4241,"0"),$I4241))</f>
        <v/>
      </c>
    </row>
    <row r="4242">
      <c r="B4242" s="25" t="n"/>
      <c r="I4242" s="25" t="n"/>
      <c r="U4242" s="19">
        <f>IF(AND($V4242='設定'!$C$4,COUNTIF('商品マスタ'!$B$6:$B$1005,$W4242)=0),N(U4241)+1,N(U4241))</f>
        <v/>
      </c>
      <c r="V4242" s="19">
        <f>IF($B4242="","",TEXT($B4242,"0000"))</f>
        <v/>
      </c>
      <c r="W4242" s="19">
        <f>IF($I4242="","",IF(ISNUMBER($I4242),TEXT($I4242,"0"),$I4242))</f>
        <v/>
      </c>
    </row>
    <row r="4243">
      <c r="B4243" s="25" t="n"/>
      <c r="I4243" s="25" t="n"/>
      <c r="U4243" s="19">
        <f>IF(AND($V4243='設定'!$C$4,COUNTIF('商品マスタ'!$B$6:$B$1005,$W4243)=0),N(U4242)+1,N(U4242))</f>
        <v/>
      </c>
      <c r="V4243" s="19">
        <f>IF($B4243="","",TEXT($B4243,"0000"))</f>
        <v/>
      </c>
      <c r="W4243" s="19">
        <f>IF($I4243="","",IF(ISNUMBER($I4243),TEXT($I4243,"0"),$I4243))</f>
        <v/>
      </c>
    </row>
    <row r="4244">
      <c r="B4244" s="25" t="n"/>
      <c r="I4244" s="25" t="n"/>
      <c r="U4244" s="19">
        <f>IF(AND($V4244='設定'!$C$4,COUNTIF('商品マスタ'!$B$6:$B$1005,$W4244)=0),N(U4243)+1,N(U4243))</f>
        <v/>
      </c>
      <c r="V4244" s="19">
        <f>IF($B4244="","",TEXT($B4244,"0000"))</f>
        <v/>
      </c>
      <c r="W4244" s="19">
        <f>IF($I4244="","",IF(ISNUMBER($I4244),TEXT($I4244,"0"),$I4244))</f>
        <v/>
      </c>
    </row>
    <row r="4245">
      <c r="B4245" s="25" t="n"/>
      <c r="I4245" s="25" t="n"/>
      <c r="U4245" s="19">
        <f>IF(AND($V4245='設定'!$C$4,COUNTIF('商品マスタ'!$B$6:$B$1005,$W4245)=0),N(U4244)+1,N(U4244))</f>
        <v/>
      </c>
      <c r="V4245" s="19">
        <f>IF($B4245="","",TEXT($B4245,"0000"))</f>
        <v/>
      </c>
      <c r="W4245" s="19">
        <f>IF($I4245="","",IF(ISNUMBER($I4245),TEXT($I4245,"0"),$I4245))</f>
        <v/>
      </c>
    </row>
    <row r="4246">
      <c r="B4246" s="25" t="n"/>
      <c r="I4246" s="25" t="n"/>
      <c r="U4246" s="19">
        <f>IF(AND($V4246='設定'!$C$4,COUNTIF('商品マスタ'!$B$6:$B$1005,$W4246)=0),N(U4245)+1,N(U4245))</f>
        <v/>
      </c>
      <c r="V4246" s="19">
        <f>IF($B4246="","",TEXT($B4246,"0000"))</f>
        <v/>
      </c>
      <c r="W4246" s="19">
        <f>IF($I4246="","",IF(ISNUMBER($I4246),TEXT($I4246,"0"),$I4246))</f>
        <v/>
      </c>
    </row>
    <row r="4247">
      <c r="B4247" s="25" t="n"/>
      <c r="I4247" s="25" t="n"/>
      <c r="U4247" s="19">
        <f>IF(AND($V4247='設定'!$C$4,COUNTIF('商品マスタ'!$B$6:$B$1005,$W4247)=0),N(U4246)+1,N(U4246))</f>
        <v/>
      </c>
      <c r="V4247" s="19">
        <f>IF($B4247="","",TEXT($B4247,"0000"))</f>
        <v/>
      </c>
      <c r="W4247" s="19">
        <f>IF($I4247="","",IF(ISNUMBER($I4247),TEXT($I4247,"0"),$I4247))</f>
        <v/>
      </c>
    </row>
    <row r="4248">
      <c r="B4248" s="25" t="n"/>
      <c r="I4248" s="25" t="n"/>
      <c r="U4248" s="19">
        <f>IF(AND($V4248='設定'!$C$4,COUNTIF('商品マスタ'!$B$6:$B$1005,$W4248)=0),N(U4247)+1,N(U4247))</f>
        <v/>
      </c>
      <c r="V4248" s="19">
        <f>IF($B4248="","",TEXT($B4248,"0000"))</f>
        <v/>
      </c>
      <c r="W4248" s="19">
        <f>IF($I4248="","",IF(ISNUMBER($I4248),TEXT($I4248,"0"),$I4248))</f>
        <v/>
      </c>
    </row>
    <row r="4249">
      <c r="B4249" s="25" t="n"/>
      <c r="I4249" s="25" t="n"/>
      <c r="U4249" s="19">
        <f>IF(AND($V4249='設定'!$C$4,COUNTIF('商品マスタ'!$B$6:$B$1005,$W4249)=0),N(U4248)+1,N(U4248))</f>
        <v/>
      </c>
      <c r="V4249" s="19">
        <f>IF($B4249="","",TEXT($B4249,"0000"))</f>
        <v/>
      </c>
      <c r="W4249" s="19">
        <f>IF($I4249="","",IF(ISNUMBER($I4249),TEXT($I4249,"0"),$I4249))</f>
        <v/>
      </c>
    </row>
    <row r="4250">
      <c r="B4250" s="25" t="n"/>
      <c r="I4250" s="25" t="n"/>
      <c r="U4250" s="19">
        <f>IF(AND($V4250='設定'!$C$4,COUNTIF('商品マスタ'!$B$6:$B$1005,$W4250)=0),N(U4249)+1,N(U4249))</f>
        <v/>
      </c>
      <c r="V4250" s="19">
        <f>IF($B4250="","",TEXT($B4250,"0000"))</f>
        <v/>
      </c>
      <c r="W4250" s="19">
        <f>IF($I4250="","",IF(ISNUMBER($I4250),TEXT($I4250,"0"),$I4250))</f>
        <v/>
      </c>
    </row>
    <row r="4251">
      <c r="B4251" s="25" t="n"/>
      <c r="I4251" s="25" t="n"/>
      <c r="U4251" s="19">
        <f>IF(AND($V4251='設定'!$C$4,COUNTIF('商品マスタ'!$B$6:$B$1005,$W4251)=0),N(U4250)+1,N(U4250))</f>
        <v/>
      </c>
      <c r="V4251" s="19">
        <f>IF($B4251="","",TEXT($B4251,"0000"))</f>
        <v/>
      </c>
      <c r="W4251" s="19">
        <f>IF($I4251="","",IF(ISNUMBER($I4251),TEXT($I4251,"0"),$I4251))</f>
        <v/>
      </c>
    </row>
    <row r="4252">
      <c r="B4252" s="25" t="n"/>
      <c r="I4252" s="25" t="n"/>
      <c r="U4252" s="19">
        <f>IF(AND($V4252='設定'!$C$4,COUNTIF('商品マスタ'!$B$6:$B$1005,$W4252)=0),N(U4251)+1,N(U4251))</f>
        <v/>
      </c>
      <c r="V4252" s="19">
        <f>IF($B4252="","",TEXT($B4252,"0000"))</f>
        <v/>
      </c>
      <c r="W4252" s="19">
        <f>IF($I4252="","",IF(ISNUMBER($I4252),TEXT($I4252,"0"),$I4252))</f>
        <v/>
      </c>
    </row>
    <row r="4253">
      <c r="B4253" s="25" t="n"/>
      <c r="I4253" s="25" t="n"/>
      <c r="U4253" s="19">
        <f>IF(AND($V4253='設定'!$C$4,COUNTIF('商品マスタ'!$B$6:$B$1005,$W4253)=0),N(U4252)+1,N(U4252))</f>
        <v/>
      </c>
      <c r="V4253" s="19">
        <f>IF($B4253="","",TEXT($B4253,"0000"))</f>
        <v/>
      </c>
      <c r="W4253" s="19">
        <f>IF($I4253="","",IF(ISNUMBER($I4253),TEXT($I4253,"0"),$I4253))</f>
        <v/>
      </c>
    </row>
    <row r="4254">
      <c r="B4254" s="25" t="n"/>
      <c r="I4254" s="25" t="n"/>
      <c r="U4254" s="19">
        <f>IF(AND($V4254='設定'!$C$4,COUNTIF('商品マスタ'!$B$6:$B$1005,$W4254)=0),N(U4253)+1,N(U4253))</f>
        <v/>
      </c>
      <c r="V4254" s="19">
        <f>IF($B4254="","",TEXT($B4254,"0000"))</f>
        <v/>
      </c>
      <c r="W4254" s="19">
        <f>IF($I4254="","",IF(ISNUMBER($I4254),TEXT($I4254,"0"),$I4254))</f>
        <v/>
      </c>
    </row>
    <row r="4255">
      <c r="B4255" s="25" t="n"/>
      <c r="I4255" s="25" t="n"/>
      <c r="U4255" s="19">
        <f>IF(AND($V4255='設定'!$C$4,COUNTIF('商品マスタ'!$B$6:$B$1005,$W4255)=0),N(U4254)+1,N(U4254))</f>
        <v/>
      </c>
      <c r="V4255" s="19">
        <f>IF($B4255="","",TEXT($B4255,"0000"))</f>
        <v/>
      </c>
      <c r="W4255" s="19">
        <f>IF($I4255="","",IF(ISNUMBER($I4255),TEXT($I4255,"0"),$I4255))</f>
        <v/>
      </c>
    </row>
    <row r="4256">
      <c r="B4256" s="25" t="n"/>
      <c r="I4256" s="25" t="n"/>
      <c r="U4256" s="19">
        <f>IF(AND($V4256='設定'!$C$4,COUNTIF('商品マスタ'!$B$6:$B$1005,$W4256)=0),N(U4255)+1,N(U4255))</f>
        <v/>
      </c>
      <c r="V4256" s="19">
        <f>IF($B4256="","",TEXT($B4256,"0000"))</f>
        <v/>
      </c>
      <c r="W4256" s="19">
        <f>IF($I4256="","",IF(ISNUMBER($I4256),TEXT($I4256,"0"),$I4256))</f>
        <v/>
      </c>
    </row>
    <row r="4257">
      <c r="B4257" s="25" t="n"/>
      <c r="I4257" s="25" t="n"/>
      <c r="U4257" s="19">
        <f>IF(AND($V4257='設定'!$C$4,COUNTIF('商品マスタ'!$B$6:$B$1005,$W4257)=0),N(U4256)+1,N(U4256))</f>
        <v/>
      </c>
      <c r="V4257" s="19">
        <f>IF($B4257="","",TEXT($B4257,"0000"))</f>
        <v/>
      </c>
      <c r="W4257" s="19">
        <f>IF($I4257="","",IF(ISNUMBER($I4257),TEXT($I4257,"0"),$I4257))</f>
        <v/>
      </c>
    </row>
    <row r="4258">
      <c r="B4258" s="25" t="n"/>
      <c r="I4258" s="25" t="n"/>
      <c r="U4258" s="19">
        <f>IF(AND($V4258='設定'!$C$4,COUNTIF('商品マスタ'!$B$6:$B$1005,$W4258)=0),N(U4257)+1,N(U4257))</f>
        <v/>
      </c>
      <c r="V4258" s="19">
        <f>IF($B4258="","",TEXT($B4258,"0000"))</f>
        <v/>
      </c>
      <c r="W4258" s="19">
        <f>IF($I4258="","",IF(ISNUMBER($I4258),TEXT($I4258,"0"),$I4258))</f>
        <v/>
      </c>
    </row>
    <row r="4259">
      <c r="B4259" s="25" t="n"/>
      <c r="I4259" s="25" t="n"/>
      <c r="U4259" s="19">
        <f>IF(AND($V4259='設定'!$C$4,COUNTIF('商品マスタ'!$B$6:$B$1005,$W4259)=0),N(U4258)+1,N(U4258))</f>
        <v/>
      </c>
      <c r="V4259" s="19">
        <f>IF($B4259="","",TEXT($B4259,"0000"))</f>
        <v/>
      </c>
      <c r="W4259" s="19">
        <f>IF($I4259="","",IF(ISNUMBER($I4259),TEXT($I4259,"0"),$I4259))</f>
        <v/>
      </c>
    </row>
    <row r="4260">
      <c r="B4260" s="25" t="n"/>
      <c r="I4260" s="25" t="n"/>
      <c r="U4260" s="19">
        <f>IF(AND($V4260='設定'!$C$4,COUNTIF('商品マスタ'!$B$6:$B$1005,$W4260)=0),N(U4259)+1,N(U4259))</f>
        <v/>
      </c>
      <c r="V4260" s="19">
        <f>IF($B4260="","",TEXT($B4260,"0000"))</f>
        <v/>
      </c>
      <c r="W4260" s="19">
        <f>IF($I4260="","",IF(ISNUMBER($I4260),TEXT($I4260,"0"),$I4260))</f>
        <v/>
      </c>
    </row>
    <row r="4261">
      <c r="B4261" s="25" t="n"/>
      <c r="I4261" s="25" t="n"/>
      <c r="U4261" s="19">
        <f>IF(AND($V4261='設定'!$C$4,COUNTIF('商品マスタ'!$B$6:$B$1005,$W4261)=0),N(U4260)+1,N(U4260))</f>
        <v/>
      </c>
      <c r="V4261" s="19">
        <f>IF($B4261="","",TEXT($B4261,"0000"))</f>
        <v/>
      </c>
      <c r="W4261" s="19">
        <f>IF($I4261="","",IF(ISNUMBER($I4261),TEXT($I4261,"0"),$I4261))</f>
        <v/>
      </c>
    </row>
    <row r="4262">
      <c r="B4262" s="25" t="n"/>
      <c r="I4262" s="25" t="n"/>
      <c r="U4262" s="19">
        <f>IF(AND($V4262='設定'!$C$4,COUNTIF('商品マスタ'!$B$6:$B$1005,$W4262)=0),N(U4261)+1,N(U4261))</f>
        <v/>
      </c>
      <c r="V4262" s="19">
        <f>IF($B4262="","",TEXT($B4262,"0000"))</f>
        <v/>
      </c>
      <c r="W4262" s="19">
        <f>IF($I4262="","",IF(ISNUMBER($I4262),TEXT($I4262,"0"),$I4262))</f>
        <v/>
      </c>
    </row>
    <row r="4263">
      <c r="B4263" s="25" t="n"/>
      <c r="I4263" s="25" t="n"/>
      <c r="U4263" s="19">
        <f>IF(AND($V4263='設定'!$C$4,COUNTIF('商品マスタ'!$B$6:$B$1005,$W4263)=0),N(U4262)+1,N(U4262))</f>
        <v/>
      </c>
      <c r="V4263" s="19">
        <f>IF($B4263="","",TEXT($B4263,"0000"))</f>
        <v/>
      </c>
      <c r="W4263" s="19">
        <f>IF($I4263="","",IF(ISNUMBER($I4263),TEXT($I4263,"0"),$I4263))</f>
        <v/>
      </c>
    </row>
    <row r="4264">
      <c r="B4264" s="25" t="n"/>
      <c r="I4264" s="25" t="n"/>
      <c r="U4264" s="19">
        <f>IF(AND($V4264='設定'!$C$4,COUNTIF('商品マスタ'!$B$6:$B$1005,$W4264)=0),N(U4263)+1,N(U4263))</f>
        <v/>
      </c>
      <c r="V4264" s="19">
        <f>IF($B4264="","",TEXT($B4264,"0000"))</f>
        <v/>
      </c>
      <c r="W4264" s="19">
        <f>IF($I4264="","",IF(ISNUMBER($I4264),TEXT($I4264,"0"),$I4264))</f>
        <v/>
      </c>
    </row>
    <row r="4265">
      <c r="B4265" s="25" t="n"/>
      <c r="I4265" s="25" t="n"/>
      <c r="U4265" s="19">
        <f>IF(AND($V4265='設定'!$C$4,COUNTIF('商品マスタ'!$B$6:$B$1005,$W4265)=0),N(U4264)+1,N(U4264))</f>
        <v/>
      </c>
      <c r="V4265" s="19">
        <f>IF($B4265="","",TEXT($B4265,"0000"))</f>
        <v/>
      </c>
      <c r="W4265" s="19">
        <f>IF($I4265="","",IF(ISNUMBER($I4265),TEXT($I4265,"0"),$I4265))</f>
        <v/>
      </c>
    </row>
    <row r="4266">
      <c r="B4266" s="25" t="n"/>
      <c r="I4266" s="25" t="n"/>
      <c r="U4266" s="19">
        <f>IF(AND($V4266='設定'!$C$4,COUNTIF('商品マスタ'!$B$6:$B$1005,$W4266)=0),N(U4265)+1,N(U4265))</f>
        <v/>
      </c>
      <c r="V4266" s="19">
        <f>IF($B4266="","",TEXT($B4266,"0000"))</f>
        <v/>
      </c>
      <c r="W4266" s="19">
        <f>IF($I4266="","",IF(ISNUMBER($I4266),TEXT($I4266,"0"),$I4266))</f>
        <v/>
      </c>
    </row>
    <row r="4267">
      <c r="B4267" s="25" t="n"/>
      <c r="I4267" s="25" t="n"/>
      <c r="U4267" s="19">
        <f>IF(AND($V4267='設定'!$C$4,COUNTIF('商品マスタ'!$B$6:$B$1005,$W4267)=0),N(U4266)+1,N(U4266))</f>
        <v/>
      </c>
      <c r="V4267" s="19">
        <f>IF($B4267="","",TEXT($B4267,"0000"))</f>
        <v/>
      </c>
      <c r="W4267" s="19">
        <f>IF($I4267="","",IF(ISNUMBER($I4267),TEXT($I4267,"0"),$I4267))</f>
        <v/>
      </c>
    </row>
    <row r="4268">
      <c r="B4268" s="25" t="n"/>
      <c r="I4268" s="25" t="n"/>
      <c r="U4268" s="19">
        <f>IF(AND($V4268='設定'!$C$4,COUNTIF('商品マスタ'!$B$6:$B$1005,$W4268)=0),N(U4267)+1,N(U4267))</f>
        <v/>
      </c>
      <c r="V4268" s="19">
        <f>IF($B4268="","",TEXT($B4268,"0000"))</f>
        <v/>
      </c>
      <c r="W4268" s="19">
        <f>IF($I4268="","",IF(ISNUMBER($I4268),TEXT($I4268,"0"),$I4268))</f>
        <v/>
      </c>
    </row>
    <row r="4269">
      <c r="B4269" s="25" t="n"/>
      <c r="I4269" s="25" t="n"/>
      <c r="U4269" s="19">
        <f>IF(AND($V4269='設定'!$C$4,COUNTIF('商品マスタ'!$B$6:$B$1005,$W4269)=0),N(U4268)+1,N(U4268))</f>
        <v/>
      </c>
      <c r="V4269" s="19">
        <f>IF($B4269="","",TEXT($B4269,"0000"))</f>
        <v/>
      </c>
      <c r="W4269" s="19">
        <f>IF($I4269="","",IF(ISNUMBER($I4269),TEXT($I4269,"0"),$I4269))</f>
        <v/>
      </c>
    </row>
    <row r="4270">
      <c r="B4270" s="25" t="n"/>
      <c r="I4270" s="25" t="n"/>
      <c r="U4270" s="19">
        <f>IF(AND($V4270='設定'!$C$4,COUNTIF('商品マスタ'!$B$6:$B$1005,$W4270)=0),N(U4269)+1,N(U4269))</f>
        <v/>
      </c>
      <c r="V4270" s="19">
        <f>IF($B4270="","",TEXT($B4270,"0000"))</f>
        <v/>
      </c>
      <c r="W4270" s="19">
        <f>IF($I4270="","",IF(ISNUMBER($I4270),TEXT($I4270,"0"),$I4270))</f>
        <v/>
      </c>
    </row>
    <row r="4271">
      <c r="B4271" s="25" t="n"/>
      <c r="I4271" s="25" t="n"/>
      <c r="U4271" s="19">
        <f>IF(AND($V4271='設定'!$C$4,COUNTIF('商品マスタ'!$B$6:$B$1005,$W4271)=0),N(U4270)+1,N(U4270))</f>
        <v/>
      </c>
      <c r="V4271" s="19">
        <f>IF($B4271="","",TEXT($B4271,"0000"))</f>
        <v/>
      </c>
      <c r="W4271" s="19">
        <f>IF($I4271="","",IF(ISNUMBER($I4271),TEXT($I4271,"0"),$I4271))</f>
        <v/>
      </c>
    </row>
    <row r="4272">
      <c r="B4272" s="25" t="n"/>
      <c r="I4272" s="25" t="n"/>
      <c r="U4272" s="19">
        <f>IF(AND($V4272='設定'!$C$4,COUNTIF('商品マスタ'!$B$6:$B$1005,$W4272)=0),N(U4271)+1,N(U4271))</f>
        <v/>
      </c>
      <c r="V4272" s="19">
        <f>IF($B4272="","",TEXT($B4272,"0000"))</f>
        <v/>
      </c>
      <c r="W4272" s="19">
        <f>IF($I4272="","",IF(ISNUMBER($I4272),TEXT($I4272,"0"),$I4272))</f>
        <v/>
      </c>
    </row>
    <row r="4273">
      <c r="B4273" s="25" t="n"/>
      <c r="I4273" s="25" t="n"/>
      <c r="U4273" s="19">
        <f>IF(AND($V4273='設定'!$C$4,COUNTIF('商品マスタ'!$B$6:$B$1005,$W4273)=0),N(U4272)+1,N(U4272))</f>
        <v/>
      </c>
      <c r="V4273" s="19">
        <f>IF($B4273="","",TEXT($B4273,"0000"))</f>
        <v/>
      </c>
      <c r="W4273" s="19">
        <f>IF($I4273="","",IF(ISNUMBER($I4273),TEXT($I4273,"0"),$I4273))</f>
        <v/>
      </c>
    </row>
    <row r="4274">
      <c r="B4274" s="25" t="n"/>
      <c r="I4274" s="25" t="n"/>
      <c r="U4274" s="19">
        <f>IF(AND($V4274='設定'!$C$4,COUNTIF('商品マスタ'!$B$6:$B$1005,$W4274)=0),N(U4273)+1,N(U4273))</f>
        <v/>
      </c>
      <c r="V4274" s="19">
        <f>IF($B4274="","",TEXT($B4274,"0000"))</f>
        <v/>
      </c>
      <c r="W4274" s="19">
        <f>IF($I4274="","",IF(ISNUMBER($I4274),TEXT($I4274,"0"),$I4274))</f>
        <v/>
      </c>
    </row>
    <row r="4275">
      <c r="B4275" s="25" t="n"/>
      <c r="I4275" s="25" t="n"/>
      <c r="U4275" s="19">
        <f>IF(AND($V4275='設定'!$C$4,COUNTIF('商品マスタ'!$B$6:$B$1005,$W4275)=0),N(U4274)+1,N(U4274))</f>
        <v/>
      </c>
      <c r="V4275" s="19">
        <f>IF($B4275="","",TEXT($B4275,"0000"))</f>
        <v/>
      </c>
      <c r="W4275" s="19">
        <f>IF($I4275="","",IF(ISNUMBER($I4275),TEXT($I4275,"0"),$I4275))</f>
        <v/>
      </c>
    </row>
    <row r="4276">
      <c r="B4276" s="25" t="n"/>
      <c r="I4276" s="25" t="n"/>
      <c r="U4276" s="19">
        <f>IF(AND($V4276='設定'!$C$4,COUNTIF('商品マスタ'!$B$6:$B$1005,$W4276)=0),N(U4275)+1,N(U4275))</f>
        <v/>
      </c>
      <c r="V4276" s="19">
        <f>IF($B4276="","",TEXT($B4276,"0000"))</f>
        <v/>
      </c>
      <c r="W4276" s="19">
        <f>IF($I4276="","",IF(ISNUMBER($I4276),TEXT($I4276,"0"),$I4276))</f>
        <v/>
      </c>
    </row>
    <row r="4277">
      <c r="B4277" s="25" t="n"/>
      <c r="I4277" s="25" t="n"/>
      <c r="U4277" s="19">
        <f>IF(AND($V4277='設定'!$C$4,COUNTIF('商品マスタ'!$B$6:$B$1005,$W4277)=0),N(U4276)+1,N(U4276))</f>
        <v/>
      </c>
      <c r="V4277" s="19">
        <f>IF($B4277="","",TEXT($B4277,"0000"))</f>
        <v/>
      </c>
      <c r="W4277" s="19">
        <f>IF($I4277="","",IF(ISNUMBER($I4277),TEXT($I4277,"0"),$I4277))</f>
        <v/>
      </c>
    </row>
    <row r="4278">
      <c r="B4278" s="25" t="n"/>
      <c r="I4278" s="25" t="n"/>
      <c r="U4278" s="19">
        <f>IF(AND($V4278='設定'!$C$4,COUNTIF('商品マスタ'!$B$6:$B$1005,$W4278)=0),N(U4277)+1,N(U4277))</f>
        <v/>
      </c>
      <c r="V4278" s="19">
        <f>IF($B4278="","",TEXT($B4278,"0000"))</f>
        <v/>
      </c>
      <c r="W4278" s="19">
        <f>IF($I4278="","",IF(ISNUMBER($I4278),TEXT($I4278,"0"),$I4278))</f>
        <v/>
      </c>
    </row>
    <row r="4279">
      <c r="B4279" s="25" t="n"/>
      <c r="I4279" s="25" t="n"/>
      <c r="U4279" s="19">
        <f>IF(AND($V4279='設定'!$C$4,COUNTIF('商品マスタ'!$B$6:$B$1005,$W4279)=0),N(U4278)+1,N(U4278))</f>
        <v/>
      </c>
      <c r="V4279" s="19">
        <f>IF($B4279="","",TEXT($B4279,"0000"))</f>
        <v/>
      </c>
      <c r="W4279" s="19">
        <f>IF($I4279="","",IF(ISNUMBER($I4279),TEXT($I4279,"0"),$I4279))</f>
        <v/>
      </c>
    </row>
    <row r="4280">
      <c r="B4280" s="25" t="n"/>
      <c r="I4280" s="25" t="n"/>
      <c r="U4280" s="19">
        <f>IF(AND($V4280='設定'!$C$4,COUNTIF('商品マスタ'!$B$6:$B$1005,$W4280)=0),N(U4279)+1,N(U4279))</f>
        <v/>
      </c>
      <c r="V4280" s="19">
        <f>IF($B4280="","",TEXT($B4280,"0000"))</f>
        <v/>
      </c>
      <c r="W4280" s="19">
        <f>IF($I4280="","",IF(ISNUMBER($I4280),TEXT($I4280,"0"),$I4280))</f>
        <v/>
      </c>
    </row>
    <row r="4281">
      <c r="B4281" s="25" t="n"/>
      <c r="I4281" s="25" t="n"/>
      <c r="U4281" s="19">
        <f>IF(AND($V4281='設定'!$C$4,COUNTIF('商品マスタ'!$B$6:$B$1005,$W4281)=0),N(U4280)+1,N(U4280))</f>
        <v/>
      </c>
      <c r="V4281" s="19">
        <f>IF($B4281="","",TEXT($B4281,"0000"))</f>
        <v/>
      </c>
      <c r="W4281" s="19">
        <f>IF($I4281="","",IF(ISNUMBER($I4281),TEXT($I4281,"0"),$I4281))</f>
        <v/>
      </c>
    </row>
    <row r="4282">
      <c r="B4282" s="25" t="n"/>
      <c r="I4282" s="25" t="n"/>
      <c r="U4282" s="19">
        <f>IF(AND($V4282='設定'!$C$4,COUNTIF('商品マスタ'!$B$6:$B$1005,$W4282)=0),N(U4281)+1,N(U4281))</f>
        <v/>
      </c>
      <c r="V4282" s="19">
        <f>IF($B4282="","",TEXT($B4282,"0000"))</f>
        <v/>
      </c>
      <c r="W4282" s="19">
        <f>IF($I4282="","",IF(ISNUMBER($I4282),TEXT($I4282,"0"),$I4282))</f>
        <v/>
      </c>
    </row>
    <row r="4283">
      <c r="B4283" s="25" t="n"/>
      <c r="I4283" s="25" t="n"/>
      <c r="U4283" s="19">
        <f>IF(AND($V4283='設定'!$C$4,COUNTIF('商品マスタ'!$B$6:$B$1005,$W4283)=0),N(U4282)+1,N(U4282))</f>
        <v/>
      </c>
      <c r="V4283" s="19">
        <f>IF($B4283="","",TEXT($B4283,"0000"))</f>
        <v/>
      </c>
      <c r="W4283" s="19">
        <f>IF($I4283="","",IF(ISNUMBER($I4283),TEXT($I4283,"0"),$I4283))</f>
        <v/>
      </c>
    </row>
    <row r="4284">
      <c r="B4284" s="25" t="n"/>
      <c r="I4284" s="25" t="n"/>
      <c r="U4284" s="19">
        <f>IF(AND($V4284='設定'!$C$4,COUNTIF('商品マスタ'!$B$6:$B$1005,$W4284)=0),N(U4283)+1,N(U4283))</f>
        <v/>
      </c>
      <c r="V4284" s="19">
        <f>IF($B4284="","",TEXT($B4284,"0000"))</f>
        <v/>
      </c>
      <c r="W4284" s="19">
        <f>IF($I4284="","",IF(ISNUMBER($I4284),TEXT($I4284,"0"),$I4284))</f>
        <v/>
      </c>
    </row>
    <row r="4285">
      <c r="B4285" s="25" t="n"/>
      <c r="I4285" s="25" t="n"/>
      <c r="U4285" s="19">
        <f>IF(AND($V4285='設定'!$C$4,COUNTIF('商品マスタ'!$B$6:$B$1005,$W4285)=0),N(U4284)+1,N(U4284))</f>
        <v/>
      </c>
      <c r="V4285" s="19">
        <f>IF($B4285="","",TEXT($B4285,"0000"))</f>
        <v/>
      </c>
      <c r="W4285" s="19">
        <f>IF($I4285="","",IF(ISNUMBER($I4285),TEXT($I4285,"0"),$I4285))</f>
        <v/>
      </c>
    </row>
    <row r="4286">
      <c r="B4286" s="25" t="n"/>
      <c r="I4286" s="25" t="n"/>
      <c r="U4286" s="19">
        <f>IF(AND($V4286='設定'!$C$4,COUNTIF('商品マスタ'!$B$6:$B$1005,$W4286)=0),N(U4285)+1,N(U4285))</f>
        <v/>
      </c>
      <c r="V4286" s="19">
        <f>IF($B4286="","",TEXT($B4286,"0000"))</f>
        <v/>
      </c>
      <c r="W4286" s="19">
        <f>IF($I4286="","",IF(ISNUMBER($I4286),TEXT($I4286,"0"),$I4286))</f>
        <v/>
      </c>
    </row>
    <row r="4287">
      <c r="B4287" s="25" t="n"/>
      <c r="I4287" s="25" t="n"/>
      <c r="U4287" s="19">
        <f>IF(AND($V4287='設定'!$C$4,COUNTIF('商品マスタ'!$B$6:$B$1005,$W4287)=0),N(U4286)+1,N(U4286))</f>
        <v/>
      </c>
      <c r="V4287" s="19">
        <f>IF($B4287="","",TEXT($B4287,"0000"))</f>
        <v/>
      </c>
      <c r="W4287" s="19">
        <f>IF($I4287="","",IF(ISNUMBER($I4287),TEXT($I4287,"0"),$I4287))</f>
        <v/>
      </c>
    </row>
    <row r="4288">
      <c r="B4288" s="25" t="n"/>
      <c r="I4288" s="25" t="n"/>
      <c r="U4288" s="19">
        <f>IF(AND($V4288='設定'!$C$4,COUNTIF('商品マスタ'!$B$6:$B$1005,$W4288)=0),N(U4287)+1,N(U4287))</f>
        <v/>
      </c>
      <c r="V4288" s="19">
        <f>IF($B4288="","",TEXT($B4288,"0000"))</f>
        <v/>
      </c>
      <c r="W4288" s="19">
        <f>IF($I4288="","",IF(ISNUMBER($I4288),TEXT($I4288,"0"),$I4288))</f>
        <v/>
      </c>
    </row>
    <row r="4289">
      <c r="B4289" s="25" t="n"/>
      <c r="I4289" s="25" t="n"/>
      <c r="U4289" s="19">
        <f>IF(AND($V4289='設定'!$C$4,COUNTIF('商品マスタ'!$B$6:$B$1005,$W4289)=0),N(U4288)+1,N(U4288))</f>
        <v/>
      </c>
      <c r="V4289" s="19">
        <f>IF($B4289="","",TEXT($B4289,"0000"))</f>
        <v/>
      </c>
      <c r="W4289" s="19">
        <f>IF($I4289="","",IF(ISNUMBER($I4289),TEXT($I4289,"0"),$I4289))</f>
        <v/>
      </c>
    </row>
    <row r="4290">
      <c r="B4290" s="25" t="n"/>
      <c r="I4290" s="25" t="n"/>
      <c r="U4290" s="19">
        <f>IF(AND($V4290='設定'!$C$4,COUNTIF('商品マスタ'!$B$6:$B$1005,$W4290)=0),N(U4289)+1,N(U4289))</f>
        <v/>
      </c>
      <c r="V4290" s="19">
        <f>IF($B4290="","",TEXT($B4290,"0000"))</f>
        <v/>
      </c>
      <c r="W4290" s="19">
        <f>IF($I4290="","",IF(ISNUMBER($I4290),TEXT($I4290,"0"),$I4290))</f>
        <v/>
      </c>
    </row>
    <row r="4291">
      <c r="B4291" s="25" t="n"/>
      <c r="I4291" s="25" t="n"/>
      <c r="U4291" s="19">
        <f>IF(AND($V4291='設定'!$C$4,COUNTIF('商品マスタ'!$B$6:$B$1005,$W4291)=0),N(U4290)+1,N(U4290))</f>
        <v/>
      </c>
      <c r="V4291" s="19">
        <f>IF($B4291="","",TEXT($B4291,"0000"))</f>
        <v/>
      </c>
      <c r="W4291" s="19">
        <f>IF($I4291="","",IF(ISNUMBER($I4291),TEXT($I4291,"0"),$I4291))</f>
        <v/>
      </c>
    </row>
    <row r="4292">
      <c r="B4292" s="25" t="n"/>
      <c r="I4292" s="25" t="n"/>
      <c r="U4292" s="19">
        <f>IF(AND($V4292='設定'!$C$4,COUNTIF('商品マスタ'!$B$6:$B$1005,$W4292)=0),N(U4291)+1,N(U4291))</f>
        <v/>
      </c>
      <c r="V4292" s="19">
        <f>IF($B4292="","",TEXT($B4292,"0000"))</f>
        <v/>
      </c>
      <c r="W4292" s="19">
        <f>IF($I4292="","",IF(ISNUMBER($I4292),TEXT($I4292,"0"),$I4292))</f>
        <v/>
      </c>
    </row>
    <row r="4293">
      <c r="B4293" s="25" t="n"/>
      <c r="I4293" s="25" t="n"/>
      <c r="U4293" s="19">
        <f>IF(AND($V4293='設定'!$C$4,COUNTIF('商品マスタ'!$B$6:$B$1005,$W4293)=0),N(U4292)+1,N(U4292))</f>
        <v/>
      </c>
      <c r="V4293" s="19">
        <f>IF($B4293="","",TEXT($B4293,"0000"))</f>
        <v/>
      </c>
      <c r="W4293" s="19">
        <f>IF($I4293="","",IF(ISNUMBER($I4293),TEXT($I4293,"0"),$I4293))</f>
        <v/>
      </c>
    </row>
    <row r="4294">
      <c r="B4294" s="25" t="n"/>
      <c r="I4294" s="25" t="n"/>
      <c r="U4294" s="19">
        <f>IF(AND($V4294='設定'!$C$4,COUNTIF('商品マスタ'!$B$6:$B$1005,$W4294)=0),N(U4293)+1,N(U4293))</f>
        <v/>
      </c>
      <c r="V4294" s="19">
        <f>IF($B4294="","",TEXT($B4294,"0000"))</f>
        <v/>
      </c>
      <c r="W4294" s="19">
        <f>IF($I4294="","",IF(ISNUMBER($I4294),TEXT($I4294,"0"),$I4294))</f>
        <v/>
      </c>
    </row>
    <row r="4295">
      <c r="B4295" s="25" t="n"/>
      <c r="I4295" s="25" t="n"/>
      <c r="U4295" s="19">
        <f>IF(AND($V4295='設定'!$C$4,COUNTIF('商品マスタ'!$B$6:$B$1005,$W4295)=0),N(U4294)+1,N(U4294))</f>
        <v/>
      </c>
      <c r="V4295" s="19">
        <f>IF($B4295="","",TEXT($B4295,"0000"))</f>
        <v/>
      </c>
      <c r="W4295" s="19">
        <f>IF($I4295="","",IF(ISNUMBER($I4295),TEXT($I4295,"0"),$I4295))</f>
        <v/>
      </c>
    </row>
    <row r="4296">
      <c r="B4296" s="25" t="n"/>
      <c r="I4296" s="25" t="n"/>
      <c r="U4296" s="19">
        <f>IF(AND($V4296='設定'!$C$4,COUNTIF('商品マスタ'!$B$6:$B$1005,$W4296)=0),N(U4295)+1,N(U4295))</f>
        <v/>
      </c>
      <c r="V4296" s="19">
        <f>IF($B4296="","",TEXT($B4296,"0000"))</f>
        <v/>
      </c>
      <c r="W4296" s="19">
        <f>IF($I4296="","",IF(ISNUMBER($I4296),TEXT($I4296,"0"),$I4296))</f>
        <v/>
      </c>
    </row>
    <row r="4297">
      <c r="B4297" s="25" t="n"/>
      <c r="I4297" s="25" t="n"/>
      <c r="U4297" s="19">
        <f>IF(AND($V4297='設定'!$C$4,COUNTIF('商品マスタ'!$B$6:$B$1005,$W4297)=0),N(U4296)+1,N(U4296))</f>
        <v/>
      </c>
      <c r="V4297" s="19">
        <f>IF($B4297="","",TEXT($B4297,"0000"))</f>
        <v/>
      </c>
      <c r="W4297" s="19">
        <f>IF($I4297="","",IF(ISNUMBER($I4297),TEXT($I4297,"0"),$I4297))</f>
        <v/>
      </c>
    </row>
    <row r="4298">
      <c r="B4298" s="25" t="n"/>
      <c r="I4298" s="25" t="n"/>
      <c r="U4298" s="19">
        <f>IF(AND($V4298='設定'!$C$4,COUNTIF('商品マスタ'!$B$6:$B$1005,$W4298)=0),N(U4297)+1,N(U4297))</f>
        <v/>
      </c>
      <c r="V4298" s="19">
        <f>IF($B4298="","",TEXT($B4298,"0000"))</f>
        <v/>
      </c>
      <c r="W4298" s="19">
        <f>IF($I4298="","",IF(ISNUMBER($I4298),TEXT($I4298,"0"),$I4298))</f>
        <v/>
      </c>
    </row>
    <row r="4299">
      <c r="B4299" s="25" t="n"/>
      <c r="I4299" s="25" t="n"/>
      <c r="U4299" s="19">
        <f>IF(AND($V4299='設定'!$C$4,COUNTIF('商品マスタ'!$B$6:$B$1005,$W4299)=0),N(U4298)+1,N(U4298))</f>
        <v/>
      </c>
      <c r="V4299" s="19">
        <f>IF($B4299="","",TEXT($B4299,"0000"))</f>
        <v/>
      </c>
      <c r="W4299" s="19">
        <f>IF($I4299="","",IF(ISNUMBER($I4299),TEXT($I4299,"0"),$I4299))</f>
        <v/>
      </c>
    </row>
    <row r="4300">
      <c r="B4300" s="25" t="n"/>
      <c r="I4300" s="25" t="n"/>
      <c r="U4300" s="19">
        <f>IF(AND($V4300='設定'!$C$4,COUNTIF('商品マスタ'!$B$6:$B$1005,$W4300)=0),N(U4299)+1,N(U4299))</f>
        <v/>
      </c>
      <c r="V4300" s="19">
        <f>IF($B4300="","",TEXT($B4300,"0000"))</f>
        <v/>
      </c>
      <c r="W4300" s="19">
        <f>IF($I4300="","",IF(ISNUMBER($I4300),TEXT($I4300,"0"),$I4300))</f>
        <v/>
      </c>
    </row>
    <row r="4301">
      <c r="B4301" s="25" t="n"/>
      <c r="I4301" s="25" t="n"/>
      <c r="U4301" s="19">
        <f>IF(AND($V4301='設定'!$C$4,COUNTIF('商品マスタ'!$B$6:$B$1005,$W4301)=0),N(U4300)+1,N(U4300))</f>
        <v/>
      </c>
      <c r="V4301" s="19">
        <f>IF($B4301="","",TEXT($B4301,"0000"))</f>
        <v/>
      </c>
      <c r="W4301" s="19">
        <f>IF($I4301="","",IF(ISNUMBER($I4301),TEXT($I4301,"0"),$I4301))</f>
        <v/>
      </c>
    </row>
    <row r="4302">
      <c r="B4302" s="25" t="n"/>
      <c r="I4302" s="25" t="n"/>
      <c r="U4302" s="19">
        <f>IF(AND($V4302='設定'!$C$4,COUNTIF('商品マスタ'!$B$6:$B$1005,$W4302)=0),N(U4301)+1,N(U4301))</f>
        <v/>
      </c>
      <c r="V4302" s="19">
        <f>IF($B4302="","",TEXT($B4302,"0000"))</f>
        <v/>
      </c>
      <c r="W4302" s="19">
        <f>IF($I4302="","",IF(ISNUMBER($I4302),TEXT($I4302,"0"),$I4302))</f>
        <v/>
      </c>
    </row>
    <row r="4303">
      <c r="B4303" s="25" t="n"/>
      <c r="I4303" s="25" t="n"/>
      <c r="U4303" s="19">
        <f>IF(AND($V4303='設定'!$C$4,COUNTIF('商品マスタ'!$B$6:$B$1005,$W4303)=0),N(U4302)+1,N(U4302))</f>
        <v/>
      </c>
      <c r="V4303" s="19">
        <f>IF($B4303="","",TEXT($B4303,"0000"))</f>
        <v/>
      </c>
      <c r="W4303" s="19">
        <f>IF($I4303="","",IF(ISNUMBER($I4303),TEXT($I4303,"0"),$I4303))</f>
        <v/>
      </c>
    </row>
    <row r="4304">
      <c r="B4304" s="25" t="n"/>
      <c r="I4304" s="25" t="n"/>
      <c r="U4304" s="19">
        <f>IF(AND($V4304='設定'!$C$4,COUNTIF('商品マスタ'!$B$6:$B$1005,$W4304)=0),N(U4303)+1,N(U4303))</f>
        <v/>
      </c>
      <c r="V4304" s="19">
        <f>IF($B4304="","",TEXT($B4304,"0000"))</f>
        <v/>
      </c>
      <c r="W4304" s="19">
        <f>IF($I4304="","",IF(ISNUMBER($I4304),TEXT($I4304,"0"),$I4304))</f>
        <v/>
      </c>
    </row>
    <row r="4305">
      <c r="B4305" s="25" t="n"/>
      <c r="I4305" s="25" t="n"/>
      <c r="U4305" s="19">
        <f>IF(AND($V4305='設定'!$C$4,COUNTIF('商品マスタ'!$B$6:$B$1005,$W4305)=0),N(U4304)+1,N(U4304))</f>
        <v/>
      </c>
      <c r="V4305" s="19">
        <f>IF($B4305="","",TEXT($B4305,"0000"))</f>
        <v/>
      </c>
      <c r="W4305" s="19">
        <f>IF($I4305="","",IF(ISNUMBER($I4305),TEXT($I4305,"0"),$I4305))</f>
        <v/>
      </c>
    </row>
    <row r="4306">
      <c r="B4306" s="25" t="n"/>
      <c r="I4306" s="25" t="n"/>
      <c r="U4306" s="19">
        <f>IF(AND($V4306='設定'!$C$4,COUNTIF('商品マスタ'!$B$6:$B$1005,$W4306)=0),N(U4305)+1,N(U4305))</f>
        <v/>
      </c>
      <c r="V4306" s="19">
        <f>IF($B4306="","",TEXT($B4306,"0000"))</f>
        <v/>
      </c>
      <c r="W4306" s="19">
        <f>IF($I4306="","",IF(ISNUMBER($I4306),TEXT($I4306,"0"),$I4306))</f>
        <v/>
      </c>
    </row>
    <row r="4307">
      <c r="B4307" s="25" t="n"/>
      <c r="I4307" s="25" t="n"/>
      <c r="U4307" s="19">
        <f>IF(AND($V4307='設定'!$C$4,COUNTIF('商品マスタ'!$B$6:$B$1005,$W4307)=0),N(U4306)+1,N(U4306))</f>
        <v/>
      </c>
      <c r="V4307" s="19">
        <f>IF($B4307="","",TEXT($B4307,"0000"))</f>
        <v/>
      </c>
      <c r="W4307" s="19">
        <f>IF($I4307="","",IF(ISNUMBER($I4307),TEXT($I4307,"0"),$I4307))</f>
        <v/>
      </c>
    </row>
    <row r="4308">
      <c r="B4308" s="25" t="n"/>
      <c r="I4308" s="25" t="n"/>
      <c r="U4308" s="19">
        <f>IF(AND($V4308='設定'!$C$4,COUNTIF('商品マスタ'!$B$6:$B$1005,$W4308)=0),N(U4307)+1,N(U4307))</f>
        <v/>
      </c>
      <c r="V4308" s="19">
        <f>IF($B4308="","",TEXT($B4308,"0000"))</f>
        <v/>
      </c>
      <c r="W4308" s="19">
        <f>IF($I4308="","",IF(ISNUMBER($I4308),TEXT($I4308,"0"),$I4308))</f>
        <v/>
      </c>
    </row>
    <row r="4309">
      <c r="B4309" s="25" t="n"/>
      <c r="I4309" s="25" t="n"/>
      <c r="U4309" s="19">
        <f>IF(AND($V4309='設定'!$C$4,COUNTIF('商品マスタ'!$B$6:$B$1005,$W4309)=0),N(U4308)+1,N(U4308))</f>
        <v/>
      </c>
      <c r="V4309" s="19">
        <f>IF($B4309="","",TEXT($B4309,"0000"))</f>
        <v/>
      </c>
      <c r="W4309" s="19">
        <f>IF($I4309="","",IF(ISNUMBER($I4309),TEXT($I4309,"0"),$I4309))</f>
        <v/>
      </c>
    </row>
    <row r="4310">
      <c r="B4310" s="25" t="n"/>
      <c r="I4310" s="25" t="n"/>
      <c r="U4310" s="19">
        <f>IF(AND($V4310='設定'!$C$4,COUNTIF('商品マスタ'!$B$6:$B$1005,$W4310)=0),N(U4309)+1,N(U4309))</f>
        <v/>
      </c>
      <c r="V4310" s="19">
        <f>IF($B4310="","",TEXT($B4310,"0000"))</f>
        <v/>
      </c>
      <c r="W4310" s="19">
        <f>IF($I4310="","",IF(ISNUMBER($I4310),TEXT($I4310,"0"),$I4310))</f>
        <v/>
      </c>
    </row>
    <row r="4311">
      <c r="B4311" s="25" t="n"/>
      <c r="I4311" s="25" t="n"/>
      <c r="U4311" s="19">
        <f>IF(AND($V4311='設定'!$C$4,COUNTIF('商品マスタ'!$B$6:$B$1005,$W4311)=0),N(U4310)+1,N(U4310))</f>
        <v/>
      </c>
      <c r="V4311" s="19">
        <f>IF($B4311="","",TEXT($B4311,"0000"))</f>
        <v/>
      </c>
      <c r="W4311" s="19">
        <f>IF($I4311="","",IF(ISNUMBER($I4311),TEXT($I4311,"0"),$I4311))</f>
        <v/>
      </c>
    </row>
    <row r="4312">
      <c r="B4312" s="25" t="n"/>
      <c r="I4312" s="25" t="n"/>
      <c r="U4312" s="19">
        <f>IF(AND($V4312='設定'!$C$4,COUNTIF('商品マスタ'!$B$6:$B$1005,$W4312)=0),N(U4311)+1,N(U4311))</f>
        <v/>
      </c>
      <c r="V4312" s="19">
        <f>IF($B4312="","",TEXT($B4312,"0000"))</f>
        <v/>
      </c>
      <c r="W4312" s="19">
        <f>IF($I4312="","",IF(ISNUMBER($I4312),TEXT($I4312,"0"),$I4312))</f>
        <v/>
      </c>
    </row>
    <row r="4313">
      <c r="B4313" s="25" t="n"/>
      <c r="I4313" s="25" t="n"/>
      <c r="U4313" s="19">
        <f>IF(AND($V4313='設定'!$C$4,COUNTIF('商品マスタ'!$B$6:$B$1005,$W4313)=0),N(U4312)+1,N(U4312))</f>
        <v/>
      </c>
      <c r="V4313" s="19">
        <f>IF($B4313="","",TEXT($B4313,"0000"))</f>
        <v/>
      </c>
      <c r="W4313" s="19">
        <f>IF($I4313="","",IF(ISNUMBER($I4313),TEXT($I4313,"0"),$I4313))</f>
        <v/>
      </c>
    </row>
    <row r="4314">
      <c r="B4314" s="25" t="n"/>
      <c r="I4314" s="25" t="n"/>
      <c r="U4314" s="19">
        <f>IF(AND($V4314='設定'!$C$4,COUNTIF('商品マスタ'!$B$6:$B$1005,$W4314)=0),N(U4313)+1,N(U4313))</f>
        <v/>
      </c>
      <c r="V4314" s="19">
        <f>IF($B4314="","",TEXT($B4314,"0000"))</f>
        <v/>
      </c>
      <c r="W4314" s="19">
        <f>IF($I4314="","",IF(ISNUMBER($I4314),TEXT($I4314,"0"),$I4314))</f>
        <v/>
      </c>
    </row>
    <row r="4315">
      <c r="B4315" s="25" t="n"/>
      <c r="I4315" s="25" t="n"/>
      <c r="U4315" s="19">
        <f>IF(AND($V4315='設定'!$C$4,COUNTIF('商品マスタ'!$B$6:$B$1005,$W4315)=0),N(U4314)+1,N(U4314))</f>
        <v/>
      </c>
      <c r="V4315" s="19">
        <f>IF($B4315="","",TEXT($B4315,"0000"))</f>
        <v/>
      </c>
      <c r="W4315" s="19">
        <f>IF($I4315="","",IF(ISNUMBER($I4315),TEXT($I4315,"0"),$I4315))</f>
        <v/>
      </c>
    </row>
    <row r="4316">
      <c r="B4316" s="25" t="n"/>
      <c r="I4316" s="25" t="n"/>
      <c r="U4316" s="19">
        <f>IF(AND($V4316='設定'!$C$4,COUNTIF('商品マスタ'!$B$6:$B$1005,$W4316)=0),N(U4315)+1,N(U4315))</f>
        <v/>
      </c>
      <c r="V4316" s="19">
        <f>IF($B4316="","",TEXT($B4316,"0000"))</f>
        <v/>
      </c>
      <c r="W4316" s="19">
        <f>IF($I4316="","",IF(ISNUMBER($I4316),TEXT($I4316,"0"),$I4316))</f>
        <v/>
      </c>
    </row>
    <row r="4317">
      <c r="B4317" s="25" t="n"/>
      <c r="I4317" s="25" t="n"/>
      <c r="U4317" s="19">
        <f>IF(AND($V4317='設定'!$C$4,COUNTIF('商品マスタ'!$B$6:$B$1005,$W4317)=0),N(U4316)+1,N(U4316))</f>
        <v/>
      </c>
      <c r="V4317" s="19">
        <f>IF($B4317="","",TEXT($B4317,"0000"))</f>
        <v/>
      </c>
      <c r="W4317" s="19">
        <f>IF($I4317="","",IF(ISNUMBER($I4317),TEXT($I4317,"0"),$I4317))</f>
        <v/>
      </c>
    </row>
    <row r="4318">
      <c r="B4318" s="25" t="n"/>
      <c r="I4318" s="25" t="n"/>
      <c r="U4318" s="19">
        <f>IF(AND($V4318='設定'!$C$4,COUNTIF('商品マスタ'!$B$6:$B$1005,$W4318)=0),N(U4317)+1,N(U4317))</f>
        <v/>
      </c>
      <c r="V4318" s="19">
        <f>IF($B4318="","",TEXT($B4318,"0000"))</f>
        <v/>
      </c>
      <c r="W4318" s="19">
        <f>IF($I4318="","",IF(ISNUMBER($I4318),TEXT($I4318,"0"),$I4318))</f>
        <v/>
      </c>
    </row>
    <row r="4319">
      <c r="B4319" s="25" t="n"/>
      <c r="I4319" s="25" t="n"/>
      <c r="U4319" s="19">
        <f>IF(AND($V4319='設定'!$C$4,COUNTIF('商品マスタ'!$B$6:$B$1005,$W4319)=0),N(U4318)+1,N(U4318))</f>
        <v/>
      </c>
      <c r="V4319" s="19">
        <f>IF($B4319="","",TEXT($B4319,"0000"))</f>
        <v/>
      </c>
      <c r="W4319" s="19">
        <f>IF($I4319="","",IF(ISNUMBER($I4319),TEXT($I4319,"0"),$I4319))</f>
        <v/>
      </c>
    </row>
    <row r="4320">
      <c r="B4320" s="25" t="n"/>
      <c r="I4320" s="25" t="n"/>
      <c r="U4320" s="19">
        <f>IF(AND($V4320='設定'!$C$4,COUNTIF('商品マスタ'!$B$6:$B$1005,$W4320)=0),N(U4319)+1,N(U4319))</f>
        <v/>
      </c>
      <c r="V4320" s="19">
        <f>IF($B4320="","",TEXT($B4320,"0000"))</f>
        <v/>
      </c>
      <c r="W4320" s="19">
        <f>IF($I4320="","",IF(ISNUMBER($I4320),TEXT($I4320,"0"),$I4320))</f>
        <v/>
      </c>
    </row>
    <row r="4321">
      <c r="B4321" s="25" t="n"/>
      <c r="I4321" s="25" t="n"/>
      <c r="U4321" s="19">
        <f>IF(AND($V4321='設定'!$C$4,COUNTIF('商品マスタ'!$B$6:$B$1005,$W4321)=0),N(U4320)+1,N(U4320))</f>
        <v/>
      </c>
      <c r="V4321" s="19">
        <f>IF($B4321="","",TEXT($B4321,"0000"))</f>
        <v/>
      </c>
      <c r="W4321" s="19">
        <f>IF($I4321="","",IF(ISNUMBER($I4321),TEXT($I4321,"0"),$I4321))</f>
        <v/>
      </c>
    </row>
    <row r="4322">
      <c r="B4322" s="25" t="n"/>
      <c r="I4322" s="25" t="n"/>
      <c r="U4322" s="19">
        <f>IF(AND($V4322='設定'!$C$4,COUNTIF('商品マスタ'!$B$6:$B$1005,$W4322)=0),N(U4321)+1,N(U4321))</f>
        <v/>
      </c>
      <c r="V4322" s="19">
        <f>IF($B4322="","",TEXT($B4322,"0000"))</f>
        <v/>
      </c>
      <c r="W4322" s="19">
        <f>IF($I4322="","",IF(ISNUMBER($I4322),TEXT($I4322,"0"),$I4322))</f>
        <v/>
      </c>
    </row>
    <row r="4323">
      <c r="B4323" s="25" t="n"/>
      <c r="I4323" s="25" t="n"/>
      <c r="U4323" s="19">
        <f>IF(AND($V4323='設定'!$C$4,COUNTIF('商品マスタ'!$B$6:$B$1005,$W4323)=0),N(U4322)+1,N(U4322))</f>
        <v/>
      </c>
      <c r="V4323" s="19">
        <f>IF($B4323="","",TEXT($B4323,"0000"))</f>
        <v/>
      </c>
      <c r="W4323" s="19">
        <f>IF($I4323="","",IF(ISNUMBER($I4323),TEXT($I4323,"0"),$I4323))</f>
        <v/>
      </c>
    </row>
    <row r="4324">
      <c r="B4324" s="25" t="n"/>
      <c r="I4324" s="25" t="n"/>
      <c r="U4324" s="19">
        <f>IF(AND($V4324='設定'!$C$4,COUNTIF('商品マスタ'!$B$6:$B$1005,$W4324)=0),N(U4323)+1,N(U4323))</f>
        <v/>
      </c>
      <c r="V4324" s="19">
        <f>IF($B4324="","",TEXT($B4324,"0000"))</f>
        <v/>
      </c>
      <c r="W4324" s="19">
        <f>IF($I4324="","",IF(ISNUMBER($I4324),TEXT($I4324,"0"),$I4324))</f>
        <v/>
      </c>
    </row>
    <row r="4325">
      <c r="B4325" s="25" t="n"/>
      <c r="I4325" s="25" t="n"/>
      <c r="U4325" s="19">
        <f>IF(AND($V4325='設定'!$C$4,COUNTIF('商品マスタ'!$B$6:$B$1005,$W4325)=0),N(U4324)+1,N(U4324))</f>
        <v/>
      </c>
      <c r="V4325" s="19">
        <f>IF($B4325="","",TEXT($B4325,"0000"))</f>
        <v/>
      </c>
      <c r="W4325" s="19">
        <f>IF($I4325="","",IF(ISNUMBER($I4325),TEXT($I4325,"0"),$I4325))</f>
        <v/>
      </c>
    </row>
    <row r="4326">
      <c r="B4326" s="25" t="n"/>
      <c r="I4326" s="25" t="n"/>
      <c r="U4326" s="19">
        <f>IF(AND($V4326='設定'!$C$4,COUNTIF('商品マスタ'!$B$6:$B$1005,$W4326)=0),N(U4325)+1,N(U4325))</f>
        <v/>
      </c>
      <c r="V4326" s="19">
        <f>IF($B4326="","",TEXT($B4326,"0000"))</f>
        <v/>
      </c>
      <c r="W4326" s="19">
        <f>IF($I4326="","",IF(ISNUMBER($I4326),TEXT($I4326,"0"),$I4326))</f>
        <v/>
      </c>
    </row>
    <row r="4327">
      <c r="B4327" s="25" t="n"/>
      <c r="I4327" s="25" t="n"/>
      <c r="U4327" s="19">
        <f>IF(AND($V4327='設定'!$C$4,COUNTIF('商品マスタ'!$B$6:$B$1005,$W4327)=0),N(U4326)+1,N(U4326))</f>
        <v/>
      </c>
      <c r="V4327" s="19">
        <f>IF($B4327="","",TEXT($B4327,"0000"))</f>
        <v/>
      </c>
      <c r="W4327" s="19">
        <f>IF($I4327="","",IF(ISNUMBER($I4327),TEXT($I4327,"0"),$I4327))</f>
        <v/>
      </c>
    </row>
    <row r="4328">
      <c r="B4328" s="25" t="n"/>
      <c r="I4328" s="25" t="n"/>
      <c r="U4328" s="19">
        <f>IF(AND($V4328='設定'!$C$4,COUNTIF('商品マスタ'!$B$6:$B$1005,$W4328)=0),N(U4327)+1,N(U4327))</f>
        <v/>
      </c>
      <c r="V4328" s="19">
        <f>IF($B4328="","",TEXT($B4328,"0000"))</f>
        <v/>
      </c>
      <c r="W4328" s="19">
        <f>IF($I4328="","",IF(ISNUMBER($I4328),TEXT($I4328,"0"),$I4328))</f>
        <v/>
      </c>
    </row>
    <row r="4329">
      <c r="B4329" s="25" t="n"/>
      <c r="I4329" s="25" t="n"/>
      <c r="U4329" s="19">
        <f>IF(AND($V4329='設定'!$C$4,COUNTIF('商品マスタ'!$B$6:$B$1005,$W4329)=0),N(U4328)+1,N(U4328))</f>
        <v/>
      </c>
      <c r="V4329" s="19">
        <f>IF($B4329="","",TEXT($B4329,"0000"))</f>
        <v/>
      </c>
      <c r="W4329" s="19">
        <f>IF($I4329="","",IF(ISNUMBER($I4329),TEXT($I4329,"0"),$I4329))</f>
        <v/>
      </c>
    </row>
    <row r="4330">
      <c r="B4330" s="25" t="n"/>
      <c r="I4330" s="25" t="n"/>
      <c r="U4330" s="19">
        <f>IF(AND($V4330='設定'!$C$4,COUNTIF('商品マスタ'!$B$6:$B$1005,$W4330)=0),N(U4329)+1,N(U4329))</f>
        <v/>
      </c>
      <c r="V4330" s="19">
        <f>IF($B4330="","",TEXT($B4330,"0000"))</f>
        <v/>
      </c>
      <c r="W4330" s="19">
        <f>IF($I4330="","",IF(ISNUMBER($I4330),TEXT($I4330,"0"),$I4330))</f>
        <v/>
      </c>
    </row>
    <row r="4331">
      <c r="B4331" s="25" t="n"/>
      <c r="I4331" s="25" t="n"/>
      <c r="U4331" s="19">
        <f>IF(AND($V4331='設定'!$C$4,COUNTIF('商品マスタ'!$B$6:$B$1005,$W4331)=0),N(U4330)+1,N(U4330))</f>
        <v/>
      </c>
      <c r="V4331" s="19">
        <f>IF($B4331="","",TEXT($B4331,"0000"))</f>
        <v/>
      </c>
      <c r="W4331" s="19">
        <f>IF($I4331="","",IF(ISNUMBER($I4331),TEXT($I4331,"0"),$I4331))</f>
        <v/>
      </c>
    </row>
    <row r="4332">
      <c r="B4332" s="25" t="n"/>
      <c r="I4332" s="25" t="n"/>
      <c r="U4332" s="19">
        <f>IF(AND($V4332='設定'!$C$4,COUNTIF('商品マスタ'!$B$6:$B$1005,$W4332)=0),N(U4331)+1,N(U4331))</f>
        <v/>
      </c>
      <c r="V4332" s="19">
        <f>IF($B4332="","",TEXT($B4332,"0000"))</f>
        <v/>
      </c>
      <c r="W4332" s="19">
        <f>IF($I4332="","",IF(ISNUMBER($I4332),TEXT($I4332,"0"),$I4332))</f>
        <v/>
      </c>
    </row>
    <row r="4333">
      <c r="B4333" s="25" t="n"/>
      <c r="I4333" s="25" t="n"/>
      <c r="U4333" s="19">
        <f>IF(AND($V4333='設定'!$C$4,COUNTIF('商品マスタ'!$B$6:$B$1005,$W4333)=0),N(U4332)+1,N(U4332))</f>
        <v/>
      </c>
      <c r="V4333" s="19">
        <f>IF($B4333="","",TEXT($B4333,"0000"))</f>
        <v/>
      </c>
      <c r="W4333" s="19">
        <f>IF($I4333="","",IF(ISNUMBER($I4333),TEXT($I4333,"0"),$I4333))</f>
        <v/>
      </c>
    </row>
    <row r="4334">
      <c r="B4334" s="25" t="n"/>
      <c r="I4334" s="25" t="n"/>
      <c r="U4334" s="19">
        <f>IF(AND($V4334='設定'!$C$4,COUNTIF('商品マスタ'!$B$6:$B$1005,$W4334)=0),N(U4333)+1,N(U4333))</f>
        <v/>
      </c>
      <c r="V4334" s="19">
        <f>IF($B4334="","",TEXT($B4334,"0000"))</f>
        <v/>
      </c>
      <c r="W4334" s="19">
        <f>IF($I4334="","",IF(ISNUMBER($I4334),TEXT($I4334,"0"),$I4334))</f>
        <v/>
      </c>
    </row>
    <row r="4335">
      <c r="B4335" s="25" t="n"/>
      <c r="I4335" s="25" t="n"/>
      <c r="U4335" s="19">
        <f>IF(AND($V4335='設定'!$C$4,COUNTIF('商品マスタ'!$B$6:$B$1005,$W4335)=0),N(U4334)+1,N(U4334))</f>
        <v/>
      </c>
      <c r="V4335" s="19">
        <f>IF($B4335="","",TEXT($B4335,"0000"))</f>
        <v/>
      </c>
      <c r="W4335" s="19">
        <f>IF($I4335="","",IF(ISNUMBER($I4335),TEXT($I4335,"0"),$I4335))</f>
        <v/>
      </c>
    </row>
    <row r="4336">
      <c r="B4336" s="25" t="n"/>
      <c r="I4336" s="25" t="n"/>
      <c r="U4336" s="19">
        <f>IF(AND($V4336='設定'!$C$4,COUNTIF('商品マスタ'!$B$6:$B$1005,$W4336)=0),N(U4335)+1,N(U4335))</f>
        <v/>
      </c>
      <c r="V4336" s="19">
        <f>IF($B4336="","",TEXT($B4336,"0000"))</f>
        <v/>
      </c>
      <c r="W4336" s="19">
        <f>IF($I4336="","",IF(ISNUMBER($I4336),TEXT($I4336,"0"),$I4336))</f>
        <v/>
      </c>
    </row>
    <row r="4337">
      <c r="B4337" s="25" t="n"/>
      <c r="I4337" s="25" t="n"/>
      <c r="U4337" s="19">
        <f>IF(AND($V4337='設定'!$C$4,COUNTIF('商品マスタ'!$B$6:$B$1005,$W4337)=0),N(U4336)+1,N(U4336))</f>
        <v/>
      </c>
      <c r="V4337" s="19">
        <f>IF($B4337="","",TEXT($B4337,"0000"))</f>
        <v/>
      </c>
      <c r="W4337" s="19">
        <f>IF($I4337="","",IF(ISNUMBER($I4337),TEXT($I4337,"0"),$I4337))</f>
        <v/>
      </c>
    </row>
    <row r="4338">
      <c r="B4338" s="25" t="n"/>
      <c r="I4338" s="25" t="n"/>
      <c r="U4338" s="19">
        <f>IF(AND($V4338='設定'!$C$4,COUNTIF('商品マスタ'!$B$6:$B$1005,$W4338)=0),N(U4337)+1,N(U4337))</f>
        <v/>
      </c>
      <c r="V4338" s="19">
        <f>IF($B4338="","",TEXT($B4338,"0000"))</f>
        <v/>
      </c>
      <c r="W4338" s="19">
        <f>IF($I4338="","",IF(ISNUMBER($I4338),TEXT($I4338,"0"),$I4338))</f>
        <v/>
      </c>
    </row>
    <row r="4339">
      <c r="B4339" s="25" t="n"/>
      <c r="I4339" s="25" t="n"/>
      <c r="U4339" s="19">
        <f>IF(AND($V4339='設定'!$C$4,COUNTIF('商品マスタ'!$B$6:$B$1005,$W4339)=0),N(U4338)+1,N(U4338))</f>
        <v/>
      </c>
      <c r="V4339" s="19">
        <f>IF($B4339="","",TEXT($B4339,"0000"))</f>
        <v/>
      </c>
      <c r="W4339" s="19">
        <f>IF($I4339="","",IF(ISNUMBER($I4339),TEXT($I4339,"0"),$I4339))</f>
        <v/>
      </c>
    </row>
    <row r="4340">
      <c r="B4340" s="25" t="n"/>
      <c r="I4340" s="25" t="n"/>
      <c r="U4340" s="19">
        <f>IF(AND($V4340='設定'!$C$4,COUNTIF('商品マスタ'!$B$6:$B$1005,$W4340)=0),N(U4339)+1,N(U4339))</f>
        <v/>
      </c>
      <c r="V4340" s="19">
        <f>IF($B4340="","",TEXT($B4340,"0000"))</f>
        <v/>
      </c>
      <c r="W4340" s="19">
        <f>IF($I4340="","",IF(ISNUMBER($I4340),TEXT($I4340,"0"),$I4340))</f>
        <v/>
      </c>
    </row>
    <row r="4341">
      <c r="B4341" s="25" t="n"/>
      <c r="I4341" s="25" t="n"/>
      <c r="U4341" s="19">
        <f>IF(AND($V4341='設定'!$C$4,COUNTIF('商品マスタ'!$B$6:$B$1005,$W4341)=0),N(U4340)+1,N(U4340))</f>
        <v/>
      </c>
      <c r="V4341" s="19">
        <f>IF($B4341="","",TEXT($B4341,"0000"))</f>
        <v/>
      </c>
      <c r="W4341" s="19">
        <f>IF($I4341="","",IF(ISNUMBER($I4341),TEXT($I4341,"0"),$I4341))</f>
        <v/>
      </c>
    </row>
    <row r="4342">
      <c r="B4342" s="25" t="n"/>
      <c r="I4342" s="25" t="n"/>
      <c r="U4342" s="19">
        <f>IF(AND($V4342='設定'!$C$4,COUNTIF('商品マスタ'!$B$6:$B$1005,$W4342)=0),N(U4341)+1,N(U4341))</f>
        <v/>
      </c>
      <c r="V4342" s="19">
        <f>IF($B4342="","",TEXT($B4342,"0000"))</f>
        <v/>
      </c>
      <c r="W4342" s="19">
        <f>IF($I4342="","",IF(ISNUMBER($I4342),TEXT($I4342,"0"),$I4342))</f>
        <v/>
      </c>
    </row>
    <row r="4343">
      <c r="B4343" s="25" t="n"/>
      <c r="I4343" s="25" t="n"/>
      <c r="U4343" s="19">
        <f>IF(AND($V4343='設定'!$C$4,COUNTIF('商品マスタ'!$B$6:$B$1005,$W4343)=0),N(U4342)+1,N(U4342))</f>
        <v/>
      </c>
      <c r="V4343" s="19">
        <f>IF($B4343="","",TEXT($B4343,"0000"))</f>
        <v/>
      </c>
      <c r="W4343" s="19">
        <f>IF($I4343="","",IF(ISNUMBER($I4343),TEXT($I4343,"0"),$I4343))</f>
        <v/>
      </c>
    </row>
    <row r="4344">
      <c r="B4344" s="25" t="n"/>
      <c r="I4344" s="25" t="n"/>
      <c r="U4344" s="19">
        <f>IF(AND($V4344='設定'!$C$4,COUNTIF('商品マスタ'!$B$6:$B$1005,$W4344)=0),N(U4343)+1,N(U4343))</f>
        <v/>
      </c>
      <c r="V4344" s="19">
        <f>IF($B4344="","",TEXT($B4344,"0000"))</f>
        <v/>
      </c>
      <c r="W4344" s="19">
        <f>IF($I4344="","",IF(ISNUMBER($I4344),TEXT($I4344,"0"),$I4344))</f>
        <v/>
      </c>
    </row>
    <row r="4345">
      <c r="B4345" s="25" t="n"/>
      <c r="I4345" s="25" t="n"/>
      <c r="U4345" s="19">
        <f>IF(AND($V4345='設定'!$C$4,COUNTIF('商品マスタ'!$B$6:$B$1005,$W4345)=0),N(U4344)+1,N(U4344))</f>
        <v/>
      </c>
      <c r="V4345" s="19">
        <f>IF($B4345="","",TEXT($B4345,"0000"))</f>
        <v/>
      </c>
      <c r="W4345" s="19">
        <f>IF($I4345="","",IF(ISNUMBER($I4345),TEXT($I4345,"0"),$I4345))</f>
        <v/>
      </c>
    </row>
    <row r="4346">
      <c r="B4346" s="25" t="n"/>
      <c r="I4346" s="25" t="n"/>
      <c r="U4346" s="19">
        <f>IF(AND($V4346='設定'!$C$4,COUNTIF('商品マスタ'!$B$6:$B$1005,$W4346)=0),N(U4345)+1,N(U4345))</f>
        <v/>
      </c>
      <c r="V4346" s="19">
        <f>IF($B4346="","",TEXT($B4346,"0000"))</f>
        <v/>
      </c>
      <c r="W4346" s="19">
        <f>IF($I4346="","",IF(ISNUMBER($I4346),TEXT($I4346,"0"),$I4346))</f>
        <v/>
      </c>
    </row>
    <row r="4347">
      <c r="B4347" s="25" t="n"/>
      <c r="I4347" s="25" t="n"/>
      <c r="U4347" s="19">
        <f>IF(AND($V4347='設定'!$C$4,COUNTIF('商品マスタ'!$B$6:$B$1005,$W4347)=0),N(U4346)+1,N(U4346))</f>
        <v/>
      </c>
      <c r="V4347" s="19">
        <f>IF($B4347="","",TEXT($B4347,"0000"))</f>
        <v/>
      </c>
      <c r="W4347" s="19">
        <f>IF($I4347="","",IF(ISNUMBER($I4347),TEXT($I4347,"0"),$I4347))</f>
        <v/>
      </c>
    </row>
    <row r="4348">
      <c r="B4348" s="25" t="n"/>
      <c r="I4348" s="25" t="n"/>
      <c r="U4348" s="19">
        <f>IF(AND($V4348='設定'!$C$4,COUNTIF('商品マスタ'!$B$6:$B$1005,$W4348)=0),N(U4347)+1,N(U4347))</f>
        <v/>
      </c>
      <c r="V4348" s="19">
        <f>IF($B4348="","",TEXT($B4348,"0000"))</f>
        <v/>
      </c>
      <c r="W4348" s="19">
        <f>IF($I4348="","",IF(ISNUMBER($I4348),TEXT($I4348,"0"),$I4348))</f>
        <v/>
      </c>
    </row>
    <row r="4349">
      <c r="B4349" s="25" t="n"/>
      <c r="I4349" s="25" t="n"/>
      <c r="U4349" s="19">
        <f>IF(AND($V4349='設定'!$C$4,COUNTIF('商品マスタ'!$B$6:$B$1005,$W4349)=0),N(U4348)+1,N(U4348))</f>
        <v/>
      </c>
      <c r="V4349" s="19">
        <f>IF($B4349="","",TEXT($B4349,"0000"))</f>
        <v/>
      </c>
      <c r="W4349" s="19">
        <f>IF($I4349="","",IF(ISNUMBER($I4349),TEXT($I4349,"0"),$I4349))</f>
        <v/>
      </c>
    </row>
    <row r="4350">
      <c r="B4350" s="25" t="n"/>
      <c r="I4350" s="25" t="n"/>
      <c r="U4350" s="19">
        <f>IF(AND($V4350='設定'!$C$4,COUNTIF('商品マスタ'!$B$6:$B$1005,$W4350)=0),N(U4349)+1,N(U4349))</f>
        <v/>
      </c>
      <c r="V4350" s="19">
        <f>IF($B4350="","",TEXT($B4350,"0000"))</f>
        <v/>
      </c>
      <c r="W4350" s="19">
        <f>IF($I4350="","",IF(ISNUMBER($I4350),TEXT($I4350,"0"),$I4350))</f>
        <v/>
      </c>
    </row>
    <row r="4351">
      <c r="B4351" s="25" t="n"/>
      <c r="I4351" s="25" t="n"/>
      <c r="U4351" s="19">
        <f>IF(AND($V4351='設定'!$C$4,COUNTIF('商品マスタ'!$B$6:$B$1005,$W4351)=0),N(U4350)+1,N(U4350))</f>
        <v/>
      </c>
      <c r="V4351" s="19">
        <f>IF($B4351="","",TEXT($B4351,"0000"))</f>
        <v/>
      </c>
      <c r="W4351" s="19">
        <f>IF($I4351="","",IF(ISNUMBER($I4351),TEXT($I4351,"0"),$I4351))</f>
        <v/>
      </c>
    </row>
    <row r="4352">
      <c r="B4352" s="25" t="n"/>
      <c r="I4352" s="25" t="n"/>
      <c r="U4352" s="19">
        <f>IF(AND($V4352='設定'!$C$4,COUNTIF('商品マスタ'!$B$6:$B$1005,$W4352)=0),N(U4351)+1,N(U4351))</f>
        <v/>
      </c>
      <c r="V4352" s="19">
        <f>IF($B4352="","",TEXT($B4352,"0000"))</f>
        <v/>
      </c>
      <c r="W4352" s="19">
        <f>IF($I4352="","",IF(ISNUMBER($I4352),TEXT($I4352,"0"),$I4352))</f>
        <v/>
      </c>
    </row>
    <row r="4353">
      <c r="B4353" s="25" t="n"/>
      <c r="I4353" s="25" t="n"/>
      <c r="U4353" s="19">
        <f>IF(AND($V4353='設定'!$C$4,COUNTIF('商品マスタ'!$B$6:$B$1005,$W4353)=0),N(U4352)+1,N(U4352))</f>
        <v/>
      </c>
      <c r="V4353" s="19">
        <f>IF($B4353="","",TEXT($B4353,"0000"))</f>
        <v/>
      </c>
      <c r="W4353" s="19">
        <f>IF($I4353="","",IF(ISNUMBER($I4353),TEXT($I4353,"0"),$I4353))</f>
        <v/>
      </c>
    </row>
    <row r="4354">
      <c r="B4354" s="25" t="n"/>
      <c r="I4354" s="25" t="n"/>
      <c r="U4354" s="19">
        <f>IF(AND($V4354='設定'!$C$4,COUNTIF('商品マスタ'!$B$6:$B$1005,$W4354)=0),N(U4353)+1,N(U4353))</f>
        <v/>
      </c>
      <c r="V4354" s="19">
        <f>IF($B4354="","",TEXT($B4354,"0000"))</f>
        <v/>
      </c>
      <c r="W4354" s="19">
        <f>IF($I4354="","",IF(ISNUMBER($I4354),TEXT($I4354,"0"),$I4354))</f>
        <v/>
      </c>
    </row>
    <row r="4355">
      <c r="B4355" s="25" t="n"/>
      <c r="I4355" s="25" t="n"/>
      <c r="U4355" s="19">
        <f>IF(AND($V4355='設定'!$C$4,COUNTIF('商品マスタ'!$B$6:$B$1005,$W4355)=0),N(U4354)+1,N(U4354))</f>
        <v/>
      </c>
      <c r="V4355" s="19">
        <f>IF($B4355="","",TEXT($B4355,"0000"))</f>
        <v/>
      </c>
      <c r="W4355" s="19">
        <f>IF($I4355="","",IF(ISNUMBER($I4355),TEXT($I4355,"0"),$I4355))</f>
        <v/>
      </c>
    </row>
    <row r="4356">
      <c r="B4356" s="25" t="n"/>
      <c r="I4356" s="25" t="n"/>
      <c r="U4356" s="19">
        <f>IF(AND($V4356='設定'!$C$4,COUNTIF('商品マスタ'!$B$6:$B$1005,$W4356)=0),N(U4355)+1,N(U4355))</f>
        <v/>
      </c>
      <c r="V4356" s="19">
        <f>IF($B4356="","",TEXT($B4356,"0000"))</f>
        <v/>
      </c>
      <c r="W4356" s="19">
        <f>IF($I4356="","",IF(ISNUMBER($I4356),TEXT($I4356,"0"),$I4356))</f>
        <v/>
      </c>
    </row>
    <row r="4357">
      <c r="B4357" s="25" t="n"/>
      <c r="I4357" s="25" t="n"/>
      <c r="U4357" s="19">
        <f>IF(AND($V4357='設定'!$C$4,COUNTIF('商品マスタ'!$B$6:$B$1005,$W4357)=0),N(U4356)+1,N(U4356))</f>
        <v/>
      </c>
      <c r="V4357" s="19">
        <f>IF($B4357="","",TEXT($B4357,"0000"))</f>
        <v/>
      </c>
      <c r="W4357" s="19">
        <f>IF($I4357="","",IF(ISNUMBER($I4357),TEXT($I4357,"0"),$I4357))</f>
        <v/>
      </c>
    </row>
    <row r="4358">
      <c r="B4358" s="25" t="n"/>
      <c r="I4358" s="25" t="n"/>
      <c r="U4358" s="19">
        <f>IF(AND($V4358='設定'!$C$4,COUNTIF('商品マスタ'!$B$6:$B$1005,$W4358)=0),N(U4357)+1,N(U4357))</f>
        <v/>
      </c>
      <c r="V4358" s="19">
        <f>IF($B4358="","",TEXT($B4358,"0000"))</f>
        <v/>
      </c>
      <c r="W4358" s="19">
        <f>IF($I4358="","",IF(ISNUMBER($I4358),TEXT($I4358,"0"),$I4358))</f>
        <v/>
      </c>
    </row>
    <row r="4359">
      <c r="B4359" s="25" t="n"/>
      <c r="I4359" s="25" t="n"/>
      <c r="U4359" s="19">
        <f>IF(AND($V4359='設定'!$C$4,COUNTIF('商品マスタ'!$B$6:$B$1005,$W4359)=0),N(U4358)+1,N(U4358))</f>
        <v/>
      </c>
      <c r="V4359" s="19">
        <f>IF($B4359="","",TEXT($B4359,"0000"))</f>
        <v/>
      </c>
      <c r="W4359" s="19">
        <f>IF($I4359="","",IF(ISNUMBER($I4359),TEXT($I4359,"0"),$I4359))</f>
        <v/>
      </c>
    </row>
    <row r="4360">
      <c r="B4360" s="25" t="n"/>
      <c r="I4360" s="25" t="n"/>
      <c r="U4360" s="19">
        <f>IF(AND($V4360='設定'!$C$4,COUNTIF('商品マスタ'!$B$6:$B$1005,$W4360)=0),N(U4359)+1,N(U4359))</f>
        <v/>
      </c>
      <c r="V4360" s="19">
        <f>IF($B4360="","",TEXT($B4360,"0000"))</f>
        <v/>
      </c>
      <c r="W4360" s="19">
        <f>IF($I4360="","",IF(ISNUMBER($I4360),TEXT($I4360,"0"),$I4360))</f>
        <v/>
      </c>
    </row>
    <row r="4361">
      <c r="B4361" s="25" t="n"/>
      <c r="I4361" s="25" t="n"/>
      <c r="U4361" s="19">
        <f>IF(AND($V4361='設定'!$C$4,COUNTIF('商品マスタ'!$B$6:$B$1005,$W4361)=0),N(U4360)+1,N(U4360))</f>
        <v/>
      </c>
      <c r="V4361" s="19">
        <f>IF($B4361="","",TEXT($B4361,"0000"))</f>
        <v/>
      </c>
      <c r="W4361" s="19">
        <f>IF($I4361="","",IF(ISNUMBER($I4361),TEXT($I4361,"0"),$I4361))</f>
        <v/>
      </c>
    </row>
    <row r="4362">
      <c r="B4362" s="25" t="n"/>
      <c r="I4362" s="25" t="n"/>
      <c r="U4362" s="19">
        <f>IF(AND($V4362='設定'!$C$4,COUNTIF('商品マスタ'!$B$6:$B$1005,$W4362)=0),N(U4361)+1,N(U4361))</f>
        <v/>
      </c>
      <c r="V4362" s="19">
        <f>IF($B4362="","",TEXT($B4362,"0000"))</f>
        <v/>
      </c>
      <c r="W4362" s="19">
        <f>IF($I4362="","",IF(ISNUMBER($I4362),TEXT($I4362,"0"),$I4362))</f>
        <v/>
      </c>
    </row>
    <row r="4363">
      <c r="B4363" s="25" t="n"/>
      <c r="I4363" s="25" t="n"/>
      <c r="U4363" s="19">
        <f>IF(AND($V4363='設定'!$C$4,COUNTIF('商品マスタ'!$B$6:$B$1005,$W4363)=0),N(U4362)+1,N(U4362))</f>
        <v/>
      </c>
      <c r="V4363" s="19">
        <f>IF($B4363="","",TEXT($B4363,"0000"))</f>
        <v/>
      </c>
      <c r="W4363" s="19">
        <f>IF($I4363="","",IF(ISNUMBER($I4363),TEXT($I4363,"0"),$I4363))</f>
        <v/>
      </c>
    </row>
    <row r="4364">
      <c r="B4364" s="25" t="n"/>
      <c r="I4364" s="25" t="n"/>
      <c r="U4364" s="19">
        <f>IF(AND($V4364='設定'!$C$4,COUNTIF('商品マスタ'!$B$6:$B$1005,$W4364)=0),N(U4363)+1,N(U4363))</f>
        <v/>
      </c>
      <c r="V4364" s="19">
        <f>IF($B4364="","",TEXT($B4364,"0000"))</f>
        <v/>
      </c>
      <c r="W4364" s="19">
        <f>IF($I4364="","",IF(ISNUMBER($I4364),TEXT($I4364,"0"),$I4364))</f>
        <v/>
      </c>
    </row>
    <row r="4365">
      <c r="B4365" s="25" t="n"/>
      <c r="I4365" s="25" t="n"/>
      <c r="U4365" s="19">
        <f>IF(AND($V4365='設定'!$C$4,COUNTIF('商品マスタ'!$B$6:$B$1005,$W4365)=0),N(U4364)+1,N(U4364))</f>
        <v/>
      </c>
      <c r="V4365" s="19">
        <f>IF($B4365="","",TEXT($B4365,"0000"))</f>
        <v/>
      </c>
      <c r="W4365" s="19">
        <f>IF($I4365="","",IF(ISNUMBER($I4365),TEXT($I4365,"0"),$I4365))</f>
        <v/>
      </c>
    </row>
    <row r="4366">
      <c r="B4366" s="25" t="n"/>
      <c r="I4366" s="25" t="n"/>
      <c r="U4366" s="19">
        <f>IF(AND($V4366='設定'!$C$4,COUNTIF('商品マスタ'!$B$6:$B$1005,$W4366)=0),N(U4365)+1,N(U4365))</f>
        <v/>
      </c>
      <c r="V4366" s="19">
        <f>IF($B4366="","",TEXT($B4366,"0000"))</f>
        <v/>
      </c>
      <c r="W4366" s="19">
        <f>IF($I4366="","",IF(ISNUMBER($I4366),TEXT($I4366,"0"),$I4366))</f>
        <v/>
      </c>
    </row>
    <row r="4367">
      <c r="B4367" s="25" t="n"/>
      <c r="I4367" s="25" t="n"/>
      <c r="U4367" s="19">
        <f>IF(AND($V4367='設定'!$C$4,COUNTIF('商品マスタ'!$B$6:$B$1005,$W4367)=0),N(U4366)+1,N(U4366))</f>
        <v/>
      </c>
      <c r="V4367" s="19">
        <f>IF($B4367="","",TEXT($B4367,"0000"))</f>
        <v/>
      </c>
      <c r="W4367" s="19">
        <f>IF($I4367="","",IF(ISNUMBER($I4367),TEXT($I4367,"0"),$I4367))</f>
        <v/>
      </c>
    </row>
    <row r="4368">
      <c r="B4368" s="25" t="n"/>
      <c r="I4368" s="25" t="n"/>
      <c r="U4368" s="19">
        <f>IF(AND($V4368='設定'!$C$4,COUNTIF('商品マスタ'!$B$6:$B$1005,$W4368)=0),N(U4367)+1,N(U4367))</f>
        <v/>
      </c>
      <c r="V4368" s="19">
        <f>IF($B4368="","",TEXT($B4368,"0000"))</f>
        <v/>
      </c>
      <c r="W4368" s="19">
        <f>IF($I4368="","",IF(ISNUMBER($I4368),TEXT($I4368,"0"),$I4368))</f>
        <v/>
      </c>
    </row>
    <row r="4369">
      <c r="B4369" s="25" t="n"/>
      <c r="I4369" s="25" t="n"/>
      <c r="U4369" s="19">
        <f>IF(AND($V4369='設定'!$C$4,COUNTIF('商品マスタ'!$B$6:$B$1005,$W4369)=0),N(U4368)+1,N(U4368))</f>
        <v/>
      </c>
      <c r="V4369" s="19">
        <f>IF($B4369="","",TEXT($B4369,"0000"))</f>
        <v/>
      </c>
      <c r="W4369" s="19">
        <f>IF($I4369="","",IF(ISNUMBER($I4369),TEXT($I4369,"0"),$I4369))</f>
        <v/>
      </c>
    </row>
    <row r="4370">
      <c r="B4370" s="25" t="n"/>
      <c r="I4370" s="25" t="n"/>
      <c r="U4370" s="19">
        <f>IF(AND($V4370='設定'!$C$4,COUNTIF('商品マスタ'!$B$6:$B$1005,$W4370)=0),N(U4369)+1,N(U4369))</f>
        <v/>
      </c>
      <c r="V4370" s="19">
        <f>IF($B4370="","",TEXT($B4370,"0000"))</f>
        <v/>
      </c>
      <c r="W4370" s="19">
        <f>IF($I4370="","",IF(ISNUMBER($I4370),TEXT($I4370,"0"),$I4370))</f>
        <v/>
      </c>
    </row>
    <row r="4371">
      <c r="B4371" s="25" t="n"/>
      <c r="I4371" s="25" t="n"/>
      <c r="U4371" s="19">
        <f>IF(AND($V4371='設定'!$C$4,COUNTIF('商品マスタ'!$B$6:$B$1005,$W4371)=0),N(U4370)+1,N(U4370))</f>
        <v/>
      </c>
      <c r="V4371" s="19">
        <f>IF($B4371="","",TEXT($B4371,"0000"))</f>
        <v/>
      </c>
      <c r="W4371" s="19">
        <f>IF($I4371="","",IF(ISNUMBER($I4371),TEXT($I4371,"0"),$I4371))</f>
        <v/>
      </c>
    </row>
    <row r="4372">
      <c r="B4372" s="25" t="n"/>
      <c r="I4372" s="25" t="n"/>
      <c r="U4372" s="19">
        <f>IF(AND($V4372='設定'!$C$4,COUNTIF('商品マスタ'!$B$6:$B$1005,$W4372)=0),N(U4371)+1,N(U4371))</f>
        <v/>
      </c>
      <c r="V4372" s="19">
        <f>IF($B4372="","",TEXT($B4372,"0000"))</f>
        <v/>
      </c>
      <c r="W4372" s="19">
        <f>IF($I4372="","",IF(ISNUMBER($I4372),TEXT($I4372,"0"),$I4372))</f>
        <v/>
      </c>
    </row>
    <row r="4373">
      <c r="B4373" s="25" t="n"/>
      <c r="I4373" s="25" t="n"/>
      <c r="U4373" s="19">
        <f>IF(AND($V4373='設定'!$C$4,COUNTIF('商品マスタ'!$B$6:$B$1005,$W4373)=0),N(U4372)+1,N(U4372))</f>
        <v/>
      </c>
      <c r="V4373" s="19">
        <f>IF($B4373="","",TEXT($B4373,"0000"))</f>
        <v/>
      </c>
      <c r="W4373" s="19">
        <f>IF($I4373="","",IF(ISNUMBER($I4373),TEXT($I4373,"0"),$I4373))</f>
        <v/>
      </c>
    </row>
    <row r="4374">
      <c r="B4374" s="25" t="n"/>
      <c r="I4374" s="25" t="n"/>
      <c r="U4374" s="19">
        <f>IF(AND($V4374='設定'!$C$4,COUNTIF('商品マスタ'!$B$6:$B$1005,$W4374)=0),N(U4373)+1,N(U4373))</f>
        <v/>
      </c>
      <c r="V4374" s="19">
        <f>IF($B4374="","",TEXT($B4374,"0000"))</f>
        <v/>
      </c>
      <c r="W4374" s="19">
        <f>IF($I4374="","",IF(ISNUMBER($I4374),TEXT($I4374,"0"),$I4374))</f>
        <v/>
      </c>
    </row>
    <row r="4375">
      <c r="B4375" s="25" t="n"/>
      <c r="I4375" s="25" t="n"/>
      <c r="U4375" s="19">
        <f>IF(AND($V4375='設定'!$C$4,COUNTIF('商品マスタ'!$B$6:$B$1005,$W4375)=0),N(U4374)+1,N(U4374))</f>
        <v/>
      </c>
      <c r="V4375" s="19">
        <f>IF($B4375="","",TEXT($B4375,"0000"))</f>
        <v/>
      </c>
      <c r="W4375" s="19">
        <f>IF($I4375="","",IF(ISNUMBER($I4375),TEXT($I4375,"0"),$I4375))</f>
        <v/>
      </c>
    </row>
    <row r="4376">
      <c r="B4376" s="25" t="n"/>
      <c r="I4376" s="25" t="n"/>
      <c r="U4376" s="19">
        <f>IF(AND($V4376='設定'!$C$4,COUNTIF('商品マスタ'!$B$6:$B$1005,$W4376)=0),N(U4375)+1,N(U4375))</f>
        <v/>
      </c>
      <c r="V4376" s="19">
        <f>IF($B4376="","",TEXT($B4376,"0000"))</f>
        <v/>
      </c>
      <c r="W4376" s="19">
        <f>IF($I4376="","",IF(ISNUMBER($I4376),TEXT($I4376,"0"),$I4376))</f>
        <v/>
      </c>
    </row>
    <row r="4377">
      <c r="B4377" s="25" t="n"/>
      <c r="I4377" s="25" t="n"/>
      <c r="U4377" s="19">
        <f>IF(AND($V4377='設定'!$C$4,COUNTIF('商品マスタ'!$B$6:$B$1005,$W4377)=0),N(U4376)+1,N(U4376))</f>
        <v/>
      </c>
      <c r="V4377" s="19">
        <f>IF($B4377="","",TEXT($B4377,"0000"))</f>
        <v/>
      </c>
      <c r="W4377" s="19">
        <f>IF($I4377="","",IF(ISNUMBER($I4377),TEXT($I4377,"0"),$I4377))</f>
        <v/>
      </c>
    </row>
    <row r="4378">
      <c r="B4378" s="25" t="n"/>
      <c r="I4378" s="25" t="n"/>
      <c r="U4378" s="19">
        <f>IF(AND($V4378='設定'!$C$4,COUNTIF('商品マスタ'!$B$6:$B$1005,$W4378)=0),N(U4377)+1,N(U4377))</f>
        <v/>
      </c>
      <c r="V4378" s="19">
        <f>IF($B4378="","",TEXT($B4378,"0000"))</f>
        <v/>
      </c>
      <c r="W4378" s="19">
        <f>IF($I4378="","",IF(ISNUMBER($I4378),TEXT($I4378,"0"),$I4378))</f>
        <v/>
      </c>
    </row>
    <row r="4379">
      <c r="B4379" s="25" t="n"/>
      <c r="I4379" s="25" t="n"/>
      <c r="U4379" s="19">
        <f>IF(AND($V4379='設定'!$C$4,COUNTIF('商品マスタ'!$B$6:$B$1005,$W4379)=0),N(U4378)+1,N(U4378))</f>
        <v/>
      </c>
      <c r="V4379" s="19">
        <f>IF($B4379="","",TEXT($B4379,"0000"))</f>
        <v/>
      </c>
      <c r="W4379" s="19">
        <f>IF($I4379="","",IF(ISNUMBER($I4379),TEXT($I4379,"0"),$I4379))</f>
        <v/>
      </c>
    </row>
    <row r="4380">
      <c r="B4380" s="25" t="n"/>
      <c r="I4380" s="25" t="n"/>
      <c r="U4380" s="19">
        <f>IF(AND($V4380='設定'!$C$4,COUNTIF('商品マスタ'!$B$6:$B$1005,$W4380)=0),N(U4379)+1,N(U4379))</f>
        <v/>
      </c>
      <c r="V4380" s="19">
        <f>IF($B4380="","",TEXT($B4380,"0000"))</f>
        <v/>
      </c>
      <c r="W4380" s="19">
        <f>IF($I4380="","",IF(ISNUMBER($I4380),TEXT($I4380,"0"),$I4380))</f>
        <v/>
      </c>
    </row>
    <row r="4381">
      <c r="B4381" s="25" t="n"/>
      <c r="I4381" s="25" t="n"/>
      <c r="U4381" s="19">
        <f>IF(AND($V4381='設定'!$C$4,COUNTIF('商品マスタ'!$B$6:$B$1005,$W4381)=0),N(U4380)+1,N(U4380))</f>
        <v/>
      </c>
      <c r="V4381" s="19">
        <f>IF($B4381="","",TEXT($B4381,"0000"))</f>
        <v/>
      </c>
      <c r="W4381" s="19">
        <f>IF($I4381="","",IF(ISNUMBER($I4381),TEXT($I4381,"0"),$I4381))</f>
        <v/>
      </c>
    </row>
    <row r="4382">
      <c r="B4382" s="25" t="n"/>
      <c r="I4382" s="25" t="n"/>
      <c r="U4382" s="19">
        <f>IF(AND($V4382='設定'!$C$4,COUNTIF('商品マスタ'!$B$6:$B$1005,$W4382)=0),N(U4381)+1,N(U4381))</f>
        <v/>
      </c>
      <c r="V4382" s="19">
        <f>IF($B4382="","",TEXT($B4382,"0000"))</f>
        <v/>
      </c>
      <c r="W4382" s="19">
        <f>IF($I4382="","",IF(ISNUMBER($I4382),TEXT($I4382,"0"),$I4382))</f>
        <v/>
      </c>
    </row>
    <row r="4383">
      <c r="B4383" s="25" t="n"/>
      <c r="I4383" s="25" t="n"/>
      <c r="U4383" s="19">
        <f>IF(AND($V4383='設定'!$C$4,COUNTIF('商品マスタ'!$B$6:$B$1005,$W4383)=0),N(U4382)+1,N(U4382))</f>
        <v/>
      </c>
      <c r="V4383" s="19">
        <f>IF($B4383="","",TEXT($B4383,"0000"))</f>
        <v/>
      </c>
      <c r="W4383" s="19">
        <f>IF($I4383="","",IF(ISNUMBER($I4383),TEXT($I4383,"0"),$I4383))</f>
        <v/>
      </c>
    </row>
    <row r="4384">
      <c r="B4384" s="25" t="n"/>
      <c r="I4384" s="25" t="n"/>
      <c r="U4384" s="19">
        <f>IF(AND($V4384='設定'!$C$4,COUNTIF('商品マスタ'!$B$6:$B$1005,$W4384)=0),N(U4383)+1,N(U4383))</f>
        <v/>
      </c>
      <c r="V4384" s="19">
        <f>IF($B4384="","",TEXT($B4384,"0000"))</f>
        <v/>
      </c>
      <c r="W4384" s="19">
        <f>IF($I4384="","",IF(ISNUMBER($I4384),TEXT($I4384,"0"),$I4384))</f>
        <v/>
      </c>
    </row>
    <row r="4385">
      <c r="B4385" s="25" t="n"/>
      <c r="I4385" s="25" t="n"/>
      <c r="U4385" s="19">
        <f>IF(AND($V4385='設定'!$C$4,COUNTIF('商品マスタ'!$B$6:$B$1005,$W4385)=0),N(U4384)+1,N(U4384))</f>
        <v/>
      </c>
      <c r="V4385" s="19">
        <f>IF($B4385="","",TEXT($B4385,"0000"))</f>
        <v/>
      </c>
      <c r="W4385" s="19">
        <f>IF($I4385="","",IF(ISNUMBER($I4385),TEXT($I4385,"0"),$I4385))</f>
        <v/>
      </c>
    </row>
    <row r="4386">
      <c r="B4386" s="25" t="n"/>
      <c r="I4386" s="25" t="n"/>
      <c r="U4386" s="19">
        <f>IF(AND($V4386='設定'!$C$4,COUNTIF('商品マスタ'!$B$6:$B$1005,$W4386)=0),N(U4385)+1,N(U4385))</f>
        <v/>
      </c>
      <c r="V4386" s="19">
        <f>IF($B4386="","",TEXT($B4386,"0000"))</f>
        <v/>
      </c>
      <c r="W4386" s="19">
        <f>IF($I4386="","",IF(ISNUMBER($I4386),TEXT($I4386,"0"),$I4386))</f>
        <v/>
      </c>
    </row>
    <row r="4387">
      <c r="B4387" s="25" t="n"/>
      <c r="I4387" s="25" t="n"/>
      <c r="U4387" s="19">
        <f>IF(AND($V4387='設定'!$C$4,COUNTIF('商品マスタ'!$B$6:$B$1005,$W4387)=0),N(U4386)+1,N(U4386))</f>
        <v/>
      </c>
      <c r="V4387" s="19">
        <f>IF($B4387="","",TEXT($B4387,"0000"))</f>
        <v/>
      </c>
      <c r="W4387" s="19">
        <f>IF($I4387="","",IF(ISNUMBER($I4387),TEXT($I4387,"0"),$I4387))</f>
        <v/>
      </c>
    </row>
    <row r="4388">
      <c r="B4388" s="25" t="n"/>
      <c r="I4388" s="25" t="n"/>
      <c r="U4388" s="19">
        <f>IF(AND($V4388='設定'!$C$4,COUNTIF('商品マスタ'!$B$6:$B$1005,$W4388)=0),N(U4387)+1,N(U4387))</f>
        <v/>
      </c>
      <c r="V4388" s="19">
        <f>IF($B4388="","",TEXT($B4388,"0000"))</f>
        <v/>
      </c>
      <c r="W4388" s="19">
        <f>IF($I4388="","",IF(ISNUMBER($I4388),TEXT($I4388,"0"),$I4388))</f>
        <v/>
      </c>
    </row>
    <row r="4389">
      <c r="B4389" s="25" t="n"/>
      <c r="I4389" s="25" t="n"/>
      <c r="U4389" s="19">
        <f>IF(AND($V4389='設定'!$C$4,COUNTIF('商品マスタ'!$B$6:$B$1005,$W4389)=0),N(U4388)+1,N(U4388))</f>
        <v/>
      </c>
      <c r="V4389" s="19">
        <f>IF($B4389="","",TEXT($B4389,"0000"))</f>
        <v/>
      </c>
      <c r="W4389" s="19">
        <f>IF($I4389="","",IF(ISNUMBER($I4389),TEXT($I4389,"0"),$I4389))</f>
        <v/>
      </c>
    </row>
    <row r="4390">
      <c r="B4390" s="25" t="n"/>
      <c r="I4390" s="25" t="n"/>
      <c r="U4390" s="19">
        <f>IF(AND($V4390='設定'!$C$4,COUNTIF('商品マスタ'!$B$6:$B$1005,$W4390)=0),N(U4389)+1,N(U4389))</f>
        <v/>
      </c>
      <c r="V4390" s="19">
        <f>IF($B4390="","",TEXT($B4390,"0000"))</f>
        <v/>
      </c>
      <c r="W4390" s="19">
        <f>IF($I4390="","",IF(ISNUMBER($I4390),TEXT($I4390,"0"),$I4390))</f>
        <v/>
      </c>
    </row>
    <row r="4391">
      <c r="B4391" s="25" t="n"/>
      <c r="I4391" s="25" t="n"/>
      <c r="U4391" s="19">
        <f>IF(AND($V4391='設定'!$C$4,COUNTIF('商品マスタ'!$B$6:$B$1005,$W4391)=0),N(U4390)+1,N(U4390))</f>
        <v/>
      </c>
      <c r="V4391" s="19">
        <f>IF($B4391="","",TEXT($B4391,"0000"))</f>
        <v/>
      </c>
      <c r="W4391" s="19">
        <f>IF($I4391="","",IF(ISNUMBER($I4391),TEXT($I4391,"0"),$I4391))</f>
        <v/>
      </c>
    </row>
    <row r="4392">
      <c r="B4392" s="25" t="n"/>
      <c r="I4392" s="25" t="n"/>
      <c r="U4392" s="19">
        <f>IF(AND($V4392='設定'!$C$4,COUNTIF('商品マスタ'!$B$6:$B$1005,$W4392)=0),N(U4391)+1,N(U4391))</f>
        <v/>
      </c>
      <c r="V4392" s="19">
        <f>IF($B4392="","",TEXT($B4392,"0000"))</f>
        <v/>
      </c>
      <c r="W4392" s="19">
        <f>IF($I4392="","",IF(ISNUMBER($I4392),TEXT($I4392,"0"),$I4392))</f>
        <v/>
      </c>
    </row>
    <row r="4393">
      <c r="B4393" s="25" t="n"/>
      <c r="I4393" s="25" t="n"/>
      <c r="U4393" s="19">
        <f>IF(AND($V4393='設定'!$C$4,COUNTIF('商品マスタ'!$B$6:$B$1005,$W4393)=0),N(U4392)+1,N(U4392))</f>
        <v/>
      </c>
      <c r="V4393" s="19">
        <f>IF($B4393="","",TEXT($B4393,"0000"))</f>
        <v/>
      </c>
      <c r="W4393" s="19">
        <f>IF($I4393="","",IF(ISNUMBER($I4393),TEXT($I4393,"0"),$I4393))</f>
        <v/>
      </c>
    </row>
    <row r="4394">
      <c r="B4394" s="25" t="n"/>
      <c r="I4394" s="25" t="n"/>
      <c r="U4394" s="19">
        <f>IF(AND($V4394='設定'!$C$4,COUNTIF('商品マスタ'!$B$6:$B$1005,$W4394)=0),N(U4393)+1,N(U4393))</f>
        <v/>
      </c>
      <c r="V4394" s="19">
        <f>IF($B4394="","",TEXT($B4394,"0000"))</f>
        <v/>
      </c>
      <c r="W4394" s="19">
        <f>IF($I4394="","",IF(ISNUMBER($I4394),TEXT($I4394,"0"),$I4394))</f>
        <v/>
      </c>
    </row>
    <row r="4395">
      <c r="B4395" s="25" t="n"/>
      <c r="I4395" s="25" t="n"/>
      <c r="U4395" s="19">
        <f>IF(AND($V4395='設定'!$C$4,COUNTIF('商品マスタ'!$B$6:$B$1005,$W4395)=0),N(U4394)+1,N(U4394))</f>
        <v/>
      </c>
      <c r="V4395" s="19">
        <f>IF($B4395="","",TEXT($B4395,"0000"))</f>
        <v/>
      </c>
      <c r="W4395" s="19">
        <f>IF($I4395="","",IF(ISNUMBER($I4395),TEXT($I4395,"0"),$I4395))</f>
        <v/>
      </c>
    </row>
    <row r="4396">
      <c r="B4396" s="25" t="n"/>
      <c r="I4396" s="25" t="n"/>
      <c r="U4396" s="19">
        <f>IF(AND($V4396='設定'!$C$4,COUNTIF('商品マスタ'!$B$6:$B$1005,$W4396)=0),N(U4395)+1,N(U4395))</f>
        <v/>
      </c>
      <c r="V4396" s="19">
        <f>IF($B4396="","",TEXT($B4396,"0000"))</f>
        <v/>
      </c>
      <c r="W4396" s="19">
        <f>IF($I4396="","",IF(ISNUMBER($I4396),TEXT($I4396,"0"),$I4396))</f>
        <v/>
      </c>
    </row>
    <row r="4397">
      <c r="B4397" s="25" t="n"/>
      <c r="I4397" s="25" t="n"/>
      <c r="U4397" s="19">
        <f>IF(AND($V4397='設定'!$C$4,COUNTIF('商品マスタ'!$B$6:$B$1005,$W4397)=0),N(U4396)+1,N(U4396))</f>
        <v/>
      </c>
      <c r="V4397" s="19">
        <f>IF($B4397="","",TEXT($B4397,"0000"))</f>
        <v/>
      </c>
      <c r="W4397" s="19">
        <f>IF($I4397="","",IF(ISNUMBER($I4397),TEXT($I4397,"0"),$I4397))</f>
        <v/>
      </c>
    </row>
    <row r="4398">
      <c r="B4398" s="25" t="n"/>
      <c r="I4398" s="25" t="n"/>
      <c r="U4398" s="19">
        <f>IF(AND($V4398='設定'!$C$4,COUNTIF('商品マスタ'!$B$6:$B$1005,$W4398)=0),N(U4397)+1,N(U4397))</f>
        <v/>
      </c>
      <c r="V4398" s="19">
        <f>IF($B4398="","",TEXT($B4398,"0000"))</f>
        <v/>
      </c>
      <c r="W4398" s="19">
        <f>IF($I4398="","",IF(ISNUMBER($I4398),TEXT($I4398,"0"),$I4398))</f>
        <v/>
      </c>
    </row>
    <row r="4399">
      <c r="B4399" s="25" t="n"/>
      <c r="I4399" s="25" t="n"/>
      <c r="U4399" s="19">
        <f>IF(AND($V4399='設定'!$C$4,COUNTIF('商品マスタ'!$B$6:$B$1005,$W4399)=0),N(U4398)+1,N(U4398))</f>
        <v/>
      </c>
      <c r="V4399" s="19">
        <f>IF($B4399="","",TEXT($B4399,"0000"))</f>
        <v/>
      </c>
      <c r="W4399" s="19">
        <f>IF($I4399="","",IF(ISNUMBER($I4399),TEXT($I4399,"0"),$I4399))</f>
        <v/>
      </c>
    </row>
    <row r="4400">
      <c r="B4400" s="25" t="n"/>
      <c r="I4400" s="25" t="n"/>
      <c r="U4400" s="19">
        <f>IF(AND($V4400='設定'!$C$4,COUNTIF('商品マスタ'!$B$6:$B$1005,$W4400)=0),N(U4399)+1,N(U4399))</f>
        <v/>
      </c>
      <c r="V4400" s="19">
        <f>IF($B4400="","",TEXT($B4400,"0000"))</f>
        <v/>
      </c>
      <c r="W4400" s="19">
        <f>IF($I4400="","",IF(ISNUMBER($I4400),TEXT($I4400,"0"),$I4400))</f>
        <v/>
      </c>
    </row>
    <row r="4401">
      <c r="B4401" s="25" t="n"/>
      <c r="I4401" s="25" t="n"/>
      <c r="U4401" s="19">
        <f>IF(AND($V4401='設定'!$C$4,COUNTIF('商品マスタ'!$B$6:$B$1005,$W4401)=0),N(U4400)+1,N(U4400))</f>
        <v/>
      </c>
      <c r="V4401" s="19">
        <f>IF($B4401="","",TEXT($B4401,"0000"))</f>
        <v/>
      </c>
      <c r="W4401" s="19">
        <f>IF($I4401="","",IF(ISNUMBER($I4401),TEXT($I4401,"0"),$I4401))</f>
        <v/>
      </c>
    </row>
    <row r="4402">
      <c r="B4402" s="25" t="n"/>
      <c r="I4402" s="25" t="n"/>
      <c r="U4402" s="19">
        <f>IF(AND($V4402='設定'!$C$4,COUNTIF('商品マスタ'!$B$6:$B$1005,$W4402)=0),N(U4401)+1,N(U4401))</f>
        <v/>
      </c>
      <c r="V4402" s="19">
        <f>IF($B4402="","",TEXT($B4402,"0000"))</f>
        <v/>
      </c>
      <c r="W4402" s="19">
        <f>IF($I4402="","",IF(ISNUMBER($I4402),TEXT($I4402,"0"),$I4402))</f>
        <v/>
      </c>
    </row>
    <row r="4403">
      <c r="B4403" s="25" t="n"/>
      <c r="I4403" s="25" t="n"/>
      <c r="U4403" s="19">
        <f>IF(AND($V4403='設定'!$C$4,COUNTIF('商品マスタ'!$B$6:$B$1005,$W4403)=0),N(U4402)+1,N(U4402))</f>
        <v/>
      </c>
      <c r="V4403" s="19">
        <f>IF($B4403="","",TEXT($B4403,"0000"))</f>
        <v/>
      </c>
      <c r="W4403" s="19">
        <f>IF($I4403="","",IF(ISNUMBER($I4403),TEXT($I4403,"0"),$I4403))</f>
        <v/>
      </c>
    </row>
    <row r="4404">
      <c r="B4404" s="25" t="n"/>
      <c r="I4404" s="25" t="n"/>
      <c r="U4404" s="19">
        <f>IF(AND($V4404='設定'!$C$4,COUNTIF('商品マスタ'!$B$6:$B$1005,$W4404)=0),N(U4403)+1,N(U4403))</f>
        <v/>
      </c>
      <c r="V4404" s="19">
        <f>IF($B4404="","",TEXT($B4404,"0000"))</f>
        <v/>
      </c>
      <c r="W4404" s="19">
        <f>IF($I4404="","",IF(ISNUMBER($I4404),TEXT($I4404,"0"),$I4404))</f>
        <v/>
      </c>
    </row>
    <row r="4405">
      <c r="B4405" s="25" t="n"/>
      <c r="I4405" s="25" t="n"/>
      <c r="U4405" s="19">
        <f>IF(AND($V4405='設定'!$C$4,COUNTIF('商品マスタ'!$B$6:$B$1005,$W4405)=0),N(U4404)+1,N(U4404))</f>
        <v/>
      </c>
      <c r="V4405" s="19">
        <f>IF($B4405="","",TEXT($B4405,"0000"))</f>
        <v/>
      </c>
      <c r="W4405" s="19">
        <f>IF($I4405="","",IF(ISNUMBER($I4405),TEXT($I4405,"0"),$I4405))</f>
        <v/>
      </c>
    </row>
    <row r="4406">
      <c r="B4406" s="25" t="n"/>
      <c r="I4406" s="25" t="n"/>
      <c r="U4406" s="19">
        <f>IF(AND($V4406='設定'!$C$4,COUNTIF('商品マスタ'!$B$6:$B$1005,$W4406)=0),N(U4405)+1,N(U4405))</f>
        <v/>
      </c>
      <c r="V4406" s="19">
        <f>IF($B4406="","",TEXT($B4406,"0000"))</f>
        <v/>
      </c>
      <c r="W4406" s="19">
        <f>IF($I4406="","",IF(ISNUMBER($I4406),TEXT($I4406,"0"),$I4406))</f>
        <v/>
      </c>
    </row>
    <row r="4407">
      <c r="B4407" s="25" t="n"/>
      <c r="I4407" s="25" t="n"/>
      <c r="U4407" s="19">
        <f>IF(AND($V4407='設定'!$C$4,COUNTIF('商品マスタ'!$B$6:$B$1005,$W4407)=0),N(U4406)+1,N(U4406))</f>
        <v/>
      </c>
      <c r="V4407" s="19">
        <f>IF($B4407="","",TEXT($B4407,"0000"))</f>
        <v/>
      </c>
      <c r="W4407" s="19">
        <f>IF($I4407="","",IF(ISNUMBER($I4407),TEXT($I4407,"0"),$I4407))</f>
        <v/>
      </c>
    </row>
    <row r="4408">
      <c r="B4408" s="25" t="n"/>
      <c r="I4408" s="25" t="n"/>
      <c r="U4408" s="19">
        <f>IF(AND($V4408='設定'!$C$4,COUNTIF('商品マスタ'!$B$6:$B$1005,$W4408)=0),N(U4407)+1,N(U4407))</f>
        <v/>
      </c>
      <c r="V4408" s="19">
        <f>IF($B4408="","",TEXT($B4408,"0000"))</f>
        <v/>
      </c>
      <c r="W4408" s="19">
        <f>IF($I4408="","",IF(ISNUMBER($I4408),TEXT($I4408,"0"),$I4408))</f>
        <v/>
      </c>
    </row>
    <row r="4409">
      <c r="B4409" s="25" t="n"/>
      <c r="I4409" s="25" t="n"/>
      <c r="U4409" s="19">
        <f>IF(AND($V4409='設定'!$C$4,COUNTIF('商品マスタ'!$B$6:$B$1005,$W4409)=0),N(U4408)+1,N(U4408))</f>
        <v/>
      </c>
      <c r="V4409" s="19">
        <f>IF($B4409="","",TEXT($B4409,"0000"))</f>
        <v/>
      </c>
      <c r="W4409" s="19">
        <f>IF($I4409="","",IF(ISNUMBER($I4409),TEXT($I4409,"0"),$I4409))</f>
        <v/>
      </c>
    </row>
    <row r="4410">
      <c r="B4410" s="25" t="n"/>
      <c r="I4410" s="25" t="n"/>
      <c r="U4410" s="19">
        <f>IF(AND($V4410='設定'!$C$4,COUNTIF('商品マスタ'!$B$6:$B$1005,$W4410)=0),N(U4409)+1,N(U4409))</f>
        <v/>
      </c>
      <c r="V4410" s="19">
        <f>IF($B4410="","",TEXT($B4410,"0000"))</f>
        <v/>
      </c>
      <c r="W4410" s="19">
        <f>IF($I4410="","",IF(ISNUMBER($I4410),TEXT($I4410,"0"),$I4410))</f>
        <v/>
      </c>
    </row>
    <row r="4411">
      <c r="B4411" s="25" t="n"/>
      <c r="I4411" s="25" t="n"/>
      <c r="U4411" s="19">
        <f>IF(AND($V4411='設定'!$C$4,COUNTIF('商品マスタ'!$B$6:$B$1005,$W4411)=0),N(U4410)+1,N(U4410))</f>
        <v/>
      </c>
      <c r="V4411" s="19">
        <f>IF($B4411="","",TEXT($B4411,"0000"))</f>
        <v/>
      </c>
      <c r="W4411" s="19">
        <f>IF($I4411="","",IF(ISNUMBER($I4411),TEXT($I4411,"0"),$I4411))</f>
        <v/>
      </c>
    </row>
    <row r="4412">
      <c r="B4412" s="25" t="n"/>
      <c r="I4412" s="25" t="n"/>
      <c r="U4412" s="19">
        <f>IF(AND($V4412='設定'!$C$4,COUNTIF('商品マスタ'!$B$6:$B$1005,$W4412)=0),N(U4411)+1,N(U4411))</f>
        <v/>
      </c>
      <c r="V4412" s="19">
        <f>IF($B4412="","",TEXT($B4412,"0000"))</f>
        <v/>
      </c>
      <c r="W4412" s="19">
        <f>IF($I4412="","",IF(ISNUMBER($I4412),TEXT($I4412,"0"),$I4412))</f>
        <v/>
      </c>
    </row>
    <row r="4413">
      <c r="B4413" s="25" t="n"/>
      <c r="I4413" s="25" t="n"/>
      <c r="U4413" s="19">
        <f>IF(AND($V4413='設定'!$C$4,COUNTIF('商品マスタ'!$B$6:$B$1005,$W4413)=0),N(U4412)+1,N(U4412))</f>
        <v/>
      </c>
      <c r="V4413" s="19">
        <f>IF($B4413="","",TEXT($B4413,"0000"))</f>
        <v/>
      </c>
      <c r="W4413" s="19">
        <f>IF($I4413="","",IF(ISNUMBER($I4413),TEXT($I4413,"0"),$I4413))</f>
        <v/>
      </c>
    </row>
    <row r="4414">
      <c r="B4414" s="25" t="n"/>
      <c r="I4414" s="25" t="n"/>
      <c r="U4414" s="19">
        <f>IF(AND($V4414='設定'!$C$4,COUNTIF('商品マスタ'!$B$6:$B$1005,$W4414)=0),N(U4413)+1,N(U4413))</f>
        <v/>
      </c>
      <c r="V4414" s="19">
        <f>IF($B4414="","",TEXT($B4414,"0000"))</f>
        <v/>
      </c>
      <c r="W4414" s="19">
        <f>IF($I4414="","",IF(ISNUMBER($I4414),TEXT($I4414,"0"),$I4414))</f>
        <v/>
      </c>
    </row>
    <row r="4415">
      <c r="B4415" s="25" t="n"/>
      <c r="I4415" s="25" t="n"/>
      <c r="U4415" s="19">
        <f>IF(AND($V4415='設定'!$C$4,COUNTIF('商品マスタ'!$B$6:$B$1005,$W4415)=0),N(U4414)+1,N(U4414))</f>
        <v/>
      </c>
      <c r="V4415" s="19">
        <f>IF($B4415="","",TEXT($B4415,"0000"))</f>
        <v/>
      </c>
      <c r="W4415" s="19">
        <f>IF($I4415="","",IF(ISNUMBER($I4415),TEXT($I4415,"0"),$I4415))</f>
        <v/>
      </c>
    </row>
    <row r="4416">
      <c r="B4416" s="25" t="n"/>
      <c r="I4416" s="25" t="n"/>
      <c r="U4416" s="19">
        <f>IF(AND($V4416='設定'!$C$4,COUNTIF('商品マスタ'!$B$6:$B$1005,$W4416)=0),N(U4415)+1,N(U4415))</f>
        <v/>
      </c>
      <c r="V4416" s="19">
        <f>IF($B4416="","",TEXT($B4416,"0000"))</f>
        <v/>
      </c>
      <c r="W4416" s="19">
        <f>IF($I4416="","",IF(ISNUMBER($I4416),TEXT($I4416,"0"),$I4416))</f>
        <v/>
      </c>
    </row>
    <row r="4417">
      <c r="B4417" s="25" t="n"/>
      <c r="I4417" s="25" t="n"/>
      <c r="U4417" s="19">
        <f>IF(AND($V4417='設定'!$C$4,COUNTIF('商品マスタ'!$B$6:$B$1005,$W4417)=0),N(U4416)+1,N(U4416))</f>
        <v/>
      </c>
      <c r="V4417" s="19">
        <f>IF($B4417="","",TEXT($B4417,"0000"))</f>
        <v/>
      </c>
      <c r="W4417" s="19">
        <f>IF($I4417="","",IF(ISNUMBER($I4417),TEXT($I4417,"0"),$I4417))</f>
        <v/>
      </c>
    </row>
    <row r="4418">
      <c r="B4418" s="25" t="n"/>
      <c r="I4418" s="25" t="n"/>
      <c r="U4418" s="19">
        <f>IF(AND($V4418='設定'!$C$4,COUNTIF('商品マスタ'!$B$6:$B$1005,$W4418)=0),N(U4417)+1,N(U4417))</f>
        <v/>
      </c>
      <c r="V4418" s="19">
        <f>IF($B4418="","",TEXT($B4418,"0000"))</f>
        <v/>
      </c>
      <c r="W4418" s="19">
        <f>IF($I4418="","",IF(ISNUMBER($I4418),TEXT($I4418,"0"),$I4418))</f>
        <v/>
      </c>
    </row>
    <row r="4419">
      <c r="B4419" s="25" t="n"/>
      <c r="I4419" s="25" t="n"/>
      <c r="U4419" s="19">
        <f>IF(AND($V4419='設定'!$C$4,COUNTIF('商品マスタ'!$B$6:$B$1005,$W4419)=0),N(U4418)+1,N(U4418))</f>
        <v/>
      </c>
      <c r="V4419" s="19">
        <f>IF($B4419="","",TEXT($B4419,"0000"))</f>
        <v/>
      </c>
      <c r="W4419" s="19">
        <f>IF($I4419="","",IF(ISNUMBER($I4419),TEXT($I4419,"0"),$I4419))</f>
        <v/>
      </c>
    </row>
    <row r="4420">
      <c r="B4420" s="25" t="n"/>
      <c r="I4420" s="25" t="n"/>
      <c r="U4420" s="19">
        <f>IF(AND($V4420='設定'!$C$4,COUNTIF('商品マスタ'!$B$6:$B$1005,$W4420)=0),N(U4419)+1,N(U4419))</f>
        <v/>
      </c>
      <c r="V4420" s="19">
        <f>IF($B4420="","",TEXT($B4420,"0000"))</f>
        <v/>
      </c>
      <c r="W4420" s="19">
        <f>IF($I4420="","",IF(ISNUMBER($I4420),TEXT($I4420,"0"),$I4420))</f>
        <v/>
      </c>
    </row>
    <row r="4421">
      <c r="B4421" s="25" t="n"/>
      <c r="I4421" s="25" t="n"/>
      <c r="U4421" s="19">
        <f>IF(AND($V4421='設定'!$C$4,COUNTIF('商品マスタ'!$B$6:$B$1005,$W4421)=0),N(U4420)+1,N(U4420))</f>
        <v/>
      </c>
      <c r="V4421" s="19">
        <f>IF($B4421="","",TEXT($B4421,"0000"))</f>
        <v/>
      </c>
      <c r="W4421" s="19">
        <f>IF($I4421="","",IF(ISNUMBER($I4421),TEXT($I4421,"0"),$I4421))</f>
        <v/>
      </c>
    </row>
    <row r="4422">
      <c r="B4422" s="25" t="n"/>
      <c r="I4422" s="25" t="n"/>
      <c r="U4422" s="19">
        <f>IF(AND($V4422='設定'!$C$4,COUNTIF('商品マスタ'!$B$6:$B$1005,$W4422)=0),N(U4421)+1,N(U4421))</f>
        <v/>
      </c>
      <c r="V4422" s="19">
        <f>IF($B4422="","",TEXT($B4422,"0000"))</f>
        <v/>
      </c>
      <c r="W4422" s="19">
        <f>IF($I4422="","",IF(ISNUMBER($I4422),TEXT($I4422,"0"),$I4422))</f>
        <v/>
      </c>
    </row>
    <row r="4423">
      <c r="B4423" s="25" t="n"/>
      <c r="I4423" s="25" t="n"/>
      <c r="U4423" s="19">
        <f>IF(AND($V4423='設定'!$C$4,COUNTIF('商品マスタ'!$B$6:$B$1005,$W4423)=0),N(U4422)+1,N(U4422))</f>
        <v/>
      </c>
      <c r="V4423" s="19">
        <f>IF($B4423="","",TEXT($B4423,"0000"))</f>
        <v/>
      </c>
      <c r="W4423" s="19">
        <f>IF($I4423="","",IF(ISNUMBER($I4423),TEXT($I4423,"0"),$I4423))</f>
        <v/>
      </c>
    </row>
    <row r="4424">
      <c r="B4424" s="25" t="n"/>
      <c r="I4424" s="25" t="n"/>
      <c r="U4424" s="19">
        <f>IF(AND($V4424='設定'!$C$4,COUNTIF('商品マスタ'!$B$6:$B$1005,$W4424)=0),N(U4423)+1,N(U4423))</f>
        <v/>
      </c>
      <c r="V4424" s="19">
        <f>IF($B4424="","",TEXT($B4424,"0000"))</f>
        <v/>
      </c>
      <c r="W4424" s="19">
        <f>IF($I4424="","",IF(ISNUMBER($I4424),TEXT($I4424,"0"),$I4424))</f>
        <v/>
      </c>
    </row>
    <row r="4425">
      <c r="B4425" s="25" t="n"/>
      <c r="I4425" s="25" t="n"/>
      <c r="U4425" s="19">
        <f>IF(AND($V4425='設定'!$C$4,COUNTIF('商品マスタ'!$B$6:$B$1005,$W4425)=0),N(U4424)+1,N(U4424))</f>
        <v/>
      </c>
      <c r="V4425" s="19">
        <f>IF($B4425="","",TEXT($B4425,"0000"))</f>
        <v/>
      </c>
      <c r="W4425" s="19">
        <f>IF($I4425="","",IF(ISNUMBER($I4425),TEXT($I4425,"0"),$I4425))</f>
        <v/>
      </c>
    </row>
    <row r="4426">
      <c r="B4426" s="25" t="n"/>
      <c r="I4426" s="25" t="n"/>
      <c r="U4426" s="19">
        <f>IF(AND($V4426='設定'!$C$4,COUNTIF('商品マスタ'!$B$6:$B$1005,$W4426)=0),N(U4425)+1,N(U4425))</f>
        <v/>
      </c>
      <c r="V4426" s="19">
        <f>IF($B4426="","",TEXT($B4426,"0000"))</f>
        <v/>
      </c>
      <c r="W4426" s="19">
        <f>IF($I4426="","",IF(ISNUMBER($I4426),TEXT($I4426,"0"),$I4426))</f>
        <v/>
      </c>
    </row>
    <row r="4427">
      <c r="B4427" s="25" t="n"/>
      <c r="I4427" s="25" t="n"/>
      <c r="U4427" s="19">
        <f>IF(AND($V4427='設定'!$C$4,COUNTIF('商品マスタ'!$B$6:$B$1005,$W4427)=0),N(U4426)+1,N(U4426))</f>
        <v/>
      </c>
      <c r="V4427" s="19">
        <f>IF($B4427="","",TEXT($B4427,"0000"))</f>
        <v/>
      </c>
      <c r="W4427" s="19">
        <f>IF($I4427="","",IF(ISNUMBER($I4427),TEXT($I4427,"0"),$I4427))</f>
        <v/>
      </c>
    </row>
    <row r="4428">
      <c r="B4428" s="25" t="n"/>
      <c r="I4428" s="25" t="n"/>
      <c r="U4428" s="19">
        <f>IF(AND($V4428='設定'!$C$4,COUNTIF('商品マスタ'!$B$6:$B$1005,$W4428)=0),N(U4427)+1,N(U4427))</f>
        <v/>
      </c>
      <c r="V4428" s="19">
        <f>IF($B4428="","",TEXT($B4428,"0000"))</f>
        <v/>
      </c>
      <c r="W4428" s="19">
        <f>IF($I4428="","",IF(ISNUMBER($I4428),TEXT($I4428,"0"),$I4428))</f>
        <v/>
      </c>
    </row>
    <row r="4429">
      <c r="B4429" s="25" t="n"/>
      <c r="I4429" s="25" t="n"/>
      <c r="U4429" s="19">
        <f>IF(AND($V4429='設定'!$C$4,COUNTIF('商品マスタ'!$B$6:$B$1005,$W4429)=0),N(U4428)+1,N(U4428))</f>
        <v/>
      </c>
      <c r="V4429" s="19">
        <f>IF($B4429="","",TEXT($B4429,"0000"))</f>
        <v/>
      </c>
      <c r="W4429" s="19">
        <f>IF($I4429="","",IF(ISNUMBER($I4429),TEXT($I4429,"0"),$I4429))</f>
        <v/>
      </c>
    </row>
    <row r="4430">
      <c r="B4430" s="25" t="n"/>
      <c r="I4430" s="25" t="n"/>
      <c r="U4430" s="19">
        <f>IF(AND($V4430='設定'!$C$4,COUNTIF('商品マスタ'!$B$6:$B$1005,$W4430)=0),N(U4429)+1,N(U4429))</f>
        <v/>
      </c>
      <c r="V4430" s="19">
        <f>IF($B4430="","",TEXT($B4430,"0000"))</f>
        <v/>
      </c>
      <c r="W4430" s="19">
        <f>IF($I4430="","",IF(ISNUMBER($I4430),TEXT($I4430,"0"),$I4430))</f>
        <v/>
      </c>
    </row>
    <row r="4431">
      <c r="B4431" s="25" t="n"/>
      <c r="I4431" s="25" t="n"/>
      <c r="U4431" s="19">
        <f>IF(AND($V4431='設定'!$C$4,COUNTIF('商品マスタ'!$B$6:$B$1005,$W4431)=0),N(U4430)+1,N(U4430))</f>
        <v/>
      </c>
      <c r="V4431" s="19">
        <f>IF($B4431="","",TEXT($B4431,"0000"))</f>
        <v/>
      </c>
      <c r="W4431" s="19">
        <f>IF($I4431="","",IF(ISNUMBER($I4431),TEXT($I4431,"0"),$I4431))</f>
        <v/>
      </c>
    </row>
    <row r="4432">
      <c r="B4432" s="25" t="n"/>
      <c r="I4432" s="25" t="n"/>
      <c r="U4432" s="19">
        <f>IF(AND($V4432='設定'!$C$4,COUNTIF('商品マスタ'!$B$6:$B$1005,$W4432)=0),N(U4431)+1,N(U4431))</f>
        <v/>
      </c>
      <c r="V4432" s="19">
        <f>IF($B4432="","",TEXT($B4432,"0000"))</f>
        <v/>
      </c>
      <c r="W4432" s="19">
        <f>IF($I4432="","",IF(ISNUMBER($I4432),TEXT($I4432,"0"),$I4432))</f>
        <v/>
      </c>
    </row>
    <row r="4433">
      <c r="B4433" s="25" t="n"/>
      <c r="I4433" s="25" t="n"/>
      <c r="U4433" s="19">
        <f>IF(AND($V4433='設定'!$C$4,COUNTIF('商品マスタ'!$B$6:$B$1005,$W4433)=0),N(U4432)+1,N(U4432))</f>
        <v/>
      </c>
      <c r="V4433" s="19">
        <f>IF($B4433="","",TEXT($B4433,"0000"))</f>
        <v/>
      </c>
      <c r="W4433" s="19">
        <f>IF($I4433="","",IF(ISNUMBER($I4433),TEXT($I4433,"0"),$I4433))</f>
        <v/>
      </c>
    </row>
    <row r="4434">
      <c r="B4434" s="25" t="n"/>
      <c r="I4434" s="25" t="n"/>
      <c r="U4434" s="19">
        <f>IF(AND($V4434='設定'!$C$4,COUNTIF('商品マスタ'!$B$6:$B$1005,$W4434)=0),N(U4433)+1,N(U4433))</f>
        <v/>
      </c>
      <c r="V4434" s="19">
        <f>IF($B4434="","",TEXT($B4434,"0000"))</f>
        <v/>
      </c>
      <c r="W4434" s="19">
        <f>IF($I4434="","",IF(ISNUMBER($I4434),TEXT($I4434,"0"),$I4434))</f>
        <v/>
      </c>
    </row>
    <row r="4435">
      <c r="B4435" s="25" t="n"/>
      <c r="I4435" s="25" t="n"/>
      <c r="U4435" s="19">
        <f>IF(AND($V4435='設定'!$C$4,COUNTIF('商品マスタ'!$B$6:$B$1005,$W4435)=0),N(U4434)+1,N(U4434))</f>
        <v/>
      </c>
      <c r="V4435" s="19">
        <f>IF($B4435="","",TEXT($B4435,"0000"))</f>
        <v/>
      </c>
      <c r="W4435" s="19">
        <f>IF($I4435="","",IF(ISNUMBER($I4435),TEXT($I4435,"0"),$I4435))</f>
        <v/>
      </c>
    </row>
    <row r="4436">
      <c r="B4436" s="25" t="n"/>
      <c r="I4436" s="25" t="n"/>
      <c r="U4436" s="19">
        <f>IF(AND($V4436='設定'!$C$4,COUNTIF('商品マスタ'!$B$6:$B$1005,$W4436)=0),N(U4435)+1,N(U4435))</f>
        <v/>
      </c>
      <c r="V4436" s="19">
        <f>IF($B4436="","",TEXT($B4436,"0000"))</f>
        <v/>
      </c>
      <c r="W4436" s="19">
        <f>IF($I4436="","",IF(ISNUMBER($I4436),TEXT($I4436,"0"),$I4436))</f>
        <v/>
      </c>
    </row>
    <row r="4437">
      <c r="B4437" s="25" t="n"/>
      <c r="I4437" s="25" t="n"/>
      <c r="U4437" s="19">
        <f>IF(AND($V4437='設定'!$C$4,COUNTIF('商品マスタ'!$B$6:$B$1005,$W4437)=0),N(U4436)+1,N(U4436))</f>
        <v/>
      </c>
      <c r="V4437" s="19">
        <f>IF($B4437="","",TEXT($B4437,"0000"))</f>
        <v/>
      </c>
      <c r="W4437" s="19">
        <f>IF($I4437="","",IF(ISNUMBER($I4437),TEXT($I4437,"0"),$I4437))</f>
        <v/>
      </c>
    </row>
    <row r="4438">
      <c r="B4438" s="25" t="n"/>
      <c r="I4438" s="25" t="n"/>
      <c r="U4438" s="19">
        <f>IF(AND($V4438='設定'!$C$4,COUNTIF('商品マスタ'!$B$6:$B$1005,$W4438)=0),N(U4437)+1,N(U4437))</f>
        <v/>
      </c>
      <c r="V4438" s="19">
        <f>IF($B4438="","",TEXT($B4438,"0000"))</f>
        <v/>
      </c>
      <c r="W4438" s="19">
        <f>IF($I4438="","",IF(ISNUMBER($I4438),TEXT($I4438,"0"),$I4438))</f>
        <v/>
      </c>
    </row>
    <row r="4439">
      <c r="B4439" s="25" t="n"/>
      <c r="I4439" s="25" t="n"/>
      <c r="U4439" s="19">
        <f>IF(AND($V4439='設定'!$C$4,COUNTIF('商品マスタ'!$B$6:$B$1005,$W4439)=0),N(U4438)+1,N(U4438))</f>
        <v/>
      </c>
      <c r="V4439" s="19">
        <f>IF($B4439="","",TEXT($B4439,"0000"))</f>
        <v/>
      </c>
      <c r="W4439" s="19">
        <f>IF($I4439="","",IF(ISNUMBER($I4439),TEXT($I4439,"0"),$I4439))</f>
        <v/>
      </c>
    </row>
    <row r="4440">
      <c r="B4440" s="25" t="n"/>
      <c r="I4440" s="25" t="n"/>
      <c r="U4440" s="19">
        <f>IF(AND($V4440='設定'!$C$4,COUNTIF('商品マスタ'!$B$6:$B$1005,$W4440)=0),N(U4439)+1,N(U4439))</f>
        <v/>
      </c>
      <c r="V4440" s="19">
        <f>IF($B4440="","",TEXT($B4440,"0000"))</f>
        <v/>
      </c>
      <c r="W4440" s="19">
        <f>IF($I4440="","",IF(ISNUMBER($I4440),TEXT($I4440,"0"),$I4440))</f>
        <v/>
      </c>
    </row>
    <row r="4441">
      <c r="B4441" s="25" t="n"/>
      <c r="I4441" s="25" t="n"/>
      <c r="U4441" s="19">
        <f>IF(AND($V4441='設定'!$C$4,COUNTIF('商品マスタ'!$B$6:$B$1005,$W4441)=0),N(U4440)+1,N(U4440))</f>
        <v/>
      </c>
      <c r="V4441" s="19">
        <f>IF($B4441="","",TEXT($B4441,"0000"))</f>
        <v/>
      </c>
      <c r="W4441" s="19">
        <f>IF($I4441="","",IF(ISNUMBER($I4441),TEXT($I4441,"0"),$I4441))</f>
        <v/>
      </c>
    </row>
    <row r="4442">
      <c r="B4442" s="25" t="n"/>
      <c r="I4442" s="25" t="n"/>
      <c r="U4442" s="19">
        <f>IF(AND($V4442='設定'!$C$4,COUNTIF('商品マスタ'!$B$6:$B$1005,$W4442)=0),N(U4441)+1,N(U4441))</f>
        <v/>
      </c>
      <c r="V4442" s="19">
        <f>IF($B4442="","",TEXT($B4442,"0000"))</f>
        <v/>
      </c>
      <c r="W4442" s="19">
        <f>IF($I4442="","",IF(ISNUMBER($I4442),TEXT($I4442,"0"),$I4442))</f>
        <v/>
      </c>
    </row>
    <row r="4443">
      <c r="B4443" s="25" t="n"/>
      <c r="I4443" s="25" t="n"/>
      <c r="U4443" s="19">
        <f>IF(AND($V4443='設定'!$C$4,COUNTIF('商品マスタ'!$B$6:$B$1005,$W4443)=0),N(U4442)+1,N(U4442))</f>
        <v/>
      </c>
      <c r="V4443" s="19">
        <f>IF($B4443="","",TEXT($B4443,"0000"))</f>
        <v/>
      </c>
      <c r="W4443" s="19">
        <f>IF($I4443="","",IF(ISNUMBER($I4443),TEXT($I4443,"0"),$I4443))</f>
        <v/>
      </c>
    </row>
    <row r="4444">
      <c r="B4444" s="25" t="n"/>
      <c r="I4444" s="25" t="n"/>
      <c r="U4444" s="19">
        <f>IF(AND($V4444='設定'!$C$4,COUNTIF('商品マスタ'!$B$6:$B$1005,$W4444)=0),N(U4443)+1,N(U4443))</f>
        <v/>
      </c>
      <c r="V4444" s="19">
        <f>IF($B4444="","",TEXT($B4444,"0000"))</f>
        <v/>
      </c>
      <c r="W4444" s="19">
        <f>IF($I4444="","",IF(ISNUMBER($I4444),TEXT($I4444,"0"),$I4444))</f>
        <v/>
      </c>
    </row>
    <row r="4445">
      <c r="B4445" s="25" t="n"/>
      <c r="I4445" s="25" t="n"/>
      <c r="U4445" s="19">
        <f>IF(AND($V4445='設定'!$C$4,COUNTIF('商品マスタ'!$B$6:$B$1005,$W4445)=0),N(U4444)+1,N(U4444))</f>
        <v/>
      </c>
      <c r="V4445" s="19">
        <f>IF($B4445="","",TEXT($B4445,"0000"))</f>
        <v/>
      </c>
      <c r="W4445" s="19">
        <f>IF($I4445="","",IF(ISNUMBER($I4445),TEXT($I4445,"0"),$I4445))</f>
        <v/>
      </c>
    </row>
    <row r="4446">
      <c r="B4446" s="25" t="n"/>
      <c r="I4446" s="25" t="n"/>
      <c r="U4446" s="19">
        <f>IF(AND($V4446='設定'!$C$4,COUNTIF('商品マスタ'!$B$6:$B$1005,$W4446)=0),N(U4445)+1,N(U4445))</f>
        <v/>
      </c>
      <c r="V4446" s="19">
        <f>IF($B4446="","",TEXT($B4446,"0000"))</f>
        <v/>
      </c>
      <c r="W4446" s="19">
        <f>IF($I4446="","",IF(ISNUMBER($I4446),TEXT($I4446,"0"),$I4446))</f>
        <v/>
      </c>
    </row>
    <row r="4447">
      <c r="B4447" s="25" t="n"/>
      <c r="I4447" s="25" t="n"/>
      <c r="U4447" s="19">
        <f>IF(AND($V4447='設定'!$C$4,COUNTIF('商品マスタ'!$B$6:$B$1005,$W4447)=0),N(U4446)+1,N(U4446))</f>
        <v/>
      </c>
      <c r="V4447" s="19">
        <f>IF($B4447="","",TEXT($B4447,"0000"))</f>
        <v/>
      </c>
      <c r="W4447" s="19">
        <f>IF($I4447="","",IF(ISNUMBER($I4447),TEXT($I4447,"0"),$I4447))</f>
        <v/>
      </c>
    </row>
    <row r="4448">
      <c r="B4448" s="25" t="n"/>
      <c r="I4448" s="25" t="n"/>
      <c r="U4448" s="19">
        <f>IF(AND($V4448='設定'!$C$4,COUNTIF('商品マスタ'!$B$6:$B$1005,$W4448)=0),N(U4447)+1,N(U4447))</f>
        <v/>
      </c>
      <c r="V4448" s="19">
        <f>IF($B4448="","",TEXT($B4448,"0000"))</f>
        <v/>
      </c>
      <c r="W4448" s="19">
        <f>IF($I4448="","",IF(ISNUMBER($I4448),TEXT($I4448,"0"),$I4448))</f>
        <v/>
      </c>
    </row>
    <row r="4449">
      <c r="B4449" s="25" t="n"/>
      <c r="I4449" s="25" t="n"/>
      <c r="U4449" s="19">
        <f>IF(AND($V4449='設定'!$C$4,COUNTIF('商品マスタ'!$B$6:$B$1005,$W4449)=0),N(U4448)+1,N(U4448))</f>
        <v/>
      </c>
      <c r="V4449" s="19">
        <f>IF($B4449="","",TEXT($B4449,"0000"))</f>
        <v/>
      </c>
      <c r="W4449" s="19">
        <f>IF($I4449="","",IF(ISNUMBER($I4449),TEXT($I4449,"0"),$I4449))</f>
        <v/>
      </c>
    </row>
    <row r="4450">
      <c r="B4450" s="25" t="n"/>
      <c r="I4450" s="25" t="n"/>
      <c r="U4450" s="19">
        <f>IF(AND($V4450='設定'!$C$4,COUNTIF('商品マスタ'!$B$6:$B$1005,$W4450)=0),N(U4449)+1,N(U4449))</f>
        <v/>
      </c>
      <c r="V4450" s="19">
        <f>IF($B4450="","",TEXT($B4450,"0000"))</f>
        <v/>
      </c>
      <c r="W4450" s="19">
        <f>IF($I4450="","",IF(ISNUMBER($I4450),TEXT($I4450,"0"),$I4450))</f>
        <v/>
      </c>
    </row>
    <row r="4451">
      <c r="B4451" s="25" t="n"/>
      <c r="I4451" s="25" t="n"/>
      <c r="U4451" s="19">
        <f>IF(AND($V4451='設定'!$C$4,COUNTIF('商品マスタ'!$B$6:$B$1005,$W4451)=0),N(U4450)+1,N(U4450))</f>
        <v/>
      </c>
      <c r="V4451" s="19">
        <f>IF($B4451="","",TEXT($B4451,"0000"))</f>
        <v/>
      </c>
      <c r="W4451" s="19">
        <f>IF($I4451="","",IF(ISNUMBER($I4451),TEXT($I4451,"0"),$I4451))</f>
        <v/>
      </c>
    </row>
    <row r="4452">
      <c r="B4452" s="25" t="n"/>
      <c r="I4452" s="25" t="n"/>
      <c r="U4452" s="19">
        <f>IF(AND($V4452='設定'!$C$4,COUNTIF('商品マスタ'!$B$6:$B$1005,$W4452)=0),N(U4451)+1,N(U4451))</f>
        <v/>
      </c>
      <c r="V4452" s="19">
        <f>IF($B4452="","",TEXT($B4452,"0000"))</f>
        <v/>
      </c>
      <c r="W4452" s="19">
        <f>IF($I4452="","",IF(ISNUMBER($I4452),TEXT($I4452,"0"),$I4452))</f>
        <v/>
      </c>
    </row>
    <row r="4453">
      <c r="B4453" s="25" t="n"/>
      <c r="I4453" s="25" t="n"/>
      <c r="U4453" s="19">
        <f>IF(AND($V4453='設定'!$C$4,COUNTIF('商品マスタ'!$B$6:$B$1005,$W4453)=0),N(U4452)+1,N(U4452))</f>
        <v/>
      </c>
      <c r="V4453" s="19">
        <f>IF($B4453="","",TEXT($B4453,"0000"))</f>
        <v/>
      </c>
      <c r="W4453" s="19">
        <f>IF($I4453="","",IF(ISNUMBER($I4453),TEXT($I4453,"0"),$I4453))</f>
        <v/>
      </c>
    </row>
    <row r="4454">
      <c r="B4454" s="25" t="n"/>
      <c r="I4454" s="25" t="n"/>
      <c r="U4454" s="19">
        <f>IF(AND($V4454='設定'!$C$4,COUNTIF('商品マスタ'!$B$6:$B$1005,$W4454)=0),N(U4453)+1,N(U4453))</f>
        <v/>
      </c>
      <c r="V4454" s="19">
        <f>IF($B4454="","",TEXT($B4454,"0000"))</f>
        <v/>
      </c>
      <c r="W4454" s="19">
        <f>IF($I4454="","",IF(ISNUMBER($I4454),TEXT($I4454,"0"),$I4454))</f>
        <v/>
      </c>
    </row>
    <row r="4455">
      <c r="B4455" s="25" t="n"/>
      <c r="I4455" s="25" t="n"/>
      <c r="U4455" s="19">
        <f>IF(AND($V4455='設定'!$C$4,COUNTIF('商品マスタ'!$B$6:$B$1005,$W4455)=0),N(U4454)+1,N(U4454))</f>
        <v/>
      </c>
      <c r="V4455" s="19">
        <f>IF($B4455="","",TEXT($B4455,"0000"))</f>
        <v/>
      </c>
      <c r="W4455" s="19">
        <f>IF($I4455="","",IF(ISNUMBER($I4455),TEXT($I4455,"0"),$I4455))</f>
        <v/>
      </c>
    </row>
    <row r="4456">
      <c r="B4456" s="25" t="n"/>
      <c r="I4456" s="25" t="n"/>
      <c r="U4456" s="19">
        <f>IF(AND($V4456='設定'!$C$4,COUNTIF('商品マスタ'!$B$6:$B$1005,$W4456)=0),N(U4455)+1,N(U4455))</f>
        <v/>
      </c>
      <c r="V4456" s="19">
        <f>IF($B4456="","",TEXT($B4456,"0000"))</f>
        <v/>
      </c>
      <c r="W4456" s="19">
        <f>IF($I4456="","",IF(ISNUMBER($I4456),TEXT($I4456,"0"),$I4456))</f>
        <v/>
      </c>
    </row>
    <row r="4457">
      <c r="B4457" s="25" t="n"/>
      <c r="I4457" s="25" t="n"/>
      <c r="U4457" s="19">
        <f>IF(AND($V4457='設定'!$C$4,COUNTIF('商品マスタ'!$B$6:$B$1005,$W4457)=0),N(U4456)+1,N(U4456))</f>
        <v/>
      </c>
      <c r="V4457" s="19">
        <f>IF($B4457="","",TEXT($B4457,"0000"))</f>
        <v/>
      </c>
      <c r="W4457" s="19">
        <f>IF($I4457="","",IF(ISNUMBER($I4457),TEXT($I4457,"0"),$I4457))</f>
        <v/>
      </c>
    </row>
    <row r="4458">
      <c r="B4458" s="25" t="n"/>
      <c r="I4458" s="25" t="n"/>
      <c r="U4458" s="19">
        <f>IF(AND($V4458='設定'!$C$4,COUNTIF('商品マスタ'!$B$6:$B$1005,$W4458)=0),N(U4457)+1,N(U4457))</f>
        <v/>
      </c>
      <c r="V4458" s="19">
        <f>IF($B4458="","",TEXT($B4458,"0000"))</f>
        <v/>
      </c>
      <c r="W4458" s="19">
        <f>IF($I4458="","",IF(ISNUMBER($I4458),TEXT($I4458,"0"),$I4458))</f>
        <v/>
      </c>
    </row>
    <row r="4459">
      <c r="B4459" s="25" t="n"/>
      <c r="I4459" s="25" t="n"/>
      <c r="U4459" s="19">
        <f>IF(AND($V4459='設定'!$C$4,COUNTIF('商品マスタ'!$B$6:$B$1005,$W4459)=0),N(U4458)+1,N(U4458))</f>
        <v/>
      </c>
      <c r="V4459" s="19">
        <f>IF($B4459="","",TEXT($B4459,"0000"))</f>
        <v/>
      </c>
      <c r="W4459" s="19">
        <f>IF($I4459="","",IF(ISNUMBER($I4459),TEXT($I4459,"0"),$I4459))</f>
        <v/>
      </c>
    </row>
    <row r="4460">
      <c r="B4460" s="25" t="n"/>
      <c r="I4460" s="25" t="n"/>
      <c r="U4460" s="19">
        <f>IF(AND($V4460='設定'!$C$4,COUNTIF('商品マスタ'!$B$6:$B$1005,$W4460)=0),N(U4459)+1,N(U4459))</f>
        <v/>
      </c>
      <c r="V4460" s="19">
        <f>IF($B4460="","",TEXT($B4460,"0000"))</f>
        <v/>
      </c>
      <c r="W4460" s="19">
        <f>IF($I4460="","",IF(ISNUMBER($I4460),TEXT($I4460,"0"),$I4460))</f>
        <v/>
      </c>
    </row>
    <row r="4461">
      <c r="B4461" s="25" t="n"/>
      <c r="I4461" s="25" t="n"/>
      <c r="U4461" s="19">
        <f>IF(AND($V4461='設定'!$C$4,COUNTIF('商品マスタ'!$B$6:$B$1005,$W4461)=0),N(U4460)+1,N(U4460))</f>
        <v/>
      </c>
      <c r="V4461" s="19">
        <f>IF($B4461="","",TEXT($B4461,"0000"))</f>
        <v/>
      </c>
      <c r="W4461" s="19">
        <f>IF($I4461="","",IF(ISNUMBER($I4461),TEXT($I4461,"0"),$I4461))</f>
        <v/>
      </c>
    </row>
    <row r="4462">
      <c r="B4462" s="25" t="n"/>
      <c r="I4462" s="25" t="n"/>
      <c r="U4462" s="19">
        <f>IF(AND($V4462='設定'!$C$4,COUNTIF('商品マスタ'!$B$6:$B$1005,$W4462)=0),N(U4461)+1,N(U4461))</f>
        <v/>
      </c>
      <c r="V4462" s="19">
        <f>IF($B4462="","",TEXT($B4462,"0000"))</f>
        <v/>
      </c>
      <c r="W4462" s="19">
        <f>IF($I4462="","",IF(ISNUMBER($I4462),TEXT($I4462,"0"),$I4462))</f>
        <v/>
      </c>
    </row>
    <row r="4463">
      <c r="B4463" s="25" t="n"/>
      <c r="I4463" s="25" t="n"/>
      <c r="U4463" s="19">
        <f>IF(AND($V4463='設定'!$C$4,COUNTIF('商品マスタ'!$B$6:$B$1005,$W4463)=0),N(U4462)+1,N(U4462))</f>
        <v/>
      </c>
      <c r="V4463" s="19">
        <f>IF($B4463="","",TEXT($B4463,"0000"))</f>
        <v/>
      </c>
      <c r="W4463" s="19">
        <f>IF($I4463="","",IF(ISNUMBER($I4463),TEXT($I4463,"0"),$I4463))</f>
        <v/>
      </c>
    </row>
    <row r="4464">
      <c r="B4464" s="25" t="n"/>
      <c r="I4464" s="25" t="n"/>
      <c r="U4464" s="19">
        <f>IF(AND($V4464='設定'!$C$4,COUNTIF('商品マスタ'!$B$6:$B$1005,$W4464)=0),N(U4463)+1,N(U4463))</f>
        <v/>
      </c>
      <c r="V4464" s="19">
        <f>IF($B4464="","",TEXT($B4464,"0000"))</f>
        <v/>
      </c>
      <c r="W4464" s="19">
        <f>IF($I4464="","",IF(ISNUMBER($I4464),TEXT($I4464,"0"),$I4464))</f>
        <v/>
      </c>
    </row>
    <row r="4465">
      <c r="B4465" s="25" t="n"/>
      <c r="I4465" s="25" t="n"/>
      <c r="U4465" s="19">
        <f>IF(AND($V4465='設定'!$C$4,COUNTIF('商品マスタ'!$B$6:$B$1005,$W4465)=0),N(U4464)+1,N(U4464))</f>
        <v/>
      </c>
      <c r="V4465" s="19">
        <f>IF($B4465="","",TEXT($B4465,"0000"))</f>
        <v/>
      </c>
      <c r="W4465" s="19">
        <f>IF($I4465="","",IF(ISNUMBER($I4465),TEXT($I4465,"0"),$I4465))</f>
        <v/>
      </c>
    </row>
    <row r="4466">
      <c r="B4466" s="25" t="n"/>
      <c r="I4466" s="25" t="n"/>
      <c r="U4466" s="19">
        <f>IF(AND($V4466='設定'!$C$4,COUNTIF('商品マスタ'!$B$6:$B$1005,$W4466)=0),N(U4465)+1,N(U4465))</f>
        <v/>
      </c>
      <c r="V4466" s="19">
        <f>IF($B4466="","",TEXT($B4466,"0000"))</f>
        <v/>
      </c>
      <c r="W4466" s="19">
        <f>IF($I4466="","",IF(ISNUMBER($I4466),TEXT($I4466,"0"),$I4466))</f>
        <v/>
      </c>
    </row>
    <row r="4467">
      <c r="B4467" s="25" t="n"/>
      <c r="I4467" s="25" t="n"/>
      <c r="U4467" s="19">
        <f>IF(AND($V4467='設定'!$C$4,COUNTIF('商品マスタ'!$B$6:$B$1005,$W4467)=0),N(U4466)+1,N(U4466))</f>
        <v/>
      </c>
      <c r="V4467" s="19">
        <f>IF($B4467="","",TEXT($B4467,"0000"))</f>
        <v/>
      </c>
      <c r="W4467" s="19">
        <f>IF($I4467="","",IF(ISNUMBER($I4467),TEXT($I4467,"0"),$I4467))</f>
        <v/>
      </c>
    </row>
    <row r="4468">
      <c r="B4468" s="25" t="n"/>
      <c r="I4468" s="25" t="n"/>
      <c r="U4468" s="19">
        <f>IF(AND($V4468='設定'!$C$4,COUNTIF('商品マスタ'!$B$6:$B$1005,$W4468)=0),N(U4467)+1,N(U4467))</f>
        <v/>
      </c>
      <c r="V4468" s="19">
        <f>IF($B4468="","",TEXT($B4468,"0000"))</f>
        <v/>
      </c>
      <c r="W4468" s="19">
        <f>IF($I4468="","",IF(ISNUMBER($I4468),TEXT($I4468,"0"),$I4468))</f>
        <v/>
      </c>
    </row>
    <row r="4469">
      <c r="B4469" s="25" t="n"/>
      <c r="I4469" s="25" t="n"/>
      <c r="U4469" s="19">
        <f>IF(AND($V4469='設定'!$C$4,COUNTIF('商品マスタ'!$B$6:$B$1005,$W4469)=0),N(U4468)+1,N(U4468))</f>
        <v/>
      </c>
      <c r="V4469" s="19">
        <f>IF($B4469="","",TEXT($B4469,"0000"))</f>
        <v/>
      </c>
      <c r="W4469" s="19">
        <f>IF($I4469="","",IF(ISNUMBER($I4469),TEXT($I4469,"0"),$I4469))</f>
        <v/>
      </c>
    </row>
    <row r="4470">
      <c r="B4470" s="25" t="n"/>
      <c r="I4470" s="25" t="n"/>
      <c r="U4470" s="19">
        <f>IF(AND($V4470='設定'!$C$4,COUNTIF('商品マスタ'!$B$6:$B$1005,$W4470)=0),N(U4469)+1,N(U4469))</f>
        <v/>
      </c>
      <c r="V4470" s="19">
        <f>IF($B4470="","",TEXT($B4470,"0000"))</f>
        <v/>
      </c>
      <c r="W4470" s="19">
        <f>IF($I4470="","",IF(ISNUMBER($I4470),TEXT($I4470,"0"),$I4470))</f>
        <v/>
      </c>
    </row>
    <row r="4471">
      <c r="B4471" s="25" t="n"/>
      <c r="I4471" s="25" t="n"/>
      <c r="U4471" s="19">
        <f>IF(AND($V4471='設定'!$C$4,COUNTIF('商品マスタ'!$B$6:$B$1005,$W4471)=0),N(U4470)+1,N(U4470))</f>
        <v/>
      </c>
      <c r="V4471" s="19">
        <f>IF($B4471="","",TEXT($B4471,"0000"))</f>
        <v/>
      </c>
      <c r="W4471" s="19">
        <f>IF($I4471="","",IF(ISNUMBER($I4471),TEXT($I4471,"0"),$I4471))</f>
        <v/>
      </c>
    </row>
    <row r="4472">
      <c r="B4472" s="25" t="n"/>
      <c r="I4472" s="25" t="n"/>
      <c r="U4472" s="19">
        <f>IF(AND($V4472='設定'!$C$4,COUNTIF('商品マスタ'!$B$6:$B$1005,$W4472)=0),N(U4471)+1,N(U4471))</f>
        <v/>
      </c>
      <c r="V4472" s="19">
        <f>IF($B4472="","",TEXT($B4472,"0000"))</f>
        <v/>
      </c>
      <c r="W4472" s="19">
        <f>IF($I4472="","",IF(ISNUMBER($I4472),TEXT($I4472,"0"),$I4472))</f>
        <v/>
      </c>
    </row>
    <row r="4473">
      <c r="B4473" s="25" t="n"/>
      <c r="I4473" s="25" t="n"/>
      <c r="U4473" s="19">
        <f>IF(AND($V4473='設定'!$C$4,COUNTIF('商品マスタ'!$B$6:$B$1005,$W4473)=0),N(U4472)+1,N(U4472))</f>
        <v/>
      </c>
      <c r="V4473" s="19">
        <f>IF($B4473="","",TEXT($B4473,"0000"))</f>
        <v/>
      </c>
      <c r="W4473" s="19">
        <f>IF($I4473="","",IF(ISNUMBER($I4473),TEXT($I4473,"0"),$I4473))</f>
        <v/>
      </c>
    </row>
    <row r="4474">
      <c r="B4474" s="25" t="n"/>
      <c r="I4474" s="25" t="n"/>
      <c r="U4474" s="19">
        <f>IF(AND($V4474='設定'!$C$4,COUNTIF('商品マスタ'!$B$6:$B$1005,$W4474)=0),N(U4473)+1,N(U4473))</f>
        <v/>
      </c>
      <c r="V4474" s="19">
        <f>IF($B4474="","",TEXT($B4474,"0000"))</f>
        <v/>
      </c>
      <c r="W4474" s="19">
        <f>IF($I4474="","",IF(ISNUMBER($I4474),TEXT($I4474,"0"),$I4474))</f>
        <v/>
      </c>
    </row>
    <row r="4475">
      <c r="B4475" s="25" t="n"/>
      <c r="I4475" s="25" t="n"/>
      <c r="U4475" s="19">
        <f>IF(AND($V4475='設定'!$C$4,COUNTIF('商品マスタ'!$B$6:$B$1005,$W4475)=0),N(U4474)+1,N(U4474))</f>
        <v/>
      </c>
      <c r="V4475" s="19">
        <f>IF($B4475="","",TEXT($B4475,"0000"))</f>
        <v/>
      </c>
      <c r="W4475" s="19">
        <f>IF($I4475="","",IF(ISNUMBER($I4475),TEXT($I4475,"0"),$I4475))</f>
        <v/>
      </c>
    </row>
    <row r="4476">
      <c r="B4476" s="25" t="n"/>
      <c r="I4476" s="25" t="n"/>
      <c r="U4476" s="19">
        <f>IF(AND($V4476='設定'!$C$4,COUNTIF('商品マスタ'!$B$6:$B$1005,$W4476)=0),N(U4475)+1,N(U4475))</f>
        <v/>
      </c>
      <c r="V4476" s="19">
        <f>IF($B4476="","",TEXT($B4476,"0000"))</f>
        <v/>
      </c>
      <c r="W4476" s="19">
        <f>IF($I4476="","",IF(ISNUMBER($I4476),TEXT($I4476,"0"),$I4476))</f>
        <v/>
      </c>
    </row>
    <row r="4477">
      <c r="B4477" s="25" t="n"/>
      <c r="I4477" s="25" t="n"/>
      <c r="U4477" s="19">
        <f>IF(AND($V4477='設定'!$C$4,COUNTIF('商品マスタ'!$B$6:$B$1005,$W4477)=0),N(U4476)+1,N(U4476))</f>
        <v/>
      </c>
      <c r="V4477" s="19">
        <f>IF($B4477="","",TEXT($B4477,"0000"))</f>
        <v/>
      </c>
      <c r="W4477" s="19">
        <f>IF($I4477="","",IF(ISNUMBER($I4477),TEXT($I4477,"0"),$I4477))</f>
        <v/>
      </c>
    </row>
    <row r="4478">
      <c r="B4478" s="25" t="n"/>
      <c r="I4478" s="25" t="n"/>
      <c r="U4478" s="19">
        <f>IF(AND($V4478='設定'!$C$4,COUNTIF('商品マスタ'!$B$6:$B$1005,$W4478)=0),N(U4477)+1,N(U4477))</f>
        <v/>
      </c>
      <c r="V4478" s="19">
        <f>IF($B4478="","",TEXT($B4478,"0000"))</f>
        <v/>
      </c>
      <c r="W4478" s="19">
        <f>IF($I4478="","",IF(ISNUMBER($I4478),TEXT($I4478,"0"),$I4478))</f>
        <v/>
      </c>
    </row>
    <row r="4479">
      <c r="B4479" s="25" t="n"/>
      <c r="I4479" s="25" t="n"/>
      <c r="U4479" s="19">
        <f>IF(AND($V4479='設定'!$C$4,COUNTIF('商品マスタ'!$B$6:$B$1005,$W4479)=0),N(U4478)+1,N(U4478))</f>
        <v/>
      </c>
      <c r="V4479" s="19">
        <f>IF($B4479="","",TEXT($B4479,"0000"))</f>
        <v/>
      </c>
      <c r="W4479" s="19">
        <f>IF($I4479="","",IF(ISNUMBER($I4479),TEXT($I4479,"0"),$I4479))</f>
        <v/>
      </c>
    </row>
    <row r="4480">
      <c r="B4480" s="25" t="n"/>
      <c r="I4480" s="25" t="n"/>
      <c r="U4480" s="19">
        <f>IF(AND($V4480='設定'!$C$4,COUNTIF('商品マスタ'!$B$6:$B$1005,$W4480)=0),N(U4479)+1,N(U4479))</f>
        <v/>
      </c>
      <c r="V4480" s="19">
        <f>IF($B4480="","",TEXT($B4480,"0000"))</f>
        <v/>
      </c>
      <c r="W4480" s="19">
        <f>IF($I4480="","",IF(ISNUMBER($I4480),TEXT($I4480,"0"),$I4480))</f>
        <v/>
      </c>
    </row>
    <row r="4481">
      <c r="B4481" s="25" t="n"/>
      <c r="I4481" s="25" t="n"/>
      <c r="U4481" s="19">
        <f>IF(AND($V4481='設定'!$C$4,COUNTIF('商品マスタ'!$B$6:$B$1005,$W4481)=0),N(U4480)+1,N(U4480))</f>
        <v/>
      </c>
      <c r="V4481" s="19">
        <f>IF($B4481="","",TEXT($B4481,"0000"))</f>
        <v/>
      </c>
      <c r="W4481" s="19">
        <f>IF($I4481="","",IF(ISNUMBER($I4481),TEXT($I4481,"0"),$I4481))</f>
        <v/>
      </c>
    </row>
    <row r="4482">
      <c r="B4482" s="25" t="n"/>
      <c r="I4482" s="25" t="n"/>
      <c r="U4482" s="19">
        <f>IF(AND($V4482='設定'!$C$4,COUNTIF('商品マスタ'!$B$6:$B$1005,$W4482)=0),N(U4481)+1,N(U4481))</f>
        <v/>
      </c>
      <c r="V4482" s="19">
        <f>IF($B4482="","",TEXT($B4482,"0000"))</f>
        <v/>
      </c>
      <c r="W4482" s="19">
        <f>IF($I4482="","",IF(ISNUMBER($I4482),TEXT($I4482,"0"),$I4482))</f>
        <v/>
      </c>
    </row>
    <row r="4483">
      <c r="B4483" s="25" t="n"/>
      <c r="I4483" s="25" t="n"/>
      <c r="U4483" s="19">
        <f>IF(AND($V4483='設定'!$C$4,COUNTIF('商品マスタ'!$B$6:$B$1005,$W4483)=0),N(U4482)+1,N(U4482))</f>
        <v/>
      </c>
      <c r="V4483" s="19">
        <f>IF($B4483="","",TEXT($B4483,"0000"))</f>
        <v/>
      </c>
      <c r="W4483" s="19">
        <f>IF($I4483="","",IF(ISNUMBER($I4483),TEXT($I4483,"0"),$I4483))</f>
        <v/>
      </c>
    </row>
    <row r="4484">
      <c r="B4484" s="25" t="n"/>
      <c r="I4484" s="25" t="n"/>
      <c r="U4484" s="19">
        <f>IF(AND($V4484='設定'!$C$4,COUNTIF('商品マスタ'!$B$6:$B$1005,$W4484)=0),N(U4483)+1,N(U4483))</f>
        <v/>
      </c>
      <c r="V4484" s="19">
        <f>IF($B4484="","",TEXT($B4484,"0000"))</f>
        <v/>
      </c>
      <c r="W4484" s="19">
        <f>IF($I4484="","",IF(ISNUMBER($I4484),TEXT($I4484,"0"),$I4484))</f>
        <v/>
      </c>
    </row>
    <row r="4485">
      <c r="B4485" s="25" t="n"/>
      <c r="I4485" s="25" t="n"/>
      <c r="U4485" s="19">
        <f>IF(AND($V4485='設定'!$C$4,COUNTIF('商品マスタ'!$B$6:$B$1005,$W4485)=0),N(U4484)+1,N(U4484))</f>
        <v/>
      </c>
      <c r="V4485" s="19">
        <f>IF($B4485="","",TEXT($B4485,"0000"))</f>
        <v/>
      </c>
      <c r="W4485" s="19">
        <f>IF($I4485="","",IF(ISNUMBER($I4485),TEXT($I4485,"0"),$I4485))</f>
        <v/>
      </c>
    </row>
    <row r="4486">
      <c r="B4486" s="25" t="n"/>
      <c r="I4486" s="25" t="n"/>
      <c r="U4486" s="19">
        <f>IF(AND($V4486='設定'!$C$4,COUNTIF('商品マスタ'!$B$6:$B$1005,$W4486)=0),N(U4485)+1,N(U4485))</f>
        <v/>
      </c>
      <c r="V4486" s="19">
        <f>IF($B4486="","",TEXT($B4486,"0000"))</f>
        <v/>
      </c>
      <c r="W4486" s="19">
        <f>IF($I4486="","",IF(ISNUMBER($I4486),TEXT($I4486,"0"),$I4486))</f>
        <v/>
      </c>
    </row>
    <row r="4487">
      <c r="B4487" s="25" t="n"/>
      <c r="I4487" s="25" t="n"/>
      <c r="U4487" s="19">
        <f>IF(AND($V4487='設定'!$C$4,COUNTIF('商品マスタ'!$B$6:$B$1005,$W4487)=0),N(U4486)+1,N(U4486))</f>
        <v/>
      </c>
      <c r="V4487" s="19">
        <f>IF($B4487="","",TEXT($B4487,"0000"))</f>
        <v/>
      </c>
      <c r="W4487" s="19">
        <f>IF($I4487="","",IF(ISNUMBER($I4487),TEXT($I4487,"0"),$I4487))</f>
        <v/>
      </c>
    </row>
    <row r="4488">
      <c r="B4488" s="25" t="n"/>
      <c r="I4488" s="25" t="n"/>
      <c r="U4488" s="19">
        <f>IF(AND($V4488='設定'!$C$4,COUNTIF('商品マスタ'!$B$6:$B$1005,$W4488)=0),N(U4487)+1,N(U4487))</f>
        <v/>
      </c>
      <c r="V4488" s="19">
        <f>IF($B4488="","",TEXT($B4488,"0000"))</f>
        <v/>
      </c>
      <c r="W4488" s="19">
        <f>IF($I4488="","",IF(ISNUMBER($I4488),TEXT($I4488,"0"),$I4488))</f>
        <v/>
      </c>
    </row>
    <row r="4489">
      <c r="B4489" s="25" t="n"/>
      <c r="I4489" s="25" t="n"/>
      <c r="U4489" s="19">
        <f>IF(AND($V4489='設定'!$C$4,COUNTIF('商品マスタ'!$B$6:$B$1005,$W4489)=0),N(U4488)+1,N(U4488))</f>
        <v/>
      </c>
      <c r="V4489" s="19">
        <f>IF($B4489="","",TEXT($B4489,"0000"))</f>
        <v/>
      </c>
      <c r="W4489" s="19">
        <f>IF($I4489="","",IF(ISNUMBER($I4489),TEXT($I4489,"0"),$I4489))</f>
        <v/>
      </c>
    </row>
    <row r="4490">
      <c r="B4490" s="25" t="n"/>
      <c r="I4490" s="25" t="n"/>
      <c r="U4490" s="19">
        <f>IF(AND($V4490='設定'!$C$4,COUNTIF('商品マスタ'!$B$6:$B$1005,$W4490)=0),N(U4489)+1,N(U4489))</f>
        <v/>
      </c>
      <c r="V4490" s="19">
        <f>IF($B4490="","",TEXT($B4490,"0000"))</f>
        <v/>
      </c>
      <c r="W4490" s="19">
        <f>IF($I4490="","",IF(ISNUMBER($I4490),TEXT($I4490,"0"),$I4490))</f>
        <v/>
      </c>
    </row>
    <row r="4491">
      <c r="B4491" s="25" t="n"/>
      <c r="I4491" s="25" t="n"/>
      <c r="U4491" s="19">
        <f>IF(AND($V4491='設定'!$C$4,COUNTIF('商品マスタ'!$B$6:$B$1005,$W4491)=0),N(U4490)+1,N(U4490))</f>
        <v/>
      </c>
      <c r="V4491" s="19">
        <f>IF($B4491="","",TEXT($B4491,"0000"))</f>
        <v/>
      </c>
      <c r="W4491" s="19">
        <f>IF($I4491="","",IF(ISNUMBER($I4491),TEXT($I4491,"0"),$I4491))</f>
        <v/>
      </c>
    </row>
    <row r="4492">
      <c r="B4492" s="25" t="n"/>
      <c r="I4492" s="25" t="n"/>
      <c r="U4492" s="19">
        <f>IF(AND($V4492='設定'!$C$4,COUNTIF('商品マスタ'!$B$6:$B$1005,$W4492)=0),N(U4491)+1,N(U4491))</f>
        <v/>
      </c>
      <c r="V4492" s="19">
        <f>IF($B4492="","",TEXT($B4492,"0000"))</f>
        <v/>
      </c>
      <c r="W4492" s="19">
        <f>IF($I4492="","",IF(ISNUMBER($I4492),TEXT($I4492,"0"),$I4492))</f>
        <v/>
      </c>
    </row>
    <row r="4493">
      <c r="B4493" s="25" t="n"/>
      <c r="I4493" s="25" t="n"/>
      <c r="U4493" s="19">
        <f>IF(AND($V4493='設定'!$C$4,COUNTIF('商品マスタ'!$B$6:$B$1005,$W4493)=0),N(U4492)+1,N(U4492))</f>
        <v/>
      </c>
      <c r="V4493" s="19">
        <f>IF($B4493="","",TEXT($B4493,"0000"))</f>
        <v/>
      </c>
      <c r="W4493" s="19">
        <f>IF($I4493="","",IF(ISNUMBER($I4493),TEXT($I4493,"0"),$I4493))</f>
        <v/>
      </c>
    </row>
    <row r="4494">
      <c r="B4494" s="25" t="n"/>
      <c r="I4494" s="25" t="n"/>
      <c r="U4494" s="19">
        <f>IF(AND($V4494='設定'!$C$4,COUNTIF('商品マスタ'!$B$6:$B$1005,$W4494)=0),N(U4493)+1,N(U4493))</f>
        <v/>
      </c>
      <c r="V4494" s="19">
        <f>IF($B4494="","",TEXT($B4494,"0000"))</f>
        <v/>
      </c>
      <c r="W4494" s="19">
        <f>IF($I4494="","",IF(ISNUMBER($I4494),TEXT($I4494,"0"),$I4494))</f>
        <v/>
      </c>
    </row>
    <row r="4495">
      <c r="B4495" s="25" t="n"/>
      <c r="I4495" s="25" t="n"/>
      <c r="U4495" s="19">
        <f>IF(AND($V4495='設定'!$C$4,COUNTIF('商品マスタ'!$B$6:$B$1005,$W4495)=0),N(U4494)+1,N(U4494))</f>
        <v/>
      </c>
      <c r="V4495" s="19">
        <f>IF($B4495="","",TEXT($B4495,"0000"))</f>
        <v/>
      </c>
      <c r="W4495" s="19">
        <f>IF($I4495="","",IF(ISNUMBER($I4495),TEXT($I4495,"0"),$I4495))</f>
        <v/>
      </c>
    </row>
    <row r="4496">
      <c r="B4496" s="25" t="n"/>
      <c r="I4496" s="25" t="n"/>
      <c r="U4496" s="19">
        <f>IF(AND($V4496='設定'!$C$4,COUNTIF('商品マスタ'!$B$6:$B$1005,$W4496)=0),N(U4495)+1,N(U4495))</f>
        <v/>
      </c>
      <c r="V4496" s="19">
        <f>IF($B4496="","",TEXT($B4496,"0000"))</f>
        <v/>
      </c>
      <c r="W4496" s="19">
        <f>IF($I4496="","",IF(ISNUMBER($I4496),TEXT($I4496,"0"),$I4496))</f>
        <v/>
      </c>
    </row>
    <row r="4497">
      <c r="B4497" s="25" t="n"/>
      <c r="I4497" s="25" t="n"/>
      <c r="U4497" s="19">
        <f>IF(AND($V4497='設定'!$C$4,COUNTIF('商品マスタ'!$B$6:$B$1005,$W4497)=0),N(U4496)+1,N(U4496))</f>
        <v/>
      </c>
      <c r="V4497" s="19">
        <f>IF($B4497="","",TEXT($B4497,"0000"))</f>
        <v/>
      </c>
      <c r="W4497" s="19">
        <f>IF($I4497="","",IF(ISNUMBER($I4497),TEXT($I4497,"0"),$I4497))</f>
        <v/>
      </c>
    </row>
    <row r="4498">
      <c r="B4498" s="25" t="n"/>
      <c r="I4498" s="25" t="n"/>
      <c r="U4498" s="19">
        <f>IF(AND($V4498='設定'!$C$4,COUNTIF('商品マスタ'!$B$6:$B$1005,$W4498)=0),N(U4497)+1,N(U4497))</f>
        <v/>
      </c>
      <c r="V4498" s="19">
        <f>IF($B4498="","",TEXT($B4498,"0000"))</f>
        <v/>
      </c>
      <c r="W4498" s="19">
        <f>IF($I4498="","",IF(ISNUMBER($I4498),TEXT($I4498,"0"),$I4498))</f>
        <v/>
      </c>
    </row>
    <row r="4499">
      <c r="B4499" s="25" t="n"/>
      <c r="I4499" s="25" t="n"/>
      <c r="U4499" s="19">
        <f>IF(AND($V4499='設定'!$C$4,COUNTIF('商品マスタ'!$B$6:$B$1005,$W4499)=0),N(U4498)+1,N(U4498))</f>
        <v/>
      </c>
      <c r="V4499" s="19">
        <f>IF($B4499="","",TEXT($B4499,"0000"))</f>
        <v/>
      </c>
      <c r="W4499" s="19">
        <f>IF($I4499="","",IF(ISNUMBER($I4499),TEXT($I4499,"0"),$I4499))</f>
        <v/>
      </c>
    </row>
    <row r="4500">
      <c r="B4500" s="25" t="n"/>
      <c r="I4500" s="25" t="n"/>
      <c r="U4500" s="19">
        <f>IF(AND($V4500='設定'!$C$4,COUNTIF('商品マスタ'!$B$6:$B$1005,$W4500)=0),N(U4499)+1,N(U4499))</f>
        <v/>
      </c>
      <c r="V4500" s="19">
        <f>IF($B4500="","",TEXT($B4500,"0000"))</f>
        <v/>
      </c>
      <c r="W4500" s="19">
        <f>IF($I4500="","",IF(ISNUMBER($I4500),TEXT($I4500,"0"),$I4500))</f>
        <v/>
      </c>
    </row>
    <row r="4501">
      <c r="B4501" s="25" t="n"/>
      <c r="I4501" s="25" t="n"/>
      <c r="U4501" s="19">
        <f>IF(AND($V4501='設定'!$C$4,COUNTIF('商品マスタ'!$B$6:$B$1005,$W4501)=0),N(U4500)+1,N(U4500))</f>
        <v/>
      </c>
      <c r="V4501" s="19">
        <f>IF($B4501="","",TEXT($B4501,"0000"))</f>
        <v/>
      </c>
      <c r="W4501" s="19">
        <f>IF($I4501="","",IF(ISNUMBER($I4501),TEXT($I4501,"0"),$I4501))</f>
        <v/>
      </c>
    </row>
    <row r="4502">
      <c r="B4502" s="25" t="n"/>
      <c r="I4502" s="25" t="n"/>
      <c r="U4502" s="19">
        <f>IF(AND($V4502='設定'!$C$4,COUNTIF('商品マスタ'!$B$6:$B$1005,$W4502)=0),N(U4501)+1,N(U4501))</f>
        <v/>
      </c>
      <c r="V4502" s="19">
        <f>IF($B4502="","",TEXT($B4502,"0000"))</f>
        <v/>
      </c>
      <c r="W4502" s="19">
        <f>IF($I4502="","",IF(ISNUMBER($I4502),TEXT($I4502,"0"),$I4502))</f>
        <v/>
      </c>
    </row>
    <row r="4503">
      <c r="B4503" s="25" t="n"/>
      <c r="I4503" s="25" t="n"/>
      <c r="U4503" s="19">
        <f>IF(AND($V4503='設定'!$C$4,COUNTIF('商品マスタ'!$B$6:$B$1005,$W4503)=0),N(U4502)+1,N(U4502))</f>
        <v/>
      </c>
      <c r="V4503" s="19">
        <f>IF($B4503="","",TEXT($B4503,"0000"))</f>
        <v/>
      </c>
      <c r="W4503" s="19">
        <f>IF($I4503="","",IF(ISNUMBER($I4503),TEXT($I4503,"0"),$I4503))</f>
        <v/>
      </c>
    </row>
    <row r="4504">
      <c r="B4504" s="25" t="n"/>
      <c r="I4504" s="25" t="n"/>
      <c r="U4504" s="19">
        <f>IF(AND($V4504='設定'!$C$4,COUNTIF('商品マスタ'!$B$6:$B$1005,$W4504)=0),N(U4503)+1,N(U4503))</f>
        <v/>
      </c>
      <c r="V4504" s="19">
        <f>IF($B4504="","",TEXT($B4504,"0000"))</f>
        <v/>
      </c>
      <c r="W4504" s="19">
        <f>IF($I4504="","",IF(ISNUMBER($I4504),TEXT($I4504,"0"),$I4504))</f>
        <v/>
      </c>
    </row>
    <row r="4505">
      <c r="B4505" s="25" t="n"/>
      <c r="I4505" s="25" t="n"/>
      <c r="U4505" s="19">
        <f>IF(AND($V4505='設定'!$C$4,COUNTIF('商品マスタ'!$B$6:$B$1005,$W4505)=0),N(U4504)+1,N(U4504))</f>
        <v/>
      </c>
      <c r="V4505" s="19">
        <f>IF($B4505="","",TEXT($B4505,"0000"))</f>
        <v/>
      </c>
      <c r="W4505" s="19">
        <f>IF($I4505="","",IF(ISNUMBER($I4505),TEXT($I4505,"0"),$I4505))</f>
        <v/>
      </c>
    </row>
    <row r="4506">
      <c r="B4506" s="25" t="n"/>
      <c r="I4506" s="25" t="n"/>
      <c r="U4506" s="19">
        <f>IF(AND($V4506='設定'!$C$4,COUNTIF('商品マスタ'!$B$6:$B$1005,$W4506)=0),N(U4505)+1,N(U4505))</f>
        <v/>
      </c>
      <c r="V4506" s="19">
        <f>IF($B4506="","",TEXT($B4506,"0000"))</f>
        <v/>
      </c>
      <c r="W4506" s="19">
        <f>IF($I4506="","",IF(ISNUMBER($I4506),TEXT($I4506,"0"),$I4506))</f>
        <v/>
      </c>
    </row>
    <row r="4507">
      <c r="B4507" s="25" t="n"/>
      <c r="I4507" s="25" t="n"/>
      <c r="U4507" s="19">
        <f>IF(AND($V4507='設定'!$C$4,COUNTIF('商品マスタ'!$B$6:$B$1005,$W4507)=0),N(U4506)+1,N(U4506))</f>
        <v/>
      </c>
      <c r="V4507" s="19">
        <f>IF($B4507="","",TEXT($B4507,"0000"))</f>
        <v/>
      </c>
      <c r="W4507" s="19">
        <f>IF($I4507="","",IF(ISNUMBER($I4507),TEXT($I4507,"0"),$I4507))</f>
        <v/>
      </c>
    </row>
    <row r="4508">
      <c r="B4508" s="25" t="n"/>
      <c r="I4508" s="25" t="n"/>
      <c r="U4508" s="19">
        <f>IF(AND($V4508='設定'!$C$4,COUNTIF('商品マスタ'!$B$6:$B$1005,$W4508)=0),N(U4507)+1,N(U4507))</f>
        <v/>
      </c>
      <c r="V4508" s="19">
        <f>IF($B4508="","",TEXT($B4508,"0000"))</f>
        <v/>
      </c>
      <c r="W4508" s="19">
        <f>IF($I4508="","",IF(ISNUMBER($I4508),TEXT($I4508,"0"),$I4508))</f>
        <v/>
      </c>
    </row>
    <row r="4509">
      <c r="B4509" s="25" t="n"/>
      <c r="I4509" s="25" t="n"/>
      <c r="U4509" s="19">
        <f>IF(AND($V4509='設定'!$C$4,COUNTIF('商品マスタ'!$B$6:$B$1005,$W4509)=0),N(U4508)+1,N(U4508))</f>
        <v/>
      </c>
      <c r="V4509" s="19">
        <f>IF($B4509="","",TEXT($B4509,"0000"))</f>
        <v/>
      </c>
      <c r="W4509" s="19">
        <f>IF($I4509="","",IF(ISNUMBER($I4509),TEXT($I4509,"0"),$I4509))</f>
        <v/>
      </c>
    </row>
    <row r="4510">
      <c r="B4510" s="25" t="n"/>
      <c r="I4510" s="25" t="n"/>
      <c r="U4510" s="19">
        <f>IF(AND($V4510='設定'!$C$4,COUNTIF('商品マスタ'!$B$6:$B$1005,$W4510)=0),N(U4509)+1,N(U4509))</f>
        <v/>
      </c>
      <c r="V4510" s="19">
        <f>IF($B4510="","",TEXT($B4510,"0000"))</f>
        <v/>
      </c>
      <c r="W4510" s="19">
        <f>IF($I4510="","",IF(ISNUMBER($I4510),TEXT($I4510,"0"),$I4510))</f>
        <v/>
      </c>
    </row>
    <row r="4511">
      <c r="B4511" s="25" t="n"/>
      <c r="I4511" s="25" t="n"/>
      <c r="U4511" s="19">
        <f>IF(AND($V4511='設定'!$C$4,COUNTIF('商品マスタ'!$B$6:$B$1005,$W4511)=0),N(U4510)+1,N(U4510))</f>
        <v/>
      </c>
      <c r="V4511" s="19">
        <f>IF($B4511="","",TEXT($B4511,"0000"))</f>
        <v/>
      </c>
      <c r="W4511" s="19">
        <f>IF($I4511="","",IF(ISNUMBER($I4511),TEXT($I4511,"0"),$I4511))</f>
        <v/>
      </c>
    </row>
    <row r="4512">
      <c r="B4512" s="25" t="n"/>
      <c r="I4512" s="25" t="n"/>
      <c r="U4512" s="19">
        <f>IF(AND($V4512='設定'!$C$4,COUNTIF('商品マスタ'!$B$6:$B$1005,$W4512)=0),N(U4511)+1,N(U4511))</f>
        <v/>
      </c>
      <c r="V4512" s="19">
        <f>IF($B4512="","",TEXT($B4512,"0000"))</f>
        <v/>
      </c>
      <c r="W4512" s="19">
        <f>IF($I4512="","",IF(ISNUMBER($I4512),TEXT($I4512,"0"),$I4512))</f>
        <v/>
      </c>
    </row>
    <row r="4513">
      <c r="B4513" s="25" t="n"/>
      <c r="I4513" s="25" t="n"/>
      <c r="U4513" s="19">
        <f>IF(AND($V4513='設定'!$C$4,COUNTIF('商品マスタ'!$B$6:$B$1005,$W4513)=0),N(U4512)+1,N(U4512))</f>
        <v/>
      </c>
      <c r="V4513" s="19">
        <f>IF($B4513="","",TEXT($B4513,"0000"))</f>
        <v/>
      </c>
      <c r="W4513" s="19">
        <f>IF($I4513="","",IF(ISNUMBER($I4513),TEXT($I4513,"0"),$I4513))</f>
        <v/>
      </c>
    </row>
    <row r="4514">
      <c r="B4514" s="25" t="n"/>
      <c r="I4514" s="25" t="n"/>
      <c r="U4514" s="19">
        <f>IF(AND($V4514='設定'!$C$4,COUNTIF('商品マスタ'!$B$6:$B$1005,$W4514)=0),N(U4513)+1,N(U4513))</f>
        <v/>
      </c>
      <c r="V4514" s="19">
        <f>IF($B4514="","",TEXT($B4514,"0000"))</f>
        <v/>
      </c>
      <c r="W4514" s="19">
        <f>IF($I4514="","",IF(ISNUMBER($I4514),TEXT($I4514,"0"),$I4514))</f>
        <v/>
      </c>
    </row>
    <row r="4515">
      <c r="B4515" s="25" t="n"/>
      <c r="I4515" s="25" t="n"/>
      <c r="U4515" s="19">
        <f>IF(AND($V4515='設定'!$C$4,COUNTIF('商品マスタ'!$B$6:$B$1005,$W4515)=0),N(U4514)+1,N(U4514))</f>
        <v/>
      </c>
      <c r="V4515" s="19">
        <f>IF($B4515="","",TEXT($B4515,"0000"))</f>
        <v/>
      </c>
      <c r="W4515" s="19">
        <f>IF($I4515="","",IF(ISNUMBER($I4515),TEXT($I4515,"0"),$I4515))</f>
        <v/>
      </c>
    </row>
    <row r="4516">
      <c r="B4516" s="25" t="n"/>
      <c r="I4516" s="25" t="n"/>
      <c r="U4516" s="19">
        <f>IF(AND($V4516='設定'!$C$4,COUNTIF('商品マスタ'!$B$6:$B$1005,$W4516)=0),N(U4515)+1,N(U4515))</f>
        <v/>
      </c>
      <c r="V4516" s="19">
        <f>IF($B4516="","",TEXT($B4516,"0000"))</f>
        <v/>
      </c>
      <c r="W4516" s="19">
        <f>IF($I4516="","",IF(ISNUMBER($I4516),TEXT($I4516,"0"),$I4516))</f>
        <v/>
      </c>
    </row>
    <row r="4517">
      <c r="B4517" s="25" t="n"/>
      <c r="I4517" s="25" t="n"/>
      <c r="U4517" s="19">
        <f>IF(AND($V4517='設定'!$C$4,COUNTIF('商品マスタ'!$B$6:$B$1005,$W4517)=0),N(U4516)+1,N(U4516))</f>
        <v/>
      </c>
      <c r="V4517" s="19">
        <f>IF($B4517="","",TEXT($B4517,"0000"))</f>
        <v/>
      </c>
      <c r="W4517" s="19">
        <f>IF($I4517="","",IF(ISNUMBER($I4517),TEXT($I4517,"0"),$I4517))</f>
        <v/>
      </c>
    </row>
    <row r="4518">
      <c r="B4518" s="25" t="n"/>
      <c r="I4518" s="25" t="n"/>
      <c r="U4518" s="19">
        <f>IF(AND($V4518='設定'!$C$4,COUNTIF('商品マスタ'!$B$6:$B$1005,$W4518)=0),N(U4517)+1,N(U4517))</f>
        <v/>
      </c>
      <c r="V4518" s="19">
        <f>IF($B4518="","",TEXT($B4518,"0000"))</f>
        <v/>
      </c>
      <c r="W4518" s="19">
        <f>IF($I4518="","",IF(ISNUMBER($I4518),TEXT($I4518,"0"),$I4518))</f>
        <v/>
      </c>
    </row>
    <row r="4519">
      <c r="B4519" s="25" t="n"/>
      <c r="I4519" s="25" t="n"/>
      <c r="U4519" s="19">
        <f>IF(AND($V4519='設定'!$C$4,COUNTIF('商品マスタ'!$B$6:$B$1005,$W4519)=0),N(U4518)+1,N(U4518))</f>
        <v/>
      </c>
      <c r="V4519" s="19">
        <f>IF($B4519="","",TEXT($B4519,"0000"))</f>
        <v/>
      </c>
      <c r="W4519" s="19">
        <f>IF($I4519="","",IF(ISNUMBER($I4519),TEXT($I4519,"0"),$I4519))</f>
        <v/>
      </c>
    </row>
    <row r="4520">
      <c r="B4520" s="25" t="n"/>
      <c r="I4520" s="25" t="n"/>
      <c r="U4520" s="19">
        <f>IF(AND($V4520='設定'!$C$4,COUNTIF('商品マスタ'!$B$6:$B$1005,$W4520)=0),N(U4519)+1,N(U4519))</f>
        <v/>
      </c>
      <c r="V4520" s="19">
        <f>IF($B4520="","",TEXT($B4520,"0000"))</f>
        <v/>
      </c>
      <c r="W4520" s="19">
        <f>IF($I4520="","",IF(ISNUMBER($I4520),TEXT($I4520,"0"),$I4520))</f>
        <v/>
      </c>
    </row>
    <row r="4521">
      <c r="B4521" s="25" t="n"/>
      <c r="I4521" s="25" t="n"/>
      <c r="U4521" s="19">
        <f>IF(AND($V4521='設定'!$C$4,COUNTIF('商品マスタ'!$B$6:$B$1005,$W4521)=0),N(U4520)+1,N(U4520))</f>
        <v/>
      </c>
      <c r="V4521" s="19">
        <f>IF($B4521="","",TEXT($B4521,"0000"))</f>
        <v/>
      </c>
      <c r="W4521" s="19">
        <f>IF($I4521="","",IF(ISNUMBER($I4521),TEXT($I4521,"0"),$I4521))</f>
        <v/>
      </c>
    </row>
    <row r="4522">
      <c r="B4522" s="25" t="n"/>
      <c r="I4522" s="25" t="n"/>
      <c r="U4522" s="19">
        <f>IF(AND($V4522='設定'!$C$4,COUNTIF('商品マスタ'!$B$6:$B$1005,$W4522)=0),N(U4521)+1,N(U4521))</f>
        <v/>
      </c>
      <c r="V4522" s="19">
        <f>IF($B4522="","",TEXT($B4522,"0000"))</f>
        <v/>
      </c>
      <c r="W4522" s="19">
        <f>IF($I4522="","",IF(ISNUMBER($I4522),TEXT($I4522,"0"),$I4522))</f>
        <v/>
      </c>
    </row>
    <row r="4523">
      <c r="B4523" s="25" t="n"/>
      <c r="I4523" s="25" t="n"/>
      <c r="U4523" s="19">
        <f>IF(AND($V4523='設定'!$C$4,COUNTIF('商品マスタ'!$B$6:$B$1005,$W4523)=0),N(U4522)+1,N(U4522))</f>
        <v/>
      </c>
      <c r="V4523" s="19">
        <f>IF($B4523="","",TEXT($B4523,"0000"))</f>
        <v/>
      </c>
      <c r="W4523" s="19">
        <f>IF($I4523="","",IF(ISNUMBER($I4523),TEXT($I4523,"0"),$I4523))</f>
        <v/>
      </c>
    </row>
    <row r="4524">
      <c r="B4524" s="25" t="n"/>
      <c r="I4524" s="25" t="n"/>
      <c r="U4524" s="19">
        <f>IF(AND($V4524='設定'!$C$4,COUNTIF('商品マスタ'!$B$6:$B$1005,$W4524)=0),N(U4523)+1,N(U4523))</f>
        <v/>
      </c>
      <c r="V4524" s="19">
        <f>IF($B4524="","",TEXT($B4524,"0000"))</f>
        <v/>
      </c>
      <c r="W4524" s="19">
        <f>IF($I4524="","",IF(ISNUMBER($I4524),TEXT($I4524,"0"),$I4524))</f>
        <v/>
      </c>
    </row>
    <row r="4525">
      <c r="B4525" s="25" t="n"/>
      <c r="I4525" s="25" t="n"/>
      <c r="U4525" s="19">
        <f>IF(AND($V4525='設定'!$C$4,COUNTIF('商品マスタ'!$B$6:$B$1005,$W4525)=0),N(U4524)+1,N(U4524))</f>
        <v/>
      </c>
      <c r="V4525" s="19">
        <f>IF($B4525="","",TEXT($B4525,"0000"))</f>
        <v/>
      </c>
      <c r="W4525" s="19">
        <f>IF($I4525="","",IF(ISNUMBER($I4525),TEXT($I4525,"0"),$I4525))</f>
        <v/>
      </c>
    </row>
    <row r="4526">
      <c r="B4526" s="25" t="n"/>
      <c r="I4526" s="25" t="n"/>
      <c r="U4526" s="19">
        <f>IF(AND($V4526='設定'!$C$4,COUNTIF('商品マスタ'!$B$6:$B$1005,$W4526)=0),N(U4525)+1,N(U4525))</f>
        <v/>
      </c>
      <c r="V4526" s="19">
        <f>IF($B4526="","",TEXT($B4526,"0000"))</f>
        <v/>
      </c>
      <c r="W4526" s="19">
        <f>IF($I4526="","",IF(ISNUMBER($I4526),TEXT($I4526,"0"),$I4526))</f>
        <v/>
      </c>
    </row>
    <row r="4527">
      <c r="B4527" s="25" t="n"/>
      <c r="I4527" s="25" t="n"/>
      <c r="U4527" s="19">
        <f>IF(AND($V4527='設定'!$C$4,COUNTIF('商品マスタ'!$B$6:$B$1005,$W4527)=0),N(U4526)+1,N(U4526))</f>
        <v/>
      </c>
      <c r="V4527" s="19">
        <f>IF($B4527="","",TEXT($B4527,"0000"))</f>
        <v/>
      </c>
      <c r="W4527" s="19">
        <f>IF($I4527="","",IF(ISNUMBER($I4527),TEXT($I4527,"0"),$I4527))</f>
        <v/>
      </c>
    </row>
    <row r="4528">
      <c r="B4528" s="25" t="n"/>
      <c r="I4528" s="25" t="n"/>
      <c r="U4528" s="19">
        <f>IF(AND($V4528='設定'!$C$4,COUNTIF('商品マスタ'!$B$6:$B$1005,$W4528)=0),N(U4527)+1,N(U4527))</f>
        <v/>
      </c>
      <c r="V4528" s="19">
        <f>IF($B4528="","",TEXT($B4528,"0000"))</f>
        <v/>
      </c>
      <c r="W4528" s="19">
        <f>IF($I4528="","",IF(ISNUMBER($I4528),TEXT($I4528,"0"),$I4528))</f>
        <v/>
      </c>
    </row>
    <row r="4529">
      <c r="B4529" s="25" t="n"/>
      <c r="I4529" s="25" t="n"/>
      <c r="U4529" s="19">
        <f>IF(AND($V4529='設定'!$C$4,COUNTIF('商品マスタ'!$B$6:$B$1005,$W4529)=0),N(U4528)+1,N(U4528))</f>
        <v/>
      </c>
      <c r="V4529" s="19">
        <f>IF($B4529="","",TEXT($B4529,"0000"))</f>
        <v/>
      </c>
      <c r="W4529" s="19">
        <f>IF($I4529="","",IF(ISNUMBER($I4529),TEXT($I4529,"0"),$I4529))</f>
        <v/>
      </c>
    </row>
    <row r="4530">
      <c r="B4530" s="25" t="n"/>
      <c r="I4530" s="25" t="n"/>
      <c r="U4530" s="19">
        <f>IF(AND($V4530='設定'!$C$4,COUNTIF('商品マスタ'!$B$6:$B$1005,$W4530)=0),N(U4529)+1,N(U4529))</f>
        <v/>
      </c>
      <c r="V4530" s="19">
        <f>IF($B4530="","",TEXT($B4530,"0000"))</f>
        <v/>
      </c>
      <c r="W4530" s="19">
        <f>IF($I4530="","",IF(ISNUMBER($I4530),TEXT($I4530,"0"),$I4530))</f>
        <v/>
      </c>
    </row>
    <row r="4531">
      <c r="B4531" s="25" t="n"/>
      <c r="I4531" s="25" t="n"/>
      <c r="U4531" s="19">
        <f>IF(AND($V4531='設定'!$C$4,COUNTIF('商品マスタ'!$B$6:$B$1005,$W4531)=0),N(U4530)+1,N(U4530))</f>
        <v/>
      </c>
      <c r="V4531" s="19">
        <f>IF($B4531="","",TEXT($B4531,"0000"))</f>
        <v/>
      </c>
      <c r="W4531" s="19">
        <f>IF($I4531="","",IF(ISNUMBER($I4531),TEXT($I4531,"0"),$I4531))</f>
        <v/>
      </c>
    </row>
    <row r="4532">
      <c r="B4532" s="25" t="n"/>
      <c r="I4532" s="25" t="n"/>
      <c r="U4532" s="19">
        <f>IF(AND($V4532='設定'!$C$4,COUNTIF('商品マスタ'!$B$6:$B$1005,$W4532)=0),N(U4531)+1,N(U4531))</f>
        <v/>
      </c>
      <c r="V4532" s="19">
        <f>IF($B4532="","",TEXT($B4532,"0000"))</f>
        <v/>
      </c>
      <c r="W4532" s="19">
        <f>IF($I4532="","",IF(ISNUMBER($I4532),TEXT($I4532,"0"),$I4532))</f>
        <v/>
      </c>
    </row>
    <row r="4533">
      <c r="B4533" s="25" t="n"/>
      <c r="I4533" s="25" t="n"/>
      <c r="U4533" s="19">
        <f>IF(AND($V4533='設定'!$C$4,COUNTIF('商品マスタ'!$B$6:$B$1005,$W4533)=0),N(U4532)+1,N(U4532))</f>
        <v/>
      </c>
      <c r="V4533" s="19">
        <f>IF($B4533="","",TEXT($B4533,"0000"))</f>
        <v/>
      </c>
      <c r="W4533" s="19">
        <f>IF($I4533="","",IF(ISNUMBER($I4533),TEXT($I4533,"0"),$I4533))</f>
        <v/>
      </c>
    </row>
    <row r="4534">
      <c r="B4534" s="25" t="n"/>
      <c r="I4534" s="25" t="n"/>
      <c r="U4534" s="19">
        <f>IF(AND($V4534='設定'!$C$4,COUNTIF('商品マスタ'!$B$6:$B$1005,$W4534)=0),N(U4533)+1,N(U4533))</f>
        <v/>
      </c>
      <c r="V4534" s="19">
        <f>IF($B4534="","",TEXT($B4534,"0000"))</f>
        <v/>
      </c>
      <c r="W4534" s="19">
        <f>IF($I4534="","",IF(ISNUMBER($I4534),TEXT($I4534,"0"),$I4534))</f>
        <v/>
      </c>
    </row>
    <row r="4535">
      <c r="B4535" s="25" t="n"/>
      <c r="I4535" s="25" t="n"/>
      <c r="U4535" s="19">
        <f>IF(AND($V4535='設定'!$C$4,COUNTIF('商品マスタ'!$B$6:$B$1005,$W4535)=0),N(U4534)+1,N(U4534))</f>
        <v/>
      </c>
      <c r="V4535" s="19">
        <f>IF($B4535="","",TEXT($B4535,"0000"))</f>
        <v/>
      </c>
      <c r="W4535" s="19">
        <f>IF($I4535="","",IF(ISNUMBER($I4535),TEXT($I4535,"0"),$I4535))</f>
        <v/>
      </c>
    </row>
    <row r="4536">
      <c r="B4536" s="25" t="n"/>
      <c r="I4536" s="25" t="n"/>
      <c r="U4536" s="19">
        <f>IF(AND($V4536='設定'!$C$4,COUNTIF('商品マスタ'!$B$6:$B$1005,$W4536)=0),N(U4535)+1,N(U4535))</f>
        <v/>
      </c>
      <c r="V4536" s="19">
        <f>IF($B4536="","",TEXT($B4536,"0000"))</f>
        <v/>
      </c>
      <c r="W4536" s="19">
        <f>IF($I4536="","",IF(ISNUMBER($I4536),TEXT($I4536,"0"),$I4536))</f>
        <v/>
      </c>
    </row>
    <row r="4537">
      <c r="B4537" s="25" t="n"/>
      <c r="I4537" s="25" t="n"/>
      <c r="U4537" s="19">
        <f>IF(AND($V4537='設定'!$C$4,COUNTIF('商品マスタ'!$B$6:$B$1005,$W4537)=0),N(U4536)+1,N(U4536))</f>
        <v/>
      </c>
      <c r="V4537" s="19">
        <f>IF($B4537="","",TEXT($B4537,"0000"))</f>
        <v/>
      </c>
      <c r="W4537" s="19">
        <f>IF($I4537="","",IF(ISNUMBER($I4537),TEXT($I4537,"0"),$I4537))</f>
        <v/>
      </c>
    </row>
    <row r="4538">
      <c r="B4538" s="25" t="n"/>
      <c r="I4538" s="25" t="n"/>
      <c r="U4538" s="19">
        <f>IF(AND($V4538='設定'!$C$4,COUNTIF('商品マスタ'!$B$6:$B$1005,$W4538)=0),N(U4537)+1,N(U4537))</f>
        <v/>
      </c>
      <c r="V4538" s="19">
        <f>IF($B4538="","",TEXT($B4538,"0000"))</f>
        <v/>
      </c>
      <c r="W4538" s="19">
        <f>IF($I4538="","",IF(ISNUMBER($I4538),TEXT($I4538,"0"),$I4538))</f>
        <v/>
      </c>
    </row>
    <row r="4539">
      <c r="B4539" s="25" t="n"/>
      <c r="I4539" s="25" t="n"/>
      <c r="U4539" s="19">
        <f>IF(AND($V4539='設定'!$C$4,COUNTIF('商品マスタ'!$B$6:$B$1005,$W4539)=0),N(U4538)+1,N(U4538))</f>
        <v/>
      </c>
      <c r="V4539" s="19">
        <f>IF($B4539="","",TEXT($B4539,"0000"))</f>
        <v/>
      </c>
      <c r="W4539" s="19">
        <f>IF($I4539="","",IF(ISNUMBER($I4539),TEXT($I4539,"0"),$I4539))</f>
        <v/>
      </c>
    </row>
    <row r="4540">
      <c r="B4540" s="25" t="n"/>
      <c r="I4540" s="25" t="n"/>
      <c r="U4540" s="19">
        <f>IF(AND($V4540='設定'!$C$4,COUNTIF('商品マスタ'!$B$6:$B$1005,$W4540)=0),N(U4539)+1,N(U4539))</f>
        <v/>
      </c>
      <c r="V4540" s="19">
        <f>IF($B4540="","",TEXT($B4540,"0000"))</f>
        <v/>
      </c>
      <c r="W4540" s="19">
        <f>IF($I4540="","",IF(ISNUMBER($I4540),TEXT($I4540,"0"),$I4540))</f>
        <v/>
      </c>
    </row>
    <row r="4541">
      <c r="B4541" s="25" t="n"/>
      <c r="I4541" s="25" t="n"/>
      <c r="U4541" s="19">
        <f>IF(AND($V4541='設定'!$C$4,COUNTIF('商品マスタ'!$B$6:$B$1005,$W4541)=0),N(U4540)+1,N(U4540))</f>
        <v/>
      </c>
      <c r="V4541" s="19">
        <f>IF($B4541="","",TEXT($B4541,"0000"))</f>
        <v/>
      </c>
      <c r="W4541" s="19">
        <f>IF($I4541="","",IF(ISNUMBER($I4541),TEXT($I4541,"0"),$I4541))</f>
        <v/>
      </c>
    </row>
    <row r="4542">
      <c r="B4542" s="25" t="n"/>
      <c r="I4542" s="25" t="n"/>
      <c r="U4542" s="19">
        <f>IF(AND($V4542='設定'!$C$4,COUNTIF('商品マスタ'!$B$6:$B$1005,$W4542)=0),N(U4541)+1,N(U4541))</f>
        <v/>
      </c>
      <c r="V4542" s="19">
        <f>IF($B4542="","",TEXT($B4542,"0000"))</f>
        <v/>
      </c>
      <c r="W4542" s="19">
        <f>IF($I4542="","",IF(ISNUMBER($I4542),TEXT($I4542,"0"),$I4542))</f>
        <v/>
      </c>
    </row>
    <row r="4543">
      <c r="B4543" s="25" t="n"/>
      <c r="I4543" s="25" t="n"/>
      <c r="U4543" s="19">
        <f>IF(AND($V4543='設定'!$C$4,COUNTIF('商品マスタ'!$B$6:$B$1005,$W4543)=0),N(U4542)+1,N(U4542))</f>
        <v/>
      </c>
      <c r="V4543" s="19">
        <f>IF($B4543="","",TEXT($B4543,"0000"))</f>
        <v/>
      </c>
      <c r="W4543" s="19">
        <f>IF($I4543="","",IF(ISNUMBER($I4543),TEXT($I4543,"0"),$I4543))</f>
        <v/>
      </c>
    </row>
    <row r="4544">
      <c r="B4544" s="25" t="n"/>
      <c r="I4544" s="25" t="n"/>
      <c r="U4544" s="19">
        <f>IF(AND($V4544='設定'!$C$4,COUNTIF('商品マスタ'!$B$6:$B$1005,$W4544)=0),N(U4543)+1,N(U4543))</f>
        <v/>
      </c>
      <c r="V4544" s="19">
        <f>IF($B4544="","",TEXT($B4544,"0000"))</f>
        <v/>
      </c>
      <c r="W4544" s="19">
        <f>IF($I4544="","",IF(ISNUMBER($I4544),TEXT($I4544,"0"),$I4544))</f>
        <v/>
      </c>
    </row>
    <row r="4545">
      <c r="B4545" s="25" t="n"/>
      <c r="I4545" s="25" t="n"/>
      <c r="U4545" s="19">
        <f>IF(AND($V4545='設定'!$C$4,COUNTIF('商品マスタ'!$B$6:$B$1005,$W4545)=0),N(U4544)+1,N(U4544))</f>
        <v/>
      </c>
      <c r="V4545" s="19">
        <f>IF($B4545="","",TEXT($B4545,"0000"))</f>
        <v/>
      </c>
      <c r="W4545" s="19">
        <f>IF($I4545="","",IF(ISNUMBER($I4545),TEXT($I4545,"0"),$I4545))</f>
        <v/>
      </c>
    </row>
    <row r="4546">
      <c r="B4546" s="25" t="n"/>
      <c r="I4546" s="25" t="n"/>
      <c r="U4546" s="19">
        <f>IF(AND($V4546='設定'!$C$4,COUNTIF('商品マスタ'!$B$6:$B$1005,$W4546)=0),N(U4545)+1,N(U4545))</f>
        <v/>
      </c>
      <c r="V4546" s="19">
        <f>IF($B4546="","",TEXT($B4546,"0000"))</f>
        <v/>
      </c>
      <c r="W4546" s="19">
        <f>IF($I4546="","",IF(ISNUMBER($I4546),TEXT($I4546,"0"),$I4546))</f>
        <v/>
      </c>
    </row>
    <row r="4547">
      <c r="B4547" s="25" t="n"/>
      <c r="I4547" s="25" t="n"/>
      <c r="U4547" s="19">
        <f>IF(AND($V4547='設定'!$C$4,COUNTIF('商品マスタ'!$B$6:$B$1005,$W4547)=0),N(U4546)+1,N(U4546))</f>
        <v/>
      </c>
      <c r="V4547" s="19">
        <f>IF($B4547="","",TEXT($B4547,"0000"))</f>
        <v/>
      </c>
      <c r="W4547" s="19">
        <f>IF($I4547="","",IF(ISNUMBER($I4547),TEXT($I4547,"0"),$I4547))</f>
        <v/>
      </c>
    </row>
    <row r="4548">
      <c r="B4548" s="25" t="n"/>
      <c r="I4548" s="25" t="n"/>
      <c r="U4548" s="19">
        <f>IF(AND($V4548='設定'!$C$4,COUNTIF('商品マスタ'!$B$6:$B$1005,$W4548)=0),N(U4547)+1,N(U4547))</f>
        <v/>
      </c>
      <c r="V4548" s="19">
        <f>IF($B4548="","",TEXT($B4548,"0000"))</f>
        <v/>
      </c>
      <c r="W4548" s="19">
        <f>IF($I4548="","",IF(ISNUMBER($I4548),TEXT($I4548,"0"),$I4548))</f>
        <v/>
      </c>
    </row>
    <row r="4549">
      <c r="B4549" s="25" t="n"/>
      <c r="I4549" s="25" t="n"/>
      <c r="U4549" s="19">
        <f>IF(AND($V4549='設定'!$C$4,COUNTIF('商品マスタ'!$B$6:$B$1005,$W4549)=0),N(U4548)+1,N(U4548))</f>
        <v/>
      </c>
      <c r="V4549" s="19">
        <f>IF($B4549="","",TEXT($B4549,"0000"))</f>
        <v/>
      </c>
      <c r="W4549" s="19">
        <f>IF($I4549="","",IF(ISNUMBER($I4549),TEXT($I4549,"0"),$I4549))</f>
        <v/>
      </c>
    </row>
    <row r="4550">
      <c r="B4550" s="25" t="n"/>
      <c r="I4550" s="25" t="n"/>
      <c r="U4550" s="19">
        <f>IF(AND($V4550='設定'!$C$4,COUNTIF('商品マスタ'!$B$6:$B$1005,$W4550)=0),N(U4549)+1,N(U4549))</f>
        <v/>
      </c>
      <c r="V4550" s="19">
        <f>IF($B4550="","",TEXT($B4550,"0000"))</f>
        <v/>
      </c>
      <c r="W4550" s="19">
        <f>IF($I4550="","",IF(ISNUMBER($I4550),TEXT($I4550,"0"),$I4550))</f>
        <v/>
      </c>
    </row>
    <row r="4551">
      <c r="B4551" s="25" t="n"/>
      <c r="I4551" s="25" t="n"/>
      <c r="U4551" s="19">
        <f>IF(AND($V4551='設定'!$C$4,COUNTIF('商品マスタ'!$B$6:$B$1005,$W4551)=0),N(U4550)+1,N(U4550))</f>
        <v/>
      </c>
      <c r="V4551" s="19">
        <f>IF($B4551="","",TEXT($B4551,"0000"))</f>
        <v/>
      </c>
      <c r="W4551" s="19">
        <f>IF($I4551="","",IF(ISNUMBER($I4551),TEXT($I4551,"0"),$I4551))</f>
        <v/>
      </c>
    </row>
    <row r="4552">
      <c r="B4552" s="25" t="n"/>
      <c r="I4552" s="25" t="n"/>
      <c r="U4552" s="19">
        <f>IF(AND($V4552='設定'!$C$4,COUNTIF('商品マスタ'!$B$6:$B$1005,$W4552)=0),N(U4551)+1,N(U4551))</f>
        <v/>
      </c>
      <c r="V4552" s="19">
        <f>IF($B4552="","",TEXT($B4552,"0000"))</f>
        <v/>
      </c>
      <c r="W4552" s="19">
        <f>IF($I4552="","",IF(ISNUMBER($I4552),TEXT($I4552,"0"),$I4552))</f>
        <v/>
      </c>
    </row>
    <row r="4553">
      <c r="B4553" s="25" t="n"/>
      <c r="I4553" s="25" t="n"/>
      <c r="U4553" s="19">
        <f>IF(AND($V4553='設定'!$C$4,COUNTIF('商品マスタ'!$B$6:$B$1005,$W4553)=0),N(U4552)+1,N(U4552))</f>
        <v/>
      </c>
      <c r="V4553" s="19">
        <f>IF($B4553="","",TEXT($B4553,"0000"))</f>
        <v/>
      </c>
      <c r="W4553" s="19">
        <f>IF($I4553="","",IF(ISNUMBER($I4553),TEXT($I4553,"0"),$I4553))</f>
        <v/>
      </c>
    </row>
    <row r="4554">
      <c r="B4554" s="25" t="n"/>
      <c r="I4554" s="25" t="n"/>
      <c r="U4554" s="19">
        <f>IF(AND($V4554='設定'!$C$4,COUNTIF('商品マスタ'!$B$6:$B$1005,$W4554)=0),N(U4553)+1,N(U4553))</f>
        <v/>
      </c>
      <c r="V4554" s="19">
        <f>IF($B4554="","",TEXT($B4554,"0000"))</f>
        <v/>
      </c>
      <c r="W4554" s="19">
        <f>IF($I4554="","",IF(ISNUMBER($I4554),TEXT($I4554,"0"),$I4554))</f>
        <v/>
      </c>
    </row>
    <row r="4555">
      <c r="B4555" s="25" t="n"/>
      <c r="I4555" s="25" t="n"/>
      <c r="U4555" s="19">
        <f>IF(AND($V4555='設定'!$C$4,COUNTIF('商品マスタ'!$B$6:$B$1005,$W4555)=0),N(U4554)+1,N(U4554))</f>
        <v/>
      </c>
      <c r="V4555" s="19">
        <f>IF($B4555="","",TEXT($B4555,"0000"))</f>
        <v/>
      </c>
      <c r="W4555" s="19">
        <f>IF($I4555="","",IF(ISNUMBER($I4555),TEXT($I4555,"0"),$I4555))</f>
        <v/>
      </c>
    </row>
    <row r="4556">
      <c r="B4556" s="25" t="n"/>
      <c r="I4556" s="25" t="n"/>
      <c r="U4556" s="19">
        <f>IF(AND($V4556='設定'!$C$4,COUNTIF('商品マスタ'!$B$6:$B$1005,$W4556)=0),N(U4555)+1,N(U4555))</f>
        <v/>
      </c>
      <c r="V4556" s="19">
        <f>IF($B4556="","",TEXT($B4556,"0000"))</f>
        <v/>
      </c>
      <c r="W4556" s="19">
        <f>IF($I4556="","",IF(ISNUMBER($I4556),TEXT($I4556,"0"),$I4556))</f>
        <v/>
      </c>
    </row>
    <row r="4557">
      <c r="B4557" s="25" t="n"/>
      <c r="I4557" s="25" t="n"/>
      <c r="U4557" s="19">
        <f>IF(AND($V4557='設定'!$C$4,COUNTIF('商品マスタ'!$B$6:$B$1005,$W4557)=0),N(U4556)+1,N(U4556))</f>
        <v/>
      </c>
      <c r="V4557" s="19">
        <f>IF($B4557="","",TEXT($B4557,"0000"))</f>
        <v/>
      </c>
      <c r="W4557" s="19">
        <f>IF($I4557="","",IF(ISNUMBER($I4557),TEXT($I4557,"0"),$I4557))</f>
        <v/>
      </c>
    </row>
    <row r="4558">
      <c r="B4558" s="25" t="n"/>
      <c r="I4558" s="25" t="n"/>
      <c r="U4558" s="19">
        <f>IF(AND($V4558='設定'!$C$4,COUNTIF('商品マスタ'!$B$6:$B$1005,$W4558)=0),N(U4557)+1,N(U4557))</f>
        <v/>
      </c>
      <c r="V4558" s="19">
        <f>IF($B4558="","",TEXT($B4558,"0000"))</f>
        <v/>
      </c>
      <c r="W4558" s="19">
        <f>IF($I4558="","",IF(ISNUMBER($I4558),TEXT($I4558,"0"),$I4558))</f>
        <v/>
      </c>
    </row>
    <row r="4559">
      <c r="B4559" s="25" t="n"/>
      <c r="I4559" s="25" t="n"/>
      <c r="U4559" s="19">
        <f>IF(AND($V4559='設定'!$C$4,COUNTIF('商品マスタ'!$B$6:$B$1005,$W4559)=0),N(U4558)+1,N(U4558))</f>
        <v/>
      </c>
      <c r="V4559" s="19">
        <f>IF($B4559="","",TEXT($B4559,"0000"))</f>
        <v/>
      </c>
      <c r="W4559" s="19">
        <f>IF($I4559="","",IF(ISNUMBER($I4559),TEXT($I4559,"0"),$I4559))</f>
        <v/>
      </c>
    </row>
    <row r="4560">
      <c r="B4560" s="25" t="n"/>
      <c r="I4560" s="25" t="n"/>
      <c r="U4560" s="19">
        <f>IF(AND($V4560='設定'!$C$4,COUNTIF('商品マスタ'!$B$6:$B$1005,$W4560)=0),N(U4559)+1,N(U4559))</f>
        <v/>
      </c>
      <c r="V4560" s="19">
        <f>IF($B4560="","",TEXT($B4560,"0000"))</f>
        <v/>
      </c>
      <c r="W4560" s="19">
        <f>IF($I4560="","",IF(ISNUMBER($I4560),TEXT($I4560,"0"),$I4560))</f>
        <v/>
      </c>
    </row>
    <row r="4561">
      <c r="B4561" s="25" t="n"/>
      <c r="I4561" s="25" t="n"/>
      <c r="U4561" s="19">
        <f>IF(AND($V4561='設定'!$C$4,COUNTIF('商品マスタ'!$B$6:$B$1005,$W4561)=0),N(U4560)+1,N(U4560))</f>
        <v/>
      </c>
      <c r="V4561" s="19">
        <f>IF($B4561="","",TEXT($B4561,"0000"))</f>
        <v/>
      </c>
      <c r="W4561" s="19">
        <f>IF($I4561="","",IF(ISNUMBER($I4561),TEXT($I4561,"0"),$I4561))</f>
        <v/>
      </c>
    </row>
    <row r="4562">
      <c r="B4562" s="25" t="n"/>
      <c r="I4562" s="25" t="n"/>
      <c r="U4562" s="19">
        <f>IF(AND($V4562='設定'!$C$4,COUNTIF('商品マスタ'!$B$6:$B$1005,$W4562)=0),N(U4561)+1,N(U4561))</f>
        <v/>
      </c>
      <c r="V4562" s="19">
        <f>IF($B4562="","",TEXT($B4562,"0000"))</f>
        <v/>
      </c>
      <c r="W4562" s="19">
        <f>IF($I4562="","",IF(ISNUMBER($I4562),TEXT($I4562,"0"),$I4562))</f>
        <v/>
      </c>
    </row>
    <row r="4563">
      <c r="B4563" s="25" t="n"/>
      <c r="I4563" s="25" t="n"/>
      <c r="U4563" s="19">
        <f>IF(AND($V4563='設定'!$C$4,COUNTIF('商品マスタ'!$B$6:$B$1005,$W4563)=0),N(U4562)+1,N(U4562))</f>
        <v/>
      </c>
      <c r="V4563" s="19">
        <f>IF($B4563="","",TEXT($B4563,"0000"))</f>
        <v/>
      </c>
      <c r="W4563" s="19">
        <f>IF($I4563="","",IF(ISNUMBER($I4563),TEXT($I4563,"0"),$I4563))</f>
        <v/>
      </c>
    </row>
    <row r="4564">
      <c r="B4564" s="25" t="n"/>
      <c r="I4564" s="25" t="n"/>
      <c r="U4564" s="19">
        <f>IF(AND($V4564='設定'!$C$4,COUNTIF('商品マスタ'!$B$6:$B$1005,$W4564)=0),N(U4563)+1,N(U4563))</f>
        <v/>
      </c>
      <c r="V4564" s="19">
        <f>IF($B4564="","",TEXT($B4564,"0000"))</f>
        <v/>
      </c>
      <c r="W4564" s="19">
        <f>IF($I4564="","",IF(ISNUMBER($I4564),TEXT($I4564,"0"),$I4564))</f>
        <v/>
      </c>
    </row>
    <row r="4565">
      <c r="B4565" s="25" t="n"/>
      <c r="I4565" s="25" t="n"/>
      <c r="U4565" s="19">
        <f>IF(AND($V4565='設定'!$C$4,COUNTIF('商品マスタ'!$B$6:$B$1005,$W4565)=0),N(U4564)+1,N(U4564))</f>
        <v/>
      </c>
      <c r="V4565" s="19">
        <f>IF($B4565="","",TEXT($B4565,"0000"))</f>
        <v/>
      </c>
      <c r="W4565" s="19">
        <f>IF($I4565="","",IF(ISNUMBER($I4565),TEXT($I4565,"0"),$I4565))</f>
        <v/>
      </c>
    </row>
    <row r="4566">
      <c r="B4566" s="25" t="n"/>
      <c r="I4566" s="25" t="n"/>
      <c r="U4566" s="19">
        <f>IF(AND($V4566='設定'!$C$4,COUNTIF('商品マスタ'!$B$6:$B$1005,$W4566)=0),N(U4565)+1,N(U4565))</f>
        <v/>
      </c>
      <c r="V4566" s="19">
        <f>IF($B4566="","",TEXT($B4566,"0000"))</f>
        <v/>
      </c>
      <c r="W4566" s="19">
        <f>IF($I4566="","",IF(ISNUMBER($I4566),TEXT($I4566,"0"),$I4566))</f>
        <v/>
      </c>
    </row>
    <row r="4567">
      <c r="B4567" s="25" t="n"/>
      <c r="I4567" s="25" t="n"/>
      <c r="U4567" s="19">
        <f>IF(AND($V4567='設定'!$C$4,COUNTIF('商品マスタ'!$B$6:$B$1005,$W4567)=0),N(U4566)+1,N(U4566))</f>
        <v/>
      </c>
      <c r="V4567" s="19">
        <f>IF($B4567="","",TEXT($B4567,"0000"))</f>
        <v/>
      </c>
      <c r="W4567" s="19">
        <f>IF($I4567="","",IF(ISNUMBER($I4567),TEXT($I4567,"0"),$I4567))</f>
        <v/>
      </c>
    </row>
    <row r="4568">
      <c r="B4568" s="25" t="n"/>
      <c r="I4568" s="25" t="n"/>
      <c r="U4568" s="19">
        <f>IF(AND($V4568='設定'!$C$4,COUNTIF('商品マスタ'!$B$6:$B$1005,$W4568)=0),N(U4567)+1,N(U4567))</f>
        <v/>
      </c>
      <c r="V4568" s="19">
        <f>IF($B4568="","",TEXT($B4568,"0000"))</f>
        <v/>
      </c>
      <c r="W4568" s="19">
        <f>IF($I4568="","",IF(ISNUMBER($I4568),TEXT($I4568,"0"),$I4568))</f>
        <v/>
      </c>
    </row>
    <row r="4569">
      <c r="B4569" s="25" t="n"/>
      <c r="I4569" s="25" t="n"/>
      <c r="U4569" s="19">
        <f>IF(AND($V4569='設定'!$C$4,COUNTIF('商品マスタ'!$B$6:$B$1005,$W4569)=0),N(U4568)+1,N(U4568))</f>
        <v/>
      </c>
      <c r="V4569" s="19">
        <f>IF($B4569="","",TEXT($B4569,"0000"))</f>
        <v/>
      </c>
      <c r="W4569" s="19">
        <f>IF($I4569="","",IF(ISNUMBER($I4569),TEXT($I4569,"0"),$I4569))</f>
        <v/>
      </c>
    </row>
    <row r="4570">
      <c r="B4570" s="25" t="n"/>
      <c r="I4570" s="25" t="n"/>
      <c r="U4570" s="19">
        <f>IF(AND($V4570='設定'!$C$4,COUNTIF('商品マスタ'!$B$6:$B$1005,$W4570)=0),N(U4569)+1,N(U4569))</f>
        <v/>
      </c>
      <c r="V4570" s="19">
        <f>IF($B4570="","",TEXT($B4570,"0000"))</f>
        <v/>
      </c>
      <c r="W4570" s="19">
        <f>IF($I4570="","",IF(ISNUMBER($I4570),TEXT($I4570,"0"),$I4570))</f>
        <v/>
      </c>
    </row>
    <row r="4571">
      <c r="B4571" s="25" t="n"/>
      <c r="I4571" s="25" t="n"/>
      <c r="U4571" s="19">
        <f>IF(AND($V4571='設定'!$C$4,COUNTIF('商品マスタ'!$B$6:$B$1005,$W4571)=0),N(U4570)+1,N(U4570))</f>
        <v/>
      </c>
      <c r="V4571" s="19">
        <f>IF($B4571="","",TEXT($B4571,"0000"))</f>
        <v/>
      </c>
      <c r="W4571" s="19">
        <f>IF($I4571="","",IF(ISNUMBER($I4571),TEXT($I4571,"0"),$I4571))</f>
        <v/>
      </c>
    </row>
    <row r="4572">
      <c r="B4572" s="25" t="n"/>
      <c r="I4572" s="25" t="n"/>
      <c r="U4572" s="19">
        <f>IF(AND($V4572='設定'!$C$4,COUNTIF('商品マスタ'!$B$6:$B$1005,$W4572)=0),N(U4571)+1,N(U4571))</f>
        <v/>
      </c>
      <c r="V4572" s="19">
        <f>IF($B4572="","",TEXT($B4572,"0000"))</f>
        <v/>
      </c>
      <c r="W4572" s="19">
        <f>IF($I4572="","",IF(ISNUMBER($I4572),TEXT($I4572,"0"),$I4572))</f>
        <v/>
      </c>
    </row>
    <row r="4573">
      <c r="B4573" s="25" t="n"/>
      <c r="I4573" s="25" t="n"/>
      <c r="U4573" s="19">
        <f>IF(AND($V4573='設定'!$C$4,COUNTIF('商品マスタ'!$B$6:$B$1005,$W4573)=0),N(U4572)+1,N(U4572))</f>
        <v/>
      </c>
      <c r="V4573" s="19">
        <f>IF($B4573="","",TEXT($B4573,"0000"))</f>
        <v/>
      </c>
      <c r="W4573" s="19">
        <f>IF($I4573="","",IF(ISNUMBER($I4573),TEXT($I4573,"0"),$I4573))</f>
        <v/>
      </c>
    </row>
    <row r="4574">
      <c r="B4574" s="25" t="n"/>
      <c r="I4574" s="25" t="n"/>
      <c r="U4574" s="19">
        <f>IF(AND($V4574='設定'!$C$4,COUNTIF('商品マスタ'!$B$6:$B$1005,$W4574)=0),N(U4573)+1,N(U4573))</f>
        <v/>
      </c>
      <c r="V4574" s="19">
        <f>IF($B4574="","",TEXT($B4574,"0000"))</f>
        <v/>
      </c>
      <c r="W4574" s="19">
        <f>IF($I4574="","",IF(ISNUMBER($I4574),TEXT($I4574,"0"),$I4574))</f>
        <v/>
      </c>
    </row>
    <row r="4575">
      <c r="B4575" s="25" t="n"/>
      <c r="I4575" s="25" t="n"/>
      <c r="U4575" s="19">
        <f>IF(AND($V4575='設定'!$C$4,COUNTIF('商品マスタ'!$B$6:$B$1005,$W4575)=0),N(U4574)+1,N(U4574))</f>
        <v/>
      </c>
      <c r="V4575" s="19">
        <f>IF($B4575="","",TEXT($B4575,"0000"))</f>
        <v/>
      </c>
      <c r="W4575" s="19">
        <f>IF($I4575="","",IF(ISNUMBER($I4575),TEXT($I4575,"0"),$I4575))</f>
        <v/>
      </c>
    </row>
    <row r="4576">
      <c r="B4576" s="25" t="n"/>
      <c r="I4576" s="25" t="n"/>
      <c r="U4576" s="19">
        <f>IF(AND($V4576='設定'!$C$4,COUNTIF('商品マスタ'!$B$6:$B$1005,$W4576)=0),N(U4575)+1,N(U4575))</f>
        <v/>
      </c>
      <c r="V4576" s="19">
        <f>IF($B4576="","",TEXT($B4576,"0000"))</f>
        <v/>
      </c>
      <c r="W4576" s="19">
        <f>IF($I4576="","",IF(ISNUMBER($I4576),TEXT($I4576,"0"),$I4576))</f>
        <v/>
      </c>
    </row>
    <row r="4577">
      <c r="B4577" s="25" t="n"/>
      <c r="I4577" s="25" t="n"/>
      <c r="U4577" s="19">
        <f>IF(AND($V4577='設定'!$C$4,COUNTIF('商品マスタ'!$B$6:$B$1005,$W4577)=0),N(U4576)+1,N(U4576))</f>
        <v/>
      </c>
      <c r="V4577" s="19">
        <f>IF($B4577="","",TEXT($B4577,"0000"))</f>
        <v/>
      </c>
      <c r="W4577" s="19">
        <f>IF($I4577="","",IF(ISNUMBER($I4577),TEXT($I4577,"0"),$I4577))</f>
        <v/>
      </c>
    </row>
    <row r="4578">
      <c r="B4578" s="25" t="n"/>
      <c r="I4578" s="25" t="n"/>
      <c r="U4578" s="19">
        <f>IF(AND($V4578='設定'!$C$4,COUNTIF('商品マスタ'!$B$6:$B$1005,$W4578)=0),N(U4577)+1,N(U4577))</f>
        <v/>
      </c>
      <c r="V4578" s="19">
        <f>IF($B4578="","",TEXT($B4578,"0000"))</f>
        <v/>
      </c>
      <c r="W4578" s="19">
        <f>IF($I4578="","",IF(ISNUMBER($I4578),TEXT($I4578,"0"),$I4578))</f>
        <v/>
      </c>
    </row>
    <row r="4579">
      <c r="B4579" s="25" t="n"/>
      <c r="I4579" s="25" t="n"/>
      <c r="U4579" s="19">
        <f>IF(AND($V4579='設定'!$C$4,COUNTIF('商品マスタ'!$B$6:$B$1005,$W4579)=0),N(U4578)+1,N(U4578))</f>
        <v/>
      </c>
      <c r="V4579" s="19">
        <f>IF($B4579="","",TEXT($B4579,"0000"))</f>
        <v/>
      </c>
      <c r="W4579" s="19">
        <f>IF($I4579="","",IF(ISNUMBER($I4579),TEXT($I4579,"0"),$I4579))</f>
        <v/>
      </c>
    </row>
    <row r="4580">
      <c r="B4580" s="25" t="n"/>
      <c r="I4580" s="25" t="n"/>
      <c r="U4580" s="19">
        <f>IF(AND($V4580='設定'!$C$4,COUNTIF('商品マスタ'!$B$6:$B$1005,$W4580)=0),N(U4579)+1,N(U4579))</f>
        <v/>
      </c>
      <c r="V4580" s="19">
        <f>IF($B4580="","",TEXT($B4580,"0000"))</f>
        <v/>
      </c>
      <c r="W4580" s="19">
        <f>IF($I4580="","",IF(ISNUMBER($I4580),TEXT($I4580,"0"),$I4580))</f>
        <v/>
      </c>
    </row>
    <row r="4581">
      <c r="B4581" s="25" t="n"/>
      <c r="I4581" s="25" t="n"/>
      <c r="U4581" s="19">
        <f>IF(AND($V4581='設定'!$C$4,COUNTIF('商品マスタ'!$B$6:$B$1005,$W4581)=0),N(U4580)+1,N(U4580))</f>
        <v/>
      </c>
      <c r="V4581" s="19">
        <f>IF($B4581="","",TEXT($B4581,"0000"))</f>
        <v/>
      </c>
      <c r="W4581" s="19">
        <f>IF($I4581="","",IF(ISNUMBER($I4581),TEXT($I4581,"0"),$I4581))</f>
        <v/>
      </c>
    </row>
    <row r="4582">
      <c r="B4582" s="25" t="n"/>
      <c r="I4582" s="25" t="n"/>
      <c r="U4582" s="19">
        <f>IF(AND($V4582='設定'!$C$4,COUNTIF('商品マスタ'!$B$6:$B$1005,$W4582)=0),N(U4581)+1,N(U4581))</f>
        <v/>
      </c>
      <c r="V4582" s="19">
        <f>IF($B4582="","",TEXT($B4582,"0000"))</f>
        <v/>
      </c>
      <c r="W4582" s="19">
        <f>IF($I4582="","",IF(ISNUMBER($I4582),TEXT($I4582,"0"),$I4582))</f>
        <v/>
      </c>
    </row>
    <row r="4583">
      <c r="B4583" s="25" t="n"/>
      <c r="I4583" s="25" t="n"/>
      <c r="U4583" s="19">
        <f>IF(AND($V4583='設定'!$C$4,COUNTIF('商品マスタ'!$B$6:$B$1005,$W4583)=0),N(U4582)+1,N(U4582))</f>
        <v/>
      </c>
      <c r="V4583" s="19">
        <f>IF($B4583="","",TEXT($B4583,"0000"))</f>
        <v/>
      </c>
      <c r="W4583" s="19">
        <f>IF($I4583="","",IF(ISNUMBER($I4583),TEXT($I4583,"0"),$I4583))</f>
        <v/>
      </c>
    </row>
    <row r="4584">
      <c r="B4584" s="25" t="n"/>
      <c r="I4584" s="25" t="n"/>
      <c r="U4584" s="19">
        <f>IF(AND($V4584='設定'!$C$4,COUNTIF('商品マスタ'!$B$6:$B$1005,$W4584)=0),N(U4583)+1,N(U4583))</f>
        <v/>
      </c>
      <c r="V4584" s="19">
        <f>IF($B4584="","",TEXT($B4584,"0000"))</f>
        <v/>
      </c>
      <c r="W4584" s="19">
        <f>IF($I4584="","",IF(ISNUMBER($I4584),TEXT($I4584,"0"),$I4584))</f>
        <v/>
      </c>
    </row>
    <row r="4585">
      <c r="B4585" s="25" t="n"/>
      <c r="I4585" s="25" t="n"/>
      <c r="U4585" s="19">
        <f>IF(AND($V4585='設定'!$C$4,COUNTIF('商品マスタ'!$B$6:$B$1005,$W4585)=0),N(U4584)+1,N(U4584))</f>
        <v/>
      </c>
      <c r="V4585" s="19">
        <f>IF($B4585="","",TEXT($B4585,"0000"))</f>
        <v/>
      </c>
      <c r="W4585" s="19">
        <f>IF($I4585="","",IF(ISNUMBER($I4585),TEXT($I4585,"0"),$I4585))</f>
        <v/>
      </c>
    </row>
    <row r="4586">
      <c r="B4586" s="25" t="n"/>
      <c r="I4586" s="25" t="n"/>
      <c r="U4586" s="19">
        <f>IF(AND($V4586='設定'!$C$4,COUNTIF('商品マスタ'!$B$6:$B$1005,$W4586)=0),N(U4585)+1,N(U4585))</f>
        <v/>
      </c>
      <c r="V4586" s="19">
        <f>IF($B4586="","",TEXT($B4586,"0000"))</f>
        <v/>
      </c>
      <c r="W4586" s="19">
        <f>IF($I4586="","",IF(ISNUMBER($I4586),TEXT($I4586,"0"),$I4586))</f>
        <v/>
      </c>
    </row>
    <row r="4587">
      <c r="B4587" s="25" t="n"/>
      <c r="I4587" s="25" t="n"/>
      <c r="U4587" s="19">
        <f>IF(AND($V4587='設定'!$C$4,COUNTIF('商品マスタ'!$B$6:$B$1005,$W4587)=0),N(U4586)+1,N(U4586))</f>
        <v/>
      </c>
      <c r="V4587" s="19">
        <f>IF($B4587="","",TEXT($B4587,"0000"))</f>
        <v/>
      </c>
      <c r="W4587" s="19">
        <f>IF($I4587="","",IF(ISNUMBER($I4587),TEXT($I4587,"0"),$I4587))</f>
        <v/>
      </c>
    </row>
    <row r="4588">
      <c r="B4588" s="25" t="n"/>
      <c r="I4588" s="25" t="n"/>
      <c r="U4588" s="19">
        <f>IF(AND($V4588='設定'!$C$4,COUNTIF('商品マスタ'!$B$6:$B$1005,$W4588)=0),N(U4587)+1,N(U4587))</f>
        <v/>
      </c>
      <c r="V4588" s="19">
        <f>IF($B4588="","",TEXT($B4588,"0000"))</f>
        <v/>
      </c>
      <c r="W4588" s="19">
        <f>IF($I4588="","",IF(ISNUMBER($I4588),TEXT($I4588,"0"),$I4588))</f>
        <v/>
      </c>
    </row>
    <row r="4589">
      <c r="B4589" s="25" t="n"/>
      <c r="I4589" s="25" t="n"/>
      <c r="U4589" s="19">
        <f>IF(AND($V4589='設定'!$C$4,COUNTIF('商品マスタ'!$B$6:$B$1005,$W4589)=0),N(U4588)+1,N(U4588))</f>
        <v/>
      </c>
      <c r="V4589" s="19">
        <f>IF($B4589="","",TEXT($B4589,"0000"))</f>
        <v/>
      </c>
      <c r="W4589" s="19">
        <f>IF($I4589="","",IF(ISNUMBER($I4589),TEXT($I4589,"0"),$I4589))</f>
        <v/>
      </c>
    </row>
    <row r="4590">
      <c r="B4590" s="25" t="n"/>
      <c r="I4590" s="25" t="n"/>
      <c r="U4590" s="19">
        <f>IF(AND($V4590='設定'!$C$4,COUNTIF('商品マスタ'!$B$6:$B$1005,$W4590)=0),N(U4589)+1,N(U4589))</f>
        <v/>
      </c>
      <c r="V4590" s="19">
        <f>IF($B4590="","",TEXT($B4590,"0000"))</f>
        <v/>
      </c>
      <c r="W4590" s="19">
        <f>IF($I4590="","",IF(ISNUMBER($I4590),TEXT($I4590,"0"),$I4590))</f>
        <v/>
      </c>
    </row>
    <row r="4591">
      <c r="B4591" s="25" t="n"/>
      <c r="I4591" s="25" t="n"/>
      <c r="U4591" s="19">
        <f>IF(AND($V4591='設定'!$C$4,COUNTIF('商品マスタ'!$B$6:$B$1005,$W4591)=0),N(U4590)+1,N(U4590))</f>
        <v/>
      </c>
      <c r="V4591" s="19">
        <f>IF($B4591="","",TEXT($B4591,"0000"))</f>
        <v/>
      </c>
      <c r="W4591" s="19">
        <f>IF($I4591="","",IF(ISNUMBER($I4591),TEXT($I4591,"0"),$I4591))</f>
        <v/>
      </c>
    </row>
    <row r="4592">
      <c r="B4592" s="25" t="n"/>
      <c r="I4592" s="25" t="n"/>
      <c r="U4592" s="19">
        <f>IF(AND($V4592='設定'!$C$4,COUNTIF('商品マスタ'!$B$6:$B$1005,$W4592)=0),N(U4591)+1,N(U4591))</f>
        <v/>
      </c>
      <c r="V4592" s="19">
        <f>IF($B4592="","",TEXT($B4592,"0000"))</f>
        <v/>
      </c>
      <c r="W4592" s="19">
        <f>IF($I4592="","",IF(ISNUMBER($I4592),TEXT($I4592,"0"),$I4592))</f>
        <v/>
      </c>
    </row>
    <row r="4593">
      <c r="B4593" s="25" t="n"/>
      <c r="I4593" s="25" t="n"/>
      <c r="U4593" s="19">
        <f>IF(AND($V4593='設定'!$C$4,COUNTIF('商品マスタ'!$B$6:$B$1005,$W4593)=0),N(U4592)+1,N(U4592))</f>
        <v/>
      </c>
      <c r="V4593" s="19">
        <f>IF($B4593="","",TEXT($B4593,"0000"))</f>
        <v/>
      </c>
      <c r="W4593" s="19">
        <f>IF($I4593="","",IF(ISNUMBER($I4593),TEXT($I4593,"0"),$I4593))</f>
        <v/>
      </c>
    </row>
    <row r="4594">
      <c r="B4594" s="25" t="n"/>
      <c r="I4594" s="25" t="n"/>
      <c r="U4594" s="19">
        <f>IF(AND($V4594='設定'!$C$4,COUNTIF('商品マスタ'!$B$6:$B$1005,$W4594)=0),N(U4593)+1,N(U4593))</f>
        <v/>
      </c>
      <c r="V4594" s="19">
        <f>IF($B4594="","",TEXT($B4594,"0000"))</f>
        <v/>
      </c>
      <c r="W4594" s="19">
        <f>IF($I4594="","",IF(ISNUMBER($I4594),TEXT($I4594,"0"),$I4594))</f>
        <v/>
      </c>
    </row>
    <row r="4595">
      <c r="B4595" s="25" t="n"/>
      <c r="I4595" s="25" t="n"/>
      <c r="U4595" s="19">
        <f>IF(AND($V4595='設定'!$C$4,COUNTIF('商品マスタ'!$B$6:$B$1005,$W4595)=0),N(U4594)+1,N(U4594))</f>
        <v/>
      </c>
      <c r="V4595" s="19">
        <f>IF($B4595="","",TEXT($B4595,"0000"))</f>
        <v/>
      </c>
      <c r="W4595" s="19">
        <f>IF($I4595="","",IF(ISNUMBER($I4595),TEXT($I4595,"0"),$I4595))</f>
        <v/>
      </c>
    </row>
    <row r="4596">
      <c r="B4596" s="25" t="n"/>
      <c r="I4596" s="25" t="n"/>
      <c r="U4596" s="19">
        <f>IF(AND($V4596='設定'!$C$4,COUNTIF('商品マスタ'!$B$6:$B$1005,$W4596)=0),N(U4595)+1,N(U4595))</f>
        <v/>
      </c>
      <c r="V4596" s="19">
        <f>IF($B4596="","",TEXT($B4596,"0000"))</f>
        <v/>
      </c>
      <c r="W4596" s="19">
        <f>IF($I4596="","",IF(ISNUMBER($I4596),TEXT($I4596,"0"),$I4596))</f>
        <v/>
      </c>
    </row>
    <row r="4597">
      <c r="B4597" s="25" t="n"/>
      <c r="I4597" s="25" t="n"/>
      <c r="U4597" s="19">
        <f>IF(AND($V4597='設定'!$C$4,COUNTIF('商品マスタ'!$B$6:$B$1005,$W4597)=0),N(U4596)+1,N(U4596))</f>
        <v/>
      </c>
      <c r="V4597" s="19">
        <f>IF($B4597="","",TEXT($B4597,"0000"))</f>
        <v/>
      </c>
      <c r="W4597" s="19">
        <f>IF($I4597="","",IF(ISNUMBER($I4597),TEXT($I4597,"0"),$I4597))</f>
        <v/>
      </c>
    </row>
    <row r="4598">
      <c r="B4598" s="25" t="n"/>
      <c r="I4598" s="25" t="n"/>
      <c r="U4598" s="19">
        <f>IF(AND($V4598='設定'!$C$4,COUNTIF('商品マスタ'!$B$6:$B$1005,$W4598)=0),N(U4597)+1,N(U4597))</f>
        <v/>
      </c>
      <c r="V4598" s="19">
        <f>IF($B4598="","",TEXT($B4598,"0000"))</f>
        <v/>
      </c>
      <c r="W4598" s="19">
        <f>IF($I4598="","",IF(ISNUMBER($I4598),TEXT($I4598,"0"),$I4598))</f>
        <v/>
      </c>
    </row>
    <row r="4599">
      <c r="B4599" s="25" t="n"/>
      <c r="I4599" s="25" t="n"/>
      <c r="U4599" s="19">
        <f>IF(AND($V4599='設定'!$C$4,COUNTIF('商品マスタ'!$B$6:$B$1005,$W4599)=0),N(U4598)+1,N(U4598))</f>
        <v/>
      </c>
      <c r="V4599" s="19">
        <f>IF($B4599="","",TEXT($B4599,"0000"))</f>
        <v/>
      </c>
      <c r="W4599" s="19">
        <f>IF($I4599="","",IF(ISNUMBER($I4599),TEXT($I4599,"0"),$I4599))</f>
        <v/>
      </c>
    </row>
    <row r="4600">
      <c r="B4600" s="25" t="n"/>
      <c r="I4600" s="25" t="n"/>
      <c r="U4600" s="19">
        <f>IF(AND($V4600='設定'!$C$4,COUNTIF('商品マスタ'!$B$6:$B$1005,$W4600)=0),N(U4599)+1,N(U4599))</f>
        <v/>
      </c>
      <c r="V4600" s="19">
        <f>IF($B4600="","",TEXT($B4600,"0000"))</f>
        <v/>
      </c>
      <c r="W4600" s="19">
        <f>IF($I4600="","",IF(ISNUMBER($I4600),TEXT($I4600,"0"),$I4600))</f>
        <v/>
      </c>
    </row>
    <row r="4601">
      <c r="B4601" s="25" t="n"/>
      <c r="I4601" s="25" t="n"/>
      <c r="U4601" s="19">
        <f>IF(AND($V4601='設定'!$C$4,COUNTIF('商品マスタ'!$B$6:$B$1005,$W4601)=0),N(U4600)+1,N(U4600))</f>
        <v/>
      </c>
      <c r="V4601" s="19">
        <f>IF($B4601="","",TEXT($B4601,"0000"))</f>
        <v/>
      </c>
      <c r="W4601" s="19">
        <f>IF($I4601="","",IF(ISNUMBER($I4601),TEXT($I4601,"0"),$I4601))</f>
        <v/>
      </c>
    </row>
    <row r="4602">
      <c r="B4602" s="25" t="n"/>
      <c r="I4602" s="25" t="n"/>
      <c r="U4602" s="19">
        <f>IF(AND($V4602='設定'!$C$4,COUNTIF('商品マスタ'!$B$6:$B$1005,$W4602)=0),N(U4601)+1,N(U4601))</f>
        <v/>
      </c>
      <c r="V4602" s="19">
        <f>IF($B4602="","",TEXT($B4602,"0000"))</f>
        <v/>
      </c>
      <c r="W4602" s="19">
        <f>IF($I4602="","",IF(ISNUMBER($I4602),TEXT($I4602,"0"),$I4602))</f>
        <v/>
      </c>
    </row>
    <row r="4603">
      <c r="B4603" s="25" t="n"/>
      <c r="I4603" s="25" t="n"/>
      <c r="U4603" s="19">
        <f>IF(AND($V4603='設定'!$C$4,COUNTIF('商品マスタ'!$B$6:$B$1005,$W4603)=0),N(U4602)+1,N(U4602))</f>
        <v/>
      </c>
      <c r="V4603" s="19">
        <f>IF($B4603="","",TEXT($B4603,"0000"))</f>
        <v/>
      </c>
      <c r="W4603" s="19">
        <f>IF($I4603="","",IF(ISNUMBER($I4603),TEXT($I4603,"0"),$I4603))</f>
        <v/>
      </c>
    </row>
    <row r="4604">
      <c r="B4604" s="25" t="n"/>
      <c r="I4604" s="25" t="n"/>
      <c r="U4604" s="19">
        <f>IF(AND($V4604='設定'!$C$4,COUNTIF('商品マスタ'!$B$6:$B$1005,$W4604)=0),N(U4603)+1,N(U4603))</f>
        <v/>
      </c>
      <c r="V4604" s="19">
        <f>IF($B4604="","",TEXT($B4604,"0000"))</f>
        <v/>
      </c>
      <c r="W4604" s="19">
        <f>IF($I4604="","",IF(ISNUMBER($I4604),TEXT($I4604,"0"),$I4604))</f>
        <v/>
      </c>
    </row>
    <row r="4605">
      <c r="B4605" s="25" t="n"/>
      <c r="I4605" s="25" t="n"/>
      <c r="U4605" s="19">
        <f>IF(AND($V4605='設定'!$C$4,COUNTIF('商品マスタ'!$B$6:$B$1005,$W4605)=0),N(U4604)+1,N(U4604))</f>
        <v/>
      </c>
      <c r="V4605" s="19">
        <f>IF($B4605="","",TEXT($B4605,"0000"))</f>
        <v/>
      </c>
      <c r="W4605" s="19">
        <f>IF($I4605="","",IF(ISNUMBER($I4605),TEXT($I4605,"0"),$I4605))</f>
        <v/>
      </c>
    </row>
    <row r="4606">
      <c r="B4606" s="25" t="n"/>
      <c r="I4606" s="25" t="n"/>
      <c r="U4606" s="19">
        <f>IF(AND($V4606='設定'!$C$4,COUNTIF('商品マスタ'!$B$6:$B$1005,$W4606)=0),N(U4605)+1,N(U4605))</f>
        <v/>
      </c>
      <c r="V4606" s="19">
        <f>IF($B4606="","",TEXT($B4606,"0000"))</f>
        <v/>
      </c>
      <c r="W4606" s="19">
        <f>IF($I4606="","",IF(ISNUMBER($I4606),TEXT($I4606,"0"),$I4606))</f>
        <v/>
      </c>
    </row>
    <row r="4607">
      <c r="B4607" s="25" t="n"/>
      <c r="I4607" s="25" t="n"/>
      <c r="U4607" s="19">
        <f>IF(AND($V4607='設定'!$C$4,COUNTIF('商品マスタ'!$B$6:$B$1005,$W4607)=0),N(U4606)+1,N(U4606))</f>
        <v/>
      </c>
      <c r="V4607" s="19">
        <f>IF($B4607="","",TEXT($B4607,"0000"))</f>
        <v/>
      </c>
      <c r="W4607" s="19">
        <f>IF($I4607="","",IF(ISNUMBER($I4607),TEXT($I4607,"0"),$I4607))</f>
        <v/>
      </c>
    </row>
    <row r="4608">
      <c r="B4608" s="25" t="n"/>
      <c r="I4608" s="25" t="n"/>
      <c r="U4608" s="19">
        <f>IF(AND($V4608='設定'!$C$4,COUNTIF('商品マスタ'!$B$6:$B$1005,$W4608)=0),N(U4607)+1,N(U4607))</f>
        <v/>
      </c>
      <c r="V4608" s="19">
        <f>IF($B4608="","",TEXT($B4608,"0000"))</f>
        <v/>
      </c>
      <c r="W4608" s="19">
        <f>IF($I4608="","",IF(ISNUMBER($I4608),TEXT($I4608,"0"),$I4608))</f>
        <v/>
      </c>
    </row>
    <row r="4609">
      <c r="B4609" s="25" t="n"/>
      <c r="I4609" s="25" t="n"/>
      <c r="U4609" s="19">
        <f>IF(AND($V4609='設定'!$C$4,COUNTIF('商品マスタ'!$B$6:$B$1005,$W4609)=0),N(U4608)+1,N(U4608))</f>
        <v/>
      </c>
      <c r="V4609" s="19">
        <f>IF($B4609="","",TEXT($B4609,"0000"))</f>
        <v/>
      </c>
      <c r="W4609" s="19">
        <f>IF($I4609="","",IF(ISNUMBER($I4609),TEXT($I4609,"0"),$I4609))</f>
        <v/>
      </c>
    </row>
    <row r="4610">
      <c r="B4610" s="25" t="n"/>
      <c r="I4610" s="25" t="n"/>
      <c r="U4610" s="19">
        <f>IF(AND($V4610='設定'!$C$4,COUNTIF('商品マスタ'!$B$6:$B$1005,$W4610)=0),N(U4609)+1,N(U4609))</f>
        <v/>
      </c>
      <c r="V4610" s="19">
        <f>IF($B4610="","",TEXT($B4610,"0000"))</f>
        <v/>
      </c>
      <c r="W4610" s="19">
        <f>IF($I4610="","",IF(ISNUMBER($I4610),TEXT($I4610,"0"),$I4610))</f>
        <v/>
      </c>
    </row>
    <row r="4611">
      <c r="B4611" s="25" t="n"/>
      <c r="I4611" s="25" t="n"/>
      <c r="U4611" s="19">
        <f>IF(AND($V4611='設定'!$C$4,COUNTIF('商品マスタ'!$B$6:$B$1005,$W4611)=0),N(U4610)+1,N(U4610))</f>
        <v/>
      </c>
      <c r="V4611" s="19">
        <f>IF($B4611="","",TEXT($B4611,"0000"))</f>
        <v/>
      </c>
      <c r="W4611" s="19">
        <f>IF($I4611="","",IF(ISNUMBER($I4611),TEXT($I4611,"0"),$I4611))</f>
        <v/>
      </c>
    </row>
    <row r="4612">
      <c r="B4612" s="25" t="n"/>
      <c r="I4612" s="25" t="n"/>
      <c r="U4612" s="19">
        <f>IF(AND($V4612='設定'!$C$4,COUNTIF('商品マスタ'!$B$6:$B$1005,$W4612)=0),N(U4611)+1,N(U4611))</f>
        <v/>
      </c>
      <c r="V4612" s="19">
        <f>IF($B4612="","",TEXT($B4612,"0000"))</f>
        <v/>
      </c>
      <c r="W4612" s="19">
        <f>IF($I4612="","",IF(ISNUMBER($I4612),TEXT($I4612,"0"),$I4612))</f>
        <v/>
      </c>
    </row>
    <row r="4613">
      <c r="B4613" s="25" t="n"/>
      <c r="I4613" s="25" t="n"/>
      <c r="U4613" s="19">
        <f>IF(AND($V4613='設定'!$C$4,COUNTIF('商品マスタ'!$B$6:$B$1005,$W4613)=0),N(U4612)+1,N(U4612))</f>
        <v/>
      </c>
      <c r="V4613" s="19">
        <f>IF($B4613="","",TEXT($B4613,"0000"))</f>
        <v/>
      </c>
      <c r="W4613" s="19">
        <f>IF($I4613="","",IF(ISNUMBER($I4613),TEXT($I4613,"0"),$I4613))</f>
        <v/>
      </c>
    </row>
    <row r="4614">
      <c r="B4614" s="25" t="n"/>
      <c r="I4614" s="25" t="n"/>
      <c r="U4614" s="19">
        <f>IF(AND($V4614='設定'!$C$4,COUNTIF('商品マスタ'!$B$6:$B$1005,$W4614)=0),N(U4613)+1,N(U4613))</f>
        <v/>
      </c>
      <c r="V4614" s="19">
        <f>IF($B4614="","",TEXT($B4614,"0000"))</f>
        <v/>
      </c>
      <c r="W4614" s="19">
        <f>IF($I4614="","",IF(ISNUMBER($I4614),TEXT($I4614,"0"),$I4614))</f>
        <v/>
      </c>
    </row>
    <row r="4615">
      <c r="B4615" s="25" t="n"/>
      <c r="I4615" s="25" t="n"/>
      <c r="U4615" s="19">
        <f>IF(AND($V4615='設定'!$C$4,COUNTIF('商品マスタ'!$B$6:$B$1005,$W4615)=0),N(U4614)+1,N(U4614))</f>
        <v/>
      </c>
      <c r="V4615" s="19">
        <f>IF($B4615="","",TEXT($B4615,"0000"))</f>
        <v/>
      </c>
      <c r="W4615" s="19">
        <f>IF($I4615="","",IF(ISNUMBER($I4615),TEXT($I4615,"0"),$I4615))</f>
        <v/>
      </c>
    </row>
    <row r="4616">
      <c r="B4616" s="25" t="n"/>
      <c r="I4616" s="25" t="n"/>
      <c r="U4616" s="19">
        <f>IF(AND($V4616='設定'!$C$4,COUNTIF('商品マスタ'!$B$6:$B$1005,$W4616)=0),N(U4615)+1,N(U4615))</f>
        <v/>
      </c>
      <c r="V4616" s="19">
        <f>IF($B4616="","",TEXT($B4616,"0000"))</f>
        <v/>
      </c>
      <c r="W4616" s="19">
        <f>IF($I4616="","",IF(ISNUMBER($I4616),TEXT($I4616,"0"),$I4616))</f>
        <v/>
      </c>
    </row>
    <row r="4617">
      <c r="B4617" s="25" t="n"/>
      <c r="I4617" s="25" t="n"/>
      <c r="U4617" s="19">
        <f>IF(AND($V4617='設定'!$C$4,COUNTIF('商品マスタ'!$B$6:$B$1005,$W4617)=0),N(U4616)+1,N(U4616))</f>
        <v/>
      </c>
      <c r="V4617" s="19">
        <f>IF($B4617="","",TEXT($B4617,"0000"))</f>
        <v/>
      </c>
      <c r="W4617" s="19">
        <f>IF($I4617="","",IF(ISNUMBER($I4617),TEXT($I4617,"0"),$I4617))</f>
        <v/>
      </c>
    </row>
    <row r="4618">
      <c r="B4618" s="25" t="n"/>
      <c r="I4618" s="25" t="n"/>
      <c r="U4618" s="19">
        <f>IF(AND($V4618='設定'!$C$4,COUNTIF('商品マスタ'!$B$6:$B$1005,$W4618)=0),N(U4617)+1,N(U4617))</f>
        <v/>
      </c>
      <c r="V4618" s="19">
        <f>IF($B4618="","",TEXT($B4618,"0000"))</f>
        <v/>
      </c>
      <c r="W4618" s="19">
        <f>IF($I4618="","",IF(ISNUMBER($I4618),TEXT($I4618,"0"),$I4618))</f>
        <v/>
      </c>
    </row>
    <row r="4619">
      <c r="B4619" s="25" t="n"/>
      <c r="I4619" s="25" t="n"/>
      <c r="U4619" s="19">
        <f>IF(AND($V4619='設定'!$C$4,COUNTIF('商品マスタ'!$B$6:$B$1005,$W4619)=0),N(U4618)+1,N(U4618))</f>
        <v/>
      </c>
      <c r="V4619" s="19">
        <f>IF($B4619="","",TEXT($B4619,"0000"))</f>
        <v/>
      </c>
      <c r="W4619" s="19">
        <f>IF($I4619="","",IF(ISNUMBER($I4619),TEXT($I4619,"0"),$I4619))</f>
        <v/>
      </c>
    </row>
    <row r="4620">
      <c r="B4620" s="25" t="n"/>
      <c r="I4620" s="25" t="n"/>
      <c r="U4620" s="19">
        <f>IF(AND($V4620='設定'!$C$4,COUNTIF('商品マスタ'!$B$6:$B$1005,$W4620)=0),N(U4619)+1,N(U4619))</f>
        <v/>
      </c>
      <c r="V4620" s="19">
        <f>IF($B4620="","",TEXT($B4620,"0000"))</f>
        <v/>
      </c>
      <c r="W4620" s="19">
        <f>IF($I4620="","",IF(ISNUMBER($I4620),TEXT($I4620,"0"),$I4620))</f>
        <v/>
      </c>
    </row>
    <row r="4621">
      <c r="B4621" s="25" t="n"/>
      <c r="I4621" s="25" t="n"/>
      <c r="U4621" s="19">
        <f>IF(AND($V4621='設定'!$C$4,COUNTIF('商品マスタ'!$B$6:$B$1005,$W4621)=0),N(U4620)+1,N(U4620))</f>
        <v/>
      </c>
      <c r="V4621" s="19">
        <f>IF($B4621="","",TEXT($B4621,"0000"))</f>
        <v/>
      </c>
      <c r="W4621" s="19">
        <f>IF($I4621="","",IF(ISNUMBER($I4621),TEXT($I4621,"0"),$I4621))</f>
        <v/>
      </c>
    </row>
    <row r="4622">
      <c r="B4622" s="25" t="n"/>
      <c r="I4622" s="25" t="n"/>
      <c r="U4622" s="19">
        <f>IF(AND($V4622='設定'!$C$4,COUNTIF('商品マスタ'!$B$6:$B$1005,$W4622)=0),N(U4621)+1,N(U4621))</f>
        <v/>
      </c>
      <c r="V4622" s="19">
        <f>IF($B4622="","",TEXT($B4622,"0000"))</f>
        <v/>
      </c>
      <c r="W4622" s="19">
        <f>IF($I4622="","",IF(ISNUMBER($I4622),TEXT($I4622,"0"),$I4622))</f>
        <v/>
      </c>
    </row>
    <row r="4623">
      <c r="B4623" s="25" t="n"/>
      <c r="I4623" s="25" t="n"/>
      <c r="U4623" s="19">
        <f>IF(AND($V4623='設定'!$C$4,COUNTIF('商品マスタ'!$B$6:$B$1005,$W4623)=0),N(U4622)+1,N(U4622))</f>
        <v/>
      </c>
      <c r="V4623" s="19">
        <f>IF($B4623="","",TEXT($B4623,"0000"))</f>
        <v/>
      </c>
      <c r="W4623" s="19">
        <f>IF($I4623="","",IF(ISNUMBER($I4623),TEXT($I4623,"0"),$I4623))</f>
        <v/>
      </c>
    </row>
    <row r="4624">
      <c r="B4624" s="25" t="n"/>
      <c r="I4624" s="25" t="n"/>
      <c r="U4624" s="19">
        <f>IF(AND($V4624='設定'!$C$4,COUNTIF('商品マスタ'!$B$6:$B$1005,$W4624)=0),N(U4623)+1,N(U4623))</f>
        <v/>
      </c>
      <c r="V4624" s="19">
        <f>IF($B4624="","",TEXT($B4624,"0000"))</f>
        <v/>
      </c>
      <c r="W4624" s="19">
        <f>IF($I4624="","",IF(ISNUMBER($I4624),TEXT($I4624,"0"),$I4624))</f>
        <v/>
      </c>
    </row>
    <row r="4625">
      <c r="B4625" s="25" t="n"/>
      <c r="I4625" s="25" t="n"/>
      <c r="U4625" s="19">
        <f>IF(AND($V4625='設定'!$C$4,COUNTIF('商品マスタ'!$B$6:$B$1005,$W4625)=0),N(U4624)+1,N(U4624))</f>
        <v/>
      </c>
      <c r="V4625" s="19">
        <f>IF($B4625="","",TEXT($B4625,"0000"))</f>
        <v/>
      </c>
      <c r="W4625" s="19">
        <f>IF($I4625="","",IF(ISNUMBER($I4625),TEXT($I4625,"0"),$I4625))</f>
        <v/>
      </c>
    </row>
    <row r="4626">
      <c r="B4626" s="25" t="n"/>
      <c r="I4626" s="25" t="n"/>
      <c r="U4626" s="19">
        <f>IF(AND($V4626='設定'!$C$4,COUNTIF('商品マスタ'!$B$6:$B$1005,$W4626)=0),N(U4625)+1,N(U4625))</f>
        <v/>
      </c>
      <c r="V4626" s="19">
        <f>IF($B4626="","",TEXT($B4626,"0000"))</f>
        <v/>
      </c>
      <c r="W4626" s="19">
        <f>IF($I4626="","",IF(ISNUMBER($I4626),TEXT($I4626,"0"),$I4626))</f>
        <v/>
      </c>
    </row>
    <row r="4627">
      <c r="B4627" s="25" t="n"/>
      <c r="I4627" s="25" t="n"/>
      <c r="U4627" s="19">
        <f>IF(AND($V4627='設定'!$C$4,COUNTIF('商品マスタ'!$B$6:$B$1005,$W4627)=0),N(U4626)+1,N(U4626))</f>
        <v/>
      </c>
      <c r="V4627" s="19">
        <f>IF($B4627="","",TEXT($B4627,"0000"))</f>
        <v/>
      </c>
      <c r="W4627" s="19">
        <f>IF($I4627="","",IF(ISNUMBER($I4627),TEXT($I4627,"0"),$I4627))</f>
        <v/>
      </c>
    </row>
    <row r="4628">
      <c r="B4628" s="25" t="n"/>
      <c r="I4628" s="25" t="n"/>
      <c r="U4628" s="19">
        <f>IF(AND($V4628='設定'!$C$4,COUNTIF('商品マスタ'!$B$6:$B$1005,$W4628)=0),N(U4627)+1,N(U4627))</f>
        <v/>
      </c>
      <c r="V4628" s="19">
        <f>IF($B4628="","",TEXT($B4628,"0000"))</f>
        <v/>
      </c>
      <c r="W4628" s="19">
        <f>IF($I4628="","",IF(ISNUMBER($I4628),TEXT($I4628,"0"),$I4628))</f>
        <v/>
      </c>
    </row>
    <row r="4629">
      <c r="B4629" s="25" t="n"/>
      <c r="I4629" s="25" t="n"/>
      <c r="U4629" s="19">
        <f>IF(AND($V4629='設定'!$C$4,COUNTIF('商品マスタ'!$B$6:$B$1005,$W4629)=0),N(U4628)+1,N(U4628))</f>
        <v/>
      </c>
      <c r="V4629" s="19">
        <f>IF($B4629="","",TEXT($B4629,"0000"))</f>
        <v/>
      </c>
      <c r="W4629" s="19">
        <f>IF($I4629="","",IF(ISNUMBER($I4629),TEXT($I4629,"0"),$I4629))</f>
        <v/>
      </c>
    </row>
    <row r="4630">
      <c r="B4630" s="25" t="n"/>
      <c r="I4630" s="25" t="n"/>
      <c r="U4630" s="19">
        <f>IF(AND($V4630='設定'!$C$4,COUNTIF('商品マスタ'!$B$6:$B$1005,$W4630)=0),N(U4629)+1,N(U4629))</f>
        <v/>
      </c>
      <c r="V4630" s="19">
        <f>IF($B4630="","",TEXT($B4630,"0000"))</f>
        <v/>
      </c>
      <c r="W4630" s="19">
        <f>IF($I4630="","",IF(ISNUMBER($I4630),TEXT($I4630,"0"),$I4630))</f>
        <v/>
      </c>
    </row>
    <row r="4631">
      <c r="B4631" s="25" t="n"/>
      <c r="I4631" s="25" t="n"/>
      <c r="U4631" s="19">
        <f>IF(AND($V4631='設定'!$C$4,COUNTIF('商品マスタ'!$B$6:$B$1005,$W4631)=0),N(U4630)+1,N(U4630))</f>
        <v/>
      </c>
      <c r="V4631" s="19">
        <f>IF($B4631="","",TEXT($B4631,"0000"))</f>
        <v/>
      </c>
      <c r="W4631" s="19">
        <f>IF($I4631="","",IF(ISNUMBER($I4631),TEXT($I4631,"0"),$I4631))</f>
        <v/>
      </c>
    </row>
    <row r="4632">
      <c r="B4632" s="25" t="n"/>
      <c r="I4632" s="25" t="n"/>
      <c r="U4632" s="19">
        <f>IF(AND($V4632='設定'!$C$4,COUNTIF('商品マスタ'!$B$6:$B$1005,$W4632)=0),N(U4631)+1,N(U4631))</f>
        <v/>
      </c>
      <c r="V4632" s="19">
        <f>IF($B4632="","",TEXT($B4632,"0000"))</f>
        <v/>
      </c>
      <c r="W4632" s="19">
        <f>IF($I4632="","",IF(ISNUMBER($I4632),TEXT($I4632,"0"),$I4632))</f>
        <v/>
      </c>
    </row>
    <row r="4633">
      <c r="B4633" s="25" t="n"/>
      <c r="I4633" s="25" t="n"/>
      <c r="U4633" s="19">
        <f>IF(AND($V4633='設定'!$C$4,COUNTIF('商品マスタ'!$B$6:$B$1005,$W4633)=0),N(U4632)+1,N(U4632))</f>
        <v/>
      </c>
      <c r="V4633" s="19">
        <f>IF($B4633="","",TEXT($B4633,"0000"))</f>
        <v/>
      </c>
      <c r="W4633" s="19">
        <f>IF($I4633="","",IF(ISNUMBER($I4633),TEXT($I4633,"0"),$I4633))</f>
        <v/>
      </c>
    </row>
    <row r="4634">
      <c r="B4634" s="25" t="n"/>
      <c r="I4634" s="25" t="n"/>
      <c r="U4634" s="19">
        <f>IF(AND($V4634='設定'!$C$4,COUNTIF('商品マスタ'!$B$6:$B$1005,$W4634)=0),N(U4633)+1,N(U4633))</f>
        <v/>
      </c>
      <c r="V4634" s="19">
        <f>IF($B4634="","",TEXT($B4634,"0000"))</f>
        <v/>
      </c>
      <c r="W4634" s="19">
        <f>IF($I4634="","",IF(ISNUMBER($I4634),TEXT($I4634,"0"),$I4634))</f>
        <v/>
      </c>
    </row>
    <row r="4635">
      <c r="B4635" s="25" t="n"/>
      <c r="I4635" s="25" t="n"/>
      <c r="U4635" s="19">
        <f>IF(AND($V4635='設定'!$C$4,COUNTIF('商品マスタ'!$B$6:$B$1005,$W4635)=0),N(U4634)+1,N(U4634))</f>
        <v/>
      </c>
      <c r="V4635" s="19">
        <f>IF($B4635="","",TEXT($B4635,"0000"))</f>
        <v/>
      </c>
      <c r="W4635" s="19">
        <f>IF($I4635="","",IF(ISNUMBER($I4635),TEXT($I4635,"0"),$I4635))</f>
        <v/>
      </c>
    </row>
    <row r="4636">
      <c r="B4636" s="25" t="n"/>
      <c r="I4636" s="25" t="n"/>
      <c r="U4636" s="19">
        <f>IF(AND($V4636='設定'!$C$4,COUNTIF('商品マスタ'!$B$6:$B$1005,$W4636)=0),N(U4635)+1,N(U4635))</f>
        <v/>
      </c>
      <c r="V4636" s="19">
        <f>IF($B4636="","",TEXT($B4636,"0000"))</f>
        <v/>
      </c>
      <c r="W4636" s="19">
        <f>IF($I4636="","",IF(ISNUMBER($I4636),TEXT($I4636,"0"),$I4636))</f>
        <v/>
      </c>
    </row>
    <row r="4637">
      <c r="B4637" s="25" t="n"/>
      <c r="I4637" s="25" t="n"/>
      <c r="U4637" s="19">
        <f>IF(AND($V4637='設定'!$C$4,COUNTIF('商品マスタ'!$B$6:$B$1005,$W4637)=0),N(U4636)+1,N(U4636))</f>
        <v/>
      </c>
      <c r="V4637" s="19">
        <f>IF($B4637="","",TEXT($B4637,"0000"))</f>
        <v/>
      </c>
      <c r="W4637" s="19">
        <f>IF($I4637="","",IF(ISNUMBER($I4637),TEXT($I4637,"0"),$I4637))</f>
        <v/>
      </c>
    </row>
    <row r="4638">
      <c r="B4638" s="25" t="n"/>
      <c r="I4638" s="25" t="n"/>
      <c r="U4638" s="19">
        <f>IF(AND($V4638='設定'!$C$4,COUNTIF('商品マスタ'!$B$6:$B$1005,$W4638)=0),N(U4637)+1,N(U4637))</f>
        <v/>
      </c>
      <c r="V4638" s="19">
        <f>IF($B4638="","",TEXT($B4638,"0000"))</f>
        <v/>
      </c>
      <c r="W4638" s="19">
        <f>IF($I4638="","",IF(ISNUMBER($I4638),TEXT($I4638,"0"),$I4638))</f>
        <v/>
      </c>
    </row>
    <row r="4639">
      <c r="B4639" s="25" t="n"/>
      <c r="I4639" s="25" t="n"/>
      <c r="U4639" s="19">
        <f>IF(AND($V4639='設定'!$C$4,COUNTIF('商品マスタ'!$B$6:$B$1005,$W4639)=0),N(U4638)+1,N(U4638))</f>
        <v/>
      </c>
      <c r="V4639" s="19">
        <f>IF($B4639="","",TEXT($B4639,"0000"))</f>
        <v/>
      </c>
      <c r="W4639" s="19">
        <f>IF($I4639="","",IF(ISNUMBER($I4639),TEXT($I4639,"0"),$I4639))</f>
        <v/>
      </c>
    </row>
    <row r="4640">
      <c r="B4640" s="25" t="n"/>
      <c r="I4640" s="25" t="n"/>
      <c r="U4640" s="19">
        <f>IF(AND($V4640='設定'!$C$4,COUNTIF('商品マスタ'!$B$6:$B$1005,$W4640)=0),N(U4639)+1,N(U4639))</f>
        <v/>
      </c>
      <c r="V4640" s="19">
        <f>IF($B4640="","",TEXT($B4640,"0000"))</f>
        <v/>
      </c>
      <c r="W4640" s="19">
        <f>IF($I4640="","",IF(ISNUMBER($I4640),TEXT($I4640,"0"),$I4640))</f>
        <v/>
      </c>
    </row>
    <row r="4641">
      <c r="B4641" s="25" t="n"/>
      <c r="I4641" s="25" t="n"/>
      <c r="U4641" s="19">
        <f>IF(AND($V4641='設定'!$C$4,COUNTIF('商品マスタ'!$B$6:$B$1005,$W4641)=0),N(U4640)+1,N(U4640))</f>
        <v/>
      </c>
      <c r="V4641" s="19">
        <f>IF($B4641="","",TEXT($B4641,"0000"))</f>
        <v/>
      </c>
      <c r="W4641" s="19">
        <f>IF($I4641="","",IF(ISNUMBER($I4641),TEXT($I4641,"0"),$I4641))</f>
        <v/>
      </c>
    </row>
    <row r="4642">
      <c r="B4642" s="25" t="n"/>
      <c r="I4642" s="25" t="n"/>
      <c r="U4642" s="19">
        <f>IF(AND($V4642='設定'!$C$4,COUNTIF('商品マスタ'!$B$6:$B$1005,$W4642)=0),N(U4641)+1,N(U4641))</f>
        <v/>
      </c>
      <c r="V4642" s="19">
        <f>IF($B4642="","",TEXT($B4642,"0000"))</f>
        <v/>
      </c>
      <c r="W4642" s="19">
        <f>IF($I4642="","",IF(ISNUMBER($I4642),TEXT($I4642,"0"),$I4642))</f>
        <v/>
      </c>
    </row>
    <row r="4643">
      <c r="B4643" s="25" t="n"/>
      <c r="I4643" s="25" t="n"/>
      <c r="U4643" s="19">
        <f>IF(AND($V4643='設定'!$C$4,COUNTIF('商品マスタ'!$B$6:$B$1005,$W4643)=0),N(U4642)+1,N(U4642))</f>
        <v/>
      </c>
      <c r="V4643" s="19">
        <f>IF($B4643="","",TEXT($B4643,"0000"))</f>
        <v/>
      </c>
      <c r="W4643" s="19">
        <f>IF($I4643="","",IF(ISNUMBER($I4643),TEXT($I4643,"0"),$I4643))</f>
        <v/>
      </c>
    </row>
    <row r="4644">
      <c r="B4644" s="25" t="n"/>
      <c r="I4644" s="25" t="n"/>
      <c r="U4644" s="19">
        <f>IF(AND($V4644='設定'!$C$4,COUNTIF('商品マスタ'!$B$6:$B$1005,$W4644)=0),N(U4643)+1,N(U4643))</f>
        <v/>
      </c>
      <c r="V4644" s="19">
        <f>IF($B4644="","",TEXT($B4644,"0000"))</f>
        <v/>
      </c>
      <c r="W4644" s="19">
        <f>IF($I4644="","",IF(ISNUMBER($I4644),TEXT($I4644,"0"),$I4644))</f>
        <v/>
      </c>
    </row>
    <row r="4645">
      <c r="B4645" s="25" t="n"/>
      <c r="I4645" s="25" t="n"/>
      <c r="U4645" s="19">
        <f>IF(AND($V4645='設定'!$C$4,COUNTIF('商品マスタ'!$B$6:$B$1005,$W4645)=0),N(U4644)+1,N(U4644))</f>
        <v/>
      </c>
      <c r="V4645" s="19">
        <f>IF($B4645="","",TEXT($B4645,"0000"))</f>
        <v/>
      </c>
      <c r="W4645" s="19">
        <f>IF($I4645="","",IF(ISNUMBER($I4645),TEXT($I4645,"0"),$I4645))</f>
        <v/>
      </c>
    </row>
    <row r="4646">
      <c r="B4646" s="25" t="n"/>
      <c r="I4646" s="25" t="n"/>
      <c r="U4646" s="19">
        <f>IF(AND($V4646='設定'!$C$4,COUNTIF('商品マスタ'!$B$6:$B$1005,$W4646)=0),N(U4645)+1,N(U4645))</f>
        <v/>
      </c>
      <c r="V4646" s="19">
        <f>IF($B4646="","",TEXT($B4646,"0000"))</f>
        <v/>
      </c>
      <c r="W4646" s="19">
        <f>IF($I4646="","",IF(ISNUMBER($I4646),TEXT($I4646,"0"),$I4646))</f>
        <v/>
      </c>
    </row>
    <row r="4647">
      <c r="B4647" s="25" t="n"/>
      <c r="I4647" s="25" t="n"/>
      <c r="U4647" s="19">
        <f>IF(AND($V4647='設定'!$C$4,COUNTIF('商品マスタ'!$B$6:$B$1005,$W4647)=0),N(U4646)+1,N(U4646))</f>
        <v/>
      </c>
      <c r="V4647" s="19">
        <f>IF($B4647="","",TEXT($B4647,"0000"))</f>
        <v/>
      </c>
      <c r="W4647" s="19">
        <f>IF($I4647="","",IF(ISNUMBER($I4647),TEXT($I4647,"0"),$I4647))</f>
        <v/>
      </c>
    </row>
    <row r="4648">
      <c r="B4648" s="25" t="n"/>
      <c r="I4648" s="25" t="n"/>
      <c r="U4648" s="19">
        <f>IF(AND($V4648='設定'!$C$4,COUNTIF('商品マスタ'!$B$6:$B$1005,$W4648)=0),N(U4647)+1,N(U4647))</f>
        <v/>
      </c>
      <c r="V4648" s="19">
        <f>IF($B4648="","",TEXT($B4648,"0000"))</f>
        <v/>
      </c>
      <c r="W4648" s="19">
        <f>IF($I4648="","",IF(ISNUMBER($I4648),TEXT($I4648,"0"),$I4648))</f>
        <v/>
      </c>
    </row>
    <row r="4649">
      <c r="B4649" s="25" t="n"/>
      <c r="I4649" s="25" t="n"/>
      <c r="U4649" s="19">
        <f>IF(AND($V4649='設定'!$C$4,COUNTIF('商品マスタ'!$B$6:$B$1005,$W4649)=0),N(U4648)+1,N(U4648))</f>
        <v/>
      </c>
      <c r="V4649" s="19">
        <f>IF($B4649="","",TEXT($B4649,"0000"))</f>
        <v/>
      </c>
      <c r="W4649" s="19">
        <f>IF($I4649="","",IF(ISNUMBER($I4649),TEXT($I4649,"0"),$I4649))</f>
        <v/>
      </c>
    </row>
    <row r="4650">
      <c r="B4650" s="25" t="n"/>
      <c r="I4650" s="25" t="n"/>
      <c r="U4650" s="19">
        <f>IF(AND($V4650='設定'!$C$4,COUNTIF('商品マスタ'!$B$6:$B$1005,$W4650)=0),N(U4649)+1,N(U4649))</f>
        <v/>
      </c>
      <c r="V4650" s="19">
        <f>IF($B4650="","",TEXT($B4650,"0000"))</f>
        <v/>
      </c>
      <c r="W4650" s="19">
        <f>IF($I4650="","",IF(ISNUMBER($I4650),TEXT($I4650,"0"),$I4650))</f>
        <v/>
      </c>
    </row>
    <row r="4651">
      <c r="B4651" s="25" t="n"/>
      <c r="I4651" s="25" t="n"/>
      <c r="U4651" s="19">
        <f>IF(AND($V4651='設定'!$C$4,COUNTIF('商品マスタ'!$B$6:$B$1005,$W4651)=0),N(U4650)+1,N(U4650))</f>
        <v/>
      </c>
      <c r="V4651" s="19">
        <f>IF($B4651="","",TEXT($B4651,"0000"))</f>
        <v/>
      </c>
      <c r="W4651" s="19">
        <f>IF($I4651="","",IF(ISNUMBER($I4651),TEXT($I4651,"0"),$I4651))</f>
        <v/>
      </c>
    </row>
    <row r="4652">
      <c r="B4652" s="25" t="n"/>
      <c r="I4652" s="25" t="n"/>
      <c r="U4652" s="19">
        <f>IF(AND($V4652='設定'!$C$4,COUNTIF('商品マスタ'!$B$6:$B$1005,$W4652)=0),N(U4651)+1,N(U4651))</f>
        <v/>
      </c>
      <c r="V4652" s="19">
        <f>IF($B4652="","",TEXT($B4652,"0000"))</f>
        <v/>
      </c>
      <c r="W4652" s="19">
        <f>IF($I4652="","",IF(ISNUMBER($I4652),TEXT($I4652,"0"),$I4652))</f>
        <v/>
      </c>
    </row>
    <row r="4653">
      <c r="B4653" s="25" t="n"/>
      <c r="I4653" s="25" t="n"/>
      <c r="U4653" s="19">
        <f>IF(AND($V4653='設定'!$C$4,COUNTIF('商品マスタ'!$B$6:$B$1005,$W4653)=0),N(U4652)+1,N(U4652))</f>
        <v/>
      </c>
      <c r="V4653" s="19">
        <f>IF($B4653="","",TEXT($B4653,"0000"))</f>
        <v/>
      </c>
      <c r="W4653" s="19">
        <f>IF($I4653="","",IF(ISNUMBER($I4653),TEXT($I4653,"0"),$I4653))</f>
        <v/>
      </c>
    </row>
    <row r="4654">
      <c r="B4654" s="25" t="n"/>
      <c r="I4654" s="25" t="n"/>
      <c r="U4654" s="19">
        <f>IF(AND($V4654='設定'!$C$4,COUNTIF('商品マスタ'!$B$6:$B$1005,$W4654)=0),N(U4653)+1,N(U4653))</f>
        <v/>
      </c>
      <c r="V4654" s="19">
        <f>IF($B4654="","",TEXT($B4654,"0000"))</f>
        <v/>
      </c>
      <c r="W4654" s="19">
        <f>IF($I4654="","",IF(ISNUMBER($I4654),TEXT($I4654,"0"),$I4654))</f>
        <v/>
      </c>
    </row>
    <row r="4655">
      <c r="B4655" s="25" t="n"/>
      <c r="I4655" s="25" t="n"/>
      <c r="U4655" s="19">
        <f>IF(AND($V4655='設定'!$C$4,COUNTIF('商品マスタ'!$B$6:$B$1005,$W4655)=0),N(U4654)+1,N(U4654))</f>
        <v/>
      </c>
      <c r="V4655" s="19">
        <f>IF($B4655="","",TEXT($B4655,"0000"))</f>
        <v/>
      </c>
      <c r="W4655" s="19">
        <f>IF($I4655="","",IF(ISNUMBER($I4655),TEXT($I4655,"0"),$I4655))</f>
        <v/>
      </c>
    </row>
    <row r="4656">
      <c r="B4656" s="25" t="n"/>
      <c r="I4656" s="25" t="n"/>
      <c r="U4656" s="19">
        <f>IF(AND($V4656='設定'!$C$4,COUNTIF('商品マスタ'!$B$6:$B$1005,$W4656)=0),N(U4655)+1,N(U4655))</f>
        <v/>
      </c>
      <c r="V4656" s="19">
        <f>IF($B4656="","",TEXT($B4656,"0000"))</f>
        <v/>
      </c>
      <c r="W4656" s="19">
        <f>IF($I4656="","",IF(ISNUMBER($I4656),TEXT($I4656,"0"),$I4656))</f>
        <v/>
      </c>
    </row>
    <row r="4657">
      <c r="B4657" s="25" t="n"/>
      <c r="I4657" s="25" t="n"/>
      <c r="U4657" s="19">
        <f>IF(AND($V4657='設定'!$C$4,COUNTIF('商品マスタ'!$B$6:$B$1005,$W4657)=0),N(U4656)+1,N(U4656))</f>
        <v/>
      </c>
      <c r="V4657" s="19">
        <f>IF($B4657="","",TEXT($B4657,"0000"))</f>
        <v/>
      </c>
      <c r="W4657" s="19">
        <f>IF($I4657="","",IF(ISNUMBER($I4657),TEXT($I4657,"0"),$I4657))</f>
        <v/>
      </c>
    </row>
    <row r="4658">
      <c r="B4658" s="25" t="n"/>
      <c r="I4658" s="25" t="n"/>
      <c r="U4658" s="19">
        <f>IF(AND($V4658='設定'!$C$4,COUNTIF('商品マスタ'!$B$6:$B$1005,$W4658)=0),N(U4657)+1,N(U4657))</f>
        <v/>
      </c>
      <c r="V4658" s="19">
        <f>IF($B4658="","",TEXT($B4658,"0000"))</f>
        <v/>
      </c>
      <c r="W4658" s="19">
        <f>IF($I4658="","",IF(ISNUMBER($I4658),TEXT($I4658,"0"),$I4658))</f>
        <v/>
      </c>
    </row>
    <row r="4659">
      <c r="B4659" s="25" t="n"/>
      <c r="I4659" s="25" t="n"/>
      <c r="U4659" s="19">
        <f>IF(AND($V4659='設定'!$C$4,COUNTIF('商品マスタ'!$B$6:$B$1005,$W4659)=0),N(U4658)+1,N(U4658))</f>
        <v/>
      </c>
      <c r="V4659" s="19">
        <f>IF($B4659="","",TEXT($B4659,"0000"))</f>
        <v/>
      </c>
      <c r="W4659" s="19">
        <f>IF($I4659="","",IF(ISNUMBER($I4659),TEXT($I4659,"0"),$I4659))</f>
        <v/>
      </c>
    </row>
    <row r="4660">
      <c r="B4660" s="25" t="n"/>
      <c r="I4660" s="25" t="n"/>
      <c r="U4660" s="19">
        <f>IF(AND($V4660='設定'!$C$4,COUNTIF('商品マスタ'!$B$6:$B$1005,$W4660)=0),N(U4659)+1,N(U4659))</f>
        <v/>
      </c>
      <c r="V4660" s="19">
        <f>IF($B4660="","",TEXT($B4660,"0000"))</f>
        <v/>
      </c>
      <c r="W4660" s="19">
        <f>IF($I4660="","",IF(ISNUMBER($I4660),TEXT($I4660,"0"),$I4660))</f>
        <v/>
      </c>
    </row>
    <row r="4661">
      <c r="B4661" s="25" t="n"/>
      <c r="I4661" s="25" t="n"/>
      <c r="U4661" s="19">
        <f>IF(AND($V4661='設定'!$C$4,COUNTIF('商品マスタ'!$B$6:$B$1005,$W4661)=0),N(U4660)+1,N(U4660))</f>
        <v/>
      </c>
      <c r="V4661" s="19">
        <f>IF($B4661="","",TEXT($B4661,"0000"))</f>
        <v/>
      </c>
      <c r="W4661" s="19">
        <f>IF($I4661="","",IF(ISNUMBER($I4661),TEXT($I4661,"0"),$I4661))</f>
        <v/>
      </c>
    </row>
    <row r="4662">
      <c r="B4662" s="25" t="n"/>
      <c r="I4662" s="25" t="n"/>
      <c r="U4662" s="19">
        <f>IF(AND($V4662='設定'!$C$4,COUNTIF('商品マスタ'!$B$6:$B$1005,$W4662)=0),N(U4661)+1,N(U4661))</f>
        <v/>
      </c>
      <c r="V4662" s="19">
        <f>IF($B4662="","",TEXT($B4662,"0000"))</f>
        <v/>
      </c>
      <c r="W4662" s="19">
        <f>IF($I4662="","",IF(ISNUMBER($I4662),TEXT($I4662,"0"),$I4662))</f>
        <v/>
      </c>
    </row>
    <row r="4663">
      <c r="B4663" s="25" t="n"/>
      <c r="I4663" s="25" t="n"/>
      <c r="U4663" s="19">
        <f>IF(AND($V4663='設定'!$C$4,COUNTIF('商品マスタ'!$B$6:$B$1005,$W4663)=0),N(U4662)+1,N(U4662))</f>
        <v/>
      </c>
      <c r="V4663" s="19">
        <f>IF($B4663="","",TEXT($B4663,"0000"))</f>
        <v/>
      </c>
      <c r="W4663" s="19">
        <f>IF($I4663="","",IF(ISNUMBER($I4663),TEXT($I4663,"0"),$I4663))</f>
        <v/>
      </c>
    </row>
    <row r="4664">
      <c r="B4664" s="25" t="n"/>
      <c r="I4664" s="25" t="n"/>
      <c r="U4664" s="19">
        <f>IF(AND($V4664='設定'!$C$4,COUNTIF('商品マスタ'!$B$6:$B$1005,$W4664)=0),N(U4663)+1,N(U4663))</f>
        <v/>
      </c>
      <c r="V4664" s="19">
        <f>IF($B4664="","",TEXT($B4664,"0000"))</f>
        <v/>
      </c>
      <c r="W4664" s="19">
        <f>IF($I4664="","",IF(ISNUMBER($I4664),TEXT($I4664,"0"),$I4664))</f>
        <v/>
      </c>
    </row>
    <row r="4665">
      <c r="B4665" s="25" t="n"/>
      <c r="I4665" s="25" t="n"/>
      <c r="U4665" s="19">
        <f>IF(AND($V4665='設定'!$C$4,COUNTIF('商品マスタ'!$B$6:$B$1005,$W4665)=0),N(U4664)+1,N(U4664))</f>
        <v/>
      </c>
      <c r="V4665" s="19">
        <f>IF($B4665="","",TEXT($B4665,"0000"))</f>
        <v/>
      </c>
      <c r="W4665" s="19">
        <f>IF($I4665="","",IF(ISNUMBER($I4665),TEXT($I4665,"0"),$I4665))</f>
        <v/>
      </c>
    </row>
    <row r="4666">
      <c r="B4666" s="25" t="n"/>
      <c r="I4666" s="25" t="n"/>
      <c r="U4666" s="19">
        <f>IF(AND($V4666='設定'!$C$4,COUNTIF('商品マスタ'!$B$6:$B$1005,$W4666)=0),N(U4665)+1,N(U4665))</f>
        <v/>
      </c>
      <c r="V4666" s="19">
        <f>IF($B4666="","",TEXT($B4666,"0000"))</f>
        <v/>
      </c>
      <c r="W4666" s="19">
        <f>IF($I4666="","",IF(ISNUMBER($I4666),TEXT($I4666,"0"),$I4666))</f>
        <v/>
      </c>
    </row>
    <row r="4667">
      <c r="B4667" s="25" t="n"/>
      <c r="I4667" s="25" t="n"/>
      <c r="U4667" s="19">
        <f>IF(AND($V4667='設定'!$C$4,COUNTIF('商品マスタ'!$B$6:$B$1005,$W4667)=0),N(U4666)+1,N(U4666))</f>
        <v/>
      </c>
      <c r="V4667" s="19">
        <f>IF($B4667="","",TEXT($B4667,"0000"))</f>
        <v/>
      </c>
      <c r="W4667" s="19">
        <f>IF($I4667="","",IF(ISNUMBER($I4667),TEXT($I4667,"0"),$I4667))</f>
        <v/>
      </c>
    </row>
    <row r="4668">
      <c r="B4668" s="25" t="n"/>
      <c r="I4668" s="25" t="n"/>
      <c r="U4668" s="19">
        <f>IF(AND($V4668='設定'!$C$4,COUNTIF('商品マスタ'!$B$6:$B$1005,$W4668)=0),N(U4667)+1,N(U4667))</f>
        <v/>
      </c>
      <c r="V4668" s="19">
        <f>IF($B4668="","",TEXT($B4668,"0000"))</f>
        <v/>
      </c>
      <c r="W4668" s="19">
        <f>IF($I4668="","",IF(ISNUMBER($I4668),TEXT($I4668,"0"),$I4668))</f>
        <v/>
      </c>
    </row>
    <row r="4669">
      <c r="B4669" s="25" t="n"/>
      <c r="I4669" s="25" t="n"/>
      <c r="U4669" s="19">
        <f>IF(AND($V4669='設定'!$C$4,COUNTIF('商品マスタ'!$B$6:$B$1005,$W4669)=0),N(U4668)+1,N(U4668))</f>
        <v/>
      </c>
      <c r="V4669" s="19">
        <f>IF($B4669="","",TEXT($B4669,"0000"))</f>
        <v/>
      </c>
      <c r="W4669" s="19">
        <f>IF($I4669="","",IF(ISNUMBER($I4669),TEXT($I4669,"0"),$I4669))</f>
        <v/>
      </c>
    </row>
    <row r="4670">
      <c r="B4670" s="25" t="n"/>
      <c r="I4670" s="25" t="n"/>
      <c r="U4670" s="19">
        <f>IF(AND($V4670='設定'!$C$4,COUNTIF('商品マスタ'!$B$6:$B$1005,$W4670)=0),N(U4669)+1,N(U4669))</f>
        <v/>
      </c>
      <c r="V4670" s="19">
        <f>IF($B4670="","",TEXT($B4670,"0000"))</f>
        <v/>
      </c>
      <c r="W4670" s="19">
        <f>IF($I4670="","",IF(ISNUMBER($I4670),TEXT($I4670,"0"),$I4670))</f>
        <v/>
      </c>
    </row>
    <row r="4671">
      <c r="B4671" s="25" t="n"/>
      <c r="I4671" s="25" t="n"/>
      <c r="U4671" s="19">
        <f>IF(AND($V4671='設定'!$C$4,COUNTIF('商品マスタ'!$B$6:$B$1005,$W4671)=0),N(U4670)+1,N(U4670))</f>
        <v/>
      </c>
      <c r="V4671" s="19">
        <f>IF($B4671="","",TEXT($B4671,"0000"))</f>
        <v/>
      </c>
      <c r="W4671" s="19">
        <f>IF($I4671="","",IF(ISNUMBER($I4671),TEXT($I4671,"0"),$I4671))</f>
        <v/>
      </c>
    </row>
    <row r="4672">
      <c r="B4672" s="25" t="n"/>
      <c r="I4672" s="25" t="n"/>
      <c r="U4672" s="19">
        <f>IF(AND($V4672='設定'!$C$4,COUNTIF('商品マスタ'!$B$6:$B$1005,$W4672)=0),N(U4671)+1,N(U4671))</f>
        <v/>
      </c>
      <c r="V4672" s="19">
        <f>IF($B4672="","",TEXT($B4672,"0000"))</f>
        <v/>
      </c>
      <c r="W4672" s="19">
        <f>IF($I4672="","",IF(ISNUMBER($I4672),TEXT($I4672,"0"),$I4672))</f>
        <v/>
      </c>
    </row>
    <row r="4673">
      <c r="B4673" s="25" t="n"/>
      <c r="I4673" s="25" t="n"/>
      <c r="U4673" s="19">
        <f>IF(AND($V4673='設定'!$C$4,COUNTIF('商品マスタ'!$B$6:$B$1005,$W4673)=0),N(U4672)+1,N(U4672))</f>
        <v/>
      </c>
      <c r="V4673" s="19">
        <f>IF($B4673="","",TEXT($B4673,"0000"))</f>
        <v/>
      </c>
      <c r="W4673" s="19">
        <f>IF($I4673="","",IF(ISNUMBER($I4673),TEXT($I4673,"0"),$I4673))</f>
        <v/>
      </c>
    </row>
    <row r="4674">
      <c r="B4674" s="25" t="n"/>
      <c r="I4674" s="25" t="n"/>
      <c r="U4674" s="19">
        <f>IF(AND($V4674='設定'!$C$4,COUNTIF('商品マスタ'!$B$6:$B$1005,$W4674)=0),N(U4673)+1,N(U4673))</f>
        <v/>
      </c>
      <c r="V4674" s="19">
        <f>IF($B4674="","",TEXT($B4674,"0000"))</f>
        <v/>
      </c>
      <c r="W4674" s="19">
        <f>IF($I4674="","",IF(ISNUMBER($I4674),TEXT($I4674,"0"),$I4674))</f>
        <v/>
      </c>
    </row>
    <row r="4675">
      <c r="B4675" s="25" t="n"/>
      <c r="I4675" s="25" t="n"/>
      <c r="U4675" s="19">
        <f>IF(AND($V4675='設定'!$C$4,COUNTIF('商品マスタ'!$B$6:$B$1005,$W4675)=0),N(U4674)+1,N(U4674))</f>
        <v/>
      </c>
      <c r="V4675" s="19">
        <f>IF($B4675="","",TEXT($B4675,"0000"))</f>
        <v/>
      </c>
      <c r="W4675" s="19">
        <f>IF($I4675="","",IF(ISNUMBER($I4675),TEXT($I4675,"0"),$I4675))</f>
        <v/>
      </c>
    </row>
    <row r="4676">
      <c r="B4676" s="25" t="n"/>
      <c r="I4676" s="25" t="n"/>
      <c r="U4676" s="19">
        <f>IF(AND($V4676='設定'!$C$4,COUNTIF('商品マスタ'!$B$6:$B$1005,$W4676)=0),N(U4675)+1,N(U4675))</f>
        <v/>
      </c>
      <c r="V4676" s="19">
        <f>IF($B4676="","",TEXT($B4676,"0000"))</f>
        <v/>
      </c>
      <c r="W4676" s="19">
        <f>IF($I4676="","",IF(ISNUMBER($I4676),TEXT($I4676,"0"),$I4676))</f>
        <v/>
      </c>
    </row>
    <row r="4677">
      <c r="B4677" s="25" t="n"/>
      <c r="I4677" s="25" t="n"/>
      <c r="U4677" s="19">
        <f>IF(AND($V4677='設定'!$C$4,COUNTIF('商品マスタ'!$B$6:$B$1005,$W4677)=0),N(U4676)+1,N(U4676))</f>
        <v/>
      </c>
      <c r="V4677" s="19">
        <f>IF($B4677="","",TEXT($B4677,"0000"))</f>
        <v/>
      </c>
      <c r="W4677" s="19">
        <f>IF($I4677="","",IF(ISNUMBER($I4677),TEXT($I4677,"0"),$I4677))</f>
        <v/>
      </c>
    </row>
    <row r="4678">
      <c r="B4678" s="25" t="n"/>
      <c r="I4678" s="25" t="n"/>
      <c r="U4678" s="19">
        <f>IF(AND($V4678='設定'!$C$4,COUNTIF('商品マスタ'!$B$6:$B$1005,$W4678)=0),N(U4677)+1,N(U4677))</f>
        <v/>
      </c>
      <c r="V4678" s="19">
        <f>IF($B4678="","",TEXT($B4678,"0000"))</f>
        <v/>
      </c>
      <c r="W4678" s="19">
        <f>IF($I4678="","",IF(ISNUMBER($I4678),TEXT($I4678,"0"),$I4678))</f>
        <v/>
      </c>
    </row>
    <row r="4679">
      <c r="B4679" s="25" t="n"/>
      <c r="I4679" s="25" t="n"/>
      <c r="U4679" s="19">
        <f>IF(AND($V4679='設定'!$C$4,COUNTIF('商品マスタ'!$B$6:$B$1005,$W4679)=0),N(U4678)+1,N(U4678))</f>
        <v/>
      </c>
      <c r="V4679" s="19">
        <f>IF($B4679="","",TEXT($B4679,"0000"))</f>
        <v/>
      </c>
      <c r="W4679" s="19">
        <f>IF($I4679="","",IF(ISNUMBER($I4679),TEXT($I4679,"0"),$I4679))</f>
        <v/>
      </c>
    </row>
    <row r="4680">
      <c r="B4680" s="25" t="n"/>
      <c r="I4680" s="25" t="n"/>
      <c r="U4680" s="19">
        <f>IF(AND($V4680='設定'!$C$4,COUNTIF('商品マスタ'!$B$6:$B$1005,$W4680)=0),N(U4679)+1,N(U4679))</f>
        <v/>
      </c>
      <c r="V4680" s="19">
        <f>IF($B4680="","",TEXT($B4680,"0000"))</f>
        <v/>
      </c>
      <c r="W4680" s="19">
        <f>IF($I4680="","",IF(ISNUMBER($I4680),TEXT($I4680,"0"),$I4680))</f>
        <v/>
      </c>
    </row>
    <row r="4681">
      <c r="B4681" s="25" t="n"/>
      <c r="I4681" s="25" t="n"/>
      <c r="U4681" s="19">
        <f>IF(AND($V4681='設定'!$C$4,COUNTIF('商品マスタ'!$B$6:$B$1005,$W4681)=0),N(U4680)+1,N(U4680))</f>
        <v/>
      </c>
      <c r="V4681" s="19">
        <f>IF($B4681="","",TEXT($B4681,"0000"))</f>
        <v/>
      </c>
      <c r="W4681" s="19">
        <f>IF($I4681="","",IF(ISNUMBER($I4681),TEXT($I4681,"0"),$I4681))</f>
        <v/>
      </c>
    </row>
    <row r="4682">
      <c r="B4682" s="25" t="n"/>
      <c r="I4682" s="25" t="n"/>
      <c r="U4682" s="19">
        <f>IF(AND($V4682='設定'!$C$4,COUNTIF('商品マスタ'!$B$6:$B$1005,$W4682)=0),N(U4681)+1,N(U4681))</f>
        <v/>
      </c>
      <c r="V4682" s="19">
        <f>IF($B4682="","",TEXT($B4682,"0000"))</f>
        <v/>
      </c>
      <c r="W4682" s="19">
        <f>IF($I4682="","",IF(ISNUMBER($I4682),TEXT($I4682,"0"),$I4682))</f>
        <v/>
      </c>
    </row>
    <row r="4683">
      <c r="B4683" s="25" t="n"/>
      <c r="I4683" s="25" t="n"/>
      <c r="U4683" s="19">
        <f>IF(AND($V4683='設定'!$C$4,COUNTIF('商品マスタ'!$B$6:$B$1005,$W4683)=0),N(U4682)+1,N(U4682))</f>
        <v/>
      </c>
      <c r="V4683" s="19">
        <f>IF($B4683="","",TEXT($B4683,"0000"))</f>
        <v/>
      </c>
      <c r="W4683" s="19">
        <f>IF($I4683="","",IF(ISNUMBER($I4683),TEXT($I4683,"0"),$I4683))</f>
        <v/>
      </c>
    </row>
    <row r="4684">
      <c r="B4684" s="25" t="n"/>
      <c r="I4684" s="25" t="n"/>
      <c r="U4684" s="19">
        <f>IF(AND($V4684='設定'!$C$4,COUNTIF('商品マスタ'!$B$6:$B$1005,$W4684)=0),N(U4683)+1,N(U4683))</f>
        <v/>
      </c>
      <c r="V4684" s="19">
        <f>IF($B4684="","",TEXT($B4684,"0000"))</f>
        <v/>
      </c>
      <c r="W4684" s="19">
        <f>IF($I4684="","",IF(ISNUMBER($I4684),TEXT($I4684,"0"),$I4684))</f>
        <v/>
      </c>
    </row>
    <row r="4685">
      <c r="B4685" s="25" t="n"/>
      <c r="I4685" s="25" t="n"/>
      <c r="U4685" s="19">
        <f>IF(AND($V4685='設定'!$C$4,COUNTIF('商品マスタ'!$B$6:$B$1005,$W4685)=0),N(U4684)+1,N(U4684))</f>
        <v/>
      </c>
      <c r="V4685" s="19">
        <f>IF($B4685="","",TEXT($B4685,"0000"))</f>
        <v/>
      </c>
      <c r="W4685" s="19">
        <f>IF($I4685="","",IF(ISNUMBER($I4685),TEXT($I4685,"0"),$I4685))</f>
        <v/>
      </c>
    </row>
    <row r="4686">
      <c r="B4686" s="25" t="n"/>
      <c r="I4686" s="25" t="n"/>
      <c r="U4686" s="19">
        <f>IF(AND($V4686='設定'!$C$4,COUNTIF('商品マスタ'!$B$6:$B$1005,$W4686)=0),N(U4685)+1,N(U4685))</f>
        <v/>
      </c>
      <c r="V4686" s="19">
        <f>IF($B4686="","",TEXT($B4686,"0000"))</f>
        <v/>
      </c>
      <c r="W4686" s="19">
        <f>IF($I4686="","",IF(ISNUMBER($I4686),TEXT($I4686,"0"),$I4686))</f>
        <v/>
      </c>
    </row>
    <row r="4687">
      <c r="B4687" s="25" t="n"/>
      <c r="I4687" s="25" t="n"/>
      <c r="U4687" s="19">
        <f>IF(AND($V4687='設定'!$C$4,COUNTIF('商品マスタ'!$B$6:$B$1005,$W4687)=0),N(U4686)+1,N(U4686))</f>
        <v/>
      </c>
      <c r="V4687" s="19">
        <f>IF($B4687="","",TEXT($B4687,"0000"))</f>
        <v/>
      </c>
      <c r="W4687" s="19">
        <f>IF($I4687="","",IF(ISNUMBER($I4687),TEXT($I4687,"0"),$I4687))</f>
        <v/>
      </c>
    </row>
    <row r="4688">
      <c r="B4688" s="25" t="n"/>
      <c r="I4688" s="25" t="n"/>
      <c r="U4688" s="19">
        <f>IF(AND($V4688='設定'!$C$4,COUNTIF('商品マスタ'!$B$6:$B$1005,$W4688)=0),N(U4687)+1,N(U4687))</f>
        <v/>
      </c>
      <c r="V4688" s="19">
        <f>IF($B4688="","",TEXT($B4688,"0000"))</f>
        <v/>
      </c>
      <c r="W4688" s="19">
        <f>IF($I4688="","",IF(ISNUMBER($I4688),TEXT($I4688,"0"),$I4688))</f>
        <v/>
      </c>
    </row>
    <row r="4689">
      <c r="B4689" s="25" t="n"/>
      <c r="I4689" s="25" t="n"/>
      <c r="U4689" s="19">
        <f>IF(AND($V4689='設定'!$C$4,COUNTIF('商品マスタ'!$B$6:$B$1005,$W4689)=0),N(U4688)+1,N(U4688))</f>
        <v/>
      </c>
      <c r="V4689" s="19">
        <f>IF($B4689="","",TEXT($B4689,"0000"))</f>
        <v/>
      </c>
      <c r="W4689" s="19">
        <f>IF($I4689="","",IF(ISNUMBER($I4689),TEXT($I4689,"0"),$I4689))</f>
        <v/>
      </c>
    </row>
    <row r="4690">
      <c r="B4690" s="25" t="n"/>
      <c r="I4690" s="25" t="n"/>
      <c r="U4690" s="19">
        <f>IF(AND($V4690='設定'!$C$4,COUNTIF('商品マスタ'!$B$6:$B$1005,$W4690)=0),N(U4689)+1,N(U4689))</f>
        <v/>
      </c>
      <c r="V4690" s="19">
        <f>IF($B4690="","",TEXT($B4690,"0000"))</f>
        <v/>
      </c>
      <c r="W4690" s="19">
        <f>IF($I4690="","",IF(ISNUMBER($I4690),TEXT($I4690,"0"),$I4690))</f>
        <v/>
      </c>
    </row>
    <row r="4691">
      <c r="B4691" s="25" t="n"/>
      <c r="I4691" s="25" t="n"/>
      <c r="U4691" s="19">
        <f>IF(AND($V4691='設定'!$C$4,COUNTIF('商品マスタ'!$B$6:$B$1005,$W4691)=0),N(U4690)+1,N(U4690))</f>
        <v/>
      </c>
      <c r="V4691" s="19">
        <f>IF($B4691="","",TEXT($B4691,"0000"))</f>
        <v/>
      </c>
      <c r="W4691" s="19">
        <f>IF($I4691="","",IF(ISNUMBER($I4691),TEXT($I4691,"0"),$I4691))</f>
        <v/>
      </c>
    </row>
    <row r="4692">
      <c r="B4692" s="25" t="n"/>
      <c r="I4692" s="25" t="n"/>
      <c r="U4692" s="19">
        <f>IF(AND($V4692='設定'!$C$4,COUNTIF('商品マスタ'!$B$6:$B$1005,$W4692)=0),N(U4691)+1,N(U4691))</f>
        <v/>
      </c>
      <c r="V4692" s="19">
        <f>IF($B4692="","",TEXT($B4692,"0000"))</f>
        <v/>
      </c>
      <c r="W4692" s="19">
        <f>IF($I4692="","",IF(ISNUMBER($I4692),TEXT($I4692,"0"),$I4692))</f>
        <v/>
      </c>
    </row>
    <row r="4693">
      <c r="B4693" s="25" t="n"/>
      <c r="I4693" s="25" t="n"/>
      <c r="U4693" s="19">
        <f>IF(AND($V4693='設定'!$C$4,COUNTIF('商品マスタ'!$B$6:$B$1005,$W4693)=0),N(U4692)+1,N(U4692))</f>
        <v/>
      </c>
      <c r="V4693" s="19">
        <f>IF($B4693="","",TEXT($B4693,"0000"))</f>
        <v/>
      </c>
      <c r="W4693" s="19">
        <f>IF($I4693="","",IF(ISNUMBER($I4693),TEXT($I4693,"0"),$I4693))</f>
        <v/>
      </c>
    </row>
    <row r="4694">
      <c r="B4694" s="25" t="n"/>
      <c r="I4694" s="25" t="n"/>
      <c r="U4694" s="19">
        <f>IF(AND($V4694='設定'!$C$4,COUNTIF('商品マスタ'!$B$6:$B$1005,$W4694)=0),N(U4693)+1,N(U4693))</f>
        <v/>
      </c>
      <c r="V4694" s="19">
        <f>IF($B4694="","",TEXT($B4694,"0000"))</f>
        <v/>
      </c>
      <c r="W4694" s="19">
        <f>IF($I4694="","",IF(ISNUMBER($I4694),TEXT($I4694,"0"),$I4694))</f>
        <v/>
      </c>
    </row>
    <row r="4695">
      <c r="B4695" s="25" t="n"/>
      <c r="I4695" s="25" t="n"/>
      <c r="U4695" s="19">
        <f>IF(AND($V4695='設定'!$C$4,COUNTIF('商品マスタ'!$B$6:$B$1005,$W4695)=0),N(U4694)+1,N(U4694))</f>
        <v/>
      </c>
      <c r="V4695" s="19">
        <f>IF($B4695="","",TEXT($B4695,"0000"))</f>
        <v/>
      </c>
      <c r="W4695" s="19">
        <f>IF($I4695="","",IF(ISNUMBER($I4695),TEXT($I4695,"0"),$I4695))</f>
        <v/>
      </c>
    </row>
    <row r="4696">
      <c r="B4696" s="25" t="n"/>
      <c r="I4696" s="25" t="n"/>
      <c r="U4696" s="19">
        <f>IF(AND($V4696='設定'!$C$4,COUNTIF('商品マスタ'!$B$6:$B$1005,$W4696)=0),N(U4695)+1,N(U4695))</f>
        <v/>
      </c>
      <c r="V4696" s="19">
        <f>IF($B4696="","",TEXT($B4696,"0000"))</f>
        <v/>
      </c>
      <c r="W4696" s="19">
        <f>IF($I4696="","",IF(ISNUMBER($I4696),TEXT($I4696,"0"),$I4696))</f>
        <v/>
      </c>
    </row>
    <row r="4697">
      <c r="B4697" s="25" t="n"/>
      <c r="I4697" s="25" t="n"/>
      <c r="U4697" s="19">
        <f>IF(AND($V4697='設定'!$C$4,COUNTIF('商品マスタ'!$B$6:$B$1005,$W4697)=0),N(U4696)+1,N(U4696))</f>
        <v/>
      </c>
      <c r="V4697" s="19">
        <f>IF($B4697="","",TEXT($B4697,"0000"))</f>
        <v/>
      </c>
      <c r="W4697" s="19">
        <f>IF($I4697="","",IF(ISNUMBER($I4697),TEXT($I4697,"0"),$I4697))</f>
        <v/>
      </c>
    </row>
    <row r="4698">
      <c r="B4698" s="25" t="n"/>
      <c r="I4698" s="25" t="n"/>
      <c r="U4698" s="19">
        <f>IF(AND($V4698='設定'!$C$4,COUNTIF('商品マスタ'!$B$6:$B$1005,$W4698)=0),N(U4697)+1,N(U4697))</f>
        <v/>
      </c>
      <c r="V4698" s="19">
        <f>IF($B4698="","",TEXT($B4698,"0000"))</f>
        <v/>
      </c>
      <c r="W4698" s="19">
        <f>IF($I4698="","",IF(ISNUMBER($I4698),TEXT($I4698,"0"),$I4698))</f>
        <v/>
      </c>
    </row>
    <row r="4699">
      <c r="B4699" s="25" t="n"/>
      <c r="I4699" s="25" t="n"/>
      <c r="U4699" s="19">
        <f>IF(AND($V4699='設定'!$C$4,COUNTIF('商品マスタ'!$B$6:$B$1005,$W4699)=0),N(U4698)+1,N(U4698))</f>
        <v/>
      </c>
      <c r="V4699" s="19">
        <f>IF($B4699="","",TEXT($B4699,"0000"))</f>
        <v/>
      </c>
      <c r="W4699" s="19">
        <f>IF($I4699="","",IF(ISNUMBER($I4699),TEXT($I4699,"0"),$I4699))</f>
        <v/>
      </c>
    </row>
    <row r="4700">
      <c r="B4700" s="25" t="n"/>
      <c r="I4700" s="25" t="n"/>
      <c r="U4700" s="19">
        <f>IF(AND($V4700='設定'!$C$4,COUNTIF('商品マスタ'!$B$6:$B$1005,$W4700)=0),N(U4699)+1,N(U4699))</f>
        <v/>
      </c>
      <c r="V4700" s="19">
        <f>IF($B4700="","",TEXT($B4700,"0000"))</f>
        <v/>
      </c>
      <c r="W4700" s="19">
        <f>IF($I4700="","",IF(ISNUMBER($I4700),TEXT($I4700,"0"),$I4700))</f>
        <v/>
      </c>
    </row>
    <row r="4701">
      <c r="B4701" s="25" t="n"/>
      <c r="I4701" s="25" t="n"/>
      <c r="U4701" s="19">
        <f>IF(AND($V4701='設定'!$C$4,COUNTIF('商品マスタ'!$B$6:$B$1005,$W4701)=0),N(U4700)+1,N(U4700))</f>
        <v/>
      </c>
      <c r="V4701" s="19">
        <f>IF($B4701="","",TEXT($B4701,"0000"))</f>
        <v/>
      </c>
      <c r="W4701" s="19">
        <f>IF($I4701="","",IF(ISNUMBER($I4701),TEXT($I4701,"0"),$I4701))</f>
        <v/>
      </c>
    </row>
    <row r="4702">
      <c r="B4702" s="25" t="n"/>
      <c r="I4702" s="25" t="n"/>
      <c r="U4702" s="19">
        <f>IF(AND($V4702='設定'!$C$4,COUNTIF('商品マスタ'!$B$6:$B$1005,$W4702)=0),N(U4701)+1,N(U4701))</f>
        <v/>
      </c>
      <c r="V4702" s="19">
        <f>IF($B4702="","",TEXT($B4702,"0000"))</f>
        <v/>
      </c>
      <c r="W4702" s="19">
        <f>IF($I4702="","",IF(ISNUMBER($I4702),TEXT($I4702,"0"),$I4702))</f>
        <v/>
      </c>
    </row>
    <row r="4703">
      <c r="B4703" s="25" t="n"/>
      <c r="I4703" s="25" t="n"/>
      <c r="U4703" s="19">
        <f>IF(AND($V4703='設定'!$C$4,COUNTIF('商品マスタ'!$B$6:$B$1005,$W4703)=0),N(U4702)+1,N(U4702))</f>
        <v/>
      </c>
      <c r="V4703" s="19">
        <f>IF($B4703="","",TEXT($B4703,"0000"))</f>
        <v/>
      </c>
      <c r="W4703" s="19">
        <f>IF($I4703="","",IF(ISNUMBER($I4703),TEXT($I4703,"0"),$I4703))</f>
        <v/>
      </c>
    </row>
    <row r="4704">
      <c r="B4704" s="25" t="n"/>
      <c r="I4704" s="25" t="n"/>
      <c r="U4704" s="19">
        <f>IF(AND($V4704='設定'!$C$4,COUNTIF('商品マスタ'!$B$6:$B$1005,$W4704)=0),N(U4703)+1,N(U4703))</f>
        <v/>
      </c>
      <c r="V4704" s="19">
        <f>IF($B4704="","",TEXT($B4704,"0000"))</f>
        <v/>
      </c>
      <c r="W4704" s="19">
        <f>IF($I4704="","",IF(ISNUMBER($I4704),TEXT($I4704,"0"),$I4704))</f>
        <v/>
      </c>
    </row>
    <row r="4705">
      <c r="B4705" s="25" t="n"/>
      <c r="I4705" s="25" t="n"/>
      <c r="U4705" s="19">
        <f>IF(AND($V4705='設定'!$C$4,COUNTIF('商品マスタ'!$B$6:$B$1005,$W4705)=0),N(U4704)+1,N(U4704))</f>
        <v/>
      </c>
      <c r="V4705" s="19">
        <f>IF($B4705="","",TEXT($B4705,"0000"))</f>
        <v/>
      </c>
      <c r="W4705" s="19">
        <f>IF($I4705="","",IF(ISNUMBER($I4705),TEXT($I4705,"0"),$I4705))</f>
        <v/>
      </c>
    </row>
    <row r="4706">
      <c r="B4706" s="25" t="n"/>
      <c r="I4706" s="25" t="n"/>
      <c r="U4706" s="19">
        <f>IF(AND($V4706='設定'!$C$4,COUNTIF('商品マスタ'!$B$6:$B$1005,$W4706)=0),N(U4705)+1,N(U4705))</f>
        <v/>
      </c>
      <c r="V4706" s="19">
        <f>IF($B4706="","",TEXT($B4706,"0000"))</f>
        <v/>
      </c>
      <c r="W4706" s="19">
        <f>IF($I4706="","",IF(ISNUMBER($I4706),TEXT($I4706,"0"),$I4706))</f>
        <v/>
      </c>
    </row>
    <row r="4707">
      <c r="B4707" s="25" t="n"/>
      <c r="I4707" s="25" t="n"/>
      <c r="U4707" s="19">
        <f>IF(AND($V4707='設定'!$C$4,COUNTIF('商品マスタ'!$B$6:$B$1005,$W4707)=0),N(U4706)+1,N(U4706))</f>
        <v/>
      </c>
      <c r="V4707" s="19">
        <f>IF($B4707="","",TEXT($B4707,"0000"))</f>
        <v/>
      </c>
      <c r="W4707" s="19">
        <f>IF($I4707="","",IF(ISNUMBER($I4707),TEXT($I4707,"0"),$I4707))</f>
        <v/>
      </c>
    </row>
    <row r="4708">
      <c r="B4708" s="25" t="n"/>
      <c r="I4708" s="25" t="n"/>
      <c r="U4708" s="19">
        <f>IF(AND($V4708='設定'!$C$4,COUNTIF('商品マスタ'!$B$6:$B$1005,$W4708)=0),N(U4707)+1,N(U4707))</f>
        <v/>
      </c>
      <c r="V4708" s="19">
        <f>IF($B4708="","",TEXT($B4708,"0000"))</f>
        <v/>
      </c>
      <c r="W4708" s="19">
        <f>IF($I4708="","",IF(ISNUMBER($I4708),TEXT($I4708,"0"),$I4708))</f>
        <v/>
      </c>
    </row>
    <row r="4709">
      <c r="B4709" s="25" t="n"/>
      <c r="I4709" s="25" t="n"/>
      <c r="U4709" s="19">
        <f>IF(AND($V4709='設定'!$C$4,COUNTIF('商品マスタ'!$B$6:$B$1005,$W4709)=0),N(U4708)+1,N(U4708))</f>
        <v/>
      </c>
      <c r="V4709" s="19">
        <f>IF($B4709="","",TEXT($B4709,"0000"))</f>
        <v/>
      </c>
      <c r="W4709" s="19">
        <f>IF($I4709="","",IF(ISNUMBER($I4709),TEXT($I4709,"0"),$I4709))</f>
        <v/>
      </c>
    </row>
    <row r="4710">
      <c r="B4710" s="25" t="n"/>
      <c r="I4710" s="25" t="n"/>
      <c r="U4710" s="19">
        <f>IF(AND($V4710='設定'!$C$4,COUNTIF('商品マスタ'!$B$6:$B$1005,$W4710)=0),N(U4709)+1,N(U4709))</f>
        <v/>
      </c>
      <c r="V4710" s="19">
        <f>IF($B4710="","",TEXT($B4710,"0000"))</f>
        <v/>
      </c>
      <c r="W4710" s="19">
        <f>IF($I4710="","",IF(ISNUMBER($I4710),TEXT($I4710,"0"),$I4710))</f>
        <v/>
      </c>
    </row>
    <row r="4711">
      <c r="B4711" s="25" t="n"/>
      <c r="I4711" s="25" t="n"/>
      <c r="U4711" s="19">
        <f>IF(AND($V4711='設定'!$C$4,COUNTIF('商品マスタ'!$B$6:$B$1005,$W4711)=0),N(U4710)+1,N(U4710))</f>
        <v/>
      </c>
      <c r="V4711" s="19">
        <f>IF($B4711="","",TEXT($B4711,"0000"))</f>
        <v/>
      </c>
      <c r="W4711" s="19">
        <f>IF($I4711="","",IF(ISNUMBER($I4711),TEXT($I4711,"0"),$I4711))</f>
        <v/>
      </c>
    </row>
    <row r="4712">
      <c r="B4712" s="25" t="n"/>
      <c r="I4712" s="25" t="n"/>
      <c r="U4712" s="19">
        <f>IF(AND($V4712='設定'!$C$4,COUNTIF('商品マスタ'!$B$6:$B$1005,$W4712)=0),N(U4711)+1,N(U4711))</f>
        <v/>
      </c>
      <c r="V4712" s="19">
        <f>IF($B4712="","",TEXT($B4712,"0000"))</f>
        <v/>
      </c>
      <c r="W4712" s="19">
        <f>IF($I4712="","",IF(ISNUMBER($I4712),TEXT($I4712,"0"),$I4712))</f>
        <v/>
      </c>
    </row>
    <row r="4713">
      <c r="B4713" s="25" t="n"/>
      <c r="I4713" s="25" t="n"/>
      <c r="U4713" s="19">
        <f>IF(AND($V4713='設定'!$C$4,COUNTIF('商品マスタ'!$B$6:$B$1005,$W4713)=0),N(U4712)+1,N(U4712))</f>
        <v/>
      </c>
      <c r="V4713" s="19">
        <f>IF($B4713="","",TEXT($B4713,"0000"))</f>
        <v/>
      </c>
      <c r="W4713" s="19">
        <f>IF($I4713="","",IF(ISNUMBER($I4713),TEXT($I4713,"0"),$I4713))</f>
        <v/>
      </c>
    </row>
    <row r="4714">
      <c r="B4714" s="25" t="n"/>
      <c r="I4714" s="25" t="n"/>
      <c r="U4714" s="19">
        <f>IF(AND($V4714='設定'!$C$4,COUNTIF('商品マスタ'!$B$6:$B$1005,$W4714)=0),N(U4713)+1,N(U4713))</f>
        <v/>
      </c>
      <c r="V4714" s="19">
        <f>IF($B4714="","",TEXT($B4714,"0000"))</f>
        <v/>
      </c>
      <c r="W4714" s="19">
        <f>IF($I4714="","",IF(ISNUMBER($I4714),TEXT($I4714,"0"),$I4714))</f>
        <v/>
      </c>
    </row>
    <row r="4715">
      <c r="B4715" s="25" t="n"/>
      <c r="I4715" s="25" t="n"/>
      <c r="U4715" s="19">
        <f>IF(AND($V4715='設定'!$C$4,COUNTIF('商品マスタ'!$B$6:$B$1005,$W4715)=0),N(U4714)+1,N(U4714))</f>
        <v/>
      </c>
      <c r="V4715" s="19">
        <f>IF($B4715="","",TEXT($B4715,"0000"))</f>
        <v/>
      </c>
      <c r="W4715" s="19">
        <f>IF($I4715="","",IF(ISNUMBER($I4715),TEXT($I4715,"0"),$I4715))</f>
        <v/>
      </c>
    </row>
    <row r="4716">
      <c r="B4716" s="25" t="n"/>
      <c r="I4716" s="25" t="n"/>
      <c r="U4716" s="19">
        <f>IF(AND($V4716='設定'!$C$4,COUNTIF('商品マスタ'!$B$6:$B$1005,$W4716)=0),N(U4715)+1,N(U4715))</f>
        <v/>
      </c>
      <c r="V4716" s="19">
        <f>IF($B4716="","",TEXT($B4716,"0000"))</f>
        <v/>
      </c>
      <c r="W4716" s="19">
        <f>IF($I4716="","",IF(ISNUMBER($I4716),TEXT($I4716,"0"),$I4716))</f>
        <v/>
      </c>
    </row>
    <row r="4717">
      <c r="B4717" s="25" t="n"/>
      <c r="I4717" s="25" t="n"/>
      <c r="U4717" s="19">
        <f>IF(AND($V4717='設定'!$C$4,COUNTIF('商品マスタ'!$B$6:$B$1005,$W4717)=0),N(U4716)+1,N(U4716))</f>
        <v/>
      </c>
      <c r="V4717" s="19">
        <f>IF($B4717="","",TEXT($B4717,"0000"))</f>
        <v/>
      </c>
      <c r="W4717" s="19">
        <f>IF($I4717="","",IF(ISNUMBER($I4717),TEXT($I4717,"0"),$I4717))</f>
        <v/>
      </c>
    </row>
    <row r="4718">
      <c r="B4718" s="25" t="n"/>
      <c r="I4718" s="25" t="n"/>
      <c r="U4718" s="19">
        <f>IF(AND($V4718='設定'!$C$4,COUNTIF('商品マスタ'!$B$6:$B$1005,$W4718)=0),N(U4717)+1,N(U4717))</f>
        <v/>
      </c>
      <c r="V4718" s="19">
        <f>IF($B4718="","",TEXT($B4718,"0000"))</f>
        <v/>
      </c>
      <c r="W4718" s="19">
        <f>IF($I4718="","",IF(ISNUMBER($I4718),TEXT($I4718,"0"),$I4718))</f>
        <v/>
      </c>
    </row>
    <row r="4719">
      <c r="B4719" s="25" t="n"/>
      <c r="I4719" s="25" t="n"/>
      <c r="U4719" s="19">
        <f>IF(AND($V4719='設定'!$C$4,COUNTIF('商品マスタ'!$B$6:$B$1005,$W4719)=0),N(U4718)+1,N(U4718))</f>
        <v/>
      </c>
      <c r="V4719" s="19">
        <f>IF($B4719="","",TEXT($B4719,"0000"))</f>
        <v/>
      </c>
      <c r="W4719" s="19">
        <f>IF($I4719="","",IF(ISNUMBER($I4719),TEXT($I4719,"0"),$I4719))</f>
        <v/>
      </c>
    </row>
    <row r="4720">
      <c r="B4720" s="25" t="n"/>
      <c r="I4720" s="25" t="n"/>
      <c r="U4720" s="19">
        <f>IF(AND($V4720='設定'!$C$4,COUNTIF('商品マスタ'!$B$6:$B$1005,$W4720)=0),N(U4719)+1,N(U4719))</f>
        <v/>
      </c>
      <c r="V4720" s="19">
        <f>IF($B4720="","",TEXT($B4720,"0000"))</f>
        <v/>
      </c>
      <c r="W4720" s="19">
        <f>IF($I4720="","",IF(ISNUMBER($I4720),TEXT($I4720,"0"),$I4720))</f>
        <v/>
      </c>
    </row>
    <row r="4721">
      <c r="B4721" s="25" t="n"/>
      <c r="I4721" s="25" t="n"/>
      <c r="U4721" s="19">
        <f>IF(AND($V4721='設定'!$C$4,COUNTIF('商品マスタ'!$B$6:$B$1005,$W4721)=0),N(U4720)+1,N(U4720))</f>
        <v/>
      </c>
      <c r="V4721" s="19">
        <f>IF($B4721="","",TEXT($B4721,"0000"))</f>
        <v/>
      </c>
      <c r="W4721" s="19">
        <f>IF($I4721="","",IF(ISNUMBER($I4721),TEXT($I4721,"0"),$I4721))</f>
        <v/>
      </c>
    </row>
    <row r="4722">
      <c r="B4722" s="25" t="n"/>
      <c r="I4722" s="25" t="n"/>
      <c r="U4722" s="19">
        <f>IF(AND($V4722='設定'!$C$4,COUNTIF('商品マスタ'!$B$6:$B$1005,$W4722)=0),N(U4721)+1,N(U4721))</f>
        <v/>
      </c>
      <c r="V4722" s="19">
        <f>IF($B4722="","",TEXT($B4722,"0000"))</f>
        <v/>
      </c>
      <c r="W4722" s="19">
        <f>IF($I4722="","",IF(ISNUMBER($I4722),TEXT($I4722,"0"),$I4722))</f>
        <v/>
      </c>
    </row>
    <row r="4723">
      <c r="B4723" s="25" t="n"/>
      <c r="I4723" s="25" t="n"/>
      <c r="U4723" s="19">
        <f>IF(AND($V4723='設定'!$C$4,COUNTIF('商品マスタ'!$B$6:$B$1005,$W4723)=0),N(U4722)+1,N(U4722))</f>
        <v/>
      </c>
      <c r="V4723" s="19">
        <f>IF($B4723="","",TEXT($B4723,"0000"))</f>
        <v/>
      </c>
      <c r="W4723" s="19">
        <f>IF($I4723="","",IF(ISNUMBER($I4723),TEXT($I4723,"0"),$I4723))</f>
        <v/>
      </c>
    </row>
    <row r="4724">
      <c r="B4724" s="25" t="n"/>
      <c r="I4724" s="25" t="n"/>
      <c r="U4724" s="19">
        <f>IF(AND($V4724='設定'!$C$4,COUNTIF('商品マスタ'!$B$6:$B$1005,$W4724)=0),N(U4723)+1,N(U4723))</f>
        <v/>
      </c>
      <c r="V4724" s="19">
        <f>IF($B4724="","",TEXT($B4724,"0000"))</f>
        <v/>
      </c>
      <c r="W4724" s="19">
        <f>IF($I4724="","",IF(ISNUMBER($I4724),TEXT($I4724,"0"),$I4724))</f>
        <v/>
      </c>
    </row>
    <row r="4725">
      <c r="B4725" s="25" t="n"/>
      <c r="I4725" s="25" t="n"/>
      <c r="U4725" s="19">
        <f>IF(AND($V4725='設定'!$C$4,COUNTIF('商品マスタ'!$B$6:$B$1005,$W4725)=0),N(U4724)+1,N(U4724))</f>
        <v/>
      </c>
      <c r="V4725" s="19">
        <f>IF($B4725="","",TEXT($B4725,"0000"))</f>
        <v/>
      </c>
      <c r="W4725" s="19">
        <f>IF($I4725="","",IF(ISNUMBER($I4725),TEXT($I4725,"0"),$I4725))</f>
        <v/>
      </c>
    </row>
    <row r="4726">
      <c r="B4726" s="25" t="n"/>
      <c r="I4726" s="25" t="n"/>
      <c r="U4726" s="19">
        <f>IF(AND($V4726='設定'!$C$4,COUNTIF('商品マスタ'!$B$6:$B$1005,$W4726)=0),N(U4725)+1,N(U4725))</f>
        <v/>
      </c>
      <c r="V4726" s="19">
        <f>IF($B4726="","",TEXT($B4726,"0000"))</f>
        <v/>
      </c>
      <c r="W4726" s="19">
        <f>IF($I4726="","",IF(ISNUMBER($I4726),TEXT($I4726,"0"),$I4726))</f>
        <v/>
      </c>
    </row>
    <row r="4727">
      <c r="B4727" s="25" t="n"/>
      <c r="I4727" s="25" t="n"/>
      <c r="U4727" s="19">
        <f>IF(AND($V4727='設定'!$C$4,COUNTIF('商品マスタ'!$B$6:$B$1005,$W4727)=0),N(U4726)+1,N(U4726))</f>
        <v/>
      </c>
      <c r="V4727" s="19">
        <f>IF($B4727="","",TEXT($B4727,"0000"))</f>
        <v/>
      </c>
      <c r="W4727" s="19">
        <f>IF($I4727="","",IF(ISNUMBER($I4727),TEXT($I4727,"0"),$I4727))</f>
        <v/>
      </c>
    </row>
    <row r="4728">
      <c r="B4728" s="25" t="n"/>
      <c r="I4728" s="25" t="n"/>
      <c r="U4728" s="19">
        <f>IF(AND($V4728='設定'!$C$4,COUNTIF('商品マスタ'!$B$6:$B$1005,$W4728)=0),N(U4727)+1,N(U4727))</f>
        <v/>
      </c>
      <c r="V4728" s="19">
        <f>IF($B4728="","",TEXT($B4728,"0000"))</f>
        <v/>
      </c>
      <c r="W4728" s="19">
        <f>IF($I4728="","",IF(ISNUMBER($I4728),TEXT($I4728,"0"),$I4728))</f>
        <v/>
      </c>
    </row>
    <row r="4729">
      <c r="B4729" s="25" t="n"/>
      <c r="I4729" s="25" t="n"/>
      <c r="U4729" s="19">
        <f>IF(AND($V4729='設定'!$C$4,COUNTIF('商品マスタ'!$B$6:$B$1005,$W4729)=0),N(U4728)+1,N(U4728))</f>
        <v/>
      </c>
      <c r="V4729" s="19">
        <f>IF($B4729="","",TEXT($B4729,"0000"))</f>
        <v/>
      </c>
      <c r="W4729" s="19">
        <f>IF($I4729="","",IF(ISNUMBER($I4729),TEXT($I4729,"0"),$I4729))</f>
        <v/>
      </c>
    </row>
    <row r="4730">
      <c r="B4730" s="25" t="n"/>
      <c r="I4730" s="25" t="n"/>
      <c r="U4730" s="19">
        <f>IF(AND($V4730='設定'!$C$4,COUNTIF('商品マスタ'!$B$6:$B$1005,$W4730)=0),N(U4729)+1,N(U4729))</f>
        <v/>
      </c>
      <c r="V4730" s="19">
        <f>IF($B4730="","",TEXT($B4730,"0000"))</f>
        <v/>
      </c>
      <c r="W4730" s="19">
        <f>IF($I4730="","",IF(ISNUMBER($I4730),TEXT($I4730,"0"),$I4730))</f>
        <v/>
      </c>
    </row>
    <row r="4731">
      <c r="B4731" s="25" t="n"/>
      <c r="I4731" s="25" t="n"/>
      <c r="U4731" s="19">
        <f>IF(AND($V4731='設定'!$C$4,COUNTIF('商品マスタ'!$B$6:$B$1005,$W4731)=0),N(U4730)+1,N(U4730))</f>
        <v/>
      </c>
      <c r="V4731" s="19">
        <f>IF($B4731="","",TEXT($B4731,"0000"))</f>
        <v/>
      </c>
      <c r="W4731" s="19">
        <f>IF($I4731="","",IF(ISNUMBER($I4731),TEXT($I4731,"0"),$I4731))</f>
        <v/>
      </c>
    </row>
    <row r="4732">
      <c r="B4732" s="25" t="n"/>
      <c r="I4732" s="25" t="n"/>
      <c r="U4732" s="19">
        <f>IF(AND($V4732='設定'!$C$4,COUNTIF('商品マスタ'!$B$6:$B$1005,$W4732)=0),N(U4731)+1,N(U4731))</f>
        <v/>
      </c>
      <c r="V4732" s="19">
        <f>IF($B4732="","",TEXT($B4732,"0000"))</f>
        <v/>
      </c>
      <c r="W4732" s="19">
        <f>IF($I4732="","",IF(ISNUMBER($I4732),TEXT($I4732,"0"),$I4732))</f>
        <v/>
      </c>
    </row>
    <row r="4733">
      <c r="B4733" s="25" t="n"/>
      <c r="I4733" s="25" t="n"/>
      <c r="U4733" s="19">
        <f>IF(AND($V4733='設定'!$C$4,COUNTIF('商品マスタ'!$B$6:$B$1005,$W4733)=0),N(U4732)+1,N(U4732))</f>
        <v/>
      </c>
      <c r="V4733" s="19">
        <f>IF($B4733="","",TEXT($B4733,"0000"))</f>
        <v/>
      </c>
      <c r="W4733" s="19">
        <f>IF($I4733="","",IF(ISNUMBER($I4733),TEXT($I4733,"0"),$I4733))</f>
        <v/>
      </c>
    </row>
    <row r="4734">
      <c r="B4734" s="25" t="n"/>
      <c r="I4734" s="25" t="n"/>
      <c r="U4734" s="19">
        <f>IF(AND($V4734='設定'!$C$4,COUNTIF('商品マスタ'!$B$6:$B$1005,$W4734)=0),N(U4733)+1,N(U4733))</f>
        <v/>
      </c>
      <c r="V4734" s="19">
        <f>IF($B4734="","",TEXT($B4734,"0000"))</f>
        <v/>
      </c>
      <c r="W4734" s="19">
        <f>IF($I4734="","",IF(ISNUMBER($I4734),TEXT($I4734,"0"),$I4734))</f>
        <v/>
      </c>
    </row>
    <row r="4735">
      <c r="B4735" s="25" t="n"/>
      <c r="I4735" s="25" t="n"/>
      <c r="U4735" s="19">
        <f>IF(AND($V4735='設定'!$C$4,COUNTIF('商品マスタ'!$B$6:$B$1005,$W4735)=0),N(U4734)+1,N(U4734))</f>
        <v/>
      </c>
      <c r="V4735" s="19">
        <f>IF($B4735="","",TEXT($B4735,"0000"))</f>
        <v/>
      </c>
      <c r="W4735" s="19">
        <f>IF($I4735="","",IF(ISNUMBER($I4735),TEXT($I4735,"0"),$I4735))</f>
        <v/>
      </c>
    </row>
    <row r="4736">
      <c r="B4736" s="25" t="n"/>
      <c r="I4736" s="25" t="n"/>
      <c r="U4736" s="19">
        <f>IF(AND($V4736='設定'!$C$4,COUNTIF('商品マスタ'!$B$6:$B$1005,$W4736)=0),N(U4735)+1,N(U4735))</f>
        <v/>
      </c>
      <c r="V4736" s="19">
        <f>IF($B4736="","",TEXT($B4736,"0000"))</f>
        <v/>
      </c>
      <c r="W4736" s="19">
        <f>IF($I4736="","",IF(ISNUMBER($I4736),TEXT($I4736,"0"),$I4736))</f>
        <v/>
      </c>
    </row>
    <row r="4737">
      <c r="B4737" s="25" t="n"/>
      <c r="I4737" s="25" t="n"/>
      <c r="U4737" s="19">
        <f>IF(AND($V4737='設定'!$C$4,COUNTIF('商品マスタ'!$B$6:$B$1005,$W4737)=0),N(U4736)+1,N(U4736))</f>
        <v/>
      </c>
      <c r="V4737" s="19">
        <f>IF($B4737="","",TEXT($B4737,"0000"))</f>
        <v/>
      </c>
      <c r="W4737" s="19">
        <f>IF($I4737="","",IF(ISNUMBER($I4737),TEXT($I4737,"0"),$I4737))</f>
        <v/>
      </c>
    </row>
    <row r="4738">
      <c r="B4738" s="25" t="n"/>
      <c r="I4738" s="25" t="n"/>
      <c r="U4738" s="19">
        <f>IF(AND($V4738='設定'!$C$4,COUNTIF('商品マスタ'!$B$6:$B$1005,$W4738)=0),N(U4737)+1,N(U4737))</f>
        <v/>
      </c>
      <c r="V4738" s="19">
        <f>IF($B4738="","",TEXT($B4738,"0000"))</f>
        <v/>
      </c>
      <c r="W4738" s="19">
        <f>IF($I4738="","",IF(ISNUMBER($I4738),TEXT($I4738,"0"),$I4738))</f>
        <v/>
      </c>
    </row>
    <row r="4739">
      <c r="B4739" s="25" t="n"/>
      <c r="I4739" s="25" t="n"/>
      <c r="U4739" s="19">
        <f>IF(AND($V4739='設定'!$C$4,COUNTIF('商品マスタ'!$B$6:$B$1005,$W4739)=0),N(U4738)+1,N(U4738))</f>
        <v/>
      </c>
      <c r="V4739" s="19">
        <f>IF($B4739="","",TEXT($B4739,"0000"))</f>
        <v/>
      </c>
      <c r="W4739" s="19">
        <f>IF($I4739="","",IF(ISNUMBER($I4739),TEXT($I4739,"0"),$I4739))</f>
        <v/>
      </c>
    </row>
    <row r="4740">
      <c r="B4740" s="25" t="n"/>
      <c r="I4740" s="25" t="n"/>
      <c r="U4740" s="19">
        <f>IF(AND($V4740='設定'!$C$4,COUNTIF('商品マスタ'!$B$6:$B$1005,$W4740)=0),N(U4739)+1,N(U4739))</f>
        <v/>
      </c>
      <c r="V4740" s="19">
        <f>IF($B4740="","",TEXT($B4740,"0000"))</f>
        <v/>
      </c>
      <c r="W4740" s="19">
        <f>IF($I4740="","",IF(ISNUMBER($I4740),TEXT($I4740,"0"),$I4740))</f>
        <v/>
      </c>
    </row>
    <row r="4741">
      <c r="B4741" s="25" t="n"/>
      <c r="I4741" s="25" t="n"/>
      <c r="U4741" s="19">
        <f>IF(AND($V4741='設定'!$C$4,COUNTIF('商品マスタ'!$B$6:$B$1005,$W4741)=0),N(U4740)+1,N(U4740))</f>
        <v/>
      </c>
      <c r="V4741" s="19">
        <f>IF($B4741="","",TEXT($B4741,"0000"))</f>
        <v/>
      </c>
      <c r="W4741" s="19">
        <f>IF($I4741="","",IF(ISNUMBER($I4741),TEXT($I4741,"0"),$I4741))</f>
        <v/>
      </c>
    </row>
    <row r="4742">
      <c r="B4742" s="25" t="n"/>
      <c r="I4742" s="25" t="n"/>
      <c r="U4742" s="19">
        <f>IF(AND($V4742='設定'!$C$4,COUNTIF('商品マスタ'!$B$6:$B$1005,$W4742)=0),N(U4741)+1,N(U4741))</f>
        <v/>
      </c>
      <c r="V4742" s="19">
        <f>IF($B4742="","",TEXT($B4742,"0000"))</f>
        <v/>
      </c>
      <c r="W4742" s="19">
        <f>IF($I4742="","",IF(ISNUMBER($I4742),TEXT($I4742,"0"),$I4742))</f>
        <v/>
      </c>
    </row>
    <row r="4743">
      <c r="B4743" s="25" t="n"/>
      <c r="I4743" s="25" t="n"/>
      <c r="U4743" s="19">
        <f>IF(AND($V4743='設定'!$C$4,COUNTIF('商品マスタ'!$B$6:$B$1005,$W4743)=0),N(U4742)+1,N(U4742))</f>
        <v/>
      </c>
      <c r="V4743" s="19">
        <f>IF($B4743="","",TEXT($B4743,"0000"))</f>
        <v/>
      </c>
      <c r="W4743" s="19">
        <f>IF($I4743="","",IF(ISNUMBER($I4743),TEXT($I4743,"0"),$I4743))</f>
        <v/>
      </c>
    </row>
    <row r="4744">
      <c r="B4744" s="25" t="n"/>
      <c r="I4744" s="25" t="n"/>
      <c r="U4744" s="19">
        <f>IF(AND($V4744='設定'!$C$4,COUNTIF('商品マスタ'!$B$6:$B$1005,$W4744)=0),N(U4743)+1,N(U4743))</f>
        <v/>
      </c>
      <c r="V4744" s="19">
        <f>IF($B4744="","",TEXT($B4744,"0000"))</f>
        <v/>
      </c>
      <c r="W4744" s="19">
        <f>IF($I4744="","",IF(ISNUMBER($I4744),TEXT($I4744,"0"),$I4744))</f>
        <v/>
      </c>
    </row>
    <row r="4745">
      <c r="B4745" s="25" t="n"/>
      <c r="I4745" s="25" t="n"/>
      <c r="U4745" s="19">
        <f>IF(AND($V4745='設定'!$C$4,COUNTIF('商品マスタ'!$B$6:$B$1005,$W4745)=0),N(U4744)+1,N(U4744))</f>
        <v/>
      </c>
      <c r="V4745" s="19">
        <f>IF($B4745="","",TEXT($B4745,"0000"))</f>
        <v/>
      </c>
      <c r="W4745" s="19">
        <f>IF($I4745="","",IF(ISNUMBER($I4745),TEXT($I4745,"0"),$I4745))</f>
        <v/>
      </c>
    </row>
    <row r="4746">
      <c r="B4746" s="25" t="n"/>
      <c r="I4746" s="25" t="n"/>
      <c r="U4746" s="19">
        <f>IF(AND($V4746='設定'!$C$4,COUNTIF('商品マスタ'!$B$6:$B$1005,$W4746)=0),N(U4745)+1,N(U4745))</f>
        <v/>
      </c>
      <c r="V4746" s="19">
        <f>IF($B4746="","",TEXT($B4746,"0000"))</f>
        <v/>
      </c>
      <c r="W4746" s="19">
        <f>IF($I4746="","",IF(ISNUMBER($I4746),TEXT($I4746,"0"),$I4746))</f>
        <v/>
      </c>
    </row>
    <row r="4747">
      <c r="B4747" s="25" t="n"/>
      <c r="I4747" s="25" t="n"/>
      <c r="U4747" s="19">
        <f>IF(AND($V4747='設定'!$C$4,COUNTIF('商品マスタ'!$B$6:$B$1005,$W4747)=0),N(U4746)+1,N(U4746))</f>
        <v/>
      </c>
      <c r="V4747" s="19">
        <f>IF($B4747="","",TEXT($B4747,"0000"))</f>
        <v/>
      </c>
      <c r="W4747" s="19">
        <f>IF($I4747="","",IF(ISNUMBER($I4747),TEXT($I4747,"0"),$I4747))</f>
        <v/>
      </c>
    </row>
    <row r="4748">
      <c r="B4748" s="25" t="n"/>
      <c r="I4748" s="25" t="n"/>
      <c r="U4748" s="19">
        <f>IF(AND($V4748='設定'!$C$4,COUNTIF('商品マスタ'!$B$6:$B$1005,$W4748)=0),N(U4747)+1,N(U4747))</f>
        <v/>
      </c>
      <c r="V4748" s="19">
        <f>IF($B4748="","",TEXT($B4748,"0000"))</f>
        <v/>
      </c>
      <c r="W4748" s="19">
        <f>IF($I4748="","",IF(ISNUMBER($I4748),TEXT($I4748,"0"),$I4748))</f>
        <v/>
      </c>
    </row>
    <row r="4749">
      <c r="B4749" s="25" t="n"/>
      <c r="I4749" s="25" t="n"/>
      <c r="U4749" s="19">
        <f>IF(AND($V4749='設定'!$C$4,COUNTIF('商品マスタ'!$B$6:$B$1005,$W4749)=0),N(U4748)+1,N(U4748))</f>
        <v/>
      </c>
      <c r="V4749" s="19">
        <f>IF($B4749="","",TEXT($B4749,"0000"))</f>
        <v/>
      </c>
      <c r="W4749" s="19">
        <f>IF($I4749="","",IF(ISNUMBER($I4749),TEXT($I4749,"0"),$I4749))</f>
        <v/>
      </c>
    </row>
    <row r="4750">
      <c r="B4750" s="25" t="n"/>
      <c r="I4750" s="25" t="n"/>
      <c r="U4750" s="19">
        <f>IF(AND($V4750='設定'!$C$4,COUNTIF('商品マスタ'!$B$6:$B$1005,$W4750)=0),N(U4749)+1,N(U4749))</f>
        <v/>
      </c>
      <c r="V4750" s="19">
        <f>IF($B4750="","",TEXT($B4750,"0000"))</f>
        <v/>
      </c>
      <c r="W4750" s="19">
        <f>IF($I4750="","",IF(ISNUMBER($I4750),TEXT($I4750,"0"),$I4750))</f>
        <v/>
      </c>
    </row>
    <row r="4751">
      <c r="B4751" s="25" t="n"/>
      <c r="I4751" s="25" t="n"/>
      <c r="U4751" s="19">
        <f>IF(AND($V4751='設定'!$C$4,COUNTIF('商品マスタ'!$B$6:$B$1005,$W4751)=0),N(U4750)+1,N(U4750))</f>
        <v/>
      </c>
      <c r="V4751" s="19">
        <f>IF($B4751="","",TEXT($B4751,"0000"))</f>
        <v/>
      </c>
      <c r="W4751" s="19">
        <f>IF($I4751="","",IF(ISNUMBER($I4751),TEXT($I4751,"0"),$I4751))</f>
        <v/>
      </c>
    </row>
    <row r="4752">
      <c r="B4752" s="25" t="n"/>
      <c r="I4752" s="25" t="n"/>
      <c r="U4752" s="19">
        <f>IF(AND($V4752='設定'!$C$4,COUNTIF('商品マスタ'!$B$6:$B$1005,$W4752)=0),N(U4751)+1,N(U4751))</f>
        <v/>
      </c>
      <c r="V4752" s="19">
        <f>IF($B4752="","",TEXT($B4752,"0000"))</f>
        <v/>
      </c>
      <c r="W4752" s="19">
        <f>IF($I4752="","",IF(ISNUMBER($I4752),TEXT($I4752,"0"),$I4752))</f>
        <v/>
      </c>
    </row>
    <row r="4753">
      <c r="B4753" s="25" t="n"/>
      <c r="I4753" s="25" t="n"/>
      <c r="U4753" s="19">
        <f>IF(AND($V4753='設定'!$C$4,COUNTIF('商品マスタ'!$B$6:$B$1005,$W4753)=0),N(U4752)+1,N(U4752))</f>
        <v/>
      </c>
      <c r="V4753" s="19">
        <f>IF($B4753="","",TEXT($B4753,"0000"))</f>
        <v/>
      </c>
      <c r="W4753" s="19">
        <f>IF($I4753="","",IF(ISNUMBER($I4753),TEXT($I4753,"0"),$I4753))</f>
        <v/>
      </c>
    </row>
    <row r="4754">
      <c r="B4754" s="25" t="n"/>
      <c r="I4754" s="25" t="n"/>
      <c r="U4754" s="19">
        <f>IF(AND($V4754='設定'!$C$4,COUNTIF('商品マスタ'!$B$6:$B$1005,$W4754)=0),N(U4753)+1,N(U4753))</f>
        <v/>
      </c>
      <c r="V4754" s="19">
        <f>IF($B4754="","",TEXT($B4754,"0000"))</f>
        <v/>
      </c>
      <c r="W4754" s="19">
        <f>IF($I4754="","",IF(ISNUMBER($I4754),TEXT($I4754,"0"),$I4754))</f>
        <v/>
      </c>
    </row>
    <row r="4755">
      <c r="B4755" s="25" t="n"/>
      <c r="I4755" s="25" t="n"/>
      <c r="U4755" s="19">
        <f>IF(AND($V4755='設定'!$C$4,COUNTIF('商品マスタ'!$B$6:$B$1005,$W4755)=0),N(U4754)+1,N(U4754))</f>
        <v/>
      </c>
      <c r="V4755" s="19">
        <f>IF($B4755="","",TEXT($B4755,"0000"))</f>
        <v/>
      </c>
      <c r="W4755" s="19">
        <f>IF($I4755="","",IF(ISNUMBER($I4755),TEXT($I4755,"0"),$I4755))</f>
        <v/>
      </c>
    </row>
    <row r="4756">
      <c r="B4756" s="25" t="n"/>
      <c r="I4756" s="25" t="n"/>
      <c r="U4756" s="19">
        <f>IF(AND($V4756='設定'!$C$4,COUNTIF('商品マスタ'!$B$6:$B$1005,$W4756)=0),N(U4755)+1,N(U4755))</f>
        <v/>
      </c>
      <c r="V4756" s="19">
        <f>IF($B4756="","",TEXT($B4756,"0000"))</f>
        <v/>
      </c>
      <c r="W4756" s="19">
        <f>IF($I4756="","",IF(ISNUMBER($I4756),TEXT($I4756,"0"),$I4756))</f>
        <v/>
      </c>
    </row>
    <row r="4757">
      <c r="B4757" s="25" t="n"/>
      <c r="I4757" s="25" t="n"/>
      <c r="U4757" s="19">
        <f>IF(AND($V4757='設定'!$C$4,COUNTIF('商品マスタ'!$B$6:$B$1005,$W4757)=0),N(U4756)+1,N(U4756))</f>
        <v/>
      </c>
      <c r="V4757" s="19">
        <f>IF($B4757="","",TEXT($B4757,"0000"))</f>
        <v/>
      </c>
      <c r="W4757" s="19">
        <f>IF($I4757="","",IF(ISNUMBER($I4757),TEXT($I4757,"0"),$I4757))</f>
        <v/>
      </c>
    </row>
    <row r="4758">
      <c r="B4758" s="25" t="n"/>
      <c r="I4758" s="25" t="n"/>
      <c r="U4758" s="19">
        <f>IF(AND($V4758='設定'!$C$4,COUNTIF('商品マスタ'!$B$6:$B$1005,$W4758)=0),N(U4757)+1,N(U4757))</f>
        <v/>
      </c>
      <c r="V4758" s="19">
        <f>IF($B4758="","",TEXT($B4758,"0000"))</f>
        <v/>
      </c>
      <c r="W4758" s="19">
        <f>IF($I4758="","",IF(ISNUMBER($I4758),TEXT($I4758,"0"),$I4758))</f>
        <v/>
      </c>
    </row>
    <row r="4759">
      <c r="B4759" s="25" t="n"/>
      <c r="I4759" s="25" t="n"/>
      <c r="U4759" s="19">
        <f>IF(AND($V4759='設定'!$C$4,COUNTIF('商品マスタ'!$B$6:$B$1005,$W4759)=0),N(U4758)+1,N(U4758))</f>
        <v/>
      </c>
      <c r="V4759" s="19">
        <f>IF($B4759="","",TEXT($B4759,"0000"))</f>
        <v/>
      </c>
      <c r="W4759" s="19">
        <f>IF($I4759="","",IF(ISNUMBER($I4759),TEXT($I4759,"0"),$I4759))</f>
        <v/>
      </c>
    </row>
    <row r="4760">
      <c r="B4760" s="25" t="n"/>
      <c r="I4760" s="25" t="n"/>
      <c r="U4760" s="19">
        <f>IF(AND($V4760='設定'!$C$4,COUNTIF('商品マスタ'!$B$6:$B$1005,$W4760)=0),N(U4759)+1,N(U4759))</f>
        <v/>
      </c>
      <c r="V4760" s="19">
        <f>IF($B4760="","",TEXT($B4760,"0000"))</f>
        <v/>
      </c>
      <c r="W4760" s="19">
        <f>IF($I4760="","",IF(ISNUMBER($I4760),TEXT($I4760,"0"),$I4760))</f>
        <v/>
      </c>
    </row>
    <row r="4761">
      <c r="B4761" s="25" t="n"/>
      <c r="I4761" s="25" t="n"/>
      <c r="U4761" s="19">
        <f>IF(AND($V4761='設定'!$C$4,COUNTIF('商品マスタ'!$B$6:$B$1005,$W4761)=0),N(U4760)+1,N(U4760))</f>
        <v/>
      </c>
      <c r="V4761" s="19">
        <f>IF($B4761="","",TEXT($B4761,"0000"))</f>
        <v/>
      </c>
      <c r="W4761" s="19">
        <f>IF($I4761="","",IF(ISNUMBER($I4761),TEXT($I4761,"0"),$I4761))</f>
        <v/>
      </c>
    </row>
    <row r="4762">
      <c r="B4762" s="25" t="n"/>
      <c r="I4762" s="25" t="n"/>
      <c r="U4762" s="19">
        <f>IF(AND($V4762='設定'!$C$4,COUNTIF('商品マスタ'!$B$6:$B$1005,$W4762)=0),N(U4761)+1,N(U4761))</f>
        <v/>
      </c>
      <c r="V4762" s="19">
        <f>IF($B4762="","",TEXT($B4762,"0000"))</f>
        <v/>
      </c>
      <c r="W4762" s="19">
        <f>IF($I4762="","",IF(ISNUMBER($I4762),TEXT($I4762,"0"),$I4762))</f>
        <v/>
      </c>
    </row>
    <row r="4763">
      <c r="B4763" s="25" t="n"/>
      <c r="I4763" s="25" t="n"/>
      <c r="U4763" s="19">
        <f>IF(AND($V4763='設定'!$C$4,COUNTIF('商品マスタ'!$B$6:$B$1005,$W4763)=0),N(U4762)+1,N(U4762))</f>
        <v/>
      </c>
      <c r="V4763" s="19">
        <f>IF($B4763="","",TEXT($B4763,"0000"))</f>
        <v/>
      </c>
      <c r="W4763" s="19">
        <f>IF($I4763="","",IF(ISNUMBER($I4763),TEXT($I4763,"0"),$I4763))</f>
        <v/>
      </c>
    </row>
    <row r="4764">
      <c r="B4764" s="25" t="n"/>
      <c r="I4764" s="25" t="n"/>
      <c r="U4764" s="19">
        <f>IF(AND($V4764='設定'!$C$4,COUNTIF('商品マスタ'!$B$6:$B$1005,$W4764)=0),N(U4763)+1,N(U4763))</f>
        <v/>
      </c>
      <c r="V4764" s="19">
        <f>IF($B4764="","",TEXT($B4764,"0000"))</f>
        <v/>
      </c>
      <c r="W4764" s="19">
        <f>IF($I4764="","",IF(ISNUMBER($I4764),TEXT($I4764,"0"),$I4764))</f>
        <v/>
      </c>
    </row>
    <row r="4765">
      <c r="B4765" s="25" t="n"/>
      <c r="I4765" s="25" t="n"/>
      <c r="U4765" s="19">
        <f>IF(AND($V4765='設定'!$C$4,COUNTIF('商品マスタ'!$B$6:$B$1005,$W4765)=0),N(U4764)+1,N(U4764))</f>
        <v/>
      </c>
      <c r="V4765" s="19">
        <f>IF($B4765="","",TEXT($B4765,"0000"))</f>
        <v/>
      </c>
      <c r="W4765" s="19">
        <f>IF($I4765="","",IF(ISNUMBER($I4765),TEXT($I4765,"0"),$I4765))</f>
        <v/>
      </c>
    </row>
    <row r="4766">
      <c r="B4766" s="25" t="n"/>
      <c r="I4766" s="25" t="n"/>
      <c r="U4766" s="19">
        <f>IF(AND($V4766='設定'!$C$4,COUNTIF('商品マスタ'!$B$6:$B$1005,$W4766)=0),N(U4765)+1,N(U4765))</f>
        <v/>
      </c>
      <c r="V4766" s="19">
        <f>IF($B4766="","",TEXT($B4766,"0000"))</f>
        <v/>
      </c>
      <c r="W4766" s="19">
        <f>IF($I4766="","",IF(ISNUMBER($I4766),TEXT($I4766,"0"),$I4766))</f>
        <v/>
      </c>
    </row>
    <row r="4767">
      <c r="B4767" s="25" t="n"/>
      <c r="I4767" s="25" t="n"/>
      <c r="U4767" s="19">
        <f>IF(AND($V4767='設定'!$C$4,COUNTIF('商品マスタ'!$B$6:$B$1005,$W4767)=0),N(U4766)+1,N(U4766))</f>
        <v/>
      </c>
      <c r="V4767" s="19">
        <f>IF($B4767="","",TEXT($B4767,"0000"))</f>
        <v/>
      </c>
      <c r="W4767" s="19">
        <f>IF($I4767="","",IF(ISNUMBER($I4767),TEXT($I4767,"0"),$I4767))</f>
        <v/>
      </c>
    </row>
    <row r="4768">
      <c r="B4768" s="25" t="n"/>
      <c r="I4768" s="25" t="n"/>
      <c r="U4768" s="19">
        <f>IF(AND($V4768='設定'!$C$4,COUNTIF('商品マスタ'!$B$6:$B$1005,$W4768)=0),N(U4767)+1,N(U4767))</f>
        <v/>
      </c>
      <c r="V4768" s="19">
        <f>IF($B4768="","",TEXT($B4768,"0000"))</f>
        <v/>
      </c>
      <c r="W4768" s="19">
        <f>IF($I4768="","",IF(ISNUMBER($I4768),TEXT($I4768,"0"),$I4768))</f>
        <v/>
      </c>
    </row>
    <row r="4769">
      <c r="B4769" s="25" t="n"/>
      <c r="I4769" s="25" t="n"/>
      <c r="U4769" s="19">
        <f>IF(AND($V4769='設定'!$C$4,COUNTIF('商品マスタ'!$B$6:$B$1005,$W4769)=0),N(U4768)+1,N(U4768))</f>
        <v/>
      </c>
      <c r="V4769" s="19">
        <f>IF($B4769="","",TEXT($B4769,"0000"))</f>
        <v/>
      </c>
      <c r="W4769" s="19">
        <f>IF($I4769="","",IF(ISNUMBER($I4769),TEXT($I4769,"0"),$I4769))</f>
        <v/>
      </c>
    </row>
    <row r="4770">
      <c r="B4770" s="25" t="n"/>
      <c r="I4770" s="25" t="n"/>
      <c r="U4770" s="19">
        <f>IF(AND($V4770='設定'!$C$4,COUNTIF('商品マスタ'!$B$6:$B$1005,$W4770)=0),N(U4769)+1,N(U4769))</f>
        <v/>
      </c>
      <c r="V4770" s="19">
        <f>IF($B4770="","",TEXT($B4770,"0000"))</f>
        <v/>
      </c>
      <c r="W4770" s="19">
        <f>IF($I4770="","",IF(ISNUMBER($I4770),TEXT($I4770,"0"),$I4770))</f>
        <v/>
      </c>
    </row>
    <row r="4771">
      <c r="B4771" s="25" t="n"/>
      <c r="I4771" s="25" t="n"/>
      <c r="U4771" s="19">
        <f>IF(AND($V4771='設定'!$C$4,COUNTIF('商品マスタ'!$B$6:$B$1005,$W4771)=0),N(U4770)+1,N(U4770))</f>
        <v/>
      </c>
      <c r="V4771" s="19">
        <f>IF($B4771="","",TEXT($B4771,"0000"))</f>
        <v/>
      </c>
      <c r="W4771" s="19">
        <f>IF($I4771="","",IF(ISNUMBER($I4771),TEXT($I4771,"0"),$I4771))</f>
        <v/>
      </c>
    </row>
    <row r="4772">
      <c r="B4772" s="25" t="n"/>
      <c r="I4772" s="25" t="n"/>
      <c r="U4772" s="19">
        <f>IF(AND($V4772='設定'!$C$4,COUNTIF('商品マスタ'!$B$6:$B$1005,$W4772)=0),N(U4771)+1,N(U4771))</f>
        <v/>
      </c>
      <c r="V4772" s="19">
        <f>IF($B4772="","",TEXT($B4772,"0000"))</f>
        <v/>
      </c>
      <c r="W4772" s="19">
        <f>IF($I4772="","",IF(ISNUMBER($I4772),TEXT($I4772,"0"),$I4772))</f>
        <v/>
      </c>
    </row>
    <row r="4773">
      <c r="B4773" s="25" t="n"/>
      <c r="I4773" s="25" t="n"/>
      <c r="U4773" s="19">
        <f>IF(AND($V4773='設定'!$C$4,COUNTIF('商品マスタ'!$B$6:$B$1005,$W4773)=0),N(U4772)+1,N(U4772))</f>
        <v/>
      </c>
      <c r="V4773" s="19">
        <f>IF($B4773="","",TEXT($B4773,"0000"))</f>
        <v/>
      </c>
      <c r="W4773" s="19">
        <f>IF($I4773="","",IF(ISNUMBER($I4773),TEXT($I4773,"0"),$I4773))</f>
        <v/>
      </c>
    </row>
    <row r="4774">
      <c r="B4774" s="25" t="n"/>
      <c r="I4774" s="25" t="n"/>
      <c r="U4774" s="19">
        <f>IF(AND($V4774='設定'!$C$4,COUNTIF('商品マスタ'!$B$6:$B$1005,$W4774)=0),N(U4773)+1,N(U4773))</f>
        <v/>
      </c>
      <c r="V4774" s="19">
        <f>IF($B4774="","",TEXT($B4774,"0000"))</f>
        <v/>
      </c>
      <c r="W4774" s="19">
        <f>IF($I4774="","",IF(ISNUMBER($I4774),TEXT($I4774,"0"),$I4774))</f>
        <v/>
      </c>
    </row>
    <row r="4775">
      <c r="B4775" s="25" t="n"/>
      <c r="I4775" s="25" t="n"/>
      <c r="U4775" s="19">
        <f>IF(AND($V4775='設定'!$C$4,COUNTIF('商品マスタ'!$B$6:$B$1005,$W4775)=0),N(U4774)+1,N(U4774))</f>
        <v/>
      </c>
      <c r="V4775" s="19">
        <f>IF($B4775="","",TEXT($B4775,"0000"))</f>
        <v/>
      </c>
      <c r="W4775" s="19">
        <f>IF($I4775="","",IF(ISNUMBER($I4775),TEXT($I4775,"0"),$I4775))</f>
        <v/>
      </c>
    </row>
    <row r="4776">
      <c r="B4776" s="25" t="n"/>
      <c r="I4776" s="25" t="n"/>
      <c r="U4776" s="19">
        <f>IF(AND($V4776='設定'!$C$4,COUNTIF('商品マスタ'!$B$6:$B$1005,$W4776)=0),N(U4775)+1,N(U4775))</f>
        <v/>
      </c>
      <c r="V4776" s="19">
        <f>IF($B4776="","",TEXT($B4776,"0000"))</f>
        <v/>
      </c>
      <c r="W4776" s="19">
        <f>IF($I4776="","",IF(ISNUMBER($I4776),TEXT($I4776,"0"),$I4776))</f>
        <v/>
      </c>
    </row>
    <row r="4777">
      <c r="B4777" s="25" t="n"/>
      <c r="I4777" s="25" t="n"/>
      <c r="U4777" s="19">
        <f>IF(AND($V4777='設定'!$C$4,COUNTIF('商品マスタ'!$B$6:$B$1005,$W4777)=0),N(U4776)+1,N(U4776))</f>
        <v/>
      </c>
      <c r="V4777" s="19">
        <f>IF($B4777="","",TEXT($B4777,"0000"))</f>
        <v/>
      </c>
      <c r="W4777" s="19">
        <f>IF($I4777="","",IF(ISNUMBER($I4777),TEXT($I4777,"0"),$I4777))</f>
        <v/>
      </c>
    </row>
    <row r="4778">
      <c r="B4778" s="25" t="n"/>
      <c r="I4778" s="25" t="n"/>
      <c r="U4778" s="19">
        <f>IF(AND($V4778='設定'!$C$4,COUNTIF('商品マスタ'!$B$6:$B$1005,$W4778)=0),N(U4777)+1,N(U4777))</f>
        <v/>
      </c>
      <c r="V4778" s="19">
        <f>IF($B4778="","",TEXT($B4778,"0000"))</f>
        <v/>
      </c>
      <c r="W4778" s="19">
        <f>IF($I4778="","",IF(ISNUMBER($I4778),TEXT($I4778,"0"),$I4778))</f>
        <v/>
      </c>
    </row>
    <row r="4779">
      <c r="B4779" s="25" t="n"/>
      <c r="I4779" s="25" t="n"/>
      <c r="U4779" s="19">
        <f>IF(AND($V4779='設定'!$C$4,COUNTIF('商品マスタ'!$B$6:$B$1005,$W4779)=0),N(U4778)+1,N(U4778))</f>
        <v/>
      </c>
      <c r="V4779" s="19">
        <f>IF($B4779="","",TEXT($B4779,"0000"))</f>
        <v/>
      </c>
      <c r="W4779" s="19">
        <f>IF($I4779="","",IF(ISNUMBER($I4779),TEXT($I4779,"0"),$I4779))</f>
        <v/>
      </c>
    </row>
    <row r="4780">
      <c r="B4780" s="25" t="n"/>
      <c r="I4780" s="25" t="n"/>
      <c r="U4780" s="19">
        <f>IF(AND($V4780='設定'!$C$4,COUNTIF('商品マスタ'!$B$6:$B$1005,$W4780)=0),N(U4779)+1,N(U4779))</f>
        <v/>
      </c>
      <c r="V4780" s="19">
        <f>IF($B4780="","",TEXT($B4780,"0000"))</f>
        <v/>
      </c>
      <c r="W4780" s="19">
        <f>IF($I4780="","",IF(ISNUMBER($I4780),TEXT($I4780,"0"),$I4780))</f>
        <v/>
      </c>
    </row>
    <row r="4781">
      <c r="B4781" s="25" t="n"/>
      <c r="I4781" s="25" t="n"/>
      <c r="U4781" s="19">
        <f>IF(AND($V4781='設定'!$C$4,COUNTIF('商品マスタ'!$B$6:$B$1005,$W4781)=0),N(U4780)+1,N(U4780))</f>
        <v/>
      </c>
      <c r="V4781" s="19">
        <f>IF($B4781="","",TEXT($B4781,"0000"))</f>
        <v/>
      </c>
      <c r="W4781" s="19">
        <f>IF($I4781="","",IF(ISNUMBER($I4781),TEXT($I4781,"0"),$I4781))</f>
        <v/>
      </c>
    </row>
    <row r="4782">
      <c r="B4782" s="25" t="n"/>
      <c r="I4782" s="25" t="n"/>
      <c r="U4782" s="19">
        <f>IF(AND($V4782='設定'!$C$4,COUNTIF('商品マスタ'!$B$6:$B$1005,$W4782)=0),N(U4781)+1,N(U4781))</f>
        <v/>
      </c>
      <c r="V4782" s="19">
        <f>IF($B4782="","",TEXT($B4782,"0000"))</f>
        <v/>
      </c>
      <c r="W4782" s="19">
        <f>IF($I4782="","",IF(ISNUMBER($I4782),TEXT($I4782,"0"),$I4782))</f>
        <v/>
      </c>
    </row>
    <row r="4783">
      <c r="B4783" s="25" t="n"/>
      <c r="I4783" s="25" t="n"/>
      <c r="U4783" s="19">
        <f>IF(AND($V4783='設定'!$C$4,COUNTIF('商品マスタ'!$B$6:$B$1005,$W4783)=0),N(U4782)+1,N(U4782))</f>
        <v/>
      </c>
      <c r="V4783" s="19">
        <f>IF($B4783="","",TEXT($B4783,"0000"))</f>
        <v/>
      </c>
      <c r="W4783" s="19">
        <f>IF($I4783="","",IF(ISNUMBER($I4783),TEXT($I4783,"0"),$I4783))</f>
        <v/>
      </c>
    </row>
    <row r="4784">
      <c r="B4784" s="25" t="n"/>
      <c r="I4784" s="25" t="n"/>
      <c r="U4784" s="19">
        <f>IF(AND($V4784='設定'!$C$4,COUNTIF('商品マスタ'!$B$6:$B$1005,$W4784)=0),N(U4783)+1,N(U4783))</f>
        <v/>
      </c>
      <c r="V4784" s="19">
        <f>IF($B4784="","",TEXT($B4784,"0000"))</f>
        <v/>
      </c>
      <c r="W4784" s="19">
        <f>IF($I4784="","",IF(ISNUMBER($I4784),TEXT($I4784,"0"),$I4784))</f>
        <v/>
      </c>
    </row>
    <row r="4785">
      <c r="B4785" s="25" t="n"/>
      <c r="I4785" s="25" t="n"/>
      <c r="U4785" s="19">
        <f>IF(AND($V4785='設定'!$C$4,COUNTIF('商品マスタ'!$B$6:$B$1005,$W4785)=0),N(U4784)+1,N(U4784))</f>
        <v/>
      </c>
      <c r="V4785" s="19">
        <f>IF($B4785="","",TEXT($B4785,"0000"))</f>
        <v/>
      </c>
      <c r="W4785" s="19">
        <f>IF($I4785="","",IF(ISNUMBER($I4785),TEXT($I4785,"0"),$I4785))</f>
        <v/>
      </c>
    </row>
    <row r="4786">
      <c r="B4786" s="25" t="n"/>
      <c r="I4786" s="25" t="n"/>
      <c r="U4786" s="19">
        <f>IF(AND($V4786='設定'!$C$4,COUNTIF('商品マスタ'!$B$6:$B$1005,$W4786)=0),N(U4785)+1,N(U4785))</f>
        <v/>
      </c>
      <c r="V4786" s="19">
        <f>IF($B4786="","",TEXT($B4786,"0000"))</f>
        <v/>
      </c>
      <c r="W4786" s="19">
        <f>IF($I4786="","",IF(ISNUMBER($I4786),TEXT($I4786,"0"),$I4786))</f>
        <v/>
      </c>
    </row>
    <row r="4787">
      <c r="B4787" s="25" t="n"/>
      <c r="I4787" s="25" t="n"/>
      <c r="U4787" s="19">
        <f>IF(AND($V4787='設定'!$C$4,COUNTIF('商品マスタ'!$B$6:$B$1005,$W4787)=0),N(U4786)+1,N(U4786))</f>
        <v/>
      </c>
      <c r="V4787" s="19">
        <f>IF($B4787="","",TEXT($B4787,"0000"))</f>
        <v/>
      </c>
      <c r="W4787" s="19">
        <f>IF($I4787="","",IF(ISNUMBER($I4787),TEXT($I4787,"0"),$I4787))</f>
        <v/>
      </c>
    </row>
    <row r="4788">
      <c r="B4788" s="25" t="n"/>
      <c r="I4788" s="25" t="n"/>
      <c r="U4788" s="19">
        <f>IF(AND($V4788='設定'!$C$4,COUNTIF('商品マスタ'!$B$6:$B$1005,$W4788)=0),N(U4787)+1,N(U4787))</f>
        <v/>
      </c>
      <c r="V4788" s="19">
        <f>IF($B4788="","",TEXT($B4788,"0000"))</f>
        <v/>
      </c>
      <c r="W4788" s="19">
        <f>IF($I4788="","",IF(ISNUMBER($I4788),TEXT($I4788,"0"),$I4788))</f>
        <v/>
      </c>
    </row>
    <row r="4789">
      <c r="B4789" s="25" t="n"/>
      <c r="I4789" s="25" t="n"/>
      <c r="U4789" s="19">
        <f>IF(AND($V4789='設定'!$C$4,COUNTIF('商品マスタ'!$B$6:$B$1005,$W4789)=0),N(U4788)+1,N(U4788))</f>
        <v/>
      </c>
      <c r="V4789" s="19">
        <f>IF($B4789="","",TEXT($B4789,"0000"))</f>
        <v/>
      </c>
      <c r="W4789" s="19">
        <f>IF($I4789="","",IF(ISNUMBER($I4789),TEXT($I4789,"0"),$I4789))</f>
        <v/>
      </c>
    </row>
    <row r="4790">
      <c r="B4790" s="25" t="n"/>
      <c r="I4790" s="25" t="n"/>
      <c r="U4790" s="19">
        <f>IF(AND($V4790='設定'!$C$4,COUNTIF('商品マスタ'!$B$6:$B$1005,$W4790)=0),N(U4789)+1,N(U4789))</f>
        <v/>
      </c>
      <c r="V4790" s="19">
        <f>IF($B4790="","",TEXT($B4790,"0000"))</f>
        <v/>
      </c>
      <c r="W4790" s="19">
        <f>IF($I4790="","",IF(ISNUMBER($I4790),TEXT($I4790,"0"),$I4790))</f>
        <v/>
      </c>
    </row>
    <row r="4791">
      <c r="B4791" s="25" t="n"/>
      <c r="I4791" s="25" t="n"/>
      <c r="U4791" s="19">
        <f>IF(AND($V4791='設定'!$C$4,COUNTIF('商品マスタ'!$B$6:$B$1005,$W4791)=0),N(U4790)+1,N(U4790))</f>
        <v/>
      </c>
      <c r="V4791" s="19">
        <f>IF($B4791="","",TEXT($B4791,"0000"))</f>
        <v/>
      </c>
      <c r="W4791" s="19">
        <f>IF($I4791="","",IF(ISNUMBER($I4791),TEXT($I4791,"0"),$I4791))</f>
        <v/>
      </c>
    </row>
    <row r="4792">
      <c r="B4792" s="25" t="n"/>
      <c r="I4792" s="25" t="n"/>
      <c r="U4792" s="19">
        <f>IF(AND($V4792='設定'!$C$4,COUNTIF('商品マスタ'!$B$6:$B$1005,$W4792)=0),N(U4791)+1,N(U4791))</f>
        <v/>
      </c>
      <c r="V4792" s="19">
        <f>IF($B4792="","",TEXT($B4792,"0000"))</f>
        <v/>
      </c>
      <c r="W4792" s="19">
        <f>IF($I4792="","",IF(ISNUMBER($I4792),TEXT($I4792,"0"),$I4792))</f>
        <v/>
      </c>
    </row>
    <row r="4793">
      <c r="B4793" s="25" t="n"/>
      <c r="I4793" s="25" t="n"/>
      <c r="U4793" s="19">
        <f>IF(AND($V4793='設定'!$C$4,COUNTIF('商品マスタ'!$B$6:$B$1005,$W4793)=0),N(U4792)+1,N(U4792))</f>
        <v/>
      </c>
      <c r="V4793" s="19">
        <f>IF($B4793="","",TEXT($B4793,"0000"))</f>
        <v/>
      </c>
      <c r="W4793" s="19">
        <f>IF($I4793="","",IF(ISNUMBER($I4793),TEXT($I4793,"0"),$I4793))</f>
        <v/>
      </c>
    </row>
    <row r="4794">
      <c r="B4794" s="25" t="n"/>
      <c r="I4794" s="25" t="n"/>
      <c r="U4794" s="19">
        <f>IF(AND($V4794='設定'!$C$4,COUNTIF('商品マスタ'!$B$6:$B$1005,$W4794)=0),N(U4793)+1,N(U4793))</f>
        <v/>
      </c>
      <c r="V4794" s="19">
        <f>IF($B4794="","",TEXT($B4794,"0000"))</f>
        <v/>
      </c>
      <c r="W4794" s="19">
        <f>IF($I4794="","",IF(ISNUMBER($I4794),TEXT($I4794,"0"),$I4794))</f>
        <v/>
      </c>
    </row>
    <row r="4795">
      <c r="B4795" s="25" t="n"/>
      <c r="I4795" s="25" t="n"/>
      <c r="U4795" s="19">
        <f>IF(AND($V4795='設定'!$C$4,COUNTIF('商品マスタ'!$B$6:$B$1005,$W4795)=0),N(U4794)+1,N(U4794))</f>
        <v/>
      </c>
      <c r="V4795" s="19">
        <f>IF($B4795="","",TEXT($B4795,"0000"))</f>
        <v/>
      </c>
      <c r="W4795" s="19">
        <f>IF($I4795="","",IF(ISNUMBER($I4795),TEXT($I4795,"0"),$I4795))</f>
        <v/>
      </c>
    </row>
    <row r="4796">
      <c r="B4796" s="25" t="n"/>
      <c r="I4796" s="25" t="n"/>
      <c r="U4796" s="19">
        <f>IF(AND($V4796='設定'!$C$4,COUNTIF('商品マスタ'!$B$6:$B$1005,$W4796)=0),N(U4795)+1,N(U4795))</f>
        <v/>
      </c>
      <c r="V4796" s="19">
        <f>IF($B4796="","",TEXT($B4796,"0000"))</f>
        <v/>
      </c>
      <c r="W4796" s="19">
        <f>IF($I4796="","",IF(ISNUMBER($I4796),TEXT($I4796,"0"),$I4796))</f>
        <v/>
      </c>
    </row>
    <row r="4797">
      <c r="B4797" s="25" t="n"/>
      <c r="I4797" s="25" t="n"/>
      <c r="U4797" s="19">
        <f>IF(AND($V4797='設定'!$C$4,COUNTIF('商品マスタ'!$B$6:$B$1005,$W4797)=0),N(U4796)+1,N(U4796))</f>
        <v/>
      </c>
      <c r="V4797" s="19">
        <f>IF($B4797="","",TEXT($B4797,"0000"))</f>
        <v/>
      </c>
      <c r="W4797" s="19">
        <f>IF($I4797="","",IF(ISNUMBER($I4797),TEXT($I4797,"0"),$I4797))</f>
        <v/>
      </c>
    </row>
    <row r="4798">
      <c r="B4798" s="25" t="n"/>
      <c r="I4798" s="25" t="n"/>
      <c r="U4798" s="19">
        <f>IF(AND($V4798='設定'!$C$4,COUNTIF('商品マスタ'!$B$6:$B$1005,$W4798)=0),N(U4797)+1,N(U4797))</f>
        <v/>
      </c>
      <c r="V4798" s="19">
        <f>IF($B4798="","",TEXT($B4798,"0000"))</f>
        <v/>
      </c>
      <c r="W4798" s="19">
        <f>IF($I4798="","",IF(ISNUMBER($I4798),TEXT($I4798,"0"),$I4798))</f>
        <v/>
      </c>
    </row>
    <row r="4799">
      <c r="B4799" s="25" t="n"/>
      <c r="I4799" s="25" t="n"/>
      <c r="U4799" s="19">
        <f>IF(AND($V4799='設定'!$C$4,COUNTIF('商品マスタ'!$B$6:$B$1005,$W4799)=0),N(U4798)+1,N(U4798))</f>
        <v/>
      </c>
      <c r="V4799" s="19">
        <f>IF($B4799="","",TEXT($B4799,"0000"))</f>
        <v/>
      </c>
      <c r="W4799" s="19">
        <f>IF($I4799="","",IF(ISNUMBER($I4799),TEXT($I4799,"0"),$I4799))</f>
        <v/>
      </c>
    </row>
    <row r="4800">
      <c r="B4800" s="25" t="n"/>
      <c r="I4800" s="25" t="n"/>
      <c r="U4800" s="19">
        <f>IF(AND($V4800='設定'!$C$4,COUNTIF('商品マスタ'!$B$6:$B$1005,$W4800)=0),N(U4799)+1,N(U4799))</f>
        <v/>
      </c>
      <c r="V4800" s="19">
        <f>IF($B4800="","",TEXT($B4800,"0000"))</f>
        <v/>
      </c>
      <c r="W4800" s="19">
        <f>IF($I4800="","",IF(ISNUMBER($I4800),TEXT($I4800,"0"),$I4800))</f>
        <v/>
      </c>
    </row>
    <row r="4801">
      <c r="B4801" s="25" t="n"/>
      <c r="I4801" s="25" t="n"/>
      <c r="U4801" s="19">
        <f>IF(AND($V4801='設定'!$C$4,COUNTIF('商品マスタ'!$B$6:$B$1005,$W4801)=0),N(U4800)+1,N(U4800))</f>
        <v/>
      </c>
      <c r="V4801" s="19">
        <f>IF($B4801="","",TEXT($B4801,"0000"))</f>
        <v/>
      </c>
      <c r="W4801" s="19">
        <f>IF($I4801="","",IF(ISNUMBER($I4801),TEXT($I4801,"0"),$I4801))</f>
        <v/>
      </c>
    </row>
    <row r="4802">
      <c r="B4802" s="25" t="n"/>
      <c r="I4802" s="25" t="n"/>
      <c r="U4802" s="19">
        <f>IF(AND($V4802='設定'!$C$4,COUNTIF('商品マスタ'!$B$6:$B$1005,$W4802)=0),N(U4801)+1,N(U4801))</f>
        <v/>
      </c>
      <c r="V4802" s="19">
        <f>IF($B4802="","",TEXT($B4802,"0000"))</f>
        <v/>
      </c>
      <c r="W4802" s="19">
        <f>IF($I4802="","",IF(ISNUMBER($I4802),TEXT($I4802,"0"),$I4802))</f>
        <v/>
      </c>
    </row>
    <row r="4803">
      <c r="B4803" s="25" t="n"/>
      <c r="I4803" s="25" t="n"/>
      <c r="U4803" s="19">
        <f>IF(AND($V4803='設定'!$C$4,COUNTIF('商品マスタ'!$B$6:$B$1005,$W4803)=0),N(U4802)+1,N(U4802))</f>
        <v/>
      </c>
      <c r="V4803" s="19">
        <f>IF($B4803="","",TEXT($B4803,"0000"))</f>
        <v/>
      </c>
      <c r="W4803" s="19">
        <f>IF($I4803="","",IF(ISNUMBER($I4803),TEXT($I4803,"0"),$I4803))</f>
        <v/>
      </c>
    </row>
    <row r="4804">
      <c r="B4804" s="25" t="n"/>
      <c r="I4804" s="25" t="n"/>
      <c r="U4804" s="19">
        <f>IF(AND($V4804='設定'!$C$4,COUNTIF('商品マスタ'!$B$6:$B$1005,$W4804)=0),N(U4803)+1,N(U4803))</f>
        <v/>
      </c>
      <c r="V4804" s="19">
        <f>IF($B4804="","",TEXT($B4804,"0000"))</f>
        <v/>
      </c>
      <c r="W4804" s="19">
        <f>IF($I4804="","",IF(ISNUMBER($I4804),TEXT($I4804,"0"),$I4804))</f>
        <v/>
      </c>
    </row>
    <row r="4805">
      <c r="B4805" s="25" t="n"/>
      <c r="I4805" s="25" t="n"/>
      <c r="U4805" s="19">
        <f>IF(AND($V4805='設定'!$C$4,COUNTIF('商品マスタ'!$B$6:$B$1005,$W4805)=0),N(U4804)+1,N(U4804))</f>
        <v/>
      </c>
      <c r="V4805" s="19">
        <f>IF($B4805="","",TEXT($B4805,"0000"))</f>
        <v/>
      </c>
      <c r="W4805" s="19">
        <f>IF($I4805="","",IF(ISNUMBER($I4805),TEXT($I4805,"0"),$I4805))</f>
        <v/>
      </c>
    </row>
    <row r="4806">
      <c r="B4806" s="25" t="n"/>
      <c r="I4806" s="25" t="n"/>
      <c r="U4806" s="19">
        <f>IF(AND($V4806='設定'!$C$4,COUNTIF('商品マスタ'!$B$6:$B$1005,$W4806)=0),N(U4805)+1,N(U4805))</f>
        <v/>
      </c>
      <c r="V4806" s="19">
        <f>IF($B4806="","",TEXT($B4806,"0000"))</f>
        <v/>
      </c>
      <c r="W4806" s="19">
        <f>IF($I4806="","",IF(ISNUMBER($I4806),TEXT($I4806,"0"),$I4806))</f>
        <v/>
      </c>
    </row>
    <row r="4807">
      <c r="B4807" s="25" t="n"/>
      <c r="I4807" s="25" t="n"/>
      <c r="U4807" s="19">
        <f>IF(AND($V4807='設定'!$C$4,COUNTIF('商品マスタ'!$B$6:$B$1005,$W4807)=0),N(U4806)+1,N(U4806))</f>
        <v/>
      </c>
      <c r="V4807" s="19">
        <f>IF($B4807="","",TEXT($B4807,"0000"))</f>
        <v/>
      </c>
      <c r="W4807" s="19">
        <f>IF($I4807="","",IF(ISNUMBER($I4807),TEXT($I4807,"0"),$I4807))</f>
        <v/>
      </c>
    </row>
    <row r="4808">
      <c r="B4808" s="25" t="n"/>
      <c r="I4808" s="25" t="n"/>
      <c r="U4808" s="19">
        <f>IF(AND($V4808='設定'!$C$4,COUNTIF('商品マスタ'!$B$6:$B$1005,$W4808)=0),N(U4807)+1,N(U4807))</f>
        <v/>
      </c>
      <c r="V4808" s="19">
        <f>IF($B4808="","",TEXT($B4808,"0000"))</f>
        <v/>
      </c>
      <c r="W4808" s="19">
        <f>IF($I4808="","",IF(ISNUMBER($I4808),TEXT($I4808,"0"),$I4808))</f>
        <v/>
      </c>
    </row>
    <row r="4809">
      <c r="B4809" s="25" t="n"/>
      <c r="I4809" s="25" t="n"/>
      <c r="U4809" s="19">
        <f>IF(AND($V4809='設定'!$C$4,COUNTIF('商品マスタ'!$B$6:$B$1005,$W4809)=0),N(U4808)+1,N(U4808))</f>
        <v/>
      </c>
      <c r="V4809" s="19">
        <f>IF($B4809="","",TEXT($B4809,"0000"))</f>
        <v/>
      </c>
      <c r="W4809" s="19">
        <f>IF($I4809="","",IF(ISNUMBER($I4809),TEXT($I4809,"0"),$I4809))</f>
        <v/>
      </c>
    </row>
    <row r="4810">
      <c r="B4810" s="25" t="n"/>
      <c r="I4810" s="25" t="n"/>
      <c r="U4810" s="19">
        <f>IF(AND($V4810='設定'!$C$4,COUNTIF('商品マスタ'!$B$6:$B$1005,$W4810)=0),N(U4809)+1,N(U4809))</f>
        <v/>
      </c>
      <c r="V4810" s="19">
        <f>IF($B4810="","",TEXT($B4810,"0000"))</f>
        <v/>
      </c>
      <c r="W4810" s="19">
        <f>IF($I4810="","",IF(ISNUMBER($I4810),TEXT($I4810,"0"),$I4810))</f>
        <v/>
      </c>
    </row>
    <row r="4811">
      <c r="B4811" s="25" t="n"/>
      <c r="I4811" s="25" t="n"/>
      <c r="U4811" s="19">
        <f>IF(AND($V4811='設定'!$C$4,COUNTIF('商品マスタ'!$B$6:$B$1005,$W4811)=0),N(U4810)+1,N(U4810))</f>
        <v/>
      </c>
      <c r="V4811" s="19">
        <f>IF($B4811="","",TEXT($B4811,"0000"))</f>
        <v/>
      </c>
      <c r="W4811" s="19">
        <f>IF($I4811="","",IF(ISNUMBER($I4811),TEXT($I4811,"0"),$I4811))</f>
        <v/>
      </c>
    </row>
    <row r="4812">
      <c r="B4812" s="25" t="n"/>
      <c r="I4812" s="25" t="n"/>
      <c r="U4812" s="19">
        <f>IF(AND($V4812='設定'!$C$4,COUNTIF('商品マスタ'!$B$6:$B$1005,$W4812)=0),N(U4811)+1,N(U4811))</f>
        <v/>
      </c>
      <c r="V4812" s="19">
        <f>IF($B4812="","",TEXT($B4812,"0000"))</f>
        <v/>
      </c>
      <c r="W4812" s="19">
        <f>IF($I4812="","",IF(ISNUMBER($I4812),TEXT($I4812,"0"),$I4812))</f>
        <v/>
      </c>
    </row>
    <row r="4813">
      <c r="B4813" s="25" t="n"/>
      <c r="I4813" s="25" t="n"/>
      <c r="U4813" s="19">
        <f>IF(AND($V4813='設定'!$C$4,COUNTIF('商品マスタ'!$B$6:$B$1005,$W4813)=0),N(U4812)+1,N(U4812))</f>
        <v/>
      </c>
      <c r="V4813" s="19">
        <f>IF($B4813="","",TEXT($B4813,"0000"))</f>
        <v/>
      </c>
      <c r="W4813" s="19">
        <f>IF($I4813="","",IF(ISNUMBER($I4813),TEXT($I4813,"0"),$I4813))</f>
        <v/>
      </c>
    </row>
    <row r="4814">
      <c r="B4814" s="25" t="n"/>
      <c r="I4814" s="25" t="n"/>
      <c r="U4814" s="19">
        <f>IF(AND($V4814='設定'!$C$4,COUNTIF('商品マスタ'!$B$6:$B$1005,$W4814)=0),N(U4813)+1,N(U4813))</f>
        <v/>
      </c>
      <c r="V4814" s="19">
        <f>IF($B4814="","",TEXT($B4814,"0000"))</f>
        <v/>
      </c>
      <c r="W4814" s="19">
        <f>IF($I4814="","",IF(ISNUMBER($I4814),TEXT($I4814,"0"),$I4814))</f>
        <v/>
      </c>
    </row>
    <row r="4815">
      <c r="B4815" s="25" t="n"/>
      <c r="I4815" s="25" t="n"/>
      <c r="U4815" s="19">
        <f>IF(AND($V4815='設定'!$C$4,COUNTIF('商品マスタ'!$B$6:$B$1005,$W4815)=0),N(U4814)+1,N(U4814))</f>
        <v/>
      </c>
      <c r="V4815" s="19">
        <f>IF($B4815="","",TEXT($B4815,"0000"))</f>
        <v/>
      </c>
      <c r="W4815" s="19">
        <f>IF($I4815="","",IF(ISNUMBER($I4815),TEXT($I4815,"0"),$I4815))</f>
        <v/>
      </c>
    </row>
    <row r="4816">
      <c r="B4816" s="25" t="n"/>
      <c r="I4816" s="25" t="n"/>
      <c r="U4816" s="19">
        <f>IF(AND($V4816='設定'!$C$4,COUNTIF('商品マスタ'!$B$6:$B$1005,$W4816)=0),N(U4815)+1,N(U4815))</f>
        <v/>
      </c>
      <c r="V4816" s="19">
        <f>IF($B4816="","",TEXT($B4816,"0000"))</f>
        <v/>
      </c>
      <c r="W4816" s="19">
        <f>IF($I4816="","",IF(ISNUMBER($I4816),TEXT($I4816,"0"),$I4816))</f>
        <v/>
      </c>
    </row>
    <row r="4817">
      <c r="B4817" s="25" t="n"/>
      <c r="I4817" s="25" t="n"/>
      <c r="U4817" s="19">
        <f>IF(AND($V4817='設定'!$C$4,COUNTIF('商品マスタ'!$B$6:$B$1005,$W4817)=0),N(U4816)+1,N(U4816))</f>
        <v/>
      </c>
      <c r="V4817" s="19">
        <f>IF($B4817="","",TEXT($B4817,"0000"))</f>
        <v/>
      </c>
      <c r="W4817" s="19">
        <f>IF($I4817="","",IF(ISNUMBER($I4817),TEXT($I4817,"0"),$I4817))</f>
        <v/>
      </c>
    </row>
    <row r="4818">
      <c r="B4818" s="25" t="n"/>
      <c r="I4818" s="25" t="n"/>
      <c r="U4818" s="19">
        <f>IF(AND($V4818='設定'!$C$4,COUNTIF('商品マスタ'!$B$6:$B$1005,$W4818)=0),N(U4817)+1,N(U4817))</f>
        <v/>
      </c>
      <c r="V4818" s="19">
        <f>IF($B4818="","",TEXT($B4818,"0000"))</f>
        <v/>
      </c>
      <c r="W4818" s="19">
        <f>IF($I4818="","",IF(ISNUMBER($I4818),TEXT($I4818,"0"),$I4818))</f>
        <v/>
      </c>
    </row>
    <row r="4819">
      <c r="B4819" s="25" t="n"/>
      <c r="I4819" s="25" t="n"/>
      <c r="U4819" s="19">
        <f>IF(AND($V4819='設定'!$C$4,COUNTIF('商品マスタ'!$B$6:$B$1005,$W4819)=0),N(U4818)+1,N(U4818))</f>
        <v/>
      </c>
      <c r="V4819" s="19">
        <f>IF($B4819="","",TEXT($B4819,"0000"))</f>
        <v/>
      </c>
      <c r="W4819" s="19">
        <f>IF($I4819="","",IF(ISNUMBER($I4819),TEXT($I4819,"0"),$I4819))</f>
        <v/>
      </c>
    </row>
    <row r="4820">
      <c r="B4820" s="25" t="n"/>
      <c r="I4820" s="25" t="n"/>
      <c r="U4820" s="19">
        <f>IF(AND($V4820='設定'!$C$4,COUNTIF('商品マスタ'!$B$6:$B$1005,$W4820)=0),N(U4819)+1,N(U4819))</f>
        <v/>
      </c>
      <c r="V4820" s="19">
        <f>IF($B4820="","",TEXT($B4820,"0000"))</f>
        <v/>
      </c>
      <c r="W4820" s="19">
        <f>IF($I4820="","",IF(ISNUMBER($I4820),TEXT($I4820,"0"),$I4820))</f>
        <v/>
      </c>
    </row>
    <row r="4821">
      <c r="B4821" s="25" t="n"/>
      <c r="I4821" s="25" t="n"/>
      <c r="U4821" s="19">
        <f>IF(AND($V4821='設定'!$C$4,COUNTIF('商品マスタ'!$B$6:$B$1005,$W4821)=0),N(U4820)+1,N(U4820))</f>
        <v/>
      </c>
      <c r="V4821" s="19">
        <f>IF($B4821="","",TEXT($B4821,"0000"))</f>
        <v/>
      </c>
      <c r="W4821" s="19">
        <f>IF($I4821="","",IF(ISNUMBER($I4821),TEXT($I4821,"0"),$I4821))</f>
        <v/>
      </c>
    </row>
    <row r="4822">
      <c r="B4822" s="25" t="n"/>
      <c r="I4822" s="25" t="n"/>
      <c r="U4822" s="19">
        <f>IF(AND($V4822='設定'!$C$4,COUNTIF('商品マスタ'!$B$6:$B$1005,$W4822)=0),N(U4821)+1,N(U4821))</f>
        <v/>
      </c>
      <c r="V4822" s="19">
        <f>IF($B4822="","",TEXT($B4822,"0000"))</f>
        <v/>
      </c>
      <c r="W4822" s="19">
        <f>IF($I4822="","",IF(ISNUMBER($I4822),TEXT($I4822,"0"),$I4822))</f>
        <v/>
      </c>
    </row>
    <row r="4823">
      <c r="B4823" s="25" t="n"/>
      <c r="I4823" s="25" t="n"/>
      <c r="U4823" s="19">
        <f>IF(AND($V4823='設定'!$C$4,COUNTIF('商品マスタ'!$B$6:$B$1005,$W4823)=0),N(U4822)+1,N(U4822))</f>
        <v/>
      </c>
      <c r="V4823" s="19">
        <f>IF($B4823="","",TEXT($B4823,"0000"))</f>
        <v/>
      </c>
      <c r="W4823" s="19">
        <f>IF($I4823="","",IF(ISNUMBER($I4823),TEXT($I4823,"0"),$I4823))</f>
        <v/>
      </c>
    </row>
    <row r="4824">
      <c r="B4824" s="25" t="n"/>
      <c r="I4824" s="25" t="n"/>
      <c r="U4824" s="19">
        <f>IF(AND($V4824='設定'!$C$4,COUNTIF('商品マスタ'!$B$6:$B$1005,$W4824)=0),N(U4823)+1,N(U4823))</f>
        <v/>
      </c>
      <c r="V4824" s="19">
        <f>IF($B4824="","",TEXT($B4824,"0000"))</f>
        <v/>
      </c>
      <c r="W4824" s="19">
        <f>IF($I4824="","",IF(ISNUMBER($I4824),TEXT($I4824,"0"),$I4824))</f>
        <v/>
      </c>
    </row>
    <row r="4825">
      <c r="B4825" s="25" t="n"/>
      <c r="I4825" s="25" t="n"/>
      <c r="U4825" s="19">
        <f>IF(AND($V4825='設定'!$C$4,COUNTIF('商品マスタ'!$B$6:$B$1005,$W4825)=0),N(U4824)+1,N(U4824))</f>
        <v/>
      </c>
      <c r="V4825" s="19">
        <f>IF($B4825="","",TEXT($B4825,"0000"))</f>
        <v/>
      </c>
      <c r="W4825" s="19">
        <f>IF($I4825="","",IF(ISNUMBER($I4825),TEXT($I4825,"0"),$I4825))</f>
        <v/>
      </c>
    </row>
    <row r="4826">
      <c r="B4826" s="25" t="n"/>
      <c r="I4826" s="25" t="n"/>
      <c r="U4826" s="19">
        <f>IF(AND($V4826='設定'!$C$4,COUNTIF('商品マスタ'!$B$6:$B$1005,$W4826)=0),N(U4825)+1,N(U4825))</f>
        <v/>
      </c>
      <c r="V4826" s="19">
        <f>IF($B4826="","",TEXT($B4826,"0000"))</f>
        <v/>
      </c>
      <c r="W4826" s="19">
        <f>IF($I4826="","",IF(ISNUMBER($I4826),TEXT($I4826,"0"),$I4826))</f>
        <v/>
      </c>
    </row>
    <row r="4827">
      <c r="B4827" s="25" t="n"/>
      <c r="I4827" s="25" t="n"/>
      <c r="U4827" s="19">
        <f>IF(AND($V4827='設定'!$C$4,COUNTIF('商品マスタ'!$B$6:$B$1005,$W4827)=0),N(U4826)+1,N(U4826))</f>
        <v/>
      </c>
      <c r="V4827" s="19">
        <f>IF($B4827="","",TEXT($B4827,"0000"))</f>
        <v/>
      </c>
      <c r="W4827" s="19">
        <f>IF($I4827="","",IF(ISNUMBER($I4827),TEXT($I4827,"0"),$I4827))</f>
        <v/>
      </c>
    </row>
    <row r="4828">
      <c r="B4828" s="25" t="n"/>
      <c r="I4828" s="25" t="n"/>
      <c r="U4828" s="19">
        <f>IF(AND($V4828='設定'!$C$4,COUNTIF('商品マスタ'!$B$6:$B$1005,$W4828)=0),N(U4827)+1,N(U4827))</f>
        <v/>
      </c>
      <c r="V4828" s="19">
        <f>IF($B4828="","",TEXT($B4828,"0000"))</f>
        <v/>
      </c>
      <c r="W4828" s="19">
        <f>IF($I4828="","",IF(ISNUMBER($I4828),TEXT($I4828,"0"),$I4828))</f>
        <v/>
      </c>
    </row>
    <row r="4829">
      <c r="B4829" s="25" t="n"/>
      <c r="I4829" s="25" t="n"/>
      <c r="U4829" s="19">
        <f>IF(AND($V4829='設定'!$C$4,COUNTIF('商品マスタ'!$B$6:$B$1005,$W4829)=0),N(U4828)+1,N(U4828))</f>
        <v/>
      </c>
      <c r="V4829" s="19">
        <f>IF($B4829="","",TEXT($B4829,"0000"))</f>
        <v/>
      </c>
      <c r="W4829" s="19">
        <f>IF($I4829="","",IF(ISNUMBER($I4829),TEXT($I4829,"0"),$I4829))</f>
        <v/>
      </c>
    </row>
    <row r="4830">
      <c r="B4830" s="25" t="n"/>
      <c r="I4830" s="25" t="n"/>
      <c r="U4830" s="19">
        <f>IF(AND($V4830='設定'!$C$4,COUNTIF('商品マスタ'!$B$6:$B$1005,$W4830)=0),N(U4829)+1,N(U4829))</f>
        <v/>
      </c>
      <c r="V4830" s="19">
        <f>IF($B4830="","",TEXT($B4830,"0000"))</f>
        <v/>
      </c>
      <c r="W4830" s="19">
        <f>IF($I4830="","",IF(ISNUMBER($I4830),TEXT($I4830,"0"),$I4830))</f>
        <v/>
      </c>
    </row>
    <row r="4831">
      <c r="B4831" s="25" t="n"/>
      <c r="I4831" s="25" t="n"/>
      <c r="U4831" s="19">
        <f>IF(AND($V4831='設定'!$C$4,COUNTIF('商品マスタ'!$B$6:$B$1005,$W4831)=0),N(U4830)+1,N(U4830))</f>
        <v/>
      </c>
      <c r="V4831" s="19">
        <f>IF($B4831="","",TEXT($B4831,"0000"))</f>
        <v/>
      </c>
      <c r="W4831" s="19">
        <f>IF($I4831="","",IF(ISNUMBER($I4831),TEXT($I4831,"0"),$I4831))</f>
        <v/>
      </c>
    </row>
    <row r="4832">
      <c r="B4832" s="25" t="n"/>
      <c r="I4832" s="25" t="n"/>
      <c r="U4832" s="19">
        <f>IF(AND($V4832='設定'!$C$4,COUNTIF('商品マスタ'!$B$6:$B$1005,$W4832)=0),N(U4831)+1,N(U4831))</f>
        <v/>
      </c>
      <c r="V4832" s="19">
        <f>IF($B4832="","",TEXT($B4832,"0000"))</f>
        <v/>
      </c>
      <c r="W4832" s="19">
        <f>IF($I4832="","",IF(ISNUMBER($I4832),TEXT($I4832,"0"),$I4832))</f>
        <v/>
      </c>
    </row>
    <row r="4833">
      <c r="B4833" s="25" t="n"/>
      <c r="I4833" s="25" t="n"/>
      <c r="U4833" s="19">
        <f>IF(AND($V4833='設定'!$C$4,COUNTIF('商品マスタ'!$B$6:$B$1005,$W4833)=0),N(U4832)+1,N(U4832))</f>
        <v/>
      </c>
      <c r="V4833" s="19">
        <f>IF($B4833="","",TEXT($B4833,"0000"))</f>
        <v/>
      </c>
      <c r="W4833" s="19">
        <f>IF($I4833="","",IF(ISNUMBER($I4833),TEXT($I4833,"0"),$I4833))</f>
        <v/>
      </c>
    </row>
    <row r="4834">
      <c r="B4834" s="25" t="n"/>
      <c r="I4834" s="25" t="n"/>
      <c r="U4834" s="19">
        <f>IF(AND($V4834='設定'!$C$4,COUNTIF('商品マスタ'!$B$6:$B$1005,$W4834)=0),N(U4833)+1,N(U4833))</f>
        <v/>
      </c>
      <c r="V4834" s="19">
        <f>IF($B4834="","",TEXT($B4834,"0000"))</f>
        <v/>
      </c>
      <c r="W4834" s="19">
        <f>IF($I4834="","",IF(ISNUMBER($I4834),TEXT($I4834,"0"),$I4834))</f>
        <v/>
      </c>
    </row>
    <row r="4835">
      <c r="B4835" s="25" t="n"/>
      <c r="I4835" s="25" t="n"/>
      <c r="U4835" s="19">
        <f>IF(AND($V4835='設定'!$C$4,COUNTIF('商品マスタ'!$B$6:$B$1005,$W4835)=0),N(U4834)+1,N(U4834))</f>
        <v/>
      </c>
      <c r="V4835" s="19">
        <f>IF($B4835="","",TEXT($B4835,"0000"))</f>
        <v/>
      </c>
      <c r="W4835" s="19">
        <f>IF($I4835="","",IF(ISNUMBER($I4835),TEXT($I4835,"0"),$I4835))</f>
        <v/>
      </c>
    </row>
    <row r="4836">
      <c r="B4836" s="25" t="n"/>
      <c r="I4836" s="25" t="n"/>
      <c r="U4836" s="19">
        <f>IF(AND($V4836='設定'!$C$4,COUNTIF('商品マスタ'!$B$6:$B$1005,$W4836)=0),N(U4835)+1,N(U4835))</f>
        <v/>
      </c>
      <c r="V4836" s="19">
        <f>IF($B4836="","",TEXT($B4836,"0000"))</f>
        <v/>
      </c>
      <c r="W4836" s="19">
        <f>IF($I4836="","",IF(ISNUMBER($I4836),TEXT($I4836,"0"),$I4836))</f>
        <v/>
      </c>
    </row>
    <row r="4837">
      <c r="B4837" s="25" t="n"/>
      <c r="I4837" s="25" t="n"/>
      <c r="U4837" s="19">
        <f>IF(AND($V4837='設定'!$C$4,COUNTIF('商品マスタ'!$B$6:$B$1005,$W4837)=0),N(U4836)+1,N(U4836))</f>
        <v/>
      </c>
      <c r="V4837" s="19">
        <f>IF($B4837="","",TEXT($B4837,"0000"))</f>
        <v/>
      </c>
      <c r="W4837" s="19">
        <f>IF($I4837="","",IF(ISNUMBER($I4837),TEXT($I4837,"0"),$I4837))</f>
        <v/>
      </c>
    </row>
    <row r="4838">
      <c r="B4838" s="25" t="n"/>
      <c r="I4838" s="25" t="n"/>
      <c r="U4838" s="19">
        <f>IF(AND($V4838='設定'!$C$4,COUNTIF('商品マスタ'!$B$6:$B$1005,$W4838)=0),N(U4837)+1,N(U4837))</f>
        <v/>
      </c>
      <c r="V4838" s="19">
        <f>IF($B4838="","",TEXT($B4838,"0000"))</f>
        <v/>
      </c>
      <c r="W4838" s="19">
        <f>IF($I4838="","",IF(ISNUMBER($I4838),TEXT($I4838,"0"),$I4838))</f>
        <v/>
      </c>
    </row>
    <row r="4839">
      <c r="B4839" s="25" t="n"/>
      <c r="I4839" s="25" t="n"/>
      <c r="U4839" s="19">
        <f>IF(AND($V4839='設定'!$C$4,COUNTIF('商品マスタ'!$B$6:$B$1005,$W4839)=0),N(U4838)+1,N(U4838))</f>
        <v/>
      </c>
      <c r="V4839" s="19">
        <f>IF($B4839="","",TEXT($B4839,"0000"))</f>
        <v/>
      </c>
      <c r="W4839" s="19">
        <f>IF($I4839="","",IF(ISNUMBER($I4839),TEXT($I4839,"0"),$I4839))</f>
        <v/>
      </c>
    </row>
    <row r="4840">
      <c r="B4840" s="25" t="n"/>
      <c r="I4840" s="25" t="n"/>
      <c r="U4840" s="19">
        <f>IF(AND($V4840='設定'!$C$4,COUNTIF('商品マスタ'!$B$6:$B$1005,$W4840)=0),N(U4839)+1,N(U4839))</f>
        <v/>
      </c>
      <c r="V4840" s="19">
        <f>IF($B4840="","",TEXT($B4840,"0000"))</f>
        <v/>
      </c>
      <c r="W4840" s="19">
        <f>IF($I4840="","",IF(ISNUMBER($I4840),TEXT($I4840,"0"),$I4840))</f>
        <v/>
      </c>
    </row>
    <row r="4841">
      <c r="B4841" s="25" t="n"/>
      <c r="I4841" s="25" t="n"/>
      <c r="U4841" s="19">
        <f>IF(AND($V4841='設定'!$C$4,COUNTIF('商品マスタ'!$B$6:$B$1005,$W4841)=0),N(U4840)+1,N(U4840))</f>
        <v/>
      </c>
      <c r="V4841" s="19">
        <f>IF($B4841="","",TEXT($B4841,"0000"))</f>
        <v/>
      </c>
      <c r="W4841" s="19">
        <f>IF($I4841="","",IF(ISNUMBER($I4841),TEXT($I4841,"0"),$I4841))</f>
        <v/>
      </c>
    </row>
    <row r="4842">
      <c r="B4842" s="25" t="n"/>
      <c r="I4842" s="25" t="n"/>
      <c r="U4842" s="19">
        <f>IF(AND($V4842='設定'!$C$4,COUNTIF('商品マスタ'!$B$6:$B$1005,$W4842)=0),N(U4841)+1,N(U4841))</f>
        <v/>
      </c>
      <c r="V4842" s="19">
        <f>IF($B4842="","",TEXT($B4842,"0000"))</f>
        <v/>
      </c>
      <c r="W4842" s="19">
        <f>IF($I4842="","",IF(ISNUMBER($I4842),TEXT($I4842,"0"),$I4842))</f>
        <v/>
      </c>
    </row>
    <row r="4843">
      <c r="B4843" s="25" t="n"/>
      <c r="I4843" s="25" t="n"/>
      <c r="U4843" s="19">
        <f>IF(AND($V4843='設定'!$C$4,COUNTIF('商品マスタ'!$B$6:$B$1005,$W4843)=0),N(U4842)+1,N(U4842))</f>
        <v/>
      </c>
      <c r="V4843" s="19">
        <f>IF($B4843="","",TEXT($B4843,"0000"))</f>
        <v/>
      </c>
      <c r="W4843" s="19">
        <f>IF($I4843="","",IF(ISNUMBER($I4843),TEXT($I4843,"0"),$I4843))</f>
        <v/>
      </c>
    </row>
    <row r="4844">
      <c r="B4844" s="25" t="n"/>
      <c r="I4844" s="25" t="n"/>
      <c r="U4844" s="19">
        <f>IF(AND($V4844='設定'!$C$4,COUNTIF('商品マスタ'!$B$6:$B$1005,$W4844)=0),N(U4843)+1,N(U4843))</f>
        <v/>
      </c>
      <c r="V4844" s="19">
        <f>IF($B4844="","",TEXT($B4844,"0000"))</f>
        <v/>
      </c>
      <c r="W4844" s="19">
        <f>IF($I4844="","",IF(ISNUMBER($I4844),TEXT($I4844,"0"),$I4844))</f>
        <v/>
      </c>
    </row>
    <row r="4845">
      <c r="B4845" s="25" t="n"/>
      <c r="I4845" s="25" t="n"/>
      <c r="U4845" s="19">
        <f>IF(AND($V4845='設定'!$C$4,COUNTIF('商品マスタ'!$B$6:$B$1005,$W4845)=0),N(U4844)+1,N(U4844))</f>
        <v/>
      </c>
      <c r="V4845" s="19">
        <f>IF($B4845="","",TEXT($B4845,"0000"))</f>
        <v/>
      </c>
      <c r="W4845" s="19">
        <f>IF($I4845="","",IF(ISNUMBER($I4845),TEXT($I4845,"0"),$I4845))</f>
        <v/>
      </c>
    </row>
    <row r="4846">
      <c r="B4846" s="25" t="n"/>
      <c r="I4846" s="25" t="n"/>
      <c r="U4846" s="19">
        <f>IF(AND($V4846='設定'!$C$4,COUNTIF('商品マスタ'!$B$6:$B$1005,$W4846)=0),N(U4845)+1,N(U4845))</f>
        <v/>
      </c>
      <c r="V4846" s="19">
        <f>IF($B4846="","",TEXT($B4846,"0000"))</f>
        <v/>
      </c>
      <c r="W4846" s="19">
        <f>IF($I4846="","",IF(ISNUMBER($I4846),TEXT($I4846,"0"),$I4846))</f>
        <v/>
      </c>
    </row>
    <row r="4847">
      <c r="B4847" s="25" t="n"/>
      <c r="I4847" s="25" t="n"/>
      <c r="U4847" s="19">
        <f>IF(AND($V4847='設定'!$C$4,COUNTIF('商品マスタ'!$B$6:$B$1005,$W4847)=0),N(U4846)+1,N(U4846))</f>
        <v/>
      </c>
      <c r="V4847" s="19">
        <f>IF($B4847="","",TEXT($B4847,"0000"))</f>
        <v/>
      </c>
      <c r="W4847" s="19">
        <f>IF($I4847="","",IF(ISNUMBER($I4847),TEXT($I4847,"0"),$I4847))</f>
        <v/>
      </c>
    </row>
    <row r="4848">
      <c r="B4848" s="25" t="n"/>
      <c r="I4848" s="25" t="n"/>
      <c r="U4848" s="19">
        <f>IF(AND($V4848='設定'!$C$4,COUNTIF('商品マスタ'!$B$6:$B$1005,$W4848)=0),N(U4847)+1,N(U4847))</f>
        <v/>
      </c>
      <c r="V4848" s="19">
        <f>IF($B4848="","",TEXT($B4848,"0000"))</f>
        <v/>
      </c>
      <c r="W4848" s="19">
        <f>IF($I4848="","",IF(ISNUMBER($I4848),TEXT($I4848,"0"),$I4848))</f>
        <v/>
      </c>
    </row>
    <row r="4849">
      <c r="B4849" s="25" t="n"/>
      <c r="I4849" s="25" t="n"/>
      <c r="U4849" s="19">
        <f>IF(AND($V4849='設定'!$C$4,COUNTIF('商品マスタ'!$B$6:$B$1005,$W4849)=0),N(U4848)+1,N(U4848))</f>
        <v/>
      </c>
      <c r="V4849" s="19">
        <f>IF($B4849="","",TEXT($B4849,"0000"))</f>
        <v/>
      </c>
      <c r="W4849" s="19">
        <f>IF($I4849="","",IF(ISNUMBER($I4849),TEXT($I4849,"0"),$I4849))</f>
        <v/>
      </c>
    </row>
    <row r="4850">
      <c r="B4850" s="25" t="n"/>
      <c r="I4850" s="25" t="n"/>
      <c r="U4850" s="19">
        <f>IF(AND($V4850='設定'!$C$4,COUNTIF('商品マスタ'!$B$6:$B$1005,$W4850)=0),N(U4849)+1,N(U4849))</f>
        <v/>
      </c>
      <c r="V4850" s="19">
        <f>IF($B4850="","",TEXT($B4850,"0000"))</f>
        <v/>
      </c>
      <c r="W4850" s="19">
        <f>IF($I4850="","",IF(ISNUMBER($I4850),TEXT($I4850,"0"),$I4850))</f>
        <v/>
      </c>
    </row>
    <row r="4851">
      <c r="B4851" s="25" t="n"/>
      <c r="I4851" s="25" t="n"/>
      <c r="U4851" s="19">
        <f>IF(AND($V4851='設定'!$C$4,COUNTIF('商品マスタ'!$B$6:$B$1005,$W4851)=0),N(U4850)+1,N(U4850))</f>
        <v/>
      </c>
      <c r="V4851" s="19">
        <f>IF($B4851="","",TEXT($B4851,"0000"))</f>
        <v/>
      </c>
      <c r="W4851" s="19">
        <f>IF($I4851="","",IF(ISNUMBER($I4851),TEXT($I4851,"0"),$I4851))</f>
        <v/>
      </c>
    </row>
    <row r="4852">
      <c r="B4852" s="25" t="n"/>
      <c r="I4852" s="25" t="n"/>
      <c r="U4852" s="19">
        <f>IF(AND($V4852='設定'!$C$4,COUNTIF('商品マスタ'!$B$6:$B$1005,$W4852)=0),N(U4851)+1,N(U4851))</f>
        <v/>
      </c>
      <c r="V4852" s="19">
        <f>IF($B4852="","",TEXT($B4852,"0000"))</f>
        <v/>
      </c>
      <c r="W4852" s="19">
        <f>IF($I4852="","",IF(ISNUMBER($I4852),TEXT($I4852,"0"),$I4852))</f>
        <v/>
      </c>
    </row>
    <row r="4853">
      <c r="B4853" s="25" t="n"/>
      <c r="I4853" s="25" t="n"/>
      <c r="U4853" s="19">
        <f>IF(AND($V4853='設定'!$C$4,COUNTIF('商品マスタ'!$B$6:$B$1005,$W4853)=0),N(U4852)+1,N(U4852))</f>
        <v/>
      </c>
      <c r="V4853" s="19">
        <f>IF($B4853="","",TEXT($B4853,"0000"))</f>
        <v/>
      </c>
      <c r="W4853" s="19">
        <f>IF($I4853="","",IF(ISNUMBER($I4853),TEXT($I4853,"0"),$I4853))</f>
        <v/>
      </c>
    </row>
    <row r="4854">
      <c r="B4854" s="25" t="n"/>
      <c r="I4854" s="25" t="n"/>
      <c r="U4854" s="19">
        <f>IF(AND($V4854='設定'!$C$4,COUNTIF('商品マスタ'!$B$6:$B$1005,$W4854)=0),N(U4853)+1,N(U4853))</f>
        <v/>
      </c>
      <c r="V4854" s="19">
        <f>IF($B4854="","",TEXT($B4854,"0000"))</f>
        <v/>
      </c>
      <c r="W4854" s="19">
        <f>IF($I4854="","",IF(ISNUMBER($I4854),TEXT($I4854,"0"),$I4854))</f>
        <v/>
      </c>
    </row>
    <row r="4855">
      <c r="B4855" s="25" t="n"/>
      <c r="I4855" s="25" t="n"/>
      <c r="U4855" s="19">
        <f>IF(AND($V4855='設定'!$C$4,COUNTIF('商品マスタ'!$B$6:$B$1005,$W4855)=0),N(U4854)+1,N(U4854))</f>
        <v/>
      </c>
      <c r="V4855" s="19">
        <f>IF($B4855="","",TEXT($B4855,"0000"))</f>
        <v/>
      </c>
      <c r="W4855" s="19">
        <f>IF($I4855="","",IF(ISNUMBER($I4855),TEXT($I4855,"0"),$I4855))</f>
        <v/>
      </c>
    </row>
    <row r="4856">
      <c r="B4856" s="25" t="n"/>
      <c r="I4856" s="25" t="n"/>
      <c r="U4856" s="19">
        <f>IF(AND($V4856='設定'!$C$4,COUNTIF('商品マスタ'!$B$6:$B$1005,$W4856)=0),N(U4855)+1,N(U4855))</f>
        <v/>
      </c>
      <c r="V4856" s="19">
        <f>IF($B4856="","",TEXT($B4856,"0000"))</f>
        <v/>
      </c>
      <c r="W4856" s="19">
        <f>IF($I4856="","",IF(ISNUMBER($I4856),TEXT($I4856,"0"),$I4856))</f>
        <v/>
      </c>
    </row>
    <row r="4857">
      <c r="B4857" s="25" t="n"/>
      <c r="I4857" s="25" t="n"/>
      <c r="U4857" s="19">
        <f>IF(AND($V4857='設定'!$C$4,COUNTIF('商品マスタ'!$B$6:$B$1005,$W4857)=0),N(U4856)+1,N(U4856))</f>
        <v/>
      </c>
      <c r="V4857" s="19">
        <f>IF($B4857="","",TEXT($B4857,"0000"))</f>
        <v/>
      </c>
      <c r="W4857" s="19">
        <f>IF($I4857="","",IF(ISNUMBER($I4857),TEXT($I4857,"0"),$I4857))</f>
        <v/>
      </c>
    </row>
    <row r="4858">
      <c r="B4858" s="25" t="n"/>
      <c r="I4858" s="25" t="n"/>
      <c r="U4858" s="19">
        <f>IF(AND($V4858='設定'!$C$4,COUNTIF('商品マスタ'!$B$6:$B$1005,$W4858)=0),N(U4857)+1,N(U4857))</f>
        <v/>
      </c>
      <c r="V4858" s="19">
        <f>IF($B4858="","",TEXT($B4858,"0000"))</f>
        <v/>
      </c>
      <c r="W4858" s="19">
        <f>IF($I4858="","",IF(ISNUMBER($I4858),TEXT($I4858,"0"),$I4858))</f>
        <v/>
      </c>
    </row>
    <row r="4859">
      <c r="B4859" s="25" t="n"/>
      <c r="I4859" s="25" t="n"/>
      <c r="U4859" s="19">
        <f>IF(AND($V4859='設定'!$C$4,COUNTIF('商品マスタ'!$B$6:$B$1005,$W4859)=0),N(U4858)+1,N(U4858))</f>
        <v/>
      </c>
      <c r="V4859" s="19">
        <f>IF($B4859="","",TEXT($B4859,"0000"))</f>
        <v/>
      </c>
      <c r="W4859" s="19">
        <f>IF($I4859="","",IF(ISNUMBER($I4859),TEXT($I4859,"0"),$I4859))</f>
        <v/>
      </c>
    </row>
    <row r="4860">
      <c r="B4860" s="25" t="n"/>
      <c r="I4860" s="25" t="n"/>
      <c r="U4860" s="19">
        <f>IF(AND($V4860='設定'!$C$4,COUNTIF('商品マスタ'!$B$6:$B$1005,$W4860)=0),N(U4859)+1,N(U4859))</f>
        <v/>
      </c>
      <c r="V4860" s="19">
        <f>IF($B4860="","",TEXT($B4860,"0000"))</f>
        <v/>
      </c>
      <c r="W4860" s="19">
        <f>IF($I4860="","",IF(ISNUMBER($I4860),TEXT($I4860,"0"),$I4860))</f>
        <v/>
      </c>
    </row>
    <row r="4861">
      <c r="B4861" s="25" t="n"/>
      <c r="I4861" s="25" t="n"/>
      <c r="U4861" s="19">
        <f>IF(AND($V4861='設定'!$C$4,COUNTIF('商品マスタ'!$B$6:$B$1005,$W4861)=0),N(U4860)+1,N(U4860))</f>
        <v/>
      </c>
      <c r="V4861" s="19">
        <f>IF($B4861="","",TEXT($B4861,"0000"))</f>
        <v/>
      </c>
      <c r="W4861" s="19">
        <f>IF($I4861="","",IF(ISNUMBER($I4861),TEXT($I4861,"0"),$I4861))</f>
        <v/>
      </c>
    </row>
    <row r="4862">
      <c r="B4862" s="25" t="n"/>
      <c r="I4862" s="25" t="n"/>
      <c r="U4862" s="19">
        <f>IF(AND($V4862='設定'!$C$4,COUNTIF('商品マスタ'!$B$6:$B$1005,$W4862)=0),N(U4861)+1,N(U4861))</f>
        <v/>
      </c>
      <c r="V4862" s="19">
        <f>IF($B4862="","",TEXT($B4862,"0000"))</f>
        <v/>
      </c>
      <c r="W4862" s="19">
        <f>IF($I4862="","",IF(ISNUMBER($I4862),TEXT($I4862,"0"),$I4862))</f>
        <v/>
      </c>
    </row>
    <row r="4863">
      <c r="B4863" s="25" t="n"/>
      <c r="I4863" s="25" t="n"/>
      <c r="U4863" s="19">
        <f>IF(AND($V4863='設定'!$C$4,COUNTIF('商品マスタ'!$B$6:$B$1005,$W4863)=0),N(U4862)+1,N(U4862))</f>
        <v/>
      </c>
      <c r="V4863" s="19">
        <f>IF($B4863="","",TEXT($B4863,"0000"))</f>
        <v/>
      </c>
      <c r="W4863" s="19">
        <f>IF($I4863="","",IF(ISNUMBER($I4863),TEXT($I4863,"0"),$I4863))</f>
        <v/>
      </c>
    </row>
    <row r="4864">
      <c r="B4864" s="25" t="n"/>
      <c r="I4864" s="25" t="n"/>
      <c r="U4864" s="19">
        <f>IF(AND($V4864='設定'!$C$4,COUNTIF('商品マスタ'!$B$6:$B$1005,$W4864)=0),N(U4863)+1,N(U4863))</f>
        <v/>
      </c>
      <c r="V4864" s="19">
        <f>IF($B4864="","",TEXT($B4864,"0000"))</f>
        <v/>
      </c>
      <c r="W4864" s="19">
        <f>IF($I4864="","",IF(ISNUMBER($I4864),TEXT($I4864,"0"),$I4864))</f>
        <v/>
      </c>
    </row>
    <row r="4865">
      <c r="B4865" s="25" t="n"/>
      <c r="I4865" s="25" t="n"/>
      <c r="U4865" s="19">
        <f>IF(AND($V4865='設定'!$C$4,COUNTIF('商品マスタ'!$B$6:$B$1005,$W4865)=0),N(U4864)+1,N(U4864))</f>
        <v/>
      </c>
      <c r="V4865" s="19">
        <f>IF($B4865="","",TEXT($B4865,"0000"))</f>
        <v/>
      </c>
      <c r="W4865" s="19">
        <f>IF($I4865="","",IF(ISNUMBER($I4865),TEXT($I4865,"0"),$I4865))</f>
        <v/>
      </c>
    </row>
    <row r="4866">
      <c r="B4866" s="25" t="n"/>
      <c r="I4866" s="25" t="n"/>
      <c r="U4866" s="19">
        <f>IF(AND($V4866='設定'!$C$4,COUNTIF('商品マスタ'!$B$6:$B$1005,$W4866)=0),N(U4865)+1,N(U4865))</f>
        <v/>
      </c>
      <c r="V4866" s="19">
        <f>IF($B4866="","",TEXT($B4866,"0000"))</f>
        <v/>
      </c>
      <c r="W4866" s="19">
        <f>IF($I4866="","",IF(ISNUMBER($I4866),TEXT($I4866,"0"),$I4866))</f>
        <v/>
      </c>
    </row>
    <row r="4867">
      <c r="B4867" s="25" t="n"/>
      <c r="I4867" s="25" t="n"/>
      <c r="U4867" s="19">
        <f>IF(AND($V4867='設定'!$C$4,COUNTIF('商品マスタ'!$B$6:$B$1005,$W4867)=0),N(U4866)+1,N(U4866))</f>
        <v/>
      </c>
      <c r="V4867" s="19">
        <f>IF($B4867="","",TEXT($B4867,"0000"))</f>
        <v/>
      </c>
      <c r="W4867" s="19">
        <f>IF($I4867="","",IF(ISNUMBER($I4867),TEXT($I4867,"0"),$I4867))</f>
        <v/>
      </c>
    </row>
    <row r="4868">
      <c r="B4868" s="25" t="n"/>
      <c r="I4868" s="25" t="n"/>
      <c r="U4868" s="19">
        <f>IF(AND($V4868='設定'!$C$4,COUNTIF('商品マスタ'!$B$6:$B$1005,$W4868)=0),N(U4867)+1,N(U4867))</f>
        <v/>
      </c>
      <c r="V4868" s="19">
        <f>IF($B4868="","",TEXT($B4868,"0000"))</f>
        <v/>
      </c>
      <c r="W4868" s="19">
        <f>IF($I4868="","",IF(ISNUMBER($I4868),TEXT($I4868,"0"),$I4868))</f>
        <v/>
      </c>
    </row>
    <row r="4869">
      <c r="B4869" s="25" t="n"/>
      <c r="I4869" s="25" t="n"/>
      <c r="U4869" s="19">
        <f>IF(AND($V4869='設定'!$C$4,COUNTIF('商品マスタ'!$B$6:$B$1005,$W4869)=0),N(U4868)+1,N(U4868))</f>
        <v/>
      </c>
      <c r="V4869" s="19">
        <f>IF($B4869="","",TEXT($B4869,"0000"))</f>
        <v/>
      </c>
      <c r="W4869" s="19">
        <f>IF($I4869="","",IF(ISNUMBER($I4869),TEXT($I4869,"0"),$I4869))</f>
        <v/>
      </c>
    </row>
    <row r="4870">
      <c r="B4870" s="25" t="n"/>
      <c r="I4870" s="25" t="n"/>
      <c r="U4870" s="19">
        <f>IF(AND($V4870='設定'!$C$4,COUNTIF('商品マスタ'!$B$6:$B$1005,$W4870)=0),N(U4869)+1,N(U4869))</f>
        <v/>
      </c>
      <c r="V4870" s="19">
        <f>IF($B4870="","",TEXT($B4870,"0000"))</f>
        <v/>
      </c>
      <c r="W4870" s="19">
        <f>IF($I4870="","",IF(ISNUMBER($I4870),TEXT($I4870,"0"),$I4870))</f>
        <v/>
      </c>
    </row>
    <row r="4871">
      <c r="B4871" s="25" t="n"/>
      <c r="I4871" s="25" t="n"/>
      <c r="U4871" s="19">
        <f>IF(AND($V4871='設定'!$C$4,COUNTIF('商品マスタ'!$B$6:$B$1005,$W4871)=0),N(U4870)+1,N(U4870))</f>
        <v/>
      </c>
      <c r="V4871" s="19">
        <f>IF($B4871="","",TEXT($B4871,"0000"))</f>
        <v/>
      </c>
      <c r="W4871" s="19">
        <f>IF($I4871="","",IF(ISNUMBER($I4871),TEXT($I4871,"0"),$I4871))</f>
        <v/>
      </c>
    </row>
    <row r="4872">
      <c r="B4872" s="25" t="n"/>
      <c r="I4872" s="25" t="n"/>
      <c r="U4872" s="19">
        <f>IF(AND($V4872='設定'!$C$4,COUNTIF('商品マスタ'!$B$6:$B$1005,$W4872)=0),N(U4871)+1,N(U4871))</f>
        <v/>
      </c>
      <c r="V4872" s="19">
        <f>IF($B4872="","",TEXT($B4872,"0000"))</f>
        <v/>
      </c>
      <c r="W4872" s="19">
        <f>IF($I4872="","",IF(ISNUMBER($I4872),TEXT($I4872,"0"),$I4872))</f>
        <v/>
      </c>
    </row>
    <row r="4873">
      <c r="B4873" s="25" t="n"/>
      <c r="I4873" s="25" t="n"/>
      <c r="U4873" s="19">
        <f>IF(AND($V4873='設定'!$C$4,COUNTIF('商品マスタ'!$B$6:$B$1005,$W4873)=0),N(U4872)+1,N(U4872))</f>
        <v/>
      </c>
      <c r="V4873" s="19">
        <f>IF($B4873="","",TEXT($B4873,"0000"))</f>
        <v/>
      </c>
      <c r="W4873" s="19">
        <f>IF($I4873="","",IF(ISNUMBER($I4873),TEXT($I4873,"0"),$I4873))</f>
        <v/>
      </c>
    </row>
    <row r="4874">
      <c r="B4874" s="25" t="n"/>
      <c r="I4874" s="25" t="n"/>
      <c r="U4874" s="19">
        <f>IF(AND($V4874='設定'!$C$4,COUNTIF('商品マスタ'!$B$6:$B$1005,$W4874)=0),N(U4873)+1,N(U4873))</f>
        <v/>
      </c>
      <c r="V4874" s="19">
        <f>IF($B4874="","",TEXT($B4874,"0000"))</f>
        <v/>
      </c>
      <c r="W4874" s="19">
        <f>IF($I4874="","",IF(ISNUMBER($I4874),TEXT($I4874,"0"),$I4874))</f>
        <v/>
      </c>
    </row>
    <row r="4875">
      <c r="B4875" s="25" t="n"/>
      <c r="I4875" s="25" t="n"/>
      <c r="U4875" s="19">
        <f>IF(AND($V4875='設定'!$C$4,COUNTIF('商品マスタ'!$B$6:$B$1005,$W4875)=0),N(U4874)+1,N(U4874))</f>
        <v/>
      </c>
      <c r="V4875" s="19">
        <f>IF($B4875="","",TEXT($B4875,"0000"))</f>
        <v/>
      </c>
      <c r="W4875" s="19">
        <f>IF($I4875="","",IF(ISNUMBER($I4875),TEXT($I4875,"0"),$I4875))</f>
        <v/>
      </c>
    </row>
    <row r="4876">
      <c r="B4876" s="25" t="n"/>
      <c r="I4876" s="25" t="n"/>
      <c r="U4876" s="19">
        <f>IF(AND($V4876='設定'!$C$4,COUNTIF('商品マスタ'!$B$6:$B$1005,$W4876)=0),N(U4875)+1,N(U4875))</f>
        <v/>
      </c>
      <c r="V4876" s="19">
        <f>IF($B4876="","",TEXT($B4876,"0000"))</f>
        <v/>
      </c>
      <c r="W4876" s="19">
        <f>IF($I4876="","",IF(ISNUMBER($I4876),TEXT($I4876,"0"),$I4876))</f>
        <v/>
      </c>
    </row>
    <row r="4877">
      <c r="B4877" s="25" t="n"/>
      <c r="I4877" s="25" t="n"/>
      <c r="U4877" s="19">
        <f>IF(AND($V4877='設定'!$C$4,COUNTIF('商品マスタ'!$B$6:$B$1005,$W4877)=0),N(U4876)+1,N(U4876))</f>
        <v/>
      </c>
      <c r="V4877" s="19">
        <f>IF($B4877="","",TEXT($B4877,"0000"))</f>
        <v/>
      </c>
      <c r="W4877" s="19">
        <f>IF($I4877="","",IF(ISNUMBER($I4877),TEXT($I4877,"0"),$I4877))</f>
        <v/>
      </c>
    </row>
    <row r="4878">
      <c r="B4878" s="25" t="n"/>
      <c r="I4878" s="25" t="n"/>
      <c r="U4878" s="19">
        <f>IF(AND($V4878='設定'!$C$4,COUNTIF('商品マスタ'!$B$6:$B$1005,$W4878)=0),N(U4877)+1,N(U4877))</f>
        <v/>
      </c>
      <c r="V4878" s="19">
        <f>IF($B4878="","",TEXT($B4878,"0000"))</f>
        <v/>
      </c>
      <c r="W4878" s="19">
        <f>IF($I4878="","",IF(ISNUMBER($I4878),TEXT($I4878,"0"),$I4878))</f>
        <v/>
      </c>
    </row>
    <row r="4879">
      <c r="B4879" s="25" t="n"/>
      <c r="I4879" s="25" t="n"/>
      <c r="U4879" s="19">
        <f>IF(AND($V4879='設定'!$C$4,COUNTIF('商品マスタ'!$B$6:$B$1005,$W4879)=0),N(U4878)+1,N(U4878))</f>
        <v/>
      </c>
      <c r="V4879" s="19">
        <f>IF($B4879="","",TEXT($B4879,"0000"))</f>
        <v/>
      </c>
      <c r="W4879" s="19">
        <f>IF($I4879="","",IF(ISNUMBER($I4879),TEXT($I4879,"0"),$I4879))</f>
        <v/>
      </c>
    </row>
    <row r="4880">
      <c r="B4880" s="25" t="n"/>
      <c r="I4880" s="25" t="n"/>
      <c r="U4880" s="19">
        <f>IF(AND($V4880='設定'!$C$4,COUNTIF('商品マスタ'!$B$6:$B$1005,$W4880)=0),N(U4879)+1,N(U4879))</f>
        <v/>
      </c>
      <c r="V4880" s="19">
        <f>IF($B4880="","",TEXT($B4880,"0000"))</f>
        <v/>
      </c>
      <c r="W4880" s="19">
        <f>IF($I4880="","",IF(ISNUMBER($I4880),TEXT($I4880,"0"),$I4880))</f>
        <v/>
      </c>
    </row>
    <row r="4881">
      <c r="B4881" s="25" t="n"/>
      <c r="I4881" s="25" t="n"/>
      <c r="U4881" s="19">
        <f>IF(AND($V4881='設定'!$C$4,COUNTIF('商品マスタ'!$B$6:$B$1005,$W4881)=0),N(U4880)+1,N(U4880))</f>
        <v/>
      </c>
      <c r="V4881" s="19">
        <f>IF($B4881="","",TEXT($B4881,"0000"))</f>
        <v/>
      </c>
      <c r="W4881" s="19">
        <f>IF($I4881="","",IF(ISNUMBER($I4881),TEXT($I4881,"0"),$I4881))</f>
        <v/>
      </c>
    </row>
    <row r="4882">
      <c r="B4882" s="25" t="n"/>
      <c r="I4882" s="25" t="n"/>
      <c r="U4882" s="19">
        <f>IF(AND($V4882='設定'!$C$4,COUNTIF('商品マスタ'!$B$6:$B$1005,$W4882)=0),N(U4881)+1,N(U4881))</f>
        <v/>
      </c>
      <c r="V4882" s="19">
        <f>IF($B4882="","",TEXT($B4882,"0000"))</f>
        <v/>
      </c>
      <c r="W4882" s="19">
        <f>IF($I4882="","",IF(ISNUMBER($I4882),TEXT($I4882,"0"),$I4882))</f>
        <v/>
      </c>
    </row>
    <row r="4883">
      <c r="B4883" s="25" t="n"/>
      <c r="I4883" s="25" t="n"/>
      <c r="U4883" s="19">
        <f>IF(AND($V4883='設定'!$C$4,COUNTIF('商品マスタ'!$B$6:$B$1005,$W4883)=0),N(U4882)+1,N(U4882))</f>
        <v/>
      </c>
      <c r="V4883" s="19">
        <f>IF($B4883="","",TEXT($B4883,"0000"))</f>
        <v/>
      </c>
      <c r="W4883" s="19">
        <f>IF($I4883="","",IF(ISNUMBER($I4883),TEXT($I4883,"0"),$I4883))</f>
        <v/>
      </c>
    </row>
    <row r="4884">
      <c r="B4884" s="25" t="n"/>
      <c r="I4884" s="25" t="n"/>
      <c r="U4884" s="19">
        <f>IF(AND($V4884='設定'!$C$4,COUNTIF('商品マスタ'!$B$6:$B$1005,$W4884)=0),N(U4883)+1,N(U4883))</f>
        <v/>
      </c>
      <c r="V4884" s="19">
        <f>IF($B4884="","",TEXT($B4884,"0000"))</f>
        <v/>
      </c>
      <c r="W4884" s="19">
        <f>IF($I4884="","",IF(ISNUMBER($I4884),TEXT($I4884,"0"),$I4884))</f>
        <v/>
      </c>
    </row>
    <row r="4885">
      <c r="B4885" s="25" t="n"/>
      <c r="I4885" s="25" t="n"/>
      <c r="U4885" s="19">
        <f>IF(AND($V4885='設定'!$C$4,COUNTIF('商品マスタ'!$B$6:$B$1005,$W4885)=0),N(U4884)+1,N(U4884))</f>
        <v/>
      </c>
      <c r="V4885" s="19">
        <f>IF($B4885="","",TEXT($B4885,"0000"))</f>
        <v/>
      </c>
      <c r="W4885" s="19">
        <f>IF($I4885="","",IF(ISNUMBER($I4885),TEXT($I4885,"0"),$I4885))</f>
        <v/>
      </c>
    </row>
    <row r="4886">
      <c r="B4886" s="25" t="n"/>
      <c r="I4886" s="25" t="n"/>
      <c r="U4886" s="19">
        <f>IF(AND($V4886='設定'!$C$4,COUNTIF('商品マスタ'!$B$6:$B$1005,$W4886)=0),N(U4885)+1,N(U4885))</f>
        <v/>
      </c>
      <c r="V4886" s="19">
        <f>IF($B4886="","",TEXT($B4886,"0000"))</f>
        <v/>
      </c>
      <c r="W4886" s="19">
        <f>IF($I4886="","",IF(ISNUMBER($I4886),TEXT($I4886,"0"),$I4886))</f>
        <v/>
      </c>
    </row>
    <row r="4887">
      <c r="B4887" s="25" t="n"/>
      <c r="I4887" s="25" t="n"/>
      <c r="U4887" s="19">
        <f>IF(AND($V4887='設定'!$C$4,COUNTIF('商品マスタ'!$B$6:$B$1005,$W4887)=0),N(U4886)+1,N(U4886))</f>
        <v/>
      </c>
      <c r="V4887" s="19">
        <f>IF($B4887="","",TEXT($B4887,"0000"))</f>
        <v/>
      </c>
      <c r="W4887" s="19">
        <f>IF($I4887="","",IF(ISNUMBER($I4887),TEXT($I4887,"0"),$I4887))</f>
        <v/>
      </c>
    </row>
    <row r="4888">
      <c r="B4888" s="25" t="n"/>
      <c r="I4888" s="25" t="n"/>
      <c r="U4888" s="19">
        <f>IF(AND($V4888='設定'!$C$4,COUNTIF('商品マスタ'!$B$6:$B$1005,$W4888)=0),N(U4887)+1,N(U4887))</f>
        <v/>
      </c>
      <c r="V4888" s="19">
        <f>IF($B4888="","",TEXT($B4888,"0000"))</f>
        <v/>
      </c>
      <c r="W4888" s="19">
        <f>IF($I4888="","",IF(ISNUMBER($I4888),TEXT($I4888,"0"),$I4888))</f>
        <v/>
      </c>
    </row>
    <row r="4889">
      <c r="B4889" s="25" t="n"/>
      <c r="I4889" s="25" t="n"/>
      <c r="U4889" s="19">
        <f>IF(AND($V4889='設定'!$C$4,COUNTIF('商品マスタ'!$B$6:$B$1005,$W4889)=0),N(U4888)+1,N(U4888))</f>
        <v/>
      </c>
      <c r="V4889" s="19">
        <f>IF($B4889="","",TEXT($B4889,"0000"))</f>
        <v/>
      </c>
      <c r="W4889" s="19">
        <f>IF($I4889="","",IF(ISNUMBER($I4889),TEXT($I4889,"0"),$I4889))</f>
        <v/>
      </c>
    </row>
    <row r="4890">
      <c r="B4890" s="25" t="n"/>
      <c r="I4890" s="25" t="n"/>
      <c r="U4890" s="19">
        <f>IF(AND($V4890='設定'!$C$4,COUNTIF('商品マスタ'!$B$6:$B$1005,$W4890)=0),N(U4889)+1,N(U4889))</f>
        <v/>
      </c>
      <c r="V4890" s="19">
        <f>IF($B4890="","",TEXT($B4890,"0000"))</f>
        <v/>
      </c>
      <c r="W4890" s="19">
        <f>IF($I4890="","",IF(ISNUMBER($I4890),TEXT($I4890,"0"),$I4890))</f>
        <v/>
      </c>
    </row>
    <row r="4891">
      <c r="B4891" s="25" t="n"/>
      <c r="I4891" s="25" t="n"/>
      <c r="U4891" s="19">
        <f>IF(AND($V4891='設定'!$C$4,COUNTIF('商品マスタ'!$B$6:$B$1005,$W4891)=0),N(U4890)+1,N(U4890))</f>
        <v/>
      </c>
      <c r="V4891" s="19">
        <f>IF($B4891="","",TEXT($B4891,"0000"))</f>
        <v/>
      </c>
      <c r="W4891" s="19">
        <f>IF($I4891="","",IF(ISNUMBER($I4891),TEXT($I4891,"0"),$I4891))</f>
        <v/>
      </c>
    </row>
    <row r="4892">
      <c r="B4892" s="25" t="n"/>
      <c r="I4892" s="25" t="n"/>
      <c r="U4892" s="19">
        <f>IF(AND($V4892='設定'!$C$4,COUNTIF('商品マスタ'!$B$6:$B$1005,$W4892)=0),N(U4891)+1,N(U4891))</f>
        <v/>
      </c>
      <c r="V4892" s="19">
        <f>IF($B4892="","",TEXT($B4892,"0000"))</f>
        <v/>
      </c>
      <c r="W4892" s="19">
        <f>IF($I4892="","",IF(ISNUMBER($I4892),TEXT($I4892,"0"),$I4892))</f>
        <v/>
      </c>
    </row>
    <row r="4893">
      <c r="B4893" s="25" t="n"/>
      <c r="I4893" s="25" t="n"/>
      <c r="U4893" s="19">
        <f>IF(AND($V4893='設定'!$C$4,COUNTIF('商品マスタ'!$B$6:$B$1005,$W4893)=0),N(U4892)+1,N(U4892))</f>
        <v/>
      </c>
      <c r="V4893" s="19">
        <f>IF($B4893="","",TEXT($B4893,"0000"))</f>
        <v/>
      </c>
      <c r="W4893" s="19">
        <f>IF($I4893="","",IF(ISNUMBER($I4893),TEXT($I4893,"0"),$I4893))</f>
        <v/>
      </c>
    </row>
    <row r="4894">
      <c r="B4894" s="25" t="n"/>
      <c r="I4894" s="25" t="n"/>
      <c r="U4894" s="19">
        <f>IF(AND($V4894='設定'!$C$4,COUNTIF('商品マスタ'!$B$6:$B$1005,$W4894)=0),N(U4893)+1,N(U4893))</f>
        <v/>
      </c>
      <c r="V4894" s="19">
        <f>IF($B4894="","",TEXT($B4894,"0000"))</f>
        <v/>
      </c>
      <c r="W4894" s="19">
        <f>IF($I4894="","",IF(ISNUMBER($I4894),TEXT($I4894,"0"),$I4894))</f>
        <v/>
      </c>
    </row>
    <row r="4895">
      <c r="B4895" s="25" t="n"/>
      <c r="I4895" s="25" t="n"/>
      <c r="U4895" s="19">
        <f>IF(AND($V4895='設定'!$C$4,COUNTIF('商品マスタ'!$B$6:$B$1005,$W4895)=0),N(U4894)+1,N(U4894))</f>
        <v/>
      </c>
      <c r="V4895" s="19">
        <f>IF($B4895="","",TEXT($B4895,"0000"))</f>
        <v/>
      </c>
      <c r="W4895" s="19">
        <f>IF($I4895="","",IF(ISNUMBER($I4895),TEXT($I4895,"0"),$I4895))</f>
        <v/>
      </c>
    </row>
    <row r="4896">
      <c r="B4896" s="25" t="n"/>
      <c r="I4896" s="25" t="n"/>
      <c r="U4896" s="19">
        <f>IF(AND($V4896='設定'!$C$4,COUNTIF('商品マスタ'!$B$6:$B$1005,$W4896)=0),N(U4895)+1,N(U4895))</f>
        <v/>
      </c>
      <c r="V4896" s="19">
        <f>IF($B4896="","",TEXT($B4896,"0000"))</f>
        <v/>
      </c>
      <c r="W4896" s="19">
        <f>IF($I4896="","",IF(ISNUMBER($I4896),TEXT($I4896,"0"),$I4896))</f>
        <v/>
      </c>
    </row>
    <row r="4897">
      <c r="B4897" s="25" t="n"/>
      <c r="I4897" s="25" t="n"/>
      <c r="U4897" s="19">
        <f>IF(AND($V4897='設定'!$C$4,COUNTIF('商品マスタ'!$B$6:$B$1005,$W4897)=0),N(U4896)+1,N(U4896))</f>
        <v/>
      </c>
      <c r="V4897" s="19">
        <f>IF($B4897="","",TEXT($B4897,"0000"))</f>
        <v/>
      </c>
      <c r="W4897" s="19">
        <f>IF($I4897="","",IF(ISNUMBER($I4897),TEXT($I4897,"0"),$I4897))</f>
        <v/>
      </c>
    </row>
    <row r="4898">
      <c r="B4898" s="25" t="n"/>
      <c r="I4898" s="25" t="n"/>
      <c r="U4898" s="19">
        <f>IF(AND($V4898='設定'!$C$4,COUNTIF('商品マスタ'!$B$6:$B$1005,$W4898)=0),N(U4897)+1,N(U4897))</f>
        <v/>
      </c>
      <c r="V4898" s="19">
        <f>IF($B4898="","",TEXT($B4898,"0000"))</f>
        <v/>
      </c>
      <c r="W4898" s="19">
        <f>IF($I4898="","",IF(ISNUMBER($I4898),TEXT($I4898,"0"),$I4898))</f>
        <v/>
      </c>
    </row>
    <row r="4899">
      <c r="B4899" s="25" t="n"/>
      <c r="I4899" s="25" t="n"/>
      <c r="U4899" s="19">
        <f>IF(AND($V4899='設定'!$C$4,COUNTIF('商品マスタ'!$B$6:$B$1005,$W4899)=0),N(U4898)+1,N(U4898))</f>
        <v/>
      </c>
      <c r="V4899" s="19">
        <f>IF($B4899="","",TEXT($B4899,"0000"))</f>
        <v/>
      </c>
      <c r="W4899" s="19">
        <f>IF($I4899="","",IF(ISNUMBER($I4899),TEXT($I4899,"0"),$I4899))</f>
        <v/>
      </c>
    </row>
    <row r="4900">
      <c r="B4900" s="25" t="n"/>
      <c r="I4900" s="25" t="n"/>
      <c r="U4900" s="19">
        <f>IF(AND($V4900='設定'!$C$4,COUNTIF('商品マスタ'!$B$6:$B$1005,$W4900)=0),N(U4899)+1,N(U4899))</f>
        <v/>
      </c>
      <c r="V4900" s="19">
        <f>IF($B4900="","",TEXT($B4900,"0000"))</f>
        <v/>
      </c>
      <c r="W4900" s="19">
        <f>IF($I4900="","",IF(ISNUMBER($I4900),TEXT($I4900,"0"),$I4900))</f>
        <v/>
      </c>
    </row>
    <row r="4901">
      <c r="B4901" s="25" t="n"/>
      <c r="I4901" s="25" t="n"/>
      <c r="U4901" s="19">
        <f>IF(AND($V4901='設定'!$C$4,COUNTIF('商品マスタ'!$B$6:$B$1005,$W4901)=0),N(U4900)+1,N(U4900))</f>
        <v/>
      </c>
      <c r="V4901" s="19">
        <f>IF($B4901="","",TEXT($B4901,"0000"))</f>
        <v/>
      </c>
      <c r="W4901" s="19">
        <f>IF($I4901="","",IF(ISNUMBER($I4901),TEXT($I4901,"0"),$I4901))</f>
        <v/>
      </c>
    </row>
    <row r="4902">
      <c r="B4902" s="25" t="n"/>
      <c r="I4902" s="25" t="n"/>
      <c r="U4902" s="19">
        <f>IF(AND($V4902='設定'!$C$4,COUNTIF('商品マスタ'!$B$6:$B$1005,$W4902)=0),N(U4901)+1,N(U4901))</f>
        <v/>
      </c>
      <c r="V4902" s="19">
        <f>IF($B4902="","",TEXT($B4902,"0000"))</f>
        <v/>
      </c>
      <c r="W4902" s="19">
        <f>IF($I4902="","",IF(ISNUMBER($I4902),TEXT($I4902,"0"),$I4902))</f>
        <v/>
      </c>
    </row>
    <row r="4903">
      <c r="B4903" s="25" t="n"/>
      <c r="I4903" s="25" t="n"/>
      <c r="U4903" s="19">
        <f>IF(AND($V4903='設定'!$C$4,COUNTIF('商品マスタ'!$B$6:$B$1005,$W4903)=0),N(U4902)+1,N(U4902))</f>
        <v/>
      </c>
      <c r="V4903" s="19">
        <f>IF($B4903="","",TEXT($B4903,"0000"))</f>
        <v/>
      </c>
      <c r="W4903" s="19">
        <f>IF($I4903="","",IF(ISNUMBER($I4903),TEXT($I4903,"0"),$I4903))</f>
        <v/>
      </c>
    </row>
    <row r="4904">
      <c r="B4904" s="25" t="n"/>
      <c r="I4904" s="25" t="n"/>
      <c r="U4904" s="19">
        <f>IF(AND($V4904='設定'!$C$4,COUNTIF('商品マスタ'!$B$6:$B$1005,$W4904)=0),N(U4903)+1,N(U4903))</f>
        <v/>
      </c>
      <c r="V4904" s="19">
        <f>IF($B4904="","",TEXT($B4904,"0000"))</f>
        <v/>
      </c>
      <c r="W4904" s="19">
        <f>IF($I4904="","",IF(ISNUMBER($I4904),TEXT($I4904,"0"),$I4904))</f>
        <v/>
      </c>
    </row>
    <row r="4905">
      <c r="B4905" s="25" t="n"/>
      <c r="I4905" s="25" t="n"/>
      <c r="U4905" s="19">
        <f>IF(AND($V4905='設定'!$C$4,COUNTIF('商品マスタ'!$B$6:$B$1005,$W4905)=0),N(U4904)+1,N(U4904))</f>
        <v/>
      </c>
      <c r="V4905" s="19">
        <f>IF($B4905="","",TEXT($B4905,"0000"))</f>
        <v/>
      </c>
      <c r="W4905" s="19">
        <f>IF($I4905="","",IF(ISNUMBER($I4905),TEXT($I4905,"0"),$I4905))</f>
        <v/>
      </c>
    </row>
    <row r="4906">
      <c r="B4906" s="25" t="n"/>
      <c r="I4906" s="25" t="n"/>
      <c r="U4906" s="19">
        <f>IF(AND($V4906='設定'!$C$4,COUNTIF('商品マスタ'!$B$6:$B$1005,$W4906)=0),N(U4905)+1,N(U4905))</f>
        <v/>
      </c>
      <c r="V4906" s="19">
        <f>IF($B4906="","",TEXT($B4906,"0000"))</f>
        <v/>
      </c>
      <c r="W4906" s="19">
        <f>IF($I4906="","",IF(ISNUMBER($I4906),TEXT($I4906,"0"),$I4906))</f>
        <v/>
      </c>
    </row>
    <row r="4907">
      <c r="B4907" s="25" t="n"/>
      <c r="I4907" s="25" t="n"/>
      <c r="U4907" s="19">
        <f>IF(AND($V4907='設定'!$C$4,COUNTIF('商品マスタ'!$B$6:$B$1005,$W4907)=0),N(U4906)+1,N(U4906))</f>
        <v/>
      </c>
      <c r="V4907" s="19">
        <f>IF($B4907="","",TEXT($B4907,"0000"))</f>
        <v/>
      </c>
      <c r="W4907" s="19">
        <f>IF($I4907="","",IF(ISNUMBER($I4907),TEXT($I4907,"0"),$I4907))</f>
        <v/>
      </c>
    </row>
    <row r="4908">
      <c r="B4908" s="25" t="n"/>
      <c r="I4908" s="25" t="n"/>
      <c r="U4908" s="19">
        <f>IF(AND($V4908='設定'!$C$4,COUNTIF('商品マスタ'!$B$6:$B$1005,$W4908)=0),N(U4907)+1,N(U4907))</f>
        <v/>
      </c>
      <c r="V4908" s="19">
        <f>IF($B4908="","",TEXT($B4908,"0000"))</f>
        <v/>
      </c>
      <c r="W4908" s="19">
        <f>IF($I4908="","",IF(ISNUMBER($I4908),TEXT($I4908,"0"),$I4908))</f>
        <v/>
      </c>
    </row>
    <row r="4909">
      <c r="B4909" s="25" t="n"/>
      <c r="I4909" s="25" t="n"/>
      <c r="U4909" s="19">
        <f>IF(AND($V4909='設定'!$C$4,COUNTIF('商品マスタ'!$B$6:$B$1005,$W4909)=0),N(U4908)+1,N(U4908))</f>
        <v/>
      </c>
      <c r="V4909" s="19">
        <f>IF($B4909="","",TEXT($B4909,"0000"))</f>
        <v/>
      </c>
      <c r="W4909" s="19">
        <f>IF($I4909="","",IF(ISNUMBER($I4909),TEXT($I4909,"0"),$I4909))</f>
        <v/>
      </c>
    </row>
    <row r="4910">
      <c r="B4910" s="25" t="n"/>
      <c r="I4910" s="25" t="n"/>
      <c r="U4910" s="19">
        <f>IF(AND($V4910='設定'!$C$4,COUNTIF('商品マスタ'!$B$6:$B$1005,$W4910)=0),N(U4909)+1,N(U4909))</f>
        <v/>
      </c>
      <c r="V4910" s="19">
        <f>IF($B4910="","",TEXT($B4910,"0000"))</f>
        <v/>
      </c>
      <c r="W4910" s="19">
        <f>IF($I4910="","",IF(ISNUMBER($I4910),TEXT($I4910,"0"),$I4910))</f>
        <v/>
      </c>
    </row>
    <row r="4911">
      <c r="B4911" s="25" t="n"/>
      <c r="I4911" s="25" t="n"/>
      <c r="U4911" s="19">
        <f>IF(AND($V4911='設定'!$C$4,COUNTIF('商品マスタ'!$B$6:$B$1005,$W4911)=0),N(U4910)+1,N(U4910))</f>
        <v/>
      </c>
      <c r="V4911" s="19">
        <f>IF($B4911="","",TEXT($B4911,"0000"))</f>
        <v/>
      </c>
      <c r="W4911" s="19">
        <f>IF($I4911="","",IF(ISNUMBER($I4911),TEXT($I4911,"0"),$I4911))</f>
        <v/>
      </c>
    </row>
    <row r="4912">
      <c r="B4912" s="25" t="n"/>
      <c r="I4912" s="25" t="n"/>
      <c r="U4912" s="19">
        <f>IF(AND($V4912='設定'!$C$4,COUNTIF('商品マスタ'!$B$6:$B$1005,$W4912)=0),N(U4911)+1,N(U4911))</f>
        <v/>
      </c>
      <c r="V4912" s="19">
        <f>IF($B4912="","",TEXT($B4912,"0000"))</f>
        <v/>
      </c>
      <c r="W4912" s="19">
        <f>IF($I4912="","",IF(ISNUMBER($I4912),TEXT($I4912,"0"),$I4912))</f>
        <v/>
      </c>
    </row>
    <row r="4913">
      <c r="B4913" s="25" t="n"/>
      <c r="I4913" s="25" t="n"/>
      <c r="U4913" s="19">
        <f>IF(AND($V4913='設定'!$C$4,COUNTIF('商品マスタ'!$B$6:$B$1005,$W4913)=0),N(U4912)+1,N(U4912))</f>
        <v/>
      </c>
      <c r="V4913" s="19">
        <f>IF($B4913="","",TEXT($B4913,"0000"))</f>
        <v/>
      </c>
      <c r="W4913" s="19">
        <f>IF($I4913="","",IF(ISNUMBER($I4913),TEXT($I4913,"0"),$I4913))</f>
        <v/>
      </c>
    </row>
    <row r="4914">
      <c r="B4914" s="25" t="n"/>
      <c r="I4914" s="25" t="n"/>
      <c r="U4914" s="19">
        <f>IF(AND($V4914='設定'!$C$4,COUNTIF('商品マスタ'!$B$6:$B$1005,$W4914)=0),N(U4913)+1,N(U4913))</f>
        <v/>
      </c>
      <c r="V4914" s="19">
        <f>IF($B4914="","",TEXT($B4914,"0000"))</f>
        <v/>
      </c>
      <c r="W4914" s="19">
        <f>IF($I4914="","",IF(ISNUMBER($I4914),TEXT($I4914,"0"),$I4914))</f>
        <v/>
      </c>
    </row>
    <row r="4915">
      <c r="B4915" s="25" t="n"/>
      <c r="I4915" s="25" t="n"/>
      <c r="U4915" s="19">
        <f>IF(AND($V4915='設定'!$C$4,COUNTIF('商品マスタ'!$B$6:$B$1005,$W4915)=0),N(U4914)+1,N(U4914))</f>
        <v/>
      </c>
      <c r="V4915" s="19">
        <f>IF($B4915="","",TEXT($B4915,"0000"))</f>
        <v/>
      </c>
      <c r="W4915" s="19">
        <f>IF($I4915="","",IF(ISNUMBER($I4915),TEXT($I4915,"0"),$I4915))</f>
        <v/>
      </c>
    </row>
    <row r="4916">
      <c r="B4916" s="25" t="n"/>
      <c r="I4916" s="25" t="n"/>
      <c r="U4916" s="19">
        <f>IF(AND($V4916='設定'!$C$4,COUNTIF('商品マスタ'!$B$6:$B$1005,$W4916)=0),N(U4915)+1,N(U4915))</f>
        <v/>
      </c>
      <c r="V4916" s="19">
        <f>IF($B4916="","",TEXT($B4916,"0000"))</f>
        <v/>
      </c>
      <c r="W4916" s="19">
        <f>IF($I4916="","",IF(ISNUMBER($I4916),TEXT($I4916,"0"),$I4916))</f>
        <v/>
      </c>
    </row>
    <row r="4917">
      <c r="B4917" s="25" t="n"/>
      <c r="I4917" s="25" t="n"/>
      <c r="U4917" s="19">
        <f>IF(AND($V4917='設定'!$C$4,COUNTIF('商品マスタ'!$B$6:$B$1005,$W4917)=0),N(U4916)+1,N(U4916))</f>
        <v/>
      </c>
      <c r="V4917" s="19">
        <f>IF($B4917="","",TEXT($B4917,"0000"))</f>
        <v/>
      </c>
      <c r="W4917" s="19">
        <f>IF($I4917="","",IF(ISNUMBER($I4917),TEXT($I4917,"0"),$I4917))</f>
        <v/>
      </c>
    </row>
    <row r="4918">
      <c r="B4918" s="25" t="n"/>
      <c r="I4918" s="25" t="n"/>
      <c r="U4918" s="19">
        <f>IF(AND($V4918='設定'!$C$4,COUNTIF('商品マスタ'!$B$6:$B$1005,$W4918)=0),N(U4917)+1,N(U4917))</f>
        <v/>
      </c>
      <c r="V4918" s="19">
        <f>IF($B4918="","",TEXT($B4918,"0000"))</f>
        <v/>
      </c>
      <c r="W4918" s="19">
        <f>IF($I4918="","",IF(ISNUMBER($I4918),TEXT($I4918,"0"),$I4918))</f>
        <v/>
      </c>
    </row>
    <row r="4919">
      <c r="B4919" s="25" t="n"/>
      <c r="I4919" s="25" t="n"/>
      <c r="U4919" s="19">
        <f>IF(AND($V4919='設定'!$C$4,COUNTIF('商品マスタ'!$B$6:$B$1005,$W4919)=0),N(U4918)+1,N(U4918))</f>
        <v/>
      </c>
      <c r="V4919" s="19">
        <f>IF($B4919="","",TEXT($B4919,"0000"))</f>
        <v/>
      </c>
      <c r="W4919" s="19">
        <f>IF($I4919="","",IF(ISNUMBER($I4919),TEXT($I4919,"0"),$I4919))</f>
        <v/>
      </c>
    </row>
    <row r="4920">
      <c r="B4920" s="25" t="n"/>
      <c r="I4920" s="25" t="n"/>
      <c r="U4920" s="19">
        <f>IF(AND($V4920='設定'!$C$4,COUNTIF('商品マスタ'!$B$6:$B$1005,$W4920)=0),N(U4919)+1,N(U4919))</f>
        <v/>
      </c>
      <c r="V4920" s="19">
        <f>IF($B4920="","",TEXT($B4920,"0000"))</f>
        <v/>
      </c>
      <c r="W4920" s="19">
        <f>IF($I4920="","",IF(ISNUMBER($I4920),TEXT($I4920,"0"),$I4920))</f>
        <v/>
      </c>
    </row>
    <row r="4921">
      <c r="B4921" s="25" t="n"/>
      <c r="I4921" s="25" t="n"/>
      <c r="U4921" s="19">
        <f>IF(AND($V4921='設定'!$C$4,COUNTIF('商品マスタ'!$B$6:$B$1005,$W4921)=0),N(U4920)+1,N(U4920))</f>
        <v/>
      </c>
      <c r="V4921" s="19">
        <f>IF($B4921="","",TEXT($B4921,"0000"))</f>
        <v/>
      </c>
      <c r="W4921" s="19">
        <f>IF($I4921="","",IF(ISNUMBER($I4921),TEXT($I4921,"0"),$I4921))</f>
        <v/>
      </c>
    </row>
    <row r="4922">
      <c r="B4922" s="25" t="n"/>
      <c r="I4922" s="25" t="n"/>
      <c r="U4922" s="19">
        <f>IF(AND($V4922='設定'!$C$4,COUNTIF('商品マスタ'!$B$6:$B$1005,$W4922)=0),N(U4921)+1,N(U4921))</f>
        <v/>
      </c>
      <c r="V4922" s="19">
        <f>IF($B4922="","",TEXT($B4922,"0000"))</f>
        <v/>
      </c>
      <c r="W4922" s="19">
        <f>IF($I4922="","",IF(ISNUMBER($I4922),TEXT($I4922,"0"),$I4922))</f>
        <v/>
      </c>
    </row>
    <row r="4923">
      <c r="B4923" s="25" t="n"/>
      <c r="I4923" s="25" t="n"/>
      <c r="U4923" s="19">
        <f>IF(AND($V4923='設定'!$C$4,COUNTIF('商品マスタ'!$B$6:$B$1005,$W4923)=0),N(U4922)+1,N(U4922))</f>
        <v/>
      </c>
      <c r="V4923" s="19">
        <f>IF($B4923="","",TEXT($B4923,"0000"))</f>
        <v/>
      </c>
      <c r="W4923" s="19">
        <f>IF($I4923="","",IF(ISNUMBER($I4923),TEXT($I4923,"0"),$I4923))</f>
        <v/>
      </c>
    </row>
    <row r="4924">
      <c r="B4924" s="25" t="n"/>
      <c r="I4924" s="25" t="n"/>
      <c r="U4924" s="19">
        <f>IF(AND($V4924='設定'!$C$4,COUNTIF('商品マスタ'!$B$6:$B$1005,$W4924)=0),N(U4923)+1,N(U4923))</f>
        <v/>
      </c>
      <c r="V4924" s="19">
        <f>IF($B4924="","",TEXT($B4924,"0000"))</f>
        <v/>
      </c>
      <c r="W4924" s="19">
        <f>IF($I4924="","",IF(ISNUMBER($I4924),TEXT($I4924,"0"),$I4924))</f>
        <v/>
      </c>
    </row>
    <row r="4925">
      <c r="B4925" s="25" t="n"/>
      <c r="I4925" s="25" t="n"/>
      <c r="U4925" s="19">
        <f>IF(AND($V4925='設定'!$C$4,COUNTIF('商品マスタ'!$B$6:$B$1005,$W4925)=0),N(U4924)+1,N(U4924))</f>
        <v/>
      </c>
      <c r="V4925" s="19">
        <f>IF($B4925="","",TEXT($B4925,"0000"))</f>
        <v/>
      </c>
      <c r="W4925" s="19">
        <f>IF($I4925="","",IF(ISNUMBER($I4925),TEXT($I4925,"0"),$I4925))</f>
        <v/>
      </c>
    </row>
    <row r="4926">
      <c r="B4926" s="25" t="n"/>
      <c r="I4926" s="25" t="n"/>
      <c r="U4926" s="19">
        <f>IF(AND($V4926='設定'!$C$4,COUNTIF('商品マスタ'!$B$6:$B$1005,$W4926)=0),N(U4925)+1,N(U4925))</f>
        <v/>
      </c>
      <c r="V4926" s="19">
        <f>IF($B4926="","",TEXT($B4926,"0000"))</f>
        <v/>
      </c>
      <c r="W4926" s="19">
        <f>IF($I4926="","",IF(ISNUMBER($I4926),TEXT($I4926,"0"),$I4926))</f>
        <v/>
      </c>
    </row>
    <row r="4927">
      <c r="B4927" s="25" t="n"/>
      <c r="I4927" s="25" t="n"/>
      <c r="U4927" s="19">
        <f>IF(AND($V4927='設定'!$C$4,COUNTIF('商品マスタ'!$B$6:$B$1005,$W4927)=0),N(U4926)+1,N(U4926))</f>
        <v/>
      </c>
      <c r="V4927" s="19">
        <f>IF($B4927="","",TEXT($B4927,"0000"))</f>
        <v/>
      </c>
      <c r="W4927" s="19">
        <f>IF($I4927="","",IF(ISNUMBER($I4927),TEXT($I4927,"0"),$I4927))</f>
        <v/>
      </c>
    </row>
    <row r="4928">
      <c r="B4928" s="25" t="n"/>
      <c r="I4928" s="25" t="n"/>
      <c r="U4928" s="19">
        <f>IF(AND($V4928='設定'!$C$4,COUNTIF('商品マスタ'!$B$6:$B$1005,$W4928)=0),N(U4927)+1,N(U4927))</f>
        <v/>
      </c>
      <c r="V4928" s="19">
        <f>IF($B4928="","",TEXT($B4928,"0000"))</f>
        <v/>
      </c>
      <c r="W4928" s="19">
        <f>IF($I4928="","",IF(ISNUMBER($I4928),TEXT($I4928,"0"),$I4928))</f>
        <v/>
      </c>
    </row>
    <row r="4929">
      <c r="B4929" s="25" t="n"/>
      <c r="I4929" s="25" t="n"/>
      <c r="U4929" s="19">
        <f>IF(AND($V4929='設定'!$C$4,COUNTIF('商品マスタ'!$B$6:$B$1005,$W4929)=0),N(U4928)+1,N(U4928))</f>
        <v/>
      </c>
      <c r="V4929" s="19">
        <f>IF($B4929="","",TEXT($B4929,"0000"))</f>
        <v/>
      </c>
      <c r="W4929" s="19">
        <f>IF($I4929="","",IF(ISNUMBER($I4929),TEXT($I4929,"0"),$I4929))</f>
        <v/>
      </c>
    </row>
    <row r="4930">
      <c r="B4930" s="25" t="n"/>
      <c r="I4930" s="25" t="n"/>
      <c r="U4930" s="19">
        <f>IF(AND($V4930='設定'!$C$4,COUNTIF('商品マスタ'!$B$6:$B$1005,$W4930)=0),N(U4929)+1,N(U4929))</f>
        <v/>
      </c>
      <c r="V4930" s="19">
        <f>IF($B4930="","",TEXT($B4930,"0000"))</f>
        <v/>
      </c>
      <c r="W4930" s="19">
        <f>IF($I4930="","",IF(ISNUMBER($I4930),TEXT($I4930,"0"),$I4930))</f>
        <v/>
      </c>
    </row>
    <row r="4931">
      <c r="B4931" s="25" t="n"/>
      <c r="I4931" s="25" t="n"/>
      <c r="U4931" s="19">
        <f>IF(AND($V4931='設定'!$C$4,COUNTIF('商品マスタ'!$B$6:$B$1005,$W4931)=0),N(U4930)+1,N(U4930))</f>
        <v/>
      </c>
      <c r="V4931" s="19">
        <f>IF($B4931="","",TEXT($B4931,"0000"))</f>
        <v/>
      </c>
      <c r="W4931" s="19">
        <f>IF($I4931="","",IF(ISNUMBER($I4931),TEXT($I4931,"0"),$I4931))</f>
        <v/>
      </c>
    </row>
    <row r="4932">
      <c r="B4932" s="25" t="n"/>
      <c r="I4932" s="25" t="n"/>
      <c r="U4932" s="19">
        <f>IF(AND($V4932='設定'!$C$4,COUNTIF('商品マスタ'!$B$6:$B$1005,$W4932)=0),N(U4931)+1,N(U4931))</f>
        <v/>
      </c>
      <c r="V4932" s="19">
        <f>IF($B4932="","",TEXT($B4932,"0000"))</f>
        <v/>
      </c>
      <c r="W4932" s="19">
        <f>IF($I4932="","",IF(ISNUMBER($I4932),TEXT($I4932,"0"),$I4932))</f>
        <v/>
      </c>
    </row>
    <row r="4933">
      <c r="B4933" s="25" t="n"/>
      <c r="I4933" s="25" t="n"/>
      <c r="U4933" s="19">
        <f>IF(AND($V4933='設定'!$C$4,COUNTIF('商品マスタ'!$B$6:$B$1005,$W4933)=0),N(U4932)+1,N(U4932))</f>
        <v/>
      </c>
      <c r="V4933" s="19">
        <f>IF($B4933="","",TEXT($B4933,"0000"))</f>
        <v/>
      </c>
      <c r="W4933" s="19">
        <f>IF($I4933="","",IF(ISNUMBER($I4933),TEXT($I4933,"0"),$I4933))</f>
        <v/>
      </c>
    </row>
    <row r="4934">
      <c r="B4934" s="25" t="n"/>
      <c r="I4934" s="25" t="n"/>
      <c r="U4934" s="19">
        <f>IF(AND($V4934='設定'!$C$4,COUNTIF('商品マスタ'!$B$6:$B$1005,$W4934)=0),N(U4933)+1,N(U4933))</f>
        <v/>
      </c>
      <c r="V4934" s="19">
        <f>IF($B4934="","",TEXT($B4934,"0000"))</f>
        <v/>
      </c>
      <c r="W4934" s="19">
        <f>IF($I4934="","",IF(ISNUMBER($I4934),TEXT($I4934,"0"),$I4934))</f>
        <v/>
      </c>
    </row>
    <row r="4935">
      <c r="B4935" s="25" t="n"/>
      <c r="I4935" s="25" t="n"/>
      <c r="U4935" s="19">
        <f>IF(AND($V4935='設定'!$C$4,COUNTIF('商品マスタ'!$B$6:$B$1005,$W4935)=0),N(U4934)+1,N(U4934))</f>
        <v/>
      </c>
      <c r="V4935" s="19">
        <f>IF($B4935="","",TEXT($B4935,"0000"))</f>
        <v/>
      </c>
      <c r="W4935" s="19">
        <f>IF($I4935="","",IF(ISNUMBER($I4935),TEXT($I4935,"0"),$I4935))</f>
        <v/>
      </c>
    </row>
    <row r="4936">
      <c r="B4936" s="25" t="n"/>
      <c r="I4936" s="25" t="n"/>
      <c r="U4936" s="19">
        <f>IF(AND($V4936='設定'!$C$4,COUNTIF('商品マスタ'!$B$6:$B$1005,$W4936)=0),N(U4935)+1,N(U4935))</f>
        <v/>
      </c>
      <c r="V4936" s="19">
        <f>IF($B4936="","",TEXT($B4936,"0000"))</f>
        <v/>
      </c>
      <c r="W4936" s="19">
        <f>IF($I4936="","",IF(ISNUMBER($I4936),TEXT($I4936,"0"),$I4936))</f>
        <v/>
      </c>
    </row>
    <row r="4937">
      <c r="B4937" s="25" t="n"/>
      <c r="I4937" s="25" t="n"/>
      <c r="U4937" s="19">
        <f>IF(AND($V4937='設定'!$C$4,COUNTIF('商品マスタ'!$B$6:$B$1005,$W4937)=0),N(U4936)+1,N(U4936))</f>
        <v/>
      </c>
      <c r="V4937" s="19">
        <f>IF($B4937="","",TEXT($B4937,"0000"))</f>
        <v/>
      </c>
      <c r="W4937" s="19">
        <f>IF($I4937="","",IF(ISNUMBER($I4937),TEXT($I4937,"0"),$I4937))</f>
        <v/>
      </c>
    </row>
    <row r="4938">
      <c r="B4938" s="25" t="n"/>
      <c r="I4938" s="25" t="n"/>
      <c r="U4938" s="19">
        <f>IF(AND($V4938='設定'!$C$4,COUNTIF('商品マスタ'!$B$6:$B$1005,$W4938)=0),N(U4937)+1,N(U4937))</f>
        <v/>
      </c>
      <c r="V4938" s="19">
        <f>IF($B4938="","",TEXT($B4938,"0000"))</f>
        <v/>
      </c>
      <c r="W4938" s="19">
        <f>IF($I4938="","",IF(ISNUMBER($I4938),TEXT($I4938,"0"),$I4938))</f>
        <v/>
      </c>
    </row>
    <row r="4939">
      <c r="B4939" s="25" t="n"/>
      <c r="I4939" s="25" t="n"/>
      <c r="U4939" s="19">
        <f>IF(AND($V4939='設定'!$C$4,COUNTIF('商品マスタ'!$B$6:$B$1005,$W4939)=0),N(U4938)+1,N(U4938))</f>
        <v/>
      </c>
      <c r="V4939" s="19">
        <f>IF($B4939="","",TEXT($B4939,"0000"))</f>
        <v/>
      </c>
      <c r="W4939" s="19">
        <f>IF($I4939="","",IF(ISNUMBER($I4939),TEXT($I4939,"0"),$I4939))</f>
        <v/>
      </c>
    </row>
    <row r="4940">
      <c r="B4940" s="25" t="n"/>
      <c r="I4940" s="25" t="n"/>
      <c r="U4940" s="19">
        <f>IF(AND($V4940='設定'!$C$4,COUNTIF('商品マスタ'!$B$6:$B$1005,$W4940)=0),N(U4939)+1,N(U4939))</f>
        <v/>
      </c>
      <c r="V4940" s="19">
        <f>IF($B4940="","",TEXT($B4940,"0000"))</f>
        <v/>
      </c>
      <c r="W4940" s="19">
        <f>IF($I4940="","",IF(ISNUMBER($I4940),TEXT($I4940,"0"),$I4940))</f>
        <v/>
      </c>
    </row>
    <row r="4941">
      <c r="B4941" s="25" t="n"/>
      <c r="I4941" s="25" t="n"/>
      <c r="U4941" s="19">
        <f>IF(AND($V4941='設定'!$C$4,COUNTIF('商品マスタ'!$B$6:$B$1005,$W4941)=0),N(U4940)+1,N(U4940))</f>
        <v/>
      </c>
      <c r="V4941" s="19">
        <f>IF($B4941="","",TEXT($B4941,"0000"))</f>
        <v/>
      </c>
      <c r="W4941" s="19">
        <f>IF($I4941="","",IF(ISNUMBER($I4941),TEXT($I4941,"0"),$I4941))</f>
        <v/>
      </c>
    </row>
    <row r="4942">
      <c r="B4942" s="25" t="n"/>
      <c r="I4942" s="25" t="n"/>
      <c r="U4942" s="19">
        <f>IF(AND($V4942='設定'!$C$4,COUNTIF('商品マスタ'!$B$6:$B$1005,$W4942)=0),N(U4941)+1,N(U4941))</f>
        <v/>
      </c>
      <c r="V4942" s="19">
        <f>IF($B4942="","",TEXT($B4942,"0000"))</f>
        <v/>
      </c>
      <c r="W4942" s="19">
        <f>IF($I4942="","",IF(ISNUMBER($I4942),TEXT($I4942,"0"),$I4942))</f>
        <v/>
      </c>
    </row>
    <row r="4943">
      <c r="B4943" s="25" t="n"/>
      <c r="I4943" s="25" t="n"/>
      <c r="U4943" s="19">
        <f>IF(AND($V4943='設定'!$C$4,COUNTIF('商品マスタ'!$B$6:$B$1005,$W4943)=0),N(U4942)+1,N(U4942))</f>
        <v/>
      </c>
      <c r="V4943" s="19">
        <f>IF($B4943="","",TEXT($B4943,"0000"))</f>
        <v/>
      </c>
      <c r="W4943" s="19">
        <f>IF($I4943="","",IF(ISNUMBER($I4943),TEXT($I4943,"0"),$I4943))</f>
        <v/>
      </c>
    </row>
    <row r="4944">
      <c r="B4944" s="25" t="n"/>
      <c r="I4944" s="25" t="n"/>
      <c r="U4944" s="19">
        <f>IF(AND($V4944='設定'!$C$4,COUNTIF('商品マスタ'!$B$6:$B$1005,$W4944)=0),N(U4943)+1,N(U4943))</f>
        <v/>
      </c>
      <c r="V4944" s="19">
        <f>IF($B4944="","",TEXT($B4944,"0000"))</f>
        <v/>
      </c>
      <c r="W4944" s="19">
        <f>IF($I4944="","",IF(ISNUMBER($I4944),TEXT($I4944,"0"),$I4944))</f>
        <v/>
      </c>
    </row>
    <row r="4945">
      <c r="B4945" s="25" t="n"/>
      <c r="I4945" s="25" t="n"/>
      <c r="U4945" s="19">
        <f>IF(AND($V4945='設定'!$C$4,COUNTIF('商品マスタ'!$B$6:$B$1005,$W4945)=0),N(U4944)+1,N(U4944))</f>
        <v/>
      </c>
      <c r="V4945" s="19">
        <f>IF($B4945="","",TEXT($B4945,"0000"))</f>
        <v/>
      </c>
      <c r="W4945" s="19">
        <f>IF($I4945="","",IF(ISNUMBER($I4945),TEXT($I4945,"0"),$I4945))</f>
        <v/>
      </c>
    </row>
    <row r="4946">
      <c r="B4946" s="25" t="n"/>
      <c r="I4946" s="25" t="n"/>
      <c r="U4946" s="19">
        <f>IF(AND($V4946='設定'!$C$4,COUNTIF('商品マスタ'!$B$6:$B$1005,$W4946)=0),N(U4945)+1,N(U4945))</f>
        <v/>
      </c>
      <c r="V4946" s="19">
        <f>IF($B4946="","",TEXT($B4946,"0000"))</f>
        <v/>
      </c>
      <c r="W4946" s="19">
        <f>IF($I4946="","",IF(ISNUMBER($I4946),TEXT($I4946,"0"),$I4946))</f>
        <v/>
      </c>
    </row>
    <row r="4947">
      <c r="B4947" s="25" t="n"/>
      <c r="I4947" s="25" t="n"/>
      <c r="U4947" s="19">
        <f>IF(AND($V4947='設定'!$C$4,COUNTIF('商品マスタ'!$B$6:$B$1005,$W4947)=0),N(U4946)+1,N(U4946))</f>
        <v/>
      </c>
      <c r="V4947" s="19">
        <f>IF($B4947="","",TEXT($B4947,"0000"))</f>
        <v/>
      </c>
      <c r="W4947" s="19">
        <f>IF($I4947="","",IF(ISNUMBER($I4947),TEXT($I4947,"0"),$I4947))</f>
        <v/>
      </c>
    </row>
    <row r="4948">
      <c r="B4948" s="25" t="n"/>
      <c r="I4948" s="25" t="n"/>
      <c r="U4948" s="19">
        <f>IF(AND($V4948='設定'!$C$4,COUNTIF('商品マスタ'!$B$6:$B$1005,$W4948)=0),N(U4947)+1,N(U4947))</f>
        <v/>
      </c>
      <c r="V4948" s="19">
        <f>IF($B4948="","",TEXT($B4948,"0000"))</f>
        <v/>
      </c>
      <c r="W4948" s="19">
        <f>IF($I4948="","",IF(ISNUMBER($I4948),TEXT($I4948,"0"),$I4948))</f>
        <v/>
      </c>
    </row>
    <row r="4949">
      <c r="B4949" s="25" t="n"/>
      <c r="I4949" s="25" t="n"/>
      <c r="U4949" s="19">
        <f>IF(AND($V4949='設定'!$C$4,COUNTIF('商品マスタ'!$B$6:$B$1005,$W4949)=0),N(U4948)+1,N(U4948))</f>
        <v/>
      </c>
      <c r="V4949" s="19">
        <f>IF($B4949="","",TEXT($B4949,"0000"))</f>
        <v/>
      </c>
      <c r="W4949" s="19">
        <f>IF($I4949="","",IF(ISNUMBER($I4949),TEXT($I4949,"0"),$I4949))</f>
        <v/>
      </c>
    </row>
    <row r="4950">
      <c r="B4950" s="25" t="n"/>
      <c r="I4950" s="25" t="n"/>
      <c r="U4950" s="19">
        <f>IF(AND($V4950='設定'!$C$4,COUNTIF('商品マスタ'!$B$6:$B$1005,$W4950)=0),N(U4949)+1,N(U4949))</f>
        <v/>
      </c>
      <c r="V4950" s="19">
        <f>IF($B4950="","",TEXT($B4950,"0000"))</f>
        <v/>
      </c>
      <c r="W4950" s="19">
        <f>IF($I4950="","",IF(ISNUMBER($I4950),TEXT($I4950,"0"),$I4950))</f>
        <v/>
      </c>
    </row>
    <row r="4951">
      <c r="B4951" s="25" t="n"/>
      <c r="I4951" s="25" t="n"/>
      <c r="U4951" s="19">
        <f>IF(AND($V4951='設定'!$C$4,COUNTIF('商品マスタ'!$B$6:$B$1005,$W4951)=0),N(U4950)+1,N(U4950))</f>
        <v/>
      </c>
      <c r="V4951" s="19">
        <f>IF($B4951="","",TEXT($B4951,"0000"))</f>
        <v/>
      </c>
      <c r="W4951" s="19">
        <f>IF($I4951="","",IF(ISNUMBER($I4951),TEXT($I4951,"0"),$I4951))</f>
        <v/>
      </c>
    </row>
    <row r="4952">
      <c r="B4952" s="25" t="n"/>
      <c r="I4952" s="25" t="n"/>
      <c r="U4952" s="19">
        <f>IF(AND($V4952='設定'!$C$4,COUNTIF('商品マスタ'!$B$6:$B$1005,$W4952)=0),N(U4951)+1,N(U4951))</f>
        <v/>
      </c>
      <c r="V4952" s="19">
        <f>IF($B4952="","",TEXT($B4952,"0000"))</f>
        <v/>
      </c>
      <c r="W4952" s="19">
        <f>IF($I4952="","",IF(ISNUMBER($I4952),TEXT($I4952,"0"),$I4952))</f>
        <v/>
      </c>
    </row>
    <row r="4953">
      <c r="B4953" s="25" t="n"/>
      <c r="I4953" s="25" t="n"/>
      <c r="U4953" s="19">
        <f>IF(AND($V4953='設定'!$C$4,COUNTIF('商品マスタ'!$B$6:$B$1005,$W4953)=0),N(U4952)+1,N(U4952))</f>
        <v/>
      </c>
      <c r="V4953" s="19">
        <f>IF($B4953="","",TEXT($B4953,"0000"))</f>
        <v/>
      </c>
      <c r="W4953" s="19">
        <f>IF($I4953="","",IF(ISNUMBER($I4953),TEXT($I4953,"0"),$I4953))</f>
        <v/>
      </c>
    </row>
    <row r="4954">
      <c r="B4954" s="25" t="n"/>
      <c r="I4954" s="25" t="n"/>
      <c r="U4954" s="19">
        <f>IF(AND($V4954='設定'!$C$4,COUNTIF('商品マスタ'!$B$6:$B$1005,$W4954)=0),N(U4953)+1,N(U4953))</f>
        <v/>
      </c>
      <c r="V4954" s="19">
        <f>IF($B4954="","",TEXT($B4954,"0000"))</f>
        <v/>
      </c>
      <c r="W4954" s="19">
        <f>IF($I4954="","",IF(ISNUMBER($I4954),TEXT($I4954,"0"),$I4954))</f>
        <v/>
      </c>
    </row>
    <row r="4955">
      <c r="B4955" s="25" t="n"/>
      <c r="I4955" s="25" t="n"/>
      <c r="U4955" s="19">
        <f>IF(AND($V4955='設定'!$C$4,COUNTIF('商品マスタ'!$B$6:$B$1005,$W4955)=0),N(U4954)+1,N(U4954))</f>
        <v/>
      </c>
      <c r="V4955" s="19">
        <f>IF($B4955="","",TEXT($B4955,"0000"))</f>
        <v/>
      </c>
      <c r="W4955" s="19">
        <f>IF($I4955="","",IF(ISNUMBER($I4955),TEXT($I4955,"0"),$I4955))</f>
        <v/>
      </c>
    </row>
    <row r="4956">
      <c r="B4956" s="25" t="n"/>
      <c r="I4956" s="25" t="n"/>
      <c r="U4956" s="19">
        <f>IF(AND($V4956='設定'!$C$4,COUNTIF('商品マスタ'!$B$6:$B$1005,$W4956)=0),N(U4955)+1,N(U4955))</f>
        <v/>
      </c>
      <c r="V4956" s="19">
        <f>IF($B4956="","",TEXT($B4956,"0000"))</f>
        <v/>
      </c>
      <c r="W4956" s="19">
        <f>IF($I4956="","",IF(ISNUMBER($I4956),TEXT($I4956,"0"),$I4956))</f>
        <v/>
      </c>
    </row>
    <row r="4957">
      <c r="B4957" s="25" t="n"/>
      <c r="I4957" s="25" t="n"/>
      <c r="U4957" s="19">
        <f>IF(AND($V4957='設定'!$C$4,COUNTIF('商品マスタ'!$B$6:$B$1005,$W4957)=0),N(U4956)+1,N(U4956))</f>
        <v/>
      </c>
      <c r="V4957" s="19">
        <f>IF($B4957="","",TEXT($B4957,"0000"))</f>
        <v/>
      </c>
      <c r="W4957" s="19">
        <f>IF($I4957="","",IF(ISNUMBER($I4957),TEXT($I4957,"0"),$I4957))</f>
        <v/>
      </c>
    </row>
    <row r="4958">
      <c r="B4958" s="25" t="n"/>
      <c r="I4958" s="25" t="n"/>
      <c r="U4958" s="19">
        <f>IF(AND($V4958='設定'!$C$4,COUNTIF('商品マスタ'!$B$6:$B$1005,$W4958)=0),N(U4957)+1,N(U4957))</f>
        <v/>
      </c>
      <c r="V4958" s="19">
        <f>IF($B4958="","",TEXT($B4958,"0000"))</f>
        <v/>
      </c>
      <c r="W4958" s="19">
        <f>IF($I4958="","",IF(ISNUMBER($I4958),TEXT($I4958,"0"),$I4958))</f>
        <v/>
      </c>
    </row>
    <row r="4959">
      <c r="B4959" s="25" t="n"/>
      <c r="I4959" s="25" t="n"/>
      <c r="U4959" s="19">
        <f>IF(AND($V4959='設定'!$C$4,COUNTIF('商品マスタ'!$B$6:$B$1005,$W4959)=0),N(U4958)+1,N(U4958))</f>
        <v/>
      </c>
      <c r="V4959" s="19">
        <f>IF($B4959="","",TEXT($B4959,"0000"))</f>
        <v/>
      </c>
      <c r="W4959" s="19">
        <f>IF($I4959="","",IF(ISNUMBER($I4959),TEXT($I4959,"0"),$I4959))</f>
        <v/>
      </c>
    </row>
    <row r="4960">
      <c r="B4960" s="25" t="n"/>
      <c r="I4960" s="25" t="n"/>
      <c r="U4960" s="19">
        <f>IF(AND($V4960='設定'!$C$4,COUNTIF('商品マスタ'!$B$6:$B$1005,$W4960)=0),N(U4959)+1,N(U4959))</f>
        <v/>
      </c>
      <c r="V4960" s="19">
        <f>IF($B4960="","",TEXT($B4960,"0000"))</f>
        <v/>
      </c>
      <c r="W4960" s="19">
        <f>IF($I4960="","",IF(ISNUMBER($I4960),TEXT($I4960,"0"),$I4960))</f>
        <v/>
      </c>
    </row>
    <row r="4961">
      <c r="B4961" s="25" t="n"/>
      <c r="I4961" s="25" t="n"/>
      <c r="U4961" s="19">
        <f>IF(AND($V4961='設定'!$C$4,COUNTIF('商品マスタ'!$B$6:$B$1005,$W4961)=0),N(U4960)+1,N(U4960))</f>
        <v/>
      </c>
      <c r="V4961" s="19">
        <f>IF($B4961="","",TEXT($B4961,"0000"))</f>
        <v/>
      </c>
      <c r="W4961" s="19">
        <f>IF($I4961="","",IF(ISNUMBER($I4961),TEXT($I4961,"0"),$I4961))</f>
        <v/>
      </c>
    </row>
    <row r="4962">
      <c r="B4962" s="25" t="n"/>
      <c r="I4962" s="25" t="n"/>
      <c r="U4962" s="19">
        <f>IF(AND($V4962='設定'!$C$4,COUNTIF('商品マスタ'!$B$6:$B$1005,$W4962)=0),N(U4961)+1,N(U4961))</f>
        <v/>
      </c>
      <c r="V4962" s="19">
        <f>IF($B4962="","",TEXT($B4962,"0000"))</f>
        <v/>
      </c>
      <c r="W4962" s="19">
        <f>IF($I4962="","",IF(ISNUMBER($I4962),TEXT($I4962,"0"),$I4962))</f>
        <v/>
      </c>
    </row>
    <row r="4963">
      <c r="B4963" s="25" t="n"/>
      <c r="I4963" s="25" t="n"/>
      <c r="U4963" s="19">
        <f>IF(AND($V4963='設定'!$C$4,COUNTIF('商品マスタ'!$B$6:$B$1005,$W4963)=0),N(U4962)+1,N(U4962))</f>
        <v/>
      </c>
      <c r="V4963" s="19">
        <f>IF($B4963="","",TEXT($B4963,"0000"))</f>
        <v/>
      </c>
      <c r="W4963" s="19">
        <f>IF($I4963="","",IF(ISNUMBER($I4963),TEXT($I4963,"0"),$I4963))</f>
        <v/>
      </c>
    </row>
    <row r="4964">
      <c r="B4964" s="25" t="n"/>
      <c r="I4964" s="25" t="n"/>
      <c r="U4964" s="19">
        <f>IF(AND($V4964='設定'!$C$4,COUNTIF('商品マスタ'!$B$6:$B$1005,$W4964)=0),N(U4963)+1,N(U4963))</f>
        <v/>
      </c>
      <c r="V4964" s="19">
        <f>IF($B4964="","",TEXT($B4964,"0000"))</f>
        <v/>
      </c>
      <c r="W4964" s="19">
        <f>IF($I4964="","",IF(ISNUMBER($I4964),TEXT($I4964,"0"),$I4964))</f>
        <v/>
      </c>
    </row>
    <row r="4965">
      <c r="B4965" s="25" t="n"/>
      <c r="I4965" s="25" t="n"/>
      <c r="U4965" s="19">
        <f>IF(AND($V4965='設定'!$C$4,COUNTIF('商品マスタ'!$B$6:$B$1005,$W4965)=0),N(U4964)+1,N(U4964))</f>
        <v/>
      </c>
      <c r="V4965" s="19">
        <f>IF($B4965="","",TEXT($B4965,"0000"))</f>
        <v/>
      </c>
      <c r="W4965" s="19">
        <f>IF($I4965="","",IF(ISNUMBER($I4965),TEXT($I4965,"0"),$I4965))</f>
        <v/>
      </c>
    </row>
    <row r="4966">
      <c r="B4966" s="25" t="n"/>
      <c r="I4966" s="25" t="n"/>
      <c r="U4966" s="19">
        <f>IF(AND($V4966='設定'!$C$4,COUNTIF('商品マスタ'!$B$6:$B$1005,$W4966)=0),N(U4965)+1,N(U4965))</f>
        <v/>
      </c>
      <c r="V4966" s="19">
        <f>IF($B4966="","",TEXT($B4966,"0000"))</f>
        <v/>
      </c>
      <c r="W4966" s="19">
        <f>IF($I4966="","",IF(ISNUMBER($I4966),TEXT($I4966,"0"),$I4966))</f>
        <v/>
      </c>
    </row>
    <row r="4967">
      <c r="B4967" s="25" t="n"/>
      <c r="I4967" s="25" t="n"/>
      <c r="U4967" s="19">
        <f>IF(AND($V4967='設定'!$C$4,COUNTIF('商品マスタ'!$B$6:$B$1005,$W4967)=0),N(U4966)+1,N(U4966))</f>
        <v/>
      </c>
      <c r="V4967" s="19">
        <f>IF($B4967="","",TEXT($B4967,"0000"))</f>
        <v/>
      </c>
      <c r="W4967" s="19">
        <f>IF($I4967="","",IF(ISNUMBER($I4967),TEXT($I4967,"0"),$I4967))</f>
        <v/>
      </c>
    </row>
    <row r="4968">
      <c r="B4968" s="25" t="n"/>
      <c r="I4968" s="25" t="n"/>
      <c r="U4968" s="19">
        <f>IF(AND($V4968='設定'!$C$4,COUNTIF('商品マスタ'!$B$6:$B$1005,$W4968)=0),N(U4967)+1,N(U4967))</f>
        <v/>
      </c>
      <c r="V4968" s="19">
        <f>IF($B4968="","",TEXT($B4968,"0000"))</f>
        <v/>
      </c>
      <c r="W4968" s="19">
        <f>IF($I4968="","",IF(ISNUMBER($I4968),TEXT($I4968,"0"),$I4968))</f>
        <v/>
      </c>
    </row>
    <row r="4969">
      <c r="B4969" s="25" t="n"/>
      <c r="I4969" s="25" t="n"/>
      <c r="U4969" s="19">
        <f>IF(AND($V4969='設定'!$C$4,COUNTIF('商品マスタ'!$B$6:$B$1005,$W4969)=0),N(U4968)+1,N(U4968))</f>
        <v/>
      </c>
      <c r="V4969" s="19">
        <f>IF($B4969="","",TEXT($B4969,"0000"))</f>
        <v/>
      </c>
      <c r="W4969" s="19">
        <f>IF($I4969="","",IF(ISNUMBER($I4969),TEXT($I4969,"0"),$I4969))</f>
        <v/>
      </c>
    </row>
    <row r="4970">
      <c r="B4970" s="25" t="n"/>
      <c r="I4970" s="25" t="n"/>
      <c r="U4970" s="19">
        <f>IF(AND($V4970='設定'!$C$4,COUNTIF('商品マスタ'!$B$6:$B$1005,$W4970)=0),N(U4969)+1,N(U4969))</f>
        <v/>
      </c>
      <c r="V4970" s="19">
        <f>IF($B4970="","",TEXT($B4970,"0000"))</f>
        <v/>
      </c>
      <c r="W4970" s="19">
        <f>IF($I4970="","",IF(ISNUMBER($I4970),TEXT($I4970,"0"),$I4970))</f>
        <v/>
      </c>
    </row>
    <row r="4971">
      <c r="B4971" s="25" t="n"/>
      <c r="I4971" s="25" t="n"/>
      <c r="U4971" s="19">
        <f>IF(AND($V4971='設定'!$C$4,COUNTIF('商品マスタ'!$B$6:$B$1005,$W4971)=0),N(U4970)+1,N(U4970))</f>
        <v/>
      </c>
      <c r="V4971" s="19">
        <f>IF($B4971="","",TEXT($B4971,"0000"))</f>
        <v/>
      </c>
      <c r="W4971" s="19">
        <f>IF($I4971="","",IF(ISNUMBER($I4971),TEXT($I4971,"0"),$I4971))</f>
        <v/>
      </c>
    </row>
    <row r="4972">
      <c r="B4972" s="25" t="n"/>
      <c r="I4972" s="25" t="n"/>
      <c r="U4972" s="19">
        <f>IF(AND($V4972='設定'!$C$4,COUNTIF('商品マスタ'!$B$6:$B$1005,$W4972)=0),N(U4971)+1,N(U4971))</f>
        <v/>
      </c>
      <c r="V4972" s="19">
        <f>IF($B4972="","",TEXT($B4972,"0000"))</f>
        <v/>
      </c>
      <c r="W4972" s="19">
        <f>IF($I4972="","",IF(ISNUMBER($I4972),TEXT($I4972,"0"),$I4972))</f>
        <v/>
      </c>
    </row>
    <row r="4973">
      <c r="B4973" s="25" t="n"/>
      <c r="I4973" s="25" t="n"/>
      <c r="U4973" s="19">
        <f>IF(AND($V4973='設定'!$C$4,COUNTIF('商品マスタ'!$B$6:$B$1005,$W4973)=0),N(U4972)+1,N(U4972))</f>
        <v/>
      </c>
      <c r="V4973" s="19">
        <f>IF($B4973="","",TEXT($B4973,"0000"))</f>
        <v/>
      </c>
      <c r="W4973" s="19">
        <f>IF($I4973="","",IF(ISNUMBER($I4973),TEXT($I4973,"0"),$I4973))</f>
        <v/>
      </c>
    </row>
    <row r="4974">
      <c r="B4974" s="25" t="n"/>
      <c r="I4974" s="25" t="n"/>
      <c r="U4974" s="19">
        <f>IF(AND($V4974='設定'!$C$4,COUNTIF('商品マスタ'!$B$6:$B$1005,$W4974)=0),N(U4973)+1,N(U4973))</f>
        <v/>
      </c>
      <c r="V4974" s="19">
        <f>IF($B4974="","",TEXT($B4974,"0000"))</f>
        <v/>
      </c>
      <c r="W4974" s="19">
        <f>IF($I4974="","",IF(ISNUMBER($I4974),TEXT($I4974,"0"),$I4974))</f>
        <v/>
      </c>
    </row>
    <row r="4975">
      <c r="B4975" s="25" t="n"/>
      <c r="I4975" s="25" t="n"/>
      <c r="U4975" s="19">
        <f>IF(AND($V4975='設定'!$C$4,COUNTIF('商品マスタ'!$B$6:$B$1005,$W4975)=0),N(U4974)+1,N(U4974))</f>
        <v/>
      </c>
      <c r="V4975" s="19">
        <f>IF($B4975="","",TEXT($B4975,"0000"))</f>
        <v/>
      </c>
      <c r="W4975" s="19">
        <f>IF($I4975="","",IF(ISNUMBER($I4975),TEXT($I4975,"0"),$I4975))</f>
        <v/>
      </c>
    </row>
    <row r="4976">
      <c r="B4976" s="25" t="n"/>
      <c r="I4976" s="25" t="n"/>
      <c r="U4976" s="19">
        <f>IF(AND($V4976='設定'!$C$4,COUNTIF('商品マスタ'!$B$6:$B$1005,$W4976)=0),N(U4975)+1,N(U4975))</f>
        <v/>
      </c>
      <c r="V4976" s="19">
        <f>IF($B4976="","",TEXT($B4976,"0000"))</f>
        <v/>
      </c>
      <c r="W4976" s="19">
        <f>IF($I4976="","",IF(ISNUMBER($I4976),TEXT($I4976,"0"),$I4976))</f>
        <v/>
      </c>
    </row>
    <row r="4977">
      <c r="B4977" s="25" t="n"/>
      <c r="I4977" s="25" t="n"/>
      <c r="U4977" s="19">
        <f>IF(AND($V4977='設定'!$C$4,COUNTIF('商品マスタ'!$B$6:$B$1005,$W4977)=0),N(U4976)+1,N(U4976))</f>
        <v/>
      </c>
      <c r="V4977" s="19">
        <f>IF($B4977="","",TEXT($B4977,"0000"))</f>
        <v/>
      </c>
      <c r="W4977" s="19">
        <f>IF($I4977="","",IF(ISNUMBER($I4977),TEXT($I4977,"0"),$I4977))</f>
        <v/>
      </c>
    </row>
    <row r="4978">
      <c r="B4978" s="25" t="n"/>
      <c r="I4978" s="25" t="n"/>
      <c r="U4978" s="19">
        <f>IF(AND($V4978='設定'!$C$4,COUNTIF('商品マスタ'!$B$6:$B$1005,$W4978)=0),N(U4977)+1,N(U4977))</f>
        <v/>
      </c>
      <c r="V4978" s="19">
        <f>IF($B4978="","",TEXT($B4978,"0000"))</f>
        <v/>
      </c>
      <c r="W4978" s="19">
        <f>IF($I4978="","",IF(ISNUMBER($I4978),TEXT($I4978,"0"),$I4978))</f>
        <v/>
      </c>
    </row>
    <row r="4979">
      <c r="B4979" s="25" t="n"/>
      <c r="I4979" s="25" t="n"/>
      <c r="U4979" s="19">
        <f>IF(AND($V4979='設定'!$C$4,COUNTIF('商品マスタ'!$B$6:$B$1005,$W4979)=0),N(U4978)+1,N(U4978))</f>
        <v/>
      </c>
      <c r="V4979" s="19">
        <f>IF($B4979="","",TEXT($B4979,"0000"))</f>
        <v/>
      </c>
      <c r="W4979" s="19">
        <f>IF($I4979="","",IF(ISNUMBER($I4979),TEXT($I4979,"0"),$I4979))</f>
        <v/>
      </c>
    </row>
    <row r="4980">
      <c r="B4980" s="25" t="n"/>
      <c r="I4980" s="25" t="n"/>
      <c r="U4980" s="19">
        <f>IF(AND($V4980='設定'!$C$4,COUNTIF('商品マスタ'!$B$6:$B$1005,$W4980)=0),N(U4979)+1,N(U4979))</f>
        <v/>
      </c>
      <c r="V4980" s="19">
        <f>IF($B4980="","",TEXT($B4980,"0000"))</f>
        <v/>
      </c>
      <c r="W4980" s="19">
        <f>IF($I4980="","",IF(ISNUMBER($I4980),TEXT($I4980,"0"),$I4980))</f>
        <v/>
      </c>
    </row>
    <row r="4981">
      <c r="B4981" s="25" t="n"/>
      <c r="I4981" s="25" t="n"/>
      <c r="U4981" s="19">
        <f>IF(AND($V4981='設定'!$C$4,COUNTIF('商品マスタ'!$B$6:$B$1005,$W4981)=0),N(U4980)+1,N(U4980))</f>
        <v/>
      </c>
      <c r="V4981" s="19">
        <f>IF($B4981="","",TEXT($B4981,"0000"))</f>
        <v/>
      </c>
      <c r="W4981" s="19">
        <f>IF($I4981="","",IF(ISNUMBER($I4981),TEXT($I4981,"0"),$I4981))</f>
        <v/>
      </c>
    </row>
    <row r="4982">
      <c r="B4982" s="25" t="n"/>
      <c r="I4982" s="25" t="n"/>
      <c r="U4982" s="19">
        <f>IF(AND($V4982='設定'!$C$4,COUNTIF('商品マスタ'!$B$6:$B$1005,$W4982)=0),N(U4981)+1,N(U4981))</f>
        <v/>
      </c>
      <c r="V4982" s="19">
        <f>IF($B4982="","",TEXT($B4982,"0000"))</f>
        <v/>
      </c>
      <c r="W4982" s="19">
        <f>IF($I4982="","",IF(ISNUMBER($I4982),TEXT($I4982,"0"),$I4982))</f>
        <v/>
      </c>
    </row>
    <row r="4983">
      <c r="B4983" s="25" t="n"/>
      <c r="I4983" s="25" t="n"/>
      <c r="U4983" s="19">
        <f>IF(AND($V4983='設定'!$C$4,COUNTIF('商品マスタ'!$B$6:$B$1005,$W4983)=0),N(U4982)+1,N(U4982))</f>
        <v/>
      </c>
      <c r="V4983" s="19">
        <f>IF($B4983="","",TEXT($B4983,"0000"))</f>
        <v/>
      </c>
      <c r="W4983" s="19">
        <f>IF($I4983="","",IF(ISNUMBER($I4983),TEXT($I4983,"0"),$I4983))</f>
        <v/>
      </c>
    </row>
    <row r="4984">
      <c r="B4984" s="25" t="n"/>
      <c r="I4984" s="25" t="n"/>
      <c r="U4984" s="19">
        <f>IF(AND($V4984='設定'!$C$4,COUNTIF('商品マスタ'!$B$6:$B$1005,$W4984)=0),N(U4983)+1,N(U4983))</f>
        <v/>
      </c>
      <c r="V4984" s="19">
        <f>IF($B4984="","",TEXT($B4984,"0000"))</f>
        <v/>
      </c>
      <c r="W4984" s="19">
        <f>IF($I4984="","",IF(ISNUMBER($I4984),TEXT($I4984,"0"),$I4984))</f>
        <v/>
      </c>
    </row>
    <row r="4985">
      <c r="B4985" s="25" t="n"/>
      <c r="I4985" s="25" t="n"/>
      <c r="U4985" s="19">
        <f>IF(AND($V4985='設定'!$C$4,COUNTIF('商品マスタ'!$B$6:$B$1005,$W4985)=0),N(U4984)+1,N(U4984))</f>
        <v/>
      </c>
      <c r="V4985" s="19">
        <f>IF($B4985="","",TEXT($B4985,"0000"))</f>
        <v/>
      </c>
      <c r="W4985" s="19">
        <f>IF($I4985="","",IF(ISNUMBER($I4985),TEXT($I4985,"0"),$I4985))</f>
        <v/>
      </c>
    </row>
    <row r="4986">
      <c r="B4986" s="25" t="n"/>
      <c r="I4986" s="25" t="n"/>
      <c r="U4986" s="19">
        <f>IF(AND($V4986='設定'!$C$4,COUNTIF('商品マスタ'!$B$6:$B$1005,$W4986)=0),N(U4985)+1,N(U4985))</f>
        <v/>
      </c>
      <c r="V4986" s="19">
        <f>IF($B4986="","",TEXT($B4986,"0000"))</f>
        <v/>
      </c>
      <c r="W4986" s="19">
        <f>IF($I4986="","",IF(ISNUMBER($I4986),TEXT($I4986,"0"),$I4986))</f>
        <v/>
      </c>
    </row>
    <row r="4987">
      <c r="B4987" s="25" t="n"/>
      <c r="I4987" s="25" t="n"/>
      <c r="U4987" s="19">
        <f>IF(AND($V4987='設定'!$C$4,COUNTIF('商品マスタ'!$B$6:$B$1005,$W4987)=0),N(U4986)+1,N(U4986))</f>
        <v/>
      </c>
      <c r="V4987" s="19">
        <f>IF($B4987="","",TEXT($B4987,"0000"))</f>
        <v/>
      </c>
      <c r="W4987" s="19">
        <f>IF($I4987="","",IF(ISNUMBER($I4987),TEXT($I4987,"0"),$I4987))</f>
        <v/>
      </c>
    </row>
    <row r="4988">
      <c r="B4988" s="25" t="n"/>
      <c r="I4988" s="25" t="n"/>
      <c r="U4988" s="19">
        <f>IF(AND($V4988='設定'!$C$4,COUNTIF('商品マスタ'!$B$6:$B$1005,$W4988)=0),N(U4987)+1,N(U4987))</f>
        <v/>
      </c>
      <c r="V4988" s="19">
        <f>IF($B4988="","",TEXT($B4988,"0000"))</f>
        <v/>
      </c>
      <c r="W4988" s="19">
        <f>IF($I4988="","",IF(ISNUMBER($I4988),TEXT($I4988,"0"),$I4988))</f>
        <v/>
      </c>
    </row>
    <row r="4989">
      <c r="B4989" s="25" t="n"/>
      <c r="I4989" s="25" t="n"/>
      <c r="U4989" s="19">
        <f>IF(AND($V4989='設定'!$C$4,COUNTIF('商品マスタ'!$B$6:$B$1005,$W4989)=0),N(U4988)+1,N(U4988))</f>
        <v/>
      </c>
      <c r="V4989" s="19">
        <f>IF($B4989="","",TEXT($B4989,"0000"))</f>
        <v/>
      </c>
      <c r="W4989" s="19">
        <f>IF($I4989="","",IF(ISNUMBER($I4989),TEXT($I4989,"0"),$I4989))</f>
        <v/>
      </c>
    </row>
    <row r="4990">
      <c r="B4990" s="25" t="n"/>
      <c r="I4990" s="25" t="n"/>
      <c r="U4990" s="19">
        <f>IF(AND($V4990='設定'!$C$4,COUNTIF('商品マスタ'!$B$6:$B$1005,$W4990)=0),N(U4989)+1,N(U4989))</f>
        <v/>
      </c>
      <c r="V4990" s="19">
        <f>IF($B4990="","",TEXT($B4990,"0000"))</f>
        <v/>
      </c>
      <c r="W4990" s="19">
        <f>IF($I4990="","",IF(ISNUMBER($I4990),TEXT($I4990,"0"),$I4990))</f>
        <v/>
      </c>
    </row>
    <row r="4991">
      <c r="B4991" s="25" t="n"/>
      <c r="I4991" s="25" t="n"/>
      <c r="U4991" s="19">
        <f>IF(AND($V4991='設定'!$C$4,COUNTIF('商品マスタ'!$B$6:$B$1005,$W4991)=0),N(U4990)+1,N(U4990))</f>
        <v/>
      </c>
      <c r="V4991" s="19">
        <f>IF($B4991="","",TEXT($B4991,"0000"))</f>
        <v/>
      </c>
      <c r="W4991" s="19">
        <f>IF($I4991="","",IF(ISNUMBER($I4991),TEXT($I4991,"0"),$I4991))</f>
        <v/>
      </c>
    </row>
    <row r="4992">
      <c r="B4992" s="25" t="n"/>
      <c r="I4992" s="25" t="n"/>
      <c r="U4992" s="19">
        <f>IF(AND($V4992='設定'!$C$4,COUNTIF('商品マスタ'!$B$6:$B$1005,$W4992)=0),N(U4991)+1,N(U4991))</f>
        <v/>
      </c>
      <c r="V4992" s="19">
        <f>IF($B4992="","",TEXT($B4992,"0000"))</f>
        <v/>
      </c>
      <c r="W4992" s="19">
        <f>IF($I4992="","",IF(ISNUMBER($I4992),TEXT($I4992,"0"),$I4992))</f>
        <v/>
      </c>
    </row>
    <row r="4993">
      <c r="B4993" s="25" t="n"/>
      <c r="I4993" s="25" t="n"/>
      <c r="U4993" s="19">
        <f>IF(AND($V4993='設定'!$C$4,COUNTIF('商品マスタ'!$B$6:$B$1005,$W4993)=0),N(U4992)+1,N(U4992))</f>
        <v/>
      </c>
      <c r="V4993" s="19">
        <f>IF($B4993="","",TEXT($B4993,"0000"))</f>
        <v/>
      </c>
      <c r="W4993" s="19">
        <f>IF($I4993="","",IF(ISNUMBER($I4993),TEXT($I4993,"0"),$I4993))</f>
        <v/>
      </c>
    </row>
    <row r="4994">
      <c r="B4994" s="25" t="n"/>
      <c r="I4994" s="25" t="n"/>
      <c r="U4994" s="19">
        <f>IF(AND($V4994='設定'!$C$4,COUNTIF('商品マスタ'!$B$6:$B$1005,$W4994)=0),N(U4993)+1,N(U4993))</f>
        <v/>
      </c>
      <c r="V4994" s="19">
        <f>IF($B4994="","",TEXT($B4994,"0000"))</f>
        <v/>
      </c>
      <c r="W4994" s="19">
        <f>IF($I4994="","",IF(ISNUMBER($I4994),TEXT($I4994,"0"),$I4994))</f>
        <v/>
      </c>
    </row>
    <row r="4995">
      <c r="B4995" s="25" t="n"/>
      <c r="I4995" s="25" t="n"/>
      <c r="U4995" s="19">
        <f>IF(AND($V4995='設定'!$C$4,COUNTIF('商品マスタ'!$B$6:$B$1005,$W4995)=0),N(U4994)+1,N(U4994))</f>
        <v/>
      </c>
      <c r="V4995" s="19">
        <f>IF($B4995="","",TEXT($B4995,"0000"))</f>
        <v/>
      </c>
      <c r="W4995" s="19">
        <f>IF($I4995="","",IF(ISNUMBER($I4995),TEXT($I4995,"0"),$I4995))</f>
        <v/>
      </c>
    </row>
    <row r="4996">
      <c r="B4996" s="25" t="n"/>
      <c r="I4996" s="25" t="n"/>
      <c r="U4996" s="19">
        <f>IF(AND($V4996='設定'!$C$4,COUNTIF('商品マスタ'!$B$6:$B$1005,$W4996)=0),N(U4995)+1,N(U4995))</f>
        <v/>
      </c>
      <c r="V4996" s="19">
        <f>IF($B4996="","",TEXT($B4996,"0000"))</f>
        <v/>
      </c>
      <c r="W4996" s="19">
        <f>IF($I4996="","",IF(ISNUMBER($I4996),TEXT($I4996,"0"),$I4996))</f>
        <v/>
      </c>
    </row>
    <row r="4997">
      <c r="B4997" s="25" t="n"/>
      <c r="I4997" s="25" t="n"/>
      <c r="U4997" s="19">
        <f>IF(AND($V4997='設定'!$C$4,COUNTIF('商品マスタ'!$B$6:$B$1005,$W4997)=0),N(U4996)+1,N(U4996))</f>
        <v/>
      </c>
      <c r="V4997" s="19">
        <f>IF($B4997="","",TEXT($B4997,"0000"))</f>
        <v/>
      </c>
      <c r="W4997" s="19">
        <f>IF($I4997="","",IF(ISNUMBER($I4997),TEXT($I4997,"0"),$I4997))</f>
        <v/>
      </c>
    </row>
    <row r="4998">
      <c r="B4998" s="25" t="n"/>
      <c r="I4998" s="25" t="n"/>
      <c r="U4998" s="19">
        <f>IF(AND($V4998='設定'!$C$4,COUNTIF('商品マスタ'!$B$6:$B$1005,$W4998)=0),N(U4997)+1,N(U4997))</f>
        <v/>
      </c>
      <c r="V4998" s="19">
        <f>IF($B4998="","",TEXT($B4998,"0000"))</f>
        <v/>
      </c>
      <c r="W4998" s="19">
        <f>IF($I4998="","",IF(ISNUMBER($I4998),TEXT($I4998,"0"),$I4998))</f>
        <v/>
      </c>
    </row>
    <row r="4999">
      <c r="B4999" s="25" t="n"/>
      <c r="I4999" s="25" t="n"/>
      <c r="U4999" s="19">
        <f>IF(AND($V4999='設定'!$C$4,COUNTIF('商品マスタ'!$B$6:$B$1005,$W4999)=0),N(U4998)+1,N(U4998))</f>
        <v/>
      </c>
      <c r="V4999" s="19">
        <f>IF($B4999="","",TEXT($B4999,"0000"))</f>
        <v/>
      </c>
      <c r="W4999" s="19">
        <f>IF($I4999="","",IF(ISNUMBER($I4999),TEXT($I4999,"0"),$I4999))</f>
        <v/>
      </c>
    </row>
    <row r="5000">
      <c r="B5000" s="25" t="n"/>
      <c r="I5000" s="25" t="n"/>
      <c r="U5000" s="19">
        <f>IF(AND($V5000='設定'!$C$4,COUNTIF('商品マスタ'!$B$6:$B$1005,$W5000)=0),N(U4999)+1,N(U4999))</f>
        <v/>
      </c>
      <c r="V5000" s="19">
        <f>IF($B5000="","",TEXT($B5000,"0000"))</f>
        <v/>
      </c>
      <c r="W5000" s="19">
        <f>IF($I5000="","",IF(ISNUMBER($I5000),TEXT($I5000,"0"),$I5000))</f>
        <v/>
      </c>
    </row>
    <row r="5001">
      <c r="B5001" s="25" t="n"/>
      <c r="I5001" s="25" t="n"/>
      <c r="U5001" s="19">
        <f>IF(AND($V5001='設定'!$C$4,COUNTIF('商品マスタ'!$B$6:$B$1005,$W5001)=0),N(U5000)+1,N(U5000))</f>
        <v/>
      </c>
      <c r="V5001" s="19">
        <f>IF($B5001="","",TEXT($B5001,"0000"))</f>
        <v/>
      </c>
      <c r="W5001" s="19">
        <f>IF($I5001="","",IF(ISNUMBER($I5001),TEXT($I5001,"0"),$I5001))</f>
        <v/>
      </c>
    </row>
    <row r="5002">
      <c r="B5002" s="25" t="n"/>
      <c r="I5002" s="25" t="n"/>
      <c r="U5002" s="19">
        <f>IF(AND($V5002='設定'!$C$4,COUNTIF('商品マスタ'!$B$6:$B$1005,$W5002)=0),N(U5001)+1,N(U5001))</f>
        <v/>
      </c>
      <c r="V5002" s="19">
        <f>IF($B5002="","",TEXT($B5002,"0000"))</f>
        <v/>
      </c>
      <c r="W5002" s="19">
        <f>IF($I5002="","",IF(ISNUMBER($I5002),TEXT($I5002,"0"),$I5002))</f>
        <v/>
      </c>
    </row>
    <row r="5003">
      <c r="B5003" s="25" t="n"/>
      <c r="I5003" s="25" t="n"/>
      <c r="U5003" s="19">
        <f>IF(AND($V5003='設定'!$C$4,COUNTIF('商品マスタ'!$B$6:$B$1005,$W5003)=0),N(U5002)+1,N(U5002))</f>
        <v/>
      </c>
      <c r="V5003" s="19">
        <f>IF($B5003="","",TEXT($B5003,"0000"))</f>
        <v/>
      </c>
      <c r="W5003" s="19">
        <f>IF($I5003="","",IF(ISNUMBER($I5003),TEXT($I5003,"0"),$I5003))</f>
        <v/>
      </c>
    </row>
    <row r="5004">
      <c r="B5004" s="25" t="n"/>
      <c r="I5004" s="25" t="n"/>
      <c r="U5004" s="19">
        <f>IF(AND($V5004='設定'!$C$4,COUNTIF('商品マスタ'!$B$6:$B$1005,$W5004)=0),N(U5003)+1,N(U5003))</f>
        <v/>
      </c>
      <c r="V5004" s="19">
        <f>IF($B5004="","",TEXT($B5004,"0000"))</f>
        <v/>
      </c>
      <c r="W5004" s="19">
        <f>IF($I5004="","",IF(ISNUMBER($I5004),TEXT($I5004,"0"),$I5004))</f>
        <v/>
      </c>
    </row>
    <row r="5005">
      <c r="B5005" s="25" t="n"/>
      <c r="I5005" s="25" t="n"/>
      <c r="U5005" s="19">
        <f>IF(AND($V5005='設定'!$C$4,COUNTIF('商品マスタ'!$B$6:$B$1005,$W5005)=0),N(U5004)+1,N(U5004))</f>
        <v/>
      </c>
      <c r="V5005" s="19">
        <f>IF($B5005="","",TEXT($B5005,"0000"))</f>
        <v/>
      </c>
      <c r="W5005" s="19">
        <f>IF($I5005="","",IF(ISNUMBER($I5005),TEXT($I5005,"0"),$I5005))</f>
        <v/>
      </c>
    </row>
    <row r="5006">
      <c r="B5006" s="25" t="n"/>
      <c r="I5006" s="25" t="n"/>
      <c r="U5006" s="19">
        <f>IF(AND($V5006='設定'!$C$4,COUNTIF('商品マスタ'!$B$6:$B$1005,$W5006)=0),N(U5005)+1,N(U5005))</f>
        <v/>
      </c>
      <c r="V5006" s="19">
        <f>IF($B5006="","",TEXT($B5006,"0000"))</f>
        <v/>
      </c>
      <c r="W5006" s="19">
        <f>IF($I5006="","",IF(ISNUMBER($I5006),TEXT($I5006,"0"),$I5006))</f>
        <v/>
      </c>
    </row>
    <row r="5007">
      <c r="B5007" s="25" t="n"/>
      <c r="I5007" s="25" t="n"/>
      <c r="U5007" s="19">
        <f>IF(AND($V5007='設定'!$C$4,COUNTIF('商品マスタ'!$B$6:$B$1005,$W5007)=0),N(U5006)+1,N(U5006))</f>
        <v/>
      </c>
      <c r="V5007" s="19">
        <f>IF($B5007="","",TEXT($B5007,"0000"))</f>
        <v/>
      </c>
      <c r="W5007" s="19">
        <f>IF($I5007="","",IF(ISNUMBER($I5007),TEXT($I5007,"0"),$I5007))</f>
        <v/>
      </c>
    </row>
    <row r="5008">
      <c r="B5008" s="25" t="n"/>
      <c r="I5008" s="25" t="n"/>
      <c r="U5008" s="19">
        <f>IF(AND($V5008='設定'!$C$4,COUNTIF('商品マスタ'!$B$6:$B$1005,$W5008)=0),N(U5007)+1,N(U5007))</f>
        <v/>
      </c>
      <c r="V5008" s="19">
        <f>IF($B5008="","",TEXT($B5008,"0000"))</f>
        <v/>
      </c>
      <c r="W5008" s="19">
        <f>IF($I5008="","",IF(ISNUMBER($I5008),TEXT($I5008,"0"),$I5008))</f>
        <v/>
      </c>
    </row>
    <row r="5009">
      <c r="B5009" s="25" t="n"/>
      <c r="I5009" s="25" t="n"/>
      <c r="U5009" s="19">
        <f>IF(AND($V5009='設定'!$C$4,COUNTIF('商品マスタ'!$B$6:$B$1005,$W5009)=0),N(U5008)+1,N(U5008))</f>
        <v/>
      </c>
      <c r="V5009" s="19">
        <f>IF($B5009="","",TEXT($B5009,"0000"))</f>
        <v/>
      </c>
      <c r="W5009" s="19">
        <f>IF($I5009="","",IF(ISNUMBER($I5009),TEXT($I5009,"0"),$I5009))</f>
        <v/>
      </c>
    </row>
    <row r="5010">
      <c r="B5010" s="25" t="n"/>
      <c r="I5010" s="25" t="n"/>
      <c r="U5010" s="19">
        <f>IF(AND($V5010='設定'!$C$4,COUNTIF('商品マスタ'!$B$6:$B$1005,$W5010)=0),N(U5009)+1,N(U5009))</f>
        <v/>
      </c>
      <c r="V5010" s="19">
        <f>IF($B5010="","",TEXT($B5010,"0000"))</f>
        <v/>
      </c>
      <c r="W5010" s="19">
        <f>IF($I5010="","",IF(ISNUMBER($I5010),TEXT($I5010,"0"),$I5010))</f>
        <v/>
      </c>
    </row>
    <row r="5011">
      <c r="B5011" s="25" t="n"/>
      <c r="I5011" s="25" t="n"/>
      <c r="U5011" s="19">
        <f>IF(AND($V5011='設定'!$C$4,COUNTIF('商品マスタ'!$B$6:$B$1005,$W5011)=0),N(U5010)+1,N(U5010))</f>
        <v/>
      </c>
      <c r="V5011" s="19">
        <f>IF($B5011="","",TEXT($B5011,"0000"))</f>
        <v/>
      </c>
      <c r="W5011" s="19">
        <f>IF($I5011="","",IF(ISNUMBER($I5011),TEXT($I5011,"0"),$I5011))</f>
        <v/>
      </c>
    </row>
    <row r="5012">
      <c r="B5012" s="25" t="n"/>
      <c r="I5012" s="25" t="n"/>
      <c r="U5012" s="19">
        <f>IF(AND($V5012='設定'!$C$4,COUNTIF('商品マスタ'!$B$6:$B$1005,$W5012)=0),N(U5011)+1,N(U5011))</f>
        <v/>
      </c>
      <c r="V5012" s="19">
        <f>IF($B5012="","",TEXT($B5012,"0000"))</f>
        <v/>
      </c>
      <c r="W5012" s="19">
        <f>IF($I5012="","",IF(ISNUMBER($I5012),TEXT($I5012,"0"),$I5012))</f>
        <v/>
      </c>
    </row>
    <row r="5013">
      <c r="B5013" s="25" t="n"/>
      <c r="I5013" s="25" t="n"/>
      <c r="U5013" s="19">
        <f>IF(AND($V5013='設定'!$C$4,COUNTIF('商品マスタ'!$B$6:$B$1005,$W5013)=0),N(U5012)+1,N(U5012))</f>
        <v/>
      </c>
      <c r="V5013" s="19">
        <f>IF($B5013="","",TEXT($B5013,"0000"))</f>
        <v/>
      </c>
      <c r="W5013" s="19">
        <f>IF($I5013="","",IF(ISNUMBER($I5013),TEXT($I5013,"0"),$I5013))</f>
        <v/>
      </c>
    </row>
    <row r="5014">
      <c r="B5014" s="25" t="n"/>
      <c r="I5014" s="25" t="n"/>
      <c r="U5014" s="19">
        <f>IF(AND($V5014='設定'!$C$4,COUNTIF('商品マスタ'!$B$6:$B$1005,$W5014)=0),N(U5013)+1,N(U5013))</f>
        <v/>
      </c>
      <c r="V5014" s="19">
        <f>IF($B5014="","",TEXT($B5014,"0000"))</f>
        <v/>
      </c>
      <c r="W5014" s="19">
        <f>IF($I5014="","",IF(ISNUMBER($I5014),TEXT($I5014,"0"),$I5014))</f>
        <v/>
      </c>
    </row>
    <row r="5015">
      <c r="B5015" s="25" t="n"/>
      <c r="I5015" s="25" t="n"/>
      <c r="U5015" s="19">
        <f>IF(AND($V5015='設定'!$C$4,COUNTIF('商品マスタ'!$B$6:$B$1005,$W5015)=0),N(U5014)+1,N(U5014))</f>
        <v/>
      </c>
      <c r="V5015" s="19">
        <f>IF($B5015="","",TEXT($B5015,"0000"))</f>
        <v/>
      </c>
      <c r="W5015" s="19">
        <f>IF($I5015="","",IF(ISNUMBER($I5015),TEXT($I5015,"0"),$I5015))</f>
        <v/>
      </c>
    </row>
    <row r="5016">
      <c r="B5016" s="25" t="n"/>
      <c r="I5016" s="25" t="n"/>
      <c r="U5016" s="19">
        <f>IF(AND($V5016='設定'!$C$4,COUNTIF('商品マスタ'!$B$6:$B$1005,$W5016)=0),N(U5015)+1,N(U5015))</f>
        <v/>
      </c>
      <c r="V5016" s="19">
        <f>IF($B5016="","",TEXT($B5016,"0000"))</f>
        <v/>
      </c>
      <c r="W5016" s="19">
        <f>IF($I5016="","",IF(ISNUMBER($I5016),TEXT($I5016,"0"),$I5016))</f>
        <v/>
      </c>
    </row>
    <row r="5017">
      <c r="B5017" s="25" t="n"/>
      <c r="I5017" s="25" t="n"/>
      <c r="U5017" s="19">
        <f>IF(AND($V5017='設定'!$C$4,COUNTIF('商品マスタ'!$B$6:$B$1005,$W5017)=0),N(U5016)+1,N(U5016))</f>
        <v/>
      </c>
      <c r="V5017" s="19">
        <f>IF($B5017="","",TEXT($B5017,"0000"))</f>
        <v/>
      </c>
      <c r="W5017" s="19">
        <f>IF($I5017="","",IF(ISNUMBER($I5017),TEXT($I5017,"0"),$I5017))</f>
        <v/>
      </c>
    </row>
    <row r="5018">
      <c r="B5018" s="25" t="n"/>
      <c r="I5018" s="25" t="n"/>
      <c r="U5018" s="19">
        <f>IF(AND($V5018='設定'!$C$4,COUNTIF('商品マスタ'!$B$6:$B$1005,$W5018)=0),N(U5017)+1,N(U5017))</f>
        <v/>
      </c>
      <c r="V5018" s="19">
        <f>IF($B5018="","",TEXT($B5018,"0000"))</f>
        <v/>
      </c>
      <c r="W5018" s="19">
        <f>IF($I5018="","",IF(ISNUMBER($I5018),TEXT($I5018,"0"),$I5018))</f>
        <v/>
      </c>
    </row>
    <row r="5019">
      <c r="B5019" s="25" t="n"/>
      <c r="I5019" s="25" t="n"/>
      <c r="U5019" s="19">
        <f>IF(AND($V5019='設定'!$C$4,COUNTIF('商品マスタ'!$B$6:$B$1005,$W5019)=0),N(U5018)+1,N(U5018))</f>
        <v/>
      </c>
      <c r="V5019" s="19">
        <f>IF($B5019="","",TEXT($B5019,"0000"))</f>
        <v/>
      </c>
      <c r="W5019" s="19">
        <f>IF($I5019="","",IF(ISNUMBER($I5019),TEXT($I5019,"0"),$I5019))</f>
        <v/>
      </c>
    </row>
    <row r="5020">
      <c r="B5020" s="25" t="n"/>
      <c r="I5020" s="25" t="n"/>
      <c r="U5020" s="19">
        <f>IF(AND($V5020='設定'!$C$4,COUNTIF('商品マスタ'!$B$6:$B$1005,$W5020)=0),N(U5019)+1,N(U5019))</f>
        <v/>
      </c>
      <c r="V5020" s="19">
        <f>IF($B5020="","",TEXT($B5020,"0000"))</f>
        <v/>
      </c>
      <c r="W5020" s="19">
        <f>IF($I5020="","",IF(ISNUMBER($I5020),TEXT($I5020,"0"),$I5020))</f>
        <v/>
      </c>
    </row>
    <row r="5021">
      <c r="B5021" s="25" t="n"/>
      <c r="I5021" s="25" t="n"/>
      <c r="U5021" s="19">
        <f>IF(AND($V5021='設定'!$C$4,COUNTIF('商品マスタ'!$B$6:$B$1005,$W5021)=0),N(U5020)+1,N(U5020))</f>
        <v/>
      </c>
      <c r="V5021" s="19">
        <f>IF($B5021="","",TEXT($B5021,"0000"))</f>
        <v/>
      </c>
      <c r="W5021" s="19">
        <f>IF($I5021="","",IF(ISNUMBER($I5021),TEXT($I5021,"0"),$I5021))</f>
        <v/>
      </c>
    </row>
    <row r="5022">
      <c r="B5022" s="25" t="n"/>
      <c r="I5022" s="25" t="n"/>
      <c r="U5022" s="19">
        <f>IF(AND($V5022='設定'!$C$4,COUNTIF('商品マスタ'!$B$6:$B$1005,$W5022)=0),N(U5021)+1,N(U5021))</f>
        <v/>
      </c>
      <c r="V5022" s="19">
        <f>IF($B5022="","",TEXT($B5022,"0000"))</f>
        <v/>
      </c>
      <c r="W5022" s="19">
        <f>IF($I5022="","",IF(ISNUMBER($I5022),TEXT($I5022,"0"),$I5022))</f>
        <v/>
      </c>
    </row>
    <row r="5023">
      <c r="B5023" s="25" t="n"/>
      <c r="I5023" s="25" t="n"/>
      <c r="U5023" s="19">
        <f>IF(AND($V5023='設定'!$C$4,COUNTIF('商品マスタ'!$B$6:$B$1005,$W5023)=0),N(U5022)+1,N(U5022))</f>
        <v/>
      </c>
      <c r="V5023" s="19">
        <f>IF($B5023="","",TEXT($B5023,"0000"))</f>
        <v/>
      </c>
      <c r="W5023" s="19">
        <f>IF($I5023="","",IF(ISNUMBER($I5023),TEXT($I5023,"0"),$I5023))</f>
        <v/>
      </c>
    </row>
    <row r="5024">
      <c r="B5024" s="25" t="n"/>
      <c r="I5024" s="25" t="n"/>
      <c r="U5024" s="19">
        <f>IF(AND($V5024='設定'!$C$4,COUNTIF('商品マスタ'!$B$6:$B$1005,$W5024)=0),N(U5023)+1,N(U5023))</f>
        <v/>
      </c>
      <c r="V5024" s="19">
        <f>IF($B5024="","",TEXT($B5024,"0000"))</f>
        <v/>
      </c>
      <c r="W5024" s="19">
        <f>IF($I5024="","",IF(ISNUMBER($I5024),TEXT($I5024,"0"),$I5024))</f>
        <v/>
      </c>
    </row>
    <row r="5025">
      <c r="B5025" s="25" t="n"/>
      <c r="I5025" s="25" t="n"/>
      <c r="U5025" s="19">
        <f>IF(AND($V5025='設定'!$C$4,COUNTIF('商品マスタ'!$B$6:$B$1005,$W5025)=0),N(U5024)+1,N(U5024))</f>
        <v/>
      </c>
      <c r="V5025" s="19">
        <f>IF($B5025="","",TEXT($B5025,"0000"))</f>
        <v/>
      </c>
      <c r="W5025" s="19">
        <f>IF($I5025="","",IF(ISNUMBER($I5025),TEXT($I5025,"0"),$I5025))</f>
        <v/>
      </c>
    </row>
    <row r="5026">
      <c r="B5026" s="25" t="n"/>
      <c r="I5026" s="25" t="n"/>
      <c r="U5026" s="19">
        <f>IF(AND($V5026='設定'!$C$4,COUNTIF('商品マスタ'!$B$6:$B$1005,$W5026)=0),N(U5025)+1,N(U5025))</f>
        <v/>
      </c>
      <c r="V5026" s="19">
        <f>IF($B5026="","",TEXT($B5026,"0000"))</f>
        <v/>
      </c>
      <c r="W5026" s="19">
        <f>IF($I5026="","",IF(ISNUMBER($I5026),TEXT($I5026,"0"),$I5026))</f>
        <v/>
      </c>
    </row>
    <row r="5027">
      <c r="B5027" s="25" t="n"/>
      <c r="I5027" s="25" t="n"/>
      <c r="U5027" s="19">
        <f>IF(AND($V5027='設定'!$C$4,COUNTIF('商品マスタ'!$B$6:$B$1005,$W5027)=0),N(U5026)+1,N(U5026))</f>
        <v/>
      </c>
      <c r="V5027" s="19">
        <f>IF($B5027="","",TEXT($B5027,"0000"))</f>
        <v/>
      </c>
      <c r="W5027" s="19">
        <f>IF($I5027="","",IF(ISNUMBER($I5027),TEXT($I5027,"0"),$I5027))</f>
        <v/>
      </c>
    </row>
    <row r="5028">
      <c r="B5028" s="25" t="n"/>
      <c r="I5028" s="25" t="n"/>
      <c r="U5028" s="19">
        <f>IF(AND($V5028='設定'!$C$4,COUNTIF('商品マスタ'!$B$6:$B$1005,$W5028)=0),N(U5027)+1,N(U5027))</f>
        <v/>
      </c>
      <c r="V5028" s="19">
        <f>IF($B5028="","",TEXT($B5028,"0000"))</f>
        <v/>
      </c>
      <c r="W5028" s="19">
        <f>IF($I5028="","",IF(ISNUMBER($I5028),TEXT($I5028,"0"),$I5028))</f>
        <v/>
      </c>
    </row>
    <row r="5029">
      <c r="B5029" s="25" t="n"/>
      <c r="I5029" s="25" t="n"/>
      <c r="U5029" s="19">
        <f>IF(AND($V5029='設定'!$C$4,COUNTIF('商品マスタ'!$B$6:$B$1005,$W5029)=0),N(U5028)+1,N(U5028))</f>
        <v/>
      </c>
      <c r="V5029" s="19">
        <f>IF($B5029="","",TEXT($B5029,"0000"))</f>
        <v/>
      </c>
      <c r="W5029" s="19">
        <f>IF($I5029="","",IF(ISNUMBER($I5029),TEXT($I5029,"0"),$I5029))</f>
        <v/>
      </c>
    </row>
    <row r="5030">
      <c r="B5030" s="25" t="n"/>
      <c r="I5030" s="25" t="n"/>
      <c r="U5030" s="19">
        <f>IF(AND($V5030='設定'!$C$4,COUNTIF('商品マスタ'!$B$6:$B$1005,$W5030)=0),N(U5029)+1,N(U5029))</f>
        <v/>
      </c>
      <c r="V5030" s="19">
        <f>IF($B5030="","",TEXT($B5030,"0000"))</f>
        <v/>
      </c>
      <c r="W5030" s="19">
        <f>IF($I5030="","",IF(ISNUMBER($I5030),TEXT($I5030,"0"),$I5030))</f>
        <v/>
      </c>
    </row>
    <row r="5031">
      <c r="B5031" s="25" t="n"/>
      <c r="I5031" s="25" t="n"/>
      <c r="U5031" s="19">
        <f>IF(AND($V5031='設定'!$C$4,COUNTIF('商品マスタ'!$B$6:$B$1005,$W5031)=0),N(U5030)+1,N(U5030))</f>
        <v/>
      </c>
      <c r="V5031" s="19">
        <f>IF($B5031="","",TEXT($B5031,"0000"))</f>
        <v/>
      </c>
      <c r="W5031" s="19">
        <f>IF($I5031="","",IF(ISNUMBER($I5031),TEXT($I5031,"0"),$I5031))</f>
        <v/>
      </c>
    </row>
    <row r="5032">
      <c r="B5032" s="25" t="n"/>
      <c r="I5032" s="25" t="n"/>
      <c r="U5032" s="19">
        <f>IF(AND($V5032='設定'!$C$4,COUNTIF('商品マスタ'!$B$6:$B$1005,$W5032)=0),N(U5031)+1,N(U5031))</f>
        <v/>
      </c>
      <c r="V5032" s="19">
        <f>IF($B5032="","",TEXT($B5032,"0000"))</f>
        <v/>
      </c>
      <c r="W5032" s="19">
        <f>IF($I5032="","",IF(ISNUMBER($I5032),TEXT($I5032,"0"),$I5032))</f>
        <v/>
      </c>
    </row>
    <row r="5033">
      <c r="B5033" s="25" t="n"/>
      <c r="I5033" s="25" t="n"/>
      <c r="U5033" s="19">
        <f>IF(AND($V5033='設定'!$C$4,COUNTIF('商品マスタ'!$B$6:$B$1005,$W5033)=0),N(U5032)+1,N(U5032))</f>
        <v/>
      </c>
      <c r="V5033" s="19">
        <f>IF($B5033="","",TEXT($B5033,"0000"))</f>
        <v/>
      </c>
      <c r="W5033" s="19">
        <f>IF($I5033="","",IF(ISNUMBER($I5033),TEXT($I5033,"0"),$I5033))</f>
        <v/>
      </c>
    </row>
    <row r="5034">
      <c r="B5034" s="25" t="n"/>
      <c r="I5034" s="25" t="n"/>
      <c r="U5034" s="19">
        <f>IF(AND($V5034='設定'!$C$4,COUNTIF('商品マスタ'!$B$6:$B$1005,$W5034)=0),N(U5033)+1,N(U5033))</f>
        <v/>
      </c>
      <c r="V5034" s="19">
        <f>IF($B5034="","",TEXT($B5034,"0000"))</f>
        <v/>
      </c>
      <c r="W5034" s="19">
        <f>IF($I5034="","",IF(ISNUMBER($I5034),TEXT($I5034,"0"),$I5034))</f>
        <v/>
      </c>
    </row>
    <row r="5035">
      <c r="B5035" s="25" t="n"/>
      <c r="I5035" s="25" t="n"/>
      <c r="U5035" s="19">
        <f>IF(AND($V5035='設定'!$C$4,COUNTIF('商品マスタ'!$B$6:$B$1005,$W5035)=0),N(U5034)+1,N(U5034))</f>
        <v/>
      </c>
      <c r="V5035" s="19">
        <f>IF($B5035="","",TEXT($B5035,"0000"))</f>
        <v/>
      </c>
      <c r="W5035" s="19">
        <f>IF($I5035="","",IF(ISNUMBER($I5035),TEXT($I5035,"0"),$I5035))</f>
        <v/>
      </c>
    </row>
    <row r="5036">
      <c r="B5036" s="25" t="n"/>
      <c r="I5036" s="25" t="n"/>
      <c r="U5036" s="19">
        <f>IF(AND($V5036='設定'!$C$4,COUNTIF('商品マスタ'!$B$6:$B$1005,$W5036)=0),N(U5035)+1,N(U5035))</f>
        <v/>
      </c>
      <c r="V5036" s="19">
        <f>IF($B5036="","",TEXT($B5036,"0000"))</f>
        <v/>
      </c>
      <c r="W5036" s="19">
        <f>IF($I5036="","",IF(ISNUMBER($I5036),TEXT($I5036,"0"),$I5036))</f>
        <v/>
      </c>
    </row>
    <row r="5037">
      <c r="B5037" s="25" t="n"/>
      <c r="I5037" s="25" t="n"/>
      <c r="U5037" s="19">
        <f>IF(AND($V5037='設定'!$C$4,COUNTIF('商品マスタ'!$B$6:$B$1005,$W5037)=0),N(U5036)+1,N(U5036))</f>
        <v/>
      </c>
      <c r="V5037" s="19">
        <f>IF($B5037="","",TEXT($B5037,"0000"))</f>
        <v/>
      </c>
      <c r="W5037" s="19">
        <f>IF($I5037="","",IF(ISNUMBER($I5037),TEXT($I5037,"0"),$I5037))</f>
        <v/>
      </c>
    </row>
    <row r="5038">
      <c r="B5038" s="25" t="n"/>
      <c r="I5038" s="25" t="n"/>
      <c r="U5038" s="19">
        <f>IF(AND($V5038='設定'!$C$4,COUNTIF('商品マスタ'!$B$6:$B$1005,$W5038)=0),N(U5037)+1,N(U5037))</f>
        <v/>
      </c>
      <c r="V5038" s="19">
        <f>IF($B5038="","",TEXT($B5038,"0000"))</f>
        <v/>
      </c>
      <c r="W5038" s="19">
        <f>IF($I5038="","",IF(ISNUMBER($I5038),TEXT($I5038,"0"),$I5038))</f>
        <v/>
      </c>
    </row>
    <row r="5039">
      <c r="B5039" s="25" t="n"/>
      <c r="I5039" s="25" t="n"/>
      <c r="U5039" s="19">
        <f>IF(AND($V5039='設定'!$C$4,COUNTIF('商品マスタ'!$B$6:$B$1005,$W5039)=0),N(U5038)+1,N(U5038))</f>
        <v/>
      </c>
      <c r="V5039" s="19">
        <f>IF($B5039="","",TEXT($B5039,"0000"))</f>
        <v/>
      </c>
      <c r="W5039" s="19">
        <f>IF($I5039="","",IF(ISNUMBER($I5039),TEXT($I5039,"0"),$I5039))</f>
        <v/>
      </c>
    </row>
    <row r="5040">
      <c r="B5040" s="25" t="n"/>
      <c r="I5040" s="25" t="n"/>
      <c r="U5040" s="19">
        <f>IF(AND($V5040='設定'!$C$4,COUNTIF('商品マスタ'!$B$6:$B$1005,$W5040)=0),N(U5039)+1,N(U5039))</f>
        <v/>
      </c>
      <c r="V5040" s="19">
        <f>IF($B5040="","",TEXT($B5040,"0000"))</f>
        <v/>
      </c>
      <c r="W5040" s="19">
        <f>IF($I5040="","",IF(ISNUMBER($I5040),TEXT($I5040,"0"),$I5040))</f>
        <v/>
      </c>
    </row>
    <row r="5041">
      <c r="B5041" s="25" t="n"/>
      <c r="I5041" s="25" t="n"/>
      <c r="U5041" s="19">
        <f>IF(AND($V5041='設定'!$C$4,COUNTIF('商品マスタ'!$B$6:$B$1005,$W5041)=0),N(U5040)+1,N(U5040))</f>
        <v/>
      </c>
      <c r="V5041" s="19">
        <f>IF($B5041="","",TEXT($B5041,"0000"))</f>
        <v/>
      </c>
      <c r="W5041" s="19">
        <f>IF($I5041="","",IF(ISNUMBER($I5041),TEXT($I5041,"0"),$I5041))</f>
        <v/>
      </c>
    </row>
    <row r="5042">
      <c r="B5042" s="25" t="n"/>
      <c r="I5042" s="25" t="n"/>
      <c r="U5042" s="19">
        <f>IF(AND($V5042='設定'!$C$4,COUNTIF('商品マスタ'!$B$6:$B$1005,$W5042)=0),N(U5041)+1,N(U5041))</f>
        <v/>
      </c>
      <c r="V5042" s="19">
        <f>IF($B5042="","",TEXT($B5042,"0000"))</f>
        <v/>
      </c>
      <c r="W5042" s="19">
        <f>IF($I5042="","",IF(ISNUMBER($I5042),TEXT($I5042,"0"),$I5042))</f>
        <v/>
      </c>
    </row>
    <row r="5043">
      <c r="B5043" s="25" t="n"/>
      <c r="I5043" s="25" t="n"/>
      <c r="U5043" s="19">
        <f>IF(AND($V5043='設定'!$C$4,COUNTIF('商品マスタ'!$B$6:$B$1005,$W5043)=0),N(U5042)+1,N(U5042))</f>
        <v/>
      </c>
      <c r="V5043" s="19">
        <f>IF($B5043="","",TEXT($B5043,"0000"))</f>
        <v/>
      </c>
      <c r="W5043" s="19">
        <f>IF($I5043="","",IF(ISNUMBER($I5043),TEXT($I5043,"0"),$I5043))</f>
        <v/>
      </c>
    </row>
    <row r="5044">
      <c r="B5044" s="25" t="n"/>
      <c r="I5044" s="25" t="n"/>
      <c r="U5044" s="19">
        <f>IF(AND($V5044='設定'!$C$4,COUNTIF('商品マスタ'!$B$6:$B$1005,$W5044)=0),N(U5043)+1,N(U5043))</f>
        <v/>
      </c>
      <c r="V5044" s="19">
        <f>IF($B5044="","",TEXT($B5044,"0000"))</f>
        <v/>
      </c>
      <c r="W5044" s="19">
        <f>IF($I5044="","",IF(ISNUMBER($I5044),TEXT($I5044,"0"),$I5044))</f>
        <v/>
      </c>
    </row>
    <row r="5045">
      <c r="B5045" s="25" t="n"/>
      <c r="I5045" s="25" t="n"/>
      <c r="U5045" s="19">
        <f>IF(AND($V5045='設定'!$C$4,COUNTIF('商品マスタ'!$B$6:$B$1005,$W5045)=0),N(U5044)+1,N(U5044))</f>
        <v/>
      </c>
      <c r="V5045" s="19">
        <f>IF($B5045="","",TEXT($B5045,"0000"))</f>
        <v/>
      </c>
      <c r="W5045" s="19">
        <f>IF($I5045="","",IF(ISNUMBER($I5045),TEXT($I5045,"0"),$I5045))</f>
        <v/>
      </c>
    </row>
    <row r="5046">
      <c r="B5046" s="25" t="n"/>
      <c r="I5046" s="25" t="n"/>
      <c r="U5046" s="19">
        <f>IF(AND($V5046='設定'!$C$4,COUNTIF('商品マスタ'!$B$6:$B$1005,$W5046)=0),N(U5045)+1,N(U5045))</f>
        <v/>
      </c>
      <c r="V5046" s="19">
        <f>IF($B5046="","",TEXT($B5046,"0000"))</f>
        <v/>
      </c>
      <c r="W5046" s="19">
        <f>IF($I5046="","",IF(ISNUMBER($I5046),TEXT($I5046,"0"),$I5046))</f>
        <v/>
      </c>
    </row>
    <row r="5047">
      <c r="B5047" s="25" t="n"/>
      <c r="I5047" s="25" t="n"/>
      <c r="U5047" s="19">
        <f>IF(AND($V5047='設定'!$C$4,COUNTIF('商品マスタ'!$B$6:$B$1005,$W5047)=0),N(U5046)+1,N(U5046))</f>
        <v/>
      </c>
      <c r="V5047" s="19">
        <f>IF($B5047="","",TEXT($B5047,"0000"))</f>
        <v/>
      </c>
      <c r="W5047" s="19">
        <f>IF($I5047="","",IF(ISNUMBER($I5047),TEXT($I5047,"0"),$I5047))</f>
        <v/>
      </c>
    </row>
    <row r="5048">
      <c r="B5048" s="25" t="n"/>
      <c r="I5048" s="25" t="n"/>
      <c r="U5048" s="19">
        <f>IF(AND($V5048='設定'!$C$4,COUNTIF('商品マスタ'!$B$6:$B$1005,$W5048)=0),N(U5047)+1,N(U5047))</f>
        <v/>
      </c>
      <c r="V5048" s="19">
        <f>IF($B5048="","",TEXT($B5048,"0000"))</f>
        <v/>
      </c>
      <c r="W5048" s="19">
        <f>IF($I5048="","",IF(ISNUMBER($I5048),TEXT($I5048,"0"),$I5048))</f>
        <v/>
      </c>
    </row>
    <row r="5049">
      <c r="B5049" s="25" t="n"/>
      <c r="I5049" s="25" t="n"/>
      <c r="U5049" s="19">
        <f>IF(AND($V5049='設定'!$C$4,COUNTIF('商品マスタ'!$B$6:$B$1005,$W5049)=0),N(U5048)+1,N(U5048))</f>
        <v/>
      </c>
      <c r="V5049" s="19">
        <f>IF($B5049="","",TEXT($B5049,"0000"))</f>
        <v/>
      </c>
      <c r="W5049" s="19">
        <f>IF($I5049="","",IF(ISNUMBER($I5049),TEXT($I5049,"0"),$I5049))</f>
        <v/>
      </c>
    </row>
    <row r="5050">
      <c r="B5050" s="25" t="n"/>
      <c r="I5050" s="25" t="n"/>
      <c r="U5050" s="19">
        <f>IF(AND($V5050='設定'!$C$4,COUNTIF('商品マスタ'!$B$6:$B$1005,$W5050)=0),N(U5049)+1,N(U5049))</f>
        <v/>
      </c>
      <c r="V5050" s="19">
        <f>IF($B5050="","",TEXT($B5050,"0000"))</f>
        <v/>
      </c>
      <c r="W5050" s="19">
        <f>IF($I5050="","",IF(ISNUMBER($I5050),TEXT($I5050,"0"),$I5050))</f>
        <v/>
      </c>
    </row>
    <row r="5051">
      <c r="B5051" s="25" t="n"/>
      <c r="I5051" s="25" t="n"/>
      <c r="U5051" s="19">
        <f>IF(AND($V5051='設定'!$C$4,COUNTIF('商品マスタ'!$B$6:$B$1005,$W5051)=0),N(U5050)+1,N(U5050))</f>
        <v/>
      </c>
      <c r="V5051" s="19">
        <f>IF($B5051="","",TEXT($B5051,"0000"))</f>
        <v/>
      </c>
      <c r="W5051" s="19">
        <f>IF($I5051="","",IF(ISNUMBER($I5051),TEXT($I5051,"0"),$I5051))</f>
        <v/>
      </c>
    </row>
    <row r="5052">
      <c r="B5052" s="25" t="n"/>
      <c r="I5052" s="25" t="n"/>
      <c r="U5052" s="19">
        <f>IF(AND($V5052='設定'!$C$4,COUNTIF('商品マスタ'!$B$6:$B$1005,$W5052)=0),N(U5051)+1,N(U5051))</f>
        <v/>
      </c>
      <c r="V5052" s="19">
        <f>IF($B5052="","",TEXT($B5052,"0000"))</f>
        <v/>
      </c>
      <c r="W5052" s="19">
        <f>IF($I5052="","",IF(ISNUMBER($I5052),TEXT($I5052,"0"),$I5052))</f>
        <v/>
      </c>
    </row>
    <row r="5053">
      <c r="B5053" s="25" t="n"/>
      <c r="I5053" s="25" t="n"/>
      <c r="U5053" s="19">
        <f>IF(AND($V5053='設定'!$C$4,COUNTIF('商品マスタ'!$B$6:$B$1005,$W5053)=0),N(U5052)+1,N(U5052))</f>
        <v/>
      </c>
      <c r="V5053" s="19">
        <f>IF($B5053="","",TEXT($B5053,"0000"))</f>
        <v/>
      </c>
      <c r="W5053" s="19">
        <f>IF($I5053="","",IF(ISNUMBER($I5053),TEXT($I5053,"0"),$I5053))</f>
        <v/>
      </c>
    </row>
    <row r="5054">
      <c r="B5054" s="25" t="n"/>
      <c r="I5054" s="25" t="n"/>
      <c r="U5054" s="19">
        <f>IF(AND($V5054='設定'!$C$4,COUNTIF('商品マスタ'!$B$6:$B$1005,$W5054)=0),N(U5053)+1,N(U5053))</f>
        <v/>
      </c>
      <c r="V5054" s="19">
        <f>IF($B5054="","",TEXT($B5054,"0000"))</f>
        <v/>
      </c>
      <c r="W5054" s="19">
        <f>IF($I5054="","",IF(ISNUMBER($I5054),TEXT($I5054,"0"),$I5054))</f>
        <v/>
      </c>
    </row>
    <row r="5055">
      <c r="B5055" s="25" t="n"/>
      <c r="I5055" s="25" t="n"/>
      <c r="U5055" s="19">
        <f>IF(AND($V5055='設定'!$C$4,COUNTIF('商品マスタ'!$B$6:$B$1005,$W5055)=0),N(U5054)+1,N(U5054))</f>
        <v/>
      </c>
      <c r="V5055" s="19">
        <f>IF($B5055="","",TEXT($B5055,"0000"))</f>
        <v/>
      </c>
      <c r="W5055" s="19">
        <f>IF($I5055="","",IF(ISNUMBER($I5055),TEXT($I5055,"0"),$I5055))</f>
        <v/>
      </c>
    </row>
    <row r="5056">
      <c r="B5056" s="25" t="n"/>
      <c r="I5056" s="25" t="n"/>
      <c r="U5056" s="19">
        <f>IF(AND($V5056='設定'!$C$4,COUNTIF('商品マスタ'!$B$6:$B$1005,$W5056)=0),N(U5055)+1,N(U5055))</f>
        <v/>
      </c>
      <c r="V5056" s="19">
        <f>IF($B5056="","",TEXT($B5056,"0000"))</f>
        <v/>
      </c>
      <c r="W5056" s="19">
        <f>IF($I5056="","",IF(ISNUMBER($I5056),TEXT($I5056,"0"),$I5056))</f>
        <v/>
      </c>
    </row>
    <row r="5057">
      <c r="B5057" s="25" t="n"/>
      <c r="I5057" s="25" t="n"/>
      <c r="U5057" s="19">
        <f>IF(AND($V5057='設定'!$C$4,COUNTIF('商品マスタ'!$B$6:$B$1005,$W5057)=0),N(U5056)+1,N(U5056))</f>
        <v/>
      </c>
      <c r="V5057" s="19">
        <f>IF($B5057="","",TEXT($B5057,"0000"))</f>
        <v/>
      </c>
      <c r="W5057" s="19">
        <f>IF($I5057="","",IF(ISNUMBER($I5057),TEXT($I5057,"0"),$I5057))</f>
        <v/>
      </c>
    </row>
    <row r="5058">
      <c r="B5058" s="25" t="n"/>
      <c r="I5058" s="25" t="n"/>
      <c r="U5058" s="19">
        <f>IF(AND($V5058='設定'!$C$4,COUNTIF('商品マスタ'!$B$6:$B$1005,$W5058)=0),N(U5057)+1,N(U5057))</f>
        <v/>
      </c>
      <c r="V5058" s="19">
        <f>IF($B5058="","",TEXT($B5058,"0000"))</f>
        <v/>
      </c>
      <c r="W5058" s="19">
        <f>IF($I5058="","",IF(ISNUMBER($I5058),TEXT($I5058,"0"),$I5058))</f>
        <v/>
      </c>
    </row>
    <row r="5059">
      <c r="B5059" s="25" t="n"/>
      <c r="I5059" s="25" t="n"/>
      <c r="U5059" s="19">
        <f>IF(AND($V5059='設定'!$C$4,COUNTIF('商品マスタ'!$B$6:$B$1005,$W5059)=0),N(U5058)+1,N(U5058))</f>
        <v/>
      </c>
      <c r="V5059" s="19">
        <f>IF($B5059="","",TEXT($B5059,"0000"))</f>
        <v/>
      </c>
      <c r="W5059" s="19">
        <f>IF($I5059="","",IF(ISNUMBER($I5059),TEXT($I5059,"0"),$I5059))</f>
        <v/>
      </c>
    </row>
    <row r="5060">
      <c r="B5060" s="25" t="n"/>
      <c r="I5060" s="25" t="n"/>
      <c r="U5060" s="19">
        <f>IF(AND($V5060='設定'!$C$4,COUNTIF('商品マスタ'!$B$6:$B$1005,$W5060)=0),N(U5059)+1,N(U5059))</f>
        <v/>
      </c>
      <c r="V5060" s="19">
        <f>IF($B5060="","",TEXT($B5060,"0000"))</f>
        <v/>
      </c>
      <c r="W5060" s="19">
        <f>IF($I5060="","",IF(ISNUMBER($I5060),TEXT($I5060,"0"),$I5060))</f>
        <v/>
      </c>
    </row>
    <row r="5061">
      <c r="B5061" s="25" t="n"/>
      <c r="I5061" s="25" t="n"/>
      <c r="U5061" s="19">
        <f>IF(AND($V5061='設定'!$C$4,COUNTIF('商品マスタ'!$B$6:$B$1005,$W5061)=0),N(U5060)+1,N(U5060))</f>
        <v/>
      </c>
      <c r="V5061" s="19">
        <f>IF($B5061="","",TEXT($B5061,"0000"))</f>
        <v/>
      </c>
      <c r="W5061" s="19">
        <f>IF($I5061="","",IF(ISNUMBER($I5061),TEXT($I5061,"0"),$I5061))</f>
        <v/>
      </c>
    </row>
    <row r="5062">
      <c r="B5062" s="25" t="n"/>
      <c r="I5062" s="25" t="n"/>
      <c r="U5062" s="19">
        <f>IF(AND($V5062='設定'!$C$4,COUNTIF('商品マスタ'!$B$6:$B$1005,$W5062)=0),N(U5061)+1,N(U5061))</f>
        <v/>
      </c>
      <c r="V5062" s="19">
        <f>IF($B5062="","",TEXT($B5062,"0000"))</f>
        <v/>
      </c>
      <c r="W5062" s="19">
        <f>IF($I5062="","",IF(ISNUMBER($I5062),TEXT($I5062,"0"),$I5062))</f>
        <v/>
      </c>
    </row>
    <row r="5063">
      <c r="B5063" s="25" t="n"/>
      <c r="I5063" s="25" t="n"/>
      <c r="U5063" s="19">
        <f>IF(AND($V5063='設定'!$C$4,COUNTIF('商品マスタ'!$B$6:$B$1005,$W5063)=0),N(U5062)+1,N(U5062))</f>
        <v/>
      </c>
      <c r="V5063" s="19">
        <f>IF($B5063="","",TEXT($B5063,"0000"))</f>
        <v/>
      </c>
      <c r="W5063" s="19">
        <f>IF($I5063="","",IF(ISNUMBER($I5063),TEXT($I5063,"0"),$I5063))</f>
        <v/>
      </c>
    </row>
    <row r="5064">
      <c r="B5064" s="25" t="n"/>
      <c r="I5064" s="25" t="n"/>
      <c r="U5064" s="19">
        <f>IF(AND($V5064='設定'!$C$4,COUNTIF('商品マスタ'!$B$6:$B$1005,$W5064)=0),N(U5063)+1,N(U5063))</f>
        <v/>
      </c>
      <c r="V5064" s="19">
        <f>IF($B5064="","",TEXT($B5064,"0000"))</f>
        <v/>
      </c>
      <c r="W5064" s="19">
        <f>IF($I5064="","",IF(ISNUMBER($I5064),TEXT($I5064,"0"),$I5064))</f>
        <v/>
      </c>
    </row>
    <row r="5065">
      <c r="B5065" s="25" t="n"/>
      <c r="I5065" s="25" t="n"/>
      <c r="U5065" s="19">
        <f>IF(AND($V5065='設定'!$C$4,COUNTIF('商品マスタ'!$B$6:$B$1005,$W5065)=0),N(U5064)+1,N(U5064))</f>
        <v/>
      </c>
      <c r="V5065" s="19">
        <f>IF($B5065="","",TEXT($B5065,"0000"))</f>
        <v/>
      </c>
      <c r="W5065" s="19">
        <f>IF($I5065="","",IF(ISNUMBER($I5065),TEXT($I5065,"0"),$I5065))</f>
        <v/>
      </c>
    </row>
    <row r="5066">
      <c r="B5066" s="25" t="n"/>
      <c r="I5066" s="25" t="n"/>
      <c r="U5066" s="19">
        <f>IF(AND($V5066='設定'!$C$4,COUNTIF('商品マスタ'!$B$6:$B$1005,$W5066)=0),N(U5065)+1,N(U5065))</f>
        <v/>
      </c>
      <c r="V5066" s="19">
        <f>IF($B5066="","",TEXT($B5066,"0000"))</f>
        <v/>
      </c>
      <c r="W5066" s="19">
        <f>IF($I5066="","",IF(ISNUMBER($I5066),TEXT($I5066,"0"),$I5066))</f>
        <v/>
      </c>
    </row>
    <row r="5067">
      <c r="B5067" s="25" t="n"/>
      <c r="I5067" s="25" t="n"/>
      <c r="U5067" s="19">
        <f>IF(AND($V5067='設定'!$C$4,COUNTIF('商品マスタ'!$B$6:$B$1005,$W5067)=0),N(U5066)+1,N(U5066))</f>
        <v/>
      </c>
      <c r="V5067" s="19">
        <f>IF($B5067="","",TEXT($B5067,"0000"))</f>
        <v/>
      </c>
      <c r="W5067" s="19">
        <f>IF($I5067="","",IF(ISNUMBER($I5067),TEXT($I5067,"0"),$I5067))</f>
        <v/>
      </c>
    </row>
    <row r="5068">
      <c r="B5068" s="25" t="n"/>
      <c r="I5068" s="25" t="n"/>
      <c r="U5068" s="19">
        <f>IF(AND($V5068='設定'!$C$4,COUNTIF('商品マスタ'!$B$6:$B$1005,$W5068)=0),N(U5067)+1,N(U5067))</f>
        <v/>
      </c>
      <c r="V5068" s="19">
        <f>IF($B5068="","",TEXT($B5068,"0000"))</f>
        <v/>
      </c>
      <c r="W5068" s="19">
        <f>IF($I5068="","",IF(ISNUMBER($I5068),TEXT($I5068,"0"),$I5068))</f>
        <v/>
      </c>
    </row>
    <row r="5069">
      <c r="B5069" s="25" t="n"/>
      <c r="I5069" s="25" t="n"/>
      <c r="U5069" s="19">
        <f>IF(AND($V5069='設定'!$C$4,COUNTIF('商品マスタ'!$B$6:$B$1005,$W5069)=0),N(U5068)+1,N(U5068))</f>
        <v/>
      </c>
      <c r="V5069" s="19">
        <f>IF($B5069="","",TEXT($B5069,"0000"))</f>
        <v/>
      </c>
      <c r="W5069" s="19">
        <f>IF($I5069="","",IF(ISNUMBER($I5069),TEXT($I5069,"0"),$I5069))</f>
        <v/>
      </c>
    </row>
    <row r="5070">
      <c r="B5070" s="25" t="n"/>
      <c r="I5070" s="25" t="n"/>
      <c r="U5070" s="19">
        <f>IF(AND($V5070='設定'!$C$4,COUNTIF('商品マスタ'!$B$6:$B$1005,$W5070)=0),N(U5069)+1,N(U5069))</f>
        <v/>
      </c>
      <c r="V5070" s="19">
        <f>IF($B5070="","",TEXT($B5070,"0000"))</f>
        <v/>
      </c>
      <c r="W5070" s="19">
        <f>IF($I5070="","",IF(ISNUMBER($I5070),TEXT($I5070,"0"),$I5070))</f>
        <v/>
      </c>
    </row>
    <row r="5071">
      <c r="B5071" s="25" t="n"/>
      <c r="I5071" s="25" t="n"/>
      <c r="U5071" s="19">
        <f>IF(AND($V5071='設定'!$C$4,COUNTIF('商品マスタ'!$B$6:$B$1005,$W5071)=0),N(U5070)+1,N(U5070))</f>
        <v/>
      </c>
      <c r="V5071" s="19">
        <f>IF($B5071="","",TEXT($B5071,"0000"))</f>
        <v/>
      </c>
      <c r="W5071" s="19">
        <f>IF($I5071="","",IF(ISNUMBER($I5071),TEXT($I5071,"0"),$I5071))</f>
        <v/>
      </c>
    </row>
    <row r="5072">
      <c r="B5072" s="25" t="n"/>
      <c r="I5072" s="25" t="n"/>
      <c r="U5072" s="19">
        <f>IF(AND($V5072='設定'!$C$4,COUNTIF('商品マスタ'!$B$6:$B$1005,$W5072)=0),N(U5071)+1,N(U5071))</f>
        <v/>
      </c>
      <c r="V5072" s="19">
        <f>IF($B5072="","",TEXT($B5072,"0000"))</f>
        <v/>
      </c>
      <c r="W5072" s="19">
        <f>IF($I5072="","",IF(ISNUMBER($I5072),TEXT($I5072,"0"),$I5072))</f>
        <v/>
      </c>
    </row>
    <row r="5073">
      <c r="B5073" s="25" t="n"/>
      <c r="I5073" s="25" t="n"/>
      <c r="U5073" s="19">
        <f>IF(AND($V5073='設定'!$C$4,COUNTIF('商品マスタ'!$B$6:$B$1005,$W5073)=0),N(U5072)+1,N(U5072))</f>
        <v/>
      </c>
      <c r="V5073" s="19">
        <f>IF($B5073="","",TEXT($B5073,"0000"))</f>
        <v/>
      </c>
      <c r="W5073" s="19">
        <f>IF($I5073="","",IF(ISNUMBER($I5073),TEXT($I5073,"0"),$I5073))</f>
        <v/>
      </c>
    </row>
    <row r="5074">
      <c r="B5074" s="25" t="n"/>
      <c r="I5074" s="25" t="n"/>
      <c r="U5074" s="19">
        <f>IF(AND($V5074='設定'!$C$4,COUNTIF('商品マスタ'!$B$6:$B$1005,$W5074)=0),N(U5073)+1,N(U5073))</f>
        <v/>
      </c>
      <c r="V5074" s="19">
        <f>IF($B5074="","",TEXT($B5074,"0000"))</f>
        <v/>
      </c>
      <c r="W5074" s="19">
        <f>IF($I5074="","",IF(ISNUMBER($I5074),TEXT($I5074,"0"),$I5074))</f>
        <v/>
      </c>
    </row>
    <row r="5075">
      <c r="B5075" s="25" t="n"/>
      <c r="I5075" s="25" t="n"/>
      <c r="U5075" s="19">
        <f>IF(AND($V5075='設定'!$C$4,COUNTIF('商品マスタ'!$B$6:$B$1005,$W5075)=0),N(U5074)+1,N(U5074))</f>
        <v/>
      </c>
      <c r="V5075" s="19">
        <f>IF($B5075="","",TEXT($B5075,"0000"))</f>
        <v/>
      </c>
      <c r="W5075" s="19">
        <f>IF($I5075="","",IF(ISNUMBER($I5075),TEXT($I5075,"0"),$I5075))</f>
        <v/>
      </c>
    </row>
    <row r="5076">
      <c r="B5076" s="25" t="n"/>
      <c r="I5076" s="25" t="n"/>
      <c r="U5076" s="19">
        <f>IF(AND($V5076='設定'!$C$4,COUNTIF('商品マスタ'!$B$6:$B$1005,$W5076)=0),N(U5075)+1,N(U5075))</f>
        <v/>
      </c>
      <c r="V5076" s="19">
        <f>IF($B5076="","",TEXT($B5076,"0000"))</f>
        <v/>
      </c>
      <c r="W5076" s="19">
        <f>IF($I5076="","",IF(ISNUMBER($I5076),TEXT($I5076,"0"),$I5076))</f>
        <v/>
      </c>
    </row>
    <row r="5077">
      <c r="B5077" s="25" t="n"/>
      <c r="I5077" s="25" t="n"/>
      <c r="U5077" s="19">
        <f>IF(AND($V5077='設定'!$C$4,COUNTIF('商品マスタ'!$B$6:$B$1005,$W5077)=0),N(U5076)+1,N(U5076))</f>
        <v/>
      </c>
      <c r="V5077" s="19">
        <f>IF($B5077="","",TEXT($B5077,"0000"))</f>
        <v/>
      </c>
      <c r="W5077" s="19">
        <f>IF($I5077="","",IF(ISNUMBER($I5077),TEXT($I5077,"0"),$I5077))</f>
        <v/>
      </c>
    </row>
    <row r="5078">
      <c r="B5078" s="25" t="n"/>
      <c r="I5078" s="25" t="n"/>
      <c r="U5078" s="19">
        <f>IF(AND($V5078='設定'!$C$4,COUNTIF('商品マスタ'!$B$6:$B$1005,$W5078)=0),N(U5077)+1,N(U5077))</f>
        <v/>
      </c>
      <c r="V5078" s="19">
        <f>IF($B5078="","",TEXT($B5078,"0000"))</f>
        <v/>
      </c>
      <c r="W5078" s="19">
        <f>IF($I5078="","",IF(ISNUMBER($I5078),TEXT($I5078,"0"),$I5078))</f>
        <v/>
      </c>
    </row>
    <row r="5079">
      <c r="B5079" s="25" t="n"/>
      <c r="I5079" s="25" t="n"/>
      <c r="U5079" s="19">
        <f>IF(AND($V5079='設定'!$C$4,COUNTIF('商品マスタ'!$B$6:$B$1005,$W5079)=0),N(U5078)+1,N(U5078))</f>
        <v/>
      </c>
      <c r="V5079" s="19">
        <f>IF($B5079="","",TEXT($B5079,"0000"))</f>
        <v/>
      </c>
      <c r="W5079" s="19">
        <f>IF($I5079="","",IF(ISNUMBER($I5079),TEXT($I5079,"0"),$I5079))</f>
        <v/>
      </c>
    </row>
    <row r="5080">
      <c r="B5080" s="25" t="n"/>
      <c r="I5080" s="25" t="n"/>
      <c r="U5080" s="19">
        <f>IF(AND($V5080='設定'!$C$4,COUNTIF('商品マスタ'!$B$6:$B$1005,$W5080)=0),N(U5079)+1,N(U5079))</f>
        <v/>
      </c>
      <c r="V5080" s="19">
        <f>IF($B5080="","",TEXT($B5080,"0000"))</f>
        <v/>
      </c>
      <c r="W5080" s="19">
        <f>IF($I5080="","",IF(ISNUMBER($I5080),TEXT($I5080,"0"),$I5080))</f>
        <v/>
      </c>
    </row>
    <row r="5081">
      <c r="B5081" s="25" t="n"/>
      <c r="I5081" s="25" t="n"/>
      <c r="U5081" s="19">
        <f>IF(AND($V5081='設定'!$C$4,COUNTIF('商品マスタ'!$B$6:$B$1005,$W5081)=0),N(U5080)+1,N(U5080))</f>
        <v/>
      </c>
      <c r="V5081" s="19">
        <f>IF($B5081="","",TEXT($B5081,"0000"))</f>
        <v/>
      </c>
      <c r="W5081" s="19">
        <f>IF($I5081="","",IF(ISNUMBER($I5081),TEXT($I5081,"0"),$I5081))</f>
        <v/>
      </c>
    </row>
    <row r="5082">
      <c r="B5082" s="25" t="n"/>
      <c r="I5082" s="25" t="n"/>
      <c r="U5082" s="19">
        <f>IF(AND($V5082='設定'!$C$4,COUNTIF('商品マスタ'!$B$6:$B$1005,$W5082)=0),N(U5081)+1,N(U5081))</f>
        <v/>
      </c>
      <c r="V5082" s="19">
        <f>IF($B5082="","",TEXT($B5082,"0000"))</f>
        <v/>
      </c>
      <c r="W5082" s="19">
        <f>IF($I5082="","",IF(ISNUMBER($I5082),TEXT($I5082,"0"),$I5082))</f>
        <v/>
      </c>
    </row>
    <row r="5083">
      <c r="B5083" s="25" t="n"/>
      <c r="I5083" s="25" t="n"/>
      <c r="U5083" s="19">
        <f>IF(AND($V5083='設定'!$C$4,COUNTIF('商品マスタ'!$B$6:$B$1005,$W5083)=0),N(U5082)+1,N(U5082))</f>
        <v/>
      </c>
      <c r="V5083" s="19">
        <f>IF($B5083="","",TEXT($B5083,"0000"))</f>
        <v/>
      </c>
      <c r="W5083" s="19">
        <f>IF($I5083="","",IF(ISNUMBER($I5083),TEXT($I5083,"0"),$I5083))</f>
        <v/>
      </c>
    </row>
    <row r="5084">
      <c r="B5084" s="25" t="n"/>
      <c r="I5084" s="25" t="n"/>
      <c r="U5084" s="19">
        <f>IF(AND($V5084='設定'!$C$4,COUNTIF('商品マスタ'!$B$6:$B$1005,$W5084)=0),N(U5083)+1,N(U5083))</f>
        <v/>
      </c>
      <c r="V5084" s="19">
        <f>IF($B5084="","",TEXT($B5084,"0000"))</f>
        <v/>
      </c>
      <c r="W5084" s="19">
        <f>IF($I5084="","",IF(ISNUMBER($I5084),TEXT($I5084,"0"),$I5084))</f>
        <v/>
      </c>
    </row>
    <row r="5085">
      <c r="B5085" s="25" t="n"/>
      <c r="I5085" s="25" t="n"/>
      <c r="U5085" s="19">
        <f>IF(AND($V5085='設定'!$C$4,COUNTIF('商品マスタ'!$B$6:$B$1005,$W5085)=0),N(U5084)+1,N(U5084))</f>
        <v/>
      </c>
      <c r="V5085" s="19">
        <f>IF($B5085="","",TEXT($B5085,"0000"))</f>
        <v/>
      </c>
      <c r="W5085" s="19">
        <f>IF($I5085="","",IF(ISNUMBER($I5085),TEXT($I5085,"0"),$I5085))</f>
        <v/>
      </c>
    </row>
    <row r="5086">
      <c r="B5086" s="25" t="n"/>
      <c r="I5086" s="25" t="n"/>
      <c r="U5086" s="19">
        <f>IF(AND($V5086='設定'!$C$4,COUNTIF('商品マスタ'!$B$6:$B$1005,$W5086)=0),N(U5085)+1,N(U5085))</f>
        <v/>
      </c>
      <c r="V5086" s="19">
        <f>IF($B5086="","",TEXT($B5086,"0000"))</f>
        <v/>
      </c>
      <c r="W5086" s="19">
        <f>IF($I5086="","",IF(ISNUMBER($I5086),TEXT($I5086,"0"),$I5086))</f>
        <v/>
      </c>
    </row>
    <row r="5087">
      <c r="B5087" s="25" t="n"/>
      <c r="I5087" s="25" t="n"/>
      <c r="U5087" s="19">
        <f>IF(AND($V5087='設定'!$C$4,COUNTIF('商品マスタ'!$B$6:$B$1005,$W5087)=0),N(U5086)+1,N(U5086))</f>
        <v/>
      </c>
      <c r="V5087" s="19">
        <f>IF($B5087="","",TEXT($B5087,"0000"))</f>
        <v/>
      </c>
      <c r="W5087" s="19">
        <f>IF($I5087="","",IF(ISNUMBER($I5087),TEXT($I5087,"0"),$I5087))</f>
        <v/>
      </c>
    </row>
    <row r="5088">
      <c r="B5088" s="25" t="n"/>
      <c r="I5088" s="25" t="n"/>
      <c r="U5088" s="19">
        <f>IF(AND($V5088='設定'!$C$4,COUNTIF('商品マスタ'!$B$6:$B$1005,$W5088)=0),N(U5087)+1,N(U5087))</f>
        <v/>
      </c>
      <c r="V5088" s="19">
        <f>IF($B5088="","",TEXT($B5088,"0000"))</f>
        <v/>
      </c>
      <c r="W5088" s="19">
        <f>IF($I5088="","",IF(ISNUMBER($I5088),TEXT($I5088,"0"),$I5088))</f>
        <v/>
      </c>
    </row>
    <row r="5089">
      <c r="B5089" s="25" t="n"/>
      <c r="I5089" s="25" t="n"/>
      <c r="U5089" s="19">
        <f>IF(AND($V5089='設定'!$C$4,COUNTIF('商品マスタ'!$B$6:$B$1005,$W5089)=0),N(U5088)+1,N(U5088))</f>
        <v/>
      </c>
      <c r="V5089" s="19">
        <f>IF($B5089="","",TEXT($B5089,"0000"))</f>
        <v/>
      </c>
      <c r="W5089" s="19">
        <f>IF($I5089="","",IF(ISNUMBER($I5089),TEXT($I5089,"0"),$I5089))</f>
        <v/>
      </c>
    </row>
    <row r="5090">
      <c r="B5090" s="25" t="n"/>
      <c r="I5090" s="25" t="n"/>
      <c r="U5090" s="19">
        <f>IF(AND($V5090='設定'!$C$4,COUNTIF('商品マスタ'!$B$6:$B$1005,$W5090)=0),N(U5089)+1,N(U5089))</f>
        <v/>
      </c>
      <c r="V5090" s="19">
        <f>IF($B5090="","",TEXT($B5090,"0000"))</f>
        <v/>
      </c>
      <c r="W5090" s="19">
        <f>IF($I5090="","",IF(ISNUMBER($I5090),TEXT($I5090,"0"),$I5090))</f>
        <v/>
      </c>
    </row>
    <row r="5091">
      <c r="B5091" s="25" t="n"/>
      <c r="I5091" s="25" t="n"/>
      <c r="U5091" s="19">
        <f>IF(AND($V5091='設定'!$C$4,COUNTIF('商品マスタ'!$B$6:$B$1005,$W5091)=0),N(U5090)+1,N(U5090))</f>
        <v/>
      </c>
      <c r="V5091" s="19">
        <f>IF($B5091="","",TEXT($B5091,"0000"))</f>
        <v/>
      </c>
      <c r="W5091" s="19">
        <f>IF($I5091="","",IF(ISNUMBER($I5091),TEXT($I5091,"0"),$I5091))</f>
        <v/>
      </c>
    </row>
    <row r="5092">
      <c r="B5092" s="25" t="n"/>
      <c r="I5092" s="25" t="n"/>
      <c r="U5092" s="19">
        <f>IF(AND($V5092='設定'!$C$4,COUNTIF('商品マスタ'!$B$6:$B$1005,$W5092)=0),N(U5091)+1,N(U5091))</f>
        <v/>
      </c>
      <c r="V5092" s="19">
        <f>IF($B5092="","",TEXT($B5092,"0000"))</f>
        <v/>
      </c>
      <c r="W5092" s="19">
        <f>IF($I5092="","",IF(ISNUMBER($I5092),TEXT($I5092,"0"),$I5092))</f>
        <v/>
      </c>
    </row>
    <row r="5093">
      <c r="B5093" s="25" t="n"/>
      <c r="I5093" s="25" t="n"/>
      <c r="U5093" s="19">
        <f>IF(AND($V5093='設定'!$C$4,COUNTIF('商品マスタ'!$B$6:$B$1005,$W5093)=0),N(U5092)+1,N(U5092))</f>
        <v/>
      </c>
      <c r="V5093" s="19">
        <f>IF($B5093="","",TEXT($B5093,"0000"))</f>
        <v/>
      </c>
      <c r="W5093" s="19">
        <f>IF($I5093="","",IF(ISNUMBER($I5093),TEXT($I5093,"0"),$I5093))</f>
        <v/>
      </c>
    </row>
    <row r="5094">
      <c r="B5094" s="25" t="n"/>
      <c r="I5094" s="25" t="n"/>
      <c r="U5094" s="19">
        <f>IF(AND($V5094='設定'!$C$4,COUNTIF('商品マスタ'!$B$6:$B$1005,$W5094)=0),N(U5093)+1,N(U5093))</f>
        <v/>
      </c>
      <c r="V5094" s="19">
        <f>IF($B5094="","",TEXT($B5094,"0000"))</f>
        <v/>
      </c>
      <c r="W5094" s="19">
        <f>IF($I5094="","",IF(ISNUMBER($I5094),TEXT($I5094,"0"),$I5094))</f>
        <v/>
      </c>
    </row>
    <row r="5095">
      <c r="B5095" s="25" t="n"/>
      <c r="I5095" s="25" t="n"/>
      <c r="U5095" s="19">
        <f>IF(AND($V5095='設定'!$C$4,COUNTIF('商品マスタ'!$B$6:$B$1005,$W5095)=0),N(U5094)+1,N(U5094))</f>
        <v/>
      </c>
      <c r="V5095" s="19">
        <f>IF($B5095="","",TEXT($B5095,"0000"))</f>
        <v/>
      </c>
      <c r="W5095" s="19">
        <f>IF($I5095="","",IF(ISNUMBER($I5095),TEXT($I5095,"0"),$I5095))</f>
        <v/>
      </c>
    </row>
    <row r="5096">
      <c r="B5096" s="25" t="n"/>
      <c r="I5096" s="25" t="n"/>
      <c r="U5096" s="19">
        <f>IF(AND($V5096='設定'!$C$4,COUNTIF('商品マスタ'!$B$6:$B$1005,$W5096)=0),N(U5095)+1,N(U5095))</f>
        <v/>
      </c>
      <c r="V5096" s="19">
        <f>IF($B5096="","",TEXT($B5096,"0000"))</f>
        <v/>
      </c>
      <c r="W5096" s="19">
        <f>IF($I5096="","",IF(ISNUMBER($I5096),TEXT($I5096,"0"),$I5096))</f>
        <v/>
      </c>
    </row>
    <row r="5097">
      <c r="B5097" s="25" t="n"/>
      <c r="I5097" s="25" t="n"/>
      <c r="U5097" s="19">
        <f>IF(AND($V5097='設定'!$C$4,COUNTIF('商品マスタ'!$B$6:$B$1005,$W5097)=0),N(U5096)+1,N(U5096))</f>
        <v/>
      </c>
      <c r="V5097" s="19">
        <f>IF($B5097="","",TEXT($B5097,"0000"))</f>
        <v/>
      </c>
      <c r="W5097" s="19">
        <f>IF($I5097="","",IF(ISNUMBER($I5097),TEXT($I5097,"0"),$I5097))</f>
        <v/>
      </c>
    </row>
    <row r="5098">
      <c r="B5098" s="25" t="n"/>
      <c r="I5098" s="25" t="n"/>
      <c r="U5098" s="19">
        <f>IF(AND($V5098='設定'!$C$4,COUNTIF('商品マスタ'!$B$6:$B$1005,$W5098)=0),N(U5097)+1,N(U5097))</f>
        <v/>
      </c>
      <c r="V5098" s="19">
        <f>IF($B5098="","",TEXT($B5098,"0000"))</f>
        <v/>
      </c>
      <c r="W5098" s="19">
        <f>IF($I5098="","",IF(ISNUMBER($I5098),TEXT($I5098,"0"),$I5098))</f>
        <v/>
      </c>
    </row>
    <row r="5099">
      <c r="B5099" s="25" t="n"/>
      <c r="I5099" s="25" t="n"/>
      <c r="U5099" s="19">
        <f>IF(AND($V5099='設定'!$C$4,COUNTIF('商品マスタ'!$B$6:$B$1005,$W5099)=0),N(U5098)+1,N(U5098))</f>
        <v/>
      </c>
      <c r="V5099" s="19">
        <f>IF($B5099="","",TEXT($B5099,"0000"))</f>
        <v/>
      </c>
      <c r="W5099" s="19">
        <f>IF($I5099="","",IF(ISNUMBER($I5099),TEXT($I5099,"0"),$I5099))</f>
        <v/>
      </c>
    </row>
    <row r="5100">
      <c r="B5100" s="25" t="n"/>
      <c r="I5100" s="25" t="n"/>
      <c r="U5100" s="19">
        <f>IF(AND($V5100='設定'!$C$4,COUNTIF('商品マスタ'!$B$6:$B$1005,$W5100)=0),N(U5099)+1,N(U5099))</f>
        <v/>
      </c>
      <c r="V5100" s="19">
        <f>IF($B5100="","",TEXT($B5100,"0000"))</f>
        <v/>
      </c>
      <c r="W5100" s="19">
        <f>IF($I5100="","",IF(ISNUMBER($I5100),TEXT($I5100,"0"),$I5100))</f>
        <v/>
      </c>
    </row>
    <row r="5101">
      <c r="B5101" s="25" t="n"/>
      <c r="I5101" s="25" t="n"/>
      <c r="U5101" s="19">
        <f>IF(AND($V5101='設定'!$C$4,COUNTIF('商品マスタ'!$B$6:$B$1005,$W5101)=0),N(U5100)+1,N(U5100))</f>
        <v/>
      </c>
      <c r="V5101" s="19">
        <f>IF($B5101="","",TEXT($B5101,"0000"))</f>
        <v/>
      </c>
      <c r="W5101" s="19">
        <f>IF($I5101="","",IF(ISNUMBER($I5101),TEXT($I5101,"0"),$I5101))</f>
        <v/>
      </c>
    </row>
    <row r="5102">
      <c r="B5102" s="25" t="n"/>
      <c r="I5102" s="25" t="n"/>
      <c r="U5102" s="19">
        <f>IF(AND($V5102='設定'!$C$4,COUNTIF('商品マスタ'!$B$6:$B$1005,$W5102)=0),N(U5101)+1,N(U5101))</f>
        <v/>
      </c>
      <c r="V5102" s="19">
        <f>IF($B5102="","",TEXT($B5102,"0000"))</f>
        <v/>
      </c>
      <c r="W5102" s="19">
        <f>IF($I5102="","",IF(ISNUMBER($I5102),TEXT($I5102,"0"),$I5102))</f>
        <v/>
      </c>
    </row>
    <row r="5103">
      <c r="B5103" s="25" t="n"/>
      <c r="I5103" s="25" t="n"/>
      <c r="U5103" s="19">
        <f>IF(AND($V5103='設定'!$C$4,COUNTIF('商品マスタ'!$B$6:$B$1005,$W5103)=0),N(U5102)+1,N(U5102))</f>
        <v/>
      </c>
      <c r="V5103" s="19">
        <f>IF($B5103="","",TEXT($B5103,"0000"))</f>
        <v/>
      </c>
      <c r="W5103" s="19">
        <f>IF($I5103="","",IF(ISNUMBER($I5103),TEXT($I5103,"0"),$I5103))</f>
        <v/>
      </c>
    </row>
    <row r="5104">
      <c r="B5104" s="25" t="n"/>
      <c r="I5104" s="25" t="n"/>
      <c r="U5104" s="19">
        <f>IF(AND($V5104='設定'!$C$4,COUNTIF('商品マスタ'!$B$6:$B$1005,$W5104)=0),N(U5103)+1,N(U5103))</f>
        <v/>
      </c>
      <c r="V5104" s="19">
        <f>IF($B5104="","",TEXT($B5104,"0000"))</f>
        <v/>
      </c>
      <c r="W5104" s="19">
        <f>IF($I5104="","",IF(ISNUMBER($I5104),TEXT($I5104,"0"),$I5104))</f>
        <v/>
      </c>
    </row>
    <row r="5105">
      <c r="B5105" s="25" t="n"/>
      <c r="I5105" s="25" t="n"/>
      <c r="U5105" s="19">
        <f>IF(AND($V5105='設定'!$C$4,COUNTIF('商品マスタ'!$B$6:$B$1005,$W5105)=0),N(U5104)+1,N(U5104))</f>
        <v/>
      </c>
      <c r="V5105" s="19">
        <f>IF($B5105="","",TEXT($B5105,"0000"))</f>
        <v/>
      </c>
      <c r="W5105" s="19">
        <f>IF($I5105="","",IF(ISNUMBER($I5105),TEXT($I5105,"0"),$I5105))</f>
        <v/>
      </c>
    </row>
    <row r="5106">
      <c r="B5106" s="25" t="n"/>
      <c r="I5106" s="25" t="n"/>
      <c r="U5106" s="19">
        <f>IF(AND($V5106='設定'!$C$4,COUNTIF('商品マスタ'!$B$6:$B$1005,$W5106)=0),N(U5105)+1,N(U5105))</f>
        <v/>
      </c>
      <c r="V5106" s="19">
        <f>IF($B5106="","",TEXT($B5106,"0000"))</f>
        <v/>
      </c>
      <c r="W5106" s="19">
        <f>IF($I5106="","",IF(ISNUMBER($I5106),TEXT($I5106,"0"),$I5106))</f>
        <v/>
      </c>
    </row>
    <row r="5107">
      <c r="B5107" s="25" t="n"/>
      <c r="I5107" s="25" t="n"/>
      <c r="U5107" s="19">
        <f>IF(AND($V5107='設定'!$C$4,COUNTIF('商品マスタ'!$B$6:$B$1005,$W5107)=0),N(U5106)+1,N(U5106))</f>
        <v/>
      </c>
      <c r="V5107" s="19">
        <f>IF($B5107="","",TEXT($B5107,"0000"))</f>
        <v/>
      </c>
      <c r="W5107" s="19">
        <f>IF($I5107="","",IF(ISNUMBER($I5107),TEXT($I5107,"0"),$I5107))</f>
        <v/>
      </c>
    </row>
    <row r="5108">
      <c r="B5108" s="25" t="n"/>
      <c r="I5108" s="25" t="n"/>
      <c r="U5108" s="19">
        <f>IF(AND($V5108='設定'!$C$4,COUNTIF('商品マスタ'!$B$6:$B$1005,$W5108)=0),N(U5107)+1,N(U5107))</f>
        <v/>
      </c>
      <c r="V5108" s="19">
        <f>IF($B5108="","",TEXT($B5108,"0000"))</f>
        <v/>
      </c>
      <c r="W5108" s="19">
        <f>IF($I5108="","",IF(ISNUMBER($I5108),TEXT($I5108,"0"),$I5108))</f>
        <v/>
      </c>
    </row>
    <row r="5109">
      <c r="B5109" s="25" t="n"/>
      <c r="I5109" s="25" t="n"/>
      <c r="U5109" s="19">
        <f>IF(AND($V5109='設定'!$C$4,COUNTIF('商品マスタ'!$B$6:$B$1005,$W5109)=0),N(U5108)+1,N(U5108))</f>
        <v/>
      </c>
      <c r="V5109" s="19">
        <f>IF($B5109="","",TEXT($B5109,"0000"))</f>
        <v/>
      </c>
      <c r="W5109" s="19">
        <f>IF($I5109="","",IF(ISNUMBER($I5109),TEXT($I5109,"0"),$I5109))</f>
        <v/>
      </c>
    </row>
    <row r="5110">
      <c r="B5110" s="25" t="n"/>
      <c r="I5110" s="25" t="n"/>
      <c r="U5110" s="19">
        <f>IF(AND($V5110='設定'!$C$4,COUNTIF('商品マスタ'!$B$6:$B$1005,$W5110)=0),N(U5109)+1,N(U5109))</f>
        <v/>
      </c>
      <c r="V5110" s="19">
        <f>IF($B5110="","",TEXT($B5110,"0000"))</f>
        <v/>
      </c>
      <c r="W5110" s="19">
        <f>IF($I5110="","",IF(ISNUMBER($I5110),TEXT($I5110,"0"),$I5110))</f>
        <v/>
      </c>
    </row>
    <row r="5111">
      <c r="B5111" s="25" t="n"/>
      <c r="I5111" s="25" t="n"/>
      <c r="U5111" s="19">
        <f>IF(AND($V5111='設定'!$C$4,COUNTIF('商品マスタ'!$B$6:$B$1005,$W5111)=0),N(U5110)+1,N(U5110))</f>
        <v/>
      </c>
      <c r="V5111" s="19">
        <f>IF($B5111="","",TEXT($B5111,"0000"))</f>
        <v/>
      </c>
      <c r="W5111" s="19">
        <f>IF($I5111="","",IF(ISNUMBER($I5111),TEXT($I5111,"0"),$I5111))</f>
        <v/>
      </c>
    </row>
    <row r="5112">
      <c r="B5112" s="25" t="n"/>
      <c r="I5112" s="25" t="n"/>
      <c r="U5112" s="19">
        <f>IF(AND($V5112='設定'!$C$4,COUNTIF('商品マスタ'!$B$6:$B$1005,$W5112)=0),N(U5111)+1,N(U5111))</f>
        <v/>
      </c>
      <c r="V5112" s="19">
        <f>IF($B5112="","",TEXT($B5112,"0000"))</f>
        <v/>
      </c>
      <c r="W5112" s="19">
        <f>IF($I5112="","",IF(ISNUMBER($I5112),TEXT($I5112,"0"),$I5112))</f>
        <v/>
      </c>
    </row>
    <row r="5113">
      <c r="B5113" s="25" t="n"/>
      <c r="I5113" s="25" t="n"/>
      <c r="U5113" s="19">
        <f>IF(AND($V5113='設定'!$C$4,COUNTIF('商品マスタ'!$B$6:$B$1005,$W5113)=0),N(U5112)+1,N(U5112))</f>
        <v/>
      </c>
      <c r="V5113" s="19">
        <f>IF($B5113="","",TEXT($B5113,"0000"))</f>
        <v/>
      </c>
      <c r="W5113" s="19">
        <f>IF($I5113="","",IF(ISNUMBER($I5113),TEXT($I5113,"0"),$I5113))</f>
        <v/>
      </c>
    </row>
    <row r="5114">
      <c r="B5114" s="25" t="n"/>
      <c r="I5114" s="25" t="n"/>
      <c r="U5114" s="19">
        <f>IF(AND($V5114='設定'!$C$4,COUNTIF('商品マスタ'!$B$6:$B$1005,$W5114)=0),N(U5113)+1,N(U5113))</f>
        <v/>
      </c>
      <c r="V5114" s="19">
        <f>IF($B5114="","",TEXT($B5114,"0000"))</f>
        <v/>
      </c>
      <c r="W5114" s="19">
        <f>IF($I5114="","",IF(ISNUMBER($I5114),TEXT($I5114,"0"),$I5114))</f>
        <v/>
      </c>
    </row>
    <row r="5115">
      <c r="B5115" s="25" t="n"/>
      <c r="I5115" s="25" t="n"/>
      <c r="U5115" s="19">
        <f>IF(AND($V5115='設定'!$C$4,COUNTIF('商品マスタ'!$B$6:$B$1005,$W5115)=0),N(U5114)+1,N(U5114))</f>
        <v/>
      </c>
      <c r="V5115" s="19">
        <f>IF($B5115="","",TEXT($B5115,"0000"))</f>
        <v/>
      </c>
      <c r="W5115" s="19">
        <f>IF($I5115="","",IF(ISNUMBER($I5115),TEXT($I5115,"0"),$I5115))</f>
        <v/>
      </c>
    </row>
    <row r="5116">
      <c r="B5116" s="25" t="n"/>
      <c r="I5116" s="25" t="n"/>
      <c r="U5116" s="19">
        <f>IF(AND($V5116='設定'!$C$4,COUNTIF('商品マスタ'!$B$6:$B$1005,$W5116)=0),N(U5115)+1,N(U5115))</f>
        <v/>
      </c>
      <c r="V5116" s="19">
        <f>IF($B5116="","",TEXT($B5116,"0000"))</f>
        <v/>
      </c>
      <c r="W5116" s="19">
        <f>IF($I5116="","",IF(ISNUMBER($I5116),TEXT($I5116,"0"),$I5116))</f>
        <v/>
      </c>
    </row>
    <row r="5117">
      <c r="B5117" s="25" t="n"/>
      <c r="I5117" s="25" t="n"/>
      <c r="U5117" s="19">
        <f>IF(AND($V5117='設定'!$C$4,COUNTIF('商品マスタ'!$B$6:$B$1005,$W5117)=0),N(U5116)+1,N(U5116))</f>
        <v/>
      </c>
      <c r="V5117" s="19">
        <f>IF($B5117="","",TEXT($B5117,"0000"))</f>
        <v/>
      </c>
      <c r="W5117" s="19">
        <f>IF($I5117="","",IF(ISNUMBER($I5117),TEXT($I5117,"0"),$I5117))</f>
        <v/>
      </c>
    </row>
    <row r="5118">
      <c r="B5118" s="25" t="n"/>
      <c r="I5118" s="25" t="n"/>
      <c r="U5118" s="19">
        <f>IF(AND($V5118='設定'!$C$4,COUNTIF('商品マスタ'!$B$6:$B$1005,$W5118)=0),N(U5117)+1,N(U5117))</f>
        <v/>
      </c>
      <c r="V5118" s="19">
        <f>IF($B5118="","",TEXT($B5118,"0000"))</f>
        <v/>
      </c>
      <c r="W5118" s="19">
        <f>IF($I5118="","",IF(ISNUMBER($I5118),TEXT($I5118,"0"),$I5118))</f>
        <v/>
      </c>
    </row>
    <row r="5119">
      <c r="B5119" s="25" t="n"/>
      <c r="I5119" s="25" t="n"/>
      <c r="U5119" s="19">
        <f>IF(AND($V5119='設定'!$C$4,COUNTIF('商品マスタ'!$B$6:$B$1005,$W5119)=0),N(U5118)+1,N(U5118))</f>
        <v/>
      </c>
      <c r="V5119" s="19">
        <f>IF($B5119="","",TEXT($B5119,"0000"))</f>
        <v/>
      </c>
      <c r="W5119" s="19">
        <f>IF($I5119="","",IF(ISNUMBER($I5119),TEXT($I5119,"0"),$I5119))</f>
        <v/>
      </c>
    </row>
    <row r="5120">
      <c r="B5120" s="25" t="n"/>
      <c r="I5120" s="25" t="n"/>
      <c r="U5120" s="19">
        <f>IF(AND($V5120='設定'!$C$4,COUNTIF('商品マスタ'!$B$6:$B$1005,$W5120)=0),N(U5119)+1,N(U5119))</f>
        <v/>
      </c>
      <c r="V5120" s="19">
        <f>IF($B5120="","",TEXT($B5120,"0000"))</f>
        <v/>
      </c>
      <c r="W5120" s="19">
        <f>IF($I5120="","",IF(ISNUMBER($I5120),TEXT($I5120,"0"),$I5120))</f>
        <v/>
      </c>
    </row>
    <row r="5121">
      <c r="B5121" s="25" t="n"/>
      <c r="I5121" s="25" t="n"/>
      <c r="U5121" s="19">
        <f>IF(AND($V5121='設定'!$C$4,COUNTIF('商品マスタ'!$B$6:$B$1005,$W5121)=0),N(U5120)+1,N(U5120))</f>
        <v/>
      </c>
      <c r="V5121" s="19">
        <f>IF($B5121="","",TEXT($B5121,"0000"))</f>
        <v/>
      </c>
      <c r="W5121" s="19">
        <f>IF($I5121="","",IF(ISNUMBER($I5121),TEXT($I5121,"0"),$I5121))</f>
        <v/>
      </c>
    </row>
    <row r="5122">
      <c r="B5122" s="25" t="n"/>
      <c r="I5122" s="25" t="n"/>
      <c r="U5122" s="19">
        <f>IF(AND($V5122='設定'!$C$4,COUNTIF('商品マスタ'!$B$6:$B$1005,$W5122)=0),N(U5121)+1,N(U5121))</f>
        <v/>
      </c>
      <c r="V5122" s="19">
        <f>IF($B5122="","",TEXT($B5122,"0000"))</f>
        <v/>
      </c>
      <c r="W5122" s="19">
        <f>IF($I5122="","",IF(ISNUMBER($I5122),TEXT($I5122,"0"),$I5122))</f>
        <v/>
      </c>
    </row>
    <row r="5123">
      <c r="B5123" s="25" t="n"/>
      <c r="I5123" s="25" t="n"/>
      <c r="U5123" s="19">
        <f>IF(AND($V5123='設定'!$C$4,COUNTIF('商品マスタ'!$B$6:$B$1005,$W5123)=0),N(U5122)+1,N(U5122))</f>
        <v/>
      </c>
      <c r="V5123" s="19">
        <f>IF($B5123="","",TEXT($B5123,"0000"))</f>
        <v/>
      </c>
      <c r="W5123" s="19">
        <f>IF($I5123="","",IF(ISNUMBER($I5123),TEXT($I5123,"0"),$I5123))</f>
        <v/>
      </c>
    </row>
    <row r="5124">
      <c r="B5124" s="25" t="n"/>
      <c r="I5124" s="25" t="n"/>
      <c r="U5124" s="19">
        <f>IF(AND($V5124='設定'!$C$4,COUNTIF('商品マスタ'!$B$6:$B$1005,$W5124)=0),N(U5123)+1,N(U5123))</f>
        <v/>
      </c>
      <c r="V5124" s="19">
        <f>IF($B5124="","",TEXT($B5124,"0000"))</f>
        <v/>
      </c>
      <c r="W5124" s="19">
        <f>IF($I5124="","",IF(ISNUMBER($I5124),TEXT($I5124,"0"),$I5124))</f>
        <v/>
      </c>
    </row>
    <row r="5125">
      <c r="B5125" s="25" t="n"/>
      <c r="I5125" s="25" t="n"/>
      <c r="U5125" s="19">
        <f>IF(AND($V5125='設定'!$C$4,COUNTIF('商品マスタ'!$B$6:$B$1005,$W5125)=0),N(U5124)+1,N(U5124))</f>
        <v/>
      </c>
      <c r="V5125" s="19">
        <f>IF($B5125="","",TEXT($B5125,"0000"))</f>
        <v/>
      </c>
      <c r="W5125" s="19">
        <f>IF($I5125="","",IF(ISNUMBER($I5125),TEXT($I5125,"0"),$I5125))</f>
        <v/>
      </c>
    </row>
    <row r="5126">
      <c r="B5126" s="25" t="n"/>
      <c r="I5126" s="25" t="n"/>
      <c r="U5126" s="19">
        <f>IF(AND($V5126='設定'!$C$4,COUNTIF('商品マスタ'!$B$6:$B$1005,$W5126)=0),N(U5125)+1,N(U5125))</f>
        <v/>
      </c>
      <c r="V5126" s="19">
        <f>IF($B5126="","",TEXT($B5126,"0000"))</f>
        <v/>
      </c>
      <c r="W5126" s="19">
        <f>IF($I5126="","",IF(ISNUMBER($I5126),TEXT($I5126,"0"),$I5126))</f>
        <v/>
      </c>
    </row>
    <row r="5127">
      <c r="B5127" s="25" t="n"/>
      <c r="I5127" s="25" t="n"/>
      <c r="U5127" s="19">
        <f>IF(AND($V5127='設定'!$C$4,COUNTIF('商品マスタ'!$B$6:$B$1005,$W5127)=0),N(U5126)+1,N(U5126))</f>
        <v/>
      </c>
      <c r="V5127" s="19">
        <f>IF($B5127="","",TEXT($B5127,"0000"))</f>
        <v/>
      </c>
      <c r="W5127" s="19">
        <f>IF($I5127="","",IF(ISNUMBER($I5127),TEXT($I5127,"0"),$I5127))</f>
        <v/>
      </c>
    </row>
    <row r="5128">
      <c r="B5128" s="25" t="n"/>
      <c r="I5128" s="25" t="n"/>
      <c r="U5128" s="19">
        <f>IF(AND($V5128='設定'!$C$4,COUNTIF('商品マスタ'!$B$6:$B$1005,$W5128)=0),N(U5127)+1,N(U5127))</f>
        <v/>
      </c>
      <c r="V5128" s="19">
        <f>IF($B5128="","",TEXT($B5128,"0000"))</f>
        <v/>
      </c>
      <c r="W5128" s="19">
        <f>IF($I5128="","",IF(ISNUMBER($I5128),TEXT($I5128,"0"),$I5128))</f>
        <v/>
      </c>
    </row>
    <row r="5129">
      <c r="B5129" s="25" t="n"/>
      <c r="I5129" s="25" t="n"/>
      <c r="U5129" s="19">
        <f>IF(AND($V5129='設定'!$C$4,COUNTIF('商品マスタ'!$B$6:$B$1005,$W5129)=0),N(U5128)+1,N(U5128))</f>
        <v/>
      </c>
      <c r="V5129" s="19">
        <f>IF($B5129="","",TEXT($B5129,"0000"))</f>
        <v/>
      </c>
      <c r="W5129" s="19">
        <f>IF($I5129="","",IF(ISNUMBER($I5129),TEXT($I5129,"0"),$I5129))</f>
        <v/>
      </c>
    </row>
    <row r="5130">
      <c r="B5130" s="25" t="n"/>
      <c r="I5130" s="25" t="n"/>
      <c r="U5130" s="19">
        <f>IF(AND($V5130='設定'!$C$4,COUNTIF('商品マスタ'!$B$6:$B$1005,$W5130)=0),N(U5129)+1,N(U5129))</f>
        <v/>
      </c>
      <c r="V5130" s="19">
        <f>IF($B5130="","",TEXT($B5130,"0000"))</f>
        <v/>
      </c>
      <c r="W5130" s="19">
        <f>IF($I5130="","",IF(ISNUMBER($I5130),TEXT($I5130,"0"),$I5130))</f>
        <v/>
      </c>
    </row>
    <row r="5131">
      <c r="B5131" s="25" t="n"/>
      <c r="I5131" s="25" t="n"/>
      <c r="U5131" s="19">
        <f>IF(AND($V5131='設定'!$C$4,COUNTIF('商品マスタ'!$B$6:$B$1005,$W5131)=0),N(U5130)+1,N(U5130))</f>
        <v/>
      </c>
      <c r="V5131" s="19">
        <f>IF($B5131="","",TEXT($B5131,"0000"))</f>
        <v/>
      </c>
      <c r="W5131" s="19">
        <f>IF($I5131="","",IF(ISNUMBER($I5131),TEXT($I5131,"0"),$I5131))</f>
        <v/>
      </c>
    </row>
    <row r="5132">
      <c r="B5132" s="25" t="n"/>
      <c r="I5132" s="25" t="n"/>
      <c r="U5132" s="19">
        <f>IF(AND($V5132='設定'!$C$4,COUNTIF('商品マスタ'!$B$6:$B$1005,$W5132)=0),N(U5131)+1,N(U5131))</f>
        <v/>
      </c>
      <c r="V5132" s="19">
        <f>IF($B5132="","",TEXT($B5132,"0000"))</f>
        <v/>
      </c>
      <c r="W5132" s="19">
        <f>IF($I5132="","",IF(ISNUMBER($I5132),TEXT($I5132,"0"),$I5132))</f>
        <v/>
      </c>
    </row>
    <row r="5133">
      <c r="B5133" s="25" t="n"/>
      <c r="I5133" s="25" t="n"/>
      <c r="U5133" s="19">
        <f>IF(AND($V5133='設定'!$C$4,COUNTIF('商品マスタ'!$B$6:$B$1005,$W5133)=0),N(U5132)+1,N(U5132))</f>
        <v/>
      </c>
      <c r="V5133" s="19">
        <f>IF($B5133="","",TEXT($B5133,"0000"))</f>
        <v/>
      </c>
      <c r="W5133" s="19">
        <f>IF($I5133="","",IF(ISNUMBER($I5133),TEXT($I5133,"0"),$I5133))</f>
        <v/>
      </c>
    </row>
    <row r="5134">
      <c r="B5134" s="25" t="n"/>
      <c r="I5134" s="25" t="n"/>
      <c r="U5134" s="19">
        <f>IF(AND($V5134='設定'!$C$4,COUNTIF('商品マスタ'!$B$6:$B$1005,$W5134)=0),N(U5133)+1,N(U5133))</f>
        <v/>
      </c>
      <c r="V5134" s="19">
        <f>IF($B5134="","",TEXT($B5134,"0000"))</f>
        <v/>
      </c>
      <c r="W5134" s="19">
        <f>IF($I5134="","",IF(ISNUMBER($I5134),TEXT($I5134,"0"),$I5134))</f>
        <v/>
      </c>
    </row>
    <row r="5135">
      <c r="B5135" s="25" t="n"/>
      <c r="I5135" s="25" t="n"/>
      <c r="U5135" s="19">
        <f>IF(AND($V5135='設定'!$C$4,COUNTIF('商品マスタ'!$B$6:$B$1005,$W5135)=0),N(U5134)+1,N(U5134))</f>
        <v/>
      </c>
      <c r="V5135" s="19">
        <f>IF($B5135="","",TEXT($B5135,"0000"))</f>
        <v/>
      </c>
      <c r="W5135" s="19">
        <f>IF($I5135="","",IF(ISNUMBER($I5135),TEXT($I5135,"0"),$I5135))</f>
        <v/>
      </c>
    </row>
    <row r="5136">
      <c r="B5136" s="25" t="n"/>
      <c r="I5136" s="25" t="n"/>
      <c r="U5136" s="19">
        <f>IF(AND($V5136='設定'!$C$4,COUNTIF('商品マスタ'!$B$6:$B$1005,$W5136)=0),N(U5135)+1,N(U5135))</f>
        <v/>
      </c>
      <c r="V5136" s="19">
        <f>IF($B5136="","",TEXT($B5136,"0000"))</f>
        <v/>
      </c>
      <c r="W5136" s="19">
        <f>IF($I5136="","",IF(ISNUMBER($I5136),TEXT($I5136,"0"),$I5136))</f>
        <v/>
      </c>
    </row>
    <row r="5137">
      <c r="B5137" s="25" t="n"/>
      <c r="I5137" s="25" t="n"/>
      <c r="U5137" s="19">
        <f>IF(AND($V5137='設定'!$C$4,COUNTIF('商品マスタ'!$B$6:$B$1005,$W5137)=0),N(U5136)+1,N(U5136))</f>
        <v/>
      </c>
      <c r="V5137" s="19">
        <f>IF($B5137="","",TEXT($B5137,"0000"))</f>
        <v/>
      </c>
      <c r="W5137" s="19">
        <f>IF($I5137="","",IF(ISNUMBER($I5137),TEXT($I5137,"0"),$I5137))</f>
        <v/>
      </c>
    </row>
    <row r="5138">
      <c r="B5138" s="25" t="n"/>
      <c r="I5138" s="25" t="n"/>
      <c r="U5138" s="19">
        <f>IF(AND($V5138='設定'!$C$4,COUNTIF('商品マスタ'!$B$6:$B$1005,$W5138)=0),N(U5137)+1,N(U5137))</f>
        <v/>
      </c>
      <c r="V5138" s="19">
        <f>IF($B5138="","",TEXT($B5138,"0000"))</f>
        <v/>
      </c>
      <c r="W5138" s="19">
        <f>IF($I5138="","",IF(ISNUMBER($I5138),TEXT($I5138,"0"),$I5138))</f>
        <v/>
      </c>
    </row>
    <row r="5139">
      <c r="B5139" s="25" t="n"/>
      <c r="I5139" s="25" t="n"/>
      <c r="U5139" s="19">
        <f>IF(AND($V5139='設定'!$C$4,COUNTIF('商品マスタ'!$B$6:$B$1005,$W5139)=0),N(U5138)+1,N(U5138))</f>
        <v/>
      </c>
      <c r="V5139" s="19">
        <f>IF($B5139="","",TEXT($B5139,"0000"))</f>
        <v/>
      </c>
      <c r="W5139" s="19">
        <f>IF($I5139="","",IF(ISNUMBER($I5139),TEXT($I5139,"0"),$I5139))</f>
        <v/>
      </c>
    </row>
    <row r="5140">
      <c r="B5140" s="25" t="n"/>
      <c r="I5140" s="25" t="n"/>
      <c r="U5140" s="19">
        <f>IF(AND($V5140='設定'!$C$4,COUNTIF('商品マスタ'!$B$6:$B$1005,$W5140)=0),N(U5139)+1,N(U5139))</f>
        <v/>
      </c>
      <c r="V5140" s="19">
        <f>IF($B5140="","",TEXT($B5140,"0000"))</f>
        <v/>
      </c>
      <c r="W5140" s="19">
        <f>IF($I5140="","",IF(ISNUMBER($I5140),TEXT($I5140,"0"),$I5140))</f>
        <v/>
      </c>
    </row>
    <row r="5141">
      <c r="B5141" s="25" t="n"/>
      <c r="I5141" s="25" t="n"/>
      <c r="U5141" s="19">
        <f>IF(AND($V5141='設定'!$C$4,COUNTIF('商品マスタ'!$B$6:$B$1005,$W5141)=0),N(U5140)+1,N(U5140))</f>
        <v/>
      </c>
      <c r="V5141" s="19">
        <f>IF($B5141="","",TEXT($B5141,"0000"))</f>
        <v/>
      </c>
      <c r="W5141" s="19">
        <f>IF($I5141="","",IF(ISNUMBER($I5141),TEXT($I5141,"0"),$I5141))</f>
        <v/>
      </c>
    </row>
    <row r="5142">
      <c r="B5142" s="25" t="n"/>
      <c r="I5142" s="25" t="n"/>
      <c r="U5142" s="19">
        <f>IF(AND($V5142='設定'!$C$4,COUNTIF('商品マスタ'!$B$6:$B$1005,$W5142)=0),N(U5141)+1,N(U5141))</f>
        <v/>
      </c>
      <c r="V5142" s="19">
        <f>IF($B5142="","",TEXT($B5142,"0000"))</f>
        <v/>
      </c>
      <c r="W5142" s="19">
        <f>IF($I5142="","",IF(ISNUMBER($I5142),TEXT($I5142,"0"),$I5142))</f>
        <v/>
      </c>
    </row>
    <row r="5143">
      <c r="B5143" s="25" t="n"/>
      <c r="I5143" s="25" t="n"/>
      <c r="U5143" s="19">
        <f>IF(AND($V5143='設定'!$C$4,COUNTIF('商品マスタ'!$B$6:$B$1005,$W5143)=0),N(U5142)+1,N(U5142))</f>
        <v/>
      </c>
      <c r="V5143" s="19">
        <f>IF($B5143="","",TEXT($B5143,"0000"))</f>
        <v/>
      </c>
      <c r="W5143" s="19">
        <f>IF($I5143="","",IF(ISNUMBER($I5143),TEXT($I5143,"0"),$I5143))</f>
        <v/>
      </c>
    </row>
    <row r="5144">
      <c r="B5144" s="25" t="n"/>
      <c r="I5144" s="25" t="n"/>
      <c r="U5144" s="19">
        <f>IF(AND($V5144='設定'!$C$4,COUNTIF('商品マスタ'!$B$6:$B$1005,$W5144)=0),N(U5143)+1,N(U5143))</f>
        <v/>
      </c>
      <c r="V5144" s="19">
        <f>IF($B5144="","",TEXT($B5144,"0000"))</f>
        <v/>
      </c>
      <c r="W5144" s="19">
        <f>IF($I5144="","",IF(ISNUMBER($I5144),TEXT($I5144,"0"),$I5144))</f>
        <v/>
      </c>
    </row>
    <row r="5145">
      <c r="B5145" s="25" t="n"/>
      <c r="I5145" s="25" t="n"/>
      <c r="U5145" s="19">
        <f>IF(AND($V5145='設定'!$C$4,COUNTIF('商品マスタ'!$B$6:$B$1005,$W5145)=0),N(U5144)+1,N(U5144))</f>
        <v/>
      </c>
      <c r="V5145" s="19">
        <f>IF($B5145="","",TEXT($B5145,"0000"))</f>
        <v/>
      </c>
      <c r="W5145" s="19">
        <f>IF($I5145="","",IF(ISNUMBER($I5145),TEXT($I5145,"0"),$I5145))</f>
        <v/>
      </c>
    </row>
    <row r="5146">
      <c r="B5146" s="25" t="n"/>
      <c r="I5146" s="25" t="n"/>
      <c r="U5146" s="19">
        <f>IF(AND($V5146='設定'!$C$4,COUNTIF('商品マスタ'!$B$6:$B$1005,$W5146)=0),N(U5145)+1,N(U5145))</f>
        <v/>
      </c>
      <c r="V5146" s="19">
        <f>IF($B5146="","",TEXT($B5146,"0000"))</f>
        <v/>
      </c>
      <c r="W5146" s="19">
        <f>IF($I5146="","",IF(ISNUMBER($I5146),TEXT($I5146,"0"),$I5146))</f>
        <v/>
      </c>
    </row>
    <row r="5147">
      <c r="B5147" s="25" t="n"/>
      <c r="I5147" s="25" t="n"/>
      <c r="U5147" s="19">
        <f>IF(AND($V5147='設定'!$C$4,COUNTIF('商品マスタ'!$B$6:$B$1005,$W5147)=0),N(U5146)+1,N(U5146))</f>
        <v/>
      </c>
      <c r="V5147" s="19">
        <f>IF($B5147="","",TEXT($B5147,"0000"))</f>
        <v/>
      </c>
      <c r="W5147" s="19">
        <f>IF($I5147="","",IF(ISNUMBER($I5147),TEXT($I5147,"0"),$I5147))</f>
        <v/>
      </c>
    </row>
    <row r="5148">
      <c r="B5148" s="25" t="n"/>
      <c r="I5148" s="25" t="n"/>
      <c r="U5148" s="19">
        <f>IF(AND($V5148='設定'!$C$4,COUNTIF('商品マスタ'!$B$6:$B$1005,$W5148)=0),N(U5147)+1,N(U5147))</f>
        <v/>
      </c>
      <c r="V5148" s="19">
        <f>IF($B5148="","",TEXT($B5148,"0000"))</f>
        <v/>
      </c>
      <c r="W5148" s="19">
        <f>IF($I5148="","",IF(ISNUMBER($I5148),TEXT($I5148,"0"),$I5148))</f>
        <v/>
      </c>
    </row>
    <row r="5149">
      <c r="B5149" s="25" t="n"/>
      <c r="I5149" s="25" t="n"/>
      <c r="U5149" s="19">
        <f>IF(AND($V5149='設定'!$C$4,COUNTIF('商品マスタ'!$B$6:$B$1005,$W5149)=0),N(U5148)+1,N(U5148))</f>
        <v/>
      </c>
      <c r="V5149" s="19">
        <f>IF($B5149="","",TEXT($B5149,"0000"))</f>
        <v/>
      </c>
      <c r="W5149" s="19">
        <f>IF($I5149="","",IF(ISNUMBER($I5149),TEXT($I5149,"0"),$I5149))</f>
        <v/>
      </c>
    </row>
    <row r="5150">
      <c r="B5150" s="25" t="n"/>
      <c r="I5150" s="25" t="n"/>
      <c r="U5150" s="19">
        <f>IF(AND($V5150='設定'!$C$4,COUNTIF('商品マスタ'!$B$6:$B$1005,$W5150)=0),N(U5149)+1,N(U5149))</f>
        <v/>
      </c>
      <c r="V5150" s="19">
        <f>IF($B5150="","",TEXT($B5150,"0000"))</f>
        <v/>
      </c>
      <c r="W5150" s="19">
        <f>IF($I5150="","",IF(ISNUMBER($I5150),TEXT($I5150,"0"),$I5150))</f>
        <v/>
      </c>
    </row>
    <row r="5151">
      <c r="B5151" s="25" t="n"/>
      <c r="I5151" s="25" t="n"/>
      <c r="U5151" s="19">
        <f>IF(AND($V5151='設定'!$C$4,COUNTIF('商品マスタ'!$B$6:$B$1005,$W5151)=0),N(U5150)+1,N(U5150))</f>
        <v/>
      </c>
      <c r="V5151" s="19">
        <f>IF($B5151="","",TEXT($B5151,"0000"))</f>
        <v/>
      </c>
      <c r="W5151" s="19">
        <f>IF($I5151="","",IF(ISNUMBER($I5151),TEXT($I5151,"0"),$I5151))</f>
        <v/>
      </c>
    </row>
    <row r="5152">
      <c r="B5152" s="25" t="n"/>
      <c r="I5152" s="25" t="n"/>
      <c r="U5152" s="19">
        <f>IF(AND($V5152='設定'!$C$4,COUNTIF('商品マスタ'!$B$6:$B$1005,$W5152)=0),N(U5151)+1,N(U5151))</f>
        <v/>
      </c>
      <c r="V5152" s="19">
        <f>IF($B5152="","",TEXT($B5152,"0000"))</f>
        <v/>
      </c>
      <c r="W5152" s="19">
        <f>IF($I5152="","",IF(ISNUMBER($I5152),TEXT($I5152,"0"),$I5152))</f>
        <v/>
      </c>
    </row>
    <row r="5153">
      <c r="B5153" s="25" t="n"/>
      <c r="I5153" s="25" t="n"/>
      <c r="U5153" s="19">
        <f>IF(AND($V5153='設定'!$C$4,COUNTIF('商品マスタ'!$B$6:$B$1005,$W5153)=0),N(U5152)+1,N(U5152))</f>
        <v/>
      </c>
      <c r="V5153" s="19">
        <f>IF($B5153="","",TEXT($B5153,"0000"))</f>
        <v/>
      </c>
      <c r="W5153" s="19">
        <f>IF($I5153="","",IF(ISNUMBER($I5153),TEXT($I5153,"0"),$I5153))</f>
        <v/>
      </c>
    </row>
    <row r="5154">
      <c r="B5154" s="25" t="n"/>
      <c r="I5154" s="25" t="n"/>
      <c r="U5154" s="19">
        <f>IF(AND($V5154='設定'!$C$4,COUNTIF('商品マスタ'!$B$6:$B$1005,$W5154)=0),N(U5153)+1,N(U5153))</f>
        <v/>
      </c>
      <c r="V5154" s="19">
        <f>IF($B5154="","",TEXT($B5154,"0000"))</f>
        <v/>
      </c>
      <c r="W5154" s="19">
        <f>IF($I5154="","",IF(ISNUMBER($I5154),TEXT($I5154,"0"),$I5154))</f>
        <v/>
      </c>
    </row>
    <row r="5155">
      <c r="B5155" s="25" t="n"/>
      <c r="I5155" s="25" t="n"/>
      <c r="U5155" s="19">
        <f>IF(AND($V5155='設定'!$C$4,COUNTIF('商品マスタ'!$B$6:$B$1005,$W5155)=0),N(U5154)+1,N(U5154))</f>
        <v/>
      </c>
      <c r="V5155" s="19">
        <f>IF($B5155="","",TEXT($B5155,"0000"))</f>
        <v/>
      </c>
      <c r="W5155" s="19">
        <f>IF($I5155="","",IF(ISNUMBER($I5155),TEXT($I5155,"0"),$I5155))</f>
        <v/>
      </c>
    </row>
    <row r="5156">
      <c r="B5156" s="25" t="n"/>
      <c r="I5156" s="25" t="n"/>
      <c r="U5156" s="19">
        <f>IF(AND($V5156='設定'!$C$4,COUNTIF('商品マスタ'!$B$6:$B$1005,$W5156)=0),N(U5155)+1,N(U5155))</f>
        <v/>
      </c>
      <c r="V5156" s="19">
        <f>IF($B5156="","",TEXT($B5156,"0000"))</f>
        <v/>
      </c>
      <c r="W5156" s="19">
        <f>IF($I5156="","",IF(ISNUMBER($I5156),TEXT($I5156,"0"),$I5156))</f>
        <v/>
      </c>
    </row>
    <row r="5157">
      <c r="B5157" s="25" t="n"/>
      <c r="I5157" s="25" t="n"/>
      <c r="U5157" s="19">
        <f>IF(AND($V5157='設定'!$C$4,COUNTIF('商品マスタ'!$B$6:$B$1005,$W5157)=0),N(U5156)+1,N(U5156))</f>
        <v/>
      </c>
      <c r="V5157" s="19">
        <f>IF($B5157="","",TEXT($B5157,"0000"))</f>
        <v/>
      </c>
      <c r="W5157" s="19">
        <f>IF($I5157="","",IF(ISNUMBER($I5157),TEXT($I5157,"0"),$I5157))</f>
        <v/>
      </c>
    </row>
    <row r="5158">
      <c r="B5158" s="25" t="n"/>
      <c r="I5158" s="25" t="n"/>
      <c r="U5158" s="19">
        <f>IF(AND($V5158='設定'!$C$4,COUNTIF('商品マスタ'!$B$6:$B$1005,$W5158)=0),N(U5157)+1,N(U5157))</f>
        <v/>
      </c>
      <c r="V5158" s="19">
        <f>IF($B5158="","",TEXT($B5158,"0000"))</f>
        <v/>
      </c>
      <c r="W5158" s="19">
        <f>IF($I5158="","",IF(ISNUMBER($I5158),TEXT($I5158,"0"),$I5158))</f>
        <v/>
      </c>
    </row>
    <row r="5159">
      <c r="B5159" s="25" t="n"/>
      <c r="I5159" s="25" t="n"/>
      <c r="U5159" s="19">
        <f>IF(AND($V5159='設定'!$C$4,COUNTIF('商品マスタ'!$B$6:$B$1005,$W5159)=0),N(U5158)+1,N(U5158))</f>
        <v/>
      </c>
      <c r="V5159" s="19">
        <f>IF($B5159="","",TEXT($B5159,"0000"))</f>
        <v/>
      </c>
      <c r="W5159" s="19">
        <f>IF($I5159="","",IF(ISNUMBER($I5159),TEXT($I5159,"0"),$I5159))</f>
        <v/>
      </c>
    </row>
    <row r="5160">
      <c r="B5160" s="25" t="n"/>
      <c r="I5160" s="25" t="n"/>
      <c r="U5160" s="19">
        <f>IF(AND($V5160='設定'!$C$4,COUNTIF('商品マスタ'!$B$6:$B$1005,$W5160)=0),N(U5159)+1,N(U5159))</f>
        <v/>
      </c>
      <c r="V5160" s="19">
        <f>IF($B5160="","",TEXT($B5160,"0000"))</f>
        <v/>
      </c>
      <c r="W5160" s="19">
        <f>IF($I5160="","",IF(ISNUMBER($I5160),TEXT($I5160,"0"),$I5160))</f>
        <v/>
      </c>
    </row>
    <row r="5161">
      <c r="B5161" s="25" t="n"/>
      <c r="I5161" s="25" t="n"/>
      <c r="U5161" s="19">
        <f>IF(AND($V5161='設定'!$C$4,COUNTIF('商品マスタ'!$B$6:$B$1005,$W5161)=0),N(U5160)+1,N(U5160))</f>
        <v/>
      </c>
      <c r="V5161" s="19">
        <f>IF($B5161="","",TEXT($B5161,"0000"))</f>
        <v/>
      </c>
      <c r="W5161" s="19">
        <f>IF($I5161="","",IF(ISNUMBER($I5161),TEXT($I5161,"0"),$I5161))</f>
        <v/>
      </c>
    </row>
    <row r="5162">
      <c r="B5162" s="25" t="n"/>
      <c r="I5162" s="25" t="n"/>
      <c r="U5162" s="19">
        <f>IF(AND($V5162='設定'!$C$4,COUNTIF('商品マスタ'!$B$6:$B$1005,$W5162)=0),N(U5161)+1,N(U5161))</f>
        <v/>
      </c>
      <c r="V5162" s="19">
        <f>IF($B5162="","",TEXT($B5162,"0000"))</f>
        <v/>
      </c>
      <c r="W5162" s="19">
        <f>IF($I5162="","",IF(ISNUMBER($I5162),TEXT($I5162,"0"),$I5162))</f>
        <v/>
      </c>
    </row>
    <row r="5163">
      <c r="B5163" s="25" t="n"/>
      <c r="I5163" s="25" t="n"/>
      <c r="U5163" s="19">
        <f>IF(AND($V5163='設定'!$C$4,COUNTIF('商品マスタ'!$B$6:$B$1005,$W5163)=0),N(U5162)+1,N(U5162))</f>
        <v/>
      </c>
      <c r="V5163" s="19">
        <f>IF($B5163="","",TEXT($B5163,"0000"))</f>
        <v/>
      </c>
      <c r="W5163" s="19">
        <f>IF($I5163="","",IF(ISNUMBER($I5163),TEXT($I5163,"0"),$I5163))</f>
        <v/>
      </c>
    </row>
    <row r="5164">
      <c r="B5164" s="25" t="n"/>
      <c r="I5164" s="25" t="n"/>
      <c r="U5164" s="19">
        <f>IF(AND($V5164='設定'!$C$4,COUNTIF('商品マスタ'!$B$6:$B$1005,$W5164)=0),N(U5163)+1,N(U5163))</f>
        <v/>
      </c>
      <c r="V5164" s="19">
        <f>IF($B5164="","",TEXT($B5164,"0000"))</f>
        <v/>
      </c>
      <c r="W5164" s="19">
        <f>IF($I5164="","",IF(ISNUMBER($I5164),TEXT($I5164,"0"),$I5164))</f>
        <v/>
      </c>
    </row>
    <row r="5165">
      <c r="B5165" s="25" t="n"/>
      <c r="I5165" s="25" t="n"/>
      <c r="U5165" s="19">
        <f>IF(AND($V5165='設定'!$C$4,COUNTIF('商品マスタ'!$B$6:$B$1005,$W5165)=0),N(U5164)+1,N(U5164))</f>
        <v/>
      </c>
      <c r="V5165" s="19">
        <f>IF($B5165="","",TEXT($B5165,"0000"))</f>
        <v/>
      </c>
      <c r="W5165" s="19">
        <f>IF($I5165="","",IF(ISNUMBER($I5165),TEXT($I5165,"0"),$I5165))</f>
        <v/>
      </c>
    </row>
    <row r="5166">
      <c r="B5166" s="25" t="n"/>
      <c r="I5166" s="25" t="n"/>
      <c r="U5166" s="19">
        <f>IF(AND($V5166='設定'!$C$4,COUNTIF('商品マスタ'!$B$6:$B$1005,$W5166)=0),N(U5165)+1,N(U5165))</f>
        <v/>
      </c>
      <c r="V5166" s="19">
        <f>IF($B5166="","",TEXT($B5166,"0000"))</f>
        <v/>
      </c>
      <c r="W5166" s="19">
        <f>IF($I5166="","",IF(ISNUMBER($I5166),TEXT($I5166,"0"),$I5166))</f>
        <v/>
      </c>
    </row>
    <row r="5167">
      <c r="B5167" s="25" t="n"/>
      <c r="I5167" s="25" t="n"/>
      <c r="U5167" s="19">
        <f>IF(AND($V5167='設定'!$C$4,COUNTIF('商品マスタ'!$B$6:$B$1005,$W5167)=0),N(U5166)+1,N(U5166))</f>
        <v/>
      </c>
      <c r="V5167" s="19">
        <f>IF($B5167="","",TEXT($B5167,"0000"))</f>
        <v/>
      </c>
      <c r="W5167" s="19">
        <f>IF($I5167="","",IF(ISNUMBER($I5167),TEXT($I5167,"0"),$I5167))</f>
        <v/>
      </c>
    </row>
    <row r="5168">
      <c r="B5168" s="25" t="n"/>
      <c r="I5168" s="25" t="n"/>
      <c r="U5168" s="19">
        <f>IF(AND($V5168='設定'!$C$4,COUNTIF('商品マスタ'!$B$6:$B$1005,$W5168)=0),N(U5167)+1,N(U5167))</f>
        <v/>
      </c>
      <c r="V5168" s="19">
        <f>IF($B5168="","",TEXT($B5168,"0000"))</f>
        <v/>
      </c>
      <c r="W5168" s="19">
        <f>IF($I5168="","",IF(ISNUMBER($I5168),TEXT($I5168,"0"),$I5168))</f>
        <v/>
      </c>
    </row>
    <row r="5169">
      <c r="B5169" s="25" t="n"/>
      <c r="I5169" s="25" t="n"/>
      <c r="U5169" s="19">
        <f>IF(AND($V5169='設定'!$C$4,COUNTIF('商品マスタ'!$B$6:$B$1005,$W5169)=0),N(U5168)+1,N(U5168))</f>
        <v/>
      </c>
      <c r="V5169" s="19">
        <f>IF($B5169="","",TEXT($B5169,"0000"))</f>
        <v/>
      </c>
      <c r="W5169" s="19">
        <f>IF($I5169="","",IF(ISNUMBER($I5169),TEXT($I5169,"0"),$I5169))</f>
        <v/>
      </c>
    </row>
    <row r="5170">
      <c r="B5170" s="25" t="n"/>
      <c r="I5170" s="25" t="n"/>
      <c r="U5170" s="19">
        <f>IF(AND($V5170='設定'!$C$4,COUNTIF('商品マスタ'!$B$6:$B$1005,$W5170)=0),N(U5169)+1,N(U5169))</f>
        <v/>
      </c>
      <c r="V5170" s="19">
        <f>IF($B5170="","",TEXT($B5170,"0000"))</f>
        <v/>
      </c>
      <c r="W5170" s="19">
        <f>IF($I5170="","",IF(ISNUMBER($I5170),TEXT($I5170,"0"),$I5170))</f>
        <v/>
      </c>
    </row>
    <row r="5171">
      <c r="B5171" s="25" t="n"/>
      <c r="I5171" s="25" t="n"/>
      <c r="U5171" s="19">
        <f>IF(AND($V5171='設定'!$C$4,COUNTIF('商品マスタ'!$B$6:$B$1005,$W5171)=0),N(U5170)+1,N(U5170))</f>
        <v/>
      </c>
      <c r="V5171" s="19">
        <f>IF($B5171="","",TEXT($B5171,"0000"))</f>
        <v/>
      </c>
      <c r="W5171" s="19">
        <f>IF($I5171="","",IF(ISNUMBER($I5171),TEXT($I5171,"0"),$I5171))</f>
        <v/>
      </c>
    </row>
    <row r="5172">
      <c r="B5172" s="25" t="n"/>
      <c r="I5172" s="25" t="n"/>
      <c r="U5172" s="19">
        <f>IF(AND($V5172='設定'!$C$4,COUNTIF('商品マスタ'!$B$6:$B$1005,$W5172)=0),N(U5171)+1,N(U5171))</f>
        <v/>
      </c>
      <c r="V5172" s="19">
        <f>IF($B5172="","",TEXT($B5172,"0000"))</f>
        <v/>
      </c>
      <c r="W5172" s="19">
        <f>IF($I5172="","",IF(ISNUMBER($I5172),TEXT($I5172,"0"),$I5172))</f>
        <v/>
      </c>
    </row>
    <row r="5173">
      <c r="B5173" s="25" t="n"/>
      <c r="I5173" s="25" t="n"/>
      <c r="U5173" s="19">
        <f>IF(AND($V5173='設定'!$C$4,COUNTIF('商品マスタ'!$B$6:$B$1005,$W5173)=0),N(U5172)+1,N(U5172))</f>
        <v/>
      </c>
      <c r="V5173" s="19">
        <f>IF($B5173="","",TEXT($B5173,"0000"))</f>
        <v/>
      </c>
      <c r="W5173" s="19">
        <f>IF($I5173="","",IF(ISNUMBER($I5173),TEXT($I5173,"0"),$I5173))</f>
        <v/>
      </c>
    </row>
    <row r="5174">
      <c r="B5174" s="25" t="n"/>
      <c r="I5174" s="25" t="n"/>
      <c r="U5174" s="19">
        <f>IF(AND($V5174='設定'!$C$4,COUNTIF('商品マスタ'!$B$6:$B$1005,$W5174)=0),N(U5173)+1,N(U5173))</f>
        <v/>
      </c>
      <c r="V5174" s="19">
        <f>IF($B5174="","",TEXT($B5174,"0000"))</f>
        <v/>
      </c>
      <c r="W5174" s="19">
        <f>IF($I5174="","",IF(ISNUMBER($I5174),TEXT($I5174,"0"),$I5174))</f>
        <v/>
      </c>
    </row>
    <row r="5175">
      <c r="B5175" s="25" t="n"/>
      <c r="I5175" s="25" t="n"/>
      <c r="U5175" s="19">
        <f>IF(AND($V5175='設定'!$C$4,COUNTIF('商品マスタ'!$B$6:$B$1005,$W5175)=0),N(U5174)+1,N(U5174))</f>
        <v/>
      </c>
      <c r="V5175" s="19">
        <f>IF($B5175="","",TEXT($B5175,"0000"))</f>
        <v/>
      </c>
      <c r="W5175" s="19">
        <f>IF($I5175="","",IF(ISNUMBER($I5175),TEXT($I5175,"0"),$I5175))</f>
        <v/>
      </c>
    </row>
    <row r="5176">
      <c r="B5176" s="25" t="n"/>
      <c r="I5176" s="25" t="n"/>
      <c r="U5176" s="19">
        <f>IF(AND($V5176='設定'!$C$4,COUNTIF('商品マスタ'!$B$6:$B$1005,$W5176)=0),N(U5175)+1,N(U5175))</f>
        <v/>
      </c>
      <c r="V5176" s="19">
        <f>IF($B5176="","",TEXT($B5176,"0000"))</f>
        <v/>
      </c>
      <c r="W5176" s="19">
        <f>IF($I5176="","",IF(ISNUMBER($I5176),TEXT($I5176,"0"),$I5176))</f>
        <v/>
      </c>
    </row>
    <row r="5177">
      <c r="B5177" s="25" t="n"/>
      <c r="I5177" s="25" t="n"/>
      <c r="U5177" s="19">
        <f>IF(AND($V5177='設定'!$C$4,COUNTIF('商品マスタ'!$B$6:$B$1005,$W5177)=0),N(U5176)+1,N(U5176))</f>
        <v/>
      </c>
      <c r="V5177" s="19">
        <f>IF($B5177="","",TEXT($B5177,"0000"))</f>
        <v/>
      </c>
      <c r="W5177" s="19">
        <f>IF($I5177="","",IF(ISNUMBER($I5177),TEXT($I5177,"0"),$I5177))</f>
        <v/>
      </c>
    </row>
    <row r="5178">
      <c r="B5178" s="25" t="n"/>
      <c r="I5178" s="25" t="n"/>
      <c r="U5178" s="19">
        <f>IF(AND($V5178='設定'!$C$4,COUNTIF('商品マスタ'!$B$6:$B$1005,$W5178)=0),N(U5177)+1,N(U5177))</f>
        <v/>
      </c>
      <c r="V5178" s="19">
        <f>IF($B5178="","",TEXT($B5178,"0000"))</f>
        <v/>
      </c>
      <c r="W5178" s="19">
        <f>IF($I5178="","",IF(ISNUMBER($I5178),TEXT($I5178,"0"),$I5178))</f>
        <v/>
      </c>
    </row>
    <row r="5179">
      <c r="B5179" s="25" t="n"/>
      <c r="I5179" s="25" t="n"/>
      <c r="U5179" s="19">
        <f>IF(AND($V5179='設定'!$C$4,COUNTIF('商品マスタ'!$B$6:$B$1005,$W5179)=0),N(U5178)+1,N(U5178))</f>
        <v/>
      </c>
      <c r="V5179" s="19">
        <f>IF($B5179="","",TEXT($B5179,"0000"))</f>
        <v/>
      </c>
      <c r="W5179" s="19">
        <f>IF($I5179="","",IF(ISNUMBER($I5179),TEXT($I5179,"0"),$I5179))</f>
        <v/>
      </c>
    </row>
    <row r="5180">
      <c r="B5180" s="25" t="n"/>
      <c r="I5180" s="25" t="n"/>
      <c r="U5180" s="19">
        <f>IF(AND($V5180='設定'!$C$4,COUNTIF('商品マスタ'!$B$6:$B$1005,$W5180)=0),N(U5179)+1,N(U5179))</f>
        <v/>
      </c>
      <c r="V5180" s="19">
        <f>IF($B5180="","",TEXT($B5180,"0000"))</f>
        <v/>
      </c>
      <c r="W5180" s="19">
        <f>IF($I5180="","",IF(ISNUMBER($I5180),TEXT($I5180,"0"),$I5180))</f>
        <v/>
      </c>
    </row>
    <row r="5181">
      <c r="B5181" s="25" t="n"/>
      <c r="I5181" s="25" t="n"/>
      <c r="U5181" s="19">
        <f>IF(AND($V5181='設定'!$C$4,COUNTIF('商品マスタ'!$B$6:$B$1005,$W5181)=0),N(U5180)+1,N(U5180))</f>
        <v/>
      </c>
      <c r="V5181" s="19">
        <f>IF($B5181="","",TEXT($B5181,"0000"))</f>
        <v/>
      </c>
      <c r="W5181" s="19">
        <f>IF($I5181="","",IF(ISNUMBER($I5181),TEXT($I5181,"0"),$I5181))</f>
        <v/>
      </c>
    </row>
    <row r="5182">
      <c r="B5182" s="25" t="n"/>
      <c r="I5182" s="25" t="n"/>
      <c r="U5182" s="19">
        <f>IF(AND($V5182='設定'!$C$4,COUNTIF('商品マスタ'!$B$6:$B$1005,$W5182)=0),N(U5181)+1,N(U5181))</f>
        <v/>
      </c>
      <c r="V5182" s="19">
        <f>IF($B5182="","",TEXT($B5182,"0000"))</f>
        <v/>
      </c>
      <c r="W5182" s="19">
        <f>IF($I5182="","",IF(ISNUMBER($I5182),TEXT($I5182,"0"),$I5182))</f>
        <v/>
      </c>
    </row>
    <row r="5183">
      <c r="B5183" s="25" t="n"/>
      <c r="I5183" s="25" t="n"/>
      <c r="U5183" s="19">
        <f>IF(AND($V5183='設定'!$C$4,COUNTIF('商品マスタ'!$B$6:$B$1005,$W5183)=0),N(U5182)+1,N(U5182))</f>
        <v/>
      </c>
      <c r="V5183" s="19">
        <f>IF($B5183="","",TEXT($B5183,"0000"))</f>
        <v/>
      </c>
      <c r="W5183" s="19">
        <f>IF($I5183="","",IF(ISNUMBER($I5183),TEXT($I5183,"0"),$I5183))</f>
        <v/>
      </c>
    </row>
    <row r="5184">
      <c r="B5184" s="25" t="n"/>
      <c r="I5184" s="25" t="n"/>
      <c r="U5184" s="19">
        <f>IF(AND($V5184='設定'!$C$4,COUNTIF('商品マスタ'!$B$6:$B$1005,$W5184)=0),N(U5183)+1,N(U5183))</f>
        <v/>
      </c>
      <c r="V5184" s="19">
        <f>IF($B5184="","",TEXT($B5184,"0000"))</f>
        <v/>
      </c>
      <c r="W5184" s="19">
        <f>IF($I5184="","",IF(ISNUMBER($I5184),TEXT($I5184,"0"),$I5184))</f>
        <v/>
      </c>
    </row>
    <row r="5185">
      <c r="B5185" s="25" t="n"/>
      <c r="I5185" s="25" t="n"/>
      <c r="U5185" s="19">
        <f>IF(AND($V5185='設定'!$C$4,COUNTIF('商品マスタ'!$B$6:$B$1005,$W5185)=0),N(U5184)+1,N(U5184))</f>
        <v/>
      </c>
      <c r="V5185" s="19">
        <f>IF($B5185="","",TEXT($B5185,"0000"))</f>
        <v/>
      </c>
      <c r="W5185" s="19">
        <f>IF($I5185="","",IF(ISNUMBER($I5185),TEXT($I5185,"0"),$I5185))</f>
        <v/>
      </c>
    </row>
    <row r="5186">
      <c r="B5186" s="25" t="n"/>
      <c r="I5186" s="25" t="n"/>
      <c r="U5186" s="19">
        <f>IF(AND($V5186='設定'!$C$4,COUNTIF('商品マスタ'!$B$6:$B$1005,$W5186)=0),N(U5185)+1,N(U5185))</f>
        <v/>
      </c>
      <c r="V5186" s="19">
        <f>IF($B5186="","",TEXT($B5186,"0000"))</f>
        <v/>
      </c>
      <c r="W5186" s="19">
        <f>IF($I5186="","",IF(ISNUMBER($I5186),TEXT($I5186,"0"),$I5186))</f>
        <v/>
      </c>
    </row>
    <row r="5187">
      <c r="B5187" s="25" t="n"/>
      <c r="I5187" s="25" t="n"/>
      <c r="U5187" s="19">
        <f>IF(AND($V5187='設定'!$C$4,COUNTIF('商品マスタ'!$B$6:$B$1005,$W5187)=0),N(U5186)+1,N(U5186))</f>
        <v/>
      </c>
      <c r="V5187" s="19">
        <f>IF($B5187="","",TEXT($B5187,"0000"))</f>
        <v/>
      </c>
      <c r="W5187" s="19">
        <f>IF($I5187="","",IF(ISNUMBER($I5187),TEXT($I5187,"0"),$I5187))</f>
        <v/>
      </c>
    </row>
    <row r="5188">
      <c r="B5188" s="25" t="n"/>
      <c r="I5188" s="25" t="n"/>
      <c r="U5188" s="19">
        <f>IF(AND($V5188='設定'!$C$4,COUNTIF('商品マスタ'!$B$6:$B$1005,$W5188)=0),N(U5187)+1,N(U5187))</f>
        <v/>
      </c>
      <c r="V5188" s="19">
        <f>IF($B5188="","",TEXT($B5188,"0000"))</f>
        <v/>
      </c>
      <c r="W5188" s="19">
        <f>IF($I5188="","",IF(ISNUMBER($I5188),TEXT($I5188,"0"),$I5188))</f>
        <v/>
      </c>
    </row>
    <row r="5189">
      <c r="B5189" s="25" t="n"/>
      <c r="I5189" s="25" t="n"/>
      <c r="U5189" s="19">
        <f>IF(AND($V5189='設定'!$C$4,COUNTIF('商品マスタ'!$B$6:$B$1005,$W5189)=0),N(U5188)+1,N(U5188))</f>
        <v/>
      </c>
      <c r="V5189" s="19">
        <f>IF($B5189="","",TEXT($B5189,"0000"))</f>
        <v/>
      </c>
      <c r="W5189" s="19">
        <f>IF($I5189="","",IF(ISNUMBER($I5189),TEXT($I5189,"0"),$I5189))</f>
        <v/>
      </c>
    </row>
    <row r="5190">
      <c r="B5190" s="25" t="n"/>
      <c r="I5190" s="25" t="n"/>
      <c r="U5190" s="19">
        <f>IF(AND($V5190='設定'!$C$4,COUNTIF('商品マスタ'!$B$6:$B$1005,$W5190)=0),N(U5189)+1,N(U5189))</f>
        <v/>
      </c>
      <c r="V5190" s="19">
        <f>IF($B5190="","",TEXT($B5190,"0000"))</f>
        <v/>
      </c>
      <c r="W5190" s="19">
        <f>IF($I5190="","",IF(ISNUMBER($I5190),TEXT($I5190,"0"),$I5190))</f>
        <v/>
      </c>
    </row>
    <row r="5191">
      <c r="B5191" s="25" t="n"/>
      <c r="I5191" s="25" t="n"/>
      <c r="U5191" s="19">
        <f>IF(AND($V5191='設定'!$C$4,COUNTIF('商品マスタ'!$B$6:$B$1005,$W5191)=0),N(U5190)+1,N(U5190))</f>
        <v/>
      </c>
      <c r="V5191" s="19">
        <f>IF($B5191="","",TEXT($B5191,"0000"))</f>
        <v/>
      </c>
      <c r="W5191" s="19">
        <f>IF($I5191="","",IF(ISNUMBER($I5191),TEXT($I5191,"0"),$I5191))</f>
        <v/>
      </c>
    </row>
    <row r="5192">
      <c r="B5192" s="25" t="n"/>
      <c r="I5192" s="25" t="n"/>
      <c r="U5192" s="19">
        <f>IF(AND($V5192='設定'!$C$4,COUNTIF('商品マスタ'!$B$6:$B$1005,$W5192)=0),N(U5191)+1,N(U5191))</f>
        <v/>
      </c>
      <c r="V5192" s="19">
        <f>IF($B5192="","",TEXT($B5192,"0000"))</f>
        <v/>
      </c>
      <c r="W5192" s="19">
        <f>IF($I5192="","",IF(ISNUMBER($I5192),TEXT($I5192,"0"),$I5192))</f>
        <v/>
      </c>
    </row>
    <row r="5193">
      <c r="B5193" s="25" t="n"/>
      <c r="I5193" s="25" t="n"/>
      <c r="U5193" s="19">
        <f>IF(AND($V5193='設定'!$C$4,COUNTIF('商品マスタ'!$B$6:$B$1005,$W5193)=0),N(U5192)+1,N(U5192))</f>
        <v/>
      </c>
      <c r="V5193" s="19">
        <f>IF($B5193="","",TEXT($B5193,"0000"))</f>
        <v/>
      </c>
      <c r="W5193" s="19">
        <f>IF($I5193="","",IF(ISNUMBER($I5193),TEXT($I5193,"0"),$I5193))</f>
        <v/>
      </c>
    </row>
    <row r="5194">
      <c r="B5194" s="25" t="n"/>
      <c r="I5194" s="25" t="n"/>
      <c r="U5194" s="19">
        <f>IF(AND($V5194='設定'!$C$4,COUNTIF('商品マスタ'!$B$6:$B$1005,$W5194)=0),N(U5193)+1,N(U5193))</f>
        <v/>
      </c>
      <c r="V5194" s="19">
        <f>IF($B5194="","",TEXT($B5194,"0000"))</f>
        <v/>
      </c>
      <c r="W5194" s="19">
        <f>IF($I5194="","",IF(ISNUMBER($I5194),TEXT($I5194,"0"),$I5194))</f>
        <v/>
      </c>
    </row>
    <row r="5195">
      <c r="B5195" s="25" t="n"/>
      <c r="I5195" s="25" t="n"/>
      <c r="U5195" s="19">
        <f>IF(AND($V5195='設定'!$C$4,COUNTIF('商品マスタ'!$B$6:$B$1005,$W5195)=0),N(U5194)+1,N(U5194))</f>
        <v/>
      </c>
      <c r="V5195" s="19">
        <f>IF($B5195="","",TEXT($B5195,"0000"))</f>
        <v/>
      </c>
      <c r="W5195" s="19">
        <f>IF($I5195="","",IF(ISNUMBER($I5195),TEXT($I5195,"0"),$I5195))</f>
        <v/>
      </c>
    </row>
    <row r="5196">
      <c r="B5196" s="25" t="n"/>
      <c r="I5196" s="25" t="n"/>
      <c r="U5196" s="19">
        <f>IF(AND($V5196='設定'!$C$4,COUNTIF('商品マスタ'!$B$6:$B$1005,$W5196)=0),N(U5195)+1,N(U5195))</f>
        <v/>
      </c>
      <c r="V5196" s="19">
        <f>IF($B5196="","",TEXT($B5196,"0000"))</f>
        <v/>
      </c>
      <c r="W5196" s="19">
        <f>IF($I5196="","",IF(ISNUMBER($I5196),TEXT($I5196,"0"),$I5196))</f>
        <v/>
      </c>
    </row>
    <row r="5197">
      <c r="B5197" s="25" t="n"/>
      <c r="I5197" s="25" t="n"/>
      <c r="U5197" s="19">
        <f>IF(AND($V5197='設定'!$C$4,COUNTIF('商品マスタ'!$B$6:$B$1005,$W5197)=0),N(U5196)+1,N(U5196))</f>
        <v/>
      </c>
      <c r="V5197" s="19">
        <f>IF($B5197="","",TEXT($B5197,"0000"))</f>
        <v/>
      </c>
      <c r="W5197" s="19">
        <f>IF($I5197="","",IF(ISNUMBER($I5197),TEXT($I5197,"0"),$I5197))</f>
        <v/>
      </c>
    </row>
    <row r="5198">
      <c r="B5198" s="25" t="n"/>
      <c r="I5198" s="25" t="n"/>
      <c r="U5198" s="19">
        <f>IF(AND($V5198='設定'!$C$4,COUNTIF('商品マスタ'!$B$6:$B$1005,$W5198)=0),N(U5197)+1,N(U5197))</f>
        <v/>
      </c>
      <c r="V5198" s="19">
        <f>IF($B5198="","",TEXT($B5198,"0000"))</f>
        <v/>
      </c>
      <c r="W5198" s="19">
        <f>IF($I5198="","",IF(ISNUMBER($I5198),TEXT($I5198,"0"),$I5198))</f>
        <v/>
      </c>
    </row>
    <row r="5199">
      <c r="B5199" s="25" t="n"/>
      <c r="I5199" s="25" t="n"/>
      <c r="U5199" s="19">
        <f>IF(AND($V5199='設定'!$C$4,COUNTIF('商品マスタ'!$B$6:$B$1005,$W5199)=0),N(U5198)+1,N(U5198))</f>
        <v/>
      </c>
      <c r="V5199" s="19">
        <f>IF($B5199="","",TEXT($B5199,"0000"))</f>
        <v/>
      </c>
      <c r="W5199" s="19">
        <f>IF($I5199="","",IF(ISNUMBER($I5199),TEXT($I5199,"0"),$I5199))</f>
        <v/>
      </c>
    </row>
    <row r="5200">
      <c r="B5200" s="25" t="n"/>
      <c r="I5200" s="25" t="n"/>
      <c r="U5200" s="19">
        <f>IF(AND($V5200='設定'!$C$4,COUNTIF('商品マスタ'!$B$6:$B$1005,$W5200)=0),N(U5199)+1,N(U5199))</f>
        <v/>
      </c>
      <c r="V5200" s="19">
        <f>IF($B5200="","",TEXT($B5200,"0000"))</f>
        <v/>
      </c>
      <c r="W5200" s="19">
        <f>IF($I5200="","",IF(ISNUMBER($I5200),TEXT($I5200,"0"),$I5200))</f>
        <v/>
      </c>
    </row>
    <row r="5201">
      <c r="B5201" s="25" t="n"/>
      <c r="I5201" s="25" t="n"/>
      <c r="U5201" s="19">
        <f>IF(AND($V5201='設定'!$C$4,COUNTIF('商品マスタ'!$B$6:$B$1005,$W5201)=0),N(U5200)+1,N(U5200))</f>
        <v/>
      </c>
      <c r="V5201" s="19">
        <f>IF($B5201="","",TEXT($B5201,"0000"))</f>
        <v/>
      </c>
      <c r="W5201" s="19">
        <f>IF($I5201="","",IF(ISNUMBER($I5201),TEXT($I5201,"0"),$I5201))</f>
        <v/>
      </c>
    </row>
    <row r="5202">
      <c r="B5202" s="25" t="n"/>
      <c r="I5202" s="25" t="n"/>
      <c r="U5202" s="19">
        <f>IF(AND($V5202='設定'!$C$4,COUNTIF('商品マスタ'!$B$6:$B$1005,$W5202)=0),N(U5201)+1,N(U5201))</f>
        <v/>
      </c>
      <c r="V5202" s="19">
        <f>IF($B5202="","",TEXT($B5202,"0000"))</f>
        <v/>
      </c>
      <c r="W5202" s="19">
        <f>IF($I5202="","",IF(ISNUMBER($I5202),TEXT($I5202,"0"),$I5202))</f>
        <v/>
      </c>
    </row>
    <row r="5203">
      <c r="B5203" s="25" t="n"/>
      <c r="I5203" s="25" t="n"/>
      <c r="U5203" s="19">
        <f>IF(AND($V5203='設定'!$C$4,COUNTIF('商品マスタ'!$B$6:$B$1005,$W5203)=0),N(U5202)+1,N(U5202))</f>
        <v/>
      </c>
      <c r="V5203" s="19">
        <f>IF($B5203="","",TEXT($B5203,"0000"))</f>
        <v/>
      </c>
      <c r="W5203" s="19">
        <f>IF($I5203="","",IF(ISNUMBER($I5203),TEXT($I5203,"0"),$I5203))</f>
        <v/>
      </c>
    </row>
    <row r="5204">
      <c r="B5204" s="25" t="n"/>
      <c r="I5204" s="25" t="n"/>
      <c r="U5204" s="19">
        <f>IF(AND($V5204='設定'!$C$4,COUNTIF('商品マスタ'!$B$6:$B$1005,$W5204)=0),N(U5203)+1,N(U5203))</f>
        <v/>
      </c>
      <c r="V5204" s="19">
        <f>IF($B5204="","",TEXT($B5204,"0000"))</f>
        <v/>
      </c>
      <c r="W5204" s="19">
        <f>IF($I5204="","",IF(ISNUMBER($I5204),TEXT($I5204,"0"),$I5204))</f>
        <v/>
      </c>
    </row>
    <row r="5205">
      <c r="B5205" s="25" t="n"/>
      <c r="I5205" s="25" t="n"/>
      <c r="U5205" s="19">
        <f>IF(AND($V5205='設定'!$C$4,COUNTIF('商品マスタ'!$B$6:$B$1005,$W5205)=0),N(U5204)+1,N(U5204))</f>
        <v/>
      </c>
      <c r="V5205" s="19">
        <f>IF($B5205="","",TEXT($B5205,"0000"))</f>
        <v/>
      </c>
      <c r="W5205" s="19">
        <f>IF($I5205="","",IF(ISNUMBER($I5205),TEXT($I5205,"0"),$I5205))</f>
        <v/>
      </c>
    </row>
    <row r="5206">
      <c r="B5206" s="25" t="n"/>
      <c r="I5206" s="25" t="n"/>
      <c r="U5206" s="19">
        <f>IF(AND($V5206='設定'!$C$4,COUNTIF('商品マスタ'!$B$6:$B$1005,$W5206)=0),N(U5205)+1,N(U5205))</f>
        <v/>
      </c>
      <c r="V5206" s="19">
        <f>IF($B5206="","",TEXT($B5206,"0000"))</f>
        <v/>
      </c>
      <c r="W5206" s="19">
        <f>IF($I5206="","",IF(ISNUMBER($I5206),TEXT($I5206,"0"),$I5206))</f>
        <v/>
      </c>
    </row>
    <row r="5207">
      <c r="B5207" s="25" t="n"/>
      <c r="I5207" s="25" t="n"/>
      <c r="U5207" s="19">
        <f>IF(AND($V5207='設定'!$C$4,COUNTIF('商品マスタ'!$B$6:$B$1005,$W5207)=0),N(U5206)+1,N(U5206))</f>
        <v/>
      </c>
      <c r="V5207" s="19">
        <f>IF($B5207="","",TEXT($B5207,"0000"))</f>
        <v/>
      </c>
      <c r="W5207" s="19">
        <f>IF($I5207="","",IF(ISNUMBER($I5207),TEXT($I5207,"0"),$I5207))</f>
        <v/>
      </c>
    </row>
    <row r="5208">
      <c r="B5208" s="25" t="n"/>
      <c r="I5208" s="25" t="n"/>
      <c r="U5208" s="19">
        <f>IF(AND($V5208='設定'!$C$4,COUNTIF('商品マスタ'!$B$6:$B$1005,$W5208)=0),N(U5207)+1,N(U5207))</f>
        <v/>
      </c>
      <c r="V5208" s="19">
        <f>IF($B5208="","",TEXT($B5208,"0000"))</f>
        <v/>
      </c>
      <c r="W5208" s="19">
        <f>IF($I5208="","",IF(ISNUMBER($I5208),TEXT($I5208,"0"),$I5208))</f>
        <v/>
      </c>
    </row>
    <row r="5209">
      <c r="B5209" s="25" t="n"/>
      <c r="I5209" s="25" t="n"/>
      <c r="U5209" s="19">
        <f>IF(AND($V5209='設定'!$C$4,COUNTIF('商品マスタ'!$B$6:$B$1005,$W5209)=0),N(U5208)+1,N(U5208))</f>
        <v/>
      </c>
      <c r="V5209" s="19">
        <f>IF($B5209="","",TEXT($B5209,"0000"))</f>
        <v/>
      </c>
      <c r="W5209" s="19">
        <f>IF($I5209="","",IF(ISNUMBER($I5209),TEXT($I5209,"0"),$I5209))</f>
        <v/>
      </c>
    </row>
    <row r="5210">
      <c r="B5210" s="25" t="n"/>
      <c r="I5210" s="25" t="n"/>
      <c r="U5210" s="19">
        <f>IF(AND($V5210='設定'!$C$4,COUNTIF('商品マスタ'!$B$6:$B$1005,$W5210)=0),N(U5209)+1,N(U5209))</f>
        <v/>
      </c>
      <c r="V5210" s="19">
        <f>IF($B5210="","",TEXT($B5210,"0000"))</f>
        <v/>
      </c>
      <c r="W5210" s="19">
        <f>IF($I5210="","",IF(ISNUMBER($I5210),TEXT($I5210,"0"),$I5210))</f>
        <v/>
      </c>
    </row>
    <row r="5211">
      <c r="B5211" s="25" t="n"/>
      <c r="I5211" s="25" t="n"/>
      <c r="U5211" s="19">
        <f>IF(AND($V5211='設定'!$C$4,COUNTIF('商品マスタ'!$B$6:$B$1005,$W5211)=0),N(U5210)+1,N(U5210))</f>
        <v/>
      </c>
      <c r="V5211" s="19">
        <f>IF($B5211="","",TEXT($B5211,"0000"))</f>
        <v/>
      </c>
      <c r="W5211" s="19">
        <f>IF($I5211="","",IF(ISNUMBER($I5211),TEXT($I5211,"0"),$I5211))</f>
        <v/>
      </c>
    </row>
    <row r="5212">
      <c r="B5212" s="25" t="n"/>
      <c r="I5212" s="25" t="n"/>
      <c r="U5212" s="19">
        <f>IF(AND($V5212='設定'!$C$4,COUNTIF('商品マスタ'!$B$6:$B$1005,$W5212)=0),N(U5211)+1,N(U5211))</f>
        <v/>
      </c>
      <c r="V5212" s="19">
        <f>IF($B5212="","",TEXT($B5212,"0000"))</f>
        <v/>
      </c>
      <c r="W5212" s="19">
        <f>IF($I5212="","",IF(ISNUMBER($I5212),TEXT($I5212,"0"),$I5212))</f>
        <v/>
      </c>
    </row>
    <row r="5213">
      <c r="B5213" s="25" t="n"/>
      <c r="I5213" s="25" t="n"/>
      <c r="U5213" s="19">
        <f>IF(AND($V5213='設定'!$C$4,COUNTIF('商品マスタ'!$B$6:$B$1005,$W5213)=0),N(U5212)+1,N(U5212))</f>
        <v/>
      </c>
      <c r="V5213" s="19">
        <f>IF($B5213="","",TEXT($B5213,"0000"))</f>
        <v/>
      </c>
      <c r="W5213" s="19">
        <f>IF($I5213="","",IF(ISNUMBER($I5213),TEXT($I5213,"0"),$I5213))</f>
        <v/>
      </c>
    </row>
    <row r="5214">
      <c r="B5214" s="25" t="n"/>
      <c r="I5214" s="25" t="n"/>
      <c r="U5214" s="19">
        <f>IF(AND($V5214='設定'!$C$4,COUNTIF('商品マスタ'!$B$6:$B$1005,$W5214)=0),N(U5213)+1,N(U5213))</f>
        <v/>
      </c>
      <c r="V5214" s="19">
        <f>IF($B5214="","",TEXT($B5214,"0000"))</f>
        <v/>
      </c>
      <c r="W5214" s="19">
        <f>IF($I5214="","",IF(ISNUMBER($I5214),TEXT($I5214,"0"),$I5214))</f>
        <v/>
      </c>
    </row>
    <row r="5215">
      <c r="B5215" s="25" t="n"/>
      <c r="I5215" s="25" t="n"/>
      <c r="U5215" s="19">
        <f>IF(AND($V5215='設定'!$C$4,COUNTIF('商品マスタ'!$B$6:$B$1005,$W5215)=0),N(U5214)+1,N(U5214))</f>
        <v/>
      </c>
      <c r="V5215" s="19">
        <f>IF($B5215="","",TEXT($B5215,"0000"))</f>
        <v/>
      </c>
      <c r="W5215" s="19">
        <f>IF($I5215="","",IF(ISNUMBER($I5215),TEXT($I5215,"0"),$I5215))</f>
        <v/>
      </c>
    </row>
    <row r="5216">
      <c r="B5216" s="25" t="n"/>
      <c r="I5216" s="25" t="n"/>
      <c r="U5216" s="19">
        <f>IF(AND($V5216='設定'!$C$4,COUNTIF('商品マスタ'!$B$6:$B$1005,$W5216)=0),N(U5215)+1,N(U5215))</f>
        <v/>
      </c>
      <c r="V5216" s="19">
        <f>IF($B5216="","",TEXT($B5216,"0000"))</f>
        <v/>
      </c>
      <c r="W5216" s="19">
        <f>IF($I5216="","",IF(ISNUMBER($I5216),TEXT($I5216,"0"),$I5216))</f>
        <v/>
      </c>
    </row>
    <row r="5217">
      <c r="B5217" s="25" t="n"/>
      <c r="I5217" s="25" t="n"/>
      <c r="U5217" s="19">
        <f>IF(AND($V5217='設定'!$C$4,COUNTIF('商品マスタ'!$B$6:$B$1005,$W5217)=0),N(U5216)+1,N(U5216))</f>
        <v/>
      </c>
      <c r="V5217" s="19">
        <f>IF($B5217="","",TEXT($B5217,"0000"))</f>
        <v/>
      </c>
      <c r="W5217" s="19">
        <f>IF($I5217="","",IF(ISNUMBER($I5217),TEXT($I5217,"0"),$I5217))</f>
        <v/>
      </c>
    </row>
    <row r="5218">
      <c r="B5218" s="25" t="n"/>
      <c r="I5218" s="25" t="n"/>
      <c r="U5218" s="19">
        <f>IF(AND($V5218='設定'!$C$4,COUNTIF('商品マスタ'!$B$6:$B$1005,$W5218)=0),N(U5217)+1,N(U5217))</f>
        <v/>
      </c>
      <c r="V5218" s="19">
        <f>IF($B5218="","",TEXT($B5218,"0000"))</f>
        <v/>
      </c>
      <c r="W5218" s="19">
        <f>IF($I5218="","",IF(ISNUMBER($I5218),TEXT($I5218,"0"),$I5218))</f>
        <v/>
      </c>
    </row>
    <row r="5219">
      <c r="B5219" s="25" t="n"/>
      <c r="I5219" s="25" t="n"/>
      <c r="U5219" s="19">
        <f>IF(AND($V5219='設定'!$C$4,COUNTIF('商品マスタ'!$B$6:$B$1005,$W5219)=0),N(U5218)+1,N(U5218))</f>
        <v/>
      </c>
      <c r="V5219" s="19">
        <f>IF($B5219="","",TEXT($B5219,"0000"))</f>
        <v/>
      </c>
      <c r="W5219" s="19">
        <f>IF($I5219="","",IF(ISNUMBER($I5219),TEXT($I5219,"0"),$I5219))</f>
        <v/>
      </c>
    </row>
    <row r="5220">
      <c r="B5220" s="25" t="n"/>
      <c r="I5220" s="25" t="n"/>
      <c r="U5220" s="19">
        <f>IF(AND($V5220='設定'!$C$4,COUNTIF('商品マスタ'!$B$6:$B$1005,$W5220)=0),N(U5219)+1,N(U5219))</f>
        <v/>
      </c>
      <c r="V5220" s="19">
        <f>IF($B5220="","",TEXT($B5220,"0000"))</f>
        <v/>
      </c>
      <c r="W5220" s="19">
        <f>IF($I5220="","",IF(ISNUMBER($I5220),TEXT($I5220,"0"),$I5220))</f>
        <v/>
      </c>
    </row>
    <row r="5221">
      <c r="B5221" s="25" t="n"/>
      <c r="I5221" s="25" t="n"/>
      <c r="U5221" s="19">
        <f>IF(AND($V5221='設定'!$C$4,COUNTIF('商品マスタ'!$B$6:$B$1005,$W5221)=0),N(U5220)+1,N(U5220))</f>
        <v/>
      </c>
      <c r="V5221" s="19">
        <f>IF($B5221="","",TEXT($B5221,"0000"))</f>
        <v/>
      </c>
      <c r="W5221" s="19">
        <f>IF($I5221="","",IF(ISNUMBER($I5221),TEXT($I5221,"0"),$I5221))</f>
        <v/>
      </c>
    </row>
    <row r="5222">
      <c r="B5222" s="25" t="n"/>
      <c r="I5222" s="25" t="n"/>
      <c r="U5222" s="19">
        <f>IF(AND($V5222='設定'!$C$4,COUNTIF('商品マスタ'!$B$6:$B$1005,$W5222)=0),N(U5221)+1,N(U5221))</f>
        <v/>
      </c>
      <c r="V5222" s="19">
        <f>IF($B5222="","",TEXT($B5222,"0000"))</f>
        <v/>
      </c>
      <c r="W5222" s="19">
        <f>IF($I5222="","",IF(ISNUMBER($I5222),TEXT($I5222,"0"),$I5222))</f>
        <v/>
      </c>
    </row>
    <row r="5223">
      <c r="B5223" s="25" t="n"/>
      <c r="I5223" s="25" t="n"/>
      <c r="U5223" s="19">
        <f>IF(AND($V5223='設定'!$C$4,COUNTIF('商品マスタ'!$B$6:$B$1005,$W5223)=0),N(U5222)+1,N(U5222))</f>
        <v/>
      </c>
      <c r="V5223" s="19">
        <f>IF($B5223="","",TEXT($B5223,"0000"))</f>
        <v/>
      </c>
      <c r="W5223" s="19">
        <f>IF($I5223="","",IF(ISNUMBER($I5223),TEXT($I5223,"0"),$I5223))</f>
        <v/>
      </c>
    </row>
    <row r="5224">
      <c r="B5224" s="25" t="n"/>
      <c r="I5224" s="25" t="n"/>
      <c r="U5224" s="19">
        <f>IF(AND($V5224='設定'!$C$4,COUNTIF('商品マスタ'!$B$6:$B$1005,$W5224)=0),N(U5223)+1,N(U5223))</f>
        <v/>
      </c>
      <c r="V5224" s="19">
        <f>IF($B5224="","",TEXT($B5224,"0000"))</f>
        <v/>
      </c>
      <c r="W5224" s="19">
        <f>IF($I5224="","",IF(ISNUMBER($I5224),TEXT($I5224,"0"),$I5224))</f>
        <v/>
      </c>
    </row>
    <row r="5225">
      <c r="B5225" s="25" t="n"/>
      <c r="I5225" s="25" t="n"/>
      <c r="U5225" s="19">
        <f>IF(AND($V5225='設定'!$C$4,COUNTIF('商品マスタ'!$B$6:$B$1005,$W5225)=0),N(U5224)+1,N(U5224))</f>
        <v/>
      </c>
      <c r="V5225" s="19">
        <f>IF($B5225="","",TEXT($B5225,"0000"))</f>
        <v/>
      </c>
      <c r="W5225" s="19">
        <f>IF($I5225="","",IF(ISNUMBER($I5225),TEXT($I5225,"0"),$I5225))</f>
        <v/>
      </c>
    </row>
    <row r="5226">
      <c r="B5226" s="25" t="n"/>
      <c r="I5226" s="25" t="n"/>
      <c r="U5226" s="19">
        <f>IF(AND($V5226='設定'!$C$4,COUNTIF('商品マスタ'!$B$6:$B$1005,$W5226)=0),N(U5225)+1,N(U5225))</f>
        <v/>
      </c>
      <c r="V5226" s="19">
        <f>IF($B5226="","",TEXT($B5226,"0000"))</f>
        <v/>
      </c>
      <c r="W5226" s="19">
        <f>IF($I5226="","",IF(ISNUMBER($I5226),TEXT($I5226,"0"),$I5226))</f>
        <v/>
      </c>
    </row>
    <row r="5227">
      <c r="B5227" s="25" t="n"/>
      <c r="I5227" s="25" t="n"/>
      <c r="U5227" s="19">
        <f>IF(AND($V5227='設定'!$C$4,COUNTIF('商品マスタ'!$B$6:$B$1005,$W5227)=0),N(U5226)+1,N(U5226))</f>
        <v/>
      </c>
      <c r="V5227" s="19">
        <f>IF($B5227="","",TEXT($B5227,"0000"))</f>
        <v/>
      </c>
      <c r="W5227" s="19">
        <f>IF($I5227="","",IF(ISNUMBER($I5227),TEXT($I5227,"0"),$I5227))</f>
        <v/>
      </c>
    </row>
    <row r="5228">
      <c r="B5228" s="25" t="n"/>
      <c r="I5228" s="25" t="n"/>
      <c r="U5228" s="19">
        <f>IF(AND($V5228='設定'!$C$4,COUNTIF('商品マスタ'!$B$6:$B$1005,$W5228)=0),N(U5227)+1,N(U5227))</f>
        <v/>
      </c>
      <c r="V5228" s="19">
        <f>IF($B5228="","",TEXT($B5228,"0000"))</f>
        <v/>
      </c>
      <c r="W5228" s="19">
        <f>IF($I5228="","",IF(ISNUMBER($I5228),TEXT($I5228,"0"),$I5228))</f>
        <v/>
      </c>
    </row>
    <row r="5229">
      <c r="B5229" s="25" t="n"/>
      <c r="I5229" s="25" t="n"/>
      <c r="U5229" s="19">
        <f>IF(AND($V5229='設定'!$C$4,COUNTIF('商品マスタ'!$B$6:$B$1005,$W5229)=0),N(U5228)+1,N(U5228))</f>
        <v/>
      </c>
      <c r="V5229" s="19">
        <f>IF($B5229="","",TEXT($B5229,"0000"))</f>
        <v/>
      </c>
      <c r="W5229" s="19">
        <f>IF($I5229="","",IF(ISNUMBER($I5229),TEXT($I5229,"0"),$I5229))</f>
        <v/>
      </c>
    </row>
    <row r="5230">
      <c r="B5230" s="25" t="n"/>
      <c r="I5230" s="25" t="n"/>
      <c r="U5230" s="19">
        <f>IF(AND($V5230='設定'!$C$4,COUNTIF('商品マスタ'!$B$6:$B$1005,$W5230)=0),N(U5229)+1,N(U5229))</f>
        <v/>
      </c>
      <c r="V5230" s="19">
        <f>IF($B5230="","",TEXT($B5230,"0000"))</f>
        <v/>
      </c>
      <c r="W5230" s="19">
        <f>IF($I5230="","",IF(ISNUMBER($I5230),TEXT($I5230,"0"),$I5230))</f>
        <v/>
      </c>
    </row>
    <row r="5231">
      <c r="B5231" s="25" t="n"/>
      <c r="I5231" s="25" t="n"/>
      <c r="U5231" s="19">
        <f>IF(AND($V5231='設定'!$C$4,COUNTIF('商品マスタ'!$B$6:$B$1005,$W5231)=0),N(U5230)+1,N(U5230))</f>
        <v/>
      </c>
      <c r="V5231" s="19">
        <f>IF($B5231="","",TEXT($B5231,"0000"))</f>
        <v/>
      </c>
      <c r="W5231" s="19">
        <f>IF($I5231="","",IF(ISNUMBER($I5231),TEXT($I5231,"0"),$I5231))</f>
        <v/>
      </c>
    </row>
    <row r="5232">
      <c r="B5232" s="25" t="n"/>
      <c r="I5232" s="25" t="n"/>
      <c r="U5232" s="19">
        <f>IF(AND($V5232='設定'!$C$4,COUNTIF('商品マスタ'!$B$6:$B$1005,$W5232)=0),N(U5231)+1,N(U5231))</f>
        <v/>
      </c>
      <c r="V5232" s="19">
        <f>IF($B5232="","",TEXT($B5232,"0000"))</f>
        <v/>
      </c>
      <c r="W5232" s="19">
        <f>IF($I5232="","",IF(ISNUMBER($I5232),TEXT($I5232,"0"),$I5232))</f>
        <v/>
      </c>
    </row>
    <row r="5233">
      <c r="B5233" s="25" t="n"/>
      <c r="I5233" s="25" t="n"/>
      <c r="U5233" s="19">
        <f>IF(AND($V5233='設定'!$C$4,COUNTIF('商品マスタ'!$B$6:$B$1005,$W5233)=0),N(U5232)+1,N(U5232))</f>
        <v/>
      </c>
      <c r="V5233" s="19">
        <f>IF($B5233="","",TEXT($B5233,"0000"))</f>
        <v/>
      </c>
      <c r="W5233" s="19">
        <f>IF($I5233="","",IF(ISNUMBER($I5233),TEXT($I5233,"0"),$I5233))</f>
        <v/>
      </c>
    </row>
    <row r="5234">
      <c r="B5234" s="25" t="n"/>
      <c r="I5234" s="25" t="n"/>
      <c r="U5234" s="19">
        <f>IF(AND($V5234='設定'!$C$4,COUNTIF('商品マスタ'!$B$6:$B$1005,$W5234)=0),N(U5233)+1,N(U5233))</f>
        <v/>
      </c>
      <c r="V5234" s="19">
        <f>IF($B5234="","",TEXT($B5234,"0000"))</f>
        <v/>
      </c>
      <c r="W5234" s="19">
        <f>IF($I5234="","",IF(ISNUMBER($I5234),TEXT($I5234,"0"),$I5234))</f>
        <v/>
      </c>
    </row>
    <row r="5235">
      <c r="B5235" s="25" t="n"/>
      <c r="I5235" s="25" t="n"/>
      <c r="U5235" s="19">
        <f>IF(AND($V5235='設定'!$C$4,COUNTIF('商品マスタ'!$B$6:$B$1005,$W5235)=0),N(U5234)+1,N(U5234))</f>
        <v/>
      </c>
      <c r="V5235" s="19">
        <f>IF($B5235="","",TEXT($B5235,"0000"))</f>
        <v/>
      </c>
      <c r="W5235" s="19">
        <f>IF($I5235="","",IF(ISNUMBER($I5235),TEXT($I5235,"0"),$I5235))</f>
        <v/>
      </c>
    </row>
    <row r="5236">
      <c r="B5236" s="25" t="n"/>
      <c r="I5236" s="25" t="n"/>
      <c r="U5236" s="19">
        <f>IF(AND($V5236='設定'!$C$4,COUNTIF('商品マスタ'!$B$6:$B$1005,$W5236)=0),N(U5235)+1,N(U5235))</f>
        <v/>
      </c>
      <c r="V5236" s="19">
        <f>IF($B5236="","",TEXT($B5236,"0000"))</f>
        <v/>
      </c>
      <c r="W5236" s="19">
        <f>IF($I5236="","",IF(ISNUMBER($I5236),TEXT($I5236,"0"),$I5236))</f>
        <v/>
      </c>
    </row>
    <row r="5237">
      <c r="B5237" s="25" t="n"/>
      <c r="I5237" s="25" t="n"/>
      <c r="U5237" s="19">
        <f>IF(AND($V5237='設定'!$C$4,COUNTIF('商品マスタ'!$B$6:$B$1005,$W5237)=0),N(U5236)+1,N(U5236))</f>
        <v/>
      </c>
      <c r="V5237" s="19">
        <f>IF($B5237="","",TEXT($B5237,"0000"))</f>
        <v/>
      </c>
      <c r="W5237" s="19">
        <f>IF($I5237="","",IF(ISNUMBER($I5237),TEXT($I5237,"0"),$I5237))</f>
        <v/>
      </c>
    </row>
    <row r="5238">
      <c r="B5238" s="25" t="n"/>
      <c r="I5238" s="25" t="n"/>
      <c r="U5238" s="19">
        <f>IF(AND($V5238='設定'!$C$4,COUNTIF('商品マスタ'!$B$6:$B$1005,$W5238)=0),N(U5237)+1,N(U5237))</f>
        <v/>
      </c>
      <c r="V5238" s="19">
        <f>IF($B5238="","",TEXT($B5238,"0000"))</f>
        <v/>
      </c>
      <c r="W5238" s="19">
        <f>IF($I5238="","",IF(ISNUMBER($I5238),TEXT($I5238,"0"),$I5238))</f>
        <v/>
      </c>
    </row>
    <row r="5239">
      <c r="B5239" s="25" t="n"/>
      <c r="I5239" s="25" t="n"/>
      <c r="U5239" s="19">
        <f>IF(AND($V5239='設定'!$C$4,COUNTIF('商品マスタ'!$B$6:$B$1005,$W5239)=0),N(U5238)+1,N(U5238))</f>
        <v/>
      </c>
      <c r="V5239" s="19">
        <f>IF($B5239="","",TEXT($B5239,"0000"))</f>
        <v/>
      </c>
      <c r="W5239" s="19">
        <f>IF($I5239="","",IF(ISNUMBER($I5239),TEXT($I5239,"0"),$I5239))</f>
        <v/>
      </c>
    </row>
    <row r="5240">
      <c r="B5240" s="25" t="n"/>
      <c r="I5240" s="25" t="n"/>
      <c r="U5240" s="19">
        <f>IF(AND($V5240='設定'!$C$4,COUNTIF('商品マスタ'!$B$6:$B$1005,$W5240)=0),N(U5239)+1,N(U5239))</f>
        <v/>
      </c>
      <c r="V5240" s="19">
        <f>IF($B5240="","",TEXT($B5240,"0000"))</f>
        <v/>
      </c>
      <c r="W5240" s="19">
        <f>IF($I5240="","",IF(ISNUMBER($I5240),TEXT($I5240,"0"),$I5240))</f>
        <v/>
      </c>
    </row>
    <row r="5241">
      <c r="B5241" s="25" t="n"/>
      <c r="I5241" s="25" t="n"/>
      <c r="U5241" s="19">
        <f>IF(AND($V5241='設定'!$C$4,COUNTIF('商品マスタ'!$B$6:$B$1005,$W5241)=0),N(U5240)+1,N(U5240))</f>
        <v/>
      </c>
      <c r="V5241" s="19">
        <f>IF($B5241="","",TEXT($B5241,"0000"))</f>
        <v/>
      </c>
      <c r="W5241" s="19">
        <f>IF($I5241="","",IF(ISNUMBER($I5241),TEXT($I5241,"0"),$I5241))</f>
        <v/>
      </c>
    </row>
    <row r="5242">
      <c r="B5242" s="25" t="n"/>
      <c r="I5242" s="25" t="n"/>
      <c r="U5242" s="19">
        <f>IF(AND($V5242='設定'!$C$4,COUNTIF('商品マスタ'!$B$6:$B$1005,$W5242)=0),N(U5241)+1,N(U5241))</f>
        <v/>
      </c>
      <c r="V5242" s="19">
        <f>IF($B5242="","",TEXT($B5242,"0000"))</f>
        <v/>
      </c>
      <c r="W5242" s="19">
        <f>IF($I5242="","",IF(ISNUMBER($I5242),TEXT($I5242,"0"),$I5242))</f>
        <v/>
      </c>
    </row>
    <row r="5243">
      <c r="B5243" s="25" t="n"/>
      <c r="I5243" s="25" t="n"/>
      <c r="U5243" s="19">
        <f>IF(AND($V5243='設定'!$C$4,COUNTIF('商品マスタ'!$B$6:$B$1005,$W5243)=0),N(U5242)+1,N(U5242))</f>
        <v/>
      </c>
      <c r="V5243" s="19">
        <f>IF($B5243="","",TEXT($B5243,"0000"))</f>
        <v/>
      </c>
      <c r="W5243" s="19">
        <f>IF($I5243="","",IF(ISNUMBER($I5243),TEXT($I5243,"0"),$I5243))</f>
        <v/>
      </c>
    </row>
    <row r="5244">
      <c r="B5244" s="25" t="n"/>
      <c r="I5244" s="25" t="n"/>
      <c r="U5244" s="19">
        <f>IF(AND($V5244='設定'!$C$4,COUNTIF('商品マスタ'!$B$6:$B$1005,$W5244)=0),N(U5243)+1,N(U5243))</f>
        <v/>
      </c>
      <c r="V5244" s="19">
        <f>IF($B5244="","",TEXT($B5244,"0000"))</f>
        <v/>
      </c>
      <c r="W5244" s="19">
        <f>IF($I5244="","",IF(ISNUMBER($I5244),TEXT($I5244,"0"),$I5244))</f>
        <v/>
      </c>
    </row>
    <row r="5245">
      <c r="B5245" s="25" t="n"/>
      <c r="I5245" s="25" t="n"/>
      <c r="U5245" s="19">
        <f>IF(AND($V5245='設定'!$C$4,COUNTIF('商品マスタ'!$B$6:$B$1005,$W5245)=0),N(U5244)+1,N(U5244))</f>
        <v/>
      </c>
      <c r="V5245" s="19">
        <f>IF($B5245="","",TEXT($B5245,"0000"))</f>
        <v/>
      </c>
      <c r="W5245" s="19">
        <f>IF($I5245="","",IF(ISNUMBER($I5245),TEXT($I5245,"0"),$I5245))</f>
        <v/>
      </c>
    </row>
    <row r="5246">
      <c r="B5246" s="25" t="n"/>
      <c r="I5246" s="25" t="n"/>
      <c r="U5246" s="19">
        <f>IF(AND($V5246='設定'!$C$4,COUNTIF('商品マスタ'!$B$6:$B$1005,$W5246)=0),N(U5245)+1,N(U5245))</f>
        <v/>
      </c>
      <c r="V5246" s="19">
        <f>IF($B5246="","",TEXT($B5246,"0000"))</f>
        <v/>
      </c>
      <c r="W5246" s="19">
        <f>IF($I5246="","",IF(ISNUMBER($I5246),TEXT($I5246,"0"),$I5246))</f>
        <v/>
      </c>
    </row>
    <row r="5247">
      <c r="B5247" s="25" t="n"/>
      <c r="I5247" s="25" t="n"/>
      <c r="U5247" s="19">
        <f>IF(AND($V5247='設定'!$C$4,COUNTIF('商品マスタ'!$B$6:$B$1005,$W5247)=0),N(U5246)+1,N(U5246))</f>
        <v/>
      </c>
      <c r="V5247" s="19">
        <f>IF($B5247="","",TEXT($B5247,"0000"))</f>
        <v/>
      </c>
      <c r="W5247" s="19">
        <f>IF($I5247="","",IF(ISNUMBER($I5247),TEXT($I5247,"0"),$I5247))</f>
        <v/>
      </c>
    </row>
    <row r="5248">
      <c r="B5248" s="25" t="n"/>
      <c r="I5248" s="25" t="n"/>
      <c r="U5248" s="19">
        <f>IF(AND($V5248='設定'!$C$4,COUNTIF('商品マスタ'!$B$6:$B$1005,$W5248)=0),N(U5247)+1,N(U5247))</f>
        <v/>
      </c>
      <c r="V5248" s="19">
        <f>IF($B5248="","",TEXT($B5248,"0000"))</f>
        <v/>
      </c>
      <c r="W5248" s="19">
        <f>IF($I5248="","",IF(ISNUMBER($I5248),TEXT($I5248,"0"),$I5248))</f>
        <v/>
      </c>
    </row>
    <row r="5249">
      <c r="B5249" s="25" t="n"/>
      <c r="I5249" s="25" t="n"/>
      <c r="U5249" s="19">
        <f>IF(AND($V5249='設定'!$C$4,COUNTIF('商品マスタ'!$B$6:$B$1005,$W5249)=0),N(U5248)+1,N(U5248))</f>
        <v/>
      </c>
      <c r="V5249" s="19">
        <f>IF($B5249="","",TEXT($B5249,"0000"))</f>
        <v/>
      </c>
      <c r="W5249" s="19">
        <f>IF($I5249="","",IF(ISNUMBER($I5249),TEXT($I5249,"0"),$I5249))</f>
        <v/>
      </c>
    </row>
    <row r="5250">
      <c r="B5250" s="25" t="n"/>
      <c r="I5250" s="25" t="n"/>
      <c r="U5250" s="19">
        <f>IF(AND($V5250='設定'!$C$4,COUNTIF('商品マスタ'!$B$6:$B$1005,$W5250)=0),N(U5249)+1,N(U5249))</f>
        <v/>
      </c>
      <c r="V5250" s="19">
        <f>IF($B5250="","",TEXT($B5250,"0000"))</f>
        <v/>
      </c>
      <c r="W5250" s="19">
        <f>IF($I5250="","",IF(ISNUMBER($I5250),TEXT($I5250,"0"),$I5250))</f>
        <v/>
      </c>
    </row>
    <row r="5251">
      <c r="B5251" s="25" t="n"/>
      <c r="I5251" s="25" t="n"/>
      <c r="U5251" s="19">
        <f>IF(AND($V5251='設定'!$C$4,COUNTIF('商品マスタ'!$B$6:$B$1005,$W5251)=0),N(U5250)+1,N(U5250))</f>
        <v/>
      </c>
      <c r="V5251" s="19">
        <f>IF($B5251="","",TEXT($B5251,"0000"))</f>
        <v/>
      </c>
      <c r="W5251" s="19">
        <f>IF($I5251="","",IF(ISNUMBER($I5251),TEXT($I5251,"0"),$I5251))</f>
        <v/>
      </c>
    </row>
    <row r="5252">
      <c r="B5252" s="25" t="n"/>
      <c r="I5252" s="25" t="n"/>
      <c r="U5252" s="19">
        <f>IF(AND($V5252='設定'!$C$4,COUNTIF('商品マスタ'!$B$6:$B$1005,$W5252)=0),N(U5251)+1,N(U5251))</f>
        <v/>
      </c>
      <c r="V5252" s="19">
        <f>IF($B5252="","",TEXT($B5252,"0000"))</f>
        <v/>
      </c>
      <c r="W5252" s="19">
        <f>IF($I5252="","",IF(ISNUMBER($I5252),TEXT($I5252,"0"),$I5252))</f>
        <v/>
      </c>
    </row>
    <row r="5253">
      <c r="B5253" s="25" t="n"/>
      <c r="I5253" s="25" t="n"/>
      <c r="U5253" s="19">
        <f>IF(AND($V5253='設定'!$C$4,COUNTIF('商品マスタ'!$B$6:$B$1005,$W5253)=0),N(U5252)+1,N(U5252))</f>
        <v/>
      </c>
      <c r="V5253" s="19">
        <f>IF($B5253="","",TEXT($B5253,"0000"))</f>
        <v/>
      </c>
      <c r="W5253" s="19">
        <f>IF($I5253="","",IF(ISNUMBER($I5253),TEXT($I5253,"0"),$I5253))</f>
        <v/>
      </c>
    </row>
    <row r="5254">
      <c r="B5254" s="25" t="n"/>
      <c r="I5254" s="25" t="n"/>
      <c r="U5254" s="19">
        <f>IF(AND($V5254='設定'!$C$4,COUNTIF('商品マスタ'!$B$6:$B$1005,$W5254)=0),N(U5253)+1,N(U5253))</f>
        <v/>
      </c>
      <c r="V5254" s="19">
        <f>IF($B5254="","",TEXT($B5254,"0000"))</f>
        <v/>
      </c>
      <c r="W5254" s="19">
        <f>IF($I5254="","",IF(ISNUMBER($I5254),TEXT($I5254,"0"),$I5254))</f>
        <v/>
      </c>
    </row>
    <row r="5255">
      <c r="B5255" s="25" t="n"/>
      <c r="I5255" s="25" t="n"/>
      <c r="U5255" s="19">
        <f>IF(AND($V5255='設定'!$C$4,COUNTIF('商品マスタ'!$B$6:$B$1005,$W5255)=0),N(U5254)+1,N(U5254))</f>
        <v/>
      </c>
      <c r="V5255" s="19">
        <f>IF($B5255="","",TEXT($B5255,"0000"))</f>
        <v/>
      </c>
      <c r="W5255" s="19">
        <f>IF($I5255="","",IF(ISNUMBER($I5255),TEXT($I5255,"0"),$I5255))</f>
        <v/>
      </c>
    </row>
    <row r="5256">
      <c r="B5256" s="25" t="n"/>
      <c r="I5256" s="25" t="n"/>
      <c r="U5256" s="19">
        <f>IF(AND($V5256='設定'!$C$4,COUNTIF('商品マスタ'!$B$6:$B$1005,$W5256)=0),N(U5255)+1,N(U5255))</f>
        <v/>
      </c>
      <c r="V5256" s="19">
        <f>IF($B5256="","",TEXT($B5256,"0000"))</f>
        <v/>
      </c>
      <c r="W5256" s="19">
        <f>IF($I5256="","",IF(ISNUMBER($I5256),TEXT($I5256,"0"),$I5256))</f>
        <v/>
      </c>
    </row>
    <row r="5257">
      <c r="B5257" s="25" t="n"/>
      <c r="I5257" s="25" t="n"/>
      <c r="U5257" s="19">
        <f>IF(AND($V5257='設定'!$C$4,COUNTIF('商品マスタ'!$B$6:$B$1005,$W5257)=0),N(U5256)+1,N(U5256))</f>
        <v/>
      </c>
      <c r="V5257" s="19">
        <f>IF($B5257="","",TEXT($B5257,"0000"))</f>
        <v/>
      </c>
      <c r="W5257" s="19">
        <f>IF($I5257="","",IF(ISNUMBER($I5257),TEXT($I5257,"0"),$I5257))</f>
        <v/>
      </c>
    </row>
    <row r="5258">
      <c r="B5258" s="25" t="n"/>
      <c r="I5258" s="25" t="n"/>
      <c r="U5258" s="19">
        <f>IF(AND($V5258='設定'!$C$4,COUNTIF('商品マスタ'!$B$6:$B$1005,$W5258)=0),N(U5257)+1,N(U5257))</f>
        <v/>
      </c>
      <c r="V5258" s="19">
        <f>IF($B5258="","",TEXT($B5258,"0000"))</f>
        <v/>
      </c>
      <c r="W5258" s="19">
        <f>IF($I5258="","",IF(ISNUMBER($I5258),TEXT($I5258,"0"),$I5258))</f>
        <v/>
      </c>
    </row>
    <row r="5259">
      <c r="B5259" s="25" t="n"/>
      <c r="I5259" s="25" t="n"/>
      <c r="U5259" s="19">
        <f>IF(AND($V5259='設定'!$C$4,COUNTIF('商品マスタ'!$B$6:$B$1005,$W5259)=0),N(U5258)+1,N(U5258))</f>
        <v/>
      </c>
      <c r="V5259" s="19">
        <f>IF($B5259="","",TEXT($B5259,"0000"))</f>
        <v/>
      </c>
      <c r="W5259" s="19">
        <f>IF($I5259="","",IF(ISNUMBER($I5259),TEXT($I5259,"0"),$I5259))</f>
        <v/>
      </c>
    </row>
    <row r="5260">
      <c r="B5260" s="25" t="n"/>
      <c r="I5260" s="25" t="n"/>
      <c r="U5260" s="19">
        <f>IF(AND($V5260='設定'!$C$4,COUNTIF('商品マスタ'!$B$6:$B$1005,$W5260)=0),N(U5259)+1,N(U5259))</f>
        <v/>
      </c>
      <c r="V5260" s="19">
        <f>IF($B5260="","",TEXT($B5260,"0000"))</f>
        <v/>
      </c>
      <c r="W5260" s="19">
        <f>IF($I5260="","",IF(ISNUMBER($I5260),TEXT($I5260,"0"),$I5260))</f>
        <v/>
      </c>
    </row>
    <row r="5261">
      <c r="B5261" s="25" t="n"/>
      <c r="I5261" s="25" t="n"/>
      <c r="U5261" s="19">
        <f>IF(AND($V5261='設定'!$C$4,COUNTIF('商品マスタ'!$B$6:$B$1005,$W5261)=0),N(U5260)+1,N(U5260))</f>
        <v/>
      </c>
      <c r="V5261" s="19">
        <f>IF($B5261="","",TEXT($B5261,"0000"))</f>
        <v/>
      </c>
      <c r="W5261" s="19">
        <f>IF($I5261="","",IF(ISNUMBER($I5261),TEXT($I5261,"0"),$I5261))</f>
        <v/>
      </c>
    </row>
    <row r="5262">
      <c r="B5262" s="25" t="n"/>
      <c r="I5262" s="25" t="n"/>
      <c r="U5262" s="19">
        <f>IF(AND($V5262='設定'!$C$4,COUNTIF('商品マスタ'!$B$6:$B$1005,$W5262)=0),N(U5261)+1,N(U5261))</f>
        <v/>
      </c>
      <c r="V5262" s="19">
        <f>IF($B5262="","",TEXT($B5262,"0000"))</f>
        <v/>
      </c>
      <c r="W5262" s="19">
        <f>IF($I5262="","",IF(ISNUMBER($I5262),TEXT($I5262,"0"),$I5262))</f>
        <v/>
      </c>
    </row>
    <row r="5263">
      <c r="B5263" s="25" t="n"/>
      <c r="I5263" s="25" t="n"/>
      <c r="U5263" s="19">
        <f>IF(AND($V5263='設定'!$C$4,COUNTIF('商品マスタ'!$B$6:$B$1005,$W5263)=0),N(U5262)+1,N(U5262))</f>
        <v/>
      </c>
      <c r="V5263" s="19">
        <f>IF($B5263="","",TEXT($B5263,"0000"))</f>
        <v/>
      </c>
      <c r="W5263" s="19">
        <f>IF($I5263="","",IF(ISNUMBER($I5263),TEXT($I5263,"0"),$I5263))</f>
        <v/>
      </c>
    </row>
    <row r="5264">
      <c r="B5264" s="25" t="n"/>
      <c r="I5264" s="25" t="n"/>
      <c r="U5264" s="19">
        <f>IF(AND($V5264='設定'!$C$4,COUNTIF('商品マスタ'!$B$6:$B$1005,$W5264)=0),N(U5263)+1,N(U5263))</f>
        <v/>
      </c>
      <c r="V5264" s="19">
        <f>IF($B5264="","",TEXT($B5264,"0000"))</f>
        <v/>
      </c>
      <c r="W5264" s="19">
        <f>IF($I5264="","",IF(ISNUMBER($I5264),TEXT($I5264,"0"),$I5264))</f>
        <v/>
      </c>
    </row>
    <row r="5265">
      <c r="B5265" s="25" t="n"/>
      <c r="I5265" s="25" t="n"/>
      <c r="U5265" s="19">
        <f>IF(AND($V5265='設定'!$C$4,COUNTIF('商品マスタ'!$B$6:$B$1005,$W5265)=0),N(U5264)+1,N(U5264))</f>
        <v/>
      </c>
      <c r="V5265" s="19">
        <f>IF($B5265="","",TEXT($B5265,"0000"))</f>
        <v/>
      </c>
      <c r="W5265" s="19">
        <f>IF($I5265="","",IF(ISNUMBER($I5265),TEXT($I5265,"0"),$I5265))</f>
        <v/>
      </c>
    </row>
    <row r="5266">
      <c r="B5266" s="25" t="n"/>
      <c r="I5266" s="25" t="n"/>
      <c r="U5266" s="19">
        <f>IF(AND($V5266='設定'!$C$4,COUNTIF('商品マスタ'!$B$6:$B$1005,$W5266)=0),N(U5265)+1,N(U5265))</f>
        <v/>
      </c>
      <c r="V5266" s="19">
        <f>IF($B5266="","",TEXT($B5266,"0000"))</f>
        <v/>
      </c>
      <c r="W5266" s="19">
        <f>IF($I5266="","",IF(ISNUMBER($I5266),TEXT($I5266,"0"),$I5266))</f>
        <v/>
      </c>
    </row>
    <row r="5267">
      <c r="B5267" s="25" t="n"/>
      <c r="I5267" s="25" t="n"/>
      <c r="U5267" s="19">
        <f>IF(AND($V5267='設定'!$C$4,COUNTIF('商品マスタ'!$B$6:$B$1005,$W5267)=0),N(U5266)+1,N(U5266))</f>
        <v/>
      </c>
      <c r="V5267" s="19">
        <f>IF($B5267="","",TEXT($B5267,"0000"))</f>
        <v/>
      </c>
      <c r="W5267" s="19">
        <f>IF($I5267="","",IF(ISNUMBER($I5267),TEXT($I5267,"0"),$I5267))</f>
        <v/>
      </c>
    </row>
    <row r="5268">
      <c r="B5268" s="25" t="n"/>
      <c r="I5268" s="25" t="n"/>
      <c r="U5268" s="19">
        <f>IF(AND($V5268='設定'!$C$4,COUNTIF('商品マスタ'!$B$6:$B$1005,$W5268)=0),N(U5267)+1,N(U5267))</f>
        <v/>
      </c>
      <c r="V5268" s="19">
        <f>IF($B5268="","",TEXT($B5268,"0000"))</f>
        <v/>
      </c>
      <c r="W5268" s="19">
        <f>IF($I5268="","",IF(ISNUMBER($I5268),TEXT($I5268,"0"),$I5268))</f>
        <v/>
      </c>
    </row>
    <row r="5269">
      <c r="B5269" s="25" t="n"/>
      <c r="I5269" s="25" t="n"/>
      <c r="U5269" s="19">
        <f>IF(AND($V5269='設定'!$C$4,COUNTIF('商品マスタ'!$B$6:$B$1005,$W5269)=0),N(U5268)+1,N(U5268))</f>
        <v/>
      </c>
      <c r="V5269" s="19">
        <f>IF($B5269="","",TEXT($B5269,"0000"))</f>
        <v/>
      </c>
      <c r="W5269" s="19">
        <f>IF($I5269="","",IF(ISNUMBER($I5269),TEXT($I5269,"0"),$I5269))</f>
        <v/>
      </c>
    </row>
    <row r="5270">
      <c r="B5270" s="25" t="n"/>
      <c r="I5270" s="25" t="n"/>
      <c r="U5270" s="19">
        <f>IF(AND($V5270='設定'!$C$4,COUNTIF('商品マスタ'!$B$6:$B$1005,$W5270)=0),N(U5269)+1,N(U5269))</f>
        <v/>
      </c>
      <c r="V5270" s="19">
        <f>IF($B5270="","",TEXT($B5270,"0000"))</f>
        <v/>
      </c>
      <c r="W5270" s="19">
        <f>IF($I5270="","",IF(ISNUMBER($I5270),TEXT($I5270,"0"),$I5270))</f>
        <v/>
      </c>
    </row>
    <row r="5271">
      <c r="B5271" s="25" t="n"/>
      <c r="I5271" s="25" t="n"/>
      <c r="U5271" s="19">
        <f>IF(AND($V5271='設定'!$C$4,COUNTIF('商品マスタ'!$B$6:$B$1005,$W5271)=0),N(U5270)+1,N(U5270))</f>
        <v/>
      </c>
      <c r="V5271" s="19">
        <f>IF($B5271="","",TEXT($B5271,"0000"))</f>
        <v/>
      </c>
      <c r="W5271" s="19">
        <f>IF($I5271="","",IF(ISNUMBER($I5271),TEXT($I5271,"0"),$I5271))</f>
        <v/>
      </c>
    </row>
    <row r="5272">
      <c r="B5272" s="25" t="n"/>
      <c r="I5272" s="25" t="n"/>
      <c r="U5272" s="19">
        <f>IF(AND($V5272='設定'!$C$4,COUNTIF('商品マスタ'!$B$6:$B$1005,$W5272)=0),N(U5271)+1,N(U5271))</f>
        <v/>
      </c>
      <c r="V5272" s="19">
        <f>IF($B5272="","",TEXT($B5272,"0000"))</f>
        <v/>
      </c>
      <c r="W5272" s="19">
        <f>IF($I5272="","",IF(ISNUMBER($I5272),TEXT($I5272,"0"),$I5272))</f>
        <v/>
      </c>
    </row>
    <row r="5273">
      <c r="B5273" s="25" t="n"/>
      <c r="I5273" s="25" t="n"/>
      <c r="U5273" s="19">
        <f>IF(AND($V5273='設定'!$C$4,COUNTIF('商品マスタ'!$B$6:$B$1005,$W5273)=0),N(U5272)+1,N(U5272))</f>
        <v/>
      </c>
      <c r="V5273" s="19">
        <f>IF($B5273="","",TEXT($B5273,"0000"))</f>
        <v/>
      </c>
      <c r="W5273" s="19">
        <f>IF($I5273="","",IF(ISNUMBER($I5273),TEXT($I5273,"0"),$I5273))</f>
        <v/>
      </c>
    </row>
    <row r="5274">
      <c r="B5274" s="25" t="n"/>
      <c r="I5274" s="25" t="n"/>
      <c r="U5274" s="19">
        <f>IF(AND($V5274='設定'!$C$4,COUNTIF('商品マスタ'!$B$6:$B$1005,$W5274)=0),N(U5273)+1,N(U5273))</f>
        <v/>
      </c>
      <c r="V5274" s="19">
        <f>IF($B5274="","",TEXT($B5274,"0000"))</f>
        <v/>
      </c>
      <c r="W5274" s="19">
        <f>IF($I5274="","",IF(ISNUMBER($I5274),TEXT($I5274,"0"),$I5274))</f>
        <v/>
      </c>
    </row>
    <row r="5275">
      <c r="B5275" s="25" t="n"/>
      <c r="I5275" s="25" t="n"/>
      <c r="U5275" s="19">
        <f>IF(AND($V5275='設定'!$C$4,COUNTIF('商品マスタ'!$B$6:$B$1005,$W5275)=0),N(U5274)+1,N(U5274))</f>
        <v/>
      </c>
      <c r="V5275" s="19">
        <f>IF($B5275="","",TEXT($B5275,"0000"))</f>
        <v/>
      </c>
      <c r="W5275" s="19">
        <f>IF($I5275="","",IF(ISNUMBER($I5275),TEXT($I5275,"0"),$I5275))</f>
        <v/>
      </c>
    </row>
    <row r="5276">
      <c r="B5276" s="25" t="n"/>
      <c r="I5276" s="25" t="n"/>
      <c r="U5276" s="19">
        <f>IF(AND($V5276='設定'!$C$4,COUNTIF('商品マスタ'!$B$6:$B$1005,$W5276)=0),N(U5275)+1,N(U5275))</f>
        <v/>
      </c>
      <c r="V5276" s="19">
        <f>IF($B5276="","",TEXT($B5276,"0000"))</f>
        <v/>
      </c>
      <c r="W5276" s="19">
        <f>IF($I5276="","",IF(ISNUMBER($I5276),TEXT($I5276,"0"),$I5276))</f>
        <v/>
      </c>
    </row>
    <row r="5277">
      <c r="B5277" s="25" t="n"/>
      <c r="I5277" s="25" t="n"/>
      <c r="U5277" s="19">
        <f>IF(AND($V5277='設定'!$C$4,COUNTIF('商品マスタ'!$B$6:$B$1005,$W5277)=0),N(U5276)+1,N(U5276))</f>
        <v/>
      </c>
      <c r="V5277" s="19">
        <f>IF($B5277="","",TEXT($B5277,"0000"))</f>
        <v/>
      </c>
      <c r="W5277" s="19">
        <f>IF($I5277="","",IF(ISNUMBER($I5277),TEXT($I5277,"0"),$I5277))</f>
        <v/>
      </c>
    </row>
    <row r="5278">
      <c r="B5278" s="25" t="n"/>
      <c r="I5278" s="25" t="n"/>
      <c r="U5278" s="19">
        <f>IF(AND($V5278='設定'!$C$4,COUNTIF('商品マスタ'!$B$6:$B$1005,$W5278)=0),N(U5277)+1,N(U5277))</f>
        <v/>
      </c>
      <c r="V5278" s="19">
        <f>IF($B5278="","",TEXT($B5278,"0000"))</f>
        <v/>
      </c>
      <c r="W5278" s="19">
        <f>IF($I5278="","",IF(ISNUMBER($I5278),TEXT($I5278,"0"),$I5278))</f>
        <v/>
      </c>
    </row>
    <row r="5279">
      <c r="B5279" s="25" t="n"/>
      <c r="I5279" s="25" t="n"/>
      <c r="U5279" s="19">
        <f>IF(AND($V5279='設定'!$C$4,COUNTIF('商品マスタ'!$B$6:$B$1005,$W5279)=0),N(U5278)+1,N(U5278))</f>
        <v/>
      </c>
      <c r="V5279" s="19">
        <f>IF($B5279="","",TEXT($B5279,"0000"))</f>
        <v/>
      </c>
      <c r="W5279" s="19">
        <f>IF($I5279="","",IF(ISNUMBER($I5279),TEXT($I5279,"0"),$I5279))</f>
        <v/>
      </c>
    </row>
    <row r="5280">
      <c r="B5280" s="25" t="n"/>
      <c r="I5280" s="25" t="n"/>
      <c r="U5280" s="19">
        <f>IF(AND($V5280='設定'!$C$4,COUNTIF('商品マスタ'!$B$6:$B$1005,$W5280)=0),N(U5279)+1,N(U5279))</f>
        <v/>
      </c>
      <c r="V5280" s="19">
        <f>IF($B5280="","",TEXT($B5280,"0000"))</f>
        <v/>
      </c>
      <c r="W5280" s="19">
        <f>IF($I5280="","",IF(ISNUMBER($I5280),TEXT($I5280,"0"),$I5280))</f>
        <v/>
      </c>
    </row>
    <row r="5281">
      <c r="B5281" s="25" t="n"/>
      <c r="I5281" s="25" t="n"/>
      <c r="U5281" s="19">
        <f>IF(AND($V5281='設定'!$C$4,COUNTIF('商品マスタ'!$B$6:$B$1005,$W5281)=0),N(U5280)+1,N(U5280))</f>
        <v/>
      </c>
      <c r="V5281" s="19">
        <f>IF($B5281="","",TEXT($B5281,"0000"))</f>
        <v/>
      </c>
      <c r="W5281" s="19">
        <f>IF($I5281="","",IF(ISNUMBER($I5281),TEXT($I5281,"0"),$I5281))</f>
        <v/>
      </c>
    </row>
    <row r="5282">
      <c r="B5282" s="25" t="n"/>
      <c r="I5282" s="25" t="n"/>
      <c r="U5282" s="19">
        <f>IF(AND($V5282='設定'!$C$4,COUNTIF('商品マスタ'!$B$6:$B$1005,$W5282)=0),N(U5281)+1,N(U5281))</f>
        <v/>
      </c>
      <c r="V5282" s="19">
        <f>IF($B5282="","",TEXT($B5282,"0000"))</f>
        <v/>
      </c>
      <c r="W5282" s="19">
        <f>IF($I5282="","",IF(ISNUMBER($I5282),TEXT($I5282,"0"),$I5282))</f>
        <v/>
      </c>
    </row>
    <row r="5283">
      <c r="B5283" s="25" t="n"/>
      <c r="I5283" s="25" t="n"/>
      <c r="U5283" s="19">
        <f>IF(AND($V5283='設定'!$C$4,COUNTIF('商品マスタ'!$B$6:$B$1005,$W5283)=0),N(U5282)+1,N(U5282))</f>
        <v/>
      </c>
      <c r="V5283" s="19">
        <f>IF($B5283="","",TEXT($B5283,"0000"))</f>
        <v/>
      </c>
      <c r="W5283" s="19">
        <f>IF($I5283="","",IF(ISNUMBER($I5283),TEXT($I5283,"0"),$I5283))</f>
        <v/>
      </c>
    </row>
    <row r="5284">
      <c r="B5284" s="25" t="n"/>
      <c r="I5284" s="25" t="n"/>
      <c r="U5284" s="19">
        <f>IF(AND($V5284='設定'!$C$4,COUNTIF('商品マスタ'!$B$6:$B$1005,$W5284)=0),N(U5283)+1,N(U5283))</f>
        <v/>
      </c>
      <c r="V5284" s="19">
        <f>IF($B5284="","",TEXT($B5284,"0000"))</f>
        <v/>
      </c>
      <c r="W5284" s="19">
        <f>IF($I5284="","",IF(ISNUMBER($I5284),TEXT($I5284,"0"),$I5284))</f>
        <v/>
      </c>
    </row>
    <row r="5285">
      <c r="B5285" s="25" t="n"/>
      <c r="I5285" s="25" t="n"/>
      <c r="U5285" s="19">
        <f>IF(AND($V5285='設定'!$C$4,COUNTIF('商品マスタ'!$B$6:$B$1005,$W5285)=0),N(U5284)+1,N(U5284))</f>
        <v/>
      </c>
      <c r="V5285" s="19">
        <f>IF($B5285="","",TEXT($B5285,"0000"))</f>
        <v/>
      </c>
      <c r="W5285" s="19">
        <f>IF($I5285="","",IF(ISNUMBER($I5285),TEXT($I5285,"0"),$I5285))</f>
        <v/>
      </c>
    </row>
    <row r="5286">
      <c r="B5286" s="25" t="n"/>
      <c r="I5286" s="25" t="n"/>
      <c r="U5286" s="19">
        <f>IF(AND($V5286='設定'!$C$4,COUNTIF('商品マスタ'!$B$6:$B$1005,$W5286)=0),N(U5285)+1,N(U5285))</f>
        <v/>
      </c>
      <c r="V5286" s="19">
        <f>IF($B5286="","",TEXT($B5286,"0000"))</f>
        <v/>
      </c>
      <c r="W5286" s="19">
        <f>IF($I5286="","",IF(ISNUMBER($I5286),TEXT($I5286,"0"),$I5286))</f>
        <v/>
      </c>
    </row>
    <row r="5287">
      <c r="B5287" s="25" t="n"/>
      <c r="I5287" s="25" t="n"/>
      <c r="U5287" s="19">
        <f>IF(AND($V5287='設定'!$C$4,COUNTIF('商品マスタ'!$B$6:$B$1005,$W5287)=0),N(U5286)+1,N(U5286))</f>
        <v/>
      </c>
      <c r="V5287" s="19">
        <f>IF($B5287="","",TEXT($B5287,"0000"))</f>
        <v/>
      </c>
      <c r="W5287" s="19">
        <f>IF($I5287="","",IF(ISNUMBER($I5287),TEXT($I5287,"0"),$I5287))</f>
        <v/>
      </c>
    </row>
    <row r="5288">
      <c r="B5288" s="25" t="n"/>
      <c r="I5288" s="25" t="n"/>
      <c r="U5288" s="19">
        <f>IF(AND($V5288='設定'!$C$4,COUNTIF('商品マスタ'!$B$6:$B$1005,$W5288)=0),N(U5287)+1,N(U5287))</f>
        <v/>
      </c>
      <c r="V5288" s="19">
        <f>IF($B5288="","",TEXT($B5288,"0000"))</f>
        <v/>
      </c>
      <c r="W5288" s="19">
        <f>IF($I5288="","",IF(ISNUMBER($I5288),TEXT($I5288,"0"),$I5288))</f>
        <v/>
      </c>
    </row>
    <row r="5289">
      <c r="B5289" s="25" t="n"/>
      <c r="I5289" s="25" t="n"/>
      <c r="U5289" s="19">
        <f>IF(AND($V5289='設定'!$C$4,COUNTIF('商品マスタ'!$B$6:$B$1005,$W5289)=0),N(U5288)+1,N(U5288))</f>
        <v/>
      </c>
      <c r="V5289" s="19">
        <f>IF($B5289="","",TEXT($B5289,"0000"))</f>
        <v/>
      </c>
      <c r="W5289" s="19">
        <f>IF($I5289="","",IF(ISNUMBER($I5289),TEXT($I5289,"0"),$I5289))</f>
        <v/>
      </c>
    </row>
    <row r="5290">
      <c r="B5290" s="25" t="n"/>
      <c r="I5290" s="25" t="n"/>
      <c r="U5290" s="19">
        <f>IF(AND($V5290='設定'!$C$4,COUNTIF('商品マスタ'!$B$6:$B$1005,$W5290)=0),N(U5289)+1,N(U5289))</f>
        <v/>
      </c>
      <c r="V5290" s="19">
        <f>IF($B5290="","",TEXT($B5290,"0000"))</f>
        <v/>
      </c>
      <c r="W5290" s="19">
        <f>IF($I5290="","",IF(ISNUMBER($I5290),TEXT($I5290,"0"),$I5290))</f>
        <v/>
      </c>
    </row>
    <row r="5291">
      <c r="B5291" s="25" t="n"/>
      <c r="I5291" s="25" t="n"/>
      <c r="U5291" s="19">
        <f>IF(AND($V5291='設定'!$C$4,COUNTIF('商品マスタ'!$B$6:$B$1005,$W5291)=0),N(U5290)+1,N(U5290))</f>
        <v/>
      </c>
      <c r="V5291" s="19">
        <f>IF($B5291="","",TEXT($B5291,"0000"))</f>
        <v/>
      </c>
      <c r="W5291" s="19">
        <f>IF($I5291="","",IF(ISNUMBER($I5291),TEXT($I5291,"0"),$I5291))</f>
        <v/>
      </c>
    </row>
    <row r="5292">
      <c r="B5292" s="25" t="n"/>
      <c r="I5292" s="25" t="n"/>
      <c r="U5292" s="19">
        <f>IF(AND($V5292='設定'!$C$4,COUNTIF('商品マスタ'!$B$6:$B$1005,$W5292)=0),N(U5291)+1,N(U5291))</f>
        <v/>
      </c>
      <c r="V5292" s="19">
        <f>IF($B5292="","",TEXT($B5292,"0000"))</f>
        <v/>
      </c>
      <c r="W5292" s="19">
        <f>IF($I5292="","",IF(ISNUMBER($I5292),TEXT($I5292,"0"),$I5292))</f>
        <v/>
      </c>
    </row>
    <row r="5293">
      <c r="B5293" s="25" t="n"/>
      <c r="I5293" s="25" t="n"/>
      <c r="U5293" s="19">
        <f>IF(AND($V5293='設定'!$C$4,COUNTIF('商品マスタ'!$B$6:$B$1005,$W5293)=0),N(U5292)+1,N(U5292))</f>
        <v/>
      </c>
      <c r="V5293" s="19">
        <f>IF($B5293="","",TEXT($B5293,"0000"))</f>
        <v/>
      </c>
      <c r="W5293" s="19">
        <f>IF($I5293="","",IF(ISNUMBER($I5293),TEXT($I5293,"0"),$I5293))</f>
        <v/>
      </c>
    </row>
    <row r="5294">
      <c r="B5294" s="25" t="n"/>
      <c r="I5294" s="25" t="n"/>
      <c r="U5294" s="19">
        <f>IF(AND($V5294='設定'!$C$4,COUNTIF('商品マスタ'!$B$6:$B$1005,$W5294)=0),N(U5293)+1,N(U5293))</f>
        <v/>
      </c>
      <c r="V5294" s="19">
        <f>IF($B5294="","",TEXT($B5294,"0000"))</f>
        <v/>
      </c>
      <c r="W5294" s="19">
        <f>IF($I5294="","",IF(ISNUMBER($I5294),TEXT($I5294,"0"),$I5294))</f>
        <v/>
      </c>
    </row>
    <row r="5295">
      <c r="B5295" s="25" t="n"/>
      <c r="I5295" s="25" t="n"/>
      <c r="U5295" s="19">
        <f>IF(AND($V5295='設定'!$C$4,COUNTIF('商品マスタ'!$B$6:$B$1005,$W5295)=0),N(U5294)+1,N(U5294))</f>
        <v/>
      </c>
      <c r="V5295" s="19">
        <f>IF($B5295="","",TEXT($B5295,"0000"))</f>
        <v/>
      </c>
      <c r="W5295" s="19">
        <f>IF($I5295="","",IF(ISNUMBER($I5295),TEXT($I5295,"0"),$I5295))</f>
        <v/>
      </c>
    </row>
    <row r="5296">
      <c r="B5296" s="25" t="n"/>
      <c r="I5296" s="25" t="n"/>
      <c r="U5296" s="19">
        <f>IF(AND($V5296='設定'!$C$4,COUNTIF('商品マスタ'!$B$6:$B$1005,$W5296)=0),N(U5295)+1,N(U5295))</f>
        <v/>
      </c>
      <c r="V5296" s="19">
        <f>IF($B5296="","",TEXT($B5296,"0000"))</f>
        <v/>
      </c>
      <c r="W5296" s="19">
        <f>IF($I5296="","",IF(ISNUMBER($I5296),TEXT($I5296,"0"),$I5296))</f>
        <v/>
      </c>
    </row>
    <row r="5297">
      <c r="B5297" s="25" t="n"/>
      <c r="I5297" s="25" t="n"/>
      <c r="U5297" s="19">
        <f>IF(AND($V5297='設定'!$C$4,COUNTIF('商品マスタ'!$B$6:$B$1005,$W5297)=0),N(U5296)+1,N(U5296))</f>
        <v/>
      </c>
      <c r="V5297" s="19">
        <f>IF($B5297="","",TEXT($B5297,"0000"))</f>
        <v/>
      </c>
      <c r="W5297" s="19">
        <f>IF($I5297="","",IF(ISNUMBER($I5297),TEXT($I5297,"0"),$I5297))</f>
        <v/>
      </c>
    </row>
    <row r="5298">
      <c r="B5298" s="25" t="n"/>
      <c r="I5298" s="25" t="n"/>
      <c r="U5298" s="19">
        <f>IF(AND($V5298='設定'!$C$4,COUNTIF('商品マスタ'!$B$6:$B$1005,$W5298)=0),N(U5297)+1,N(U5297))</f>
        <v/>
      </c>
      <c r="V5298" s="19">
        <f>IF($B5298="","",TEXT($B5298,"0000"))</f>
        <v/>
      </c>
      <c r="W5298" s="19">
        <f>IF($I5298="","",IF(ISNUMBER($I5298),TEXT($I5298,"0"),$I5298))</f>
        <v/>
      </c>
    </row>
    <row r="5299">
      <c r="B5299" s="25" t="n"/>
      <c r="I5299" s="25" t="n"/>
      <c r="U5299" s="19">
        <f>IF(AND($V5299='設定'!$C$4,COUNTIF('商品マスタ'!$B$6:$B$1005,$W5299)=0),N(U5298)+1,N(U5298))</f>
        <v/>
      </c>
      <c r="V5299" s="19">
        <f>IF($B5299="","",TEXT($B5299,"0000"))</f>
        <v/>
      </c>
      <c r="W5299" s="19">
        <f>IF($I5299="","",IF(ISNUMBER($I5299),TEXT($I5299,"0"),$I5299))</f>
        <v/>
      </c>
    </row>
    <row r="5300">
      <c r="B5300" s="25" t="n"/>
      <c r="I5300" s="25" t="n"/>
      <c r="U5300" s="19">
        <f>IF(AND($V5300='設定'!$C$4,COUNTIF('商品マスタ'!$B$6:$B$1005,$W5300)=0),N(U5299)+1,N(U5299))</f>
        <v/>
      </c>
      <c r="V5300" s="19">
        <f>IF($B5300="","",TEXT($B5300,"0000"))</f>
        <v/>
      </c>
      <c r="W5300" s="19">
        <f>IF($I5300="","",IF(ISNUMBER($I5300),TEXT($I5300,"0"),$I5300))</f>
        <v/>
      </c>
    </row>
    <row r="5301">
      <c r="B5301" s="25" t="n"/>
      <c r="I5301" s="25" t="n"/>
      <c r="U5301" s="19">
        <f>IF(AND($V5301='設定'!$C$4,COUNTIF('商品マスタ'!$B$6:$B$1005,$W5301)=0),N(U5300)+1,N(U5300))</f>
        <v/>
      </c>
      <c r="V5301" s="19">
        <f>IF($B5301="","",TEXT($B5301,"0000"))</f>
        <v/>
      </c>
      <c r="W5301" s="19">
        <f>IF($I5301="","",IF(ISNUMBER($I5301),TEXT($I5301,"0"),$I5301))</f>
        <v/>
      </c>
    </row>
    <row r="5302">
      <c r="B5302" s="25" t="n"/>
      <c r="I5302" s="25" t="n"/>
      <c r="U5302" s="19">
        <f>IF(AND($V5302='設定'!$C$4,COUNTIF('商品マスタ'!$B$6:$B$1005,$W5302)=0),N(U5301)+1,N(U5301))</f>
        <v/>
      </c>
      <c r="V5302" s="19">
        <f>IF($B5302="","",TEXT($B5302,"0000"))</f>
        <v/>
      </c>
      <c r="W5302" s="19">
        <f>IF($I5302="","",IF(ISNUMBER($I5302),TEXT($I5302,"0"),$I5302))</f>
        <v/>
      </c>
    </row>
    <row r="5303">
      <c r="B5303" s="25" t="n"/>
      <c r="I5303" s="25" t="n"/>
      <c r="U5303" s="19">
        <f>IF(AND($V5303='設定'!$C$4,COUNTIF('商品マスタ'!$B$6:$B$1005,$W5303)=0),N(U5302)+1,N(U5302))</f>
        <v/>
      </c>
      <c r="V5303" s="19">
        <f>IF($B5303="","",TEXT($B5303,"0000"))</f>
        <v/>
      </c>
      <c r="W5303" s="19">
        <f>IF($I5303="","",IF(ISNUMBER($I5303),TEXT($I5303,"0"),$I5303))</f>
        <v/>
      </c>
    </row>
    <row r="5304">
      <c r="B5304" s="25" t="n"/>
      <c r="I5304" s="25" t="n"/>
      <c r="U5304" s="19">
        <f>IF(AND($V5304='設定'!$C$4,COUNTIF('商品マスタ'!$B$6:$B$1005,$W5304)=0),N(U5303)+1,N(U5303))</f>
        <v/>
      </c>
      <c r="V5304" s="19">
        <f>IF($B5304="","",TEXT($B5304,"0000"))</f>
        <v/>
      </c>
      <c r="W5304" s="19">
        <f>IF($I5304="","",IF(ISNUMBER($I5304),TEXT($I5304,"0"),$I5304))</f>
        <v/>
      </c>
    </row>
    <row r="5305">
      <c r="B5305" s="25" t="n"/>
      <c r="I5305" s="25" t="n"/>
      <c r="U5305" s="19">
        <f>IF(AND($V5305='設定'!$C$4,COUNTIF('商品マスタ'!$B$6:$B$1005,$W5305)=0),N(U5304)+1,N(U5304))</f>
        <v/>
      </c>
      <c r="V5305" s="19">
        <f>IF($B5305="","",TEXT($B5305,"0000"))</f>
        <v/>
      </c>
      <c r="W5305" s="19">
        <f>IF($I5305="","",IF(ISNUMBER($I5305),TEXT($I5305,"0"),$I5305))</f>
        <v/>
      </c>
    </row>
    <row r="5306">
      <c r="B5306" s="25" t="n"/>
      <c r="I5306" s="25" t="n"/>
      <c r="U5306" s="19">
        <f>IF(AND($V5306='設定'!$C$4,COUNTIF('商品マスタ'!$B$6:$B$1005,$W5306)=0),N(U5305)+1,N(U5305))</f>
        <v/>
      </c>
      <c r="V5306" s="19">
        <f>IF($B5306="","",TEXT($B5306,"0000"))</f>
        <v/>
      </c>
      <c r="W5306" s="19">
        <f>IF($I5306="","",IF(ISNUMBER($I5306),TEXT($I5306,"0"),$I5306))</f>
        <v/>
      </c>
    </row>
    <row r="5307">
      <c r="B5307" s="25" t="n"/>
      <c r="I5307" s="25" t="n"/>
      <c r="U5307" s="19">
        <f>IF(AND($V5307='設定'!$C$4,COUNTIF('商品マスタ'!$B$6:$B$1005,$W5307)=0),N(U5306)+1,N(U5306))</f>
        <v/>
      </c>
      <c r="V5307" s="19">
        <f>IF($B5307="","",TEXT($B5307,"0000"))</f>
        <v/>
      </c>
      <c r="W5307" s="19">
        <f>IF($I5307="","",IF(ISNUMBER($I5307),TEXT($I5307,"0"),$I5307))</f>
        <v/>
      </c>
    </row>
    <row r="5308">
      <c r="B5308" s="25" t="n"/>
      <c r="I5308" s="25" t="n"/>
      <c r="U5308" s="19">
        <f>IF(AND($V5308='設定'!$C$4,COUNTIF('商品マスタ'!$B$6:$B$1005,$W5308)=0),N(U5307)+1,N(U5307))</f>
        <v/>
      </c>
      <c r="V5308" s="19">
        <f>IF($B5308="","",TEXT($B5308,"0000"))</f>
        <v/>
      </c>
      <c r="W5308" s="19">
        <f>IF($I5308="","",IF(ISNUMBER($I5308),TEXT($I5308,"0"),$I5308))</f>
        <v/>
      </c>
    </row>
    <row r="5309">
      <c r="B5309" s="25" t="n"/>
      <c r="I5309" s="25" t="n"/>
      <c r="U5309" s="19">
        <f>IF(AND($V5309='設定'!$C$4,COUNTIF('商品マスタ'!$B$6:$B$1005,$W5309)=0),N(U5308)+1,N(U5308))</f>
        <v/>
      </c>
      <c r="V5309" s="19">
        <f>IF($B5309="","",TEXT($B5309,"0000"))</f>
        <v/>
      </c>
      <c r="W5309" s="19">
        <f>IF($I5309="","",IF(ISNUMBER($I5309),TEXT($I5309,"0"),$I5309))</f>
        <v/>
      </c>
    </row>
    <row r="5310">
      <c r="B5310" s="25" t="n"/>
      <c r="I5310" s="25" t="n"/>
      <c r="U5310" s="19">
        <f>IF(AND($V5310='設定'!$C$4,COUNTIF('商品マスタ'!$B$6:$B$1005,$W5310)=0),N(U5309)+1,N(U5309))</f>
        <v/>
      </c>
      <c r="V5310" s="19">
        <f>IF($B5310="","",TEXT($B5310,"0000"))</f>
        <v/>
      </c>
      <c r="W5310" s="19">
        <f>IF($I5310="","",IF(ISNUMBER($I5310),TEXT($I5310,"0"),$I5310))</f>
        <v/>
      </c>
    </row>
    <row r="5311">
      <c r="B5311" s="25" t="n"/>
      <c r="I5311" s="25" t="n"/>
      <c r="U5311" s="19">
        <f>IF(AND($V5311='設定'!$C$4,COUNTIF('商品マスタ'!$B$6:$B$1005,$W5311)=0),N(U5310)+1,N(U5310))</f>
        <v/>
      </c>
      <c r="V5311" s="19">
        <f>IF($B5311="","",TEXT($B5311,"0000"))</f>
        <v/>
      </c>
      <c r="W5311" s="19">
        <f>IF($I5311="","",IF(ISNUMBER($I5311),TEXT($I5311,"0"),$I5311))</f>
        <v/>
      </c>
    </row>
    <row r="5312">
      <c r="B5312" s="25" t="n"/>
      <c r="I5312" s="25" t="n"/>
      <c r="U5312" s="19">
        <f>IF(AND($V5312='設定'!$C$4,COUNTIF('商品マスタ'!$B$6:$B$1005,$W5312)=0),N(U5311)+1,N(U5311))</f>
        <v/>
      </c>
      <c r="V5312" s="19">
        <f>IF($B5312="","",TEXT($B5312,"0000"))</f>
        <v/>
      </c>
      <c r="W5312" s="19">
        <f>IF($I5312="","",IF(ISNUMBER($I5312),TEXT($I5312,"0"),$I5312))</f>
        <v/>
      </c>
    </row>
    <row r="5313">
      <c r="B5313" s="25" t="n"/>
      <c r="I5313" s="25" t="n"/>
      <c r="U5313" s="19">
        <f>IF(AND($V5313='設定'!$C$4,COUNTIF('商品マスタ'!$B$6:$B$1005,$W5313)=0),N(U5312)+1,N(U5312))</f>
        <v/>
      </c>
      <c r="V5313" s="19">
        <f>IF($B5313="","",TEXT($B5313,"0000"))</f>
        <v/>
      </c>
      <c r="W5313" s="19">
        <f>IF($I5313="","",IF(ISNUMBER($I5313),TEXT($I5313,"0"),$I5313))</f>
        <v/>
      </c>
    </row>
    <row r="5314">
      <c r="B5314" s="25" t="n"/>
      <c r="I5314" s="25" t="n"/>
      <c r="U5314" s="19">
        <f>IF(AND($V5314='設定'!$C$4,COUNTIF('商品マスタ'!$B$6:$B$1005,$W5314)=0),N(U5313)+1,N(U5313))</f>
        <v/>
      </c>
      <c r="V5314" s="19">
        <f>IF($B5314="","",TEXT($B5314,"0000"))</f>
        <v/>
      </c>
      <c r="W5314" s="19">
        <f>IF($I5314="","",IF(ISNUMBER($I5314),TEXT($I5314,"0"),$I5314))</f>
        <v/>
      </c>
    </row>
    <row r="5315">
      <c r="B5315" s="25" t="n"/>
      <c r="I5315" s="25" t="n"/>
      <c r="U5315" s="19">
        <f>IF(AND($V5315='設定'!$C$4,COUNTIF('商品マスタ'!$B$6:$B$1005,$W5315)=0),N(U5314)+1,N(U5314))</f>
        <v/>
      </c>
      <c r="V5315" s="19">
        <f>IF($B5315="","",TEXT($B5315,"0000"))</f>
        <v/>
      </c>
      <c r="W5315" s="19">
        <f>IF($I5315="","",IF(ISNUMBER($I5315),TEXT($I5315,"0"),$I5315))</f>
        <v/>
      </c>
    </row>
    <row r="5316">
      <c r="B5316" s="25" t="n"/>
      <c r="I5316" s="25" t="n"/>
      <c r="U5316" s="19">
        <f>IF(AND($V5316='設定'!$C$4,COUNTIF('商品マスタ'!$B$6:$B$1005,$W5316)=0),N(U5315)+1,N(U5315))</f>
        <v/>
      </c>
      <c r="V5316" s="19">
        <f>IF($B5316="","",TEXT($B5316,"0000"))</f>
        <v/>
      </c>
      <c r="W5316" s="19">
        <f>IF($I5316="","",IF(ISNUMBER($I5316),TEXT($I5316,"0"),$I5316))</f>
        <v/>
      </c>
    </row>
    <row r="5317">
      <c r="B5317" s="25" t="n"/>
      <c r="I5317" s="25" t="n"/>
      <c r="U5317" s="19">
        <f>IF(AND($V5317='設定'!$C$4,COUNTIF('商品マスタ'!$B$6:$B$1005,$W5317)=0),N(U5316)+1,N(U5316))</f>
        <v/>
      </c>
      <c r="V5317" s="19">
        <f>IF($B5317="","",TEXT($B5317,"0000"))</f>
        <v/>
      </c>
      <c r="W5317" s="19">
        <f>IF($I5317="","",IF(ISNUMBER($I5317),TEXT($I5317,"0"),$I5317))</f>
        <v/>
      </c>
    </row>
    <row r="5318">
      <c r="B5318" s="25" t="n"/>
      <c r="I5318" s="25" t="n"/>
      <c r="U5318" s="19">
        <f>IF(AND($V5318='設定'!$C$4,COUNTIF('商品マスタ'!$B$6:$B$1005,$W5318)=0),N(U5317)+1,N(U5317))</f>
        <v/>
      </c>
      <c r="V5318" s="19">
        <f>IF($B5318="","",TEXT($B5318,"0000"))</f>
        <v/>
      </c>
      <c r="W5318" s="19">
        <f>IF($I5318="","",IF(ISNUMBER($I5318),TEXT($I5318,"0"),$I5318))</f>
        <v/>
      </c>
    </row>
    <row r="5319">
      <c r="B5319" s="25" t="n"/>
      <c r="I5319" s="25" t="n"/>
      <c r="U5319" s="19">
        <f>IF(AND($V5319='設定'!$C$4,COUNTIF('商品マスタ'!$B$6:$B$1005,$W5319)=0),N(U5318)+1,N(U5318))</f>
        <v/>
      </c>
      <c r="V5319" s="19">
        <f>IF($B5319="","",TEXT($B5319,"0000"))</f>
        <v/>
      </c>
      <c r="W5319" s="19">
        <f>IF($I5319="","",IF(ISNUMBER($I5319),TEXT($I5319,"0"),$I5319))</f>
        <v/>
      </c>
    </row>
    <row r="5320">
      <c r="B5320" s="25" t="n"/>
      <c r="I5320" s="25" t="n"/>
      <c r="U5320" s="19">
        <f>IF(AND($V5320='設定'!$C$4,COUNTIF('商品マスタ'!$B$6:$B$1005,$W5320)=0),N(U5319)+1,N(U5319))</f>
        <v/>
      </c>
      <c r="V5320" s="19">
        <f>IF($B5320="","",TEXT($B5320,"0000"))</f>
        <v/>
      </c>
      <c r="W5320" s="19">
        <f>IF($I5320="","",IF(ISNUMBER($I5320),TEXT($I5320,"0"),$I5320))</f>
        <v/>
      </c>
    </row>
    <row r="5321">
      <c r="B5321" s="25" t="n"/>
      <c r="I5321" s="25" t="n"/>
      <c r="U5321" s="19">
        <f>IF(AND($V5321='設定'!$C$4,COUNTIF('商品マスタ'!$B$6:$B$1005,$W5321)=0),N(U5320)+1,N(U5320))</f>
        <v/>
      </c>
      <c r="V5321" s="19">
        <f>IF($B5321="","",TEXT($B5321,"0000"))</f>
        <v/>
      </c>
      <c r="W5321" s="19">
        <f>IF($I5321="","",IF(ISNUMBER($I5321),TEXT($I5321,"0"),$I5321))</f>
        <v/>
      </c>
    </row>
    <row r="5322">
      <c r="B5322" s="25" t="n"/>
      <c r="I5322" s="25" t="n"/>
      <c r="U5322" s="19">
        <f>IF(AND($V5322='設定'!$C$4,COUNTIF('商品マスタ'!$B$6:$B$1005,$W5322)=0),N(U5321)+1,N(U5321))</f>
        <v/>
      </c>
      <c r="V5322" s="19">
        <f>IF($B5322="","",TEXT($B5322,"0000"))</f>
        <v/>
      </c>
      <c r="W5322" s="19">
        <f>IF($I5322="","",IF(ISNUMBER($I5322),TEXT($I5322,"0"),$I5322))</f>
        <v/>
      </c>
    </row>
    <row r="5323">
      <c r="B5323" s="25" t="n"/>
      <c r="I5323" s="25" t="n"/>
      <c r="U5323" s="19">
        <f>IF(AND($V5323='設定'!$C$4,COUNTIF('商品マスタ'!$B$6:$B$1005,$W5323)=0),N(U5322)+1,N(U5322))</f>
        <v/>
      </c>
      <c r="V5323" s="19">
        <f>IF($B5323="","",TEXT($B5323,"0000"))</f>
        <v/>
      </c>
      <c r="W5323" s="19">
        <f>IF($I5323="","",IF(ISNUMBER($I5323),TEXT($I5323,"0"),$I5323))</f>
        <v/>
      </c>
    </row>
    <row r="5324">
      <c r="B5324" s="25" t="n"/>
      <c r="I5324" s="25" t="n"/>
      <c r="U5324" s="19">
        <f>IF(AND($V5324='設定'!$C$4,COUNTIF('商品マスタ'!$B$6:$B$1005,$W5324)=0),N(U5323)+1,N(U5323))</f>
        <v/>
      </c>
      <c r="V5324" s="19">
        <f>IF($B5324="","",TEXT($B5324,"0000"))</f>
        <v/>
      </c>
      <c r="W5324" s="19">
        <f>IF($I5324="","",IF(ISNUMBER($I5324),TEXT($I5324,"0"),$I5324))</f>
        <v/>
      </c>
    </row>
    <row r="5325">
      <c r="B5325" s="25" t="n"/>
      <c r="I5325" s="25" t="n"/>
      <c r="U5325" s="19">
        <f>IF(AND($V5325='設定'!$C$4,COUNTIF('商品マスタ'!$B$6:$B$1005,$W5325)=0),N(U5324)+1,N(U5324))</f>
        <v/>
      </c>
      <c r="V5325" s="19">
        <f>IF($B5325="","",TEXT($B5325,"0000"))</f>
        <v/>
      </c>
      <c r="W5325" s="19">
        <f>IF($I5325="","",IF(ISNUMBER($I5325),TEXT($I5325,"0"),$I5325))</f>
        <v/>
      </c>
    </row>
    <row r="5326">
      <c r="B5326" s="25" t="n"/>
      <c r="I5326" s="25" t="n"/>
      <c r="U5326" s="19">
        <f>IF(AND($V5326='設定'!$C$4,COUNTIF('商品マスタ'!$B$6:$B$1005,$W5326)=0),N(U5325)+1,N(U5325))</f>
        <v/>
      </c>
      <c r="V5326" s="19">
        <f>IF($B5326="","",TEXT($B5326,"0000"))</f>
        <v/>
      </c>
      <c r="W5326" s="19">
        <f>IF($I5326="","",IF(ISNUMBER($I5326),TEXT($I5326,"0"),$I5326))</f>
        <v/>
      </c>
    </row>
    <row r="5327">
      <c r="B5327" s="25" t="n"/>
      <c r="I5327" s="25" t="n"/>
      <c r="U5327" s="19">
        <f>IF(AND($V5327='設定'!$C$4,COUNTIF('商品マスタ'!$B$6:$B$1005,$W5327)=0),N(U5326)+1,N(U5326))</f>
        <v/>
      </c>
      <c r="V5327" s="19">
        <f>IF($B5327="","",TEXT($B5327,"0000"))</f>
        <v/>
      </c>
      <c r="W5327" s="19">
        <f>IF($I5327="","",IF(ISNUMBER($I5327),TEXT($I5327,"0"),$I5327))</f>
        <v/>
      </c>
    </row>
    <row r="5328">
      <c r="B5328" s="25" t="n"/>
      <c r="I5328" s="25" t="n"/>
      <c r="U5328" s="19">
        <f>IF(AND($V5328='設定'!$C$4,COUNTIF('商品マスタ'!$B$6:$B$1005,$W5328)=0),N(U5327)+1,N(U5327))</f>
        <v/>
      </c>
      <c r="V5328" s="19">
        <f>IF($B5328="","",TEXT($B5328,"0000"))</f>
        <v/>
      </c>
      <c r="W5328" s="19">
        <f>IF($I5328="","",IF(ISNUMBER($I5328),TEXT($I5328,"0"),$I5328))</f>
        <v/>
      </c>
    </row>
    <row r="5329">
      <c r="B5329" s="25" t="n"/>
      <c r="I5329" s="25" t="n"/>
      <c r="U5329" s="19">
        <f>IF(AND($V5329='設定'!$C$4,COUNTIF('商品マスタ'!$B$6:$B$1005,$W5329)=0),N(U5328)+1,N(U5328))</f>
        <v/>
      </c>
      <c r="V5329" s="19">
        <f>IF($B5329="","",TEXT($B5329,"0000"))</f>
        <v/>
      </c>
      <c r="W5329" s="19">
        <f>IF($I5329="","",IF(ISNUMBER($I5329),TEXT($I5329,"0"),$I5329))</f>
        <v/>
      </c>
    </row>
    <row r="5330">
      <c r="B5330" s="25" t="n"/>
      <c r="I5330" s="25" t="n"/>
      <c r="U5330" s="19">
        <f>IF(AND($V5330='設定'!$C$4,COUNTIF('商品マスタ'!$B$6:$B$1005,$W5330)=0),N(U5329)+1,N(U5329))</f>
        <v/>
      </c>
      <c r="V5330" s="19">
        <f>IF($B5330="","",TEXT($B5330,"0000"))</f>
        <v/>
      </c>
      <c r="W5330" s="19">
        <f>IF($I5330="","",IF(ISNUMBER($I5330),TEXT($I5330,"0"),$I5330))</f>
        <v/>
      </c>
    </row>
    <row r="5331">
      <c r="B5331" s="25" t="n"/>
      <c r="I5331" s="25" t="n"/>
      <c r="U5331" s="19">
        <f>IF(AND($V5331='設定'!$C$4,COUNTIF('商品マスタ'!$B$6:$B$1005,$W5331)=0),N(U5330)+1,N(U5330))</f>
        <v/>
      </c>
      <c r="V5331" s="19">
        <f>IF($B5331="","",TEXT($B5331,"0000"))</f>
        <v/>
      </c>
      <c r="W5331" s="19">
        <f>IF($I5331="","",IF(ISNUMBER($I5331),TEXT($I5331,"0"),$I5331))</f>
        <v/>
      </c>
    </row>
    <row r="5332">
      <c r="B5332" s="25" t="n"/>
      <c r="I5332" s="25" t="n"/>
      <c r="U5332" s="19">
        <f>IF(AND($V5332='設定'!$C$4,COUNTIF('商品マスタ'!$B$6:$B$1005,$W5332)=0),N(U5331)+1,N(U5331))</f>
        <v/>
      </c>
      <c r="V5332" s="19">
        <f>IF($B5332="","",TEXT($B5332,"0000"))</f>
        <v/>
      </c>
      <c r="W5332" s="19">
        <f>IF($I5332="","",IF(ISNUMBER($I5332),TEXT($I5332,"0"),$I5332))</f>
        <v/>
      </c>
    </row>
    <row r="5333">
      <c r="B5333" s="25" t="n"/>
      <c r="I5333" s="25" t="n"/>
      <c r="U5333" s="19">
        <f>IF(AND($V5333='設定'!$C$4,COUNTIF('商品マスタ'!$B$6:$B$1005,$W5333)=0),N(U5332)+1,N(U5332))</f>
        <v/>
      </c>
      <c r="V5333" s="19">
        <f>IF($B5333="","",TEXT($B5333,"0000"))</f>
        <v/>
      </c>
      <c r="W5333" s="19">
        <f>IF($I5333="","",IF(ISNUMBER($I5333),TEXT($I5333,"0"),$I5333))</f>
        <v/>
      </c>
    </row>
    <row r="5334">
      <c r="B5334" s="25" t="n"/>
      <c r="I5334" s="25" t="n"/>
      <c r="U5334" s="19">
        <f>IF(AND($V5334='設定'!$C$4,COUNTIF('商品マスタ'!$B$6:$B$1005,$W5334)=0),N(U5333)+1,N(U5333))</f>
        <v/>
      </c>
      <c r="V5334" s="19">
        <f>IF($B5334="","",TEXT($B5334,"0000"))</f>
        <v/>
      </c>
      <c r="W5334" s="19">
        <f>IF($I5334="","",IF(ISNUMBER($I5334),TEXT($I5334,"0"),$I5334))</f>
        <v/>
      </c>
    </row>
    <row r="5335">
      <c r="B5335" s="25" t="n"/>
      <c r="I5335" s="25" t="n"/>
      <c r="U5335" s="19">
        <f>IF(AND($V5335='設定'!$C$4,COUNTIF('商品マスタ'!$B$6:$B$1005,$W5335)=0),N(U5334)+1,N(U5334))</f>
        <v/>
      </c>
      <c r="V5335" s="19">
        <f>IF($B5335="","",TEXT($B5335,"0000"))</f>
        <v/>
      </c>
      <c r="W5335" s="19">
        <f>IF($I5335="","",IF(ISNUMBER($I5335),TEXT($I5335,"0"),$I5335))</f>
        <v/>
      </c>
    </row>
    <row r="5336">
      <c r="B5336" s="25" t="n"/>
      <c r="I5336" s="25" t="n"/>
      <c r="U5336" s="19">
        <f>IF(AND($V5336='設定'!$C$4,COUNTIF('商品マスタ'!$B$6:$B$1005,$W5336)=0),N(U5335)+1,N(U5335))</f>
        <v/>
      </c>
      <c r="V5336" s="19">
        <f>IF($B5336="","",TEXT($B5336,"0000"))</f>
        <v/>
      </c>
      <c r="W5336" s="19">
        <f>IF($I5336="","",IF(ISNUMBER($I5336),TEXT($I5336,"0"),$I5336))</f>
        <v/>
      </c>
    </row>
    <row r="5337">
      <c r="B5337" s="25" t="n"/>
      <c r="I5337" s="25" t="n"/>
      <c r="U5337" s="19">
        <f>IF(AND($V5337='設定'!$C$4,COUNTIF('商品マスタ'!$B$6:$B$1005,$W5337)=0),N(U5336)+1,N(U5336))</f>
        <v/>
      </c>
      <c r="V5337" s="19">
        <f>IF($B5337="","",TEXT($B5337,"0000"))</f>
        <v/>
      </c>
      <c r="W5337" s="19">
        <f>IF($I5337="","",IF(ISNUMBER($I5337),TEXT($I5337,"0"),$I5337))</f>
        <v/>
      </c>
    </row>
    <row r="5338">
      <c r="B5338" s="25" t="n"/>
      <c r="I5338" s="25" t="n"/>
      <c r="U5338" s="19">
        <f>IF(AND($V5338='設定'!$C$4,COUNTIF('商品マスタ'!$B$6:$B$1005,$W5338)=0),N(U5337)+1,N(U5337))</f>
        <v/>
      </c>
      <c r="V5338" s="19">
        <f>IF($B5338="","",TEXT($B5338,"0000"))</f>
        <v/>
      </c>
      <c r="W5338" s="19">
        <f>IF($I5338="","",IF(ISNUMBER($I5338),TEXT($I5338,"0"),$I5338))</f>
        <v/>
      </c>
    </row>
    <row r="5339">
      <c r="B5339" s="25" t="n"/>
      <c r="I5339" s="25" t="n"/>
      <c r="U5339" s="19">
        <f>IF(AND($V5339='設定'!$C$4,COUNTIF('商品マスタ'!$B$6:$B$1005,$W5339)=0),N(U5338)+1,N(U5338))</f>
        <v/>
      </c>
      <c r="V5339" s="19">
        <f>IF($B5339="","",TEXT($B5339,"0000"))</f>
        <v/>
      </c>
      <c r="W5339" s="19">
        <f>IF($I5339="","",IF(ISNUMBER($I5339),TEXT($I5339,"0"),$I5339))</f>
        <v/>
      </c>
    </row>
    <row r="5340">
      <c r="B5340" s="25" t="n"/>
      <c r="I5340" s="25" t="n"/>
      <c r="U5340" s="19">
        <f>IF(AND($V5340='設定'!$C$4,COUNTIF('商品マスタ'!$B$6:$B$1005,$W5340)=0),N(U5339)+1,N(U5339))</f>
        <v/>
      </c>
      <c r="V5340" s="19">
        <f>IF($B5340="","",TEXT($B5340,"0000"))</f>
        <v/>
      </c>
      <c r="W5340" s="19">
        <f>IF($I5340="","",IF(ISNUMBER($I5340),TEXT($I5340,"0"),$I5340))</f>
        <v/>
      </c>
    </row>
    <row r="5341">
      <c r="B5341" s="25" t="n"/>
      <c r="I5341" s="25" t="n"/>
      <c r="U5341" s="19">
        <f>IF(AND($V5341='設定'!$C$4,COUNTIF('商品マスタ'!$B$6:$B$1005,$W5341)=0),N(U5340)+1,N(U5340))</f>
        <v/>
      </c>
      <c r="V5341" s="19">
        <f>IF($B5341="","",TEXT($B5341,"0000"))</f>
        <v/>
      </c>
      <c r="W5341" s="19">
        <f>IF($I5341="","",IF(ISNUMBER($I5341),TEXT($I5341,"0"),$I5341))</f>
        <v/>
      </c>
    </row>
    <row r="5342">
      <c r="B5342" s="25" t="n"/>
      <c r="I5342" s="25" t="n"/>
      <c r="U5342" s="19">
        <f>IF(AND($V5342='設定'!$C$4,COUNTIF('商品マスタ'!$B$6:$B$1005,$W5342)=0),N(U5341)+1,N(U5341))</f>
        <v/>
      </c>
      <c r="V5342" s="19">
        <f>IF($B5342="","",TEXT($B5342,"0000"))</f>
        <v/>
      </c>
      <c r="W5342" s="19">
        <f>IF($I5342="","",IF(ISNUMBER($I5342),TEXT($I5342,"0"),$I5342))</f>
        <v/>
      </c>
    </row>
    <row r="5343">
      <c r="B5343" s="25" t="n"/>
      <c r="I5343" s="25" t="n"/>
      <c r="U5343" s="19">
        <f>IF(AND($V5343='設定'!$C$4,COUNTIF('商品マスタ'!$B$6:$B$1005,$W5343)=0),N(U5342)+1,N(U5342))</f>
        <v/>
      </c>
      <c r="V5343" s="19">
        <f>IF($B5343="","",TEXT($B5343,"0000"))</f>
        <v/>
      </c>
      <c r="W5343" s="19">
        <f>IF($I5343="","",IF(ISNUMBER($I5343),TEXT($I5343,"0"),$I5343))</f>
        <v/>
      </c>
    </row>
    <row r="5344">
      <c r="B5344" s="25" t="n"/>
      <c r="I5344" s="25" t="n"/>
      <c r="U5344" s="19">
        <f>IF(AND($V5344='設定'!$C$4,COUNTIF('商品マスタ'!$B$6:$B$1005,$W5344)=0),N(U5343)+1,N(U5343))</f>
        <v/>
      </c>
      <c r="V5344" s="19">
        <f>IF($B5344="","",TEXT($B5344,"0000"))</f>
        <v/>
      </c>
      <c r="W5344" s="19">
        <f>IF($I5344="","",IF(ISNUMBER($I5344),TEXT($I5344,"0"),$I5344))</f>
        <v/>
      </c>
    </row>
    <row r="5345">
      <c r="B5345" s="25" t="n"/>
      <c r="I5345" s="25" t="n"/>
      <c r="U5345" s="19">
        <f>IF(AND($V5345='設定'!$C$4,COUNTIF('商品マスタ'!$B$6:$B$1005,$W5345)=0),N(U5344)+1,N(U5344))</f>
        <v/>
      </c>
      <c r="V5345" s="19">
        <f>IF($B5345="","",TEXT($B5345,"0000"))</f>
        <v/>
      </c>
      <c r="W5345" s="19">
        <f>IF($I5345="","",IF(ISNUMBER($I5345),TEXT($I5345,"0"),$I5345))</f>
        <v/>
      </c>
    </row>
    <row r="5346">
      <c r="B5346" s="25" t="n"/>
      <c r="I5346" s="25" t="n"/>
      <c r="U5346" s="19">
        <f>IF(AND($V5346='設定'!$C$4,COUNTIF('商品マスタ'!$B$6:$B$1005,$W5346)=0),N(U5345)+1,N(U5345))</f>
        <v/>
      </c>
      <c r="V5346" s="19">
        <f>IF($B5346="","",TEXT($B5346,"0000"))</f>
        <v/>
      </c>
      <c r="W5346" s="19">
        <f>IF($I5346="","",IF(ISNUMBER($I5346),TEXT($I5346,"0"),$I5346))</f>
        <v/>
      </c>
    </row>
    <row r="5347">
      <c r="B5347" s="25" t="n"/>
      <c r="I5347" s="25" t="n"/>
      <c r="U5347" s="19">
        <f>IF(AND($V5347='設定'!$C$4,COUNTIF('商品マスタ'!$B$6:$B$1005,$W5347)=0),N(U5346)+1,N(U5346))</f>
        <v/>
      </c>
      <c r="V5347" s="19">
        <f>IF($B5347="","",TEXT($B5347,"0000"))</f>
        <v/>
      </c>
      <c r="W5347" s="19">
        <f>IF($I5347="","",IF(ISNUMBER($I5347),TEXT($I5347,"0"),$I5347))</f>
        <v/>
      </c>
    </row>
    <row r="5348">
      <c r="B5348" s="25" t="n"/>
      <c r="I5348" s="25" t="n"/>
      <c r="U5348" s="19">
        <f>IF(AND($V5348='設定'!$C$4,COUNTIF('商品マスタ'!$B$6:$B$1005,$W5348)=0),N(U5347)+1,N(U5347))</f>
        <v/>
      </c>
      <c r="V5348" s="19">
        <f>IF($B5348="","",TEXT($B5348,"0000"))</f>
        <v/>
      </c>
      <c r="W5348" s="19">
        <f>IF($I5348="","",IF(ISNUMBER($I5348),TEXT($I5348,"0"),$I5348))</f>
        <v/>
      </c>
    </row>
    <row r="5349">
      <c r="B5349" s="25" t="n"/>
      <c r="I5349" s="25" t="n"/>
      <c r="U5349" s="19">
        <f>IF(AND($V5349='設定'!$C$4,COUNTIF('商品マスタ'!$B$6:$B$1005,$W5349)=0),N(U5348)+1,N(U5348))</f>
        <v/>
      </c>
      <c r="V5349" s="19">
        <f>IF($B5349="","",TEXT($B5349,"0000"))</f>
        <v/>
      </c>
      <c r="W5349" s="19">
        <f>IF($I5349="","",IF(ISNUMBER($I5349),TEXT($I5349,"0"),$I5349))</f>
        <v/>
      </c>
    </row>
    <row r="5350">
      <c r="B5350" s="25" t="n"/>
      <c r="I5350" s="25" t="n"/>
      <c r="U5350" s="19">
        <f>IF(AND($V5350='設定'!$C$4,COUNTIF('商品マスタ'!$B$6:$B$1005,$W5350)=0),N(U5349)+1,N(U5349))</f>
        <v/>
      </c>
      <c r="V5350" s="19">
        <f>IF($B5350="","",TEXT($B5350,"0000"))</f>
        <v/>
      </c>
      <c r="W5350" s="19">
        <f>IF($I5350="","",IF(ISNUMBER($I5350),TEXT($I5350,"0"),$I5350))</f>
        <v/>
      </c>
    </row>
    <row r="5351">
      <c r="B5351" s="25" t="n"/>
      <c r="I5351" s="25" t="n"/>
      <c r="U5351" s="19">
        <f>IF(AND($V5351='設定'!$C$4,COUNTIF('商品マスタ'!$B$6:$B$1005,$W5351)=0),N(U5350)+1,N(U5350))</f>
        <v/>
      </c>
      <c r="V5351" s="19">
        <f>IF($B5351="","",TEXT($B5351,"0000"))</f>
        <v/>
      </c>
      <c r="W5351" s="19">
        <f>IF($I5351="","",IF(ISNUMBER($I5351),TEXT($I5351,"0"),$I5351))</f>
        <v/>
      </c>
    </row>
    <row r="5352">
      <c r="B5352" s="25" t="n"/>
      <c r="I5352" s="25" t="n"/>
      <c r="U5352" s="19">
        <f>IF(AND($V5352='設定'!$C$4,COUNTIF('商品マスタ'!$B$6:$B$1005,$W5352)=0),N(U5351)+1,N(U5351))</f>
        <v/>
      </c>
      <c r="V5352" s="19">
        <f>IF($B5352="","",TEXT($B5352,"0000"))</f>
        <v/>
      </c>
      <c r="W5352" s="19">
        <f>IF($I5352="","",IF(ISNUMBER($I5352),TEXT($I5352,"0"),$I5352))</f>
        <v/>
      </c>
    </row>
    <row r="5353">
      <c r="B5353" s="25" t="n"/>
      <c r="I5353" s="25" t="n"/>
      <c r="U5353" s="19">
        <f>IF(AND($V5353='設定'!$C$4,COUNTIF('商品マスタ'!$B$6:$B$1005,$W5353)=0),N(U5352)+1,N(U5352))</f>
        <v/>
      </c>
      <c r="V5353" s="19">
        <f>IF($B5353="","",TEXT($B5353,"0000"))</f>
        <v/>
      </c>
      <c r="W5353" s="19">
        <f>IF($I5353="","",IF(ISNUMBER($I5353),TEXT($I5353,"0"),$I5353))</f>
        <v/>
      </c>
    </row>
    <row r="5354">
      <c r="B5354" s="25" t="n"/>
      <c r="I5354" s="25" t="n"/>
      <c r="U5354" s="19">
        <f>IF(AND($V5354='設定'!$C$4,COUNTIF('商品マスタ'!$B$6:$B$1005,$W5354)=0),N(U5353)+1,N(U5353))</f>
        <v/>
      </c>
      <c r="V5354" s="19">
        <f>IF($B5354="","",TEXT($B5354,"0000"))</f>
        <v/>
      </c>
      <c r="W5354" s="19">
        <f>IF($I5354="","",IF(ISNUMBER($I5354),TEXT($I5354,"0"),$I5354))</f>
        <v/>
      </c>
    </row>
    <row r="5355">
      <c r="B5355" s="25" t="n"/>
      <c r="I5355" s="25" t="n"/>
      <c r="U5355" s="19">
        <f>IF(AND($V5355='設定'!$C$4,COUNTIF('商品マスタ'!$B$6:$B$1005,$W5355)=0),N(U5354)+1,N(U5354))</f>
        <v/>
      </c>
      <c r="V5355" s="19">
        <f>IF($B5355="","",TEXT($B5355,"0000"))</f>
        <v/>
      </c>
      <c r="W5355" s="19">
        <f>IF($I5355="","",IF(ISNUMBER($I5355),TEXT($I5355,"0"),$I5355))</f>
        <v/>
      </c>
    </row>
    <row r="5356">
      <c r="B5356" s="25" t="n"/>
      <c r="I5356" s="25" t="n"/>
      <c r="U5356" s="19">
        <f>IF(AND($V5356='設定'!$C$4,COUNTIF('商品マスタ'!$B$6:$B$1005,$W5356)=0),N(U5355)+1,N(U5355))</f>
        <v/>
      </c>
      <c r="V5356" s="19">
        <f>IF($B5356="","",TEXT($B5356,"0000"))</f>
        <v/>
      </c>
      <c r="W5356" s="19">
        <f>IF($I5356="","",IF(ISNUMBER($I5356),TEXT($I5356,"0"),$I5356))</f>
        <v/>
      </c>
    </row>
    <row r="5357">
      <c r="B5357" s="25" t="n"/>
      <c r="I5357" s="25" t="n"/>
      <c r="U5357" s="19">
        <f>IF(AND($V5357='設定'!$C$4,COUNTIF('商品マスタ'!$B$6:$B$1005,$W5357)=0),N(U5356)+1,N(U5356))</f>
        <v/>
      </c>
      <c r="V5357" s="19">
        <f>IF($B5357="","",TEXT($B5357,"0000"))</f>
        <v/>
      </c>
      <c r="W5357" s="19">
        <f>IF($I5357="","",IF(ISNUMBER($I5357),TEXT($I5357,"0"),$I5357))</f>
        <v/>
      </c>
    </row>
    <row r="5358">
      <c r="B5358" s="25" t="n"/>
      <c r="I5358" s="25" t="n"/>
      <c r="U5358" s="19">
        <f>IF(AND($V5358='設定'!$C$4,COUNTIF('商品マスタ'!$B$6:$B$1005,$W5358)=0),N(U5357)+1,N(U5357))</f>
        <v/>
      </c>
      <c r="V5358" s="19">
        <f>IF($B5358="","",TEXT($B5358,"0000"))</f>
        <v/>
      </c>
      <c r="W5358" s="19">
        <f>IF($I5358="","",IF(ISNUMBER($I5358),TEXT($I5358,"0"),$I5358))</f>
        <v/>
      </c>
    </row>
    <row r="5359">
      <c r="B5359" s="25" t="n"/>
      <c r="I5359" s="25" t="n"/>
      <c r="U5359" s="19">
        <f>IF(AND($V5359='設定'!$C$4,COUNTIF('商品マスタ'!$B$6:$B$1005,$W5359)=0),N(U5358)+1,N(U5358))</f>
        <v/>
      </c>
      <c r="V5359" s="19">
        <f>IF($B5359="","",TEXT($B5359,"0000"))</f>
        <v/>
      </c>
      <c r="W5359" s="19">
        <f>IF($I5359="","",IF(ISNUMBER($I5359),TEXT($I5359,"0"),$I5359))</f>
        <v/>
      </c>
    </row>
    <row r="5360">
      <c r="B5360" s="25" t="n"/>
      <c r="I5360" s="25" t="n"/>
      <c r="U5360" s="19">
        <f>IF(AND($V5360='設定'!$C$4,COUNTIF('商品マスタ'!$B$6:$B$1005,$W5360)=0),N(U5359)+1,N(U5359))</f>
        <v/>
      </c>
      <c r="V5360" s="19">
        <f>IF($B5360="","",TEXT($B5360,"0000"))</f>
        <v/>
      </c>
      <c r="W5360" s="19">
        <f>IF($I5360="","",IF(ISNUMBER($I5360),TEXT($I5360,"0"),$I5360))</f>
        <v/>
      </c>
    </row>
    <row r="5361">
      <c r="B5361" s="25" t="n"/>
      <c r="I5361" s="25" t="n"/>
      <c r="U5361" s="19">
        <f>IF(AND($V5361='設定'!$C$4,COUNTIF('商品マスタ'!$B$6:$B$1005,$W5361)=0),N(U5360)+1,N(U5360))</f>
        <v/>
      </c>
      <c r="V5361" s="19">
        <f>IF($B5361="","",TEXT($B5361,"0000"))</f>
        <v/>
      </c>
      <c r="W5361" s="19">
        <f>IF($I5361="","",IF(ISNUMBER($I5361),TEXT($I5361,"0"),$I5361))</f>
        <v/>
      </c>
    </row>
    <row r="5362">
      <c r="B5362" s="25" t="n"/>
      <c r="I5362" s="25" t="n"/>
      <c r="U5362" s="19">
        <f>IF(AND($V5362='設定'!$C$4,COUNTIF('商品マスタ'!$B$6:$B$1005,$W5362)=0),N(U5361)+1,N(U5361))</f>
        <v/>
      </c>
      <c r="V5362" s="19">
        <f>IF($B5362="","",TEXT($B5362,"0000"))</f>
        <v/>
      </c>
      <c r="W5362" s="19">
        <f>IF($I5362="","",IF(ISNUMBER($I5362),TEXT($I5362,"0"),$I5362))</f>
        <v/>
      </c>
    </row>
    <row r="5363">
      <c r="B5363" s="25" t="n"/>
      <c r="I5363" s="25" t="n"/>
      <c r="U5363" s="19">
        <f>IF(AND($V5363='設定'!$C$4,COUNTIF('商品マスタ'!$B$6:$B$1005,$W5363)=0),N(U5362)+1,N(U5362))</f>
        <v/>
      </c>
      <c r="V5363" s="19">
        <f>IF($B5363="","",TEXT($B5363,"0000"))</f>
        <v/>
      </c>
      <c r="W5363" s="19">
        <f>IF($I5363="","",IF(ISNUMBER($I5363),TEXT($I5363,"0"),$I5363))</f>
        <v/>
      </c>
    </row>
    <row r="5364">
      <c r="B5364" s="25" t="n"/>
      <c r="I5364" s="25" t="n"/>
      <c r="U5364" s="19">
        <f>IF(AND($V5364='設定'!$C$4,COUNTIF('商品マスタ'!$B$6:$B$1005,$W5364)=0),N(U5363)+1,N(U5363))</f>
        <v/>
      </c>
      <c r="V5364" s="19">
        <f>IF($B5364="","",TEXT($B5364,"0000"))</f>
        <v/>
      </c>
      <c r="W5364" s="19">
        <f>IF($I5364="","",IF(ISNUMBER($I5364),TEXT($I5364,"0"),$I5364))</f>
        <v/>
      </c>
    </row>
    <row r="5365">
      <c r="B5365" s="25" t="n"/>
      <c r="I5365" s="25" t="n"/>
      <c r="U5365" s="19">
        <f>IF(AND($V5365='設定'!$C$4,COUNTIF('商品マスタ'!$B$6:$B$1005,$W5365)=0),N(U5364)+1,N(U5364))</f>
        <v/>
      </c>
      <c r="V5365" s="19">
        <f>IF($B5365="","",TEXT($B5365,"0000"))</f>
        <v/>
      </c>
      <c r="W5365" s="19">
        <f>IF($I5365="","",IF(ISNUMBER($I5365),TEXT($I5365,"0"),$I5365))</f>
        <v/>
      </c>
    </row>
    <row r="5366">
      <c r="B5366" s="25" t="n"/>
      <c r="I5366" s="25" t="n"/>
      <c r="U5366" s="19">
        <f>IF(AND($V5366='設定'!$C$4,COUNTIF('商品マスタ'!$B$6:$B$1005,$W5366)=0),N(U5365)+1,N(U5365))</f>
        <v/>
      </c>
      <c r="V5366" s="19">
        <f>IF($B5366="","",TEXT($B5366,"0000"))</f>
        <v/>
      </c>
      <c r="W5366" s="19">
        <f>IF($I5366="","",IF(ISNUMBER($I5366),TEXT($I5366,"0"),$I5366))</f>
        <v/>
      </c>
    </row>
    <row r="5367">
      <c r="B5367" s="25" t="n"/>
      <c r="I5367" s="25" t="n"/>
      <c r="U5367" s="19">
        <f>IF(AND($V5367='設定'!$C$4,COUNTIF('商品マスタ'!$B$6:$B$1005,$W5367)=0),N(U5366)+1,N(U5366))</f>
        <v/>
      </c>
      <c r="V5367" s="19">
        <f>IF($B5367="","",TEXT($B5367,"0000"))</f>
        <v/>
      </c>
      <c r="W5367" s="19">
        <f>IF($I5367="","",IF(ISNUMBER($I5367),TEXT($I5367,"0"),$I5367))</f>
        <v/>
      </c>
    </row>
    <row r="5368">
      <c r="B5368" s="25" t="n"/>
      <c r="I5368" s="25" t="n"/>
      <c r="U5368" s="19">
        <f>IF(AND($V5368='設定'!$C$4,COUNTIF('商品マスタ'!$B$6:$B$1005,$W5368)=0),N(U5367)+1,N(U5367))</f>
        <v/>
      </c>
      <c r="V5368" s="19">
        <f>IF($B5368="","",TEXT($B5368,"0000"))</f>
        <v/>
      </c>
      <c r="W5368" s="19">
        <f>IF($I5368="","",IF(ISNUMBER($I5368),TEXT($I5368,"0"),$I5368))</f>
        <v/>
      </c>
    </row>
    <row r="5369">
      <c r="B5369" s="25" t="n"/>
      <c r="I5369" s="25" t="n"/>
      <c r="U5369" s="19">
        <f>IF(AND($V5369='設定'!$C$4,COUNTIF('商品マスタ'!$B$6:$B$1005,$W5369)=0),N(U5368)+1,N(U5368))</f>
        <v/>
      </c>
      <c r="V5369" s="19">
        <f>IF($B5369="","",TEXT($B5369,"0000"))</f>
        <v/>
      </c>
      <c r="W5369" s="19">
        <f>IF($I5369="","",IF(ISNUMBER($I5369),TEXT($I5369,"0"),$I5369))</f>
        <v/>
      </c>
    </row>
    <row r="5370">
      <c r="B5370" s="25" t="n"/>
      <c r="I5370" s="25" t="n"/>
      <c r="U5370" s="19">
        <f>IF(AND($V5370='設定'!$C$4,COUNTIF('商品マスタ'!$B$6:$B$1005,$W5370)=0),N(U5369)+1,N(U5369))</f>
        <v/>
      </c>
      <c r="V5370" s="19">
        <f>IF($B5370="","",TEXT($B5370,"0000"))</f>
        <v/>
      </c>
      <c r="W5370" s="19">
        <f>IF($I5370="","",IF(ISNUMBER($I5370),TEXT($I5370,"0"),$I5370))</f>
        <v/>
      </c>
    </row>
    <row r="5371">
      <c r="B5371" s="25" t="n"/>
      <c r="I5371" s="25" t="n"/>
      <c r="U5371" s="19">
        <f>IF(AND($V5371='設定'!$C$4,COUNTIF('商品マスタ'!$B$6:$B$1005,$W5371)=0),N(U5370)+1,N(U5370))</f>
        <v/>
      </c>
      <c r="V5371" s="19">
        <f>IF($B5371="","",TEXT($B5371,"0000"))</f>
        <v/>
      </c>
      <c r="W5371" s="19">
        <f>IF($I5371="","",IF(ISNUMBER($I5371),TEXT($I5371,"0"),$I5371))</f>
        <v/>
      </c>
    </row>
    <row r="5372">
      <c r="B5372" s="25" t="n"/>
      <c r="I5372" s="25" t="n"/>
      <c r="U5372" s="19">
        <f>IF(AND($V5372='設定'!$C$4,COUNTIF('商品マスタ'!$B$6:$B$1005,$W5372)=0),N(U5371)+1,N(U5371))</f>
        <v/>
      </c>
      <c r="V5372" s="19">
        <f>IF($B5372="","",TEXT($B5372,"0000"))</f>
        <v/>
      </c>
      <c r="W5372" s="19">
        <f>IF($I5372="","",IF(ISNUMBER($I5372),TEXT($I5372,"0"),$I5372))</f>
        <v/>
      </c>
    </row>
    <row r="5373">
      <c r="B5373" s="25" t="n"/>
      <c r="I5373" s="25" t="n"/>
      <c r="U5373" s="19">
        <f>IF(AND($V5373='設定'!$C$4,COUNTIF('商品マスタ'!$B$6:$B$1005,$W5373)=0),N(U5372)+1,N(U5372))</f>
        <v/>
      </c>
      <c r="V5373" s="19">
        <f>IF($B5373="","",TEXT($B5373,"0000"))</f>
        <v/>
      </c>
      <c r="W5373" s="19">
        <f>IF($I5373="","",IF(ISNUMBER($I5373),TEXT($I5373,"0"),$I5373))</f>
        <v/>
      </c>
    </row>
    <row r="5374">
      <c r="B5374" s="25" t="n"/>
      <c r="I5374" s="25" t="n"/>
      <c r="U5374" s="19">
        <f>IF(AND($V5374='設定'!$C$4,COUNTIF('商品マスタ'!$B$6:$B$1005,$W5374)=0),N(U5373)+1,N(U5373))</f>
        <v/>
      </c>
      <c r="V5374" s="19">
        <f>IF($B5374="","",TEXT($B5374,"0000"))</f>
        <v/>
      </c>
      <c r="W5374" s="19">
        <f>IF($I5374="","",IF(ISNUMBER($I5374),TEXT($I5374,"0"),$I5374))</f>
        <v/>
      </c>
    </row>
    <row r="5375">
      <c r="B5375" s="25" t="n"/>
      <c r="I5375" s="25" t="n"/>
      <c r="U5375" s="19">
        <f>IF(AND($V5375='設定'!$C$4,COUNTIF('商品マスタ'!$B$6:$B$1005,$W5375)=0),N(U5374)+1,N(U5374))</f>
        <v/>
      </c>
      <c r="V5375" s="19">
        <f>IF($B5375="","",TEXT($B5375,"0000"))</f>
        <v/>
      </c>
      <c r="W5375" s="19">
        <f>IF($I5375="","",IF(ISNUMBER($I5375),TEXT($I5375,"0"),$I5375))</f>
        <v/>
      </c>
    </row>
    <row r="5376">
      <c r="B5376" s="25" t="n"/>
      <c r="I5376" s="25" t="n"/>
      <c r="U5376" s="19">
        <f>IF(AND($V5376='設定'!$C$4,COUNTIF('商品マスタ'!$B$6:$B$1005,$W5376)=0),N(U5375)+1,N(U5375))</f>
        <v/>
      </c>
      <c r="V5376" s="19">
        <f>IF($B5376="","",TEXT($B5376,"0000"))</f>
        <v/>
      </c>
      <c r="W5376" s="19">
        <f>IF($I5376="","",IF(ISNUMBER($I5376),TEXT($I5376,"0"),$I5376))</f>
        <v/>
      </c>
    </row>
    <row r="5377">
      <c r="B5377" s="25" t="n"/>
      <c r="I5377" s="25" t="n"/>
      <c r="U5377" s="19">
        <f>IF(AND($V5377='設定'!$C$4,COUNTIF('商品マスタ'!$B$6:$B$1005,$W5377)=0),N(U5376)+1,N(U5376))</f>
        <v/>
      </c>
      <c r="V5377" s="19">
        <f>IF($B5377="","",TEXT($B5377,"0000"))</f>
        <v/>
      </c>
      <c r="W5377" s="19">
        <f>IF($I5377="","",IF(ISNUMBER($I5377),TEXT($I5377,"0"),$I5377))</f>
        <v/>
      </c>
    </row>
    <row r="5378">
      <c r="B5378" s="25" t="n"/>
      <c r="I5378" s="25" t="n"/>
      <c r="U5378" s="19">
        <f>IF(AND($V5378='設定'!$C$4,COUNTIF('商品マスタ'!$B$6:$B$1005,$W5378)=0),N(U5377)+1,N(U5377))</f>
        <v/>
      </c>
      <c r="V5378" s="19">
        <f>IF($B5378="","",TEXT($B5378,"0000"))</f>
        <v/>
      </c>
      <c r="W5378" s="19">
        <f>IF($I5378="","",IF(ISNUMBER($I5378),TEXT($I5378,"0"),$I5378))</f>
        <v/>
      </c>
    </row>
    <row r="5379">
      <c r="B5379" s="25" t="n"/>
      <c r="I5379" s="25" t="n"/>
      <c r="U5379" s="19">
        <f>IF(AND($V5379='設定'!$C$4,COUNTIF('商品マスタ'!$B$6:$B$1005,$W5379)=0),N(U5378)+1,N(U5378))</f>
        <v/>
      </c>
      <c r="V5379" s="19">
        <f>IF($B5379="","",TEXT($B5379,"0000"))</f>
        <v/>
      </c>
      <c r="W5379" s="19">
        <f>IF($I5379="","",IF(ISNUMBER($I5379),TEXT($I5379,"0"),$I5379))</f>
        <v/>
      </c>
    </row>
    <row r="5380">
      <c r="B5380" s="25" t="n"/>
      <c r="I5380" s="25" t="n"/>
      <c r="U5380" s="19">
        <f>IF(AND($V5380='設定'!$C$4,COUNTIF('商品マスタ'!$B$6:$B$1005,$W5380)=0),N(U5379)+1,N(U5379))</f>
        <v/>
      </c>
      <c r="V5380" s="19">
        <f>IF($B5380="","",TEXT($B5380,"0000"))</f>
        <v/>
      </c>
      <c r="W5380" s="19">
        <f>IF($I5380="","",IF(ISNUMBER($I5380),TEXT($I5380,"0"),$I5380))</f>
        <v/>
      </c>
    </row>
    <row r="5381">
      <c r="B5381" s="25" t="n"/>
      <c r="I5381" s="25" t="n"/>
      <c r="U5381" s="19">
        <f>IF(AND($V5381='設定'!$C$4,COUNTIF('商品マスタ'!$B$6:$B$1005,$W5381)=0),N(U5380)+1,N(U5380))</f>
        <v/>
      </c>
      <c r="V5381" s="19">
        <f>IF($B5381="","",TEXT($B5381,"0000"))</f>
        <v/>
      </c>
      <c r="W5381" s="19">
        <f>IF($I5381="","",IF(ISNUMBER($I5381),TEXT($I5381,"0"),$I5381))</f>
        <v/>
      </c>
    </row>
    <row r="5382">
      <c r="B5382" s="25" t="n"/>
      <c r="I5382" s="25" t="n"/>
      <c r="U5382" s="19">
        <f>IF(AND($V5382='設定'!$C$4,COUNTIF('商品マスタ'!$B$6:$B$1005,$W5382)=0),N(U5381)+1,N(U5381))</f>
        <v/>
      </c>
      <c r="V5382" s="19">
        <f>IF($B5382="","",TEXT($B5382,"0000"))</f>
        <v/>
      </c>
      <c r="W5382" s="19">
        <f>IF($I5382="","",IF(ISNUMBER($I5382),TEXT($I5382,"0"),$I5382))</f>
        <v/>
      </c>
    </row>
    <row r="5383">
      <c r="B5383" s="25" t="n"/>
      <c r="I5383" s="25" t="n"/>
      <c r="U5383" s="19">
        <f>IF(AND($V5383='設定'!$C$4,COUNTIF('商品マスタ'!$B$6:$B$1005,$W5383)=0),N(U5382)+1,N(U5382))</f>
        <v/>
      </c>
      <c r="V5383" s="19">
        <f>IF($B5383="","",TEXT($B5383,"0000"))</f>
        <v/>
      </c>
      <c r="W5383" s="19">
        <f>IF($I5383="","",IF(ISNUMBER($I5383),TEXT($I5383,"0"),$I5383))</f>
        <v/>
      </c>
    </row>
    <row r="5384">
      <c r="B5384" s="25" t="n"/>
      <c r="I5384" s="25" t="n"/>
      <c r="U5384" s="19">
        <f>IF(AND($V5384='設定'!$C$4,COUNTIF('商品マスタ'!$B$6:$B$1005,$W5384)=0),N(U5383)+1,N(U5383))</f>
        <v/>
      </c>
      <c r="V5384" s="19">
        <f>IF($B5384="","",TEXT($B5384,"0000"))</f>
        <v/>
      </c>
      <c r="W5384" s="19">
        <f>IF($I5384="","",IF(ISNUMBER($I5384),TEXT($I5384,"0"),$I5384))</f>
        <v/>
      </c>
    </row>
    <row r="5385">
      <c r="B5385" s="25" t="n"/>
      <c r="I5385" s="25" t="n"/>
      <c r="U5385" s="19">
        <f>IF(AND($V5385='設定'!$C$4,COUNTIF('商品マスタ'!$B$6:$B$1005,$W5385)=0),N(U5384)+1,N(U5384))</f>
        <v/>
      </c>
      <c r="V5385" s="19">
        <f>IF($B5385="","",TEXT($B5385,"0000"))</f>
        <v/>
      </c>
      <c r="W5385" s="19">
        <f>IF($I5385="","",IF(ISNUMBER($I5385),TEXT($I5385,"0"),$I5385))</f>
        <v/>
      </c>
    </row>
    <row r="5386">
      <c r="B5386" s="25" t="n"/>
      <c r="I5386" s="25" t="n"/>
      <c r="U5386" s="19">
        <f>IF(AND($V5386='設定'!$C$4,COUNTIF('商品マスタ'!$B$6:$B$1005,$W5386)=0),N(U5385)+1,N(U5385))</f>
        <v/>
      </c>
      <c r="V5386" s="19">
        <f>IF($B5386="","",TEXT($B5386,"0000"))</f>
        <v/>
      </c>
      <c r="W5386" s="19">
        <f>IF($I5386="","",IF(ISNUMBER($I5386),TEXT($I5386,"0"),$I5386))</f>
        <v/>
      </c>
    </row>
    <row r="5387">
      <c r="B5387" s="25" t="n"/>
      <c r="I5387" s="25" t="n"/>
      <c r="U5387" s="19">
        <f>IF(AND($V5387='設定'!$C$4,COUNTIF('商品マスタ'!$B$6:$B$1005,$W5387)=0),N(U5386)+1,N(U5386))</f>
        <v/>
      </c>
      <c r="V5387" s="19">
        <f>IF($B5387="","",TEXT($B5387,"0000"))</f>
        <v/>
      </c>
      <c r="W5387" s="19">
        <f>IF($I5387="","",IF(ISNUMBER($I5387),TEXT($I5387,"0"),$I5387))</f>
        <v/>
      </c>
    </row>
    <row r="5388">
      <c r="B5388" s="25" t="n"/>
      <c r="I5388" s="25" t="n"/>
      <c r="U5388" s="19">
        <f>IF(AND($V5388='設定'!$C$4,COUNTIF('商品マスタ'!$B$6:$B$1005,$W5388)=0),N(U5387)+1,N(U5387))</f>
        <v/>
      </c>
      <c r="V5388" s="19">
        <f>IF($B5388="","",TEXT($B5388,"0000"))</f>
        <v/>
      </c>
      <c r="W5388" s="19">
        <f>IF($I5388="","",IF(ISNUMBER($I5388),TEXT($I5388,"0"),$I5388))</f>
        <v/>
      </c>
    </row>
    <row r="5389">
      <c r="B5389" s="25" t="n"/>
      <c r="I5389" s="25" t="n"/>
      <c r="U5389" s="19">
        <f>IF(AND($V5389='設定'!$C$4,COUNTIF('商品マスタ'!$B$6:$B$1005,$W5389)=0),N(U5388)+1,N(U5388))</f>
        <v/>
      </c>
      <c r="V5389" s="19">
        <f>IF($B5389="","",TEXT($B5389,"0000"))</f>
        <v/>
      </c>
      <c r="W5389" s="19">
        <f>IF($I5389="","",IF(ISNUMBER($I5389),TEXT($I5389,"0"),$I5389))</f>
        <v/>
      </c>
    </row>
    <row r="5390">
      <c r="B5390" s="25" t="n"/>
      <c r="I5390" s="25" t="n"/>
      <c r="U5390" s="19">
        <f>IF(AND($V5390='設定'!$C$4,COUNTIF('商品マスタ'!$B$6:$B$1005,$W5390)=0),N(U5389)+1,N(U5389))</f>
        <v/>
      </c>
      <c r="V5390" s="19">
        <f>IF($B5390="","",TEXT($B5390,"0000"))</f>
        <v/>
      </c>
      <c r="W5390" s="19">
        <f>IF($I5390="","",IF(ISNUMBER($I5390),TEXT($I5390,"0"),$I5390))</f>
        <v/>
      </c>
    </row>
    <row r="5391">
      <c r="B5391" s="25" t="n"/>
      <c r="I5391" s="25" t="n"/>
      <c r="U5391" s="19">
        <f>IF(AND($V5391='設定'!$C$4,COUNTIF('商品マスタ'!$B$6:$B$1005,$W5391)=0),N(U5390)+1,N(U5390))</f>
        <v/>
      </c>
      <c r="V5391" s="19">
        <f>IF($B5391="","",TEXT($B5391,"0000"))</f>
        <v/>
      </c>
      <c r="W5391" s="19">
        <f>IF($I5391="","",IF(ISNUMBER($I5391),TEXT($I5391,"0"),$I5391))</f>
        <v/>
      </c>
    </row>
    <row r="5392">
      <c r="B5392" s="25" t="n"/>
      <c r="I5392" s="25" t="n"/>
      <c r="U5392" s="19">
        <f>IF(AND($V5392='設定'!$C$4,COUNTIF('商品マスタ'!$B$6:$B$1005,$W5392)=0),N(U5391)+1,N(U5391))</f>
        <v/>
      </c>
      <c r="V5392" s="19">
        <f>IF($B5392="","",TEXT($B5392,"0000"))</f>
        <v/>
      </c>
      <c r="W5392" s="19">
        <f>IF($I5392="","",IF(ISNUMBER($I5392),TEXT($I5392,"0"),$I5392))</f>
        <v/>
      </c>
    </row>
    <row r="5393">
      <c r="B5393" s="25" t="n"/>
      <c r="I5393" s="25" t="n"/>
      <c r="U5393" s="19">
        <f>IF(AND($V5393='設定'!$C$4,COUNTIF('商品マスタ'!$B$6:$B$1005,$W5393)=0),N(U5392)+1,N(U5392))</f>
        <v/>
      </c>
      <c r="V5393" s="19">
        <f>IF($B5393="","",TEXT($B5393,"0000"))</f>
        <v/>
      </c>
      <c r="W5393" s="19">
        <f>IF($I5393="","",IF(ISNUMBER($I5393),TEXT($I5393,"0"),$I5393))</f>
        <v/>
      </c>
    </row>
    <row r="5394">
      <c r="B5394" s="25" t="n"/>
      <c r="I5394" s="25" t="n"/>
      <c r="U5394" s="19">
        <f>IF(AND($V5394='設定'!$C$4,COUNTIF('商品マスタ'!$B$6:$B$1005,$W5394)=0),N(U5393)+1,N(U5393))</f>
        <v/>
      </c>
      <c r="V5394" s="19">
        <f>IF($B5394="","",TEXT($B5394,"0000"))</f>
        <v/>
      </c>
      <c r="W5394" s="19">
        <f>IF($I5394="","",IF(ISNUMBER($I5394),TEXT($I5394,"0"),$I5394))</f>
        <v/>
      </c>
    </row>
    <row r="5395">
      <c r="B5395" s="25" t="n"/>
      <c r="I5395" s="25" t="n"/>
      <c r="U5395" s="19">
        <f>IF(AND($V5395='設定'!$C$4,COUNTIF('商品マスタ'!$B$6:$B$1005,$W5395)=0),N(U5394)+1,N(U5394))</f>
        <v/>
      </c>
      <c r="V5395" s="19">
        <f>IF($B5395="","",TEXT($B5395,"0000"))</f>
        <v/>
      </c>
      <c r="W5395" s="19">
        <f>IF($I5395="","",IF(ISNUMBER($I5395),TEXT($I5395,"0"),$I5395))</f>
        <v/>
      </c>
    </row>
    <row r="5396">
      <c r="B5396" s="25" t="n"/>
      <c r="I5396" s="25" t="n"/>
      <c r="U5396" s="19">
        <f>IF(AND($V5396='設定'!$C$4,COUNTIF('商品マスタ'!$B$6:$B$1005,$W5396)=0),N(U5395)+1,N(U5395))</f>
        <v/>
      </c>
      <c r="V5396" s="19">
        <f>IF($B5396="","",TEXT($B5396,"0000"))</f>
        <v/>
      </c>
      <c r="W5396" s="19">
        <f>IF($I5396="","",IF(ISNUMBER($I5396),TEXT($I5396,"0"),$I5396))</f>
        <v/>
      </c>
    </row>
    <row r="5397">
      <c r="B5397" s="25" t="n"/>
      <c r="I5397" s="25" t="n"/>
      <c r="U5397" s="19">
        <f>IF(AND($V5397='設定'!$C$4,COUNTIF('商品マスタ'!$B$6:$B$1005,$W5397)=0),N(U5396)+1,N(U5396))</f>
        <v/>
      </c>
      <c r="V5397" s="19">
        <f>IF($B5397="","",TEXT($B5397,"0000"))</f>
        <v/>
      </c>
      <c r="W5397" s="19">
        <f>IF($I5397="","",IF(ISNUMBER($I5397),TEXT($I5397,"0"),$I5397))</f>
        <v/>
      </c>
    </row>
    <row r="5398">
      <c r="B5398" s="25" t="n"/>
      <c r="I5398" s="25" t="n"/>
      <c r="U5398" s="19">
        <f>IF(AND($V5398='設定'!$C$4,COUNTIF('商品マスタ'!$B$6:$B$1005,$W5398)=0),N(U5397)+1,N(U5397))</f>
        <v/>
      </c>
      <c r="V5398" s="19">
        <f>IF($B5398="","",TEXT($B5398,"0000"))</f>
        <v/>
      </c>
      <c r="W5398" s="19">
        <f>IF($I5398="","",IF(ISNUMBER($I5398),TEXT($I5398,"0"),$I5398))</f>
        <v/>
      </c>
    </row>
    <row r="5399">
      <c r="B5399" s="25" t="n"/>
      <c r="I5399" s="25" t="n"/>
      <c r="U5399" s="19">
        <f>IF(AND($V5399='設定'!$C$4,COUNTIF('商品マスタ'!$B$6:$B$1005,$W5399)=0),N(U5398)+1,N(U5398))</f>
        <v/>
      </c>
      <c r="V5399" s="19">
        <f>IF($B5399="","",TEXT($B5399,"0000"))</f>
        <v/>
      </c>
      <c r="W5399" s="19">
        <f>IF($I5399="","",IF(ISNUMBER($I5399),TEXT($I5399,"0"),$I5399))</f>
        <v/>
      </c>
    </row>
    <row r="5400">
      <c r="B5400" s="25" t="n"/>
      <c r="I5400" s="25" t="n"/>
      <c r="U5400" s="19">
        <f>IF(AND($V5400='設定'!$C$4,COUNTIF('商品マスタ'!$B$6:$B$1005,$W5400)=0),N(U5399)+1,N(U5399))</f>
        <v/>
      </c>
      <c r="V5400" s="19">
        <f>IF($B5400="","",TEXT($B5400,"0000"))</f>
        <v/>
      </c>
      <c r="W5400" s="19">
        <f>IF($I5400="","",IF(ISNUMBER($I5400),TEXT($I5400,"0"),$I5400))</f>
        <v/>
      </c>
    </row>
    <row r="5401">
      <c r="B5401" s="25" t="n"/>
      <c r="I5401" s="25" t="n"/>
      <c r="U5401" s="19">
        <f>IF(AND($V5401='設定'!$C$4,COUNTIF('商品マスタ'!$B$6:$B$1005,$W5401)=0),N(U5400)+1,N(U5400))</f>
        <v/>
      </c>
      <c r="V5401" s="19">
        <f>IF($B5401="","",TEXT($B5401,"0000"))</f>
        <v/>
      </c>
      <c r="W5401" s="19">
        <f>IF($I5401="","",IF(ISNUMBER($I5401),TEXT($I5401,"0"),$I5401))</f>
        <v/>
      </c>
    </row>
    <row r="5402">
      <c r="B5402" s="25" t="n"/>
      <c r="I5402" s="25" t="n"/>
      <c r="U5402" s="19">
        <f>IF(AND($V5402='設定'!$C$4,COUNTIF('商品マスタ'!$B$6:$B$1005,$W5402)=0),N(U5401)+1,N(U5401))</f>
        <v/>
      </c>
      <c r="V5402" s="19">
        <f>IF($B5402="","",TEXT($B5402,"0000"))</f>
        <v/>
      </c>
      <c r="W5402" s="19">
        <f>IF($I5402="","",IF(ISNUMBER($I5402),TEXT($I5402,"0"),$I5402))</f>
        <v/>
      </c>
    </row>
    <row r="5403">
      <c r="B5403" s="25" t="n"/>
      <c r="I5403" s="25" t="n"/>
      <c r="U5403" s="19">
        <f>IF(AND($V5403='設定'!$C$4,COUNTIF('商品マスタ'!$B$6:$B$1005,$W5403)=0),N(U5402)+1,N(U5402))</f>
        <v/>
      </c>
      <c r="V5403" s="19">
        <f>IF($B5403="","",TEXT($B5403,"0000"))</f>
        <v/>
      </c>
      <c r="W5403" s="19">
        <f>IF($I5403="","",IF(ISNUMBER($I5403),TEXT($I5403,"0"),$I5403))</f>
        <v/>
      </c>
    </row>
    <row r="5404">
      <c r="B5404" s="25" t="n"/>
      <c r="I5404" s="25" t="n"/>
      <c r="U5404" s="19">
        <f>IF(AND($V5404='設定'!$C$4,COUNTIF('商品マスタ'!$B$6:$B$1005,$W5404)=0),N(U5403)+1,N(U5403))</f>
        <v/>
      </c>
      <c r="V5404" s="19">
        <f>IF($B5404="","",TEXT($B5404,"0000"))</f>
        <v/>
      </c>
      <c r="W5404" s="19">
        <f>IF($I5404="","",IF(ISNUMBER($I5404),TEXT($I5404,"0"),$I5404))</f>
        <v/>
      </c>
    </row>
    <row r="5405">
      <c r="B5405" s="25" t="n"/>
      <c r="I5405" s="25" t="n"/>
      <c r="U5405" s="19">
        <f>IF(AND($V5405='設定'!$C$4,COUNTIF('商品マスタ'!$B$6:$B$1005,$W5405)=0),N(U5404)+1,N(U5404))</f>
        <v/>
      </c>
      <c r="V5405" s="19">
        <f>IF($B5405="","",TEXT($B5405,"0000"))</f>
        <v/>
      </c>
      <c r="W5405" s="19">
        <f>IF($I5405="","",IF(ISNUMBER($I5405),TEXT($I5405,"0"),$I5405))</f>
        <v/>
      </c>
    </row>
    <row r="5406">
      <c r="B5406" s="25" t="n"/>
      <c r="I5406" s="25" t="n"/>
      <c r="U5406" s="19">
        <f>IF(AND($V5406='設定'!$C$4,COUNTIF('商品マスタ'!$B$6:$B$1005,$W5406)=0),N(U5405)+1,N(U5405))</f>
        <v/>
      </c>
      <c r="V5406" s="19">
        <f>IF($B5406="","",TEXT($B5406,"0000"))</f>
        <v/>
      </c>
      <c r="W5406" s="19">
        <f>IF($I5406="","",IF(ISNUMBER($I5406),TEXT($I5406,"0"),$I5406))</f>
        <v/>
      </c>
    </row>
    <row r="5407">
      <c r="B5407" s="25" t="n"/>
      <c r="I5407" s="25" t="n"/>
      <c r="U5407" s="19">
        <f>IF(AND($V5407='設定'!$C$4,COUNTIF('商品マスタ'!$B$6:$B$1005,$W5407)=0),N(U5406)+1,N(U5406))</f>
        <v/>
      </c>
      <c r="V5407" s="19">
        <f>IF($B5407="","",TEXT($B5407,"0000"))</f>
        <v/>
      </c>
      <c r="W5407" s="19">
        <f>IF($I5407="","",IF(ISNUMBER($I5407),TEXT($I5407,"0"),$I5407))</f>
        <v/>
      </c>
    </row>
    <row r="5408">
      <c r="B5408" s="25" t="n"/>
      <c r="I5408" s="25" t="n"/>
      <c r="U5408" s="19">
        <f>IF(AND($V5408='設定'!$C$4,COUNTIF('商品マスタ'!$B$6:$B$1005,$W5408)=0),N(U5407)+1,N(U5407))</f>
        <v/>
      </c>
      <c r="V5408" s="19">
        <f>IF($B5408="","",TEXT($B5408,"0000"))</f>
        <v/>
      </c>
      <c r="W5408" s="19">
        <f>IF($I5408="","",IF(ISNUMBER($I5408),TEXT($I5408,"0"),$I5408))</f>
        <v/>
      </c>
    </row>
    <row r="5409">
      <c r="B5409" s="25" t="n"/>
      <c r="I5409" s="25" t="n"/>
      <c r="U5409" s="19">
        <f>IF(AND($V5409='設定'!$C$4,COUNTIF('商品マスタ'!$B$6:$B$1005,$W5409)=0),N(U5408)+1,N(U5408))</f>
        <v/>
      </c>
      <c r="V5409" s="19">
        <f>IF($B5409="","",TEXT($B5409,"0000"))</f>
        <v/>
      </c>
      <c r="W5409" s="19">
        <f>IF($I5409="","",IF(ISNUMBER($I5409),TEXT($I5409,"0"),$I5409))</f>
        <v/>
      </c>
    </row>
    <row r="5410">
      <c r="B5410" s="25" t="n"/>
      <c r="I5410" s="25" t="n"/>
      <c r="U5410" s="19">
        <f>IF(AND($V5410='設定'!$C$4,COUNTIF('商品マスタ'!$B$6:$B$1005,$W5410)=0),N(U5409)+1,N(U5409))</f>
        <v/>
      </c>
      <c r="V5410" s="19">
        <f>IF($B5410="","",TEXT($B5410,"0000"))</f>
        <v/>
      </c>
      <c r="W5410" s="19">
        <f>IF($I5410="","",IF(ISNUMBER($I5410),TEXT($I5410,"0"),$I5410))</f>
        <v/>
      </c>
    </row>
    <row r="5411">
      <c r="B5411" s="25" t="n"/>
      <c r="I5411" s="25" t="n"/>
      <c r="U5411" s="19">
        <f>IF(AND($V5411='設定'!$C$4,COUNTIF('商品マスタ'!$B$6:$B$1005,$W5411)=0),N(U5410)+1,N(U5410))</f>
        <v/>
      </c>
      <c r="V5411" s="19">
        <f>IF($B5411="","",TEXT($B5411,"0000"))</f>
        <v/>
      </c>
      <c r="W5411" s="19">
        <f>IF($I5411="","",IF(ISNUMBER($I5411),TEXT($I5411,"0"),$I5411))</f>
        <v/>
      </c>
    </row>
    <row r="5412">
      <c r="B5412" s="25" t="n"/>
      <c r="I5412" s="25" t="n"/>
      <c r="U5412" s="19">
        <f>IF(AND($V5412='設定'!$C$4,COUNTIF('商品マスタ'!$B$6:$B$1005,$W5412)=0),N(U5411)+1,N(U5411))</f>
        <v/>
      </c>
      <c r="V5412" s="19">
        <f>IF($B5412="","",TEXT($B5412,"0000"))</f>
        <v/>
      </c>
      <c r="W5412" s="19">
        <f>IF($I5412="","",IF(ISNUMBER($I5412),TEXT($I5412,"0"),$I5412))</f>
        <v/>
      </c>
    </row>
    <row r="5413">
      <c r="B5413" s="25" t="n"/>
      <c r="I5413" s="25" t="n"/>
      <c r="U5413" s="19">
        <f>IF(AND($V5413='設定'!$C$4,COUNTIF('商品マスタ'!$B$6:$B$1005,$W5413)=0),N(U5412)+1,N(U5412))</f>
        <v/>
      </c>
      <c r="V5413" s="19">
        <f>IF($B5413="","",TEXT($B5413,"0000"))</f>
        <v/>
      </c>
      <c r="W5413" s="19">
        <f>IF($I5413="","",IF(ISNUMBER($I5413),TEXT($I5413,"0"),$I5413))</f>
        <v/>
      </c>
    </row>
    <row r="5414">
      <c r="B5414" s="25" t="n"/>
      <c r="I5414" s="25" t="n"/>
      <c r="U5414" s="19">
        <f>IF(AND($V5414='設定'!$C$4,COUNTIF('商品マスタ'!$B$6:$B$1005,$W5414)=0),N(U5413)+1,N(U5413))</f>
        <v/>
      </c>
      <c r="V5414" s="19">
        <f>IF($B5414="","",TEXT($B5414,"0000"))</f>
        <v/>
      </c>
      <c r="W5414" s="19">
        <f>IF($I5414="","",IF(ISNUMBER($I5414),TEXT($I5414,"0"),$I5414))</f>
        <v/>
      </c>
    </row>
    <row r="5415">
      <c r="B5415" s="25" t="n"/>
      <c r="I5415" s="25" t="n"/>
      <c r="U5415" s="19">
        <f>IF(AND($V5415='設定'!$C$4,COUNTIF('商品マスタ'!$B$6:$B$1005,$W5415)=0),N(U5414)+1,N(U5414))</f>
        <v/>
      </c>
      <c r="V5415" s="19">
        <f>IF($B5415="","",TEXT($B5415,"0000"))</f>
        <v/>
      </c>
      <c r="W5415" s="19">
        <f>IF($I5415="","",IF(ISNUMBER($I5415),TEXT($I5415,"0"),$I5415))</f>
        <v/>
      </c>
    </row>
    <row r="5416">
      <c r="B5416" s="25" t="n"/>
      <c r="I5416" s="25" t="n"/>
      <c r="U5416" s="19">
        <f>IF(AND($V5416='設定'!$C$4,COUNTIF('商品マスタ'!$B$6:$B$1005,$W5416)=0),N(U5415)+1,N(U5415))</f>
        <v/>
      </c>
      <c r="V5416" s="19">
        <f>IF($B5416="","",TEXT($B5416,"0000"))</f>
        <v/>
      </c>
      <c r="W5416" s="19">
        <f>IF($I5416="","",IF(ISNUMBER($I5416),TEXT($I5416,"0"),$I5416))</f>
        <v/>
      </c>
    </row>
    <row r="5417">
      <c r="B5417" s="25" t="n"/>
      <c r="I5417" s="25" t="n"/>
      <c r="U5417" s="19">
        <f>IF(AND($V5417='設定'!$C$4,COUNTIF('商品マスタ'!$B$6:$B$1005,$W5417)=0),N(U5416)+1,N(U5416))</f>
        <v/>
      </c>
      <c r="V5417" s="19">
        <f>IF($B5417="","",TEXT($B5417,"0000"))</f>
        <v/>
      </c>
      <c r="W5417" s="19">
        <f>IF($I5417="","",IF(ISNUMBER($I5417),TEXT($I5417,"0"),$I5417))</f>
        <v/>
      </c>
    </row>
    <row r="5418">
      <c r="B5418" s="25" t="n"/>
      <c r="I5418" s="25" t="n"/>
      <c r="U5418" s="19">
        <f>IF(AND($V5418='設定'!$C$4,COUNTIF('商品マスタ'!$B$6:$B$1005,$W5418)=0),N(U5417)+1,N(U5417))</f>
        <v/>
      </c>
      <c r="V5418" s="19">
        <f>IF($B5418="","",TEXT($B5418,"0000"))</f>
        <v/>
      </c>
      <c r="W5418" s="19">
        <f>IF($I5418="","",IF(ISNUMBER($I5418),TEXT($I5418,"0"),$I5418))</f>
        <v/>
      </c>
    </row>
    <row r="5419">
      <c r="B5419" s="25" t="n"/>
      <c r="I5419" s="25" t="n"/>
      <c r="U5419" s="19">
        <f>IF(AND($V5419='設定'!$C$4,COUNTIF('商品マスタ'!$B$6:$B$1005,$W5419)=0),N(U5418)+1,N(U5418))</f>
        <v/>
      </c>
      <c r="V5419" s="19">
        <f>IF($B5419="","",TEXT($B5419,"0000"))</f>
        <v/>
      </c>
      <c r="W5419" s="19">
        <f>IF($I5419="","",IF(ISNUMBER($I5419),TEXT($I5419,"0"),$I5419))</f>
        <v/>
      </c>
    </row>
    <row r="5420">
      <c r="B5420" s="25" t="n"/>
      <c r="I5420" s="25" t="n"/>
      <c r="U5420" s="19">
        <f>IF(AND($V5420='設定'!$C$4,COUNTIF('商品マスタ'!$B$6:$B$1005,$W5420)=0),N(U5419)+1,N(U5419))</f>
        <v/>
      </c>
      <c r="V5420" s="19">
        <f>IF($B5420="","",TEXT($B5420,"0000"))</f>
        <v/>
      </c>
      <c r="W5420" s="19">
        <f>IF($I5420="","",IF(ISNUMBER($I5420),TEXT($I5420,"0"),$I5420))</f>
        <v/>
      </c>
    </row>
    <row r="5421">
      <c r="B5421" s="25" t="n"/>
      <c r="I5421" s="25" t="n"/>
      <c r="U5421" s="19">
        <f>IF(AND($V5421='設定'!$C$4,COUNTIF('商品マスタ'!$B$6:$B$1005,$W5421)=0),N(U5420)+1,N(U5420))</f>
        <v/>
      </c>
      <c r="V5421" s="19">
        <f>IF($B5421="","",TEXT($B5421,"0000"))</f>
        <v/>
      </c>
      <c r="W5421" s="19">
        <f>IF($I5421="","",IF(ISNUMBER($I5421),TEXT($I5421,"0"),$I5421))</f>
        <v/>
      </c>
    </row>
    <row r="5422">
      <c r="B5422" s="25" t="n"/>
      <c r="I5422" s="25" t="n"/>
      <c r="U5422" s="19">
        <f>IF(AND($V5422='設定'!$C$4,COUNTIF('商品マスタ'!$B$6:$B$1005,$W5422)=0),N(U5421)+1,N(U5421))</f>
        <v/>
      </c>
      <c r="V5422" s="19">
        <f>IF($B5422="","",TEXT($B5422,"0000"))</f>
        <v/>
      </c>
      <c r="W5422" s="19">
        <f>IF($I5422="","",IF(ISNUMBER($I5422),TEXT($I5422,"0"),$I5422))</f>
        <v/>
      </c>
    </row>
    <row r="5423">
      <c r="B5423" s="25" t="n"/>
      <c r="I5423" s="25" t="n"/>
      <c r="U5423" s="19">
        <f>IF(AND($V5423='設定'!$C$4,COUNTIF('商品マスタ'!$B$6:$B$1005,$W5423)=0),N(U5422)+1,N(U5422))</f>
        <v/>
      </c>
      <c r="V5423" s="19">
        <f>IF($B5423="","",TEXT($B5423,"0000"))</f>
        <v/>
      </c>
      <c r="W5423" s="19">
        <f>IF($I5423="","",IF(ISNUMBER($I5423),TEXT($I5423,"0"),$I5423))</f>
        <v/>
      </c>
    </row>
    <row r="5424">
      <c r="B5424" s="25" t="n"/>
      <c r="I5424" s="25" t="n"/>
      <c r="U5424" s="19">
        <f>IF(AND($V5424='設定'!$C$4,COUNTIF('商品マスタ'!$B$6:$B$1005,$W5424)=0),N(U5423)+1,N(U5423))</f>
        <v/>
      </c>
      <c r="V5424" s="19">
        <f>IF($B5424="","",TEXT($B5424,"0000"))</f>
        <v/>
      </c>
      <c r="W5424" s="19">
        <f>IF($I5424="","",IF(ISNUMBER($I5424),TEXT($I5424,"0"),$I5424))</f>
        <v/>
      </c>
    </row>
    <row r="5425">
      <c r="B5425" s="25" t="n"/>
      <c r="I5425" s="25" t="n"/>
      <c r="U5425" s="19">
        <f>IF(AND($V5425='設定'!$C$4,COUNTIF('商品マスタ'!$B$6:$B$1005,$W5425)=0),N(U5424)+1,N(U5424))</f>
        <v/>
      </c>
      <c r="V5425" s="19">
        <f>IF($B5425="","",TEXT($B5425,"0000"))</f>
        <v/>
      </c>
      <c r="W5425" s="19">
        <f>IF($I5425="","",IF(ISNUMBER($I5425),TEXT($I5425,"0"),$I5425))</f>
        <v/>
      </c>
    </row>
    <row r="5426">
      <c r="B5426" s="25" t="n"/>
      <c r="I5426" s="25" t="n"/>
      <c r="U5426" s="19">
        <f>IF(AND($V5426='設定'!$C$4,COUNTIF('商品マスタ'!$B$6:$B$1005,$W5426)=0),N(U5425)+1,N(U5425))</f>
        <v/>
      </c>
      <c r="V5426" s="19">
        <f>IF($B5426="","",TEXT($B5426,"0000"))</f>
        <v/>
      </c>
      <c r="W5426" s="19">
        <f>IF($I5426="","",IF(ISNUMBER($I5426),TEXT($I5426,"0"),$I5426))</f>
        <v/>
      </c>
    </row>
    <row r="5427">
      <c r="B5427" s="25" t="n"/>
      <c r="I5427" s="25" t="n"/>
      <c r="U5427" s="19">
        <f>IF(AND($V5427='設定'!$C$4,COUNTIF('商品マスタ'!$B$6:$B$1005,$W5427)=0),N(U5426)+1,N(U5426))</f>
        <v/>
      </c>
      <c r="V5427" s="19">
        <f>IF($B5427="","",TEXT($B5427,"0000"))</f>
        <v/>
      </c>
      <c r="W5427" s="19">
        <f>IF($I5427="","",IF(ISNUMBER($I5427),TEXT($I5427,"0"),$I5427))</f>
        <v/>
      </c>
    </row>
    <row r="5428">
      <c r="B5428" s="25" t="n"/>
      <c r="I5428" s="25" t="n"/>
      <c r="U5428" s="19">
        <f>IF(AND($V5428='設定'!$C$4,COUNTIF('商品マスタ'!$B$6:$B$1005,$W5428)=0),N(U5427)+1,N(U5427))</f>
        <v/>
      </c>
      <c r="V5428" s="19">
        <f>IF($B5428="","",TEXT($B5428,"0000"))</f>
        <v/>
      </c>
      <c r="W5428" s="19">
        <f>IF($I5428="","",IF(ISNUMBER($I5428),TEXT($I5428,"0"),$I5428))</f>
        <v/>
      </c>
    </row>
    <row r="5429">
      <c r="B5429" s="25" t="n"/>
      <c r="I5429" s="25" t="n"/>
      <c r="U5429" s="19">
        <f>IF(AND($V5429='設定'!$C$4,COUNTIF('商品マスタ'!$B$6:$B$1005,$W5429)=0),N(U5428)+1,N(U5428))</f>
        <v/>
      </c>
      <c r="V5429" s="19">
        <f>IF($B5429="","",TEXT($B5429,"0000"))</f>
        <v/>
      </c>
      <c r="W5429" s="19">
        <f>IF($I5429="","",IF(ISNUMBER($I5429),TEXT($I5429,"0"),$I5429))</f>
        <v/>
      </c>
    </row>
    <row r="5430">
      <c r="B5430" s="25" t="n"/>
      <c r="I5430" s="25" t="n"/>
      <c r="U5430" s="19">
        <f>IF(AND($V5430='設定'!$C$4,COUNTIF('商品マスタ'!$B$6:$B$1005,$W5430)=0),N(U5429)+1,N(U5429))</f>
        <v/>
      </c>
      <c r="V5430" s="19">
        <f>IF($B5430="","",TEXT($B5430,"0000"))</f>
        <v/>
      </c>
      <c r="W5430" s="19">
        <f>IF($I5430="","",IF(ISNUMBER($I5430),TEXT($I5430,"0"),$I5430))</f>
        <v/>
      </c>
    </row>
    <row r="5431">
      <c r="B5431" s="25" t="n"/>
      <c r="I5431" s="25" t="n"/>
      <c r="U5431" s="19">
        <f>IF(AND($V5431='設定'!$C$4,COUNTIF('商品マスタ'!$B$6:$B$1005,$W5431)=0),N(U5430)+1,N(U5430))</f>
        <v/>
      </c>
      <c r="V5431" s="19">
        <f>IF($B5431="","",TEXT($B5431,"0000"))</f>
        <v/>
      </c>
      <c r="W5431" s="19">
        <f>IF($I5431="","",IF(ISNUMBER($I5431),TEXT($I5431,"0"),$I5431))</f>
        <v/>
      </c>
    </row>
    <row r="5432">
      <c r="B5432" s="25" t="n"/>
      <c r="I5432" s="25" t="n"/>
      <c r="U5432" s="19">
        <f>IF(AND($V5432='設定'!$C$4,COUNTIF('商品マスタ'!$B$6:$B$1005,$W5432)=0),N(U5431)+1,N(U5431))</f>
        <v/>
      </c>
      <c r="V5432" s="19">
        <f>IF($B5432="","",TEXT($B5432,"0000"))</f>
        <v/>
      </c>
      <c r="W5432" s="19">
        <f>IF($I5432="","",IF(ISNUMBER($I5432),TEXT($I5432,"0"),$I5432))</f>
        <v/>
      </c>
    </row>
    <row r="5433">
      <c r="B5433" s="25" t="n"/>
      <c r="I5433" s="25" t="n"/>
      <c r="U5433" s="19">
        <f>IF(AND($V5433='設定'!$C$4,COUNTIF('商品マスタ'!$B$6:$B$1005,$W5433)=0),N(U5432)+1,N(U5432))</f>
        <v/>
      </c>
      <c r="V5433" s="19">
        <f>IF($B5433="","",TEXT($B5433,"0000"))</f>
        <v/>
      </c>
      <c r="W5433" s="19">
        <f>IF($I5433="","",IF(ISNUMBER($I5433),TEXT($I5433,"0"),$I5433))</f>
        <v/>
      </c>
    </row>
    <row r="5434">
      <c r="B5434" s="25" t="n"/>
      <c r="I5434" s="25" t="n"/>
      <c r="U5434" s="19">
        <f>IF(AND($V5434='設定'!$C$4,COUNTIF('商品マスタ'!$B$6:$B$1005,$W5434)=0),N(U5433)+1,N(U5433))</f>
        <v/>
      </c>
      <c r="V5434" s="19">
        <f>IF($B5434="","",TEXT($B5434,"0000"))</f>
        <v/>
      </c>
      <c r="W5434" s="19">
        <f>IF($I5434="","",IF(ISNUMBER($I5434),TEXT($I5434,"0"),$I5434))</f>
        <v/>
      </c>
    </row>
    <row r="5435">
      <c r="B5435" s="25" t="n"/>
      <c r="I5435" s="25" t="n"/>
      <c r="U5435" s="19">
        <f>IF(AND($V5435='設定'!$C$4,COUNTIF('商品マスタ'!$B$6:$B$1005,$W5435)=0),N(U5434)+1,N(U5434))</f>
        <v/>
      </c>
      <c r="V5435" s="19">
        <f>IF($B5435="","",TEXT($B5435,"0000"))</f>
        <v/>
      </c>
      <c r="W5435" s="19">
        <f>IF($I5435="","",IF(ISNUMBER($I5435),TEXT($I5435,"0"),$I5435))</f>
        <v/>
      </c>
    </row>
    <row r="5436">
      <c r="B5436" s="25" t="n"/>
      <c r="I5436" s="25" t="n"/>
      <c r="U5436" s="19">
        <f>IF(AND($V5436='設定'!$C$4,COUNTIF('商品マスタ'!$B$6:$B$1005,$W5436)=0),N(U5435)+1,N(U5435))</f>
        <v/>
      </c>
      <c r="V5436" s="19">
        <f>IF($B5436="","",TEXT($B5436,"0000"))</f>
        <v/>
      </c>
      <c r="W5436" s="19">
        <f>IF($I5436="","",IF(ISNUMBER($I5436),TEXT($I5436,"0"),$I5436))</f>
        <v/>
      </c>
    </row>
    <row r="5437">
      <c r="B5437" s="25" t="n"/>
      <c r="I5437" s="25" t="n"/>
      <c r="U5437" s="19">
        <f>IF(AND($V5437='設定'!$C$4,COUNTIF('商品マスタ'!$B$6:$B$1005,$W5437)=0),N(U5436)+1,N(U5436))</f>
        <v/>
      </c>
      <c r="V5437" s="19">
        <f>IF($B5437="","",TEXT($B5437,"0000"))</f>
        <v/>
      </c>
      <c r="W5437" s="19">
        <f>IF($I5437="","",IF(ISNUMBER($I5437),TEXT($I5437,"0"),$I5437))</f>
        <v/>
      </c>
    </row>
    <row r="5438">
      <c r="B5438" s="25" t="n"/>
      <c r="I5438" s="25" t="n"/>
      <c r="U5438" s="19">
        <f>IF(AND($V5438='設定'!$C$4,COUNTIF('商品マスタ'!$B$6:$B$1005,$W5438)=0),N(U5437)+1,N(U5437))</f>
        <v/>
      </c>
      <c r="V5438" s="19">
        <f>IF($B5438="","",TEXT($B5438,"0000"))</f>
        <v/>
      </c>
      <c r="W5438" s="19">
        <f>IF($I5438="","",IF(ISNUMBER($I5438),TEXT($I5438,"0"),$I5438))</f>
        <v/>
      </c>
    </row>
    <row r="5439">
      <c r="B5439" s="25" t="n"/>
      <c r="I5439" s="25" t="n"/>
      <c r="U5439" s="19">
        <f>IF(AND($V5439='設定'!$C$4,COUNTIF('商品マスタ'!$B$6:$B$1005,$W5439)=0),N(U5438)+1,N(U5438))</f>
        <v/>
      </c>
      <c r="V5439" s="19">
        <f>IF($B5439="","",TEXT($B5439,"0000"))</f>
        <v/>
      </c>
      <c r="W5439" s="19">
        <f>IF($I5439="","",IF(ISNUMBER($I5439),TEXT($I5439,"0"),$I5439))</f>
        <v/>
      </c>
    </row>
    <row r="5440">
      <c r="B5440" s="25" t="n"/>
      <c r="I5440" s="25" t="n"/>
      <c r="U5440" s="19">
        <f>IF(AND($V5440='設定'!$C$4,COUNTIF('商品マスタ'!$B$6:$B$1005,$W5440)=0),N(U5439)+1,N(U5439))</f>
        <v/>
      </c>
      <c r="V5440" s="19">
        <f>IF($B5440="","",TEXT($B5440,"0000"))</f>
        <v/>
      </c>
      <c r="W5440" s="19">
        <f>IF($I5440="","",IF(ISNUMBER($I5440),TEXT($I5440,"0"),$I5440))</f>
        <v/>
      </c>
    </row>
    <row r="5441">
      <c r="B5441" s="25" t="n"/>
      <c r="I5441" s="25" t="n"/>
      <c r="U5441" s="19">
        <f>IF(AND($V5441='設定'!$C$4,COUNTIF('商品マスタ'!$B$6:$B$1005,$W5441)=0),N(U5440)+1,N(U5440))</f>
        <v/>
      </c>
      <c r="V5441" s="19">
        <f>IF($B5441="","",TEXT($B5441,"0000"))</f>
        <v/>
      </c>
      <c r="W5441" s="19">
        <f>IF($I5441="","",IF(ISNUMBER($I5441),TEXT($I5441,"0"),$I5441))</f>
        <v/>
      </c>
    </row>
    <row r="5442">
      <c r="B5442" s="25" t="n"/>
      <c r="I5442" s="25" t="n"/>
      <c r="U5442" s="19">
        <f>IF(AND($V5442='設定'!$C$4,COUNTIF('商品マスタ'!$B$6:$B$1005,$W5442)=0),N(U5441)+1,N(U5441))</f>
        <v/>
      </c>
      <c r="V5442" s="19">
        <f>IF($B5442="","",TEXT($B5442,"0000"))</f>
        <v/>
      </c>
      <c r="W5442" s="19">
        <f>IF($I5442="","",IF(ISNUMBER($I5442),TEXT($I5442,"0"),$I5442))</f>
        <v/>
      </c>
    </row>
    <row r="5443">
      <c r="B5443" s="25" t="n"/>
      <c r="I5443" s="25" t="n"/>
      <c r="U5443" s="19">
        <f>IF(AND($V5443='設定'!$C$4,COUNTIF('商品マスタ'!$B$6:$B$1005,$W5443)=0),N(U5442)+1,N(U5442))</f>
        <v/>
      </c>
      <c r="V5443" s="19">
        <f>IF($B5443="","",TEXT($B5443,"0000"))</f>
        <v/>
      </c>
      <c r="W5443" s="19">
        <f>IF($I5443="","",IF(ISNUMBER($I5443),TEXT($I5443,"0"),$I5443))</f>
        <v/>
      </c>
    </row>
    <row r="5444">
      <c r="B5444" s="25" t="n"/>
      <c r="I5444" s="25" t="n"/>
      <c r="U5444" s="19">
        <f>IF(AND($V5444='設定'!$C$4,COUNTIF('商品マスタ'!$B$6:$B$1005,$W5444)=0),N(U5443)+1,N(U5443))</f>
        <v/>
      </c>
      <c r="V5444" s="19">
        <f>IF($B5444="","",TEXT($B5444,"0000"))</f>
        <v/>
      </c>
      <c r="W5444" s="19">
        <f>IF($I5444="","",IF(ISNUMBER($I5444),TEXT($I5444,"0"),$I5444))</f>
        <v/>
      </c>
    </row>
    <row r="5445">
      <c r="B5445" s="25" t="n"/>
      <c r="I5445" s="25" t="n"/>
      <c r="U5445" s="19">
        <f>IF(AND($V5445='設定'!$C$4,COUNTIF('商品マスタ'!$B$6:$B$1005,$W5445)=0),N(U5444)+1,N(U5444))</f>
        <v/>
      </c>
      <c r="V5445" s="19">
        <f>IF($B5445="","",TEXT($B5445,"0000"))</f>
        <v/>
      </c>
      <c r="W5445" s="19">
        <f>IF($I5445="","",IF(ISNUMBER($I5445),TEXT($I5445,"0"),$I5445))</f>
        <v/>
      </c>
    </row>
    <row r="5446">
      <c r="B5446" s="25" t="n"/>
      <c r="I5446" s="25" t="n"/>
      <c r="U5446" s="19">
        <f>IF(AND($V5446='設定'!$C$4,COUNTIF('商品マスタ'!$B$6:$B$1005,$W5446)=0),N(U5445)+1,N(U5445))</f>
        <v/>
      </c>
      <c r="V5446" s="19">
        <f>IF($B5446="","",TEXT($B5446,"0000"))</f>
        <v/>
      </c>
      <c r="W5446" s="19">
        <f>IF($I5446="","",IF(ISNUMBER($I5446),TEXT($I5446,"0"),$I5446))</f>
        <v/>
      </c>
    </row>
    <row r="5447">
      <c r="B5447" s="25" t="n"/>
      <c r="I5447" s="25" t="n"/>
      <c r="U5447" s="19">
        <f>IF(AND($V5447='設定'!$C$4,COUNTIF('商品マスタ'!$B$6:$B$1005,$W5447)=0),N(U5446)+1,N(U5446))</f>
        <v/>
      </c>
      <c r="V5447" s="19">
        <f>IF($B5447="","",TEXT($B5447,"0000"))</f>
        <v/>
      </c>
      <c r="W5447" s="19">
        <f>IF($I5447="","",IF(ISNUMBER($I5447),TEXT($I5447,"0"),$I5447))</f>
        <v/>
      </c>
    </row>
    <row r="5448">
      <c r="B5448" s="25" t="n"/>
      <c r="I5448" s="25" t="n"/>
      <c r="U5448" s="19">
        <f>IF(AND($V5448='設定'!$C$4,COUNTIF('商品マスタ'!$B$6:$B$1005,$W5448)=0),N(U5447)+1,N(U5447))</f>
        <v/>
      </c>
      <c r="V5448" s="19">
        <f>IF($B5448="","",TEXT($B5448,"0000"))</f>
        <v/>
      </c>
      <c r="W5448" s="19">
        <f>IF($I5448="","",IF(ISNUMBER($I5448),TEXT($I5448,"0"),$I5448))</f>
        <v/>
      </c>
    </row>
    <row r="5449">
      <c r="B5449" s="25" t="n"/>
      <c r="I5449" s="25" t="n"/>
      <c r="U5449" s="19">
        <f>IF(AND($V5449='設定'!$C$4,COUNTIF('商品マスタ'!$B$6:$B$1005,$W5449)=0),N(U5448)+1,N(U5448))</f>
        <v/>
      </c>
      <c r="V5449" s="19">
        <f>IF($B5449="","",TEXT($B5449,"0000"))</f>
        <v/>
      </c>
      <c r="W5449" s="19">
        <f>IF($I5449="","",IF(ISNUMBER($I5449),TEXT($I5449,"0"),$I5449))</f>
        <v/>
      </c>
    </row>
    <row r="5450">
      <c r="B5450" s="25" t="n"/>
      <c r="I5450" s="25" t="n"/>
      <c r="U5450" s="19">
        <f>IF(AND($V5450='設定'!$C$4,COUNTIF('商品マスタ'!$B$6:$B$1005,$W5450)=0),N(U5449)+1,N(U5449))</f>
        <v/>
      </c>
      <c r="V5450" s="19">
        <f>IF($B5450="","",TEXT($B5450,"0000"))</f>
        <v/>
      </c>
      <c r="W5450" s="19">
        <f>IF($I5450="","",IF(ISNUMBER($I5450),TEXT($I5450,"0"),$I5450))</f>
        <v/>
      </c>
    </row>
    <row r="5451">
      <c r="B5451" s="25" t="n"/>
      <c r="I5451" s="25" t="n"/>
      <c r="U5451" s="19">
        <f>IF(AND($V5451='設定'!$C$4,COUNTIF('商品マスタ'!$B$6:$B$1005,$W5451)=0),N(U5450)+1,N(U5450))</f>
        <v/>
      </c>
      <c r="V5451" s="19">
        <f>IF($B5451="","",TEXT($B5451,"0000"))</f>
        <v/>
      </c>
      <c r="W5451" s="19">
        <f>IF($I5451="","",IF(ISNUMBER($I5451),TEXT($I5451,"0"),$I5451))</f>
        <v/>
      </c>
    </row>
    <row r="5452">
      <c r="B5452" s="25" t="n"/>
      <c r="I5452" s="25" t="n"/>
      <c r="U5452" s="19">
        <f>IF(AND($V5452='設定'!$C$4,COUNTIF('商品マスタ'!$B$6:$B$1005,$W5452)=0),N(U5451)+1,N(U5451))</f>
        <v/>
      </c>
      <c r="V5452" s="19">
        <f>IF($B5452="","",TEXT($B5452,"0000"))</f>
        <v/>
      </c>
      <c r="W5452" s="19">
        <f>IF($I5452="","",IF(ISNUMBER($I5452),TEXT($I5452,"0"),$I5452))</f>
        <v/>
      </c>
    </row>
    <row r="5453">
      <c r="B5453" s="25" t="n"/>
      <c r="I5453" s="25" t="n"/>
      <c r="U5453" s="19">
        <f>IF(AND($V5453='設定'!$C$4,COUNTIF('商品マスタ'!$B$6:$B$1005,$W5453)=0),N(U5452)+1,N(U5452))</f>
        <v/>
      </c>
      <c r="V5453" s="19">
        <f>IF($B5453="","",TEXT($B5453,"0000"))</f>
        <v/>
      </c>
      <c r="W5453" s="19">
        <f>IF($I5453="","",IF(ISNUMBER($I5453),TEXT($I5453,"0"),$I5453))</f>
        <v/>
      </c>
    </row>
    <row r="5454">
      <c r="B5454" s="25" t="n"/>
      <c r="I5454" s="25" t="n"/>
      <c r="U5454" s="19">
        <f>IF(AND($V5454='設定'!$C$4,COUNTIF('商品マスタ'!$B$6:$B$1005,$W5454)=0),N(U5453)+1,N(U5453))</f>
        <v/>
      </c>
      <c r="V5454" s="19">
        <f>IF($B5454="","",TEXT($B5454,"0000"))</f>
        <v/>
      </c>
      <c r="W5454" s="19">
        <f>IF($I5454="","",IF(ISNUMBER($I5454),TEXT($I5454,"0"),$I5454))</f>
        <v/>
      </c>
    </row>
    <row r="5455">
      <c r="B5455" s="25" t="n"/>
      <c r="I5455" s="25" t="n"/>
      <c r="U5455" s="19">
        <f>IF(AND($V5455='設定'!$C$4,COUNTIF('商品マスタ'!$B$6:$B$1005,$W5455)=0),N(U5454)+1,N(U5454))</f>
        <v/>
      </c>
      <c r="V5455" s="19">
        <f>IF($B5455="","",TEXT($B5455,"0000"))</f>
        <v/>
      </c>
      <c r="W5455" s="19">
        <f>IF($I5455="","",IF(ISNUMBER($I5455),TEXT($I5455,"0"),$I5455))</f>
        <v/>
      </c>
    </row>
    <row r="5456">
      <c r="B5456" s="25" t="n"/>
      <c r="I5456" s="25" t="n"/>
      <c r="U5456" s="19">
        <f>IF(AND($V5456='設定'!$C$4,COUNTIF('商品マスタ'!$B$6:$B$1005,$W5456)=0),N(U5455)+1,N(U5455))</f>
        <v/>
      </c>
      <c r="V5456" s="19">
        <f>IF($B5456="","",TEXT($B5456,"0000"))</f>
        <v/>
      </c>
      <c r="W5456" s="19">
        <f>IF($I5456="","",IF(ISNUMBER($I5456),TEXT($I5456,"0"),$I5456))</f>
        <v/>
      </c>
    </row>
    <row r="5457">
      <c r="B5457" s="25" t="n"/>
      <c r="I5457" s="25" t="n"/>
      <c r="U5457" s="19">
        <f>IF(AND($V5457='設定'!$C$4,COUNTIF('商品マスタ'!$B$6:$B$1005,$W5457)=0),N(U5456)+1,N(U5456))</f>
        <v/>
      </c>
      <c r="V5457" s="19">
        <f>IF($B5457="","",TEXT($B5457,"0000"))</f>
        <v/>
      </c>
      <c r="W5457" s="19">
        <f>IF($I5457="","",IF(ISNUMBER($I5457),TEXT($I5457,"0"),$I5457))</f>
        <v/>
      </c>
    </row>
    <row r="5458">
      <c r="B5458" s="25" t="n"/>
      <c r="I5458" s="25" t="n"/>
      <c r="U5458" s="19">
        <f>IF(AND($V5458='設定'!$C$4,COUNTIF('商品マスタ'!$B$6:$B$1005,$W5458)=0),N(U5457)+1,N(U5457))</f>
        <v/>
      </c>
      <c r="V5458" s="19">
        <f>IF($B5458="","",TEXT($B5458,"0000"))</f>
        <v/>
      </c>
      <c r="W5458" s="19">
        <f>IF($I5458="","",IF(ISNUMBER($I5458),TEXT($I5458,"0"),$I5458))</f>
        <v/>
      </c>
    </row>
    <row r="5459">
      <c r="B5459" s="25" t="n"/>
      <c r="I5459" s="25" t="n"/>
      <c r="U5459" s="19">
        <f>IF(AND($V5459='設定'!$C$4,COUNTIF('商品マスタ'!$B$6:$B$1005,$W5459)=0),N(U5458)+1,N(U5458))</f>
        <v/>
      </c>
      <c r="V5459" s="19">
        <f>IF($B5459="","",TEXT($B5459,"0000"))</f>
        <v/>
      </c>
      <c r="W5459" s="19">
        <f>IF($I5459="","",IF(ISNUMBER($I5459),TEXT($I5459,"0"),$I5459))</f>
        <v/>
      </c>
    </row>
    <row r="5460">
      <c r="B5460" s="25" t="n"/>
      <c r="I5460" s="25" t="n"/>
      <c r="U5460" s="19">
        <f>IF(AND($V5460='設定'!$C$4,COUNTIF('商品マスタ'!$B$6:$B$1005,$W5460)=0),N(U5459)+1,N(U5459))</f>
        <v/>
      </c>
      <c r="V5460" s="19">
        <f>IF($B5460="","",TEXT($B5460,"0000"))</f>
        <v/>
      </c>
      <c r="W5460" s="19">
        <f>IF($I5460="","",IF(ISNUMBER($I5460),TEXT($I5460,"0"),$I5460))</f>
        <v/>
      </c>
    </row>
    <row r="5461">
      <c r="B5461" s="25" t="n"/>
      <c r="I5461" s="25" t="n"/>
      <c r="U5461" s="19">
        <f>IF(AND($V5461='設定'!$C$4,COUNTIF('商品マスタ'!$B$6:$B$1005,$W5461)=0),N(U5460)+1,N(U5460))</f>
        <v/>
      </c>
      <c r="V5461" s="19">
        <f>IF($B5461="","",TEXT($B5461,"0000"))</f>
        <v/>
      </c>
      <c r="W5461" s="19">
        <f>IF($I5461="","",IF(ISNUMBER($I5461),TEXT($I5461,"0"),$I5461))</f>
        <v/>
      </c>
    </row>
    <row r="5462">
      <c r="B5462" s="25" t="n"/>
      <c r="I5462" s="25" t="n"/>
      <c r="U5462" s="19">
        <f>IF(AND($V5462='設定'!$C$4,COUNTIF('商品マスタ'!$B$6:$B$1005,$W5462)=0),N(U5461)+1,N(U5461))</f>
        <v/>
      </c>
      <c r="V5462" s="19">
        <f>IF($B5462="","",TEXT($B5462,"0000"))</f>
        <v/>
      </c>
      <c r="W5462" s="19">
        <f>IF($I5462="","",IF(ISNUMBER($I5462),TEXT($I5462,"0"),$I5462))</f>
        <v/>
      </c>
    </row>
    <row r="5463">
      <c r="B5463" s="25" t="n"/>
      <c r="I5463" s="25" t="n"/>
      <c r="U5463" s="19">
        <f>IF(AND($V5463='設定'!$C$4,COUNTIF('商品マスタ'!$B$6:$B$1005,$W5463)=0),N(U5462)+1,N(U5462))</f>
        <v/>
      </c>
      <c r="V5463" s="19">
        <f>IF($B5463="","",TEXT($B5463,"0000"))</f>
        <v/>
      </c>
      <c r="W5463" s="19">
        <f>IF($I5463="","",IF(ISNUMBER($I5463),TEXT($I5463,"0"),$I5463))</f>
        <v/>
      </c>
    </row>
    <row r="5464">
      <c r="B5464" s="25" t="n"/>
      <c r="I5464" s="25" t="n"/>
      <c r="U5464" s="19">
        <f>IF(AND($V5464='設定'!$C$4,COUNTIF('商品マスタ'!$B$6:$B$1005,$W5464)=0),N(U5463)+1,N(U5463))</f>
        <v/>
      </c>
      <c r="V5464" s="19">
        <f>IF($B5464="","",TEXT($B5464,"0000"))</f>
        <v/>
      </c>
      <c r="W5464" s="19">
        <f>IF($I5464="","",IF(ISNUMBER($I5464),TEXT($I5464,"0"),$I5464))</f>
        <v/>
      </c>
    </row>
    <row r="5465">
      <c r="B5465" s="25" t="n"/>
      <c r="I5465" s="25" t="n"/>
      <c r="U5465" s="19">
        <f>IF(AND($V5465='設定'!$C$4,COUNTIF('商品マスタ'!$B$6:$B$1005,$W5465)=0),N(U5464)+1,N(U5464))</f>
        <v/>
      </c>
      <c r="V5465" s="19">
        <f>IF($B5465="","",TEXT($B5465,"0000"))</f>
        <v/>
      </c>
      <c r="W5465" s="19">
        <f>IF($I5465="","",IF(ISNUMBER($I5465),TEXT($I5465,"0"),$I5465))</f>
        <v/>
      </c>
    </row>
    <row r="5466">
      <c r="B5466" s="25" t="n"/>
      <c r="I5466" s="25" t="n"/>
      <c r="U5466" s="19">
        <f>IF(AND($V5466='設定'!$C$4,COUNTIF('商品マスタ'!$B$6:$B$1005,$W5466)=0),N(U5465)+1,N(U5465))</f>
        <v/>
      </c>
      <c r="V5466" s="19">
        <f>IF($B5466="","",TEXT($B5466,"0000"))</f>
        <v/>
      </c>
      <c r="W5466" s="19">
        <f>IF($I5466="","",IF(ISNUMBER($I5466),TEXT($I5466,"0"),$I5466))</f>
        <v/>
      </c>
    </row>
    <row r="5467">
      <c r="B5467" s="25" t="n"/>
      <c r="I5467" s="25" t="n"/>
      <c r="U5467" s="19">
        <f>IF(AND($V5467='設定'!$C$4,COUNTIF('商品マスタ'!$B$6:$B$1005,$W5467)=0),N(U5466)+1,N(U5466))</f>
        <v/>
      </c>
      <c r="V5467" s="19">
        <f>IF($B5467="","",TEXT($B5467,"0000"))</f>
        <v/>
      </c>
      <c r="W5467" s="19">
        <f>IF($I5467="","",IF(ISNUMBER($I5467),TEXT($I5467,"0"),$I5467))</f>
        <v/>
      </c>
    </row>
    <row r="5468">
      <c r="B5468" s="25" t="n"/>
      <c r="I5468" s="25" t="n"/>
      <c r="U5468" s="19">
        <f>IF(AND($V5468='設定'!$C$4,COUNTIF('商品マスタ'!$B$6:$B$1005,$W5468)=0),N(U5467)+1,N(U5467))</f>
        <v/>
      </c>
      <c r="V5468" s="19">
        <f>IF($B5468="","",TEXT($B5468,"0000"))</f>
        <v/>
      </c>
      <c r="W5468" s="19">
        <f>IF($I5468="","",IF(ISNUMBER($I5468),TEXT($I5468,"0"),$I5468))</f>
        <v/>
      </c>
    </row>
    <row r="5469">
      <c r="B5469" s="25" t="n"/>
      <c r="I5469" s="25" t="n"/>
      <c r="U5469" s="19">
        <f>IF(AND($V5469='設定'!$C$4,COUNTIF('商品マスタ'!$B$6:$B$1005,$W5469)=0),N(U5468)+1,N(U5468))</f>
        <v/>
      </c>
      <c r="V5469" s="19">
        <f>IF($B5469="","",TEXT($B5469,"0000"))</f>
        <v/>
      </c>
      <c r="W5469" s="19">
        <f>IF($I5469="","",IF(ISNUMBER($I5469),TEXT($I5469,"0"),$I5469))</f>
        <v/>
      </c>
    </row>
    <row r="5470">
      <c r="B5470" s="25" t="n"/>
      <c r="I5470" s="25" t="n"/>
      <c r="U5470" s="19">
        <f>IF(AND($V5470='設定'!$C$4,COUNTIF('商品マスタ'!$B$6:$B$1005,$W5470)=0),N(U5469)+1,N(U5469))</f>
        <v/>
      </c>
      <c r="V5470" s="19">
        <f>IF($B5470="","",TEXT($B5470,"0000"))</f>
        <v/>
      </c>
      <c r="W5470" s="19">
        <f>IF($I5470="","",IF(ISNUMBER($I5470),TEXT($I5470,"0"),$I5470))</f>
        <v/>
      </c>
    </row>
    <row r="5471">
      <c r="B5471" s="25" t="n"/>
      <c r="I5471" s="25" t="n"/>
      <c r="U5471" s="19">
        <f>IF(AND($V5471='設定'!$C$4,COUNTIF('商品マスタ'!$B$6:$B$1005,$W5471)=0),N(U5470)+1,N(U5470))</f>
        <v/>
      </c>
      <c r="V5471" s="19">
        <f>IF($B5471="","",TEXT($B5471,"0000"))</f>
        <v/>
      </c>
      <c r="W5471" s="19">
        <f>IF($I5471="","",IF(ISNUMBER($I5471),TEXT($I5471,"0"),$I5471))</f>
        <v/>
      </c>
    </row>
    <row r="5472">
      <c r="B5472" s="25" t="n"/>
      <c r="I5472" s="25" t="n"/>
      <c r="U5472" s="19">
        <f>IF(AND($V5472='設定'!$C$4,COUNTIF('商品マスタ'!$B$6:$B$1005,$W5472)=0),N(U5471)+1,N(U5471))</f>
        <v/>
      </c>
      <c r="V5472" s="19">
        <f>IF($B5472="","",TEXT($B5472,"0000"))</f>
        <v/>
      </c>
      <c r="W5472" s="19">
        <f>IF($I5472="","",IF(ISNUMBER($I5472),TEXT($I5472,"0"),$I5472))</f>
        <v/>
      </c>
    </row>
    <row r="5473">
      <c r="B5473" s="25" t="n"/>
      <c r="I5473" s="25" t="n"/>
      <c r="U5473" s="19">
        <f>IF(AND($V5473='設定'!$C$4,COUNTIF('商品マスタ'!$B$6:$B$1005,$W5473)=0),N(U5472)+1,N(U5472))</f>
        <v/>
      </c>
      <c r="V5473" s="19">
        <f>IF($B5473="","",TEXT($B5473,"0000"))</f>
        <v/>
      </c>
      <c r="W5473" s="19">
        <f>IF($I5473="","",IF(ISNUMBER($I5473),TEXT($I5473,"0"),$I5473))</f>
        <v/>
      </c>
    </row>
    <row r="5474">
      <c r="B5474" s="25" t="n"/>
      <c r="I5474" s="25" t="n"/>
      <c r="U5474" s="19">
        <f>IF(AND($V5474='設定'!$C$4,COUNTIF('商品マスタ'!$B$6:$B$1005,$W5474)=0),N(U5473)+1,N(U5473))</f>
        <v/>
      </c>
      <c r="V5474" s="19">
        <f>IF($B5474="","",TEXT($B5474,"0000"))</f>
        <v/>
      </c>
      <c r="W5474" s="19">
        <f>IF($I5474="","",IF(ISNUMBER($I5474),TEXT($I5474,"0"),$I5474))</f>
        <v/>
      </c>
    </row>
    <row r="5475">
      <c r="B5475" s="25" t="n"/>
      <c r="I5475" s="25" t="n"/>
      <c r="U5475" s="19">
        <f>IF(AND($V5475='設定'!$C$4,COUNTIF('商品マスタ'!$B$6:$B$1005,$W5475)=0),N(U5474)+1,N(U5474))</f>
        <v/>
      </c>
      <c r="V5475" s="19">
        <f>IF($B5475="","",TEXT($B5475,"0000"))</f>
        <v/>
      </c>
      <c r="W5475" s="19">
        <f>IF($I5475="","",IF(ISNUMBER($I5475),TEXT($I5475,"0"),$I5475))</f>
        <v/>
      </c>
    </row>
    <row r="5476">
      <c r="B5476" s="25" t="n"/>
      <c r="I5476" s="25" t="n"/>
      <c r="U5476" s="19">
        <f>IF(AND($V5476='設定'!$C$4,COUNTIF('商品マスタ'!$B$6:$B$1005,$W5476)=0),N(U5475)+1,N(U5475))</f>
        <v/>
      </c>
      <c r="V5476" s="19">
        <f>IF($B5476="","",TEXT($B5476,"0000"))</f>
        <v/>
      </c>
      <c r="W5476" s="19">
        <f>IF($I5476="","",IF(ISNUMBER($I5476),TEXT($I5476,"0"),$I5476))</f>
        <v/>
      </c>
    </row>
    <row r="5477">
      <c r="B5477" s="25" t="n"/>
      <c r="I5477" s="25" t="n"/>
      <c r="U5477" s="19">
        <f>IF(AND($V5477='設定'!$C$4,COUNTIF('商品マスタ'!$B$6:$B$1005,$W5477)=0),N(U5476)+1,N(U5476))</f>
        <v/>
      </c>
      <c r="V5477" s="19">
        <f>IF($B5477="","",TEXT($B5477,"0000"))</f>
        <v/>
      </c>
      <c r="W5477" s="19">
        <f>IF($I5477="","",IF(ISNUMBER($I5477),TEXT($I5477,"0"),$I5477))</f>
        <v/>
      </c>
    </row>
    <row r="5478">
      <c r="B5478" s="25" t="n"/>
      <c r="I5478" s="25" t="n"/>
      <c r="U5478" s="19">
        <f>IF(AND($V5478='設定'!$C$4,COUNTIF('商品マスタ'!$B$6:$B$1005,$W5478)=0),N(U5477)+1,N(U5477))</f>
        <v/>
      </c>
      <c r="V5478" s="19">
        <f>IF($B5478="","",TEXT($B5478,"0000"))</f>
        <v/>
      </c>
      <c r="W5478" s="19">
        <f>IF($I5478="","",IF(ISNUMBER($I5478),TEXT($I5478,"0"),$I5478))</f>
        <v/>
      </c>
    </row>
    <row r="5479">
      <c r="B5479" s="25" t="n"/>
      <c r="I5479" s="25" t="n"/>
      <c r="U5479" s="19">
        <f>IF(AND($V5479='設定'!$C$4,COUNTIF('商品マスタ'!$B$6:$B$1005,$W5479)=0),N(U5478)+1,N(U5478))</f>
        <v/>
      </c>
      <c r="V5479" s="19">
        <f>IF($B5479="","",TEXT($B5479,"0000"))</f>
        <v/>
      </c>
      <c r="W5479" s="19">
        <f>IF($I5479="","",IF(ISNUMBER($I5479),TEXT($I5479,"0"),$I5479))</f>
        <v/>
      </c>
    </row>
    <row r="5480">
      <c r="B5480" s="25" t="n"/>
      <c r="I5480" s="25" t="n"/>
      <c r="U5480" s="19">
        <f>IF(AND($V5480='設定'!$C$4,COUNTIF('商品マスタ'!$B$6:$B$1005,$W5480)=0),N(U5479)+1,N(U5479))</f>
        <v/>
      </c>
      <c r="V5480" s="19">
        <f>IF($B5480="","",TEXT($B5480,"0000"))</f>
        <v/>
      </c>
      <c r="W5480" s="19">
        <f>IF($I5480="","",IF(ISNUMBER($I5480),TEXT($I5480,"0"),$I5480))</f>
        <v/>
      </c>
    </row>
    <row r="5481">
      <c r="B5481" s="25" t="n"/>
      <c r="I5481" s="25" t="n"/>
      <c r="U5481" s="19">
        <f>IF(AND($V5481='設定'!$C$4,COUNTIF('商品マスタ'!$B$6:$B$1005,$W5481)=0),N(U5480)+1,N(U5480))</f>
        <v/>
      </c>
      <c r="V5481" s="19">
        <f>IF($B5481="","",TEXT($B5481,"0000"))</f>
        <v/>
      </c>
      <c r="W5481" s="19">
        <f>IF($I5481="","",IF(ISNUMBER($I5481),TEXT($I5481,"0"),$I5481))</f>
        <v/>
      </c>
    </row>
    <row r="5482">
      <c r="B5482" s="25" t="n"/>
      <c r="I5482" s="25" t="n"/>
      <c r="U5482" s="19">
        <f>IF(AND($V5482='設定'!$C$4,COUNTIF('商品マスタ'!$B$6:$B$1005,$W5482)=0),N(U5481)+1,N(U5481))</f>
        <v/>
      </c>
      <c r="V5482" s="19">
        <f>IF($B5482="","",TEXT($B5482,"0000"))</f>
        <v/>
      </c>
      <c r="W5482" s="19">
        <f>IF($I5482="","",IF(ISNUMBER($I5482),TEXT($I5482,"0"),$I5482))</f>
        <v/>
      </c>
    </row>
    <row r="5483">
      <c r="B5483" s="25" t="n"/>
      <c r="I5483" s="25" t="n"/>
      <c r="U5483" s="19">
        <f>IF(AND($V5483='設定'!$C$4,COUNTIF('商品マスタ'!$B$6:$B$1005,$W5483)=0),N(U5482)+1,N(U5482))</f>
        <v/>
      </c>
      <c r="V5483" s="19">
        <f>IF($B5483="","",TEXT($B5483,"0000"))</f>
        <v/>
      </c>
      <c r="W5483" s="19">
        <f>IF($I5483="","",IF(ISNUMBER($I5483),TEXT($I5483,"0"),$I5483))</f>
        <v/>
      </c>
    </row>
    <row r="5484">
      <c r="B5484" s="25" t="n"/>
      <c r="I5484" s="25" t="n"/>
      <c r="U5484" s="19">
        <f>IF(AND($V5484='設定'!$C$4,COUNTIF('商品マスタ'!$B$6:$B$1005,$W5484)=0),N(U5483)+1,N(U5483))</f>
        <v/>
      </c>
      <c r="V5484" s="19">
        <f>IF($B5484="","",TEXT($B5484,"0000"))</f>
        <v/>
      </c>
      <c r="W5484" s="19">
        <f>IF($I5484="","",IF(ISNUMBER($I5484),TEXT($I5484,"0"),$I5484))</f>
        <v/>
      </c>
    </row>
    <row r="5485">
      <c r="B5485" s="25" t="n"/>
      <c r="I5485" s="25" t="n"/>
      <c r="U5485" s="19">
        <f>IF(AND($V5485='設定'!$C$4,COUNTIF('商品マスタ'!$B$6:$B$1005,$W5485)=0),N(U5484)+1,N(U5484))</f>
        <v/>
      </c>
      <c r="V5485" s="19">
        <f>IF($B5485="","",TEXT($B5485,"0000"))</f>
        <v/>
      </c>
      <c r="W5485" s="19">
        <f>IF($I5485="","",IF(ISNUMBER($I5485),TEXT($I5485,"0"),$I5485))</f>
        <v/>
      </c>
    </row>
    <row r="5486">
      <c r="B5486" s="25" t="n"/>
      <c r="I5486" s="25" t="n"/>
      <c r="U5486" s="19">
        <f>IF(AND($V5486='設定'!$C$4,COUNTIF('商品マスタ'!$B$6:$B$1005,$W5486)=0),N(U5485)+1,N(U5485))</f>
        <v/>
      </c>
      <c r="V5486" s="19">
        <f>IF($B5486="","",TEXT($B5486,"0000"))</f>
        <v/>
      </c>
      <c r="W5486" s="19">
        <f>IF($I5486="","",IF(ISNUMBER($I5486),TEXT($I5486,"0"),$I5486))</f>
        <v/>
      </c>
    </row>
    <row r="5487">
      <c r="B5487" s="25" t="n"/>
      <c r="I5487" s="25" t="n"/>
      <c r="U5487" s="19">
        <f>IF(AND($V5487='設定'!$C$4,COUNTIF('商品マスタ'!$B$6:$B$1005,$W5487)=0),N(U5486)+1,N(U5486))</f>
        <v/>
      </c>
      <c r="V5487" s="19">
        <f>IF($B5487="","",TEXT($B5487,"0000"))</f>
        <v/>
      </c>
      <c r="W5487" s="19">
        <f>IF($I5487="","",IF(ISNUMBER($I5487),TEXT($I5487,"0"),$I5487))</f>
        <v/>
      </c>
    </row>
    <row r="5488">
      <c r="B5488" s="25" t="n"/>
      <c r="I5488" s="25" t="n"/>
      <c r="U5488" s="19">
        <f>IF(AND($V5488='設定'!$C$4,COUNTIF('商品マスタ'!$B$6:$B$1005,$W5488)=0),N(U5487)+1,N(U5487))</f>
        <v/>
      </c>
      <c r="V5488" s="19">
        <f>IF($B5488="","",TEXT($B5488,"0000"))</f>
        <v/>
      </c>
      <c r="W5488" s="19">
        <f>IF($I5488="","",IF(ISNUMBER($I5488),TEXT($I5488,"0"),$I5488))</f>
        <v/>
      </c>
    </row>
    <row r="5489">
      <c r="B5489" s="25" t="n"/>
      <c r="I5489" s="25" t="n"/>
      <c r="U5489" s="19">
        <f>IF(AND($V5489='設定'!$C$4,COUNTIF('商品マスタ'!$B$6:$B$1005,$W5489)=0),N(U5488)+1,N(U5488))</f>
        <v/>
      </c>
      <c r="V5489" s="19">
        <f>IF($B5489="","",TEXT($B5489,"0000"))</f>
        <v/>
      </c>
      <c r="W5489" s="19">
        <f>IF($I5489="","",IF(ISNUMBER($I5489),TEXT($I5489,"0"),$I5489))</f>
        <v/>
      </c>
    </row>
    <row r="5490">
      <c r="B5490" s="25" t="n"/>
      <c r="I5490" s="25" t="n"/>
      <c r="U5490" s="19">
        <f>IF(AND($V5490='設定'!$C$4,COUNTIF('商品マスタ'!$B$6:$B$1005,$W5490)=0),N(U5489)+1,N(U5489))</f>
        <v/>
      </c>
      <c r="V5490" s="19">
        <f>IF($B5490="","",TEXT($B5490,"0000"))</f>
        <v/>
      </c>
      <c r="W5490" s="19">
        <f>IF($I5490="","",IF(ISNUMBER($I5490),TEXT($I5490,"0"),$I5490))</f>
        <v/>
      </c>
    </row>
    <row r="5491">
      <c r="B5491" s="25" t="n"/>
      <c r="I5491" s="25" t="n"/>
      <c r="U5491" s="19">
        <f>IF(AND($V5491='設定'!$C$4,COUNTIF('商品マスタ'!$B$6:$B$1005,$W5491)=0),N(U5490)+1,N(U5490))</f>
        <v/>
      </c>
      <c r="V5491" s="19">
        <f>IF($B5491="","",TEXT($B5491,"0000"))</f>
        <v/>
      </c>
      <c r="W5491" s="19">
        <f>IF($I5491="","",IF(ISNUMBER($I5491),TEXT($I5491,"0"),$I5491))</f>
        <v/>
      </c>
    </row>
    <row r="5492">
      <c r="B5492" s="25" t="n"/>
      <c r="I5492" s="25" t="n"/>
      <c r="U5492" s="19">
        <f>IF(AND($V5492='設定'!$C$4,COUNTIF('商品マスタ'!$B$6:$B$1005,$W5492)=0),N(U5491)+1,N(U5491))</f>
        <v/>
      </c>
      <c r="V5492" s="19">
        <f>IF($B5492="","",TEXT($B5492,"0000"))</f>
        <v/>
      </c>
      <c r="W5492" s="19">
        <f>IF($I5492="","",IF(ISNUMBER($I5492),TEXT($I5492,"0"),$I5492))</f>
        <v/>
      </c>
    </row>
    <row r="5493">
      <c r="B5493" s="25" t="n"/>
      <c r="I5493" s="25" t="n"/>
      <c r="U5493" s="19">
        <f>IF(AND($V5493='設定'!$C$4,COUNTIF('商品マスタ'!$B$6:$B$1005,$W5493)=0),N(U5492)+1,N(U5492))</f>
        <v/>
      </c>
      <c r="V5493" s="19">
        <f>IF($B5493="","",TEXT($B5493,"0000"))</f>
        <v/>
      </c>
      <c r="W5493" s="19">
        <f>IF($I5493="","",IF(ISNUMBER($I5493),TEXT($I5493,"0"),$I5493))</f>
        <v/>
      </c>
    </row>
    <row r="5494">
      <c r="B5494" s="25" t="n"/>
      <c r="I5494" s="25" t="n"/>
      <c r="U5494" s="19">
        <f>IF(AND($V5494='設定'!$C$4,COUNTIF('商品マスタ'!$B$6:$B$1005,$W5494)=0),N(U5493)+1,N(U5493))</f>
        <v/>
      </c>
      <c r="V5494" s="19">
        <f>IF($B5494="","",TEXT($B5494,"0000"))</f>
        <v/>
      </c>
      <c r="W5494" s="19">
        <f>IF($I5494="","",IF(ISNUMBER($I5494),TEXT($I5494,"0"),$I5494))</f>
        <v/>
      </c>
    </row>
    <row r="5495">
      <c r="B5495" s="25" t="n"/>
      <c r="I5495" s="25" t="n"/>
      <c r="U5495" s="19">
        <f>IF(AND($V5495='設定'!$C$4,COUNTIF('商品マスタ'!$B$6:$B$1005,$W5495)=0),N(U5494)+1,N(U5494))</f>
        <v/>
      </c>
      <c r="V5495" s="19">
        <f>IF($B5495="","",TEXT($B5495,"0000"))</f>
        <v/>
      </c>
      <c r="W5495" s="19">
        <f>IF($I5495="","",IF(ISNUMBER($I5495),TEXT($I5495,"0"),$I5495))</f>
        <v/>
      </c>
    </row>
    <row r="5496">
      <c r="B5496" s="25" t="n"/>
      <c r="I5496" s="25" t="n"/>
      <c r="U5496" s="19">
        <f>IF(AND($V5496='設定'!$C$4,COUNTIF('商品マスタ'!$B$6:$B$1005,$W5496)=0),N(U5495)+1,N(U5495))</f>
        <v/>
      </c>
      <c r="V5496" s="19">
        <f>IF($B5496="","",TEXT($B5496,"0000"))</f>
        <v/>
      </c>
      <c r="W5496" s="19">
        <f>IF($I5496="","",IF(ISNUMBER($I5496),TEXT($I5496,"0"),$I5496))</f>
        <v/>
      </c>
    </row>
    <row r="5497">
      <c r="B5497" s="25" t="n"/>
      <c r="I5497" s="25" t="n"/>
      <c r="U5497" s="19">
        <f>IF(AND($V5497='設定'!$C$4,COUNTIF('商品マスタ'!$B$6:$B$1005,$W5497)=0),N(U5496)+1,N(U5496))</f>
        <v/>
      </c>
      <c r="V5497" s="19">
        <f>IF($B5497="","",TEXT($B5497,"0000"))</f>
        <v/>
      </c>
      <c r="W5497" s="19">
        <f>IF($I5497="","",IF(ISNUMBER($I5497),TEXT($I5497,"0"),$I5497))</f>
        <v/>
      </c>
    </row>
    <row r="5498">
      <c r="B5498" s="25" t="n"/>
      <c r="I5498" s="25" t="n"/>
      <c r="U5498" s="19">
        <f>IF(AND($V5498='設定'!$C$4,COUNTIF('商品マスタ'!$B$6:$B$1005,$W5498)=0),N(U5497)+1,N(U5497))</f>
        <v/>
      </c>
      <c r="V5498" s="19">
        <f>IF($B5498="","",TEXT($B5498,"0000"))</f>
        <v/>
      </c>
      <c r="W5498" s="19">
        <f>IF($I5498="","",IF(ISNUMBER($I5498),TEXT($I5498,"0"),$I5498))</f>
        <v/>
      </c>
    </row>
    <row r="5499">
      <c r="B5499" s="25" t="n"/>
      <c r="I5499" s="25" t="n"/>
      <c r="U5499" s="19">
        <f>IF(AND($V5499='設定'!$C$4,COUNTIF('商品マスタ'!$B$6:$B$1005,$W5499)=0),N(U5498)+1,N(U5498))</f>
        <v/>
      </c>
      <c r="V5499" s="19">
        <f>IF($B5499="","",TEXT($B5499,"0000"))</f>
        <v/>
      </c>
      <c r="W5499" s="19">
        <f>IF($I5499="","",IF(ISNUMBER($I5499),TEXT($I5499,"0"),$I5499))</f>
        <v/>
      </c>
    </row>
    <row r="5500">
      <c r="B5500" s="25" t="n"/>
      <c r="I5500" s="25" t="n"/>
      <c r="U5500" s="19">
        <f>IF(AND($V5500='設定'!$C$4,COUNTIF('商品マスタ'!$B$6:$B$1005,$W5500)=0),N(U5499)+1,N(U5499))</f>
        <v/>
      </c>
      <c r="V5500" s="19">
        <f>IF($B5500="","",TEXT($B5500,"0000"))</f>
        <v/>
      </c>
      <c r="W5500" s="19">
        <f>IF($I5500="","",IF(ISNUMBER($I5500),TEXT($I5500,"0"),$I5500))</f>
        <v/>
      </c>
    </row>
    <row r="5501">
      <c r="B5501" s="25" t="n"/>
      <c r="I5501" s="25" t="n"/>
      <c r="U5501" s="19">
        <f>IF(AND($V5501='設定'!$C$4,COUNTIF('商品マスタ'!$B$6:$B$1005,$W5501)=0),N(U5500)+1,N(U5500))</f>
        <v/>
      </c>
      <c r="V5501" s="19">
        <f>IF($B5501="","",TEXT($B5501,"0000"))</f>
        <v/>
      </c>
      <c r="W5501" s="19">
        <f>IF($I5501="","",IF(ISNUMBER($I5501),TEXT($I5501,"0"),$I5501))</f>
        <v/>
      </c>
    </row>
    <row r="5502">
      <c r="B5502" s="25" t="n"/>
      <c r="I5502" s="25" t="n"/>
      <c r="U5502" s="19">
        <f>IF(AND($V5502='設定'!$C$4,COUNTIF('商品マスタ'!$B$6:$B$1005,$W5502)=0),N(U5501)+1,N(U5501))</f>
        <v/>
      </c>
      <c r="V5502" s="19">
        <f>IF($B5502="","",TEXT($B5502,"0000"))</f>
        <v/>
      </c>
      <c r="W5502" s="19">
        <f>IF($I5502="","",IF(ISNUMBER($I5502),TEXT($I5502,"0"),$I5502))</f>
        <v/>
      </c>
    </row>
    <row r="5503">
      <c r="B5503" s="25" t="n"/>
      <c r="I5503" s="25" t="n"/>
      <c r="U5503" s="19">
        <f>IF(AND($V5503='設定'!$C$4,COUNTIF('商品マスタ'!$B$6:$B$1005,$W5503)=0),N(U5502)+1,N(U5502))</f>
        <v/>
      </c>
      <c r="V5503" s="19">
        <f>IF($B5503="","",TEXT($B5503,"0000"))</f>
        <v/>
      </c>
      <c r="W5503" s="19">
        <f>IF($I5503="","",IF(ISNUMBER($I5503),TEXT($I5503,"0"),$I5503))</f>
        <v/>
      </c>
    </row>
    <row r="5504">
      <c r="B5504" s="25" t="n"/>
      <c r="I5504" s="25" t="n"/>
      <c r="U5504" s="19">
        <f>IF(AND($V5504='設定'!$C$4,COUNTIF('商品マスタ'!$B$6:$B$1005,$W5504)=0),N(U5503)+1,N(U5503))</f>
        <v/>
      </c>
      <c r="V5504" s="19">
        <f>IF($B5504="","",TEXT($B5504,"0000"))</f>
        <v/>
      </c>
      <c r="W5504" s="19">
        <f>IF($I5504="","",IF(ISNUMBER($I5504),TEXT($I5504,"0"),$I5504))</f>
        <v/>
      </c>
    </row>
    <row r="5505">
      <c r="B5505" s="25" t="n"/>
      <c r="I5505" s="25" t="n"/>
      <c r="U5505" s="19">
        <f>IF(AND($V5505='設定'!$C$4,COUNTIF('商品マスタ'!$B$6:$B$1005,$W5505)=0),N(U5504)+1,N(U5504))</f>
        <v/>
      </c>
      <c r="V5505" s="19">
        <f>IF($B5505="","",TEXT($B5505,"0000"))</f>
        <v/>
      </c>
      <c r="W5505" s="19">
        <f>IF($I5505="","",IF(ISNUMBER($I5505),TEXT($I5505,"0"),$I5505))</f>
        <v/>
      </c>
    </row>
    <row r="5506">
      <c r="B5506" s="25" t="n"/>
      <c r="I5506" s="25" t="n"/>
      <c r="U5506" s="19">
        <f>IF(AND($V5506='設定'!$C$4,COUNTIF('商品マスタ'!$B$6:$B$1005,$W5506)=0),N(U5505)+1,N(U5505))</f>
        <v/>
      </c>
      <c r="V5506" s="19">
        <f>IF($B5506="","",TEXT($B5506,"0000"))</f>
        <v/>
      </c>
      <c r="W5506" s="19">
        <f>IF($I5506="","",IF(ISNUMBER($I5506),TEXT($I5506,"0"),$I5506))</f>
        <v/>
      </c>
    </row>
    <row r="5507">
      <c r="B5507" s="25" t="n"/>
      <c r="I5507" s="25" t="n"/>
      <c r="U5507" s="19">
        <f>IF(AND($V5507='設定'!$C$4,COUNTIF('商品マスタ'!$B$6:$B$1005,$W5507)=0),N(U5506)+1,N(U5506))</f>
        <v/>
      </c>
      <c r="V5507" s="19">
        <f>IF($B5507="","",TEXT($B5507,"0000"))</f>
        <v/>
      </c>
      <c r="W5507" s="19">
        <f>IF($I5507="","",IF(ISNUMBER($I5507),TEXT($I5507,"0"),$I5507))</f>
        <v/>
      </c>
    </row>
    <row r="5508">
      <c r="B5508" s="25" t="n"/>
      <c r="I5508" s="25" t="n"/>
      <c r="U5508" s="19">
        <f>IF(AND($V5508='設定'!$C$4,COUNTIF('商品マスタ'!$B$6:$B$1005,$W5508)=0),N(U5507)+1,N(U5507))</f>
        <v/>
      </c>
      <c r="V5508" s="19">
        <f>IF($B5508="","",TEXT($B5508,"0000"))</f>
        <v/>
      </c>
      <c r="W5508" s="19">
        <f>IF($I5508="","",IF(ISNUMBER($I5508),TEXT($I5508,"0"),$I5508))</f>
        <v/>
      </c>
    </row>
    <row r="5509">
      <c r="B5509" s="25" t="n"/>
      <c r="I5509" s="25" t="n"/>
      <c r="U5509" s="19">
        <f>IF(AND($V5509='設定'!$C$4,COUNTIF('商品マスタ'!$B$6:$B$1005,$W5509)=0),N(U5508)+1,N(U5508))</f>
        <v/>
      </c>
      <c r="V5509" s="19">
        <f>IF($B5509="","",TEXT($B5509,"0000"))</f>
        <v/>
      </c>
      <c r="W5509" s="19">
        <f>IF($I5509="","",IF(ISNUMBER($I5509),TEXT($I5509,"0"),$I5509))</f>
        <v/>
      </c>
    </row>
    <row r="5510">
      <c r="B5510" s="25" t="n"/>
      <c r="I5510" s="25" t="n"/>
      <c r="U5510" s="19">
        <f>IF(AND($V5510='設定'!$C$4,COUNTIF('商品マスタ'!$B$6:$B$1005,$W5510)=0),N(U5509)+1,N(U5509))</f>
        <v/>
      </c>
      <c r="V5510" s="19">
        <f>IF($B5510="","",TEXT($B5510,"0000"))</f>
        <v/>
      </c>
      <c r="W5510" s="19">
        <f>IF($I5510="","",IF(ISNUMBER($I5510),TEXT($I5510,"0"),$I5510))</f>
        <v/>
      </c>
    </row>
    <row r="5511">
      <c r="B5511" s="25" t="n"/>
      <c r="I5511" s="25" t="n"/>
      <c r="U5511" s="19">
        <f>IF(AND($V5511='設定'!$C$4,COUNTIF('商品マスタ'!$B$6:$B$1005,$W5511)=0),N(U5510)+1,N(U5510))</f>
        <v/>
      </c>
      <c r="V5511" s="19">
        <f>IF($B5511="","",TEXT($B5511,"0000"))</f>
        <v/>
      </c>
      <c r="W5511" s="19">
        <f>IF($I5511="","",IF(ISNUMBER($I5511),TEXT($I5511,"0"),$I5511))</f>
        <v/>
      </c>
    </row>
    <row r="5512">
      <c r="B5512" s="25" t="n"/>
      <c r="I5512" s="25" t="n"/>
      <c r="U5512" s="19">
        <f>IF(AND($V5512='設定'!$C$4,COUNTIF('商品マスタ'!$B$6:$B$1005,$W5512)=0),N(U5511)+1,N(U5511))</f>
        <v/>
      </c>
      <c r="V5512" s="19">
        <f>IF($B5512="","",TEXT($B5512,"0000"))</f>
        <v/>
      </c>
      <c r="W5512" s="19">
        <f>IF($I5512="","",IF(ISNUMBER($I5512),TEXT($I5512,"0"),$I5512))</f>
        <v/>
      </c>
    </row>
    <row r="5513">
      <c r="B5513" s="25" t="n"/>
      <c r="I5513" s="25" t="n"/>
      <c r="U5513" s="19">
        <f>IF(AND($V5513='設定'!$C$4,COUNTIF('商品マスタ'!$B$6:$B$1005,$W5513)=0),N(U5512)+1,N(U5512))</f>
        <v/>
      </c>
      <c r="V5513" s="19">
        <f>IF($B5513="","",TEXT($B5513,"0000"))</f>
        <v/>
      </c>
      <c r="W5513" s="19">
        <f>IF($I5513="","",IF(ISNUMBER($I5513),TEXT($I5513,"0"),$I5513))</f>
        <v/>
      </c>
    </row>
    <row r="5514">
      <c r="B5514" s="25" t="n"/>
      <c r="I5514" s="25" t="n"/>
      <c r="U5514" s="19">
        <f>IF(AND($V5514='設定'!$C$4,COUNTIF('商品マスタ'!$B$6:$B$1005,$W5514)=0),N(U5513)+1,N(U5513))</f>
        <v/>
      </c>
      <c r="V5514" s="19">
        <f>IF($B5514="","",TEXT($B5514,"0000"))</f>
        <v/>
      </c>
      <c r="W5514" s="19">
        <f>IF($I5514="","",IF(ISNUMBER($I5514),TEXT($I5514,"0"),$I5514))</f>
        <v/>
      </c>
    </row>
    <row r="5515">
      <c r="B5515" s="25" t="n"/>
      <c r="I5515" s="25" t="n"/>
      <c r="U5515" s="19">
        <f>IF(AND($V5515='設定'!$C$4,COUNTIF('商品マスタ'!$B$6:$B$1005,$W5515)=0),N(U5514)+1,N(U5514))</f>
        <v/>
      </c>
      <c r="V5515" s="19">
        <f>IF($B5515="","",TEXT($B5515,"0000"))</f>
        <v/>
      </c>
      <c r="W5515" s="19">
        <f>IF($I5515="","",IF(ISNUMBER($I5515),TEXT($I5515,"0"),$I5515))</f>
        <v/>
      </c>
    </row>
    <row r="5516">
      <c r="B5516" s="25" t="n"/>
      <c r="I5516" s="25" t="n"/>
      <c r="U5516" s="19">
        <f>IF(AND($V5516='設定'!$C$4,COUNTIF('商品マスタ'!$B$6:$B$1005,$W5516)=0),N(U5515)+1,N(U5515))</f>
        <v/>
      </c>
      <c r="V5516" s="19">
        <f>IF($B5516="","",TEXT($B5516,"0000"))</f>
        <v/>
      </c>
      <c r="W5516" s="19">
        <f>IF($I5516="","",IF(ISNUMBER($I5516),TEXT($I5516,"0"),$I5516))</f>
        <v/>
      </c>
    </row>
    <row r="5517">
      <c r="B5517" s="25" t="n"/>
      <c r="I5517" s="25" t="n"/>
      <c r="U5517" s="19">
        <f>IF(AND($V5517='設定'!$C$4,COUNTIF('商品マスタ'!$B$6:$B$1005,$W5517)=0),N(U5516)+1,N(U5516))</f>
        <v/>
      </c>
      <c r="V5517" s="19">
        <f>IF($B5517="","",TEXT($B5517,"0000"))</f>
        <v/>
      </c>
      <c r="W5517" s="19">
        <f>IF($I5517="","",IF(ISNUMBER($I5517),TEXT($I5517,"0"),$I5517))</f>
        <v/>
      </c>
    </row>
    <row r="5518">
      <c r="B5518" s="25" t="n"/>
      <c r="I5518" s="25" t="n"/>
      <c r="U5518" s="19">
        <f>IF(AND($V5518='設定'!$C$4,COUNTIF('商品マスタ'!$B$6:$B$1005,$W5518)=0),N(U5517)+1,N(U5517))</f>
        <v/>
      </c>
      <c r="V5518" s="19">
        <f>IF($B5518="","",TEXT($B5518,"0000"))</f>
        <v/>
      </c>
      <c r="W5518" s="19">
        <f>IF($I5518="","",IF(ISNUMBER($I5518),TEXT($I5518,"0"),$I5518))</f>
        <v/>
      </c>
    </row>
    <row r="5519">
      <c r="B5519" s="25" t="n"/>
      <c r="I5519" s="25" t="n"/>
      <c r="U5519" s="19">
        <f>IF(AND($V5519='設定'!$C$4,COUNTIF('商品マスタ'!$B$6:$B$1005,$W5519)=0),N(U5518)+1,N(U5518))</f>
        <v/>
      </c>
      <c r="V5519" s="19">
        <f>IF($B5519="","",TEXT($B5519,"0000"))</f>
        <v/>
      </c>
      <c r="W5519" s="19">
        <f>IF($I5519="","",IF(ISNUMBER($I5519),TEXT($I5519,"0"),$I5519))</f>
        <v/>
      </c>
    </row>
    <row r="5520">
      <c r="B5520" s="25" t="n"/>
      <c r="I5520" s="25" t="n"/>
      <c r="U5520" s="19">
        <f>IF(AND($V5520='設定'!$C$4,COUNTIF('商品マスタ'!$B$6:$B$1005,$W5520)=0),N(U5519)+1,N(U5519))</f>
        <v/>
      </c>
      <c r="V5520" s="19">
        <f>IF($B5520="","",TEXT($B5520,"0000"))</f>
        <v/>
      </c>
      <c r="W5520" s="19">
        <f>IF($I5520="","",IF(ISNUMBER($I5520),TEXT($I5520,"0"),$I5520))</f>
        <v/>
      </c>
    </row>
    <row r="5521">
      <c r="B5521" s="25" t="n"/>
      <c r="I5521" s="25" t="n"/>
      <c r="U5521" s="19">
        <f>IF(AND($V5521='設定'!$C$4,COUNTIF('商品マスタ'!$B$6:$B$1005,$W5521)=0),N(U5520)+1,N(U5520))</f>
        <v/>
      </c>
      <c r="V5521" s="19">
        <f>IF($B5521="","",TEXT($B5521,"0000"))</f>
        <v/>
      </c>
      <c r="W5521" s="19">
        <f>IF($I5521="","",IF(ISNUMBER($I5521),TEXT($I5521,"0"),$I5521))</f>
        <v/>
      </c>
    </row>
    <row r="5522">
      <c r="B5522" s="25" t="n"/>
      <c r="I5522" s="25" t="n"/>
      <c r="U5522" s="19">
        <f>IF(AND($V5522='設定'!$C$4,COUNTIF('商品マスタ'!$B$6:$B$1005,$W5522)=0),N(U5521)+1,N(U5521))</f>
        <v/>
      </c>
      <c r="V5522" s="19">
        <f>IF($B5522="","",TEXT($B5522,"0000"))</f>
        <v/>
      </c>
      <c r="W5522" s="19">
        <f>IF($I5522="","",IF(ISNUMBER($I5522),TEXT($I5522,"0"),$I5522))</f>
        <v/>
      </c>
    </row>
    <row r="5523">
      <c r="B5523" s="25" t="n"/>
      <c r="I5523" s="25" t="n"/>
      <c r="U5523" s="19">
        <f>IF(AND($V5523='設定'!$C$4,COUNTIF('商品マスタ'!$B$6:$B$1005,$W5523)=0),N(U5522)+1,N(U5522))</f>
        <v/>
      </c>
      <c r="V5523" s="19">
        <f>IF($B5523="","",TEXT($B5523,"0000"))</f>
        <v/>
      </c>
      <c r="W5523" s="19">
        <f>IF($I5523="","",IF(ISNUMBER($I5523),TEXT($I5523,"0"),$I5523))</f>
        <v/>
      </c>
    </row>
    <row r="5524">
      <c r="B5524" s="25" t="n"/>
      <c r="I5524" s="25" t="n"/>
      <c r="U5524" s="19">
        <f>IF(AND($V5524='設定'!$C$4,COUNTIF('商品マスタ'!$B$6:$B$1005,$W5524)=0),N(U5523)+1,N(U5523))</f>
        <v/>
      </c>
      <c r="V5524" s="19">
        <f>IF($B5524="","",TEXT($B5524,"0000"))</f>
        <v/>
      </c>
      <c r="W5524" s="19">
        <f>IF($I5524="","",IF(ISNUMBER($I5524),TEXT($I5524,"0"),$I5524))</f>
        <v/>
      </c>
    </row>
    <row r="5525">
      <c r="B5525" s="25" t="n"/>
      <c r="I5525" s="25" t="n"/>
      <c r="U5525" s="19">
        <f>IF(AND($V5525='設定'!$C$4,COUNTIF('商品マスタ'!$B$6:$B$1005,$W5525)=0),N(U5524)+1,N(U5524))</f>
        <v/>
      </c>
      <c r="V5525" s="19">
        <f>IF($B5525="","",TEXT($B5525,"0000"))</f>
        <v/>
      </c>
      <c r="W5525" s="19">
        <f>IF($I5525="","",IF(ISNUMBER($I5525),TEXT($I5525,"0"),$I5525))</f>
        <v/>
      </c>
    </row>
    <row r="5526">
      <c r="B5526" s="25" t="n"/>
      <c r="I5526" s="25" t="n"/>
      <c r="U5526" s="19">
        <f>IF(AND($V5526='設定'!$C$4,COUNTIF('商品マスタ'!$B$6:$B$1005,$W5526)=0),N(U5525)+1,N(U5525))</f>
        <v/>
      </c>
      <c r="V5526" s="19">
        <f>IF($B5526="","",TEXT($B5526,"0000"))</f>
        <v/>
      </c>
      <c r="W5526" s="19">
        <f>IF($I5526="","",IF(ISNUMBER($I5526),TEXT($I5526,"0"),$I5526))</f>
        <v/>
      </c>
    </row>
    <row r="5527">
      <c r="B5527" s="25" t="n"/>
      <c r="I5527" s="25" t="n"/>
      <c r="U5527" s="19">
        <f>IF(AND($V5527='設定'!$C$4,COUNTIF('商品マスタ'!$B$6:$B$1005,$W5527)=0),N(U5526)+1,N(U5526))</f>
        <v/>
      </c>
      <c r="V5527" s="19">
        <f>IF($B5527="","",TEXT($B5527,"0000"))</f>
        <v/>
      </c>
      <c r="W5527" s="19">
        <f>IF($I5527="","",IF(ISNUMBER($I5527),TEXT($I5527,"0"),$I5527))</f>
        <v/>
      </c>
    </row>
    <row r="5528">
      <c r="B5528" s="25" t="n"/>
      <c r="I5528" s="25" t="n"/>
      <c r="U5528" s="19">
        <f>IF(AND($V5528='設定'!$C$4,COUNTIF('商品マスタ'!$B$6:$B$1005,$W5528)=0),N(U5527)+1,N(U5527))</f>
        <v/>
      </c>
      <c r="V5528" s="19">
        <f>IF($B5528="","",TEXT($B5528,"0000"))</f>
        <v/>
      </c>
      <c r="W5528" s="19">
        <f>IF($I5528="","",IF(ISNUMBER($I5528),TEXT($I5528,"0"),$I5528))</f>
        <v/>
      </c>
    </row>
    <row r="5529">
      <c r="B5529" s="25" t="n"/>
      <c r="I5529" s="25" t="n"/>
      <c r="U5529" s="19">
        <f>IF(AND($V5529='設定'!$C$4,COUNTIF('商品マスタ'!$B$6:$B$1005,$W5529)=0),N(U5528)+1,N(U5528))</f>
        <v/>
      </c>
      <c r="V5529" s="19">
        <f>IF($B5529="","",TEXT($B5529,"0000"))</f>
        <v/>
      </c>
      <c r="W5529" s="19">
        <f>IF($I5529="","",IF(ISNUMBER($I5529),TEXT($I5529,"0"),$I5529))</f>
        <v/>
      </c>
    </row>
    <row r="5530">
      <c r="B5530" s="25" t="n"/>
      <c r="I5530" s="25" t="n"/>
      <c r="U5530" s="19">
        <f>IF(AND($V5530='設定'!$C$4,COUNTIF('商品マスタ'!$B$6:$B$1005,$W5530)=0),N(U5529)+1,N(U5529))</f>
        <v/>
      </c>
      <c r="V5530" s="19">
        <f>IF($B5530="","",TEXT($B5530,"0000"))</f>
        <v/>
      </c>
      <c r="W5530" s="19">
        <f>IF($I5530="","",IF(ISNUMBER($I5530),TEXT($I5530,"0"),$I5530))</f>
        <v/>
      </c>
    </row>
    <row r="5531">
      <c r="B5531" s="25" t="n"/>
      <c r="I5531" s="25" t="n"/>
      <c r="U5531" s="19">
        <f>IF(AND($V5531='設定'!$C$4,COUNTIF('商品マスタ'!$B$6:$B$1005,$W5531)=0),N(U5530)+1,N(U5530))</f>
        <v/>
      </c>
      <c r="V5531" s="19">
        <f>IF($B5531="","",TEXT($B5531,"0000"))</f>
        <v/>
      </c>
      <c r="W5531" s="19">
        <f>IF($I5531="","",IF(ISNUMBER($I5531),TEXT($I5531,"0"),$I5531))</f>
        <v/>
      </c>
    </row>
    <row r="5532">
      <c r="B5532" s="25" t="n"/>
      <c r="I5532" s="25" t="n"/>
      <c r="U5532" s="19">
        <f>IF(AND($V5532='設定'!$C$4,COUNTIF('商品マスタ'!$B$6:$B$1005,$W5532)=0),N(U5531)+1,N(U5531))</f>
        <v/>
      </c>
      <c r="V5532" s="19">
        <f>IF($B5532="","",TEXT($B5532,"0000"))</f>
        <v/>
      </c>
      <c r="W5532" s="19">
        <f>IF($I5532="","",IF(ISNUMBER($I5532),TEXT($I5532,"0"),$I5532))</f>
        <v/>
      </c>
    </row>
    <row r="5533">
      <c r="B5533" s="25" t="n"/>
      <c r="I5533" s="25" t="n"/>
      <c r="U5533" s="19">
        <f>IF(AND($V5533='設定'!$C$4,COUNTIF('商品マスタ'!$B$6:$B$1005,$W5533)=0),N(U5532)+1,N(U5532))</f>
        <v/>
      </c>
      <c r="V5533" s="19">
        <f>IF($B5533="","",TEXT($B5533,"0000"))</f>
        <v/>
      </c>
      <c r="W5533" s="19">
        <f>IF($I5533="","",IF(ISNUMBER($I5533),TEXT($I5533,"0"),$I5533))</f>
        <v/>
      </c>
    </row>
    <row r="5534">
      <c r="B5534" s="25" t="n"/>
      <c r="I5534" s="25" t="n"/>
      <c r="U5534" s="19">
        <f>IF(AND($V5534='設定'!$C$4,COUNTIF('商品マスタ'!$B$6:$B$1005,$W5534)=0),N(U5533)+1,N(U5533))</f>
        <v/>
      </c>
      <c r="V5534" s="19">
        <f>IF($B5534="","",TEXT($B5534,"0000"))</f>
        <v/>
      </c>
      <c r="W5534" s="19">
        <f>IF($I5534="","",IF(ISNUMBER($I5534),TEXT($I5534,"0"),$I5534))</f>
        <v/>
      </c>
    </row>
    <row r="5535">
      <c r="B5535" s="25" t="n"/>
      <c r="I5535" s="25" t="n"/>
      <c r="U5535" s="19">
        <f>IF(AND($V5535='設定'!$C$4,COUNTIF('商品マスタ'!$B$6:$B$1005,$W5535)=0),N(U5534)+1,N(U5534))</f>
        <v/>
      </c>
      <c r="V5535" s="19">
        <f>IF($B5535="","",TEXT($B5535,"0000"))</f>
        <v/>
      </c>
      <c r="W5535" s="19">
        <f>IF($I5535="","",IF(ISNUMBER($I5535),TEXT($I5535,"0"),$I5535))</f>
        <v/>
      </c>
    </row>
    <row r="5536">
      <c r="B5536" s="25" t="n"/>
      <c r="I5536" s="25" t="n"/>
      <c r="U5536" s="19">
        <f>IF(AND($V5536='設定'!$C$4,COUNTIF('商品マスタ'!$B$6:$B$1005,$W5536)=0),N(U5535)+1,N(U5535))</f>
        <v/>
      </c>
      <c r="V5536" s="19">
        <f>IF($B5536="","",TEXT($B5536,"0000"))</f>
        <v/>
      </c>
      <c r="W5536" s="19">
        <f>IF($I5536="","",IF(ISNUMBER($I5536),TEXT($I5536,"0"),$I5536))</f>
        <v/>
      </c>
    </row>
    <row r="5537">
      <c r="B5537" s="25" t="n"/>
      <c r="I5537" s="25" t="n"/>
      <c r="U5537" s="19">
        <f>IF(AND($V5537='設定'!$C$4,COUNTIF('商品マスタ'!$B$6:$B$1005,$W5537)=0),N(U5536)+1,N(U5536))</f>
        <v/>
      </c>
      <c r="V5537" s="19">
        <f>IF($B5537="","",TEXT($B5537,"0000"))</f>
        <v/>
      </c>
      <c r="W5537" s="19">
        <f>IF($I5537="","",IF(ISNUMBER($I5537),TEXT($I5537,"0"),$I5537))</f>
        <v/>
      </c>
    </row>
    <row r="5538">
      <c r="B5538" s="25" t="n"/>
      <c r="I5538" s="25" t="n"/>
      <c r="U5538" s="19">
        <f>IF(AND($V5538='設定'!$C$4,COUNTIF('商品マスタ'!$B$6:$B$1005,$W5538)=0),N(U5537)+1,N(U5537))</f>
        <v/>
      </c>
      <c r="V5538" s="19">
        <f>IF($B5538="","",TEXT($B5538,"0000"))</f>
        <v/>
      </c>
      <c r="W5538" s="19">
        <f>IF($I5538="","",IF(ISNUMBER($I5538),TEXT($I5538,"0"),$I5538))</f>
        <v/>
      </c>
    </row>
    <row r="5539">
      <c r="B5539" s="25" t="n"/>
      <c r="I5539" s="25" t="n"/>
      <c r="U5539" s="19">
        <f>IF(AND($V5539='設定'!$C$4,COUNTIF('商品マスタ'!$B$6:$B$1005,$W5539)=0),N(U5538)+1,N(U5538))</f>
        <v/>
      </c>
      <c r="V5539" s="19">
        <f>IF($B5539="","",TEXT($B5539,"0000"))</f>
        <v/>
      </c>
      <c r="W5539" s="19">
        <f>IF($I5539="","",IF(ISNUMBER($I5539),TEXT($I5539,"0"),$I5539))</f>
        <v/>
      </c>
    </row>
    <row r="5540">
      <c r="B5540" s="25" t="n"/>
      <c r="I5540" s="25" t="n"/>
      <c r="U5540" s="19">
        <f>IF(AND($V5540='設定'!$C$4,COUNTIF('商品マスタ'!$B$6:$B$1005,$W5540)=0),N(U5539)+1,N(U5539))</f>
        <v/>
      </c>
      <c r="V5540" s="19">
        <f>IF($B5540="","",TEXT($B5540,"0000"))</f>
        <v/>
      </c>
      <c r="W5540" s="19">
        <f>IF($I5540="","",IF(ISNUMBER($I5540),TEXT($I5540,"0"),$I5540))</f>
        <v/>
      </c>
    </row>
    <row r="5541">
      <c r="B5541" s="25" t="n"/>
      <c r="I5541" s="25" t="n"/>
      <c r="U5541" s="19">
        <f>IF(AND($V5541='設定'!$C$4,COUNTIF('商品マスタ'!$B$6:$B$1005,$W5541)=0),N(U5540)+1,N(U5540))</f>
        <v/>
      </c>
      <c r="V5541" s="19">
        <f>IF($B5541="","",TEXT($B5541,"0000"))</f>
        <v/>
      </c>
      <c r="W5541" s="19">
        <f>IF($I5541="","",IF(ISNUMBER($I5541),TEXT($I5541,"0"),$I5541))</f>
        <v/>
      </c>
    </row>
    <row r="5542">
      <c r="B5542" s="25" t="n"/>
      <c r="I5542" s="25" t="n"/>
      <c r="U5542" s="19">
        <f>IF(AND($V5542='設定'!$C$4,COUNTIF('商品マスタ'!$B$6:$B$1005,$W5542)=0),N(U5541)+1,N(U5541))</f>
        <v/>
      </c>
      <c r="V5542" s="19">
        <f>IF($B5542="","",TEXT($B5542,"0000"))</f>
        <v/>
      </c>
      <c r="W5542" s="19">
        <f>IF($I5542="","",IF(ISNUMBER($I5542),TEXT($I5542,"0"),$I5542))</f>
        <v/>
      </c>
    </row>
    <row r="5543">
      <c r="B5543" s="25" t="n"/>
      <c r="I5543" s="25" t="n"/>
      <c r="U5543" s="19">
        <f>IF(AND($V5543='設定'!$C$4,COUNTIF('商品マスタ'!$B$6:$B$1005,$W5543)=0),N(U5542)+1,N(U5542))</f>
        <v/>
      </c>
      <c r="V5543" s="19">
        <f>IF($B5543="","",TEXT($B5543,"0000"))</f>
        <v/>
      </c>
      <c r="W5543" s="19">
        <f>IF($I5543="","",IF(ISNUMBER($I5543),TEXT($I5543,"0"),$I5543))</f>
        <v/>
      </c>
    </row>
    <row r="5544">
      <c r="B5544" s="25" t="n"/>
      <c r="I5544" s="25" t="n"/>
      <c r="U5544" s="19">
        <f>IF(AND($V5544='設定'!$C$4,COUNTIF('商品マスタ'!$B$6:$B$1005,$W5544)=0),N(U5543)+1,N(U5543))</f>
        <v/>
      </c>
      <c r="V5544" s="19">
        <f>IF($B5544="","",TEXT($B5544,"0000"))</f>
        <v/>
      </c>
      <c r="W5544" s="19">
        <f>IF($I5544="","",IF(ISNUMBER($I5544),TEXT($I5544,"0"),$I5544))</f>
        <v/>
      </c>
    </row>
    <row r="5545">
      <c r="B5545" s="25" t="n"/>
      <c r="I5545" s="25" t="n"/>
      <c r="U5545" s="19">
        <f>IF(AND($V5545='設定'!$C$4,COUNTIF('商品マスタ'!$B$6:$B$1005,$W5545)=0),N(U5544)+1,N(U5544))</f>
        <v/>
      </c>
      <c r="V5545" s="19">
        <f>IF($B5545="","",TEXT($B5545,"0000"))</f>
        <v/>
      </c>
      <c r="W5545" s="19">
        <f>IF($I5545="","",IF(ISNUMBER($I5545),TEXT($I5545,"0"),$I5545))</f>
        <v/>
      </c>
    </row>
    <row r="5546">
      <c r="B5546" s="25" t="n"/>
      <c r="I5546" s="25" t="n"/>
      <c r="U5546" s="19">
        <f>IF(AND($V5546='設定'!$C$4,COUNTIF('商品マスタ'!$B$6:$B$1005,$W5546)=0),N(U5545)+1,N(U5545))</f>
        <v/>
      </c>
      <c r="V5546" s="19">
        <f>IF($B5546="","",TEXT($B5546,"0000"))</f>
        <v/>
      </c>
      <c r="W5546" s="19">
        <f>IF($I5546="","",IF(ISNUMBER($I5546),TEXT($I5546,"0"),$I5546))</f>
        <v/>
      </c>
    </row>
    <row r="5547">
      <c r="B5547" s="25" t="n"/>
      <c r="I5547" s="25" t="n"/>
      <c r="U5547" s="19">
        <f>IF(AND($V5547='設定'!$C$4,COUNTIF('商品マスタ'!$B$6:$B$1005,$W5547)=0),N(U5546)+1,N(U5546))</f>
        <v/>
      </c>
      <c r="V5547" s="19">
        <f>IF($B5547="","",TEXT($B5547,"0000"))</f>
        <v/>
      </c>
      <c r="W5547" s="19">
        <f>IF($I5547="","",IF(ISNUMBER($I5547),TEXT($I5547,"0"),$I5547))</f>
        <v/>
      </c>
    </row>
    <row r="5548">
      <c r="B5548" s="25" t="n"/>
      <c r="I5548" s="25" t="n"/>
      <c r="U5548" s="19">
        <f>IF(AND($V5548='設定'!$C$4,COUNTIF('商品マスタ'!$B$6:$B$1005,$W5548)=0),N(U5547)+1,N(U5547))</f>
        <v/>
      </c>
      <c r="V5548" s="19">
        <f>IF($B5548="","",TEXT($B5548,"0000"))</f>
        <v/>
      </c>
      <c r="W5548" s="19">
        <f>IF($I5548="","",IF(ISNUMBER($I5548),TEXT($I5548,"0"),$I5548))</f>
        <v/>
      </c>
    </row>
    <row r="5549">
      <c r="B5549" s="25" t="n"/>
      <c r="I5549" s="25" t="n"/>
      <c r="U5549" s="19">
        <f>IF(AND($V5549='設定'!$C$4,COUNTIF('商品マスタ'!$B$6:$B$1005,$W5549)=0),N(U5548)+1,N(U5548))</f>
        <v/>
      </c>
      <c r="V5549" s="19">
        <f>IF($B5549="","",TEXT($B5549,"0000"))</f>
        <v/>
      </c>
      <c r="W5549" s="19">
        <f>IF($I5549="","",IF(ISNUMBER($I5549),TEXT($I5549,"0"),$I5549))</f>
        <v/>
      </c>
    </row>
    <row r="5550">
      <c r="B5550" s="25" t="n"/>
      <c r="I5550" s="25" t="n"/>
      <c r="U5550" s="19">
        <f>IF(AND($V5550='設定'!$C$4,COUNTIF('商品マスタ'!$B$6:$B$1005,$W5550)=0),N(U5549)+1,N(U5549))</f>
        <v/>
      </c>
      <c r="V5550" s="19">
        <f>IF($B5550="","",TEXT($B5550,"0000"))</f>
        <v/>
      </c>
      <c r="W5550" s="19">
        <f>IF($I5550="","",IF(ISNUMBER($I5550),TEXT($I5550,"0"),$I5550))</f>
        <v/>
      </c>
    </row>
    <row r="5551">
      <c r="B5551" s="25" t="n"/>
      <c r="I5551" s="25" t="n"/>
      <c r="U5551" s="19">
        <f>IF(AND($V5551='設定'!$C$4,COUNTIF('商品マスタ'!$B$6:$B$1005,$W5551)=0),N(U5550)+1,N(U5550))</f>
        <v/>
      </c>
      <c r="V5551" s="19">
        <f>IF($B5551="","",TEXT($B5551,"0000"))</f>
        <v/>
      </c>
      <c r="W5551" s="19">
        <f>IF($I5551="","",IF(ISNUMBER($I5551),TEXT($I5551,"0"),$I5551))</f>
        <v/>
      </c>
    </row>
    <row r="5552">
      <c r="B5552" s="25" t="n"/>
      <c r="I5552" s="25" t="n"/>
      <c r="U5552" s="19">
        <f>IF(AND($V5552='設定'!$C$4,COUNTIF('商品マスタ'!$B$6:$B$1005,$W5552)=0),N(U5551)+1,N(U5551))</f>
        <v/>
      </c>
      <c r="V5552" s="19">
        <f>IF($B5552="","",TEXT($B5552,"0000"))</f>
        <v/>
      </c>
      <c r="W5552" s="19">
        <f>IF($I5552="","",IF(ISNUMBER($I5552),TEXT($I5552,"0"),$I5552))</f>
        <v/>
      </c>
    </row>
    <row r="5553">
      <c r="B5553" s="25" t="n"/>
      <c r="I5553" s="25" t="n"/>
      <c r="U5553" s="19">
        <f>IF(AND($V5553='設定'!$C$4,COUNTIF('商品マスタ'!$B$6:$B$1005,$W5553)=0),N(U5552)+1,N(U5552))</f>
        <v/>
      </c>
      <c r="V5553" s="19">
        <f>IF($B5553="","",TEXT($B5553,"0000"))</f>
        <v/>
      </c>
      <c r="W5553" s="19">
        <f>IF($I5553="","",IF(ISNUMBER($I5553),TEXT($I5553,"0"),$I5553))</f>
        <v/>
      </c>
    </row>
    <row r="5554">
      <c r="B5554" s="25" t="n"/>
      <c r="I5554" s="25" t="n"/>
      <c r="U5554" s="19">
        <f>IF(AND($V5554='設定'!$C$4,COUNTIF('商品マスタ'!$B$6:$B$1005,$W5554)=0),N(U5553)+1,N(U5553))</f>
        <v/>
      </c>
      <c r="V5554" s="19">
        <f>IF($B5554="","",TEXT($B5554,"0000"))</f>
        <v/>
      </c>
      <c r="W5554" s="19">
        <f>IF($I5554="","",IF(ISNUMBER($I5554),TEXT($I5554,"0"),$I5554))</f>
        <v/>
      </c>
    </row>
    <row r="5555">
      <c r="B5555" s="25" t="n"/>
      <c r="I5555" s="25" t="n"/>
      <c r="U5555" s="19">
        <f>IF(AND($V5555='設定'!$C$4,COUNTIF('商品マスタ'!$B$6:$B$1005,$W5555)=0),N(U5554)+1,N(U5554))</f>
        <v/>
      </c>
      <c r="V5555" s="19">
        <f>IF($B5555="","",TEXT($B5555,"0000"))</f>
        <v/>
      </c>
      <c r="W5555" s="19">
        <f>IF($I5555="","",IF(ISNUMBER($I5555),TEXT($I5555,"0"),$I5555))</f>
        <v/>
      </c>
    </row>
    <row r="5556">
      <c r="B5556" s="25" t="n"/>
      <c r="I5556" s="25" t="n"/>
      <c r="U5556" s="19">
        <f>IF(AND($V5556='設定'!$C$4,COUNTIF('商品マスタ'!$B$6:$B$1005,$W5556)=0),N(U5555)+1,N(U5555))</f>
        <v/>
      </c>
      <c r="V5556" s="19">
        <f>IF($B5556="","",TEXT($B5556,"0000"))</f>
        <v/>
      </c>
      <c r="W5556" s="19">
        <f>IF($I5556="","",IF(ISNUMBER($I5556),TEXT($I5556,"0"),$I5556))</f>
        <v/>
      </c>
    </row>
    <row r="5557">
      <c r="B5557" s="25" t="n"/>
      <c r="I5557" s="25" t="n"/>
      <c r="U5557" s="19">
        <f>IF(AND($V5557='設定'!$C$4,COUNTIF('商品マスタ'!$B$6:$B$1005,$W5557)=0),N(U5556)+1,N(U5556))</f>
        <v/>
      </c>
      <c r="V5557" s="19">
        <f>IF($B5557="","",TEXT($B5557,"0000"))</f>
        <v/>
      </c>
      <c r="W5557" s="19">
        <f>IF($I5557="","",IF(ISNUMBER($I5557),TEXT($I5557,"0"),$I5557))</f>
        <v/>
      </c>
    </row>
    <row r="5558">
      <c r="B5558" s="25" t="n"/>
      <c r="I5558" s="25" t="n"/>
      <c r="U5558" s="19">
        <f>IF(AND($V5558='設定'!$C$4,COUNTIF('商品マスタ'!$B$6:$B$1005,$W5558)=0),N(U5557)+1,N(U5557))</f>
        <v/>
      </c>
      <c r="V5558" s="19">
        <f>IF($B5558="","",TEXT($B5558,"0000"))</f>
        <v/>
      </c>
      <c r="W5558" s="19">
        <f>IF($I5558="","",IF(ISNUMBER($I5558),TEXT($I5558,"0"),$I5558))</f>
        <v/>
      </c>
    </row>
    <row r="5559">
      <c r="B5559" s="25" t="n"/>
      <c r="I5559" s="25" t="n"/>
      <c r="U5559" s="19">
        <f>IF(AND($V5559='設定'!$C$4,COUNTIF('商品マスタ'!$B$6:$B$1005,$W5559)=0),N(U5558)+1,N(U5558))</f>
        <v/>
      </c>
      <c r="V5559" s="19">
        <f>IF($B5559="","",TEXT($B5559,"0000"))</f>
        <v/>
      </c>
      <c r="W5559" s="19">
        <f>IF($I5559="","",IF(ISNUMBER($I5559),TEXT($I5559,"0"),$I5559))</f>
        <v/>
      </c>
    </row>
    <row r="5560">
      <c r="B5560" s="25" t="n"/>
      <c r="I5560" s="25" t="n"/>
      <c r="U5560" s="19">
        <f>IF(AND($V5560='設定'!$C$4,COUNTIF('商品マスタ'!$B$6:$B$1005,$W5560)=0),N(U5559)+1,N(U5559))</f>
        <v/>
      </c>
      <c r="V5560" s="19">
        <f>IF($B5560="","",TEXT($B5560,"0000"))</f>
        <v/>
      </c>
      <c r="W5560" s="19">
        <f>IF($I5560="","",IF(ISNUMBER($I5560),TEXT($I5560,"0"),$I5560))</f>
        <v/>
      </c>
    </row>
    <row r="5561">
      <c r="B5561" s="25" t="n"/>
      <c r="I5561" s="25" t="n"/>
      <c r="U5561" s="19">
        <f>IF(AND($V5561='設定'!$C$4,COUNTIF('商品マスタ'!$B$6:$B$1005,$W5561)=0),N(U5560)+1,N(U5560))</f>
        <v/>
      </c>
      <c r="V5561" s="19">
        <f>IF($B5561="","",TEXT($B5561,"0000"))</f>
        <v/>
      </c>
      <c r="W5561" s="19">
        <f>IF($I5561="","",IF(ISNUMBER($I5561),TEXT($I5561,"0"),$I5561))</f>
        <v/>
      </c>
    </row>
    <row r="5562">
      <c r="B5562" s="25" t="n"/>
      <c r="I5562" s="25" t="n"/>
      <c r="U5562" s="19">
        <f>IF(AND($V5562='設定'!$C$4,COUNTIF('商品マスタ'!$B$6:$B$1005,$W5562)=0),N(U5561)+1,N(U5561))</f>
        <v/>
      </c>
      <c r="V5562" s="19">
        <f>IF($B5562="","",TEXT($B5562,"0000"))</f>
        <v/>
      </c>
      <c r="W5562" s="19">
        <f>IF($I5562="","",IF(ISNUMBER($I5562),TEXT($I5562,"0"),$I5562))</f>
        <v/>
      </c>
    </row>
    <row r="5563">
      <c r="B5563" s="25" t="n"/>
      <c r="I5563" s="25" t="n"/>
      <c r="U5563" s="19">
        <f>IF(AND($V5563='設定'!$C$4,COUNTIF('商品マスタ'!$B$6:$B$1005,$W5563)=0),N(U5562)+1,N(U5562))</f>
        <v/>
      </c>
      <c r="V5563" s="19">
        <f>IF($B5563="","",TEXT($B5563,"0000"))</f>
        <v/>
      </c>
      <c r="W5563" s="19">
        <f>IF($I5563="","",IF(ISNUMBER($I5563),TEXT($I5563,"0"),$I5563))</f>
        <v/>
      </c>
    </row>
    <row r="5564">
      <c r="B5564" s="25" t="n"/>
      <c r="I5564" s="25" t="n"/>
      <c r="U5564" s="19">
        <f>IF(AND($V5564='設定'!$C$4,COUNTIF('商品マスタ'!$B$6:$B$1005,$W5564)=0),N(U5563)+1,N(U5563))</f>
        <v/>
      </c>
      <c r="V5564" s="19">
        <f>IF($B5564="","",TEXT($B5564,"0000"))</f>
        <v/>
      </c>
      <c r="W5564" s="19">
        <f>IF($I5564="","",IF(ISNUMBER($I5564),TEXT($I5564,"0"),$I5564))</f>
        <v/>
      </c>
    </row>
    <row r="5565">
      <c r="B5565" s="25" t="n"/>
      <c r="I5565" s="25" t="n"/>
      <c r="U5565" s="19">
        <f>IF(AND($V5565='設定'!$C$4,COUNTIF('商品マスタ'!$B$6:$B$1005,$W5565)=0),N(U5564)+1,N(U5564))</f>
        <v/>
      </c>
      <c r="V5565" s="19">
        <f>IF($B5565="","",TEXT($B5565,"0000"))</f>
        <v/>
      </c>
      <c r="W5565" s="19">
        <f>IF($I5565="","",IF(ISNUMBER($I5565),TEXT($I5565,"0"),$I5565))</f>
        <v/>
      </c>
    </row>
    <row r="5566">
      <c r="B5566" s="25" t="n"/>
      <c r="I5566" s="25" t="n"/>
      <c r="U5566" s="19">
        <f>IF(AND($V5566='設定'!$C$4,COUNTIF('商品マスタ'!$B$6:$B$1005,$W5566)=0),N(U5565)+1,N(U5565))</f>
        <v/>
      </c>
      <c r="V5566" s="19">
        <f>IF($B5566="","",TEXT($B5566,"0000"))</f>
        <v/>
      </c>
      <c r="W5566" s="19">
        <f>IF($I5566="","",IF(ISNUMBER($I5566),TEXT($I5566,"0"),$I5566))</f>
        <v/>
      </c>
    </row>
    <row r="5567">
      <c r="B5567" s="25" t="n"/>
      <c r="I5567" s="25" t="n"/>
      <c r="U5567" s="19">
        <f>IF(AND($V5567='設定'!$C$4,COUNTIF('商品マスタ'!$B$6:$B$1005,$W5567)=0),N(U5566)+1,N(U5566))</f>
        <v/>
      </c>
      <c r="V5567" s="19">
        <f>IF($B5567="","",TEXT($B5567,"0000"))</f>
        <v/>
      </c>
      <c r="W5567" s="19">
        <f>IF($I5567="","",IF(ISNUMBER($I5567),TEXT($I5567,"0"),$I5567))</f>
        <v/>
      </c>
    </row>
    <row r="5568">
      <c r="B5568" s="25" t="n"/>
      <c r="I5568" s="25" t="n"/>
      <c r="U5568" s="19">
        <f>IF(AND($V5568='設定'!$C$4,COUNTIF('商品マスタ'!$B$6:$B$1005,$W5568)=0),N(U5567)+1,N(U5567))</f>
        <v/>
      </c>
      <c r="V5568" s="19">
        <f>IF($B5568="","",TEXT($B5568,"0000"))</f>
        <v/>
      </c>
      <c r="W5568" s="19">
        <f>IF($I5568="","",IF(ISNUMBER($I5568),TEXT($I5568,"0"),$I5568))</f>
        <v/>
      </c>
    </row>
    <row r="5569">
      <c r="B5569" s="25" t="n"/>
      <c r="I5569" s="25" t="n"/>
      <c r="U5569" s="19">
        <f>IF(AND($V5569='設定'!$C$4,COUNTIF('商品マスタ'!$B$6:$B$1005,$W5569)=0),N(U5568)+1,N(U5568))</f>
        <v/>
      </c>
      <c r="V5569" s="19">
        <f>IF($B5569="","",TEXT($B5569,"0000"))</f>
        <v/>
      </c>
      <c r="W5569" s="19">
        <f>IF($I5569="","",IF(ISNUMBER($I5569),TEXT($I5569,"0"),$I5569))</f>
        <v/>
      </c>
    </row>
    <row r="5570">
      <c r="B5570" s="25" t="n"/>
      <c r="I5570" s="25" t="n"/>
      <c r="U5570" s="19">
        <f>IF(AND($V5570='設定'!$C$4,COUNTIF('商品マスタ'!$B$6:$B$1005,$W5570)=0),N(U5569)+1,N(U5569))</f>
        <v/>
      </c>
      <c r="V5570" s="19">
        <f>IF($B5570="","",TEXT($B5570,"0000"))</f>
        <v/>
      </c>
      <c r="W5570" s="19">
        <f>IF($I5570="","",IF(ISNUMBER($I5570),TEXT($I5570,"0"),$I5570))</f>
        <v/>
      </c>
    </row>
    <row r="5571">
      <c r="B5571" s="25" t="n"/>
      <c r="I5571" s="25" t="n"/>
      <c r="U5571" s="19">
        <f>IF(AND($V5571='設定'!$C$4,COUNTIF('商品マスタ'!$B$6:$B$1005,$W5571)=0),N(U5570)+1,N(U5570))</f>
        <v/>
      </c>
      <c r="V5571" s="19">
        <f>IF($B5571="","",TEXT($B5571,"0000"))</f>
        <v/>
      </c>
      <c r="W5571" s="19">
        <f>IF($I5571="","",IF(ISNUMBER($I5571),TEXT($I5571,"0"),$I5571))</f>
        <v/>
      </c>
    </row>
    <row r="5572">
      <c r="B5572" s="25" t="n"/>
      <c r="I5572" s="25" t="n"/>
      <c r="U5572" s="19">
        <f>IF(AND($V5572='設定'!$C$4,COUNTIF('商品マスタ'!$B$6:$B$1005,$W5572)=0),N(U5571)+1,N(U5571))</f>
        <v/>
      </c>
      <c r="V5572" s="19">
        <f>IF($B5572="","",TEXT($B5572,"0000"))</f>
        <v/>
      </c>
      <c r="W5572" s="19">
        <f>IF($I5572="","",IF(ISNUMBER($I5572),TEXT($I5572,"0"),$I5572))</f>
        <v/>
      </c>
    </row>
    <row r="5573">
      <c r="B5573" s="25" t="n"/>
      <c r="I5573" s="25" t="n"/>
      <c r="U5573" s="19">
        <f>IF(AND($V5573='設定'!$C$4,COUNTIF('商品マスタ'!$B$6:$B$1005,$W5573)=0),N(U5572)+1,N(U5572))</f>
        <v/>
      </c>
      <c r="V5573" s="19">
        <f>IF($B5573="","",TEXT($B5573,"0000"))</f>
        <v/>
      </c>
      <c r="W5573" s="19">
        <f>IF($I5573="","",IF(ISNUMBER($I5573),TEXT($I5573,"0"),$I5573))</f>
        <v/>
      </c>
    </row>
    <row r="5574">
      <c r="B5574" s="25" t="n"/>
      <c r="I5574" s="25" t="n"/>
      <c r="U5574" s="19">
        <f>IF(AND($V5574='設定'!$C$4,COUNTIF('商品マスタ'!$B$6:$B$1005,$W5574)=0),N(U5573)+1,N(U5573))</f>
        <v/>
      </c>
      <c r="V5574" s="19">
        <f>IF($B5574="","",TEXT($B5574,"0000"))</f>
        <v/>
      </c>
      <c r="W5574" s="19">
        <f>IF($I5574="","",IF(ISNUMBER($I5574),TEXT($I5574,"0"),$I5574))</f>
        <v/>
      </c>
    </row>
    <row r="5575">
      <c r="B5575" s="25" t="n"/>
      <c r="I5575" s="25" t="n"/>
      <c r="U5575" s="19">
        <f>IF(AND($V5575='設定'!$C$4,COUNTIF('商品マスタ'!$B$6:$B$1005,$W5575)=0),N(U5574)+1,N(U5574))</f>
        <v/>
      </c>
      <c r="V5575" s="19">
        <f>IF($B5575="","",TEXT($B5575,"0000"))</f>
        <v/>
      </c>
      <c r="W5575" s="19">
        <f>IF($I5575="","",IF(ISNUMBER($I5575),TEXT($I5575,"0"),$I5575))</f>
        <v/>
      </c>
    </row>
    <row r="5576">
      <c r="B5576" s="25" t="n"/>
      <c r="I5576" s="25" t="n"/>
      <c r="U5576" s="19">
        <f>IF(AND($V5576='設定'!$C$4,COUNTIF('商品マスタ'!$B$6:$B$1005,$W5576)=0),N(U5575)+1,N(U5575))</f>
        <v/>
      </c>
      <c r="V5576" s="19">
        <f>IF($B5576="","",TEXT($B5576,"0000"))</f>
        <v/>
      </c>
      <c r="W5576" s="19">
        <f>IF($I5576="","",IF(ISNUMBER($I5576),TEXT($I5576,"0"),$I5576))</f>
        <v/>
      </c>
    </row>
    <row r="5577">
      <c r="B5577" s="25" t="n"/>
      <c r="I5577" s="25" t="n"/>
      <c r="U5577" s="19">
        <f>IF(AND($V5577='設定'!$C$4,COUNTIF('商品マスタ'!$B$6:$B$1005,$W5577)=0),N(U5576)+1,N(U5576))</f>
        <v/>
      </c>
      <c r="V5577" s="19">
        <f>IF($B5577="","",TEXT($B5577,"0000"))</f>
        <v/>
      </c>
      <c r="W5577" s="19">
        <f>IF($I5577="","",IF(ISNUMBER($I5577),TEXT($I5577,"0"),$I5577))</f>
        <v/>
      </c>
    </row>
    <row r="5578">
      <c r="B5578" s="25" t="n"/>
      <c r="I5578" s="25" t="n"/>
      <c r="U5578" s="19">
        <f>IF(AND($V5578='設定'!$C$4,COUNTIF('商品マスタ'!$B$6:$B$1005,$W5578)=0),N(U5577)+1,N(U5577))</f>
        <v/>
      </c>
      <c r="V5578" s="19">
        <f>IF($B5578="","",TEXT($B5578,"0000"))</f>
        <v/>
      </c>
      <c r="W5578" s="19">
        <f>IF($I5578="","",IF(ISNUMBER($I5578),TEXT($I5578,"0"),$I5578))</f>
        <v/>
      </c>
    </row>
    <row r="5579">
      <c r="B5579" s="25" t="n"/>
      <c r="I5579" s="25" t="n"/>
      <c r="U5579" s="19">
        <f>IF(AND($V5579='設定'!$C$4,COUNTIF('商品マスタ'!$B$6:$B$1005,$W5579)=0),N(U5578)+1,N(U5578))</f>
        <v/>
      </c>
      <c r="V5579" s="19">
        <f>IF($B5579="","",TEXT($B5579,"0000"))</f>
        <v/>
      </c>
      <c r="W5579" s="19">
        <f>IF($I5579="","",IF(ISNUMBER($I5579),TEXT($I5579,"0"),$I5579))</f>
        <v/>
      </c>
    </row>
    <row r="5580">
      <c r="B5580" s="25" t="n"/>
      <c r="I5580" s="25" t="n"/>
      <c r="U5580" s="19">
        <f>IF(AND($V5580='設定'!$C$4,COUNTIF('商品マスタ'!$B$6:$B$1005,$W5580)=0),N(U5579)+1,N(U5579))</f>
        <v/>
      </c>
      <c r="V5580" s="19">
        <f>IF($B5580="","",TEXT($B5580,"0000"))</f>
        <v/>
      </c>
      <c r="W5580" s="19">
        <f>IF($I5580="","",IF(ISNUMBER($I5580),TEXT($I5580,"0"),$I5580))</f>
        <v/>
      </c>
    </row>
    <row r="5581">
      <c r="B5581" s="25" t="n"/>
      <c r="I5581" s="25" t="n"/>
      <c r="U5581" s="19">
        <f>IF(AND($V5581='設定'!$C$4,COUNTIF('商品マスタ'!$B$6:$B$1005,$W5581)=0),N(U5580)+1,N(U5580))</f>
        <v/>
      </c>
      <c r="V5581" s="19">
        <f>IF($B5581="","",TEXT($B5581,"0000"))</f>
        <v/>
      </c>
      <c r="W5581" s="19">
        <f>IF($I5581="","",IF(ISNUMBER($I5581),TEXT($I5581,"0"),$I5581))</f>
        <v/>
      </c>
    </row>
    <row r="5582">
      <c r="B5582" s="25" t="n"/>
      <c r="I5582" s="25" t="n"/>
      <c r="U5582" s="19">
        <f>IF(AND($V5582='設定'!$C$4,COUNTIF('商品マスタ'!$B$6:$B$1005,$W5582)=0),N(U5581)+1,N(U5581))</f>
        <v/>
      </c>
      <c r="V5582" s="19">
        <f>IF($B5582="","",TEXT($B5582,"0000"))</f>
        <v/>
      </c>
      <c r="W5582" s="19">
        <f>IF($I5582="","",IF(ISNUMBER($I5582),TEXT($I5582,"0"),$I5582))</f>
        <v/>
      </c>
    </row>
    <row r="5583">
      <c r="B5583" s="25" t="n"/>
      <c r="I5583" s="25" t="n"/>
      <c r="U5583" s="19">
        <f>IF(AND($V5583='設定'!$C$4,COUNTIF('商品マスタ'!$B$6:$B$1005,$W5583)=0),N(U5582)+1,N(U5582))</f>
        <v/>
      </c>
      <c r="V5583" s="19">
        <f>IF($B5583="","",TEXT($B5583,"0000"))</f>
        <v/>
      </c>
      <c r="W5583" s="19">
        <f>IF($I5583="","",IF(ISNUMBER($I5583),TEXT($I5583,"0"),$I5583))</f>
        <v/>
      </c>
    </row>
    <row r="5584">
      <c r="B5584" s="25" t="n"/>
      <c r="I5584" s="25" t="n"/>
      <c r="U5584" s="19">
        <f>IF(AND($V5584='設定'!$C$4,COUNTIF('商品マスタ'!$B$6:$B$1005,$W5584)=0),N(U5583)+1,N(U5583))</f>
        <v/>
      </c>
      <c r="V5584" s="19">
        <f>IF($B5584="","",TEXT($B5584,"0000"))</f>
        <v/>
      </c>
      <c r="W5584" s="19">
        <f>IF($I5584="","",IF(ISNUMBER($I5584),TEXT($I5584,"0"),$I5584))</f>
        <v/>
      </c>
    </row>
    <row r="5585">
      <c r="B5585" s="25" t="n"/>
      <c r="I5585" s="25" t="n"/>
      <c r="U5585" s="19">
        <f>IF(AND($V5585='設定'!$C$4,COUNTIF('商品マスタ'!$B$6:$B$1005,$W5585)=0),N(U5584)+1,N(U5584))</f>
        <v/>
      </c>
      <c r="V5585" s="19">
        <f>IF($B5585="","",TEXT($B5585,"0000"))</f>
        <v/>
      </c>
      <c r="W5585" s="19">
        <f>IF($I5585="","",IF(ISNUMBER($I5585),TEXT($I5585,"0"),$I5585))</f>
        <v/>
      </c>
    </row>
    <row r="5586">
      <c r="B5586" s="25" t="n"/>
      <c r="I5586" s="25" t="n"/>
      <c r="U5586" s="19">
        <f>IF(AND($V5586='設定'!$C$4,COUNTIF('商品マスタ'!$B$6:$B$1005,$W5586)=0),N(U5585)+1,N(U5585))</f>
        <v/>
      </c>
      <c r="V5586" s="19">
        <f>IF($B5586="","",TEXT($B5586,"0000"))</f>
        <v/>
      </c>
      <c r="W5586" s="19">
        <f>IF($I5586="","",IF(ISNUMBER($I5586),TEXT($I5586,"0"),$I5586))</f>
        <v/>
      </c>
    </row>
    <row r="5587">
      <c r="B5587" s="25" t="n"/>
      <c r="I5587" s="25" t="n"/>
      <c r="U5587" s="19">
        <f>IF(AND($V5587='設定'!$C$4,COUNTIF('商品マスタ'!$B$6:$B$1005,$W5587)=0),N(U5586)+1,N(U5586))</f>
        <v/>
      </c>
      <c r="V5587" s="19">
        <f>IF($B5587="","",TEXT($B5587,"0000"))</f>
        <v/>
      </c>
      <c r="W5587" s="19">
        <f>IF($I5587="","",IF(ISNUMBER($I5587),TEXT($I5587,"0"),$I5587))</f>
        <v/>
      </c>
    </row>
    <row r="5588">
      <c r="B5588" s="25" t="n"/>
      <c r="I5588" s="25" t="n"/>
      <c r="U5588" s="19">
        <f>IF(AND($V5588='設定'!$C$4,COUNTIF('商品マスタ'!$B$6:$B$1005,$W5588)=0),N(U5587)+1,N(U5587))</f>
        <v/>
      </c>
      <c r="V5588" s="19">
        <f>IF($B5588="","",TEXT($B5588,"0000"))</f>
        <v/>
      </c>
      <c r="W5588" s="19">
        <f>IF($I5588="","",IF(ISNUMBER($I5588),TEXT($I5588,"0"),$I5588))</f>
        <v/>
      </c>
    </row>
    <row r="5589">
      <c r="B5589" s="25" t="n"/>
      <c r="I5589" s="25" t="n"/>
      <c r="U5589" s="19">
        <f>IF(AND($V5589='設定'!$C$4,COUNTIF('商品マスタ'!$B$6:$B$1005,$W5589)=0),N(U5588)+1,N(U5588))</f>
        <v/>
      </c>
      <c r="V5589" s="19">
        <f>IF($B5589="","",TEXT($B5589,"0000"))</f>
        <v/>
      </c>
      <c r="W5589" s="19">
        <f>IF($I5589="","",IF(ISNUMBER($I5589),TEXT($I5589,"0"),$I5589))</f>
        <v/>
      </c>
    </row>
    <row r="5590">
      <c r="B5590" s="25" t="n"/>
      <c r="I5590" s="25" t="n"/>
      <c r="U5590" s="19">
        <f>IF(AND($V5590='設定'!$C$4,COUNTIF('商品マスタ'!$B$6:$B$1005,$W5590)=0),N(U5589)+1,N(U5589))</f>
        <v/>
      </c>
      <c r="V5590" s="19">
        <f>IF($B5590="","",TEXT($B5590,"0000"))</f>
        <v/>
      </c>
      <c r="W5590" s="19">
        <f>IF($I5590="","",IF(ISNUMBER($I5590),TEXT($I5590,"0"),$I5590))</f>
        <v/>
      </c>
    </row>
    <row r="5591">
      <c r="B5591" s="25" t="n"/>
      <c r="I5591" s="25" t="n"/>
      <c r="U5591" s="19">
        <f>IF(AND($V5591='設定'!$C$4,COUNTIF('商品マスタ'!$B$6:$B$1005,$W5591)=0),N(U5590)+1,N(U5590))</f>
        <v/>
      </c>
      <c r="V5591" s="19">
        <f>IF($B5591="","",TEXT($B5591,"0000"))</f>
        <v/>
      </c>
      <c r="W5591" s="19">
        <f>IF($I5591="","",IF(ISNUMBER($I5591),TEXT($I5591,"0"),$I5591))</f>
        <v/>
      </c>
    </row>
    <row r="5592">
      <c r="B5592" s="25" t="n"/>
      <c r="I5592" s="25" t="n"/>
      <c r="U5592" s="19">
        <f>IF(AND($V5592='設定'!$C$4,COUNTIF('商品マスタ'!$B$6:$B$1005,$W5592)=0),N(U5591)+1,N(U5591))</f>
        <v/>
      </c>
      <c r="V5592" s="19">
        <f>IF($B5592="","",TEXT($B5592,"0000"))</f>
        <v/>
      </c>
      <c r="W5592" s="19">
        <f>IF($I5592="","",IF(ISNUMBER($I5592),TEXT($I5592,"0"),$I5592))</f>
        <v/>
      </c>
    </row>
    <row r="5593">
      <c r="B5593" s="25" t="n"/>
      <c r="I5593" s="25" t="n"/>
      <c r="U5593" s="19">
        <f>IF(AND($V5593='設定'!$C$4,COUNTIF('商品マスタ'!$B$6:$B$1005,$W5593)=0),N(U5592)+1,N(U5592))</f>
        <v/>
      </c>
      <c r="V5593" s="19">
        <f>IF($B5593="","",TEXT($B5593,"0000"))</f>
        <v/>
      </c>
      <c r="W5593" s="19">
        <f>IF($I5593="","",IF(ISNUMBER($I5593),TEXT($I5593,"0"),$I5593))</f>
        <v/>
      </c>
    </row>
    <row r="5594">
      <c r="B5594" s="25" t="n"/>
      <c r="I5594" s="25" t="n"/>
      <c r="U5594" s="19">
        <f>IF(AND($V5594='設定'!$C$4,COUNTIF('商品マスタ'!$B$6:$B$1005,$W5594)=0),N(U5593)+1,N(U5593))</f>
        <v/>
      </c>
      <c r="V5594" s="19">
        <f>IF($B5594="","",TEXT($B5594,"0000"))</f>
        <v/>
      </c>
      <c r="W5594" s="19">
        <f>IF($I5594="","",IF(ISNUMBER($I5594),TEXT($I5594,"0"),$I5594))</f>
        <v/>
      </c>
    </row>
    <row r="5595">
      <c r="B5595" s="25" t="n"/>
      <c r="I5595" s="25" t="n"/>
      <c r="U5595" s="19">
        <f>IF(AND($V5595='設定'!$C$4,COUNTIF('商品マスタ'!$B$6:$B$1005,$W5595)=0),N(U5594)+1,N(U5594))</f>
        <v/>
      </c>
      <c r="V5595" s="19">
        <f>IF($B5595="","",TEXT($B5595,"0000"))</f>
        <v/>
      </c>
      <c r="W5595" s="19">
        <f>IF($I5595="","",IF(ISNUMBER($I5595),TEXT($I5595,"0"),$I5595))</f>
        <v/>
      </c>
    </row>
    <row r="5596">
      <c r="B5596" s="25" t="n"/>
      <c r="I5596" s="25" t="n"/>
      <c r="U5596" s="19">
        <f>IF(AND($V5596='設定'!$C$4,COUNTIF('商品マスタ'!$B$6:$B$1005,$W5596)=0),N(U5595)+1,N(U5595))</f>
        <v/>
      </c>
      <c r="V5596" s="19">
        <f>IF($B5596="","",TEXT($B5596,"0000"))</f>
        <v/>
      </c>
      <c r="W5596" s="19">
        <f>IF($I5596="","",IF(ISNUMBER($I5596),TEXT($I5596,"0"),$I5596))</f>
        <v/>
      </c>
    </row>
    <row r="5597">
      <c r="B5597" s="25" t="n"/>
      <c r="I5597" s="25" t="n"/>
      <c r="U5597" s="19">
        <f>IF(AND($V5597='設定'!$C$4,COUNTIF('商品マスタ'!$B$6:$B$1005,$W5597)=0),N(U5596)+1,N(U5596))</f>
        <v/>
      </c>
      <c r="V5597" s="19">
        <f>IF($B5597="","",TEXT($B5597,"0000"))</f>
        <v/>
      </c>
      <c r="W5597" s="19">
        <f>IF($I5597="","",IF(ISNUMBER($I5597),TEXT($I5597,"0"),$I5597))</f>
        <v/>
      </c>
    </row>
    <row r="5598">
      <c r="B5598" s="25" t="n"/>
      <c r="I5598" s="25" t="n"/>
      <c r="U5598" s="19">
        <f>IF(AND($V5598='設定'!$C$4,COUNTIF('商品マスタ'!$B$6:$B$1005,$W5598)=0),N(U5597)+1,N(U5597))</f>
        <v/>
      </c>
      <c r="V5598" s="19">
        <f>IF($B5598="","",TEXT($B5598,"0000"))</f>
        <v/>
      </c>
      <c r="W5598" s="19">
        <f>IF($I5598="","",IF(ISNUMBER($I5598),TEXT($I5598,"0"),$I5598))</f>
        <v/>
      </c>
    </row>
    <row r="5599">
      <c r="B5599" s="25" t="n"/>
      <c r="I5599" s="25" t="n"/>
      <c r="U5599" s="19">
        <f>IF(AND($V5599='設定'!$C$4,COUNTIF('商品マスタ'!$B$6:$B$1005,$W5599)=0),N(U5598)+1,N(U5598))</f>
        <v/>
      </c>
      <c r="V5599" s="19">
        <f>IF($B5599="","",TEXT($B5599,"0000"))</f>
        <v/>
      </c>
      <c r="W5599" s="19">
        <f>IF($I5599="","",IF(ISNUMBER($I5599),TEXT($I5599,"0"),$I5599))</f>
        <v/>
      </c>
    </row>
    <row r="5600">
      <c r="B5600" s="25" t="n"/>
      <c r="I5600" s="25" t="n"/>
      <c r="U5600" s="19">
        <f>IF(AND($V5600='設定'!$C$4,COUNTIF('商品マスタ'!$B$6:$B$1005,$W5600)=0),N(U5599)+1,N(U5599))</f>
        <v/>
      </c>
      <c r="V5600" s="19">
        <f>IF($B5600="","",TEXT($B5600,"0000"))</f>
        <v/>
      </c>
      <c r="W5600" s="19">
        <f>IF($I5600="","",IF(ISNUMBER($I5600),TEXT($I5600,"0"),$I5600))</f>
        <v/>
      </c>
    </row>
    <row r="5601">
      <c r="B5601" s="25" t="n"/>
      <c r="I5601" s="25" t="n"/>
      <c r="U5601" s="19">
        <f>IF(AND($V5601='設定'!$C$4,COUNTIF('商品マスタ'!$B$6:$B$1005,$W5601)=0),N(U5600)+1,N(U5600))</f>
        <v/>
      </c>
      <c r="V5601" s="19">
        <f>IF($B5601="","",TEXT($B5601,"0000"))</f>
        <v/>
      </c>
      <c r="W5601" s="19">
        <f>IF($I5601="","",IF(ISNUMBER($I5601),TEXT($I5601,"0"),$I5601))</f>
        <v/>
      </c>
    </row>
    <row r="5602">
      <c r="B5602" s="25" t="n"/>
      <c r="I5602" s="25" t="n"/>
      <c r="U5602" s="19">
        <f>IF(AND($V5602='設定'!$C$4,COUNTIF('商品マスタ'!$B$6:$B$1005,$W5602)=0),N(U5601)+1,N(U5601))</f>
        <v/>
      </c>
      <c r="V5602" s="19">
        <f>IF($B5602="","",TEXT($B5602,"0000"))</f>
        <v/>
      </c>
      <c r="W5602" s="19">
        <f>IF($I5602="","",IF(ISNUMBER($I5602),TEXT($I5602,"0"),$I5602))</f>
        <v/>
      </c>
    </row>
    <row r="5603">
      <c r="B5603" s="25" t="n"/>
      <c r="I5603" s="25" t="n"/>
      <c r="U5603" s="19">
        <f>IF(AND($V5603='設定'!$C$4,COUNTIF('商品マスタ'!$B$6:$B$1005,$W5603)=0),N(U5602)+1,N(U5602))</f>
        <v/>
      </c>
      <c r="V5603" s="19">
        <f>IF($B5603="","",TEXT($B5603,"0000"))</f>
        <v/>
      </c>
      <c r="W5603" s="19">
        <f>IF($I5603="","",IF(ISNUMBER($I5603),TEXT($I5603,"0"),$I5603))</f>
        <v/>
      </c>
    </row>
    <row r="5604">
      <c r="B5604" s="25" t="n"/>
      <c r="I5604" s="25" t="n"/>
      <c r="U5604" s="19">
        <f>IF(AND($V5604='設定'!$C$4,COUNTIF('商品マスタ'!$B$6:$B$1005,$W5604)=0),N(U5603)+1,N(U5603))</f>
        <v/>
      </c>
      <c r="V5604" s="19">
        <f>IF($B5604="","",TEXT($B5604,"0000"))</f>
        <v/>
      </c>
      <c r="W5604" s="19">
        <f>IF($I5604="","",IF(ISNUMBER($I5604),TEXT($I5604,"0"),$I5604))</f>
        <v/>
      </c>
    </row>
    <row r="5605">
      <c r="B5605" s="25" t="n"/>
      <c r="I5605" s="25" t="n"/>
      <c r="U5605" s="19">
        <f>IF(AND($V5605='設定'!$C$4,COUNTIF('商品マスタ'!$B$6:$B$1005,$W5605)=0),N(U5604)+1,N(U5604))</f>
        <v/>
      </c>
      <c r="V5605" s="19">
        <f>IF($B5605="","",TEXT($B5605,"0000"))</f>
        <v/>
      </c>
      <c r="W5605" s="19">
        <f>IF($I5605="","",IF(ISNUMBER($I5605),TEXT($I5605,"0"),$I5605))</f>
        <v/>
      </c>
    </row>
    <row r="5606">
      <c r="B5606" s="25" t="n"/>
      <c r="I5606" s="25" t="n"/>
      <c r="U5606" s="19">
        <f>IF(AND($V5606='設定'!$C$4,COUNTIF('商品マスタ'!$B$6:$B$1005,$W5606)=0),N(U5605)+1,N(U5605))</f>
        <v/>
      </c>
      <c r="V5606" s="19">
        <f>IF($B5606="","",TEXT($B5606,"0000"))</f>
        <v/>
      </c>
      <c r="W5606" s="19">
        <f>IF($I5606="","",IF(ISNUMBER($I5606),TEXT($I5606,"0"),$I5606))</f>
        <v/>
      </c>
    </row>
    <row r="5607">
      <c r="B5607" s="25" t="n"/>
      <c r="I5607" s="25" t="n"/>
      <c r="U5607" s="19">
        <f>IF(AND($V5607='設定'!$C$4,COUNTIF('商品マスタ'!$B$6:$B$1005,$W5607)=0),N(U5606)+1,N(U5606))</f>
        <v/>
      </c>
      <c r="V5607" s="19">
        <f>IF($B5607="","",TEXT($B5607,"0000"))</f>
        <v/>
      </c>
      <c r="W5607" s="19">
        <f>IF($I5607="","",IF(ISNUMBER($I5607),TEXT($I5607,"0"),$I5607))</f>
        <v/>
      </c>
    </row>
    <row r="5608">
      <c r="B5608" s="25" t="n"/>
      <c r="I5608" s="25" t="n"/>
      <c r="U5608" s="19">
        <f>IF(AND($V5608='設定'!$C$4,COUNTIF('商品マスタ'!$B$6:$B$1005,$W5608)=0),N(U5607)+1,N(U5607))</f>
        <v/>
      </c>
      <c r="V5608" s="19">
        <f>IF($B5608="","",TEXT($B5608,"0000"))</f>
        <v/>
      </c>
      <c r="W5608" s="19">
        <f>IF($I5608="","",IF(ISNUMBER($I5608),TEXT($I5608,"0"),$I5608))</f>
        <v/>
      </c>
    </row>
    <row r="5609">
      <c r="B5609" s="25" t="n"/>
      <c r="I5609" s="25" t="n"/>
      <c r="U5609" s="19">
        <f>IF(AND($V5609='設定'!$C$4,COUNTIF('商品マスタ'!$B$6:$B$1005,$W5609)=0),N(U5608)+1,N(U5608))</f>
        <v/>
      </c>
      <c r="V5609" s="19">
        <f>IF($B5609="","",TEXT($B5609,"0000"))</f>
        <v/>
      </c>
      <c r="W5609" s="19">
        <f>IF($I5609="","",IF(ISNUMBER($I5609),TEXT($I5609,"0"),$I5609))</f>
        <v/>
      </c>
    </row>
    <row r="5610">
      <c r="B5610" s="25" t="n"/>
      <c r="I5610" s="25" t="n"/>
      <c r="U5610" s="19">
        <f>IF(AND($V5610='設定'!$C$4,COUNTIF('商品マスタ'!$B$6:$B$1005,$W5610)=0),N(U5609)+1,N(U5609))</f>
        <v/>
      </c>
      <c r="V5610" s="19">
        <f>IF($B5610="","",TEXT($B5610,"0000"))</f>
        <v/>
      </c>
      <c r="W5610" s="19">
        <f>IF($I5610="","",IF(ISNUMBER($I5610),TEXT($I5610,"0"),$I5610))</f>
        <v/>
      </c>
    </row>
    <row r="5611">
      <c r="B5611" s="25" t="n"/>
      <c r="I5611" s="25" t="n"/>
      <c r="U5611" s="19">
        <f>IF(AND($V5611='設定'!$C$4,COUNTIF('商品マスタ'!$B$6:$B$1005,$W5611)=0),N(U5610)+1,N(U5610))</f>
        <v/>
      </c>
      <c r="V5611" s="19">
        <f>IF($B5611="","",TEXT($B5611,"0000"))</f>
        <v/>
      </c>
      <c r="W5611" s="19">
        <f>IF($I5611="","",IF(ISNUMBER($I5611),TEXT($I5611,"0"),$I5611))</f>
        <v/>
      </c>
    </row>
    <row r="5612">
      <c r="B5612" s="25" t="n"/>
      <c r="I5612" s="25" t="n"/>
      <c r="U5612" s="19">
        <f>IF(AND($V5612='設定'!$C$4,COUNTIF('商品マスタ'!$B$6:$B$1005,$W5612)=0),N(U5611)+1,N(U5611))</f>
        <v/>
      </c>
      <c r="V5612" s="19">
        <f>IF($B5612="","",TEXT($B5612,"0000"))</f>
        <v/>
      </c>
      <c r="W5612" s="19">
        <f>IF($I5612="","",IF(ISNUMBER($I5612),TEXT($I5612,"0"),$I5612))</f>
        <v/>
      </c>
    </row>
    <row r="5613">
      <c r="B5613" s="25" t="n"/>
      <c r="I5613" s="25" t="n"/>
      <c r="U5613" s="19">
        <f>IF(AND($V5613='設定'!$C$4,COUNTIF('商品マスタ'!$B$6:$B$1005,$W5613)=0),N(U5612)+1,N(U5612))</f>
        <v/>
      </c>
      <c r="V5613" s="19">
        <f>IF($B5613="","",TEXT($B5613,"0000"))</f>
        <v/>
      </c>
      <c r="W5613" s="19">
        <f>IF($I5613="","",IF(ISNUMBER($I5613),TEXT($I5613,"0"),$I5613))</f>
        <v/>
      </c>
    </row>
    <row r="5614">
      <c r="B5614" s="25" t="n"/>
      <c r="I5614" s="25" t="n"/>
      <c r="U5614" s="19">
        <f>IF(AND($V5614='設定'!$C$4,COUNTIF('商品マスタ'!$B$6:$B$1005,$W5614)=0),N(U5613)+1,N(U5613))</f>
        <v/>
      </c>
      <c r="V5614" s="19">
        <f>IF($B5614="","",TEXT($B5614,"0000"))</f>
        <v/>
      </c>
      <c r="W5614" s="19">
        <f>IF($I5614="","",IF(ISNUMBER($I5614),TEXT($I5614,"0"),$I5614))</f>
        <v/>
      </c>
    </row>
    <row r="5615">
      <c r="B5615" s="25" t="n"/>
      <c r="I5615" s="25" t="n"/>
      <c r="U5615" s="19">
        <f>IF(AND($V5615='設定'!$C$4,COUNTIF('商品マスタ'!$B$6:$B$1005,$W5615)=0),N(U5614)+1,N(U5614))</f>
        <v/>
      </c>
      <c r="V5615" s="19">
        <f>IF($B5615="","",TEXT($B5615,"0000"))</f>
        <v/>
      </c>
      <c r="W5615" s="19">
        <f>IF($I5615="","",IF(ISNUMBER($I5615),TEXT($I5615,"0"),$I5615))</f>
        <v/>
      </c>
    </row>
    <row r="5616">
      <c r="B5616" s="25" t="n"/>
      <c r="I5616" s="25" t="n"/>
      <c r="U5616" s="19">
        <f>IF(AND($V5616='設定'!$C$4,COUNTIF('商品マスタ'!$B$6:$B$1005,$W5616)=0),N(U5615)+1,N(U5615))</f>
        <v/>
      </c>
      <c r="V5616" s="19">
        <f>IF($B5616="","",TEXT($B5616,"0000"))</f>
        <v/>
      </c>
      <c r="W5616" s="19">
        <f>IF($I5616="","",IF(ISNUMBER($I5616),TEXT($I5616,"0"),$I5616))</f>
        <v/>
      </c>
    </row>
    <row r="5617">
      <c r="B5617" s="25" t="n"/>
      <c r="I5617" s="25" t="n"/>
      <c r="U5617" s="19">
        <f>IF(AND($V5617='設定'!$C$4,COUNTIF('商品マスタ'!$B$6:$B$1005,$W5617)=0),N(U5616)+1,N(U5616))</f>
        <v/>
      </c>
      <c r="V5617" s="19">
        <f>IF($B5617="","",TEXT($B5617,"0000"))</f>
        <v/>
      </c>
      <c r="W5617" s="19">
        <f>IF($I5617="","",IF(ISNUMBER($I5617),TEXT($I5617,"0"),$I5617))</f>
        <v/>
      </c>
    </row>
    <row r="5618">
      <c r="B5618" s="25" t="n"/>
      <c r="I5618" s="25" t="n"/>
      <c r="U5618" s="19">
        <f>IF(AND($V5618='設定'!$C$4,COUNTIF('商品マスタ'!$B$6:$B$1005,$W5618)=0),N(U5617)+1,N(U5617))</f>
        <v/>
      </c>
      <c r="V5618" s="19">
        <f>IF($B5618="","",TEXT($B5618,"0000"))</f>
        <v/>
      </c>
      <c r="W5618" s="19">
        <f>IF($I5618="","",IF(ISNUMBER($I5618),TEXT($I5618,"0"),$I5618))</f>
        <v/>
      </c>
    </row>
    <row r="5619">
      <c r="B5619" s="25" t="n"/>
      <c r="I5619" s="25" t="n"/>
      <c r="U5619" s="19">
        <f>IF(AND($V5619='設定'!$C$4,COUNTIF('商品マスタ'!$B$6:$B$1005,$W5619)=0),N(U5618)+1,N(U5618))</f>
        <v/>
      </c>
      <c r="V5619" s="19">
        <f>IF($B5619="","",TEXT($B5619,"0000"))</f>
        <v/>
      </c>
      <c r="W5619" s="19">
        <f>IF($I5619="","",IF(ISNUMBER($I5619),TEXT($I5619,"0"),$I5619))</f>
        <v/>
      </c>
    </row>
    <row r="5620">
      <c r="B5620" s="25" t="n"/>
      <c r="I5620" s="25" t="n"/>
      <c r="U5620" s="19">
        <f>IF(AND($V5620='設定'!$C$4,COUNTIF('商品マスタ'!$B$6:$B$1005,$W5620)=0),N(U5619)+1,N(U5619))</f>
        <v/>
      </c>
      <c r="V5620" s="19">
        <f>IF($B5620="","",TEXT($B5620,"0000"))</f>
        <v/>
      </c>
      <c r="W5620" s="19">
        <f>IF($I5620="","",IF(ISNUMBER($I5620),TEXT($I5620,"0"),$I5620))</f>
        <v/>
      </c>
    </row>
    <row r="5621">
      <c r="B5621" s="25" t="n"/>
      <c r="I5621" s="25" t="n"/>
      <c r="U5621" s="19">
        <f>IF(AND($V5621='設定'!$C$4,COUNTIF('商品マスタ'!$B$6:$B$1005,$W5621)=0),N(U5620)+1,N(U5620))</f>
        <v/>
      </c>
      <c r="V5621" s="19">
        <f>IF($B5621="","",TEXT($B5621,"0000"))</f>
        <v/>
      </c>
      <c r="W5621" s="19">
        <f>IF($I5621="","",IF(ISNUMBER($I5621),TEXT($I5621,"0"),$I5621))</f>
        <v/>
      </c>
    </row>
    <row r="5622">
      <c r="B5622" s="25" t="n"/>
      <c r="I5622" s="25" t="n"/>
      <c r="U5622" s="19">
        <f>IF(AND($V5622='設定'!$C$4,COUNTIF('商品マスタ'!$B$6:$B$1005,$W5622)=0),N(U5621)+1,N(U5621))</f>
        <v/>
      </c>
      <c r="V5622" s="19">
        <f>IF($B5622="","",TEXT($B5622,"0000"))</f>
        <v/>
      </c>
      <c r="W5622" s="19">
        <f>IF($I5622="","",IF(ISNUMBER($I5622),TEXT($I5622,"0"),$I5622))</f>
        <v/>
      </c>
    </row>
    <row r="5623">
      <c r="B5623" s="25" t="n"/>
      <c r="I5623" s="25" t="n"/>
      <c r="U5623" s="19">
        <f>IF(AND($V5623='設定'!$C$4,COUNTIF('商品マスタ'!$B$6:$B$1005,$W5623)=0),N(U5622)+1,N(U5622))</f>
        <v/>
      </c>
      <c r="V5623" s="19">
        <f>IF($B5623="","",TEXT($B5623,"0000"))</f>
        <v/>
      </c>
      <c r="W5623" s="19">
        <f>IF($I5623="","",IF(ISNUMBER($I5623),TEXT($I5623,"0"),$I5623))</f>
        <v/>
      </c>
    </row>
    <row r="5624">
      <c r="B5624" s="25" t="n"/>
      <c r="I5624" s="25" t="n"/>
      <c r="U5624" s="19">
        <f>IF(AND($V5624='設定'!$C$4,COUNTIF('商品マスタ'!$B$6:$B$1005,$W5624)=0),N(U5623)+1,N(U5623))</f>
        <v/>
      </c>
      <c r="V5624" s="19">
        <f>IF($B5624="","",TEXT($B5624,"0000"))</f>
        <v/>
      </c>
      <c r="W5624" s="19">
        <f>IF($I5624="","",IF(ISNUMBER($I5624),TEXT($I5624,"0"),$I5624))</f>
        <v/>
      </c>
    </row>
    <row r="5625">
      <c r="B5625" s="25" t="n"/>
      <c r="I5625" s="25" t="n"/>
      <c r="U5625" s="19">
        <f>IF(AND($V5625='設定'!$C$4,COUNTIF('商品マスタ'!$B$6:$B$1005,$W5625)=0),N(U5624)+1,N(U5624))</f>
        <v/>
      </c>
      <c r="V5625" s="19">
        <f>IF($B5625="","",TEXT($B5625,"0000"))</f>
        <v/>
      </c>
      <c r="W5625" s="19">
        <f>IF($I5625="","",IF(ISNUMBER($I5625),TEXT($I5625,"0"),$I5625))</f>
        <v/>
      </c>
    </row>
    <row r="5626">
      <c r="B5626" s="25" t="n"/>
      <c r="I5626" s="25" t="n"/>
      <c r="U5626" s="19">
        <f>IF(AND($V5626='設定'!$C$4,COUNTIF('商品マスタ'!$B$6:$B$1005,$W5626)=0),N(U5625)+1,N(U5625))</f>
        <v/>
      </c>
      <c r="V5626" s="19">
        <f>IF($B5626="","",TEXT($B5626,"0000"))</f>
        <v/>
      </c>
      <c r="W5626" s="19">
        <f>IF($I5626="","",IF(ISNUMBER($I5626),TEXT($I5626,"0"),$I5626))</f>
        <v/>
      </c>
    </row>
    <row r="5627">
      <c r="B5627" s="25" t="n"/>
      <c r="I5627" s="25" t="n"/>
      <c r="U5627" s="19">
        <f>IF(AND($V5627='設定'!$C$4,COUNTIF('商品マスタ'!$B$6:$B$1005,$W5627)=0),N(U5626)+1,N(U5626))</f>
        <v/>
      </c>
      <c r="V5627" s="19">
        <f>IF($B5627="","",TEXT($B5627,"0000"))</f>
        <v/>
      </c>
      <c r="W5627" s="19">
        <f>IF($I5627="","",IF(ISNUMBER($I5627),TEXT($I5627,"0"),$I5627))</f>
        <v/>
      </c>
    </row>
    <row r="5628">
      <c r="B5628" s="25" t="n"/>
      <c r="I5628" s="25" t="n"/>
      <c r="U5628" s="19">
        <f>IF(AND($V5628='設定'!$C$4,COUNTIF('商品マスタ'!$B$6:$B$1005,$W5628)=0),N(U5627)+1,N(U5627))</f>
        <v/>
      </c>
      <c r="V5628" s="19">
        <f>IF($B5628="","",TEXT($B5628,"0000"))</f>
        <v/>
      </c>
      <c r="W5628" s="19">
        <f>IF($I5628="","",IF(ISNUMBER($I5628),TEXT($I5628,"0"),$I5628))</f>
        <v/>
      </c>
    </row>
    <row r="5629">
      <c r="B5629" s="25" t="n"/>
      <c r="I5629" s="25" t="n"/>
      <c r="U5629" s="19">
        <f>IF(AND($V5629='設定'!$C$4,COUNTIF('商品マスタ'!$B$6:$B$1005,$W5629)=0),N(U5628)+1,N(U5628))</f>
        <v/>
      </c>
      <c r="V5629" s="19">
        <f>IF($B5629="","",TEXT($B5629,"0000"))</f>
        <v/>
      </c>
      <c r="W5629" s="19">
        <f>IF($I5629="","",IF(ISNUMBER($I5629),TEXT($I5629,"0"),$I5629))</f>
        <v/>
      </c>
    </row>
    <row r="5630">
      <c r="B5630" s="25" t="n"/>
      <c r="I5630" s="25" t="n"/>
      <c r="U5630" s="19">
        <f>IF(AND($V5630='設定'!$C$4,COUNTIF('商品マスタ'!$B$6:$B$1005,$W5630)=0),N(U5629)+1,N(U5629))</f>
        <v/>
      </c>
      <c r="V5630" s="19">
        <f>IF($B5630="","",TEXT($B5630,"0000"))</f>
        <v/>
      </c>
      <c r="W5630" s="19">
        <f>IF($I5630="","",IF(ISNUMBER($I5630),TEXT($I5630,"0"),$I5630))</f>
        <v/>
      </c>
    </row>
    <row r="5631">
      <c r="B5631" s="25" t="n"/>
      <c r="I5631" s="25" t="n"/>
      <c r="U5631" s="19">
        <f>IF(AND($V5631='設定'!$C$4,COUNTIF('商品マスタ'!$B$6:$B$1005,$W5631)=0),N(U5630)+1,N(U5630))</f>
        <v/>
      </c>
      <c r="V5631" s="19">
        <f>IF($B5631="","",TEXT($B5631,"0000"))</f>
        <v/>
      </c>
      <c r="W5631" s="19">
        <f>IF($I5631="","",IF(ISNUMBER($I5631),TEXT($I5631,"0"),$I5631))</f>
        <v/>
      </c>
    </row>
    <row r="5632">
      <c r="B5632" s="25" t="n"/>
      <c r="I5632" s="25" t="n"/>
      <c r="U5632" s="19">
        <f>IF(AND($V5632='設定'!$C$4,COUNTIF('商品マスタ'!$B$6:$B$1005,$W5632)=0),N(U5631)+1,N(U5631))</f>
        <v/>
      </c>
      <c r="V5632" s="19">
        <f>IF($B5632="","",TEXT($B5632,"0000"))</f>
        <v/>
      </c>
      <c r="W5632" s="19">
        <f>IF($I5632="","",IF(ISNUMBER($I5632),TEXT($I5632,"0"),$I5632))</f>
        <v/>
      </c>
    </row>
    <row r="5633">
      <c r="B5633" s="25" t="n"/>
      <c r="I5633" s="25" t="n"/>
      <c r="U5633" s="19">
        <f>IF(AND($V5633='設定'!$C$4,COUNTIF('商品マスタ'!$B$6:$B$1005,$W5633)=0),N(U5632)+1,N(U5632))</f>
        <v/>
      </c>
      <c r="V5633" s="19">
        <f>IF($B5633="","",TEXT($B5633,"0000"))</f>
        <v/>
      </c>
      <c r="W5633" s="19">
        <f>IF($I5633="","",IF(ISNUMBER($I5633),TEXT($I5633,"0"),$I5633))</f>
        <v/>
      </c>
    </row>
    <row r="5634">
      <c r="B5634" s="25" t="n"/>
      <c r="I5634" s="25" t="n"/>
      <c r="U5634" s="19">
        <f>IF(AND($V5634='設定'!$C$4,COUNTIF('商品マスタ'!$B$6:$B$1005,$W5634)=0),N(U5633)+1,N(U5633))</f>
        <v/>
      </c>
      <c r="V5634" s="19">
        <f>IF($B5634="","",TEXT($B5634,"0000"))</f>
        <v/>
      </c>
      <c r="W5634" s="19">
        <f>IF($I5634="","",IF(ISNUMBER($I5634),TEXT($I5634,"0"),$I5634))</f>
        <v/>
      </c>
    </row>
    <row r="5635">
      <c r="B5635" s="25" t="n"/>
      <c r="I5635" s="25" t="n"/>
      <c r="U5635" s="19">
        <f>IF(AND($V5635='設定'!$C$4,COUNTIF('商品マスタ'!$B$6:$B$1005,$W5635)=0),N(U5634)+1,N(U5634))</f>
        <v/>
      </c>
      <c r="V5635" s="19">
        <f>IF($B5635="","",TEXT($B5635,"0000"))</f>
        <v/>
      </c>
      <c r="W5635" s="19">
        <f>IF($I5635="","",IF(ISNUMBER($I5635),TEXT($I5635,"0"),$I5635))</f>
        <v/>
      </c>
    </row>
    <row r="5636">
      <c r="B5636" s="25" t="n"/>
      <c r="I5636" s="25" t="n"/>
      <c r="U5636" s="19">
        <f>IF(AND($V5636='設定'!$C$4,COUNTIF('商品マスタ'!$B$6:$B$1005,$W5636)=0),N(U5635)+1,N(U5635))</f>
        <v/>
      </c>
      <c r="V5636" s="19">
        <f>IF($B5636="","",TEXT($B5636,"0000"))</f>
        <v/>
      </c>
      <c r="W5636" s="19">
        <f>IF($I5636="","",IF(ISNUMBER($I5636),TEXT($I5636,"0"),$I5636))</f>
        <v/>
      </c>
    </row>
    <row r="5637">
      <c r="B5637" s="25" t="n"/>
      <c r="I5637" s="25" t="n"/>
      <c r="U5637" s="19">
        <f>IF(AND($V5637='設定'!$C$4,COUNTIF('商品マスタ'!$B$6:$B$1005,$W5637)=0),N(U5636)+1,N(U5636))</f>
        <v/>
      </c>
      <c r="V5637" s="19">
        <f>IF($B5637="","",TEXT($B5637,"0000"))</f>
        <v/>
      </c>
      <c r="W5637" s="19">
        <f>IF($I5637="","",IF(ISNUMBER($I5637),TEXT($I5637,"0"),$I5637))</f>
        <v/>
      </c>
    </row>
    <row r="5638">
      <c r="B5638" s="25" t="n"/>
      <c r="I5638" s="25" t="n"/>
      <c r="U5638" s="19">
        <f>IF(AND($V5638='設定'!$C$4,COUNTIF('商品マスタ'!$B$6:$B$1005,$W5638)=0),N(U5637)+1,N(U5637))</f>
        <v/>
      </c>
      <c r="V5638" s="19">
        <f>IF($B5638="","",TEXT($B5638,"0000"))</f>
        <v/>
      </c>
      <c r="W5638" s="19">
        <f>IF($I5638="","",IF(ISNUMBER($I5638),TEXT($I5638,"0"),$I5638))</f>
        <v/>
      </c>
    </row>
    <row r="5639">
      <c r="B5639" s="25" t="n"/>
      <c r="I5639" s="25" t="n"/>
      <c r="U5639" s="19">
        <f>IF(AND($V5639='設定'!$C$4,COUNTIF('商品マスタ'!$B$6:$B$1005,$W5639)=0),N(U5638)+1,N(U5638))</f>
        <v/>
      </c>
      <c r="V5639" s="19">
        <f>IF($B5639="","",TEXT($B5639,"0000"))</f>
        <v/>
      </c>
      <c r="W5639" s="19">
        <f>IF($I5639="","",IF(ISNUMBER($I5639),TEXT($I5639,"0"),$I5639))</f>
        <v/>
      </c>
    </row>
    <row r="5640">
      <c r="B5640" s="25" t="n"/>
      <c r="I5640" s="25" t="n"/>
      <c r="U5640" s="19">
        <f>IF(AND($V5640='設定'!$C$4,COUNTIF('商品マスタ'!$B$6:$B$1005,$W5640)=0),N(U5639)+1,N(U5639))</f>
        <v/>
      </c>
      <c r="V5640" s="19">
        <f>IF($B5640="","",TEXT($B5640,"0000"))</f>
        <v/>
      </c>
      <c r="W5640" s="19">
        <f>IF($I5640="","",IF(ISNUMBER($I5640),TEXT($I5640,"0"),$I5640))</f>
        <v/>
      </c>
    </row>
    <row r="5641">
      <c r="B5641" s="25" t="n"/>
      <c r="I5641" s="25" t="n"/>
      <c r="U5641" s="19">
        <f>IF(AND($V5641='設定'!$C$4,COUNTIF('商品マスタ'!$B$6:$B$1005,$W5641)=0),N(U5640)+1,N(U5640))</f>
        <v/>
      </c>
      <c r="V5641" s="19">
        <f>IF($B5641="","",TEXT($B5641,"0000"))</f>
        <v/>
      </c>
      <c r="W5641" s="19">
        <f>IF($I5641="","",IF(ISNUMBER($I5641),TEXT($I5641,"0"),$I5641))</f>
        <v/>
      </c>
    </row>
    <row r="5642">
      <c r="B5642" s="25" t="n"/>
      <c r="I5642" s="25" t="n"/>
      <c r="U5642" s="19">
        <f>IF(AND($V5642='設定'!$C$4,COUNTIF('商品マスタ'!$B$6:$B$1005,$W5642)=0),N(U5641)+1,N(U5641))</f>
        <v/>
      </c>
      <c r="V5642" s="19">
        <f>IF($B5642="","",TEXT($B5642,"0000"))</f>
        <v/>
      </c>
      <c r="W5642" s="19">
        <f>IF($I5642="","",IF(ISNUMBER($I5642),TEXT($I5642,"0"),$I5642))</f>
        <v/>
      </c>
    </row>
    <row r="5643">
      <c r="B5643" s="25" t="n"/>
      <c r="I5643" s="25" t="n"/>
      <c r="U5643" s="19">
        <f>IF(AND($V5643='設定'!$C$4,COUNTIF('商品マスタ'!$B$6:$B$1005,$W5643)=0),N(U5642)+1,N(U5642))</f>
        <v/>
      </c>
      <c r="V5643" s="19">
        <f>IF($B5643="","",TEXT($B5643,"0000"))</f>
        <v/>
      </c>
      <c r="W5643" s="19">
        <f>IF($I5643="","",IF(ISNUMBER($I5643),TEXT($I5643,"0"),$I5643))</f>
        <v/>
      </c>
    </row>
    <row r="5644">
      <c r="B5644" s="25" t="n"/>
      <c r="I5644" s="25" t="n"/>
      <c r="U5644" s="19">
        <f>IF(AND($V5644='設定'!$C$4,COUNTIF('商品マスタ'!$B$6:$B$1005,$W5644)=0),N(U5643)+1,N(U5643))</f>
        <v/>
      </c>
      <c r="V5644" s="19">
        <f>IF($B5644="","",TEXT($B5644,"0000"))</f>
        <v/>
      </c>
      <c r="W5644" s="19">
        <f>IF($I5644="","",IF(ISNUMBER($I5644),TEXT($I5644,"0"),$I5644))</f>
        <v/>
      </c>
    </row>
    <row r="5645">
      <c r="B5645" s="25" t="n"/>
      <c r="I5645" s="25" t="n"/>
      <c r="U5645" s="19">
        <f>IF(AND($V5645='設定'!$C$4,COUNTIF('商品マスタ'!$B$6:$B$1005,$W5645)=0),N(U5644)+1,N(U5644))</f>
        <v/>
      </c>
      <c r="V5645" s="19">
        <f>IF($B5645="","",TEXT($B5645,"0000"))</f>
        <v/>
      </c>
      <c r="W5645" s="19">
        <f>IF($I5645="","",IF(ISNUMBER($I5645),TEXT($I5645,"0"),$I5645))</f>
        <v/>
      </c>
    </row>
    <row r="5646">
      <c r="B5646" s="25" t="n"/>
      <c r="I5646" s="25" t="n"/>
      <c r="U5646" s="19">
        <f>IF(AND($V5646='設定'!$C$4,COUNTIF('商品マスタ'!$B$6:$B$1005,$W5646)=0),N(U5645)+1,N(U5645))</f>
        <v/>
      </c>
      <c r="V5646" s="19">
        <f>IF($B5646="","",TEXT($B5646,"0000"))</f>
        <v/>
      </c>
      <c r="W5646" s="19">
        <f>IF($I5646="","",IF(ISNUMBER($I5646),TEXT($I5646,"0"),$I5646))</f>
        <v/>
      </c>
    </row>
    <row r="5647">
      <c r="B5647" s="25" t="n"/>
      <c r="I5647" s="25" t="n"/>
      <c r="U5647" s="19">
        <f>IF(AND($V5647='設定'!$C$4,COUNTIF('商品マスタ'!$B$6:$B$1005,$W5647)=0),N(U5646)+1,N(U5646))</f>
        <v/>
      </c>
      <c r="V5647" s="19">
        <f>IF($B5647="","",TEXT($B5647,"0000"))</f>
        <v/>
      </c>
      <c r="W5647" s="19">
        <f>IF($I5647="","",IF(ISNUMBER($I5647),TEXT($I5647,"0"),$I5647))</f>
        <v/>
      </c>
    </row>
    <row r="5648">
      <c r="B5648" s="25" t="n"/>
      <c r="I5648" s="25" t="n"/>
      <c r="U5648" s="19">
        <f>IF(AND($V5648='設定'!$C$4,COUNTIF('商品マスタ'!$B$6:$B$1005,$W5648)=0),N(U5647)+1,N(U5647))</f>
        <v/>
      </c>
      <c r="V5648" s="19">
        <f>IF($B5648="","",TEXT($B5648,"0000"))</f>
        <v/>
      </c>
      <c r="W5648" s="19">
        <f>IF($I5648="","",IF(ISNUMBER($I5648),TEXT($I5648,"0"),$I5648))</f>
        <v/>
      </c>
    </row>
    <row r="5649">
      <c r="B5649" s="25" t="n"/>
      <c r="I5649" s="25" t="n"/>
      <c r="U5649" s="19">
        <f>IF(AND($V5649='設定'!$C$4,COUNTIF('商品マスタ'!$B$6:$B$1005,$W5649)=0),N(U5648)+1,N(U5648))</f>
        <v/>
      </c>
      <c r="V5649" s="19">
        <f>IF($B5649="","",TEXT($B5649,"0000"))</f>
        <v/>
      </c>
      <c r="W5649" s="19">
        <f>IF($I5649="","",IF(ISNUMBER($I5649),TEXT($I5649,"0"),$I5649))</f>
        <v/>
      </c>
    </row>
    <row r="5650">
      <c r="B5650" s="25" t="n"/>
      <c r="I5650" s="25" t="n"/>
      <c r="U5650" s="19">
        <f>IF(AND($V5650='設定'!$C$4,COUNTIF('商品マスタ'!$B$6:$B$1005,$W5650)=0),N(U5649)+1,N(U5649))</f>
        <v/>
      </c>
      <c r="V5650" s="19">
        <f>IF($B5650="","",TEXT($B5650,"0000"))</f>
        <v/>
      </c>
      <c r="W5650" s="19">
        <f>IF($I5650="","",IF(ISNUMBER($I5650),TEXT($I5650,"0"),$I5650))</f>
        <v/>
      </c>
    </row>
    <row r="5651">
      <c r="B5651" s="25" t="n"/>
      <c r="I5651" s="25" t="n"/>
      <c r="U5651" s="19">
        <f>IF(AND($V5651='設定'!$C$4,COUNTIF('商品マスタ'!$B$6:$B$1005,$W5651)=0),N(U5650)+1,N(U5650))</f>
        <v/>
      </c>
      <c r="V5651" s="19">
        <f>IF($B5651="","",TEXT($B5651,"0000"))</f>
        <v/>
      </c>
      <c r="W5651" s="19">
        <f>IF($I5651="","",IF(ISNUMBER($I5651),TEXT($I5651,"0"),$I5651))</f>
        <v/>
      </c>
    </row>
    <row r="5652">
      <c r="B5652" s="25" t="n"/>
      <c r="I5652" s="25" t="n"/>
      <c r="U5652" s="19">
        <f>IF(AND($V5652='設定'!$C$4,COUNTIF('商品マスタ'!$B$6:$B$1005,$W5652)=0),N(U5651)+1,N(U5651))</f>
        <v/>
      </c>
      <c r="V5652" s="19">
        <f>IF($B5652="","",TEXT($B5652,"0000"))</f>
        <v/>
      </c>
      <c r="W5652" s="19">
        <f>IF($I5652="","",IF(ISNUMBER($I5652),TEXT($I5652,"0"),$I5652))</f>
        <v/>
      </c>
    </row>
    <row r="5653">
      <c r="B5653" s="25" t="n"/>
      <c r="I5653" s="25" t="n"/>
      <c r="U5653" s="19">
        <f>IF(AND($V5653='設定'!$C$4,COUNTIF('商品マスタ'!$B$6:$B$1005,$W5653)=0),N(U5652)+1,N(U5652))</f>
        <v/>
      </c>
      <c r="V5653" s="19">
        <f>IF($B5653="","",TEXT($B5653,"0000"))</f>
        <v/>
      </c>
      <c r="W5653" s="19">
        <f>IF($I5653="","",IF(ISNUMBER($I5653),TEXT($I5653,"0"),$I5653))</f>
        <v/>
      </c>
    </row>
    <row r="5654">
      <c r="B5654" s="25" t="n"/>
      <c r="I5654" s="25" t="n"/>
      <c r="U5654" s="19">
        <f>IF(AND($V5654='設定'!$C$4,COUNTIF('商品マスタ'!$B$6:$B$1005,$W5654)=0),N(U5653)+1,N(U5653))</f>
        <v/>
      </c>
      <c r="V5654" s="19">
        <f>IF($B5654="","",TEXT($B5654,"0000"))</f>
        <v/>
      </c>
      <c r="W5654" s="19">
        <f>IF($I5654="","",IF(ISNUMBER($I5654),TEXT($I5654,"0"),$I5654))</f>
        <v/>
      </c>
    </row>
    <row r="5655">
      <c r="B5655" s="25" t="n"/>
      <c r="I5655" s="25" t="n"/>
      <c r="U5655" s="19">
        <f>IF(AND($V5655='設定'!$C$4,COUNTIF('商品マスタ'!$B$6:$B$1005,$W5655)=0),N(U5654)+1,N(U5654))</f>
        <v/>
      </c>
      <c r="V5655" s="19">
        <f>IF($B5655="","",TEXT($B5655,"0000"))</f>
        <v/>
      </c>
      <c r="W5655" s="19">
        <f>IF($I5655="","",IF(ISNUMBER($I5655),TEXT($I5655,"0"),$I5655))</f>
        <v/>
      </c>
    </row>
    <row r="5656">
      <c r="B5656" s="25" t="n"/>
      <c r="I5656" s="25" t="n"/>
      <c r="U5656" s="19">
        <f>IF(AND($V5656='設定'!$C$4,COUNTIF('商品マスタ'!$B$6:$B$1005,$W5656)=0),N(U5655)+1,N(U5655))</f>
        <v/>
      </c>
      <c r="V5656" s="19">
        <f>IF($B5656="","",TEXT($B5656,"0000"))</f>
        <v/>
      </c>
      <c r="W5656" s="19">
        <f>IF($I5656="","",IF(ISNUMBER($I5656),TEXT($I5656,"0"),$I5656))</f>
        <v/>
      </c>
    </row>
    <row r="5657">
      <c r="B5657" s="25" t="n"/>
      <c r="I5657" s="25" t="n"/>
      <c r="U5657" s="19">
        <f>IF(AND($V5657='設定'!$C$4,COUNTIF('商品マスタ'!$B$6:$B$1005,$W5657)=0),N(U5656)+1,N(U5656))</f>
        <v/>
      </c>
      <c r="V5657" s="19">
        <f>IF($B5657="","",TEXT($B5657,"0000"))</f>
        <v/>
      </c>
      <c r="W5657" s="19">
        <f>IF($I5657="","",IF(ISNUMBER($I5657),TEXT($I5657,"0"),$I5657))</f>
        <v/>
      </c>
    </row>
    <row r="5658">
      <c r="B5658" s="25" t="n"/>
      <c r="I5658" s="25" t="n"/>
      <c r="U5658" s="19">
        <f>IF(AND($V5658='設定'!$C$4,COUNTIF('商品マスタ'!$B$6:$B$1005,$W5658)=0),N(U5657)+1,N(U5657))</f>
        <v/>
      </c>
      <c r="V5658" s="19">
        <f>IF($B5658="","",TEXT($B5658,"0000"))</f>
        <v/>
      </c>
      <c r="W5658" s="19">
        <f>IF($I5658="","",IF(ISNUMBER($I5658),TEXT($I5658,"0"),$I5658))</f>
        <v/>
      </c>
    </row>
    <row r="5659">
      <c r="B5659" s="25" t="n"/>
      <c r="I5659" s="25" t="n"/>
      <c r="U5659" s="19">
        <f>IF(AND($V5659='設定'!$C$4,COUNTIF('商品マスタ'!$B$6:$B$1005,$W5659)=0),N(U5658)+1,N(U5658))</f>
        <v/>
      </c>
      <c r="V5659" s="19">
        <f>IF($B5659="","",TEXT($B5659,"0000"))</f>
        <v/>
      </c>
      <c r="W5659" s="19">
        <f>IF($I5659="","",IF(ISNUMBER($I5659),TEXT($I5659,"0"),$I5659))</f>
        <v/>
      </c>
    </row>
    <row r="5660">
      <c r="B5660" s="25" t="n"/>
      <c r="I5660" s="25" t="n"/>
      <c r="U5660" s="19">
        <f>IF(AND($V5660='設定'!$C$4,COUNTIF('商品マスタ'!$B$6:$B$1005,$W5660)=0),N(U5659)+1,N(U5659))</f>
        <v/>
      </c>
      <c r="V5660" s="19">
        <f>IF($B5660="","",TEXT($B5660,"0000"))</f>
        <v/>
      </c>
      <c r="W5660" s="19">
        <f>IF($I5660="","",IF(ISNUMBER($I5660),TEXT($I5660,"0"),$I5660))</f>
        <v/>
      </c>
    </row>
    <row r="5661">
      <c r="B5661" s="25" t="n"/>
      <c r="I5661" s="25" t="n"/>
      <c r="U5661" s="19">
        <f>IF(AND($V5661='設定'!$C$4,COUNTIF('商品マスタ'!$B$6:$B$1005,$W5661)=0),N(U5660)+1,N(U5660))</f>
        <v/>
      </c>
      <c r="V5661" s="19">
        <f>IF($B5661="","",TEXT($B5661,"0000"))</f>
        <v/>
      </c>
      <c r="W5661" s="19">
        <f>IF($I5661="","",IF(ISNUMBER($I5661),TEXT($I5661,"0"),$I5661))</f>
        <v/>
      </c>
    </row>
    <row r="5662">
      <c r="B5662" s="25" t="n"/>
      <c r="I5662" s="25" t="n"/>
      <c r="U5662" s="19">
        <f>IF(AND($V5662='設定'!$C$4,COUNTIF('商品マスタ'!$B$6:$B$1005,$W5662)=0),N(U5661)+1,N(U5661))</f>
        <v/>
      </c>
      <c r="V5662" s="19">
        <f>IF($B5662="","",TEXT($B5662,"0000"))</f>
        <v/>
      </c>
      <c r="W5662" s="19">
        <f>IF($I5662="","",IF(ISNUMBER($I5662),TEXT($I5662,"0"),$I5662))</f>
        <v/>
      </c>
    </row>
    <row r="5663">
      <c r="B5663" s="25" t="n"/>
      <c r="I5663" s="25" t="n"/>
      <c r="U5663" s="19">
        <f>IF(AND($V5663='設定'!$C$4,COUNTIF('商品マスタ'!$B$6:$B$1005,$W5663)=0),N(U5662)+1,N(U5662))</f>
        <v/>
      </c>
      <c r="V5663" s="19">
        <f>IF($B5663="","",TEXT($B5663,"0000"))</f>
        <v/>
      </c>
      <c r="W5663" s="19">
        <f>IF($I5663="","",IF(ISNUMBER($I5663),TEXT($I5663,"0"),$I5663))</f>
        <v/>
      </c>
    </row>
    <row r="5664">
      <c r="B5664" s="25" t="n"/>
      <c r="I5664" s="25" t="n"/>
      <c r="U5664" s="19">
        <f>IF(AND($V5664='設定'!$C$4,COUNTIF('商品マスタ'!$B$6:$B$1005,$W5664)=0),N(U5663)+1,N(U5663))</f>
        <v/>
      </c>
      <c r="V5664" s="19">
        <f>IF($B5664="","",TEXT($B5664,"0000"))</f>
        <v/>
      </c>
      <c r="W5664" s="19">
        <f>IF($I5664="","",IF(ISNUMBER($I5664),TEXT($I5664,"0"),$I5664))</f>
        <v/>
      </c>
    </row>
    <row r="5665">
      <c r="B5665" s="25" t="n"/>
      <c r="I5665" s="25" t="n"/>
      <c r="U5665" s="19">
        <f>IF(AND($V5665='設定'!$C$4,COUNTIF('商品マスタ'!$B$6:$B$1005,$W5665)=0),N(U5664)+1,N(U5664))</f>
        <v/>
      </c>
      <c r="V5665" s="19">
        <f>IF($B5665="","",TEXT($B5665,"0000"))</f>
        <v/>
      </c>
      <c r="W5665" s="19">
        <f>IF($I5665="","",IF(ISNUMBER($I5665),TEXT($I5665,"0"),$I5665))</f>
        <v/>
      </c>
    </row>
    <row r="5666">
      <c r="B5666" s="25" t="n"/>
      <c r="I5666" s="25" t="n"/>
      <c r="U5666" s="19">
        <f>IF(AND($V5666='設定'!$C$4,COUNTIF('商品マスタ'!$B$6:$B$1005,$W5666)=0),N(U5665)+1,N(U5665))</f>
        <v/>
      </c>
      <c r="V5666" s="19">
        <f>IF($B5666="","",TEXT($B5666,"0000"))</f>
        <v/>
      </c>
      <c r="W5666" s="19">
        <f>IF($I5666="","",IF(ISNUMBER($I5666),TEXT($I5666,"0"),$I5666))</f>
        <v/>
      </c>
    </row>
    <row r="5667">
      <c r="B5667" s="25" t="n"/>
      <c r="I5667" s="25" t="n"/>
      <c r="U5667" s="19">
        <f>IF(AND($V5667='設定'!$C$4,COUNTIF('商品マスタ'!$B$6:$B$1005,$W5667)=0),N(U5666)+1,N(U5666))</f>
        <v/>
      </c>
      <c r="V5667" s="19">
        <f>IF($B5667="","",TEXT($B5667,"0000"))</f>
        <v/>
      </c>
      <c r="W5667" s="19">
        <f>IF($I5667="","",IF(ISNUMBER($I5667),TEXT($I5667,"0"),$I5667))</f>
        <v/>
      </c>
    </row>
    <row r="5668">
      <c r="B5668" s="25" t="n"/>
      <c r="I5668" s="25" t="n"/>
      <c r="U5668" s="19">
        <f>IF(AND($V5668='設定'!$C$4,COUNTIF('商品マスタ'!$B$6:$B$1005,$W5668)=0),N(U5667)+1,N(U5667))</f>
        <v/>
      </c>
      <c r="V5668" s="19">
        <f>IF($B5668="","",TEXT($B5668,"0000"))</f>
        <v/>
      </c>
      <c r="W5668" s="19">
        <f>IF($I5668="","",IF(ISNUMBER($I5668),TEXT($I5668,"0"),$I5668))</f>
        <v/>
      </c>
    </row>
    <row r="5669">
      <c r="B5669" s="25" t="n"/>
      <c r="I5669" s="25" t="n"/>
      <c r="U5669" s="19">
        <f>IF(AND($V5669='設定'!$C$4,COUNTIF('商品マスタ'!$B$6:$B$1005,$W5669)=0),N(U5668)+1,N(U5668))</f>
        <v/>
      </c>
      <c r="V5669" s="19">
        <f>IF($B5669="","",TEXT($B5669,"0000"))</f>
        <v/>
      </c>
      <c r="W5669" s="19">
        <f>IF($I5669="","",IF(ISNUMBER($I5669),TEXT($I5669,"0"),$I5669))</f>
        <v/>
      </c>
    </row>
    <row r="5670">
      <c r="B5670" s="25" t="n"/>
      <c r="I5670" s="25" t="n"/>
      <c r="U5670" s="19">
        <f>IF(AND($V5670='設定'!$C$4,COUNTIF('商品マスタ'!$B$6:$B$1005,$W5670)=0),N(U5669)+1,N(U5669))</f>
        <v/>
      </c>
      <c r="V5670" s="19">
        <f>IF($B5670="","",TEXT($B5670,"0000"))</f>
        <v/>
      </c>
      <c r="W5670" s="19">
        <f>IF($I5670="","",IF(ISNUMBER($I5670),TEXT($I5670,"0"),$I5670))</f>
        <v/>
      </c>
    </row>
    <row r="5671">
      <c r="B5671" s="25" t="n"/>
      <c r="I5671" s="25" t="n"/>
      <c r="U5671" s="19">
        <f>IF(AND($V5671='設定'!$C$4,COUNTIF('商品マスタ'!$B$6:$B$1005,$W5671)=0),N(U5670)+1,N(U5670))</f>
        <v/>
      </c>
      <c r="V5671" s="19">
        <f>IF($B5671="","",TEXT($B5671,"0000"))</f>
        <v/>
      </c>
      <c r="W5671" s="19">
        <f>IF($I5671="","",IF(ISNUMBER($I5671),TEXT($I5671,"0"),$I5671))</f>
        <v/>
      </c>
    </row>
    <row r="5672">
      <c r="B5672" s="25" t="n"/>
      <c r="I5672" s="25" t="n"/>
      <c r="U5672" s="19">
        <f>IF(AND($V5672='設定'!$C$4,COUNTIF('商品マスタ'!$B$6:$B$1005,$W5672)=0),N(U5671)+1,N(U5671))</f>
        <v/>
      </c>
      <c r="V5672" s="19">
        <f>IF($B5672="","",TEXT($B5672,"0000"))</f>
        <v/>
      </c>
      <c r="W5672" s="19">
        <f>IF($I5672="","",IF(ISNUMBER($I5672),TEXT($I5672,"0"),$I5672))</f>
        <v/>
      </c>
    </row>
    <row r="5673">
      <c r="B5673" s="25" t="n"/>
      <c r="I5673" s="25" t="n"/>
      <c r="U5673" s="19">
        <f>IF(AND($V5673='設定'!$C$4,COUNTIF('商品マスタ'!$B$6:$B$1005,$W5673)=0),N(U5672)+1,N(U5672))</f>
        <v/>
      </c>
      <c r="V5673" s="19">
        <f>IF($B5673="","",TEXT($B5673,"0000"))</f>
        <v/>
      </c>
      <c r="W5673" s="19">
        <f>IF($I5673="","",IF(ISNUMBER($I5673),TEXT($I5673,"0"),$I5673))</f>
        <v/>
      </c>
    </row>
    <row r="5674">
      <c r="B5674" s="25" t="n"/>
      <c r="I5674" s="25" t="n"/>
      <c r="U5674" s="19">
        <f>IF(AND($V5674='設定'!$C$4,COUNTIF('商品マスタ'!$B$6:$B$1005,$W5674)=0),N(U5673)+1,N(U5673))</f>
        <v/>
      </c>
      <c r="V5674" s="19">
        <f>IF($B5674="","",TEXT($B5674,"0000"))</f>
        <v/>
      </c>
      <c r="W5674" s="19">
        <f>IF($I5674="","",IF(ISNUMBER($I5674),TEXT($I5674,"0"),$I5674))</f>
        <v/>
      </c>
    </row>
    <row r="5675">
      <c r="B5675" s="25" t="n"/>
      <c r="I5675" s="25" t="n"/>
      <c r="U5675" s="19">
        <f>IF(AND($V5675='設定'!$C$4,COUNTIF('商品マスタ'!$B$6:$B$1005,$W5675)=0),N(U5674)+1,N(U5674))</f>
        <v/>
      </c>
      <c r="V5675" s="19">
        <f>IF($B5675="","",TEXT($B5675,"0000"))</f>
        <v/>
      </c>
      <c r="W5675" s="19">
        <f>IF($I5675="","",IF(ISNUMBER($I5675),TEXT($I5675,"0"),$I5675))</f>
        <v/>
      </c>
    </row>
    <row r="5676">
      <c r="B5676" s="25" t="n"/>
      <c r="I5676" s="25" t="n"/>
      <c r="U5676" s="19">
        <f>IF(AND($V5676='設定'!$C$4,COUNTIF('商品マスタ'!$B$6:$B$1005,$W5676)=0),N(U5675)+1,N(U5675))</f>
        <v/>
      </c>
      <c r="V5676" s="19">
        <f>IF($B5676="","",TEXT($B5676,"0000"))</f>
        <v/>
      </c>
      <c r="W5676" s="19">
        <f>IF($I5676="","",IF(ISNUMBER($I5676),TEXT($I5676,"0"),$I5676))</f>
        <v/>
      </c>
    </row>
    <row r="5677">
      <c r="B5677" s="25" t="n"/>
      <c r="I5677" s="25" t="n"/>
      <c r="U5677" s="19">
        <f>IF(AND($V5677='設定'!$C$4,COUNTIF('商品マスタ'!$B$6:$B$1005,$W5677)=0),N(U5676)+1,N(U5676))</f>
        <v/>
      </c>
      <c r="V5677" s="19">
        <f>IF($B5677="","",TEXT($B5677,"0000"))</f>
        <v/>
      </c>
      <c r="W5677" s="19">
        <f>IF($I5677="","",IF(ISNUMBER($I5677),TEXT($I5677,"0"),$I5677))</f>
        <v/>
      </c>
    </row>
    <row r="5678">
      <c r="B5678" s="25" t="n"/>
      <c r="I5678" s="25" t="n"/>
      <c r="U5678" s="19">
        <f>IF(AND($V5678='設定'!$C$4,COUNTIF('商品マスタ'!$B$6:$B$1005,$W5678)=0),N(U5677)+1,N(U5677))</f>
        <v/>
      </c>
      <c r="V5678" s="19">
        <f>IF($B5678="","",TEXT($B5678,"0000"))</f>
        <v/>
      </c>
      <c r="W5678" s="19">
        <f>IF($I5678="","",IF(ISNUMBER($I5678),TEXT($I5678,"0"),$I5678))</f>
        <v/>
      </c>
    </row>
    <row r="5679">
      <c r="B5679" s="25" t="n"/>
      <c r="I5679" s="25" t="n"/>
      <c r="U5679" s="19">
        <f>IF(AND($V5679='設定'!$C$4,COUNTIF('商品マスタ'!$B$6:$B$1005,$W5679)=0),N(U5678)+1,N(U5678))</f>
        <v/>
      </c>
      <c r="V5679" s="19">
        <f>IF($B5679="","",TEXT($B5679,"0000"))</f>
        <v/>
      </c>
      <c r="W5679" s="19">
        <f>IF($I5679="","",IF(ISNUMBER($I5679),TEXT($I5679,"0"),$I5679))</f>
        <v/>
      </c>
    </row>
    <row r="5680">
      <c r="B5680" s="25" t="n"/>
      <c r="I5680" s="25" t="n"/>
      <c r="U5680" s="19">
        <f>IF(AND($V5680='設定'!$C$4,COUNTIF('商品マスタ'!$B$6:$B$1005,$W5680)=0),N(U5679)+1,N(U5679))</f>
        <v/>
      </c>
      <c r="V5680" s="19">
        <f>IF($B5680="","",TEXT($B5680,"0000"))</f>
        <v/>
      </c>
      <c r="W5680" s="19">
        <f>IF($I5680="","",IF(ISNUMBER($I5680),TEXT($I5680,"0"),$I5680))</f>
        <v/>
      </c>
    </row>
    <row r="5681">
      <c r="B5681" s="25" t="n"/>
      <c r="I5681" s="25" t="n"/>
      <c r="U5681" s="19">
        <f>IF(AND($V5681='設定'!$C$4,COUNTIF('商品マスタ'!$B$6:$B$1005,$W5681)=0),N(U5680)+1,N(U5680))</f>
        <v/>
      </c>
      <c r="V5681" s="19">
        <f>IF($B5681="","",TEXT($B5681,"0000"))</f>
        <v/>
      </c>
      <c r="W5681" s="19">
        <f>IF($I5681="","",IF(ISNUMBER($I5681),TEXT($I5681,"0"),$I5681))</f>
        <v/>
      </c>
    </row>
    <row r="5682">
      <c r="B5682" s="25" t="n"/>
      <c r="I5682" s="25" t="n"/>
      <c r="U5682" s="19">
        <f>IF(AND($V5682='設定'!$C$4,COUNTIF('商品マスタ'!$B$6:$B$1005,$W5682)=0),N(U5681)+1,N(U5681))</f>
        <v/>
      </c>
      <c r="V5682" s="19">
        <f>IF($B5682="","",TEXT($B5682,"0000"))</f>
        <v/>
      </c>
      <c r="W5682" s="19">
        <f>IF($I5682="","",IF(ISNUMBER($I5682),TEXT($I5682,"0"),$I5682))</f>
        <v/>
      </c>
    </row>
    <row r="5683">
      <c r="B5683" s="25" t="n"/>
      <c r="I5683" s="25" t="n"/>
      <c r="U5683" s="19">
        <f>IF(AND($V5683='設定'!$C$4,COUNTIF('商品マスタ'!$B$6:$B$1005,$W5683)=0),N(U5682)+1,N(U5682))</f>
        <v/>
      </c>
      <c r="V5683" s="19">
        <f>IF($B5683="","",TEXT($B5683,"0000"))</f>
        <v/>
      </c>
      <c r="W5683" s="19">
        <f>IF($I5683="","",IF(ISNUMBER($I5683),TEXT($I5683,"0"),$I5683))</f>
        <v/>
      </c>
    </row>
    <row r="5684">
      <c r="B5684" s="25" t="n"/>
      <c r="I5684" s="25" t="n"/>
      <c r="U5684" s="19">
        <f>IF(AND($V5684='設定'!$C$4,COUNTIF('商品マスタ'!$B$6:$B$1005,$W5684)=0),N(U5683)+1,N(U5683))</f>
        <v/>
      </c>
      <c r="V5684" s="19">
        <f>IF($B5684="","",TEXT($B5684,"0000"))</f>
        <v/>
      </c>
      <c r="W5684" s="19">
        <f>IF($I5684="","",IF(ISNUMBER($I5684),TEXT($I5684,"0"),$I5684))</f>
        <v/>
      </c>
    </row>
    <row r="5685">
      <c r="B5685" s="25" t="n"/>
      <c r="I5685" s="25" t="n"/>
      <c r="U5685" s="19">
        <f>IF(AND($V5685='設定'!$C$4,COUNTIF('商品マスタ'!$B$6:$B$1005,$W5685)=0),N(U5684)+1,N(U5684))</f>
        <v/>
      </c>
      <c r="V5685" s="19">
        <f>IF($B5685="","",TEXT($B5685,"0000"))</f>
        <v/>
      </c>
      <c r="W5685" s="19">
        <f>IF($I5685="","",IF(ISNUMBER($I5685),TEXT($I5685,"0"),$I5685))</f>
        <v/>
      </c>
    </row>
    <row r="5686">
      <c r="B5686" s="25" t="n"/>
      <c r="I5686" s="25" t="n"/>
      <c r="U5686" s="19">
        <f>IF(AND($V5686='設定'!$C$4,COUNTIF('商品マスタ'!$B$6:$B$1005,$W5686)=0),N(U5685)+1,N(U5685))</f>
        <v/>
      </c>
      <c r="V5686" s="19">
        <f>IF($B5686="","",TEXT($B5686,"0000"))</f>
        <v/>
      </c>
      <c r="W5686" s="19">
        <f>IF($I5686="","",IF(ISNUMBER($I5686),TEXT($I5686,"0"),$I5686))</f>
        <v/>
      </c>
    </row>
    <row r="5687">
      <c r="B5687" s="25" t="n"/>
      <c r="I5687" s="25" t="n"/>
      <c r="U5687" s="19">
        <f>IF(AND($V5687='設定'!$C$4,COUNTIF('商品マスタ'!$B$6:$B$1005,$W5687)=0),N(U5686)+1,N(U5686))</f>
        <v/>
      </c>
      <c r="V5687" s="19">
        <f>IF($B5687="","",TEXT($B5687,"0000"))</f>
        <v/>
      </c>
      <c r="W5687" s="19">
        <f>IF($I5687="","",IF(ISNUMBER($I5687),TEXT($I5687,"0"),$I5687))</f>
        <v/>
      </c>
    </row>
    <row r="5688">
      <c r="B5688" s="25" t="n"/>
      <c r="I5688" s="25" t="n"/>
      <c r="U5688" s="19">
        <f>IF(AND($V5688='設定'!$C$4,COUNTIF('商品マスタ'!$B$6:$B$1005,$W5688)=0),N(U5687)+1,N(U5687))</f>
        <v/>
      </c>
      <c r="V5688" s="19">
        <f>IF($B5688="","",TEXT($B5688,"0000"))</f>
        <v/>
      </c>
      <c r="W5688" s="19">
        <f>IF($I5688="","",IF(ISNUMBER($I5688),TEXT($I5688,"0"),$I5688))</f>
        <v/>
      </c>
    </row>
    <row r="5689">
      <c r="B5689" s="25" t="n"/>
      <c r="I5689" s="25" t="n"/>
      <c r="U5689" s="19">
        <f>IF(AND($V5689='設定'!$C$4,COUNTIF('商品マスタ'!$B$6:$B$1005,$W5689)=0),N(U5688)+1,N(U5688))</f>
        <v/>
      </c>
      <c r="V5689" s="19">
        <f>IF($B5689="","",TEXT($B5689,"0000"))</f>
        <v/>
      </c>
      <c r="W5689" s="19">
        <f>IF($I5689="","",IF(ISNUMBER($I5689),TEXT($I5689,"0"),$I5689))</f>
        <v/>
      </c>
    </row>
    <row r="5690">
      <c r="B5690" s="25" t="n"/>
      <c r="I5690" s="25" t="n"/>
      <c r="U5690" s="19">
        <f>IF(AND($V5690='設定'!$C$4,COUNTIF('商品マスタ'!$B$6:$B$1005,$W5690)=0),N(U5689)+1,N(U5689))</f>
        <v/>
      </c>
      <c r="V5690" s="19">
        <f>IF($B5690="","",TEXT($B5690,"0000"))</f>
        <v/>
      </c>
      <c r="W5690" s="19">
        <f>IF($I5690="","",IF(ISNUMBER($I5690),TEXT($I5690,"0"),$I5690))</f>
        <v/>
      </c>
    </row>
    <row r="5691">
      <c r="B5691" s="25" t="n"/>
      <c r="I5691" s="25" t="n"/>
      <c r="U5691" s="19">
        <f>IF(AND($V5691='設定'!$C$4,COUNTIF('商品マスタ'!$B$6:$B$1005,$W5691)=0),N(U5690)+1,N(U5690))</f>
        <v/>
      </c>
      <c r="V5691" s="19">
        <f>IF($B5691="","",TEXT($B5691,"0000"))</f>
        <v/>
      </c>
      <c r="W5691" s="19">
        <f>IF($I5691="","",IF(ISNUMBER($I5691),TEXT($I5691,"0"),$I5691))</f>
        <v/>
      </c>
    </row>
    <row r="5692">
      <c r="B5692" s="25" t="n"/>
      <c r="I5692" s="25" t="n"/>
      <c r="U5692" s="19">
        <f>IF(AND($V5692='設定'!$C$4,COUNTIF('商品マスタ'!$B$6:$B$1005,$W5692)=0),N(U5691)+1,N(U5691))</f>
        <v/>
      </c>
      <c r="V5692" s="19">
        <f>IF($B5692="","",TEXT($B5692,"0000"))</f>
        <v/>
      </c>
      <c r="W5692" s="19">
        <f>IF($I5692="","",IF(ISNUMBER($I5692),TEXT($I5692,"0"),$I5692))</f>
        <v/>
      </c>
    </row>
    <row r="5693">
      <c r="B5693" s="25" t="n"/>
      <c r="I5693" s="25" t="n"/>
      <c r="U5693" s="19">
        <f>IF(AND($V5693='設定'!$C$4,COUNTIF('商品マスタ'!$B$6:$B$1005,$W5693)=0),N(U5692)+1,N(U5692))</f>
        <v/>
      </c>
      <c r="V5693" s="19">
        <f>IF($B5693="","",TEXT($B5693,"0000"))</f>
        <v/>
      </c>
      <c r="W5693" s="19">
        <f>IF($I5693="","",IF(ISNUMBER($I5693),TEXT($I5693,"0"),$I5693))</f>
        <v/>
      </c>
    </row>
    <row r="5694">
      <c r="B5694" s="25" t="n"/>
      <c r="I5694" s="25" t="n"/>
      <c r="U5694" s="19">
        <f>IF(AND($V5694='設定'!$C$4,COUNTIF('商品マスタ'!$B$6:$B$1005,$W5694)=0),N(U5693)+1,N(U5693))</f>
        <v/>
      </c>
      <c r="V5694" s="19">
        <f>IF($B5694="","",TEXT($B5694,"0000"))</f>
        <v/>
      </c>
      <c r="W5694" s="19">
        <f>IF($I5694="","",IF(ISNUMBER($I5694),TEXT($I5694,"0"),$I5694))</f>
        <v/>
      </c>
    </row>
    <row r="5695">
      <c r="B5695" s="25" t="n"/>
      <c r="I5695" s="25" t="n"/>
      <c r="U5695" s="19">
        <f>IF(AND($V5695='設定'!$C$4,COUNTIF('商品マスタ'!$B$6:$B$1005,$W5695)=0),N(U5694)+1,N(U5694))</f>
        <v/>
      </c>
      <c r="V5695" s="19">
        <f>IF($B5695="","",TEXT($B5695,"0000"))</f>
        <v/>
      </c>
      <c r="W5695" s="19">
        <f>IF($I5695="","",IF(ISNUMBER($I5695),TEXT($I5695,"0"),$I5695))</f>
        <v/>
      </c>
    </row>
    <row r="5696">
      <c r="B5696" s="25" t="n"/>
      <c r="I5696" s="25" t="n"/>
      <c r="U5696" s="19">
        <f>IF(AND($V5696='設定'!$C$4,COUNTIF('商品マスタ'!$B$6:$B$1005,$W5696)=0),N(U5695)+1,N(U5695))</f>
        <v/>
      </c>
      <c r="V5696" s="19">
        <f>IF($B5696="","",TEXT($B5696,"0000"))</f>
        <v/>
      </c>
      <c r="W5696" s="19">
        <f>IF($I5696="","",IF(ISNUMBER($I5696),TEXT($I5696,"0"),$I5696))</f>
        <v/>
      </c>
    </row>
    <row r="5697">
      <c r="B5697" s="25" t="n"/>
      <c r="I5697" s="25" t="n"/>
      <c r="U5697" s="19">
        <f>IF(AND($V5697='設定'!$C$4,COUNTIF('商品マスタ'!$B$6:$B$1005,$W5697)=0),N(U5696)+1,N(U5696))</f>
        <v/>
      </c>
      <c r="V5697" s="19">
        <f>IF($B5697="","",TEXT($B5697,"0000"))</f>
        <v/>
      </c>
      <c r="W5697" s="19">
        <f>IF($I5697="","",IF(ISNUMBER($I5697),TEXT($I5697,"0"),$I5697))</f>
        <v/>
      </c>
    </row>
    <row r="5698">
      <c r="B5698" s="25" t="n"/>
      <c r="I5698" s="25" t="n"/>
      <c r="U5698" s="19">
        <f>IF(AND($V5698='設定'!$C$4,COUNTIF('商品マスタ'!$B$6:$B$1005,$W5698)=0),N(U5697)+1,N(U5697))</f>
        <v/>
      </c>
      <c r="V5698" s="19">
        <f>IF($B5698="","",TEXT($B5698,"0000"))</f>
        <v/>
      </c>
      <c r="W5698" s="19">
        <f>IF($I5698="","",IF(ISNUMBER($I5698),TEXT($I5698,"0"),$I5698))</f>
        <v/>
      </c>
    </row>
    <row r="5699">
      <c r="B5699" s="25" t="n"/>
      <c r="I5699" s="25" t="n"/>
      <c r="U5699" s="19">
        <f>IF(AND($V5699='設定'!$C$4,COUNTIF('商品マスタ'!$B$6:$B$1005,$W5699)=0),N(U5698)+1,N(U5698))</f>
        <v/>
      </c>
      <c r="V5699" s="19">
        <f>IF($B5699="","",TEXT($B5699,"0000"))</f>
        <v/>
      </c>
      <c r="W5699" s="19">
        <f>IF($I5699="","",IF(ISNUMBER($I5699),TEXT($I5699,"0"),$I5699))</f>
        <v/>
      </c>
    </row>
    <row r="5700">
      <c r="B5700" s="25" t="n"/>
      <c r="I5700" s="25" t="n"/>
      <c r="U5700" s="19">
        <f>IF(AND($V5700='設定'!$C$4,COUNTIF('商品マスタ'!$B$6:$B$1005,$W5700)=0),N(U5699)+1,N(U5699))</f>
        <v/>
      </c>
      <c r="V5700" s="19">
        <f>IF($B5700="","",TEXT($B5700,"0000"))</f>
        <v/>
      </c>
      <c r="W5700" s="19">
        <f>IF($I5700="","",IF(ISNUMBER($I5700),TEXT($I5700,"0"),$I5700))</f>
        <v/>
      </c>
    </row>
    <row r="5701">
      <c r="B5701" s="25" t="n"/>
      <c r="I5701" s="25" t="n"/>
      <c r="U5701" s="19">
        <f>IF(AND($V5701='設定'!$C$4,COUNTIF('商品マスタ'!$B$6:$B$1005,$W5701)=0),N(U5700)+1,N(U5700))</f>
        <v/>
      </c>
      <c r="V5701" s="19">
        <f>IF($B5701="","",TEXT($B5701,"0000"))</f>
        <v/>
      </c>
      <c r="W5701" s="19">
        <f>IF($I5701="","",IF(ISNUMBER($I5701),TEXT($I5701,"0"),$I5701))</f>
        <v/>
      </c>
    </row>
    <row r="5702">
      <c r="B5702" s="25" t="n"/>
      <c r="I5702" s="25" t="n"/>
      <c r="U5702" s="19">
        <f>IF(AND($V5702='設定'!$C$4,COUNTIF('商品マスタ'!$B$6:$B$1005,$W5702)=0),N(U5701)+1,N(U5701))</f>
        <v/>
      </c>
      <c r="V5702" s="19">
        <f>IF($B5702="","",TEXT($B5702,"0000"))</f>
        <v/>
      </c>
      <c r="W5702" s="19">
        <f>IF($I5702="","",IF(ISNUMBER($I5702),TEXT($I5702,"0"),$I5702))</f>
        <v/>
      </c>
    </row>
    <row r="5703">
      <c r="B5703" s="25" t="n"/>
      <c r="I5703" s="25" t="n"/>
      <c r="U5703" s="19">
        <f>IF(AND($V5703='設定'!$C$4,COUNTIF('商品マスタ'!$B$6:$B$1005,$W5703)=0),N(U5702)+1,N(U5702))</f>
        <v/>
      </c>
      <c r="V5703" s="19">
        <f>IF($B5703="","",TEXT($B5703,"0000"))</f>
        <v/>
      </c>
      <c r="W5703" s="19">
        <f>IF($I5703="","",IF(ISNUMBER($I5703),TEXT($I5703,"0"),$I5703))</f>
        <v/>
      </c>
    </row>
    <row r="5704">
      <c r="B5704" s="25" t="n"/>
      <c r="I5704" s="25" t="n"/>
      <c r="U5704" s="19">
        <f>IF(AND($V5704='設定'!$C$4,COUNTIF('商品マスタ'!$B$6:$B$1005,$W5704)=0),N(U5703)+1,N(U5703))</f>
        <v/>
      </c>
      <c r="V5704" s="19">
        <f>IF($B5704="","",TEXT($B5704,"0000"))</f>
        <v/>
      </c>
      <c r="W5704" s="19">
        <f>IF($I5704="","",IF(ISNUMBER($I5704),TEXT($I5704,"0"),$I5704))</f>
        <v/>
      </c>
    </row>
    <row r="5705">
      <c r="B5705" s="25" t="n"/>
      <c r="I5705" s="25" t="n"/>
      <c r="U5705" s="19">
        <f>IF(AND($V5705='設定'!$C$4,COUNTIF('商品マスタ'!$B$6:$B$1005,$W5705)=0),N(U5704)+1,N(U5704))</f>
        <v/>
      </c>
      <c r="V5705" s="19">
        <f>IF($B5705="","",TEXT($B5705,"0000"))</f>
        <v/>
      </c>
      <c r="W5705" s="19">
        <f>IF($I5705="","",IF(ISNUMBER($I5705),TEXT($I5705,"0"),$I5705))</f>
        <v/>
      </c>
    </row>
    <row r="5706">
      <c r="B5706" s="25" t="n"/>
      <c r="I5706" s="25" t="n"/>
      <c r="U5706" s="19">
        <f>IF(AND($V5706='設定'!$C$4,COUNTIF('商品マスタ'!$B$6:$B$1005,$W5706)=0),N(U5705)+1,N(U5705))</f>
        <v/>
      </c>
      <c r="V5706" s="19">
        <f>IF($B5706="","",TEXT($B5706,"0000"))</f>
        <v/>
      </c>
      <c r="W5706" s="19">
        <f>IF($I5706="","",IF(ISNUMBER($I5706),TEXT($I5706,"0"),$I5706))</f>
        <v/>
      </c>
    </row>
    <row r="5707">
      <c r="B5707" s="25" t="n"/>
      <c r="I5707" s="25" t="n"/>
      <c r="U5707" s="19">
        <f>IF(AND($V5707='設定'!$C$4,COUNTIF('商品マスタ'!$B$6:$B$1005,$W5707)=0),N(U5706)+1,N(U5706))</f>
        <v/>
      </c>
      <c r="V5707" s="19">
        <f>IF($B5707="","",TEXT($B5707,"0000"))</f>
        <v/>
      </c>
      <c r="W5707" s="19">
        <f>IF($I5707="","",IF(ISNUMBER($I5707),TEXT($I5707,"0"),$I5707))</f>
        <v/>
      </c>
    </row>
    <row r="5708">
      <c r="B5708" s="25" t="n"/>
      <c r="I5708" s="25" t="n"/>
      <c r="U5708" s="19">
        <f>IF(AND($V5708='設定'!$C$4,COUNTIF('商品マスタ'!$B$6:$B$1005,$W5708)=0),N(U5707)+1,N(U5707))</f>
        <v/>
      </c>
      <c r="V5708" s="19">
        <f>IF($B5708="","",TEXT($B5708,"0000"))</f>
        <v/>
      </c>
      <c r="W5708" s="19">
        <f>IF($I5708="","",IF(ISNUMBER($I5708),TEXT($I5708,"0"),$I5708))</f>
        <v/>
      </c>
    </row>
    <row r="5709">
      <c r="B5709" s="25" t="n"/>
      <c r="I5709" s="25" t="n"/>
      <c r="U5709" s="19">
        <f>IF(AND($V5709='設定'!$C$4,COUNTIF('商品マスタ'!$B$6:$B$1005,$W5709)=0),N(U5708)+1,N(U5708))</f>
        <v/>
      </c>
      <c r="V5709" s="19">
        <f>IF($B5709="","",TEXT($B5709,"0000"))</f>
        <v/>
      </c>
      <c r="W5709" s="19">
        <f>IF($I5709="","",IF(ISNUMBER($I5709),TEXT($I5709,"0"),$I5709))</f>
        <v/>
      </c>
    </row>
    <row r="5710">
      <c r="B5710" s="25" t="n"/>
      <c r="I5710" s="25" t="n"/>
      <c r="U5710" s="19">
        <f>IF(AND($V5710='設定'!$C$4,COUNTIF('商品マスタ'!$B$6:$B$1005,$W5710)=0),N(U5709)+1,N(U5709))</f>
        <v/>
      </c>
      <c r="V5710" s="19">
        <f>IF($B5710="","",TEXT($B5710,"0000"))</f>
        <v/>
      </c>
      <c r="W5710" s="19">
        <f>IF($I5710="","",IF(ISNUMBER($I5710),TEXT($I5710,"0"),$I5710))</f>
        <v/>
      </c>
    </row>
    <row r="5711">
      <c r="B5711" s="25" t="n"/>
      <c r="I5711" s="25" t="n"/>
      <c r="U5711" s="19">
        <f>IF(AND($V5711='設定'!$C$4,COUNTIF('商品マスタ'!$B$6:$B$1005,$W5711)=0),N(U5710)+1,N(U5710))</f>
        <v/>
      </c>
      <c r="V5711" s="19">
        <f>IF($B5711="","",TEXT($B5711,"0000"))</f>
        <v/>
      </c>
      <c r="W5711" s="19">
        <f>IF($I5711="","",IF(ISNUMBER($I5711),TEXT($I5711,"0"),$I5711))</f>
        <v/>
      </c>
    </row>
    <row r="5712">
      <c r="B5712" s="25" t="n"/>
      <c r="I5712" s="25" t="n"/>
      <c r="U5712" s="19">
        <f>IF(AND($V5712='設定'!$C$4,COUNTIF('商品マスタ'!$B$6:$B$1005,$W5712)=0),N(U5711)+1,N(U5711))</f>
        <v/>
      </c>
      <c r="V5712" s="19">
        <f>IF($B5712="","",TEXT($B5712,"0000"))</f>
        <v/>
      </c>
      <c r="W5712" s="19">
        <f>IF($I5712="","",IF(ISNUMBER($I5712),TEXT($I5712,"0"),$I5712))</f>
        <v/>
      </c>
    </row>
    <row r="5713">
      <c r="B5713" s="25" t="n"/>
      <c r="I5713" s="25" t="n"/>
      <c r="U5713" s="19">
        <f>IF(AND($V5713='設定'!$C$4,COUNTIF('商品マスタ'!$B$6:$B$1005,$W5713)=0),N(U5712)+1,N(U5712))</f>
        <v/>
      </c>
      <c r="V5713" s="19">
        <f>IF($B5713="","",TEXT($B5713,"0000"))</f>
        <v/>
      </c>
      <c r="W5713" s="19">
        <f>IF($I5713="","",IF(ISNUMBER($I5713),TEXT($I5713,"0"),$I5713))</f>
        <v/>
      </c>
    </row>
    <row r="5714">
      <c r="B5714" s="25" t="n"/>
      <c r="I5714" s="25" t="n"/>
      <c r="U5714" s="19">
        <f>IF(AND($V5714='設定'!$C$4,COUNTIF('商品マスタ'!$B$6:$B$1005,$W5714)=0),N(U5713)+1,N(U5713))</f>
        <v/>
      </c>
      <c r="V5714" s="19">
        <f>IF($B5714="","",TEXT($B5714,"0000"))</f>
        <v/>
      </c>
      <c r="W5714" s="19">
        <f>IF($I5714="","",IF(ISNUMBER($I5714),TEXT($I5714,"0"),$I5714))</f>
        <v/>
      </c>
    </row>
    <row r="5715">
      <c r="B5715" s="25" t="n"/>
      <c r="I5715" s="25" t="n"/>
      <c r="U5715" s="19">
        <f>IF(AND($V5715='設定'!$C$4,COUNTIF('商品マスタ'!$B$6:$B$1005,$W5715)=0),N(U5714)+1,N(U5714))</f>
        <v/>
      </c>
      <c r="V5715" s="19">
        <f>IF($B5715="","",TEXT($B5715,"0000"))</f>
        <v/>
      </c>
      <c r="W5715" s="19">
        <f>IF($I5715="","",IF(ISNUMBER($I5715),TEXT($I5715,"0"),$I5715))</f>
        <v/>
      </c>
    </row>
    <row r="5716">
      <c r="B5716" s="25" t="n"/>
      <c r="I5716" s="25" t="n"/>
      <c r="U5716" s="19">
        <f>IF(AND($V5716='設定'!$C$4,COUNTIF('商品マスタ'!$B$6:$B$1005,$W5716)=0),N(U5715)+1,N(U5715))</f>
        <v/>
      </c>
      <c r="V5716" s="19">
        <f>IF($B5716="","",TEXT($B5716,"0000"))</f>
        <v/>
      </c>
      <c r="W5716" s="19">
        <f>IF($I5716="","",IF(ISNUMBER($I5716),TEXT($I5716,"0"),$I5716))</f>
        <v/>
      </c>
    </row>
    <row r="5717">
      <c r="B5717" s="25" t="n"/>
      <c r="I5717" s="25" t="n"/>
      <c r="U5717" s="19">
        <f>IF(AND($V5717='設定'!$C$4,COUNTIF('商品マスタ'!$B$6:$B$1005,$W5717)=0),N(U5716)+1,N(U5716))</f>
        <v/>
      </c>
      <c r="V5717" s="19">
        <f>IF($B5717="","",TEXT($B5717,"0000"))</f>
        <v/>
      </c>
      <c r="W5717" s="19">
        <f>IF($I5717="","",IF(ISNUMBER($I5717),TEXT($I5717,"0"),$I5717))</f>
        <v/>
      </c>
    </row>
    <row r="5718">
      <c r="B5718" s="25" t="n"/>
      <c r="I5718" s="25" t="n"/>
      <c r="U5718" s="19">
        <f>IF(AND($V5718='設定'!$C$4,COUNTIF('商品マスタ'!$B$6:$B$1005,$W5718)=0),N(U5717)+1,N(U5717))</f>
        <v/>
      </c>
      <c r="V5718" s="19">
        <f>IF($B5718="","",TEXT($B5718,"0000"))</f>
        <v/>
      </c>
      <c r="W5718" s="19">
        <f>IF($I5718="","",IF(ISNUMBER($I5718),TEXT($I5718,"0"),$I5718))</f>
        <v/>
      </c>
    </row>
    <row r="5719">
      <c r="B5719" s="25" t="n"/>
      <c r="I5719" s="25" t="n"/>
      <c r="U5719" s="19">
        <f>IF(AND($V5719='設定'!$C$4,COUNTIF('商品マスタ'!$B$6:$B$1005,$W5719)=0),N(U5718)+1,N(U5718))</f>
        <v/>
      </c>
      <c r="V5719" s="19">
        <f>IF($B5719="","",TEXT($B5719,"0000"))</f>
        <v/>
      </c>
      <c r="W5719" s="19">
        <f>IF($I5719="","",IF(ISNUMBER($I5719),TEXT($I5719,"0"),$I5719))</f>
        <v/>
      </c>
    </row>
    <row r="5720">
      <c r="B5720" s="25" t="n"/>
      <c r="I5720" s="25" t="n"/>
      <c r="U5720" s="19">
        <f>IF(AND($V5720='設定'!$C$4,COUNTIF('商品マスタ'!$B$6:$B$1005,$W5720)=0),N(U5719)+1,N(U5719))</f>
        <v/>
      </c>
      <c r="V5720" s="19">
        <f>IF($B5720="","",TEXT($B5720,"0000"))</f>
        <v/>
      </c>
      <c r="W5720" s="19">
        <f>IF($I5720="","",IF(ISNUMBER($I5720),TEXT($I5720,"0"),$I5720))</f>
        <v/>
      </c>
    </row>
    <row r="5721">
      <c r="B5721" s="25" t="n"/>
      <c r="I5721" s="25" t="n"/>
      <c r="U5721" s="19">
        <f>IF(AND($V5721='設定'!$C$4,COUNTIF('商品マスタ'!$B$6:$B$1005,$W5721)=0),N(U5720)+1,N(U5720))</f>
        <v/>
      </c>
      <c r="V5721" s="19">
        <f>IF($B5721="","",TEXT($B5721,"0000"))</f>
        <v/>
      </c>
      <c r="W5721" s="19">
        <f>IF($I5721="","",IF(ISNUMBER($I5721),TEXT($I5721,"0"),$I5721))</f>
        <v/>
      </c>
    </row>
    <row r="5722">
      <c r="B5722" s="25" t="n"/>
      <c r="I5722" s="25" t="n"/>
      <c r="U5722" s="19">
        <f>IF(AND($V5722='設定'!$C$4,COUNTIF('商品マスタ'!$B$6:$B$1005,$W5722)=0),N(U5721)+1,N(U5721))</f>
        <v/>
      </c>
      <c r="V5722" s="19">
        <f>IF($B5722="","",TEXT($B5722,"0000"))</f>
        <v/>
      </c>
      <c r="W5722" s="19">
        <f>IF($I5722="","",IF(ISNUMBER($I5722),TEXT($I5722,"0"),$I5722))</f>
        <v/>
      </c>
    </row>
    <row r="5723">
      <c r="B5723" s="25" t="n"/>
      <c r="I5723" s="25" t="n"/>
      <c r="U5723" s="19">
        <f>IF(AND($V5723='設定'!$C$4,COUNTIF('商品マスタ'!$B$6:$B$1005,$W5723)=0),N(U5722)+1,N(U5722))</f>
        <v/>
      </c>
      <c r="V5723" s="19">
        <f>IF($B5723="","",TEXT($B5723,"0000"))</f>
        <v/>
      </c>
      <c r="W5723" s="19">
        <f>IF($I5723="","",IF(ISNUMBER($I5723),TEXT($I5723,"0"),$I5723))</f>
        <v/>
      </c>
    </row>
    <row r="5724">
      <c r="B5724" s="25" t="n"/>
      <c r="I5724" s="25" t="n"/>
      <c r="U5724" s="19">
        <f>IF(AND($V5724='設定'!$C$4,COUNTIF('商品マスタ'!$B$6:$B$1005,$W5724)=0),N(U5723)+1,N(U5723))</f>
        <v/>
      </c>
      <c r="V5724" s="19">
        <f>IF($B5724="","",TEXT($B5724,"0000"))</f>
        <v/>
      </c>
      <c r="W5724" s="19">
        <f>IF($I5724="","",IF(ISNUMBER($I5724),TEXT($I5724,"0"),$I5724))</f>
        <v/>
      </c>
    </row>
    <row r="5725">
      <c r="B5725" s="25" t="n"/>
      <c r="I5725" s="25" t="n"/>
      <c r="U5725" s="19">
        <f>IF(AND($V5725='設定'!$C$4,COUNTIF('商品マスタ'!$B$6:$B$1005,$W5725)=0),N(U5724)+1,N(U5724))</f>
        <v/>
      </c>
      <c r="V5725" s="19">
        <f>IF($B5725="","",TEXT($B5725,"0000"))</f>
        <v/>
      </c>
      <c r="W5725" s="19">
        <f>IF($I5725="","",IF(ISNUMBER($I5725),TEXT($I5725,"0"),$I5725))</f>
        <v/>
      </c>
    </row>
    <row r="5726">
      <c r="B5726" s="25" t="n"/>
      <c r="I5726" s="25" t="n"/>
      <c r="U5726" s="19">
        <f>IF(AND($V5726='設定'!$C$4,COUNTIF('商品マスタ'!$B$6:$B$1005,$W5726)=0),N(U5725)+1,N(U5725))</f>
        <v/>
      </c>
      <c r="V5726" s="19">
        <f>IF($B5726="","",TEXT($B5726,"0000"))</f>
        <v/>
      </c>
      <c r="W5726" s="19">
        <f>IF($I5726="","",IF(ISNUMBER($I5726),TEXT($I5726,"0"),$I5726))</f>
        <v/>
      </c>
    </row>
    <row r="5727">
      <c r="B5727" s="25" t="n"/>
      <c r="I5727" s="25" t="n"/>
      <c r="U5727" s="19">
        <f>IF(AND($V5727='設定'!$C$4,COUNTIF('商品マスタ'!$B$6:$B$1005,$W5727)=0),N(U5726)+1,N(U5726))</f>
        <v/>
      </c>
      <c r="V5727" s="19">
        <f>IF($B5727="","",TEXT($B5727,"0000"))</f>
        <v/>
      </c>
      <c r="W5727" s="19">
        <f>IF($I5727="","",IF(ISNUMBER($I5727),TEXT($I5727,"0"),$I5727))</f>
        <v/>
      </c>
    </row>
    <row r="5728">
      <c r="B5728" s="25" t="n"/>
      <c r="I5728" s="25" t="n"/>
      <c r="U5728" s="19">
        <f>IF(AND($V5728='設定'!$C$4,COUNTIF('商品マスタ'!$B$6:$B$1005,$W5728)=0),N(U5727)+1,N(U5727))</f>
        <v/>
      </c>
      <c r="V5728" s="19">
        <f>IF($B5728="","",TEXT($B5728,"0000"))</f>
        <v/>
      </c>
      <c r="W5728" s="19">
        <f>IF($I5728="","",IF(ISNUMBER($I5728),TEXT($I5728,"0"),$I5728))</f>
        <v/>
      </c>
    </row>
    <row r="5729">
      <c r="B5729" s="25" t="n"/>
      <c r="I5729" s="25" t="n"/>
      <c r="U5729" s="19">
        <f>IF(AND($V5729='設定'!$C$4,COUNTIF('商品マスタ'!$B$6:$B$1005,$W5729)=0),N(U5728)+1,N(U5728))</f>
        <v/>
      </c>
      <c r="V5729" s="19">
        <f>IF($B5729="","",TEXT($B5729,"0000"))</f>
        <v/>
      </c>
      <c r="W5729" s="19">
        <f>IF($I5729="","",IF(ISNUMBER($I5729),TEXT($I5729,"0"),$I5729))</f>
        <v/>
      </c>
    </row>
    <row r="5730">
      <c r="B5730" s="25" t="n"/>
      <c r="I5730" s="25" t="n"/>
      <c r="U5730" s="19">
        <f>IF(AND($V5730='設定'!$C$4,COUNTIF('商品マスタ'!$B$6:$B$1005,$W5730)=0),N(U5729)+1,N(U5729))</f>
        <v/>
      </c>
      <c r="V5730" s="19">
        <f>IF($B5730="","",TEXT($B5730,"0000"))</f>
        <v/>
      </c>
      <c r="W5730" s="19">
        <f>IF($I5730="","",IF(ISNUMBER($I5730),TEXT($I5730,"0"),$I5730))</f>
        <v/>
      </c>
    </row>
    <row r="5731">
      <c r="B5731" s="25" t="n"/>
      <c r="I5731" s="25" t="n"/>
      <c r="U5731" s="19">
        <f>IF(AND($V5731='設定'!$C$4,COUNTIF('商品マスタ'!$B$6:$B$1005,$W5731)=0),N(U5730)+1,N(U5730))</f>
        <v/>
      </c>
      <c r="V5731" s="19">
        <f>IF($B5731="","",TEXT($B5731,"0000"))</f>
        <v/>
      </c>
      <c r="W5731" s="19">
        <f>IF($I5731="","",IF(ISNUMBER($I5731),TEXT($I5731,"0"),$I5731))</f>
        <v/>
      </c>
    </row>
    <row r="5732">
      <c r="B5732" s="25" t="n"/>
      <c r="I5732" s="25" t="n"/>
      <c r="U5732" s="19">
        <f>IF(AND($V5732='設定'!$C$4,COUNTIF('商品マスタ'!$B$6:$B$1005,$W5732)=0),N(U5731)+1,N(U5731))</f>
        <v/>
      </c>
      <c r="V5732" s="19">
        <f>IF($B5732="","",TEXT($B5732,"0000"))</f>
        <v/>
      </c>
      <c r="W5732" s="19">
        <f>IF($I5732="","",IF(ISNUMBER($I5732),TEXT($I5732,"0"),$I5732))</f>
        <v/>
      </c>
    </row>
    <row r="5733">
      <c r="B5733" s="25" t="n"/>
      <c r="I5733" s="25" t="n"/>
      <c r="U5733" s="19">
        <f>IF(AND($V5733='設定'!$C$4,COUNTIF('商品マスタ'!$B$6:$B$1005,$W5733)=0),N(U5732)+1,N(U5732))</f>
        <v/>
      </c>
      <c r="V5733" s="19">
        <f>IF($B5733="","",TEXT($B5733,"0000"))</f>
        <v/>
      </c>
      <c r="W5733" s="19">
        <f>IF($I5733="","",IF(ISNUMBER($I5733),TEXT($I5733,"0"),$I5733))</f>
        <v/>
      </c>
    </row>
    <row r="5734">
      <c r="B5734" s="25" t="n"/>
      <c r="I5734" s="25" t="n"/>
      <c r="U5734" s="19">
        <f>IF(AND($V5734='設定'!$C$4,COUNTIF('商品マスタ'!$B$6:$B$1005,$W5734)=0),N(U5733)+1,N(U5733))</f>
        <v/>
      </c>
      <c r="V5734" s="19">
        <f>IF($B5734="","",TEXT($B5734,"0000"))</f>
        <v/>
      </c>
      <c r="W5734" s="19">
        <f>IF($I5734="","",IF(ISNUMBER($I5734),TEXT($I5734,"0"),$I5734))</f>
        <v/>
      </c>
    </row>
    <row r="5735">
      <c r="B5735" s="25" t="n"/>
      <c r="I5735" s="25" t="n"/>
      <c r="U5735" s="19">
        <f>IF(AND($V5735='設定'!$C$4,COUNTIF('商品マスタ'!$B$6:$B$1005,$W5735)=0),N(U5734)+1,N(U5734))</f>
        <v/>
      </c>
      <c r="V5735" s="19">
        <f>IF($B5735="","",TEXT($B5735,"0000"))</f>
        <v/>
      </c>
      <c r="W5735" s="19">
        <f>IF($I5735="","",IF(ISNUMBER($I5735),TEXT($I5735,"0"),$I5735))</f>
        <v/>
      </c>
    </row>
    <row r="5736">
      <c r="B5736" s="25" t="n"/>
      <c r="I5736" s="25" t="n"/>
      <c r="U5736" s="19">
        <f>IF(AND($V5736='設定'!$C$4,COUNTIF('商品マスタ'!$B$6:$B$1005,$W5736)=0),N(U5735)+1,N(U5735))</f>
        <v/>
      </c>
      <c r="V5736" s="19">
        <f>IF($B5736="","",TEXT($B5736,"0000"))</f>
        <v/>
      </c>
      <c r="W5736" s="19">
        <f>IF($I5736="","",IF(ISNUMBER($I5736),TEXT($I5736,"0"),$I5736))</f>
        <v/>
      </c>
    </row>
    <row r="5737">
      <c r="B5737" s="25" t="n"/>
      <c r="I5737" s="25" t="n"/>
      <c r="U5737" s="19">
        <f>IF(AND($V5737='設定'!$C$4,COUNTIF('商品マスタ'!$B$6:$B$1005,$W5737)=0),N(U5736)+1,N(U5736))</f>
        <v/>
      </c>
      <c r="V5737" s="19">
        <f>IF($B5737="","",TEXT($B5737,"0000"))</f>
        <v/>
      </c>
      <c r="W5737" s="19">
        <f>IF($I5737="","",IF(ISNUMBER($I5737),TEXT($I5737,"0"),$I5737))</f>
        <v/>
      </c>
    </row>
    <row r="5738">
      <c r="B5738" s="25" t="n"/>
      <c r="I5738" s="25" t="n"/>
      <c r="U5738" s="19">
        <f>IF(AND($V5738='設定'!$C$4,COUNTIF('商品マスタ'!$B$6:$B$1005,$W5738)=0),N(U5737)+1,N(U5737))</f>
        <v/>
      </c>
      <c r="V5738" s="19">
        <f>IF($B5738="","",TEXT($B5738,"0000"))</f>
        <v/>
      </c>
      <c r="W5738" s="19">
        <f>IF($I5738="","",IF(ISNUMBER($I5738),TEXT($I5738,"0"),$I5738))</f>
        <v/>
      </c>
    </row>
    <row r="5739">
      <c r="B5739" s="25" t="n"/>
      <c r="I5739" s="25" t="n"/>
      <c r="U5739" s="19">
        <f>IF(AND($V5739='設定'!$C$4,COUNTIF('商品マスタ'!$B$6:$B$1005,$W5739)=0),N(U5738)+1,N(U5738))</f>
        <v/>
      </c>
      <c r="V5739" s="19">
        <f>IF($B5739="","",TEXT($B5739,"0000"))</f>
        <v/>
      </c>
      <c r="W5739" s="19">
        <f>IF($I5739="","",IF(ISNUMBER($I5739),TEXT($I5739,"0"),$I5739))</f>
        <v/>
      </c>
    </row>
    <row r="5740">
      <c r="B5740" s="25" t="n"/>
      <c r="I5740" s="25" t="n"/>
      <c r="U5740" s="19">
        <f>IF(AND($V5740='設定'!$C$4,COUNTIF('商品マスタ'!$B$6:$B$1005,$W5740)=0),N(U5739)+1,N(U5739))</f>
        <v/>
      </c>
      <c r="V5740" s="19">
        <f>IF($B5740="","",TEXT($B5740,"0000"))</f>
        <v/>
      </c>
      <c r="W5740" s="19">
        <f>IF($I5740="","",IF(ISNUMBER($I5740),TEXT($I5740,"0"),$I5740))</f>
        <v/>
      </c>
    </row>
    <row r="5741">
      <c r="B5741" s="25" t="n"/>
      <c r="I5741" s="25" t="n"/>
      <c r="U5741" s="19">
        <f>IF(AND($V5741='設定'!$C$4,COUNTIF('商品マスタ'!$B$6:$B$1005,$W5741)=0),N(U5740)+1,N(U5740))</f>
        <v/>
      </c>
      <c r="V5741" s="19">
        <f>IF($B5741="","",TEXT($B5741,"0000"))</f>
        <v/>
      </c>
      <c r="W5741" s="19">
        <f>IF($I5741="","",IF(ISNUMBER($I5741),TEXT($I5741,"0"),$I5741))</f>
        <v/>
      </c>
    </row>
    <row r="5742">
      <c r="B5742" s="25" t="n"/>
      <c r="I5742" s="25" t="n"/>
      <c r="U5742" s="19">
        <f>IF(AND($V5742='設定'!$C$4,COUNTIF('商品マスタ'!$B$6:$B$1005,$W5742)=0),N(U5741)+1,N(U5741))</f>
        <v/>
      </c>
      <c r="V5742" s="19">
        <f>IF($B5742="","",TEXT($B5742,"0000"))</f>
        <v/>
      </c>
      <c r="W5742" s="19">
        <f>IF($I5742="","",IF(ISNUMBER($I5742),TEXT($I5742,"0"),$I5742))</f>
        <v/>
      </c>
    </row>
    <row r="5743">
      <c r="B5743" s="25" t="n"/>
      <c r="I5743" s="25" t="n"/>
      <c r="U5743" s="19">
        <f>IF(AND($V5743='設定'!$C$4,COUNTIF('商品マスタ'!$B$6:$B$1005,$W5743)=0),N(U5742)+1,N(U5742))</f>
        <v/>
      </c>
      <c r="V5743" s="19">
        <f>IF($B5743="","",TEXT($B5743,"0000"))</f>
        <v/>
      </c>
      <c r="W5743" s="19">
        <f>IF($I5743="","",IF(ISNUMBER($I5743),TEXT($I5743,"0"),$I5743))</f>
        <v/>
      </c>
    </row>
    <row r="5744">
      <c r="B5744" s="25" t="n"/>
      <c r="I5744" s="25" t="n"/>
      <c r="U5744" s="19">
        <f>IF(AND($V5744='設定'!$C$4,COUNTIF('商品マスタ'!$B$6:$B$1005,$W5744)=0),N(U5743)+1,N(U5743))</f>
        <v/>
      </c>
      <c r="V5744" s="19">
        <f>IF($B5744="","",TEXT($B5744,"0000"))</f>
        <v/>
      </c>
      <c r="W5744" s="19">
        <f>IF($I5744="","",IF(ISNUMBER($I5744),TEXT($I5744,"0"),$I5744))</f>
        <v/>
      </c>
    </row>
    <row r="5745">
      <c r="B5745" s="25" t="n"/>
      <c r="I5745" s="25" t="n"/>
      <c r="U5745" s="19">
        <f>IF(AND($V5745='設定'!$C$4,COUNTIF('商品マスタ'!$B$6:$B$1005,$W5745)=0),N(U5744)+1,N(U5744))</f>
        <v/>
      </c>
      <c r="V5745" s="19">
        <f>IF($B5745="","",TEXT($B5745,"0000"))</f>
        <v/>
      </c>
      <c r="W5745" s="19">
        <f>IF($I5745="","",IF(ISNUMBER($I5745),TEXT($I5745,"0"),$I5745))</f>
        <v/>
      </c>
    </row>
    <row r="5746">
      <c r="B5746" s="25" t="n"/>
      <c r="I5746" s="25" t="n"/>
      <c r="U5746" s="19">
        <f>IF(AND($V5746='設定'!$C$4,COUNTIF('商品マスタ'!$B$6:$B$1005,$W5746)=0),N(U5745)+1,N(U5745))</f>
        <v/>
      </c>
      <c r="V5746" s="19">
        <f>IF($B5746="","",TEXT($B5746,"0000"))</f>
        <v/>
      </c>
      <c r="W5746" s="19">
        <f>IF($I5746="","",IF(ISNUMBER($I5746),TEXT($I5746,"0"),$I5746))</f>
        <v/>
      </c>
    </row>
    <row r="5747">
      <c r="B5747" s="25" t="n"/>
      <c r="I5747" s="25" t="n"/>
      <c r="U5747" s="19">
        <f>IF(AND($V5747='設定'!$C$4,COUNTIF('商品マスタ'!$B$6:$B$1005,$W5747)=0),N(U5746)+1,N(U5746))</f>
        <v/>
      </c>
      <c r="V5747" s="19">
        <f>IF($B5747="","",TEXT($B5747,"0000"))</f>
        <v/>
      </c>
      <c r="W5747" s="19">
        <f>IF($I5747="","",IF(ISNUMBER($I5747),TEXT($I5747,"0"),$I5747))</f>
        <v/>
      </c>
    </row>
    <row r="5748">
      <c r="B5748" s="25" t="n"/>
      <c r="I5748" s="25" t="n"/>
      <c r="U5748" s="19">
        <f>IF(AND($V5748='設定'!$C$4,COUNTIF('商品マスタ'!$B$6:$B$1005,$W5748)=0),N(U5747)+1,N(U5747))</f>
        <v/>
      </c>
      <c r="V5748" s="19">
        <f>IF($B5748="","",TEXT($B5748,"0000"))</f>
        <v/>
      </c>
      <c r="W5748" s="19">
        <f>IF($I5748="","",IF(ISNUMBER($I5748),TEXT($I5748,"0"),$I5748))</f>
        <v/>
      </c>
    </row>
    <row r="5749">
      <c r="B5749" s="25" t="n"/>
      <c r="I5749" s="25" t="n"/>
      <c r="U5749" s="19">
        <f>IF(AND($V5749='設定'!$C$4,COUNTIF('商品マスタ'!$B$6:$B$1005,$W5749)=0),N(U5748)+1,N(U5748))</f>
        <v/>
      </c>
      <c r="V5749" s="19">
        <f>IF($B5749="","",TEXT($B5749,"0000"))</f>
        <v/>
      </c>
      <c r="W5749" s="19">
        <f>IF($I5749="","",IF(ISNUMBER($I5749),TEXT($I5749,"0"),$I5749))</f>
        <v/>
      </c>
    </row>
    <row r="5750">
      <c r="B5750" s="25" t="n"/>
      <c r="I5750" s="25" t="n"/>
      <c r="U5750" s="19">
        <f>IF(AND($V5750='設定'!$C$4,COUNTIF('商品マスタ'!$B$6:$B$1005,$W5750)=0),N(U5749)+1,N(U5749))</f>
        <v/>
      </c>
      <c r="V5750" s="19">
        <f>IF($B5750="","",TEXT($B5750,"0000"))</f>
        <v/>
      </c>
      <c r="W5750" s="19">
        <f>IF($I5750="","",IF(ISNUMBER($I5750),TEXT($I5750,"0"),$I5750))</f>
        <v/>
      </c>
    </row>
    <row r="5751">
      <c r="B5751" s="25" t="n"/>
      <c r="I5751" s="25" t="n"/>
      <c r="U5751" s="19">
        <f>IF(AND($V5751='設定'!$C$4,COUNTIF('商品マスタ'!$B$6:$B$1005,$W5751)=0),N(U5750)+1,N(U5750))</f>
        <v/>
      </c>
      <c r="V5751" s="19">
        <f>IF($B5751="","",TEXT($B5751,"0000"))</f>
        <v/>
      </c>
      <c r="W5751" s="19">
        <f>IF($I5751="","",IF(ISNUMBER($I5751),TEXT($I5751,"0"),$I5751))</f>
        <v/>
      </c>
    </row>
    <row r="5752">
      <c r="B5752" s="25" t="n"/>
      <c r="I5752" s="25" t="n"/>
      <c r="U5752" s="19">
        <f>IF(AND($V5752='設定'!$C$4,COUNTIF('商品マスタ'!$B$6:$B$1005,$W5752)=0),N(U5751)+1,N(U5751))</f>
        <v/>
      </c>
      <c r="V5752" s="19">
        <f>IF($B5752="","",TEXT($B5752,"0000"))</f>
        <v/>
      </c>
      <c r="W5752" s="19">
        <f>IF($I5752="","",IF(ISNUMBER($I5752),TEXT($I5752,"0"),$I5752))</f>
        <v/>
      </c>
    </row>
    <row r="5753">
      <c r="B5753" s="25" t="n"/>
      <c r="I5753" s="25" t="n"/>
      <c r="U5753" s="19">
        <f>IF(AND($V5753='設定'!$C$4,COUNTIF('商品マスタ'!$B$6:$B$1005,$W5753)=0),N(U5752)+1,N(U5752))</f>
        <v/>
      </c>
      <c r="V5753" s="19">
        <f>IF($B5753="","",TEXT($B5753,"0000"))</f>
        <v/>
      </c>
      <c r="W5753" s="19">
        <f>IF($I5753="","",IF(ISNUMBER($I5753),TEXT($I5753,"0"),$I5753))</f>
        <v/>
      </c>
    </row>
    <row r="5754">
      <c r="B5754" s="25" t="n"/>
      <c r="I5754" s="25" t="n"/>
      <c r="U5754" s="19">
        <f>IF(AND($V5754='設定'!$C$4,COUNTIF('商品マスタ'!$B$6:$B$1005,$W5754)=0),N(U5753)+1,N(U5753))</f>
        <v/>
      </c>
      <c r="V5754" s="19">
        <f>IF($B5754="","",TEXT($B5754,"0000"))</f>
        <v/>
      </c>
      <c r="W5754" s="19">
        <f>IF($I5754="","",IF(ISNUMBER($I5754),TEXT($I5754,"0"),$I5754))</f>
        <v/>
      </c>
    </row>
    <row r="5755">
      <c r="B5755" s="25" t="n"/>
      <c r="I5755" s="25" t="n"/>
      <c r="U5755" s="19">
        <f>IF(AND($V5755='設定'!$C$4,COUNTIF('商品マスタ'!$B$6:$B$1005,$W5755)=0),N(U5754)+1,N(U5754))</f>
        <v/>
      </c>
      <c r="V5755" s="19">
        <f>IF($B5755="","",TEXT($B5755,"0000"))</f>
        <v/>
      </c>
      <c r="W5755" s="19">
        <f>IF($I5755="","",IF(ISNUMBER($I5755),TEXT($I5755,"0"),$I5755))</f>
        <v/>
      </c>
    </row>
    <row r="5756">
      <c r="B5756" s="25" t="n"/>
      <c r="I5756" s="25" t="n"/>
      <c r="U5756" s="19">
        <f>IF(AND($V5756='設定'!$C$4,COUNTIF('商品マスタ'!$B$6:$B$1005,$W5756)=0),N(U5755)+1,N(U5755))</f>
        <v/>
      </c>
      <c r="V5756" s="19">
        <f>IF($B5756="","",TEXT($B5756,"0000"))</f>
        <v/>
      </c>
      <c r="W5756" s="19">
        <f>IF($I5756="","",IF(ISNUMBER($I5756),TEXT($I5756,"0"),$I5756))</f>
        <v/>
      </c>
    </row>
    <row r="5757">
      <c r="B5757" s="25" t="n"/>
      <c r="I5757" s="25" t="n"/>
      <c r="U5757" s="19">
        <f>IF(AND($V5757='設定'!$C$4,COUNTIF('商品マスタ'!$B$6:$B$1005,$W5757)=0),N(U5756)+1,N(U5756))</f>
        <v/>
      </c>
      <c r="V5757" s="19">
        <f>IF($B5757="","",TEXT($B5757,"0000"))</f>
        <v/>
      </c>
      <c r="W5757" s="19">
        <f>IF($I5757="","",IF(ISNUMBER($I5757),TEXT($I5757,"0"),$I5757))</f>
        <v/>
      </c>
    </row>
    <row r="5758">
      <c r="B5758" s="25" t="n"/>
      <c r="I5758" s="25" t="n"/>
      <c r="U5758" s="19">
        <f>IF(AND($V5758='設定'!$C$4,COUNTIF('商品マスタ'!$B$6:$B$1005,$W5758)=0),N(U5757)+1,N(U5757))</f>
        <v/>
      </c>
      <c r="V5758" s="19">
        <f>IF($B5758="","",TEXT($B5758,"0000"))</f>
        <v/>
      </c>
      <c r="W5758" s="19">
        <f>IF($I5758="","",IF(ISNUMBER($I5758),TEXT($I5758,"0"),$I5758))</f>
        <v/>
      </c>
    </row>
    <row r="5759">
      <c r="B5759" s="25" t="n"/>
      <c r="I5759" s="25" t="n"/>
      <c r="U5759" s="19">
        <f>IF(AND($V5759='設定'!$C$4,COUNTIF('商品マスタ'!$B$6:$B$1005,$W5759)=0),N(U5758)+1,N(U5758))</f>
        <v/>
      </c>
      <c r="V5759" s="19">
        <f>IF($B5759="","",TEXT($B5759,"0000"))</f>
        <v/>
      </c>
      <c r="W5759" s="19">
        <f>IF($I5759="","",IF(ISNUMBER($I5759),TEXT($I5759,"0"),$I5759))</f>
        <v/>
      </c>
    </row>
    <row r="5760">
      <c r="B5760" s="25" t="n"/>
      <c r="I5760" s="25" t="n"/>
      <c r="U5760" s="19">
        <f>IF(AND($V5760='設定'!$C$4,COUNTIF('商品マスタ'!$B$6:$B$1005,$W5760)=0),N(U5759)+1,N(U5759))</f>
        <v/>
      </c>
      <c r="V5760" s="19">
        <f>IF($B5760="","",TEXT($B5760,"0000"))</f>
        <v/>
      </c>
      <c r="W5760" s="19">
        <f>IF($I5760="","",IF(ISNUMBER($I5760),TEXT($I5760,"0"),$I5760))</f>
        <v/>
      </c>
    </row>
    <row r="5761">
      <c r="B5761" s="25" t="n"/>
      <c r="I5761" s="25" t="n"/>
      <c r="U5761" s="19">
        <f>IF(AND($V5761='設定'!$C$4,COUNTIF('商品マスタ'!$B$6:$B$1005,$W5761)=0),N(U5760)+1,N(U5760))</f>
        <v/>
      </c>
      <c r="V5761" s="19">
        <f>IF($B5761="","",TEXT($B5761,"0000"))</f>
        <v/>
      </c>
      <c r="W5761" s="19">
        <f>IF($I5761="","",IF(ISNUMBER($I5761),TEXT($I5761,"0"),$I5761))</f>
        <v/>
      </c>
    </row>
    <row r="5762">
      <c r="B5762" s="25" t="n"/>
      <c r="I5762" s="25" t="n"/>
      <c r="U5762" s="19">
        <f>IF(AND($V5762='設定'!$C$4,COUNTIF('商品マスタ'!$B$6:$B$1005,$W5762)=0),N(U5761)+1,N(U5761))</f>
        <v/>
      </c>
      <c r="V5762" s="19">
        <f>IF($B5762="","",TEXT($B5762,"0000"))</f>
        <v/>
      </c>
      <c r="W5762" s="19">
        <f>IF($I5762="","",IF(ISNUMBER($I5762),TEXT($I5762,"0"),$I5762))</f>
        <v/>
      </c>
    </row>
    <row r="5763">
      <c r="B5763" s="25" t="n"/>
      <c r="I5763" s="25" t="n"/>
      <c r="U5763" s="19">
        <f>IF(AND($V5763='設定'!$C$4,COUNTIF('商品マスタ'!$B$6:$B$1005,$W5763)=0),N(U5762)+1,N(U5762))</f>
        <v/>
      </c>
      <c r="V5763" s="19">
        <f>IF($B5763="","",TEXT($B5763,"0000"))</f>
        <v/>
      </c>
      <c r="W5763" s="19">
        <f>IF($I5763="","",IF(ISNUMBER($I5763),TEXT($I5763,"0"),$I5763))</f>
        <v/>
      </c>
    </row>
    <row r="5764">
      <c r="B5764" s="25" t="n"/>
      <c r="I5764" s="25" t="n"/>
      <c r="U5764" s="19">
        <f>IF(AND($V5764='設定'!$C$4,COUNTIF('商品マスタ'!$B$6:$B$1005,$W5764)=0),N(U5763)+1,N(U5763))</f>
        <v/>
      </c>
      <c r="V5764" s="19">
        <f>IF($B5764="","",TEXT($B5764,"0000"))</f>
        <v/>
      </c>
      <c r="W5764" s="19">
        <f>IF($I5764="","",IF(ISNUMBER($I5764),TEXT($I5764,"0"),$I5764))</f>
        <v/>
      </c>
    </row>
    <row r="5765">
      <c r="B5765" s="25" t="n"/>
      <c r="I5765" s="25" t="n"/>
      <c r="U5765" s="19">
        <f>IF(AND($V5765='設定'!$C$4,COUNTIF('商品マスタ'!$B$6:$B$1005,$W5765)=0),N(U5764)+1,N(U5764))</f>
        <v/>
      </c>
      <c r="V5765" s="19">
        <f>IF($B5765="","",TEXT($B5765,"0000"))</f>
        <v/>
      </c>
      <c r="W5765" s="19">
        <f>IF($I5765="","",IF(ISNUMBER($I5765),TEXT($I5765,"0"),$I5765))</f>
        <v/>
      </c>
    </row>
    <row r="5766">
      <c r="B5766" s="25" t="n"/>
      <c r="I5766" s="25" t="n"/>
      <c r="U5766" s="19">
        <f>IF(AND($V5766='設定'!$C$4,COUNTIF('商品マスタ'!$B$6:$B$1005,$W5766)=0),N(U5765)+1,N(U5765))</f>
        <v/>
      </c>
      <c r="V5766" s="19">
        <f>IF($B5766="","",TEXT($B5766,"0000"))</f>
        <v/>
      </c>
      <c r="W5766" s="19">
        <f>IF($I5766="","",IF(ISNUMBER($I5766),TEXT($I5766,"0"),$I5766))</f>
        <v/>
      </c>
    </row>
    <row r="5767">
      <c r="B5767" s="25" t="n"/>
      <c r="I5767" s="25" t="n"/>
      <c r="U5767" s="19">
        <f>IF(AND($V5767='設定'!$C$4,COUNTIF('商品マスタ'!$B$6:$B$1005,$W5767)=0),N(U5766)+1,N(U5766))</f>
        <v/>
      </c>
      <c r="V5767" s="19">
        <f>IF($B5767="","",TEXT($B5767,"0000"))</f>
        <v/>
      </c>
      <c r="W5767" s="19">
        <f>IF($I5767="","",IF(ISNUMBER($I5767),TEXT($I5767,"0"),$I5767))</f>
        <v/>
      </c>
    </row>
    <row r="5768">
      <c r="B5768" s="25" t="n"/>
      <c r="I5768" s="25" t="n"/>
      <c r="U5768" s="19">
        <f>IF(AND($V5768='設定'!$C$4,COUNTIF('商品マスタ'!$B$6:$B$1005,$W5768)=0),N(U5767)+1,N(U5767))</f>
        <v/>
      </c>
      <c r="V5768" s="19">
        <f>IF($B5768="","",TEXT($B5768,"0000"))</f>
        <v/>
      </c>
      <c r="W5768" s="19">
        <f>IF($I5768="","",IF(ISNUMBER($I5768),TEXT($I5768,"0"),$I5768))</f>
        <v/>
      </c>
    </row>
    <row r="5769">
      <c r="B5769" s="25" t="n"/>
      <c r="I5769" s="25" t="n"/>
      <c r="U5769" s="19">
        <f>IF(AND($V5769='設定'!$C$4,COUNTIF('商品マスタ'!$B$6:$B$1005,$W5769)=0),N(U5768)+1,N(U5768))</f>
        <v/>
      </c>
      <c r="V5769" s="19">
        <f>IF($B5769="","",TEXT($B5769,"0000"))</f>
        <v/>
      </c>
      <c r="W5769" s="19">
        <f>IF($I5769="","",IF(ISNUMBER($I5769),TEXT($I5769,"0"),$I5769))</f>
        <v/>
      </c>
    </row>
    <row r="5770">
      <c r="B5770" s="25" t="n"/>
      <c r="I5770" s="25" t="n"/>
      <c r="U5770" s="19">
        <f>IF(AND($V5770='設定'!$C$4,COUNTIF('商品マスタ'!$B$6:$B$1005,$W5770)=0),N(U5769)+1,N(U5769))</f>
        <v/>
      </c>
      <c r="V5770" s="19">
        <f>IF($B5770="","",TEXT($B5770,"0000"))</f>
        <v/>
      </c>
      <c r="W5770" s="19">
        <f>IF($I5770="","",IF(ISNUMBER($I5770),TEXT($I5770,"0"),$I5770))</f>
        <v/>
      </c>
    </row>
    <row r="5771">
      <c r="B5771" s="25" t="n"/>
      <c r="I5771" s="25" t="n"/>
      <c r="U5771" s="19">
        <f>IF(AND($V5771='設定'!$C$4,COUNTIF('商品マスタ'!$B$6:$B$1005,$W5771)=0),N(U5770)+1,N(U5770))</f>
        <v/>
      </c>
      <c r="V5771" s="19">
        <f>IF($B5771="","",TEXT($B5771,"0000"))</f>
        <v/>
      </c>
      <c r="W5771" s="19">
        <f>IF($I5771="","",IF(ISNUMBER($I5771),TEXT($I5771,"0"),$I5771))</f>
        <v/>
      </c>
    </row>
    <row r="5772">
      <c r="B5772" s="25" t="n"/>
      <c r="I5772" s="25" t="n"/>
      <c r="U5772" s="19">
        <f>IF(AND($V5772='設定'!$C$4,COUNTIF('商品マスタ'!$B$6:$B$1005,$W5772)=0),N(U5771)+1,N(U5771))</f>
        <v/>
      </c>
      <c r="V5772" s="19">
        <f>IF($B5772="","",TEXT($B5772,"0000"))</f>
        <v/>
      </c>
      <c r="W5772" s="19">
        <f>IF($I5772="","",IF(ISNUMBER($I5772),TEXT($I5772,"0"),$I5772))</f>
        <v/>
      </c>
    </row>
    <row r="5773">
      <c r="B5773" s="25" t="n"/>
      <c r="I5773" s="25" t="n"/>
      <c r="U5773" s="19">
        <f>IF(AND($V5773='設定'!$C$4,COUNTIF('商品マスタ'!$B$6:$B$1005,$W5773)=0),N(U5772)+1,N(U5772))</f>
        <v/>
      </c>
      <c r="V5773" s="19">
        <f>IF($B5773="","",TEXT($B5773,"0000"))</f>
        <v/>
      </c>
      <c r="W5773" s="19">
        <f>IF($I5773="","",IF(ISNUMBER($I5773),TEXT($I5773,"0"),$I5773))</f>
        <v/>
      </c>
    </row>
    <row r="5774">
      <c r="B5774" s="25" t="n"/>
      <c r="I5774" s="25" t="n"/>
      <c r="U5774" s="19">
        <f>IF(AND($V5774='設定'!$C$4,COUNTIF('商品マスタ'!$B$6:$B$1005,$W5774)=0),N(U5773)+1,N(U5773))</f>
        <v/>
      </c>
      <c r="V5774" s="19">
        <f>IF($B5774="","",TEXT($B5774,"0000"))</f>
        <v/>
      </c>
      <c r="W5774" s="19">
        <f>IF($I5774="","",IF(ISNUMBER($I5774),TEXT($I5774,"0"),$I5774))</f>
        <v/>
      </c>
    </row>
    <row r="5775">
      <c r="B5775" s="25" t="n"/>
      <c r="I5775" s="25" t="n"/>
      <c r="U5775" s="19">
        <f>IF(AND($V5775='設定'!$C$4,COUNTIF('商品マスタ'!$B$6:$B$1005,$W5775)=0),N(U5774)+1,N(U5774))</f>
        <v/>
      </c>
      <c r="V5775" s="19">
        <f>IF($B5775="","",TEXT($B5775,"0000"))</f>
        <v/>
      </c>
      <c r="W5775" s="19">
        <f>IF($I5775="","",IF(ISNUMBER($I5775),TEXT($I5775,"0"),$I5775))</f>
        <v/>
      </c>
    </row>
    <row r="5776">
      <c r="B5776" s="25" t="n"/>
      <c r="I5776" s="25" t="n"/>
      <c r="U5776" s="19">
        <f>IF(AND($V5776='設定'!$C$4,COUNTIF('商品マスタ'!$B$6:$B$1005,$W5776)=0),N(U5775)+1,N(U5775))</f>
        <v/>
      </c>
      <c r="V5776" s="19">
        <f>IF($B5776="","",TEXT($B5776,"0000"))</f>
        <v/>
      </c>
      <c r="W5776" s="19">
        <f>IF($I5776="","",IF(ISNUMBER($I5776),TEXT($I5776,"0"),$I5776))</f>
        <v/>
      </c>
    </row>
    <row r="5777">
      <c r="B5777" s="25" t="n"/>
      <c r="I5777" s="25" t="n"/>
      <c r="U5777" s="19">
        <f>IF(AND($V5777='設定'!$C$4,COUNTIF('商品マスタ'!$B$6:$B$1005,$W5777)=0),N(U5776)+1,N(U5776))</f>
        <v/>
      </c>
      <c r="V5777" s="19">
        <f>IF($B5777="","",TEXT($B5777,"0000"))</f>
        <v/>
      </c>
      <c r="W5777" s="19">
        <f>IF($I5777="","",IF(ISNUMBER($I5777),TEXT($I5777,"0"),$I5777))</f>
        <v/>
      </c>
    </row>
    <row r="5778">
      <c r="B5778" s="25" t="n"/>
      <c r="I5778" s="25" t="n"/>
      <c r="U5778" s="19">
        <f>IF(AND($V5778='設定'!$C$4,COUNTIF('商品マスタ'!$B$6:$B$1005,$W5778)=0),N(U5777)+1,N(U5777))</f>
        <v/>
      </c>
      <c r="V5778" s="19">
        <f>IF($B5778="","",TEXT($B5778,"0000"))</f>
        <v/>
      </c>
      <c r="W5778" s="19">
        <f>IF($I5778="","",IF(ISNUMBER($I5778),TEXT($I5778,"0"),$I5778))</f>
        <v/>
      </c>
    </row>
    <row r="5779">
      <c r="B5779" s="25" t="n"/>
      <c r="I5779" s="25" t="n"/>
      <c r="U5779" s="19">
        <f>IF(AND($V5779='設定'!$C$4,COUNTIF('商品マスタ'!$B$6:$B$1005,$W5779)=0),N(U5778)+1,N(U5778))</f>
        <v/>
      </c>
      <c r="V5779" s="19">
        <f>IF($B5779="","",TEXT($B5779,"0000"))</f>
        <v/>
      </c>
      <c r="W5779" s="19">
        <f>IF($I5779="","",IF(ISNUMBER($I5779),TEXT($I5779,"0"),$I5779))</f>
        <v/>
      </c>
    </row>
    <row r="5780">
      <c r="B5780" s="25" t="n"/>
      <c r="I5780" s="25" t="n"/>
      <c r="U5780" s="19">
        <f>IF(AND($V5780='設定'!$C$4,COUNTIF('商品マスタ'!$B$6:$B$1005,$W5780)=0),N(U5779)+1,N(U5779))</f>
        <v/>
      </c>
      <c r="V5780" s="19">
        <f>IF($B5780="","",TEXT($B5780,"0000"))</f>
        <v/>
      </c>
      <c r="W5780" s="19">
        <f>IF($I5780="","",IF(ISNUMBER($I5780),TEXT($I5780,"0"),$I5780))</f>
        <v/>
      </c>
    </row>
    <row r="5781">
      <c r="B5781" s="25" t="n"/>
      <c r="I5781" s="25" t="n"/>
      <c r="U5781" s="19">
        <f>IF(AND($V5781='設定'!$C$4,COUNTIF('商品マスタ'!$B$6:$B$1005,$W5781)=0),N(U5780)+1,N(U5780))</f>
        <v/>
      </c>
      <c r="V5781" s="19">
        <f>IF($B5781="","",TEXT($B5781,"0000"))</f>
        <v/>
      </c>
      <c r="W5781" s="19">
        <f>IF($I5781="","",IF(ISNUMBER($I5781),TEXT($I5781,"0"),$I5781))</f>
        <v/>
      </c>
    </row>
    <row r="5782">
      <c r="B5782" s="25" t="n"/>
      <c r="I5782" s="25" t="n"/>
      <c r="U5782" s="19">
        <f>IF(AND($V5782='設定'!$C$4,COUNTIF('商品マスタ'!$B$6:$B$1005,$W5782)=0),N(U5781)+1,N(U5781))</f>
        <v/>
      </c>
      <c r="V5782" s="19">
        <f>IF($B5782="","",TEXT($B5782,"0000"))</f>
        <v/>
      </c>
      <c r="W5782" s="19">
        <f>IF($I5782="","",IF(ISNUMBER($I5782),TEXT($I5782,"0"),$I5782))</f>
        <v/>
      </c>
    </row>
    <row r="5783">
      <c r="B5783" s="25" t="n"/>
      <c r="I5783" s="25" t="n"/>
      <c r="U5783" s="19">
        <f>IF(AND($V5783='設定'!$C$4,COUNTIF('商品マスタ'!$B$6:$B$1005,$W5783)=0),N(U5782)+1,N(U5782))</f>
        <v/>
      </c>
      <c r="V5783" s="19">
        <f>IF($B5783="","",TEXT($B5783,"0000"))</f>
        <v/>
      </c>
      <c r="W5783" s="19">
        <f>IF($I5783="","",IF(ISNUMBER($I5783),TEXT($I5783,"0"),$I5783))</f>
        <v/>
      </c>
    </row>
    <row r="5784">
      <c r="B5784" s="25" t="n"/>
      <c r="I5784" s="25" t="n"/>
      <c r="U5784" s="19">
        <f>IF(AND($V5784='設定'!$C$4,COUNTIF('商品マスタ'!$B$6:$B$1005,$W5784)=0),N(U5783)+1,N(U5783))</f>
        <v/>
      </c>
      <c r="V5784" s="19">
        <f>IF($B5784="","",TEXT($B5784,"0000"))</f>
        <v/>
      </c>
      <c r="W5784" s="19">
        <f>IF($I5784="","",IF(ISNUMBER($I5784),TEXT($I5784,"0"),$I5784))</f>
        <v/>
      </c>
    </row>
    <row r="5785">
      <c r="B5785" s="25" t="n"/>
      <c r="I5785" s="25" t="n"/>
      <c r="U5785" s="19">
        <f>IF(AND($V5785='設定'!$C$4,COUNTIF('商品マスタ'!$B$6:$B$1005,$W5785)=0),N(U5784)+1,N(U5784))</f>
        <v/>
      </c>
      <c r="V5785" s="19">
        <f>IF($B5785="","",TEXT($B5785,"0000"))</f>
        <v/>
      </c>
      <c r="W5785" s="19">
        <f>IF($I5785="","",IF(ISNUMBER($I5785),TEXT($I5785,"0"),$I5785))</f>
        <v/>
      </c>
    </row>
    <row r="5786">
      <c r="B5786" s="25" t="n"/>
      <c r="I5786" s="25" t="n"/>
      <c r="U5786" s="19">
        <f>IF(AND($V5786='設定'!$C$4,COUNTIF('商品マスタ'!$B$6:$B$1005,$W5786)=0),N(U5785)+1,N(U5785))</f>
        <v/>
      </c>
      <c r="V5786" s="19">
        <f>IF($B5786="","",TEXT($B5786,"0000"))</f>
        <v/>
      </c>
      <c r="W5786" s="19">
        <f>IF($I5786="","",IF(ISNUMBER($I5786),TEXT($I5786,"0"),$I5786))</f>
        <v/>
      </c>
    </row>
    <row r="5787">
      <c r="B5787" s="25" t="n"/>
      <c r="I5787" s="25" t="n"/>
      <c r="U5787" s="19">
        <f>IF(AND($V5787='設定'!$C$4,COUNTIF('商品マスタ'!$B$6:$B$1005,$W5787)=0),N(U5786)+1,N(U5786))</f>
        <v/>
      </c>
      <c r="V5787" s="19">
        <f>IF($B5787="","",TEXT($B5787,"0000"))</f>
        <v/>
      </c>
      <c r="W5787" s="19">
        <f>IF($I5787="","",IF(ISNUMBER($I5787),TEXT($I5787,"0"),$I5787))</f>
        <v/>
      </c>
    </row>
    <row r="5788">
      <c r="B5788" s="25" t="n"/>
      <c r="I5788" s="25" t="n"/>
      <c r="U5788" s="19">
        <f>IF(AND($V5788='設定'!$C$4,COUNTIF('商品マスタ'!$B$6:$B$1005,$W5788)=0),N(U5787)+1,N(U5787))</f>
        <v/>
      </c>
      <c r="V5788" s="19">
        <f>IF($B5788="","",TEXT($B5788,"0000"))</f>
        <v/>
      </c>
      <c r="W5788" s="19">
        <f>IF($I5788="","",IF(ISNUMBER($I5788),TEXT($I5788,"0"),$I5788))</f>
        <v/>
      </c>
    </row>
    <row r="5789">
      <c r="B5789" s="25" t="n"/>
      <c r="I5789" s="25" t="n"/>
      <c r="U5789" s="19">
        <f>IF(AND($V5789='設定'!$C$4,COUNTIF('商品マスタ'!$B$6:$B$1005,$W5789)=0),N(U5788)+1,N(U5788))</f>
        <v/>
      </c>
      <c r="V5789" s="19">
        <f>IF($B5789="","",TEXT($B5789,"0000"))</f>
        <v/>
      </c>
      <c r="W5789" s="19">
        <f>IF($I5789="","",IF(ISNUMBER($I5789),TEXT($I5789,"0"),$I5789))</f>
        <v/>
      </c>
    </row>
    <row r="5790">
      <c r="B5790" s="25" t="n"/>
      <c r="I5790" s="25" t="n"/>
      <c r="U5790" s="19">
        <f>IF(AND($V5790='設定'!$C$4,COUNTIF('商品マスタ'!$B$6:$B$1005,$W5790)=0),N(U5789)+1,N(U5789))</f>
        <v/>
      </c>
      <c r="V5790" s="19">
        <f>IF($B5790="","",TEXT($B5790,"0000"))</f>
        <v/>
      </c>
      <c r="W5790" s="19">
        <f>IF($I5790="","",IF(ISNUMBER($I5790),TEXT($I5790,"0"),$I5790))</f>
        <v/>
      </c>
    </row>
    <row r="5791">
      <c r="B5791" s="25" t="n"/>
      <c r="I5791" s="25" t="n"/>
      <c r="U5791" s="19">
        <f>IF(AND($V5791='設定'!$C$4,COUNTIF('商品マスタ'!$B$6:$B$1005,$W5791)=0),N(U5790)+1,N(U5790))</f>
        <v/>
      </c>
      <c r="V5791" s="19">
        <f>IF($B5791="","",TEXT($B5791,"0000"))</f>
        <v/>
      </c>
      <c r="W5791" s="19">
        <f>IF($I5791="","",IF(ISNUMBER($I5791),TEXT($I5791,"0"),$I5791))</f>
        <v/>
      </c>
    </row>
    <row r="5792">
      <c r="B5792" s="25" t="n"/>
      <c r="I5792" s="25" t="n"/>
      <c r="U5792" s="19">
        <f>IF(AND($V5792='設定'!$C$4,COUNTIF('商品マスタ'!$B$6:$B$1005,$W5792)=0),N(U5791)+1,N(U5791))</f>
        <v/>
      </c>
      <c r="V5792" s="19">
        <f>IF($B5792="","",TEXT($B5792,"0000"))</f>
        <v/>
      </c>
      <c r="W5792" s="19">
        <f>IF($I5792="","",IF(ISNUMBER($I5792),TEXT($I5792,"0"),$I5792))</f>
        <v/>
      </c>
    </row>
    <row r="5793">
      <c r="B5793" s="25" t="n"/>
      <c r="I5793" s="25" t="n"/>
      <c r="U5793" s="19">
        <f>IF(AND($V5793='設定'!$C$4,COUNTIF('商品マスタ'!$B$6:$B$1005,$W5793)=0),N(U5792)+1,N(U5792))</f>
        <v/>
      </c>
      <c r="V5793" s="19">
        <f>IF($B5793="","",TEXT($B5793,"0000"))</f>
        <v/>
      </c>
      <c r="W5793" s="19">
        <f>IF($I5793="","",IF(ISNUMBER($I5793),TEXT($I5793,"0"),$I5793))</f>
        <v/>
      </c>
    </row>
    <row r="5794">
      <c r="B5794" s="25" t="n"/>
      <c r="I5794" s="25" t="n"/>
      <c r="U5794" s="19">
        <f>IF(AND($V5794='設定'!$C$4,COUNTIF('商品マスタ'!$B$6:$B$1005,$W5794)=0),N(U5793)+1,N(U5793))</f>
        <v/>
      </c>
      <c r="V5794" s="19">
        <f>IF($B5794="","",TEXT($B5794,"0000"))</f>
        <v/>
      </c>
      <c r="W5794" s="19">
        <f>IF($I5794="","",IF(ISNUMBER($I5794),TEXT($I5794,"0"),$I5794))</f>
        <v/>
      </c>
    </row>
    <row r="5795">
      <c r="B5795" s="25" t="n"/>
      <c r="I5795" s="25" t="n"/>
      <c r="U5795" s="19">
        <f>IF(AND($V5795='設定'!$C$4,COUNTIF('商品マスタ'!$B$6:$B$1005,$W5795)=0),N(U5794)+1,N(U5794))</f>
        <v/>
      </c>
      <c r="V5795" s="19">
        <f>IF($B5795="","",TEXT($B5795,"0000"))</f>
        <v/>
      </c>
      <c r="W5795" s="19">
        <f>IF($I5795="","",IF(ISNUMBER($I5795),TEXT($I5795,"0"),$I5795))</f>
        <v/>
      </c>
    </row>
    <row r="5796">
      <c r="B5796" s="25" t="n"/>
      <c r="I5796" s="25" t="n"/>
      <c r="U5796" s="19">
        <f>IF(AND($V5796='設定'!$C$4,COUNTIF('商品マスタ'!$B$6:$B$1005,$W5796)=0),N(U5795)+1,N(U5795))</f>
        <v/>
      </c>
      <c r="V5796" s="19">
        <f>IF($B5796="","",TEXT($B5796,"0000"))</f>
        <v/>
      </c>
      <c r="W5796" s="19">
        <f>IF($I5796="","",IF(ISNUMBER($I5796),TEXT($I5796,"0"),$I5796))</f>
        <v/>
      </c>
    </row>
    <row r="5797">
      <c r="B5797" s="25" t="n"/>
      <c r="I5797" s="25" t="n"/>
      <c r="U5797" s="19">
        <f>IF(AND($V5797='設定'!$C$4,COUNTIF('商品マスタ'!$B$6:$B$1005,$W5797)=0),N(U5796)+1,N(U5796))</f>
        <v/>
      </c>
      <c r="V5797" s="19">
        <f>IF($B5797="","",TEXT($B5797,"0000"))</f>
        <v/>
      </c>
      <c r="W5797" s="19">
        <f>IF($I5797="","",IF(ISNUMBER($I5797),TEXT($I5797,"0"),$I5797))</f>
        <v/>
      </c>
    </row>
    <row r="5798">
      <c r="B5798" s="25" t="n"/>
      <c r="I5798" s="25" t="n"/>
      <c r="U5798" s="19">
        <f>IF(AND($V5798='設定'!$C$4,COUNTIF('商品マスタ'!$B$6:$B$1005,$W5798)=0),N(U5797)+1,N(U5797))</f>
        <v/>
      </c>
      <c r="V5798" s="19">
        <f>IF($B5798="","",TEXT($B5798,"0000"))</f>
        <v/>
      </c>
      <c r="W5798" s="19">
        <f>IF($I5798="","",IF(ISNUMBER($I5798),TEXT($I5798,"0"),$I5798))</f>
        <v/>
      </c>
    </row>
    <row r="5799">
      <c r="B5799" s="25" t="n"/>
      <c r="I5799" s="25" t="n"/>
      <c r="U5799" s="19">
        <f>IF(AND($V5799='設定'!$C$4,COUNTIF('商品マスタ'!$B$6:$B$1005,$W5799)=0),N(U5798)+1,N(U5798))</f>
        <v/>
      </c>
      <c r="V5799" s="19">
        <f>IF($B5799="","",TEXT($B5799,"0000"))</f>
        <v/>
      </c>
      <c r="W5799" s="19">
        <f>IF($I5799="","",IF(ISNUMBER($I5799),TEXT($I5799,"0"),$I5799))</f>
        <v/>
      </c>
    </row>
    <row r="5800">
      <c r="B5800" s="25" t="n"/>
      <c r="I5800" s="25" t="n"/>
      <c r="U5800" s="19">
        <f>IF(AND($V5800='設定'!$C$4,COUNTIF('商品マスタ'!$B$6:$B$1005,$W5800)=0),N(U5799)+1,N(U5799))</f>
        <v/>
      </c>
      <c r="V5800" s="19">
        <f>IF($B5800="","",TEXT($B5800,"0000"))</f>
        <v/>
      </c>
      <c r="W5800" s="19">
        <f>IF($I5800="","",IF(ISNUMBER($I5800),TEXT($I5800,"0"),$I5800))</f>
        <v/>
      </c>
    </row>
    <row r="5801">
      <c r="B5801" s="25" t="n"/>
      <c r="I5801" s="25" t="n"/>
      <c r="U5801" s="19">
        <f>IF(AND($V5801='設定'!$C$4,COUNTIF('商品マスタ'!$B$6:$B$1005,$W5801)=0),N(U5800)+1,N(U5800))</f>
        <v/>
      </c>
      <c r="V5801" s="19">
        <f>IF($B5801="","",TEXT($B5801,"0000"))</f>
        <v/>
      </c>
      <c r="W5801" s="19">
        <f>IF($I5801="","",IF(ISNUMBER($I5801),TEXT($I5801,"0"),$I5801))</f>
        <v/>
      </c>
    </row>
    <row r="5802">
      <c r="B5802" s="25" t="n"/>
      <c r="I5802" s="25" t="n"/>
      <c r="U5802" s="19">
        <f>IF(AND($V5802='設定'!$C$4,COUNTIF('商品マスタ'!$B$6:$B$1005,$W5802)=0),N(U5801)+1,N(U5801))</f>
        <v/>
      </c>
      <c r="V5802" s="19">
        <f>IF($B5802="","",TEXT($B5802,"0000"))</f>
        <v/>
      </c>
      <c r="W5802" s="19">
        <f>IF($I5802="","",IF(ISNUMBER($I5802),TEXT($I5802,"0"),$I5802))</f>
        <v/>
      </c>
    </row>
    <row r="5803">
      <c r="B5803" s="25" t="n"/>
      <c r="I5803" s="25" t="n"/>
      <c r="U5803" s="19">
        <f>IF(AND($V5803='設定'!$C$4,COUNTIF('商品マスタ'!$B$6:$B$1005,$W5803)=0),N(U5802)+1,N(U5802))</f>
        <v/>
      </c>
      <c r="V5803" s="19">
        <f>IF($B5803="","",TEXT($B5803,"0000"))</f>
        <v/>
      </c>
      <c r="W5803" s="19">
        <f>IF($I5803="","",IF(ISNUMBER($I5803),TEXT($I5803,"0"),$I5803))</f>
        <v/>
      </c>
    </row>
    <row r="5804">
      <c r="B5804" s="25" t="n"/>
      <c r="I5804" s="25" t="n"/>
      <c r="U5804" s="19">
        <f>IF(AND($V5804='設定'!$C$4,COUNTIF('商品マスタ'!$B$6:$B$1005,$W5804)=0),N(U5803)+1,N(U5803))</f>
        <v/>
      </c>
      <c r="V5804" s="19">
        <f>IF($B5804="","",TEXT($B5804,"0000"))</f>
        <v/>
      </c>
      <c r="W5804" s="19">
        <f>IF($I5804="","",IF(ISNUMBER($I5804),TEXT($I5804,"0"),$I5804))</f>
        <v/>
      </c>
    </row>
    <row r="5805">
      <c r="B5805" s="25" t="n"/>
      <c r="I5805" s="25" t="n"/>
      <c r="U5805" s="19">
        <f>IF(AND($V5805='設定'!$C$4,COUNTIF('商品マスタ'!$B$6:$B$1005,$W5805)=0),N(U5804)+1,N(U5804))</f>
        <v/>
      </c>
      <c r="V5805" s="19">
        <f>IF($B5805="","",TEXT($B5805,"0000"))</f>
        <v/>
      </c>
      <c r="W5805" s="19">
        <f>IF($I5805="","",IF(ISNUMBER($I5805),TEXT($I5805,"0"),$I5805))</f>
        <v/>
      </c>
    </row>
    <row r="5806">
      <c r="B5806" s="25" t="n"/>
      <c r="I5806" s="25" t="n"/>
      <c r="U5806" s="19">
        <f>IF(AND($V5806='設定'!$C$4,COUNTIF('商品マスタ'!$B$6:$B$1005,$W5806)=0),N(U5805)+1,N(U5805))</f>
        <v/>
      </c>
      <c r="V5806" s="19">
        <f>IF($B5806="","",TEXT($B5806,"0000"))</f>
        <v/>
      </c>
      <c r="W5806" s="19">
        <f>IF($I5806="","",IF(ISNUMBER($I5806),TEXT($I5806,"0"),$I5806))</f>
        <v/>
      </c>
    </row>
    <row r="5807">
      <c r="B5807" s="25" t="n"/>
      <c r="I5807" s="25" t="n"/>
      <c r="U5807" s="19">
        <f>IF(AND($V5807='設定'!$C$4,COUNTIF('商品マスタ'!$B$6:$B$1005,$W5807)=0),N(U5806)+1,N(U5806))</f>
        <v/>
      </c>
      <c r="V5807" s="19">
        <f>IF($B5807="","",TEXT($B5807,"0000"))</f>
        <v/>
      </c>
      <c r="W5807" s="19">
        <f>IF($I5807="","",IF(ISNUMBER($I5807),TEXT($I5807,"0"),$I5807))</f>
        <v/>
      </c>
    </row>
    <row r="5808">
      <c r="B5808" s="25" t="n"/>
      <c r="I5808" s="25" t="n"/>
      <c r="U5808" s="19">
        <f>IF(AND($V5808='設定'!$C$4,COUNTIF('商品マスタ'!$B$6:$B$1005,$W5808)=0),N(U5807)+1,N(U5807))</f>
        <v/>
      </c>
      <c r="V5808" s="19">
        <f>IF($B5808="","",TEXT($B5808,"0000"))</f>
        <v/>
      </c>
      <c r="W5808" s="19">
        <f>IF($I5808="","",IF(ISNUMBER($I5808),TEXT($I5808,"0"),$I5808))</f>
        <v/>
      </c>
    </row>
    <row r="5809">
      <c r="B5809" s="25" t="n"/>
      <c r="I5809" s="25" t="n"/>
      <c r="U5809" s="19">
        <f>IF(AND($V5809='設定'!$C$4,COUNTIF('商品マスタ'!$B$6:$B$1005,$W5809)=0),N(U5808)+1,N(U5808))</f>
        <v/>
      </c>
      <c r="V5809" s="19">
        <f>IF($B5809="","",TEXT($B5809,"0000"))</f>
        <v/>
      </c>
      <c r="W5809" s="19">
        <f>IF($I5809="","",IF(ISNUMBER($I5809),TEXT($I5809,"0"),$I5809))</f>
        <v/>
      </c>
    </row>
    <row r="5810">
      <c r="B5810" s="25" t="n"/>
      <c r="I5810" s="25" t="n"/>
      <c r="U5810" s="19">
        <f>IF(AND($V5810='設定'!$C$4,COUNTIF('商品マスタ'!$B$6:$B$1005,$W5810)=0),N(U5809)+1,N(U5809))</f>
        <v/>
      </c>
      <c r="V5810" s="19">
        <f>IF($B5810="","",TEXT($B5810,"0000"))</f>
        <v/>
      </c>
      <c r="W5810" s="19">
        <f>IF($I5810="","",IF(ISNUMBER($I5810),TEXT($I5810,"0"),$I5810))</f>
        <v/>
      </c>
    </row>
    <row r="5811">
      <c r="B5811" s="25" t="n"/>
      <c r="I5811" s="25" t="n"/>
      <c r="U5811" s="19">
        <f>IF(AND($V5811='設定'!$C$4,COUNTIF('商品マスタ'!$B$6:$B$1005,$W5811)=0),N(U5810)+1,N(U5810))</f>
        <v/>
      </c>
      <c r="V5811" s="19">
        <f>IF($B5811="","",TEXT($B5811,"0000"))</f>
        <v/>
      </c>
      <c r="W5811" s="19">
        <f>IF($I5811="","",IF(ISNUMBER($I5811),TEXT($I5811,"0"),$I5811))</f>
        <v/>
      </c>
    </row>
    <row r="5812">
      <c r="B5812" s="25" t="n"/>
      <c r="I5812" s="25" t="n"/>
      <c r="U5812" s="19">
        <f>IF(AND($V5812='設定'!$C$4,COUNTIF('商品マスタ'!$B$6:$B$1005,$W5812)=0),N(U5811)+1,N(U5811))</f>
        <v/>
      </c>
      <c r="V5812" s="19">
        <f>IF($B5812="","",TEXT($B5812,"0000"))</f>
        <v/>
      </c>
      <c r="W5812" s="19">
        <f>IF($I5812="","",IF(ISNUMBER($I5812),TEXT($I5812,"0"),$I5812))</f>
        <v/>
      </c>
    </row>
    <row r="5813">
      <c r="B5813" s="25" t="n"/>
      <c r="I5813" s="25" t="n"/>
      <c r="U5813" s="19">
        <f>IF(AND($V5813='設定'!$C$4,COUNTIF('商品マスタ'!$B$6:$B$1005,$W5813)=0),N(U5812)+1,N(U5812))</f>
        <v/>
      </c>
      <c r="V5813" s="19">
        <f>IF($B5813="","",TEXT($B5813,"0000"))</f>
        <v/>
      </c>
      <c r="W5813" s="19">
        <f>IF($I5813="","",IF(ISNUMBER($I5813),TEXT($I5813,"0"),$I5813))</f>
        <v/>
      </c>
    </row>
    <row r="5814">
      <c r="B5814" s="25" t="n"/>
      <c r="I5814" s="25" t="n"/>
      <c r="U5814" s="19">
        <f>IF(AND($V5814='設定'!$C$4,COUNTIF('商品マスタ'!$B$6:$B$1005,$W5814)=0),N(U5813)+1,N(U5813))</f>
        <v/>
      </c>
      <c r="V5814" s="19">
        <f>IF($B5814="","",TEXT($B5814,"0000"))</f>
        <v/>
      </c>
      <c r="W5814" s="19">
        <f>IF($I5814="","",IF(ISNUMBER($I5814),TEXT($I5814,"0"),$I5814))</f>
        <v/>
      </c>
    </row>
    <row r="5815">
      <c r="B5815" s="25" t="n"/>
      <c r="I5815" s="25" t="n"/>
      <c r="U5815" s="19">
        <f>IF(AND($V5815='設定'!$C$4,COUNTIF('商品マスタ'!$B$6:$B$1005,$W5815)=0),N(U5814)+1,N(U5814))</f>
        <v/>
      </c>
      <c r="V5815" s="19">
        <f>IF($B5815="","",TEXT($B5815,"0000"))</f>
        <v/>
      </c>
      <c r="W5815" s="19">
        <f>IF($I5815="","",IF(ISNUMBER($I5815),TEXT($I5815,"0"),$I5815))</f>
        <v/>
      </c>
    </row>
    <row r="5816">
      <c r="B5816" s="25" t="n"/>
      <c r="I5816" s="25" t="n"/>
      <c r="U5816" s="19">
        <f>IF(AND($V5816='設定'!$C$4,COUNTIF('商品マスタ'!$B$6:$B$1005,$W5816)=0),N(U5815)+1,N(U5815))</f>
        <v/>
      </c>
      <c r="V5816" s="19">
        <f>IF($B5816="","",TEXT($B5816,"0000"))</f>
        <v/>
      </c>
      <c r="W5816" s="19">
        <f>IF($I5816="","",IF(ISNUMBER($I5816),TEXT($I5816,"0"),$I5816))</f>
        <v/>
      </c>
    </row>
    <row r="5817">
      <c r="B5817" s="25" t="n"/>
      <c r="I5817" s="25" t="n"/>
      <c r="U5817" s="19">
        <f>IF(AND($V5817='設定'!$C$4,COUNTIF('商品マスタ'!$B$6:$B$1005,$W5817)=0),N(U5816)+1,N(U5816))</f>
        <v/>
      </c>
      <c r="V5817" s="19">
        <f>IF($B5817="","",TEXT($B5817,"0000"))</f>
        <v/>
      </c>
      <c r="W5817" s="19">
        <f>IF($I5817="","",IF(ISNUMBER($I5817),TEXT($I5817,"0"),$I5817))</f>
        <v/>
      </c>
    </row>
    <row r="5818">
      <c r="B5818" s="25" t="n"/>
      <c r="I5818" s="25" t="n"/>
      <c r="U5818" s="19">
        <f>IF(AND($V5818='設定'!$C$4,COUNTIF('商品マスタ'!$B$6:$B$1005,$W5818)=0),N(U5817)+1,N(U5817))</f>
        <v/>
      </c>
      <c r="V5818" s="19">
        <f>IF($B5818="","",TEXT($B5818,"0000"))</f>
        <v/>
      </c>
      <c r="W5818" s="19">
        <f>IF($I5818="","",IF(ISNUMBER($I5818),TEXT($I5818,"0"),$I5818))</f>
        <v/>
      </c>
    </row>
    <row r="5819">
      <c r="B5819" s="25" t="n"/>
      <c r="I5819" s="25" t="n"/>
      <c r="U5819" s="19">
        <f>IF(AND($V5819='設定'!$C$4,COUNTIF('商品マスタ'!$B$6:$B$1005,$W5819)=0),N(U5818)+1,N(U5818))</f>
        <v/>
      </c>
      <c r="V5819" s="19">
        <f>IF($B5819="","",TEXT($B5819,"0000"))</f>
        <v/>
      </c>
      <c r="W5819" s="19">
        <f>IF($I5819="","",IF(ISNUMBER($I5819),TEXT($I5819,"0"),$I5819))</f>
        <v/>
      </c>
    </row>
    <row r="5820">
      <c r="B5820" s="25" t="n"/>
      <c r="I5820" s="25" t="n"/>
      <c r="U5820" s="19">
        <f>IF(AND($V5820='設定'!$C$4,COUNTIF('商品マスタ'!$B$6:$B$1005,$W5820)=0),N(U5819)+1,N(U5819))</f>
        <v/>
      </c>
      <c r="V5820" s="19">
        <f>IF($B5820="","",TEXT($B5820,"0000"))</f>
        <v/>
      </c>
      <c r="W5820" s="19">
        <f>IF($I5820="","",IF(ISNUMBER($I5820),TEXT($I5820,"0"),$I5820))</f>
        <v/>
      </c>
    </row>
    <row r="5821">
      <c r="B5821" s="25" t="n"/>
      <c r="I5821" s="25" t="n"/>
      <c r="U5821" s="19">
        <f>IF(AND($V5821='設定'!$C$4,COUNTIF('商品マスタ'!$B$6:$B$1005,$W5821)=0),N(U5820)+1,N(U5820))</f>
        <v/>
      </c>
      <c r="V5821" s="19">
        <f>IF($B5821="","",TEXT($B5821,"0000"))</f>
        <v/>
      </c>
      <c r="W5821" s="19">
        <f>IF($I5821="","",IF(ISNUMBER($I5821),TEXT($I5821,"0"),$I5821))</f>
        <v/>
      </c>
    </row>
    <row r="5822">
      <c r="B5822" s="25" t="n"/>
      <c r="I5822" s="25" t="n"/>
      <c r="U5822" s="19">
        <f>IF(AND($V5822='設定'!$C$4,COUNTIF('商品マスタ'!$B$6:$B$1005,$W5822)=0),N(U5821)+1,N(U5821))</f>
        <v/>
      </c>
      <c r="V5822" s="19">
        <f>IF($B5822="","",TEXT($B5822,"0000"))</f>
        <v/>
      </c>
      <c r="W5822" s="19">
        <f>IF($I5822="","",IF(ISNUMBER($I5822),TEXT($I5822,"0"),$I5822))</f>
        <v/>
      </c>
    </row>
    <row r="5823">
      <c r="B5823" s="25" t="n"/>
      <c r="I5823" s="25" t="n"/>
      <c r="U5823" s="19">
        <f>IF(AND($V5823='設定'!$C$4,COUNTIF('商品マスタ'!$B$6:$B$1005,$W5823)=0),N(U5822)+1,N(U5822))</f>
        <v/>
      </c>
      <c r="V5823" s="19">
        <f>IF($B5823="","",TEXT($B5823,"0000"))</f>
        <v/>
      </c>
      <c r="W5823" s="19">
        <f>IF($I5823="","",IF(ISNUMBER($I5823),TEXT($I5823,"0"),$I5823))</f>
        <v/>
      </c>
    </row>
    <row r="5824">
      <c r="B5824" s="25" t="n"/>
      <c r="I5824" s="25" t="n"/>
      <c r="U5824" s="19">
        <f>IF(AND($V5824='設定'!$C$4,COUNTIF('商品マスタ'!$B$6:$B$1005,$W5824)=0),N(U5823)+1,N(U5823))</f>
        <v/>
      </c>
      <c r="V5824" s="19">
        <f>IF($B5824="","",TEXT($B5824,"0000"))</f>
        <v/>
      </c>
      <c r="W5824" s="19">
        <f>IF($I5824="","",IF(ISNUMBER($I5824),TEXT($I5824,"0"),$I5824))</f>
        <v/>
      </c>
    </row>
    <row r="5825">
      <c r="B5825" s="25" t="n"/>
      <c r="I5825" s="25" t="n"/>
      <c r="U5825" s="19">
        <f>IF(AND($V5825='設定'!$C$4,COUNTIF('商品マスタ'!$B$6:$B$1005,$W5825)=0),N(U5824)+1,N(U5824))</f>
        <v/>
      </c>
      <c r="V5825" s="19">
        <f>IF($B5825="","",TEXT($B5825,"0000"))</f>
        <v/>
      </c>
      <c r="W5825" s="19">
        <f>IF($I5825="","",IF(ISNUMBER($I5825),TEXT($I5825,"0"),$I5825))</f>
        <v/>
      </c>
    </row>
    <row r="5826">
      <c r="B5826" s="25" t="n"/>
      <c r="I5826" s="25" t="n"/>
      <c r="U5826" s="19">
        <f>IF(AND($V5826='設定'!$C$4,COUNTIF('商品マスタ'!$B$6:$B$1005,$W5826)=0),N(U5825)+1,N(U5825))</f>
        <v/>
      </c>
      <c r="V5826" s="19">
        <f>IF($B5826="","",TEXT($B5826,"0000"))</f>
        <v/>
      </c>
      <c r="W5826" s="19">
        <f>IF($I5826="","",IF(ISNUMBER($I5826),TEXT($I5826,"0"),$I5826))</f>
        <v/>
      </c>
    </row>
    <row r="5827">
      <c r="B5827" s="25" t="n"/>
      <c r="I5827" s="25" t="n"/>
      <c r="U5827" s="19">
        <f>IF(AND($V5827='設定'!$C$4,COUNTIF('商品マスタ'!$B$6:$B$1005,$W5827)=0),N(U5826)+1,N(U5826))</f>
        <v/>
      </c>
      <c r="V5827" s="19">
        <f>IF($B5827="","",TEXT($B5827,"0000"))</f>
        <v/>
      </c>
      <c r="W5827" s="19">
        <f>IF($I5827="","",IF(ISNUMBER($I5827),TEXT($I5827,"0"),$I5827))</f>
        <v/>
      </c>
    </row>
    <row r="5828">
      <c r="B5828" s="25" t="n"/>
      <c r="I5828" s="25" t="n"/>
      <c r="U5828" s="19">
        <f>IF(AND($V5828='設定'!$C$4,COUNTIF('商品マスタ'!$B$6:$B$1005,$W5828)=0),N(U5827)+1,N(U5827))</f>
        <v/>
      </c>
      <c r="V5828" s="19">
        <f>IF($B5828="","",TEXT($B5828,"0000"))</f>
        <v/>
      </c>
      <c r="W5828" s="19">
        <f>IF($I5828="","",IF(ISNUMBER($I5828),TEXT($I5828,"0"),$I5828))</f>
        <v/>
      </c>
    </row>
    <row r="5829">
      <c r="B5829" s="25" t="n"/>
      <c r="I5829" s="25" t="n"/>
      <c r="U5829" s="19">
        <f>IF(AND($V5829='設定'!$C$4,COUNTIF('商品マスタ'!$B$6:$B$1005,$W5829)=0),N(U5828)+1,N(U5828))</f>
        <v/>
      </c>
      <c r="V5829" s="19">
        <f>IF($B5829="","",TEXT($B5829,"0000"))</f>
        <v/>
      </c>
      <c r="W5829" s="19">
        <f>IF($I5829="","",IF(ISNUMBER($I5829),TEXT($I5829,"0"),$I5829))</f>
        <v/>
      </c>
    </row>
    <row r="5830">
      <c r="B5830" s="25" t="n"/>
      <c r="I5830" s="25" t="n"/>
      <c r="U5830" s="19">
        <f>IF(AND($V5830='設定'!$C$4,COUNTIF('商品マスタ'!$B$6:$B$1005,$W5830)=0),N(U5829)+1,N(U5829))</f>
        <v/>
      </c>
      <c r="V5830" s="19">
        <f>IF($B5830="","",TEXT($B5830,"0000"))</f>
        <v/>
      </c>
      <c r="W5830" s="19">
        <f>IF($I5830="","",IF(ISNUMBER($I5830),TEXT($I5830,"0"),$I5830))</f>
        <v/>
      </c>
    </row>
    <row r="5831">
      <c r="B5831" s="25" t="n"/>
      <c r="I5831" s="25" t="n"/>
      <c r="U5831" s="19">
        <f>IF(AND($V5831='設定'!$C$4,COUNTIF('商品マスタ'!$B$6:$B$1005,$W5831)=0),N(U5830)+1,N(U5830))</f>
        <v/>
      </c>
      <c r="V5831" s="19">
        <f>IF($B5831="","",TEXT($B5831,"0000"))</f>
        <v/>
      </c>
      <c r="W5831" s="19">
        <f>IF($I5831="","",IF(ISNUMBER($I5831),TEXT($I5831,"0"),$I5831))</f>
        <v/>
      </c>
    </row>
    <row r="5832">
      <c r="B5832" s="25" t="n"/>
      <c r="I5832" s="25" t="n"/>
      <c r="U5832" s="19">
        <f>IF(AND($V5832='設定'!$C$4,COUNTIF('商品マスタ'!$B$6:$B$1005,$W5832)=0),N(U5831)+1,N(U5831))</f>
        <v/>
      </c>
      <c r="V5832" s="19">
        <f>IF($B5832="","",TEXT($B5832,"0000"))</f>
        <v/>
      </c>
      <c r="W5832" s="19">
        <f>IF($I5832="","",IF(ISNUMBER($I5832),TEXT($I5832,"0"),$I5832))</f>
        <v/>
      </c>
    </row>
    <row r="5833">
      <c r="B5833" s="25" t="n"/>
      <c r="I5833" s="25" t="n"/>
      <c r="U5833" s="19">
        <f>IF(AND($V5833='設定'!$C$4,COUNTIF('商品マスタ'!$B$6:$B$1005,$W5833)=0),N(U5832)+1,N(U5832))</f>
        <v/>
      </c>
      <c r="V5833" s="19">
        <f>IF($B5833="","",TEXT($B5833,"0000"))</f>
        <v/>
      </c>
      <c r="W5833" s="19">
        <f>IF($I5833="","",IF(ISNUMBER($I5833),TEXT($I5833,"0"),$I5833))</f>
        <v/>
      </c>
    </row>
    <row r="5834">
      <c r="B5834" s="25" t="n"/>
      <c r="I5834" s="25" t="n"/>
      <c r="U5834" s="19">
        <f>IF(AND($V5834='設定'!$C$4,COUNTIF('商品マスタ'!$B$6:$B$1005,$W5834)=0),N(U5833)+1,N(U5833))</f>
        <v/>
      </c>
      <c r="V5834" s="19">
        <f>IF($B5834="","",TEXT($B5834,"0000"))</f>
        <v/>
      </c>
      <c r="W5834" s="19">
        <f>IF($I5834="","",IF(ISNUMBER($I5834),TEXT($I5834,"0"),$I5834))</f>
        <v/>
      </c>
    </row>
    <row r="5835">
      <c r="B5835" s="25" t="n"/>
      <c r="I5835" s="25" t="n"/>
      <c r="U5835" s="19">
        <f>IF(AND($V5835='設定'!$C$4,COUNTIF('商品マスタ'!$B$6:$B$1005,$W5835)=0),N(U5834)+1,N(U5834))</f>
        <v/>
      </c>
      <c r="V5835" s="19">
        <f>IF($B5835="","",TEXT($B5835,"0000"))</f>
        <v/>
      </c>
      <c r="W5835" s="19">
        <f>IF($I5835="","",IF(ISNUMBER($I5835),TEXT($I5835,"0"),$I5835))</f>
        <v/>
      </c>
    </row>
    <row r="5836">
      <c r="B5836" s="25" t="n"/>
      <c r="I5836" s="25" t="n"/>
      <c r="U5836" s="19">
        <f>IF(AND($V5836='設定'!$C$4,COUNTIF('商品マスタ'!$B$6:$B$1005,$W5836)=0),N(U5835)+1,N(U5835))</f>
        <v/>
      </c>
      <c r="V5836" s="19">
        <f>IF($B5836="","",TEXT($B5836,"0000"))</f>
        <v/>
      </c>
      <c r="W5836" s="19">
        <f>IF($I5836="","",IF(ISNUMBER($I5836),TEXT($I5836,"0"),$I5836))</f>
        <v/>
      </c>
    </row>
    <row r="5837">
      <c r="B5837" s="25" t="n"/>
      <c r="I5837" s="25" t="n"/>
      <c r="U5837" s="19">
        <f>IF(AND($V5837='設定'!$C$4,COUNTIF('商品マスタ'!$B$6:$B$1005,$W5837)=0),N(U5836)+1,N(U5836))</f>
        <v/>
      </c>
      <c r="V5837" s="19">
        <f>IF($B5837="","",TEXT($B5837,"0000"))</f>
        <v/>
      </c>
      <c r="W5837" s="19">
        <f>IF($I5837="","",IF(ISNUMBER($I5837),TEXT($I5837,"0"),$I5837))</f>
        <v/>
      </c>
    </row>
    <row r="5838">
      <c r="B5838" s="25" t="n"/>
      <c r="I5838" s="25" t="n"/>
      <c r="U5838" s="19">
        <f>IF(AND($V5838='設定'!$C$4,COUNTIF('商品マスタ'!$B$6:$B$1005,$W5838)=0),N(U5837)+1,N(U5837))</f>
        <v/>
      </c>
      <c r="V5838" s="19">
        <f>IF($B5838="","",TEXT($B5838,"0000"))</f>
        <v/>
      </c>
      <c r="W5838" s="19">
        <f>IF($I5838="","",IF(ISNUMBER($I5838),TEXT($I5838,"0"),$I5838))</f>
        <v/>
      </c>
    </row>
    <row r="5839">
      <c r="B5839" s="25" t="n"/>
      <c r="I5839" s="25" t="n"/>
      <c r="U5839" s="19">
        <f>IF(AND($V5839='設定'!$C$4,COUNTIF('商品マスタ'!$B$6:$B$1005,$W5839)=0),N(U5838)+1,N(U5838))</f>
        <v/>
      </c>
      <c r="V5839" s="19">
        <f>IF($B5839="","",TEXT($B5839,"0000"))</f>
        <v/>
      </c>
      <c r="W5839" s="19">
        <f>IF($I5839="","",IF(ISNUMBER($I5839),TEXT($I5839,"0"),$I5839))</f>
        <v/>
      </c>
    </row>
    <row r="5840">
      <c r="B5840" s="25" t="n"/>
      <c r="I5840" s="25" t="n"/>
      <c r="U5840" s="19">
        <f>IF(AND($V5840='設定'!$C$4,COUNTIF('商品マスタ'!$B$6:$B$1005,$W5840)=0),N(U5839)+1,N(U5839))</f>
        <v/>
      </c>
      <c r="V5840" s="19">
        <f>IF($B5840="","",TEXT($B5840,"0000"))</f>
        <v/>
      </c>
      <c r="W5840" s="19">
        <f>IF($I5840="","",IF(ISNUMBER($I5840),TEXT($I5840,"0"),$I5840))</f>
        <v/>
      </c>
    </row>
    <row r="5841">
      <c r="B5841" s="25" t="n"/>
      <c r="I5841" s="25" t="n"/>
      <c r="U5841" s="19">
        <f>IF(AND($V5841='設定'!$C$4,COUNTIF('商品マスタ'!$B$6:$B$1005,$W5841)=0),N(U5840)+1,N(U5840))</f>
        <v/>
      </c>
      <c r="V5841" s="19">
        <f>IF($B5841="","",TEXT($B5841,"0000"))</f>
        <v/>
      </c>
      <c r="W5841" s="19">
        <f>IF($I5841="","",IF(ISNUMBER($I5841),TEXT($I5841,"0"),$I5841))</f>
        <v/>
      </c>
    </row>
    <row r="5842">
      <c r="B5842" s="25" t="n"/>
      <c r="I5842" s="25" t="n"/>
      <c r="U5842" s="19">
        <f>IF(AND($V5842='設定'!$C$4,COUNTIF('商品マスタ'!$B$6:$B$1005,$W5842)=0),N(U5841)+1,N(U5841))</f>
        <v/>
      </c>
      <c r="V5842" s="19">
        <f>IF($B5842="","",TEXT($B5842,"0000"))</f>
        <v/>
      </c>
      <c r="W5842" s="19">
        <f>IF($I5842="","",IF(ISNUMBER($I5842),TEXT($I5842,"0"),$I5842))</f>
        <v/>
      </c>
    </row>
    <row r="5843">
      <c r="B5843" s="25" t="n"/>
      <c r="I5843" s="25" t="n"/>
      <c r="U5843" s="19">
        <f>IF(AND($V5843='設定'!$C$4,COUNTIF('商品マスタ'!$B$6:$B$1005,$W5843)=0),N(U5842)+1,N(U5842))</f>
        <v/>
      </c>
      <c r="V5843" s="19">
        <f>IF($B5843="","",TEXT($B5843,"0000"))</f>
        <v/>
      </c>
      <c r="W5843" s="19">
        <f>IF($I5843="","",IF(ISNUMBER($I5843),TEXT($I5843,"0"),$I5843))</f>
        <v/>
      </c>
    </row>
    <row r="5844">
      <c r="B5844" s="25" t="n"/>
      <c r="I5844" s="25" t="n"/>
      <c r="U5844" s="19">
        <f>IF(AND($V5844='設定'!$C$4,COUNTIF('商品マスタ'!$B$6:$B$1005,$W5844)=0),N(U5843)+1,N(U5843))</f>
        <v/>
      </c>
      <c r="V5844" s="19">
        <f>IF($B5844="","",TEXT($B5844,"0000"))</f>
        <v/>
      </c>
      <c r="W5844" s="19">
        <f>IF($I5844="","",IF(ISNUMBER($I5844),TEXT($I5844,"0"),$I5844))</f>
        <v/>
      </c>
    </row>
    <row r="5845">
      <c r="B5845" s="25" t="n"/>
      <c r="I5845" s="25" t="n"/>
      <c r="U5845" s="19">
        <f>IF(AND($V5845='設定'!$C$4,COUNTIF('商品マスタ'!$B$6:$B$1005,$W5845)=0),N(U5844)+1,N(U5844))</f>
        <v/>
      </c>
      <c r="V5845" s="19">
        <f>IF($B5845="","",TEXT($B5845,"0000"))</f>
        <v/>
      </c>
      <c r="W5845" s="19">
        <f>IF($I5845="","",IF(ISNUMBER($I5845),TEXT($I5845,"0"),$I5845))</f>
        <v/>
      </c>
    </row>
    <row r="5846">
      <c r="B5846" s="25" t="n"/>
      <c r="I5846" s="25" t="n"/>
      <c r="U5846" s="19">
        <f>IF(AND($V5846='設定'!$C$4,COUNTIF('商品マスタ'!$B$6:$B$1005,$W5846)=0),N(U5845)+1,N(U5845))</f>
        <v/>
      </c>
      <c r="V5846" s="19">
        <f>IF($B5846="","",TEXT($B5846,"0000"))</f>
        <v/>
      </c>
      <c r="W5846" s="19">
        <f>IF($I5846="","",IF(ISNUMBER($I5846),TEXT($I5846,"0"),$I5846))</f>
        <v/>
      </c>
    </row>
    <row r="5847">
      <c r="B5847" s="25" t="n"/>
      <c r="I5847" s="25" t="n"/>
      <c r="U5847" s="19">
        <f>IF(AND($V5847='設定'!$C$4,COUNTIF('商品マスタ'!$B$6:$B$1005,$W5847)=0),N(U5846)+1,N(U5846))</f>
        <v/>
      </c>
      <c r="V5847" s="19">
        <f>IF($B5847="","",TEXT($B5847,"0000"))</f>
        <v/>
      </c>
      <c r="W5847" s="19">
        <f>IF($I5847="","",IF(ISNUMBER($I5847),TEXT($I5847,"0"),$I5847))</f>
        <v/>
      </c>
    </row>
    <row r="5848">
      <c r="B5848" s="25" t="n"/>
      <c r="I5848" s="25" t="n"/>
      <c r="U5848" s="19">
        <f>IF(AND($V5848='設定'!$C$4,COUNTIF('商品マスタ'!$B$6:$B$1005,$W5848)=0),N(U5847)+1,N(U5847))</f>
        <v/>
      </c>
      <c r="V5848" s="19">
        <f>IF($B5848="","",TEXT($B5848,"0000"))</f>
        <v/>
      </c>
      <c r="W5848" s="19">
        <f>IF($I5848="","",IF(ISNUMBER($I5848),TEXT($I5848,"0"),$I5848))</f>
        <v/>
      </c>
    </row>
    <row r="5849">
      <c r="B5849" s="25" t="n"/>
      <c r="I5849" s="25" t="n"/>
      <c r="U5849" s="19">
        <f>IF(AND($V5849='設定'!$C$4,COUNTIF('商品マスタ'!$B$6:$B$1005,$W5849)=0),N(U5848)+1,N(U5848))</f>
        <v/>
      </c>
      <c r="V5849" s="19">
        <f>IF($B5849="","",TEXT($B5849,"0000"))</f>
        <v/>
      </c>
      <c r="W5849" s="19">
        <f>IF($I5849="","",IF(ISNUMBER($I5849),TEXT($I5849,"0"),$I5849))</f>
        <v/>
      </c>
    </row>
    <row r="5850">
      <c r="B5850" s="25" t="n"/>
      <c r="I5850" s="25" t="n"/>
      <c r="U5850" s="19">
        <f>IF(AND($V5850='設定'!$C$4,COUNTIF('商品マスタ'!$B$6:$B$1005,$W5850)=0),N(U5849)+1,N(U5849))</f>
        <v/>
      </c>
      <c r="V5850" s="19">
        <f>IF($B5850="","",TEXT($B5850,"0000"))</f>
        <v/>
      </c>
      <c r="W5850" s="19">
        <f>IF($I5850="","",IF(ISNUMBER($I5850),TEXT($I5850,"0"),$I5850))</f>
        <v/>
      </c>
    </row>
    <row r="5851">
      <c r="B5851" s="25" t="n"/>
      <c r="I5851" s="25" t="n"/>
      <c r="U5851" s="19">
        <f>IF(AND($V5851='設定'!$C$4,COUNTIF('商品マスタ'!$B$6:$B$1005,$W5851)=0),N(U5850)+1,N(U5850))</f>
        <v/>
      </c>
      <c r="V5851" s="19">
        <f>IF($B5851="","",TEXT($B5851,"0000"))</f>
        <v/>
      </c>
      <c r="W5851" s="19">
        <f>IF($I5851="","",IF(ISNUMBER($I5851),TEXT($I5851,"0"),$I5851))</f>
        <v/>
      </c>
    </row>
    <row r="5852">
      <c r="B5852" s="25" t="n"/>
      <c r="I5852" s="25" t="n"/>
      <c r="U5852" s="19">
        <f>IF(AND($V5852='設定'!$C$4,COUNTIF('商品マスタ'!$B$6:$B$1005,$W5852)=0),N(U5851)+1,N(U5851))</f>
        <v/>
      </c>
      <c r="V5852" s="19">
        <f>IF($B5852="","",TEXT($B5852,"0000"))</f>
        <v/>
      </c>
      <c r="W5852" s="19">
        <f>IF($I5852="","",IF(ISNUMBER($I5852),TEXT($I5852,"0"),$I5852))</f>
        <v/>
      </c>
    </row>
    <row r="5853">
      <c r="B5853" s="25" t="n"/>
      <c r="I5853" s="25" t="n"/>
      <c r="U5853" s="19">
        <f>IF(AND($V5853='設定'!$C$4,COUNTIF('商品マスタ'!$B$6:$B$1005,$W5853)=0),N(U5852)+1,N(U5852))</f>
        <v/>
      </c>
      <c r="V5853" s="19">
        <f>IF($B5853="","",TEXT($B5853,"0000"))</f>
        <v/>
      </c>
      <c r="W5853" s="19">
        <f>IF($I5853="","",IF(ISNUMBER($I5853),TEXT($I5853,"0"),$I5853))</f>
        <v/>
      </c>
    </row>
    <row r="5854">
      <c r="B5854" s="25" t="n"/>
      <c r="I5854" s="25" t="n"/>
      <c r="U5854" s="19">
        <f>IF(AND($V5854='設定'!$C$4,COUNTIF('商品マスタ'!$B$6:$B$1005,$W5854)=0),N(U5853)+1,N(U5853))</f>
        <v/>
      </c>
      <c r="V5854" s="19">
        <f>IF($B5854="","",TEXT($B5854,"0000"))</f>
        <v/>
      </c>
      <c r="W5854" s="19">
        <f>IF($I5854="","",IF(ISNUMBER($I5854),TEXT($I5854,"0"),$I5854))</f>
        <v/>
      </c>
    </row>
    <row r="5855">
      <c r="B5855" s="25" t="n"/>
      <c r="I5855" s="25" t="n"/>
      <c r="U5855" s="19">
        <f>IF(AND($V5855='設定'!$C$4,COUNTIF('商品マスタ'!$B$6:$B$1005,$W5855)=0),N(U5854)+1,N(U5854))</f>
        <v/>
      </c>
      <c r="V5855" s="19">
        <f>IF($B5855="","",TEXT($B5855,"0000"))</f>
        <v/>
      </c>
      <c r="W5855" s="19">
        <f>IF($I5855="","",IF(ISNUMBER($I5855),TEXT($I5855,"0"),$I5855))</f>
        <v/>
      </c>
    </row>
    <row r="5856">
      <c r="B5856" s="25" t="n"/>
      <c r="I5856" s="25" t="n"/>
      <c r="U5856" s="19">
        <f>IF(AND($V5856='設定'!$C$4,COUNTIF('商品マスタ'!$B$6:$B$1005,$W5856)=0),N(U5855)+1,N(U5855))</f>
        <v/>
      </c>
      <c r="V5856" s="19">
        <f>IF($B5856="","",TEXT($B5856,"0000"))</f>
        <v/>
      </c>
      <c r="W5856" s="19">
        <f>IF($I5856="","",IF(ISNUMBER($I5856),TEXT($I5856,"0"),$I5856))</f>
        <v/>
      </c>
    </row>
    <row r="5857">
      <c r="B5857" s="25" t="n"/>
      <c r="I5857" s="25" t="n"/>
      <c r="U5857" s="19">
        <f>IF(AND($V5857='設定'!$C$4,COUNTIF('商品マスタ'!$B$6:$B$1005,$W5857)=0),N(U5856)+1,N(U5856))</f>
        <v/>
      </c>
      <c r="V5857" s="19">
        <f>IF($B5857="","",TEXT($B5857,"0000"))</f>
        <v/>
      </c>
      <c r="W5857" s="19">
        <f>IF($I5857="","",IF(ISNUMBER($I5857),TEXT($I5857,"0"),$I5857))</f>
        <v/>
      </c>
    </row>
    <row r="5858">
      <c r="B5858" s="25" t="n"/>
      <c r="I5858" s="25" t="n"/>
      <c r="U5858" s="19">
        <f>IF(AND($V5858='設定'!$C$4,COUNTIF('商品マスタ'!$B$6:$B$1005,$W5858)=0),N(U5857)+1,N(U5857))</f>
        <v/>
      </c>
      <c r="V5858" s="19">
        <f>IF($B5858="","",TEXT($B5858,"0000"))</f>
        <v/>
      </c>
      <c r="W5858" s="19">
        <f>IF($I5858="","",IF(ISNUMBER($I5858),TEXT($I5858,"0"),$I5858))</f>
        <v/>
      </c>
    </row>
    <row r="5859">
      <c r="B5859" s="25" t="n"/>
      <c r="I5859" s="25" t="n"/>
      <c r="U5859" s="19">
        <f>IF(AND($V5859='設定'!$C$4,COUNTIF('商品マスタ'!$B$6:$B$1005,$W5859)=0),N(U5858)+1,N(U5858))</f>
        <v/>
      </c>
      <c r="V5859" s="19">
        <f>IF($B5859="","",TEXT($B5859,"0000"))</f>
        <v/>
      </c>
      <c r="W5859" s="19">
        <f>IF($I5859="","",IF(ISNUMBER($I5859),TEXT($I5859,"0"),$I5859))</f>
        <v/>
      </c>
    </row>
    <row r="5860">
      <c r="B5860" s="25" t="n"/>
      <c r="I5860" s="25" t="n"/>
      <c r="U5860" s="19">
        <f>IF(AND($V5860='設定'!$C$4,COUNTIF('商品マスタ'!$B$6:$B$1005,$W5860)=0),N(U5859)+1,N(U5859))</f>
        <v/>
      </c>
      <c r="V5860" s="19">
        <f>IF($B5860="","",TEXT($B5860,"0000"))</f>
        <v/>
      </c>
      <c r="W5860" s="19">
        <f>IF($I5860="","",IF(ISNUMBER($I5860),TEXT($I5860,"0"),$I5860))</f>
        <v/>
      </c>
    </row>
    <row r="5861">
      <c r="B5861" s="25" t="n"/>
      <c r="I5861" s="25" t="n"/>
      <c r="U5861" s="19">
        <f>IF(AND($V5861='設定'!$C$4,COUNTIF('商品マスタ'!$B$6:$B$1005,$W5861)=0),N(U5860)+1,N(U5860))</f>
        <v/>
      </c>
      <c r="V5861" s="19">
        <f>IF($B5861="","",TEXT($B5861,"0000"))</f>
        <v/>
      </c>
      <c r="W5861" s="19">
        <f>IF($I5861="","",IF(ISNUMBER($I5861),TEXT($I5861,"0"),$I5861))</f>
        <v/>
      </c>
    </row>
    <row r="5862">
      <c r="B5862" s="25" t="n"/>
      <c r="I5862" s="25" t="n"/>
      <c r="U5862" s="19">
        <f>IF(AND($V5862='設定'!$C$4,COUNTIF('商品マスタ'!$B$6:$B$1005,$W5862)=0),N(U5861)+1,N(U5861))</f>
        <v/>
      </c>
      <c r="V5862" s="19">
        <f>IF($B5862="","",TEXT($B5862,"0000"))</f>
        <v/>
      </c>
      <c r="W5862" s="19">
        <f>IF($I5862="","",IF(ISNUMBER($I5862),TEXT($I5862,"0"),$I5862))</f>
        <v/>
      </c>
    </row>
    <row r="5863">
      <c r="B5863" s="25" t="n"/>
      <c r="I5863" s="25" t="n"/>
      <c r="U5863" s="19">
        <f>IF(AND($V5863='設定'!$C$4,COUNTIF('商品マスタ'!$B$6:$B$1005,$W5863)=0),N(U5862)+1,N(U5862))</f>
        <v/>
      </c>
      <c r="V5863" s="19">
        <f>IF($B5863="","",TEXT($B5863,"0000"))</f>
        <v/>
      </c>
      <c r="W5863" s="19">
        <f>IF($I5863="","",IF(ISNUMBER($I5863),TEXT($I5863,"0"),$I5863))</f>
        <v/>
      </c>
    </row>
    <row r="5864">
      <c r="B5864" s="25" t="n"/>
      <c r="I5864" s="25" t="n"/>
      <c r="U5864" s="19">
        <f>IF(AND($V5864='設定'!$C$4,COUNTIF('商品マスタ'!$B$6:$B$1005,$W5864)=0),N(U5863)+1,N(U5863))</f>
        <v/>
      </c>
      <c r="V5864" s="19">
        <f>IF($B5864="","",TEXT($B5864,"0000"))</f>
        <v/>
      </c>
      <c r="W5864" s="19">
        <f>IF($I5864="","",IF(ISNUMBER($I5864),TEXT($I5864,"0"),$I5864))</f>
        <v/>
      </c>
    </row>
    <row r="5865">
      <c r="B5865" s="25" t="n"/>
      <c r="I5865" s="25" t="n"/>
      <c r="U5865" s="19">
        <f>IF(AND($V5865='設定'!$C$4,COUNTIF('商品マスタ'!$B$6:$B$1005,$W5865)=0),N(U5864)+1,N(U5864))</f>
        <v/>
      </c>
      <c r="V5865" s="19">
        <f>IF($B5865="","",TEXT($B5865,"0000"))</f>
        <v/>
      </c>
      <c r="W5865" s="19">
        <f>IF($I5865="","",IF(ISNUMBER($I5865),TEXT($I5865,"0"),$I5865))</f>
        <v/>
      </c>
    </row>
    <row r="5866">
      <c r="B5866" s="25" t="n"/>
      <c r="I5866" s="25" t="n"/>
      <c r="U5866" s="19">
        <f>IF(AND($V5866='設定'!$C$4,COUNTIF('商品マスタ'!$B$6:$B$1005,$W5866)=0),N(U5865)+1,N(U5865))</f>
        <v/>
      </c>
      <c r="V5866" s="19">
        <f>IF($B5866="","",TEXT($B5866,"0000"))</f>
        <v/>
      </c>
      <c r="W5866" s="19">
        <f>IF($I5866="","",IF(ISNUMBER($I5866),TEXT($I5866,"0"),$I5866))</f>
        <v/>
      </c>
    </row>
    <row r="5867">
      <c r="B5867" s="25" t="n"/>
      <c r="I5867" s="25" t="n"/>
      <c r="U5867" s="19">
        <f>IF(AND($V5867='設定'!$C$4,COUNTIF('商品マスタ'!$B$6:$B$1005,$W5867)=0),N(U5866)+1,N(U5866))</f>
        <v/>
      </c>
      <c r="V5867" s="19">
        <f>IF($B5867="","",TEXT($B5867,"0000"))</f>
        <v/>
      </c>
      <c r="W5867" s="19">
        <f>IF($I5867="","",IF(ISNUMBER($I5867),TEXT($I5867,"0"),$I5867))</f>
        <v/>
      </c>
    </row>
    <row r="5868">
      <c r="B5868" s="25" t="n"/>
      <c r="I5868" s="25" t="n"/>
      <c r="U5868" s="19">
        <f>IF(AND($V5868='設定'!$C$4,COUNTIF('商品マスタ'!$B$6:$B$1005,$W5868)=0),N(U5867)+1,N(U5867))</f>
        <v/>
      </c>
      <c r="V5868" s="19">
        <f>IF($B5868="","",TEXT($B5868,"0000"))</f>
        <v/>
      </c>
      <c r="W5868" s="19">
        <f>IF($I5868="","",IF(ISNUMBER($I5868),TEXT($I5868,"0"),$I5868))</f>
        <v/>
      </c>
    </row>
    <row r="5869">
      <c r="B5869" s="25" t="n"/>
      <c r="I5869" s="25" t="n"/>
      <c r="U5869" s="19">
        <f>IF(AND($V5869='設定'!$C$4,COUNTIF('商品マスタ'!$B$6:$B$1005,$W5869)=0),N(U5868)+1,N(U5868))</f>
        <v/>
      </c>
      <c r="V5869" s="19">
        <f>IF($B5869="","",TEXT($B5869,"0000"))</f>
        <v/>
      </c>
      <c r="W5869" s="19">
        <f>IF($I5869="","",IF(ISNUMBER($I5869),TEXT($I5869,"0"),$I5869))</f>
        <v/>
      </c>
    </row>
    <row r="5870">
      <c r="B5870" s="25" t="n"/>
      <c r="I5870" s="25" t="n"/>
      <c r="U5870" s="19">
        <f>IF(AND($V5870='設定'!$C$4,COUNTIF('商品マスタ'!$B$6:$B$1005,$W5870)=0),N(U5869)+1,N(U5869))</f>
        <v/>
      </c>
      <c r="V5870" s="19">
        <f>IF($B5870="","",TEXT($B5870,"0000"))</f>
        <v/>
      </c>
      <c r="W5870" s="19">
        <f>IF($I5870="","",IF(ISNUMBER($I5870),TEXT($I5870,"0"),$I5870))</f>
        <v/>
      </c>
    </row>
    <row r="5871">
      <c r="B5871" s="25" t="n"/>
      <c r="I5871" s="25" t="n"/>
      <c r="U5871" s="19">
        <f>IF(AND($V5871='設定'!$C$4,COUNTIF('商品マスタ'!$B$6:$B$1005,$W5871)=0),N(U5870)+1,N(U5870))</f>
        <v/>
      </c>
      <c r="V5871" s="19">
        <f>IF($B5871="","",TEXT($B5871,"0000"))</f>
        <v/>
      </c>
      <c r="W5871" s="19">
        <f>IF($I5871="","",IF(ISNUMBER($I5871),TEXT($I5871,"0"),$I5871))</f>
        <v/>
      </c>
    </row>
    <row r="5872">
      <c r="B5872" s="25" t="n"/>
      <c r="I5872" s="25" t="n"/>
      <c r="U5872" s="19">
        <f>IF(AND($V5872='設定'!$C$4,COUNTIF('商品マスタ'!$B$6:$B$1005,$W5872)=0),N(U5871)+1,N(U5871))</f>
        <v/>
      </c>
      <c r="V5872" s="19">
        <f>IF($B5872="","",TEXT($B5872,"0000"))</f>
        <v/>
      </c>
      <c r="W5872" s="19">
        <f>IF($I5872="","",IF(ISNUMBER($I5872),TEXT($I5872,"0"),$I5872))</f>
        <v/>
      </c>
    </row>
    <row r="5873">
      <c r="B5873" s="25" t="n"/>
      <c r="I5873" s="25" t="n"/>
      <c r="U5873" s="19">
        <f>IF(AND($V5873='設定'!$C$4,COUNTIF('商品マスタ'!$B$6:$B$1005,$W5873)=0),N(U5872)+1,N(U5872))</f>
        <v/>
      </c>
      <c r="V5873" s="19">
        <f>IF($B5873="","",TEXT($B5873,"0000"))</f>
        <v/>
      </c>
      <c r="W5873" s="19">
        <f>IF($I5873="","",IF(ISNUMBER($I5873),TEXT($I5873,"0"),$I5873))</f>
        <v/>
      </c>
    </row>
    <row r="5874">
      <c r="B5874" s="25" t="n"/>
      <c r="I5874" s="25" t="n"/>
      <c r="U5874" s="19">
        <f>IF(AND($V5874='設定'!$C$4,COUNTIF('商品マスタ'!$B$6:$B$1005,$W5874)=0),N(U5873)+1,N(U5873))</f>
        <v/>
      </c>
      <c r="V5874" s="19">
        <f>IF($B5874="","",TEXT($B5874,"0000"))</f>
        <v/>
      </c>
      <c r="W5874" s="19">
        <f>IF($I5874="","",IF(ISNUMBER($I5874),TEXT($I5874,"0"),$I5874))</f>
        <v/>
      </c>
    </row>
    <row r="5875">
      <c r="B5875" s="25" t="n"/>
      <c r="I5875" s="25" t="n"/>
      <c r="U5875" s="19">
        <f>IF(AND($V5875='設定'!$C$4,COUNTIF('商品マスタ'!$B$6:$B$1005,$W5875)=0),N(U5874)+1,N(U5874))</f>
        <v/>
      </c>
      <c r="V5875" s="19">
        <f>IF($B5875="","",TEXT($B5875,"0000"))</f>
        <v/>
      </c>
      <c r="W5875" s="19">
        <f>IF($I5875="","",IF(ISNUMBER($I5875),TEXT($I5875,"0"),$I5875))</f>
        <v/>
      </c>
    </row>
    <row r="5876">
      <c r="B5876" s="25" t="n"/>
      <c r="I5876" s="25" t="n"/>
      <c r="U5876" s="19">
        <f>IF(AND($V5876='設定'!$C$4,COUNTIF('商品マスタ'!$B$6:$B$1005,$W5876)=0),N(U5875)+1,N(U5875))</f>
        <v/>
      </c>
      <c r="V5876" s="19">
        <f>IF($B5876="","",TEXT($B5876,"0000"))</f>
        <v/>
      </c>
      <c r="W5876" s="19">
        <f>IF($I5876="","",IF(ISNUMBER($I5876),TEXT($I5876,"0"),$I5876))</f>
        <v/>
      </c>
    </row>
    <row r="5877">
      <c r="B5877" s="25" t="n"/>
      <c r="I5877" s="25" t="n"/>
      <c r="U5877" s="19">
        <f>IF(AND($V5877='設定'!$C$4,COUNTIF('商品マスタ'!$B$6:$B$1005,$W5877)=0),N(U5876)+1,N(U5876))</f>
        <v/>
      </c>
      <c r="V5877" s="19">
        <f>IF($B5877="","",TEXT($B5877,"0000"))</f>
        <v/>
      </c>
      <c r="W5877" s="19">
        <f>IF($I5877="","",IF(ISNUMBER($I5877),TEXT($I5877,"0"),$I5877))</f>
        <v/>
      </c>
    </row>
    <row r="5878">
      <c r="B5878" s="25" t="n"/>
      <c r="I5878" s="25" t="n"/>
      <c r="U5878" s="19">
        <f>IF(AND($V5878='設定'!$C$4,COUNTIF('商品マスタ'!$B$6:$B$1005,$W5878)=0),N(U5877)+1,N(U5877))</f>
        <v/>
      </c>
      <c r="V5878" s="19">
        <f>IF($B5878="","",TEXT($B5878,"0000"))</f>
        <v/>
      </c>
      <c r="W5878" s="19">
        <f>IF($I5878="","",IF(ISNUMBER($I5878),TEXT($I5878,"0"),$I5878))</f>
        <v/>
      </c>
    </row>
    <row r="5879">
      <c r="B5879" s="25" t="n"/>
      <c r="I5879" s="25" t="n"/>
      <c r="U5879" s="19">
        <f>IF(AND($V5879='設定'!$C$4,COUNTIF('商品マスタ'!$B$6:$B$1005,$W5879)=0),N(U5878)+1,N(U5878))</f>
        <v/>
      </c>
      <c r="V5879" s="19">
        <f>IF($B5879="","",TEXT($B5879,"0000"))</f>
        <v/>
      </c>
      <c r="W5879" s="19">
        <f>IF($I5879="","",IF(ISNUMBER($I5879),TEXT($I5879,"0"),$I5879))</f>
        <v/>
      </c>
    </row>
    <row r="5880">
      <c r="B5880" s="25" t="n"/>
      <c r="I5880" s="25" t="n"/>
      <c r="U5880" s="19">
        <f>IF(AND($V5880='設定'!$C$4,COUNTIF('商品マスタ'!$B$6:$B$1005,$W5880)=0),N(U5879)+1,N(U5879))</f>
        <v/>
      </c>
      <c r="V5880" s="19">
        <f>IF($B5880="","",TEXT($B5880,"0000"))</f>
        <v/>
      </c>
      <c r="W5880" s="19">
        <f>IF($I5880="","",IF(ISNUMBER($I5880),TEXT($I5880,"0"),$I5880))</f>
        <v/>
      </c>
    </row>
    <row r="5881">
      <c r="B5881" s="25" t="n"/>
      <c r="I5881" s="25" t="n"/>
      <c r="U5881" s="19">
        <f>IF(AND($V5881='設定'!$C$4,COUNTIF('商品マスタ'!$B$6:$B$1005,$W5881)=0),N(U5880)+1,N(U5880))</f>
        <v/>
      </c>
      <c r="V5881" s="19">
        <f>IF($B5881="","",TEXT($B5881,"0000"))</f>
        <v/>
      </c>
      <c r="W5881" s="19">
        <f>IF($I5881="","",IF(ISNUMBER($I5881),TEXT($I5881,"0"),$I5881))</f>
        <v/>
      </c>
    </row>
    <row r="5882">
      <c r="B5882" s="25" t="n"/>
      <c r="I5882" s="25" t="n"/>
      <c r="U5882" s="19">
        <f>IF(AND($V5882='設定'!$C$4,COUNTIF('商品マスタ'!$B$6:$B$1005,$W5882)=0),N(U5881)+1,N(U5881))</f>
        <v/>
      </c>
      <c r="V5882" s="19">
        <f>IF($B5882="","",TEXT($B5882,"0000"))</f>
        <v/>
      </c>
      <c r="W5882" s="19">
        <f>IF($I5882="","",IF(ISNUMBER($I5882),TEXT($I5882,"0"),$I5882))</f>
        <v/>
      </c>
    </row>
    <row r="5883">
      <c r="B5883" s="25" t="n"/>
      <c r="I5883" s="25" t="n"/>
      <c r="U5883" s="19">
        <f>IF(AND($V5883='設定'!$C$4,COUNTIF('商品マスタ'!$B$6:$B$1005,$W5883)=0),N(U5882)+1,N(U5882))</f>
        <v/>
      </c>
      <c r="V5883" s="19">
        <f>IF($B5883="","",TEXT($B5883,"0000"))</f>
        <v/>
      </c>
      <c r="W5883" s="19">
        <f>IF($I5883="","",IF(ISNUMBER($I5883),TEXT($I5883,"0"),$I5883))</f>
        <v/>
      </c>
    </row>
    <row r="5884">
      <c r="B5884" s="25" t="n"/>
      <c r="I5884" s="25" t="n"/>
      <c r="U5884" s="19">
        <f>IF(AND($V5884='設定'!$C$4,COUNTIF('商品マスタ'!$B$6:$B$1005,$W5884)=0),N(U5883)+1,N(U5883))</f>
        <v/>
      </c>
      <c r="V5884" s="19">
        <f>IF($B5884="","",TEXT($B5884,"0000"))</f>
        <v/>
      </c>
      <c r="W5884" s="19">
        <f>IF($I5884="","",IF(ISNUMBER($I5884),TEXT($I5884,"0"),$I5884))</f>
        <v/>
      </c>
    </row>
    <row r="5885">
      <c r="B5885" s="25" t="n"/>
      <c r="I5885" s="25" t="n"/>
      <c r="U5885" s="19">
        <f>IF(AND($V5885='設定'!$C$4,COUNTIF('商品マスタ'!$B$6:$B$1005,$W5885)=0),N(U5884)+1,N(U5884))</f>
        <v/>
      </c>
      <c r="V5885" s="19">
        <f>IF($B5885="","",TEXT($B5885,"0000"))</f>
        <v/>
      </c>
      <c r="W5885" s="19">
        <f>IF($I5885="","",IF(ISNUMBER($I5885),TEXT($I5885,"0"),$I5885))</f>
        <v/>
      </c>
    </row>
    <row r="5886">
      <c r="B5886" s="25" t="n"/>
      <c r="I5886" s="25" t="n"/>
      <c r="U5886" s="19">
        <f>IF(AND($V5886='設定'!$C$4,COUNTIF('商品マスタ'!$B$6:$B$1005,$W5886)=0),N(U5885)+1,N(U5885))</f>
        <v/>
      </c>
      <c r="V5886" s="19">
        <f>IF($B5886="","",TEXT($B5886,"0000"))</f>
        <v/>
      </c>
      <c r="W5886" s="19">
        <f>IF($I5886="","",IF(ISNUMBER($I5886),TEXT($I5886,"0"),$I5886))</f>
        <v/>
      </c>
    </row>
    <row r="5887">
      <c r="B5887" s="25" t="n"/>
      <c r="I5887" s="25" t="n"/>
      <c r="U5887" s="19">
        <f>IF(AND($V5887='設定'!$C$4,COUNTIF('商品マスタ'!$B$6:$B$1005,$W5887)=0),N(U5886)+1,N(U5886))</f>
        <v/>
      </c>
      <c r="V5887" s="19">
        <f>IF($B5887="","",TEXT($B5887,"0000"))</f>
        <v/>
      </c>
      <c r="W5887" s="19">
        <f>IF($I5887="","",IF(ISNUMBER($I5887),TEXT($I5887,"0"),$I5887))</f>
        <v/>
      </c>
    </row>
    <row r="5888">
      <c r="B5888" s="25" t="n"/>
      <c r="I5888" s="25" t="n"/>
      <c r="U5888" s="19">
        <f>IF(AND($V5888='設定'!$C$4,COUNTIF('商品マスタ'!$B$6:$B$1005,$W5888)=0),N(U5887)+1,N(U5887))</f>
        <v/>
      </c>
      <c r="V5888" s="19">
        <f>IF($B5888="","",TEXT($B5888,"0000"))</f>
        <v/>
      </c>
      <c r="W5888" s="19">
        <f>IF($I5888="","",IF(ISNUMBER($I5888),TEXT($I5888,"0"),$I5888))</f>
        <v/>
      </c>
    </row>
    <row r="5889">
      <c r="B5889" s="25" t="n"/>
      <c r="I5889" s="25" t="n"/>
      <c r="U5889" s="19">
        <f>IF(AND($V5889='設定'!$C$4,COUNTIF('商品マスタ'!$B$6:$B$1005,$W5889)=0),N(U5888)+1,N(U5888))</f>
        <v/>
      </c>
      <c r="V5889" s="19">
        <f>IF($B5889="","",TEXT($B5889,"0000"))</f>
        <v/>
      </c>
      <c r="W5889" s="19">
        <f>IF($I5889="","",IF(ISNUMBER($I5889),TEXT($I5889,"0"),$I5889))</f>
        <v/>
      </c>
    </row>
    <row r="5890">
      <c r="B5890" s="25" t="n"/>
      <c r="I5890" s="25" t="n"/>
      <c r="U5890" s="19">
        <f>IF(AND($V5890='設定'!$C$4,COUNTIF('商品マスタ'!$B$6:$B$1005,$W5890)=0),N(U5889)+1,N(U5889))</f>
        <v/>
      </c>
      <c r="V5890" s="19">
        <f>IF($B5890="","",TEXT($B5890,"0000"))</f>
        <v/>
      </c>
      <c r="W5890" s="19">
        <f>IF($I5890="","",IF(ISNUMBER($I5890),TEXT($I5890,"0"),$I5890))</f>
        <v/>
      </c>
    </row>
    <row r="5891">
      <c r="B5891" s="25" t="n"/>
      <c r="I5891" s="25" t="n"/>
      <c r="U5891" s="19">
        <f>IF(AND($V5891='設定'!$C$4,COUNTIF('商品マスタ'!$B$6:$B$1005,$W5891)=0),N(U5890)+1,N(U5890))</f>
        <v/>
      </c>
      <c r="V5891" s="19">
        <f>IF($B5891="","",TEXT($B5891,"0000"))</f>
        <v/>
      </c>
      <c r="W5891" s="19">
        <f>IF($I5891="","",IF(ISNUMBER($I5891),TEXT($I5891,"0"),$I5891))</f>
        <v/>
      </c>
    </row>
    <row r="5892">
      <c r="B5892" s="25" t="n"/>
      <c r="I5892" s="25" t="n"/>
      <c r="U5892" s="19">
        <f>IF(AND($V5892='設定'!$C$4,COUNTIF('商品マスタ'!$B$6:$B$1005,$W5892)=0),N(U5891)+1,N(U5891))</f>
        <v/>
      </c>
      <c r="V5892" s="19">
        <f>IF($B5892="","",TEXT($B5892,"0000"))</f>
        <v/>
      </c>
      <c r="W5892" s="19">
        <f>IF($I5892="","",IF(ISNUMBER($I5892),TEXT($I5892,"0"),$I5892))</f>
        <v/>
      </c>
    </row>
    <row r="5893">
      <c r="B5893" s="25" t="n"/>
      <c r="I5893" s="25" t="n"/>
      <c r="U5893" s="19">
        <f>IF(AND($V5893='設定'!$C$4,COUNTIF('商品マスタ'!$B$6:$B$1005,$W5893)=0),N(U5892)+1,N(U5892))</f>
        <v/>
      </c>
      <c r="V5893" s="19">
        <f>IF($B5893="","",TEXT($B5893,"0000"))</f>
        <v/>
      </c>
      <c r="W5893" s="19">
        <f>IF($I5893="","",IF(ISNUMBER($I5893),TEXT($I5893,"0"),$I5893))</f>
        <v/>
      </c>
    </row>
    <row r="5894">
      <c r="B5894" s="25" t="n"/>
      <c r="I5894" s="25" t="n"/>
      <c r="U5894" s="19">
        <f>IF(AND($V5894='設定'!$C$4,COUNTIF('商品マスタ'!$B$6:$B$1005,$W5894)=0),N(U5893)+1,N(U5893))</f>
        <v/>
      </c>
      <c r="V5894" s="19">
        <f>IF($B5894="","",TEXT($B5894,"0000"))</f>
        <v/>
      </c>
      <c r="W5894" s="19">
        <f>IF($I5894="","",IF(ISNUMBER($I5894),TEXT($I5894,"0"),$I5894))</f>
        <v/>
      </c>
    </row>
    <row r="5895">
      <c r="B5895" s="25" t="n"/>
      <c r="I5895" s="25" t="n"/>
      <c r="U5895" s="19">
        <f>IF(AND($V5895='設定'!$C$4,COUNTIF('商品マスタ'!$B$6:$B$1005,$W5895)=0),N(U5894)+1,N(U5894))</f>
        <v/>
      </c>
      <c r="V5895" s="19">
        <f>IF($B5895="","",TEXT($B5895,"0000"))</f>
        <v/>
      </c>
      <c r="W5895" s="19">
        <f>IF($I5895="","",IF(ISNUMBER($I5895),TEXT($I5895,"0"),$I5895))</f>
        <v/>
      </c>
    </row>
    <row r="5896">
      <c r="B5896" s="25" t="n"/>
      <c r="I5896" s="25" t="n"/>
      <c r="U5896" s="19">
        <f>IF(AND($V5896='設定'!$C$4,COUNTIF('商品マスタ'!$B$6:$B$1005,$W5896)=0),N(U5895)+1,N(U5895))</f>
        <v/>
      </c>
      <c r="V5896" s="19">
        <f>IF($B5896="","",TEXT($B5896,"0000"))</f>
        <v/>
      </c>
      <c r="W5896" s="19">
        <f>IF($I5896="","",IF(ISNUMBER($I5896),TEXT($I5896,"0"),$I5896))</f>
        <v/>
      </c>
    </row>
    <row r="5897">
      <c r="B5897" s="25" t="n"/>
      <c r="I5897" s="25" t="n"/>
      <c r="U5897" s="19">
        <f>IF(AND($V5897='設定'!$C$4,COUNTIF('商品マスタ'!$B$6:$B$1005,$W5897)=0),N(U5896)+1,N(U5896))</f>
        <v/>
      </c>
      <c r="V5897" s="19">
        <f>IF($B5897="","",TEXT($B5897,"0000"))</f>
        <v/>
      </c>
      <c r="W5897" s="19">
        <f>IF($I5897="","",IF(ISNUMBER($I5897),TEXT($I5897,"0"),$I5897))</f>
        <v/>
      </c>
    </row>
    <row r="5898">
      <c r="B5898" s="25" t="n"/>
      <c r="I5898" s="25" t="n"/>
      <c r="U5898" s="19">
        <f>IF(AND($V5898='設定'!$C$4,COUNTIF('商品マスタ'!$B$6:$B$1005,$W5898)=0),N(U5897)+1,N(U5897))</f>
        <v/>
      </c>
      <c r="V5898" s="19">
        <f>IF($B5898="","",TEXT($B5898,"0000"))</f>
        <v/>
      </c>
      <c r="W5898" s="19">
        <f>IF($I5898="","",IF(ISNUMBER($I5898),TEXT($I5898,"0"),$I5898))</f>
        <v/>
      </c>
    </row>
    <row r="5899">
      <c r="B5899" s="25" t="n"/>
      <c r="I5899" s="25" t="n"/>
      <c r="U5899" s="19">
        <f>IF(AND($V5899='設定'!$C$4,COUNTIF('商品マスタ'!$B$6:$B$1005,$W5899)=0),N(U5898)+1,N(U5898))</f>
        <v/>
      </c>
      <c r="V5899" s="19">
        <f>IF($B5899="","",TEXT($B5899,"0000"))</f>
        <v/>
      </c>
      <c r="W5899" s="19">
        <f>IF($I5899="","",IF(ISNUMBER($I5899),TEXT($I5899,"0"),$I5899))</f>
        <v/>
      </c>
    </row>
    <row r="5900">
      <c r="B5900" s="25" t="n"/>
      <c r="I5900" s="25" t="n"/>
      <c r="U5900" s="19">
        <f>IF(AND($V5900='設定'!$C$4,COUNTIF('商品マスタ'!$B$6:$B$1005,$W5900)=0),N(U5899)+1,N(U5899))</f>
        <v/>
      </c>
      <c r="V5900" s="19">
        <f>IF($B5900="","",TEXT($B5900,"0000"))</f>
        <v/>
      </c>
      <c r="W5900" s="19">
        <f>IF($I5900="","",IF(ISNUMBER($I5900),TEXT($I5900,"0"),$I5900))</f>
        <v/>
      </c>
    </row>
    <row r="5901">
      <c r="B5901" s="25" t="n"/>
      <c r="I5901" s="25" t="n"/>
      <c r="U5901" s="19">
        <f>IF(AND($V5901='設定'!$C$4,COUNTIF('商品マスタ'!$B$6:$B$1005,$W5901)=0),N(U5900)+1,N(U5900))</f>
        <v/>
      </c>
      <c r="V5901" s="19">
        <f>IF($B5901="","",TEXT($B5901,"0000"))</f>
        <v/>
      </c>
      <c r="W5901" s="19">
        <f>IF($I5901="","",IF(ISNUMBER($I5901),TEXT($I5901,"0"),$I5901))</f>
        <v/>
      </c>
    </row>
    <row r="5902">
      <c r="B5902" s="25" t="n"/>
      <c r="I5902" s="25" t="n"/>
      <c r="U5902" s="19">
        <f>IF(AND($V5902='設定'!$C$4,COUNTIF('商品マスタ'!$B$6:$B$1005,$W5902)=0),N(U5901)+1,N(U5901))</f>
        <v/>
      </c>
      <c r="V5902" s="19">
        <f>IF($B5902="","",TEXT($B5902,"0000"))</f>
        <v/>
      </c>
      <c r="W5902" s="19">
        <f>IF($I5902="","",IF(ISNUMBER($I5902),TEXT($I5902,"0"),$I5902))</f>
        <v/>
      </c>
    </row>
    <row r="5903">
      <c r="B5903" s="25" t="n"/>
      <c r="I5903" s="25" t="n"/>
      <c r="U5903" s="19">
        <f>IF(AND($V5903='設定'!$C$4,COUNTIF('商品マスタ'!$B$6:$B$1005,$W5903)=0),N(U5902)+1,N(U5902))</f>
        <v/>
      </c>
      <c r="V5903" s="19">
        <f>IF($B5903="","",TEXT($B5903,"0000"))</f>
        <v/>
      </c>
      <c r="W5903" s="19">
        <f>IF($I5903="","",IF(ISNUMBER($I5903),TEXT($I5903,"0"),$I5903))</f>
        <v/>
      </c>
    </row>
    <row r="5904">
      <c r="B5904" s="25" t="n"/>
      <c r="I5904" s="25" t="n"/>
      <c r="U5904" s="19">
        <f>IF(AND($V5904='設定'!$C$4,COUNTIF('商品マスタ'!$B$6:$B$1005,$W5904)=0),N(U5903)+1,N(U5903))</f>
        <v/>
      </c>
      <c r="V5904" s="19">
        <f>IF($B5904="","",TEXT($B5904,"0000"))</f>
        <v/>
      </c>
      <c r="W5904" s="19">
        <f>IF($I5904="","",IF(ISNUMBER($I5904),TEXT($I5904,"0"),$I5904))</f>
        <v/>
      </c>
    </row>
    <row r="5905">
      <c r="B5905" s="25" t="n"/>
      <c r="I5905" s="25" t="n"/>
      <c r="U5905" s="19">
        <f>IF(AND($V5905='設定'!$C$4,COUNTIF('商品マスタ'!$B$6:$B$1005,$W5905)=0),N(U5904)+1,N(U5904))</f>
        <v/>
      </c>
      <c r="V5905" s="19">
        <f>IF($B5905="","",TEXT($B5905,"0000"))</f>
        <v/>
      </c>
      <c r="W5905" s="19">
        <f>IF($I5905="","",IF(ISNUMBER($I5905),TEXT($I5905,"0"),$I5905))</f>
        <v/>
      </c>
    </row>
    <row r="5906">
      <c r="B5906" s="25" t="n"/>
      <c r="I5906" s="25" t="n"/>
      <c r="U5906" s="19">
        <f>IF(AND($V5906='設定'!$C$4,COUNTIF('商品マスタ'!$B$6:$B$1005,$W5906)=0),N(U5905)+1,N(U5905))</f>
        <v/>
      </c>
      <c r="V5906" s="19">
        <f>IF($B5906="","",TEXT($B5906,"0000"))</f>
        <v/>
      </c>
      <c r="W5906" s="19">
        <f>IF($I5906="","",IF(ISNUMBER($I5906),TEXT($I5906,"0"),$I5906))</f>
        <v/>
      </c>
    </row>
    <row r="5907">
      <c r="B5907" s="25" t="n"/>
      <c r="I5907" s="25" t="n"/>
      <c r="U5907" s="19">
        <f>IF(AND($V5907='設定'!$C$4,COUNTIF('商品マスタ'!$B$6:$B$1005,$W5907)=0),N(U5906)+1,N(U5906))</f>
        <v/>
      </c>
      <c r="V5907" s="19">
        <f>IF($B5907="","",TEXT($B5907,"0000"))</f>
        <v/>
      </c>
      <c r="W5907" s="19">
        <f>IF($I5907="","",IF(ISNUMBER($I5907),TEXT($I5907,"0"),$I5907))</f>
        <v/>
      </c>
    </row>
    <row r="5908">
      <c r="B5908" s="25" t="n"/>
      <c r="I5908" s="25" t="n"/>
      <c r="U5908" s="19">
        <f>IF(AND($V5908='設定'!$C$4,COUNTIF('商品マスタ'!$B$6:$B$1005,$W5908)=0),N(U5907)+1,N(U5907))</f>
        <v/>
      </c>
      <c r="V5908" s="19">
        <f>IF($B5908="","",TEXT($B5908,"0000"))</f>
        <v/>
      </c>
      <c r="W5908" s="19">
        <f>IF($I5908="","",IF(ISNUMBER($I5908),TEXT($I5908,"0"),$I5908))</f>
        <v/>
      </c>
    </row>
    <row r="5909">
      <c r="B5909" s="25" t="n"/>
      <c r="I5909" s="25" t="n"/>
      <c r="U5909" s="19">
        <f>IF(AND($V5909='設定'!$C$4,COUNTIF('商品マスタ'!$B$6:$B$1005,$W5909)=0),N(U5908)+1,N(U5908))</f>
        <v/>
      </c>
      <c r="V5909" s="19">
        <f>IF($B5909="","",TEXT($B5909,"0000"))</f>
        <v/>
      </c>
      <c r="W5909" s="19">
        <f>IF($I5909="","",IF(ISNUMBER($I5909),TEXT($I5909,"0"),$I5909))</f>
        <v/>
      </c>
    </row>
    <row r="5910">
      <c r="B5910" s="25" t="n"/>
      <c r="I5910" s="25" t="n"/>
      <c r="U5910" s="19">
        <f>IF(AND($V5910='設定'!$C$4,COUNTIF('商品マスタ'!$B$6:$B$1005,$W5910)=0),N(U5909)+1,N(U5909))</f>
        <v/>
      </c>
      <c r="V5910" s="19">
        <f>IF($B5910="","",TEXT($B5910,"0000"))</f>
        <v/>
      </c>
      <c r="W5910" s="19">
        <f>IF($I5910="","",IF(ISNUMBER($I5910),TEXT($I5910,"0"),$I5910))</f>
        <v/>
      </c>
    </row>
    <row r="5911">
      <c r="B5911" s="25" t="n"/>
      <c r="I5911" s="25" t="n"/>
      <c r="U5911" s="19">
        <f>IF(AND($V5911='設定'!$C$4,COUNTIF('商品マスタ'!$B$6:$B$1005,$W5911)=0),N(U5910)+1,N(U5910))</f>
        <v/>
      </c>
      <c r="V5911" s="19">
        <f>IF($B5911="","",TEXT($B5911,"0000"))</f>
        <v/>
      </c>
      <c r="W5911" s="19">
        <f>IF($I5911="","",IF(ISNUMBER($I5911),TEXT($I5911,"0"),$I5911))</f>
        <v/>
      </c>
    </row>
    <row r="5912">
      <c r="B5912" s="25" t="n"/>
      <c r="I5912" s="25" t="n"/>
      <c r="U5912" s="19">
        <f>IF(AND($V5912='設定'!$C$4,COUNTIF('商品マスタ'!$B$6:$B$1005,$W5912)=0),N(U5911)+1,N(U5911))</f>
        <v/>
      </c>
      <c r="V5912" s="19">
        <f>IF($B5912="","",TEXT($B5912,"0000"))</f>
        <v/>
      </c>
      <c r="W5912" s="19">
        <f>IF($I5912="","",IF(ISNUMBER($I5912),TEXT($I5912,"0"),$I5912))</f>
        <v/>
      </c>
    </row>
    <row r="5913">
      <c r="B5913" s="25" t="n"/>
      <c r="I5913" s="25" t="n"/>
      <c r="U5913" s="19">
        <f>IF(AND($V5913='設定'!$C$4,COUNTIF('商品マスタ'!$B$6:$B$1005,$W5913)=0),N(U5912)+1,N(U5912))</f>
        <v/>
      </c>
      <c r="V5913" s="19">
        <f>IF($B5913="","",TEXT($B5913,"0000"))</f>
        <v/>
      </c>
      <c r="W5913" s="19">
        <f>IF($I5913="","",IF(ISNUMBER($I5913),TEXT($I5913,"0"),$I5913))</f>
        <v/>
      </c>
    </row>
    <row r="5914">
      <c r="B5914" s="25" t="n"/>
      <c r="I5914" s="25" t="n"/>
      <c r="U5914" s="19">
        <f>IF(AND($V5914='設定'!$C$4,COUNTIF('商品マスタ'!$B$6:$B$1005,$W5914)=0),N(U5913)+1,N(U5913))</f>
        <v/>
      </c>
      <c r="V5914" s="19">
        <f>IF($B5914="","",TEXT($B5914,"0000"))</f>
        <v/>
      </c>
      <c r="W5914" s="19">
        <f>IF($I5914="","",IF(ISNUMBER($I5914),TEXT($I5914,"0"),$I5914))</f>
        <v/>
      </c>
    </row>
    <row r="5915">
      <c r="B5915" s="25" t="n"/>
      <c r="I5915" s="25" t="n"/>
      <c r="U5915" s="19">
        <f>IF(AND($V5915='設定'!$C$4,COUNTIF('商品マスタ'!$B$6:$B$1005,$W5915)=0),N(U5914)+1,N(U5914))</f>
        <v/>
      </c>
      <c r="V5915" s="19">
        <f>IF($B5915="","",TEXT($B5915,"0000"))</f>
        <v/>
      </c>
      <c r="W5915" s="19">
        <f>IF($I5915="","",IF(ISNUMBER($I5915),TEXT($I5915,"0"),$I5915))</f>
        <v/>
      </c>
    </row>
    <row r="5916">
      <c r="B5916" s="25" t="n"/>
      <c r="I5916" s="25" t="n"/>
      <c r="U5916" s="19">
        <f>IF(AND($V5916='設定'!$C$4,COUNTIF('商品マスタ'!$B$6:$B$1005,$W5916)=0),N(U5915)+1,N(U5915))</f>
        <v/>
      </c>
      <c r="V5916" s="19">
        <f>IF($B5916="","",TEXT($B5916,"0000"))</f>
        <v/>
      </c>
      <c r="W5916" s="19">
        <f>IF($I5916="","",IF(ISNUMBER($I5916),TEXT($I5916,"0"),$I5916))</f>
        <v/>
      </c>
    </row>
    <row r="5917">
      <c r="B5917" s="25" t="n"/>
      <c r="I5917" s="25" t="n"/>
      <c r="U5917" s="19">
        <f>IF(AND($V5917='設定'!$C$4,COUNTIF('商品マスタ'!$B$6:$B$1005,$W5917)=0),N(U5916)+1,N(U5916))</f>
        <v/>
      </c>
      <c r="V5917" s="19">
        <f>IF($B5917="","",TEXT($B5917,"0000"))</f>
        <v/>
      </c>
      <c r="W5917" s="19">
        <f>IF($I5917="","",IF(ISNUMBER($I5917),TEXT($I5917,"0"),$I5917))</f>
        <v/>
      </c>
    </row>
    <row r="5918">
      <c r="B5918" s="25" t="n"/>
      <c r="I5918" s="25" t="n"/>
      <c r="U5918" s="19">
        <f>IF(AND($V5918='設定'!$C$4,COUNTIF('商品マスタ'!$B$6:$B$1005,$W5918)=0),N(U5917)+1,N(U5917))</f>
        <v/>
      </c>
      <c r="V5918" s="19">
        <f>IF($B5918="","",TEXT($B5918,"0000"))</f>
        <v/>
      </c>
      <c r="W5918" s="19">
        <f>IF($I5918="","",IF(ISNUMBER($I5918),TEXT($I5918,"0"),$I5918))</f>
        <v/>
      </c>
    </row>
    <row r="5919">
      <c r="B5919" s="25" t="n"/>
      <c r="I5919" s="25" t="n"/>
      <c r="U5919" s="19">
        <f>IF(AND($V5919='設定'!$C$4,COUNTIF('商品マスタ'!$B$6:$B$1005,$W5919)=0),N(U5918)+1,N(U5918))</f>
        <v/>
      </c>
      <c r="V5919" s="19">
        <f>IF($B5919="","",TEXT($B5919,"0000"))</f>
        <v/>
      </c>
      <c r="W5919" s="19">
        <f>IF($I5919="","",IF(ISNUMBER($I5919),TEXT($I5919,"0"),$I5919))</f>
        <v/>
      </c>
    </row>
    <row r="5920">
      <c r="B5920" s="25" t="n"/>
      <c r="I5920" s="25" t="n"/>
      <c r="U5920" s="19">
        <f>IF(AND($V5920='設定'!$C$4,COUNTIF('商品マスタ'!$B$6:$B$1005,$W5920)=0),N(U5919)+1,N(U5919))</f>
        <v/>
      </c>
      <c r="V5920" s="19">
        <f>IF($B5920="","",TEXT($B5920,"0000"))</f>
        <v/>
      </c>
      <c r="W5920" s="19">
        <f>IF($I5920="","",IF(ISNUMBER($I5920),TEXT($I5920,"0"),$I5920))</f>
        <v/>
      </c>
    </row>
    <row r="5921">
      <c r="B5921" s="25" t="n"/>
      <c r="I5921" s="25" t="n"/>
      <c r="U5921" s="19">
        <f>IF(AND($V5921='設定'!$C$4,COUNTIF('商品マスタ'!$B$6:$B$1005,$W5921)=0),N(U5920)+1,N(U5920))</f>
        <v/>
      </c>
      <c r="V5921" s="19">
        <f>IF($B5921="","",TEXT($B5921,"0000"))</f>
        <v/>
      </c>
      <c r="W5921" s="19">
        <f>IF($I5921="","",IF(ISNUMBER($I5921),TEXT($I5921,"0"),$I5921))</f>
        <v/>
      </c>
    </row>
    <row r="5922">
      <c r="B5922" s="25" t="n"/>
      <c r="I5922" s="25" t="n"/>
      <c r="U5922" s="19">
        <f>IF(AND($V5922='設定'!$C$4,COUNTIF('商品マスタ'!$B$6:$B$1005,$W5922)=0),N(U5921)+1,N(U5921))</f>
        <v/>
      </c>
      <c r="V5922" s="19">
        <f>IF($B5922="","",TEXT($B5922,"0000"))</f>
        <v/>
      </c>
      <c r="W5922" s="19">
        <f>IF($I5922="","",IF(ISNUMBER($I5922),TEXT($I5922,"0"),$I5922))</f>
        <v/>
      </c>
    </row>
    <row r="5923">
      <c r="B5923" s="25" t="n"/>
      <c r="I5923" s="25" t="n"/>
      <c r="U5923" s="19">
        <f>IF(AND($V5923='設定'!$C$4,COUNTIF('商品マスタ'!$B$6:$B$1005,$W5923)=0),N(U5922)+1,N(U5922))</f>
        <v/>
      </c>
      <c r="V5923" s="19">
        <f>IF($B5923="","",TEXT($B5923,"0000"))</f>
        <v/>
      </c>
      <c r="W5923" s="19">
        <f>IF($I5923="","",IF(ISNUMBER($I5923),TEXT($I5923,"0"),$I5923))</f>
        <v/>
      </c>
    </row>
    <row r="5924">
      <c r="B5924" s="25" t="n"/>
      <c r="I5924" s="25" t="n"/>
      <c r="U5924" s="19">
        <f>IF(AND($V5924='設定'!$C$4,COUNTIF('商品マスタ'!$B$6:$B$1005,$W5924)=0),N(U5923)+1,N(U5923))</f>
        <v/>
      </c>
      <c r="V5924" s="19">
        <f>IF($B5924="","",TEXT($B5924,"0000"))</f>
        <v/>
      </c>
      <c r="W5924" s="19">
        <f>IF($I5924="","",IF(ISNUMBER($I5924),TEXT($I5924,"0"),$I5924))</f>
        <v/>
      </c>
    </row>
    <row r="5925">
      <c r="B5925" s="25" t="n"/>
      <c r="I5925" s="25" t="n"/>
      <c r="U5925" s="19">
        <f>IF(AND($V5925='設定'!$C$4,COUNTIF('商品マスタ'!$B$6:$B$1005,$W5925)=0),N(U5924)+1,N(U5924))</f>
        <v/>
      </c>
      <c r="V5925" s="19">
        <f>IF($B5925="","",TEXT($B5925,"0000"))</f>
        <v/>
      </c>
      <c r="W5925" s="19">
        <f>IF($I5925="","",IF(ISNUMBER($I5925),TEXT($I5925,"0"),$I5925))</f>
        <v/>
      </c>
    </row>
    <row r="5926">
      <c r="B5926" s="25" t="n"/>
      <c r="I5926" s="25" t="n"/>
      <c r="U5926" s="19">
        <f>IF(AND($V5926='設定'!$C$4,COUNTIF('商品マスタ'!$B$6:$B$1005,$W5926)=0),N(U5925)+1,N(U5925))</f>
        <v/>
      </c>
      <c r="V5926" s="19">
        <f>IF($B5926="","",TEXT($B5926,"0000"))</f>
        <v/>
      </c>
      <c r="W5926" s="19">
        <f>IF($I5926="","",IF(ISNUMBER($I5926),TEXT($I5926,"0"),$I5926))</f>
        <v/>
      </c>
    </row>
    <row r="5927">
      <c r="B5927" s="25" t="n"/>
      <c r="I5927" s="25" t="n"/>
      <c r="U5927" s="19">
        <f>IF(AND($V5927='設定'!$C$4,COUNTIF('商品マスタ'!$B$6:$B$1005,$W5927)=0),N(U5926)+1,N(U5926))</f>
        <v/>
      </c>
      <c r="V5927" s="19">
        <f>IF($B5927="","",TEXT($B5927,"0000"))</f>
        <v/>
      </c>
      <c r="W5927" s="19">
        <f>IF($I5927="","",IF(ISNUMBER($I5927),TEXT($I5927,"0"),$I5927))</f>
        <v/>
      </c>
    </row>
    <row r="5928">
      <c r="B5928" s="25" t="n"/>
      <c r="I5928" s="25" t="n"/>
      <c r="U5928" s="19">
        <f>IF(AND($V5928='設定'!$C$4,COUNTIF('商品マスタ'!$B$6:$B$1005,$W5928)=0),N(U5927)+1,N(U5927))</f>
        <v/>
      </c>
      <c r="V5928" s="19">
        <f>IF($B5928="","",TEXT($B5928,"0000"))</f>
        <v/>
      </c>
      <c r="W5928" s="19">
        <f>IF($I5928="","",IF(ISNUMBER($I5928),TEXT($I5928,"0"),$I5928))</f>
        <v/>
      </c>
    </row>
    <row r="5929">
      <c r="B5929" s="25" t="n"/>
      <c r="I5929" s="25" t="n"/>
      <c r="U5929" s="19">
        <f>IF(AND($V5929='設定'!$C$4,COUNTIF('商品マスタ'!$B$6:$B$1005,$W5929)=0),N(U5928)+1,N(U5928))</f>
        <v/>
      </c>
      <c r="V5929" s="19">
        <f>IF($B5929="","",TEXT($B5929,"0000"))</f>
        <v/>
      </c>
      <c r="W5929" s="19">
        <f>IF($I5929="","",IF(ISNUMBER($I5929),TEXT($I5929,"0"),$I5929))</f>
        <v/>
      </c>
    </row>
    <row r="5930">
      <c r="B5930" s="25" t="n"/>
      <c r="I5930" s="25" t="n"/>
      <c r="U5930" s="19">
        <f>IF(AND($V5930='設定'!$C$4,COUNTIF('商品マスタ'!$B$6:$B$1005,$W5930)=0),N(U5929)+1,N(U5929))</f>
        <v/>
      </c>
      <c r="V5930" s="19">
        <f>IF($B5930="","",TEXT($B5930,"0000"))</f>
        <v/>
      </c>
      <c r="W5930" s="19">
        <f>IF($I5930="","",IF(ISNUMBER($I5930),TEXT($I5930,"0"),$I5930))</f>
        <v/>
      </c>
    </row>
    <row r="5931">
      <c r="B5931" s="25" t="n"/>
      <c r="I5931" s="25" t="n"/>
      <c r="U5931" s="19">
        <f>IF(AND($V5931='設定'!$C$4,COUNTIF('商品マスタ'!$B$6:$B$1005,$W5931)=0),N(U5930)+1,N(U5930))</f>
        <v/>
      </c>
      <c r="V5931" s="19">
        <f>IF($B5931="","",TEXT($B5931,"0000"))</f>
        <v/>
      </c>
      <c r="W5931" s="19">
        <f>IF($I5931="","",IF(ISNUMBER($I5931),TEXT($I5931,"0"),$I5931))</f>
        <v/>
      </c>
    </row>
    <row r="5932">
      <c r="B5932" s="25" t="n"/>
      <c r="I5932" s="25" t="n"/>
      <c r="U5932" s="19">
        <f>IF(AND($V5932='設定'!$C$4,COUNTIF('商品マスタ'!$B$6:$B$1005,$W5932)=0),N(U5931)+1,N(U5931))</f>
        <v/>
      </c>
      <c r="V5932" s="19">
        <f>IF($B5932="","",TEXT($B5932,"0000"))</f>
        <v/>
      </c>
      <c r="W5932" s="19">
        <f>IF($I5932="","",IF(ISNUMBER($I5932),TEXT($I5932,"0"),$I5932))</f>
        <v/>
      </c>
    </row>
    <row r="5933">
      <c r="B5933" s="25" t="n"/>
      <c r="I5933" s="25" t="n"/>
      <c r="U5933" s="19">
        <f>IF(AND($V5933='設定'!$C$4,COUNTIF('商品マスタ'!$B$6:$B$1005,$W5933)=0),N(U5932)+1,N(U5932))</f>
        <v/>
      </c>
      <c r="V5933" s="19">
        <f>IF($B5933="","",TEXT($B5933,"0000"))</f>
        <v/>
      </c>
      <c r="W5933" s="19">
        <f>IF($I5933="","",IF(ISNUMBER($I5933),TEXT($I5933,"0"),$I5933))</f>
        <v/>
      </c>
    </row>
    <row r="5934">
      <c r="B5934" s="25" t="n"/>
      <c r="I5934" s="25" t="n"/>
      <c r="U5934" s="19">
        <f>IF(AND($V5934='設定'!$C$4,COUNTIF('商品マスタ'!$B$6:$B$1005,$W5934)=0),N(U5933)+1,N(U5933))</f>
        <v/>
      </c>
      <c r="V5934" s="19">
        <f>IF($B5934="","",TEXT($B5934,"0000"))</f>
        <v/>
      </c>
      <c r="W5934" s="19">
        <f>IF($I5934="","",IF(ISNUMBER($I5934),TEXT($I5934,"0"),$I5934))</f>
        <v/>
      </c>
    </row>
    <row r="5935">
      <c r="B5935" s="25" t="n"/>
      <c r="I5935" s="25" t="n"/>
      <c r="U5935" s="19">
        <f>IF(AND($V5935='設定'!$C$4,COUNTIF('商品マスタ'!$B$6:$B$1005,$W5935)=0),N(U5934)+1,N(U5934))</f>
        <v/>
      </c>
      <c r="V5935" s="19">
        <f>IF($B5935="","",TEXT($B5935,"0000"))</f>
        <v/>
      </c>
      <c r="W5935" s="19">
        <f>IF($I5935="","",IF(ISNUMBER($I5935),TEXT($I5935,"0"),$I5935))</f>
        <v/>
      </c>
    </row>
    <row r="5936">
      <c r="B5936" s="25" t="n"/>
      <c r="I5936" s="25" t="n"/>
      <c r="U5936" s="19">
        <f>IF(AND($V5936='設定'!$C$4,COUNTIF('商品マスタ'!$B$6:$B$1005,$W5936)=0),N(U5935)+1,N(U5935))</f>
        <v/>
      </c>
      <c r="V5936" s="19">
        <f>IF($B5936="","",TEXT($B5936,"0000"))</f>
        <v/>
      </c>
      <c r="W5936" s="19">
        <f>IF($I5936="","",IF(ISNUMBER($I5936),TEXT($I5936,"0"),$I5936))</f>
        <v/>
      </c>
    </row>
    <row r="5937">
      <c r="B5937" s="25" t="n"/>
      <c r="I5937" s="25" t="n"/>
      <c r="U5937" s="19">
        <f>IF(AND($V5937='設定'!$C$4,COUNTIF('商品マスタ'!$B$6:$B$1005,$W5937)=0),N(U5936)+1,N(U5936))</f>
        <v/>
      </c>
      <c r="V5937" s="19">
        <f>IF($B5937="","",TEXT($B5937,"0000"))</f>
        <v/>
      </c>
      <c r="W5937" s="19">
        <f>IF($I5937="","",IF(ISNUMBER($I5937),TEXT($I5937,"0"),$I5937))</f>
        <v/>
      </c>
    </row>
    <row r="5938">
      <c r="B5938" s="25" t="n"/>
      <c r="I5938" s="25" t="n"/>
      <c r="U5938" s="19">
        <f>IF(AND($V5938='設定'!$C$4,COUNTIF('商品マスタ'!$B$6:$B$1005,$W5938)=0),N(U5937)+1,N(U5937))</f>
        <v/>
      </c>
      <c r="V5938" s="19">
        <f>IF($B5938="","",TEXT($B5938,"0000"))</f>
        <v/>
      </c>
      <c r="W5938" s="19">
        <f>IF($I5938="","",IF(ISNUMBER($I5938),TEXT($I5938,"0"),$I5938))</f>
        <v/>
      </c>
    </row>
    <row r="5939">
      <c r="B5939" s="25" t="n"/>
      <c r="I5939" s="25" t="n"/>
      <c r="U5939" s="19">
        <f>IF(AND($V5939='設定'!$C$4,COUNTIF('商品マスタ'!$B$6:$B$1005,$W5939)=0),N(U5938)+1,N(U5938))</f>
        <v/>
      </c>
      <c r="V5939" s="19">
        <f>IF($B5939="","",TEXT($B5939,"0000"))</f>
        <v/>
      </c>
      <c r="W5939" s="19">
        <f>IF($I5939="","",IF(ISNUMBER($I5939),TEXT($I5939,"0"),$I5939))</f>
        <v/>
      </c>
    </row>
    <row r="5940">
      <c r="B5940" s="25" t="n"/>
      <c r="I5940" s="25" t="n"/>
      <c r="U5940" s="19">
        <f>IF(AND($V5940='設定'!$C$4,COUNTIF('商品マスタ'!$B$6:$B$1005,$W5940)=0),N(U5939)+1,N(U5939))</f>
        <v/>
      </c>
      <c r="V5940" s="19">
        <f>IF($B5940="","",TEXT($B5940,"0000"))</f>
        <v/>
      </c>
      <c r="W5940" s="19">
        <f>IF($I5940="","",IF(ISNUMBER($I5940),TEXT($I5940,"0"),$I5940))</f>
        <v/>
      </c>
    </row>
    <row r="5941">
      <c r="B5941" s="25" t="n"/>
      <c r="I5941" s="25" t="n"/>
      <c r="U5941" s="19">
        <f>IF(AND($V5941='設定'!$C$4,COUNTIF('商品マスタ'!$B$6:$B$1005,$W5941)=0),N(U5940)+1,N(U5940))</f>
        <v/>
      </c>
      <c r="V5941" s="19">
        <f>IF($B5941="","",TEXT($B5941,"0000"))</f>
        <v/>
      </c>
      <c r="W5941" s="19">
        <f>IF($I5941="","",IF(ISNUMBER($I5941),TEXT($I5941,"0"),$I5941))</f>
        <v/>
      </c>
    </row>
    <row r="5942">
      <c r="B5942" s="25" t="n"/>
      <c r="I5942" s="25" t="n"/>
      <c r="U5942" s="19">
        <f>IF(AND($V5942='設定'!$C$4,COUNTIF('商品マスタ'!$B$6:$B$1005,$W5942)=0),N(U5941)+1,N(U5941))</f>
        <v/>
      </c>
      <c r="V5942" s="19">
        <f>IF($B5942="","",TEXT($B5942,"0000"))</f>
        <v/>
      </c>
      <c r="W5942" s="19">
        <f>IF($I5942="","",IF(ISNUMBER($I5942),TEXT($I5942,"0"),$I5942))</f>
        <v/>
      </c>
    </row>
    <row r="5943">
      <c r="B5943" s="25" t="n"/>
      <c r="I5943" s="25" t="n"/>
      <c r="U5943" s="19">
        <f>IF(AND($V5943='設定'!$C$4,COUNTIF('商品マスタ'!$B$6:$B$1005,$W5943)=0),N(U5942)+1,N(U5942))</f>
        <v/>
      </c>
      <c r="V5943" s="19">
        <f>IF($B5943="","",TEXT($B5943,"0000"))</f>
        <v/>
      </c>
      <c r="W5943" s="19">
        <f>IF($I5943="","",IF(ISNUMBER($I5943),TEXT($I5943,"0"),$I5943))</f>
        <v/>
      </c>
    </row>
    <row r="5944">
      <c r="B5944" s="25" t="n"/>
      <c r="I5944" s="25" t="n"/>
      <c r="U5944" s="19">
        <f>IF(AND($V5944='設定'!$C$4,COUNTIF('商品マスタ'!$B$6:$B$1005,$W5944)=0),N(U5943)+1,N(U5943))</f>
        <v/>
      </c>
      <c r="V5944" s="19">
        <f>IF($B5944="","",TEXT($B5944,"0000"))</f>
        <v/>
      </c>
      <c r="W5944" s="19">
        <f>IF($I5944="","",IF(ISNUMBER($I5944),TEXT($I5944,"0"),$I5944))</f>
        <v/>
      </c>
    </row>
    <row r="5945">
      <c r="B5945" s="25" t="n"/>
      <c r="I5945" s="25" t="n"/>
      <c r="U5945" s="19">
        <f>IF(AND($V5945='設定'!$C$4,COUNTIF('商品マスタ'!$B$6:$B$1005,$W5945)=0),N(U5944)+1,N(U5944))</f>
        <v/>
      </c>
      <c r="V5945" s="19">
        <f>IF($B5945="","",TEXT($B5945,"0000"))</f>
        <v/>
      </c>
      <c r="W5945" s="19">
        <f>IF($I5945="","",IF(ISNUMBER($I5945),TEXT($I5945,"0"),$I5945))</f>
        <v/>
      </c>
    </row>
    <row r="5946">
      <c r="B5946" s="25" t="n"/>
      <c r="I5946" s="25" t="n"/>
      <c r="U5946" s="19">
        <f>IF(AND($V5946='設定'!$C$4,COUNTIF('商品マスタ'!$B$6:$B$1005,$W5946)=0),N(U5945)+1,N(U5945))</f>
        <v/>
      </c>
      <c r="V5946" s="19">
        <f>IF($B5946="","",TEXT($B5946,"0000"))</f>
        <v/>
      </c>
      <c r="W5946" s="19">
        <f>IF($I5946="","",IF(ISNUMBER($I5946),TEXT($I5946,"0"),$I5946))</f>
        <v/>
      </c>
    </row>
    <row r="5947">
      <c r="B5947" s="25" t="n"/>
      <c r="I5947" s="25" t="n"/>
      <c r="U5947" s="19">
        <f>IF(AND($V5947='設定'!$C$4,COUNTIF('商品マスタ'!$B$6:$B$1005,$W5947)=0),N(U5946)+1,N(U5946))</f>
        <v/>
      </c>
      <c r="V5947" s="19">
        <f>IF($B5947="","",TEXT($B5947,"0000"))</f>
        <v/>
      </c>
      <c r="W5947" s="19">
        <f>IF($I5947="","",IF(ISNUMBER($I5947),TEXT($I5947,"0"),$I5947))</f>
        <v/>
      </c>
    </row>
    <row r="5948">
      <c r="B5948" s="25" t="n"/>
      <c r="I5948" s="25" t="n"/>
      <c r="U5948" s="19">
        <f>IF(AND($V5948='設定'!$C$4,COUNTIF('商品マスタ'!$B$6:$B$1005,$W5948)=0),N(U5947)+1,N(U5947))</f>
        <v/>
      </c>
      <c r="V5948" s="19">
        <f>IF($B5948="","",TEXT($B5948,"0000"))</f>
        <v/>
      </c>
      <c r="W5948" s="19">
        <f>IF($I5948="","",IF(ISNUMBER($I5948),TEXT($I5948,"0"),$I5948))</f>
        <v/>
      </c>
    </row>
    <row r="5949">
      <c r="B5949" s="25" t="n"/>
      <c r="I5949" s="25" t="n"/>
      <c r="U5949" s="19">
        <f>IF(AND($V5949='設定'!$C$4,COUNTIF('商品マスタ'!$B$6:$B$1005,$W5949)=0),N(U5948)+1,N(U5948))</f>
        <v/>
      </c>
      <c r="V5949" s="19">
        <f>IF($B5949="","",TEXT($B5949,"0000"))</f>
        <v/>
      </c>
      <c r="W5949" s="19">
        <f>IF($I5949="","",IF(ISNUMBER($I5949),TEXT($I5949,"0"),$I5949))</f>
        <v/>
      </c>
    </row>
    <row r="5950">
      <c r="B5950" s="25" t="n"/>
      <c r="I5950" s="25" t="n"/>
      <c r="U5950" s="19">
        <f>IF(AND($V5950='設定'!$C$4,COUNTIF('商品マスタ'!$B$6:$B$1005,$W5950)=0),N(U5949)+1,N(U5949))</f>
        <v/>
      </c>
      <c r="V5950" s="19">
        <f>IF($B5950="","",TEXT($B5950,"0000"))</f>
        <v/>
      </c>
      <c r="W5950" s="19">
        <f>IF($I5950="","",IF(ISNUMBER($I5950),TEXT($I5950,"0"),$I5950))</f>
        <v/>
      </c>
    </row>
    <row r="5951">
      <c r="B5951" s="25" t="n"/>
      <c r="I5951" s="25" t="n"/>
      <c r="U5951" s="19">
        <f>IF(AND($V5951='設定'!$C$4,COUNTIF('商品マスタ'!$B$6:$B$1005,$W5951)=0),N(U5950)+1,N(U5950))</f>
        <v/>
      </c>
      <c r="V5951" s="19">
        <f>IF($B5951="","",TEXT($B5951,"0000"))</f>
        <v/>
      </c>
      <c r="W5951" s="19">
        <f>IF($I5951="","",IF(ISNUMBER($I5951),TEXT($I5951,"0"),$I5951))</f>
        <v/>
      </c>
    </row>
    <row r="5952">
      <c r="B5952" s="25" t="n"/>
      <c r="I5952" s="25" t="n"/>
      <c r="U5952" s="19">
        <f>IF(AND($V5952='設定'!$C$4,COUNTIF('商品マスタ'!$B$6:$B$1005,$W5952)=0),N(U5951)+1,N(U5951))</f>
        <v/>
      </c>
      <c r="V5952" s="19">
        <f>IF($B5952="","",TEXT($B5952,"0000"))</f>
        <v/>
      </c>
      <c r="W5952" s="19">
        <f>IF($I5952="","",IF(ISNUMBER($I5952),TEXT($I5952,"0"),$I5952))</f>
        <v/>
      </c>
    </row>
    <row r="5953">
      <c r="B5953" s="25" t="n"/>
      <c r="I5953" s="25" t="n"/>
      <c r="U5953" s="19">
        <f>IF(AND($V5953='設定'!$C$4,COUNTIF('商品マスタ'!$B$6:$B$1005,$W5953)=0),N(U5952)+1,N(U5952))</f>
        <v/>
      </c>
      <c r="V5953" s="19">
        <f>IF($B5953="","",TEXT($B5953,"0000"))</f>
        <v/>
      </c>
      <c r="W5953" s="19">
        <f>IF($I5953="","",IF(ISNUMBER($I5953),TEXT($I5953,"0"),$I5953))</f>
        <v/>
      </c>
    </row>
    <row r="5954">
      <c r="B5954" s="25" t="n"/>
      <c r="I5954" s="25" t="n"/>
      <c r="U5954" s="19">
        <f>IF(AND($V5954='設定'!$C$4,COUNTIF('商品マスタ'!$B$6:$B$1005,$W5954)=0),N(U5953)+1,N(U5953))</f>
        <v/>
      </c>
      <c r="V5954" s="19">
        <f>IF($B5954="","",TEXT($B5954,"0000"))</f>
        <v/>
      </c>
      <c r="W5954" s="19">
        <f>IF($I5954="","",IF(ISNUMBER($I5954),TEXT($I5954,"0"),$I5954))</f>
        <v/>
      </c>
    </row>
    <row r="5955">
      <c r="B5955" s="25" t="n"/>
      <c r="I5955" s="25" t="n"/>
      <c r="U5955" s="19">
        <f>IF(AND($V5955='設定'!$C$4,COUNTIF('商品マスタ'!$B$6:$B$1005,$W5955)=0),N(U5954)+1,N(U5954))</f>
        <v/>
      </c>
      <c r="V5955" s="19">
        <f>IF($B5955="","",TEXT($B5955,"0000"))</f>
        <v/>
      </c>
      <c r="W5955" s="19">
        <f>IF($I5955="","",IF(ISNUMBER($I5955),TEXT($I5955,"0"),$I5955))</f>
        <v/>
      </c>
    </row>
    <row r="5956">
      <c r="B5956" s="25" t="n"/>
      <c r="I5956" s="25" t="n"/>
      <c r="U5956" s="19">
        <f>IF(AND($V5956='設定'!$C$4,COUNTIF('商品マスタ'!$B$6:$B$1005,$W5956)=0),N(U5955)+1,N(U5955))</f>
        <v/>
      </c>
      <c r="V5956" s="19">
        <f>IF($B5956="","",TEXT($B5956,"0000"))</f>
        <v/>
      </c>
      <c r="W5956" s="19">
        <f>IF($I5956="","",IF(ISNUMBER($I5956),TEXT($I5956,"0"),$I5956))</f>
        <v/>
      </c>
    </row>
    <row r="5957">
      <c r="B5957" s="25" t="n"/>
      <c r="I5957" s="25" t="n"/>
      <c r="U5957" s="19">
        <f>IF(AND($V5957='設定'!$C$4,COUNTIF('商品マスタ'!$B$6:$B$1005,$W5957)=0),N(U5956)+1,N(U5956))</f>
        <v/>
      </c>
      <c r="V5957" s="19">
        <f>IF($B5957="","",TEXT($B5957,"0000"))</f>
        <v/>
      </c>
      <c r="W5957" s="19">
        <f>IF($I5957="","",IF(ISNUMBER($I5957),TEXT($I5957,"0"),$I5957))</f>
        <v/>
      </c>
    </row>
    <row r="5958">
      <c r="B5958" s="25" t="n"/>
      <c r="I5958" s="25" t="n"/>
      <c r="U5958" s="19">
        <f>IF(AND($V5958='設定'!$C$4,COUNTIF('商品マスタ'!$B$6:$B$1005,$W5958)=0),N(U5957)+1,N(U5957))</f>
        <v/>
      </c>
      <c r="V5958" s="19">
        <f>IF($B5958="","",TEXT($B5958,"0000"))</f>
        <v/>
      </c>
      <c r="W5958" s="19">
        <f>IF($I5958="","",IF(ISNUMBER($I5958),TEXT($I5958,"0"),$I5958))</f>
        <v/>
      </c>
    </row>
    <row r="5959">
      <c r="B5959" s="25" t="n"/>
      <c r="I5959" s="25" t="n"/>
      <c r="U5959" s="19">
        <f>IF(AND($V5959='設定'!$C$4,COUNTIF('商品マスタ'!$B$6:$B$1005,$W5959)=0),N(U5958)+1,N(U5958))</f>
        <v/>
      </c>
      <c r="V5959" s="19">
        <f>IF($B5959="","",TEXT($B5959,"0000"))</f>
        <v/>
      </c>
      <c r="W5959" s="19">
        <f>IF($I5959="","",IF(ISNUMBER($I5959),TEXT($I5959,"0"),$I5959))</f>
        <v/>
      </c>
    </row>
    <row r="5960">
      <c r="B5960" s="25" t="n"/>
      <c r="I5960" s="25" t="n"/>
      <c r="U5960" s="19">
        <f>IF(AND($V5960='設定'!$C$4,COUNTIF('商品マスタ'!$B$6:$B$1005,$W5960)=0),N(U5959)+1,N(U5959))</f>
        <v/>
      </c>
      <c r="V5960" s="19">
        <f>IF($B5960="","",TEXT($B5960,"0000"))</f>
        <v/>
      </c>
      <c r="W5960" s="19">
        <f>IF($I5960="","",IF(ISNUMBER($I5960),TEXT($I5960,"0"),$I5960))</f>
        <v/>
      </c>
    </row>
    <row r="5961">
      <c r="B5961" s="25" t="n"/>
      <c r="I5961" s="25" t="n"/>
      <c r="U5961" s="19">
        <f>IF(AND($V5961='設定'!$C$4,COUNTIF('商品マスタ'!$B$6:$B$1005,$W5961)=0),N(U5960)+1,N(U5960))</f>
        <v/>
      </c>
      <c r="V5961" s="19">
        <f>IF($B5961="","",TEXT($B5961,"0000"))</f>
        <v/>
      </c>
      <c r="W5961" s="19">
        <f>IF($I5961="","",IF(ISNUMBER($I5961),TEXT($I5961,"0"),$I5961))</f>
        <v/>
      </c>
    </row>
    <row r="5962">
      <c r="B5962" s="25" t="n"/>
      <c r="I5962" s="25" t="n"/>
      <c r="U5962" s="19">
        <f>IF(AND($V5962='設定'!$C$4,COUNTIF('商品マスタ'!$B$6:$B$1005,$W5962)=0),N(U5961)+1,N(U5961))</f>
        <v/>
      </c>
      <c r="V5962" s="19">
        <f>IF($B5962="","",TEXT($B5962,"0000"))</f>
        <v/>
      </c>
      <c r="W5962" s="19">
        <f>IF($I5962="","",IF(ISNUMBER($I5962),TEXT($I5962,"0"),$I5962))</f>
        <v/>
      </c>
    </row>
    <row r="5963">
      <c r="B5963" s="25" t="n"/>
      <c r="I5963" s="25" t="n"/>
      <c r="U5963" s="19">
        <f>IF(AND($V5963='設定'!$C$4,COUNTIF('商品マスタ'!$B$6:$B$1005,$W5963)=0),N(U5962)+1,N(U5962))</f>
        <v/>
      </c>
      <c r="V5963" s="19">
        <f>IF($B5963="","",TEXT($B5963,"0000"))</f>
        <v/>
      </c>
      <c r="W5963" s="19">
        <f>IF($I5963="","",IF(ISNUMBER($I5963),TEXT($I5963,"0"),$I5963))</f>
        <v/>
      </c>
    </row>
    <row r="5964">
      <c r="B5964" s="25" t="n"/>
      <c r="I5964" s="25" t="n"/>
      <c r="U5964" s="19">
        <f>IF(AND($V5964='設定'!$C$4,COUNTIF('商品マスタ'!$B$6:$B$1005,$W5964)=0),N(U5963)+1,N(U5963))</f>
        <v/>
      </c>
      <c r="V5964" s="19">
        <f>IF($B5964="","",TEXT($B5964,"0000"))</f>
        <v/>
      </c>
      <c r="W5964" s="19">
        <f>IF($I5964="","",IF(ISNUMBER($I5964),TEXT($I5964,"0"),$I5964))</f>
        <v/>
      </c>
    </row>
    <row r="5965">
      <c r="B5965" s="25" t="n"/>
      <c r="I5965" s="25" t="n"/>
      <c r="U5965" s="19">
        <f>IF(AND($V5965='設定'!$C$4,COUNTIF('商品マスタ'!$B$6:$B$1005,$W5965)=0),N(U5964)+1,N(U5964))</f>
        <v/>
      </c>
      <c r="V5965" s="19">
        <f>IF($B5965="","",TEXT($B5965,"0000"))</f>
        <v/>
      </c>
      <c r="W5965" s="19">
        <f>IF($I5965="","",IF(ISNUMBER($I5965),TEXT($I5965,"0"),$I5965))</f>
        <v/>
      </c>
    </row>
    <row r="5966">
      <c r="B5966" s="25" t="n"/>
      <c r="I5966" s="25" t="n"/>
      <c r="U5966" s="19">
        <f>IF(AND($V5966='設定'!$C$4,COUNTIF('商品マスタ'!$B$6:$B$1005,$W5966)=0),N(U5965)+1,N(U5965))</f>
        <v/>
      </c>
      <c r="V5966" s="19">
        <f>IF($B5966="","",TEXT($B5966,"0000"))</f>
        <v/>
      </c>
      <c r="W5966" s="19">
        <f>IF($I5966="","",IF(ISNUMBER($I5966),TEXT($I5966,"0"),$I5966))</f>
        <v/>
      </c>
    </row>
    <row r="5967">
      <c r="B5967" s="25" t="n"/>
      <c r="I5967" s="25" t="n"/>
      <c r="U5967" s="19">
        <f>IF(AND($V5967='設定'!$C$4,COUNTIF('商品マスタ'!$B$6:$B$1005,$W5967)=0),N(U5966)+1,N(U5966))</f>
        <v/>
      </c>
      <c r="V5967" s="19">
        <f>IF($B5967="","",TEXT($B5967,"0000"))</f>
        <v/>
      </c>
      <c r="W5967" s="19">
        <f>IF($I5967="","",IF(ISNUMBER($I5967),TEXT($I5967,"0"),$I5967))</f>
        <v/>
      </c>
    </row>
    <row r="5968">
      <c r="B5968" s="25" t="n"/>
      <c r="I5968" s="25" t="n"/>
      <c r="U5968" s="19">
        <f>IF(AND($V5968='設定'!$C$4,COUNTIF('商品マスタ'!$B$6:$B$1005,$W5968)=0),N(U5967)+1,N(U5967))</f>
        <v/>
      </c>
      <c r="V5968" s="19">
        <f>IF($B5968="","",TEXT($B5968,"0000"))</f>
        <v/>
      </c>
      <c r="W5968" s="19">
        <f>IF($I5968="","",IF(ISNUMBER($I5968),TEXT($I5968,"0"),$I5968))</f>
        <v/>
      </c>
    </row>
    <row r="5969">
      <c r="B5969" s="25" t="n"/>
      <c r="I5969" s="25" t="n"/>
      <c r="U5969" s="19">
        <f>IF(AND($V5969='設定'!$C$4,COUNTIF('商品マスタ'!$B$6:$B$1005,$W5969)=0),N(U5968)+1,N(U5968))</f>
        <v/>
      </c>
      <c r="V5969" s="19">
        <f>IF($B5969="","",TEXT($B5969,"0000"))</f>
        <v/>
      </c>
      <c r="W5969" s="19">
        <f>IF($I5969="","",IF(ISNUMBER($I5969),TEXT($I5969,"0"),$I5969))</f>
        <v/>
      </c>
    </row>
    <row r="5970">
      <c r="B5970" s="25" t="n"/>
      <c r="I5970" s="25" t="n"/>
      <c r="U5970" s="19">
        <f>IF(AND($V5970='設定'!$C$4,COUNTIF('商品マスタ'!$B$6:$B$1005,$W5970)=0),N(U5969)+1,N(U5969))</f>
        <v/>
      </c>
      <c r="V5970" s="19">
        <f>IF($B5970="","",TEXT($B5970,"0000"))</f>
        <v/>
      </c>
      <c r="W5970" s="19">
        <f>IF($I5970="","",IF(ISNUMBER($I5970),TEXT($I5970,"0"),$I5970))</f>
        <v/>
      </c>
    </row>
    <row r="5971">
      <c r="B5971" s="25" t="n"/>
      <c r="I5971" s="25" t="n"/>
      <c r="U5971" s="19">
        <f>IF(AND($V5971='設定'!$C$4,COUNTIF('商品マスタ'!$B$6:$B$1005,$W5971)=0),N(U5970)+1,N(U5970))</f>
        <v/>
      </c>
      <c r="V5971" s="19">
        <f>IF($B5971="","",TEXT($B5971,"0000"))</f>
        <v/>
      </c>
      <c r="W5971" s="19">
        <f>IF($I5971="","",IF(ISNUMBER($I5971),TEXT($I5971,"0"),$I5971))</f>
        <v/>
      </c>
    </row>
    <row r="5972">
      <c r="B5972" s="25" t="n"/>
      <c r="I5972" s="25" t="n"/>
      <c r="U5972" s="19">
        <f>IF(AND($V5972='設定'!$C$4,COUNTIF('商品マスタ'!$B$6:$B$1005,$W5972)=0),N(U5971)+1,N(U5971))</f>
        <v/>
      </c>
      <c r="V5972" s="19">
        <f>IF($B5972="","",TEXT($B5972,"0000"))</f>
        <v/>
      </c>
      <c r="W5972" s="19">
        <f>IF($I5972="","",IF(ISNUMBER($I5972),TEXT($I5972,"0"),$I5972))</f>
        <v/>
      </c>
    </row>
    <row r="5973">
      <c r="B5973" s="25" t="n"/>
      <c r="I5973" s="25" t="n"/>
      <c r="U5973" s="19">
        <f>IF(AND($V5973='設定'!$C$4,COUNTIF('商品マスタ'!$B$6:$B$1005,$W5973)=0),N(U5972)+1,N(U5972))</f>
        <v/>
      </c>
      <c r="V5973" s="19">
        <f>IF($B5973="","",TEXT($B5973,"0000"))</f>
        <v/>
      </c>
      <c r="W5973" s="19">
        <f>IF($I5973="","",IF(ISNUMBER($I5973),TEXT($I5973,"0"),$I5973))</f>
        <v/>
      </c>
    </row>
    <row r="5974">
      <c r="B5974" s="25" t="n"/>
      <c r="I5974" s="25" t="n"/>
      <c r="U5974" s="19">
        <f>IF(AND($V5974='設定'!$C$4,COUNTIF('商品マスタ'!$B$6:$B$1005,$W5974)=0),N(U5973)+1,N(U5973))</f>
        <v/>
      </c>
      <c r="V5974" s="19">
        <f>IF($B5974="","",TEXT($B5974,"0000"))</f>
        <v/>
      </c>
      <c r="W5974" s="19">
        <f>IF($I5974="","",IF(ISNUMBER($I5974),TEXT($I5974,"0"),$I5974))</f>
        <v/>
      </c>
    </row>
    <row r="5975">
      <c r="B5975" s="25" t="n"/>
      <c r="I5975" s="25" t="n"/>
      <c r="U5975" s="19">
        <f>IF(AND($V5975='設定'!$C$4,COUNTIF('商品マスタ'!$B$6:$B$1005,$W5975)=0),N(U5974)+1,N(U5974))</f>
        <v/>
      </c>
      <c r="V5975" s="19">
        <f>IF($B5975="","",TEXT($B5975,"0000"))</f>
        <v/>
      </c>
      <c r="W5975" s="19">
        <f>IF($I5975="","",IF(ISNUMBER($I5975),TEXT($I5975,"0"),$I5975))</f>
        <v/>
      </c>
    </row>
    <row r="5976">
      <c r="B5976" s="25" t="n"/>
      <c r="I5976" s="25" t="n"/>
      <c r="U5976" s="19">
        <f>IF(AND($V5976='設定'!$C$4,COUNTIF('商品マスタ'!$B$6:$B$1005,$W5976)=0),N(U5975)+1,N(U5975))</f>
        <v/>
      </c>
      <c r="V5976" s="19">
        <f>IF($B5976="","",TEXT($B5976,"0000"))</f>
        <v/>
      </c>
      <c r="W5976" s="19">
        <f>IF($I5976="","",IF(ISNUMBER($I5976),TEXT($I5976,"0"),$I5976))</f>
        <v/>
      </c>
    </row>
    <row r="5977">
      <c r="B5977" s="25" t="n"/>
      <c r="I5977" s="25" t="n"/>
      <c r="U5977" s="19">
        <f>IF(AND($V5977='設定'!$C$4,COUNTIF('商品マスタ'!$B$6:$B$1005,$W5977)=0),N(U5976)+1,N(U5976))</f>
        <v/>
      </c>
      <c r="V5977" s="19">
        <f>IF($B5977="","",TEXT($B5977,"0000"))</f>
        <v/>
      </c>
      <c r="W5977" s="19">
        <f>IF($I5977="","",IF(ISNUMBER($I5977),TEXT($I5977,"0"),$I5977))</f>
        <v/>
      </c>
    </row>
    <row r="5978">
      <c r="B5978" s="25" t="n"/>
      <c r="I5978" s="25" t="n"/>
      <c r="U5978" s="19">
        <f>IF(AND($V5978='設定'!$C$4,COUNTIF('商品マスタ'!$B$6:$B$1005,$W5978)=0),N(U5977)+1,N(U5977))</f>
        <v/>
      </c>
      <c r="V5978" s="19">
        <f>IF($B5978="","",TEXT($B5978,"0000"))</f>
        <v/>
      </c>
      <c r="W5978" s="19">
        <f>IF($I5978="","",IF(ISNUMBER($I5978),TEXT($I5978,"0"),$I5978))</f>
        <v/>
      </c>
    </row>
    <row r="5979">
      <c r="B5979" s="25" t="n"/>
      <c r="I5979" s="25" t="n"/>
      <c r="U5979" s="19">
        <f>IF(AND($V5979='設定'!$C$4,COUNTIF('商品マスタ'!$B$6:$B$1005,$W5979)=0),N(U5978)+1,N(U5978))</f>
        <v/>
      </c>
      <c r="V5979" s="19">
        <f>IF($B5979="","",TEXT($B5979,"0000"))</f>
        <v/>
      </c>
      <c r="W5979" s="19">
        <f>IF($I5979="","",IF(ISNUMBER($I5979),TEXT($I5979,"0"),$I5979))</f>
        <v/>
      </c>
    </row>
    <row r="5980">
      <c r="B5980" s="25" t="n"/>
      <c r="I5980" s="25" t="n"/>
      <c r="U5980" s="19">
        <f>IF(AND($V5980='設定'!$C$4,COUNTIF('商品マスタ'!$B$6:$B$1005,$W5980)=0),N(U5979)+1,N(U5979))</f>
        <v/>
      </c>
      <c r="V5980" s="19">
        <f>IF($B5980="","",TEXT($B5980,"0000"))</f>
        <v/>
      </c>
      <c r="W5980" s="19">
        <f>IF($I5980="","",IF(ISNUMBER($I5980),TEXT($I5980,"0"),$I5980))</f>
        <v/>
      </c>
    </row>
    <row r="5981">
      <c r="B5981" s="25" t="n"/>
      <c r="I5981" s="25" t="n"/>
      <c r="U5981" s="19">
        <f>IF(AND($V5981='設定'!$C$4,COUNTIF('商品マスタ'!$B$6:$B$1005,$W5981)=0),N(U5980)+1,N(U5980))</f>
        <v/>
      </c>
      <c r="V5981" s="19">
        <f>IF($B5981="","",TEXT($B5981,"0000"))</f>
        <v/>
      </c>
      <c r="W5981" s="19">
        <f>IF($I5981="","",IF(ISNUMBER($I5981),TEXT($I5981,"0"),$I5981))</f>
        <v/>
      </c>
    </row>
    <row r="5982">
      <c r="B5982" s="25" t="n"/>
      <c r="I5982" s="25" t="n"/>
      <c r="U5982" s="19">
        <f>IF(AND($V5982='設定'!$C$4,COUNTIF('商品マスタ'!$B$6:$B$1005,$W5982)=0),N(U5981)+1,N(U5981))</f>
        <v/>
      </c>
      <c r="V5982" s="19">
        <f>IF($B5982="","",TEXT($B5982,"0000"))</f>
        <v/>
      </c>
      <c r="W5982" s="19">
        <f>IF($I5982="","",IF(ISNUMBER($I5982),TEXT($I5982,"0"),$I5982))</f>
        <v/>
      </c>
    </row>
    <row r="5983">
      <c r="B5983" s="25" t="n"/>
      <c r="I5983" s="25" t="n"/>
      <c r="U5983" s="19">
        <f>IF(AND($V5983='設定'!$C$4,COUNTIF('商品マスタ'!$B$6:$B$1005,$W5983)=0),N(U5982)+1,N(U5982))</f>
        <v/>
      </c>
      <c r="V5983" s="19">
        <f>IF($B5983="","",TEXT($B5983,"0000"))</f>
        <v/>
      </c>
      <c r="W5983" s="19">
        <f>IF($I5983="","",IF(ISNUMBER($I5983),TEXT($I5983,"0"),$I5983))</f>
        <v/>
      </c>
    </row>
    <row r="5984">
      <c r="B5984" s="25" t="n"/>
      <c r="I5984" s="25" t="n"/>
      <c r="U5984" s="19">
        <f>IF(AND($V5984='設定'!$C$4,COUNTIF('商品マスタ'!$B$6:$B$1005,$W5984)=0),N(U5983)+1,N(U5983))</f>
        <v/>
      </c>
      <c r="V5984" s="19">
        <f>IF($B5984="","",TEXT($B5984,"0000"))</f>
        <v/>
      </c>
      <c r="W5984" s="19">
        <f>IF($I5984="","",IF(ISNUMBER($I5984),TEXT($I5984,"0"),$I5984))</f>
        <v/>
      </c>
    </row>
    <row r="5985">
      <c r="B5985" s="25" t="n"/>
      <c r="I5985" s="25" t="n"/>
      <c r="U5985" s="19">
        <f>IF(AND($V5985='設定'!$C$4,COUNTIF('商品マスタ'!$B$6:$B$1005,$W5985)=0),N(U5984)+1,N(U5984))</f>
        <v/>
      </c>
      <c r="V5985" s="19">
        <f>IF($B5985="","",TEXT($B5985,"0000"))</f>
        <v/>
      </c>
      <c r="W5985" s="19">
        <f>IF($I5985="","",IF(ISNUMBER($I5985),TEXT($I5985,"0"),$I5985))</f>
        <v/>
      </c>
    </row>
    <row r="5986">
      <c r="B5986" s="25" t="n"/>
      <c r="I5986" s="25" t="n"/>
      <c r="U5986" s="19">
        <f>IF(AND($V5986='設定'!$C$4,COUNTIF('商品マスタ'!$B$6:$B$1005,$W5986)=0),N(U5985)+1,N(U5985))</f>
        <v/>
      </c>
      <c r="V5986" s="19">
        <f>IF($B5986="","",TEXT($B5986,"0000"))</f>
        <v/>
      </c>
      <c r="W5986" s="19">
        <f>IF($I5986="","",IF(ISNUMBER($I5986),TEXT($I5986,"0"),$I5986))</f>
        <v/>
      </c>
    </row>
    <row r="5987">
      <c r="B5987" s="25" t="n"/>
      <c r="I5987" s="25" t="n"/>
      <c r="U5987" s="19">
        <f>IF(AND($V5987='設定'!$C$4,COUNTIF('商品マスタ'!$B$6:$B$1005,$W5987)=0),N(U5986)+1,N(U5986))</f>
        <v/>
      </c>
      <c r="V5987" s="19">
        <f>IF($B5987="","",TEXT($B5987,"0000"))</f>
        <v/>
      </c>
      <c r="W5987" s="19">
        <f>IF($I5987="","",IF(ISNUMBER($I5987),TEXT($I5987,"0"),$I5987))</f>
        <v/>
      </c>
    </row>
    <row r="5988">
      <c r="B5988" s="25" t="n"/>
      <c r="I5988" s="25" t="n"/>
      <c r="U5988" s="19">
        <f>IF(AND($V5988='設定'!$C$4,COUNTIF('商品マスタ'!$B$6:$B$1005,$W5988)=0),N(U5987)+1,N(U5987))</f>
        <v/>
      </c>
      <c r="V5988" s="19">
        <f>IF($B5988="","",TEXT($B5988,"0000"))</f>
        <v/>
      </c>
      <c r="W5988" s="19">
        <f>IF($I5988="","",IF(ISNUMBER($I5988),TEXT($I5988,"0"),$I5988))</f>
        <v/>
      </c>
    </row>
    <row r="5989">
      <c r="B5989" s="25" t="n"/>
      <c r="I5989" s="25" t="n"/>
      <c r="U5989" s="19">
        <f>IF(AND($V5989='設定'!$C$4,COUNTIF('商品マスタ'!$B$6:$B$1005,$W5989)=0),N(U5988)+1,N(U5988))</f>
        <v/>
      </c>
      <c r="V5989" s="19">
        <f>IF($B5989="","",TEXT($B5989,"0000"))</f>
        <v/>
      </c>
      <c r="W5989" s="19">
        <f>IF($I5989="","",IF(ISNUMBER($I5989),TEXT($I5989,"0"),$I5989))</f>
        <v/>
      </c>
    </row>
    <row r="5990">
      <c r="B5990" s="25" t="n"/>
      <c r="I5990" s="25" t="n"/>
      <c r="U5990" s="19">
        <f>IF(AND($V5990='設定'!$C$4,COUNTIF('商品マスタ'!$B$6:$B$1005,$W5990)=0),N(U5989)+1,N(U5989))</f>
        <v/>
      </c>
      <c r="V5990" s="19">
        <f>IF($B5990="","",TEXT($B5990,"0000"))</f>
        <v/>
      </c>
      <c r="W5990" s="19">
        <f>IF($I5990="","",IF(ISNUMBER($I5990),TEXT($I5990,"0"),$I5990))</f>
        <v/>
      </c>
    </row>
    <row r="5991">
      <c r="B5991" s="25" t="n"/>
      <c r="I5991" s="25" t="n"/>
      <c r="U5991" s="19">
        <f>IF(AND($V5991='設定'!$C$4,COUNTIF('商品マスタ'!$B$6:$B$1005,$W5991)=0),N(U5990)+1,N(U5990))</f>
        <v/>
      </c>
      <c r="V5991" s="19">
        <f>IF($B5991="","",TEXT($B5991,"0000"))</f>
        <v/>
      </c>
      <c r="W5991" s="19">
        <f>IF($I5991="","",IF(ISNUMBER($I5991),TEXT($I5991,"0"),$I5991))</f>
        <v/>
      </c>
    </row>
    <row r="5992">
      <c r="B5992" s="25" t="n"/>
      <c r="I5992" s="25" t="n"/>
      <c r="U5992" s="19">
        <f>IF(AND($V5992='設定'!$C$4,COUNTIF('商品マスタ'!$B$6:$B$1005,$W5992)=0),N(U5991)+1,N(U5991))</f>
        <v/>
      </c>
      <c r="V5992" s="19">
        <f>IF($B5992="","",TEXT($B5992,"0000"))</f>
        <v/>
      </c>
      <c r="W5992" s="19">
        <f>IF($I5992="","",IF(ISNUMBER($I5992),TEXT($I5992,"0"),$I5992))</f>
        <v/>
      </c>
    </row>
    <row r="5993">
      <c r="B5993" s="25" t="n"/>
      <c r="I5993" s="25" t="n"/>
      <c r="U5993" s="19">
        <f>IF(AND($V5993='設定'!$C$4,COUNTIF('商品マスタ'!$B$6:$B$1005,$W5993)=0),N(U5992)+1,N(U5992))</f>
        <v/>
      </c>
      <c r="V5993" s="19">
        <f>IF($B5993="","",TEXT($B5993,"0000"))</f>
        <v/>
      </c>
      <c r="W5993" s="19">
        <f>IF($I5993="","",IF(ISNUMBER($I5993),TEXT($I5993,"0"),$I5993))</f>
        <v/>
      </c>
    </row>
    <row r="5994">
      <c r="B5994" s="25" t="n"/>
      <c r="I5994" s="25" t="n"/>
      <c r="U5994" s="19">
        <f>IF(AND($V5994='設定'!$C$4,COUNTIF('商品マスタ'!$B$6:$B$1005,$W5994)=0),N(U5993)+1,N(U5993))</f>
        <v/>
      </c>
      <c r="V5994" s="19">
        <f>IF($B5994="","",TEXT($B5994,"0000"))</f>
        <v/>
      </c>
      <c r="W5994" s="19">
        <f>IF($I5994="","",IF(ISNUMBER($I5994),TEXT($I5994,"0"),$I5994))</f>
        <v/>
      </c>
    </row>
    <row r="5995">
      <c r="B5995" s="25" t="n"/>
      <c r="I5995" s="25" t="n"/>
      <c r="U5995" s="19">
        <f>IF(AND($V5995='設定'!$C$4,COUNTIF('商品マスタ'!$B$6:$B$1005,$W5995)=0),N(U5994)+1,N(U5994))</f>
        <v/>
      </c>
      <c r="V5995" s="19">
        <f>IF($B5995="","",TEXT($B5995,"0000"))</f>
        <v/>
      </c>
      <c r="W5995" s="19">
        <f>IF($I5995="","",IF(ISNUMBER($I5995),TEXT($I5995,"0"),$I5995))</f>
        <v/>
      </c>
    </row>
    <row r="5996">
      <c r="B5996" s="25" t="n"/>
      <c r="I5996" s="25" t="n"/>
      <c r="U5996" s="19">
        <f>IF(AND($V5996='設定'!$C$4,COUNTIF('商品マスタ'!$B$6:$B$1005,$W5996)=0),N(U5995)+1,N(U5995))</f>
        <v/>
      </c>
      <c r="V5996" s="19">
        <f>IF($B5996="","",TEXT($B5996,"0000"))</f>
        <v/>
      </c>
      <c r="W5996" s="19">
        <f>IF($I5996="","",IF(ISNUMBER($I5996),TEXT($I5996,"0"),$I5996))</f>
        <v/>
      </c>
    </row>
    <row r="5997">
      <c r="B5997" s="25" t="n"/>
      <c r="I5997" s="25" t="n"/>
      <c r="U5997" s="19">
        <f>IF(AND($V5997='設定'!$C$4,COUNTIF('商品マスタ'!$B$6:$B$1005,$W5997)=0),N(U5996)+1,N(U5996))</f>
        <v/>
      </c>
      <c r="V5997" s="19">
        <f>IF($B5997="","",TEXT($B5997,"0000"))</f>
        <v/>
      </c>
      <c r="W5997" s="19">
        <f>IF($I5997="","",IF(ISNUMBER($I5997),TEXT($I5997,"0"),$I5997))</f>
        <v/>
      </c>
    </row>
    <row r="5998">
      <c r="B5998" s="25" t="n"/>
      <c r="I5998" s="25" t="n"/>
      <c r="U5998" s="19">
        <f>IF(AND($V5998='設定'!$C$4,COUNTIF('商品マスタ'!$B$6:$B$1005,$W5998)=0),N(U5997)+1,N(U5997))</f>
        <v/>
      </c>
      <c r="V5998" s="19">
        <f>IF($B5998="","",TEXT($B5998,"0000"))</f>
        <v/>
      </c>
      <c r="W5998" s="19">
        <f>IF($I5998="","",IF(ISNUMBER($I5998),TEXT($I5998,"0"),$I5998))</f>
        <v/>
      </c>
    </row>
    <row r="5999">
      <c r="B5999" s="25" t="n"/>
      <c r="I5999" s="25" t="n"/>
      <c r="U5999" s="19">
        <f>IF(AND($V5999='設定'!$C$4,COUNTIF('商品マスタ'!$B$6:$B$1005,$W5999)=0),N(U5998)+1,N(U5998))</f>
        <v/>
      </c>
      <c r="V5999" s="19">
        <f>IF($B5999="","",TEXT($B5999,"0000"))</f>
        <v/>
      </c>
      <c r="W5999" s="19">
        <f>IF($I5999="","",IF(ISNUMBER($I5999),TEXT($I5999,"0"),$I5999))</f>
        <v/>
      </c>
    </row>
    <row r="6000">
      <c r="B6000" s="25" t="n"/>
      <c r="I6000" s="25" t="n"/>
      <c r="U6000" s="19">
        <f>IF(AND($V6000='設定'!$C$4,COUNTIF('商品マスタ'!$B$6:$B$1005,$W6000)=0),N(U5999)+1,N(U5999))</f>
        <v/>
      </c>
      <c r="V6000" s="19">
        <f>IF($B6000="","",TEXT($B6000,"0000"))</f>
        <v/>
      </c>
      <c r="W6000" s="19">
        <f>IF($I6000="","",IF(ISNUMBER($I6000),TEXT($I6000,"0"),$I6000))</f>
        <v/>
      </c>
    </row>
    <row r="6001">
      <c r="B6001" s="25" t="n"/>
      <c r="I6001" s="25" t="n"/>
      <c r="U6001" s="19">
        <f>IF(AND($V6001='設定'!$C$4,COUNTIF('商品マスタ'!$B$6:$B$1005,$W6001)=0),N(U6000)+1,N(U6000))</f>
        <v/>
      </c>
      <c r="V6001" s="19">
        <f>IF($B6001="","",TEXT($B6001,"0000"))</f>
        <v/>
      </c>
      <c r="W6001" s="19">
        <f>IF($I6001="","",IF(ISNUMBER($I6001),TEXT($I6001,"0"),$I6001))</f>
        <v/>
      </c>
    </row>
    <row r="6002">
      <c r="B6002" s="25" t="n"/>
      <c r="I6002" s="25" t="n"/>
      <c r="U6002" s="19">
        <f>IF(AND($V6002='設定'!$C$4,COUNTIF('商品マスタ'!$B$6:$B$1005,$W6002)=0),N(U6001)+1,N(U6001))</f>
        <v/>
      </c>
      <c r="V6002" s="19">
        <f>IF($B6002="","",TEXT($B6002,"0000"))</f>
        <v/>
      </c>
      <c r="W6002" s="19">
        <f>IF($I6002="","",IF(ISNUMBER($I6002),TEXT($I6002,"0"),$I6002))</f>
        <v/>
      </c>
    </row>
    <row r="6003">
      <c r="B6003" s="25" t="n"/>
      <c r="I6003" s="25" t="n"/>
      <c r="U6003" s="19">
        <f>IF(AND($V6003='設定'!$C$4,COUNTIF('商品マスタ'!$B$6:$B$1005,$W6003)=0),N(U6002)+1,N(U6002))</f>
        <v/>
      </c>
      <c r="V6003" s="19">
        <f>IF($B6003="","",TEXT($B6003,"0000"))</f>
        <v/>
      </c>
      <c r="W6003" s="19">
        <f>IF($I6003="","",IF(ISNUMBER($I6003),TEXT($I6003,"0"),$I6003))</f>
        <v/>
      </c>
    </row>
    <row r="6004">
      <c r="B6004" s="25" t="n"/>
      <c r="I6004" s="25" t="n"/>
      <c r="U6004" s="19">
        <f>IF(AND($V6004='設定'!$C$4,COUNTIF('商品マスタ'!$B$6:$B$1005,$W6004)=0),N(U6003)+1,N(U6003))</f>
        <v/>
      </c>
      <c r="V6004" s="19">
        <f>IF($B6004="","",TEXT($B6004,"0000"))</f>
        <v/>
      </c>
      <c r="W6004" s="19">
        <f>IF($I6004="","",IF(ISNUMBER($I6004),TEXT($I6004,"0"),$I6004))</f>
        <v/>
      </c>
    </row>
    <row r="6005">
      <c r="B6005" s="25" t="n"/>
      <c r="I6005" s="25" t="n"/>
      <c r="U6005" s="19">
        <f>IF(AND($V6005='設定'!$C$4,COUNTIF('商品マスタ'!$B$6:$B$1005,$W6005)=0),N(U6004)+1,N(U6004))</f>
        <v/>
      </c>
      <c r="V6005" s="19">
        <f>IF($B6005="","",TEXT($B6005,"0000"))</f>
        <v/>
      </c>
      <c r="W6005" s="19">
        <f>IF($I6005="","",IF(ISNUMBER($I6005),TEXT($I6005,"0"),$I6005))</f>
        <v/>
      </c>
    </row>
    <row r="6006">
      <c r="B6006" s="25" t="n"/>
      <c r="I6006" s="25" t="n"/>
      <c r="U6006" s="19">
        <f>IF(AND($V6006='設定'!$C$4,COUNTIF('商品マスタ'!$B$6:$B$1005,$W6006)=0),N(U6005)+1,N(U6005))</f>
        <v/>
      </c>
      <c r="V6006" s="19">
        <f>IF($B6006="","",TEXT($B6006,"0000"))</f>
        <v/>
      </c>
      <c r="W6006" s="19">
        <f>IF($I6006="","",IF(ISNUMBER($I6006),TEXT($I6006,"0"),$I6006))</f>
        <v/>
      </c>
    </row>
    <row r="6007">
      <c r="B6007" s="25" t="n"/>
      <c r="I6007" s="25" t="n"/>
      <c r="U6007" s="19">
        <f>IF(AND($V6007='設定'!$C$4,COUNTIF('商品マスタ'!$B$6:$B$1005,$W6007)=0),N(U6006)+1,N(U6006))</f>
        <v/>
      </c>
      <c r="V6007" s="19">
        <f>IF($B6007="","",TEXT($B6007,"0000"))</f>
        <v/>
      </c>
      <c r="W6007" s="19">
        <f>IF($I6007="","",IF(ISNUMBER($I6007),TEXT($I6007,"0"),$I6007))</f>
        <v/>
      </c>
    </row>
    <row r="6008">
      <c r="B6008" s="25" t="n"/>
      <c r="I6008" s="25" t="n"/>
      <c r="U6008" s="19">
        <f>IF(AND($V6008='設定'!$C$4,COUNTIF('商品マスタ'!$B$6:$B$1005,$W6008)=0),N(U6007)+1,N(U6007))</f>
        <v/>
      </c>
      <c r="V6008" s="19">
        <f>IF($B6008="","",TEXT($B6008,"0000"))</f>
        <v/>
      </c>
      <c r="W6008" s="19">
        <f>IF($I6008="","",IF(ISNUMBER($I6008),TEXT($I6008,"0"),$I6008))</f>
        <v/>
      </c>
    </row>
    <row r="6009">
      <c r="B6009" s="25" t="n"/>
      <c r="I6009" s="25" t="n"/>
      <c r="U6009" s="19">
        <f>IF(AND($V6009='設定'!$C$4,COUNTIF('商品マスタ'!$B$6:$B$1005,$W6009)=0),N(U6008)+1,N(U6008))</f>
        <v/>
      </c>
      <c r="V6009" s="19">
        <f>IF($B6009="","",TEXT($B6009,"0000"))</f>
        <v/>
      </c>
      <c r="W6009" s="19">
        <f>IF($I6009="","",IF(ISNUMBER($I6009),TEXT($I6009,"0"),$I6009))</f>
        <v/>
      </c>
    </row>
    <row r="6010">
      <c r="B6010" s="25" t="n"/>
      <c r="I6010" s="25" t="n"/>
      <c r="U6010" s="19">
        <f>IF(AND($V6010='設定'!$C$4,COUNTIF('商品マスタ'!$B$6:$B$1005,$W6010)=0),N(U6009)+1,N(U6009))</f>
        <v/>
      </c>
      <c r="V6010" s="19">
        <f>IF($B6010="","",TEXT($B6010,"0000"))</f>
        <v/>
      </c>
      <c r="W6010" s="19">
        <f>IF($I6010="","",IF(ISNUMBER($I6010),TEXT($I6010,"0"),$I6010))</f>
        <v/>
      </c>
    </row>
    <row r="6011">
      <c r="B6011" s="25" t="n"/>
      <c r="I6011" s="25" t="n"/>
      <c r="U6011" s="19">
        <f>IF(AND($V6011='設定'!$C$4,COUNTIF('商品マスタ'!$B$6:$B$1005,$W6011)=0),N(U6010)+1,N(U6010))</f>
        <v/>
      </c>
      <c r="V6011" s="19">
        <f>IF($B6011="","",TEXT($B6011,"0000"))</f>
        <v/>
      </c>
      <c r="W6011" s="19">
        <f>IF($I6011="","",IF(ISNUMBER($I6011),TEXT($I6011,"0"),$I6011))</f>
        <v/>
      </c>
    </row>
    <row r="6012">
      <c r="B6012" s="25" t="n"/>
      <c r="I6012" s="25" t="n"/>
      <c r="U6012" s="19">
        <f>IF(AND($V6012='設定'!$C$4,COUNTIF('商品マスタ'!$B$6:$B$1005,$W6012)=0),N(U6011)+1,N(U6011))</f>
        <v/>
      </c>
      <c r="V6012" s="19">
        <f>IF($B6012="","",TEXT($B6012,"0000"))</f>
        <v/>
      </c>
      <c r="W6012" s="19">
        <f>IF($I6012="","",IF(ISNUMBER($I6012),TEXT($I6012,"0"),$I6012))</f>
        <v/>
      </c>
    </row>
    <row r="6013">
      <c r="B6013" s="25" t="n"/>
      <c r="I6013" s="25" t="n"/>
      <c r="U6013" s="19">
        <f>IF(AND($V6013='設定'!$C$4,COUNTIF('商品マスタ'!$B$6:$B$1005,$W6013)=0),N(U6012)+1,N(U6012))</f>
        <v/>
      </c>
      <c r="V6013" s="19">
        <f>IF($B6013="","",TEXT($B6013,"0000"))</f>
        <v/>
      </c>
      <c r="W6013" s="19">
        <f>IF($I6013="","",IF(ISNUMBER($I6013),TEXT($I6013,"0"),$I6013))</f>
        <v/>
      </c>
    </row>
    <row r="6014">
      <c r="B6014" s="25" t="n"/>
      <c r="I6014" s="25" t="n"/>
      <c r="U6014" s="19">
        <f>IF(AND($V6014='設定'!$C$4,COUNTIF('商品マスタ'!$B$6:$B$1005,$W6014)=0),N(U6013)+1,N(U6013))</f>
        <v/>
      </c>
      <c r="V6014" s="19">
        <f>IF($B6014="","",TEXT($B6014,"0000"))</f>
        <v/>
      </c>
      <c r="W6014" s="19">
        <f>IF($I6014="","",IF(ISNUMBER($I6014),TEXT($I6014,"0"),$I6014))</f>
        <v/>
      </c>
    </row>
    <row r="6015">
      <c r="B6015" s="25" t="n"/>
      <c r="I6015" s="25" t="n"/>
      <c r="U6015" s="19">
        <f>IF(AND($V6015='設定'!$C$4,COUNTIF('商品マスタ'!$B$6:$B$1005,$W6015)=0),N(U6014)+1,N(U6014))</f>
        <v/>
      </c>
      <c r="V6015" s="19">
        <f>IF($B6015="","",TEXT($B6015,"0000"))</f>
        <v/>
      </c>
      <c r="W6015" s="19">
        <f>IF($I6015="","",IF(ISNUMBER($I6015),TEXT($I6015,"0"),$I6015))</f>
        <v/>
      </c>
    </row>
    <row r="6016">
      <c r="B6016" s="25" t="n"/>
      <c r="I6016" s="25" t="n"/>
      <c r="U6016" s="19">
        <f>IF(AND($V6016='設定'!$C$4,COUNTIF('商品マスタ'!$B$6:$B$1005,$W6016)=0),N(U6015)+1,N(U6015))</f>
        <v/>
      </c>
      <c r="V6016" s="19">
        <f>IF($B6016="","",TEXT($B6016,"0000"))</f>
        <v/>
      </c>
      <c r="W6016" s="19">
        <f>IF($I6016="","",IF(ISNUMBER($I6016),TEXT($I6016,"0"),$I6016))</f>
        <v/>
      </c>
    </row>
    <row r="6017">
      <c r="B6017" s="25" t="n"/>
      <c r="I6017" s="25" t="n"/>
      <c r="U6017" s="19">
        <f>IF(AND($V6017='設定'!$C$4,COUNTIF('商品マスタ'!$B$6:$B$1005,$W6017)=0),N(U6016)+1,N(U6016))</f>
        <v/>
      </c>
      <c r="V6017" s="19">
        <f>IF($B6017="","",TEXT($B6017,"0000"))</f>
        <v/>
      </c>
      <c r="W6017" s="19">
        <f>IF($I6017="","",IF(ISNUMBER($I6017),TEXT($I6017,"0"),$I6017))</f>
        <v/>
      </c>
    </row>
    <row r="6018">
      <c r="B6018" s="25" t="n"/>
      <c r="I6018" s="25" t="n"/>
      <c r="U6018" s="19">
        <f>IF(AND($V6018='設定'!$C$4,COUNTIF('商品マスタ'!$B$6:$B$1005,$W6018)=0),N(U6017)+1,N(U6017))</f>
        <v/>
      </c>
      <c r="V6018" s="19">
        <f>IF($B6018="","",TEXT($B6018,"0000"))</f>
        <v/>
      </c>
      <c r="W6018" s="19">
        <f>IF($I6018="","",IF(ISNUMBER($I6018),TEXT($I6018,"0"),$I6018))</f>
        <v/>
      </c>
    </row>
    <row r="6019">
      <c r="B6019" s="25" t="n"/>
      <c r="I6019" s="25" t="n"/>
      <c r="U6019" s="19">
        <f>IF(AND($V6019='設定'!$C$4,COUNTIF('商品マスタ'!$B$6:$B$1005,$W6019)=0),N(U6018)+1,N(U6018))</f>
        <v/>
      </c>
      <c r="V6019" s="19">
        <f>IF($B6019="","",TEXT($B6019,"0000"))</f>
        <v/>
      </c>
      <c r="W6019" s="19">
        <f>IF($I6019="","",IF(ISNUMBER($I6019),TEXT($I6019,"0"),$I6019))</f>
        <v/>
      </c>
    </row>
    <row r="6020">
      <c r="B6020" s="25" t="n"/>
      <c r="I6020" s="25" t="n"/>
      <c r="U6020" s="19">
        <f>IF(AND($V6020='設定'!$C$4,COUNTIF('商品マスタ'!$B$6:$B$1005,$W6020)=0),N(U6019)+1,N(U6019))</f>
        <v/>
      </c>
      <c r="V6020" s="19">
        <f>IF($B6020="","",TEXT($B6020,"0000"))</f>
        <v/>
      </c>
      <c r="W6020" s="19">
        <f>IF($I6020="","",IF(ISNUMBER($I6020),TEXT($I6020,"0"),$I6020))</f>
        <v/>
      </c>
    </row>
    <row r="6021">
      <c r="B6021" s="25" t="n"/>
      <c r="I6021" s="25" t="n"/>
      <c r="U6021" s="19">
        <f>IF(AND($V6021='設定'!$C$4,COUNTIF('商品マスタ'!$B$6:$B$1005,$W6021)=0),N(U6020)+1,N(U6020))</f>
        <v/>
      </c>
      <c r="V6021" s="19">
        <f>IF($B6021="","",TEXT($B6021,"0000"))</f>
        <v/>
      </c>
      <c r="W6021" s="19">
        <f>IF($I6021="","",IF(ISNUMBER($I6021),TEXT($I6021,"0"),$I6021))</f>
        <v/>
      </c>
    </row>
    <row r="6022">
      <c r="B6022" s="25" t="n"/>
      <c r="I6022" s="25" t="n"/>
      <c r="U6022" s="19">
        <f>IF(AND($V6022='設定'!$C$4,COUNTIF('商品マスタ'!$B$6:$B$1005,$W6022)=0),N(U6021)+1,N(U6021))</f>
        <v/>
      </c>
      <c r="V6022" s="19">
        <f>IF($B6022="","",TEXT($B6022,"0000"))</f>
        <v/>
      </c>
      <c r="W6022" s="19">
        <f>IF($I6022="","",IF(ISNUMBER($I6022),TEXT($I6022,"0"),$I6022))</f>
        <v/>
      </c>
    </row>
    <row r="6023">
      <c r="B6023" s="25" t="n"/>
      <c r="I6023" s="25" t="n"/>
      <c r="U6023" s="19">
        <f>IF(AND($V6023='設定'!$C$4,COUNTIF('商品マスタ'!$B$6:$B$1005,$W6023)=0),N(U6022)+1,N(U6022))</f>
        <v/>
      </c>
      <c r="V6023" s="19">
        <f>IF($B6023="","",TEXT($B6023,"0000"))</f>
        <v/>
      </c>
      <c r="W6023" s="19">
        <f>IF($I6023="","",IF(ISNUMBER($I6023),TEXT($I6023,"0"),$I6023))</f>
        <v/>
      </c>
    </row>
    <row r="6024">
      <c r="B6024" s="25" t="n"/>
      <c r="I6024" s="25" t="n"/>
      <c r="U6024" s="19">
        <f>IF(AND($V6024='設定'!$C$4,COUNTIF('商品マスタ'!$B$6:$B$1005,$W6024)=0),N(U6023)+1,N(U6023))</f>
        <v/>
      </c>
      <c r="V6024" s="19">
        <f>IF($B6024="","",TEXT($B6024,"0000"))</f>
        <v/>
      </c>
      <c r="W6024" s="19">
        <f>IF($I6024="","",IF(ISNUMBER($I6024),TEXT($I6024,"0"),$I6024))</f>
        <v/>
      </c>
    </row>
    <row r="6025">
      <c r="B6025" s="25" t="n"/>
      <c r="I6025" s="25" t="n"/>
      <c r="U6025" s="19">
        <f>IF(AND($V6025='設定'!$C$4,COUNTIF('商品マスタ'!$B$6:$B$1005,$W6025)=0),N(U6024)+1,N(U6024))</f>
        <v/>
      </c>
      <c r="V6025" s="19">
        <f>IF($B6025="","",TEXT($B6025,"0000"))</f>
        <v/>
      </c>
      <c r="W6025" s="19">
        <f>IF($I6025="","",IF(ISNUMBER($I6025),TEXT($I6025,"0"),$I6025))</f>
        <v/>
      </c>
    </row>
    <row r="6026">
      <c r="B6026" s="25" t="n"/>
      <c r="I6026" s="25" t="n"/>
      <c r="U6026" s="19">
        <f>IF(AND($V6026='設定'!$C$4,COUNTIF('商品マスタ'!$B$6:$B$1005,$W6026)=0),N(U6025)+1,N(U6025))</f>
        <v/>
      </c>
      <c r="V6026" s="19">
        <f>IF($B6026="","",TEXT($B6026,"0000"))</f>
        <v/>
      </c>
      <c r="W6026" s="19">
        <f>IF($I6026="","",IF(ISNUMBER($I6026),TEXT($I6026,"0"),$I6026))</f>
        <v/>
      </c>
    </row>
    <row r="6027">
      <c r="B6027" s="25" t="n"/>
      <c r="I6027" s="25" t="n"/>
      <c r="U6027" s="19">
        <f>IF(AND($V6027='設定'!$C$4,COUNTIF('商品マスタ'!$B$6:$B$1005,$W6027)=0),N(U6026)+1,N(U6026))</f>
        <v/>
      </c>
      <c r="V6027" s="19">
        <f>IF($B6027="","",TEXT($B6027,"0000"))</f>
        <v/>
      </c>
      <c r="W6027" s="19">
        <f>IF($I6027="","",IF(ISNUMBER($I6027),TEXT($I6027,"0"),$I6027))</f>
        <v/>
      </c>
    </row>
    <row r="6028">
      <c r="B6028" s="25" t="n"/>
      <c r="I6028" s="25" t="n"/>
      <c r="U6028" s="19">
        <f>IF(AND($V6028='設定'!$C$4,COUNTIF('商品マスタ'!$B$6:$B$1005,$W6028)=0),N(U6027)+1,N(U6027))</f>
        <v/>
      </c>
      <c r="V6028" s="19">
        <f>IF($B6028="","",TEXT($B6028,"0000"))</f>
        <v/>
      </c>
      <c r="W6028" s="19">
        <f>IF($I6028="","",IF(ISNUMBER($I6028),TEXT($I6028,"0"),$I6028))</f>
        <v/>
      </c>
    </row>
    <row r="6029">
      <c r="B6029" s="25" t="n"/>
      <c r="I6029" s="25" t="n"/>
      <c r="U6029" s="19">
        <f>IF(AND($V6029='設定'!$C$4,COUNTIF('商品マスタ'!$B$6:$B$1005,$W6029)=0),N(U6028)+1,N(U6028))</f>
        <v/>
      </c>
      <c r="V6029" s="19">
        <f>IF($B6029="","",TEXT($B6029,"0000"))</f>
        <v/>
      </c>
      <c r="W6029" s="19">
        <f>IF($I6029="","",IF(ISNUMBER($I6029),TEXT($I6029,"0"),$I6029))</f>
        <v/>
      </c>
    </row>
    <row r="6030">
      <c r="B6030" s="25" t="n"/>
      <c r="I6030" s="25" t="n"/>
      <c r="U6030" s="19">
        <f>IF(AND($V6030='設定'!$C$4,COUNTIF('商品マスタ'!$B$6:$B$1005,$W6030)=0),N(U6029)+1,N(U6029))</f>
        <v/>
      </c>
      <c r="V6030" s="19">
        <f>IF($B6030="","",TEXT($B6030,"0000"))</f>
        <v/>
      </c>
      <c r="W6030" s="19">
        <f>IF($I6030="","",IF(ISNUMBER($I6030),TEXT($I6030,"0"),$I6030))</f>
        <v/>
      </c>
    </row>
    <row r="6031">
      <c r="B6031" s="25" t="n"/>
      <c r="I6031" s="25" t="n"/>
      <c r="U6031" s="19">
        <f>IF(AND($V6031='設定'!$C$4,COUNTIF('商品マスタ'!$B$6:$B$1005,$W6031)=0),N(U6030)+1,N(U6030))</f>
        <v/>
      </c>
      <c r="V6031" s="19">
        <f>IF($B6031="","",TEXT($B6031,"0000"))</f>
        <v/>
      </c>
      <c r="W6031" s="19">
        <f>IF($I6031="","",IF(ISNUMBER($I6031),TEXT($I6031,"0"),$I6031))</f>
        <v/>
      </c>
    </row>
    <row r="6032">
      <c r="B6032" s="25" t="n"/>
      <c r="I6032" s="25" t="n"/>
      <c r="U6032" s="19">
        <f>IF(AND($V6032='設定'!$C$4,COUNTIF('商品マスタ'!$B$6:$B$1005,$W6032)=0),N(U6031)+1,N(U6031))</f>
        <v/>
      </c>
      <c r="V6032" s="19">
        <f>IF($B6032="","",TEXT($B6032,"0000"))</f>
        <v/>
      </c>
      <c r="W6032" s="19">
        <f>IF($I6032="","",IF(ISNUMBER($I6032),TEXT($I6032,"0"),$I6032))</f>
        <v/>
      </c>
    </row>
    <row r="6033">
      <c r="B6033" s="25" t="n"/>
      <c r="I6033" s="25" t="n"/>
      <c r="U6033" s="19">
        <f>IF(AND($V6033='設定'!$C$4,COUNTIF('商品マスタ'!$B$6:$B$1005,$W6033)=0),N(U6032)+1,N(U6032))</f>
        <v/>
      </c>
      <c r="V6033" s="19">
        <f>IF($B6033="","",TEXT($B6033,"0000"))</f>
        <v/>
      </c>
      <c r="W6033" s="19">
        <f>IF($I6033="","",IF(ISNUMBER($I6033),TEXT($I6033,"0"),$I6033))</f>
        <v/>
      </c>
    </row>
    <row r="6034">
      <c r="B6034" s="25" t="n"/>
      <c r="I6034" s="25" t="n"/>
      <c r="U6034" s="19">
        <f>IF(AND($V6034='設定'!$C$4,COUNTIF('商品マスタ'!$B$6:$B$1005,$W6034)=0),N(U6033)+1,N(U6033))</f>
        <v/>
      </c>
      <c r="V6034" s="19">
        <f>IF($B6034="","",TEXT($B6034,"0000"))</f>
        <v/>
      </c>
      <c r="W6034" s="19">
        <f>IF($I6034="","",IF(ISNUMBER($I6034),TEXT($I6034,"0"),$I6034))</f>
        <v/>
      </c>
    </row>
    <row r="6035">
      <c r="B6035" s="25" t="n"/>
      <c r="I6035" s="25" t="n"/>
      <c r="U6035" s="19">
        <f>IF(AND($V6035='設定'!$C$4,COUNTIF('商品マスタ'!$B$6:$B$1005,$W6035)=0),N(U6034)+1,N(U6034))</f>
        <v/>
      </c>
      <c r="V6035" s="19">
        <f>IF($B6035="","",TEXT($B6035,"0000"))</f>
        <v/>
      </c>
      <c r="W6035" s="19">
        <f>IF($I6035="","",IF(ISNUMBER($I6035),TEXT($I6035,"0"),$I6035))</f>
        <v/>
      </c>
    </row>
    <row r="6036">
      <c r="B6036" s="25" t="n"/>
      <c r="I6036" s="25" t="n"/>
      <c r="U6036" s="19">
        <f>IF(AND($V6036='設定'!$C$4,COUNTIF('商品マスタ'!$B$6:$B$1005,$W6036)=0),N(U6035)+1,N(U6035))</f>
        <v/>
      </c>
      <c r="V6036" s="19">
        <f>IF($B6036="","",TEXT($B6036,"0000"))</f>
        <v/>
      </c>
      <c r="W6036" s="19">
        <f>IF($I6036="","",IF(ISNUMBER($I6036),TEXT($I6036,"0"),$I6036))</f>
        <v/>
      </c>
    </row>
    <row r="6037">
      <c r="B6037" s="25" t="n"/>
      <c r="I6037" s="25" t="n"/>
      <c r="U6037" s="19">
        <f>IF(AND($V6037='設定'!$C$4,COUNTIF('商品マスタ'!$B$6:$B$1005,$W6037)=0),N(U6036)+1,N(U6036))</f>
        <v/>
      </c>
      <c r="V6037" s="19">
        <f>IF($B6037="","",TEXT($B6037,"0000"))</f>
        <v/>
      </c>
      <c r="W6037" s="19">
        <f>IF($I6037="","",IF(ISNUMBER($I6037),TEXT($I6037,"0"),$I6037))</f>
        <v/>
      </c>
    </row>
    <row r="6038">
      <c r="B6038" s="25" t="n"/>
      <c r="I6038" s="25" t="n"/>
      <c r="U6038" s="19">
        <f>IF(AND($V6038='設定'!$C$4,COUNTIF('商品マスタ'!$B$6:$B$1005,$W6038)=0),N(U6037)+1,N(U6037))</f>
        <v/>
      </c>
      <c r="V6038" s="19">
        <f>IF($B6038="","",TEXT($B6038,"0000"))</f>
        <v/>
      </c>
      <c r="W6038" s="19">
        <f>IF($I6038="","",IF(ISNUMBER($I6038),TEXT($I6038,"0"),$I6038))</f>
        <v/>
      </c>
    </row>
    <row r="6039">
      <c r="B6039" s="25" t="n"/>
      <c r="I6039" s="25" t="n"/>
      <c r="U6039" s="19">
        <f>IF(AND($V6039='設定'!$C$4,COUNTIF('商品マスタ'!$B$6:$B$1005,$W6039)=0),N(U6038)+1,N(U6038))</f>
        <v/>
      </c>
      <c r="V6039" s="19">
        <f>IF($B6039="","",TEXT($B6039,"0000"))</f>
        <v/>
      </c>
      <c r="W6039" s="19">
        <f>IF($I6039="","",IF(ISNUMBER($I6039),TEXT($I6039,"0"),$I6039))</f>
        <v/>
      </c>
    </row>
    <row r="6040">
      <c r="B6040" s="25" t="n"/>
      <c r="I6040" s="25" t="n"/>
      <c r="U6040" s="19">
        <f>IF(AND($V6040='設定'!$C$4,COUNTIF('商品マスタ'!$B$6:$B$1005,$W6040)=0),N(U6039)+1,N(U6039))</f>
        <v/>
      </c>
      <c r="V6040" s="19">
        <f>IF($B6040="","",TEXT($B6040,"0000"))</f>
        <v/>
      </c>
      <c r="W6040" s="19">
        <f>IF($I6040="","",IF(ISNUMBER($I6040),TEXT($I6040,"0"),$I6040))</f>
        <v/>
      </c>
    </row>
    <row r="6041">
      <c r="B6041" s="25" t="n"/>
      <c r="I6041" s="25" t="n"/>
      <c r="U6041" s="19">
        <f>IF(AND($V6041='設定'!$C$4,COUNTIF('商品マスタ'!$B$6:$B$1005,$W6041)=0),N(U6040)+1,N(U6040))</f>
        <v/>
      </c>
      <c r="V6041" s="19">
        <f>IF($B6041="","",TEXT($B6041,"0000"))</f>
        <v/>
      </c>
      <c r="W6041" s="19">
        <f>IF($I6041="","",IF(ISNUMBER($I6041),TEXT($I6041,"0"),$I6041))</f>
        <v/>
      </c>
    </row>
    <row r="6042">
      <c r="B6042" s="25" t="n"/>
      <c r="I6042" s="25" t="n"/>
      <c r="U6042" s="19">
        <f>IF(AND($V6042='設定'!$C$4,COUNTIF('商品マスタ'!$B$6:$B$1005,$W6042)=0),N(U6041)+1,N(U6041))</f>
        <v/>
      </c>
      <c r="V6042" s="19">
        <f>IF($B6042="","",TEXT($B6042,"0000"))</f>
        <v/>
      </c>
      <c r="W6042" s="19">
        <f>IF($I6042="","",IF(ISNUMBER($I6042),TEXT($I6042,"0"),$I6042))</f>
        <v/>
      </c>
    </row>
    <row r="6043">
      <c r="B6043" s="25" t="n"/>
      <c r="I6043" s="25" t="n"/>
      <c r="U6043" s="19">
        <f>IF(AND($V6043='設定'!$C$4,COUNTIF('商品マスタ'!$B$6:$B$1005,$W6043)=0),N(U6042)+1,N(U6042))</f>
        <v/>
      </c>
      <c r="V6043" s="19">
        <f>IF($B6043="","",TEXT($B6043,"0000"))</f>
        <v/>
      </c>
      <c r="W6043" s="19">
        <f>IF($I6043="","",IF(ISNUMBER($I6043),TEXT($I6043,"0"),$I6043))</f>
        <v/>
      </c>
    </row>
    <row r="6044">
      <c r="B6044" s="25" t="n"/>
      <c r="I6044" s="25" t="n"/>
      <c r="U6044" s="19">
        <f>IF(AND($V6044='設定'!$C$4,COUNTIF('商品マスタ'!$B$6:$B$1005,$W6044)=0),N(U6043)+1,N(U6043))</f>
        <v/>
      </c>
      <c r="V6044" s="19">
        <f>IF($B6044="","",TEXT($B6044,"0000"))</f>
        <v/>
      </c>
      <c r="W6044" s="19">
        <f>IF($I6044="","",IF(ISNUMBER($I6044),TEXT($I6044,"0"),$I6044))</f>
        <v/>
      </c>
    </row>
    <row r="6045">
      <c r="B6045" s="25" t="n"/>
      <c r="I6045" s="25" t="n"/>
      <c r="U6045" s="19">
        <f>IF(AND($V6045='設定'!$C$4,COUNTIF('商品マスタ'!$B$6:$B$1005,$W6045)=0),N(U6044)+1,N(U6044))</f>
        <v/>
      </c>
      <c r="V6045" s="19">
        <f>IF($B6045="","",TEXT($B6045,"0000"))</f>
        <v/>
      </c>
      <c r="W6045" s="19">
        <f>IF($I6045="","",IF(ISNUMBER($I6045),TEXT($I6045,"0"),$I6045))</f>
        <v/>
      </c>
    </row>
    <row r="6046">
      <c r="B6046" s="25" t="n"/>
      <c r="I6046" s="25" t="n"/>
      <c r="U6046" s="19">
        <f>IF(AND($V6046='設定'!$C$4,COUNTIF('商品マスタ'!$B$6:$B$1005,$W6046)=0),N(U6045)+1,N(U6045))</f>
        <v/>
      </c>
      <c r="V6046" s="19">
        <f>IF($B6046="","",TEXT($B6046,"0000"))</f>
        <v/>
      </c>
      <c r="W6046" s="19">
        <f>IF($I6046="","",IF(ISNUMBER($I6046),TEXT($I6046,"0"),$I6046))</f>
        <v/>
      </c>
    </row>
    <row r="6047">
      <c r="B6047" s="25" t="n"/>
      <c r="I6047" s="25" t="n"/>
      <c r="U6047" s="19">
        <f>IF(AND($V6047='設定'!$C$4,COUNTIF('商品マスタ'!$B$6:$B$1005,$W6047)=0),N(U6046)+1,N(U6046))</f>
        <v/>
      </c>
      <c r="V6047" s="19">
        <f>IF($B6047="","",TEXT($B6047,"0000"))</f>
        <v/>
      </c>
      <c r="W6047" s="19">
        <f>IF($I6047="","",IF(ISNUMBER($I6047),TEXT($I6047,"0"),$I6047))</f>
        <v/>
      </c>
    </row>
    <row r="6048">
      <c r="B6048" s="25" t="n"/>
      <c r="I6048" s="25" t="n"/>
      <c r="U6048" s="19">
        <f>IF(AND($V6048='設定'!$C$4,COUNTIF('商品マスタ'!$B$6:$B$1005,$W6048)=0),N(U6047)+1,N(U6047))</f>
        <v/>
      </c>
      <c r="V6048" s="19">
        <f>IF($B6048="","",TEXT($B6048,"0000"))</f>
        <v/>
      </c>
      <c r="W6048" s="19">
        <f>IF($I6048="","",IF(ISNUMBER($I6048),TEXT($I6048,"0"),$I6048))</f>
        <v/>
      </c>
    </row>
    <row r="6049">
      <c r="B6049" s="25" t="n"/>
      <c r="I6049" s="25" t="n"/>
      <c r="U6049" s="19">
        <f>IF(AND($V6049='設定'!$C$4,COUNTIF('商品マスタ'!$B$6:$B$1005,$W6049)=0),N(U6048)+1,N(U6048))</f>
        <v/>
      </c>
      <c r="V6049" s="19">
        <f>IF($B6049="","",TEXT($B6049,"0000"))</f>
        <v/>
      </c>
      <c r="W6049" s="19">
        <f>IF($I6049="","",IF(ISNUMBER($I6049),TEXT($I6049,"0"),$I6049))</f>
        <v/>
      </c>
    </row>
    <row r="6050">
      <c r="B6050" s="25" t="n"/>
      <c r="I6050" s="25" t="n"/>
      <c r="U6050" s="19">
        <f>IF(AND($V6050='設定'!$C$4,COUNTIF('商品マスタ'!$B$6:$B$1005,$W6050)=0),N(U6049)+1,N(U6049))</f>
        <v/>
      </c>
      <c r="V6050" s="19">
        <f>IF($B6050="","",TEXT($B6050,"0000"))</f>
        <v/>
      </c>
      <c r="W6050" s="19">
        <f>IF($I6050="","",IF(ISNUMBER($I6050),TEXT($I6050,"0"),$I6050))</f>
        <v/>
      </c>
    </row>
    <row r="6051">
      <c r="B6051" s="25" t="n"/>
      <c r="I6051" s="25" t="n"/>
      <c r="U6051" s="19">
        <f>IF(AND($V6051='設定'!$C$4,COUNTIF('商品マスタ'!$B$6:$B$1005,$W6051)=0),N(U6050)+1,N(U6050))</f>
        <v/>
      </c>
      <c r="V6051" s="19">
        <f>IF($B6051="","",TEXT($B6051,"0000"))</f>
        <v/>
      </c>
      <c r="W6051" s="19">
        <f>IF($I6051="","",IF(ISNUMBER($I6051),TEXT($I6051,"0"),$I6051))</f>
        <v/>
      </c>
    </row>
    <row r="6052">
      <c r="B6052" s="25" t="n"/>
      <c r="I6052" s="25" t="n"/>
      <c r="U6052" s="19">
        <f>IF(AND($V6052='設定'!$C$4,COUNTIF('商品マスタ'!$B$6:$B$1005,$W6052)=0),N(U6051)+1,N(U6051))</f>
        <v/>
      </c>
      <c r="V6052" s="19">
        <f>IF($B6052="","",TEXT($B6052,"0000"))</f>
        <v/>
      </c>
      <c r="W6052" s="19">
        <f>IF($I6052="","",IF(ISNUMBER($I6052),TEXT($I6052,"0"),$I6052))</f>
        <v/>
      </c>
    </row>
    <row r="6053">
      <c r="B6053" s="25" t="n"/>
      <c r="I6053" s="25" t="n"/>
      <c r="U6053" s="19">
        <f>IF(AND($V6053='設定'!$C$4,COUNTIF('商品マスタ'!$B$6:$B$1005,$W6053)=0),N(U6052)+1,N(U6052))</f>
        <v/>
      </c>
      <c r="V6053" s="19">
        <f>IF($B6053="","",TEXT($B6053,"0000"))</f>
        <v/>
      </c>
      <c r="W6053" s="19">
        <f>IF($I6053="","",IF(ISNUMBER($I6053),TEXT($I6053,"0"),$I6053))</f>
        <v/>
      </c>
    </row>
    <row r="6054">
      <c r="B6054" s="25" t="n"/>
      <c r="I6054" s="25" t="n"/>
      <c r="U6054" s="19">
        <f>IF(AND($V6054='設定'!$C$4,COUNTIF('商品マスタ'!$B$6:$B$1005,$W6054)=0),N(U6053)+1,N(U6053))</f>
        <v/>
      </c>
      <c r="V6054" s="19">
        <f>IF($B6054="","",TEXT($B6054,"0000"))</f>
        <v/>
      </c>
      <c r="W6054" s="19">
        <f>IF($I6054="","",IF(ISNUMBER($I6054),TEXT($I6054,"0"),$I6054))</f>
        <v/>
      </c>
    </row>
    <row r="6055">
      <c r="B6055" s="25" t="n"/>
      <c r="I6055" s="25" t="n"/>
      <c r="U6055" s="19">
        <f>IF(AND($V6055='設定'!$C$4,COUNTIF('商品マスタ'!$B$6:$B$1005,$W6055)=0),N(U6054)+1,N(U6054))</f>
        <v/>
      </c>
      <c r="V6055" s="19">
        <f>IF($B6055="","",TEXT($B6055,"0000"))</f>
        <v/>
      </c>
      <c r="W6055" s="19">
        <f>IF($I6055="","",IF(ISNUMBER($I6055),TEXT($I6055,"0"),$I6055))</f>
        <v/>
      </c>
    </row>
    <row r="6056">
      <c r="B6056" s="25" t="n"/>
      <c r="I6056" s="25" t="n"/>
      <c r="U6056" s="19">
        <f>IF(AND($V6056='設定'!$C$4,COUNTIF('商品マスタ'!$B$6:$B$1005,$W6056)=0),N(U6055)+1,N(U6055))</f>
        <v/>
      </c>
      <c r="V6056" s="19">
        <f>IF($B6056="","",TEXT($B6056,"0000"))</f>
        <v/>
      </c>
      <c r="W6056" s="19">
        <f>IF($I6056="","",IF(ISNUMBER($I6056),TEXT($I6056,"0"),$I6056))</f>
        <v/>
      </c>
    </row>
    <row r="6057">
      <c r="B6057" s="25" t="n"/>
      <c r="I6057" s="25" t="n"/>
      <c r="U6057" s="19">
        <f>IF(AND($V6057='設定'!$C$4,COUNTIF('商品マスタ'!$B$6:$B$1005,$W6057)=0),N(U6056)+1,N(U6056))</f>
        <v/>
      </c>
      <c r="V6057" s="19">
        <f>IF($B6057="","",TEXT($B6057,"0000"))</f>
        <v/>
      </c>
      <c r="W6057" s="19">
        <f>IF($I6057="","",IF(ISNUMBER($I6057),TEXT($I6057,"0"),$I6057))</f>
        <v/>
      </c>
    </row>
    <row r="6058">
      <c r="B6058" s="25" t="n"/>
      <c r="I6058" s="25" t="n"/>
      <c r="U6058" s="19">
        <f>IF(AND($V6058='設定'!$C$4,COUNTIF('商品マスタ'!$B$6:$B$1005,$W6058)=0),N(U6057)+1,N(U6057))</f>
        <v/>
      </c>
      <c r="V6058" s="19">
        <f>IF($B6058="","",TEXT($B6058,"0000"))</f>
        <v/>
      </c>
      <c r="W6058" s="19">
        <f>IF($I6058="","",IF(ISNUMBER($I6058),TEXT($I6058,"0"),$I6058))</f>
        <v/>
      </c>
    </row>
    <row r="6059">
      <c r="B6059" s="25" t="n"/>
      <c r="I6059" s="25" t="n"/>
      <c r="U6059" s="19">
        <f>IF(AND($V6059='設定'!$C$4,COUNTIF('商品マスタ'!$B$6:$B$1005,$W6059)=0),N(U6058)+1,N(U6058))</f>
        <v/>
      </c>
      <c r="V6059" s="19">
        <f>IF($B6059="","",TEXT($B6059,"0000"))</f>
        <v/>
      </c>
      <c r="W6059" s="19">
        <f>IF($I6059="","",IF(ISNUMBER($I6059),TEXT($I6059,"0"),$I6059))</f>
        <v/>
      </c>
    </row>
    <row r="6060">
      <c r="B6060" s="25" t="n"/>
      <c r="I6060" s="25" t="n"/>
      <c r="U6060" s="19">
        <f>IF(AND($V6060='設定'!$C$4,COUNTIF('商品マスタ'!$B$6:$B$1005,$W6060)=0),N(U6059)+1,N(U6059))</f>
        <v/>
      </c>
      <c r="V6060" s="19">
        <f>IF($B6060="","",TEXT($B6060,"0000"))</f>
        <v/>
      </c>
      <c r="W6060" s="19">
        <f>IF($I6060="","",IF(ISNUMBER($I6060),TEXT($I6060,"0"),$I6060))</f>
        <v/>
      </c>
    </row>
    <row r="6061">
      <c r="B6061" s="25" t="n"/>
      <c r="I6061" s="25" t="n"/>
      <c r="U6061" s="19">
        <f>IF(AND($V6061='設定'!$C$4,COUNTIF('商品マスタ'!$B$6:$B$1005,$W6061)=0),N(U6060)+1,N(U6060))</f>
        <v/>
      </c>
      <c r="V6061" s="19">
        <f>IF($B6061="","",TEXT($B6061,"0000"))</f>
        <v/>
      </c>
      <c r="W6061" s="19">
        <f>IF($I6061="","",IF(ISNUMBER($I6061),TEXT($I6061,"0"),$I6061))</f>
        <v/>
      </c>
    </row>
    <row r="6062">
      <c r="B6062" s="25" t="n"/>
      <c r="I6062" s="25" t="n"/>
      <c r="U6062" s="19">
        <f>IF(AND($V6062='設定'!$C$4,COUNTIF('商品マスタ'!$B$6:$B$1005,$W6062)=0),N(U6061)+1,N(U6061))</f>
        <v/>
      </c>
      <c r="V6062" s="19">
        <f>IF($B6062="","",TEXT($B6062,"0000"))</f>
        <v/>
      </c>
      <c r="W6062" s="19">
        <f>IF($I6062="","",IF(ISNUMBER($I6062),TEXT($I6062,"0"),$I6062))</f>
        <v/>
      </c>
    </row>
    <row r="6063">
      <c r="B6063" s="25" t="n"/>
      <c r="I6063" s="25" t="n"/>
      <c r="U6063" s="19">
        <f>IF(AND($V6063='設定'!$C$4,COUNTIF('商品マスタ'!$B$6:$B$1005,$W6063)=0),N(U6062)+1,N(U6062))</f>
        <v/>
      </c>
      <c r="V6063" s="19">
        <f>IF($B6063="","",TEXT($B6063,"0000"))</f>
        <v/>
      </c>
      <c r="W6063" s="19">
        <f>IF($I6063="","",IF(ISNUMBER($I6063),TEXT($I6063,"0"),$I6063))</f>
        <v/>
      </c>
    </row>
    <row r="6064">
      <c r="B6064" s="25" t="n"/>
      <c r="I6064" s="25" t="n"/>
      <c r="U6064" s="19">
        <f>IF(AND($V6064='設定'!$C$4,COUNTIF('商品マスタ'!$B$6:$B$1005,$W6064)=0),N(U6063)+1,N(U6063))</f>
        <v/>
      </c>
      <c r="V6064" s="19">
        <f>IF($B6064="","",TEXT($B6064,"0000"))</f>
        <v/>
      </c>
      <c r="W6064" s="19">
        <f>IF($I6064="","",IF(ISNUMBER($I6064),TEXT($I6064,"0"),$I6064))</f>
        <v/>
      </c>
    </row>
    <row r="6065">
      <c r="B6065" s="25" t="n"/>
      <c r="I6065" s="25" t="n"/>
      <c r="U6065" s="19">
        <f>IF(AND($V6065='設定'!$C$4,COUNTIF('商品マスタ'!$B$6:$B$1005,$W6065)=0),N(U6064)+1,N(U6064))</f>
        <v/>
      </c>
      <c r="V6065" s="19">
        <f>IF($B6065="","",TEXT($B6065,"0000"))</f>
        <v/>
      </c>
      <c r="W6065" s="19">
        <f>IF($I6065="","",IF(ISNUMBER($I6065),TEXT($I6065,"0"),$I6065))</f>
        <v/>
      </c>
    </row>
    <row r="6066">
      <c r="B6066" s="25" t="n"/>
      <c r="I6066" s="25" t="n"/>
      <c r="U6066" s="19">
        <f>IF(AND($V6066='設定'!$C$4,COUNTIF('商品マスタ'!$B$6:$B$1005,$W6066)=0),N(U6065)+1,N(U6065))</f>
        <v/>
      </c>
      <c r="V6066" s="19">
        <f>IF($B6066="","",TEXT($B6066,"0000"))</f>
        <v/>
      </c>
      <c r="W6066" s="19">
        <f>IF($I6066="","",IF(ISNUMBER($I6066),TEXT($I6066,"0"),$I6066))</f>
        <v/>
      </c>
    </row>
    <row r="6067">
      <c r="B6067" s="25" t="n"/>
      <c r="I6067" s="25" t="n"/>
      <c r="U6067" s="19">
        <f>IF(AND($V6067='設定'!$C$4,COUNTIF('商品マスタ'!$B$6:$B$1005,$W6067)=0),N(U6066)+1,N(U6066))</f>
        <v/>
      </c>
      <c r="V6067" s="19">
        <f>IF($B6067="","",TEXT($B6067,"0000"))</f>
        <v/>
      </c>
      <c r="W6067" s="19">
        <f>IF($I6067="","",IF(ISNUMBER($I6067),TEXT($I6067,"0"),$I6067))</f>
        <v/>
      </c>
    </row>
    <row r="6068">
      <c r="B6068" s="25" t="n"/>
      <c r="I6068" s="25" t="n"/>
      <c r="U6068" s="19">
        <f>IF(AND($V6068='設定'!$C$4,COUNTIF('商品マスタ'!$B$6:$B$1005,$W6068)=0),N(U6067)+1,N(U6067))</f>
        <v/>
      </c>
      <c r="V6068" s="19">
        <f>IF($B6068="","",TEXT($B6068,"0000"))</f>
        <v/>
      </c>
      <c r="W6068" s="19">
        <f>IF($I6068="","",IF(ISNUMBER($I6068),TEXT($I6068,"0"),$I6068))</f>
        <v/>
      </c>
    </row>
    <row r="6069">
      <c r="B6069" s="25" t="n"/>
      <c r="I6069" s="25" t="n"/>
      <c r="U6069" s="19">
        <f>IF(AND($V6069='設定'!$C$4,COUNTIF('商品マスタ'!$B$6:$B$1005,$W6069)=0),N(U6068)+1,N(U6068))</f>
        <v/>
      </c>
      <c r="V6069" s="19">
        <f>IF($B6069="","",TEXT($B6069,"0000"))</f>
        <v/>
      </c>
      <c r="W6069" s="19">
        <f>IF($I6069="","",IF(ISNUMBER($I6069),TEXT($I6069,"0"),$I6069))</f>
        <v/>
      </c>
    </row>
    <row r="6070">
      <c r="B6070" s="25" t="n"/>
      <c r="I6070" s="25" t="n"/>
      <c r="U6070" s="19">
        <f>IF(AND($V6070='設定'!$C$4,COUNTIF('商品マスタ'!$B$6:$B$1005,$W6070)=0),N(U6069)+1,N(U6069))</f>
        <v/>
      </c>
      <c r="V6070" s="19">
        <f>IF($B6070="","",TEXT($B6070,"0000"))</f>
        <v/>
      </c>
      <c r="W6070" s="19">
        <f>IF($I6070="","",IF(ISNUMBER($I6070),TEXT($I6070,"0"),$I6070))</f>
        <v/>
      </c>
    </row>
    <row r="6071">
      <c r="B6071" s="25" t="n"/>
      <c r="I6071" s="25" t="n"/>
      <c r="U6071" s="19">
        <f>IF(AND($V6071='設定'!$C$4,COUNTIF('商品マスタ'!$B$6:$B$1005,$W6071)=0),N(U6070)+1,N(U6070))</f>
        <v/>
      </c>
      <c r="V6071" s="19">
        <f>IF($B6071="","",TEXT($B6071,"0000"))</f>
        <v/>
      </c>
      <c r="W6071" s="19">
        <f>IF($I6071="","",IF(ISNUMBER($I6071),TEXT($I6071,"0"),$I6071))</f>
        <v/>
      </c>
    </row>
    <row r="6072">
      <c r="B6072" s="25" t="n"/>
      <c r="I6072" s="25" t="n"/>
      <c r="U6072" s="19">
        <f>IF(AND($V6072='設定'!$C$4,COUNTIF('商品マスタ'!$B$6:$B$1005,$W6072)=0),N(U6071)+1,N(U6071))</f>
        <v/>
      </c>
      <c r="V6072" s="19">
        <f>IF($B6072="","",TEXT($B6072,"0000"))</f>
        <v/>
      </c>
      <c r="W6072" s="19">
        <f>IF($I6072="","",IF(ISNUMBER($I6072),TEXT($I6072,"0"),$I6072))</f>
        <v/>
      </c>
    </row>
    <row r="6073">
      <c r="B6073" s="25" t="n"/>
      <c r="I6073" s="25" t="n"/>
      <c r="U6073" s="19">
        <f>IF(AND($V6073='設定'!$C$4,COUNTIF('商品マスタ'!$B$6:$B$1005,$W6073)=0),N(U6072)+1,N(U6072))</f>
        <v/>
      </c>
      <c r="V6073" s="19">
        <f>IF($B6073="","",TEXT($B6073,"0000"))</f>
        <v/>
      </c>
      <c r="W6073" s="19">
        <f>IF($I6073="","",IF(ISNUMBER($I6073),TEXT($I6073,"0"),$I6073))</f>
        <v/>
      </c>
    </row>
    <row r="6074">
      <c r="B6074" s="25" t="n"/>
      <c r="I6074" s="25" t="n"/>
      <c r="U6074" s="19">
        <f>IF(AND($V6074='設定'!$C$4,COUNTIF('商品マスタ'!$B$6:$B$1005,$W6074)=0),N(U6073)+1,N(U6073))</f>
        <v/>
      </c>
      <c r="V6074" s="19">
        <f>IF($B6074="","",TEXT($B6074,"0000"))</f>
        <v/>
      </c>
      <c r="W6074" s="19">
        <f>IF($I6074="","",IF(ISNUMBER($I6074),TEXT($I6074,"0"),$I6074))</f>
        <v/>
      </c>
    </row>
    <row r="6075">
      <c r="B6075" s="25" t="n"/>
      <c r="I6075" s="25" t="n"/>
      <c r="U6075" s="19">
        <f>IF(AND($V6075='設定'!$C$4,COUNTIF('商品マスタ'!$B$6:$B$1005,$W6075)=0),N(U6074)+1,N(U6074))</f>
        <v/>
      </c>
      <c r="V6075" s="19">
        <f>IF($B6075="","",TEXT($B6075,"0000"))</f>
        <v/>
      </c>
      <c r="W6075" s="19">
        <f>IF($I6075="","",IF(ISNUMBER($I6075),TEXT($I6075,"0"),$I6075))</f>
        <v/>
      </c>
    </row>
    <row r="6076">
      <c r="B6076" s="25" t="n"/>
      <c r="I6076" s="25" t="n"/>
      <c r="U6076" s="19">
        <f>IF(AND($V6076='設定'!$C$4,COUNTIF('商品マスタ'!$B$6:$B$1005,$W6076)=0),N(U6075)+1,N(U6075))</f>
        <v/>
      </c>
      <c r="V6076" s="19">
        <f>IF($B6076="","",TEXT($B6076,"0000"))</f>
        <v/>
      </c>
      <c r="W6076" s="19">
        <f>IF($I6076="","",IF(ISNUMBER($I6076),TEXT($I6076,"0"),$I6076))</f>
        <v/>
      </c>
    </row>
    <row r="6077">
      <c r="B6077" s="25" t="n"/>
      <c r="I6077" s="25" t="n"/>
      <c r="U6077" s="19">
        <f>IF(AND($V6077='設定'!$C$4,COUNTIF('商品マスタ'!$B$6:$B$1005,$W6077)=0),N(U6076)+1,N(U6076))</f>
        <v/>
      </c>
      <c r="V6077" s="19">
        <f>IF($B6077="","",TEXT($B6077,"0000"))</f>
        <v/>
      </c>
      <c r="W6077" s="19">
        <f>IF($I6077="","",IF(ISNUMBER($I6077),TEXT($I6077,"0"),$I6077))</f>
        <v/>
      </c>
    </row>
    <row r="6078">
      <c r="B6078" s="25" t="n"/>
      <c r="I6078" s="25" t="n"/>
      <c r="U6078" s="19">
        <f>IF(AND($V6078='設定'!$C$4,COUNTIF('商品マスタ'!$B$6:$B$1005,$W6078)=0),N(U6077)+1,N(U6077))</f>
        <v/>
      </c>
      <c r="V6078" s="19">
        <f>IF($B6078="","",TEXT($B6078,"0000"))</f>
        <v/>
      </c>
      <c r="W6078" s="19">
        <f>IF($I6078="","",IF(ISNUMBER($I6078),TEXT($I6078,"0"),$I6078))</f>
        <v/>
      </c>
    </row>
    <row r="6079">
      <c r="B6079" s="25" t="n"/>
      <c r="I6079" s="25" t="n"/>
      <c r="U6079" s="19">
        <f>IF(AND($V6079='設定'!$C$4,COUNTIF('商品マスタ'!$B$6:$B$1005,$W6079)=0),N(U6078)+1,N(U6078))</f>
        <v/>
      </c>
      <c r="V6079" s="19">
        <f>IF($B6079="","",TEXT($B6079,"0000"))</f>
        <v/>
      </c>
      <c r="W6079" s="19">
        <f>IF($I6079="","",IF(ISNUMBER($I6079),TEXT($I6079,"0"),$I6079))</f>
        <v/>
      </c>
    </row>
    <row r="6080">
      <c r="B6080" s="25" t="n"/>
      <c r="I6080" s="25" t="n"/>
      <c r="U6080" s="19">
        <f>IF(AND($V6080='設定'!$C$4,COUNTIF('商品マスタ'!$B$6:$B$1005,$W6080)=0),N(U6079)+1,N(U6079))</f>
        <v/>
      </c>
      <c r="V6080" s="19">
        <f>IF($B6080="","",TEXT($B6080,"0000"))</f>
        <v/>
      </c>
      <c r="W6080" s="19">
        <f>IF($I6080="","",IF(ISNUMBER($I6080),TEXT($I6080,"0"),$I6080))</f>
        <v/>
      </c>
    </row>
    <row r="6081">
      <c r="B6081" s="25" t="n"/>
      <c r="I6081" s="25" t="n"/>
      <c r="U6081" s="19">
        <f>IF(AND($V6081='設定'!$C$4,COUNTIF('商品マスタ'!$B$6:$B$1005,$W6081)=0),N(U6080)+1,N(U6080))</f>
        <v/>
      </c>
      <c r="V6081" s="19">
        <f>IF($B6081="","",TEXT($B6081,"0000"))</f>
        <v/>
      </c>
      <c r="W6081" s="19">
        <f>IF($I6081="","",IF(ISNUMBER($I6081),TEXT($I6081,"0"),$I6081))</f>
        <v/>
      </c>
    </row>
    <row r="6082">
      <c r="B6082" s="25" t="n"/>
      <c r="I6082" s="25" t="n"/>
      <c r="U6082" s="19">
        <f>IF(AND($V6082='設定'!$C$4,COUNTIF('商品マスタ'!$B$6:$B$1005,$W6082)=0),N(U6081)+1,N(U6081))</f>
        <v/>
      </c>
      <c r="V6082" s="19">
        <f>IF($B6082="","",TEXT($B6082,"0000"))</f>
        <v/>
      </c>
      <c r="W6082" s="19">
        <f>IF($I6082="","",IF(ISNUMBER($I6082),TEXT($I6082,"0"),$I6082))</f>
        <v/>
      </c>
    </row>
    <row r="6083">
      <c r="B6083" s="25" t="n"/>
      <c r="I6083" s="25" t="n"/>
      <c r="U6083" s="19">
        <f>IF(AND($V6083='設定'!$C$4,COUNTIF('商品マスタ'!$B$6:$B$1005,$W6083)=0),N(U6082)+1,N(U6082))</f>
        <v/>
      </c>
      <c r="V6083" s="19">
        <f>IF($B6083="","",TEXT($B6083,"0000"))</f>
        <v/>
      </c>
      <c r="W6083" s="19">
        <f>IF($I6083="","",IF(ISNUMBER($I6083),TEXT($I6083,"0"),$I6083))</f>
        <v/>
      </c>
    </row>
    <row r="6084">
      <c r="B6084" s="25" t="n"/>
      <c r="I6084" s="25" t="n"/>
      <c r="U6084" s="19">
        <f>IF(AND($V6084='設定'!$C$4,COUNTIF('商品マスタ'!$B$6:$B$1005,$W6084)=0),N(U6083)+1,N(U6083))</f>
        <v/>
      </c>
      <c r="V6084" s="19">
        <f>IF($B6084="","",TEXT($B6084,"0000"))</f>
        <v/>
      </c>
      <c r="W6084" s="19">
        <f>IF($I6084="","",IF(ISNUMBER($I6084),TEXT($I6084,"0"),$I6084))</f>
        <v/>
      </c>
    </row>
    <row r="6085">
      <c r="B6085" s="25" t="n"/>
      <c r="I6085" s="25" t="n"/>
      <c r="U6085" s="19">
        <f>IF(AND($V6085='設定'!$C$4,COUNTIF('商品マスタ'!$B$6:$B$1005,$W6085)=0),N(U6084)+1,N(U6084))</f>
        <v/>
      </c>
      <c r="V6085" s="19">
        <f>IF($B6085="","",TEXT($B6085,"0000"))</f>
        <v/>
      </c>
      <c r="W6085" s="19">
        <f>IF($I6085="","",IF(ISNUMBER($I6085),TEXT($I6085,"0"),$I6085))</f>
        <v/>
      </c>
    </row>
    <row r="6086">
      <c r="B6086" s="25" t="n"/>
      <c r="I6086" s="25" t="n"/>
      <c r="U6086" s="19">
        <f>IF(AND($V6086='設定'!$C$4,COUNTIF('商品マスタ'!$B$6:$B$1005,$W6086)=0),N(U6085)+1,N(U6085))</f>
        <v/>
      </c>
      <c r="V6086" s="19">
        <f>IF($B6086="","",TEXT($B6086,"0000"))</f>
        <v/>
      </c>
      <c r="W6086" s="19">
        <f>IF($I6086="","",IF(ISNUMBER($I6086),TEXT($I6086,"0"),$I6086))</f>
        <v/>
      </c>
    </row>
    <row r="6087">
      <c r="B6087" s="25" t="n"/>
      <c r="I6087" s="25" t="n"/>
      <c r="U6087" s="19">
        <f>IF(AND($V6087='設定'!$C$4,COUNTIF('商品マスタ'!$B$6:$B$1005,$W6087)=0),N(U6086)+1,N(U6086))</f>
        <v/>
      </c>
      <c r="V6087" s="19">
        <f>IF($B6087="","",TEXT($B6087,"0000"))</f>
        <v/>
      </c>
      <c r="W6087" s="19">
        <f>IF($I6087="","",IF(ISNUMBER($I6087),TEXT($I6087,"0"),$I6087))</f>
        <v/>
      </c>
    </row>
    <row r="6088">
      <c r="B6088" s="25" t="n"/>
      <c r="I6088" s="25" t="n"/>
      <c r="U6088" s="19">
        <f>IF(AND($V6088='設定'!$C$4,COUNTIF('商品マスタ'!$B$6:$B$1005,$W6088)=0),N(U6087)+1,N(U6087))</f>
        <v/>
      </c>
      <c r="V6088" s="19">
        <f>IF($B6088="","",TEXT($B6088,"0000"))</f>
        <v/>
      </c>
      <c r="W6088" s="19">
        <f>IF($I6088="","",IF(ISNUMBER($I6088),TEXT($I6088,"0"),$I6088))</f>
        <v/>
      </c>
    </row>
    <row r="6089">
      <c r="B6089" s="25" t="n"/>
      <c r="I6089" s="25" t="n"/>
      <c r="U6089" s="19">
        <f>IF(AND($V6089='設定'!$C$4,COUNTIF('商品マスタ'!$B$6:$B$1005,$W6089)=0),N(U6088)+1,N(U6088))</f>
        <v/>
      </c>
      <c r="V6089" s="19">
        <f>IF($B6089="","",TEXT($B6089,"0000"))</f>
        <v/>
      </c>
      <c r="W6089" s="19">
        <f>IF($I6089="","",IF(ISNUMBER($I6089),TEXT($I6089,"0"),$I6089))</f>
        <v/>
      </c>
    </row>
    <row r="6090">
      <c r="B6090" s="25" t="n"/>
      <c r="I6090" s="25" t="n"/>
      <c r="U6090" s="19">
        <f>IF(AND($V6090='設定'!$C$4,COUNTIF('商品マスタ'!$B$6:$B$1005,$W6090)=0),N(U6089)+1,N(U6089))</f>
        <v/>
      </c>
      <c r="V6090" s="19">
        <f>IF($B6090="","",TEXT($B6090,"0000"))</f>
        <v/>
      </c>
      <c r="W6090" s="19">
        <f>IF($I6090="","",IF(ISNUMBER($I6090),TEXT($I6090,"0"),$I6090))</f>
        <v/>
      </c>
    </row>
    <row r="6091">
      <c r="B6091" s="25" t="n"/>
      <c r="I6091" s="25" t="n"/>
      <c r="U6091" s="19">
        <f>IF(AND($V6091='設定'!$C$4,COUNTIF('商品マスタ'!$B$6:$B$1005,$W6091)=0),N(U6090)+1,N(U6090))</f>
        <v/>
      </c>
      <c r="V6091" s="19">
        <f>IF($B6091="","",TEXT($B6091,"0000"))</f>
        <v/>
      </c>
      <c r="W6091" s="19">
        <f>IF($I6091="","",IF(ISNUMBER($I6091),TEXT($I6091,"0"),$I6091))</f>
        <v/>
      </c>
    </row>
    <row r="6092">
      <c r="B6092" s="25" t="n"/>
      <c r="I6092" s="25" t="n"/>
      <c r="U6092" s="19">
        <f>IF(AND($V6092='設定'!$C$4,COUNTIF('商品マスタ'!$B$6:$B$1005,$W6092)=0),N(U6091)+1,N(U6091))</f>
        <v/>
      </c>
      <c r="V6092" s="19">
        <f>IF($B6092="","",TEXT($B6092,"0000"))</f>
        <v/>
      </c>
      <c r="W6092" s="19">
        <f>IF($I6092="","",IF(ISNUMBER($I6092),TEXT($I6092,"0"),$I6092))</f>
        <v/>
      </c>
    </row>
    <row r="6093">
      <c r="B6093" s="25" t="n"/>
      <c r="I6093" s="25" t="n"/>
      <c r="U6093" s="19">
        <f>IF(AND($V6093='設定'!$C$4,COUNTIF('商品マスタ'!$B$6:$B$1005,$W6093)=0),N(U6092)+1,N(U6092))</f>
        <v/>
      </c>
      <c r="V6093" s="19">
        <f>IF($B6093="","",TEXT($B6093,"0000"))</f>
        <v/>
      </c>
      <c r="W6093" s="19">
        <f>IF($I6093="","",IF(ISNUMBER($I6093),TEXT($I6093,"0"),$I6093))</f>
        <v/>
      </c>
    </row>
    <row r="6094">
      <c r="B6094" s="25" t="n"/>
      <c r="I6094" s="25" t="n"/>
      <c r="U6094" s="19">
        <f>IF(AND($V6094='設定'!$C$4,COUNTIF('商品マスタ'!$B$6:$B$1005,$W6094)=0),N(U6093)+1,N(U6093))</f>
        <v/>
      </c>
      <c r="V6094" s="19">
        <f>IF($B6094="","",TEXT($B6094,"0000"))</f>
        <v/>
      </c>
      <c r="W6094" s="19">
        <f>IF($I6094="","",IF(ISNUMBER($I6094),TEXT($I6094,"0"),$I6094))</f>
        <v/>
      </c>
    </row>
    <row r="6095">
      <c r="B6095" s="25" t="n"/>
      <c r="I6095" s="25" t="n"/>
      <c r="U6095" s="19">
        <f>IF(AND($V6095='設定'!$C$4,COUNTIF('商品マスタ'!$B$6:$B$1005,$W6095)=0),N(U6094)+1,N(U6094))</f>
        <v/>
      </c>
      <c r="V6095" s="19">
        <f>IF($B6095="","",TEXT($B6095,"0000"))</f>
        <v/>
      </c>
      <c r="W6095" s="19">
        <f>IF($I6095="","",IF(ISNUMBER($I6095),TEXT($I6095,"0"),$I6095))</f>
        <v/>
      </c>
    </row>
    <row r="6096">
      <c r="B6096" s="25" t="n"/>
      <c r="I6096" s="25" t="n"/>
      <c r="U6096" s="19">
        <f>IF(AND($V6096='設定'!$C$4,COUNTIF('商品マスタ'!$B$6:$B$1005,$W6096)=0),N(U6095)+1,N(U6095))</f>
        <v/>
      </c>
      <c r="V6096" s="19">
        <f>IF($B6096="","",TEXT($B6096,"0000"))</f>
        <v/>
      </c>
      <c r="W6096" s="19">
        <f>IF($I6096="","",IF(ISNUMBER($I6096),TEXT($I6096,"0"),$I6096))</f>
        <v/>
      </c>
    </row>
    <row r="6097">
      <c r="B6097" s="25" t="n"/>
      <c r="I6097" s="25" t="n"/>
      <c r="U6097" s="19">
        <f>IF(AND($V6097='設定'!$C$4,COUNTIF('商品マスタ'!$B$6:$B$1005,$W6097)=0),N(U6096)+1,N(U6096))</f>
        <v/>
      </c>
      <c r="V6097" s="19">
        <f>IF($B6097="","",TEXT($B6097,"0000"))</f>
        <v/>
      </c>
      <c r="W6097" s="19">
        <f>IF($I6097="","",IF(ISNUMBER($I6097),TEXT($I6097,"0"),$I6097))</f>
        <v/>
      </c>
    </row>
    <row r="6098">
      <c r="B6098" s="25" t="n"/>
      <c r="I6098" s="25" t="n"/>
      <c r="U6098" s="19">
        <f>IF(AND($V6098='設定'!$C$4,COUNTIF('商品マスタ'!$B$6:$B$1005,$W6098)=0),N(U6097)+1,N(U6097))</f>
        <v/>
      </c>
      <c r="V6098" s="19">
        <f>IF($B6098="","",TEXT($B6098,"0000"))</f>
        <v/>
      </c>
      <c r="W6098" s="19">
        <f>IF($I6098="","",IF(ISNUMBER($I6098),TEXT($I6098,"0"),$I6098))</f>
        <v/>
      </c>
    </row>
    <row r="6099">
      <c r="B6099" s="25" t="n"/>
      <c r="I6099" s="25" t="n"/>
      <c r="U6099" s="19">
        <f>IF(AND($V6099='設定'!$C$4,COUNTIF('商品マスタ'!$B$6:$B$1005,$W6099)=0),N(U6098)+1,N(U6098))</f>
        <v/>
      </c>
      <c r="V6099" s="19">
        <f>IF($B6099="","",TEXT($B6099,"0000"))</f>
        <v/>
      </c>
      <c r="W6099" s="19">
        <f>IF($I6099="","",IF(ISNUMBER($I6099),TEXT($I6099,"0"),$I6099))</f>
        <v/>
      </c>
    </row>
    <row r="6100">
      <c r="B6100" s="25" t="n"/>
      <c r="I6100" s="25" t="n"/>
      <c r="U6100" s="19">
        <f>IF(AND($V6100='設定'!$C$4,COUNTIF('商品マスタ'!$B$6:$B$1005,$W6100)=0),N(U6099)+1,N(U6099))</f>
        <v/>
      </c>
      <c r="V6100" s="19">
        <f>IF($B6100="","",TEXT($B6100,"0000"))</f>
        <v/>
      </c>
      <c r="W6100" s="19">
        <f>IF($I6100="","",IF(ISNUMBER($I6100),TEXT($I6100,"0"),$I6100))</f>
        <v/>
      </c>
    </row>
    <row r="6101">
      <c r="B6101" s="25" t="n"/>
      <c r="I6101" s="25" t="n"/>
      <c r="U6101" s="19">
        <f>IF(AND($V6101='設定'!$C$4,COUNTIF('商品マスタ'!$B$6:$B$1005,$W6101)=0),N(U6100)+1,N(U6100))</f>
        <v/>
      </c>
      <c r="V6101" s="19">
        <f>IF($B6101="","",TEXT($B6101,"0000"))</f>
        <v/>
      </c>
      <c r="W6101" s="19">
        <f>IF($I6101="","",IF(ISNUMBER($I6101),TEXT($I6101,"0"),$I6101))</f>
        <v/>
      </c>
    </row>
    <row r="6102">
      <c r="B6102" s="25" t="n"/>
      <c r="I6102" s="25" t="n"/>
      <c r="U6102" s="19">
        <f>IF(AND($V6102='設定'!$C$4,COUNTIF('商品マスタ'!$B$6:$B$1005,$W6102)=0),N(U6101)+1,N(U6101))</f>
        <v/>
      </c>
      <c r="V6102" s="19">
        <f>IF($B6102="","",TEXT($B6102,"0000"))</f>
        <v/>
      </c>
      <c r="W6102" s="19">
        <f>IF($I6102="","",IF(ISNUMBER($I6102),TEXT($I6102,"0"),$I6102))</f>
        <v/>
      </c>
    </row>
    <row r="6103">
      <c r="B6103" s="25" t="n"/>
      <c r="I6103" s="25" t="n"/>
      <c r="U6103" s="19">
        <f>IF(AND($V6103='設定'!$C$4,COUNTIF('商品マスタ'!$B$6:$B$1005,$W6103)=0),N(U6102)+1,N(U6102))</f>
        <v/>
      </c>
      <c r="V6103" s="19">
        <f>IF($B6103="","",TEXT($B6103,"0000"))</f>
        <v/>
      </c>
      <c r="W6103" s="19">
        <f>IF($I6103="","",IF(ISNUMBER($I6103),TEXT($I6103,"0"),$I6103))</f>
        <v/>
      </c>
    </row>
    <row r="6104">
      <c r="B6104" s="25" t="n"/>
      <c r="I6104" s="25" t="n"/>
      <c r="U6104" s="19">
        <f>IF(AND($V6104='設定'!$C$4,COUNTIF('商品マスタ'!$B$6:$B$1005,$W6104)=0),N(U6103)+1,N(U6103))</f>
        <v/>
      </c>
      <c r="V6104" s="19">
        <f>IF($B6104="","",TEXT($B6104,"0000"))</f>
        <v/>
      </c>
      <c r="W6104" s="19">
        <f>IF($I6104="","",IF(ISNUMBER($I6104),TEXT($I6104,"0"),$I6104))</f>
        <v/>
      </c>
    </row>
    <row r="6105">
      <c r="B6105" s="25" t="n"/>
      <c r="I6105" s="25" t="n"/>
      <c r="U6105" s="19">
        <f>IF(AND($V6105='設定'!$C$4,COUNTIF('商品マスタ'!$B$6:$B$1005,$W6105)=0),N(U6104)+1,N(U6104))</f>
        <v/>
      </c>
      <c r="V6105" s="19">
        <f>IF($B6105="","",TEXT($B6105,"0000"))</f>
        <v/>
      </c>
      <c r="W6105" s="19">
        <f>IF($I6105="","",IF(ISNUMBER($I6105),TEXT($I6105,"0"),$I6105))</f>
        <v/>
      </c>
    </row>
    <row r="6106">
      <c r="B6106" s="25" t="n"/>
      <c r="I6106" s="25" t="n"/>
      <c r="U6106" s="19">
        <f>IF(AND($V6106='設定'!$C$4,COUNTIF('商品マスタ'!$B$6:$B$1005,$W6106)=0),N(U6105)+1,N(U6105))</f>
        <v/>
      </c>
      <c r="V6106" s="19">
        <f>IF($B6106="","",TEXT($B6106,"0000"))</f>
        <v/>
      </c>
      <c r="W6106" s="19">
        <f>IF($I6106="","",IF(ISNUMBER($I6106),TEXT($I6106,"0"),$I6106))</f>
        <v/>
      </c>
    </row>
    <row r="6107">
      <c r="B6107" s="25" t="n"/>
      <c r="I6107" s="25" t="n"/>
      <c r="U6107" s="19">
        <f>IF(AND($V6107='設定'!$C$4,COUNTIF('商品マスタ'!$B$6:$B$1005,$W6107)=0),N(U6106)+1,N(U6106))</f>
        <v/>
      </c>
      <c r="V6107" s="19">
        <f>IF($B6107="","",TEXT($B6107,"0000"))</f>
        <v/>
      </c>
      <c r="W6107" s="19">
        <f>IF($I6107="","",IF(ISNUMBER($I6107),TEXT($I6107,"0"),$I6107))</f>
        <v/>
      </c>
    </row>
    <row r="6108">
      <c r="B6108" s="25" t="n"/>
      <c r="I6108" s="25" t="n"/>
      <c r="U6108" s="19">
        <f>IF(AND($V6108='設定'!$C$4,COUNTIF('商品マスタ'!$B$6:$B$1005,$W6108)=0),N(U6107)+1,N(U6107))</f>
        <v/>
      </c>
      <c r="V6108" s="19">
        <f>IF($B6108="","",TEXT($B6108,"0000"))</f>
        <v/>
      </c>
      <c r="W6108" s="19">
        <f>IF($I6108="","",IF(ISNUMBER($I6108),TEXT($I6108,"0"),$I6108))</f>
        <v/>
      </c>
    </row>
    <row r="6109">
      <c r="B6109" s="25" t="n"/>
      <c r="I6109" s="25" t="n"/>
      <c r="U6109" s="19">
        <f>IF(AND($V6109='設定'!$C$4,COUNTIF('商品マスタ'!$B$6:$B$1005,$W6109)=0),N(U6108)+1,N(U6108))</f>
        <v/>
      </c>
      <c r="V6109" s="19">
        <f>IF($B6109="","",TEXT($B6109,"0000"))</f>
        <v/>
      </c>
      <c r="W6109" s="19">
        <f>IF($I6109="","",IF(ISNUMBER($I6109),TEXT($I6109,"0"),$I6109))</f>
        <v/>
      </c>
    </row>
    <row r="6110">
      <c r="B6110" s="25" t="n"/>
      <c r="I6110" s="25" t="n"/>
      <c r="U6110" s="19">
        <f>IF(AND($V6110='設定'!$C$4,COUNTIF('商品マスタ'!$B$6:$B$1005,$W6110)=0),N(U6109)+1,N(U6109))</f>
        <v/>
      </c>
      <c r="V6110" s="19">
        <f>IF($B6110="","",TEXT($B6110,"0000"))</f>
        <v/>
      </c>
      <c r="W6110" s="19">
        <f>IF($I6110="","",IF(ISNUMBER($I6110),TEXT($I6110,"0"),$I6110))</f>
        <v/>
      </c>
    </row>
    <row r="6111">
      <c r="B6111" s="25" t="n"/>
      <c r="I6111" s="25" t="n"/>
      <c r="U6111" s="19">
        <f>IF(AND($V6111='設定'!$C$4,COUNTIF('商品マスタ'!$B$6:$B$1005,$W6111)=0),N(U6110)+1,N(U6110))</f>
        <v/>
      </c>
      <c r="V6111" s="19">
        <f>IF($B6111="","",TEXT($B6111,"0000"))</f>
        <v/>
      </c>
      <c r="W6111" s="19">
        <f>IF($I6111="","",IF(ISNUMBER($I6111),TEXT($I6111,"0"),$I6111))</f>
        <v/>
      </c>
    </row>
    <row r="6112">
      <c r="B6112" s="25" t="n"/>
      <c r="I6112" s="25" t="n"/>
      <c r="U6112" s="19">
        <f>IF(AND($V6112='設定'!$C$4,COUNTIF('商品マスタ'!$B$6:$B$1005,$W6112)=0),N(U6111)+1,N(U6111))</f>
        <v/>
      </c>
      <c r="V6112" s="19">
        <f>IF($B6112="","",TEXT($B6112,"0000"))</f>
        <v/>
      </c>
      <c r="W6112" s="19">
        <f>IF($I6112="","",IF(ISNUMBER($I6112),TEXT($I6112,"0"),$I6112))</f>
        <v/>
      </c>
    </row>
    <row r="6113">
      <c r="B6113" s="25" t="n"/>
      <c r="I6113" s="25" t="n"/>
      <c r="U6113" s="19">
        <f>IF(AND($V6113='設定'!$C$4,COUNTIF('商品マスタ'!$B$6:$B$1005,$W6113)=0),N(U6112)+1,N(U6112))</f>
        <v/>
      </c>
      <c r="V6113" s="19">
        <f>IF($B6113="","",TEXT($B6113,"0000"))</f>
        <v/>
      </c>
      <c r="W6113" s="19">
        <f>IF($I6113="","",IF(ISNUMBER($I6113),TEXT($I6113,"0"),$I6113))</f>
        <v/>
      </c>
    </row>
    <row r="6114">
      <c r="B6114" s="25" t="n"/>
      <c r="I6114" s="25" t="n"/>
      <c r="U6114" s="19">
        <f>IF(AND($V6114='設定'!$C$4,COUNTIF('商品マスタ'!$B$6:$B$1005,$W6114)=0),N(U6113)+1,N(U6113))</f>
        <v/>
      </c>
      <c r="V6114" s="19">
        <f>IF($B6114="","",TEXT($B6114,"0000"))</f>
        <v/>
      </c>
      <c r="W6114" s="19">
        <f>IF($I6114="","",IF(ISNUMBER($I6114),TEXT($I6114,"0"),$I6114))</f>
        <v/>
      </c>
    </row>
    <row r="6115">
      <c r="B6115" s="25" t="n"/>
      <c r="I6115" s="25" t="n"/>
      <c r="U6115" s="19">
        <f>IF(AND($V6115='設定'!$C$4,COUNTIF('商品マスタ'!$B$6:$B$1005,$W6115)=0),N(U6114)+1,N(U6114))</f>
        <v/>
      </c>
      <c r="V6115" s="19">
        <f>IF($B6115="","",TEXT($B6115,"0000"))</f>
        <v/>
      </c>
      <c r="W6115" s="19">
        <f>IF($I6115="","",IF(ISNUMBER($I6115),TEXT($I6115,"0"),$I6115))</f>
        <v/>
      </c>
    </row>
    <row r="6116">
      <c r="B6116" s="25" t="n"/>
      <c r="I6116" s="25" t="n"/>
      <c r="U6116" s="19">
        <f>IF(AND($V6116='設定'!$C$4,COUNTIF('商品マスタ'!$B$6:$B$1005,$W6116)=0),N(U6115)+1,N(U6115))</f>
        <v/>
      </c>
      <c r="V6116" s="19">
        <f>IF($B6116="","",TEXT($B6116,"0000"))</f>
        <v/>
      </c>
      <c r="W6116" s="19">
        <f>IF($I6116="","",IF(ISNUMBER($I6116),TEXT($I6116,"0"),$I6116))</f>
        <v/>
      </c>
    </row>
    <row r="6117">
      <c r="B6117" s="25" t="n"/>
      <c r="I6117" s="25" t="n"/>
      <c r="U6117" s="19">
        <f>IF(AND($V6117='設定'!$C$4,COUNTIF('商品マスタ'!$B$6:$B$1005,$W6117)=0),N(U6116)+1,N(U6116))</f>
        <v/>
      </c>
      <c r="V6117" s="19">
        <f>IF($B6117="","",TEXT($B6117,"0000"))</f>
        <v/>
      </c>
      <c r="W6117" s="19">
        <f>IF($I6117="","",IF(ISNUMBER($I6117),TEXT($I6117,"0"),$I6117))</f>
        <v/>
      </c>
    </row>
    <row r="6118">
      <c r="B6118" s="25" t="n"/>
      <c r="I6118" s="25" t="n"/>
      <c r="U6118" s="19">
        <f>IF(AND($V6118='設定'!$C$4,COUNTIF('商品マスタ'!$B$6:$B$1005,$W6118)=0),N(U6117)+1,N(U6117))</f>
        <v/>
      </c>
      <c r="V6118" s="19">
        <f>IF($B6118="","",TEXT($B6118,"0000"))</f>
        <v/>
      </c>
      <c r="W6118" s="19">
        <f>IF($I6118="","",IF(ISNUMBER($I6118),TEXT($I6118,"0"),$I6118))</f>
        <v/>
      </c>
    </row>
    <row r="6119">
      <c r="B6119" s="25" t="n"/>
      <c r="I6119" s="25" t="n"/>
      <c r="U6119" s="19">
        <f>IF(AND($V6119='設定'!$C$4,COUNTIF('商品マスタ'!$B$6:$B$1005,$W6119)=0),N(U6118)+1,N(U6118))</f>
        <v/>
      </c>
      <c r="V6119" s="19">
        <f>IF($B6119="","",TEXT($B6119,"0000"))</f>
        <v/>
      </c>
      <c r="W6119" s="19">
        <f>IF($I6119="","",IF(ISNUMBER($I6119),TEXT($I6119,"0"),$I6119))</f>
        <v/>
      </c>
    </row>
    <row r="6120">
      <c r="B6120" s="25" t="n"/>
      <c r="I6120" s="25" t="n"/>
      <c r="U6120" s="19">
        <f>IF(AND($V6120='設定'!$C$4,COUNTIF('商品マスタ'!$B$6:$B$1005,$W6120)=0),N(U6119)+1,N(U6119))</f>
        <v/>
      </c>
      <c r="V6120" s="19">
        <f>IF($B6120="","",TEXT($B6120,"0000"))</f>
        <v/>
      </c>
      <c r="W6120" s="19">
        <f>IF($I6120="","",IF(ISNUMBER($I6120),TEXT($I6120,"0"),$I6120))</f>
        <v/>
      </c>
    </row>
    <row r="6121">
      <c r="B6121" s="25" t="n"/>
      <c r="I6121" s="25" t="n"/>
      <c r="U6121" s="19">
        <f>IF(AND($V6121='設定'!$C$4,COUNTIF('商品マスタ'!$B$6:$B$1005,$W6121)=0),N(U6120)+1,N(U6120))</f>
        <v/>
      </c>
      <c r="V6121" s="19">
        <f>IF($B6121="","",TEXT($B6121,"0000"))</f>
        <v/>
      </c>
      <c r="W6121" s="19">
        <f>IF($I6121="","",IF(ISNUMBER($I6121),TEXT($I6121,"0"),$I6121))</f>
        <v/>
      </c>
    </row>
    <row r="6122">
      <c r="B6122" s="25" t="n"/>
      <c r="I6122" s="25" t="n"/>
      <c r="U6122" s="19">
        <f>IF(AND($V6122='設定'!$C$4,COUNTIF('商品マスタ'!$B$6:$B$1005,$W6122)=0),N(U6121)+1,N(U6121))</f>
        <v/>
      </c>
      <c r="V6122" s="19">
        <f>IF($B6122="","",TEXT($B6122,"0000"))</f>
        <v/>
      </c>
      <c r="W6122" s="19">
        <f>IF($I6122="","",IF(ISNUMBER($I6122),TEXT($I6122,"0"),$I6122))</f>
        <v/>
      </c>
    </row>
    <row r="6123">
      <c r="B6123" s="25" t="n"/>
      <c r="I6123" s="25" t="n"/>
      <c r="U6123" s="19">
        <f>IF(AND($V6123='設定'!$C$4,COUNTIF('商品マスタ'!$B$6:$B$1005,$W6123)=0),N(U6122)+1,N(U6122))</f>
        <v/>
      </c>
      <c r="V6123" s="19">
        <f>IF($B6123="","",TEXT($B6123,"0000"))</f>
        <v/>
      </c>
      <c r="W6123" s="19">
        <f>IF($I6123="","",IF(ISNUMBER($I6123),TEXT($I6123,"0"),$I6123))</f>
        <v/>
      </c>
    </row>
    <row r="6124">
      <c r="B6124" s="25" t="n"/>
      <c r="I6124" s="25" t="n"/>
      <c r="U6124" s="19">
        <f>IF(AND($V6124='設定'!$C$4,COUNTIF('商品マスタ'!$B$6:$B$1005,$W6124)=0),N(U6123)+1,N(U6123))</f>
        <v/>
      </c>
      <c r="V6124" s="19">
        <f>IF($B6124="","",TEXT($B6124,"0000"))</f>
        <v/>
      </c>
      <c r="W6124" s="19">
        <f>IF($I6124="","",IF(ISNUMBER($I6124),TEXT($I6124,"0"),$I6124))</f>
        <v/>
      </c>
    </row>
    <row r="6125">
      <c r="B6125" s="25" t="n"/>
      <c r="I6125" s="25" t="n"/>
      <c r="U6125" s="19">
        <f>IF(AND($V6125='設定'!$C$4,COUNTIF('商品マスタ'!$B$6:$B$1005,$W6125)=0),N(U6124)+1,N(U6124))</f>
        <v/>
      </c>
      <c r="V6125" s="19">
        <f>IF($B6125="","",TEXT($B6125,"0000"))</f>
        <v/>
      </c>
      <c r="W6125" s="19">
        <f>IF($I6125="","",IF(ISNUMBER($I6125),TEXT($I6125,"0"),$I6125))</f>
        <v/>
      </c>
    </row>
    <row r="6126">
      <c r="B6126" s="25" t="n"/>
      <c r="I6126" s="25" t="n"/>
      <c r="U6126" s="19">
        <f>IF(AND($V6126='設定'!$C$4,COUNTIF('商品マスタ'!$B$6:$B$1005,$W6126)=0),N(U6125)+1,N(U6125))</f>
        <v/>
      </c>
      <c r="V6126" s="19">
        <f>IF($B6126="","",TEXT($B6126,"0000"))</f>
        <v/>
      </c>
      <c r="W6126" s="19">
        <f>IF($I6126="","",IF(ISNUMBER($I6126),TEXT($I6126,"0"),$I6126))</f>
        <v/>
      </c>
    </row>
    <row r="6127">
      <c r="B6127" s="25" t="n"/>
      <c r="I6127" s="25" t="n"/>
      <c r="U6127" s="19">
        <f>IF(AND($V6127='設定'!$C$4,COUNTIF('商品マスタ'!$B$6:$B$1005,$W6127)=0),N(U6126)+1,N(U6126))</f>
        <v/>
      </c>
      <c r="V6127" s="19">
        <f>IF($B6127="","",TEXT($B6127,"0000"))</f>
        <v/>
      </c>
      <c r="W6127" s="19">
        <f>IF($I6127="","",IF(ISNUMBER($I6127),TEXT($I6127,"0"),$I6127))</f>
        <v/>
      </c>
    </row>
    <row r="6128">
      <c r="B6128" s="25" t="n"/>
      <c r="I6128" s="25" t="n"/>
      <c r="U6128" s="19">
        <f>IF(AND($V6128='設定'!$C$4,COUNTIF('商品マスタ'!$B$6:$B$1005,$W6128)=0),N(U6127)+1,N(U6127))</f>
        <v/>
      </c>
      <c r="V6128" s="19">
        <f>IF($B6128="","",TEXT($B6128,"0000"))</f>
        <v/>
      </c>
      <c r="W6128" s="19">
        <f>IF($I6128="","",IF(ISNUMBER($I6128),TEXT($I6128,"0"),$I6128))</f>
        <v/>
      </c>
    </row>
    <row r="6129">
      <c r="B6129" s="25" t="n"/>
      <c r="I6129" s="25" t="n"/>
      <c r="U6129" s="19">
        <f>IF(AND($V6129='設定'!$C$4,COUNTIF('商品マスタ'!$B$6:$B$1005,$W6129)=0),N(U6128)+1,N(U6128))</f>
        <v/>
      </c>
      <c r="V6129" s="19">
        <f>IF($B6129="","",TEXT($B6129,"0000"))</f>
        <v/>
      </c>
      <c r="W6129" s="19">
        <f>IF($I6129="","",IF(ISNUMBER($I6129),TEXT($I6129,"0"),$I6129))</f>
        <v/>
      </c>
    </row>
    <row r="6130">
      <c r="B6130" s="25" t="n"/>
      <c r="I6130" s="25" t="n"/>
      <c r="U6130" s="19">
        <f>IF(AND($V6130='設定'!$C$4,COUNTIF('商品マスタ'!$B$6:$B$1005,$W6130)=0),N(U6129)+1,N(U6129))</f>
        <v/>
      </c>
      <c r="V6130" s="19">
        <f>IF($B6130="","",TEXT($B6130,"0000"))</f>
        <v/>
      </c>
      <c r="W6130" s="19">
        <f>IF($I6130="","",IF(ISNUMBER($I6130),TEXT($I6130,"0"),$I6130))</f>
        <v/>
      </c>
    </row>
    <row r="6131">
      <c r="B6131" s="25" t="n"/>
      <c r="I6131" s="25" t="n"/>
      <c r="U6131" s="19">
        <f>IF(AND($V6131='設定'!$C$4,COUNTIF('商品マスタ'!$B$6:$B$1005,$W6131)=0),N(U6130)+1,N(U6130))</f>
        <v/>
      </c>
      <c r="V6131" s="19">
        <f>IF($B6131="","",TEXT($B6131,"0000"))</f>
        <v/>
      </c>
      <c r="W6131" s="19">
        <f>IF($I6131="","",IF(ISNUMBER($I6131),TEXT($I6131,"0"),$I6131))</f>
        <v/>
      </c>
    </row>
    <row r="6132">
      <c r="B6132" s="25" t="n"/>
      <c r="I6132" s="25" t="n"/>
      <c r="U6132" s="19">
        <f>IF(AND($V6132='設定'!$C$4,COUNTIF('商品マスタ'!$B$6:$B$1005,$W6132)=0),N(U6131)+1,N(U6131))</f>
        <v/>
      </c>
      <c r="V6132" s="19">
        <f>IF($B6132="","",TEXT($B6132,"0000"))</f>
        <v/>
      </c>
      <c r="W6132" s="19">
        <f>IF($I6132="","",IF(ISNUMBER($I6132),TEXT($I6132,"0"),$I6132))</f>
        <v/>
      </c>
    </row>
    <row r="6133">
      <c r="B6133" s="25" t="n"/>
      <c r="I6133" s="25" t="n"/>
      <c r="U6133" s="19">
        <f>IF(AND($V6133='設定'!$C$4,COUNTIF('商品マスタ'!$B$6:$B$1005,$W6133)=0),N(U6132)+1,N(U6132))</f>
        <v/>
      </c>
      <c r="V6133" s="19">
        <f>IF($B6133="","",TEXT($B6133,"0000"))</f>
        <v/>
      </c>
      <c r="W6133" s="19">
        <f>IF($I6133="","",IF(ISNUMBER($I6133),TEXT($I6133,"0"),$I6133))</f>
        <v/>
      </c>
    </row>
    <row r="6134">
      <c r="B6134" s="25" t="n"/>
      <c r="I6134" s="25" t="n"/>
      <c r="U6134" s="19">
        <f>IF(AND($V6134='設定'!$C$4,COUNTIF('商品マスタ'!$B$6:$B$1005,$W6134)=0),N(U6133)+1,N(U6133))</f>
        <v/>
      </c>
      <c r="V6134" s="19">
        <f>IF($B6134="","",TEXT($B6134,"0000"))</f>
        <v/>
      </c>
      <c r="W6134" s="19">
        <f>IF($I6134="","",IF(ISNUMBER($I6134),TEXT($I6134,"0"),$I6134))</f>
        <v/>
      </c>
    </row>
    <row r="6135">
      <c r="B6135" s="25" t="n"/>
      <c r="I6135" s="25" t="n"/>
      <c r="U6135" s="19">
        <f>IF(AND($V6135='設定'!$C$4,COUNTIF('商品マスタ'!$B$6:$B$1005,$W6135)=0),N(U6134)+1,N(U6134))</f>
        <v/>
      </c>
      <c r="V6135" s="19">
        <f>IF($B6135="","",TEXT($B6135,"0000"))</f>
        <v/>
      </c>
      <c r="W6135" s="19">
        <f>IF($I6135="","",IF(ISNUMBER($I6135),TEXT($I6135,"0"),$I6135))</f>
        <v/>
      </c>
    </row>
    <row r="6136">
      <c r="B6136" s="25" t="n"/>
      <c r="I6136" s="25" t="n"/>
      <c r="U6136" s="19">
        <f>IF(AND($V6136='設定'!$C$4,COUNTIF('商品マスタ'!$B$6:$B$1005,$W6136)=0),N(U6135)+1,N(U6135))</f>
        <v/>
      </c>
      <c r="V6136" s="19">
        <f>IF($B6136="","",TEXT($B6136,"0000"))</f>
        <v/>
      </c>
      <c r="W6136" s="19">
        <f>IF($I6136="","",IF(ISNUMBER($I6136),TEXT($I6136,"0"),$I6136))</f>
        <v/>
      </c>
    </row>
    <row r="6137">
      <c r="B6137" s="25" t="n"/>
      <c r="I6137" s="25" t="n"/>
      <c r="U6137" s="19">
        <f>IF(AND($V6137='設定'!$C$4,COUNTIF('商品マスタ'!$B$6:$B$1005,$W6137)=0),N(U6136)+1,N(U6136))</f>
        <v/>
      </c>
      <c r="V6137" s="19">
        <f>IF($B6137="","",TEXT($B6137,"0000"))</f>
        <v/>
      </c>
      <c r="W6137" s="19">
        <f>IF($I6137="","",IF(ISNUMBER($I6137),TEXT($I6137,"0"),$I6137))</f>
        <v/>
      </c>
    </row>
    <row r="6138">
      <c r="B6138" s="25" t="n"/>
      <c r="I6138" s="25" t="n"/>
      <c r="U6138" s="19">
        <f>IF(AND($V6138='設定'!$C$4,COUNTIF('商品マスタ'!$B$6:$B$1005,$W6138)=0),N(U6137)+1,N(U6137))</f>
        <v/>
      </c>
      <c r="V6138" s="19">
        <f>IF($B6138="","",TEXT($B6138,"0000"))</f>
        <v/>
      </c>
      <c r="W6138" s="19">
        <f>IF($I6138="","",IF(ISNUMBER($I6138),TEXT($I6138,"0"),$I6138))</f>
        <v/>
      </c>
    </row>
    <row r="6139">
      <c r="B6139" s="25" t="n"/>
      <c r="I6139" s="25" t="n"/>
      <c r="U6139" s="19">
        <f>IF(AND($V6139='設定'!$C$4,COUNTIF('商品マスタ'!$B$6:$B$1005,$W6139)=0),N(U6138)+1,N(U6138))</f>
        <v/>
      </c>
      <c r="V6139" s="19">
        <f>IF($B6139="","",TEXT($B6139,"0000"))</f>
        <v/>
      </c>
      <c r="W6139" s="19">
        <f>IF($I6139="","",IF(ISNUMBER($I6139),TEXT($I6139,"0"),$I6139))</f>
        <v/>
      </c>
    </row>
    <row r="6140">
      <c r="B6140" s="25" t="n"/>
      <c r="I6140" s="25" t="n"/>
      <c r="U6140" s="19">
        <f>IF(AND($V6140='設定'!$C$4,COUNTIF('商品マスタ'!$B$6:$B$1005,$W6140)=0),N(U6139)+1,N(U6139))</f>
        <v/>
      </c>
      <c r="V6140" s="19">
        <f>IF($B6140="","",TEXT($B6140,"0000"))</f>
        <v/>
      </c>
      <c r="W6140" s="19">
        <f>IF($I6140="","",IF(ISNUMBER($I6140),TEXT($I6140,"0"),$I6140))</f>
        <v/>
      </c>
    </row>
    <row r="6141">
      <c r="B6141" s="25" t="n"/>
      <c r="I6141" s="25" t="n"/>
      <c r="U6141" s="19">
        <f>IF(AND($V6141='設定'!$C$4,COUNTIF('商品マスタ'!$B$6:$B$1005,$W6141)=0),N(U6140)+1,N(U6140))</f>
        <v/>
      </c>
      <c r="V6141" s="19">
        <f>IF($B6141="","",TEXT($B6141,"0000"))</f>
        <v/>
      </c>
      <c r="W6141" s="19">
        <f>IF($I6141="","",IF(ISNUMBER($I6141),TEXT($I6141,"0"),$I6141))</f>
        <v/>
      </c>
    </row>
    <row r="6142">
      <c r="B6142" s="25" t="n"/>
      <c r="I6142" s="25" t="n"/>
      <c r="U6142" s="19">
        <f>IF(AND($V6142='設定'!$C$4,COUNTIF('商品マスタ'!$B$6:$B$1005,$W6142)=0),N(U6141)+1,N(U6141))</f>
        <v/>
      </c>
      <c r="V6142" s="19">
        <f>IF($B6142="","",TEXT($B6142,"0000"))</f>
        <v/>
      </c>
      <c r="W6142" s="19">
        <f>IF($I6142="","",IF(ISNUMBER($I6142),TEXT($I6142,"0"),$I6142))</f>
        <v/>
      </c>
    </row>
    <row r="6143">
      <c r="B6143" s="25" t="n"/>
      <c r="I6143" s="25" t="n"/>
      <c r="U6143" s="19">
        <f>IF(AND($V6143='設定'!$C$4,COUNTIF('商品マスタ'!$B$6:$B$1005,$W6143)=0),N(U6142)+1,N(U6142))</f>
        <v/>
      </c>
      <c r="V6143" s="19">
        <f>IF($B6143="","",TEXT($B6143,"0000"))</f>
        <v/>
      </c>
      <c r="W6143" s="19">
        <f>IF($I6143="","",IF(ISNUMBER($I6143),TEXT($I6143,"0"),$I6143))</f>
        <v/>
      </c>
    </row>
    <row r="6144">
      <c r="B6144" s="25" t="n"/>
      <c r="I6144" s="25" t="n"/>
      <c r="U6144" s="19">
        <f>IF(AND($V6144='設定'!$C$4,COUNTIF('商品マスタ'!$B$6:$B$1005,$W6144)=0),N(U6143)+1,N(U6143))</f>
        <v/>
      </c>
      <c r="V6144" s="19">
        <f>IF($B6144="","",TEXT($B6144,"0000"))</f>
        <v/>
      </c>
      <c r="W6144" s="19">
        <f>IF($I6144="","",IF(ISNUMBER($I6144),TEXT($I6144,"0"),$I6144))</f>
        <v/>
      </c>
    </row>
    <row r="6145">
      <c r="B6145" s="25" t="n"/>
      <c r="I6145" s="25" t="n"/>
      <c r="U6145" s="19">
        <f>IF(AND($V6145='設定'!$C$4,COUNTIF('商品マスタ'!$B$6:$B$1005,$W6145)=0),N(U6144)+1,N(U6144))</f>
        <v/>
      </c>
      <c r="V6145" s="19">
        <f>IF($B6145="","",TEXT($B6145,"0000"))</f>
        <v/>
      </c>
      <c r="W6145" s="19">
        <f>IF($I6145="","",IF(ISNUMBER($I6145),TEXT($I6145,"0"),$I6145))</f>
        <v/>
      </c>
    </row>
    <row r="6146">
      <c r="B6146" s="25" t="n"/>
      <c r="I6146" s="25" t="n"/>
      <c r="U6146" s="19">
        <f>IF(AND($V6146='設定'!$C$4,COUNTIF('商品マスタ'!$B$6:$B$1005,$W6146)=0),N(U6145)+1,N(U6145))</f>
        <v/>
      </c>
      <c r="V6146" s="19">
        <f>IF($B6146="","",TEXT($B6146,"0000"))</f>
        <v/>
      </c>
      <c r="W6146" s="19">
        <f>IF($I6146="","",IF(ISNUMBER($I6146),TEXT($I6146,"0"),$I6146))</f>
        <v/>
      </c>
    </row>
    <row r="6147">
      <c r="B6147" s="25" t="n"/>
      <c r="I6147" s="25" t="n"/>
      <c r="U6147" s="19">
        <f>IF(AND($V6147='設定'!$C$4,COUNTIF('商品マスタ'!$B$6:$B$1005,$W6147)=0),N(U6146)+1,N(U6146))</f>
        <v/>
      </c>
      <c r="V6147" s="19">
        <f>IF($B6147="","",TEXT($B6147,"0000"))</f>
        <v/>
      </c>
      <c r="W6147" s="19">
        <f>IF($I6147="","",IF(ISNUMBER($I6147),TEXT($I6147,"0"),$I6147))</f>
        <v/>
      </c>
    </row>
    <row r="6148">
      <c r="B6148" s="25" t="n"/>
      <c r="I6148" s="25" t="n"/>
      <c r="U6148" s="19">
        <f>IF(AND($V6148='設定'!$C$4,COUNTIF('商品マスタ'!$B$6:$B$1005,$W6148)=0),N(U6147)+1,N(U6147))</f>
        <v/>
      </c>
      <c r="V6148" s="19">
        <f>IF($B6148="","",TEXT($B6148,"0000"))</f>
        <v/>
      </c>
      <c r="W6148" s="19">
        <f>IF($I6148="","",IF(ISNUMBER($I6148),TEXT($I6148,"0"),$I6148))</f>
        <v/>
      </c>
    </row>
    <row r="6149">
      <c r="B6149" s="25" t="n"/>
      <c r="I6149" s="25" t="n"/>
      <c r="U6149" s="19">
        <f>IF(AND($V6149='設定'!$C$4,COUNTIF('商品マスタ'!$B$6:$B$1005,$W6149)=0),N(U6148)+1,N(U6148))</f>
        <v/>
      </c>
      <c r="V6149" s="19">
        <f>IF($B6149="","",TEXT($B6149,"0000"))</f>
        <v/>
      </c>
      <c r="W6149" s="19">
        <f>IF($I6149="","",IF(ISNUMBER($I6149),TEXT($I6149,"0"),$I6149))</f>
        <v/>
      </c>
    </row>
    <row r="6150">
      <c r="B6150" s="25" t="n"/>
      <c r="I6150" s="25" t="n"/>
      <c r="U6150" s="19">
        <f>IF(AND($V6150='設定'!$C$4,COUNTIF('商品マスタ'!$B$6:$B$1005,$W6150)=0),N(U6149)+1,N(U6149))</f>
        <v/>
      </c>
      <c r="V6150" s="19">
        <f>IF($B6150="","",TEXT($B6150,"0000"))</f>
        <v/>
      </c>
      <c r="W6150" s="19">
        <f>IF($I6150="","",IF(ISNUMBER($I6150),TEXT($I6150,"0"),$I6150))</f>
        <v/>
      </c>
    </row>
    <row r="6151">
      <c r="B6151" s="25" t="n"/>
      <c r="I6151" s="25" t="n"/>
      <c r="U6151" s="19">
        <f>IF(AND($V6151='設定'!$C$4,COUNTIF('商品マスタ'!$B$6:$B$1005,$W6151)=0),N(U6150)+1,N(U6150))</f>
        <v/>
      </c>
      <c r="V6151" s="19">
        <f>IF($B6151="","",TEXT($B6151,"0000"))</f>
        <v/>
      </c>
      <c r="W6151" s="19">
        <f>IF($I6151="","",IF(ISNUMBER($I6151),TEXT($I6151,"0"),$I6151))</f>
        <v/>
      </c>
    </row>
    <row r="6152">
      <c r="B6152" s="25" t="n"/>
      <c r="I6152" s="25" t="n"/>
      <c r="U6152" s="19">
        <f>IF(AND($V6152='設定'!$C$4,COUNTIF('商品マスタ'!$B$6:$B$1005,$W6152)=0),N(U6151)+1,N(U6151))</f>
        <v/>
      </c>
      <c r="V6152" s="19">
        <f>IF($B6152="","",TEXT($B6152,"0000"))</f>
        <v/>
      </c>
      <c r="W6152" s="19">
        <f>IF($I6152="","",IF(ISNUMBER($I6152),TEXT($I6152,"0"),$I6152))</f>
        <v/>
      </c>
    </row>
    <row r="6153">
      <c r="B6153" s="25" t="n"/>
      <c r="I6153" s="25" t="n"/>
      <c r="U6153" s="19">
        <f>IF(AND($V6153='設定'!$C$4,COUNTIF('商品マスタ'!$B$6:$B$1005,$W6153)=0),N(U6152)+1,N(U6152))</f>
        <v/>
      </c>
      <c r="V6153" s="19">
        <f>IF($B6153="","",TEXT($B6153,"0000"))</f>
        <v/>
      </c>
      <c r="W6153" s="19">
        <f>IF($I6153="","",IF(ISNUMBER($I6153),TEXT($I6153,"0"),$I6153))</f>
        <v/>
      </c>
    </row>
    <row r="6154">
      <c r="B6154" s="25" t="n"/>
      <c r="I6154" s="25" t="n"/>
      <c r="U6154" s="19">
        <f>IF(AND($V6154='設定'!$C$4,COUNTIF('商品マスタ'!$B$6:$B$1005,$W6154)=0),N(U6153)+1,N(U6153))</f>
        <v/>
      </c>
      <c r="V6154" s="19">
        <f>IF($B6154="","",TEXT($B6154,"0000"))</f>
        <v/>
      </c>
      <c r="W6154" s="19">
        <f>IF($I6154="","",IF(ISNUMBER($I6154),TEXT($I6154,"0"),$I6154))</f>
        <v/>
      </c>
    </row>
    <row r="6155">
      <c r="B6155" s="25" t="n"/>
      <c r="I6155" s="25" t="n"/>
      <c r="U6155" s="19">
        <f>IF(AND($V6155='設定'!$C$4,COUNTIF('商品マスタ'!$B$6:$B$1005,$W6155)=0),N(U6154)+1,N(U6154))</f>
        <v/>
      </c>
      <c r="V6155" s="19">
        <f>IF($B6155="","",TEXT($B6155,"0000"))</f>
        <v/>
      </c>
      <c r="W6155" s="19">
        <f>IF($I6155="","",IF(ISNUMBER($I6155),TEXT($I6155,"0"),$I6155))</f>
        <v/>
      </c>
    </row>
    <row r="6156">
      <c r="B6156" s="25" t="n"/>
      <c r="I6156" s="25" t="n"/>
      <c r="U6156" s="19">
        <f>IF(AND($V6156='設定'!$C$4,COUNTIF('商品マスタ'!$B$6:$B$1005,$W6156)=0),N(U6155)+1,N(U6155))</f>
        <v/>
      </c>
      <c r="V6156" s="19">
        <f>IF($B6156="","",TEXT($B6156,"0000"))</f>
        <v/>
      </c>
      <c r="W6156" s="19">
        <f>IF($I6156="","",IF(ISNUMBER($I6156),TEXT($I6156,"0"),$I6156))</f>
        <v/>
      </c>
    </row>
    <row r="6157">
      <c r="B6157" s="25" t="n"/>
      <c r="I6157" s="25" t="n"/>
      <c r="U6157" s="19">
        <f>IF(AND($V6157='設定'!$C$4,COUNTIF('商品マスタ'!$B$6:$B$1005,$W6157)=0),N(U6156)+1,N(U6156))</f>
        <v/>
      </c>
      <c r="V6157" s="19">
        <f>IF($B6157="","",TEXT($B6157,"0000"))</f>
        <v/>
      </c>
      <c r="W6157" s="19">
        <f>IF($I6157="","",IF(ISNUMBER($I6157),TEXT($I6157,"0"),$I6157))</f>
        <v/>
      </c>
    </row>
    <row r="6158">
      <c r="B6158" s="25" t="n"/>
      <c r="I6158" s="25" t="n"/>
      <c r="U6158" s="19">
        <f>IF(AND($V6158='設定'!$C$4,COUNTIF('商品マスタ'!$B$6:$B$1005,$W6158)=0),N(U6157)+1,N(U6157))</f>
        <v/>
      </c>
      <c r="V6158" s="19">
        <f>IF($B6158="","",TEXT($B6158,"0000"))</f>
        <v/>
      </c>
      <c r="W6158" s="19">
        <f>IF($I6158="","",IF(ISNUMBER($I6158),TEXT($I6158,"0"),$I6158))</f>
        <v/>
      </c>
    </row>
    <row r="6159">
      <c r="B6159" s="25" t="n"/>
      <c r="I6159" s="25" t="n"/>
      <c r="U6159" s="19">
        <f>IF(AND($V6159='設定'!$C$4,COUNTIF('商品マスタ'!$B$6:$B$1005,$W6159)=0),N(U6158)+1,N(U6158))</f>
        <v/>
      </c>
      <c r="V6159" s="19">
        <f>IF($B6159="","",TEXT($B6159,"0000"))</f>
        <v/>
      </c>
      <c r="W6159" s="19">
        <f>IF($I6159="","",IF(ISNUMBER($I6159),TEXT($I6159,"0"),$I6159))</f>
        <v/>
      </c>
    </row>
    <row r="6160">
      <c r="B6160" s="25" t="n"/>
      <c r="I6160" s="25" t="n"/>
      <c r="U6160" s="19">
        <f>IF(AND($V6160='設定'!$C$4,COUNTIF('商品マスタ'!$B$6:$B$1005,$W6160)=0),N(U6159)+1,N(U6159))</f>
        <v/>
      </c>
      <c r="V6160" s="19">
        <f>IF($B6160="","",TEXT($B6160,"0000"))</f>
        <v/>
      </c>
      <c r="W6160" s="19">
        <f>IF($I6160="","",IF(ISNUMBER($I6160),TEXT($I6160,"0"),$I6160))</f>
        <v/>
      </c>
    </row>
    <row r="6161">
      <c r="B6161" s="25" t="n"/>
      <c r="I6161" s="25" t="n"/>
      <c r="U6161" s="19">
        <f>IF(AND($V6161='設定'!$C$4,COUNTIF('商品マスタ'!$B$6:$B$1005,$W6161)=0),N(U6160)+1,N(U6160))</f>
        <v/>
      </c>
      <c r="V6161" s="19">
        <f>IF($B6161="","",TEXT($B6161,"0000"))</f>
        <v/>
      </c>
      <c r="W6161" s="19">
        <f>IF($I6161="","",IF(ISNUMBER($I6161),TEXT($I6161,"0"),$I6161))</f>
        <v/>
      </c>
    </row>
    <row r="6162">
      <c r="B6162" s="25" t="n"/>
      <c r="I6162" s="25" t="n"/>
      <c r="U6162" s="19">
        <f>IF(AND($V6162='設定'!$C$4,COUNTIF('商品マスタ'!$B$6:$B$1005,$W6162)=0),N(U6161)+1,N(U6161))</f>
        <v/>
      </c>
      <c r="V6162" s="19">
        <f>IF($B6162="","",TEXT($B6162,"0000"))</f>
        <v/>
      </c>
      <c r="W6162" s="19">
        <f>IF($I6162="","",IF(ISNUMBER($I6162),TEXT($I6162,"0"),$I6162))</f>
        <v/>
      </c>
    </row>
    <row r="6163">
      <c r="B6163" s="25" t="n"/>
      <c r="I6163" s="25" t="n"/>
      <c r="U6163" s="19">
        <f>IF(AND($V6163='設定'!$C$4,COUNTIF('商品マスタ'!$B$6:$B$1005,$W6163)=0),N(U6162)+1,N(U6162))</f>
        <v/>
      </c>
      <c r="V6163" s="19">
        <f>IF($B6163="","",TEXT($B6163,"0000"))</f>
        <v/>
      </c>
      <c r="W6163" s="19">
        <f>IF($I6163="","",IF(ISNUMBER($I6163),TEXT($I6163,"0"),$I6163))</f>
        <v/>
      </c>
    </row>
    <row r="6164">
      <c r="B6164" s="25" t="n"/>
      <c r="I6164" s="25" t="n"/>
      <c r="U6164" s="19">
        <f>IF(AND($V6164='設定'!$C$4,COUNTIF('商品マスタ'!$B$6:$B$1005,$W6164)=0),N(U6163)+1,N(U6163))</f>
        <v/>
      </c>
      <c r="V6164" s="19">
        <f>IF($B6164="","",TEXT($B6164,"0000"))</f>
        <v/>
      </c>
      <c r="W6164" s="19">
        <f>IF($I6164="","",IF(ISNUMBER($I6164),TEXT($I6164,"0"),$I6164))</f>
        <v/>
      </c>
    </row>
    <row r="6165">
      <c r="B6165" s="25" t="n"/>
      <c r="I6165" s="25" t="n"/>
      <c r="U6165" s="19">
        <f>IF(AND($V6165='設定'!$C$4,COUNTIF('商品マスタ'!$B$6:$B$1005,$W6165)=0),N(U6164)+1,N(U6164))</f>
        <v/>
      </c>
      <c r="V6165" s="19">
        <f>IF($B6165="","",TEXT($B6165,"0000"))</f>
        <v/>
      </c>
      <c r="W6165" s="19">
        <f>IF($I6165="","",IF(ISNUMBER($I6165),TEXT($I6165,"0"),$I6165))</f>
        <v/>
      </c>
    </row>
    <row r="6166">
      <c r="B6166" s="25" t="n"/>
      <c r="I6166" s="25" t="n"/>
      <c r="U6166" s="19">
        <f>IF(AND($V6166='設定'!$C$4,COUNTIF('商品マスタ'!$B$6:$B$1005,$W6166)=0),N(U6165)+1,N(U6165))</f>
        <v/>
      </c>
      <c r="V6166" s="19">
        <f>IF($B6166="","",TEXT($B6166,"0000"))</f>
        <v/>
      </c>
      <c r="W6166" s="19">
        <f>IF($I6166="","",IF(ISNUMBER($I6166),TEXT($I6166,"0"),$I6166))</f>
        <v/>
      </c>
    </row>
    <row r="6167">
      <c r="B6167" s="25" t="n"/>
      <c r="I6167" s="25" t="n"/>
      <c r="U6167" s="19">
        <f>IF(AND($V6167='設定'!$C$4,COUNTIF('商品マスタ'!$B$6:$B$1005,$W6167)=0),N(U6166)+1,N(U6166))</f>
        <v/>
      </c>
      <c r="V6167" s="19">
        <f>IF($B6167="","",TEXT($B6167,"0000"))</f>
        <v/>
      </c>
      <c r="W6167" s="19">
        <f>IF($I6167="","",IF(ISNUMBER($I6167),TEXT($I6167,"0"),$I6167))</f>
        <v/>
      </c>
    </row>
    <row r="6168">
      <c r="B6168" s="25" t="n"/>
      <c r="I6168" s="25" t="n"/>
      <c r="U6168" s="19">
        <f>IF(AND($V6168='設定'!$C$4,COUNTIF('商品マスタ'!$B$6:$B$1005,$W6168)=0),N(U6167)+1,N(U6167))</f>
        <v/>
      </c>
      <c r="V6168" s="19">
        <f>IF($B6168="","",TEXT($B6168,"0000"))</f>
        <v/>
      </c>
      <c r="W6168" s="19">
        <f>IF($I6168="","",IF(ISNUMBER($I6168),TEXT($I6168,"0"),$I6168))</f>
        <v/>
      </c>
    </row>
    <row r="6169">
      <c r="B6169" s="25" t="n"/>
      <c r="I6169" s="25" t="n"/>
      <c r="U6169" s="19">
        <f>IF(AND($V6169='設定'!$C$4,COUNTIF('商品マスタ'!$B$6:$B$1005,$W6169)=0),N(U6168)+1,N(U6168))</f>
        <v/>
      </c>
      <c r="V6169" s="19">
        <f>IF($B6169="","",TEXT($B6169,"0000"))</f>
        <v/>
      </c>
      <c r="W6169" s="19">
        <f>IF($I6169="","",IF(ISNUMBER($I6169),TEXT($I6169,"0"),$I6169))</f>
        <v/>
      </c>
    </row>
    <row r="6170">
      <c r="B6170" s="25" t="n"/>
      <c r="I6170" s="25" t="n"/>
      <c r="U6170" s="19">
        <f>IF(AND($V6170='設定'!$C$4,COUNTIF('商品マスタ'!$B$6:$B$1005,$W6170)=0),N(U6169)+1,N(U6169))</f>
        <v/>
      </c>
      <c r="V6170" s="19">
        <f>IF($B6170="","",TEXT($B6170,"0000"))</f>
        <v/>
      </c>
      <c r="W6170" s="19">
        <f>IF($I6170="","",IF(ISNUMBER($I6170),TEXT($I6170,"0"),$I6170))</f>
        <v/>
      </c>
    </row>
    <row r="6171">
      <c r="B6171" s="25" t="n"/>
      <c r="I6171" s="25" t="n"/>
      <c r="U6171" s="19">
        <f>IF(AND($V6171='設定'!$C$4,COUNTIF('商品マスタ'!$B$6:$B$1005,$W6171)=0),N(U6170)+1,N(U6170))</f>
        <v/>
      </c>
      <c r="V6171" s="19">
        <f>IF($B6171="","",TEXT($B6171,"0000"))</f>
        <v/>
      </c>
      <c r="W6171" s="19">
        <f>IF($I6171="","",IF(ISNUMBER($I6171),TEXT($I6171,"0"),$I6171))</f>
        <v/>
      </c>
    </row>
    <row r="6172">
      <c r="B6172" s="25" t="n"/>
      <c r="I6172" s="25" t="n"/>
      <c r="U6172" s="19">
        <f>IF(AND($V6172='設定'!$C$4,COUNTIF('商品マスタ'!$B$6:$B$1005,$W6172)=0),N(U6171)+1,N(U6171))</f>
        <v/>
      </c>
      <c r="V6172" s="19">
        <f>IF($B6172="","",TEXT($B6172,"0000"))</f>
        <v/>
      </c>
      <c r="W6172" s="19">
        <f>IF($I6172="","",IF(ISNUMBER($I6172),TEXT($I6172,"0"),$I6172))</f>
        <v/>
      </c>
    </row>
    <row r="6173">
      <c r="B6173" s="25" t="n"/>
      <c r="I6173" s="25" t="n"/>
      <c r="U6173" s="19">
        <f>IF(AND($V6173='設定'!$C$4,COUNTIF('商品マスタ'!$B$6:$B$1005,$W6173)=0),N(U6172)+1,N(U6172))</f>
        <v/>
      </c>
      <c r="V6173" s="19">
        <f>IF($B6173="","",TEXT($B6173,"0000"))</f>
        <v/>
      </c>
      <c r="W6173" s="19">
        <f>IF($I6173="","",IF(ISNUMBER($I6173),TEXT($I6173,"0"),$I6173))</f>
        <v/>
      </c>
    </row>
    <row r="6174">
      <c r="B6174" s="25" t="n"/>
      <c r="I6174" s="25" t="n"/>
      <c r="U6174" s="19">
        <f>IF(AND($V6174='設定'!$C$4,COUNTIF('商品マスタ'!$B$6:$B$1005,$W6174)=0),N(U6173)+1,N(U6173))</f>
        <v/>
      </c>
      <c r="V6174" s="19">
        <f>IF($B6174="","",TEXT($B6174,"0000"))</f>
        <v/>
      </c>
      <c r="W6174" s="19">
        <f>IF($I6174="","",IF(ISNUMBER($I6174),TEXT($I6174,"0"),$I6174))</f>
        <v/>
      </c>
    </row>
    <row r="6175">
      <c r="B6175" s="25" t="n"/>
      <c r="I6175" s="25" t="n"/>
      <c r="U6175" s="19">
        <f>IF(AND($V6175='設定'!$C$4,COUNTIF('商品マスタ'!$B$6:$B$1005,$W6175)=0),N(U6174)+1,N(U6174))</f>
        <v/>
      </c>
      <c r="V6175" s="19">
        <f>IF($B6175="","",TEXT($B6175,"0000"))</f>
        <v/>
      </c>
      <c r="W6175" s="19">
        <f>IF($I6175="","",IF(ISNUMBER($I6175),TEXT($I6175,"0"),$I6175))</f>
        <v/>
      </c>
    </row>
    <row r="6176">
      <c r="B6176" s="25" t="n"/>
      <c r="I6176" s="25" t="n"/>
      <c r="U6176" s="19">
        <f>IF(AND($V6176='設定'!$C$4,COUNTIF('商品マスタ'!$B$6:$B$1005,$W6176)=0),N(U6175)+1,N(U6175))</f>
        <v/>
      </c>
      <c r="V6176" s="19">
        <f>IF($B6176="","",TEXT($B6176,"0000"))</f>
        <v/>
      </c>
      <c r="W6176" s="19">
        <f>IF($I6176="","",IF(ISNUMBER($I6176),TEXT($I6176,"0"),$I6176))</f>
        <v/>
      </c>
    </row>
    <row r="6177">
      <c r="B6177" s="25" t="n"/>
      <c r="I6177" s="25" t="n"/>
      <c r="U6177" s="19">
        <f>IF(AND($V6177='設定'!$C$4,COUNTIF('商品マスタ'!$B$6:$B$1005,$W6177)=0),N(U6176)+1,N(U6176))</f>
        <v/>
      </c>
      <c r="V6177" s="19">
        <f>IF($B6177="","",TEXT($B6177,"0000"))</f>
        <v/>
      </c>
      <c r="W6177" s="19">
        <f>IF($I6177="","",IF(ISNUMBER($I6177),TEXT($I6177,"0"),$I6177))</f>
        <v/>
      </c>
    </row>
    <row r="6178">
      <c r="B6178" s="25" t="n"/>
      <c r="I6178" s="25" t="n"/>
      <c r="U6178" s="19">
        <f>IF(AND($V6178='設定'!$C$4,COUNTIF('商品マスタ'!$B$6:$B$1005,$W6178)=0),N(U6177)+1,N(U6177))</f>
        <v/>
      </c>
      <c r="V6178" s="19">
        <f>IF($B6178="","",TEXT($B6178,"0000"))</f>
        <v/>
      </c>
      <c r="W6178" s="19">
        <f>IF($I6178="","",IF(ISNUMBER($I6178),TEXT($I6178,"0"),$I6178))</f>
        <v/>
      </c>
    </row>
    <row r="6179">
      <c r="B6179" s="25" t="n"/>
      <c r="I6179" s="25" t="n"/>
      <c r="U6179" s="19">
        <f>IF(AND($V6179='設定'!$C$4,COUNTIF('商品マスタ'!$B$6:$B$1005,$W6179)=0),N(U6178)+1,N(U6178))</f>
        <v/>
      </c>
      <c r="V6179" s="19">
        <f>IF($B6179="","",TEXT($B6179,"0000"))</f>
        <v/>
      </c>
      <c r="W6179" s="19">
        <f>IF($I6179="","",IF(ISNUMBER($I6179),TEXT($I6179,"0"),$I6179))</f>
        <v/>
      </c>
    </row>
    <row r="6180">
      <c r="B6180" s="25" t="n"/>
      <c r="I6180" s="25" t="n"/>
      <c r="U6180" s="19">
        <f>IF(AND($V6180='設定'!$C$4,COUNTIF('商品マスタ'!$B$6:$B$1005,$W6180)=0),N(U6179)+1,N(U6179))</f>
        <v/>
      </c>
      <c r="V6180" s="19">
        <f>IF($B6180="","",TEXT($B6180,"0000"))</f>
        <v/>
      </c>
      <c r="W6180" s="19">
        <f>IF($I6180="","",IF(ISNUMBER($I6180),TEXT($I6180,"0"),$I6180))</f>
        <v/>
      </c>
    </row>
    <row r="6181">
      <c r="B6181" s="25" t="n"/>
      <c r="I6181" s="25" t="n"/>
      <c r="U6181" s="19">
        <f>IF(AND($V6181='設定'!$C$4,COUNTIF('商品マスタ'!$B$6:$B$1005,$W6181)=0),N(U6180)+1,N(U6180))</f>
        <v/>
      </c>
      <c r="V6181" s="19">
        <f>IF($B6181="","",TEXT($B6181,"0000"))</f>
        <v/>
      </c>
      <c r="W6181" s="19">
        <f>IF($I6181="","",IF(ISNUMBER($I6181),TEXT($I6181,"0"),$I6181))</f>
        <v/>
      </c>
    </row>
    <row r="6182">
      <c r="B6182" s="25" t="n"/>
      <c r="I6182" s="25" t="n"/>
      <c r="U6182" s="19">
        <f>IF(AND($V6182='設定'!$C$4,COUNTIF('商品マスタ'!$B$6:$B$1005,$W6182)=0),N(U6181)+1,N(U6181))</f>
        <v/>
      </c>
      <c r="V6182" s="19">
        <f>IF($B6182="","",TEXT($B6182,"0000"))</f>
        <v/>
      </c>
      <c r="W6182" s="19">
        <f>IF($I6182="","",IF(ISNUMBER($I6182),TEXT($I6182,"0"),$I6182))</f>
        <v/>
      </c>
    </row>
    <row r="6183">
      <c r="B6183" s="25" t="n"/>
      <c r="I6183" s="25" t="n"/>
      <c r="U6183" s="19">
        <f>IF(AND($V6183='設定'!$C$4,COUNTIF('商品マスタ'!$B$6:$B$1005,$W6183)=0),N(U6182)+1,N(U6182))</f>
        <v/>
      </c>
      <c r="V6183" s="19">
        <f>IF($B6183="","",TEXT($B6183,"0000"))</f>
        <v/>
      </c>
      <c r="W6183" s="19">
        <f>IF($I6183="","",IF(ISNUMBER($I6183),TEXT($I6183,"0"),$I6183))</f>
        <v/>
      </c>
    </row>
    <row r="6184">
      <c r="B6184" s="25" t="n"/>
      <c r="I6184" s="25" t="n"/>
      <c r="U6184" s="19">
        <f>IF(AND($V6184='設定'!$C$4,COUNTIF('商品マスタ'!$B$6:$B$1005,$W6184)=0),N(U6183)+1,N(U6183))</f>
        <v/>
      </c>
      <c r="V6184" s="19">
        <f>IF($B6184="","",TEXT($B6184,"0000"))</f>
        <v/>
      </c>
      <c r="W6184" s="19">
        <f>IF($I6184="","",IF(ISNUMBER($I6184),TEXT($I6184,"0"),$I6184))</f>
        <v/>
      </c>
    </row>
    <row r="6185">
      <c r="B6185" s="25" t="n"/>
      <c r="I6185" s="25" t="n"/>
      <c r="U6185" s="19">
        <f>IF(AND($V6185='設定'!$C$4,COUNTIF('商品マスタ'!$B$6:$B$1005,$W6185)=0),N(U6184)+1,N(U6184))</f>
        <v/>
      </c>
      <c r="V6185" s="19">
        <f>IF($B6185="","",TEXT($B6185,"0000"))</f>
        <v/>
      </c>
      <c r="W6185" s="19">
        <f>IF($I6185="","",IF(ISNUMBER($I6185),TEXT($I6185,"0"),$I6185))</f>
        <v/>
      </c>
    </row>
    <row r="6186">
      <c r="B6186" s="25" t="n"/>
      <c r="I6186" s="25" t="n"/>
      <c r="U6186" s="19">
        <f>IF(AND($V6186='設定'!$C$4,COUNTIF('商品マスタ'!$B$6:$B$1005,$W6186)=0),N(U6185)+1,N(U6185))</f>
        <v/>
      </c>
      <c r="V6186" s="19">
        <f>IF($B6186="","",TEXT($B6186,"0000"))</f>
        <v/>
      </c>
      <c r="W6186" s="19">
        <f>IF($I6186="","",IF(ISNUMBER($I6186),TEXT($I6186,"0"),$I6186))</f>
        <v/>
      </c>
    </row>
    <row r="6187">
      <c r="B6187" s="25" t="n"/>
      <c r="I6187" s="25" t="n"/>
      <c r="U6187" s="19">
        <f>IF(AND($V6187='設定'!$C$4,COUNTIF('商品マスタ'!$B$6:$B$1005,$W6187)=0),N(U6186)+1,N(U6186))</f>
        <v/>
      </c>
      <c r="V6187" s="19">
        <f>IF($B6187="","",TEXT($B6187,"0000"))</f>
        <v/>
      </c>
      <c r="W6187" s="19">
        <f>IF($I6187="","",IF(ISNUMBER($I6187),TEXT($I6187,"0"),$I6187))</f>
        <v/>
      </c>
    </row>
    <row r="6188">
      <c r="B6188" s="25" t="n"/>
      <c r="I6188" s="25" t="n"/>
      <c r="U6188" s="19">
        <f>IF(AND($V6188='設定'!$C$4,COUNTIF('商品マスタ'!$B$6:$B$1005,$W6188)=0),N(U6187)+1,N(U6187))</f>
        <v/>
      </c>
      <c r="V6188" s="19">
        <f>IF($B6188="","",TEXT($B6188,"0000"))</f>
        <v/>
      </c>
      <c r="W6188" s="19">
        <f>IF($I6188="","",IF(ISNUMBER($I6188),TEXT($I6188,"0"),$I6188))</f>
        <v/>
      </c>
    </row>
    <row r="6189">
      <c r="B6189" s="25" t="n"/>
      <c r="I6189" s="25" t="n"/>
      <c r="U6189" s="19">
        <f>IF(AND($V6189='設定'!$C$4,COUNTIF('商品マスタ'!$B$6:$B$1005,$W6189)=0),N(U6188)+1,N(U6188))</f>
        <v/>
      </c>
      <c r="V6189" s="19">
        <f>IF($B6189="","",TEXT($B6189,"0000"))</f>
        <v/>
      </c>
      <c r="W6189" s="19">
        <f>IF($I6189="","",IF(ISNUMBER($I6189),TEXT($I6189,"0"),$I6189))</f>
        <v/>
      </c>
    </row>
    <row r="6190">
      <c r="B6190" s="25" t="n"/>
      <c r="I6190" s="25" t="n"/>
      <c r="U6190" s="19">
        <f>IF(AND($V6190='設定'!$C$4,COUNTIF('商品マスタ'!$B$6:$B$1005,$W6190)=0),N(U6189)+1,N(U6189))</f>
        <v/>
      </c>
      <c r="V6190" s="19">
        <f>IF($B6190="","",TEXT($B6190,"0000"))</f>
        <v/>
      </c>
      <c r="W6190" s="19">
        <f>IF($I6190="","",IF(ISNUMBER($I6190),TEXT($I6190,"0"),$I6190))</f>
        <v/>
      </c>
    </row>
    <row r="6191">
      <c r="B6191" s="25" t="n"/>
      <c r="I6191" s="25" t="n"/>
      <c r="U6191" s="19">
        <f>IF(AND($V6191='設定'!$C$4,COUNTIF('商品マスタ'!$B$6:$B$1005,$W6191)=0),N(U6190)+1,N(U6190))</f>
        <v/>
      </c>
      <c r="V6191" s="19">
        <f>IF($B6191="","",TEXT($B6191,"0000"))</f>
        <v/>
      </c>
      <c r="W6191" s="19">
        <f>IF($I6191="","",IF(ISNUMBER($I6191),TEXT($I6191,"0"),$I6191))</f>
        <v/>
      </c>
    </row>
    <row r="6192">
      <c r="B6192" s="25" t="n"/>
      <c r="I6192" s="25" t="n"/>
      <c r="U6192" s="19">
        <f>IF(AND($V6192='設定'!$C$4,COUNTIF('商品マスタ'!$B$6:$B$1005,$W6192)=0),N(U6191)+1,N(U6191))</f>
        <v/>
      </c>
      <c r="V6192" s="19">
        <f>IF($B6192="","",TEXT($B6192,"0000"))</f>
        <v/>
      </c>
      <c r="W6192" s="19">
        <f>IF($I6192="","",IF(ISNUMBER($I6192),TEXT($I6192,"0"),$I6192))</f>
        <v/>
      </c>
    </row>
    <row r="6193">
      <c r="B6193" s="25" t="n"/>
      <c r="I6193" s="25" t="n"/>
      <c r="U6193" s="19">
        <f>IF(AND($V6193='設定'!$C$4,COUNTIF('商品マスタ'!$B$6:$B$1005,$W6193)=0),N(U6192)+1,N(U6192))</f>
        <v/>
      </c>
      <c r="V6193" s="19">
        <f>IF($B6193="","",TEXT($B6193,"0000"))</f>
        <v/>
      </c>
      <c r="W6193" s="19">
        <f>IF($I6193="","",IF(ISNUMBER($I6193),TEXT($I6193,"0"),$I6193))</f>
        <v/>
      </c>
    </row>
    <row r="6194">
      <c r="B6194" s="25" t="n"/>
      <c r="I6194" s="25" t="n"/>
      <c r="U6194" s="19">
        <f>IF(AND($V6194='設定'!$C$4,COUNTIF('商品マスタ'!$B$6:$B$1005,$W6194)=0),N(U6193)+1,N(U6193))</f>
        <v/>
      </c>
      <c r="V6194" s="19">
        <f>IF($B6194="","",TEXT($B6194,"0000"))</f>
        <v/>
      </c>
      <c r="W6194" s="19">
        <f>IF($I6194="","",IF(ISNUMBER($I6194),TEXT($I6194,"0"),$I6194))</f>
        <v/>
      </c>
    </row>
    <row r="6195">
      <c r="B6195" s="25" t="n"/>
      <c r="I6195" s="25" t="n"/>
      <c r="U6195" s="19">
        <f>IF(AND($V6195='設定'!$C$4,COUNTIF('商品マスタ'!$B$6:$B$1005,$W6195)=0),N(U6194)+1,N(U6194))</f>
        <v/>
      </c>
      <c r="V6195" s="19">
        <f>IF($B6195="","",TEXT($B6195,"0000"))</f>
        <v/>
      </c>
      <c r="W6195" s="19">
        <f>IF($I6195="","",IF(ISNUMBER($I6195),TEXT($I6195,"0"),$I6195))</f>
        <v/>
      </c>
    </row>
    <row r="6196">
      <c r="B6196" s="25" t="n"/>
      <c r="I6196" s="25" t="n"/>
      <c r="U6196" s="19">
        <f>IF(AND($V6196='設定'!$C$4,COUNTIF('商品マスタ'!$B$6:$B$1005,$W6196)=0),N(U6195)+1,N(U6195))</f>
        <v/>
      </c>
      <c r="V6196" s="19">
        <f>IF($B6196="","",TEXT($B6196,"0000"))</f>
        <v/>
      </c>
      <c r="W6196" s="19">
        <f>IF($I6196="","",IF(ISNUMBER($I6196),TEXT($I6196,"0"),$I6196))</f>
        <v/>
      </c>
    </row>
    <row r="6197">
      <c r="B6197" s="25" t="n"/>
      <c r="I6197" s="25" t="n"/>
      <c r="U6197" s="19">
        <f>IF(AND($V6197='設定'!$C$4,COUNTIF('商品マスタ'!$B$6:$B$1005,$W6197)=0),N(U6196)+1,N(U6196))</f>
        <v/>
      </c>
      <c r="V6197" s="19">
        <f>IF($B6197="","",TEXT($B6197,"0000"))</f>
        <v/>
      </c>
      <c r="W6197" s="19">
        <f>IF($I6197="","",IF(ISNUMBER($I6197),TEXT($I6197,"0"),$I6197))</f>
        <v/>
      </c>
    </row>
    <row r="6198">
      <c r="B6198" s="25" t="n"/>
      <c r="I6198" s="25" t="n"/>
      <c r="U6198" s="19">
        <f>IF(AND($V6198='設定'!$C$4,COUNTIF('商品マスタ'!$B$6:$B$1005,$W6198)=0),N(U6197)+1,N(U6197))</f>
        <v/>
      </c>
      <c r="V6198" s="19">
        <f>IF($B6198="","",TEXT($B6198,"0000"))</f>
        <v/>
      </c>
      <c r="W6198" s="19">
        <f>IF($I6198="","",IF(ISNUMBER($I6198),TEXT($I6198,"0"),$I6198))</f>
        <v/>
      </c>
    </row>
    <row r="6199">
      <c r="B6199" s="25" t="n"/>
      <c r="I6199" s="25" t="n"/>
      <c r="U6199" s="19">
        <f>IF(AND($V6199='設定'!$C$4,COUNTIF('商品マスタ'!$B$6:$B$1005,$W6199)=0),N(U6198)+1,N(U6198))</f>
        <v/>
      </c>
      <c r="V6199" s="19">
        <f>IF($B6199="","",TEXT($B6199,"0000"))</f>
        <v/>
      </c>
      <c r="W6199" s="19">
        <f>IF($I6199="","",IF(ISNUMBER($I6199),TEXT($I6199,"0"),$I6199))</f>
        <v/>
      </c>
    </row>
    <row r="6200">
      <c r="B6200" s="25" t="n"/>
      <c r="I6200" s="25" t="n"/>
      <c r="U6200" s="19">
        <f>IF(AND($V6200='設定'!$C$4,COUNTIF('商品マスタ'!$B$6:$B$1005,$W6200)=0),N(U6199)+1,N(U6199))</f>
        <v/>
      </c>
      <c r="V6200" s="19">
        <f>IF($B6200="","",TEXT($B6200,"0000"))</f>
        <v/>
      </c>
      <c r="W6200" s="19">
        <f>IF($I6200="","",IF(ISNUMBER($I6200),TEXT($I6200,"0"),$I6200))</f>
        <v/>
      </c>
    </row>
    <row r="6201">
      <c r="B6201" s="25" t="n"/>
      <c r="I6201" s="25" t="n"/>
      <c r="U6201" s="19">
        <f>IF(AND($V6201='設定'!$C$4,COUNTIF('商品マスタ'!$B$6:$B$1005,$W6201)=0),N(U6200)+1,N(U6200))</f>
        <v/>
      </c>
      <c r="V6201" s="19">
        <f>IF($B6201="","",TEXT($B6201,"0000"))</f>
        <v/>
      </c>
      <c r="W6201" s="19">
        <f>IF($I6201="","",IF(ISNUMBER($I6201),TEXT($I6201,"0"),$I6201))</f>
        <v/>
      </c>
    </row>
    <row r="6202">
      <c r="B6202" s="25" t="n"/>
      <c r="I6202" s="25" t="n"/>
      <c r="U6202" s="19">
        <f>IF(AND($V6202='設定'!$C$4,COUNTIF('商品マスタ'!$B$6:$B$1005,$W6202)=0),N(U6201)+1,N(U6201))</f>
        <v/>
      </c>
      <c r="V6202" s="19">
        <f>IF($B6202="","",TEXT($B6202,"0000"))</f>
        <v/>
      </c>
      <c r="W6202" s="19">
        <f>IF($I6202="","",IF(ISNUMBER($I6202),TEXT($I6202,"0"),$I6202))</f>
        <v/>
      </c>
    </row>
    <row r="6203">
      <c r="B6203" s="25" t="n"/>
      <c r="I6203" s="25" t="n"/>
      <c r="U6203" s="19">
        <f>IF(AND($V6203='設定'!$C$4,COUNTIF('商品マスタ'!$B$6:$B$1005,$W6203)=0),N(U6202)+1,N(U6202))</f>
        <v/>
      </c>
      <c r="V6203" s="19">
        <f>IF($B6203="","",TEXT($B6203,"0000"))</f>
        <v/>
      </c>
      <c r="W6203" s="19">
        <f>IF($I6203="","",IF(ISNUMBER($I6203),TEXT($I6203,"0"),$I6203))</f>
        <v/>
      </c>
    </row>
    <row r="6204">
      <c r="B6204" s="25" t="n"/>
      <c r="I6204" s="25" t="n"/>
      <c r="U6204" s="19">
        <f>IF(AND($V6204='設定'!$C$4,COUNTIF('商品マスタ'!$B$6:$B$1005,$W6204)=0),N(U6203)+1,N(U6203))</f>
        <v/>
      </c>
      <c r="V6204" s="19">
        <f>IF($B6204="","",TEXT($B6204,"0000"))</f>
        <v/>
      </c>
      <c r="W6204" s="19">
        <f>IF($I6204="","",IF(ISNUMBER($I6204),TEXT($I6204,"0"),$I6204))</f>
        <v/>
      </c>
    </row>
    <row r="6205">
      <c r="B6205" s="25" t="n"/>
      <c r="I6205" s="25" t="n"/>
      <c r="U6205" s="19">
        <f>IF(AND($V6205='設定'!$C$4,COUNTIF('商品マスタ'!$B$6:$B$1005,$W6205)=0),N(U6204)+1,N(U6204))</f>
        <v/>
      </c>
      <c r="V6205" s="19">
        <f>IF($B6205="","",TEXT($B6205,"0000"))</f>
        <v/>
      </c>
      <c r="W6205" s="19">
        <f>IF($I6205="","",IF(ISNUMBER($I6205),TEXT($I6205,"0"),$I6205))</f>
        <v/>
      </c>
    </row>
    <row r="6206">
      <c r="B6206" s="25" t="n"/>
      <c r="I6206" s="25" t="n"/>
      <c r="U6206" s="19">
        <f>IF(AND($V6206='設定'!$C$4,COUNTIF('商品マスタ'!$B$6:$B$1005,$W6206)=0),N(U6205)+1,N(U6205))</f>
        <v/>
      </c>
      <c r="V6206" s="19">
        <f>IF($B6206="","",TEXT($B6206,"0000"))</f>
        <v/>
      </c>
      <c r="W6206" s="19">
        <f>IF($I6206="","",IF(ISNUMBER($I6206),TEXT($I6206,"0"),$I6206))</f>
        <v/>
      </c>
    </row>
    <row r="6207">
      <c r="B6207" s="25" t="n"/>
      <c r="I6207" s="25" t="n"/>
      <c r="U6207" s="19">
        <f>IF(AND($V6207='設定'!$C$4,COUNTIF('商品マスタ'!$B$6:$B$1005,$W6207)=0),N(U6206)+1,N(U6206))</f>
        <v/>
      </c>
      <c r="V6207" s="19">
        <f>IF($B6207="","",TEXT($B6207,"0000"))</f>
        <v/>
      </c>
      <c r="W6207" s="19">
        <f>IF($I6207="","",IF(ISNUMBER($I6207),TEXT($I6207,"0"),$I6207))</f>
        <v/>
      </c>
    </row>
    <row r="6208">
      <c r="B6208" s="25" t="n"/>
      <c r="I6208" s="25" t="n"/>
      <c r="U6208" s="19">
        <f>IF(AND($V6208='設定'!$C$4,COUNTIF('商品マスタ'!$B$6:$B$1005,$W6208)=0),N(U6207)+1,N(U6207))</f>
        <v/>
      </c>
      <c r="V6208" s="19">
        <f>IF($B6208="","",TEXT($B6208,"0000"))</f>
        <v/>
      </c>
      <c r="W6208" s="19">
        <f>IF($I6208="","",IF(ISNUMBER($I6208),TEXT($I6208,"0"),$I6208))</f>
        <v/>
      </c>
    </row>
    <row r="6209">
      <c r="B6209" s="25" t="n"/>
      <c r="I6209" s="25" t="n"/>
      <c r="U6209" s="19">
        <f>IF(AND($V6209='設定'!$C$4,COUNTIF('商品マスタ'!$B$6:$B$1005,$W6209)=0),N(U6208)+1,N(U6208))</f>
        <v/>
      </c>
      <c r="V6209" s="19">
        <f>IF($B6209="","",TEXT($B6209,"0000"))</f>
        <v/>
      </c>
      <c r="W6209" s="19">
        <f>IF($I6209="","",IF(ISNUMBER($I6209),TEXT($I6209,"0"),$I6209))</f>
        <v/>
      </c>
    </row>
    <row r="6210">
      <c r="B6210" s="25" t="n"/>
      <c r="I6210" s="25" t="n"/>
      <c r="U6210" s="19">
        <f>IF(AND($V6210='設定'!$C$4,COUNTIF('商品マスタ'!$B$6:$B$1005,$W6210)=0),N(U6209)+1,N(U6209))</f>
        <v/>
      </c>
      <c r="V6210" s="19">
        <f>IF($B6210="","",TEXT($B6210,"0000"))</f>
        <v/>
      </c>
      <c r="W6210" s="19">
        <f>IF($I6210="","",IF(ISNUMBER($I6210),TEXT($I6210,"0"),$I6210))</f>
        <v/>
      </c>
    </row>
    <row r="6211">
      <c r="B6211" s="25" t="n"/>
      <c r="I6211" s="25" t="n"/>
      <c r="U6211" s="19">
        <f>IF(AND($V6211='設定'!$C$4,COUNTIF('商品マスタ'!$B$6:$B$1005,$W6211)=0),N(U6210)+1,N(U6210))</f>
        <v/>
      </c>
      <c r="V6211" s="19">
        <f>IF($B6211="","",TEXT($B6211,"0000"))</f>
        <v/>
      </c>
      <c r="W6211" s="19">
        <f>IF($I6211="","",IF(ISNUMBER($I6211),TEXT($I6211,"0"),$I6211))</f>
        <v/>
      </c>
    </row>
    <row r="6212">
      <c r="B6212" s="25" t="n"/>
      <c r="I6212" s="25" t="n"/>
      <c r="U6212" s="19">
        <f>IF(AND($V6212='設定'!$C$4,COUNTIF('商品マスタ'!$B$6:$B$1005,$W6212)=0),N(U6211)+1,N(U6211))</f>
        <v/>
      </c>
      <c r="V6212" s="19">
        <f>IF($B6212="","",TEXT($B6212,"0000"))</f>
        <v/>
      </c>
      <c r="W6212" s="19">
        <f>IF($I6212="","",IF(ISNUMBER($I6212),TEXT($I6212,"0"),$I6212))</f>
        <v/>
      </c>
    </row>
    <row r="6213">
      <c r="B6213" s="25" t="n"/>
      <c r="I6213" s="25" t="n"/>
      <c r="U6213" s="19">
        <f>IF(AND($V6213='設定'!$C$4,COUNTIF('商品マスタ'!$B$6:$B$1005,$W6213)=0),N(U6212)+1,N(U6212))</f>
        <v/>
      </c>
      <c r="V6213" s="19">
        <f>IF($B6213="","",TEXT($B6213,"0000"))</f>
        <v/>
      </c>
      <c r="W6213" s="19">
        <f>IF($I6213="","",IF(ISNUMBER($I6213),TEXT($I6213,"0"),$I6213))</f>
        <v/>
      </c>
    </row>
    <row r="6214">
      <c r="B6214" s="25" t="n"/>
      <c r="I6214" s="25" t="n"/>
      <c r="U6214" s="19">
        <f>IF(AND($V6214='設定'!$C$4,COUNTIF('商品マスタ'!$B$6:$B$1005,$W6214)=0),N(U6213)+1,N(U6213))</f>
        <v/>
      </c>
      <c r="V6214" s="19">
        <f>IF($B6214="","",TEXT($B6214,"0000"))</f>
        <v/>
      </c>
      <c r="W6214" s="19">
        <f>IF($I6214="","",IF(ISNUMBER($I6214),TEXT($I6214,"0"),$I6214))</f>
        <v/>
      </c>
    </row>
    <row r="6215">
      <c r="B6215" s="25" t="n"/>
      <c r="I6215" s="25" t="n"/>
      <c r="U6215" s="19">
        <f>IF(AND($V6215='設定'!$C$4,COUNTIF('商品マスタ'!$B$6:$B$1005,$W6215)=0),N(U6214)+1,N(U6214))</f>
        <v/>
      </c>
      <c r="V6215" s="19">
        <f>IF($B6215="","",TEXT($B6215,"0000"))</f>
        <v/>
      </c>
      <c r="W6215" s="19">
        <f>IF($I6215="","",IF(ISNUMBER($I6215),TEXT($I6215,"0"),$I6215))</f>
        <v/>
      </c>
    </row>
    <row r="6216">
      <c r="B6216" s="25" t="n"/>
      <c r="I6216" s="25" t="n"/>
      <c r="U6216" s="19">
        <f>IF(AND($V6216='設定'!$C$4,COUNTIF('商品マスタ'!$B$6:$B$1005,$W6216)=0),N(U6215)+1,N(U6215))</f>
        <v/>
      </c>
      <c r="V6216" s="19">
        <f>IF($B6216="","",TEXT($B6216,"0000"))</f>
        <v/>
      </c>
      <c r="W6216" s="19">
        <f>IF($I6216="","",IF(ISNUMBER($I6216),TEXT($I6216,"0"),$I6216))</f>
        <v/>
      </c>
    </row>
    <row r="6217">
      <c r="B6217" s="25" t="n"/>
      <c r="I6217" s="25" t="n"/>
      <c r="U6217" s="19">
        <f>IF(AND($V6217='設定'!$C$4,COUNTIF('商品マスタ'!$B$6:$B$1005,$W6217)=0),N(U6216)+1,N(U6216))</f>
        <v/>
      </c>
      <c r="V6217" s="19">
        <f>IF($B6217="","",TEXT($B6217,"0000"))</f>
        <v/>
      </c>
      <c r="W6217" s="19">
        <f>IF($I6217="","",IF(ISNUMBER($I6217),TEXT($I6217,"0"),$I6217))</f>
        <v/>
      </c>
    </row>
    <row r="6218">
      <c r="B6218" s="25" t="n"/>
      <c r="I6218" s="25" t="n"/>
      <c r="U6218" s="19">
        <f>IF(AND($V6218='設定'!$C$4,COUNTIF('商品マスタ'!$B$6:$B$1005,$W6218)=0),N(U6217)+1,N(U6217))</f>
        <v/>
      </c>
      <c r="V6218" s="19">
        <f>IF($B6218="","",TEXT($B6218,"0000"))</f>
        <v/>
      </c>
      <c r="W6218" s="19">
        <f>IF($I6218="","",IF(ISNUMBER($I6218),TEXT($I6218,"0"),$I6218))</f>
        <v/>
      </c>
    </row>
    <row r="6219">
      <c r="B6219" s="25" t="n"/>
      <c r="I6219" s="25" t="n"/>
      <c r="U6219" s="19">
        <f>IF(AND($V6219='設定'!$C$4,COUNTIF('商品マスタ'!$B$6:$B$1005,$W6219)=0),N(U6218)+1,N(U6218))</f>
        <v/>
      </c>
      <c r="V6219" s="19">
        <f>IF($B6219="","",TEXT($B6219,"0000"))</f>
        <v/>
      </c>
      <c r="W6219" s="19">
        <f>IF($I6219="","",IF(ISNUMBER($I6219),TEXT($I6219,"0"),$I6219))</f>
        <v/>
      </c>
    </row>
    <row r="6220">
      <c r="B6220" s="25" t="n"/>
      <c r="I6220" s="25" t="n"/>
      <c r="U6220" s="19">
        <f>IF(AND($V6220='設定'!$C$4,COUNTIF('商品マスタ'!$B$6:$B$1005,$W6220)=0),N(U6219)+1,N(U6219))</f>
        <v/>
      </c>
      <c r="V6220" s="19">
        <f>IF($B6220="","",TEXT($B6220,"0000"))</f>
        <v/>
      </c>
      <c r="W6220" s="19">
        <f>IF($I6220="","",IF(ISNUMBER($I6220),TEXT($I6220,"0"),$I6220))</f>
        <v/>
      </c>
    </row>
    <row r="6221">
      <c r="B6221" s="25" t="n"/>
      <c r="I6221" s="25" t="n"/>
      <c r="U6221" s="19">
        <f>IF(AND($V6221='設定'!$C$4,COUNTIF('商品マスタ'!$B$6:$B$1005,$W6221)=0),N(U6220)+1,N(U6220))</f>
        <v/>
      </c>
      <c r="V6221" s="19">
        <f>IF($B6221="","",TEXT($B6221,"0000"))</f>
        <v/>
      </c>
      <c r="W6221" s="19">
        <f>IF($I6221="","",IF(ISNUMBER($I6221),TEXT($I6221,"0"),$I6221))</f>
        <v/>
      </c>
    </row>
    <row r="6222">
      <c r="B6222" s="25" t="n"/>
      <c r="I6222" s="25" t="n"/>
      <c r="U6222" s="19">
        <f>IF(AND($V6222='設定'!$C$4,COUNTIF('商品マスタ'!$B$6:$B$1005,$W6222)=0),N(U6221)+1,N(U6221))</f>
        <v/>
      </c>
      <c r="V6222" s="19">
        <f>IF($B6222="","",TEXT($B6222,"0000"))</f>
        <v/>
      </c>
      <c r="W6222" s="19">
        <f>IF($I6222="","",IF(ISNUMBER($I6222),TEXT($I6222,"0"),$I6222))</f>
        <v/>
      </c>
    </row>
    <row r="6223">
      <c r="B6223" s="25" t="n"/>
      <c r="I6223" s="25" t="n"/>
      <c r="U6223" s="19">
        <f>IF(AND($V6223='設定'!$C$4,COUNTIF('商品マスタ'!$B$6:$B$1005,$W6223)=0),N(U6222)+1,N(U6222))</f>
        <v/>
      </c>
      <c r="V6223" s="19">
        <f>IF($B6223="","",TEXT($B6223,"0000"))</f>
        <v/>
      </c>
      <c r="W6223" s="19">
        <f>IF($I6223="","",IF(ISNUMBER($I6223),TEXT($I6223,"0"),$I6223))</f>
        <v/>
      </c>
    </row>
    <row r="6224">
      <c r="B6224" s="25" t="n"/>
      <c r="I6224" s="25" t="n"/>
      <c r="U6224" s="19">
        <f>IF(AND($V6224='設定'!$C$4,COUNTIF('商品マスタ'!$B$6:$B$1005,$W6224)=0),N(U6223)+1,N(U6223))</f>
        <v/>
      </c>
      <c r="V6224" s="19">
        <f>IF($B6224="","",TEXT($B6224,"0000"))</f>
        <v/>
      </c>
      <c r="W6224" s="19">
        <f>IF($I6224="","",IF(ISNUMBER($I6224),TEXT($I6224,"0"),$I6224))</f>
        <v/>
      </c>
    </row>
    <row r="6225">
      <c r="B6225" s="25" t="n"/>
      <c r="I6225" s="25" t="n"/>
      <c r="U6225" s="19">
        <f>IF(AND($V6225='設定'!$C$4,COUNTIF('商品マスタ'!$B$6:$B$1005,$W6225)=0),N(U6224)+1,N(U6224))</f>
        <v/>
      </c>
      <c r="V6225" s="19">
        <f>IF($B6225="","",TEXT($B6225,"0000"))</f>
        <v/>
      </c>
      <c r="W6225" s="19">
        <f>IF($I6225="","",IF(ISNUMBER($I6225),TEXT($I6225,"0"),$I6225))</f>
        <v/>
      </c>
    </row>
    <row r="6226">
      <c r="B6226" s="25" t="n"/>
      <c r="I6226" s="25" t="n"/>
      <c r="U6226" s="19">
        <f>IF(AND($V6226='設定'!$C$4,COUNTIF('商品マスタ'!$B$6:$B$1005,$W6226)=0),N(U6225)+1,N(U6225))</f>
        <v/>
      </c>
      <c r="V6226" s="19">
        <f>IF($B6226="","",TEXT($B6226,"0000"))</f>
        <v/>
      </c>
      <c r="W6226" s="19">
        <f>IF($I6226="","",IF(ISNUMBER($I6226),TEXT($I6226,"0"),$I6226))</f>
        <v/>
      </c>
    </row>
    <row r="6227">
      <c r="B6227" s="25" t="n"/>
      <c r="I6227" s="25" t="n"/>
      <c r="U6227" s="19">
        <f>IF(AND($V6227='設定'!$C$4,COUNTIF('商品マスタ'!$B$6:$B$1005,$W6227)=0),N(U6226)+1,N(U6226))</f>
        <v/>
      </c>
      <c r="V6227" s="19">
        <f>IF($B6227="","",TEXT($B6227,"0000"))</f>
        <v/>
      </c>
      <c r="W6227" s="19">
        <f>IF($I6227="","",IF(ISNUMBER($I6227),TEXT($I6227,"0"),$I6227))</f>
        <v/>
      </c>
    </row>
    <row r="6228">
      <c r="B6228" s="25" t="n"/>
      <c r="I6228" s="25" t="n"/>
      <c r="U6228" s="19">
        <f>IF(AND($V6228='設定'!$C$4,COUNTIF('商品マスタ'!$B$6:$B$1005,$W6228)=0),N(U6227)+1,N(U6227))</f>
        <v/>
      </c>
      <c r="V6228" s="19">
        <f>IF($B6228="","",TEXT($B6228,"0000"))</f>
        <v/>
      </c>
      <c r="W6228" s="19">
        <f>IF($I6228="","",IF(ISNUMBER($I6228),TEXT($I6228,"0"),$I6228))</f>
        <v/>
      </c>
    </row>
    <row r="6229">
      <c r="B6229" s="25" t="n"/>
      <c r="I6229" s="25" t="n"/>
      <c r="U6229" s="19">
        <f>IF(AND($V6229='設定'!$C$4,COUNTIF('商品マスタ'!$B$6:$B$1005,$W6229)=0),N(U6228)+1,N(U6228))</f>
        <v/>
      </c>
      <c r="V6229" s="19">
        <f>IF($B6229="","",TEXT($B6229,"0000"))</f>
        <v/>
      </c>
      <c r="W6229" s="19">
        <f>IF($I6229="","",IF(ISNUMBER($I6229),TEXT($I6229,"0"),$I6229))</f>
        <v/>
      </c>
    </row>
    <row r="6230">
      <c r="B6230" s="25" t="n"/>
      <c r="I6230" s="25" t="n"/>
      <c r="U6230" s="19">
        <f>IF(AND($V6230='設定'!$C$4,COUNTIF('商品マスタ'!$B$6:$B$1005,$W6230)=0),N(U6229)+1,N(U6229))</f>
        <v/>
      </c>
      <c r="V6230" s="19">
        <f>IF($B6230="","",TEXT($B6230,"0000"))</f>
        <v/>
      </c>
      <c r="W6230" s="19">
        <f>IF($I6230="","",IF(ISNUMBER($I6230),TEXT($I6230,"0"),$I6230))</f>
        <v/>
      </c>
    </row>
    <row r="6231">
      <c r="B6231" s="25" t="n"/>
      <c r="I6231" s="25" t="n"/>
      <c r="U6231" s="19">
        <f>IF(AND($V6231='設定'!$C$4,COUNTIF('商品マスタ'!$B$6:$B$1005,$W6231)=0),N(U6230)+1,N(U6230))</f>
        <v/>
      </c>
      <c r="V6231" s="19">
        <f>IF($B6231="","",TEXT($B6231,"0000"))</f>
        <v/>
      </c>
      <c r="W6231" s="19">
        <f>IF($I6231="","",IF(ISNUMBER($I6231),TEXT($I6231,"0"),$I6231))</f>
        <v/>
      </c>
    </row>
    <row r="6232">
      <c r="B6232" s="25" t="n"/>
      <c r="I6232" s="25" t="n"/>
      <c r="U6232" s="19">
        <f>IF(AND($V6232='設定'!$C$4,COUNTIF('商品マスタ'!$B$6:$B$1005,$W6232)=0),N(U6231)+1,N(U6231))</f>
        <v/>
      </c>
      <c r="V6232" s="19">
        <f>IF($B6232="","",TEXT($B6232,"0000"))</f>
        <v/>
      </c>
      <c r="W6232" s="19">
        <f>IF($I6232="","",IF(ISNUMBER($I6232),TEXT($I6232,"0"),$I6232))</f>
        <v/>
      </c>
    </row>
    <row r="6233">
      <c r="B6233" s="25" t="n"/>
      <c r="I6233" s="25" t="n"/>
      <c r="U6233" s="19">
        <f>IF(AND($V6233='設定'!$C$4,COUNTIF('商品マスタ'!$B$6:$B$1005,$W6233)=0),N(U6232)+1,N(U6232))</f>
        <v/>
      </c>
      <c r="V6233" s="19">
        <f>IF($B6233="","",TEXT($B6233,"0000"))</f>
        <v/>
      </c>
      <c r="W6233" s="19">
        <f>IF($I6233="","",IF(ISNUMBER($I6233),TEXT($I6233,"0"),$I6233))</f>
        <v/>
      </c>
    </row>
    <row r="6234">
      <c r="B6234" s="25" t="n"/>
      <c r="I6234" s="25" t="n"/>
      <c r="U6234" s="19">
        <f>IF(AND($V6234='設定'!$C$4,COUNTIF('商品マスタ'!$B$6:$B$1005,$W6234)=0),N(U6233)+1,N(U6233))</f>
        <v/>
      </c>
      <c r="V6234" s="19">
        <f>IF($B6234="","",TEXT($B6234,"0000"))</f>
        <v/>
      </c>
      <c r="W6234" s="19">
        <f>IF($I6234="","",IF(ISNUMBER($I6234),TEXT($I6234,"0"),$I6234))</f>
        <v/>
      </c>
    </row>
    <row r="6235">
      <c r="B6235" s="25" t="n"/>
      <c r="I6235" s="25" t="n"/>
      <c r="U6235" s="19">
        <f>IF(AND($V6235='設定'!$C$4,COUNTIF('商品マスタ'!$B$6:$B$1005,$W6235)=0),N(U6234)+1,N(U6234))</f>
        <v/>
      </c>
      <c r="V6235" s="19">
        <f>IF($B6235="","",TEXT($B6235,"0000"))</f>
        <v/>
      </c>
      <c r="W6235" s="19">
        <f>IF($I6235="","",IF(ISNUMBER($I6235),TEXT($I6235,"0"),$I6235))</f>
        <v/>
      </c>
    </row>
    <row r="6236">
      <c r="B6236" s="25" t="n"/>
      <c r="I6236" s="25" t="n"/>
      <c r="U6236" s="19">
        <f>IF(AND($V6236='設定'!$C$4,COUNTIF('商品マスタ'!$B$6:$B$1005,$W6236)=0),N(U6235)+1,N(U6235))</f>
        <v/>
      </c>
      <c r="V6236" s="19">
        <f>IF($B6236="","",TEXT($B6236,"0000"))</f>
        <v/>
      </c>
      <c r="W6236" s="19">
        <f>IF($I6236="","",IF(ISNUMBER($I6236),TEXT($I6236,"0"),$I6236))</f>
        <v/>
      </c>
    </row>
    <row r="6237">
      <c r="B6237" s="25" t="n"/>
      <c r="I6237" s="25" t="n"/>
      <c r="U6237" s="19">
        <f>IF(AND($V6237='設定'!$C$4,COUNTIF('商品マスタ'!$B$6:$B$1005,$W6237)=0),N(U6236)+1,N(U6236))</f>
        <v/>
      </c>
      <c r="V6237" s="19">
        <f>IF($B6237="","",TEXT($B6237,"0000"))</f>
        <v/>
      </c>
      <c r="W6237" s="19">
        <f>IF($I6237="","",IF(ISNUMBER($I6237),TEXT($I6237,"0"),$I6237))</f>
        <v/>
      </c>
    </row>
    <row r="6238">
      <c r="B6238" s="25" t="n"/>
      <c r="I6238" s="25" t="n"/>
      <c r="U6238" s="19">
        <f>IF(AND($V6238='設定'!$C$4,COUNTIF('商品マスタ'!$B$6:$B$1005,$W6238)=0),N(U6237)+1,N(U6237))</f>
        <v/>
      </c>
      <c r="V6238" s="19">
        <f>IF($B6238="","",TEXT($B6238,"0000"))</f>
        <v/>
      </c>
      <c r="W6238" s="19">
        <f>IF($I6238="","",IF(ISNUMBER($I6238),TEXT($I6238,"0"),$I6238))</f>
        <v/>
      </c>
    </row>
    <row r="6239">
      <c r="B6239" s="25" t="n"/>
      <c r="I6239" s="25" t="n"/>
      <c r="U6239" s="19">
        <f>IF(AND($V6239='設定'!$C$4,COUNTIF('商品マスタ'!$B$6:$B$1005,$W6239)=0),N(U6238)+1,N(U6238))</f>
        <v/>
      </c>
      <c r="V6239" s="19">
        <f>IF($B6239="","",TEXT($B6239,"0000"))</f>
        <v/>
      </c>
      <c r="W6239" s="19">
        <f>IF($I6239="","",IF(ISNUMBER($I6239),TEXT($I6239,"0"),$I6239))</f>
        <v/>
      </c>
    </row>
    <row r="6240">
      <c r="B6240" s="25" t="n"/>
      <c r="I6240" s="25" t="n"/>
      <c r="U6240" s="19">
        <f>IF(AND($V6240='設定'!$C$4,COUNTIF('商品マスタ'!$B$6:$B$1005,$W6240)=0),N(U6239)+1,N(U6239))</f>
        <v/>
      </c>
      <c r="V6240" s="19">
        <f>IF($B6240="","",TEXT($B6240,"0000"))</f>
        <v/>
      </c>
      <c r="W6240" s="19">
        <f>IF($I6240="","",IF(ISNUMBER($I6240),TEXT($I6240,"0"),$I6240))</f>
        <v/>
      </c>
    </row>
    <row r="6241">
      <c r="B6241" s="25" t="n"/>
      <c r="I6241" s="25" t="n"/>
      <c r="U6241" s="19">
        <f>IF(AND($V6241='設定'!$C$4,COUNTIF('商品マスタ'!$B$6:$B$1005,$W6241)=0),N(U6240)+1,N(U6240))</f>
        <v/>
      </c>
      <c r="V6241" s="19">
        <f>IF($B6241="","",TEXT($B6241,"0000"))</f>
        <v/>
      </c>
      <c r="W6241" s="19">
        <f>IF($I6241="","",IF(ISNUMBER($I6241),TEXT($I6241,"0"),$I6241))</f>
        <v/>
      </c>
    </row>
    <row r="6242">
      <c r="B6242" s="25" t="n"/>
      <c r="I6242" s="25" t="n"/>
      <c r="U6242" s="19">
        <f>IF(AND($V6242='設定'!$C$4,COUNTIF('商品マスタ'!$B$6:$B$1005,$W6242)=0),N(U6241)+1,N(U6241))</f>
        <v/>
      </c>
      <c r="V6242" s="19">
        <f>IF($B6242="","",TEXT($B6242,"0000"))</f>
        <v/>
      </c>
      <c r="W6242" s="19">
        <f>IF($I6242="","",IF(ISNUMBER($I6242),TEXT($I6242,"0"),$I6242))</f>
        <v/>
      </c>
    </row>
    <row r="6243">
      <c r="B6243" s="25" t="n"/>
      <c r="I6243" s="25" t="n"/>
      <c r="U6243" s="19">
        <f>IF(AND($V6243='設定'!$C$4,COUNTIF('商品マスタ'!$B$6:$B$1005,$W6243)=0),N(U6242)+1,N(U6242))</f>
        <v/>
      </c>
      <c r="V6243" s="19">
        <f>IF($B6243="","",TEXT($B6243,"0000"))</f>
        <v/>
      </c>
      <c r="W6243" s="19">
        <f>IF($I6243="","",IF(ISNUMBER($I6243),TEXT($I6243,"0"),$I6243))</f>
        <v/>
      </c>
    </row>
    <row r="6244">
      <c r="B6244" s="25" t="n"/>
      <c r="I6244" s="25" t="n"/>
      <c r="U6244" s="19">
        <f>IF(AND($V6244='設定'!$C$4,COUNTIF('商品マスタ'!$B$6:$B$1005,$W6244)=0),N(U6243)+1,N(U6243))</f>
        <v/>
      </c>
      <c r="V6244" s="19">
        <f>IF($B6244="","",TEXT($B6244,"0000"))</f>
        <v/>
      </c>
      <c r="W6244" s="19">
        <f>IF($I6244="","",IF(ISNUMBER($I6244),TEXT($I6244,"0"),$I6244))</f>
        <v/>
      </c>
    </row>
    <row r="6245">
      <c r="B6245" s="25" t="n"/>
      <c r="I6245" s="25" t="n"/>
      <c r="U6245" s="19">
        <f>IF(AND($V6245='設定'!$C$4,COUNTIF('商品マスタ'!$B$6:$B$1005,$W6245)=0),N(U6244)+1,N(U6244))</f>
        <v/>
      </c>
      <c r="V6245" s="19">
        <f>IF($B6245="","",TEXT($B6245,"0000"))</f>
        <v/>
      </c>
      <c r="W6245" s="19">
        <f>IF($I6245="","",IF(ISNUMBER($I6245),TEXT($I6245,"0"),$I6245))</f>
        <v/>
      </c>
    </row>
    <row r="6246">
      <c r="B6246" s="25" t="n"/>
      <c r="I6246" s="25" t="n"/>
      <c r="U6246" s="19">
        <f>IF(AND($V6246='設定'!$C$4,COUNTIF('商品マスタ'!$B$6:$B$1005,$W6246)=0),N(U6245)+1,N(U6245))</f>
        <v/>
      </c>
      <c r="V6246" s="19">
        <f>IF($B6246="","",TEXT($B6246,"0000"))</f>
        <v/>
      </c>
      <c r="W6246" s="19">
        <f>IF($I6246="","",IF(ISNUMBER($I6246),TEXT($I6246,"0"),$I6246))</f>
        <v/>
      </c>
    </row>
    <row r="6247">
      <c r="B6247" s="25" t="n"/>
      <c r="I6247" s="25" t="n"/>
      <c r="U6247" s="19">
        <f>IF(AND($V6247='設定'!$C$4,COUNTIF('商品マスタ'!$B$6:$B$1005,$W6247)=0),N(U6246)+1,N(U6246))</f>
        <v/>
      </c>
      <c r="V6247" s="19">
        <f>IF($B6247="","",TEXT($B6247,"0000"))</f>
        <v/>
      </c>
      <c r="W6247" s="19">
        <f>IF($I6247="","",IF(ISNUMBER($I6247),TEXT($I6247,"0"),$I6247))</f>
        <v/>
      </c>
    </row>
    <row r="6248">
      <c r="B6248" s="25" t="n"/>
      <c r="I6248" s="25" t="n"/>
      <c r="U6248" s="19">
        <f>IF(AND($V6248='設定'!$C$4,COUNTIF('商品マスタ'!$B$6:$B$1005,$W6248)=0),N(U6247)+1,N(U6247))</f>
        <v/>
      </c>
      <c r="V6248" s="19">
        <f>IF($B6248="","",TEXT($B6248,"0000"))</f>
        <v/>
      </c>
      <c r="W6248" s="19">
        <f>IF($I6248="","",IF(ISNUMBER($I6248),TEXT($I6248,"0"),$I6248))</f>
        <v/>
      </c>
    </row>
    <row r="6249">
      <c r="B6249" s="25" t="n"/>
      <c r="I6249" s="25" t="n"/>
      <c r="U6249" s="19">
        <f>IF(AND($V6249='設定'!$C$4,COUNTIF('商品マスタ'!$B$6:$B$1005,$W6249)=0),N(U6248)+1,N(U6248))</f>
        <v/>
      </c>
      <c r="V6249" s="19">
        <f>IF($B6249="","",TEXT($B6249,"0000"))</f>
        <v/>
      </c>
      <c r="W6249" s="19">
        <f>IF($I6249="","",IF(ISNUMBER($I6249),TEXT($I6249,"0"),$I6249))</f>
        <v/>
      </c>
    </row>
    <row r="6250">
      <c r="B6250" s="25" t="n"/>
      <c r="I6250" s="25" t="n"/>
      <c r="U6250" s="19">
        <f>IF(AND($V6250='設定'!$C$4,COUNTIF('商品マスタ'!$B$6:$B$1005,$W6250)=0),N(U6249)+1,N(U6249))</f>
        <v/>
      </c>
      <c r="V6250" s="19">
        <f>IF($B6250="","",TEXT($B6250,"0000"))</f>
        <v/>
      </c>
      <c r="W6250" s="19">
        <f>IF($I6250="","",IF(ISNUMBER($I6250),TEXT($I6250,"0"),$I6250))</f>
        <v/>
      </c>
    </row>
    <row r="6251">
      <c r="B6251" s="25" t="n"/>
      <c r="I6251" s="25" t="n"/>
      <c r="U6251" s="19">
        <f>IF(AND($V6251='設定'!$C$4,COUNTIF('商品マスタ'!$B$6:$B$1005,$W6251)=0),N(U6250)+1,N(U6250))</f>
        <v/>
      </c>
      <c r="V6251" s="19">
        <f>IF($B6251="","",TEXT($B6251,"0000"))</f>
        <v/>
      </c>
      <c r="W6251" s="19">
        <f>IF($I6251="","",IF(ISNUMBER($I6251),TEXT($I6251,"0"),$I6251))</f>
        <v/>
      </c>
    </row>
    <row r="6252">
      <c r="B6252" s="25" t="n"/>
      <c r="I6252" s="25" t="n"/>
      <c r="U6252" s="19">
        <f>IF(AND($V6252='設定'!$C$4,COUNTIF('商品マスタ'!$B$6:$B$1005,$W6252)=0),N(U6251)+1,N(U6251))</f>
        <v/>
      </c>
      <c r="V6252" s="19">
        <f>IF($B6252="","",TEXT($B6252,"0000"))</f>
        <v/>
      </c>
      <c r="W6252" s="19">
        <f>IF($I6252="","",IF(ISNUMBER($I6252),TEXT($I6252,"0"),$I6252))</f>
        <v/>
      </c>
    </row>
    <row r="6253">
      <c r="B6253" s="25" t="n"/>
      <c r="I6253" s="25" t="n"/>
      <c r="U6253" s="19">
        <f>IF(AND($V6253='設定'!$C$4,COUNTIF('商品マスタ'!$B$6:$B$1005,$W6253)=0),N(U6252)+1,N(U6252))</f>
        <v/>
      </c>
      <c r="V6253" s="19">
        <f>IF($B6253="","",TEXT($B6253,"0000"))</f>
        <v/>
      </c>
      <c r="W6253" s="19">
        <f>IF($I6253="","",IF(ISNUMBER($I6253),TEXT($I6253,"0"),$I6253))</f>
        <v/>
      </c>
    </row>
    <row r="6254">
      <c r="B6254" s="25" t="n"/>
      <c r="I6254" s="25" t="n"/>
      <c r="U6254" s="19">
        <f>IF(AND($V6254='設定'!$C$4,COUNTIF('商品マスタ'!$B$6:$B$1005,$W6254)=0),N(U6253)+1,N(U6253))</f>
        <v/>
      </c>
      <c r="V6254" s="19">
        <f>IF($B6254="","",TEXT($B6254,"0000"))</f>
        <v/>
      </c>
      <c r="W6254" s="19">
        <f>IF($I6254="","",IF(ISNUMBER($I6254),TEXT($I6254,"0"),$I6254))</f>
        <v/>
      </c>
    </row>
    <row r="6255">
      <c r="B6255" s="25" t="n"/>
      <c r="I6255" s="25" t="n"/>
      <c r="U6255" s="19">
        <f>IF(AND($V6255='設定'!$C$4,COUNTIF('商品マスタ'!$B$6:$B$1005,$W6255)=0),N(U6254)+1,N(U6254))</f>
        <v/>
      </c>
      <c r="V6255" s="19">
        <f>IF($B6255="","",TEXT($B6255,"0000"))</f>
        <v/>
      </c>
      <c r="W6255" s="19">
        <f>IF($I6255="","",IF(ISNUMBER($I6255),TEXT($I6255,"0"),$I6255))</f>
        <v/>
      </c>
    </row>
    <row r="6256">
      <c r="B6256" s="25" t="n"/>
      <c r="I6256" s="25" t="n"/>
      <c r="U6256" s="19">
        <f>IF(AND($V6256='設定'!$C$4,COUNTIF('商品マスタ'!$B$6:$B$1005,$W6256)=0),N(U6255)+1,N(U6255))</f>
        <v/>
      </c>
      <c r="V6256" s="19">
        <f>IF($B6256="","",TEXT($B6256,"0000"))</f>
        <v/>
      </c>
      <c r="W6256" s="19">
        <f>IF($I6256="","",IF(ISNUMBER($I6256),TEXT($I6256,"0"),$I6256))</f>
        <v/>
      </c>
    </row>
    <row r="6257">
      <c r="B6257" s="25" t="n"/>
      <c r="I6257" s="25" t="n"/>
      <c r="U6257" s="19">
        <f>IF(AND($V6257='設定'!$C$4,COUNTIF('商品マスタ'!$B$6:$B$1005,$W6257)=0),N(U6256)+1,N(U6256))</f>
        <v/>
      </c>
      <c r="V6257" s="19">
        <f>IF($B6257="","",TEXT($B6257,"0000"))</f>
        <v/>
      </c>
      <c r="W6257" s="19">
        <f>IF($I6257="","",IF(ISNUMBER($I6257),TEXT($I6257,"0"),$I6257))</f>
        <v/>
      </c>
    </row>
    <row r="6258">
      <c r="B6258" s="25" t="n"/>
      <c r="I6258" s="25" t="n"/>
      <c r="U6258" s="19">
        <f>IF(AND($V6258='設定'!$C$4,COUNTIF('商品マスタ'!$B$6:$B$1005,$W6258)=0),N(U6257)+1,N(U6257))</f>
        <v/>
      </c>
      <c r="V6258" s="19">
        <f>IF($B6258="","",TEXT($B6258,"0000"))</f>
        <v/>
      </c>
      <c r="W6258" s="19">
        <f>IF($I6258="","",IF(ISNUMBER($I6258),TEXT($I6258,"0"),$I6258))</f>
        <v/>
      </c>
    </row>
    <row r="6259">
      <c r="B6259" s="25" t="n"/>
      <c r="I6259" s="25" t="n"/>
      <c r="U6259" s="19">
        <f>IF(AND($V6259='設定'!$C$4,COUNTIF('商品マスタ'!$B$6:$B$1005,$W6259)=0),N(U6258)+1,N(U6258))</f>
        <v/>
      </c>
      <c r="V6259" s="19">
        <f>IF($B6259="","",TEXT($B6259,"0000"))</f>
        <v/>
      </c>
      <c r="W6259" s="19">
        <f>IF($I6259="","",IF(ISNUMBER($I6259),TEXT($I6259,"0"),$I6259))</f>
        <v/>
      </c>
    </row>
    <row r="6260">
      <c r="B6260" s="25" t="n"/>
      <c r="I6260" s="25" t="n"/>
      <c r="U6260" s="19">
        <f>IF(AND($V6260='設定'!$C$4,COUNTIF('商品マスタ'!$B$6:$B$1005,$W6260)=0),N(U6259)+1,N(U6259))</f>
        <v/>
      </c>
      <c r="V6260" s="19">
        <f>IF($B6260="","",TEXT($B6260,"0000"))</f>
        <v/>
      </c>
      <c r="W6260" s="19">
        <f>IF($I6260="","",IF(ISNUMBER($I6260),TEXT($I6260,"0"),$I6260))</f>
        <v/>
      </c>
    </row>
    <row r="6261">
      <c r="B6261" s="25" t="n"/>
      <c r="I6261" s="25" t="n"/>
      <c r="U6261" s="19">
        <f>IF(AND($V6261='設定'!$C$4,COUNTIF('商品マスタ'!$B$6:$B$1005,$W6261)=0),N(U6260)+1,N(U6260))</f>
        <v/>
      </c>
      <c r="V6261" s="19">
        <f>IF($B6261="","",TEXT($B6261,"0000"))</f>
        <v/>
      </c>
      <c r="W6261" s="19">
        <f>IF($I6261="","",IF(ISNUMBER($I6261),TEXT($I6261,"0"),$I6261))</f>
        <v/>
      </c>
    </row>
    <row r="6262">
      <c r="B6262" s="25" t="n"/>
      <c r="I6262" s="25" t="n"/>
      <c r="U6262" s="19">
        <f>IF(AND($V6262='設定'!$C$4,COUNTIF('商品マスタ'!$B$6:$B$1005,$W6262)=0),N(U6261)+1,N(U6261))</f>
        <v/>
      </c>
      <c r="V6262" s="19">
        <f>IF($B6262="","",TEXT($B6262,"0000"))</f>
        <v/>
      </c>
      <c r="W6262" s="19">
        <f>IF($I6262="","",IF(ISNUMBER($I6262),TEXT($I6262,"0"),$I6262))</f>
        <v/>
      </c>
    </row>
    <row r="6263">
      <c r="B6263" s="25" t="n"/>
      <c r="I6263" s="25" t="n"/>
      <c r="U6263" s="19">
        <f>IF(AND($V6263='設定'!$C$4,COUNTIF('商品マスタ'!$B$6:$B$1005,$W6263)=0),N(U6262)+1,N(U6262))</f>
        <v/>
      </c>
      <c r="V6263" s="19">
        <f>IF($B6263="","",TEXT($B6263,"0000"))</f>
        <v/>
      </c>
      <c r="W6263" s="19">
        <f>IF($I6263="","",IF(ISNUMBER($I6263),TEXT($I6263,"0"),$I6263))</f>
        <v/>
      </c>
    </row>
    <row r="6264">
      <c r="B6264" s="25" t="n"/>
      <c r="I6264" s="25" t="n"/>
      <c r="U6264" s="19">
        <f>IF(AND($V6264='設定'!$C$4,COUNTIF('商品マスタ'!$B$6:$B$1005,$W6264)=0),N(U6263)+1,N(U6263))</f>
        <v/>
      </c>
      <c r="V6264" s="19">
        <f>IF($B6264="","",TEXT($B6264,"0000"))</f>
        <v/>
      </c>
      <c r="W6264" s="19">
        <f>IF($I6264="","",IF(ISNUMBER($I6264),TEXT($I6264,"0"),$I6264))</f>
        <v/>
      </c>
    </row>
    <row r="6265">
      <c r="B6265" s="25" t="n"/>
      <c r="I6265" s="25" t="n"/>
      <c r="U6265" s="19">
        <f>IF(AND($V6265='設定'!$C$4,COUNTIF('商品マスタ'!$B$6:$B$1005,$W6265)=0),N(U6264)+1,N(U6264))</f>
        <v/>
      </c>
      <c r="V6265" s="19">
        <f>IF($B6265="","",TEXT($B6265,"0000"))</f>
        <v/>
      </c>
      <c r="W6265" s="19">
        <f>IF($I6265="","",IF(ISNUMBER($I6265),TEXT($I6265,"0"),$I6265))</f>
        <v/>
      </c>
    </row>
    <row r="6266">
      <c r="B6266" s="25" t="n"/>
      <c r="I6266" s="25" t="n"/>
      <c r="U6266" s="19">
        <f>IF(AND($V6266='設定'!$C$4,COUNTIF('商品マスタ'!$B$6:$B$1005,$W6266)=0),N(U6265)+1,N(U6265))</f>
        <v/>
      </c>
      <c r="V6266" s="19">
        <f>IF($B6266="","",TEXT($B6266,"0000"))</f>
        <v/>
      </c>
      <c r="W6266" s="19">
        <f>IF($I6266="","",IF(ISNUMBER($I6266),TEXT($I6266,"0"),$I6266))</f>
        <v/>
      </c>
    </row>
    <row r="6267">
      <c r="B6267" s="25" t="n"/>
      <c r="I6267" s="25" t="n"/>
      <c r="U6267" s="19">
        <f>IF(AND($V6267='設定'!$C$4,COUNTIF('商品マスタ'!$B$6:$B$1005,$W6267)=0),N(U6266)+1,N(U6266))</f>
        <v/>
      </c>
      <c r="V6267" s="19">
        <f>IF($B6267="","",TEXT($B6267,"0000"))</f>
        <v/>
      </c>
      <c r="W6267" s="19">
        <f>IF($I6267="","",IF(ISNUMBER($I6267),TEXT($I6267,"0"),$I6267))</f>
        <v/>
      </c>
    </row>
    <row r="6268">
      <c r="B6268" s="25" t="n"/>
      <c r="I6268" s="25" t="n"/>
      <c r="U6268" s="19">
        <f>IF(AND($V6268='設定'!$C$4,COUNTIF('商品マスタ'!$B$6:$B$1005,$W6268)=0),N(U6267)+1,N(U6267))</f>
        <v/>
      </c>
      <c r="V6268" s="19">
        <f>IF($B6268="","",TEXT($B6268,"0000"))</f>
        <v/>
      </c>
      <c r="W6268" s="19">
        <f>IF($I6268="","",IF(ISNUMBER($I6268),TEXT($I6268,"0"),$I6268))</f>
        <v/>
      </c>
    </row>
    <row r="6269">
      <c r="B6269" s="25" t="n"/>
      <c r="I6269" s="25" t="n"/>
      <c r="U6269" s="19">
        <f>IF(AND($V6269='設定'!$C$4,COUNTIF('商品マスタ'!$B$6:$B$1005,$W6269)=0),N(U6268)+1,N(U6268))</f>
        <v/>
      </c>
      <c r="V6269" s="19">
        <f>IF($B6269="","",TEXT($B6269,"0000"))</f>
        <v/>
      </c>
      <c r="W6269" s="19">
        <f>IF($I6269="","",IF(ISNUMBER($I6269),TEXT($I6269,"0"),$I6269))</f>
        <v/>
      </c>
    </row>
    <row r="6270">
      <c r="B6270" s="25" t="n"/>
      <c r="I6270" s="25" t="n"/>
      <c r="U6270" s="19">
        <f>IF(AND($V6270='設定'!$C$4,COUNTIF('商品マスタ'!$B$6:$B$1005,$W6270)=0),N(U6269)+1,N(U6269))</f>
        <v/>
      </c>
      <c r="V6270" s="19">
        <f>IF($B6270="","",TEXT($B6270,"0000"))</f>
        <v/>
      </c>
      <c r="W6270" s="19">
        <f>IF($I6270="","",IF(ISNUMBER($I6270),TEXT($I6270,"0"),$I6270))</f>
        <v/>
      </c>
    </row>
    <row r="6271">
      <c r="B6271" s="25" t="n"/>
      <c r="I6271" s="25" t="n"/>
      <c r="U6271" s="19">
        <f>IF(AND($V6271='設定'!$C$4,COUNTIF('商品マスタ'!$B$6:$B$1005,$W6271)=0),N(U6270)+1,N(U6270))</f>
        <v/>
      </c>
      <c r="V6271" s="19">
        <f>IF($B6271="","",TEXT($B6271,"0000"))</f>
        <v/>
      </c>
      <c r="W6271" s="19">
        <f>IF($I6271="","",IF(ISNUMBER($I6271),TEXT($I6271,"0"),$I6271))</f>
        <v/>
      </c>
    </row>
    <row r="6272">
      <c r="B6272" s="25" t="n"/>
      <c r="I6272" s="25" t="n"/>
      <c r="U6272" s="19">
        <f>IF(AND($V6272='設定'!$C$4,COUNTIF('商品マスタ'!$B$6:$B$1005,$W6272)=0),N(U6271)+1,N(U6271))</f>
        <v/>
      </c>
      <c r="V6272" s="19">
        <f>IF($B6272="","",TEXT($B6272,"0000"))</f>
        <v/>
      </c>
      <c r="W6272" s="19">
        <f>IF($I6272="","",IF(ISNUMBER($I6272),TEXT($I6272,"0"),$I6272))</f>
        <v/>
      </c>
    </row>
    <row r="6273">
      <c r="B6273" s="25" t="n"/>
      <c r="I6273" s="25" t="n"/>
      <c r="U6273" s="19">
        <f>IF(AND($V6273='設定'!$C$4,COUNTIF('商品マスタ'!$B$6:$B$1005,$W6273)=0),N(U6272)+1,N(U6272))</f>
        <v/>
      </c>
      <c r="V6273" s="19">
        <f>IF($B6273="","",TEXT($B6273,"0000"))</f>
        <v/>
      </c>
      <c r="W6273" s="19">
        <f>IF($I6273="","",IF(ISNUMBER($I6273),TEXT($I6273,"0"),$I6273))</f>
        <v/>
      </c>
    </row>
    <row r="6274">
      <c r="B6274" s="25" t="n"/>
      <c r="I6274" s="25" t="n"/>
      <c r="U6274" s="19">
        <f>IF(AND($V6274='設定'!$C$4,COUNTIF('商品マスタ'!$B$6:$B$1005,$W6274)=0),N(U6273)+1,N(U6273))</f>
        <v/>
      </c>
      <c r="V6274" s="19">
        <f>IF($B6274="","",TEXT($B6274,"0000"))</f>
        <v/>
      </c>
      <c r="W6274" s="19">
        <f>IF($I6274="","",IF(ISNUMBER($I6274),TEXT($I6274,"0"),$I6274))</f>
        <v/>
      </c>
    </row>
    <row r="6275">
      <c r="B6275" s="25" t="n"/>
      <c r="I6275" s="25" t="n"/>
      <c r="U6275" s="19">
        <f>IF(AND($V6275='設定'!$C$4,COUNTIF('商品マスタ'!$B$6:$B$1005,$W6275)=0),N(U6274)+1,N(U6274))</f>
        <v/>
      </c>
      <c r="V6275" s="19">
        <f>IF($B6275="","",TEXT($B6275,"0000"))</f>
        <v/>
      </c>
      <c r="W6275" s="19">
        <f>IF($I6275="","",IF(ISNUMBER($I6275),TEXT($I6275,"0"),$I6275))</f>
        <v/>
      </c>
    </row>
    <row r="6276">
      <c r="B6276" s="25" t="n"/>
      <c r="I6276" s="25" t="n"/>
      <c r="U6276" s="19">
        <f>IF(AND($V6276='設定'!$C$4,COUNTIF('商品マスタ'!$B$6:$B$1005,$W6276)=0),N(U6275)+1,N(U6275))</f>
        <v/>
      </c>
      <c r="V6276" s="19">
        <f>IF($B6276="","",TEXT($B6276,"0000"))</f>
        <v/>
      </c>
      <c r="W6276" s="19">
        <f>IF($I6276="","",IF(ISNUMBER($I6276),TEXT($I6276,"0"),$I6276))</f>
        <v/>
      </c>
    </row>
    <row r="6277">
      <c r="B6277" s="25" t="n"/>
      <c r="I6277" s="25" t="n"/>
      <c r="U6277" s="19">
        <f>IF(AND($V6277='設定'!$C$4,COUNTIF('商品マスタ'!$B$6:$B$1005,$W6277)=0),N(U6276)+1,N(U6276))</f>
        <v/>
      </c>
      <c r="V6277" s="19">
        <f>IF($B6277="","",TEXT($B6277,"0000"))</f>
        <v/>
      </c>
      <c r="W6277" s="19">
        <f>IF($I6277="","",IF(ISNUMBER($I6277),TEXT($I6277,"0"),$I6277))</f>
        <v/>
      </c>
    </row>
    <row r="6278">
      <c r="B6278" s="25" t="n"/>
      <c r="I6278" s="25" t="n"/>
      <c r="U6278" s="19">
        <f>IF(AND($V6278='設定'!$C$4,COUNTIF('商品マスタ'!$B$6:$B$1005,$W6278)=0),N(U6277)+1,N(U6277))</f>
        <v/>
      </c>
      <c r="V6278" s="19">
        <f>IF($B6278="","",TEXT($B6278,"0000"))</f>
        <v/>
      </c>
      <c r="W6278" s="19">
        <f>IF($I6278="","",IF(ISNUMBER($I6278),TEXT($I6278,"0"),$I6278))</f>
        <v/>
      </c>
    </row>
    <row r="6279">
      <c r="B6279" s="25" t="n"/>
      <c r="I6279" s="25" t="n"/>
      <c r="U6279" s="19">
        <f>IF(AND($V6279='設定'!$C$4,COUNTIF('商品マスタ'!$B$6:$B$1005,$W6279)=0),N(U6278)+1,N(U6278))</f>
        <v/>
      </c>
      <c r="V6279" s="19">
        <f>IF($B6279="","",TEXT($B6279,"0000"))</f>
        <v/>
      </c>
      <c r="W6279" s="19">
        <f>IF($I6279="","",IF(ISNUMBER($I6279),TEXT($I6279,"0"),$I6279))</f>
        <v/>
      </c>
    </row>
    <row r="6280">
      <c r="B6280" s="25" t="n"/>
      <c r="I6280" s="25" t="n"/>
      <c r="U6280" s="19">
        <f>IF(AND($V6280='設定'!$C$4,COUNTIF('商品マスタ'!$B$6:$B$1005,$W6280)=0),N(U6279)+1,N(U6279))</f>
        <v/>
      </c>
      <c r="V6280" s="19">
        <f>IF($B6280="","",TEXT($B6280,"0000"))</f>
        <v/>
      </c>
      <c r="W6280" s="19">
        <f>IF($I6280="","",IF(ISNUMBER($I6280),TEXT($I6280,"0"),$I6280))</f>
        <v/>
      </c>
    </row>
    <row r="6281">
      <c r="B6281" s="25" t="n"/>
      <c r="I6281" s="25" t="n"/>
      <c r="U6281" s="19">
        <f>IF(AND($V6281='設定'!$C$4,COUNTIF('商品マスタ'!$B$6:$B$1005,$W6281)=0),N(U6280)+1,N(U6280))</f>
        <v/>
      </c>
      <c r="V6281" s="19">
        <f>IF($B6281="","",TEXT($B6281,"0000"))</f>
        <v/>
      </c>
      <c r="W6281" s="19">
        <f>IF($I6281="","",IF(ISNUMBER($I6281),TEXT($I6281,"0"),$I6281))</f>
        <v/>
      </c>
    </row>
    <row r="6282">
      <c r="B6282" s="25" t="n"/>
      <c r="I6282" s="25" t="n"/>
      <c r="U6282" s="19">
        <f>IF(AND($V6282='設定'!$C$4,COUNTIF('商品マスタ'!$B$6:$B$1005,$W6282)=0),N(U6281)+1,N(U6281))</f>
        <v/>
      </c>
      <c r="V6282" s="19">
        <f>IF($B6282="","",TEXT($B6282,"0000"))</f>
        <v/>
      </c>
      <c r="W6282" s="19">
        <f>IF($I6282="","",IF(ISNUMBER($I6282),TEXT($I6282,"0"),$I6282))</f>
        <v/>
      </c>
    </row>
    <row r="6283">
      <c r="B6283" s="25" t="n"/>
      <c r="I6283" s="25" t="n"/>
      <c r="U6283" s="19">
        <f>IF(AND($V6283='設定'!$C$4,COUNTIF('商品マスタ'!$B$6:$B$1005,$W6283)=0),N(U6282)+1,N(U6282))</f>
        <v/>
      </c>
      <c r="V6283" s="19">
        <f>IF($B6283="","",TEXT($B6283,"0000"))</f>
        <v/>
      </c>
      <c r="W6283" s="19">
        <f>IF($I6283="","",IF(ISNUMBER($I6283),TEXT($I6283,"0"),$I6283))</f>
        <v/>
      </c>
    </row>
    <row r="6284">
      <c r="B6284" s="25" t="n"/>
      <c r="I6284" s="25" t="n"/>
      <c r="U6284" s="19">
        <f>IF(AND($V6284='設定'!$C$4,COUNTIF('商品マスタ'!$B$6:$B$1005,$W6284)=0),N(U6283)+1,N(U6283))</f>
        <v/>
      </c>
      <c r="V6284" s="19">
        <f>IF($B6284="","",TEXT($B6284,"0000"))</f>
        <v/>
      </c>
      <c r="W6284" s="19">
        <f>IF($I6284="","",IF(ISNUMBER($I6284),TEXT($I6284,"0"),$I6284))</f>
        <v/>
      </c>
    </row>
    <row r="6285">
      <c r="B6285" s="25" t="n"/>
      <c r="I6285" s="25" t="n"/>
      <c r="U6285" s="19">
        <f>IF(AND($V6285='設定'!$C$4,COUNTIF('商品マスタ'!$B$6:$B$1005,$W6285)=0),N(U6284)+1,N(U6284))</f>
        <v/>
      </c>
      <c r="V6285" s="19">
        <f>IF($B6285="","",TEXT($B6285,"0000"))</f>
        <v/>
      </c>
      <c r="W6285" s="19">
        <f>IF($I6285="","",IF(ISNUMBER($I6285),TEXT($I6285,"0"),$I6285))</f>
        <v/>
      </c>
    </row>
    <row r="6286">
      <c r="B6286" s="25" t="n"/>
      <c r="I6286" s="25" t="n"/>
      <c r="U6286" s="19">
        <f>IF(AND($V6286='設定'!$C$4,COUNTIF('商品マスタ'!$B$6:$B$1005,$W6286)=0),N(U6285)+1,N(U6285))</f>
        <v/>
      </c>
      <c r="V6286" s="19">
        <f>IF($B6286="","",TEXT($B6286,"0000"))</f>
        <v/>
      </c>
      <c r="W6286" s="19">
        <f>IF($I6286="","",IF(ISNUMBER($I6286),TEXT($I6286,"0"),$I6286))</f>
        <v/>
      </c>
    </row>
    <row r="6287">
      <c r="B6287" s="25" t="n"/>
      <c r="I6287" s="25" t="n"/>
      <c r="U6287" s="19">
        <f>IF(AND($V6287='設定'!$C$4,COUNTIF('商品マスタ'!$B$6:$B$1005,$W6287)=0),N(U6286)+1,N(U6286))</f>
        <v/>
      </c>
      <c r="V6287" s="19">
        <f>IF($B6287="","",TEXT($B6287,"0000"))</f>
        <v/>
      </c>
      <c r="W6287" s="19">
        <f>IF($I6287="","",IF(ISNUMBER($I6287),TEXT($I6287,"0"),$I6287))</f>
        <v/>
      </c>
    </row>
    <row r="6288">
      <c r="B6288" s="25" t="n"/>
      <c r="I6288" s="25" t="n"/>
      <c r="U6288" s="19">
        <f>IF(AND($V6288='設定'!$C$4,COUNTIF('商品マスタ'!$B$6:$B$1005,$W6288)=0),N(U6287)+1,N(U6287))</f>
        <v/>
      </c>
      <c r="V6288" s="19">
        <f>IF($B6288="","",TEXT($B6288,"0000"))</f>
        <v/>
      </c>
      <c r="W6288" s="19">
        <f>IF($I6288="","",IF(ISNUMBER($I6288),TEXT($I6288,"0"),$I6288))</f>
        <v/>
      </c>
    </row>
    <row r="6289">
      <c r="B6289" s="25" t="n"/>
      <c r="I6289" s="25" t="n"/>
      <c r="U6289" s="19">
        <f>IF(AND($V6289='設定'!$C$4,COUNTIF('商品マスタ'!$B$6:$B$1005,$W6289)=0),N(U6288)+1,N(U6288))</f>
        <v/>
      </c>
      <c r="V6289" s="19">
        <f>IF($B6289="","",TEXT($B6289,"0000"))</f>
        <v/>
      </c>
      <c r="W6289" s="19">
        <f>IF($I6289="","",IF(ISNUMBER($I6289),TEXT($I6289,"0"),$I6289))</f>
        <v/>
      </c>
    </row>
    <row r="6290">
      <c r="B6290" s="25" t="n"/>
      <c r="I6290" s="25" t="n"/>
      <c r="U6290" s="19">
        <f>IF(AND($V6290='設定'!$C$4,COUNTIF('商品マスタ'!$B$6:$B$1005,$W6290)=0),N(U6289)+1,N(U6289))</f>
        <v/>
      </c>
      <c r="V6290" s="19">
        <f>IF($B6290="","",TEXT($B6290,"0000"))</f>
        <v/>
      </c>
      <c r="W6290" s="19">
        <f>IF($I6290="","",IF(ISNUMBER($I6290),TEXT($I6290,"0"),$I6290))</f>
        <v/>
      </c>
    </row>
    <row r="6291">
      <c r="B6291" s="25" t="n"/>
      <c r="I6291" s="25" t="n"/>
      <c r="U6291" s="19">
        <f>IF(AND($V6291='設定'!$C$4,COUNTIF('商品マスタ'!$B$6:$B$1005,$W6291)=0),N(U6290)+1,N(U6290))</f>
        <v/>
      </c>
      <c r="V6291" s="19">
        <f>IF($B6291="","",TEXT($B6291,"0000"))</f>
        <v/>
      </c>
      <c r="W6291" s="19">
        <f>IF($I6291="","",IF(ISNUMBER($I6291),TEXT($I6291,"0"),$I6291))</f>
        <v/>
      </c>
    </row>
    <row r="6292">
      <c r="B6292" s="25" t="n"/>
      <c r="I6292" s="25" t="n"/>
      <c r="U6292" s="19">
        <f>IF(AND($V6292='設定'!$C$4,COUNTIF('商品マスタ'!$B$6:$B$1005,$W6292)=0),N(U6291)+1,N(U6291))</f>
        <v/>
      </c>
      <c r="V6292" s="19">
        <f>IF($B6292="","",TEXT($B6292,"0000"))</f>
        <v/>
      </c>
      <c r="W6292" s="19">
        <f>IF($I6292="","",IF(ISNUMBER($I6292),TEXT($I6292,"0"),$I6292))</f>
        <v/>
      </c>
    </row>
    <row r="6293">
      <c r="B6293" s="25" t="n"/>
      <c r="I6293" s="25" t="n"/>
      <c r="U6293" s="19">
        <f>IF(AND($V6293='設定'!$C$4,COUNTIF('商品マスタ'!$B$6:$B$1005,$W6293)=0),N(U6292)+1,N(U6292))</f>
        <v/>
      </c>
      <c r="V6293" s="19">
        <f>IF($B6293="","",TEXT($B6293,"0000"))</f>
        <v/>
      </c>
      <c r="W6293" s="19">
        <f>IF($I6293="","",IF(ISNUMBER($I6293),TEXT($I6293,"0"),$I6293))</f>
        <v/>
      </c>
    </row>
    <row r="6294">
      <c r="B6294" s="25" t="n"/>
      <c r="I6294" s="25" t="n"/>
      <c r="U6294" s="19">
        <f>IF(AND($V6294='設定'!$C$4,COUNTIF('商品マスタ'!$B$6:$B$1005,$W6294)=0),N(U6293)+1,N(U6293))</f>
        <v/>
      </c>
      <c r="V6294" s="19">
        <f>IF($B6294="","",TEXT($B6294,"0000"))</f>
        <v/>
      </c>
      <c r="W6294" s="19">
        <f>IF($I6294="","",IF(ISNUMBER($I6294),TEXT($I6294,"0"),$I6294))</f>
        <v/>
      </c>
    </row>
    <row r="6295">
      <c r="B6295" s="25" t="n"/>
      <c r="I6295" s="25" t="n"/>
      <c r="U6295" s="19">
        <f>IF(AND($V6295='設定'!$C$4,COUNTIF('商品マスタ'!$B$6:$B$1005,$W6295)=0),N(U6294)+1,N(U6294))</f>
        <v/>
      </c>
      <c r="V6295" s="19">
        <f>IF($B6295="","",TEXT($B6295,"0000"))</f>
        <v/>
      </c>
      <c r="W6295" s="19">
        <f>IF($I6295="","",IF(ISNUMBER($I6295),TEXT($I6295,"0"),$I6295))</f>
        <v/>
      </c>
    </row>
    <row r="6296">
      <c r="B6296" s="25" t="n"/>
      <c r="I6296" s="25" t="n"/>
      <c r="U6296" s="19">
        <f>IF(AND($V6296='設定'!$C$4,COUNTIF('商品マスタ'!$B$6:$B$1005,$W6296)=0),N(U6295)+1,N(U6295))</f>
        <v/>
      </c>
      <c r="V6296" s="19">
        <f>IF($B6296="","",TEXT($B6296,"0000"))</f>
        <v/>
      </c>
      <c r="W6296" s="19">
        <f>IF($I6296="","",IF(ISNUMBER($I6296),TEXT($I6296,"0"),$I6296))</f>
        <v/>
      </c>
    </row>
    <row r="6297">
      <c r="B6297" s="25" t="n"/>
      <c r="I6297" s="25" t="n"/>
      <c r="U6297" s="19">
        <f>IF(AND($V6297='設定'!$C$4,COUNTIF('商品マスタ'!$B$6:$B$1005,$W6297)=0),N(U6296)+1,N(U6296))</f>
        <v/>
      </c>
      <c r="V6297" s="19">
        <f>IF($B6297="","",TEXT($B6297,"0000"))</f>
        <v/>
      </c>
      <c r="W6297" s="19">
        <f>IF($I6297="","",IF(ISNUMBER($I6297),TEXT($I6297,"0"),$I6297))</f>
        <v/>
      </c>
    </row>
    <row r="6298">
      <c r="B6298" s="25" t="n"/>
      <c r="I6298" s="25" t="n"/>
      <c r="U6298" s="19">
        <f>IF(AND($V6298='設定'!$C$4,COUNTIF('商品マスタ'!$B$6:$B$1005,$W6298)=0),N(U6297)+1,N(U6297))</f>
        <v/>
      </c>
      <c r="V6298" s="19">
        <f>IF($B6298="","",TEXT($B6298,"0000"))</f>
        <v/>
      </c>
      <c r="W6298" s="19">
        <f>IF($I6298="","",IF(ISNUMBER($I6298),TEXT($I6298,"0"),$I6298))</f>
        <v/>
      </c>
    </row>
    <row r="6299">
      <c r="B6299" s="25" t="n"/>
      <c r="I6299" s="25" t="n"/>
      <c r="U6299" s="19">
        <f>IF(AND($V6299='設定'!$C$4,COUNTIF('商品マスタ'!$B$6:$B$1005,$W6299)=0),N(U6298)+1,N(U6298))</f>
        <v/>
      </c>
      <c r="V6299" s="19">
        <f>IF($B6299="","",TEXT($B6299,"0000"))</f>
        <v/>
      </c>
      <c r="W6299" s="19">
        <f>IF($I6299="","",IF(ISNUMBER($I6299),TEXT($I6299,"0"),$I6299))</f>
        <v/>
      </c>
    </row>
    <row r="6300">
      <c r="B6300" s="25" t="n"/>
      <c r="I6300" s="25" t="n"/>
      <c r="U6300" s="19">
        <f>IF(AND($V6300='設定'!$C$4,COUNTIF('商品マスタ'!$B$6:$B$1005,$W6300)=0),N(U6299)+1,N(U6299))</f>
        <v/>
      </c>
      <c r="V6300" s="19">
        <f>IF($B6300="","",TEXT($B6300,"0000"))</f>
        <v/>
      </c>
      <c r="W6300" s="19">
        <f>IF($I6300="","",IF(ISNUMBER($I6300),TEXT($I6300,"0"),$I6300))</f>
        <v/>
      </c>
    </row>
    <row r="6301">
      <c r="B6301" s="25" t="n"/>
      <c r="I6301" s="25" t="n"/>
      <c r="U6301" s="19">
        <f>IF(AND($V6301='設定'!$C$4,COUNTIF('商品マスタ'!$B$6:$B$1005,$W6301)=0),N(U6300)+1,N(U6300))</f>
        <v/>
      </c>
      <c r="V6301" s="19">
        <f>IF($B6301="","",TEXT($B6301,"0000"))</f>
        <v/>
      </c>
      <c r="W6301" s="19">
        <f>IF($I6301="","",IF(ISNUMBER($I6301),TEXT($I6301,"0"),$I6301))</f>
        <v/>
      </c>
    </row>
    <row r="6302">
      <c r="B6302" s="25" t="n"/>
      <c r="I6302" s="25" t="n"/>
      <c r="U6302" s="19">
        <f>IF(AND($V6302='設定'!$C$4,COUNTIF('商品マスタ'!$B$6:$B$1005,$W6302)=0),N(U6301)+1,N(U6301))</f>
        <v/>
      </c>
      <c r="V6302" s="19">
        <f>IF($B6302="","",TEXT($B6302,"0000"))</f>
        <v/>
      </c>
      <c r="W6302" s="19">
        <f>IF($I6302="","",IF(ISNUMBER($I6302),TEXT($I6302,"0"),$I6302))</f>
        <v/>
      </c>
    </row>
    <row r="6303">
      <c r="B6303" s="25" t="n"/>
      <c r="I6303" s="25" t="n"/>
      <c r="U6303" s="19">
        <f>IF(AND($V6303='設定'!$C$4,COUNTIF('商品マスタ'!$B$6:$B$1005,$W6303)=0),N(U6302)+1,N(U6302))</f>
        <v/>
      </c>
      <c r="V6303" s="19">
        <f>IF($B6303="","",TEXT($B6303,"0000"))</f>
        <v/>
      </c>
      <c r="W6303" s="19">
        <f>IF($I6303="","",IF(ISNUMBER($I6303),TEXT($I6303,"0"),$I6303))</f>
        <v/>
      </c>
    </row>
    <row r="6304">
      <c r="B6304" s="25" t="n"/>
      <c r="I6304" s="25" t="n"/>
      <c r="U6304" s="19">
        <f>IF(AND($V6304='設定'!$C$4,COUNTIF('商品マスタ'!$B$6:$B$1005,$W6304)=0),N(U6303)+1,N(U6303))</f>
        <v/>
      </c>
      <c r="V6304" s="19">
        <f>IF($B6304="","",TEXT($B6304,"0000"))</f>
        <v/>
      </c>
      <c r="W6304" s="19">
        <f>IF($I6304="","",IF(ISNUMBER($I6304),TEXT($I6304,"0"),$I6304))</f>
        <v/>
      </c>
    </row>
    <row r="6305">
      <c r="B6305" s="25" t="n"/>
      <c r="I6305" s="25" t="n"/>
      <c r="U6305" s="19">
        <f>IF(AND($V6305='設定'!$C$4,COUNTIF('商品マスタ'!$B$6:$B$1005,$W6305)=0),N(U6304)+1,N(U6304))</f>
        <v/>
      </c>
      <c r="V6305" s="19">
        <f>IF($B6305="","",TEXT($B6305,"0000"))</f>
        <v/>
      </c>
      <c r="W6305" s="19">
        <f>IF($I6305="","",IF(ISNUMBER($I6305),TEXT($I6305,"0"),$I6305))</f>
        <v/>
      </c>
    </row>
    <row r="6306">
      <c r="B6306" s="25" t="n"/>
      <c r="I6306" s="25" t="n"/>
      <c r="U6306" s="19">
        <f>IF(AND($V6306='設定'!$C$4,COUNTIF('商品マスタ'!$B$6:$B$1005,$W6306)=0),N(U6305)+1,N(U6305))</f>
        <v/>
      </c>
      <c r="V6306" s="19">
        <f>IF($B6306="","",TEXT($B6306,"0000"))</f>
        <v/>
      </c>
      <c r="W6306" s="19">
        <f>IF($I6306="","",IF(ISNUMBER($I6306),TEXT($I6306,"0"),$I6306))</f>
        <v/>
      </c>
    </row>
    <row r="6307">
      <c r="B6307" s="25" t="n"/>
      <c r="I6307" s="25" t="n"/>
      <c r="U6307" s="19">
        <f>IF(AND($V6307='設定'!$C$4,COUNTIF('商品マスタ'!$B$6:$B$1005,$W6307)=0),N(U6306)+1,N(U6306))</f>
        <v/>
      </c>
      <c r="V6307" s="19">
        <f>IF($B6307="","",TEXT($B6307,"0000"))</f>
        <v/>
      </c>
      <c r="W6307" s="19">
        <f>IF($I6307="","",IF(ISNUMBER($I6307),TEXT($I6307,"0"),$I6307))</f>
        <v/>
      </c>
    </row>
    <row r="6308">
      <c r="B6308" s="25" t="n"/>
      <c r="I6308" s="25" t="n"/>
      <c r="U6308" s="19">
        <f>IF(AND($V6308='設定'!$C$4,COUNTIF('商品マスタ'!$B$6:$B$1005,$W6308)=0),N(U6307)+1,N(U6307))</f>
        <v/>
      </c>
      <c r="V6308" s="19">
        <f>IF($B6308="","",TEXT($B6308,"0000"))</f>
        <v/>
      </c>
      <c r="W6308" s="19">
        <f>IF($I6308="","",IF(ISNUMBER($I6308),TEXT($I6308,"0"),$I6308))</f>
        <v/>
      </c>
    </row>
    <row r="6309">
      <c r="B6309" s="25" t="n"/>
      <c r="I6309" s="25" t="n"/>
      <c r="U6309" s="19">
        <f>IF(AND($V6309='設定'!$C$4,COUNTIF('商品マスタ'!$B$6:$B$1005,$W6309)=0),N(U6308)+1,N(U6308))</f>
        <v/>
      </c>
      <c r="V6309" s="19">
        <f>IF($B6309="","",TEXT($B6309,"0000"))</f>
        <v/>
      </c>
      <c r="W6309" s="19">
        <f>IF($I6309="","",IF(ISNUMBER($I6309),TEXT($I6309,"0"),$I6309))</f>
        <v/>
      </c>
    </row>
    <row r="6310">
      <c r="B6310" s="25" t="n"/>
      <c r="I6310" s="25" t="n"/>
      <c r="U6310" s="19">
        <f>IF(AND($V6310='設定'!$C$4,COUNTIF('商品マスタ'!$B$6:$B$1005,$W6310)=0),N(U6309)+1,N(U6309))</f>
        <v/>
      </c>
      <c r="V6310" s="19">
        <f>IF($B6310="","",TEXT($B6310,"0000"))</f>
        <v/>
      </c>
      <c r="W6310" s="19">
        <f>IF($I6310="","",IF(ISNUMBER($I6310),TEXT($I6310,"0"),$I6310))</f>
        <v/>
      </c>
    </row>
    <row r="6311">
      <c r="B6311" s="25" t="n"/>
      <c r="I6311" s="25" t="n"/>
      <c r="U6311" s="19">
        <f>IF(AND($V6311='設定'!$C$4,COUNTIF('商品マスタ'!$B$6:$B$1005,$W6311)=0),N(U6310)+1,N(U6310))</f>
        <v/>
      </c>
      <c r="V6311" s="19">
        <f>IF($B6311="","",TEXT($B6311,"0000"))</f>
        <v/>
      </c>
      <c r="W6311" s="19">
        <f>IF($I6311="","",IF(ISNUMBER($I6311),TEXT($I6311,"0"),$I6311))</f>
        <v/>
      </c>
    </row>
    <row r="6312">
      <c r="B6312" s="25" t="n"/>
      <c r="I6312" s="25" t="n"/>
      <c r="U6312" s="19">
        <f>IF(AND($V6312='設定'!$C$4,COUNTIF('商品マスタ'!$B$6:$B$1005,$W6312)=0),N(U6311)+1,N(U6311))</f>
        <v/>
      </c>
      <c r="V6312" s="19">
        <f>IF($B6312="","",TEXT($B6312,"0000"))</f>
        <v/>
      </c>
      <c r="W6312" s="19">
        <f>IF($I6312="","",IF(ISNUMBER($I6312),TEXT($I6312,"0"),$I6312))</f>
        <v/>
      </c>
    </row>
    <row r="6313">
      <c r="B6313" s="25" t="n"/>
      <c r="I6313" s="25" t="n"/>
      <c r="U6313" s="19">
        <f>IF(AND($V6313='設定'!$C$4,COUNTIF('商品マスタ'!$B$6:$B$1005,$W6313)=0),N(U6312)+1,N(U6312))</f>
        <v/>
      </c>
      <c r="V6313" s="19">
        <f>IF($B6313="","",TEXT($B6313,"0000"))</f>
        <v/>
      </c>
      <c r="W6313" s="19">
        <f>IF($I6313="","",IF(ISNUMBER($I6313),TEXT($I6313,"0"),$I6313))</f>
        <v/>
      </c>
    </row>
    <row r="6314">
      <c r="B6314" s="25" t="n"/>
      <c r="I6314" s="25" t="n"/>
      <c r="U6314" s="19">
        <f>IF(AND($V6314='設定'!$C$4,COUNTIF('商品マスタ'!$B$6:$B$1005,$W6314)=0),N(U6313)+1,N(U6313))</f>
        <v/>
      </c>
      <c r="V6314" s="19">
        <f>IF($B6314="","",TEXT($B6314,"0000"))</f>
        <v/>
      </c>
      <c r="W6314" s="19">
        <f>IF($I6314="","",IF(ISNUMBER($I6314),TEXT($I6314,"0"),$I6314))</f>
        <v/>
      </c>
    </row>
    <row r="6315">
      <c r="B6315" s="25" t="n"/>
      <c r="I6315" s="25" t="n"/>
      <c r="U6315" s="19">
        <f>IF(AND($V6315='設定'!$C$4,COUNTIF('商品マスタ'!$B$6:$B$1005,$W6315)=0),N(U6314)+1,N(U6314))</f>
        <v/>
      </c>
      <c r="V6315" s="19">
        <f>IF($B6315="","",TEXT($B6315,"0000"))</f>
        <v/>
      </c>
      <c r="W6315" s="19">
        <f>IF($I6315="","",IF(ISNUMBER($I6315),TEXT($I6315,"0"),$I6315))</f>
        <v/>
      </c>
    </row>
    <row r="6316">
      <c r="B6316" s="25" t="n"/>
      <c r="I6316" s="25" t="n"/>
      <c r="U6316" s="19">
        <f>IF(AND($V6316='設定'!$C$4,COUNTIF('商品マスタ'!$B$6:$B$1005,$W6316)=0),N(U6315)+1,N(U6315))</f>
        <v/>
      </c>
      <c r="V6316" s="19">
        <f>IF($B6316="","",TEXT($B6316,"0000"))</f>
        <v/>
      </c>
      <c r="W6316" s="19">
        <f>IF($I6316="","",IF(ISNUMBER($I6316),TEXT($I6316,"0"),$I6316))</f>
        <v/>
      </c>
    </row>
    <row r="6317">
      <c r="B6317" s="25" t="n"/>
      <c r="I6317" s="25" t="n"/>
      <c r="U6317" s="19">
        <f>IF(AND($V6317='設定'!$C$4,COUNTIF('商品マスタ'!$B$6:$B$1005,$W6317)=0),N(U6316)+1,N(U6316))</f>
        <v/>
      </c>
      <c r="V6317" s="19">
        <f>IF($B6317="","",TEXT($B6317,"0000"))</f>
        <v/>
      </c>
      <c r="W6317" s="19">
        <f>IF($I6317="","",IF(ISNUMBER($I6317),TEXT($I6317,"0"),$I6317))</f>
        <v/>
      </c>
    </row>
    <row r="6318">
      <c r="B6318" s="25" t="n"/>
      <c r="I6318" s="25" t="n"/>
      <c r="U6318" s="19">
        <f>IF(AND($V6318='設定'!$C$4,COUNTIF('商品マスタ'!$B$6:$B$1005,$W6318)=0),N(U6317)+1,N(U6317))</f>
        <v/>
      </c>
      <c r="V6318" s="19">
        <f>IF($B6318="","",TEXT($B6318,"0000"))</f>
        <v/>
      </c>
      <c r="W6318" s="19">
        <f>IF($I6318="","",IF(ISNUMBER($I6318),TEXT($I6318,"0"),$I6318))</f>
        <v/>
      </c>
    </row>
    <row r="6319">
      <c r="B6319" s="25" t="n"/>
      <c r="I6319" s="25" t="n"/>
      <c r="U6319" s="19">
        <f>IF(AND($V6319='設定'!$C$4,COUNTIF('商品マスタ'!$B$6:$B$1005,$W6319)=0),N(U6318)+1,N(U6318))</f>
        <v/>
      </c>
      <c r="V6319" s="19">
        <f>IF($B6319="","",TEXT($B6319,"0000"))</f>
        <v/>
      </c>
      <c r="W6319" s="19">
        <f>IF($I6319="","",IF(ISNUMBER($I6319),TEXT($I6319,"0"),$I6319))</f>
        <v/>
      </c>
    </row>
    <row r="6320">
      <c r="B6320" s="25" t="n"/>
      <c r="I6320" s="25" t="n"/>
      <c r="U6320" s="19">
        <f>IF(AND($V6320='設定'!$C$4,COUNTIF('商品マスタ'!$B$6:$B$1005,$W6320)=0),N(U6319)+1,N(U6319))</f>
        <v/>
      </c>
      <c r="V6320" s="19">
        <f>IF($B6320="","",TEXT($B6320,"0000"))</f>
        <v/>
      </c>
      <c r="W6320" s="19">
        <f>IF($I6320="","",IF(ISNUMBER($I6320),TEXT($I6320,"0"),$I6320))</f>
        <v/>
      </c>
    </row>
    <row r="6321">
      <c r="B6321" s="25" t="n"/>
      <c r="I6321" s="25" t="n"/>
      <c r="U6321" s="19">
        <f>IF(AND($V6321='設定'!$C$4,COUNTIF('商品マスタ'!$B$6:$B$1005,$W6321)=0),N(U6320)+1,N(U6320))</f>
        <v/>
      </c>
      <c r="V6321" s="19">
        <f>IF($B6321="","",TEXT($B6321,"0000"))</f>
        <v/>
      </c>
      <c r="W6321" s="19">
        <f>IF($I6321="","",IF(ISNUMBER($I6321),TEXT($I6321,"0"),$I6321))</f>
        <v/>
      </c>
    </row>
    <row r="6322">
      <c r="B6322" s="25" t="n"/>
      <c r="I6322" s="25" t="n"/>
      <c r="U6322" s="19">
        <f>IF(AND($V6322='設定'!$C$4,COUNTIF('商品マスタ'!$B$6:$B$1005,$W6322)=0),N(U6321)+1,N(U6321))</f>
        <v/>
      </c>
      <c r="V6322" s="19">
        <f>IF($B6322="","",TEXT($B6322,"0000"))</f>
        <v/>
      </c>
      <c r="W6322" s="19">
        <f>IF($I6322="","",IF(ISNUMBER($I6322),TEXT($I6322,"0"),$I6322))</f>
        <v/>
      </c>
    </row>
    <row r="6323">
      <c r="B6323" s="25" t="n"/>
      <c r="I6323" s="25" t="n"/>
      <c r="U6323" s="19">
        <f>IF(AND($V6323='設定'!$C$4,COUNTIF('商品マスタ'!$B$6:$B$1005,$W6323)=0),N(U6322)+1,N(U6322))</f>
        <v/>
      </c>
      <c r="V6323" s="19">
        <f>IF($B6323="","",TEXT($B6323,"0000"))</f>
        <v/>
      </c>
      <c r="W6323" s="19">
        <f>IF($I6323="","",IF(ISNUMBER($I6323),TEXT($I6323,"0"),$I6323))</f>
        <v/>
      </c>
    </row>
    <row r="6324">
      <c r="B6324" s="25" t="n"/>
      <c r="I6324" s="25" t="n"/>
      <c r="U6324" s="19">
        <f>IF(AND($V6324='設定'!$C$4,COUNTIF('商品マスタ'!$B$6:$B$1005,$W6324)=0),N(U6323)+1,N(U6323))</f>
        <v/>
      </c>
      <c r="V6324" s="19">
        <f>IF($B6324="","",TEXT($B6324,"0000"))</f>
        <v/>
      </c>
      <c r="W6324" s="19">
        <f>IF($I6324="","",IF(ISNUMBER($I6324),TEXT($I6324,"0"),$I6324))</f>
        <v/>
      </c>
    </row>
    <row r="6325">
      <c r="B6325" s="25" t="n"/>
      <c r="I6325" s="25" t="n"/>
      <c r="U6325" s="19">
        <f>IF(AND($V6325='設定'!$C$4,COUNTIF('商品マスタ'!$B$6:$B$1005,$W6325)=0),N(U6324)+1,N(U6324))</f>
        <v/>
      </c>
      <c r="V6325" s="19">
        <f>IF($B6325="","",TEXT($B6325,"0000"))</f>
        <v/>
      </c>
      <c r="W6325" s="19">
        <f>IF($I6325="","",IF(ISNUMBER($I6325),TEXT($I6325,"0"),$I6325))</f>
        <v/>
      </c>
    </row>
    <row r="6326">
      <c r="B6326" s="25" t="n"/>
      <c r="I6326" s="25" t="n"/>
      <c r="U6326" s="19">
        <f>IF(AND($V6326='設定'!$C$4,COUNTIF('商品マスタ'!$B$6:$B$1005,$W6326)=0),N(U6325)+1,N(U6325))</f>
        <v/>
      </c>
      <c r="V6326" s="19">
        <f>IF($B6326="","",TEXT($B6326,"0000"))</f>
        <v/>
      </c>
      <c r="W6326" s="19">
        <f>IF($I6326="","",IF(ISNUMBER($I6326),TEXT($I6326,"0"),$I6326))</f>
        <v/>
      </c>
    </row>
    <row r="6327">
      <c r="B6327" s="25" t="n"/>
      <c r="I6327" s="25" t="n"/>
      <c r="U6327" s="19">
        <f>IF(AND($V6327='設定'!$C$4,COUNTIF('商品マスタ'!$B$6:$B$1005,$W6327)=0),N(U6326)+1,N(U6326))</f>
        <v/>
      </c>
      <c r="V6327" s="19">
        <f>IF($B6327="","",TEXT($B6327,"0000"))</f>
        <v/>
      </c>
      <c r="W6327" s="19">
        <f>IF($I6327="","",IF(ISNUMBER($I6327),TEXT($I6327,"0"),$I6327))</f>
        <v/>
      </c>
    </row>
    <row r="6328">
      <c r="B6328" s="25" t="n"/>
      <c r="I6328" s="25" t="n"/>
      <c r="U6328" s="19">
        <f>IF(AND($V6328='設定'!$C$4,COUNTIF('商品マスタ'!$B$6:$B$1005,$W6328)=0),N(U6327)+1,N(U6327))</f>
        <v/>
      </c>
      <c r="V6328" s="19">
        <f>IF($B6328="","",TEXT($B6328,"0000"))</f>
        <v/>
      </c>
      <c r="W6328" s="19">
        <f>IF($I6328="","",IF(ISNUMBER($I6328),TEXT($I6328,"0"),$I6328))</f>
        <v/>
      </c>
    </row>
    <row r="6329">
      <c r="B6329" s="25" t="n"/>
      <c r="I6329" s="25" t="n"/>
      <c r="U6329" s="19">
        <f>IF(AND($V6329='設定'!$C$4,COUNTIF('商品マスタ'!$B$6:$B$1005,$W6329)=0),N(U6328)+1,N(U6328))</f>
        <v/>
      </c>
      <c r="V6329" s="19">
        <f>IF($B6329="","",TEXT($B6329,"0000"))</f>
        <v/>
      </c>
      <c r="W6329" s="19">
        <f>IF($I6329="","",IF(ISNUMBER($I6329),TEXT($I6329,"0"),$I6329))</f>
        <v/>
      </c>
    </row>
    <row r="6330">
      <c r="B6330" s="25" t="n"/>
      <c r="I6330" s="25" t="n"/>
      <c r="U6330" s="19">
        <f>IF(AND($V6330='設定'!$C$4,COUNTIF('商品マスタ'!$B$6:$B$1005,$W6330)=0),N(U6329)+1,N(U6329))</f>
        <v/>
      </c>
      <c r="V6330" s="19">
        <f>IF($B6330="","",TEXT($B6330,"0000"))</f>
        <v/>
      </c>
      <c r="W6330" s="19">
        <f>IF($I6330="","",IF(ISNUMBER($I6330),TEXT($I6330,"0"),$I6330))</f>
        <v/>
      </c>
    </row>
    <row r="6331">
      <c r="B6331" s="25" t="n"/>
      <c r="I6331" s="25" t="n"/>
      <c r="U6331" s="19">
        <f>IF(AND($V6331='設定'!$C$4,COUNTIF('商品マスタ'!$B$6:$B$1005,$W6331)=0),N(U6330)+1,N(U6330))</f>
        <v/>
      </c>
      <c r="V6331" s="19">
        <f>IF($B6331="","",TEXT($B6331,"0000"))</f>
        <v/>
      </c>
      <c r="W6331" s="19">
        <f>IF($I6331="","",IF(ISNUMBER($I6331),TEXT($I6331,"0"),$I6331))</f>
        <v/>
      </c>
    </row>
    <row r="6332">
      <c r="B6332" s="25" t="n"/>
      <c r="I6332" s="25" t="n"/>
      <c r="U6332" s="19">
        <f>IF(AND($V6332='設定'!$C$4,COUNTIF('商品マスタ'!$B$6:$B$1005,$W6332)=0),N(U6331)+1,N(U6331))</f>
        <v/>
      </c>
      <c r="V6332" s="19">
        <f>IF($B6332="","",TEXT($B6332,"0000"))</f>
        <v/>
      </c>
      <c r="W6332" s="19">
        <f>IF($I6332="","",IF(ISNUMBER($I6332),TEXT($I6332,"0"),$I6332))</f>
        <v/>
      </c>
    </row>
    <row r="6333">
      <c r="B6333" s="25" t="n"/>
      <c r="I6333" s="25" t="n"/>
      <c r="U6333" s="19">
        <f>IF(AND($V6333='設定'!$C$4,COUNTIF('商品マスタ'!$B$6:$B$1005,$W6333)=0),N(U6332)+1,N(U6332))</f>
        <v/>
      </c>
      <c r="V6333" s="19">
        <f>IF($B6333="","",TEXT($B6333,"0000"))</f>
        <v/>
      </c>
      <c r="W6333" s="19">
        <f>IF($I6333="","",IF(ISNUMBER($I6333),TEXT($I6333,"0"),$I6333))</f>
        <v/>
      </c>
    </row>
    <row r="6334">
      <c r="B6334" s="25" t="n"/>
      <c r="I6334" s="25" t="n"/>
      <c r="U6334" s="19">
        <f>IF(AND($V6334='設定'!$C$4,COUNTIF('商品マスタ'!$B$6:$B$1005,$W6334)=0),N(U6333)+1,N(U6333))</f>
        <v/>
      </c>
      <c r="V6334" s="19">
        <f>IF($B6334="","",TEXT($B6334,"0000"))</f>
        <v/>
      </c>
      <c r="W6334" s="19">
        <f>IF($I6334="","",IF(ISNUMBER($I6334),TEXT($I6334,"0"),$I6334))</f>
        <v/>
      </c>
    </row>
    <row r="6335">
      <c r="B6335" s="25" t="n"/>
      <c r="I6335" s="25" t="n"/>
      <c r="U6335" s="19">
        <f>IF(AND($V6335='設定'!$C$4,COUNTIF('商品マスタ'!$B$6:$B$1005,$W6335)=0),N(U6334)+1,N(U6334))</f>
        <v/>
      </c>
      <c r="V6335" s="19">
        <f>IF($B6335="","",TEXT($B6335,"0000"))</f>
        <v/>
      </c>
      <c r="W6335" s="19">
        <f>IF($I6335="","",IF(ISNUMBER($I6335),TEXT($I6335,"0"),$I6335))</f>
        <v/>
      </c>
    </row>
    <row r="6336">
      <c r="B6336" s="25" t="n"/>
      <c r="I6336" s="25" t="n"/>
      <c r="U6336" s="19">
        <f>IF(AND($V6336='設定'!$C$4,COUNTIF('商品マスタ'!$B$6:$B$1005,$W6336)=0),N(U6335)+1,N(U6335))</f>
        <v/>
      </c>
      <c r="V6336" s="19">
        <f>IF($B6336="","",TEXT($B6336,"0000"))</f>
        <v/>
      </c>
      <c r="W6336" s="19">
        <f>IF($I6336="","",IF(ISNUMBER($I6336),TEXT($I6336,"0"),$I6336))</f>
        <v/>
      </c>
    </row>
    <row r="6337">
      <c r="B6337" s="25" t="n"/>
      <c r="I6337" s="25" t="n"/>
      <c r="U6337" s="19">
        <f>IF(AND($V6337='設定'!$C$4,COUNTIF('商品マスタ'!$B$6:$B$1005,$W6337)=0),N(U6336)+1,N(U6336))</f>
        <v/>
      </c>
      <c r="V6337" s="19">
        <f>IF($B6337="","",TEXT($B6337,"0000"))</f>
        <v/>
      </c>
      <c r="W6337" s="19">
        <f>IF($I6337="","",IF(ISNUMBER($I6337),TEXT($I6337,"0"),$I6337))</f>
        <v/>
      </c>
    </row>
    <row r="6338">
      <c r="B6338" s="25" t="n"/>
      <c r="I6338" s="25" t="n"/>
      <c r="U6338" s="19">
        <f>IF(AND($V6338='設定'!$C$4,COUNTIF('商品マスタ'!$B$6:$B$1005,$W6338)=0),N(U6337)+1,N(U6337))</f>
        <v/>
      </c>
      <c r="V6338" s="19">
        <f>IF($B6338="","",TEXT($B6338,"0000"))</f>
        <v/>
      </c>
      <c r="W6338" s="19">
        <f>IF($I6338="","",IF(ISNUMBER($I6338),TEXT($I6338,"0"),$I6338))</f>
        <v/>
      </c>
    </row>
    <row r="6339">
      <c r="B6339" s="25" t="n"/>
      <c r="I6339" s="25" t="n"/>
      <c r="U6339" s="19">
        <f>IF(AND($V6339='設定'!$C$4,COUNTIF('商品マスタ'!$B$6:$B$1005,$W6339)=0),N(U6338)+1,N(U6338))</f>
        <v/>
      </c>
      <c r="V6339" s="19">
        <f>IF($B6339="","",TEXT($B6339,"0000"))</f>
        <v/>
      </c>
      <c r="W6339" s="19">
        <f>IF($I6339="","",IF(ISNUMBER($I6339),TEXT($I6339,"0"),$I6339))</f>
        <v/>
      </c>
    </row>
    <row r="6340">
      <c r="B6340" s="25" t="n"/>
      <c r="I6340" s="25" t="n"/>
      <c r="U6340" s="19">
        <f>IF(AND($V6340='設定'!$C$4,COUNTIF('商品マスタ'!$B$6:$B$1005,$W6340)=0),N(U6339)+1,N(U6339))</f>
        <v/>
      </c>
      <c r="V6340" s="19">
        <f>IF($B6340="","",TEXT($B6340,"0000"))</f>
        <v/>
      </c>
      <c r="W6340" s="19">
        <f>IF($I6340="","",IF(ISNUMBER($I6340),TEXT($I6340,"0"),$I6340))</f>
        <v/>
      </c>
    </row>
    <row r="6341">
      <c r="B6341" s="25" t="n"/>
      <c r="I6341" s="25" t="n"/>
      <c r="U6341" s="19">
        <f>IF(AND($V6341='設定'!$C$4,COUNTIF('商品マスタ'!$B$6:$B$1005,$W6341)=0),N(U6340)+1,N(U6340))</f>
        <v/>
      </c>
      <c r="V6341" s="19">
        <f>IF($B6341="","",TEXT($B6341,"0000"))</f>
        <v/>
      </c>
      <c r="W6341" s="19">
        <f>IF($I6341="","",IF(ISNUMBER($I6341),TEXT($I6341,"0"),$I6341))</f>
        <v/>
      </c>
    </row>
    <row r="6342">
      <c r="B6342" s="25" t="n"/>
      <c r="I6342" s="25" t="n"/>
      <c r="U6342" s="19">
        <f>IF(AND($V6342='設定'!$C$4,COUNTIF('商品マスタ'!$B$6:$B$1005,$W6342)=0),N(U6341)+1,N(U6341))</f>
        <v/>
      </c>
      <c r="V6342" s="19">
        <f>IF($B6342="","",TEXT($B6342,"0000"))</f>
        <v/>
      </c>
      <c r="W6342" s="19">
        <f>IF($I6342="","",IF(ISNUMBER($I6342),TEXT($I6342,"0"),$I6342))</f>
        <v/>
      </c>
    </row>
    <row r="6343">
      <c r="B6343" s="25" t="n"/>
      <c r="I6343" s="25" t="n"/>
      <c r="U6343" s="19">
        <f>IF(AND($V6343='設定'!$C$4,COUNTIF('商品マスタ'!$B$6:$B$1005,$W6343)=0),N(U6342)+1,N(U6342))</f>
        <v/>
      </c>
      <c r="V6343" s="19">
        <f>IF($B6343="","",TEXT($B6343,"0000"))</f>
        <v/>
      </c>
      <c r="W6343" s="19">
        <f>IF($I6343="","",IF(ISNUMBER($I6343),TEXT($I6343,"0"),$I6343))</f>
        <v/>
      </c>
    </row>
    <row r="6344">
      <c r="B6344" s="25" t="n"/>
      <c r="I6344" s="25" t="n"/>
      <c r="U6344" s="19">
        <f>IF(AND($V6344='設定'!$C$4,COUNTIF('商品マスタ'!$B$6:$B$1005,$W6344)=0),N(U6343)+1,N(U6343))</f>
        <v/>
      </c>
      <c r="V6344" s="19">
        <f>IF($B6344="","",TEXT($B6344,"0000"))</f>
        <v/>
      </c>
      <c r="W6344" s="19">
        <f>IF($I6344="","",IF(ISNUMBER($I6344),TEXT($I6344,"0"),$I6344))</f>
        <v/>
      </c>
    </row>
    <row r="6345">
      <c r="B6345" s="25" t="n"/>
      <c r="I6345" s="25" t="n"/>
      <c r="U6345" s="19">
        <f>IF(AND($V6345='設定'!$C$4,COUNTIF('商品マスタ'!$B$6:$B$1005,$W6345)=0),N(U6344)+1,N(U6344))</f>
        <v/>
      </c>
      <c r="V6345" s="19">
        <f>IF($B6345="","",TEXT($B6345,"0000"))</f>
        <v/>
      </c>
      <c r="W6345" s="19">
        <f>IF($I6345="","",IF(ISNUMBER($I6345),TEXT($I6345,"0"),$I6345))</f>
        <v/>
      </c>
    </row>
    <row r="6346">
      <c r="B6346" s="25" t="n"/>
      <c r="I6346" s="25" t="n"/>
      <c r="U6346" s="19">
        <f>IF(AND($V6346='設定'!$C$4,COUNTIF('商品マスタ'!$B$6:$B$1005,$W6346)=0),N(U6345)+1,N(U6345))</f>
        <v/>
      </c>
      <c r="V6346" s="19">
        <f>IF($B6346="","",TEXT($B6346,"0000"))</f>
        <v/>
      </c>
      <c r="W6346" s="19">
        <f>IF($I6346="","",IF(ISNUMBER($I6346),TEXT($I6346,"0"),$I6346))</f>
        <v/>
      </c>
    </row>
    <row r="6347">
      <c r="B6347" s="25" t="n"/>
      <c r="I6347" s="25" t="n"/>
      <c r="U6347" s="19">
        <f>IF(AND($V6347='設定'!$C$4,COUNTIF('商品マスタ'!$B$6:$B$1005,$W6347)=0),N(U6346)+1,N(U6346))</f>
        <v/>
      </c>
      <c r="V6347" s="19">
        <f>IF($B6347="","",TEXT($B6347,"0000"))</f>
        <v/>
      </c>
      <c r="W6347" s="19">
        <f>IF($I6347="","",IF(ISNUMBER($I6347),TEXT($I6347,"0"),$I6347))</f>
        <v/>
      </c>
    </row>
    <row r="6348">
      <c r="B6348" s="25" t="n"/>
      <c r="I6348" s="25" t="n"/>
      <c r="U6348" s="19">
        <f>IF(AND($V6348='設定'!$C$4,COUNTIF('商品マスタ'!$B$6:$B$1005,$W6348)=0),N(U6347)+1,N(U6347))</f>
        <v/>
      </c>
      <c r="V6348" s="19">
        <f>IF($B6348="","",TEXT($B6348,"0000"))</f>
        <v/>
      </c>
      <c r="W6348" s="19">
        <f>IF($I6348="","",IF(ISNUMBER($I6348),TEXT($I6348,"0"),$I6348))</f>
        <v/>
      </c>
    </row>
    <row r="6349">
      <c r="B6349" s="25" t="n"/>
      <c r="I6349" s="25" t="n"/>
      <c r="U6349" s="19">
        <f>IF(AND($V6349='設定'!$C$4,COUNTIF('商品マスタ'!$B$6:$B$1005,$W6349)=0),N(U6348)+1,N(U6348))</f>
        <v/>
      </c>
      <c r="V6349" s="19">
        <f>IF($B6349="","",TEXT($B6349,"0000"))</f>
        <v/>
      </c>
      <c r="W6349" s="19">
        <f>IF($I6349="","",IF(ISNUMBER($I6349),TEXT($I6349,"0"),$I6349))</f>
        <v/>
      </c>
    </row>
    <row r="6350">
      <c r="B6350" s="25" t="n"/>
      <c r="I6350" s="25" t="n"/>
      <c r="U6350" s="19">
        <f>IF(AND($V6350='設定'!$C$4,COUNTIF('商品マスタ'!$B$6:$B$1005,$W6350)=0),N(U6349)+1,N(U6349))</f>
        <v/>
      </c>
      <c r="V6350" s="19">
        <f>IF($B6350="","",TEXT($B6350,"0000"))</f>
        <v/>
      </c>
      <c r="W6350" s="19">
        <f>IF($I6350="","",IF(ISNUMBER($I6350),TEXT($I6350,"0"),$I6350))</f>
        <v/>
      </c>
    </row>
    <row r="6351">
      <c r="B6351" s="25" t="n"/>
      <c r="I6351" s="25" t="n"/>
      <c r="U6351" s="19">
        <f>IF(AND($V6351='設定'!$C$4,COUNTIF('商品マスタ'!$B$6:$B$1005,$W6351)=0),N(U6350)+1,N(U6350))</f>
        <v/>
      </c>
      <c r="V6351" s="19">
        <f>IF($B6351="","",TEXT($B6351,"0000"))</f>
        <v/>
      </c>
      <c r="W6351" s="19">
        <f>IF($I6351="","",IF(ISNUMBER($I6351),TEXT($I6351,"0"),$I6351))</f>
        <v/>
      </c>
    </row>
    <row r="6352">
      <c r="B6352" s="25" t="n"/>
      <c r="I6352" s="25" t="n"/>
      <c r="U6352" s="19">
        <f>IF(AND($V6352='設定'!$C$4,COUNTIF('商品マスタ'!$B$6:$B$1005,$W6352)=0),N(U6351)+1,N(U6351))</f>
        <v/>
      </c>
      <c r="V6352" s="19">
        <f>IF($B6352="","",TEXT($B6352,"0000"))</f>
        <v/>
      </c>
      <c r="W6352" s="19">
        <f>IF($I6352="","",IF(ISNUMBER($I6352),TEXT($I6352,"0"),$I6352))</f>
        <v/>
      </c>
    </row>
    <row r="6353">
      <c r="B6353" s="25" t="n"/>
      <c r="I6353" s="25" t="n"/>
      <c r="U6353" s="19">
        <f>IF(AND($V6353='設定'!$C$4,COUNTIF('商品マスタ'!$B$6:$B$1005,$W6353)=0),N(U6352)+1,N(U6352))</f>
        <v/>
      </c>
      <c r="V6353" s="19">
        <f>IF($B6353="","",TEXT($B6353,"0000"))</f>
        <v/>
      </c>
      <c r="W6353" s="19">
        <f>IF($I6353="","",IF(ISNUMBER($I6353),TEXT($I6353,"0"),$I6353))</f>
        <v/>
      </c>
    </row>
    <row r="6354">
      <c r="B6354" s="25" t="n"/>
      <c r="I6354" s="25" t="n"/>
      <c r="U6354" s="19">
        <f>IF(AND($V6354='設定'!$C$4,COUNTIF('商品マスタ'!$B$6:$B$1005,$W6354)=0),N(U6353)+1,N(U6353))</f>
        <v/>
      </c>
      <c r="V6354" s="19">
        <f>IF($B6354="","",TEXT($B6354,"0000"))</f>
        <v/>
      </c>
      <c r="W6354" s="19">
        <f>IF($I6354="","",IF(ISNUMBER($I6354),TEXT($I6354,"0"),$I6354))</f>
        <v/>
      </c>
    </row>
    <row r="6355">
      <c r="B6355" s="25" t="n"/>
      <c r="I6355" s="25" t="n"/>
      <c r="U6355" s="19">
        <f>IF(AND($V6355='設定'!$C$4,COUNTIF('商品マスタ'!$B$6:$B$1005,$W6355)=0),N(U6354)+1,N(U6354))</f>
        <v/>
      </c>
      <c r="V6355" s="19">
        <f>IF($B6355="","",TEXT($B6355,"0000"))</f>
        <v/>
      </c>
      <c r="W6355" s="19">
        <f>IF($I6355="","",IF(ISNUMBER($I6355),TEXT($I6355,"0"),$I6355))</f>
        <v/>
      </c>
    </row>
    <row r="6356">
      <c r="B6356" s="25" t="n"/>
      <c r="I6356" s="25" t="n"/>
      <c r="U6356" s="19">
        <f>IF(AND($V6356='設定'!$C$4,COUNTIF('商品マスタ'!$B$6:$B$1005,$W6356)=0),N(U6355)+1,N(U6355))</f>
        <v/>
      </c>
      <c r="V6356" s="19">
        <f>IF($B6356="","",TEXT($B6356,"0000"))</f>
        <v/>
      </c>
      <c r="W6356" s="19">
        <f>IF($I6356="","",IF(ISNUMBER($I6356),TEXT($I6356,"0"),$I6356))</f>
        <v/>
      </c>
    </row>
    <row r="6357">
      <c r="B6357" s="25" t="n"/>
      <c r="I6357" s="25" t="n"/>
      <c r="U6357" s="19">
        <f>IF(AND($V6357='設定'!$C$4,COUNTIF('商品マスタ'!$B$6:$B$1005,$W6357)=0),N(U6356)+1,N(U6356))</f>
        <v/>
      </c>
      <c r="V6357" s="19">
        <f>IF($B6357="","",TEXT($B6357,"0000"))</f>
        <v/>
      </c>
      <c r="W6357" s="19">
        <f>IF($I6357="","",IF(ISNUMBER($I6357),TEXT($I6357,"0"),$I6357))</f>
        <v/>
      </c>
    </row>
    <row r="6358">
      <c r="B6358" s="25" t="n"/>
      <c r="I6358" s="25" t="n"/>
      <c r="U6358" s="19">
        <f>IF(AND($V6358='設定'!$C$4,COUNTIF('商品マスタ'!$B$6:$B$1005,$W6358)=0),N(U6357)+1,N(U6357))</f>
        <v/>
      </c>
      <c r="V6358" s="19">
        <f>IF($B6358="","",TEXT($B6358,"0000"))</f>
        <v/>
      </c>
      <c r="W6358" s="19">
        <f>IF($I6358="","",IF(ISNUMBER($I6358),TEXT($I6358,"0"),$I6358))</f>
        <v/>
      </c>
    </row>
    <row r="6359">
      <c r="B6359" s="25" t="n"/>
      <c r="I6359" s="25" t="n"/>
      <c r="U6359" s="19">
        <f>IF(AND($V6359='設定'!$C$4,COUNTIF('商品マスタ'!$B$6:$B$1005,$W6359)=0),N(U6358)+1,N(U6358))</f>
        <v/>
      </c>
      <c r="V6359" s="19">
        <f>IF($B6359="","",TEXT($B6359,"0000"))</f>
        <v/>
      </c>
      <c r="W6359" s="19">
        <f>IF($I6359="","",IF(ISNUMBER($I6359),TEXT($I6359,"0"),$I6359))</f>
        <v/>
      </c>
    </row>
    <row r="6360">
      <c r="B6360" s="25" t="n"/>
      <c r="I6360" s="25" t="n"/>
      <c r="U6360" s="19">
        <f>IF(AND($V6360='設定'!$C$4,COUNTIF('商品マスタ'!$B$6:$B$1005,$W6360)=0),N(U6359)+1,N(U6359))</f>
        <v/>
      </c>
      <c r="V6360" s="19">
        <f>IF($B6360="","",TEXT($B6360,"0000"))</f>
        <v/>
      </c>
      <c r="W6360" s="19">
        <f>IF($I6360="","",IF(ISNUMBER($I6360),TEXT($I6360,"0"),$I6360))</f>
        <v/>
      </c>
    </row>
    <row r="6361">
      <c r="B6361" s="25" t="n"/>
      <c r="I6361" s="25" t="n"/>
      <c r="U6361" s="19">
        <f>IF(AND($V6361='設定'!$C$4,COUNTIF('商品マスタ'!$B$6:$B$1005,$W6361)=0),N(U6360)+1,N(U6360))</f>
        <v/>
      </c>
      <c r="V6361" s="19">
        <f>IF($B6361="","",TEXT($B6361,"0000"))</f>
        <v/>
      </c>
      <c r="W6361" s="19">
        <f>IF($I6361="","",IF(ISNUMBER($I6361),TEXT($I6361,"0"),$I6361))</f>
        <v/>
      </c>
    </row>
    <row r="6362">
      <c r="B6362" s="25" t="n"/>
      <c r="I6362" s="25" t="n"/>
      <c r="U6362" s="19">
        <f>IF(AND($V6362='設定'!$C$4,COUNTIF('商品マスタ'!$B$6:$B$1005,$W6362)=0),N(U6361)+1,N(U6361))</f>
        <v/>
      </c>
      <c r="V6362" s="19">
        <f>IF($B6362="","",TEXT($B6362,"0000"))</f>
        <v/>
      </c>
      <c r="W6362" s="19">
        <f>IF($I6362="","",IF(ISNUMBER($I6362),TEXT($I6362,"0"),$I6362))</f>
        <v/>
      </c>
    </row>
    <row r="6363">
      <c r="B6363" s="25" t="n"/>
      <c r="I6363" s="25" t="n"/>
      <c r="U6363" s="19">
        <f>IF(AND($V6363='設定'!$C$4,COUNTIF('商品マスタ'!$B$6:$B$1005,$W6363)=0),N(U6362)+1,N(U6362))</f>
        <v/>
      </c>
      <c r="V6363" s="19">
        <f>IF($B6363="","",TEXT($B6363,"0000"))</f>
        <v/>
      </c>
      <c r="W6363" s="19">
        <f>IF($I6363="","",IF(ISNUMBER($I6363),TEXT($I6363,"0"),$I6363))</f>
        <v/>
      </c>
    </row>
    <row r="6364">
      <c r="B6364" s="25" t="n"/>
      <c r="I6364" s="25" t="n"/>
      <c r="U6364" s="19">
        <f>IF(AND($V6364='設定'!$C$4,COUNTIF('商品マスタ'!$B$6:$B$1005,$W6364)=0),N(U6363)+1,N(U6363))</f>
        <v/>
      </c>
      <c r="V6364" s="19">
        <f>IF($B6364="","",TEXT($B6364,"0000"))</f>
        <v/>
      </c>
      <c r="W6364" s="19">
        <f>IF($I6364="","",IF(ISNUMBER($I6364),TEXT($I6364,"0"),$I6364))</f>
        <v/>
      </c>
    </row>
    <row r="6365">
      <c r="B6365" s="25" t="n"/>
      <c r="I6365" s="25" t="n"/>
      <c r="U6365" s="19">
        <f>IF(AND($V6365='設定'!$C$4,COUNTIF('商品マスタ'!$B$6:$B$1005,$W6365)=0),N(U6364)+1,N(U6364))</f>
        <v/>
      </c>
      <c r="V6365" s="19">
        <f>IF($B6365="","",TEXT($B6365,"0000"))</f>
        <v/>
      </c>
      <c r="W6365" s="19">
        <f>IF($I6365="","",IF(ISNUMBER($I6365),TEXT($I6365,"0"),$I6365))</f>
        <v/>
      </c>
    </row>
    <row r="6366">
      <c r="B6366" s="25" t="n"/>
      <c r="I6366" s="25" t="n"/>
      <c r="U6366" s="19">
        <f>IF(AND($V6366='設定'!$C$4,COUNTIF('商品マスタ'!$B$6:$B$1005,$W6366)=0),N(U6365)+1,N(U6365))</f>
        <v/>
      </c>
      <c r="V6366" s="19">
        <f>IF($B6366="","",TEXT($B6366,"0000"))</f>
        <v/>
      </c>
      <c r="W6366" s="19">
        <f>IF($I6366="","",IF(ISNUMBER($I6366),TEXT($I6366,"0"),$I6366))</f>
        <v/>
      </c>
    </row>
    <row r="6367">
      <c r="B6367" s="25" t="n"/>
      <c r="I6367" s="25" t="n"/>
      <c r="U6367" s="19">
        <f>IF(AND($V6367='設定'!$C$4,COUNTIF('商品マスタ'!$B$6:$B$1005,$W6367)=0),N(U6366)+1,N(U6366))</f>
        <v/>
      </c>
      <c r="V6367" s="19">
        <f>IF($B6367="","",TEXT($B6367,"0000"))</f>
        <v/>
      </c>
      <c r="W6367" s="19">
        <f>IF($I6367="","",IF(ISNUMBER($I6367),TEXT($I6367,"0"),$I6367))</f>
        <v/>
      </c>
    </row>
    <row r="6368">
      <c r="B6368" s="25" t="n"/>
      <c r="I6368" s="25" t="n"/>
      <c r="U6368" s="19">
        <f>IF(AND($V6368='設定'!$C$4,COUNTIF('商品マスタ'!$B$6:$B$1005,$W6368)=0),N(U6367)+1,N(U6367))</f>
        <v/>
      </c>
      <c r="V6368" s="19">
        <f>IF($B6368="","",TEXT($B6368,"0000"))</f>
        <v/>
      </c>
      <c r="W6368" s="19">
        <f>IF($I6368="","",IF(ISNUMBER($I6368),TEXT($I6368,"0"),$I6368))</f>
        <v/>
      </c>
    </row>
    <row r="6369">
      <c r="B6369" s="25" t="n"/>
      <c r="I6369" s="25" t="n"/>
      <c r="U6369" s="19">
        <f>IF(AND($V6369='設定'!$C$4,COUNTIF('商品マスタ'!$B$6:$B$1005,$W6369)=0),N(U6368)+1,N(U6368))</f>
        <v/>
      </c>
      <c r="V6369" s="19">
        <f>IF($B6369="","",TEXT($B6369,"0000"))</f>
        <v/>
      </c>
      <c r="W6369" s="19">
        <f>IF($I6369="","",IF(ISNUMBER($I6369),TEXT($I6369,"0"),$I6369))</f>
        <v/>
      </c>
    </row>
    <row r="6370">
      <c r="B6370" s="25" t="n"/>
      <c r="I6370" s="25" t="n"/>
      <c r="U6370" s="19">
        <f>IF(AND($V6370='設定'!$C$4,COUNTIF('商品マスタ'!$B$6:$B$1005,$W6370)=0),N(U6369)+1,N(U6369))</f>
        <v/>
      </c>
      <c r="V6370" s="19">
        <f>IF($B6370="","",TEXT($B6370,"0000"))</f>
        <v/>
      </c>
      <c r="W6370" s="19">
        <f>IF($I6370="","",IF(ISNUMBER($I6370),TEXT($I6370,"0"),$I6370))</f>
        <v/>
      </c>
    </row>
    <row r="6371">
      <c r="B6371" s="25" t="n"/>
      <c r="I6371" s="25" t="n"/>
      <c r="U6371" s="19">
        <f>IF(AND($V6371='設定'!$C$4,COUNTIF('商品マスタ'!$B$6:$B$1005,$W6371)=0),N(U6370)+1,N(U6370))</f>
        <v/>
      </c>
      <c r="V6371" s="19">
        <f>IF($B6371="","",TEXT($B6371,"0000"))</f>
        <v/>
      </c>
      <c r="W6371" s="19">
        <f>IF($I6371="","",IF(ISNUMBER($I6371),TEXT($I6371,"0"),$I6371))</f>
        <v/>
      </c>
    </row>
    <row r="6372">
      <c r="B6372" s="25" t="n"/>
      <c r="I6372" s="25" t="n"/>
      <c r="U6372" s="19">
        <f>IF(AND($V6372='設定'!$C$4,COUNTIF('商品マスタ'!$B$6:$B$1005,$W6372)=0),N(U6371)+1,N(U6371))</f>
        <v/>
      </c>
      <c r="V6372" s="19">
        <f>IF($B6372="","",TEXT($B6372,"0000"))</f>
        <v/>
      </c>
      <c r="W6372" s="19">
        <f>IF($I6372="","",IF(ISNUMBER($I6372),TEXT($I6372,"0"),$I6372))</f>
        <v/>
      </c>
    </row>
    <row r="6373">
      <c r="B6373" s="25" t="n"/>
      <c r="I6373" s="25" t="n"/>
      <c r="U6373" s="19">
        <f>IF(AND($V6373='設定'!$C$4,COUNTIF('商品マスタ'!$B$6:$B$1005,$W6373)=0),N(U6372)+1,N(U6372))</f>
        <v/>
      </c>
      <c r="V6373" s="19">
        <f>IF($B6373="","",TEXT($B6373,"0000"))</f>
        <v/>
      </c>
      <c r="W6373" s="19">
        <f>IF($I6373="","",IF(ISNUMBER($I6373),TEXT($I6373,"0"),$I6373))</f>
        <v/>
      </c>
    </row>
    <row r="6374">
      <c r="B6374" s="25" t="n"/>
      <c r="I6374" s="25" t="n"/>
      <c r="U6374" s="19">
        <f>IF(AND($V6374='設定'!$C$4,COUNTIF('商品マスタ'!$B$6:$B$1005,$W6374)=0),N(U6373)+1,N(U6373))</f>
        <v/>
      </c>
      <c r="V6374" s="19">
        <f>IF($B6374="","",TEXT($B6374,"0000"))</f>
        <v/>
      </c>
      <c r="W6374" s="19">
        <f>IF($I6374="","",IF(ISNUMBER($I6374),TEXT($I6374,"0"),$I6374))</f>
        <v/>
      </c>
    </row>
    <row r="6375">
      <c r="B6375" s="25" t="n"/>
      <c r="I6375" s="25" t="n"/>
      <c r="U6375" s="19">
        <f>IF(AND($V6375='設定'!$C$4,COUNTIF('商品マスタ'!$B$6:$B$1005,$W6375)=0),N(U6374)+1,N(U6374))</f>
        <v/>
      </c>
      <c r="V6375" s="19">
        <f>IF($B6375="","",TEXT($B6375,"0000"))</f>
        <v/>
      </c>
      <c r="W6375" s="19">
        <f>IF($I6375="","",IF(ISNUMBER($I6375),TEXT($I6375,"0"),$I6375))</f>
        <v/>
      </c>
    </row>
    <row r="6376">
      <c r="B6376" s="25" t="n"/>
      <c r="I6376" s="25" t="n"/>
      <c r="U6376" s="19">
        <f>IF(AND($V6376='設定'!$C$4,COUNTIF('商品マスタ'!$B$6:$B$1005,$W6376)=0),N(U6375)+1,N(U6375))</f>
        <v/>
      </c>
      <c r="V6376" s="19">
        <f>IF($B6376="","",TEXT($B6376,"0000"))</f>
        <v/>
      </c>
      <c r="W6376" s="19">
        <f>IF($I6376="","",IF(ISNUMBER($I6376),TEXT($I6376,"0"),$I6376))</f>
        <v/>
      </c>
    </row>
    <row r="6377">
      <c r="B6377" s="25" t="n"/>
      <c r="I6377" s="25" t="n"/>
      <c r="U6377" s="19">
        <f>IF(AND($V6377='設定'!$C$4,COUNTIF('商品マスタ'!$B$6:$B$1005,$W6377)=0),N(U6376)+1,N(U6376))</f>
        <v/>
      </c>
      <c r="V6377" s="19">
        <f>IF($B6377="","",TEXT($B6377,"0000"))</f>
        <v/>
      </c>
      <c r="W6377" s="19">
        <f>IF($I6377="","",IF(ISNUMBER($I6377),TEXT($I6377,"0"),$I6377))</f>
        <v/>
      </c>
    </row>
    <row r="6378">
      <c r="B6378" s="25" t="n"/>
      <c r="I6378" s="25" t="n"/>
      <c r="U6378" s="19">
        <f>IF(AND($V6378='設定'!$C$4,COUNTIF('商品マスタ'!$B$6:$B$1005,$W6378)=0),N(U6377)+1,N(U6377))</f>
        <v/>
      </c>
      <c r="V6378" s="19">
        <f>IF($B6378="","",TEXT($B6378,"0000"))</f>
        <v/>
      </c>
      <c r="W6378" s="19">
        <f>IF($I6378="","",IF(ISNUMBER($I6378),TEXT($I6378,"0"),$I6378))</f>
        <v/>
      </c>
    </row>
    <row r="6379">
      <c r="B6379" s="25" t="n"/>
      <c r="I6379" s="25" t="n"/>
      <c r="U6379" s="19">
        <f>IF(AND($V6379='設定'!$C$4,COUNTIF('商品マスタ'!$B$6:$B$1005,$W6379)=0),N(U6378)+1,N(U6378))</f>
        <v/>
      </c>
      <c r="V6379" s="19">
        <f>IF($B6379="","",TEXT($B6379,"0000"))</f>
        <v/>
      </c>
      <c r="W6379" s="19">
        <f>IF($I6379="","",IF(ISNUMBER($I6379),TEXT($I6379,"0"),$I6379))</f>
        <v/>
      </c>
    </row>
    <row r="6380">
      <c r="B6380" s="25" t="n"/>
      <c r="I6380" s="25" t="n"/>
      <c r="U6380" s="19">
        <f>IF(AND($V6380='設定'!$C$4,COUNTIF('商品マスタ'!$B$6:$B$1005,$W6380)=0),N(U6379)+1,N(U6379))</f>
        <v/>
      </c>
      <c r="V6380" s="19">
        <f>IF($B6380="","",TEXT($B6380,"0000"))</f>
        <v/>
      </c>
      <c r="W6380" s="19">
        <f>IF($I6380="","",IF(ISNUMBER($I6380),TEXT($I6380,"0"),$I6380))</f>
        <v/>
      </c>
    </row>
    <row r="6381">
      <c r="B6381" s="25" t="n"/>
      <c r="I6381" s="25" t="n"/>
      <c r="U6381" s="19">
        <f>IF(AND($V6381='設定'!$C$4,COUNTIF('商品マスタ'!$B$6:$B$1005,$W6381)=0),N(U6380)+1,N(U6380))</f>
        <v/>
      </c>
      <c r="V6381" s="19">
        <f>IF($B6381="","",TEXT($B6381,"0000"))</f>
        <v/>
      </c>
      <c r="W6381" s="19">
        <f>IF($I6381="","",IF(ISNUMBER($I6381),TEXT($I6381,"0"),$I6381))</f>
        <v/>
      </c>
    </row>
    <row r="6382">
      <c r="B6382" s="25" t="n"/>
      <c r="I6382" s="25" t="n"/>
      <c r="U6382" s="19">
        <f>IF(AND($V6382='設定'!$C$4,COUNTIF('商品マスタ'!$B$6:$B$1005,$W6382)=0),N(U6381)+1,N(U6381))</f>
        <v/>
      </c>
      <c r="V6382" s="19">
        <f>IF($B6382="","",TEXT($B6382,"0000"))</f>
        <v/>
      </c>
      <c r="W6382" s="19">
        <f>IF($I6382="","",IF(ISNUMBER($I6382),TEXT($I6382,"0"),$I6382))</f>
        <v/>
      </c>
    </row>
    <row r="6383">
      <c r="B6383" s="25" t="n"/>
      <c r="I6383" s="25" t="n"/>
      <c r="U6383" s="19">
        <f>IF(AND($V6383='設定'!$C$4,COUNTIF('商品マスタ'!$B$6:$B$1005,$W6383)=0),N(U6382)+1,N(U6382))</f>
        <v/>
      </c>
      <c r="V6383" s="19">
        <f>IF($B6383="","",TEXT($B6383,"0000"))</f>
        <v/>
      </c>
      <c r="W6383" s="19">
        <f>IF($I6383="","",IF(ISNUMBER($I6383),TEXT($I6383,"0"),$I6383))</f>
        <v/>
      </c>
    </row>
    <row r="6384">
      <c r="B6384" s="25" t="n"/>
      <c r="I6384" s="25" t="n"/>
      <c r="U6384" s="19">
        <f>IF(AND($V6384='設定'!$C$4,COUNTIF('商品マスタ'!$B$6:$B$1005,$W6384)=0),N(U6383)+1,N(U6383))</f>
        <v/>
      </c>
      <c r="V6384" s="19">
        <f>IF($B6384="","",TEXT($B6384,"0000"))</f>
        <v/>
      </c>
      <c r="W6384" s="19">
        <f>IF($I6384="","",IF(ISNUMBER($I6384),TEXT($I6384,"0"),$I6384))</f>
        <v/>
      </c>
    </row>
    <row r="6385">
      <c r="B6385" s="25" t="n"/>
      <c r="I6385" s="25" t="n"/>
      <c r="U6385" s="19">
        <f>IF(AND($V6385='設定'!$C$4,COUNTIF('商品マスタ'!$B$6:$B$1005,$W6385)=0),N(U6384)+1,N(U6384))</f>
        <v/>
      </c>
      <c r="V6385" s="19">
        <f>IF($B6385="","",TEXT($B6385,"0000"))</f>
        <v/>
      </c>
      <c r="W6385" s="19">
        <f>IF($I6385="","",IF(ISNUMBER($I6385),TEXT($I6385,"0"),$I6385))</f>
        <v/>
      </c>
    </row>
    <row r="6386">
      <c r="B6386" s="25" t="n"/>
      <c r="I6386" s="25" t="n"/>
      <c r="U6386" s="19">
        <f>IF(AND($V6386='設定'!$C$4,COUNTIF('商品マスタ'!$B$6:$B$1005,$W6386)=0),N(U6385)+1,N(U6385))</f>
        <v/>
      </c>
      <c r="V6386" s="19">
        <f>IF($B6386="","",TEXT($B6386,"0000"))</f>
        <v/>
      </c>
      <c r="W6386" s="19">
        <f>IF($I6386="","",IF(ISNUMBER($I6386),TEXT($I6386,"0"),$I6386))</f>
        <v/>
      </c>
    </row>
    <row r="6387">
      <c r="B6387" s="25" t="n"/>
      <c r="I6387" s="25" t="n"/>
      <c r="U6387" s="19">
        <f>IF(AND($V6387='設定'!$C$4,COUNTIF('商品マスタ'!$B$6:$B$1005,$W6387)=0),N(U6386)+1,N(U6386))</f>
        <v/>
      </c>
      <c r="V6387" s="19">
        <f>IF($B6387="","",TEXT($B6387,"0000"))</f>
        <v/>
      </c>
      <c r="W6387" s="19">
        <f>IF($I6387="","",IF(ISNUMBER($I6387),TEXT($I6387,"0"),$I6387))</f>
        <v/>
      </c>
    </row>
    <row r="6388">
      <c r="B6388" s="25" t="n"/>
      <c r="I6388" s="25" t="n"/>
      <c r="U6388" s="19">
        <f>IF(AND($V6388='設定'!$C$4,COUNTIF('商品マスタ'!$B$6:$B$1005,$W6388)=0),N(U6387)+1,N(U6387))</f>
        <v/>
      </c>
      <c r="V6388" s="19">
        <f>IF($B6388="","",TEXT($B6388,"0000"))</f>
        <v/>
      </c>
      <c r="W6388" s="19">
        <f>IF($I6388="","",IF(ISNUMBER($I6388),TEXT($I6388,"0"),$I6388))</f>
        <v/>
      </c>
    </row>
    <row r="6389">
      <c r="B6389" s="25" t="n"/>
      <c r="I6389" s="25" t="n"/>
      <c r="U6389" s="19">
        <f>IF(AND($V6389='設定'!$C$4,COUNTIF('商品マスタ'!$B$6:$B$1005,$W6389)=0),N(U6388)+1,N(U6388))</f>
        <v/>
      </c>
      <c r="V6389" s="19">
        <f>IF($B6389="","",TEXT($B6389,"0000"))</f>
        <v/>
      </c>
      <c r="W6389" s="19">
        <f>IF($I6389="","",IF(ISNUMBER($I6389),TEXT($I6389,"0"),$I6389))</f>
        <v/>
      </c>
    </row>
    <row r="6390">
      <c r="B6390" s="25" t="n"/>
      <c r="I6390" s="25" t="n"/>
      <c r="U6390" s="19">
        <f>IF(AND($V6390='設定'!$C$4,COUNTIF('商品マスタ'!$B$6:$B$1005,$W6390)=0),N(U6389)+1,N(U6389))</f>
        <v/>
      </c>
      <c r="V6390" s="19">
        <f>IF($B6390="","",TEXT($B6390,"0000"))</f>
        <v/>
      </c>
      <c r="W6390" s="19">
        <f>IF($I6390="","",IF(ISNUMBER($I6390),TEXT($I6390,"0"),$I6390))</f>
        <v/>
      </c>
    </row>
    <row r="6391">
      <c r="B6391" s="25" t="n"/>
      <c r="I6391" s="25" t="n"/>
      <c r="U6391" s="19">
        <f>IF(AND($V6391='設定'!$C$4,COUNTIF('商品マスタ'!$B$6:$B$1005,$W6391)=0),N(U6390)+1,N(U6390))</f>
        <v/>
      </c>
      <c r="V6391" s="19">
        <f>IF($B6391="","",TEXT($B6391,"0000"))</f>
        <v/>
      </c>
      <c r="W6391" s="19">
        <f>IF($I6391="","",IF(ISNUMBER($I6391),TEXT($I6391,"0"),$I6391))</f>
        <v/>
      </c>
    </row>
    <row r="6392">
      <c r="B6392" s="25" t="n"/>
      <c r="I6392" s="25" t="n"/>
      <c r="U6392" s="19">
        <f>IF(AND($V6392='設定'!$C$4,COUNTIF('商品マスタ'!$B$6:$B$1005,$W6392)=0),N(U6391)+1,N(U6391))</f>
        <v/>
      </c>
      <c r="V6392" s="19">
        <f>IF($B6392="","",TEXT($B6392,"0000"))</f>
        <v/>
      </c>
      <c r="W6392" s="19">
        <f>IF($I6392="","",IF(ISNUMBER($I6392),TEXT($I6392,"0"),$I6392))</f>
        <v/>
      </c>
    </row>
    <row r="6393">
      <c r="B6393" s="25" t="n"/>
      <c r="I6393" s="25" t="n"/>
      <c r="U6393" s="19">
        <f>IF(AND($V6393='設定'!$C$4,COUNTIF('商品マスタ'!$B$6:$B$1005,$W6393)=0),N(U6392)+1,N(U6392))</f>
        <v/>
      </c>
      <c r="V6393" s="19">
        <f>IF($B6393="","",TEXT($B6393,"0000"))</f>
        <v/>
      </c>
      <c r="W6393" s="19">
        <f>IF($I6393="","",IF(ISNUMBER($I6393),TEXT($I6393,"0"),$I6393))</f>
        <v/>
      </c>
    </row>
    <row r="6394">
      <c r="B6394" s="25" t="n"/>
      <c r="I6394" s="25" t="n"/>
      <c r="U6394" s="19">
        <f>IF(AND($V6394='設定'!$C$4,COUNTIF('商品マスタ'!$B$6:$B$1005,$W6394)=0),N(U6393)+1,N(U6393))</f>
        <v/>
      </c>
      <c r="V6394" s="19">
        <f>IF($B6394="","",TEXT($B6394,"0000"))</f>
        <v/>
      </c>
      <c r="W6394" s="19">
        <f>IF($I6394="","",IF(ISNUMBER($I6394),TEXT($I6394,"0"),$I6394))</f>
        <v/>
      </c>
    </row>
    <row r="6395">
      <c r="B6395" s="25" t="n"/>
      <c r="I6395" s="25" t="n"/>
      <c r="U6395" s="19">
        <f>IF(AND($V6395='設定'!$C$4,COUNTIF('商品マスタ'!$B$6:$B$1005,$W6395)=0),N(U6394)+1,N(U6394))</f>
        <v/>
      </c>
      <c r="V6395" s="19">
        <f>IF($B6395="","",TEXT($B6395,"0000"))</f>
        <v/>
      </c>
      <c r="W6395" s="19">
        <f>IF($I6395="","",IF(ISNUMBER($I6395),TEXT($I6395,"0"),$I6395))</f>
        <v/>
      </c>
    </row>
    <row r="6396">
      <c r="B6396" s="25" t="n"/>
      <c r="I6396" s="25" t="n"/>
      <c r="U6396" s="19">
        <f>IF(AND($V6396='設定'!$C$4,COUNTIF('商品マスタ'!$B$6:$B$1005,$W6396)=0),N(U6395)+1,N(U6395))</f>
        <v/>
      </c>
      <c r="V6396" s="19">
        <f>IF($B6396="","",TEXT($B6396,"0000"))</f>
        <v/>
      </c>
      <c r="W6396" s="19">
        <f>IF($I6396="","",IF(ISNUMBER($I6396),TEXT($I6396,"0"),$I6396))</f>
        <v/>
      </c>
    </row>
    <row r="6397">
      <c r="B6397" s="25" t="n"/>
      <c r="I6397" s="25" t="n"/>
      <c r="U6397" s="19">
        <f>IF(AND($V6397='設定'!$C$4,COUNTIF('商品マスタ'!$B$6:$B$1005,$W6397)=0),N(U6396)+1,N(U6396))</f>
        <v/>
      </c>
      <c r="V6397" s="19">
        <f>IF($B6397="","",TEXT($B6397,"0000"))</f>
        <v/>
      </c>
      <c r="W6397" s="19">
        <f>IF($I6397="","",IF(ISNUMBER($I6397),TEXT($I6397,"0"),$I6397))</f>
        <v/>
      </c>
    </row>
    <row r="6398">
      <c r="B6398" s="25" t="n"/>
      <c r="I6398" s="25" t="n"/>
      <c r="U6398" s="19">
        <f>IF(AND($V6398='設定'!$C$4,COUNTIF('商品マスタ'!$B$6:$B$1005,$W6398)=0),N(U6397)+1,N(U6397))</f>
        <v/>
      </c>
      <c r="V6398" s="19">
        <f>IF($B6398="","",TEXT($B6398,"0000"))</f>
        <v/>
      </c>
      <c r="W6398" s="19">
        <f>IF($I6398="","",IF(ISNUMBER($I6398),TEXT($I6398,"0"),$I6398))</f>
        <v/>
      </c>
    </row>
    <row r="6399">
      <c r="B6399" s="25" t="n"/>
      <c r="I6399" s="25" t="n"/>
      <c r="U6399" s="19">
        <f>IF(AND($V6399='設定'!$C$4,COUNTIF('商品マスタ'!$B$6:$B$1005,$W6399)=0),N(U6398)+1,N(U6398))</f>
        <v/>
      </c>
      <c r="V6399" s="19">
        <f>IF($B6399="","",TEXT($B6399,"0000"))</f>
        <v/>
      </c>
      <c r="W6399" s="19">
        <f>IF($I6399="","",IF(ISNUMBER($I6399),TEXT($I6399,"0"),$I6399))</f>
        <v/>
      </c>
    </row>
    <row r="6400">
      <c r="B6400" s="25" t="n"/>
      <c r="I6400" s="25" t="n"/>
      <c r="U6400" s="19">
        <f>IF(AND($V6400='設定'!$C$4,COUNTIF('商品マスタ'!$B$6:$B$1005,$W6400)=0),N(U6399)+1,N(U6399))</f>
        <v/>
      </c>
      <c r="V6400" s="19">
        <f>IF($B6400="","",TEXT($B6400,"0000"))</f>
        <v/>
      </c>
      <c r="W6400" s="19">
        <f>IF($I6400="","",IF(ISNUMBER($I6400),TEXT($I6400,"0"),$I6400))</f>
        <v/>
      </c>
    </row>
    <row r="6401">
      <c r="B6401" s="25" t="n"/>
      <c r="I6401" s="25" t="n"/>
      <c r="U6401" s="19">
        <f>IF(AND($V6401='設定'!$C$4,COUNTIF('商品マスタ'!$B$6:$B$1005,$W6401)=0),N(U6400)+1,N(U6400))</f>
        <v/>
      </c>
      <c r="V6401" s="19">
        <f>IF($B6401="","",TEXT($B6401,"0000"))</f>
        <v/>
      </c>
      <c r="W6401" s="19">
        <f>IF($I6401="","",IF(ISNUMBER($I6401),TEXT($I6401,"0"),$I6401))</f>
        <v/>
      </c>
    </row>
    <row r="6402">
      <c r="B6402" s="25" t="n"/>
      <c r="I6402" s="25" t="n"/>
      <c r="U6402" s="19">
        <f>IF(AND($V6402='設定'!$C$4,COUNTIF('商品マスタ'!$B$6:$B$1005,$W6402)=0),N(U6401)+1,N(U6401))</f>
        <v/>
      </c>
      <c r="V6402" s="19">
        <f>IF($B6402="","",TEXT($B6402,"0000"))</f>
        <v/>
      </c>
      <c r="W6402" s="19">
        <f>IF($I6402="","",IF(ISNUMBER($I6402),TEXT($I6402,"0"),$I6402))</f>
        <v/>
      </c>
    </row>
    <row r="6403">
      <c r="B6403" s="25" t="n"/>
      <c r="I6403" s="25" t="n"/>
      <c r="U6403" s="19">
        <f>IF(AND($V6403='設定'!$C$4,COUNTIF('商品マスタ'!$B$6:$B$1005,$W6403)=0),N(U6402)+1,N(U6402))</f>
        <v/>
      </c>
      <c r="V6403" s="19">
        <f>IF($B6403="","",TEXT($B6403,"0000"))</f>
        <v/>
      </c>
      <c r="W6403" s="19">
        <f>IF($I6403="","",IF(ISNUMBER($I6403),TEXT($I6403,"0"),$I6403))</f>
        <v/>
      </c>
    </row>
    <row r="6404">
      <c r="B6404" s="25" t="n"/>
      <c r="I6404" s="25" t="n"/>
      <c r="U6404" s="19">
        <f>IF(AND($V6404='設定'!$C$4,COUNTIF('商品マスタ'!$B$6:$B$1005,$W6404)=0),N(U6403)+1,N(U6403))</f>
        <v/>
      </c>
      <c r="V6404" s="19">
        <f>IF($B6404="","",TEXT($B6404,"0000"))</f>
        <v/>
      </c>
      <c r="W6404" s="19">
        <f>IF($I6404="","",IF(ISNUMBER($I6404),TEXT($I6404,"0"),$I6404))</f>
        <v/>
      </c>
    </row>
    <row r="6405">
      <c r="B6405" s="25" t="n"/>
      <c r="I6405" s="25" t="n"/>
      <c r="U6405" s="19">
        <f>IF(AND($V6405='設定'!$C$4,COUNTIF('商品マスタ'!$B$6:$B$1005,$W6405)=0),N(U6404)+1,N(U6404))</f>
        <v/>
      </c>
      <c r="V6405" s="19">
        <f>IF($B6405="","",TEXT($B6405,"0000"))</f>
        <v/>
      </c>
      <c r="W6405" s="19">
        <f>IF($I6405="","",IF(ISNUMBER($I6405),TEXT($I6405,"0"),$I6405))</f>
        <v/>
      </c>
    </row>
    <row r="6406">
      <c r="B6406" s="25" t="n"/>
      <c r="I6406" s="25" t="n"/>
      <c r="U6406" s="19">
        <f>IF(AND($V6406='設定'!$C$4,COUNTIF('商品マスタ'!$B$6:$B$1005,$W6406)=0),N(U6405)+1,N(U6405))</f>
        <v/>
      </c>
      <c r="V6406" s="19">
        <f>IF($B6406="","",TEXT($B6406,"0000"))</f>
        <v/>
      </c>
      <c r="W6406" s="19">
        <f>IF($I6406="","",IF(ISNUMBER($I6406),TEXT($I6406,"0"),$I6406))</f>
        <v/>
      </c>
    </row>
    <row r="6407">
      <c r="B6407" s="25" t="n"/>
      <c r="I6407" s="25" t="n"/>
      <c r="U6407" s="19">
        <f>IF(AND($V6407='設定'!$C$4,COUNTIF('商品マスタ'!$B$6:$B$1005,$W6407)=0),N(U6406)+1,N(U6406))</f>
        <v/>
      </c>
      <c r="V6407" s="19">
        <f>IF($B6407="","",TEXT($B6407,"0000"))</f>
        <v/>
      </c>
      <c r="W6407" s="19">
        <f>IF($I6407="","",IF(ISNUMBER($I6407),TEXT($I6407,"0"),$I6407))</f>
        <v/>
      </c>
    </row>
    <row r="6408">
      <c r="B6408" s="25" t="n"/>
      <c r="I6408" s="25" t="n"/>
      <c r="U6408" s="19">
        <f>IF(AND($V6408='設定'!$C$4,COUNTIF('商品マスタ'!$B$6:$B$1005,$W6408)=0),N(U6407)+1,N(U6407))</f>
        <v/>
      </c>
      <c r="V6408" s="19">
        <f>IF($B6408="","",TEXT($B6408,"0000"))</f>
        <v/>
      </c>
      <c r="W6408" s="19">
        <f>IF($I6408="","",IF(ISNUMBER($I6408),TEXT($I6408,"0"),$I6408))</f>
        <v/>
      </c>
    </row>
    <row r="6409">
      <c r="B6409" s="25" t="n"/>
      <c r="I6409" s="25" t="n"/>
      <c r="U6409" s="19">
        <f>IF(AND($V6409='設定'!$C$4,COUNTIF('商品マスタ'!$B$6:$B$1005,$W6409)=0),N(U6408)+1,N(U6408))</f>
        <v/>
      </c>
      <c r="V6409" s="19">
        <f>IF($B6409="","",TEXT($B6409,"0000"))</f>
        <v/>
      </c>
      <c r="W6409" s="19">
        <f>IF($I6409="","",IF(ISNUMBER($I6409),TEXT($I6409,"0"),$I6409))</f>
        <v/>
      </c>
    </row>
    <row r="6410">
      <c r="B6410" s="25" t="n"/>
      <c r="I6410" s="25" t="n"/>
      <c r="U6410" s="19">
        <f>IF(AND($V6410='設定'!$C$4,COUNTIF('商品マスタ'!$B$6:$B$1005,$W6410)=0),N(U6409)+1,N(U6409))</f>
        <v/>
      </c>
      <c r="V6410" s="19">
        <f>IF($B6410="","",TEXT($B6410,"0000"))</f>
        <v/>
      </c>
      <c r="W6410" s="19">
        <f>IF($I6410="","",IF(ISNUMBER($I6410),TEXT($I6410,"0"),$I6410))</f>
        <v/>
      </c>
    </row>
    <row r="6411">
      <c r="B6411" s="25" t="n"/>
      <c r="I6411" s="25" t="n"/>
      <c r="U6411" s="19">
        <f>IF(AND($V6411='設定'!$C$4,COUNTIF('商品マスタ'!$B$6:$B$1005,$W6411)=0),N(U6410)+1,N(U6410))</f>
        <v/>
      </c>
      <c r="V6411" s="19">
        <f>IF($B6411="","",TEXT($B6411,"0000"))</f>
        <v/>
      </c>
      <c r="W6411" s="19">
        <f>IF($I6411="","",IF(ISNUMBER($I6411),TEXT($I6411,"0"),$I6411))</f>
        <v/>
      </c>
    </row>
    <row r="6412">
      <c r="B6412" s="25" t="n"/>
      <c r="I6412" s="25" t="n"/>
      <c r="U6412" s="19">
        <f>IF(AND($V6412='設定'!$C$4,COUNTIF('商品マスタ'!$B$6:$B$1005,$W6412)=0),N(U6411)+1,N(U6411))</f>
        <v/>
      </c>
      <c r="V6412" s="19">
        <f>IF($B6412="","",TEXT($B6412,"0000"))</f>
        <v/>
      </c>
      <c r="W6412" s="19">
        <f>IF($I6412="","",IF(ISNUMBER($I6412),TEXT($I6412,"0"),$I6412))</f>
        <v/>
      </c>
    </row>
    <row r="6413">
      <c r="B6413" s="25" t="n"/>
      <c r="I6413" s="25" t="n"/>
      <c r="U6413" s="19">
        <f>IF(AND($V6413='設定'!$C$4,COUNTIF('商品マスタ'!$B$6:$B$1005,$W6413)=0),N(U6412)+1,N(U6412))</f>
        <v/>
      </c>
      <c r="V6413" s="19">
        <f>IF($B6413="","",TEXT($B6413,"0000"))</f>
        <v/>
      </c>
      <c r="W6413" s="19">
        <f>IF($I6413="","",IF(ISNUMBER($I6413),TEXT($I6413,"0"),$I6413))</f>
        <v/>
      </c>
    </row>
    <row r="6414">
      <c r="B6414" s="25" t="n"/>
      <c r="I6414" s="25" t="n"/>
      <c r="U6414" s="19">
        <f>IF(AND($V6414='設定'!$C$4,COUNTIF('商品マスタ'!$B$6:$B$1005,$W6414)=0),N(U6413)+1,N(U6413))</f>
        <v/>
      </c>
      <c r="V6414" s="19">
        <f>IF($B6414="","",TEXT($B6414,"0000"))</f>
        <v/>
      </c>
      <c r="W6414" s="19">
        <f>IF($I6414="","",IF(ISNUMBER($I6414),TEXT($I6414,"0"),$I6414))</f>
        <v/>
      </c>
    </row>
    <row r="6415">
      <c r="B6415" s="25" t="n"/>
      <c r="I6415" s="25" t="n"/>
      <c r="U6415" s="19">
        <f>IF(AND($V6415='設定'!$C$4,COUNTIF('商品マスタ'!$B$6:$B$1005,$W6415)=0),N(U6414)+1,N(U6414))</f>
        <v/>
      </c>
      <c r="V6415" s="19">
        <f>IF($B6415="","",TEXT($B6415,"0000"))</f>
        <v/>
      </c>
      <c r="W6415" s="19">
        <f>IF($I6415="","",IF(ISNUMBER($I6415),TEXT($I6415,"0"),$I6415))</f>
        <v/>
      </c>
    </row>
    <row r="6416">
      <c r="B6416" s="25" t="n"/>
      <c r="I6416" s="25" t="n"/>
      <c r="U6416" s="19">
        <f>IF(AND($V6416='設定'!$C$4,COUNTIF('商品マスタ'!$B$6:$B$1005,$W6416)=0),N(U6415)+1,N(U6415))</f>
        <v/>
      </c>
      <c r="V6416" s="19">
        <f>IF($B6416="","",TEXT($B6416,"0000"))</f>
        <v/>
      </c>
      <c r="W6416" s="19">
        <f>IF($I6416="","",IF(ISNUMBER($I6416),TEXT($I6416,"0"),$I6416))</f>
        <v/>
      </c>
    </row>
    <row r="6417">
      <c r="B6417" s="25" t="n"/>
      <c r="I6417" s="25" t="n"/>
      <c r="U6417" s="19">
        <f>IF(AND($V6417='設定'!$C$4,COUNTIF('商品マスタ'!$B$6:$B$1005,$W6417)=0),N(U6416)+1,N(U6416))</f>
        <v/>
      </c>
      <c r="V6417" s="19">
        <f>IF($B6417="","",TEXT($B6417,"0000"))</f>
        <v/>
      </c>
      <c r="W6417" s="19">
        <f>IF($I6417="","",IF(ISNUMBER($I6417),TEXT($I6417,"0"),$I6417))</f>
        <v/>
      </c>
    </row>
    <row r="6418">
      <c r="B6418" s="25" t="n"/>
      <c r="I6418" s="25" t="n"/>
      <c r="U6418" s="19">
        <f>IF(AND($V6418='設定'!$C$4,COUNTIF('商品マスタ'!$B$6:$B$1005,$W6418)=0),N(U6417)+1,N(U6417))</f>
        <v/>
      </c>
      <c r="V6418" s="19">
        <f>IF($B6418="","",TEXT($B6418,"0000"))</f>
        <v/>
      </c>
      <c r="W6418" s="19">
        <f>IF($I6418="","",IF(ISNUMBER($I6418),TEXT($I6418,"0"),$I6418))</f>
        <v/>
      </c>
    </row>
    <row r="6419">
      <c r="B6419" s="25" t="n"/>
      <c r="I6419" s="25" t="n"/>
      <c r="U6419" s="19">
        <f>IF(AND($V6419='設定'!$C$4,COUNTIF('商品マスタ'!$B$6:$B$1005,$W6419)=0),N(U6418)+1,N(U6418))</f>
        <v/>
      </c>
      <c r="V6419" s="19">
        <f>IF($B6419="","",TEXT($B6419,"0000"))</f>
        <v/>
      </c>
      <c r="W6419" s="19">
        <f>IF($I6419="","",IF(ISNUMBER($I6419),TEXT($I6419,"0"),$I6419))</f>
        <v/>
      </c>
    </row>
    <row r="6420">
      <c r="B6420" s="25" t="n"/>
      <c r="I6420" s="25" t="n"/>
      <c r="U6420" s="19">
        <f>IF(AND($V6420='設定'!$C$4,COUNTIF('商品マスタ'!$B$6:$B$1005,$W6420)=0),N(U6419)+1,N(U6419))</f>
        <v/>
      </c>
      <c r="V6420" s="19">
        <f>IF($B6420="","",TEXT($B6420,"0000"))</f>
        <v/>
      </c>
      <c r="W6420" s="19">
        <f>IF($I6420="","",IF(ISNUMBER($I6420),TEXT($I6420,"0"),$I6420))</f>
        <v/>
      </c>
    </row>
    <row r="6421">
      <c r="B6421" s="25" t="n"/>
      <c r="I6421" s="25" t="n"/>
      <c r="U6421" s="19">
        <f>IF(AND($V6421='設定'!$C$4,COUNTIF('商品マスタ'!$B$6:$B$1005,$W6421)=0),N(U6420)+1,N(U6420))</f>
        <v/>
      </c>
      <c r="V6421" s="19">
        <f>IF($B6421="","",TEXT($B6421,"0000"))</f>
        <v/>
      </c>
      <c r="W6421" s="19">
        <f>IF($I6421="","",IF(ISNUMBER($I6421),TEXT($I6421,"0"),$I6421))</f>
        <v/>
      </c>
    </row>
    <row r="6422">
      <c r="B6422" s="25" t="n"/>
      <c r="I6422" s="25" t="n"/>
      <c r="U6422" s="19">
        <f>IF(AND($V6422='設定'!$C$4,COUNTIF('商品マスタ'!$B$6:$B$1005,$W6422)=0),N(U6421)+1,N(U6421))</f>
        <v/>
      </c>
      <c r="V6422" s="19">
        <f>IF($B6422="","",TEXT($B6422,"0000"))</f>
        <v/>
      </c>
      <c r="W6422" s="19">
        <f>IF($I6422="","",IF(ISNUMBER($I6422),TEXT($I6422,"0"),$I6422))</f>
        <v/>
      </c>
    </row>
    <row r="6423">
      <c r="B6423" s="25" t="n"/>
      <c r="I6423" s="25" t="n"/>
      <c r="U6423" s="19">
        <f>IF(AND($V6423='設定'!$C$4,COUNTIF('商品マスタ'!$B$6:$B$1005,$W6423)=0),N(U6422)+1,N(U6422))</f>
        <v/>
      </c>
      <c r="V6423" s="19">
        <f>IF($B6423="","",TEXT($B6423,"0000"))</f>
        <v/>
      </c>
      <c r="W6423" s="19">
        <f>IF($I6423="","",IF(ISNUMBER($I6423),TEXT($I6423,"0"),$I6423))</f>
        <v/>
      </c>
    </row>
    <row r="6424">
      <c r="B6424" s="25" t="n"/>
      <c r="I6424" s="25" t="n"/>
      <c r="U6424" s="19">
        <f>IF(AND($V6424='設定'!$C$4,COUNTIF('商品マスタ'!$B$6:$B$1005,$W6424)=0),N(U6423)+1,N(U6423))</f>
        <v/>
      </c>
      <c r="V6424" s="19">
        <f>IF($B6424="","",TEXT($B6424,"0000"))</f>
        <v/>
      </c>
      <c r="W6424" s="19">
        <f>IF($I6424="","",IF(ISNUMBER($I6424),TEXT($I6424,"0"),$I6424))</f>
        <v/>
      </c>
    </row>
    <row r="6425">
      <c r="B6425" s="25" t="n"/>
      <c r="I6425" s="25" t="n"/>
      <c r="U6425" s="19">
        <f>IF(AND($V6425='設定'!$C$4,COUNTIF('商品マスタ'!$B$6:$B$1005,$W6425)=0),N(U6424)+1,N(U6424))</f>
        <v/>
      </c>
      <c r="V6425" s="19">
        <f>IF($B6425="","",TEXT($B6425,"0000"))</f>
        <v/>
      </c>
      <c r="W6425" s="19">
        <f>IF($I6425="","",IF(ISNUMBER($I6425),TEXT($I6425,"0"),$I6425))</f>
        <v/>
      </c>
    </row>
    <row r="6426">
      <c r="B6426" s="25" t="n"/>
      <c r="I6426" s="25" t="n"/>
      <c r="U6426" s="19">
        <f>IF(AND($V6426='設定'!$C$4,COUNTIF('商品マスタ'!$B$6:$B$1005,$W6426)=0),N(U6425)+1,N(U6425))</f>
        <v/>
      </c>
      <c r="V6426" s="19">
        <f>IF($B6426="","",TEXT($B6426,"0000"))</f>
        <v/>
      </c>
      <c r="W6426" s="19">
        <f>IF($I6426="","",IF(ISNUMBER($I6426),TEXT($I6426,"0"),$I6426))</f>
        <v/>
      </c>
    </row>
    <row r="6427">
      <c r="B6427" s="25" t="n"/>
      <c r="I6427" s="25" t="n"/>
      <c r="U6427" s="19">
        <f>IF(AND($V6427='設定'!$C$4,COUNTIF('商品マスタ'!$B$6:$B$1005,$W6427)=0),N(U6426)+1,N(U6426))</f>
        <v/>
      </c>
      <c r="V6427" s="19">
        <f>IF($B6427="","",TEXT($B6427,"0000"))</f>
        <v/>
      </c>
      <c r="W6427" s="19">
        <f>IF($I6427="","",IF(ISNUMBER($I6427),TEXT($I6427,"0"),$I6427))</f>
        <v/>
      </c>
    </row>
    <row r="6428">
      <c r="B6428" s="25" t="n"/>
      <c r="I6428" s="25" t="n"/>
      <c r="U6428" s="19">
        <f>IF(AND($V6428='設定'!$C$4,COUNTIF('商品マスタ'!$B$6:$B$1005,$W6428)=0),N(U6427)+1,N(U6427))</f>
        <v/>
      </c>
      <c r="V6428" s="19">
        <f>IF($B6428="","",TEXT($B6428,"0000"))</f>
        <v/>
      </c>
      <c r="W6428" s="19">
        <f>IF($I6428="","",IF(ISNUMBER($I6428),TEXT($I6428,"0"),$I6428))</f>
        <v/>
      </c>
    </row>
    <row r="6429">
      <c r="B6429" s="25" t="n"/>
      <c r="I6429" s="25" t="n"/>
      <c r="U6429" s="19">
        <f>IF(AND($V6429='設定'!$C$4,COUNTIF('商品マスタ'!$B$6:$B$1005,$W6429)=0),N(U6428)+1,N(U6428))</f>
        <v/>
      </c>
      <c r="V6429" s="19">
        <f>IF($B6429="","",TEXT($B6429,"0000"))</f>
        <v/>
      </c>
      <c r="W6429" s="19">
        <f>IF($I6429="","",IF(ISNUMBER($I6429),TEXT($I6429,"0"),$I6429))</f>
        <v/>
      </c>
    </row>
    <row r="6430">
      <c r="B6430" s="25" t="n"/>
      <c r="I6430" s="25" t="n"/>
      <c r="U6430" s="19">
        <f>IF(AND($V6430='設定'!$C$4,COUNTIF('商品マスタ'!$B$6:$B$1005,$W6430)=0),N(U6429)+1,N(U6429))</f>
        <v/>
      </c>
      <c r="V6430" s="19">
        <f>IF($B6430="","",TEXT($B6430,"0000"))</f>
        <v/>
      </c>
      <c r="W6430" s="19">
        <f>IF($I6430="","",IF(ISNUMBER($I6430),TEXT($I6430,"0"),$I6430))</f>
        <v/>
      </c>
    </row>
    <row r="6431">
      <c r="B6431" s="25" t="n"/>
      <c r="I6431" s="25" t="n"/>
      <c r="U6431" s="19">
        <f>IF(AND($V6431='設定'!$C$4,COUNTIF('商品マスタ'!$B$6:$B$1005,$W6431)=0),N(U6430)+1,N(U6430))</f>
        <v/>
      </c>
      <c r="V6431" s="19">
        <f>IF($B6431="","",TEXT($B6431,"0000"))</f>
        <v/>
      </c>
      <c r="W6431" s="19">
        <f>IF($I6431="","",IF(ISNUMBER($I6431),TEXT($I6431,"0"),$I6431))</f>
        <v/>
      </c>
    </row>
    <row r="6432">
      <c r="B6432" s="25" t="n"/>
      <c r="I6432" s="25" t="n"/>
      <c r="U6432" s="19">
        <f>IF(AND($V6432='設定'!$C$4,COUNTIF('商品マスタ'!$B$6:$B$1005,$W6432)=0),N(U6431)+1,N(U6431))</f>
        <v/>
      </c>
      <c r="V6432" s="19">
        <f>IF($B6432="","",TEXT($B6432,"0000"))</f>
        <v/>
      </c>
      <c r="W6432" s="19">
        <f>IF($I6432="","",IF(ISNUMBER($I6432),TEXT($I6432,"0"),$I6432))</f>
        <v/>
      </c>
    </row>
    <row r="6433">
      <c r="B6433" s="25" t="n"/>
      <c r="I6433" s="25" t="n"/>
      <c r="U6433" s="19">
        <f>IF(AND($V6433='設定'!$C$4,COUNTIF('商品マスタ'!$B$6:$B$1005,$W6433)=0),N(U6432)+1,N(U6432))</f>
        <v/>
      </c>
      <c r="V6433" s="19">
        <f>IF($B6433="","",TEXT($B6433,"0000"))</f>
        <v/>
      </c>
      <c r="W6433" s="19">
        <f>IF($I6433="","",IF(ISNUMBER($I6433),TEXT($I6433,"0"),$I6433))</f>
        <v/>
      </c>
    </row>
    <row r="6434">
      <c r="B6434" s="25" t="n"/>
      <c r="I6434" s="25" t="n"/>
      <c r="U6434" s="19">
        <f>IF(AND($V6434='設定'!$C$4,COUNTIF('商品マスタ'!$B$6:$B$1005,$W6434)=0),N(U6433)+1,N(U6433))</f>
        <v/>
      </c>
      <c r="V6434" s="19">
        <f>IF($B6434="","",TEXT($B6434,"0000"))</f>
        <v/>
      </c>
      <c r="W6434" s="19">
        <f>IF($I6434="","",IF(ISNUMBER($I6434),TEXT($I6434,"0"),$I6434))</f>
        <v/>
      </c>
    </row>
    <row r="6435">
      <c r="B6435" s="25" t="n"/>
      <c r="I6435" s="25" t="n"/>
      <c r="U6435" s="19">
        <f>IF(AND($V6435='設定'!$C$4,COUNTIF('商品マスタ'!$B$6:$B$1005,$W6435)=0),N(U6434)+1,N(U6434))</f>
        <v/>
      </c>
      <c r="V6435" s="19">
        <f>IF($B6435="","",TEXT($B6435,"0000"))</f>
        <v/>
      </c>
      <c r="W6435" s="19">
        <f>IF($I6435="","",IF(ISNUMBER($I6435),TEXT($I6435,"0"),$I6435))</f>
        <v/>
      </c>
    </row>
    <row r="6436">
      <c r="B6436" s="25" t="n"/>
      <c r="I6436" s="25" t="n"/>
      <c r="U6436" s="19">
        <f>IF(AND($V6436='設定'!$C$4,COUNTIF('商品マスタ'!$B$6:$B$1005,$W6436)=0),N(U6435)+1,N(U6435))</f>
        <v/>
      </c>
      <c r="V6436" s="19">
        <f>IF($B6436="","",TEXT($B6436,"0000"))</f>
        <v/>
      </c>
      <c r="W6436" s="19">
        <f>IF($I6436="","",IF(ISNUMBER($I6436),TEXT($I6436,"0"),$I6436))</f>
        <v/>
      </c>
    </row>
    <row r="6437">
      <c r="B6437" s="25" t="n"/>
      <c r="I6437" s="25" t="n"/>
      <c r="U6437" s="19">
        <f>IF(AND($V6437='設定'!$C$4,COUNTIF('商品マスタ'!$B$6:$B$1005,$W6437)=0),N(U6436)+1,N(U6436))</f>
        <v/>
      </c>
      <c r="V6437" s="19">
        <f>IF($B6437="","",TEXT($B6437,"0000"))</f>
        <v/>
      </c>
      <c r="W6437" s="19">
        <f>IF($I6437="","",IF(ISNUMBER($I6437),TEXT($I6437,"0"),$I6437))</f>
        <v/>
      </c>
    </row>
    <row r="6438">
      <c r="B6438" s="25" t="n"/>
      <c r="I6438" s="25" t="n"/>
      <c r="U6438" s="19">
        <f>IF(AND($V6438='設定'!$C$4,COUNTIF('商品マスタ'!$B$6:$B$1005,$W6438)=0),N(U6437)+1,N(U6437))</f>
        <v/>
      </c>
      <c r="V6438" s="19">
        <f>IF($B6438="","",TEXT($B6438,"0000"))</f>
        <v/>
      </c>
      <c r="W6438" s="19">
        <f>IF($I6438="","",IF(ISNUMBER($I6438),TEXT($I6438,"0"),$I6438))</f>
        <v/>
      </c>
    </row>
    <row r="6439">
      <c r="B6439" s="25" t="n"/>
      <c r="I6439" s="25" t="n"/>
      <c r="U6439" s="19">
        <f>IF(AND($V6439='設定'!$C$4,COUNTIF('商品マスタ'!$B$6:$B$1005,$W6439)=0),N(U6438)+1,N(U6438))</f>
        <v/>
      </c>
      <c r="V6439" s="19">
        <f>IF($B6439="","",TEXT($B6439,"0000"))</f>
        <v/>
      </c>
      <c r="W6439" s="19">
        <f>IF($I6439="","",IF(ISNUMBER($I6439),TEXT($I6439,"0"),$I6439))</f>
        <v/>
      </c>
    </row>
    <row r="6440">
      <c r="B6440" s="25" t="n"/>
      <c r="I6440" s="25" t="n"/>
      <c r="U6440" s="19">
        <f>IF(AND($V6440='設定'!$C$4,COUNTIF('商品マスタ'!$B$6:$B$1005,$W6440)=0),N(U6439)+1,N(U6439))</f>
        <v/>
      </c>
      <c r="V6440" s="19">
        <f>IF($B6440="","",TEXT($B6440,"0000"))</f>
        <v/>
      </c>
      <c r="W6440" s="19">
        <f>IF($I6440="","",IF(ISNUMBER($I6440),TEXT($I6440,"0"),$I6440))</f>
        <v/>
      </c>
    </row>
    <row r="6441">
      <c r="B6441" s="25" t="n"/>
      <c r="I6441" s="25" t="n"/>
      <c r="U6441" s="19">
        <f>IF(AND($V6441='設定'!$C$4,COUNTIF('商品マスタ'!$B$6:$B$1005,$W6441)=0),N(U6440)+1,N(U6440))</f>
        <v/>
      </c>
      <c r="V6441" s="19">
        <f>IF($B6441="","",TEXT($B6441,"0000"))</f>
        <v/>
      </c>
      <c r="W6441" s="19">
        <f>IF($I6441="","",IF(ISNUMBER($I6441),TEXT($I6441,"0"),$I6441))</f>
        <v/>
      </c>
    </row>
    <row r="6442">
      <c r="B6442" s="25" t="n"/>
      <c r="I6442" s="25" t="n"/>
      <c r="U6442" s="19">
        <f>IF(AND($V6442='設定'!$C$4,COUNTIF('商品マスタ'!$B$6:$B$1005,$W6442)=0),N(U6441)+1,N(U6441))</f>
        <v/>
      </c>
      <c r="V6442" s="19">
        <f>IF($B6442="","",TEXT($B6442,"0000"))</f>
        <v/>
      </c>
      <c r="W6442" s="19">
        <f>IF($I6442="","",IF(ISNUMBER($I6442),TEXT($I6442,"0"),$I6442))</f>
        <v/>
      </c>
    </row>
    <row r="6443">
      <c r="B6443" s="25" t="n"/>
      <c r="I6443" s="25" t="n"/>
      <c r="U6443" s="19">
        <f>IF(AND($V6443='設定'!$C$4,COUNTIF('商品マスタ'!$B$6:$B$1005,$W6443)=0),N(U6442)+1,N(U6442))</f>
        <v/>
      </c>
      <c r="V6443" s="19">
        <f>IF($B6443="","",TEXT($B6443,"0000"))</f>
        <v/>
      </c>
      <c r="W6443" s="19">
        <f>IF($I6443="","",IF(ISNUMBER($I6443),TEXT($I6443,"0"),$I6443))</f>
        <v/>
      </c>
    </row>
    <row r="6444">
      <c r="B6444" s="25" t="n"/>
      <c r="I6444" s="25" t="n"/>
      <c r="U6444" s="19">
        <f>IF(AND($V6444='設定'!$C$4,COUNTIF('商品マスタ'!$B$6:$B$1005,$W6444)=0),N(U6443)+1,N(U6443))</f>
        <v/>
      </c>
      <c r="V6444" s="19">
        <f>IF($B6444="","",TEXT($B6444,"0000"))</f>
        <v/>
      </c>
      <c r="W6444" s="19">
        <f>IF($I6444="","",IF(ISNUMBER($I6444),TEXT($I6444,"0"),$I6444))</f>
        <v/>
      </c>
    </row>
    <row r="6445">
      <c r="B6445" s="25" t="n"/>
      <c r="I6445" s="25" t="n"/>
      <c r="U6445" s="19">
        <f>IF(AND($V6445='設定'!$C$4,COUNTIF('商品マスタ'!$B$6:$B$1005,$W6445)=0),N(U6444)+1,N(U6444))</f>
        <v/>
      </c>
      <c r="V6445" s="19">
        <f>IF($B6445="","",TEXT($B6445,"0000"))</f>
        <v/>
      </c>
      <c r="W6445" s="19">
        <f>IF($I6445="","",IF(ISNUMBER($I6445),TEXT($I6445,"0"),$I6445))</f>
        <v/>
      </c>
    </row>
    <row r="6446">
      <c r="B6446" s="25" t="n"/>
      <c r="I6446" s="25" t="n"/>
      <c r="U6446" s="19">
        <f>IF(AND($V6446='設定'!$C$4,COUNTIF('商品マスタ'!$B$6:$B$1005,$W6446)=0),N(U6445)+1,N(U6445))</f>
        <v/>
      </c>
      <c r="V6446" s="19">
        <f>IF($B6446="","",TEXT($B6446,"0000"))</f>
        <v/>
      </c>
      <c r="W6446" s="19">
        <f>IF($I6446="","",IF(ISNUMBER($I6446),TEXT($I6446,"0"),$I6446))</f>
        <v/>
      </c>
    </row>
    <row r="6447">
      <c r="B6447" s="25" t="n"/>
      <c r="I6447" s="25" t="n"/>
      <c r="U6447" s="19">
        <f>IF(AND($V6447='設定'!$C$4,COUNTIF('商品マスタ'!$B$6:$B$1005,$W6447)=0),N(U6446)+1,N(U6446))</f>
        <v/>
      </c>
      <c r="V6447" s="19">
        <f>IF($B6447="","",TEXT($B6447,"0000"))</f>
        <v/>
      </c>
      <c r="W6447" s="19">
        <f>IF($I6447="","",IF(ISNUMBER($I6447),TEXT($I6447,"0"),$I6447))</f>
        <v/>
      </c>
    </row>
    <row r="6448">
      <c r="B6448" s="25" t="n"/>
      <c r="I6448" s="25" t="n"/>
      <c r="U6448" s="19">
        <f>IF(AND($V6448='設定'!$C$4,COUNTIF('商品マスタ'!$B$6:$B$1005,$W6448)=0),N(U6447)+1,N(U6447))</f>
        <v/>
      </c>
      <c r="V6448" s="19">
        <f>IF($B6448="","",TEXT($B6448,"0000"))</f>
        <v/>
      </c>
      <c r="W6448" s="19">
        <f>IF($I6448="","",IF(ISNUMBER($I6448),TEXT($I6448,"0"),$I6448))</f>
        <v/>
      </c>
    </row>
    <row r="6449">
      <c r="B6449" s="25" t="n"/>
      <c r="I6449" s="25" t="n"/>
      <c r="U6449" s="19">
        <f>IF(AND($V6449='設定'!$C$4,COUNTIF('商品マスタ'!$B$6:$B$1005,$W6449)=0),N(U6448)+1,N(U6448))</f>
        <v/>
      </c>
      <c r="V6449" s="19">
        <f>IF($B6449="","",TEXT($B6449,"0000"))</f>
        <v/>
      </c>
      <c r="W6449" s="19">
        <f>IF($I6449="","",IF(ISNUMBER($I6449),TEXT($I6449,"0"),$I6449))</f>
        <v/>
      </c>
    </row>
    <row r="6450">
      <c r="B6450" s="25" t="n"/>
      <c r="I6450" s="25" t="n"/>
      <c r="U6450" s="19">
        <f>IF(AND($V6450='設定'!$C$4,COUNTIF('商品マスタ'!$B$6:$B$1005,$W6450)=0),N(U6449)+1,N(U6449))</f>
        <v/>
      </c>
      <c r="V6450" s="19">
        <f>IF($B6450="","",TEXT($B6450,"0000"))</f>
        <v/>
      </c>
      <c r="W6450" s="19">
        <f>IF($I6450="","",IF(ISNUMBER($I6450),TEXT($I6450,"0"),$I6450))</f>
        <v/>
      </c>
    </row>
    <row r="6451">
      <c r="B6451" s="25" t="n"/>
      <c r="I6451" s="25" t="n"/>
      <c r="U6451" s="19">
        <f>IF(AND($V6451='設定'!$C$4,COUNTIF('商品マスタ'!$B$6:$B$1005,$W6451)=0),N(U6450)+1,N(U6450))</f>
        <v/>
      </c>
      <c r="V6451" s="19">
        <f>IF($B6451="","",TEXT($B6451,"0000"))</f>
        <v/>
      </c>
      <c r="W6451" s="19">
        <f>IF($I6451="","",IF(ISNUMBER($I6451),TEXT($I6451,"0"),$I6451))</f>
        <v/>
      </c>
    </row>
    <row r="6452">
      <c r="B6452" s="25" t="n"/>
      <c r="I6452" s="25" t="n"/>
      <c r="U6452" s="19">
        <f>IF(AND($V6452='設定'!$C$4,COUNTIF('商品マスタ'!$B$6:$B$1005,$W6452)=0),N(U6451)+1,N(U6451))</f>
        <v/>
      </c>
      <c r="V6452" s="19">
        <f>IF($B6452="","",TEXT($B6452,"0000"))</f>
        <v/>
      </c>
      <c r="W6452" s="19">
        <f>IF($I6452="","",IF(ISNUMBER($I6452),TEXT($I6452,"0"),$I6452))</f>
        <v/>
      </c>
    </row>
    <row r="6453">
      <c r="B6453" s="25" t="n"/>
      <c r="I6453" s="25" t="n"/>
      <c r="U6453" s="19">
        <f>IF(AND($V6453='設定'!$C$4,COUNTIF('商品マスタ'!$B$6:$B$1005,$W6453)=0),N(U6452)+1,N(U6452))</f>
        <v/>
      </c>
      <c r="V6453" s="19">
        <f>IF($B6453="","",TEXT($B6453,"0000"))</f>
        <v/>
      </c>
      <c r="W6453" s="19">
        <f>IF($I6453="","",IF(ISNUMBER($I6453),TEXT($I6453,"0"),$I6453))</f>
        <v/>
      </c>
    </row>
    <row r="6454">
      <c r="B6454" s="25" t="n"/>
      <c r="I6454" s="25" t="n"/>
      <c r="U6454" s="19">
        <f>IF(AND($V6454='設定'!$C$4,COUNTIF('商品マスタ'!$B$6:$B$1005,$W6454)=0),N(U6453)+1,N(U6453))</f>
        <v/>
      </c>
      <c r="V6454" s="19">
        <f>IF($B6454="","",TEXT($B6454,"0000"))</f>
        <v/>
      </c>
      <c r="W6454" s="19">
        <f>IF($I6454="","",IF(ISNUMBER($I6454),TEXT($I6454,"0"),$I6454))</f>
        <v/>
      </c>
    </row>
    <row r="6455">
      <c r="B6455" s="25" t="n"/>
      <c r="I6455" s="25" t="n"/>
      <c r="U6455" s="19">
        <f>IF(AND($V6455='設定'!$C$4,COUNTIF('商品マスタ'!$B$6:$B$1005,$W6455)=0),N(U6454)+1,N(U6454))</f>
        <v/>
      </c>
      <c r="V6455" s="19">
        <f>IF($B6455="","",TEXT($B6455,"0000"))</f>
        <v/>
      </c>
      <c r="W6455" s="19">
        <f>IF($I6455="","",IF(ISNUMBER($I6455),TEXT($I6455,"0"),$I6455))</f>
        <v/>
      </c>
    </row>
    <row r="6456">
      <c r="B6456" s="25" t="n"/>
      <c r="I6456" s="25" t="n"/>
      <c r="U6456" s="19">
        <f>IF(AND($V6456='設定'!$C$4,COUNTIF('商品マスタ'!$B$6:$B$1005,$W6456)=0),N(U6455)+1,N(U6455))</f>
        <v/>
      </c>
      <c r="V6456" s="19">
        <f>IF($B6456="","",TEXT($B6456,"0000"))</f>
        <v/>
      </c>
      <c r="W6456" s="19">
        <f>IF($I6456="","",IF(ISNUMBER($I6456),TEXT($I6456,"0"),$I6456))</f>
        <v/>
      </c>
    </row>
    <row r="6457">
      <c r="B6457" s="25" t="n"/>
      <c r="I6457" s="25" t="n"/>
      <c r="U6457" s="19">
        <f>IF(AND($V6457='設定'!$C$4,COUNTIF('商品マスタ'!$B$6:$B$1005,$W6457)=0),N(U6456)+1,N(U6456))</f>
        <v/>
      </c>
      <c r="V6457" s="19">
        <f>IF($B6457="","",TEXT($B6457,"0000"))</f>
        <v/>
      </c>
      <c r="W6457" s="19">
        <f>IF($I6457="","",IF(ISNUMBER($I6457),TEXT($I6457,"0"),$I6457))</f>
        <v/>
      </c>
    </row>
    <row r="6458">
      <c r="B6458" s="25" t="n"/>
      <c r="I6458" s="25" t="n"/>
      <c r="U6458" s="19">
        <f>IF(AND($V6458='設定'!$C$4,COUNTIF('商品マスタ'!$B$6:$B$1005,$W6458)=0),N(U6457)+1,N(U6457))</f>
        <v/>
      </c>
      <c r="V6458" s="19">
        <f>IF($B6458="","",TEXT($B6458,"0000"))</f>
        <v/>
      </c>
      <c r="W6458" s="19">
        <f>IF($I6458="","",IF(ISNUMBER($I6458),TEXT($I6458,"0"),$I6458))</f>
        <v/>
      </c>
    </row>
    <row r="6459">
      <c r="B6459" s="25" t="n"/>
      <c r="I6459" s="25" t="n"/>
      <c r="U6459" s="19">
        <f>IF(AND($V6459='設定'!$C$4,COUNTIF('商品マスタ'!$B$6:$B$1005,$W6459)=0),N(U6458)+1,N(U6458))</f>
        <v/>
      </c>
      <c r="V6459" s="19">
        <f>IF($B6459="","",TEXT($B6459,"0000"))</f>
        <v/>
      </c>
      <c r="W6459" s="19">
        <f>IF($I6459="","",IF(ISNUMBER($I6459),TEXT($I6459,"0"),$I6459))</f>
        <v/>
      </c>
    </row>
    <row r="6460">
      <c r="B6460" s="25" t="n"/>
      <c r="I6460" s="25" t="n"/>
      <c r="U6460" s="19">
        <f>IF(AND($V6460='設定'!$C$4,COUNTIF('商品マスタ'!$B$6:$B$1005,$W6460)=0),N(U6459)+1,N(U6459))</f>
        <v/>
      </c>
      <c r="V6460" s="19">
        <f>IF($B6460="","",TEXT($B6460,"0000"))</f>
        <v/>
      </c>
      <c r="W6460" s="19">
        <f>IF($I6460="","",IF(ISNUMBER($I6460),TEXT($I6460,"0"),$I6460))</f>
        <v/>
      </c>
    </row>
    <row r="6461">
      <c r="B6461" s="25" t="n"/>
      <c r="I6461" s="25" t="n"/>
      <c r="U6461" s="19">
        <f>IF(AND($V6461='設定'!$C$4,COUNTIF('商品マスタ'!$B$6:$B$1005,$W6461)=0),N(U6460)+1,N(U6460))</f>
        <v/>
      </c>
      <c r="V6461" s="19">
        <f>IF($B6461="","",TEXT($B6461,"0000"))</f>
        <v/>
      </c>
      <c r="W6461" s="19">
        <f>IF($I6461="","",IF(ISNUMBER($I6461),TEXT($I6461,"0"),$I6461))</f>
        <v/>
      </c>
    </row>
    <row r="6462">
      <c r="B6462" s="25" t="n"/>
      <c r="I6462" s="25" t="n"/>
      <c r="U6462" s="19">
        <f>IF(AND($V6462='設定'!$C$4,COUNTIF('商品マスタ'!$B$6:$B$1005,$W6462)=0),N(U6461)+1,N(U6461))</f>
        <v/>
      </c>
      <c r="V6462" s="19">
        <f>IF($B6462="","",TEXT($B6462,"0000"))</f>
        <v/>
      </c>
      <c r="W6462" s="19">
        <f>IF($I6462="","",IF(ISNUMBER($I6462),TEXT($I6462,"0"),$I6462))</f>
        <v/>
      </c>
    </row>
    <row r="6463">
      <c r="B6463" s="25" t="n"/>
      <c r="I6463" s="25" t="n"/>
      <c r="U6463" s="19">
        <f>IF(AND($V6463='設定'!$C$4,COUNTIF('商品マスタ'!$B$6:$B$1005,$W6463)=0),N(U6462)+1,N(U6462))</f>
        <v/>
      </c>
      <c r="V6463" s="19">
        <f>IF($B6463="","",TEXT($B6463,"0000"))</f>
        <v/>
      </c>
      <c r="W6463" s="19">
        <f>IF($I6463="","",IF(ISNUMBER($I6463),TEXT($I6463,"0"),$I6463))</f>
        <v/>
      </c>
    </row>
    <row r="6464">
      <c r="B6464" s="25" t="n"/>
      <c r="I6464" s="25" t="n"/>
      <c r="U6464" s="19">
        <f>IF(AND($V6464='設定'!$C$4,COUNTIF('商品マスタ'!$B$6:$B$1005,$W6464)=0),N(U6463)+1,N(U6463))</f>
        <v/>
      </c>
      <c r="V6464" s="19">
        <f>IF($B6464="","",TEXT($B6464,"0000"))</f>
        <v/>
      </c>
      <c r="W6464" s="19">
        <f>IF($I6464="","",IF(ISNUMBER($I6464),TEXT($I6464,"0"),$I6464))</f>
        <v/>
      </c>
    </row>
    <row r="6465">
      <c r="B6465" s="25" t="n"/>
      <c r="I6465" s="25" t="n"/>
      <c r="U6465" s="19">
        <f>IF(AND($V6465='設定'!$C$4,COUNTIF('商品マスタ'!$B$6:$B$1005,$W6465)=0),N(U6464)+1,N(U6464))</f>
        <v/>
      </c>
      <c r="V6465" s="19">
        <f>IF($B6465="","",TEXT($B6465,"0000"))</f>
        <v/>
      </c>
      <c r="W6465" s="19">
        <f>IF($I6465="","",IF(ISNUMBER($I6465),TEXT($I6465,"0"),$I6465))</f>
        <v/>
      </c>
    </row>
    <row r="6466">
      <c r="B6466" s="25" t="n"/>
      <c r="I6466" s="25" t="n"/>
      <c r="U6466" s="19">
        <f>IF(AND($V6466='設定'!$C$4,COUNTIF('商品マスタ'!$B$6:$B$1005,$W6466)=0),N(U6465)+1,N(U6465))</f>
        <v/>
      </c>
      <c r="V6466" s="19">
        <f>IF($B6466="","",TEXT($B6466,"0000"))</f>
        <v/>
      </c>
      <c r="W6466" s="19">
        <f>IF($I6466="","",IF(ISNUMBER($I6466),TEXT($I6466,"0"),$I6466))</f>
        <v/>
      </c>
    </row>
    <row r="6467">
      <c r="B6467" s="25" t="n"/>
      <c r="I6467" s="25" t="n"/>
      <c r="U6467" s="19">
        <f>IF(AND($V6467='設定'!$C$4,COUNTIF('商品マスタ'!$B$6:$B$1005,$W6467)=0),N(U6466)+1,N(U6466))</f>
        <v/>
      </c>
      <c r="V6467" s="19">
        <f>IF($B6467="","",TEXT($B6467,"0000"))</f>
        <v/>
      </c>
      <c r="W6467" s="19">
        <f>IF($I6467="","",IF(ISNUMBER($I6467),TEXT($I6467,"0"),$I6467))</f>
        <v/>
      </c>
    </row>
    <row r="6468">
      <c r="B6468" s="25" t="n"/>
      <c r="I6468" s="25" t="n"/>
      <c r="U6468" s="19">
        <f>IF(AND($V6468='設定'!$C$4,COUNTIF('商品マスタ'!$B$6:$B$1005,$W6468)=0),N(U6467)+1,N(U6467))</f>
        <v/>
      </c>
      <c r="V6468" s="19">
        <f>IF($B6468="","",TEXT($B6468,"0000"))</f>
        <v/>
      </c>
      <c r="W6468" s="19">
        <f>IF($I6468="","",IF(ISNUMBER($I6468),TEXT($I6468,"0"),$I6468))</f>
        <v/>
      </c>
    </row>
    <row r="6469">
      <c r="B6469" s="25" t="n"/>
      <c r="I6469" s="25" t="n"/>
      <c r="U6469" s="19">
        <f>IF(AND($V6469='設定'!$C$4,COUNTIF('商品マスタ'!$B$6:$B$1005,$W6469)=0),N(U6468)+1,N(U6468))</f>
        <v/>
      </c>
      <c r="V6469" s="19">
        <f>IF($B6469="","",TEXT($B6469,"0000"))</f>
        <v/>
      </c>
      <c r="W6469" s="19">
        <f>IF($I6469="","",IF(ISNUMBER($I6469),TEXT($I6469,"0"),$I6469))</f>
        <v/>
      </c>
    </row>
    <row r="6470">
      <c r="B6470" s="25" t="n"/>
      <c r="I6470" s="25" t="n"/>
      <c r="U6470" s="19">
        <f>IF(AND($V6470='設定'!$C$4,COUNTIF('商品マスタ'!$B$6:$B$1005,$W6470)=0),N(U6469)+1,N(U6469))</f>
        <v/>
      </c>
      <c r="V6470" s="19">
        <f>IF($B6470="","",TEXT($B6470,"0000"))</f>
        <v/>
      </c>
      <c r="W6470" s="19">
        <f>IF($I6470="","",IF(ISNUMBER($I6470),TEXT($I6470,"0"),$I6470))</f>
        <v/>
      </c>
    </row>
    <row r="6471">
      <c r="B6471" s="25" t="n"/>
      <c r="I6471" s="25" t="n"/>
      <c r="U6471" s="19">
        <f>IF(AND($V6471='設定'!$C$4,COUNTIF('商品マスタ'!$B$6:$B$1005,$W6471)=0),N(U6470)+1,N(U6470))</f>
        <v/>
      </c>
      <c r="V6471" s="19">
        <f>IF($B6471="","",TEXT($B6471,"0000"))</f>
        <v/>
      </c>
      <c r="W6471" s="19">
        <f>IF($I6471="","",IF(ISNUMBER($I6471),TEXT($I6471,"0"),$I6471))</f>
        <v/>
      </c>
    </row>
    <row r="6472">
      <c r="B6472" s="25" t="n"/>
      <c r="I6472" s="25" t="n"/>
      <c r="U6472" s="19">
        <f>IF(AND($V6472='設定'!$C$4,COUNTIF('商品マスタ'!$B$6:$B$1005,$W6472)=0),N(U6471)+1,N(U6471))</f>
        <v/>
      </c>
      <c r="V6472" s="19">
        <f>IF($B6472="","",TEXT($B6472,"0000"))</f>
        <v/>
      </c>
      <c r="W6472" s="19">
        <f>IF($I6472="","",IF(ISNUMBER($I6472),TEXT($I6472,"0"),$I6472))</f>
        <v/>
      </c>
    </row>
    <row r="6473">
      <c r="B6473" s="25" t="n"/>
      <c r="I6473" s="25" t="n"/>
      <c r="U6473" s="19">
        <f>IF(AND($V6473='設定'!$C$4,COUNTIF('商品マスタ'!$B$6:$B$1005,$W6473)=0),N(U6472)+1,N(U6472))</f>
        <v/>
      </c>
      <c r="V6473" s="19">
        <f>IF($B6473="","",TEXT($B6473,"0000"))</f>
        <v/>
      </c>
      <c r="W6473" s="19">
        <f>IF($I6473="","",IF(ISNUMBER($I6473),TEXT($I6473,"0"),$I6473))</f>
        <v/>
      </c>
    </row>
    <row r="6474">
      <c r="B6474" s="25" t="n"/>
      <c r="I6474" s="25" t="n"/>
      <c r="U6474" s="19">
        <f>IF(AND($V6474='設定'!$C$4,COUNTIF('商品マスタ'!$B$6:$B$1005,$W6474)=0),N(U6473)+1,N(U6473))</f>
        <v/>
      </c>
      <c r="V6474" s="19">
        <f>IF($B6474="","",TEXT($B6474,"0000"))</f>
        <v/>
      </c>
      <c r="W6474" s="19">
        <f>IF($I6474="","",IF(ISNUMBER($I6474),TEXT($I6474,"0"),$I6474))</f>
        <v/>
      </c>
    </row>
    <row r="6475">
      <c r="B6475" s="25" t="n"/>
      <c r="I6475" s="25" t="n"/>
      <c r="U6475" s="19">
        <f>IF(AND($V6475='設定'!$C$4,COUNTIF('商品マスタ'!$B$6:$B$1005,$W6475)=0),N(U6474)+1,N(U6474))</f>
        <v/>
      </c>
      <c r="V6475" s="19">
        <f>IF($B6475="","",TEXT($B6475,"0000"))</f>
        <v/>
      </c>
      <c r="W6475" s="19">
        <f>IF($I6475="","",IF(ISNUMBER($I6475),TEXT($I6475,"0"),$I6475))</f>
        <v/>
      </c>
    </row>
    <row r="6476">
      <c r="B6476" s="25" t="n"/>
      <c r="I6476" s="25" t="n"/>
      <c r="U6476" s="19">
        <f>IF(AND($V6476='設定'!$C$4,COUNTIF('商品マスタ'!$B$6:$B$1005,$W6476)=0),N(U6475)+1,N(U6475))</f>
        <v/>
      </c>
      <c r="V6476" s="19">
        <f>IF($B6476="","",TEXT($B6476,"0000"))</f>
        <v/>
      </c>
      <c r="W6476" s="19">
        <f>IF($I6476="","",IF(ISNUMBER($I6476),TEXT($I6476,"0"),$I6476))</f>
        <v/>
      </c>
    </row>
    <row r="6477">
      <c r="B6477" s="25" t="n"/>
      <c r="I6477" s="25" t="n"/>
      <c r="U6477" s="19">
        <f>IF(AND($V6477='設定'!$C$4,COUNTIF('商品マスタ'!$B$6:$B$1005,$W6477)=0),N(U6476)+1,N(U6476))</f>
        <v/>
      </c>
      <c r="V6477" s="19">
        <f>IF($B6477="","",TEXT($B6477,"0000"))</f>
        <v/>
      </c>
      <c r="W6477" s="19">
        <f>IF($I6477="","",IF(ISNUMBER($I6477),TEXT($I6477,"0"),$I6477))</f>
        <v/>
      </c>
    </row>
    <row r="6478">
      <c r="B6478" s="25" t="n"/>
      <c r="I6478" s="25" t="n"/>
      <c r="U6478" s="19">
        <f>IF(AND($V6478='設定'!$C$4,COUNTIF('商品マスタ'!$B$6:$B$1005,$W6478)=0),N(U6477)+1,N(U6477))</f>
        <v/>
      </c>
      <c r="V6478" s="19">
        <f>IF($B6478="","",TEXT($B6478,"0000"))</f>
        <v/>
      </c>
      <c r="W6478" s="19">
        <f>IF($I6478="","",IF(ISNUMBER($I6478),TEXT($I6478,"0"),$I6478))</f>
        <v/>
      </c>
    </row>
    <row r="6479">
      <c r="B6479" s="25" t="n"/>
      <c r="I6479" s="25" t="n"/>
      <c r="U6479" s="19">
        <f>IF(AND($V6479='設定'!$C$4,COUNTIF('商品マスタ'!$B$6:$B$1005,$W6479)=0),N(U6478)+1,N(U6478))</f>
        <v/>
      </c>
      <c r="V6479" s="19">
        <f>IF($B6479="","",TEXT($B6479,"0000"))</f>
        <v/>
      </c>
      <c r="W6479" s="19">
        <f>IF($I6479="","",IF(ISNUMBER($I6479),TEXT($I6479,"0"),$I6479))</f>
        <v/>
      </c>
    </row>
    <row r="6480">
      <c r="B6480" s="25" t="n"/>
      <c r="I6480" s="25" t="n"/>
      <c r="U6480" s="19">
        <f>IF(AND($V6480='設定'!$C$4,COUNTIF('商品マスタ'!$B$6:$B$1005,$W6480)=0),N(U6479)+1,N(U6479))</f>
        <v/>
      </c>
      <c r="V6480" s="19">
        <f>IF($B6480="","",TEXT($B6480,"0000"))</f>
        <v/>
      </c>
      <c r="W6480" s="19">
        <f>IF($I6480="","",IF(ISNUMBER($I6480),TEXT($I6480,"0"),$I6480))</f>
        <v/>
      </c>
    </row>
    <row r="6481">
      <c r="B6481" s="25" t="n"/>
      <c r="I6481" s="25" t="n"/>
      <c r="U6481" s="19">
        <f>IF(AND($V6481='設定'!$C$4,COUNTIF('商品マスタ'!$B$6:$B$1005,$W6481)=0),N(U6480)+1,N(U6480))</f>
        <v/>
      </c>
      <c r="V6481" s="19">
        <f>IF($B6481="","",TEXT($B6481,"0000"))</f>
        <v/>
      </c>
      <c r="W6481" s="19">
        <f>IF($I6481="","",IF(ISNUMBER($I6481),TEXT($I6481,"0"),$I6481))</f>
        <v/>
      </c>
    </row>
    <row r="6482">
      <c r="B6482" s="25" t="n"/>
      <c r="I6482" s="25" t="n"/>
      <c r="U6482" s="19">
        <f>IF(AND($V6482='設定'!$C$4,COUNTIF('商品マスタ'!$B$6:$B$1005,$W6482)=0),N(U6481)+1,N(U6481))</f>
        <v/>
      </c>
      <c r="V6482" s="19">
        <f>IF($B6482="","",TEXT($B6482,"0000"))</f>
        <v/>
      </c>
      <c r="W6482" s="19">
        <f>IF($I6482="","",IF(ISNUMBER($I6482),TEXT($I6482,"0"),$I6482))</f>
        <v/>
      </c>
    </row>
    <row r="6483">
      <c r="B6483" s="25" t="n"/>
      <c r="I6483" s="25" t="n"/>
      <c r="U6483" s="19">
        <f>IF(AND($V6483='設定'!$C$4,COUNTIF('商品マスタ'!$B$6:$B$1005,$W6483)=0),N(U6482)+1,N(U6482))</f>
        <v/>
      </c>
      <c r="V6483" s="19">
        <f>IF($B6483="","",TEXT($B6483,"0000"))</f>
        <v/>
      </c>
      <c r="W6483" s="19">
        <f>IF($I6483="","",IF(ISNUMBER($I6483),TEXT($I6483,"0"),$I6483))</f>
        <v/>
      </c>
    </row>
    <row r="6484">
      <c r="B6484" s="25" t="n"/>
      <c r="I6484" s="25" t="n"/>
      <c r="U6484" s="19">
        <f>IF(AND($V6484='設定'!$C$4,COUNTIF('商品マスタ'!$B$6:$B$1005,$W6484)=0),N(U6483)+1,N(U6483))</f>
        <v/>
      </c>
      <c r="V6484" s="19">
        <f>IF($B6484="","",TEXT($B6484,"0000"))</f>
        <v/>
      </c>
      <c r="W6484" s="19">
        <f>IF($I6484="","",IF(ISNUMBER($I6484),TEXT($I6484,"0"),$I6484))</f>
        <v/>
      </c>
    </row>
    <row r="6485">
      <c r="B6485" s="25" t="n"/>
      <c r="I6485" s="25" t="n"/>
      <c r="U6485" s="19">
        <f>IF(AND($V6485='設定'!$C$4,COUNTIF('商品マスタ'!$B$6:$B$1005,$W6485)=0),N(U6484)+1,N(U6484))</f>
        <v/>
      </c>
      <c r="V6485" s="19">
        <f>IF($B6485="","",TEXT($B6485,"0000"))</f>
        <v/>
      </c>
      <c r="W6485" s="19">
        <f>IF($I6485="","",IF(ISNUMBER($I6485),TEXT($I6485,"0"),$I6485))</f>
        <v/>
      </c>
    </row>
    <row r="6486">
      <c r="B6486" s="25" t="n"/>
      <c r="I6486" s="25" t="n"/>
      <c r="U6486" s="19">
        <f>IF(AND($V6486='設定'!$C$4,COUNTIF('商品マスタ'!$B$6:$B$1005,$W6486)=0),N(U6485)+1,N(U6485))</f>
        <v/>
      </c>
      <c r="V6486" s="19">
        <f>IF($B6486="","",TEXT($B6486,"0000"))</f>
        <v/>
      </c>
      <c r="W6486" s="19">
        <f>IF($I6486="","",IF(ISNUMBER($I6486),TEXT($I6486,"0"),$I6486))</f>
        <v/>
      </c>
    </row>
    <row r="6487">
      <c r="B6487" s="25" t="n"/>
      <c r="I6487" s="25" t="n"/>
      <c r="U6487" s="19">
        <f>IF(AND($V6487='設定'!$C$4,COUNTIF('商品マスタ'!$B$6:$B$1005,$W6487)=0),N(U6486)+1,N(U6486))</f>
        <v/>
      </c>
      <c r="V6487" s="19">
        <f>IF($B6487="","",TEXT($B6487,"0000"))</f>
        <v/>
      </c>
      <c r="W6487" s="19">
        <f>IF($I6487="","",IF(ISNUMBER($I6487),TEXT($I6487,"0"),$I6487))</f>
        <v/>
      </c>
    </row>
    <row r="6488">
      <c r="B6488" s="25" t="n"/>
      <c r="I6488" s="25" t="n"/>
      <c r="U6488" s="19">
        <f>IF(AND($V6488='設定'!$C$4,COUNTIF('商品マスタ'!$B$6:$B$1005,$W6488)=0),N(U6487)+1,N(U6487))</f>
        <v/>
      </c>
      <c r="V6488" s="19">
        <f>IF($B6488="","",TEXT($B6488,"0000"))</f>
        <v/>
      </c>
      <c r="W6488" s="19">
        <f>IF($I6488="","",IF(ISNUMBER($I6488),TEXT($I6488,"0"),$I6488))</f>
        <v/>
      </c>
    </row>
    <row r="6489">
      <c r="B6489" s="25" t="n"/>
      <c r="I6489" s="25" t="n"/>
      <c r="U6489" s="19">
        <f>IF(AND($V6489='設定'!$C$4,COUNTIF('商品マスタ'!$B$6:$B$1005,$W6489)=0),N(U6488)+1,N(U6488))</f>
        <v/>
      </c>
      <c r="V6489" s="19">
        <f>IF($B6489="","",TEXT($B6489,"0000"))</f>
        <v/>
      </c>
      <c r="W6489" s="19">
        <f>IF($I6489="","",IF(ISNUMBER($I6489),TEXT($I6489,"0"),$I6489))</f>
        <v/>
      </c>
    </row>
    <row r="6490">
      <c r="B6490" s="25" t="n"/>
      <c r="I6490" s="25" t="n"/>
      <c r="U6490" s="19">
        <f>IF(AND($V6490='設定'!$C$4,COUNTIF('商品マスタ'!$B$6:$B$1005,$W6490)=0),N(U6489)+1,N(U6489))</f>
        <v/>
      </c>
      <c r="V6490" s="19">
        <f>IF($B6490="","",TEXT($B6490,"0000"))</f>
        <v/>
      </c>
      <c r="W6490" s="19">
        <f>IF($I6490="","",IF(ISNUMBER($I6490),TEXT($I6490,"0"),$I6490))</f>
        <v/>
      </c>
    </row>
    <row r="6491">
      <c r="B6491" s="25" t="n"/>
      <c r="I6491" s="25" t="n"/>
      <c r="U6491" s="19">
        <f>IF(AND($V6491='設定'!$C$4,COUNTIF('商品マスタ'!$B$6:$B$1005,$W6491)=0),N(U6490)+1,N(U6490))</f>
        <v/>
      </c>
      <c r="V6491" s="19">
        <f>IF($B6491="","",TEXT($B6491,"0000"))</f>
        <v/>
      </c>
      <c r="W6491" s="19">
        <f>IF($I6491="","",IF(ISNUMBER($I6491),TEXT($I6491,"0"),$I6491))</f>
        <v/>
      </c>
    </row>
    <row r="6492">
      <c r="B6492" s="25" t="n"/>
      <c r="I6492" s="25" t="n"/>
      <c r="U6492" s="19">
        <f>IF(AND($V6492='設定'!$C$4,COUNTIF('商品マスタ'!$B$6:$B$1005,$W6492)=0),N(U6491)+1,N(U6491))</f>
        <v/>
      </c>
      <c r="V6492" s="19">
        <f>IF($B6492="","",TEXT($B6492,"0000"))</f>
        <v/>
      </c>
      <c r="W6492" s="19">
        <f>IF($I6492="","",IF(ISNUMBER($I6492),TEXT($I6492,"0"),$I6492))</f>
        <v/>
      </c>
    </row>
    <row r="6493">
      <c r="B6493" s="25" t="n"/>
      <c r="I6493" s="25" t="n"/>
      <c r="U6493" s="19">
        <f>IF(AND($V6493='設定'!$C$4,COUNTIF('商品マスタ'!$B$6:$B$1005,$W6493)=0),N(U6492)+1,N(U6492))</f>
        <v/>
      </c>
      <c r="V6493" s="19">
        <f>IF($B6493="","",TEXT($B6493,"0000"))</f>
        <v/>
      </c>
      <c r="W6493" s="19">
        <f>IF($I6493="","",IF(ISNUMBER($I6493),TEXT($I6493,"0"),$I6493))</f>
        <v/>
      </c>
    </row>
    <row r="6494">
      <c r="B6494" s="25" t="n"/>
      <c r="I6494" s="25" t="n"/>
      <c r="U6494" s="19">
        <f>IF(AND($V6494='設定'!$C$4,COUNTIF('商品マスタ'!$B$6:$B$1005,$W6494)=0),N(U6493)+1,N(U6493))</f>
        <v/>
      </c>
      <c r="V6494" s="19">
        <f>IF($B6494="","",TEXT($B6494,"0000"))</f>
        <v/>
      </c>
      <c r="W6494" s="19">
        <f>IF($I6494="","",IF(ISNUMBER($I6494),TEXT($I6494,"0"),$I6494))</f>
        <v/>
      </c>
    </row>
    <row r="6495">
      <c r="B6495" s="25" t="n"/>
      <c r="I6495" s="25" t="n"/>
      <c r="U6495" s="19">
        <f>IF(AND($V6495='設定'!$C$4,COUNTIF('商品マスタ'!$B$6:$B$1005,$W6495)=0),N(U6494)+1,N(U6494))</f>
        <v/>
      </c>
      <c r="V6495" s="19">
        <f>IF($B6495="","",TEXT($B6495,"0000"))</f>
        <v/>
      </c>
      <c r="W6495" s="19">
        <f>IF($I6495="","",IF(ISNUMBER($I6495),TEXT($I6495,"0"),$I6495))</f>
        <v/>
      </c>
    </row>
    <row r="6496">
      <c r="B6496" s="25" t="n"/>
      <c r="I6496" s="25" t="n"/>
      <c r="U6496" s="19">
        <f>IF(AND($V6496='設定'!$C$4,COUNTIF('商品マスタ'!$B$6:$B$1005,$W6496)=0),N(U6495)+1,N(U6495))</f>
        <v/>
      </c>
      <c r="V6496" s="19">
        <f>IF($B6496="","",TEXT($B6496,"0000"))</f>
        <v/>
      </c>
      <c r="W6496" s="19">
        <f>IF($I6496="","",IF(ISNUMBER($I6496),TEXT($I6496,"0"),$I6496))</f>
        <v/>
      </c>
    </row>
    <row r="6497">
      <c r="B6497" s="25" t="n"/>
      <c r="I6497" s="25" t="n"/>
      <c r="U6497" s="19">
        <f>IF(AND($V6497='設定'!$C$4,COUNTIF('商品マスタ'!$B$6:$B$1005,$W6497)=0),N(U6496)+1,N(U6496))</f>
        <v/>
      </c>
      <c r="V6497" s="19">
        <f>IF($B6497="","",TEXT($B6497,"0000"))</f>
        <v/>
      </c>
      <c r="W6497" s="19">
        <f>IF($I6497="","",IF(ISNUMBER($I6497),TEXT($I6497,"0"),$I6497))</f>
        <v/>
      </c>
    </row>
    <row r="6498">
      <c r="B6498" s="25" t="n"/>
      <c r="I6498" s="25" t="n"/>
      <c r="U6498" s="19">
        <f>IF(AND($V6498='設定'!$C$4,COUNTIF('商品マスタ'!$B$6:$B$1005,$W6498)=0),N(U6497)+1,N(U6497))</f>
        <v/>
      </c>
      <c r="V6498" s="19">
        <f>IF($B6498="","",TEXT($B6498,"0000"))</f>
        <v/>
      </c>
      <c r="W6498" s="19">
        <f>IF($I6498="","",IF(ISNUMBER($I6498),TEXT($I6498,"0"),$I6498))</f>
        <v/>
      </c>
    </row>
    <row r="6499">
      <c r="B6499" s="25" t="n"/>
      <c r="I6499" s="25" t="n"/>
      <c r="U6499" s="19">
        <f>IF(AND($V6499='設定'!$C$4,COUNTIF('商品マスタ'!$B$6:$B$1005,$W6499)=0),N(U6498)+1,N(U6498))</f>
        <v/>
      </c>
      <c r="V6499" s="19">
        <f>IF($B6499="","",TEXT($B6499,"0000"))</f>
        <v/>
      </c>
      <c r="W6499" s="19">
        <f>IF($I6499="","",IF(ISNUMBER($I6499),TEXT($I6499,"0"),$I6499))</f>
        <v/>
      </c>
    </row>
    <row r="6500">
      <c r="B6500" s="25" t="n"/>
      <c r="I6500" s="25" t="n"/>
      <c r="U6500" s="19">
        <f>IF(AND($V6500='設定'!$C$4,COUNTIF('商品マスタ'!$B$6:$B$1005,$W6500)=0),N(U6499)+1,N(U6499))</f>
        <v/>
      </c>
      <c r="V6500" s="19">
        <f>IF($B6500="","",TEXT($B6500,"0000"))</f>
        <v/>
      </c>
      <c r="W6500" s="19">
        <f>IF($I6500="","",IF(ISNUMBER($I6500),TEXT($I6500,"0"),$I6500))</f>
        <v/>
      </c>
    </row>
    <row r="6501">
      <c r="B6501" s="25" t="n"/>
      <c r="I6501" s="25" t="n"/>
      <c r="U6501" s="19">
        <f>IF(AND($V6501='設定'!$C$4,COUNTIF('商品マスタ'!$B$6:$B$1005,$W6501)=0),N(U6500)+1,N(U6500))</f>
        <v/>
      </c>
      <c r="V6501" s="19">
        <f>IF($B6501="","",TEXT($B6501,"0000"))</f>
        <v/>
      </c>
      <c r="W6501" s="19">
        <f>IF($I6501="","",IF(ISNUMBER($I6501),TEXT($I6501,"0"),$I6501))</f>
        <v/>
      </c>
    </row>
    <row r="6502">
      <c r="B6502" s="25" t="n"/>
      <c r="I6502" s="25" t="n"/>
      <c r="U6502" s="19">
        <f>IF(AND($V6502='設定'!$C$4,COUNTIF('商品マスタ'!$B$6:$B$1005,$W6502)=0),N(U6501)+1,N(U6501))</f>
        <v/>
      </c>
      <c r="V6502" s="19">
        <f>IF($B6502="","",TEXT($B6502,"0000"))</f>
        <v/>
      </c>
      <c r="W6502" s="19">
        <f>IF($I6502="","",IF(ISNUMBER($I6502),TEXT($I6502,"0"),$I6502))</f>
        <v/>
      </c>
    </row>
    <row r="6503">
      <c r="B6503" s="25" t="n"/>
      <c r="I6503" s="25" t="n"/>
      <c r="U6503" s="19">
        <f>IF(AND($V6503='設定'!$C$4,COUNTIF('商品マスタ'!$B$6:$B$1005,$W6503)=0),N(U6502)+1,N(U6502))</f>
        <v/>
      </c>
      <c r="V6503" s="19">
        <f>IF($B6503="","",TEXT($B6503,"0000"))</f>
        <v/>
      </c>
      <c r="W6503" s="19">
        <f>IF($I6503="","",IF(ISNUMBER($I6503),TEXT($I6503,"0"),$I6503))</f>
        <v/>
      </c>
    </row>
    <row r="6504">
      <c r="B6504" s="25" t="n"/>
      <c r="I6504" s="25" t="n"/>
      <c r="U6504" s="19">
        <f>IF(AND($V6504='設定'!$C$4,COUNTIF('商品マスタ'!$B$6:$B$1005,$W6504)=0),N(U6503)+1,N(U6503))</f>
        <v/>
      </c>
      <c r="V6504" s="19">
        <f>IF($B6504="","",TEXT($B6504,"0000"))</f>
        <v/>
      </c>
      <c r="W6504" s="19">
        <f>IF($I6504="","",IF(ISNUMBER($I6504),TEXT($I6504,"0"),$I6504))</f>
        <v/>
      </c>
    </row>
    <row r="6505">
      <c r="B6505" s="25" t="n"/>
      <c r="I6505" s="25" t="n"/>
      <c r="U6505" s="19">
        <f>IF(AND($V6505='設定'!$C$4,COUNTIF('商品マスタ'!$B$6:$B$1005,$W6505)=0),N(U6504)+1,N(U6504))</f>
        <v/>
      </c>
      <c r="V6505" s="19">
        <f>IF($B6505="","",TEXT($B6505,"0000"))</f>
        <v/>
      </c>
      <c r="W6505" s="19">
        <f>IF($I6505="","",IF(ISNUMBER($I6505),TEXT($I6505,"0"),$I6505))</f>
        <v/>
      </c>
    </row>
    <row r="6506">
      <c r="B6506" s="25" t="n"/>
      <c r="I6506" s="25" t="n"/>
      <c r="U6506" s="19">
        <f>IF(AND($V6506='設定'!$C$4,COUNTIF('商品マスタ'!$B$6:$B$1005,$W6506)=0),N(U6505)+1,N(U6505))</f>
        <v/>
      </c>
      <c r="V6506" s="19">
        <f>IF($B6506="","",TEXT($B6506,"0000"))</f>
        <v/>
      </c>
      <c r="W6506" s="19">
        <f>IF($I6506="","",IF(ISNUMBER($I6506),TEXT($I6506,"0"),$I6506))</f>
        <v/>
      </c>
    </row>
    <row r="6507">
      <c r="B6507" s="25" t="n"/>
      <c r="I6507" s="25" t="n"/>
      <c r="U6507" s="19">
        <f>IF(AND($V6507='設定'!$C$4,COUNTIF('商品マスタ'!$B$6:$B$1005,$W6507)=0),N(U6506)+1,N(U6506))</f>
        <v/>
      </c>
      <c r="V6507" s="19">
        <f>IF($B6507="","",TEXT($B6507,"0000"))</f>
        <v/>
      </c>
      <c r="W6507" s="19">
        <f>IF($I6507="","",IF(ISNUMBER($I6507),TEXT($I6507,"0"),$I6507))</f>
        <v/>
      </c>
    </row>
    <row r="6508">
      <c r="B6508" s="25" t="n"/>
      <c r="I6508" s="25" t="n"/>
      <c r="U6508" s="19">
        <f>IF(AND($V6508='設定'!$C$4,COUNTIF('商品マスタ'!$B$6:$B$1005,$W6508)=0),N(U6507)+1,N(U6507))</f>
        <v/>
      </c>
      <c r="V6508" s="19">
        <f>IF($B6508="","",TEXT($B6508,"0000"))</f>
        <v/>
      </c>
      <c r="W6508" s="19">
        <f>IF($I6508="","",IF(ISNUMBER($I6508),TEXT($I6508,"0"),$I6508))</f>
        <v/>
      </c>
    </row>
    <row r="6509">
      <c r="B6509" s="25" t="n"/>
      <c r="I6509" s="25" t="n"/>
      <c r="U6509" s="19">
        <f>IF(AND($V6509='設定'!$C$4,COUNTIF('商品マスタ'!$B$6:$B$1005,$W6509)=0),N(U6508)+1,N(U6508))</f>
        <v/>
      </c>
      <c r="V6509" s="19">
        <f>IF($B6509="","",TEXT($B6509,"0000"))</f>
        <v/>
      </c>
      <c r="W6509" s="19">
        <f>IF($I6509="","",IF(ISNUMBER($I6509),TEXT($I6509,"0"),$I6509))</f>
        <v/>
      </c>
    </row>
    <row r="6510">
      <c r="B6510" s="25" t="n"/>
      <c r="I6510" s="25" t="n"/>
      <c r="U6510" s="19">
        <f>IF(AND($V6510='設定'!$C$4,COUNTIF('商品マスタ'!$B$6:$B$1005,$W6510)=0),N(U6509)+1,N(U6509))</f>
        <v/>
      </c>
      <c r="V6510" s="19">
        <f>IF($B6510="","",TEXT($B6510,"0000"))</f>
        <v/>
      </c>
      <c r="W6510" s="19">
        <f>IF($I6510="","",IF(ISNUMBER($I6510),TEXT($I6510,"0"),$I6510))</f>
        <v/>
      </c>
    </row>
    <row r="6511">
      <c r="B6511" s="25" t="n"/>
      <c r="I6511" s="25" t="n"/>
      <c r="U6511" s="19">
        <f>IF(AND($V6511='設定'!$C$4,COUNTIF('商品マスタ'!$B$6:$B$1005,$W6511)=0),N(U6510)+1,N(U6510))</f>
        <v/>
      </c>
      <c r="V6511" s="19">
        <f>IF($B6511="","",TEXT($B6511,"0000"))</f>
        <v/>
      </c>
      <c r="W6511" s="19">
        <f>IF($I6511="","",IF(ISNUMBER($I6511),TEXT($I6511,"0"),$I6511))</f>
        <v/>
      </c>
    </row>
    <row r="6512">
      <c r="B6512" s="25" t="n"/>
      <c r="I6512" s="25" t="n"/>
      <c r="U6512" s="19">
        <f>IF(AND($V6512='設定'!$C$4,COUNTIF('商品マスタ'!$B$6:$B$1005,$W6512)=0),N(U6511)+1,N(U6511))</f>
        <v/>
      </c>
      <c r="V6512" s="19">
        <f>IF($B6512="","",TEXT($B6512,"0000"))</f>
        <v/>
      </c>
      <c r="W6512" s="19">
        <f>IF($I6512="","",IF(ISNUMBER($I6512),TEXT($I6512,"0"),$I6512))</f>
        <v/>
      </c>
    </row>
    <row r="6513">
      <c r="B6513" s="25" t="n"/>
      <c r="I6513" s="25" t="n"/>
      <c r="U6513" s="19">
        <f>IF(AND($V6513='設定'!$C$4,COUNTIF('商品マスタ'!$B$6:$B$1005,$W6513)=0),N(U6512)+1,N(U6512))</f>
        <v/>
      </c>
      <c r="V6513" s="19">
        <f>IF($B6513="","",TEXT($B6513,"0000"))</f>
        <v/>
      </c>
      <c r="W6513" s="19">
        <f>IF($I6513="","",IF(ISNUMBER($I6513),TEXT($I6513,"0"),$I6513))</f>
        <v/>
      </c>
    </row>
    <row r="6514">
      <c r="B6514" s="25" t="n"/>
      <c r="I6514" s="25" t="n"/>
      <c r="U6514" s="19">
        <f>IF(AND($V6514='設定'!$C$4,COUNTIF('商品マスタ'!$B$6:$B$1005,$W6514)=0),N(U6513)+1,N(U6513))</f>
        <v/>
      </c>
      <c r="V6514" s="19">
        <f>IF($B6514="","",TEXT($B6514,"0000"))</f>
        <v/>
      </c>
      <c r="W6514" s="19">
        <f>IF($I6514="","",IF(ISNUMBER($I6514),TEXT($I6514,"0"),$I6514))</f>
        <v/>
      </c>
    </row>
    <row r="6515">
      <c r="B6515" s="25" t="n"/>
      <c r="I6515" s="25" t="n"/>
      <c r="U6515" s="19">
        <f>IF(AND($V6515='設定'!$C$4,COUNTIF('商品マスタ'!$B$6:$B$1005,$W6515)=0),N(U6514)+1,N(U6514))</f>
        <v/>
      </c>
      <c r="V6515" s="19">
        <f>IF($B6515="","",TEXT($B6515,"0000"))</f>
        <v/>
      </c>
      <c r="W6515" s="19">
        <f>IF($I6515="","",IF(ISNUMBER($I6515),TEXT($I6515,"0"),$I6515))</f>
        <v/>
      </c>
    </row>
    <row r="6516">
      <c r="B6516" s="25" t="n"/>
      <c r="I6516" s="25" t="n"/>
      <c r="U6516" s="19">
        <f>IF(AND($V6516='設定'!$C$4,COUNTIF('商品マスタ'!$B$6:$B$1005,$W6516)=0),N(U6515)+1,N(U6515))</f>
        <v/>
      </c>
      <c r="V6516" s="19">
        <f>IF($B6516="","",TEXT($B6516,"0000"))</f>
        <v/>
      </c>
      <c r="W6516" s="19">
        <f>IF($I6516="","",IF(ISNUMBER($I6516),TEXT($I6516,"0"),$I6516))</f>
        <v/>
      </c>
    </row>
    <row r="6517">
      <c r="B6517" s="25" t="n"/>
      <c r="I6517" s="25" t="n"/>
      <c r="U6517" s="19">
        <f>IF(AND($V6517='設定'!$C$4,COUNTIF('商品マスタ'!$B$6:$B$1005,$W6517)=0),N(U6516)+1,N(U6516))</f>
        <v/>
      </c>
      <c r="V6517" s="19">
        <f>IF($B6517="","",TEXT($B6517,"0000"))</f>
        <v/>
      </c>
      <c r="W6517" s="19">
        <f>IF($I6517="","",IF(ISNUMBER($I6517),TEXT($I6517,"0"),$I6517))</f>
        <v/>
      </c>
    </row>
    <row r="6518">
      <c r="B6518" s="25" t="n"/>
      <c r="I6518" s="25" t="n"/>
      <c r="U6518" s="19">
        <f>IF(AND($V6518='設定'!$C$4,COUNTIF('商品マスタ'!$B$6:$B$1005,$W6518)=0),N(U6517)+1,N(U6517))</f>
        <v/>
      </c>
      <c r="V6518" s="19">
        <f>IF($B6518="","",TEXT($B6518,"0000"))</f>
        <v/>
      </c>
      <c r="W6518" s="19">
        <f>IF($I6518="","",IF(ISNUMBER($I6518),TEXT($I6518,"0"),$I6518))</f>
        <v/>
      </c>
    </row>
    <row r="6519">
      <c r="B6519" s="25" t="n"/>
      <c r="I6519" s="25" t="n"/>
      <c r="U6519" s="19">
        <f>IF(AND($V6519='設定'!$C$4,COUNTIF('商品マスタ'!$B$6:$B$1005,$W6519)=0),N(U6518)+1,N(U6518))</f>
        <v/>
      </c>
      <c r="V6519" s="19">
        <f>IF($B6519="","",TEXT($B6519,"0000"))</f>
        <v/>
      </c>
      <c r="W6519" s="19">
        <f>IF($I6519="","",IF(ISNUMBER($I6519),TEXT($I6519,"0"),$I6519))</f>
        <v/>
      </c>
    </row>
    <row r="6520">
      <c r="B6520" s="25" t="n"/>
      <c r="I6520" s="25" t="n"/>
      <c r="U6520" s="19">
        <f>IF(AND($V6520='設定'!$C$4,COUNTIF('商品マスタ'!$B$6:$B$1005,$W6520)=0),N(U6519)+1,N(U6519))</f>
        <v/>
      </c>
      <c r="V6520" s="19">
        <f>IF($B6520="","",TEXT($B6520,"0000"))</f>
        <v/>
      </c>
      <c r="W6520" s="19">
        <f>IF($I6520="","",IF(ISNUMBER($I6520),TEXT($I6520,"0"),$I6520))</f>
        <v/>
      </c>
    </row>
    <row r="6521">
      <c r="B6521" s="25" t="n"/>
      <c r="I6521" s="25" t="n"/>
      <c r="U6521" s="19">
        <f>IF(AND($V6521='設定'!$C$4,COUNTIF('商品マスタ'!$B$6:$B$1005,$W6521)=0),N(U6520)+1,N(U6520))</f>
        <v/>
      </c>
      <c r="V6521" s="19">
        <f>IF($B6521="","",TEXT($B6521,"0000"))</f>
        <v/>
      </c>
      <c r="W6521" s="19">
        <f>IF($I6521="","",IF(ISNUMBER($I6521),TEXT($I6521,"0"),$I6521))</f>
        <v/>
      </c>
    </row>
    <row r="6522">
      <c r="B6522" s="25" t="n"/>
      <c r="I6522" s="25" t="n"/>
      <c r="U6522" s="19">
        <f>IF(AND($V6522='設定'!$C$4,COUNTIF('商品マスタ'!$B$6:$B$1005,$W6522)=0),N(U6521)+1,N(U6521))</f>
        <v/>
      </c>
      <c r="V6522" s="19">
        <f>IF($B6522="","",TEXT($B6522,"0000"))</f>
        <v/>
      </c>
      <c r="W6522" s="19">
        <f>IF($I6522="","",IF(ISNUMBER($I6522),TEXT($I6522,"0"),$I6522))</f>
        <v/>
      </c>
    </row>
    <row r="6523">
      <c r="B6523" s="25" t="n"/>
      <c r="I6523" s="25" t="n"/>
      <c r="U6523" s="19">
        <f>IF(AND($V6523='設定'!$C$4,COUNTIF('商品マスタ'!$B$6:$B$1005,$W6523)=0),N(U6522)+1,N(U6522))</f>
        <v/>
      </c>
      <c r="V6523" s="19">
        <f>IF($B6523="","",TEXT($B6523,"0000"))</f>
        <v/>
      </c>
      <c r="W6523" s="19">
        <f>IF($I6523="","",IF(ISNUMBER($I6523),TEXT($I6523,"0"),$I6523))</f>
        <v/>
      </c>
    </row>
    <row r="6524">
      <c r="B6524" s="25" t="n"/>
      <c r="I6524" s="25" t="n"/>
      <c r="U6524" s="19">
        <f>IF(AND($V6524='設定'!$C$4,COUNTIF('商品マスタ'!$B$6:$B$1005,$W6524)=0),N(U6523)+1,N(U6523))</f>
        <v/>
      </c>
      <c r="V6524" s="19">
        <f>IF($B6524="","",TEXT($B6524,"0000"))</f>
        <v/>
      </c>
      <c r="W6524" s="19">
        <f>IF($I6524="","",IF(ISNUMBER($I6524),TEXT($I6524,"0"),$I6524))</f>
        <v/>
      </c>
    </row>
    <row r="6525">
      <c r="B6525" s="25" t="n"/>
      <c r="I6525" s="25" t="n"/>
      <c r="U6525" s="19">
        <f>IF(AND($V6525='設定'!$C$4,COUNTIF('商品マスタ'!$B$6:$B$1005,$W6525)=0),N(U6524)+1,N(U6524))</f>
        <v/>
      </c>
      <c r="V6525" s="19">
        <f>IF($B6525="","",TEXT($B6525,"0000"))</f>
        <v/>
      </c>
      <c r="W6525" s="19">
        <f>IF($I6525="","",IF(ISNUMBER($I6525),TEXT($I6525,"0"),$I6525))</f>
        <v/>
      </c>
    </row>
    <row r="6526">
      <c r="B6526" s="25" t="n"/>
      <c r="I6526" s="25" t="n"/>
      <c r="U6526" s="19">
        <f>IF(AND($V6526='設定'!$C$4,COUNTIF('商品マスタ'!$B$6:$B$1005,$W6526)=0),N(U6525)+1,N(U6525))</f>
        <v/>
      </c>
      <c r="V6526" s="19">
        <f>IF($B6526="","",TEXT($B6526,"0000"))</f>
        <v/>
      </c>
      <c r="W6526" s="19">
        <f>IF($I6526="","",IF(ISNUMBER($I6526),TEXT($I6526,"0"),$I6526))</f>
        <v/>
      </c>
    </row>
    <row r="6527">
      <c r="B6527" s="25" t="n"/>
      <c r="I6527" s="25" t="n"/>
      <c r="U6527" s="19">
        <f>IF(AND($V6527='設定'!$C$4,COUNTIF('商品マスタ'!$B$6:$B$1005,$W6527)=0),N(U6526)+1,N(U6526))</f>
        <v/>
      </c>
      <c r="V6527" s="19">
        <f>IF($B6527="","",TEXT($B6527,"0000"))</f>
        <v/>
      </c>
      <c r="W6527" s="19">
        <f>IF($I6527="","",IF(ISNUMBER($I6527),TEXT($I6527,"0"),$I6527))</f>
        <v/>
      </c>
    </row>
    <row r="6528">
      <c r="B6528" s="25" t="n"/>
      <c r="I6528" s="25" t="n"/>
      <c r="U6528" s="19">
        <f>IF(AND($V6528='設定'!$C$4,COUNTIF('商品マスタ'!$B$6:$B$1005,$W6528)=0),N(U6527)+1,N(U6527))</f>
        <v/>
      </c>
      <c r="V6528" s="19">
        <f>IF($B6528="","",TEXT($B6528,"0000"))</f>
        <v/>
      </c>
      <c r="W6528" s="19">
        <f>IF($I6528="","",IF(ISNUMBER($I6528),TEXT($I6528,"0"),$I6528))</f>
        <v/>
      </c>
    </row>
    <row r="6529">
      <c r="B6529" s="25" t="n"/>
      <c r="I6529" s="25" t="n"/>
      <c r="U6529" s="19">
        <f>IF(AND($V6529='設定'!$C$4,COUNTIF('商品マスタ'!$B$6:$B$1005,$W6529)=0),N(U6528)+1,N(U6528))</f>
        <v/>
      </c>
      <c r="V6529" s="19">
        <f>IF($B6529="","",TEXT($B6529,"0000"))</f>
        <v/>
      </c>
      <c r="W6529" s="19">
        <f>IF($I6529="","",IF(ISNUMBER($I6529),TEXT($I6529,"0"),$I6529))</f>
        <v/>
      </c>
    </row>
    <row r="6530">
      <c r="B6530" s="25" t="n"/>
      <c r="I6530" s="25" t="n"/>
      <c r="U6530" s="19">
        <f>IF(AND($V6530='設定'!$C$4,COUNTIF('商品マスタ'!$B$6:$B$1005,$W6530)=0),N(U6529)+1,N(U6529))</f>
        <v/>
      </c>
      <c r="V6530" s="19">
        <f>IF($B6530="","",TEXT($B6530,"0000"))</f>
        <v/>
      </c>
      <c r="W6530" s="19">
        <f>IF($I6530="","",IF(ISNUMBER($I6530),TEXT($I6530,"0"),$I6530))</f>
        <v/>
      </c>
    </row>
    <row r="6531">
      <c r="B6531" s="25" t="n"/>
      <c r="I6531" s="25" t="n"/>
      <c r="U6531" s="19">
        <f>IF(AND($V6531='設定'!$C$4,COUNTIF('商品マスタ'!$B$6:$B$1005,$W6531)=0),N(U6530)+1,N(U6530))</f>
        <v/>
      </c>
      <c r="V6531" s="19">
        <f>IF($B6531="","",TEXT($B6531,"0000"))</f>
        <v/>
      </c>
      <c r="W6531" s="19">
        <f>IF($I6531="","",IF(ISNUMBER($I6531),TEXT($I6531,"0"),$I6531))</f>
        <v/>
      </c>
    </row>
    <row r="6532">
      <c r="B6532" s="25" t="n"/>
      <c r="I6532" s="25" t="n"/>
      <c r="U6532" s="19">
        <f>IF(AND($V6532='設定'!$C$4,COUNTIF('商品マスタ'!$B$6:$B$1005,$W6532)=0),N(U6531)+1,N(U6531))</f>
        <v/>
      </c>
      <c r="V6532" s="19">
        <f>IF($B6532="","",TEXT($B6532,"0000"))</f>
        <v/>
      </c>
      <c r="W6532" s="19">
        <f>IF($I6532="","",IF(ISNUMBER($I6532),TEXT($I6532,"0"),$I6532))</f>
        <v/>
      </c>
    </row>
    <row r="6533">
      <c r="B6533" s="25" t="n"/>
      <c r="I6533" s="25" t="n"/>
      <c r="U6533" s="19">
        <f>IF(AND($V6533='設定'!$C$4,COUNTIF('商品マスタ'!$B$6:$B$1005,$W6533)=0),N(U6532)+1,N(U6532))</f>
        <v/>
      </c>
      <c r="V6533" s="19">
        <f>IF($B6533="","",TEXT($B6533,"0000"))</f>
        <v/>
      </c>
      <c r="W6533" s="19">
        <f>IF($I6533="","",IF(ISNUMBER($I6533),TEXT($I6533,"0"),$I6533))</f>
        <v/>
      </c>
    </row>
    <row r="6534">
      <c r="B6534" s="25" t="n"/>
      <c r="I6534" s="25" t="n"/>
      <c r="U6534" s="19">
        <f>IF(AND($V6534='設定'!$C$4,COUNTIF('商品マスタ'!$B$6:$B$1005,$W6534)=0),N(U6533)+1,N(U6533))</f>
        <v/>
      </c>
      <c r="V6534" s="19">
        <f>IF($B6534="","",TEXT($B6534,"0000"))</f>
        <v/>
      </c>
      <c r="W6534" s="19">
        <f>IF($I6534="","",IF(ISNUMBER($I6534),TEXT($I6534,"0"),$I6534))</f>
        <v/>
      </c>
    </row>
    <row r="6535">
      <c r="B6535" s="25" t="n"/>
      <c r="I6535" s="25" t="n"/>
      <c r="U6535" s="19">
        <f>IF(AND($V6535='設定'!$C$4,COUNTIF('商品マスタ'!$B$6:$B$1005,$W6535)=0),N(U6534)+1,N(U6534))</f>
        <v/>
      </c>
      <c r="V6535" s="19">
        <f>IF($B6535="","",TEXT($B6535,"0000"))</f>
        <v/>
      </c>
      <c r="W6535" s="19">
        <f>IF($I6535="","",IF(ISNUMBER($I6535),TEXT($I6535,"0"),$I6535))</f>
        <v/>
      </c>
    </row>
    <row r="6536">
      <c r="B6536" s="25" t="n"/>
      <c r="I6536" s="25" t="n"/>
      <c r="U6536" s="19">
        <f>IF(AND($V6536='設定'!$C$4,COUNTIF('商品マスタ'!$B$6:$B$1005,$W6536)=0),N(U6535)+1,N(U6535))</f>
        <v/>
      </c>
      <c r="V6536" s="19">
        <f>IF($B6536="","",TEXT($B6536,"0000"))</f>
        <v/>
      </c>
      <c r="W6536" s="19">
        <f>IF($I6536="","",IF(ISNUMBER($I6536),TEXT($I6536,"0"),$I6536))</f>
        <v/>
      </c>
    </row>
    <row r="6537">
      <c r="B6537" s="25" t="n"/>
      <c r="I6537" s="25" t="n"/>
      <c r="U6537" s="19">
        <f>IF(AND($V6537='設定'!$C$4,COUNTIF('商品マスタ'!$B$6:$B$1005,$W6537)=0),N(U6536)+1,N(U6536))</f>
        <v/>
      </c>
      <c r="V6537" s="19">
        <f>IF($B6537="","",TEXT($B6537,"0000"))</f>
        <v/>
      </c>
      <c r="W6537" s="19">
        <f>IF($I6537="","",IF(ISNUMBER($I6537),TEXT($I6537,"0"),$I6537))</f>
        <v/>
      </c>
    </row>
    <row r="6538">
      <c r="B6538" s="25" t="n"/>
      <c r="I6538" s="25" t="n"/>
      <c r="U6538" s="19">
        <f>IF(AND($V6538='設定'!$C$4,COUNTIF('商品マスタ'!$B$6:$B$1005,$W6538)=0),N(U6537)+1,N(U6537))</f>
        <v/>
      </c>
      <c r="V6538" s="19">
        <f>IF($B6538="","",TEXT($B6538,"0000"))</f>
        <v/>
      </c>
      <c r="W6538" s="19">
        <f>IF($I6538="","",IF(ISNUMBER($I6538),TEXT($I6538,"0"),$I6538))</f>
        <v/>
      </c>
    </row>
    <row r="6539">
      <c r="B6539" s="25" t="n"/>
      <c r="I6539" s="25" t="n"/>
      <c r="U6539" s="19">
        <f>IF(AND($V6539='設定'!$C$4,COUNTIF('商品マスタ'!$B$6:$B$1005,$W6539)=0),N(U6538)+1,N(U6538))</f>
        <v/>
      </c>
      <c r="V6539" s="19">
        <f>IF($B6539="","",TEXT($B6539,"0000"))</f>
        <v/>
      </c>
      <c r="W6539" s="19">
        <f>IF($I6539="","",IF(ISNUMBER($I6539),TEXT($I6539,"0"),$I6539))</f>
        <v/>
      </c>
    </row>
    <row r="6540">
      <c r="B6540" s="25" t="n"/>
      <c r="I6540" s="25" t="n"/>
      <c r="U6540" s="19">
        <f>IF(AND($V6540='設定'!$C$4,COUNTIF('商品マスタ'!$B$6:$B$1005,$W6540)=0),N(U6539)+1,N(U6539))</f>
        <v/>
      </c>
      <c r="V6540" s="19">
        <f>IF($B6540="","",TEXT($B6540,"0000"))</f>
        <v/>
      </c>
      <c r="W6540" s="19">
        <f>IF($I6540="","",IF(ISNUMBER($I6540),TEXT($I6540,"0"),$I6540))</f>
        <v/>
      </c>
    </row>
    <row r="6541">
      <c r="B6541" s="25" t="n"/>
      <c r="I6541" s="25" t="n"/>
      <c r="U6541" s="19">
        <f>IF(AND($V6541='設定'!$C$4,COUNTIF('商品マスタ'!$B$6:$B$1005,$W6541)=0),N(U6540)+1,N(U6540))</f>
        <v/>
      </c>
      <c r="V6541" s="19">
        <f>IF($B6541="","",TEXT($B6541,"0000"))</f>
        <v/>
      </c>
      <c r="W6541" s="19">
        <f>IF($I6541="","",IF(ISNUMBER($I6541),TEXT($I6541,"0"),$I6541))</f>
        <v/>
      </c>
    </row>
    <row r="6542">
      <c r="B6542" s="25" t="n"/>
      <c r="I6542" s="25" t="n"/>
      <c r="U6542" s="19">
        <f>IF(AND($V6542='設定'!$C$4,COUNTIF('商品マスタ'!$B$6:$B$1005,$W6542)=0),N(U6541)+1,N(U6541))</f>
        <v/>
      </c>
      <c r="V6542" s="19">
        <f>IF($B6542="","",TEXT($B6542,"0000"))</f>
        <v/>
      </c>
      <c r="W6542" s="19">
        <f>IF($I6542="","",IF(ISNUMBER($I6542),TEXT($I6542,"0"),$I6542))</f>
        <v/>
      </c>
    </row>
    <row r="6543">
      <c r="B6543" s="25" t="n"/>
      <c r="I6543" s="25" t="n"/>
      <c r="U6543" s="19">
        <f>IF(AND($V6543='設定'!$C$4,COUNTIF('商品マスタ'!$B$6:$B$1005,$W6543)=0),N(U6542)+1,N(U6542))</f>
        <v/>
      </c>
      <c r="V6543" s="19">
        <f>IF($B6543="","",TEXT($B6543,"0000"))</f>
        <v/>
      </c>
      <c r="W6543" s="19">
        <f>IF($I6543="","",IF(ISNUMBER($I6543),TEXT($I6543,"0"),$I6543))</f>
        <v/>
      </c>
    </row>
    <row r="6544">
      <c r="B6544" s="25" t="n"/>
      <c r="I6544" s="25" t="n"/>
      <c r="U6544" s="19">
        <f>IF(AND($V6544='設定'!$C$4,COUNTIF('商品マスタ'!$B$6:$B$1005,$W6544)=0),N(U6543)+1,N(U6543))</f>
        <v/>
      </c>
      <c r="V6544" s="19">
        <f>IF($B6544="","",TEXT($B6544,"0000"))</f>
        <v/>
      </c>
      <c r="W6544" s="19">
        <f>IF($I6544="","",IF(ISNUMBER($I6544),TEXT($I6544,"0"),$I6544))</f>
        <v/>
      </c>
    </row>
    <row r="6545">
      <c r="B6545" s="25" t="n"/>
      <c r="I6545" s="25" t="n"/>
      <c r="U6545" s="19">
        <f>IF(AND($V6545='設定'!$C$4,COUNTIF('商品マスタ'!$B$6:$B$1005,$W6545)=0),N(U6544)+1,N(U6544))</f>
        <v/>
      </c>
      <c r="V6545" s="19">
        <f>IF($B6545="","",TEXT($B6545,"0000"))</f>
        <v/>
      </c>
      <c r="W6545" s="19">
        <f>IF($I6545="","",IF(ISNUMBER($I6545),TEXT($I6545,"0"),$I6545))</f>
        <v/>
      </c>
    </row>
    <row r="6546">
      <c r="B6546" s="25" t="n"/>
      <c r="I6546" s="25" t="n"/>
      <c r="U6546" s="19">
        <f>IF(AND($V6546='設定'!$C$4,COUNTIF('商品マスタ'!$B$6:$B$1005,$W6546)=0),N(U6545)+1,N(U6545))</f>
        <v/>
      </c>
      <c r="V6546" s="19">
        <f>IF($B6546="","",TEXT($B6546,"0000"))</f>
        <v/>
      </c>
      <c r="W6546" s="19">
        <f>IF($I6546="","",IF(ISNUMBER($I6546),TEXT($I6546,"0"),$I6546))</f>
        <v/>
      </c>
    </row>
    <row r="6547">
      <c r="B6547" s="25" t="n"/>
      <c r="I6547" s="25" t="n"/>
      <c r="U6547" s="19">
        <f>IF(AND($V6547='設定'!$C$4,COUNTIF('商品マスタ'!$B$6:$B$1005,$W6547)=0),N(U6546)+1,N(U6546))</f>
        <v/>
      </c>
      <c r="V6547" s="19">
        <f>IF($B6547="","",TEXT($B6547,"0000"))</f>
        <v/>
      </c>
      <c r="W6547" s="19">
        <f>IF($I6547="","",IF(ISNUMBER($I6547),TEXT($I6547,"0"),$I6547))</f>
        <v/>
      </c>
    </row>
    <row r="6548">
      <c r="B6548" s="25" t="n"/>
      <c r="I6548" s="25" t="n"/>
      <c r="U6548" s="19">
        <f>IF(AND($V6548='設定'!$C$4,COUNTIF('商品マスタ'!$B$6:$B$1005,$W6548)=0),N(U6547)+1,N(U6547))</f>
        <v/>
      </c>
      <c r="V6548" s="19">
        <f>IF($B6548="","",TEXT($B6548,"0000"))</f>
        <v/>
      </c>
      <c r="W6548" s="19">
        <f>IF($I6548="","",IF(ISNUMBER($I6548),TEXT($I6548,"0"),$I6548))</f>
        <v/>
      </c>
    </row>
    <row r="6549">
      <c r="B6549" s="25" t="n"/>
      <c r="I6549" s="25" t="n"/>
      <c r="U6549" s="19">
        <f>IF(AND($V6549='設定'!$C$4,COUNTIF('商品マスタ'!$B$6:$B$1005,$W6549)=0),N(U6548)+1,N(U6548))</f>
        <v/>
      </c>
      <c r="V6549" s="19">
        <f>IF($B6549="","",TEXT($B6549,"0000"))</f>
        <v/>
      </c>
      <c r="W6549" s="19">
        <f>IF($I6549="","",IF(ISNUMBER($I6549),TEXT($I6549,"0"),$I6549))</f>
        <v/>
      </c>
    </row>
    <row r="6550">
      <c r="B6550" s="25" t="n"/>
      <c r="I6550" s="25" t="n"/>
      <c r="U6550" s="19">
        <f>IF(AND($V6550='設定'!$C$4,COUNTIF('商品マスタ'!$B$6:$B$1005,$W6550)=0),N(U6549)+1,N(U6549))</f>
        <v/>
      </c>
      <c r="V6550" s="19">
        <f>IF($B6550="","",TEXT($B6550,"0000"))</f>
        <v/>
      </c>
      <c r="W6550" s="19">
        <f>IF($I6550="","",IF(ISNUMBER($I6550),TEXT($I6550,"0"),$I6550))</f>
        <v/>
      </c>
    </row>
    <row r="6551">
      <c r="B6551" s="25" t="n"/>
      <c r="I6551" s="25" t="n"/>
      <c r="U6551" s="19">
        <f>IF(AND($V6551='設定'!$C$4,COUNTIF('商品マスタ'!$B$6:$B$1005,$W6551)=0),N(U6550)+1,N(U6550))</f>
        <v/>
      </c>
      <c r="V6551" s="19">
        <f>IF($B6551="","",TEXT($B6551,"0000"))</f>
        <v/>
      </c>
      <c r="W6551" s="19">
        <f>IF($I6551="","",IF(ISNUMBER($I6551),TEXT($I6551,"0"),$I6551))</f>
        <v/>
      </c>
    </row>
    <row r="6552">
      <c r="B6552" s="25" t="n"/>
      <c r="I6552" s="25" t="n"/>
      <c r="U6552" s="19">
        <f>IF(AND($V6552='設定'!$C$4,COUNTIF('商品マスタ'!$B$6:$B$1005,$W6552)=0),N(U6551)+1,N(U6551))</f>
        <v/>
      </c>
      <c r="V6552" s="19">
        <f>IF($B6552="","",TEXT($B6552,"0000"))</f>
        <v/>
      </c>
      <c r="W6552" s="19">
        <f>IF($I6552="","",IF(ISNUMBER($I6552),TEXT($I6552,"0"),$I6552))</f>
        <v/>
      </c>
    </row>
    <row r="6553">
      <c r="B6553" s="25" t="n"/>
      <c r="I6553" s="25" t="n"/>
      <c r="U6553" s="19">
        <f>IF(AND($V6553='設定'!$C$4,COUNTIF('商品マスタ'!$B$6:$B$1005,$W6553)=0),N(U6552)+1,N(U6552))</f>
        <v/>
      </c>
      <c r="V6553" s="19">
        <f>IF($B6553="","",TEXT($B6553,"0000"))</f>
        <v/>
      </c>
      <c r="W6553" s="19">
        <f>IF($I6553="","",IF(ISNUMBER($I6553),TEXT($I6553,"0"),$I6553))</f>
        <v/>
      </c>
    </row>
    <row r="6554">
      <c r="B6554" s="25" t="n"/>
      <c r="I6554" s="25" t="n"/>
      <c r="U6554" s="19">
        <f>IF(AND($V6554='設定'!$C$4,COUNTIF('商品マスタ'!$B$6:$B$1005,$W6554)=0),N(U6553)+1,N(U6553))</f>
        <v/>
      </c>
      <c r="V6554" s="19">
        <f>IF($B6554="","",TEXT($B6554,"0000"))</f>
        <v/>
      </c>
      <c r="W6554" s="19">
        <f>IF($I6554="","",IF(ISNUMBER($I6554),TEXT($I6554,"0"),$I6554))</f>
        <v/>
      </c>
    </row>
    <row r="6555">
      <c r="B6555" s="25" t="n"/>
      <c r="I6555" s="25" t="n"/>
      <c r="U6555" s="19">
        <f>IF(AND($V6555='設定'!$C$4,COUNTIF('商品マスタ'!$B$6:$B$1005,$W6555)=0),N(U6554)+1,N(U6554))</f>
        <v/>
      </c>
      <c r="V6555" s="19">
        <f>IF($B6555="","",TEXT($B6555,"0000"))</f>
        <v/>
      </c>
      <c r="W6555" s="19">
        <f>IF($I6555="","",IF(ISNUMBER($I6555),TEXT($I6555,"0"),$I6555))</f>
        <v/>
      </c>
    </row>
    <row r="6556">
      <c r="B6556" s="25" t="n"/>
      <c r="I6556" s="25" t="n"/>
      <c r="U6556" s="19">
        <f>IF(AND($V6556='設定'!$C$4,COUNTIF('商品マスタ'!$B$6:$B$1005,$W6556)=0),N(U6555)+1,N(U6555))</f>
        <v/>
      </c>
      <c r="V6556" s="19">
        <f>IF($B6556="","",TEXT($B6556,"0000"))</f>
        <v/>
      </c>
      <c r="W6556" s="19">
        <f>IF($I6556="","",IF(ISNUMBER($I6556),TEXT($I6556,"0"),$I6556))</f>
        <v/>
      </c>
    </row>
    <row r="6557">
      <c r="B6557" s="25" t="n"/>
      <c r="I6557" s="25" t="n"/>
      <c r="U6557" s="19">
        <f>IF(AND($V6557='設定'!$C$4,COUNTIF('商品マスタ'!$B$6:$B$1005,$W6557)=0),N(U6556)+1,N(U6556))</f>
        <v/>
      </c>
      <c r="V6557" s="19">
        <f>IF($B6557="","",TEXT($B6557,"0000"))</f>
        <v/>
      </c>
      <c r="W6557" s="19">
        <f>IF($I6557="","",IF(ISNUMBER($I6557),TEXT($I6557,"0"),$I6557))</f>
        <v/>
      </c>
    </row>
    <row r="6558">
      <c r="B6558" s="25" t="n"/>
      <c r="I6558" s="25" t="n"/>
      <c r="U6558" s="19">
        <f>IF(AND($V6558='設定'!$C$4,COUNTIF('商品マスタ'!$B$6:$B$1005,$W6558)=0),N(U6557)+1,N(U6557))</f>
        <v/>
      </c>
      <c r="V6558" s="19">
        <f>IF($B6558="","",TEXT($B6558,"0000"))</f>
        <v/>
      </c>
      <c r="W6558" s="19">
        <f>IF($I6558="","",IF(ISNUMBER($I6558),TEXT($I6558,"0"),$I6558))</f>
        <v/>
      </c>
    </row>
    <row r="6559">
      <c r="B6559" s="25" t="n"/>
      <c r="I6559" s="25" t="n"/>
      <c r="U6559" s="19">
        <f>IF(AND($V6559='設定'!$C$4,COUNTIF('商品マスタ'!$B$6:$B$1005,$W6559)=0),N(U6558)+1,N(U6558))</f>
        <v/>
      </c>
      <c r="V6559" s="19">
        <f>IF($B6559="","",TEXT($B6559,"0000"))</f>
        <v/>
      </c>
      <c r="W6559" s="19">
        <f>IF($I6559="","",IF(ISNUMBER($I6559),TEXT($I6559,"0"),$I6559))</f>
        <v/>
      </c>
    </row>
    <row r="6560">
      <c r="B6560" s="25" t="n"/>
      <c r="I6560" s="25" t="n"/>
      <c r="U6560" s="19">
        <f>IF(AND($V6560='設定'!$C$4,COUNTIF('商品マスタ'!$B$6:$B$1005,$W6560)=0),N(U6559)+1,N(U6559))</f>
        <v/>
      </c>
      <c r="V6560" s="19">
        <f>IF($B6560="","",TEXT($B6560,"0000"))</f>
        <v/>
      </c>
      <c r="W6560" s="19">
        <f>IF($I6560="","",IF(ISNUMBER($I6560),TEXT($I6560,"0"),$I6560))</f>
        <v/>
      </c>
    </row>
    <row r="6561">
      <c r="B6561" s="25" t="n"/>
      <c r="I6561" s="25" t="n"/>
      <c r="U6561" s="19">
        <f>IF(AND($V6561='設定'!$C$4,COUNTIF('商品マスタ'!$B$6:$B$1005,$W6561)=0),N(U6560)+1,N(U6560))</f>
        <v/>
      </c>
      <c r="V6561" s="19">
        <f>IF($B6561="","",TEXT($B6561,"0000"))</f>
        <v/>
      </c>
      <c r="W6561" s="19">
        <f>IF($I6561="","",IF(ISNUMBER($I6561),TEXT($I6561,"0"),$I6561))</f>
        <v/>
      </c>
    </row>
    <row r="6562">
      <c r="B6562" s="25" t="n"/>
      <c r="I6562" s="25" t="n"/>
      <c r="U6562" s="19">
        <f>IF(AND($V6562='設定'!$C$4,COUNTIF('商品マスタ'!$B$6:$B$1005,$W6562)=0),N(U6561)+1,N(U6561))</f>
        <v/>
      </c>
      <c r="V6562" s="19">
        <f>IF($B6562="","",TEXT($B6562,"0000"))</f>
        <v/>
      </c>
      <c r="W6562" s="19">
        <f>IF($I6562="","",IF(ISNUMBER($I6562),TEXT($I6562,"0"),$I6562))</f>
        <v/>
      </c>
    </row>
    <row r="6563">
      <c r="B6563" s="25" t="n"/>
      <c r="I6563" s="25" t="n"/>
      <c r="U6563" s="19">
        <f>IF(AND($V6563='設定'!$C$4,COUNTIF('商品マスタ'!$B$6:$B$1005,$W6563)=0),N(U6562)+1,N(U6562))</f>
        <v/>
      </c>
      <c r="V6563" s="19">
        <f>IF($B6563="","",TEXT($B6563,"0000"))</f>
        <v/>
      </c>
      <c r="W6563" s="19">
        <f>IF($I6563="","",IF(ISNUMBER($I6563),TEXT($I6563,"0"),$I6563))</f>
        <v/>
      </c>
    </row>
    <row r="6564">
      <c r="B6564" s="25" t="n"/>
      <c r="I6564" s="25" t="n"/>
      <c r="U6564" s="19">
        <f>IF(AND($V6564='設定'!$C$4,COUNTIF('商品マスタ'!$B$6:$B$1005,$W6564)=0),N(U6563)+1,N(U6563))</f>
        <v/>
      </c>
      <c r="V6564" s="19">
        <f>IF($B6564="","",TEXT($B6564,"0000"))</f>
        <v/>
      </c>
      <c r="W6564" s="19">
        <f>IF($I6564="","",IF(ISNUMBER($I6564),TEXT($I6564,"0"),$I6564))</f>
        <v/>
      </c>
    </row>
    <row r="6565">
      <c r="B6565" s="25" t="n"/>
      <c r="I6565" s="25" t="n"/>
      <c r="U6565" s="19">
        <f>IF(AND($V6565='設定'!$C$4,COUNTIF('商品マスタ'!$B$6:$B$1005,$W6565)=0),N(U6564)+1,N(U6564))</f>
        <v/>
      </c>
      <c r="V6565" s="19">
        <f>IF($B6565="","",TEXT($B6565,"0000"))</f>
        <v/>
      </c>
      <c r="W6565" s="19">
        <f>IF($I6565="","",IF(ISNUMBER($I6565),TEXT($I6565,"0"),$I6565))</f>
        <v/>
      </c>
    </row>
    <row r="6566">
      <c r="B6566" s="25" t="n"/>
      <c r="I6566" s="25" t="n"/>
      <c r="U6566" s="19">
        <f>IF(AND($V6566='設定'!$C$4,COUNTIF('商品マスタ'!$B$6:$B$1005,$W6566)=0),N(U6565)+1,N(U6565))</f>
        <v/>
      </c>
      <c r="V6566" s="19">
        <f>IF($B6566="","",TEXT($B6566,"0000"))</f>
        <v/>
      </c>
      <c r="W6566" s="19">
        <f>IF($I6566="","",IF(ISNUMBER($I6566),TEXT($I6566,"0"),$I6566))</f>
        <v/>
      </c>
    </row>
    <row r="6567">
      <c r="B6567" s="25" t="n"/>
      <c r="I6567" s="25" t="n"/>
      <c r="U6567" s="19">
        <f>IF(AND($V6567='設定'!$C$4,COUNTIF('商品マスタ'!$B$6:$B$1005,$W6567)=0),N(U6566)+1,N(U6566))</f>
        <v/>
      </c>
      <c r="V6567" s="19">
        <f>IF($B6567="","",TEXT($B6567,"0000"))</f>
        <v/>
      </c>
      <c r="W6567" s="19">
        <f>IF($I6567="","",IF(ISNUMBER($I6567),TEXT($I6567,"0"),$I6567))</f>
        <v/>
      </c>
    </row>
    <row r="6568">
      <c r="B6568" s="25" t="n"/>
      <c r="I6568" s="25" t="n"/>
      <c r="U6568" s="19">
        <f>IF(AND($V6568='設定'!$C$4,COUNTIF('商品マスタ'!$B$6:$B$1005,$W6568)=0),N(U6567)+1,N(U6567))</f>
        <v/>
      </c>
      <c r="V6568" s="19">
        <f>IF($B6568="","",TEXT($B6568,"0000"))</f>
        <v/>
      </c>
      <c r="W6568" s="19">
        <f>IF($I6568="","",IF(ISNUMBER($I6568),TEXT($I6568,"0"),$I6568))</f>
        <v/>
      </c>
    </row>
    <row r="6569">
      <c r="B6569" s="25" t="n"/>
      <c r="I6569" s="25" t="n"/>
      <c r="U6569" s="19">
        <f>IF(AND($V6569='設定'!$C$4,COUNTIF('商品マスタ'!$B$6:$B$1005,$W6569)=0),N(U6568)+1,N(U6568))</f>
        <v/>
      </c>
      <c r="V6569" s="19">
        <f>IF($B6569="","",TEXT($B6569,"0000"))</f>
        <v/>
      </c>
      <c r="W6569" s="19">
        <f>IF($I6569="","",IF(ISNUMBER($I6569),TEXT($I6569,"0"),$I6569))</f>
        <v/>
      </c>
    </row>
    <row r="6570">
      <c r="B6570" s="25" t="n"/>
      <c r="I6570" s="25" t="n"/>
      <c r="U6570" s="19">
        <f>IF(AND($V6570='設定'!$C$4,COUNTIF('商品マスタ'!$B$6:$B$1005,$W6570)=0),N(U6569)+1,N(U6569))</f>
        <v/>
      </c>
      <c r="V6570" s="19">
        <f>IF($B6570="","",TEXT($B6570,"0000"))</f>
        <v/>
      </c>
      <c r="W6570" s="19">
        <f>IF($I6570="","",IF(ISNUMBER($I6570),TEXT($I6570,"0"),$I6570))</f>
        <v/>
      </c>
    </row>
    <row r="6571">
      <c r="B6571" s="25" t="n"/>
      <c r="I6571" s="25" t="n"/>
      <c r="U6571" s="19">
        <f>IF(AND($V6571='設定'!$C$4,COUNTIF('商品マスタ'!$B$6:$B$1005,$W6571)=0),N(U6570)+1,N(U6570))</f>
        <v/>
      </c>
      <c r="V6571" s="19">
        <f>IF($B6571="","",TEXT($B6571,"0000"))</f>
        <v/>
      </c>
      <c r="W6571" s="19">
        <f>IF($I6571="","",IF(ISNUMBER($I6571),TEXT($I6571,"0"),$I6571))</f>
        <v/>
      </c>
    </row>
    <row r="6572">
      <c r="B6572" s="25" t="n"/>
      <c r="I6572" s="25" t="n"/>
      <c r="U6572" s="19">
        <f>IF(AND($V6572='設定'!$C$4,COUNTIF('商品マスタ'!$B$6:$B$1005,$W6572)=0),N(U6571)+1,N(U6571))</f>
        <v/>
      </c>
      <c r="V6572" s="19">
        <f>IF($B6572="","",TEXT($B6572,"0000"))</f>
        <v/>
      </c>
      <c r="W6572" s="19">
        <f>IF($I6572="","",IF(ISNUMBER($I6572),TEXT($I6572,"0"),$I6572))</f>
        <v/>
      </c>
    </row>
    <row r="6573">
      <c r="B6573" s="25" t="n"/>
      <c r="I6573" s="25" t="n"/>
      <c r="U6573" s="19">
        <f>IF(AND($V6573='設定'!$C$4,COUNTIF('商品マスタ'!$B$6:$B$1005,$W6573)=0),N(U6572)+1,N(U6572))</f>
        <v/>
      </c>
      <c r="V6573" s="19">
        <f>IF($B6573="","",TEXT($B6573,"0000"))</f>
        <v/>
      </c>
      <c r="W6573" s="19">
        <f>IF($I6573="","",IF(ISNUMBER($I6573),TEXT($I6573,"0"),$I6573))</f>
        <v/>
      </c>
    </row>
    <row r="6574">
      <c r="B6574" s="25" t="n"/>
      <c r="I6574" s="25" t="n"/>
      <c r="U6574" s="19">
        <f>IF(AND($V6574='設定'!$C$4,COUNTIF('商品マスタ'!$B$6:$B$1005,$W6574)=0),N(U6573)+1,N(U6573))</f>
        <v/>
      </c>
      <c r="V6574" s="19">
        <f>IF($B6574="","",TEXT($B6574,"0000"))</f>
        <v/>
      </c>
      <c r="W6574" s="19">
        <f>IF($I6574="","",IF(ISNUMBER($I6574),TEXT($I6574,"0"),$I6574))</f>
        <v/>
      </c>
    </row>
    <row r="6575">
      <c r="B6575" s="25" t="n"/>
      <c r="I6575" s="25" t="n"/>
      <c r="U6575" s="19">
        <f>IF(AND($V6575='設定'!$C$4,COUNTIF('商品マスタ'!$B$6:$B$1005,$W6575)=0),N(U6574)+1,N(U6574))</f>
        <v/>
      </c>
      <c r="V6575" s="19">
        <f>IF($B6575="","",TEXT($B6575,"0000"))</f>
        <v/>
      </c>
      <c r="W6575" s="19">
        <f>IF($I6575="","",IF(ISNUMBER($I6575),TEXT($I6575,"0"),$I6575))</f>
        <v/>
      </c>
    </row>
    <row r="6576">
      <c r="B6576" s="25" t="n"/>
      <c r="I6576" s="25" t="n"/>
      <c r="U6576" s="19">
        <f>IF(AND($V6576='設定'!$C$4,COUNTIF('商品マスタ'!$B$6:$B$1005,$W6576)=0),N(U6575)+1,N(U6575))</f>
        <v/>
      </c>
      <c r="V6576" s="19">
        <f>IF($B6576="","",TEXT($B6576,"0000"))</f>
        <v/>
      </c>
      <c r="W6576" s="19">
        <f>IF($I6576="","",IF(ISNUMBER($I6576),TEXT($I6576,"0"),$I6576))</f>
        <v/>
      </c>
    </row>
    <row r="6577">
      <c r="B6577" s="25" t="n"/>
      <c r="I6577" s="25" t="n"/>
      <c r="U6577" s="19">
        <f>IF(AND($V6577='設定'!$C$4,COUNTIF('商品マスタ'!$B$6:$B$1005,$W6577)=0),N(U6576)+1,N(U6576))</f>
        <v/>
      </c>
      <c r="V6577" s="19">
        <f>IF($B6577="","",TEXT($B6577,"0000"))</f>
        <v/>
      </c>
      <c r="W6577" s="19">
        <f>IF($I6577="","",IF(ISNUMBER($I6577),TEXT($I6577,"0"),$I6577))</f>
        <v/>
      </c>
    </row>
    <row r="6578">
      <c r="B6578" s="25" t="n"/>
      <c r="I6578" s="25" t="n"/>
      <c r="U6578" s="19">
        <f>IF(AND($V6578='設定'!$C$4,COUNTIF('商品マスタ'!$B$6:$B$1005,$W6578)=0),N(U6577)+1,N(U6577))</f>
        <v/>
      </c>
      <c r="V6578" s="19">
        <f>IF($B6578="","",TEXT($B6578,"0000"))</f>
        <v/>
      </c>
      <c r="W6578" s="19">
        <f>IF($I6578="","",IF(ISNUMBER($I6578),TEXT($I6578,"0"),$I6578))</f>
        <v/>
      </c>
    </row>
    <row r="6579">
      <c r="B6579" s="25" t="n"/>
      <c r="I6579" s="25" t="n"/>
      <c r="U6579" s="19">
        <f>IF(AND($V6579='設定'!$C$4,COUNTIF('商品マスタ'!$B$6:$B$1005,$W6579)=0),N(U6578)+1,N(U6578))</f>
        <v/>
      </c>
      <c r="V6579" s="19">
        <f>IF($B6579="","",TEXT($B6579,"0000"))</f>
        <v/>
      </c>
      <c r="W6579" s="19">
        <f>IF($I6579="","",IF(ISNUMBER($I6579),TEXT($I6579,"0"),$I6579))</f>
        <v/>
      </c>
    </row>
    <row r="6580">
      <c r="B6580" s="25" t="n"/>
      <c r="I6580" s="25" t="n"/>
      <c r="U6580" s="19">
        <f>IF(AND($V6580='設定'!$C$4,COUNTIF('商品マスタ'!$B$6:$B$1005,$W6580)=0),N(U6579)+1,N(U6579))</f>
        <v/>
      </c>
      <c r="V6580" s="19">
        <f>IF($B6580="","",TEXT($B6580,"0000"))</f>
        <v/>
      </c>
      <c r="W6580" s="19">
        <f>IF($I6580="","",IF(ISNUMBER($I6580),TEXT($I6580,"0"),$I6580))</f>
        <v/>
      </c>
    </row>
    <row r="6581">
      <c r="B6581" s="25" t="n"/>
      <c r="I6581" s="25" t="n"/>
      <c r="U6581" s="19">
        <f>IF(AND($V6581='設定'!$C$4,COUNTIF('商品マスタ'!$B$6:$B$1005,$W6581)=0),N(U6580)+1,N(U6580))</f>
        <v/>
      </c>
      <c r="V6581" s="19">
        <f>IF($B6581="","",TEXT($B6581,"0000"))</f>
        <v/>
      </c>
      <c r="W6581" s="19">
        <f>IF($I6581="","",IF(ISNUMBER($I6581),TEXT($I6581,"0"),$I6581))</f>
        <v/>
      </c>
    </row>
    <row r="6582">
      <c r="B6582" s="25" t="n"/>
      <c r="I6582" s="25" t="n"/>
      <c r="U6582" s="19">
        <f>IF(AND($V6582='設定'!$C$4,COUNTIF('商品マスタ'!$B$6:$B$1005,$W6582)=0),N(U6581)+1,N(U6581))</f>
        <v/>
      </c>
      <c r="V6582" s="19">
        <f>IF($B6582="","",TEXT($B6582,"0000"))</f>
        <v/>
      </c>
      <c r="W6582" s="19">
        <f>IF($I6582="","",IF(ISNUMBER($I6582),TEXT($I6582,"0"),$I6582))</f>
        <v/>
      </c>
    </row>
    <row r="6583">
      <c r="B6583" s="25" t="n"/>
      <c r="I6583" s="25" t="n"/>
      <c r="U6583" s="19">
        <f>IF(AND($V6583='設定'!$C$4,COUNTIF('商品マスタ'!$B$6:$B$1005,$W6583)=0),N(U6582)+1,N(U6582))</f>
        <v/>
      </c>
      <c r="V6583" s="19">
        <f>IF($B6583="","",TEXT($B6583,"0000"))</f>
        <v/>
      </c>
      <c r="W6583" s="19">
        <f>IF($I6583="","",IF(ISNUMBER($I6583),TEXT($I6583,"0"),$I6583))</f>
        <v/>
      </c>
    </row>
    <row r="6584">
      <c r="B6584" s="25" t="n"/>
      <c r="I6584" s="25" t="n"/>
      <c r="U6584" s="19">
        <f>IF(AND($V6584='設定'!$C$4,COUNTIF('商品マスタ'!$B$6:$B$1005,$W6584)=0),N(U6583)+1,N(U6583))</f>
        <v/>
      </c>
      <c r="V6584" s="19">
        <f>IF($B6584="","",TEXT($B6584,"0000"))</f>
        <v/>
      </c>
      <c r="W6584" s="19">
        <f>IF($I6584="","",IF(ISNUMBER($I6584),TEXT($I6584,"0"),$I6584))</f>
        <v/>
      </c>
    </row>
    <row r="6585">
      <c r="B6585" s="25" t="n"/>
      <c r="I6585" s="25" t="n"/>
      <c r="U6585" s="19">
        <f>IF(AND($V6585='設定'!$C$4,COUNTIF('商品マスタ'!$B$6:$B$1005,$W6585)=0),N(U6584)+1,N(U6584))</f>
        <v/>
      </c>
      <c r="V6585" s="19">
        <f>IF($B6585="","",TEXT($B6585,"0000"))</f>
        <v/>
      </c>
      <c r="W6585" s="19">
        <f>IF($I6585="","",IF(ISNUMBER($I6585),TEXT($I6585,"0"),$I6585))</f>
        <v/>
      </c>
    </row>
    <row r="6586">
      <c r="B6586" s="25" t="n"/>
      <c r="I6586" s="25" t="n"/>
      <c r="U6586" s="19">
        <f>IF(AND($V6586='設定'!$C$4,COUNTIF('商品マスタ'!$B$6:$B$1005,$W6586)=0),N(U6585)+1,N(U6585))</f>
        <v/>
      </c>
      <c r="V6586" s="19">
        <f>IF($B6586="","",TEXT($B6586,"0000"))</f>
        <v/>
      </c>
      <c r="W6586" s="19">
        <f>IF($I6586="","",IF(ISNUMBER($I6586),TEXT($I6586,"0"),$I6586))</f>
        <v/>
      </c>
    </row>
    <row r="6587">
      <c r="B6587" s="25" t="n"/>
      <c r="I6587" s="25" t="n"/>
      <c r="U6587" s="19">
        <f>IF(AND($V6587='設定'!$C$4,COUNTIF('商品マスタ'!$B$6:$B$1005,$W6587)=0),N(U6586)+1,N(U6586))</f>
        <v/>
      </c>
      <c r="V6587" s="19">
        <f>IF($B6587="","",TEXT($B6587,"0000"))</f>
        <v/>
      </c>
      <c r="W6587" s="19">
        <f>IF($I6587="","",IF(ISNUMBER($I6587),TEXT($I6587,"0"),$I6587))</f>
        <v/>
      </c>
    </row>
    <row r="6588">
      <c r="B6588" s="25" t="n"/>
      <c r="I6588" s="25" t="n"/>
      <c r="U6588" s="19">
        <f>IF(AND($V6588='設定'!$C$4,COUNTIF('商品マスタ'!$B$6:$B$1005,$W6588)=0),N(U6587)+1,N(U6587))</f>
        <v/>
      </c>
      <c r="V6588" s="19">
        <f>IF($B6588="","",TEXT($B6588,"0000"))</f>
        <v/>
      </c>
      <c r="W6588" s="19">
        <f>IF($I6588="","",IF(ISNUMBER($I6588),TEXT($I6588,"0"),$I6588))</f>
        <v/>
      </c>
    </row>
    <row r="6589">
      <c r="B6589" s="25" t="n"/>
      <c r="I6589" s="25" t="n"/>
      <c r="U6589" s="19">
        <f>IF(AND($V6589='設定'!$C$4,COUNTIF('商品マスタ'!$B$6:$B$1005,$W6589)=0),N(U6588)+1,N(U6588))</f>
        <v/>
      </c>
      <c r="V6589" s="19">
        <f>IF($B6589="","",TEXT($B6589,"0000"))</f>
        <v/>
      </c>
      <c r="W6589" s="19">
        <f>IF($I6589="","",IF(ISNUMBER($I6589),TEXT($I6589,"0"),$I6589))</f>
        <v/>
      </c>
    </row>
    <row r="6590">
      <c r="B6590" s="25" t="n"/>
      <c r="I6590" s="25" t="n"/>
      <c r="U6590" s="19">
        <f>IF(AND($V6590='設定'!$C$4,COUNTIF('商品マスタ'!$B$6:$B$1005,$W6590)=0),N(U6589)+1,N(U6589))</f>
        <v/>
      </c>
      <c r="V6590" s="19">
        <f>IF($B6590="","",TEXT($B6590,"0000"))</f>
        <v/>
      </c>
      <c r="W6590" s="19">
        <f>IF($I6590="","",IF(ISNUMBER($I6590),TEXT($I6590,"0"),$I6590))</f>
        <v/>
      </c>
    </row>
    <row r="6591">
      <c r="B6591" s="25" t="n"/>
      <c r="I6591" s="25" t="n"/>
      <c r="U6591" s="19">
        <f>IF(AND($V6591='設定'!$C$4,COUNTIF('商品マスタ'!$B$6:$B$1005,$W6591)=0),N(U6590)+1,N(U6590))</f>
        <v/>
      </c>
      <c r="V6591" s="19">
        <f>IF($B6591="","",TEXT($B6591,"0000"))</f>
        <v/>
      </c>
      <c r="W6591" s="19">
        <f>IF($I6591="","",IF(ISNUMBER($I6591),TEXT($I6591,"0"),$I6591))</f>
        <v/>
      </c>
    </row>
    <row r="6592">
      <c r="B6592" s="25" t="n"/>
      <c r="I6592" s="25" t="n"/>
      <c r="U6592" s="19">
        <f>IF(AND($V6592='設定'!$C$4,COUNTIF('商品マスタ'!$B$6:$B$1005,$W6592)=0),N(U6591)+1,N(U6591))</f>
        <v/>
      </c>
      <c r="V6592" s="19">
        <f>IF($B6592="","",TEXT($B6592,"0000"))</f>
        <v/>
      </c>
      <c r="W6592" s="19">
        <f>IF($I6592="","",IF(ISNUMBER($I6592),TEXT($I6592,"0"),$I6592))</f>
        <v/>
      </c>
    </row>
    <row r="6593">
      <c r="B6593" s="25" t="n"/>
      <c r="I6593" s="25" t="n"/>
      <c r="U6593" s="19">
        <f>IF(AND($V6593='設定'!$C$4,COUNTIF('商品マスタ'!$B$6:$B$1005,$W6593)=0),N(U6592)+1,N(U6592))</f>
        <v/>
      </c>
      <c r="V6593" s="19">
        <f>IF($B6593="","",TEXT($B6593,"0000"))</f>
        <v/>
      </c>
      <c r="W6593" s="19">
        <f>IF($I6593="","",IF(ISNUMBER($I6593),TEXT($I6593,"0"),$I6593))</f>
        <v/>
      </c>
    </row>
    <row r="6594">
      <c r="B6594" s="25" t="n"/>
      <c r="I6594" s="25" t="n"/>
      <c r="U6594" s="19">
        <f>IF(AND($V6594='設定'!$C$4,COUNTIF('商品マスタ'!$B$6:$B$1005,$W6594)=0),N(U6593)+1,N(U6593))</f>
        <v/>
      </c>
      <c r="V6594" s="19">
        <f>IF($B6594="","",TEXT($B6594,"0000"))</f>
        <v/>
      </c>
      <c r="W6594" s="19">
        <f>IF($I6594="","",IF(ISNUMBER($I6594),TEXT($I6594,"0"),$I6594))</f>
        <v/>
      </c>
    </row>
    <row r="6595">
      <c r="B6595" s="25" t="n"/>
      <c r="I6595" s="25" t="n"/>
      <c r="U6595" s="19">
        <f>IF(AND($V6595='設定'!$C$4,COUNTIF('商品マスタ'!$B$6:$B$1005,$W6595)=0),N(U6594)+1,N(U6594))</f>
        <v/>
      </c>
      <c r="V6595" s="19">
        <f>IF($B6595="","",TEXT($B6595,"0000"))</f>
        <v/>
      </c>
      <c r="W6595" s="19">
        <f>IF($I6595="","",IF(ISNUMBER($I6595),TEXT($I6595,"0"),$I6595))</f>
        <v/>
      </c>
    </row>
    <row r="6596">
      <c r="B6596" s="25" t="n"/>
      <c r="I6596" s="25" t="n"/>
      <c r="U6596" s="19">
        <f>IF(AND($V6596='設定'!$C$4,COUNTIF('商品マスタ'!$B$6:$B$1005,$W6596)=0),N(U6595)+1,N(U6595))</f>
        <v/>
      </c>
      <c r="V6596" s="19">
        <f>IF($B6596="","",TEXT($B6596,"0000"))</f>
        <v/>
      </c>
      <c r="W6596" s="19">
        <f>IF($I6596="","",IF(ISNUMBER($I6596),TEXT($I6596,"0"),$I6596))</f>
        <v/>
      </c>
    </row>
    <row r="6597">
      <c r="B6597" s="25" t="n"/>
      <c r="I6597" s="25" t="n"/>
      <c r="U6597" s="19">
        <f>IF(AND($V6597='設定'!$C$4,COUNTIF('商品マスタ'!$B$6:$B$1005,$W6597)=0),N(U6596)+1,N(U6596))</f>
        <v/>
      </c>
      <c r="V6597" s="19">
        <f>IF($B6597="","",TEXT($B6597,"0000"))</f>
        <v/>
      </c>
      <c r="W6597" s="19">
        <f>IF($I6597="","",IF(ISNUMBER($I6597),TEXT($I6597,"0"),$I6597))</f>
        <v/>
      </c>
    </row>
    <row r="6598">
      <c r="B6598" s="25" t="n"/>
      <c r="I6598" s="25" t="n"/>
      <c r="U6598" s="19">
        <f>IF(AND($V6598='設定'!$C$4,COUNTIF('商品マスタ'!$B$6:$B$1005,$W6598)=0),N(U6597)+1,N(U6597))</f>
        <v/>
      </c>
      <c r="V6598" s="19">
        <f>IF($B6598="","",TEXT($B6598,"0000"))</f>
        <v/>
      </c>
      <c r="W6598" s="19">
        <f>IF($I6598="","",IF(ISNUMBER($I6598),TEXT($I6598,"0"),$I6598))</f>
        <v/>
      </c>
    </row>
    <row r="6599">
      <c r="B6599" s="25" t="n"/>
      <c r="I6599" s="25" t="n"/>
      <c r="U6599" s="19">
        <f>IF(AND($V6599='設定'!$C$4,COUNTIF('商品マスタ'!$B$6:$B$1005,$W6599)=0),N(U6598)+1,N(U6598))</f>
        <v/>
      </c>
      <c r="V6599" s="19">
        <f>IF($B6599="","",TEXT($B6599,"0000"))</f>
        <v/>
      </c>
      <c r="W6599" s="19">
        <f>IF($I6599="","",IF(ISNUMBER($I6599),TEXT($I6599,"0"),$I6599))</f>
        <v/>
      </c>
    </row>
    <row r="6600">
      <c r="B6600" s="25" t="n"/>
      <c r="I6600" s="25" t="n"/>
      <c r="U6600" s="19">
        <f>IF(AND($V6600='設定'!$C$4,COUNTIF('商品マスタ'!$B$6:$B$1005,$W6600)=0),N(U6599)+1,N(U6599))</f>
        <v/>
      </c>
      <c r="V6600" s="19">
        <f>IF($B6600="","",TEXT($B6600,"0000"))</f>
        <v/>
      </c>
      <c r="W6600" s="19">
        <f>IF($I6600="","",IF(ISNUMBER($I6600),TEXT($I6600,"0"),$I6600))</f>
        <v/>
      </c>
    </row>
    <row r="6601">
      <c r="B6601" s="25" t="n"/>
      <c r="I6601" s="25" t="n"/>
      <c r="U6601" s="19">
        <f>IF(AND($V6601='設定'!$C$4,COUNTIF('商品マスタ'!$B$6:$B$1005,$W6601)=0),N(U6600)+1,N(U6600))</f>
        <v/>
      </c>
      <c r="V6601" s="19">
        <f>IF($B6601="","",TEXT($B6601,"0000"))</f>
        <v/>
      </c>
      <c r="W6601" s="19">
        <f>IF($I6601="","",IF(ISNUMBER($I6601),TEXT($I6601,"0"),$I6601))</f>
        <v/>
      </c>
    </row>
    <row r="6602">
      <c r="B6602" s="25" t="n"/>
      <c r="I6602" s="25" t="n"/>
      <c r="U6602" s="19">
        <f>IF(AND($V6602='設定'!$C$4,COUNTIF('商品マスタ'!$B$6:$B$1005,$W6602)=0),N(U6601)+1,N(U6601))</f>
        <v/>
      </c>
      <c r="V6602" s="19">
        <f>IF($B6602="","",TEXT($B6602,"0000"))</f>
        <v/>
      </c>
      <c r="W6602" s="19">
        <f>IF($I6602="","",IF(ISNUMBER($I6602),TEXT($I6602,"0"),$I6602))</f>
        <v/>
      </c>
    </row>
    <row r="6603">
      <c r="B6603" s="25" t="n"/>
      <c r="I6603" s="25" t="n"/>
      <c r="U6603" s="19">
        <f>IF(AND($V6603='設定'!$C$4,COUNTIF('商品マスタ'!$B$6:$B$1005,$W6603)=0),N(U6602)+1,N(U6602))</f>
        <v/>
      </c>
      <c r="V6603" s="19">
        <f>IF($B6603="","",TEXT($B6603,"0000"))</f>
        <v/>
      </c>
      <c r="W6603" s="19">
        <f>IF($I6603="","",IF(ISNUMBER($I6603),TEXT($I6603,"0"),$I6603))</f>
        <v/>
      </c>
    </row>
    <row r="6604">
      <c r="B6604" s="25" t="n"/>
      <c r="I6604" s="25" t="n"/>
      <c r="U6604" s="19">
        <f>IF(AND($V6604='設定'!$C$4,COUNTIF('商品マスタ'!$B$6:$B$1005,$W6604)=0),N(U6603)+1,N(U6603))</f>
        <v/>
      </c>
      <c r="V6604" s="19">
        <f>IF($B6604="","",TEXT($B6604,"0000"))</f>
        <v/>
      </c>
      <c r="W6604" s="19">
        <f>IF($I6604="","",IF(ISNUMBER($I6604),TEXT($I6604,"0"),$I6604))</f>
        <v/>
      </c>
    </row>
    <row r="6605">
      <c r="B6605" s="25" t="n"/>
      <c r="I6605" s="25" t="n"/>
      <c r="U6605" s="19">
        <f>IF(AND($V6605='設定'!$C$4,COUNTIF('商品マスタ'!$B$6:$B$1005,$W6605)=0),N(U6604)+1,N(U6604))</f>
        <v/>
      </c>
      <c r="V6605" s="19">
        <f>IF($B6605="","",TEXT($B6605,"0000"))</f>
        <v/>
      </c>
      <c r="W6605" s="19">
        <f>IF($I6605="","",IF(ISNUMBER($I6605),TEXT($I6605,"0"),$I6605))</f>
        <v/>
      </c>
    </row>
    <row r="6606">
      <c r="B6606" s="25" t="n"/>
      <c r="I6606" s="25" t="n"/>
      <c r="U6606" s="19">
        <f>IF(AND($V6606='設定'!$C$4,COUNTIF('商品マスタ'!$B$6:$B$1005,$W6606)=0),N(U6605)+1,N(U6605))</f>
        <v/>
      </c>
      <c r="V6606" s="19">
        <f>IF($B6606="","",TEXT($B6606,"0000"))</f>
        <v/>
      </c>
      <c r="W6606" s="19">
        <f>IF($I6606="","",IF(ISNUMBER($I6606),TEXT($I6606,"0"),$I6606))</f>
        <v/>
      </c>
    </row>
    <row r="6607">
      <c r="B6607" s="25" t="n"/>
      <c r="I6607" s="25" t="n"/>
      <c r="U6607" s="19">
        <f>IF(AND($V6607='設定'!$C$4,COUNTIF('商品マスタ'!$B$6:$B$1005,$W6607)=0),N(U6606)+1,N(U6606))</f>
        <v/>
      </c>
      <c r="V6607" s="19">
        <f>IF($B6607="","",TEXT($B6607,"0000"))</f>
        <v/>
      </c>
      <c r="W6607" s="19">
        <f>IF($I6607="","",IF(ISNUMBER($I6607),TEXT($I6607,"0"),$I6607))</f>
        <v/>
      </c>
    </row>
    <row r="6608">
      <c r="B6608" s="25" t="n"/>
      <c r="I6608" s="25" t="n"/>
      <c r="U6608" s="19">
        <f>IF(AND($V6608='設定'!$C$4,COUNTIF('商品マスタ'!$B$6:$B$1005,$W6608)=0),N(U6607)+1,N(U6607))</f>
        <v/>
      </c>
      <c r="V6608" s="19">
        <f>IF($B6608="","",TEXT($B6608,"0000"))</f>
        <v/>
      </c>
      <c r="W6608" s="19">
        <f>IF($I6608="","",IF(ISNUMBER($I6608),TEXT($I6608,"0"),$I6608))</f>
        <v/>
      </c>
    </row>
    <row r="6609">
      <c r="B6609" s="25" t="n"/>
      <c r="I6609" s="25" t="n"/>
      <c r="U6609" s="19">
        <f>IF(AND($V6609='設定'!$C$4,COUNTIF('商品マスタ'!$B$6:$B$1005,$W6609)=0),N(U6608)+1,N(U6608))</f>
        <v/>
      </c>
      <c r="V6609" s="19">
        <f>IF($B6609="","",TEXT($B6609,"0000"))</f>
        <v/>
      </c>
      <c r="W6609" s="19">
        <f>IF($I6609="","",IF(ISNUMBER($I6609),TEXT($I6609,"0"),$I6609))</f>
        <v/>
      </c>
    </row>
    <row r="6610">
      <c r="B6610" s="25" t="n"/>
      <c r="I6610" s="25" t="n"/>
      <c r="U6610" s="19">
        <f>IF(AND($V6610='設定'!$C$4,COUNTIF('商品マスタ'!$B$6:$B$1005,$W6610)=0),N(U6609)+1,N(U6609))</f>
        <v/>
      </c>
      <c r="V6610" s="19">
        <f>IF($B6610="","",TEXT($B6610,"0000"))</f>
        <v/>
      </c>
      <c r="W6610" s="19">
        <f>IF($I6610="","",IF(ISNUMBER($I6610),TEXT($I6610,"0"),$I6610))</f>
        <v/>
      </c>
    </row>
    <row r="6611">
      <c r="B6611" s="25" t="n"/>
      <c r="I6611" s="25" t="n"/>
      <c r="U6611" s="19">
        <f>IF(AND($V6611='設定'!$C$4,COUNTIF('商品マスタ'!$B$6:$B$1005,$W6611)=0),N(U6610)+1,N(U6610))</f>
        <v/>
      </c>
      <c r="V6611" s="19">
        <f>IF($B6611="","",TEXT($B6611,"0000"))</f>
        <v/>
      </c>
      <c r="W6611" s="19">
        <f>IF($I6611="","",IF(ISNUMBER($I6611),TEXT($I6611,"0"),$I6611))</f>
        <v/>
      </c>
    </row>
    <row r="6612">
      <c r="B6612" s="25" t="n"/>
      <c r="I6612" s="25" t="n"/>
      <c r="U6612" s="19">
        <f>IF(AND($V6612='設定'!$C$4,COUNTIF('商品マスタ'!$B$6:$B$1005,$W6612)=0),N(U6611)+1,N(U6611))</f>
        <v/>
      </c>
      <c r="V6612" s="19">
        <f>IF($B6612="","",TEXT($B6612,"0000"))</f>
        <v/>
      </c>
      <c r="W6612" s="19">
        <f>IF($I6612="","",IF(ISNUMBER($I6612),TEXT($I6612,"0"),$I6612))</f>
        <v/>
      </c>
    </row>
    <row r="6613">
      <c r="B6613" s="25" t="n"/>
      <c r="I6613" s="25" t="n"/>
      <c r="U6613" s="19">
        <f>IF(AND($V6613='設定'!$C$4,COUNTIF('商品マスタ'!$B$6:$B$1005,$W6613)=0),N(U6612)+1,N(U6612))</f>
        <v/>
      </c>
      <c r="V6613" s="19">
        <f>IF($B6613="","",TEXT($B6613,"0000"))</f>
        <v/>
      </c>
      <c r="W6613" s="19">
        <f>IF($I6613="","",IF(ISNUMBER($I6613),TEXT($I6613,"0"),$I6613))</f>
        <v/>
      </c>
    </row>
    <row r="6614">
      <c r="B6614" s="25" t="n"/>
      <c r="I6614" s="25" t="n"/>
      <c r="U6614" s="19">
        <f>IF(AND($V6614='設定'!$C$4,COUNTIF('商品マスタ'!$B$6:$B$1005,$W6614)=0),N(U6613)+1,N(U6613))</f>
        <v/>
      </c>
      <c r="V6614" s="19">
        <f>IF($B6614="","",TEXT($B6614,"0000"))</f>
        <v/>
      </c>
      <c r="W6614" s="19">
        <f>IF($I6614="","",IF(ISNUMBER($I6614),TEXT($I6614,"0"),$I6614))</f>
        <v/>
      </c>
    </row>
    <row r="6615">
      <c r="B6615" s="25" t="n"/>
      <c r="I6615" s="25" t="n"/>
      <c r="U6615" s="19">
        <f>IF(AND($V6615='設定'!$C$4,COUNTIF('商品マスタ'!$B$6:$B$1005,$W6615)=0),N(U6614)+1,N(U6614))</f>
        <v/>
      </c>
      <c r="V6615" s="19">
        <f>IF($B6615="","",TEXT($B6615,"0000"))</f>
        <v/>
      </c>
      <c r="W6615" s="19">
        <f>IF($I6615="","",IF(ISNUMBER($I6615),TEXT($I6615,"0"),$I6615))</f>
        <v/>
      </c>
    </row>
    <row r="6616">
      <c r="B6616" s="25" t="n"/>
      <c r="I6616" s="25" t="n"/>
      <c r="U6616" s="19">
        <f>IF(AND($V6616='設定'!$C$4,COUNTIF('商品マスタ'!$B$6:$B$1005,$W6616)=0),N(U6615)+1,N(U6615))</f>
        <v/>
      </c>
      <c r="V6616" s="19">
        <f>IF($B6616="","",TEXT($B6616,"0000"))</f>
        <v/>
      </c>
      <c r="W6616" s="19">
        <f>IF($I6616="","",IF(ISNUMBER($I6616),TEXT($I6616,"0"),$I6616))</f>
        <v/>
      </c>
    </row>
    <row r="6617">
      <c r="B6617" s="25" t="n"/>
      <c r="I6617" s="25" t="n"/>
      <c r="U6617" s="19">
        <f>IF(AND($V6617='設定'!$C$4,COUNTIF('商品マスタ'!$B$6:$B$1005,$W6617)=0),N(U6616)+1,N(U6616))</f>
        <v/>
      </c>
      <c r="V6617" s="19">
        <f>IF($B6617="","",TEXT($B6617,"0000"))</f>
        <v/>
      </c>
      <c r="W6617" s="19">
        <f>IF($I6617="","",IF(ISNUMBER($I6617),TEXT($I6617,"0"),$I6617))</f>
        <v/>
      </c>
    </row>
    <row r="6618">
      <c r="B6618" s="25" t="n"/>
      <c r="I6618" s="25" t="n"/>
      <c r="U6618" s="19">
        <f>IF(AND($V6618='設定'!$C$4,COUNTIF('商品マスタ'!$B$6:$B$1005,$W6618)=0),N(U6617)+1,N(U6617))</f>
        <v/>
      </c>
      <c r="V6618" s="19">
        <f>IF($B6618="","",TEXT($B6618,"0000"))</f>
        <v/>
      </c>
      <c r="W6618" s="19">
        <f>IF($I6618="","",IF(ISNUMBER($I6618),TEXT($I6618,"0"),$I6618))</f>
        <v/>
      </c>
    </row>
    <row r="6619">
      <c r="B6619" s="25" t="n"/>
      <c r="I6619" s="25" t="n"/>
      <c r="U6619" s="19">
        <f>IF(AND($V6619='設定'!$C$4,COUNTIF('商品マスタ'!$B$6:$B$1005,$W6619)=0),N(U6618)+1,N(U6618))</f>
        <v/>
      </c>
      <c r="V6619" s="19">
        <f>IF($B6619="","",TEXT($B6619,"0000"))</f>
        <v/>
      </c>
      <c r="W6619" s="19">
        <f>IF($I6619="","",IF(ISNUMBER($I6619),TEXT($I6619,"0"),$I6619))</f>
        <v/>
      </c>
    </row>
    <row r="6620">
      <c r="B6620" s="25" t="n"/>
      <c r="I6620" s="25" t="n"/>
      <c r="U6620" s="19">
        <f>IF(AND($V6620='設定'!$C$4,COUNTIF('商品マスタ'!$B$6:$B$1005,$W6620)=0),N(U6619)+1,N(U6619))</f>
        <v/>
      </c>
      <c r="V6620" s="19">
        <f>IF($B6620="","",TEXT($B6620,"0000"))</f>
        <v/>
      </c>
      <c r="W6620" s="19">
        <f>IF($I6620="","",IF(ISNUMBER($I6620),TEXT($I6620,"0"),$I6620))</f>
        <v/>
      </c>
    </row>
    <row r="6621">
      <c r="B6621" s="25" t="n"/>
      <c r="I6621" s="25" t="n"/>
      <c r="U6621" s="19">
        <f>IF(AND($V6621='設定'!$C$4,COUNTIF('商品マスタ'!$B$6:$B$1005,$W6621)=0),N(U6620)+1,N(U6620))</f>
        <v/>
      </c>
      <c r="V6621" s="19">
        <f>IF($B6621="","",TEXT($B6621,"0000"))</f>
        <v/>
      </c>
      <c r="W6621" s="19">
        <f>IF($I6621="","",IF(ISNUMBER($I6621),TEXT($I6621,"0"),$I6621))</f>
        <v/>
      </c>
    </row>
    <row r="6622">
      <c r="B6622" s="25" t="n"/>
      <c r="I6622" s="25" t="n"/>
      <c r="U6622" s="19">
        <f>IF(AND($V6622='設定'!$C$4,COUNTIF('商品マスタ'!$B$6:$B$1005,$W6622)=0),N(U6621)+1,N(U6621))</f>
        <v/>
      </c>
      <c r="V6622" s="19">
        <f>IF($B6622="","",TEXT($B6622,"0000"))</f>
        <v/>
      </c>
      <c r="W6622" s="19">
        <f>IF($I6622="","",IF(ISNUMBER($I6622),TEXT($I6622,"0"),$I6622))</f>
        <v/>
      </c>
    </row>
    <row r="6623">
      <c r="B6623" s="25" t="n"/>
      <c r="I6623" s="25" t="n"/>
      <c r="U6623" s="19">
        <f>IF(AND($V6623='設定'!$C$4,COUNTIF('商品マスタ'!$B$6:$B$1005,$W6623)=0),N(U6622)+1,N(U6622))</f>
        <v/>
      </c>
      <c r="V6623" s="19">
        <f>IF($B6623="","",TEXT($B6623,"0000"))</f>
        <v/>
      </c>
      <c r="W6623" s="19">
        <f>IF($I6623="","",IF(ISNUMBER($I6623),TEXT($I6623,"0"),$I6623))</f>
        <v/>
      </c>
    </row>
    <row r="6624">
      <c r="B6624" s="25" t="n"/>
      <c r="I6624" s="25" t="n"/>
      <c r="U6624" s="19">
        <f>IF(AND($V6624='設定'!$C$4,COUNTIF('商品マスタ'!$B$6:$B$1005,$W6624)=0),N(U6623)+1,N(U6623))</f>
        <v/>
      </c>
      <c r="V6624" s="19">
        <f>IF($B6624="","",TEXT($B6624,"0000"))</f>
        <v/>
      </c>
      <c r="W6624" s="19">
        <f>IF($I6624="","",IF(ISNUMBER($I6624),TEXT($I6624,"0"),$I6624))</f>
        <v/>
      </c>
    </row>
    <row r="6625">
      <c r="B6625" s="25" t="n"/>
      <c r="I6625" s="25" t="n"/>
      <c r="U6625" s="19">
        <f>IF(AND($V6625='設定'!$C$4,COUNTIF('商品マスタ'!$B$6:$B$1005,$W6625)=0),N(U6624)+1,N(U6624))</f>
        <v/>
      </c>
      <c r="V6625" s="19">
        <f>IF($B6625="","",TEXT($B6625,"0000"))</f>
        <v/>
      </c>
      <c r="W6625" s="19">
        <f>IF($I6625="","",IF(ISNUMBER($I6625),TEXT($I6625,"0"),$I6625))</f>
        <v/>
      </c>
    </row>
    <row r="6626">
      <c r="B6626" s="25" t="n"/>
      <c r="I6626" s="25" t="n"/>
      <c r="U6626" s="19">
        <f>IF(AND($V6626='設定'!$C$4,COUNTIF('商品マスタ'!$B$6:$B$1005,$W6626)=0),N(U6625)+1,N(U6625))</f>
        <v/>
      </c>
      <c r="V6626" s="19">
        <f>IF($B6626="","",TEXT($B6626,"0000"))</f>
        <v/>
      </c>
      <c r="W6626" s="19">
        <f>IF($I6626="","",IF(ISNUMBER($I6626),TEXT($I6626,"0"),$I6626))</f>
        <v/>
      </c>
    </row>
    <row r="6627">
      <c r="B6627" s="25" t="n"/>
      <c r="I6627" s="25" t="n"/>
      <c r="U6627" s="19">
        <f>IF(AND($V6627='設定'!$C$4,COUNTIF('商品マスタ'!$B$6:$B$1005,$W6627)=0),N(U6626)+1,N(U6626))</f>
        <v/>
      </c>
      <c r="V6627" s="19">
        <f>IF($B6627="","",TEXT($B6627,"0000"))</f>
        <v/>
      </c>
      <c r="W6627" s="19">
        <f>IF($I6627="","",IF(ISNUMBER($I6627),TEXT($I6627,"0"),$I6627))</f>
        <v/>
      </c>
    </row>
    <row r="6628">
      <c r="B6628" s="25" t="n"/>
      <c r="I6628" s="25" t="n"/>
      <c r="U6628" s="19">
        <f>IF(AND($V6628='設定'!$C$4,COUNTIF('商品マスタ'!$B$6:$B$1005,$W6628)=0),N(U6627)+1,N(U6627))</f>
        <v/>
      </c>
      <c r="V6628" s="19">
        <f>IF($B6628="","",TEXT($B6628,"0000"))</f>
        <v/>
      </c>
      <c r="W6628" s="19">
        <f>IF($I6628="","",IF(ISNUMBER($I6628),TEXT($I6628,"0"),$I6628))</f>
        <v/>
      </c>
    </row>
    <row r="6629">
      <c r="B6629" s="25" t="n"/>
      <c r="I6629" s="25" t="n"/>
      <c r="U6629" s="19">
        <f>IF(AND($V6629='設定'!$C$4,COUNTIF('商品マスタ'!$B$6:$B$1005,$W6629)=0),N(U6628)+1,N(U6628))</f>
        <v/>
      </c>
      <c r="V6629" s="19">
        <f>IF($B6629="","",TEXT($B6629,"0000"))</f>
        <v/>
      </c>
      <c r="W6629" s="19">
        <f>IF($I6629="","",IF(ISNUMBER($I6629),TEXT($I6629,"0"),$I6629))</f>
        <v/>
      </c>
    </row>
    <row r="6630">
      <c r="B6630" s="25" t="n"/>
      <c r="I6630" s="25" t="n"/>
      <c r="U6630" s="19">
        <f>IF(AND($V6630='設定'!$C$4,COUNTIF('商品マスタ'!$B$6:$B$1005,$W6630)=0),N(U6629)+1,N(U6629))</f>
        <v/>
      </c>
      <c r="V6630" s="19">
        <f>IF($B6630="","",TEXT($B6630,"0000"))</f>
        <v/>
      </c>
      <c r="W6630" s="19">
        <f>IF($I6630="","",IF(ISNUMBER($I6630),TEXT($I6630,"0"),$I6630))</f>
        <v/>
      </c>
    </row>
    <row r="6631">
      <c r="B6631" s="25" t="n"/>
      <c r="I6631" s="25" t="n"/>
      <c r="U6631" s="19">
        <f>IF(AND($V6631='設定'!$C$4,COUNTIF('商品マスタ'!$B$6:$B$1005,$W6631)=0),N(U6630)+1,N(U6630))</f>
        <v/>
      </c>
      <c r="V6631" s="19">
        <f>IF($B6631="","",TEXT($B6631,"0000"))</f>
        <v/>
      </c>
      <c r="W6631" s="19">
        <f>IF($I6631="","",IF(ISNUMBER($I6631),TEXT($I6631,"0"),$I6631))</f>
        <v/>
      </c>
    </row>
    <row r="6632">
      <c r="B6632" s="25" t="n"/>
      <c r="I6632" s="25" t="n"/>
      <c r="U6632" s="19">
        <f>IF(AND($V6632='設定'!$C$4,COUNTIF('商品マスタ'!$B$6:$B$1005,$W6632)=0),N(U6631)+1,N(U6631))</f>
        <v/>
      </c>
      <c r="V6632" s="19">
        <f>IF($B6632="","",TEXT($B6632,"0000"))</f>
        <v/>
      </c>
      <c r="W6632" s="19">
        <f>IF($I6632="","",IF(ISNUMBER($I6632),TEXT($I6632,"0"),$I6632))</f>
        <v/>
      </c>
    </row>
    <row r="6633">
      <c r="B6633" s="25" t="n"/>
      <c r="I6633" s="25" t="n"/>
      <c r="U6633" s="19">
        <f>IF(AND($V6633='設定'!$C$4,COUNTIF('商品マスタ'!$B$6:$B$1005,$W6633)=0),N(U6632)+1,N(U6632))</f>
        <v/>
      </c>
      <c r="V6633" s="19">
        <f>IF($B6633="","",TEXT($B6633,"0000"))</f>
        <v/>
      </c>
      <c r="W6633" s="19">
        <f>IF($I6633="","",IF(ISNUMBER($I6633),TEXT($I6633,"0"),$I6633))</f>
        <v/>
      </c>
    </row>
    <row r="6634">
      <c r="B6634" s="25" t="n"/>
      <c r="I6634" s="25" t="n"/>
      <c r="U6634" s="19">
        <f>IF(AND($V6634='設定'!$C$4,COUNTIF('商品マスタ'!$B$6:$B$1005,$W6634)=0),N(U6633)+1,N(U6633))</f>
        <v/>
      </c>
      <c r="V6634" s="19">
        <f>IF($B6634="","",TEXT($B6634,"0000"))</f>
        <v/>
      </c>
      <c r="W6634" s="19">
        <f>IF($I6634="","",IF(ISNUMBER($I6634),TEXT($I6634,"0"),$I6634))</f>
        <v/>
      </c>
    </row>
    <row r="6635">
      <c r="B6635" s="25" t="n"/>
      <c r="I6635" s="25" t="n"/>
      <c r="U6635" s="19">
        <f>IF(AND($V6635='設定'!$C$4,COUNTIF('商品マスタ'!$B$6:$B$1005,$W6635)=0),N(U6634)+1,N(U6634))</f>
        <v/>
      </c>
      <c r="V6635" s="19">
        <f>IF($B6635="","",TEXT($B6635,"0000"))</f>
        <v/>
      </c>
      <c r="W6635" s="19">
        <f>IF($I6635="","",IF(ISNUMBER($I6635),TEXT($I6635,"0"),$I6635))</f>
        <v/>
      </c>
    </row>
    <row r="6636">
      <c r="B6636" s="25" t="n"/>
      <c r="I6636" s="25" t="n"/>
      <c r="U6636" s="19">
        <f>IF(AND($V6636='設定'!$C$4,COUNTIF('商品マスタ'!$B$6:$B$1005,$W6636)=0),N(U6635)+1,N(U6635))</f>
        <v/>
      </c>
      <c r="V6636" s="19">
        <f>IF($B6636="","",TEXT($B6636,"0000"))</f>
        <v/>
      </c>
      <c r="W6636" s="19">
        <f>IF($I6636="","",IF(ISNUMBER($I6636),TEXT($I6636,"0"),$I6636))</f>
        <v/>
      </c>
    </row>
    <row r="6637">
      <c r="B6637" s="25" t="n"/>
      <c r="I6637" s="25" t="n"/>
      <c r="U6637" s="19">
        <f>IF(AND($V6637='設定'!$C$4,COUNTIF('商品マスタ'!$B$6:$B$1005,$W6637)=0),N(U6636)+1,N(U6636))</f>
        <v/>
      </c>
      <c r="V6637" s="19">
        <f>IF($B6637="","",TEXT($B6637,"0000"))</f>
        <v/>
      </c>
      <c r="W6637" s="19">
        <f>IF($I6637="","",IF(ISNUMBER($I6637),TEXT($I6637,"0"),$I6637))</f>
        <v/>
      </c>
    </row>
    <row r="6638">
      <c r="B6638" s="25" t="n"/>
      <c r="I6638" s="25" t="n"/>
      <c r="U6638" s="19">
        <f>IF(AND($V6638='設定'!$C$4,COUNTIF('商品マスタ'!$B$6:$B$1005,$W6638)=0),N(U6637)+1,N(U6637))</f>
        <v/>
      </c>
      <c r="V6638" s="19">
        <f>IF($B6638="","",TEXT($B6638,"0000"))</f>
        <v/>
      </c>
      <c r="W6638" s="19">
        <f>IF($I6638="","",IF(ISNUMBER($I6638),TEXT($I6638,"0"),$I6638))</f>
        <v/>
      </c>
    </row>
    <row r="6639">
      <c r="B6639" s="25" t="n"/>
      <c r="I6639" s="25" t="n"/>
      <c r="U6639" s="19">
        <f>IF(AND($V6639='設定'!$C$4,COUNTIF('商品マスタ'!$B$6:$B$1005,$W6639)=0),N(U6638)+1,N(U6638))</f>
        <v/>
      </c>
      <c r="V6639" s="19">
        <f>IF($B6639="","",TEXT($B6639,"0000"))</f>
        <v/>
      </c>
      <c r="W6639" s="19">
        <f>IF($I6639="","",IF(ISNUMBER($I6639),TEXT($I6639,"0"),$I6639))</f>
        <v/>
      </c>
    </row>
    <row r="6640">
      <c r="B6640" s="25" t="n"/>
      <c r="I6640" s="25" t="n"/>
      <c r="U6640" s="19">
        <f>IF(AND($V6640='設定'!$C$4,COUNTIF('商品マスタ'!$B$6:$B$1005,$W6640)=0),N(U6639)+1,N(U6639))</f>
        <v/>
      </c>
      <c r="V6640" s="19">
        <f>IF($B6640="","",TEXT($B6640,"0000"))</f>
        <v/>
      </c>
      <c r="W6640" s="19">
        <f>IF($I6640="","",IF(ISNUMBER($I6640),TEXT($I6640,"0"),$I6640))</f>
        <v/>
      </c>
    </row>
    <row r="6641">
      <c r="B6641" s="25" t="n"/>
      <c r="I6641" s="25" t="n"/>
      <c r="U6641" s="19">
        <f>IF(AND($V6641='設定'!$C$4,COUNTIF('商品マスタ'!$B$6:$B$1005,$W6641)=0),N(U6640)+1,N(U6640))</f>
        <v/>
      </c>
      <c r="V6641" s="19">
        <f>IF($B6641="","",TEXT($B6641,"0000"))</f>
        <v/>
      </c>
      <c r="W6641" s="19">
        <f>IF($I6641="","",IF(ISNUMBER($I6641),TEXT($I6641,"0"),$I6641))</f>
        <v/>
      </c>
    </row>
    <row r="6642">
      <c r="B6642" s="25" t="n"/>
      <c r="I6642" s="25" t="n"/>
      <c r="U6642" s="19">
        <f>IF(AND($V6642='設定'!$C$4,COUNTIF('商品マスタ'!$B$6:$B$1005,$W6642)=0),N(U6641)+1,N(U6641))</f>
        <v/>
      </c>
      <c r="V6642" s="19">
        <f>IF($B6642="","",TEXT($B6642,"0000"))</f>
        <v/>
      </c>
      <c r="W6642" s="19">
        <f>IF($I6642="","",IF(ISNUMBER($I6642),TEXT($I6642,"0"),$I6642))</f>
        <v/>
      </c>
    </row>
    <row r="6643">
      <c r="B6643" s="25" t="n"/>
      <c r="I6643" s="25" t="n"/>
      <c r="U6643" s="19">
        <f>IF(AND($V6643='設定'!$C$4,COUNTIF('商品マスタ'!$B$6:$B$1005,$W6643)=0),N(U6642)+1,N(U6642))</f>
        <v/>
      </c>
      <c r="V6643" s="19">
        <f>IF($B6643="","",TEXT($B6643,"0000"))</f>
        <v/>
      </c>
      <c r="W6643" s="19">
        <f>IF($I6643="","",IF(ISNUMBER($I6643),TEXT($I6643,"0"),$I6643))</f>
        <v/>
      </c>
    </row>
    <row r="6644">
      <c r="B6644" s="25" t="n"/>
      <c r="I6644" s="25" t="n"/>
      <c r="U6644" s="19">
        <f>IF(AND($V6644='設定'!$C$4,COUNTIF('商品マスタ'!$B$6:$B$1005,$W6644)=0),N(U6643)+1,N(U6643))</f>
        <v/>
      </c>
      <c r="V6644" s="19">
        <f>IF($B6644="","",TEXT($B6644,"0000"))</f>
        <v/>
      </c>
      <c r="W6644" s="19">
        <f>IF($I6644="","",IF(ISNUMBER($I6644),TEXT($I6644,"0"),$I6644))</f>
        <v/>
      </c>
    </row>
    <row r="6645">
      <c r="B6645" s="25" t="n"/>
      <c r="I6645" s="25" t="n"/>
      <c r="U6645" s="19">
        <f>IF(AND($V6645='設定'!$C$4,COUNTIF('商品マスタ'!$B$6:$B$1005,$W6645)=0),N(U6644)+1,N(U6644))</f>
        <v/>
      </c>
      <c r="V6645" s="19">
        <f>IF($B6645="","",TEXT($B6645,"0000"))</f>
        <v/>
      </c>
      <c r="W6645" s="19">
        <f>IF($I6645="","",IF(ISNUMBER($I6645),TEXT($I6645,"0"),$I6645))</f>
        <v/>
      </c>
    </row>
    <row r="6646">
      <c r="B6646" s="25" t="n"/>
      <c r="I6646" s="25" t="n"/>
      <c r="U6646" s="19">
        <f>IF(AND($V6646='設定'!$C$4,COUNTIF('商品マスタ'!$B$6:$B$1005,$W6646)=0),N(U6645)+1,N(U6645))</f>
        <v/>
      </c>
      <c r="V6646" s="19">
        <f>IF($B6646="","",TEXT($B6646,"0000"))</f>
        <v/>
      </c>
      <c r="W6646" s="19">
        <f>IF($I6646="","",IF(ISNUMBER($I6646),TEXT($I6646,"0"),$I6646))</f>
        <v/>
      </c>
    </row>
    <row r="6647">
      <c r="B6647" s="25" t="n"/>
      <c r="I6647" s="25" t="n"/>
      <c r="U6647" s="19">
        <f>IF(AND($V6647='設定'!$C$4,COUNTIF('商品マスタ'!$B$6:$B$1005,$W6647)=0),N(U6646)+1,N(U6646))</f>
        <v/>
      </c>
      <c r="V6647" s="19">
        <f>IF($B6647="","",TEXT($B6647,"0000"))</f>
        <v/>
      </c>
      <c r="W6647" s="19">
        <f>IF($I6647="","",IF(ISNUMBER($I6647),TEXT($I6647,"0"),$I6647))</f>
        <v/>
      </c>
    </row>
    <row r="6648">
      <c r="B6648" s="25" t="n"/>
      <c r="I6648" s="25" t="n"/>
      <c r="U6648" s="19">
        <f>IF(AND($V6648='設定'!$C$4,COUNTIF('商品マスタ'!$B$6:$B$1005,$W6648)=0),N(U6647)+1,N(U6647))</f>
        <v/>
      </c>
      <c r="V6648" s="19">
        <f>IF($B6648="","",TEXT($B6648,"0000"))</f>
        <v/>
      </c>
      <c r="W6648" s="19">
        <f>IF($I6648="","",IF(ISNUMBER($I6648),TEXT($I6648,"0"),$I6648))</f>
        <v/>
      </c>
    </row>
    <row r="6649">
      <c r="B6649" s="25" t="n"/>
      <c r="I6649" s="25" t="n"/>
      <c r="U6649" s="19">
        <f>IF(AND($V6649='設定'!$C$4,COUNTIF('商品マスタ'!$B$6:$B$1005,$W6649)=0),N(U6648)+1,N(U6648))</f>
        <v/>
      </c>
      <c r="V6649" s="19">
        <f>IF($B6649="","",TEXT($B6649,"0000"))</f>
        <v/>
      </c>
      <c r="W6649" s="19">
        <f>IF($I6649="","",IF(ISNUMBER($I6649),TEXT($I6649,"0"),$I6649))</f>
        <v/>
      </c>
    </row>
    <row r="6650">
      <c r="B6650" s="25" t="n"/>
      <c r="I6650" s="25" t="n"/>
      <c r="U6650" s="19">
        <f>IF(AND($V6650='設定'!$C$4,COUNTIF('商品マスタ'!$B$6:$B$1005,$W6650)=0),N(U6649)+1,N(U6649))</f>
        <v/>
      </c>
      <c r="V6650" s="19">
        <f>IF($B6650="","",TEXT($B6650,"0000"))</f>
        <v/>
      </c>
      <c r="W6650" s="19">
        <f>IF($I6650="","",IF(ISNUMBER($I6650),TEXT($I6650,"0"),$I6650))</f>
        <v/>
      </c>
    </row>
    <row r="6651">
      <c r="B6651" s="25" t="n"/>
      <c r="I6651" s="25" t="n"/>
      <c r="U6651" s="19">
        <f>IF(AND($V6651='設定'!$C$4,COUNTIF('商品マスタ'!$B$6:$B$1005,$W6651)=0),N(U6650)+1,N(U6650))</f>
        <v/>
      </c>
      <c r="V6651" s="19">
        <f>IF($B6651="","",TEXT($B6651,"0000"))</f>
        <v/>
      </c>
      <c r="W6651" s="19">
        <f>IF($I6651="","",IF(ISNUMBER($I6651),TEXT($I6651,"0"),$I6651))</f>
        <v/>
      </c>
    </row>
    <row r="6652">
      <c r="B6652" s="25" t="n"/>
      <c r="I6652" s="25" t="n"/>
      <c r="U6652" s="19">
        <f>IF(AND($V6652='設定'!$C$4,COUNTIF('商品マスタ'!$B$6:$B$1005,$W6652)=0),N(U6651)+1,N(U6651))</f>
        <v/>
      </c>
      <c r="V6652" s="19">
        <f>IF($B6652="","",TEXT($B6652,"0000"))</f>
        <v/>
      </c>
      <c r="W6652" s="19">
        <f>IF($I6652="","",IF(ISNUMBER($I6652),TEXT($I6652,"0"),$I6652))</f>
        <v/>
      </c>
    </row>
    <row r="6653">
      <c r="B6653" s="25" t="n"/>
      <c r="I6653" s="25" t="n"/>
      <c r="U6653" s="19">
        <f>IF(AND($V6653='設定'!$C$4,COUNTIF('商品マスタ'!$B$6:$B$1005,$W6653)=0),N(U6652)+1,N(U6652))</f>
        <v/>
      </c>
      <c r="V6653" s="19">
        <f>IF($B6653="","",TEXT($B6653,"0000"))</f>
        <v/>
      </c>
      <c r="W6653" s="19">
        <f>IF($I6653="","",IF(ISNUMBER($I6653),TEXT($I6653,"0"),$I6653))</f>
        <v/>
      </c>
    </row>
    <row r="6654">
      <c r="B6654" s="25" t="n"/>
      <c r="I6654" s="25" t="n"/>
      <c r="U6654" s="19">
        <f>IF(AND($V6654='設定'!$C$4,COUNTIF('商品マスタ'!$B$6:$B$1005,$W6654)=0),N(U6653)+1,N(U6653))</f>
        <v/>
      </c>
      <c r="V6654" s="19">
        <f>IF($B6654="","",TEXT($B6654,"0000"))</f>
        <v/>
      </c>
      <c r="W6654" s="19">
        <f>IF($I6654="","",IF(ISNUMBER($I6654),TEXT($I6654,"0"),$I6654))</f>
        <v/>
      </c>
    </row>
    <row r="6655">
      <c r="B6655" s="25" t="n"/>
      <c r="I6655" s="25" t="n"/>
      <c r="U6655" s="19">
        <f>IF(AND($V6655='設定'!$C$4,COUNTIF('商品マスタ'!$B$6:$B$1005,$W6655)=0),N(U6654)+1,N(U6654))</f>
        <v/>
      </c>
      <c r="V6655" s="19">
        <f>IF($B6655="","",TEXT($B6655,"0000"))</f>
        <v/>
      </c>
      <c r="W6655" s="19">
        <f>IF($I6655="","",IF(ISNUMBER($I6655),TEXT($I6655,"0"),$I6655))</f>
        <v/>
      </c>
    </row>
    <row r="6656">
      <c r="B6656" s="25" t="n"/>
      <c r="I6656" s="25" t="n"/>
      <c r="U6656" s="19">
        <f>IF(AND($V6656='設定'!$C$4,COUNTIF('商品マスタ'!$B$6:$B$1005,$W6656)=0),N(U6655)+1,N(U6655))</f>
        <v/>
      </c>
      <c r="V6656" s="19">
        <f>IF($B6656="","",TEXT($B6656,"0000"))</f>
        <v/>
      </c>
      <c r="W6656" s="19">
        <f>IF($I6656="","",IF(ISNUMBER($I6656),TEXT($I6656,"0"),$I6656))</f>
        <v/>
      </c>
    </row>
    <row r="6657">
      <c r="B6657" s="25" t="n"/>
      <c r="I6657" s="25" t="n"/>
      <c r="U6657" s="19">
        <f>IF(AND($V6657='設定'!$C$4,COUNTIF('商品マスタ'!$B$6:$B$1005,$W6657)=0),N(U6656)+1,N(U6656))</f>
        <v/>
      </c>
      <c r="V6657" s="19">
        <f>IF($B6657="","",TEXT($B6657,"0000"))</f>
        <v/>
      </c>
      <c r="W6657" s="19">
        <f>IF($I6657="","",IF(ISNUMBER($I6657),TEXT($I6657,"0"),$I6657))</f>
        <v/>
      </c>
    </row>
    <row r="6658">
      <c r="B6658" s="25" t="n"/>
      <c r="I6658" s="25" t="n"/>
      <c r="U6658" s="19">
        <f>IF(AND($V6658='設定'!$C$4,COUNTIF('商品マスタ'!$B$6:$B$1005,$W6658)=0),N(U6657)+1,N(U6657))</f>
        <v/>
      </c>
      <c r="V6658" s="19">
        <f>IF($B6658="","",TEXT($B6658,"0000"))</f>
        <v/>
      </c>
      <c r="W6658" s="19">
        <f>IF($I6658="","",IF(ISNUMBER($I6658),TEXT($I6658,"0"),$I6658))</f>
        <v/>
      </c>
    </row>
    <row r="6659">
      <c r="B6659" s="25" t="n"/>
      <c r="I6659" s="25" t="n"/>
      <c r="U6659" s="19">
        <f>IF(AND($V6659='設定'!$C$4,COUNTIF('商品マスタ'!$B$6:$B$1005,$W6659)=0),N(U6658)+1,N(U6658))</f>
        <v/>
      </c>
      <c r="V6659" s="19">
        <f>IF($B6659="","",TEXT($B6659,"0000"))</f>
        <v/>
      </c>
      <c r="W6659" s="19">
        <f>IF($I6659="","",IF(ISNUMBER($I6659),TEXT($I6659,"0"),$I6659))</f>
        <v/>
      </c>
    </row>
    <row r="6660">
      <c r="B6660" s="25" t="n"/>
      <c r="I6660" s="25" t="n"/>
      <c r="U6660" s="19">
        <f>IF(AND($V6660='設定'!$C$4,COUNTIF('商品マスタ'!$B$6:$B$1005,$W6660)=0),N(U6659)+1,N(U6659))</f>
        <v/>
      </c>
      <c r="V6660" s="19">
        <f>IF($B6660="","",TEXT($B6660,"0000"))</f>
        <v/>
      </c>
      <c r="W6660" s="19">
        <f>IF($I6660="","",IF(ISNUMBER($I6660),TEXT($I6660,"0"),$I6660))</f>
        <v/>
      </c>
    </row>
    <row r="6661">
      <c r="B6661" s="25" t="n"/>
      <c r="I6661" s="25" t="n"/>
      <c r="U6661" s="19">
        <f>IF(AND($V6661='設定'!$C$4,COUNTIF('商品マスタ'!$B$6:$B$1005,$W6661)=0),N(U6660)+1,N(U6660))</f>
        <v/>
      </c>
      <c r="V6661" s="19">
        <f>IF($B6661="","",TEXT($B6661,"0000"))</f>
        <v/>
      </c>
      <c r="W6661" s="19">
        <f>IF($I6661="","",IF(ISNUMBER($I6661),TEXT($I6661,"0"),$I6661))</f>
        <v/>
      </c>
    </row>
    <row r="6662">
      <c r="B6662" s="25" t="n"/>
      <c r="I6662" s="25" t="n"/>
      <c r="U6662" s="19">
        <f>IF(AND($V6662='設定'!$C$4,COUNTIF('商品マスタ'!$B$6:$B$1005,$W6662)=0),N(U6661)+1,N(U6661))</f>
        <v/>
      </c>
      <c r="V6662" s="19">
        <f>IF($B6662="","",TEXT($B6662,"0000"))</f>
        <v/>
      </c>
      <c r="W6662" s="19">
        <f>IF($I6662="","",IF(ISNUMBER($I6662),TEXT($I6662,"0"),$I6662))</f>
        <v/>
      </c>
    </row>
    <row r="6663">
      <c r="B6663" s="25" t="n"/>
      <c r="I6663" s="25" t="n"/>
      <c r="U6663" s="19">
        <f>IF(AND($V6663='設定'!$C$4,COUNTIF('商品マスタ'!$B$6:$B$1005,$W6663)=0),N(U6662)+1,N(U6662))</f>
        <v/>
      </c>
      <c r="V6663" s="19">
        <f>IF($B6663="","",TEXT($B6663,"0000"))</f>
        <v/>
      </c>
      <c r="W6663" s="19">
        <f>IF($I6663="","",IF(ISNUMBER($I6663),TEXT($I6663,"0"),$I6663))</f>
        <v/>
      </c>
    </row>
    <row r="6664">
      <c r="B6664" s="25" t="n"/>
      <c r="I6664" s="25" t="n"/>
      <c r="U6664" s="19">
        <f>IF(AND($V6664='設定'!$C$4,COUNTIF('商品マスタ'!$B$6:$B$1005,$W6664)=0),N(U6663)+1,N(U6663))</f>
        <v/>
      </c>
      <c r="V6664" s="19">
        <f>IF($B6664="","",TEXT($B6664,"0000"))</f>
        <v/>
      </c>
      <c r="W6664" s="19">
        <f>IF($I6664="","",IF(ISNUMBER($I6664),TEXT($I6664,"0"),$I6664))</f>
        <v/>
      </c>
    </row>
    <row r="6665">
      <c r="B6665" s="25" t="n"/>
      <c r="I6665" s="25" t="n"/>
      <c r="U6665" s="19">
        <f>IF(AND($V6665='設定'!$C$4,COUNTIF('商品マスタ'!$B$6:$B$1005,$W6665)=0),N(U6664)+1,N(U6664))</f>
        <v/>
      </c>
      <c r="V6665" s="19">
        <f>IF($B6665="","",TEXT($B6665,"0000"))</f>
        <v/>
      </c>
      <c r="W6665" s="19">
        <f>IF($I6665="","",IF(ISNUMBER($I6665),TEXT($I6665,"0"),$I6665))</f>
        <v/>
      </c>
    </row>
    <row r="6666">
      <c r="B6666" s="25" t="n"/>
      <c r="I6666" s="25" t="n"/>
      <c r="U6666" s="19">
        <f>IF(AND($V6666='設定'!$C$4,COUNTIF('商品マスタ'!$B$6:$B$1005,$W6666)=0),N(U6665)+1,N(U6665))</f>
        <v/>
      </c>
      <c r="V6666" s="19">
        <f>IF($B6666="","",TEXT($B6666,"0000"))</f>
        <v/>
      </c>
      <c r="W6666" s="19">
        <f>IF($I6666="","",IF(ISNUMBER($I6666),TEXT($I6666,"0"),$I6666))</f>
        <v/>
      </c>
    </row>
    <row r="6667">
      <c r="B6667" s="25" t="n"/>
      <c r="I6667" s="25" t="n"/>
      <c r="U6667" s="19">
        <f>IF(AND($V6667='設定'!$C$4,COUNTIF('商品マスタ'!$B$6:$B$1005,$W6667)=0),N(U6666)+1,N(U6666))</f>
        <v/>
      </c>
      <c r="V6667" s="19">
        <f>IF($B6667="","",TEXT($B6667,"0000"))</f>
        <v/>
      </c>
      <c r="W6667" s="19">
        <f>IF($I6667="","",IF(ISNUMBER($I6667),TEXT($I6667,"0"),$I6667))</f>
        <v/>
      </c>
    </row>
    <row r="6668">
      <c r="B6668" s="25" t="n"/>
      <c r="I6668" s="25" t="n"/>
      <c r="U6668" s="19">
        <f>IF(AND($V6668='設定'!$C$4,COUNTIF('商品マスタ'!$B$6:$B$1005,$W6668)=0),N(U6667)+1,N(U6667))</f>
        <v/>
      </c>
      <c r="V6668" s="19">
        <f>IF($B6668="","",TEXT($B6668,"0000"))</f>
        <v/>
      </c>
      <c r="W6668" s="19">
        <f>IF($I6668="","",IF(ISNUMBER($I6668),TEXT($I6668,"0"),$I6668))</f>
        <v/>
      </c>
    </row>
    <row r="6669">
      <c r="B6669" s="25" t="n"/>
      <c r="I6669" s="25" t="n"/>
      <c r="U6669" s="19">
        <f>IF(AND($V6669='設定'!$C$4,COUNTIF('商品マスタ'!$B$6:$B$1005,$W6669)=0),N(U6668)+1,N(U6668))</f>
        <v/>
      </c>
      <c r="V6669" s="19">
        <f>IF($B6669="","",TEXT($B6669,"0000"))</f>
        <v/>
      </c>
      <c r="W6669" s="19">
        <f>IF($I6669="","",IF(ISNUMBER($I6669),TEXT($I6669,"0"),$I6669))</f>
        <v/>
      </c>
    </row>
    <row r="6670">
      <c r="B6670" s="25" t="n"/>
      <c r="I6670" s="25" t="n"/>
      <c r="U6670" s="19">
        <f>IF(AND($V6670='設定'!$C$4,COUNTIF('商品マスタ'!$B$6:$B$1005,$W6670)=0),N(U6669)+1,N(U6669))</f>
        <v/>
      </c>
      <c r="V6670" s="19">
        <f>IF($B6670="","",TEXT($B6670,"0000"))</f>
        <v/>
      </c>
      <c r="W6670" s="19">
        <f>IF($I6670="","",IF(ISNUMBER($I6670),TEXT($I6670,"0"),$I6670))</f>
        <v/>
      </c>
    </row>
    <row r="6671">
      <c r="B6671" s="25" t="n"/>
      <c r="I6671" s="25" t="n"/>
      <c r="U6671" s="19">
        <f>IF(AND($V6671='設定'!$C$4,COUNTIF('商品マスタ'!$B$6:$B$1005,$W6671)=0),N(U6670)+1,N(U6670))</f>
        <v/>
      </c>
      <c r="V6671" s="19">
        <f>IF($B6671="","",TEXT($B6671,"0000"))</f>
        <v/>
      </c>
      <c r="W6671" s="19">
        <f>IF($I6671="","",IF(ISNUMBER($I6671),TEXT($I6671,"0"),$I6671))</f>
        <v/>
      </c>
    </row>
    <row r="6672">
      <c r="B6672" s="25" t="n"/>
      <c r="I6672" s="25" t="n"/>
      <c r="U6672" s="19">
        <f>IF(AND($V6672='設定'!$C$4,COUNTIF('商品マスタ'!$B$6:$B$1005,$W6672)=0),N(U6671)+1,N(U6671))</f>
        <v/>
      </c>
      <c r="V6672" s="19">
        <f>IF($B6672="","",TEXT($B6672,"0000"))</f>
        <v/>
      </c>
      <c r="W6672" s="19">
        <f>IF($I6672="","",IF(ISNUMBER($I6672),TEXT($I6672,"0"),$I6672))</f>
        <v/>
      </c>
    </row>
    <row r="6673">
      <c r="B6673" s="25" t="n"/>
      <c r="I6673" s="25" t="n"/>
      <c r="U6673" s="19">
        <f>IF(AND($V6673='設定'!$C$4,COUNTIF('商品マスタ'!$B$6:$B$1005,$W6673)=0),N(U6672)+1,N(U6672))</f>
        <v/>
      </c>
      <c r="V6673" s="19">
        <f>IF($B6673="","",TEXT($B6673,"0000"))</f>
        <v/>
      </c>
      <c r="W6673" s="19">
        <f>IF($I6673="","",IF(ISNUMBER($I6673),TEXT($I6673,"0"),$I6673))</f>
        <v/>
      </c>
    </row>
    <row r="6674">
      <c r="B6674" s="25" t="n"/>
      <c r="I6674" s="25" t="n"/>
      <c r="U6674" s="19">
        <f>IF(AND($V6674='設定'!$C$4,COUNTIF('商品マスタ'!$B$6:$B$1005,$W6674)=0),N(U6673)+1,N(U6673))</f>
        <v/>
      </c>
      <c r="V6674" s="19">
        <f>IF($B6674="","",TEXT($B6674,"0000"))</f>
        <v/>
      </c>
      <c r="W6674" s="19">
        <f>IF($I6674="","",IF(ISNUMBER($I6674),TEXT($I6674,"0"),$I6674))</f>
        <v/>
      </c>
    </row>
    <row r="6675">
      <c r="B6675" s="25" t="n"/>
      <c r="I6675" s="25" t="n"/>
      <c r="U6675" s="19">
        <f>IF(AND($V6675='設定'!$C$4,COUNTIF('商品マスタ'!$B$6:$B$1005,$W6675)=0),N(U6674)+1,N(U6674))</f>
        <v/>
      </c>
      <c r="V6675" s="19">
        <f>IF($B6675="","",TEXT($B6675,"0000"))</f>
        <v/>
      </c>
      <c r="W6675" s="19">
        <f>IF($I6675="","",IF(ISNUMBER($I6675),TEXT($I6675,"0"),$I6675))</f>
        <v/>
      </c>
    </row>
    <row r="6676">
      <c r="B6676" s="25" t="n"/>
      <c r="I6676" s="25" t="n"/>
      <c r="U6676" s="19">
        <f>IF(AND($V6676='設定'!$C$4,COUNTIF('商品マスタ'!$B$6:$B$1005,$W6676)=0),N(U6675)+1,N(U6675))</f>
        <v/>
      </c>
      <c r="V6676" s="19">
        <f>IF($B6676="","",TEXT($B6676,"0000"))</f>
        <v/>
      </c>
      <c r="W6676" s="19">
        <f>IF($I6676="","",IF(ISNUMBER($I6676),TEXT($I6676,"0"),$I6676))</f>
        <v/>
      </c>
    </row>
    <row r="6677">
      <c r="B6677" s="25" t="n"/>
      <c r="I6677" s="25" t="n"/>
      <c r="U6677" s="19">
        <f>IF(AND($V6677='設定'!$C$4,COUNTIF('商品マスタ'!$B$6:$B$1005,$W6677)=0),N(U6676)+1,N(U6676))</f>
        <v/>
      </c>
      <c r="V6677" s="19">
        <f>IF($B6677="","",TEXT($B6677,"0000"))</f>
        <v/>
      </c>
      <c r="W6677" s="19">
        <f>IF($I6677="","",IF(ISNUMBER($I6677),TEXT($I6677,"0"),$I6677))</f>
        <v/>
      </c>
    </row>
    <row r="6678">
      <c r="B6678" s="25" t="n"/>
      <c r="I6678" s="25" t="n"/>
      <c r="U6678" s="19">
        <f>IF(AND($V6678='設定'!$C$4,COUNTIF('商品マスタ'!$B$6:$B$1005,$W6678)=0),N(U6677)+1,N(U6677))</f>
        <v/>
      </c>
      <c r="V6678" s="19">
        <f>IF($B6678="","",TEXT($B6678,"0000"))</f>
        <v/>
      </c>
      <c r="W6678" s="19">
        <f>IF($I6678="","",IF(ISNUMBER($I6678),TEXT($I6678,"0"),$I6678))</f>
        <v/>
      </c>
    </row>
    <row r="6679">
      <c r="B6679" s="25" t="n"/>
      <c r="I6679" s="25" t="n"/>
      <c r="U6679" s="19">
        <f>IF(AND($V6679='設定'!$C$4,COUNTIF('商品マスタ'!$B$6:$B$1005,$W6679)=0),N(U6678)+1,N(U6678))</f>
        <v/>
      </c>
      <c r="V6679" s="19">
        <f>IF($B6679="","",TEXT($B6679,"0000"))</f>
        <v/>
      </c>
      <c r="W6679" s="19">
        <f>IF($I6679="","",IF(ISNUMBER($I6679),TEXT($I6679,"0"),$I6679))</f>
        <v/>
      </c>
    </row>
    <row r="6680">
      <c r="B6680" s="25" t="n"/>
      <c r="I6680" s="25" t="n"/>
      <c r="U6680" s="19">
        <f>IF(AND($V6680='設定'!$C$4,COUNTIF('商品マスタ'!$B$6:$B$1005,$W6680)=0),N(U6679)+1,N(U6679))</f>
        <v/>
      </c>
      <c r="V6680" s="19">
        <f>IF($B6680="","",TEXT($B6680,"0000"))</f>
        <v/>
      </c>
      <c r="W6680" s="19">
        <f>IF($I6680="","",IF(ISNUMBER($I6680),TEXT($I6680,"0"),$I6680))</f>
        <v/>
      </c>
    </row>
    <row r="6681">
      <c r="B6681" s="25" t="n"/>
      <c r="I6681" s="25" t="n"/>
      <c r="U6681" s="19">
        <f>IF(AND($V6681='設定'!$C$4,COUNTIF('商品マスタ'!$B$6:$B$1005,$W6681)=0),N(U6680)+1,N(U6680))</f>
        <v/>
      </c>
      <c r="V6681" s="19">
        <f>IF($B6681="","",TEXT($B6681,"0000"))</f>
        <v/>
      </c>
      <c r="W6681" s="19">
        <f>IF($I6681="","",IF(ISNUMBER($I6681),TEXT($I6681,"0"),$I6681))</f>
        <v/>
      </c>
    </row>
    <row r="6682">
      <c r="B6682" s="25" t="n"/>
      <c r="I6682" s="25" t="n"/>
      <c r="U6682" s="19">
        <f>IF(AND($V6682='設定'!$C$4,COUNTIF('商品マスタ'!$B$6:$B$1005,$W6682)=0),N(U6681)+1,N(U6681))</f>
        <v/>
      </c>
      <c r="V6682" s="19">
        <f>IF($B6682="","",TEXT($B6682,"0000"))</f>
        <v/>
      </c>
      <c r="W6682" s="19">
        <f>IF($I6682="","",IF(ISNUMBER($I6682),TEXT($I6682,"0"),$I6682))</f>
        <v/>
      </c>
    </row>
    <row r="6683">
      <c r="B6683" s="25" t="n"/>
      <c r="I6683" s="25" t="n"/>
      <c r="U6683" s="19">
        <f>IF(AND($V6683='設定'!$C$4,COUNTIF('商品マスタ'!$B$6:$B$1005,$W6683)=0),N(U6682)+1,N(U6682))</f>
        <v/>
      </c>
      <c r="V6683" s="19">
        <f>IF($B6683="","",TEXT($B6683,"0000"))</f>
        <v/>
      </c>
      <c r="W6683" s="19">
        <f>IF($I6683="","",IF(ISNUMBER($I6683),TEXT($I6683,"0"),$I6683))</f>
        <v/>
      </c>
    </row>
    <row r="6684">
      <c r="B6684" s="25" t="n"/>
      <c r="I6684" s="25" t="n"/>
      <c r="U6684" s="19">
        <f>IF(AND($V6684='設定'!$C$4,COUNTIF('商品マスタ'!$B$6:$B$1005,$W6684)=0),N(U6683)+1,N(U6683))</f>
        <v/>
      </c>
      <c r="V6684" s="19">
        <f>IF($B6684="","",TEXT($B6684,"0000"))</f>
        <v/>
      </c>
      <c r="W6684" s="19">
        <f>IF($I6684="","",IF(ISNUMBER($I6684),TEXT($I6684,"0"),$I6684))</f>
        <v/>
      </c>
    </row>
    <row r="6685">
      <c r="B6685" s="25" t="n"/>
      <c r="I6685" s="25" t="n"/>
      <c r="U6685" s="19">
        <f>IF(AND($V6685='設定'!$C$4,COUNTIF('商品マスタ'!$B$6:$B$1005,$W6685)=0),N(U6684)+1,N(U6684))</f>
        <v/>
      </c>
      <c r="V6685" s="19">
        <f>IF($B6685="","",TEXT($B6685,"0000"))</f>
        <v/>
      </c>
      <c r="W6685" s="19">
        <f>IF($I6685="","",IF(ISNUMBER($I6685),TEXT($I6685,"0"),$I6685))</f>
        <v/>
      </c>
    </row>
    <row r="6686">
      <c r="B6686" s="25" t="n"/>
      <c r="I6686" s="25" t="n"/>
      <c r="U6686" s="19">
        <f>IF(AND($V6686='設定'!$C$4,COUNTIF('商品マスタ'!$B$6:$B$1005,$W6686)=0),N(U6685)+1,N(U6685))</f>
        <v/>
      </c>
      <c r="V6686" s="19">
        <f>IF($B6686="","",TEXT($B6686,"0000"))</f>
        <v/>
      </c>
      <c r="W6686" s="19">
        <f>IF($I6686="","",IF(ISNUMBER($I6686),TEXT($I6686,"0"),$I6686))</f>
        <v/>
      </c>
    </row>
    <row r="6687">
      <c r="B6687" s="25" t="n"/>
      <c r="I6687" s="25" t="n"/>
      <c r="U6687" s="19">
        <f>IF(AND($V6687='設定'!$C$4,COUNTIF('商品マスタ'!$B$6:$B$1005,$W6687)=0),N(U6686)+1,N(U6686))</f>
        <v/>
      </c>
      <c r="V6687" s="19">
        <f>IF($B6687="","",TEXT($B6687,"0000"))</f>
        <v/>
      </c>
      <c r="W6687" s="19">
        <f>IF($I6687="","",IF(ISNUMBER($I6687),TEXT($I6687,"0"),$I6687))</f>
        <v/>
      </c>
    </row>
    <row r="6688">
      <c r="B6688" s="25" t="n"/>
      <c r="I6688" s="25" t="n"/>
      <c r="U6688" s="19">
        <f>IF(AND($V6688='設定'!$C$4,COUNTIF('商品マスタ'!$B$6:$B$1005,$W6688)=0),N(U6687)+1,N(U6687))</f>
        <v/>
      </c>
      <c r="V6688" s="19">
        <f>IF($B6688="","",TEXT($B6688,"0000"))</f>
        <v/>
      </c>
      <c r="W6688" s="19">
        <f>IF($I6688="","",IF(ISNUMBER($I6688),TEXT($I6688,"0"),$I6688))</f>
        <v/>
      </c>
    </row>
    <row r="6689">
      <c r="B6689" s="25" t="n"/>
      <c r="I6689" s="25" t="n"/>
      <c r="U6689" s="19">
        <f>IF(AND($V6689='設定'!$C$4,COUNTIF('商品マスタ'!$B$6:$B$1005,$W6689)=0),N(U6688)+1,N(U6688))</f>
        <v/>
      </c>
      <c r="V6689" s="19">
        <f>IF($B6689="","",TEXT($B6689,"0000"))</f>
        <v/>
      </c>
      <c r="W6689" s="19">
        <f>IF($I6689="","",IF(ISNUMBER($I6689),TEXT($I6689,"0"),$I6689))</f>
        <v/>
      </c>
    </row>
    <row r="6690">
      <c r="B6690" s="25" t="n"/>
      <c r="I6690" s="25" t="n"/>
      <c r="U6690" s="19">
        <f>IF(AND($V6690='設定'!$C$4,COUNTIF('商品マスタ'!$B$6:$B$1005,$W6690)=0),N(U6689)+1,N(U6689))</f>
        <v/>
      </c>
      <c r="V6690" s="19">
        <f>IF($B6690="","",TEXT($B6690,"0000"))</f>
        <v/>
      </c>
      <c r="W6690" s="19">
        <f>IF($I6690="","",IF(ISNUMBER($I6690),TEXT($I6690,"0"),$I6690))</f>
        <v/>
      </c>
    </row>
    <row r="6691">
      <c r="B6691" s="25" t="n"/>
      <c r="I6691" s="25" t="n"/>
      <c r="U6691" s="19">
        <f>IF(AND($V6691='設定'!$C$4,COUNTIF('商品マスタ'!$B$6:$B$1005,$W6691)=0),N(U6690)+1,N(U6690))</f>
        <v/>
      </c>
      <c r="V6691" s="19">
        <f>IF($B6691="","",TEXT($B6691,"0000"))</f>
        <v/>
      </c>
      <c r="W6691" s="19">
        <f>IF($I6691="","",IF(ISNUMBER($I6691),TEXT($I6691,"0"),$I6691))</f>
        <v/>
      </c>
    </row>
    <row r="6692">
      <c r="B6692" s="25" t="n"/>
      <c r="I6692" s="25" t="n"/>
      <c r="U6692" s="19">
        <f>IF(AND($V6692='設定'!$C$4,COUNTIF('商品マスタ'!$B$6:$B$1005,$W6692)=0),N(U6691)+1,N(U6691))</f>
        <v/>
      </c>
      <c r="V6692" s="19">
        <f>IF($B6692="","",TEXT($B6692,"0000"))</f>
        <v/>
      </c>
      <c r="W6692" s="19">
        <f>IF($I6692="","",IF(ISNUMBER($I6692),TEXT($I6692,"0"),$I6692))</f>
        <v/>
      </c>
    </row>
    <row r="6693">
      <c r="B6693" s="25" t="n"/>
      <c r="I6693" s="25" t="n"/>
      <c r="U6693" s="19">
        <f>IF(AND($V6693='設定'!$C$4,COUNTIF('商品マスタ'!$B$6:$B$1005,$W6693)=0),N(U6692)+1,N(U6692))</f>
        <v/>
      </c>
      <c r="V6693" s="19">
        <f>IF($B6693="","",TEXT($B6693,"0000"))</f>
        <v/>
      </c>
      <c r="W6693" s="19">
        <f>IF($I6693="","",IF(ISNUMBER($I6693),TEXT($I6693,"0"),$I6693))</f>
        <v/>
      </c>
    </row>
    <row r="6694">
      <c r="B6694" s="25" t="n"/>
      <c r="I6694" s="25" t="n"/>
      <c r="U6694" s="19">
        <f>IF(AND($V6694='設定'!$C$4,COUNTIF('商品マスタ'!$B$6:$B$1005,$W6694)=0),N(U6693)+1,N(U6693))</f>
        <v/>
      </c>
      <c r="V6694" s="19">
        <f>IF($B6694="","",TEXT($B6694,"0000"))</f>
        <v/>
      </c>
      <c r="W6694" s="19">
        <f>IF($I6694="","",IF(ISNUMBER($I6694),TEXT($I6694,"0"),$I6694))</f>
        <v/>
      </c>
    </row>
    <row r="6695">
      <c r="B6695" s="25" t="n"/>
      <c r="I6695" s="25" t="n"/>
      <c r="U6695" s="19">
        <f>IF(AND($V6695='設定'!$C$4,COUNTIF('商品マスタ'!$B$6:$B$1005,$W6695)=0),N(U6694)+1,N(U6694))</f>
        <v/>
      </c>
      <c r="V6695" s="19">
        <f>IF($B6695="","",TEXT($B6695,"0000"))</f>
        <v/>
      </c>
      <c r="W6695" s="19">
        <f>IF($I6695="","",IF(ISNUMBER($I6695),TEXT($I6695,"0"),$I6695))</f>
        <v/>
      </c>
    </row>
    <row r="6696">
      <c r="B6696" s="25" t="n"/>
      <c r="I6696" s="25" t="n"/>
      <c r="U6696" s="19">
        <f>IF(AND($V6696='設定'!$C$4,COUNTIF('商品マスタ'!$B$6:$B$1005,$W6696)=0),N(U6695)+1,N(U6695))</f>
        <v/>
      </c>
      <c r="V6696" s="19">
        <f>IF($B6696="","",TEXT($B6696,"0000"))</f>
        <v/>
      </c>
      <c r="W6696" s="19">
        <f>IF($I6696="","",IF(ISNUMBER($I6696),TEXT($I6696,"0"),$I6696))</f>
        <v/>
      </c>
    </row>
    <row r="6697">
      <c r="B6697" s="25" t="n"/>
      <c r="I6697" s="25" t="n"/>
      <c r="U6697" s="19">
        <f>IF(AND($V6697='設定'!$C$4,COUNTIF('商品マスタ'!$B$6:$B$1005,$W6697)=0),N(U6696)+1,N(U6696))</f>
        <v/>
      </c>
      <c r="V6697" s="19">
        <f>IF($B6697="","",TEXT($B6697,"0000"))</f>
        <v/>
      </c>
      <c r="W6697" s="19">
        <f>IF($I6697="","",IF(ISNUMBER($I6697),TEXT($I6697,"0"),$I6697))</f>
        <v/>
      </c>
    </row>
    <row r="6698">
      <c r="B6698" s="25" t="n"/>
      <c r="I6698" s="25" t="n"/>
      <c r="U6698" s="19">
        <f>IF(AND($V6698='設定'!$C$4,COUNTIF('商品マスタ'!$B$6:$B$1005,$W6698)=0),N(U6697)+1,N(U6697))</f>
        <v/>
      </c>
      <c r="V6698" s="19">
        <f>IF($B6698="","",TEXT($B6698,"0000"))</f>
        <v/>
      </c>
      <c r="W6698" s="19">
        <f>IF($I6698="","",IF(ISNUMBER($I6698),TEXT($I6698,"0"),$I6698))</f>
        <v/>
      </c>
    </row>
    <row r="6699">
      <c r="B6699" s="25" t="n"/>
      <c r="I6699" s="25" t="n"/>
      <c r="U6699" s="19">
        <f>IF(AND($V6699='設定'!$C$4,COUNTIF('商品マスタ'!$B$6:$B$1005,$W6699)=0),N(U6698)+1,N(U6698))</f>
        <v/>
      </c>
      <c r="V6699" s="19">
        <f>IF($B6699="","",TEXT($B6699,"0000"))</f>
        <v/>
      </c>
      <c r="W6699" s="19">
        <f>IF($I6699="","",IF(ISNUMBER($I6699),TEXT($I6699,"0"),$I6699))</f>
        <v/>
      </c>
    </row>
    <row r="6700">
      <c r="B6700" s="25" t="n"/>
      <c r="I6700" s="25" t="n"/>
      <c r="U6700" s="19">
        <f>IF(AND($V6700='設定'!$C$4,COUNTIF('商品マスタ'!$B$6:$B$1005,$W6700)=0),N(U6699)+1,N(U6699))</f>
        <v/>
      </c>
      <c r="V6700" s="19">
        <f>IF($B6700="","",TEXT($B6700,"0000"))</f>
        <v/>
      </c>
      <c r="W6700" s="19">
        <f>IF($I6700="","",IF(ISNUMBER($I6700),TEXT($I6700,"0"),$I6700))</f>
        <v/>
      </c>
    </row>
    <row r="6701">
      <c r="B6701" s="25" t="n"/>
      <c r="I6701" s="25" t="n"/>
      <c r="U6701" s="19">
        <f>IF(AND($V6701='設定'!$C$4,COUNTIF('商品マスタ'!$B$6:$B$1005,$W6701)=0),N(U6700)+1,N(U6700))</f>
        <v/>
      </c>
      <c r="V6701" s="19">
        <f>IF($B6701="","",TEXT($B6701,"0000"))</f>
        <v/>
      </c>
      <c r="W6701" s="19">
        <f>IF($I6701="","",IF(ISNUMBER($I6701),TEXT($I6701,"0"),$I6701))</f>
        <v/>
      </c>
    </row>
    <row r="6702">
      <c r="B6702" s="25" t="n"/>
      <c r="I6702" s="25" t="n"/>
      <c r="U6702" s="19">
        <f>IF(AND($V6702='設定'!$C$4,COUNTIF('商品マスタ'!$B$6:$B$1005,$W6702)=0),N(U6701)+1,N(U6701))</f>
        <v/>
      </c>
      <c r="V6702" s="19">
        <f>IF($B6702="","",TEXT($B6702,"0000"))</f>
        <v/>
      </c>
      <c r="W6702" s="19">
        <f>IF($I6702="","",IF(ISNUMBER($I6702),TEXT($I6702,"0"),$I6702))</f>
        <v/>
      </c>
    </row>
    <row r="6703">
      <c r="B6703" s="25" t="n"/>
      <c r="I6703" s="25" t="n"/>
      <c r="U6703" s="19">
        <f>IF(AND($V6703='設定'!$C$4,COUNTIF('商品マスタ'!$B$6:$B$1005,$W6703)=0),N(U6702)+1,N(U6702))</f>
        <v/>
      </c>
      <c r="V6703" s="19">
        <f>IF($B6703="","",TEXT($B6703,"0000"))</f>
        <v/>
      </c>
      <c r="W6703" s="19">
        <f>IF($I6703="","",IF(ISNUMBER($I6703),TEXT($I6703,"0"),$I6703))</f>
        <v/>
      </c>
    </row>
    <row r="6704">
      <c r="B6704" s="25" t="n"/>
      <c r="I6704" s="25" t="n"/>
      <c r="U6704" s="19">
        <f>IF(AND($V6704='設定'!$C$4,COUNTIF('商品マスタ'!$B$6:$B$1005,$W6704)=0),N(U6703)+1,N(U6703))</f>
        <v/>
      </c>
      <c r="V6704" s="19">
        <f>IF($B6704="","",TEXT($B6704,"0000"))</f>
        <v/>
      </c>
      <c r="W6704" s="19">
        <f>IF($I6704="","",IF(ISNUMBER($I6704),TEXT($I6704,"0"),$I6704))</f>
        <v/>
      </c>
    </row>
    <row r="6705">
      <c r="B6705" s="25" t="n"/>
      <c r="I6705" s="25" t="n"/>
      <c r="U6705" s="19">
        <f>IF(AND($V6705='設定'!$C$4,COUNTIF('商品マスタ'!$B$6:$B$1005,$W6705)=0),N(U6704)+1,N(U6704))</f>
        <v/>
      </c>
      <c r="V6705" s="19">
        <f>IF($B6705="","",TEXT($B6705,"0000"))</f>
        <v/>
      </c>
      <c r="W6705" s="19">
        <f>IF($I6705="","",IF(ISNUMBER($I6705),TEXT($I6705,"0"),$I6705))</f>
        <v/>
      </c>
    </row>
    <row r="6706">
      <c r="B6706" s="25" t="n"/>
      <c r="I6706" s="25" t="n"/>
      <c r="U6706" s="19">
        <f>IF(AND($V6706='設定'!$C$4,COUNTIF('商品マスタ'!$B$6:$B$1005,$W6706)=0),N(U6705)+1,N(U6705))</f>
        <v/>
      </c>
      <c r="V6706" s="19">
        <f>IF($B6706="","",TEXT($B6706,"0000"))</f>
        <v/>
      </c>
      <c r="W6706" s="19">
        <f>IF($I6706="","",IF(ISNUMBER($I6706),TEXT($I6706,"0"),$I6706))</f>
        <v/>
      </c>
    </row>
    <row r="6707">
      <c r="B6707" s="25" t="n"/>
      <c r="I6707" s="25" t="n"/>
      <c r="U6707" s="19">
        <f>IF(AND($V6707='設定'!$C$4,COUNTIF('商品マスタ'!$B$6:$B$1005,$W6707)=0),N(U6706)+1,N(U6706))</f>
        <v/>
      </c>
      <c r="V6707" s="19">
        <f>IF($B6707="","",TEXT($B6707,"0000"))</f>
        <v/>
      </c>
      <c r="W6707" s="19">
        <f>IF($I6707="","",IF(ISNUMBER($I6707),TEXT($I6707,"0"),$I6707))</f>
        <v/>
      </c>
    </row>
    <row r="6708">
      <c r="B6708" s="25" t="n"/>
      <c r="I6708" s="25" t="n"/>
      <c r="U6708" s="19">
        <f>IF(AND($V6708='設定'!$C$4,COUNTIF('商品マスタ'!$B$6:$B$1005,$W6708)=0),N(U6707)+1,N(U6707))</f>
        <v/>
      </c>
      <c r="V6708" s="19">
        <f>IF($B6708="","",TEXT($B6708,"0000"))</f>
        <v/>
      </c>
      <c r="W6708" s="19">
        <f>IF($I6708="","",IF(ISNUMBER($I6708),TEXT($I6708,"0"),$I6708))</f>
        <v/>
      </c>
    </row>
    <row r="6709">
      <c r="B6709" s="25" t="n"/>
      <c r="I6709" s="25" t="n"/>
      <c r="U6709" s="19">
        <f>IF(AND($V6709='設定'!$C$4,COUNTIF('商品マスタ'!$B$6:$B$1005,$W6709)=0),N(U6708)+1,N(U6708))</f>
        <v/>
      </c>
      <c r="V6709" s="19">
        <f>IF($B6709="","",TEXT($B6709,"0000"))</f>
        <v/>
      </c>
      <c r="W6709" s="19">
        <f>IF($I6709="","",IF(ISNUMBER($I6709),TEXT($I6709,"0"),$I6709))</f>
        <v/>
      </c>
    </row>
    <row r="6710">
      <c r="B6710" s="25" t="n"/>
      <c r="I6710" s="25" t="n"/>
      <c r="U6710" s="19">
        <f>IF(AND($V6710='設定'!$C$4,COUNTIF('商品マスタ'!$B$6:$B$1005,$W6710)=0),N(U6709)+1,N(U6709))</f>
        <v/>
      </c>
      <c r="V6710" s="19">
        <f>IF($B6710="","",TEXT($B6710,"0000"))</f>
        <v/>
      </c>
      <c r="W6710" s="19">
        <f>IF($I6710="","",IF(ISNUMBER($I6710),TEXT($I6710,"0"),$I6710))</f>
        <v/>
      </c>
    </row>
    <row r="6711">
      <c r="B6711" s="25" t="n"/>
      <c r="I6711" s="25" t="n"/>
      <c r="U6711" s="19">
        <f>IF(AND($V6711='設定'!$C$4,COUNTIF('商品マスタ'!$B$6:$B$1005,$W6711)=0),N(U6710)+1,N(U6710))</f>
        <v/>
      </c>
      <c r="V6711" s="19">
        <f>IF($B6711="","",TEXT($B6711,"0000"))</f>
        <v/>
      </c>
      <c r="W6711" s="19">
        <f>IF($I6711="","",IF(ISNUMBER($I6711),TEXT($I6711,"0"),$I6711))</f>
        <v/>
      </c>
    </row>
    <row r="6712">
      <c r="B6712" s="25" t="n"/>
      <c r="I6712" s="25" t="n"/>
      <c r="U6712" s="19">
        <f>IF(AND($V6712='設定'!$C$4,COUNTIF('商品マスタ'!$B$6:$B$1005,$W6712)=0),N(U6711)+1,N(U6711))</f>
        <v/>
      </c>
      <c r="V6712" s="19">
        <f>IF($B6712="","",TEXT($B6712,"0000"))</f>
        <v/>
      </c>
      <c r="W6712" s="19">
        <f>IF($I6712="","",IF(ISNUMBER($I6712),TEXT($I6712,"0"),$I6712))</f>
        <v/>
      </c>
    </row>
    <row r="6713">
      <c r="B6713" s="25" t="n"/>
      <c r="I6713" s="25" t="n"/>
      <c r="U6713" s="19">
        <f>IF(AND($V6713='設定'!$C$4,COUNTIF('商品マスタ'!$B$6:$B$1005,$W6713)=0),N(U6712)+1,N(U6712))</f>
        <v/>
      </c>
      <c r="V6713" s="19">
        <f>IF($B6713="","",TEXT($B6713,"0000"))</f>
        <v/>
      </c>
      <c r="W6713" s="19">
        <f>IF($I6713="","",IF(ISNUMBER($I6713),TEXT($I6713,"0"),$I6713))</f>
        <v/>
      </c>
    </row>
    <row r="6714">
      <c r="B6714" s="25" t="n"/>
      <c r="I6714" s="25" t="n"/>
      <c r="U6714" s="19">
        <f>IF(AND($V6714='設定'!$C$4,COUNTIF('商品マスタ'!$B$6:$B$1005,$W6714)=0),N(U6713)+1,N(U6713))</f>
        <v/>
      </c>
      <c r="V6714" s="19">
        <f>IF($B6714="","",TEXT($B6714,"0000"))</f>
        <v/>
      </c>
      <c r="W6714" s="19">
        <f>IF($I6714="","",IF(ISNUMBER($I6714),TEXT($I6714,"0"),$I6714))</f>
        <v/>
      </c>
    </row>
    <row r="6715">
      <c r="B6715" s="25" t="n"/>
      <c r="I6715" s="25" t="n"/>
      <c r="U6715" s="19">
        <f>IF(AND($V6715='設定'!$C$4,COUNTIF('商品マスタ'!$B$6:$B$1005,$W6715)=0),N(U6714)+1,N(U6714))</f>
        <v/>
      </c>
      <c r="V6715" s="19">
        <f>IF($B6715="","",TEXT($B6715,"0000"))</f>
        <v/>
      </c>
      <c r="W6715" s="19">
        <f>IF($I6715="","",IF(ISNUMBER($I6715),TEXT($I6715,"0"),$I6715))</f>
        <v/>
      </c>
    </row>
    <row r="6716">
      <c r="B6716" s="25" t="n"/>
      <c r="I6716" s="25" t="n"/>
      <c r="U6716" s="19">
        <f>IF(AND($V6716='設定'!$C$4,COUNTIF('商品マスタ'!$B$6:$B$1005,$W6716)=0),N(U6715)+1,N(U6715))</f>
        <v/>
      </c>
      <c r="V6716" s="19">
        <f>IF($B6716="","",TEXT($B6716,"0000"))</f>
        <v/>
      </c>
      <c r="W6716" s="19">
        <f>IF($I6716="","",IF(ISNUMBER($I6716),TEXT($I6716,"0"),$I6716))</f>
        <v/>
      </c>
    </row>
    <row r="6717">
      <c r="B6717" s="25" t="n"/>
      <c r="I6717" s="25" t="n"/>
      <c r="U6717" s="19">
        <f>IF(AND($V6717='設定'!$C$4,COUNTIF('商品マスタ'!$B$6:$B$1005,$W6717)=0),N(U6716)+1,N(U6716))</f>
        <v/>
      </c>
      <c r="V6717" s="19">
        <f>IF($B6717="","",TEXT($B6717,"0000"))</f>
        <v/>
      </c>
      <c r="W6717" s="19">
        <f>IF($I6717="","",IF(ISNUMBER($I6717),TEXT($I6717,"0"),$I6717))</f>
        <v/>
      </c>
    </row>
    <row r="6718">
      <c r="B6718" s="25" t="n"/>
      <c r="I6718" s="25" t="n"/>
      <c r="U6718" s="19">
        <f>IF(AND($V6718='設定'!$C$4,COUNTIF('商品マスタ'!$B$6:$B$1005,$W6718)=0),N(U6717)+1,N(U6717))</f>
        <v/>
      </c>
      <c r="V6718" s="19">
        <f>IF($B6718="","",TEXT($B6718,"0000"))</f>
        <v/>
      </c>
      <c r="W6718" s="19">
        <f>IF($I6718="","",IF(ISNUMBER($I6718),TEXT($I6718,"0"),$I6718))</f>
        <v/>
      </c>
    </row>
    <row r="6719">
      <c r="B6719" s="25" t="n"/>
      <c r="I6719" s="25" t="n"/>
      <c r="U6719" s="19">
        <f>IF(AND($V6719='設定'!$C$4,COUNTIF('商品マスタ'!$B$6:$B$1005,$W6719)=0),N(U6718)+1,N(U6718))</f>
        <v/>
      </c>
      <c r="V6719" s="19">
        <f>IF($B6719="","",TEXT($B6719,"0000"))</f>
        <v/>
      </c>
      <c r="W6719" s="19">
        <f>IF($I6719="","",IF(ISNUMBER($I6719),TEXT($I6719,"0"),$I6719))</f>
        <v/>
      </c>
    </row>
    <row r="6720">
      <c r="B6720" s="25" t="n"/>
      <c r="I6720" s="25" t="n"/>
      <c r="U6720" s="19">
        <f>IF(AND($V6720='設定'!$C$4,COUNTIF('商品マスタ'!$B$6:$B$1005,$W6720)=0),N(U6719)+1,N(U6719))</f>
        <v/>
      </c>
      <c r="V6720" s="19">
        <f>IF($B6720="","",TEXT($B6720,"0000"))</f>
        <v/>
      </c>
      <c r="W6720" s="19">
        <f>IF($I6720="","",IF(ISNUMBER($I6720),TEXT($I6720,"0"),$I6720))</f>
        <v/>
      </c>
    </row>
    <row r="6721">
      <c r="B6721" s="25" t="n"/>
      <c r="I6721" s="25" t="n"/>
      <c r="U6721" s="19">
        <f>IF(AND($V6721='設定'!$C$4,COUNTIF('商品マスタ'!$B$6:$B$1005,$W6721)=0),N(U6720)+1,N(U6720))</f>
        <v/>
      </c>
      <c r="V6721" s="19">
        <f>IF($B6721="","",TEXT($B6721,"0000"))</f>
        <v/>
      </c>
      <c r="W6721" s="19">
        <f>IF($I6721="","",IF(ISNUMBER($I6721),TEXT($I6721,"0"),$I6721))</f>
        <v/>
      </c>
    </row>
    <row r="6722">
      <c r="B6722" s="25" t="n"/>
      <c r="I6722" s="25" t="n"/>
      <c r="U6722" s="19">
        <f>IF(AND($V6722='設定'!$C$4,COUNTIF('商品マスタ'!$B$6:$B$1005,$W6722)=0),N(U6721)+1,N(U6721))</f>
        <v/>
      </c>
      <c r="V6722" s="19">
        <f>IF($B6722="","",TEXT($B6722,"0000"))</f>
        <v/>
      </c>
      <c r="W6722" s="19">
        <f>IF($I6722="","",IF(ISNUMBER($I6722),TEXT($I6722,"0"),$I6722))</f>
        <v/>
      </c>
    </row>
    <row r="6723">
      <c r="B6723" s="25" t="n"/>
      <c r="I6723" s="25" t="n"/>
      <c r="U6723" s="19">
        <f>IF(AND($V6723='設定'!$C$4,COUNTIF('商品マスタ'!$B$6:$B$1005,$W6723)=0),N(U6722)+1,N(U6722))</f>
        <v/>
      </c>
      <c r="V6723" s="19">
        <f>IF($B6723="","",TEXT($B6723,"0000"))</f>
        <v/>
      </c>
      <c r="W6723" s="19">
        <f>IF($I6723="","",IF(ISNUMBER($I6723),TEXT($I6723,"0"),$I6723))</f>
        <v/>
      </c>
    </row>
    <row r="6724">
      <c r="B6724" s="25" t="n"/>
      <c r="I6724" s="25" t="n"/>
      <c r="U6724" s="19">
        <f>IF(AND($V6724='設定'!$C$4,COUNTIF('商品マスタ'!$B$6:$B$1005,$W6724)=0),N(U6723)+1,N(U6723))</f>
        <v/>
      </c>
      <c r="V6724" s="19">
        <f>IF($B6724="","",TEXT($B6724,"0000"))</f>
        <v/>
      </c>
      <c r="W6724" s="19">
        <f>IF($I6724="","",IF(ISNUMBER($I6724),TEXT($I6724,"0"),$I6724))</f>
        <v/>
      </c>
    </row>
    <row r="6725">
      <c r="B6725" s="25" t="n"/>
      <c r="I6725" s="25" t="n"/>
      <c r="U6725" s="19">
        <f>IF(AND($V6725='設定'!$C$4,COUNTIF('商品マスタ'!$B$6:$B$1005,$W6725)=0),N(U6724)+1,N(U6724))</f>
        <v/>
      </c>
      <c r="V6725" s="19">
        <f>IF($B6725="","",TEXT($B6725,"0000"))</f>
        <v/>
      </c>
      <c r="W6725" s="19">
        <f>IF($I6725="","",IF(ISNUMBER($I6725),TEXT($I6725,"0"),$I6725))</f>
        <v/>
      </c>
    </row>
    <row r="6726">
      <c r="B6726" s="25" t="n"/>
      <c r="I6726" s="25" t="n"/>
      <c r="U6726" s="19">
        <f>IF(AND($V6726='設定'!$C$4,COUNTIF('商品マスタ'!$B$6:$B$1005,$W6726)=0),N(U6725)+1,N(U6725))</f>
        <v/>
      </c>
      <c r="V6726" s="19">
        <f>IF($B6726="","",TEXT($B6726,"0000"))</f>
        <v/>
      </c>
      <c r="W6726" s="19">
        <f>IF($I6726="","",IF(ISNUMBER($I6726),TEXT($I6726,"0"),$I6726))</f>
        <v/>
      </c>
    </row>
    <row r="6727">
      <c r="B6727" s="25" t="n"/>
      <c r="I6727" s="25" t="n"/>
      <c r="U6727" s="19">
        <f>IF(AND($V6727='設定'!$C$4,COUNTIF('商品マスタ'!$B$6:$B$1005,$W6727)=0),N(U6726)+1,N(U6726))</f>
        <v/>
      </c>
      <c r="V6727" s="19">
        <f>IF($B6727="","",TEXT($B6727,"0000"))</f>
        <v/>
      </c>
      <c r="W6727" s="19">
        <f>IF($I6727="","",IF(ISNUMBER($I6727),TEXT($I6727,"0"),$I6727))</f>
        <v/>
      </c>
    </row>
    <row r="6728">
      <c r="B6728" s="25" t="n"/>
      <c r="I6728" s="25" t="n"/>
      <c r="U6728" s="19">
        <f>IF(AND($V6728='設定'!$C$4,COUNTIF('商品マスタ'!$B$6:$B$1005,$W6728)=0),N(U6727)+1,N(U6727))</f>
        <v/>
      </c>
      <c r="V6728" s="19">
        <f>IF($B6728="","",TEXT($B6728,"0000"))</f>
        <v/>
      </c>
      <c r="W6728" s="19">
        <f>IF($I6728="","",IF(ISNUMBER($I6728),TEXT($I6728,"0"),$I6728))</f>
        <v/>
      </c>
    </row>
    <row r="6729">
      <c r="B6729" s="25" t="n"/>
      <c r="I6729" s="25" t="n"/>
      <c r="U6729" s="19">
        <f>IF(AND($V6729='設定'!$C$4,COUNTIF('商品マスタ'!$B$6:$B$1005,$W6729)=0),N(U6728)+1,N(U6728))</f>
        <v/>
      </c>
      <c r="V6729" s="19">
        <f>IF($B6729="","",TEXT($B6729,"0000"))</f>
        <v/>
      </c>
      <c r="W6729" s="19">
        <f>IF($I6729="","",IF(ISNUMBER($I6729),TEXT($I6729,"0"),$I6729))</f>
        <v/>
      </c>
    </row>
    <row r="6730">
      <c r="B6730" s="25" t="n"/>
      <c r="I6730" s="25" t="n"/>
      <c r="U6730" s="19">
        <f>IF(AND($V6730='設定'!$C$4,COUNTIF('商品マスタ'!$B$6:$B$1005,$W6730)=0),N(U6729)+1,N(U6729))</f>
        <v/>
      </c>
      <c r="V6730" s="19">
        <f>IF($B6730="","",TEXT($B6730,"0000"))</f>
        <v/>
      </c>
      <c r="W6730" s="19">
        <f>IF($I6730="","",IF(ISNUMBER($I6730),TEXT($I6730,"0"),$I6730))</f>
        <v/>
      </c>
    </row>
    <row r="6731">
      <c r="B6731" s="25" t="n"/>
      <c r="I6731" s="25" t="n"/>
      <c r="U6731" s="19">
        <f>IF(AND($V6731='設定'!$C$4,COUNTIF('商品マスタ'!$B$6:$B$1005,$W6731)=0),N(U6730)+1,N(U6730))</f>
        <v/>
      </c>
      <c r="V6731" s="19">
        <f>IF($B6731="","",TEXT($B6731,"0000"))</f>
        <v/>
      </c>
      <c r="W6731" s="19">
        <f>IF($I6731="","",IF(ISNUMBER($I6731),TEXT($I6731,"0"),$I6731))</f>
        <v/>
      </c>
    </row>
    <row r="6732">
      <c r="B6732" s="25" t="n"/>
      <c r="I6732" s="25" t="n"/>
      <c r="U6732" s="19">
        <f>IF(AND($V6732='設定'!$C$4,COUNTIF('商品マスタ'!$B$6:$B$1005,$W6732)=0),N(U6731)+1,N(U6731))</f>
        <v/>
      </c>
      <c r="V6732" s="19">
        <f>IF($B6732="","",TEXT($B6732,"0000"))</f>
        <v/>
      </c>
      <c r="W6732" s="19">
        <f>IF($I6732="","",IF(ISNUMBER($I6732),TEXT($I6732,"0"),$I6732))</f>
        <v/>
      </c>
    </row>
    <row r="6733">
      <c r="B6733" s="25" t="n"/>
      <c r="I6733" s="25" t="n"/>
      <c r="U6733" s="19">
        <f>IF(AND($V6733='設定'!$C$4,COUNTIF('商品マスタ'!$B$6:$B$1005,$W6733)=0),N(U6732)+1,N(U6732))</f>
        <v/>
      </c>
      <c r="V6733" s="19">
        <f>IF($B6733="","",TEXT($B6733,"0000"))</f>
        <v/>
      </c>
      <c r="W6733" s="19">
        <f>IF($I6733="","",IF(ISNUMBER($I6733),TEXT($I6733,"0"),$I6733))</f>
        <v/>
      </c>
    </row>
    <row r="6734">
      <c r="B6734" s="25" t="n"/>
      <c r="I6734" s="25" t="n"/>
      <c r="U6734" s="19">
        <f>IF(AND($V6734='設定'!$C$4,COUNTIF('商品マスタ'!$B$6:$B$1005,$W6734)=0),N(U6733)+1,N(U6733))</f>
        <v/>
      </c>
      <c r="V6734" s="19">
        <f>IF($B6734="","",TEXT($B6734,"0000"))</f>
        <v/>
      </c>
      <c r="W6734" s="19">
        <f>IF($I6734="","",IF(ISNUMBER($I6734),TEXT($I6734,"0"),$I6734))</f>
        <v/>
      </c>
    </row>
    <row r="6735">
      <c r="B6735" s="25" t="n"/>
      <c r="I6735" s="25" t="n"/>
      <c r="U6735" s="19">
        <f>IF(AND($V6735='設定'!$C$4,COUNTIF('商品マスタ'!$B$6:$B$1005,$W6735)=0),N(U6734)+1,N(U6734))</f>
        <v/>
      </c>
      <c r="V6735" s="19">
        <f>IF($B6735="","",TEXT($B6735,"0000"))</f>
        <v/>
      </c>
      <c r="W6735" s="19">
        <f>IF($I6735="","",IF(ISNUMBER($I6735),TEXT($I6735,"0"),$I6735))</f>
        <v/>
      </c>
    </row>
    <row r="6736">
      <c r="B6736" s="25" t="n"/>
      <c r="I6736" s="25" t="n"/>
      <c r="U6736" s="19">
        <f>IF(AND($V6736='設定'!$C$4,COUNTIF('商品マスタ'!$B$6:$B$1005,$W6736)=0),N(U6735)+1,N(U6735))</f>
        <v/>
      </c>
      <c r="V6736" s="19">
        <f>IF($B6736="","",TEXT($B6736,"0000"))</f>
        <v/>
      </c>
      <c r="W6736" s="19">
        <f>IF($I6736="","",IF(ISNUMBER($I6736),TEXT($I6736,"0"),$I6736))</f>
        <v/>
      </c>
    </row>
    <row r="6737">
      <c r="B6737" s="25" t="n"/>
      <c r="I6737" s="25" t="n"/>
      <c r="U6737" s="19">
        <f>IF(AND($V6737='設定'!$C$4,COUNTIF('商品マスタ'!$B$6:$B$1005,$W6737)=0),N(U6736)+1,N(U6736))</f>
        <v/>
      </c>
      <c r="V6737" s="19">
        <f>IF($B6737="","",TEXT($B6737,"0000"))</f>
        <v/>
      </c>
      <c r="W6737" s="19">
        <f>IF($I6737="","",IF(ISNUMBER($I6737),TEXT($I6737,"0"),$I6737))</f>
        <v/>
      </c>
    </row>
    <row r="6738">
      <c r="B6738" s="25" t="n"/>
      <c r="I6738" s="25" t="n"/>
      <c r="U6738" s="19">
        <f>IF(AND($V6738='設定'!$C$4,COUNTIF('商品マスタ'!$B$6:$B$1005,$W6738)=0),N(U6737)+1,N(U6737))</f>
        <v/>
      </c>
      <c r="V6738" s="19">
        <f>IF($B6738="","",TEXT($B6738,"0000"))</f>
        <v/>
      </c>
      <c r="W6738" s="19">
        <f>IF($I6738="","",IF(ISNUMBER($I6738),TEXT($I6738,"0"),$I6738))</f>
        <v/>
      </c>
    </row>
    <row r="6739">
      <c r="B6739" s="25" t="n"/>
      <c r="I6739" s="25" t="n"/>
      <c r="U6739" s="19">
        <f>IF(AND($V6739='設定'!$C$4,COUNTIF('商品マスタ'!$B$6:$B$1005,$W6739)=0),N(U6738)+1,N(U6738))</f>
        <v/>
      </c>
      <c r="V6739" s="19">
        <f>IF($B6739="","",TEXT($B6739,"0000"))</f>
        <v/>
      </c>
      <c r="W6739" s="19">
        <f>IF($I6739="","",IF(ISNUMBER($I6739),TEXT($I6739,"0"),$I6739))</f>
        <v/>
      </c>
    </row>
    <row r="6740">
      <c r="B6740" s="25" t="n"/>
      <c r="I6740" s="25" t="n"/>
      <c r="U6740" s="19">
        <f>IF(AND($V6740='設定'!$C$4,COUNTIF('商品マスタ'!$B$6:$B$1005,$W6740)=0),N(U6739)+1,N(U6739))</f>
        <v/>
      </c>
      <c r="V6740" s="19">
        <f>IF($B6740="","",TEXT($B6740,"0000"))</f>
        <v/>
      </c>
      <c r="W6740" s="19">
        <f>IF($I6740="","",IF(ISNUMBER($I6740),TEXT($I6740,"0"),$I6740))</f>
        <v/>
      </c>
    </row>
    <row r="6741">
      <c r="B6741" s="25" t="n"/>
      <c r="I6741" s="25" t="n"/>
      <c r="U6741" s="19">
        <f>IF(AND($V6741='設定'!$C$4,COUNTIF('商品マスタ'!$B$6:$B$1005,$W6741)=0),N(U6740)+1,N(U6740))</f>
        <v/>
      </c>
      <c r="V6741" s="19">
        <f>IF($B6741="","",TEXT($B6741,"0000"))</f>
        <v/>
      </c>
      <c r="W6741" s="19">
        <f>IF($I6741="","",IF(ISNUMBER($I6741),TEXT($I6741,"0"),$I6741))</f>
        <v/>
      </c>
    </row>
    <row r="6742">
      <c r="B6742" s="25" t="n"/>
      <c r="I6742" s="25" t="n"/>
      <c r="U6742" s="19">
        <f>IF(AND($V6742='設定'!$C$4,COUNTIF('商品マスタ'!$B$6:$B$1005,$W6742)=0),N(U6741)+1,N(U6741))</f>
        <v/>
      </c>
      <c r="V6742" s="19">
        <f>IF($B6742="","",TEXT($B6742,"0000"))</f>
        <v/>
      </c>
      <c r="W6742" s="19">
        <f>IF($I6742="","",IF(ISNUMBER($I6742),TEXT($I6742,"0"),$I6742))</f>
        <v/>
      </c>
    </row>
    <row r="6743">
      <c r="B6743" s="25" t="n"/>
      <c r="I6743" s="25" t="n"/>
      <c r="U6743" s="19">
        <f>IF(AND($V6743='設定'!$C$4,COUNTIF('商品マスタ'!$B$6:$B$1005,$W6743)=0),N(U6742)+1,N(U6742))</f>
        <v/>
      </c>
      <c r="V6743" s="19">
        <f>IF($B6743="","",TEXT($B6743,"0000"))</f>
        <v/>
      </c>
      <c r="W6743" s="19">
        <f>IF($I6743="","",IF(ISNUMBER($I6743),TEXT($I6743,"0"),$I6743))</f>
        <v/>
      </c>
    </row>
    <row r="6744">
      <c r="B6744" s="25" t="n"/>
      <c r="I6744" s="25" t="n"/>
      <c r="U6744" s="19">
        <f>IF(AND($V6744='設定'!$C$4,COUNTIF('商品マスタ'!$B$6:$B$1005,$W6744)=0),N(U6743)+1,N(U6743))</f>
        <v/>
      </c>
      <c r="V6744" s="19">
        <f>IF($B6744="","",TEXT($B6744,"0000"))</f>
        <v/>
      </c>
      <c r="W6744" s="19">
        <f>IF($I6744="","",IF(ISNUMBER($I6744),TEXT($I6744,"0"),$I6744))</f>
        <v/>
      </c>
    </row>
    <row r="6745">
      <c r="B6745" s="25" t="n"/>
      <c r="I6745" s="25" t="n"/>
      <c r="U6745" s="19">
        <f>IF(AND($V6745='設定'!$C$4,COUNTIF('商品マスタ'!$B$6:$B$1005,$W6745)=0),N(U6744)+1,N(U6744))</f>
        <v/>
      </c>
      <c r="V6745" s="19">
        <f>IF($B6745="","",TEXT($B6745,"0000"))</f>
        <v/>
      </c>
      <c r="W6745" s="19">
        <f>IF($I6745="","",IF(ISNUMBER($I6745),TEXT($I6745,"0"),$I6745))</f>
        <v/>
      </c>
    </row>
    <row r="6746">
      <c r="B6746" s="25" t="n"/>
      <c r="I6746" s="25" t="n"/>
      <c r="U6746" s="19">
        <f>IF(AND($V6746='設定'!$C$4,COUNTIF('商品マスタ'!$B$6:$B$1005,$W6746)=0),N(U6745)+1,N(U6745))</f>
        <v/>
      </c>
      <c r="V6746" s="19">
        <f>IF($B6746="","",TEXT($B6746,"0000"))</f>
        <v/>
      </c>
      <c r="W6746" s="19">
        <f>IF($I6746="","",IF(ISNUMBER($I6746),TEXT($I6746,"0"),$I6746))</f>
        <v/>
      </c>
    </row>
    <row r="6747">
      <c r="B6747" s="25" t="n"/>
      <c r="I6747" s="25" t="n"/>
      <c r="U6747" s="19">
        <f>IF(AND($V6747='設定'!$C$4,COUNTIF('商品マスタ'!$B$6:$B$1005,$W6747)=0),N(U6746)+1,N(U6746))</f>
        <v/>
      </c>
      <c r="V6747" s="19">
        <f>IF($B6747="","",TEXT($B6747,"0000"))</f>
        <v/>
      </c>
      <c r="W6747" s="19">
        <f>IF($I6747="","",IF(ISNUMBER($I6747),TEXT($I6747,"0"),$I6747))</f>
        <v/>
      </c>
    </row>
    <row r="6748">
      <c r="B6748" s="25" t="n"/>
      <c r="I6748" s="25" t="n"/>
      <c r="U6748" s="19">
        <f>IF(AND($V6748='設定'!$C$4,COUNTIF('商品マスタ'!$B$6:$B$1005,$W6748)=0),N(U6747)+1,N(U6747))</f>
        <v/>
      </c>
      <c r="V6748" s="19">
        <f>IF($B6748="","",TEXT($B6748,"0000"))</f>
        <v/>
      </c>
      <c r="W6748" s="19">
        <f>IF($I6748="","",IF(ISNUMBER($I6748),TEXT($I6748,"0"),$I6748))</f>
        <v/>
      </c>
    </row>
    <row r="6749">
      <c r="B6749" s="25" t="n"/>
      <c r="I6749" s="25" t="n"/>
      <c r="U6749" s="19">
        <f>IF(AND($V6749='設定'!$C$4,COUNTIF('商品マスタ'!$B$6:$B$1005,$W6749)=0),N(U6748)+1,N(U6748))</f>
        <v/>
      </c>
      <c r="V6749" s="19">
        <f>IF($B6749="","",TEXT($B6749,"0000"))</f>
        <v/>
      </c>
      <c r="W6749" s="19">
        <f>IF($I6749="","",IF(ISNUMBER($I6749),TEXT($I6749,"0"),$I6749))</f>
        <v/>
      </c>
    </row>
    <row r="6750">
      <c r="B6750" s="25" t="n"/>
      <c r="I6750" s="25" t="n"/>
      <c r="U6750" s="19">
        <f>IF(AND($V6750='設定'!$C$4,COUNTIF('商品マスタ'!$B$6:$B$1005,$W6750)=0),N(U6749)+1,N(U6749))</f>
        <v/>
      </c>
      <c r="V6750" s="19">
        <f>IF($B6750="","",TEXT($B6750,"0000"))</f>
        <v/>
      </c>
      <c r="W6750" s="19">
        <f>IF($I6750="","",IF(ISNUMBER($I6750),TEXT($I6750,"0"),$I6750))</f>
        <v/>
      </c>
    </row>
    <row r="6751">
      <c r="B6751" s="25" t="n"/>
      <c r="I6751" s="25" t="n"/>
      <c r="U6751" s="19">
        <f>IF(AND($V6751='設定'!$C$4,COUNTIF('商品マスタ'!$B$6:$B$1005,$W6751)=0),N(U6750)+1,N(U6750))</f>
        <v/>
      </c>
      <c r="V6751" s="19">
        <f>IF($B6751="","",TEXT($B6751,"0000"))</f>
        <v/>
      </c>
      <c r="W6751" s="19">
        <f>IF($I6751="","",IF(ISNUMBER($I6751),TEXT($I6751,"0"),$I6751))</f>
        <v/>
      </c>
    </row>
    <row r="6752">
      <c r="B6752" s="25" t="n"/>
      <c r="I6752" s="25" t="n"/>
      <c r="U6752" s="19">
        <f>IF(AND($V6752='設定'!$C$4,COUNTIF('商品マスタ'!$B$6:$B$1005,$W6752)=0),N(U6751)+1,N(U6751))</f>
        <v/>
      </c>
      <c r="V6752" s="19">
        <f>IF($B6752="","",TEXT($B6752,"0000"))</f>
        <v/>
      </c>
      <c r="W6752" s="19">
        <f>IF($I6752="","",IF(ISNUMBER($I6752),TEXT($I6752,"0"),$I6752))</f>
        <v/>
      </c>
    </row>
    <row r="6753">
      <c r="B6753" s="25" t="n"/>
      <c r="I6753" s="25" t="n"/>
      <c r="U6753" s="19">
        <f>IF(AND($V6753='設定'!$C$4,COUNTIF('商品マスタ'!$B$6:$B$1005,$W6753)=0),N(U6752)+1,N(U6752))</f>
        <v/>
      </c>
      <c r="V6753" s="19">
        <f>IF($B6753="","",TEXT($B6753,"0000"))</f>
        <v/>
      </c>
      <c r="W6753" s="19">
        <f>IF($I6753="","",IF(ISNUMBER($I6753),TEXT($I6753,"0"),$I6753))</f>
        <v/>
      </c>
    </row>
    <row r="6754">
      <c r="B6754" s="25" t="n"/>
      <c r="I6754" s="25" t="n"/>
      <c r="U6754" s="19">
        <f>IF(AND($V6754='設定'!$C$4,COUNTIF('商品マスタ'!$B$6:$B$1005,$W6754)=0),N(U6753)+1,N(U6753))</f>
        <v/>
      </c>
      <c r="V6754" s="19">
        <f>IF($B6754="","",TEXT($B6754,"0000"))</f>
        <v/>
      </c>
      <c r="W6754" s="19">
        <f>IF($I6754="","",IF(ISNUMBER($I6754),TEXT($I6754,"0"),$I6754))</f>
        <v/>
      </c>
    </row>
    <row r="6755">
      <c r="B6755" s="25" t="n"/>
      <c r="I6755" s="25" t="n"/>
      <c r="U6755" s="19">
        <f>IF(AND($V6755='設定'!$C$4,COUNTIF('商品マスタ'!$B$6:$B$1005,$W6755)=0),N(U6754)+1,N(U6754))</f>
        <v/>
      </c>
      <c r="V6755" s="19">
        <f>IF($B6755="","",TEXT($B6755,"0000"))</f>
        <v/>
      </c>
      <c r="W6755" s="19">
        <f>IF($I6755="","",IF(ISNUMBER($I6755),TEXT($I6755,"0"),$I6755))</f>
        <v/>
      </c>
    </row>
    <row r="6756">
      <c r="B6756" s="25" t="n"/>
      <c r="I6756" s="25" t="n"/>
      <c r="U6756" s="19">
        <f>IF(AND($V6756='設定'!$C$4,COUNTIF('商品マスタ'!$B$6:$B$1005,$W6756)=0),N(U6755)+1,N(U6755))</f>
        <v/>
      </c>
      <c r="V6756" s="19">
        <f>IF($B6756="","",TEXT($B6756,"0000"))</f>
        <v/>
      </c>
      <c r="W6756" s="19">
        <f>IF($I6756="","",IF(ISNUMBER($I6756),TEXT($I6756,"0"),$I6756))</f>
        <v/>
      </c>
    </row>
    <row r="6757">
      <c r="B6757" s="25" t="n"/>
      <c r="I6757" s="25" t="n"/>
      <c r="U6757" s="19">
        <f>IF(AND($V6757='設定'!$C$4,COUNTIF('商品マスタ'!$B$6:$B$1005,$W6757)=0),N(U6756)+1,N(U6756))</f>
        <v/>
      </c>
      <c r="V6757" s="19">
        <f>IF($B6757="","",TEXT($B6757,"0000"))</f>
        <v/>
      </c>
      <c r="W6757" s="19">
        <f>IF($I6757="","",IF(ISNUMBER($I6757),TEXT($I6757,"0"),$I6757))</f>
        <v/>
      </c>
    </row>
    <row r="6758">
      <c r="B6758" s="25" t="n"/>
      <c r="I6758" s="25" t="n"/>
      <c r="U6758" s="19">
        <f>IF(AND($V6758='設定'!$C$4,COUNTIF('商品マスタ'!$B$6:$B$1005,$W6758)=0),N(U6757)+1,N(U6757))</f>
        <v/>
      </c>
      <c r="V6758" s="19">
        <f>IF($B6758="","",TEXT($B6758,"0000"))</f>
        <v/>
      </c>
      <c r="W6758" s="19">
        <f>IF($I6758="","",IF(ISNUMBER($I6758),TEXT($I6758,"0"),$I6758))</f>
        <v/>
      </c>
    </row>
    <row r="6759">
      <c r="B6759" s="25" t="n"/>
      <c r="I6759" s="25" t="n"/>
      <c r="U6759" s="19">
        <f>IF(AND($V6759='設定'!$C$4,COUNTIF('商品マスタ'!$B$6:$B$1005,$W6759)=0),N(U6758)+1,N(U6758))</f>
        <v/>
      </c>
      <c r="V6759" s="19">
        <f>IF($B6759="","",TEXT($B6759,"0000"))</f>
        <v/>
      </c>
      <c r="W6759" s="19">
        <f>IF($I6759="","",IF(ISNUMBER($I6759),TEXT($I6759,"0"),$I6759))</f>
        <v/>
      </c>
    </row>
    <row r="6760">
      <c r="B6760" s="25" t="n"/>
      <c r="I6760" s="25" t="n"/>
      <c r="U6760" s="19">
        <f>IF(AND($V6760='設定'!$C$4,COUNTIF('商品マスタ'!$B$6:$B$1005,$W6760)=0),N(U6759)+1,N(U6759))</f>
        <v/>
      </c>
      <c r="V6760" s="19">
        <f>IF($B6760="","",TEXT($B6760,"0000"))</f>
        <v/>
      </c>
      <c r="W6760" s="19">
        <f>IF($I6760="","",IF(ISNUMBER($I6760),TEXT($I6760,"0"),$I6760))</f>
        <v/>
      </c>
    </row>
    <row r="6761">
      <c r="B6761" s="25" t="n"/>
      <c r="I6761" s="25" t="n"/>
      <c r="U6761" s="19">
        <f>IF(AND($V6761='設定'!$C$4,COUNTIF('商品マスタ'!$B$6:$B$1005,$W6761)=0),N(U6760)+1,N(U6760))</f>
        <v/>
      </c>
      <c r="V6761" s="19">
        <f>IF($B6761="","",TEXT($B6761,"0000"))</f>
        <v/>
      </c>
      <c r="W6761" s="19">
        <f>IF($I6761="","",IF(ISNUMBER($I6761),TEXT($I6761,"0"),$I6761))</f>
        <v/>
      </c>
    </row>
    <row r="6762">
      <c r="B6762" s="25" t="n"/>
      <c r="I6762" s="25" t="n"/>
      <c r="U6762" s="19">
        <f>IF(AND($V6762='設定'!$C$4,COUNTIF('商品マスタ'!$B$6:$B$1005,$W6762)=0),N(U6761)+1,N(U6761))</f>
        <v/>
      </c>
      <c r="V6762" s="19">
        <f>IF($B6762="","",TEXT($B6762,"0000"))</f>
        <v/>
      </c>
      <c r="W6762" s="19">
        <f>IF($I6762="","",IF(ISNUMBER($I6762),TEXT($I6762,"0"),$I6762))</f>
        <v/>
      </c>
    </row>
    <row r="6763">
      <c r="B6763" s="25" t="n"/>
      <c r="I6763" s="25" t="n"/>
      <c r="U6763" s="19">
        <f>IF(AND($V6763='設定'!$C$4,COUNTIF('商品マスタ'!$B$6:$B$1005,$W6763)=0),N(U6762)+1,N(U6762))</f>
        <v/>
      </c>
      <c r="V6763" s="19">
        <f>IF($B6763="","",TEXT($B6763,"0000"))</f>
        <v/>
      </c>
      <c r="W6763" s="19">
        <f>IF($I6763="","",IF(ISNUMBER($I6763),TEXT($I6763,"0"),$I6763))</f>
        <v/>
      </c>
    </row>
    <row r="6764">
      <c r="B6764" s="25" t="n"/>
      <c r="I6764" s="25" t="n"/>
      <c r="U6764" s="19">
        <f>IF(AND($V6764='設定'!$C$4,COUNTIF('商品マスタ'!$B$6:$B$1005,$W6764)=0),N(U6763)+1,N(U6763))</f>
        <v/>
      </c>
      <c r="V6764" s="19">
        <f>IF($B6764="","",TEXT($B6764,"0000"))</f>
        <v/>
      </c>
      <c r="W6764" s="19">
        <f>IF($I6764="","",IF(ISNUMBER($I6764),TEXT($I6764,"0"),$I6764))</f>
        <v/>
      </c>
    </row>
    <row r="6765">
      <c r="B6765" s="25" t="n"/>
      <c r="I6765" s="25" t="n"/>
      <c r="U6765" s="19">
        <f>IF(AND($V6765='設定'!$C$4,COUNTIF('商品マスタ'!$B$6:$B$1005,$W6765)=0),N(U6764)+1,N(U6764))</f>
        <v/>
      </c>
      <c r="V6765" s="19">
        <f>IF($B6765="","",TEXT($B6765,"0000"))</f>
        <v/>
      </c>
      <c r="W6765" s="19">
        <f>IF($I6765="","",IF(ISNUMBER($I6765),TEXT($I6765,"0"),$I6765))</f>
        <v/>
      </c>
    </row>
    <row r="6766">
      <c r="B6766" s="25" t="n"/>
      <c r="I6766" s="25" t="n"/>
      <c r="U6766" s="19">
        <f>IF(AND($V6766='設定'!$C$4,COUNTIF('商品マスタ'!$B$6:$B$1005,$W6766)=0),N(U6765)+1,N(U6765))</f>
        <v/>
      </c>
      <c r="V6766" s="19">
        <f>IF($B6766="","",TEXT($B6766,"0000"))</f>
        <v/>
      </c>
      <c r="W6766" s="19">
        <f>IF($I6766="","",IF(ISNUMBER($I6766),TEXT($I6766,"0"),$I6766))</f>
        <v/>
      </c>
    </row>
    <row r="6767">
      <c r="B6767" s="25" t="n"/>
      <c r="I6767" s="25" t="n"/>
      <c r="U6767" s="19">
        <f>IF(AND($V6767='設定'!$C$4,COUNTIF('商品マスタ'!$B$6:$B$1005,$W6767)=0),N(U6766)+1,N(U6766))</f>
        <v/>
      </c>
      <c r="V6767" s="19">
        <f>IF($B6767="","",TEXT($B6767,"0000"))</f>
        <v/>
      </c>
      <c r="W6767" s="19">
        <f>IF($I6767="","",IF(ISNUMBER($I6767),TEXT($I6767,"0"),$I6767))</f>
        <v/>
      </c>
    </row>
    <row r="6768">
      <c r="B6768" s="25" t="n"/>
      <c r="I6768" s="25" t="n"/>
      <c r="U6768" s="19">
        <f>IF(AND($V6768='設定'!$C$4,COUNTIF('商品マスタ'!$B$6:$B$1005,$W6768)=0),N(U6767)+1,N(U6767))</f>
        <v/>
      </c>
      <c r="V6768" s="19">
        <f>IF($B6768="","",TEXT($B6768,"0000"))</f>
        <v/>
      </c>
      <c r="W6768" s="19">
        <f>IF($I6768="","",IF(ISNUMBER($I6768),TEXT($I6768,"0"),$I6768))</f>
        <v/>
      </c>
    </row>
    <row r="6769">
      <c r="B6769" s="25" t="n"/>
      <c r="I6769" s="25" t="n"/>
      <c r="U6769" s="19">
        <f>IF(AND($V6769='設定'!$C$4,COUNTIF('商品マスタ'!$B$6:$B$1005,$W6769)=0),N(U6768)+1,N(U6768))</f>
        <v/>
      </c>
      <c r="V6769" s="19">
        <f>IF($B6769="","",TEXT($B6769,"0000"))</f>
        <v/>
      </c>
      <c r="W6769" s="19">
        <f>IF($I6769="","",IF(ISNUMBER($I6769),TEXT($I6769,"0"),$I6769))</f>
        <v/>
      </c>
    </row>
    <row r="6770">
      <c r="B6770" s="25" t="n"/>
      <c r="I6770" s="25" t="n"/>
      <c r="U6770" s="19">
        <f>IF(AND($V6770='設定'!$C$4,COUNTIF('商品マスタ'!$B$6:$B$1005,$W6770)=0),N(U6769)+1,N(U6769))</f>
        <v/>
      </c>
      <c r="V6770" s="19">
        <f>IF($B6770="","",TEXT($B6770,"0000"))</f>
        <v/>
      </c>
      <c r="W6770" s="19">
        <f>IF($I6770="","",IF(ISNUMBER($I6770),TEXT($I6770,"0"),$I6770))</f>
        <v/>
      </c>
    </row>
    <row r="6771">
      <c r="B6771" s="25" t="n"/>
      <c r="I6771" s="25" t="n"/>
      <c r="U6771" s="19">
        <f>IF(AND($V6771='設定'!$C$4,COUNTIF('商品マスタ'!$B$6:$B$1005,$W6771)=0),N(U6770)+1,N(U6770))</f>
        <v/>
      </c>
      <c r="V6771" s="19">
        <f>IF($B6771="","",TEXT($B6771,"0000"))</f>
        <v/>
      </c>
      <c r="W6771" s="19">
        <f>IF($I6771="","",IF(ISNUMBER($I6771),TEXT($I6771,"0"),$I6771))</f>
        <v/>
      </c>
    </row>
    <row r="6772">
      <c r="B6772" s="25" t="n"/>
      <c r="I6772" s="25" t="n"/>
      <c r="U6772" s="19">
        <f>IF(AND($V6772='設定'!$C$4,COUNTIF('商品マスタ'!$B$6:$B$1005,$W6772)=0),N(U6771)+1,N(U6771))</f>
        <v/>
      </c>
      <c r="V6772" s="19">
        <f>IF($B6772="","",TEXT($B6772,"0000"))</f>
        <v/>
      </c>
      <c r="W6772" s="19">
        <f>IF($I6772="","",IF(ISNUMBER($I6772),TEXT($I6772,"0"),$I6772))</f>
        <v/>
      </c>
    </row>
    <row r="6773">
      <c r="B6773" s="25" t="n"/>
      <c r="I6773" s="25" t="n"/>
      <c r="U6773" s="19">
        <f>IF(AND($V6773='設定'!$C$4,COUNTIF('商品マスタ'!$B$6:$B$1005,$W6773)=0),N(U6772)+1,N(U6772))</f>
        <v/>
      </c>
      <c r="V6773" s="19">
        <f>IF($B6773="","",TEXT($B6773,"0000"))</f>
        <v/>
      </c>
      <c r="W6773" s="19">
        <f>IF($I6773="","",IF(ISNUMBER($I6773),TEXT($I6773,"0"),$I6773))</f>
        <v/>
      </c>
    </row>
    <row r="6774">
      <c r="B6774" s="25" t="n"/>
      <c r="I6774" s="25" t="n"/>
      <c r="U6774" s="19">
        <f>IF(AND($V6774='設定'!$C$4,COUNTIF('商品マスタ'!$B$6:$B$1005,$W6774)=0),N(U6773)+1,N(U6773))</f>
        <v/>
      </c>
      <c r="V6774" s="19">
        <f>IF($B6774="","",TEXT($B6774,"0000"))</f>
        <v/>
      </c>
      <c r="W6774" s="19">
        <f>IF($I6774="","",IF(ISNUMBER($I6774),TEXT($I6774,"0"),$I6774))</f>
        <v/>
      </c>
    </row>
    <row r="6775">
      <c r="B6775" s="25" t="n"/>
      <c r="I6775" s="25" t="n"/>
      <c r="U6775" s="19">
        <f>IF(AND($V6775='設定'!$C$4,COUNTIF('商品マスタ'!$B$6:$B$1005,$W6775)=0),N(U6774)+1,N(U6774))</f>
        <v/>
      </c>
      <c r="V6775" s="19">
        <f>IF($B6775="","",TEXT($B6775,"0000"))</f>
        <v/>
      </c>
      <c r="W6775" s="19">
        <f>IF($I6775="","",IF(ISNUMBER($I6775),TEXT($I6775,"0"),$I6775))</f>
        <v/>
      </c>
    </row>
    <row r="6776">
      <c r="B6776" s="25" t="n"/>
      <c r="I6776" s="25" t="n"/>
      <c r="U6776" s="19">
        <f>IF(AND($V6776='設定'!$C$4,COUNTIF('商品マスタ'!$B$6:$B$1005,$W6776)=0),N(U6775)+1,N(U6775))</f>
        <v/>
      </c>
      <c r="V6776" s="19">
        <f>IF($B6776="","",TEXT($B6776,"0000"))</f>
        <v/>
      </c>
      <c r="W6776" s="19">
        <f>IF($I6776="","",IF(ISNUMBER($I6776),TEXT($I6776,"0"),$I6776))</f>
        <v/>
      </c>
    </row>
    <row r="6777">
      <c r="B6777" s="25" t="n"/>
      <c r="I6777" s="25" t="n"/>
      <c r="U6777" s="19">
        <f>IF(AND($V6777='設定'!$C$4,COUNTIF('商品マスタ'!$B$6:$B$1005,$W6777)=0),N(U6776)+1,N(U6776))</f>
        <v/>
      </c>
      <c r="V6777" s="19">
        <f>IF($B6777="","",TEXT($B6777,"0000"))</f>
        <v/>
      </c>
      <c r="W6777" s="19">
        <f>IF($I6777="","",IF(ISNUMBER($I6777),TEXT($I6777,"0"),$I6777))</f>
        <v/>
      </c>
    </row>
    <row r="6778">
      <c r="B6778" s="25" t="n"/>
      <c r="I6778" s="25" t="n"/>
      <c r="U6778" s="19">
        <f>IF(AND($V6778='設定'!$C$4,COUNTIF('商品マスタ'!$B$6:$B$1005,$W6778)=0),N(U6777)+1,N(U6777))</f>
        <v/>
      </c>
      <c r="V6778" s="19">
        <f>IF($B6778="","",TEXT($B6778,"0000"))</f>
        <v/>
      </c>
      <c r="W6778" s="19">
        <f>IF($I6778="","",IF(ISNUMBER($I6778),TEXT($I6778,"0"),$I6778))</f>
        <v/>
      </c>
    </row>
    <row r="6779">
      <c r="B6779" s="25" t="n"/>
      <c r="I6779" s="25" t="n"/>
      <c r="U6779" s="19">
        <f>IF(AND($V6779='設定'!$C$4,COUNTIF('商品マスタ'!$B$6:$B$1005,$W6779)=0),N(U6778)+1,N(U6778))</f>
        <v/>
      </c>
      <c r="V6779" s="19">
        <f>IF($B6779="","",TEXT($B6779,"0000"))</f>
        <v/>
      </c>
      <c r="W6779" s="19">
        <f>IF($I6779="","",IF(ISNUMBER($I6779),TEXT($I6779,"0"),$I6779))</f>
        <v/>
      </c>
    </row>
    <row r="6780">
      <c r="B6780" s="25" t="n"/>
      <c r="I6780" s="25" t="n"/>
      <c r="U6780" s="19">
        <f>IF(AND($V6780='設定'!$C$4,COUNTIF('商品マスタ'!$B$6:$B$1005,$W6780)=0),N(U6779)+1,N(U6779))</f>
        <v/>
      </c>
      <c r="V6780" s="19">
        <f>IF($B6780="","",TEXT($B6780,"0000"))</f>
        <v/>
      </c>
      <c r="W6780" s="19">
        <f>IF($I6780="","",IF(ISNUMBER($I6780),TEXT($I6780,"0"),$I6780))</f>
        <v/>
      </c>
    </row>
    <row r="6781">
      <c r="B6781" s="25" t="n"/>
      <c r="I6781" s="25" t="n"/>
      <c r="U6781" s="19">
        <f>IF(AND($V6781='設定'!$C$4,COUNTIF('商品マスタ'!$B$6:$B$1005,$W6781)=0),N(U6780)+1,N(U6780))</f>
        <v/>
      </c>
      <c r="V6781" s="19">
        <f>IF($B6781="","",TEXT($B6781,"0000"))</f>
        <v/>
      </c>
      <c r="W6781" s="19">
        <f>IF($I6781="","",IF(ISNUMBER($I6781),TEXT($I6781,"0"),$I6781))</f>
        <v/>
      </c>
    </row>
    <row r="6782">
      <c r="B6782" s="25" t="n"/>
      <c r="I6782" s="25" t="n"/>
      <c r="U6782" s="19">
        <f>IF(AND($V6782='設定'!$C$4,COUNTIF('商品マスタ'!$B$6:$B$1005,$W6782)=0),N(U6781)+1,N(U6781))</f>
        <v/>
      </c>
      <c r="V6782" s="19">
        <f>IF($B6782="","",TEXT($B6782,"0000"))</f>
        <v/>
      </c>
      <c r="W6782" s="19">
        <f>IF($I6782="","",IF(ISNUMBER($I6782),TEXT($I6782,"0"),$I6782))</f>
        <v/>
      </c>
    </row>
    <row r="6783">
      <c r="B6783" s="25" t="n"/>
      <c r="I6783" s="25" t="n"/>
      <c r="U6783" s="19">
        <f>IF(AND($V6783='設定'!$C$4,COUNTIF('商品マスタ'!$B$6:$B$1005,$W6783)=0),N(U6782)+1,N(U6782))</f>
        <v/>
      </c>
      <c r="V6783" s="19">
        <f>IF($B6783="","",TEXT($B6783,"0000"))</f>
        <v/>
      </c>
      <c r="W6783" s="19">
        <f>IF($I6783="","",IF(ISNUMBER($I6783),TEXT($I6783,"0"),$I6783))</f>
        <v/>
      </c>
    </row>
    <row r="6784">
      <c r="B6784" s="25" t="n"/>
      <c r="I6784" s="25" t="n"/>
      <c r="U6784" s="19">
        <f>IF(AND($V6784='設定'!$C$4,COUNTIF('商品マスタ'!$B$6:$B$1005,$W6784)=0),N(U6783)+1,N(U6783))</f>
        <v/>
      </c>
      <c r="V6784" s="19">
        <f>IF($B6784="","",TEXT($B6784,"0000"))</f>
        <v/>
      </c>
      <c r="W6784" s="19">
        <f>IF($I6784="","",IF(ISNUMBER($I6784),TEXT($I6784,"0"),$I6784))</f>
        <v/>
      </c>
    </row>
    <row r="6785">
      <c r="B6785" s="25" t="n"/>
      <c r="I6785" s="25" t="n"/>
      <c r="U6785" s="19">
        <f>IF(AND($V6785='設定'!$C$4,COUNTIF('商品マスタ'!$B$6:$B$1005,$W6785)=0),N(U6784)+1,N(U6784))</f>
        <v/>
      </c>
      <c r="V6785" s="19">
        <f>IF($B6785="","",TEXT($B6785,"0000"))</f>
        <v/>
      </c>
      <c r="W6785" s="19">
        <f>IF($I6785="","",IF(ISNUMBER($I6785),TEXT($I6785,"0"),$I6785))</f>
        <v/>
      </c>
    </row>
    <row r="6786">
      <c r="B6786" s="25" t="n"/>
      <c r="I6786" s="25" t="n"/>
      <c r="U6786" s="19">
        <f>IF(AND($V6786='設定'!$C$4,COUNTIF('商品マスタ'!$B$6:$B$1005,$W6786)=0),N(U6785)+1,N(U6785))</f>
        <v/>
      </c>
      <c r="V6786" s="19">
        <f>IF($B6786="","",TEXT($B6786,"0000"))</f>
        <v/>
      </c>
      <c r="W6786" s="19">
        <f>IF($I6786="","",IF(ISNUMBER($I6786),TEXT($I6786,"0"),$I6786))</f>
        <v/>
      </c>
    </row>
    <row r="6787">
      <c r="B6787" s="25" t="n"/>
      <c r="I6787" s="25" t="n"/>
      <c r="U6787" s="19">
        <f>IF(AND($V6787='設定'!$C$4,COUNTIF('商品マスタ'!$B$6:$B$1005,$W6787)=0),N(U6786)+1,N(U6786))</f>
        <v/>
      </c>
      <c r="V6787" s="19">
        <f>IF($B6787="","",TEXT($B6787,"0000"))</f>
        <v/>
      </c>
      <c r="W6787" s="19">
        <f>IF($I6787="","",IF(ISNUMBER($I6787),TEXT($I6787,"0"),$I6787))</f>
        <v/>
      </c>
    </row>
    <row r="6788">
      <c r="B6788" s="25" t="n"/>
      <c r="I6788" s="25" t="n"/>
      <c r="U6788" s="19">
        <f>IF(AND($V6788='設定'!$C$4,COUNTIF('商品マスタ'!$B$6:$B$1005,$W6788)=0),N(U6787)+1,N(U6787))</f>
        <v/>
      </c>
      <c r="V6788" s="19">
        <f>IF($B6788="","",TEXT($B6788,"0000"))</f>
        <v/>
      </c>
      <c r="W6788" s="19">
        <f>IF($I6788="","",IF(ISNUMBER($I6788),TEXT($I6788,"0"),$I6788))</f>
        <v/>
      </c>
    </row>
    <row r="6789">
      <c r="B6789" s="25" t="n"/>
      <c r="I6789" s="25" t="n"/>
      <c r="U6789" s="19">
        <f>IF(AND($V6789='設定'!$C$4,COUNTIF('商品マスタ'!$B$6:$B$1005,$W6789)=0),N(U6788)+1,N(U6788))</f>
        <v/>
      </c>
      <c r="V6789" s="19">
        <f>IF($B6789="","",TEXT($B6789,"0000"))</f>
        <v/>
      </c>
      <c r="W6789" s="19">
        <f>IF($I6789="","",IF(ISNUMBER($I6789),TEXT($I6789,"0"),$I6789))</f>
        <v/>
      </c>
    </row>
    <row r="6790">
      <c r="B6790" s="25" t="n"/>
      <c r="I6790" s="25" t="n"/>
      <c r="U6790" s="19">
        <f>IF(AND($V6790='設定'!$C$4,COUNTIF('商品マスタ'!$B$6:$B$1005,$W6790)=0),N(U6789)+1,N(U6789))</f>
        <v/>
      </c>
      <c r="V6790" s="19">
        <f>IF($B6790="","",TEXT($B6790,"0000"))</f>
        <v/>
      </c>
      <c r="W6790" s="19">
        <f>IF($I6790="","",IF(ISNUMBER($I6790),TEXT($I6790,"0"),$I6790))</f>
        <v/>
      </c>
    </row>
    <row r="6791">
      <c r="B6791" s="25" t="n"/>
      <c r="I6791" s="25" t="n"/>
      <c r="U6791" s="19">
        <f>IF(AND($V6791='設定'!$C$4,COUNTIF('商品マスタ'!$B$6:$B$1005,$W6791)=0),N(U6790)+1,N(U6790))</f>
        <v/>
      </c>
      <c r="V6791" s="19">
        <f>IF($B6791="","",TEXT($B6791,"0000"))</f>
        <v/>
      </c>
      <c r="W6791" s="19">
        <f>IF($I6791="","",IF(ISNUMBER($I6791),TEXT($I6791,"0"),$I6791))</f>
        <v/>
      </c>
    </row>
    <row r="6792">
      <c r="B6792" s="25" t="n"/>
      <c r="I6792" s="25" t="n"/>
      <c r="U6792" s="19">
        <f>IF(AND($V6792='設定'!$C$4,COUNTIF('商品マスタ'!$B$6:$B$1005,$W6792)=0),N(U6791)+1,N(U6791))</f>
        <v/>
      </c>
      <c r="V6792" s="19">
        <f>IF($B6792="","",TEXT($B6792,"0000"))</f>
        <v/>
      </c>
      <c r="W6792" s="19">
        <f>IF($I6792="","",IF(ISNUMBER($I6792),TEXT($I6792,"0"),$I6792))</f>
        <v/>
      </c>
    </row>
    <row r="6793">
      <c r="B6793" s="25" t="n"/>
      <c r="I6793" s="25" t="n"/>
      <c r="U6793" s="19">
        <f>IF(AND($V6793='設定'!$C$4,COUNTIF('商品マスタ'!$B$6:$B$1005,$W6793)=0),N(U6792)+1,N(U6792))</f>
        <v/>
      </c>
      <c r="V6793" s="19">
        <f>IF($B6793="","",TEXT($B6793,"0000"))</f>
        <v/>
      </c>
      <c r="W6793" s="19">
        <f>IF($I6793="","",IF(ISNUMBER($I6793),TEXT($I6793,"0"),$I6793))</f>
        <v/>
      </c>
    </row>
    <row r="6794">
      <c r="B6794" s="25" t="n"/>
      <c r="I6794" s="25" t="n"/>
      <c r="U6794" s="19">
        <f>IF(AND($V6794='設定'!$C$4,COUNTIF('商品マスタ'!$B$6:$B$1005,$W6794)=0),N(U6793)+1,N(U6793))</f>
        <v/>
      </c>
      <c r="V6794" s="19">
        <f>IF($B6794="","",TEXT($B6794,"0000"))</f>
        <v/>
      </c>
      <c r="W6794" s="19">
        <f>IF($I6794="","",IF(ISNUMBER($I6794),TEXT($I6794,"0"),$I6794))</f>
        <v/>
      </c>
    </row>
    <row r="6795">
      <c r="B6795" s="25" t="n"/>
      <c r="I6795" s="25" t="n"/>
      <c r="U6795" s="19">
        <f>IF(AND($V6795='設定'!$C$4,COUNTIF('商品マスタ'!$B$6:$B$1005,$W6795)=0),N(U6794)+1,N(U6794))</f>
        <v/>
      </c>
      <c r="V6795" s="19">
        <f>IF($B6795="","",TEXT($B6795,"0000"))</f>
        <v/>
      </c>
      <c r="W6795" s="19">
        <f>IF($I6795="","",IF(ISNUMBER($I6795),TEXT($I6795,"0"),$I6795))</f>
        <v/>
      </c>
    </row>
    <row r="6796">
      <c r="B6796" s="25" t="n"/>
      <c r="I6796" s="25" t="n"/>
      <c r="U6796" s="19">
        <f>IF(AND($V6796='設定'!$C$4,COUNTIF('商品マスタ'!$B$6:$B$1005,$W6796)=0),N(U6795)+1,N(U6795))</f>
        <v/>
      </c>
      <c r="V6796" s="19">
        <f>IF($B6796="","",TEXT($B6796,"0000"))</f>
        <v/>
      </c>
      <c r="W6796" s="19">
        <f>IF($I6796="","",IF(ISNUMBER($I6796),TEXT($I6796,"0"),$I6796))</f>
        <v/>
      </c>
    </row>
    <row r="6797">
      <c r="B6797" s="25" t="n"/>
      <c r="I6797" s="25" t="n"/>
      <c r="U6797" s="19">
        <f>IF(AND($V6797='設定'!$C$4,COUNTIF('商品マスタ'!$B$6:$B$1005,$W6797)=0),N(U6796)+1,N(U6796))</f>
        <v/>
      </c>
      <c r="V6797" s="19">
        <f>IF($B6797="","",TEXT($B6797,"0000"))</f>
        <v/>
      </c>
      <c r="W6797" s="19">
        <f>IF($I6797="","",IF(ISNUMBER($I6797),TEXT($I6797,"0"),$I6797))</f>
        <v/>
      </c>
    </row>
    <row r="6798">
      <c r="B6798" s="25" t="n"/>
      <c r="I6798" s="25" t="n"/>
      <c r="U6798" s="19">
        <f>IF(AND($V6798='設定'!$C$4,COUNTIF('商品マスタ'!$B$6:$B$1005,$W6798)=0),N(U6797)+1,N(U6797))</f>
        <v/>
      </c>
      <c r="V6798" s="19">
        <f>IF($B6798="","",TEXT($B6798,"0000"))</f>
        <v/>
      </c>
      <c r="W6798" s="19">
        <f>IF($I6798="","",IF(ISNUMBER($I6798),TEXT($I6798,"0"),$I6798))</f>
        <v/>
      </c>
    </row>
    <row r="6799">
      <c r="B6799" s="25" t="n"/>
      <c r="I6799" s="25" t="n"/>
      <c r="U6799" s="19">
        <f>IF(AND($V6799='設定'!$C$4,COUNTIF('商品マスタ'!$B$6:$B$1005,$W6799)=0),N(U6798)+1,N(U6798))</f>
        <v/>
      </c>
      <c r="V6799" s="19">
        <f>IF($B6799="","",TEXT($B6799,"0000"))</f>
        <v/>
      </c>
      <c r="W6799" s="19">
        <f>IF($I6799="","",IF(ISNUMBER($I6799),TEXT($I6799,"0"),$I6799))</f>
        <v/>
      </c>
    </row>
    <row r="6800">
      <c r="B6800" s="25" t="n"/>
      <c r="I6800" s="25" t="n"/>
      <c r="U6800" s="19">
        <f>IF(AND($V6800='設定'!$C$4,COUNTIF('商品マスタ'!$B$6:$B$1005,$W6800)=0),N(U6799)+1,N(U6799))</f>
        <v/>
      </c>
      <c r="V6800" s="19">
        <f>IF($B6800="","",TEXT($B6800,"0000"))</f>
        <v/>
      </c>
      <c r="W6800" s="19">
        <f>IF($I6800="","",IF(ISNUMBER($I6800),TEXT($I6800,"0"),$I6800))</f>
        <v/>
      </c>
    </row>
    <row r="6801">
      <c r="B6801" s="25" t="n"/>
      <c r="I6801" s="25" t="n"/>
      <c r="U6801" s="19">
        <f>IF(AND($V6801='設定'!$C$4,COUNTIF('商品マスタ'!$B$6:$B$1005,$W6801)=0),N(U6800)+1,N(U6800))</f>
        <v/>
      </c>
      <c r="V6801" s="19">
        <f>IF($B6801="","",TEXT($B6801,"0000"))</f>
        <v/>
      </c>
      <c r="W6801" s="19">
        <f>IF($I6801="","",IF(ISNUMBER($I6801),TEXT($I6801,"0"),$I6801))</f>
        <v/>
      </c>
    </row>
    <row r="6802">
      <c r="B6802" s="25" t="n"/>
      <c r="I6802" s="25" t="n"/>
      <c r="U6802" s="19">
        <f>IF(AND($V6802='設定'!$C$4,COUNTIF('商品マスタ'!$B$6:$B$1005,$W6802)=0),N(U6801)+1,N(U6801))</f>
        <v/>
      </c>
      <c r="V6802" s="19">
        <f>IF($B6802="","",TEXT($B6802,"0000"))</f>
        <v/>
      </c>
      <c r="W6802" s="19">
        <f>IF($I6802="","",IF(ISNUMBER($I6802),TEXT($I6802,"0"),$I6802))</f>
        <v/>
      </c>
    </row>
    <row r="6803">
      <c r="B6803" s="25" t="n"/>
      <c r="I6803" s="25" t="n"/>
      <c r="U6803" s="19">
        <f>IF(AND($V6803='設定'!$C$4,COUNTIF('商品マスタ'!$B$6:$B$1005,$W6803)=0),N(U6802)+1,N(U6802))</f>
        <v/>
      </c>
      <c r="V6803" s="19">
        <f>IF($B6803="","",TEXT($B6803,"0000"))</f>
        <v/>
      </c>
      <c r="W6803" s="19">
        <f>IF($I6803="","",IF(ISNUMBER($I6803),TEXT($I6803,"0"),$I6803))</f>
        <v/>
      </c>
    </row>
    <row r="6804">
      <c r="B6804" s="25" t="n"/>
      <c r="I6804" s="25" t="n"/>
      <c r="U6804" s="19">
        <f>IF(AND($V6804='設定'!$C$4,COUNTIF('商品マスタ'!$B$6:$B$1005,$W6804)=0),N(U6803)+1,N(U6803))</f>
        <v/>
      </c>
      <c r="V6804" s="19">
        <f>IF($B6804="","",TEXT($B6804,"0000"))</f>
        <v/>
      </c>
      <c r="W6804" s="19">
        <f>IF($I6804="","",IF(ISNUMBER($I6804),TEXT($I6804,"0"),$I6804))</f>
        <v/>
      </c>
    </row>
    <row r="6805">
      <c r="B6805" s="25" t="n"/>
      <c r="I6805" s="25" t="n"/>
      <c r="U6805" s="19">
        <f>IF(AND($V6805='設定'!$C$4,COUNTIF('商品マスタ'!$B$6:$B$1005,$W6805)=0),N(U6804)+1,N(U6804))</f>
        <v/>
      </c>
      <c r="V6805" s="19">
        <f>IF($B6805="","",TEXT($B6805,"0000"))</f>
        <v/>
      </c>
      <c r="W6805" s="19">
        <f>IF($I6805="","",IF(ISNUMBER($I6805),TEXT($I6805,"0"),$I6805))</f>
        <v/>
      </c>
    </row>
    <row r="6806">
      <c r="B6806" s="25" t="n"/>
      <c r="I6806" s="25" t="n"/>
      <c r="U6806" s="19">
        <f>IF(AND($V6806='設定'!$C$4,COUNTIF('商品マスタ'!$B$6:$B$1005,$W6806)=0),N(U6805)+1,N(U6805))</f>
        <v/>
      </c>
      <c r="V6806" s="19">
        <f>IF($B6806="","",TEXT($B6806,"0000"))</f>
        <v/>
      </c>
      <c r="W6806" s="19">
        <f>IF($I6806="","",IF(ISNUMBER($I6806),TEXT($I6806,"0"),$I6806))</f>
        <v/>
      </c>
    </row>
    <row r="6807">
      <c r="B6807" s="25" t="n"/>
      <c r="I6807" s="25" t="n"/>
      <c r="U6807" s="19">
        <f>IF(AND($V6807='設定'!$C$4,COUNTIF('商品マスタ'!$B$6:$B$1005,$W6807)=0),N(U6806)+1,N(U6806))</f>
        <v/>
      </c>
      <c r="V6807" s="19">
        <f>IF($B6807="","",TEXT($B6807,"0000"))</f>
        <v/>
      </c>
      <c r="W6807" s="19">
        <f>IF($I6807="","",IF(ISNUMBER($I6807),TEXT($I6807,"0"),$I6807))</f>
        <v/>
      </c>
    </row>
    <row r="6808">
      <c r="B6808" s="25" t="n"/>
      <c r="I6808" s="25" t="n"/>
      <c r="U6808" s="19">
        <f>IF(AND($V6808='設定'!$C$4,COUNTIF('商品マスタ'!$B$6:$B$1005,$W6808)=0),N(U6807)+1,N(U6807))</f>
        <v/>
      </c>
      <c r="V6808" s="19">
        <f>IF($B6808="","",TEXT($B6808,"0000"))</f>
        <v/>
      </c>
      <c r="W6808" s="19">
        <f>IF($I6808="","",IF(ISNUMBER($I6808),TEXT($I6808,"0"),$I6808))</f>
        <v/>
      </c>
    </row>
    <row r="6809">
      <c r="B6809" s="25" t="n"/>
      <c r="I6809" s="25" t="n"/>
      <c r="U6809" s="19">
        <f>IF(AND($V6809='設定'!$C$4,COUNTIF('商品マスタ'!$B$6:$B$1005,$W6809)=0),N(U6808)+1,N(U6808))</f>
        <v/>
      </c>
      <c r="V6809" s="19">
        <f>IF($B6809="","",TEXT($B6809,"0000"))</f>
        <v/>
      </c>
      <c r="W6809" s="19">
        <f>IF($I6809="","",IF(ISNUMBER($I6809),TEXT($I6809,"0"),$I6809))</f>
        <v/>
      </c>
    </row>
    <row r="6810">
      <c r="B6810" s="25" t="n"/>
      <c r="I6810" s="25" t="n"/>
      <c r="U6810" s="19">
        <f>IF(AND($V6810='設定'!$C$4,COUNTIF('商品マスタ'!$B$6:$B$1005,$W6810)=0),N(U6809)+1,N(U6809))</f>
        <v/>
      </c>
      <c r="V6810" s="19">
        <f>IF($B6810="","",TEXT($B6810,"0000"))</f>
        <v/>
      </c>
      <c r="W6810" s="19">
        <f>IF($I6810="","",IF(ISNUMBER($I6810),TEXT($I6810,"0"),$I6810))</f>
        <v/>
      </c>
    </row>
    <row r="6811">
      <c r="B6811" s="25" t="n"/>
      <c r="I6811" s="25" t="n"/>
      <c r="U6811" s="19">
        <f>IF(AND($V6811='設定'!$C$4,COUNTIF('商品マスタ'!$B$6:$B$1005,$W6811)=0),N(U6810)+1,N(U6810))</f>
        <v/>
      </c>
      <c r="V6811" s="19">
        <f>IF($B6811="","",TEXT($B6811,"0000"))</f>
        <v/>
      </c>
      <c r="W6811" s="19">
        <f>IF($I6811="","",IF(ISNUMBER($I6811),TEXT($I6811,"0"),$I6811))</f>
        <v/>
      </c>
    </row>
    <row r="6812">
      <c r="B6812" s="25" t="n"/>
      <c r="I6812" s="25" t="n"/>
      <c r="U6812" s="19">
        <f>IF(AND($V6812='設定'!$C$4,COUNTIF('商品マスタ'!$B$6:$B$1005,$W6812)=0),N(U6811)+1,N(U6811))</f>
        <v/>
      </c>
      <c r="V6812" s="19">
        <f>IF($B6812="","",TEXT($B6812,"0000"))</f>
        <v/>
      </c>
      <c r="W6812" s="19">
        <f>IF($I6812="","",IF(ISNUMBER($I6812),TEXT($I6812,"0"),$I6812))</f>
        <v/>
      </c>
    </row>
    <row r="6813">
      <c r="B6813" s="25" t="n"/>
      <c r="I6813" s="25" t="n"/>
      <c r="U6813" s="19">
        <f>IF(AND($V6813='設定'!$C$4,COUNTIF('商品マスタ'!$B$6:$B$1005,$W6813)=0),N(U6812)+1,N(U6812))</f>
        <v/>
      </c>
      <c r="V6813" s="19">
        <f>IF($B6813="","",TEXT($B6813,"0000"))</f>
        <v/>
      </c>
      <c r="W6813" s="19">
        <f>IF($I6813="","",IF(ISNUMBER($I6813),TEXT($I6813,"0"),$I6813))</f>
        <v/>
      </c>
    </row>
    <row r="6814">
      <c r="B6814" s="25" t="n"/>
      <c r="I6814" s="25" t="n"/>
      <c r="U6814" s="19">
        <f>IF(AND($V6814='設定'!$C$4,COUNTIF('商品マスタ'!$B$6:$B$1005,$W6814)=0),N(U6813)+1,N(U6813))</f>
        <v/>
      </c>
      <c r="V6814" s="19">
        <f>IF($B6814="","",TEXT($B6814,"0000"))</f>
        <v/>
      </c>
      <c r="W6814" s="19">
        <f>IF($I6814="","",IF(ISNUMBER($I6814),TEXT($I6814,"0"),$I6814))</f>
        <v/>
      </c>
    </row>
    <row r="6815">
      <c r="B6815" s="25" t="n"/>
      <c r="I6815" s="25" t="n"/>
      <c r="U6815" s="19">
        <f>IF(AND($V6815='設定'!$C$4,COUNTIF('商品マスタ'!$B$6:$B$1005,$W6815)=0),N(U6814)+1,N(U6814))</f>
        <v/>
      </c>
      <c r="V6815" s="19">
        <f>IF($B6815="","",TEXT($B6815,"0000"))</f>
        <v/>
      </c>
      <c r="W6815" s="19">
        <f>IF($I6815="","",IF(ISNUMBER($I6815),TEXT($I6815,"0"),$I6815))</f>
        <v/>
      </c>
    </row>
    <row r="6816">
      <c r="B6816" s="25" t="n"/>
      <c r="I6816" s="25" t="n"/>
      <c r="U6816" s="19">
        <f>IF(AND($V6816='設定'!$C$4,COUNTIF('商品マスタ'!$B$6:$B$1005,$W6816)=0),N(U6815)+1,N(U6815))</f>
        <v/>
      </c>
      <c r="V6816" s="19">
        <f>IF($B6816="","",TEXT($B6816,"0000"))</f>
        <v/>
      </c>
      <c r="W6816" s="19">
        <f>IF($I6816="","",IF(ISNUMBER($I6816),TEXT($I6816,"0"),$I6816))</f>
        <v/>
      </c>
    </row>
    <row r="6817">
      <c r="B6817" s="25" t="n"/>
      <c r="I6817" s="25" t="n"/>
      <c r="U6817" s="19">
        <f>IF(AND($V6817='設定'!$C$4,COUNTIF('商品マスタ'!$B$6:$B$1005,$W6817)=0),N(U6816)+1,N(U6816))</f>
        <v/>
      </c>
      <c r="V6817" s="19">
        <f>IF($B6817="","",TEXT($B6817,"0000"))</f>
        <v/>
      </c>
      <c r="W6817" s="19">
        <f>IF($I6817="","",IF(ISNUMBER($I6817),TEXT($I6817,"0"),$I6817))</f>
        <v/>
      </c>
    </row>
    <row r="6818">
      <c r="B6818" s="25" t="n"/>
      <c r="I6818" s="25" t="n"/>
      <c r="U6818" s="19">
        <f>IF(AND($V6818='設定'!$C$4,COUNTIF('商品マスタ'!$B$6:$B$1005,$W6818)=0),N(U6817)+1,N(U6817))</f>
        <v/>
      </c>
      <c r="V6818" s="19">
        <f>IF($B6818="","",TEXT($B6818,"0000"))</f>
        <v/>
      </c>
      <c r="W6818" s="19">
        <f>IF($I6818="","",IF(ISNUMBER($I6818),TEXT($I6818,"0"),$I6818))</f>
        <v/>
      </c>
    </row>
    <row r="6819">
      <c r="B6819" s="25" t="n"/>
      <c r="I6819" s="25" t="n"/>
      <c r="U6819" s="19">
        <f>IF(AND($V6819='設定'!$C$4,COUNTIF('商品マスタ'!$B$6:$B$1005,$W6819)=0),N(U6818)+1,N(U6818))</f>
        <v/>
      </c>
      <c r="V6819" s="19">
        <f>IF($B6819="","",TEXT($B6819,"0000"))</f>
        <v/>
      </c>
      <c r="W6819" s="19">
        <f>IF($I6819="","",IF(ISNUMBER($I6819),TEXT($I6819,"0"),$I6819))</f>
        <v/>
      </c>
    </row>
    <row r="6820">
      <c r="B6820" s="25" t="n"/>
      <c r="I6820" s="25" t="n"/>
      <c r="U6820" s="19">
        <f>IF(AND($V6820='設定'!$C$4,COUNTIF('商品マスタ'!$B$6:$B$1005,$W6820)=0),N(U6819)+1,N(U6819))</f>
        <v/>
      </c>
      <c r="V6820" s="19">
        <f>IF($B6820="","",TEXT($B6820,"0000"))</f>
        <v/>
      </c>
      <c r="W6820" s="19">
        <f>IF($I6820="","",IF(ISNUMBER($I6820),TEXT($I6820,"0"),$I6820))</f>
        <v/>
      </c>
    </row>
    <row r="6821">
      <c r="B6821" s="25" t="n"/>
      <c r="I6821" s="25" t="n"/>
      <c r="U6821" s="19">
        <f>IF(AND($V6821='設定'!$C$4,COUNTIF('商品マスタ'!$B$6:$B$1005,$W6821)=0),N(U6820)+1,N(U6820))</f>
        <v/>
      </c>
      <c r="V6821" s="19">
        <f>IF($B6821="","",TEXT($B6821,"0000"))</f>
        <v/>
      </c>
      <c r="W6821" s="19">
        <f>IF($I6821="","",IF(ISNUMBER($I6821),TEXT($I6821,"0"),$I6821))</f>
        <v/>
      </c>
    </row>
    <row r="6822">
      <c r="B6822" s="25" t="n"/>
      <c r="I6822" s="25" t="n"/>
      <c r="U6822" s="19">
        <f>IF(AND($V6822='設定'!$C$4,COUNTIF('商品マスタ'!$B$6:$B$1005,$W6822)=0),N(U6821)+1,N(U6821))</f>
        <v/>
      </c>
      <c r="V6822" s="19">
        <f>IF($B6822="","",TEXT($B6822,"0000"))</f>
        <v/>
      </c>
      <c r="W6822" s="19">
        <f>IF($I6822="","",IF(ISNUMBER($I6822),TEXT($I6822,"0"),$I6822))</f>
        <v/>
      </c>
    </row>
    <row r="6823">
      <c r="B6823" s="25" t="n"/>
      <c r="I6823" s="25" t="n"/>
      <c r="U6823" s="19">
        <f>IF(AND($V6823='設定'!$C$4,COUNTIF('商品マスタ'!$B$6:$B$1005,$W6823)=0),N(U6822)+1,N(U6822))</f>
        <v/>
      </c>
      <c r="V6823" s="19">
        <f>IF($B6823="","",TEXT($B6823,"0000"))</f>
        <v/>
      </c>
      <c r="W6823" s="19">
        <f>IF($I6823="","",IF(ISNUMBER($I6823),TEXT($I6823,"0"),$I6823))</f>
        <v/>
      </c>
    </row>
    <row r="6824">
      <c r="B6824" s="25" t="n"/>
      <c r="I6824" s="25" t="n"/>
      <c r="U6824" s="19">
        <f>IF(AND($V6824='設定'!$C$4,COUNTIF('商品マスタ'!$B$6:$B$1005,$W6824)=0),N(U6823)+1,N(U6823))</f>
        <v/>
      </c>
      <c r="V6824" s="19">
        <f>IF($B6824="","",TEXT($B6824,"0000"))</f>
        <v/>
      </c>
      <c r="W6824" s="19">
        <f>IF($I6824="","",IF(ISNUMBER($I6824),TEXT($I6824,"0"),$I6824))</f>
        <v/>
      </c>
    </row>
    <row r="6825">
      <c r="B6825" s="25" t="n"/>
      <c r="I6825" s="25" t="n"/>
      <c r="U6825" s="19">
        <f>IF(AND($V6825='設定'!$C$4,COUNTIF('商品マスタ'!$B$6:$B$1005,$W6825)=0),N(U6824)+1,N(U6824))</f>
        <v/>
      </c>
      <c r="V6825" s="19">
        <f>IF($B6825="","",TEXT($B6825,"0000"))</f>
        <v/>
      </c>
      <c r="W6825" s="19">
        <f>IF($I6825="","",IF(ISNUMBER($I6825),TEXT($I6825,"0"),$I6825))</f>
        <v/>
      </c>
    </row>
    <row r="6826">
      <c r="B6826" s="25" t="n"/>
      <c r="I6826" s="25" t="n"/>
      <c r="U6826" s="19">
        <f>IF(AND($V6826='設定'!$C$4,COUNTIF('商品マスタ'!$B$6:$B$1005,$W6826)=0),N(U6825)+1,N(U6825))</f>
        <v/>
      </c>
      <c r="V6826" s="19">
        <f>IF($B6826="","",TEXT($B6826,"0000"))</f>
        <v/>
      </c>
      <c r="W6826" s="19">
        <f>IF($I6826="","",IF(ISNUMBER($I6826),TEXT($I6826,"0"),$I6826))</f>
        <v/>
      </c>
    </row>
    <row r="6827">
      <c r="B6827" s="25" t="n"/>
      <c r="I6827" s="25" t="n"/>
      <c r="U6827" s="19">
        <f>IF(AND($V6827='設定'!$C$4,COUNTIF('商品マスタ'!$B$6:$B$1005,$W6827)=0),N(U6826)+1,N(U6826))</f>
        <v/>
      </c>
      <c r="V6827" s="19">
        <f>IF($B6827="","",TEXT($B6827,"0000"))</f>
        <v/>
      </c>
      <c r="W6827" s="19">
        <f>IF($I6827="","",IF(ISNUMBER($I6827),TEXT($I6827,"0"),$I6827))</f>
        <v/>
      </c>
    </row>
    <row r="6828">
      <c r="B6828" s="25" t="n"/>
      <c r="I6828" s="25" t="n"/>
      <c r="U6828" s="19">
        <f>IF(AND($V6828='設定'!$C$4,COUNTIF('商品マスタ'!$B$6:$B$1005,$W6828)=0),N(U6827)+1,N(U6827))</f>
        <v/>
      </c>
      <c r="V6828" s="19">
        <f>IF($B6828="","",TEXT($B6828,"0000"))</f>
        <v/>
      </c>
      <c r="W6828" s="19">
        <f>IF($I6828="","",IF(ISNUMBER($I6828),TEXT($I6828,"0"),$I6828))</f>
        <v/>
      </c>
    </row>
    <row r="6829">
      <c r="B6829" s="25" t="n"/>
      <c r="I6829" s="25" t="n"/>
      <c r="U6829" s="19">
        <f>IF(AND($V6829='設定'!$C$4,COUNTIF('商品マスタ'!$B$6:$B$1005,$W6829)=0),N(U6828)+1,N(U6828))</f>
        <v/>
      </c>
      <c r="V6829" s="19">
        <f>IF($B6829="","",TEXT($B6829,"0000"))</f>
        <v/>
      </c>
      <c r="W6829" s="19">
        <f>IF($I6829="","",IF(ISNUMBER($I6829),TEXT($I6829,"0"),$I6829))</f>
        <v/>
      </c>
    </row>
    <row r="6830">
      <c r="B6830" s="25" t="n"/>
      <c r="I6830" s="25" t="n"/>
      <c r="U6830" s="19">
        <f>IF(AND($V6830='設定'!$C$4,COUNTIF('商品マスタ'!$B$6:$B$1005,$W6830)=0),N(U6829)+1,N(U6829))</f>
        <v/>
      </c>
      <c r="V6830" s="19">
        <f>IF($B6830="","",TEXT($B6830,"0000"))</f>
        <v/>
      </c>
      <c r="W6830" s="19">
        <f>IF($I6830="","",IF(ISNUMBER($I6830),TEXT($I6830,"0"),$I6830))</f>
        <v/>
      </c>
    </row>
    <row r="6831">
      <c r="B6831" s="25" t="n"/>
      <c r="I6831" s="25" t="n"/>
      <c r="U6831" s="19">
        <f>IF(AND($V6831='設定'!$C$4,COUNTIF('商品マスタ'!$B$6:$B$1005,$W6831)=0),N(U6830)+1,N(U6830))</f>
        <v/>
      </c>
      <c r="V6831" s="19">
        <f>IF($B6831="","",TEXT($B6831,"0000"))</f>
        <v/>
      </c>
      <c r="W6831" s="19">
        <f>IF($I6831="","",IF(ISNUMBER($I6831),TEXT($I6831,"0"),$I6831))</f>
        <v/>
      </c>
    </row>
    <row r="6832">
      <c r="B6832" s="25" t="n"/>
      <c r="I6832" s="25" t="n"/>
      <c r="U6832" s="19">
        <f>IF(AND($V6832='設定'!$C$4,COUNTIF('商品マスタ'!$B$6:$B$1005,$W6832)=0),N(U6831)+1,N(U6831))</f>
        <v/>
      </c>
      <c r="V6832" s="19">
        <f>IF($B6832="","",TEXT($B6832,"0000"))</f>
        <v/>
      </c>
      <c r="W6832" s="19">
        <f>IF($I6832="","",IF(ISNUMBER($I6832),TEXT($I6832,"0"),$I6832))</f>
        <v/>
      </c>
    </row>
    <row r="6833">
      <c r="B6833" s="25" t="n"/>
      <c r="I6833" s="25" t="n"/>
      <c r="U6833" s="19">
        <f>IF(AND($V6833='設定'!$C$4,COUNTIF('商品マスタ'!$B$6:$B$1005,$W6833)=0),N(U6832)+1,N(U6832))</f>
        <v/>
      </c>
      <c r="V6833" s="19">
        <f>IF($B6833="","",TEXT($B6833,"0000"))</f>
        <v/>
      </c>
      <c r="W6833" s="19">
        <f>IF($I6833="","",IF(ISNUMBER($I6833),TEXT($I6833,"0"),$I6833))</f>
        <v/>
      </c>
    </row>
    <row r="6834">
      <c r="B6834" s="25" t="n"/>
      <c r="I6834" s="25" t="n"/>
      <c r="U6834" s="19">
        <f>IF(AND($V6834='設定'!$C$4,COUNTIF('商品マスタ'!$B$6:$B$1005,$W6834)=0),N(U6833)+1,N(U6833))</f>
        <v/>
      </c>
      <c r="V6834" s="19">
        <f>IF($B6834="","",TEXT($B6834,"0000"))</f>
        <v/>
      </c>
      <c r="W6834" s="19">
        <f>IF($I6834="","",IF(ISNUMBER($I6834),TEXT($I6834,"0"),$I6834))</f>
        <v/>
      </c>
    </row>
    <row r="6835">
      <c r="B6835" s="25" t="n"/>
      <c r="I6835" s="25" t="n"/>
      <c r="U6835" s="19">
        <f>IF(AND($V6835='設定'!$C$4,COUNTIF('商品マスタ'!$B$6:$B$1005,$W6835)=0),N(U6834)+1,N(U6834))</f>
        <v/>
      </c>
      <c r="V6835" s="19">
        <f>IF($B6835="","",TEXT($B6835,"0000"))</f>
        <v/>
      </c>
      <c r="W6835" s="19">
        <f>IF($I6835="","",IF(ISNUMBER($I6835),TEXT($I6835,"0"),$I6835))</f>
        <v/>
      </c>
    </row>
    <row r="6836">
      <c r="B6836" s="25" t="n"/>
      <c r="I6836" s="25" t="n"/>
      <c r="U6836" s="19">
        <f>IF(AND($V6836='設定'!$C$4,COUNTIF('商品マスタ'!$B$6:$B$1005,$W6836)=0),N(U6835)+1,N(U6835))</f>
        <v/>
      </c>
      <c r="V6836" s="19">
        <f>IF($B6836="","",TEXT($B6836,"0000"))</f>
        <v/>
      </c>
      <c r="W6836" s="19">
        <f>IF($I6836="","",IF(ISNUMBER($I6836),TEXT($I6836,"0"),$I6836))</f>
        <v/>
      </c>
    </row>
    <row r="6837">
      <c r="B6837" s="25" t="n"/>
      <c r="I6837" s="25" t="n"/>
      <c r="U6837" s="19">
        <f>IF(AND($V6837='設定'!$C$4,COUNTIF('商品マスタ'!$B$6:$B$1005,$W6837)=0),N(U6836)+1,N(U6836))</f>
        <v/>
      </c>
      <c r="V6837" s="19">
        <f>IF($B6837="","",TEXT($B6837,"0000"))</f>
        <v/>
      </c>
      <c r="W6837" s="19">
        <f>IF($I6837="","",IF(ISNUMBER($I6837),TEXT($I6837,"0"),$I6837))</f>
        <v/>
      </c>
    </row>
    <row r="6838">
      <c r="B6838" s="25" t="n"/>
      <c r="I6838" s="25" t="n"/>
      <c r="U6838" s="19">
        <f>IF(AND($V6838='設定'!$C$4,COUNTIF('商品マスタ'!$B$6:$B$1005,$W6838)=0),N(U6837)+1,N(U6837))</f>
        <v/>
      </c>
      <c r="V6838" s="19">
        <f>IF($B6838="","",TEXT($B6838,"0000"))</f>
        <v/>
      </c>
      <c r="W6838" s="19">
        <f>IF($I6838="","",IF(ISNUMBER($I6838),TEXT($I6838,"0"),$I6838))</f>
        <v/>
      </c>
    </row>
    <row r="6839">
      <c r="B6839" s="25" t="n"/>
      <c r="I6839" s="25" t="n"/>
      <c r="U6839" s="19">
        <f>IF(AND($V6839='設定'!$C$4,COUNTIF('商品マスタ'!$B$6:$B$1005,$W6839)=0),N(U6838)+1,N(U6838))</f>
        <v/>
      </c>
      <c r="V6839" s="19">
        <f>IF($B6839="","",TEXT($B6839,"0000"))</f>
        <v/>
      </c>
      <c r="W6839" s="19">
        <f>IF($I6839="","",IF(ISNUMBER($I6839),TEXT($I6839,"0"),$I6839))</f>
        <v/>
      </c>
    </row>
    <row r="6840">
      <c r="B6840" s="25" t="n"/>
      <c r="I6840" s="25" t="n"/>
      <c r="U6840" s="19">
        <f>IF(AND($V6840='設定'!$C$4,COUNTIF('商品マスタ'!$B$6:$B$1005,$W6840)=0),N(U6839)+1,N(U6839))</f>
        <v/>
      </c>
      <c r="V6840" s="19">
        <f>IF($B6840="","",TEXT($B6840,"0000"))</f>
        <v/>
      </c>
      <c r="W6840" s="19">
        <f>IF($I6840="","",IF(ISNUMBER($I6840),TEXT($I6840,"0"),$I6840))</f>
        <v/>
      </c>
    </row>
    <row r="6841">
      <c r="B6841" s="25" t="n"/>
      <c r="I6841" s="25" t="n"/>
      <c r="U6841" s="19">
        <f>IF(AND($V6841='設定'!$C$4,COUNTIF('商品マスタ'!$B$6:$B$1005,$W6841)=0),N(U6840)+1,N(U6840))</f>
        <v/>
      </c>
      <c r="V6841" s="19">
        <f>IF($B6841="","",TEXT($B6841,"0000"))</f>
        <v/>
      </c>
      <c r="W6841" s="19">
        <f>IF($I6841="","",IF(ISNUMBER($I6841),TEXT($I6841,"0"),$I6841))</f>
        <v/>
      </c>
    </row>
    <row r="6842">
      <c r="B6842" s="25" t="n"/>
      <c r="I6842" s="25" t="n"/>
      <c r="U6842" s="19">
        <f>IF(AND($V6842='設定'!$C$4,COUNTIF('商品マスタ'!$B$6:$B$1005,$W6842)=0),N(U6841)+1,N(U6841))</f>
        <v/>
      </c>
      <c r="V6842" s="19">
        <f>IF($B6842="","",TEXT($B6842,"0000"))</f>
        <v/>
      </c>
      <c r="W6842" s="19">
        <f>IF($I6842="","",IF(ISNUMBER($I6842),TEXT($I6842,"0"),$I6842))</f>
        <v/>
      </c>
    </row>
    <row r="6843">
      <c r="B6843" s="25" t="n"/>
      <c r="I6843" s="25" t="n"/>
      <c r="U6843" s="19">
        <f>IF(AND($V6843='設定'!$C$4,COUNTIF('商品マスタ'!$B$6:$B$1005,$W6843)=0),N(U6842)+1,N(U6842))</f>
        <v/>
      </c>
      <c r="V6843" s="19">
        <f>IF($B6843="","",TEXT($B6843,"0000"))</f>
        <v/>
      </c>
      <c r="W6843" s="19">
        <f>IF($I6843="","",IF(ISNUMBER($I6843),TEXT($I6843,"0"),$I6843))</f>
        <v/>
      </c>
    </row>
    <row r="6844">
      <c r="B6844" s="25" t="n"/>
      <c r="I6844" s="25" t="n"/>
      <c r="U6844" s="19">
        <f>IF(AND($V6844='設定'!$C$4,COUNTIF('商品マスタ'!$B$6:$B$1005,$W6844)=0),N(U6843)+1,N(U6843))</f>
        <v/>
      </c>
      <c r="V6844" s="19">
        <f>IF($B6844="","",TEXT($B6844,"0000"))</f>
        <v/>
      </c>
      <c r="W6844" s="19">
        <f>IF($I6844="","",IF(ISNUMBER($I6844),TEXT($I6844,"0"),$I6844))</f>
        <v/>
      </c>
    </row>
    <row r="6845">
      <c r="B6845" s="25" t="n"/>
      <c r="I6845" s="25" t="n"/>
      <c r="U6845" s="19">
        <f>IF(AND($V6845='設定'!$C$4,COUNTIF('商品マスタ'!$B$6:$B$1005,$W6845)=0),N(U6844)+1,N(U6844))</f>
        <v/>
      </c>
      <c r="V6845" s="19">
        <f>IF($B6845="","",TEXT($B6845,"0000"))</f>
        <v/>
      </c>
      <c r="W6845" s="19">
        <f>IF($I6845="","",IF(ISNUMBER($I6845),TEXT($I6845,"0"),$I6845))</f>
        <v/>
      </c>
    </row>
    <row r="6846">
      <c r="B6846" s="25" t="n"/>
      <c r="I6846" s="25" t="n"/>
      <c r="U6846" s="19">
        <f>IF(AND($V6846='設定'!$C$4,COUNTIF('商品マスタ'!$B$6:$B$1005,$W6846)=0),N(U6845)+1,N(U6845))</f>
        <v/>
      </c>
      <c r="V6846" s="19">
        <f>IF($B6846="","",TEXT($B6846,"0000"))</f>
        <v/>
      </c>
      <c r="W6846" s="19">
        <f>IF($I6846="","",IF(ISNUMBER($I6846),TEXT($I6846,"0"),$I6846))</f>
        <v/>
      </c>
    </row>
    <row r="6847">
      <c r="B6847" s="25" t="n"/>
      <c r="I6847" s="25" t="n"/>
      <c r="U6847" s="19">
        <f>IF(AND($V6847='設定'!$C$4,COUNTIF('商品マスタ'!$B$6:$B$1005,$W6847)=0),N(U6846)+1,N(U6846))</f>
        <v/>
      </c>
      <c r="V6847" s="19">
        <f>IF($B6847="","",TEXT($B6847,"0000"))</f>
        <v/>
      </c>
      <c r="W6847" s="19">
        <f>IF($I6847="","",IF(ISNUMBER($I6847),TEXT($I6847,"0"),$I6847))</f>
        <v/>
      </c>
    </row>
    <row r="6848">
      <c r="B6848" s="25" t="n"/>
      <c r="I6848" s="25" t="n"/>
      <c r="U6848" s="19">
        <f>IF(AND($V6848='設定'!$C$4,COUNTIF('商品マスタ'!$B$6:$B$1005,$W6848)=0),N(U6847)+1,N(U6847))</f>
        <v/>
      </c>
      <c r="V6848" s="19">
        <f>IF($B6848="","",TEXT($B6848,"0000"))</f>
        <v/>
      </c>
      <c r="W6848" s="19">
        <f>IF($I6848="","",IF(ISNUMBER($I6848),TEXT($I6848,"0"),$I6848))</f>
        <v/>
      </c>
    </row>
    <row r="6849">
      <c r="B6849" s="25" t="n"/>
      <c r="I6849" s="25" t="n"/>
      <c r="U6849" s="19">
        <f>IF(AND($V6849='設定'!$C$4,COUNTIF('商品マスタ'!$B$6:$B$1005,$W6849)=0),N(U6848)+1,N(U6848))</f>
        <v/>
      </c>
      <c r="V6849" s="19">
        <f>IF($B6849="","",TEXT($B6849,"0000"))</f>
        <v/>
      </c>
      <c r="W6849" s="19">
        <f>IF($I6849="","",IF(ISNUMBER($I6849),TEXT($I6849,"0"),$I6849))</f>
        <v/>
      </c>
    </row>
    <row r="6850">
      <c r="B6850" s="25" t="n"/>
      <c r="I6850" s="25" t="n"/>
      <c r="U6850" s="19">
        <f>IF(AND($V6850='設定'!$C$4,COUNTIF('商品マスタ'!$B$6:$B$1005,$W6850)=0),N(U6849)+1,N(U6849))</f>
        <v/>
      </c>
      <c r="V6850" s="19">
        <f>IF($B6850="","",TEXT($B6850,"0000"))</f>
        <v/>
      </c>
      <c r="W6850" s="19">
        <f>IF($I6850="","",IF(ISNUMBER($I6850),TEXT($I6850,"0"),$I6850))</f>
        <v/>
      </c>
    </row>
    <row r="6851">
      <c r="B6851" s="25" t="n"/>
      <c r="I6851" s="25" t="n"/>
      <c r="U6851" s="19">
        <f>IF(AND($V6851='設定'!$C$4,COUNTIF('商品マスタ'!$B$6:$B$1005,$W6851)=0),N(U6850)+1,N(U6850))</f>
        <v/>
      </c>
      <c r="V6851" s="19">
        <f>IF($B6851="","",TEXT($B6851,"0000"))</f>
        <v/>
      </c>
      <c r="W6851" s="19">
        <f>IF($I6851="","",IF(ISNUMBER($I6851),TEXT($I6851,"0"),$I6851))</f>
        <v/>
      </c>
    </row>
    <row r="6852">
      <c r="B6852" s="25" t="n"/>
      <c r="I6852" s="25" t="n"/>
      <c r="U6852" s="19">
        <f>IF(AND($V6852='設定'!$C$4,COUNTIF('商品マスタ'!$B$6:$B$1005,$W6852)=0),N(U6851)+1,N(U6851))</f>
        <v/>
      </c>
      <c r="V6852" s="19">
        <f>IF($B6852="","",TEXT($B6852,"0000"))</f>
        <v/>
      </c>
      <c r="W6852" s="19">
        <f>IF($I6852="","",IF(ISNUMBER($I6852),TEXT($I6852,"0"),$I6852))</f>
        <v/>
      </c>
    </row>
    <row r="6853">
      <c r="B6853" s="25" t="n"/>
      <c r="I6853" s="25" t="n"/>
      <c r="U6853" s="19">
        <f>IF(AND($V6853='設定'!$C$4,COUNTIF('商品マスタ'!$B$6:$B$1005,$W6853)=0),N(U6852)+1,N(U6852))</f>
        <v/>
      </c>
      <c r="V6853" s="19">
        <f>IF($B6853="","",TEXT($B6853,"0000"))</f>
        <v/>
      </c>
      <c r="W6853" s="19">
        <f>IF($I6853="","",IF(ISNUMBER($I6853),TEXT($I6853,"0"),$I6853))</f>
        <v/>
      </c>
    </row>
    <row r="6854">
      <c r="B6854" s="25" t="n"/>
      <c r="I6854" s="25" t="n"/>
      <c r="U6854" s="19">
        <f>IF(AND($V6854='設定'!$C$4,COUNTIF('商品マスタ'!$B$6:$B$1005,$W6854)=0),N(U6853)+1,N(U6853))</f>
        <v/>
      </c>
      <c r="V6854" s="19">
        <f>IF($B6854="","",TEXT($B6854,"0000"))</f>
        <v/>
      </c>
      <c r="W6854" s="19">
        <f>IF($I6854="","",IF(ISNUMBER($I6854),TEXT($I6854,"0"),$I6854))</f>
        <v/>
      </c>
    </row>
    <row r="6855">
      <c r="B6855" s="25" t="n"/>
      <c r="I6855" s="25" t="n"/>
      <c r="U6855" s="19">
        <f>IF(AND($V6855='設定'!$C$4,COUNTIF('商品マスタ'!$B$6:$B$1005,$W6855)=0),N(U6854)+1,N(U6854))</f>
        <v/>
      </c>
      <c r="V6855" s="19">
        <f>IF($B6855="","",TEXT($B6855,"0000"))</f>
        <v/>
      </c>
      <c r="W6855" s="19">
        <f>IF($I6855="","",IF(ISNUMBER($I6855),TEXT($I6855,"0"),$I6855))</f>
        <v/>
      </c>
    </row>
    <row r="6856">
      <c r="B6856" s="25" t="n"/>
      <c r="I6856" s="25" t="n"/>
      <c r="U6856" s="19">
        <f>IF(AND($V6856='設定'!$C$4,COUNTIF('商品マスタ'!$B$6:$B$1005,$W6856)=0),N(U6855)+1,N(U6855))</f>
        <v/>
      </c>
      <c r="V6856" s="19">
        <f>IF($B6856="","",TEXT($B6856,"0000"))</f>
        <v/>
      </c>
      <c r="W6856" s="19">
        <f>IF($I6856="","",IF(ISNUMBER($I6856),TEXT($I6856,"0"),$I6856))</f>
        <v/>
      </c>
    </row>
    <row r="6857">
      <c r="B6857" s="25" t="n"/>
      <c r="I6857" s="25" t="n"/>
      <c r="U6857" s="19">
        <f>IF(AND($V6857='設定'!$C$4,COUNTIF('商品マスタ'!$B$6:$B$1005,$W6857)=0),N(U6856)+1,N(U6856))</f>
        <v/>
      </c>
      <c r="V6857" s="19">
        <f>IF($B6857="","",TEXT($B6857,"0000"))</f>
        <v/>
      </c>
      <c r="W6857" s="19">
        <f>IF($I6857="","",IF(ISNUMBER($I6857),TEXT($I6857,"0"),$I6857))</f>
        <v/>
      </c>
    </row>
    <row r="6858">
      <c r="B6858" s="25" t="n"/>
      <c r="I6858" s="25" t="n"/>
      <c r="U6858" s="19">
        <f>IF(AND($V6858='設定'!$C$4,COUNTIF('商品マスタ'!$B$6:$B$1005,$W6858)=0),N(U6857)+1,N(U6857))</f>
        <v/>
      </c>
      <c r="V6858" s="19">
        <f>IF($B6858="","",TEXT($B6858,"0000"))</f>
        <v/>
      </c>
      <c r="W6858" s="19">
        <f>IF($I6858="","",IF(ISNUMBER($I6858),TEXT($I6858,"0"),$I6858))</f>
        <v/>
      </c>
    </row>
    <row r="6859">
      <c r="B6859" s="25" t="n"/>
      <c r="I6859" s="25" t="n"/>
      <c r="U6859" s="19">
        <f>IF(AND($V6859='設定'!$C$4,COUNTIF('商品マスタ'!$B$6:$B$1005,$W6859)=0),N(U6858)+1,N(U6858))</f>
        <v/>
      </c>
      <c r="V6859" s="19">
        <f>IF($B6859="","",TEXT($B6859,"0000"))</f>
        <v/>
      </c>
      <c r="W6859" s="19">
        <f>IF($I6859="","",IF(ISNUMBER($I6859),TEXT($I6859,"0"),$I6859))</f>
        <v/>
      </c>
    </row>
    <row r="6860">
      <c r="B6860" s="25" t="n"/>
      <c r="I6860" s="25" t="n"/>
      <c r="U6860" s="19">
        <f>IF(AND($V6860='設定'!$C$4,COUNTIF('商品マスタ'!$B$6:$B$1005,$W6860)=0),N(U6859)+1,N(U6859))</f>
        <v/>
      </c>
      <c r="V6860" s="19">
        <f>IF($B6860="","",TEXT($B6860,"0000"))</f>
        <v/>
      </c>
      <c r="W6860" s="19">
        <f>IF($I6860="","",IF(ISNUMBER($I6860),TEXT($I6860,"0"),$I6860))</f>
        <v/>
      </c>
    </row>
    <row r="6861">
      <c r="B6861" s="25" t="n"/>
      <c r="I6861" s="25" t="n"/>
      <c r="U6861" s="19">
        <f>IF(AND($V6861='設定'!$C$4,COUNTIF('商品マスタ'!$B$6:$B$1005,$W6861)=0),N(U6860)+1,N(U6860))</f>
        <v/>
      </c>
      <c r="V6861" s="19">
        <f>IF($B6861="","",TEXT($B6861,"0000"))</f>
        <v/>
      </c>
      <c r="W6861" s="19">
        <f>IF($I6861="","",IF(ISNUMBER($I6861),TEXT($I6861,"0"),$I6861))</f>
        <v/>
      </c>
    </row>
    <row r="6862">
      <c r="B6862" s="25" t="n"/>
      <c r="I6862" s="25" t="n"/>
      <c r="U6862" s="19">
        <f>IF(AND($V6862='設定'!$C$4,COUNTIF('商品マスタ'!$B$6:$B$1005,$W6862)=0),N(U6861)+1,N(U6861))</f>
        <v/>
      </c>
      <c r="V6862" s="19">
        <f>IF($B6862="","",TEXT($B6862,"0000"))</f>
        <v/>
      </c>
      <c r="W6862" s="19">
        <f>IF($I6862="","",IF(ISNUMBER($I6862),TEXT($I6862,"0"),$I6862))</f>
        <v/>
      </c>
    </row>
    <row r="6863">
      <c r="B6863" s="25" t="n"/>
      <c r="I6863" s="25" t="n"/>
      <c r="U6863" s="19">
        <f>IF(AND($V6863='設定'!$C$4,COUNTIF('商品マスタ'!$B$6:$B$1005,$W6863)=0),N(U6862)+1,N(U6862))</f>
        <v/>
      </c>
      <c r="V6863" s="19">
        <f>IF($B6863="","",TEXT($B6863,"0000"))</f>
        <v/>
      </c>
      <c r="W6863" s="19">
        <f>IF($I6863="","",IF(ISNUMBER($I6863),TEXT($I6863,"0"),$I6863))</f>
        <v/>
      </c>
    </row>
    <row r="6864">
      <c r="B6864" s="25" t="n"/>
      <c r="I6864" s="25" t="n"/>
      <c r="U6864" s="19">
        <f>IF(AND($V6864='設定'!$C$4,COUNTIF('商品マスタ'!$B$6:$B$1005,$W6864)=0),N(U6863)+1,N(U6863))</f>
        <v/>
      </c>
      <c r="V6864" s="19">
        <f>IF($B6864="","",TEXT($B6864,"0000"))</f>
        <v/>
      </c>
      <c r="W6864" s="19">
        <f>IF($I6864="","",IF(ISNUMBER($I6864),TEXT($I6864,"0"),$I6864))</f>
        <v/>
      </c>
    </row>
    <row r="6865">
      <c r="B6865" s="25" t="n"/>
      <c r="I6865" s="25" t="n"/>
      <c r="U6865" s="19">
        <f>IF(AND($V6865='設定'!$C$4,COUNTIF('商品マスタ'!$B$6:$B$1005,$W6865)=0),N(U6864)+1,N(U6864))</f>
        <v/>
      </c>
      <c r="V6865" s="19">
        <f>IF($B6865="","",TEXT($B6865,"0000"))</f>
        <v/>
      </c>
      <c r="W6865" s="19">
        <f>IF($I6865="","",IF(ISNUMBER($I6865),TEXT($I6865,"0"),$I6865))</f>
        <v/>
      </c>
    </row>
    <row r="6866">
      <c r="B6866" s="25" t="n"/>
      <c r="I6866" s="25" t="n"/>
      <c r="U6866" s="19">
        <f>IF(AND($V6866='設定'!$C$4,COUNTIF('商品マスタ'!$B$6:$B$1005,$W6866)=0),N(U6865)+1,N(U6865))</f>
        <v/>
      </c>
      <c r="V6866" s="19">
        <f>IF($B6866="","",TEXT($B6866,"0000"))</f>
        <v/>
      </c>
      <c r="W6866" s="19">
        <f>IF($I6866="","",IF(ISNUMBER($I6866),TEXT($I6866,"0"),$I6866))</f>
        <v/>
      </c>
    </row>
    <row r="6867">
      <c r="B6867" s="25" t="n"/>
      <c r="I6867" s="25" t="n"/>
      <c r="U6867" s="19">
        <f>IF(AND($V6867='設定'!$C$4,COUNTIF('商品マスタ'!$B$6:$B$1005,$W6867)=0),N(U6866)+1,N(U6866))</f>
        <v/>
      </c>
      <c r="V6867" s="19">
        <f>IF($B6867="","",TEXT($B6867,"0000"))</f>
        <v/>
      </c>
      <c r="W6867" s="19">
        <f>IF($I6867="","",IF(ISNUMBER($I6867),TEXT($I6867,"0"),$I6867))</f>
        <v/>
      </c>
    </row>
    <row r="6868">
      <c r="B6868" s="25" t="n"/>
      <c r="I6868" s="25" t="n"/>
      <c r="U6868" s="19">
        <f>IF(AND($V6868='設定'!$C$4,COUNTIF('商品マスタ'!$B$6:$B$1005,$W6868)=0),N(U6867)+1,N(U6867))</f>
        <v/>
      </c>
      <c r="V6868" s="19">
        <f>IF($B6868="","",TEXT($B6868,"0000"))</f>
        <v/>
      </c>
      <c r="W6868" s="19">
        <f>IF($I6868="","",IF(ISNUMBER($I6868),TEXT($I6868,"0"),$I6868))</f>
        <v/>
      </c>
    </row>
    <row r="6869">
      <c r="B6869" s="25" t="n"/>
      <c r="I6869" s="25" t="n"/>
      <c r="U6869" s="19">
        <f>IF(AND($V6869='設定'!$C$4,COUNTIF('商品マスタ'!$B$6:$B$1005,$W6869)=0),N(U6868)+1,N(U6868))</f>
        <v/>
      </c>
      <c r="V6869" s="19">
        <f>IF($B6869="","",TEXT($B6869,"0000"))</f>
        <v/>
      </c>
      <c r="W6869" s="19">
        <f>IF($I6869="","",IF(ISNUMBER($I6869),TEXT($I6869,"0"),$I6869))</f>
        <v/>
      </c>
    </row>
    <row r="6870">
      <c r="B6870" s="25" t="n"/>
      <c r="I6870" s="25" t="n"/>
      <c r="U6870" s="19">
        <f>IF(AND($V6870='設定'!$C$4,COUNTIF('商品マスタ'!$B$6:$B$1005,$W6870)=0),N(U6869)+1,N(U6869))</f>
        <v/>
      </c>
      <c r="V6870" s="19">
        <f>IF($B6870="","",TEXT($B6870,"0000"))</f>
        <v/>
      </c>
      <c r="W6870" s="19">
        <f>IF($I6870="","",IF(ISNUMBER($I6870),TEXT($I6870,"0"),$I6870))</f>
        <v/>
      </c>
    </row>
    <row r="6871">
      <c r="B6871" s="25" t="n"/>
      <c r="I6871" s="25" t="n"/>
      <c r="U6871" s="19">
        <f>IF(AND($V6871='設定'!$C$4,COUNTIF('商品マスタ'!$B$6:$B$1005,$W6871)=0),N(U6870)+1,N(U6870))</f>
        <v/>
      </c>
      <c r="V6871" s="19">
        <f>IF($B6871="","",TEXT($B6871,"0000"))</f>
        <v/>
      </c>
      <c r="W6871" s="19">
        <f>IF($I6871="","",IF(ISNUMBER($I6871),TEXT($I6871,"0"),$I6871))</f>
        <v/>
      </c>
    </row>
    <row r="6872">
      <c r="B6872" s="25" t="n"/>
      <c r="I6872" s="25" t="n"/>
      <c r="U6872" s="19">
        <f>IF(AND($V6872='設定'!$C$4,COUNTIF('商品マスタ'!$B$6:$B$1005,$W6872)=0),N(U6871)+1,N(U6871))</f>
        <v/>
      </c>
      <c r="V6872" s="19">
        <f>IF($B6872="","",TEXT($B6872,"0000"))</f>
        <v/>
      </c>
      <c r="W6872" s="19">
        <f>IF($I6872="","",IF(ISNUMBER($I6872),TEXT($I6872,"0"),$I6872))</f>
        <v/>
      </c>
    </row>
    <row r="6873">
      <c r="B6873" s="25" t="n"/>
      <c r="I6873" s="25" t="n"/>
      <c r="U6873" s="19">
        <f>IF(AND($V6873='設定'!$C$4,COUNTIF('商品マスタ'!$B$6:$B$1005,$W6873)=0),N(U6872)+1,N(U6872))</f>
        <v/>
      </c>
      <c r="V6873" s="19">
        <f>IF($B6873="","",TEXT($B6873,"0000"))</f>
        <v/>
      </c>
      <c r="W6873" s="19">
        <f>IF($I6873="","",IF(ISNUMBER($I6873),TEXT($I6873,"0"),$I6873))</f>
        <v/>
      </c>
    </row>
    <row r="6874">
      <c r="B6874" s="25" t="n"/>
      <c r="I6874" s="25" t="n"/>
      <c r="U6874" s="19">
        <f>IF(AND($V6874='設定'!$C$4,COUNTIF('商品マスタ'!$B$6:$B$1005,$W6874)=0),N(U6873)+1,N(U6873))</f>
        <v/>
      </c>
      <c r="V6874" s="19">
        <f>IF($B6874="","",TEXT($B6874,"0000"))</f>
        <v/>
      </c>
      <c r="W6874" s="19">
        <f>IF($I6874="","",IF(ISNUMBER($I6874),TEXT($I6874,"0"),$I6874))</f>
        <v/>
      </c>
    </row>
    <row r="6875">
      <c r="B6875" s="25" t="n"/>
      <c r="I6875" s="25" t="n"/>
      <c r="U6875" s="19">
        <f>IF(AND($V6875='設定'!$C$4,COUNTIF('商品マスタ'!$B$6:$B$1005,$W6875)=0),N(U6874)+1,N(U6874))</f>
        <v/>
      </c>
      <c r="V6875" s="19">
        <f>IF($B6875="","",TEXT($B6875,"0000"))</f>
        <v/>
      </c>
      <c r="W6875" s="19">
        <f>IF($I6875="","",IF(ISNUMBER($I6875),TEXT($I6875,"0"),$I6875))</f>
        <v/>
      </c>
    </row>
    <row r="6876">
      <c r="B6876" s="25" t="n"/>
      <c r="I6876" s="25" t="n"/>
      <c r="U6876" s="19">
        <f>IF(AND($V6876='設定'!$C$4,COUNTIF('商品マスタ'!$B$6:$B$1005,$W6876)=0),N(U6875)+1,N(U6875))</f>
        <v/>
      </c>
      <c r="V6876" s="19">
        <f>IF($B6876="","",TEXT($B6876,"0000"))</f>
        <v/>
      </c>
      <c r="W6876" s="19">
        <f>IF($I6876="","",IF(ISNUMBER($I6876),TEXT($I6876,"0"),$I6876))</f>
        <v/>
      </c>
    </row>
    <row r="6877">
      <c r="B6877" s="25" t="n"/>
      <c r="I6877" s="25" t="n"/>
      <c r="U6877" s="19">
        <f>IF(AND($V6877='設定'!$C$4,COUNTIF('商品マスタ'!$B$6:$B$1005,$W6877)=0),N(U6876)+1,N(U6876))</f>
        <v/>
      </c>
      <c r="V6877" s="19">
        <f>IF($B6877="","",TEXT($B6877,"0000"))</f>
        <v/>
      </c>
      <c r="W6877" s="19">
        <f>IF($I6877="","",IF(ISNUMBER($I6877),TEXT($I6877,"0"),$I6877))</f>
        <v/>
      </c>
    </row>
    <row r="6878">
      <c r="B6878" s="25" t="n"/>
      <c r="I6878" s="25" t="n"/>
      <c r="U6878" s="19">
        <f>IF(AND($V6878='設定'!$C$4,COUNTIF('商品マスタ'!$B$6:$B$1005,$W6878)=0),N(U6877)+1,N(U6877))</f>
        <v/>
      </c>
      <c r="V6878" s="19">
        <f>IF($B6878="","",TEXT($B6878,"0000"))</f>
        <v/>
      </c>
      <c r="W6878" s="19">
        <f>IF($I6878="","",IF(ISNUMBER($I6878),TEXT($I6878,"0"),$I6878))</f>
        <v/>
      </c>
    </row>
    <row r="6879">
      <c r="B6879" s="25" t="n"/>
      <c r="I6879" s="25" t="n"/>
      <c r="U6879" s="19">
        <f>IF(AND($V6879='設定'!$C$4,COUNTIF('商品マスタ'!$B$6:$B$1005,$W6879)=0),N(U6878)+1,N(U6878))</f>
        <v/>
      </c>
      <c r="V6879" s="19">
        <f>IF($B6879="","",TEXT($B6879,"0000"))</f>
        <v/>
      </c>
      <c r="W6879" s="19">
        <f>IF($I6879="","",IF(ISNUMBER($I6879),TEXT($I6879,"0"),$I6879))</f>
        <v/>
      </c>
    </row>
    <row r="6880">
      <c r="B6880" s="25" t="n"/>
      <c r="I6880" s="25" t="n"/>
      <c r="U6880" s="19">
        <f>IF(AND($V6880='設定'!$C$4,COUNTIF('商品マスタ'!$B$6:$B$1005,$W6880)=0),N(U6879)+1,N(U6879))</f>
        <v/>
      </c>
      <c r="V6880" s="19">
        <f>IF($B6880="","",TEXT($B6880,"0000"))</f>
        <v/>
      </c>
      <c r="W6880" s="19">
        <f>IF($I6880="","",IF(ISNUMBER($I6880),TEXT($I6880,"0"),$I6880))</f>
        <v/>
      </c>
    </row>
    <row r="6881">
      <c r="B6881" s="25" t="n"/>
      <c r="I6881" s="25" t="n"/>
      <c r="U6881" s="19">
        <f>IF(AND($V6881='設定'!$C$4,COUNTIF('商品マスタ'!$B$6:$B$1005,$W6881)=0),N(U6880)+1,N(U6880))</f>
        <v/>
      </c>
      <c r="V6881" s="19">
        <f>IF($B6881="","",TEXT($B6881,"0000"))</f>
        <v/>
      </c>
      <c r="W6881" s="19">
        <f>IF($I6881="","",IF(ISNUMBER($I6881),TEXT($I6881,"0"),$I6881))</f>
        <v/>
      </c>
    </row>
    <row r="6882">
      <c r="B6882" s="25" t="n"/>
      <c r="I6882" s="25" t="n"/>
      <c r="U6882" s="19">
        <f>IF(AND($V6882='設定'!$C$4,COUNTIF('商品マスタ'!$B$6:$B$1005,$W6882)=0),N(U6881)+1,N(U6881))</f>
        <v/>
      </c>
      <c r="V6882" s="19">
        <f>IF($B6882="","",TEXT($B6882,"0000"))</f>
        <v/>
      </c>
      <c r="W6882" s="19">
        <f>IF($I6882="","",IF(ISNUMBER($I6882),TEXT($I6882,"0"),$I6882))</f>
        <v/>
      </c>
    </row>
    <row r="6883">
      <c r="B6883" s="25" t="n"/>
      <c r="I6883" s="25" t="n"/>
      <c r="U6883" s="19">
        <f>IF(AND($V6883='設定'!$C$4,COUNTIF('商品マスタ'!$B$6:$B$1005,$W6883)=0),N(U6882)+1,N(U6882))</f>
        <v/>
      </c>
      <c r="V6883" s="19">
        <f>IF($B6883="","",TEXT($B6883,"0000"))</f>
        <v/>
      </c>
      <c r="W6883" s="19">
        <f>IF($I6883="","",IF(ISNUMBER($I6883),TEXT($I6883,"0"),$I6883))</f>
        <v/>
      </c>
    </row>
    <row r="6884">
      <c r="B6884" s="25" t="n"/>
      <c r="I6884" s="25" t="n"/>
      <c r="U6884" s="19">
        <f>IF(AND($V6884='設定'!$C$4,COUNTIF('商品マスタ'!$B$6:$B$1005,$W6884)=0),N(U6883)+1,N(U6883))</f>
        <v/>
      </c>
      <c r="V6884" s="19">
        <f>IF($B6884="","",TEXT($B6884,"0000"))</f>
        <v/>
      </c>
      <c r="W6884" s="19">
        <f>IF($I6884="","",IF(ISNUMBER($I6884),TEXT($I6884,"0"),$I6884))</f>
        <v/>
      </c>
    </row>
    <row r="6885">
      <c r="B6885" s="25" t="n"/>
      <c r="I6885" s="25" t="n"/>
      <c r="U6885" s="19">
        <f>IF(AND($V6885='設定'!$C$4,COUNTIF('商品マスタ'!$B$6:$B$1005,$W6885)=0),N(U6884)+1,N(U6884))</f>
        <v/>
      </c>
      <c r="V6885" s="19">
        <f>IF($B6885="","",TEXT($B6885,"0000"))</f>
        <v/>
      </c>
      <c r="W6885" s="19">
        <f>IF($I6885="","",IF(ISNUMBER($I6885),TEXT($I6885,"0"),$I6885))</f>
        <v/>
      </c>
    </row>
    <row r="6886">
      <c r="B6886" s="25" t="n"/>
      <c r="I6886" s="25" t="n"/>
      <c r="U6886" s="19">
        <f>IF(AND($V6886='設定'!$C$4,COUNTIF('商品マスタ'!$B$6:$B$1005,$W6886)=0),N(U6885)+1,N(U6885))</f>
        <v/>
      </c>
      <c r="V6886" s="19">
        <f>IF($B6886="","",TEXT($B6886,"0000"))</f>
        <v/>
      </c>
      <c r="W6886" s="19">
        <f>IF($I6886="","",IF(ISNUMBER($I6886),TEXT($I6886,"0"),$I6886))</f>
        <v/>
      </c>
    </row>
    <row r="6887">
      <c r="B6887" s="25" t="n"/>
      <c r="I6887" s="25" t="n"/>
      <c r="U6887" s="19">
        <f>IF(AND($V6887='設定'!$C$4,COUNTIF('商品マスタ'!$B$6:$B$1005,$W6887)=0),N(U6886)+1,N(U6886))</f>
        <v/>
      </c>
      <c r="V6887" s="19">
        <f>IF($B6887="","",TEXT($B6887,"0000"))</f>
        <v/>
      </c>
      <c r="W6887" s="19">
        <f>IF($I6887="","",IF(ISNUMBER($I6887),TEXT($I6887,"0"),$I6887))</f>
        <v/>
      </c>
    </row>
    <row r="6888">
      <c r="B6888" s="25" t="n"/>
      <c r="I6888" s="25" t="n"/>
      <c r="U6888" s="19">
        <f>IF(AND($V6888='設定'!$C$4,COUNTIF('商品マスタ'!$B$6:$B$1005,$W6888)=0),N(U6887)+1,N(U6887))</f>
        <v/>
      </c>
      <c r="V6888" s="19">
        <f>IF($B6888="","",TEXT($B6888,"0000"))</f>
        <v/>
      </c>
      <c r="W6888" s="19">
        <f>IF($I6888="","",IF(ISNUMBER($I6888),TEXT($I6888,"0"),$I6888))</f>
        <v/>
      </c>
    </row>
    <row r="6889">
      <c r="B6889" s="25" t="n"/>
      <c r="I6889" s="25" t="n"/>
      <c r="U6889" s="19">
        <f>IF(AND($V6889='設定'!$C$4,COUNTIF('商品マスタ'!$B$6:$B$1005,$W6889)=0),N(U6888)+1,N(U6888))</f>
        <v/>
      </c>
      <c r="V6889" s="19">
        <f>IF($B6889="","",TEXT($B6889,"0000"))</f>
        <v/>
      </c>
      <c r="W6889" s="19">
        <f>IF($I6889="","",IF(ISNUMBER($I6889),TEXT($I6889,"0"),$I6889))</f>
        <v/>
      </c>
    </row>
    <row r="6890">
      <c r="B6890" s="25" t="n"/>
      <c r="I6890" s="25" t="n"/>
      <c r="U6890" s="19">
        <f>IF(AND($V6890='設定'!$C$4,COUNTIF('商品マスタ'!$B$6:$B$1005,$W6890)=0),N(U6889)+1,N(U6889))</f>
        <v/>
      </c>
      <c r="V6890" s="19">
        <f>IF($B6890="","",TEXT($B6890,"0000"))</f>
        <v/>
      </c>
      <c r="W6890" s="19">
        <f>IF($I6890="","",IF(ISNUMBER($I6890),TEXT($I6890,"0"),$I6890))</f>
        <v/>
      </c>
    </row>
    <row r="6891">
      <c r="B6891" s="25" t="n"/>
      <c r="I6891" s="25" t="n"/>
      <c r="U6891" s="19">
        <f>IF(AND($V6891='設定'!$C$4,COUNTIF('商品マスタ'!$B$6:$B$1005,$W6891)=0),N(U6890)+1,N(U6890))</f>
        <v/>
      </c>
      <c r="V6891" s="19">
        <f>IF($B6891="","",TEXT($B6891,"0000"))</f>
        <v/>
      </c>
      <c r="W6891" s="19">
        <f>IF($I6891="","",IF(ISNUMBER($I6891),TEXT($I6891,"0"),$I6891))</f>
        <v/>
      </c>
    </row>
    <row r="6892">
      <c r="B6892" s="25" t="n"/>
      <c r="I6892" s="25" t="n"/>
      <c r="U6892" s="19">
        <f>IF(AND($V6892='設定'!$C$4,COUNTIF('商品マスタ'!$B$6:$B$1005,$W6892)=0),N(U6891)+1,N(U6891))</f>
        <v/>
      </c>
      <c r="V6892" s="19">
        <f>IF($B6892="","",TEXT($B6892,"0000"))</f>
        <v/>
      </c>
      <c r="W6892" s="19">
        <f>IF($I6892="","",IF(ISNUMBER($I6892),TEXT($I6892,"0"),$I6892))</f>
        <v/>
      </c>
    </row>
    <row r="6893">
      <c r="B6893" s="25" t="n"/>
      <c r="I6893" s="25" t="n"/>
      <c r="U6893" s="19">
        <f>IF(AND($V6893='設定'!$C$4,COUNTIF('商品マスタ'!$B$6:$B$1005,$W6893)=0),N(U6892)+1,N(U6892))</f>
        <v/>
      </c>
      <c r="V6893" s="19">
        <f>IF($B6893="","",TEXT($B6893,"0000"))</f>
        <v/>
      </c>
      <c r="W6893" s="19">
        <f>IF($I6893="","",IF(ISNUMBER($I6893),TEXT($I6893,"0"),$I6893))</f>
        <v/>
      </c>
    </row>
    <row r="6894">
      <c r="B6894" s="25" t="n"/>
      <c r="I6894" s="25" t="n"/>
      <c r="U6894" s="19">
        <f>IF(AND($V6894='設定'!$C$4,COUNTIF('商品マスタ'!$B$6:$B$1005,$W6894)=0),N(U6893)+1,N(U6893))</f>
        <v/>
      </c>
      <c r="V6894" s="19">
        <f>IF($B6894="","",TEXT($B6894,"0000"))</f>
        <v/>
      </c>
      <c r="W6894" s="19">
        <f>IF($I6894="","",IF(ISNUMBER($I6894),TEXT($I6894,"0"),$I6894))</f>
        <v/>
      </c>
    </row>
    <row r="6895">
      <c r="B6895" s="25" t="n"/>
      <c r="I6895" s="25" t="n"/>
      <c r="U6895" s="19">
        <f>IF(AND($V6895='設定'!$C$4,COUNTIF('商品マスタ'!$B$6:$B$1005,$W6895)=0),N(U6894)+1,N(U6894))</f>
        <v/>
      </c>
      <c r="V6895" s="19">
        <f>IF($B6895="","",TEXT($B6895,"0000"))</f>
        <v/>
      </c>
      <c r="W6895" s="19">
        <f>IF($I6895="","",IF(ISNUMBER($I6895),TEXT($I6895,"0"),$I6895))</f>
        <v/>
      </c>
    </row>
    <row r="6896">
      <c r="B6896" s="25" t="n"/>
      <c r="I6896" s="25" t="n"/>
      <c r="U6896" s="19">
        <f>IF(AND($V6896='設定'!$C$4,COUNTIF('商品マスタ'!$B$6:$B$1005,$W6896)=0),N(U6895)+1,N(U6895))</f>
        <v/>
      </c>
      <c r="V6896" s="19">
        <f>IF($B6896="","",TEXT($B6896,"0000"))</f>
        <v/>
      </c>
      <c r="W6896" s="19">
        <f>IF($I6896="","",IF(ISNUMBER($I6896),TEXT($I6896,"0"),$I6896))</f>
        <v/>
      </c>
    </row>
    <row r="6897">
      <c r="B6897" s="25" t="n"/>
      <c r="I6897" s="25" t="n"/>
      <c r="U6897" s="19">
        <f>IF(AND($V6897='設定'!$C$4,COUNTIF('商品マスタ'!$B$6:$B$1005,$W6897)=0),N(U6896)+1,N(U6896))</f>
        <v/>
      </c>
      <c r="V6897" s="19">
        <f>IF($B6897="","",TEXT($B6897,"0000"))</f>
        <v/>
      </c>
      <c r="W6897" s="19">
        <f>IF($I6897="","",IF(ISNUMBER($I6897),TEXT($I6897,"0"),$I6897))</f>
        <v/>
      </c>
    </row>
    <row r="6898">
      <c r="B6898" s="25" t="n"/>
      <c r="I6898" s="25" t="n"/>
      <c r="U6898" s="19">
        <f>IF(AND($V6898='設定'!$C$4,COUNTIF('商品マスタ'!$B$6:$B$1005,$W6898)=0),N(U6897)+1,N(U6897))</f>
        <v/>
      </c>
      <c r="V6898" s="19">
        <f>IF($B6898="","",TEXT($B6898,"0000"))</f>
        <v/>
      </c>
      <c r="W6898" s="19">
        <f>IF($I6898="","",IF(ISNUMBER($I6898),TEXT($I6898,"0"),$I6898))</f>
        <v/>
      </c>
    </row>
    <row r="6899">
      <c r="B6899" s="25" t="n"/>
      <c r="I6899" s="25" t="n"/>
      <c r="U6899" s="19">
        <f>IF(AND($V6899='設定'!$C$4,COUNTIF('商品マスタ'!$B$6:$B$1005,$W6899)=0),N(U6898)+1,N(U6898))</f>
        <v/>
      </c>
      <c r="V6899" s="19">
        <f>IF($B6899="","",TEXT($B6899,"0000"))</f>
        <v/>
      </c>
      <c r="W6899" s="19">
        <f>IF($I6899="","",IF(ISNUMBER($I6899),TEXT($I6899,"0"),$I6899))</f>
        <v/>
      </c>
    </row>
    <row r="6900">
      <c r="B6900" s="25" t="n"/>
      <c r="I6900" s="25" t="n"/>
      <c r="U6900" s="19">
        <f>IF(AND($V6900='設定'!$C$4,COUNTIF('商品マスタ'!$B$6:$B$1005,$W6900)=0),N(U6899)+1,N(U6899))</f>
        <v/>
      </c>
      <c r="V6900" s="19">
        <f>IF($B6900="","",TEXT($B6900,"0000"))</f>
        <v/>
      </c>
      <c r="W6900" s="19">
        <f>IF($I6900="","",IF(ISNUMBER($I6900),TEXT($I6900,"0"),$I6900))</f>
        <v/>
      </c>
    </row>
    <row r="6901">
      <c r="B6901" s="25" t="n"/>
      <c r="I6901" s="25" t="n"/>
      <c r="U6901" s="19">
        <f>IF(AND($V6901='設定'!$C$4,COUNTIF('商品マスタ'!$B$6:$B$1005,$W6901)=0),N(U6900)+1,N(U6900))</f>
        <v/>
      </c>
      <c r="V6901" s="19">
        <f>IF($B6901="","",TEXT($B6901,"0000"))</f>
        <v/>
      </c>
      <c r="W6901" s="19">
        <f>IF($I6901="","",IF(ISNUMBER($I6901),TEXT($I6901,"0"),$I6901))</f>
        <v/>
      </c>
    </row>
    <row r="6902">
      <c r="B6902" s="25" t="n"/>
      <c r="I6902" s="25" t="n"/>
      <c r="U6902" s="19">
        <f>IF(AND($V6902='設定'!$C$4,COUNTIF('商品マスタ'!$B$6:$B$1005,$W6902)=0),N(U6901)+1,N(U6901))</f>
        <v/>
      </c>
      <c r="V6902" s="19">
        <f>IF($B6902="","",TEXT($B6902,"0000"))</f>
        <v/>
      </c>
      <c r="W6902" s="19">
        <f>IF($I6902="","",IF(ISNUMBER($I6902),TEXT($I6902,"0"),$I6902))</f>
        <v/>
      </c>
    </row>
    <row r="6903">
      <c r="B6903" s="25" t="n"/>
      <c r="I6903" s="25" t="n"/>
      <c r="U6903" s="19">
        <f>IF(AND($V6903='設定'!$C$4,COUNTIF('商品マスタ'!$B$6:$B$1005,$W6903)=0),N(U6902)+1,N(U6902))</f>
        <v/>
      </c>
      <c r="V6903" s="19">
        <f>IF($B6903="","",TEXT($B6903,"0000"))</f>
        <v/>
      </c>
      <c r="W6903" s="19">
        <f>IF($I6903="","",IF(ISNUMBER($I6903),TEXT($I6903,"0"),$I6903))</f>
        <v/>
      </c>
    </row>
    <row r="6904">
      <c r="B6904" s="25" t="n"/>
      <c r="I6904" s="25" t="n"/>
      <c r="U6904" s="19">
        <f>IF(AND($V6904='設定'!$C$4,COUNTIF('商品マスタ'!$B$6:$B$1005,$W6904)=0),N(U6903)+1,N(U6903))</f>
        <v/>
      </c>
      <c r="V6904" s="19">
        <f>IF($B6904="","",TEXT($B6904,"0000"))</f>
        <v/>
      </c>
      <c r="W6904" s="19">
        <f>IF($I6904="","",IF(ISNUMBER($I6904),TEXT($I6904,"0"),$I6904))</f>
        <v/>
      </c>
    </row>
    <row r="6905">
      <c r="B6905" s="25" t="n"/>
      <c r="I6905" s="25" t="n"/>
      <c r="U6905" s="19">
        <f>IF(AND($V6905='設定'!$C$4,COUNTIF('商品マスタ'!$B$6:$B$1005,$W6905)=0),N(U6904)+1,N(U6904))</f>
        <v/>
      </c>
      <c r="V6905" s="19">
        <f>IF($B6905="","",TEXT($B6905,"0000"))</f>
        <v/>
      </c>
      <c r="W6905" s="19">
        <f>IF($I6905="","",IF(ISNUMBER($I6905),TEXT($I6905,"0"),$I6905))</f>
        <v/>
      </c>
    </row>
    <row r="6906">
      <c r="B6906" s="25" t="n"/>
      <c r="I6906" s="25" t="n"/>
      <c r="U6906" s="19">
        <f>IF(AND($V6906='設定'!$C$4,COUNTIF('商品マスタ'!$B$6:$B$1005,$W6906)=0),N(U6905)+1,N(U6905))</f>
        <v/>
      </c>
      <c r="V6906" s="19">
        <f>IF($B6906="","",TEXT($B6906,"0000"))</f>
        <v/>
      </c>
      <c r="W6906" s="19">
        <f>IF($I6906="","",IF(ISNUMBER($I6906),TEXT($I6906,"0"),$I6906))</f>
        <v/>
      </c>
    </row>
    <row r="6907">
      <c r="B6907" s="25" t="n"/>
      <c r="I6907" s="25" t="n"/>
      <c r="U6907" s="19">
        <f>IF(AND($V6907='設定'!$C$4,COUNTIF('商品マスタ'!$B$6:$B$1005,$W6907)=0),N(U6906)+1,N(U6906))</f>
        <v/>
      </c>
      <c r="V6907" s="19">
        <f>IF($B6907="","",TEXT($B6907,"0000"))</f>
        <v/>
      </c>
      <c r="W6907" s="19">
        <f>IF($I6907="","",IF(ISNUMBER($I6907),TEXT($I6907,"0"),$I6907))</f>
        <v/>
      </c>
    </row>
    <row r="6908">
      <c r="B6908" s="25" t="n"/>
      <c r="I6908" s="25" t="n"/>
      <c r="U6908" s="19">
        <f>IF(AND($V6908='設定'!$C$4,COUNTIF('商品マスタ'!$B$6:$B$1005,$W6908)=0),N(U6907)+1,N(U6907))</f>
        <v/>
      </c>
      <c r="V6908" s="19">
        <f>IF($B6908="","",TEXT($B6908,"0000"))</f>
        <v/>
      </c>
      <c r="W6908" s="19">
        <f>IF($I6908="","",IF(ISNUMBER($I6908),TEXT($I6908,"0"),$I6908))</f>
        <v/>
      </c>
    </row>
    <row r="6909">
      <c r="B6909" s="25" t="n"/>
      <c r="I6909" s="25" t="n"/>
      <c r="U6909" s="19">
        <f>IF(AND($V6909='設定'!$C$4,COUNTIF('商品マスタ'!$B$6:$B$1005,$W6909)=0),N(U6908)+1,N(U6908))</f>
        <v/>
      </c>
      <c r="V6909" s="19">
        <f>IF($B6909="","",TEXT($B6909,"0000"))</f>
        <v/>
      </c>
      <c r="W6909" s="19">
        <f>IF($I6909="","",IF(ISNUMBER($I6909),TEXT($I6909,"0"),$I6909))</f>
        <v/>
      </c>
    </row>
    <row r="6910">
      <c r="B6910" s="25" t="n"/>
      <c r="I6910" s="25" t="n"/>
      <c r="U6910" s="19">
        <f>IF(AND($V6910='設定'!$C$4,COUNTIF('商品マスタ'!$B$6:$B$1005,$W6910)=0),N(U6909)+1,N(U6909))</f>
        <v/>
      </c>
      <c r="V6910" s="19">
        <f>IF($B6910="","",TEXT($B6910,"0000"))</f>
        <v/>
      </c>
      <c r="W6910" s="19">
        <f>IF($I6910="","",IF(ISNUMBER($I6910),TEXT($I6910,"0"),$I6910))</f>
        <v/>
      </c>
    </row>
    <row r="6911">
      <c r="B6911" s="25" t="n"/>
      <c r="I6911" s="25" t="n"/>
      <c r="U6911" s="19">
        <f>IF(AND($V6911='設定'!$C$4,COUNTIF('商品マスタ'!$B$6:$B$1005,$W6911)=0),N(U6910)+1,N(U6910))</f>
        <v/>
      </c>
      <c r="V6911" s="19">
        <f>IF($B6911="","",TEXT($B6911,"0000"))</f>
        <v/>
      </c>
      <c r="W6911" s="19">
        <f>IF($I6911="","",IF(ISNUMBER($I6911),TEXT($I6911,"0"),$I6911))</f>
        <v/>
      </c>
    </row>
    <row r="6912">
      <c r="B6912" s="25" t="n"/>
      <c r="I6912" s="25" t="n"/>
      <c r="U6912" s="19">
        <f>IF(AND($V6912='設定'!$C$4,COUNTIF('商品マスタ'!$B$6:$B$1005,$W6912)=0),N(U6911)+1,N(U6911))</f>
        <v/>
      </c>
      <c r="V6912" s="19">
        <f>IF($B6912="","",TEXT($B6912,"0000"))</f>
        <v/>
      </c>
      <c r="W6912" s="19">
        <f>IF($I6912="","",IF(ISNUMBER($I6912),TEXT($I6912,"0"),$I6912))</f>
        <v/>
      </c>
    </row>
    <row r="6913">
      <c r="B6913" s="25" t="n"/>
      <c r="I6913" s="25" t="n"/>
      <c r="U6913" s="19">
        <f>IF(AND($V6913='設定'!$C$4,COUNTIF('商品マスタ'!$B$6:$B$1005,$W6913)=0),N(U6912)+1,N(U6912))</f>
        <v/>
      </c>
      <c r="V6913" s="19">
        <f>IF($B6913="","",TEXT($B6913,"0000"))</f>
        <v/>
      </c>
      <c r="W6913" s="19">
        <f>IF($I6913="","",IF(ISNUMBER($I6913),TEXT($I6913,"0"),$I6913))</f>
        <v/>
      </c>
    </row>
    <row r="6914">
      <c r="B6914" s="25" t="n"/>
      <c r="I6914" s="25" t="n"/>
      <c r="U6914" s="19">
        <f>IF(AND($V6914='設定'!$C$4,COUNTIF('商品マスタ'!$B$6:$B$1005,$W6914)=0),N(U6913)+1,N(U6913))</f>
        <v/>
      </c>
      <c r="V6914" s="19">
        <f>IF($B6914="","",TEXT($B6914,"0000"))</f>
        <v/>
      </c>
      <c r="W6914" s="19">
        <f>IF($I6914="","",IF(ISNUMBER($I6914),TEXT($I6914,"0"),$I6914))</f>
        <v/>
      </c>
    </row>
    <row r="6915">
      <c r="B6915" s="25" t="n"/>
      <c r="I6915" s="25" t="n"/>
      <c r="U6915" s="19">
        <f>IF(AND($V6915='設定'!$C$4,COUNTIF('商品マスタ'!$B$6:$B$1005,$W6915)=0),N(U6914)+1,N(U6914))</f>
        <v/>
      </c>
      <c r="V6915" s="19">
        <f>IF($B6915="","",TEXT($B6915,"0000"))</f>
        <v/>
      </c>
      <c r="W6915" s="19">
        <f>IF($I6915="","",IF(ISNUMBER($I6915),TEXT($I6915,"0"),$I6915))</f>
        <v/>
      </c>
    </row>
    <row r="6916">
      <c r="B6916" s="25" t="n"/>
      <c r="I6916" s="25" t="n"/>
      <c r="U6916" s="19">
        <f>IF(AND($V6916='設定'!$C$4,COUNTIF('商品マスタ'!$B$6:$B$1005,$W6916)=0),N(U6915)+1,N(U6915))</f>
        <v/>
      </c>
      <c r="V6916" s="19">
        <f>IF($B6916="","",TEXT($B6916,"0000"))</f>
        <v/>
      </c>
      <c r="W6916" s="19">
        <f>IF($I6916="","",IF(ISNUMBER($I6916),TEXT($I6916,"0"),$I6916))</f>
        <v/>
      </c>
    </row>
    <row r="6917">
      <c r="B6917" s="25" t="n"/>
      <c r="I6917" s="25" t="n"/>
      <c r="U6917" s="19">
        <f>IF(AND($V6917='設定'!$C$4,COUNTIF('商品マスタ'!$B$6:$B$1005,$W6917)=0),N(U6916)+1,N(U6916))</f>
        <v/>
      </c>
      <c r="V6917" s="19">
        <f>IF($B6917="","",TEXT($B6917,"0000"))</f>
        <v/>
      </c>
      <c r="W6917" s="19">
        <f>IF($I6917="","",IF(ISNUMBER($I6917),TEXT($I6917,"0"),$I6917))</f>
        <v/>
      </c>
    </row>
    <row r="6918">
      <c r="B6918" s="25" t="n"/>
      <c r="I6918" s="25" t="n"/>
      <c r="U6918" s="19">
        <f>IF(AND($V6918='設定'!$C$4,COUNTIF('商品マスタ'!$B$6:$B$1005,$W6918)=0),N(U6917)+1,N(U6917))</f>
        <v/>
      </c>
      <c r="V6918" s="19">
        <f>IF($B6918="","",TEXT($B6918,"0000"))</f>
        <v/>
      </c>
      <c r="W6918" s="19">
        <f>IF($I6918="","",IF(ISNUMBER($I6918),TEXT($I6918,"0"),$I6918))</f>
        <v/>
      </c>
    </row>
    <row r="6919">
      <c r="B6919" s="25" t="n"/>
      <c r="I6919" s="25" t="n"/>
      <c r="U6919" s="19">
        <f>IF(AND($V6919='設定'!$C$4,COUNTIF('商品マスタ'!$B$6:$B$1005,$W6919)=0),N(U6918)+1,N(U6918))</f>
        <v/>
      </c>
      <c r="V6919" s="19">
        <f>IF($B6919="","",TEXT($B6919,"0000"))</f>
        <v/>
      </c>
      <c r="W6919" s="19">
        <f>IF($I6919="","",IF(ISNUMBER($I6919),TEXT($I6919,"0"),$I6919))</f>
        <v/>
      </c>
    </row>
    <row r="6920">
      <c r="B6920" s="25" t="n"/>
      <c r="I6920" s="25" t="n"/>
      <c r="U6920" s="19">
        <f>IF(AND($V6920='設定'!$C$4,COUNTIF('商品マスタ'!$B$6:$B$1005,$W6920)=0),N(U6919)+1,N(U6919))</f>
        <v/>
      </c>
      <c r="V6920" s="19">
        <f>IF($B6920="","",TEXT($B6920,"0000"))</f>
        <v/>
      </c>
      <c r="W6920" s="19">
        <f>IF($I6920="","",IF(ISNUMBER($I6920),TEXT($I6920,"0"),$I6920))</f>
        <v/>
      </c>
    </row>
    <row r="6921">
      <c r="B6921" s="25" t="n"/>
      <c r="I6921" s="25" t="n"/>
      <c r="U6921" s="19">
        <f>IF(AND($V6921='設定'!$C$4,COUNTIF('商品マスタ'!$B$6:$B$1005,$W6921)=0),N(U6920)+1,N(U6920))</f>
        <v/>
      </c>
      <c r="V6921" s="19">
        <f>IF($B6921="","",TEXT($B6921,"0000"))</f>
        <v/>
      </c>
      <c r="W6921" s="19">
        <f>IF($I6921="","",IF(ISNUMBER($I6921),TEXT($I6921,"0"),$I6921))</f>
        <v/>
      </c>
    </row>
    <row r="6922">
      <c r="B6922" s="25" t="n"/>
      <c r="I6922" s="25" t="n"/>
      <c r="U6922" s="19">
        <f>IF(AND($V6922='設定'!$C$4,COUNTIF('商品マスタ'!$B$6:$B$1005,$W6922)=0),N(U6921)+1,N(U6921))</f>
        <v/>
      </c>
      <c r="V6922" s="19">
        <f>IF($B6922="","",TEXT($B6922,"0000"))</f>
        <v/>
      </c>
      <c r="W6922" s="19">
        <f>IF($I6922="","",IF(ISNUMBER($I6922),TEXT($I6922,"0"),$I6922))</f>
        <v/>
      </c>
    </row>
    <row r="6923">
      <c r="B6923" s="25" t="n"/>
      <c r="I6923" s="25" t="n"/>
      <c r="U6923" s="19">
        <f>IF(AND($V6923='設定'!$C$4,COUNTIF('商品マスタ'!$B$6:$B$1005,$W6923)=0),N(U6922)+1,N(U6922))</f>
        <v/>
      </c>
      <c r="V6923" s="19">
        <f>IF($B6923="","",TEXT($B6923,"0000"))</f>
        <v/>
      </c>
      <c r="W6923" s="19">
        <f>IF($I6923="","",IF(ISNUMBER($I6923),TEXT($I6923,"0"),$I6923))</f>
        <v/>
      </c>
    </row>
    <row r="6924">
      <c r="B6924" s="25" t="n"/>
      <c r="I6924" s="25" t="n"/>
      <c r="U6924" s="19">
        <f>IF(AND($V6924='設定'!$C$4,COUNTIF('商品マスタ'!$B$6:$B$1005,$W6924)=0),N(U6923)+1,N(U6923))</f>
        <v/>
      </c>
      <c r="V6924" s="19">
        <f>IF($B6924="","",TEXT($B6924,"0000"))</f>
        <v/>
      </c>
      <c r="W6924" s="19">
        <f>IF($I6924="","",IF(ISNUMBER($I6924),TEXT($I6924,"0"),$I6924))</f>
        <v/>
      </c>
    </row>
    <row r="6925">
      <c r="B6925" s="25" t="n"/>
      <c r="I6925" s="25" t="n"/>
      <c r="U6925" s="19">
        <f>IF(AND($V6925='設定'!$C$4,COUNTIF('商品マスタ'!$B$6:$B$1005,$W6925)=0),N(U6924)+1,N(U6924))</f>
        <v/>
      </c>
      <c r="V6925" s="19">
        <f>IF($B6925="","",TEXT($B6925,"0000"))</f>
        <v/>
      </c>
      <c r="W6925" s="19">
        <f>IF($I6925="","",IF(ISNUMBER($I6925),TEXT($I6925,"0"),$I6925))</f>
        <v/>
      </c>
    </row>
    <row r="6926">
      <c r="B6926" s="25" t="n"/>
      <c r="I6926" s="25" t="n"/>
      <c r="U6926" s="19">
        <f>IF(AND($V6926='設定'!$C$4,COUNTIF('商品マスタ'!$B$6:$B$1005,$W6926)=0),N(U6925)+1,N(U6925))</f>
        <v/>
      </c>
      <c r="V6926" s="19">
        <f>IF($B6926="","",TEXT($B6926,"0000"))</f>
        <v/>
      </c>
      <c r="W6926" s="19">
        <f>IF($I6926="","",IF(ISNUMBER($I6926),TEXT($I6926,"0"),$I6926))</f>
        <v/>
      </c>
    </row>
    <row r="6927">
      <c r="B6927" s="25" t="n"/>
      <c r="I6927" s="25" t="n"/>
      <c r="U6927" s="19">
        <f>IF(AND($V6927='設定'!$C$4,COUNTIF('商品マスタ'!$B$6:$B$1005,$W6927)=0),N(U6926)+1,N(U6926))</f>
        <v/>
      </c>
      <c r="V6927" s="19">
        <f>IF($B6927="","",TEXT($B6927,"0000"))</f>
        <v/>
      </c>
      <c r="W6927" s="19">
        <f>IF($I6927="","",IF(ISNUMBER($I6927),TEXT($I6927,"0"),$I6927))</f>
        <v/>
      </c>
    </row>
    <row r="6928">
      <c r="B6928" s="25" t="n"/>
      <c r="I6928" s="25" t="n"/>
      <c r="U6928" s="19">
        <f>IF(AND($V6928='設定'!$C$4,COUNTIF('商品マスタ'!$B$6:$B$1005,$W6928)=0),N(U6927)+1,N(U6927))</f>
        <v/>
      </c>
      <c r="V6928" s="19">
        <f>IF($B6928="","",TEXT($B6928,"0000"))</f>
        <v/>
      </c>
      <c r="W6928" s="19">
        <f>IF($I6928="","",IF(ISNUMBER($I6928),TEXT($I6928,"0"),$I6928))</f>
        <v/>
      </c>
    </row>
    <row r="6929">
      <c r="B6929" s="25" t="n"/>
      <c r="I6929" s="25" t="n"/>
      <c r="U6929" s="19">
        <f>IF(AND($V6929='設定'!$C$4,COUNTIF('商品マスタ'!$B$6:$B$1005,$W6929)=0),N(U6928)+1,N(U6928))</f>
        <v/>
      </c>
      <c r="V6929" s="19">
        <f>IF($B6929="","",TEXT($B6929,"0000"))</f>
        <v/>
      </c>
      <c r="W6929" s="19">
        <f>IF($I6929="","",IF(ISNUMBER($I6929),TEXT($I6929,"0"),$I6929))</f>
        <v/>
      </c>
    </row>
    <row r="6930">
      <c r="B6930" s="25" t="n"/>
      <c r="I6930" s="25" t="n"/>
      <c r="U6930" s="19">
        <f>IF(AND($V6930='設定'!$C$4,COUNTIF('商品マスタ'!$B$6:$B$1005,$W6930)=0),N(U6929)+1,N(U6929))</f>
        <v/>
      </c>
      <c r="V6930" s="19">
        <f>IF($B6930="","",TEXT($B6930,"0000"))</f>
        <v/>
      </c>
      <c r="W6930" s="19">
        <f>IF($I6930="","",IF(ISNUMBER($I6930),TEXT($I6930,"0"),$I6930))</f>
        <v/>
      </c>
    </row>
    <row r="6931">
      <c r="B6931" s="25" t="n"/>
      <c r="I6931" s="25" t="n"/>
      <c r="U6931" s="19">
        <f>IF(AND($V6931='設定'!$C$4,COUNTIF('商品マスタ'!$B$6:$B$1005,$W6931)=0),N(U6930)+1,N(U6930))</f>
        <v/>
      </c>
      <c r="V6931" s="19">
        <f>IF($B6931="","",TEXT($B6931,"0000"))</f>
        <v/>
      </c>
      <c r="W6931" s="19">
        <f>IF($I6931="","",IF(ISNUMBER($I6931),TEXT($I6931,"0"),$I6931))</f>
        <v/>
      </c>
    </row>
    <row r="6932">
      <c r="B6932" s="25" t="n"/>
      <c r="I6932" s="25" t="n"/>
      <c r="U6932" s="19">
        <f>IF(AND($V6932='設定'!$C$4,COUNTIF('商品マスタ'!$B$6:$B$1005,$W6932)=0),N(U6931)+1,N(U6931))</f>
        <v/>
      </c>
      <c r="V6932" s="19">
        <f>IF($B6932="","",TEXT($B6932,"0000"))</f>
        <v/>
      </c>
      <c r="W6932" s="19">
        <f>IF($I6932="","",IF(ISNUMBER($I6932),TEXT($I6932,"0"),$I6932))</f>
        <v/>
      </c>
    </row>
    <row r="6933">
      <c r="B6933" s="25" t="n"/>
      <c r="I6933" s="25" t="n"/>
      <c r="U6933" s="19">
        <f>IF(AND($V6933='設定'!$C$4,COUNTIF('商品マスタ'!$B$6:$B$1005,$W6933)=0),N(U6932)+1,N(U6932))</f>
        <v/>
      </c>
      <c r="V6933" s="19">
        <f>IF($B6933="","",TEXT($B6933,"0000"))</f>
        <v/>
      </c>
      <c r="W6933" s="19">
        <f>IF($I6933="","",IF(ISNUMBER($I6933),TEXT($I6933,"0"),$I6933))</f>
        <v/>
      </c>
    </row>
    <row r="6934">
      <c r="B6934" s="25" t="n"/>
      <c r="I6934" s="25" t="n"/>
      <c r="U6934" s="19">
        <f>IF(AND($V6934='設定'!$C$4,COUNTIF('商品マスタ'!$B$6:$B$1005,$W6934)=0),N(U6933)+1,N(U6933))</f>
        <v/>
      </c>
      <c r="V6934" s="19">
        <f>IF($B6934="","",TEXT($B6934,"0000"))</f>
        <v/>
      </c>
      <c r="W6934" s="19">
        <f>IF($I6934="","",IF(ISNUMBER($I6934),TEXT($I6934,"0"),$I6934))</f>
        <v/>
      </c>
    </row>
    <row r="6935">
      <c r="B6935" s="25" t="n"/>
      <c r="I6935" s="25" t="n"/>
      <c r="U6935" s="19">
        <f>IF(AND($V6935='設定'!$C$4,COUNTIF('商品マスタ'!$B$6:$B$1005,$W6935)=0),N(U6934)+1,N(U6934))</f>
        <v/>
      </c>
      <c r="V6935" s="19">
        <f>IF($B6935="","",TEXT($B6935,"0000"))</f>
        <v/>
      </c>
      <c r="W6935" s="19">
        <f>IF($I6935="","",IF(ISNUMBER($I6935),TEXT($I6935,"0"),$I6935))</f>
        <v/>
      </c>
    </row>
    <row r="6936">
      <c r="B6936" s="25" t="n"/>
      <c r="I6936" s="25" t="n"/>
      <c r="U6936" s="19">
        <f>IF(AND($V6936='設定'!$C$4,COUNTIF('商品マスタ'!$B$6:$B$1005,$W6936)=0),N(U6935)+1,N(U6935))</f>
        <v/>
      </c>
      <c r="V6936" s="19">
        <f>IF($B6936="","",TEXT($B6936,"0000"))</f>
        <v/>
      </c>
      <c r="W6936" s="19">
        <f>IF($I6936="","",IF(ISNUMBER($I6936),TEXT($I6936,"0"),$I6936))</f>
        <v/>
      </c>
    </row>
    <row r="6937">
      <c r="B6937" s="25" t="n"/>
      <c r="I6937" s="25" t="n"/>
      <c r="U6937" s="19">
        <f>IF(AND($V6937='設定'!$C$4,COUNTIF('商品マスタ'!$B$6:$B$1005,$W6937)=0),N(U6936)+1,N(U6936))</f>
        <v/>
      </c>
      <c r="V6937" s="19">
        <f>IF($B6937="","",TEXT($B6937,"0000"))</f>
        <v/>
      </c>
      <c r="W6937" s="19">
        <f>IF($I6937="","",IF(ISNUMBER($I6937),TEXT($I6937,"0"),$I6937))</f>
        <v/>
      </c>
    </row>
    <row r="6938">
      <c r="B6938" s="25" t="n"/>
      <c r="I6938" s="25" t="n"/>
      <c r="U6938" s="19">
        <f>IF(AND($V6938='設定'!$C$4,COUNTIF('商品マスタ'!$B$6:$B$1005,$W6938)=0),N(U6937)+1,N(U6937))</f>
        <v/>
      </c>
      <c r="V6938" s="19">
        <f>IF($B6938="","",TEXT($B6938,"0000"))</f>
        <v/>
      </c>
      <c r="W6938" s="19">
        <f>IF($I6938="","",IF(ISNUMBER($I6938),TEXT($I6938,"0"),$I6938))</f>
        <v/>
      </c>
    </row>
    <row r="6939">
      <c r="B6939" s="25" t="n"/>
      <c r="I6939" s="25" t="n"/>
      <c r="U6939" s="19">
        <f>IF(AND($V6939='設定'!$C$4,COUNTIF('商品マスタ'!$B$6:$B$1005,$W6939)=0),N(U6938)+1,N(U6938))</f>
        <v/>
      </c>
      <c r="V6939" s="19">
        <f>IF($B6939="","",TEXT($B6939,"0000"))</f>
        <v/>
      </c>
      <c r="W6939" s="19">
        <f>IF($I6939="","",IF(ISNUMBER($I6939),TEXT($I6939,"0"),$I6939))</f>
        <v/>
      </c>
    </row>
    <row r="6940">
      <c r="B6940" s="25" t="n"/>
      <c r="I6940" s="25" t="n"/>
      <c r="U6940" s="19">
        <f>IF(AND($V6940='設定'!$C$4,COUNTIF('商品マスタ'!$B$6:$B$1005,$W6940)=0),N(U6939)+1,N(U6939))</f>
        <v/>
      </c>
      <c r="V6940" s="19">
        <f>IF($B6940="","",TEXT($B6940,"0000"))</f>
        <v/>
      </c>
      <c r="W6940" s="19">
        <f>IF($I6940="","",IF(ISNUMBER($I6940),TEXT($I6940,"0"),$I6940))</f>
        <v/>
      </c>
    </row>
    <row r="6941">
      <c r="B6941" s="25" t="n"/>
      <c r="I6941" s="25" t="n"/>
      <c r="U6941" s="19">
        <f>IF(AND($V6941='設定'!$C$4,COUNTIF('商品マスタ'!$B$6:$B$1005,$W6941)=0),N(U6940)+1,N(U6940))</f>
        <v/>
      </c>
      <c r="V6941" s="19">
        <f>IF($B6941="","",TEXT($B6941,"0000"))</f>
        <v/>
      </c>
      <c r="W6941" s="19">
        <f>IF($I6941="","",IF(ISNUMBER($I6941),TEXT($I6941,"0"),$I6941))</f>
        <v/>
      </c>
    </row>
    <row r="6942">
      <c r="B6942" s="25" t="n"/>
      <c r="I6942" s="25" t="n"/>
      <c r="U6942" s="19">
        <f>IF(AND($V6942='設定'!$C$4,COUNTIF('商品マスタ'!$B$6:$B$1005,$W6942)=0),N(U6941)+1,N(U6941))</f>
        <v/>
      </c>
      <c r="V6942" s="19">
        <f>IF($B6942="","",TEXT($B6942,"0000"))</f>
        <v/>
      </c>
      <c r="W6942" s="19">
        <f>IF($I6942="","",IF(ISNUMBER($I6942),TEXT($I6942,"0"),$I6942))</f>
        <v/>
      </c>
    </row>
    <row r="6943">
      <c r="B6943" s="25" t="n"/>
      <c r="I6943" s="25" t="n"/>
      <c r="U6943" s="19">
        <f>IF(AND($V6943='設定'!$C$4,COUNTIF('商品マスタ'!$B$6:$B$1005,$W6943)=0),N(U6942)+1,N(U6942))</f>
        <v/>
      </c>
      <c r="V6943" s="19">
        <f>IF($B6943="","",TEXT($B6943,"0000"))</f>
        <v/>
      </c>
      <c r="W6943" s="19">
        <f>IF($I6943="","",IF(ISNUMBER($I6943),TEXT($I6943,"0"),$I6943))</f>
        <v/>
      </c>
    </row>
    <row r="6944">
      <c r="B6944" s="25" t="n"/>
      <c r="I6944" s="25" t="n"/>
      <c r="U6944" s="19">
        <f>IF(AND($V6944='設定'!$C$4,COUNTIF('商品マスタ'!$B$6:$B$1005,$W6944)=0),N(U6943)+1,N(U6943))</f>
        <v/>
      </c>
      <c r="V6944" s="19">
        <f>IF($B6944="","",TEXT($B6944,"0000"))</f>
        <v/>
      </c>
      <c r="W6944" s="19">
        <f>IF($I6944="","",IF(ISNUMBER($I6944),TEXT($I6944,"0"),$I6944))</f>
        <v/>
      </c>
    </row>
    <row r="6945">
      <c r="B6945" s="25" t="n"/>
      <c r="I6945" s="25" t="n"/>
      <c r="U6945" s="19">
        <f>IF(AND($V6945='設定'!$C$4,COUNTIF('商品マスタ'!$B$6:$B$1005,$W6945)=0),N(U6944)+1,N(U6944))</f>
        <v/>
      </c>
      <c r="V6945" s="19">
        <f>IF($B6945="","",TEXT($B6945,"0000"))</f>
        <v/>
      </c>
      <c r="W6945" s="19">
        <f>IF($I6945="","",IF(ISNUMBER($I6945),TEXT($I6945,"0"),$I6945))</f>
        <v/>
      </c>
    </row>
    <row r="6946">
      <c r="B6946" s="25" t="n"/>
      <c r="I6946" s="25" t="n"/>
      <c r="U6946" s="19">
        <f>IF(AND($V6946='設定'!$C$4,COUNTIF('商品マスタ'!$B$6:$B$1005,$W6946)=0),N(U6945)+1,N(U6945))</f>
        <v/>
      </c>
      <c r="V6946" s="19">
        <f>IF($B6946="","",TEXT($B6946,"0000"))</f>
        <v/>
      </c>
      <c r="W6946" s="19">
        <f>IF($I6946="","",IF(ISNUMBER($I6946),TEXT($I6946,"0"),$I6946))</f>
        <v/>
      </c>
    </row>
    <row r="6947">
      <c r="B6947" s="25" t="n"/>
      <c r="I6947" s="25" t="n"/>
      <c r="U6947" s="19">
        <f>IF(AND($V6947='設定'!$C$4,COUNTIF('商品マスタ'!$B$6:$B$1005,$W6947)=0),N(U6946)+1,N(U6946))</f>
        <v/>
      </c>
      <c r="V6947" s="19">
        <f>IF($B6947="","",TEXT($B6947,"0000"))</f>
        <v/>
      </c>
      <c r="W6947" s="19">
        <f>IF($I6947="","",IF(ISNUMBER($I6947),TEXT($I6947,"0"),$I6947))</f>
        <v/>
      </c>
    </row>
    <row r="6948">
      <c r="B6948" s="25" t="n"/>
      <c r="I6948" s="25" t="n"/>
      <c r="U6948" s="19">
        <f>IF(AND($V6948='設定'!$C$4,COUNTIF('商品マスタ'!$B$6:$B$1005,$W6948)=0),N(U6947)+1,N(U6947))</f>
        <v/>
      </c>
      <c r="V6948" s="19">
        <f>IF($B6948="","",TEXT($B6948,"0000"))</f>
        <v/>
      </c>
      <c r="W6948" s="19">
        <f>IF($I6948="","",IF(ISNUMBER($I6948),TEXT($I6948,"0"),$I6948))</f>
        <v/>
      </c>
    </row>
    <row r="6949">
      <c r="B6949" s="25" t="n"/>
      <c r="I6949" s="25" t="n"/>
      <c r="U6949" s="19">
        <f>IF(AND($V6949='設定'!$C$4,COUNTIF('商品マスタ'!$B$6:$B$1005,$W6949)=0),N(U6948)+1,N(U6948))</f>
        <v/>
      </c>
      <c r="V6949" s="19">
        <f>IF($B6949="","",TEXT($B6949,"0000"))</f>
        <v/>
      </c>
      <c r="W6949" s="19">
        <f>IF($I6949="","",IF(ISNUMBER($I6949),TEXT($I6949,"0"),$I6949))</f>
        <v/>
      </c>
    </row>
    <row r="6950">
      <c r="B6950" s="25" t="n"/>
      <c r="I6950" s="25" t="n"/>
      <c r="U6950" s="19">
        <f>IF(AND($V6950='設定'!$C$4,COUNTIF('商品マスタ'!$B$6:$B$1005,$W6950)=0),N(U6949)+1,N(U6949))</f>
        <v/>
      </c>
      <c r="V6950" s="19">
        <f>IF($B6950="","",TEXT($B6950,"0000"))</f>
        <v/>
      </c>
      <c r="W6950" s="19">
        <f>IF($I6950="","",IF(ISNUMBER($I6950),TEXT($I6950,"0"),$I6950))</f>
        <v/>
      </c>
    </row>
    <row r="6951">
      <c r="B6951" s="25" t="n"/>
      <c r="I6951" s="25" t="n"/>
      <c r="U6951" s="19">
        <f>IF(AND($V6951='設定'!$C$4,COUNTIF('商品マスタ'!$B$6:$B$1005,$W6951)=0),N(U6950)+1,N(U6950))</f>
        <v/>
      </c>
      <c r="V6951" s="19">
        <f>IF($B6951="","",TEXT($B6951,"0000"))</f>
        <v/>
      </c>
      <c r="W6951" s="19">
        <f>IF($I6951="","",IF(ISNUMBER($I6951),TEXT($I6951,"0"),$I6951))</f>
        <v/>
      </c>
    </row>
    <row r="6952">
      <c r="B6952" s="25" t="n"/>
      <c r="I6952" s="25" t="n"/>
      <c r="U6952" s="19">
        <f>IF(AND($V6952='設定'!$C$4,COUNTIF('商品マスタ'!$B$6:$B$1005,$W6952)=0),N(U6951)+1,N(U6951))</f>
        <v/>
      </c>
      <c r="V6952" s="19">
        <f>IF($B6952="","",TEXT($B6952,"0000"))</f>
        <v/>
      </c>
      <c r="W6952" s="19">
        <f>IF($I6952="","",IF(ISNUMBER($I6952),TEXT($I6952,"0"),$I6952))</f>
        <v/>
      </c>
    </row>
    <row r="6953">
      <c r="B6953" s="25" t="n"/>
      <c r="I6953" s="25" t="n"/>
      <c r="U6953" s="19">
        <f>IF(AND($V6953='設定'!$C$4,COUNTIF('商品マスタ'!$B$6:$B$1005,$W6953)=0),N(U6952)+1,N(U6952))</f>
        <v/>
      </c>
      <c r="V6953" s="19">
        <f>IF($B6953="","",TEXT($B6953,"0000"))</f>
        <v/>
      </c>
      <c r="W6953" s="19">
        <f>IF($I6953="","",IF(ISNUMBER($I6953),TEXT($I6953,"0"),$I6953))</f>
        <v/>
      </c>
    </row>
    <row r="6954">
      <c r="B6954" s="25" t="n"/>
      <c r="I6954" s="25" t="n"/>
      <c r="U6954" s="19">
        <f>IF(AND($V6954='設定'!$C$4,COUNTIF('商品マスタ'!$B$6:$B$1005,$W6954)=0),N(U6953)+1,N(U6953))</f>
        <v/>
      </c>
      <c r="V6954" s="19">
        <f>IF($B6954="","",TEXT($B6954,"0000"))</f>
        <v/>
      </c>
      <c r="W6954" s="19">
        <f>IF($I6954="","",IF(ISNUMBER($I6954),TEXT($I6954,"0"),$I6954))</f>
        <v/>
      </c>
    </row>
    <row r="6955">
      <c r="B6955" s="25" t="n"/>
      <c r="I6955" s="25" t="n"/>
      <c r="U6955" s="19">
        <f>IF(AND($V6955='設定'!$C$4,COUNTIF('商品マスタ'!$B$6:$B$1005,$W6955)=0),N(U6954)+1,N(U6954))</f>
        <v/>
      </c>
      <c r="V6955" s="19">
        <f>IF($B6955="","",TEXT($B6955,"0000"))</f>
        <v/>
      </c>
      <c r="W6955" s="19">
        <f>IF($I6955="","",IF(ISNUMBER($I6955),TEXT($I6955,"0"),$I6955))</f>
        <v/>
      </c>
    </row>
    <row r="6956">
      <c r="B6956" s="25" t="n"/>
      <c r="I6956" s="25" t="n"/>
      <c r="U6956" s="19">
        <f>IF(AND($V6956='設定'!$C$4,COUNTIF('商品マスタ'!$B$6:$B$1005,$W6956)=0),N(U6955)+1,N(U6955))</f>
        <v/>
      </c>
      <c r="V6956" s="19">
        <f>IF($B6956="","",TEXT($B6956,"0000"))</f>
        <v/>
      </c>
      <c r="W6956" s="19">
        <f>IF($I6956="","",IF(ISNUMBER($I6956),TEXT($I6956,"0"),$I6956))</f>
        <v/>
      </c>
    </row>
    <row r="6957">
      <c r="B6957" s="25" t="n"/>
      <c r="I6957" s="25" t="n"/>
      <c r="U6957" s="19">
        <f>IF(AND($V6957='設定'!$C$4,COUNTIF('商品マスタ'!$B$6:$B$1005,$W6957)=0),N(U6956)+1,N(U6956))</f>
        <v/>
      </c>
      <c r="V6957" s="19">
        <f>IF($B6957="","",TEXT($B6957,"0000"))</f>
        <v/>
      </c>
      <c r="W6957" s="19">
        <f>IF($I6957="","",IF(ISNUMBER($I6957),TEXT($I6957,"0"),$I6957))</f>
        <v/>
      </c>
    </row>
    <row r="6958">
      <c r="B6958" s="25" t="n"/>
      <c r="I6958" s="25" t="n"/>
      <c r="U6958" s="19">
        <f>IF(AND($V6958='設定'!$C$4,COUNTIF('商品マスタ'!$B$6:$B$1005,$W6958)=0),N(U6957)+1,N(U6957))</f>
        <v/>
      </c>
      <c r="V6958" s="19">
        <f>IF($B6958="","",TEXT($B6958,"0000"))</f>
        <v/>
      </c>
      <c r="W6958" s="19">
        <f>IF($I6958="","",IF(ISNUMBER($I6958),TEXT($I6958,"0"),$I6958))</f>
        <v/>
      </c>
    </row>
    <row r="6959">
      <c r="B6959" s="25" t="n"/>
      <c r="I6959" s="25" t="n"/>
      <c r="U6959" s="19">
        <f>IF(AND($V6959='設定'!$C$4,COUNTIF('商品マスタ'!$B$6:$B$1005,$W6959)=0),N(U6958)+1,N(U6958))</f>
        <v/>
      </c>
      <c r="V6959" s="19">
        <f>IF($B6959="","",TEXT($B6959,"0000"))</f>
        <v/>
      </c>
      <c r="W6959" s="19">
        <f>IF($I6959="","",IF(ISNUMBER($I6959),TEXT($I6959,"0"),$I6959))</f>
        <v/>
      </c>
    </row>
    <row r="6960">
      <c r="B6960" s="25" t="n"/>
      <c r="I6960" s="25" t="n"/>
      <c r="U6960" s="19">
        <f>IF(AND($V6960='設定'!$C$4,COUNTIF('商品マスタ'!$B$6:$B$1005,$W6960)=0),N(U6959)+1,N(U6959))</f>
        <v/>
      </c>
      <c r="V6960" s="19">
        <f>IF($B6960="","",TEXT($B6960,"0000"))</f>
        <v/>
      </c>
      <c r="W6960" s="19">
        <f>IF($I6960="","",IF(ISNUMBER($I6960),TEXT($I6960,"0"),$I6960))</f>
        <v/>
      </c>
    </row>
    <row r="6961">
      <c r="B6961" s="25" t="n"/>
      <c r="I6961" s="25" t="n"/>
      <c r="U6961" s="19">
        <f>IF(AND($V6961='設定'!$C$4,COUNTIF('商品マスタ'!$B$6:$B$1005,$W6961)=0),N(U6960)+1,N(U6960))</f>
        <v/>
      </c>
      <c r="V6961" s="19">
        <f>IF($B6961="","",TEXT($B6961,"0000"))</f>
        <v/>
      </c>
      <c r="W6961" s="19">
        <f>IF($I6961="","",IF(ISNUMBER($I6961),TEXT($I6961,"0"),$I6961))</f>
        <v/>
      </c>
    </row>
    <row r="6962">
      <c r="B6962" s="25" t="n"/>
      <c r="I6962" s="25" t="n"/>
      <c r="U6962" s="19">
        <f>IF(AND($V6962='設定'!$C$4,COUNTIF('商品マスタ'!$B$6:$B$1005,$W6962)=0),N(U6961)+1,N(U6961))</f>
        <v/>
      </c>
      <c r="V6962" s="19">
        <f>IF($B6962="","",TEXT($B6962,"0000"))</f>
        <v/>
      </c>
      <c r="W6962" s="19">
        <f>IF($I6962="","",IF(ISNUMBER($I6962),TEXT($I6962,"0"),$I6962))</f>
        <v/>
      </c>
    </row>
    <row r="6963">
      <c r="B6963" s="25" t="n"/>
      <c r="I6963" s="25" t="n"/>
      <c r="U6963" s="19">
        <f>IF(AND($V6963='設定'!$C$4,COUNTIF('商品マスタ'!$B$6:$B$1005,$W6963)=0),N(U6962)+1,N(U6962))</f>
        <v/>
      </c>
      <c r="V6963" s="19">
        <f>IF($B6963="","",TEXT($B6963,"0000"))</f>
        <v/>
      </c>
      <c r="W6963" s="19">
        <f>IF($I6963="","",IF(ISNUMBER($I6963),TEXT($I6963,"0"),$I6963))</f>
        <v/>
      </c>
    </row>
    <row r="6964">
      <c r="B6964" s="25" t="n"/>
      <c r="I6964" s="25" t="n"/>
      <c r="U6964" s="19">
        <f>IF(AND($V6964='設定'!$C$4,COUNTIF('商品マスタ'!$B$6:$B$1005,$W6964)=0),N(U6963)+1,N(U6963))</f>
        <v/>
      </c>
      <c r="V6964" s="19">
        <f>IF($B6964="","",TEXT($B6964,"0000"))</f>
        <v/>
      </c>
      <c r="W6964" s="19">
        <f>IF($I6964="","",IF(ISNUMBER($I6964),TEXT($I6964,"0"),$I6964))</f>
        <v/>
      </c>
    </row>
    <row r="6965">
      <c r="B6965" s="25" t="n"/>
      <c r="I6965" s="25" t="n"/>
      <c r="U6965" s="19">
        <f>IF(AND($V6965='設定'!$C$4,COUNTIF('商品マスタ'!$B$6:$B$1005,$W6965)=0),N(U6964)+1,N(U6964))</f>
        <v/>
      </c>
      <c r="V6965" s="19">
        <f>IF($B6965="","",TEXT($B6965,"0000"))</f>
        <v/>
      </c>
      <c r="W6965" s="19">
        <f>IF($I6965="","",IF(ISNUMBER($I6965),TEXT($I6965,"0"),$I6965))</f>
        <v/>
      </c>
    </row>
    <row r="6966">
      <c r="B6966" s="25" t="n"/>
      <c r="I6966" s="25" t="n"/>
      <c r="U6966" s="19">
        <f>IF(AND($V6966='設定'!$C$4,COUNTIF('商品マスタ'!$B$6:$B$1005,$W6966)=0),N(U6965)+1,N(U6965))</f>
        <v/>
      </c>
      <c r="V6966" s="19">
        <f>IF($B6966="","",TEXT($B6966,"0000"))</f>
        <v/>
      </c>
      <c r="W6966" s="19">
        <f>IF($I6966="","",IF(ISNUMBER($I6966),TEXT($I6966,"0"),$I6966))</f>
        <v/>
      </c>
    </row>
    <row r="6967">
      <c r="B6967" s="25" t="n"/>
      <c r="I6967" s="25" t="n"/>
      <c r="U6967" s="19">
        <f>IF(AND($V6967='設定'!$C$4,COUNTIF('商品マスタ'!$B$6:$B$1005,$W6967)=0),N(U6966)+1,N(U6966))</f>
        <v/>
      </c>
      <c r="V6967" s="19">
        <f>IF($B6967="","",TEXT($B6967,"0000"))</f>
        <v/>
      </c>
      <c r="W6967" s="19">
        <f>IF($I6967="","",IF(ISNUMBER($I6967),TEXT($I6967,"0"),$I6967))</f>
        <v/>
      </c>
    </row>
    <row r="6968">
      <c r="B6968" s="25" t="n"/>
      <c r="I6968" s="25" t="n"/>
      <c r="U6968" s="19">
        <f>IF(AND($V6968='設定'!$C$4,COUNTIF('商品マスタ'!$B$6:$B$1005,$W6968)=0),N(U6967)+1,N(U6967))</f>
        <v/>
      </c>
      <c r="V6968" s="19">
        <f>IF($B6968="","",TEXT($B6968,"0000"))</f>
        <v/>
      </c>
      <c r="W6968" s="19">
        <f>IF($I6968="","",IF(ISNUMBER($I6968),TEXT($I6968,"0"),$I6968))</f>
        <v/>
      </c>
    </row>
    <row r="6969">
      <c r="B6969" s="25" t="n"/>
      <c r="I6969" s="25" t="n"/>
      <c r="U6969" s="19">
        <f>IF(AND($V6969='設定'!$C$4,COUNTIF('商品マスタ'!$B$6:$B$1005,$W6969)=0),N(U6968)+1,N(U6968))</f>
        <v/>
      </c>
      <c r="V6969" s="19">
        <f>IF($B6969="","",TEXT($B6969,"0000"))</f>
        <v/>
      </c>
      <c r="W6969" s="19">
        <f>IF($I6969="","",IF(ISNUMBER($I6969),TEXT($I6969,"0"),$I6969))</f>
        <v/>
      </c>
    </row>
    <row r="6970">
      <c r="B6970" s="25" t="n"/>
      <c r="I6970" s="25" t="n"/>
      <c r="U6970" s="19">
        <f>IF(AND($V6970='設定'!$C$4,COUNTIF('商品マスタ'!$B$6:$B$1005,$W6970)=0),N(U6969)+1,N(U6969))</f>
        <v/>
      </c>
      <c r="V6970" s="19">
        <f>IF($B6970="","",TEXT($B6970,"0000"))</f>
        <v/>
      </c>
      <c r="W6970" s="19">
        <f>IF($I6970="","",IF(ISNUMBER($I6970),TEXT($I6970,"0"),$I6970))</f>
        <v/>
      </c>
    </row>
    <row r="6971">
      <c r="B6971" s="25" t="n"/>
      <c r="I6971" s="25" t="n"/>
      <c r="U6971" s="19">
        <f>IF(AND($V6971='設定'!$C$4,COUNTIF('商品マスタ'!$B$6:$B$1005,$W6971)=0),N(U6970)+1,N(U6970))</f>
        <v/>
      </c>
      <c r="V6971" s="19">
        <f>IF($B6971="","",TEXT($B6971,"0000"))</f>
        <v/>
      </c>
      <c r="W6971" s="19">
        <f>IF($I6971="","",IF(ISNUMBER($I6971),TEXT($I6971,"0"),$I6971))</f>
        <v/>
      </c>
    </row>
    <row r="6972">
      <c r="B6972" s="25" t="n"/>
      <c r="I6972" s="25" t="n"/>
      <c r="U6972" s="19">
        <f>IF(AND($V6972='設定'!$C$4,COUNTIF('商品マスタ'!$B$6:$B$1005,$W6972)=0),N(U6971)+1,N(U6971))</f>
        <v/>
      </c>
      <c r="V6972" s="19">
        <f>IF($B6972="","",TEXT($B6972,"0000"))</f>
        <v/>
      </c>
      <c r="W6972" s="19">
        <f>IF($I6972="","",IF(ISNUMBER($I6972),TEXT($I6972,"0"),$I6972))</f>
        <v/>
      </c>
    </row>
    <row r="6973">
      <c r="B6973" s="25" t="n"/>
      <c r="I6973" s="25" t="n"/>
      <c r="U6973" s="19">
        <f>IF(AND($V6973='設定'!$C$4,COUNTIF('商品マスタ'!$B$6:$B$1005,$W6973)=0),N(U6972)+1,N(U6972))</f>
        <v/>
      </c>
      <c r="V6973" s="19">
        <f>IF($B6973="","",TEXT($B6973,"0000"))</f>
        <v/>
      </c>
      <c r="W6973" s="19">
        <f>IF($I6973="","",IF(ISNUMBER($I6973),TEXT($I6973,"0"),$I6973))</f>
        <v/>
      </c>
    </row>
    <row r="6974">
      <c r="B6974" s="25" t="n"/>
      <c r="I6974" s="25" t="n"/>
      <c r="U6974" s="19">
        <f>IF(AND($V6974='設定'!$C$4,COUNTIF('商品マスタ'!$B$6:$B$1005,$W6974)=0),N(U6973)+1,N(U6973))</f>
        <v/>
      </c>
      <c r="V6974" s="19">
        <f>IF($B6974="","",TEXT($B6974,"0000"))</f>
        <v/>
      </c>
      <c r="W6974" s="19">
        <f>IF($I6974="","",IF(ISNUMBER($I6974),TEXT($I6974,"0"),$I6974))</f>
        <v/>
      </c>
    </row>
    <row r="6975">
      <c r="B6975" s="25" t="n"/>
      <c r="I6975" s="25" t="n"/>
      <c r="U6975" s="19">
        <f>IF(AND($V6975='設定'!$C$4,COUNTIF('商品マスタ'!$B$6:$B$1005,$W6975)=0),N(U6974)+1,N(U6974))</f>
        <v/>
      </c>
      <c r="V6975" s="19">
        <f>IF($B6975="","",TEXT($B6975,"0000"))</f>
        <v/>
      </c>
      <c r="W6975" s="19">
        <f>IF($I6975="","",IF(ISNUMBER($I6975),TEXT($I6975,"0"),$I6975))</f>
        <v/>
      </c>
    </row>
    <row r="6976">
      <c r="B6976" s="25" t="n"/>
      <c r="I6976" s="25" t="n"/>
      <c r="U6976" s="19">
        <f>IF(AND($V6976='設定'!$C$4,COUNTIF('商品マスタ'!$B$6:$B$1005,$W6976)=0),N(U6975)+1,N(U6975))</f>
        <v/>
      </c>
      <c r="V6976" s="19">
        <f>IF($B6976="","",TEXT($B6976,"0000"))</f>
        <v/>
      </c>
      <c r="W6976" s="19">
        <f>IF($I6976="","",IF(ISNUMBER($I6976),TEXT($I6976,"0"),$I6976))</f>
        <v/>
      </c>
    </row>
    <row r="6977">
      <c r="B6977" s="25" t="n"/>
      <c r="I6977" s="25" t="n"/>
      <c r="U6977" s="19">
        <f>IF(AND($V6977='設定'!$C$4,COUNTIF('商品マスタ'!$B$6:$B$1005,$W6977)=0),N(U6976)+1,N(U6976))</f>
        <v/>
      </c>
      <c r="V6977" s="19">
        <f>IF($B6977="","",TEXT($B6977,"0000"))</f>
        <v/>
      </c>
      <c r="W6977" s="19">
        <f>IF($I6977="","",IF(ISNUMBER($I6977),TEXT($I6977,"0"),$I6977))</f>
        <v/>
      </c>
    </row>
    <row r="6978">
      <c r="B6978" s="25" t="n"/>
      <c r="I6978" s="25" t="n"/>
      <c r="U6978" s="19">
        <f>IF(AND($V6978='設定'!$C$4,COUNTIF('商品マスタ'!$B$6:$B$1005,$W6978)=0),N(U6977)+1,N(U6977))</f>
        <v/>
      </c>
      <c r="V6978" s="19">
        <f>IF($B6978="","",TEXT($B6978,"0000"))</f>
        <v/>
      </c>
      <c r="W6978" s="19">
        <f>IF($I6978="","",IF(ISNUMBER($I6978),TEXT($I6978,"0"),$I6978))</f>
        <v/>
      </c>
    </row>
    <row r="6979">
      <c r="B6979" s="25" t="n"/>
      <c r="I6979" s="25" t="n"/>
      <c r="U6979" s="19">
        <f>IF(AND($V6979='設定'!$C$4,COUNTIF('商品マスタ'!$B$6:$B$1005,$W6979)=0),N(U6978)+1,N(U6978))</f>
        <v/>
      </c>
      <c r="V6979" s="19">
        <f>IF($B6979="","",TEXT($B6979,"0000"))</f>
        <v/>
      </c>
      <c r="W6979" s="19">
        <f>IF($I6979="","",IF(ISNUMBER($I6979),TEXT($I6979,"0"),$I6979))</f>
        <v/>
      </c>
    </row>
    <row r="6980">
      <c r="B6980" s="25" t="n"/>
      <c r="I6980" s="25" t="n"/>
      <c r="U6980" s="19">
        <f>IF(AND($V6980='設定'!$C$4,COUNTIF('商品マスタ'!$B$6:$B$1005,$W6980)=0),N(U6979)+1,N(U6979))</f>
        <v/>
      </c>
      <c r="V6980" s="19">
        <f>IF($B6980="","",TEXT($B6980,"0000"))</f>
        <v/>
      </c>
      <c r="W6980" s="19">
        <f>IF($I6980="","",IF(ISNUMBER($I6980),TEXT($I6980,"0"),$I6980))</f>
        <v/>
      </c>
    </row>
    <row r="6981">
      <c r="B6981" s="25" t="n"/>
      <c r="I6981" s="25" t="n"/>
      <c r="U6981" s="19">
        <f>IF(AND($V6981='設定'!$C$4,COUNTIF('商品マスタ'!$B$6:$B$1005,$W6981)=0),N(U6980)+1,N(U6980))</f>
        <v/>
      </c>
      <c r="V6981" s="19">
        <f>IF($B6981="","",TEXT($B6981,"0000"))</f>
        <v/>
      </c>
      <c r="W6981" s="19">
        <f>IF($I6981="","",IF(ISNUMBER($I6981),TEXT($I6981,"0"),$I6981))</f>
        <v/>
      </c>
    </row>
    <row r="6982">
      <c r="B6982" s="25" t="n"/>
      <c r="I6982" s="25" t="n"/>
      <c r="U6982" s="19">
        <f>IF(AND($V6982='設定'!$C$4,COUNTIF('商品マスタ'!$B$6:$B$1005,$W6982)=0),N(U6981)+1,N(U6981))</f>
        <v/>
      </c>
      <c r="V6982" s="19">
        <f>IF($B6982="","",TEXT($B6982,"0000"))</f>
        <v/>
      </c>
      <c r="W6982" s="19">
        <f>IF($I6982="","",IF(ISNUMBER($I6982),TEXT($I6982,"0"),$I6982))</f>
        <v/>
      </c>
    </row>
    <row r="6983">
      <c r="B6983" s="25" t="n"/>
      <c r="I6983" s="25" t="n"/>
      <c r="U6983" s="19">
        <f>IF(AND($V6983='設定'!$C$4,COUNTIF('商品マスタ'!$B$6:$B$1005,$W6983)=0),N(U6982)+1,N(U6982))</f>
        <v/>
      </c>
      <c r="V6983" s="19">
        <f>IF($B6983="","",TEXT($B6983,"0000"))</f>
        <v/>
      </c>
      <c r="W6983" s="19">
        <f>IF($I6983="","",IF(ISNUMBER($I6983),TEXT($I6983,"0"),$I6983))</f>
        <v/>
      </c>
    </row>
    <row r="6984">
      <c r="B6984" s="25" t="n"/>
      <c r="I6984" s="25" t="n"/>
      <c r="U6984" s="19">
        <f>IF(AND($V6984='設定'!$C$4,COUNTIF('商品マスタ'!$B$6:$B$1005,$W6984)=0),N(U6983)+1,N(U6983))</f>
        <v/>
      </c>
      <c r="V6984" s="19">
        <f>IF($B6984="","",TEXT($B6984,"0000"))</f>
        <v/>
      </c>
      <c r="W6984" s="19">
        <f>IF($I6984="","",IF(ISNUMBER($I6984),TEXT($I6984,"0"),$I6984))</f>
        <v/>
      </c>
    </row>
    <row r="6985">
      <c r="B6985" s="25" t="n"/>
      <c r="I6985" s="25" t="n"/>
      <c r="U6985" s="19">
        <f>IF(AND($V6985='設定'!$C$4,COUNTIF('商品マスタ'!$B$6:$B$1005,$W6985)=0),N(U6984)+1,N(U6984))</f>
        <v/>
      </c>
      <c r="V6985" s="19">
        <f>IF($B6985="","",TEXT($B6985,"0000"))</f>
        <v/>
      </c>
      <c r="W6985" s="19">
        <f>IF($I6985="","",IF(ISNUMBER($I6985),TEXT($I6985,"0"),$I6985))</f>
        <v/>
      </c>
    </row>
    <row r="6986">
      <c r="B6986" s="25" t="n"/>
      <c r="I6986" s="25" t="n"/>
      <c r="U6986" s="19">
        <f>IF(AND($V6986='設定'!$C$4,COUNTIF('商品マスタ'!$B$6:$B$1005,$W6986)=0),N(U6985)+1,N(U6985))</f>
        <v/>
      </c>
      <c r="V6986" s="19">
        <f>IF($B6986="","",TEXT($B6986,"0000"))</f>
        <v/>
      </c>
      <c r="W6986" s="19">
        <f>IF($I6986="","",IF(ISNUMBER($I6986),TEXT($I6986,"0"),$I6986))</f>
        <v/>
      </c>
    </row>
    <row r="6987">
      <c r="B6987" s="25" t="n"/>
      <c r="I6987" s="25" t="n"/>
      <c r="U6987" s="19">
        <f>IF(AND($V6987='設定'!$C$4,COUNTIF('商品マスタ'!$B$6:$B$1005,$W6987)=0),N(U6986)+1,N(U6986))</f>
        <v/>
      </c>
      <c r="V6987" s="19">
        <f>IF($B6987="","",TEXT($B6987,"0000"))</f>
        <v/>
      </c>
      <c r="W6987" s="19">
        <f>IF($I6987="","",IF(ISNUMBER($I6987),TEXT($I6987,"0"),$I6987))</f>
        <v/>
      </c>
    </row>
    <row r="6988">
      <c r="B6988" s="25" t="n"/>
      <c r="I6988" s="25" t="n"/>
      <c r="U6988" s="19">
        <f>IF(AND($V6988='設定'!$C$4,COUNTIF('商品マスタ'!$B$6:$B$1005,$W6988)=0),N(U6987)+1,N(U6987))</f>
        <v/>
      </c>
      <c r="V6988" s="19">
        <f>IF($B6988="","",TEXT($B6988,"0000"))</f>
        <v/>
      </c>
      <c r="W6988" s="19">
        <f>IF($I6988="","",IF(ISNUMBER($I6988),TEXT($I6988,"0"),$I6988))</f>
        <v/>
      </c>
    </row>
    <row r="6989">
      <c r="B6989" s="25" t="n"/>
      <c r="I6989" s="25" t="n"/>
      <c r="U6989" s="19">
        <f>IF(AND($V6989='設定'!$C$4,COUNTIF('商品マスタ'!$B$6:$B$1005,$W6989)=0),N(U6988)+1,N(U6988))</f>
        <v/>
      </c>
      <c r="V6989" s="19">
        <f>IF($B6989="","",TEXT($B6989,"0000"))</f>
        <v/>
      </c>
      <c r="W6989" s="19">
        <f>IF($I6989="","",IF(ISNUMBER($I6989),TEXT($I6989,"0"),$I6989))</f>
        <v/>
      </c>
    </row>
    <row r="6990">
      <c r="B6990" s="25" t="n"/>
      <c r="I6990" s="25" t="n"/>
      <c r="U6990" s="19">
        <f>IF(AND($V6990='設定'!$C$4,COUNTIF('商品マスタ'!$B$6:$B$1005,$W6990)=0),N(U6989)+1,N(U6989))</f>
        <v/>
      </c>
      <c r="V6990" s="19">
        <f>IF($B6990="","",TEXT($B6990,"0000"))</f>
        <v/>
      </c>
      <c r="W6990" s="19">
        <f>IF($I6990="","",IF(ISNUMBER($I6990),TEXT($I6990,"0"),$I6990))</f>
        <v/>
      </c>
    </row>
    <row r="6991">
      <c r="B6991" s="25" t="n"/>
      <c r="I6991" s="25" t="n"/>
      <c r="U6991" s="19">
        <f>IF(AND($V6991='設定'!$C$4,COUNTIF('商品マスタ'!$B$6:$B$1005,$W6991)=0),N(U6990)+1,N(U6990))</f>
        <v/>
      </c>
      <c r="V6991" s="19">
        <f>IF($B6991="","",TEXT($B6991,"0000"))</f>
        <v/>
      </c>
      <c r="W6991" s="19">
        <f>IF($I6991="","",IF(ISNUMBER($I6991),TEXT($I6991,"0"),$I6991))</f>
        <v/>
      </c>
    </row>
    <row r="6992">
      <c r="B6992" s="25" t="n"/>
      <c r="I6992" s="25" t="n"/>
      <c r="U6992" s="19">
        <f>IF(AND($V6992='設定'!$C$4,COUNTIF('商品マスタ'!$B$6:$B$1005,$W6992)=0),N(U6991)+1,N(U6991))</f>
        <v/>
      </c>
      <c r="V6992" s="19">
        <f>IF($B6992="","",TEXT($B6992,"0000"))</f>
        <v/>
      </c>
      <c r="W6992" s="19">
        <f>IF($I6992="","",IF(ISNUMBER($I6992),TEXT($I6992,"0"),$I6992))</f>
        <v/>
      </c>
    </row>
    <row r="6993">
      <c r="B6993" s="25" t="n"/>
      <c r="I6993" s="25" t="n"/>
      <c r="U6993" s="19">
        <f>IF(AND($V6993='設定'!$C$4,COUNTIF('商品マスタ'!$B$6:$B$1005,$W6993)=0),N(U6992)+1,N(U6992))</f>
        <v/>
      </c>
      <c r="V6993" s="19">
        <f>IF($B6993="","",TEXT($B6993,"0000"))</f>
        <v/>
      </c>
      <c r="W6993" s="19">
        <f>IF($I6993="","",IF(ISNUMBER($I6993),TEXT($I6993,"0"),$I6993))</f>
        <v/>
      </c>
    </row>
    <row r="6994">
      <c r="B6994" s="25" t="n"/>
      <c r="I6994" s="25" t="n"/>
      <c r="U6994" s="19">
        <f>IF(AND($V6994='設定'!$C$4,COUNTIF('商品マスタ'!$B$6:$B$1005,$W6994)=0),N(U6993)+1,N(U6993))</f>
        <v/>
      </c>
      <c r="V6994" s="19">
        <f>IF($B6994="","",TEXT($B6994,"0000"))</f>
        <v/>
      </c>
      <c r="W6994" s="19">
        <f>IF($I6994="","",IF(ISNUMBER($I6994),TEXT($I6994,"0"),$I6994))</f>
        <v/>
      </c>
    </row>
    <row r="6995">
      <c r="B6995" s="25" t="n"/>
      <c r="I6995" s="25" t="n"/>
      <c r="U6995" s="19">
        <f>IF(AND($V6995='設定'!$C$4,COUNTIF('商品マスタ'!$B$6:$B$1005,$W6995)=0),N(U6994)+1,N(U6994))</f>
        <v/>
      </c>
      <c r="V6995" s="19">
        <f>IF($B6995="","",TEXT($B6995,"0000"))</f>
        <v/>
      </c>
      <c r="W6995" s="19">
        <f>IF($I6995="","",IF(ISNUMBER($I6995),TEXT($I6995,"0"),$I6995))</f>
        <v/>
      </c>
    </row>
    <row r="6996">
      <c r="B6996" s="25" t="n"/>
      <c r="I6996" s="25" t="n"/>
      <c r="U6996" s="19">
        <f>IF(AND($V6996='設定'!$C$4,COUNTIF('商品マスタ'!$B$6:$B$1005,$W6996)=0),N(U6995)+1,N(U6995))</f>
        <v/>
      </c>
      <c r="V6996" s="19">
        <f>IF($B6996="","",TEXT($B6996,"0000"))</f>
        <v/>
      </c>
      <c r="W6996" s="19">
        <f>IF($I6996="","",IF(ISNUMBER($I6996),TEXT($I6996,"0"),$I6996))</f>
        <v/>
      </c>
    </row>
    <row r="6997">
      <c r="B6997" s="25" t="n"/>
      <c r="I6997" s="25" t="n"/>
      <c r="U6997" s="19">
        <f>IF(AND($V6997='設定'!$C$4,COUNTIF('商品マスタ'!$B$6:$B$1005,$W6997)=0),N(U6996)+1,N(U6996))</f>
        <v/>
      </c>
      <c r="V6997" s="19">
        <f>IF($B6997="","",TEXT($B6997,"0000"))</f>
        <v/>
      </c>
      <c r="W6997" s="19">
        <f>IF($I6997="","",IF(ISNUMBER($I6997),TEXT($I6997,"0"),$I6997))</f>
        <v/>
      </c>
    </row>
    <row r="6998">
      <c r="B6998" s="25" t="n"/>
      <c r="I6998" s="25" t="n"/>
      <c r="U6998" s="19">
        <f>IF(AND($V6998='設定'!$C$4,COUNTIF('商品マスタ'!$B$6:$B$1005,$W6998)=0),N(U6997)+1,N(U6997))</f>
        <v/>
      </c>
      <c r="V6998" s="19">
        <f>IF($B6998="","",TEXT($B6998,"0000"))</f>
        <v/>
      </c>
      <c r="W6998" s="19">
        <f>IF($I6998="","",IF(ISNUMBER($I6998),TEXT($I6998,"0"),$I6998))</f>
        <v/>
      </c>
    </row>
    <row r="6999">
      <c r="B6999" s="25" t="n"/>
      <c r="I6999" s="25" t="n"/>
      <c r="U6999" s="19">
        <f>IF(AND($V6999='設定'!$C$4,COUNTIF('商品マスタ'!$B$6:$B$1005,$W6999)=0),N(U6998)+1,N(U6998))</f>
        <v/>
      </c>
      <c r="V6999" s="19">
        <f>IF($B6999="","",TEXT($B6999,"0000"))</f>
        <v/>
      </c>
      <c r="W6999" s="19">
        <f>IF($I6999="","",IF(ISNUMBER($I6999),TEXT($I6999,"0"),$I6999))</f>
        <v/>
      </c>
    </row>
    <row r="7000">
      <c r="B7000" s="25" t="n"/>
      <c r="I7000" s="25" t="n"/>
      <c r="U7000" s="19">
        <f>IF(AND($V7000='設定'!$C$4,COUNTIF('商品マスタ'!$B$6:$B$1005,$W7000)=0),N(U6999)+1,N(U6999))</f>
        <v/>
      </c>
      <c r="V7000" s="19">
        <f>IF($B7000="","",TEXT($B7000,"0000"))</f>
        <v/>
      </c>
      <c r="W7000" s="19">
        <f>IF($I7000="","",IF(ISNUMBER($I7000),TEXT($I7000,"0"),$I7000))</f>
        <v/>
      </c>
    </row>
    <row r="7001">
      <c r="B7001" s="25" t="n"/>
      <c r="I7001" s="25" t="n"/>
      <c r="U7001" s="19">
        <f>IF(AND($V7001='設定'!$C$4,COUNTIF('商品マスタ'!$B$6:$B$1005,$W7001)=0),N(U7000)+1,N(U7000))</f>
        <v/>
      </c>
      <c r="V7001" s="19">
        <f>IF($B7001="","",TEXT($B7001,"0000"))</f>
        <v/>
      </c>
      <c r="W7001" s="19">
        <f>IF($I7001="","",IF(ISNUMBER($I7001),TEXT($I7001,"0"),$I7001))</f>
        <v/>
      </c>
    </row>
    <row r="7002">
      <c r="B7002" s="25" t="n"/>
      <c r="I7002" s="25" t="n"/>
      <c r="U7002" s="19">
        <f>IF(AND($V7002='設定'!$C$4,COUNTIF('商品マスタ'!$B$6:$B$1005,$W7002)=0),N(U7001)+1,N(U7001))</f>
        <v/>
      </c>
      <c r="V7002" s="19">
        <f>IF($B7002="","",TEXT($B7002,"0000"))</f>
        <v/>
      </c>
      <c r="W7002" s="19">
        <f>IF($I7002="","",IF(ISNUMBER($I7002),TEXT($I7002,"0"),$I7002))</f>
        <v/>
      </c>
    </row>
    <row r="7003">
      <c r="B7003" s="25" t="n"/>
      <c r="I7003" s="25" t="n"/>
      <c r="U7003" s="19">
        <f>IF(AND($V7003='設定'!$C$4,COUNTIF('商品マスタ'!$B$6:$B$1005,$W7003)=0),N(U7002)+1,N(U7002))</f>
        <v/>
      </c>
      <c r="V7003" s="19">
        <f>IF($B7003="","",TEXT($B7003,"0000"))</f>
        <v/>
      </c>
      <c r="W7003" s="19">
        <f>IF($I7003="","",IF(ISNUMBER($I7003),TEXT($I7003,"0"),$I7003))</f>
        <v/>
      </c>
    </row>
    <row r="7004">
      <c r="B7004" s="25" t="n"/>
      <c r="I7004" s="25" t="n"/>
      <c r="U7004" s="19">
        <f>IF(AND($V7004='設定'!$C$4,COUNTIF('商品マスタ'!$B$6:$B$1005,$W7004)=0),N(U7003)+1,N(U7003))</f>
        <v/>
      </c>
      <c r="V7004" s="19">
        <f>IF($B7004="","",TEXT($B7004,"0000"))</f>
        <v/>
      </c>
      <c r="W7004" s="19">
        <f>IF($I7004="","",IF(ISNUMBER($I7004),TEXT($I7004,"0"),$I7004))</f>
        <v/>
      </c>
    </row>
    <row r="7005">
      <c r="B7005" s="25" t="n"/>
      <c r="I7005" s="25" t="n"/>
      <c r="U7005" s="19">
        <f>IF(AND($V7005='設定'!$C$4,COUNTIF('商品マスタ'!$B$6:$B$1005,$W7005)=0),N(U7004)+1,N(U7004))</f>
        <v/>
      </c>
      <c r="V7005" s="19">
        <f>IF($B7005="","",TEXT($B7005,"0000"))</f>
        <v/>
      </c>
      <c r="W7005" s="19">
        <f>IF($I7005="","",IF(ISNUMBER($I7005),TEXT($I7005,"0"),$I7005))</f>
        <v/>
      </c>
    </row>
    <row r="7006">
      <c r="B7006" s="25" t="n"/>
      <c r="I7006" s="25" t="n"/>
      <c r="U7006" s="19">
        <f>IF(AND($V7006='設定'!$C$4,COUNTIF('商品マスタ'!$B$6:$B$1005,$W7006)=0),N(U7005)+1,N(U7005))</f>
        <v/>
      </c>
      <c r="V7006" s="19">
        <f>IF($B7006="","",TEXT($B7006,"0000"))</f>
        <v/>
      </c>
      <c r="W7006" s="19">
        <f>IF($I7006="","",IF(ISNUMBER($I7006),TEXT($I7006,"0"),$I7006))</f>
        <v/>
      </c>
    </row>
    <row r="7007">
      <c r="B7007" s="25" t="n"/>
      <c r="I7007" s="25" t="n"/>
      <c r="U7007" s="19">
        <f>IF(AND($V7007='設定'!$C$4,COUNTIF('商品マスタ'!$B$6:$B$1005,$W7007)=0),N(U7006)+1,N(U7006))</f>
        <v/>
      </c>
      <c r="V7007" s="19">
        <f>IF($B7007="","",TEXT($B7007,"0000"))</f>
        <v/>
      </c>
      <c r="W7007" s="19">
        <f>IF($I7007="","",IF(ISNUMBER($I7007),TEXT($I7007,"0"),$I7007))</f>
        <v/>
      </c>
    </row>
    <row r="7008">
      <c r="B7008" s="25" t="n"/>
      <c r="I7008" s="25" t="n"/>
      <c r="U7008" s="19">
        <f>IF(AND($V7008='設定'!$C$4,COUNTIF('商品マスタ'!$B$6:$B$1005,$W7008)=0),N(U7007)+1,N(U7007))</f>
        <v/>
      </c>
      <c r="V7008" s="19">
        <f>IF($B7008="","",TEXT($B7008,"0000"))</f>
        <v/>
      </c>
      <c r="W7008" s="19">
        <f>IF($I7008="","",IF(ISNUMBER($I7008),TEXT($I7008,"0"),$I7008))</f>
        <v/>
      </c>
    </row>
    <row r="7009">
      <c r="B7009" s="25" t="n"/>
      <c r="I7009" s="25" t="n"/>
      <c r="U7009" s="19">
        <f>IF(AND($V7009='設定'!$C$4,COUNTIF('商品マスタ'!$B$6:$B$1005,$W7009)=0),N(U7008)+1,N(U7008))</f>
        <v/>
      </c>
      <c r="V7009" s="19">
        <f>IF($B7009="","",TEXT($B7009,"0000"))</f>
        <v/>
      </c>
      <c r="W7009" s="19">
        <f>IF($I7009="","",IF(ISNUMBER($I7009),TEXT($I7009,"0"),$I7009))</f>
        <v/>
      </c>
    </row>
    <row r="7010">
      <c r="B7010" s="25" t="n"/>
      <c r="I7010" s="25" t="n"/>
      <c r="U7010" s="19">
        <f>IF(AND($V7010='設定'!$C$4,COUNTIF('商品マスタ'!$B$6:$B$1005,$W7010)=0),N(U7009)+1,N(U7009))</f>
        <v/>
      </c>
      <c r="V7010" s="19">
        <f>IF($B7010="","",TEXT($B7010,"0000"))</f>
        <v/>
      </c>
      <c r="W7010" s="19">
        <f>IF($I7010="","",IF(ISNUMBER($I7010),TEXT($I7010,"0"),$I7010))</f>
        <v/>
      </c>
    </row>
    <row r="7011">
      <c r="B7011" s="25" t="n"/>
      <c r="I7011" s="25" t="n"/>
      <c r="U7011" s="19">
        <f>IF(AND($V7011='設定'!$C$4,COUNTIF('商品マスタ'!$B$6:$B$1005,$W7011)=0),N(U7010)+1,N(U7010))</f>
        <v/>
      </c>
      <c r="V7011" s="19">
        <f>IF($B7011="","",TEXT($B7011,"0000"))</f>
        <v/>
      </c>
      <c r="W7011" s="19">
        <f>IF($I7011="","",IF(ISNUMBER($I7011),TEXT($I7011,"0"),$I7011))</f>
        <v/>
      </c>
    </row>
    <row r="7012">
      <c r="B7012" s="25" t="n"/>
      <c r="I7012" s="25" t="n"/>
      <c r="U7012" s="19">
        <f>IF(AND($V7012='設定'!$C$4,COUNTIF('商品マスタ'!$B$6:$B$1005,$W7012)=0),N(U7011)+1,N(U7011))</f>
        <v/>
      </c>
      <c r="V7012" s="19">
        <f>IF($B7012="","",TEXT($B7012,"0000"))</f>
        <v/>
      </c>
      <c r="W7012" s="19">
        <f>IF($I7012="","",IF(ISNUMBER($I7012),TEXT($I7012,"0"),$I7012))</f>
        <v/>
      </c>
    </row>
    <row r="7013">
      <c r="B7013" s="25" t="n"/>
      <c r="I7013" s="25" t="n"/>
      <c r="U7013" s="19">
        <f>IF(AND($V7013='設定'!$C$4,COUNTIF('商品マスタ'!$B$6:$B$1005,$W7013)=0),N(U7012)+1,N(U7012))</f>
        <v/>
      </c>
      <c r="V7013" s="19">
        <f>IF($B7013="","",TEXT($B7013,"0000"))</f>
        <v/>
      </c>
      <c r="W7013" s="19">
        <f>IF($I7013="","",IF(ISNUMBER($I7013),TEXT($I7013,"0"),$I7013))</f>
        <v/>
      </c>
    </row>
    <row r="7014">
      <c r="B7014" s="25" t="n"/>
      <c r="I7014" s="25" t="n"/>
      <c r="U7014" s="19">
        <f>IF(AND($V7014='設定'!$C$4,COUNTIF('商品マスタ'!$B$6:$B$1005,$W7014)=0),N(U7013)+1,N(U7013))</f>
        <v/>
      </c>
      <c r="V7014" s="19">
        <f>IF($B7014="","",TEXT($B7014,"0000"))</f>
        <v/>
      </c>
      <c r="W7014" s="19">
        <f>IF($I7014="","",IF(ISNUMBER($I7014),TEXT($I7014,"0"),$I7014))</f>
        <v/>
      </c>
    </row>
    <row r="7015">
      <c r="B7015" s="25" t="n"/>
      <c r="I7015" s="25" t="n"/>
      <c r="U7015" s="19">
        <f>IF(AND($V7015='設定'!$C$4,COUNTIF('商品マスタ'!$B$6:$B$1005,$W7015)=0),N(U7014)+1,N(U7014))</f>
        <v/>
      </c>
      <c r="V7015" s="19">
        <f>IF($B7015="","",TEXT($B7015,"0000"))</f>
        <v/>
      </c>
      <c r="W7015" s="19">
        <f>IF($I7015="","",IF(ISNUMBER($I7015),TEXT($I7015,"0"),$I7015))</f>
        <v/>
      </c>
    </row>
    <row r="7016">
      <c r="B7016" s="25" t="n"/>
      <c r="I7016" s="25" t="n"/>
      <c r="U7016" s="19">
        <f>IF(AND($V7016='設定'!$C$4,COUNTIF('商品マスタ'!$B$6:$B$1005,$W7016)=0),N(U7015)+1,N(U7015))</f>
        <v/>
      </c>
      <c r="V7016" s="19">
        <f>IF($B7016="","",TEXT($B7016,"0000"))</f>
        <v/>
      </c>
      <c r="W7016" s="19">
        <f>IF($I7016="","",IF(ISNUMBER($I7016),TEXT($I7016,"0"),$I7016))</f>
        <v/>
      </c>
    </row>
    <row r="7017">
      <c r="B7017" s="25" t="n"/>
      <c r="I7017" s="25" t="n"/>
      <c r="U7017" s="19">
        <f>IF(AND($V7017='設定'!$C$4,COUNTIF('商品マスタ'!$B$6:$B$1005,$W7017)=0),N(U7016)+1,N(U7016))</f>
        <v/>
      </c>
      <c r="V7017" s="19">
        <f>IF($B7017="","",TEXT($B7017,"0000"))</f>
        <v/>
      </c>
      <c r="W7017" s="19">
        <f>IF($I7017="","",IF(ISNUMBER($I7017),TEXT($I7017,"0"),$I7017))</f>
        <v/>
      </c>
    </row>
    <row r="7018">
      <c r="B7018" s="25" t="n"/>
      <c r="I7018" s="25" t="n"/>
      <c r="U7018" s="19">
        <f>IF(AND($V7018='設定'!$C$4,COUNTIF('商品マスタ'!$B$6:$B$1005,$W7018)=0),N(U7017)+1,N(U7017))</f>
        <v/>
      </c>
      <c r="V7018" s="19">
        <f>IF($B7018="","",TEXT($B7018,"0000"))</f>
        <v/>
      </c>
      <c r="W7018" s="19">
        <f>IF($I7018="","",IF(ISNUMBER($I7018),TEXT($I7018,"0"),$I7018))</f>
        <v/>
      </c>
    </row>
    <row r="7019">
      <c r="B7019" s="25" t="n"/>
      <c r="I7019" s="25" t="n"/>
      <c r="U7019" s="19">
        <f>IF(AND($V7019='設定'!$C$4,COUNTIF('商品マスタ'!$B$6:$B$1005,$W7019)=0),N(U7018)+1,N(U7018))</f>
        <v/>
      </c>
      <c r="V7019" s="19">
        <f>IF($B7019="","",TEXT($B7019,"0000"))</f>
        <v/>
      </c>
      <c r="W7019" s="19">
        <f>IF($I7019="","",IF(ISNUMBER($I7019),TEXT($I7019,"0"),$I7019))</f>
        <v/>
      </c>
    </row>
    <row r="7020">
      <c r="B7020" s="25" t="n"/>
      <c r="I7020" s="25" t="n"/>
      <c r="U7020" s="19">
        <f>IF(AND($V7020='設定'!$C$4,COUNTIF('商品マスタ'!$B$6:$B$1005,$W7020)=0),N(U7019)+1,N(U7019))</f>
        <v/>
      </c>
      <c r="V7020" s="19">
        <f>IF($B7020="","",TEXT($B7020,"0000"))</f>
        <v/>
      </c>
      <c r="W7020" s="19">
        <f>IF($I7020="","",IF(ISNUMBER($I7020),TEXT($I7020,"0"),$I7020))</f>
        <v/>
      </c>
    </row>
    <row r="7021">
      <c r="B7021" s="25" t="n"/>
      <c r="I7021" s="25" t="n"/>
      <c r="U7021" s="19">
        <f>IF(AND($V7021='設定'!$C$4,COUNTIF('商品マスタ'!$B$6:$B$1005,$W7021)=0),N(U7020)+1,N(U7020))</f>
        <v/>
      </c>
      <c r="V7021" s="19">
        <f>IF($B7021="","",TEXT($B7021,"0000"))</f>
        <v/>
      </c>
      <c r="W7021" s="19">
        <f>IF($I7021="","",IF(ISNUMBER($I7021),TEXT($I7021,"0"),$I7021))</f>
        <v/>
      </c>
    </row>
    <row r="7022">
      <c r="B7022" s="25" t="n"/>
      <c r="I7022" s="25" t="n"/>
      <c r="U7022" s="19">
        <f>IF(AND($V7022='設定'!$C$4,COUNTIF('商品マスタ'!$B$6:$B$1005,$W7022)=0),N(U7021)+1,N(U7021))</f>
        <v/>
      </c>
      <c r="V7022" s="19">
        <f>IF($B7022="","",TEXT($B7022,"0000"))</f>
        <v/>
      </c>
      <c r="W7022" s="19">
        <f>IF($I7022="","",IF(ISNUMBER($I7022),TEXT($I7022,"0"),$I7022))</f>
        <v/>
      </c>
    </row>
    <row r="7023">
      <c r="B7023" s="25" t="n"/>
      <c r="I7023" s="25" t="n"/>
      <c r="U7023" s="19">
        <f>IF(AND($V7023='設定'!$C$4,COUNTIF('商品マスタ'!$B$6:$B$1005,$W7023)=0),N(U7022)+1,N(U7022))</f>
        <v/>
      </c>
      <c r="V7023" s="19">
        <f>IF($B7023="","",TEXT($B7023,"0000"))</f>
        <v/>
      </c>
      <c r="W7023" s="19">
        <f>IF($I7023="","",IF(ISNUMBER($I7023),TEXT($I7023,"0"),$I7023))</f>
        <v/>
      </c>
    </row>
    <row r="7024">
      <c r="B7024" s="25" t="n"/>
      <c r="I7024" s="25" t="n"/>
      <c r="U7024" s="19">
        <f>IF(AND($V7024='設定'!$C$4,COUNTIF('商品マスタ'!$B$6:$B$1005,$W7024)=0),N(U7023)+1,N(U7023))</f>
        <v/>
      </c>
      <c r="V7024" s="19">
        <f>IF($B7024="","",TEXT($B7024,"0000"))</f>
        <v/>
      </c>
      <c r="W7024" s="19">
        <f>IF($I7024="","",IF(ISNUMBER($I7024),TEXT($I7024,"0"),$I7024))</f>
        <v/>
      </c>
    </row>
    <row r="7025">
      <c r="B7025" s="25" t="n"/>
      <c r="I7025" s="25" t="n"/>
      <c r="U7025" s="19">
        <f>IF(AND($V7025='設定'!$C$4,COUNTIF('商品マスタ'!$B$6:$B$1005,$W7025)=0),N(U7024)+1,N(U7024))</f>
        <v/>
      </c>
      <c r="V7025" s="19">
        <f>IF($B7025="","",TEXT($B7025,"0000"))</f>
        <v/>
      </c>
      <c r="W7025" s="19">
        <f>IF($I7025="","",IF(ISNUMBER($I7025),TEXT($I7025,"0"),$I7025))</f>
        <v/>
      </c>
    </row>
    <row r="7026">
      <c r="B7026" s="25" t="n"/>
      <c r="I7026" s="25" t="n"/>
      <c r="U7026" s="19">
        <f>IF(AND($V7026='設定'!$C$4,COUNTIF('商品マスタ'!$B$6:$B$1005,$W7026)=0),N(U7025)+1,N(U7025))</f>
        <v/>
      </c>
      <c r="V7026" s="19">
        <f>IF($B7026="","",TEXT($B7026,"0000"))</f>
        <v/>
      </c>
      <c r="W7026" s="19">
        <f>IF($I7026="","",IF(ISNUMBER($I7026),TEXT($I7026,"0"),$I7026))</f>
        <v/>
      </c>
    </row>
    <row r="7027">
      <c r="B7027" s="25" t="n"/>
      <c r="I7027" s="25" t="n"/>
      <c r="U7027" s="19">
        <f>IF(AND($V7027='設定'!$C$4,COUNTIF('商品マスタ'!$B$6:$B$1005,$W7027)=0),N(U7026)+1,N(U7026))</f>
        <v/>
      </c>
      <c r="V7027" s="19">
        <f>IF($B7027="","",TEXT($B7027,"0000"))</f>
        <v/>
      </c>
      <c r="W7027" s="19">
        <f>IF($I7027="","",IF(ISNUMBER($I7027),TEXT($I7027,"0"),$I7027))</f>
        <v/>
      </c>
    </row>
    <row r="7028">
      <c r="B7028" s="25" t="n"/>
      <c r="I7028" s="25" t="n"/>
      <c r="U7028" s="19">
        <f>IF(AND($V7028='設定'!$C$4,COUNTIF('商品マスタ'!$B$6:$B$1005,$W7028)=0),N(U7027)+1,N(U7027))</f>
        <v/>
      </c>
      <c r="V7028" s="19">
        <f>IF($B7028="","",TEXT($B7028,"0000"))</f>
        <v/>
      </c>
      <c r="W7028" s="19">
        <f>IF($I7028="","",IF(ISNUMBER($I7028),TEXT($I7028,"0"),$I7028))</f>
        <v/>
      </c>
    </row>
    <row r="7029">
      <c r="B7029" s="25" t="n"/>
      <c r="I7029" s="25" t="n"/>
      <c r="U7029" s="19">
        <f>IF(AND($V7029='設定'!$C$4,COUNTIF('商品マスタ'!$B$6:$B$1005,$W7029)=0),N(U7028)+1,N(U7028))</f>
        <v/>
      </c>
      <c r="V7029" s="19">
        <f>IF($B7029="","",TEXT($B7029,"0000"))</f>
        <v/>
      </c>
      <c r="W7029" s="19">
        <f>IF($I7029="","",IF(ISNUMBER($I7029),TEXT($I7029,"0"),$I7029))</f>
        <v/>
      </c>
    </row>
    <row r="7030">
      <c r="B7030" s="25" t="n"/>
      <c r="I7030" s="25" t="n"/>
      <c r="U7030" s="19">
        <f>IF(AND($V7030='設定'!$C$4,COUNTIF('商品マスタ'!$B$6:$B$1005,$W7030)=0),N(U7029)+1,N(U7029))</f>
        <v/>
      </c>
      <c r="V7030" s="19">
        <f>IF($B7030="","",TEXT($B7030,"0000"))</f>
        <v/>
      </c>
      <c r="W7030" s="19">
        <f>IF($I7030="","",IF(ISNUMBER($I7030),TEXT($I7030,"0"),$I7030))</f>
        <v/>
      </c>
    </row>
    <row r="7031">
      <c r="B7031" s="25" t="n"/>
      <c r="I7031" s="25" t="n"/>
      <c r="U7031" s="19">
        <f>IF(AND($V7031='設定'!$C$4,COUNTIF('商品マスタ'!$B$6:$B$1005,$W7031)=0),N(U7030)+1,N(U7030))</f>
        <v/>
      </c>
      <c r="V7031" s="19">
        <f>IF($B7031="","",TEXT($B7031,"0000"))</f>
        <v/>
      </c>
      <c r="W7031" s="19">
        <f>IF($I7031="","",IF(ISNUMBER($I7031),TEXT($I7031,"0"),$I7031))</f>
        <v/>
      </c>
    </row>
    <row r="7032">
      <c r="B7032" s="25" t="n"/>
      <c r="I7032" s="25" t="n"/>
      <c r="U7032" s="19">
        <f>IF(AND($V7032='設定'!$C$4,COUNTIF('商品マスタ'!$B$6:$B$1005,$W7032)=0),N(U7031)+1,N(U7031))</f>
        <v/>
      </c>
      <c r="V7032" s="19">
        <f>IF($B7032="","",TEXT($B7032,"0000"))</f>
        <v/>
      </c>
      <c r="W7032" s="19">
        <f>IF($I7032="","",IF(ISNUMBER($I7032),TEXT($I7032,"0"),$I7032))</f>
        <v/>
      </c>
    </row>
    <row r="7033">
      <c r="B7033" s="25" t="n"/>
      <c r="I7033" s="25" t="n"/>
      <c r="U7033" s="19">
        <f>IF(AND($V7033='設定'!$C$4,COUNTIF('商品マスタ'!$B$6:$B$1005,$W7033)=0),N(U7032)+1,N(U7032))</f>
        <v/>
      </c>
      <c r="V7033" s="19">
        <f>IF($B7033="","",TEXT($B7033,"0000"))</f>
        <v/>
      </c>
      <c r="W7033" s="19">
        <f>IF($I7033="","",IF(ISNUMBER($I7033),TEXT($I7033,"0"),$I7033))</f>
        <v/>
      </c>
    </row>
    <row r="7034">
      <c r="B7034" s="25" t="n"/>
      <c r="I7034" s="25" t="n"/>
      <c r="U7034" s="19">
        <f>IF(AND($V7034='設定'!$C$4,COUNTIF('商品マスタ'!$B$6:$B$1005,$W7034)=0),N(U7033)+1,N(U7033))</f>
        <v/>
      </c>
      <c r="V7034" s="19">
        <f>IF($B7034="","",TEXT($B7034,"0000"))</f>
        <v/>
      </c>
      <c r="W7034" s="19">
        <f>IF($I7034="","",IF(ISNUMBER($I7034),TEXT($I7034,"0"),$I7034))</f>
        <v/>
      </c>
    </row>
    <row r="7035">
      <c r="B7035" s="25" t="n"/>
      <c r="I7035" s="25" t="n"/>
      <c r="U7035" s="19">
        <f>IF(AND($V7035='設定'!$C$4,COUNTIF('商品マスタ'!$B$6:$B$1005,$W7035)=0),N(U7034)+1,N(U7034))</f>
        <v/>
      </c>
      <c r="V7035" s="19">
        <f>IF($B7035="","",TEXT($B7035,"0000"))</f>
        <v/>
      </c>
      <c r="W7035" s="19">
        <f>IF($I7035="","",IF(ISNUMBER($I7035),TEXT($I7035,"0"),$I7035))</f>
        <v/>
      </c>
    </row>
    <row r="7036">
      <c r="B7036" s="25" t="n"/>
      <c r="I7036" s="25" t="n"/>
      <c r="U7036" s="19">
        <f>IF(AND($V7036='設定'!$C$4,COUNTIF('商品マスタ'!$B$6:$B$1005,$W7036)=0),N(U7035)+1,N(U7035))</f>
        <v/>
      </c>
      <c r="V7036" s="19">
        <f>IF($B7036="","",TEXT($B7036,"0000"))</f>
        <v/>
      </c>
      <c r="W7036" s="19">
        <f>IF($I7036="","",IF(ISNUMBER($I7036),TEXT($I7036,"0"),$I7036))</f>
        <v/>
      </c>
    </row>
    <row r="7037">
      <c r="B7037" s="25" t="n"/>
      <c r="I7037" s="25" t="n"/>
      <c r="U7037" s="19">
        <f>IF(AND($V7037='設定'!$C$4,COUNTIF('商品マスタ'!$B$6:$B$1005,$W7037)=0),N(U7036)+1,N(U7036))</f>
        <v/>
      </c>
      <c r="V7037" s="19">
        <f>IF($B7037="","",TEXT($B7037,"0000"))</f>
        <v/>
      </c>
      <c r="W7037" s="19">
        <f>IF($I7037="","",IF(ISNUMBER($I7037),TEXT($I7037,"0"),$I7037))</f>
        <v/>
      </c>
    </row>
    <row r="7038">
      <c r="B7038" s="25" t="n"/>
      <c r="I7038" s="25" t="n"/>
      <c r="U7038" s="19">
        <f>IF(AND($V7038='設定'!$C$4,COUNTIF('商品マスタ'!$B$6:$B$1005,$W7038)=0),N(U7037)+1,N(U7037))</f>
        <v/>
      </c>
      <c r="V7038" s="19">
        <f>IF($B7038="","",TEXT($B7038,"0000"))</f>
        <v/>
      </c>
      <c r="W7038" s="19">
        <f>IF($I7038="","",IF(ISNUMBER($I7038),TEXT($I7038,"0"),$I7038))</f>
        <v/>
      </c>
    </row>
    <row r="7039">
      <c r="B7039" s="25" t="n"/>
      <c r="I7039" s="25" t="n"/>
      <c r="U7039" s="19">
        <f>IF(AND($V7039='設定'!$C$4,COUNTIF('商品マスタ'!$B$6:$B$1005,$W7039)=0),N(U7038)+1,N(U7038))</f>
        <v/>
      </c>
      <c r="V7039" s="19">
        <f>IF($B7039="","",TEXT($B7039,"0000"))</f>
        <v/>
      </c>
      <c r="W7039" s="19">
        <f>IF($I7039="","",IF(ISNUMBER($I7039),TEXT($I7039,"0"),$I7039))</f>
        <v/>
      </c>
    </row>
    <row r="7040">
      <c r="B7040" s="25" t="n"/>
      <c r="I7040" s="25" t="n"/>
      <c r="U7040" s="19">
        <f>IF(AND($V7040='設定'!$C$4,COUNTIF('商品マスタ'!$B$6:$B$1005,$W7040)=0),N(U7039)+1,N(U7039))</f>
        <v/>
      </c>
      <c r="V7040" s="19">
        <f>IF($B7040="","",TEXT($B7040,"0000"))</f>
        <v/>
      </c>
      <c r="W7040" s="19">
        <f>IF($I7040="","",IF(ISNUMBER($I7040),TEXT($I7040,"0"),$I7040))</f>
        <v/>
      </c>
    </row>
    <row r="7041">
      <c r="B7041" s="25" t="n"/>
      <c r="I7041" s="25" t="n"/>
      <c r="U7041" s="19">
        <f>IF(AND($V7041='設定'!$C$4,COUNTIF('商品マスタ'!$B$6:$B$1005,$W7041)=0),N(U7040)+1,N(U7040))</f>
        <v/>
      </c>
      <c r="V7041" s="19">
        <f>IF($B7041="","",TEXT($B7041,"0000"))</f>
        <v/>
      </c>
      <c r="W7041" s="19">
        <f>IF($I7041="","",IF(ISNUMBER($I7041),TEXT($I7041,"0"),$I7041))</f>
        <v/>
      </c>
    </row>
    <row r="7042">
      <c r="B7042" s="25" t="n"/>
      <c r="I7042" s="25" t="n"/>
      <c r="U7042" s="19">
        <f>IF(AND($V7042='設定'!$C$4,COUNTIF('商品マスタ'!$B$6:$B$1005,$W7042)=0),N(U7041)+1,N(U7041))</f>
        <v/>
      </c>
      <c r="V7042" s="19">
        <f>IF($B7042="","",TEXT($B7042,"0000"))</f>
        <v/>
      </c>
      <c r="W7042" s="19">
        <f>IF($I7042="","",IF(ISNUMBER($I7042),TEXT($I7042,"0"),$I7042))</f>
        <v/>
      </c>
    </row>
    <row r="7043">
      <c r="B7043" s="25" t="n"/>
      <c r="I7043" s="25" t="n"/>
      <c r="U7043" s="19">
        <f>IF(AND($V7043='設定'!$C$4,COUNTIF('商品マスタ'!$B$6:$B$1005,$W7043)=0),N(U7042)+1,N(U7042))</f>
        <v/>
      </c>
      <c r="V7043" s="19">
        <f>IF($B7043="","",TEXT($B7043,"0000"))</f>
        <v/>
      </c>
      <c r="W7043" s="19">
        <f>IF($I7043="","",IF(ISNUMBER($I7043),TEXT($I7043,"0"),$I7043))</f>
        <v/>
      </c>
    </row>
    <row r="7044">
      <c r="B7044" s="25" t="n"/>
      <c r="I7044" s="25" t="n"/>
      <c r="U7044" s="19">
        <f>IF(AND($V7044='設定'!$C$4,COUNTIF('商品マスタ'!$B$6:$B$1005,$W7044)=0),N(U7043)+1,N(U7043))</f>
        <v/>
      </c>
      <c r="V7044" s="19">
        <f>IF($B7044="","",TEXT($B7044,"0000"))</f>
        <v/>
      </c>
      <c r="W7044" s="19">
        <f>IF($I7044="","",IF(ISNUMBER($I7044),TEXT($I7044,"0"),$I7044))</f>
        <v/>
      </c>
    </row>
    <row r="7045">
      <c r="B7045" s="25" t="n"/>
      <c r="I7045" s="25" t="n"/>
      <c r="U7045" s="19">
        <f>IF(AND($V7045='設定'!$C$4,COUNTIF('商品マスタ'!$B$6:$B$1005,$W7045)=0),N(U7044)+1,N(U7044))</f>
        <v/>
      </c>
      <c r="V7045" s="19">
        <f>IF($B7045="","",TEXT($B7045,"0000"))</f>
        <v/>
      </c>
      <c r="W7045" s="19">
        <f>IF($I7045="","",IF(ISNUMBER($I7045),TEXT($I7045,"0"),$I7045))</f>
        <v/>
      </c>
    </row>
    <row r="7046">
      <c r="B7046" s="25" t="n"/>
      <c r="I7046" s="25" t="n"/>
      <c r="U7046" s="19">
        <f>IF(AND($V7046='設定'!$C$4,COUNTIF('商品マスタ'!$B$6:$B$1005,$W7046)=0),N(U7045)+1,N(U7045))</f>
        <v/>
      </c>
      <c r="V7046" s="19">
        <f>IF($B7046="","",TEXT($B7046,"0000"))</f>
        <v/>
      </c>
      <c r="W7046" s="19">
        <f>IF($I7046="","",IF(ISNUMBER($I7046),TEXT($I7046,"0"),$I7046))</f>
        <v/>
      </c>
    </row>
    <row r="7047">
      <c r="B7047" s="25" t="n"/>
      <c r="I7047" s="25" t="n"/>
      <c r="U7047" s="19">
        <f>IF(AND($V7047='設定'!$C$4,COUNTIF('商品マスタ'!$B$6:$B$1005,$W7047)=0),N(U7046)+1,N(U7046))</f>
        <v/>
      </c>
      <c r="V7047" s="19">
        <f>IF($B7047="","",TEXT($B7047,"0000"))</f>
        <v/>
      </c>
      <c r="W7047" s="19">
        <f>IF($I7047="","",IF(ISNUMBER($I7047),TEXT($I7047,"0"),$I7047))</f>
        <v/>
      </c>
    </row>
    <row r="7048">
      <c r="B7048" s="25" t="n"/>
      <c r="I7048" s="25" t="n"/>
      <c r="U7048" s="19">
        <f>IF(AND($V7048='設定'!$C$4,COUNTIF('商品マスタ'!$B$6:$B$1005,$W7048)=0),N(U7047)+1,N(U7047))</f>
        <v/>
      </c>
      <c r="V7048" s="19">
        <f>IF($B7048="","",TEXT($B7048,"0000"))</f>
        <v/>
      </c>
      <c r="W7048" s="19">
        <f>IF($I7048="","",IF(ISNUMBER($I7048),TEXT($I7048,"0"),$I7048))</f>
        <v/>
      </c>
    </row>
    <row r="7049">
      <c r="B7049" s="25" t="n"/>
      <c r="I7049" s="25" t="n"/>
      <c r="U7049" s="19">
        <f>IF(AND($V7049='設定'!$C$4,COUNTIF('商品マスタ'!$B$6:$B$1005,$W7049)=0),N(U7048)+1,N(U7048))</f>
        <v/>
      </c>
      <c r="V7049" s="19">
        <f>IF($B7049="","",TEXT($B7049,"0000"))</f>
        <v/>
      </c>
      <c r="W7049" s="19">
        <f>IF($I7049="","",IF(ISNUMBER($I7049),TEXT($I7049,"0"),$I7049))</f>
        <v/>
      </c>
    </row>
    <row r="7050">
      <c r="B7050" s="25" t="n"/>
      <c r="I7050" s="25" t="n"/>
      <c r="U7050" s="19">
        <f>IF(AND($V7050='設定'!$C$4,COUNTIF('商品マスタ'!$B$6:$B$1005,$W7050)=0),N(U7049)+1,N(U7049))</f>
        <v/>
      </c>
      <c r="V7050" s="19">
        <f>IF($B7050="","",TEXT($B7050,"0000"))</f>
        <v/>
      </c>
      <c r="W7050" s="19">
        <f>IF($I7050="","",IF(ISNUMBER($I7050),TEXT($I7050,"0"),$I7050))</f>
        <v/>
      </c>
    </row>
    <row r="7051">
      <c r="B7051" s="25" t="n"/>
      <c r="I7051" s="25" t="n"/>
      <c r="U7051" s="19">
        <f>IF(AND($V7051='設定'!$C$4,COUNTIF('商品マスタ'!$B$6:$B$1005,$W7051)=0),N(U7050)+1,N(U7050))</f>
        <v/>
      </c>
      <c r="V7051" s="19">
        <f>IF($B7051="","",TEXT($B7051,"0000"))</f>
        <v/>
      </c>
      <c r="W7051" s="19">
        <f>IF($I7051="","",IF(ISNUMBER($I7051),TEXT($I7051,"0"),$I7051))</f>
        <v/>
      </c>
    </row>
    <row r="7052">
      <c r="B7052" s="25" t="n"/>
      <c r="I7052" s="25" t="n"/>
      <c r="U7052" s="19">
        <f>IF(AND($V7052='設定'!$C$4,COUNTIF('商品マスタ'!$B$6:$B$1005,$W7052)=0),N(U7051)+1,N(U7051))</f>
        <v/>
      </c>
      <c r="V7052" s="19">
        <f>IF($B7052="","",TEXT($B7052,"0000"))</f>
        <v/>
      </c>
      <c r="W7052" s="19">
        <f>IF($I7052="","",IF(ISNUMBER($I7052),TEXT($I7052,"0"),$I7052))</f>
        <v/>
      </c>
    </row>
    <row r="7053">
      <c r="B7053" s="25" t="n"/>
      <c r="I7053" s="25" t="n"/>
      <c r="U7053" s="19">
        <f>IF(AND($V7053='設定'!$C$4,COUNTIF('商品マスタ'!$B$6:$B$1005,$W7053)=0),N(U7052)+1,N(U7052))</f>
        <v/>
      </c>
      <c r="V7053" s="19">
        <f>IF($B7053="","",TEXT($B7053,"0000"))</f>
        <v/>
      </c>
      <c r="W7053" s="19">
        <f>IF($I7053="","",IF(ISNUMBER($I7053),TEXT($I7053,"0"),$I7053))</f>
        <v/>
      </c>
    </row>
    <row r="7054">
      <c r="B7054" s="25" t="n"/>
      <c r="I7054" s="25" t="n"/>
      <c r="U7054" s="19">
        <f>IF(AND($V7054='設定'!$C$4,COUNTIF('商品マスタ'!$B$6:$B$1005,$W7054)=0),N(U7053)+1,N(U7053))</f>
        <v/>
      </c>
      <c r="V7054" s="19">
        <f>IF($B7054="","",TEXT($B7054,"0000"))</f>
        <v/>
      </c>
      <c r="W7054" s="19">
        <f>IF($I7054="","",IF(ISNUMBER($I7054),TEXT($I7054,"0"),$I7054))</f>
        <v/>
      </c>
    </row>
    <row r="7055">
      <c r="B7055" s="25" t="n"/>
      <c r="I7055" s="25" t="n"/>
      <c r="U7055" s="19">
        <f>IF(AND($V7055='設定'!$C$4,COUNTIF('商品マスタ'!$B$6:$B$1005,$W7055)=0),N(U7054)+1,N(U7054))</f>
        <v/>
      </c>
      <c r="V7055" s="19">
        <f>IF($B7055="","",TEXT($B7055,"0000"))</f>
        <v/>
      </c>
      <c r="W7055" s="19">
        <f>IF($I7055="","",IF(ISNUMBER($I7055),TEXT($I7055,"0"),$I7055))</f>
        <v/>
      </c>
    </row>
    <row r="7056">
      <c r="B7056" s="25" t="n"/>
      <c r="I7056" s="25" t="n"/>
      <c r="U7056" s="19">
        <f>IF(AND($V7056='設定'!$C$4,COUNTIF('商品マスタ'!$B$6:$B$1005,$W7056)=0),N(U7055)+1,N(U7055))</f>
        <v/>
      </c>
      <c r="V7056" s="19">
        <f>IF($B7056="","",TEXT($B7056,"0000"))</f>
        <v/>
      </c>
      <c r="W7056" s="19">
        <f>IF($I7056="","",IF(ISNUMBER($I7056),TEXT($I7056,"0"),$I7056))</f>
        <v/>
      </c>
    </row>
    <row r="7057">
      <c r="B7057" s="25" t="n"/>
      <c r="I7057" s="25" t="n"/>
      <c r="U7057" s="19">
        <f>IF(AND($V7057='設定'!$C$4,COUNTIF('商品マスタ'!$B$6:$B$1005,$W7057)=0),N(U7056)+1,N(U7056))</f>
        <v/>
      </c>
      <c r="V7057" s="19">
        <f>IF($B7057="","",TEXT($B7057,"0000"))</f>
        <v/>
      </c>
      <c r="W7057" s="19">
        <f>IF($I7057="","",IF(ISNUMBER($I7057),TEXT($I7057,"0"),$I7057))</f>
        <v/>
      </c>
    </row>
    <row r="7058">
      <c r="B7058" s="25" t="n"/>
      <c r="I7058" s="25" t="n"/>
      <c r="U7058" s="19">
        <f>IF(AND($V7058='設定'!$C$4,COUNTIF('商品マスタ'!$B$6:$B$1005,$W7058)=0),N(U7057)+1,N(U7057))</f>
        <v/>
      </c>
      <c r="V7058" s="19">
        <f>IF($B7058="","",TEXT($B7058,"0000"))</f>
        <v/>
      </c>
      <c r="W7058" s="19">
        <f>IF($I7058="","",IF(ISNUMBER($I7058),TEXT($I7058,"0"),$I7058))</f>
        <v/>
      </c>
    </row>
    <row r="7059">
      <c r="B7059" s="25" t="n"/>
      <c r="I7059" s="25" t="n"/>
      <c r="U7059" s="19">
        <f>IF(AND($V7059='設定'!$C$4,COUNTIF('商品マスタ'!$B$6:$B$1005,$W7059)=0),N(U7058)+1,N(U7058))</f>
        <v/>
      </c>
      <c r="V7059" s="19">
        <f>IF($B7059="","",TEXT($B7059,"0000"))</f>
        <v/>
      </c>
      <c r="W7059" s="19">
        <f>IF($I7059="","",IF(ISNUMBER($I7059),TEXT($I7059,"0"),$I7059))</f>
        <v/>
      </c>
    </row>
    <row r="7060">
      <c r="B7060" s="25" t="n"/>
      <c r="I7060" s="25" t="n"/>
      <c r="U7060" s="19">
        <f>IF(AND($V7060='設定'!$C$4,COUNTIF('商品マスタ'!$B$6:$B$1005,$W7060)=0),N(U7059)+1,N(U7059))</f>
        <v/>
      </c>
      <c r="V7060" s="19">
        <f>IF($B7060="","",TEXT($B7060,"0000"))</f>
        <v/>
      </c>
      <c r="W7060" s="19">
        <f>IF($I7060="","",IF(ISNUMBER($I7060),TEXT($I7060,"0"),$I7060))</f>
        <v/>
      </c>
    </row>
    <row r="7061">
      <c r="B7061" s="25" t="n"/>
      <c r="I7061" s="25" t="n"/>
      <c r="U7061" s="19">
        <f>IF(AND($V7061='設定'!$C$4,COUNTIF('商品マスタ'!$B$6:$B$1005,$W7061)=0),N(U7060)+1,N(U7060))</f>
        <v/>
      </c>
      <c r="V7061" s="19">
        <f>IF($B7061="","",TEXT($B7061,"0000"))</f>
        <v/>
      </c>
      <c r="W7061" s="19">
        <f>IF($I7061="","",IF(ISNUMBER($I7061),TEXT($I7061,"0"),$I7061))</f>
        <v/>
      </c>
    </row>
    <row r="7062">
      <c r="B7062" s="25" t="n"/>
      <c r="I7062" s="25" t="n"/>
      <c r="U7062" s="19">
        <f>IF(AND($V7062='設定'!$C$4,COUNTIF('商品マスタ'!$B$6:$B$1005,$W7062)=0),N(U7061)+1,N(U7061))</f>
        <v/>
      </c>
      <c r="V7062" s="19">
        <f>IF($B7062="","",TEXT($B7062,"0000"))</f>
        <v/>
      </c>
      <c r="W7062" s="19">
        <f>IF($I7062="","",IF(ISNUMBER($I7062),TEXT($I7062,"0"),$I7062))</f>
        <v/>
      </c>
    </row>
    <row r="7063">
      <c r="B7063" s="25" t="n"/>
      <c r="I7063" s="25" t="n"/>
      <c r="U7063" s="19">
        <f>IF(AND($V7063='設定'!$C$4,COUNTIF('商品マスタ'!$B$6:$B$1005,$W7063)=0),N(U7062)+1,N(U7062))</f>
        <v/>
      </c>
      <c r="V7063" s="19">
        <f>IF($B7063="","",TEXT($B7063,"0000"))</f>
        <v/>
      </c>
      <c r="W7063" s="19">
        <f>IF($I7063="","",IF(ISNUMBER($I7063),TEXT($I7063,"0"),$I7063))</f>
        <v/>
      </c>
    </row>
    <row r="7064">
      <c r="B7064" s="25" t="n"/>
      <c r="I7064" s="25" t="n"/>
      <c r="U7064" s="19">
        <f>IF(AND($V7064='設定'!$C$4,COUNTIF('商品マスタ'!$B$6:$B$1005,$W7064)=0),N(U7063)+1,N(U7063))</f>
        <v/>
      </c>
      <c r="V7064" s="19">
        <f>IF($B7064="","",TEXT($B7064,"0000"))</f>
        <v/>
      </c>
      <c r="W7064" s="19">
        <f>IF($I7064="","",IF(ISNUMBER($I7064),TEXT($I7064,"0"),$I7064))</f>
        <v/>
      </c>
    </row>
    <row r="7065">
      <c r="B7065" s="25" t="n"/>
      <c r="I7065" s="25" t="n"/>
      <c r="U7065" s="19">
        <f>IF(AND($V7065='設定'!$C$4,COUNTIF('商品マスタ'!$B$6:$B$1005,$W7065)=0),N(U7064)+1,N(U7064))</f>
        <v/>
      </c>
      <c r="V7065" s="19">
        <f>IF($B7065="","",TEXT($B7065,"0000"))</f>
        <v/>
      </c>
      <c r="W7065" s="19">
        <f>IF($I7065="","",IF(ISNUMBER($I7065),TEXT($I7065,"0"),$I7065))</f>
        <v/>
      </c>
    </row>
    <row r="7066">
      <c r="B7066" s="25" t="n"/>
      <c r="I7066" s="25" t="n"/>
      <c r="U7066" s="19">
        <f>IF(AND($V7066='設定'!$C$4,COUNTIF('商品マスタ'!$B$6:$B$1005,$W7066)=0),N(U7065)+1,N(U7065))</f>
        <v/>
      </c>
      <c r="V7066" s="19">
        <f>IF($B7066="","",TEXT($B7066,"0000"))</f>
        <v/>
      </c>
      <c r="W7066" s="19">
        <f>IF($I7066="","",IF(ISNUMBER($I7066),TEXT($I7066,"0"),$I7066))</f>
        <v/>
      </c>
    </row>
    <row r="7067">
      <c r="B7067" s="25" t="n"/>
      <c r="I7067" s="25" t="n"/>
      <c r="U7067" s="19">
        <f>IF(AND($V7067='設定'!$C$4,COUNTIF('商品マスタ'!$B$6:$B$1005,$W7067)=0),N(U7066)+1,N(U7066))</f>
        <v/>
      </c>
      <c r="V7067" s="19">
        <f>IF($B7067="","",TEXT($B7067,"0000"))</f>
        <v/>
      </c>
      <c r="W7067" s="19">
        <f>IF($I7067="","",IF(ISNUMBER($I7067),TEXT($I7067,"0"),$I7067))</f>
        <v/>
      </c>
    </row>
    <row r="7068">
      <c r="B7068" s="25" t="n"/>
      <c r="I7068" s="25" t="n"/>
      <c r="U7068" s="19">
        <f>IF(AND($V7068='設定'!$C$4,COUNTIF('商品マスタ'!$B$6:$B$1005,$W7068)=0),N(U7067)+1,N(U7067))</f>
        <v/>
      </c>
      <c r="V7068" s="19">
        <f>IF($B7068="","",TEXT($B7068,"0000"))</f>
        <v/>
      </c>
      <c r="W7068" s="19">
        <f>IF($I7068="","",IF(ISNUMBER($I7068),TEXT($I7068,"0"),$I7068))</f>
        <v/>
      </c>
    </row>
    <row r="7069">
      <c r="B7069" s="25" t="n"/>
      <c r="I7069" s="25" t="n"/>
      <c r="U7069" s="19">
        <f>IF(AND($V7069='設定'!$C$4,COUNTIF('商品マスタ'!$B$6:$B$1005,$W7069)=0),N(U7068)+1,N(U7068))</f>
        <v/>
      </c>
      <c r="V7069" s="19">
        <f>IF($B7069="","",TEXT($B7069,"0000"))</f>
        <v/>
      </c>
      <c r="W7069" s="19">
        <f>IF($I7069="","",IF(ISNUMBER($I7069),TEXT($I7069,"0"),$I7069))</f>
        <v/>
      </c>
    </row>
    <row r="7070">
      <c r="B7070" s="25" t="n"/>
      <c r="I7070" s="25" t="n"/>
      <c r="U7070" s="19">
        <f>IF(AND($V7070='設定'!$C$4,COUNTIF('商品マスタ'!$B$6:$B$1005,$W7070)=0),N(U7069)+1,N(U7069))</f>
        <v/>
      </c>
      <c r="V7070" s="19">
        <f>IF($B7070="","",TEXT($B7070,"0000"))</f>
        <v/>
      </c>
      <c r="W7070" s="19">
        <f>IF($I7070="","",IF(ISNUMBER($I7070),TEXT($I7070,"0"),$I7070))</f>
        <v/>
      </c>
    </row>
    <row r="7071">
      <c r="B7071" s="25" t="n"/>
      <c r="I7071" s="25" t="n"/>
      <c r="U7071" s="19">
        <f>IF(AND($V7071='設定'!$C$4,COUNTIF('商品マスタ'!$B$6:$B$1005,$W7071)=0),N(U7070)+1,N(U7070))</f>
        <v/>
      </c>
      <c r="V7071" s="19">
        <f>IF($B7071="","",TEXT($B7071,"0000"))</f>
        <v/>
      </c>
      <c r="W7071" s="19">
        <f>IF($I7071="","",IF(ISNUMBER($I7071),TEXT($I7071,"0"),$I7071))</f>
        <v/>
      </c>
    </row>
    <row r="7072">
      <c r="B7072" s="25" t="n"/>
      <c r="I7072" s="25" t="n"/>
      <c r="U7072" s="19">
        <f>IF(AND($V7072='設定'!$C$4,COUNTIF('商品マスタ'!$B$6:$B$1005,$W7072)=0),N(U7071)+1,N(U7071))</f>
        <v/>
      </c>
      <c r="V7072" s="19">
        <f>IF($B7072="","",TEXT($B7072,"0000"))</f>
        <v/>
      </c>
      <c r="W7072" s="19">
        <f>IF($I7072="","",IF(ISNUMBER($I7072),TEXT($I7072,"0"),$I7072))</f>
        <v/>
      </c>
    </row>
    <row r="7073">
      <c r="B7073" s="25" t="n"/>
      <c r="I7073" s="25" t="n"/>
      <c r="U7073" s="19">
        <f>IF(AND($V7073='設定'!$C$4,COUNTIF('商品マスタ'!$B$6:$B$1005,$W7073)=0),N(U7072)+1,N(U7072))</f>
        <v/>
      </c>
      <c r="V7073" s="19">
        <f>IF($B7073="","",TEXT($B7073,"0000"))</f>
        <v/>
      </c>
      <c r="W7073" s="19">
        <f>IF($I7073="","",IF(ISNUMBER($I7073),TEXT($I7073,"0"),$I7073))</f>
        <v/>
      </c>
    </row>
    <row r="7074">
      <c r="B7074" s="25" t="n"/>
      <c r="I7074" s="25" t="n"/>
      <c r="U7074" s="19">
        <f>IF(AND($V7074='設定'!$C$4,COUNTIF('商品マスタ'!$B$6:$B$1005,$W7074)=0),N(U7073)+1,N(U7073))</f>
        <v/>
      </c>
      <c r="V7074" s="19">
        <f>IF($B7074="","",TEXT($B7074,"0000"))</f>
        <v/>
      </c>
      <c r="W7074" s="19">
        <f>IF($I7074="","",IF(ISNUMBER($I7074),TEXT($I7074,"0"),$I7074))</f>
        <v/>
      </c>
    </row>
    <row r="7075">
      <c r="B7075" s="25" t="n"/>
      <c r="I7075" s="25" t="n"/>
      <c r="U7075" s="19">
        <f>IF(AND($V7075='設定'!$C$4,COUNTIF('商品マスタ'!$B$6:$B$1005,$W7075)=0),N(U7074)+1,N(U7074))</f>
        <v/>
      </c>
      <c r="V7075" s="19">
        <f>IF($B7075="","",TEXT($B7075,"0000"))</f>
        <v/>
      </c>
      <c r="W7075" s="19">
        <f>IF($I7075="","",IF(ISNUMBER($I7075),TEXT($I7075,"0"),$I7075))</f>
        <v/>
      </c>
    </row>
    <row r="7076">
      <c r="B7076" s="25" t="n"/>
      <c r="I7076" s="25" t="n"/>
      <c r="U7076" s="19">
        <f>IF(AND($V7076='設定'!$C$4,COUNTIF('商品マスタ'!$B$6:$B$1005,$W7076)=0),N(U7075)+1,N(U7075))</f>
        <v/>
      </c>
      <c r="V7076" s="19">
        <f>IF($B7076="","",TEXT($B7076,"0000"))</f>
        <v/>
      </c>
      <c r="W7076" s="19">
        <f>IF($I7076="","",IF(ISNUMBER($I7076),TEXT($I7076,"0"),$I7076))</f>
        <v/>
      </c>
    </row>
    <row r="7077">
      <c r="B7077" s="25" t="n"/>
      <c r="I7077" s="25" t="n"/>
      <c r="U7077" s="19">
        <f>IF(AND($V7077='設定'!$C$4,COUNTIF('商品マスタ'!$B$6:$B$1005,$W7077)=0),N(U7076)+1,N(U7076))</f>
        <v/>
      </c>
      <c r="V7077" s="19">
        <f>IF($B7077="","",TEXT($B7077,"0000"))</f>
        <v/>
      </c>
      <c r="W7077" s="19">
        <f>IF($I7077="","",IF(ISNUMBER($I7077),TEXT($I7077,"0"),$I7077))</f>
        <v/>
      </c>
    </row>
    <row r="7078">
      <c r="B7078" s="25" t="n"/>
      <c r="I7078" s="25" t="n"/>
      <c r="U7078" s="19">
        <f>IF(AND($V7078='設定'!$C$4,COUNTIF('商品マスタ'!$B$6:$B$1005,$W7078)=0),N(U7077)+1,N(U7077))</f>
        <v/>
      </c>
      <c r="V7078" s="19">
        <f>IF($B7078="","",TEXT($B7078,"0000"))</f>
        <v/>
      </c>
      <c r="W7078" s="19">
        <f>IF($I7078="","",IF(ISNUMBER($I7078),TEXT($I7078,"0"),$I7078))</f>
        <v/>
      </c>
    </row>
    <row r="7079">
      <c r="B7079" s="25" t="n"/>
      <c r="I7079" s="25" t="n"/>
      <c r="U7079" s="19">
        <f>IF(AND($V7079='設定'!$C$4,COUNTIF('商品マスタ'!$B$6:$B$1005,$W7079)=0),N(U7078)+1,N(U7078))</f>
        <v/>
      </c>
      <c r="V7079" s="19">
        <f>IF($B7079="","",TEXT($B7079,"0000"))</f>
        <v/>
      </c>
      <c r="W7079" s="19">
        <f>IF($I7079="","",IF(ISNUMBER($I7079),TEXT($I7079,"0"),$I7079))</f>
        <v/>
      </c>
    </row>
    <row r="7080">
      <c r="B7080" s="25" t="n"/>
      <c r="I7080" s="25" t="n"/>
      <c r="U7080" s="19">
        <f>IF(AND($V7080='設定'!$C$4,COUNTIF('商品マスタ'!$B$6:$B$1005,$W7080)=0),N(U7079)+1,N(U7079))</f>
        <v/>
      </c>
      <c r="V7080" s="19">
        <f>IF($B7080="","",TEXT($B7080,"0000"))</f>
        <v/>
      </c>
      <c r="W7080" s="19">
        <f>IF($I7080="","",IF(ISNUMBER($I7080),TEXT($I7080,"0"),$I7080))</f>
        <v/>
      </c>
    </row>
    <row r="7081">
      <c r="B7081" s="25" t="n"/>
      <c r="I7081" s="25" t="n"/>
      <c r="U7081" s="19">
        <f>IF(AND($V7081='設定'!$C$4,COUNTIF('商品マスタ'!$B$6:$B$1005,$W7081)=0),N(U7080)+1,N(U7080))</f>
        <v/>
      </c>
      <c r="V7081" s="19">
        <f>IF($B7081="","",TEXT($B7081,"0000"))</f>
        <v/>
      </c>
      <c r="W7081" s="19">
        <f>IF($I7081="","",IF(ISNUMBER($I7081),TEXT($I7081,"0"),$I7081))</f>
        <v/>
      </c>
    </row>
    <row r="7082">
      <c r="B7082" s="25" t="n"/>
      <c r="I7082" s="25" t="n"/>
      <c r="U7082" s="19">
        <f>IF(AND($V7082='設定'!$C$4,COUNTIF('商品マスタ'!$B$6:$B$1005,$W7082)=0),N(U7081)+1,N(U7081))</f>
        <v/>
      </c>
      <c r="V7082" s="19">
        <f>IF($B7082="","",TEXT($B7082,"0000"))</f>
        <v/>
      </c>
      <c r="W7082" s="19">
        <f>IF($I7082="","",IF(ISNUMBER($I7082),TEXT($I7082,"0"),$I7082))</f>
        <v/>
      </c>
    </row>
    <row r="7083">
      <c r="B7083" s="25" t="n"/>
      <c r="I7083" s="25" t="n"/>
      <c r="U7083" s="19">
        <f>IF(AND($V7083='設定'!$C$4,COUNTIF('商品マスタ'!$B$6:$B$1005,$W7083)=0),N(U7082)+1,N(U7082))</f>
        <v/>
      </c>
      <c r="V7083" s="19">
        <f>IF($B7083="","",TEXT($B7083,"0000"))</f>
        <v/>
      </c>
      <c r="W7083" s="19">
        <f>IF($I7083="","",IF(ISNUMBER($I7083),TEXT($I7083,"0"),$I7083))</f>
        <v/>
      </c>
    </row>
    <row r="7084">
      <c r="B7084" s="25" t="n"/>
      <c r="I7084" s="25" t="n"/>
      <c r="U7084" s="19">
        <f>IF(AND($V7084='設定'!$C$4,COUNTIF('商品マスタ'!$B$6:$B$1005,$W7084)=0),N(U7083)+1,N(U7083))</f>
        <v/>
      </c>
      <c r="V7084" s="19">
        <f>IF($B7084="","",TEXT($B7084,"0000"))</f>
        <v/>
      </c>
      <c r="W7084" s="19">
        <f>IF($I7084="","",IF(ISNUMBER($I7084),TEXT($I7084,"0"),$I7084))</f>
        <v/>
      </c>
    </row>
    <row r="7085">
      <c r="B7085" s="25" t="n"/>
      <c r="I7085" s="25" t="n"/>
      <c r="U7085" s="19">
        <f>IF(AND($V7085='設定'!$C$4,COUNTIF('商品マスタ'!$B$6:$B$1005,$W7085)=0),N(U7084)+1,N(U7084))</f>
        <v/>
      </c>
      <c r="V7085" s="19">
        <f>IF($B7085="","",TEXT($B7085,"0000"))</f>
        <v/>
      </c>
      <c r="W7085" s="19">
        <f>IF($I7085="","",IF(ISNUMBER($I7085),TEXT($I7085,"0"),$I7085))</f>
        <v/>
      </c>
    </row>
    <row r="7086">
      <c r="B7086" s="25" t="n"/>
      <c r="I7086" s="25" t="n"/>
      <c r="U7086" s="19">
        <f>IF(AND($V7086='設定'!$C$4,COUNTIF('商品マスタ'!$B$6:$B$1005,$W7086)=0),N(U7085)+1,N(U7085))</f>
        <v/>
      </c>
      <c r="V7086" s="19">
        <f>IF($B7086="","",TEXT($B7086,"0000"))</f>
        <v/>
      </c>
      <c r="W7086" s="19">
        <f>IF($I7086="","",IF(ISNUMBER($I7086),TEXT($I7086,"0"),$I7086))</f>
        <v/>
      </c>
    </row>
    <row r="7087">
      <c r="B7087" s="25" t="n"/>
      <c r="I7087" s="25" t="n"/>
      <c r="U7087" s="19">
        <f>IF(AND($V7087='設定'!$C$4,COUNTIF('商品マスタ'!$B$6:$B$1005,$W7087)=0),N(U7086)+1,N(U7086))</f>
        <v/>
      </c>
      <c r="V7087" s="19">
        <f>IF($B7087="","",TEXT($B7087,"0000"))</f>
        <v/>
      </c>
      <c r="W7087" s="19">
        <f>IF($I7087="","",IF(ISNUMBER($I7087),TEXT($I7087,"0"),$I7087))</f>
        <v/>
      </c>
    </row>
    <row r="7088">
      <c r="B7088" s="25" t="n"/>
      <c r="I7088" s="25" t="n"/>
      <c r="U7088" s="19">
        <f>IF(AND($V7088='設定'!$C$4,COUNTIF('商品マスタ'!$B$6:$B$1005,$W7088)=0),N(U7087)+1,N(U7087))</f>
        <v/>
      </c>
      <c r="V7088" s="19">
        <f>IF($B7088="","",TEXT($B7088,"0000"))</f>
        <v/>
      </c>
      <c r="W7088" s="19">
        <f>IF($I7088="","",IF(ISNUMBER($I7088),TEXT($I7088,"0"),$I7088))</f>
        <v/>
      </c>
    </row>
    <row r="7089">
      <c r="B7089" s="25" t="n"/>
      <c r="I7089" s="25" t="n"/>
      <c r="U7089" s="19">
        <f>IF(AND($V7089='設定'!$C$4,COUNTIF('商品マスタ'!$B$6:$B$1005,$W7089)=0),N(U7088)+1,N(U7088))</f>
        <v/>
      </c>
      <c r="V7089" s="19">
        <f>IF($B7089="","",TEXT($B7089,"0000"))</f>
        <v/>
      </c>
      <c r="W7089" s="19">
        <f>IF($I7089="","",IF(ISNUMBER($I7089),TEXT($I7089,"0"),$I7089))</f>
        <v/>
      </c>
    </row>
    <row r="7090">
      <c r="B7090" s="25" t="n"/>
      <c r="I7090" s="25" t="n"/>
      <c r="U7090" s="19">
        <f>IF(AND($V7090='設定'!$C$4,COUNTIF('商品マスタ'!$B$6:$B$1005,$W7090)=0),N(U7089)+1,N(U7089))</f>
        <v/>
      </c>
      <c r="V7090" s="19">
        <f>IF($B7090="","",TEXT($B7090,"0000"))</f>
        <v/>
      </c>
      <c r="W7090" s="19">
        <f>IF($I7090="","",IF(ISNUMBER($I7090),TEXT($I7090,"0"),$I7090))</f>
        <v/>
      </c>
    </row>
    <row r="7091">
      <c r="B7091" s="25" t="n"/>
      <c r="I7091" s="25" t="n"/>
      <c r="U7091" s="19">
        <f>IF(AND($V7091='設定'!$C$4,COUNTIF('商品マスタ'!$B$6:$B$1005,$W7091)=0),N(U7090)+1,N(U7090))</f>
        <v/>
      </c>
      <c r="V7091" s="19">
        <f>IF($B7091="","",TEXT($B7091,"0000"))</f>
        <v/>
      </c>
      <c r="W7091" s="19">
        <f>IF($I7091="","",IF(ISNUMBER($I7091),TEXT($I7091,"0"),$I7091))</f>
        <v/>
      </c>
    </row>
    <row r="7092">
      <c r="B7092" s="25" t="n"/>
      <c r="I7092" s="25" t="n"/>
      <c r="U7092" s="19">
        <f>IF(AND($V7092='設定'!$C$4,COUNTIF('商品マスタ'!$B$6:$B$1005,$W7092)=0),N(U7091)+1,N(U7091))</f>
        <v/>
      </c>
      <c r="V7092" s="19">
        <f>IF($B7092="","",TEXT($B7092,"0000"))</f>
        <v/>
      </c>
      <c r="W7092" s="19">
        <f>IF($I7092="","",IF(ISNUMBER($I7092),TEXT($I7092,"0"),$I7092))</f>
        <v/>
      </c>
    </row>
    <row r="7093">
      <c r="B7093" s="25" t="n"/>
      <c r="I7093" s="25" t="n"/>
      <c r="U7093" s="19">
        <f>IF(AND($V7093='設定'!$C$4,COUNTIF('商品マスタ'!$B$6:$B$1005,$W7093)=0),N(U7092)+1,N(U7092))</f>
        <v/>
      </c>
      <c r="V7093" s="19">
        <f>IF($B7093="","",TEXT($B7093,"0000"))</f>
        <v/>
      </c>
      <c r="W7093" s="19">
        <f>IF($I7093="","",IF(ISNUMBER($I7093),TEXT($I7093,"0"),$I7093))</f>
        <v/>
      </c>
    </row>
    <row r="7094">
      <c r="B7094" s="25" t="n"/>
      <c r="I7094" s="25" t="n"/>
      <c r="U7094" s="19">
        <f>IF(AND($V7094='設定'!$C$4,COUNTIF('商品マスタ'!$B$6:$B$1005,$W7094)=0),N(U7093)+1,N(U7093))</f>
        <v/>
      </c>
      <c r="V7094" s="19">
        <f>IF($B7094="","",TEXT($B7094,"0000"))</f>
        <v/>
      </c>
      <c r="W7094" s="19">
        <f>IF($I7094="","",IF(ISNUMBER($I7094),TEXT($I7094,"0"),$I7094))</f>
        <v/>
      </c>
    </row>
    <row r="7095">
      <c r="B7095" s="25" t="n"/>
      <c r="I7095" s="25" t="n"/>
      <c r="U7095" s="19">
        <f>IF(AND($V7095='設定'!$C$4,COUNTIF('商品マスタ'!$B$6:$B$1005,$W7095)=0),N(U7094)+1,N(U7094))</f>
        <v/>
      </c>
      <c r="V7095" s="19">
        <f>IF($B7095="","",TEXT($B7095,"0000"))</f>
        <v/>
      </c>
      <c r="W7095" s="19">
        <f>IF($I7095="","",IF(ISNUMBER($I7095),TEXT($I7095,"0"),$I7095))</f>
        <v/>
      </c>
    </row>
    <row r="7096">
      <c r="B7096" s="25" t="n"/>
      <c r="I7096" s="25" t="n"/>
      <c r="U7096" s="19">
        <f>IF(AND($V7096='設定'!$C$4,COUNTIF('商品マスタ'!$B$6:$B$1005,$W7096)=0),N(U7095)+1,N(U7095))</f>
        <v/>
      </c>
      <c r="V7096" s="19">
        <f>IF($B7096="","",TEXT($B7096,"0000"))</f>
        <v/>
      </c>
      <c r="W7096" s="19">
        <f>IF($I7096="","",IF(ISNUMBER($I7096),TEXT($I7096,"0"),$I7096))</f>
        <v/>
      </c>
    </row>
    <row r="7097">
      <c r="B7097" s="25" t="n"/>
      <c r="I7097" s="25" t="n"/>
      <c r="U7097" s="19">
        <f>IF(AND($V7097='設定'!$C$4,COUNTIF('商品マスタ'!$B$6:$B$1005,$W7097)=0),N(U7096)+1,N(U7096))</f>
        <v/>
      </c>
      <c r="V7097" s="19">
        <f>IF($B7097="","",TEXT($B7097,"0000"))</f>
        <v/>
      </c>
      <c r="W7097" s="19">
        <f>IF($I7097="","",IF(ISNUMBER($I7097),TEXT($I7097,"0"),$I7097))</f>
        <v/>
      </c>
    </row>
    <row r="7098">
      <c r="B7098" s="25" t="n"/>
      <c r="I7098" s="25" t="n"/>
      <c r="U7098" s="19">
        <f>IF(AND($V7098='設定'!$C$4,COUNTIF('商品マスタ'!$B$6:$B$1005,$W7098)=0),N(U7097)+1,N(U7097))</f>
        <v/>
      </c>
      <c r="V7098" s="19">
        <f>IF($B7098="","",TEXT($B7098,"0000"))</f>
        <v/>
      </c>
      <c r="W7098" s="19">
        <f>IF($I7098="","",IF(ISNUMBER($I7098),TEXT($I7098,"0"),$I7098))</f>
        <v/>
      </c>
    </row>
    <row r="7099">
      <c r="B7099" s="25" t="n"/>
      <c r="I7099" s="25" t="n"/>
      <c r="U7099" s="19">
        <f>IF(AND($V7099='設定'!$C$4,COUNTIF('商品マスタ'!$B$6:$B$1005,$W7099)=0),N(U7098)+1,N(U7098))</f>
        <v/>
      </c>
      <c r="V7099" s="19">
        <f>IF($B7099="","",TEXT($B7099,"0000"))</f>
        <v/>
      </c>
      <c r="W7099" s="19">
        <f>IF($I7099="","",IF(ISNUMBER($I7099),TEXT($I7099,"0"),$I7099))</f>
        <v/>
      </c>
    </row>
    <row r="7100">
      <c r="B7100" s="25" t="n"/>
      <c r="I7100" s="25" t="n"/>
      <c r="U7100" s="19">
        <f>IF(AND($V7100='設定'!$C$4,COUNTIF('商品マスタ'!$B$6:$B$1005,$W7100)=0),N(U7099)+1,N(U7099))</f>
        <v/>
      </c>
      <c r="V7100" s="19">
        <f>IF($B7100="","",TEXT($B7100,"0000"))</f>
        <v/>
      </c>
      <c r="W7100" s="19">
        <f>IF($I7100="","",IF(ISNUMBER($I7100),TEXT($I7100,"0"),$I7100))</f>
        <v/>
      </c>
    </row>
    <row r="7101">
      <c r="B7101" s="25" t="n"/>
      <c r="I7101" s="25" t="n"/>
      <c r="U7101" s="19">
        <f>IF(AND($V7101='設定'!$C$4,COUNTIF('商品マスタ'!$B$6:$B$1005,$W7101)=0),N(U7100)+1,N(U7100))</f>
        <v/>
      </c>
      <c r="V7101" s="19">
        <f>IF($B7101="","",TEXT($B7101,"0000"))</f>
        <v/>
      </c>
      <c r="W7101" s="19">
        <f>IF($I7101="","",IF(ISNUMBER($I7101),TEXT($I7101,"0"),$I7101))</f>
        <v/>
      </c>
    </row>
    <row r="7102">
      <c r="B7102" s="25" t="n"/>
      <c r="I7102" s="25" t="n"/>
      <c r="U7102" s="19">
        <f>IF(AND($V7102='設定'!$C$4,COUNTIF('商品マスタ'!$B$6:$B$1005,$W7102)=0),N(U7101)+1,N(U7101))</f>
        <v/>
      </c>
      <c r="V7102" s="19">
        <f>IF($B7102="","",TEXT($B7102,"0000"))</f>
        <v/>
      </c>
      <c r="W7102" s="19">
        <f>IF($I7102="","",IF(ISNUMBER($I7102),TEXT($I7102,"0"),$I7102))</f>
        <v/>
      </c>
    </row>
    <row r="7103">
      <c r="B7103" s="25" t="n"/>
      <c r="I7103" s="25" t="n"/>
      <c r="U7103" s="19">
        <f>IF(AND($V7103='設定'!$C$4,COUNTIF('商品マスタ'!$B$6:$B$1005,$W7103)=0),N(U7102)+1,N(U7102))</f>
        <v/>
      </c>
      <c r="V7103" s="19">
        <f>IF($B7103="","",TEXT($B7103,"0000"))</f>
        <v/>
      </c>
      <c r="W7103" s="19">
        <f>IF($I7103="","",IF(ISNUMBER($I7103),TEXT($I7103,"0"),$I7103))</f>
        <v/>
      </c>
    </row>
    <row r="7104">
      <c r="B7104" s="25" t="n"/>
      <c r="I7104" s="25" t="n"/>
      <c r="U7104" s="19">
        <f>IF(AND($V7104='設定'!$C$4,COUNTIF('商品マスタ'!$B$6:$B$1005,$W7104)=0),N(U7103)+1,N(U7103))</f>
        <v/>
      </c>
      <c r="V7104" s="19">
        <f>IF($B7104="","",TEXT($B7104,"0000"))</f>
        <v/>
      </c>
      <c r="W7104" s="19">
        <f>IF($I7104="","",IF(ISNUMBER($I7104),TEXT($I7104,"0"),$I7104))</f>
        <v/>
      </c>
    </row>
    <row r="7105">
      <c r="B7105" s="25" t="n"/>
      <c r="I7105" s="25" t="n"/>
      <c r="U7105" s="19">
        <f>IF(AND($V7105='設定'!$C$4,COUNTIF('商品マスタ'!$B$6:$B$1005,$W7105)=0),N(U7104)+1,N(U7104))</f>
        <v/>
      </c>
      <c r="V7105" s="19">
        <f>IF($B7105="","",TEXT($B7105,"0000"))</f>
        <v/>
      </c>
      <c r="W7105" s="19">
        <f>IF($I7105="","",IF(ISNUMBER($I7105),TEXT($I7105,"0"),$I7105))</f>
        <v/>
      </c>
    </row>
    <row r="7106">
      <c r="B7106" s="25" t="n"/>
      <c r="I7106" s="25" t="n"/>
      <c r="U7106" s="19">
        <f>IF(AND($V7106='設定'!$C$4,COUNTIF('商品マスタ'!$B$6:$B$1005,$W7106)=0),N(U7105)+1,N(U7105))</f>
        <v/>
      </c>
      <c r="V7106" s="19">
        <f>IF($B7106="","",TEXT($B7106,"0000"))</f>
        <v/>
      </c>
      <c r="W7106" s="19">
        <f>IF($I7106="","",IF(ISNUMBER($I7106),TEXT($I7106,"0"),$I7106))</f>
        <v/>
      </c>
    </row>
    <row r="7107">
      <c r="B7107" s="25" t="n"/>
      <c r="I7107" s="25" t="n"/>
      <c r="U7107" s="19">
        <f>IF(AND($V7107='設定'!$C$4,COUNTIF('商品マスタ'!$B$6:$B$1005,$W7107)=0),N(U7106)+1,N(U7106))</f>
        <v/>
      </c>
      <c r="V7107" s="19">
        <f>IF($B7107="","",TEXT($B7107,"0000"))</f>
        <v/>
      </c>
      <c r="W7107" s="19">
        <f>IF($I7107="","",IF(ISNUMBER($I7107),TEXT($I7107,"0"),$I7107))</f>
        <v/>
      </c>
    </row>
    <row r="7108">
      <c r="B7108" s="25" t="n"/>
      <c r="I7108" s="25" t="n"/>
      <c r="U7108" s="19">
        <f>IF(AND($V7108='設定'!$C$4,COUNTIF('商品マスタ'!$B$6:$B$1005,$W7108)=0),N(U7107)+1,N(U7107))</f>
        <v/>
      </c>
      <c r="V7108" s="19">
        <f>IF($B7108="","",TEXT($B7108,"0000"))</f>
        <v/>
      </c>
      <c r="W7108" s="19">
        <f>IF($I7108="","",IF(ISNUMBER($I7108),TEXT($I7108,"0"),$I7108))</f>
        <v/>
      </c>
    </row>
    <row r="7109">
      <c r="B7109" s="25" t="n"/>
      <c r="I7109" s="25" t="n"/>
      <c r="U7109" s="19">
        <f>IF(AND($V7109='設定'!$C$4,COUNTIF('商品マスタ'!$B$6:$B$1005,$W7109)=0),N(U7108)+1,N(U7108))</f>
        <v/>
      </c>
      <c r="V7109" s="19">
        <f>IF($B7109="","",TEXT($B7109,"0000"))</f>
        <v/>
      </c>
      <c r="W7109" s="19">
        <f>IF($I7109="","",IF(ISNUMBER($I7109),TEXT($I7109,"0"),$I7109))</f>
        <v/>
      </c>
    </row>
    <row r="7110">
      <c r="B7110" s="25" t="n"/>
      <c r="I7110" s="25" t="n"/>
      <c r="U7110" s="19">
        <f>IF(AND($V7110='設定'!$C$4,COUNTIF('商品マスタ'!$B$6:$B$1005,$W7110)=0),N(U7109)+1,N(U7109))</f>
        <v/>
      </c>
      <c r="V7110" s="19">
        <f>IF($B7110="","",TEXT($B7110,"0000"))</f>
        <v/>
      </c>
      <c r="W7110" s="19">
        <f>IF($I7110="","",IF(ISNUMBER($I7110),TEXT($I7110,"0"),$I7110))</f>
        <v/>
      </c>
    </row>
    <row r="7111">
      <c r="B7111" s="25" t="n"/>
      <c r="I7111" s="25" t="n"/>
      <c r="U7111" s="19">
        <f>IF(AND($V7111='設定'!$C$4,COUNTIF('商品マスタ'!$B$6:$B$1005,$W7111)=0),N(U7110)+1,N(U7110))</f>
        <v/>
      </c>
      <c r="V7111" s="19">
        <f>IF($B7111="","",TEXT($B7111,"0000"))</f>
        <v/>
      </c>
      <c r="W7111" s="19">
        <f>IF($I7111="","",IF(ISNUMBER($I7111),TEXT($I7111,"0"),$I7111))</f>
        <v/>
      </c>
    </row>
    <row r="7112">
      <c r="B7112" s="25" t="n"/>
      <c r="I7112" s="25" t="n"/>
      <c r="U7112" s="19">
        <f>IF(AND($V7112='設定'!$C$4,COUNTIF('商品マスタ'!$B$6:$B$1005,$W7112)=0),N(U7111)+1,N(U7111))</f>
        <v/>
      </c>
      <c r="V7112" s="19">
        <f>IF($B7112="","",TEXT($B7112,"0000"))</f>
        <v/>
      </c>
      <c r="W7112" s="19">
        <f>IF($I7112="","",IF(ISNUMBER($I7112),TEXT($I7112,"0"),$I7112))</f>
        <v/>
      </c>
    </row>
    <row r="7113">
      <c r="B7113" s="25" t="n"/>
      <c r="I7113" s="25" t="n"/>
      <c r="U7113" s="19">
        <f>IF(AND($V7113='設定'!$C$4,COUNTIF('商品マスタ'!$B$6:$B$1005,$W7113)=0),N(U7112)+1,N(U7112))</f>
        <v/>
      </c>
      <c r="V7113" s="19">
        <f>IF($B7113="","",TEXT($B7113,"0000"))</f>
        <v/>
      </c>
      <c r="W7113" s="19">
        <f>IF($I7113="","",IF(ISNUMBER($I7113),TEXT($I7113,"0"),$I7113))</f>
        <v/>
      </c>
    </row>
    <row r="7114">
      <c r="B7114" s="25" t="n"/>
      <c r="I7114" s="25" t="n"/>
      <c r="U7114" s="19">
        <f>IF(AND($V7114='設定'!$C$4,COUNTIF('商品マスタ'!$B$6:$B$1005,$W7114)=0),N(U7113)+1,N(U7113))</f>
        <v/>
      </c>
      <c r="V7114" s="19">
        <f>IF($B7114="","",TEXT($B7114,"0000"))</f>
        <v/>
      </c>
      <c r="W7114" s="19">
        <f>IF($I7114="","",IF(ISNUMBER($I7114),TEXT($I7114,"0"),$I7114))</f>
        <v/>
      </c>
    </row>
    <row r="7115">
      <c r="B7115" s="25" t="n"/>
      <c r="I7115" s="25" t="n"/>
      <c r="U7115" s="19">
        <f>IF(AND($V7115='設定'!$C$4,COUNTIF('商品マスタ'!$B$6:$B$1005,$W7115)=0),N(U7114)+1,N(U7114))</f>
        <v/>
      </c>
      <c r="V7115" s="19">
        <f>IF($B7115="","",TEXT($B7115,"0000"))</f>
        <v/>
      </c>
      <c r="W7115" s="19">
        <f>IF($I7115="","",IF(ISNUMBER($I7115),TEXT($I7115,"0"),$I7115))</f>
        <v/>
      </c>
    </row>
    <row r="7116">
      <c r="B7116" s="25" t="n"/>
      <c r="I7116" s="25" t="n"/>
      <c r="U7116" s="19">
        <f>IF(AND($V7116='設定'!$C$4,COUNTIF('商品マスタ'!$B$6:$B$1005,$W7116)=0),N(U7115)+1,N(U7115))</f>
        <v/>
      </c>
      <c r="V7116" s="19">
        <f>IF($B7116="","",TEXT($B7116,"0000"))</f>
        <v/>
      </c>
      <c r="W7116" s="19">
        <f>IF($I7116="","",IF(ISNUMBER($I7116),TEXT($I7116,"0"),$I7116))</f>
        <v/>
      </c>
    </row>
    <row r="7117">
      <c r="B7117" s="25" t="n"/>
      <c r="I7117" s="25" t="n"/>
      <c r="U7117" s="19">
        <f>IF(AND($V7117='設定'!$C$4,COUNTIF('商品マスタ'!$B$6:$B$1005,$W7117)=0),N(U7116)+1,N(U7116))</f>
        <v/>
      </c>
      <c r="V7117" s="19">
        <f>IF($B7117="","",TEXT($B7117,"0000"))</f>
        <v/>
      </c>
      <c r="W7117" s="19">
        <f>IF($I7117="","",IF(ISNUMBER($I7117),TEXT($I7117,"0"),$I7117))</f>
        <v/>
      </c>
    </row>
    <row r="7118">
      <c r="B7118" s="25" t="n"/>
      <c r="I7118" s="25" t="n"/>
      <c r="U7118" s="19">
        <f>IF(AND($V7118='設定'!$C$4,COUNTIF('商品マスタ'!$B$6:$B$1005,$W7118)=0),N(U7117)+1,N(U7117))</f>
        <v/>
      </c>
      <c r="V7118" s="19">
        <f>IF($B7118="","",TEXT($B7118,"0000"))</f>
        <v/>
      </c>
      <c r="W7118" s="19">
        <f>IF($I7118="","",IF(ISNUMBER($I7118),TEXT($I7118,"0"),$I7118))</f>
        <v/>
      </c>
    </row>
    <row r="7119">
      <c r="B7119" s="25" t="n"/>
      <c r="I7119" s="25" t="n"/>
      <c r="U7119" s="19">
        <f>IF(AND($V7119='設定'!$C$4,COUNTIF('商品マスタ'!$B$6:$B$1005,$W7119)=0),N(U7118)+1,N(U7118))</f>
        <v/>
      </c>
      <c r="V7119" s="19">
        <f>IF($B7119="","",TEXT($B7119,"0000"))</f>
        <v/>
      </c>
      <c r="W7119" s="19">
        <f>IF($I7119="","",IF(ISNUMBER($I7119),TEXT($I7119,"0"),$I7119))</f>
        <v/>
      </c>
    </row>
    <row r="7120">
      <c r="B7120" s="25" t="n"/>
      <c r="I7120" s="25" t="n"/>
      <c r="U7120" s="19">
        <f>IF(AND($V7120='設定'!$C$4,COUNTIF('商品マスタ'!$B$6:$B$1005,$W7120)=0),N(U7119)+1,N(U7119))</f>
        <v/>
      </c>
      <c r="V7120" s="19">
        <f>IF($B7120="","",TEXT($B7120,"0000"))</f>
        <v/>
      </c>
      <c r="W7120" s="19">
        <f>IF($I7120="","",IF(ISNUMBER($I7120),TEXT($I7120,"0"),$I7120))</f>
        <v/>
      </c>
    </row>
    <row r="7121">
      <c r="B7121" s="25" t="n"/>
      <c r="I7121" s="25" t="n"/>
      <c r="U7121" s="19">
        <f>IF(AND($V7121='設定'!$C$4,COUNTIF('商品マスタ'!$B$6:$B$1005,$W7121)=0),N(U7120)+1,N(U7120))</f>
        <v/>
      </c>
      <c r="V7121" s="19">
        <f>IF($B7121="","",TEXT($B7121,"0000"))</f>
        <v/>
      </c>
      <c r="W7121" s="19">
        <f>IF($I7121="","",IF(ISNUMBER($I7121),TEXT($I7121,"0"),$I7121))</f>
        <v/>
      </c>
    </row>
    <row r="7122">
      <c r="B7122" s="25" t="n"/>
      <c r="I7122" s="25" t="n"/>
      <c r="U7122" s="19">
        <f>IF(AND($V7122='設定'!$C$4,COUNTIF('商品マスタ'!$B$6:$B$1005,$W7122)=0),N(U7121)+1,N(U7121))</f>
        <v/>
      </c>
      <c r="V7122" s="19">
        <f>IF($B7122="","",TEXT($B7122,"0000"))</f>
        <v/>
      </c>
      <c r="W7122" s="19">
        <f>IF($I7122="","",IF(ISNUMBER($I7122),TEXT($I7122,"0"),$I7122))</f>
        <v/>
      </c>
    </row>
    <row r="7123">
      <c r="B7123" s="25" t="n"/>
      <c r="I7123" s="25" t="n"/>
      <c r="U7123" s="19">
        <f>IF(AND($V7123='設定'!$C$4,COUNTIF('商品マスタ'!$B$6:$B$1005,$W7123)=0),N(U7122)+1,N(U7122))</f>
        <v/>
      </c>
      <c r="V7123" s="19">
        <f>IF($B7123="","",TEXT($B7123,"0000"))</f>
        <v/>
      </c>
      <c r="W7123" s="19">
        <f>IF($I7123="","",IF(ISNUMBER($I7123),TEXT($I7123,"0"),$I7123))</f>
        <v/>
      </c>
    </row>
    <row r="7124">
      <c r="B7124" s="25" t="n"/>
      <c r="I7124" s="25" t="n"/>
      <c r="U7124" s="19">
        <f>IF(AND($V7124='設定'!$C$4,COUNTIF('商品マスタ'!$B$6:$B$1005,$W7124)=0),N(U7123)+1,N(U7123))</f>
        <v/>
      </c>
      <c r="V7124" s="19">
        <f>IF($B7124="","",TEXT($B7124,"0000"))</f>
        <v/>
      </c>
      <c r="W7124" s="19">
        <f>IF($I7124="","",IF(ISNUMBER($I7124),TEXT($I7124,"0"),$I7124))</f>
        <v/>
      </c>
    </row>
    <row r="7125">
      <c r="B7125" s="25" t="n"/>
      <c r="I7125" s="25" t="n"/>
      <c r="U7125" s="19">
        <f>IF(AND($V7125='設定'!$C$4,COUNTIF('商品マスタ'!$B$6:$B$1005,$W7125)=0),N(U7124)+1,N(U7124))</f>
        <v/>
      </c>
      <c r="V7125" s="19">
        <f>IF($B7125="","",TEXT($B7125,"0000"))</f>
        <v/>
      </c>
      <c r="W7125" s="19">
        <f>IF($I7125="","",IF(ISNUMBER($I7125),TEXT($I7125,"0"),$I7125))</f>
        <v/>
      </c>
    </row>
    <row r="7126">
      <c r="B7126" s="25" t="n"/>
      <c r="I7126" s="25" t="n"/>
      <c r="U7126" s="19">
        <f>IF(AND($V7126='設定'!$C$4,COUNTIF('商品マスタ'!$B$6:$B$1005,$W7126)=0),N(U7125)+1,N(U7125))</f>
        <v/>
      </c>
      <c r="V7126" s="19">
        <f>IF($B7126="","",TEXT($B7126,"0000"))</f>
        <v/>
      </c>
      <c r="W7126" s="19">
        <f>IF($I7126="","",IF(ISNUMBER($I7126),TEXT($I7126,"0"),$I7126))</f>
        <v/>
      </c>
    </row>
    <row r="7127">
      <c r="B7127" s="25" t="n"/>
      <c r="I7127" s="25" t="n"/>
      <c r="U7127" s="19">
        <f>IF(AND($V7127='設定'!$C$4,COUNTIF('商品マスタ'!$B$6:$B$1005,$W7127)=0),N(U7126)+1,N(U7126))</f>
        <v/>
      </c>
      <c r="V7127" s="19">
        <f>IF($B7127="","",TEXT($B7127,"0000"))</f>
        <v/>
      </c>
      <c r="W7127" s="19">
        <f>IF($I7127="","",IF(ISNUMBER($I7127),TEXT($I7127,"0"),$I7127))</f>
        <v/>
      </c>
    </row>
    <row r="7128">
      <c r="B7128" s="25" t="n"/>
      <c r="I7128" s="25" t="n"/>
      <c r="U7128" s="19">
        <f>IF(AND($V7128='設定'!$C$4,COUNTIF('商品マスタ'!$B$6:$B$1005,$W7128)=0),N(U7127)+1,N(U7127))</f>
        <v/>
      </c>
      <c r="V7128" s="19">
        <f>IF($B7128="","",TEXT($B7128,"0000"))</f>
        <v/>
      </c>
      <c r="W7128" s="19">
        <f>IF($I7128="","",IF(ISNUMBER($I7128),TEXT($I7128,"0"),$I7128))</f>
        <v/>
      </c>
    </row>
    <row r="7129">
      <c r="B7129" s="25" t="n"/>
      <c r="I7129" s="25" t="n"/>
      <c r="U7129" s="19">
        <f>IF(AND($V7129='設定'!$C$4,COUNTIF('商品マスタ'!$B$6:$B$1005,$W7129)=0),N(U7128)+1,N(U7128))</f>
        <v/>
      </c>
      <c r="V7129" s="19">
        <f>IF($B7129="","",TEXT($B7129,"0000"))</f>
        <v/>
      </c>
      <c r="W7129" s="19">
        <f>IF($I7129="","",IF(ISNUMBER($I7129),TEXT($I7129,"0"),$I7129))</f>
        <v/>
      </c>
    </row>
    <row r="7130">
      <c r="B7130" s="25" t="n"/>
      <c r="I7130" s="25" t="n"/>
      <c r="U7130" s="19">
        <f>IF(AND($V7130='設定'!$C$4,COUNTIF('商品マスタ'!$B$6:$B$1005,$W7130)=0),N(U7129)+1,N(U7129))</f>
        <v/>
      </c>
      <c r="V7130" s="19">
        <f>IF($B7130="","",TEXT($B7130,"0000"))</f>
        <v/>
      </c>
      <c r="W7130" s="19">
        <f>IF($I7130="","",IF(ISNUMBER($I7130),TEXT($I7130,"0"),$I7130))</f>
        <v/>
      </c>
    </row>
    <row r="7131">
      <c r="B7131" s="25" t="n"/>
      <c r="I7131" s="25" t="n"/>
      <c r="U7131" s="19">
        <f>IF(AND($V7131='設定'!$C$4,COUNTIF('商品マスタ'!$B$6:$B$1005,$W7131)=0),N(U7130)+1,N(U7130))</f>
        <v/>
      </c>
      <c r="V7131" s="19">
        <f>IF($B7131="","",TEXT($B7131,"0000"))</f>
        <v/>
      </c>
      <c r="W7131" s="19">
        <f>IF($I7131="","",IF(ISNUMBER($I7131),TEXT($I7131,"0"),$I7131))</f>
        <v/>
      </c>
    </row>
    <row r="7132">
      <c r="B7132" s="25" t="n"/>
      <c r="I7132" s="25" t="n"/>
      <c r="U7132" s="19">
        <f>IF(AND($V7132='設定'!$C$4,COUNTIF('商品マスタ'!$B$6:$B$1005,$W7132)=0),N(U7131)+1,N(U7131))</f>
        <v/>
      </c>
      <c r="V7132" s="19">
        <f>IF($B7132="","",TEXT($B7132,"0000"))</f>
        <v/>
      </c>
      <c r="W7132" s="19">
        <f>IF($I7132="","",IF(ISNUMBER($I7132),TEXT($I7132,"0"),$I7132))</f>
        <v/>
      </c>
    </row>
    <row r="7133">
      <c r="B7133" s="25" t="n"/>
      <c r="I7133" s="25" t="n"/>
      <c r="U7133" s="19">
        <f>IF(AND($V7133='設定'!$C$4,COUNTIF('商品マスタ'!$B$6:$B$1005,$W7133)=0),N(U7132)+1,N(U7132))</f>
        <v/>
      </c>
      <c r="V7133" s="19">
        <f>IF($B7133="","",TEXT($B7133,"0000"))</f>
        <v/>
      </c>
      <c r="W7133" s="19">
        <f>IF($I7133="","",IF(ISNUMBER($I7133),TEXT($I7133,"0"),$I7133))</f>
        <v/>
      </c>
    </row>
    <row r="7134">
      <c r="B7134" s="25" t="n"/>
      <c r="I7134" s="25" t="n"/>
      <c r="U7134" s="19">
        <f>IF(AND($V7134='設定'!$C$4,COUNTIF('商品マスタ'!$B$6:$B$1005,$W7134)=0),N(U7133)+1,N(U7133))</f>
        <v/>
      </c>
      <c r="V7134" s="19">
        <f>IF($B7134="","",TEXT($B7134,"0000"))</f>
        <v/>
      </c>
      <c r="W7134" s="19">
        <f>IF($I7134="","",IF(ISNUMBER($I7134),TEXT($I7134,"0"),$I7134))</f>
        <v/>
      </c>
    </row>
    <row r="7135">
      <c r="B7135" s="25" t="n"/>
      <c r="I7135" s="25" t="n"/>
      <c r="U7135" s="19">
        <f>IF(AND($V7135='設定'!$C$4,COUNTIF('商品マスタ'!$B$6:$B$1005,$W7135)=0),N(U7134)+1,N(U7134))</f>
        <v/>
      </c>
      <c r="V7135" s="19">
        <f>IF($B7135="","",TEXT($B7135,"0000"))</f>
        <v/>
      </c>
      <c r="W7135" s="19">
        <f>IF($I7135="","",IF(ISNUMBER($I7135),TEXT($I7135,"0"),$I7135))</f>
        <v/>
      </c>
    </row>
    <row r="7136">
      <c r="B7136" s="25" t="n"/>
      <c r="I7136" s="25" t="n"/>
      <c r="U7136" s="19">
        <f>IF(AND($V7136='設定'!$C$4,COUNTIF('商品マスタ'!$B$6:$B$1005,$W7136)=0),N(U7135)+1,N(U7135))</f>
        <v/>
      </c>
      <c r="V7136" s="19">
        <f>IF($B7136="","",TEXT($B7136,"0000"))</f>
        <v/>
      </c>
      <c r="W7136" s="19">
        <f>IF($I7136="","",IF(ISNUMBER($I7136),TEXT($I7136,"0"),$I7136))</f>
        <v/>
      </c>
    </row>
    <row r="7137">
      <c r="B7137" s="25" t="n"/>
      <c r="I7137" s="25" t="n"/>
      <c r="U7137" s="19">
        <f>IF(AND($V7137='設定'!$C$4,COUNTIF('商品マスタ'!$B$6:$B$1005,$W7137)=0),N(U7136)+1,N(U7136))</f>
        <v/>
      </c>
      <c r="V7137" s="19">
        <f>IF($B7137="","",TEXT($B7137,"0000"))</f>
        <v/>
      </c>
      <c r="W7137" s="19">
        <f>IF($I7137="","",IF(ISNUMBER($I7137),TEXT($I7137,"0"),$I7137))</f>
        <v/>
      </c>
    </row>
    <row r="7138">
      <c r="B7138" s="25" t="n"/>
      <c r="I7138" s="25" t="n"/>
      <c r="U7138" s="19">
        <f>IF(AND($V7138='設定'!$C$4,COUNTIF('商品マスタ'!$B$6:$B$1005,$W7138)=0),N(U7137)+1,N(U7137))</f>
        <v/>
      </c>
      <c r="V7138" s="19">
        <f>IF($B7138="","",TEXT($B7138,"0000"))</f>
        <v/>
      </c>
      <c r="W7138" s="19">
        <f>IF($I7138="","",IF(ISNUMBER($I7138),TEXT($I7138,"0"),$I7138))</f>
        <v/>
      </c>
    </row>
    <row r="7139">
      <c r="B7139" s="25" t="n"/>
      <c r="I7139" s="25" t="n"/>
      <c r="U7139" s="19">
        <f>IF(AND($V7139='設定'!$C$4,COUNTIF('商品マスタ'!$B$6:$B$1005,$W7139)=0),N(U7138)+1,N(U7138))</f>
        <v/>
      </c>
      <c r="V7139" s="19">
        <f>IF($B7139="","",TEXT($B7139,"0000"))</f>
        <v/>
      </c>
      <c r="W7139" s="19">
        <f>IF($I7139="","",IF(ISNUMBER($I7139),TEXT($I7139,"0"),$I7139))</f>
        <v/>
      </c>
    </row>
    <row r="7140">
      <c r="B7140" s="25" t="n"/>
      <c r="I7140" s="25" t="n"/>
      <c r="U7140" s="19">
        <f>IF(AND($V7140='設定'!$C$4,COUNTIF('商品マスタ'!$B$6:$B$1005,$W7140)=0),N(U7139)+1,N(U7139))</f>
        <v/>
      </c>
      <c r="V7140" s="19">
        <f>IF($B7140="","",TEXT($B7140,"0000"))</f>
        <v/>
      </c>
      <c r="W7140" s="19">
        <f>IF($I7140="","",IF(ISNUMBER($I7140),TEXT($I7140,"0"),$I7140))</f>
        <v/>
      </c>
    </row>
    <row r="7141">
      <c r="B7141" s="25" t="n"/>
      <c r="I7141" s="25" t="n"/>
      <c r="U7141" s="19">
        <f>IF(AND($V7141='設定'!$C$4,COUNTIF('商品マスタ'!$B$6:$B$1005,$W7141)=0),N(U7140)+1,N(U7140))</f>
        <v/>
      </c>
      <c r="V7141" s="19">
        <f>IF($B7141="","",TEXT($B7141,"0000"))</f>
        <v/>
      </c>
      <c r="W7141" s="19">
        <f>IF($I7141="","",IF(ISNUMBER($I7141),TEXT($I7141,"0"),$I7141))</f>
        <v/>
      </c>
    </row>
    <row r="7142">
      <c r="B7142" s="25" t="n"/>
      <c r="I7142" s="25" t="n"/>
      <c r="U7142" s="19">
        <f>IF(AND($V7142='設定'!$C$4,COUNTIF('商品マスタ'!$B$6:$B$1005,$W7142)=0),N(U7141)+1,N(U7141))</f>
        <v/>
      </c>
      <c r="V7142" s="19">
        <f>IF($B7142="","",TEXT($B7142,"0000"))</f>
        <v/>
      </c>
      <c r="W7142" s="19">
        <f>IF($I7142="","",IF(ISNUMBER($I7142),TEXT($I7142,"0"),$I7142))</f>
        <v/>
      </c>
    </row>
    <row r="7143">
      <c r="B7143" s="25" t="n"/>
      <c r="I7143" s="25" t="n"/>
      <c r="U7143" s="19">
        <f>IF(AND($V7143='設定'!$C$4,COUNTIF('商品マスタ'!$B$6:$B$1005,$W7143)=0),N(U7142)+1,N(U7142))</f>
        <v/>
      </c>
      <c r="V7143" s="19">
        <f>IF($B7143="","",TEXT($B7143,"0000"))</f>
        <v/>
      </c>
      <c r="W7143" s="19">
        <f>IF($I7143="","",IF(ISNUMBER($I7143),TEXT($I7143,"0"),$I7143))</f>
        <v/>
      </c>
    </row>
    <row r="7144">
      <c r="B7144" s="25" t="n"/>
      <c r="I7144" s="25" t="n"/>
      <c r="U7144" s="19">
        <f>IF(AND($V7144='設定'!$C$4,COUNTIF('商品マスタ'!$B$6:$B$1005,$W7144)=0),N(U7143)+1,N(U7143))</f>
        <v/>
      </c>
      <c r="V7144" s="19">
        <f>IF($B7144="","",TEXT($B7144,"0000"))</f>
        <v/>
      </c>
      <c r="W7144" s="19">
        <f>IF($I7144="","",IF(ISNUMBER($I7144),TEXT($I7144,"0"),$I7144))</f>
        <v/>
      </c>
    </row>
    <row r="7145">
      <c r="B7145" s="25" t="n"/>
      <c r="I7145" s="25" t="n"/>
      <c r="U7145" s="19">
        <f>IF(AND($V7145='設定'!$C$4,COUNTIF('商品マスタ'!$B$6:$B$1005,$W7145)=0),N(U7144)+1,N(U7144))</f>
        <v/>
      </c>
      <c r="V7145" s="19">
        <f>IF($B7145="","",TEXT($B7145,"0000"))</f>
        <v/>
      </c>
      <c r="W7145" s="19">
        <f>IF($I7145="","",IF(ISNUMBER($I7145),TEXT($I7145,"0"),$I7145))</f>
        <v/>
      </c>
    </row>
    <row r="7146">
      <c r="B7146" s="25" t="n"/>
      <c r="I7146" s="25" t="n"/>
      <c r="U7146" s="19">
        <f>IF(AND($V7146='設定'!$C$4,COUNTIF('商品マスタ'!$B$6:$B$1005,$W7146)=0),N(U7145)+1,N(U7145))</f>
        <v/>
      </c>
      <c r="V7146" s="19">
        <f>IF($B7146="","",TEXT($B7146,"0000"))</f>
        <v/>
      </c>
      <c r="W7146" s="19">
        <f>IF($I7146="","",IF(ISNUMBER($I7146),TEXT($I7146,"0"),$I7146))</f>
        <v/>
      </c>
    </row>
    <row r="7147">
      <c r="B7147" s="25" t="n"/>
      <c r="I7147" s="25" t="n"/>
      <c r="U7147" s="19">
        <f>IF(AND($V7147='設定'!$C$4,COUNTIF('商品マスタ'!$B$6:$B$1005,$W7147)=0),N(U7146)+1,N(U7146))</f>
        <v/>
      </c>
      <c r="V7147" s="19">
        <f>IF($B7147="","",TEXT($B7147,"0000"))</f>
        <v/>
      </c>
      <c r="W7147" s="19">
        <f>IF($I7147="","",IF(ISNUMBER($I7147),TEXT($I7147,"0"),$I7147))</f>
        <v/>
      </c>
    </row>
    <row r="7148">
      <c r="B7148" s="25" t="n"/>
      <c r="I7148" s="25" t="n"/>
      <c r="U7148" s="19">
        <f>IF(AND($V7148='設定'!$C$4,COUNTIF('商品マスタ'!$B$6:$B$1005,$W7148)=0),N(U7147)+1,N(U7147))</f>
        <v/>
      </c>
      <c r="V7148" s="19">
        <f>IF($B7148="","",TEXT($B7148,"0000"))</f>
        <v/>
      </c>
      <c r="W7148" s="19">
        <f>IF($I7148="","",IF(ISNUMBER($I7148),TEXT($I7148,"0"),$I7148))</f>
        <v/>
      </c>
    </row>
    <row r="7149">
      <c r="B7149" s="25" t="n"/>
      <c r="I7149" s="25" t="n"/>
      <c r="U7149" s="19">
        <f>IF(AND($V7149='設定'!$C$4,COUNTIF('商品マスタ'!$B$6:$B$1005,$W7149)=0),N(U7148)+1,N(U7148))</f>
        <v/>
      </c>
      <c r="V7149" s="19">
        <f>IF($B7149="","",TEXT($B7149,"0000"))</f>
        <v/>
      </c>
      <c r="W7149" s="19">
        <f>IF($I7149="","",IF(ISNUMBER($I7149),TEXT($I7149,"0"),$I7149))</f>
        <v/>
      </c>
    </row>
    <row r="7150">
      <c r="B7150" s="25" t="n"/>
      <c r="I7150" s="25" t="n"/>
      <c r="U7150" s="19">
        <f>IF(AND($V7150='設定'!$C$4,COUNTIF('商品マスタ'!$B$6:$B$1005,$W7150)=0),N(U7149)+1,N(U7149))</f>
        <v/>
      </c>
      <c r="V7150" s="19">
        <f>IF($B7150="","",TEXT($B7150,"0000"))</f>
        <v/>
      </c>
      <c r="W7150" s="19">
        <f>IF($I7150="","",IF(ISNUMBER($I7150),TEXT($I7150,"0"),$I7150))</f>
        <v/>
      </c>
    </row>
    <row r="7151">
      <c r="B7151" s="25" t="n"/>
      <c r="I7151" s="25" t="n"/>
      <c r="U7151" s="19">
        <f>IF(AND($V7151='設定'!$C$4,COUNTIF('商品マスタ'!$B$6:$B$1005,$W7151)=0),N(U7150)+1,N(U7150))</f>
        <v/>
      </c>
      <c r="V7151" s="19">
        <f>IF($B7151="","",TEXT($B7151,"0000"))</f>
        <v/>
      </c>
      <c r="W7151" s="19">
        <f>IF($I7151="","",IF(ISNUMBER($I7151),TEXT($I7151,"0"),$I7151))</f>
        <v/>
      </c>
    </row>
    <row r="7152">
      <c r="B7152" s="25" t="n"/>
      <c r="I7152" s="25" t="n"/>
      <c r="U7152" s="19">
        <f>IF(AND($V7152='設定'!$C$4,COUNTIF('商品マスタ'!$B$6:$B$1005,$W7152)=0),N(U7151)+1,N(U7151))</f>
        <v/>
      </c>
      <c r="V7152" s="19">
        <f>IF($B7152="","",TEXT($B7152,"0000"))</f>
        <v/>
      </c>
      <c r="W7152" s="19">
        <f>IF($I7152="","",IF(ISNUMBER($I7152),TEXT($I7152,"0"),$I7152))</f>
        <v/>
      </c>
    </row>
    <row r="7153">
      <c r="B7153" s="25" t="n"/>
      <c r="I7153" s="25" t="n"/>
      <c r="U7153" s="19">
        <f>IF(AND($V7153='設定'!$C$4,COUNTIF('商品マスタ'!$B$6:$B$1005,$W7153)=0),N(U7152)+1,N(U7152))</f>
        <v/>
      </c>
      <c r="V7153" s="19">
        <f>IF($B7153="","",TEXT($B7153,"0000"))</f>
        <v/>
      </c>
      <c r="W7153" s="19">
        <f>IF($I7153="","",IF(ISNUMBER($I7153),TEXT($I7153,"0"),$I7153))</f>
        <v/>
      </c>
    </row>
    <row r="7154">
      <c r="B7154" s="25" t="n"/>
      <c r="I7154" s="25" t="n"/>
      <c r="U7154" s="19">
        <f>IF(AND($V7154='設定'!$C$4,COUNTIF('商品マスタ'!$B$6:$B$1005,$W7154)=0),N(U7153)+1,N(U7153))</f>
        <v/>
      </c>
      <c r="V7154" s="19">
        <f>IF($B7154="","",TEXT($B7154,"0000"))</f>
        <v/>
      </c>
      <c r="W7154" s="19">
        <f>IF($I7154="","",IF(ISNUMBER($I7154),TEXT($I7154,"0"),$I7154))</f>
        <v/>
      </c>
    </row>
    <row r="7155">
      <c r="B7155" s="25" t="n"/>
      <c r="I7155" s="25" t="n"/>
      <c r="U7155" s="19">
        <f>IF(AND($V7155='設定'!$C$4,COUNTIF('商品マスタ'!$B$6:$B$1005,$W7155)=0),N(U7154)+1,N(U7154))</f>
        <v/>
      </c>
      <c r="V7155" s="19">
        <f>IF($B7155="","",TEXT($B7155,"0000"))</f>
        <v/>
      </c>
      <c r="W7155" s="19">
        <f>IF($I7155="","",IF(ISNUMBER($I7155),TEXT($I7155,"0"),$I7155))</f>
        <v/>
      </c>
    </row>
    <row r="7156">
      <c r="B7156" s="25" t="n"/>
      <c r="I7156" s="25" t="n"/>
      <c r="U7156" s="19">
        <f>IF(AND($V7156='設定'!$C$4,COUNTIF('商品マスタ'!$B$6:$B$1005,$W7156)=0),N(U7155)+1,N(U7155))</f>
        <v/>
      </c>
      <c r="V7156" s="19">
        <f>IF($B7156="","",TEXT($B7156,"0000"))</f>
        <v/>
      </c>
      <c r="W7156" s="19">
        <f>IF($I7156="","",IF(ISNUMBER($I7156),TEXT($I7156,"0"),$I7156))</f>
        <v/>
      </c>
    </row>
    <row r="7157">
      <c r="B7157" s="25" t="n"/>
      <c r="I7157" s="25" t="n"/>
      <c r="U7157" s="19">
        <f>IF(AND($V7157='設定'!$C$4,COUNTIF('商品マスタ'!$B$6:$B$1005,$W7157)=0),N(U7156)+1,N(U7156))</f>
        <v/>
      </c>
      <c r="V7157" s="19">
        <f>IF($B7157="","",TEXT($B7157,"0000"))</f>
        <v/>
      </c>
      <c r="W7157" s="19">
        <f>IF($I7157="","",IF(ISNUMBER($I7157),TEXT($I7157,"0"),$I7157))</f>
        <v/>
      </c>
    </row>
    <row r="7158">
      <c r="B7158" s="25" t="n"/>
      <c r="I7158" s="25" t="n"/>
      <c r="U7158" s="19">
        <f>IF(AND($V7158='設定'!$C$4,COUNTIF('商品マスタ'!$B$6:$B$1005,$W7158)=0),N(U7157)+1,N(U7157))</f>
        <v/>
      </c>
      <c r="V7158" s="19">
        <f>IF($B7158="","",TEXT($B7158,"0000"))</f>
        <v/>
      </c>
      <c r="W7158" s="19">
        <f>IF($I7158="","",IF(ISNUMBER($I7158),TEXT($I7158,"0"),$I7158))</f>
        <v/>
      </c>
    </row>
    <row r="7159">
      <c r="B7159" s="25" t="n"/>
      <c r="I7159" s="25" t="n"/>
      <c r="U7159" s="19">
        <f>IF(AND($V7159='設定'!$C$4,COUNTIF('商品マスタ'!$B$6:$B$1005,$W7159)=0),N(U7158)+1,N(U7158))</f>
        <v/>
      </c>
      <c r="V7159" s="19">
        <f>IF($B7159="","",TEXT($B7159,"0000"))</f>
        <v/>
      </c>
      <c r="W7159" s="19">
        <f>IF($I7159="","",IF(ISNUMBER($I7159),TEXT($I7159,"0"),$I7159))</f>
        <v/>
      </c>
    </row>
    <row r="7160">
      <c r="B7160" s="25" t="n"/>
      <c r="I7160" s="25" t="n"/>
      <c r="U7160" s="19">
        <f>IF(AND($V7160='設定'!$C$4,COUNTIF('商品マスタ'!$B$6:$B$1005,$W7160)=0),N(U7159)+1,N(U7159))</f>
        <v/>
      </c>
      <c r="V7160" s="19">
        <f>IF($B7160="","",TEXT($B7160,"0000"))</f>
        <v/>
      </c>
      <c r="W7160" s="19">
        <f>IF($I7160="","",IF(ISNUMBER($I7160),TEXT($I7160,"0"),$I7160))</f>
        <v/>
      </c>
    </row>
    <row r="7161">
      <c r="B7161" s="25" t="n"/>
      <c r="I7161" s="25" t="n"/>
      <c r="U7161" s="19">
        <f>IF(AND($V7161='設定'!$C$4,COUNTIF('商品マスタ'!$B$6:$B$1005,$W7161)=0),N(U7160)+1,N(U7160))</f>
        <v/>
      </c>
      <c r="V7161" s="19">
        <f>IF($B7161="","",TEXT($B7161,"0000"))</f>
        <v/>
      </c>
      <c r="W7161" s="19">
        <f>IF($I7161="","",IF(ISNUMBER($I7161),TEXT($I7161,"0"),$I7161))</f>
        <v/>
      </c>
    </row>
    <row r="7162">
      <c r="B7162" s="25" t="n"/>
      <c r="I7162" s="25" t="n"/>
      <c r="U7162" s="19">
        <f>IF(AND($V7162='設定'!$C$4,COUNTIF('商品マスタ'!$B$6:$B$1005,$W7162)=0),N(U7161)+1,N(U7161))</f>
        <v/>
      </c>
      <c r="V7162" s="19">
        <f>IF($B7162="","",TEXT($B7162,"0000"))</f>
        <v/>
      </c>
      <c r="W7162" s="19">
        <f>IF($I7162="","",IF(ISNUMBER($I7162),TEXT($I7162,"0"),$I7162))</f>
        <v/>
      </c>
    </row>
    <row r="7163">
      <c r="B7163" s="25" t="n"/>
      <c r="I7163" s="25" t="n"/>
      <c r="U7163" s="19">
        <f>IF(AND($V7163='設定'!$C$4,COUNTIF('商品マスタ'!$B$6:$B$1005,$W7163)=0),N(U7162)+1,N(U7162))</f>
        <v/>
      </c>
      <c r="V7163" s="19">
        <f>IF($B7163="","",TEXT($B7163,"0000"))</f>
        <v/>
      </c>
      <c r="W7163" s="19">
        <f>IF($I7163="","",IF(ISNUMBER($I7163),TEXT($I7163,"0"),$I7163))</f>
        <v/>
      </c>
    </row>
    <row r="7164">
      <c r="B7164" s="25" t="n"/>
      <c r="I7164" s="25" t="n"/>
      <c r="U7164" s="19">
        <f>IF(AND($V7164='設定'!$C$4,COUNTIF('商品マスタ'!$B$6:$B$1005,$W7164)=0),N(U7163)+1,N(U7163))</f>
        <v/>
      </c>
      <c r="V7164" s="19">
        <f>IF($B7164="","",TEXT($B7164,"0000"))</f>
        <v/>
      </c>
      <c r="W7164" s="19">
        <f>IF($I7164="","",IF(ISNUMBER($I7164),TEXT($I7164,"0"),$I7164))</f>
        <v/>
      </c>
    </row>
    <row r="7165">
      <c r="B7165" s="25" t="n"/>
      <c r="I7165" s="25" t="n"/>
      <c r="U7165" s="19">
        <f>IF(AND($V7165='設定'!$C$4,COUNTIF('商品マスタ'!$B$6:$B$1005,$W7165)=0),N(U7164)+1,N(U7164))</f>
        <v/>
      </c>
      <c r="V7165" s="19">
        <f>IF($B7165="","",TEXT($B7165,"0000"))</f>
        <v/>
      </c>
      <c r="W7165" s="19">
        <f>IF($I7165="","",IF(ISNUMBER($I7165),TEXT($I7165,"0"),$I7165))</f>
        <v/>
      </c>
    </row>
    <row r="7166">
      <c r="B7166" s="25" t="n"/>
      <c r="I7166" s="25" t="n"/>
      <c r="U7166" s="19">
        <f>IF(AND($V7166='設定'!$C$4,COUNTIF('商品マスタ'!$B$6:$B$1005,$W7166)=0),N(U7165)+1,N(U7165))</f>
        <v/>
      </c>
      <c r="V7166" s="19">
        <f>IF($B7166="","",TEXT($B7166,"0000"))</f>
        <v/>
      </c>
      <c r="W7166" s="19">
        <f>IF($I7166="","",IF(ISNUMBER($I7166),TEXT($I7166,"0"),$I7166))</f>
        <v/>
      </c>
    </row>
    <row r="7167">
      <c r="B7167" s="25" t="n"/>
      <c r="I7167" s="25" t="n"/>
      <c r="U7167" s="19">
        <f>IF(AND($V7167='設定'!$C$4,COUNTIF('商品マスタ'!$B$6:$B$1005,$W7167)=0),N(U7166)+1,N(U7166))</f>
        <v/>
      </c>
      <c r="V7167" s="19">
        <f>IF($B7167="","",TEXT($B7167,"0000"))</f>
        <v/>
      </c>
      <c r="W7167" s="19">
        <f>IF($I7167="","",IF(ISNUMBER($I7167),TEXT($I7167,"0"),$I7167))</f>
        <v/>
      </c>
    </row>
    <row r="7168">
      <c r="B7168" s="25" t="n"/>
      <c r="I7168" s="25" t="n"/>
      <c r="U7168" s="19">
        <f>IF(AND($V7168='設定'!$C$4,COUNTIF('商品マスタ'!$B$6:$B$1005,$W7168)=0),N(U7167)+1,N(U7167))</f>
        <v/>
      </c>
      <c r="V7168" s="19">
        <f>IF($B7168="","",TEXT($B7168,"0000"))</f>
        <v/>
      </c>
      <c r="W7168" s="19">
        <f>IF($I7168="","",IF(ISNUMBER($I7168),TEXT($I7168,"0"),$I7168))</f>
        <v/>
      </c>
    </row>
    <row r="7169">
      <c r="B7169" s="25" t="n"/>
      <c r="I7169" s="25" t="n"/>
      <c r="U7169" s="19">
        <f>IF(AND($V7169='設定'!$C$4,COUNTIF('商品マスタ'!$B$6:$B$1005,$W7169)=0),N(U7168)+1,N(U7168))</f>
        <v/>
      </c>
      <c r="V7169" s="19">
        <f>IF($B7169="","",TEXT($B7169,"0000"))</f>
        <v/>
      </c>
      <c r="W7169" s="19">
        <f>IF($I7169="","",IF(ISNUMBER($I7169),TEXT($I7169,"0"),$I7169))</f>
        <v/>
      </c>
    </row>
    <row r="7170">
      <c r="B7170" s="25" t="n"/>
      <c r="I7170" s="25" t="n"/>
      <c r="U7170" s="19">
        <f>IF(AND($V7170='設定'!$C$4,COUNTIF('商品マスタ'!$B$6:$B$1005,$W7170)=0),N(U7169)+1,N(U7169))</f>
        <v/>
      </c>
      <c r="V7170" s="19">
        <f>IF($B7170="","",TEXT($B7170,"0000"))</f>
        <v/>
      </c>
      <c r="W7170" s="19">
        <f>IF($I7170="","",IF(ISNUMBER($I7170),TEXT($I7170,"0"),$I7170))</f>
        <v/>
      </c>
    </row>
    <row r="7171">
      <c r="B7171" s="25" t="n"/>
      <c r="I7171" s="25" t="n"/>
      <c r="U7171" s="19">
        <f>IF(AND($V7171='設定'!$C$4,COUNTIF('商品マスタ'!$B$6:$B$1005,$W7171)=0),N(U7170)+1,N(U7170))</f>
        <v/>
      </c>
      <c r="V7171" s="19">
        <f>IF($B7171="","",TEXT($B7171,"0000"))</f>
        <v/>
      </c>
      <c r="W7171" s="19">
        <f>IF($I7171="","",IF(ISNUMBER($I7171),TEXT($I7171,"0"),$I7171))</f>
        <v/>
      </c>
    </row>
    <row r="7172">
      <c r="B7172" s="25" t="n"/>
      <c r="I7172" s="25" t="n"/>
      <c r="U7172" s="19">
        <f>IF(AND($V7172='設定'!$C$4,COUNTIF('商品マスタ'!$B$6:$B$1005,$W7172)=0),N(U7171)+1,N(U7171))</f>
        <v/>
      </c>
      <c r="V7172" s="19">
        <f>IF($B7172="","",TEXT($B7172,"0000"))</f>
        <v/>
      </c>
      <c r="W7172" s="19">
        <f>IF($I7172="","",IF(ISNUMBER($I7172),TEXT($I7172,"0"),$I7172))</f>
        <v/>
      </c>
    </row>
    <row r="7173">
      <c r="B7173" s="25" t="n"/>
      <c r="I7173" s="25" t="n"/>
      <c r="U7173" s="19">
        <f>IF(AND($V7173='設定'!$C$4,COUNTIF('商品マスタ'!$B$6:$B$1005,$W7173)=0),N(U7172)+1,N(U7172))</f>
        <v/>
      </c>
      <c r="V7173" s="19">
        <f>IF($B7173="","",TEXT($B7173,"0000"))</f>
        <v/>
      </c>
      <c r="W7173" s="19">
        <f>IF($I7173="","",IF(ISNUMBER($I7173),TEXT($I7173,"0"),$I7173))</f>
        <v/>
      </c>
    </row>
    <row r="7174">
      <c r="B7174" s="25" t="n"/>
      <c r="I7174" s="25" t="n"/>
      <c r="U7174" s="19">
        <f>IF(AND($V7174='設定'!$C$4,COUNTIF('商品マスタ'!$B$6:$B$1005,$W7174)=0),N(U7173)+1,N(U7173))</f>
        <v/>
      </c>
      <c r="V7174" s="19">
        <f>IF($B7174="","",TEXT($B7174,"0000"))</f>
        <v/>
      </c>
      <c r="W7174" s="19">
        <f>IF($I7174="","",IF(ISNUMBER($I7174),TEXT($I7174,"0"),$I7174))</f>
        <v/>
      </c>
    </row>
    <row r="7175">
      <c r="B7175" s="25" t="n"/>
      <c r="I7175" s="25" t="n"/>
      <c r="U7175" s="19">
        <f>IF(AND($V7175='設定'!$C$4,COUNTIF('商品マスタ'!$B$6:$B$1005,$W7175)=0),N(U7174)+1,N(U7174))</f>
        <v/>
      </c>
      <c r="V7175" s="19">
        <f>IF($B7175="","",TEXT($B7175,"0000"))</f>
        <v/>
      </c>
      <c r="W7175" s="19">
        <f>IF($I7175="","",IF(ISNUMBER($I7175),TEXT($I7175,"0"),$I7175))</f>
        <v/>
      </c>
    </row>
    <row r="7176">
      <c r="B7176" s="25" t="n"/>
      <c r="I7176" s="25" t="n"/>
      <c r="U7176" s="19">
        <f>IF(AND($V7176='設定'!$C$4,COUNTIF('商品マスタ'!$B$6:$B$1005,$W7176)=0),N(U7175)+1,N(U7175))</f>
        <v/>
      </c>
      <c r="V7176" s="19">
        <f>IF($B7176="","",TEXT($B7176,"0000"))</f>
        <v/>
      </c>
      <c r="W7176" s="19">
        <f>IF($I7176="","",IF(ISNUMBER($I7176),TEXT($I7176,"0"),$I7176))</f>
        <v/>
      </c>
    </row>
    <row r="7177">
      <c r="B7177" s="25" t="n"/>
      <c r="I7177" s="25" t="n"/>
      <c r="U7177" s="19">
        <f>IF(AND($V7177='設定'!$C$4,COUNTIF('商品マスタ'!$B$6:$B$1005,$W7177)=0),N(U7176)+1,N(U7176))</f>
        <v/>
      </c>
      <c r="V7177" s="19">
        <f>IF($B7177="","",TEXT($B7177,"0000"))</f>
        <v/>
      </c>
      <c r="W7177" s="19">
        <f>IF($I7177="","",IF(ISNUMBER($I7177),TEXT($I7177,"0"),$I7177))</f>
        <v/>
      </c>
    </row>
    <row r="7178">
      <c r="B7178" s="25" t="n"/>
      <c r="I7178" s="25" t="n"/>
      <c r="U7178" s="19">
        <f>IF(AND($V7178='設定'!$C$4,COUNTIF('商品マスタ'!$B$6:$B$1005,$W7178)=0),N(U7177)+1,N(U7177))</f>
        <v/>
      </c>
      <c r="V7178" s="19">
        <f>IF($B7178="","",TEXT($B7178,"0000"))</f>
        <v/>
      </c>
      <c r="W7178" s="19">
        <f>IF($I7178="","",IF(ISNUMBER($I7178),TEXT($I7178,"0"),$I7178))</f>
        <v/>
      </c>
    </row>
    <row r="7179">
      <c r="B7179" s="25" t="n"/>
      <c r="I7179" s="25" t="n"/>
      <c r="U7179" s="19">
        <f>IF(AND($V7179='設定'!$C$4,COUNTIF('商品マスタ'!$B$6:$B$1005,$W7179)=0),N(U7178)+1,N(U7178))</f>
        <v/>
      </c>
      <c r="V7179" s="19">
        <f>IF($B7179="","",TEXT($B7179,"0000"))</f>
        <v/>
      </c>
      <c r="W7179" s="19">
        <f>IF($I7179="","",IF(ISNUMBER($I7179),TEXT($I7179,"0"),$I7179))</f>
        <v/>
      </c>
    </row>
    <row r="7180">
      <c r="B7180" s="25" t="n"/>
      <c r="I7180" s="25" t="n"/>
      <c r="U7180" s="19">
        <f>IF(AND($V7180='設定'!$C$4,COUNTIF('商品マスタ'!$B$6:$B$1005,$W7180)=0),N(U7179)+1,N(U7179))</f>
        <v/>
      </c>
      <c r="V7180" s="19">
        <f>IF($B7180="","",TEXT($B7180,"0000"))</f>
        <v/>
      </c>
      <c r="W7180" s="19">
        <f>IF($I7180="","",IF(ISNUMBER($I7180),TEXT($I7180,"0"),$I7180))</f>
        <v/>
      </c>
    </row>
    <row r="7181">
      <c r="B7181" s="25" t="n"/>
      <c r="I7181" s="25" t="n"/>
      <c r="U7181" s="19">
        <f>IF(AND($V7181='設定'!$C$4,COUNTIF('商品マスタ'!$B$6:$B$1005,$W7181)=0),N(U7180)+1,N(U7180))</f>
        <v/>
      </c>
      <c r="V7181" s="19">
        <f>IF($B7181="","",TEXT($B7181,"0000"))</f>
        <v/>
      </c>
      <c r="W7181" s="19">
        <f>IF($I7181="","",IF(ISNUMBER($I7181),TEXT($I7181,"0"),$I7181))</f>
        <v/>
      </c>
    </row>
    <row r="7182">
      <c r="B7182" s="25" t="n"/>
      <c r="I7182" s="25" t="n"/>
      <c r="U7182" s="19">
        <f>IF(AND($V7182='設定'!$C$4,COUNTIF('商品マスタ'!$B$6:$B$1005,$W7182)=0),N(U7181)+1,N(U7181))</f>
        <v/>
      </c>
      <c r="V7182" s="19">
        <f>IF($B7182="","",TEXT($B7182,"0000"))</f>
        <v/>
      </c>
      <c r="W7182" s="19">
        <f>IF($I7182="","",IF(ISNUMBER($I7182),TEXT($I7182,"0"),$I7182))</f>
        <v/>
      </c>
    </row>
    <row r="7183">
      <c r="B7183" s="25" t="n"/>
      <c r="I7183" s="25" t="n"/>
      <c r="U7183" s="19">
        <f>IF(AND($V7183='設定'!$C$4,COUNTIF('商品マスタ'!$B$6:$B$1005,$W7183)=0),N(U7182)+1,N(U7182))</f>
        <v/>
      </c>
      <c r="V7183" s="19">
        <f>IF($B7183="","",TEXT($B7183,"0000"))</f>
        <v/>
      </c>
      <c r="W7183" s="19">
        <f>IF($I7183="","",IF(ISNUMBER($I7183),TEXT($I7183,"0"),$I7183))</f>
        <v/>
      </c>
    </row>
    <row r="7184">
      <c r="B7184" s="25" t="n"/>
      <c r="I7184" s="25" t="n"/>
      <c r="U7184" s="19">
        <f>IF(AND($V7184='設定'!$C$4,COUNTIF('商品マスタ'!$B$6:$B$1005,$W7184)=0),N(U7183)+1,N(U7183))</f>
        <v/>
      </c>
      <c r="V7184" s="19">
        <f>IF($B7184="","",TEXT($B7184,"0000"))</f>
        <v/>
      </c>
      <c r="W7184" s="19">
        <f>IF($I7184="","",IF(ISNUMBER($I7184),TEXT($I7184,"0"),$I7184))</f>
        <v/>
      </c>
    </row>
    <row r="7185">
      <c r="B7185" s="25" t="n"/>
      <c r="I7185" s="25" t="n"/>
      <c r="U7185" s="19">
        <f>IF(AND($V7185='設定'!$C$4,COUNTIF('商品マスタ'!$B$6:$B$1005,$W7185)=0),N(U7184)+1,N(U7184))</f>
        <v/>
      </c>
      <c r="V7185" s="19">
        <f>IF($B7185="","",TEXT($B7185,"0000"))</f>
        <v/>
      </c>
      <c r="W7185" s="19">
        <f>IF($I7185="","",IF(ISNUMBER($I7185),TEXT($I7185,"0"),$I7185))</f>
        <v/>
      </c>
    </row>
    <row r="7186">
      <c r="B7186" s="25" t="n"/>
      <c r="I7186" s="25" t="n"/>
      <c r="U7186" s="19">
        <f>IF(AND($V7186='設定'!$C$4,COUNTIF('商品マスタ'!$B$6:$B$1005,$W7186)=0),N(U7185)+1,N(U7185))</f>
        <v/>
      </c>
      <c r="V7186" s="19">
        <f>IF($B7186="","",TEXT($B7186,"0000"))</f>
        <v/>
      </c>
      <c r="W7186" s="19">
        <f>IF($I7186="","",IF(ISNUMBER($I7186),TEXT($I7186,"0"),$I7186))</f>
        <v/>
      </c>
    </row>
    <row r="7187">
      <c r="B7187" s="25" t="n"/>
      <c r="I7187" s="25" t="n"/>
      <c r="U7187" s="19">
        <f>IF(AND($V7187='設定'!$C$4,COUNTIF('商品マスタ'!$B$6:$B$1005,$W7187)=0),N(U7186)+1,N(U7186))</f>
        <v/>
      </c>
      <c r="V7187" s="19">
        <f>IF($B7187="","",TEXT($B7187,"0000"))</f>
        <v/>
      </c>
      <c r="W7187" s="19">
        <f>IF($I7187="","",IF(ISNUMBER($I7187),TEXT($I7187,"0"),$I7187))</f>
        <v/>
      </c>
    </row>
    <row r="7188">
      <c r="B7188" s="25" t="n"/>
      <c r="I7188" s="25" t="n"/>
      <c r="U7188" s="19">
        <f>IF(AND($V7188='設定'!$C$4,COUNTIF('商品マスタ'!$B$6:$B$1005,$W7188)=0),N(U7187)+1,N(U7187))</f>
        <v/>
      </c>
      <c r="V7188" s="19">
        <f>IF($B7188="","",TEXT($B7188,"0000"))</f>
        <v/>
      </c>
      <c r="W7188" s="19">
        <f>IF($I7188="","",IF(ISNUMBER($I7188),TEXT($I7188,"0"),$I7188))</f>
        <v/>
      </c>
    </row>
    <row r="7189">
      <c r="B7189" s="25" t="n"/>
      <c r="I7189" s="25" t="n"/>
      <c r="U7189" s="19">
        <f>IF(AND($V7189='設定'!$C$4,COUNTIF('商品マスタ'!$B$6:$B$1005,$W7189)=0),N(U7188)+1,N(U7188))</f>
        <v/>
      </c>
      <c r="V7189" s="19">
        <f>IF($B7189="","",TEXT($B7189,"0000"))</f>
        <v/>
      </c>
      <c r="W7189" s="19">
        <f>IF($I7189="","",IF(ISNUMBER($I7189),TEXT($I7189,"0"),$I7189))</f>
        <v/>
      </c>
    </row>
    <row r="7190">
      <c r="B7190" s="25" t="n"/>
      <c r="I7190" s="25" t="n"/>
      <c r="U7190" s="19">
        <f>IF(AND($V7190='設定'!$C$4,COUNTIF('商品マスタ'!$B$6:$B$1005,$W7190)=0),N(U7189)+1,N(U7189))</f>
        <v/>
      </c>
      <c r="V7190" s="19">
        <f>IF($B7190="","",TEXT($B7190,"0000"))</f>
        <v/>
      </c>
      <c r="W7190" s="19">
        <f>IF($I7190="","",IF(ISNUMBER($I7190),TEXT($I7190,"0"),$I7190))</f>
        <v/>
      </c>
    </row>
    <row r="7191">
      <c r="B7191" s="25" t="n"/>
      <c r="I7191" s="25" t="n"/>
      <c r="U7191" s="19">
        <f>IF(AND($V7191='設定'!$C$4,COUNTIF('商品マスタ'!$B$6:$B$1005,$W7191)=0),N(U7190)+1,N(U7190))</f>
        <v/>
      </c>
      <c r="V7191" s="19">
        <f>IF($B7191="","",TEXT($B7191,"0000"))</f>
        <v/>
      </c>
      <c r="W7191" s="19">
        <f>IF($I7191="","",IF(ISNUMBER($I7191),TEXT($I7191,"0"),$I7191))</f>
        <v/>
      </c>
    </row>
    <row r="7192">
      <c r="B7192" s="25" t="n"/>
      <c r="I7192" s="25" t="n"/>
      <c r="U7192" s="19">
        <f>IF(AND($V7192='設定'!$C$4,COUNTIF('商品マスタ'!$B$6:$B$1005,$W7192)=0),N(U7191)+1,N(U7191))</f>
        <v/>
      </c>
      <c r="V7192" s="19">
        <f>IF($B7192="","",TEXT($B7192,"0000"))</f>
        <v/>
      </c>
      <c r="W7192" s="19">
        <f>IF($I7192="","",IF(ISNUMBER($I7192),TEXT($I7192,"0"),$I7192))</f>
        <v/>
      </c>
    </row>
    <row r="7193">
      <c r="B7193" s="25" t="n"/>
      <c r="I7193" s="25" t="n"/>
      <c r="U7193" s="19">
        <f>IF(AND($V7193='設定'!$C$4,COUNTIF('商品マスタ'!$B$6:$B$1005,$W7193)=0),N(U7192)+1,N(U7192))</f>
        <v/>
      </c>
      <c r="V7193" s="19">
        <f>IF($B7193="","",TEXT($B7193,"0000"))</f>
        <v/>
      </c>
      <c r="W7193" s="19">
        <f>IF($I7193="","",IF(ISNUMBER($I7193),TEXT($I7193,"0"),$I7193))</f>
        <v/>
      </c>
    </row>
    <row r="7194">
      <c r="B7194" s="25" t="n"/>
      <c r="I7194" s="25" t="n"/>
      <c r="U7194" s="19">
        <f>IF(AND($V7194='設定'!$C$4,COUNTIF('商品マスタ'!$B$6:$B$1005,$W7194)=0),N(U7193)+1,N(U7193))</f>
        <v/>
      </c>
      <c r="V7194" s="19">
        <f>IF($B7194="","",TEXT($B7194,"0000"))</f>
        <v/>
      </c>
      <c r="W7194" s="19">
        <f>IF($I7194="","",IF(ISNUMBER($I7194),TEXT($I7194,"0"),$I7194))</f>
        <v/>
      </c>
    </row>
    <row r="7195">
      <c r="B7195" s="25" t="n"/>
      <c r="I7195" s="25" t="n"/>
      <c r="U7195" s="19">
        <f>IF(AND($V7195='設定'!$C$4,COUNTIF('商品マスタ'!$B$6:$B$1005,$W7195)=0),N(U7194)+1,N(U7194))</f>
        <v/>
      </c>
      <c r="V7195" s="19">
        <f>IF($B7195="","",TEXT($B7195,"0000"))</f>
        <v/>
      </c>
      <c r="W7195" s="19">
        <f>IF($I7195="","",IF(ISNUMBER($I7195),TEXT($I7195,"0"),$I7195))</f>
        <v/>
      </c>
    </row>
    <row r="7196">
      <c r="B7196" s="25" t="n"/>
      <c r="I7196" s="25" t="n"/>
      <c r="U7196" s="19">
        <f>IF(AND($V7196='設定'!$C$4,COUNTIF('商品マスタ'!$B$6:$B$1005,$W7196)=0),N(U7195)+1,N(U7195))</f>
        <v/>
      </c>
      <c r="V7196" s="19">
        <f>IF($B7196="","",TEXT($B7196,"0000"))</f>
        <v/>
      </c>
      <c r="W7196" s="19">
        <f>IF($I7196="","",IF(ISNUMBER($I7196),TEXT($I7196,"0"),$I7196))</f>
        <v/>
      </c>
    </row>
    <row r="7197">
      <c r="B7197" s="25" t="n"/>
      <c r="I7197" s="25" t="n"/>
      <c r="U7197" s="19">
        <f>IF(AND($V7197='設定'!$C$4,COUNTIF('商品マスタ'!$B$6:$B$1005,$W7197)=0),N(U7196)+1,N(U7196))</f>
        <v/>
      </c>
      <c r="V7197" s="19">
        <f>IF($B7197="","",TEXT($B7197,"0000"))</f>
        <v/>
      </c>
      <c r="W7197" s="19">
        <f>IF($I7197="","",IF(ISNUMBER($I7197),TEXT($I7197,"0"),$I7197))</f>
        <v/>
      </c>
    </row>
    <row r="7198">
      <c r="B7198" s="25" t="n"/>
      <c r="I7198" s="25" t="n"/>
      <c r="U7198" s="19">
        <f>IF(AND($V7198='設定'!$C$4,COUNTIF('商品マスタ'!$B$6:$B$1005,$W7198)=0),N(U7197)+1,N(U7197))</f>
        <v/>
      </c>
      <c r="V7198" s="19">
        <f>IF($B7198="","",TEXT($B7198,"0000"))</f>
        <v/>
      </c>
      <c r="W7198" s="19">
        <f>IF($I7198="","",IF(ISNUMBER($I7198),TEXT($I7198,"0"),$I7198))</f>
        <v/>
      </c>
    </row>
    <row r="7199">
      <c r="B7199" s="25" t="n"/>
      <c r="I7199" s="25" t="n"/>
      <c r="U7199" s="19">
        <f>IF(AND($V7199='設定'!$C$4,COUNTIF('商品マスタ'!$B$6:$B$1005,$W7199)=0),N(U7198)+1,N(U7198))</f>
        <v/>
      </c>
      <c r="V7199" s="19">
        <f>IF($B7199="","",TEXT($B7199,"0000"))</f>
        <v/>
      </c>
      <c r="W7199" s="19">
        <f>IF($I7199="","",IF(ISNUMBER($I7199),TEXT($I7199,"0"),$I7199))</f>
        <v/>
      </c>
    </row>
    <row r="7200">
      <c r="B7200" s="25" t="n"/>
      <c r="I7200" s="25" t="n"/>
      <c r="U7200" s="19">
        <f>IF(AND($V7200='設定'!$C$4,COUNTIF('商品マスタ'!$B$6:$B$1005,$W7200)=0),N(U7199)+1,N(U7199))</f>
        <v/>
      </c>
      <c r="V7200" s="19">
        <f>IF($B7200="","",TEXT($B7200,"0000"))</f>
        <v/>
      </c>
      <c r="W7200" s="19">
        <f>IF($I7200="","",IF(ISNUMBER($I7200),TEXT($I7200,"0"),$I7200))</f>
        <v/>
      </c>
    </row>
    <row r="7201">
      <c r="B7201" s="25" t="n"/>
      <c r="I7201" s="25" t="n"/>
      <c r="U7201" s="19">
        <f>IF(AND($V7201='設定'!$C$4,COUNTIF('商品マスタ'!$B$6:$B$1005,$W7201)=0),N(U7200)+1,N(U7200))</f>
        <v/>
      </c>
      <c r="V7201" s="19">
        <f>IF($B7201="","",TEXT($B7201,"0000"))</f>
        <v/>
      </c>
      <c r="W7201" s="19">
        <f>IF($I7201="","",IF(ISNUMBER($I7201),TEXT($I7201,"0"),$I7201))</f>
        <v/>
      </c>
    </row>
    <row r="7202">
      <c r="B7202" s="25" t="n"/>
      <c r="I7202" s="25" t="n"/>
      <c r="U7202" s="19">
        <f>IF(AND($V7202='設定'!$C$4,COUNTIF('商品マスタ'!$B$6:$B$1005,$W7202)=0),N(U7201)+1,N(U7201))</f>
        <v/>
      </c>
      <c r="V7202" s="19">
        <f>IF($B7202="","",TEXT($B7202,"0000"))</f>
        <v/>
      </c>
      <c r="W7202" s="19">
        <f>IF($I7202="","",IF(ISNUMBER($I7202),TEXT($I7202,"0"),$I7202))</f>
        <v/>
      </c>
    </row>
    <row r="7203">
      <c r="B7203" s="25" t="n"/>
      <c r="I7203" s="25" t="n"/>
      <c r="U7203" s="19">
        <f>IF(AND($V7203='設定'!$C$4,COUNTIF('商品マスタ'!$B$6:$B$1005,$W7203)=0),N(U7202)+1,N(U7202))</f>
        <v/>
      </c>
      <c r="V7203" s="19">
        <f>IF($B7203="","",TEXT($B7203,"0000"))</f>
        <v/>
      </c>
      <c r="W7203" s="19">
        <f>IF($I7203="","",IF(ISNUMBER($I7203),TEXT($I7203,"0"),$I7203))</f>
        <v/>
      </c>
    </row>
    <row r="7204">
      <c r="B7204" s="25" t="n"/>
      <c r="I7204" s="25" t="n"/>
      <c r="U7204" s="19">
        <f>IF(AND($V7204='設定'!$C$4,COUNTIF('商品マスタ'!$B$6:$B$1005,$W7204)=0),N(U7203)+1,N(U7203))</f>
        <v/>
      </c>
      <c r="V7204" s="19">
        <f>IF($B7204="","",TEXT($B7204,"0000"))</f>
        <v/>
      </c>
      <c r="W7204" s="19">
        <f>IF($I7204="","",IF(ISNUMBER($I7204),TEXT($I7204,"0"),$I7204))</f>
        <v/>
      </c>
    </row>
    <row r="7205">
      <c r="B7205" s="25" t="n"/>
      <c r="I7205" s="25" t="n"/>
      <c r="U7205" s="19">
        <f>IF(AND($V7205='設定'!$C$4,COUNTIF('商品マスタ'!$B$6:$B$1005,$W7205)=0),N(U7204)+1,N(U7204))</f>
        <v/>
      </c>
      <c r="V7205" s="19">
        <f>IF($B7205="","",TEXT($B7205,"0000"))</f>
        <v/>
      </c>
      <c r="W7205" s="19">
        <f>IF($I7205="","",IF(ISNUMBER($I7205),TEXT($I7205,"0"),$I7205))</f>
        <v/>
      </c>
    </row>
    <row r="7206">
      <c r="B7206" s="25" t="n"/>
      <c r="I7206" s="25" t="n"/>
      <c r="U7206" s="19">
        <f>IF(AND($V7206='設定'!$C$4,COUNTIF('商品マスタ'!$B$6:$B$1005,$W7206)=0),N(U7205)+1,N(U7205))</f>
        <v/>
      </c>
      <c r="V7206" s="19">
        <f>IF($B7206="","",TEXT($B7206,"0000"))</f>
        <v/>
      </c>
      <c r="W7206" s="19">
        <f>IF($I7206="","",IF(ISNUMBER($I7206),TEXT($I7206,"0"),$I7206))</f>
        <v/>
      </c>
    </row>
    <row r="7207">
      <c r="B7207" s="25" t="n"/>
      <c r="I7207" s="25" t="n"/>
      <c r="U7207" s="19">
        <f>IF(AND($V7207='設定'!$C$4,COUNTIF('商品マスタ'!$B$6:$B$1005,$W7207)=0),N(U7206)+1,N(U7206))</f>
        <v/>
      </c>
      <c r="V7207" s="19">
        <f>IF($B7207="","",TEXT($B7207,"0000"))</f>
        <v/>
      </c>
      <c r="W7207" s="19">
        <f>IF($I7207="","",IF(ISNUMBER($I7207),TEXT($I7207,"0"),$I7207))</f>
        <v/>
      </c>
    </row>
    <row r="7208">
      <c r="B7208" s="25" t="n"/>
      <c r="I7208" s="25" t="n"/>
      <c r="U7208" s="19">
        <f>IF(AND($V7208='設定'!$C$4,COUNTIF('商品マスタ'!$B$6:$B$1005,$W7208)=0),N(U7207)+1,N(U7207))</f>
        <v/>
      </c>
      <c r="V7208" s="19">
        <f>IF($B7208="","",TEXT($B7208,"0000"))</f>
        <v/>
      </c>
      <c r="W7208" s="19">
        <f>IF($I7208="","",IF(ISNUMBER($I7208),TEXT($I7208,"0"),$I7208))</f>
        <v/>
      </c>
    </row>
    <row r="7209">
      <c r="B7209" s="25" t="n"/>
      <c r="I7209" s="25" t="n"/>
      <c r="U7209" s="19">
        <f>IF(AND($V7209='設定'!$C$4,COUNTIF('商品マスタ'!$B$6:$B$1005,$W7209)=0),N(U7208)+1,N(U7208))</f>
        <v/>
      </c>
      <c r="V7209" s="19">
        <f>IF($B7209="","",TEXT($B7209,"0000"))</f>
        <v/>
      </c>
      <c r="W7209" s="19">
        <f>IF($I7209="","",IF(ISNUMBER($I7209),TEXT($I7209,"0"),$I7209))</f>
        <v/>
      </c>
    </row>
    <row r="7210">
      <c r="B7210" s="25" t="n"/>
      <c r="I7210" s="25" t="n"/>
      <c r="U7210" s="19">
        <f>IF(AND($V7210='設定'!$C$4,COUNTIF('商品マスタ'!$B$6:$B$1005,$W7210)=0),N(U7209)+1,N(U7209))</f>
        <v/>
      </c>
      <c r="V7210" s="19">
        <f>IF($B7210="","",TEXT($B7210,"0000"))</f>
        <v/>
      </c>
      <c r="W7210" s="19">
        <f>IF($I7210="","",IF(ISNUMBER($I7210),TEXT($I7210,"0"),$I7210))</f>
        <v/>
      </c>
    </row>
    <row r="7211">
      <c r="B7211" s="25" t="n"/>
      <c r="I7211" s="25" t="n"/>
      <c r="U7211" s="19">
        <f>IF(AND($V7211='設定'!$C$4,COUNTIF('商品マスタ'!$B$6:$B$1005,$W7211)=0),N(U7210)+1,N(U7210))</f>
        <v/>
      </c>
      <c r="V7211" s="19">
        <f>IF($B7211="","",TEXT($B7211,"0000"))</f>
        <v/>
      </c>
      <c r="W7211" s="19">
        <f>IF($I7211="","",IF(ISNUMBER($I7211),TEXT($I7211,"0"),$I7211))</f>
        <v/>
      </c>
    </row>
    <row r="7212">
      <c r="B7212" s="25" t="n"/>
      <c r="I7212" s="25" t="n"/>
      <c r="U7212" s="19">
        <f>IF(AND($V7212='設定'!$C$4,COUNTIF('商品マスタ'!$B$6:$B$1005,$W7212)=0),N(U7211)+1,N(U7211))</f>
        <v/>
      </c>
      <c r="V7212" s="19">
        <f>IF($B7212="","",TEXT($B7212,"0000"))</f>
        <v/>
      </c>
      <c r="W7212" s="19">
        <f>IF($I7212="","",IF(ISNUMBER($I7212),TEXT($I7212,"0"),$I7212))</f>
        <v/>
      </c>
    </row>
    <row r="7213">
      <c r="B7213" s="25" t="n"/>
      <c r="I7213" s="25" t="n"/>
      <c r="U7213" s="19">
        <f>IF(AND($V7213='設定'!$C$4,COUNTIF('商品マスタ'!$B$6:$B$1005,$W7213)=0),N(U7212)+1,N(U7212))</f>
        <v/>
      </c>
      <c r="V7213" s="19">
        <f>IF($B7213="","",TEXT($B7213,"0000"))</f>
        <v/>
      </c>
      <c r="W7213" s="19">
        <f>IF($I7213="","",IF(ISNUMBER($I7213),TEXT($I7213,"0"),$I7213))</f>
        <v/>
      </c>
    </row>
    <row r="7214">
      <c r="B7214" s="25" t="n"/>
      <c r="I7214" s="25" t="n"/>
      <c r="U7214" s="19">
        <f>IF(AND($V7214='設定'!$C$4,COUNTIF('商品マスタ'!$B$6:$B$1005,$W7214)=0),N(U7213)+1,N(U7213))</f>
        <v/>
      </c>
      <c r="V7214" s="19">
        <f>IF($B7214="","",TEXT($B7214,"0000"))</f>
        <v/>
      </c>
      <c r="W7214" s="19">
        <f>IF($I7214="","",IF(ISNUMBER($I7214),TEXT($I7214,"0"),$I7214))</f>
        <v/>
      </c>
    </row>
    <row r="7215">
      <c r="B7215" s="25" t="n"/>
      <c r="I7215" s="25" t="n"/>
      <c r="U7215" s="19">
        <f>IF(AND($V7215='設定'!$C$4,COUNTIF('商品マスタ'!$B$6:$B$1005,$W7215)=0),N(U7214)+1,N(U7214))</f>
        <v/>
      </c>
      <c r="V7215" s="19">
        <f>IF($B7215="","",TEXT($B7215,"0000"))</f>
        <v/>
      </c>
      <c r="W7215" s="19">
        <f>IF($I7215="","",IF(ISNUMBER($I7215),TEXT($I7215,"0"),$I7215))</f>
        <v/>
      </c>
    </row>
    <row r="7216">
      <c r="B7216" s="25" t="n"/>
      <c r="I7216" s="25" t="n"/>
      <c r="U7216" s="19">
        <f>IF(AND($V7216='設定'!$C$4,COUNTIF('商品マスタ'!$B$6:$B$1005,$W7216)=0),N(U7215)+1,N(U7215))</f>
        <v/>
      </c>
      <c r="V7216" s="19">
        <f>IF($B7216="","",TEXT($B7216,"0000"))</f>
        <v/>
      </c>
      <c r="W7216" s="19">
        <f>IF($I7216="","",IF(ISNUMBER($I7216),TEXT($I7216,"0"),$I7216))</f>
        <v/>
      </c>
    </row>
    <row r="7217">
      <c r="B7217" s="25" t="n"/>
      <c r="I7217" s="25" t="n"/>
      <c r="U7217" s="19">
        <f>IF(AND($V7217='設定'!$C$4,COUNTIF('商品マスタ'!$B$6:$B$1005,$W7217)=0),N(U7216)+1,N(U7216))</f>
        <v/>
      </c>
      <c r="V7217" s="19">
        <f>IF($B7217="","",TEXT($B7217,"0000"))</f>
        <v/>
      </c>
      <c r="W7217" s="19">
        <f>IF($I7217="","",IF(ISNUMBER($I7217),TEXT($I7217,"0"),$I7217))</f>
        <v/>
      </c>
    </row>
    <row r="7218">
      <c r="B7218" s="25" t="n"/>
      <c r="I7218" s="25" t="n"/>
      <c r="U7218" s="19">
        <f>IF(AND($V7218='設定'!$C$4,COUNTIF('商品マスタ'!$B$6:$B$1005,$W7218)=0),N(U7217)+1,N(U7217))</f>
        <v/>
      </c>
      <c r="V7218" s="19">
        <f>IF($B7218="","",TEXT($B7218,"0000"))</f>
        <v/>
      </c>
      <c r="W7218" s="19">
        <f>IF($I7218="","",IF(ISNUMBER($I7218),TEXT($I7218,"0"),$I7218))</f>
        <v/>
      </c>
    </row>
    <row r="7219">
      <c r="B7219" s="25" t="n"/>
      <c r="I7219" s="25" t="n"/>
      <c r="U7219" s="19">
        <f>IF(AND($V7219='設定'!$C$4,COUNTIF('商品マスタ'!$B$6:$B$1005,$W7219)=0),N(U7218)+1,N(U7218))</f>
        <v/>
      </c>
      <c r="V7219" s="19">
        <f>IF($B7219="","",TEXT($B7219,"0000"))</f>
        <v/>
      </c>
      <c r="W7219" s="19">
        <f>IF($I7219="","",IF(ISNUMBER($I7219),TEXT($I7219,"0"),$I7219))</f>
        <v/>
      </c>
    </row>
    <row r="7220">
      <c r="B7220" s="25" t="n"/>
      <c r="I7220" s="25" t="n"/>
      <c r="U7220" s="19">
        <f>IF(AND($V7220='設定'!$C$4,COUNTIF('商品マスタ'!$B$6:$B$1005,$W7220)=0),N(U7219)+1,N(U7219))</f>
        <v/>
      </c>
      <c r="V7220" s="19">
        <f>IF($B7220="","",TEXT($B7220,"0000"))</f>
        <v/>
      </c>
      <c r="W7220" s="19">
        <f>IF($I7220="","",IF(ISNUMBER($I7220),TEXT($I7220,"0"),$I7220))</f>
        <v/>
      </c>
    </row>
    <row r="7221">
      <c r="B7221" s="25" t="n"/>
      <c r="I7221" s="25" t="n"/>
      <c r="U7221" s="19">
        <f>IF(AND($V7221='設定'!$C$4,COUNTIF('商品マスタ'!$B$6:$B$1005,$W7221)=0),N(U7220)+1,N(U7220))</f>
        <v/>
      </c>
      <c r="V7221" s="19">
        <f>IF($B7221="","",TEXT($B7221,"0000"))</f>
        <v/>
      </c>
      <c r="W7221" s="19">
        <f>IF($I7221="","",IF(ISNUMBER($I7221),TEXT($I7221,"0"),$I7221))</f>
        <v/>
      </c>
    </row>
    <row r="7222">
      <c r="B7222" s="25" t="n"/>
      <c r="I7222" s="25" t="n"/>
      <c r="U7222" s="19">
        <f>IF(AND($V7222='設定'!$C$4,COUNTIF('商品マスタ'!$B$6:$B$1005,$W7222)=0),N(U7221)+1,N(U7221))</f>
        <v/>
      </c>
      <c r="V7222" s="19">
        <f>IF($B7222="","",TEXT($B7222,"0000"))</f>
        <v/>
      </c>
      <c r="W7222" s="19">
        <f>IF($I7222="","",IF(ISNUMBER($I7222),TEXT($I7222,"0"),$I7222))</f>
        <v/>
      </c>
    </row>
    <row r="7223">
      <c r="B7223" s="25" t="n"/>
      <c r="I7223" s="25" t="n"/>
      <c r="U7223" s="19">
        <f>IF(AND($V7223='設定'!$C$4,COUNTIF('商品マスタ'!$B$6:$B$1005,$W7223)=0),N(U7222)+1,N(U7222))</f>
        <v/>
      </c>
      <c r="V7223" s="19">
        <f>IF($B7223="","",TEXT($B7223,"0000"))</f>
        <v/>
      </c>
      <c r="W7223" s="19">
        <f>IF($I7223="","",IF(ISNUMBER($I7223),TEXT($I7223,"0"),$I7223))</f>
        <v/>
      </c>
    </row>
    <row r="7224">
      <c r="B7224" s="25" t="n"/>
      <c r="I7224" s="25" t="n"/>
      <c r="U7224" s="19">
        <f>IF(AND($V7224='設定'!$C$4,COUNTIF('商品マスタ'!$B$6:$B$1005,$W7224)=0),N(U7223)+1,N(U7223))</f>
        <v/>
      </c>
      <c r="V7224" s="19">
        <f>IF($B7224="","",TEXT($B7224,"0000"))</f>
        <v/>
      </c>
      <c r="W7224" s="19">
        <f>IF($I7224="","",IF(ISNUMBER($I7224),TEXT($I7224,"0"),$I7224))</f>
        <v/>
      </c>
    </row>
    <row r="7225">
      <c r="B7225" s="25" t="n"/>
      <c r="I7225" s="25" t="n"/>
      <c r="U7225" s="19">
        <f>IF(AND($V7225='設定'!$C$4,COUNTIF('商品マスタ'!$B$6:$B$1005,$W7225)=0),N(U7224)+1,N(U7224))</f>
        <v/>
      </c>
      <c r="V7225" s="19">
        <f>IF($B7225="","",TEXT($B7225,"0000"))</f>
        <v/>
      </c>
      <c r="W7225" s="19">
        <f>IF($I7225="","",IF(ISNUMBER($I7225),TEXT($I7225,"0"),$I7225))</f>
        <v/>
      </c>
    </row>
    <row r="7226">
      <c r="B7226" s="25" t="n"/>
      <c r="I7226" s="25" t="n"/>
      <c r="U7226" s="19">
        <f>IF(AND($V7226='設定'!$C$4,COUNTIF('商品マスタ'!$B$6:$B$1005,$W7226)=0),N(U7225)+1,N(U7225))</f>
        <v/>
      </c>
      <c r="V7226" s="19">
        <f>IF($B7226="","",TEXT($B7226,"0000"))</f>
        <v/>
      </c>
      <c r="W7226" s="19">
        <f>IF($I7226="","",IF(ISNUMBER($I7226),TEXT($I7226,"0"),$I7226))</f>
        <v/>
      </c>
    </row>
    <row r="7227">
      <c r="B7227" s="25" t="n"/>
      <c r="I7227" s="25" t="n"/>
      <c r="U7227" s="19">
        <f>IF(AND($V7227='設定'!$C$4,COUNTIF('商品マスタ'!$B$6:$B$1005,$W7227)=0),N(U7226)+1,N(U7226))</f>
        <v/>
      </c>
      <c r="V7227" s="19">
        <f>IF($B7227="","",TEXT($B7227,"0000"))</f>
        <v/>
      </c>
      <c r="W7227" s="19">
        <f>IF($I7227="","",IF(ISNUMBER($I7227),TEXT($I7227,"0"),$I7227))</f>
        <v/>
      </c>
    </row>
    <row r="7228">
      <c r="B7228" s="25" t="n"/>
      <c r="I7228" s="25" t="n"/>
      <c r="U7228" s="19">
        <f>IF(AND($V7228='設定'!$C$4,COUNTIF('商品マスタ'!$B$6:$B$1005,$W7228)=0),N(U7227)+1,N(U7227))</f>
        <v/>
      </c>
      <c r="V7228" s="19">
        <f>IF($B7228="","",TEXT($B7228,"0000"))</f>
        <v/>
      </c>
      <c r="W7228" s="19">
        <f>IF($I7228="","",IF(ISNUMBER($I7228),TEXT($I7228,"0"),$I7228))</f>
        <v/>
      </c>
    </row>
    <row r="7229">
      <c r="B7229" s="25" t="n"/>
      <c r="I7229" s="25" t="n"/>
      <c r="U7229" s="19">
        <f>IF(AND($V7229='設定'!$C$4,COUNTIF('商品マスタ'!$B$6:$B$1005,$W7229)=0),N(U7228)+1,N(U7228))</f>
        <v/>
      </c>
      <c r="V7229" s="19">
        <f>IF($B7229="","",TEXT($B7229,"0000"))</f>
        <v/>
      </c>
      <c r="W7229" s="19">
        <f>IF($I7229="","",IF(ISNUMBER($I7229),TEXT($I7229,"0"),$I7229))</f>
        <v/>
      </c>
    </row>
    <row r="7230">
      <c r="B7230" s="25" t="n"/>
      <c r="I7230" s="25" t="n"/>
      <c r="U7230" s="19">
        <f>IF(AND($V7230='設定'!$C$4,COUNTIF('商品マスタ'!$B$6:$B$1005,$W7230)=0),N(U7229)+1,N(U7229))</f>
        <v/>
      </c>
      <c r="V7230" s="19">
        <f>IF($B7230="","",TEXT($B7230,"0000"))</f>
        <v/>
      </c>
      <c r="W7230" s="19">
        <f>IF($I7230="","",IF(ISNUMBER($I7230),TEXT($I7230,"0"),$I7230))</f>
        <v/>
      </c>
    </row>
    <row r="7231">
      <c r="B7231" s="25" t="n"/>
      <c r="I7231" s="25" t="n"/>
      <c r="U7231" s="19">
        <f>IF(AND($V7231='設定'!$C$4,COUNTIF('商品マスタ'!$B$6:$B$1005,$W7231)=0),N(U7230)+1,N(U7230))</f>
        <v/>
      </c>
      <c r="V7231" s="19">
        <f>IF($B7231="","",TEXT($B7231,"0000"))</f>
        <v/>
      </c>
      <c r="W7231" s="19">
        <f>IF($I7231="","",IF(ISNUMBER($I7231),TEXT($I7231,"0"),$I7231))</f>
        <v/>
      </c>
    </row>
    <row r="7232">
      <c r="B7232" s="25" t="n"/>
      <c r="I7232" s="25" t="n"/>
      <c r="U7232" s="19">
        <f>IF(AND($V7232='設定'!$C$4,COUNTIF('商品マスタ'!$B$6:$B$1005,$W7232)=0),N(U7231)+1,N(U7231))</f>
        <v/>
      </c>
      <c r="V7232" s="19">
        <f>IF($B7232="","",TEXT($B7232,"0000"))</f>
        <v/>
      </c>
      <c r="W7232" s="19">
        <f>IF($I7232="","",IF(ISNUMBER($I7232),TEXT($I7232,"0"),$I7232))</f>
        <v/>
      </c>
    </row>
    <row r="7233">
      <c r="B7233" s="25" t="n"/>
      <c r="I7233" s="25" t="n"/>
      <c r="U7233" s="19">
        <f>IF(AND($V7233='設定'!$C$4,COUNTIF('商品マスタ'!$B$6:$B$1005,$W7233)=0),N(U7232)+1,N(U7232))</f>
        <v/>
      </c>
      <c r="V7233" s="19">
        <f>IF($B7233="","",TEXT($B7233,"0000"))</f>
        <v/>
      </c>
      <c r="W7233" s="19">
        <f>IF($I7233="","",IF(ISNUMBER($I7233),TEXT($I7233,"0"),$I7233))</f>
        <v/>
      </c>
    </row>
    <row r="7234">
      <c r="B7234" s="25" t="n"/>
      <c r="I7234" s="25" t="n"/>
      <c r="U7234" s="19">
        <f>IF(AND($V7234='設定'!$C$4,COUNTIF('商品マスタ'!$B$6:$B$1005,$W7234)=0),N(U7233)+1,N(U7233))</f>
        <v/>
      </c>
      <c r="V7234" s="19">
        <f>IF($B7234="","",TEXT($B7234,"0000"))</f>
        <v/>
      </c>
      <c r="W7234" s="19">
        <f>IF($I7234="","",IF(ISNUMBER($I7234),TEXT($I7234,"0"),$I7234))</f>
        <v/>
      </c>
    </row>
    <row r="7235">
      <c r="B7235" s="25" t="n"/>
      <c r="I7235" s="25" t="n"/>
      <c r="U7235" s="19">
        <f>IF(AND($V7235='設定'!$C$4,COUNTIF('商品マスタ'!$B$6:$B$1005,$W7235)=0),N(U7234)+1,N(U7234))</f>
        <v/>
      </c>
      <c r="V7235" s="19">
        <f>IF($B7235="","",TEXT($B7235,"0000"))</f>
        <v/>
      </c>
      <c r="W7235" s="19">
        <f>IF($I7235="","",IF(ISNUMBER($I7235),TEXT($I7235,"0"),$I7235))</f>
        <v/>
      </c>
    </row>
    <row r="7236">
      <c r="B7236" s="25" t="n"/>
      <c r="I7236" s="25" t="n"/>
      <c r="U7236" s="19">
        <f>IF(AND($V7236='設定'!$C$4,COUNTIF('商品マスタ'!$B$6:$B$1005,$W7236)=0),N(U7235)+1,N(U7235))</f>
        <v/>
      </c>
      <c r="V7236" s="19">
        <f>IF($B7236="","",TEXT($B7236,"0000"))</f>
        <v/>
      </c>
      <c r="W7236" s="19">
        <f>IF($I7236="","",IF(ISNUMBER($I7236),TEXT($I7236,"0"),$I7236))</f>
        <v/>
      </c>
    </row>
    <row r="7237">
      <c r="B7237" s="25" t="n"/>
      <c r="I7237" s="25" t="n"/>
      <c r="U7237" s="19">
        <f>IF(AND($V7237='設定'!$C$4,COUNTIF('商品マスタ'!$B$6:$B$1005,$W7237)=0),N(U7236)+1,N(U7236))</f>
        <v/>
      </c>
      <c r="V7237" s="19">
        <f>IF($B7237="","",TEXT($B7237,"0000"))</f>
        <v/>
      </c>
      <c r="W7237" s="19">
        <f>IF($I7237="","",IF(ISNUMBER($I7237),TEXT($I7237,"0"),$I7237))</f>
        <v/>
      </c>
    </row>
    <row r="7238">
      <c r="B7238" s="25" t="n"/>
      <c r="I7238" s="25" t="n"/>
      <c r="U7238" s="19">
        <f>IF(AND($V7238='設定'!$C$4,COUNTIF('商品マスタ'!$B$6:$B$1005,$W7238)=0),N(U7237)+1,N(U7237))</f>
        <v/>
      </c>
      <c r="V7238" s="19">
        <f>IF($B7238="","",TEXT($B7238,"0000"))</f>
        <v/>
      </c>
      <c r="W7238" s="19">
        <f>IF($I7238="","",IF(ISNUMBER($I7238),TEXT($I7238,"0"),$I7238))</f>
        <v/>
      </c>
    </row>
    <row r="7239">
      <c r="B7239" s="25" t="n"/>
      <c r="I7239" s="25" t="n"/>
      <c r="U7239" s="19">
        <f>IF(AND($V7239='設定'!$C$4,COUNTIF('商品マスタ'!$B$6:$B$1005,$W7239)=0),N(U7238)+1,N(U7238))</f>
        <v/>
      </c>
      <c r="V7239" s="19">
        <f>IF($B7239="","",TEXT($B7239,"0000"))</f>
        <v/>
      </c>
      <c r="W7239" s="19">
        <f>IF($I7239="","",IF(ISNUMBER($I7239),TEXT($I7239,"0"),$I7239))</f>
        <v/>
      </c>
    </row>
    <row r="7240">
      <c r="B7240" s="25" t="n"/>
      <c r="I7240" s="25" t="n"/>
      <c r="U7240" s="19">
        <f>IF(AND($V7240='設定'!$C$4,COUNTIF('商品マスタ'!$B$6:$B$1005,$W7240)=0),N(U7239)+1,N(U7239))</f>
        <v/>
      </c>
      <c r="V7240" s="19">
        <f>IF($B7240="","",TEXT($B7240,"0000"))</f>
        <v/>
      </c>
      <c r="W7240" s="19">
        <f>IF($I7240="","",IF(ISNUMBER($I7240),TEXT($I7240,"0"),$I7240))</f>
        <v/>
      </c>
    </row>
    <row r="7241">
      <c r="B7241" s="25" t="n"/>
      <c r="I7241" s="25" t="n"/>
      <c r="U7241" s="19">
        <f>IF(AND($V7241='設定'!$C$4,COUNTIF('商品マスタ'!$B$6:$B$1005,$W7241)=0),N(U7240)+1,N(U7240))</f>
        <v/>
      </c>
      <c r="V7241" s="19">
        <f>IF($B7241="","",TEXT($B7241,"0000"))</f>
        <v/>
      </c>
      <c r="W7241" s="19">
        <f>IF($I7241="","",IF(ISNUMBER($I7241),TEXT($I7241,"0"),$I7241))</f>
        <v/>
      </c>
    </row>
    <row r="7242">
      <c r="B7242" s="25" t="n"/>
      <c r="I7242" s="25" t="n"/>
      <c r="U7242" s="19">
        <f>IF(AND($V7242='設定'!$C$4,COUNTIF('商品マスタ'!$B$6:$B$1005,$W7242)=0),N(U7241)+1,N(U7241))</f>
        <v/>
      </c>
      <c r="V7242" s="19">
        <f>IF($B7242="","",TEXT($B7242,"0000"))</f>
        <v/>
      </c>
      <c r="W7242" s="19">
        <f>IF($I7242="","",IF(ISNUMBER($I7242),TEXT($I7242,"0"),$I7242))</f>
        <v/>
      </c>
    </row>
    <row r="7243">
      <c r="B7243" s="25" t="n"/>
      <c r="I7243" s="25" t="n"/>
      <c r="U7243" s="19">
        <f>IF(AND($V7243='設定'!$C$4,COUNTIF('商品マスタ'!$B$6:$B$1005,$W7243)=0),N(U7242)+1,N(U7242))</f>
        <v/>
      </c>
      <c r="V7243" s="19">
        <f>IF($B7243="","",TEXT($B7243,"0000"))</f>
        <v/>
      </c>
      <c r="W7243" s="19">
        <f>IF($I7243="","",IF(ISNUMBER($I7243),TEXT($I7243,"0"),$I7243))</f>
        <v/>
      </c>
    </row>
    <row r="7244">
      <c r="B7244" s="25" t="n"/>
      <c r="I7244" s="25" t="n"/>
      <c r="U7244" s="19">
        <f>IF(AND($V7244='設定'!$C$4,COUNTIF('商品マスタ'!$B$6:$B$1005,$W7244)=0),N(U7243)+1,N(U7243))</f>
        <v/>
      </c>
      <c r="V7244" s="19">
        <f>IF($B7244="","",TEXT($B7244,"0000"))</f>
        <v/>
      </c>
      <c r="W7244" s="19">
        <f>IF($I7244="","",IF(ISNUMBER($I7244),TEXT($I7244,"0"),$I7244))</f>
        <v/>
      </c>
    </row>
    <row r="7245">
      <c r="B7245" s="25" t="n"/>
      <c r="I7245" s="25" t="n"/>
      <c r="U7245" s="19">
        <f>IF(AND($V7245='設定'!$C$4,COUNTIF('商品マスタ'!$B$6:$B$1005,$W7245)=0),N(U7244)+1,N(U7244))</f>
        <v/>
      </c>
      <c r="V7245" s="19">
        <f>IF($B7245="","",TEXT($B7245,"0000"))</f>
        <v/>
      </c>
      <c r="W7245" s="19">
        <f>IF($I7245="","",IF(ISNUMBER($I7245),TEXT($I7245,"0"),$I7245))</f>
        <v/>
      </c>
    </row>
    <row r="7246">
      <c r="B7246" s="25" t="n"/>
      <c r="I7246" s="25" t="n"/>
      <c r="U7246" s="19">
        <f>IF(AND($V7246='設定'!$C$4,COUNTIF('商品マスタ'!$B$6:$B$1005,$W7246)=0),N(U7245)+1,N(U7245))</f>
        <v/>
      </c>
      <c r="V7246" s="19">
        <f>IF($B7246="","",TEXT($B7246,"0000"))</f>
        <v/>
      </c>
      <c r="W7246" s="19">
        <f>IF($I7246="","",IF(ISNUMBER($I7246),TEXT($I7246,"0"),$I7246))</f>
        <v/>
      </c>
    </row>
    <row r="7247">
      <c r="B7247" s="25" t="n"/>
      <c r="I7247" s="25" t="n"/>
      <c r="U7247" s="19">
        <f>IF(AND($V7247='設定'!$C$4,COUNTIF('商品マスタ'!$B$6:$B$1005,$W7247)=0),N(U7246)+1,N(U7246))</f>
        <v/>
      </c>
      <c r="V7247" s="19">
        <f>IF($B7247="","",TEXT($B7247,"0000"))</f>
        <v/>
      </c>
      <c r="W7247" s="19">
        <f>IF($I7247="","",IF(ISNUMBER($I7247),TEXT($I7247,"0"),$I7247))</f>
        <v/>
      </c>
    </row>
    <row r="7248">
      <c r="B7248" s="25" t="n"/>
      <c r="I7248" s="25" t="n"/>
      <c r="U7248" s="19">
        <f>IF(AND($V7248='設定'!$C$4,COUNTIF('商品マスタ'!$B$6:$B$1005,$W7248)=0),N(U7247)+1,N(U7247))</f>
        <v/>
      </c>
      <c r="V7248" s="19">
        <f>IF($B7248="","",TEXT($B7248,"0000"))</f>
        <v/>
      </c>
      <c r="W7248" s="19">
        <f>IF($I7248="","",IF(ISNUMBER($I7248),TEXT($I7248,"0"),$I7248))</f>
        <v/>
      </c>
    </row>
    <row r="7249">
      <c r="B7249" s="25" t="n"/>
      <c r="I7249" s="25" t="n"/>
      <c r="U7249" s="19">
        <f>IF(AND($V7249='設定'!$C$4,COUNTIF('商品マスタ'!$B$6:$B$1005,$W7249)=0),N(U7248)+1,N(U7248))</f>
        <v/>
      </c>
      <c r="V7249" s="19">
        <f>IF($B7249="","",TEXT($B7249,"0000"))</f>
        <v/>
      </c>
      <c r="W7249" s="19">
        <f>IF($I7249="","",IF(ISNUMBER($I7249),TEXT($I7249,"0"),$I7249))</f>
        <v/>
      </c>
    </row>
    <row r="7250">
      <c r="B7250" s="25" t="n"/>
      <c r="I7250" s="25" t="n"/>
      <c r="U7250" s="19">
        <f>IF(AND($V7250='設定'!$C$4,COUNTIF('商品マスタ'!$B$6:$B$1005,$W7250)=0),N(U7249)+1,N(U7249))</f>
        <v/>
      </c>
      <c r="V7250" s="19">
        <f>IF($B7250="","",TEXT($B7250,"0000"))</f>
        <v/>
      </c>
      <c r="W7250" s="19">
        <f>IF($I7250="","",IF(ISNUMBER($I7250),TEXT($I7250,"0"),$I7250))</f>
        <v/>
      </c>
    </row>
    <row r="7251">
      <c r="B7251" s="25" t="n"/>
      <c r="I7251" s="25" t="n"/>
      <c r="U7251" s="19">
        <f>IF(AND($V7251='設定'!$C$4,COUNTIF('商品マスタ'!$B$6:$B$1005,$W7251)=0),N(U7250)+1,N(U7250))</f>
        <v/>
      </c>
      <c r="V7251" s="19">
        <f>IF($B7251="","",TEXT($B7251,"0000"))</f>
        <v/>
      </c>
      <c r="W7251" s="19">
        <f>IF($I7251="","",IF(ISNUMBER($I7251),TEXT($I7251,"0"),$I7251))</f>
        <v/>
      </c>
    </row>
    <row r="7252">
      <c r="B7252" s="25" t="n"/>
      <c r="I7252" s="25" t="n"/>
      <c r="U7252" s="19">
        <f>IF(AND($V7252='設定'!$C$4,COUNTIF('商品マスタ'!$B$6:$B$1005,$W7252)=0),N(U7251)+1,N(U7251))</f>
        <v/>
      </c>
      <c r="V7252" s="19">
        <f>IF($B7252="","",TEXT($B7252,"0000"))</f>
        <v/>
      </c>
      <c r="W7252" s="19">
        <f>IF($I7252="","",IF(ISNUMBER($I7252),TEXT($I7252,"0"),$I7252))</f>
        <v/>
      </c>
    </row>
    <row r="7253">
      <c r="B7253" s="25" t="n"/>
      <c r="I7253" s="25" t="n"/>
      <c r="U7253" s="19">
        <f>IF(AND($V7253='設定'!$C$4,COUNTIF('商品マスタ'!$B$6:$B$1005,$W7253)=0),N(U7252)+1,N(U7252))</f>
        <v/>
      </c>
      <c r="V7253" s="19">
        <f>IF($B7253="","",TEXT($B7253,"0000"))</f>
        <v/>
      </c>
      <c r="W7253" s="19">
        <f>IF($I7253="","",IF(ISNUMBER($I7253),TEXT($I7253,"0"),$I7253))</f>
        <v/>
      </c>
    </row>
    <row r="7254">
      <c r="B7254" s="25" t="n"/>
      <c r="I7254" s="25" t="n"/>
      <c r="U7254" s="19">
        <f>IF(AND($V7254='設定'!$C$4,COUNTIF('商品マスタ'!$B$6:$B$1005,$W7254)=0),N(U7253)+1,N(U7253))</f>
        <v/>
      </c>
      <c r="V7254" s="19">
        <f>IF($B7254="","",TEXT($B7254,"0000"))</f>
        <v/>
      </c>
      <c r="W7254" s="19">
        <f>IF($I7254="","",IF(ISNUMBER($I7254),TEXT($I7254,"0"),$I7254))</f>
        <v/>
      </c>
    </row>
    <row r="7255">
      <c r="B7255" s="25" t="n"/>
      <c r="I7255" s="25" t="n"/>
      <c r="U7255" s="19">
        <f>IF(AND($V7255='設定'!$C$4,COUNTIF('商品マスタ'!$B$6:$B$1005,$W7255)=0),N(U7254)+1,N(U7254))</f>
        <v/>
      </c>
      <c r="V7255" s="19">
        <f>IF($B7255="","",TEXT($B7255,"0000"))</f>
        <v/>
      </c>
      <c r="W7255" s="19">
        <f>IF($I7255="","",IF(ISNUMBER($I7255),TEXT($I7255,"0"),$I7255))</f>
        <v/>
      </c>
    </row>
    <row r="7256">
      <c r="B7256" s="25" t="n"/>
      <c r="I7256" s="25" t="n"/>
      <c r="U7256" s="19">
        <f>IF(AND($V7256='設定'!$C$4,COUNTIF('商品マスタ'!$B$6:$B$1005,$W7256)=0),N(U7255)+1,N(U7255))</f>
        <v/>
      </c>
      <c r="V7256" s="19">
        <f>IF($B7256="","",TEXT($B7256,"0000"))</f>
        <v/>
      </c>
      <c r="W7256" s="19">
        <f>IF($I7256="","",IF(ISNUMBER($I7256),TEXT($I7256,"0"),$I7256))</f>
        <v/>
      </c>
    </row>
    <row r="7257">
      <c r="B7257" s="25" t="n"/>
      <c r="I7257" s="25" t="n"/>
      <c r="U7257" s="19">
        <f>IF(AND($V7257='設定'!$C$4,COUNTIF('商品マスタ'!$B$6:$B$1005,$W7257)=0),N(U7256)+1,N(U7256))</f>
        <v/>
      </c>
      <c r="V7257" s="19">
        <f>IF($B7257="","",TEXT($B7257,"0000"))</f>
        <v/>
      </c>
      <c r="W7257" s="19">
        <f>IF($I7257="","",IF(ISNUMBER($I7257),TEXT($I7257,"0"),$I7257))</f>
        <v/>
      </c>
    </row>
    <row r="7258">
      <c r="B7258" s="25" t="n"/>
      <c r="I7258" s="25" t="n"/>
      <c r="U7258" s="19">
        <f>IF(AND($V7258='設定'!$C$4,COUNTIF('商品マスタ'!$B$6:$B$1005,$W7258)=0),N(U7257)+1,N(U7257))</f>
        <v/>
      </c>
      <c r="V7258" s="19">
        <f>IF($B7258="","",TEXT($B7258,"0000"))</f>
        <v/>
      </c>
      <c r="W7258" s="19">
        <f>IF($I7258="","",IF(ISNUMBER($I7258),TEXT($I7258,"0"),$I7258))</f>
        <v/>
      </c>
    </row>
    <row r="7259">
      <c r="B7259" s="25" t="n"/>
      <c r="I7259" s="25" t="n"/>
      <c r="U7259" s="19">
        <f>IF(AND($V7259='設定'!$C$4,COUNTIF('商品マスタ'!$B$6:$B$1005,$W7259)=0),N(U7258)+1,N(U7258))</f>
        <v/>
      </c>
      <c r="V7259" s="19">
        <f>IF($B7259="","",TEXT($B7259,"0000"))</f>
        <v/>
      </c>
      <c r="W7259" s="19">
        <f>IF($I7259="","",IF(ISNUMBER($I7259),TEXT($I7259,"0"),$I7259))</f>
        <v/>
      </c>
    </row>
    <row r="7260">
      <c r="B7260" s="25" t="n"/>
      <c r="I7260" s="25" t="n"/>
      <c r="U7260" s="19">
        <f>IF(AND($V7260='設定'!$C$4,COUNTIF('商品マスタ'!$B$6:$B$1005,$W7260)=0),N(U7259)+1,N(U7259))</f>
        <v/>
      </c>
      <c r="V7260" s="19">
        <f>IF($B7260="","",TEXT($B7260,"0000"))</f>
        <v/>
      </c>
      <c r="W7260" s="19">
        <f>IF($I7260="","",IF(ISNUMBER($I7260),TEXT($I7260,"0"),$I7260))</f>
        <v/>
      </c>
    </row>
    <row r="7261">
      <c r="B7261" s="25" t="n"/>
      <c r="I7261" s="25" t="n"/>
      <c r="U7261" s="19">
        <f>IF(AND($V7261='設定'!$C$4,COUNTIF('商品マスタ'!$B$6:$B$1005,$W7261)=0),N(U7260)+1,N(U7260))</f>
        <v/>
      </c>
      <c r="V7261" s="19">
        <f>IF($B7261="","",TEXT($B7261,"0000"))</f>
        <v/>
      </c>
      <c r="W7261" s="19">
        <f>IF($I7261="","",IF(ISNUMBER($I7261),TEXT($I7261,"0"),$I7261))</f>
        <v/>
      </c>
    </row>
    <row r="7262">
      <c r="B7262" s="25" t="n"/>
      <c r="I7262" s="25" t="n"/>
      <c r="U7262" s="19">
        <f>IF(AND($V7262='設定'!$C$4,COUNTIF('商品マスタ'!$B$6:$B$1005,$W7262)=0),N(U7261)+1,N(U7261))</f>
        <v/>
      </c>
      <c r="V7262" s="19">
        <f>IF($B7262="","",TEXT($B7262,"0000"))</f>
        <v/>
      </c>
      <c r="W7262" s="19">
        <f>IF($I7262="","",IF(ISNUMBER($I7262),TEXT($I7262,"0"),$I7262))</f>
        <v/>
      </c>
    </row>
    <row r="7263">
      <c r="B7263" s="25" t="n"/>
      <c r="I7263" s="25" t="n"/>
      <c r="U7263" s="19">
        <f>IF(AND($V7263='設定'!$C$4,COUNTIF('商品マスタ'!$B$6:$B$1005,$W7263)=0),N(U7262)+1,N(U7262))</f>
        <v/>
      </c>
      <c r="V7263" s="19">
        <f>IF($B7263="","",TEXT($B7263,"0000"))</f>
        <v/>
      </c>
      <c r="W7263" s="19">
        <f>IF($I7263="","",IF(ISNUMBER($I7263),TEXT($I7263,"0"),$I7263))</f>
        <v/>
      </c>
    </row>
    <row r="7264">
      <c r="B7264" s="25" t="n"/>
      <c r="I7264" s="25" t="n"/>
      <c r="U7264" s="19">
        <f>IF(AND($V7264='設定'!$C$4,COUNTIF('商品マスタ'!$B$6:$B$1005,$W7264)=0),N(U7263)+1,N(U7263))</f>
        <v/>
      </c>
      <c r="V7264" s="19">
        <f>IF($B7264="","",TEXT($B7264,"0000"))</f>
        <v/>
      </c>
      <c r="W7264" s="19">
        <f>IF($I7264="","",IF(ISNUMBER($I7264),TEXT($I7264,"0"),$I7264))</f>
        <v/>
      </c>
    </row>
    <row r="7265">
      <c r="B7265" s="25" t="n"/>
      <c r="I7265" s="25" t="n"/>
      <c r="U7265" s="19">
        <f>IF(AND($V7265='設定'!$C$4,COUNTIF('商品マスタ'!$B$6:$B$1005,$W7265)=0),N(U7264)+1,N(U7264))</f>
        <v/>
      </c>
      <c r="V7265" s="19">
        <f>IF($B7265="","",TEXT($B7265,"0000"))</f>
        <v/>
      </c>
      <c r="W7265" s="19">
        <f>IF($I7265="","",IF(ISNUMBER($I7265),TEXT($I7265,"0"),$I7265))</f>
        <v/>
      </c>
    </row>
    <row r="7266">
      <c r="B7266" s="25" t="n"/>
      <c r="I7266" s="25" t="n"/>
      <c r="U7266" s="19">
        <f>IF(AND($V7266='設定'!$C$4,COUNTIF('商品マスタ'!$B$6:$B$1005,$W7266)=0),N(U7265)+1,N(U7265))</f>
        <v/>
      </c>
      <c r="V7266" s="19">
        <f>IF($B7266="","",TEXT($B7266,"0000"))</f>
        <v/>
      </c>
      <c r="W7266" s="19">
        <f>IF($I7266="","",IF(ISNUMBER($I7266),TEXT($I7266,"0"),$I7266))</f>
        <v/>
      </c>
    </row>
    <row r="7267">
      <c r="B7267" s="25" t="n"/>
      <c r="I7267" s="25" t="n"/>
      <c r="U7267" s="19">
        <f>IF(AND($V7267='設定'!$C$4,COUNTIF('商品マスタ'!$B$6:$B$1005,$W7267)=0),N(U7266)+1,N(U7266))</f>
        <v/>
      </c>
      <c r="V7267" s="19">
        <f>IF($B7267="","",TEXT($B7267,"0000"))</f>
        <v/>
      </c>
      <c r="W7267" s="19">
        <f>IF($I7267="","",IF(ISNUMBER($I7267),TEXT($I7267,"0"),$I7267))</f>
        <v/>
      </c>
    </row>
    <row r="7268">
      <c r="B7268" s="25" t="n"/>
      <c r="I7268" s="25" t="n"/>
      <c r="U7268" s="19">
        <f>IF(AND($V7268='設定'!$C$4,COUNTIF('商品マスタ'!$B$6:$B$1005,$W7268)=0),N(U7267)+1,N(U7267))</f>
        <v/>
      </c>
      <c r="V7268" s="19">
        <f>IF($B7268="","",TEXT($B7268,"0000"))</f>
        <v/>
      </c>
      <c r="W7268" s="19">
        <f>IF($I7268="","",IF(ISNUMBER($I7268),TEXT($I7268,"0"),$I7268))</f>
        <v/>
      </c>
    </row>
    <row r="7269">
      <c r="B7269" s="25" t="n"/>
      <c r="I7269" s="25" t="n"/>
      <c r="U7269" s="19">
        <f>IF(AND($V7269='設定'!$C$4,COUNTIF('商品マスタ'!$B$6:$B$1005,$W7269)=0),N(U7268)+1,N(U7268))</f>
        <v/>
      </c>
      <c r="V7269" s="19">
        <f>IF($B7269="","",TEXT($B7269,"0000"))</f>
        <v/>
      </c>
      <c r="W7269" s="19">
        <f>IF($I7269="","",IF(ISNUMBER($I7269),TEXT($I7269,"0"),$I7269))</f>
        <v/>
      </c>
    </row>
    <row r="7270">
      <c r="B7270" s="25" t="n"/>
      <c r="I7270" s="25" t="n"/>
      <c r="U7270" s="19">
        <f>IF(AND($V7270='設定'!$C$4,COUNTIF('商品マスタ'!$B$6:$B$1005,$W7270)=0),N(U7269)+1,N(U7269))</f>
        <v/>
      </c>
      <c r="V7270" s="19">
        <f>IF($B7270="","",TEXT($B7270,"0000"))</f>
        <v/>
      </c>
      <c r="W7270" s="19">
        <f>IF($I7270="","",IF(ISNUMBER($I7270),TEXT($I7270,"0"),$I7270))</f>
        <v/>
      </c>
    </row>
    <row r="7271">
      <c r="B7271" s="25" t="n"/>
      <c r="I7271" s="25" t="n"/>
      <c r="U7271" s="19">
        <f>IF(AND($V7271='設定'!$C$4,COUNTIF('商品マスタ'!$B$6:$B$1005,$W7271)=0),N(U7270)+1,N(U7270))</f>
        <v/>
      </c>
      <c r="V7271" s="19">
        <f>IF($B7271="","",TEXT($B7271,"0000"))</f>
        <v/>
      </c>
      <c r="W7271" s="19">
        <f>IF($I7271="","",IF(ISNUMBER($I7271),TEXT($I7271,"0"),$I7271))</f>
        <v/>
      </c>
    </row>
    <row r="7272">
      <c r="B7272" s="25" t="n"/>
      <c r="I7272" s="25" t="n"/>
      <c r="U7272" s="19">
        <f>IF(AND($V7272='設定'!$C$4,COUNTIF('商品マスタ'!$B$6:$B$1005,$W7272)=0),N(U7271)+1,N(U7271))</f>
        <v/>
      </c>
      <c r="V7272" s="19">
        <f>IF($B7272="","",TEXT($B7272,"0000"))</f>
        <v/>
      </c>
      <c r="W7272" s="19">
        <f>IF($I7272="","",IF(ISNUMBER($I7272),TEXT($I7272,"0"),$I7272))</f>
        <v/>
      </c>
    </row>
    <row r="7273">
      <c r="B7273" s="25" t="n"/>
      <c r="I7273" s="25" t="n"/>
      <c r="U7273" s="19">
        <f>IF(AND($V7273='設定'!$C$4,COUNTIF('商品マスタ'!$B$6:$B$1005,$W7273)=0),N(U7272)+1,N(U7272))</f>
        <v/>
      </c>
      <c r="V7273" s="19">
        <f>IF($B7273="","",TEXT($B7273,"0000"))</f>
        <v/>
      </c>
      <c r="W7273" s="19">
        <f>IF($I7273="","",IF(ISNUMBER($I7273),TEXT($I7273,"0"),$I7273))</f>
        <v/>
      </c>
    </row>
    <row r="7274">
      <c r="B7274" s="25" t="n"/>
      <c r="I7274" s="25" t="n"/>
      <c r="U7274" s="19">
        <f>IF(AND($V7274='設定'!$C$4,COUNTIF('商品マスタ'!$B$6:$B$1005,$W7274)=0),N(U7273)+1,N(U7273))</f>
        <v/>
      </c>
      <c r="V7274" s="19">
        <f>IF($B7274="","",TEXT($B7274,"0000"))</f>
        <v/>
      </c>
      <c r="W7274" s="19">
        <f>IF($I7274="","",IF(ISNUMBER($I7274),TEXT($I7274,"0"),$I7274))</f>
        <v/>
      </c>
    </row>
    <row r="7275">
      <c r="B7275" s="25" t="n"/>
      <c r="I7275" s="25" t="n"/>
      <c r="U7275" s="19">
        <f>IF(AND($V7275='設定'!$C$4,COUNTIF('商品マスタ'!$B$6:$B$1005,$W7275)=0),N(U7274)+1,N(U7274))</f>
        <v/>
      </c>
      <c r="V7275" s="19">
        <f>IF($B7275="","",TEXT($B7275,"0000"))</f>
        <v/>
      </c>
      <c r="W7275" s="19">
        <f>IF($I7275="","",IF(ISNUMBER($I7275),TEXT($I7275,"0"),$I7275))</f>
        <v/>
      </c>
    </row>
    <row r="7276">
      <c r="B7276" s="25" t="n"/>
      <c r="I7276" s="25" t="n"/>
      <c r="U7276" s="19">
        <f>IF(AND($V7276='設定'!$C$4,COUNTIF('商品マスタ'!$B$6:$B$1005,$W7276)=0),N(U7275)+1,N(U7275))</f>
        <v/>
      </c>
      <c r="V7276" s="19">
        <f>IF($B7276="","",TEXT($B7276,"0000"))</f>
        <v/>
      </c>
      <c r="W7276" s="19">
        <f>IF($I7276="","",IF(ISNUMBER($I7276),TEXT($I7276,"0"),$I7276))</f>
        <v/>
      </c>
    </row>
    <row r="7277">
      <c r="B7277" s="25" t="n"/>
      <c r="I7277" s="25" t="n"/>
      <c r="U7277" s="19">
        <f>IF(AND($V7277='設定'!$C$4,COUNTIF('商品マスタ'!$B$6:$B$1005,$W7277)=0),N(U7276)+1,N(U7276))</f>
        <v/>
      </c>
      <c r="V7277" s="19">
        <f>IF($B7277="","",TEXT($B7277,"0000"))</f>
        <v/>
      </c>
      <c r="W7277" s="19">
        <f>IF($I7277="","",IF(ISNUMBER($I7277),TEXT($I7277,"0"),$I7277))</f>
        <v/>
      </c>
    </row>
    <row r="7278">
      <c r="B7278" s="25" t="n"/>
      <c r="I7278" s="25" t="n"/>
      <c r="U7278" s="19">
        <f>IF(AND($V7278='設定'!$C$4,COUNTIF('商品マスタ'!$B$6:$B$1005,$W7278)=0),N(U7277)+1,N(U7277))</f>
        <v/>
      </c>
      <c r="V7278" s="19">
        <f>IF($B7278="","",TEXT($B7278,"0000"))</f>
        <v/>
      </c>
      <c r="W7278" s="19">
        <f>IF($I7278="","",IF(ISNUMBER($I7278),TEXT($I7278,"0"),$I7278))</f>
        <v/>
      </c>
    </row>
    <row r="7279">
      <c r="B7279" s="25" t="n"/>
      <c r="I7279" s="25" t="n"/>
      <c r="U7279" s="19">
        <f>IF(AND($V7279='設定'!$C$4,COUNTIF('商品マスタ'!$B$6:$B$1005,$W7279)=0),N(U7278)+1,N(U7278))</f>
        <v/>
      </c>
      <c r="V7279" s="19">
        <f>IF($B7279="","",TEXT($B7279,"0000"))</f>
        <v/>
      </c>
      <c r="W7279" s="19">
        <f>IF($I7279="","",IF(ISNUMBER($I7279),TEXT($I7279,"0"),$I7279))</f>
        <v/>
      </c>
    </row>
    <row r="7280">
      <c r="B7280" s="25" t="n"/>
      <c r="I7280" s="25" t="n"/>
      <c r="U7280" s="19">
        <f>IF(AND($V7280='設定'!$C$4,COUNTIF('商品マスタ'!$B$6:$B$1005,$W7280)=0),N(U7279)+1,N(U7279))</f>
        <v/>
      </c>
      <c r="V7280" s="19">
        <f>IF($B7280="","",TEXT($B7280,"0000"))</f>
        <v/>
      </c>
      <c r="W7280" s="19">
        <f>IF($I7280="","",IF(ISNUMBER($I7280),TEXT($I7280,"0"),$I7280))</f>
        <v/>
      </c>
    </row>
    <row r="7281">
      <c r="B7281" s="25" t="n"/>
      <c r="I7281" s="25" t="n"/>
      <c r="U7281" s="19">
        <f>IF(AND($V7281='設定'!$C$4,COUNTIF('商品マスタ'!$B$6:$B$1005,$W7281)=0),N(U7280)+1,N(U7280))</f>
        <v/>
      </c>
      <c r="V7281" s="19">
        <f>IF($B7281="","",TEXT($B7281,"0000"))</f>
        <v/>
      </c>
      <c r="W7281" s="19">
        <f>IF($I7281="","",IF(ISNUMBER($I7281),TEXT($I7281,"0"),$I7281))</f>
        <v/>
      </c>
    </row>
    <row r="7282">
      <c r="B7282" s="25" t="n"/>
      <c r="I7282" s="25" t="n"/>
      <c r="U7282" s="19">
        <f>IF(AND($V7282='設定'!$C$4,COUNTIF('商品マスタ'!$B$6:$B$1005,$W7282)=0),N(U7281)+1,N(U7281))</f>
        <v/>
      </c>
      <c r="V7282" s="19">
        <f>IF($B7282="","",TEXT($B7282,"0000"))</f>
        <v/>
      </c>
      <c r="W7282" s="19">
        <f>IF($I7282="","",IF(ISNUMBER($I7282),TEXT($I7282,"0"),$I7282))</f>
        <v/>
      </c>
    </row>
    <row r="7283">
      <c r="B7283" s="25" t="n"/>
      <c r="I7283" s="25" t="n"/>
      <c r="U7283" s="19">
        <f>IF(AND($V7283='設定'!$C$4,COUNTIF('商品マスタ'!$B$6:$B$1005,$W7283)=0),N(U7282)+1,N(U7282))</f>
        <v/>
      </c>
      <c r="V7283" s="19">
        <f>IF($B7283="","",TEXT($B7283,"0000"))</f>
        <v/>
      </c>
      <c r="W7283" s="19">
        <f>IF($I7283="","",IF(ISNUMBER($I7283),TEXT($I7283,"0"),$I7283))</f>
        <v/>
      </c>
    </row>
    <row r="7284">
      <c r="B7284" s="25" t="n"/>
      <c r="I7284" s="25" t="n"/>
      <c r="U7284" s="19">
        <f>IF(AND($V7284='設定'!$C$4,COUNTIF('商品マスタ'!$B$6:$B$1005,$W7284)=0),N(U7283)+1,N(U7283))</f>
        <v/>
      </c>
      <c r="V7284" s="19">
        <f>IF($B7284="","",TEXT($B7284,"0000"))</f>
        <v/>
      </c>
      <c r="W7284" s="19">
        <f>IF($I7284="","",IF(ISNUMBER($I7284),TEXT($I7284,"0"),$I7284))</f>
        <v/>
      </c>
    </row>
    <row r="7285">
      <c r="B7285" s="25" t="n"/>
      <c r="I7285" s="25" t="n"/>
      <c r="U7285" s="19">
        <f>IF(AND($V7285='設定'!$C$4,COUNTIF('商品マスタ'!$B$6:$B$1005,$W7285)=0),N(U7284)+1,N(U7284))</f>
        <v/>
      </c>
      <c r="V7285" s="19">
        <f>IF($B7285="","",TEXT($B7285,"0000"))</f>
        <v/>
      </c>
      <c r="W7285" s="19">
        <f>IF($I7285="","",IF(ISNUMBER($I7285),TEXT($I7285,"0"),$I7285))</f>
        <v/>
      </c>
    </row>
    <row r="7286">
      <c r="B7286" s="25" t="n"/>
      <c r="I7286" s="25" t="n"/>
      <c r="U7286" s="19">
        <f>IF(AND($V7286='設定'!$C$4,COUNTIF('商品マスタ'!$B$6:$B$1005,$W7286)=0),N(U7285)+1,N(U7285))</f>
        <v/>
      </c>
      <c r="V7286" s="19">
        <f>IF($B7286="","",TEXT($B7286,"0000"))</f>
        <v/>
      </c>
      <c r="W7286" s="19">
        <f>IF($I7286="","",IF(ISNUMBER($I7286),TEXT($I7286,"0"),$I7286))</f>
        <v/>
      </c>
    </row>
    <row r="7287">
      <c r="B7287" s="25" t="n"/>
      <c r="I7287" s="25" t="n"/>
      <c r="U7287" s="19">
        <f>IF(AND($V7287='設定'!$C$4,COUNTIF('商品マスタ'!$B$6:$B$1005,$W7287)=0),N(U7286)+1,N(U7286))</f>
        <v/>
      </c>
      <c r="V7287" s="19">
        <f>IF($B7287="","",TEXT($B7287,"0000"))</f>
        <v/>
      </c>
      <c r="W7287" s="19">
        <f>IF($I7287="","",IF(ISNUMBER($I7287),TEXT($I7287,"0"),$I7287))</f>
        <v/>
      </c>
    </row>
    <row r="7288">
      <c r="B7288" s="25" t="n"/>
      <c r="I7288" s="25" t="n"/>
      <c r="U7288" s="19">
        <f>IF(AND($V7288='設定'!$C$4,COUNTIF('商品マスタ'!$B$6:$B$1005,$W7288)=0),N(U7287)+1,N(U7287))</f>
        <v/>
      </c>
      <c r="V7288" s="19">
        <f>IF($B7288="","",TEXT($B7288,"0000"))</f>
        <v/>
      </c>
      <c r="W7288" s="19">
        <f>IF($I7288="","",IF(ISNUMBER($I7288),TEXT($I7288,"0"),$I7288))</f>
        <v/>
      </c>
    </row>
    <row r="7289">
      <c r="B7289" s="25" t="n"/>
      <c r="I7289" s="25" t="n"/>
      <c r="U7289" s="19">
        <f>IF(AND($V7289='設定'!$C$4,COUNTIF('商品マスタ'!$B$6:$B$1005,$W7289)=0),N(U7288)+1,N(U7288))</f>
        <v/>
      </c>
      <c r="V7289" s="19">
        <f>IF($B7289="","",TEXT($B7289,"0000"))</f>
        <v/>
      </c>
      <c r="W7289" s="19">
        <f>IF($I7289="","",IF(ISNUMBER($I7289),TEXT($I7289,"0"),$I7289))</f>
        <v/>
      </c>
    </row>
    <row r="7290">
      <c r="B7290" s="25" t="n"/>
      <c r="I7290" s="25" t="n"/>
      <c r="U7290" s="19">
        <f>IF(AND($V7290='設定'!$C$4,COUNTIF('商品マスタ'!$B$6:$B$1005,$W7290)=0),N(U7289)+1,N(U7289))</f>
        <v/>
      </c>
      <c r="V7290" s="19">
        <f>IF($B7290="","",TEXT($B7290,"0000"))</f>
        <v/>
      </c>
      <c r="W7290" s="19">
        <f>IF($I7290="","",IF(ISNUMBER($I7290),TEXT($I7290,"0"),$I7290))</f>
        <v/>
      </c>
    </row>
    <row r="7291">
      <c r="B7291" s="25" t="n"/>
      <c r="I7291" s="25" t="n"/>
      <c r="U7291" s="19">
        <f>IF(AND($V7291='設定'!$C$4,COUNTIF('商品マスタ'!$B$6:$B$1005,$W7291)=0),N(U7290)+1,N(U7290))</f>
        <v/>
      </c>
      <c r="V7291" s="19">
        <f>IF($B7291="","",TEXT($B7291,"0000"))</f>
        <v/>
      </c>
      <c r="W7291" s="19">
        <f>IF($I7291="","",IF(ISNUMBER($I7291),TEXT($I7291,"0"),$I7291))</f>
        <v/>
      </c>
    </row>
    <row r="7292">
      <c r="B7292" s="25" t="n"/>
      <c r="I7292" s="25" t="n"/>
      <c r="U7292" s="19">
        <f>IF(AND($V7292='設定'!$C$4,COUNTIF('商品マスタ'!$B$6:$B$1005,$W7292)=0),N(U7291)+1,N(U7291))</f>
        <v/>
      </c>
      <c r="V7292" s="19">
        <f>IF($B7292="","",TEXT($B7292,"0000"))</f>
        <v/>
      </c>
      <c r="W7292" s="19">
        <f>IF($I7292="","",IF(ISNUMBER($I7292),TEXT($I7292,"0"),$I7292))</f>
        <v/>
      </c>
    </row>
    <row r="7293">
      <c r="B7293" s="25" t="n"/>
      <c r="I7293" s="25" t="n"/>
      <c r="U7293" s="19">
        <f>IF(AND($V7293='設定'!$C$4,COUNTIF('商品マスタ'!$B$6:$B$1005,$W7293)=0),N(U7292)+1,N(U7292))</f>
        <v/>
      </c>
      <c r="V7293" s="19">
        <f>IF($B7293="","",TEXT($B7293,"0000"))</f>
        <v/>
      </c>
      <c r="W7293" s="19">
        <f>IF($I7293="","",IF(ISNUMBER($I7293),TEXT($I7293,"0"),$I7293))</f>
        <v/>
      </c>
    </row>
    <row r="7294">
      <c r="B7294" s="25" t="n"/>
      <c r="I7294" s="25" t="n"/>
      <c r="U7294" s="19">
        <f>IF(AND($V7294='設定'!$C$4,COUNTIF('商品マスタ'!$B$6:$B$1005,$W7294)=0),N(U7293)+1,N(U7293))</f>
        <v/>
      </c>
      <c r="V7294" s="19">
        <f>IF($B7294="","",TEXT($B7294,"0000"))</f>
        <v/>
      </c>
      <c r="W7294" s="19">
        <f>IF($I7294="","",IF(ISNUMBER($I7294),TEXT($I7294,"0"),$I7294))</f>
        <v/>
      </c>
    </row>
    <row r="7295">
      <c r="B7295" s="25" t="n"/>
      <c r="I7295" s="25" t="n"/>
      <c r="U7295" s="19">
        <f>IF(AND($V7295='設定'!$C$4,COUNTIF('商品マスタ'!$B$6:$B$1005,$W7295)=0),N(U7294)+1,N(U7294))</f>
        <v/>
      </c>
      <c r="V7295" s="19">
        <f>IF($B7295="","",TEXT($B7295,"0000"))</f>
        <v/>
      </c>
      <c r="W7295" s="19">
        <f>IF($I7295="","",IF(ISNUMBER($I7295),TEXT($I7295,"0"),$I7295))</f>
        <v/>
      </c>
    </row>
    <row r="7296">
      <c r="B7296" s="25" t="n"/>
      <c r="I7296" s="25" t="n"/>
      <c r="U7296" s="19">
        <f>IF(AND($V7296='設定'!$C$4,COUNTIF('商品マスタ'!$B$6:$B$1005,$W7296)=0),N(U7295)+1,N(U7295))</f>
        <v/>
      </c>
      <c r="V7296" s="19">
        <f>IF($B7296="","",TEXT($B7296,"0000"))</f>
        <v/>
      </c>
      <c r="W7296" s="19">
        <f>IF($I7296="","",IF(ISNUMBER($I7296),TEXT($I7296,"0"),$I7296))</f>
        <v/>
      </c>
    </row>
    <row r="7297">
      <c r="B7297" s="25" t="n"/>
      <c r="I7297" s="25" t="n"/>
      <c r="U7297" s="19">
        <f>IF(AND($V7297='設定'!$C$4,COUNTIF('商品マスタ'!$B$6:$B$1005,$W7297)=0),N(U7296)+1,N(U7296))</f>
        <v/>
      </c>
      <c r="V7297" s="19">
        <f>IF($B7297="","",TEXT($B7297,"0000"))</f>
        <v/>
      </c>
      <c r="W7297" s="19">
        <f>IF($I7297="","",IF(ISNUMBER($I7297),TEXT($I7297,"0"),$I7297))</f>
        <v/>
      </c>
    </row>
    <row r="7298">
      <c r="B7298" s="25" t="n"/>
      <c r="I7298" s="25" t="n"/>
      <c r="U7298" s="19">
        <f>IF(AND($V7298='設定'!$C$4,COUNTIF('商品マスタ'!$B$6:$B$1005,$W7298)=0),N(U7297)+1,N(U7297))</f>
        <v/>
      </c>
      <c r="V7298" s="19">
        <f>IF($B7298="","",TEXT($B7298,"0000"))</f>
        <v/>
      </c>
      <c r="W7298" s="19">
        <f>IF($I7298="","",IF(ISNUMBER($I7298),TEXT($I7298,"0"),$I7298))</f>
        <v/>
      </c>
    </row>
    <row r="7299">
      <c r="B7299" s="25" t="n"/>
      <c r="I7299" s="25" t="n"/>
      <c r="U7299" s="19">
        <f>IF(AND($V7299='設定'!$C$4,COUNTIF('商品マスタ'!$B$6:$B$1005,$W7299)=0),N(U7298)+1,N(U7298))</f>
        <v/>
      </c>
      <c r="V7299" s="19">
        <f>IF($B7299="","",TEXT($B7299,"0000"))</f>
        <v/>
      </c>
      <c r="W7299" s="19">
        <f>IF($I7299="","",IF(ISNUMBER($I7299),TEXT($I7299,"0"),$I7299))</f>
        <v/>
      </c>
    </row>
    <row r="7300">
      <c r="B7300" s="25" t="n"/>
      <c r="I7300" s="25" t="n"/>
      <c r="U7300" s="19">
        <f>IF(AND($V7300='設定'!$C$4,COUNTIF('商品マスタ'!$B$6:$B$1005,$W7300)=0),N(U7299)+1,N(U7299))</f>
        <v/>
      </c>
      <c r="V7300" s="19">
        <f>IF($B7300="","",TEXT($B7300,"0000"))</f>
        <v/>
      </c>
      <c r="W7300" s="19">
        <f>IF($I7300="","",IF(ISNUMBER($I7300),TEXT($I7300,"0"),$I7300))</f>
        <v/>
      </c>
    </row>
    <row r="7301">
      <c r="B7301" s="25" t="n"/>
      <c r="I7301" s="25" t="n"/>
      <c r="U7301" s="19">
        <f>IF(AND($V7301='設定'!$C$4,COUNTIF('商品マスタ'!$B$6:$B$1005,$W7301)=0),N(U7300)+1,N(U7300))</f>
        <v/>
      </c>
      <c r="V7301" s="19">
        <f>IF($B7301="","",TEXT($B7301,"0000"))</f>
        <v/>
      </c>
      <c r="W7301" s="19">
        <f>IF($I7301="","",IF(ISNUMBER($I7301),TEXT($I7301,"0"),$I7301))</f>
        <v/>
      </c>
    </row>
    <row r="7302">
      <c r="B7302" s="25" t="n"/>
      <c r="I7302" s="25" t="n"/>
      <c r="U7302" s="19">
        <f>IF(AND($V7302='設定'!$C$4,COUNTIF('商品マスタ'!$B$6:$B$1005,$W7302)=0),N(U7301)+1,N(U7301))</f>
        <v/>
      </c>
      <c r="V7302" s="19">
        <f>IF($B7302="","",TEXT($B7302,"0000"))</f>
        <v/>
      </c>
      <c r="W7302" s="19">
        <f>IF($I7302="","",IF(ISNUMBER($I7302),TEXT($I7302,"0"),$I7302))</f>
        <v/>
      </c>
    </row>
    <row r="7303">
      <c r="B7303" s="25" t="n"/>
      <c r="I7303" s="25" t="n"/>
      <c r="U7303" s="19">
        <f>IF(AND($V7303='設定'!$C$4,COUNTIF('商品マスタ'!$B$6:$B$1005,$W7303)=0),N(U7302)+1,N(U7302))</f>
        <v/>
      </c>
      <c r="V7303" s="19">
        <f>IF($B7303="","",TEXT($B7303,"0000"))</f>
        <v/>
      </c>
      <c r="W7303" s="19">
        <f>IF($I7303="","",IF(ISNUMBER($I7303),TEXT($I7303,"0"),$I7303))</f>
        <v/>
      </c>
    </row>
    <row r="7304">
      <c r="B7304" s="25" t="n"/>
      <c r="I7304" s="25" t="n"/>
      <c r="U7304" s="19">
        <f>IF(AND($V7304='設定'!$C$4,COUNTIF('商品マスタ'!$B$6:$B$1005,$W7304)=0),N(U7303)+1,N(U7303))</f>
        <v/>
      </c>
      <c r="V7304" s="19">
        <f>IF($B7304="","",TEXT($B7304,"0000"))</f>
        <v/>
      </c>
      <c r="W7304" s="19">
        <f>IF($I7304="","",IF(ISNUMBER($I7304),TEXT($I7304,"0"),$I7304))</f>
        <v/>
      </c>
    </row>
    <row r="7305">
      <c r="B7305" s="25" t="n"/>
      <c r="I7305" s="25" t="n"/>
      <c r="U7305" s="19">
        <f>IF(AND($V7305='設定'!$C$4,COUNTIF('商品マスタ'!$B$6:$B$1005,$W7305)=0),N(U7304)+1,N(U7304))</f>
        <v/>
      </c>
      <c r="V7305" s="19">
        <f>IF($B7305="","",TEXT($B7305,"0000"))</f>
        <v/>
      </c>
      <c r="W7305" s="19">
        <f>IF($I7305="","",IF(ISNUMBER($I7305),TEXT($I7305,"0"),$I7305))</f>
        <v/>
      </c>
    </row>
    <row r="7306">
      <c r="B7306" s="25" t="n"/>
      <c r="I7306" s="25" t="n"/>
      <c r="U7306" s="19">
        <f>IF(AND($V7306='設定'!$C$4,COUNTIF('商品マスタ'!$B$6:$B$1005,$W7306)=0),N(U7305)+1,N(U7305))</f>
        <v/>
      </c>
      <c r="V7306" s="19">
        <f>IF($B7306="","",TEXT($B7306,"0000"))</f>
        <v/>
      </c>
      <c r="W7306" s="19">
        <f>IF($I7306="","",IF(ISNUMBER($I7306),TEXT($I7306,"0"),$I7306))</f>
        <v/>
      </c>
    </row>
    <row r="7307">
      <c r="B7307" s="25" t="n"/>
      <c r="I7307" s="25" t="n"/>
      <c r="U7307" s="19">
        <f>IF(AND($V7307='設定'!$C$4,COUNTIF('商品マスタ'!$B$6:$B$1005,$W7307)=0),N(U7306)+1,N(U7306))</f>
        <v/>
      </c>
      <c r="V7307" s="19">
        <f>IF($B7307="","",TEXT($B7307,"0000"))</f>
        <v/>
      </c>
      <c r="W7307" s="19">
        <f>IF($I7307="","",IF(ISNUMBER($I7307),TEXT($I7307,"0"),$I7307))</f>
        <v/>
      </c>
    </row>
    <row r="7308">
      <c r="B7308" s="25" t="n"/>
      <c r="I7308" s="25" t="n"/>
      <c r="U7308" s="19">
        <f>IF(AND($V7308='設定'!$C$4,COUNTIF('商品マスタ'!$B$6:$B$1005,$W7308)=0),N(U7307)+1,N(U7307))</f>
        <v/>
      </c>
      <c r="V7308" s="19">
        <f>IF($B7308="","",TEXT($B7308,"0000"))</f>
        <v/>
      </c>
      <c r="W7308" s="19">
        <f>IF($I7308="","",IF(ISNUMBER($I7308),TEXT($I7308,"0"),$I7308))</f>
        <v/>
      </c>
    </row>
    <row r="7309">
      <c r="B7309" s="25" t="n"/>
      <c r="I7309" s="25" t="n"/>
      <c r="U7309" s="19">
        <f>IF(AND($V7309='設定'!$C$4,COUNTIF('商品マスタ'!$B$6:$B$1005,$W7309)=0),N(U7308)+1,N(U7308))</f>
        <v/>
      </c>
      <c r="V7309" s="19">
        <f>IF($B7309="","",TEXT($B7309,"0000"))</f>
        <v/>
      </c>
      <c r="W7309" s="19">
        <f>IF($I7309="","",IF(ISNUMBER($I7309),TEXT($I7309,"0"),$I7309))</f>
        <v/>
      </c>
    </row>
    <row r="7310">
      <c r="B7310" s="25" t="n"/>
      <c r="I7310" s="25" t="n"/>
      <c r="U7310" s="19">
        <f>IF(AND($V7310='設定'!$C$4,COUNTIF('商品マスタ'!$B$6:$B$1005,$W7310)=0),N(U7309)+1,N(U7309))</f>
        <v/>
      </c>
      <c r="V7310" s="19">
        <f>IF($B7310="","",TEXT($B7310,"0000"))</f>
        <v/>
      </c>
      <c r="W7310" s="19">
        <f>IF($I7310="","",IF(ISNUMBER($I7310),TEXT($I7310,"0"),$I7310))</f>
        <v/>
      </c>
    </row>
    <row r="7311">
      <c r="B7311" s="25" t="n"/>
      <c r="I7311" s="25" t="n"/>
      <c r="U7311" s="19">
        <f>IF(AND($V7311='設定'!$C$4,COUNTIF('商品マスタ'!$B$6:$B$1005,$W7311)=0),N(U7310)+1,N(U7310))</f>
        <v/>
      </c>
      <c r="V7311" s="19">
        <f>IF($B7311="","",TEXT($B7311,"0000"))</f>
        <v/>
      </c>
      <c r="W7311" s="19">
        <f>IF($I7311="","",IF(ISNUMBER($I7311),TEXT($I7311,"0"),$I7311))</f>
        <v/>
      </c>
    </row>
    <row r="7312">
      <c r="B7312" s="25" t="n"/>
      <c r="I7312" s="25" t="n"/>
      <c r="U7312" s="19">
        <f>IF(AND($V7312='設定'!$C$4,COUNTIF('商品マスタ'!$B$6:$B$1005,$W7312)=0),N(U7311)+1,N(U7311))</f>
        <v/>
      </c>
      <c r="V7312" s="19">
        <f>IF($B7312="","",TEXT($B7312,"0000"))</f>
        <v/>
      </c>
      <c r="W7312" s="19">
        <f>IF($I7312="","",IF(ISNUMBER($I7312),TEXT($I7312,"0"),$I7312))</f>
        <v/>
      </c>
    </row>
    <row r="7313">
      <c r="B7313" s="25" t="n"/>
      <c r="I7313" s="25" t="n"/>
      <c r="U7313" s="19">
        <f>IF(AND($V7313='設定'!$C$4,COUNTIF('商品マスタ'!$B$6:$B$1005,$W7313)=0),N(U7312)+1,N(U7312))</f>
        <v/>
      </c>
      <c r="V7313" s="19">
        <f>IF($B7313="","",TEXT($B7313,"0000"))</f>
        <v/>
      </c>
      <c r="W7313" s="19">
        <f>IF($I7313="","",IF(ISNUMBER($I7313),TEXT($I7313,"0"),$I7313))</f>
        <v/>
      </c>
    </row>
    <row r="7314">
      <c r="B7314" s="25" t="n"/>
      <c r="I7314" s="25" t="n"/>
      <c r="U7314" s="19">
        <f>IF(AND($V7314='設定'!$C$4,COUNTIF('商品マスタ'!$B$6:$B$1005,$W7314)=0),N(U7313)+1,N(U7313))</f>
        <v/>
      </c>
      <c r="V7314" s="19">
        <f>IF($B7314="","",TEXT($B7314,"0000"))</f>
        <v/>
      </c>
      <c r="W7314" s="19">
        <f>IF($I7314="","",IF(ISNUMBER($I7314),TEXT($I7314,"0"),$I7314))</f>
        <v/>
      </c>
    </row>
    <row r="7315">
      <c r="B7315" s="25" t="n"/>
      <c r="I7315" s="25" t="n"/>
      <c r="U7315" s="19">
        <f>IF(AND($V7315='設定'!$C$4,COUNTIF('商品マスタ'!$B$6:$B$1005,$W7315)=0),N(U7314)+1,N(U7314))</f>
        <v/>
      </c>
      <c r="V7315" s="19">
        <f>IF($B7315="","",TEXT($B7315,"0000"))</f>
        <v/>
      </c>
      <c r="W7315" s="19">
        <f>IF($I7315="","",IF(ISNUMBER($I7315),TEXT($I7315,"0"),$I7315))</f>
        <v/>
      </c>
    </row>
    <row r="7316">
      <c r="B7316" s="25" t="n"/>
      <c r="I7316" s="25" t="n"/>
      <c r="U7316" s="19">
        <f>IF(AND($V7316='設定'!$C$4,COUNTIF('商品マスタ'!$B$6:$B$1005,$W7316)=0),N(U7315)+1,N(U7315))</f>
        <v/>
      </c>
      <c r="V7316" s="19">
        <f>IF($B7316="","",TEXT($B7316,"0000"))</f>
        <v/>
      </c>
      <c r="W7316" s="19">
        <f>IF($I7316="","",IF(ISNUMBER($I7316),TEXT($I7316,"0"),$I7316))</f>
        <v/>
      </c>
    </row>
    <row r="7317">
      <c r="B7317" s="25" t="n"/>
      <c r="I7317" s="25" t="n"/>
      <c r="U7317" s="19">
        <f>IF(AND($V7317='設定'!$C$4,COUNTIF('商品マスタ'!$B$6:$B$1005,$W7317)=0),N(U7316)+1,N(U7316))</f>
        <v/>
      </c>
      <c r="V7317" s="19">
        <f>IF($B7317="","",TEXT($B7317,"0000"))</f>
        <v/>
      </c>
      <c r="W7317" s="19">
        <f>IF($I7317="","",IF(ISNUMBER($I7317),TEXT($I7317,"0"),$I7317))</f>
        <v/>
      </c>
    </row>
    <row r="7318">
      <c r="B7318" s="25" t="n"/>
      <c r="I7318" s="25" t="n"/>
      <c r="U7318" s="19">
        <f>IF(AND($V7318='設定'!$C$4,COUNTIF('商品マスタ'!$B$6:$B$1005,$W7318)=0),N(U7317)+1,N(U7317))</f>
        <v/>
      </c>
      <c r="V7318" s="19">
        <f>IF($B7318="","",TEXT($B7318,"0000"))</f>
        <v/>
      </c>
      <c r="W7318" s="19">
        <f>IF($I7318="","",IF(ISNUMBER($I7318),TEXT($I7318,"0"),$I7318))</f>
        <v/>
      </c>
    </row>
    <row r="7319">
      <c r="B7319" s="25" t="n"/>
      <c r="I7319" s="25" t="n"/>
      <c r="U7319" s="19">
        <f>IF(AND($V7319='設定'!$C$4,COUNTIF('商品マスタ'!$B$6:$B$1005,$W7319)=0),N(U7318)+1,N(U7318))</f>
        <v/>
      </c>
      <c r="V7319" s="19">
        <f>IF($B7319="","",TEXT($B7319,"0000"))</f>
        <v/>
      </c>
      <c r="W7319" s="19">
        <f>IF($I7319="","",IF(ISNUMBER($I7319),TEXT($I7319,"0"),$I7319))</f>
        <v/>
      </c>
    </row>
    <row r="7320">
      <c r="B7320" s="25" t="n"/>
      <c r="I7320" s="25" t="n"/>
      <c r="U7320" s="19">
        <f>IF(AND($V7320='設定'!$C$4,COUNTIF('商品マスタ'!$B$6:$B$1005,$W7320)=0),N(U7319)+1,N(U7319))</f>
        <v/>
      </c>
      <c r="V7320" s="19">
        <f>IF($B7320="","",TEXT($B7320,"0000"))</f>
        <v/>
      </c>
      <c r="W7320" s="19">
        <f>IF($I7320="","",IF(ISNUMBER($I7320),TEXT($I7320,"0"),$I7320))</f>
        <v/>
      </c>
    </row>
    <row r="7321">
      <c r="B7321" s="25" t="n"/>
      <c r="I7321" s="25" t="n"/>
      <c r="U7321" s="19">
        <f>IF(AND($V7321='設定'!$C$4,COUNTIF('商品マスタ'!$B$6:$B$1005,$W7321)=0),N(U7320)+1,N(U7320))</f>
        <v/>
      </c>
      <c r="V7321" s="19">
        <f>IF($B7321="","",TEXT($B7321,"0000"))</f>
        <v/>
      </c>
      <c r="W7321" s="19">
        <f>IF($I7321="","",IF(ISNUMBER($I7321),TEXT($I7321,"0"),$I7321))</f>
        <v/>
      </c>
    </row>
    <row r="7322">
      <c r="B7322" s="25" t="n"/>
      <c r="I7322" s="25" t="n"/>
      <c r="U7322" s="19">
        <f>IF(AND($V7322='設定'!$C$4,COUNTIF('商品マスタ'!$B$6:$B$1005,$W7322)=0),N(U7321)+1,N(U7321))</f>
        <v/>
      </c>
      <c r="V7322" s="19">
        <f>IF($B7322="","",TEXT($B7322,"0000"))</f>
        <v/>
      </c>
      <c r="W7322" s="19">
        <f>IF($I7322="","",IF(ISNUMBER($I7322),TEXT($I7322,"0"),$I7322))</f>
        <v/>
      </c>
    </row>
    <row r="7323">
      <c r="B7323" s="25" t="n"/>
      <c r="I7323" s="25" t="n"/>
      <c r="U7323" s="19">
        <f>IF(AND($V7323='設定'!$C$4,COUNTIF('商品マスタ'!$B$6:$B$1005,$W7323)=0),N(U7322)+1,N(U7322))</f>
        <v/>
      </c>
      <c r="V7323" s="19">
        <f>IF($B7323="","",TEXT($B7323,"0000"))</f>
        <v/>
      </c>
      <c r="W7323" s="19">
        <f>IF($I7323="","",IF(ISNUMBER($I7323),TEXT($I7323,"0"),$I7323))</f>
        <v/>
      </c>
    </row>
    <row r="7324">
      <c r="B7324" s="25" t="n"/>
      <c r="I7324" s="25" t="n"/>
      <c r="U7324" s="19">
        <f>IF(AND($V7324='設定'!$C$4,COUNTIF('商品マスタ'!$B$6:$B$1005,$W7324)=0),N(U7323)+1,N(U7323))</f>
        <v/>
      </c>
      <c r="V7324" s="19">
        <f>IF($B7324="","",TEXT($B7324,"0000"))</f>
        <v/>
      </c>
      <c r="W7324" s="19">
        <f>IF($I7324="","",IF(ISNUMBER($I7324),TEXT($I7324,"0"),$I7324))</f>
        <v/>
      </c>
    </row>
    <row r="7325">
      <c r="B7325" s="25" t="n"/>
      <c r="I7325" s="25" t="n"/>
      <c r="U7325" s="19">
        <f>IF(AND($V7325='設定'!$C$4,COUNTIF('商品マスタ'!$B$6:$B$1005,$W7325)=0),N(U7324)+1,N(U7324))</f>
        <v/>
      </c>
      <c r="V7325" s="19">
        <f>IF($B7325="","",TEXT($B7325,"0000"))</f>
        <v/>
      </c>
      <c r="W7325" s="19">
        <f>IF($I7325="","",IF(ISNUMBER($I7325),TEXT($I7325,"0"),$I7325))</f>
        <v/>
      </c>
    </row>
    <row r="7326">
      <c r="B7326" s="25" t="n"/>
      <c r="I7326" s="25" t="n"/>
      <c r="U7326" s="19">
        <f>IF(AND($V7326='設定'!$C$4,COUNTIF('商品マスタ'!$B$6:$B$1005,$W7326)=0),N(U7325)+1,N(U7325))</f>
        <v/>
      </c>
      <c r="V7326" s="19">
        <f>IF($B7326="","",TEXT($B7326,"0000"))</f>
        <v/>
      </c>
      <c r="W7326" s="19">
        <f>IF($I7326="","",IF(ISNUMBER($I7326),TEXT($I7326,"0"),$I7326))</f>
        <v/>
      </c>
    </row>
    <row r="7327">
      <c r="B7327" s="25" t="n"/>
      <c r="I7327" s="25" t="n"/>
      <c r="U7327" s="19">
        <f>IF(AND($V7327='設定'!$C$4,COUNTIF('商品マスタ'!$B$6:$B$1005,$W7327)=0),N(U7326)+1,N(U7326))</f>
        <v/>
      </c>
      <c r="V7327" s="19">
        <f>IF($B7327="","",TEXT($B7327,"0000"))</f>
        <v/>
      </c>
      <c r="W7327" s="19">
        <f>IF($I7327="","",IF(ISNUMBER($I7327),TEXT($I7327,"0"),$I7327))</f>
        <v/>
      </c>
    </row>
    <row r="7328">
      <c r="B7328" s="25" t="n"/>
      <c r="I7328" s="25" t="n"/>
      <c r="U7328" s="19">
        <f>IF(AND($V7328='設定'!$C$4,COUNTIF('商品マスタ'!$B$6:$B$1005,$W7328)=0),N(U7327)+1,N(U7327))</f>
        <v/>
      </c>
      <c r="V7328" s="19">
        <f>IF($B7328="","",TEXT($B7328,"0000"))</f>
        <v/>
      </c>
      <c r="W7328" s="19">
        <f>IF($I7328="","",IF(ISNUMBER($I7328),TEXT($I7328,"0"),$I7328))</f>
        <v/>
      </c>
    </row>
    <row r="7329">
      <c r="B7329" s="25" t="n"/>
      <c r="I7329" s="25" t="n"/>
      <c r="U7329" s="19">
        <f>IF(AND($V7329='設定'!$C$4,COUNTIF('商品マスタ'!$B$6:$B$1005,$W7329)=0),N(U7328)+1,N(U7328))</f>
        <v/>
      </c>
      <c r="V7329" s="19">
        <f>IF($B7329="","",TEXT($B7329,"0000"))</f>
        <v/>
      </c>
      <c r="W7329" s="19">
        <f>IF($I7329="","",IF(ISNUMBER($I7329),TEXT($I7329,"0"),$I7329))</f>
        <v/>
      </c>
    </row>
    <row r="7330">
      <c r="B7330" s="25" t="n"/>
      <c r="I7330" s="25" t="n"/>
      <c r="U7330" s="19">
        <f>IF(AND($V7330='設定'!$C$4,COUNTIF('商品マスタ'!$B$6:$B$1005,$W7330)=0),N(U7329)+1,N(U7329))</f>
        <v/>
      </c>
      <c r="V7330" s="19">
        <f>IF($B7330="","",TEXT($B7330,"0000"))</f>
        <v/>
      </c>
      <c r="W7330" s="19">
        <f>IF($I7330="","",IF(ISNUMBER($I7330),TEXT($I7330,"0"),$I7330))</f>
        <v/>
      </c>
    </row>
    <row r="7331">
      <c r="B7331" s="25" t="n"/>
      <c r="I7331" s="25" t="n"/>
      <c r="U7331" s="19">
        <f>IF(AND($V7331='設定'!$C$4,COUNTIF('商品マスタ'!$B$6:$B$1005,$W7331)=0),N(U7330)+1,N(U7330))</f>
        <v/>
      </c>
      <c r="V7331" s="19">
        <f>IF($B7331="","",TEXT($B7331,"0000"))</f>
        <v/>
      </c>
      <c r="W7331" s="19">
        <f>IF($I7331="","",IF(ISNUMBER($I7331),TEXT($I7331,"0"),$I7331))</f>
        <v/>
      </c>
    </row>
    <row r="7332">
      <c r="B7332" s="25" t="n"/>
      <c r="I7332" s="25" t="n"/>
      <c r="U7332" s="19">
        <f>IF(AND($V7332='設定'!$C$4,COUNTIF('商品マスタ'!$B$6:$B$1005,$W7332)=0),N(U7331)+1,N(U7331))</f>
        <v/>
      </c>
      <c r="V7332" s="19">
        <f>IF($B7332="","",TEXT($B7332,"0000"))</f>
        <v/>
      </c>
      <c r="W7332" s="19">
        <f>IF($I7332="","",IF(ISNUMBER($I7332),TEXT($I7332,"0"),$I7332))</f>
        <v/>
      </c>
    </row>
    <row r="7333">
      <c r="B7333" s="25" t="n"/>
      <c r="I7333" s="25" t="n"/>
      <c r="U7333" s="19">
        <f>IF(AND($V7333='設定'!$C$4,COUNTIF('商品マスタ'!$B$6:$B$1005,$W7333)=0),N(U7332)+1,N(U7332))</f>
        <v/>
      </c>
      <c r="V7333" s="19">
        <f>IF($B7333="","",TEXT($B7333,"0000"))</f>
        <v/>
      </c>
      <c r="W7333" s="19">
        <f>IF($I7333="","",IF(ISNUMBER($I7333),TEXT($I7333,"0"),$I7333))</f>
        <v/>
      </c>
    </row>
    <row r="7334">
      <c r="B7334" s="25" t="n"/>
      <c r="I7334" s="25" t="n"/>
      <c r="U7334" s="19">
        <f>IF(AND($V7334='設定'!$C$4,COUNTIF('商品マスタ'!$B$6:$B$1005,$W7334)=0),N(U7333)+1,N(U7333))</f>
        <v/>
      </c>
      <c r="V7334" s="19">
        <f>IF($B7334="","",TEXT($B7334,"0000"))</f>
        <v/>
      </c>
      <c r="W7334" s="19">
        <f>IF($I7334="","",IF(ISNUMBER($I7334),TEXT($I7334,"0"),$I7334))</f>
        <v/>
      </c>
    </row>
    <row r="7335">
      <c r="B7335" s="25" t="n"/>
      <c r="I7335" s="25" t="n"/>
      <c r="U7335" s="19">
        <f>IF(AND($V7335='設定'!$C$4,COUNTIF('商品マスタ'!$B$6:$B$1005,$W7335)=0),N(U7334)+1,N(U7334))</f>
        <v/>
      </c>
      <c r="V7335" s="19">
        <f>IF($B7335="","",TEXT($B7335,"0000"))</f>
        <v/>
      </c>
      <c r="W7335" s="19">
        <f>IF($I7335="","",IF(ISNUMBER($I7335),TEXT($I7335,"0"),$I7335))</f>
        <v/>
      </c>
    </row>
    <row r="7336">
      <c r="B7336" s="25" t="n"/>
      <c r="I7336" s="25" t="n"/>
      <c r="U7336" s="19">
        <f>IF(AND($V7336='設定'!$C$4,COUNTIF('商品マスタ'!$B$6:$B$1005,$W7336)=0),N(U7335)+1,N(U7335))</f>
        <v/>
      </c>
      <c r="V7336" s="19">
        <f>IF($B7336="","",TEXT($B7336,"0000"))</f>
        <v/>
      </c>
      <c r="W7336" s="19">
        <f>IF($I7336="","",IF(ISNUMBER($I7336),TEXT($I7336,"0"),$I7336))</f>
        <v/>
      </c>
    </row>
    <row r="7337">
      <c r="B7337" s="25" t="n"/>
      <c r="I7337" s="25" t="n"/>
      <c r="U7337" s="19">
        <f>IF(AND($V7337='設定'!$C$4,COUNTIF('商品マスタ'!$B$6:$B$1005,$W7337)=0),N(U7336)+1,N(U7336))</f>
        <v/>
      </c>
      <c r="V7337" s="19">
        <f>IF($B7337="","",TEXT($B7337,"0000"))</f>
        <v/>
      </c>
      <c r="W7337" s="19">
        <f>IF($I7337="","",IF(ISNUMBER($I7337),TEXT($I7337,"0"),$I7337))</f>
        <v/>
      </c>
    </row>
    <row r="7338">
      <c r="B7338" s="25" t="n"/>
      <c r="I7338" s="25" t="n"/>
      <c r="U7338" s="19">
        <f>IF(AND($V7338='設定'!$C$4,COUNTIF('商品マスタ'!$B$6:$B$1005,$W7338)=0),N(U7337)+1,N(U7337))</f>
        <v/>
      </c>
      <c r="V7338" s="19">
        <f>IF($B7338="","",TEXT($B7338,"0000"))</f>
        <v/>
      </c>
      <c r="W7338" s="19">
        <f>IF($I7338="","",IF(ISNUMBER($I7338),TEXT($I7338,"0"),$I7338))</f>
        <v/>
      </c>
    </row>
    <row r="7339">
      <c r="B7339" s="25" t="n"/>
      <c r="I7339" s="25" t="n"/>
      <c r="U7339" s="19">
        <f>IF(AND($V7339='設定'!$C$4,COUNTIF('商品マスタ'!$B$6:$B$1005,$W7339)=0),N(U7338)+1,N(U7338))</f>
        <v/>
      </c>
      <c r="V7339" s="19">
        <f>IF($B7339="","",TEXT($B7339,"0000"))</f>
        <v/>
      </c>
      <c r="W7339" s="19">
        <f>IF($I7339="","",IF(ISNUMBER($I7339),TEXT($I7339,"0"),$I7339))</f>
        <v/>
      </c>
    </row>
    <row r="7340">
      <c r="B7340" s="25" t="n"/>
      <c r="I7340" s="25" t="n"/>
      <c r="U7340" s="19">
        <f>IF(AND($V7340='設定'!$C$4,COUNTIF('商品マスタ'!$B$6:$B$1005,$W7340)=0),N(U7339)+1,N(U7339))</f>
        <v/>
      </c>
      <c r="V7340" s="19">
        <f>IF($B7340="","",TEXT($B7340,"0000"))</f>
        <v/>
      </c>
      <c r="W7340" s="19">
        <f>IF($I7340="","",IF(ISNUMBER($I7340),TEXT($I7340,"0"),$I7340))</f>
        <v/>
      </c>
    </row>
    <row r="7341">
      <c r="B7341" s="25" t="n"/>
      <c r="I7341" s="25" t="n"/>
      <c r="U7341" s="19">
        <f>IF(AND($V7341='設定'!$C$4,COUNTIF('商品マスタ'!$B$6:$B$1005,$W7341)=0),N(U7340)+1,N(U7340))</f>
        <v/>
      </c>
      <c r="V7341" s="19">
        <f>IF($B7341="","",TEXT($B7341,"0000"))</f>
        <v/>
      </c>
      <c r="W7341" s="19">
        <f>IF($I7341="","",IF(ISNUMBER($I7341),TEXT($I7341,"0"),$I7341))</f>
        <v/>
      </c>
    </row>
    <row r="7342">
      <c r="B7342" s="25" t="n"/>
      <c r="I7342" s="25" t="n"/>
      <c r="U7342" s="19">
        <f>IF(AND($V7342='設定'!$C$4,COUNTIF('商品マスタ'!$B$6:$B$1005,$W7342)=0),N(U7341)+1,N(U7341))</f>
        <v/>
      </c>
      <c r="V7342" s="19">
        <f>IF($B7342="","",TEXT($B7342,"0000"))</f>
        <v/>
      </c>
      <c r="W7342" s="19">
        <f>IF($I7342="","",IF(ISNUMBER($I7342),TEXT($I7342,"0"),$I7342))</f>
        <v/>
      </c>
    </row>
    <row r="7343">
      <c r="B7343" s="25" t="n"/>
      <c r="I7343" s="25" t="n"/>
      <c r="U7343" s="19">
        <f>IF(AND($V7343='設定'!$C$4,COUNTIF('商品マスタ'!$B$6:$B$1005,$W7343)=0),N(U7342)+1,N(U7342))</f>
        <v/>
      </c>
      <c r="V7343" s="19">
        <f>IF($B7343="","",TEXT($B7343,"0000"))</f>
        <v/>
      </c>
      <c r="W7343" s="19">
        <f>IF($I7343="","",IF(ISNUMBER($I7343),TEXT($I7343,"0"),$I7343))</f>
        <v/>
      </c>
    </row>
    <row r="7344">
      <c r="B7344" s="25" t="n"/>
      <c r="I7344" s="25" t="n"/>
      <c r="U7344" s="19">
        <f>IF(AND($V7344='設定'!$C$4,COUNTIF('商品マスタ'!$B$6:$B$1005,$W7344)=0),N(U7343)+1,N(U7343))</f>
        <v/>
      </c>
      <c r="V7344" s="19">
        <f>IF($B7344="","",TEXT($B7344,"0000"))</f>
        <v/>
      </c>
      <c r="W7344" s="19">
        <f>IF($I7344="","",IF(ISNUMBER($I7344),TEXT($I7344,"0"),$I7344))</f>
        <v/>
      </c>
    </row>
    <row r="7345">
      <c r="B7345" s="25" t="n"/>
      <c r="I7345" s="25" t="n"/>
      <c r="U7345" s="19">
        <f>IF(AND($V7345='設定'!$C$4,COUNTIF('商品マスタ'!$B$6:$B$1005,$W7345)=0),N(U7344)+1,N(U7344))</f>
        <v/>
      </c>
      <c r="V7345" s="19">
        <f>IF($B7345="","",TEXT($B7345,"0000"))</f>
        <v/>
      </c>
      <c r="W7345" s="19">
        <f>IF($I7345="","",IF(ISNUMBER($I7345),TEXT($I7345,"0"),$I7345))</f>
        <v/>
      </c>
    </row>
    <row r="7346">
      <c r="B7346" s="25" t="n"/>
      <c r="I7346" s="25" t="n"/>
      <c r="U7346" s="19">
        <f>IF(AND($V7346='設定'!$C$4,COUNTIF('商品マスタ'!$B$6:$B$1005,$W7346)=0),N(U7345)+1,N(U7345))</f>
        <v/>
      </c>
      <c r="V7346" s="19">
        <f>IF($B7346="","",TEXT($B7346,"0000"))</f>
        <v/>
      </c>
      <c r="W7346" s="19">
        <f>IF($I7346="","",IF(ISNUMBER($I7346),TEXT($I7346,"0"),$I7346))</f>
        <v/>
      </c>
    </row>
    <row r="7347">
      <c r="B7347" s="25" t="n"/>
      <c r="I7347" s="25" t="n"/>
      <c r="U7347" s="19">
        <f>IF(AND($V7347='設定'!$C$4,COUNTIF('商品マスタ'!$B$6:$B$1005,$W7347)=0),N(U7346)+1,N(U7346))</f>
        <v/>
      </c>
      <c r="V7347" s="19">
        <f>IF($B7347="","",TEXT($B7347,"0000"))</f>
        <v/>
      </c>
      <c r="W7347" s="19">
        <f>IF($I7347="","",IF(ISNUMBER($I7347),TEXT($I7347,"0"),$I7347))</f>
        <v/>
      </c>
    </row>
    <row r="7348">
      <c r="B7348" s="25" t="n"/>
      <c r="I7348" s="25" t="n"/>
      <c r="U7348" s="19">
        <f>IF(AND($V7348='設定'!$C$4,COUNTIF('商品マスタ'!$B$6:$B$1005,$W7348)=0),N(U7347)+1,N(U7347))</f>
        <v/>
      </c>
      <c r="V7348" s="19">
        <f>IF($B7348="","",TEXT($B7348,"0000"))</f>
        <v/>
      </c>
      <c r="W7348" s="19">
        <f>IF($I7348="","",IF(ISNUMBER($I7348),TEXT($I7348,"0"),$I7348))</f>
        <v/>
      </c>
    </row>
    <row r="7349">
      <c r="B7349" s="25" t="n"/>
      <c r="I7349" s="25" t="n"/>
      <c r="U7349" s="19">
        <f>IF(AND($V7349='設定'!$C$4,COUNTIF('商品マスタ'!$B$6:$B$1005,$W7349)=0),N(U7348)+1,N(U7348))</f>
        <v/>
      </c>
      <c r="V7349" s="19">
        <f>IF($B7349="","",TEXT($B7349,"0000"))</f>
        <v/>
      </c>
      <c r="W7349" s="19">
        <f>IF($I7349="","",IF(ISNUMBER($I7349),TEXT($I7349,"0"),$I7349))</f>
        <v/>
      </c>
    </row>
    <row r="7350">
      <c r="B7350" s="25" t="n"/>
      <c r="I7350" s="25" t="n"/>
      <c r="U7350" s="19">
        <f>IF(AND($V7350='設定'!$C$4,COUNTIF('商品マスタ'!$B$6:$B$1005,$W7350)=0),N(U7349)+1,N(U7349))</f>
        <v/>
      </c>
      <c r="V7350" s="19">
        <f>IF($B7350="","",TEXT($B7350,"0000"))</f>
        <v/>
      </c>
      <c r="W7350" s="19">
        <f>IF($I7350="","",IF(ISNUMBER($I7350),TEXT($I7350,"0"),$I7350))</f>
        <v/>
      </c>
    </row>
    <row r="7351">
      <c r="B7351" s="25" t="n"/>
      <c r="I7351" s="25" t="n"/>
      <c r="U7351" s="19">
        <f>IF(AND($V7351='設定'!$C$4,COUNTIF('商品マスタ'!$B$6:$B$1005,$W7351)=0),N(U7350)+1,N(U7350))</f>
        <v/>
      </c>
      <c r="V7351" s="19">
        <f>IF($B7351="","",TEXT($B7351,"0000"))</f>
        <v/>
      </c>
      <c r="W7351" s="19">
        <f>IF($I7351="","",IF(ISNUMBER($I7351),TEXT($I7351,"0"),$I7351))</f>
        <v/>
      </c>
    </row>
    <row r="7352">
      <c r="B7352" s="25" t="n"/>
      <c r="I7352" s="25" t="n"/>
      <c r="U7352" s="19">
        <f>IF(AND($V7352='設定'!$C$4,COUNTIF('商品マスタ'!$B$6:$B$1005,$W7352)=0),N(U7351)+1,N(U7351))</f>
        <v/>
      </c>
      <c r="V7352" s="19">
        <f>IF($B7352="","",TEXT($B7352,"0000"))</f>
        <v/>
      </c>
      <c r="W7352" s="19">
        <f>IF($I7352="","",IF(ISNUMBER($I7352),TEXT($I7352,"0"),$I7352))</f>
        <v/>
      </c>
    </row>
    <row r="7353">
      <c r="B7353" s="25" t="n"/>
      <c r="I7353" s="25" t="n"/>
      <c r="U7353" s="19">
        <f>IF(AND($V7353='設定'!$C$4,COUNTIF('商品マスタ'!$B$6:$B$1005,$W7353)=0),N(U7352)+1,N(U7352))</f>
        <v/>
      </c>
      <c r="V7353" s="19">
        <f>IF($B7353="","",TEXT($B7353,"0000"))</f>
        <v/>
      </c>
      <c r="W7353" s="19">
        <f>IF($I7353="","",IF(ISNUMBER($I7353),TEXT($I7353,"0"),$I7353))</f>
        <v/>
      </c>
    </row>
    <row r="7354">
      <c r="B7354" s="25" t="n"/>
      <c r="I7354" s="25" t="n"/>
      <c r="U7354" s="19">
        <f>IF(AND($V7354='設定'!$C$4,COUNTIF('商品マスタ'!$B$6:$B$1005,$W7354)=0),N(U7353)+1,N(U7353))</f>
        <v/>
      </c>
      <c r="V7354" s="19">
        <f>IF($B7354="","",TEXT($B7354,"0000"))</f>
        <v/>
      </c>
      <c r="W7354" s="19">
        <f>IF($I7354="","",IF(ISNUMBER($I7354),TEXT($I7354,"0"),$I7354))</f>
        <v/>
      </c>
    </row>
    <row r="7355">
      <c r="B7355" s="25" t="n"/>
      <c r="I7355" s="25" t="n"/>
      <c r="U7355" s="19">
        <f>IF(AND($V7355='設定'!$C$4,COUNTIF('商品マスタ'!$B$6:$B$1005,$W7355)=0),N(U7354)+1,N(U7354))</f>
        <v/>
      </c>
      <c r="V7355" s="19">
        <f>IF($B7355="","",TEXT($B7355,"0000"))</f>
        <v/>
      </c>
      <c r="W7355" s="19">
        <f>IF($I7355="","",IF(ISNUMBER($I7355),TEXT($I7355,"0"),$I7355))</f>
        <v/>
      </c>
    </row>
    <row r="7356">
      <c r="B7356" s="25" t="n"/>
      <c r="I7356" s="25" t="n"/>
      <c r="U7356" s="19">
        <f>IF(AND($V7356='設定'!$C$4,COUNTIF('商品マスタ'!$B$6:$B$1005,$W7356)=0),N(U7355)+1,N(U7355))</f>
        <v/>
      </c>
      <c r="V7356" s="19">
        <f>IF($B7356="","",TEXT($B7356,"0000"))</f>
        <v/>
      </c>
      <c r="W7356" s="19">
        <f>IF($I7356="","",IF(ISNUMBER($I7356),TEXT($I7356,"0"),$I7356))</f>
        <v/>
      </c>
    </row>
    <row r="7357">
      <c r="B7357" s="25" t="n"/>
      <c r="I7357" s="25" t="n"/>
      <c r="U7357" s="19">
        <f>IF(AND($V7357='設定'!$C$4,COUNTIF('商品マスタ'!$B$6:$B$1005,$W7357)=0),N(U7356)+1,N(U7356))</f>
        <v/>
      </c>
      <c r="V7357" s="19">
        <f>IF($B7357="","",TEXT($B7357,"0000"))</f>
        <v/>
      </c>
      <c r="W7357" s="19">
        <f>IF($I7357="","",IF(ISNUMBER($I7357),TEXT($I7357,"0"),$I7357))</f>
        <v/>
      </c>
    </row>
    <row r="7358">
      <c r="B7358" s="25" t="n"/>
      <c r="I7358" s="25" t="n"/>
      <c r="U7358" s="19">
        <f>IF(AND($V7358='設定'!$C$4,COUNTIF('商品マスタ'!$B$6:$B$1005,$W7358)=0),N(U7357)+1,N(U7357))</f>
        <v/>
      </c>
      <c r="V7358" s="19">
        <f>IF($B7358="","",TEXT($B7358,"0000"))</f>
        <v/>
      </c>
      <c r="W7358" s="19">
        <f>IF($I7358="","",IF(ISNUMBER($I7358),TEXT($I7358,"0"),$I7358))</f>
        <v/>
      </c>
    </row>
    <row r="7359">
      <c r="B7359" s="25" t="n"/>
      <c r="I7359" s="25" t="n"/>
      <c r="U7359" s="19">
        <f>IF(AND($V7359='設定'!$C$4,COUNTIF('商品マスタ'!$B$6:$B$1005,$W7359)=0),N(U7358)+1,N(U7358))</f>
        <v/>
      </c>
      <c r="V7359" s="19">
        <f>IF($B7359="","",TEXT($B7359,"0000"))</f>
        <v/>
      </c>
      <c r="W7359" s="19">
        <f>IF($I7359="","",IF(ISNUMBER($I7359),TEXT($I7359,"0"),$I7359))</f>
        <v/>
      </c>
    </row>
    <row r="7360">
      <c r="B7360" s="25" t="n"/>
      <c r="I7360" s="25" t="n"/>
      <c r="U7360" s="19">
        <f>IF(AND($V7360='設定'!$C$4,COUNTIF('商品マスタ'!$B$6:$B$1005,$W7360)=0),N(U7359)+1,N(U7359))</f>
        <v/>
      </c>
      <c r="V7360" s="19">
        <f>IF($B7360="","",TEXT($B7360,"0000"))</f>
        <v/>
      </c>
      <c r="W7360" s="19">
        <f>IF($I7360="","",IF(ISNUMBER($I7360),TEXT($I7360,"0"),$I7360))</f>
        <v/>
      </c>
    </row>
    <row r="7361">
      <c r="B7361" s="25" t="n"/>
      <c r="I7361" s="25" t="n"/>
      <c r="U7361" s="19">
        <f>IF(AND($V7361='設定'!$C$4,COUNTIF('商品マスタ'!$B$6:$B$1005,$W7361)=0),N(U7360)+1,N(U7360))</f>
        <v/>
      </c>
      <c r="V7361" s="19">
        <f>IF($B7361="","",TEXT($B7361,"0000"))</f>
        <v/>
      </c>
      <c r="W7361" s="19">
        <f>IF($I7361="","",IF(ISNUMBER($I7361),TEXT($I7361,"0"),$I7361))</f>
        <v/>
      </c>
    </row>
    <row r="7362">
      <c r="B7362" s="25" t="n"/>
      <c r="I7362" s="25" t="n"/>
      <c r="U7362" s="19">
        <f>IF(AND($V7362='設定'!$C$4,COUNTIF('商品マスタ'!$B$6:$B$1005,$W7362)=0),N(U7361)+1,N(U7361))</f>
        <v/>
      </c>
      <c r="V7362" s="19">
        <f>IF($B7362="","",TEXT($B7362,"0000"))</f>
        <v/>
      </c>
      <c r="W7362" s="19">
        <f>IF($I7362="","",IF(ISNUMBER($I7362),TEXT($I7362,"0"),$I7362))</f>
        <v/>
      </c>
    </row>
    <row r="7363">
      <c r="B7363" s="25" t="n"/>
      <c r="I7363" s="25" t="n"/>
      <c r="U7363" s="19">
        <f>IF(AND($V7363='設定'!$C$4,COUNTIF('商品マスタ'!$B$6:$B$1005,$W7363)=0),N(U7362)+1,N(U7362))</f>
        <v/>
      </c>
      <c r="V7363" s="19">
        <f>IF($B7363="","",TEXT($B7363,"0000"))</f>
        <v/>
      </c>
      <c r="W7363" s="19">
        <f>IF($I7363="","",IF(ISNUMBER($I7363),TEXT($I7363,"0"),$I7363))</f>
        <v/>
      </c>
    </row>
    <row r="7364">
      <c r="B7364" s="25" t="n"/>
      <c r="I7364" s="25" t="n"/>
      <c r="U7364" s="19">
        <f>IF(AND($V7364='設定'!$C$4,COUNTIF('商品マスタ'!$B$6:$B$1005,$W7364)=0),N(U7363)+1,N(U7363))</f>
        <v/>
      </c>
      <c r="V7364" s="19">
        <f>IF($B7364="","",TEXT($B7364,"0000"))</f>
        <v/>
      </c>
      <c r="W7364" s="19">
        <f>IF($I7364="","",IF(ISNUMBER($I7364),TEXT($I7364,"0"),$I7364))</f>
        <v/>
      </c>
    </row>
    <row r="7365">
      <c r="B7365" s="25" t="n"/>
      <c r="I7365" s="25" t="n"/>
      <c r="U7365" s="19">
        <f>IF(AND($V7365='設定'!$C$4,COUNTIF('商品マスタ'!$B$6:$B$1005,$W7365)=0),N(U7364)+1,N(U7364))</f>
        <v/>
      </c>
      <c r="V7365" s="19">
        <f>IF($B7365="","",TEXT($B7365,"0000"))</f>
        <v/>
      </c>
      <c r="W7365" s="19">
        <f>IF($I7365="","",IF(ISNUMBER($I7365),TEXT($I7365,"0"),$I7365))</f>
        <v/>
      </c>
    </row>
    <row r="7366">
      <c r="B7366" s="25" t="n"/>
      <c r="I7366" s="25" t="n"/>
      <c r="U7366" s="19">
        <f>IF(AND($V7366='設定'!$C$4,COUNTIF('商品マスタ'!$B$6:$B$1005,$W7366)=0),N(U7365)+1,N(U7365))</f>
        <v/>
      </c>
      <c r="V7366" s="19">
        <f>IF($B7366="","",TEXT($B7366,"0000"))</f>
        <v/>
      </c>
      <c r="W7366" s="19">
        <f>IF($I7366="","",IF(ISNUMBER($I7366),TEXT($I7366,"0"),$I7366))</f>
        <v/>
      </c>
    </row>
    <row r="7367">
      <c r="B7367" s="25" t="n"/>
      <c r="I7367" s="25" t="n"/>
      <c r="U7367" s="19">
        <f>IF(AND($V7367='設定'!$C$4,COUNTIF('商品マスタ'!$B$6:$B$1005,$W7367)=0),N(U7366)+1,N(U7366))</f>
        <v/>
      </c>
      <c r="V7367" s="19">
        <f>IF($B7367="","",TEXT($B7367,"0000"))</f>
        <v/>
      </c>
      <c r="W7367" s="19">
        <f>IF($I7367="","",IF(ISNUMBER($I7367),TEXT($I7367,"0"),$I7367))</f>
        <v/>
      </c>
    </row>
    <row r="7368">
      <c r="B7368" s="25" t="n"/>
      <c r="I7368" s="25" t="n"/>
      <c r="U7368" s="19">
        <f>IF(AND($V7368='設定'!$C$4,COUNTIF('商品マスタ'!$B$6:$B$1005,$W7368)=0),N(U7367)+1,N(U7367))</f>
        <v/>
      </c>
      <c r="V7368" s="19">
        <f>IF($B7368="","",TEXT($B7368,"0000"))</f>
        <v/>
      </c>
      <c r="W7368" s="19">
        <f>IF($I7368="","",IF(ISNUMBER($I7368),TEXT($I7368,"0"),$I7368))</f>
        <v/>
      </c>
    </row>
    <row r="7369">
      <c r="B7369" s="25" t="n"/>
      <c r="I7369" s="25" t="n"/>
      <c r="U7369" s="19">
        <f>IF(AND($V7369='設定'!$C$4,COUNTIF('商品マスタ'!$B$6:$B$1005,$W7369)=0),N(U7368)+1,N(U7368))</f>
        <v/>
      </c>
      <c r="V7369" s="19">
        <f>IF($B7369="","",TEXT($B7369,"0000"))</f>
        <v/>
      </c>
      <c r="W7369" s="19">
        <f>IF($I7369="","",IF(ISNUMBER($I7369),TEXT($I7369,"0"),$I7369))</f>
        <v/>
      </c>
    </row>
    <row r="7370">
      <c r="B7370" s="25" t="n"/>
      <c r="I7370" s="25" t="n"/>
      <c r="U7370" s="19">
        <f>IF(AND($V7370='設定'!$C$4,COUNTIF('商品マスタ'!$B$6:$B$1005,$W7370)=0),N(U7369)+1,N(U7369))</f>
        <v/>
      </c>
      <c r="V7370" s="19">
        <f>IF($B7370="","",TEXT($B7370,"0000"))</f>
        <v/>
      </c>
      <c r="W7370" s="19">
        <f>IF($I7370="","",IF(ISNUMBER($I7370),TEXT($I7370,"0"),$I7370))</f>
        <v/>
      </c>
    </row>
    <row r="7371">
      <c r="B7371" s="25" t="n"/>
      <c r="I7371" s="25" t="n"/>
      <c r="U7371" s="19">
        <f>IF(AND($V7371='設定'!$C$4,COUNTIF('商品マスタ'!$B$6:$B$1005,$W7371)=0),N(U7370)+1,N(U7370))</f>
        <v/>
      </c>
      <c r="V7371" s="19">
        <f>IF($B7371="","",TEXT($B7371,"0000"))</f>
        <v/>
      </c>
      <c r="W7371" s="19">
        <f>IF($I7371="","",IF(ISNUMBER($I7371),TEXT($I7371,"0"),$I7371))</f>
        <v/>
      </c>
    </row>
    <row r="7372">
      <c r="B7372" s="25" t="n"/>
      <c r="I7372" s="25" t="n"/>
      <c r="U7372" s="19">
        <f>IF(AND($V7372='設定'!$C$4,COUNTIF('商品マスタ'!$B$6:$B$1005,$W7372)=0),N(U7371)+1,N(U7371))</f>
        <v/>
      </c>
      <c r="V7372" s="19">
        <f>IF($B7372="","",TEXT($B7372,"0000"))</f>
        <v/>
      </c>
      <c r="W7372" s="19">
        <f>IF($I7372="","",IF(ISNUMBER($I7372),TEXT($I7372,"0"),$I7372))</f>
        <v/>
      </c>
    </row>
    <row r="7373">
      <c r="B7373" s="25" t="n"/>
      <c r="I7373" s="25" t="n"/>
      <c r="U7373" s="19">
        <f>IF(AND($V7373='設定'!$C$4,COUNTIF('商品マスタ'!$B$6:$B$1005,$W7373)=0),N(U7372)+1,N(U7372))</f>
        <v/>
      </c>
      <c r="V7373" s="19">
        <f>IF($B7373="","",TEXT($B7373,"0000"))</f>
        <v/>
      </c>
      <c r="W7373" s="19">
        <f>IF($I7373="","",IF(ISNUMBER($I7373),TEXT($I7373,"0"),$I7373))</f>
        <v/>
      </c>
    </row>
    <row r="7374">
      <c r="B7374" s="25" t="n"/>
      <c r="I7374" s="25" t="n"/>
      <c r="U7374" s="19">
        <f>IF(AND($V7374='設定'!$C$4,COUNTIF('商品マスタ'!$B$6:$B$1005,$W7374)=0),N(U7373)+1,N(U7373))</f>
        <v/>
      </c>
      <c r="V7374" s="19">
        <f>IF($B7374="","",TEXT($B7374,"0000"))</f>
        <v/>
      </c>
      <c r="W7374" s="19">
        <f>IF($I7374="","",IF(ISNUMBER($I7374),TEXT($I7374,"0"),$I7374))</f>
        <v/>
      </c>
    </row>
    <row r="7375">
      <c r="B7375" s="25" t="n"/>
      <c r="I7375" s="25" t="n"/>
      <c r="U7375" s="19">
        <f>IF(AND($V7375='設定'!$C$4,COUNTIF('商品マスタ'!$B$6:$B$1005,$W7375)=0),N(U7374)+1,N(U7374))</f>
        <v/>
      </c>
      <c r="V7375" s="19">
        <f>IF($B7375="","",TEXT($B7375,"0000"))</f>
        <v/>
      </c>
      <c r="W7375" s="19">
        <f>IF($I7375="","",IF(ISNUMBER($I7375),TEXT($I7375,"0"),$I7375))</f>
        <v/>
      </c>
    </row>
    <row r="7376">
      <c r="B7376" s="25" t="n"/>
      <c r="I7376" s="25" t="n"/>
      <c r="U7376" s="19">
        <f>IF(AND($V7376='設定'!$C$4,COUNTIF('商品マスタ'!$B$6:$B$1005,$W7376)=0),N(U7375)+1,N(U7375))</f>
        <v/>
      </c>
      <c r="V7376" s="19">
        <f>IF($B7376="","",TEXT($B7376,"0000"))</f>
        <v/>
      </c>
      <c r="W7376" s="19">
        <f>IF($I7376="","",IF(ISNUMBER($I7376),TEXT($I7376,"0"),$I7376))</f>
        <v/>
      </c>
    </row>
    <row r="7377">
      <c r="B7377" s="25" t="n"/>
      <c r="I7377" s="25" t="n"/>
      <c r="U7377" s="19">
        <f>IF(AND($V7377='設定'!$C$4,COUNTIF('商品マスタ'!$B$6:$B$1005,$W7377)=0),N(U7376)+1,N(U7376))</f>
        <v/>
      </c>
      <c r="V7377" s="19">
        <f>IF($B7377="","",TEXT($B7377,"0000"))</f>
        <v/>
      </c>
      <c r="W7377" s="19">
        <f>IF($I7377="","",IF(ISNUMBER($I7377),TEXT($I7377,"0"),$I7377))</f>
        <v/>
      </c>
    </row>
    <row r="7378">
      <c r="B7378" s="25" t="n"/>
      <c r="I7378" s="25" t="n"/>
      <c r="U7378" s="19">
        <f>IF(AND($V7378='設定'!$C$4,COUNTIF('商品マスタ'!$B$6:$B$1005,$W7378)=0),N(U7377)+1,N(U7377))</f>
        <v/>
      </c>
      <c r="V7378" s="19">
        <f>IF($B7378="","",TEXT($B7378,"0000"))</f>
        <v/>
      </c>
      <c r="W7378" s="19">
        <f>IF($I7378="","",IF(ISNUMBER($I7378),TEXT($I7378,"0"),$I7378))</f>
        <v/>
      </c>
    </row>
    <row r="7379">
      <c r="B7379" s="25" t="n"/>
      <c r="I7379" s="25" t="n"/>
      <c r="U7379" s="19">
        <f>IF(AND($V7379='設定'!$C$4,COUNTIF('商品マスタ'!$B$6:$B$1005,$W7379)=0),N(U7378)+1,N(U7378))</f>
        <v/>
      </c>
      <c r="V7379" s="19">
        <f>IF($B7379="","",TEXT($B7379,"0000"))</f>
        <v/>
      </c>
      <c r="W7379" s="19">
        <f>IF($I7379="","",IF(ISNUMBER($I7379),TEXT($I7379,"0"),$I7379))</f>
        <v/>
      </c>
    </row>
    <row r="7380">
      <c r="B7380" s="25" t="n"/>
      <c r="I7380" s="25" t="n"/>
      <c r="U7380" s="19">
        <f>IF(AND($V7380='設定'!$C$4,COUNTIF('商品マスタ'!$B$6:$B$1005,$W7380)=0),N(U7379)+1,N(U7379))</f>
        <v/>
      </c>
      <c r="V7380" s="19">
        <f>IF($B7380="","",TEXT($B7380,"0000"))</f>
        <v/>
      </c>
      <c r="W7380" s="19">
        <f>IF($I7380="","",IF(ISNUMBER($I7380),TEXT($I7380,"0"),$I7380))</f>
        <v/>
      </c>
    </row>
    <row r="7381">
      <c r="B7381" s="25" t="n"/>
      <c r="I7381" s="25" t="n"/>
      <c r="U7381" s="19">
        <f>IF(AND($V7381='設定'!$C$4,COUNTIF('商品マスタ'!$B$6:$B$1005,$W7381)=0),N(U7380)+1,N(U7380))</f>
        <v/>
      </c>
      <c r="V7381" s="19">
        <f>IF($B7381="","",TEXT($B7381,"0000"))</f>
        <v/>
      </c>
      <c r="W7381" s="19">
        <f>IF($I7381="","",IF(ISNUMBER($I7381),TEXT($I7381,"0"),$I7381))</f>
        <v/>
      </c>
    </row>
    <row r="7382">
      <c r="B7382" s="25" t="n"/>
      <c r="I7382" s="25" t="n"/>
      <c r="U7382" s="19">
        <f>IF(AND($V7382='設定'!$C$4,COUNTIF('商品マスタ'!$B$6:$B$1005,$W7382)=0),N(U7381)+1,N(U7381))</f>
        <v/>
      </c>
      <c r="V7382" s="19">
        <f>IF($B7382="","",TEXT($B7382,"0000"))</f>
        <v/>
      </c>
      <c r="W7382" s="19">
        <f>IF($I7382="","",IF(ISNUMBER($I7382),TEXT($I7382,"0"),$I7382))</f>
        <v/>
      </c>
    </row>
    <row r="7383">
      <c r="B7383" s="25" t="n"/>
      <c r="I7383" s="25" t="n"/>
      <c r="U7383" s="19">
        <f>IF(AND($V7383='設定'!$C$4,COUNTIF('商品マスタ'!$B$6:$B$1005,$W7383)=0),N(U7382)+1,N(U7382))</f>
        <v/>
      </c>
      <c r="V7383" s="19">
        <f>IF($B7383="","",TEXT($B7383,"0000"))</f>
        <v/>
      </c>
      <c r="W7383" s="19">
        <f>IF($I7383="","",IF(ISNUMBER($I7383),TEXT($I7383,"0"),$I7383))</f>
        <v/>
      </c>
    </row>
    <row r="7384">
      <c r="B7384" s="25" t="n"/>
      <c r="I7384" s="25" t="n"/>
      <c r="U7384" s="19">
        <f>IF(AND($V7384='設定'!$C$4,COUNTIF('商品マスタ'!$B$6:$B$1005,$W7384)=0),N(U7383)+1,N(U7383))</f>
        <v/>
      </c>
      <c r="V7384" s="19">
        <f>IF($B7384="","",TEXT($B7384,"0000"))</f>
        <v/>
      </c>
      <c r="W7384" s="19">
        <f>IF($I7384="","",IF(ISNUMBER($I7384),TEXT($I7384,"0"),$I7384))</f>
        <v/>
      </c>
    </row>
    <row r="7385">
      <c r="B7385" s="25" t="n"/>
      <c r="I7385" s="25" t="n"/>
      <c r="U7385" s="19">
        <f>IF(AND($V7385='設定'!$C$4,COUNTIF('商品マスタ'!$B$6:$B$1005,$W7385)=0),N(U7384)+1,N(U7384))</f>
        <v/>
      </c>
      <c r="V7385" s="19">
        <f>IF($B7385="","",TEXT($B7385,"0000"))</f>
        <v/>
      </c>
      <c r="W7385" s="19">
        <f>IF($I7385="","",IF(ISNUMBER($I7385),TEXT($I7385,"0"),$I7385))</f>
        <v/>
      </c>
    </row>
    <row r="7386">
      <c r="B7386" s="25" t="n"/>
      <c r="I7386" s="25" t="n"/>
      <c r="U7386" s="19">
        <f>IF(AND($V7386='設定'!$C$4,COUNTIF('商品マスタ'!$B$6:$B$1005,$W7386)=0),N(U7385)+1,N(U7385))</f>
        <v/>
      </c>
      <c r="V7386" s="19">
        <f>IF($B7386="","",TEXT($B7386,"0000"))</f>
        <v/>
      </c>
      <c r="W7386" s="19">
        <f>IF($I7386="","",IF(ISNUMBER($I7386),TEXT($I7386,"0"),$I7386))</f>
        <v/>
      </c>
    </row>
    <row r="7387">
      <c r="B7387" s="25" t="n"/>
      <c r="I7387" s="25" t="n"/>
      <c r="U7387" s="19">
        <f>IF(AND($V7387='設定'!$C$4,COUNTIF('商品マスタ'!$B$6:$B$1005,$W7387)=0),N(U7386)+1,N(U7386))</f>
        <v/>
      </c>
      <c r="V7387" s="19">
        <f>IF($B7387="","",TEXT($B7387,"0000"))</f>
        <v/>
      </c>
      <c r="W7387" s="19">
        <f>IF($I7387="","",IF(ISNUMBER($I7387),TEXT($I7387,"0"),$I7387))</f>
        <v/>
      </c>
    </row>
    <row r="7388">
      <c r="B7388" s="25" t="n"/>
      <c r="I7388" s="25" t="n"/>
      <c r="U7388" s="19">
        <f>IF(AND($V7388='設定'!$C$4,COUNTIF('商品マスタ'!$B$6:$B$1005,$W7388)=0),N(U7387)+1,N(U7387))</f>
        <v/>
      </c>
      <c r="V7388" s="19">
        <f>IF($B7388="","",TEXT($B7388,"0000"))</f>
        <v/>
      </c>
      <c r="W7388" s="19">
        <f>IF($I7388="","",IF(ISNUMBER($I7388),TEXT($I7388,"0"),$I7388))</f>
        <v/>
      </c>
    </row>
    <row r="7389">
      <c r="B7389" s="25" t="n"/>
      <c r="I7389" s="25" t="n"/>
      <c r="U7389" s="19">
        <f>IF(AND($V7389='設定'!$C$4,COUNTIF('商品マスタ'!$B$6:$B$1005,$W7389)=0),N(U7388)+1,N(U7388))</f>
        <v/>
      </c>
      <c r="V7389" s="19">
        <f>IF($B7389="","",TEXT($B7389,"0000"))</f>
        <v/>
      </c>
      <c r="W7389" s="19">
        <f>IF($I7389="","",IF(ISNUMBER($I7389),TEXT($I7389,"0"),$I7389))</f>
        <v/>
      </c>
    </row>
    <row r="7390">
      <c r="B7390" s="25" t="n"/>
      <c r="I7390" s="25" t="n"/>
      <c r="U7390" s="19">
        <f>IF(AND($V7390='設定'!$C$4,COUNTIF('商品マスタ'!$B$6:$B$1005,$W7390)=0),N(U7389)+1,N(U7389))</f>
        <v/>
      </c>
      <c r="V7390" s="19">
        <f>IF($B7390="","",TEXT($B7390,"0000"))</f>
        <v/>
      </c>
      <c r="W7390" s="19">
        <f>IF($I7390="","",IF(ISNUMBER($I7390),TEXT($I7390,"0"),$I7390))</f>
        <v/>
      </c>
    </row>
    <row r="7391">
      <c r="B7391" s="25" t="n"/>
      <c r="I7391" s="25" t="n"/>
      <c r="U7391" s="19">
        <f>IF(AND($V7391='設定'!$C$4,COUNTIF('商品マスタ'!$B$6:$B$1005,$W7391)=0),N(U7390)+1,N(U7390))</f>
        <v/>
      </c>
      <c r="V7391" s="19">
        <f>IF($B7391="","",TEXT($B7391,"0000"))</f>
        <v/>
      </c>
      <c r="W7391" s="19">
        <f>IF($I7391="","",IF(ISNUMBER($I7391),TEXT($I7391,"0"),$I7391))</f>
        <v/>
      </c>
    </row>
    <row r="7392">
      <c r="B7392" s="25" t="n"/>
      <c r="I7392" s="25" t="n"/>
      <c r="U7392" s="19">
        <f>IF(AND($V7392='設定'!$C$4,COUNTIF('商品マスタ'!$B$6:$B$1005,$W7392)=0),N(U7391)+1,N(U7391))</f>
        <v/>
      </c>
      <c r="V7392" s="19">
        <f>IF($B7392="","",TEXT($B7392,"0000"))</f>
        <v/>
      </c>
      <c r="W7392" s="19">
        <f>IF($I7392="","",IF(ISNUMBER($I7392),TEXT($I7392,"0"),$I7392))</f>
        <v/>
      </c>
    </row>
    <row r="7393">
      <c r="B7393" s="25" t="n"/>
      <c r="I7393" s="25" t="n"/>
      <c r="U7393" s="19">
        <f>IF(AND($V7393='設定'!$C$4,COUNTIF('商品マスタ'!$B$6:$B$1005,$W7393)=0),N(U7392)+1,N(U7392))</f>
        <v/>
      </c>
      <c r="V7393" s="19">
        <f>IF($B7393="","",TEXT($B7393,"0000"))</f>
        <v/>
      </c>
      <c r="W7393" s="19">
        <f>IF($I7393="","",IF(ISNUMBER($I7393),TEXT($I7393,"0"),$I7393))</f>
        <v/>
      </c>
    </row>
    <row r="7394">
      <c r="B7394" s="25" t="n"/>
      <c r="I7394" s="25" t="n"/>
      <c r="U7394" s="19">
        <f>IF(AND($V7394='設定'!$C$4,COUNTIF('商品マスタ'!$B$6:$B$1005,$W7394)=0),N(U7393)+1,N(U7393))</f>
        <v/>
      </c>
      <c r="V7394" s="19">
        <f>IF($B7394="","",TEXT($B7394,"0000"))</f>
        <v/>
      </c>
      <c r="W7394" s="19">
        <f>IF($I7394="","",IF(ISNUMBER($I7394),TEXT($I7394,"0"),$I7394))</f>
        <v/>
      </c>
    </row>
    <row r="7395">
      <c r="B7395" s="25" t="n"/>
      <c r="I7395" s="25" t="n"/>
      <c r="U7395" s="19">
        <f>IF(AND($V7395='設定'!$C$4,COUNTIF('商品マスタ'!$B$6:$B$1005,$W7395)=0),N(U7394)+1,N(U7394))</f>
        <v/>
      </c>
      <c r="V7395" s="19">
        <f>IF($B7395="","",TEXT($B7395,"0000"))</f>
        <v/>
      </c>
      <c r="W7395" s="19">
        <f>IF($I7395="","",IF(ISNUMBER($I7395),TEXT($I7395,"0"),$I7395))</f>
        <v/>
      </c>
    </row>
    <row r="7396">
      <c r="B7396" s="25" t="n"/>
      <c r="I7396" s="25" t="n"/>
      <c r="U7396" s="19">
        <f>IF(AND($V7396='設定'!$C$4,COUNTIF('商品マスタ'!$B$6:$B$1005,$W7396)=0),N(U7395)+1,N(U7395))</f>
        <v/>
      </c>
      <c r="V7396" s="19">
        <f>IF($B7396="","",TEXT($B7396,"0000"))</f>
        <v/>
      </c>
      <c r="W7396" s="19">
        <f>IF($I7396="","",IF(ISNUMBER($I7396),TEXT($I7396,"0"),$I7396))</f>
        <v/>
      </c>
    </row>
    <row r="7397">
      <c r="B7397" s="25" t="n"/>
      <c r="I7397" s="25" t="n"/>
      <c r="U7397" s="19">
        <f>IF(AND($V7397='設定'!$C$4,COUNTIF('商品マスタ'!$B$6:$B$1005,$W7397)=0),N(U7396)+1,N(U7396))</f>
        <v/>
      </c>
      <c r="V7397" s="19">
        <f>IF($B7397="","",TEXT($B7397,"0000"))</f>
        <v/>
      </c>
      <c r="W7397" s="19">
        <f>IF($I7397="","",IF(ISNUMBER($I7397),TEXT($I7397,"0"),$I7397))</f>
        <v/>
      </c>
    </row>
    <row r="7398">
      <c r="B7398" s="25" t="n"/>
      <c r="I7398" s="25" t="n"/>
      <c r="U7398" s="19">
        <f>IF(AND($V7398='設定'!$C$4,COUNTIF('商品マスタ'!$B$6:$B$1005,$W7398)=0),N(U7397)+1,N(U7397))</f>
        <v/>
      </c>
      <c r="V7398" s="19">
        <f>IF($B7398="","",TEXT($B7398,"0000"))</f>
        <v/>
      </c>
      <c r="W7398" s="19">
        <f>IF($I7398="","",IF(ISNUMBER($I7398),TEXT($I7398,"0"),$I7398))</f>
        <v/>
      </c>
    </row>
    <row r="7399">
      <c r="B7399" s="25" t="n"/>
      <c r="I7399" s="25" t="n"/>
      <c r="U7399" s="19">
        <f>IF(AND($V7399='設定'!$C$4,COUNTIF('商品マスタ'!$B$6:$B$1005,$W7399)=0),N(U7398)+1,N(U7398))</f>
        <v/>
      </c>
      <c r="V7399" s="19">
        <f>IF($B7399="","",TEXT($B7399,"0000"))</f>
        <v/>
      </c>
      <c r="W7399" s="19">
        <f>IF($I7399="","",IF(ISNUMBER($I7399),TEXT($I7399,"0"),$I7399))</f>
        <v/>
      </c>
    </row>
    <row r="7400">
      <c r="B7400" s="25" t="n"/>
      <c r="I7400" s="25" t="n"/>
      <c r="U7400" s="19">
        <f>IF(AND($V7400='設定'!$C$4,COUNTIF('商品マスタ'!$B$6:$B$1005,$W7400)=0),N(U7399)+1,N(U7399))</f>
        <v/>
      </c>
      <c r="V7400" s="19">
        <f>IF($B7400="","",TEXT($B7400,"0000"))</f>
        <v/>
      </c>
      <c r="W7400" s="19">
        <f>IF($I7400="","",IF(ISNUMBER($I7400),TEXT($I7400,"0"),$I7400))</f>
        <v/>
      </c>
    </row>
    <row r="7401">
      <c r="B7401" s="25" t="n"/>
      <c r="I7401" s="25" t="n"/>
      <c r="U7401" s="19">
        <f>IF(AND($V7401='設定'!$C$4,COUNTIF('商品マスタ'!$B$6:$B$1005,$W7401)=0),N(U7400)+1,N(U7400))</f>
        <v/>
      </c>
      <c r="V7401" s="19">
        <f>IF($B7401="","",TEXT($B7401,"0000"))</f>
        <v/>
      </c>
      <c r="W7401" s="19">
        <f>IF($I7401="","",IF(ISNUMBER($I7401),TEXT($I7401,"0"),$I7401))</f>
        <v/>
      </c>
    </row>
    <row r="7402">
      <c r="B7402" s="25" t="n"/>
      <c r="I7402" s="25" t="n"/>
      <c r="U7402" s="19">
        <f>IF(AND($V7402='設定'!$C$4,COUNTIF('商品マスタ'!$B$6:$B$1005,$W7402)=0),N(U7401)+1,N(U7401))</f>
        <v/>
      </c>
      <c r="V7402" s="19">
        <f>IF($B7402="","",TEXT($B7402,"0000"))</f>
        <v/>
      </c>
      <c r="W7402" s="19">
        <f>IF($I7402="","",IF(ISNUMBER($I7402),TEXT($I7402,"0"),$I7402))</f>
        <v/>
      </c>
    </row>
    <row r="7403">
      <c r="B7403" s="25" t="n"/>
      <c r="I7403" s="25" t="n"/>
      <c r="U7403" s="19">
        <f>IF(AND($V7403='設定'!$C$4,COUNTIF('商品マスタ'!$B$6:$B$1005,$W7403)=0),N(U7402)+1,N(U7402))</f>
        <v/>
      </c>
      <c r="V7403" s="19">
        <f>IF($B7403="","",TEXT($B7403,"0000"))</f>
        <v/>
      </c>
      <c r="W7403" s="19">
        <f>IF($I7403="","",IF(ISNUMBER($I7403),TEXT($I7403,"0"),$I7403))</f>
        <v/>
      </c>
    </row>
    <row r="7404">
      <c r="B7404" s="25" t="n"/>
      <c r="I7404" s="25" t="n"/>
      <c r="U7404" s="19">
        <f>IF(AND($V7404='設定'!$C$4,COUNTIF('商品マスタ'!$B$6:$B$1005,$W7404)=0),N(U7403)+1,N(U7403))</f>
        <v/>
      </c>
      <c r="V7404" s="19">
        <f>IF($B7404="","",TEXT($B7404,"0000"))</f>
        <v/>
      </c>
      <c r="W7404" s="19">
        <f>IF($I7404="","",IF(ISNUMBER($I7404),TEXT($I7404,"0"),$I7404))</f>
        <v/>
      </c>
    </row>
    <row r="7405">
      <c r="B7405" s="25" t="n"/>
      <c r="I7405" s="25" t="n"/>
      <c r="U7405" s="19">
        <f>IF(AND($V7405='設定'!$C$4,COUNTIF('商品マスタ'!$B$6:$B$1005,$W7405)=0),N(U7404)+1,N(U7404))</f>
        <v/>
      </c>
      <c r="V7405" s="19">
        <f>IF($B7405="","",TEXT($B7405,"0000"))</f>
        <v/>
      </c>
      <c r="W7405" s="19">
        <f>IF($I7405="","",IF(ISNUMBER($I7405),TEXT($I7405,"0"),$I7405))</f>
        <v/>
      </c>
    </row>
    <row r="7406">
      <c r="B7406" s="25" t="n"/>
      <c r="I7406" s="25" t="n"/>
      <c r="U7406" s="19">
        <f>IF(AND($V7406='設定'!$C$4,COUNTIF('商品マスタ'!$B$6:$B$1005,$W7406)=0),N(U7405)+1,N(U7405))</f>
        <v/>
      </c>
      <c r="V7406" s="19">
        <f>IF($B7406="","",TEXT($B7406,"0000"))</f>
        <v/>
      </c>
      <c r="W7406" s="19">
        <f>IF($I7406="","",IF(ISNUMBER($I7406),TEXT($I7406,"0"),$I7406))</f>
        <v/>
      </c>
    </row>
    <row r="7407">
      <c r="B7407" s="25" t="n"/>
      <c r="I7407" s="25" t="n"/>
      <c r="U7407" s="19">
        <f>IF(AND($V7407='設定'!$C$4,COUNTIF('商品マスタ'!$B$6:$B$1005,$W7407)=0),N(U7406)+1,N(U7406))</f>
        <v/>
      </c>
      <c r="V7407" s="19">
        <f>IF($B7407="","",TEXT($B7407,"0000"))</f>
        <v/>
      </c>
      <c r="W7407" s="19">
        <f>IF($I7407="","",IF(ISNUMBER($I7407),TEXT($I7407,"0"),$I7407))</f>
        <v/>
      </c>
    </row>
    <row r="7408">
      <c r="B7408" s="25" t="n"/>
      <c r="I7408" s="25" t="n"/>
      <c r="U7408" s="19">
        <f>IF(AND($V7408='設定'!$C$4,COUNTIF('商品マスタ'!$B$6:$B$1005,$W7408)=0),N(U7407)+1,N(U7407))</f>
        <v/>
      </c>
      <c r="V7408" s="19">
        <f>IF($B7408="","",TEXT($B7408,"0000"))</f>
        <v/>
      </c>
      <c r="W7408" s="19">
        <f>IF($I7408="","",IF(ISNUMBER($I7408),TEXT($I7408,"0"),$I7408))</f>
        <v/>
      </c>
    </row>
    <row r="7409">
      <c r="B7409" s="25" t="n"/>
      <c r="I7409" s="25" t="n"/>
      <c r="U7409" s="19">
        <f>IF(AND($V7409='設定'!$C$4,COUNTIF('商品マスタ'!$B$6:$B$1005,$W7409)=0),N(U7408)+1,N(U7408))</f>
        <v/>
      </c>
      <c r="V7409" s="19">
        <f>IF($B7409="","",TEXT($B7409,"0000"))</f>
        <v/>
      </c>
      <c r="W7409" s="19">
        <f>IF($I7409="","",IF(ISNUMBER($I7409),TEXT($I7409,"0"),$I7409))</f>
        <v/>
      </c>
    </row>
    <row r="7410">
      <c r="B7410" s="25" t="n"/>
      <c r="I7410" s="25" t="n"/>
      <c r="U7410" s="19">
        <f>IF(AND($V7410='設定'!$C$4,COUNTIF('商品マスタ'!$B$6:$B$1005,$W7410)=0),N(U7409)+1,N(U7409))</f>
        <v/>
      </c>
      <c r="V7410" s="19">
        <f>IF($B7410="","",TEXT($B7410,"0000"))</f>
        <v/>
      </c>
      <c r="W7410" s="19">
        <f>IF($I7410="","",IF(ISNUMBER($I7410),TEXT($I7410,"0"),$I7410))</f>
        <v/>
      </c>
    </row>
    <row r="7411">
      <c r="B7411" s="25" t="n"/>
      <c r="I7411" s="25" t="n"/>
      <c r="U7411" s="19">
        <f>IF(AND($V7411='設定'!$C$4,COUNTIF('商品マスタ'!$B$6:$B$1005,$W7411)=0),N(U7410)+1,N(U7410))</f>
        <v/>
      </c>
      <c r="V7411" s="19">
        <f>IF($B7411="","",TEXT($B7411,"0000"))</f>
        <v/>
      </c>
      <c r="W7411" s="19">
        <f>IF($I7411="","",IF(ISNUMBER($I7411),TEXT($I7411,"0"),$I7411))</f>
        <v/>
      </c>
    </row>
    <row r="7412">
      <c r="B7412" s="25" t="n"/>
      <c r="I7412" s="25" t="n"/>
      <c r="U7412" s="19">
        <f>IF(AND($V7412='設定'!$C$4,COUNTIF('商品マスタ'!$B$6:$B$1005,$W7412)=0),N(U7411)+1,N(U7411))</f>
        <v/>
      </c>
      <c r="V7412" s="19">
        <f>IF($B7412="","",TEXT($B7412,"0000"))</f>
        <v/>
      </c>
      <c r="W7412" s="19">
        <f>IF($I7412="","",IF(ISNUMBER($I7412),TEXT($I7412,"0"),$I7412))</f>
        <v/>
      </c>
    </row>
    <row r="7413">
      <c r="B7413" s="25" t="n"/>
      <c r="I7413" s="25" t="n"/>
      <c r="U7413" s="19">
        <f>IF(AND($V7413='設定'!$C$4,COUNTIF('商品マスタ'!$B$6:$B$1005,$W7413)=0),N(U7412)+1,N(U7412))</f>
        <v/>
      </c>
      <c r="V7413" s="19">
        <f>IF($B7413="","",TEXT($B7413,"0000"))</f>
        <v/>
      </c>
      <c r="W7413" s="19">
        <f>IF($I7413="","",IF(ISNUMBER($I7413),TEXT($I7413,"0"),$I7413))</f>
        <v/>
      </c>
    </row>
    <row r="7414">
      <c r="B7414" s="25" t="n"/>
      <c r="I7414" s="25" t="n"/>
      <c r="U7414" s="19">
        <f>IF(AND($V7414='設定'!$C$4,COUNTIF('商品マスタ'!$B$6:$B$1005,$W7414)=0),N(U7413)+1,N(U7413))</f>
        <v/>
      </c>
      <c r="V7414" s="19">
        <f>IF($B7414="","",TEXT($B7414,"0000"))</f>
        <v/>
      </c>
      <c r="W7414" s="19">
        <f>IF($I7414="","",IF(ISNUMBER($I7414),TEXT($I7414,"0"),$I7414))</f>
        <v/>
      </c>
    </row>
    <row r="7415">
      <c r="B7415" s="25" t="n"/>
      <c r="I7415" s="25" t="n"/>
      <c r="U7415" s="19">
        <f>IF(AND($V7415='設定'!$C$4,COUNTIF('商品マスタ'!$B$6:$B$1005,$W7415)=0),N(U7414)+1,N(U7414))</f>
        <v/>
      </c>
      <c r="V7415" s="19">
        <f>IF($B7415="","",TEXT($B7415,"0000"))</f>
        <v/>
      </c>
      <c r="W7415" s="19">
        <f>IF($I7415="","",IF(ISNUMBER($I7415),TEXT($I7415,"0"),$I7415))</f>
        <v/>
      </c>
    </row>
    <row r="7416">
      <c r="B7416" s="25" t="n"/>
      <c r="I7416" s="25" t="n"/>
      <c r="U7416" s="19">
        <f>IF(AND($V7416='設定'!$C$4,COUNTIF('商品マスタ'!$B$6:$B$1005,$W7416)=0),N(U7415)+1,N(U7415))</f>
        <v/>
      </c>
      <c r="V7416" s="19">
        <f>IF($B7416="","",TEXT($B7416,"0000"))</f>
        <v/>
      </c>
      <c r="W7416" s="19">
        <f>IF($I7416="","",IF(ISNUMBER($I7416),TEXT($I7416,"0"),$I7416))</f>
        <v/>
      </c>
    </row>
    <row r="7417">
      <c r="B7417" s="25" t="n"/>
      <c r="I7417" s="25" t="n"/>
      <c r="U7417" s="19">
        <f>IF(AND($V7417='設定'!$C$4,COUNTIF('商品マスタ'!$B$6:$B$1005,$W7417)=0),N(U7416)+1,N(U7416))</f>
        <v/>
      </c>
      <c r="V7417" s="19">
        <f>IF($B7417="","",TEXT($B7417,"0000"))</f>
        <v/>
      </c>
      <c r="W7417" s="19">
        <f>IF($I7417="","",IF(ISNUMBER($I7417),TEXT($I7417,"0"),$I7417))</f>
        <v/>
      </c>
    </row>
    <row r="7418">
      <c r="B7418" s="25" t="n"/>
      <c r="I7418" s="25" t="n"/>
      <c r="U7418" s="19">
        <f>IF(AND($V7418='設定'!$C$4,COUNTIF('商品マスタ'!$B$6:$B$1005,$W7418)=0),N(U7417)+1,N(U7417))</f>
        <v/>
      </c>
      <c r="V7418" s="19">
        <f>IF($B7418="","",TEXT($B7418,"0000"))</f>
        <v/>
      </c>
      <c r="W7418" s="19">
        <f>IF($I7418="","",IF(ISNUMBER($I7418),TEXT($I7418,"0"),$I7418))</f>
        <v/>
      </c>
    </row>
    <row r="7419">
      <c r="B7419" s="25" t="n"/>
      <c r="I7419" s="25" t="n"/>
      <c r="U7419" s="19">
        <f>IF(AND($V7419='設定'!$C$4,COUNTIF('商品マスタ'!$B$6:$B$1005,$W7419)=0),N(U7418)+1,N(U7418))</f>
        <v/>
      </c>
      <c r="V7419" s="19">
        <f>IF($B7419="","",TEXT($B7419,"0000"))</f>
        <v/>
      </c>
      <c r="W7419" s="19">
        <f>IF($I7419="","",IF(ISNUMBER($I7419),TEXT($I7419,"0"),$I7419))</f>
        <v/>
      </c>
    </row>
    <row r="7420">
      <c r="B7420" s="25" t="n"/>
      <c r="I7420" s="25" t="n"/>
      <c r="U7420" s="19">
        <f>IF(AND($V7420='設定'!$C$4,COUNTIF('商品マスタ'!$B$6:$B$1005,$W7420)=0),N(U7419)+1,N(U7419))</f>
        <v/>
      </c>
      <c r="V7420" s="19">
        <f>IF($B7420="","",TEXT($B7420,"0000"))</f>
        <v/>
      </c>
      <c r="W7420" s="19">
        <f>IF($I7420="","",IF(ISNUMBER($I7420),TEXT($I7420,"0"),$I7420))</f>
        <v/>
      </c>
    </row>
    <row r="7421">
      <c r="B7421" s="25" t="n"/>
      <c r="I7421" s="25" t="n"/>
      <c r="U7421" s="19">
        <f>IF(AND($V7421='設定'!$C$4,COUNTIF('商品マスタ'!$B$6:$B$1005,$W7421)=0),N(U7420)+1,N(U7420))</f>
        <v/>
      </c>
      <c r="V7421" s="19">
        <f>IF($B7421="","",TEXT($B7421,"0000"))</f>
        <v/>
      </c>
      <c r="W7421" s="19">
        <f>IF($I7421="","",IF(ISNUMBER($I7421),TEXT($I7421,"0"),$I7421))</f>
        <v/>
      </c>
    </row>
    <row r="7422">
      <c r="B7422" s="25" t="n"/>
      <c r="I7422" s="25" t="n"/>
      <c r="U7422" s="19">
        <f>IF(AND($V7422='設定'!$C$4,COUNTIF('商品マスタ'!$B$6:$B$1005,$W7422)=0),N(U7421)+1,N(U7421))</f>
        <v/>
      </c>
      <c r="V7422" s="19">
        <f>IF($B7422="","",TEXT($B7422,"0000"))</f>
        <v/>
      </c>
      <c r="W7422" s="19">
        <f>IF($I7422="","",IF(ISNUMBER($I7422),TEXT($I7422,"0"),$I7422))</f>
        <v/>
      </c>
    </row>
    <row r="7423">
      <c r="B7423" s="25" t="n"/>
      <c r="I7423" s="25" t="n"/>
      <c r="U7423" s="19">
        <f>IF(AND($V7423='設定'!$C$4,COUNTIF('商品マスタ'!$B$6:$B$1005,$W7423)=0),N(U7422)+1,N(U7422))</f>
        <v/>
      </c>
      <c r="V7423" s="19">
        <f>IF($B7423="","",TEXT($B7423,"0000"))</f>
        <v/>
      </c>
      <c r="W7423" s="19">
        <f>IF($I7423="","",IF(ISNUMBER($I7423),TEXT($I7423,"0"),$I7423))</f>
        <v/>
      </c>
    </row>
    <row r="7424">
      <c r="B7424" s="25" t="n"/>
      <c r="I7424" s="25" t="n"/>
      <c r="U7424" s="19">
        <f>IF(AND($V7424='設定'!$C$4,COUNTIF('商品マスタ'!$B$6:$B$1005,$W7424)=0),N(U7423)+1,N(U7423))</f>
        <v/>
      </c>
      <c r="V7424" s="19">
        <f>IF($B7424="","",TEXT($B7424,"0000"))</f>
        <v/>
      </c>
      <c r="W7424" s="19">
        <f>IF($I7424="","",IF(ISNUMBER($I7424),TEXT($I7424,"0"),$I7424))</f>
        <v/>
      </c>
    </row>
    <row r="7425">
      <c r="B7425" s="25" t="n"/>
      <c r="I7425" s="25" t="n"/>
      <c r="U7425" s="19">
        <f>IF(AND($V7425='設定'!$C$4,COUNTIF('商品マスタ'!$B$6:$B$1005,$W7425)=0),N(U7424)+1,N(U7424))</f>
        <v/>
      </c>
      <c r="V7425" s="19">
        <f>IF($B7425="","",TEXT($B7425,"0000"))</f>
        <v/>
      </c>
      <c r="W7425" s="19">
        <f>IF($I7425="","",IF(ISNUMBER($I7425),TEXT($I7425,"0"),$I7425))</f>
        <v/>
      </c>
    </row>
    <row r="7426">
      <c r="B7426" s="25" t="n"/>
      <c r="I7426" s="25" t="n"/>
      <c r="U7426" s="19">
        <f>IF(AND($V7426='設定'!$C$4,COUNTIF('商品マスタ'!$B$6:$B$1005,$W7426)=0),N(U7425)+1,N(U7425))</f>
        <v/>
      </c>
      <c r="V7426" s="19">
        <f>IF($B7426="","",TEXT($B7426,"0000"))</f>
        <v/>
      </c>
      <c r="W7426" s="19">
        <f>IF($I7426="","",IF(ISNUMBER($I7426),TEXT($I7426,"0"),$I7426))</f>
        <v/>
      </c>
    </row>
    <row r="7427">
      <c r="B7427" s="25" t="n"/>
      <c r="I7427" s="25" t="n"/>
      <c r="U7427" s="19">
        <f>IF(AND($V7427='設定'!$C$4,COUNTIF('商品マスタ'!$B$6:$B$1005,$W7427)=0),N(U7426)+1,N(U7426))</f>
        <v/>
      </c>
      <c r="V7427" s="19">
        <f>IF($B7427="","",TEXT($B7427,"0000"))</f>
        <v/>
      </c>
      <c r="W7427" s="19">
        <f>IF($I7427="","",IF(ISNUMBER($I7427),TEXT($I7427,"0"),$I7427))</f>
        <v/>
      </c>
    </row>
    <row r="7428">
      <c r="B7428" s="25" t="n"/>
      <c r="I7428" s="25" t="n"/>
      <c r="U7428" s="19">
        <f>IF(AND($V7428='設定'!$C$4,COUNTIF('商品マスタ'!$B$6:$B$1005,$W7428)=0),N(U7427)+1,N(U7427))</f>
        <v/>
      </c>
      <c r="V7428" s="19">
        <f>IF($B7428="","",TEXT($B7428,"0000"))</f>
        <v/>
      </c>
      <c r="W7428" s="19">
        <f>IF($I7428="","",IF(ISNUMBER($I7428),TEXT($I7428,"0"),$I7428))</f>
        <v/>
      </c>
    </row>
    <row r="7429">
      <c r="B7429" s="25" t="n"/>
      <c r="I7429" s="25" t="n"/>
      <c r="U7429" s="19">
        <f>IF(AND($V7429='設定'!$C$4,COUNTIF('商品マスタ'!$B$6:$B$1005,$W7429)=0),N(U7428)+1,N(U7428))</f>
        <v/>
      </c>
      <c r="V7429" s="19">
        <f>IF($B7429="","",TEXT($B7429,"0000"))</f>
        <v/>
      </c>
      <c r="W7429" s="19">
        <f>IF($I7429="","",IF(ISNUMBER($I7429),TEXT($I7429,"0"),$I7429))</f>
        <v/>
      </c>
    </row>
    <row r="7430">
      <c r="B7430" s="25" t="n"/>
      <c r="I7430" s="25" t="n"/>
      <c r="U7430" s="19">
        <f>IF(AND($V7430='設定'!$C$4,COUNTIF('商品マスタ'!$B$6:$B$1005,$W7430)=0),N(U7429)+1,N(U7429))</f>
        <v/>
      </c>
      <c r="V7430" s="19">
        <f>IF($B7430="","",TEXT($B7430,"0000"))</f>
        <v/>
      </c>
      <c r="W7430" s="19">
        <f>IF($I7430="","",IF(ISNUMBER($I7430),TEXT($I7430,"0"),$I7430))</f>
        <v/>
      </c>
    </row>
    <row r="7431">
      <c r="B7431" s="25" t="n"/>
      <c r="I7431" s="25" t="n"/>
      <c r="U7431" s="19">
        <f>IF(AND($V7431='設定'!$C$4,COUNTIF('商品マスタ'!$B$6:$B$1005,$W7431)=0),N(U7430)+1,N(U7430))</f>
        <v/>
      </c>
      <c r="V7431" s="19">
        <f>IF($B7431="","",TEXT($B7431,"0000"))</f>
        <v/>
      </c>
      <c r="W7431" s="19">
        <f>IF($I7431="","",IF(ISNUMBER($I7431),TEXT($I7431,"0"),$I7431))</f>
        <v/>
      </c>
    </row>
    <row r="7432">
      <c r="B7432" s="25" t="n"/>
      <c r="I7432" s="25" t="n"/>
      <c r="U7432" s="19">
        <f>IF(AND($V7432='設定'!$C$4,COUNTIF('商品マスタ'!$B$6:$B$1005,$W7432)=0),N(U7431)+1,N(U7431))</f>
        <v/>
      </c>
      <c r="V7432" s="19">
        <f>IF($B7432="","",TEXT($B7432,"0000"))</f>
        <v/>
      </c>
      <c r="W7432" s="19">
        <f>IF($I7432="","",IF(ISNUMBER($I7432),TEXT($I7432,"0"),$I7432))</f>
        <v/>
      </c>
    </row>
    <row r="7433">
      <c r="B7433" s="25" t="n"/>
      <c r="I7433" s="25" t="n"/>
      <c r="U7433" s="19">
        <f>IF(AND($V7433='設定'!$C$4,COUNTIF('商品マスタ'!$B$6:$B$1005,$W7433)=0),N(U7432)+1,N(U7432))</f>
        <v/>
      </c>
      <c r="V7433" s="19">
        <f>IF($B7433="","",TEXT($B7433,"0000"))</f>
        <v/>
      </c>
      <c r="W7433" s="19">
        <f>IF($I7433="","",IF(ISNUMBER($I7433),TEXT($I7433,"0"),$I7433))</f>
        <v/>
      </c>
    </row>
    <row r="7434">
      <c r="B7434" s="25" t="n"/>
      <c r="I7434" s="25" t="n"/>
      <c r="U7434" s="19">
        <f>IF(AND($V7434='設定'!$C$4,COUNTIF('商品マスタ'!$B$6:$B$1005,$W7434)=0),N(U7433)+1,N(U7433))</f>
        <v/>
      </c>
      <c r="V7434" s="19">
        <f>IF($B7434="","",TEXT($B7434,"0000"))</f>
        <v/>
      </c>
      <c r="W7434" s="19">
        <f>IF($I7434="","",IF(ISNUMBER($I7434),TEXT($I7434,"0"),$I7434))</f>
        <v/>
      </c>
    </row>
    <row r="7435">
      <c r="B7435" s="25" t="n"/>
      <c r="I7435" s="25" t="n"/>
      <c r="U7435" s="19">
        <f>IF(AND($V7435='設定'!$C$4,COUNTIF('商品マスタ'!$B$6:$B$1005,$W7435)=0),N(U7434)+1,N(U7434))</f>
        <v/>
      </c>
      <c r="V7435" s="19">
        <f>IF($B7435="","",TEXT($B7435,"0000"))</f>
        <v/>
      </c>
      <c r="W7435" s="19">
        <f>IF($I7435="","",IF(ISNUMBER($I7435),TEXT($I7435,"0"),$I7435))</f>
        <v/>
      </c>
    </row>
    <row r="7436">
      <c r="B7436" s="25" t="n"/>
      <c r="I7436" s="25" t="n"/>
      <c r="U7436" s="19">
        <f>IF(AND($V7436='設定'!$C$4,COUNTIF('商品マスタ'!$B$6:$B$1005,$W7436)=0),N(U7435)+1,N(U7435))</f>
        <v/>
      </c>
      <c r="V7436" s="19">
        <f>IF($B7436="","",TEXT($B7436,"0000"))</f>
        <v/>
      </c>
      <c r="W7436" s="19">
        <f>IF($I7436="","",IF(ISNUMBER($I7436),TEXT($I7436,"0"),$I7436))</f>
        <v/>
      </c>
    </row>
    <row r="7437">
      <c r="B7437" s="25" t="n"/>
      <c r="I7437" s="25" t="n"/>
      <c r="U7437" s="19">
        <f>IF(AND($V7437='設定'!$C$4,COUNTIF('商品マスタ'!$B$6:$B$1005,$W7437)=0),N(U7436)+1,N(U7436))</f>
        <v/>
      </c>
      <c r="V7437" s="19">
        <f>IF($B7437="","",TEXT($B7437,"0000"))</f>
        <v/>
      </c>
      <c r="W7437" s="19">
        <f>IF($I7437="","",IF(ISNUMBER($I7437),TEXT($I7437,"0"),$I7437))</f>
        <v/>
      </c>
    </row>
    <row r="7438">
      <c r="B7438" s="25" t="n"/>
      <c r="I7438" s="25" t="n"/>
      <c r="U7438" s="19">
        <f>IF(AND($V7438='設定'!$C$4,COUNTIF('商品マスタ'!$B$6:$B$1005,$W7438)=0),N(U7437)+1,N(U7437))</f>
        <v/>
      </c>
      <c r="V7438" s="19">
        <f>IF($B7438="","",TEXT($B7438,"0000"))</f>
        <v/>
      </c>
      <c r="W7438" s="19">
        <f>IF($I7438="","",IF(ISNUMBER($I7438),TEXT($I7438,"0"),$I7438))</f>
        <v/>
      </c>
    </row>
    <row r="7439">
      <c r="B7439" s="25" t="n"/>
      <c r="I7439" s="25" t="n"/>
      <c r="U7439" s="19">
        <f>IF(AND($V7439='設定'!$C$4,COUNTIF('商品マスタ'!$B$6:$B$1005,$W7439)=0),N(U7438)+1,N(U7438))</f>
        <v/>
      </c>
      <c r="V7439" s="19">
        <f>IF($B7439="","",TEXT($B7439,"0000"))</f>
        <v/>
      </c>
      <c r="W7439" s="19">
        <f>IF($I7439="","",IF(ISNUMBER($I7439),TEXT($I7439,"0"),$I7439))</f>
        <v/>
      </c>
    </row>
    <row r="7440">
      <c r="B7440" s="25" t="n"/>
      <c r="I7440" s="25" t="n"/>
      <c r="U7440" s="19">
        <f>IF(AND($V7440='設定'!$C$4,COUNTIF('商品マスタ'!$B$6:$B$1005,$W7440)=0),N(U7439)+1,N(U7439))</f>
        <v/>
      </c>
      <c r="V7440" s="19">
        <f>IF($B7440="","",TEXT($B7440,"0000"))</f>
        <v/>
      </c>
      <c r="W7440" s="19">
        <f>IF($I7440="","",IF(ISNUMBER($I7440),TEXT($I7440,"0"),$I7440))</f>
        <v/>
      </c>
    </row>
    <row r="7441">
      <c r="B7441" s="25" t="n"/>
      <c r="I7441" s="25" t="n"/>
      <c r="U7441" s="19">
        <f>IF(AND($V7441='設定'!$C$4,COUNTIF('商品マスタ'!$B$6:$B$1005,$W7441)=0),N(U7440)+1,N(U7440))</f>
        <v/>
      </c>
      <c r="V7441" s="19">
        <f>IF($B7441="","",TEXT($B7441,"0000"))</f>
        <v/>
      </c>
      <c r="W7441" s="19">
        <f>IF($I7441="","",IF(ISNUMBER($I7441),TEXT($I7441,"0"),$I7441))</f>
        <v/>
      </c>
    </row>
    <row r="7442">
      <c r="B7442" s="25" t="n"/>
      <c r="I7442" s="25" t="n"/>
      <c r="U7442" s="19">
        <f>IF(AND($V7442='設定'!$C$4,COUNTIF('商品マスタ'!$B$6:$B$1005,$W7442)=0),N(U7441)+1,N(U7441))</f>
        <v/>
      </c>
      <c r="V7442" s="19">
        <f>IF($B7442="","",TEXT($B7442,"0000"))</f>
        <v/>
      </c>
      <c r="W7442" s="19">
        <f>IF($I7442="","",IF(ISNUMBER($I7442),TEXT($I7442,"0"),$I7442))</f>
        <v/>
      </c>
    </row>
    <row r="7443">
      <c r="B7443" s="25" t="n"/>
      <c r="I7443" s="25" t="n"/>
      <c r="U7443" s="19">
        <f>IF(AND($V7443='設定'!$C$4,COUNTIF('商品マスタ'!$B$6:$B$1005,$W7443)=0),N(U7442)+1,N(U7442))</f>
        <v/>
      </c>
      <c r="V7443" s="19">
        <f>IF($B7443="","",TEXT($B7443,"0000"))</f>
        <v/>
      </c>
      <c r="W7443" s="19">
        <f>IF($I7443="","",IF(ISNUMBER($I7443),TEXT($I7443,"0"),$I7443))</f>
        <v/>
      </c>
    </row>
    <row r="7444">
      <c r="B7444" s="25" t="n"/>
      <c r="I7444" s="25" t="n"/>
      <c r="U7444" s="19">
        <f>IF(AND($V7444='設定'!$C$4,COUNTIF('商品マスタ'!$B$6:$B$1005,$W7444)=0),N(U7443)+1,N(U7443))</f>
        <v/>
      </c>
      <c r="V7444" s="19">
        <f>IF($B7444="","",TEXT($B7444,"0000"))</f>
        <v/>
      </c>
      <c r="W7444" s="19">
        <f>IF($I7444="","",IF(ISNUMBER($I7444),TEXT($I7444,"0"),$I7444))</f>
        <v/>
      </c>
    </row>
    <row r="7445">
      <c r="B7445" s="25" t="n"/>
      <c r="I7445" s="25" t="n"/>
      <c r="U7445" s="19">
        <f>IF(AND($V7445='設定'!$C$4,COUNTIF('商品マスタ'!$B$6:$B$1005,$W7445)=0),N(U7444)+1,N(U7444))</f>
        <v/>
      </c>
      <c r="V7445" s="19">
        <f>IF($B7445="","",TEXT($B7445,"0000"))</f>
        <v/>
      </c>
      <c r="W7445" s="19">
        <f>IF($I7445="","",IF(ISNUMBER($I7445),TEXT($I7445,"0"),$I7445))</f>
        <v/>
      </c>
    </row>
    <row r="7446">
      <c r="B7446" s="25" t="n"/>
      <c r="I7446" s="25" t="n"/>
      <c r="U7446" s="19">
        <f>IF(AND($V7446='設定'!$C$4,COUNTIF('商品マスタ'!$B$6:$B$1005,$W7446)=0),N(U7445)+1,N(U7445))</f>
        <v/>
      </c>
      <c r="V7446" s="19">
        <f>IF($B7446="","",TEXT($B7446,"0000"))</f>
        <v/>
      </c>
      <c r="W7446" s="19">
        <f>IF($I7446="","",IF(ISNUMBER($I7446),TEXT($I7446,"0"),$I7446))</f>
        <v/>
      </c>
    </row>
    <row r="7447">
      <c r="B7447" s="25" t="n"/>
      <c r="I7447" s="25" t="n"/>
      <c r="U7447" s="19">
        <f>IF(AND($V7447='設定'!$C$4,COUNTIF('商品マスタ'!$B$6:$B$1005,$W7447)=0),N(U7446)+1,N(U7446))</f>
        <v/>
      </c>
      <c r="V7447" s="19">
        <f>IF($B7447="","",TEXT($B7447,"0000"))</f>
        <v/>
      </c>
      <c r="W7447" s="19">
        <f>IF($I7447="","",IF(ISNUMBER($I7447),TEXT($I7447,"0"),$I7447))</f>
        <v/>
      </c>
    </row>
    <row r="7448">
      <c r="B7448" s="25" t="n"/>
      <c r="I7448" s="25" t="n"/>
      <c r="U7448" s="19">
        <f>IF(AND($V7448='設定'!$C$4,COUNTIF('商品マスタ'!$B$6:$B$1005,$W7448)=0),N(U7447)+1,N(U7447))</f>
        <v/>
      </c>
      <c r="V7448" s="19">
        <f>IF($B7448="","",TEXT($B7448,"0000"))</f>
        <v/>
      </c>
      <c r="W7448" s="19">
        <f>IF($I7448="","",IF(ISNUMBER($I7448),TEXT($I7448,"0"),$I7448))</f>
        <v/>
      </c>
    </row>
    <row r="7449">
      <c r="B7449" s="25" t="n"/>
      <c r="I7449" s="25" t="n"/>
      <c r="U7449" s="19">
        <f>IF(AND($V7449='設定'!$C$4,COUNTIF('商品マスタ'!$B$6:$B$1005,$W7449)=0),N(U7448)+1,N(U7448))</f>
        <v/>
      </c>
      <c r="V7449" s="19">
        <f>IF($B7449="","",TEXT($B7449,"0000"))</f>
        <v/>
      </c>
      <c r="W7449" s="19">
        <f>IF($I7449="","",IF(ISNUMBER($I7449),TEXT($I7449,"0"),$I7449))</f>
        <v/>
      </c>
    </row>
    <row r="7450">
      <c r="B7450" s="25" t="n"/>
      <c r="I7450" s="25" t="n"/>
      <c r="U7450" s="19">
        <f>IF(AND($V7450='設定'!$C$4,COUNTIF('商品マスタ'!$B$6:$B$1005,$W7450)=0),N(U7449)+1,N(U7449))</f>
        <v/>
      </c>
      <c r="V7450" s="19">
        <f>IF($B7450="","",TEXT($B7450,"0000"))</f>
        <v/>
      </c>
      <c r="W7450" s="19">
        <f>IF($I7450="","",IF(ISNUMBER($I7450),TEXT($I7450,"0"),$I7450))</f>
        <v/>
      </c>
    </row>
    <row r="7451">
      <c r="B7451" s="25" t="n"/>
      <c r="I7451" s="25" t="n"/>
      <c r="U7451" s="19">
        <f>IF(AND($V7451='設定'!$C$4,COUNTIF('商品マスタ'!$B$6:$B$1005,$W7451)=0),N(U7450)+1,N(U7450))</f>
        <v/>
      </c>
      <c r="V7451" s="19">
        <f>IF($B7451="","",TEXT($B7451,"0000"))</f>
        <v/>
      </c>
      <c r="W7451" s="19">
        <f>IF($I7451="","",IF(ISNUMBER($I7451),TEXT($I7451,"0"),$I7451))</f>
        <v/>
      </c>
    </row>
    <row r="7452">
      <c r="B7452" s="25" t="n"/>
      <c r="I7452" s="25" t="n"/>
      <c r="U7452" s="19">
        <f>IF(AND($V7452='設定'!$C$4,COUNTIF('商品マスタ'!$B$6:$B$1005,$W7452)=0),N(U7451)+1,N(U7451))</f>
        <v/>
      </c>
      <c r="V7452" s="19">
        <f>IF($B7452="","",TEXT($B7452,"0000"))</f>
        <v/>
      </c>
      <c r="W7452" s="19">
        <f>IF($I7452="","",IF(ISNUMBER($I7452),TEXT($I7452,"0"),$I7452))</f>
        <v/>
      </c>
    </row>
    <row r="7453">
      <c r="B7453" s="25" t="n"/>
      <c r="I7453" s="25" t="n"/>
      <c r="U7453" s="19">
        <f>IF(AND($V7453='設定'!$C$4,COUNTIF('商品マスタ'!$B$6:$B$1005,$W7453)=0),N(U7452)+1,N(U7452))</f>
        <v/>
      </c>
      <c r="V7453" s="19">
        <f>IF($B7453="","",TEXT($B7453,"0000"))</f>
        <v/>
      </c>
      <c r="W7453" s="19">
        <f>IF($I7453="","",IF(ISNUMBER($I7453),TEXT($I7453,"0"),$I7453))</f>
        <v/>
      </c>
    </row>
    <row r="7454">
      <c r="B7454" s="25" t="n"/>
      <c r="I7454" s="25" t="n"/>
      <c r="U7454" s="19">
        <f>IF(AND($V7454='設定'!$C$4,COUNTIF('商品マスタ'!$B$6:$B$1005,$W7454)=0),N(U7453)+1,N(U7453))</f>
        <v/>
      </c>
      <c r="V7454" s="19">
        <f>IF($B7454="","",TEXT($B7454,"0000"))</f>
        <v/>
      </c>
      <c r="W7454" s="19">
        <f>IF($I7454="","",IF(ISNUMBER($I7454),TEXT($I7454,"0"),$I7454))</f>
        <v/>
      </c>
    </row>
    <row r="7455">
      <c r="B7455" s="25" t="n"/>
      <c r="I7455" s="25" t="n"/>
      <c r="U7455" s="19">
        <f>IF(AND($V7455='設定'!$C$4,COUNTIF('商品マスタ'!$B$6:$B$1005,$W7455)=0),N(U7454)+1,N(U7454))</f>
        <v/>
      </c>
      <c r="V7455" s="19">
        <f>IF($B7455="","",TEXT($B7455,"0000"))</f>
        <v/>
      </c>
      <c r="W7455" s="19">
        <f>IF($I7455="","",IF(ISNUMBER($I7455),TEXT($I7455,"0"),$I7455))</f>
        <v/>
      </c>
    </row>
    <row r="7456">
      <c r="B7456" s="25" t="n"/>
      <c r="I7456" s="25" t="n"/>
      <c r="U7456" s="19">
        <f>IF(AND($V7456='設定'!$C$4,COUNTIF('商品マスタ'!$B$6:$B$1005,$W7456)=0),N(U7455)+1,N(U7455))</f>
        <v/>
      </c>
      <c r="V7456" s="19">
        <f>IF($B7456="","",TEXT($B7456,"0000"))</f>
        <v/>
      </c>
      <c r="W7456" s="19">
        <f>IF($I7456="","",IF(ISNUMBER($I7456),TEXT($I7456,"0"),$I7456))</f>
        <v/>
      </c>
    </row>
    <row r="7457">
      <c r="B7457" s="25" t="n"/>
      <c r="I7457" s="25" t="n"/>
      <c r="U7457" s="19">
        <f>IF(AND($V7457='設定'!$C$4,COUNTIF('商品マスタ'!$B$6:$B$1005,$W7457)=0),N(U7456)+1,N(U7456))</f>
        <v/>
      </c>
      <c r="V7457" s="19">
        <f>IF($B7457="","",TEXT($B7457,"0000"))</f>
        <v/>
      </c>
      <c r="W7457" s="19">
        <f>IF($I7457="","",IF(ISNUMBER($I7457),TEXT($I7457,"0"),$I7457))</f>
        <v/>
      </c>
    </row>
    <row r="7458">
      <c r="B7458" s="25" t="n"/>
      <c r="I7458" s="25" t="n"/>
      <c r="U7458" s="19">
        <f>IF(AND($V7458='設定'!$C$4,COUNTIF('商品マスタ'!$B$6:$B$1005,$W7458)=0),N(U7457)+1,N(U7457))</f>
        <v/>
      </c>
      <c r="V7458" s="19">
        <f>IF($B7458="","",TEXT($B7458,"0000"))</f>
        <v/>
      </c>
      <c r="W7458" s="19">
        <f>IF($I7458="","",IF(ISNUMBER($I7458),TEXT($I7458,"0"),$I7458))</f>
        <v/>
      </c>
    </row>
    <row r="7459">
      <c r="B7459" s="25" t="n"/>
      <c r="I7459" s="25" t="n"/>
      <c r="U7459" s="19">
        <f>IF(AND($V7459='設定'!$C$4,COUNTIF('商品マスタ'!$B$6:$B$1005,$W7459)=0),N(U7458)+1,N(U7458))</f>
        <v/>
      </c>
      <c r="V7459" s="19">
        <f>IF($B7459="","",TEXT($B7459,"0000"))</f>
        <v/>
      </c>
      <c r="W7459" s="19">
        <f>IF($I7459="","",IF(ISNUMBER($I7459),TEXT($I7459,"0"),$I7459))</f>
        <v/>
      </c>
    </row>
    <row r="7460">
      <c r="B7460" s="25" t="n"/>
      <c r="I7460" s="25" t="n"/>
      <c r="U7460" s="19">
        <f>IF(AND($V7460='設定'!$C$4,COUNTIF('商品マスタ'!$B$6:$B$1005,$W7460)=0),N(U7459)+1,N(U7459))</f>
        <v/>
      </c>
      <c r="V7460" s="19">
        <f>IF($B7460="","",TEXT($B7460,"0000"))</f>
        <v/>
      </c>
      <c r="W7460" s="19">
        <f>IF($I7460="","",IF(ISNUMBER($I7460),TEXT($I7460,"0"),$I7460))</f>
        <v/>
      </c>
    </row>
    <row r="7461">
      <c r="B7461" s="25" t="n"/>
      <c r="I7461" s="25" t="n"/>
      <c r="U7461" s="19">
        <f>IF(AND($V7461='設定'!$C$4,COUNTIF('商品マスタ'!$B$6:$B$1005,$W7461)=0),N(U7460)+1,N(U7460))</f>
        <v/>
      </c>
      <c r="V7461" s="19">
        <f>IF($B7461="","",TEXT($B7461,"0000"))</f>
        <v/>
      </c>
      <c r="W7461" s="19">
        <f>IF($I7461="","",IF(ISNUMBER($I7461),TEXT($I7461,"0"),$I7461))</f>
        <v/>
      </c>
    </row>
    <row r="7462">
      <c r="B7462" s="25" t="n"/>
      <c r="I7462" s="25" t="n"/>
      <c r="U7462" s="19">
        <f>IF(AND($V7462='設定'!$C$4,COUNTIF('商品マスタ'!$B$6:$B$1005,$W7462)=0),N(U7461)+1,N(U7461))</f>
        <v/>
      </c>
      <c r="V7462" s="19">
        <f>IF($B7462="","",TEXT($B7462,"0000"))</f>
        <v/>
      </c>
      <c r="W7462" s="19">
        <f>IF($I7462="","",IF(ISNUMBER($I7462),TEXT($I7462,"0"),$I7462))</f>
        <v/>
      </c>
    </row>
    <row r="7463">
      <c r="B7463" s="25" t="n"/>
      <c r="I7463" s="25" t="n"/>
      <c r="U7463" s="19">
        <f>IF(AND($V7463='設定'!$C$4,COUNTIF('商品マスタ'!$B$6:$B$1005,$W7463)=0),N(U7462)+1,N(U7462))</f>
        <v/>
      </c>
      <c r="V7463" s="19">
        <f>IF($B7463="","",TEXT($B7463,"0000"))</f>
        <v/>
      </c>
      <c r="W7463" s="19">
        <f>IF($I7463="","",IF(ISNUMBER($I7463),TEXT($I7463,"0"),$I7463))</f>
        <v/>
      </c>
    </row>
    <row r="7464">
      <c r="B7464" s="25" t="n"/>
      <c r="I7464" s="25" t="n"/>
      <c r="U7464" s="19">
        <f>IF(AND($V7464='設定'!$C$4,COUNTIF('商品マスタ'!$B$6:$B$1005,$W7464)=0),N(U7463)+1,N(U7463))</f>
        <v/>
      </c>
      <c r="V7464" s="19">
        <f>IF($B7464="","",TEXT($B7464,"0000"))</f>
        <v/>
      </c>
      <c r="W7464" s="19">
        <f>IF($I7464="","",IF(ISNUMBER($I7464),TEXT($I7464,"0"),$I7464))</f>
        <v/>
      </c>
    </row>
    <row r="7465">
      <c r="B7465" s="25" t="n"/>
      <c r="I7465" s="25" t="n"/>
      <c r="U7465" s="19">
        <f>IF(AND($V7465='設定'!$C$4,COUNTIF('商品マスタ'!$B$6:$B$1005,$W7465)=0),N(U7464)+1,N(U7464))</f>
        <v/>
      </c>
      <c r="V7465" s="19">
        <f>IF($B7465="","",TEXT($B7465,"0000"))</f>
        <v/>
      </c>
      <c r="W7465" s="19">
        <f>IF($I7465="","",IF(ISNUMBER($I7465),TEXT($I7465,"0"),$I7465))</f>
        <v/>
      </c>
    </row>
    <row r="7466">
      <c r="B7466" s="25" t="n"/>
      <c r="I7466" s="25" t="n"/>
      <c r="U7466" s="19">
        <f>IF(AND($V7466='設定'!$C$4,COUNTIF('商品マスタ'!$B$6:$B$1005,$W7466)=0),N(U7465)+1,N(U7465))</f>
        <v/>
      </c>
      <c r="V7466" s="19">
        <f>IF($B7466="","",TEXT($B7466,"0000"))</f>
        <v/>
      </c>
      <c r="W7466" s="19">
        <f>IF($I7466="","",IF(ISNUMBER($I7466),TEXT($I7466,"0"),$I7466))</f>
        <v/>
      </c>
    </row>
    <row r="7467">
      <c r="B7467" s="25" t="n"/>
      <c r="I7467" s="25" t="n"/>
      <c r="U7467" s="19">
        <f>IF(AND($V7467='設定'!$C$4,COUNTIF('商品マスタ'!$B$6:$B$1005,$W7467)=0),N(U7466)+1,N(U7466))</f>
        <v/>
      </c>
      <c r="V7467" s="19">
        <f>IF($B7467="","",TEXT($B7467,"0000"))</f>
        <v/>
      </c>
      <c r="W7467" s="19">
        <f>IF($I7467="","",IF(ISNUMBER($I7467),TEXT($I7467,"0"),$I7467))</f>
        <v/>
      </c>
    </row>
    <row r="7468">
      <c r="B7468" s="25" t="n"/>
      <c r="I7468" s="25" t="n"/>
      <c r="U7468" s="19">
        <f>IF(AND($V7468='設定'!$C$4,COUNTIF('商品マスタ'!$B$6:$B$1005,$W7468)=0),N(U7467)+1,N(U7467))</f>
        <v/>
      </c>
      <c r="V7468" s="19">
        <f>IF($B7468="","",TEXT($B7468,"0000"))</f>
        <v/>
      </c>
      <c r="W7468" s="19">
        <f>IF($I7468="","",IF(ISNUMBER($I7468),TEXT($I7468,"0"),$I7468))</f>
        <v/>
      </c>
    </row>
    <row r="7469">
      <c r="B7469" s="25" t="n"/>
      <c r="I7469" s="25" t="n"/>
      <c r="U7469" s="19">
        <f>IF(AND($V7469='設定'!$C$4,COUNTIF('商品マスタ'!$B$6:$B$1005,$W7469)=0),N(U7468)+1,N(U7468))</f>
        <v/>
      </c>
      <c r="V7469" s="19">
        <f>IF($B7469="","",TEXT($B7469,"0000"))</f>
        <v/>
      </c>
      <c r="W7469" s="19">
        <f>IF($I7469="","",IF(ISNUMBER($I7469),TEXT($I7469,"0"),$I7469))</f>
        <v/>
      </c>
    </row>
    <row r="7470">
      <c r="B7470" s="25" t="n"/>
      <c r="I7470" s="25" t="n"/>
      <c r="U7470" s="19">
        <f>IF(AND($V7470='設定'!$C$4,COUNTIF('商品マスタ'!$B$6:$B$1005,$W7470)=0),N(U7469)+1,N(U7469))</f>
        <v/>
      </c>
      <c r="V7470" s="19">
        <f>IF($B7470="","",TEXT($B7470,"0000"))</f>
        <v/>
      </c>
      <c r="W7470" s="19">
        <f>IF($I7470="","",IF(ISNUMBER($I7470),TEXT($I7470,"0"),$I7470))</f>
        <v/>
      </c>
    </row>
    <row r="7471">
      <c r="B7471" s="25" t="n"/>
      <c r="I7471" s="25" t="n"/>
      <c r="U7471" s="19">
        <f>IF(AND($V7471='設定'!$C$4,COUNTIF('商品マスタ'!$B$6:$B$1005,$W7471)=0),N(U7470)+1,N(U7470))</f>
        <v/>
      </c>
      <c r="V7471" s="19">
        <f>IF($B7471="","",TEXT($B7471,"0000"))</f>
        <v/>
      </c>
      <c r="W7471" s="19">
        <f>IF($I7471="","",IF(ISNUMBER($I7471),TEXT($I7471,"0"),$I7471))</f>
        <v/>
      </c>
    </row>
    <row r="7472">
      <c r="B7472" s="25" t="n"/>
      <c r="I7472" s="25" t="n"/>
      <c r="U7472" s="19">
        <f>IF(AND($V7472='設定'!$C$4,COUNTIF('商品マスタ'!$B$6:$B$1005,$W7472)=0),N(U7471)+1,N(U7471))</f>
        <v/>
      </c>
      <c r="V7472" s="19">
        <f>IF($B7472="","",TEXT($B7472,"0000"))</f>
        <v/>
      </c>
      <c r="W7472" s="19">
        <f>IF($I7472="","",IF(ISNUMBER($I7472),TEXT($I7472,"0"),$I7472))</f>
        <v/>
      </c>
    </row>
    <row r="7473">
      <c r="B7473" s="25" t="n"/>
      <c r="I7473" s="25" t="n"/>
      <c r="U7473" s="19">
        <f>IF(AND($V7473='設定'!$C$4,COUNTIF('商品マスタ'!$B$6:$B$1005,$W7473)=0),N(U7472)+1,N(U7472))</f>
        <v/>
      </c>
      <c r="V7473" s="19">
        <f>IF($B7473="","",TEXT($B7473,"0000"))</f>
        <v/>
      </c>
      <c r="W7473" s="19">
        <f>IF($I7473="","",IF(ISNUMBER($I7473),TEXT($I7473,"0"),$I7473))</f>
        <v/>
      </c>
    </row>
    <row r="7474">
      <c r="B7474" s="25" t="n"/>
      <c r="I7474" s="25" t="n"/>
      <c r="U7474" s="19">
        <f>IF(AND($V7474='設定'!$C$4,COUNTIF('商品マスタ'!$B$6:$B$1005,$W7474)=0),N(U7473)+1,N(U7473))</f>
        <v/>
      </c>
      <c r="V7474" s="19">
        <f>IF($B7474="","",TEXT($B7474,"0000"))</f>
        <v/>
      </c>
      <c r="W7474" s="19">
        <f>IF($I7474="","",IF(ISNUMBER($I7474),TEXT($I7474,"0"),$I7474))</f>
        <v/>
      </c>
    </row>
    <row r="7475">
      <c r="B7475" s="25" t="n"/>
      <c r="I7475" s="25" t="n"/>
      <c r="U7475" s="19">
        <f>IF(AND($V7475='設定'!$C$4,COUNTIF('商品マスタ'!$B$6:$B$1005,$W7475)=0),N(U7474)+1,N(U7474))</f>
        <v/>
      </c>
      <c r="V7475" s="19">
        <f>IF($B7475="","",TEXT($B7475,"0000"))</f>
        <v/>
      </c>
      <c r="W7475" s="19">
        <f>IF($I7475="","",IF(ISNUMBER($I7475),TEXT($I7475,"0"),$I7475))</f>
        <v/>
      </c>
    </row>
    <row r="7476">
      <c r="B7476" s="25" t="n"/>
      <c r="I7476" s="25" t="n"/>
      <c r="U7476" s="19">
        <f>IF(AND($V7476='設定'!$C$4,COUNTIF('商品マスタ'!$B$6:$B$1005,$W7476)=0),N(U7475)+1,N(U7475))</f>
        <v/>
      </c>
      <c r="V7476" s="19">
        <f>IF($B7476="","",TEXT($B7476,"0000"))</f>
        <v/>
      </c>
      <c r="W7476" s="19">
        <f>IF($I7476="","",IF(ISNUMBER($I7476),TEXT($I7476,"0"),$I7476))</f>
        <v/>
      </c>
    </row>
    <row r="7477">
      <c r="B7477" s="25" t="n"/>
      <c r="I7477" s="25" t="n"/>
      <c r="U7477" s="19">
        <f>IF(AND($V7477='設定'!$C$4,COUNTIF('商品マスタ'!$B$6:$B$1005,$W7477)=0),N(U7476)+1,N(U7476))</f>
        <v/>
      </c>
      <c r="V7477" s="19">
        <f>IF($B7477="","",TEXT($B7477,"0000"))</f>
        <v/>
      </c>
      <c r="W7477" s="19">
        <f>IF($I7477="","",IF(ISNUMBER($I7477),TEXT($I7477,"0"),$I7477))</f>
        <v/>
      </c>
    </row>
    <row r="7478">
      <c r="B7478" s="25" t="n"/>
      <c r="I7478" s="25" t="n"/>
      <c r="U7478" s="19">
        <f>IF(AND($V7478='設定'!$C$4,COUNTIF('商品マスタ'!$B$6:$B$1005,$W7478)=0),N(U7477)+1,N(U7477))</f>
        <v/>
      </c>
      <c r="V7478" s="19">
        <f>IF($B7478="","",TEXT($B7478,"0000"))</f>
        <v/>
      </c>
      <c r="W7478" s="19">
        <f>IF($I7478="","",IF(ISNUMBER($I7478),TEXT($I7478,"0"),$I7478))</f>
        <v/>
      </c>
    </row>
    <row r="7479">
      <c r="B7479" s="25" t="n"/>
      <c r="I7479" s="25" t="n"/>
      <c r="U7479" s="19">
        <f>IF(AND($V7479='設定'!$C$4,COUNTIF('商品マスタ'!$B$6:$B$1005,$W7479)=0),N(U7478)+1,N(U7478))</f>
        <v/>
      </c>
      <c r="V7479" s="19">
        <f>IF($B7479="","",TEXT($B7479,"0000"))</f>
        <v/>
      </c>
      <c r="W7479" s="19">
        <f>IF($I7479="","",IF(ISNUMBER($I7479),TEXT($I7479,"0"),$I7479))</f>
        <v/>
      </c>
    </row>
    <row r="7480">
      <c r="B7480" s="25" t="n"/>
      <c r="I7480" s="25" t="n"/>
      <c r="U7480" s="19">
        <f>IF(AND($V7480='設定'!$C$4,COUNTIF('商品マスタ'!$B$6:$B$1005,$W7480)=0),N(U7479)+1,N(U7479))</f>
        <v/>
      </c>
      <c r="V7480" s="19">
        <f>IF($B7480="","",TEXT($B7480,"0000"))</f>
        <v/>
      </c>
      <c r="W7480" s="19">
        <f>IF($I7480="","",IF(ISNUMBER($I7480),TEXT($I7480,"0"),$I7480))</f>
        <v/>
      </c>
    </row>
    <row r="7481">
      <c r="B7481" s="25" t="n"/>
      <c r="I7481" s="25" t="n"/>
      <c r="U7481" s="19">
        <f>IF(AND($V7481='設定'!$C$4,COUNTIF('商品マスタ'!$B$6:$B$1005,$W7481)=0),N(U7480)+1,N(U7480))</f>
        <v/>
      </c>
      <c r="V7481" s="19">
        <f>IF($B7481="","",TEXT($B7481,"0000"))</f>
        <v/>
      </c>
      <c r="W7481" s="19">
        <f>IF($I7481="","",IF(ISNUMBER($I7481),TEXT($I7481,"0"),$I7481))</f>
        <v/>
      </c>
    </row>
    <row r="7482">
      <c r="B7482" s="25" t="n"/>
      <c r="I7482" s="25" t="n"/>
      <c r="U7482" s="19">
        <f>IF(AND($V7482='設定'!$C$4,COUNTIF('商品マスタ'!$B$6:$B$1005,$W7482)=0),N(U7481)+1,N(U7481))</f>
        <v/>
      </c>
      <c r="V7482" s="19">
        <f>IF($B7482="","",TEXT($B7482,"0000"))</f>
        <v/>
      </c>
      <c r="W7482" s="19">
        <f>IF($I7482="","",IF(ISNUMBER($I7482),TEXT($I7482,"0"),$I7482))</f>
        <v/>
      </c>
    </row>
    <row r="7483">
      <c r="B7483" s="25" t="n"/>
      <c r="I7483" s="25" t="n"/>
      <c r="U7483" s="19">
        <f>IF(AND($V7483='設定'!$C$4,COUNTIF('商品マスタ'!$B$6:$B$1005,$W7483)=0),N(U7482)+1,N(U7482))</f>
        <v/>
      </c>
      <c r="V7483" s="19">
        <f>IF($B7483="","",TEXT($B7483,"0000"))</f>
        <v/>
      </c>
      <c r="W7483" s="19">
        <f>IF($I7483="","",IF(ISNUMBER($I7483),TEXT($I7483,"0"),$I7483))</f>
        <v/>
      </c>
    </row>
    <row r="7484">
      <c r="B7484" s="25" t="n"/>
      <c r="I7484" s="25" t="n"/>
      <c r="U7484" s="19">
        <f>IF(AND($V7484='設定'!$C$4,COUNTIF('商品マスタ'!$B$6:$B$1005,$W7484)=0),N(U7483)+1,N(U7483))</f>
        <v/>
      </c>
      <c r="V7484" s="19">
        <f>IF($B7484="","",TEXT($B7484,"0000"))</f>
        <v/>
      </c>
      <c r="W7484" s="19">
        <f>IF($I7484="","",IF(ISNUMBER($I7484),TEXT($I7484,"0"),$I7484))</f>
        <v/>
      </c>
    </row>
    <row r="7485">
      <c r="B7485" s="25" t="n"/>
      <c r="I7485" s="25" t="n"/>
      <c r="U7485" s="19">
        <f>IF(AND($V7485='設定'!$C$4,COUNTIF('商品マスタ'!$B$6:$B$1005,$W7485)=0),N(U7484)+1,N(U7484))</f>
        <v/>
      </c>
      <c r="V7485" s="19">
        <f>IF($B7485="","",TEXT($B7485,"0000"))</f>
        <v/>
      </c>
      <c r="W7485" s="19">
        <f>IF($I7485="","",IF(ISNUMBER($I7485),TEXT($I7485,"0"),$I7485))</f>
        <v/>
      </c>
    </row>
    <row r="7486">
      <c r="B7486" s="25" t="n"/>
      <c r="I7486" s="25" t="n"/>
      <c r="U7486" s="19">
        <f>IF(AND($V7486='設定'!$C$4,COUNTIF('商品マスタ'!$B$6:$B$1005,$W7486)=0),N(U7485)+1,N(U7485))</f>
        <v/>
      </c>
      <c r="V7486" s="19">
        <f>IF($B7486="","",TEXT($B7486,"0000"))</f>
        <v/>
      </c>
      <c r="W7486" s="19">
        <f>IF($I7486="","",IF(ISNUMBER($I7486),TEXT($I7486,"0"),$I7486))</f>
        <v/>
      </c>
    </row>
    <row r="7487">
      <c r="B7487" s="25" t="n"/>
      <c r="I7487" s="25" t="n"/>
      <c r="U7487" s="19">
        <f>IF(AND($V7487='設定'!$C$4,COUNTIF('商品マスタ'!$B$6:$B$1005,$W7487)=0),N(U7486)+1,N(U7486))</f>
        <v/>
      </c>
      <c r="V7487" s="19">
        <f>IF($B7487="","",TEXT($B7487,"0000"))</f>
        <v/>
      </c>
      <c r="W7487" s="19">
        <f>IF($I7487="","",IF(ISNUMBER($I7487),TEXT($I7487,"0"),$I7487))</f>
        <v/>
      </c>
    </row>
    <row r="7488">
      <c r="B7488" s="25" t="n"/>
      <c r="I7488" s="25" t="n"/>
      <c r="U7488" s="19">
        <f>IF(AND($V7488='設定'!$C$4,COUNTIF('商品マスタ'!$B$6:$B$1005,$W7488)=0),N(U7487)+1,N(U7487))</f>
        <v/>
      </c>
      <c r="V7488" s="19">
        <f>IF($B7488="","",TEXT($B7488,"0000"))</f>
        <v/>
      </c>
      <c r="W7488" s="19">
        <f>IF($I7488="","",IF(ISNUMBER($I7488),TEXT($I7488,"0"),$I7488))</f>
        <v/>
      </c>
    </row>
    <row r="7489">
      <c r="B7489" s="25" t="n"/>
      <c r="I7489" s="25" t="n"/>
      <c r="U7489" s="19">
        <f>IF(AND($V7489='設定'!$C$4,COUNTIF('商品マスタ'!$B$6:$B$1005,$W7489)=0),N(U7488)+1,N(U7488))</f>
        <v/>
      </c>
      <c r="V7489" s="19">
        <f>IF($B7489="","",TEXT($B7489,"0000"))</f>
        <v/>
      </c>
      <c r="W7489" s="19">
        <f>IF($I7489="","",IF(ISNUMBER($I7489),TEXT($I7489,"0"),$I7489))</f>
        <v/>
      </c>
    </row>
    <row r="7490">
      <c r="B7490" s="25" t="n"/>
      <c r="I7490" s="25" t="n"/>
      <c r="U7490" s="19">
        <f>IF(AND($V7490='設定'!$C$4,COUNTIF('商品マスタ'!$B$6:$B$1005,$W7490)=0),N(U7489)+1,N(U7489))</f>
        <v/>
      </c>
      <c r="V7490" s="19">
        <f>IF($B7490="","",TEXT($B7490,"0000"))</f>
        <v/>
      </c>
      <c r="W7490" s="19">
        <f>IF($I7490="","",IF(ISNUMBER($I7490),TEXT($I7490,"0"),$I7490))</f>
        <v/>
      </c>
    </row>
    <row r="7491">
      <c r="B7491" s="25" t="n"/>
      <c r="I7491" s="25" t="n"/>
      <c r="U7491" s="19">
        <f>IF(AND($V7491='設定'!$C$4,COUNTIF('商品マスタ'!$B$6:$B$1005,$W7491)=0),N(U7490)+1,N(U7490))</f>
        <v/>
      </c>
      <c r="V7491" s="19">
        <f>IF($B7491="","",TEXT($B7491,"0000"))</f>
        <v/>
      </c>
      <c r="W7491" s="19">
        <f>IF($I7491="","",IF(ISNUMBER($I7491),TEXT($I7491,"0"),$I7491))</f>
        <v/>
      </c>
    </row>
    <row r="7492">
      <c r="B7492" s="25" t="n"/>
      <c r="I7492" s="25" t="n"/>
      <c r="U7492" s="19">
        <f>IF(AND($V7492='設定'!$C$4,COUNTIF('商品マスタ'!$B$6:$B$1005,$W7492)=0),N(U7491)+1,N(U7491))</f>
        <v/>
      </c>
      <c r="V7492" s="19">
        <f>IF($B7492="","",TEXT($B7492,"0000"))</f>
        <v/>
      </c>
      <c r="W7492" s="19">
        <f>IF($I7492="","",IF(ISNUMBER($I7492),TEXT($I7492,"0"),$I7492))</f>
        <v/>
      </c>
    </row>
    <row r="7493">
      <c r="B7493" s="25" t="n"/>
      <c r="I7493" s="25" t="n"/>
      <c r="U7493" s="19">
        <f>IF(AND($V7493='設定'!$C$4,COUNTIF('商品マスタ'!$B$6:$B$1005,$W7493)=0),N(U7492)+1,N(U7492))</f>
        <v/>
      </c>
      <c r="V7493" s="19">
        <f>IF($B7493="","",TEXT($B7493,"0000"))</f>
        <v/>
      </c>
      <c r="W7493" s="19">
        <f>IF($I7493="","",IF(ISNUMBER($I7493),TEXT($I7493,"0"),$I7493))</f>
        <v/>
      </c>
    </row>
    <row r="7494">
      <c r="B7494" s="25" t="n"/>
      <c r="I7494" s="25" t="n"/>
      <c r="U7494" s="19">
        <f>IF(AND($V7494='設定'!$C$4,COUNTIF('商品マスタ'!$B$6:$B$1005,$W7494)=0),N(U7493)+1,N(U7493))</f>
        <v/>
      </c>
      <c r="V7494" s="19">
        <f>IF($B7494="","",TEXT($B7494,"0000"))</f>
        <v/>
      </c>
      <c r="W7494" s="19">
        <f>IF($I7494="","",IF(ISNUMBER($I7494),TEXT($I7494,"0"),$I7494))</f>
        <v/>
      </c>
    </row>
    <row r="7495">
      <c r="B7495" s="25" t="n"/>
      <c r="I7495" s="25" t="n"/>
      <c r="U7495" s="19">
        <f>IF(AND($V7495='設定'!$C$4,COUNTIF('商品マスタ'!$B$6:$B$1005,$W7495)=0),N(U7494)+1,N(U7494))</f>
        <v/>
      </c>
      <c r="V7495" s="19">
        <f>IF($B7495="","",TEXT($B7495,"0000"))</f>
        <v/>
      </c>
      <c r="W7495" s="19">
        <f>IF($I7495="","",IF(ISNUMBER($I7495),TEXT($I7495,"0"),$I7495))</f>
        <v/>
      </c>
    </row>
    <row r="7496">
      <c r="B7496" s="25" t="n"/>
      <c r="I7496" s="25" t="n"/>
      <c r="U7496" s="19">
        <f>IF(AND($V7496='設定'!$C$4,COUNTIF('商品マスタ'!$B$6:$B$1005,$W7496)=0),N(U7495)+1,N(U7495))</f>
        <v/>
      </c>
      <c r="V7496" s="19">
        <f>IF($B7496="","",TEXT($B7496,"0000"))</f>
        <v/>
      </c>
      <c r="W7496" s="19">
        <f>IF($I7496="","",IF(ISNUMBER($I7496),TEXT($I7496,"0"),$I7496))</f>
        <v/>
      </c>
    </row>
    <row r="7497">
      <c r="B7497" s="25" t="n"/>
      <c r="I7497" s="25" t="n"/>
      <c r="U7497" s="19">
        <f>IF(AND($V7497='設定'!$C$4,COUNTIF('商品マスタ'!$B$6:$B$1005,$W7497)=0),N(U7496)+1,N(U7496))</f>
        <v/>
      </c>
      <c r="V7497" s="19">
        <f>IF($B7497="","",TEXT($B7497,"0000"))</f>
        <v/>
      </c>
      <c r="W7497" s="19">
        <f>IF($I7497="","",IF(ISNUMBER($I7497),TEXT($I7497,"0"),$I7497))</f>
        <v/>
      </c>
    </row>
    <row r="7498">
      <c r="B7498" s="25" t="n"/>
      <c r="I7498" s="25" t="n"/>
      <c r="U7498" s="19">
        <f>IF(AND($V7498='設定'!$C$4,COUNTIF('商品マスタ'!$B$6:$B$1005,$W7498)=0),N(U7497)+1,N(U7497))</f>
        <v/>
      </c>
      <c r="V7498" s="19">
        <f>IF($B7498="","",TEXT($B7498,"0000"))</f>
        <v/>
      </c>
      <c r="W7498" s="19">
        <f>IF($I7498="","",IF(ISNUMBER($I7498),TEXT($I7498,"0"),$I7498))</f>
        <v/>
      </c>
    </row>
    <row r="7499">
      <c r="B7499" s="25" t="n"/>
      <c r="I7499" s="25" t="n"/>
      <c r="U7499" s="19">
        <f>IF(AND($V7499='設定'!$C$4,COUNTIF('商品マスタ'!$B$6:$B$1005,$W7499)=0),N(U7498)+1,N(U7498))</f>
        <v/>
      </c>
      <c r="V7499" s="19">
        <f>IF($B7499="","",TEXT($B7499,"0000"))</f>
        <v/>
      </c>
      <c r="W7499" s="19">
        <f>IF($I7499="","",IF(ISNUMBER($I7499),TEXT($I7499,"0"),$I7499))</f>
        <v/>
      </c>
    </row>
    <row r="7500">
      <c r="B7500" s="25" t="n"/>
      <c r="I7500" s="25" t="n"/>
      <c r="U7500" s="19">
        <f>IF(AND($V7500='設定'!$C$4,COUNTIF('商品マスタ'!$B$6:$B$1005,$W7500)=0),N(U7499)+1,N(U7499))</f>
        <v/>
      </c>
      <c r="V7500" s="19">
        <f>IF($B7500="","",TEXT($B7500,"0000"))</f>
        <v/>
      </c>
      <c r="W7500" s="19">
        <f>IF($I7500="","",IF(ISNUMBER($I7500),TEXT($I7500,"0"),$I7500))</f>
        <v/>
      </c>
    </row>
    <row r="7501">
      <c r="B7501" s="25" t="n"/>
      <c r="I7501" s="25" t="n"/>
      <c r="U7501" s="19">
        <f>IF(AND($V7501='設定'!$C$4,COUNTIF('商品マスタ'!$B$6:$B$1005,$W7501)=0),N(U7500)+1,N(U7500))</f>
        <v/>
      </c>
      <c r="V7501" s="19">
        <f>IF($B7501="","",TEXT($B7501,"0000"))</f>
        <v/>
      </c>
      <c r="W7501" s="19">
        <f>IF($I7501="","",IF(ISNUMBER($I7501),TEXT($I7501,"0"),$I7501))</f>
        <v/>
      </c>
    </row>
    <row r="7502">
      <c r="B7502" s="25" t="n"/>
      <c r="I7502" s="25" t="n"/>
      <c r="U7502" s="19">
        <f>IF(AND($V7502='設定'!$C$4,COUNTIF('商品マスタ'!$B$6:$B$1005,$W7502)=0),N(U7501)+1,N(U7501))</f>
        <v/>
      </c>
      <c r="V7502" s="19">
        <f>IF($B7502="","",TEXT($B7502,"0000"))</f>
        <v/>
      </c>
      <c r="W7502" s="19">
        <f>IF($I7502="","",IF(ISNUMBER($I7502),TEXT($I7502,"0"),$I7502))</f>
        <v/>
      </c>
    </row>
    <row r="7503">
      <c r="B7503" s="25" t="n"/>
      <c r="I7503" s="25" t="n"/>
      <c r="U7503" s="19">
        <f>IF(AND($V7503='設定'!$C$4,COUNTIF('商品マスタ'!$B$6:$B$1005,$W7503)=0),N(U7502)+1,N(U7502))</f>
        <v/>
      </c>
      <c r="V7503" s="19">
        <f>IF($B7503="","",TEXT($B7503,"0000"))</f>
        <v/>
      </c>
      <c r="W7503" s="19">
        <f>IF($I7503="","",IF(ISNUMBER($I7503),TEXT($I7503,"0"),$I7503))</f>
        <v/>
      </c>
    </row>
    <row r="7504">
      <c r="B7504" s="25" t="n"/>
      <c r="I7504" s="25" t="n"/>
      <c r="U7504" s="19">
        <f>IF(AND($V7504='設定'!$C$4,COUNTIF('商品マスタ'!$B$6:$B$1005,$W7504)=0),N(U7503)+1,N(U7503))</f>
        <v/>
      </c>
      <c r="V7504" s="19">
        <f>IF($B7504="","",TEXT($B7504,"0000"))</f>
        <v/>
      </c>
      <c r="W7504" s="19">
        <f>IF($I7504="","",IF(ISNUMBER($I7504),TEXT($I7504,"0"),$I7504))</f>
        <v/>
      </c>
    </row>
    <row r="7505">
      <c r="B7505" s="25" t="n"/>
      <c r="I7505" s="25" t="n"/>
      <c r="U7505" s="19">
        <f>IF(AND($V7505='設定'!$C$4,COUNTIF('商品マスタ'!$B$6:$B$1005,$W7505)=0),N(U7504)+1,N(U7504))</f>
        <v/>
      </c>
      <c r="V7505" s="19">
        <f>IF($B7505="","",TEXT($B7505,"0000"))</f>
        <v/>
      </c>
      <c r="W7505" s="19">
        <f>IF($I7505="","",IF(ISNUMBER($I7505),TEXT($I7505,"0"),$I7505))</f>
        <v/>
      </c>
    </row>
    <row r="7506">
      <c r="B7506" s="25" t="n"/>
      <c r="I7506" s="25" t="n"/>
      <c r="U7506" s="19">
        <f>IF(AND($V7506='設定'!$C$4,COUNTIF('商品マスタ'!$B$6:$B$1005,$W7506)=0),N(U7505)+1,N(U7505))</f>
        <v/>
      </c>
      <c r="V7506" s="19">
        <f>IF($B7506="","",TEXT($B7506,"0000"))</f>
        <v/>
      </c>
      <c r="W7506" s="19">
        <f>IF($I7506="","",IF(ISNUMBER($I7506),TEXT($I7506,"0"),$I7506))</f>
        <v/>
      </c>
    </row>
    <row r="7507">
      <c r="B7507" s="25" t="n"/>
      <c r="I7507" s="25" t="n"/>
      <c r="U7507" s="19">
        <f>IF(AND($V7507='設定'!$C$4,COUNTIF('商品マスタ'!$B$6:$B$1005,$W7507)=0),N(U7506)+1,N(U7506))</f>
        <v/>
      </c>
      <c r="V7507" s="19">
        <f>IF($B7507="","",TEXT($B7507,"0000"))</f>
        <v/>
      </c>
      <c r="W7507" s="19">
        <f>IF($I7507="","",IF(ISNUMBER($I7507),TEXT($I7507,"0"),$I7507))</f>
        <v/>
      </c>
    </row>
    <row r="7508">
      <c r="B7508" s="25" t="n"/>
      <c r="I7508" s="25" t="n"/>
      <c r="U7508" s="19">
        <f>IF(AND($V7508='設定'!$C$4,COUNTIF('商品マスタ'!$B$6:$B$1005,$W7508)=0),N(U7507)+1,N(U7507))</f>
        <v/>
      </c>
      <c r="V7508" s="19">
        <f>IF($B7508="","",TEXT($B7508,"0000"))</f>
        <v/>
      </c>
      <c r="W7508" s="19">
        <f>IF($I7508="","",IF(ISNUMBER($I7508),TEXT($I7508,"0"),$I7508))</f>
        <v/>
      </c>
    </row>
    <row r="7509">
      <c r="B7509" s="25" t="n"/>
      <c r="I7509" s="25" t="n"/>
      <c r="U7509" s="19">
        <f>IF(AND($V7509='設定'!$C$4,COUNTIF('商品マスタ'!$B$6:$B$1005,$W7509)=0),N(U7508)+1,N(U7508))</f>
        <v/>
      </c>
      <c r="V7509" s="19">
        <f>IF($B7509="","",TEXT($B7509,"0000"))</f>
        <v/>
      </c>
      <c r="W7509" s="19">
        <f>IF($I7509="","",IF(ISNUMBER($I7509),TEXT($I7509,"0"),$I7509))</f>
        <v/>
      </c>
    </row>
    <row r="7510">
      <c r="B7510" s="25" t="n"/>
      <c r="I7510" s="25" t="n"/>
      <c r="U7510" s="19">
        <f>IF(AND($V7510='設定'!$C$4,COUNTIF('商品マスタ'!$B$6:$B$1005,$W7510)=0),N(U7509)+1,N(U7509))</f>
        <v/>
      </c>
      <c r="V7510" s="19">
        <f>IF($B7510="","",TEXT($B7510,"0000"))</f>
        <v/>
      </c>
      <c r="W7510" s="19">
        <f>IF($I7510="","",IF(ISNUMBER($I7510),TEXT($I7510,"0"),$I7510))</f>
        <v/>
      </c>
    </row>
    <row r="7511">
      <c r="B7511" s="25" t="n"/>
      <c r="I7511" s="25" t="n"/>
      <c r="U7511" s="19">
        <f>IF(AND($V7511='設定'!$C$4,COUNTIF('商品マスタ'!$B$6:$B$1005,$W7511)=0),N(U7510)+1,N(U7510))</f>
        <v/>
      </c>
      <c r="V7511" s="19">
        <f>IF($B7511="","",TEXT($B7511,"0000"))</f>
        <v/>
      </c>
      <c r="W7511" s="19">
        <f>IF($I7511="","",IF(ISNUMBER($I7511),TEXT($I7511,"0"),$I7511))</f>
        <v/>
      </c>
    </row>
    <row r="7512">
      <c r="B7512" s="25" t="n"/>
      <c r="I7512" s="25" t="n"/>
      <c r="U7512" s="19">
        <f>IF(AND($V7512='設定'!$C$4,COUNTIF('商品マスタ'!$B$6:$B$1005,$W7512)=0),N(U7511)+1,N(U7511))</f>
        <v/>
      </c>
      <c r="V7512" s="19">
        <f>IF($B7512="","",TEXT($B7512,"0000"))</f>
        <v/>
      </c>
      <c r="W7512" s="19">
        <f>IF($I7512="","",IF(ISNUMBER($I7512),TEXT($I7512,"0"),$I7512))</f>
        <v/>
      </c>
    </row>
    <row r="7513">
      <c r="B7513" s="25" t="n"/>
      <c r="I7513" s="25" t="n"/>
      <c r="U7513" s="19">
        <f>IF(AND($V7513='設定'!$C$4,COUNTIF('商品マスタ'!$B$6:$B$1005,$W7513)=0),N(U7512)+1,N(U7512))</f>
        <v/>
      </c>
      <c r="V7513" s="19">
        <f>IF($B7513="","",TEXT($B7513,"0000"))</f>
        <v/>
      </c>
      <c r="W7513" s="19">
        <f>IF($I7513="","",IF(ISNUMBER($I7513),TEXT($I7513,"0"),$I7513))</f>
        <v/>
      </c>
    </row>
    <row r="7514">
      <c r="B7514" s="25" t="n"/>
      <c r="I7514" s="25" t="n"/>
      <c r="U7514" s="19">
        <f>IF(AND($V7514='設定'!$C$4,COUNTIF('商品マスタ'!$B$6:$B$1005,$W7514)=0),N(U7513)+1,N(U7513))</f>
        <v/>
      </c>
      <c r="V7514" s="19">
        <f>IF($B7514="","",TEXT($B7514,"0000"))</f>
        <v/>
      </c>
      <c r="W7514" s="19">
        <f>IF($I7514="","",IF(ISNUMBER($I7514),TEXT($I7514,"0"),$I7514))</f>
        <v/>
      </c>
    </row>
    <row r="7515">
      <c r="B7515" s="25" t="n"/>
      <c r="I7515" s="25" t="n"/>
      <c r="U7515" s="19">
        <f>IF(AND($V7515='設定'!$C$4,COUNTIF('商品マスタ'!$B$6:$B$1005,$W7515)=0),N(U7514)+1,N(U7514))</f>
        <v/>
      </c>
      <c r="V7515" s="19">
        <f>IF($B7515="","",TEXT($B7515,"0000"))</f>
        <v/>
      </c>
      <c r="W7515" s="19">
        <f>IF($I7515="","",IF(ISNUMBER($I7515),TEXT($I7515,"0"),$I7515))</f>
        <v/>
      </c>
    </row>
    <row r="7516">
      <c r="B7516" s="25" t="n"/>
      <c r="I7516" s="25" t="n"/>
      <c r="U7516" s="19">
        <f>IF(AND($V7516='設定'!$C$4,COUNTIF('商品マスタ'!$B$6:$B$1005,$W7516)=0),N(U7515)+1,N(U7515))</f>
        <v/>
      </c>
      <c r="V7516" s="19">
        <f>IF($B7516="","",TEXT($B7516,"0000"))</f>
        <v/>
      </c>
      <c r="W7516" s="19">
        <f>IF($I7516="","",IF(ISNUMBER($I7516),TEXT($I7516,"0"),$I7516))</f>
        <v/>
      </c>
    </row>
    <row r="7517">
      <c r="B7517" s="25" t="n"/>
      <c r="I7517" s="25" t="n"/>
      <c r="U7517" s="19">
        <f>IF(AND($V7517='設定'!$C$4,COUNTIF('商品マスタ'!$B$6:$B$1005,$W7517)=0),N(U7516)+1,N(U7516))</f>
        <v/>
      </c>
      <c r="V7517" s="19">
        <f>IF($B7517="","",TEXT($B7517,"0000"))</f>
        <v/>
      </c>
      <c r="W7517" s="19">
        <f>IF($I7517="","",IF(ISNUMBER($I7517),TEXT($I7517,"0"),$I7517))</f>
        <v/>
      </c>
    </row>
    <row r="7518">
      <c r="B7518" s="25" t="n"/>
      <c r="I7518" s="25" t="n"/>
      <c r="U7518" s="19">
        <f>IF(AND($V7518='設定'!$C$4,COUNTIF('商品マスタ'!$B$6:$B$1005,$W7518)=0),N(U7517)+1,N(U7517))</f>
        <v/>
      </c>
      <c r="V7518" s="19">
        <f>IF($B7518="","",TEXT($B7518,"0000"))</f>
        <v/>
      </c>
      <c r="W7518" s="19">
        <f>IF($I7518="","",IF(ISNUMBER($I7518),TEXT($I7518,"0"),$I7518))</f>
        <v/>
      </c>
    </row>
    <row r="7519">
      <c r="B7519" s="25" t="n"/>
      <c r="I7519" s="25" t="n"/>
      <c r="U7519" s="19">
        <f>IF(AND($V7519='設定'!$C$4,COUNTIF('商品マスタ'!$B$6:$B$1005,$W7519)=0),N(U7518)+1,N(U7518))</f>
        <v/>
      </c>
      <c r="V7519" s="19">
        <f>IF($B7519="","",TEXT($B7519,"0000"))</f>
        <v/>
      </c>
      <c r="W7519" s="19">
        <f>IF($I7519="","",IF(ISNUMBER($I7519),TEXT($I7519,"0"),$I7519))</f>
        <v/>
      </c>
    </row>
    <row r="7520">
      <c r="B7520" s="25" t="n"/>
      <c r="I7520" s="25" t="n"/>
      <c r="U7520" s="19">
        <f>IF(AND($V7520='設定'!$C$4,COUNTIF('商品マスタ'!$B$6:$B$1005,$W7520)=0),N(U7519)+1,N(U7519))</f>
        <v/>
      </c>
      <c r="V7520" s="19">
        <f>IF($B7520="","",TEXT($B7520,"0000"))</f>
        <v/>
      </c>
      <c r="W7520" s="19">
        <f>IF($I7520="","",IF(ISNUMBER($I7520),TEXT($I7520,"0"),$I7520))</f>
        <v/>
      </c>
    </row>
    <row r="7521">
      <c r="B7521" s="25" t="n"/>
      <c r="I7521" s="25" t="n"/>
      <c r="U7521" s="19">
        <f>IF(AND($V7521='設定'!$C$4,COUNTIF('商品マスタ'!$B$6:$B$1005,$W7521)=0),N(U7520)+1,N(U7520))</f>
        <v/>
      </c>
      <c r="V7521" s="19">
        <f>IF($B7521="","",TEXT($B7521,"0000"))</f>
        <v/>
      </c>
      <c r="W7521" s="19">
        <f>IF($I7521="","",IF(ISNUMBER($I7521),TEXT($I7521,"0"),$I7521))</f>
        <v/>
      </c>
    </row>
    <row r="7522">
      <c r="B7522" s="25" t="n"/>
      <c r="I7522" s="25" t="n"/>
      <c r="U7522" s="19">
        <f>IF(AND($V7522='設定'!$C$4,COUNTIF('商品マスタ'!$B$6:$B$1005,$W7522)=0),N(U7521)+1,N(U7521))</f>
        <v/>
      </c>
      <c r="V7522" s="19">
        <f>IF($B7522="","",TEXT($B7522,"0000"))</f>
        <v/>
      </c>
      <c r="W7522" s="19">
        <f>IF($I7522="","",IF(ISNUMBER($I7522),TEXT($I7522,"0"),$I7522))</f>
        <v/>
      </c>
    </row>
    <row r="7523">
      <c r="B7523" s="25" t="n"/>
      <c r="I7523" s="25" t="n"/>
      <c r="U7523" s="19">
        <f>IF(AND($V7523='設定'!$C$4,COUNTIF('商品マスタ'!$B$6:$B$1005,$W7523)=0),N(U7522)+1,N(U7522))</f>
        <v/>
      </c>
      <c r="V7523" s="19">
        <f>IF($B7523="","",TEXT($B7523,"0000"))</f>
        <v/>
      </c>
      <c r="W7523" s="19">
        <f>IF($I7523="","",IF(ISNUMBER($I7523),TEXT($I7523,"0"),$I7523))</f>
        <v/>
      </c>
    </row>
    <row r="7524">
      <c r="B7524" s="25" t="n"/>
      <c r="I7524" s="25" t="n"/>
      <c r="U7524" s="19">
        <f>IF(AND($V7524='設定'!$C$4,COUNTIF('商品マスタ'!$B$6:$B$1005,$W7524)=0),N(U7523)+1,N(U7523))</f>
        <v/>
      </c>
      <c r="V7524" s="19">
        <f>IF($B7524="","",TEXT($B7524,"0000"))</f>
        <v/>
      </c>
      <c r="W7524" s="19">
        <f>IF($I7524="","",IF(ISNUMBER($I7524),TEXT($I7524,"0"),$I7524))</f>
        <v/>
      </c>
    </row>
    <row r="7525">
      <c r="B7525" s="25" t="n"/>
      <c r="I7525" s="25" t="n"/>
      <c r="U7525" s="19">
        <f>IF(AND($V7525='設定'!$C$4,COUNTIF('商品マスタ'!$B$6:$B$1005,$W7525)=0),N(U7524)+1,N(U7524))</f>
        <v/>
      </c>
      <c r="V7525" s="19">
        <f>IF($B7525="","",TEXT($B7525,"0000"))</f>
        <v/>
      </c>
      <c r="W7525" s="19">
        <f>IF($I7525="","",IF(ISNUMBER($I7525),TEXT($I7525,"0"),$I7525))</f>
        <v/>
      </c>
    </row>
    <row r="7526">
      <c r="B7526" s="25" t="n"/>
      <c r="I7526" s="25" t="n"/>
      <c r="U7526" s="19">
        <f>IF(AND($V7526='設定'!$C$4,COUNTIF('商品マスタ'!$B$6:$B$1005,$W7526)=0),N(U7525)+1,N(U7525))</f>
        <v/>
      </c>
      <c r="V7526" s="19">
        <f>IF($B7526="","",TEXT($B7526,"0000"))</f>
        <v/>
      </c>
      <c r="W7526" s="19">
        <f>IF($I7526="","",IF(ISNUMBER($I7526),TEXT($I7526,"0"),$I7526))</f>
        <v/>
      </c>
    </row>
    <row r="7527">
      <c r="B7527" s="25" t="n"/>
      <c r="I7527" s="25" t="n"/>
      <c r="U7527" s="19">
        <f>IF(AND($V7527='設定'!$C$4,COUNTIF('商品マスタ'!$B$6:$B$1005,$W7527)=0),N(U7526)+1,N(U7526))</f>
        <v/>
      </c>
      <c r="V7527" s="19">
        <f>IF($B7527="","",TEXT($B7527,"0000"))</f>
        <v/>
      </c>
      <c r="W7527" s="19">
        <f>IF($I7527="","",IF(ISNUMBER($I7527),TEXT($I7527,"0"),$I7527))</f>
        <v/>
      </c>
    </row>
    <row r="7528">
      <c r="B7528" s="25" t="n"/>
      <c r="I7528" s="25" t="n"/>
      <c r="U7528" s="19">
        <f>IF(AND($V7528='設定'!$C$4,COUNTIF('商品マスタ'!$B$6:$B$1005,$W7528)=0),N(U7527)+1,N(U7527))</f>
        <v/>
      </c>
      <c r="V7528" s="19">
        <f>IF($B7528="","",TEXT($B7528,"0000"))</f>
        <v/>
      </c>
      <c r="W7528" s="19">
        <f>IF($I7528="","",IF(ISNUMBER($I7528),TEXT($I7528,"0"),$I7528))</f>
        <v/>
      </c>
    </row>
    <row r="7529">
      <c r="B7529" s="25" t="n"/>
      <c r="I7529" s="25" t="n"/>
      <c r="U7529" s="19">
        <f>IF(AND($V7529='設定'!$C$4,COUNTIF('商品マスタ'!$B$6:$B$1005,$W7529)=0),N(U7528)+1,N(U7528))</f>
        <v/>
      </c>
      <c r="V7529" s="19">
        <f>IF($B7529="","",TEXT($B7529,"0000"))</f>
        <v/>
      </c>
      <c r="W7529" s="19">
        <f>IF($I7529="","",IF(ISNUMBER($I7529),TEXT($I7529,"0"),$I7529))</f>
        <v/>
      </c>
    </row>
    <row r="7530">
      <c r="B7530" s="25" t="n"/>
      <c r="I7530" s="25" t="n"/>
      <c r="U7530" s="19">
        <f>IF(AND($V7530='設定'!$C$4,COUNTIF('商品マスタ'!$B$6:$B$1005,$W7530)=0),N(U7529)+1,N(U7529))</f>
        <v/>
      </c>
      <c r="V7530" s="19">
        <f>IF($B7530="","",TEXT($B7530,"0000"))</f>
        <v/>
      </c>
      <c r="W7530" s="19">
        <f>IF($I7530="","",IF(ISNUMBER($I7530),TEXT($I7530,"0"),$I7530))</f>
        <v/>
      </c>
    </row>
    <row r="7531">
      <c r="B7531" s="25" t="n"/>
      <c r="I7531" s="25" t="n"/>
      <c r="U7531" s="19">
        <f>IF(AND($V7531='設定'!$C$4,COUNTIF('商品マスタ'!$B$6:$B$1005,$W7531)=0),N(U7530)+1,N(U7530))</f>
        <v/>
      </c>
      <c r="V7531" s="19">
        <f>IF($B7531="","",TEXT($B7531,"0000"))</f>
        <v/>
      </c>
      <c r="W7531" s="19">
        <f>IF($I7531="","",IF(ISNUMBER($I7531),TEXT($I7531,"0"),$I7531))</f>
        <v/>
      </c>
    </row>
    <row r="7532">
      <c r="B7532" s="25" t="n"/>
      <c r="I7532" s="25" t="n"/>
      <c r="U7532" s="19">
        <f>IF(AND($V7532='設定'!$C$4,COUNTIF('商品マスタ'!$B$6:$B$1005,$W7532)=0),N(U7531)+1,N(U7531))</f>
        <v/>
      </c>
      <c r="V7532" s="19">
        <f>IF($B7532="","",TEXT($B7532,"0000"))</f>
        <v/>
      </c>
      <c r="W7532" s="19">
        <f>IF($I7532="","",IF(ISNUMBER($I7532),TEXT($I7532,"0"),$I7532))</f>
        <v/>
      </c>
    </row>
    <row r="7533">
      <c r="B7533" s="25" t="n"/>
      <c r="I7533" s="25" t="n"/>
      <c r="U7533" s="19">
        <f>IF(AND($V7533='設定'!$C$4,COUNTIF('商品マスタ'!$B$6:$B$1005,$W7533)=0),N(U7532)+1,N(U7532))</f>
        <v/>
      </c>
      <c r="V7533" s="19">
        <f>IF($B7533="","",TEXT($B7533,"0000"))</f>
        <v/>
      </c>
      <c r="W7533" s="19">
        <f>IF($I7533="","",IF(ISNUMBER($I7533),TEXT($I7533,"0"),$I7533))</f>
        <v/>
      </c>
    </row>
    <row r="7534">
      <c r="B7534" s="25" t="n"/>
      <c r="I7534" s="25" t="n"/>
      <c r="U7534" s="19">
        <f>IF(AND($V7534='設定'!$C$4,COUNTIF('商品マスタ'!$B$6:$B$1005,$W7534)=0),N(U7533)+1,N(U7533))</f>
        <v/>
      </c>
      <c r="V7534" s="19">
        <f>IF($B7534="","",TEXT($B7534,"0000"))</f>
        <v/>
      </c>
      <c r="W7534" s="19">
        <f>IF($I7534="","",IF(ISNUMBER($I7534),TEXT($I7534,"0"),$I7534))</f>
        <v/>
      </c>
    </row>
    <row r="7535">
      <c r="B7535" s="25" t="n"/>
      <c r="I7535" s="25" t="n"/>
      <c r="U7535" s="19">
        <f>IF(AND($V7535='設定'!$C$4,COUNTIF('商品マスタ'!$B$6:$B$1005,$W7535)=0),N(U7534)+1,N(U7534))</f>
        <v/>
      </c>
      <c r="V7535" s="19">
        <f>IF($B7535="","",TEXT($B7535,"0000"))</f>
        <v/>
      </c>
      <c r="W7535" s="19">
        <f>IF($I7535="","",IF(ISNUMBER($I7535),TEXT($I7535,"0"),$I7535))</f>
        <v/>
      </c>
    </row>
    <row r="7536">
      <c r="B7536" s="25" t="n"/>
      <c r="I7536" s="25" t="n"/>
      <c r="U7536" s="19">
        <f>IF(AND($V7536='設定'!$C$4,COUNTIF('商品マスタ'!$B$6:$B$1005,$W7536)=0),N(U7535)+1,N(U7535))</f>
        <v/>
      </c>
      <c r="V7536" s="19">
        <f>IF($B7536="","",TEXT($B7536,"0000"))</f>
        <v/>
      </c>
      <c r="W7536" s="19">
        <f>IF($I7536="","",IF(ISNUMBER($I7536),TEXT($I7536,"0"),$I7536))</f>
        <v/>
      </c>
    </row>
    <row r="7537">
      <c r="B7537" s="25" t="n"/>
      <c r="I7537" s="25" t="n"/>
      <c r="U7537" s="19">
        <f>IF(AND($V7537='設定'!$C$4,COUNTIF('商品マスタ'!$B$6:$B$1005,$W7537)=0),N(U7536)+1,N(U7536))</f>
        <v/>
      </c>
      <c r="V7537" s="19">
        <f>IF($B7537="","",TEXT($B7537,"0000"))</f>
        <v/>
      </c>
      <c r="W7537" s="19">
        <f>IF($I7537="","",IF(ISNUMBER($I7537),TEXT($I7537,"0"),$I7537))</f>
        <v/>
      </c>
    </row>
    <row r="7538">
      <c r="B7538" s="25" t="n"/>
      <c r="I7538" s="25" t="n"/>
      <c r="U7538" s="19">
        <f>IF(AND($V7538='設定'!$C$4,COUNTIF('商品マスタ'!$B$6:$B$1005,$W7538)=0),N(U7537)+1,N(U7537))</f>
        <v/>
      </c>
      <c r="V7538" s="19">
        <f>IF($B7538="","",TEXT($B7538,"0000"))</f>
        <v/>
      </c>
      <c r="W7538" s="19">
        <f>IF($I7538="","",IF(ISNUMBER($I7538),TEXT($I7538,"0"),$I7538))</f>
        <v/>
      </c>
    </row>
    <row r="7539">
      <c r="B7539" s="25" t="n"/>
      <c r="I7539" s="25" t="n"/>
      <c r="U7539" s="19">
        <f>IF(AND($V7539='設定'!$C$4,COUNTIF('商品マスタ'!$B$6:$B$1005,$W7539)=0),N(U7538)+1,N(U7538))</f>
        <v/>
      </c>
      <c r="V7539" s="19">
        <f>IF($B7539="","",TEXT($B7539,"0000"))</f>
        <v/>
      </c>
      <c r="W7539" s="19">
        <f>IF($I7539="","",IF(ISNUMBER($I7539),TEXT($I7539,"0"),$I7539))</f>
        <v/>
      </c>
    </row>
    <row r="7540">
      <c r="B7540" s="25" t="n"/>
      <c r="I7540" s="25" t="n"/>
      <c r="U7540" s="19">
        <f>IF(AND($V7540='設定'!$C$4,COUNTIF('商品マスタ'!$B$6:$B$1005,$W7540)=0),N(U7539)+1,N(U7539))</f>
        <v/>
      </c>
      <c r="V7540" s="19">
        <f>IF($B7540="","",TEXT($B7540,"0000"))</f>
        <v/>
      </c>
      <c r="W7540" s="19">
        <f>IF($I7540="","",IF(ISNUMBER($I7540),TEXT($I7540,"0"),$I7540))</f>
        <v/>
      </c>
    </row>
    <row r="7541">
      <c r="B7541" s="25" t="n"/>
      <c r="I7541" s="25" t="n"/>
      <c r="U7541" s="19">
        <f>IF(AND($V7541='設定'!$C$4,COUNTIF('商品マスタ'!$B$6:$B$1005,$W7541)=0),N(U7540)+1,N(U7540))</f>
        <v/>
      </c>
      <c r="V7541" s="19">
        <f>IF($B7541="","",TEXT($B7541,"0000"))</f>
        <v/>
      </c>
      <c r="W7541" s="19">
        <f>IF($I7541="","",IF(ISNUMBER($I7541),TEXT($I7541,"0"),$I7541))</f>
        <v/>
      </c>
    </row>
    <row r="7542">
      <c r="B7542" s="25" t="n"/>
      <c r="I7542" s="25" t="n"/>
      <c r="U7542" s="19">
        <f>IF(AND($V7542='設定'!$C$4,COUNTIF('商品マスタ'!$B$6:$B$1005,$W7542)=0),N(U7541)+1,N(U7541))</f>
        <v/>
      </c>
      <c r="V7542" s="19">
        <f>IF($B7542="","",TEXT($B7542,"0000"))</f>
        <v/>
      </c>
      <c r="W7542" s="19">
        <f>IF($I7542="","",IF(ISNUMBER($I7542),TEXT($I7542,"0"),$I7542))</f>
        <v/>
      </c>
    </row>
    <row r="7543">
      <c r="B7543" s="25" t="n"/>
      <c r="I7543" s="25" t="n"/>
      <c r="U7543" s="19">
        <f>IF(AND($V7543='設定'!$C$4,COUNTIF('商品マスタ'!$B$6:$B$1005,$W7543)=0),N(U7542)+1,N(U7542))</f>
        <v/>
      </c>
      <c r="V7543" s="19">
        <f>IF($B7543="","",TEXT($B7543,"0000"))</f>
        <v/>
      </c>
      <c r="W7543" s="19">
        <f>IF($I7543="","",IF(ISNUMBER($I7543),TEXT($I7543,"0"),$I7543))</f>
        <v/>
      </c>
    </row>
    <row r="7544">
      <c r="B7544" s="25" t="n"/>
      <c r="I7544" s="25" t="n"/>
      <c r="U7544" s="19">
        <f>IF(AND($V7544='設定'!$C$4,COUNTIF('商品マスタ'!$B$6:$B$1005,$W7544)=0),N(U7543)+1,N(U7543))</f>
        <v/>
      </c>
      <c r="V7544" s="19">
        <f>IF($B7544="","",TEXT($B7544,"0000"))</f>
        <v/>
      </c>
      <c r="W7544" s="19">
        <f>IF($I7544="","",IF(ISNUMBER($I7544),TEXT($I7544,"0"),$I7544))</f>
        <v/>
      </c>
    </row>
    <row r="7545">
      <c r="B7545" s="25" t="n"/>
      <c r="I7545" s="25" t="n"/>
      <c r="U7545" s="19">
        <f>IF(AND($V7545='設定'!$C$4,COUNTIF('商品マスタ'!$B$6:$B$1005,$W7545)=0),N(U7544)+1,N(U7544))</f>
        <v/>
      </c>
      <c r="V7545" s="19">
        <f>IF($B7545="","",TEXT($B7545,"0000"))</f>
        <v/>
      </c>
      <c r="W7545" s="19">
        <f>IF($I7545="","",IF(ISNUMBER($I7545),TEXT($I7545,"0"),$I7545))</f>
        <v/>
      </c>
    </row>
    <row r="7546">
      <c r="B7546" s="25" t="n"/>
      <c r="I7546" s="25" t="n"/>
      <c r="U7546" s="19">
        <f>IF(AND($V7546='設定'!$C$4,COUNTIF('商品マスタ'!$B$6:$B$1005,$W7546)=0),N(U7545)+1,N(U7545))</f>
        <v/>
      </c>
      <c r="V7546" s="19">
        <f>IF($B7546="","",TEXT($B7546,"0000"))</f>
        <v/>
      </c>
      <c r="W7546" s="19">
        <f>IF($I7546="","",IF(ISNUMBER($I7546),TEXT($I7546,"0"),$I7546))</f>
        <v/>
      </c>
    </row>
    <row r="7547">
      <c r="B7547" s="25" t="n"/>
      <c r="I7547" s="25" t="n"/>
      <c r="U7547" s="19">
        <f>IF(AND($V7547='設定'!$C$4,COUNTIF('商品マスタ'!$B$6:$B$1005,$W7547)=0),N(U7546)+1,N(U7546))</f>
        <v/>
      </c>
      <c r="V7547" s="19">
        <f>IF($B7547="","",TEXT($B7547,"0000"))</f>
        <v/>
      </c>
      <c r="W7547" s="19">
        <f>IF($I7547="","",IF(ISNUMBER($I7547),TEXT($I7547,"0"),$I7547))</f>
        <v/>
      </c>
    </row>
    <row r="7548">
      <c r="B7548" s="25" t="n"/>
      <c r="I7548" s="25" t="n"/>
      <c r="U7548" s="19">
        <f>IF(AND($V7548='設定'!$C$4,COUNTIF('商品マスタ'!$B$6:$B$1005,$W7548)=0),N(U7547)+1,N(U7547))</f>
        <v/>
      </c>
      <c r="V7548" s="19">
        <f>IF($B7548="","",TEXT($B7548,"0000"))</f>
        <v/>
      </c>
      <c r="W7548" s="19">
        <f>IF($I7548="","",IF(ISNUMBER($I7548),TEXT($I7548,"0"),$I7548))</f>
        <v/>
      </c>
    </row>
    <row r="7549">
      <c r="B7549" s="25" t="n"/>
      <c r="I7549" s="25" t="n"/>
      <c r="U7549" s="19">
        <f>IF(AND($V7549='設定'!$C$4,COUNTIF('商品マスタ'!$B$6:$B$1005,$W7549)=0),N(U7548)+1,N(U7548))</f>
        <v/>
      </c>
      <c r="V7549" s="19">
        <f>IF($B7549="","",TEXT($B7549,"0000"))</f>
        <v/>
      </c>
      <c r="W7549" s="19">
        <f>IF($I7549="","",IF(ISNUMBER($I7549),TEXT($I7549,"0"),$I7549))</f>
        <v/>
      </c>
    </row>
    <row r="7550">
      <c r="B7550" s="25" t="n"/>
      <c r="I7550" s="25" t="n"/>
      <c r="U7550" s="19">
        <f>IF(AND($V7550='設定'!$C$4,COUNTIF('商品マスタ'!$B$6:$B$1005,$W7550)=0),N(U7549)+1,N(U7549))</f>
        <v/>
      </c>
      <c r="V7550" s="19">
        <f>IF($B7550="","",TEXT($B7550,"0000"))</f>
        <v/>
      </c>
      <c r="W7550" s="19">
        <f>IF($I7550="","",IF(ISNUMBER($I7550),TEXT($I7550,"0"),$I7550))</f>
        <v/>
      </c>
    </row>
    <row r="7551">
      <c r="B7551" s="25" t="n"/>
      <c r="I7551" s="25" t="n"/>
      <c r="U7551" s="19">
        <f>IF(AND($V7551='設定'!$C$4,COUNTIF('商品マスタ'!$B$6:$B$1005,$W7551)=0),N(U7550)+1,N(U7550))</f>
        <v/>
      </c>
      <c r="V7551" s="19">
        <f>IF($B7551="","",TEXT($B7551,"0000"))</f>
        <v/>
      </c>
      <c r="W7551" s="19">
        <f>IF($I7551="","",IF(ISNUMBER($I7551),TEXT($I7551,"0"),$I7551))</f>
        <v/>
      </c>
    </row>
    <row r="7552">
      <c r="B7552" s="25" t="n"/>
      <c r="I7552" s="25" t="n"/>
      <c r="U7552" s="19">
        <f>IF(AND($V7552='設定'!$C$4,COUNTIF('商品マスタ'!$B$6:$B$1005,$W7552)=0),N(U7551)+1,N(U7551))</f>
        <v/>
      </c>
      <c r="V7552" s="19">
        <f>IF($B7552="","",TEXT($B7552,"0000"))</f>
        <v/>
      </c>
      <c r="W7552" s="19">
        <f>IF($I7552="","",IF(ISNUMBER($I7552),TEXT($I7552,"0"),$I7552))</f>
        <v/>
      </c>
    </row>
    <row r="7553">
      <c r="B7553" s="25" t="n"/>
      <c r="I7553" s="25" t="n"/>
      <c r="U7553" s="19">
        <f>IF(AND($V7553='設定'!$C$4,COUNTIF('商品マスタ'!$B$6:$B$1005,$W7553)=0),N(U7552)+1,N(U7552))</f>
        <v/>
      </c>
      <c r="V7553" s="19">
        <f>IF($B7553="","",TEXT($B7553,"0000"))</f>
        <v/>
      </c>
      <c r="W7553" s="19">
        <f>IF($I7553="","",IF(ISNUMBER($I7553),TEXT($I7553,"0"),$I7553))</f>
        <v/>
      </c>
    </row>
    <row r="7554">
      <c r="B7554" s="25" t="n"/>
      <c r="I7554" s="25" t="n"/>
      <c r="U7554" s="19">
        <f>IF(AND($V7554='設定'!$C$4,COUNTIF('商品マスタ'!$B$6:$B$1005,$W7554)=0),N(U7553)+1,N(U7553))</f>
        <v/>
      </c>
      <c r="V7554" s="19">
        <f>IF($B7554="","",TEXT($B7554,"0000"))</f>
        <v/>
      </c>
      <c r="W7554" s="19">
        <f>IF($I7554="","",IF(ISNUMBER($I7554),TEXT($I7554,"0"),$I7554))</f>
        <v/>
      </c>
    </row>
    <row r="7555">
      <c r="B7555" s="25" t="n"/>
      <c r="I7555" s="25" t="n"/>
      <c r="U7555" s="19">
        <f>IF(AND($V7555='設定'!$C$4,COUNTIF('商品マスタ'!$B$6:$B$1005,$W7555)=0),N(U7554)+1,N(U7554))</f>
        <v/>
      </c>
      <c r="V7555" s="19">
        <f>IF($B7555="","",TEXT($B7555,"0000"))</f>
        <v/>
      </c>
      <c r="W7555" s="19">
        <f>IF($I7555="","",IF(ISNUMBER($I7555),TEXT($I7555,"0"),$I7555))</f>
        <v/>
      </c>
    </row>
    <row r="7556">
      <c r="B7556" s="25" t="n"/>
      <c r="I7556" s="25" t="n"/>
      <c r="U7556" s="19">
        <f>IF(AND($V7556='設定'!$C$4,COUNTIF('商品マスタ'!$B$6:$B$1005,$W7556)=0),N(U7555)+1,N(U7555))</f>
        <v/>
      </c>
      <c r="V7556" s="19">
        <f>IF($B7556="","",TEXT($B7556,"0000"))</f>
        <v/>
      </c>
      <c r="W7556" s="19">
        <f>IF($I7556="","",IF(ISNUMBER($I7556),TEXT($I7556,"0"),$I7556))</f>
        <v/>
      </c>
    </row>
    <row r="7557">
      <c r="B7557" s="25" t="n"/>
      <c r="I7557" s="25" t="n"/>
      <c r="U7557" s="19">
        <f>IF(AND($V7557='設定'!$C$4,COUNTIF('商品マスタ'!$B$6:$B$1005,$W7557)=0),N(U7556)+1,N(U7556))</f>
        <v/>
      </c>
      <c r="V7557" s="19">
        <f>IF($B7557="","",TEXT($B7557,"0000"))</f>
        <v/>
      </c>
      <c r="W7557" s="19">
        <f>IF($I7557="","",IF(ISNUMBER($I7557),TEXT($I7557,"0"),$I7557))</f>
        <v/>
      </c>
    </row>
    <row r="7558">
      <c r="B7558" s="25" t="n"/>
      <c r="I7558" s="25" t="n"/>
      <c r="U7558" s="19">
        <f>IF(AND($V7558='設定'!$C$4,COUNTIF('商品マスタ'!$B$6:$B$1005,$W7558)=0),N(U7557)+1,N(U7557))</f>
        <v/>
      </c>
      <c r="V7558" s="19">
        <f>IF($B7558="","",TEXT($B7558,"0000"))</f>
        <v/>
      </c>
      <c r="W7558" s="19">
        <f>IF($I7558="","",IF(ISNUMBER($I7558),TEXT($I7558,"0"),$I7558))</f>
        <v/>
      </c>
    </row>
    <row r="7559">
      <c r="B7559" s="25" t="n"/>
      <c r="I7559" s="25" t="n"/>
      <c r="U7559" s="19">
        <f>IF(AND($V7559='設定'!$C$4,COUNTIF('商品マスタ'!$B$6:$B$1005,$W7559)=0),N(U7558)+1,N(U7558))</f>
        <v/>
      </c>
      <c r="V7559" s="19">
        <f>IF($B7559="","",TEXT($B7559,"0000"))</f>
        <v/>
      </c>
      <c r="W7559" s="19">
        <f>IF($I7559="","",IF(ISNUMBER($I7559),TEXT($I7559,"0"),$I7559))</f>
        <v/>
      </c>
    </row>
    <row r="7560">
      <c r="B7560" s="25" t="n"/>
      <c r="I7560" s="25" t="n"/>
      <c r="U7560" s="19">
        <f>IF(AND($V7560='設定'!$C$4,COUNTIF('商品マスタ'!$B$6:$B$1005,$W7560)=0),N(U7559)+1,N(U7559))</f>
        <v/>
      </c>
      <c r="V7560" s="19">
        <f>IF($B7560="","",TEXT($B7560,"0000"))</f>
        <v/>
      </c>
      <c r="W7560" s="19">
        <f>IF($I7560="","",IF(ISNUMBER($I7560),TEXT($I7560,"0"),$I7560))</f>
        <v/>
      </c>
    </row>
    <row r="7561">
      <c r="B7561" s="25" t="n"/>
      <c r="I7561" s="25" t="n"/>
      <c r="U7561" s="19">
        <f>IF(AND($V7561='設定'!$C$4,COUNTIF('商品マスタ'!$B$6:$B$1005,$W7561)=0),N(U7560)+1,N(U7560))</f>
        <v/>
      </c>
      <c r="V7561" s="19">
        <f>IF($B7561="","",TEXT($B7561,"0000"))</f>
        <v/>
      </c>
      <c r="W7561" s="19">
        <f>IF($I7561="","",IF(ISNUMBER($I7561),TEXT($I7561,"0"),$I7561))</f>
        <v/>
      </c>
    </row>
    <row r="7562">
      <c r="B7562" s="25" t="n"/>
      <c r="I7562" s="25" t="n"/>
      <c r="U7562" s="19">
        <f>IF(AND($V7562='設定'!$C$4,COUNTIF('商品マスタ'!$B$6:$B$1005,$W7562)=0),N(U7561)+1,N(U7561))</f>
        <v/>
      </c>
      <c r="V7562" s="19">
        <f>IF($B7562="","",TEXT($B7562,"0000"))</f>
        <v/>
      </c>
      <c r="W7562" s="19">
        <f>IF($I7562="","",IF(ISNUMBER($I7562),TEXT($I7562,"0"),$I7562))</f>
        <v/>
      </c>
    </row>
    <row r="7563">
      <c r="B7563" s="25" t="n"/>
      <c r="I7563" s="25" t="n"/>
      <c r="U7563" s="19">
        <f>IF(AND($V7563='設定'!$C$4,COUNTIF('商品マスタ'!$B$6:$B$1005,$W7563)=0),N(U7562)+1,N(U7562))</f>
        <v/>
      </c>
      <c r="V7563" s="19">
        <f>IF($B7563="","",TEXT($B7563,"0000"))</f>
        <v/>
      </c>
      <c r="W7563" s="19">
        <f>IF($I7563="","",IF(ISNUMBER($I7563),TEXT($I7563,"0"),$I7563))</f>
        <v/>
      </c>
    </row>
    <row r="7564">
      <c r="B7564" s="25" t="n"/>
      <c r="I7564" s="25" t="n"/>
      <c r="U7564" s="19">
        <f>IF(AND($V7564='設定'!$C$4,COUNTIF('商品マスタ'!$B$6:$B$1005,$W7564)=0),N(U7563)+1,N(U7563))</f>
        <v/>
      </c>
      <c r="V7564" s="19">
        <f>IF($B7564="","",TEXT($B7564,"0000"))</f>
        <v/>
      </c>
      <c r="W7564" s="19">
        <f>IF($I7564="","",IF(ISNUMBER($I7564),TEXT($I7564,"0"),$I7564))</f>
        <v/>
      </c>
    </row>
    <row r="7565">
      <c r="B7565" s="25" t="n"/>
      <c r="I7565" s="25" t="n"/>
      <c r="U7565" s="19">
        <f>IF(AND($V7565='設定'!$C$4,COUNTIF('商品マスタ'!$B$6:$B$1005,$W7565)=0),N(U7564)+1,N(U7564))</f>
        <v/>
      </c>
      <c r="V7565" s="19">
        <f>IF($B7565="","",TEXT($B7565,"0000"))</f>
        <v/>
      </c>
      <c r="W7565" s="19">
        <f>IF($I7565="","",IF(ISNUMBER($I7565),TEXT($I7565,"0"),$I7565))</f>
        <v/>
      </c>
    </row>
    <row r="7566">
      <c r="B7566" s="25" t="n"/>
      <c r="I7566" s="25" t="n"/>
      <c r="U7566" s="19">
        <f>IF(AND($V7566='設定'!$C$4,COUNTIF('商品マスタ'!$B$6:$B$1005,$W7566)=0),N(U7565)+1,N(U7565))</f>
        <v/>
      </c>
      <c r="V7566" s="19">
        <f>IF($B7566="","",TEXT($B7566,"0000"))</f>
        <v/>
      </c>
      <c r="W7566" s="19">
        <f>IF($I7566="","",IF(ISNUMBER($I7566),TEXT($I7566,"0"),$I7566))</f>
        <v/>
      </c>
    </row>
    <row r="7567">
      <c r="B7567" s="25" t="n"/>
      <c r="I7567" s="25" t="n"/>
      <c r="U7567" s="19">
        <f>IF(AND($V7567='設定'!$C$4,COUNTIF('商品マスタ'!$B$6:$B$1005,$W7567)=0),N(U7566)+1,N(U7566))</f>
        <v/>
      </c>
      <c r="V7567" s="19">
        <f>IF($B7567="","",TEXT($B7567,"0000"))</f>
        <v/>
      </c>
      <c r="W7567" s="19">
        <f>IF($I7567="","",IF(ISNUMBER($I7567),TEXT($I7567,"0"),$I7567))</f>
        <v/>
      </c>
    </row>
    <row r="7568">
      <c r="B7568" s="25" t="n"/>
      <c r="I7568" s="25" t="n"/>
      <c r="U7568" s="19">
        <f>IF(AND($V7568='設定'!$C$4,COUNTIF('商品マスタ'!$B$6:$B$1005,$W7568)=0),N(U7567)+1,N(U7567))</f>
        <v/>
      </c>
      <c r="V7568" s="19">
        <f>IF($B7568="","",TEXT($B7568,"0000"))</f>
        <v/>
      </c>
      <c r="W7568" s="19">
        <f>IF($I7568="","",IF(ISNUMBER($I7568),TEXT($I7568,"0"),$I7568))</f>
        <v/>
      </c>
    </row>
    <row r="7569">
      <c r="B7569" s="25" t="n"/>
      <c r="I7569" s="25" t="n"/>
      <c r="U7569" s="19">
        <f>IF(AND($V7569='設定'!$C$4,COUNTIF('商品マスタ'!$B$6:$B$1005,$W7569)=0),N(U7568)+1,N(U7568))</f>
        <v/>
      </c>
      <c r="V7569" s="19">
        <f>IF($B7569="","",TEXT($B7569,"0000"))</f>
        <v/>
      </c>
      <c r="W7569" s="19">
        <f>IF($I7569="","",IF(ISNUMBER($I7569),TEXT($I7569,"0"),$I7569))</f>
        <v/>
      </c>
    </row>
    <row r="7570">
      <c r="B7570" s="25" t="n"/>
      <c r="I7570" s="25" t="n"/>
      <c r="U7570" s="19">
        <f>IF(AND($V7570='設定'!$C$4,COUNTIF('商品マスタ'!$B$6:$B$1005,$W7570)=0),N(U7569)+1,N(U7569))</f>
        <v/>
      </c>
      <c r="V7570" s="19">
        <f>IF($B7570="","",TEXT($B7570,"0000"))</f>
        <v/>
      </c>
      <c r="W7570" s="19">
        <f>IF($I7570="","",IF(ISNUMBER($I7570),TEXT($I7570,"0"),$I7570))</f>
        <v/>
      </c>
    </row>
    <row r="7571">
      <c r="B7571" s="25" t="n"/>
      <c r="I7571" s="25" t="n"/>
      <c r="U7571" s="19">
        <f>IF(AND($V7571='設定'!$C$4,COUNTIF('商品マスタ'!$B$6:$B$1005,$W7571)=0),N(U7570)+1,N(U7570))</f>
        <v/>
      </c>
      <c r="V7571" s="19">
        <f>IF($B7571="","",TEXT($B7571,"0000"))</f>
        <v/>
      </c>
      <c r="W7571" s="19">
        <f>IF($I7571="","",IF(ISNUMBER($I7571),TEXT($I7571,"0"),$I7571))</f>
        <v/>
      </c>
    </row>
    <row r="7572">
      <c r="B7572" s="25" t="n"/>
      <c r="I7572" s="25" t="n"/>
      <c r="U7572" s="19">
        <f>IF(AND($V7572='設定'!$C$4,COUNTIF('商品マスタ'!$B$6:$B$1005,$W7572)=0),N(U7571)+1,N(U7571))</f>
        <v/>
      </c>
      <c r="V7572" s="19">
        <f>IF($B7572="","",TEXT($B7572,"0000"))</f>
        <v/>
      </c>
      <c r="W7572" s="19">
        <f>IF($I7572="","",IF(ISNUMBER($I7572),TEXT($I7572,"0"),$I7572))</f>
        <v/>
      </c>
    </row>
    <row r="7573">
      <c r="B7573" s="25" t="n"/>
      <c r="I7573" s="25" t="n"/>
      <c r="U7573" s="19">
        <f>IF(AND($V7573='設定'!$C$4,COUNTIF('商品マスタ'!$B$6:$B$1005,$W7573)=0),N(U7572)+1,N(U7572))</f>
        <v/>
      </c>
      <c r="V7573" s="19">
        <f>IF($B7573="","",TEXT($B7573,"0000"))</f>
        <v/>
      </c>
      <c r="W7573" s="19">
        <f>IF($I7573="","",IF(ISNUMBER($I7573),TEXT($I7573,"0"),$I7573))</f>
        <v/>
      </c>
    </row>
    <row r="7574">
      <c r="B7574" s="25" t="n"/>
      <c r="I7574" s="25" t="n"/>
      <c r="U7574" s="19">
        <f>IF(AND($V7574='設定'!$C$4,COUNTIF('商品マスタ'!$B$6:$B$1005,$W7574)=0),N(U7573)+1,N(U7573))</f>
        <v/>
      </c>
      <c r="V7574" s="19">
        <f>IF($B7574="","",TEXT($B7574,"0000"))</f>
        <v/>
      </c>
      <c r="W7574" s="19">
        <f>IF($I7574="","",IF(ISNUMBER($I7574),TEXT($I7574,"0"),$I7574))</f>
        <v/>
      </c>
    </row>
    <row r="7575">
      <c r="B7575" s="25" t="n"/>
      <c r="I7575" s="25" t="n"/>
      <c r="U7575" s="19">
        <f>IF(AND($V7575='設定'!$C$4,COUNTIF('商品マスタ'!$B$6:$B$1005,$W7575)=0),N(U7574)+1,N(U7574))</f>
        <v/>
      </c>
      <c r="V7575" s="19">
        <f>IF($B7575="","",TEXT($B7575,"0000"))</f>
        <v/>
      </c>
      <c r="W7575" s="19">
        <f>IF($I7575="","",IF(ISNUMBER($I7575),TEXT($I7575,"0"),$I7575))</f>
        <v/>
      </c>
    </row>
    <row r="7576">
      <c r="B7576" s="25" t="n"/>
      <c r="I7576" s="25" t="n"/>
      <c r="U7576" s="19">
        <f>IF(AND($V7576='設定'!$C$4,COUNTIF('商品マスタ'!$B$6:$B$1005,$W7576)=0),N(U7575)+1,N(U7575))</f>
        <v/>
      </c>
      <c r="V7576" s="19">
        <f>IF($B7576="","",TEXT($B7576,"0000"))</f>
        <v/>
      </c>
      <c r="W7576" s="19">
        <f>IF($I7576="","",IF(ISNUMBER($I7576),TEXT($I7576,"0"),$I7576))</f>
        <v/>
      </c>
    </row>
    <row r="7577">
      <c r="B7577" s="25" t="n"/>
      <c r="I7577" s="25" t="n"/>
      <c r="U7577" s="19">
        <f>IF(AND($V7577='設定'!$C$4,COUNTIF('商品マスタ'!$B$6:$B$1005,$W7577)=0),N(U7576)+1,N(U7576))</f>
        <v/>
      </c>
      <c r="V7577" s="19">
        <f>IF($B7577="","",TEXT($B7577,"0000"))</f>
        <v/>
      </c>
      <c r="W7577" s="19">
        <f>IF($I7577="","",IF(ISNUMBER($I7577),TEXT($I7577,"0"),$I7577))</f>
        <v/>
      </c>
    </row>
    <row r="7578">
      <c r="B7578" s="25" t="n"/>
      <c r="I7578" s="25" t="n"/>
      <c r="U7578" s="19">
        <f>IF(AND($V7578='設定'!$C$4,COUNTIF('商品マスタ'!$B$6:$B$1005,$W7578)=0),N(U7577)+1,N(U7577))</f>
        <v/>
      </c>
      <c r="V7578" s="19">
        <f>IF($B7578="","",TEXT($B7578,"0000"))</f>
        <v/>
      </c>
      <c r="W7578" s="19">
        <f>IF($I7578="","",IF(ISNUMBER($I7578),TEXT($I7578,"0"),$I7578))</f>
        <v/>
      </c>
    </row>
    <row r="7579">
      <c r="B7579" s="25" t="n"/>
      <c r="I7579" s="25" t="n"/>
      <c r="U7579" s="19">
        <f>IF(AND($V7579='設定'!$C$4,COUNTIF('商品マスタ'!$B$6:$B$1005,$W7579)=0),N(U7578)+1,N(U7578))</f>
        <v/>
      </c>
      <c r="V7579" s="19">
        <f>IF($B7579="","",TEXT($B7579,"0000"))</f>
        <v/>
      </c>
      <c r="W7579" s="19">
        <f>IF($I7579="","",IF(ISNUMBER($I7579),TEXT($I7579,"0"),$I7579))</f>
        <v/>
      </c>
    </row>
    <row r="7580">
      <c r="B7580" s="25" t="n"/>
      <c r="I7580" s="25" t="n"/>
      <c r="U7580" s="19">
        <f>IF(AND($V7580='設定'!$C$4,COUNTIF('商品マスタ'!$B$6:$B$1005,$W7580)=0),N(U7579)+1,N(U7579))</f>
        <v/>
      </c>
      <c r="V7580" s="19">
        <f>IF($B7580="","",TEXT($B7580,"0000"))</f>
        <v/>
      </c>
      <c r="W7580" s="19">
        <f>IF($I7580="","",IF(ISNUMBER($I7580),TEXT($I7580,"0"),$I7580))</f>
        <v/>
      </c>
    </row>
    <row r="7581">
      <c r="B7581" s="25" t="n"/>
      <c r="I7581" s="25" t="n"/>
      <c r="U7581" s="19">
        <f>IF(AND($V7581='設定'!$C$4,COUNTIF('商品マスタ'!$B$6:$B$1005,$W7581)=0),N(U7580)+1,N(U7580))</f>
        <v/>
      </c>
      <c r="V7581" s="19">
        <f>IF($B7581="","",TEXT($B7581,"0000"))</f>
        <v/>
      </c>
      <c r="W7581" s="19">
        <f>IF($I7581="","",IF(ISNUMBER($I7581),TEXT($I7581,"0"),$I7581))</f>
        <v/>
      </c>
    </row>
    <row r="7582">
      <c r="B7582" s="25" t="n"/>
      <c r="I7582" s="25" t="n"/>
      <c r="U7582" s="19">
        <f>IF(AND($V7582='設定'!$C$4,COUNTIF('商品マスタ'!$B$6:$B$1005,$W7582)=0),N(U7581)+1,N(U7581))</f>
        <v/>
      </c>
      <c r="V7582" s="19">
        <f>IF($B7582="","",TEXT($B7582,"0000"))</f>
        <v/>
      </c>
      <c r="W7582" s="19">
        <f>IF($I7582="","",IF(ISNUMBER($I7582),TEXT($I7582,"0"),$I7582))</f>
        <v/>
      </c>
    </row>
    <row r="7583">
      <c r="B7583" s="25" t="n"/>
      <c r="I7583" s="25" t="n"/>
      <c r="U7583" s="19">
        <f>IF(AND($V7583='設定'!$C$4,COUNTIF('商品マスタ'!$B$6:$B$1005,$W7583)=0),N(U7582)+1,N(U7582))</f>
        <v/>
      </c>
      <c r="V7583" s="19">
        <f>IF($B7583="","",TEXT($B7583,"0000"))</f>
        <v/>
      </c>
      <c r="W7583" s="19">
        <f>IF($I7583="","",IF(ISNUMBER($I7583),TEXT($I7583,"0"),$I7583))</f>
        <v/>
      </c>
    </row>
    <row r="7584">
      <c r="B7584" s="25" t="n"/>
      <c r="I7584" s="25" t="n"/>
      <c r="U7584" s="19">
        <f>IF(AND($V7584='設定'!$C$4,COUNTIF('商品マスタ'!$B$6:$B$1005,$W7584)=0),N(U7583)+1,N(U7583))</f>
        <v/>
      </c>
      <c r="V7584" s="19">
        <f>IF($B7584="","",TEXT($B7584,"0000"))</f>
        <v/>
      </c>
      <c r="W7584" s="19">
        <f>IF($I7584="","",IF(ISNUMBER($I7584),TEXT($I7584,"0"),$I7584))</f>
        <v/>
      </c>
    </row>
    <row r="7585">
      <c r="B7585" s="25" t="n"/>
      <c r="I7585" s="25" t="n"/>
      <c r="U7585" s="19">
        <f>IF(AND($V7585='設定'!$C$4,COUNTIF('商品マスタ'!$B$6:$B$1005,$W7585)=0),N(U7584)+1,N(U7584))</f>
        <v/>
      </c>
      <c r="V7585" s="19">
        <f>IF($B7585="","",TEXT($B7585,"0000"))</f>
        <v/>
      </c>
      <c r="W7585" s="19">
        <f>IF($I7585="","",IF(ISNUMBER($I7585),TEXT($I7585,"0"),$I7585))</f>
        <v/>
      </c>
    </row>
    <row r="7586">
      <c r="B7586" s="25" t="n"/>
      <c r="I7586" s="25" t="n"/>
      <c r="U7586" s="19">
        <f>IF(AND($V7586='設定'!$C$4,COUNTIF('商品マスタ'!$B$6:$B$1005,$W7586)=0),N(U7585)+1,N(U7585))</f>
        <v/>
      </c>
      <c r="V7586" s="19">
        <f>IF($B7586="","",TEXT($B7586,"0000"))</f>
        <v/>
      </c>
      <c r="W7586" s="19">
        <f>IF($I7586="","",IF(ISNUMBER($I7586),TEXT($I7586,"0"),$I7586))</f>
        <v/>
      </c>
    </row>
    <row r="7587">
      <c r="B7587" s="25" t="n"/>
      <c r="I7587" s="25" t="n"/>
      <c r="U7587" s="19">
        <f>IF(AND($V7587='設定'!$C$4,COUNTIF('商品マスタ'!$B$6:$B$1005,$W7587)=0),N(U7586)+1,N(U7586))</f>
        <v/>
      </c>
      <c r="V7587" s="19">
        <f>IF($B7587="","",TEXT($B7587,"0000"))</f>
        <v/>
      </c>
      <c r="W7587" s="19">
        <f>IF($I7587="","",IF(ISNUMBER($I7587),TEXT($I7587,"0"),$I7587))</f>
        <v/>
      </c>
    </row>
    <row r="7588">
      <c r="B7588" s="25" t="n"/>
      <c r="I7588" s="25" t="n"/>
      <c r="U7588" s="19">
        <f>IF(AND($V7588='設定'!$C$4,COUNTIF('商品マスタ'!$B$6:$B$1005,$W7588)=0),N(U7587)+1,N(U7587))</f>
        <v/>
      </c>
      <c r="V7588" s="19">
        <f>IF($B7588="","",TEXT($B7588,"0000"))</f>
        <v/>
      </c>
      <c r="W7588" s="19">
        <f>IF($I7588="","",IF(ISNUMBER($I7588),TEXT($I7588,"0"),$I7588))</f>
        <v/>
      </c>
    </row>
    <row r="7589">
      <c r="B7589" s="25" t="n"/>
      <c r="I7589" s="25" t="n"/>
      <c r="U7589" s="19">
        <f>IF(AND($V7589='設定'!$C$4,COUNTIF('商品マスタ'!$B$6:$B$1005,$W7589)=0),N(U7588)+1,N(U7588))</f>
        <v/>
      </c>
      <c r="V7589" s="19">
        <f>IF($B7589="","",TEXT($B7589,"0000"))</f>
        <v/>
      </c>
      <c r="W7589" s="19">
        <f>IF($I7589="","",IF(ISNUMBER($I7589),TEXT($I7589,"0"),$I7589))</f>
        <v/>
      </c>
    </row>
    <row r="7590">
      <c r="B7590" s="25" t="n"/>
      <c r="I7590" s="25" t="n"/>
      <c r="U7590" s="19">
        <f>IF(AND($V7590='設定'!$C$4,COUNTIF('商品マスタ'!$B$6:$B$1005,$W7590)=0),N(U7589)+1,N(U7589))</f>
        <v/>
      </c>
      <c r="V7590" s="19">
        <f>IF($B7590="","",TEXT($B7590,"0000"))</f>
        <v/>
      </c>
      <c r="W7590" s="19">
        <f>IF($I7590="","",IF(ISNUMBER($I7590),TEXT($I7590,"0"),$I7590))</f>
        <v/>
      </c>
    </row>
    <row r="7591">
      <c r="B7591" s="25" t="n"/>
      <c r="I7591" s="25" t="n"/>
      <c r="U7591" s="19">
        <f>IF(AND($V7591='設定'!$C$4,COUNTIF('商品マスタ'!$B$6:$B$1005,$W7591)=0),N(U7590)+1,N(U7590))</f>
        <v/>
      </c>
      <c r="V7591" s="19">
        <f>IF($B7591="","",TEXT($B7591,"0000"))</f>
        <v/>
      </c>
      <c r="W7591" s="19">
        <f>IF($I7591="","",IF(ISNUMBER($I7591),TEXT($I7591,"0"),$I7591))</f>
        <v/>
      </c>
    </row>
    <row r="7592">
      <c r="B7592" s="25" t="n"/>
      <c r="I7592" s="25" t="n"/>
      <c r="U7592" s="19">
        <f>IF(AND($V7592='設定'!$C$4,COUNTIF('商品マスタ'!$B$6:$B$1005,$W7592)=0),N(U7591)+1,N(U7591))</f>
        <v/>
      </c>
      <c r="V7592" s="19">
        <f>IF($B7592="","",TEXT($B7592,"0000"))</f>
        <v/>
      </c>
      <c r="W7592" s="19">
        <f>IF($I7592="","",IF(ISNUMBER($I7592),TEXT($I7592,"0"),$I7592))</f>
        <v/>
      </c>
    </row>
    <row r="7593">
      <c r="B7593" s="25" t="n"/>
      <c r="I7593" s="25" t="n"/>
      <c r="U7593" s="19">
        <f>IF(AND($V7593='設定'!$C$4,COUNTIF('商品マスタ'!$B$6:$B$1005,$W7593)=0),N(U7592)+1,N(U7592))</f>
        <v/>
      </c>
      <c r="V7593" s="19">
        <f>IF($B7593="","",TEXT($B7593,"0000"))</f>
        <v/>
      </c>
      <c r="W7593" s="19">
        <f>IF($I7593="","",IF(ISNUMBER($I7593),TEXT($I7593,"0"),$I7593))</f>
        <v/>
      </c>
    </row>
    <row r="7594">
      <c r="B7594" s="25" t="n"/>
      <c r="I7594" s="25" t="n"/>
      <c r="U7594" s="19">
        <f>IF(AND($V7594='設定'!$C$4,COUNTIF('商品マスタ'!$B$6:$B$1005,$W7594)=0),N(U7593)+1,N(U7593))</f>
        <v/>
      </c>
      <c r="V7594" s="19">
        <f>IF($B7594="","",TEXT($B7594,"0000"))</f>
        <v/>
      </c>
      <c r="W7594" s="19">
        <f>IF($I7594="","",IF(ISNUMBER($I7594),TEXT($I7594,"0"),$I7594))</f>
        <v/>
      </c>
    </row>
    <row r="7595">
      <c r="B7595" s="25" t="n"/>
      <c r="I7595" s="25" t="n"/>
      <c r="U7595" s="19">
        <f>IF(AND($V7595='設定'!$C$4,COUNTIF('商品マスタ'!$B$6:$B$1005,$W7595)=0),N(U7594)+1,N(U7594))</f>
        <v/>
      </c>
      <c r="V7595" s="19">
        <f>IF($B7595="","",TEXT($B7595,"0000"))</f>
        <v/>
      </c>
      <c r="W7595" s="19">
        <f>IF($I7595="","",IF(ISNUMBER($I7595),TEXT($I7595,"0"),$I7595))</f>
        <v/>
      </c>
    </row>
    <row r="7596">
      <c r="B7596" s="25" t="n"/>
      <c r="I7596" s="25" t="n"/>
      <c r="U7596" s="19">
        <f>IF(AND($V7596='設定'!$C$4,COUNTIF('商品マスタ'!$B$6:$B$1005,$W7596)=0),N(U7595)+1,N(U7595))</f>
        <v/>
      </c>
      <c r="V7596" s="19">
        <f>IF($B7596="","",TEXT($B7596,"0000"))</f>
        <v/>
      </c>
      <c r="W7596" s="19">
        <f>IF($I7596="","",IF(ISNUMBER($I7596),TEXT($I7596,"0"),$I7596))</f>
        <v/>
      </c>
    </row>
    <row r="7597">
      <c r="B7597" s="25" t="n"/>
      <c r="I7597" s="25" t="n"/>
      <c r="U7597" s="19">
        <f>IF(AND($V7597='設定'!$C$4,COUNTIF('商品マスタ'!$B$6:$B$1005,$W7597)=0),N(U7596)+1,N(U7596))</f>
        <v/>
      </c>
      <c r="V7597" s="19">
        <f>IF($B7597="","",TEXT($B7597,"0000"))</f>
        <v/>
      </c>
      <c r="W7597" s="19">
        <f>IF($I7597="","",IF(ISNUMBER($I7597),TEXT($I7597,"0"),$I7597))</f>
        <v/>
      </c>
    </row>
    <row r="7598">
      <c r="B7598" s="25" t="n"/>
      <c r="I7598" s="25" t="n"/>
      <c r="U7598" s="19">
        <f>IF(AND($V7598='設定'!$C$4,COUNTIF('商品マスタ'!$B$6:$B$1005,$W7598)=0),N(U7597)+1,N(U7597))</f>
        <v/>
      </c>
      <c r="V7598" s="19">
        <f>IF($B7598="","",TEXT($B7598,"0000"))</f>
        <v/>
      </c>
      <c r="W7598" s="19">
        <f>IF($I7598="","",IF(ISNUMBER($I7598),TEXT($I7598,"0"),$I7598))</f>
        <v/>
      </c>
    </row>
    <row r="7599">
      <c r="B7599" s="25" t="n"/>
      <c r="I7599" s="25" t="n"/>
      <c r="U7599" s="19">
        <f>IF(AND($V7599='設定'!$C$4,COUNTIF('商品マスタ'!$B$6:$B$1005,$W7599)=0),N(U7598)+1,N(U7598))</f>
        <v/>
      </c>
      <c r="V7599" s="19">
        <f>IF($B7599="","",TEXT($B7599,"0000"))</f>
        <v/>
      </c>
      <c r="W7599" s="19">
        <f>IF($I7599="","",IF(ISNUMBER($I7599),TEXT($I7599,"0"),$I7599))</f>
        <v/>
      </c>
    </row>
    <row r="7600">
      <c r="B7600" s="25" t="n"/>
      <c r="I7600" s="25" t="n"/>
      <c r="U7600" s="19">
        <f>IF(AND($V7600='設定'!$C$4,COUNTIF('商品マスタ'!$B$6:$B$1005,$W7600)=0),N(U7599)+1,N(U7599))</f>
        <v/>
      </c>
      <c r="V7600" s="19">
        <f>IF($B7600="","",TEXT($B7600,"0000"))</f>
        <v/>
      </c>
      <c r="W7600" s="19">
        <f>IF($I7600="","",IF(ISNUMBER($I7600),TEXT($I7600,"0"),$I7600))</f>
        <v/>
      </c>
    </row>
    <row r="7601">
      <c r="B7601" s="25" t="n"/>
      <c r="I7601" s="25" t="n"/>
      <c r="U7601" s="19">
        <f>IF(AND($V7601='設定'!$C$4,COUNTIF('商品マスタ'!$B$6:$B$1005,$W7601)=0),N(U7600)+1,N(U7600))</f>
        <v/>
      </c>
      <c r="V7601" s="19">
        <f>IF($B7601="","",TEXT($B7601,"0000"))</f>
        <v/>
      </c>
      <c r="W7601" s="19">
        <f>IF($I7601="","",IF(ISNUMBER($I7601),TEXT($I7601,"0"),$I7601))</f>
        <v/>
      </c>
    </row>
    <row r="7602">
      <c r="B7602" s="25" t="n"/>
      <c r="I7602" s="25" t="n"/>
      <c r="U7602" s="19">
        <f>IF(AND($V7602='設定'!$C$4,COUNTIF('商品マスタ'!$B$6:$B$1005,$W7602)=0),N(U7601)+1,N(U7601))</f>
        <v/>
      </c>
      <c r="V7602" s="19">
        <f>IF($B7602="","",TEXT($B7602,"0000"))</f>
        <v/>
      </c>
      <c r="W7602" s="19">
        <f>IF($I7602="","",IF(ISNUMBER($I7602),TEXT($I7602,"0"),$I7602))</f>
        <v/>
      </c>
    </row>
    <row r="7603">
      <c r="B7603" s="25" t="n"/>
      <c r="I7603" s="25" t="n"/>
      <c r="U7603" s="19">
        <f>IF(AND($V7603='設定'!$C$4,COUNTIF('商品マスタ'!$B$6:$B$1005,$W7603)=0),N(U7602)+1,N(U7602))</f>
        <v/>
      </c>
      <c r="V7603" s="19">
        <f>IF($B7603="","",TEXT($B7603,"0000"))</f>
        <v/>
      </c>
      <c r="W7603" s="19">
        <f>IF($I7603="","",IF(ISNUMBER($I7603),TEXT($I7603,"0"),$I7603))</f>
        <v/>
      </c>
    </row>
    <row r="7604">
      <c r="B7604" s="25" t="n"/>
      <c r="I7604" s="25" t="n"/>
      <c r="U7604" s="19">
        <f>IF(AND($V7604='設定'!$C$4,COUNTIF('商品マスタ'!$B$6:$B$1005,$W7604)=0),N(U7603)+1,N(U7603))</f>
        <v/>
      </c>
      <c r="V7604" s="19">
        <f>IF($B7604="","",TEXT($B7604,"0000"))</f>
        <v/>
      </c>
      <c r="W7604" s="19">
        <f>IF($I7604="","",IF(ISNUMBER($I7604),TEXT($I7604,"0"),$I7604))</f>
        <v/>
      </c>
    </row>
    <row r="7605">
      <c r="B7605" s="25" t="n"/>
      <c r="I7605" s="25" t="n"/>
      <c r="U7605" s="19">
        <f>IF(AND($V7605='設定'!$C$4,COUNTIF('商品マスタ'!$B$6:$B$1005,$W7605)=0),N(U7604)+1,N(U7604))</f>
        <v/>
      </c>
      <c r="V7605" s="19">
        <f>IF($B7605="","",TEXT($B7605,"0000"))</f>
        <v/>
      </c>
      <c r="W7605" s="19">
        <f>IF($I7605="","",IF(ISNUMBER($I7605),TEXT($I7605,"0"),$I7605))</f>
        <v/>
      </c>
    </row>
    <row r="7606">
      <c r="B7606" s="25" t="n"/>
      <c r="I7606" s="25" t="n"/>
      <c r="U7606" s="19">
        <f>IF(AND($V7606='設定'!$C$4,COUNTIF('商品マスタ'!$B$6:$B$1005,$W7606)=0),N(U7605)+1,N(U7605))</f>
        <v/>
      </c>
      <c r="V7606" s="19">
        <f>IF($B7606="","",TEXT($B7606,"0000"))</f>
        <v/>
      </c>
      <c r="W7606" s="19">
        <f>IF($I7606="","",IF(ISNUMBER($I7606),TEXT($I7606,"0"),$I7606))</f>
        <v/>
      </c>
    </row>
    <row r="7607">
      <c r="B7607" s="25" t="n"/>
      <c r="I7607" s="25" t="n"/>
      <c r="U7607" s="19">
        <f>IF(AND($V7607='設定'!$C$4,COUNTIF('商品マスタ'!$B$6:$B$1005,$W7607)=0),N(U7606)+1,N(U7606))</f>
        <v/>
      </c>
      <c r="V7607" s="19">
        <f>IF($B7607="","",TEXT($B7607,"0000"))</f>
        <v/>
      </c>
      <c r="W7607" s="19">
        <f>IF($I7607="","",IF(ISNUMBER($I7607),TEXT($I7607,"0"),$I7607))</f>
        <v/>
      </c>
    </row>
    <row r="7608">
      <c r="B7608" s="25" t="n"/>
      <c r="I7608" s="25" t="n"/>
      <c r="U7608" s="19">
        <f>IF(AND($V7608='設定'!$C$4,COUNTIF('商品マスタ'!$B$6:$B$1005,$W7608)=0),N(U7607)+1,N(U7607))</f>
        <v/>
      </c>
      <c r="V7608" s="19">
        <f>IF($B7608="","",TEXT($B7608,"0000"))</f>
        <v/>
      </c>
      <c r="W7608" s="19">
        <f>IF($I7608="","",IF(ISNUMBER($I7608),TEXT($I7608,"0"),$I7608))</f>
        <v/>
      </c>
    </row>
    <row r="7609">
      <c r="B7609" s="25" t="n"/>
      <c r="I7609" s="25" t="n"/>
      <c r="U7609" s="19">
        <f>IF(AND($V7609='設定'!$C$4,COUNTIF('商品マスタ'!$B$6:$B$1005,$W7609)=0),N(U7608)+1,N(U7608))</f>
        <v/>
      </c>
      <c r="V7609" s="19">
        <f>IF($B7609="","",TEXT($B7609,"0000"))</f>
        <v/>
      </c>
      <c r="W7609" s="19">
        <f>IF($I7609="","",IF(ISNUMBER($I7609),TEXT($I7609,"0"),$I7609))</f>
        <v/>
      </c>
    </row>
    <row r="7610">
      <c r="B7610" s="25" t="n"/>
      <c r="I7610" s="25" t="n"/>
      <c r="U7610" s="19">
        <f>IF(AND($V7610='設定'!$C$4,COUNTIF('商品マスタ'!$B$6:$B$1005,$W7610)=0),N(U7609)+1,N(U7609))</f>
        <v/>
      </c>
      <c r="V7610" s="19">
        <f>IF($B7610="","",TEXT($B7610,"0000"))</f>
        <v/>
      </c>
      <c r="W7610" s="19">
        <f>IF($I7610="","",IF(ISNUMBER($I7610),TEXT($I7610,"0"),$I7610))</f>
        <v/>
      </c>
    </row>
    <row r="7611">
      <c r="B7611" s="25" t="n"/>
      <c r="I7611" s="25" t="n"/>
      <c r="U7611" s="19">
        <f>IF(AND($V7611='設定'!$C$4,COUNTIF('商品マスタ'!$B$6:$B$1005,$W7611)=0),N(U7610)+1,N(U7610))</f>
        <v/>
      </c>
      <c r="V7611" s="19">
        <f>IF($B7611="","",TEXT($B7611,"0000"))</f>
        <v/>
      </c>
      <c r="W7611" s="19">
        <f>IF($I7611="","",IF(ISNUMBER($I7611),TEXT($I7611,"0"),$I7611))</f>
        <v/>
      </c>
    </row>
    <row r="7612">
      <c r="B7612" s="25" t="n"/>
      <c r="I7612" s="25" t="n"/>
      <c r="U7612" s="19">
        <f>IF(AND($V7612='設定'!$C$4,COUNTIF('商品マスタ'!$B$6:$B$1005,$W7612)=0),N(U7611)+1,N(U7611))</f>
        <v/>
      </c>
      <c r="V7612" s="19">
        <f>IF($B7612="","",TEXT($B7612,"0000"))</f>
        <v/>
      </c>
      <c r="W7612" s="19">
        <f>IF($I7612="","",IF(ISNUMBER($I7612),TEXT($I7612,"0"),$I7612))</f>
        <v/>
      </c>
    </row>
    <row r="7613">
      <c r="B7613" s="25" t="n"/>
      <c r="I7613" s="25" t="n"/>
      <c r="U7613" s="19">
        <f>IF(AND($V7613='設定'!$C$4,COUNTIF('商品マスタ'!$B$6:$B$1005,$W7613)=0),N(U7612)+1,N(U7612))</f>
        <v/>
      </c>
      <c r="V7613" s="19">
        <f>IF($B7613="","",TEXT($B7613,"0000"))</f>
        <v/>
      </c>
      <c r="W7613" s="19">
        <f>IF($I7613="","",IF(ISNUMBER($I7613),TEXT($I7613,"0"),$I7613))</f>
        <v/>
      </c>
    </row>
    <row r="7614">
      <c r="B7614" s="25" t="n"/>
      <c r="I7614" s="25" t="n"/>
      <c r="U7614" s="19">
        <f>IF(AND($V7614='設定'!$C$4,COUNTIF('商品マスタ'!$B$6:$B$1005,$W7614)=0),N(U7613)+1,N(U7613))</f>
        <v/>
      </c>
      <c r="V7614" s="19">
        <f>IF($B7614="","",TEXT($B7614,"0000"))</f>
        <v/>
      </c>
      <c r="W7614" s="19">
        <f>IF($I7614="","",IF(ISNUMBER($I7614),TEXT($I7614,"0"),$I7614))</f>
        <v/>
      </c>
    </row>
    <row r="7615">
      <c r="B7615" s="25" t="n"/>
      <c r="I7615" s="25" t="n"/>
      <c r="U7615" s="19">
        <f>IF(AND($V7615='設定'!$C$4,COUNTIF('商品マスタ'!$B$6:$B$1005,$W7615)=0),N(U7614)+1,N(U7614))</f>
        <v/>
      </c>
      <c r="V7615" s="19">
        <f>IF($B7615="","",TEXT($B7615,"0000"))</f>
        <v/>
      </c>
      <c r="W7615" s="19">
        <f>IF($I7615="","",IF(ISNUMBER($I7615),TEXT($I7615,"0"),$I7615))</f>
        <v/>
      </c>
    </row>
    <row r="7616">
      <c r="B7616" s="25" t="n"/>
      <c r="I7616" s="25" t="n"/>
      <c r="U7616" s="19">
        <f>IF(AND($V7616='設定'!$C$4,COUNTIF('商品マスタ'!$B$6:$B$1005,$W7616)=0),N(U7615)+1,N(U7615))</f>
        <v/>
      </c>
      <c r="V7616" s="19">
        <f>IF($B7616="","",TEXT($B7616,"0000"))</f>
        <v/>
      </c>
      <c r="W7616" s="19">
        <f>IF($I7616="","",IF(ISNUMBER($I7616),TEXT($I7616,"0"),$I7616))</f>
        <v/>
      </c>
    </row>
    <row r="7617">
      <c r="B7617" s="25" t="n"/>
      <c r="I7617" s="25" t="n"/>
      <c r="U7617" s="19">
        <f>IF(AND($V7617='設定'!$C$4,COUNTIF('商品マスタ'!$B$6:$B$1005,$W7617)=0),N(U7616)+1,N(U7616))</f>
        <v/>
      </c>
      <c r="V7617" s="19">
        <f>IF($B7617="","",TEXT($B7617,"0000"))</f>
        <v/>
      </c>
      <c r="W7617" s="19">
        <f>IF($I7617="","",IF(ISNUMBER($I7617),TEXT($I7617,"0"),$I7617))</f>
        <v/>
      </c>
    </row>
    <row r="7618">
      <c r="B7618" s="25" t="n"/>
      <c r="I7618" s="25" t="n"/>
      <c r="U7618" s="19">
        <f>IF(AND($V7618='設定'!$C$4,COUNTIF('商品マスタ'!$B$6:$B$1005,$W7618)=0),N(U7617)+1,N(U7617))</f>
        <v/>
      </c>
      <c r="V7618" s="19">
        <f>IF($B7618="","",TEXT($B7618,"0000"))</f>
        <v/>
      </c>
      <c r="W7618" s="19">
        <f>IF($I7618="","",IF(ISNUMBER($I7618),TEXT($I7618,"0"),$I7618))</f>
        <v/>
      </c>
    </row>
    <row r="7619">
      <c r="B7619" s="25" t="n"/>
      <c r="I7619" s="25" t="n"/>
      <c r="U7619" s="19">
        <f>IF(AND($V7619='設定'!$C$4,COUNTIF('商品マスタ'!$B$6:$B$1005,$W7619)=0),N(U7618)+1,N(U7618))</f>
        <v/>
      </c>
      <c r="V7619" s="19">
        <f>IF($B7619="","",TEXT($B7619,"0000"))</f>
        <v/>
      </c>
      <c r="W7619" s="19">
        <f>IF($I7619="","",IF(ISNUMBER($I7619),TEXT($I7619,"0"),$I7619))</f>
        <v/>
      </c>
    </row>
    <row r="7620">
      <c r="B7620" s="25" t="n"/>
      <c r="I7620" s="25" t="n"/>
      <c r="U7620" s="19">
        <f>IF(AND($V7620='設定'!$C$4,COUNTIF('商品マスタ'!$B$6:$B$1005,$W7620)=0),N(U7619)+1,N(U7619))</f>
        <v/>
      </c>
      <c r="V7620" s="19">
        <f>IF($B7620="","",TEXT($B7620,"0000"))</f>
        <v/>
      </c>
      <c r="W7620" s="19">
        <f>IF($I7620="","",IF(ISNUMBER($I7620),TEXT($I7620,"0"),$I7620))</f>
        <v/>
      </c>
    </row>
    <row r="7621">
      <c r="B7621" s="25" t="n"/>
      <c r="I7621" s="25" t="n"/>
      <c r="U7621" s="19">
        <f>IF(AND($V7621='設定'!$C$4,COUNTIF('商品マスタ'!$B$6:$B$1005,$W7621)=0),N(U7620)+1,N(U7620))</f>
        <v/>
      </c>
      <c r="V7621" s="19">
        <f>IF($B7621="","",TEXT($B7621,"0000"))</f>
        <v/>
      </c>
      <c r="W7621" s="19">
        <f>IF($I7621="","",IF(ISNUMBER($I7621),TEXT($I7621,"0"),$I7621))</f>
        <v/>
      </c>
    </row>
    <row r="7622">
      <c r="B7622" s="25" t="n"/>
      <c r="I7622" s="25" t="n"/>
      <c r="U7622" s="19">
        <f>IF(AND($V7622='設定'!$C$4,COUNTIF('商品マスタ'!$B$6:$B$1005,$W7622)=0),N(U7621)+1,N(U7621))</f>
        <v/>
      </c>
      <c r="V7622" s="19">
        <f>IF($B7622="","",TEXT($B7622,"0000"))</f>
        <v/>
      </c>
      <c r="W7622" s="19">
        <f>IF($I7622="","",IF(ISNUMBER($I7622),TEXT($I7622,"0"),$I7622))</f>
        <v/>
      </c>
    </row>
    <row r="7623">
      <c r="B7623" s="25" t="n"/>
      <c r="I7623" s="25" t="n"/>
      <c r="U7623" s="19">
        <f>IF(AND($V7623='設定'!$C$4,COUNTIF('商品マスタ'!$B$6:$B$1005,$W7623)=0),N(U7622)+1,N(U7622))</f>
        <v/>
      </c>
      <c r="V7623" s="19">
        <f>IF($B7623="","",TEXT($B7623,"0000"))</f>
        <v/>
      </c>
      <c r="W7623" s="19">
        <f>IF($I7623="","",IF(ISNUMBER($I7623),TEXT($I7623,"0"),$I7623))</f>
        <v/>
      </c>
    </row>
    <row r="7624">
      <c r="B7624" s="25" t="n"/>
      <c r="I7624" s="25" t="n"/>
      <c r="U7624" s="19">
        <f>IF(AND($V7624='設定'!$C$4,COUNTIF('商品マスタ'!$B$6:$B$1005,$W7624)=0),N(U7623)+1,N(U7623))</f>
        <v/>
      </c>
      <c r="V7624" s="19">
        <f>IF($B7624="","",TEXT($B7624,"0000"))</f>
        <v/>
      </c>
      <c r="W7624" s="19">
        <f>IF($I7624="","",IF(ISNUMBER($I7624),TEXT($I7624,"0"),$I7624))</f>
        <v/>
      </c>
    </row>
    <row r="7625">
      <c r="B7625" s="25" t="n"/>
      <c r="I7625" s="25" t="n"/>
      <c r="U7625" s="19">
        <f>IF(AND($V7625='設定'!$C$4,COUNTIF('商品マスタ'!$B$6:$B$1005,$W7625)=0),N(U7624)+1,N(U7624))</f>
        <v/>
      </c>
      <c r="V7625" s="19">
        <f>IF($B7625="","",TEXT($B7625,"0000"))</f>
        <v/>
      </c>
      <c r="W7625" s="19">
        <f>IF($I7625="","",IF(ISNUMBER($I7625),TEXT($I7625,"0"),$I7625))</f>
        <v/>
      </c>
    </row>
    <row r="7626">
      <c r="B7626" s="25" t="n"/>
      <c r="I7626" s="25" t="n"/>
      <c r="U7626" s="19">
        <f>IF(AND($V7626='設定'!$C$4,COUNTIF('商品マスタ'!$B$6:$B$1005,$W7626)=0),N(U7625)+1,N(U7625))</f>
        <v/>
      </c>
      <c r="V7626" s="19">
        <f>IF($B7626="","",TEXT($B7626,"0000"))</f>
        <v/>
      </c>
      <c r="W7626" s="19">
        <f>IF($I7626="","",IF(ISNUMBER($I7626),TEXT($I7626,"0"),$I7626))</f>
        <v/>
      </c>
    </row>
    <row r="7627">
      <c r="B7627" s="25" t="n"/>
      <c r="I7627" s="25" t="n"/>
      <c r="U7627" s="19">
        <f>IF(AND($V7627='設定'!$C$4,COUNTIF('商品マスタ'!$B$6:$B$1005,$W7627)=0),N(U7626)+1,N(U7626))</f>
        <v/>
      </c>
      <c r="V7627" s="19">
        <f>IF($B7627="","",TEXT($B7627,"0000"))</f>
        <v/>
      </c>
      <c r="W7627" s="19">
        <f>IF($I7627="","",IF(ISNUMBER($I7627),TEXT($I7627,"0"),$I7627))</f>
        <v/>
      </c>
    </row>
    <row r="7628">
      <c r="B7628" s="25" t="n"/>
      <c r="I7628" s="25" t="n"/>
      <c r="U7628" s="19">
        <f>IF(AND($V7628='設定'!$C$4,COUNTIF('商品マスタ'!$B$6:$B$1005,$W7628)=0),N(U7627)+1,N(U7627))</f>
        <v/>
      </c>
      <c r="V7628" s="19">
        <f>IF($B7628="","",TEXT($B7628,"0000"))</f>
        <v/>
      </c>
      <c r="W7628" s="19">
        <f>IF($I7628="","",IF(ISNUMBER($I7628),TEXT($I7628,"0"),$I7628))</f>
        <v/>
      </c>
    </row>
    <row r="7629">
      <c r="B7629" s="25" t="n"/>
      <c r="I7629" s="25" t="n"/>
      <c r="U7629" s="19">
        <f>IF(AND($V7629='設定'!$C$4,COUNTIF('商品マスタ'!$B$6:$B$1005,$W7629)=0),N(U7628)+1,N(U7628))</f>
        <v/>
      </c>
      <c r="V7629" s="19">
        <f>IF($B7629="","",TEXT($B7629,"0000"))</f>
        <v/>
      </c>
      <c r="W7629" s="19">
        <f>IF($I7629="","",IF(ISNUMBER($I7629),TEXT($I7629,"0"),$I7629))</f>
        <v/>
      </c>
    </row>
    <row r="7630">
      <c r="B7630" s="25" t="n"/>
      <c r="I7630" s="25" t="n"/>
      <c r="U7630" s="19">
        <f>IF(AND($V7630='設定'!$C$4,COUNTIF('商品マスタ'!$B$6:$B$1005,$W7630)=0),N(U7629)+1,N(U7629))</f>
        <v/>
      </c>
      <c r="V7630" s="19">
        <f>IF($B7630="","",TEXT($B7630,"0000"))</f>
        <v/>
      </c>
      <c r="W7630" s="19">
        <f>IF($I7630="","",IF(ISNUMBER($I7630),TEXT($I7630,"0"),$I7630))</f>
        <v/>
      </c>
    </row>
    <row r="7631">
      <c r="B7631" s="25" t="n"/>
      <c r="I7631" s="25" t="n"/>
      <c r="U7631" s="19">
        <f>IF(AND($V7631='設定'!$C$4,COUNTIF('商品マスタ'!$B$6:$B$1005,$W7631)=0),N(U7630)+1,N(U7630))</f>
        <v/>
      </c>
      <c r="V7631" s="19">
        <f>IF($B7631="","",TEXT($B7631,"0000"))</f>
        <v/>
      </c>
      <c r="W7631" s="19">
        <f>IF($I7631="","",IF(ISNUMBER($I7631),TEXT($I7631,"0"),$I7631))</f>
        <v/>
      </c>
    </row>
    <row r="7632">
      <c r="B7632" s="25" t="n"/>
      <c r="I7632" s="25" t="n"/>
      <c r="U7632" s="19">
        <f>IF(AND($V7632='設定'!$C$4,COUNTIF('商品マスタ'!$B$6:$B$1005,$W7632)=0),N(U7631)+1,N(U7631))</f>
        <v/>
      </c>
      <c r="V7632" s="19">
        <f>IF($B7632="","",TEXT($B7632,"0000"))</f>
        <v/>
      </c>
      <c r="W7632" s="19">
        <f>IF($I7632="","",IF(ISNUMBER($I7632),TEXT($I7632,"0"),$I7632))</f>
        <v/>
      </c>
    </row>
    <row r="7633">
      <c r="B7633" s="25" t="n"/>
      <c r="I7633" s="25" t="n"/>
      <c r="U7633" s="19">
        <f>IF(AND($V7633='設定'!$C$4,COUNTIF('商品マスタ'!$B$6:$B$1005,$W7633)=0),N(U7632)+1,N(U7632))</f>
        <v/>
      </c>
      <c r="V7633" s="19">
        <f>IF($B7633="","",TEXT($B7633,"0000"))</f>
        <v/>
      </c>
      <c r="W7633" s="19">
        <f>IF($I7633="","",IF(ISNUMBER($I7633),TEXT($I7633,"0"),$I7633))</f>
        <v/>
      </c>
    </row>
    <row r="7634">
      <c r="B7634" s="25" t="n"/>
      <c r="I7634" s="25" t="n"/>
      <c r="U7634" s="19">
        <f>IF(AND($V7634='設定'!$C$4,COUNTIF('商品マスタ'!$B$6:$B$1005,$W7634)=0),N(U7633)+1,N(U7633))</f>
        <v/>
      </c>
      <c r="V7634" s="19">
        <f>IF($B7634="","",TEXT($B7634,"0000"))</f>
        <v/>
      </c>
      <c r="W7634" s="19">
        <f>IF($I7634="","",IF(ISNUMBER($I7634),TEXT($I7634,"0"),$I7634))</f>
        <v/>
      </c>
    </row>
    <row r="7635">
      <c r="B7635" s="25" t="n"/>
      <c r="I7635" s="25" t="n"/>
      <c r="U7635" s="19">
        <f>IF(AND($V7635='設定'!$C$4,COUNTIF('商品マスタ'!$B$6:$B$1005,$W7635)=0),N(U7634)+1,N(U7634))</f>
        <v/>
      </c>
      <c r="V7635" s="19">
        <f>IF($B7635="","",TEXT($B7635,"0000"))</f>
        <v/>
      </c>
      <c r="W7635" s="19">
        <f>IF($I7635="","",IF(ISNUMBER($I7635),TEXT($I7635,"0"),$I7635))</f>
        <v/>
      </c>
    </row>
    <row r="7636">
      <c r="B7636" s="25" t="n"/>
      <c r="I7636" s="25" t="n"/>
      <c r="U7636" s="19">
        <f>IF(AND($V7636='設定'!$C$4,COUNTIF('商品マスタ'!$B$6:$B$1005,$W7636)=0),N(U7635)+1,N(U7635))</f>
        <v/>
      </c>
      <c r="V7636" s="19">
        <f>IF($B7636="","",TEXT($B7636,"0000"))</f>
        <v/>
      </c>
      <c r="W7636" s="19">
        <f>IF($I7636="","",IF(ISNUMBER($I7636),TEXT($I7636,"0"),$I7636))</f>
        <v/>
      </c>
    </row>
    <row r="7637">
      <c r="B7637" s="25" t="n"/>
      <c r="I7637" s="25" t="n"/>
      <c r="U7637" s="19">
        <f>IF(AND($V7637='設定'!$C$4,COUNTIF('商品マスタ'!$B$6:$B$1005,$W7637)=0),N(U7636)+1,N(U7636))</f>
        <v/>
      </c>
      <c r="V7637" s="19">
        <f>IF($B7637="","",TEXT($B7637,"0000"))</f>
        <v/>
      </c>
      <c r="W7637" s="19">
        <f>IF($I7637="","",IF(ISNUMBER($I7637),TEXT($I7637,"0"),$I7637))</f>
        <v/>
      </c>
    </row>
    <row r="7638">
      <c r="B7638" s="25" t="n"/>
      <c r="I7638" s="25" t="n"/>
      <c r="U7638" s="19">
        <f>IF(AND($V7638='設定'!$C$4,COUNTIF('商品マスタ'!$B$6:$B$1005,$W7638)=0),N(U7637)+1,N(U7637))</f>
        <v/>
      </c>
      <c r="V7638" s="19">
        <f>IF($B7638="","",TEXT($B7638,"0000"))</f>
        <v/>
      </c>
      <c r="W7638" s="19">
        <f>IF($I7638="","",IF(ISNUMBER($I7638),TEXT($I7638,"0"),$I7638))</f>
        <v/>
      </c>
    </row>
    <row r="7639">
      <c r="B7639" s="25" t="n"/>
      <c r="I7639" s="25" t="n"/>
      <c r="U7639" s="19">
        <f>IF(AND($V7639='設定'!$C$4,COUNTIF('商品マスタ'!$B$6:$B$1005,$W7639)=0),N(U7638)+1,N(U7638))</f>
        <v/>
      </c>
      <c r="V7639" s="19">
        <f>IF($B7639="","",TEXT($B7639,"0000"))</f>
        <v/>
      </c>
      <c r="W7639" s="19">
        <f>IF($I7639="","",IF(ISNUMBER($I7639),TEXT($I7639,"0"),$I7639))</f>
        <v/>
      </c>
    </row>
    <row r="7640">
      <c r="B7640" s="25" t="n"/>
      <c r="I7640" s="25" t="n"/>
      <c r="U7640" s="19">
        <f>IF(AND($V7640='設定'!$C$4,COUNTIF('商品マスタ'!$B$6:$B$1005,$W7640)=0),N(U7639)+1,N(U7639))</f>
        <v/>
      </c>
      <c r="V7640" s="19">
        <f>IF($B7640="","",TEXT($B7640,"0000"))</f>
        <v/>
      </c>
      <c r="W7640" s="19">
        <f>IF($I7640="","",IF(ISNUMBER($I7640),TEXT($I7640,"0"),$I7640))</f>
        <v/>
      </c>
    </row>
    <row r="7641">
      <c r="B7641" s="25" t="n"/>
      <c r="I7641" s="25" t="n"/>
      <c r="U7641" s="19">
        <f>IF(AND($V7641='設定'!$C$4,COUNTIF('商品マスタ'!$B$6:$B$1005,$W7641)=0),N(U7640)+1,N(U7640))</f>
        <v/>
      </c>
      <c r="V7641" s="19">
        <f>IF($B7641="","",TEXT($B7641,"0000"))</f>
        <v/>
      </c>
      <c r="W7641" s="19">
        <f>IF($I7641="","",IF(ISNUMBER($I7641),TEXT($I7641,"0"),$I7641))</f>
        <v/>
      </c>
    </row>
    <row r="7642">
      <c r="B7642" s="25" t="n"/>
      <c r="I7642" s="25" t="n"/>
      <c r="U7642" s="19">
        <f>IF(AND($V7642='設定'!$C$4,COUNTIF('商品マスタ'!$B$6:$B$1005,$W7642)=0),N(U7641)+1,N(U7641))</f>
        <v/>
      </c>
      <c r="V7642" s="19">
        <f>IF($B7642="","",TEXT($B7642,"0000"))</f>
        <v/>
      </c>
      <c r="W7642" s="19">
        <f>IF($I7642="","",IF(ISNUMBER($I7642),TEXT($I7642,"0"),$I7642))</f>
        <v/>
      </c>
    </row>
    <row r="7643">
      <c r="B7643" s="25" t="n"/>
      <c r="I7643" s="25" t="n"/>
      <c r="U7643" s="19">
        <f>IF(AND($V7643='設定'!$C$4,COUNTIF('商品マスタ'!$B$6:$B$1005,$W7643)=0),N(U7642)+1,N(U7642))</f>
        <v/>
      </c>
      <c r="V7643" s="19">
        <f>IF($B7643="","",TEXT($B7643,"0000"))</f>
        <v/>
      </c>
      <c r="W7643" s="19">
        <f>IF($I7643="","",IF(ISNUMBER($I7643),TEXT($I7643,"0"),$I7643))</f>
        <v/>
      </c>
    </row>
    <row r="7644">
      <c r="B7644" s="25" t="n"/>
      <c r="I7644" s="25" t="n"/>
      <c r="U7644" s="19">
        <f>IF(AND($V7644='設定'!$C$4,COUNTIF('商品マスタ'!$B$6:$B$1005,$W7644)=0),N(U7643)+1,N(U7643))</f>
        <v/>
      </c>
      <c r="V7644" s="19">
        <f>IF($B7644="","",TEXT($B7644,"0000"))</f>
        <v/>
      </c>
      <c r="W7644" s="19">
        <f>IF($I7644="","",IF(ISNUMBER($I7644),TEXT($I7644,"0"),$I7644))</f>
        <v/>
      </c>
    </row>
    <row r="7645">
      <c r="B7645" s="25" t="n"/>
      <c r="I7645" s="25" t="n"/>
      <c r="U7645" s="19">
        <f>IF(AND($V7645='設定'!$C$4,COUNTIF('商品マスタ'!$B$6:$B$1005,$W7645)=0),N(U7644)+1,N(U7644))</f>
        <v/>
      </c>
      <c r="V7645" s="19">
        <f>IF($B7645="","",TEXT($B7645,"0000"))</f>
        <v/>
      </c>
      <c r="W7645" s="19">
        <f>IF($I7645="","",IF(ISNUMBER($I7645),TEXT($I7645,"0"),$I7645))</f>
        <v/>
      </c>
    </row>
    <row r="7646">
      <c r="B7646" s="25" t="n"/>
      <c r="I7646" s="25" t="n"/>
      <c r="U7646" s="19">
        <f>IF(AND($V7646='設定'!$C$4,COUNTIF('商品マスタ'!$B$6:$B$1005,$W7646)=0),N(U7645)+1,N(U7645))</f>
        <v/>
      </c>
      <c r="V7646" s="19">
        <f>IF($B7646="","",TEXT($B7646,"0000"))</f>
        <v/>
      </c>
      <c r="W7646" s="19">
        <f>IF($I7646="","",IF(ISNUMBER($I7646),TEXT($I7646,"0"),$I7646))</f>
        <v/>
      </c>
    </row>
    <row r="7647">
      <c r="B7647" s="25" t="n"/>
      <c r="I7647" s="25" t="n"/>
      <c r="U7647" s="19">
        <f>IF(AND($V7647='設定'!$C$4,COUNTIF('商品マスタ'!$B$6:$B$1005,$W7647)=0),N(U7646)+1,N(U7646))</f>
        <v/>
      </c>
      <c r="V7647" s="19">
        <f>IF($B7647="","",TEXT($B7647,"0000"))</f>
        <v/>
      </c>
      <c r="W7647" s="19">
        <f>IF($I7647="","",IF(ISNUMBER($I7647),TEXT($I7647,"0"),$I7647))</f>
        <v/>
      </c>
    </row>
    <row r="7648">
      <c r="B7648" s="25" t="n"/>
      <c r="I7648" s="25" t="n"/>
      <c r="U7648" s="19">
        <f>IF(AND($V7648='設定'!$C$4,COUNTIF('商品マスタ'!$B$6:$B$1005,$W7648)=0),N(U7647)+1,N(U7647))</f>
        <v/>
      </c>
      <c r="V7648" s="19">
        <f>IF($B7648="","",TEXT($B7648,"0000"))</f>
        <v/>
      </c>
      <c r="W7648" s="19">
        <f>IF($I7648="","",IF(ISNUMBER($I7648),TEXT($I7648,"0"),$I7648))</f>
        <v/>
      </c>
    </row>
    <row r="7649">
      <c r="B7649" s="25" t="n"/>
      <c r="I7649" s="25" t="n"/>
      <c r="U7649" s="19">
        <f>IF(AND($V7649='設定'!$C$4,COUNTIF('商品マスタ'!$B$6:$B$1005,$W7649)=0),N(U7648)+1,N(U7648))</f>
        <v/>
      </c>
      <c r="V7649" s="19">
        <f>IF($B7649="","",TEXT($B7649,"0000"))</f>
        <v/>
      </c>
      <c r="W7649" s="19">
        <f>IF($I7649="","",IF(ISNUMBER($I7649),TEXT($I7649,"0"),$I7649))</f>
        <v/>
      </c>
    </row>
    <row r="7650">
      <c r="B7650" s="25" t="n"/>
      <c r="I7650" s="25" t="n"/>
      <c r="U7650" s="19">
        <f>IF(AND($V7650='設定'!$C$4,COUNTIF('商品マスタ'!$B$6:$B$1005,$W7650)=0),N(U7649)+1,N(U7649))</f>
        <v/>
      </c>
      <c r="V7650" s="19">
        <f>IF($B7650="","",TEXT($B7650,"0000"))</f>
        <v/>
      </c>
      <c r="W7650" s="19">
        <f>IF($I7650="","",IF(ISNUMBER($I7650),TEXT($I7650,"0"),$I7650))</f>
        <v/>
      </c>
    </row>
    <row r="7651">
      <c r="B7651" s="25" t="n"/>
      <c r="I7651" s="25" t="n"/>
      <c r="U7651" s="19">
        <f>IF(AND($V7651='設定'!$C$4,COUNTIF('商品マスタ'!$B$6:$B$1005,$W7651)=0),N(U7650)+1,N(U7650))</f>
        <v/>
      </c>
      <c r="V7651" s="19">
        <f>IF($B7651="","",TEXT($B7651,"0000"))</f>
        <v/>
      </c>
      <c r="W7651" s="19">
        <f>IF($I7651="","",IF(ISNUMBER($I7651),TEXT($I7651,"0"),$I7651))</f>
        <v/>
      </c>
    </row>
    <row r="7652">
      <c r="B7652" s="25" t="n"/>
      <c r="I7652" s="25" t="n"/>
      <c r="U7652" s="19">
        <f>IF(AND($V7652='設定'!$C$4,COUNTIF('商品マスタ'!$B$6:$B$1005,$W7652)=0),N(U7651)+1,N(U7651))</f>
        <v/>
      </c>
      <c r="V7652" s="19">
        <f>IF($B7652="","",TEXT($B7652,"0000"))</f>
        <v/>
      </c>
      <c r="W7652" s="19">
        <f>IF($I7652="","",IF(ISNUMBER($I7652),TEXT($I7652,"0"),$I7652))</f>
        <v/>
      </c>
    </row>
    <row r="7653">
      <c r="B7653" s="25" t="n"/>
      <c r="I7653" s="25" t="n"/>
      <c r="U7653" s="19">
        <f>IF(AND($V7653='設定'!$C$4,COUNTIF('商品マスタ'!$B$6:$B$1005,$W7653)=0),N(U7652)+1,N(U7652))</f>
        <v/>
      </c>
      <c r="V7653" s="19">
        <f>IF($B7653="","",TEXT($B7653,"0000"))</f>
        <v/>
      </c>
      <c r="W7653" s="19">
        <f>IF($I7653="","",IF(ISNUMBER($I7653),TEXT($I7653,"0"),$I7653))</f>
        <v/>
      </c>
    </row>
    <row r="7654">
      <c r="B7654" s="25" t="n"/>
      <c r="I7654" s="25" t="n"/>
      <c r="U7654" s="19">
        <f>IF(AND($V7654='設定'!$C$4,COUNTIF('商品マスタ'!$B$6:$B$1005,$W7654)=0),N(U7653)+1,N(U7653))</f>
        <v/>
      </c>
      <c r="V7654" s="19">
        <f>IF($B7654="","",TEXT($B7654,"0000"))</f>
        <v/>
      </c>
      <c r="W7654" s="19">
        <f>IF($I7654="","",IF(ISNUMBER($I7654),TEXT($I7654,"0"),$I7654))</f>
        <v/>
      </c>
    </row>
    <row r="7655">
      <c r="B7655" s="25" t="n"/>
      <c r="I7655" s="25" t="n"/>
      <c r="U7655" s="19">
        <f>IF(AND($V7655='設定'!$C$4,COUNTIF('商品マスタ'!$B$6:$B$1005,$W7655)=0),N(U7654)+1,N(U7654))</f>
        <v/>
      </c>
      <c r="V7655" s="19">
        <f>IF($B7655="","",TEXT($B7655,"0000"))</f>
        <v/>
      </c>
      <c r="W7655" s="19">
        <f>IF($I7655="","",IF(ISNUMBER($I7655),TEXT($I7655,"0"),$I7655))</f>
        <v/>
      </c>
    </row>
    <row r="7656">
      <c r="B7656" s="25" t="n"/>
      <c r="I7656" s="25" t="n"/>
      <c r="U7656" s="19">
        <f>IF(AND($V7656='設定'!$C$4,COUNTIF('商品マスタ'!$B$6:$B$1005,$W7656)=0),N(U7655)+1,N(U7655))</f>
        <v/>
      </c>
      <c r="V7656" s="19">
        <f>IF($B7656="","",TEXT($B7656,"0000"))</f>
        <v/>
      </c>
      <c r="W7656" s="19">
        <f>IF($I7656="","",IF(ISNUMBER($I7656),TEXT($I7656,"0"),$I7656))</f>
        <v/>
      </c>
    </row>
    <row r="7657">
      <c r="B7657" s="25" t="n"/>
      <c r="I7657" s="25" t="n"/>
      <c r="U7657" s="19">
        <f>IF(AND($V7657='設定'!$C$4,COUNTIF('商品マスタ'!$B$6:$B$1005,$W7657)=0),N(U7656)+1,N(U7656))</f>
        <v/>
      </c>
      <c r="V7657" s="19">
        <f>IF($B7657="","",TEXT($B7657,"0000"))</f>
        <v/>
      </c>
      <c r="W7657" s="19">
        <f>IF($I7657="","",IF(ISNUMBER($I7657),TEXT($I7657,"0"),$I7657))</f>
        <v/>
      </c>
    </row>
    <row r="7658">
      <c r="B7658" s="25" t="n"/>
      <c r="I7658" s="25" t="n"/>
      <c r="U7658" s="19">
        <f>IF(AND($V7658='設定'!$C$4,COUNTIF('商品マスタ'!$B$6:$B$1005,$W7658)=0),N(U7657)+1,N(U7657))</f>
        <v/>
      </c>
      <c r="V7658" s="19">
        <f>IF($B7658="","",TEXT($B7658,"0000"))</f>
        <v/>
      </c>
      <c r="W7658" s="19">
        <f>IF($I7658="","",IF(ISNUMBER($I7658),TEXT($I7658,"0"),$I7658))</f>
        <v/>
      </c>
    </row>
    <row r="7659">
      <c r="B7659" s="25" t="n"/>
      <c r="I7659" s="25" t="n"/>
      <c r="U7659" s="19">
        <f>IF(AND($V7659='設定'!$C$4,COUNTIF('商品マスタ'!$B$6:$B$1005,$W7659)=0),N(U7658)+1,N(U7658))</f>
        <v/>
      </c>
      <c r="V7659" s="19">
        <f>IF($B7659="","",TEXT($B7659,"0000"))</f>
        <v/>
      </c>
      <c r="W7659" s="19">
        <f>IF($I7659="","",IF(ISNUMBER($I7659),TEXT($I7659,"0"),$I7659))</f>
        <v/>
      </c>
    </row>
    <row r="7660">
      <c r="B7660" s="25" t="n"/>
      <c r="I7660" s="25" t="n"/>
      <c r="U7660" s="19">
        <f>IF(AND($V7660='設定'!$C$4,COUNTIF('商品マスタ'!$B$6:$B$1005,$W7660)=0),N(U7659)+1,N(U7659))</f>
        <v/>
      </c>
      <c r="V7660" s="19">
        <f>IF($B7660="","",TEXT($B7660,"0000"))</f>
        <v/>
      </c>
      <c r="W7660" s="19">
        <f>IF($I7660="","",IF(ISNUMBER($I7660),TEXT($I7660,"0"),$I7660))</f>
        <v/>
      </c>
    </row>
    <row r="7661">
      <c r="B7661" s="25" t="n"/>
      <c r="I7661" s="25" t="n"/>
      <c r="U7661" s="19">
        <f>IF(AND($V7661='設定'!$C$4,COUNTIF('商品マスタ'!$B$6:$B$1005,$W7661)=0),N(U7660)+1,N(U7660))</f>
        <v/>
      </c>
      <c r="V7661" s="19">
        <f>IF($B7661="","",TEXT($B7661,"0000"))</f>
        <v/>
      </c>
      <c r="W7661" s="19">
        <f>IF($I7661="","",IF(ISNUMBER($I7661),TEXT($I7661,"0"),$I7661))</f>
        <v/>
      </c>
    </row>
    <row r="7662">
      <c r="B7662" s="25" t="n"/>
      <c r="I7662" s="25" t="n"/>
      <c r="U7662" s="19">
        <f>IF(AND($V7662='設定'!$C$4,COUNTIF('商品マスタ'!$B$6:$B$1005,$W7662)=0),N(U7661)+1,N(U7661))</f>
        <v/>
      </c>
      <c r="V7662" s="19">
        <f>IF($B7662="","",TEXT($B7662,"0000"))</f>
        <v/>
      </c>
      <c r="W7662" s="19">
        <f>IF($I7662="","",IF(ISNUMBER($I7662),TEXT($I7662,"0"),$I7662))</f>
        <v/>
      </c>
    </row>
    <row r="7663">
      <c r="B7663" s="25" t="n"/>
      <c r="I7663" s="25" t="n"/>
      <c r="U7663" s="19">
        <f>IF(AND($V7663='設定'!$C$4,COUNTIF('商品マスタ'!$B$6:$B$1005,$W7663)=0),N(U7662)+1,N(U7662))</f>
        <v/>
      </c>
      <c r="V7663" s="19">
        <f>IF($B7663="","",TEXT($B7663,"0000"))</f>
        <v/>
      </c>
      <c r="W7663" s="19">
        <f>IF($I7663="","",IF(ISNUMBER($I7663),TEXT($I7663,"0"),$I7663))</f>
        <v/>
      </c>
    </row>
    <row r="7664">
      <c r="B7664" s="25" t="n"/>
      <c r="I7664" s="25" t="n"/>
      <c r="U7664" s="19">
        <f>IF(AND($V7664='設定'!$C$4,COUNTIF('商品マスタ'!$B$6:$B$1005,$W7664)=0),N(U7663)+1,N(U7663))</f>
        <v/>
      </c>
      <c r="V7664" s="19">
        <f>IF($B7664="","",TEXT($B7664,"0000"))</f>
        <v/>
      </c>
      <c r="W7664" s="19">
        <f>IF($I7664="","",IF(ISNUMBER($I7664),TEXT($I7664,"0"),$I7664))</f>
        <v/>
      </c>
    </row>
    <row r="7665">
      <c r="B7665" s="25" t="n"/>
      <c r="I7665" s="25" t="n"/>
      <c r="U7665" s="19">
        <f>IF(AND($V7665='設定'!$C$4,COUNTIF('商品マスタ'!$B$6:$B$1005,$W7665)=0),N(U7664)+1,N(U7664))</f>
        <v/>
      </c>
      <c r="V7665" s="19">
        <f>IF($B7665="","",TEXT($B7665,"0000"))</f>
        <v/>
      </c>
      <c r="W7665" s="19">
        <f>IF($I7665="","",IF(ISNUMBER($I7665),TEXT($I7665,"0"),$I7665))</f>
        <v/>
      </c>
    </row>
    <row r="7666">
      <c r="B7666" s="25" t="n"/>
      <c r="I7666" s="25" t="n"/>
      <c r="U7666" s="19">
        <f>IF(AND($V7666='設定'!$C$4,COUNTIF('商品マスタ'!$B$6:$B$1005,$W7666)=0),N(U7665)+1,N(U7665))</f>
        <v/>
      </c>
      <c r="V7666" s="19">
        <f>IF($B7666="","",TEXT($B7666,"0000"))</f>
        <v/>
      </c>
      <c r="W7666" s="19">
        <f>IF($I7666="","",IF(ISNUMBER($I7666),TEXT($I7666,"0"),$I7666))</f>
        <v/>
      </c>
    </row>
    <row r="7667">
      <c r="B7667" s="25" t="n"/>
      <c r="I7667" s="25" t="n"/>
      <c r="U7667" s="19">
        <f>IF(AND($V7667='設定'!$C$4,COUNTIF('商品マスタ'!$B$6:$B$1005,$W7667)=0),N(U7666)+1,N(U7666))</f>
        <v/>
      </c>
      <c r="V7667" s="19">
        <f>IF($B7667="","",TEXT($B7667,"0000"))</f>
        <v/>
      </c>
      <c r="W7667" s="19">
        <f>IF($I7667="","",IF(ISNUMBER($I7667),TEXT($I7667,"0"),$I7667))</f>
        <v/>
      </c>
    </row>
    <row r="7668">
      <c r="B7668" s="25" t="n"/>
      <c r="I7668" s="25" t="n"/>
      <c r="U7668" s="19">
        <f>IF(AND($V7668='設定'!$C$4,COUNTIF('商品マスタ'!$B$6:$B$1005,$W7668)=0),N(U7667)+1,N(U7667))</f>
        <v/>
      </c>
      <c r="V7668" s="19">
        <f>IF($B7668="","",TEXT($B7668,"0000"))</f>
        <v/>
      </c>
      <c r="W7668" s="19">
        <f>IF($I7668="","",IF(ISNUMBER($I7668),TEXT($I7668,"0"),$I7668))</f>
        <v/>
      </c>
    </row>
    <row r="7669">
      <c r="B7669" s="25" t="n"/>
      <c r="I7669" s="25" t="n"/>
      <c r="U7669" s="19">
        <f>IF(AND($V7669='設定'!$C$4,COUNTIF('商品マスタ'!$B$6:$B$1005,$W7669)=0),N(U7668)+1,N(U7668))</f>
        <v/>
      </c>
      <c r="V7669" s="19">
        <f>IF($B7669="","",TEXT($B7669,"0000"))</f>
        <v/>
      </c>
      <c r="W7669" s="19">
        <f>IF($I7669="","",IF(ISNUMBER($I7669),TEXT($I7669,"0"),$I7669))</f>
        <v/>
      </c>
    </row>
    <row r="7670">
      <c r="B7670" s="25" t="n"/>
      <c r="I7670" s="25" t="n"/>
      <c r="U7670" s="19">
        <f>IF(AND($V7670='設定'!$C$4,COUNTIF('商品マスタ'!$B$6:$B$1005,$W7670)=0),N(U7669)+1,N(U7669))</f>
        <v/>
      </c>
      <c r="V7670" s="19">
        <f>IF($B7670="","",TEXT($B7670,"0000"))</f>
        <v/>
      </c>
      <c r="W7670" s="19">
        <f>IF($I7670="","",IF(ISNUMBER($I7670),TEXT($I7670,"0"),$I7670))</f>
        <v/>
      </c>
    </row>
    <row r="7671">
      <c r="B7671" s="25" t="n"/>
      <c r="I7671" s="25" t="n"/>
      <c r="U7671" s="19">
        <f>IF(AND($V7671='設定'!$C$4,COUNTIF('商品マスタ'!$B$6:$B$1005,$W7671)=0),N(U7670)+1,N(U7670))</f>
        <v/>
      </c>
      <c r="V7671" s="19">
        <f>IF($B7671="","",TEXT($B7671,"0000"))</f>
        <v/>
      </c>
      <c r="W7671" s="19">
        <f>IF($I7671="","",IF(ISNUMBER($I7671),TEXT($I7671,"0"),$I7671))</f>
        <v/>
      </c>
    </row>
    <row r="7672">
      <c r="B7672" s="25" t="n"/>
      <c r="I7672" s="25" t="n"/>
      <c r="U7672" s="19">
        <f>IF(AND($V7672='設定'!$C$4,COUNTIF('商品マスタ'!$B$6:$B$1005,$W7672)=0),N(U7671)+1,N(U7671))</f>
        <v/>
      </c>
      <c r="V7672" s="19">
        <f>IF($B7672="","",TEXT($B7672,"0000"))</f>
        <v/>
      </c>
      <c r="W7672" s="19">
        <f>IF($I7672="","",IF(ISNUMBER($I7672),TEXT($I7672,"0"),$I7672))</f>
        <v/>
      </c>
    </row>
    <row r="7673">
      <c r="B7673" s="25" t="n"/>
      <c r="I7673" s="25" t="n"/>
      <c r="U7673" s="19">
        <f>IF(AND($V7673='設定'!$C$4,COUNTIF('商品マスタ'!$B$6:$B$1005,$W7673)=0),N(U7672)+1,N(U7672))</f>
        <v/>
      </c>
      <c r="V7673" s="19">
        <f>IF($B7673="","",TEXT($B7673,"0000"))</f>
        <v/>
      </c>
      <c r="W7673" s="19">
        <f>IF($I7673="","",IF(ISNUMBER($I7673),TEXT($I7673,"0"),$I7673))</f>
        <v/>
      </c>
    </row>
    <row r="7674">
      <c r="B7674" s="25" t="n"/>
      <c r="I7674" s="25" t="n"/>
      <c r="U7674" s="19">
        <f>IF(AND($V7674='設定'!$C$4,COUNTIF('商品マスタ'!$B$6:$B$1005,$W7674)=0),N(U7673)+1,N(U7673))</f>
        <v/>
      </c>
      <c r="V7674" s="19">
        <f>IF($B7674="","",TEXT($B7674,"0000"))</f>
        <v/>
      </c>
      <c r="W7674" s="19">
        <f>IF($I7674="","",IF(ISNUMBER($I7674),TEXT($I7674,"0"),$I7674))</f>
        <v/>
      </c>
    </row>
    <row r="7675">
      <c r="B7675" s="25" t="n"/>
      <c r="I7675" s="25" t="n"/>
      <c r="U7675" s="19">
        <f>IF(AND($V7675='設定'!$C$4,COUNTIF('商品マスタ'!$B$6:$B$1005,$W7675)=0),N(U7674)+1,N(U7674))</f>
        <v/>
      </c>
      <c r="V7675" s="19">
        <f>IF($B7675="","",TEXT($B7675,"0000"))</f>
        <v/>
      </c>
      <c r="W7675" s="19">
        <f>IF($I7675="","",IF(ISNUMBER($I7675),TEXT($I7675,"0"),$I7675))</f>
        <v/>
      </c>
    </row>
    <row r="7676">
      <c r="B7676" s="25" t="n"/>
      <c r="I7676" s="25" t="n"/>
      <c r="U7676" s="19">
        <f>IF(AND($V7676='設定'!$C$4,COUNTIF('商品マスタ'!$B$6:$B$1005,$W7676)=0),N(U7675)+1,N(U7675))</f>
        <v/>
      </c>
      <c r="V7676" s="19">
        <f>IF($B7676="","",TEXT($B7676,"0000"))</f>
        <v/>
      </c>
      <c r="W7676" s="19">
        <f>IF($I7676="","",IF(ISNUMBER($I7676),TEXT($I7676,"0"),$I7676))</f>
        <v/>
      </c>
    </row>
    <row r="7677">
      <c r="B7677" s="25" t="n"/>
      <c r="I7677" s="25" t="n"/>
      <c r="U7677" s="19">
        <f>IF(AND($V7677='設定'!$C$4,COUNTIF('商品マスタ'!$B$6:$B$1005,$W7677)=0),N(U7676)+1,N(U7676))</f>
        <v/>
      </c>
      <c r="V7677" s="19">
        <f>IF($B7677="","",TEXT($B7677,"0000"))</f>
        <v/>
      </c>
      <c r="W7677" s="19">
        <f>IF($I7677="","",IF(ISNUMBER($I7677),TEXT($I7677,"0"),$I7677))</f>
        <v/>
      </c>
    </row>
    <row r="7678">
      <c r="B7678" s="25" t="n"/>
      <c r="I7678" s="25" t="n"/>
      <c r="U7678" s="19">
        <f>IF(AND($V7678='設定'!$C$4,COUNTIF('商品マスタ'!$B$6:$B$1005,$W7678)=0),N(U7677)+1,N(U7677))</f>
        <v/>
      </c>
      <c r="V7678" s="19">
        <f>IF($B7678="","",TEXT($B7678,"0000"))</f>
        <v/>
      </c>
      <c r="W7678" s="19">
        <f>IF($I7678="","",IF(ISNUMBER($I7678),TEXT($I7678,"0"),$I7678))</f>
        <v/>
      </c>
    </row>
    <row r="7679">
      <c r="B7679" s="25" t="n"/>
      <c r="I7679" s="25" t="n"/>
      <c r="U7679" s="19">
        <f>IF(AND($V7679='設定'!$C$4,COUNTIF('商品マスタ'!$B$6:$B$1005,$W7679)=0),N(U7678)+1,N(U7678))</f>
        <v/>
      </c>
      <c r="V7679" s="19">
        <f>IF($B7679="","",TEXT($B7679,"0000"))</f>
        <v/>
      </c>
      <c r="W7679" s="19">
        <f>IF($I7679="","",IF(ISNUMBER($I7679),TEXT($I7679,"0"),$I7679))</f>
        <v/>
      </c>
    </row>
    <row r="7680">
      <c r="B7680" s="25" t="n"/>
      <c r="I7680" s="25" t="n"/>
      <c r="U7680" s="19">
        <f>IF(AND($V7680='設定'!$C$4,COUNTIF('商品マスタ'!$B$6:$B$1005,$W7680)=0),N(U7679)+1,N(U7679))</f>
        <v/>
      </c>
      <c r="V7680" s="19">
        <f>IF($B7680="","",TEXT($B7680,"0000"))</f>
        <v/>
      </c>
      <c r="W7680" s="19">
        <f>IF($I7680="","",IF(ISNUMBER($I7680),TEXT($I7680,"0"),$I7680))</f>
        <v/>
      </c>
    </row>
    <row r="7681">
      <c r="B7681" s="25" t="n"/>
      <c r="I7681" s="25" t="n"/>
      <c r="U7681" s="19">
        <f>IF(AND($V7681='設定'!$C$4,COUNTIF('商品マスタ'!$B$6:$B$1005,$W7681)=0),N(U7680)+1,N(U7680))</f>
        <v/>
      </c>
      <c r="V7681" s="19">
        <f>IF($B7681="","",TEXT($B7681,"0000"))</f>
        <v/>
      </c>
      <c r="W7681" s="19">
        <f>IF($I7681="","",IF(ISNUMBER($I7681),TEXT($I7681,"0"),$I7681))</f>
        <v/>
      </c>
    </row>
    <row r="7682">
      <c r="B7682" s="25" t="n"/>
      <c r="I7682" s="25" t="n"/>
      <c r="U7682" s="19">
        <f>IF(AND($V7682='設定'!$C$4,COUNTIF('商品マスタ'!$B$6:$B$1005,$W7682)=0),N(U7681)+1,N(U7681))</f>
        <v/>
      </c>
      <c r="V7682" s="19">
        <f>IF($B7682="","",TEXT($B7682,"0000"))</f>
        <v/>
      </c>
      <c r="W7682" s="19">
        <f>IF($I7682="","",IF(ISNUMBER($I7682),TEXT($I7682,"0"),$I7682))</f>
        <v/>
      </c>
    </row>
    <row r="7683">
      <c r="B7683" s="25" t="n"/>
      <c r="I7683" s="25" t="n"/>
      <c r="U7683" s="19">
        <f>IF(AND($V7683='設定'!$C$4,COUNTIF('商品マスタ'!$B$6:$B$1005,$W7683)=0),N(U7682)+1,N(U7682))</f>
        <v/>
      </c>
      <c r="V7683" s="19">
        <f>IF($B7683="","",TEXT($B7683,"0000"))</f>
        <v/>
      </c>
      <c r="W7683" s="19">
        <f>IF($I7683="","",IF(ISNUMBER($I7683),TEXT($I7683,"0"),$I7683))</f>
        <v/>
      </c>
    </row>
    <row r="7684">
      <c r="B7684" s="25" t="n"/>
      <c r="I7684" s="25" t="n"/>
      <c r="U7684" s="19">
        <f>IF(AND($V7684='設定'!$C$4,COUNTIF('商品マスタ'!$B$6:$B$1005,$W7684)=0),N(U7683)+1,N(U7683))</f>
        <v/>
      </c>
      <c r="V7684" s="19">
        <f>IF($B7684="","",TEXT($B7684,"0000"))</f>
        <v/>
      </c>
      <c r="W7684" s="19">
        <f>IF($I7684="","",IF(ISNUMBER($I7684),TEXT($I7684,"0"),$I7684))</f>
        <v/>
      </c>
    </row>
    <row r="7685">
      <c r="B7685" s="25" t="n"/>
      <c r="I7685" s="25" t="n"/>
      <c r="U7685" s="19">
        <f>IF(AND($V7685='設定'!$C$4,COUNTIF('商品マスタ'!$B$6:$B$1005,$W7685)=0),N(U7684)+1,N(U7684))</f>
        <v/>
      </c>
      <c r="V7685" s="19">
        <f>IF($B7685="","",TEXT($B7685,"0000"))</f>
        <v/>
      </c>
      <c r="W7685" s="19">
        <f>IF($I7685="","",IF(ISNUMBER($I7685),TEXT($I7685,"0"),$I7685))</f>
        <v/>
      </c>
    </row>
    <row r="7686">
      <c r="B7686" s="25" t="n"/>
      <c r="I7686" s="25" t="n"/>
      <c r="U7686" s="19">
        <f>IF(AND($V7686='設定'!$C$4,COUNTIF('商品マスタ'!$B$6:$B$1005,$W7686)=0),N(U7685)+1,N(U7685))</f>
        <v/>
      </c>
      <c r="V7686" s="19">
        <f>IF($B7686="","",TEXT($B7686,"0000"))</f>
        <v/>
      </c>
      <c r="W7686" s="19">
        <f>IF($I7686="","",IF(ISNUMBER($I7686),TEXT($I7686,"0"),$I7686))</f>
        <v/>
      </c>
    </row>
    <row r="7687">
      <c r="B7687" s="25" t="n"/>
      <c r="I7687" s="25" t="n"/>
      <c r="U7687" s="19">
        <f>IF(AND($V7687='設定'!$C$4,COUNTIF('商品マスタ'!$B$6:$B$1005,$W7687)=0),N(U7686)+1,N(U7686))</f>
        <v/>
      </c>
      <c r="V7687" s="19">
        <f>IF($B7687="","",TEXT($B7687,"0000"))</f>
        <v/>
      </c>
      <c r="W7687" s="19">
        <f>IF($I7687="","",IF(ISNUMBER($I7687),TEXT($I7687,"0"),$I7687))</f>
        <v/>
      </c>
    </row>
    <row r="7688">
      <c r="B7688" s="25" t="n"/>
      <c r="I7688" s="25" t="n"/>
      <c r="U7688" s="19">
        <f>IF(AND($V7688='設定'!$C$4,COUNTIF('商品マスタ'!$B$6:$B$1005,$W7688)=0),N(U7687)+1,N(U7687))</f>
        <v/>
      </c>
      <c r="V7688" s="19">
        <f>IF($B7688="","",TEXT($B7688,"0000"))</f>
        <v/>
      </c>
      <c r="W7688" s="19">
        <f>IF($I7688="","",IF(ISNUMBER($I7688),TEXT($I7688,"0"),$I7688))</f>
        <v/>
      </c>
    </row>
    <row r="7689">
      <c r="B7689" s="25" t="n"/>
      <c r="I7689" s="25" t="n"/>
      <c r="U7689" s="19">
        <f>IF(AND($V7689='設定'!$C$4,COUNTIF('商品マスタ'!$B$6:$B$1005,$W7689)=0),N(U7688)+1,N(U7688))</f>
        <v/>
      </c>
      <c r="V7689" s="19">
        <f>IF($B7689="","",TEXT($B7689,"0000"))</f>
        <v/>
      </c>
      <c r="W7689" s="19">
        <f>IF($I7689="","",IF(ISNUMBER($I7689),TEXT($I7689,"0"),$I7689))</f>
        <v/>
      </c>
    </row>
    <row r="7690">
      <c r="B7690" s="25" t="n"/>
      <c r="I7690" s="25" t="n"/>
      <c r="U7690" s="19">
        <f>IF(AND($V7690='設定'!$C$4,COUNTIF('商品マスタ'!$B$6:$B$1005,$W7690)=0),N(U7689)+1,N(U7689))</f>
        <v/>
      </c>
      <c r="V7690" s="19">
        <f>IF($B7690="","",TEXT($B7690,"0000"))</f>
        <v/>
      </c>
      <c r="W7690" s="19">
        <f>IF($I7690="","",IF(ISNUMBER($I7690),TEXT($I7690,"0"),$I7690))</f>
        <v/>
      </c>
    </row>
    <row r="7691">
      <c r="B7691" s="25" t="n"/>
      <c r="I7691" s="25" t="n"/>
      <c r="U7691" s="19">
        <f>IF(AND($V7691='設定'!$C$4,COUNTIF('商品マスタ'!$B$6:$B$1005,$W7691)=0),N(U7690)+1,N(U7690))</f>
        <v/>
      </c>
      <c r="V7691" s="19">
        <f>IF($B7691="","",TEXT($B7691,"0000"))</f>
        <v/>
      </c>
      <c r="W7691" s="19">
        <f>IF($I7691="","",IF(ISNUMBER($I7691),TEXT($I7691,"0"),$I7691))</f>
        <v/>
      </c>
    </row>
    <row r="7692">
      <c r="B7692" s="25" t="n"/>
      <c r="I7692" s="25" t="n"/>
      <c r="U7692" s="19">
        <f>IF(AND($V7692='設定'!$C$4,COUNTIF('商品マスタ'!$B$6:$B$1005,$W7692)=0),N(U7691)+1,N(U7691))</f>
        <v/>
      </c>
      <c r="V7692" s="19">
        <f>IF($B7692="","",TEXT($B7692,"0000"))</f>
        <v/>
      </c>
      <c r="W7692" s="19">
        <f>IF($I7692="","",IF(ISNUMBER($I7692),TEXT($I7692,"0"),$I7692))</f>
        <v/>
      </c>
    </row>
    <row r="7693">
      <c r="B7693" s="25" t="n"/>
      <c r="I7693" s="25" t="n"/>
      <c r="U7693" s="19">
        <f>IF(AND($V7693='設定'!$C$4,COUNTIF('商品マスタ'!$B$6:$B$1005,$W7693)=0),N(U7692)+1,N(U7692))</f>
        <v/>
      </c>
      <c r="V7693" s="19">
        <f>IF($B7693="","",TEXT($B7693,"0000"))</f>
        <v/>
      </c>
      <c r="W7693" s="19">
        <f>IF($I7693="","",IF(ISNUMBER($I7693),TEXT($I7693,"0"),$I7693))</f>
        <v/>
      </c>
    </row>
    <row r="7694">
      <c r="B7694" s="25" t="n"/>
      <c r="I7694" s="25" t="n"/>
      <c r="U7694" s="19">
        <f>IF(AND($V7694='設定'!$C$4,COUNTIF('商品マスタ'!$B$6:$B$1005,$W7694)=0),N(U7693)+1,N(U7693))</f>
        <v/>
      </c>
      <c r="V7694" s="19">
        <f>IF($B7694="","",TEXT($B7694,"0000"))</f>
        <v/>
      </c>
      <c r="W7694" s="19">
        <f>IF($I7694="","",IF(ISNUMBER($I7694),TEXT($I7694,"0"),$I7694))</f>
        <v/>
      </c>
    </row>
    <row r="7695">
      <c r="B7695" s="25" t="n"/>
      <c r="I7695" s="25" t="n"/>
      <c r="U7695" s="19">
        <f>IF(AND($V7695='設定'!$C$4,COUNTIF('商品マスタ'!$B$6:$B$1005,$W7695)=0),N(U7694)+1,N(U7694))</f>
        <v/>
      </c>
      <c r="V7695" s="19">
        <f>IF($B7695="","",TEXT($B7695,"0000"))</f>
        <v/>
      </c>
      <c r="W7695" s="19">
        <f>IF($I7695="","",IF(ISNUMBER($I7695),TEXT($I7695,"0"),$I7695))</f>
        <v/>
      </c>
    </row>
    <row r="7696">
      <c r="B7696" s="25" t="n"/>
      <c r="I7696" s="25" t="n"/>
      <c r="U7696" s="19">
        <f>IF(AND($V7696='設定'!$C$4,COUNTIF('商品マスタ'!$B$6:$B$1005,$W7696)=0),N(U7695)+1,N(U7695))</f>
        <v/>
      </c>
      <c r="V7696" s="19">
        <f>IF($B7696="","",TEXT($B7696,"0000"))</f>
        <v/>
      </c>
      <c r="W7696" s="19">
        <f>IF($I7696="","",IF(ISNUMBER($I7696),TEXT($I7696,"0"),$I7696))</f>
        <v/>
      </c>
    </row>
    <row r="7697">
      <c r="B7697" s="25" t="n"/>
      <c r="I7697" s="25" t="n"/>
      <c r="U7697" s="19">
        <f>IF(AND($V7697='設定'!$C$4,COUNTIF('商品マスタ'!$B$6:$B$1005,$W7697)=0),N(U7696)+1,N(U7696))</f>
        <v/>
      </c>
      <c r="V7697" s="19">
        <f>IF($B7697="","",TEXT($B7697,"0000"))</f>
        <v/>
      </c>
      <c r="W7697" s="19">
        <f>IF($I7697="","",IF(ISNUMBER($I7697),TEXT($I7697,"0"),$I7697))</f>
        <v/>
      </c>
    </row>
    <row r="7698">
      <c r="B7698" s="25" t="n"/>
      <c r="I7698" s="25" t="n"/>
      <c r="U7698" s="19">
        <f>IF(AND($V7698='設定'!$C$4,COUNTIF('商品マスタ'!$B$6:$B$1005,$W7698)=0),N(U7697)+1,N(U7697))</f>
        <v/>
      </c>
      <c r="V7698" s="19">
        <f>IF($B7698="","",TEXT($B7698,"0000"))</f>
        <v/>
      </c>
      <c r="W7698" s="19">
        <f>IF($I7698="","",IF(ISNUMBER($I7698),TEXT($I7698,"0"),$I7698))</f>
        <v/>
      </c>
    </row>
    <row r="7699">
      <c r="B7699" s="25" t="n"/>
      <c r="I7699" s="25" t="n"/>
      <c r="U7699" s="19">
        <f>IF(AND($V7699='設定'!$C$4,COUNTIF('商品マスタ'!$B$6:$B$1005,$W7699)=0),N(U7698)+1,N(U7698))</f>
        <v/>
      </c>
      <c r="V7699" s="19">
        <f>IF($B7699="","",TEXT($B7699,"0000"))</f>
        <v/>
      </c>
      <c r="W7699" s="19">
        <f>IF($I7699="","",IF(ISNUMBER($I7699),TEXT($I7699,"0"),$I7699))</f>
        <v/>
      </c>
    </row>
    <row r="7700">
      <c r="B7700" s="25" t="n"/>
      <c r="I7700" s="25" t="n"/>
      <c r="U7700" s="19">
        <f>IF(AND($V7700='設定'!$C$4,COUNTIF('商品マスタ'!$B$6:$B$1005,$W7700)=0),N(U7699)+1,N(U7699))</f>
        <v/>
      </c>
      <c r="V7700" s="19">
        <f>IF($B7700="","",TEXT($B7700,"0000"))</f>
        <v/>
      </c>
      <c r="W7700" s="19">
        <f>IF($I7700="","",IF(ISNUMBER($I7700),TEXT($I7700,"0"),$I7700))</f>
        <v/>
      </c>
    </row>
    <row r="7701">
      <c r="B7701" s="25" t="n"/>
      <c r="I7701" s="25" t="n"/>
      <c r="U7701" s="19">
        <f>IF(AND($V7701='設定'!$C$4,COUNTIF('商品マスタ'!$B$6:$B$1005,$W7701)=0),N(U7700)+1,N(U7700))</f>
        <v/>
      </c>
      <c r="V7701" s="19">
        <f>IF($B7701="","",TEXT($B7701,"0000"))</f>
        <v/>
      </c>
      <c r="W7701" s="19">
        <f>IF($I7701="","",IF(ISNUMBER($I7701),TEXT($I7701,"0"),$I7701))</f>
        <v/>
      </c>
    </row>
    <row r="7702">
      <c r="B7702" s="25" t="n"/>
      <c r="I7702" s="25" t="n"/>
      <c r="U7702" s="19">
        <f>IF(AND($V7702='設定'!$C$4,COUNTIF('商品マスタ'!$B$6:$B$1005,$W7702)=0),N(U7701)+1,N(U7701))</f>
        <v/>
      </c>
      <c r="V7702" s="19">
        <f>IF($B7702="","",TEXT($B7702,"0000"))</f>
        <v/>
      </c>
      <c r="W7702" s="19">
        <f>IF($I7702="","",IF(ISNUMBER($I7702),TEXT($I7702,"0"),$I7702))</f>
        <v/>
      </c>
    </row>
    <row r="7703">
      <c r="B7703" s="25" t="n"/>
      <c r="I7703" s="25" t="n"/>
      <c r="U7703" s="19">
        <f>IF(AND($V7703='設定'!$C$4,COUNTIF('商品マスタ'!$B$6:$B$1005,$W7703)=0),N(U7702)+1,N(U7702))</f>
        <v/>
      </c>
      <c r="V7703" s="19">
        <f>IF($B7703="","",TEXT($B7703,"0000"))</f>
        <v/>
      </c>
      <c r="W7703" s="19">
        <f>IF($I7703="","",IF(ISNUMBER($I7703),TEXT($I7703,"0"),$I7703))</f>
        <v/>
      </c>
    </row>
    <row r="7704">
      <c r="B7704" s="25" t="n"/>
      <c r="I7704" s="25" t="n"/>
      <c r="U7704" s="19">
        <f>IF(AND($V7704='設定'!$C$4,COUNTIF('商品マスタ'!$B$6:$B$1005,$W7704)=0),N(U7703)+1,N(U7703))</f>
        <v/>
      </c>
      <c r="V7704" s="19">
        <f>IF($B7704="","",TEXT($B7704,"0000"))</f>
        <v/>
      </c>
      <c r="W7704" s="19">
        <f>IF($I7704="","",IF(ISNUMBER($I7704),TEXT($I7704,"0"),$I7704))</f>
        <v/>
      </c>
    </row>
    <row r="7705">
      <c r="B7705" s="25" t="n"/>
      <c r="I7705" s="25" t="n"/>
      <c r="U7705" s="19">
        <f>IF(AND($V7705='設定'!$C$4,COUNTIF('商品マスタ'!$B$6:$B$1005,$W7705)=0),N(U7704)+1,N(U7704))</f>
        <v/>
      </c>
      <c r="V7705" s="19">
        <f>IF($B7705="","",TEXT($B7705,"0000"))</f>
        <v/>
      </c>
      <c r="W7705" s="19">
        <f>IF($I7705="","",IF(ISNUMBER($I7705),TEXT($I7705,"0"),$I7705))</f>
        <v/>
      </c>
    </row>
    <row r="7706">
      <c r="B7706" s="25" t="n"/>
      <c r="I7706" s="25" t="n"/>
      <c r="U7706" s="19">
        <f>IF(AND($V7706='設定'!$C$4,COUNTIF('商品マスタ'!$B$6:$B$1005,$W7706)=0),N(U7705)+1,N(U7705))</f>
        <v/>
      </c>
      <c r="V7706" s="19">
        <f>IF($B7706="","",TEXT($B7706,"0000"))</f>
        <v/>
      </c>
      <c r="W7706" s="19">
        <f>IF($I7706="","",IF(ISNUMBER($I7706),TEXT($I7706,"0"),$I7706))</f>
        <v/>
      </c>
    </row>
    <row r="7707">
      <c r="B7707" s="25" t="n"/>
      <c r="I7707" s="25" t="n"/>
      <c r="U7707" s="19">
        <f>IF(AND($V7707='設定'!$C$4,COUNTIF('商品マスタ'!$B$6:$B$1005,$W7707)=0),N(U7706)+1,N(U7706))</f>
        <v/>
      </c>
      <c r="V7707" s="19">
        <f>IF($B7707="","",TEXT($B7707,"0000"))</f>
        <v/>
      </c>
      <c r="W7707" s="19">
        <f>IF($I7707="","",IF(ISNUMBER($I7707),TEXT($I7707,"0"),$I7707))</f>
        <v/>
      </c>
    </row>
    <row r="7708">
      <c r="B7708" s="25" t="n"/>
      <c r="I7708" s="25" t="n"/>
      <c r="U7708" s="19">
        <f>IF(AND($V7708='設定'!$C$4,COUNTIF('商品マスタ'!$B$6:$B$1005,$W7708)=0),N(U7707)+1,N(U7707))</f>
        <v/>
      </c>
      <c r="V7708" s="19">
        <f>IF($B7708="","",TEXT($B7708,"0000"))</f>
        <v/>
      </c>
      <c r="W7708" s="19">
        <f>IF($I7708="","",IF(ISNUMBER($I7708),TEXT($I7708,"0"),$I7708))</f>
        <v/>
      </c>
    </row>
    <row r="7709">
      <c r="B7709" s="25" t="n"/>
      <c r="I7709" s="25" t="n"/>
      <c r="U7709" s="19">
        <f>IF(AND($V7709='設定'!$C$4,COUNTIF('商品マスタ'!$B$6:$B$1005,$W7709)=0),N(U7708)+1,N(U7708))</f>
        <v/>
      </c>
      <c r="V7709" s="19">
        <f>IF($B7709="","",TEXT($B7709,"0000"))</f>
        <v/>
      </c>
      <c r="W7709" s="19">
        <f>IF($I7709="","",IF(ISNUMBER($I7709),TEXT($I7709,"0"),$I7709))</f>
        <v/>
      </c>
    </row>
    <row r="7710">
      <c r="B7710" s="25" t="n"/>
      <c r="I7710" s="25" t="n"/>
      <c r="U7710" s="19">
        <f>IF(AND($V7710='設定'!$C$4,COUNTIF('商品マスタ'!$B$6:$B$1005,$W7710)=0),N(U7709)+1,N(U7709))</f>
        <v/>
      </c>
      <c r="V7710" s="19">
        <f>IF($B7710="","",TEXT($B7710,"0000"))</f>
        <v/>
      </c>
      <c r="W7710" s="19">
        <f>IF($I7710="","",IF(ISNUMBER($I7710),TEXT($I7710,"0"),$I7710))</f>
        <v/>
      </c>
    </row>
    <row r="7711">
      <c r="B7711" s="25" t="n"/>
      <c r="I7711" s="25" t="n"/>
      <c r="U7711" s="19">
        <f>IF(AND($V7711='設定'!$C$4,COUNTIF('商品マスタ'!$B$6:$B$1005,$W7711)=0),N(U7710)+1,N(U7710))</f>
        <v/>
      </c>
      <c r="V7711" s="19">
        <f>IF($B7711="","",TEXT($B7711,"0000"))</f>
        <v/>
      </c>
      <c r="W7711" s="19">
        <f>IF($I7711="","",IF(ISNUMBER($I7711),TEXT($I7711,"0"),$I7711))</f>
        <v/>
      </c>
    </row>
    <row r="7712">
      <c r="B7712" s="25" t="n"/>
      <c r="I7712" s="25" t="n"/>
      <c r="U7712" s="19">
        <f>IF(AND($V7712='設定'!$C$4,COUNTIF('商品マスタ'!$B$6:$B$1005,$W7712)=0),N(U7711)+1,N(U7711))</f>
        <v/>
      </c>
      <c r="V7712" s="19">
        <f>IF($B7712="","",TEXT($B7712,"0000"))</f>
        <v/>
      </c>
      <c r="W7712" s="19">
        <f>IF($I7712="","",IF(ISNUMBER($I7712),TEXT($I7712,"0"),$I7712))</f>
        <v/>
      </c>
    </row>
    <row r="7713">
      <c r="B7713" s="25" t="n"/>
      <c r="I7713" s="25" t="n"/>
      <c r="U7713" s="19">
        <f>IF(AND($V7713='設定'!$C$4,COUNTIF('商品マスタ'!$B$6:$B$1005,$W7713)=0),N(U7712)+1,N(U7712))</f>
        <v/>
      </c>
      <c r="V7713" s="19">
        <f>IF($B7713="","",TEXT($B7713,"0000"))</f>
        <v/>
      </c>
      <c r="W7713" s="19">
        <f>IF($I7713="","",IF(ISNUMBER($I7713),TEXT($I7713,"0"),$I7713))</f>
        <v/>
      </c>
    </row>
    <row r="7714">
      <c r="B7714" s="25" t="n"/>
      <c r="I7714" s="25" t="n"/>
      <c r="U7714" s="19">
        <f>IF(AND($V7714='設定'!$C$4,COUNTIF('商品マスタ'!$B$6:$B$1005,$W7714)=0),N(U7713)+1,N(U7713))</f>
        <v/>
      </c>
      <c r="V7714" s="19">
        <f>IF($B7714="","",TEXT($B7714,"0000"))</f>
        <v/>
      </c>
      <c r="W7714" s="19">
        <f>IF($I7714="","",IF(ISNUMBER($I7714),TEXT($I7714,"0"),$I7714))</f>
        <v/>
      </c>
    </row>
    <row r="7715">
      <c r="B7715" s="25" t="n"/>
      <c r="I7715" s="25" t="n"/>
      <c r="U7715" s="19">
        <f>IF(AND($V7715='設定'!$C$4,COUNTIF('商品マスタ'!$B$6:$B$1005,$W7715)=0),N(U7714)+1,N(U7714))</f>
        <v/>
      </c>
      <c r="V7715" s="19">
        <f>IF($B7715="","",TEXT($B7715,"0000"))</f>
        <v/>
      </c>
      <c r="W7715" s="19">
        <f>IF($I7715="","",IF(ISNUMBER($I7715),TEXT($I7715,"0"),$I7715))</f>
        <v/>
      </c>
    </row>
    <row r="7716">
      <c r="B7716" s="25" t="n"/>
      <c r="I7716" s="25" t="n"/>
      <c r="U7716" s="19">
        <f>IF(AND($V7716='設定'!$C$4,COUNTIF('商品マスタ'!$B$6:$B$1005,$W7716)=0),N(U7715)+1,N(U7715))</f>
        <v/>
      </c>
      <c r="V7716" s="19">
        <f>IF($B7716="","",TEXT($B7716,"0000"))</f>
        <v/>
      </c>
      <c r="W7716" s="19">
        <f>IF($I7716="","",IF(ISNUMBER($I7716),TEXT($I7716,"0"),$I7716))</f>
        <v/>
      </c>
    </row>
    <row r="7717">
      <c r="B7717" s="25" t="n"/>
      <c r="I7717" s="25" t="n"/>
      <c r="U7717" s="19">
        <f>IF(AND($V7717='設定'!$C$4,COUNTIF('商品マスタ'!$B$6:$B$1005,$W7717)=0),N(U7716)+1,N(U7716))</f>
        <v/>
      </c>
      <c r="V7717" s="19">
        <f>IF($B7717="","",TEXT($B7717,"0000"))</f>
        <v/>
      </c>
      <c r="W7717" s="19">
        <f>IF($I7717="","",IF(ISNUMBER($I7717),TEXT($I7717,"0"),$I7717))</f>
        <v/>
      </c>
    </row>
    <row r="7718">
      <c r="B7718" s="25" t="n"/>
      <c r="I7718" s="25" t="n"/>
      <c r="U7718" s="19">
        <f>IF(AND($V7718='設定'!$C$4,COUNTIF('商品マスタ'!$B$6:$B$1005,$W7718)=0),N(U7717)+1,N(U7717))</f>
        <v/>
      </c>
      <c r="V7718" s="19">
        <f>IF($B7718="","",TEXT($B7718,"0000"))</f>
        <v/>
      </c>
      <c r="W7718" s="19">
        <f>IF($I7718="","",IF(ISNUMBER($I7718),TEXT($I7718,"0"),$I7718))</f>
        <v/>
      </c>
    </row>
    <row r="7719">
      <c r="B7719" s="25" t="n"/>
      <c r="I7719" s="25" t="n"/>
      <c r="U7719" s="19">
        <f>IF(AND($V7719='設定'!$C$4,COUNTIF('商品マスタ'!$B$6:$B$1005,$W7719)=0),N(U7718)+1,N(U7718))</f>
        <v/>
      </c>
      <c r="V7719" s="19">
        <f>IF($B7719="","",TEXT($B7719,"0000"))</f>
        <v/>
      </c>
      <c r="W7719" s="19">
        <f>IF($I7719="","",IF(ISNUMBER($I7719),TEXT($I7719,"0"),$I7719))</f>
        <v/>
      </c>
    </row>
    <row r="7720">
      <c r="B7720" s="25" t="n"/>
      <c r="I7720" s="25" t="n"/>
      <c r="U7720" s="19">
        <f>IF(AND($V7720='設定'!$C$4,COUNTIF('商品マスタ'!$B$6:$B$1005,$W7720)=0),N(U7719)+1,N(U7719))</f>
        <v/>
      </c>
      <c r="V7720" s="19">
        <f>IF($B7720="","",TEXT($B7720,"0000"))</f>
        <v/>
      </c>
      <c r="W7720" s="19">
        <f>IF($I7720="","",IF(ISNUMBER($I7720),TEXT($I7720,"0"),$I7720))</f>
        <v/>
      </c>
    </row>
    <row r="7721">
      <c r="B7721" s="25" t="n"/>
      <c r="I7721" s="25" t="n"/>
      <c r="U7721" s="19">
        <f>IF(AND($V7721='設定'!$C$4,COUNTIF('商品マスタ'!$B$6:$B$1005,$W7721)=0),N(U7720)+1,N(U7720))</f>
        <v/>
      </c>
      <c r="V7721" s="19">
        <f>IF($B7721="","",TEXT($B7721,"0000"))</f>
        <v/>
      </c>
      <c r="W7721" s="19">
        <f>IF($I7721="","",IF(ISNUMBER($I7721),TEXT($I7721,"0"),$I7721))</f>
        <v/>
      </c>
    </row>
    <row r="7722">
      <c r="B7722" s="25" t="n"/>
      <c r="I7722" s="25" t="n"/>
      <c r="U7722" s="19">
        <f>IF(AND($V7722='設定'!$C$4,COUNTIF('商品マスタ'!$B$6:$B$1005,$W7722)=0),N(U7721)+1,N(U7721))</f>
        <v/>
      </c>
      <c r="V7722" s="19">
        <f>IF($B7722="","",TEXT($B7722,"0000"))</f>
        <v/>
      </c>
      <c r="W7722" s="19">
        <f>IF($I7722="","",IF(ISNUMBER($I7722),TEXT($I7722,"0"),$I7722))</f>
        <v/>
      </c>
    </row>
    <row r="7723">
      <c r="B7723" s="25" t="n"/>
      <c r="I7723" s="25" t="n"/>
      <c r="U7723" s="19">
        <f>IF(AND($V7723='設定'!$C$4,COUNTIF('商品マスタ'!$B$6:$B$1005,$W7723)=0),N(U7722)+1,N(U7722))</f>
        <v/>
      </c>
      <c r="V7723" s="19">
        <f>IF($B7723="","",TEXT($B7723,"0000"))</f>
        <v/>
      </c>
      <c r="W7723" s="19">
        <f>IF($I7723="","",IF(ISNUMBER($I7723),TEXT($I7723,"0"),$I7723))</f>
        <v/>
      </c>
    </row>
    <row r="7724">
      <c r="B7724" s="25" t="n"/>
      <c r="I7724" s="25" t="n"/>
      <c r="U7724" s="19">
        <f>IF(AND($V7724='設定'!$C$4,COUNTIF('商品マスタ'!$B$6:$B$1005,$W7724)=0),N(U7723)+1,N(U7723))</f>
        <v/>
      </c>
      <c r="V7724" s="19">
        <f>IF($B7724="","",TEXT($B7724,"0000"))</f>
        <v/>
      </c>
      <c r="W7724" s="19">
        <f>IF($I7724="","",IF(ISNUMBER($I7724),TEXT($I7724,"0"),$I7724))</f>
        <v/>
      </c>
    </row>
    <row r="7725">
      <c r="B7725" s="25" t="n"/>
      <c r="I7725" s="25" t="n"/>
      <c r="U7725" s="19">
        <f>IF(AND($V7725='設定'!$C$4,COUNTIF('商品マスタ'!$B$6:$B$1005,$W7725)=0),N(U7724)+1,N(U7724))</f>
        <v/>
      </c>
      <c r="V7725" s="19">
        <f>IF($B7725="","",TEXT($B7725,"0000"))</f>
        <v/>
      </c>
      <c r="W7725" s="19">
        <f>IF($I7725="","",IF(ISNUMBER($I7725),TEXT($I7725,"0"),$I7725))</f>
        <v/>
      </c>
    </row>
    <row r="7726">
      <c r="B7726" s="25" t="n"/>
      <c r="I7726" s="25" t="n"/>
      <c r="U7726" s="19">
        <f>IF(AND($V7726='設定'!$C$4,COUNTIF('商品マスタ'!$B$6:$B$1005,$W7726)=0),N(U7725)+1,N(U7725))</f>
        <v/>
      </c>
      <c r="V7726" s="19">
        <f>IF($B7726="","",TEXT($B7726,"0000"))</f>
        <v/>
      </c>
      <c r="W7726" s="19">
        <f>IF($I7726="","",IF(ISNUMBER($I7726),TEXT($I7726,"0"),$I7726))</f>
        <v/>
      </c>
    </row>
    <row r="7727">
      <c r="B7727" s="25" t="n"/>
      <c r="I7727" s="25" t="n"/>
      <c r="U7727" s="19">
        <f>IF(AND($V7727='設定'!$C$4,COUNTIF('商品マスタ'!$B$6:$B$1005,$W7727)=0),N(U7726)+1,N(U7726))</f>
        <v/>
      </c>
      <c r="V7727" s="19">
        <f>IF($B7727="","",TEXT($B7727,"0000"))</f>
        <v/>
      </c>
      <c r="W7727" s="19">
        <f>IF($I7727="","",IF(ISNUMBER($I7727),TEXT($I7727,"0"),$I7727))</f>
        <v/>
      </c>
    </row>
    <row r="7728">
      <c r="B7728" s="25" t="n"/>
      <c r="I7728" s="25" t="n"/>
      <c r="U7728" s="19">
        <f>IF(AND($V7728='設定'!$C$4,COUNTIF('商品マスタ'!$B$6:$B$1005,$W7728)=0),N(U7727)+1,N(U7727))</f>
        <v/>
      </c>
      <c r="V7728" s="19">
        <f>IF($B7728="","",TEXT($B7728,"0000"))</f>
        <v/>
      </c>
      <c r="W7728" s="19">
        <f>IF($I7728="","",IF(ISNUMBER($I7728),TEXT($I7728,"0"),$I7728))</f>
        <v/>
      </c>
    </row>
    <row r="7729">
      <c r="B7729" s="25" t="n"/>
      <c r="I7729" s="25" t="n"/>
      <c r="U7729" s="19">
        <f>IF(AND($V7729='設定'!$C$4,COUNTIF('商品マスタ'!$B$6:$B$1005,$W7729)=0),N(U7728)+1,N(U7728))</f>
        <v/>
      </c>
      <c r="V7729" s="19">
        <f>IF($B7729="","",TEXT($B7729,"0000"))</f>
        <v/>
      </c>
      <c r="W7729" s="19">
        <f>IF($I7729="","",IF(ISNUMBER($I7729),TEXT($I7729,"0"),$I7729))</f>
        <v/>
      </c>
    </row>
    <row r="7730">
      <c r="B7730" s="25" t="n"/>
      <c r="I7730" s="25" t="n"/>
      <c r="U7730" s="19">
        <f>IF(AND($V7730='設定'!$C$4,COUNTIF('商品マスタ'!$B$6:$B$1005,$W7730)=0),N(U7729)+1,N(U7729))</f>
        <v/>
      </c>
      <c r="V7730" s="19">
        <f>IF($B7730="","",TEXT($B7730,"0000"))</f>
        <v/>
      </c>
      <c r="W7730" s="19">
        <f>IF($I7730="","",IF(ISNUMBER($I7730),TEXT($I7730,"0"),$I7730))</f>
        <v/>
      </c>
    </row>
    <row r="7731">
      <c r="B7731" s="25" t="n"/>
      <c r="I7731" s="25" t="n"/>
      <c r="U7731" s="19">
        <f>IF(AND($V7731='設定'!$C$4,COUNTIF('商品マスタ'!$B$6:$B$1005,$W7731)=0),N(U7730)+1,N(U7730))</f>
        <v/>
      </c>
      <c r="V7731" s="19">
        <f>IF($B7731="","",TEXT($B7731,"0000"))</f>
        <v/>
      </c>
      <c r="W7731" s="19">
        <f>IF($I7731="","",IF(ISNUMBER($I7731),TEXT($I7731,"0"),$I7731))</f>
        <v/>
      </c>
    </row>
    <row r="7732">
      <c r="B7732" s="25" t="n"/>
      <c r="I7732" s="25" t="n"/>
      <c r="U7732" s="19">
        <f>IF(AND($V7732='設定'!$C$4,COUNTIF('商品マスタ'!$B$6:$B$1005,$W7732)=0),N(U7731)+1,N(U7731))</f>
        <v/>
      </c>
      <c r="V7732" s="19">
        <f>IF($B7732="","",TEXT($B7732,"0000"))</f>
        <v/>
      </c>
      <c r="W7732" s="19">
        <f>IF($I7732="","",IF(ISNUMBER($I7732),TEXT($I7732,"0"),$I7732))</f>
        <v/>
      </c>
    </row>
    <row r="7733">
      <c r="B7733" s="25" t="n"/>
      <c r="I7733" s="25" t="n"/>
      <c r="U7733" s="19">
        <f>IF(AND($V7733='設定'!$C$4,COUNTIF('商品マスタ'!$B$6:$B$1005,$W7733)=0),N(U7732)+1,N(U7732))</f>
        <v/>
      </c>
      <c r="V7733" s="19">
        <f>IF($B7733="","",TEXT($B7733,"0000"))</f>
        <v/>
      </c>
      <c r="W7733" s="19">
        <f>IF($I7733="","",IF(ISNUMBER($I7733),TEXT($I7733,"0"),$I7733))</f>
        <v/>
      </c>
    </row>
    <row r="7734">
      <c r="B7734" s="25" t="n"/>
      <c r="I7734" s="25" t="n"/>
      <c r="U7734" s="19">
        <f>IF(AND($V7734='設定'!$C$4,COUNTIF('商品マスタ'!$B$6:$B$1005,$W7734)=0),N(U7733)+1,N(U7733))</f>
        <v/>
      </c>
      <c r="V7734" s="19">
        <f>IF($B7734="","",TEXT($B7734,"0000"))</f>
        <v/>
      </c>
      <c r="W7734" s="19">
        <f>IF($I7734="","",IF(ISNUMBER($I7734),TEXT($I7734,"0"),$I7734))</f>
        <v/>
      </c>
    </row>
    <row r="7735">
      <c r="B7735" s="25" t="n"/>
      <c r="I7735" s="25" t="n"/>
      <c r="U7735" s="19">
        <f>IF(AND($V7735='設定'!$C$4,COUNTIF('商品マスタ'!$B$6:$B$1005,$W7735)=0),N(U7734)+1,N(U7734))</f>
        <v/>
      </c>
      <c r="V7735" s="19">
        <f>IF($B7735="","",TEXT($B7735,"0000"))</f>
        <v/>
      </c>
      <c r="W7735" s="19">
        <f>IF($I7735="","",IF(ISNUMBER($I7735),TEXT($I7735,"0"),$I7735))</f>
        <v/>
      </c>
    </row>
    <row r="7736">
      <c r="B7736" s="25" t="n"/>
      <c r="I7736" s="25" t="n"/>
      <c r="U7736" s="19">
        <f>IF(AND($V7736='設定'!$C$4,COUNTIF('商品マスタ'!$B$6:$B$1005,$W7736)=0),N(U7735)+1,N(U7735))</f>
        <v/>
      </c>
      <c r="V7736" s="19">
        <f>IF($B7736="","",TEXT($B7736,"0000"))</f>
        <v/>
      </c>
      <c r="W7736" s="19">
        <f>IF($I7736="","",IF(ISNUMBER($I7736),TEXT($I7736,"0"),$I7736))</f>
        <v/>
      </c>
    </row>
    <row r="7737">
      <c r="B7737" s="25" t="n"/>
      <c r="I7737" s="25" t="n"/>
      <c r="U7737" s="19">
        <f>IF(AND($V7737='設定'!$C$4,COUNTIF('商品マスタ'!$B$6:$B$1005,$W7737)=0),N(U7736)+1,N(U7736))</f>
        <v/>
      </c>
      <c r="V7737" s="19">
        <f>IF($B7737="","",TEXT($B7737,"0000"))</f>
        <v/>
      </c>
      <c r="W7737" s="19">
        <f>IF($I7737="","",IF(ISNUMBER($I7737),TEXT($I7737,"0"),$I7737))</f>
        <v/>
      </c>
    </row>
    <row r="7738">
      <c r="B7738" s="25" t="n"/>
      <c r="I7738" s="25" t="n"/>
      <c r="U7738" s="19">
        <f>IF(AND($V7738='設定'!$C$4,COUNTIF('商品マスタ'!$B$6:$B$1005,$W7738)=0),N(U7737)+1,N(U7737))</f>
        <v/>
      </c>
      <c r="V7738" s="19">
        <f>IF($B7738="","",TEXT($B7738,"0000"))</f>
        <v/>
      </c>
      <c r="W7738" s="19">
        <f>IF($I7738="","",IF(ISNUMBER($I7738),TEXT($I7738,"0"),$I7738))</f>
        <v/>
      </c>
    </row>
    <row r="7739">
      <c r="B7739" s="25" t="n"/>
      <c r="I7739" s="25" t="n"/>
      <c r="U7739" s="19">
        <f>IF(AND($V7739='設定'!$C$4,COUNTIF('商品マスタ'!$B$6:$B$1005,$W7739)=0),N(U7738)+1,N(U7738))</f>
        <v/>
      </c>
      <c r="V7739" s="19">
        <f>IF($B7739="","",TEXT($B7739,"0000"))</f>
        <v/>
      </c>
      <c r="W7739" s="19">
        <f>IF($I7739="","",IF(ISNUMBER($I7739),TEXT($I7739,"0"),$I7739))</f>
        <v/>
      </c>
    </row>
    <row r="7740">
      <c r="B7740" s="25" t="n"/>
      <c r="I7740" s="25" t="n"/>
      <c r="U7740" s="19">
        <f>IF(AND($V7740='設定'!$C$4,COUNTIF('商品マスタ'!$B$6:$B$1005,$W7740)=0),N(U7739)+1,N(U7739))</f>
        <v/>
      </c>
      <c r="V7740" s="19">
        <f>IF($B7740="","",TEXT($B7740,"0000"))</f>
        <v/>
      </c>
      <c r="W7740" s="19">
        <f>IF($I7740="","",IF(ISNUMBER($I7740),TEXT($I7740,"0"),$I7740))</f>
        <v/>
      </c>
    </row>
    <row r="7741">
      <c r="B7741" s="25" t="n"/>
      <c r="I7741" s="25" t="n"/>
      <c r="U7741" s="19">
        <f>IF(AND($V7741='設定'!$C$4,COUNTIF('商品マスタ'!$B$6:$B$1005,$W7741)=0),N(U7740)+1,N(U7740))</f>
        <v/>
      </c>
      <c r="V7741" s="19">
        <f>IF($B7741="","",TEXT($B7741,"0000"))</f>
        <v/>
      </c>
      <c r="W7741" s="19">
        <f>IF($I7741="","",IF(ISNUMBER($I7741),TEXT($I7741,"0"),$I7741))</f>
        <v/>
      </c>
    </row>
    <row r="7742">
      <c r="B7742" s="25" t="n"/>
      <c r="I7742" s="25" t="n"/>
      <c r="U7742" s="19">
        <f>IF(AND($V7742='設定'!$C$4,COUNTIF('商品マスタ'!$B$6:$B$1005,$W7742)=0),N(U7741)+1,N(U7741))</f>
        <v/>
      </c>
      <c r="V7742" s="19">
        <f>IF($B7742="","",TEXT($B7742,"0000"))</f>
        <v/>
      </c>
      <c r="W7742" s="19">
        <f>IF($I7742="","",IF(ISNUMBER($I7742),TEXT($I7742,"0"),$I7742))</f>
        <v/>
      </c>
    </row>
    <row r="7743">
      <c r="B7743" s="25" t="n"/>
      <c r="I7743" s="25" t="n"/>
      <c r="U7743" s="19">
        <f>IF(AND($V7743='設定'!$C$4,COUNTIF('商品マスタ'!$B$6:$B$1005,$W7743)=0),N(U7742)+1,N(U7742))</f>
        <v/>
      </c>
      <c r="V7743" s="19">
        <f>IF($B7743="","",TEXT($B7743,"0000"))</f>
        <v/>
      </c>
      <c r="W7743" s="19">
        <f>IF($I7743="","",IF(ISNUMBER($I7743),TEXT($I7743,"0"),$I7743))</f>
        <v/>
      </c>
    </row>
    <row r="7744">
      <c r="B7744" s="25" t="n"/>
      <c r="I7744" s="25" t="n"/>
      <c r="U7744" s="19">
        <f>IF(AND($V7744='設定'!$C$4,COUNTIF('商品マスタ'!$B$6:$B$1005,$W7744)=0),N(U7743)+1,N(U7743))</f>
        <v/>
      </c>
      <c r="V7744" s="19">
        <f>IF($B7744="","",TEXT($B7744,"0000"))</f>
        <v/>
      </c>
      <c r="W7744" s="19">
        <f>IF($I7744="","",IF(ISNUMBER($I7744),TEXT($I7744,"0"),$I7744))</f>
        <v/>
      </c>
    </row>
    <row r="7745">
      <c r="B7745" s="25" t="n"/>
      <c r="I7745" s="25" t="n"/>
      <c r="U7745" s="19">
        <f>IF(AND($V7745='設定'!$C$4,COUNTIF('商品マスタ'!$B$6:$B$1005,$W7745)=0),N(U7744)+1,N(U7744))</f>
        <v/>
      </c>
      <c r="V7745" s="19">
        <f>IF($B7745="","",TEXT($B7745,"0000"))</f>
        <v/>
      </c>
      <c r="W7745" s="19">
        <f>IF($I7745="","",IF(ISNUMBER($I7745),TEXT($I7745,"0"),$I7745))</f>
        <v/>
      </c>
    </row>
    <row r="7746">
      <c r="B7746" s="25" t="n"/>
      <c r="I7746" s="25" t="n"/>
      <c r="U7746" s="19">
        <f>IF(AND($V7746='設定'!$C$4,COUNTIF('商品マスタ'!$B$6:$B$1005,$W7746)=0),N(U7745)+1,N(U7745))</f>
        <v/>
      </c>
      <c r="V7746" s="19">
        <f>IF($B7746="","",TEXT($B7746,"0000"))</f>
        <v/>
      </c>
      <c r="W7746" s="19">
        <f>IF($I7746="","",IF(ISNUMBER($I7746),TEXT($I7746,"0"),$I7746))</f>
        <v/>
      </c>
    </row>
    <row r="7747">
      <c r="B7747" s="25" t="n"/>
      <c r="I7747" s="25" t="n"/>
      <c r="U7747" s="19">
        <f>IF(AND($V7747='設定'!$C$4,COUNTIF('商品マスタ'!$B$6:$B$1005,$W7747)=0),N(U7746)+1,N(U7746))</f>
        <v/>
      </c>
      <c r="V7747" s="19">
        <f>IF($B7747="","",TEXT($B7747,"0000"))</f>
        <v/>
      </c>
      <c r="W7747" s="19">
        <f>IF($I7747="","",IF(ISNUMBER($I7747),TEXT($I7747,"0"),$I7747))</f>
        <v/>
      </c>
    </row>
    <row r="7748">
      <c r="B7748" s="25" t="n"/>
      <c r="I7748" s="25" t="n"/>
      <c r="U7748" s="19">
        <f>IF(AND($V7748='設定'!$C$4,COUNTIF('商品マスタ'!$B$6:$B$1005,$W7748)=0),N(U7747)+1,N(U7747))</f>
        <v/>
      </c>
      <c r="V7748" s="19">
        <f>IF($B7748="","",TEXT($B7748,"0000"))</f>
        <v/>
      </c>
      <c r="W7748" s="19">
        <f>IF($I7748="","",IF(ISNUMBER($I7748),TEXT($I7748,"0"),$I7748))</f>
        <v/>
      </c>
    </row>
    <row r="7749">
      <c r="B7749" s="25" t="n"/>
      <c r="I7749" s="25" t="n"/>
      <c r="U7749" s="19">
        <f>IF(AND($V7749='設定'!$C$4,COUNTIF('商品マスタ'!$B$6:$B$1005,$W7749)=0),N(U7748)+1,N(U7748))</f>
        <v/>
      </c>
      <c r="V7749" s="19">
        <f>IF($B7749="","",TEXT($B7749,"0000"))</f>
        <v/>
      </c>
      <c r="W7749" s="19">
        <f>IF($I7749="","",IF(ISNUMBER($I7749),TEXT($I7749,"0"),$I7749))</f>
        <v/>
      </c>
    </row>
    <row r="7750">
      <c r="B7750" s="25" t="n"/>
      <c r="I7750" s="25" t="n"/>
      <c r="U7750" s="19">
        <f>IF(AND($V7750='設定'!$C$4,COUNTIF('商品マスタ'!$B$6:$B$1005,$W7750)=0),N(U7749)+1,N(U7749))</f>
        <v/>
      </c>
      <c r="V7750" s="19">
        <f>IF($B7750="","",TEXT($B7750,"0000"))</f>
        <v/>
      </c>
      <c r="W7750" s="19">
        <f>IF($I7750="","",IF(ISNUMBER($I7750),TEXT($I7750,"0"),$I7750))</f>
        <v/>
      </c>
    </row>
    <row r="7751">
      <c r="B7751" s="25" t="n"/>
      <c r="I7751" s="25" t="n"/>
      <c r="U7751" s="19">
        <f>IF(AND($V7751='設定'!$C$4,COUNTIF('商品マスタ'!$B$6:$B$1005,$W7751)=0),N(U7750)+1,N(U7750))</f>
        <v/>
      </c>
      <c r="V7751" s="19">
        <f>IF($B7751="","",TEXT($B7751,"0000"))</f>
        <v/>
      </c>
      <c r="W7751" s="19">
        <f>IF($I7751="","",IF(ISNUMBER($I7751),TEXT($I7751,"0"),$I7751))</f>
        <v/>
      </c>
    </row>
    <row r="7752">
      <c r="B7752" s="25" t="n"/>
      <c r="I7752" s="25" t="n"/>
      <c r="U7752" s="19">
        <f>IF(AND($V7752='設定'!$C$4,COUNTIF('商品マスタ'!$B$6:$B$1005,$W7752)=0),N(U7751)+1,N(U7751))</f>
        <v/>
      </c>
      <c r="V7752" s="19">
        <f>IF($B7752="","",TEXT($B7752,"0000"))</f>
        <v/>
      </c>
      <c r="W7752" s="19">
        <f>IF($I7752="","",IF(ISNUMBER($I7752),TEXT($I7752,"0"),$I7752))</f>
        <v/>
      </c>
    </row>
    <row r="7753">
      <c r="B7753" s="25" t="n"/>
      <c r="I7753" s="25" t="n"/>
      <c r="U7753" s="19">
        <f>IF(AND($V7753='設定'!$C$4,COUNTIF('商品マスタ'!$B$6:$B$1005,$W7753)=0),N(U7752)+1,N(U7752))</f>
        <v/>
      </c>
      <c r="V7753" s="19">
        <f>IF($B7753="","",TEXT($B7753,"0000"))</f>
        <v/>
      </c>
      <c r="W7753" s="19">
        <f>IF($I7753="","",IF(ISNUMBER($I7753),TEXT($I7753,"0"),$I7753))</f>
        <v/>
      </c>
    </row>
    <row r="7754">
      <c r="B7754" s="25" t="n"/>
      <c r="I7754" s="25" t="n"/>
      <c r="U7754" s="19">
        <f>IF(AND($V7754='設定'!$C$4,COUNTIF('商品マスタ'!$B$6:$B$1005,$W7754)=0),N(U7753)+1,N(U7753))</f>
        <v/>
      </c>
      <c r="V7754" s="19">
        <f>IF($B7754="","",TEXT($B7754,"0000"))</f>
        <v/>
      </c>
      <c r="W7754" s="19">
        <f>IF($I7754="","",IF(ISNUMBER($I7754),TEXT($I7754,"0"),$I7754))</f>
        <v/>
      </c>
    </row>
    <row r="7755">
      <c r="B7755" s="25" t="n"/>
      <c r="I7755" s="25" t="n"/>
      <c r="U7755" s="19">
        <f>IF(AND($V7755='設定'!$C$4,COUNTIF('商品マスタ'!$B$6:$B$1005,$W7755)=0),N(U7754)+1,N(U7754))</f>
        <v/>
      </c>
      <c r="V7755" s="19">
        <f>IF($B7755="","",TEXT($B7755,"0000"))</f>
        <v/>
      </c>
      <c r="W7755" s="19">
        <f>IF($I7755="","",IF(ISNUMBER($I7755),TEXT($I7755,"0"),$I7755))</f>
        <v/>
      </c>
    </row>
    <row r="7756">
      <c r="B7756" s="25" t="n"/>
      <c r="I7756" s="25" t="n"/>
      <c r="U7756" s="19">
        <f>IF(AND($V7756='設定'!$C$4,COUNTIF('商品マスタ'!$B$6:$B$1005,$W7756)=0),N(U7755)+1,N(U7755))</f>
        <v/>
      </c>
      <c r="V7756" s="19">
        <f>IF($B7756="","",TEXT($B7756,"0000"))</f>
        <v/>
      </c>
      <c r="W7756" s="19">
        <f>IF($I7756="","",IF(ISNUMBER($I7756),TEXT($I7756,"0"),$I7756))</f>
        <v/>
      </c>
    </row>
    <row r="7757">
      <c r="B7757" s="25" t="n"/>
      <c r="I7757" s="25" t="n"/>
      <c r="U7757" s="19">
        <f>IF(AND($V7757='設定'!$C$4,COUNTIF('商品マスタ'!$B$6:$B$1005,$W7757)=0),N(U7756)+1,N(U7756))</f>
        <v/>
      </c>
      <c r="V7757" s="19">
        <f>IF($B7757="","",TEXT($B7757,"0000"))</f>
        <v/>
      </c>
      <c r="W7757" s="19">
        <f>IF($I7757="","",IF(ISNUMBER($I7757),TEXT($I7757,"0"),$I7757))</f>
        <v/>
      </c>
    </row>
    <row r="7758">
      <c r="B7758" s="25" t="n"/>
      <c r="I7758" s="25" t="n"/>
      <c r="U7758" s="19">
        <f>IF(AND($V7758='設定'!$C$4,COUNTIF('商品マスタ'!$B$6:$B$1005,$W7758)=0),N(U7757)+1,N(U7757))</f>
        <v/>
      </c>
      <c r="V7758" s="19">
        <f>IF($B7758="","",TEXT($B7758,"0000"))</f>
        <v/>
      </c>
      <c r="W7758" s="19">
        <f>IF($I7758="","",IF(ISNUMBER($I7758),TEXT($I7758,"0"),$I7758))</f>
        <v/>
      </c>
    </row>
    <row r="7759">
      <c r="B7759" s="25" t="n"/>
      <c r="I7759" s="25" t="n"/>
      <c r="U7759" s="19">
        <f>IF(AND($V7759='設定'!$C$4,COUNTIF('商品マスタ'!$B$6:$B$1005,$W7759)=0),N(U7758)+1,N(U7758))</f>
        <v/>
      </c>
      <c r="V7759" s="19">
        <f>IF($B7759="","",TEXT($B7759,"0000"))</f>
        <v/>
      </c>
      <c r="W7759" s="19">
        <f>IF($I7759="","",IF(ISNUMBER($I7759),TEXT($I7759,"0"),$I7759))</f>
        <v/>
      </c>
    </row>
    <row r="7760">
      <c r="B7760" s="25" t="n"/>
      <c r="I7760" s="25" t="n"/>
      <c r="U7760" s="19">
        <f>IF(AND($V7760='設定'!$C$4,COUNTIF('商品マスタ'!$B$6:$B$1005,$W7760)=0),N(U7759)+1,N(U7759))</f>
        <v/>
      </c>
      <c r="V7760" s="19">
        <f>IF($B7760="","",TEXT($B7760,"0000"))</f>
        <v/>
      </c>
      <c r="W7760" s="19">
        <f>IF($I7760="","",IF(ISNUMBER($I7760),TEXT($I7760,"0"),$I7760))</f>
        <v/>
      </c>
    </row>
    <row r="7761">
      <c r="B7761" s="25" t="n"/>
      <c r="I7761" s="25" t="n"/>
      <c r="U7761" s="19">
        <f>IF(AND($V7761='設定'!$C$4,COUNTIF('商品マスタ'!$B$6:$B$1005,$W7761)=0),N(U7760)+1,N(U7760))</f>
        <v/>
      </c>
      <c r="V7761" s="19">
        <f>IF($B7761="","",TEXT($B7761,"0000"))</f>
        <v/>
      </c>
      <c r="W7761" s="19">
        <f>IF($I7761="","",IF(ISNUMBER($I7761),TEXT($I7761,"0"),$I7761))</f>
        <v/>
      </c>
    </row>
    <row r="7762">
      <c r="B7762" s="25" t="n"/>
      <c r="I7762" s="25" t="n"/>
      <c r="U7762" s="19">
        <f>IF(AND($V7762='設定'!$C$4,COUNTIF('商品マスタ'!$B$6:$B$1005,$W7762)=0),N(U7761)+1,N(U7761))</f>
        <v/>
      </c>
      <c r="V7762" s="19">
        <f>IF($B7762="","",TEXT($B7762,"0000"))</f>
        <v/>
      </c>
      <c r="W7762" s="19">
        <f>IF($I7762="","",IF(ISNUMBER($I7762),TEXT($I7762,"0"),$I7762))</f>
        <v/>
      </c>
    </row>
    <row r="7763">
      <c r="B7763" s="25" t="n"/>
      <c r="I7763" s="25" t="n"/>
      <c r="U7763" s="19">
        <f>IF(AND($V7763='設定'!$C$4,COUNTIF('商品マスタ'!$B$6:$B$1005,$W7763)=0),N(U7762)+1,N(U7762))</f>
        <v/>
      </c>
      <c r="V7763" s="19">
        <f>IF($B7763="","",TEXT($B7763,"0000"))</f>
        <v/>
      </c>
      <c r="W7763" s="19">
        <f>IF($I7763="","",IF(ISNUMBER($I7763),TEXT($I7763,"0"),$I7763))</f>
        <v/>
      </c>
    </row>
    <row r="7764">
      <c r="B7764" s="25" t="n"/>
      <c r="I7764" s="25" t="n"/>
      <c r="U7764" s="19">
        <f>IF(AND($V7764='設定'!$C$4,COUNTIF('商品マスタ'!$B$6:$B$1005,$W7764)=0),N(U7763)+1,N(U7763))</f>
        <v/>
      </c>
      <c r="V7764" s="19">
        <f>IF($B7764="","",TEXT($B7764,"0000"))</f>
        <v/>
      </c>
      <c r="W7764" s="19">
        <f>IF($I7764="","",IF(ISNUMBER($I7764),TEXT($I7764,"0"),$I7764))</f>
        <v/>
      </c>
    </row>
    <row r="7765">
      <c r="B7765" s="25" t="n"/>
      <c r="I7765" s="25" t="n"/>
      <c r="U7765" s="19">
        <f>IF(AND($V7765='設定'!$C$4,COUNTIF('商品マスタ'!$B$6:$B$1005,$W7765)=0),N(U7764)+1,N(U7764))</f>
        <v/>
      </c>
      <c r="V7765" s="19">
        <f>IF($B7765="","",TEXT($B7765,"0000"))</f>
        <v/>
      </c>
      <c r="W7765" s="19">
        <f>IF($I7765="","",IF(ISNUMBER($I7765),TEXT($I7765,"0"),$I7765))</f>
        <v/>
      </c>
    </row>
    <row r="7766">
      <c r="B7766" s="25" t="n"/>
      <c r="I7766" s="25" t="n"/>
      <c r="U7766" s="19">
        <f>IF(AND($V7766='設定'!$C$4,COUNTIF('商品マスタ'!$B$6:$B$1005,$W7766)=0),N(U7765)+1,N(U7765))</f>
        <v/>
      </c>
      <c r="V7766" s="19">
        <f>IF($B7766="","",TEXT($B7766,"0000"))</f>
        <v/>
      </c>
      <c r="W7766" s="19">
        <f>IF($I7766="","",IF(ISNUMBER($I7766),TEXT($I7766,"0"),$I7766))</f>
        <v/>
      </c>
    </row>
    <row r="7767">
      <c r="B7767" s="25" t="n"/>
      <c r="I7767" s="25" t="n"/>
      <c r="U7767" s="19">
        <f>IF(AND($V7767='設定'!$C$4,COUNTIF('商品マスタ'!$B$6:$B$1005,$W7767)=0),N(U7766)+1,N(U7766))</f>
        <v/>
      </c>
      <c r="V7767" s="19">
        <f>IF($B7767="","",TEXT($B7767,"0000"))</f>
        <v/>
      </c>
      <c r="W7767" s="19">
        <f>IF($I7767="","",IF(ISNUMBER($I7767),TEXT($I7767,"0"),$I7767))</f>
        <v/>
      </c>
    </row>
    <row r="7768">
      <c r="B7768" s="25" t="n"/>
      <c r="I7768" s="25" t="n"/>
      <c r="U7768" s="19">
        <f>IF(AND($V7768='設定'!$C$4,COUNTIF('商品マスタ'!$B$6:$B$1005,$W7768)=0),N(U7767)+1,N(U7767))</f>
        <v/>
      </c>
      <c r="V7768" s="19">
        <f>IF($B7768="","",TEXT($B7768,"0000"))</f>
        <v/>
      </c>
      <c r="W7768" s="19">
        <f>IF($I7768="","",IF(ISNUMBER($I7768),TEXT($I7768,"0"),$I7768))</f>
        <v/>
      </c>
    </row>
    <row r="7769">
      <c r="B7769" s="25" t="n"/>
      <c r="I7769" s="25" t="n"/>
      <c r="U7769" s="19">
        <f>IF(AND($V7769='設定'!$C$4,COUNTIF('商品マスタ'!$B$6:$B$1005,$W7769)=0),N(U7768)+1,N(U7768))</f>
        <v/>
      </c>
      <c r="V7769" s="19">
        <f>IF($B7769="","",TEXT($B7769,"0000"))</f>
        <v/>
      </c>
      <c r="W7769" s="19">
        <f>IF($I7769="","",IF(ISNUMBER($I7769),TEXT($I7769,"0"),$I7769))</f>
        <v/>
      </c>
    </row>
    <row r="7770">
      <c r="B7770" s="25" t="n"/>
      <c r="I7770" s="25" t="n"/>
      <c r="U7770" s="19">
        <f>IF(AND($V7770='設定'!$C$4,COUNTIF('商品マスタ'!$B$6:$B$1005,$W7770)=0),N(U7769)+1,N(U7769))</f>
        <v/>
      </c>
      <c r="V7770" s="19">
        <f>IF($B7770="","",TEXT($B7770,"0000"))</f>
        <v/>
      </c>
      <c r="W7770" s="19">
        <f>IF($I7770="","",IF(ISNUMBER($I7770),TEXT($I7770,"0"),$I7770))</f>
        <v/>
      </c>
    </row>
    <row r="7771">
      <c r="B7771" s="25" t="n"/>
      <c r="I7771" s="25" t="n"/>
      <c r="U7771" s="19">
        <f>IF(AND($V7771='設定'!$C$4,COUNTIF('商品マスタ'!$B$6:$B$1005,$W7771)=0),N(U7770)+1,N(U7770))</f>
        <v/>
      </c>
      <c r="V7771" s="19">
        <f>IF($B7771="","",TEXT($B7771,"0000"))</f>
        <v/>
      </c>
      <c r="W7771" s="19">
        <f>IF($I7771="","",IF(ISNUMBER($I7771),TEXT($I7771,"0"),$I7771))</f>
        <v/>
      </c>
    </row>
    <row r="7772">
      <c r="B7772" s="25" t="n"/>
      <c r="I7772" s="25" t="n"/>
      <c r="U7772" s="19">
        <f>IF(AND($V7772='設定'!$C$4,COUNTIF('商品マスタ'!$B$6:$B$1005,$W7772)=0),N(U7771)+1,N(U7771))</f>
        <v/>
      </c>
      <c r="V7772" s="19">
        <f>IF($B7772="","",TEXT($B7772,"0000"))</f>
        <v/>
      </c>
      <c r="W7772" s="19">
        <f>IF($I7772="","",IF(ISNUMBER($I7772),TEXT($I7772,"0"),$I7772))</f>
        <v/>
      </c>
    </row>
    <row r="7773">
      <c r="B7773" s="25" t="n"/>
      <c r="I7773" s="25" t="n"/>
      <c r="U7773" s="19">
        <f>IF(AND($V7773='設定'!$C$4,COUNTIF('商品マスタ'!$B$6:$B$1005,$W7773)=0),N(U7772)+1,N(U7772))</f>
        <v/>
      </c>
      <c r="V7773" s="19">
        <f>IF($B7773="","",TEXT($B7773,"0000"))</f>
        <v/>
      </c>
      <c r="W7773" s="19">
        <f>IF($I7773="","",IF(ISNUMBER($I7773),TEXT($I7773,"0"),$I7773))</f>
        <v/>
      </c>
    </row>
    <row r="7774">
      <c r="B7774" s="25" t="n"/>
      <c r="I7774" s="25" t="n"/>
      <c r="U7774" s="19">
        <f>IF(AND($V7774='設定'!$C$4,COUNTIF('商品マスタ'!$B$6:$B$1005,$W7774)=0),N(U7773)+1,N(U7773))</f>
        <v/>
      </c>
      <c r="V7774" s="19">
        <f>IF($B7774="","",TEXT($B7774,"0000"))</f>
        <v/>
      </c>
      <c r="W7774" s="19">
        <f>IF($I7774="","",IF(ISNUMBER($I7774),TEXT($I7774,"0"),$I7774))</f>
        <v/>
      </c>
    </row>
    <row r="7775">
      <c r="B7775" s="25" t="n"/>
      <c r="I7775" s="25" t="n"/>
      <c r="U7775" s="19">
        <f>IF(AND($V7775='設定'!$C$4,COUNTIF('商品マスタ'!$B$6:$B$1005,$W7775)=0),N(U7774)+1,N(U7774))</f>
        <v/>
      </c>
      <c r="V7775" s="19">
        <f>IF($B7775="","",TEXT($B7775,"0000"))</f>
        <v/>
      </c>
      <c r="W7775" s="19">
        <f>IF($I7775="","",IF(ISNUMBER($I7775),TEXT($I7775,"0"),$I7775))</f>
        <v/>
      </c>
    </row>
    <row r="7776">
      <c r="B7776" s="25" t="n"/>
      <c r="I7776" s="25" t="n"/>
      <c r="U7776" s="19">
        <f>IF(AND($V7776='設定'!$C$4,COUNTIF('商品マスタ'!$B$6:$B$1005,$W7776)=0),N(U7775)+1,N(U7775))</f>
        <v/>
      </c>
      <c r="V7776" s="19">
        <f>IF($B7776="","",TEXT($B7776,"0000"))</f>
        <v/>
      </c>
      <c r="W7776" s="19">
        <f>IF($I7776="","",IF(ISNUMBER($I7776),TEXT($I7776,"0"),$I7776))</f>
        <v/>
      </c>
    </row>
    <row r="7777">
      <c r="B7777" s="25" t="n"/>
      <c r="I7777" s="25" t="n"/>
      <c r="U7777" s="19">
        <f>IF(AND($V7777='設定'!$C$4,COUNTIF('商品マスタ'!$B$6:$B$1005,$W7777)=0),N(U7776)+1,N(U7776))</f>
        <v/>
      </c>
      <c r="V7777" s="19">
        <f>IF($B7777="","",TEXT($B7777,"0000"))</f>
        <v/>
      </c>
      <c r="W7777" s="19">
        <f>IF($I7777="","",IF(ISNUMBER($I7777),TEXT($I7777,"0"),$I7777))</f>
        <v/>
      </c>
    </row>
    <row r="7778">
      <c r="B7778" s="25" t="n"/>
      <c r="I7778" s="25" t="n"/>
      <c r="U7778" s="19">
        <f>IF(AND($V7778='設定'!$C$4,COUNTIF('商品マスタ'!$B$6:$B$1005,$W7778)=0),N(U7777)+1,N(U7777))</f>
        <v/>
      </c>
      <c r="V7778" s="19">
        <f>IF($B7778="","",TEXT($B7778,"0000"))</f>
        <v/>
      </c>
      <c r="W7778" s="19">
        <f>IF($I7778="","",IF(ISNUMBER($I7778),TEXT($I7778,"0"),$I7778))</f>
        <v/>
      </c>
    </row>
    <row r="7779">
      <c r="B7779" s="25" t="n"/>
      <c r="I7779" s="25" t="n"/>
      <c r="U7779" s="19">
        <f>IF(AND($V7779='設定'!$C$4,COUNTIF('商品マスタ'!$B$6:$B$1005,$W7779)=0),N(U7778)+1,N(U7778))</f>
        <v/>
      </c>
      <c r="V7779" s="19">
        <f>IF($B7779="","",TEXT($B7779,"0000"))</f>
        <v/>
      </c>
      <c r="W7779" s="19">
        <f>IF($I7779="","",IF(ISNUMBER($I7779),TEXT($I7779,"0"),$I7779))</f>
        <v/>
      </c>
    </row>
    <row r="7780">
      <c r="B7780" s="25" t="n"/>
      <c r="I7780" s="25" t="n"/>
      <c r="U7780" s="19">
        <f>IF(AND($V7780='設定'!$C$4,COUNTIF('商品マスタ'!$B$6:$B$1005,$W7780)=0),N(U7779)+1,N(U7779))</f>
        <v/>
      </c>
      <c r="V7780" s="19">
        <f>IF($B7780="","",TEXT($B7780,"0000"))</f>
        <v/>
      </c>
      <c r="W7780" s="19">
        <f>IF($I7780="","",IF(ISNUMBER($I7780),TEXT($I7780,"0"),$I7780))</f>
        <v/>
      </c>
    </row>
    <row r="7781">
      <c r="B7781" s="25" t="n"/>
      <c r="I7781" s="25" t="n"/>
      <c r="U7781" s="19">
        <f>IF(AND($V7781='設定'!$C$4,COUNTIF('商品マスタ'!$B$6:$B$1005,$W7781)=0),N(U7780)+1,N(U7780))</f>
        <v/>
      </c>
      <c r="V7781" s="19">
        <f>IF($B7781="","",TEXT($B7781,"0000"))</f>
        <v/>
      </c>
      <c r="W7781" s="19">
        <f>IF($I7781="","",IF(ISNUMBER($I7781),TEXT($I7781,"0"),$I7781))</f>
        <v/>
      </c>
    </row>
    <row r="7782">
      <c r="B7782" s="25" t="n"/>
      <c r="I7782" s="25" t="n"/>
      <c r="U7782" s="19">
        <f>IF(AND($V7782='設定'!$C$4,COUNTIF('商品マスタ'!$B$6:$B$1005,$W7782)=0),N(U7781)+1,N(U7781))</f>
        <v/>
      </c>
      <c r="V7782" s="19">
        <f>IF($B7782="","",TEXT($B7782,"0000"))</f>
        <v/>
      </c>
      <c r="W7782" s="19">
        <f>IF($I7782="","",IF(ISNUMBER($I7782),TEXT($I7782,"0"),$I7782))</f>
        <v/>
      </c>
    </row>
    <row r="7783">
      <c r="B7783" s="25" t="n"/>
      <c r="I7783" s="25" t="n"/>
      <c r="U7783" s="19">
        <f>IF(AND($V7783='設定'!$C$4,COUNTIF('商品マスタ'!$B$6:$B$1005,$W7783)=0),N(U7782)+1,N(U7782))</f>
        <v/>
      </c>
      <c r="V7783" s="19">
        <f>IF($B7783="","",TEXT($B7783,"0000"))</f>
        <v/>
      </c>
      <c r="W7783" s="19">
        <f>IF($I7783="","",IF(ISNUMBER($I7783),TEXT($I7783,"0"),$I7783))</f>
        <v/>
      </c>
    </row>
    <row r="7784">
      <c r="B7784" s="25" t="n"/>
      <c r="I7784" s="25" t="n"/>
      <c r="U7784" s="19">
        <f>IF(AND($V7784='設定'!$C$4,COUNTIF('商品マスタ'!$B$6:$B$1005,$W7784)=0),N(U7783)+1,N(U7783))</f>
        <v/>
      </c>
      <c r="V7784" s="19">
        <f>IF($B7784="","",TEXT($B7784,"0000"))</f>
        <v/>
      </c>
      <c r="W7784" s="19">
        <f>IF($I7784="","",IF(ISNUMBER($I7784),TEXT($I7784,"0"),$I7784))</f>
        <v/>
      </c>
    </row>
    <row r="7785">
      <c r="B7785" s="25" t="n"/>
      <c r="I7785" s="25" t="n"/>
      <c r="U7785" s="19">
        <f>IF(AND($V7785='設定'!$C$4,COUNTIF('商品マスタ'!$B$6:$B$1005,$W7785)=0),N(U7784)+1,N(U7784))</f>
        <v/>
      </c>
      <c r="V7785" s="19">
        <f>IF($B7785="","",TEXT($B7785,"0000"))</f>
        <v/>
      </c>
      <c r="W7785" s="19">
        <f>IF($I7785="","",IF(ISNUMBER($I7785),TEXT($I7785,"0"),$I7785))</f>
        <v/>
      </c>
    </row>
    <row r="7786">
      <c r="B7786" s="25" t="n"/>
      <c r="I7786" s="25" t="n"/>
      <c r="U7786" s="19">
        <f>IF(AND($V7786='設定'!$C$4,COUNTIF('商品マスタ'!$B$6:$B$1005,$W7786)=0),N(U7785)+1,N(U7785))</f>
        <v/>
      </c>
      <c r="V7786" s="19">
        <f>IF($B7786="","",TEXT($B7786,"0000"))</f>
        <v/>
      </c>
      <c r="W7786" s="19">
        <f>IF($I7786="","",IF(ISNUMBER($I7786),TEXT($I7786,"0"),$I7786))</f>
        <v/>
      </c>
    </row>
    <row r="7787">
      <c r="B7787" s="25" t="n"/>
      <c r="I7787" s="25" t="n"/>
      <c r="U7787" s="19">
        <f>IF(AND($V7787='設定'!$C$4,COUNTIF('商品マスタ'!$B$6:$B$1005,$W7787)=0),N(U7786)+1,N(U7786))</f>
        <v/>
      </c>
      <c r="V7787" s="19">
        <f>IF($B7787="","",TEXT($B7787,"0000"))</f>
        <v/>
      </c>
      <c r="W7787" s="19">
        <f>IF($I7787="","",IF(ISNUMBER($I7787),TEXT($I7787,"0"),$I7787))</f>
        <v/>
      </c>
    </row>
    <row r="7788">
      <c r="B7788" s="25" t="n"/>
      <c r="I7788" s="25" t="n"/>
      <c r="U7788" s="19">
        <f>IF(AND($V7788='設定'!$C$4,COUNTIF('商品マスタ'!$B$6:$B$1005,$W7788)=0),N(U7787)+1,N(U7787))</f>
        <v/>
      </c>
      <c r="V7788" s="19">
        <f>IF($B7788="","",TEXT($B7788,"0000"))</f>
        <v/>
      </c>
      <c r="W7788" s="19">
        <f>IF($I7788="","",IF(ISNUMBER($I7788),TEXT($I7788,"0"),$I7788))</f>
        <v/>
      </c>
    </row>
    <row r="7789">
      <c r="B7789" s="25" t="n"/>
      <c r="I7789" s="25" t="n"/>
      <c r="U7789" s="19">
        <f>IF(AND($V7789='設定'!$C$4,COUNTIF('商品マスタ'!$B$6:$B$1005,$W7789)=0),N(U7788)+1,N(U7788))</f>
        <v/>
      </c>
      <c r="V7789" s="19">
        <f>IF($B7789="","",TEXT($B7789,"0000"))</f>
        <v/>
      </c>
      <c r="W7789" s="19">
        <f>IF($I7789="","",IF(ISNUMBER($I7789),TEXT($I7789,"0"),$I7789))</f>
        <v/>
      </c>
    </row>
    <row r="7790">
      <c r="B7790" s="25" t="n"/>
      <c r="I7790" s="25" t="n"/>
      <c r="U7790" s="19">
        <f>IF(AND($V7790='設定'!$C$4,COUNTIF('商品マスタ'!$B$6:$B$1005,$W7790)=0),N(U7789)+1,N(U7789))</f>
        <v/>
      </c>
      <c r="V7790" s="19">
        <f>IF($B7790="","",TEXT($B7790,"0000"))</f>
        <v/>
      </c>
      <c r="W7790" s="19">
        <f>IF($I7790="","",IF(ISNUMBER($I7790),TEXT($I7790,"0"),$I7790))</f>
        <v/>
      </c>
    </row>
    <row r="7791">
      <c r="B7791" s="25" t="n"/>
      <c r="I7791" s="25" t="n"/>
      <c r="U7791" s="19">
        <f>IF(AND($V7791='設定'!$C$4,COUNTIF('商品マスタ'!$B$6:$B$1005,$W7791)=0),N(U7790)+1,N(U7790))</f>
        <v/>
      </c>
      <c r="V7791" s="19">
        <f>IF($B7791="","",TEXT($B7791,"0000"))</f>
        <v/>
      </c>
      <c r="W7791" s="19">
        <f>IF($I7791="","",IF(ISNUMBER($I7791),TEXT($I7791,"0"),$I7791))</f>
        <v/>
      </c>
    </row>
    <row r="7792">
      <c r="B7792" s="25" t="n"/>
      <c r="I7792" s="25" t="n"/>
      <c r="U7792" s="19">
        <f>IF(AND($V7792='設定'!$C$4,COUNTIF('商品マスタ'!$B$6:$B$1005,$W7792)=0),N(U7791)+1,N(U7791))</f>
        <v/>
      </c>
      <c r="V7792" s="19">
        <f>IF($B7792="","",TEXT($B7792,"0000"))</f>
        <v/>
      </c>
      <c r="W7792" s="19">
        <f>IF($I7792="","",IF(ISNUMBER($I7792),TEXT($I7792,"0"),$I7792))</f>
        <v/>
      </c>
    </row>
    <row r="7793">
      <c r="B7793" s="25" t="n"/>
      <c r="I7793" s="25" t="n"/>
      <c r="U7793" s="19">
        <f>IF(AND($V7793='設定'!$C$4,COUNTIF('商品マスタ'!$B$6:$B$1005,$W7793)=0),N(U7792)+1,N(U7792))</f>
        <v/>
      </c>
      <c r="V7793" s="19">
        <f>IF($B7793="","",TEXT($B7793,"0000"))</f>
        <v/>
      </c>
      <c r="W7793" s="19">
        <f>IF($I7793="","",IF(ISNUMBER($I7793),TEXT($I7793,"0"),$I7793))</f>
        <v/>
      </c>
    </row>
    <row r="7794">
      <c r="B7794" s="25" t="n"/>
      <c r="I7794" s="25" t="n"/>
      <c r="U7794" s="19">
        <f>IF(AND($V7794='設定'!$C$4,COUNTIF('商品マスタ'!$B$6:$B$1005,$W7794)=0),N(U7793)+1,N(U7793))</f>
        <v/>
      </c>
      <c r="V7794" s="19">
        <f>IF($B7794="","",TEXT($B7794,"0000"))</f>
        <v/>
      </c>
      <c r="W7794" s="19">
        <f>IF($I7794="","",IF(ISNUMBER($I7794),TEXT($I7794,"0"),$I7794))</f>
        <v/>
      </c>
    </row>
    <row r="7795">
      <c r="B7795" s="25" t="n"/>
      <c r="I7795" s="25" t="n"/>
      <c r="U7795" s="19">
        <f>IF(AND($V7795='設定'!$C$4,COUNTIF('商品マスタ'!$B$6:$B$1005,$W7795)=0),N(U7794)+1,N(U7794))</f>
        <v/>
      </c>
      <c r="V7795" s="19">
        <f>IF($B7795="","",TEXT($B7795,"0000"))</f>
        <v/>
      </c>
      <c r="W7795" s="19">
        <f>IF($I7795="","",IF(ISNUMBER($I7795),TEXT($I7795,"0"),$I7795))</f>
        <v/>
      </c>
    </row>
    <row r="7796">
      <c r="B7796" s="25" t="n"/>
      <c r="I7796" s="25" t="n"/>
      <c r="U7796" s="19">
        <f>IF(AND($V7796='設定'!$C$4,COUNTIF('商品マスタ'!$B$6:$B$1005,$W7796)=0),N(U7795)+1,N(U7795))</f>
        <v/>
      </c>
      <c r="V7796" s="19">
        <f>IF($B7796="","",TEXT($B7796,"0000"))</f>
        <v/>
      </c>
      <c r="W7796" s="19">
        <f>IF($I7796="","",IF(ISNUMBER($I7796),TEXT($I7796,"0"),$I7796))</f>
        <v/>
      </c>
    </row>
    <row r="7797">
      <c r="B7797" s="25" t="n"/>
      <c r="I7797" s="25" t="n"/>
      <c r="U7797" s="19">
        <f>IF(AND($V7797='設定'!$C$4,COUNTIF('商品マスタ'!$B$6:$B$1005,$W7797)=0),N(U7796)+1,N(U7796))</f>
        <v/>
      </c>
      <c r="V7797" s="19">
        <f>IF($B7797="","",TEXT($B7797,"0000"))</f>
        <v/>
      </c>
      <c r="W7797" s="19">
        <f>IF($I7797="","",IF(ISNUMBER($I7797),TEXT($I7797,"0"),$I7797))</f>
        <v/>
      </c>
    </row>
    <row r="7798">
      <c r="B7798" s="25" t="n"/>
      <c r="I7798" s="25" t="n"/>
      <c r="U7798" s="19">
        <f>IF(AND($V7798='設定'!$C$4,COUNTIF('商品マスタ'!$B$6:$B$1005,$W7798)=0),N(U7797)+1,N(U7797))</f>
        <v/>
      </c>
      <c r="V7798" s="19">
        <f>IF($B7798="","",TEXT($B7798,"0000"))</f>
        <v/>
      </c>
      <c r="W7798" s="19">
        <f>IF($I7798="","",IF(ISNUMBER($I7798),TEXT($I7798,"0"),$I7798))</f>
        <v/>
      </c>
    </row>
    <row r="7799">
      <c r="B7799" s="25" t="n"/>
      <c r="I7799" s="25" t="n"/>
      <c r="U7799" s="19">
        <f>IF(AND($V7799='設定'!$C$4,COUNTIF('商品マスタ'!$B$6:$B$1005,$W7799)=0),N(U7798)+1,N(U7798))</f>
        <v/>
      </c>
      <c r="V7799" s="19">
        <f>IF($B7799="","",TEXT($B7799,"0000"))</f>
        <v/>
      </c>
      <c r="W7799" s="19">
        <f>IF($I7799="","",IF(ISNUMBER($I7799),TEXT($I7799,"0"),$I7799))</f>
        <v/>
      </c>
    </row>
    <row r="7800">
      <c r="B7800" s="25" t="n"/>
      <c r="I7800" s="25" t="n"/>
      <c r="U7800" s="19">
        <f>IF(AND($V7800='設定'!$C$4,COUNTIF('商品マスタ'!$B$6:$B$1005,$W7800)=0),N(U7799)+1,N(U7799))</f>
        <v/>
      </c>
      <c r="V7800" s="19">
        <f>IF($B7800="","",TEXT($B7800,"0000"))</f>
        <v/>
      </c>
      <c r="W7800" s="19">
        <f>IF($I7800="","",IF(ISNUMBER($I7800),TEXT($I7800,"0"),$I7800))</f>
        <v/>
      </c>
    </row>
    <row r="7801">
      <c r="B7801" s="25" t="n"/>
      <c r="I7801" s="25" t="n"/>
      <c r="U7801" s="19">
        <f>IF(AND($V7801='設定'!$C$4,COUNTIF('商品マスタ'!$B$6:$B$1005,$W7801)=0),N(U7800)+1,N(U7800))</f>
        <v/>
      </c>
      <c r="V7801" s="19">
        <f>IF($B7801="","",TEXT($B7801,"0000"))</f>
        <v/>
      </c>
      <c r="W7801" s="19">
        <f>IF($I7801="","",IF(ISNUMBER($I7801),TEXT($I7801,"0"),$I7801))</f>
        <v/>
      </c>
    </row>
    <row r="7802">
      <c r="B7802" s="25" t="n"/>
      <c r="I7802" s="25" t="n"/>
      <c r="U7802" s="19">
        <f>IF(AND($V7802='設定'!$C$4,COUNTIF('商品マスタ'!$B$6:$B$1005,$W7802)=0),N(U7801)+1,N(U7801))</f>
        <v/>
      </c>
      <c r="V7802" s="19">
        <f>IF($B7802="","",TEXT($B7802,"0000"))</f>
        <v/>
      </c>
      <c r="W7802" s="19">
        <f>IF($I7802="","",IF(ISNUMBER($I7802),TEXT($I7802,"0"),$I7802))</f>
        <v/>
      </c>
    </row>
    <row r="7803">
      <c r="B7803" s="25" t="n"/>
      <c r="I7803" s="25" t="n"/>
      <c r="U7803" s="19">
        <f>IF(AND($V7803='設定'!$C$4,COUNTIF('商品マスタ'!$B$6:$B$1005,$W7803)=0),N(U7802)+1,N(U7802))</f>
        <v/>
      </c>
      <c r="V7803" s="19">
        <f>IF($B7803="","",TEXT($B7803,"0000"))</f>
        <v/>
      </c>
      <c r="W7803" s="19">
        <f>IF($I7803="","",IF(ISNUMBER($I7803),TEXT($I7803,"0"),$I7803))</f>
        <v/>
      </c>
    </row>
    <row r="7804">
      <c r="B7804" s="25" t="n"/>
      <c r="I7804" s="25" t="n"/>
      <c r="U7804" s="19">
        <f>IF(AND($V7804='設定'!$C$4,COUNTIF('商品マスタ'!$B$6:$B$1005,$W7804)=0),N(U7803)+1,N(U7803))</f>
        <v/>
      </c>
      <c r="V7804" s="19">
        <f>IF($B7804="","",TEXT($B7804,"0000"))</f>
        <v/>
      </c>
      <c r="W7804" s="19">
        <f>IF($I7804="","",IF(ISNUMBER($I7804),TEXT($I7804,"0"),$I7804))</f>
        <v/>
      </c>
    </row>
    <row r="7805">
      <c r="B7805" s="25" t="n"/>
      <c r="I7805" s="25" t="n"/>
      <c r="U7805" s="19">
        <f>IF(AND($V7805='設定'!$C$4,COUNTIF('商品マスタ'!$B$6:$B$1005,$W7805)=0),N(U7804)+1,N(U7804))</f>
        <v/>
      </c>
      <c r="V7805" s="19">
        <f>IF($B7805="","",TEXT($B7805,"0000"))</f>
        <v/>
      </c>
      <c r="W7805" s="19">
        <f>IF($I7805="","",IF(ISNUMBER($I7805),TEXT($I7805,"0"),$I7805))</f>
        <v/>
      </c>
    </row>
    <row r="7806">
      <c r="B7806" s="25" t="n"/>
      <c r="I7806" s="25" t="n"/>
      <c r="U7806" s="19">
        <f>IF(AND($V7806='設定'!$C$4,COUNTIF('商品マスタ'!$B$6:$B$1005,$W7806)=0),N(U7805)+1,N(U7805))</f>
        <v/>
      </c>
      <c r="V7806" s="19">
        <f>IF($B7806="","",TEXT($B7806,"0000"))</f>
        <v/>
      </c>
      <c r="W7806" s="19">
        <f>IF($I7806="","",IF(ISNUMBER($I7806),TEXT($I7806,"0"),$I7806))</f>
        <v/>
      </c>
    </row>
    <row r="7807">
      <c r="B7807" s="25" t="n"/>
      <c r="I7807" s="25" t="n"/>
      <c r="U7807" s="19">
        <f>IF(AND($V7807='設定'!$C$4,COUNTIF('商品マスタ'!$B$6:$B$1005,$W7807)=0),N(U7806)+1,N(U7806))</f>
        <v/>
      </c>
      <c r="V7807" s="19">
        <f>IF($B7807="","",TEXT($B7807,"0000"))</f>
        <v/>
      </c>
      <c r="W7807" s="19">
        <f>IF($I7807="","",IF(ISNUMBER($I7807),TEXT($I7807,"0"),$I7807))</f>
        <v/>
      </c>
    </row>
    <row r="7808">
      <c r="B7808" s="25" t="n"/>
      <c r="I7808" s="25" t="n"/>
      <c r="U7808" s="19">
        <f>IF(AND($V7808='設定'!$C$4,COUNTIF('商品マスタ'!$B$6:$B$1005,$W7808)=0),N(U7807)+1,N(U7807))</f>
        <v/>
      </c>
      <c r="V7808" s="19">
        <f>IF($B7808="","",TEXT($B7808,"0000"))</f>
        <v/>
      </c>
      <c r="W7808" s="19">
        <f>IF($I7808="","",IF(ISNUMBER($I7808),TEXT($I7808,"0"),$I7808))</f>
        <v/>
      </c>
    </row>
    <row r="7809">
      <c r="B7809" s="25" t="n"/>
      <c r="I7809" s="25" t="n"/>
      <c r="U7809" s="19">
        <f>IF(AND($V7809='設定'!$C$4,COUNTIF('商品マスタ'!$B$6:$B$1005,$W7809)=0),N(U7808)+1,N(U7808))</f>
        <v/>
      </c>
      <c r="V7809" s="19">
        <f>IF($B7809="","",TEXT($B7809,"0000"))</f>
        <v/>
      </c>
      <c r="W7809" s="19">
        <f>IF($I7809="","",IF(ISNUMBER($I7809),TEXT($I7809,"0"),$I7809))</f>
        <v/>
      </c>
    </row>
    <row r="7810">
      <c r="B7810" s="25" t="n"/>
      <c r="I7810" s="25" t="n"/>
      <c r="U7810" s="19">
        <f>IF(AND($V7810='設定'!$C$4,COUNTIF('商品マスタ'!$B$6:$B$1005,$W7810)=0),N(U7809)+1,N(U7809))</f>
        <v/>
      </c>
      <c r="V7810" s="19">
        <f>IF($B7810="","",TEXT($B7810,"0000"))</f>
        <v/>
      </c>
      <c r="W7810" s="19">
        <f>IF($I7810="","",IF(ISNUMBER($I7810),TEXT($I7810,"0"),$I7810))</f>
        <v/>
      </c>
    </row>
    <row r="7811">
      <c r="B7811" s="25" t="n"/>
      <c r="I7811" s="25" t="n"/>
      <c r="U7811" s="19">
        <f>IF(AND($V7811='設定'!$C$4,COUNTIF('商品マスタ'!$B$6:$B$1005,$W7811)=0),N(U7810)+1,N(U7810))</f>
        <v/>
      </c>
      <c r="V7811" s="19">
        <f>IF($B7811="","",TEXT($B7811,"0000"))</f>
        <v/>
      </c>
      <c r="W7811" s="19">
        <f>IF($I7811="","",IF(ISNUMBER($I7811),TEXT($I7811,"0"),$I7811))</f>
        <v/>
      </c>
    </row>
    <row r="7812">
      <c r="B7812" s="25" t="n"/>
      <c r="I7812" s="25" t="n"/>
      <c r="U7812" s="19">
        <f>IF(AND($V7812='設定'!$C$4,COUNTIF('商品マスタ'!$B$6:$B$1005,$W7812)=0),N(U7811)+1,N(U7811))</f>
        <v/>
      </c>
      <c r="V7812" s="19">
        <f>IF($B7812="","",TEXT($B7812,"0000"))</f>
        <v/>
      </c>
      <c r="W7812" s="19">
        <f>IF($I7812="","",IF(ISNUMBER($I7812),TEXT($I7812,"0"),$I7812))</f>
        <v/>
      </c>
    </row>
    <row r="7813">
      <c r="B7813" s="25" t="n"/>
      <c r="I7813" s="25" t="n"/>
      <c r="U7813" s="19">
        <f>IF(AND($V7813='設定'!$C$4,COUNTIF('商品マスタ'!$B$6:$B$1005,$W7813)=0),N(U7812)+1,N(U7812))</f>
        <v/>
      </c>
      <c r="V7813" s="19">
        <f>IF($B7813="","",TEXT($B7813,"0000"))</f>
        <v/>
      </c>
      <c r="W7813" s="19">
        <f>IF($I7813="","",IF(ISNUMBER($I7813),TEXT($I7813,"0"),$I7813))</f>
        <v/>
      </c>
    </row>
    <row r="7814">
      <c r="B7814" s="25" t="n"/>
      <c r="I7814" s="25" t="n"/>
      <c r="U7814" s="19">
        <f>IF(AND($V7814='設定'!$C$4,COUNTIF('商品マスタ'!$B$6:$B$1005,$W7814)=0),N(U7813)+1,N(U7813))</f>
        <v/>
      </c>
      <c r="V7814" s="19">
        <f>IF($B7814="","",TEXT($B7814,"0000"))</f>
        <v/>
      </c>
      <c r="W7814" s="19">
        <f>IF($I7814="","",IF(ISNUMBER($I7814),TEXT($I7814,"0"),$I7814))</f>
        <v/>
      </c>
    </row>
    <row r="7815">
      <c r="B7815" s="25" t="n"/>
      <c r="I7815" s="25" t="n"/>
      <c r="U7815" s="19">
        <f>IF(AND($V7815='設定'!$C$4,COUNTIF('商品マスタ'!$B$6:$B$1005,$W7815)=0),N(U7814)+1,N(U7814))</f>
        <v/>
      </c>
      <c r="V7815" s="19">
        <f>IF($B7815="","",TEXT($B7815,"0000"))</f>
        <v/>
      </c>
      <c r="W7815" s="19">
        <f>IF($I7815="","",IF(ISNUMBER($I7815),TEXT($I7815,"0"),$I7815))</f>
        <v/>
      </c>
    </row>
    <row r="7816">
      <c r="B7816" s="25" t="n"/>
      <c r="I7816" s="25" t="n"/>
      <c r="U7816" s="19">
        <f>IF(AND($V7816='設定'!$C$4,COUNTIF('商品マスタ'!$B$6:$B$1005,$W7816)=0),N(U7815)+1,N(U7815))</f>
        <v/>
      </c>
      <c r="V7816" s="19">
        <f>IF($B7816="","",TEXT($B7816,"0000"))</f>
        <v/>
      </c>
      <c r="W7816" s="19">
        <f>IF($I7816="","",IF(ISNUMBER($I7816),TEXT($I7816,"0"),$I7816))</f>
        <v/>
      </c>
    </row>
    <row r="7817">
      <c r="B7817" s="25" t="n"/>
      <c r="I7817" s="25" t="n"/>
      <c r="U7817" s="19">
        <f>IF(AND($V7817='設定'!$C$4,COUNTIF('商品マスタ'!$B$6:$B$1005,$W7817)=0),N(U7816)+1,N(U7816))</f>
        <v/>
      </c>
      <c r="V7817" s="19">
        <f>IF($B7817="","",TEXT($B7817,"0000"))</f>
        <v/>
      </c>
      <c r="W7817" s="19">
        <f>IF($I7817="","",IF(ISNUMBER($I7817),TEXT($I7817,"0"),$I7817))</f>
        <v/>
      </c>
    </row>
    <row r="7818">
      <c r="B7818" s="25" t="n"/>
      <c r="I7818" s="25" t="n"/>
      <c r="U7818" s="19">
        <f>IF(AND($V7818='設定'!$C$4,COUNTIF('商品マスタ'!$B$6:$B$1005,$W7818)=0),N(U7817)+1,N(U7817))</f>
        <v/>
      </c>
      <c r="V7818" s="19">
        <f>IF($B7818="","",TEXT($B7818,"0000"))</f>
        <v/>
      </c>
      <c r="W7818" s="19">
        <f>IF($I7818="","",IF(ISNUMBER($I7818),TEXT($I7818,"0"),$I7818))</f>
        <v/>
      </c>
    </row>
    <row r="7819">
      <c r="B7819" s="25" t="n"/>
      <c r="I7819" s="25" t="n"/>
      <c r="U7819" s="19">
        <f>IF(AND($V7819='設定'!$C$4,COUNTIF('商品マスタ'!$B$6:$B$1005,$W7819)=0),N(U7818)+1,N(U7818))</f>
        <v/>
      </c>
      <c r="V7819" s="19">
        <f>IF($B7819="","",TEXT($B7819,"0000"))</f>
        <v/>
      </c>
      <c r="W7819" s="19">
        <f>IF($I7819="","",IF(ISNUMBER($I7819),TEXT($I7819,"0"),$I7819))</f>
        <v/>
      </c>
    </row>
    <row r="7820">
      <c r="B7820" s="25" t="n"/>
      <c r="I7820" s="25" t="n"/>
      <c r="U7820" s="19">
        <f>IF(AND($V7820='設定'!$C$4,COUNTIF('商品マスタ'!$B$6:$B$1005,$W7820)=0),N(U7819)+1,N(U7819))</f>
        <v/>
      </c>
      <c r="V7820" s="19">
        <f>IF($B7820="","",TEXT($B7820,"0000"))</f>
        <v/>
      </c>
      <c r="W7820" s="19">
        <f>IF($I7820="","",IF(ISNUMBER($I7820),TEXT($I7820,"0"),$I7820))</f>
        <v/>
      </c>
    </row>
    <row r="7821">
      <c r="B7821" s="25" t="n"/>
      <c r="I7821" s="25" t="n"/>
      <c r="U7821" s="19">
        <f>IF(AND($V7821='設定'!$C$4,COUNTIF('商品マスタ'!$B$6:$B$1005,$W7821)=0),N(U7820)+1,N(U7820))</f>
        <v/>
      </c>
      <c r="V7821" s="19">
        <f>IF($B7821="","",TEXT($B7821,"0000"))</f>
        <v/>
      </c>
      <c r="W7821" s="19">
        <f>IF($I7821="","",IF(ISNUMBER($I7821),TEXT($I7821,"0"),$I7821))</f>
        <v/>
      </c>
    </row>
    <row r="7822">
      <c r="B7822" s="25" t="n"/>
      <c r="I7822" s="25" t="n"/>
      <c r="U7822" s="19">
        <f>IF(AND($V7822='設定'!$C$4,COUNTIF('商品マスタ'!$B$6:$B$1005,$W7822)=0),N(U7821)+1,N(U7821))</f>
        <v/>
      </c>
      <c r="V7822" s="19">
        <f>IF($B7822="","",TEXT($B7822,"0000"))</f>
        <v/>
      </c>
      <c r="W7822" s="19">
        <f>IF($I7822="","",IF(ISNUMBER($I7822),TEXT($I7822,"0"),$I7822))</f>
        <v/>
      </c>
    </row>
    <row r="7823">
      <c r="B7823" s="25" t="n"/>
      <c r="I7823" s="25" t="n"/>
      <c r="U7823" s="19">
        <f>IF(AND($V7823='設定'!$C$4,COUNTIF('商品マスタ'!$B$6:$B$1005,$W7823)=0),N(U7822)+1,N(U7822))</f>
        <v/>
      </c>
      <c r="V7823" s="19">
        <f>IF($B7823="","",TEXT($B7823,"0000"))</f>
        <v/>
      </c>
      <c r="W7823" s="19">
        <f>IF($I7823="","",IF(ISNUMBER($I7823),TEXT($I7823,"0"),$I7823))</f>
        <v/>
      </c>
    </row>
    <row r="7824">
      <c r="B7824" s="25" t="n"/>
      <c r="I7824" s="25" t="n"/>
      <c r="U7824" s="19">
        <f>IF(AND($V7824='設定'!$C$4,COUNTIF('商品マスタ'!$B$6:$B$1005,$W7824)=0),N(U7823)+1,N(U7823))</f>
        <v/>
      </c>
      <c r="V7824" s="19">
        <f>IF($B7824="","",TEXT($B7824,"0000"))</f>
        <v/>
      </c>
      <c r="W7824" s="19">
        <f>IF($I7824="","",IF(ISNUMBER($I7824),TEXT($I7824,"0"),$I7824))</f>
        <v/>
      </c>
    </row>
    <row r="7825">
      <c r="B7825" s="25" t="n"/>
      <c r="I7825" s="25" t="n"/>
      <c r="U7825" s="19">
        <f>IF(AND($V7825='設定'!$C$4,COUNTIF('商品マスタ'!$B$6:$B$1005,$W7825)=0),N(U7824)+1,N(U7824))</f>
        <v/>
      </c>
      <c r="V7825" s="19">
        <f>IF($B7825="","",TEXT($B7825,"0000"))</f>
        <v/>
      </c>
      <c r="W7825" s="19">
        <f>IF($I7825="","",IF(ISNUMBER($I7825),TEXT($I7825,"0"),$I7825))</f>
        <v/>
      </c>
    </row>
    <row r="7826">
      <c r="B7826" s="25" t="n"/>
      <c r="I7826" s="25" t="n"/>
      <c r="U7826" s="19">
        <f>IF(AND($V7826='設定'!$C$4,COUNTIF('商品マスタ'!$B$6:$B$1005,$W7826)=0),N(U7825)+1,N(U7825))</f>
        <v/>
      </c>
      <c r="V7826" s="19">
        <f>IF($B7826="","",TEXT($B7826,"0000"))</f>
        <v/>
      </c>
      <c r="W7826" s="19">
        <f>IF($I7826="","",IF(ISNUMBER($I7826),TEXT($I7826,"0"),$I7826))</f>
        <v/>
      </c>
    </row>
    <row r="7827">
      <c r="B7827" s="25" t="n"/>
      <c r="I7827" s="25" t="n"/>
      <c r="U7827" s="19">
        <f>IF(AND($V7827='設定'!$C$4,COUNTIF('商品マスタ'!$B$6:$B$1005,$W7827)=0),N(U7826)+1,N(U7826))</f>
        <v/>
      </c>
      <c r="V7827" s="19">
        <f>IF($B7827="","",TEXT($B7827,"0000"))</f>
        <v/>
      </c>
      <c r="W7827" s="19">
        <f>IF($I7827="","",IF(ISNUMBER($I7827),TEXT($I7827,"0"),$I7827))</f>
        <v/>
      </c>
    </row>
    <row r="7828">
      <c r="B7828" s="25" t="n"/>
      <c r="I7828" s="25" t="n"/>
      <c r="U7828" s="19">
        <f>IF(AND($V7828='設定'!$C$4,COUNTIF('商品マスタ'!$B$6:$B$1005,$W7828)=0),N(U7827)+1,N(U7827))</f>
        <v/>
      </c>
      <c r="V7828" s="19">
        <f>IF($B7828="","",TEXT($B7828,"0000"))</f>
        <v/>
      </c>
      <c r="W7828" s="19">
        <f>IF($I7828="","",IF(ISNUMBER($I7828),TEXT($I7828,"0"),$I7828))</f>
        <v/>
      </c>
    </row>
    <row r="7829">
      <c r="B7829" s="25" t="n"/>
      <c r="I7829" s="25" t="n"/>
      <c r="U7829" s="19">
        <f>IF(AND($V7829='設定'!$C$4,COUNTIF('商品マスタ'!$B$6:$B$1005,$W7829)=0),N(U7828)+1,N(U7828))</f>
        <v/>
      </c>
      <c r="V7829" s="19">
        <f>IF($B7829="","",TEXT($B7829,"0000"))</f>
        <v/>
      </c>
      <c r="W7829" s="19">
        <f>IF($I7829="","",IF(ISNUMBER($I7829),TEXT($I7829,"0"),$I7829))</f>
        <v/>
      </c>
    </row>
    <row r="7830">
      <c r="B7830" s="25" t="n"/>
      <c r="I7830" s="25" t="n"/>
      <c r="U7830" s="19">
        <f>IF(AND($V7830='設定'!$C$4,COUNTIF('商品マスタ'!$B$6:$B$1005,$W7830)=0),N(U7829)+1,N(U7829))</f>
        <v/>
      </c>
      <c r="V7830" s="19">
        <f>IF($B7830="","",TEXT($B7830,"0000"))</f>
        <v/>
      </c>
      <c r="W7830" s="19">
        <f>IF($I7830="","",IF(ISNUMBER($I7830),TEXT($I7830,"0"),$I7830))</f>
        <v/>
      </c>
    </row>
    <row r="7831">
      <c r="B7831" s="25" t="n"/>
      <c r="I7831" s="25" t="n"/>
      <c r="U7831" s="19">
        <f>IF(AND($V7831='設定'!$C$4,COUNTIF('商品マスタ'!$B$6:$B$1005,$W7831)=0),N(U7830)+1,N(U7830))</f>
        <v/>
      </c>
      <c r="V7831" s="19">
        <f>IF($B7831="","",TEXT($B7831,"0000"))</f>
        <v/>
      </c>
      <c r="W7831" s="19">
        <f>IF($I7831="","",IF(ISNUMBER($I7831),TEXT($I7831,"0"),$I7831))</f>
        <v/>
      </c>
    </row>
    <row r="7832">
      <c r="B7832" s="25" t="n"/>
      <c r="I7832" s="25" t="n"/>
      <c r="U7832" s="19">
        <f>IF(AND($V7832='設定'!$C$4,COUNTIF('商品マスタ'!$B$6:$B$1005,$W7832)=0),N(U7831)+1,N(U7831))</f>
        <v/>
      </c>
      <c r="V7832" s="19">
        <f>IF($B7832="","",TEXT($B7832,"0000"))</f>
        <v/>
      </c>
      <c r="W7832" s="19">
        <f>IF($I7832="","",IF(ISNUMBER($I7832),TEXT($I7832,"0"),$I7832))</f>
        <v/>
      </c>
    </row>
    <row r="7833">
      <c r="B7833" s="25" t="n"/>
      <c r="I7833" s="25" t="n"/>
      <c r="U7833" s="19">
        <f>IF(AND($V7833='設定'!$C$4,COUNTIF('商品マスタ'!$B$6:$B$1005,$W7833)=0),N(U7832)+1,N(U7832))</f>
        <v/>
      </c>
      <c r="V7833" s="19">
        <f>IF($B7833="","",TEXT($B7833,"0000"))</f>
        <v/>
      </c>
      <c r="W7833" s="19">
        <f>IF($I7833="","",IF(ISNUMBER($I7833),TEXT($I7833,"0"),$I7833))</f>
        <v/>
      </c>
    </row>
    <row r="7834">
      <c r="B7834" s="25" t="n"/>
      <c r="I7834" s="25" t="n"/>
      <c r="U7834" s="19">
        <f>IF(AND($V7834='設定'!$C$4,COUNTIF('商品マスタ'!$B$6:$B$1005,$W7834)=0),N(U7833)+1,N(U7833))</f>
        <v/>
      </c>
      <c r="V7834" s="19">
        <f>IF($B7834="","",TEXT($B7834,"0000"))</f>
        <v/>
      </c>
      <c r="W7834" s="19">
        <f>IF($I7834="","",IF(ISNUMBER($I7834),TEXT($I7834,"0"),$I7834))</f>
        <v/>
      </c>
    </row>
    <row r="7835">
      <c r="B7835" s="25" t="n"/>
      <c r="I7835" s="25" t="n"/>
      <c r="U7835" s="19">
        <f>IF(AND($V7835='設定'!$C$4,COUNTIF('商品マスタ'!$B$6:$B$1005,$W7835)=0),N(U7834)+1,N(U7834))</f>
        <v/>
      </c>
      <c r="V7835" s="19">
        <f>IF($B7835="","",TEXT($B7835,"0000"))</f>
        <v/>
      </c>
      <c r="W7835" s="19">
        <f>IF($I7835="","",IF(ISNUMBER($I7835),TEXT($I7835,"0"),$I7835))</f>
        <v/>
      </c>
    </row>
    <row r="7836">
      <c r="B7836" s="25" t="n"/>
      <c r="I7836" s="25" t="n"/>
      <c r="U7836" s="19">
        <f>IF(AND($V7836='設定'!$C$4,COUNTIF('商品マスタ'!$B$6:$B$1005,$W7836)=0),N(U7835)+1,N(U7835))</f>
        <v/>
      </c>
      <c r="V7836" s="19">
        <f>IF($B7836="","",TEXT($B7836,"0000"))</f>
        <v/>
      </c>
      <c r="W7836" s="19">
        <f>IF($I7836="","",IF(ISNUMBER($I7836),TEXT($I7836,"0"),$I7836))</f>
        <v/>
      </c>
    </row>
    <row r="7837">
      <c r="B7837" s="25" t="n"/>
      <c r="I7837" s="25" t="n"/>
      <c r="U7837" s="19">
        <f>IF(AND($V7837='設定'!$C$4,COUNTIF('商品マスタ'!$B$6:$B$1005,$W7837)=0),N(U7836)+1,N(U7836))</f>
        <v/>
      </c>
      <c r="V7837" s="19">
        <f>IF($B7837="","",TEXT($B7837,"0000"))</f>
        <v/>
      </c>
      <c r="W7837" s="19">
        <f>IF($I7837="","",IF(ISNUMBER($I7837),TEXT($I7837,"0"),$I7837))</f>
        <v/>
      </c>
    </row>
    <row r="7838">
      <c r="B7838" s="25" t="n"/>
      <c r="I7838" s="25" t="n"/>
      <c r="U7838" s="19">
        <f>IF(AND($V7838='設定'!$C$4,COUNTIF('商品マスタ'!$B$6:$B$1005,$W7838)=0),N(U7837)+1,N(U7837))</f>
        <v/>
      </c>
      <c r="V7838" s="19">
        <f>IF($B7838="","",TEXT($B7838,"0000"))</f>
        <v/>
      </c>
      <c r="W7838" s="19">
        <f>IF($I7838="","",IF(ISNUMBER($I7838),TEXT($I7838,"0"),$I7838))</f>
        <v/>
      </c>
    </row>
    <row r="7839">
      <c r="B7839" s="25" t="n"/>
      <c r="I7839" s="25" t="n"/>
      <c r="U7839" s="19">
        <f>IF(AND($V7839='設定'!$C$4,COUNTIF('商品マスタ'!$B$6:$B$1005,$W7839)=0),N(U7838)+1,N(U7838))</f>
        <v/>
      </c>
      <c r="V7839" s="19">
        <f>IF($B7839="","",TEXT($B7839,"0000"))</f>
        <v/>
      </c>
      <c r="W7839" s="19">
        <f>IF($I7839="","",IF(ISNUMBER($I7839),TEXT($I7839,"0"),$I7839))</f>
        <v/>
      </c>
    </row>
    <row r="7840">
      <c r="B7840" s="25" t="n"/>
      <c r="I7840" s="25" t="n"/>
      <c r="U7840" s="19">
        <f>IF(AND($V7840='設定'!$C$4,COUNTIF('商品マスタ'!$B$6:$B$1005,$W7840)=0),N(U7839)+1,N(U7839))</f>
        <v/>
      </c>
      <c r="V7840" s="19">
        <f>IF($B7840="","",TEXT($B7840,"0000"))</f>
        <v/>
      </c>
      <c r="W7840" s="19">
        <f>IF($I7840="","",IF(ISNUMBER($I7840),TEXT($I7840,"0"),$I7840))</f>
        <v/>
      </c>
    </row>
    <row r="7841">
      <c r="B7841" s="25" t="n"/>
      <c r="I7841" s="25" t="n"/>
      <c r="U7841" s="19">
        <f>IF(AND($V7841='設定'!$C$4,COUNTIF('商品マスタ'!$B$6:$B$1005,$W7841)=0),N(U7840)+1,N(U7840))</f>
        <v/>
      </c>
      <c r="V7841" s="19">
        <f>IF($B7841="","",TEXT($B7841,"0000"))</f>
        <v/>
      </c>
      <c r="W7841" s="19">
        <f>IF($I7841="","",IF(ISNUMBER($I7841),TEXT($I7841,"0"),$I7841))</f>
        <v/>
      </c>
    </row>
    <row r="7842">
      <c r="B7842" s="25" t="n"/>
      <c r="I7842" s="25" t="n"/>
      <c r="U7842" s="19">
        <f>IF(AND($V7842='設定'!$C$4,COUNTIF('商品マスタ'!$B$6:$B$1005,$W7842)=0),N(U7841)+1,N(U7841))</f>
        <v/>
      </c>
      <c r="V7842" s="19">
        <f>IF($B7842="","",TEXT($B7842,"0000"))</f>
        <v/>
      </c>
      <c r="W7842" s="19">
        <f>IF($I7842="","",IF(ISNUMBER($I7842),TEXT($I7842,"0"),$I7842))</f>
        <v/>
      </c>
    </row>
    <row r="7843">
      <c r="B7843" s="25" t="n"/>
      <c r="I7843" s="25" t="n"/>
      <c r="U7843" s="19">
        <f>IF(AND($V7843='設定'!$C$4,COUNTIF('商品マスタ'!$B$6:$B$1005,$W7843)=0),N(U7842)+1,N(U7842))</f>
        <v/>
      </c>
      <c r="V7843" s="19">
        <f>IF($B7843="","",TEXT($B7843,"0000"))</f>
        <v/>
      </c>
      <c r="W7843" s="19">
        <f>IF($I7843="","",IF(ISNUMBER($I7843),TEXT($I7843,"0"),$I7843))</f>
        <v/>
      </c>
    </row>
    <row r="7844">
      <c r="B7844" s="25" t="n"/>
      <c r="I7844" s="25" t="n"/>
      <c r="U7844" s="19">
        <f>IF(AND($V7844='設定'!$C$4,COUNTIF('商品マスタ'!$B$6:$B$1005,$W7844)=0),N(U7843)+1,N(U7843))</f>
        <v/>
      </c>
      <c r="V7844" s="19">
        <f>IF($B7844="","",TEXT($B7844,"0000"))</f>
        <v/>
      </c>
      <c r="W7844" s="19">
        <f>IF($I7844="","",IF(ISNUMBER($I7844),TEXT($I7844,"0"),$I7844))</f>
        <v/>
      </c>
    </row>
    <row r="7845">
      <c r="B7845" s="25" t="n"/>
      <c r="I7845" s="25" t="n"/>
      <c r="U7845" s="19">
        <f>IF(AND($V7845='設定'!$C$4,COUNTIF('商品マスタ'!$B$6:$B$1005,$W7845)=0),N(U7844)+1,N(U7844))</f>
        <v/>
      </c>
      <c r="V7845" s="19">
        <f>IF($B7845="","",TEXT($B7845,"0000"))</f>
        <v/>
      </c>
      <c r="W7845" s="19">
        <f>IF($I7845="","",IF(ISNUMBER($I7845),TEXT($I7845,"0"),$I7845))</f>
        <v/>
      </c>
    </row>
    <row r="7846">
      <c r="B7846" s="25" t="n"/>
      <c r="I7846" s="25" t="n"/>
      <c r="U7846" s="19">
        <f>IF(AND($V7846='設定'!$C$4,COUNTIF('商品マスタ'!$B$6:$B$1005,$W7846)=0),N(U7845)+1,N(U7845))</f>
        <v/>
      </c>
      <c r="V7846" s="19">
        <f>IF($B7846="","",TEXT($B7846,"0000"))</f>
        <v/>
      </c>
      <c r="W7846" s="19">
        <f>IF($I7846="","",IF(ISNUMBER($I7846),TEXT($I7846,"0"),$I7846))</f>
        <v/>
      </c>
    </row>
    <row r="7847">
      <c r="B7847" s="25" t="n"/>
      <c r="I7847" s="25" t="n"/>
      <c r="U7847" s="19">
        <f>IF(AND($V7847='設定'!$C$4,COUNTIF('商品マスタ'!$B$6:$B$1005,$W7847)=0),N(U7846)+1,N(U7846))</f>
        <v/>
      </c>
      <c r="V7847" s="19">
        <f>IF($B7847="","",TEXT($B7847,"0000"))</f>
        <v/>
      </c>
      <c r="W7847" s="19">
        <f>IF($I7847="","",IF(ISNUMBER($I7847),TEXT($I7847,"0"),$I7847))</f>
        <v/>
      </c>
    </row>
    <row r="7848">
      <c r="B7848" s="25" t="n"/>
      <c r="I7848" s="25" t="n"/>
      <c r="U7848" s="19">
        <f>IF(AND($V7848='設定'!$C$4,COUNTIF('商品マスタ'!$B$6:$B$1005,$W7848)=0),N(U7847)+1,N(U7847))</f>
        <v/>
      </c>
      <c r="V7848" s="19">
        <f>IF($B7848="","",TEXT($B7848,"0000"))</f>
        <v/>
      </c>
      <c r="W7848" s="19">
        <f>IF($I7848="","",IF(ISNUMBER($I7848),TEXT($I7848,"0"),$I7848))</f>
        <v/>
      </c>
    </row>
    <row r="7849">
      <c r="B7849" s="25" t="n"/>
      <c r="I7849" s="25" t="n"/>
      <c r="U7849" s="19">
        <f>IF(AND($V7849='設定'!$C$4,COUNTIF('商品マスタ'!$B$6:$B$1005,$W7849)=0),N(U7848)+1,N(U7848))</f>
        <v/>
      </c>
      <c r="V7849" s="19">
        <f>IF($B7849="","",TEXT($B7849,"0000"))</f>
        <v/>
      </c>
      <c r="W7849" s="19">
        <f>IF($I7849="","",IF(ISNUMBER($I7849),TEXT($I7849,"0"),$I7849))</f>
        <v/>
      </c>
    </row>
    <row r="7850">
      <c r="B7850" s="25" t="n"/>
      <c r="I7850" s="25" t="n"/>
      <c r="U7850" s="19">
        <f>IF(AND($V7850='設定'!$C$4,COUNTIF('商品マスタ'!$B$6:$B$1005,$W7850)=0),N(U7849)+1,N(U7849))</f>
        <v/>
      </c>
      <c r="V7850" s="19">
        <f>IF($B7850="","",TEXT($B7850,"0000"))</f>
        <v/>
      </c>
      <c r="W7850" s="19">
        <f>IF($I7850="","",IF(ISNUMBER($I7850),TEXT($I7850,"0"),$I7850))</f>
        <v/>
      </c>
    </row>
    <row r="7851">
      <c r="B7851" s="25" t="n"/>
      <c r="I7851" s="25" t="n"/>
      <c r="U7851" s="19">
        <f>IF(AND($V7851='設定'!$C$4,COUNTIF('商品マスタ'!$B$6:$B$1005,$W7851)=0),N(U7850)+1,N(U7850))</f>
        <v/>
      </c>
      <c r="V7851" s="19">
        <f>IF($B7851="","",TEXT($B7851,"0000"))</f>
        <v/>
      </c>
      <c r="W7851" s="19">
        <f>IF($I7851="","",IF(ISNUMBER($I7851),TEXT($I7851,"0"),$I7851))</f>
        <v/>
      </c>
    </row>
    <row r="7852">
      <c r="B7852" s="25" t="n"/>
      <c r="I7852" s="25" t="n"/>
      <c r="U7852" s="19">
        <f>IF(AND($V7852='設定'!$C$4,COUNTIF('商品マスタ'!$B$6:$B$1005,$W7852)=0),N(U7851)+1,N(U7851))</f>
        <v/>
      </c>
      <c r="V7852" s="19">
        <f>IF($B7852="","",TEXT($B7852,"0000"))</f>
        <v/>
      </c>
      <c r="W7852" s="19">
        <f>IF($I7852="","",IF(ISNUMBER($I7852),TEXT($I7852,"0"),$I7852))</f>
        <v/>
      </c>
    </row>
    <row r="7853">
      <c r="B7853" s="25" t="n"/>
      <c r="I7853" s="25" t="n"/>
      <c r="U7853" s="19">
        <f>IF(AND($V7853='設定'!$C$4,COUNTIF('商品マスタ'!$B$6:$B$1005,$W7853)=0),N(U7852)+1,N(U7852))</f>
        <v/>
      </c>
      <c r="V7853" s="19">
        <f>IF($B7853="","",TEXT($B7853,"0000"))</f>
        <v/>
      </c>
      <c r="W7853" s="19">
        <f>IF($I7853="","",IF(ISNUMBER($I7853),TEXT($I7853,"0"),$I7853))</f>
        <v/>
      </c>
    </row>
    <row r="7854">
      <c r="B7854" s="25" t="n"/>
      <c r="I7854" s="25" t="n"/>
      <c r="U7854" s="19">
        <f>IF(AND($V7854='設定'!$C$4,COUNTIF('商品マスタ'!$B$6:$B$1005,$W7854)=0),N(U7853)+1,N(U7853))</f>
        <v/>
      </c>
      <c r="V7854" s="19">
        <f>IF($B7854="","",TEXT($B7854,"0000"))</f>
        <v/>
      </c>
      <c r="W7854" s="19">
        <f>IF($I7854="","",IF(ISNUMBER($I7854),TEXT($I7854,"0"),$I7854))</f>
        <v/>
      </c>
    </row>
    <row r="7855">
      <c r="B7855" s="25" t="n"/>
      <c r="I7855" s="25" t="n"/>
      <c r="U7855" s="19">
        <f>IF(AND($V7855='設定'!$C$4,COUNTIF('商品マスタ'!$B$6:$B$1005,$W7855)=0),N(U7854)+1,N(U7854))</f>
        <v/>
      </c>
      <c r="V7855" s="19">
        <f>IF($B7855="","",TEXT($B7855,"0000"))</f>
        <v/>
      </c>
      <c r="W7855" s="19">
        <f>IF($I7855="","",IF(ISNUMBER($I7855),TEXT($I7855,"0"),$I7855))</f>
        <v/>
      </c>
    </row>
    <row r="7856">
      <c r="B7856" s="25" t="n"/>
      <c r="I7856" s="25" t="n"/>
      <c r="U7856" s="19">
        <f>IF(AND($V7856='設定'!$C$4,COUNTIF('商品マスタ'!$B$6:$B$1005,$W7856)=0),N(U7855)+1,N(U7855))</f>
        <v/>
      </c>
      <c r="V7856" s="19">
        <f>IF($B7856="","",TEXT($B7856,"0000"))</f>
        <v/>
      </c>
      <c r="W7856" s="19">
        <f>IF($I7856="","",IF(ISNUMBER($I7856),TEXT($I7856,"0"),$I7856))</f>
        <v/>
      </c>
    </row>
    <row r="7857">
      <c r="B7857" s="25" t="n"/>
      <c r="I7857" s="25" t="n"/>
      <c r="U7857" s="19">
        <f>IF(AND($V7857='設定'!$C$4,COUNTIF('商品マスタ'!$B$6:$B$1005,$W7857)=0),N(U7856)+1,N(U7856))</f>
        <v/>
      </c>
      <c r="V7857" s="19">
        <f>IF($B7857="","",TEXT($B7857,"0000"))</f>
        <v/>
      </c>
      <c r="W7857" s="19">
        <f>IF($I7857="","",IF(ISNUMBER($I7857),TEXT($I7857,"0"),$I7857))</f>
        <v/>
      </c>
    </row>
    <row r="7858">
      <c r="B7858" s="25" t="n"/>
      <c r="I7858" s="25" t="n"/>
      <c r="U7858" s="19">
        <f>IF(AND($V7858='設定'!$C$4,COUNTIF('商品マスタ'!$B$6:$B$1005,$W7858)=0),N(U7857)+1,N(U7857))</f>
        <v/>
      </c>
      <c r="V7858" s="19">
        <f>IF($B7858="","",TEXT($B7858,"0000"))</f>
        <v/>
      </c>
      <c r="W7858" s="19">
        <f>IF($I7858="","",IF(ISNUMBER($I7858),TEXT($I7858,"0"),$I7858))</f>
        <v/>
      </c>
    </row>
    <row r="7859">
      <c r="B7859" s="25" t="n"/>
      <c r="I7859" s="25" t="n"/>
      <c r="U7859" s="19">
        <f>IF(AND($V7859='設定'!$C$4,COUNTIF('商品マスタ'!$B$6:$B$1005,$W7859)=0),N(U7858)+1,N(U7858))</f>
        <v/>
      </c>
      <c r="V7859" s="19">
        <f>IF($B7859="","",TEXT($B7859,"0000"))</f>
        <v/>
      </c>
      <c r="W7859" s="19">
        <f>IF($I7859="","",IF(ISNUMBER($I7859),TEXT($I7859,"0"),$I7859))</f>
        <v/>
      </c>
    </row>
    <row r="7860">
      <c r="B7860" s="25" t="n"/>
      <c r="I7860" s="25" t="n"/>
      <c r="U7860" s="19">
        <f>IF(AND($V7860='設定'!$C$4,COUNTIF('商品マスタ'!$B$6:$B$1005,$W7860)=0),N(U7859)+1,N(U7859))</f>
        <v/>
      </c>
      <c r="V7860" s="19">
        <f>IF($B7860="","",TEXT($B7860,"0000"))</f>
        <v/>
      </c>
      <c r="W7860" s="19">
        <f>IF($I7860="","",IF(ISNUMBER($I7860),TEXT($I7860,"0"),$I7860))</f>
        <v/>
      </c>
    </row>
    <row r="7861">
      <c r="B7861" s="25" t="n"/>
      <c r="I7861" s="25" t="n"/>
      <c r="U7861" s="19">
        <f>IF(AND($V7861='設定'!$C$4,COUNTIF('商品マスタ'!$B$6:$B$1005,$W7861)=0),N(U7860)+1,N(U7860))</f>
        <v/>
      </c>
      <c r="V7861" s="19">
        <f>IF($B7861="","",TEXT($B7861,"0000"))</f>
        <v/>
      </c>
      <c r="W7861" s="19">
        <f>IF($I7861="","",IF(ISNUMBER($I7861),TEXT($I7861,"0"),$I7861))</f>
        <v/>
      </c>
    </row>
    <row r="7862">
      <c r="B7862" s="25" t="n"/>
      <c r="I7862" s="25" t="n"/>
      <c r="U7862" s="19">
        <f>IF(AND($V7862='設定'!$C$4,COUNTIF('商品マスタ'!$B$6:$B$1005,$W7862)=0),N(U7861)+1,N(U7861))</f>
        <v/>
      </c>
      <c r="V7862" s="19">
        <f>IF($B7862="","",TEXT($B7862,"0000"))</f>
        <v/>
      </c>
      <c r="W7862" s="19">
        <f>IF($I7862="","",IF(ISNUMBER($I7862),TEXT($I7862,"0"),$I7862))</f>
        <v/>
      </c>
    </row>
    <row r="7863">
      <c r="B7863" s="25" t="n"/>
      <c r="I7863" s="25" t="n"/>
      <c r="U7863" s="19">
        <f>IF(AND($V7863='設定'!$C$4,COUNTIF('商品マスタ'!$B$6:$B$1005,$W7863)=0),N(U7862)+1,N(U7862))</f>
        <v/>
      </c>
      <c r="V7863" s="19">
        <f>IF($B7863="","",TEXT($B7863,"0000"))</f>
        <v/>
      </c>
      <c r="W7863" s="19">
        <f>IF($I7863="","",IF(ISNUMBER($I7863),TEXT($I7863,"0"),$I7863))</f>
        <v/>
      </c>
    </row>
    <row r="7864">
      <c r="B7864" s="25" t="n"/>
      <c r="I7864" s="25" t="n"/>
      <c r="U7864" s="19">
        <f>IF(AND($V7864='設定'!$C$4,COUNTIF('商品マスタ'!$B$6:$B$1005,$W7864)=0),N(U7863)+1,N(U7863))</f>
        <v/>
      </c>
      <c r="V7864" s="19">
        <f>IF($B7864="","",TEXT($B7864,"0000"))</f>
        <v/>
      </c>
      <c r="W7864" s="19">
        <f>IF($I7864="","",IF(ISNUMBER($I7864),TEXT($I7864,"0"),$I7864))</f>
        <v/>
      </c>
    </row>
    <row r="7865">
      <c r="B7865" s="25" t="n"/>
      <c r="I7865" s="25" t="n"/>
      <c r="U7865" s="19">
        <f>IF(AND($V7865='設定'!$C$4,COUNTIF('商品マスタ'!$B$6:$B$1005,$W7865)=0),N(U7864)+1,N(U7864))</f>
        <v/>
      </c>
      <c r="V7865" s="19">
        <f>IF($B7865="","",TEXT($B7865,"0000"))</f>
        <v/>
      </c>
      <c r="W7865" s="19">
        <f>IF($I7865="","",IF(ISNUMBER($I7865),TEXT($I7865,"0"),$I7865))</f>
        <v/>
      </c>
    </row>
    <row r="7866">
      <c r="B7866" s="25" t="n"/>
      <c r="I7866" s="25" t="n"/>
      <c r="U7866" s="19">
        <f>IF(AND($V7866='設定'!$C$4,COUNTIF('商品マスタ'!$B$6:$B$1005,$W7866)=0),N(U7865)+1,N(U7865))</f>
        <v/>
      </c>
      <c r="V7866" s="19">
        <f>IF($B7866="","",TEXT($B7866,"0000"))</f>
        <v/>
      </c>
      <c r="W7866" s="19">
        <f>IF($I7866="","",IF(ISNUMBER($I7866),TEXT($I7866,"0"),$I7866))</f>
        <v/>
      </c>
    </row>
    <row r="7867">
      <c r="B7867" s="25" t="n"/>
      <c r="I7867" s="25" t="n"/>
      <c r="U7867" s="19">
        <f>IF(AND($V7867='設定'!$C$4,COUNTIF('商品マスタ'!$B$6:$B$1005,$W7867)=0),N(U7866)+1,N(U7866))</f>
        <v/>
      </c>
      <c r="V7867" s="19">
        <f>IF($B7867="","",TEXT($B7867,"0000"))</f>
        <v/>
      </c>
      <c r="W7867" s="19">
        <f>IF($I7867="","",IF(ISNUMBER($I7867),TEXT($I7867,"0"),$I7867))</f>
        <v/>
      </c>
    </row>
    <row r="7868">
      <c r="B7868" s="25" t="n"/>
      <c r="I7868" s="25" t="n"/>
      <c r="U7868" s="19">
        <f>IF(AND($V7868='設定'!$C$4,COUNTIF('商品マスタ'!$B$6:$B$1005,$W7868)=0),N(U7867)+1,N(U7867))</f>
        <v/>
      </c>
      <c r="V7868" s="19">
        <f>IF($B7868="","",TEXT($B7868,"0000"))</f>
        <v/>
      </c>
      <c r="W7868" s="19">
        <f>IF($I7868="","",IF(ISNUMBER($I7868),TEXT($I7868,"0"),$I7868))</f>
        <v/>
      </c>
    </row>
    <row r="7869">
      <c r="B7869" s="25" t="n"/>
      <c r="I7869" s="25" t="n"/>
      <c r="U7869" s="19">
        <f>IF(AND($V7869='設定'!$C$4,COUNTIF('商品マスタ'!$B$6:$B$1005,$W7869)=0),N(U7868)+1,N(U7868))</f>
        <v/>
      </c>
      <c r="V7869" s="19">
        <f>IF($B7869="","",TEXT($B7869,"0000"))</f>
        <v/>
      </c>
      <c r="W7869" s="19">
        <f>IF($I7869="","",IF(ISNUMBER($I7869),TEXT($I7869,"0"),$I7869))</f>
        <v/>
      </c>
    </row>
    <row r="7870">
      <c r="B7870" s="25" t="n"/>
      <c r="I7870" s="25" t="n"/>
      <c r="U7870" s="19">
        <f>IF(AND($V7870='設定'!$C$4,COUNTIF('商品マスタ'!$B$6:$B$1005,$W7870)=0),N(U7869)+1,N(U7869))</f>
        <v/>
      </c>
      <c r="V7870" s="19">
        <f>IF($B7870="","",TEXT($B7870,"0000"))</f>
        <v/>
      </c>
      <c r="W7870" s="19">
        <f>IF($I7870="","",IF(ISNUMBER($I7870),TEXT($I7870,"0"),$I7870))</f>
        <v/>
      </c>
    </row>
    <row r="7871">
      <c r="B7871" s="25" t="n"/>
      <c r="I7871" s="25" t="n"/>
      <c r="U7871" s="19">
        <f>IF(AND($V7871='設定'!$C$4,COUNTIF('商品マスタ'!$B$6:$B$1005,$W7871)=0),N(U7870)+1,N(U7870))</f>
        <v/>
      </c>
      <c r="V7871" s="19">
        <f>IF($B7871="","",TEXT($B7871,"0000"))</f>
        <v/>
      </c>
      <c r="W7871" s="19">
        <f>IF($I7871="","",IF(ISNUMBER($I7871),TEXT($I7871,"0"),$I7871))</f>
        <v/>
      </c>
    </row>
    <row r="7872">
      <c r="B7872" s="25" t="n"/>
      <c r="I7872" s="25" t="n"/>
      <c r="U7872" s="19">
        <f>IF(AND($V7872='設定'!$C$4,COUNTIF('商品マスタ'!$B$6:$B$1005,$W7872)=0),N(U7871)+1,N(U7871))</f>
        <v/>
      </c>
      <c r="V7872" s="19">
        <f>IF($B7872="","",TEXT($B7872,"0000"))</f>
        <v/>
      </c>
      <c r="W7872" s="19">
        <f>IF($I7872="","",IF(ISNUMBER($I7872),TEXT($I7872,"0"),$I7872))</f>
        <v/>
      </c>
    </row>
    <row r="7873">
      <c r="B7873" s="25" t="n"/>
      <c r="I7873" s="25" t="n"/>
      <c r="U7873" s="19">
        <f>IF(AND($V7873='設定'!$C$4,COUNTIF('商品マスタ'!$B$6:$B$1005,$W7873)=0),N(U7872)+1,N(U7872))</f>
        <v/>
      </c>
      <c r="V7873" s="19">
        <f>IF($B7873="","",TEXT($B7873,"0000"))</f>
        <v/>
      </c>
      <c r="W7873" s="19">
        <f>IF($I7873="","",IF(ISNUMBER($I7873),TEXT($I7873,"0"),$I7873))</f>
        <v/>
      </c>
    </row>
    <row r="7874">
      <c r="B7874" s="25" t="n"/>
      <c r="I7874" s="25" t="n"/>
      <c r="U7874" s="19">
        <f>IF(AND($V7874='設定'!$C$4,COUNTIF('商品マスタ'!$B$6:$B$1005,$W7874)=0),N(U7873)+1,N(U7873))</f>
        <v/>
      </c>
      <c r="V7874" s="19">
        <f>IF($B7874="","",TEXT($B7874,"0000"))</f>
        <v/>
      </c>
      <c r="W7874" s="19">
        <f>IF($I7874="","",IF(ISNUMBER($I7874),TEXT($I7874,"0"),$I7874))</f>
        <v/>
      </c>
    </row>
    <row r="7875">
      <c r="B7875" s="25" t="n"/>
      <c r="I7875" s="25" t="n"/>
      <c r="U7875" s="19">
        <f>IF(AND($V7875='設定'!$C$4,COUNTIF('商品マスタ'!$B$6:$B$1005,$W7875)=0),N(U7874)+1,N(U7874))</f>
        <v/>
      </c>
      <c r="V7875" s="19">
        <f>IF($B7875="","",TEXT($B7875,"0000"))</f>
        <v/>
      </c>
      <c r="W7875" s="19">
        <f>IF($I7875="","",IF(ISNUMBER($I7875),TEXT($I7875,"0"),$I7875))</f>
        <v/>
      </c>
    </row>
    <row r="7876">
      <c r="B7876" s="25" t="n"/>
      <c r="I7876" s="25" t="n"/>
      <c r="U7876" s="19">
        <f>IF(AND($V7876='設定'!$C$4,COUNTIF('商品マスタ'!$B$6:$B$1005,$W7876)=0),N(U7875)+1,N(U7875))</f>
        <v/>
      </c>
      <c r="V7876" s="19">
        <f>IF($B7876="","",TEXT($B7876,"0000"))</f>
        <v/>
      </c>
      <c r="W7876" s="19">
        <f>IF($I7876="","",IF(ISNUMBER($I7876),TEXT($I7876,"0"),$I7876))</f>
        <v/>
      </c>
    </row>
    <row r="7877">
      <c r="B7877" s="25" t="n"/>
      <c r="I7877" s="25" t="n"/>
      <c r="U7877" s="19">
        <f>IF(AND($V7877='設定'!$C$4,COUNTIF('商品マスタ'!$B$6:$B$1005,$W7877)=0),N(U7876)+1,N(U7876))</f>
        <v/>
      </c>
      <c r="V7877" s="19">
        <f>IF($B7877="","",TEXT($B7877,"0000"))</f>
        <v/>
      </c>
      <c r="W7877" s="19">
        <f>IF($I7877="","",IF(ISNUMBER($I7877),TEXT($I7877,"0"),$I7877))</f>
        <v/>
      </c>
    </row>
    <row r="7878">
      <c r="B7878" s="25" t="n"/>
      <c r="I7878" s="25" t="n"/>
      <c r="U7878" s="19">
        <f>IF(AND($V7878='設定'!$C$4,COUNTIF('商品マスタ'!$B$6:$B$1005,$W7878)=0),N(U7877)+1,N(U7877))</f>
        <v/>
      </c>
      <c r="V7878" s="19">
        <f>IF($B7878="","",TEXT($B7878,"0000"))</f>
        <v/>
      </c>
      <c r="W7878" s="19">
        <f>IF($I7878="","",IF(ISNUMBER($I7878),TEXT($I7878,"0"),$I7878))</f>
        <v/>
      </c>
    </row>
    <row r="7879">
      <c r="B7879" s="25" t="n"/>
      <c r="I7879" s="25" t="n"/>
      <c r="U7879" s="19">
        <f>IF(AND($V7879='設定'!$C$4,COUNTIF('商品マスタ'!$B$6:$B$1005,$W7879)=0),N(U7878)+1,N(U7878))</f>
        <v/>
      </c>
      <c r="V7879" s="19">
        <f>IF($B7879="","",TEXT($B7879,"0000"))</f>
        <v/>
      </c>
      <c r="W7879" s="19">
        <f>IF($I7879="","",IF(ISNUMBER($I7879),TEXT($I7879,"0"),$I7879))</f>
        <v/>
      </c>
    </row>
    <row r="7880">
      <c r="B7880" s="25" t="n"/>
      <c r="I7880" s="25" t="n"/>
      <c r="U7880" s="19">
        <f>IF(AND($V7880='設定'!$C$4,COUNTIF('商品マスタ'!$B$6:$B$1005,$W7880)=0),N(U7879)+1,N(U7879))</f>
        <v/>
      </c>
      <c r="V7880" s="19">
        <f>IF($B7880="","",TEXT($B7880,"0000"))</f>
        <v/>
      </c>
      <c r="W7880" s="19">
        <f>IF($I7880="","",IF(ISNUMBER($I7880),TEXT($I7880,"0"),$I7880))</f>
        <v/>
      </c>
    </row>
    <row r="7881">
      <c r="B7881" s="25" t="n"/>
      <c r="I7881" s="25" t="n"/>
      <c r="U7881" s="19">
        <f>IF(AND($V7881='設定'!$C$4,COUNTIF('商品マスタ'!$B$6:$B$1005,$W7881)=0),N(U7880)+1,N(U7880))</f>
        <v/>
      </c>
      <c r="V7881" s="19">
        <f>IF($B7881="","",TEXT($B7881,"0000"))</f>
        <v/>
      </c>
      <c r="W7881" s="19">
        <f>IF($I7881="","",IF(ISNUMBER($I7881),TEXT($I7881,"0"),$I7881))</f>
        <v/>
      </c>
    </row>
    <row r="7882">
      <c r="B7882" s="25" t="n"/>
      <c r="I7882" s="25" t="n"/>
      <c r="U7882" s="19">
        <f>IF(AND($V7882='設定'!$C$4,COUNTIF('商品マスタ'!$B$6:$B$1005,$W7882)=0),N(U7881)+1,N(U7881))</f>
        <v/>
      </c>
      <c r="V7882" s="19">
        <f>IF($B7882="","",TEXT($B7882,"0000"))</f>
        <v/>
      </c>
      <c r="W7882" s="19">
        <f>IF($I7882="","",IF(ISNUMBER($I7882),TEXT($I7882,"0"),$I7882))</f>
        <v/>
      </c>
    </row>
    <row r="7883">
      <c r="B7883" s="25" t="n"/>
      <c r="I7883" s="25" t="n"/>
      <c r="U7883" s="19">
        <f>IF(AND($V7883='設定'!$C$4,COUNTIF('商品マスタ'!$B$6:$B$1005,$W7883)=0),N(U7882)+1,N(U7882))</f>
        <v/>
      </c>
      <c r="V7883" s="19">
        <f>IF($B7883="","",TEXT($B7883,"0000"))</f>
        <v/>
      </c>
      <c r="W7883" s="19">
        <f>IF($I7883="","",IF(ISNUMBER($I7883),TEXT($I7883,"0"),$I7883))</f>
        <v/>
      </c>
    </row>
    <row r="7884">
      <c r="B7884" s="25" t="n"/>
      <c r="I7884" s="25" t="n"/>
      <c r="U7884" s="19">
        <f>IF(AND($V7884='設定'!$C$4,COUNTIF('商品マスタ'!$B$6:$B$1005,$W7884)=0),N(U7883)+1,N(U7883))</f>
        <v/>
      </c>
      <c r="V7884" s="19">
        <f>IF($B7884="","",TEXT($B7884,"0000"))</f>
        <v/>
      </c>
      <c r="W7884" s="19">
        <f>IF($I7884="","",IF(ISNUMBER($I7884),TEXT($I7884,"0"),$I7884))</f>
        <v/>
      </c>
    </row>
    <row r="7885">
      <c r="B7885" s="25" t="n"/>
      <c r="I7885" s="25" t="n"/>
      <c r="U7885" s="19">
        <f>IF(AND($V7885='設定'!$C$4,COUNTIF('商品マスタ'!$B$6:$B$1005,$W7885)=0),N(U7884)+1,N(U7884))</f>
        <v/>
      </c>
      <c r="V7885" s="19">
        <f>IF($B7885="","",TEXT($B7885,"0000"))</f>
        <v/>
      </c>
      <c r="W7885" s="19">
        <f>IF($I7885="","",IF(ISNUMBER($I7885),TEXT($I7885,"0"),$I7885))</f>
        <v/>
      </c>
    </row>
    <row r="7886">
      <c r="B7886" s="25" t="n"/>
      <c r="I7886" s="25" t="n"/>
      <c r="U7886" s="19">
        <f>IF(AND($V7886='設定'!$C$4,COUNTIF('商品マスタ'!$B$6:$B$1005,$W7886)=0),N(U7885)+1,N(U7885))</f>
        <v/>
      </c>
      <c r="V7886" s="19">
        <f>IF($B7886="","",TEXT($B7886,"0000"))</f>
        <v/>
      </c>
      <c r="W7886" s="19">
        <f>IF($I7886="","",IF(ISNUMBER($I7886),TEXT($I7886,"0"),$I7886))</f>
        <v/>
      </c>
    </row>
    <row r="7887">
      <c r="B7887" s="25" t="n"/>
      <c r="I7887" s="25" t="n"/>
      <c r="U7887" s="19">
        <f>IF(AND($V7887='設定'!$C$4,COUNTIF('商品マスタ'!$B$6:$B$1005,$W7887)=0),N(U7886)+1,N(U7886))</f>
        <v/>
      </c>
      <c r="V7887" s="19">
        <f>IF($B7887="","",TEXT($B7887,"0000"))</f>
        <v/>
      </c>
      <c r="W7887" s="19">
        <f>IF($I7887="","",IF(ISNUMBER($I7887),TEXT($I7887,"0"),$I7887))</f>
        <v/>
      </c>
    </row>
    <row r="7888">
      <c r="B7888" s="25" t="n"/>
      <c r="I7888" s="25" t="n"/>
      <c r="U7888" s="19">
        <f>IF(AND($V7888='設定'!$C$4,COUNTIF('商品マスタ'!$B$6:$B$1005,$W7888)=0),N(U7887)+1,N(U7887))</f>
        <v/>
      </c>
      <c r="V7888" s="19">
        <f>IF($B7888="","",TEXT($B7888,"0000"))</f>
        <v/>
      </c>
      <c r="W7888" s="19">
        <f>IF($I7888="","",IF(ISNUMBER($I7888),TEXT($I7888,"0"),$I7888))</f>
        <v/>
      </c>
    </row>
    <row r="7889">
      <c r="B7889" s="25" t="n"/>
      <c r="I7889" s="25" t="n"/>
      <c r="U7889" s="19">
        <f>IF(AND($V7889='設定'!$C$4,COUNTIF('商品マスタ'!$B$6:$B$1005,$W7889)=0),N(U7888)+1,N(U7888))</f>
        <v/>
      </c>
      <c r="V7889" s="19">
        <f>IF($B7889="","",TEXT($B7889,"0000"))</f>
        <v/>
      </c>
      <c r="W7889" s="19">
        <f>IF($I7889="","",IF(ISNUMBER($I7889),TEXT($I7889,"0"),$I7889))</f>
        <v/>
      </c>
    </row>
    <row r="7890">
      <c r="B7890" s="25" t="n"/>
      <c r="I7890" s="25" t="n"/>
      <c r="U7890" s="19">
        <f>IF(AND($V7890='設定'!$C$4,COUNTIF('商品マスタ'!$B$6:$B$1005,$W7890)=0),N(U7889)+1,N(U7889))</f>
        <v/>
      </c>
      <c r="V7890" s="19">
        <f>IF($B7890="","",TEXT($B7890,"0000"))</f>
        <v/>
      </c>
      <c r="W7890" s="19">
        <f>IF($I7890="","",IF(ISNUMBER($I7890),TEXT($I7890,"0"),$I7890))</f>
        <v/>
      </c>
    </row>
    <row r="7891">
      <c r="B7891" s="25" t="n"/>
      <c r="I7891" s="25" t="n"/>
      <c r="U7891" s="19">
        <f>IF(AND($V7891='設定'!$C$4,COUNTIF('商品マスタ'!$B$6:$B$1005,$W7891)=0),N(U7890)+1,N(U7890))</f>
        <v/>
      </c>
      <c r="V7891" s="19">
        <f>IF($B7891="","",TEXT($B7891,"0000"))</f>
        <v/>
      </c>
      <c r="W7891" s="19">
        <f>IF($I7891="","",IF(ISNUMBER($I7891),TEXT($I7891,"0"),$I7891))</f>
        <v/>
      </c>
    </row>
    <row r="7892">
      <c r="B7892" s="25" t="n"/>
      <c r="I7892" s="25" t="n"/>
      <c r="U7892" s="19">
        <f>IF(AND($V7892='設定'!$C$4,COUNTIF('商品マスタ'!$B$6:$B$1005,$W7892)=0),N(U7891)+1,N(U7891))</f>
        <v/>
      </c>
      <c r="V7892" s="19">
        <f>IF($B7892="","",TEXT($B7892,"0000"))</f>
        <v/>
      </c>
      <c r="W7892" s="19">
        <f>IF($I7892="","",IF(ISNUMBER($I7892),TEXT($I7892,"0"),$I7892))</f>
        <v/>
      </c>
    </row>
    <row r="7893">
      <c r="B7893" s="25" t="n"/>
      <c r="I7893" s="25" t="n"/>
      <c r="U7893" s="19">
        <f>IF(AND($V7893='設定'!$C$4,COUNTIF('商品マスタ'!$B$6:$B$1005,$W7893)=0),N(U7892)+1,N(U7892))</f>
        <v/>
      </c>
      <c r="V7893" s="19">
        <f>IF($B7893="","",TEXT($B7893,"0000"))</f>
        <v/>
      </c>
      <c r="W7893" s="19">
        <f>IF($I7893="","",IF(ISNUMBER($I7893),TEXT($I7893,"0"),$I7893))</f>
        <v/>
      </c>
    </row>
    <row r="7894">
      <c r="B7894" s="25" t="n"/>
      <c r="I7894" s="25" t="n"/>
      <c r="U7894" s="19">
        <f>IF(AND($V7894='設定'!$C$4,COUNTIF('商品マスタ'!$B$6:$B$1005,$W7894)=0),N(U7893)+1,N(U7893))</f>
        <v/>
      </c>
      <c r="V7894" s="19">
        <f>IF($B7894="","",TEXT($B7894,"0000"))</f>
        <v/>
      </c>
      <c r="W7894" s="19">
        <f>IF($I7894="","",IF(ISNUMBER($I7894),TEXT($I7894,"0"),$I7894))</f>
        <v/>
      </c>
    </row>
    <row r="7895">
      <c r="B7895" s="25" t="n"/>
      <c r="I7895" s="25" t="n"/>
      <c r="U7895" s="19">
        <f>IF(AND($V7895='設定'!$C$4,COUNTIF('商品マスタ'!$B$6:$B$1005,$W7895)=0),N(U7894)+1,N(U7894))</f>
        <v/>
      </c>
      <c r="V7895" s="19">
        <f>IF($B7895="","",TEXT($B7895,"0000"))</f>
        <v/>
      </c>
      <c r="W7895" s="19">
        <f>IF($I7895="","",IF(ISNUMBER($I7895),TEXT($I7895,"0"),$I7895))</f>
        <v/>
      </c>
    </row>
    <row r="7896">
      <c r="B7896" s="25" t="n"/>
      <c r="I7896" s="25" t="n"/>
      <c r="U7896" s="19">
        <f>IF(AND($V7896='設定'!$C$4,COUNTIF('商品マスタ'!$B$6:$B$1005,$W7896)=0),N(U7895)+1,N(U7895))</f>
        <v/>
      </c>
      <c r="V7896" s="19">
        <f>IF($B7896="","",TEXT($B7896,"0000"))</f>
        <v/>
      </c>
      <c r="W7896" s="19">
        <f>IF($I7896="","",IF(ISNUMBER($I7896),TEXT($I7896,"0"),$I7896))</f>
        <v/>
      </c>
    </row>
    <row r="7897">
      <c r="B7897" s="25" t="n"/>
      <c r="I7897" s="25" t="n"/>
      <c r="U7897" s="19">
        <f>IF(AND($V7897='設定'!$C$4,COUNTIF('商品マスタ'!$B$6:$B$1005,$W7897)=0),N(U7896)+1,N(U7896))</f>
        <v/>
      </c>
      <c r="V7897" s="19">
        <f>IF($B7897="","",TEXT($B7897,"0000"))</f>
        <v/>
      </c>
      <c r="W7897" s="19">
        <f>IF($I7897="","",IF(ISNUMBER($I7897),TEXT($I7897,"0"),$I7897))</f>
        <v/>
      </c>
    </row>
    <row r="7898">
      <c r="B7898" s="25" t="n"/>
      <c r="I7898" s="25" t="n"/>
      <c r="U7898" s="19">
        <f>IF(AND($V7898='設定'!$C$4,COUNTIF('商品マスタ'!$B$6:$B$1005,$W7898)=0),N(U7897)+1,N(U7897))</f>
        <v/>
      </c>
      <c r="V7898" s="19">
        <f>IF($B7898="","",TEXT($B7898,"0000"))</f>
        <v/>
      </c>
      <c r="W7898" s="19">
        <f>IF($I7898="","",IF(ISNUMBER($I7898),TEXT($I7898,"0"),$I7898))</f>
        <v/>
      </c>
    </row>
    <row r="7899">
      <c r="B7899" s="25" t="n"/>
      <c r="I7899" s="25" t="n"/>
      <c r="U7899" s="19">
        <f>IF(AND($V7899='設定'!$C$4,COUNTIF('商品マスタ'!$B$6:$B$1005,$W7899)=0),N(U7898)+1,N(U7898))</f>
        <v/>
      </c>
      <c r="V7899" s="19">
        <f>IF($B7899="","",TEXT($B7899,"0000"))</f>
        <v/>
      </c>
      <c r="W7899" s="19">
        <f>IF($I7899="","",IF(ISNUMBER($I7899),TEXT($I7899,"0"),$I7899))</f>
        <v/>
      </c>
    </row>
    <row r="7900">
      <c r="B7900" s="25" t="n"/>
      <c r="I7900" s="25" t="n"/>
      <c r="U7900" s="19">
        <f>IF(AND($V7900='設定'!$C$4,COUNTIF('商品マスタ'!$B$6:$B$1005,$W7900)=0),N(U7899)+1,N(U7899))</f>
        <v/>
      </c>
      <c r="V7900" s="19">
        <f>IF($B7900="","",TEXT($B7900,"0000"))</f>
        <v/>
      </c>
      <c r="W7900" s="19">
        <f>IF($I7900="","",IF(ISNUMBER($I7900),TEXT($I7900,"0"),$I7900))</f>
        <v/>
      </c>
    </row>
    <row r="7901">
      <c r="B7901" s="25" t="n"/>
      <c r="I7901" s="25" t="n"/>
      <c r="U7901" s="19">
        <f>IF(AND($V7901='設定'!$C$4,COUNTIF('商品マスタ'!$B$6:$B$1005,$W7901)=0),N(U7900)+1,N(U7900))</f>
        <v/>
      </c>
      <c r="V7901" s="19">
        <f>IF($B7901="","",TEXT($B7901,"0000"))</f>
        <v/>
      </c>
      <c r="W7901" s="19">
        <f>IF($I7901="","",IF(ISNUMBER($I7901),TEXT($I7901,"0"),$I7901))</f>
        <v/>
      </c>
    </row>
    <row r="7902">
      <c r="B7902" s="25" t="n"/>
      <c r="I7902" s="25" t="n"/>
      <c r="U7902" s="19">
        <f>IF(AND($V7902='設定'!$C$4,COUNTIF('商品マスタ'!$B$6:$B$1005,$W7902)=0),N(U7901)+1,N(U7901))</f>
        <v/>
      </c>
      <c r="V7902" s="19">
        <f>IF($B7902="","",TEXT($B7902,"0000"))</f>
        <v/>
      </c>
      <c r="W7902" s="19">
        <f>IF($I7902="","",IF(ISNUMBER($I7902),TEXT($I7902,"0"),$I7902))</f>
        <v/>
      </c>
    </row>
    <row r="7903">
      <c r="B7903" s="25" t="n"/>
      <c r="I7903" s="25" t="n"/>
      <c r="U7903" s="19">
        <f>IF(AND($V7903='設定'!$C$4,COUNTIF('商品マスタ'!$B$6:$B$1005,$W7903)=0),N(U7902)+1,N(U7902))</f>
        <v/>
      </c>
      <c r="V7903" s="19">
        <f>IF($B7903="","",TEXT($B7903,"0000"))</f>
        <v/>
      </c>
      <c r="W7903" s="19">
        <f>IF($I7903="","",IF(ISNUMBER($I7903),TEXT($I7903,"0"),$I7903))</f>
        <v/>
      </c>
    </row>
    <row r="7904">
      <c r="B7904" s="25" t="n"/>
      <c r="I7904" s="25" t="n"/>
      <c r="U7904" s="19">
        <f>IF(AND($V7904='設定'!$C$4,COUNTIF('商品マスタ'!$B$6:$B$1005,$W7904)=0),N(U7903)+1,N(U7903))</f>
        <v/>
      </c>
      <c r="V7904" s="19">
        <f>IF($B7904="","",TEXT($B7904,"0000"))</f>
        <v/>
      </c>
      <c r="W7904" s="19">
        <f>IF($I7904="","",IF(ISNUMBER($I7904),TEXT($I7904,"0"),$I7904))</f>
        <v/>
      </c>
    </row>
    <row r="7905">
      <c r="B7905" s="25" t="n"/>
      <c r="I7905" s="25" t="n"/>
      <c r="U7905" s="19">
        <f>IF(AND($V7905='設定'!$C$4,COUNTIF('商品マスタ'!$B$6:$B$1005,$W7905)=0),N(U7904)+1,N(U7904))</f>
        <v/>
      </c>
      <c r="V7905" s="19">
        <f>IF($B7905="","",TEXT($B7905,"0000"))</f>
        <v/>
      </c>
      <c r="W7905" s="19">
        <f>IF($I7905="","",IF(ISNUMBER($I7905),TEXT($I7905,"0"),$I7905))</f>
        <v/>
      </c>
    </row>
    <row r="7906">
      <c r="B7906" s="25" t="n"/>
      <c r="I7906" s="25" t="n"/>
      <c r="U7906" s="19">
        <f>IF(AND($V7906='設定'!$C$4,COUNTIF('商品マスタ'!$B$6:$B$1005,$W7906)=0),N(U7905)+1,N(U7905))</f>
        <v/>
      </c>
      <c r="V7906" s="19">
        <f>IF($B7906="","",TEXT($B7906,"0000"))</f>
        <v/>
      </c>
      <c r="W7906" s="19">
        <f>IF($I7906="","",IF(ISNUMBER($I7906),TEXT($I7906,"0"),$I7906))</f>
        <v/>
      </c>
    </row>
    <row r="7907">
      <c r="B7907" s="25" t="n"/>
      <c r="I7907" s="25" t="n"/>
      <c r="U7907" s="19">
        <f>IF(AND($V7907='設定'!$C$4,COUNTIF('商品マスタ'!$B$6:$B$1005,$W7907)=0),N(U7906)+1,N(U7906))</f>
        <v/>
      </c>
      <c r="V7907" s="19">
        <f>IF($B7907="","",TEXT($B7907,"0000"))</f>
        <v/>
      </c>
      <c r="W7907" s="19">
        <f>IF($I7907="","",IF(ISNUMBER($I7907),TEXT($I7907,"0"),$I7907))</f>
        <v/>
      </c>
    </row>
    <row r="7908">
      <c r="B7908" s="25" t="n"/>
      <c r="I7908" s="25" t="n"/>
      <c r="U7908" s="19">
        <f>IF(AND($V7908='設定'!$C$4,COUNTIF('商品マスタ'!$B$6:$B$1005,$W7908)=0),N(U7907)+1,N(U7907))</f>
        <v/>
      </c>
      <c r="V7908" s="19">
        <f>IF($B7908="","",TEXT($B7908,"0000"))</f>
        <v/>
      </c>
      <c r="W7908" s="19">
        <f>IF($I7908="","",IF(ISNUMBER($I7908),TEXT($I7908,"0"),$I7908))</f>
        <v/>
      </c>
    </row>
    <row r="7909">
      <c r="B7909" s="25" t="n"/>
      <c r="I7909" s="25" t="n"/>
      <c r="U7909" s="19">
        <f>IF(AND($V7909='設定'!$C$4,COUNTIF('商品マスタ'!$B$6:$B$1005,$W7909)=0),N(U7908)+1,N(U7908))</f>
        <v/>
      </c>
      <c r="V7909" s="19">
        <f>IF($B7909="","",TEXT($B7909,"0000"))</f>
        <v/>
      </c>
      <c r="W7909" s="19">
        <f>IF($I7909="","",IF(ISNUMBER($I7909),TEXT($I7909,"0"),$I7909))</f>
        <v/>
      </c>
    </row>
    <row r="7910">
      <c r="B7910" s="25" t="n"/>
      <c r="I7910" s="25" t="n"/>
      <c r="U7910" s="19">
        <f>IF(AND($V7910='設定'!$C$4,COUNTIF('商品マスタ'!$B$6:$B$1005,$W7910)=0),N(U7909)+1,N(U7909))</f>
        <v/>
      </c>
      <c r="V7910" s="19">
        <f>IF($B7910="","",TEXT($B7910,"0000"))</f>
        <v/>
      </c>
      <c r="W7910" s="19">
        <f>IF($I7910="","",IF(ISNUMBER($I7910),TEXT($I7910,"0"),$I7910))</f>
        <v/>
      </c>
    </row>
    <row r="7911">
      <c r="B7911" s="25" t="n"/>
      <c r="I7911" s="25" t="n"/>
      <c r="U7911" s="19">
        <f>IF(AND($V7911='設定'!$C$4,COUNTIF('商品マスタ'!$B$6:$B$1005,$W7911)=0),N(U7910)+1,N(U7910))</f>
        <v/>
      </c>
      <c r="V7911" s="19">
        <f>IF($B7911="","",TEXT($B7911,"0000"))</f>
        <v/>
      </c>
      <c r="W7911" s="19">
        <f>IF($I7911="","",IF(ISNUMBER($I7911),TEXT($I7911,"0"),$I7911))</f>
        <v/>
      </c>
    </row>
    <row r="7912">
      <c r="B7912" s="25" t="n"/>
      <c r="I7912" s="25" t="n"/>
      <c r="U7912" s="19">
        <f>IF(AND($V7912='設定'!$C$4,COUNTIF('商品マスタ'!$B$6:$B$1005,$W7912)=0),N(U7911)+1,N(U7911))</f>
        <v/>
      </c>
      <c r="V7912" s="19">
        <f>IF($B7912="","",TEXT($B7912,"0000"))</f>
        <v/>
      </c>
      <c r="W7912" s="19">
        <f>IF($I7912="","",IF(ISNUMBER($I7912),TEXT($I7912,"0"),$I7912))</f>
        <v/>
      </c>
    </row>
    <row r="7913">
      <c r="B7913" s="25" t="n"/>
      <c r="I7913" s="25" t="n"/>
      <c r="U7913" s="19">
        <f>IF(AND($V7913='設定'!$C$4,COUNTIF('商品マスタ'!$B$6:$B$1005,$W7913)=0),N(U7912)+1,N(U7912))</f>
        <v/>
      </c>
      <c r="V7913" s="19">
        <f>IF($B7913="","",TEXT($B7913,"0000"))</f>
        <v/>
      </c>
      <c r="W7913" s="19">
        <f>IF($I7913="","",IF(ISNUMBER($I7913),TEXT($I7913,"0"),$I7913))</f>
        <v/>
      </c>
    </row>
    <row r="7914">
      <c r="B7914" s="25" t="n"/>
      <c r="I7914" s="25" t="n"/>
      <c r="U7914" s="19">
        <f>IF(AND($V7914='設定'!$C$4,COUNTIF('商品マスタ'!$B$6:$B$1005,$W7914)=0),N(U7913)+1,N(U7913))</f>
        <v/>
      </c>
      <c r="V7914" s="19">
        <f>IF($B7914="","",TEXT($B7914,"0000"))</f>
        <v/>
      </c>
      <c r="W7914" s="19">
        <f>IF($I7914="","",IF(ISNUMBER($I7914),TEXT($I7914,"0"),$I7914))</f>
        <v/>
      </c>
    </row>
    <row r="7915">
      <c r="B7915" s="25" t="n"/>
      <c r="I7915" s="25" t="n"/>
      <c r="U7915" s="19">
        <f>IF(AND($V7915='設定'!$C$4,COUNTIF('商品マスタ'!$B$6:$B$1005,$W7915)=0),N(U7914)+1,N(U7914))</f>
        <v/>
      </c>
      <c r="V7915" s="19">
        <f>IF($B7915="","",TEXT($B7915,"0000"))</f>
        <v/>
      </c>
      <c r="W7915" s="19">
        <f>IF($I7915="","",IF(ISNUMBER($I7915),TEXT($I7915,"0"),$I7915))</f>
        <v/>
      </c>
    </row>
    <row r="7916">
      <c r="B7916" s="25" t="n"/>
      <c r="I7916" s="25" t="n"/>
      <c r="U7916" s="19">
        <f>IF(AND($V7916='設定'!$C$4,COUNTIF('商品マスタ'!$B$6:$B$1005,$W7916)=0),N(U7915)+1,N(U7915))</f>
        <v/>
      </c>
      <c r="V7916" s="19">
        <f>IF($B7916="","",TEXT($B7916,"0000"))</f>
        <v/>
      </c>
      <c r="W7916" s="19">
        <f>IF($I7916="","",IF(ISNUMBER($I7916),TEXT($I7916,"0"),$I7916))</f>
        <v/>
      </c>
    </row>
    <row r="7917">
      <c r="B7917" s="25" t="n"/>
      <c r="I7917" s="25" t="n"/>
      <c r="U7917" s="19">
        <f>IF(AND($V7917='設定'!$C$4,COUNTIF('商品マスタ'!$B$6:$B$1005,$W7917)=0),N(U7916)+1,N(U7916))</f>
        <v/>
      </c>
      <c r="V7917" s="19">
        <f>IF($B7917="","",TEXT($B7917,"0000"))</f>
        <v/>
      </c>
      <c r="W7917" s="19">
        <f>IF($I7917="","",IF(ISNUMBER($I7917),TEXT($I7917,"0"),$I7917))</f>
        <v/>
      </c>
    </row>
    <row r="7918">
      <c r="B7918" s="25" t="n"/>
      <c r="I7918" s="25" t="n"/>
      <c r="U7918" s="19">
        <f>IF(AND($V7918='設定'!$C$4,COUNTIF('商品マスタ'!$B$6:$B$1005,$W7918)=0),N(U7917)+1,N(U7917))</f>
        <v/>
      </c>
      <c r="V7918" s="19">
        <f>IF($B7918="","",TEXT($B7918,"0000"))</f>
        <v/>
      </c>
      <c r="W7918" s="19">
        <f>IF($I7918="","",IF(ISNUMBER($I7918),TEXT($I7918,"0"),$I7918))</f>
        <v/>
      </c>
    </row>
    <row r="7919">
      <c r="B7919" s="25" t="n"/>
      <c r="I7919" s="25" t="n"/>
      <c r="U7919" s="19">
        <f>IF(AND($V7919='設定'!$C$4,COUNTIF('商品マスタ'!$B$6:$B$1005,$W7919)=0),N(U7918)+1,N(U7918))</f>
        <v/>
      </c>
      <c r="V7919" s="19">
        <f>IF($B7919="","",TEXT($B7919,"0000"))</f>
        <v/>
      </c>
      <c r="W7919" s="19">
        <f>IF($I7919="","",IF(ISNUMBER($I7919),TEXT($I7919,"0"),$I7919))</f>
        <v/>
      </c>
    </row>
    <row r="7920">
      <c r="B7920" s="25" t="n"/>
      <c r="I7920" s="25" t="n"/>
      <c r="U7920" s="19">
        <f>IF(AND($V7920='設定'!$C$4,COUNTIF('商品マスタ'!$B$6:$B$1005,$W7920)=0),N(U7919)+1,N(U7919))</f>
        <v/>
      </c>
      <c r="V7920" s="19">
        <f>IF($B7920="","",TEXT($B7920,"0000"))</f>
        <v/>
      </c>
      <c r="W7920" s="19">
        <f>IF($I7920="","",IF(ISNUMBER($I7920),TEXT($I7920,"0"),$I7920))</f>
        <v/>
      </c>
    </row>
    <row r="7921">
      <c r="B7921" s="25" t="n"/>
      <c r="I7921" s="25" t="n"/>
      <c r="U7921" s="19">
        <f>IF(AND($V7921='設定'!$C$4,COUNTIF('商品マスタ'!$B$6:$B$1005,$W7921)=0),N(U7920)+1,N(U7920))</f>
        <v/>
      </c>
      <c r="V7921" s="19">
        <f>IF($B7921="","",TEXT($B7921,"0000"))</f>
        <v/>
      </c>
      <c r="W7921" s="19">
        <f>IF($I7921="","",IF(ISNUMBER($I7921),TEXT($I7921,"0"),$I7921))</f>
        <v/>
      </c>
    </row>
    <row r="7922">
      <c r="B7922" s="25" t="n"/>
      <c r="I7922" s="25" t="n"/>
      <c r="U7922" s="19">
        <f>IF(AND($V7922='設定'!$C$4,COUNTIF('商品マスタ'!$B$6:$B$1005,$W7922)=0),N(U7921)+1,N(U7921))</f>
        <v/>
      </c>
      <c r="V7922" s="19">
        <f>IF($B7922="","",TEXT($B7922,"0000"))</f>
        <v/>
      </c>
      <c r="W7922" s="19">
        <f>IF($I7922="","",IF(ISNUMBER($I7922),TEXT($I7922,"0"),$I7922))</f>
        <v/>
      </c>
    </row>
    <row r="7923">
      <c r="B7923" s="25" t="n"/>
      <c r="I7923" s="25" t="n"/>
      <c r="U7923" s="19">
        <f>IF(AND($V7923='設定'!$C$4,COUNTIF('商品マスタ'!$B$6:$B$1005,$W7923)=0),N(U7922)+1,N(U7922))</f>
        <v/>
      </c>
      <c r="V7923" s="19">
        <f>IF($B7923="","",TEXT($B7923,"0000"))</f>
        <v/>
      </c>
      <c r="W7923" s="19">
        <f>IF($I7923="","",IF(ISNUMBER($I7923),TEXT($I7923,"0"),$I7923))</f>
        <v/>
      </c>
    </row>
    <row r="7924">
      <c r="B7924" s="25" t="n"/>
      <c r="I7924" s="25" t="n"/>
      <c r="U7924" s="19">
        <f>IF(AND($V7924='設定'!$C$4,COUNTIF('商品マスタ'!$B$6:$B$1005,$W7924)=0),N(U7923)+1,N(U7923))</f>
        <v/>
      </c>
      <c r="V7924" s="19">
        <f>IF($B7924="","",TEXT($B7924,"0000"))</f>
        <v/>
      </c>
      <c r="W7924" s="19">
        <f>IF($I7924="","",IF(ISNUMBER($I7924),TEXT($I7924,"0"),$I7924))</f>
        <v/>
      </c>
    </row>
    <row r="7925">
      <c r="B7925" s="25" t="n"/>
      <c r="I7925" s="25" t="n"/>
      <c r="U7925" s="19">
        <f>IF(AND($V7925='設定'!$C$4,COUNTIF('商品マスタ'!$B$6:$B$1005,$W7925)=0),N(U7924)+1,N(U7924))</f>
        <v/>
      </c>
      <c r="V7925" s="19">
        <f>IF($B7925="","",TEXT($B7925,"0000"))</f>
        <v/>
      </c>
      <c r="W7925" s="19">
        <f>IF($I7925="","",IF(ISNUMBER($I7925),TEXT($I7925,"0"),$I7925))</f>
        <v/>
      </c>
    </row>
    <row r="7926">
      <c r="B7926" s="25" t="n"/>
      <c r="I7926" s="25" t="n"/>
      <c r="U7926" s="19">
        <f>IF(AND($V7926='設定'!$C$4,COUNTIF('商品マスタ'!$B$6:$B$1005,$W7926)=0),N(U7925)+1,N(U7925))</f>
        <v/>
      </c>
      <c r="V7926" s="19">
        <f>IF($B7926="","",TEXT($B7926,"0000"))</f>
        <v/>
      </c>
      <c r="W7926" s="19">
        <f>IF($I7926="","",IF(ISNUMBER($I7926),TEXT($I7926,"0"),$I7926))</f>
        <v/>
      </c>
    </row>
    <row r="7927">
      <c r="B7927" s="25" t="n"/>
      <c r="I7927" s="25" t="n"/>
      <c r="U7927" s="19">
        <f>IF(AND($V7927='設定'!$C$4,COUNTIF('商品マスタ'!$B$6:$B$1005,$W7927)=0),N(U7926)+1,N(U7926))</f>
        <v/>
      </c>
      <c r="V7927" s="19">
        <f>IF($B7927="","",TEXT($B7927,"0000"))</f>
        <v/>
      </c>
      <c r="W7927" s="19">
        <f>IF($I7927="","",IF(ISNUMBER($I7927),TEXT($I7927,"0"),$I7927))</f>
        <v/>
      </c>
    </row>
    <row r="7928">
      <c r="B7928" s="25" t="n"/>
      <c r="I7928" s="25" t="n"/>
      <c r="U7928" s="19">
        <f>IF(AND($V7928='設定'!$C$4,COUNTIF('商品マスタ'!$B$6:$B$1005,$W7928)=0),N(U7927)+1,N(U7927))</f>
        <v/>
      </c>
      <c r="V7928" s="19">
        <f>IF($B7928="","",TEXT($B7928,"0000"))</f>
        <v/>
      </c>
      <c r="W7928" s="19">
        <f>IF($I7928="","",IF(ISNUMBER($I7928),TEXT($I7928,"0"),$I7928))</f>
        <v/>
      </c>
    </row>
    <row r="7929">
      <c r="B7929" s="25" t="n"/>
      <c r="I7929" s="25" t="n"/>
      <c r="U7929" s="19">
        <f>IF(AND($V7929='設定'!$C$4,COUNTIF('商品マスタ'!$B$6:$B$1005,$W7929)=0),N(U7928)+1,N(U7928))</f>
        <v/>
      </c>
      <c r="V7929" s="19">
        <f>IF($B7929="","",TEXT($B7929,"0000"))</f>
        <v/>
      </c>
      <c r="W7929" s="19">
        <f>IF($I7929="","",IF(ISNUMBER($I7929),TEXT($I7929,"0"),$I7929))</f>
        <v/>
      </c>
    </row>
    <row r="7930">
      <c r="B7930" s="25" t="n"/>
      <c r="I7930" s="25" t="n"/>
      <c r="U7930" s="19">
        <f>IF(AND($V7930='設定'!$C$4,COUNTIF('商品マスタ'!$B$6:$B$1005,$W7930)=0),N(U7929)+1,N(U7929))</f>
        <v/>
      </c>
      <c r="V7930" s="19">
        <f>IF($B7930="","",TEXT($B7930,"0000"))</f>
        <v/>
      </c>
      <c r="W7930" s="19">
        <f>IF($I7930="","",IF(ISNUMBER($I7930),TEXT($I7930,"0"),$I7930))</f>
        <v/>
      </c>
    </row>
    <row r="7931">
      <c r="B7931" s="25" t="n"/>
      <c r="I7931" s="25" t="n"/>
      <c r="U7931" s="19">
        <f>IF(AND($V7931='設定'!$C$4,COUNTIF('商品マスタ'!$B$6:$B$1005,$W7931)=0),N(U7930)+1,N(U7930))</f>
        <v/>
      </c>
      <c r="V7931" s="19">
        <f>IF($B7931="","",TEXT($B7931,"0000"))</f>
        <v/>
      </c>
      <c r="W7931" s="19">
        <f>IF($I7931="","",IF(ISNUMBER($I7931),TEXT($I7931,"0"),$I7931))</f>
        <v/>
      </c>
    </row>
    <row r="7932">
      <c r="B7932" s="25" t="n"/>
      <c r="I7932" s="25" t="n"/>
      <c r="U7932" s="19">
        <f>IF(AND($V7932='設定'!$C$4,COUNTIF('商品マスタ'!$B$6:$B$1005,$W7932)=0),N(U7931)+1,N(U7931))</f>
        <v/>
      </c>
      <c r="V7932" s="19">
        <f>IF($B7932="","",TEXT($B7932,"0000"))</f>
        <v/>
      </c>
      <c r="W7932" s="19">
        <f>IF($I7932="","",IF(ISNUMBER($I7932),TEXT($I7932,"0"),$I7932))</f>
        <v/>
      </c>
    </row>
    <row r="7933">
      <c r="B7933" s="25" t="n"/>
      <c r="I7933" s="25" t="n"/>
      <c r="U7933" s="19">
        <f>IF(AND($V7933='設定'!$C$4,COUNTIF('商品マスタ'!$B$6:$B$1005,$W7933)=0),N(U7932)+1,N(U7932))</f>
        <v/>
      </c>
      <c r="V7933" s="19">
        <f>IF($B7933="","",TEXT($B7933,"0000"))</f>
        <v/>
      </c>
      <c r="W7933" s="19">
        <f>IF($I7933="","",IF(ISNUMBER($I7933),TEXT($I7933,"0"),$I7933))</f>
        <v/>
      </c>
    </row>
    <row r="7934">
      <c r="B7934" s="25" t="n"/>
      <c r="I7934" s="25" t="n"/>
      <c r="U7934" s="19">
        <f>IF(AND($V7934='設定'!$C$4,COUNTIF('商品マスタ'!$B$6:$B$1005,$W7934)=0),N(U7933)+1,N(U7933))</f>
        <v/>
      </c>
      <c r="V7934" s="19">
        <f>IF($B7934="","",TEXT($B7934,"0000"))</f>
        <v/>
      </c>
      <c r="W7934" s="19">
        <f>IF($I7934="","",IF(ISNUMBER($I7934),TEXT($I7934,"0"),$I7934))</f>
        <v/>
      </c>
    </row>
    <row r="7935">
      <c r="B7935" s="25" t="n"/>
      <c r="I7935" s="25" t="n"/>
      <c r="U7935" s="19">
        <f>IF(AND($V7935='設定'!$C$4,COUNTIF('商品マスタ'!$B$6:$B$1005,$W7935)=0),N(U7934)+1,N(U7934))</f>
        <v/>
      </c>
      <c r="V7935" s="19">
        <f>IF($B7935="","",TEXT($B7935,"0000"))</f>
        <v/>
      </c>
      <c r="W7935" s="19">
        <f>IF($I7935="","",IF(ISNUMBER($I7935),TEXT($I7935,"0"),$I7935))</f>
        <v/>
      </c>
    </row>
    <row r="7936">
      <c r="B7936" s="25" t="n"/>
      <c r="I7936" s="25" t="n"/>
      <c r="U7936" s="19">
        <f>IF(AND($V7936='設定'!$C$4,COUNTIF('商品マスタ'!$B$6:$B$1005,$W7936)=0),N(U7935)+1,N(U7935))</f>
        <v/>
      </c>
      <c r="V7936" s="19">
        <f>IF($B7936="","",TEXT($B7936,"0000"))</f>
        <v/>
      </c>
      <c r="W7936" s="19">
        <f>IF($I7936="","",IF(ISNUMBER($I7936),TEXT($I7936,"0"),$I7936))</f>
        <v/>
      </c>
    </row>
    <row r="7937">
      <c r="B7937" s="25" t="n"/>
      <c r="I7937" s="25" t="n"/>
      <c r="U7937" s="19">
        <f>IF(AND($V7937='設定'!$C$4,COUNTIF('商品マスタ'!$B$6:$B$1005,$W7937)=0),N(U7936)+1,N(U7936))</f>
        <v/>
      </c>
      <c r="V7937" s="19">
        <f>IF($B7937="","",TEXT($B7937,"0000"))</f>
        <v/>
      </c>
      <c r="W7937" s="19">
        <f>IF($I7937="","",IF(ISNUMBER($I7937),TEXT($I7937,"0"),$I7937))</f>
        <v/>
      </c>
    </row>
    <row r="7938">
      <c r="B7938" s="25" t="n"/>
      <c r="I7938" s="25" t="n"/>
      <c r="U7938" s="19">
        <f>IF(AND($V7938='設定'!$C$4,COUNTIF('商品マスタ'!$B$6:$B$1005,$W7938)=0),N(U7937)+1,N(U7937))</f>
        <v/>
      </c>
      <c r="V7938" s="19">
        <f>IF($B7938="","",TEXT($B7938,"0000"))</f>
        <v/>
      </c>
      <c r="W7938" s="19">
        <f>IF($I7938="","",IF(ISNUMBER($I7938),TEXT($I7938,"0"),$I7938))</f>
        <v/>
      </c>
    </row>
    <row r="7939">
      <c r="B7939" s="25" t="n"/>
      <c r="I7939" s="25" t="n"/>
      <c r="U7939" s="19">
        <f>IF(AND($V7939='設定'!$C$4,COUNTIF('商品マスタ'!$B$6:$B$1005,$W7939)=0),N(U7938)+1,N(U7938))</f>
        <v/>
      </c>
      <c r="V7939" s="19">
        <f>IF($B7939="","",TEXT($B7939,"0000"))</f>
        <v/>
      </c>
      <c r="W7939" s="19">
        <f>IF($I7939="","",IF(ISNUMBER($I7939),TEXT($I7939,"0"),$I7939))</f>
        <v/>
      </c>
    </row>
    <row r="7940">
      <c r="B7940" s="25" t="n"/>
      <c r="I7940" s="25" t="n"/>
      <c r="U7940" s="19">
        <f>IF(AND($V7940='設定'!$C$4,COUNTIF('商品マスタ'!$B$6:$B$1005,$W7940)=0),N(U7939)+1,N(U7939))</f>
        <v/>
      </c>
      <c r="V7940" s="19">
        <f>IF($B7940="","",TEXT($B7940,"0000"))</f>
        <v/>
      </c>
      <c r="W7940" s="19">
        <f>IF($I7940="","",IF(ISNUMBER($I7940),TEXT($I7940,"0"),$I7940))</f>
        <v/>
      </c>
    </row>
    <row r="7941">
      <c r="B7941" s="25" t="n"/>
      <c r="I7941" s="25" t="n"/>
      <c r="U7941" s="19">
        <f>IF(AND($V7941='設定'!$C$4,COUNTIF('商品マスタ'!$B$6:$B$1005,$W7941)=0),N(U7940)+1,N(U7940))</f>
        <v/>
      </c>
      <c r="V7941" s="19">
        <f>IF($B7941="","",TEXT($B7941,"0000"))</f>
        <v/>
      </c>
      <c r="W7941" s="19">
        <f>IF($I7941="","",IF(ISNUMBER($I7941),TEXT($I7941,"0"),$I7941))</f>
        <v/>
      </c>
    </row>
    <row r="7942">
      <c r="B7942" s="25" t="n"/>
      <c r="I7942" s="25" t="n"/>
      <c r="U7942" s="19">
        <f>IF(AND($V7942='設定'!$C$4,COUNTIF('商品マスタ'!$B$6:$B$1005,$W7942)=0),N(U7941)+1,N(U7941))</f>
        <v/>
      </c>
      <c r="V7942" s="19">
        <f>IF($B7942="","",TEXT($B7942,"0000"))</f>
        <v/>
      </c>
      <c r="W7942" s="19">
        <f>IF($I7942="","",IF(ISNUMBER($I7942),TEXT($I7942,"0"),$I7942))</f>
        <v/>
      </c>
    </row>
    <row r="7943">
      <c r="B7943" s="25" t="n"/>
      <c r="I7943" s="25" t="n"/>
      <c r="U7943" s="19">
        <f>IF(AND($V7943='設定'!$C$4,COUNTIF('商品マスタ'!$B$6:$B$1005,$W7943)=0),N(U7942)+1,N(U7942))</f>
        <v/>
      </c>
      <c r="V7943" s="19">
        <f>IF($B7943="","",TEXT($B7943,"0000"))</f>
        <v/>
      </c>
      <c r="W7943" s="19">
        <f>IF($I7943="","",IF(ISNUMBER($I7943),TEXT($I7943,"0"),$I7943))</f>
        <v/>
      </c>
    </row>
    <row r="7944">
      <c r="B7944" s="25" t="n"/>
      <c r="I7944" s="25" t="n"/>
      <c r="U7944" s="19">
        <f>IF(AND($V7944='設定'!$C$4,COUNTIF('商品マスタ'!$B$6:$B$1005,$W7944)=0),N(U7943)+1,N(U7943))</f>
        <v/>
      </c>
      <c r="V7944" s="19">
        <f>IF($B7944="","",TEXT($B7944,"0000"))</f>
        <v/>
      </c>
      <c r="W7944" s="19">
        <f>IF($I7944="","",IF(ISNUMBER($I7944),TEXT($I7944,"0"),$I7944))</f>
        <v/>
      </c>
    </row>
    <row r="7945">
      <c r="B7945" s="25" t="n"/>
      <c r="I7945" s="25" t="n"/>
      <c r="U7945" s="19">
        <f>IF(AND($V7945='設定'!$C$4,COUNTIF('商品マスタ'!$B$6:$B$1005,$W7945)=0),N(U7944)+1,N(U7944))</f>
        <v/>
      </c>
      <c r="V7945" s="19">
        <f>IF($B7945="","",TEXT($B7945,"0000"))</f>
        <v/>
      </c>
      <c r="W7945" s="19">
        <f>IF($I7945="","",IF(ISNUMBER($I7945),TEXT($I7945,"0"),$I7945))</f>
        <v/>
      </c>
    </row>
    <row r="7946">
      <c r="B7946" s="25" t="n"/>
      <c r="I7946" s="25" t="n"/>
      <c r="U7946" s="19">
        <f>IF(AND($V7946='設定'!$C$4,COUNTIF('商品マスタ'!$B$6:$B$1005,$W7946)=0),N(U7945)+1,N(U7945))</f>
        <v/>
      </c>
      <c r="V7946" s="19">
        <f>IF($B7946="","",TEXT($B7946,"0000"))</f>
        <v/>
      </c>
      <c r="W7946" s="19">
        <f>IF($I7946="","",IF(ISNUMBER($I7946),TEXT($I7946,"0"),$I7946))</f>
        <v/>
      </c>
    </row>
    <row r="7947">
      <c r="B7947" s="25" t="n"/>
      <c r="I7947" s="25" t="n"/>
      <c r="U7947" s="19">
        <f>IF(AND($V7947='設定'!$C$4,COUNTIF('商品マスタ'!$B$6:$B$1005,$W7947)=0),N(U7946)+1,N(U7946))</f>
        <v/>
      </c>
      <c r="V7947" s="19">
        <f>IF($B7947="","",TEXT($B7947,"0000"))</f>
        <v/>
      </c>
      <c r="W7947" s="19">
        <f>IF($I7947="","",IF(ISNUMBER($I7947),TEXT($I7947,"0"),$I7947))</f>
        <v/>
      </c>
    </row>
    <row r="7948">
      <c r="B7948" s="25" t="n"/>
      <c r="I7948" s="25" t="n"/>
      <c r="U7948" s="19">
        <f>IF(AND($V7948='設定'!$C$4,COUNTIF('商品マスタ'!$B$6:$B$1005,$W7948)=0),N(U7947)+1,N(U7947))</f>
        <v/>
      </c>
      <c r="V7948" s="19">
        <f>IF($B7948="","",TEXT($B7948,"0000"))</f>
        <v/>
      </c>
      <c r="W7948" s="19">
        <f>IF($I7948="","",IF(ISNUMBER($I7948),TEXT($I7948,"0"),$I7948))</f>
        <v/>
      </c>
    </row>
    <row r="7949">
      <c r="B7949" s="25" t="n"/>
      <c r="I7949" s="25" t="n"/>
      <c r="U7949" s="19">
        <f>IF(AND($V7949='設定'!$C$4,COUNTIF('商品マスタ'!$B$6:$B$1005,$W7949)=0),N(U7948)+1,N(U7948))</f>
        <v/>
      </c>
      <c r="V7949" s="19">
        <f>IF($B7949="","",TEXT($B7949,"0000"))</f>
        <v/>
      </c>
      <c r="W7949" s="19">
        <f>IF($I7949="","",IF(ISNUMBER($I7949),TEXT($I7949,"0"),$I7949))</f>
        <v/>
      </c>
    </row>
    <row r="7950">
      <c r="B7950" s="25" t="n"/>
      <c r="I7950" s="25" t="n"/>
      <c r="U7950" s="19">
        <f>IF(AND($V7950='設定'!$C$4,COUNTIF('商品マスタ'!$B$6:$B$1005,$W7950)=0),N(U7949)+1,N(U7949))</f>
        <v/>
      </c>
      <c r="V7950" s="19">
        <f>IF($B7950="","",TEXT($B7950,"0000"))</f>
        <v/>
      </c>
      <c r="W7950" s="19">
        <f>IF($I7950="","",IF(ISNUMBER($I7950),TEXT($I7950,"0"),$I7950))</f>
        <v/>
      </c>
    </row>
    <row r="7951">
      <c r="B7951" s="25" t="n"/>
      <c r="I7951" s="25" t="n"/>
      <c r="U7951" s="19">
        <f>IF(AND($V7951='設定'!$C$4,COUNTIF('商品マスタ'!$B$6:$B$1005,$W7951)=0),N(U7950)+1,N(U7950))</f>
        <v/>
      </c>
      <c r="V7951" s="19">
        <f>IF($B7951="","",TEXT($B7951,"0000"))</f>
        <v/>
      </c>
      <c r="W7951" s="19">
        <f>IF($I7951="","",IF(ISNUMBER($I7951),TEXT($I7951,"0"),$I7951))</f>
        <v/>
      </c>
    </row>
    <row r="7952">
      <c r="B7952" s="25" t="n"/>
      <c r="I7952" s="25" t="n"/>
      <c r="U7952" s="19">
        <f>IF(AND($V7952='設定'!$C$4,COUNTIF('商品マスタ'!$B$6:$B$1005,$W7952)=0),N(U7951)+1,N(U7951))</f>
        <v/>
      </c>
      <c r="V7952" s="19">
        <f>IF($B7952="","",TEXT($B7952,"0000"))</f>
        <v/>
      </c>
      <c r="W7952" s="19">
        <f>IF($I7952="","",IF(ISNUMBER($I7952),TEXT($I7952,"0"),$I7952))</f>
        <v/>
      </c>
    </row>
    <row r="7953">
      <c r="B7953" s="25" t="n"/>
      <c r="I7953" s="25" t="n"/>
      <c r="U7953" s="19">
        <f>IF(AND($V7953='設定'!$C$4,COUNTIF('商品マスタ'!$B$6:$B$1005,$W7953)=0),N(U7952)+1,N(U7952))</f>
        <v/>
      </c>
      <c r="V7953" s="19">
        <f>IF($B7953="","",TEXT($B7953,"0000"))</f>
        <v/>
      </c>
      <c r="W7953" s="19">
        <f>IF($I7953="","",IF(ISNUMBER($I7953),TEXT($I7953,"0"),$I7953))</f>
        <v/>
      </c>
    </row>
    <row r="7954">
      <c r="B7954" s="25" t="n"/>
      <c r="I7954" s="25" t="n"/>
      <c r="U7954" s="19">
        <f>IF(AND($V7954='設定'!$C$4,COUNTIF('商品マスタ'!$B$6:$B$1005,$W7954)=0),N(U7953)+1,N(U7953))</f>
        <v/>
      </c>
      <c r="V7954" s="19">
        <f>IF($B7954="","",TEXT($B7954,"0000"))</f>
        <v/>
      </c>
      <c r="W7954" s="19">
        <f>IF($I7954="","",IF(ISNUMBER($I7954),TEXT($I7954,"0"),$I7954))</f>
        <v/>
      </c>
    </row>
    <row r="7955">
      <c r="B7955" s="25" t="n"/>
      <c r="I7955" s="25" t="n"/>
      <c r="U7955" s="19">
        <f>IF(AND($V7955='設定'!$C$4,COUNTIF('商品マスタ'!$B$6:$B$1005,$W7955)=0),N(U7954)+1,N(U7954))</f>
        <v/>
      </c>
      <c r="V7955" s="19">
        <f>IF($B7955="","",TEXT($B7955,"0000"))</f>
        <v/>
      </c>
      <c r="W7955" s="19">
        <f>IF($I7955="","",IF(ISNUMBER($I7955),TEXT($I7955,"0"),$I7955))</f>
        <v/>
      </c>
    </row>
    <row r="7956">
      <c r="B7956" s="25" t="n"/>
      <c r="I7956" s="25" t="n"/>
      <c r="U7956" s="19">
        <f>IF(AND($V7956='設定'!$C$4,COUNTIF('商品マスタ'!$B$6:$B$1005,$W7956)=0),N(U7955)+1,N(U7955))</f>
        <v/>
      </c>
      <c r="V7956" s="19">
        <f>IF($B7956="","",TEXT($B7956,"0000"))</f>
        <v/>
      </c>
      <c r="W7956" s="19">
        <f>IF($I7956="","",IF(ISNUMBER($I7956),TEXT($I7956,"0"),$I7956))</f>
        <v/>
      </c>
    </row>
    <row r="7957">
      <c r="B7957" s="25" t="n"/>
      <c r="I7957" s="25" t="n"/>
      <c r="U7957" s="19">
        <f>IF(AND($V7957='設定'!$C$4,COUNTIF('商品マスタ'!$B$6:$B$1005,$W7957)=0),N(U7956)+1,N(U7956))</f>
        <v/>
      </c>
      <c r="V7957" s="19">
        <f>IF($B7957="","",TEXT($B7957,"0000"))</f>
        <v/>
      </c>
      <c r="W7957" s="19">
        <f>IF($I7957="","",IF(ISNUMBER($I7957),TEXT($I7957,"0"),$I7957))</f>
        <v/>
      </c>
    </row>
    <row r="7958">
      <c r="B7958" s="25" t="n"/>
      <c r="I7958" s="25" t="n"/>
      <c r="U7958" s="19">
        <f>IF(AND($V7958='設定'!$C$4,COUNTIF('商品マスタ'!$B$6:$B$1005,$W7958)=0),N(U7957)+1,N(U7957))</f>
        <v/>
      </c>
      <c r="V7958" s="19">
        <f>IF($B7958="","",TEXT($B7958,"0000"))</f>
        <v/>
      </c>
      <c r="W7958" s="19">
        <f>IF($I7958="","",IF(ISNUMBER($I7958),TEXT($I7958,"0"),$I7958))</f>
        <v/>
      </c>
    </row>
    <row r="7959">
      <c r="B7959" s="25" t="n"/>
      <c r="I7959" s="25" t="n"/>
      <c r="U7959" s="19">
        <f>IF(AND($V7959='設定'!$C$4,COUNTIF('商品マスタ'!$B$6:$B$1005,$W7959)=0),N(U7958)+1,N(U7958))</f>
        <v/>
      </c>
      <c r="V7959" s="19">
        <f>IF($B7959="","",TEXT($B7959,"0000"))</f>
        <v/>
      </c>
      <c r="W7959" s="19">
        <f>IF($I7959="","",IF(ISNUMBER($I7959),TEXT($I7959,"0"),$I7959))</f>
        <v/>
      </c>
    </row>
    <row r="7960">
      <c r="B7960" s="25" t="n"/>
      <c r="I7960" s="25" t="n"/>
      <c r="U7960" s="19">
        <f>IF(AND($V7960='設定'!$C$4,COUNTIF('商品マスタ'!$B$6:$B$1005,$W7960)=0),N(U7959)+1,N(U7959))</f>
        <v/>
      </c>
      <c r="V7960" s="19">
        <f>IF($B7960="","",TEXT($B7960,"0000"))</f>
        <v/>
      </c>
      <c r="W7960" s="19">
        <f>IF($I7960="","",IF(ISNUMBER($I7960),TEXT($I7960,"0"),$I7960))</f>
        <v/>
      </c>
    </row>
    <row r="7961">
      <c r="B7961" s="25" t="n"/>
      <c r="I7961" s="25" t="n"/>
      <c r="U7961" s="19">
        <f>IF(AND($V7961='設定'!$C$4,COUNTIF('商品マスタ'!$B$6:$B$1005,$W7961)=0),N(U7960)+1,N(U7960))</f>
        <v/>
      </c>
      <c r="V7961" s="19">
        <f>IF($B7961="","",TEXT($B7961,"0000"))</f>
        <v/>
      </c>
      <c r="W7961" s="19">
        <f>IF($I7961="","",IF(ISNUMBER($I7961),TEXT($I7961,"0"),$I7961))</f>
        <v/>
      </c>
    </row>
    <row r="7962">
      <c r="B7962" s="25" t="n"/>
      <c r="I7962" s="25" t="n"/>
      <c r="U7962" s="19">
        <f>IF(AND($V7962='設定'!$C$4,COUNTIF('商品マスタ'!$B$6:$B$1005,$W7962)=0),N(U7961)+1,N(U7961))</f>
        <v/>
      </c>
      <c r="V7962" s="19">
        <f>IF($B7962="","",TEXT($B7962,"0000"))</f>
        <v/>
      </c>
      <c r="W7962" s="19">
        <f>IF($I7962="","",IF(ISNUMBER($I7962),TEXT($I7962,"0"),$I7962))</f>
        <v/>
      </c>
    </row>
    <row r="7963">
      <c r="B7963" s="25" t="n"/>
      <c r="I7963" s="25" t="n"/>
      <c r="U7963" s="19">
        <f>IF(AND($V7963='設定'!$C$4,COUNTIF('商品マスタ'!$B$6:$B$1005,$W7963)=0),N(U7962)+1,N(U7962))</f>
        <v/>
      </c>
      <c r="V7963" s="19">
        <f>IF($B7963="","",TEXT($B7963,"0000"))</f>
        <v/>
      </c>
      <c r="W7963" s="19">
        <f>IF($I7963="","",IF(ISNUMBER($I7963),TEXT($I7963,"0"),$I7963))</f>
        <v/>
      </c>
    </row>
    <row r="7964">
      <c r="B7964" s="25" t="n"/>
      <c r="I7964" s="25" t="n"/>
      <c r="U7964" s="19">
        <f>IF(AND($V7964='設定'!$C$4,COUNTIF('商品マスタ'!$B$6:$B$1005,$W7964)=0),N(U7963)+1,N(U7963))</f>
        <v/>
      </c>
      <c r="V7964" s="19">
        <f>IF($B7964="","",TEXT($B7964,"0000"))</f>
        <v/>
      </c>
      <c r="W7964" s="19">
        <f>IF($I7964="","",IF(ISNUMBER($I7964),TEXT($I7964,"0"),$I7964))</f>
        <v/>
      </c>
    </row>
    <row r="7965">
      <c r="B7965" s="25" t="n"/>
      <c r="I7965" s="25" t="n"/>
      <c r="U7965" s="19">
        <f>IF(AND($V7965='設定'!$C$4,COUNTIF('商品マスタ'!$B$6:$B$1005,$W7965)=0),N(U7964)+1,N(U7964))</f>
        <v/>
      </c>
      <c r="V7965" s="19">
        <f>IF($B7965="","",TEXT($B7965,"0000"))</f>
        <v/>
      </c>
      <c r="W7965" s="19">
        <f>IF($I7965="","",IF(ISNUMBER($I7965),TEXT($I7965,"0"),$I7965))</f>
        <v/>
      </c>
    </row>
    <row r="7966">
      <c r="B7966" s="25" t="n"/>
      <c r="I7966" s="25" t="n"/>
      <c r="U7966" s="19">
        <f>IF(AND($V7966='設定'!$C$4,COUNTIF('商品マスタ'!$B$6:$B$1005,$W7966)=0),N(U7965)+1,N(U7965))</f>
        <v/>
      </c>
      <c r="V7966" s="19">
        <f>IF($B7966="","",TEXT($B7966,"0000"))</f>
        <v/>
      </c>
      <c r="W7966" s="19">
        <f>IF($I7966="","",IF(ISNUMBER($I7966),TEXT($I7966,"0"),$I7966))</f>
        <v/>
      </c>
    </row>
    <row r="7967">
      <c r="B7967" s="25" t="n"/>
      <c r="I7967" s="25" t="n"/>
      <c r="U7967" s="19">
        <f>IF(AND($V7967='設定'!$C$4,COUNTIF('商品マスタ'!$B$6:$B$1005,$W7967)=0),N(U7966)+1,N(U7966))</f>
        <v/>
      </c>
      <c r="V7967" s="19">
        <f>IF($B7967="","",TEXT($B7967,"0000"))</f>
        <v/>
      </c>
      <c r="W7967" s="19">
        <f>IF($I7967="","",IF(ISNUMBER($I7967),TEXT($I7967,"0"),$I7967))</f>
        <v/>
      </c>
    </row>
    <row r="7968">
      <c r="B7968" s="25" t="n"/>
      <c r="I7968" s="25" t="n"/>
      <c r="U7968" s="19">
        <f>IF(AND($V7968='設定'!$C$4,COUNTIF('商品マスタ'!$B$6:$B$1005,$W7968)=0),N(U7967)+1,N(U7967))</f>
        <v/>
      </c>
      <c r="V7968" s="19">
        <f>IF($B7968="","",TEXT($B7968,"0000"))</f>
        <v/>
      </c>
      <c r="W7968" s="19">
        <f>IF($I7968="","",IF(ISNUMBER($I7968),TEXT($I7968,"0"),$I7968))</f>
        <v/>
      </c>
    </row>
    <row r="7969">
      <c r="B7969" s="25" t="n"/>
      <c r="I7969" s="25" t="n"/>
      <c r="U7969" s="19">
        <f>IF(AND($V7969='設定'!$C$4,COUNTIF('商品マスタ'!$B$6:$B$1005,$W7969)=0),N(U7968)+1,N(U7968))</f>
        <v/>
      </c>
      <c r="V7969" s="19">
        <f>IF($B7969="","",TEXT($B7969,"0000"))</f>
        <v/>
      </c>
      <c r="W7969" s="19">
        <f>IF($I7969="","",IF(ISNUMBER($I7969),TEXT($I7969,"0"),$I7969))</f>
        <v/>
      </c>
    </row>
    <row r="7970">
      <c r="B7970" s="25" t="n"/>
      <c r="I7970" s="25" t="n"/>
      <c r="U7970" s="19">
        <f>IF(AND($V7970='設定'!$C$4,COUNTIF('商品マスタ'!$B$6:$B$1005,$W7970)=0),N(U7969)+1,N(U7969))</f>
        <v/>
      </c>
      <c r="V7970" s="19">
        <f>IF($B7970="","",TEXT($B7970,"0000"))</f>
        <v/>
      </c>
      <c r="W7970" s="19">
        <f>IF($I7970="","",IF(ISNUMBER($I7970),TEXT($I7970,"0"),$I7970))</f>
        <v/>
      </c>
    </row>
    <row r="7971">
      <c r="B7971" s="25" t="n"/>
      <c r="I7971" s="25" t="n"/>
      <c r="U7971" s="19">
        <f>IF(AND($V7971='設定'!$C$4,COUNTIF('商品マスタ'!$B$6:$B$1005,$W7971)=0),N(U7970)+1,N(U7970))</f>
        <v/>
      </c>
      <c r="V7971" s="19">
        <f>IF($B7971="","",TEXT($B7971,"0000"))</f>
        <v/>
      </c>
      <c r="W7971" s="19">
        <f>IF($I7971="","",IF(ISNUMBER($I7971),TEXT($I7971,"0"),$I7971))</f>
        <v/>
      </c>
    </row>
    <row r="7972">
      <c r="B7972" s="25" t="n"/>
      <c r="I7972" s="25" t="n"/>
      <c r="U7972" s="19">
        <f>IF(AND($V7972='設定'!$C$4,COUNTIF('商品マスタ'!$B$6:$B$1005,$W7972)=0),N(U7971)+1,N(U7971))</f>
        <v/>
      </c>
      <c r="V7972" s="19">
        <f>IF($B7972="","",TEXT($B7972,"0000"))</f>
        <v/>
      </c>
      <c r="W7972" s="19">
        <f>IF($I7972="","",IF(ISNUMBER($I7972),TEXT($I7972,"0"),$I7972))</f>
        <v/>
      </c>
    </row>
    <row r="7973">
      <c r="B7973" s="25" t="n"/>
      <c r="I7973" s="25" t="n"/>
      <c r="U7973" s="19">
        <f>IF(AND($V7973='設定'!$C$4,COUNTIF('商品マスタ'!$B$6:$B$1005,$W7973)=0),N(U7972)+1,N(U7972))</f>
        <v/>
      </c>
      <c r="V7973" s="19">
        <f>IF($B7973="","",TEXT($B7973,"0000"))</f>
        <v/>
      </c>
      <c r="W7973" s="19">
        <f>IF($I7973="","",IF(ISNUMBER($I7973),TEXT($I7973,"0"),$I7973))</f>
        <v/>
      </c>
    </row>
    <row r="7974">
      <c r="B7974" s="25" t="n"/>
      <c r="I7974" s="25" t="n"/>
      <c r="U7974" s="19">
        <f>IF(AND($V7974='設定'!$C$4,COUNTIF('商品マスタ'!$B$6:$B$1005,$W7974)=0),N(U7973)+1,N(U7973))</f>
        <v/>
      </c>
      <c r="V7974" s="19">
        <f>IF($B7974="","",TEXT($B7974,"0000"))</f>
        <v/>
      </c>
      <c r="W7974" s="19">
        <f>IF($I7974="","",IF(ISNUMBER($I7974),TEXT($I7974,"0"),$I7974))</f>
        <v/>
      </c>
    </row>
    <row r="7975">
      <c r="B7975" s="25" t="n"/>
      <c r="I7975" s="25" t="n"/>
      <c r="U7975" s="19">
        <f>IF(AND($V7975='設定'!$C$4,COUNTIF('商品マスタ'!$B$6:$B$1005,$W7975)=0),N(U7974)+1,N(U7974))</f>
        <v/>
      </c>
      <c r="V7975" s="19">
        <f>IF($B7975="","",TEXT($B7975,"0000"))</f>
        <v/>
      </c>
      <c r="W7975" s="19">
        <f>IF($I7975="","",IF(ISNUMBER($I7975),TEXT($I7975,"0"),$I7975))</f>
        <v/>
      </c>
    </row>
    <row r="7976">
      <c r="B7976" s="25" t="n"/>
      <c r="I7976" s="25" t="n"/>
      <c r="U7976" s="19">
        <f>IF(AND($V7976='設定'!$C$4,COUNTIF('商品マスタ'!$B$6:$B$1005,$W7976)=0),N(U7975)+1,N(U7975))</f>
        <v/>
      </c>
      <c r="V7976" s="19">
        <f>IF($B7976="","",TEXT($B7976,"0000"))</f>
        <v/>
      </c>
      <c r="W7976" s="19">
        <f>IF($I7976="","",IF(ISNUMBER($I7976),TEXT($I7976,"0"),$I7976))</f>
        <v/>
      </c>
    </row>
    <row r="7977">
      <c r="B7977" s="25" t="n"/>
      <c r="I7977" s="25" t="n"/>
      <c r="U7977" s="19">
        <f>IF(AND($V7977='設定'!$C$4,COUNTIF('商品マスタ'!$B$6:$B$1005,$W7977)=0),N(U7976)+1,N(U7976))</f>
        <v/>
      </c>
      <c r="V7977" s="19">
        <f>IF($B7977="","",TEXT($B7977,"0000"))</f>
        <v/>
      </c>
      <c r="W7977" s="19">
        <f>IF($I7977="","",IF(ISNUMBER($I7977),TEXT($I7977,"0"),$I7977))</f>
        <v/>
      </c>
    </row>
    <row r="7978">
      <c r="B7978" s="25" t="n"/>
      <c r="I7978" s="25" t="n"/>
      <c r="U7978" s="19">
        <f>IF(AND($V7978='設定'!$C$4,COUNTIF('商品マスタ'!$B$6:$B$1005,$W7978)=0),N(U7977)+1,N(U7977))</f>
        <v/>
      </c>
      <c r="V7978" s="19">
        <f>IF($B7978="","",TEXT($B7978,"0000"))</f>
        <v/>
      </c>
      <c r="W7978" s="19">
        <f>IF($I7978="","",IF(ISNUMBER($I7978),TEXT($I7978,"0"),$I7978))</f>
        <v/>
      </c>
    </row>
    <row r="7979">
      <c r="B7979" s="25" t="n"/>
      <c r="I7979" s="25" t="n"/>
      <c r="U7979" s="19">
        <f>IF(AND($V7979='設定'!$C$4,COUNTIF('商品マスタ'!$B$6:$B$1005,$W7979)=0),N(U7978)+1,N(U7978))</f>
        <v/>
      </c>
      <c r="V7979" s="19">
        <f>IF($B7979="","",TEXT($B7979,"0000"))</f>
        <v/>
      </c>
      <c r="W7979" s="19">
        <f>IF($I7979="","",IF(ISNUMBER($I7979),TEXT($I7979,"0"),$I7979))</f>
        <v/>
      </c>
    </row>
    <row r="7980">
      <c r="B7980" s="25" t="n"/>
      <c r="I7980" s="25" t="n"/>
      <c r="U7980" s="19">
        <f>IF(AND($V7980='設定'!$C$4,COUNTIF('商品マスタ'!$B$6:$B$1005,$W7980)=0),N(U7979)+1,N(U7979))</f>
        <v/>
      </c>
      <c r="V7980" s="19">
        <f>IF($B7980="","",TEXT($B7980,"0000"))</f>
        <v/>
      </c>
      <c r="W7980" s="19">
        <f>IF($I7980="","",IF(ISNUMBER($I7980),TEXT($I7980,"0"),$I7980))</f>
        <v/>
      </c>
    </row>
    <row r="7981">
      <c r="B7981" s="25" t="n"/>
      <c r="I7981" s="25" t="n"/>
      <c r="U7981" s="19">
        <f>IF(AND($V7981='設定'!$C$4,COUNTIF('商品マスタ'!$B$6:$B$1005,$W7981)=0),N(U7980)+1,N(U7980))</f>
        <v/>
      </c>
      <c r="V7981" s="19">
        <f>IF($B7981="","",TEXT($B7981,"0000"))</f>
        <v/>
      </c>
      <c r="W7981" s="19">
        <f>IF($I7981="","",IF(ISNUMBER($I7981),TEXT($I7981,"0"),$I7981))</f>
        <v/>
      </c>
    </row>
    <row r="7982">
      <c r="B7982" s="25" t="n"/>
      <c r="I7982" s="25" t="n"/>
      <c r="U7982" s="19">
        <f>IF(AND($V7982='設定'!$C$4,COUNTIF('商品マスタ'!$B$6:$B$1005,$W7982)=0),N(U7981)+1,N(U7981))</f>
        <v/>
      </c>
      <c r="V7982" s="19">
        <f>IF($B7982="","",TEXT($B7982,"0000"))</f>
        <v/>
      </c>
      <c r="W7982" s="19">
        <f>IF($I7982="","",IF(ISNUMBER($I7982),TEXT($I7982,"0"),$I7982))</f>
        <v/>
      </c>
    </row>
    <row r="7983">
      <c r="B7983" s="25" t="n"/>
      <c r="I7983" s="25" t="n"/>
      <c r="U7983" s="19">
        <f>IF(AND($V7983='設定'!$C$4,COUNTIF('商品マスタ'!$B$6:$B$1005,$W7983)=0),N(U7982)+1,N(U7982))</f>
        <v/>
      </c>
      <c r="V7983" s="19">
        <f>IF($B7983="","",TEXT($B7983,"0000"))</f>
        <v/>
      </c>
      <c r="W7983" s="19">
        <f>IF($I7983="","",IF(ISNUMBER($I7983),TEXT($I7983,"0"),$I7983))</f>
        <v/>
      </c>
    </row>
    <row r="7984">
      <c r="B7984" s="25" t="n"/>
      <c r="I7984" s="25" t="n"/>
      <c r="U7984" s="19">
        <f>IF(AND($V7984='設定'!$C$4,COUNTIF('商品マスタ'!$B$6:$B$1005,$W7984)=0),N(U7983)+1,N(U7983))</f>
        <v/>
      </c>
      <c r="V7984" s="19">
        <f>IF($B7984="","",TEXT($B7984,"0000"))</f>
        <v/>
      </c>
      <c r="W7984" s="19">
        <f>IF($I7984="","",IF(ISNUMBER($I7984),TEXT($I7984,"0"),$I7984))</f>
        <v/>
      </c>
    </row>
    <row r="7985">
      <c r="B7985" s="25" t="n"/>
      <c r="I7985" s="25" t="n"/>
      <c r="U7985" s="19">
        <f>IF(AND($V7985='設定'!$C$4,COUNTIF('商品マスタ'!$B$6:$B$1005,$W7985)=0),N(U7984)+1,N(U7984))</f>
        <v/>
      </c>
      <c r="V7985" s="19">
        <f>IF($B7985="","",TEXT($B7985,"0000"))</f>
        <v/>
      </c>
      <c r="W7985" s="19">
        <f>IF($I7985="","",IF(ISNUMBER($I7985),TEXT($I7985,"0"),$I7985))</f>
        <v/>
      </c>
    </row>
    <row r="7986">
      <c r="B7986" s="25" t="n"/>
      <c r="I7986" s="25" t="n"/>
      <c r="U7986" s="19">
        <f>IF(AND($V7986='設定'!$C$4,COUNTIF('商品マスタ'!$B$6:$B$1005,$W7986)=0),N(U7985)+1,N(U7985))</f>
        <v/>
      </c>
      <c r="V7986" s="19">
        <f>IF($B7986="","",TEXT($B7986,"0000"))</f>
        <v/>
      </c>
      <c r="W7986" s="19">
        <f>IF($I7986="","",IF(ISNUMBER($I7986),TEXT($I7986,"0"),$I7986))</f>
        <v/>
      </c>
    </row>
    <row r="7987">
      <c r="B7987" s="25" t="n"/>
      <c r="I7987" s="25" t="n"/>
      <c r="U7987" s="19">
        <f>IF(AND($V7987='設定'!$C$4,COUNTIF('商品マスタ'!$B$6:$B$1005,$W7987)=0),N(U7986)+1,N(U7986))</f>
        <v/>
      </c>
      <c r="V7987" s="19">
        <f>IF($B7987="","",TEXT($B7987,"0000"))</f>
        <v/>
      </c>
      <c r="W7987" s="19">
        <f>IF($I7987="","",IF(ISNUMBER($I7987),TEXT($I7987,"0"),$I7987))</f>
        <v/>
      </c>
    </row>
    <row r="7988">
      <c r="B7988" s="25" t="n"/>
      <c r="I7988" s="25" t="n"/>
      <c r="U7988" s="19">
        <f>IF(AND($V7988='設定'!$C$4,COUNTIF('商品マスタ'!$B$6:$B$1005,$W7988)=0),N(U7987)+1,N(U7987))</f>
        <v/>
      </c>
      <c r="V7988" s="19">
        <f>IF($B7988="","",TEXT($B7988,"0000"))</f>
        <v/>
      </c>
      <c r="W7988" s="19">
        <f>IF($I7988="","",IF(ISNUMBER($I7988),TEXT($I7988,"0"),$I7988))</f>
        <v/>
      </c>
    </row>
    <row r="7989">
      <c r="B7989" s="25" t="n"/>
      <c r="I7989" s="25" t="n"/>
      <c r="U7989" s="19">
        <f>IF(AND($V7989='設定'!$C$4,COUNTIF('商品マスタ'!$B$6:$B$1005,$W7989)=0),N(U7988)+1,N(U7988))</f>
        <v/>
      </c>
      <c r="V7989" s="19">
        <f>IF($B7989="","",TEXT($B7989,"0000"))</f>
        <v/>
      </c>
      <c r="W7989" s="19">
        <f>IF($I7989="","",IF(ISNUMBER($I7989),TEXT($I7989,"0"),$I7989))</f>
        <v/>
      </c>
    </row>
    <row r="7990">
      <c r="B7990" s="25" t="n"/>
      <c r="I7990" s="25" t="n"/>
      <c r="U7990" s="19">
        <f>IF(AND($V7990='設定'!$C$4,COUNTIF('商品マスタ'!$B$6:$B$1005,$W7990)=0),N(U7989)+1,N(U7989))</f>
        <v/>
      </c>
      <c r="V7990" s="19">
        <f>IF($B7990="","",TEXT($B7990,"0000"))</f>
        <v/>
      </c>
      <c r="W7990" s="19">
        <f>IF($I7990="","",IF(ISNUMBER($I7990),TEXT($I7990,"0"),$I7990))</f>
        <v/>
      </c>
    </row>
    <row r="7991">
      <c r="B7991" s="25" t="n"/>
      <c r="I7991" s="25" t="n"/>
      <c r="U7991" s="19">
        <f>IF(AND($V7991='設定'!$C$4,COUNTIF('商品マスタ'!$B$6:$B$1005,$W7991)=0),N(U7990)+1,N(U7990))</f>
        <v/>
      </c>
      <c r="V7991" s="19">
        <f>IF($B7991="","",TEXT($B7991,"0000"))</f>
        <v/>
      </c>
      <c r="W7991" s="19">
        <f>IF($I7991="","",IF(ISNUMBER($I7991),TEXT($I7991,"0"),$I7991))</f>
        <v/>
      </c>
    </row>
    <row r="7992">
      <c r="B7992" s="25" t="n"/>
      <c r="I7992" s="25" t="n"/>
      <c r="U7992" s="19">
        <f>IF(AND($V7992='設定'!$C$4,COUNTIF('商品マスタ'!$B$6:$B$1005,$W7992)=0),N(U7991)+1,N(U7991))</f>
        <v/>
      </c>
      <c r="V7992" s="19">
        <f>IF($B7992="","",TEXT($B7992,"0000"))</f>
        <v/>
      </c>
      <c r="W7992" s="19">
        <f>IF($I7992="","",IF(ISNUMBER($I7992),TEXT($I7992,"0"),$I7992))</f>
        <v/>
      </c>
    </row>
    <row r="7993">
      <c r="B7993" s="25" t="n"/>
      <c r="I7993" s="25" t="n"/>
      <c r="U7993" s="19">
        <f>IF(AND($V7993='設定'!$C$4,COUNTIF('商品マスタ'!$B$6:$B$1005,$W7993)=0),N(U7992)+1,N(U7992))</f>
        <v/>
      </c>
      <c r="V7993" s="19">
        <f>IF($B7993="","",TEXT($B7993,"0000"))</f>
        <v/>
      </c>
      <c r="W7993" s="19">
        <f>IF($I7993="","",IF(ISNUMBER($I7993),TEXT($I7993,"0"),$I7993))</f>
        <v/>
      </c>
    </row>
    <row r="7994">
      <c r="B7994" s="25" t="n"/>
      <c r="I7994" s="25" t="n"/>
      <c r="U7994" s="19">
        <f>IF(AND($V7994='設定'!$C$4,COUNTIF('商品マスタ'!$B$6:$B$1005,$W7994)=0),N(U7993)+1,N(U7993))</f>
        <v/>
      </c>
      <c r="V7994" s="19">
        <f>IF($B7994="","",TEXT($B7994,"0000"))</f>
        <v/>
      </c>
      <c r="W7994" s="19">
        <f>IF($I7994="","",IF(ISNUMBER($I7994),TEXT($I7994,"0"),$I7994))</f>
        <v/>
      </c>
    </row>
    <row r="7995">
      <c r="B7995" s="25" t="n"/>
      <c r="I7995" s="25" t="n"/>
      <c r="U7995" s="19">
        <f>IF(AND($V7995='設定'!$C$4,COUNTIF('商品マスタ'!$B$6:$B$1005,$W7995)=0),N(U7994)+1,N(U7994))</f>
        <v/>
      </c>
      <c r="V7995" s="19">
        <f>IF($B7995="","",TEXT($B7995,"0000"))</f>
        <v/>
      </c>
      <c r="W7995" s="19">
        <f>IF($I7995="","",IF(ISNUMBER($I7995),TEXT($I7995,"0"),$I7995))</f>
        <v/>
      </c>
    </row>
    <row r="7996">
      <c r="B7996" s="25" t="n"/>
      <c r="I7996" s="25" t="n"/>
      <c r="U7996" s="19">
        <f>IF(AND($V7996='設定'!$C$4,COUNTIF('商品マスタ'!$B$6:$B$1005,$W7996)=0),N(U7995)+1,N(U7995))</f>
        <v/>
      </c>
      <c r="V7996" s="19">
        <f>IF($B7996="","",TEXT($B7996,"0000"))</f>
        <v/>
      </c>
      <c r="W7996" s="19">
        <f>IF($I7996="","",IF(ISNUMBER($I7996),TEXT($I7996,"0"),$I7996))</f>
        <v/>
      </c>
    </row>
    <row r="7997">
      <c r="B7997" s="25" t="n"/>
      <c r="I7997" s="25" t="n"/>
      <c r="U7997" s="19">
        <f>IF(AND($V7997='設定'!$C$4,COUNTIF('商品マスタ'!$B$6:$B$1005,$W7997)=0),N(U7996)+1,N(U7996))</f>
        <v/>
      </c>
      <c r="V7997" s="19">
        <f>IF($B7997="","",TEXT($B7997,"0000"))</f>
        <v/>
      </c>
      <c r="W7997" s="19">
        <f>IF($I7997="","",IF(ISNUMBER($I7997),TEXT($I7997,"0"),$I7997))</f>
        <v/>
      </c>
    </row>
    <row r="7998">
      <c r="B7998" s="25" t="n"/>
      <c r="I7998" s="25" t="n"/>
      <c r="U7998" s="19">
        <f>IF(AND($V7998='設定'!$C$4,COUNTIF('商品マスタ'!$B$6:$B$1005,$W7998)=0),N(U7997)+1,N(U7997))</f>
        <v/>
      </c>
      <c r="V7998" s="19">
        <f>IF($B7998="","",TEXT($B7998,"0000"))</f>
        <v/>
      </c>
      <c r="W7998" s="19">
        <f>IF($I7998="","",IF(ISNUMBER($I7998),TEXT($I7998,"0"),$I7998))</f>
        <v/>
      </c>
    </row>
    <row r="7999">
      <c r="B7999" s="25" t="n"/>
      <c r="I7999" s="25" t="n"/>
      <c r="U7999" s="19">
        <f>IF(AND($V7999='設定'!$C$4,COUNTIF('商品マスタ'!$B$6:$B$1005,$W7999)=0),N(U7998)+1,N(U7998))</f>
        <v/>
      </c>
      <c r="V7999" s="19">
        <f>IF($B7999="","",TEXT($B7999,"0000"))</f>
        <v/>
      </c>
      <c r="W7999" s="19">
        <f>IF($I7999="","",IF(ISNUMBER($I7999),TEXT($I7999,"0"),$I7999))</f>
        <v/>
      </c>
    </row>
    <row r="8000">
      <c r="B8000" s="25" t="n"/>
      <c r="I8000" s="25" t="n"/>
      <c r="U8000" s="19">
        <f>IF(AND($V8000='設定'!$C$4,COUNTIF('商品マスタ'!$B$6:$B$1005,$W8000)=0),N(U7999)+1,N(U7999))</f>
        <v/>
      </c>
      <c r="V8000" s="19">
        <f>IF($B8000="","",TEXT($B8000,"0000"))</f>
        <v/>
      </c>
      <c r="W8000" s="19">
        <f>IF($I8000="","",IF(ISNUMBER($I8000),TEXT($I8000,"0"),$I8000))</f>
        <v/>
      </c>
    </row>
    <row r="8001">
      <c r="B8001" s="25" t="n"/>
      <c r="I8001" s="25" t="n"/>
      <c r="U8001" s="19">
        <f>IF(AND($V8001='設定'!$C$4,COUNTIF('商品マスタ'!$B$6:$B$1005,$W8001)=0),N(U8000)+1,N(U8000))</f>
        <v/>
      </c>
      <c r="V8001" s="19">
        <f>IF($B8001="","",TEXT($B8001,"0000"))</f>
        <v/>
      </c>
      <c r="W8001" s="19">
        <f>IF($I8001="","",IF(ISNUMBER($I8001),TEXT($I8001,"0"),$I8001))</f>
        <v/>
      </c>
    </row>
    <row r="8002">
      <c r="B8002" s="25" t="n"/>
      <c r="I8002" s="25" t="n"/>
      <c r="U8002" s="19">
        <f>IF(AND($V8002='設定'!$C$4,COUNTIF('商品マスタ'!$B$6:$B$1005,$W8002)=0),N(U8001)+1,N(U8001))</f>
        <v/>
      </c>
      <c r="V8002" s="19">
        <f>IF($B8002="","",TEXT($B8002,"0000"))</f>
        <v/>
      </c>
      <c r="W8002" s="19">
        <f>IF($I8002="","",IF(ISNUMBER($I8002),TEXT($I8002,"0"),$I8002))</f>
        <v/>
      </c>
    </row>
    <row r="8003">
      <c r="B8003" s="25" t="n"/>
      <c r="I8003" s="25" t="n"/>
      <c r="U8003" s="19">
        <f>IF(AND($V8003='設定'!$C$4,COUNTIF('商品マスタ'!$B$6:$B$1005,$W8003)=0),N(U8002)+1,N(U8002))</f>
        <v/>
      </c>
      <c r="V8003" s="19">
        <f>IF($B8003="","",TEXT($B8003,"0000"))</f>
        <v/>
      </c>
      <c r="W8003" s="19">
        <f>IF($I8003="","",IF(ISNUMBER($I8003),TEXT($I8003,"0"),$I8003))</f>
        <v/>
      </c>
    </row>
    <row r="8004">
      <c r="B8004" s="25" t="n"/>
      <c r="I8004" s="25" t="n"/>
      <c r="U8004" s="19">
        <f>IF(AND($V8004='設定'!$C$4,COUNTIF('商品マスタ'!$B$6:$B$1005,$W8004)=0),N(U8003)+1,N(U8003))</f>
        <v/>
      </c>
      <c r="V8004" s="19">
        <f>IF($B8004="","",TEXT($B8004,"0000"))</f>
        <v/>
      </c>
      <c r="W8004" s="19">
        <f>IF($I8004="","",IF(ISNUMBER($I8004),TEXT($I8004,"0"),$I8004))</f>
        <v/>
      </c>
    </row>
    <row r="8005">
      <c r="B8005" s="25" t="n"/>
      <c r="I8005" s="25" t="n"/>
      <c r="U8005" s="19">
        <f>IF(AND($V8005='設定'!$C$4,COUNTIF('商品マスタ'!$B$6:$B$1005,$W8005)=0),N(U8004)+1,N(U8004))</f>
        <v/>
      </c>
      <c r="V8005" s="19">
        <f>IF($B8005="","",TEXT($B8005,"0000"))</f>
        <v/>
      </c>
      <c r="W8005" s="19">
        <f>IF($I8005="","",IF(ISNUMBER($I8005),TEXT($I8005,"0"),$I8005))</f>
        <v/>
      </c>
    </row>
    <row r="8006">
      <c r="B8006" s="25" t="n"/>
      <c r="I8006" s="25" t="n"/>
      <c r="U8006" s="19">
        <f>IF(AND($V8006='設定'!$C$4,COUNTIF('商品マスタ'!$B$6:$B$1005,$W8006)=0),N(U8005)+1,N(U8005))</f>
        <v/>
      </c>
      <c r="V8006" s="19">
        <f>IF($B8006="","",TEXT($B8006,"0000"))</f>
        <v/>
      </c>
      <c r="W8006" s="19">
        <f>IF($I8006="","",IF(ISNUMBER($I8006),TEXT($I8006,"0"),$I8006))</f>
        <v/>
      </c>
    </row>
    <row r="8007">
      <c r="B8007" s="25" t="n"/>
      <c r="I8007" s="25" t="n"/>
      <c r="U8007" s="19">
        <f>IF(AND($V8007='設定'!$C$4,COUNTIF('商品マスタ'!$B$6:$B$1005,$W8007)=0),N(U8006)+1,N(U8006))</f>
        <v/>
      </c>
      <c r="V8007" s="19">
        <f>IF($B8007="","",TEXT($B8007,"0000"))</f>
        <v/>
      </c>
      <c r="W8007" s="19">
        <f>IF($I8007="","",IF(ISNUMBER($I8007),TEXT($I8007,"0"),$I8007))</f>
        <v/>
      </c>
    </row>
    <row r="8008">
      <c r="B8008" s="25" t="n"/>
      <c r="I8008" s="25" t="n"/>
      <c r="U8008" s="19">
        <f>IF(AND($V8008='設定'!$C$4,COUNTIF('商品マスタ'!$B$6:$B$1005,$W8008)=0),N(U8007)+1,N(U8007))</f>
        <v/>
      </c>
      <c r="V8008" s="19">
        <f>IF($B8008="","",TEXT($B8008,"0000"))</f>
        <v/>
      </c>
      <c r="W8008" s="19">
        <f>IF($I8008="","",IF(ISNUMBER($I8008),TEXT($I8008,"0"),$I8008))</f>
        <v/>
      </c>
    </row>
    <row r="8009">
      <c r="B8009" s="25" t="n"/>
      <c r="I8009" s="25" t="n"/>
      <c r="U8009" s="19">
        <f>IF(AND($V8009='設定'!$C$4,COUNTIF('商品マスタ'!$B$6:$B$1005,$W8009)=0),N(U8008)+1,N(U8008))</f>
        <v/>
      </c>
      <c r="V8009" s="19">
        <f>IF($B8009="","",TEXT($B8009,"0000"))</f>
        <v/>
      </c>
      <c r="W8009" s="19">
        <f>IF($I8009="","",IF(ISNUMBER($I8009),TEXT($I8009,"0"),$I8009))</f>
        <v/>
      </c>
    </row>
    <row r="8010">
      <c r="B8010" s="25" t="n"/>
      <c r="I8010" s="25" t="n"/>
      <c r="U8010" s="19">
        <f>IF(AND($V8010='設定'!$C$4,COUNTIF('商品マスタ'!$B$6:$B$1005,$W8010)=0),N(U8009)+1,N(U8009))</f>
        <v/>
      </c>
      <c r="V8010" s="19">
        <f>IF($B8010="","",TEXT($B8010,"0000"))</f>
        <v/>
      </c>
      <c r="W8010" s="19">
        <f>IF($I8010="","",IF(ISNUMBER($I8010),TEXT($I8010,"0"),$I8010))</f>
        <v/>
      </c>
    </row>
    <row r="8011">
      <c r="B8011" s="25" t="n"/>
      <c r="I8011" s="25" t="n"/>
      <c r="U8011" s="19">
        <f>IF(AND($V8011='設定'!$C$4,COUNTIF('商品マスタ'!$B$6:$B$1005,$W8011)=0),N(U8010)+1,N(U8010))</f>
        <v/>
      </c>
      <c r="V8011" s="19">
        <f>IF($B8011="","",TEXT($B8011,"0000"))</f>
        <v/>
      </c>
      <c r="W8011" s="19">
        <f>IF($I8011="","",IF(ISNUMBER($I8011),TEXT($I8011,"0"),$I8011))</f>
        <v/>
      </c>
    </row>
    <row r="8012">
      <c r="B8012" s="25" t="n"/>
      <c r="I8012" s="25" t="n"/>
      <c r="U8012" s="19">
        <f>IF(AND($V8012='設定'!$C$4,COUNTIF('商品マスタ'!$B$6:$B$1005,$W8012)=0),N(U8011)+1,N(U8011))</f>
        <v/>
      </c>
      <c r="V8012" s="19">
        <f>IF($B8012="","",TEXT($B8012,"0000"))</f>
        <v/>
      </c>
      <c r="W8012" s="19">
        <f>IF($I8012="","",IF(ISNUMBER($I8012),TEXT($I8012,"0"),$I8012))</f>
        <v/>
      </c>
    </row>
    <row r="8013">
      <c r="B8013" s="25" t="n"/>
      <c r="I8013" s="25" t="n"/>
      <c r="U8013" s="19">
        <f>IF(AND($V8013='設定'!$C$4,COUNTIF('商品マスタ'!$B$6:$B$1005,$W8013)=0),N(U8012)+1,N(U8012))</f>
        <v/>
      </c>
      <c r="V8013" s="19">
        <f>IF($B8013="","",TEXT($B8013,"0000"))</f>
        <v/>
      </c>
      <c r="W8013" s="19">
        <f>IF($I8013="","",IF(ISNUMBER($I8013),TEXT($I8013,"0"),$I8013))</f>
        <v/>
      </c>
    </row>
    <row r="8014">
      <c r="B8014" s="25" t="n"/>
      <c r="I8014" s="25" t="n"/>
      <c r="U8014" s="19">
        <f>IF(AND($V8014='設定'!$C$4,COUNTIF('商品マスタ'!$B$6:$B$1005,$W8014)=0),N(U8013)+1,N(U8013))</f>
        <v/>
      </c>
      <c r="V8014" s="19">
        <f>IF($B8014="","",TEXT($B8014,"0000"))</f>
        <v/>
      </c>
      <c r="W8014" s="19">
        <f>IF($I8014="","",IF(ISNUMBER($I8014),TEXT($I8014,"0"),$I8014))</f>
        <v/>
      </c>
    </row>
    <row r="8015">
      <c r="B8015" s="25" t="n"/>
      <c r="I8015" s="25" t="n"/>
      <c r="U8015" s="19">
        <f>IF(AND($V8015='設定'!$C$4,COUNTIF('商品マスタ'!$B$6:$B$1005,$W8015)=0),N(U8014)+1,N(U8014))</f>
        <v/>
      </c>
      <c r="V8015" s="19">
        <f>IF($B8015="","",TEXT($B8015,"0000"))</f>
        <v/>
      </c>
      <c r="W8015" s="19">
        <f>IF($I8015="","",IF(ISNUMBER($I8015),TEXT($I8015,"0"),$I8015))</f>
        <v/>
      </c>
    </row>
    <row r="8016">
      <c r="B8016" s="25" t="n"/>
      <c r="I8016" s="25" t="n"/>
      <c r="U8016" s="19">
        <f>IF(AND($V8016='設定'!$C$4,COUNTIF('商品マスタ'!$B$6:$B$1005,$W8016)=0),N(U8015)+1,N(U8015))</f>
        <v/>
      </c>
      <c r="V8016" s="19">
        <f>IF($B8016="","",TEXT($B8016,"0000"))</f>
        <v/>
      </c>
      <c r="W8016" s="19">
        <f>IF($I8016="","",IF(ISNUMBER($I8016),TEXT($I8016,"0"),$I8016))</f>
        <v/>
      </c>
    </row>
    <row r="8017">
      <c r="B8017" s="25" t="n"/>
      <c r="I8017" s="25" t="n"/>
      <c r="U8017" s="19">
        <f>IF(AND($V8017='設定'!$C$4,COUNTIF('商品マスタ'!$B$6:$B$1005,$W8017)=0),N(U8016)+1,N(U8016))</f>
        <v/>
      </c>
      <c r="V8017" s="19">
        <f>IF($B8017="","",TEXT($B8017,"0000"))</f>
        <v/>
      </c>
      <c r="W8017" s="19">
        <f>IF($I8017="","",IF(ISNUMBER($I8017),TEXT($I8017,"0"),$I8017))</f>
        <v/>
      </c>
    </row>
    <row r="8018">
      <c r="B8018" s="25" t="n"/>
      <c r="I8018" s="25" t="n"/>
      <c r="U8018" s="19">
        <f>IF(AND($V8018='設定'!$C$4,COUNTIF('商品マスタ'!$B$6:$B$1005,$W8018)=0),N(U8017)+1,N(U8017))</f>
        <v/>
      </c>
      <c r="V8018" s="19">
        <f>IF($B8018="","",TEXT($B8018,"0000"))</f>
        <v/>
      </c>
      <c r="W8018" s="19">
        <f>IF($I8018="","",IF(ISNUMBER($I8018),TEXT($I8018,"0"),$I8018))</f>
        <v/>
      </c>
    </row>
    <row r="8019">
      <c r="B8019" s="25" t="n"/>
      <c r="I8019" s="25" t="n"/>
      <c r="U8019" s="19">
        <f>IF(AND($V8019='設定'!$C$4,COUNTIF('商品マスタ'!$B$6:$B$1005,$W8019)=0),N(U8018)+1,N(U8018))</f>
        <v/>
      </c>
      <c r="V8019" s="19">
        <f>IF($B8019="","",TEXT($B8019,"0000"))</f>
        <v/>
      </c>
      <c r="W8019" s="19">
        <f>IF($I8019="","",IF(ISNUMBER($I8019),TEXT($I8019,"0"),$I8019))</f>
        <v/>
      </c>
    </row>
    <row r="8020">
      <c r="B8020" s="25" t="n"/>
      <c r="I8020" s="25" t="n"/>
      <c r="U8020" s="19">
        <f>IF(AND($V8020='設定'!$C$4,COUNTIF('商品マスタ'!$B$6:$B$1005,$W8020)=0),N(U8019)+1,N(U8019))</f>
        <v/>
      </c>
      <c r="V8020" s="19">
        <f>IF($B8020="","",TEXT($B8020,"0000"))</f>
        <v/>
      </c>
      <c r="W8020" s="19">
        <f>IF($I8020="","",IF(ISNUMBER($I8020),TEXT($I8020,"0"),$I8020))</f>
        <v/>
      </c>
    </row>
    <row r="8021">
      <c r="B8021" s="25" t="n"/>
      <c r="I8021" s="25" t="n"/>
      <c r="U8021" s="19">
        <f>IF(AND($V8021='設定'!$C$4,COUNTIF('商品マスタ'!$B$6:$B$1005,$W8021)=0),N(U8020)+1,N(U8020))</f>
        <v/>
      </c>
      <c r="V8021" s="19">
        <f>IF($B8021="","",TEXT($B8021,"0000"))</f>
        <v/>
      </c>
      <c r="W8021" s="19">
        <f>IF($I8021="","",IF(ISNUMBER($I8021),TEXT($I8021,"0"),$I8021))</f>
        <v/>
      </c>
    </row>
    <row r="8022">
      <c r="B8022" s="25" t="n"/>
      <c r="I8022" s="25" t="n"/>
      <c r="U8022" s="19">
        <f>IF(AND($V8022='設定'!$C$4,COUNTIF('商品マスタ'!$B$6:$B$1005,$W8022)=0),N(U8021)+1,N(U8021))</f>
        <v/>
      </c>
      <c r="V8022" s="19">
        <f>IF($B8022="","",TEXT($B8022,"0000"))</f>
        <v/>
      </c>
      <c r="W8022" s="19">
        <f>IF($I8022="","",IF(ISNUMBER($I8022),TEXT($I8022,"0"),$I8022))</f>
        <v/>
      </c>
    </row>
    <row r="8023">
      <c r="B8023" s="25" t="n"/>
      <c r="I8023" s="25" t="n"/>
      <c r="U8023" s="19">
        <f>IF(AND($V8023='設定'!$C$4,COUNTIF('商品マスタ'!$B$6:$B$1005,$W8023)=0),N(U8022)+1,N(U8022))</f>
        <v/>
      </c>
      <c r="V8023" s="19">
        <f>IF($B8023="","",TEXT($B8023,"0000"))</f>
        <v/>
      </c>
      <c r="W8023" s="19">
        <f>IF($I8023="","",IF(ISNUMBER($I8023),TEXT($I8023,"0"),$I8023))</f>
        <v/>
      </c>
    </row>
    <row r="8024">
      <c r="B8024" s="25" t="n"/>
      <c r="I8024" s="25" t="n"/>
      <c r="U8024" s="19">
        <f>IF(AND($V8024='設定'!$C$4,COUNTIF('商品マスタ'!$B$6:$B$1005,$W8024)=0),N(U8023)+1,N(U8023))</f>
        <v/>
      </c>
      <c r="V8024" s="19">
        <f>IF($B8024="","",TEXT($B8024,"0000"))</f>
        <v/>
      </c>
      <c r="W8024" s="19">
        <f>IF($I8024="","",IF(ISNUMBER($I8024),TEXT($I8024,"0"),$I8024))</f>
        <v/>
      </c>
    </row>
    <row r="8025">
      <c r="B8025" s="25" t="n"/>
      <c r="I8025" s="25" t="n"/>
      <c r="U8025" s="19">
        <f>IF(AND($V8025='設定'!$C$4,COUNTIF('商品マスタ'!$B$6:$B$1005,$W8025)=0),N(U8024)+1,N(U8024))</f>
        <v/>
      </c>
      <c r="V8025" s="19">
        <f>IF($B8025="","",TEXT($B8025,"0000"))</f>
        <v/>
      </c>
      <c r="W8025" s="19">
        <f>IF($I8025="","",IF(ISNUMBER($I8025),TEXT($I8025,"0"),$I8025))</f>
        <v/>
      </c>
    </row>
    <row r="8026">
      <c r="B8026" s="25" t="n"/>
      <c r="I8026" s="25" t="n"/>
      <c r="U8026" s="19">
        <f>IF(AND($V8026='設定'!$C$4,COUNTIF('商品マスタ'!$B$6:$B$1005,$W8026)=0),N(U8025)+1,N(U8025))</f>
        <v/>
      </c>
      <c r="V8026" s="19">
        <f>IF($B8026="","",TEXT($B8026,"0000"))</f>
        <v/>
      </c>
      <c r="W8026" s="19">
        <f>IF($I8026="","",IF(ISNUMBER($I8026),TEXT($I8026,"0"),$I8026))</f>
        <v/>
      </c>
    </row>
    <row r="8027">
      <c r="B8027" s="25" t="n"/>
      <c r="I8027" s="25" t="n"/>
      <c r="U8027" s="19">
        <f>IF(AND($V8027='設定'!$C$4,COUNTIF('商品マスタ'!$B$6:$B$1005,$W8027)=0),N(U8026)+1,N(U8026))</f>
        <v/>
      </c>
      <c r="V8027" s="19">
        <f>IF($B8027="","",TEXT($B8027,"0000"))</f>
        <v/>
      </c>
      <c r="W8027" s="19">
        <f>IF($I8027="","",IF(ISNUMBER($I8027),TEXT($I8027,"0"),$I8027))</f>
        <v/>
      </c>
    </row>
    <row r="8028">
      <c r="B8028" s="25" t="n"/>
      <c r="I8028" s="25" t="n"/>
      <c r="U8028" s="19">
        <f>IF(AND($V8028='設定'!$C$4,COUNTIF('商品マスタ'!$B$6:$B$1005,$W8028)=0),N(U8027)+1,N(U8027))</f>
        <v/>
      </c>
      <c r="V8028" s="19">
        <f>IF($B8028="","",TEXT($B8028,"0000"))</f>
        <v/>
      </c>
      <c r="W8028" s="19">
        <f>IF($I8028="","",IF(ISNUMBER($I8028),TEXT($I8028,"0"),$I8028))</f>
        <v/>
      </c>
    </row>
    <row r="8029">
      <c r="B8029" s="25" t="n"/>
      <c r="I8029" s="25" t="n"/>
      <c r="U8029" s="19">
        <f>IF(AND($V8029='設定'!$C$4,COUNTIF('商品マスタ'!$B$6:$B$1005,$W8029)=0),N(U8028)+1,N(U8028))</f>
        <v/>
      </c>
      <c r="V8029" s="19">
        <f>IF($B8029="","",TEXT($B8029,"0000"))</f>
        <v/>
      </c>
      <c r="W8029" s="19">
        <f>IF($I8029="","",IF(ISNUMBER($I8029),TEXT($I8029,"0"),$I8029))</f>
        <v/>
      </c>
    </row>
    <row r="8030">
      <c r="B8030" s="25" t="n"/>
      <c r="I8030" s="25" t="n"/>
      <c r="U8030" s="19">
        <f>IF(AND($V8030='設定'!$C$4,COUNTIF('商品マスタ'!$B$6:$B$1005,$W8030)=0),N(U8029)+1,N(U8029))</f>
        <v/>
      </c>
      <c r="V8030" s="19">
        <f>IF($B8030="","",TEXT($B8030,"0000"))</f>
        <v/>
      </c>
      <c r="W8030" s="19">
        <f>IF($I8030="","",IF(ISNUMBER($I8030),TEXT($I8030,"0"),$I8030))</f>
        <v/>
      </c>
    </row>
    <row r="8031">
      <c r="B8031" s="25" t="n"/>
      <c r="I8031" s="25" t="n"/>
      <c r="U8031" s="19">
        <f>IF(AND($V8031='設定'!$C$4,COUNTIF('商品マスタ'!$B$6:$B$1005,$W8031)=0),N(U8030)+1,N(U8030))</f>
        <v/>
      </c>
      <c r="V8031" s="19">
        <f>IF($B8031="","",TEXT($B8031,"0000"))</f>
        <v/>
      </c>
      <c r="W8031" s="19">
        <f>IF($I8031="","",IF(ISNUMBER($I8031),TEXT($I8031,"0"),$I8031))</f>
        <v/>
      </c>
    </row>
    <row r="8032">
      <c r="B8032" s="25" t="n"/>
      <c r="I8032" s="25" t="n"/>
      <c r="U8032" s="19">
        <f>IF(AND($V8032='設定'!$C$4,COUNTIF('商品マスタ'!$B$6:$B$1005,$W8032)=0),N(U8031)+1,N(U8031))</f>
        <v/>
      </c>
      <c r="V8032" s="19">
        <f>IF($B8032="","",TEXT($B8032,"0000"))</f>
        <v/>
      </c>
      <c r="W8032" s="19">
        <f>IF($I8032="","",IF(ISNUMBER($I8032),TEXT($I8032,"0"),$I8032))</f>
        <v/>
      </c>
    </row>
    <row r="8033">
      <c r="B8033" s="25" t="n"/>
      <c r="I8033" s="25" t="n"/>
      <c r="U8033" s="19">
        <f>IF(AND($V8033='設定'!$C$4,COUNTIF('商品マスタ'!$B$6:$B$1005,$W8033)=0),N(U8032)+1,N(U8032))</f>
        <v/>
      </c>
      <c r="V8033" s="19">
        <f>IF($B8033="","",TEXT($B8033,"0000"))</f>
        <v/>
      </c>
      <c r="W8033" s="19">
        <f>IF($I8033="","",IF(ISNUMBER($I8033),TEXT($I8033,"0"),$I8033))</f>
        <v/>
      </c>
    </row>
    <row r="8034">
      <c r="B8034" s="25" t="n"/>
      <c r="I8034" s="25" t="n"/>
      <c r="U8034" s="19">
        <f>IF(AND($V8034='設定'!$C$4,COUNTIF('商品マスタ'!$B$6:$B$1005,$W8034)=0),N(U8033)+1,N(U8033))</f>
        <v/>
      </c>
      <c r="V8034" s="19">
        <f>IF($B8034="","",TEXT($B8034,"0000"))</f>
        <v/>
      </c>
      <c r="W8034" s="19">
        <f>IF($I8034="","",IF(ISNUMBER($I8034),TEXT($I8034,"0"),$I8034))</f>
        <v/>
      </c>
    </row>
    <row r="8035">
      <c r="B8035" s="25" t="n"/>
      <c r="I8035" s="25" t="n"/>
      <c r="U8035" s="19">
        <f>IF(AND($V8035='設定'!$C$4,COUNTIF('商品マスタ'!$B$6:$B$1005,$W8035)=0),N(U8034)+1,N(U8034))</f>
        <v/>
      </c>
      <c r="V8035" s="19">
        <f>IF($B8035="","",TEXT($B8035,"0000"))</f>
        <v/>
      </c>
      <c r="W8035" s="19">
        <f>IF($I8035="","",IF(ISNUMBER($I8035),TEXT($I8035,"0"),$I8035))</f>
        <v/>
      </c>
    </row>
    <row r="8036">
      <c r="B8036" s="25" t="n"/>
      <c r="I8036" s="25" t="n"/>
      <c r="U8036" s="19">
        <f>IF(AND($V8036='設定'!$C$4,COUNTIF('商品マスタ'!$B$6:$B$1005,$W8036)=0),N(U8035)+1,N(U8035))</f>
        <v/>
      </c>
      <c r="V8036" s="19">
        <f>IF($B8036="","",TEXT($B8036,"0000"))</f>
        <v/>
      </c>
      <c r="W8036" s="19">
        <f>IF($I8036="","",IF(ISNUMBER($I8036),TEXT($I8036,"0"),$I8036))</f>
        <v/>
      </c>
    </row>
    <row r="8037">
      <c r="B8037" s="25" t="n"/>
      <c r="I8037" s="25" t="n"/>
      <c r="U8037" s="19">
        <f>IF(AND($V8037='設定'!$C$4,COUNTIF('商品マスタ'!$B$6:$B$1005,$W8037)=0),N(U8036)+1,N(U8036))</f>
        <v/>
      </c>
      <c r="V8037" s="19">
        <f>IF($B8037="","",TEXT($B8037,"0000"))</f>
        <v/>
      </c>
      <c r="W8037" s="19">
        <f>IF($I8037="","",IF(ISNUMBER($I8037),TEXT($I8037,"0"),$I8037))</f>
        <v/>
      </c>
    </row>
    <row r="8038">
      <c r="B8038" s="25" t="n"/>
      <c r="I8038" s="25" t="n"/>
      <c r="U8038" s="19">
        <f>IF(AND($V8038='設定'!$C$4,COUNTIF('商品マスタ'!$B$6:$B$1005,$W8038)=0),N(U8037)+1,N(U8037))</f>
        <v/>
      </c>
      <c r="V8038" s="19">
        <f>IF($B8038="","",TEXT($B8038,"0000"))</f>
        <v/>
      </c>
      <c r="W8038" s="19">
        <f>IF($I8038="","",IF(ISNUMBER($I8038),TEXT($I8038,"0"),$I8038))</f>
        <v/>
      </c>
    </row>
    <row r="8039">
      <c r="B8039" s="25" t="n"/>
      <c r="I8039" s="25" t="n"/>
      <c r="U8039" s="19">
        <f>IF(AND($V8039='設定'!$C$4,COUNTIF('商品マスタ'!$B$6:$B$1005,$W8039)=0),N(U8038)+1,N(U8038))</f>
        <v/>
      </c>
      <c r="V8039" s="19">
        <f>IF($B8039="","",TEXT($B8039,"0000"))</f>
        <v/>
      </c>
      <c r="W8039" s="19">
        <f>IF($I8039="","",IF(ISNUMBER($I8039),TEXT($I8039,"0"),$I8039))</f>
        <v/>
      </c>
    </row>
    <row r="8040">
      <c r="B8040" s="25" t="n"/>
      <c r="I8040" s="25" t="n"/>
      <c r="U8040" s="19">
        <f>IF(AND($V8040='設定'!$C$4,COUNTIF('商品マスタ'!$B$6:$B$1005,$W8040)=0),N(U8039)+1,N(U8039))</f>
        <v/>
      </c>
      <c r="V8040" s="19">
        <f>IF($B8040="","",TEXT($B8040,"0000"))</f>
        <v/>
      </c>
      <c r="W8040" s="19">
        <f>IF($I8040="","",IF(ISNUMBER($I8040),TEXT($I8040,"0"),$I8040))</f>
        <v/>
      </c>
    </row>
    <row r="8041">
      <c r="B8041" s="25" t="n"/>
      <c r="I8041" s="25" t="n"/>
      <c r="U8041" s="19">
        <f>IF(AND($V8041='設定'!$C$4,COUNTIF('商品マスタ'!$B$6:$B$1005,$W8041)=0),N(U8040)+1,N(U8040))</f>
        <v/>
      </c>
      <c r="V8041" s="19">
        <f>IF($B8041="","",TEXT($B8041,"0000"))</f>
        <v/>
      </c>
      <c r="W8041" s="19">
        <f>IF($I8041="","",IF(ISNUMBER($I8041),TEXT($I8041,"0"),$I8041))</f>
        <v/>
      </c>
    </row>
    <row r="8042">
      <c r="B8042" s="25" t="n"/>
      <c r="I8042" s="25" t="n"/>
      <c r="U8042" s="19">
        <f>IF(AND($V8042='設定'!$C$4,COUNTIF('商品マスタ'!$B$6:$B$1005,$W8042)=0),N(U8041)+1,N(U8041))</f>
        <v/>
      </c>
      <c r="V8042" s="19">
        <f>IF($B8042="","",TEXT($B8042,"0000"))</f>
        <v/>
      </c>
      <c r="W8042" s="19">
        <f>IF($I8042="","",IF(ISNUMBER($I8042),TEXT($I8042,"0"),$I8042))</f>
        <v/>
      </c>
    </row>
    <row r="8043">
      <c r="B8043" s="25" t="n"/>
      <c r="I8043" s="25" t="n"/>
      <c r="U8043" s="19">
        <f>IF(AND($V8043='設定'!$C$4,COUNTIF('商品マスタ'!$B$6:$B$1005,$W8043)=0),N(U8042)+1,N(U8042))</f>
        <v/>
      </c>
      <c r="V8043" s="19">
        <f>IF($B8043="","",TEXT($B8043,"0000"))</f>
        <v/>
      </c>
      <c r="W8043" s="19">
        <f>IF($I8043="","",IF(ISNUMBER($I8043),TEXT($I8043,"0"),$I8043))</f>
        <v/>
      </c>
    </row>
    <row r="8044">
      <c r="B8044" s="25" t="n"/>
      <c r="I8044" s="25" t="n"/>
      <c r="U8044" s="19">
        <f>IF(AND($V8044='設定'!$C$4,COUNTIF('商品マスタ'!$B$6:$B$1005,$W8044)=0),N(U8043)+1,N(U8043))</f>
        <v/>
      </c>
      <c r="V8044" s="19">
        <f>IF($B8044="","",TEXT($B8044,"0000"))</f>
        <v/>
      </c>
      <c r="W8044" s="19">
        <f>IF($I8044="","",IF(ISNUMBER($I8044),TEXT($I8044,"0"),$I8044))</f>
        <v/>
      </c>
    </row>
    <row r="8045">
      <c r="B8045" s="25" t="n"/>
      <c r="I8045" s="25" t="n"/>
      <c r="U8045" s="19">
        <f>IF(AND($V8045='設定'!$C$4,COUNTIF('商品マスタ'!$B$6:$B$1005,$W8045)=0),N(U8044)+1,N(U8044))</f>
        <v/>
      </c>
      <c r="V8045" s="19">
        <f>IF($B8045="","",TEXT($B8045,"0000"))</f>
        <v/>
      </c>
      <c r="W8045" s="19">
        <f>IF($I8045="","",IF(ISNUMBER($I8045),TEXT($I8045,"0"),$I8045))</f>
        <v/>
      </c>
    </row>
    <row r="8046">
      <c r="B8046" s="25" t="n"/>
      <c r="I8046" s="25" t="n"/>
      <c r="U8046" s="19">
        <f>IF(AND($V8046='設定'!$C$4,COUNTIF('商品マスタ'!$B$6:$B$1005,$W8046)=0),N(U8045)+1,N(U8045))</f>
        <v/>
      </c>
      <c r="V8046" s="19">
        <f>IF($B8046="","",TEXT($B8046,"0000"))</f>
        <v/>
      </c>
      <c r="W8046" s="19">
        <f>IF($I8046="","",IF(ISNUMBER($I8046),TEXT($I8046,"0"),$I8046))</f>
        <v/>
      </c>
    </row>
    <row r="8047">
      <c r="B8047" s="25" t="n"/>
      <c r="I8047" s="25" t="n"/>
      <c r="U8047" s="19">
        <f>IF(AND($V8047='設定'!$C$4,COUNTIF('商品マスタ'!$B$6:$B$1005,$W8047)=0),N(U8046)+1,N(U8046))</f>
        <v/>
      </c>
      <c r="V8047" s="19">
        <f>IF($B8047="","",TEXT($B8047,"0000"))</f>
        <v/>
      </c>
      <c r="W8047" s="19">
        <f>IF($I8047="","",IF(ISNUMBER($I8047),TEXT($I8047,"0"),$I8047))</f>
        <v/>
      </c>
    </row>
    <row r="8048">
      <c r="B8048" s="25" t="n"/>
      <c r="I8048" s="25" t="n"/>
      <c r="U8048" s="19">
        <f>IF(AND($V8048='設定'!$C$4,COUNTIF('商品マスタ'!$B$6:$B$1005,$W8048)=0),N(U8047)+1,N(U8047))</f>
        <v/>
      </c>
      <c r="V8048" s="19">
        <f>IF($B8048="","",TEXT($B8048,"0000"))</f>
        <v/>
      </c>
      <c r="W8048" s="19">
        <f>IF($I8048="","",IF(ISNUMBER($I8048),TEXT($I8048,"0"),$I8048))</f>
        <v/>
      </c>
    </row>
    <row r="8049">
      <c r="B8049" s="25" t="n"/>
      <c r="I8049" s="25" t="n"/>
      <c r="U8049" s="19">
        <f>IF(AND($V8049='設定'!$C$4,COUNTIF('商品マスタ'!$B$6:$B$1005,$W8049)=0),N(U8048)+1,N(U8048))</f>
        <v/>
      </c>
      <c r="V8049" s="19">
        <f>IF($B8049="","",TEXT($B8049,"0000"))</f>
        <v/>
      </c>
      <c r="W8049" s="19">
        <f>IF($I8049="","",IF(ISNUMBER($I8049),TEXT($I8049,"0"),$I8049))</f>
        <v/>
      </c>
    </row>
    <row r="8050">
      <c r="B8050" s="25" t="n"/>
      <c r="I8050" s="25" t="n"/>
      <c r="U8050" s="19">
        <f>IF(AND($V8050='設定'!$C$4,COUNTIF('商品マスタ'!$B$6:$B$1005,$W8050)=0),N(U8049)+1,N(U8049))</f>
        <v/>
      </c>
      <c r="V8050" s="19">
        <f>IF($B8050="","",TEXT($B8050,"0000"))</f>
        <v/>
      </c>
      <c r="W8050" s="19">
        <f>IF($I8050="","",IF(ISNUMBER($I8050),TEXT($I8050,"0"),$I8050))</f>
        <v/>
      </c>
    </row>
    <row r="8051">
      <c r="B8051" s="25" t="n"/>
      <c r="I8051" s="25" t="n"/>
      <c r="U8051" s="19">
        <f>IF(AND($V8051='設定'!$C$4,COUNTIF('商品マスタ'!$B$6:$B$1005,$W8051)=0),N(U8050)+1,N(U8050))</f>
        <v/>
      </c>
      <c r="V8051" s="19">
        <f>IF($B8051="","",TEXT($B8051,"0000"))</f>
        <v/>
      </c>
      <c r="W8051" s="19">
        <f>IF($I8051="","",IF(ISNUMBER($I8051),TEXT($I8051,"0"),$I8051))</f>
        <v/>
      </c>
    </row>
    <row r="8052">
      <c r="B8052" s="25" t="n"/>
      <c r="I8052" s="25" t="n"/>
      <c r="U8052" s="19">
        <f>IF(AND($V8052='設定'!$C$4,COUNTIF('商品マスタ'!$B$6:$B$1005,$W8052)=0),N(U8051)+1,N(U8051))</f>
        <v/>
      </c>
      <c r="V8052" s="19">
        <f>IF($B8052="","",TEXT($B8052,"0000"))</f>
        <v/>
      </c>
      <c r="W8052" s="19">
        <f>IF($I8052="","",IF(ISNUMBER($I8052),TEXT($I8052,"0"),$I8052))</f>
        <v/>
      </c>
    </row>
    <row r="8053">
      <c r="B8053" s="25" t="n"/>
      <c r="I8053" s="25" t="n"/>
      <c r="U8053" s="19">
        <f>IF(AND($V8053='設定'!$C$4,COUNTIF('商品マスタ'!$B$6:$B$1005,$W8053)=0),N(U8052)+1,N(U8052))</f>
        <v/>
      </c>
      <c r="V8053" s="19">
        <f>IF($B8053="","",TEXT($B8053,"0000"))</f>
        <v/>
      </c>
      <c r="W8053" s="19">
        <f>IF($I8053="","",IF(ISNUMBER($I8053),TEXT($I8053,"0"),$I8053))</f>
        <v/>
      </c>
    </row>
    <row r="8054">
      <c r="B8054" s="25" t="n"/>
      <c r="I8054" s="25" t="n"/>
      <c r="U8054" s="19">
        <f>IF(AND($V8054='設定'!$C$4,COUNTIF('商品マスタ'!$B$6:$B$1005,$W8054)=0),N(U8053)+1,N(U8053))</f>
        <v/>
      </c>
      <c r="V8054" s="19">
        <f>IF($B8054="","",TEXT($B8054,"0000"))</f>
        <v/>
      </c>
      <c r="W8054" s="19">
        <f>IF($I8054="","",IF(ISNUMBER($I8054),TEXT($I8054,"0"),$I8054))</f>
        <v/>
      </c>
    </row>
    <row r="8055">
      <c r="B8055" s="25" t="n"/>
      <c r="I8055" s="25" t="n"/>
      <c r="U8055" s="19">
        <f>IF(AND($V8055='設定'!$C$4,COUNTIF('商品マスタ'!$B$6:$B$1005,$W8055)=0),N(U8054)+1,N(U8054))</f>
        <v/>
      </c>
      <c r="V8055" s="19">
        <f>IF($B8055="","",TEXT($B8055,"0000"))</f>
        <v/>
      </c>
      <c r="W8055" s="19">
        <f>IF($I8055="","",IF(ISNUMBER($I8055),TEXT($I8055,"0"),$I8055))</f>
        <v/>
      </c>
    </row>
    <row r="8056">
      <c r="B8056" s="25" t="n"/>
      <c r="I8056" s="25" t="n"/>
      <c r="U8056" s="19">
        <f>IF(AND($V8056='設定'!$C$4,COUNTIF('商品マスタ'!$B$6:$B$1005,$W8056)=0),N(U8055)+1,N(U8055))</f>
        <v/>
      </c>
      <c r="V8056" s="19">
        <f>IF($B8056="","",TEXT($B8056,"0000"))</f>
        <v/>
      </c>
      <c r="W8056" s="19">
        <f>IF($I8056="","",IF(ISNUMBER($I8056),TEXT($I8056,"0"),$I8056))</f>
        <v/>
      </c>
    </row>
    <row r="8057">
      <c r="B8057" s="25" t="n"/>
      <c r="I8057" s="25" t="n"/>
      <c r="U8057" s="19">
        <f>IF(AND($V8057='設定'!$C$4,COUNTIF('商品マスタ'!$B$6:$B$1005,$W8057)=0),N(U8056)+1,N(U8056))</f>
        <v/>
      </c>
      <c r="V8057" s="19">
        <f>IF($B8057="","",TEXT($B8057,"0000"))</f>
        <v/>
      </c>
      <c r="W8057" s="19">
        <f>IF($I8057="","",IF(ISNUMBER($I8057),TEXT($I8057,"0"),$I8057))</f>
        <v/>
      </c>
    </row>
    <row r="8058">
      <c r="B8058" s="25" t="n"/>
      <c r="I8058" s="25" t="n"/>
      <c r="U8058" s="19">
        <f>IF(AND($V8058='設定'!$C$4,COUNTIF('商品マスタ'!$B$6:$B$1005,$W8058)=0),N(U8057)+1,N(U8057))</f>
        <v/>
      </c>
      <c r="V8058" s="19">
        <f>IF($B8058="","",TEXT($B8058,"0000"))</f>
        <v/>
      </c>
      <c r="W8058" s="19">
        <f>IF($I8058="","",IF(ISNUMBER($I8058),TEXT($I8058,"0"),$I8058))</f>
        <v/>
      </c>
    </row>
    <row r="8059">
      <c r="B8059" s="25" t="n"/>
      <c r="I8059" s="25" t="n"/>
      <c r="U8059" s="19">
        <f>IF(AND($V8059='設定'!$C$4,COUNTIF('商品マスタ'!$B$6:$B$1005,$W8059)=0),N(U8058)+1,N(U8058))</f>
        <v/>
      </c>
      <c r="V8059" s="19">
        <f>IF($B8059="","",TEXT($B8059,"0000"))</f>
        <v/>
      </c>
      <c r="W8059" s="19">
        <f>IF($I8059="","",IF(ISNUMBER($I8059),TEXT($I8059,"0"),$I8059))</f>
        <v/>
      </c>
    </row>
    <row r="8060">
      <c r="B8060" s="25" t="n"/>
      <c r="I8060" s="25" t="n"/>
      <c r="U8060" s="19">
        <f>IF(AND($V8060='設定'!$C$4,COUNTIF('商品マスタ'!$B$6:$B$1005,$W8060)=0),N(U8059)+1,N(U8059))</f>
        <v/>
      </c>
      <c r="V8060" s="19">
        <f>IF($B8060="","",TEXT($B8060,"0000"))</f>
        <v/>
      </c>
      <c r="W8060" s="19">
        <f>IF($I8060="","",IF(ISNUMBER($I8060),TEXT($I8060,"0"),$I8060))</f>
        <v/>
      </c>
    </row>
    <row r="8061">
      <c r="B8061" s="25" t="n"/>
      <c r="I8061" s="25" t="n"/>
      <c r="U8061" s="19">
        <f>IF(AND($V8061='設定'!$C$4,COUNTIF('商品マスタ'!$B$6:$B$1005,$W8061)=0),N(U8060)+1,N(U8060))</f>
        <v/>
      </c>
      <c r="V8061" s="19">
        <f>IF($B8061="","",TEXT($B8061,"0000"))</f>
        <v/>
      </c>
      <c r="W8061" s="19">
        <f>IF($I8061="","",IF(ISNUMBER($I8061),TEXT($I8061,"0"),$I8061))</f>
        <v/>
      </c>
    </row>
    <row r="8062">
      <c r="B8062" s="25" t="n"/>
      <c r="I8062" s="25" t="n"/>
      <c r="U8062" s="19">
        <f>IF(AND($V8062='設定'!$C$4,COUNTIF('商品マスタ'!$B$6:$B$1005,$W8062)=0),N(U8061)+1,N(U8061))</f>
        <v/>
      </c>
      <c r="V8062" s="19">
        <f>IF($B8062="","",TEXT($B8062,"0000"))</f>
        <v/>
      </c>
      <c r="W8062" s="19">
        <f>IF($I8062="","",IF(ISNUMBER($I8062),TEXT($I8062,"0"),$I8062))</f>
        <v/>
      </c>
    </row>
    <row r="8063">
      <c r="B8063" s="25" t="n"/>
      <c r="I8063" s="25" t="n"/>
      <c r="U8063" s="19">
        <f>IF(AND($V8063='設定'!$C$4,COUNTIF('商品マスタ'!$B$6:$B$1005,$W8063)=0),N(U8062)+1,N(U8062))</f>
        <v/>
      </c>
      <c r="V8063" s="19">
        <f>IF($B8063="","",TEXT($B8063,"0000"))</f>
        <v/>
      </c>
      <c r="W8063" s="19">
        <f>IF($I8063="","",IF(ISNUMBER($I8063),TEXT($I8063,"0"),$I8063))</f>
        <v/>
      </c>
    </row>
    <row r="8064">
      <c r="B8064" s="25" t="n"/>
      <c r="I8064" s="25" t="n"/>
      <c r="U8064" s="19">
        <f>IF(AND($V8064='設定'!$C$4,COUNTIF('商品マスタ'!$B$6:$B$1005,$W8064)=0),N(U8063)+1,N(U8063))</f>
        <v/>
      </c>
      <c r="V8064" s="19">
        <f>IF($B8064="","",TEXT($B8064,"0000"))</f>
        <v/>
      </c>
      <c r="W8064" s="19">
        <f>IF($I8064="","",IF(ISNUMBER($I8064),TEXT($I8064,"0"),$I8064))</f>
        <v/>
      </c>
    </row>
    <row r="8065">
      <c r="B8065" s="25" t="n"/>
      <c r="I8065" s="25" t="n"/>
      <c r="U8065" s="19">
        <f>IF(AND($V8065='設定'!$C$4,COUNTIF('商品マスタ'!$B$6:$B$1005,$W8065)=0),N(U8064)+1,N(U8064))</f>
        <v/>
      </c>
      <c r="V8065" s="19">
        <f>IF($B8065="","",TEXT($B8065,"0000"))</f>
        <v/>
      </c>
      <c r="W8065" s="19">
        <f>IF($I8065="","",IF(ISNUMBER($I8065),TEXT($I8065,"0"),$I8065))</f>
        <v/>
      </c>
    </row>
    <row r="8066">
      <c r="B8066" s="25" t="n"/>
      <c r="I8066" s="25" t="n"/>
      <c r="U8066" s="19">
        <f>IF(AND($V8066='設定'!$C$4,COUNTIF('商品マスタ'!$B$6:$B$1005,$W8066)=0),N(U8065)+1,N(U8065))</f>
        <v/>
      </c>
      <c r="V8066" s="19">
        <f>IF($B8066="","",TEXT($B8066,"0000"))</f>
        <v/>
      </c>
      <c r="W8066" s="19">
        <f>IF($I8066="","",IF(ISNUMBER($I8066),TEXT($I8066,"0"),$I8066))</f>
        <v/>
      </c>
    </row>
    <row r="8067">
      <c r="B8067" s="25" t="n"/>
      <c r="I8067" s="25" t="n"/>
      <c r="U8067" s="19">
        <f>IF(AND($V8067='設定'!$C$4,COUNTIF('商品マスタ'!$B$6:$B$1005,$W8067)=0),N(U8066)+1,N(U8066))</f>
        <v/>
      </c>
      <c r="V8067" s="19">
        <f>IF($B8067="","",TEXT($B8067,"0000"))</f>
        <v/>
      </c>
      <c r="W8067" s="19">
        <f>IF($I8067="","",IF(ISNUMBER($I8067),TEXT($I8067,"0"),$I8067))</f>
        <v/>
      </c>
    </row>
    <row r="8068">
      <c r="B8068" s="25" t="n"/>
      <c r="I8068" s="25" t="n"/>
      <c r="U8068" s="19">
        <f>IF(AND($V8068='設定'!$C$4,COUNTIF('商品マスタ'!$B$6:$B$1005,$W8068)=0),N(U8067)+1,N(U8067))</f>
        <v/>
      </c>
      <c r="V8068" s="19">
        <f>IF($B8068="","",TEXT($B8068,"0000"))</f>
        <v/>
      </c>
      <c r="W8068" s="19">
        <f>IF($I8068="","",IF(ISNUMBER($I8068),TEXT($I8068,"0"),$I8068))</f>
        <v/>
      </c>
    </row>
    <row r="8069">
      <c r="B8069" s="25" t="n"/>
      <c r="I8069" s="25" t="n"/>
      <c r="U8069" s="19">
        <f>IF(AND($V8069='設定'!$C$4,COUNTIF('商品マスタ'!$B$6:$B$1005,$W8069)=0),N(U8068)+1,N(U8068))</f>
        <v/>
      </c>
      <c r="V8069" s="19">
        <f>IF($B8069="","",TEXT($B8069,"0000"))</f>
        <v/>
      </c>
      <c r="W8069" s="19">
        <f>IF($I8069="","",IF(ISNUMBER($I8069),TEXT($I8069,"0"),$I8069))</f>
        <v/>
      </c>
    </row>
    <row r="8070">
      <c r="B8070" s="25" t="n"/>
      <c r="I8070" s="25" t="n"/>
      <c r="U8070" s="19">
        <f>IF(AND($V8070='設定'!$C$4,COUNTIF('商品マスタ'!$B$6:$B$1005,$W8070)=0),N(U8069)+1,N(U8069))</f>
        <v/>
      </c>
      <c r="V8070" s="19">
        <f>IF($B8070="","",TEXT($B8070,"0000"))</f>
        <v/>
      </c>
      <c r="W8070" s="19">
        <f>IF($I8070="","",IF(ISNUMBER($I8070),TEXT($I8070,"0"),$I8070))</f>
        <v/>
      </c>
    </row>
    <row r="8071">
      <c r="B8071" s="25" t="n"/>
      <c r="I8071" s="25" t="n"/>
      <c r="U8071" s="19">
        <f>IF(AND($V8071='設定'!$C$4,COUNTIF('商品マスタ'!$B$6:$B$1005,$W8071)=0),N(U8070)+1,N(U8070))</f>
        <v/>
      </c>
      <c r="V8071" s="19">
        <f>IF($B8071="","",TEXT($B8071,"0000"))</f>
        <v/>
      </c>
      <c r="W8071" s="19">
        <f>IF($I8071="","",IF(ISNUMBER($I8071),TEXT($I8071,"0"),$I8071))</f>
        <v/>
      </c>
    </row>
    <row r="8072">
      <c r="B8072" s="25" t="n"/>
      <c r="I8072" s="25" t="n"/>
      <c r="U8072" s="19">
        <f>IF(AND($V8072='設定'!$C$4,COUNTIF('商品マスタ'!$B$6:$B$1005,$W8072)=0),N(U8071)+1,N(U8071))</f>
        <v/>
      </c>
      <c r="V8072" s="19">
        <f>IF($B8072="","",TEXT($B8072,"0000"))</f>
        <v/>
      </c>
      <c r="W8072" s="19">
        <f>IF($I8072="","",IF(ISNUMBER($I8072),TEXT($I8072,"0"),$I8072))</f>
        <v/>
      </c>
    </row>
    <row r="8073">
      <c r="B8073" s="25" t="n"/>
      <c r="I8073" s="25" t="n"/>
      <c r="U8073" s="19">
        <f>IF(AND($V8073='設定'!$C$4,COUNTIF('商品マスタ'!$B$6:$B$1005,$W8073)=0),N(U8072)+1,N(U8072))</f>
        <v/>
      </c>
      <c r="V8073" s="19">
        <f>IF($B8073="","",TEXT($B8073,"0000"))</f>
        <v/>
      </c>
      <c r="W8073" s="19">
        <f>IF($I8073="","",IF(ISNUMBER($I8073),TEXT($I8073,"0"),$I8073))</f>
        <v/>
      </c>
    </row>
    <row r="8074">
      <c r="B8074" s="25" t="n"/>
      <c r="I8074" s="25" t="n"/>
      <c r="U8074" s="19">
        <f>IF(AND($V8074='設定'!$C$4,COUNTIF('商品マスタ'!$B$6:$B$1005,$W8074)=0),N(U8073)+1,N(U8073))</f>
        <v/>
      </c>
      <c r="V8074" s="19">
        <f>IF($B8074="","",TEXT($B8074,"0000"))</f>
        <v/>
      </c>
      <c r="W8074" s="19">
        <f>IF($I8074="","",IF(ISNUMBER($I8074),TEXT($I8074,"0"),$I8074))</f>
        <v/>
      </c>
    </row>
    <row r="8075">
      <c r="B8075" s="25" t="n"/>
      <c r="I8075" s="25" t="n"/>
      <c r="U8075" s="19">
        <f>IF(AND($V8075='設定'!$C$4,COUNTIF('商品マスタ'!$B$6:$B$1005,$W8075)=0),N(U8074)+1,N(U8074))</f>
        <v/>
      </c>
      <c r="V8075" s="19">
        <f>IF($B8075="","",TEXT($B8075,"0000"))</f>
        <v/>
      </c>
      <c r="W8075" s="19">
        <f>IF($I8075="","",IF(ISNUMBER($I8075),TEXT($I8075,"0"),$I8075))</f>
        <v/>
      </c>
    </row>
    <row r="8076">
      <c r="B8076" s="25" t="n"/>
      <c r="I8076" s="25" t="n"/>
      <c r="U8076" s="19">
        <f>IF(AND($V8076='設定'!$C$4,COUNTIF('商品マスタ'!$B$6:$B$1005,$W8076)=0),N(U8075)+1,N(U8075))</f>
        <v/>
      </c>
      <c r="V8076" s="19">
        <f>IF($B8076="","",TEXT($B8076,"0000"))</f>
        <v/>
      </c>
      <c r="W8076" s="19">
        <f>IF($I8076="","",IF(ISNUMBER($I8076),TEXT($I8076,"0"),$I8076))</f>
        <v/>
      </c>
    </row>
    <row r="8077">
      <c r="B8077" s="25" t="n"/>
      <c r="I8077" s="25" t="n"/>
      <c r="U8077" s="19">
        <f>IF(AND($V8077='設定'!$C$4,COUNTIF('商品マスタ'!$B$6:$B$1005,$W8077)=0),N(U8076)+1,N(U8076))</f>
        <v/>
      </c>
      <c r="V8077" s="19">
        <f>IF($B8077="","",TEXT($B8077,"0000"))</f>
        <v/>
      </c>
      <c r="W8077" s="19">
        <f>IF($I8077="","",IF(ISNUMBER($I8077),TEXT($I8077,"0"),$I8077))</f>
        <v/>
      </c>
    </row>
    <row r="8078">
      <c r="B8078" s="25" t="n"/>
      <c r="I8078" s="25" t="n"/>
      <c r="U8078" s="19">
        <f>IF(AND($V8078='設定'!$C$4,COUNTIF('商品マスタ'!$B$6:$B$1005,$W8078)=0),N(U8077)+1,N(U8077))</f>
        <v/>
      </c>
      <c r="V8078" s="19">
        <f>IF($B8078="","",TEXT($B8078,"0000"))</f>
        <v/>
      </c>
      <c r="W8078" s="19">
        <f>IF($I8078="","",IF(ISNUMBER($I8078),TEXT($I8078,"0"),$I8078))</f>
        <v/>
      </c>
    </row>
    <row r="8079">
      <c r="B8079" s="25" t="n"/>
      <c r="I8079" s="25" t="n"/>
      <c r="U8079" s="19">
        <f>IF(AND($V8079='設定'!$C$4,COUNTIF('商品マスタ'!$B$6:$B$1005,$W8079)=0),N(U8078)+1,N(U8078))</f>
        <v/>
      </c>
      <c r="V8079" s="19">
        <f>IF($B8079="","",TEXT($B8079,"0000"))</f>
        <v/>
      </c>
      <c r="W8079" s="19">
        <f>IF($I8079="","",IF(ISNUMBER($I8079),TEXT($I8079,"0"),$I8079))</f>
        <v/>
      </c>
    </row>
    <row r="8080">
      <c r="B8080" s="25" t="n"/>
      <c r="I8080" s="25" t="n"/>
      <c r="U8080" s="19">
        <f>IF(AND($V8080='設定'!$C$4,COUNTIF('商品マスタ'!$B$6:$B$1005,$W8080)=0),N(U8079)+1,N(U8079))</f>
        <v/>
      </c>
      <c r="V8080" s="19">
        <f>IF($B8080="","",TEXT($B8080,"0000"))</f>
        <v/>
      </c>
      <c r="W8080" s="19">
        <f>IF($I8080="","",IF(ISNUMBER($I8080),TEXT($I8080,"0"),$I8080))</f>
        <v/>
      </c>
    </row>
    <row r="8081">
      <c r="B8081" s="25" t="n"/>
      <c r="I8081" s="25" t="n"/>
      <c r="U8081" s="19">
        <f>IF(AND($V8081='設定'!$C$4,COUNTIF('商品マスタ'!$B$6:$B$1005,$W8081)=0),N(U8080)+1,N(U8080))</f>
        <v/>
      </c>
      <c r="V8081" s="19">
        <f>IF($B8081="","",TEXT($B8081,"0000"))</f>
        <v/>
      </c>
      <c r="W8081" s="19">
        <f>IF($I8081="","",IF(ISNUMBER($I8081),TEXT($I8081,"0"),$I8081))</f>
        <v/>
      </c>
    </row>
    <row r="8082">
      <c r="B8082" s="25" t="n"/>
      <c r="I8082" s="25" t="n"/>
      <c r="U8082" s="19">
        <f>IF(AND($V8082='設定'!$C$4,COUNTIF('商品マスタ'!$B$6:$B$1005,$W8082)=0),N(U8081)+1,N(U8081))</f>
        <v/>
      </c>
      <c r="V8082" s="19">
        <f>IF($B8082="","",TEXT($B8082,"0000"))</f>
        <v/>
      </c>
      <c r="W8082" s="19">
        <f>IF($I8082="","",IF(ISNUMBER($I8082),TEXT($I8082,"0"),$I8082))</f>
        <v/>
      </c>
    </row>
    <row r="8083">
      <c r="B8083" s="25" t="n"/>
      <c r="I8083" s="25" t="n"/>
      <c r="U8083" s="19">
        <f>IF(AND($V8083='設定'!$C$4,COUNTIF('商品マスタ'!$B$6:$B$1005,$W8083)=0),N(U8082)+1,N(U8082))</f>
        <v/>
      </c>
      <c r="V8083" s="19">
        <f>IF($B8083="","",TEXT($B8083,"0000"))</f>
        <v/>
      </c>
      <c r="W8083" s="19">
        <f>IF($I8083="","",IF(ISNUMBER($I8083),TEXT($I8083,"0"),$I8083))</f>
        <v/>
      </c>
    </row>
    <row r="8084">
      <c r="B8084" s="25" t="n"/>
      <c r="I8084" s="25" t="n"/>
      <c r="U8084" s="19">
        <f>IF(AND($V8084='設定'!$C$4,COUNTIF('商品マスタ'!$B$6:$B$1005,$W8084)=0),N(U8083)+1,N(U8083))</f>
        <v/>
      </c>
      <c r="V8084" s="19">
        <f>IF($B8084="","",TEXT($B8084,"0000"))</f>
        <v/>
      </c>
      <c r="W8084" s="19">
        <f>IF($I8084="","",IF(ISNUMBER($I8084),TEXT($I8084,"0"),$I8084))</f>
        <v/>
      </c>
    </row>
    <row r="8085">
      <c r="B8085" s="25" t="n"/>
      <c r="I8085" s="25" t="n"/>
      <c r="U8085" s="19">
        <f>IF(AND($V8085='設定'!$C$4,COUNTIF('商品マスタ'!$B$6:$B$1005,$W8085)=0),N(U8084)+1,N(U8084))</f>
        <v/>
      </c>
      <c r="V8085" s="19">
        <f>IF($B8085="","",TEXT($B8085,"0000"))</f>
        <v/>
      </c>
      <c r="W8085" s="19">
        <f>IF($I8085="","",IF(ISNUMBER($I8085),TEXT($I8085,"0"),$I8085))</f>
        <v/>
      </c>
    </row>
    <row r="8086">
      <c r="B8086" s="25" t="n"/>
      <c r="I8086" s="25" t="n"/>
      <c r="U8086" s="19">
        <f>IF(AND($V8086='設定'!$C$4,COUNTIF('商品マスタ'!$B$6:$B$1005,$W8086)=0),N(U8085)+1,N(U8085))</f>
        <v/>
      </c>
      <c r="V8086" s="19">
        <f>IF($B8086="","",TEXT($B8086,"0000"))</f>
        <v/>
      </c>
      <c r="W8086" s="19">
        <f>IF($I8086="","",IF(ISNUMBER($I8086),TEXT($I8086,"0"),$I8086))</f>
        <v/>
      </c>
    </row>
    <row r="8087">
      <c r="B8087" s="25" t="n"/>
      <c r="I8087" s="25" t="n"/>
      <c r="U8087" s="19">
        <f>IF(AND($V8087='設定'!$C$4,COUNTIF('商品マスタ'!$B$6:$B$1005,$W8087)=0),N(U8086)+1,N(U8086))</f>
        <v/>
      </c>
      <c r="V8087" s="19">
        <f>IF($B8087="","",TEXT($B8087,"0000"))</f>
        <v/>
      </c>
      <c r="W8087" s="19">
        <f>IF($I8087="","",IF(ISNUMBER($I8087),TEXT($I8087,"0"),$I8087))</f>
        <v/>
      </c>
    </row>
    <row r="8088">
      <c r="B8088" s="25" t="n"/>
      <c r="I8088" s="25" t="n"/>
      <c r="U8088" s="19">
        <f>IF(AND($V8088='設定'!$C$4,COUNTIF('商品マスタ'!$B$6:$B$1005,$W8088)=0),N(U8087)+1,N(U8087))</f>
        <v/>
      </c>
      <c r="V8088" s="19">
        <f>IF($B8088="","",TEXT($B8088,"0000"))</f>
        <v/>
      </c>
      <c r="W8088" s="19">
        <f>IF($I8088="","",IF(ISNUMBER($I8088),TEXT($I8088,"0"),$I8088))</f>
        <v/>
      </c>
    </row>
    <row r="8089">
      <c r="B8089" s="25" t="n"/>
      <c r="I8089" s="25" t="n"/>
      <c r="U8089" s="19">
        <f>IF(AND($V8089='設定'!$C$4,COUNTIF('商品マスタ'!$B$6:$B$1005,$W8089)=0),N(U8088)+1,N(U8088))</f>
        <v/>
      </c>
      <c r="V8089" s="19">
        <f>IF($B8089="","",TEXT($B8089,"0000"))</f>
        <v/>
      </c>
      <c r="W8089" s="19">
        <f>IF($I8089="","",IF(ISNUMBER($I8089),TEXT($I8089,"0"),$I8089))</f>
        <v/>
      </c>
    </row>
    <row r="8090">
      <c r="B8090" s="25" t="n"/>
      <c r="I8090" s="25" t="n"/>
      <c r="U8090" s="19">
        <f>IF(AND($V8090='設定'!$C$4,COUNTIF('商品マスタ'!$B$6:$B$1005,$W8090)=0),N(U8089)+1,N(U8089))</f>
        <v/>
      </c>
      <c r="V8090" s="19">
        <f>IF($B8090="","",TEXT($B8090,"0000"))</f>
        <v/>
      </c>
      <c r="W8090" s="19">
        <f>IF($I8090="","",IF(ISNUMBER($I8090),TEXT($I8090,"0"),$I8090))</f>
        <v/>
      </c>
    </row>
    <row r="8091">
      <c r="B8091" s="25" t="n"/>
      <c r="I8091" s="25" t="n"/>
      <c r="U8091" s="19">
        <f>IF(AND($V8091='設定'!$C$4,COUNTIF('商品マスタ'!$B$6:$B$1005,$W8091)=0),N(U8090)+1,N(U8090))</f>
        <v/>
      </c>
      <c r="V8091" s="19">
        <f>IF($B8091="","",TEXT($B8091,"0000"))</f>
        <v/>
      </c>
      <c r="W8091" s="19">
        <f>IF($I8091="","",IF(ISNUMBER($I8091),TEXT($I8091,"0"),$I8091))</f>
        <v/>
      </c>
    </row>
    <row r="8092">
      <c r="B8092" s="25" t="n"/>
      <c r="I8092" s="25" t="n"/>
      <c r="U8092" s="19">
        <f>IF(AND($V8092='設定'!$C$4,COUNTIF('商品マスタ'!$B$6:$B$1005,$W8092)=0),N(U8091)+1,N(U8091))</f>
        <v/>
      </c>
      <c r="V8092" s="19">
        <f>IF($B8092="","",TEXT($B8092,"0000"))</f>
        <v/>
      </c>
      <c r="W8092" s="19">
        <f>IF($I8092="","",IF(ISNUMBER($I8092),TEXT($I8092,"0"),$I8092))</f>
        <v/>
      </c>
    </row>
    <row r="8093">
      <c r="B8093" s="25" t="n"/>
      <c r="I8093" s="25" t="n"/>
      <c r="U8093" s="19">
        <f>IF(AND($V8093='設定'!$C$4,COUNTIF('商品マスタ'!$B$6:$B$1005,$W8093)=0),N(U8092)+1,N(U8092))</f>
        <v/>
      </c>
      <c r="V8093" s="19">
        <f>IF($B8093="","",TEXT($B8093,"0000"))</f>
        <v/>
      </c>
      <c r="W8093" s="19">
        <f>IF($I8093="","",IF(ISNUMBER($I8093),TEXT($I8093,"0"),$I8093))</f>
        <v/>
      </c>
    </row>
    <row r="8094">
      <c r="B8094" s="25" t="n"/>
      <c r="I8094" s="25" t="n"/>
      <c r="U8094" s="19">
        <f>IF(AND($V8094='設定'!$C$4,COUNTIF('商品マスタ'!$B$6:$B$1005,$W8094)=0),N(U8093)+1,N(U8093))</f>
        <v/>
      </c>
      <c r="V8094" s="19">
        <f>IF($B8094="","",TEXT($B8094,"0000"))</f>
        <v/>
      </c>
      <c r="W8094" s="19">
        <f>IF($I8094="","",IF(ISNUMBER($I8094),TEXT($I8094,"0"),$I8094))</f>
        <v/>
      </c>
    </row>
    <row r="8095">
      <c r="B8095" s="25" t="n"/>
      <c r="I8095" s="25" t="n"/>
      <c r="U8095" s="19">
        <f>IF(AND($V8095='設定'!$C$4,COUNTIF('商品マスタ'!$B$6:$B$1005,$W8095)=0),N(U8094)+1,N(U8094))</f>
        <v/>
      </c>
      <c r="V8095" s="19">
        <f>IF($B8095="","",TEXT($B8095,"0000"))</f>
        <v/>
      </c>
      <c r="W8095" s="19">
        <f>IF($I8095="","",IF(ISNUMBER($I8095),TEXT($I8095,"0"),$I8095))</f>
        <v/>
      </c>
    </row>
    <row r="8096">
      <c r="B8096" s="25" t="n"/>
      <c r="I8096" s="25" t="n"/>
      <c r="U8096" s="19">
        <f>IF(AND($V8096='設定'!$C$4,COUNTIF('商品マスタ'!$B$6:$B$1005,$W8096)=0),N(U8095)+1,N(U8095))</f>
        <v/>
      </c>
      <c r="V8096" s="19">
        <f>IF($B8096="","",TEXT($B8096,"0000"))</f>
        <v/>
      </c>
      <c r="W8096" s="19">
        <f>IF($I8096="","",IF(ISNUMBER($I8096),TEXT($I8096,"0"),$I8096))</f>
        <v/>
      </c>
    </row>
    <row r="8097">
      <c r="B8097" s="25" t="n"/>
      <c r="I8097" s="25" t="n"/>
      <c r="U8097" s="19">
        <f>IF(AND($V8097='設定'!$C$4,COUNTIF('商品マスタ'!$B$6:$B$1005,$W8097)=0),N(U8096)+1,N(U8096))</f>
        <v/>
      </c>
      <c r="V8097" s="19">
        <f>IF($B8097="","",TEXT($B8097,"0000"))</f>
        <v/>
      </c>
      <c r="W8097" s="19">
        <f>IF($I8097="","",IF(ISNUMBER($I8097),TEXT($I8097,"0"),$I8097))</f>
        <v/>
      </c>
    </row>
    <row r="8098">
      <c r="B8098" s="25" t="n"/>
      <c r="I8098" s="25" t="n"/>
      <c r="U8098" s="19">
        <f>IF(AND($V8098='設定'!$C$4,COUNTIF('商品マスタ'!$B$6:$B$1005,$W8098)=0),N(U8097)+1,N(U8097))</f>
        <v/>
      </c>
      <c r="V8098" s="19">
        <f>IF($B8098="","",TEXT($B8098,"0000"))</f>
        <v/>
      </c>
      <c r="W8098" s="19">
        <f>IF($I8098="","",IF(ISNUMBER($I8098),TEXT($I8098,"0"),$I8098))</f>
        <v/>
      </c>
    </row>
    <row r="8099">
      <c r="B8099" s="25" t="n"/>
      <c r="I8099" s="25" t="n"/>
      <c r="U8099" s="19">
        <f>IF(AND($V8099='設定'!$C$4,COUNTIF('商品マスタ'!$B$6:$B$1005,$W8099)=0),N(U8098)+1,N(U8098))</f>
        <v/>
      </c>
      <c r="V8099" s="19">
        <f>IF($B8099="","",TEXT($B8099,"0000"))</f>
        <v/>
      </c>
      <c r="W8099" s="19">
        <f>IF($I8099="","",IF(ISNUMBER($I8099),TEXT($I8099,"0"),$I8099))</f>
        <v/>
      </c>
    </row>
    <row r="8100">
      <c r="B8100" s="25" t="n"/>
      <c r="I8100" s="25" t="n"/>
      <c r="U8100" s="19">
        <f>IF(AND($V8100='設定'!$C$4,COUNTIF('商品マスタ'!$B$6:$B$1005,$W8100)=0),N(U8099)+1,N(U8099))</f>
        <v/>
      </c>
      <c r="V8100" s="19">
        <f>IF($B8100="","",TEXT($B8100,"0000"))</f>
        <v/>
      </c>
      <c r="W8100" s="19">
        <f>IF($I8100="","",IF(ISNUMBER($I8100),TEXT($I8100,"0"),$I8100))</f>
        <v/>
      </c>
    </row>
    <row r="8101">
      <c r="B8101" s="25" t="n"/>
      <c r="I8101" s="25" t="n"/>
      <c r="U8101" s="19">
        <f>IF(AND($V8101='設定'!$C$4,COUNTIF('商品マスタ'!$B$6:$B$1005,$W8101)=0),N(U8100)+1,N(U8100))</f>
        <v/>
      </c>
      <c r="V8101" s="19">
        <f>IF($B8101="","",TEXT($B8101,"0000"))</f>
        <v/>
      </c>
      <c r="W8101" s="19">
        <f>IF($I8101="","",IF(ISNUMBER($I8101),TEXT($I8101,"0"),$I8101))</f>
        <v/>
      </c>
    </row>
    <row r="8102">
      <c r="B8102" s="25" t="n"/>
      <c r="I8102" s="25" t="n"/>
      <c r="U8102" s="19">
        <f>IF(AND($V8102='設定'!$C$4,COUNTIF('商品マスタ'!$B$6:$B$1005,$W8102)=0),N(U8101)+1,N(U8101))</f>
        <v/>
      </c>
      <c r="V8102" s="19">
        <f>IF($B8102="","",TEXT($B8102,"0000"))</f>
        <v/>
      </c>
      <c r="W8102" s="19">
        <f>IF($I8102="","",IF(ISNUMBER($I8102),TEXT($I8102,"0"),$I8102))</f>
        <v/>
      </c>
    </row>
    <row r="8103">
      <c r="B8103" s="25" t="n"/>
      <c r="I8103" s="25" t="n"/>
      <c r="U8103" s="19">
        <f>IF(AND($V8103='設定'!$C$4,COUNTIF('商品マスタ'!$B$6:$B$1005,$W8103)=0),N(U8102)+1,N(U8102))</f>
        <v/>
      </c>
      <c r="V8103" s="19">
        <f>IF($B8103="","",TEXT($B8103,"0000"))</f>
        <v/>
      </c>
      <c r="W8103" s="19">
        <f>IF($I8103="","",IF(ISNUMBER($I8103),TEXT($I8103,"0"),$I8103))</f>
        <v/>
      </c>
    </row>
    <row r="8104">
      <c r="B8104" s="25" t="n"/>
      <c r="I8104" s="25" t="n"/>
      <c r="U8104" s="19">
        <f>IF(AND($V8104='設定'!$C$4,COUNTIF('商品マスタ'!$B$6:$B$1005,$W8104)=0),N(U8103)+1,N(U8103))</f>
        <v/>
      </c>
      <c r="V8104" s="19">
        <f>IF($B8104="","",TEXT($B8104,"0000"))</f>
        <v/>
      </c>
      <c r="W8104" s="19">
        <f>IF($I8104="","",IF(ISNUMBER($I8104),TEXT($I8104,"0"),$I8104))</f>
        <v/>
      </c>
    </row>
    <row r="8105">
      <c r="B8105" s="25" t="n"/>
      <c r="I8105" s="25" t="n"/>
      <c r="U8105" s="19">
        <f>IF(AND($V8105='設定'!$C$4,COUNTIF('商品マスタ'!$B$6:$B$1005,$W8105)=0),N(U8104)+1,N(U8104))</f>
        <v/>
      </c>
      <c r="V8105" s="19">
        <f>IF($B8105="","",TEXT($B8105,"0000"))</f>
        <v/>
      </c>
      <c r="W8105" s="19">
        <f>IF($I8105="","",IF(ISNUMBER($I8105),TEXT($I8105,"0"),$I8105))</f>
        <v/>
      </c>
    </row>
    <row r="8106">
      <c r="B8106" s="25" t="n"/>
      <c r="I8106" s="25" t="n"/>
      <c r="U8106" s="19">
        <f>IF(AND($V8106='設定'!$C$4,COUNTIF('商品マスタ'!$B$6:$B$1005,$W8106)=0),N(U8105)+1,N(U8105))</f>
        <v/>
      </c>
      <c r="V8106" s="19">
        <f>IF($B8106="","",TEXT($B8106,"0000"))</f>
        <v/>
      </c>
      <c r="W8106" s="19">
        <f>IF($I8106="","",IF(ISNUMBER($I8106),TEXT($I8106,"0"),$I8106))</f>
        <v/>
      </c>
    </row>
    <row r="8107">
      <c r="B8107" s="25" t="n"/>
      <c r="I8107" s="25" t="n"/>
      <c r="U8107" s="19">
        <f>IF(AND($V8107='設定'!$C$4,COUNTIF('商品マスタ'!$B$6:$B$1005,$W8107)=0),N(U8106)+1,N(U8106))</f>
        <v/>
      </c>
      <c r="V8107" s="19">
        <f>IF($B8107="","",TEXT($B8107,"0000"))</f>
        <v/>
      </c>
      <c r="W8107" s="19">
        <f>IF($I8107="","",IF(ISNUMBER($I8107),TEXT($I8107,"0"),$I8107))</f>
        <v/>
      </c>
    </row>
    <row r="8108">
      <c r="B8108" s="25" t="n"/>
      <c r="I8108" s="25" t="n"/>
      <c r="U8108" s="19">
        <f>IF(AND($V8108='設定'!$C$4,COUNTIF('商品マスタ'!$B$6:$B$1005,$W8108)=0),N(U8107)+1,N(U8107))</f>
        <v/>
      </c>
      <c r="V8108" s="19">
        <f>IF($B8108="","",TEXT($B8108,"0000"))</f>
        <v/>
      </c>
      <c r="W8108" s="19">
        <f>IF($I8108="","",IF(ISNUMBER($I8108),TEXT($I8108,"0"),$I8108))</f>
        <v/>
      </c>
    </row>
    <row r="8109">
      <c r="B8109" s="25" t="n"/>
      <c r="I8109" s="25" t="n"/>
      <c r="U8109" s="19">
        <f>IF(AND($V8109='設定'!$C$4,COUNTIF('商品マスタ'!$B$6:$B$1005,$W8109)=0),N(U8108)+1,N(U8108))</f>
        <v/>
      </c>
      <c r="V8109" s="19">
        <f>IF($B8109="","",TEXT($B8109,"0000"))</f>
        <v/>
      </c>
      <c r="W8109" s="19">
        <f>IF($I8109="","",IF(ISNUMBER($I8109),TEXT($I8109,"0"),$I8109))</f>
        <v/>
      </c>
    </row>
    <row r="8110">
      <c r="B8110" s="25" t="n"/>
      <c r="I8110" s="25" t="n"/>
      <c r="U8110" s="19">
        <f>IF(AND($V8110='設定'!$C$4,COUNTIF('商品マスタ'!$B$6:$B$1005,$W8110)=0),N(U8109)+1,N(U8109))</f>
        <v/>
      </c>
      <c r="V8110" s="19">
        <f>IF($B8110="","",TEXT($B8110,"0000"))</f>
        <v/>
      </c>
      <c r="W8110" s="19">
        <f>IF($I8110="","",IF(ISNUMBER($I8110),TEXT($I8110,"0"),$I8110))</f>
        <v/>
      </c>
    </row>
    <row r="8111">
      <c r="B8111" s="25" t="n"/>
      <c r="I8111" s="25" t="n"/>
      <c r="U8111" s="19">
        <f>IF(AND($V8111='設定'!$C$4,COUNTIF('商品マスタ'!$B$6:$B$1005,$W8111)=0),N(U8110)+1,N(U8110))</f>
        <v/>
      </c>
      <c r="V8111" s="19">
        <f>IF($B8111="","",TEXT($B8111,"0000"))</f>
        <v/>
      </c>
      <c r="W8111" s="19">
        <f>IF($I8111="","",IF(ISNUMBER($I8111),TEXT($I8111,"0"),$I8111))</f>
        <v/>
      </c>
    </row>
    <row r="8112">
      <c r="B8112" s="25" t="n"/>
      <c r="I8112" s="25" t="n"/>
      <c r="U8112" s="19">
        <f>IF(AND($V8112='設定'!$C$4,COUNTIF('商品マスタ'!$B$6:$B$1005,$W8112)=0),N(U8111)+1,N(U8111))</f>
        <v/>
      </c>
      <c r="V8112" s="19">
        <f>IF($B8112="","",TEXT($B8112,"0000"))</f>
        <v/>
      </c>
      <c r="W8112" s="19">
        <f>IF($I8112="","",IF(ISNUMBER($I8112),TEXT($I8112,"0"),$I8112))</f>
        <v/>
      </c>
    </row>
    <row r="8113">
      <c r="B8113" s="25" t="n"/>
      <c r="I8113" s="25" t="n"/>
      <c r="U8113" s="19">
        <f>IF(AND($V8113='設定'!$C$4,COUNTIF('商品マスタ'!$B$6:$B$1005,$W8113)=0),N(U8112)+1,N(U8112))</f>
        <v/>
      </c>
      <c r="V8113" s="19">
        <f>IF($B8113="","",TEXT($B8113,"0000"))</f>
        <v/>
      </c>
      <c r="W8113" s="19">
        <f>IF($I8113="","",IF(ISNUMBER($I8113),TEXT($I8113,"0"),$I8113))</f>
        <v/>
      </c>
    </row>
    <row r="8114">
      <c r="B8114" s="25" t="n"/>
      <c r="I8114" s="25" t="n"/>
      <c r="U8114" s="19">
        <f>IF(AND($V8114='設定'!$C$4,COUNTIF('商品マスタ'!$B$6:$B$1005,$W8114)=0),N(U8113)+1,N(U8113))</f>
        <v/>
      </c>
      <c r="V8114" s="19">
        <f>IF($B8114="","",TEXT($B8114,"0000"))</f>
        <v/>
      </c>
      <c r="W8114" s="19">
        <f>IF($I8114="","",IF(ISNUMBER($I8114),TEXT($I8114,"0"),$I8114))</f>
        <v/>
      </c>
    </row>
    <row r="8115">
      <c r="B8115" s="25" t="n"/>
      <c r="I8115" s="25" t="n"/>
      <c r="U8115" s="19">
        <f>IF(AND($V8115='設定'!$C$4,COUNTIF('商品マスタ'!$B$6:$B$1005,$W8115)=0),N(U8114)+1,N(U8114))</f>
        <v/>
      </c>
      <c r="V8115" s="19">
        <f>IF($B8115="","",TEXT($B8115,"0000"))</f>
        <v/>
      </c>
      <c r="W8115" s="19">
        <f>IF($I8115="","",IF(ISNUMBER($I8115),TEXT($I8115,"0"),$I8115))</f>
        <v/>
      </c>
    </row>
    <row r="8116">
      <c r="B8116" s="25" t="n"/>
      <c r="I8116" s="25" t="n"/>
      <c r="U8116" s="19">
        <f>IF(AND($V8116='設定'!$C$4,COUNTIF('商品マスタ'!$B$6:$B$1005,$W8116)=0),N(U8115)+1,N(U8115))</f>
        <v/>
      </c>
      <c r="V8116" s="19">
        <f>IF($B8116="","",TEXT($B8116,"0000"))</f>
        <v/>
      </c>
      <c r="W8116" s="19">
        <f>IF($I8116="","",IF(ISNUMBER($I8116),TEXT($I8116,"0"),$I8116))</f>
        <v/>
      </c>
    </row>
    <row r="8117">
      <c r="B8117" s="25" t="n"/>
      <c r="I8117" s="25" t="n"/>
      <c r="U8117" s="19">
        <f>IF(AND($V8117='設定'!$C$4,COUNTIF('商品マスタ'!$B$6:$B$1005,$W8117)=0),N(U8116)+1,N(U8116))</f>
        <v/>
      </c>
      <c r="V8117" s="19">
        <f>IF($B8117="","",TEXT($B8117,"0000"))</f>
        <v/>
      </c>
      <c r="W8117" s="19">
        <f>IF($I8117="","",IF(ISNUMBER($I8117),TEXT($I8117,"0"),$I8117))</f>
        <v/>
      </c>
    </row>
    <row r="8118">
      <c r="B8118" s="25" t="n"/>
      <c r="I8118" s="25" t="n"/>
      <c r="U8118" s="19">
        <f>IF(AND($V8118='設定'!$C$4,COUNTIF('商品マスタ'!$B$6:$B$1005,$W8118)=0),N(U8117)+1,N(U8117))</f>
        <v/>
      </c>
      <c r="V8118" s="19">
        <f>IF($B8118="","",TEXT($B8118,"0000"))</f>
        <v/>
      </c>
      <c r="W8118" s="19">
        <f>IF($I8118="","",IF(ISNUMBER($I8118),TEXT($I8118,"0"),$I8118))</f>
        <v/>
      </c>
    </row>
    <row r="8119">
      <c r="B8119" s="25" t="n"/>
      <c r="I8119" s="25" t="n"/>
      <c r="U8119" s="19">
        <f>IF(AND($V8119='設定'!$C$4,COUNTIF('商品マスタ'!$B$6:$B$1005,$W8119)=0),N(U8118)+1,N(U8118))</f>
        <v/>
      </c>
      <c r="V8119" s="19">
        <f>IF($B8119="","",TEXT($B8119,"0000"))</f>
        <v/>
      </c>
      <c r="W8119" s="19">
        <f>IF($I8119="","",IF(ISNUMBER($I8119),TEXT($I8119,"0"),$I8119))</f>
        <v/>
      </c>
    </row>
    <row r="8120">
      <c r="B8120" s="25" t="n"/>
      <c r="I8120" s="25" t="n"/>
      <c r="U8120" s="19">
        <f>IF(AND($V8120='設定'!$C$4,COUNTIF('商品マスタ'!$B$6:$B$1005,$W8120)=0),N(U8119)+1,N(U8119))</f>
        <v/>
      </c>
      <c r="V8120" s="19">
        <f>IF($B8120="","",TEXT($B8120,"0000"))</f>
        <v/>
      </c>
      <c r="W8120" s="19">
        <f>IF($I8120="","",IF(ISNUMBER($I8120),TEXT($I8120,"0"),$I8120))</f>
        <v/>
      </c>
    </row>
    <row r="8121">
      <c r="B8121" s="25" t="n"/>
      <c r="I8121" s="25" t="n"/>
      <c r="U8121" s="19">
        <f>IF(AND($V8121='設定'!$C$4,COUNTIF('商品マスタ'!$B$6:$B$1005,$W8121)=0),N(U8120)+1,N(U8120))</f>
        <v/>
      </c>
      <c r="V8121" s="19">
        <f>IF($B8121="","",TEXT($B8121,"0000"))</f>
        <v/>
      </c>
      <c r="W8121" s="19">
        <f>IF($I8121="","",IF(ISNUMBER($I8121),TEXT($I8121,"0"),$I8121))</f>
        <v/>
      </c>
    </row>
    <row r="8122">
      <c r="B8122" s="25" t="n"/>
      <c r="I8122" s="25" t="n"/>
      <c r="U8122" s="19">
        <f>IF(AND($V8122='設定'!$C$4,COUNTIF('商品マスタ'!$B$6:$B$1005,$W8122)=0),N(U8121)+1,N(U8121))</f>
        <v/>
      </c>
      <c r="V8122" s="19">
        <f>IF($B8122="","",TEXT($B8122,"0000"))</f>
        <v/>
      </c>
      <c r="W8122" s="19">
        <f>IF($I8122="","",IF(ISNUMBER($I8122),TEXT($I8122,"0"),$I8122))</f>
        <v/>
      </c>
    </row>
    <row r="8123">
      <c r="B8123" s="25" t="n"/>
      <c r="I8123" s="25" t="n"/>
      <c r="U8123" s="19">
        <f>IF(AND($V8123='設定'!$C$4,COUNTIF('商品マスタ'!$B$6:$B$1005,$W8123)=0),N(U8122)+1,N(U8122))</f>
        <v/>
      </c>
      <c r="V8123" s="19">
        <f>IF($B8123="","",TEXT($B8123,"0000"))</f>
        <v/>
      </c>
      <c r="W8123" s="19">
        <f>IF($I8123="","",IF(ISNUMBER($I8123),TEXT($I8123,"0"),$I8123))</f>
        <v/>
      </c>
    </row>
    <row r="8124">
      <c r="B8124" s="25" t="n"/>
      <c r="I8124" s="25" t="n"/>
      <c r="U8124" s="19">
        <f>IF(AND($V8124='設定'!$C$4,COUNTIF('商品マスタ'!$B$6:$B$1005,$W8124)=0),N(U8123)+1,N(U8123))</f>
        <v/>
      </c>
      <c r="V8124" s="19">
        <f>IF($B8124="","",TEXT($B8124,"0000"))</f>
        <v/>
      </c>
      <c r="W8124" s="19">
        <f>IF($I8124="","",IF(ISNUMBER($I8124),TEXT($I8124,"0"),$I8124))</f>
        <v/>
      </c>
    </row>
    <row r="8125">
      <c r="B8125" s="25" t="n"/>
      <c r="I8125" s="25" t="n"/>
      <c r="U8125" s="19">
        <f>IF(AND($V8125='設定'!$C$4,COUNTIF('商品マスタ'!$B$6:$B$1005,$W8125)=0),N(U8124)+1,N(U8124))</f>
        <v/>
      </c>
      <c r="V8125" s="19">
        <f>IF($B8125="","",TEXT($B8125,"0000"))</f>
        <v/>
      </c>
      <c r="W8125" s="19">
        <f>IF($I8125="","",IF(ISNUMBER($I8125),TEXT($I8125,"0"),$I8125))</f>
        <v/>
      </c>
    </row>
    <row r="8126">
      <c r="B8126" s="25" t="n"/>
      <c r="I8126" s="25" t="n"/>
      <c r="U8126" s="19">
        <f>IF(AND($V8126='設定'!$C$4,COUNTIF('商品マスタ'!$B$6:$B$1005,$W8126)=0),N(U8125)+1,N(U8125))</f>
        <v/>
      </c>
      <c r="V8126" s="19">
        <f>IF($B8126="","",TEXT($B8126,"0000"))</f>
        <v/>
      </c>
      <c r="W8126" s="19">
        <f>IF($I8126="","",IF(ISNUMBER($I8126),TEXT($I8126,"0"),$I8126))</f>
        <v/>
      </c>
    </row>
    <row r="8127">
      <c r="B8127" s="25" t="n"/>
      <c r="I8127" s="25" t="n"/>
      <c r="U8127" s="19">
        <f>IF(AND($V8127='設定'!$C$4,COUNTIF('商品マスタ'!$B$6:$B$1005,$W8127)=0),N(U8126)+1,N(U8126))</f>
        <v/>
      </c>
      <c r="V8127" s="19">
        <f>IF($B8127="","",TEXT($B8127,"0000"))</f>
        <v/>
      </c>
      <c r="W8127" s="19">
        <f>IF($I8127="","",IF(ISNUMBER($I8127),TEXT($I8127,"0"),$I8127))</f>
        <v/>
      </c>
    </row>
    <row r="8128">
      <c r="B8128" s="25" t="n"/>
      <c r="I8128" s="25" t="n"/>
      <c r="U8128" s="19">
        <f>IF(AND($V8128='設定'!$C$4,COUNTIF('商品マスタ'!$B$6:$B$1005,$W8128)=0),N(U8127)+1,N(U8127))</f>
        <v/>
      </c>
      <c r="V8128" s="19">
        <f>IF($B8128="","",TEXT($B8128,"0000"))</f>
        <v/>
      </c>
      <c r="W8128" s="19">
        <f>IF($I8128="","",IF(ISNUMBER($I8128),TEXT($I8128,"0"),$I8128))</f>
        <v/>
      </c>
    </row>
    <row r="8129">
      <c r="B8129" s="25" t="n"/>
      <c r="I8129" s="25" t="n"/>
      <c r="U8129" s="19">
        <f>IF(AND($V8129='設定'!$C$4,COUNTIF('商品マスタ'!$B$6:$B$1005,$W8129)=0),N(U8128)+1,N(U8128))</f>
        <v/>
      </c>
      <c r="V8129" s="19">
        <f>IF($B8129="","",TEXT($B8129,"0000"))</f>
        <v/>
      </c>
      <c r="W8129" s="19">
        <f>IF($I8129="","",IF(ISNUMBER($I8129),TEXT($I8129,"0"),$I8129))</f>
        <v/>
      </c>
    </row>
    <row r="8130">
      <c r="B8130" s="25" t="n"/>
      <c r="I8130" s="25" t="n"/>
      <c r="U8130" s="19">
        <f>IF(AND($V8130='設定'!$C$4,COUNTIF('商品マスタ'!$B$6:$B$1005,$W8130)=0),N(U8129)+1,N(U8129))</f>
        <v/>
      </c>
      <c r="V8130" s="19">
        <f>IF($B8130="","",TEXT($B8130,"0000"))</f>
        <v/>
      </c>
      <c r="W8130" s="19">
        <f>IF($I8130="","",IF(ISNUMBER($I8130),TEXT($I8130,"0"),$I8130))</f>
        <v/>
      </c>
    </row>
    <row r="8131">
      <c r="B8131" s="25" t="n"/>
      <c r="I8131" s="25" t="n"/>
      <c r="U8131" s="19">
        <f>IF(AND($V8131='設定'!$C$4,COUNTIF('商品マスタ'!$B$6:$B$1005,$W8131)=0),N(U8130)+1,N(U8130))</f>
        <v/>
      </c>
      <c r="V8131" s="19">
        <f>IF($B8131="","",TEXT($B8131,"0000"))</f>
        <v/>
      </c>
      <c r="W8131" s="19">
        <f>IF($I8131="","",IF(ISNUMBER($I8131),TEXT($I8131,"0"),$I8131))</f>
        <v/>
      </c>
    </row>
    <row r="8132">
      <c r="B8132" s="25" t="n"/>
      <c r="I8132" s="25" t="n"/>
      <c r="U8132" s="19">
        <f>IF(AND($V8132='設定'!$C$4,COUNTIF('商品マスタ'!$B$6:$B$1005,$W8132)=0),N(U8131)+1,N(U8131))</f>
        <v/>
      </c>
      <c r="V8132" s="19">
        <f>IF($B8132="","",TEXT($B8132,"0000"))</f>
        <v/>
      </c>
      <c r="W8132" s="19">
        <f>IF($I8132="","",IF(ISNUMBER($I8132),TEXT($I8132,"0"),$I8132))</f>
        <v/>
      </c>
    </row>
    <row r="8133">
      <c r="B8133" s="25" t="n"/>
      <c r="I8133" s="25" t="n"/>
      <c r="U8133" s="19">
        <f>IF(AND($V8133='設定'!$C$4,COUNTIF('商品マスタ'!$B$6:$B$1005,$W8133)=0),N(U8132)+1,N(U8132))</f>
        <v/>
      </c>
      <c r="V8133" s="19">
        <f>IF($B8133="","",TEXT($B8133,"0000"))</f>
        <v/>
      </c>
      <c r="W8133" s="19">
        <f>IF($I8133="","",IF(ISNUMBER($I8133),TEXT($I8133,"0"),$I8133))</f>
        <v/>
      </c>
    </row>
    <row r="8134">
      <c r="B8134" s="25" t="n"/>
      <c r="I8134" s="25" t="n"/>
      <c r="U8134" s="19">
        <f>IF(AND($V8134='設定'!$C$4,COUNTIF('商品マスタ'!$B$6:$B$1005,$W8134)=0),N(U8133)+1,N(U8133))</f>
        <v/>
      </c>
      <c r="V8134" s="19">
        <f>IF($B8134="","",TEXT($B8134,"0000"))</f>
        <v/>
      </c>
      <c r="W8134" s="19">
        <f>IF($I8134="","",IF(ISNUMBER($I8134),TEXT($I8134,"0"),$I8134))</f>
        <v/>
      </c>
    </row>
    <row r="8135">
      <c r="B8135" s="25" t="n"/>
      <c r="I8135" s="25" t="n"/>
      <c r="U8135" s="19">
        <f>IF(AND($V8135='設定'!$C$4,COUNTIF('商品マスタ'!$B$6:$B$1005,$W8135)=0),N(U8134)+1,N(U8134))</f>
        <v/>
      </c>
      <c r="V8135" s="19">
        <f>IF($B8135="","",TEXT($B8135,"0000"))</f>
        <v/>
      </c>
      <c r="W8135" s="19">
        <f>IF($I8135="","",IF(ISNUMBER($I8135),TEXT($I8135,"0"),$I8135))</f>
        <v/>
      </c>
    </row>
    <row r="8136">
      <c r="B8136" s="25" t="n"/>
      <c r="I8136" s="25" t="n"/>
      <c r="U8136" s="19">
        <f>IF(AND($V8136='設定'!$C$4,COUNTIF('商品マスタ'!$B$6:$B$1005,$W8136)=0),N(U8135)+1,N(U8135))</f>
        <v/>
      </c>
      <c r="V8136" s="19">
        <f>IF($B8136="","",TEXT($B8136,"0000"))</f>
        <v/>
      </c>
      <c r="W8136" s="19">
        <f>IF($I8136="","",IF(ISNUMBER($I8136),TEXT($I8136,"0"),$I8136))</f>
        <v/>
      </c>
    </row>
    <row r="8137">
      <c r="B8137" s="25" t="n"/>
      <c r="I8137" s="25" t="n"/>
      <c r="U8137" s="19">
        <f>IF(AND($V8137='設定'!$C$4,COUNTIF('商品マスタ'!$B$6:$B$1005,$W8137)=0),N(U8136)+1,N(U8136))</f>
        <v/>
      </c>
      <c r="V8137" s="19">
        <f>IF($B8137="","",TEXT($B8137,"0000"))</f>
        <v/>
      </c>
      <c r="W8137" s="19">
        <f>IF($I8137="","",IF(ISNUMBER($I8137),TEXT($I8137,"0"),$I8137))</f>
        <v/>
      </c>
    </row>
    <row r="8138">
      <c r="B8138" s="25" t="n"/>
      <c r="I8138" s="25" t="n"/>
      <c r="U8138" s="19">
        <f>IF(AND($V8138='設定'!$C$4,COUNTIF('商品マスタ'!$B$6:$B$1005,$W8138)=0),N(U8137)+1,N(U8137))</f>
        <v/>
      </c>
      <c r="V8138" s="19">
        <f>IF($B8138="","",TEXT($B8138,"0000"))</f>
        <v/>
      </c>
      <c r="W8138" s="19">
        <f>IF($I8138="","",IF(ISNUMBER($I8138),TEXT($I8138,"0"),$I8138))</f>
        <v/>
      </c>
    </row>
    <row r="8139">
      <c r="B8139" s="25" t="n"/>
      <c r="I8139" s="25" t="n"/>
      <c r="U8139" s="19">
        <f>IF(AND($V8139='設定'!$C$4,COUNTIF('商品マスタ'!$B$6:$B$1005,$W8139)=0),N(U8138)+1,N(U8138))</f>
        <v/>
      </c>
      <c r="V8139" s="19">
        <f>IF($B8139="","",TEXT($B8139,"0000"))</f>
        <v/>
      </c>
      <c r="W8139" s="19">
        <f>IF($I8139="","",IF(ISNUMBER($I8139),TEXT($I8139,"0"),$I8139))</f>
        <v/>
      </c>
    </row>
    <row r="8140">
      <c r="B8140" s="25" t="n"/>
      <c r="I8140" s="25" t="n"/>
      <c r="U8140" s="19">
        <f>IF(AND($V8140='設定'!$C$4,COUNTIF('商品マスタ'!$B$6:$B$1005,$W8140)=0),N(U8139)+1,N(U8139))</f>
        <v/>
      </c>
      <c r="V8140" s="19">
        <f>IF($B8140="","",TEXT($B8140,"0000"))</f>
        <v/>
      </c>
      <c r="W8140" s="19">
        <f>IF($I8140="","",IF(ISNUMBER($I8140),TEXT($I8140,"0"),$I8140))</f>
        <v/>
      </c>
    </row>
    <row r="8141">
      <c r="B8141" s="25" t="n"/>
      <c r="I8141" s="25" t="n"/>
      <c r="U8141" s="19">
        <f>IF(AND($V8141='設定'!$C$4,COUNTIF('商品マスタ'!$B$6:$B$1005,$W8141)=0),N(U8140)+1,N(U8140))</f>
        <v/>
      </c>
      <c r="V8141" s="19">
        <f>IF($B8141="","",TEXT($B8141,"0000"))</f>
        <v/>
      </c>
      <c r="W8141" s="19">
        <f>IF($I8141="","",IF(ISNUMBER($I8141),TEXT($I8141,"0"),$I8141))</f>
        <v/>
      </c>
    </row>
    <row r="8142">
      <c r="B8142" s="25" t="n"/>
      <c r="I8142" s="25" t="n"/>
      <c r="U8142" s="19">
        <f>IF(AND($V8142='設定'!$C$4,COUNTIF('商品マスタ'!$B$6:$B$1005,$W8142)=0),N(U8141)+1,N(U8141))</f>
        <v/>
      </c>
      <c r="V8142" s="19">
        <f>IF($B8142="","",TEXT($B8142,"0000"))</f>
        <v/>
      </c>
      <c r="W8142" s="19">
        <f>IF($I8142="","",IF(ISNUMBER($I8142),TEXT($I8142,"0"),$I8142))</f>
        <v/>
      </c>
    </row>
    <row r="8143">
      <c r="B8143" s="25" t="n"/>
      <c r="I8143" s="25" t="n"/>
      <c r="U8143" s="19">
        <f>IF(AND($V8143='設定'!$C$4,COUNTIF('商品マスタ'!$B$6:$B$1005,$W8143)=0),N(U8142)+1,N(U8142))</f>
        <v/>
      </c>
      <c r="V8143" s="19">
        <f>IF($B8143="","",TEXT($B8143,"0000"))</f>
        <v/>
      </c>
      <c r="W8143" s="19">
        <f>IF($I8143="","",IF(ISNUMBER($I8143),TEXT($I8143,"0"),$I8143))</f>
        <v/>
      </c>
    </row>
    <row r="8144">
      <c r="B8144" s="25" t="n"/>
      <c r="I8144" s="25" t="n"/>
      <c r="U8144" s="19">
        <f>IF(AND($V8144='設定'!$C$4,COUNTIF('商品マスタ'!$B$6:$B$1005,$W8144)=0),N(U8143)+1,N(U8143))</f>
        <v/>
      </c>
      <c r="V8144" s="19">
        <f>IF($B8144="","",TEXT($B8144,"0000"))</f>
        <v/>
      </c>
      <c r="W8144" s="19">
        <f>IF($I8144="","",IF(ISNUMBER($I8144),TEXT($I8144,"0"),$I8144))</f>
        <v/>
      </c>
    </row>
    <row r="8145">
      <c r="B8145" s="25" t="n"/>
      <c r="I8145" s="25" t="n"/>
      <c r="U8145" s="19">
        <f>IF(AND($V8145='設定'!$C$4,COUNTIF('商品マスタ'!$B$6:$B$1005,$W8145)=0),N(U8144)+1,N(U8144))</f>
        <v/>
      </c>
      <c r="V8145" s="19">
        <f>IF($B8145="","",TEXT($B8145,"0000"))</f>
        <v/>
      </c>
      <c r="W8145" s="19">
        <f>IF($I8145="","",IF(ISNUMBER($I8145),TEXT($I8145,"0"),$I8145))</f>
        <v/>
      </c>
    </row>
    <row r="8146">
      <c r="B8146" s="25" t="n"/>
      <c r="I8146" s="25" t="n"/>
      <c r="U8146" s="19">
        <f>IF(AND($V8146='設定'!$C$4,COUNTIF('商品マスタ'!$B$6:$B$1005,$W8146)=0),N(U8145)+1,N(U8145))</f>
        <v/>
      </c>
      <c r="V8146" s="19">
        <f>IF($B8146="","",TEXT($B8146,"0000"))</f>
        <v/>
      </c>
      <c r="W8146" s="19">
        <f>IF($I8146="","",IF(ISNUMBER($I8146),TEXT($I8146,"0"),$I8146))</f>
        <v/>
      </c>
    </row>
    <row r="8147">
      <c r="B8147" s="25" t="n"/>
      <c r="I8147" s="25" t="n"/>
      <c r="U8147" s="19">
        <f>IF(AND($V8147='設定'!$C$4,COUNTIF('商品マスタ'!$B$6:$B$1005,$W8147)=0),N(U8146)+1,N(U8146))</f>
        <v/>
      </c>
      <c r="V8147" s="19">
        <f>IF($B8147="","",TEXT($B8147,"0000"))</f>
        <v/>
      </c>
      <c r="W8147" s="19">
        <f>IF($I8147="","",IF(ISNUMBER($I8147),TEXT($I8147,"0"),$I8147))</f>
        <v/>
      </c>
    </row>
    <row r="8148">
      <c r="B8148" s="25" t="n"/>
      <c r="I8148" s="25" t="n"/>
      <c r="U8148" s="19">
        <f>IF(AND($V8148='設定'!$C$4,COUNTIF('商品マスタ'!$B$6:$B$1005,$W8148)=0),N(U8147)+1,N(U8147))</f>
        <v/>
      </c>
      <c r="V8148" s="19">
        <f>IF($B8148="","",TEXT($B8148,"0000"))</f>
        <v/>
      </c>
      <c r="W8148" s="19">
        <f>IF($I8148="","",IF(ISNUMBER($I8148),TEXT($I8148,"0"),$I8148))</f>
        <v/>
      </c>
    </row>
    <row r="8149">
      <c r="B8149" s="25" t="n"/>
      <c r="I8149" s="25" t="n"/>
      <c r="U8149" s="19">
        <f>IF(AND($V8149='設定'!$C$4,COUNTIF('商品マスタ'!$B$6:$B$1005,$W8149)=0),N(U8148)+1,N(U8148))</f>
        <v/>
      </c>
      <c r="V8149" s="19">
        <f>IF($B8149="","",TEXT($B8149,"0000"))</f>
        <v/>
      </c>
      <c r="W8149" s="19">
        <f>IF($I8149="","",IF(ISNUMBER($I8149),TEXT($I8149,"0"),$I8149))</f>
        <v/>
      </c>
    </row>
    <row r="8150">
      <c r="B8150" s="25" t="n"/>
      <c r="I8150" s="25" t="n"/>
      <c r="U8150" s="19">
        <f>IF(AND($V8150='設定'!$C$4,COUNTIF('商品マスタ'!$B$6:$B$1005,$W8150)=0),N(U8149)+1,N(U8149))</f>
        <v/>
      </c>
      <c r="V8150" s="19">
        <f>IF($B8150="","",TEXT($B8150,"0000"))</f>
        <v/>
      </c>
      <c r="W8150" s="19">
        <f>IF($I8150="","",IF(ISNUMBER($I8150),TEXT($I8150,"0"),$I8150))</f>
        <v/>
      </c>
    </row>
    <row r="8151">
      <c r="B8151" s="25" t="n"/>
      <c r="I8151" s="25" t="n"/>
      <c r="U8151" s="19">
        <f>IF(AND($V8151='設定'!$C$4,COUNTIF('商品マスタ'!$B$6:$B$1005,$W8151)=0),N(U8150)+1,N(U8150))</f>
        <v/>
      </c>
      <c r="V8151" s="19">
        <f>IF($B8151="","",TEXT($B8151,"0000"))</f>
        <v/>
      </c>
      <c r="W8151" s="19">
        <f>IF($I8151="","",IF(ISNUMBER($I8151),TEXT($I8151,"0"),$I8151))</f>
        <v/>
      </c>
    </row>
    <row r="8152">
      <c r="B8152" s="25" t="n"/>
      <c r="I8152" s="25" t="n"/>
      <c r="U8152" s="19">
        <f>IF(AND($V8152='設定'!$C$4,COUNTIF('商品マスタ'!$B$6:$B$1005,$W8152)=0),N(U8151)+1,N(U8151))</f>
        <v/>
      </c>
      <c r="V8152" s="19">
        <f>IF($B8152="","",TEXT($B8152,"0000"))</f>
        <v/>
      </c>
      <c r="W8152" s="19">
        <f>IF($I8152="","",IF(ISNUMBER($I8152),TEXT($I8152,"0"),$I8152))</f>
        <v/>
      </c>
    </row>
    <row r="8153">
      <c r="B8153" s="25" t="n"/>
      <c r="I8153" s="25" t="n"/>
      <c r="U8153" s="19">
        <f>IF(AND($V8153='設定'!$C$4,COUNTIF('商品マスタ'!$B$6:$B$1005,$W8153)=0),N(U8152)+1,N(U8152))</f>
        <v/>
      </c>
      <c r="V8153" s="19">
        <f>IF($B8153="","",TEXT($B8153,"0000"))</f>
        <v/>
      </c>
      <c r="W8153" s="19">
        <f>IF($I8153="","",IF(ISNUMBER($I8153),TEXT($I8153,"0"),$I8153))</f>
        <v/>
      </c>
    </row>
    <row r="8154">
      <c r="B8154" s="25" t="n"/>
      <c r="I8154" s="25" t="n"/>
      <c r="U8154" s="19">
        <f>IF(AND($V8154='設定'!$C$4,COUNTIF('商品マスタ'!$B$6:$B$1005,$W8154)=0),N(U8153)+1,N(U8153))</f>
        <v/>
      </c>
      <c r="V8154" s="19">
        <f>IF($B8154="","",TEXT($B8154,"0000"))</f>
        <v/>
      </c>
      <c r="W8154" s="19">
        <f>IF($I8154="","",IF(ISNUMBER($I8154),TEXT($I8154,"0"),$I8154))</f>
        <v/>
      </c>
    </row>
    <row r="8155">
      <c r="B8155" s="25" t="n"/>
      <c r="I8155" s="25" t="n"/>
      <c r="U8155" s="19">
        <f>IF(AND($V8155='設定'!$C$4,COUNTIF('商品マスタ'!$B$6:$B$1005,$W8155)=0),N(U8154)+1,N(U8154))</f>
        <v/>
      </c>
      <c r="V8155" s="19">
        <f>IF($B8155="","",TEXT($B8155,"0000"))</f>
        <v/>
      </c>
      <c r="W8155" s="19">
        <f>IF($I8155="","",IF(ISNUMBER($I8155),TEXT($I8155,"0"),$I8155))</f>
        <v/>
      </c>
    </row>
    <row r="8156">
      <c r="B8156" s="25" t="n"/>
      <c r="I8156" s="25" t="n"/>
      <c r="U8156" s="19">
        <f>IF(AND($V8156='設定'!$C$4,COUNTIF('商品マスタ'!$B$6:$B$1005,$W8156)=0),N(U8155)+1,N(U8155))</f>
        <v/>
      </c>
      <c r="V8156" s="19">
        <f>IF($B8156="","",TEXT($B8156,"0000"))</f>
        <v/>
      </c>
      <c r="W8156" s="19">
        <f>IF($I8156="","",IF(ISNUMBER($I8156),TEXT($I8156,"0"),$I8156))</f>
        <v/>
      </c>
    </row>
    <row r="8157">
      <c r="B8157" s="25" t="n"/>
      <c r="I8157" s="25" t="n"/>
      <c r="U8157" s="19">
        <f>IF(AND($V8157='設定'!$C$4,COUNTIF('商品マスタ'!$B$6:$B$1005,$W8157)=0),N(U8156)+1,N(U8156))</f>
        <v/>
      </c>
      <c r="V8157" s="19">
        <f>IF($B8157="","",TEXT($B8157,"0000"))</f>
        <v/>
      </c>
      <c r="W8157" s="19">
        <f>IF($I8157="","",IF(ISNUMBER($I8157),TEXT($I8157,"0"),$I8157))</f>
        <v/>
      </c>
    </row>
    <row r="8158">
      <c r="B8158" s="25" t="n"/>
      <c r="I8158" s="25" t="n"/>
      <c r="U8158" s="19">
        <f>IF(AND($V8158='設定'!$C$4,COUNTIF('商品マスタ'!$B$6:$B$1005,$W8158)=0),N(U8157)+1,N(U8157))</f>
        <v/>
      </c>
      <c r="V8158" s="19">
        <f>IF($B8158="","",TEXT($B8158,"0000"))</f>
        <v/>
      </c>
      <c r="W8158" s="19">
        <f>IF($I8158="","",IF(ISNUMBER($I8158),TEXT($I8158,"0"),$I8158))</f>
        <v/>
      </c>
    </row>
    <row r="8159">
      <c r="B8159" s="25" t="n"/>
      <c r="I8159" s="25" t="n"/>
      <c r="U8159" s="19">
        <f>IF(AND($V8159='設定'!$C$4,COUNTIF('商品マスタ'!$B$6:$B$1005,$W8159)=0),N(U8158)+1,N(U8158))</f>
        <v/>
      </c>
      <c r="V8159" s="19">
        <f>IF($B8159="","",TEXT($B8159,"0000"))</f>
        <v/>
      </c>
      <c r="W8159" s="19">
        <f>IF($I8159="","",IF(ISNUMBER($I8159),TEXT($I8159,"0"),$I8159))</f>
        <v/>
      </c>
    </row>
    <row r="8160">
      <c r="B8160" s="25" t="n"/>
      <c r="I8160" s="25" t="n"/>
      <c r="U8160" s="19">
        <f>IF(AND($V8160='設定'!$C$4,COUNTIF('商品マスタ'!$B$6:$B$1005,$W8160)=0),N(U8159)+1,N(U8159))</f>
        <v/>
      </c>
      <c r="V8160" s="19">
        <f>IF($B8160="","",TEXT($B8160,"0000"))</f>
        <v/>
      </c>
      <c r="W8160" s="19">
        <f>IF($I8160="","",IF(ISNUMBER($I8160),TEXT($I8160,"0"),$I8160))</f>
        <v/>
      </c>
    </row>
    <row r="8161">
      <c r="B8161" s="25" t="n"/>
      <c r="I8161" s="25" t="n"/>
      <c r="U8161" s="19">
        <f>IF(AND($V8161='設定'!$C$4,COUNTIF('商品マスタ'!$B$6:$B$1005,$W8161)=0),N(U8160)+1,N(U8160))</f>
        <v/>
      </c>
      <c r="V8161" s="19">
        <f>IF($B8161="","",TEXT($B8161,"0000"))</f>
        <v/>
      </c>
      <c r="W8161" s="19">
        <f>IF($I8161="","",IF(ISNUMBER($I8161),TEXT($I8161,"0"),$I8161))</f>
        <v/>
      </c>
    </row>
    <row r="8162">
      <c r="B8162" s="25" t="n"/>
      <c r="I8162" s="25" t="n"/>
      <c r="U8162" s="19">
        <f>IF(AND($V8162='設定'!$C$4,COUNTIF('商品マスタ'!$B$6:$B$1005,$W8162)=0),N(U8161)+1,N(U8161))</f>
        <v/>
      </c>
      <c r="V8162" s="19">
        <f>IF($B8162="","",TEXT($B8162,"0000"))</f>
        <v/>
      </c>
      <c r="W8162" s="19">
        <f>IF($I8162="","",IF(ISNUMBER($I8162),TEXT($I8162,"0"),$I8162))</f>
        <v/>
      </c>
    </row>
    <row r="8163">
      <c r="B8163" s="25" t="n"/>
      <c r="I8163" s="25" t="n"/>
      <c r="U8163" s="19">
        <f>IF(AND($V8163='設定'!$C$4,COUNTIF('商品マスタ'!$B$6:$B$1005,$W8163)=0),N(U8162)+1,N(U8162))</f>
        <v/>
      </c>
      <c r="V8163" s="19">
        <f>IF($B8163="","",TEXT($B8163,"0000"))</f>
        <v/>
      </c>
      <c r="W8163" s="19">
        <f>IF($I8163="","",IF(ISNUMBER($I8163),TEXT($I8163,"0"),$I8163))</f>
        <v/>
      </c>
    </row>
    <row r="8164">
      <c r="B8164" s="25" t="n"/>
      <c r="I8164" s="25" t="n"/>
      <c r="U8164" s="19">
        <f>IF(AND($V8164='設定'!$C$4,COUNTIF('商品マスタ'!$B$6:$B$1005,$W8164)=0),N(U8163)+1,N(U8163))</f>
        <v/>
      </c>
      <c r="V8164" s="19">
        <f>IF($B8164="","",TEXT($B8164,"0000"))</f>
        <v/>
      </c>
      <c r="W8164" s="19">
        <f>IF($I8164="","",IF(ISNUMBER($I8164),TEXT($I8164,"0"),$I8164))</f>
        <v/>
      </c>
    </row>
    <row r="8165">
      <c r="B8165" s="25" t="n"/>
      <c r="I8165" s="25" t="n"/>
      <c r="U8165" s="19">
        <f>IF(AND($V8165='設定'!$C$4,COUNTIF('商品マスタ'!$B$6:$B$1005,$W8165)=0),N(U8164)+1,N(U8164))</f>
        <v/>
      </c>
      <c r="V8165" s="19">
        <f>IF($B8165="","",TEXT($B8165,"0000"))</f>
        <v/>
      </c>
      <c r="W8165" s="19">
        <f>IF($I8165="","",IF(ISNUMBER($I8165),TEXT($I8165,"0"),$I8165))</f>
        <v/>
      </c>
    </row>
    <row r="8166">
      <c r="B8166" s="25" t="n"/>
      <c r="I8166" s="25" t="n"/>
      <c r="U8166" s="19">
        <f>IF(AND($V8166='設定'!$C$4,COUNTIF('商品マスタ'!$B$6:$B$1005,$W8166)=0),N(U8165)+1,N(U8165))</f>
        <v/>
      </c>
      <c r="V8166" s="19">
        <f>IF($B8166="","",TEXT($B8166,"0000"))</f>
        <v/>
      </c>
      <c r="W8166" s="19">
        <f>IF($I8166="","",IF(ISNUMBER($I8166),TEXT($I8166,"0"),$I8166))</f>
        <v/>
      </c>
    </row>
    <row r="8167">
      <c r="B8167" s="25" t="n"/>
      <c r="I8167" s="25" t="n"/>
      <c r="U8167" s="19">
        <f>IF(AND($V8167='設定'!$C$4,COUNTIF('商品マスタ'!$B$6:$B$1005,$W8167)=0),N(U8166)+1,N(U8166))</f>
        <v/>
      </c>
      <c r="V8167" s="19">
        <f>IF($B8167="","",TEXT($B8167,"0000"))</f>
        <v/>
      </c>
      <c r="W8167" s="19">
        <f>IF($I8167="","",IF(ISNUMBER($I8167),TEXT($I8167,"0"),$I8167))</f>
        <v/>
      </c>
    </row>
    <row r="8168">
      <c r="B8168" s="25" t="n"/>
      <c r="I8168" s="25" t="n"/>
      <c r="U8168" s="19">
        <f>IF(AND($V8168='設定'!$C$4,COUNTIF('商品マスタ'!$B$6:$B$1005,$W8168)=0),N(U8167)+1,N(U8167))</f>
        <v/>
      </c>
      <c r="V8168" s="19">
        <f>IF($B8168="","",TEXT($B8168,"0000"))</f>
        <v/>
      </c>
      <c r="W8168" s="19">
        <f>IF($I8168="","",IF(ISNUMBER($I8168),TEXT($I8168,"0"),$I8168))</f>
        <v/>
      </c>
    </row>
    <row r="8169">
      <c r="B8169" s="25" t="n"/>
      <c r="I8169" s="25" t="n"/>
      <c r="U8169" s="19">
        <f>IF(AND($V8169='設定'!$C$4,COUNTIF('商品マスタ'!$B$6:$B$1005,$W8169)=0),N(U8168)+1,N(U8168))</f>
        <v/>
      </c>
      <c r="V8169" s="19">
        <f>IF($B8169="","",TEXT($B8169,"0000"))</f>
        <v/>
      </c>
      <c r="W8169" s="19">
        <f>IF($I8169="","",IF(ISNUMBER($I8169),TEXT($I8169,"0"),$I8169))</f>
        <v/>
      </c>
    </row>
    <row r="8170">
      <c r="B8170" s="25" t="n"/>
      <c r="I8170" s="25" t="n"/>
      <c r="U8170" s="19">
        <f>IF(AND($V8170='設定'!$C$4,COUNTIF('商品マスタ'!$B$6:$B$1005,$W8170)=0),N(U8169)+1,N(U8169))</f>
        <v/>
      </c>
      <c r="V8170" s="19">
        <f>IF($B8170="","",TEXT($B8170,"0000"))</f>
        <v/>
      </c>
      <c r="W8170" s="19">
        <f>IF($I8170="","",IF(ISNUMBER($I8170),TEXT($I8170,"0"),$I8170))</f>
        <v/>
      </c>
    </row>
    <row r="8171">
      <c r="B8171" s="25" t="n"/>
      <c r="I8171" s="25" t="n"/>
      <c r="U8171" s="19">
        <f>IF(AND($V8171='設定'!$C$4,COUNTIF('商品マスタ'!$B$6:$B$1005,$W8171)=0),N(U8170)+1,N(U8170))</f>
        <v/>
      </c>
      <c r="V8171" s="19">
        <f>IF($B8171="","",TEXT($B8171,"0000"))</f>
        <v/>
      </c>
      <c r="W8171" s="19">
        <f>IF($I8171="","",IF(ISNUMBER($I8171),TEXT($I8171,"0"),$I8171))</f>
        <v/>
      </c>
    </row>
    <row r="8172">
      <c r="B8172" s="25" t="n"/>
      <c r="I8172" s="25" t="n"/>
      <c r="U8172" s="19">
        <f>IF(AND($V8172='設定'!$C$4,COUNTIF('商品マスタ'!$B$6:$B$1005,$W8172)=0),N(U8171)+1,N(U8171))</f>
        <v/>
      </c>
      <c r="V8172" s="19">
        <f>IF($B8172="","",TEXT($B8172,"0000"))</f>
        <v/>
      </c>
      <c r="W8172" s="19">
        <f>IF($I8172="","",IF(ISNUMBER($I8172),TEXT($I8172,"0"),$I8172))</f>
        <v/>
      </c>
    </row>
    <row r="8173">
      <c r="B8173" s="25" t="n"/>
      <c r="I8173" s="25" t="n"/>
      <c r="U8173" s="19">
        <f>IF(AND($V8173='設定'!$C$4,COUNTIF('商品マスタ'!$B$6:$B$1005,$W8173)=0),N(U8172)+1,N(U8172))</f>
        <v/>
      </c>
      <c r="V8173" s="19">
        <f>IF($B8173="","",TEXT($B8173,"0000"))</f>
        <v/>
      </c>
      <c r="W8173" s="19">
        <f>IF($I8173="","",IF(ISNUMBER($I8173),TEXT($I8173,"0"),$I8173))</f>
        <v/>
      </c>
    </row>
    <row r="8174">
      <c r="B8174" s="25" t="n"/>
      <c r="I8174" s="25" t="n"/>
      <c r="U8174" s="19">
        <f>IF(AND($V8174='設定'!$C$4,COUNTIF('商品マスタ'!$B$6:$B$1005,$W8174)=0),N(U8173)+1,N(U8173))</f>
        <v/>
      </c>
      <c r="V8174" s="19">
        <f>IF($B8174="","",TEXT($B8174,"0000"))</f>
        <v/>
      </c>
      <c r="W8174" s="19">
        <f>IF($I8174="","",IF(ISNUMBER($I8174),TEXT($I8174,"0"),$I8174))</f>
        <v/>
      </c>
    </row>
    <row r="8175">
      <c r="B8175" s="25" t="n"/>
      <c r="I8175" s="25" t="n"/>
      <c r="U8175" s="19">
        <f>IF(AND($V8175='設定'!$C$4,COUNTIF('商品マスタ'!$B$6:$B$1005,$W8175)=0),N(U8174)+1,N(U8174))</f>
        <v/>
      </c>
      <c r="V8175" s="19">
        <f>IF($B8175="","",TEXT($B8175,"0000"))</f>
        <v/>
      </c>
      <c r="W8175" s="19">
        <f>IF($I8175="","",IF(ISNUMBER($I8175),TEXT($I8175,"0"),$I8175))</f>
        <v/>
      </c>
    </row>
    <row r="8176">
      <c r="B8176" s="25" t="n"/>
      <c r="I8176" s="25" t="n"/>
      <c r="U8176" s="19">
        <f>IF(AND($V8176='設定'!$C$4,COUNTIF('商品マスタ'!$B$6:$B$1005,$W8176)=0),N(U8175)+1,N(U8175))</f>
        <v/>
      </c>
      <c r="V8176" s="19">
        <f>IF($B8176="","",TEXT($B8176,"0000"))</f>
        <v/>
      </c>
      <c r="W8176" s="19">
        <f>IF($I8176="","",IF(ISNUMBER($I8176),TEXT($I8176,"0"),$I8176))</f>
        <v/>
      </c>
    </row>
    <row r="8177">
      <c r="B8177" s="25" t="n"/>
      <c r="I8177" s="25" t="n"/>
      <c r="U8177" s="19">
        <f>IF(AND($V8177='設定'!$C$4,COUNTIF('商品マスタ'!$B$6:$B$1005,$W8177)=0),N(U8176)+1,N(U8176))</f>
        <v/>
      </c>
      <c r="V8177" s="19">
        <f>IF($B8177="","",TEXT($B8177,"0000"))</f>
        <v/>
      </c>
      <c r="W8177" s="19">
        <f>IF($I8177="","",IF(ISNUMBER($I8177),TEXT($I8177,"0"),$I8177))</f>
        <v/>
      </c>
    </row>
    <row r="8178">
      <c r="B8178" s="25" t="n"/>
      <c r="I8178" s="25" t="n"/>
      <c r="U8178" s="19">
        <f>IF(AND($V8178='設定'!$C$4,COUNTIF('商品マスタ'!$B$6:$B$1005,$W8178)=0),N(U8177)+1,N(U8177))</f>
        <v/>
      </c>
      <c r="V8178" s="19">
        <f>IF($B8178="","",TEXT($B8178,"0000"))</f>
        <v/>
      </c>
      <c r="W8178" s="19">
        <f>IF($I8178="","",IF(ISNUMBER($I8178),TEXT($I8178,"0"),$I8178))</f>
        <v/>
      </c>
    </row>
    <row r="8179">
      <c r="B8179" s="25" t="n"/>
      <c r="I8179" s="25" t="n"/>
      <c r="U8179" s="19">
        <f>IF(AND($V8179='設定'!$C$4,COUNTIF('商品マスタ'!$B$6:$B$1005,$W8179)=0),N(U8178)+1,N(U8178))</f>
        <v/>
      </c>
      <c r="V8179" s="19">
        <f>IF($B8179="","",TEXT($B8179,"0000"))</f>
        <v/>
      </c>
      <c r="W8179" s="19">
        <f>IF($I8179="","",IF(ISNUMBER($I8179),TEXT($I8179,"0"),$I8179))</f>
        <v/>
      </c>
    </row>
    <row r="8180">
      <c r="B8180" s="25" t="n"/>
      <c r="I8180" s="25" t="n"/>
      <c r="U8180" s="19">
        <f>IF(AND($V8180='設定'!$C$4,COUNTIF('商品マスタ'!$B$6:$B$1005,$W8180)=0),N(U8179)+1,N(U8179))</f>
        <v/>
      </c>
      <c r="V8180" s="19">
        <f>IF($B8180="","",TEXT($B8180,"0000"))</f>
        <v/>
      </c>
      <c r="W8180" s="19">
        <f>IF($I8180="","",IF(ISNUMBER($I8180),TEXT($I8180,"0"),$I8180))</f>
        <v/>
      </c>
    </row>
    <row r="8181">
      <c r="B8181" s="25" t="n"/>
      <c r="I8181" s="25" t="n"/>
      <c r="U8181" s="19">
        <f>IF(AND($V8181='設定'!$C$4,COUNTIF('商品マスタ'!$B$6:$B$1005,$W8181)=0),N(U8180)+1,N(U8180))</f>
        <v/>
      </c>
      <c r="V8181" s="19">
        <f>IF($B8181="","",TEXT($B8181,"0000"))</f>
        <v/>
      </c>
      <c r="W8181" s="19">
        <f>IF($I8181="","",IF(ISNUMBER($I8181),TEXT($I8181,"0"),$I8181))</f>
        <v/>
      </c>
    </row>
    <row r="8182">
      <c r="B8182" s="25" t="n"/>
      <c r="I8182" s="25" t="n"/>
      <c r="U8182" s="19">
        <f>IF(AND($V8182='設定'!$C$4,COUNTIF('商品マスタ'!$B$6:$B$1005,$W8182)=0),N(U8181)+1,N(U8181))</f>
        <v/>
      </c>
      <c r="V8182" s="19">
        <f>IF($B8182="","",TEXT($B8182,"0000"))</f>
        <v/>
      </c>
      <c r="W8182" s="19">
        <f>IF($I8182="","",IF(ISNUMBER($I8182),TEXT($I8182,"0"),$I8182))</f>
        <v/>
      </c>
    </row>
    <row r="8183">
      <c r="B8183" s="25" t="n"/>
      <c r="I8183" s="25" t="n"/>
      <c r="U8183" s="19">
        <f>IF(AND($V8183='設定'!$C$4,COUNTIF('商品マスタ'!$B$6:$B$1005,$W8183)=0),N(U8182)+1,N(U8182))</f>
        <v/>
      </c>
      <c r="V8183" s="19">
        <f>IF($B8183="","",TEXT($B8183,"0000"))</f>
        <v/>
      </c>
      <c r="W8183" s="19">
        <f>IF($I8183="","",IF(ISNUMBER($I8183),TEXT($I8183,"0"),$I8183))</f>
        <v/>
      </c>
    </row>
    <row r="8184">
      <c r="B8184" s="25" t="n"/>
      <c r="I8184" s="25" t="n"/>
      <c r="U8184" s="19">
        <f>IF(AND($V8184='設定'!$C$4,COUNTIF('商品マスタ'!$B$6:$B$1005,$W8184)=0),N(U8183)+1,N(U8183))</f>
        <v/>
      </c>
      <c r="V8184" s="19">
        <f>IF($B8184="","",TEXT($B8184,"0000"))</f>
        <v/>
      </c>
      <c r="W8184" s="19">
        <f>IF($I8184="","",IF(ISNUMBER($I8184),TEXT($I8184,"0"),$I8184))</f>
        <v/>
      </c>
    </row>
    <row r="8185">
      <c r="B8185" s="25" t="n"/>
      <c r="I8185" s="25" t="n"/>
      <c r="U8185" s="19">
        <f>IF(AND($V8185='設定'!$C$4,COUNTIF('商品マスタ'!$B$6:$B$1005,$W8185)=0),N(U8184)+1,N(U8184))</f>
        <v/>
      </c>
      <c r="V8185" s="19">
        <f>IF($B8185="","",TEXT($B8185,"0000"))</f>
        <v/>
      </c>
      <c r="W8185" s="19">
        <f>IF($I8185="","",IF(ISNUMBER($I8185),TEXT($I8185,"0"),$I8185))</f>
        <v/>
      </c>
    </row>
    <row r="8186">
      <c r="B8186" s="25" t="n"/>
      <c r="I8186" s="25" t="n"/>
      <c r="U8186" s="19">
        <f>IF(AND($V8186='設定'!$C$4,COUNTIF('商品マスタ'!$B$6:$B$1005,$W8186)=0),N(U8185)+1,N(U8185))</f>
        <v/>
      </c>
      <c r="V8186" s="19">
        <f>IF($B8186="","",TEXT($B8186,"0000"))</f>
        <v/>
      </c>
      <c r="W8186" s="19">
        <f>IF($I8186="","",IF(ISNUMBER($I8186),TEXT($I8186,"0"),$I8186))</f>
        <v/>
      </c>
    </row>
    <row r="8187">
      <c r="B8187" s="25" t="n"/>
      <c r="I8187" s="25" t="n"/>
      <c r="U8187" s="19">
        <f>IF(AND($V8187='設定'!$C$4,COUNTIF('商品マスタ'!$B$6:$B$1005,$W8187)=0),N(U8186)+1,N(U8186))</f>
        <v/>
      </c>
      <c r="V8187" s="19">
        <f>IF($B8187="","",TEXT($B8187,"0000"))</f>
        <v/>
      </c>
      <c r="W8187" s="19">
        <f>IF($I8187="","",IF(ISNUMBER($I8187),TEXT($I8187,"0"),$I8187))</f>
        <v/>
      </c>
    </row>
    <row r="8188">
      <c r="B8188" s="25" t="n"/>
      <c r="I8188" s="25" t="n"/>
      <c r="U8188" s="19">
        <f>IF(AND($V8188='設定'!$C$4,COUNTIF('商品マスタ'!$B$6:$B$1005,$W8188)=0),N(U8187)+1,N(U8187))</f>
        <v/>
      </c>
      <c r="V8188" s="19">
        <f>IF($B8188="","",TEXT($B8188,"0000"))</f>
        <v/>
      </c>
      <c r="W8188" s="19">
        <f>IF($I8188="","",IF(ISNUMBER($I8188),TEXT($I8188,"0"),$I8188))</f>
        <v/>
      </c>
    </row>
    <row r="8189">
      <c r="B8189" s="25" t="n"/>
      <c r="I8189" s="25" t="n"/>
      <c r="U8189" s="19">
        <f>IF(AND($V8189='設定'!$C$4,COUNTIF('商品マスタ'!$B$6:$B$1005,$W8189)=0),N(U8188)+1,N(U8188))</f>
        <v/>
      </c>
      <c r="V8189" s="19">
        <f>IF($B8189="","",TEXT($B8189,"0000"))</f>
        <v/>
      </c>
      <c r="W8189" s="19">
        <f>IF($I8189="","",IF(ISNUMBER($I8189),TEXT($I8189,"0"),$I8189))</f>
        <v/>
      </c>
    </row>
    <row r="8190">
      <c r="B8190" s="25" t="n"/>
      <c r="I8190" s="25" t="n"/>
      <c r="U8190" s="19">
        <f>IF(AND($V8190='設定'!$C$4,COUNTIF('商品マスタ'!$B$6:$B$1005,$W8190)=0),N(U8189)+1,N(U8189))</f>
        <v/>
      </c>
      <c r="V8190" s="19">
        <f>IF($B8190="","",TEXT($B8190,"0000"))</f>
        <v/>
      </c>
      <c r="W8190" s="19">
        <f>IF($I8190="","",IF(ISNUMBER($I8190),TEXT($I8190,"0"),$I8190))</f>
        <v/>
      </c>
    </row>
    <row r="8191">
      <c r="B8191" s="25" t="n"/>
      <c r="I8191" s="25" t="n"/>
      <c r="U8191" s="19">
        <f>IF(AND($V8191='設定'!$C$4,COUNTIF('商品マスタ'!$B$6:$B$1005,$W8191)=0),N(U8190)+1,N(U8190))</f>
        <v/>
      </c>
      <c r="V8191" s="19">
        <f>IF($B8191="","",TEXT($B8191,"0000"))</f>
        <v/>
      </c>
      <c r="W8191" s="19">
        <f>IF($I8191="","",IF(ISNUMBER($I8191),TEXT($I8191,"0"),$I8191))</f>
        <v/>
      </c>
    </row>
    <row r="8192">
      <c r="B8192" s="25" t="n"/>
      <c r="I8192" s="25" t="n"/>
      <c r="U8192" s="19">
        <f>IF(AND($V8192='設定'!$C$4,COUNTIF('商品マスタ'!$B$6:$B$1005,$W8192)=0),N(U8191)+1,N(U8191))</f>
        <v/>
      </c>
      <c r="V8192" s="19">
        <f>IF($B8192="","",TEXT($B8192,"0000"))</f>
        <v/>
      </c>
      <c r="W8192" s="19">
        <f>IF($I8192="","",IF(ISNUMBER($I8192),TEXT($I8192,"0"),$I8192))</f>
        <v/>
      </c>
    </row>
    <row r="8193">
      <c r="B8193" s="25" t="n"/>
      <c r="I8193" s="25" t="n"/>
      <c r="U8193" s="19">
        <f>IF(AND($V8193='設定'!$C$4,COUNTIF('商品マスタ'!$B$6:$B$1005,$W8193)=0),N(U8192)+1,N(U8192))</f>
        <v/>
      </c>
      <c r="V8193" s="19">
        <f>IF($B8193="","",TEXT($B8193,"0000"))</f>
        <v/>
      </c>
      <c r="W8193" s="19">
        <f>IF($I8193="","",IF(ISNUMBER($I8193),TEXT($I8193,"0"),$I8193))</f>
        <v/>
      </c>
    </row>
    <row r="8194">
      <c r="B8194" s="25" t="n"/>
      <c r="I8194" s="25" t="n"/>
      <c r="U8194" s="19">
        <f>IF(AND($V8194='設定'!$C$4,COUNTIF('商品マスタ'!$B$6:$B$1005,$W8194)=0),N(U8193)+1,N(U8193))</f>
        <v/>
      </c>
      <c r="V8194" s="19">
        <f>IF($B8194="","",TEXT($B8194,"0000"))</f>
        <v/>
      </c>
      <c r="W8194" s="19">
        <f>IF($I8194="","",IF(ISNUMBER($I8194),TEXT($I8194,"0"),$I8194))</f>
        <v/>
      </c>
    </row>
    <row r="8195">
      <c r="B8195" s="25" t="n"/>
      <c r="I8195" s="25" t="n"/>
      <c r="U8195" s="19">
        <f>IF(AND($V8195='設定'!$C$4,COUNTIF('商品マスタ'!$B$6:$B$1005,$W8195)=0),N(U8194)+1,N(U8194))</f>
        <v/>
      </c>
      <c r="V8195" s="19">
        <f>IF($B8195="","",TEXT($B8195,"0000"))</f>
        <v/>
      </c>
      <c r="W8195" s="19">
        <f>IF($I8195="","",IF(ISNUMBER($I8195),TEXT($I8195,"0"),$I8195))</f>
        <v/>
      </c>
    </row>
    <row r="8196">
      <c r="B8196" s="25" t="n"/>
      <c r="I8196" s="25" t="n"/>
      <c r="U8196" s="19">
        <f>IF(AND($V8196='設定'!$C$4,COUNTIF('商品マスタ'!$B$6:$B$1005,$W8196)=0),N(U8195)+1,N(U8195))</f>
        <v/>
      </c>
      <c r="V8196" s="19">
        <f>IF($B8196="","",TEXT($B8196,"0000"))</f>
        <v/>
      </c>
      <c r="W8196" s="19">
        <f>IF($I8196="","",IF(ISNUMBER($I8196),TEXT($I8196,"0"),$I8196))</f>
        <v/>
      </c>
    </row>
    <row r="8197">
      <c r="B8197" s="25" t="n"/>
      <c r="I8197" s="25" t="n"/>
      <c r="U8197" s="19">
        <f>IF(AND($V8197='設定'!$C$4,COUNTIF('商品マスタ'!$B$6:$B$1005,$W8197)=0),N(U8196)+1,N(U8196))</f>
        <v/>
      </c>
      <c r="V8197" s="19">
        <f>IF($B8197="","",TEXT($B8197,"0000"))</f>
        <v/>
      </c>
      <c r="W8197" s="19">
        <f>IF($I8197="","",IF(ISNUMBER($I8197),TEXT($I8197,"0"),$I8197))</f>
        <v/>
      </c>
    </row>
    <row r="8198">
      <c r="B8198" s="25" t="n"/>
      <c r="I8198" s="25" t="n"/>
      <c r="U8198" s="19">
        <f>IF(AND($V8198='設定'!$C$4,COUNTIF('商品マスタ'!$B$6:$B$1005,$W8198)=0),N(U8197)+1,N(U8197))</f>
        <v/>
      </c>
      <c r="V8198" s="19">
        <f>IF($B8198="","",TEXT($B8198,"0000"))</f>
        <v/>
      </c>
      <c r="W8198" s="19">
        <f>IF($I8198="","",IF(ISNUMBER($I8198),TEXT($I8198,"0"),$I8198))</f>
        <v/>
      </c>
    </row>
    <row r="8199">
      <c r="B8199" s="25" t="n"/>
      <c r="I8199" s="25" t="n"/>
      <c r="U8199" s="19">
        <f>IF(AND($V8199='設定'!$C$4,COUNTIF('商品マスタ'!$B$6:$B$1005,$W8199)=0),N(U8198)+1,N(U8198))</f>
        <v/>
      </c>
      <c r="V8199" s="19">
        <f>IF($B8199="","",TEXT($B8199,"0000"))</f>
        <v/>
      </c>
      <c r="W8199" s="19">
        <f>IF($I8199="","",IF(ISNUMBER($I8199),TEXT($I8199,"0"),$I8199))</f>
        <v/>
      </c>
    </row>
    <row r="8200">
      <c r="B8200" s="25" t="n"/>
      <c r="I8200" s="25" t="n"/>
      <c r="U8200" s="19">
        <f>IF(AND($V8200='設定'!$C$4,COUNTIF('商品マスタ'!$B$6:$B$1005,$W8200)=0),N(U8199)+1,N(U8199))</f>
        <v/>
      </c>
      <c r="V8200" s="19">
        <f>IF($B8200="","",TEXT($B8200,"0000"))</f>
        <v/>
      </c>
      <c r="W8200" s="19">
        <f>IF($I8200="","",IF(ISNUMBER($I8200),TEXT($I8200,"0"),$I8200))</f>
        <v/>
      </c>
    </row>
    <row r="8201">
      <c r="B8201" s="25" t="n"/>
      <c r="I8201" s="25" t="n"/>
      <c r="U8201" s="19">
        <f>IF(AND($V8201='設定'!$C$4,COUNTIF('商品マスタ'!$B$6:$B$1005,$W8201)=0),N(U8200)+1,N(U8200))</f>
        <v/>
      </c>
      <c r="V8201" s="19">
        <f>IF($B8201="","",TEXT($B8201,"0000"))</f>
        <v/>
      </c>
      <c r="W8201" s="19">
        <f>IF($I8201="","",IF(ISNUMBER($I8201),TEXT($I8201,"0"),$I8201))</f>
        <v/>
      </c>
    </row>
    <row r="8202">
      <c r="B8202" s="25" t="n"/>
      <c r="I8202" s="25" t="n"/>
      <c r="U8202" s="19">
        <f>IF(AND($V8202='設定'!$C$4,COUNTIF('商品マスタ'!$B$6:$B$1005,$W8202)=0),N(U8201)+1,N(U8201))</f>
        <v/>
      </c>
      <c r="V8202" s="19">
        <f>IF($B8202="","",TEXT($B8202,"0000"))</f>
        <v/>
      </c>
      <c r="W8202" s="19">
        <f>IF($I8202="","",IF(ISNUMBER($I8202),TEXT($I8202,"0"),$I8202))</f>
        <v/>
      </c>
    </row>
    <row r="8203">
      <c r="B8203" s="25" t="n"/>
      <c r="I8203" s="25" t="n"/>
      <c r="U8203" s="19">
        <f>IF(AND($V8203='設定'!$C$4,COUNTIF('商品マスタ'!$B$6:$B$1005,$W8203)=0),N(U8202)+1,N(U8202))</f>
        <v/>
      </c>
      <c r="V8203" s="19">
        <f>IF($B8203="","",TEXT($B8203,"0000"))</f>
        <v/>
      </c>
      <c r="W8203" s="19">
        <f>IF($I8203="","",IF(ISNUMBER($I8203),TEXT($I8203,"0"),$I8203))</f>
        <v/>
      </c>
    </row>
    <row r="8204">
      <c r="B8204" s="25" t="n"/>
      <c r="I8204" s="25" t="n"/>
      <c r="U8204" s="19">
        <f>IF(AND($V8204='設定'!$C$4,COUNTIF('商品マスタ'!$B$6:$B$1005,$W8204)=0),N(U8203)+1,N(U8203))</f>
        <v/>
      </c>
      <c r="V8204" s="19">
        <f>IF($B8204="","",TEXT($B8204,"0000"))</f>
        <v/>
      </c>
      <c r="W8204" s="19">
        <f>IF($I8204="","",IF(ISNUMBER($I8204),TEXT($I8204,"0"),$I8204))</f>
        <v/>
      </c>
    </row>
    <row r="8205">
      <c r="B8205" s="25" t="n"/>
      <c r="I8205" s="25" t="n"/>
      <c r="U8205" s="19">
        <f>IF(AND($V8205='設定'!$C$4,COUNTIF('商品マスタ'!$B$6:$B$1005,$W8205)=0),N(U8204)+1,N(U8204))</f>
        <v/>
      </c>
      <c r="V8205" s="19">
        <f>IF($B8205="","",TEXT($B8205,"0000"))</f>
        <v/>
      </c>
      <c r="W8205" s="19">
        <f>IF($I8205="","",IF(ISNUMBER($I8205),TEXT($I8205,"0"),$I8205))</f>
        <v/>
      </c>
    </row>
    <row r="8206">
      <c r="B8206" s="25" t="n"/>
      <c r="I8206" s="25" t="n"/>
      <c r="U8206" s="19">
        <f>IF(AND($V8206='設定'!$C$4,COUNTIF('商品マスタ'!$B$6:$B$1005,$W8206)=0),N(U8205)+1,N(U8205))</f>
        <v/>
      </c>
      <c r="V8206" s="19">
        <f>IF($B8206="","",TEXT($B8206,"0000"))</f>
        <v/>
      </c>
      <c r="W8206" s="19">
        <f>IF($I8206="","",IF(ISNUMBER($I8206),TEXT($I8206,"0"),$I8206))</f>
        <v/>
      </c>
    </row>
    <row r="8207">
      <c r="B8207" s="25" t="n"/>
      <c r="I8207" s="25" t="n"/>
      <c r="U8207" s="19">
        <f>IF(AND($V8207='設定'!$C$4,COUNTIF('商品マスタ'!$B$6:$B$1005,$W8207)=0),N(U8206)+1,N(U8206))</f>
        <v/>
      </c>
      <c r="V8207" s="19">
        <f>IF($B8207="","",TEXT($B8207,"0000"))</f>
        <v/>
      </c>
      <c r="W8207" s="19">
        <f>IF($I8207="","",IF(ISNUMBER($I8207),TEXT($I8207,"0"),$I8207))</f>
        <v/>
      </c>
    </row>
    <row r="8208">
      <c r="B8208" s="25" t="n"/>
      <c r="I8208" s="25" t="n"/>
      <c r="U8208" s="19">
        <f>IF(AND($V8208='設定'!$C$4,COUNTIF('商品マスタ'!$B$6:$B$1005,$W8208)=0),N(U8207)+1,N(U8207))</f>
        <v/>
      </c>
      <c r="V8208" s="19">
        <f>IF($B8208="","",TEXT($B8208,"0000"))</f>
        <v/>
      </c>
      <c r="W8208" s="19">
        <f>IF($I8208="","",IF(ISNUMBER($I8208),TEXT($I8208,"0"),$I8208))</f>
        <v/>
      </c>
    </row>
    <row r="8209">
      <c r="B8209" s="25" t="n"/>
      <c r="I8209" s="25" t="n"/>
      <c r="U8209" s="19">
        <f>IF(AND($V8209='設定'!$C$4,COUNTIF('商品マスタ'!$B$6:$B$1005,$W8209)=0),N(U8208)+1,N(U8208))</f>
        <v/>
      </c>
      <c r="V8209" s="19">
        <f>IF($B8209="","",TEXT($B8209,"0000"))</f>
        <v/>
      </c>
      <c r="W8209" s="19">
        <f>IF($I8209="","",IF(ISNUMBER($I8209),TEXT($I8209,"0"),$I8209))</f>
        <v/>
      </c>
    </row>
    <row r="8210">
      <c r="B8210" s="25" t="n"/>
      <c r="I8210" s="25" t="n"/>
      <c r="U8210" s="19">
        <f>IF(AND($V8210='設定'!$C$4,COUNTIF('商品マスタ'!$B$6:$B$1005,$W8210)=0),N(U8209)+1,N(U8209))</f>
        <v/>
      </c>
      <c r="V8210" s="19">
        <f>IF($B8210="","",TEXT($B8210,"0000"))</f>
        <v/>
      </c>
      <c r="W8210" s="19">
        <f>IF($I8210="","",IF(ISNUMBER($I8210),TEXT($I8210,"0"),$I8210))</f>
        <v/>
      </c>
    </row>
    <row r="8211">
      <c r="B8211" s="25" t="n"/>
      <c r="I8211" s="25" t="n"/>
      <c r="U8211" s="19">
        <f>IF(AND($V8211='設定'!$C$4,COUNTIF('商品マスタ'!$B$6:$B$1005,$W8211)=0),N(U8210)+1,N(U8210))</f>
        <v/>
      </c>
      <c r="V8211" s="19">
        <f>IF($B8211="","",TEXT($B8211,"0000"))</f>
        <v/>
      </c>
      <c r="W8211" s="19">
        <f>IF($I8211="","",IF(ISNUMBER($I8211),TEXT($I8211,"0"),$I8211))</f>
        <v/>
      </c>
    </row>
    <row r="8212">
      <c r="B8212" s="25" t="n"/>
      <c r="I8212" s="25" t="n"/>
      <c r="U8212" s="19">
        <f>IF(AND($V8212='設定'!$C$4,COUNTIF('商品マスタ'!$B$6:$B$1005,$W8212)=0),N(U8211)+1,N(U8211))</f>
        <v/>
      </c>
      <c r="V8212" s="19">
        <f>IF($B8212="","",TEXT($B8212,"0000"))</f>
        <v/>
      </c>
      <c r="W8212" s="19">
        <f>IF($I8212="","",IF(ISNUMBER($I8212),TEXT($I8212,"0"),$I8212))</f>
        <v/>
      </c>
    </row>
    <row r="8213">
      <c r="B8213" s="25" t="n"/>
      <c r="I8213" s="25" t="n"/>
      <c r="U8213" s="19">
        <f>IF(AND($V8213='設定'!$C$4,COUNTIF('商品マスタ'!$B$6:$B$1005,$W8213)=0),N(U8212)+1,N(U8212))</f>
        <v/>
      </c>
      <c r="V8213" s="19">
        <f>IF($B8213="","",TEXT($B8213,"0000"))</f>
        <v/>
      </c>
      <c r="W8213" s="19">
        <f>IF($I8213="","",IF(ISNUMBER($I8213),TEXT($I8213,"0"),$I8213))</f>
        <v/>
      </c>
    </row>
    <row r="8214">
      <c r="B8214" s="25" t="n"/>
      <c r="I8214" s="25" t="n"/>
      <c r="U8214" s="19">
        <f>IF(AND($V8214='設定'!$C$4,COUNTIF('商品マスタ'!$B$6:$B$1005,$W8214)=0),N(U8213)+1,N(U8213))</f>
        <v/>
      </c>
      <c r="V8214" s="19">
        <f>IF($B8214="","",TEXT($B8214,"0000"))</f>
        <v/>
      </c>
      <c r="W8214" s="19">
        <f>IF($I8214="","",IF(ISNUMBER($I8214),TEXT($I8214,"0"),$I8214))</f>
        <v/>
      </c>
    </row>
    <row r="8215">
      <c r="B8215" s="25" t="n"/>
      <c r="I8215" s="25" t="n"/>
      <c r="U8215" s="19">
        <f>IF(AND($V8215='設定'!$C$4,COUNTIF('商品マスタ'!$B$6:$B$1005,$W8215)=0),N(U8214)+1,N(U8214))</f>
        <v/>
      </c>
      <c r="V8215" s="19">
        <f>IF($B8215="","",TEXT($B8215,"0000"))</f>
        <v/>
      </c>
      <c r="W8215" s="19">
        <f>IF($I8215="","",IF(ISNUMBER($I8215),TEXT($I8215,"0"),$I8215))</f>
        <v/>
      </c>
    </row>
    <row r="8216">
      <c r="B8216" s="25" t="n"/>
      <c r="I8216" s="25" t="n"/>
      <c r="U8216" s="19">
        <f>IF(AND($V8216='設定'!$C$4,COUNTIF('商品マスタ'!$B$6:$B$1005,$W8216)=0),N(U8215)+1,N(U8215))</f>
        <v/>
      </c>
      <c r="V8216" s="19">
        <f>IF($B8216="","",TEXT($B8216,"0000"))</f>
        <v/>
      </c>
      <c r="W8216" s="19">
        <f>IF($I8216="","",IF(ISNUMBER($I8216),TEXT($I8216,"0"),$I8216))</f>
        <v/>
      </c>
    </row>
    <row r="8217">
      <c r="B8217" s="25" t="n"/>
      <c r="I8217" s="25" t="n"/>
      <c r="U8217" s="19">
        <f>IF(AND($V8217='設定'!$C$4,COUNTIF('商品マスタ'!$B$6:$B$1005,$W8217)=0),N(U8216)+1,N(U8216))</f>
        <v/>
      </c>
      <c r="V8217" s="19">
        <f>IF($B8217="","",TEXT($B8217,"0000"))</f>
        <v/>
      </c>
      <c r="W8217" s="19">
        <f>IF($I8217="","",IF(ISNUMBER($I8217),TEXT($I8217,"0"),$I8217))</f>
        <v/>
      </c>
    </row>
    <row r="8218">
      <c r="B8218" s="25" t="n"/>
      <c r="I8218" s="25" t="n"/>
      <c r="U8218" s="19">
        <f>IF(AND($V8218='設定'!$C$4,COUNTIF('商品マスタ'!$B$6:$B$1005,$W8218)=0),N(U8217)+1,N(U8217))</f>
        <v/>
      </c>
      <c r="V8218" s="19">
        <f>IF($B8218="","",TEXT($B8218,"0000"))</f>
        <v/>
      </c>
      <c r="W8218" s="19">
        <f>IF($I8218="","",IF(ISNUMBER($I8218),TEXT($I8218,"0"),$I8218))</f>
        <v/>
      </c>
    </row>
    <row r="8219">
      <c r="B8219" s="25" t="n"/>
      <c r="I8219" s="25" t="n"/>
      <c r="U8219" s="19">
        <f>IF(AND($V8219='設定'!$C$4,COUNTIF('商品マスタ'!$B$6:$B$1005,$W8219)=0),N(U8218)+1,N(U8218))</f>
        <v/>
      </c>
      <c r="V8219" s="19">
        <f>IF($B8219="","",TEXT($B8219,"0000"))</f>
        <v/>
      </c>
      <c r="W8219" s="19">
        <f>IF($I8219="","",IF(ISNUMBER($I8219),TEXT($I8219,"0"),$I8219))</f>
        <v/>
      </c>
    </row>
    <row r="8220">
      <c r="B8220" s="25" t="n"/>
      <c r="I8220" s="25" t="n"/>
      <c r="U8220" s="19">
        <f>IF(AND($V8220='設定'!$C$4,COUNTIF('商品マスタ'!$B$6:$B$1005,$W8220)=0),N(U8219)+1,N(U8219))</f>
        <v/>
      </c>
      <c r="V8220" s="19">
        <f>IF($B8220="","",TEXT($B8220,"0000"))</f>
        <v/>
      </c>
      <c r="W8220" s="19">
        <f>IF($I8220="","",IF(ISNUMBER($I8220),TEXT($I8220,"0"),$I8220))</f>
        <v/>
      </c>
    </row>
    <row r="8221">
      <c r="B8221" s="25" t="n"/>
      <c r="I8221" s="25" t="n"/>
      <c r="U8221" s="19">
        <f>IF(AND($V8221='設定'!$C$4,COUNTIF('商品マスタ'!$B$6:$B$1005,$W8221)=0),N(U8220)+1,N(U8220))</f>
        <v/>
      </c>
      <c r="V8221" s="19">
        <f>IF($B8221="","",TEXT($B8221,"0000"))</f>
        <v/>
      </c>
      <c r="W8221" s="19">
        <f>IF($I8221="","",IF(ISNUMBER($I8221),TEXT($I8221,"0"),$I8221))</f>
        <v/>
      </c>
    </row>
    <row r="8222">
      <c r="B8222" s="25" t="n"/>
      <c r="I8222" s="25" t="n"/>
      <c r="U8222" s="19">
        <f>IF(AND($V8222='設定'!$C$4,COUNTIF('商品マスタ'!$B$6:$B$1005,$W8222)=0),N(U8221)+1,N(U8221))</f>
        <v/>
      </c>
      <c r="V8222" s="19">
        <f>IF($B8222="","",TEXT($B8222,"0000"))</f>
        <v/>
      </c>
      <c r="W8222" s="19">
        <f>IF($I8222="","",IF(ISNUMBER($I8222),TEXT($I8222,"0"),$I8222))</f>
        <v/>
      </c>
    </row>
    <row r="8223">
      <c r="B8223" s="25" t="n"/>
      <c r="I8223" s="25" t="n"/>
      <c r="U8223" s="19">
        <f>IF(AND($V8223='設定'!$C$4,COUNTIF('商品マスタ'!$B$6:$B$1005,$W8223)=0),N(U8222)+1,N(U8222))</f>
        <v/>
      </c>
      <c r="V8223" s="19">
        <f>IF($B8223="","",TEXT($B8223,"0000"))</f>
        <v/>
      </c>
      <c r="W8223" s="19">
        <f>IF($I8223="","",IF(ISNUMBER($I8223),TEXT($I8223,"0"),$I8223))</f>
        <v/>
      </c>
    </row>
    <row r="8224">
      <c r="B8224" s="25" t="n"/>
      <c r="I8224" s="25" t="n"/>
      <c r="U8224" s="19">
        <f>IF(AND($V8224='設定'!$C$4,COUNTIF('商品マスタ'!$B$6:$B$1005,$W8224)=0),N(U8223)+1,N(U8223))</f>
        <v/>
      </c>
      <c r="V8224" s="19">
        <f>IF($B8224="","",TEXT($B8224,"0000"))</f>
        <v/>
      </c>
      <c r="W8224" s="19">
        <f>IF($I8224="","",IF(ISNUMBER($I8224),TEXT($I8224,"0"),$I8224))</f>
        <v/>
      </c>
    </row>
    <row r="8225">
      <c r="B8225" s="25" t="n"/>
      <c r="I8225" s="25" t="n"/>
      <c r="U8225" s="19">
        <f>IF(AND($V8225='設定'!$C$4,COUNTIF('商品マスタ'!$B$6:$B$1005,$W8225)=0),N(U8224)+1,N(U8224))</f>
        <v/>
      </c>
      <c r="V8225" s="19">
        <f>IF($B8225="","",TEXT($B8225,"0000"))</f>
        <v/>
      </c>
      <c r="W8225" s="19">
        <f>IF($I8225="","",IF(ISNUMBER($I8225),TEXT($I8225,"0"),$I8225))</f>
        <v/>
      </c>
    </row>
    <row r="8226">
      <c r="B8226" s="25" t="n"/>
      <c r="I8226" s="25" t="n"/>
      <c r="U8226" s="19">
        <f>IF(AND($V8226='設定'!$C$4,COUNTIF('商品マスタ'!$B$6:$B$1005,$W8226)=0),N(U8225)+1,N(U8225))</f>
        <v/>
      </c>
      <c r="V8226" s="19">
        <f>IF($B8226="","",TEXT($B8226,"0000"))</f>
        <v/>
      </c>
      <c r="W8226" s="19">
        <f>IF($I8226="","",IF(ISNUMBER($I8226),TEXT($I8226,"0"),$I8226))</f>
        <v/>
      </c>
    </row>
    <row r="8227">
      <c r="B8227" s="25" t="n"/>
      <c r="I8227" s="25" t="n"/>
      <c r="U8227" s="19">
        <f>IF(AND($V8227='設定'!$C$4,COUNTIF('商品マスタ'!$B$6:$B$1005,$W8227)=0),N(U8226)+1,N(U8226))</f>
        <v/>
      </c>
      <c r="V8227" s="19">
        <f>IF($B8227="","",TEXT($B8227,"0000"))</f>
        <v/>
      </c>
      <c r="W8227" s="19">
        <f>IF($I8227="","",IF(ISNUMBER($I8227),TEXT($I8227,"0"),$I8227))</f>
        <v/>
      </c>
    </row>
    <row r="8228">
      <c r="B8228" s="25" t="n"/>
      <c r="I8228" s="25" t="n"/>
      <c r="U8228" s="19">
        <f>IF(AND($V8228='設定'!$C$4,COUNTIF('商品マスタ'!$B$6:$B$1005,$W8228)=0),N(U8227)+1,N(U8227))</f>
        <v/>
      </c>
      <c r="V8228" s="19">
        <f>IF($B8228="","",TEXT($B8228,"0000"))</f>
        <v/>
      </c>
      <c r="W8228" s="19">
        <f>IF($I8228="","",IF(ISNUMBER($I8228),TEXT($I8228,"0"),$I8228))</f>
        <v/>
      </c>
    </row>
    <row r="8229">
      <c r="B8229" s="25" t="n"/>
      <c r="I8229" s="25" t="n"/>
      <c r="U8229" s="19">
        <f>IF(AND($V8229='設定'!$C$4,COUNTIF('商品マスタ'!$B$6:$B$1005,$W8229)=0),N(U8228)+1,N(U8228))</f>
        <v/>
      </c>
      <c r="V8229" s="19">
        <f>IF($B8229="","",TEXT($B8229,"0000"))</f>
        <v/>
      </c>
      <c r="W8229" s="19">
        <f>IF($I8229="","",IF(ISNUMBER($I8229),TEXT($I8229,"0"),$I8229))</f>
        <v/>
      </c>
    </row>
    <row r="8230">
      <c r="B8230" s="25" t="n"/>
      <c r="I8230" s="25" t="n"/>
      <c r="U8230" s="19">
        <f>IF(AND($V8230='設定'!$C$4,COUNTIF('商品マスタ'!$B$6:$B$1005,$W8230)=0),N(U8229)+1,N(U8229))</f>
        <v/>
      </c>
      <c r="V8230" s="19">
        <f>IF($B8230="","",TEXT($B8230,"0000"))</f>
        <v/>
      </c>
      <c r="W8230" s="19">
        <f>IF($I8230="","",IF(ISNUMBER($I8230),TEXT($I8230,"0"),$I8230))</f>
        <v/>
      </c>
    </row>
    <row r="8231">
      <c r="B8231" s="25" t="n"/>
      <c r="I8231" s="25" t="n"/>
      <c r="U8231" s="19">
        <f>IF(AND($V8231='設定'!$C$4,COUNTIF('商品マスタ'!$B$6:$B$1005,$W8231)=0),N(U8230)+1,N(U8230))</f>
        <v/>
      </c>
      <c r="V8231" s="19">
        <f>IF($B8231="","",TEXT($B8231,"0000"))</f>
        <v/>
      </c>
      <c r="W8231" s="19">
        <f>IF($I8231="","",IF(ISNUMBER($I8231),TEXT($I8231,"0"),$I8231))</f>
        <v/>
      </c>
    </row>
    <row r="8232">
      <c r="B8232" s="25" t="n"/>
      <c r="I8232" s="25" t="n"/>
      <c r="U8232" s="19">
        <f>IF(AND($V8232='設定'!$C$4,COUNTIF('商品マスタ'!$B$6:$B$1005,$W8232)=0),N(U8231)+1,N(U8231))</f>
        <v/>
      </c>
      <c r="V8232" s="19">
        <f>IF($B8232="","",TEXT($B8232,"0000"))</f>
        <v/>
      </c>
      <c r="W8232" s="19">
        <f>IF($I8232="","",IF(ISNUMBER($I8232),TEXT($I8232,"0"),$I8232))</f>
        <v/>
      </c>
    </row>
    <row r="8233">
      <c r="B8233" s="25" t="n"/>
      <c r="I8233" s="25" t="n"/>
      <c r="U8233" s="19">
        <f>IF(AND($V8233='設定'!$C$4,COUNTIF('商品マスタ'!$B$6:$B$1005,$W8233)=0),N(U8232)+1,N(U8232))</f>
        <v/>
      </c>
      <c r="V8233" s="19">
        <f>IF($B8233="","",TEXT($B8233,"0000"))</f>
        <v/>
      </c>
      <c r="W8233" s="19">
        <f>IF($I8233="","",IF(ISNUMBER($I8233),TEXT($I8233,"0"),$I8233))</f>
        <v/>
      </c>
    </row>
    <row r="8234">
      <c r="B8234" s="25" t="n"/>
      <c r="I8234" s="25" t="n"/>
      <c r="U8234" s="19">
        <f>IF(AND($V8234='設定'!$C$4,COUNTIF('商品マスタ'!$B$6:$B$1005,$W8234)=0),N(U8233)+1,N(U8233))</f>
        <v/>
      </c>
      <c r="V8234" s="19">
        <f>IF($B8234="","",TEXT($B8234,"0000"))</f>
        <v/>
      </c>
      <c r="W8234" s="19">
        <f>IF($I8234="","",IF(ISNUMBER($I8234),TEXT($I8234,"0"),$I8234))</f>
        <v/>
      </c>
    </row>
    <row r="8235">
      <c r="B8235" s="25" t="n"/>
      <c r="I8235" s="25" t="n"/>
      <c r="U8235" s="19">
        <f>IF(AND($V8235='設定'!$C$4,COUNTIF('商品マスタ'!$B$6:$B$1005,$W8235)=0),N(U8234)+1,N(U8234))</f>
        <v/>
      </c>
      <c r="V8235" s="19">
        <f>IF($B8235="","",TEXT($B8235,"0000"))</f>
        <v/>
      </c>
      <c r="W8235" s="19">
        <f>IF($I8235="","",IF(ISNUMBER($I8235),TEXT($I8235,"0"),$I8235))</f>
        <v/>
      </c>
    </row>
    <row r="8236">
      <c r="B8236" s="25" t="n"/>
      <c r="I8236" s="25" t="n"/>
      <c r="U8236" s="19">
        <f>IF(AND($V8236='設定'!$C$4,COUNTIF('商品マスタ'!$B$6:$B$1005,$W8236)=0),N(U8235)+1,N(U8235))</f>
        <v/>
      </c>
      <c r="V8236" s="19">
        <f>IF($B8236="","",TEXT($B8236,"0000"))</f>
        <v/>
      </c>
      <c r="W8236" s="19">
        <f>IF($I8236="","",IF(ISNUMBER($I8236),TEXT($I8236,"0"),$I8236))</f>
        <v/>
      </c>
    </row>
    <row r="8237">
      <c r="B8237" s="25" t="n"/>
      <c r="I8237" s="25" t="n"/>
      <c r="U8237" s="19">
        <f>IF(AND($V8237='設定'!$C$4,COUNTIF('商品マスタ'!$B$6:$B$1005,$W8237)=0),N(U8236)+1,N(U8236))</f>
        <v/>
      </c>
      <c r="V8237" s="19">
        <f>IF($B8237="","",TEXT($B8237,"0000"))</f>
        <v/>
      </c>
      <c r="W8237" s="19">
        <f>IF($I8237="","",IF(ISNUMBER($I8237),TEXT($I8237,"0"),$I8237))</f>
        <v/>
      </c>
    </row>
    <row r="8238">
      <c r="B8238" s="25" t="n"/>
      <c r="I8238" s="25" t="n"/>
      <c r="U8238" s="19">
        <f>IF(AND($V8238='設定'!$C$4,COUNTIF('商品マスタ'!$B$6:$B$1005,$W8238)=0),N(U8237)+1,N(U8237))</f>
        <v/>
      </c>
      <c r="V8238" s="19">
        <f>IF($B8238="","",TEXT($B8238,"0000"))</f>
        <v/>
      </c>
      <c r="W8238" s="19">
        <f>IF($I8238="","",IF(ISNUMBER($I8238),TEXT($I8238,"0"),$I8238))</f>
        <v/>
      </c>
    </row>
    <row r="8239">
      <c r="B8239" s="25" t="n"/>
      <c r="I8239" s="25" t="n"/>
      <c r="U8239" s="19">
        <f>IF(AND($V8239='設定'!$C$4,COUNTIF('商品マスタ'!$B$6:$B$1005,$W8239)=0),N(U8238)+1,N(U8238))</f>
        <v/>
      </c>
      <c r="V8239" s="19">
        <f>IF($B8239="","",TEXT($B8239,"0000"))</f>
        <v/>
      </c>
      <c r="W8239" s="19">
        <f>IF($I8239="","",IF(ISNUMBER($I8239),TEXT($I8239,"0"),$I8239))</f>
        <v/>
      </c>
    </row>
    <row r="8240">
      <c r="B8240" s="25" t="n"/>
      <c r="I8240" s="25" t="n"/>
      <c r="U8240" s="19">
        <f>IF(AND($V8240='設定'!$C$4,COUNTIF('商品マスタ'!$B$6:$B$1005,$W8240)=0),N(U8239)+1,N(U8239))</f>
        <v/>
      </c>
      <c r="V8240" s="19">
        <f>IF($B8240="","",TEXT($B8240,"0000"))</f>
        <v/>
      </c>
      <c r="W8240" s="19">
        <f>IF($I8240="","",IF(ISNUMBER($I8240),TEXT($I8240,"0"),$I8240))</f>
        <v/>
      </c>
    </row>
    <row r="8241">
      <c r="B8241" s="25" t="n"/>
      <c r="I8241" s="25" t="n"/>
      <c r="U8241" s="19">
        <f>IF(AND($V8241='設定'!$C$4,COUNTIF('商品マスタ'!$B$6:$B$1005,$W8241)=0),N(U8240)+1,N(U8240))</f>
        <v/>
      </c>
      <c r="V8241" s="19">
        <f>IF($B8241="","",TEXT($B8241,"0000"))</f>
        <v/>
      </c>
      <c r="W8241" s="19">
        <f>IF($I8241="","",IF(ISNUMBER($I8241),TEXT($I8241,"0"),$I8241))</f>
        <v/>
      </c>
    </row>
    <row r="8242">
      <c r="B8242" s="25" t="n"/>
      <c r="I8242" s="25" t="n"/>
      <c r="U8242" s="19">
        <f>IF(AND($V8242='設定'!$C$4,COUNTIF('商品マスタ'!$B$6:$B$1005,$W8242)=0),N(U8241)+1,N(U8241))</f>
        <v/>
      </c>
      <c r="V8242" s="19">
        <f>IF($B8242="","",TEXT($B8242,"0000"))</f>
        <v/>
      </c>
      <c r="W8242" s="19">
        <f>IF($I8242="","",IF(ISNUMBER($I8242),TEXT($I8242,"0"),$I8242))</f>
        <v/>
      </c>
    </row>
    <row r="8243">
      <c r="B8243" s="25" t="n"/>
      <c r="I8243" s="25" t="n"/>
      <c r="U8243" s="19">
        <f>IF(AND($V8243='設定'!$C$4,COUNTIF('商品マスタ'!$B$6:$B$1005,$W8243)=0),N(U8242)+1,N(U8242))</f>
        <v/>
      </c>
      <c r="V8243" s="19">
        <f>IF($B8243="","",TEXT($B8243,"0000"))</f>
        <v/>
      </c>
      <c r="W8243" s="19">
        <f>IF($I8243="","",IF(ISNUMBER($I8243),TEXT($I8243,"0"),$I8243))</f>
        <v/>
      </c>
    </row>
    <row r="8244">
      <c r="B8244" s="25" t="n"/>
      <c r="I8244" s="25" t="n"/>
      <c r="U8244" s="19">
        <f>IF(AND($V8244='設定'!$C$4,COUNTIF('商品マスタ'!$B$6:$B$1005,$W8244)=0),N(U8243)+1,N(U8243))</f>
        <v/>
      </c>
      <c r="V8244" s="19">
        <f>IF($B8244="","",TEXT($B8244,"0000"))</f>
        <v/>
      </c>
      <c r="W8244" s="19">
        <f>IF($I8244="","",IF(ISNUMBER($I8244),TEXT($I8244,"0"),$I8244))</f>
        <v/>
      </c>
    </row>
    <row r="8245">
      <c r="B8245" s="25" t="n"/>
      <c r="I8245" s="25" t="n"/>
      <c r="U8245" s="19">
        <f>IF(AND($V8245='設定'!$C$4,COUNTIF('商品マスタ'!$B$6:$B$1005,$W8245)=0),N(U8244)+1,N(U8244))</f>
        <v/>
      </c>
      <c r="V8245" s="19">
        <f>IF($B8245="","",TEXT($B8245,"0000"))</f>
        <v/>
      </c>
      <c r="W8245" s="19">
        <f>IF($I8245="","",IF(ISNUMBER($I8245),TEXT($I8245,"0"),$I8245))</f>
        <v/>
      </c>
    </row>
    <row r="8246">
      <c r="B8246" s="25" t="n"/>
      <c r="I8246" s="25" t="n"/>
      <c r="U8246" s="19">
        <f>IF(AND($V8246='設定'!$C$4,COUNTIF('商品マスタ'!$B$6:$B$1005,$W8246)=0),N(U8245)+1,N(U8245))</f>
        <v/>
      </c>
      <c r="V8246" s="19">
        <f>IF($B8246="","",TEXT($B8246,"0000"))</f>
        <v/>
      </c>
      <c r="W8246" s="19">
        <f>IF($I8246="","",IF(ISNUMBER($I8246),TEXT($I8246,"0"),$I8246))</f>
        <v/>
      </c>
    </row>
    <row r="8247">
      <c r="B8247" s="25" t="n"/>
      <c r="I8247" s="25" t="n"/>
      <c r="U8247" s="19">
        <f>IF(AND($V8247='設定'!$C$4,COUNTIF('商品マスタ'!$B$6:$B$1005,$W8247)=0),N(U8246)+1,N(U8246))</f>
        <v/>
      </c>
      <c r="V8247" s="19">
        <f>IF($B8247="","",TEXT($B8247,"0000"))</f>
        <v/>
      </c>
      <c r="W8247" s="19">
        <f>IF($I8247="","",IF(ISNUMBER($I8247),TEXT($I8247,"0"),$I8247))</f>
        <v/>
      </c>
    </row>
    <row r="8248">
      <c r="B8248" s="25" t="n"/>
      <c r="I8248" s="25" t="n"/>
      <c r="U8248" s="19">
        <f>IF(AND($V8248='設定'!$C$4,COUNTIF('商品マスタ'!$B$6:$B$1005,$W8248)=0),N(U8247)+1,N(U8247))</f>
        <v/>
      </c>
      <c r="V8248" s="19">
        <f>IF($B8248="","",TEXT($B8248,"0000"))</f>
        <v/>
      </c>
      <c r="W8248" s="19">
        <f>IF($I8248="","",IF(ISNUMBER($I8248),TEXT($I8248,"0"),$I8248))</f>
        <v/>
      </c>
    </row>
    <row r="8249">
      <c r="B8249" s="25" t="n"/>
      <c r="I8249" s="25" t="n"/>
      <c r="U8249" s="19">
        <f>IF(AND($V8249='設定'!$C$4,COUNTIF('商品マスタ'!$B$6:$B$1005,$W8249)=0),N(U8248)+1,N(U8248))</f>
        <v/>
      </c>
      <c r="V8249" s="19">
        <f>IF($B8249="","",TEXT($B8249,"0000"))</f>
        <v/>
      </c>
      <c r="W8249" s="19">
        <f>IF($I8249="","",IF(ISNUMBER($I8249),TEXT($I8249,"0"),$I8249))</f>
        <v/>
      </c>
    </row>
    <row r="8250">
      <c r="B8250" s="25" t="n"/>
      <c r="I8250" s="25" t="n"/>
      <c r="U8250" s="19">
        <f>IF(AND($V8250='設定'!$C$4,COUNTIF('商品マスタ'!$B$6:$B$1005,$W8250)=0),N(U8249)+1,N(U8249))</f>
        <v/>
      </c>
      <c r="V8250" s="19">
        <f>IF($B8250="","",TEXT($B8250,"0000"))</f>
        <v/>
      </c>
      <c r="W8250" s="19">
        <f>IF($I8250="","",IF(ISNUMBER($I8250),TEXT($I8250,"0"),$I8250))</f>
        <v/>
      </c>
    </row>
    <row r="8251">
      <c r="B8251" s="25" t="n"/>
      <c r="I8251" s="25" t="n"/>
      <c r="U8251" s="19">
        <f>IF(AND($V8251='設定'!$C$4,COUNTIF('商品マスタ'!$B$6:$B$1005,$W8251)=0),N(U8250)+1,N(U8250))</f>
        <v/>
      </c>
      <c r="V8251" s="19">
        <f>IF($B8251="","",TEXT($B8251,"0000"))</f>
        <v/>
      </c>
      <c r="W8251" s="19">
        <f>IF($I8251="","",IF(ISNUMBER($I8251),TEXT($I8251,"0"),$I8251))</f>
        <v/>
      </c>
    </row>
    <row r="8252">
      <c r="B8252" s="25" t="n"/>
      <c r="I8252" s="25" t="n"/>
      <c r="U8252" s="19">
        <f>IF(AND($V8252='設定'!$C$4,COUNTIF('商品マスタ'!$B$6:$B$1005,$W8252)=0),N(U8251)+1,N(U8251))</f>
        <v/>
      </c>
      <c r="V8252" s="19">
        <f>IF($B8252="","",TEXT($B8252,"0000"))</f>
        <v/>
      </c>
      <c r="W8252" s="19">
        <f>IF($I8252="","",IF(ISNUMBER($I8252),TEXT($I8252,"0"),$I8252))</f>
        <v/>
      </c>
    </row>
    <row r="8253">
      <c r="B8253" s="25" t="n"/>
      <c r="I8253" s="25" t="n"/>
      <c r="U8253" s="19">
        <f>IF(AND($V8253='設定'!$C$4,COUNTIF('商品マスタ'!$B$6:$B$1005,$W8253)=0),N(U8252)+1,N(U8252))</f>
        <v/>
      </c>
      <c r="V8253" s="19">
        <f>IF($B8253="","",TEXT($B8253,"0000"))</f>
        <v/>
      </c>
      <c r="W8253" s="19">
        <f>IF($I8253="","",IF(ISNUMBER($I8253),TEXT($I8253,"0"),$I8253))</f>
        <v/>
      </c>
    </row>
    <row r="8254">
      <c r="B8254" s="25" t="n"/>
      <c r="I8254" s="25" t="n"/>
      <c r="U8254" s="19">
        <f>IF(AND($V8254='設定'!$C$4,COUNTIF('商品マスタ'!$B$6:$B$1005,$W8254)=0),N(U8253)+1,N(U8253))</f>
        <v/>
      </c>
      <c r="V8254" s="19">
        <f>IF($B8254="","",TEXT($B8254,"0000"))</f>
        <v/>
      </c>
      <c r="W8254" s="19">
        <f>IF($I8254="","",IF(ISNUMBER($I8254),TEXT($I8254,"0"),$I8254))</f>
        <v/>
      </c>
    </row>
    <row r="8255">
      <c r="B8255" s="25" t="n"/>
      <c r="I8255" s="25" t="n"/>
      <c r="U8255" s="19">
        <f>IF(AND($V8255='設定'!$C$4,COUNTIF('商品マスタ'!$B$6:$B$1005,$W8255)=0),N(U8254)+1,N(U8254))</f>
        <v/>
      </c>
      <c r="V8255" s="19">
        <f>IF($B8255="","",TEXT($B8255,"0000"))</f>
        <v/>
      </c>
      <c r="W8255" s="19">
        <f>IF($I8255="","",IF(ISNUMBER($I8255),TEXT($I8255,"0"),$I8255))</f>
        <v/>
      </c>
    </row>
    <row r="8256">
      <c r="B8256" s="25" t="n"/>
      <c r="I8256" s="25" t="n"/>
      <c r="U8256" s="19">
        <f>IF(AND($V8256='設定'!$C$4,COUNTIF('商品マスタ'!$B$6:$B$1005,$W8256)=0),N(U8255)+1,N(U8255))</f>
        <v/>
      </c>
      <c r="V8256" s="19">
        <f>IF($B8256="","",TEXT($B8256,"0000"))</f>
        <v/>
      </c>
      <c r="W8256" s="19">
        <f>IF($I8256="","",IF(ISNUMBER($I8256),TEXT($I8256,"0"),$I8256))</f>
        <v/>
      </c>
    </row>
    <row r="8257">
      <c r="B8257" s="25" t="n"/>
      <c r="I8257" s="25" t="n"/>
      <c r="U8257" s="19">
        <f>IF(AND($V8257='設定'!$C$4,COUNTIF('商品マスタ'!$B$6:$B$1005,$W8257)=0),N(U8256)+1,N(U8256))</f>
        <v/>
      </c>
      <c r="V8257" s="19">
        <f>IF($B8257="","",TEXT($B8257,"0000"))</f>
        <v/>
      </c>
      <c r="W8257" s="19">
        <f>IF($I8257="","",IF(ISNUMBER($I8257),TEXT($I8257,"0"),$I8257))</f>
        <v/>
      </c>
    </row>
    <row r="8258">
      <c r="B8258" s="25" t="n"/>
      <c r="I8258" s="25" t="n"/>
      <c r="U8258" s="19">
        <f>IF(AND($V8258='設定'!$C$4,COUNTIF('商品マスタ'!$B$6:$B$1005,$W8258)=0),N(U8257)+1,N(U8257))</f>
        <v/>
      </c>
      <c r="V8258" s="19">
        <f>IF($B8258="","",TEXT($B8258,"0000"))</f>
        <v/>
      </c>
      <c r="W8258" s="19">
        <f>IF($I8258="","",IF(ISNUMBER($I8258),TEXT($I8258,"0"),$I8258))</f>
        <v/>
      </c>
    </row>
    <row r="8259">
      <c r="B8259" s="25" t="n"/>
      <c r="I8259" s="25" t="n"/>
      <c r="U8259" s="19">
        <f>IF(AND($V8259='設定'!$C$4,COUNTIF('商品マスタ'!$B$6:$B$1005,$W8259)=0),N(U8258)+1,N(U8258))</f>
        <v/>
      </c>
      <c r="V8259" s="19">
        <f>IF($B8259="","",TEXT($B8259,"0000"))</f>
        <v/>
      </c>
      <c r="W8259" s="19">
        <f>IF($I8259="","",IF(ISNUMBER($I8259),TEXT($I8259,"0"),$I8259))</f>
        <v/>
      </c>
    </row>
    <row r="8260">
      <c r="B8260" s="25" t="n"/>
      <c r="I8260" s="25" t="n"/>
      <c r="U8260" s="19">
        <f>IF(AND($V8260='設定'!$C$4,COUNTIF('商品マスタ'!$B$6:$B$1005,$W8260)=0),N(U8259)+1,N(U8259))</f>
        <v/>
      </c>
      <c r="V8260" s="19">
        <f>IF($B8260="","",TEXT($B8260,"0000"))</f>
        <v/>
      </c>
      <c r="W8260" s="19">
        <f>IF($I8260="","",IF(ISNUMBER($I8260),TEXT($I8260,"0"),$I8260))</f>
        <v/>
      </c>
    </row>
    <row r="8261">
      <c r="B8261" s="25" t="n"/>
      <c r="I8261" s="25" t="n"/>
      <c r="U8261" s="19">
        <f>IF(AND($V8261='設定'!$C$4,COUNTIF('商品マスタ'!$B$6:$B$1005,$W8261)=0),N(U8260)+1,N(U8260))</f>
        <v/>
      </c>
      <c r="V8261" s="19">
        <f>IF($B8261="","",TEXT($B8261,"0000"))</f>
        <v/>
      </c>
      <c r="W8261" s="19">
        <f>IF($I8261="","",IF(ISNUMBER($I8261),TEXT($I8261,"0"),$I8261))</f>
        <v/>
      </c>
    </row>
    <row r="8262">
      <c r="B8262" s="25" t="n"/>
      <c r="I8262" s="25" t="n"/>
      <c r="U8262" s="19">
        <f>IF(AND($V8262='設定'!$C$4,COUNTIF('商品マスタ'!$B$6:$B$1005,$W8262)=0),N(U8261)+1,N(U8261))</f>
        <v/>
      </c>
      <c r="V8262" s="19">
        <f>IF($B8262="","",TEXT($B8262,"0000"))</f>
        <v/>
      </c>
      <c r="W8262" s="19">
        <f>IF($I8262="","",IF(ISNUMBER($I8262),TEXT($I8262,"0"),$I8262))</f>
        <v/>
      </c>
    </row>
    <row r="8263">
      <c r="B8263" s="25" t="n"/>
      <c r="I8263" s="25" t="n"/>
      <c r="U8263" s="19">
        <f>IF(AND($V8263='設定'!$C$4,COUNTIF('商品マスタ'!$B$6:$B$1005,$W8263)=0),N(U8262)+1,N(U8262))</f>
        <v/>
      </c>
      <c r="V8263" s="19">
        <f>IF($B8263="","",TEXT($B8263,"0000"))</f>
        <v/>
      </c>
      <c r="W8263" s="19">
        <f>IF($I8263="","",IF(ISNUMBER($I8263),TEXT($I8263,"0"),$I8263))</f>
        <v/>
      </c>
    </row>
    <row r="8264">
      <c r="B8264" s="25" t="n"/>
      <c r="I8264" s="25" t="n"/>
      <c r="U8264" s="19">
        <f>IF(AND($V8264='設定'!$C$4,COUNTIF('商品マスタ'!$B$6:$B$1005,$W8264)=0),N(U8263)+1,N(U8263))</f>
        <v/>
      </c>
      <c r="V8264" s="19">
        <f>IF($B8264="","",TEXT($B8264,"0000"))</f>
        <v/>
      </c>
      <c r="W8264" s="19">
        <f>IF($I8264="","",IF(ISNUMBER($I8264),TEXT($I8264,"0"),$I8264))</f>
        <v/>
      </c>
    </row>
    <row r="8265">
      <c r="B8265" s="25" t="n"/>
      <c r="I8265" s="25" t="n"/>
      <c r="U8265" s="19">
        <f>IF(AND($V8265='設定'!$C$4,COUNTIF('商品マスタ'!$B$6:$B$1005,$W8265)=0),N(U8264)+1,N(U8264))</f>
        <v/>
      </c>
      <c r="V8265" s="19">
        <f>IF($B8265="","",TEXT($B8265,"0000"))</f>
        <v/>
      </c>
      <c r="W8265" s="19">
        <f>IF($I8265="","",IF(ISNUMBER($I8265),TEXT($I8265,"0"),$I8265))</f>
        <v/>
      </c>
    </row>
    <row r="8266">
      <c r="B8266" s="25" t="n"/>
      <c r="I8266" s="25" t="n"/>
      <c r="U8266" s="19">
        <f>IF(AND($V8266='設定'!$C$4,COUNTIF('商品マスタ'!$B$6:$B$1005,$W8266)=0),N(U8265)+1,N(U8265))</f>
        <v/>
      </c>
      <c r="V8266" s="19">
        <f>IF($B8266="","",TEXT($B8266,"0000"))</f>
        <v/>
      </c>
      <c r="W8266" s="19">
        <f>IF($I8266="","",IF(ISNUMBER($I8266),TEXT($I8266,"0"),$I8266))</f>
        <v/>
      </c>
    </row>
    <row r="8267">
      <c r="B8267" s="25" t="n"/>
      <c r="I8267" s="25" t="n"/>
      <c r="U8267" s="19">
        <f>IF(AND($V8267='設定'!$C$4,COUNTIF('商品マスタ'!$B$6:$B$1005,$W8267)=0),N(U8266)+1,N(U8266))</f>
        <v/>
      </c>
      <c r="V8267" s="19">
        <f>IF($B8267="","",TEXT($B8267,"0000"))</f>
        <v/>
      </c>
      <c r="W8267" s="19">
        <f>IF($I8267="","",IF(ISNUMBER($I8267),TEXT($I8267,"0"),$I8267))</f>
        <v/>
      </c>
    </row>
    <row r="8268">
      <c r="B8268" s="25" t="n"/>
      <c r="I8268" s="25" t="n"/>
      <c r="U8268" s="19">
        <f>IF(AND($V8268='設定'!$C$4,COUNTIF('商品マスタ'!$B$6:$B$1005,$W8268)=0),N(U8267)+1,N(U8267))</f>
        <v/>
      </c>
      <c r="V8268" s="19">
        <f>IF($B8268="","",TEXT($B8268,"0000"))</f>
        <v/>
      </c>
      <c r="W8268" s="19">
        <f>IF($I8268="","",IF(ISNUMBER($I8268),TEXT($I8268,"0"),$I8268))</f>
        <v/>
      </c>
    </row>
    <row r="8269">
      <c r="B8269" s="25" t="n"/>
      <c r="I8269" s="25" t="n"/>
      <c r="U8269" s="19">
        <f>IF(AND($V8269='設定'!$C$4,COUNTIF('商品マスタ'!$B$6:$B$1005,$W8269)=0),N(U8268)+1,N(U8268))</f>
        <v/>
      </c>
      <c r="V8269" s="19">
        <f>IF($B8269="","",TEXT($B8269,"0000"))</f>
        <v/>
      </c>
      <c r="W8269" s="19">
        <f>IF($I8269="","",IF(ISNUMBER($I8269),TEXT($I8269,"0"),$I8269))</f>
        <v/>
      </c>
    </row>
    <row r="8270">
      <c r="B8270" s="25" t="n"/>
      <c r="I8270" s="25" t="n"/>
      <c r="U8270" s="19">
        <f>IF(AND($V8270='設定'!$C$4,COUNTIF('商品マスタ'!$B$6:$B$1005,$W8270)=0),N(U8269)+1,N(U8269))</f>
        <v/>
      </c>
      <c r="V8270" s="19">
        <f>IF($B8270="","",TEXT($B8270,"0000"))</f>
        <v/>
      </c>
      <c r="W8270" s="19">
        <f>IF($I8270="","",IF(ISNUMBER($I8270),TEXT($I8270,"0"),$I8270))</f>
        <v/>
      </c>
    </row>
    <row r="8271">
      <c r="B8271" s="25" t="n"/>
      <c r="I8271" s="25" t="n"/>
      <c r="U8271" s="19">
        <f>IF(AND($V8271='設定'!$C$4,COUNTIF('商品マスタ'!$B$6:$B$1005,$W8271)=0),N(U8270)+1,N(U8270))</f>
        <v/>
      </c>
      <c r="V8271" s="19">
        <f>IF($B8271="","",TEXT($B8271,"0000"))</f>
        <v/>
      </c>
      <c r="W8271" s="19">
        <f>IF($I8271="","",IF(ISNUMBER($I8271),TEXT($I8271,"0"),$I8271))</f>
        <v/>
      </c>
    </row>
    <row r="8272">
      <c r="B8272" s="25" t="n"/>
      <c r="I8272" s="25" t="n"/>
      <c r="U8272" s="19">
        <f>IF(AND($V8272='設定'!$C$4,COUNTIF('商品マスタ'!$B$6:$B$1005,$W8272)=0),N(U8271)+1,N(U8271))</f>
        <v/>
      </c>
      <c r="V8272" s="19">
        <f>IF($B8272="","",TEXT($B8272,"0000"))</f>
        <v/>
      </c>
      <c r="W8272" s="19">
        <f>IF($I8272="","",IF(ISNUMBER($I8272),TEXT($I8272,"0"),$I8272))</f>
        <v/>
      </c>
    </row>
    <row r="8273">
      <c r="B8273" s="25" t="n"/>
      <c r="I8273" s="25" t="n"/>
      <c r="U8273" s="19">
        <f>IF(AND($V8273='設定'!$C$4,COUNTIF('商品マスタ'!$B$6:$B$1005,$W8273)=0),N(U8272)+1,N(U8272))</f>
        <v/>
      </c>
      <c r="V8273" s="19">
        <f>IF($B8273="","",TEXT($B8273,"0000"))</f>
        <v/>
      </c>
      <c r="W8273" s="19">
        <f>IF($I8273="","",IF(ISNUMBER($I8273),TEXT($I8273,"0"),$I8273))</f>
        <v/>
      </c>
    </row>
    <row r="8274">
      <c r="B8274" s="25" t="n"/>
      <c r="I8274" s="25" t="n"/>
      <c r="U8274" s="19">
        <f>IF(AND($V8274='設定'!$C$4,COUNTIF('商品マスタ'!$B$6:$B$1005,$W8274)=0),N(U8273)+1,N(U8273))</f>
        <v/>
      </c>
      <c r="V8274" s="19">
        <f>IF($B8274="","",TEXT($B8274,"0000"))</f>
        <v/>
      </c>
      <c r="W8274" s="19">
        <f>IF($I8274="","",IF(ISNUMBER($I8274),TEXT($I8274,"0"),$I8274))</f>
        <v/>
      </c>
    </row>
    <row r="8275">
      <c r="B8275" s="25" t="n"/>
      <c r="I8275" s="25" t="n"/>
      <c r="U8275" s="19">
        <f>IF(AND($V8275='設定'!$C$4,COUNTIF('商品マスタ'!$B$6:$B$1005,$W8275)=0),N(U8274)+1,N(U8274))</f>
        <v/>
      </c>
      <c r="V8275" s="19">
        <f>IF($B8275="","",TEXT($B8275,"0000"))</f>
        <v/>
      </c>
      <c r="W8275" s="19">
        <f>IF($I8275="","",IF(ISNUMBER($I8275),TEXT($I8275,"0"),$I8275))</f>
        <v/>
      </c>
    </row>
    <row r="8276">
      <c r="B8276" s="25" t="n"/>
      <c r="I8276" s="25" t="n"/>
      <c r="U8276" s="19">
        <f>IF(AND($V8276='設定'!$C$4,COUNTIF('商品マスタ'!$B$6:$B$1005,$W8276)=0),N(U8275)+1,N(U8275))</f>
        <v/>
      </c>
      <c r="V8276" s="19">
        <f>IF($B8276="","",TEXT($B8276,"0000"))</f>
        <v/>
      </c>
      <c r="W8276" s="19">
        <f>IF($I8276="","",IF(ISNUMBER($I8276),TEXT($I8276,"0"),$I8276))</f>
        <v/>
      </c>
    </row>
    <row r="8277">
      <c r="B8277" s="25" t="n"/>
      <c r="I8277" s="25" t="n"/>
      <c r="U8277" s="19">
        <f>IF(AND($V8277='設定'!$C$4,COUNTIF('商品マスタ'!$B$6:$B$1005,$W8277)=0),N(U8276)+1,N(U8276))</f>
        <v/>
      </c>
      <c r="V8277" s="19">
        <f>IF($B8277="","",TEXT($B8277,"0000"))</f>
        <v/>
      </c>
      <c r="W8277" s="19">
        <f>IF($I8277="","",IF(ISNUMBER($I8277),TEXT($I8277,"0"),$I8277))</f>
        <v/>
      </c>
    </row>
    <row r="8278">
      <c r="B8278" s="25" t="n"/>
      <c r="I8278" s="25" t="n"/>
      <c r="U8278" s="19">
        <f>IF(AND($V8278='設定'!$C$4,COUNTIF('商品マスタ'!$B$6:$B$1005,$W8278)=0),N(U8277)+1,N(U8277))</f>
        <v/>
      </c>
      <c r="V8278" s="19">
        <f>IF($B8278="","",TEXT($B8278,"0000"))</f>
        <v/>
      </c>
      <c r="W8278" s="19">
        <f>IF($I8278="","",IF(ISNUMBER($I8278),TEXT($I8278,"0"),$I8278))</f>
        <v/>
      </c>
    </row>
    <row r="8279">
      <c r="B8279" s="25" t="n"/>
      <c r="I8279" s="25" t="n"/>
      <c r="U8279" s="19">
        <f>IF(AND($V8279='設定'!$C$4,COUNTIF('商品マスタ'!$B$6:$B$1005,$W8279)=0),N(U8278)+1,N(U8278))</f>
        <v/>
      </c>
      <c r="V8279" s="19">
        <f>IF($B8279="","",TEXT($B8279,"0000"))</f>
        <v/>
      </c>
      <c r="W8279" s="19">
        <f>IF($I8279="","",IF(ISNUMBER($I8279),TEXT($I8279,"0"),$I8279))</f>
        <v/>
      </c>
    </row>
    <row r="8280">
      <c r="B8280" s="25" t="n"/>
      <c r="I8280" s="25" t="n"/>
      <c r="U8280" s="19">
        <f>IF(AND($V8280='設定'!$C$4,COUNTIF('商品マスタ'!$B$6:$B$1005,$W8280)=0),N(U8279)+1,N(U8279))</f>
        <v/>
      </c>
      <c r="V8280" s="19">
        <f>IF($B8280="","",TEXT($B8280,"0000"))</f>
        <v/>
      </c>
      <c r="W8280" s="19">
        <f>IF($I8280="","",IF(ISNUMBER($I8280),TEXT($I8280,"0"),$I8280))</f>
        <v/>
      </c>
    </row>
    <row r="8281">
      <c r="B8281" s="25" t="n"/>
      <c r="I8281" s="25" t="n"/>
      <c r="U8281" s="19">
        <f>IF(AND($V8281='設定'!$C$4,COUNTIF('商品マスタ'!$B$6:$B$1005,$W8281)=0),N(U8280)+1,N(U8280))</f>
        <v/>
      </c>
      <c r="V8281" s="19">
        <f>IF($B8281="","",TEXT($B8281,"0000"))</f>
        <v/>
      </c>
      <c r="W8281" s="19">
        <f>IF($I8281="","",IF(ISNUMBER($I8281),TEXT($I8281,"0"),$I8281))</f>
        <v/>
      </c>
    </row>
    <row r="8282">
      <c r="B8282" s="25" t="n"/>
      <c r="I8282" s="25" t="n"/>
      <c r="U8282" s="19">
        <f>IF(AND($V8282='設定'!$C$4,COUNTIF('商品マスタ'!$B$6:$B$1005,$W8282)=0),N(U8281)+1,N(U8281))</f>
        <v/>
      </c>
      <c r="V8282" s="19">
        <f>IF($B8282="","",TEXT($B8282,"0000"))</f>
        <v/>
      </c>
      <c r="W8282" s="19">
        <f>IF($I8282="","",IF(ISNUMBER($I8282),TEXT($I8282,"0"),$I8282))</f>
        <v/>
      </c>
    </row>
    <row r="8283">
      <c r="B8283" s="25" t="n"/>
      <c r="I8283" s="25" t="n"/>
      <c r="U8283" s="19">
        <f>IF(AND($V8283='設定'!$C$4,COUNTIF('商品マスタ'!$B$6:$B$1005,$W8283)=0),N(U8282)+1,N(U8282))</f>
        <v/>
      </c>
      <c r="V8283" s="19">
        <f>IF($B8283="","",TEXT($B8283,"0000"))</f>
        <v/>
      </c>
      <c r="W8283" s="19">
        <f>IF($I8283="","",IF(ISNUMBER($I8283),TEXT($I8283,"0"),$I8283))</f>
        <v/>
      </c>
    </row>
    <row r="8284">
      <c r="B8284" s="25" t="n"/>
      <c r="I8284" s="25" t="n"/>
      <c r="U8284" s="19">
        <f>IF(AND($V8284='設定'!$C$4,COUNTIF('商品マスタ'!$B$6:$B$1005,$W8284)=0),N(U8283)+1,N(U8283))</f>
        <v/>
      </c>
      <c r="V8284" s="19">
        <f>IF($B8284="","",TEXT($B8284,"0000"))</f>
        <v/>
      </c>
      <c r="W8284" s="19">
        <f>IF($I8284="","",IF(ISNUMBER($I8284),TEXT($I8284,"0"),$I8284))</f>
        <v/>
      </c>
    </row>
    <row r="8285">
      <c r="B8285" s="25" t="n"/>
      <c r="I8285" s="25" t="n"/>
      <c r="U8285" s="19">
        <f>IF(AND($V8285='設定'!$C$4,COUNTIF('商品マスタ'!$B$6:$B$1005,$W8285)=0),N(U8284)+1,N(U8284))</f>
        <v/>
      </c>
      <c r="V8285" s="19">
        <f>IF($B8285="","",TEXT($B8285,"0000"))</f>
        <v/>
      </c>
      <c r="W8285" s="19">
        <f>IF($I8285="","",IF(ISNUMBER($I8285),TEXT($I8285,"0"),$I8285))</f>
        <v/>
      </c>
    </row>
    <row r="8286">
      <c r="B8286" s="25" t="n"/>
      <c r="I8286" s="25" t="n"/>
      <c r="U8286" s="19">
        <f>IF(AND($V8286='設定'!$C$4,COUNTIF('商品マスタ'!$B$6:$B$1005,$W8286)=0),N(U8285)+1,N(U8285))</f>
        <v/>
      </c>
      <c r="V8286" s="19">
        <f>IF($B8286="","",TEXT($B8286,"0000"))</f>
        <v/>
      </c>
      <c r="W8286" s="19">
        <f>IF($I8286="","",IF(ISNUMBER($I8286),TEXT($I8286,"0"),$I8286))</f>
        <v/>
      </c>
    </row>
    <row r="8287">
      <c r="B8287" s="25" t="n"/>
      <c r="I8287" s="25" t="n"/>
      <c r="U8287" s="19">
        <f>IF(AND($V8287='設定'!$C$4,COUNTIF('商品マスタ'!$B$6:$B$1005,$W8287)=0),N(U8286)+1,N(U8286))</f>
        <v/>
      </c>
      <c r="V8287" s="19">
        <f>IF($B8287="","",TEXT($B8287,"0000"))</f>
        <v/>
      </c>
      <c r="W8287" s="19">
        <f>IF($I8287="","",IF(ISNUMBER($I8287),TEXT($I8287,"0"),$I8287))</f>
        <v/>
      </c>
    </row>
    <row r="8288">
      <c r="B8288" s="25" t="n"/>
      <c r="I8288" s="25" t="n"/>
      <c r="U8288" s="19">
        <f>IF(AND($V8288='設定'!$C$4,COUNTIF('商品マスタ'!$B$6:$B$1005,$W8288)=0),N(U8287)+1,N(U8287))</f>
        <v/>
      </c>
      <c r="V8288" s="19">
        <f>IF($B8288="","",TEXT($B8288,"0000"))</f>
        <v/>
      </c>
      <c r="W8288" s="19">
        <f>IF($I8288="","",IF(ISNUMBER($I8288),TEXT($I8288,"0"),$I8288))</f>
        <v/>
      </c>
    </row>
    <row r="8289">
      <c r="B8289" s="25" t="n"/>
      <c r="I8289" s="25" t="n"/>
      <c r="U8289" s="19">
        <f>IF(AND($V8289='設定'!$C$4,COUNTIF('商品マスタ'!$B$6:$B$1005,$W8289)=0),N(U8288)+1,N(U8288))</f>
        <v/>
      </c>
      <c r="V8289" s="19">
        <f>IF($B8289="","",TEXT($B8289,"0000"))</f>
        <v/>
      </c>
      <c r="W8289" s="19">
        <f>IF($I8289="","",IF(ISNUMBER($I8289),TEXT($I8289,"0"),$I8289))</f>
        <v/>
      </c>
    </row>
    <row r="8290">
      <c r="B8290" s="25" t="n"/>
      <c r="I8290" s="25" t="n"/>
      <c r="U8290" s="19">
        <f>IF(AND($V8290='設定'!$C$4,COUNTIF('商品マスタ'!$B$6:$B$1005,$W8290)=0),N(U8289)+1,N(U8289))</f>
        <v/>
      </c>
      <c r="V8290" s="19">
        <f>IF($B8290="","",TEXT($B8290,"0000"))</f>
        <v/>
      </c>
      <c r="W8290" s="19">
        <f>IF($I8290="","",IF(ISNUMBER($I8290),TEXT($I8290,"0"),$I8290))</f>
        <v/>
      </c>
    </row>
    <row r="8291">
      <c r="B8291" s="25" t="n"/>
      <c r="I8291" s="25" t="n"/>
      <c r="U8291" s="19">
        <f>IF(AND($V8291='設定'!$C$4,COUNTIF('商品マスタ'!$B$6:$B$1005,$W8291)=0),N(U8290)+1,N(U8290))</f>
        <v/>
      </c>
      <c r="V8291" s="19">
        <f>IF($B8291="","",TEXT($B8291,"0000"))</f>
        <v/>
      </c>
      <c r="W8291" s="19">
        <f>IF($I8291="","",IF(ISNUMBER($I8291),TEXT($I8291,"0"),$I8291))</f>
        <v/>
      </c>
    </row>
    <row r="8292">
      <c r="B8292" s="25" t="n"/>
      <c r="I8292" s="25" t="n"/>
      <c r="U8292" s="19">
        <f>IF(AND($V8292='設定'!$C$4,COUNTIF('商品マスタ'!$B$6:$B$1005,$W8292)=0),N(U8291)+1,N(U8291))</f>
        <v/>
      </c>
      <c r="V8292" s="19">
        <f>IF($B8292="","",TEXT($B8292,"0000"))</f>
        <v/>
      </c>
      <c r="W8292" s="19">
        <f>IF($I8292="","",IF(ISNUMBER($I8292),TEXT($I8292,"0"),$I8292))</f>
        <v/>
      </c>
    </row>
    <row r="8293">
      <c r="B8293" s="25" t="n"/>
      <c r="I8293" s="25" t="n"/>
      <c r="U8293" s="19">
        <f>IF(AND($V8293='設定'!$C$4,COUNTIF('商品マスタ'!$B$6:$B$1005,$W8293)=0),N(U8292)+1,N(U8292))</f>
        <v/>
      </c>
      <c r="V8293" s="19">
        <f>IF($B8293="","",TEXT($B8293,"0000"))</f>
        <v/>
      </c>
      <c r="W8293" s="19">
        <f>IF($I8293="","",IF(ISNUMBER($I8293),TEXT($I8293,"0"),$I8293))</f>
        <v/>
      </c>
    </row>
    <row r="8294">
      <c r="B8294" s="25" t="n"/>
      <c r="I8294" s="25" t="n"/>
      <c r="U8294" s="19">
        <f>IF(AND($V8294='設定'!$C$4,COUNTIF('商品マスタ'!$B$6:$B$1005,$W8294)=0),N(U8293)+1,N(U8293))</f>
        <v/>
      </c>
      <c r="V8294" s="19">
        <f>IF($B8294="","",TEXT($B8294,"0000"))</f>
        <v/>
      </c>
      <c r="W8294" s="19">
        <f>IF($I8294="","",IF(ISNUMBER($I8294),TEXT($I8294,"0"),$I8294))</f>
        <v/>
      </c>
    </row>
    <row r="8295">
      <c r="B8295" s="25" t="n"/>
      <c r="I8295" s="25" t="n"/>
      <c r="U8295" s="19">
        <f>IF(AND($V8295='設定'!$C$4,COUNTIF('商品マスタ'!$B$6:$B$1005,$W8295)=0),N(U8294)+1,N(U8294))</f>
        <v/>
      </c>
      <c r="V8295" s="19">
        <f>IF($B8295="","",TEXT($B8295,"0000"))</f>
        <v/>
      </c>
      <c r="W8295" s="19">
        <f>IF($I8295="","",IF(ISNUMBER($I8295),TEXT($I8295,"0"),$I8295))</f>
        <v/>
      </c>
    </row>
    <row r="8296">
      <c r="B8296" s="25" t="n"/>
      <c r="I8296" s="25" t="n"/>
      <c r="U8296" s="19">
        <f>IF(AND($V8296='設定'!$C$4,COUNTIF('商品マスタ'!$B$6:$B$1005,$W8296)=0),N(U8295)+1,N(U8295))</f>
        <v/>
      </c>
      <c r="V8296" s="19">
        <f>IF($B8296="","",TEXT($B8296,"0000"))</f>
        <v/>
      </c>
      <c r="W8296" s="19">
        <f>IF($I8296="","",IF(ISNUMBER($I8296),TEXT($I8296,"0"),$I8296))</f>
        <v/>
      </c>
    </row>
    <row r="8297">
      <c r="B8297" s="25" t="n"/>
      <c r="I8297" s="25" t="n"/>
      <c r="U8297" s="19">
        <f>IF(AND($V8297='設定'!$C$4,COUNTIF('商品マスタ'!$B$6:$B$1005,$W8297)=0),N(U8296)+1,N(U8296))</f>
        <v/>
      </c>
      <c r="V8297" s="19">
        <f>IF($B8297="","",TEXT($B8297,"0000"))</f>
        <v/>
      </c>
      <c r="W8297" s="19">
        <f>IF($I8297="","",IF(ISNUMBER($I8297),TEXT($I8297,"0"),$I8297))</f>
        <v/>
      </c>
    </row>
    <row r="8298">
      <c r="B8298" s="25" t="n"/>
      <c r="I8298" s="25" t="n"/>
      <c r="U8298" s="19">
        <f>IF(AND($V8298='設定'!$C$4,COUNTIF('商品マスタ'!$B$6:$B$1005,$W8298)=0),N(U8297)+1,N(U8297))</f>
        <v/>
      </c>
      <c r="V8298" s="19">
        <f>IF($B8298="","",TEXT($B8298,"0000"))</f>
        <v/>
      </c>
      <c r="W8298" s="19">
        <f>IF($I8298="","",IF(ISNUMBER($I8298),TEXT($I8298,"0"),$I8298))</f>
        <v/>
      </c>
    </row>
    <row r="8299">
      <c r="B8299" s="25" t="n"/>
      <c r="I8299" s="25" t="n"/>
      <c r="U8299" s="19">
        <f>IF(AND($V8299='設定'!$C$4,COUNTIF('商品マスタ'!$B$6:$B$1005,$W8299)=0),N(U8298)+1,N(U8298))</f>
        <v/>
      </c>
      <c r="V8299" s="19">
        <f>IF($B8299="","",TEXT($B8299,"0000"))</f>
        <v/>
      </c>
      <c r="W8299" s="19">
        <f>IF($I8299="","",IF(ISNUMBER($I8299),TEXT($I8299,"0"),$I8299))</f>
        <v/>
      </c>
    </row>
    <row r="8300">
      <c r="B8300" s="25" t="n"/>
      <c r="I8300" s="25" t="n"/>
      <c r="U8300" s="19">
        <f>IF(AND($V8300='設定'!$C$4,COUNTIF('商品マスタ'!$B$6:$B$1005,$W8300)=0),N(U8299)+1,N(U8299))</f>
        <v/>
      </c>
      <c r="V8300" s="19">
        <f>IF($B8300="","",TEXT($B8300,"0000"))</f>
        <v/>
      </c>
      <c r="W8300" s="19">
        <f>IF($I8300="","",IF(ISNUMBER($I8300),TEXT($I8300,"0"),$I8300))</f>
        <v/>
      </c>
    </row>
    <row r="8301">
      <c r="B8301" s="25" t="n"/>
      <c r="I8301" s="25" t="n"/>
      <c r="U8301" s="19">
        <f>IF(AND($V8301='設定'!$C$4,COUNTIF('商品マスタ'!$B$6:$B$1005,$W8301)=0),N(U8300)+1,N(U8300))</f>
        <v/>
      </c>
      <c r="V8301" s="19">
        <f>IF($B8301="","",TEXT($B8301,"0000"))</f>
        <v/>
      </c>
      <c r="W8301" s="19">
        <f>IF($I8301="","",IF(ISNUMBER($I8301),TEXT($I8301,"0"),$I8301))</f>
        <v/>
      </c>
    </row>
    <row r="8302">
      <c r="B8302" s="25" t="n"/>
      <c r="I8302" s="25" t="n"/>
      <c r="U8302" s="19">
        <f>IF(AND($V8302='設定'!$C$4,COUNTIF('商品マスタ'!$B$6:$B$1005,$W8302)=0),N(U8301)+1,N(U8301))</f>
        <v/>
      </c>
      <c r="V8302" s="19">
        <f>IF($B8302="","",TEXT($B8302,"0000"))</f>
        <v/>
      </c>
      <c r="W8302" s="19">
        <f>IF($I8302="","",IF(ISNUMBER($I8302),TEXT($I8302,"0"),$I8302))</f>
        <v/>
      </c>
    </row>
    <row r="8303">
      <c r="B8303" s="25" t="n"/>
      <c r="I8303" s="25" t="n"/>
      <c r="U8303" s="19">
        <f>IF(AND($V8303='設定'!$C$4,COUNTIF('商品マスタ'!$B$6:$B$1005,$W8303)=0),N(U8302)+1,N(U8302))</f>
        <v/>
      </c>
      <c r="V8303" s="19">
        <f>IF($B8303="","",TEXT($B8303,"0000"))</f>
        <v/>
      </c>
      <c r="W8303" s="19">
        <f>IF($I8303="","",IF(ISNUMBER($I8303),TEXT($I8303,"0"),$I8303))</f>
        <v/>
      </c>
    </row>
    <row r="8304">
      <c r="B8304" s="25" t="n"/>
      <c r="I8304" s="25" t="n"/>
      <c r="U8304" s="19">
        <f>IF(AND($V8304='設定'!$C$4,COUNTIF('商品マスタ'!$B$6:$B$1005,$W8304)=0),N(U8303)+1,N(U8303))</f>
        <v/>
      </c>
      <c r="V8304" s="19">
        <f>IF($B8304="","",TEXT($B8304,"0000"))</f>
        <v/>
      </c>
      <c r="W8304" s="19">
        <f>IF($I8304="","",IF(ISNUMBER($I8304),TEXT($I8304,"0"),$I8304))</f>
        <v/>
      </c>
    </row>
    <row r="8305">
      <c r="B8305" s="25" t="n"/>
      <c r="I8305" s="25" t="n"/>
      <c r="U8305" s="19">
        <f>IF(AND($V8305='設定'!$C$4,COUNTIF('商品マスタ'!$B$6:$B$1005,$W8305)=0),N(U8304)+1,N(U8304))</f>
        <v/>
      </c>
      <c r="V8305" s="19">
        <f>IF($B8305="","",TEXT($B8305,"0000"))</f>
        <v/>
      </c>
      <c r="W8305" s="19">
        <f>IF($I8305="","",IF(ISNUMBER($I8305),TEXT($I8305,"0"),$I8305))</f>
        <v/>
      </c>
    </row>
    <row r="8306">
      <c r="B8306" s="25" t="n"/>
      <c r="I8306" s="25" t="n"/>
      <c r="U8306" s="19">
        <f>IF(AND($V8306='設定'!$C$4,COUNTIF('商品マスタ'!$B$6:$B$1005,$W8306)=0),N(U8305)+1,N(U8305))</f>
        <v/>
      </c>
      <c r="V8306" s="19">
        <f>IF($B8306="","",TEXT($B8306,"0000"))</f>
        <v/>
      </c>
      <c r="W8306" s="19">
        <f>IF($I8306="","",IF(ISNUMBER($I8306),TEXT($I8306,"0"),$I8306))</f>
        <v/>
      </c>
    </row>
    <row r="8307">
      <c r="B8307" s="25" t="n"/>
      <c r="I8307" s="25" t="n"/>
      <c r="U8307" s="19">
        <f>IF(AND($V8307='設定'!$C$4,COUNTIF('商品マスタ'!$B$6:$B$1005,$W8307)=0),N(U8306)+1,N(U8306))</f>
        <v/>
      </c>
      <c r="V8307" s="19">
        <f>IF($B8307="","",TEXT($B8307,"0000"))</f>
        <v/>
      </c>
      <c r="W8307" s="19">
        <f>IF($I8307="","",IF(ISNUMBER($I8307),TEXT($I8307,"0"),$I8307))</f>
        <v/>
      </c>
    </row>
    <row r="8308">
      <c r="B8308" s="25" t="n"/>
      <c r="I8308" s="25" t="n"/>
      <c r="U8308" s="19">
        <f>IF(AND($V8308='設定'!$C$4,COUNTIF('商品マスタ'!$B$6:$B$1005,$W8308)=0),N(U8307)+1,N(U8307))</f>
        <v/>
      </c>
      <c r="V8308" s="19">
        <f>IF($B8308="","",TEXT($B8308,"0000"))</f>
        <v/>
      </c>
      <c r="W8308" s="19">
        <f>IF($I8308="","",IF(ISNUMBER($I8308),TEXT($I8308,"0"),$I8308))</f>
        <v/>
      </c>
    </row>
    <row r="8309">
      <c r="B8309" s="25" t="n"/>
      <c r="I8309" s="25" t="n"/>
      <c r="U8309" s="19">
        <f>IF(AND($V8309='設定'!$C$4,COUNTIF('商品マスタ'!$B$6:$B$1005,$W8309)=0),N(U8308)+1,N(U8308))</f>
        <v/>
      </c>
      <c r="V8309" s="19">
        <f>IF($B8309="","",TEXT($B8309,"0000"))</f>
        <v/>
      </c>
      <c r="W8309" s="19">
        <f>IF($I8309="","",IF(ISNUMBER($I8309),TEXT($I8309,"0"),$I8309))</f>
        <v/>
      </c>
    </row>
    <row r="8310">
      <c r="B8310" s="25" t="n"/>
      <c r="I8310" s="25" t="n"/>
      <c r="U8310" s="19">
        <f>IF(AND($V8310='設定'!$C$4,COUNTIF('商品マスタ'!$B$6:$B$1005,$W8310)=0),N(U8309)+1,N(U8309))</f>
        <v/>
      </c>
      <c r="V8310" s="19">
        <f>IF($B8310="","",TEXT($B8310,"0000"))</f>
        <v/>
      </c>
      <c r="W8310" s="19">
        <f>IF($I8310="","",IF(ISNUMBER($I8310),TEXT($I8310,"0"),$I8310))</f>
        <v/>
      </c>
    </row>
    <row r="8311">
      <c r="B8311" s="25" t="n"/>
      <c r="I8311" s="25" t="n"/>
      <c r="U8311" s="19">
        <f>IF(AND($V8311='設定'!$C$4,COUNTIF('商品マスタ'!$B$6:$B$1005,$W8311)=0),N(U8310)+1,N(U8310))</f>
        <v/>
      </c>
      <c r="V8311" s="19">
        <f>IF($B8311="","",TEXT($B8311,"0000"))</f>
        <v/>
      </c>
      <c r="W8311" s="19">
        <f>IF($I8311="","",IF(ISNUMBER($I8311),TEXT($I8311,"0"),$I8311))</f>
        <v/>
      </c>
    </row>
    <row r="8312">
      <c r="B8312" s="25" t="n"/>
      <c r="I8312" s="25" t="n"/>
      <c r="U8312" s="19">
        <f>IF(AND($V8312='設定'!$C$4,COUNTIF('商品マスタ'!$B$6:$B$1005,$W8312)=0),N(U8311)+1,N(U8311))</f>
        <v/>
      </c>
      <c r="V8312" s="19">
        <f>IF($B8312="","",TEXT($B8312,"0000"))</f>
        <v/>
      </c>
      <c r="W8312" s="19">
        <f>IF($I8312="","",IF(ISNUMBER($I8312),TEXT($I8312,"0"),$I8312))</f>
        <v/>
      </c>
    </row>
    <row r="8313">
      <c r="B8313" s="25" t="n"/>
      <c r="I8313" s="25" t="n"/>
      <c r="U8313" s="19">
        <f>IF(AND($V8313='設定'!$C$4,COUNTIF('商品マスタ'!$B$6:$B$1005,$W8313)=0),N(U8312)+1,N(U8312))</f>
        <v/>
      </c>
      <c r="V8313" s="19">
        <f>IF($B8313="","",TEXT($B8313,"0000"))</f>
        <v/>
      </c>
      <c r="W8313" s="19">
        <f>IF($I8313="","",IF(ISNUMBER($I8313),TEXT($I8313,"0"),$I8313))</f>
        <v/>
      </c>
    </row>
    <row r="8314">
      <c r="B8314" s="25" t="n"/>
      <c r="I8314" s="25" t="n"/>
      <c r="U8314" s="19">
        <f>IF(AND($V8314='設定'!$C$4,COUNTIF('商品マスタ'!$B$6:$B$1005,$W8314)=0),N(U8313)+1,N(U8313))</f>
        <v/>
      </c>
      <c r="V8314" s="19">
        <f>IF($B8314="","",TEXT($B8314,"0000"))</f>
        <v/>
      </c>
      <c r="W8314" s="19">
        <f>IF($I8314="","",IF(ISNUMBER($I8314),TEXT($I8314,"0"),$I8314))</f>
        <v/>
      </c>
    </row>
    <row r="8315">
      <c r="B8315" s="25" t="n"/>
      <c r="I8315" s="25" t="n"/>
      <c r="U8315" s="19">
        <f>IF(AND($V8315='設定'!$C$4,COUNTIF('商品マスタ'!$B$6:$B$1005,$W8315)=0),N(U8314)+1,N(U8314))</f>
        <v/>
      </c>
      <c r="V8315" s="19">
        <f>IF($B8315="","",TEXT($B8315,"0000"))</f>
        <v/>
      </c>
      <c r="W8315" s="19">
        <f>IF($I8315="","",IF(ISNUMBER($I8315),TEXT($I8315,"0"),$I8315))</f>
        <v/>
      </c>
    </row>
    <row r="8316">
      <c r="B8316" s="25" t="n"/>
      <c r="I8316" s="25" t="n"/>
      <c r="U8316" s="19">
        <f>IF(AND($V8316='設定'!$C$4,COUNTIF('商品マスタ'!$B$6:$B$1005,$W8316)=0),N(U8315)+1,N(U8315))</f>
        <v/>
      </c>
      <c r="V8316" s="19">
        <f>IF($B8316="","",TEXT($B8316,"0000"))</f>
        <v/>
      </c>
      <c r="W8316" s="19">
        <f>IF($I8316="","",IF(ISNUMBER($I8316),TEXT($I8316,"0"),$I8316))</f>
        <v/>
      </c>
    </row>
    <row r="8317">
      <c r="B8317" s="25" t="n"/>
      <c r="I8317" s="25" t="n"/>
      <c r="U8317" s="19">
        <f>IF(AND($V8317='設定'!$C$4,COUNTIF('商品マスタ'!$B$6:$B$1005,$W8317)=0),N(U8316)+1,N(U8316))</f>
        <v/>
      </c>
      <c r="V8317" s="19">
        <f>IF($B8317="","",TEXT($B8317,"0000"))</f>
        <v/>
      </c>
      <c r="W8317" s="19">
        <f>IF($I8317="","",IF(ISNUMBER($I8317),TEXT($I8317,"0"),$I8317))</f>
        <v/>
      </c>
    </row>
    <row r="8318">
      <c r="B8318" s="25" t="n"/>
      <c r="I8318" s="25" t="n"/>
      <c r="U8318" s="19">
        <f>IF(AND($V8318='設定'!$C$4,COUNTIF('商品マスタ'!$B$6:$B$1005,$W8318)=0),N(U8317)+1,N(U8317))</f>
        <v/>
      </c>
      <c r="V8318" s="19">
        <f>IF($B8318="","",TEXT($B8318,"0000"))</f>
        <v/>
      </c>
      <c r="W8318" s="19">
        <f>IF($I8318="","",IF(ISNUMBER($I8318),TEXT($I8318,"0"),$I8318))</f>
        <v/>
      </c>
    </row>
    <row r="8319">
      <c r="B8319" s="25" t="n"/>
      <c r="I8319" s="25" t="n"/>
      <c r="U8319" s="19">
        <f>IF(AND($V8319='設定'!$C$4,COUNTIF('商品マスタ'!$B$6:$B$1005,$W8319)=0),N(U8318)+1,N(U8318))</f>
        <v/>
      </c>
      <c r="V8319" s="19">
        <f>IF($B8319="","",TEXT($B8319,"0000"))</f>
        <v/>
      </c>
      <c r="W8319" s="19">
        <f>IF($I8319="","",IF(ISNUMBER($I8319),TEXT($I8319,"0"),$I8319))</f>
        <v/>
      </c>
    </row>
    <row r="8320">
      <c r="B8320" s="25" t="n"/>
      <c r="I8320" s="25" t="n"/>
      <c r="U8320" s="19">
        <f>IF(AND($V8320='設定'!$C$4,COUNTIF('商品マスタ'!$B$6:$B$1005,$W8320)=0),N(U8319)+1,N(U8319))</f>
        <v/>
      </c>
      <c r="V8320" s="19">
        <f>IF($B8320="","",TEXT($B8320,"0000"))</f>
        <v/>
      </c>
      <c r="W8320" s="19">
        <f>IF($I8320="","",IF(ISNUMBER($I8320),TEXT($I8320,"0"),$I8320))</f>
        <v/>
      </c>
    </row>
    <row r="8321">
      <c r="B8321" s="25" t="n"/>
      <c r="I8321" s="25" t="n"/>
      <c r="U8321" s="19">
        <f>IF(AND($V8321='設定'!$C$4,COUNTIF('商品マスタ'!$B$6:$B$1005,$W8321)=0),N(U8320)+1,N(U8320))</f>
        <v/>
      </c>
      <c r="V8321" s="19">
        <f>IF($B8321="","",TEXT($B8321,"0000"))</f>
        <v/>
      </c>
      <c r="W8321" s="19">
        <f>IF($I8321="","",IF(ISNUMBER($I8321),TEXT($I8321,"0"),$I8321))</f>
        <v/>
      </c>
    </row>
    <row r="8322">
      <c r="B8322" s="25" t="n"/>
      <c r="I8322" s="25" t="n"/>
      <c r="U8322" s="19">
        <f>IF(AND($V8322='設定'!$C$4,COUNTIF('商品マスタ'!$B$6:$B$1005,$W8322)=0),N(U8321)+1,N(U8321))</f>
        <v/>
      </c>
      <c r="V8322" s="19">
        <f>IF($B8322="","",TEXT($B8322,"0000"))</f>
        <v/>
      </c>
      <c r="W8322" s="19">
        <f>IF($I8322="","",IF(ISNUMBER($I8322),TEXT($I8322,"0"),$I8322))</f>
        <v/>
      </c>
    </row>
    <row r="8323">
      <c r="B8323" s="25" t="n"/>
      <c r="I8323" s="25" t="n"/>
      <c r="U8323" s="19">
        <f>IF(AND($V8323='設定'!$C$4,COUNTIF('商品マスタ'!$B$6:$B$1005,$W8323)=0),N(U8322)+1,N(U8322))</f>
        <v/>
      </c>
      <c r="V8323" s="19">
        <f>IF($B8323="","",TEXT($B8323,"0000"))</f>
        <v/>
      </c>
      <c r="W8323" s="19">
        <f>IF($I8323="","",IF(ISNUMBER($I8323),TEXT($I8323,"0"),$I8323))</f>
        <v/>
      </c>
    </row>
    <row r="8324">
      <c r="B8324" s="25" t="n"/>
      <c r="I8324" s="25" t="n"/>
      <c r="U8324" s="19">
        <f>IF(AND($V8324='設定'!$C$4,COUNTIF('商品マスタ'!$B$6:$B$1005,$W8324)=0),N(U8323)+1,N(U8323))</f>
        <v/>
      </c>
      <c r="V8324" s="19">
        <f>IF($B8324="","",TEXT($B8324,"0000"))</f>
        <v/>
      </c>
      <c r="W8324" s="19">
        <f>IF($I8324="","",IF(ISNUMBER($I8324),TEXT($I8324,"0"),$I8324))</f>
        <v/>
      </c>
    </row>
    <row r="8325">
      <c r="B8325" s="25" t="n"/>
      <c r="I8325" s="25" t="n"/>
      <c r="U8325" s="19">
        <f>IF(AND($V8325='設定'!$C$4,COUNTIF('商品マスタ'!$B$6:$B$1005,$W8325)=0),N(U8324)+1,N(U8324))</f>
        <v/>
      </c>
      <c r="V8325" s="19">
        <f>IF($B8325="","",TEXT($B8325,"0000"))</f>
        <v/>
      </c>
      <c r="W8325" s="19">
        <f>IF($I8325="","",IF(ISNUMBER($I8325),TEXT($I8325,"0"),$I8325))</f>
        <v/>
      </c>
    </row>
    <row r="8326">
      <c r="B8326" s="25" t="n"/>
      <c r="I8326" s="25" t="n"/>
      <c r="U8326" s="19">
        <f>IF(AND($V8326='設定'!$C$4,COUNTIF('商品マスタ'!$B$6:$B$1005,$W8326)=0),N(U8325)+1,N(U8325))</f>
        <v/>
      </c>
      <c r="V8326" s="19">
        <f>IF($B8326="","",TEXT($B8326,"0000"))</f>
        <v/>
      </c>
      <c r="W8326" s="19">
        <f>IF($I8326="","",IF(ISNUMBER($I8326),TEXT($I8326,"0"),$I8326))</f>
        <v/>
      </c>
    </row>
    <row r="8327">
      <c r="B8327" s="25" t="n"/>
      <c r="I8327" s="25" t="n"/>
      <c r="U8327" s="19">
        <f>IF(AND($V8327='設定'!$C$4,COUNTIF('商品マスタ'!$B$6:$B$1005,$W8327)=0),N(U8326)+1,N(U8326))</f>
        <v/>
      </c>
      <c r="V8327" s="19">
        <f>IF($B8327="","",TEXT($B8327,"0000"))</f>
        <v/>
      </c>
      <c r="W8327" s="19">
        <f>IF($I8327="","",IF(ISNUMBER($I8327),TEXT($I8327,"0"),$I8327))</f>
        <v/>
      </c>
    </row>
    <row r="8328">
      <c r="B8328" s="25" t="n"/>
      <c r="I8328" s="25" t="n"/>
      <c r="U8328" s="19">
        <f>IF(AND($V8328='設定'!$C$4,COUNTIF('商品マスタ'!$B$6:$B$1005,$W8328)=0),N(U8327)+1,N(U8327))</f>
        <v/>
      </c>
      <c r="V8328" s="19">
        <f>IF($B8328="","",TEXT($B8328,"0000"))</f>
        <v/>
      </c>
      <c r="W8328" s="19">
        <f>IF($I8328="","",IF(ISNUMBER($I8328),TEXT($I8328,"0"),$I8328))</f>
        <v/>
      </c>
    </row>
    <row r="8329">
      <c r="B8329" s="25" t="n"/>
      <c r="I8329" s="25" t="n"/>
      <c r="U8329" s="19">
        <f>IF(AND($V8329='設定'!$C$4,COUNTIF('商品マスタ'!$B$6:$B$1005,$W8329)=0),N(U8328)+1,N(U8328))</f>
        <v/>
      </c>
      <c r="V8329" s="19">
        <f>IF($B8329="","",TEXT($B8329,"0000"))</f>
        <v/>
      </c>
      <c r="W8329" s="19">
        <f>IF($I8329="","",IF(ISNUMBER($I8329),TEXT($I8329,"0"),$I8329))</f>
        <v/>
      </c>
    </row>
    <row r="8330">
      <c r="B8330" s="25" t="n"/>
      <c r="I8330" s="25" t="n"/>
      <c r="U8330" s="19">
        <f>IF(AND($V8330='設定'!$C$4,COUNTIF('商品マスタ'!$B$6:$B$1005,$W8330)=0),N(U8329)+1,N(U8329))</f>
        <v/>
      </c>
      <c r="V8330" s="19">
        <f>IF($B8330="","",TEXT($B8330,"0000"))</f>
        <v/>
      </c>
      <c r="W8330" s="19">
        <f>IF($I8330="","",IF(ISNUMBER($I8330),TEXT($I8330,"0"),$I8330))</f>
        <v/>
      </c>
    </row>
    <row r="8331">
      <c r="B8331" s="25" t="n"/>
      <c r="I8331" s="25" t="n"/>
      <c r="U8331" s="19">
        <f>IF(AND($V8331='設定'!$C$4,COUNTIF('商品マスタ'!$B$6:$B$1005,$W8331)=0),N(U8330)+1,N(U8330))</f>
        <v/>
      </c>
      <c r="V8331" s="19">
        <f>IF($B8331="","",TEXT($B8331,"0000"))</f>
        <v/>
      </c>
      <c r="W8331" s="19">
        <f>IF($I8331="","",IF(ISNUMBER($I8331),TEXT($I8331,"0"),$I8331))</f>
        <v/>
      </c>
    </row>
    <row r="8332">
      <c r="B8332" s="25" t="n"/>
      <c r="I8332" s="25" t="n"/>
      <c r="U8332" s="19">
        <f>IF(AND($V8332='設定'!$C$4,COUNTIF('商品マスタ'!$B$6:$B$1005,$W8332)=0),N(U8331)+1,N(U8331))</f>
        <v/>
      </c>
      <c r="V8332" s="19">
        <f>IF($B8332="","",TEXT($B8332,"0000"))</f>
        <v/>
      </c>
      <c r="W8332" s="19">
        <f>IF($I8332="","",IF(ISNUMBER($I8332),TEXT($I8332,"0"),$I8332))</f>
        <v/>
      </c>
    </row>
    <row r="8333">
      <c r="B8333" s="25" t="n"/>
      <c r="I8333" s="25" t="n"/>
      <c r="U8333" s="19">
        <f>IF(AND($V8333='設定'!$C$4,COUNTIF('商品マスタ'!$B$6:$B$1005,$W8333)=0),N(U8332)+1,N(U8332))</f>
        <v/>
      </c>
      <c r="V8333" s="19">
        <f>IF($B8333="","",TEXT($B8333,"0000"))</f>
        <v/>
      </c>
      <c r="W8333" s="19">
        <f>IF($I8333="","",IF(ISNUMBER($I8333),TEXT($I8333,"0"),$I8333))</f>
        <v/>
      </c>
    </row>
    <row r="8334">
      <c r="B8334" s="25" t="n"/>
      <c r="I8334" s="25" t="n"/>
      <c r="U8334" s="19">
        <f>IF(AND($V8334='設定'!$C$4,COUNTIF('商品マスタ'!$B$6:$B$1005,$W8334)=0),N(U8333)+1,N(U8333))</f>
        <v/>
      </c>
      <c r="V8334" s="19">
        <f>IF($B8334="","",TEXT($B8334,"0000"))</f>
        <v/>
      </c>
      <c r="W8334" s="19">
        <f>IF($I8334="","",IF(ISNUMBER($I8334),TEXT($I8334,"0"),$I8334))</f>
        <v/>
      </c>
    </row>
    <row r="8335">
      <c r="B8335" s="25" t="n"/>
      <c r="I8335" s="25" t="n"/>
      <c r="U8335" s="19">
        <f>IF(AND($V8335='設定'!$C$4,COUNTIF('商品マスタ'!$B$6:$B$1005,$W8335)=0),N(U8334)+1,N(U8334))</f>
        <v/>
      </c>
      <c r="V8335" s="19">
        <f>IF($B8335="","",TEXT($B8335,"0000"))</f>
        <v/>
      </c>
      <c r="W8335" s="19">
        <f>IF($I8335="","",IF(ISNUMBER($I8335),TEXT($I8335,"0"),$I8335))</f>
        <v/>
      </c>
    </row>
    <row r="8336">
      <c r="B8336" s="25" t="n"/>
      <c r="I8336" s="25" t="n"/>
      <c r="U8336" s="19">
        <f>IF(AND($V8336='設定'!$C$4,COUNTIF('商品マスタ'!$B$6:$B$1005,$W8336)=0),N(U8335)+1,N(U8335))</f>
        <v/>
      </c>
      <c r="V8336" s="19">
        <f>IF($B8336="","",TEXT($B8336,"0000"))</f>
        <v/>
      </c>
      <c r="W8336" s="19">
        <f>IF($I8336="","",IF(ISNUMBER($I8336),TEXT($I8336,"0"),$I8336))</f>
        <v/>
      </c>
    </row>
    <row r="8337">
      <c r="B8337" s="25" t="n"/>
      <c r="I8337" s="25" t="n"/>
      <c r="U8337" s="19">
        <f>IF(AND($V8337='設定'!$C$4,COUNTIF('商品マスタ'!$B$6:$B$1005,$W8337)=0),N(U8336)+1,N(U8336))</f>
        <v/>
      </c>
      <c r="V8337" s="19">
        <f>IF($B8337="","",TEXT($B8337,"0000"))</f>
        <v/>
      </c>
      <c r="W8337" s="19">
        <f>IF($I8337="","",IF(ISNUMBER($I8337),TEXT($I8337,"0"),$I8337))</f>
        <v/>
      </c>
    </row>
    <row r="8338">
      <c r="B8338" s="25" t="n"/>
      <c r="I8338" s="25" t="n"/>
      <c r="U8338" s="19">
        <f>IF(AND($V8338='設定'!$C$4,COUNTIF('商品マスタ'!$B$6:$B$1005,$W8338)=0),N(U8337)+1,N(U8337))</f>
        <v/>
      </c>
      <c r="V8338" s="19">
        <f>IF($B8338="","",TEXT($B8338,"0000"))</f>
        <v/>
      </c>
      <c r="W8338" s="19">
        <f>IF($I8338="","",IF(ISNUMBER($I8338),TEXT($I8338,"0"),$I8338))</f>
        <v/>
      </c>
    </row>
    <row r="8339">
      <c r="B8339" s="25" t="n"/>
      <c r="I8339" s="25" t="n"/>
      <c r="U8339" s="19">
        <f>IF(AND($V8339='設定'!$C$4,COUNTIF('商品マスタ'!$B$6:$B$1005,$W8339)=0),N(U8338)+1,N(U8338))</f>
        <v/>
      </c>
      <c r="V8339" s="19">
        <f>IF($B8339="","",TEXT($B8339,"0000"))</f>
        <v/>
      </c>
      <c r="W8339" s="19">
        <f>IF($I8339="","",IF(ISNUMBER($I8339),TEXT($I8339,"0"),$I8339))</f>
        <v/>
      </c>
    </row>
    <row r="8340">
      <c r="B8340" s="25" t="n"/>
      <c r="I8340" s="25" t="n"/>
      <c r="U8340" s="19">
        <f>IF(AND($V8340='設定'!$C$4,COUNTIF('商品マスタ'!$B$6:$B$1005,$W8340)=0),N(U8339)+1,N(U8339))</f>
        <v/>
      </c>
      <c r="V8340" s="19">
        <f>IF($B8340="","",TEXT($B8340,"0000"))</f>
        <v/>
      </c>
      <c r="W8340" s="19">
        <f>IF($I8340="","",IF(ISNUMBER($I8340),TEXT($I8340,"0"),$I8340))</f>
        <v/>
      </c>
    </row>
    <row r="8341">
      <c r="B8341" s="25" t="n"/>
      <c r="I8341" s="25" t="n"/>
      <c r="U8341" s="19">
        <f>IF(AND($V8341='設定'!$C$4,COUNTIF('商品マスタ'!$B$6:$B$1005,$W8341)=0),N(U8340)+1,N(U8340))</f>
        <v/>
      </c>
      <c r="V8341" s="19">
        <f>IF($B8341="","",TEXT($B8341,"0000"))</f>
        <v/>
      </c>
      <c r="W8341" s="19">
        <f>IF($I8341="","",IF(ISNUMBER($I8341),TEXT($I8341,"0"),$I8341))</f>
        <v/>
      </c>
    </row>
    <row r="8342">
      <c r="B8342" s="25" t="n"/>
      <c r="I8342" s="25" t="n"/>
      <c r="U8342" s="19">
        <f>IF(AND($V8342='設定'!$C$4,COUNTIF('商品マスタ'!$B$6:$B$1005,$W8342)=0),N(U8341)+1,N(U8341))</f>
        <v/>
      </c>
      <c r="V8342" s="19">
        <f>IF($B8342="","",TEXT($B8342,"0000"))</f>
        <v/>
      </c>
      <c r="W8342" s="19">
        <f>IF($I8342="","",IF(ISNUMBER($I8342),TEXT($I8342,"0"),$I8342))</f>
        <v/>
      </c>
    </row>
    <row r="8343">
      <c r="B8343" s="25" t="n"/>
      <c r="I8343" s="25" t="n"/>
      <c r="U8343" s="19">
        <f>IF(AND($V8343='設定'!$C$4,COUNTIF('商品マスタ'!$B$6:$B$1005,$W8343)=0),N(U8342)+1,N(U8342))</f>
        <v/>
      </c>
      <c r="V8343" s="19">
        <f>IF($B8343="","",TEXT($B8343,"0000"))</f>
        <v/>
      </c>
      <c r="W8343" s="19">
        <f>IF($I8343="","",IF(ISNUMBER($I8343),TEXT($I8343,"0"),$I8343))</f>
        <v/>
      </c>
    </row>
    <row r="8344">
      <c r="B8344" s="25" t="n"/>
      <c r="I8344" s="25" t="n"/>
      <c r="U8344" s="19">
        <f>IF(AND($V8344='設定'!$C$4,COUNTIF('商品マスタ'!$B$6:$B$1005,$W8344)=0),N(U8343)+1,N(U8343))</f>
        <v/>
      </c>
      <c r="V8344" s="19">
        <f>IF($B8344="","",TEXT($B8344,"0000"))</f>
        <v/>
      </c>
      <c r="W8344" s="19">
        <f>IF($I8344="","",IF(ISNUMBER($I8344),TEXT($I8344,"0"),$I8344))</f>
        <v/>
      </c>
    </row>
    <row r="8345">
      <c r="B8345" s="25" t="n"/>
      <c r="I8345" s="25" t="n"/>
      <c r="U8345" s="19">
        <f>IF(AND($V8345='設定'!$C$4,COUNTIF('商品マスタ'!$B$6:$B$1005,$W8345)=0),N(U8344)+1,N(U8344))</f>
        <v/>
      </c>
      <c r="V8345" s="19">
        <f>IF($B8345="","",TEXT($B8345,"0000"))</f>
        <v/>
      </c>
      <c r="W8345" s="19">
        <f>IF($I8345="","",IF(ISNUMBER($I8345),TEXT($I8345,"0"),$I8345))</f>
        <v/>
      </c>
    </row>
    <row r="8346">
      <c r="B8346" s="25" t="n"/>
      <c r="I8346" s="25" t="n"/>
      <c r="U8346" s="19">
        <f>IF(AND($V8346='設定'!$C$4,COUNTIF('商品マスタ'!$B$6:$B$1005,$W8346)=0),N(U8345)+1,N(U8345))</f>
        <v/>
      </c>
      <c r="V8346" s="19">
        <f>IF($B8346="","",TEXT($B8346,"0000"))</f>
        <v/>
      </c>
      <c r="W8346" s="19">
        <f>IF($I8346="","",IF(ISNUMBER($I8346),TEXT($I8346,"0"),$I8346))</f>
        <v/>
      </c>
    </row>
    <row r="8347">
      <c r="B8347" s="25" t="n"/>
      <c r="I8347" s="25" t="n"/>
      <c r="U8347" s="19">
        <f>IF(AND($V8347='設定'!$C$4,COUNTIF('商品マスタ'!$B$6:$B$1005,$W8347)=0),N(U8346)+1,N(U8346))</f>
        <v/>
      </c>
      <c r="V8347" s="19">
        <f>IF($B8347="","",TEXT($B8347,"0000"))</f>
        <v/>
      </c>
      <c r="W8347" s="19">
        <f>IF($I8347="","",IF(ISNUMBER($I8347),TEXT($I8347,"0"),$I8347))</f>
        <v/>
      </c>
    </row>
    <row r="8348">
      <c r="B8348" s="25" t="n"/>
      <c r="I8348" s="25" t="n"/>
      <c r="U8348" s="19">
        <f>IF(AND($V8348='設定'!$C$4,COUNTIF('商品マスタ'!$B$6:$B$1005,$W8348)=0),N(U8347)+1,N(U8347))</f>
        <v/>
      </c>
      <c r="V8348" s="19">
        <f>IF($B8348="","",TEXT($B8348,"0000"))</f>
        <v/>
      </c>
      <c r="W8348" s="19">
        <f>IF($I8348="","",IF(ISNUMBER($I8348),TEXT($I8348,"0"),$I8348))</f>
        <v/>
      </c>
    </row>
    <row r="8349">
      <c r="B8349" s="25" t="n"/>
      <c r="I8349" s="25" t="n"/>
      <c r="U8349" s="19">
        <f>IF(AND($V8349='設定'!$C$4,COUNTIF('商品マスタ'!$B$6:$B$1005,$W8349)=0),N(U8348)+1,N(U8348))</f>
        <v/>
      </c>
      <c r="V8349" s="19">
        <f>IF($B8349="","",TEXT($B8349,"0000"))</f>
        <v/>
      </c>
      <c r="W8349" s="19">
        <f>IF($I8349="","",IF(ISNUMBER($I8349),TEXT($I8349,"0"),$I8349))</f>
        <v/>
      </c>
    </row>
    <row r="8350">
      <c r="B8350" s="25" t="n"/>
      <c r="I8350" s="25" t="n"/>
      <c r="U8350" s="19">
        <f>IF(AND($V8350='設定'!$C$4,COUNTIF('商品マスタ'!$B$6:$B$1005,$W8350)=0),N(U8349)+1,N(U8349))</f>
        <v/>
      </c>
      <c r="V8350" s="19">
        <f>IF($B8350="","",TEXT($B8350,"0000"))</f>
        <v/>
      </c>
      <c r="W8350" s="19">
        <f>IF($I8350="","",IF(ISNUMBER($I8350),TEXT($I8350,"0"),$I8350))</f>
        <v/>
      </c>
    </row>
    <row r="8351">
      <c r="B8351" s="25" t="n"/>
      <c r="I8351" s="25" t="n"/>
      <c r="U8351" s="19">
        <f>IF(AND($V8351='設定'!$C$4,COUNTIF('商品マスタ'!$B$6:$B$1005,$W8351)=0),N(U8350)+1,N(U8350))</f>
        <v/>
      </c>
      <c r="V8351" s="19">
        <f>IF($B8351="","",TEXT($B8351,"0000"))</f>
        <v/>
      </c>
      <c r="W8351" s="19">
        <f>IF($I8351="","",IF(ISNUMBER($I8351),TEXT($I8351,"0"),$I8351))</f>
        <v/>
      </c>
    </row>
    <row r="8352">
      <c r="B8352" s="25" t="n"/>
      <c r="I8352" s="25" t="n"/>
      <c r="U8352" s="19">
        <f>IF(AND($V8352='設定'!$C$4,COUNTIF('商品マスタ'!$B$6:$B$1005,$W8352)=0),N(U8351)+1,N(U8351))</f>
        <v/>
      </c>
      <c r="V8352" s="19">
        <f>IF($B8352="","",TEXT($B8352,"0000"))</f>
        <v/>
      </c>
      <c r="W8352" s="19">
        <f>IF($I8352="","",IF(ISNUMBER($I8352),TEXT($I8352,"0"),$I8352))</f>
        <v/>
      </c>
    </row>
    <row r="8353">
      <c r="B8353" s="25" t="n"/>
      <c r="I8353" s="25" t="n"/>
      <c r="U8353" s="19">
        <f>IF(AND($V8353='設定'!$C$4,COUNTIF('商品マスタ'!$B$6:$B$1005,$W8353)=0),N(U8352)+1,N(U8352))</f>
        <v/>
      </c>
      <c r="V8353" s="19">
        <f>IF($B8353="","",TEXT($B8353,"0000"))</f>
        <v/>
      </c>
      <c r="W8353" s="19">
        <f>IF($I8353="","",IF(ISNUMBER($I8353),TEXT($I8353,"0"),$I8353))</f>
        <v/>
      </c>
    </row>
    <row r="8354">
      <c r="B8354" s="25" t="n"/>
      <c r="I8354" s="25" t="n"/>
      <c r="U8354" s="19">
        <f>IF(AND($V8354='設定'!$C$4,COUNTIF('商品マスタ'!$B$6:$B$1005,$W8354)=0),N(U8353)+1,N(U8353))</f>
        <v/>
      </c>
      <c r="V8354" s="19">
        <f>IF($B8354="","",TEXT($B8354,"0000"))</f>
        <v/>
      </c>
      <c r="W8354" s="19">
        <f>IF($I8354="","",IF(ISNUMBER($I8354),TEXT($I8354,"0"),$I8354))</f>
        <v/>
      </c>
    </row>
    <row r="8355">
      <c r="B8355" s="25" t="n"/>
      <c r="I8355" s="25" t="n"/>
      <c r="U8355" s="19">
        <f>IF(AND($V8355='設定'!$C$4,COUNTIF('商品マスタ'!$B$6:$B$1005,$W8355)=0),N(U8354)+1,N(U8354))</f>
        <v/>
      </c>
      <c r="V8355" s="19">
        <f>IF($B8355="","",TEXT($B8355,"0000"))</f>
        <v/>
      </c>
      <c r="W8355" s="19">
        <f>IF($I8355="","",IF(ISNUMBER($I8355),TEXT($I8355,"0"),$I8355))</f>
        <v/>
      </c>
    </row>
    <row r="8356">
      <c r="B8356" s="25" t="n"/>
      <c r="I8356" s="25" t="n"/>
      <c r="U8356" s="19">
        <f>IF(AND($V8356='設定'!$C$4,COUNTIF('商品マスタ'!$B$6:$B$1005,$W8356)=0),N(U8355)+1,N(U8355))</f>
        <v/>
      </c>
      <c r="V8356" s="19">
        <f>IF($B8356="","",TEXT($B8356,"0000"))</f>
        <v/>
      </c>
      <c r="W8356" s="19">
        <f>IF($I8356="","",IF(ISNUMBER($I8356),TEXT($I8356,"0"),$I8356))</f>
        <v/>
      </c>
    </row>
    <row r="8357">
      <c r="B8357" s="25" t="n"/>
      <c r="I8357" s="25" t="n"/>
      <c r="U8357" s="19">
        <f>IF(AND($V8357='設定'!$C$4,COUNTIF('商品マスタ'!$B$6:$B$1005,$W8357)=0),N(U8356)+1,N(U8356))</f>
        <v/>
      </c>
      <c r="V8357" s="19">
        <f>IF($B8357="","",TEXT($B8357,"0000"))</f>
        <v/>
      </c>
      <c r="W8357" s="19">
        <f>IF($I8357="","",IF(ISNUMBER($I8357),TEXT($I8357,"0"),$I8357))</f>
        <v/>
      </c>
    </row>
    <row r="8358">
      <c r="B8358" s="25" t="n"/>
      <c r="I8358" s="25" t="n"/>
      <c r="U8358" s="19">
        <f>IF(AND($V8358='設定'!$C$4,COUNTIF('商品マスタ'!$B$6:$B$1005,$W8358)=0),N(U8357)+1,N(U8357))</f>
        <v/>
      </c>
      <c r="V8358" s="19">
        <f>IF($B8358="","",TEXT($B8358,"0000"))</f>
        <v/>
      </c>
      <c r="W8358" s="19">
        <f>IF($I8358="","",IF(ISNUMBER($I8358),TEXT($I8358,"0"),$I8358))</f>
        <v/>
      </c>
    </row>
    <row r="8359">
      <c r="B8359" s="25" t="n"/>
      <c r="I8359" s="25" t="n"/>
      <c r="U8359" s="19">
        <f>IF(AND($V8359='設定'!$C$4,COUNTIF('商品マスタ'!$B$6:$B$1005,$W8359)=0),N(U8358)+1,N(U8358))</f>
        <v/>
      </c>
      <c r="V8359" s="19">
        <f>IF($B8359="","",TEXT($B8359,"0000"))</f>
        <v/>
      </c>
      <c r="W8359" s="19">
        <f>IF($I8359="","",IF(ISNUMBER($I8359),TEXT($I8359,"0"),$I8359))</f>
        <v/>
      </c>
    </row>
    <row r="8360">
      <c r="B8360" s="25" t="n"/>
      <c r="I8360" s="25" t="n"/>
      <c r="U8360" s="19">
        <f>IF(AND($V8360='設定'!$C$4,COUNTIF('商品マスタ'!$B$6:$B$1005,$W8360)=0),N(U8359)+1,N(U8359))</f>
        <v/>
      </c>
      <c r="V8360" s="19">
        <f>IF($B8360="","",TEXT($B8360,"0000"))</f>
        <v/>
      </c>
      <c r="W8360" s="19">
        <f>IF($I8360="","",IF(ISNUMBER($I8360),TEXT($I8360,"0"),$I8360))</f>
        <v/>
      </c>
    </row>
    <row r="8361">
      <c r="B8361" s="25" t="n"/>
      <c r="I8361" s="25" t="n"/>
      <c r="U8361" s="19">
        <f>IF(AND($V8361='設定'!$C$4,COUNTIF('商品マスタ'!$B$6:$B$1005,$W8361)=0),N(U8360)+1,N(U8360))</f>
        <v/>
      </c>
      <c r="V8361" s="19">
        <f>IF($B8361="","",TEXT($B8361,"0000"))</f>
        <v/>
      </c>
      <c r="W8361" s="19">
        <f>IF($I8361="","",IF(ISNUMBER($I8361),TEXT($I8361,"0"),$I8361))</f>
        <v/>
      </c>
    </row>
    <row r="8362">
      <c r="B8362" s="25" t="n"/>
      <c r="I8362" s="25" t="n"/>
      <c r="U8362" s="19">
        <f>IF(AND($V8362='設定'!$C$4,COUNTIF('商品マスタ'!$B$6:$B$1005,$W8362)=0),N(U8361)+1,N(U8361))</f>
        <v/>
      </c>
      <c r="V8362" s="19">
        <f>IF($B8362="","",TEXT($B8362,"0000"))</f>
        <v/>
      </c>
      <c r="W8362" s="19">
        <f>IF($I8362="","",IF(ISNUMBER($I8362),TEXT($I8362,"0"),$I8362))</f>
        <v/>
      </c>
    </row>
    <row r="8363">
      <c r="B8363" s="25" t="n"/>
      <c r="I8363" s="25" t="n"/>
      <c r="U8363" s="19">
        <f>IF(AND($V8363='設定'!$C$4,COUNTIF('商品マスタ'!$B$6:$B$1005,$W8363)=0),N(U8362)+1,N(U8362))</f>
        <v/>
      </c>
      <c r="V8363" s="19">
        <f>IF($B8363="","",TEXT($B8363,"0000"))</f>
        <v/>
      </c>
      <c r="W8363" s="19">
        <f>IF($I8363="","",IF(ISNUMBER($I8363),TEXT($I8363,"0"),$I8363))</f>
        <v/>
      </c>
    </row>
    <row r="8364">
      <c r="B8364" s="25" t="n"/>
      <c r="I8364" s="25" t="n"/>
      <c r="U8364" s="19">
        <f>IF(AND($V8364='設定'!$C$4,COUNTIF('商品マスタ'!$B$6:$B$1005,$W8364)=0),N(U8363)+1,N(U8363))</f>
        <v/>
      </c>
      <c r="V8364" s="19">
        <f>IF($B8364="","",TEXT($B8364,"0000"))</f>
        <v/>
      </c>
      <c r="W8364" s="19">
        <f>IF($I8364="","",IF(ISNUMBER($I8364),TEXT($I8364,"0"),$I8364))</f>
        <v/>
      </c>
    </row>
    <row r="8365">
      <c r="B8365" s="25" t="n"/>
      <c r="I8365" s="25" t="n"/>
      <c r="U8365" s="19">
        <f>IF(AND($V8365='設定'!$C$4,COUNTIF('商品マスタ'!$B$6:$B$1005,$W8365)=0),N(U8364)+1,N(U8364))</f>
        <v/>
      </c>
      <c r="V8365" s="19">
        <f>IF($B8365="","",TEXT($B8365,"0000"))</f>
        <v/>
      </c>
      <c r="W8365" s="19">
        <f>IF($I8365="","",IF(ISNUMBER($I8365),TEXT($I8365,"0"),$I8365))</f>
        <v/>
      </c>
    </row>
    <row r="8366">
      <c r="B8366" s="25" t="n"/>
      <c r="I8366" s="25" t="n"/>
      <c r="U8366" s="19">
        <f>IF(AND($V8366='設定'!$C$4,COUNTIF('商品マスタ'!$B$6:$B$1005,$W8366)=0),N(U8365)+1,N(U8365))</f>
        <v/>
      </c>
      <c r="V8366" s="19">
        <f>IF($B8366="","",TEXT($B8366,"0000"))</f>
        <v/>
      </c>
      <c r="W8366" s="19">
        <f>IF($I8366="","",IF(ISNUMBER($I8366),TEXT($I8366,"0"),$I8366))</f>
        <v/>
      </c>
    </row>
    <row r="8367">
      <c r="B8367" s="25" t="n"/>
      <c r="I8367" s="25" t="n"/>
      <c r="U8367" s="19">
        <f>IF(AND($V8367='設定'!$C$4,COUNTIF('商品マスタ'!$B$6:$B$1005,$W8367)=0),N(U8366)+1,N(U8366))</f>
        <v/>
      </c>
      <c r="V8367" s="19">
        <f>IF($B8367="","",TEXT($B8367,"0000"))</f>
        <v/>
      </c>
      <c r="W8367" s="19">
        <f>IF($I8367="","",IF(ISNUMBER($I8367),TEXT($I8367,"0"),$I8367))</f>
        <v/>
      </c>
    </row>
    <row r="8368">
      <c r="B8368" s="25" t="n"/>
      <c r="I8368" s="25" t="n"/>
      <c r="U8368" s="19">
        <f>IF(AND($V8368='設定'!$C$4,COUNTIF('商品マスタ'!$B$6:$B$1005,$W8368)=0),N(U8367)+1,N(U8367))</f>
        <v/>
      </c>
      <c r="V8368" s="19">
        <f>IF($B8368="","",TEXT($B8368,"0000"))</f>
        <v/>
      </c>
      <c r="W8368" s="19">
        <f>IF($I8368="","",IF(ISNUMBER($I8368),TEXT($I8368,"0"),$I8368))</f>
        <v/>
      </c>
    </row>
    <row r="8369">
      <c r="B8369" s="25" t="n"/>
      <c r="I8369" s="25" t="n"/>
      <c r="U8369" s="19">
        <f>IF(AND($V8369='設定'!$C$4,COUNTIF('商品マスタ'!$B$6:$B$1005,$W8369)=0),N(U8368)+1,N(U8368))</f>
        <v/>
      </c>
      <c r="V8369" s="19">
        <f>IF($B8369="","",TEXT($B8369,"0000"))</f>
        <v/>
      </c>
      <c r="W8369" s="19">
        <f>IF($I8369="","",IF(ISNUMBER($I8369),TEXT($I8369,"0"),$I8369))</f>
        <v/>
      </c>
    </row>
    <row r="8370">
      <c r="B8370" s="25" t="n"/>
      <c r="I8370" s="25" t="n"/>
      <c r="U8370" s="19">
        <f>IF(AND($V8370='設定'!$C$4,COUNTIF('商品マスタ'!$B$6:$B$1005,$W8370)=0),N(U8369)+1,N(U8369))</f>
        <v/>
      </c>
      <c r="V8370" s="19">
        <f>IF($B8370="","",TEXT($B8370,"0000"))</f>
        <v/>
      </c>
      <c r="W8370" s="19">
        <f>IF($I8370="","",IF(ISNUMBER($I8370),TEXT($I8370,"0"),$I8370))</f>
        <v/>
      </c>
    </row>
    <row r="8371">
      <c r="B8371" s="25" t="n"/>
      <c r="I8371" s="25" t="n"/>
      <c r="U8371" s="19">
        <f>IF(AND($V8371='設定'!$C$4,COUNTIF('商品マスタ'!$B$6:$B$1005,$W8371)=0),N(U8370)+1,N(U8370))</f>
        <v/>
      </c>
      <c r="V8371" s="19">
        <f>IF($B8371="","",TEXT($B8371,"0000"))</f>
        <v/>
      </c>
      <c r="W8371" s="19">
        <f>IF($I8371="","",IF(ISNUMBER($I8371),TEXT($I8371,"0"),$I8371))</f>
        <v/>
      </c>
    </row>
    <row r="8372">
      <c r="B8372" s="25" t="n"/>
      <c r="I8372" s="25" t="n"/>
      <c r="U8372" s="19">
        <f>IF(AND($V8372='設定'!$C$4,COUNTIF('商品マスタ'!$B$6:$B$1005,$W8372)=0),N(U8371)+1,N(U8371))</f>
        <v/>
      </c>
      <c r="V8372" s="19">
        <f>IF($B8372="","",TEXT($B8372,"0000"))</f>
        <v/>
      </c>
      <c r="W8372" s="19">
        <f>IF($I8372="","",IF(ISNUMBER($I8372),TEXT($I8372,"0"),$I8372))</f>
        <v/>
      </c>
    </row>
    <row r="8373">
      <c r="B8373" s="25" t="n"/>
      <c r="I8373" s="25" t="n"/>
      <c r="U8373" s="19">
        <f>IF(AND($V8373='設定'!$C$4,COUNTIF('商品マスタ'!$B$6:$B$1005,$W8373)=0),N(U8372)+1,N(U8372))</f>
        <v/>
      </c>
      <c r="V8373" s="19">
        <f>IF($B8373="","",TEXT($B8373,"0000"))</f>
        <v/>
      </c>
      <c r="W8373" s="19">
        <f>IF($I8373="","",IF(ISNUMBER($I8373),TEXT($I8373,"0"),$I8373))</f>
        <v/>
      </c>
    </row>
    <row r="8374">
      <c r="B8374" s="25" t="n"/>
      <c r="I8374" s="25" t="n"/>
      <c r="U8374" s="19">
        <f>IF(AND($V8374='設定'!$C$4,COUNTIF('商品マスタ'!$B$6:$B$1005,$W8374)=0),N(U8373)+1,N(U8373))</f>
        <v/>
      </c>
      <c r="V8374" s="19">
        <f>IF($B8374="","",TEXT($B8374,"0000"))</f>
        <v/>
      </c>
      <c r="W8374" s="19">
        <f>IF($I8374="","",IF(ISNUMBER($I8374),TEXT($I8374,"0"),$I8374))</f>
        <v/>
      </c>
    </row>
    <row r="8375">
      <c r="B8375" s="25" t="n"/>
      <c r="I8375" s="25" t="n"/>
      <c r="U8375" s="19">
        <f>IF(AND($V8375='設定'!$C$4,COUNTIF('商品マスタ'!$B$6:$B$1005,$W8375)=0),N(U8374)+1,N(U8374))</f>
        <v/>
      </c>
      <c r="V8375" s="19">
        <f>IF($B8375="","",TEXT($B8375,"0000"))</f>
        <v/>
      </c>
      <c r="W8375" s="19">
        <f>IF($I8375="","",IF(ISNUMBER($I8375),TEXT($I8375,"0"),$I8375))</f>
        <v/>
      </c>
    </row>
    <row r="8376">
      <c r="B8376" s="25" t="n"/>
      <c r="I8376" s="25" t="n"/>
      <c r="U8376" s="19">
        <f>IF(AND($V8376='設定'!$C$4,COUNTIF('商品マスタ'!$B$6:$B$1005,$W8376)=0),N(U8375)+1,N(U8375))</f>
        <v/>
      </c>
      <c r="V8376" s="19">
        <f>IF($B8376="","",TEXT($B8376,"0000"))</f>
        <v/>
      </c>
      <c r="W8376" s="19">
        <f>IF($I8376="","",IF(ISNUMBER($I8376),TEXT($I8376,"0"),$I8376))</f>
        <v/>
      </c>
    </row>
    <row r="8377">
      <c r="B8377" s="25" t="n"/>
      <c r="I8377" s="25" t="n"/>
      <c r="U8377" s="19">
        <f>IF(AND($V8377='設定'!$C$4,COUNTIF('商品マスタ'!$B$6:$B$1005,$W8377)=0),N(U8376)+1,N(U8376))</f>
        <v/>
      </c>
      <c r="V8377" s="19">
        <f>IF($B8377="","",TEXT($B8377,"0000"))</f>
        <v/>
      </c>
      <c r="W8377" s="19">
        <f>IF($I8377="","",IF(ISNUMBER($I8377),TEXT($I8377,"0"),$I8377))</f>
        <v/>
      </c>
    </row>
    <row r="8378">
      <c r="B8378" s="25" t="n"/>
      <c r="I8378" s="25" t="n"/>
      <c r="U8378" s="19">
        <f>IF(AND($V8378='設定'!$C$4,COUNTIF('商品マスタ'!$B$6:$B$1005,$W8378)=0),N(U8377)+1,N(U8377))</f>
        <v/>
      </c>
      <c r="V8378" s="19">
        <f>IF($B8378="","",TEXT($B8378,"0000"))</f>
        <v/>
      </c>
      <c r="W8378" s="19">
        <f>IF($I8378="","",IF(ISNUMBER($I8378),TEXT($I8378,"0"),$I8378))</f>
        <v/>
      </c>
    </row>
    <row r="8379">
      <c r="B8379" s="25" t="n"/>
      <c r="I8379" s="25" t="n"/>
      <c r="U8379" s="19">
        <f>IF(AND($V8379='設定'!$C$4,COUNTIF('商品マスタ'!$B$6:$B$1005,$W8379)=0),N(U8378)+1,N(U8378))</f>
        <v/>
      </c>
      <c r="V8379" s="19">
        <f>IF($B8379="","",TEXT($B8379,"0000"))</f>
        <v/>
      </c>
      <c r="W8379" s="19">
        <f>IF($I8379="","",IF(ISNUMBER($I8379),TEXT($I8379,"0"),$I8379))</f>
        <v/>
      </c>
    </row>
    <row r="8380">
      <c r="B8380" s="25" t="n"/>
      <c r="I8380" s="25" t="n"/>
      <c r="U8380" s="19">
        <f>IF(AND($V8380='設定'!$C$4,COUNTIF('商品マスタ'!$B$6:$B$1005,$W8380)=0),N(U8379)+1,N(U8379))</f>
        <v/>
      </c>
      <c r="V8380" s="19">
        <f>IF($B8380="","",TEXT($B8380,"0000"))</f>
        <v/>
      </c>
      <c r="W8380" s="19">
        <f>IF($I8380="","",IF(ISNUMBER($I8380),TEXT($I8380,"0"),$I8380))</f>
        <v/>
      </c>
    </row>
    <row r="8381">
      <c r="B8381" s="25" t="n"/>
      <c r="I8381" s="25" t="n"/>
      <c r="U8381" s="19">
        <f>IF(AND($V8381='設定'!$C$4,COUNTIF('商品マスタ'!$B$6:$B$1005,$W8381)=0),N(U8380)+1,N(U8380))</f>
        <v/>
      </c>
      <c r="V8381" s="19">
        <f>IF($B8381="","",TEXT($B8381,"0000"))</f>
        <v/>
      </c>
      <c r="W8381" s="19">
        <f>IF($I8381="","",IF(ISNUMBER($I8381),TEXT($I8381,"0"),$I8381))</f>
        <v/>
      </c>
    </row>
    <row r="8382">
      <c r="B8382" s="25" t="n"/>
      <c r="I8382" s="25" t="n"/>
      <c r="U8382" s="19">
        <f>IF(AND($V8382='設定'!$C$4,COUNTIF('商品マスタ'!$B$6:$B$1005,$W8382)=0),N(U8381)+1,N(U8381))</f>
        <v/>
      </c>
      <c r="V8382" s="19">
        <f>IF($B8382="","",TEXT($B8382,"0000"))</f>
        <v/>
      </c>
      <c r="W8382" s="19">
        <f>IF($I8382="","",IF(ISNUMBER($I8382),TEXT($I8382,"0"),$I8382))</f>
        <v/>
      </c>
    </row>
    <row r="8383">
      <c r="B8383" s="25" t="n"/>
      <c r="I8383" s="25" t="n"/>
      <c r="U8383" s="19">
        <f>IF(AND($V8383='設定'!$C$4,COUNTIF('商品マスタ'!$B$6:$B$1005,$W8383)=0),N(U8382)+1,N(U8382))</f>
        <v/>
      </c>
      <c r="V8383" s="19">
        <f>IF($B8383="","",TEXT($B8383,"0000"))</f>
        <v/>
      </c>
      <c r="W8383" s="19">
        <f>IF($I8383="","",IF(ISNUMBER($I8383),TEXT($I8383,"0"),$I8383))</f>
        <v/>
      </c>
    </row>
    <row r="8384">
      <c r="B8384" s="25" t="n"/>
      <c r="I8384" s="25" t="n"/>
      <c r="U8384" s="19">
        <f>IF(AND($V8384='設定'!$C$4,COUNTIF('商品マスタ'!$B$6:$B$1005,$W8384)=0),N(U8383)+1,N(U8383))</f>
        <v/>
      </c>
      <c r="V8384" s="19">
        <f>IF($B8384="","",TEXT($B8384,"0000"))</f>
        <v/>
      </c>
      <c r="W8384" s="19">
        <f>IF($I8384="","",IF(ISNUMBER($I8384),TEXT($I8384,"0"),$I8384))</f>
        <v/>
      </c>
    </row>
    <row r="8385">
      <c r="B8385" s="25" t="n"/>
      <c r="I8385" s="25" t="n"/>
      <c r="U8385" s="19">
        <f>IF(AND($V8385='設定'!$C$4,COUNTIF('商品マスタ'!$B$6:$B$1005,$W8385)=0),N(U8384)+1,N(U8384))</f>
        <v/>
      </c>
      <c r="V8385" s="19">
        <f>IF($B8385="","",TEXT($B8385,"0000"))</f>
        <v/>
      </c>
      <c r="W8385" s="19">
        <f>IF($I8385="","",IF(ISNUMBER($I8385),TEXT($I8385,"0"),$I8385))</f>
        <v/>
      </c>
    </row>
    <row r="8386">
      <c r="B8386" s="25" t="n"/>
      <c r="I8386" s="25" t="n"/>
      <c r="U8386" s="19">
        <f>IF(AND($V8386='設定'!$C$4,COUNTIF('商品マスタ'!$B$6:$B$1005,$W8386)=0),N(U8385)+1,N(U8385))</f>
        <v/>
      </c>
      <c r="V8386" s="19">
        <f>IF($B8386="","",TEXT($B8386,"0000"))</f>
        <v/>
      </c>
      <c r="W8386" s="19">
        <f>IF($I8386="","",IF(ISNUMBER($I8386),TEXT($I8386,"0"),$I8386))</f>
        <v/>
      </c>
    </row>
    <row r="8387">
      <c r="B8387" s="25" t="n"/>
      <c r="I8387" s="25" t="n"/>
      <c r="U8387" s="19">
        <f>IF(AND($V8387='設定'!$C$4,COUNTIF('商品マスタ'!$B$6:$B$1005,$W8387)=0),N(U8386)+1,N(U8386))</f>
        <v/>
      </c>
      <c r="V8387" s="19">
        <f>IF($B8387="","",TEXT($B8387,"0000"))</f>
        <v/>
      </c>
      <c r="W8387" s="19">
        <f>IF($I8387="","",IF(ISNUMBER($I8387),TEXT($I8387,"0"),$I8387))</f>
        <v/>
      </c>
    </row>
    <row r="8388">
      <c r="B8388" s="25" t="n"/>
      <c r="I8388" s="25" t="n"/>
      <c r="U8388" s="19">
        <f>IF(AND($V8388='設定'!$C$4,COUNTIF('商品マスタ'!$B$6:$B$1005,$W8388)=0),N(U8387)+1,N(U8387))</f>
        <v/>
      </c>
      <c r="V8388" s="19">
        <f>IF($B8388="","",TEXT($B8388,"0000"))</f>
        <v/>
      </c>
      <c r="W8388" s="19">
        <f>IF($I8388="","",IF(ISNUMBER($I8388),TEXT($I8388,"0"),$I8388))</f>
        <v/>
      </c>
    </row>
    <row r="8389">
      <c r="B8389" s="25" t="n"/>
      <c r="I8389" s="25" t="n"/>
      <c r="U8389" s="19">
        <f>IF(AND($V8389='設定'!$C$4,COUNTIF('商品マスタ'!$B$6:$B$1005,$W8389)=0),N(U8388)+1,N(U8388))</f>
        <v/>
      </c>
      <c r="V8389" s="19">
        <f>IF($B8389="","",TEXT($B8389,"0000"))</f>
        <v/>
      </c>
      <c r="W8389" s="19">
        <f>IF($I8389="","",IF(ISNUMBER($I8389),TEXT($I8389,"0"),$I8389))</f>
        <v/>
      </c>
    </row>
    <row r="8390">
      <c r="B8390" s="25" t="n"/>
      <c r="I8390" s="25" t="n"/>
      <c r="U8390" s="19">
        <f>IF(AND($V8390='設定'!$C$4,COUNTIF('商品マスタ'!$B$6:$B$1005,$W8390)=0),N(U8389)+1,N(U8389))</f>
        <v/>
      </c>
      <c r="V8390" s="19">
        <f>IF($B8390="","",TEXT($B8390,"0000"))</f>
        <v/>
      </c>
      <c r="W8390" s="19">
        <f>IF($I8390="","",IF(ISNUMBER($I8390),TEXT($I8390,"0"),$I8390))</f>
        <v/>
      </c>
    </row>
    <row r="8391">
      <c r="B8391" s="25" t="n"/>
      <c r="I8391" s="25" t="n"/>
      <c r="U8391" s="19">
        <f>IF(AND($V8391='設定'!$C$4,COUNTIF('商品マスタ'!$B$6:$B$1005,$W8391)=0),N(U8390)+1,N(U8390))</f>
        <v/>
      </c>
      <c r="V8391" s="19">
        <f>IF($B8391="","",TEXT($B8391,"0000"))</f>
        <v/>
      </c>
      <c r="W8391" s="19">
        <f>IF($I8391="","",IF(ISNUMBER($I8391),TEXT($I8391,"0"),$I8391))</f>
        <v/>
      </c>
    </row>
    <row r="8392">
      <c r="B8392" s="25" t="n"/>
      <c r="I8392" s="25" t="n"/>
      <c r="U8392" s="19">
        <f>IF(AND($V8392='設定'!$C$4,COUNTIF('商品マスタ'!$B$6:$B$1005,$W8392)=0),N(U8391)+1,N(U8391))</f>
        <v/>
      </c>
      <c r="V8392" s="19">
        <f>IF($B8392="","",TEXT($B8392,"0000"))</f>
        <v/>
      </c>
      <c r="W8392" s="19">
        <f>IF($I8392="","",IF(ISNUMBER($I8392),TEXT($I8392,"0"),$I8392))</f>
        <v/>
      </c>
    </row>
    <row r="8393">
      <c r="B8393" s="25" t="n"/>
      <c r="I8393" s="25" t="n"/>
      <c r="U8393" s="19">
        <f>IF(AND($V8393='設定'!$C$4,COUNTIF('商品マスタ'!$B$6:$B$1005,$W8393)=0),N(U8392)+1,N(U8392))</f>
        <v/>
      </c>
      <c r="V8393" s="19">
        <f>IF($B8393="","",TEXT($B8393,"0000"))</f>
        <v/>
      </c>
      <c r="W8393" s="19">
        <f>IF($I8393="","",IF(ISNUMBER($I8393),TEXT($I8393,"0"),$I8393))</f>
        <v/>
      </c>
    </row>
    <row r="8394">
      <c r="B8394" s="25" t="n"/>
      <c r="I8394" s="25" t="n"/>
      <c r="U8394" s="19">
        <f>IF(AND($V8394='設定'!$C$4,COUNTIF('商品マスタ'!$B$6:$B$1005,$W8394)=0),N(U8393)+1,N(U8393))</f>
        <v/>
      </c>
      <c r="V8394" s="19">
        <f>IF($B8394="","",TEXT($B8394,"0000"))</f>
        <v/>
      </c>
      <c r="W8394" s="19">
        <f>IF($I8394="","",IF(ISNUMBER($I8394),TEXT($I8394,"0"),$I8394))</f>
        <v/>
      </c>
    </row>
    <row r="8395">
      <c r="B8395" s="25" t="n"/>
      <c r="I8395" s="25" t="n"/>
      <c r="U8395" s="19">
        <f>IF(AND($V8395='設定'!$C$4,COUNTIF('商品マスタ'!$B$6:$B$1005,$W8395)=0),N(U8394)+1,N(U8394))</f>
        <v/>
      </c>
      <c r="V8395" s="19">
        <f>IF($B8395="","",TEXT($B8395,"0000"))</f>
        <v/>
      </c>
      <c r="W8395" s="19">
        <f>IF($I8395="","",IF(ISNUMBER($I8395),TEXT($I8395,"0"),$I8395))</f>
        <v/>
      </c>
    </row>
    <row r="8396">
      <c r="B8396" s="25" t="n"/>
      <c r="I8396" s="25" t="n"/>
      <c r="U8396" s="19">
        <f>IF(AND($V8396='設定'!$C$4,COUNTIF('商品マスタ'!$B$6:$B$1005,$W8396)=0),N(U8395)+1,N(U8395))</f>
        <v/>
      </c>
      <c r="V8396" s="19">
        <f>IF($B8396="","",TEXT($B8396,"0000"))</f>
        <v/>
      </c>
      <c r="W8396" s="19">
        <f>IF($I8396="","",IF(ISNUMBER($I8396),TEXT($I8396,"0"),$I8396))</f>
        <v/>
      </c>
    </row>
    <row r="8397">
      <c r="B8397" s="25" t="n"/>
      <c r="I8397" s="25" t="n"/>
      <c r="U8397" s="19">
        <f>IF(AND($V8397='設定'!$C$4,COUNTIF('商品マスタ'!$B$6:$B$1005,$W8397)=0),N(U8396)+1,N(U8396))</f>
        <v/>
      </c>
      <c r="V8397" s="19">
        <f>IF($B8397="","",TEXT($B8397,"0000"))</f>
        <v/>
      </c>
      <c r="W8397" s="19">
        <f>IF($I8397="","",IF(ISNUMBER($I8397),TEXT($I8397,"0"),$I8397))</f>
        <v/>
      </c>
    </row>
    <row r="8398">
      <c r="B8398" s="25" t="n"/>
      <c r="I8398" s="25" t="n"/>
      <c r="U8398" s="19">
        <f>IF(AND($V8398='設定'!$C$4,COUNTIF('商品マスタ'!$B$6:$B$1005,$W8398)=0),N(U8397)+1,N(U8397))</f>
        <v/>
      </c>
      <c r="V8398" s="19">
        <f>IF($B8398="","",TEXT($B8398,"0000"))</f>
        <v/>
      </c>
      <c r="W8398" s="19">
        <f>IF($I8398="","",IF(ISNUMBER($I8398),TEXT($I8398,"0"),$I8398))</f>
        <v/>
      </c>
    </row>
    <row r="8399">
      <c r="B8399" s="25" t="n"/>
      <c r="I8399" s="25" t="n"/>
      <c r="U8399" s="19">
        <f>IF(AND($V8399='設定'!$C$4,COUNTIF('商品マスタ'!$B$6:$B$1005,$W8399)=0),N(U8398)+1,N(U8398))</f>
        <v/>
      </c>
      <c r="V8399" s="19">
        <f>IF($B8399="","",TEXT($B8399,"0000"))</f>
        <v/>
      </c>
      <c r="W8399" s="19">
        <f>IF($I8399="","",IF(ISNUMBER($I8399),TEXT($I8399,"0"),$I8399))</f>
        <v/>
      </c>
    </row>
    <row r="8400">
      <c r="B8400" s="25" t="n"/>
      <c r="I8400" s="25" t="n"/>
      <c r="U8400" s="19">
        <f>IF(AND($V8400='設定'!$C$4,COUNTIF('商品マスタ'!$B$6:$B$1005,$W8400)=0),N(U8399)+1,N(U8399))</f>
        <v/>
      </c>
      <c r="V8400" s="19">
        <f>IF($B8400="","",TEXT($B8400,"0000"))</f>
        <v/>
      </c>
      <c r="W8400" s="19">
        <f>IF($I8400="","",IF(ISNUMBER($I8400),TEXT($I8400,"0"),$I8400))</f>
        <v/>
      </c>
    </row>
    <row r="8401">
      <c r="B8401" s="25" t="n"/>
      <c r="I8401" s="25" t="n"/>
      <c r="U8401" s="19">
        <f>IF(AND($V8401='設定'!$C$4,COUNTIF('商品マスタ'!$B$6:$B$1005,$W8401)=0),N(U8400)+1,N(U8400))</f>
        <v/>
      </c>
      <c r="V8401" s="19">
        <f>IF($B8401="","",TEXT($B8401,"0000"))</f>
        <v/>
      </c>
      <c r="W8401" s="19">
        <f>IF($I8401="","",IF(ISNUMBER($I8401),TEXT($I8401,"0"),$I8401))</f>
        <v/>
      </c>
    </row>
    <row r="8402">
      <c r="B8402" s="25" t="n"/>
      <c r="I8402" s="25" t="n"/>
      <c r="U8402" s="19">
        <f>IF(AND($V8402='設定'!$C$4,COUNTIF('商品マスタ'!$B$6:$B$1005,$W8402)=0),N(U8401)+1,N(U8401))</f>
        <v/>
      </c>
      <c r="V8402" s="19">
        <f>IF($B8402="","",TEXT($B8402,"0000"))</f>
        <v/>
      </c>
      <c r="W8402" s="19">
        <f>IF($I8402="","",IF(ISNUMBER($I8402),TEXT($I8402,"0"),$I8402))</f>
        <v/>
      </c>
    </row>
    <row r="8403">
      <c r="B8403" s="25" t="n"/>
      <c r="I8403" s="25" t="n"/>
      <c r="U8403" s="19">
        <f>IF(AND($V8403='設定'!$C$4,COUNTIF('商品マスタ'!$B$6:$B$1005,$W8403)=0),N(U8402)+1,N(U8402))</f>
        <v/>
      </c>
      <c r="V8403" s="19">
        <f>IF($B8403="","",TEXT($B8403,"0000"))</f>
        <v/>
      </c>
      <c r="W8403" s="19">
        <f>IF($I8403="","",IF(ISNUMBER($I8403),TEXT($I8403,"0"),$I8403))</f>
        <v/>
      </c>
    </row>
    <row r="8404">
      <c r="B8404" s="25" t="n"/>
      <c r="I8404" s="25" t="n"/>
      <c r="U8404" s="19">
        <f>IF(AND($V8404='設定'!$C$4,COUNTIF('商品マスタ'!$B$6:$B$1005,$W8404)=0),N(U8403)+1,N(U8403))</f>
        <v/>
      </c>
      <c r="V8404" s="19">
        <f>IF($B8404="","",TEXT($B8404,"0000"))</f>
        <v/>
      </c>
      <c r="W8404" s="19">
        <f>IF($I8404="","",IF(ISNUMBER($I8404),TEXT($I8404,"0"),$I8404))</f>
        <v/>
      </c>
    </row>
    <row r="8405">
      <c r="B8405" s="25" t="n"/>
      <c r="I8405" s="25" t="n"/>
      <c r="U8405" s="19">
        <f>IF(AND($V8405='設定'!$C$4,COUNTIF('商品マスタ'!$B$6:$B$1005,$W8405)=0),N(U8404)+1,N(U8404))</f>
        <v/>
      </c>
      <c r="V8405" s="19">
        <f>IF($B8405="","",TEXT($B8405,"0000"))</f>
        <v/>
      </c>
      <c r="W8405" s="19">
        <f>IF($I8405="","",IF(ISNUMBER($I8405),TEXT($I8405,"0"),$I8405))</f>
        <v/>
      </c>
    </row>
    <row r="8406">
      <c r="B8406" s="25" t="n"/>
      <c r="I8406" s="25" t="n"/>
      <c r="U8406" s="19">
        <f>IF(AND($V8406='設定'!$C$4,COUNTIF('商品マスタ'!$B$6:$B$1005,$W8406)=0),N(U8405)+1,N(U8405))</f>
        <v/>
      </c>
      <c r="V8406" s="19">
        <f>IF($B8406="","",TEXT($B8406,"0000"))</f>
        <v/>
      </c>
      <c r="W8406" s="19">
        <f>IF($I8406="","",IF(ISNUMBER($I8406),TEXT($I8406,"0"),$I8406))</f>
        <v/>
      </c>
    </row>
    <row r="8407">
      <c r="B8407" s="25" t="n"/>
      <c r="I8407" s="25" t="n"/>
      <c r="U8407" s="19">
        <f>IF(AND($V8407='設定'!$C$4,COUNTIF('商品マスタ'!$B$6:$B$1005,$W8407)=0),N(U8406)+1,N(U8406))</f>
        <v/>
      </c>
      <c r="V8407" s="19">
        <f>IF($B8407="","",TEXT($B8407,"0000"))</f>
        <v/>
      </c>
      <c r="W8407" s="19">
        <f>IF($I8407="","",IF(ISNUMBER($I8407),TEXT($I8407,"0"),$I8407))</f>
        <v/>
      </c>
    </row>
    <row r="8408">
      <c r="B8408" s="25" t="n"/>
      <c r="I8408" s="25" t="n"/>
      <c r="U8408" s="19">
        <f>IF(AND($V8408='設定'!$C$4,COUNTIF('商品マスタ'!$B$6:$B$1005,$W8408)=0),N(U8407)+1,N(U8407))</f>
        <v/>
      </c>
      <c r="V8408" s="19">
        <f>IF($B8408="","",TEXT($B8408,"0000"))</f>
        <v/>
      </c>
      <c r="W8408" s="19">
        <f>IF($I8408="","",IF(ISNUMBER($I8408),TEXT($I8408,"0"),$I8408))</f>
        <v/>
      </c>
    </row>
    <row r="8409">
      <c r="B8409" s="25" t="n"/>
      <c r="I8409" s="25" t="n"/>
      <c r="U8409" s="19">
        <f>IF(AND($V8409='設定'!$C$4,COUNTIF('商品マスタ'!$B$6:$B$1005,$W8409)=0),N(U8408)+1,N(U8408))</f>
        <v/>
      </c>
      <c r="V8409" s="19">
        <f>IF($B8409="","",TEXT($B8409,"0000"))</f>
        <v/>
      </c>
      <c r="W8409" s="19">
        <f>IF($I8409="","",IF(ISNUMBER($I8409),TEXT($I8409,"0"),$I8409))</f>
        <v/>
      </c>
    </row>
    <row r="8410">
      <c r="B8410" s="25" t="n"/>
      <c r="I8410" s="25" t="n"/>
      <c r="U8410" s="19">
        <f>IF(AND($V8410='設定'!$C$4,COUNTIF('商品マスタ'!$B$6:$B$1005,$W8410)=0),N(U8409)+1,N(U8409))</f>
        <v/>
      </c>
      <c r="V8410" s="19">
        <f>IF($B8410="","",TEXT($B8410,"0000"))</f>
        <v/>
      </c>
      <c r="W8410" s="19">
        <f>IF($I8410="","",IF(ISNUMBER($I8410),TEXT($I8410,"0"),$I8410))</f>
        <v/>
      </c>
    </row>
    <row r="8411">
      <c r="B8411" s="25" t="n"/>
      <c r="I8411" s="25" t="n"/>
      <c r="U8411" s="19">
        <f>IF(AND($V8411='設定'!$C$4,COUNTIF('商品マスタ'!$B$6:$B$1005,$W8411)=0),N(U8410)+1,N(U8410))</f>
        <v/>
      </c>
      <c r="V8411" s="19">
        <f>IF($B8411="","",TEXT($B8411,"0000"))</f>
        <v/>
      </c>
      <c r="W8411" s="19">
        <f>IF($I8411="","",IF(ISNUMBER($I8411),TEXT($I8411,"0"),$I8411))</f>
        <v/>
      </c>
    </row>
    <row r="8412">
      <c r="B8412" s="25" t="n"/>
      <c r="I8412" s="25" t="n"/>
      <c r="U8412" s="19">
        <f>IF(AND($V8412='設定'!$C$4,COUNTIF('商品マスタ'!$B$6:$B$1005,$W8412)=0),N(U8411)+1,N(U8411))</f>
        <v/>
      </c>
      <c r="V8412" s="19">
        <f>IF($B8412="","",TEXT($B8412,"0000"))</f>
        <v/>
      </c>
      <c r="W8412" s="19">
        <f>IF($I8412="","",IF(ISNUMBER($I8412),TEXT($I8412,"0"),$I8412))</f>
        <v/>
      </c>
    </row>
    <row r="8413">
      <c r="B8413" s="25" t="n"/>
      <c r="I8413" s="25" t="n"/>
      <c r="U8413" s="19">
        <f>IF(AND($V8413='設定'!$C$4,COUNTIF('商品マスタ'!$B$6:$B$1005,$W8413)=0),N(U8412)+1,N(U8412))</f>
        <v/>
      </c>
      <c r="V8413" s="19">
        <f>IF($B8413="","",TEXT($B8413,"0000"))</f>
        <v/>
      </c>
      <c r="W8413" s="19">
        <f>IF($I8413="","",IF(ISNUMBER($I8413),TEXT($I8413,"0"),$I8413))</f>
        <v/>
      </c>
    </row>
    <row r="8414">
      <c r="B8414" s="25" t="n"/>
      <c r="I8414" s="25" t="n"/>
      <c r="U8414" s="19">
        <f>IF(AND($V8414='設定'!$C$4,COUNTIF('商品マスタ'!$B$6:$B$1005,$W8414)=0),N(U8413)+1,N(U8413))</f>
        <v/>
      </c>
      <c r="V8414" s="19">
        <f>IF($B8414="","",TEXT($B8414,"0000"))</f>
        <v/>
      </c>
      <c r="W8414" s="19">
        <f>IF($I8414="","",IF(ISNUMBER($I8414),TEXT($I8414,"0"),$I8414))</f>
        <v/>
      </c>
    </row>
    <row r="8415">
      <c r="B8415" s="25" t="n"/>
      <c r="I8415" s="25" t="n"/>
      <c r="U8415" s="19">
        <f>IF(AND($V8415='設定'!$C$4,COUNTIF('商品マスタ'!$B$6:$B$1005,$W8415)=0),N(U8414)+1,N(U8414))</f>
        <v/>
      </c>
      <c r="V8415" s="19">
        <f>IF($B8415="","",TEXT($B8415,"0000"))</f>
        <v/>
      </c>
      <c r="W8415" s="19">
        <f>IF($I8415="","",IF(ISNUMBER($I8415),TEXT($I8415,"0"),$I8415))</f>
        <v/>
      </c>
    </row>
    <row r="8416">
      <c r="B8416" s="25" t="n"/>
      <c r="I8416" s="25" t="n"/>
      <c r="U8416" s="19">
        <f>IF(AND($V8416='設定'!$C$4,COUNTIF('商品マスタ'!$B$6:$B$1005,$W8416)=0),N(U8415)+1,N(U8415))</f>
        <v/>
      </c>
      <c r="V8416" s="19">
        <f>IF($B8416="","",TEXT($B8416,"0000"))</f>
        <v/>
      </c>
      <c r="W8416" s="19">
        <f>IF($I8416="","",IF(ISNUMBER($I8416),TEXT($I8416,"0"),$I8416))</f>
        <v/>
      </c>
    </row>
    <row r="8417">
      <c r="B8417" s="25" t="n"/>
      <c r="I8417" s="25" t="n"/>
      <c r="U8417" s="19">
        <f>IF(AND($V8417='設定'!$C$4,COUNTIF('商品マスタ'!$B$6:$B$1005,$W8417)=0),N(U8416)+1,N(U8416))</f>
        <v/>
      </c>
      <c r="V8417" s="19">
        <f>IF($B8417="","",TEXT($B8417,"0000"))</f>
        <v/>
      </c>
      <c r="W8417" s="19">
        <f>IF($I8417="","",IF(ISNUMBER($I8417),TEXT($I8417,"0"),$I8417))</f>
        <v/>
      </c>
    </row>
    <row r="8418">
      <c r="B8418" s="25" t="n"/>
      <c r="I8418" s="25" t="n"/>
      <c r="U8418" s="19">
        <f>IF(AND($V8418='設定'!$C$4,COUNTIF('商品マスタ'!$B$6:$B$1005,$W8418)=0),N(U8417)+1,N(U8417))</f>
        <v/>
      </c>
      <c r="V8418" s="19">
        <f>IF($B8418="","",TEXT($B8418,"0000"))</f>
        <v/>
      </c>
      <c r="W8418" s="19">
        <f>IF($I8418="","",IF(ISNUMBER($I8418),TEXT($I8418,"0"),$I8418))</f>
        <v/>
      </c>
    </row>
    <row r="8419">
      <c r="B8419" s="25" t="n"/>
      <c r="I8419" s="25" t="n"/>
      <c r="U8419" s="19">
        <f>IF(AND($V8419='設定'!$C$4,COUNTIF('商品マスタ'!$B$6:$B$1005,$W8419)=0),N(U8418)+1,N(U8418))</f>
        <v/>
      </c>
      <c r="V8419" s="19">
        <f>IF($B8419="","",TEXT($B8419,"0000"))</f>
        <v/>
      </c>
      <c r="W8419" s="19">
        <f>IF($I8419="","",IF(ISNUMBER($I8419),TEXT($I8419,"0"),$I8419))</f>
        <v/>
      </c>
    </row>
    <row r="8420">
      <c r="B8420" s="25" t="n"/>
      <c r="I8420" s="25" t="n"/>
      <c r="U8420" s="19">
        <f>IF(AND($V8420='設定'!$C$4,COUNTIF('商品マスタ'!$B$6:$B$1005,$W8420)=0),N(U8419)+1,N(U8419))</f>
        <v/>
      </c>
      <c r="V8420" s="19">
        <f>IF($B8420="","",TEXT($B8420,"0000"))</f>
        <v/>
      </c>
      <c r="W8420" s="19">
        <f>IF($I8420="","",IF(ISNUMBER($I8420),TEXT($I8420,"0"),$I8420))</f>
        <v/>
      </c>
    </row>
    <row r="8421">
      <c r="B8421" s="25" t="n"/>
      <c r="I8421" s="25" t="n"/>
      <c r="U8421" s="19">
        <f>IF(AND($V8421='設定'!$C$4,COUNTIF('商品マスタ'!$B$6:$B$1005,$W8421)=0),N(U8420)+1,N(U8420))</f>
        <v/>
      </c>
      <c r="V8421" s="19">
        <f>IF($B8421="","",TEXT($B8421,"0000"))</f>
        <v/>
      </c>
      <c r="W8421" s="19">
        <f>IF($I8421="","",IF(ISNUMBER($I8421),TEXT($I8421,"0"),$I8421))</f>
        <v/>
      </c>
    </row>
    <row r="8422">
      <c r="B8422" s="25" t="n"/>
      <c r="I8422" s="25" t="n"/>
      <c r="U8422" s="19">
        <f>IF(AND($V8422='設定'!$C$4,COUNTIF('商品マスタ'!$B$6:$B$1005,$W8422)=0),N(U8421)+1,N(U8421))</f>
        <v/>
      </c>
      <c r="V8422" s="19">
        <f>IF($B8422="","",TEXT($B8422,"0000"))</f>
        <v/>
      </c>
      <c r="W8422" s="19">
        <f>IF($I8422="","",IF(ISNUMBER($I8422),TEXT($I8422,"0"),$I8422))</f>
        <v/>
      </c>
    </row>
    <row r="8423">
      <c r="B8423" s="25" t="n"/>
      <c r="I8423" s="25" t="n"/>
      <c r="U8423" s="19">
        <f>IF(AND($V8423='設定'!$C$4,COUNTIF('商品マスタ'!$B$6:$B$1005,$W8423)=0),N(U8422)+1,N(U8422))</f>
        <v/>
      </c>
      <c r="V8423" s="19">
        <f>IF($B8423="","",TEXT($B8423,"0000"))</f>
        <v/>
      </c>
      <c r="W8423" s="19">
        <f>IF($I8423="","",IF(ISNUMBER($I8423),TEXT($I8423,"0"),$I8423))</f>
        <v/>
      </c>
    </row>
    <row r="8424">
      <c r="B8424" s="25" t="n"/>
      <c r="I8424" s="25" t="n"/>
      <c r="U8424" s="19">
        <f>IF(AND($V8424='設定'!$C$4,COUNTIF('商品マスタ'!$B$6:$B$1005,$W8424)=0),N(U8423)+1,N(U8423))</f>
        <v/>
      </c>
      <c r="V8424" s="19">
        <f>IF($B8424="","",TEXT($B8424,"0000"))</f>
        <v/>
      </c>
      <c r="W8424" s="19">
        <f>IF($I8424="","",IF(ISNUMBER($I8424),TEXT($I8424,"0"),$I8424))</f>
        <v/>
      </c>
    </row>
    <row r="8425">
      <c r="B8425" s="25" t="n"/>
      <c r="I8425" s="25" t="n"/>
      <c r="U8425" s="19">
        <f>IF(AND($V8425='設定'!$C$4,COUNTIF('商品マスタ'!$B$6:$B$1005,$W8425)=0),N(U8424)+1,N(U8424))</f>
        <v/>
      </c>
      <c r="V8425" s="19">
        <f>IF($B8425="","",TEXT($B8425,"0000"))</f>
        <v/>
      </c>
      <c r="W8425" s="19">
        <f>IF($I8425="","",IF(ISNUMBER($I8425),TEXT($I8425,"0"),$I8425))</f>
        <v/>
      </c>
    </row>
    <row r="8426">
      <c r="B8426" s="25" t="n"/>
      <c r="I8426" s="25" t="n"/>
      <c r="U8426" s="19">
        <f>IF(AND($V8426='設定'!$C$4,COUNTIF('商品マスタ'!$B$6:$B$1005,$W8426)=0),N(U8425)+1,N(U8425))</f>
        <v/>
      </c>
      <c r="V8426" s="19">
        <f>IF($B8426="","",TEXT($B8426,"0000"))</f>
        <v/>
      </c>
      <c r="W8426" s="19">
        <f>IF($I8426="","",IF(ISNUMBER($I8426),TEXT($I8426,"0"),$I8426))</f>
        <v/>
      </c>
    </row>
    <row r="8427">
      <c r="B8427" s="25" t="n"/>
      <c r="I8427" s="25" t="n"/>
      <c r="U8427" s="19">
        <f>IF(AND($V8427='設定'!$C$4,COUNTIF('商品マスタ'!$B$6:$B$1005,$W8427)=0),N(U8426)+1,N(U8426))</f>
        <v/>
      </c>
      <c r="V8427" s="19">
        <f>IF($B8427="","",TEXT($B8427,"0000"))</f>
        <v/>
      </c>
      <c r="W8427" s="19">
        <f>IF($I8427="","",IF(ISNUMBER($I8427),TEXT($I8427,"0"),$I8427))</f>
        <v/>
      </c>
    </row>
    <row r="8428">
      <c r="B8428" s="25" t="n"/>
      <c r="I8428" s="25" t="n"/>
      <c r="U8428" s="19">
        <f>IF(AND($V8428='設定'!$C$4,COUNTIF('商品マスタ'!$B$6:$B$1005,$W8428)=0),N(U8427)+1,N(U8427))</f>
        <v/>
      </c>
      <c r="V8428" s="19">
        <f>IF($B8428="","",TEXT($B8428,"0000"))</f>
        <v/>
      </c>
      <c r="W8428" s="19">
        <f>IF($I8428="","",IF(ISNUMBER($I8428),TEXT($I8428,"0"),$I8428))</f>
        <v/>
      </c>
    </row>
    <row r="8429">
      <c r="B8429" s="25" t="n"/>
      <c r="I8429" s="25" t="n"/>
      <c r="U8429" s="19">
        <f>IF(AND($V8429='設定'!$C$4,COUNTIF('商品マスタ'!$B$6:$B$1005,$W8429)=0),N(U8428)+1,N(U8428))</f>
        <v/>
      </c>
      <c r="V8429" s="19">
        <f>IF($B8429="","",TEXT($B8429,"0000"))</f>
        <v/>
      </c>
      <c r="W8429" s="19">
        <f>IF($I8429="","",IF(ISNUMBER($I8429),TEXT($I8429,"0"),$I8429))</f>
        <v/>
      </c>
    </row>
    <row r="8430">
      <c r="B8430" s="25" t="n"/>
      <c r="I8430" s="25" t="n"/>
      <c r="U8430" s="19">
        <f>IF(AND($V8430='設定'!$C$4,COUNTIF('商品マスタ'!$B$6:$B$1005,$W8430)=0),N(U8429)+1,N(U8429))</f>
        <v/>
      </c>
      <c r="V8430" s="19">
        <f>IF($B8430="","",TEXT($B8430,"0000"))</f>
        <v/>
      </c>
      <c r="W8430" s="19">
        <f>IF($I8430="","",IF(ISNUMBER($I8430),TEXT($I8430,"0"),$I8430))</f>
        <v/>
      </c>
    </row>
    <row r="8431">
      <c r="B8431" s="25" t="n"/>
      <c r="I8431" s="25" t="n"/>
      <c r="U8431" s="19">
        <f>IF(AND($V8431='設定'!$C$4,COUNTIF('商品マスタ'!$B$6:$B$1005,$W8431)=0),N(U8430)+1,N(U8430))</f>
        <v/>
      </c>
      <c r="V8431" s="19">
        <f>IF($B8431="","",TEXT($B8431,"0000"))</f>
        <v/>
      </c>
      <c r="W8431" s="19">
        <f>IF($I8431="","",IF(ISNUMBER($I8431),TEXT($I8431,"0"),$I8431))</f>
        <v/>
      </c>
    </row>
    <row r="8432">
      <c r="B8432" s="25" t="n"/>
      <c r="I8432" s="25" t="n"/>
      <c r="U8432" s="19">
        <f>IF(AND($V8432='設定'!$C$4,COUNTIF('商品マスタ'!$B$6:$B$1005,$W8432)=0),N(U8431)+1,N(U8431))</f>
        <v/>
      </c>
      <c r="V8432" s="19">
        <f>IF($B8432="","",TEXT($B8432,"0000"))</f>
        <v/>
      </c>
      <c r="W8432" s="19">
        <f>IF($I8432="","",IF(ISNUMBER($I8432),TEXT($I8432,"0"),$I8432))</f>
        <v/>
      </c>
    </row>
    <row r="8433">
      <c r="B8433" s="25" t="n"/>
      <c r="I8433" s="25" t="n"/>
      <c r="U8433" s="19">
        <f>IF(AND($V8433='設定'!$C$4,COUNTIF('商品マスタ'!$B$6:$B$1005,$W8433)=0),N(U8432)+1,N(U8432))</f>
        <v/>
      </c>
      <c r="V8433" s="19">
        <f>IF($B8433="","",TEXT($B8433,"0000"))</f>
        <v/>
      </c>
      <c r="W8433" s="19">
        <f>IF($I8433="","",IF(ISNUMBER($I8433),TEXT($I8433,"0"),$I8433))</f>
        <v/>
      </c>
    </row>
    <row r="8434">
      <c r="B8434" s="25" t="n"/>
      <c r="I8434" s="25" t="n"/>
      <c r="U8434" s="19">
        <f>IF(AND($V8434='設定'!$C$4,COUNTIF('商品マスタ'!$B$6:$B$1005,$W8434)=0),N(U8433)+1,N(U8433))</f>
        <v/>
      </c>
      <c r="V8434" s="19">
        <f>IF($B8434="","",TEXT($B8434,"0000"))</f>
        <v/>
      </c>
      <c r="W8434" s="19">
        <f>IF($I8434="","",IF(ISNUMBER($I8434),TEXT($I8434,"0"),$I8434))</f>
        <v/>
      </c>
    </row>
    <row r="8435">
      <c r="B8435" s="25" t="n"/>
      <c r="I8435" s="25" t="n"/>
      <c r="U8435" s="19">
        <f>IF(AND($V8435='設定'!$C$4,COUNTIF('商品マスタ'!$B$6:$B$1005,$W8435)=0),N(U8434)+1,N(U8434))</f>
        <v/>
      </c>
      <c r="V8435" s="19">
        <f>IF($B8435="","",TEXT($B8435,"0000"))</f>
        <v/>
      </c>
      <c r="W8435" s="19">
        <f>IF($I8435="","",IF(ISNUMBER($I8435),TEXT($I8435,"0"),$I8435))</f>
        <v/>
      </c>
    </row>
    <row r="8436">
      <c r="B8436" s="25" t="n"/>
      <c r="I8436" s="25" t="n"/>
      <c r="U8436" s="19">
        <f>IF(AND($V8436='設定'!$C$4,COUNTIF('商品マスタ'!$B$6:$B$1005,$W8436)=0),N(U8435)+1,N(U8435))</f>
        <v/>
      </c>
      <c r="V8436" s="19">
        <f>IF($B8436="","",TEXT($B8436,"0000"))</f>
        <v/>
      </c>
      <c r="W8436" s="19">
        <f>IF($I8436="","",IF(ISNUMBER($I8436),TEXT($I8436,"0"),$I8436))</f>
        <v/>
      </c>
    </row>
    <row r="8437">
      <c r="B8437" s="25" t="n"/>
      <c r="I8437" s="25" t="n"/>
      <c r="U8437" s="19">
        <f>IF(AND($V8437='設定'!$C$4,COUNTIF('商品マスタ'!$B$6:$B$1005,$W8437)=0),N(U8436)+1,N(U8436))</f>
        <v/>
      </c>
      <c r="V8437" s="19">
        <f>IF($B8437="","",TEXT($B8437,"0000"))</f>
        <v/>
      </c>
      <c r="W8437" s="19">
        <f>IF($I8437="","",IF(ISNUMBER($I8437),TEXT($I8437,"0"),$I8437))</f>
        <v/>
      </c>
    </row>
    <row r="8438">
      <c r="B8438" s="25" t="n"/>
      <c r="I8438" s="25" t="n"/>
      <c r="U8438" s="19">
        <f>IF(AND($V8438='設定'!$C$4,COUNTIF('商品マスタ'!$B$6:$B$1005,$W8438)=0),N(U8437)+1,N(U8437))</f>
        <v/>
      </c>
      <c r="V8438" s="19">
        <f>IF($B8438="","",TEXT($B8438,"0000"))</f>
        <v/>
      </c>
      <c r="W8438" s="19">
        <f>IF($I8438="","",IF(ISNUMBER($I8438),TEXT($I8438,"0"),$I8438))</f>
        <v/>
      </c>
    </row>
    <row r="8439">
      <c r="B8439" s="25" t="n"/>
      <c r="I8439" s="25" t="n"/>
      <c r="U8439" s="19">
        <f>IF(AND($V8439='設定'!$C$4,COUNTIF('商品マスタ'!$B$6:$B$1005,$W8439)=0),N(U8438)+1,N(U8438))</f>
        <v/>
      </c>
      <c r="V8439" s="19">
        <f>IF($B8439="","",TEXT($B8439,"0000"))</f>
        <v/>
      </c>
      <c r="W8439" s="19">
        <f>IF($I8439="","",IF(ISNUMBER($I8439),TEXT($I8439,"0"),$I8439))</f>
        <v/>
      </c>
    </row>
    <row r="8440">
      <c r="B8440" s="25" t="n"/>
      <c r="I8440" s="25" t="n"/>
      <c r="U8440" s="19">
        <f>IF(AND($V8440='設定'!$C$4,COUNTIF('商品マスタ'!$B$6:$B$1005,$W8440)=0),N(U8439)+1,N(U8439))</f>
        <v/>
      </c>
      <c r="V8440" s="19">
        <f>IF($B8440="","",TEXT($B8440,"0000"))</f>
        <v/>
      </c>
      <c r="W8440" s="19">
        <f>IF($I8440="","",IF(ISNUMBER($I8440),TEXT($I8440,"0"),$I8440))</f>
        <v/>
      </c>
    </row>
    <row r="8441">
      <c r="B8441" s="25" t="n"/>
      <c r="I8441" s="25" t="n"/>
      <c r="U8441" s="19">
        <f>IF(AND($V8441='設定'!$C$4,COUNTIF('商品マスタ'!$B$6:$B$1005,$W8441)=0),N(U8440)+1,N(U8440))</f>
        <v/>
      </c>
      <c r="V8441" s="19">
        <f>IF($B8441="","",TEXT($B8441,"0000"))</f>
        <v/>
      </c>
      <c r="W8441" s="19">
        <f>IF($I8441="","",IF(ISNUMBER($I8441),TEXT($I8441,"0"),$I8441))</f>
        <v/>
      </c>
    </row>
    <row r="8442">
      <c r="B8442" s="25" t="n"/>
      <c r="I8442" s="25" t="n"/>
      <c r="U8442" s="19">
        <f>IF(AND($V8442='設定'!$C$4,COUNTIF('商品マスタ'!$B$6:$B$1005,$W8442)=0),N(U8441)+1,N(U8441))</f>
        <v/>
      </c>
      <c r="V8442" s="19">
        <f>IF($B8442="","",TEXT($B8442,"0000"))</f>
        <v/>
      </c>
      <c r="W8442" s="19">
        <f>IF($I8442="","",IF(ISNUMBER($I8442),TEXT($I8442,"0"),$I8442))</f>
        <v/>
      </c>
    </row>
    <row r="8443">
      <c r="B8443" s="25" t="n"/>
      <c r="I8443" s="25" t="n"/>
      <c r="U8443" s="19">
        <f>IF(AND($V8443='設定'!$C$4,COUNTIF('商品マスタ'!$B$6:$B$1005,$W8443)=0),N(U8442)+1,N(U8442))</f>
        <v/>
      </c>
      <c r="V8443" s="19">
        <f>IF($B8443="","",TEXT($B8443,"0000"))</f>
        <v/>
      </c>
      <c r="W8443" s="19">
        <f>IF($I8443="","",IF(ISNUMBER($I8443),TEXT($I8443,"0"),$I8443))</f>
        <v/>
      </c>
    </row>
    <row r="8444">
      <c r="B8444" s="25" t="n"/>
      <c r="I8444" s="25" t="n"/>
      <c r="U8444" s="19">
        <f>IF(AND($V8444='設定'!$C$4,COUNTIF('商品マスタ'!$B$6:$B$1005,$W8444)=0),N(U8443)+1,N(U8443))</f>
        <v/>
      </c>
      <c r="V8444" s="19">
        <f>IF($B8444="","",TEXT($B8444,"0000"))</f>
        <v/>
      </c>
      <c r="W8444" s="19">
        <f>IF($I8444="","",IF(ISNUMBER($I8444),TEXT($I8444,"0"),$I8444))</f>
        <v/>
      </c>
    </row>
    <row r="8445">
      <c r="B8445" s="25" t="n"/>
      <c r="I8445" s="25" t="n"/>
      <c r="U8445" s="19">
        <f>IF(AND($V8445='設定'!$C$4,COUNTIF('商品マスタ'!$B$6:$B$1005,$W8445)=0),N(U8444)+1,N(U8444))</f>
        <v/>
      </c>
      <c r="V8445" s="19">
        <f>IF($B8445="","",TEXT($B8445,"0000"))</f>
        <v/>
      </c>
      <c r="W8445" s="19">
        <f>IF($I8445="","",IF(ISNUMBER($I8445),TEXT($I8445,"0"),$I8445))</f>
        <v/>
      </c>
    </row>
    <row r="8446">
      <c r="B8446" s="25" t="n"/>
      <c r="I8446" s="25" t="n"/>
      <c r="U8446" s="19">
        <f>IF(AND($V8446='設定'!$C$4,COUNTIF('商品マスタ'!$B$6:$B$1005,$W8446)=0),N(U8445)+1,N(U8445))</f>
        <v/>
      </c>
      <c r="V8446" s="19">
        <f>IF($B8446="","",TEXT($B8446,"0000"))</f>
        <v/>
      </c>
      <c r="W8446" s="19">
        <f>IF($I8446="","",IF(ISNUMBER($I8446),TEXT($I8446,"0"),$I8446))</f>
        <v/>
      </c>
    </row>
    <row r="8447">
      <c r="B8447" s="25" t="n"/>
      <c r="I8447" s="25" t="n"/>
      <c r="U8447" s="19">
        <f>IF(AND($V8447='設定'!$C$4,COUNTIF('商品マスタ'!$B$6:$B$1005,$W8447)=0),N(U8446)+1,N(U8446))</f>
        <v/>
      </c>
      <c r="V8447" s="19">
        <f>IF($B8447="","",TEXT($B8447,"0000"))</f>
        <v/>
      </c>
      <c r="W8447" s="19">
        <f>IF($I8447="","",IF(ISNUMBER($I8447),TEXT($I8447,"0"),$I8447))</f>
        <v/>
      </c>
    </row>
    <row r="8448">
      <c r="B8448" s="25" t="n"/>
      <c r="I8448" s="25" t="n"/>
      <c r="U8448" s="19">
        <f>IF(AND($V8448='設定'!$C$4,COUNTIF('商品マスタ'!$B$6:$B$1005,$W8448)=0),N(U8447)+1,N(U8447))</f>
        <v/>
      </c>
      <c r="V8448" s="19">
        <f>IF($B8448="","",TEXT($B8448,"0000"))</f>
        <v/>
      </c>
      <c r="W8448" s="19">
        <f>IF($I8448="","",IF(ISNUMBER($I8448),TEXT($I8448,"0"),$I8448))</f>
        <v/>
      </c>
    </row>
    <row r="8449">
      <c r="B8449" s="25" t="n"/>
      <c r="I8449" s="25" t="n"/>
      <c r="U8449" s="19">
        <f>IF(AND($V8449='設定'!$C$4,COUNTIF('商品マスタ'!$B$6:$B$1005,$W8449)=0),N(U8448)+1,N(U8448))</f>
        <v/>
      </c>
      <c r="V8449" s="19">
        <f>IF($B8449="","",TEXT($B8449,"0000"))</f>
        <v/>
      </c>
      <c r="W8449" s="19">
        <f>IF($I8449="","",IF(ISNUMBER($I8449),TEXT($I8449,"0"),$I8449))</f>
        <v/>
      </c>
    </row>
    <row r="8450">
      <c r="B8450" s="25" t="n"/>
      <c r="I8450" s="25" t="n"/>
      <c r="U8450" s="19">
        <f>IF(AND($V8450='設定'!$C$4,COUNTIF('商品マスタ'!$B$6:$B$1005,$W8450)=0),N(U8449)+1,N(U8449))</f>
        <v/>
      </c>
      <c r="V8450" s="19">
        <f>IF($B8450="","",TEXT($B8450,"0000"))</f>
        <v/>
      </c>
      <c r="W8450" s="19">
        <f>IF($I8450="","",IF(ISNUMBER($I8450),TEXT($I8450,"0"),$I8450))</f>
        <v/>
      </c>
    </row>
    <row r="8451">
      <c r="B8451" s="25" t="n"/>
      <c r="I8451" s="25" t="n"/>
      <c r="U8451" s="19">
        <f>IF(AND($V8451='設定'!$C$4,COUNTIF('商品マスタ'!$B$6:$B$1005,$W8451)=0),N(U8450)+1,N(U8450))</f>
        <v/>
      </c>
      <c r="V8451" s="19">
        <f>IF($B8451="","",TEXT($B8451,"0000"))</f>
        <v/>
      </c>
      <c r="W8451" s="19">
        <f>IF($I8451="","",IF(ISNUMBER($I8451),TEXT($I8451,"0"),$I8451))</f>
        <v/>
      </c>
    </row>
    <row r="8452">
      <c r="B8452" s="25" t="n"/>
      <c r="I8452" s="25" t="n"/>
      <c r="U8452" s="19">
        <f>IF(AND($V8452='設定'!$C$4,COUNTIF('商品マスタ'!$B$6:$B$1005,$W8452)=0),N(U8451)+1,N(U8451))</f>
        <v/>
      </c>
      <c r="V8452" s="19">
        <f>IF($B8452="","",TEXT($B8452,"0000"))</f>
        <v/>
      </c>
      <c r="W8452" s="19">
        <f>IF($I8452="","",IF(ISNUMBER($I8452),TEXT($I8452,"0"),$I8452))</f>
        <v/>
      </c>
    </row>
    <row r="8453">
      <c r="B8453" s="25" t="n"/>
      <c r="I8453" s="25" t="n"/>
      <c r="U8453" s="19">
        <f>IF(AND($V8453='設定'!$C$4,COUNTIF('商品マスタ'!$B$6:$B$1005,$W8453)=0),N(U8452)+1,N(U8452))</f>
        <v/>
      </c>
      <c r="V8453" s="19">
        <f>IF($B8453="","",TEXT($B8453,"0000"))</f>
        <v/>
      </c>
      <c r="W8453" s="19">
        <f>IF($I8453="","",IF(ISNUMBER($I8453),TEXT($I8453,"0"),$I8453))</f>
        <v/>
      </c>
    </row>
    <row r="8454">
      <c r="B8454" s="25" t="n"/>
      <c r="I8454" s="25" t="n"/>
      <c r="U8454" s="19">
        <f>IF(AND($V8454='設定'!$C$4,COUNTIF('商品マスタ'!$B$6:$B$1005,$W8454)=0),N(U8453)+1,N(U8453))</f>
        <v/>
      </c>
      <c r="V8454" s="19">
        <f>IF($B8454="","",TEXT($B8454,"0000"))</f>
        <v/>
      </c>
      <c r="W8454" s="19">
        <f>IF($I8454="","",IF(ISNUMBER($I8454),TEXT($I8454,"0"),$I8454))</f>
        <v/>
      </c>
    </row>
    <row r="8455">
      <c r="B8455" s="25" t="n"/>
      <c r="I8455" s="25" t="n"/>
      <c r="U8455" s="19">
        <f>IF(AND($V8455='設定'!$C$4,COUNTIF('商品マスタ'!$B$6:$B$1005,$W8455)=0),N(U8454)+1,N(U8454))</f>
        <v/>
      </c>
      <c r="V8455" s="19">
        <f>IF($B8455="","",TEXT($B8455,"0000"))</f>
        <v/>
      </c>
      <c r="W8455" s="19">
        <f>IF($I8455="","",IF(ISNUMBER($I8455),TEXT($I8455,"0"),$I8455))</f>
        <v/>
      </c>
    </row>
    <row r="8456">
      <c r="B8456" s="25" t="n"/>
      <c r="I8456" s="25" t="n"/>
      <c r="U8456" s="19">
        <f>IF(AND($V8456='設定'!$C$4,COUNTIF('商品マスタ'!$B$6:$B$1005,$W8456)=0),N(U8455)+1,N(U8455))</f>
        <v/>
      </c>
      <c r="V8456" s="19">
        <f>IF($B8456="","",TEXT($B8456,"0000"))</f>
        <v/>
      </c>
      <c r="W8456" s="19">
        <f>IF($I8456="","",IF(ISNUMBER($I8456),TEXT($I8456,"0"),$I8456))</f>
        <v/>
      </c>
    </row>
    <row r="8457">
      <c r="B8457" s="25" t="n"/>
      <c r="I8457" s="25" t="n"/>
      <c r="U8457" s="19">
        <f>IF(AND($V8457='設定'!$C$4,COUNTIF('商品マスタ'!$B$6:$B$1005,$W8457)=0),N(U8456)+1,N(U8456))</f>
        <v/>
      </c>
      <c r="V8457" s="19">
        <f>IF($B8457="","",TEXT($B8457,"0000"))</f>
        <v/>
      </c>
      <c r="W8457" s="19">
        <f>IF($I8457="","",IF(ISNUMBER($I8457),TEXT($I8457,"0"),$I8457))</f>
        <v/>
      </c>
    </row>
    <row r="8458">
      <c r="B8458" s="25" t="n"/>
      <c r="I8458" s="25" t="n"/>
      <c r="U8458" s="19">
        <f>IF(AND($V8458='設定'!$C$4,COUNTIF('商品マスタ'!$B$6:$B$1005,$W8458)=0),N(U8457)+1,N(U8457))</f>
        <v/>
      </c>
      <c r="V8458" s="19">
        <f>IF($B8458="","",TEXT($B8458,"0000"))</f>
        <v/>
      </c>
      <c r="W8458" s="19">
        <f>IF($I8458="","",IF(ISNUMBER($I8458),TEXT($I8458,"0"),$I8458))</f>
        <v/>
      </c>
    </row>
    <row r="8459">
      <c r="B8459" s="25" t="n"/>
      <c r="I8459" s="25" t="n"/>
      <c r="U8459" s="19">
        <f>IF(AND($V8459='設定'!$C$4,COUNTIF('商品マスタ'!$B$6:$B$1005,$W8459)=0),N(U8458)+1,N(U8458))</f>
        <v/>
      </c>
      <c r="V8459" s="19">
        <f>IF($B8459="","",TEXT($B8459,"0000"))</f>
        <v/>
      </c>
      <c r="W8459" s="19">
        <f>IF($I8459="","",IF(ISNUMBER($I8459),TEXT($I8459,"0"),$I8459))</f>
        <v/>
      </c>
    </row>
    <row r="8460">
      <c r="B8460" s="25" t="n"/>
      <c r="I8460" s="25" t="n"/>
      <c r="U8460" s="19">
        <f>IF(AND($V8460='設定'!$C$4,COUNTIF('商品マスタ'!$B$6:$B$1005,$W8460)=0),N(U8459)+1,N(U8459))</f>
        <v/>
      </c>
      <c r="V8460" s="19">
        <f>IF($B8460="","",TEXT($B8460,"0000"))</f>
        <v/>
      </c>
      <c r="W8460" s="19">
        <f>IF($I8460="","",IF(ISNUMBER($I8460),TEXT($I8460,"0"),$I8460))</f>
        <v/>
      </c>
    </row>
    <row r="8461">
      <c r="B8461" s="25" t="n"/>
      <c r="I8461" s="25" t="n"/>
      <c r="U8461" s="19">
        <f>IF(AND($V8461='設定'!$C$4,COUNTIF('商品マスタ'!$B$6:$B$1005,$W8461)=0),N(U8460)+1,N(U8460))</f>
        <v/>
      </c>
      <c r="V8461" s="19">
        <f>IF($B8461="","",TEXT($B8461,"0000"))</f>
        <v/>
      </c>
      <c r="W8461" s="19">
        <f>IF($I8461="","",IF(ISNUMBER($I8461),TEXT($I8461,"0"),$I8461))</f>
        <v/>
      </c>
    </row>
    <row r="8462">
      <c r="B8462" s="25" t="n"/>
      <c r="I8462" s="25" t="n"/>
      <c r="U8462" s="19">
        <f>IF(AND($V8462='設定'!$C$4,COUNTIF('商品マスタ'!$B$6:$B$1005,$W8462)=0),N(U8461)+1,N(U8461))</f>
        <v/>
      </c>
      <c r="V8462" s="19">
        <f>IF($B8462="","",TEXT($B8462,"0000"))</f>
        <v/>
      </c>
      <c r="W8462" s="19">
        <f>IF($I8462="","",IF(ISNUMBER($I8462),TEXT($I8462,"0"),$I8462))</f>
        <v/>
      </c>
    </row>
    <row r="8463">
      <c r="B8463" s="25" t="n"/>
      <c r="I8463" s="25" t="n"/>
      <c r="U8463" s="19">
        <f>IF(AND($V8463='設定'!$C$4,COUNTIF('商品マスタ'!$B$6:$B$1005,$W8463)=0),N(U8462)+1,N(U8462))</f>
        <v/>
      </c>
      <c r="V8463" s="19">
        <f>IF($B8463="","",TEXT($B8463,"0000"))</f>
        <v/>
      </c>
      <c r="W8463" s="19">
        <f>IF($I8463="","",IF(ISNUMBER($I8463),TEXT($I8463,"0"),$I8463))</f>
        <v/>
      </c>
    </row>
    <row r="8464">
      <c r="B8464" s="25" t="n"/>
      <c r="I8464" s="25" t="n"/>
      <c r="U8464" s="19">
        <f>IF(AND($V8464='設定'!$C$4,COUNTIF('商品マスタ'!$B$6:$B$1005,$W8464)=0),N(U8463)+1,N(U8463))</f>
        <v/>
      </c>
      <c r="V8464" s="19">
        <f>IF($B8464="","",TEXT($B8464,"0000"))</f>
        <v/>
      </c>
      <c r="W8464" s="19">
        <f>IF($I8464="","",IF(ISNUMBER($I8464),TEXT($I8464,"0"),$I8464))</f>
        <v/>
      </c>
    </row>
    <row r="8465">
      <c r="B8465" s="25" t="n"/>
      <c r="I8465" s="25" t="n"/>
      <c r="U8465" s="19">
        <f>IF(AND($V8465='設定'!$C$4,COUNTIF('商品マスタ'!$B$6:$B$1005,$W8465)=0),N(U8464)+1,N(U8464))</f>
        <v/>
      </c>
      <c r="V8465" s="19">
        <f>IF($B8465="","",TEXT($B8465,"0000"))</f>
        <v/>
      </c>
      <c r="W8465" s="19">
        <f>IF($I8465="","",IF(ISNUMBER($I8465),TEXT($I8465,"0"),$I8465))</f>
        <v/>
      </c>
    </row>
    <row r="8466">
      <c r="B8466" s="25" t="n"/>
      <c r="I8466" s="25" t="n"/>
      <c r="U8466" s="19">
        <f>IF(AND($V8466='設定'!$C$4,COUNTIF('商品マスタ'!$B$6:$B$1005,$W8466)=0),N(U8465)+1,N(U8465))</f>
        <v/>
      </c>
      <c r="V8466" s="19">
        <f>IF($B8466="","",TEXT($B8466,"0000"))</f>
        <v/>
      </c>
      <c r="W8466" s="19">
        <f>IF($I8466="","",IF(ISNUMBER($I8466),TEXT($I8466,"0"),$I8466))</f>
        <v/>
      </c>
    </row>
    <row r="8467">
      <c r="B8467" s="25" t="n"/>
      <c r="I8467" s="25" t="n"/>
      <c r="U8467" s="19">
        <f>IF(AND($V8467='設定'!$C$4,COUNTIF('商品マスタ'!$B$6:$B$1005,$W8467)=0),N(U8466)+1,N(U8466))</f>
        <v/>
      </c>
      <c r="V8467" s="19">
        <f>IF($B8467="","",TEXT($B8467,"0000"))</f>
        <v/>
      </c>
      <c r="W8467" s="19">
        <f>IF($I8467="","",IF(ISNUMBER($I8467),TEXT($I8467,"0"),$I8467))</f>
        <v/>
      </c>
    </row>
    <row r="8468">
      <c r="B8468" s="25" t="n"/>
      <c r="I8468" s="25" t="n"/>
      <c r="U8468" s="19">
        <f>IF(AND($V8468='設定'!$C$4,COUNTIF('商品マスタ'!$B$6:$B$1005,$W8468)=0),N(U8467)+1,N(U8467))</f>
        <v/>
      </c>
      <c r="V8468" s="19">
        <f>IF($B8468="","",TEXT($B8468,"0000"))</f>
        <v/>
      </c>
      <c r="W8468" s="19">
        <f>IF($I8468="","",IF(ISNUMBER($I8468),TEXT($I8468,"0"),$I8468))</f>
        <v/>
      </c>
    </row>
    <row r="8469">
      <c r="B8469" s="25" t="n"/>
      <c r="I8469" s="25" t="n"/>
      <c r="U8469" s="19">
        <f>IF(AND($V8469='設定'!$C$4,COUNTIF('商品マスタ'!$B$6:$B$1005,$W8469)=0),N(U8468)+1,N(U8468))</f>
        <v/>
      </c>
      <c r="V8469" s="19">
        <f>IF($B8469="","",TEXT($B8469,"0000"))</f>
        <v/>
      </c>
      <c r="W8469" s="19">
        <f>IF($I8469="","",IF(ISNUMBER($I8469),TEXT($I8469,"0"),$I8469))</f>
        <v/>
      </c>
    </row>
    <row r="8470">
      <c r="B8470" s="25" t="n"/>
      <c r="I8470" s="25" t="n"/>
      <c r="U8470" s="19">
        <f>IF(AND($V8470='設定'!$C$4,COUNTIF('商品マスタ'!$B$6:$B$1005,$W8470)=0),N(U8469)+1,N(U8469))</f>
        <v/>
      </c>
      <c r="V8470" s="19">
        <f>IF($B8470="","",TEXT($B8470,"0000"))</f>
        <v/>
      </c>
      <c r="W8470" s="19">
        <f>IF($I8470="","",IF(ISNUMBER($I8470),TEXT($I8470,"0"),$I8470))</f>
        <v/>
      </c>
    </row>
    <row r="8471">
      <c r="B8471" s="25" t="n"/>
      <c r="I8471" s="25" t="n"/>
      <c r="U8471" s="19">
        <f>IF(AND($V8471='設定'!$C$4,COUNTIF('商品マスタ'!$B$6:$B$1005,$W8471)=0),N(U8470)+1,N(U8470))</f>
        <v/>
      </c>
      <c r="V8471" s="19">
        <f>IF($B8471="","",TEXT($B8471,"0000"))</f>
        <v/>
      </c>
      <c r="W8471" s="19">
        <f>IF($I8471="","",IF(ISNUMBER($I8471),TEXT($I8471,"0"),$I8471))</f>
        <v/>
      </c>
    </row>
    <row r="8472">
      <c r="B8472" s="25" t="n"/>
      <c r="I8472" s="25" t="n"/>
      <c r="U8472" s="19">
        <f>IF(AND($V8472='設定'!$C$4,COUNTIF('商品マスタ'!$B$6:$B$1005,$W8472)=0),N(U8471)+1,N(U8471))</f>
        <v/>
      </c>
      <c r="V8472" s="19">
        <f>IF($B8472="","",TEXT($B8472,"0000"))</f>
        <v/>
      </c>
      <c r="W8472" s="19">
        <f>IF($I8472="","",IF(ISNUMBER($I8472),TEXT($I8472,"0"),$I8472))</f>
        <v/>
      </c>
    </row>
    <row r="8473">
      <c r="B8473" s="25" t="n"/>
      <c r="I8473" s="25" t="n"/>
      <c r="U8473" s="19">
        <f>IF(AND($V8473='設定'!$C$4,COUNTIF('商品マスタ'!$B$6:$B$1005,$W8473)=0),N(U8472)+1,N(U8472))</f>
        <v/>
      </c>
      <c r="V8473" s="19">
        <f>IF($B8473="","",TEXT($B8473,"0000"))</f>
        <v/>
      </c>
      <c r="W8473" s="19">
        <f>IF($I8473="","",IF(ISNUMBER($I8473),TEXT($I8473,"0"),$I8473))</f>
        <v/>
      </c>
    </row>
    <row r="8474">
      <c r="B8474" s="25" t="n"/>
      <c r="I8474" s="25" t="n"/>
      <c r="U8474" s="19">
        <f>IF(AND($V8474='設定'!$C$4,COUNTIF('商品マスタ'!$B$6:$B$1005,$W8474)=0),N(U8473)+1,N(U8473))</f>
        <v/>
      </c>
      <c r="V8474" s="19">
        <f>IF($B8474="","",TEXT($B8474,"0000"))</f>
        <v/>
      </c>
      <c r="W8474" s="19">
        <f>IF($I8474="","",IF(ISNUMBER($I8474),TEXT($I8474,"0"),$I8474))</f>
        <v/>
      </c>
    </row>
    <row r="8475">
      <c r="B8475" s="25" t="n"/>
      <c r="I8475" s="25" t="n"/>
      <c r="U8475" s="19">
        <f>IF(AND($V8475='設定'!$C$4,COUNTIF('商品マスタ'!$B$6:$B$1005,$W8475)=0),N(U8474)+1,N(U8474))</f>
        <v/>
      </c>
      <c r="V8475" s="19">
        <f>IF($B8475="","",TEXT($B8475,"0000"))</f>
        <v/>
      </c>
      <c r="W8475" s="19">
        <f>IF($I8475="","",IF(ISNUMBER($I8475),TEXT($I8475,"0"),$I8475))</f>
        <v/>
      </c>
    </row>
    <row r="8476">
      <c r="B8476" s="25" t="n"/>
      <c r="I8476" s="25" t="n"/>
      <c r="U8476" s="19">
        <f>IF(AND($V8476='設定'!$C$4,COUNTIF('商品マスタ'!$B$6:$B$1005,$W8476)=0),N(U8475)+1,N(U8475))</f>
        <v/>
      </c>
      <c r="V8476" s="19">
        <f>IF($B8476="","",TEXT($B8476,"0000"))</f>
        <v/>
      </c>
      <c r="W8476" s="19">
        <f>IF($I8476="","",IF(ISNUMBER($I8476),TEXT($I8476,"0"),$I8476))</f>
        <v/>
      </c>
    </row>
    <row r="8477">
      <c r="B8477" s="25" t="n"/>
      <c r="I8477" s="25" t="n"/>
      <c r="U8477" s="19">
        <f>IF(AND($V8477='設定'!$C$4,COUNTIF('商品マスタ'!$B$6:$B$1005,$W8477)=0),N(U8476)+1,N(U8476))</f>
        <v/>
      </c>
      <c r="V8477" s="19">
        <f>IF($B8477="","",TEXT($B8477,"0000"))</f>
        <v/>
      </c>
      <c r="W8477" s="19">
        <f>IF($I8477="","",IF(ISNUMBER($I8477),TEXT($I8477,"0"),$I8477))</f>
        <v/>
      </c>
    </row>
    <row r="8478">
      <c r="B8478" s="25" t="n"/>
      <c r="I8478" s="25" t="n"/>
      <c r="U8478" s="19">
        <f>IF(AND($V8478='設定'!$C$4,COUNTIF('商品マスタ'!$B$6:$B$1005,$W8478)=0),N(U8477)+1,N(U8477))</f>
        <v/>
      </c>
      <c r="V8478" s="19">
        <f>IF($B8478="","",TEXT($B8478,"0000"))</f>
        <v/>
      </c>
      <c r="W8478" s="19">
        <f>IF($I8478="","",IF(ISNUMBER($I8478),TEXT($I8478,"0"),$I8478))</f>
        <v/>
      </c>
    </row>
    <row r="8479">
      <c r="B8479" s="25" t="n"/>
      <c r="I8479" s="25" t="n"/>
      <c r="U8479" s="19">
        <f>IF(AND($V8479='設定'!$C$4,COUNTIF('商品マスタ'!$B$6:$B$1005,$W8479)=0),N(U8478)+1,N(U8478))</f>
        <v/>
      </c>
      <c r="V8479" s="19">
        <f>IF($B8479="","",TEXT($B8479,"0000"))</f>
        <v/>
      </c>
      <c r="W8479" s="19">
        <f>IF($I8479="","",IF(ISNUMBER($I8479),TEXT($I8479,"0"),$I8479))</f>
        <v/>
      </c>
    </row>
    <row r="8480">
      <c r="B8480" s="25" t="n"/>
      <c r="I8480" s="25" t="n"/>
      <c r="U8480" s="19">
        <f>IF(AND($V8480='設定'!$C$4,COUNTIF('商品マスタ'!$B$6:$B$1005,$W8480)=0),N(U8479)+1,N(U8479))</f>
        <v/>
      </c>
      <c r="V8480" s="19">
        <f>IF($B8480="","",TEXT($B8480,"0000"))</f>
        <v/>
      </c>
      <c r="W8480" s="19">
        <f>IF($I8480="","",IF(ISNUMBER($I8480),TEXT($I8480,"0"),$I8480))</f>
        <v/>
      </c>
    </row>
    <row r="8481">
      <c r="B8481" s="25" t="n"/>
      <c r="I8481" s="25" t="n"/>
      <c r="U8481" s="19">
        <f>IF(AND($V8481='設定'!$C$4,COUNTIF('商品マスタ'!$B$6:$B$1005,$W8481)=0),N(U8480)+1,N(U8480))</f>
        <v/>
      </c>
      <c r="V8481" s="19">
        <f>IF($B8481="","",TEXT($B8481,"0000"))</f>
        <v/>
      </c>
      <c r="W8481" s="19">
        <f>IF($I8481="","",IF(ISNUMBER($I8481),TEXT($I8481,"0"),$I8481))</f>
        <v/>
      </c>
    </row>
    <row r="8482">
      <c r="B8482" s="25" t="n"/>
      <c r="I8482" s="25" t="n"/>
      <c r="U8482" s="19">
        <f>IF(AND($V8482='設定'!$C$4,COUNTIF('商品マスタ'!$B$6:$B$1005,$W8482)=0),N(U8481)+1,N(U8481))</f>
        <v/>
      </c>
      <c r="V8482" s="19">
        <f>IF($B8482="","",TEXT($B8482,"0000"))</f>
        <v/>
      </c>
      <c r="W8482" s="19">
        <f>IF($I8482="","",IF(ISNUMBER($I8482),TEXT($I8482,"0"),$I8482))</f>
        <v/>
      </c>
    </row>
    <row r="8483">
      <c r="B8483" s="25" t="n"/>
      <c r="I8483" s="25" t="n"/>
      <c r="U8483" s="19">
        <f>IF(AND($V8483='設定'!$C$4,COUNTIF('商品マスタ'!$B$6:$B$1005,$W8483)=0),N(U8482)+1,N(U8482))</f>
        <v/>
      </c>
      <c r="V8483" s="19">
        <f>IF($B8483="","",TEXT($B8483,"0000"))</f>
        <v/>
      </c>
      <c r="W8483" s="19">
        <f>IF($I8483="","",IF(ISNUMBER($I8483),TEXT($I8483,"0"),$I8483))</f>
        <v/>
      </c>
    </row>
    <row r="8484">
      <c r="B8484" s="25" t="n"/>
      <c r="I8484" s="25" t="n"/>
      <c r="U8484" s="19">
        <f>IF(AND($V8484='設定'!$C$4,COUNTIF('商品マスタ'!$B$6:$B$1005,$W8484)=0),N(U8483)+1,N(U8483))</f>
        <v/>
      </c>
      <c r="V8484" s="19">
        <f>IF($B8484="","",TEXT($B8484,"0000"))</f>
        <v/>
      </c>
      <c r="W8484" s="19">
        <f>IF($I8484="","",IF(ISNUMBER($I8484),TEXT($I8484,"0"),$I8484))</f>
        <v/>
      </c>
    </row>
    <row r="8485">
      <c r="B8485" s="25" t="n"/>
      <c r="I8485" s="25" t="n"/>
      <c r="U8485" s="19">
        <f>IF(AND($V8485='設定'!$C$4,COUNTIF('商品マスタ'!$B$6:$B$1005,$W8485)=0),N(U8484)+1,N(U8484))</f>
        <v/>
      </c>
      <c r="V8485" s="19">
        <f>IF($B8485="","",TEXT($B8485,"0000"))</f>
        <v/>
      </c>
      <c r="W8485" s="19">
        <f>IF($I8485="","",IF(ISNUMBER($I8485),TEXT($I8485,"0"),$I8485))</f>
        <v/>
      </c>
    </row>
    <row r="8486">
      <c r="B8486" s="25" t="n"/>
      <c r="I8486" s="25" t="n"/>
      <c r="U8486" s="19">
        <f>IF(AND($V8486='設定'!$C$4,COUNTIF('商品マスタ'!$B$6:$B$1005,$W8486)=0),N(U8485)+1,N(U8485))</f>
        <v/>
      </c>
      <c r="V8486" s="19">
        <f>IF($B8486="","",TEXT($B8486,"0000"))</f>
        <v/>
      </c>
      <c r="W8486" s="19">
        <f>IF($I8486="","",IF(ISNUMBER($I8486),TEXT($I8486,"0"),$I8486))</f>
        <v/>
      </c>
    </row>
    <row r="8487">
      <c r="B8487" s="25" t="n"/>
      <c r="I8487" s="25" t="n"/>
      <c r="U8487" s="19">
        <f>IF(AND($V8487='設定'!$C$4,COUNTIF('商品マスタ'!$B$6:$B$1005,$W8487)=0),N(U8486)+1,N(U8486))</f>
        <v/>
      </c>
      <c r="V8487" s="19">
        <f>IF($B8487="","",TEXT($B8487,"0000"))</f>
        <v/>
      </c>
      <c r="W8487" s="19">
        <f>IF($I8487="","",IF(ISNUMBER($I8487),TEXT($I8487,"0"),$I8487))</f>
        <v/>
      </c>
    </row>
    <row r="8488">
      <c r="B8488" s="25" t="n"/>
      <c r="I8488" s="25" t="n"/>
      <c r="U8488" s="19">
        <f>IF(AND($V8488='設定'!$C$4,COUNTIF('商品マスタ'!$B$6:$B$1005,$W8488)=0),N(U8487)+1,N(U8487))</f>
        <v/>
      </c>
      <c r="V8488" s="19">
        <f>IF($B8488="","",TEXT($B8488,"0000"))</f>
        <v/>
      </c>
      <c r="W8488" s="19">
        <f>IF($I8488="","",IF(ISNUMBER($I8488),TEXT($I8488,"0"),$I8488))</f>
        <v/>
      </c>
    </row>
    <row r="8489">
      <c r="B8489" s="25" t="n"/>
      <c r="I8489" s="25" t="n"/>
      <c r="U8489" s="19">
        <f>IF(AND($V8489='設定'!$C$4,COUNTIF('商品マスタ'!$B$6:$B$1005,$W8489)=0),N(U8488)+1,N(U8488))</f>
        <v/>
      </c>
      <c r="V8489" s="19">
        <f>IF($B8489="","",TEXT($B8489,"0000"))</f>
        <v/>
      </c>
      <c r="W8489" s="19">
        <f>IF($I8489="","",IF(ISNUMBER($I8489),TEXT($I8489,"0"),$I8489))</f>
        <v/>
      </c>
    </row>
    <row r="8490">
      <c r="B8490" s="25" t="n"/>
      <c r="I8490" s="25" t="n"/>
      <c r="U8490" s="19">
        <f>IF(AND($V8490='設定'!$C$4,COUNTIF('商品マスタ'!$B$6:$B$1005,$W8490)=0),N(U8489)+1,N(U8489))</f>
        <v/>
      </c>
      <c r="V8490" s="19">
        <f>IF($B8490="","",TEXT($B8490,"0000"))</f>
        <v/>
      </c>
      <c r="W8490" s="19">
        <f>IF($I8490="","",IF(ISNUMBER($I8490),TEXT($I8490,"0"),$I8490))</f>
        <v/>
      </c>
    </row>
    <row r="8491">
      <c r="B8491" s="25" t="n"/>
      <c r="I8491" s="25" t="n"/>
      <c r="U8491" s="19">
        <f>IF(AND($V8491='設定'!$C$4,COUNTIF('商品マスタ'!$B$6:$B$1005,$W8491)=0),N(U8490)+1,N(U8490))</f>
        <v/>
      </c>
      <c r="V8491" s="19">
        <f>IF($B8491="","",TEXT($B8491,"0000"))</f>
        <v/>
      </c>
      <c r="W8491" s="19">
        <f>IF($I8491="","",IF(ISNUMBER($I8491),TEXT($I8491,"0"),$I8491))</f>
        <v/>
      </c>
    </row>
    <row r="8492">
      <c r="B8492" s="25" t="n"/>
      <c r="I8492" s="25" t="n"/>
      <c r="U8492" s="19">
        <f>IF(AND($V8492='設定'!$C$4,COUNTIF('商品マスタ'!$B$6:$B$1005,$W8492)=0),N(U8491)+1,N(U8491))</f>
        <v/>
      </c>
      <c r="V8492" s="19">
        <f>IF($B8492="","",TEXT($B8492,"0000"))</f>
        <v/>
      </c>
      <c r="W8492" s="19">
        <f>IF($I8492="","",IF(ISNUMBER($I8492),TEXT($I8492,"0"),$I8492))</f>
        <v/>
      </c>
    </row>
    <row r="8493">
      <c r="B8493" s="25" t="n"/>
      <c r="I8493" s="25" t="n"/>
      <c r="U8493" s="19">
        <f>IF(AND($V8493='設定'!$C$4,COUNTIF('商品マスタ'!$B$6:$B$1005,$W8493)=0),N(U8492)+1,N(U8492))</f>
        <v/>
      </c>
      <c r="V8493" s="19">
        <f>IF($B8493="","",TEXT($B8493,"0000"))</f>
        <v/>
      </c>
      <c r="W8493" s="19">
        <f>IF($I8493="","",IF(ISNUMBER($I8493),TEXT($I8493,"0"),$I8493))</f>
        <v/>
      </c>
    </row>
    <row r="8494">
      <c r="B8494" s="25" t="n"/>
      <c r="I8494" s="25" t="n"/>
      <c r="U8494" s="19">
        <f>IF(AND($V8494='設定'!$C$4,COUNTIF('商品マスタ'!$B$6:$B$1005,$W8494)=0),N(U8493)+1,N(U8493))</f>
        <v/>
      </c>
      <c r="V8494" s="19">
        <f>IF($B8494="","",TEXT($B8494,"0000"))</f>
        <v/>
      </c>
      <c r="W8494" s="19">
        <f>IF($I8494="","",IF(ISNUMBER($I8494),TEXT($I8494,"0"),$I8494))</f>
        <v/>
      </c>
    </row>
    <row r="8495">
      <c r="B8495" s="25" t="n"/>
      <c r="I8495" s="25" t="n"/>
      <c r="U8495" s="19">
        <f>IF(AND($V8495='設定'!$C$4,COUNTIF('商品マスタ'!$B$6:$B$1005,$W8495)=0),N(U8494)+1,N(U8494))</f>
        <v/>
      </c>
      <c r="V8495" s="19">
        <f>IF($B8495="","",TEXT($B8495,"0000"))</f>
        <v/>
      </c>
      <c r="W8495" s="19">
        <f>IF($I8495="","",IF(ISNUMBER($I8495),TEXT($I8495,"0"),$I8495))</f>
        <v/>
      </c>
    </row>
    <row r="8496">
      <c r="B8496" s="25" t="n"/>
      <c r="I8496" s="25" t="n"/>
      <c r="U8496" s="19">
        <f>IF(AND($V8496='設定'!$C$4,COUNTIF('商品マスタ'!$B$6:$B$1005,$W8496)=0),N(U8495)+1,N(U8495))</f>
        <v/>
      </c>
      <c r="V8496" s="19">
        <f>IF($B8496="","",TEXT($B8496,"0000"))</f>
        <v/>
      </c>
      <c r="W8496" s="19">
        <f>IF($I8496="","",IF(ISNUMBER($I8496),TEXT($I8496,"0"),$I8496))</f>
        <v/>
      </c>
    </row>
    <row r="8497">
      <c r="B8497" s="25" t="n"/>
      <c r="I8497" s="25" t="n"/>
      <c r="U8497" s="19">
        <f>IF(AND($V8497='設定'!$C$4,COUNTIF('商品マスタ'!$B$6:$B$1005,$W8497)=0),N(U8496)+1,N(U8496))</f>
        <v/>
      </c>
      <c r="V8497" s="19">
        <f>IF($B8497="","",TEXT($B8497,"0000"))</f>
        <v/>
      </c>
      <c r="W8497" s="19">
        <f>IF($I8497="","",IF(ISNUMBER($I8497),TEXT($I8497,"0"),$I8497))</f>
        <v/>
      </c>
    </row>
    <row r="8498">
      <c r="B8498" s="25" t="n"/>
      <c r="I8498" s="25" t="n"/>
      <c r="U8498" s="19">
        <f>IF(AND($V8498='設定'!$C$4,COUNTIF('商品マスタ'!$B$6:$B$1005,$W8498)=0),N(U8497)+1,N(U8497))</f>
        <v/>
      </c>
      <c r="V8498" s="19">
        <f>IF($B8498="","",TEXT($B8498,"0000"))</f>
        <v/>
      </c>
      <c r="W8498" s="19">
        <f>IF($I8498="","",IF(ISNUMBER($I8498),TEXT($I8498,"0"),$I8498))</f>
        <v/>
      </c>
    </row>
    <row r="8499">
      <c r="B8499" s="25" t="n"/>
      <c r="I8499" s="25" t="n"/>
      <c r="U8499" s="19">
        <f>IF(AND($V8499='設定'!$C$4,COUNTIF('商品マスタ'!$B$6:$B$1005,$W8499)=0),N(U8498)+1,N(U8498))</f>
        <v/>
      </c>
      <c r="V8499" s="19">
        <f>IF($B8499="","",TEXT($B8499,"0000"))</f>
        <v/>
      </c>
      <c r="W8499" s="19">
        <f>IF($I8499="","",IF(ISNUMBER($I8499),TEXT($I8499,"0"),$I8499))</f>
        <v/>
      </c>
    </row>
    <row r="8500">
      <c r="B8500" s="25" t="n"/>
      <c r="I8500" s="25" t="n"/>
      <c r="U8500" s="19">
        <f>IF(AND($V8500='設定'!$C$4,COUNTIF('商品マスタ'!$B$6:$B$1005,$W8500)=0),N(U8499)+1,N(U8499))</f>
        <v/>
      </c>
      <c r="V8500" s="19">
        <f>IF($B8500="","",TEXT($B8500,"0000"))</f>
        <v/>
      </c>
      <c r="W8500" s="19">
        <f>IF($I8500="","",IF(ISNUMBER($I8500),TEXT($I8500,"0"),$I8500))</f>
        <v/>
      </c>
    </row>
    <row r="8501">
      <c r="B8501" s="25" t="n"/>
      <c r="I8501" s="25" t="n"/>
      <c r="U8501" s="19">
        <f>IF(AND($V8501='設定'!$C$4,COUNTIF('商品マスタ'!$B$6:$B$1005,$W8501)=0),N(U8500)+1,N(U8500))</f>
        <v/>
      </c>
      <c r="V8501" s="19">
        <f>IF($B8501="","",TEXT($B8501,"0000"))</f>
        <v/>
      </c>
      <c r="W8501" s="19">
        <f>IF($I8501="","",IF(ISNUMBER($I8501),TEXT($I8501,"0"),$I8501))</f>
        <v/>
      </c>
    </row>
    <row r="8502">
      <c r="B8502" s="25" t="n"/>
      <c r="I8502" s="25" t="n"/>
      <c r="U8502" s="19">
        <f>IF(AND($V8502='設定'!$C$4,COUNTIF('商品マスタ'!$B$6:$B$1005,$W8502)=0),N(U8501)+1,N(U8501))</f>
        <v/>
      </c>
      <c r="V8502" s="19">
        <f>IF($B8502="","",TEXT($B8502,"0000"))</f>
        <v/>
      </c>
      <c r="W8502" s="19">
        <f>IF($I8502="","",IF(ISNUMBER($I8502),TEXT($I8502,"0"),$I8502))</f>
        <v/>
      </c>
    </row>
    <row r="8503">
      <c r="B8503" s="25" t="n"/>
      <c r="I8503" s="25" t="n"/>
      <c r="U8503" s="19">
        <f>IF(AND($V8503='設定'!$C$4,COUNTIF('商品マスタ'!$B$6:$B$1005,$W8503)=0),N(U8502)+1,N(U8502))</f>
        <v/>
      </c>
      <c r="V8503" s="19">
        <f>IF($B8503="","",TEXT($B8503,"0000"))</f>
        <v/>
      </c>
      <c r="W8503" s="19">
        <f>IF($I8503="","",IF(ISNUMBER($I8503),TEXT($I8503,"0"),$I8503))</f>
        <v/>
      </c>
    </row>
    <row r="8504">
      <c r="B8504" s="25" t="n"/>
      <c r="I8504" s="25" t="n"/>
      <c r="U8504" s="19">
        <f>IF(AND($V8504='設定'!$C$4,COUNTIF('商品マスタ'!$B$6:$B$1005,$W8504)=0),N(U8503)+1,N(U8503))</f>
        <v/>
      </c>
      <c r="V8504" s="19">
        <f>IF($B8504="","",TEXT($B8504,"0000"))</f>
        <v/>
      </c>
      <c r="W8504" s="19">
        <f>IF($I8504="","",IF(ISNUMBER($I8504),TEXT($I8504,"0"),$I8504))</f>
        <v/>
      </c>
    </row>
    <row r="8505">
      <c r="B8505" s="25" t="n"/>
      <c r="I8505" s="25" t="n"/>
      <c r="U8505" s="19">
        <f>IF(AND($V8505='設定'!$C$4,COUNTIF('商品マスタ'!$B$6:$B$1005,$W8505)=0),N(U8504)+1,N(U8504))</f>
        <v/>
      </c>
      <c r="V8505" s="19">
        <f>IF($B8505="","",TEXT($B8505,"0000"))</f>
        <v/>
      </c>
      <c r="W8505" s="19">
        <f>IF($I8505="","",IF(ISNUMBER($I8505),TEXT($I8505,"0"),$I8505))</f>
        <v/>
      </c>
    </row>
    <row r="8506">
      <c r="B8506" s="25" t="n"/>
      <c r="I8506" s="25" t="n"/>
      <c r="U8506" s="19">
        <f>IF(AND($V8506='設定'!$C$4,COUNTIF('商品マスタ'!$B$6:$B$1005,$W8506)=0),N(U8505)+1,N(U8505))</f>
        <v/>
      </c>
      <c r="V8506" s="19">
        <f>IF($B8506="","",TEXT($B8506,"0000"))</f>
        <v/>
      </c>
      <c r="W8506" s="19">
        <f>IF($I8506="","",IF(ISNUMBER($I8506),TEXT($I8506,"0"),$I8506))</f>
        <v/>
      </c>
    </row>
    <row r="8507">
      <c r="B8507" s="25" t="n"/>
      <c r="I8507" s="25" t="n"/>
      <c r="U8507" s="19">
        <f>IF(AND($V8507='設定'!$C$4,COUNTIF('商品マスタ'!$B$6:$B$1005,$W8507)=0),N(U8506)+1,N(U8506))</f>
        <v/>
      </c>
      <c r="V8507" s="19">
        <f>IF($B8507="","",TEXT($B8507,"0000"))</f>
        <v/>
      </c>
      <c r="W8507" s="19">
        <f>IF($I8507="","",IF(ISNUMBER($I8507),TEXT($I8507,"0"),$I8507))</f>
        <v/>
      </c>
    </row>
    <row r="8508">
      <c r="B8508" s="25" t="n"/>
      <c r="I8508" s="25" t="n"/>
      <c r="U8508" s="19">
        <f>IF(AND($V8508='設定'!$C$4,COUNTIF('商品マスタ'!$B$6:$B$1005,$W8508)=0),N(U8507)+1,N(U8507))</f>
        <v/>
      </c>
      <c r="V8508" s="19">
        <f>IF($B8508="","",TEXT($B8508,"0000"))</f>
        <v/>
      </c>
      <c r="W8508" s="19">
        <f>IF($I8508="","",IF(ISNUMBER($I8508),TEXT($I8508,"0"),$I8508))</f>
        <v/>
      </c>
    </row>
    <row r="8509">
      <c r="B8509" s="25" t="n"/>
      <c r="I8509" s="25" t="n"/>
      <c r="U8509" s="19">
        <f>IF(AND($V8509='設定'!$C$4,COUNTIF('商品マスタ'!$B$6:$B$1005,$W8509)=0),N(U8508)+1,N(U8508))</f>
        <v/>
      </c>
      <c r="V8509" s="19">
        <f>IF($B8509="","",TEXT($B8509,"0000"))</f>
        <v/>
      </c>
      <c r="W8509" s="19">
        <f>IF($I8509="","",IF(ISNUMBER($I8509),TEXT($I8509,"0"),$I8509))</f>
        <v/>
      </c>
    </row>
    <row r="8510">
      <c r="B8510" s="25" t="n"/>
      <c r="I8510" s="25" t="n"/>
      <c r="U8510" s="19">
        <f>IF(AND($V8510='設定'!$C$4,COUNTIF('商品マスタ'!$B$6:$B$1005,$W8510)=0),N(U8509)+1,N(U8509))</f>
        <v/>
      </c>
      <c r="V8510" s="19">
        <f>IF($B8510="","",TEXT($B8510,"0000"))</f>
        <v/>
      </c>
      <c r="W8510" s="19">
        <f>IF($I8510="","",IF(ISNUMBER($I8510),TEXT($I8510,"0"),$I8510))</f>
        <v/>
      </c>
    </row>
    <row r="8511">
      <c r="B8511" s="25" t="n"/>
      <c r="I8511" s="25" t="n"/>
      <c r="U8511" s="19">
        <f>IF(AND($V8511='設定'!$C$4,COUNTIF('商品マスタ'!$B$6:$B$1005,$W8511)=0),N(U8510)+1,N(U8510))</f>
        <v/>
      </c>
      <c r="V8511" s="19">
        <f>IF($B8511="","",TEXT($B8511,"0000"))</f>
        <v/>
      </c>
      <c r="W8511" s="19">
        <f>IF($I8511="","",IF(ISNUMBER($I8511),TEXT($I8511,"0"),$I8511))</f>
        <v/>
      </c>
    </row>
    <row r="8512">
      <c r="B8512" s="25" t="n"/>
      <c r="I8512" s="25" t="n"/>
      <c r="U8512" s="19">
        <f>IF(AND($V8512='設定'!$C$4,COUNTIF('商品マスタ'!$B$6:$B$1005,$W8512)=0),N(U8511)+1,N(U8511))</f>
        <v/>
      </c>
      <c r="V8512" s="19">
        <f>IF($B8512="","",TEXT($B8512,"0000"))</f>
        <v/>
      </c>
      <c r="W8512" s="19">
        <f>IF($I8512="","",IF(ISNUMBER($I8512),TEXT($I8512,"0"),$I8512))</f>
        <v/>
      </c>
    </row>
    <row r="8513">
      <c r="B8513" s="25" t="n"/>
      <c r="I8513" s="25" t="n"/>
      <c r="U8513" s="19">
        <f>IF(AND($V8513='設定'!$C$4,COUNTIF('商品マスタ'!$B$6:$B$1005,$W8513)=0),N(U8512)+1,N(U8512))</f>
        <v/>
      </c>
      <c r="V8513" s="19">
        <f>IF($B8513="","",TEXT($B8513,"0000"))</f>
        <v/>
      </c>
      <c r="W8513" s="19">
        <f>IF($I8513="","",IF(ISNUMBER($I8513),TEXT($I8513,"0"),$I8513))</f>
        <v/>
      </c>
    </row>
    <row r="8514">
      <c r="B8514" s="25" t="n"/>
      <c r="I8514" s="25" t="n"/>
      <c r="U8514" s="19">
        <f>IF(AND($V8514='設定'!$C$4,COUNTIF('商品マスタ'!$B$6:$B$1005,$W8514)=0),N(U8513)+1,N(U8513))</f>
        <v/>
      </c>
      <c r="V8514" s="19">
        <f>IF($B8514="","",TEXT($B8514,"0000"))</f>
        <v/>
      </c>
      <c r="W8514" s="19">
        <f>IF($I8514="","",IF(ISNUMBER($I8514),TEXT($I8514,"0"),$I8514))</f>
        <v/>
      </c>
    </row>
    <row r="8515">
      <c r="B8515" s="25" t="n"/>
      <c r="I8515" s="25" t="n"/>
      <c r="U8515" s="19">
        <f>IF(AND($V8515='設定'!$C$4,COUNTIF('商品マスタ'!$B$6:$B$1005,$W8515)=0),N(U8514)+1,N(U8514))</f>
        <v/>
      </c>
      <c r="V8515" s="19">
        <f>IF($B8515="","",TEXT($B8515,"0000"))</f>
        <v/>
      </c>
      <c r="W8515" s="19">
        <f>IF($I8515="","",IF(ISNUMBER($I8515),TEXT($I8515,"0"),$I8515))</f>
        <v/>
      </c>
    </row>
    <row r="8516">
      <c r="B8516" s="25" t="n"/>
      <c r="I8516" s="25" t="n"/>
      <c r="U8516" s="19">
        <f>IF(AND($V8516='設定'!$C$4,COUNTIF('商品マスタ'!$B$6:$B$1005,$W8516)=0),N(U8515)+1,N(U8515))</f>
        <v/>
      </c>
      <c r="V8516" s="19">
        <f>IF($B8516="","",TEXT($B8516,"0000"))</f>
        <v/>
      </c>
      <c r="W8516" s="19">
        <f>IF($I8516="","",IF(ISNUMBER($I8516),TEXT($I8516,"0"),$I8516))</f>
        <v/>
      </c>
    </row>
    <row r="8517">
      <c r="B8517" s="25" t="n"/>
      <c r="I8517" s="25" t="n"/>
      <c r="U8517" s="19">
        <f>IF(AND($V8517='設定'!$C$4,COUNTIF('商品マスタ'!$B$6:$B$1005,$W8517)=0),N(U8516)+1,N(U8516))</f>
        <v/>
      </c>
      <c r="V8517" s="19">
        <f>IF($B8517="","",TEXT($B8517,"0000"))</f>
        <v/>
      </c>
      <c r="W8517" s="19">
        <f>IF($I8517="","",IF(ISNUMBER($I8517),TEXT($I8517,"0"),$I8517))</f>
        <v/>
      </c>
    </row>
    <row r="8518">
      <c r="B8518" s="25" t="n"/>
      <c r="I8518" s="25" t="n"/>
      <c r="U8518" s="19">
        <f>IF(AND($V8518='設定'!$C$4,COUNTIF('商品マスタ'!$B$6:$B$1005,$W8518)=0),N(U8517)+1,N(U8517))</f>
        <v/>
      </c>
      <c r="V8518" s="19">
        <f>IF($B8518="","",TEXT($B8518,"0000"))</f>
        <v/>
      </c>
      <c r="W8518" s="19">
        <f>IF($I8518="","",IF(ISNUMBER($I8518),TEXT($I8518,"0"),$I8518))</f>
        <v/>
      </c>
    </row>
    <row r="8519">
      <c r="B8519" s="25" t="n"/>
      <c r="I8519" s="25" t="n"/>
      <c r="U8519" s="19">
        <f>IF(AND($V8519='設定'!$C$4,COUNTIF('商品マスタ'!$B$6:$B$1005,$W8519)=0),N(U8518)+1,N(U8518))</f>
        <v/>
      </c>
      <c r="V8519" s="19">
        <f>IF($B8519="","",TEXT($B8519,"0000"))</f>
        <v/>
      </c>
      <c r="W8519" s="19">
        <f>IF($I8519="","",IF(ISNUMBER($I8519),TEXT($I8519,"0"),$I8519))</f>
        <v/>
      </c>
    </row>
    <row r="8520">
      <c r="B8520" s="25" t="n"/>
      <c r="I8520" s="25" t="n"/>
      <c r="U8520" s="19">
        <f>IF(AND($V8520='設定'!$C$4,COUNTIF('商品マスタ'!$B$6:$B$1005,$W8520)=0),N(U8519)+1,N(U8519))</f>
        <v/>
      </c>
      <c r="V8520" s="19">
        <f>IF($B8520="","",TEXT($B8520,"0000"))</f>
        <v/>
      </c>
      <c r="W8520" s="19">
        <f>IF($I8520="","",IF(ISNUMBER($I8520),TEXT($I8520,"0"),$I8520))</f>
        <v/>
      </c>
    </row>
    <row r="8521">
      <c r="B8521" s="25" t="n"/>
      <c r="I8521" s="25" t="n"/>
      <c r="U8521" s="19">
        <f>IF(AND($V8521='設定'!$C$4,COUNTIF('商品マスタ'!$B$6:$B$1005,$W8521)=0),N(U8520)+1,N(U8520))</f>
        <v/>
      </c>
      <c r="V8521" s="19">
        <f>IF($B8521="","",TEXT($B8521,"0000"))</f>
        <v/>
      </c>
      <c r="W8521" s="19">
        <f>IF($I8521="","",IF(ISNUMBER($I8521),TEXT($I8521,"0"),$I8521))</f>
        <v/>
      </c>
    </row>
    <row r="8522">
      <c r="B8522" s="25" t="n"/>
      <c r="I8522" s="25" t="n"/>
      <c r="U8522" s="19">
        <f>IF(AND($V8522='設定'!$C$4,COUNTIF('商品マスタ'!$B$6:$B$1005,$W8522)=0),N(U8521)+1,N(U8521))</f>
        <v/>
      </c>
      <c r="V8522" s="19">
        <f>IF($B8522="","",TEXT($B8522,"0000"))</f>
        <v/>
      </c>
      <c r="W8522" s="19">
        <f>IF($I8522="","",IF(ISNUMBER($I8522),TEXT($I8522,"0"),$I8522))</f>
        <v/>
      </c>
    </row>
    <row r="8523">
      <c r="B8523" s="25" t="n"/>
      <c r="I8523" s="25" t="n"/>
      <c r="U8523" s="19">
        <f>IF(AND($V8523='設定'!$C$4,COUNTIF('商品マスタ'!$B$6:$B$1005,$W8523)=0),N(U8522)+1,N(U8522))</f>
        <v/>
      </c>
      <c r="V8523" s="19">
        <f>IF($B8523="","",TEXT($B8523,"0000"))</f>
        <v/>
      </c>
      <c r="W8523" s="19">
        <f>IF($I8523="","",IF(ISNUMBER($I8523),TEXT($I8523,"0"),$I8523))</f>
        <v/>
      </c>
    </row>
    <row r="8524">
      <c r="B8524" s="25" t="n"/>
      <c r="I8524" s="25" t="n"/>
      <c r="U8524" s="19">
        <f>IF(AND($V8524='設定'!$C$4,COUNTIF('商品マスタ'!$B$6:$B$1005,$W8524)=0),N(U8523)+1,N(U8523))</f>
        <v/>
      </c>
      <c r="V8524" s="19">
        <f>IF($B8524="","",TEXT($B8524,"0000"))</f>
        <v/>
      </c>
      <c r="W8524" s="19">
        <f>IF($I8524="","",IF(ISNUMBER($I8524),TEXT($I8524,"0"),$I8524))</f>
        <v/>
      </c>
    </row>
    <row r="8525">
      <c r="B8525" s="25" t="n"/>
      <c r="I8525" s="25" t="n"/>
      <c r="U8525" s="19">
        <f>IF(AND($V8525='設定'!$C$4,COUNTIF('商品マスタ'!$B$6:$B$1005,$W8525)=0),N(U8524)+1,N(U8524))</f>
        <v/>
      </c>
      <c r="V8525" s="19">
        <f>IF($B8525="","",TEXT($B8525,"0000"))</f>
        <v/>
      </c>
      <c r="W8525" s="19">
        <f>IF($I8525="","",IF(ISNUMBER($I8525),TEXT($I8525,"0"),$I8525))</f>
        <v/>
      </c>
    </row>
    <row r="8526">
      <c r="B8526" s="25" t="n"/>
      <c r="I8526" s="25" t="n"/>
      <c r="U8526" s="19">
        <f>IF(AND($V8526='設定'!$C$4,COUNTIF('商品マスタ'!$B$6:$B$1005,$W8526)=0),N(U8525)+1,N(U8525))</f>
        <v/>
      </c>
      <c r="V8526" s="19">
        <f>IF($B8526="","",TEXT($B8526,"0000"))</f>
        <v/>
      </c>
      <c r="W8526" s="19">
        <f>IF($I8526="","",IF(ISNUMBER($I8526),TEXT($I8526,"0"),$I8526))</f>
        <v/>
      </c>
    </row>
    <row r="8527">
      <c r="B8527" s="25" t="n"/>
      <c r="I8527" s="25" t="n"/>
      <c r="U8527" s="19">
        <f>IF(AND($V8527='設定'!$C$4,COUNTIF('商品マスタ'!$B$6:$B$1005,$W8527)=0),N(U8526)+1,N(U8526))</f>
        <v/>
      </c>
      <c r="V8527" s="19">
        <f>IF($B8527="","",TEXT($B8527,"0000"))</f>
        <v/>
      </c>
      <c r="W8527" s="19">
        <f>IF($I8527="","",IF(ISNUMBER($I8527),TEXT($I8527,"0"),$I8527))</f>
        <v/>
      </c>
    </row>
    <row r="8528">
      <c r="B8528" s="25" t="n"/>
      <c r="I8528" s="25" t="n"/>
      <c r="U8528" s="19">
        <f>IF(AND($V8528='設定'!$C$4,COUNTIF('商品マスタ'!$B$6:$B$1005,$W8528)=0),N(U8527)+1,N(U8527))</f>
        <v/>
      </c>
      <c r="V8528" s="19">
        <f>IF($B8528="","",TEXT($B8528,"0000"))</f>
        <v/>
      </c>
      <c r="W8528" s="19">
        <f>IF($I8528="","",IF(ISNUMBER($I8528),TEXT($I8528,"0"),$I8528))</f>
        <v/>
      </c>
    </row>
    <row r="8529">
      <c r="B8529" s="25" t="n"/>
      <c r="I8529" s="25" t="n"/>
      <c r="U8529" s="19">
        <f>IF(AND($V8529='設定'!$C$4,COUNTIF('商品マスタ'!$B$6:$B$1005,$W8529)=0),N(U8528)+1,N(U8528))</f>
        <v/>
      </c>
      <c r="V8529" s="19">
        <f>IF($B8529="","",TEXT($B8529,"0000"))</f>
        <v/>
      </c>
      <c r="W8529" s="19">
        <f>IF($I8529="","",IF(ISNUMBER($I8529),TEXT($I8529,"0"),$I8529))</f>
        <v/>
      </c>
    </row>
    <row r="8530">
      <c r="B8530" s="25" t="n"/>
      <c r="I8530" s="25" t="n"/>
      <c r="U8530" s="19">
        <f>IF(AND($V8530='設定'!$C$4,COUNTIF('商品マスタ'!$B$6:$B$1005,$W8530)=0),N(U8529)+1,N(U8529))</f>
        <v/>
      </c>
      <c r="V8530" s="19">
        <f>IF($B8530="","",TEXT($B8530,"0000"))</f>
        <v/>
      </c>
      <c r="W8530" s="19">
        <f>IF($I8530="","",IF(ISNUMBER($I8530),TEXT($I8530,"0"),$I8530))</f>
        <v/>
      </c>
    </row>
    <row r="8531">
      <c r="B8531" s="25" t="n"/>
      <c r="I8531" s="25" t="n"/>
      <c r="U8531" s="19">
        <f>IF(AND($V8531='設定'!$C$4,COUNTIF('商品マスタ'!$B$6:$B$1005,$W8531)=0),N(U8530)+1,N(U8530))</f>
        <v/>
      </c>
      <c r="V8531" s="19">
        <f>IF($B8531="","",TEXT($B8531,"0000"))</f>
        <v/>
      </c>
      <c r="W8531" s="19">
        <f>IF($I8531="","",IF(ISNUMBER($I8531),TEXT($I8531,"0"),$I8531))</f>
        <v/>
      </c>
    </row>
    <row r="8532">
      <c r="B8532" s="25" t="n"/>
      <c r="I8532" s="25" t="n"/>
      <c r="U8532" s="19">
        <f>IF(AND($V8532='設定'!$C$4,COUNTIF('商品マスタ'!$B$6:$B$1005,$W8532)=0),N(U8531)+1,N(U8531))</f>
        <v/>
      </c>
      <c r="V8532" s="19">
        <f>IF($B8532="","",TEXT($B8532,"0000"))</f>
        <v/>
      </c>
      <c r="W8532" s="19">
        <f>IF($I8532="","",IF(ISNUMBER($I8532),TEXT($I8532,"0"),$I8532))</f>
        <v/>
      </c>
    </row>
    <row r="8533">
      <c r="B8533" s="25" t="n"/>
      <c r="I8533" s="25" t="n"/>
      <c r="U8533" s="19">
        <f>IF(AND($V8533='設定'!$C$4,COUNTIF('商品マスタ'!$B$6:$B$1005,$W8533)=0),N(U8532)+1,N(U8532))</f>
        <v/>
      </c>
      <c r="V8533" s="19">
        <f>IF($B8533="","",TEXT($B8533,"0000"))</f>
        <v/>
      </c>
      <c r="W8533" s="19">
        <f>IF($I8533="","",IF(ISNUMBER($I8533),TEXT($I8533,"0"),$I8533))</f>
        <v/>
      </c>
    </row>
    <row r="8534">
      <c r="B8534" s="25" t="n"/>
      <c r="I8534" s="25" t="n"/>
      <c r="U8534" s="19">
        <f>IF(AND($V8534='設定'!$C$4,COUNTIF('商品マスタ'!$B$6:$B$1005,$W8534)=0),N(U8533)+1,N(U8533))</f>
        <v/>
      </c>
      <c r="V8534" s="19">
        <f>IF($B8534="","",TEXT($B8534,"0000"))</f>
        <v/>
      </c>
      <c r="W8534" s="19">
        <f>IF($I8534="","",IF(ISNUMBER($I8534),TEXT($I8534,"0"),$I8534))</f>
        <v/>
      </c>
    </row>
    <row r="8535">
      <c r="B8535" s="25" t="n"/>
      <c r="I8535" s="25" t="n"/>
      <c r="U8535" s="19">
        <f>IF(AND($V8535='設定'!$C$4,COUNTIF('商品マスタ'!$B$6:$B$1005,$W8535)=0),N(U8534)+1,N(U8534))</f>
        <v/>
      </c>
      <c r="V8535" s="19">
        <f>IF($B8535="","",TEXT($B8535,"0000"))</f>
        <v/>
      </c>
      <c r="W8535" s="19">
        <f>IF($I8535="","",IF(ISNUMBER($I8535),TEXT($I8535,"0"),$I8535))</f>
        <v/>
      </c>
    </row>
    <row r="8536">
      <c r="B8536" s="25" t="n"/>
      <c r="I8536" s="25" t="n"/>
      <c r="U8536" s="19">
        <f>IF(AND($V8536='設定'!$C$4,COUNTIF('商品マスタ'!$B$6:$B$1005,$W8536)=0),N(U8535)+1,N(U8535))</f>
        <v/>
      </c>
      <c r="V8536" s="19">
        <f>IF($B8536="","",TEXT($B8536,"0000"))</f>
        <v/>
      </c>
      <c r="W8536" s="19">
        <f>IF($I8536="","",IF(ISNUMBER($I8536),TEXT($I8536,"0"),$I8536))</f>
        <v/>
      </c>
    </row>
    <row r="8537">
      <c r="B8537" s="25" t="n"/>
      <c r="I8537" s="25" t="n"/>
      <c r="U8537" s="19">
        <f>IF(AND($V8537='設定'!$C$4,COUNTIF('商品マスタ'!$B$6:$B$1005,$W8537)=0),N(U8536)+1,N(U8536))</f>
        <v/>
      </c>
      <c r="V8537" s="19">
        <f>IF($B8537="","",TEXT($B8537,"0000"))</f>
        <v/>
      </c>
      <c r="W8537" s="19">
        <f>IF($I8537="","",IF(ISNUMBER($I8537),TEXT($I8537,"0"),$I8537))</f>
        <v/>
      </c>
    </row>
    <row r="8538">
      <c r="B8538" s="25" t="n"/>
      <c r="I8538" s="25" t="n"/>
      <c r="U8538" s="19">
        <f>IF(AND($V8538='設定'!$C$4,COUNTIF('商品マスタ'!$B$6:$B$1005,$W8538)=0),N(U8537)+1,N(U8537))</f>
        <v/>
      </c>
      <c r="V8538" s="19">
        <f>IF($B8538="","",TEXT($B8538,"0000"))</f>
        <v/>
      </c>
      <c r="W8538" s="19">
        <f>IF($I8538="","",IF(ISNUMBER($I8538),TEXT($I8538,"0"),$I8538))</f>
        <v/>
      </c>
    </row>
    <row r="8539">
      <c r="B8539" s="25" t="n"/>
      <c r="I8539" s="25" t="n"/>
      <c r="U8539" s="19">
        <f>IF(AND($V8539='設定'!$C$4,COUNTIF('商品マスタ'!$B$6:$B$1005,$W8539)=0),N(U8538)+1,N(U8538))</f>
        <v/>
      </c>
      <c r="V8539" s="19">
        <f>IF($B8539="","",TEXT($B8539,"0000"))</f>
        <v/>
      </c>
      <c r="W8539" s="19">
        <f>IF($I8539="","",IF(ISNUMBER($I8539),TEXT($I8539,"0"),$I8539))</f>
        <v/>
      </c>
    </row>
    <row r="8540">
      <c r="B8540" s="25" t="n"/>
      <c r="I8540" s="25" t="n"/>
      <c r="U8540" s="19">
        <f>IF(AND($V8540='設定'!$C$4,COUNTIF('商品マスタ'!$B$6:$B$1005,$W8540)=0),N(U8539)+1,N(U8539))</f>
        <v/>
      </c>
      <c r="V8540" s="19">
        <f>IF($B8540="","",TEXT($B8540,"0000"))</f>
        <v/>
      </c>
      <c r="W8540" s="19">
        <f>IF($I8540="","",IF(ISNUMBER($I8540),TEXT($I8540,"0"),$I8540))</f>
        <v/>
      </c>
    </row>
    <row r="8541">
      <c r="B8541" s="25" t="n"/>
      <c r="I8541" s="25" t="n"/>
      <c r="U8541" s="19">
        <f>IF(AND($V8541='設定'!$C$4,COUNTIF('商品マスタ'!$B$6:$B$1005,$W8541)=0),N(U8540)+1,N(U8540))</f>
        <v/>
      </c>
      <c r="V8541" s="19">
        <f>IF($B8541="","",TEXT($B8541,"0000"))</f>
        <v/>
      </c>
      <c r="W8541" s="19">
        <f>IF($I8541="","",IF(ISNUMBER($I8541),TEXT($I8541,"0"),$I8541))</f>
        <v/>
      </c>
    </row>
    <row r="8542">
      <c r="B8542" s="25" t="n"/>
      <c r="I8542" s="25" t="n"/>
      <c r="U8542" s="19">
        <f>IF(AND($V8542='設定'!$C$4,COUNTIF('商品マスタ'!$B$6:$B$1005,$W8542)=0),N(U8541)+1,N(U8541))</f>
        <v/>
      </c>
      <c r="V8542" s="19">
        <f>IF($B8542="","",TEXT($B8542,"0000"))</f>
        <v/>
      </c>
      <c r="W8542" s="19">
        <f>IF($I8542="","",IF(ISNUMBER($I8542),TEXT($I8542,"0"),$I8542))</f>
        <v/>
      </c>
    </row>
    <row r="8543">
      <c r="B8543" s="25" t="n"/>
      <c r="I8543" s="25" t="n"/>
      <c r="U8543" s="19">
        <f>IF(AND($V8543='設定'!$C$4,COUNTIF('商品マスタ'!$B$6:$B$1005,$W8543)=0),N(U8542)+1,N(U8542))</f>
        <v/>
      </c>
      <c r="V8543" s="19">
        <f>IF($B8543="","",TEXT($B8543,"0000"))</f>
        <v/>
      </c>
      <c r="W8543" s="19">
        <f>IF($I8543="","",IF(ISNUMBER($I8543),TEXT($I8543,"0"),$I8543))</f>
        <v/>
      </c>
    </row>
    <row r="8544">
      <c r="B8544" s="25" t="n"/>
      <c r="I8544" s="25" t="n"/>
      <c r="U8544" s="19">
        <f>IF(AND($V8544='設定'!$C$4,COUNTIF('商品マスタ'!$B$6:$B$1005,$W8544)=0),N(U8543)+1,N(U8543))</f>
        <v/>
      </c>
      <c r="V8544" s="19">
        <f>IF($B8544="","",TEXT($B8544,"0000"))</f>
        <v/>
      </c>
      <c r="W8544" s="19">
        <f>IF($I8544="","",IF(ISNUMBER($I8544),TEXT($I8544,"0"),$I8544))</f>
        <v/>
      </c>
    </row>
    <row r="8545">
      <c r="B8545" s="25" t="n"/>
      <c r="I8545" s="25" t="n"/>
      <c r="U8545" s="19">
        <f>IF(AND($V8545='設定'!$C$4,COUNTIF('商品マスタ'!$B$6:$B$1005,$W8545)=0),N(U8544)+1,N(U8544))</f>
        <v/>
      </c>
      <c r="V8545" s="19">
        <f>IF($B8545="","",TEXT($B8545,"0000"))</f>
        <v/>
      </c>
      <c r="W8545" s="19">
        <f>IF($I8545="","",IF(ISNUMBER($I8545),TEXT($I8545,"0"),$I8545))</f>
        <v/>
      </c>
    </row>
    <row r="8546">
      <c r="B8546" s="25" t="n"/>
      <c r="I8546" s="25" t="n"/>
      <c r="U8546" s="19">
        <f>IF(AND($V8546='設定'!$C$4,COUNTIF('商品マスタ'!$B$6:$B$1005,$W8546)=0),N(U8545)+1,N(U8545))</f>
        <v/>
      </c>
      <c r="V8546" s="19">
        <f>IF($B8546="","",TEXT($B8546,"0000"))</f>
        <v/>
      </c>
      <c r="W8546" s="19">
        <f>IF($I8546="","",IF(ISNUMBER($I8546),TEXT($I8546,"0"),$I8546))</f>
        <v/>
      </c>
    </row>
    <row r="8547">
      <c r="B8547" s="25" t="n"/>
      <c r="I8547" s="25" t="n"/>
      <c r="U8547" s="19">
        <f>IF(AND($V8547='設定'!$C$4,COUNTIF('商品マスタ'!$B$6:$B$1005,$W8547)=0),N(U8546)+1,N(U8546))</f>
        <v/>
      </c>
      <c r="V8547" s="19">
        <f>IF($B8547="","",TEXT($B8547,"0000"))</f>
        <v/>
      </c>
      <c r="W8547" s="19">
        <f>IF($I8547="","",IF(ISNUMBER($I8547),TEXT($I8547,"0"),$I8547))</f>
        <v/>
      </c>
    </row>
    <row r="8548">
      <c r="B8548" s="25" t="n"/>
      <c r="I8548" s="25" t="n"/>
      <c r="U8548" s="19">
        <f>IF(AND($V8548='設定'!$C$4,COUNTIF('商品マスタ'!$B$6:$B$1005,$W8548)=0),N(U8547)+1,N(U8547))</f>
        <v/>
      </c>
      <c r="V8548" s="19">
        <f>IF($B8548="","",TEXT($B8548,"0000"))</f>
        <v/>
      </c>
      <c r="W8548" s="19">
        <f>IF($I8548="","",IF(ISNUMBER($I8548),TEXT($I8548,"0"),$I8548))</f>
        <v/>
      </c>
    </row>
    <row r="8549">
      <c r="B8549" s="25" t="n"/>
      <c r="I8549" s="25" t="n"/>
      <c r="U8549" s="19">
        <f>IF(AND($V8549='設定'!$C$4,COUNTIF('商品マスタ'!$B$6:$B$1005,$W8549)=0),N(U8548)+1,N(U8548))</f>
        <v/>
      </c>
      <c r="V8549" s="19">
        <f>IF($B8549="","",TEXT($B8549,"0000"))</f>
        <v/>
      </c>
      <c r="W8549" s="19">
        <f>IF($I8549="","",IF(ISNUMBER($I8549),TEXT($I8549,"0"),$I8549))</f>
        <v/>
      </c>
    </row>
    <row r="8550">
      <c r="B8550" s="25" t="n"/>
      <c r="I8550" s="25" t="n"/>
      <c r="U8550" s="19">
        <f>IF(AND($V8550='設定'!$C$4,COUNTIF('商品マスタ'!$B$6:$B$1005,$W8550)=0),N(U8549)+1,N(U8549))</f>
        <v/>
      </c>
      <c r="V8550" s="19">
        <f>IF($B8550="","",TEXT($B8550,"0000"))</f>
        <v/>
      </c>
      <c r="W8550" s="19">
        <f>IF($I8550="","",IF(ISNUMBER($I8550),TEXT($I8550,"0"),$I8550))</f>
        <v/>
      </c>
    </row>
    <row r="8551">
      <c r="B8551" s="25" t="n"/>
      <c r="I8551" s="25" t="n"/>
      <c r="U8551" s="19">
        <f>IF(AND($V8551='設定'!$C$4,COUNTIF('商品マスタ'!$B$6:$B$1005,$W8551)=0),N(U8550)+1,N(U8550))</f>
        <v/>
      </c>
      <c r="V8551" s="19">
        <f>IF($B8551="","",TEXT($B8551,"0000"))</f>
        <v/>
      </c>
      <c r="W8551" s="19">
        <f>IF($I8551="","",IF(ISNUMBER($I8551),TEXT($I8551,"0"),$I8551))</f>
        <v/>
      </c>
    </row>
    <row r="8552">
      <c r="B8552" s="25" t="n"/>
      <c r="I8552" s="25" t="n"/>
      <c r="U8552" s="19">
        <f>IF(AND($V8552='設定'!$C$4,COUNTIF('商品マスタ'!$B$6:$B$1005,$W8552)=0),N(U8551)+1,N(U8551))</f>
        <v/>
      </c>
      <c r="V8552" s="19">
        <f>IF($B8552="","",TEXT($B8552,"0000"))</f>
        <v/>
      </c>
      <c r="W8552" s="19">
        <f>IF($I8552="","",IF(ISNUMBER($I8552),TEXT($I8552,"0"),$I8552))</f>
        <v/>
      </c>
    </row>
    <row r="8553">
      <c r="B8553" s="25" t="n"/>
      <c r="I8553" s="25" t="n"/>
      <c r="U8553" s="19">
        <f>IF(AND($V8553='設定'!$C$4,COUNTIF('商品マスタ'!$B$6:$B$1005,$W8553)=0),N(U8552)+1,N(U8552))</f>
        <v/>
      </c>
      <c r="V8553" s="19">
        <f>IF($B8553="","",TEXT($B8553,"0000"))</f>
        <v/>
      </c>
      <c r="W8553" s="19">
        <f>IF($I8553="","",IF(ISNUMBER($I8553),TEXT($I8553,"0"),$I8553))</f>
        <v/>
      </c>
    </row>
    <row r="8554">
      <c r="B8554" s="25" t="n"/>
      <c r="I8554" s="25" t="n"/>
      <c r="U8554" s="19">
        <f>IF(AND($V8554='設定'!$C$4,COUNTIF('商品マスタ'!$B$6:$B$1005,$W8554)=0),N(U8553)+1,N(U8553))</f>
        <v/>
      </c>
      <c r="V8554" s="19">
        <f>IF($B8554="","",TEXT($B8554,"0000"))</f>
        <v/>
      </c>
      <c r="W8554" s="19">
        <f>IF($I8554="","",IF(ISNUMBER($I8554),TEXT($I8554,"0"),$I8554))</f>
        <v/>
      </c>
    </row>
    <row r="8555">
      <c r="B8555" s="25" t="n"/>
      <c r="I8555" s="25" t="n"/>
      <c r="U8555" s="19">
        <f>IF(AND($V8555='設定'!$C$4,COUNTIF('商品マスタ'!$B$6:$B$1005,$W8555)=0),N(U8554)+1,N(U8554))</f>
        <v/>
      </c>
      <c r="V8555" s="19">
        <f>IF($B8555="","",TEXT($B8555,"0000"))</f>
        <v/>
      </c>
      <c r="W8555" s="19">
        <f>IF($I8555="","",IF(ISNUMBER($I8555),TEXT($I8555,"0"),$I8555))</f>
        <v/>
      </c>
    </row>
    <row r="8556">
      <c r="B8556" s="25" t="n"/>
      <c r="I8556" s="25" t="n"/>
      <c r="U8556" s="19">
        <f>IF(AND($V8556='設定'!$C$4,COUNTIF('商品マスタ'!$B$6:$B$1005,$W8556)=0),N(U8555)+1,N(U8555))</f>
        <v/>
      </c>
      <c r="V8556" s="19">
        <f>IF($B8556="","",TEXT($B8556,"0000"))</f>
        <v/>
      </c>
      <c r="W8556" s="19">
        <f>IF($I8556="","",IF(ISNUMBER($I8556),TEXT($I8556,"0"),$I8556))</f>
        <v/>
      </c>
    </row>
    <row r="8557">
      <c r="B8557" s="25" t="n"/>
      <c r="I8557" s="25" t="n"/>
      <c r="U8557" s="19">
        <f>IF(AND($V8557='設定'!$C$4,COUNTIF('商品マスタ'!$B$6:$B$1005,$W8557)=0),N(U8556)+1,N(U8556))</f>
        <v/>
      </c>
      <c r="V8557" s="19">
        <f>IF($B8557="","",TEXT($B8557,"0000"))</f>
        <v/>
      </c>
      <c r="W8557" s="19">
        <f>IF($I8557="","",IF(ISNUMBER($I8557),TEXT($I8557,"0"),$I8557))</f>
        <v/>
      </c>
    </row>
    <row r="8558">
      <c r="B8558" s="25" t="n"/>
      <c r="I8558" s="25" t="n"/>
      <c r="U8558" s="19">
        <f>IF(AND($V8558='設定'!$C$4,COUNTIF('商品マスタ'!$B$6:$B$1005,$W8558)=0),N(U8557)+1,N(U8557))</f>
        <v/>
      </c>
      <c r="V8558" s="19">
        <f>IF($B8558="","",TEXT($B8558,"0000"))</f>
        <v/>
      </c>
      <c r="W8558" s="19">
        <f>IF($I8558="","",IF(ISNUMBER($I8558),TEXT($I8558,"0"),$I8558))</f>
        <v/>
      </c>
    </row>
    <row r="8559">
      <c r="B8559" s="25" t="n"/>
      <c r="I8559" s="25" t="n"/>
      <c r="U8559" s="19">
        <f>IF(AND($V8559='設定'!$C$4,COUNTIF('商品マスタ'!$B$6:$B$1005,$W8559)=0),N(U8558)+1,N(U8558))</f>
        <v/>
      </c>
      <c r="V8559" s="19">
        <f>IF($B8559="","",TEXT($B8559,"0000"))</f>
        <v/>
      </c>
      <c r="W8559" s="19">
        <f>IF($I8559="","",IF(ISNUMBER($I8559),TEXT($I8559,"0"),$I8559))</f>
        <v/>
      </c>
    </row>
    <row r="8560">
      <c r="B8560" s="25" t="n"/>
      <c r="I8560" s="25" t="n"/>
      <c r="U8560" s="19">
        <f>IF(AND($V8560='設定'!$C$4,COUNTIF('商品マスタ'!$B$6:$B$1005,$W8560)=0),N(U8559)+1,N(U8559))</f>
        <v/>
      </c>
      <c r="V8560" s="19">
        <f>IF($B8560="","",TEXT($B8560,"0000"))</f>
        <v/>
      </c>
      <c r="W8560" s="19">
        <f>IF($I8560="","",IF(ISNUMBER($I8560),TEXT($I8560,"0"),$I8560))</f>
        <v/>
      </c>
    </row>
    <row r="8561">
      <c r="B8561" s="25" t="n"/>
      <c r="I8561" s="25" t="n"/>
      <c r="U8561" s="19">
        <f>IF(AND($V8561='設定'!$C$4,COUNTIF('商品マスタ'!$B$6:$B$1005,$W8561)=0),N(U8560)+1,N(U8560))</f>
        <v/>
      </c>
      <c r="V8561" s="19">
        <f>IF($B8561="","",TEXT($B8561,"0000"))</f>
        <v/>
      </c>
      <c r="W8561" s="19">
        <f>IF($I8561="","",IF(ISNUMBER($I8561),TEXT($I8561,"0"),$I8561))</f>
        <v/>
      </c>
    </row>
    <row r="8562">
      <c r="B8562" s="25" t="n"/>
      <c r="I8562" s="25" t="n"/>
      <c r="U8562" s="19">
        <f>IF(AND($V8562='設定'!$C$4,COUNTIF('商品マスタ'!$B$6:$B$1005,$W8562)=0),N(U8561)+1,N(U8561))</f>
        <v/>
      </c>
      <c r="V8562" s="19">
        <f>IF($B8562="","",TEXT($B8562,"0000"))</f>
        <v/>
      </c>
      <c r="W8562" s="19">
        <f>IF($I8562="","",IF(ISNUMBER($I8562),TEXT($I8562,"0"),$I8562))</f>
        <v/>
      </c>
    </row>
    <row r="8563">
      <c r="B8563" s="25" t="n"/>
      <c r="I8563" s="25" t="n"/>
      <c r="U8563" s="19">
        <f>IF(AND($V8563='設定'!$C$4,COUNTIF('商品マスタ'!$B$6:$B$1005,$W8563)=0),N(U8562)+1,N(U8562))</f>
        <v/>
      </c>
      <c r="V8563" s="19">
        <f>IF($B8563="","",TEXT($B8563,"0000"))</f>
        <v/>
      </c>
      <c r="W8563" s="19">
        <f>IF($I8563="","",IF(ISNUMBER($I8563),TEXT($I8563,"0"),$I8563))</f>
        <v/>
      </c>
    </row>
    <row r="8564">
      <c r="B8564" s="25" t="n"/>
      <c r="I8564" s="25" t="n"/>
      <c r="U8564" s="19">
        <f>IF(AND($V8564='設定'!$C$4,COUNTIF('商品マスタ'!$B$6:$B$1005,$W8564)=0),N(U8563)+1,N(U8563))</f>
        <v/>
      </c>
      <c r="V8564" s="19">
        <f>IF($B8564="","",TEXT($B8564,"0000"))</f>
        <v/>
      </c>
      <c r="W8564" s="19">
        <f>IF($I8564="","",IF(ISNUMBER($I8564),TEXT($I8564,"0"),$I8564))</f>
        <v/>
      </c>
    </row>
    <row r="8565">
      <c r="B8565" s="25" t="n"/>
      <c r="I8565" s="25" t="n"/>
      <c r="U8565" s="19">
        <f>IF(AND($V8565='設定'!$C$4,COUNTIF('商品マスタ'!$B$6:$B$1005,$W8565)=0),N(U8564)+1,N(U8564))</f>
        <v/>
      </c>
      <c r="V8565" s="19">
        <f>IF($B8565="","",TEXT($B8565,"0000"))</f>
        <v/>
      </c>
      <c r="W8565" s="19">
        <f>IF($I8565="","",IF(ISNUMBER($I8565),TEXT($I8565,"0"),$I8565))</f>
        <v/>
      </c>
    </row>
    <row r="8566">
      <c r="B8566" s="25" t="n"/>
      <c r="I8566" s="25" t="n"/>
      <c r="U8566" s="19">
        <f>IF(AND($V8566='設定'!$C$4,COUNTIF('商品マスタ'!$B$6:$B$1005,$W8566)=0),N(U8565)+1,N(U8565))</f>
        <v/>
      </c>
      <c r="V8566" s="19">
        <f>IF($B8566="","",TEXT($B8566,"0000"))</f>
        <v/>
      </c>
      <c r="W8566" s="19">
        <f>IF($I8566="","",IF(ISNUMBER($I8566),TEXT($I8566,"0"),$I8566))</f>
        <v/>
      </c>
    </row>
    <row r="8567">
      <c r="B8567" s="25" t="n"/>
      <c r="I8567" s="25" t="n"/>
      <c r="U8567" s="19">
        <f>IF(AND($V8567='設定'!$C$4,COUNTIF('商品マスタ'!$B$6:$B$1005,$W8567)=0),N(U8566)+1,N(U8566))</f>
        <v/>
      </c>
      <c r="V8567" s="19">
        <f>IF($B8567="","",TEXT($B8567,"0000"))</f>
        <v/>
      </c>
      <c r="W8567" s="19">
        <f>IF($I8567="","",IF(ISNUMBER($I8567),TEXT($I8567,"0"),$I8567))</f>
        <v/>
      </c>
    </row>
    <row r="8568">
      <c r="B8568" s="25" t="n"/>
      <c r="I8568" s="25" t="n"/>
      <c r="U8568" s="19">
        <f>IF(AND($V8568='設定'!$C$4,COUNTIF('商品マスタ'!$B$6:$B$1005,$W8568)=0),N(U8567)+1,N(U8567))</f>
        <v/>
      </c>
      <c r="V8568" s="19">
        <f>IF($B8568="","",TEXT($B8568,"0000"))</f>
        <v/>
      </c>
      <c r="W8568" s="19">
        <f>IF($I8568="","",IF(ISNUMBER($I8568),TEXT($I8568,"0"),$I8568))</f>
        <v/>
      </c>
    </row>
    <row r="8569">
      <c r="B8569" s="25" t="n"/>
      <c r="I8569" s="25" t="n"/>
      <c r="U8569" s="19">
        <f>IF(AND($V8569='設定'!$C$4,COUNTIF('商品マスタ'!$B$6:$B$1005,$W8569)=0),N(U8568)+1,N(U8568))</f>
        <v/>
      </c>
      <c r="V8569" s="19">
        <f>IF($B8569="","",TEXT($B8569,"0000"))</f>
        <v/>
      </c>
      <c r="W8569" s="19">
        <f>IF($I8569="","",IF(ISNUMBER($I8569),TEXT($I8569,"0"),$I8569))</f>
        <v/>
      </c>
    </row>
    <row r="8570">
      <c r="B8570" s="25" t="n"/>
      <c r="I8570" s="25" t="n"/>
      <c r="U8570" s="19">
        <f>IF(AND($V8570='設定'!$C$4,COUNTIF('商品マスタ'!$B$6:$B$1005,$W8570)=0),N(U8569)+1,N(U8569))</f>
        <v/>
      </c>
      <c r="V8570" s="19">
        <f>IF($B8570="","",TEXT($B8570,"0000"))</f>
        <v/>
      </c>
      <c r="W8570" s="19">
        <f>IF($I8570="","",IF(ISNUMBER($I8570),TEXT($I8570,"0"),$I8570))</f>
        <v/>
      </c>
    </row>
    <row r="8571">
      <c r="B8571" s="25" t="n"/>
      <c r="I8571" s="25" t="n"/>
      <c r="U8571" s="19">
        <f>IF(AND($V8571='設定'!$C$4,COUNTIF('商品マスタ'!$B$6:$B$1005,$W8571)=0),N(U8570)+1,N(U8570))</f>
        <v/>
      </c>
      <c r="V8571" s="19">
        <f>IF($B8571="","",TEXT($B8571,"0000"))</f>
        <v/>
      </c>
      <c r="W8571" s="19">
        <f>IF($I8571="","",IF(ISNUMBER($I8571),TEXT($I8571,"0"),$I8571))</f>
        <v/>
      </c>
    </row>
    <row r="8572">
      <c r="B8572" s="25" t="n"/>
      <c r="I8572" s="25" t="n"/>
      <c r="U8572" s="19">
        <f>IF(AND($V8572='設定'!$C$4,COUNTIF('商品マスタ'!$B$6:$B$1005,$W8572)=0),N(U8571)+1,N(U8571))</f>
        <v/>
      </c>
      <c r="V8572" s="19">
        <f>IF($B8572="","",TEXT($B8572,"0000"))</f>
        <v/>
      </c>
      <c r="W8572" s="19">
        <f>IF($I8572="","",IF(ISNUMBER($I8572),TEXT($I8572,"0"),$I8572))</f>
        <v/>
      </c>
    </row>
    <row r="8573">
      <c r="B8573" s="25" t="n"/>
      <c r="I8573" s="25" t="n"/>
      <c r="U8573" s="19">
        <f>IF(AND($V8573='設定'!$C$4,COUNTIF('商品マスタ'!$B$6:$B$1005,$W8573)=0),N(U8572)+1,N(U8572))</f>
        <v/>
      </c>
      <c r="V8573" s="19">
        <f>IF($B8573="","",TEXT($B8573,"0000"))</f>
        <v/>
      </c>
      <c r="W8573" s="19">
        <f>IF($I8573="","",IF(ISNUMBER($I8573),TEXT($I8573,"0"),$I8573))</f>
        <v/>
      </c>
    </row>
    <row r="8574">
      <c r="B8574" s="25" t="n"/>
      <c r="I8574" s="25" t="n"/>
      <c r="U8574" s="19">
        <f>IF(AND($V8574='設定'!$C$4,COUNTIF('商品マスタ'!$B$6:$B$1005,$W8574)=0),N(U8573)+1,N(U8573))</f>
        <v/>
      </c>
      <c r="V8574" s="19">
        <f>IF($B8574="","",TEXT($B8574,"0000"))</f>
        <v/>
      </c>
      <c r="W8574" s="19">
        <f>IF($I8574="","",IF(ISNUMBER($I8574),TEXT($I8574,"0"),$I8574))</f>
        <v/>
      </c>
    </row>
    <row r="8575">
      <c r="B8575" s="25" t="n"/>
      <c r="I8575" s="25" t="n"/>
      <c r="U8575" s="19">
        <f>IF(AND($V8575='設定'!$C$4,COUNTIF('商品マスタ'!$B$6:$B$1005,$W8575)=0),N(U8574)+1,N(U8574))</f>
        <v/>
      </c>
      <c r="V8575" s="19">
        <f>IF($B8575="","",TEXT($B8575,"0000"))</f>
        <v/>
      </c>
      <c r="W8575" s="19">
        <f>IF($I8575="","",IF(ISNUMBER($I8575),TEXT($I8575,"0"),$I8575))</f>
        <v/>
      </c>
    </row>
    <row r="8576">
      <c r="B8576" s="25" t="n"/>
      <c r="I8576" s="25" t="n"/>
      <c r="U8576" s="19">
        <f>IF(AND($V8576='設定'!$C$4,COUNTIF('商品マスタ'!$B$6:$B$1005,$W8576)=0),N(U8575)+1,N(U8575))</f>
        <v/>
      </c>
      <c r="V8576" s="19">
        <f>IF($B8576="","",TEXT($B8576,"0000"))</f>
        <v/>
      </c>
      <c r="W8576" s="19">
        <f>IF($I8576="","",IF(ISNUMBER($I8576),TEXT($I8576,"0"),$I8576))</f>
        <v/>
      </c>
    </row>
    <row r="8577">
      <c r="B8577" s="25" t="n"/>
      <c r="I8577" s="25" t="n"/>
      <c r="U8577" s="19">
        <f>IF(AND($V8577='設定'!$C$4,COUNTIF('商品マスタ'!$B$6:$B$1005,$W8577)=0),N(U8576)+1,N(U8576))</f>
        <v/>
      </c>
      <c r="V8577" s="19">
        <f>IF($B8577="","",TEXT($B8577,"0000"))</f>
        <v/>
      </c>
      <c r="W8577" s="19">
        <f>IF($I8577="","",IF(ISNUMBER($I8577),TEXT($I8577,"0"),$I8577))</f>
        <v/>
      </c>
    </row>
    <row r="8578">
      <c r="B8578" s="25" t="n"/>
      <c r="I8578" s="25" t="n"/>
      <c r="U8578" s="19">
        <f>IF(AND($V8578='設定'!$C$4,COUNTIF('商品マスタ'!$B$6:$B$1005,$W8578)=0),N(U8577)+1,N(U8577))</f>
        <v/>
      </c>
      <c r="V8578" s="19">
        <f>IF($B8578="","",TEXT($B8578,"0000"))</f>
        <v/>
      </c>
      <c r="W8578" s="19">
        <f>IF($I8578="","",IF(ISNUMBER($I8578),TEXT($I8578,"0"),$I8578))</f>
        <v/>
      </c>
    </row>
    <row r="8579">
      <c r="B8579" s="25" t="n"/>
      <c r="I8579" s="25" t="n"/>
      <c r="U8579" s="19">
        <f>IF(AND($V8579='設定'!$C$4,COUNTIF('商品マスタ'!$B$6:$B$1005,$W8579)=0),N(U8578)+1,N(U8578))</f>
        <v/>
      </c>
      <c r="V8579" s="19">
        <f>IF($B8579="","",TEXT($B8579,"0000"))</f>
        <v/>
      </c>
      <c r="W8579" s="19">
        <f>IF($I8579="","",IF(ISNUMBER($I8579),TEXT($I8579,"0"),$I8579))</f>
        <v/>
      </c>
    </row>
    <row r="8580">
      <c r="B8580" s="25" t="n"/>
      <c r="I8580" s="25" t="n"/>
      <c r="U8580" s="19">
        <f>IF(AND($V8580='設定'!$C$4,COUNTIF('商品マスタ'!$B$6:$B$1005,$W8580)=0),N(U8579)+1,N(U8579))</f>
        <v/>
      </c>
      <c r="V8580" s="19">
        <f>IF($B8580="","",TEXT($B8580,"0000"))</f>
        <v/>
      </c>
      <c r="W8580" s="19">
        <f>IF($I8580="","",IF(ISNUMBER($I8580),TEXT($I8580,"0"),$I8580))</f>
        <v/>
      </c>
    </row>
    <row r="8581">
      <c r="B8581" s="25" t="n"/>
      <c r="I8581" s="25" t="n"/>
      <c r="U8581" s="19">
        <f>IF(AND($V8581='設定'!$C$4,COUNTIF('商品マスタ'!$B$6:$B$1005,$W8581)=0),N(U8580)+1,N(U8580))</f>
        <v/>
      </c>
      <c r="V8581" s="19">
        <f>IF($B8581="","",TEXT($B8581,"0000"))</f>
        <v/>
      </c>
      <c r="W8581" s="19">
        <f>IF($I8581="","",IF(ISNUMBER($I8581),TEXT($I8581,"0"),$I8581))</f>
        <v/>
      </c>
    </row>
    <row r="8582">
      <c r="B8582" s="25" t="n"/>
      <c r="I8582" s="25" t="n"/>
      <c r="U8582" s="19">
        <f>IF(AND($V8582='設定'!$C$4,COUNTIF('商品マスタ'!$B$6:$B$1005,$W8582)=0),N(U8581)+1,N(U8581))</f>
        <v/>
      </c>
      <c r="V8582" s="19">
        <f>IF($B8582="","",TEXT($B8582,"0000"))</f>
        <v/>
      </c>
      <c r="W8582" s="19">
        <f>IF($I8582="","",IF(ISNUMBER($I8582),TEXT($I8582,"0"),$I8582))</f>
        <v/>
      </c>
    </row>
    <row r="8583">
      <c r="B8583" s="25" t="n"/>
      <c r="I8583" s="25" t="n"/>
      <c r="U8583" s="19">
        <f>IF(AND($V8583='設定'!$C$4,COUNTIF('商品マスタ'!$B$6:$B$1005,$W8583)=0),N(U8582)+1,N(U8582))</f>
        <v/>
      </c>
      <c r="V8583" s="19">
        <f>IF($B8583="","",TEXT($B8583,"0000"))</f>
        <v/>
      </c>
      <c r="W8583" s="19">
        <f>IF($I8583="","",IF(ISNUMBER($I8583),TEXT($I8583,"0"),$I8583))</f>
        <v/>
      </c>
    </row>
    <row r="8584">
      <c r="B8584" s="25" t="n"/>
      <c r="I8584" s="25" t="n"/>
      <c r="U8584" s="19">
        <f>IF(AND($V8584='設定'!$C$4,COUNTIF('商品マスタ'!$B$6:$B$1005,$W8584)=0),N(U8583)+1,N(U8583))</f>
        <v/>
      </c>
      <c r="V8584" s="19">
        <f>IF($B8584="","",TEXT($B8584,"0000"))</f>
        <v/>
      </c>
      <c r="W8584" s="19">
        <f>IF($I8584="","",IF(ISNUMBER($I8584),TEXT($I8584,"0"),$I8584))</f>
        <v/>
      </c>
    </row>
    <row r="8585">
      <c r="B8585" s="25" t="n"/>
      <c r="I8585" s="25" t="n"/>
      <c r="U8585" s="19">
        <f>IF(AND($V8585='設定'!$C$4,COUNTIF('商品マスタ'!$B$6:$B$1005,$W8585)=0),N(U8584)+1,N(U8584))</f>
        <v/>
      </c>
      <c r="V8585" s="19">
        <f>IF($B8585="","",TEXT($B8585,"0000"))</f>
        <v/>
      </c>
      <c r="W8585" s="19">
        <f>IF($I8585="","",IF(ISNUMBER($I8585),TEXT($I8585,"0"),$I8585))</f>
        <v/>
      </c>
    </row>
    <row r="8586">
      <c r="B8586" s="25" t="n"/>
      <c r="I8586" s="25" t="n"/>
      <c r="U8586" s="19">
        <f>IF(AND($V8586='設定'!$C$4,COUNTIF('商品マスタ'!$B$6:$B$1005,$W8586)=0),N(U8585)+1,N(U8585))</f>
        <v/>
      </c>
      <c r="V8586" s="19">
        <f>IF($B8586="","",TEXT($B8586,"0000"))</f>
        <v/>
      </c>
      <c r="W8586" s="19">
        <f>IF($I8586="","",IF(ISNUMBER($I8586),TEXT($I8586,"0"),$I8586))</f>
        <v/>
      </c>
    </row>
    <row r="8587">
      <c r="B8587" s="25" t="n"/>
      <c r="I8587" s="25" t="n"/>
      <c r="U8587" s="19">
        <f>IF(AND($V8587='設定'!$C$4,COUNTIF('商品マスタ'!$B$6:$B$1005,$W8587)=0),N(U8586)+1,N(U8586))</f>
        <v/>
      </c>
      <c r="V8587" s="19">
        <f>IF($B8587="","",TEXT($B8587,"0000"))</f>
        <v/>
      </c>
      <c r="W8587" s="19">
        <f>IF($I8587="","",IF(ISNUMBER($I8587),TEXT($I8587,"0"),$I8587))</f>
        <v/>
      </c>
    </row>
    <row r="8588">
      <c r="B8588" s="25" t="n"/>
      <c r="I8588" s="25" t="n"/>
      <c r="U8588" s="19">
        <f>IF(AND($V8588='設定'!$C$4,COUNTIF('商品マスタ'!$B$6:$B$1005,$W8588)=0),N(U8587)+1,N(U8587))</f>
        <v/>
      </c>
      <c r="V8588" s="19">
        <f>IF($B8588="","",TEXT($B8588,"0000"))</f>
        <v/>
      </c>
      <c r="W8588" s="19">
        <f>IF($I8588="","",IF(ISNUMBER($I8588),TEXT($I8588,"0"),$I8588))</f>
        <v/>
      </c>
    </row>
    <row r="8589">
      <c r="B8589" s="25" t="n"/>
      <c r="I8589" s="25" t="n"/>
      <c r="U8589" s="19">
        <f>IF(AND($V8589='設定'!$C$4,COUNTIF('商品マスタ'!$B$6:$B$1005,$W8589)=0),N(U8588)+1,N(U8588))</f>
        <v/>
      </c>
      <c r="V8589" s="19">
        <f>IF($B8589="","",TEXT($B8589,"0000"))</f>
        <v/>
      </c>
      <c r="W8589" s="19">
        <f>IF($I8589="","",IF(ISNUMBER($I8589),TEXT($I8589,"0"),$I8589))</f>
        <v/>
      </c>
    </row>
    <row r="8590">
      <c r="B8590" s="25" t="n"/>
      <c r="I8590" s="25" t="n"/>
      <c r="U8590" s="19">
        <f>IF(AND($V8590='設定'!$C$4,COUNTIF('商品マスタ'!$B$6:$B$1005,$W8590)=0),N(U8589)+1,N(U8589))</f>
        <v/>
      </c>
      <c r="V8590" s="19">
        <f>IF($B8590="","",TEXT($B8590,"0000"))</f>
        <v/>
      </c>
      <c r="W8590" s="19">
        <f>IF($I8590="","",IF(ISNUMBER($I8590),TEXT($I8590,"0"),$I8590))</f>
        <v/>
      </c>
    </row>
    <row r="8591">
      <c r="B8591" s="25" t="n"/>
      <c r="I8591" s="25" t="n"/>
      <c r="U8591" s="19">
        <f>IF(AND($V8591='設定'!$C$4,COUNTIF('商品マスタ'!$B$6:$B$1005,$W8591)=0),N(U8590)+1,N(U8590))</f>
        <v/>
      </c>
      <c r="V8591" s="19">
        <f>IF($B8591="","",TEXT($B8591,"0000"))</f>
        <v/>
      </c>
      <c r="W8591" s="19">
        <f>IF($I8591="","",IF(ISNUMBER($I8591),TEXT($I8591,"0"),$I8591))</f>
        <v/>
      </c>
    </row>
    <row r="8592">
      <c r="B8592" s="25" t="n"/>
      <c r="I8592" s="25" t="n"/>
      <c r="U8592" s="19">
        <f>IF(AND($V8592='設定'!$C$4,COUNTIF('商品マスタ'!$B$6:$B$1005,$W8592)=0),N(U8591)+1,N(U8591))</f>
        <v/>
      </c>
      <c r="V8592" s="19">
        <f>IF($B8592="","",TEXT($B8592,"0000"))</f>
        <v/>
      </c>
      <c r="W8592" s="19">
        <f>IF($I8592="","",IF(ISNUMBER($I8592),TEXT($I8592,"0"),$I8592))</f>
        <v/>
      </c>
    </row>
    <row r="8593">
      <c r="B8593" s="25" t="n"/>
      <c r="I8593" s="25" t="n"/>
      <c r="U8593" s="19">
        <f>IF(AND($V8593='設定'!$C$4,COUNTIF('商品マスタ'!$B$6:$B$1005,$W8593)=0),N(U8592)+1,N(U8592))</f>
        <v/>
      </c>
      <c r="V8593" s="19">
        <f>IF($B8593="","",TEXT($B8593,"0000"))</f>
        <v/>
      </c>
      <c r="W8593" s="19">
        <f>IF($I8593="","",IF(ISNUMBER($I8593),TEXT($I8593,"0"),$I8593))</f>
        <v/>
      </c>
    </row>
    <row r="8594">
      <c r="B8594" s="25" t="n"/>
      <c r="I8594" s="25" t="n"/>
      <c r="U8594" s="19">
        <f>IF(AND($V8594='設定'!$C$4,COUNTIF('商品マスタ'!$B$6:$B$1005,$W8594)=0),N(U8593)+1,N(U8593))</f>
        <v/>
      </c>
      <c r="V8594" s="19">
        <f>IF($B8594="","",TEXT($B8594,"0000"))</f>
        <v/>
      </c>
      <c r="W8594" s="19">
        <f>IF($I8594="","",IF(ISNUMBER($I8594),TEXT($I8594,"0"),$I8594))</f>
        <v/>
      </c>
    </row>
    <row r="8595">
      <c r="B8595" s="25" t="n"/>
      <c r="I8595" s="25" t="n"/>
      <c r="U8595" s="19">
        <f>IF(AND($V8595='設定'!$C$4,COUNTIF('商品マスタ'!$B$6:$B$1005,$W8595)=0),N(U8594)+1,N(U8594))</f>
        <v/>
      </c>
      <c r="V8595" s="19">
        <f>IF($B8595="","",TEXT($B8595,"0000"))</f>
        <v/>
      </c>
      <c r="W8595" s="19">
        <f>IF($I8595="","",IF(ISNUMBER($I8595),TEXT($I8595,"0"),$I8595))</f>
        <v/>
      </c>
    </row>
    <row r="8596">
      <c r="B8596" s="25" t="n"/>
      <c r="I8596" s="25" t="n"/>
      <c r="U8596" s="19">
        <f>IF(AND($V8596='設定'!$C$4,COUNTIF('商品マスタ'!$B$6:$B$1005,$W8596)=0),N(U8595)+1,N(U8595))</f>
        <v/>
      </c>
      <c r="V8596" s="19">
        <f>IF($B8596="","",TEXT($B8596,"0000"))</f>
        <v/>
      </c>
      <c r="W8596" s="19">
        <f>IF($I8596="","",IF(ISNUMBER($I8596),TEXT($I8596,"0"),$I8596))</f>
        <v/>
      </c>
    </row>
    <row r="8597">
      <c r="B8597" s="25" t="n"/>
      <c r="I8597" s="25" t="n"/>
      <c r="U8597" s="19">
        <f>IF(AND($V8597='設定'!$C$4,COUNTIF('商品マスタ'!$B$6:$B$1005,$W8597)=0),N(U8596)+1,N(U8596))</f>
        <v/>
      </c>
      <c r="V8597" s="19">
        <f>IF($B8597="","",TEXT($B8597,"0000"))</f>
        <v/>
      </c>
      <c r="W8597" s="19">
        <f>IF($I8597="","",IF(ISNUMBER($I8597),TEXT($I8597,"0"),$I8597))</f>
        <v/>
      </c>
    </row>
    <row r="8598">
      <c r="B8598" s="25" t="n"/>
      <c r="I8598" s="25" t="n"/>
      <c r="U8598" s="19">
        <f>IF(AND($V8598='設定'!$C$4,COUNTIF('商品マスタ'!$B$6:$B$1005,$W8598)=0),N(U8597)+1,N(U8597))</f>
        <v/>
      </c>
      <c r="V8598" s="19">
        <f>IF($B8598="","",TEXT($B8598,"0000"))</f>
        <v/>
      </c>
      <c r="W8598" s="19">
        <f>IF($I8598="","",IF(ISNUMBER($I8598),TEXT($I8598,"0"),$I8598))</f>
        <v/>
      </c>
    </row>
    <row r="8599">
      <c r="B8599" s="25" t="n"/>
      <c r="I8599" s="25" t="n"/>
      <c r="U8599" s="19">
        <f>IF(AND($V8599='設定'!$C$4,COUNTIF('商品マスタ'!$B$6:$B$1005,$W8599)=0),N(U8598)+1,N(U8598))</f>
        <v/>
      </c>
      <c r="V8599" s="19">
        <f>IF($B8599="","",TEXT($B8599,"0000"))</f>
        <v/>
      </c>
      <c r="W8599" s="19">
        <f>IF($I8599="","",IF(ISNUMBER($I8599),TEXT($I8599,"0"),$I8599))</f>
        <v/>
      </c>
    </row>
    <row r="8600">
      <c r="B8600" s="25" t="n"/>
      <c r="I8600" s="25" t="n"/>
      <c r="U8600" s="19">
        <f>IF(AND($V8600='設定'!$C$4,COUNTIF('商品マスタ'!$B$6:$B$1005,$W8600)=0),N(U8599)+1,N(U8599))</f>
        <v/>
      </c>
      <c r="V8600" s="19">
        <f>IF($B8600="","",TEXT($B8600,"0000"))</f>
        <v/>
      </c>
      <c r="W8600" s="19">
        <f>IF($I8600="","",IF(ISNUMBER($I8600),TEXT($I8600,"0"),$I8600))</f>
        <v/>
      </c>
    </row>
    <row r="8601">
      <c r="B8601" s="25" t="n"/>
      <c r="I8601" s="25" t="n"/>
      <c r="U8601" s="19">
        <f>IF(AND($V8601='設定'!$C$4,COUNTIF('商品マスタ'!$B$6:$B$1005,$W8601)=0),N(U8600)+1,N(U8600))</f>
        <v/>
      </c>
      <c r="V8601" s="19">
        <f>IF($B8601="","",TEXT($B8601,"0000"))</f>
        <v/>
      </c>
      <c r="W8601" s="19">
        <f>IF($I8601="","",IF(ISNUMBER($I8601),TEXT($I8601,"0"),$I8601))</f>
        <v/>
      </c>
    </row>
    <row r="8602">
      <c r="B8602" s="25" t="n"/>
      <c r="I8602" s="25" t="n"/>
      <c r="U8602" s="19">
        <f>IF(AND($V8602='設定'!$C$4,COUNTIF('商品マスタ'!$B$6:$B$1005,$W8602)=0),N(U8601)+1,N(U8601))</f>
        <v/>
      </c>
      <c r="V8602" s="19">
        <f>IF($B8602="","",TEXT($B8602,"0000"))</f>
        <v/>
      </c>
      <c r="W8602" s="19">
        <f>IF($I8602="","",IF(ISNUMBER($I8602),TEXT($I8602,"0"),$I8602))</f>
        <v/>
      </c>
    </row>
    <row r="8603">
      <c r="B8603" s="25" t="n"/>
      <c r="I8603" s="25" t="n"/>
      <c r="U8603" s="19">
        <f>IF(AND($V8603='設定'!$C$4,COUNTIF('商品マスタ'!$B$6:$B$1005,$W8603)=0),N(U8602)+1,N(U8602))</f>
        <v/>
      </c>
      <c r="V8603" s="19">
        <f>IF($B8603="","",TEXT($B8603,"0000"))</f>
        <v/>
      </c>
      <c r="W8603" s="19">
        <f>IF($I8603="","",IF(ISNUMBER($I8603),TEXT($I8603,"0"),$I8603))</f>
        <v/>
      </c>
    </row>
    <row r="8604">
      <c r="B8604" s="25" t="n"/>
      <c r="I8604" s="25" t="n"/>
      <c r="U8604" s="19">
        <f>IF(AND($V8604='設定'!$C$4,COUNTIF('商品マスタ'!$B$6:$B$1005,$W8604)=0),N(U8603)+1,N(U8603))</f>
        <v/>
      </c>
      <c r="V8604" s="19">
        <f>IF($B8604="","",TEXT($B8604,"0000"))</f>
        <v/>
      </c>
      <c r="W8604" s="19">
        <f>IF($I8604="","",IF(ISNUMBER($I8604),TEXT($I8604,"0"),$I8604))</f>
        <v/>
      </c>
    </row>
    <row r="8605">
      <c r="B8605" s="25" t="n"/>
      <c r="I8605" s="25" t="n"/>
      <c r="U8605" s="19">
        <f>IF(AND($V8605='設定'!$C$4,COUNTIF('商品マスタ'!$B$6:$B$1005,$W8605)=0),N(U8604)+1,N(U8604))</f>
        <v/>
      </c>
      <c r="V8605" s="19">
        <f>IF($B8605="","",TEXT($B8605,"0000"))</f>
        <v/>
      </c>
      <c r="W8605" s="19">
        <f>IF($I8605="","",IF(ISNUMBER($I8605),TEXT($I8605,"0"),$I8605))</f>
        <v/>
      </c>
    </row>
    <row r="8606">
      <c r="B8606" s="25" t="n"/>
      <c r="I8606" s="25" t="n"/>
      <c r="U8606" s="19">
        <f>IF(AND($V8606='設定'!$C$4,COUNTIF('商品マスタ'!$B$6:$B$1005,$W8606)=0),N(U8605)+1,N(U8605))</f>
        <v/>
      </c>
      <c r="V8606" s="19">
        <f>IF($B8606="","",TEXT($B8606,"0000"))</f>
        <v/>
      </c>
      <c r="W8606" s="19">
        <f>IF($I8606="","",IF(ISNUMBER($I8606),TEXT($I8606,"0"),$I8606))</f>
        <v/>
      </c>
    </row>
    <row r="8607">
      <c r="B8607" s="25" t="n"/>
      <c r="I8607" s="25" t="n"/>
      <c r="U8607" s="19">
        <f>IF(AND($V8607='設定'!$C$4,COUNTIF('商品マスタ'!$B$6:$B$1005,$W8607)=0),N(U8606)+1,N(U8606))</f>
        <v/>
      </c>
      <c r="V8607" s="19">
        <f>IF($B8607="","",TEXT($B8607,"0000"))</f>
        <v/>
      </c>
      <c r="W8607" s="19">
        <f>IF($I8607="","",IF(ISNUMBER($I8607),TEXT($I8607,"0"),$I8607))</f>
        <v/>
      </c>
    </row>
    <row r="8608">
      <c r="B8608" s="25" t="n"/>
      <c r="I8608" s="25" t="n"/>
      <c r="U8608" s="19">
        <f>IF(AND($V8608='設定'!$C$4,COUNTIF('商品マスタ'!$B$6:$B$1005,$W8608)=0),N(U8607)+1,N(U8607))</f>
        <v/>
      </c>
      <c r="V8608" s="19">
        <f>IF($B8608="","",TEXT($B8608,"0000"))</f>
        <v/>
      </c>
      <c r="W8608" s="19">
        <f>IF($I8608="","",IF(ISNUMBER($I8608),TEXT($I8608,"0"),$I8608))</f>
        <v/>
      </c>
    </row>
    <row r="8609">
      <c r="B8609" s="25" t="n"/>
      <c r="I8609" s="25" t="n"/>
      <c r="U8609" s="19">
        <f>IF(AND($V8609='設定'!$C$4,COUNTIF('商品マスタ'!$B$6:$B$1005,$W8609)=0),N(U8608)+1,N(U8608))</f>
        <v/>
      </c>
      <c r="V8609" s="19">
        <f>IF($B8609="","",TEXT($B8609,"0000"))</f>
        <v/>
      </c>
      <c r="W8609" s="19">
        <f>IF($I8609="","",IF(ISNUMBER($I8609),TEXT($I8609,"0"),$I8609))</f>
        <v/>
      </c>
    </row>
    <row r="8610">
      <c r="B8610" s="25" t="n"/>
      <c r="I8610" s="25" t="n"/>
      <c r="U8610" s="19">
        <f>IF(AND($V8610='設定'!$C$4,COUNTIF('商品マスタ'!$B$6:$B$1005,$W8610)=0),N(U8609)+1,N(U8609))</f>
        <v/>
      </c>
      <c r="V8610" s="19">
        <f>IF($B8610="","",TEXT($B8610,"0000"))</f>
        <v/>
      </c>
      <c r="W8610" s="19">
        <f>IF($I8610="","",IF(ISNUMBER($I8610),TEXT($I8610,"0"),$I8610))</f>
        <v/>
      </c>
    </row>
    <row r="8611">
      <c r="B8611" s="25" t="n"/>
      <c r="I8611" s="25" t="n"/>
      <c r="U8611" s="19">
        <f>IF(AND($V8611='設定'!$C$4,COUNTIF('商品マスタ'!$B$6:$B$1005,$W8611)=0),N(U8610)+1,N(U8610))</f>
        <v/>
      </c>
      <c r="V8611" s="19">
        <f>IF($B8611="","",TEXT($B8611,"0000"))</f>
        <v/>
      </c>
      <c r="W8611" s="19">
        <f>IF($I8611="","",IF(ISNUMBER($I8611),TEXT($I8611,"0"),$I8611))</f>
        <v/>
      </c>
    </row>
    <row r="8612">
      <c r="B8612" s="25" t="n"/>
      <c r="I8612" s="25" t="n"/>
      <c r="U8612" s="19">
        <f>IF(AND($V8612='設定'!$C$4,COUNTIF('商品マスタ'!$B$6:$B$1005,$W8612)=0),N(U8611)+1,N(U8611))</f>
        <v/>
      </c>
      <c r="V8612" s="19">
        <f>IF($B8612="","",TEXT($B8612,"0000"))</f>
        <v/>
      </c>
      <c r="W8612" s="19">
        <f>IF($I8612="","",IF(ISNUMBER($I8612),TEXT($I8612,"0"),$I8612))</f>
        <v/>
      </c>
    </row>
    <row r="8613">
      <c r="B8613" s="25" t="n"/>
      <c r="I8613" s="25" t="n"/>
      <c r="U8613" s="19">
        <f>IF(AND($V8613='設定'!$C$4,COUNTIF('商品マスタ'!$B$6:$B$1005,$W8613)=0),N(U8612)+1,N(U8612))</f>
        <v/>
      </c>
      <c r="V8613" s="19">
        <f>IF($B8613="","",TEXT($B8613,"0000"))</f>
        <v/>
      </c>
      <c r="W8613" s="19">
        <f>IF($I8613="","",IF(ISNUMBER($I8613),TEXT($I8613,"0"),$I8613))</f>
        <v/>
      </c>
    </row>
    <row r="8614">
      <c r="B8614" s="25" t="n"/>
      <c r="I8614" s="25" t="n"/>
      <c r="U8614" s="19">
        <f>IF(AND($V8614='設定'!$C$4,COUNTIF('商品マスタ'!$B$6:$B$1005,$W8614)=0),N(U8613)+1,N(U8613))</f>
        <v/>
      </c>
      <c r="V8614" s="19">
        <f>IF($B8614="","",TEXT($B8614,"0000"))</f>
        <v/>
      </c>
      <c r="W8614" s="19">
        <f>IF($I8614="","",IF(ISNUMBER($I8614),TEXT($I8614,"0"),$I8614))</f>
        <v/>
      </c>
    </row>
    <row r="8615">
      <c r="B8615" s="25" t="n"/>
      <c r="I8615" s="25" t="n"/>
      <c r="U8615" s="19">
        <f>IF(AND($V8615='設定'!$C$4,COUNTIF('商品マスタ'!$B$6:$B$1005,$W8615)=0),N(U8614)+1,N(U8614))</f>
        <v/>
      </c>
      <c r="V8615" s="19">
        <f>IF($B8615="","",TEXT($B8615,"0000"))</f>
        <v/>
      </c>
      <c r="W8615" s="19">
        <f>IF($I8615="","",IF(ISNUMBER($I8615),TEXT($I8615,"0"),$I8615))</f>
        <v/>
      </c>
    </row>
    <row r="8616">
      <c r="B8616" s="25" t="n"/>
      <c r="I8616" s="25" t="n"/>
      <c r="U8616" s="19">
        <f>IF(AND($V8616='設定'!$C$4,COUNTIF('商品マスタ'!$B$6:$B$1005,$W8616)=0),N(U8615)+1,N(U8615))</f>
        <v/>
      </c>
      <c r="V8616" s="19">
        <f>IF($B8616="","",TEXT($B8616,"0000"))</f>
        <v/>
      </c>
      <c r="W8616" s="19">
        <f>IF($I8616="","",IF(ISNUMBER($I8616),TEXT($I8616,"0"),$I8616))</f>
        <v/>
      </c>
    </row>
    <row r="8617">
      <c r="B8617" s="25" t="n"/>
      <c r="I8617" s="25" t="n"/>
      <c r="U8617" s="19">
        <f>IF(AND($V8617='設定'!$C$4,COUNTIF('商品マスタ'!$B$6:$B$1005,$W8617)=0),N(U8616)+1,N(U8616))</f>
        <v/>
      </c>
      <c r="V8617" s="19">
        <f>IF($B8617="","",TEXT($B8617,"0000"))</f>
        <v/>
      </c>
      <c r="W8617" s="19">
        <f>IF($I8617="","",IF(ISNUMBER($I8617),TEXT($I8617,"0"),$I8617))</f>
        <v/>
      </c>
    </row>
    <row r="8618">
      <c r="B8618" s="25" t="n"/>
      <c r="I8618" s="25" t="n"/>
      <c r="U8618" s="19">
        <f>IF(AND($V8618='設定'!$C$4,COUNTIF('商品マスタ'!$B$6:$B$1005,$W8618)=0),N(U8617)+1,N(U8617))</f>
        <v/>
      </c>
      <c r="V8618" s="19">
        <f>IF($B8618="","",TEXT($B8618,"0000"))</f>
        <v/>
      </c>
      <c r="W8618" s="19">
        <f>IF($I8618="","",IF(ISNUMBER($I8618),TEXT($I8618,"0"),$I8618))</f>
        <v/>
      </c>
    </row>
    <row r="8619">
      <c r="B8619" s="25" t="n"/>
      <c r="I8619" s="25" t="n"/>
      <c r="U8619" s="19">
        <f>IF(AND($V8619='設定'!$C$4,COUNTIF('商品マスタ'!$B$6:$B$1005,$W8619)=0),N(U8618)+1,N(U8618))</f>
        <v/>
      </c>
      <c r="V8619" s="19">
        <f>IF($B8619="","",TEXT($B8619,"0000"))</f>
        <v/>
      </c>
      <c r="W8619" s="19">
        <f>IF($I8619="","",IF(ISNUMBER($I8619),TEXT($I8619,"0"),$I8619))</f>
        <v/>
      </c>
    </row>
    <row r="8620">
      <c r="B8620" s="25" t="n"/>
      <c r="I8620" s="25" t="n"/>
      <c r="U8620" s="19">
        <f>IF(AND($V8620='設定'!$C$4,COUNTIF('商品マスタ'!$B$6:$B$1005,$W8620)=0),N(U8619)+1,N(U8619))</f>
        <v/>
      </c>
      <c r="V8620" s="19">
        <f>IF($B8620="","",TEXT($B8620,"0000"))</f>
        <v/>
      </c>
      <c r="W8620" s="19">
        <f>IF($I8620="","",IF(ISNUMBER($I8620),TEXT($I8620,"0"),$I8620))</f>
        <v/>
      </c>
    </row>
    <row r="8621">
      <c r="B8621" s="25" t="n"/>
      <c r="I8621" s="25" t="n"/>
      <c r="U8621" s="19">
        <f>IF(AND($V8621='設定'!$C$4,COUNTIF('商品マスタ'!$B$6:$B$1005,$W8621)=0),N(U8620)+1,N(U8620))</f>
        <v/>
      </c>
      <c r="V8621" s="19">
        <f>IF($B8621="","",TEXT($B8621,"0000"))</f>
        <v/>
      </c>
      <c r="W8621" s="19">
        <f>IF($I8621="","",IF(ISNUMBER($I8621),TEXT($I8621,"0"),$I8621))</f>
        <v/>
      </c>
    </row>
    <row r="8622">
      <c r="B8622" s="25" t="n"/>
      <c r="I8622" s="25" t="n"/>
      <c r="U8622" s="19">
        <f>IF(AND($V8622='設定'!$C$4,COUNTIF('商品マスタ'!$B$6:$B$1005,$W8622)=0),N(U8621)+1,N(U8621))</f>
        <v/>
      </c>
      <c r="V8622" s="19">
        <f>IF($B8622="","",TEXT($B8622,"0000"))</f>
        <v/>
      </c>
      <c r="W8622" s="19">
        <f>IF($I8622="","",IF(ISNUMBER($I8622),TEXT($I8622,"0"),$I8622))</f>
        <v/>
      </c>
    </row>
    <row r="8623">
      <c r="B8623" s="25" t="n"/>
      <c r="I8623" s="25" t="n"/>
      <c r="U8623" s="19">
        <f>IF(AND($V8623='設定'!$C$4,COUNTIF('商品マスタ'!$B$6:$B$1005,$W8623)=0),N(U8622)+1,N(U8622))</f>
        <v/>
      </c>
      <c r="V8623" s="19">
        <f>IF($B8623="","",TEXT($B8623,"0000"))</f>
        <v/>
      </c>
      <c r="W8623" s="19">
        <f>IF($I8623="","",IF(ISNUMBER($I8623),TEXT($I8623,"0"),$I8623))</f>
        <v/>
      </c>
    </row>
    <row r="8624">
      <c r="B8624" s="25" t="n"/>
      <c r="I8624" s="25" t="n"/>
      <c r="U8624" s="19">
        <f>IF(AND($V8624='設定'!$C$4,COUNTIF('商品マスタ'!$B$6:$B$1005,$W8624)=0),N(U8623)+1,N(U8623))</f>
        <v/>
      </c>
      <c r="V8624" s="19">
        <f>IF($B8624="","",TEXT($B8624,"0000"))</f>
        <v/>
      </c>
      <c r="W8624" s="19">
        <f>IF($I8624="","",IF(ISNUMBER($I8624),TEXT($I8624,"0"),$I8624))</f>
        <v/>
      </c>
    </row>
    <row r="8625">
      <c r="B8625" s="25" t="n"/>
      <c r="I8625" s="25" t="n"/>
      <c r="U8625" s="19">
        <f>IF(AND($V8625='設定'!$C$4,COUNTIF('商品マスタ'!$B$6:$B$1005,$W8625)=0),N(U8624)+1,N(U8624))</f>
        <v/>
      </c>
      <c r="V8625" s="19">
        <f>IF($B8625="","",TEXT($B8625,"0000"))</f>
        <v/>
      </c>
      <c r="W8625" s="19">
        <f>IF($I8625="","",IF(ISNUMBER($I8625),TEXT($I8625,"0"),$I8625))</f>
        <v/>
      </c>
    </row>
    <row r="8626">
      <c r="B8626" s="25" t="n"/>
      <c r="I8626" s="25" t="n"/>
      <c r="U8626" s="19">
        <f>IF(AND($V8626='設定'!$C$4,COUNTIF('商品マスタ'!$B$6:$B$1005,$W8626)=0),N(U8625)+1,N(U8625))</f>
        <v/>
      </c>
      <c r="V8626" s="19">
        <f>IF($B8626="","",TEXT($B8626,"0000"))</f>
        <v/>
      </c>
      <c r="W8626" s="19">
        <f>IF($I8626="","",IF(ISNUMBER($I8626),TEXT($I8626,"0"),$I8626))</f>
        <v/>
      </c>
    </row>
    <row r="8627">
      <c r="B8627" s="25" t="n"/>
      <c r="I8627" s="25" t="n"/>
      <c r="U8627" s="19">
        <f>IF(AND($V8627='設定'!$C$4,COUNTIF('商品マスタ'!$B$6:$B$1005,$W8627)=0),N(U8626)+1,N(U8626))</f>
        <v/>
      </c>
      <c r="V8627" s="19">
        <f>IF($B8627="","",TEXT($B8627,"0000"))</f>
        <v/>
      </c>
      <c r="W8627" s="19">
        <f>IF($I8627="","",IF(ISNUMBER($I8627),TEXT($I8627,"0"),$I8627))</f>
        <v/>
      </c>
    </row>
    <row r="8628">
      <c r="B8628" s="25" t="n"/>
      <c r="I8628" s="25" t="n"/>
      <c r="U8628" s="19">
        <f>IF(AND($V8628='設定'!$C$4,COUNTIF('商品マスタ'!$B$6:$B$1005,$W8628)=0),N(U8627)+1,N(U8627))</f>
        <v/>
      </c>
      <c r="V8628" s="19">
        <f>IF($B8628="","",TEXT($B8628,"0000"))</f>
        <v/>
      </c>
      <c r="W8628" s="19">
        <f>IF($I8628="","",IF(ISNUMBER($I8628),TEXT($I8628,"0"),$I8628))</f>
        <v/>
      </c>
    </row>
    <row r="8629">
      <c r="B8629" s="25" t="n"/>
      <c r="I8629" s="25" t="n"/>
      <c r="U8629" s="19">
        <f>IF(AND($V8629='設定'!$C$4,COUNTIF('商品マスタ'!$B$6:$B$1005,$W8629)=0),N(U8628)+1,N(U8628))</f>
        <v/>
      </c>
      <c r="V8629" s="19">
        <f>IF($B8629="","",TEXT($B8629,"0000"))</f>
        <v/>
      </c>
      <c r="W8629" s="19">
        <f>IF($I8629="","",IF(ISNUMBER($I8629),TEXT($I8629,"0"),$I8629))</f>
        <v/>
      </c>
    </row>
    <row r="8630">
      <c r="B8630" s="25" t="n"/>
      <c r="I8630" s="25" t="n"/>
      <c r="U8630" s="19">
        <f>IF(AND($V8630='設定'!$C$4,COUNTIF('商品マスタ'!$B$6:$B$1005,$W8630)=0),N(U8629)+1,N(U8629))</f>
        <v/>
      </c>
      <c r="V8630" s="19">
        <f>IF($B8630="","",TEXT($B8630,"0000"))</f>
        <v/>
      </c>
      <c r="W8630" s="19">
        <f>IF($I8630="","",IF(ISNUMBER($I8630),TEXT($I8630,"0"),$I8630))</f>
        <v/>
      </c>
    </row>
    <row r="8631">
      <c r="B8631" s="25" t="n"/>
      <c r="I8631" s="25" t="n"/>
      <c r="U8631" s="19">
        <f>IF(AND($V8631='設定'!$C$4,COUNTIF('商品マスタ'!$B$6:$B$1005,$W8631)=0),N(U8630)+1,N(U8630))</f>
        <v/>
      </c>
      <c r="V8631" s="19">
        <f>IF($B8631="","",TEXT($B8631,"0000"))</f>
        <v/>
      </c>
      <c r="W8631" s="19">
        <f>IF($I8631="","",IF(ISNUMBER($I8631),TEXT($I8631,"0"),$I8631))</f>
        <v/>
      </c>
    </row>
    <row r="8632">
      <c r="B8632" s="25" t="n"/>
      <c r="I8632" s="25" t="n"/>
      <c r="U8632" s="19">
        <f>IF(AND($V8632='設定'!$C$4,COUNTIF('商品マスタ'!$B$6:$B$1005,$W8632)=0),N(U8631)+1,N(U8631))</f>
        <v/>
      </c>
      <c r="V8632" s="19">
        <f>IF($B8632="","",TEXT($B8632,"0000"))</f>
        <v/>
      </c>
      <c r="W8632" s="19">
        <f>IF($I8632="","",IF(ISNUMBER($I8632),TEXT($I8632,"0"),$I8632))</f>
        <v/>
      </c>
    </row>
    <row r="8633">
      <c r="B8633" s="25" t="n"/>
      <c r="I8633" s="25" t="n"/>
      <c r="U8633" s="19">
        <f>IF(AND($V8633='設定'!$C$4,COUNTIF('商品マスタ'!$B$6:$B$1005,$W8633)=0),N(U8632)+1,N(U8632))</f>
        <v/>
      </c>
      <c r="V8633" s="19">
        <f>IF($B8633="","",TEXT($B8633,"0000"))</f>
        <v/>
      </c>
      <c r="W8633" s="19">
        <f>IF($I8633="","",IF(ISNUMBER($I8633),TEXT($I8633,"0"),$I8633))</f>
        <v/>
      </c>
    </row>
    <row r="8634">
      <c r="B8634" s="25" t="n"/>
      <c r="I8634" s="25" t="n"/>
      <c r="U8634" s="19">
        <f>IF(AND($V8634='設定'!$C$4,COUNTIF('商品マスタ'!$B$6:$B$1005,$W8634)=0),N(U8633)+1,N(U8633))</f>
        <v/>
      </c>
      <c r="V8634" s="19">
        <f>IF($B8634="","",TEXT($B8634,"0000"))</f>
        <v/>
      </c>
      <c r="W8634" s="19">
        <f>IF($I8634="","",IF(ISNUMBER($I8634),TEXT($I8634,"0"),$I8634))</f>
        <v/>
      </c>
    </row>
    <row r="8635">
      <c r="B8635" s="25" t="n"/>
      <c r="I8635" s="25" t="n"/>
      <c r="U8635" s="19">
        <f>IF(AND($V8635='設定'!$C$4,COUNTIF('商品マスタ'!$B$6:$B$1005,$W8635)=0),N(U8634)+1,N(U8634))</f>
        <v/>
      </c>
      <c r="V8635" s="19">
        <f>IF($B8635="","",TEXT($B8635,"0000"))</f>
        <v/>
      </c>
      <c r="W8635" s="19">
        <f>IF($I8635="","",IF(ISNUMBER($I8635),TEXT($I8635,"0"),$I8635))</f>
        <v/>
      </c>
    </row>
    <row r="8636">
      <c r="B8636" s="25" t="n"/>
      <c r="I8636" s="25" t="n"/>
      <c r="U8636" s="19">
        <f>IF(AND($V8636='設定'!$C$4,COUNTIF('商品マスタ'!$B$6:$B$1005,$W8636)=0),N(U8635)+1,N(U8635))</f>
        <v/>
      </c>
      <c r="V8636" s="19">
        <f>IF($B8636="","",TEXT($B8636,"0000"))</f>
        <v/>
      </c>
      <c r="W8636" s="19">
        <f>IF($I8636="","",IF(ISNUMBER($I8636),TEXT($I8636,"0"),$I8636))</f>
        <v/>
      </c>
    </row>
    <row r="8637">
      <c r="B8637" s="25" t="n"/>
      <c r="I8637" s="25" t="n"/>
      <c r="U8637" s="19">
        <f>IF(AND($V8637='設定'!$C$4,COUNTIF('商品マスタ'!$B$6:$B$1005,$W8637)=0),N(U8636)+1,N(U8636))</f>
        <v/>
      </c>
      <c r="V8637" s="19">
        <f>IF($B8637="","",TEXT($B8637,"0000"))</f>
        <v/>
      </c>
      <c r="W8637" s="19">
        <f>IF($I8637="","",IF(ISNUMBER($I8637),TEXT($I8637,"0"),$I8637))</f>
        <v/>
      </c>
    </row>
    <row r="8638">
      <c r="B8638" s="25" t="n"/>
      <c r="I8638" s="25" t="n"/>
      <c r="U8638" s="19">
        <f>IF(AND($V8638='設定'!$C$4,COUNTIF('商品マスタ'!$B$6:$B$1005,$W8638)=0),N(U8637)+1,N(U8637))</f>
        <v/>
      </c>
      <c r="V8638" s="19">
        <f>IF($B8638="","",TEXT($B8638,"0000"))</f>
        <v/>
      </c>
      <c r="W8638" s="19">
        <f>IF($I8638="","",IF(ISNUMBER($I8638),TEXT($I8638,"0"),$I8638))</f>
        <v/>
      </c>
    </row>
    <row r="8639">
      <c r="B8639" s="25" t="n"/>
      <c r="I8639" s="25" t="n"/>
      <c r="U8639" s="19">
        <f>IF(AND($V8639='設定'!$C$4,COUNTIF('商品マスタ'!$B$6:$B$1005,$W8639)=0),N(U8638)+1,N(U8638))</f>
        <v/>
      </c>
      <c r="V8639" s="19">
        <f>IF($B8639="","",TEXT($B8639,"0000"))</f>
        <v/>
      </c>
      <c r="W8639" s="19">
        <f>IF($I8639="","",IF(ISNUMBER($I8639),TEXT($I8639,"0"),$I8639))</f>
        <v/>
      </c>
    </row>
    <row r="8640">
      <c r="B8640" s="25" t="n"/>
      <c r="I8640" s="25" t="n"/>
      <c r="U8640" s="19">
        <f>IF(AND($V8640='設定'!$C$4,COUNTIF('商品マスタ'!$B$6:$B$1005,$W8640)=0),N(U8639)+1,N(U8639))</f>
        <v/>
      </c>
      <c r="V8640" s="19">
        <f>IF($B8640="","",TEXT($B8640,"0000"))</f>
        <v/>
      </c>
      <c r="W8640" s="19">
        <f>IF($I8640="","",IF(ISNUMBER($I8640),TEXT($I8640,"0"),$I8640))</f>
        <v/>
      </c>
    </row>
    <row r="8641">
      <c r="B8641" s="25" t="n"/>
      <c r="I8641" s="25" t="n"/>
      <c r="U8641" s="19">
        <f>IF(AND($V8641='設定'!$C$4,COUNTIF('商品マスタ'!$B$6:$B$1005,$W8641)=0),N(U8640)+1,N(U8640))</f>
        <v/>
      </c>
      <c r="V8641" s="19">
        <f>IF($B8641="","",TEXT($B8641,"0000"))</f>
        <v/>
      </c>
      <c r="W8641" s="19">
        <f>IF($I8641="","",IF(ISNUMBER($I8641),TEXT($I8641,"0"),$I8641))</f>
        <v/>
      </c>
    </row>
    <row r="8642">
      <c r="B8642" s="25" t="n"/>
      <c r="I8642" s="25" t="n"/>
      <c r="U8642" s="19">
        <f>IF(AND($V8642='設定'!$C$4,COUNTIF('商品マスタ'!$B$6:$B$1005,$W8642)=0),N(U8641)+1,N(U8641))</f>
        <v/>
      </c>
      <c r="V8642" s="19">
        <f>IF($B8642="","",TEXT($B8642,"0000"))</f>
        <v/>
      </c>
      <c r="W8642" s="19">
        <f>IF($I8642="","",IF(ISNUMBER($I8642),TEXT($I8642,"0"),$I8642))</f>
        <v/>
      </c>
    </row>
    <row r="8643">
      <c r="B8643" s="25" t="n"/>
      <c r="I8643" s="25" t="n"/>
      <c r="U8643" s="19">
        <f>IF(AND($V8643='設定'!$C$4,COUNTIF('商品マスタ'!$B$6:$B$1005,$W8643)=0),N(U8642)+1,N(U8642))</f>
        <v/>
      </c>
      <c r="V8643" s="19">
        <f>IF($B8643="","",TEXT($B8643,"0000"))</f>
        <v/>
      </c>
      <c r="W8643" s="19">
        <f>IF($I8643="","",IF(ISNUMBER($I8643),TEXT($I8643,"0"),$I8643))</f>
        <v/>
      </c>
    </row>
    <row r="8644">
      <c r="B8644" s="25" t="n"/>
      <c r="I8644" s="25" t="n"/>
      <c r="U8644" s="19">
        <f>IF(AND($V8644='設定'!$C$4,COUNTIF('商品マスタ'!$B$6:$B$1005,$W8644)=0),N(U8643)+1,N(U8643))</f>
        <v/>
      </c>
      <c r="V8644" s="19">
        <f>IF($B8644="","",TEXT($B8644,"0000"))</f>
        <v/>
      </c>
      <c r="W8644" s="19">
        <f>IF($I8644="","",IF(ISNUMBER($I8644),TEXT($I8644,"0"),$I8644))</f>
        <v/>
      </c>
    </row>
    <row r="8645">
      <c r="B8645" s="25" t="n"/>
      <c r="I8645" s="25" t="n"/>
      <c r="U8645" s="19">
        <f>IF(AND($V8645='設定'!$C$4,COUNTIF('商品マスタ'!$B$6:$B$1005,$W8645)=0),N(U8644)+1,N(U8644))</f>
        <v/>
      </c>
      <c r="V8645" s="19">
        <f>IF($B8645="","",TEXT($B8645,"0000"))</f>
        <v/>
      </c>
      <c r="W8645" s="19">
        <f>IF($I8645="","",IF(ISNUMBER($I8645),TEXT($I8645,"0"),$I8645))</f>
        <v/>
      </c>
    </row>
    <row r="8646">
      <c r="B8646" s="25" t="n"/>
      <c r="I8646" s="25" t="n"/>
      <c r="U8646" s="19">
        <f>IF(AND($V8646='設定'!$C$4,COUNTIF('商品マスタ'!$B$6:$B$1005,$W8646)=0),N(U8645)+1,N(U8645))</f>
        <v/>
      </c>
      <c r="V8646" s="19">
        <f>IF($B8646="","",TEXT($B8646,"0000"))</f>
        <v/>
      </c>
      <c r="W8646" s="19">
        <f>IF($I8646="","",IF(ISNUMBER($I8646),TEXT($I8646,"0"),$I8646))</f>
        <v/>
      </c>
    </row>
    <row r="8647">
      <c r="B8647" s="25" t="n"/>
      <c r="I8647" s="25" t="n"/>
      <c r="U8647" s="19">
        <f>IF(AND($V8647='設定'!$C$4,COUNTIF('商品マスタ'!$B$6:$B$1005,$W8647)=0),N(U8646)+1,N(U8646))</f>
        <v/>
      </c>
      <c r="V8647" s="19">
        <f>IF($B8647="","",TEXT($B8647,"0000"))</f>
        <v/>
      </c>
      <c r="W8647" s="19">
        <f>IF($I8647="","",IF(ISNUMBER($I8647),TEXT($I8647,"0"),$I8647))</f>
        <v/>
      </c>
    </row>
    <row r="8648">
      <c r="B8648" s="25" t="n"/>
      <c r="I8648" s="25" t="n"/>
      <c r="U8648" s="19">
        <f>IF(AND($V8648='設定'!$C$4,COUNTIF('商品マスタ'!$B$6:$B$1005,$W8648)=0),N(U8647)+1,N(U8647))</f>
        <v/>
      </c>
      <c r="V8648" s="19">
        <f>IF($B8648="","",TEXT($B8648,"0000"))</f>
        <v/>
      </c>
      <c r="W8648" s="19">
        <f>IF($I8648="","",IF(ISNUMBER($I8648),TEXT($I8648,"0"),$I8648))</f>
        <v/>
      </c>
    </row>
    <row r="8649">
      <c r="B8649" s="25" t="n"/>
      <c r="I8649" s="25" t="n"/>
      <c r="U8649" s="19">
        <f>IF(AND($V8649='設定'!$C$4,COUNTIF('商品マスタ'!$B$6:$B$1005,$W8649)=0),N(U8648)+1,N(U8648))</f>
        <v/>
      </c>
      <c r="V8649" s="19">
        <f>IF($B8649="","",TEXT($B8649,"0000"))</f>
        <v/>
      </c>
      <c r="W8649" s="19">
        <f>IF($I8649="","",IF(ISNUMBER($I8649),TEXT($I8649,"0"),$I8649))</f>
        <v/>
      </c>
    </row>
    <row r="8650">
      <c r="B8650" s="25" t="n"/>
      <c r="I8650" s="25" t="n"/>
      <c r="U8650" s="19">
        <f>IF(AND($V8650='設定'!$C$4,COUNTIF('商品マスタ'!$B$6:$B$1005,$W8650)=0),N(U8649)+1,N(U8649))</f>
        <v/>
      </c>
      <c r="V8650" s="19">
        <f>IF($B8650="","",TEXT($B8650,"0000"))</f>
        <v/>
      </c>
      <c r="W8650" s="19">
        <f>IF($I8650="","",IF(ISNUMBER($I8650),TEXT($I8650,"0"),$I8650))</f>
        <v/>
      </c>
    </row>
    <row r="8651">
      <c r="B8651" s="25" t="n"/>
      <c r="I8651" s="25" t="n"/>
      <c r="U8651" s="19">
        <f>IF(AND($V8651='設定'!$C$4,COUNTIF('商品マスタ'!$B$6:$B$1005,$W8651)=0),N(U8650)+1,N(U8650))</f>
        <v/>
      </c>
      <c r="V8651" s="19">
        <f>IF($B8651="","",TEXT($B8651,"0000"))</f>
        <v/>
      </c>
      <c r="W8651" s="19">
        <f>IF($I8651="","",IF(ISNUMBER($I8651),TEXT($I8651,"0"),$I8651))</f>
        <v/>
      </c>
    </row>
    <row r="8652">
      <c r="B8652" s="25" t="n"/>
      <c r="I8652" s="25" t="n"/>
      <c r="U8652" s="19">
        <f>IF(AND($V8652='設定'!$C$4,COUNTIF('商品マスタ'!$B$6:$B$1005,$W8652)=0),N(U8651)+1,N(U8651))</f>
        <v/>
      </c>
      <c r="V8652" s="19">
        <f>IF($B8652="","",TEXT($B8652,"0000"))</f>
        <v/>
      </c>
      <c r="W8652" s="19">
        <f>IF($I8652="","",IF(ISNUMBER($I8652),TEXT($I8652,"0"),$I8652))</f>
        <v/>
      </c>
    </row>
    <row r="8653">
      <c r="B8653" s="25" t="n"/>
      <c r="I8653" s="25" t="n"/>
      <c r="U8653" s="19">
        <f>IF(AND($V8653='設定'!$C$4,COUNTIF('商品マスタ'!$B$6:$B$1005,$W8653)=0),N(U8652)+1,N(U8652))</f>
        <v/>
      </c>
      <c r="V8653" s="19">
        <f>IF($B8653="","",TEXT($B8653,"0000"))</f>
        <v/>
      </c>
      <c r="W8653" s="19">
        <f>IF($I8653="","",IF(ISNUMBER($I8653),TEXT($I8653,"0"),$I8653))</f>
        <v/>
      </c>
    </row>
    <row r="8654">
      <c r="B8654" s="25" t="n"/>
      <c r="I8654" s="25" t="n"/>
      <c r="U8654" s="19">
        <f>IF(AND($V8654='設定'!$C$4,COUNTIF('商品マスタ'!$B$6:$B$1005,$W8654)=0),N(U8653)+1,N(U8653))</f>
        <v/>
      </c>
      <c r="V8654" s="19">
        <f>IF($B8654="","",TEXT($B8654,"0000"))</f>
        <v/>
      </c>
      <c r="W8654" s="19">
        <f>IF($I8654="","",IF(ISNUMBER($I8654),TEXT($I8654,"0"),$I8654))</f>
        <v/>
      </c>
    </row>
    <row r="8655">
      <c r="B8655" s="25" t="n"/>
      <c r="I8655" s="25" t="n"/>
      <c r="U8655" s="19">
        <f>IF(AND($V8655='設定'!$C$4,COUNTIF('商品マスタ'!$B$6:$B$1005,$W8655)=0),N(U8654)+1,N(U8654))</f>
        <v/>
      </c>
      <c r="V8655" s="19">
        <f>IF($B8655="","",TEXT($B8655,"0000"))</f>
        <v/>
      </c>
      <c r="W8655" s="19">
        <f>IF($I8655="","",IF(ISNUMBER($I8655),TEXT($I8655,"0"),$I8655))</f>
        <v/>
      </c>
    </row>
    <row r="8656">
      <c r="B8656" s="25" t="n"/>
      <c r="I8656" s="25" t="n"/>
      <c r="U8656" s="19">
        <f>IF(AND($V8656='設定'!$C$4,COUNTIF('商品マスタ'!$B$6:$B$1005,$W8656)=0),N(U8655)+1,N(U8655))</f>
        <v/>
      </c>
      <c r="V8656" s="19">
        <f>IF($B8656="","",TEXT($B8656,"0000"))</f>
        <v/>
      </c>
      <c r="W8656" s="19">
        <f>IF($I8656="","",IF(ISNUMBER($I8656),TEXT($I8656,"0"),$I8656))</f>
        <v/>
      </c>
    </row>
    <row r="8657">
      <c r="B8657" s="25" t="n"/>
      <c r="I8657" s="25" t="n"/>
      <c r="U8657" s="19">
        <f>IF(AND($V8657='設定'!$C$4,COUNTIF('商品マスタ'!$B$6:$B$1005,$W8657)=0),N(U8656)+1,N(U8656))</f>
        <v/>
      </c>
      <c r="V8657" s="19">
        <f>IF($B8657="","",TEXT($B8657,"0000"))</f>
        <v/>
      </c>
      <c r="W8657" s="19">
        <f>IF($I8657="","",IF(ISNUMBER($I8657),TEXT($I8657,"0"),$I8657))</f>
        <v/>
      </c>
    </row>
    <row r="8658">
      <c r="B8658" s="25" t="n"/>
      <c r="I8658" s="25" t="n"/>
      <c r="U8658" s="19">
        <f>IF(AND($V8658='設定'!$C$4,COUNTIF('商品マスタ'!$B$6:$B$1005,$W8658)=0),N(U8657)+1,N(U8657))</f>
        <v/>
      </c>
      <c r="V8658" s="19">
        <f>IF($B8658="","",TEXT($B8658,"0000"))</f>
        <v/>
      </c>
      <c r="W8658" s="19">
        <f>IF($I8658="","",IF(ISNUMBER($I8658),TEXT($I8658,"0"),$I8658))</f>
        <v/>
      </c>
    </row>
    <row r="8659">
      <c r="B8659" s="25" t="n"/>
      <c r="I8659" s="25" t="n"/>
      <c r="U8659" s="19">
        <f>IF(AND($V8659='設定'!$C$4,COUNTIF('商品マスタ'!$B$6:$B$1005,$W8659)=0),N(U8658)+1,N(U8658))</f>
        <v/>
      </c>
      <c r="V8659" s="19">
        <f>IF($B8659="","",TEXT($B8659,"0000"))</f>
        <v/>
      </c>
      <c r="W8659" s="19">
        <f>IF($I8659="","",IF(ISNUMBER($I8659),TEXT($I8659,"0"),$I8659))</f>
        <v/>
      </c>
    </row>
    <row r="8660">
      <c r="B8660" s="25" t="n"/>
      <c r="I8660" s="25" t="n"/>
      <c r="U8660" s="19">
        <f>IF(AND($V8660='設定'!$C$4,COUNTIF('商品マスタ'!$B$6:$B$1005,$W8660)=0),N(U8659)+1,N(U8659))</f>
        <v/>
      </c>
      <c r="V8660" s="19">
        <f>IF($B8660="","",TEXT($B8660,"0000"))</f>
        <v/>
      </c>
      <c r="W8660" s="19">
        <f>IF($I8660="","",IF(ISNUMBER($I8660),TEXT($I8660,"0"),$I8660))</f>
        <v/>
      </c>
    </row>
    <row r="8661">
      <c r="B8661" s="25" t="n"/>
      <c r="I8661" s="25" t="n"/>
      <c r="U8661" s="19">
        <f>IF(AND($V8661='設定'!$C$4,COUNTIF('商品マスタ'!$B$6:$B$1005,$W8661)=0),N(U8660)+1,N(U8660))</f>
        <v/>
      </c>
      <c r="V8661" s="19">
        <f>IF($B8661="","",TEXT($B8661,"0000"))</f>
        <v/>
      </c>
      <c r="W8661" s="19">
        <f>IF($I8661="","",IF(ISNUMBER($I8661),TEXT($I8661,"0"),$I8661))</f>
        <v/>
      </c>
    </row>
    <row r="8662">
      <c r="B8662" s="25" t="n"/>
      <c r="I8662" s="25" t="n"/>
      <c r="U8662" s="19">
        <f>IF(AND($V8662='設定'!$C$4,COUNTIF('商品マスタ'!$B$6:$B$1005,$W8662)=0),N(U8661)+1,N(U8661))</f>
        <v/>
      </c>
      <c r="V8662" s="19">
        <f>IF($B8662="","",TEXT($B8662,"0000"))</f>
        <v/>
      </c>
      <c r="W8662" s="19">
        <f>IF($I8662="","",IF(ISNUMBER($I8662),TEXT($I8662,"0"),$I8662))</f>
        <v/>
      </c>
    </row>
    <row r="8663">
      <c r="B8663" s="25" t="n"/>
      <c r="I8663" s="25" t="n"/>
      <c r="U8663" s="19">
        <f>IF(AND($V8663='設定'!$C$4,COUNTIF('商品マスタ'!$B$6:$B$1005,$W8663)=0),N(U8662)+1,N(U8662))</f>
        <v/>
      </c>
      <c r="V8663" s="19">
        <f>IF($B8663="","",TEXT($B8663,"0000"))</f>
        <v/>
      </c>
      <c r="W8663" s="19">
        <f>IF($I8663="","",IF(ISNUMBER($I8663),TEXT($I8663,"0"),$I8663))</f>
        <v/>
      </c>
    </row>
    <row r="8664">
      <c r="B8664" s="25" t="n"/>
      <c r="I8664" s="25" t="n"/>
      <c r="U8664" s="19">
        <f>IF(AND($V8664='設定'!$C$4,COUNTIF('商品マスタ'!$B$6:$B$1005,$W8664)=0),N(U8663)+1,N(U8663))</f>
        <v/>
      </c>
      <c r="V8664" s="19">
        <f>IF($B8664="","",TEXT($B8664,"0000"))</f>
        <v/>
      </c>
      <c r="W8664" s="19">
        <f>IF($I8664="","",IF(ISNUMBER($I8664),TEXT($I8664,"0"),$I8664))</f>
        <v/>
      </c>
    </row>
    <row r="8665">
      <c r="B8665" s="25" t="n"/>
      <c r="I8665" s="25" t="n"/>
      <c r="U8665" s="19">
        <f>IF(AND($V8665='設定'!$C$4,COUNTIF('商品マスタ'!$B$6:$B$1005,$W8665)=0),N(U8664)+1,N(U8664))</f>
        <v/>
      </c>
      <c r="V8665" s="19">
        <f>IF($B8665="","",TEXT($B8665,"0000"))</f>
        <v/>
      </c>
      <c r="W8665" s="19">
        <f>IF($I8665="","",IF(ISNUMBER($I8665),TEXT($I8665,"0"),$I8665))</f>
        <v/>
      </c>
    </row>
    <row r="8666">
      <c r="B8666" s="25" t="n"/>
      <c r="I8666" s="25" t="n"/>
      <c r="U8666" s="19">
        <f>IF(AND($V8666='設定'!$C$4,COUNTIF('商品マスタ'!$B$6:$B$1005,$W8666)=0),N(U8665)+1,N(U8665))</f>
        <v/>
      </c>
      <c r="V8666" s="19">
        <f>IF($B8666="","",TEXT($B8666,"0000"))</f>
        <v/>
      </c>
      <c r="W8666" s="19">
        <f>IF($I8666="","",IF(ISNUMBER($I8666),TEXT($I8666,"0"),$I8666))</f>
        <v/>
      </c>
    </row>
    <row r="8667">
      <c r="B8667" s="25" t="n"/>
      <c r="I8667" s="25" t="n"/>
      <c r="U8667" s="19">
        <f>IF(AND($V8667='設定'!$C$4,COUNTIF('商品マスタ'!$B$6:$B$1005,$W8667)=0),N(U8666)+1,N(U8666))</f>
        <v/>
      </c>
      <c r="V8667" s="19">
        <f>IF($B8667="","",TEXT($B8667,"0000"))</f>
        <v/>
      </c>
      <c r="W8667" s="19">
        <f>IF($I8667="","",IF(ISNUMBER($I8667),TEXT($I8667,"0"),$I8667))</f>
        <v/>
      </c>
    </row>
    <row r="8668">
      <c r="B8668" s="25" t="n"/>
      <c r="I8668" s="25" t="n"/>
      <c r="U8668" s="19">
        <f>IF(AND($V8668='設定'!$C$4,COUNTIF('商品マスタ'!$B$6:$B$1005,$W8668)=0),N(U8667)+1,N(U8667))</f>
        <v/>
      </c>
      <c r="V8668" s="19">
        <f>IF($B8668="","",TEXT($B8668,"0000"))</f>
        <v/>
      </c>
      <c r="W8668" s="19">
        <f>IF($I8668="","",IF(ISNUMBER($I8668),TEXT($I8668,"0"),$I8668))</f>
        <v/>
      </c>
    </row>
    <row r="8669">
      <c r="B8669" s="25" t="n"/>
      <c r="I8669" s="25" t="n"/>
      <c r="U8669" s="19">
        <f>IF(AND($V8669='設定'!$C$4,COUNTIF('商品マスタ'!$B$6:$B$1005,$W8669)=0),N(U8668)+1,N(U8668))</f>
        <v/>
      </c>
      <c r="V8669" s="19">
        <f>IF($B8669="","",TEXT($B8669,"0000"))</f>
        <v/>
      </c>
      <c r="W8669" s="19">
        <f>IF($I8669="","",IF(ISNUMBER($I8669),TEXT($I8669,"0"),$I8669))</f>
        <v/>
      </c>
    </row>
    <row r="8670">
      <c r="B8670" s="25" t="n"/>
      <c r="I8670" s="25" t="n"/>
      <c r="U8670" s="19">
        <f>IF(AND($V8670='設定'!$C$4,COUNTIF('商品マスタ'!$B$6:$B$1005,$W8670)=0),N(U8669)+1,N(U8669))</f>
        <v/>
      </c>
      <c r="V8670" s="19">
        <f>IF($B8670="","",TEXT($B8670,"0000"))</f>
        <v/>
      </c>
      <c r="W8670" s="19">
        <f>IF($I8670="","",IF(ISNUMBER($I8670),TEXT($I8670,"0"),$I8670))</f>
        <v/>
      </c>
    </row>
    <row r="8671">
      <c r="B8671" s="25" t="n"/>
      <c r="I8671" s="25" t="n"/>
      <c r="U8671" s="19">
        <f>IF(AND($V8671='設定'!$C$4,COUNTIF('商品マスタ'!$B$6:$B$1005,$W8671)=0),N(U8670)+1,N(U8670))</f>
        <v/>
      </c>
      <c r="V8671" s="19">
        <f>IF($B8671="","",TEXT($B8671,"0000"))</f>
        <v/>
      </c>
      <c r="W8671" s="19">
        <f>IF($I8671="","",IF(ISNUMBER($I8671),TEXT($I8671,"0"),$I8671))</f>
        <v/>
      </c>
    </row>
    <row r="8672">
      <c r="B8672" s="25" t="n"/>
      <c r="I8672" s="25" t="n"/>
      <c r="U8672" s="19">
        <f>IF(AND($V8672='設定'!$C$4,COUNTIF('商品マスタ'!$B$6:$B$1005,$W8672)=0),N(U8671)+1,N(U8671))</f>
        <v/>
      </c>
      <c r="V8672" s="19">
        <f>IF($B8672="","",TEXT($B8672,"0000"))</f>
        <v/>
      </c>
      <c r="W8672" s="19">
        <f>IF($I8672="","",IF(ISNUMBER($I8672),TEXT($I8672,"0"),$I8672))</f>
        <v/>
      </c>
    </row>
    <row r="8673">
      <c r="B8673" s="25" t="n"/>
      <c r="I8673" s="25" t="n"/>
      <c r="U8673" s="19">
        <f>IF(AND($V8673='設定'!$C$4,COUNTIF('商品マスタ'!$B$6:$B$1005,$W8673)=0),N(U8672)+1,N(U8672))</f>
        <v/>
      </c>
      <c r="V8673" s="19">
        <f>IF($B8673="","",TEXT($B8673,"0000"))</f>
        <v/>
      </c>
      <c r="W8673" s="19">
        <f>IF($I8673="","",IF(ISNUMBER($I8673),TEXT($I8673,"0"),$I8673))</f>
        <v/>
      </c>
    </row>
    <row r="8674">
      <c r="B8674" s="25" t="n"/>
      <c r="I8674" s="25" t="n"/>
      <c r="U8674" s="19">
        <f>IF(AND($V8674='設定'!$C$4,COUNTIF('商品マスタ'!$B$6:$B$1005,$W8674)=0),N(U8673)+1,N(U8673))</f>
        <v/>
      </c>
      <c r="V8674" s="19">
        <f>IF($B8674="","",TEXT($B8674,"0000"))</f>
        <v/>
      </c>
      <c r="W8674" s="19">
        <f>IF($I8674="","",IF(ISNUMBER($I8674),TEXT($I8674,"0"),$I8674))</f>
        <v/>
      </c>
    </row>
    <row r="8675">
      <c r="B8675" s="25" t="n"/>
      <c r="I8675" s="25" t="n"/>
      <c r="U8675" s="19">
        <f>IF(AND($V8675='設定'!$C$4,COUNTIF('商品マスタ'!$B$6:$B$1005,$W8675)=0),N(U8674)+1,N(U8674))</f>
        <v/>
      </c>
      <c r="V8675" s="19">
        <f>IF($B8675="","",TEXT($B8675,"0000"))</f>
        <v/>
      </c>
      <c r="W8675" s="19">
        <f>IF($I8675="","",IF(ISNUMBER($I8675),TEXT($I8675,"0"),$I8675))</f>
        <v/>
      </c>
    </row>
    <row r="8676">
      <c r="B8676" s="25" t="n"/>
      <c r="I8676" s="25" t="n"/>
      <c r="U8676" s="19">
        <f>IF(AND($V8676='設定'!$C$4,COUNTIF('商品マスタ'!$B$6:$B$1005,$W8676)=0),N(U8675)+1,N(U8675))</f>
        <v/>
      </c>
      <c r="V8676" s="19">
        <f>IF($B8676="","",TEXT($B8676,"0000"))</f>
        <v/>
      </c>
      <c r="W8676" s="19">
        <f>IF($I8676="","",IF(ISNUMBER($I8676),TEXT($I8676,"0"),$I8676))</f>
        <v/>
      </c>
    </row>
    <row r="8677">
      <c r="B8677" s="25" t="n"/>
      <c r="I8677" s="25" t="n"/>
      <c r="U8677" s="19">
        <f>IF(AND($V8677='設定'!$C$4,COUNTIF('商品マスタ'!$B$6:$B$1005,$W8677)=0),N(U8676)+1,N(U8676))</f>
        <v/>
      </c>
      <c r="V8677" s="19">
        <f>IF($B8677="","",TEXT($B8677,"0000"))</f>
        <v/>
      </c>
      <c r="W8677" s="19">
        <f>IF($I8677="","",IF(ISNUMBER($I8677),TEXT($I8677,"0"),$I8677))</f>
        <v/>
      </c>
    </row>
    <row r="8678">
      <c r="B8678" s="25" t="n"/>
      <c r="I8678" s="25" t="n"/>
      <c r="U8678" s="19">
        <f>IF(AND($V8678='設定'!$C$4,COUNTIF('商品マスタ'!$B$6:$B$1005,$W8678)=0),N(U8677)+1,N(U8677))</f>
        <v/>
      </c>
      <c r="V8678" s="19">
        <f>IF($B8678="","",TEXT($B8678,"0000"))</f>
        <v/>
      </c>
      <c r="W8678" s="19">
        <f>IF($I8678="","",IF(ISNUMBER($I8678),TEXT($I8678,"0"),$I8678))</f>
        <v/>
      </c>
    </row>
    <row r="8679">
      <c r="B8679" s="25" t="n"/>
      <c r="I8679" s="25" t="n"/>
      <c r="U8679" s="19">
        <f>IF(AND($V8679='設定'!$C$4,COUNTIF('商品マスタ'!$B$6:$B$1005,$W8679)=0),N(U8678)+1,N(U8678))</f>
        <v/>
      </c>
      <c r="V8679" s="19">
        <f>IF($B8679="","",TEXT($B8679,"0000"))</f>
        <v/>
      </c>
      <c r="W8679" s="19">
        <f>IF($I8679="","",IF(ISNUMBER($I8679),TEXT($I8679,"0"),$I8679))</f>
        <v/>
      </c>
    </row>
    <row r="8680">
      <c r="B8680" s="25" t="n"/>
      <c r="I8680" s="25" t="n"/>
      <c r="U8680" s="19">
        <f>IF(AND($V8680='設定'!$C$4,COUNTIF('商品マスタ'!$B$6:$B$1005,$W8680)=0),N(U8679)+1,N(U8679))</f>
        <v/>
      </c>
      <c r="V8680" s="19">
        <f>IF($B8680="","",TEXT($B8680,"0000"))</f>
        <v/>
      </c>
      <c r="W8680" s="19">
        <f>IF($I8680="","",IF(ISNUMBER($I8680),TEXT($I8680,"0"),$I8680))</f>
        <v/>
      </c>
    </row>
    <row r="8681">
      <c r="B8681" s="25" t="n"/>
      <c r="I8681" s="25" t="n"/>
      <c r="U8681" s="19">
        <f>IF(AND($V8681='設定'!$C$4,COUNTIF('商品マスタ'!$B$6:$B$1005,$W8681)=0),N(U8680)+1,N(U8680))</f>
        <v/>
      </c>
      <c r="V8681" s="19">
        <f>IF($B8681="","",TEXT($B8681,"0000"))</f>
        <v/>
      </c>
      <c r="W8681" s="19">
        <f>IF($I8681="","",IF(ISNUMBER($I8681),TEXT($I8681,"0"),$I8681))</f>
        <v/>
      </c>
    </row>
    <row r="8682">
      <c r="B8682" s="25" t="n"/>
      <c r="I8682" s="25" t="n"/>
      <c r="U8682" s="19">
        <f>IF(AND($V8682='設定'!$C$4,COUNTIF('商品マスタ'!$B$6:$B$1005,$W8682)=0),N(U8681)+1,N(U8681))</f>
        <v/>
      </c>
      <c r="V8682" s="19">
        <f>IF($B8682="","",TEXT($B8682,"0000"))</f>
        <v/>
      </c>
      <c r="W8682" s="19">
        <f>IF($I8682="","",IF(ISNUMBER($I8682),TEXT($I8682,"0"),$I8682))</f>
        <v/>
      </c>
    </row>
    <row r="8683">
      <c r="B8683" s="25" t="n"/>
      <c r="I8683" s="25" t="n"/>
      <c r="U8683" s="19">
        <f>IF(AND($V8683='設定'!$C$4,COUNTIF('商品マスタ'!$B$6:$B$1005,$W8683)=0),N(U8682)+1,N(U8682))</f>
        <v/>
      </c>
      <c r="V8683" s="19">
        <f>IF($B8683="","",TEXT($B8683,"0000"))</f>
        <v/>
      </c>
      <c r="W8683" s="19">
        <f>IF($I8683="","",IF(ISNUMBER($I8683),TEXT($I8683,"0"),$I8683))</f>
        <v/>
      </c>
    </row>
    <row r="8684">
      <c r="B8684" s="25" t="n"/>
      <c r="I8684" s="25" t="n"/>
      <c r="U8684" s="19">
        <f>IF(AND($V8684='設定'!$C$4,COUNTIF('商品マスタ'!$B$6:$B$1005,$W8684)=0),N(U8683)+1,N(U8683))</f>
        <v/>
      </c>
      <c r="V8684" s="19">
        <f>IF($B8684="","",TEXT($B8684,"0000"))</f>
        <v/>
      </c>
      <c r="W8684" s="19">
        <f>IF($I8684="","",IF(ISNUMBER($I8684),TEXT($I8684,"0"),$I8684))</f>
        <v/>
      </c>
    </row>
    <row r="8685">
      <c r="B8685" s="25" t="n"/>
      <c r="I8685" s="25" t="n"/>
      <c r="U8685" s="19">
        <f>IF(AND($V8685='設定'!$C$4,COUNTIF('商品マスタ'!$B$6:$B$1005,$W8685)=0),N(U8684)+1,N(U8684))</f>
        <v/>
      </c>
      <c r="V8685" s="19">
        <f>IF($B8685="","",TEXT($B8685,"0000"))</f>
        <v/>
      </c>
      <c r="W8685" s="19">
        <f>IF($I8685="","",IF(ISNUMBER($I8685),TEXT($I8685,"0"),$I8685))</f>
        <v/>
      </c>
    </row>
    <row r="8686">
      <c r="B8686" s="25" t="n"/>
      <c r="I8686" s="25" t="n"/>
      <c r="U8686" s="19">
        <f>IF(AND($V8686='設定'!$C$4,COUNTIF('商品マスタ'!$B$6:$B$1005,$W8686)=0),N(U8685)+1,N(U8685))</f>
        <v/>
      </c>
      <c r="V8686" s="19">
        <f>IF($B8686="","",TEXT($B8686,"0000"))</f>
        <v/>
      </c>
      <c r="W8686" s="19">
        <f>IF($I8686="","",IF(ISNUMBER($I8686),TEXT($I8686,"0"),$I8686))</f>
        <v/>
      </c>
    </row>
    <row r="8687">
      <c r="B8687" s="25" t="n"/>
      <c r="I8687" s="25" t="n"/>
      <c r="U8687" s="19">
        <f>IF(AND($V8687='設定'!$C$4,COUNTIF('商品マスタ'!$B$6:$B$1005,$W8687)=0),N(U8686)+1,N(U8686))</f>
        <v/>
      </c>
      <c r="V8687" s="19">
        <f>IF($B8687="","",TEXT($B8687,"0000"))</f>
        <v/>
      </c>
      <c r="W8687" s="19">
        <f>IF($I8687="","",IF(ISNUMBER($I8687),TEXT($I8687,"0"),$I8687))</f>
        <v/>
      </c>
    </row>
    <row r="8688">
      <c r="B8688" s="25" t="n"/>
      <c r="I8688" s="25" t="n"/>
      <c r="U8688" s="19">
        <f>IF(AND($V8688='設定'!$C$4,COUNTIF('商品マスタ'!$B$6:$B$1005,$W8688)=0),N(U8687)+1,N(U8687))</f>
        <v/>
      </c>
      <c r="V8688" s="19">
        <f>IF($B8688="","",TEXT($B8688,"0000"))</f>
        <v/>
      </c>
      <c r="W8688" s="19">
        <f>IF($I8688="","",IF(ISNUMBER($I8688),TEXT($I8688,"0"),$I8688))</f>
        <v/>
      </c>
    </row>
    <row r="8689">
      <c r="B8689" s="25" t="n"/>
      <c r="I8689" s="25" t="n"/>
      <c r="U8689" s="19">
        <f>IF(AND($V8689='設定'!$C$4,COUNTIF('商品マスタ'!$B$6:$B$1005,$W8689)=0),N(U8688)+1,N(U8688))</f>
        <v/>
      </c>
      <c r="V8689" s="19">
        <f>IF($B8689="","",TEXT($B8689,"0000"))</f>
        <v/>
      </c>
      <c r="W8689" s="19">
        <f>IF($I8689="","",IF(ISNUMBER($I8689),TEXT($I8689,"0"),$I8689))</f>
        <v/>
      </c>
    </row>
    <row r="8690">
      <c r="B8690" s="25" t="n"/>
      <c r="I8690" s="25" t="n"/>
      <c r="U8690" s="19">
        <f>IF(AND($V8690='設定'!$C$4,COUNTIF('商品マスタ'!$B$6:$B$1005,$W8690)=0),N(U8689)+1,N(U8689))</f>
        <v/>
      </c>
      <c r="V8690" s="19">
        <f>IF($B8690="","",TEXT($B8690,"0000"))</f>
        <v/>
      </c>
      <c r="W8690" s="19">
        <f>IF($I8690="","",IF(ISNUMBER($I8690),TEXT($I8690,"0"),$I8690))</f>
        <v/>
      </c>
    </row>
    <row r="8691">
      <c r="B8691" s="25" t="n"/>
      <c r="I8691" s="25" t="n"/>
      <c r="U8691" s="19">
        <f>IF(AND($V8691='設定'!$C$4,COUNTIF('商品マスタ'!$B$6:$B$1005,$W8691)=0),N(U8690)+1,N(U8690))</f>
        <v/>
      </c>
      <c r="V8691" s="19">
        <f>IF($B8691="","",TEXT($B8691,"0000"))</f>
        <v/>
      </c>
      <c r="W8691" s="19">
        <f>IF($I8691="","",IF(ISNUMBER($I8691),TEXT($I8691,"0"),$I8691))</f>
        <v/>
      </c>
    </row>
    <row r="8692">
      <c r="B8692" s="25" t="n"/>
      <c r="I8692" s="25" t="n"/>
      <c r="U8692" s="19">
        <f>IF(AND($V8692='設定'!$C$4,COUNTIF('商品マスタ'!$B$6:$B$1005,$W8692)=0),N(U8691)+1,N(U8691))</f>
        <v/>
      </c>
      <c r="V8692" s="19">
        <f>IF($B8692="","",TEXT($B8692,"0000"))</f>
        <v/>
      </c>
      <c r="W8692" s="19">
        <f>IF($I8692="","",IF(ISNUMBER($I8692),TEXT($I8692,"0"),$I8692))</f>
        <v/>
      </c>
    </row>
    <row r="8693">
      <c r="B8693" s="25" t="n"/>
      <c r="I8693" s="25" t="n"/>
      <c r="U8693" s="19">
        <f>IF(AND($V8693='設定'!$C$4,COUNTIF('商品マスタ'!$B$6:$B$1005,$W8693)=0),N(U8692)+1,N(U8692))</f>
        <v/>
      </c>
      <c r="V8693" s="19">
        <f>IF($B8693="","",TEXT($B8693,"0000"))</f>
        <v/>
      </c>
      <c r="W8693" s="19">
        <f>IF($I8693="","",IF(ISNUMBER($I8693),TEXT($I8693,"0"),$I8693))</f>
        <v/>
      </c>
    </row>
    <row r="8694">
      <c r="B8694" s="25" t="n"/>
      <c r="I8694" s="25" t="n"/>
      <c r="U8694" s="19">
        <f>IF(AND($V8694='設定'!$C$4,COUNTIF('商品マスタ'!$B$6:$B$1005,$W8694)=0),N(U8693)+1,N(U8693))</f>
        <v/>
      </c>
      <c r="V8694" s="19">
        <f>IF($B8694="","",TEXT($B8694,"0000"))</f>
        <v/>
      </c>
      <c r="W8694" s="19">
        <f>IF($I8694="","",IF(ISNUMBER($I8694),TEXT($I8694,"0"),$I8694))</f>
        <v/>
      </c>
    </row>
    <row r="8695">
      <c r="B8695" s="25" t="n"/>
      <c r="I8695" s="25" t="n"/>
      <c r="U8695" s="19">
        <f>IF(AND($V8695='設定'!$C$4,COUNTIF('商品マスタ'!$B$6:$B$1005,$W8695)=0),N(U8694)+1,N(U8694))</f>
        <v/>
      </c>
      <c r="V8695" s="19">
        <f>IF($B8695="","",TEXT($B8695,"0000"))</f>
        <v/>
      </c>
      <c r="W8695" s="19">
        <f>IF($I8695="","",IF(ISNUMBER($I8695),TEXT($I8695,"0"),$I8695))</f>
        <v/>
      </c>
    </row>
    <row r="8696">
      <c r="B8696" s="25" t="n"/>
      <c r="I8696" s="25" t="n"/>
      <c r="U8696" s="19">
        <f>IF(AND($V8696='設定'!$C$4,COUNTIF('商品マスタ'!$B$6:$B$1005,$W8696)=0),N(U8695)+1,N(U8695))</f>
        <v/>
      </c>
      <c r="V8696" s="19">
        <f>IF($B8696="","",TEXT($B8696,"0000"))</f>
        <v/>
      </c>
      <c r="W8696" s="19">
        <f>IF($I8696="","",IF(ISNUMBER($I8696),TEXT($I8696,"0"),$I8696))</f>
        <v/>
      </c>
    </row>
    <row r="8697">
      <c r="B8697" s="25" t="n"/>
      <c r="I8697" s="25" t="n"/>
      <c r="U8697" s="19">
        <f>IF(AND($V8697='設定'!$C$4,COUNTIF('商品マスタ'!$B$6:$B$1005,$W8697)=0),N(U8696)+1,N(U8696))</f>
        <v/>
      </c>
      <c r="V8697" s="19">
        <f>IF($B8697="","",TEXT($B8697,"0000"))</f>
        <v/>
      </c>
      <c r="W8697" s="19">
        <f>IF($I8697="","",IF(ISNUMBER($I8697),TEXT($I8697,"0"),$I8697))</f>
        <v/>
      </c>
    </row>
    <row r="8698">
      <c r="B8698" s="25" t="n"/>
      <c r="I8698" s="25" t="n"/>
      <c r="U8698" s="19">
        <f>IF(AND($V8698='設定'!$C$4,COUNTIF('商品マスタ'!$B$6:$B$1005,$W8698)=0),N(U8697)+1,N(U8697))</f>
        <v/>
      </c>
      <c r="V8698" s="19">
        <f>IF($B8698="","",TEXT($B8698,"0000"))</f>
        <v/>
      </c>
      <c r="W8698" s="19">
        <f>IF($I8698="","",IF(ISNUMBER($I8698),TEXT($I8698,"0"),$I8698))</f>
        <v/>
      </c>
    </row>
    <row r="8699">
      <c r="B8699" s="25" t="n"/>
      <c r="I8699" s="25" t="n"/>
      <c r="U8699" s="19">
        <f>IF(AND($V8699='設定'!$C$4,COUNTIF('商品マスタ'!$B$6:$B$1005,$W8699)=0),N(U8698)+1,N(U8698))</f>
        <v/>
      </c>
      <c r="V8699" s="19">
        <f>IF($B8699="","",TEXT($B8699,"0000"))</f>
        <v/>
      </c>
      <c r="W8699" s="19">
        <f>IF($I8699="","",IF(ISNUMBER($I8699),TEXT($I8699,"0"),$I8699))</f>
        <v/>
      </c>
    </row>
    <row r="8700">
      <c r="B8700" s="25" t="n"/>
      <c r="I8700" s="25" t="n"/>
      <c r="U8700" s="19">
        <f>IF(AND($V8700='設定'!$C$4,COUNTIF('商品マスタ'!$B$6:$B$1005,$W8700)=0),N(U8699)+1,N(U8699))</f>
        <v/>
      </c>
      <c r="V8700" s="19">
        <f>IF($B8700="","",TEXT($B8700,"0000"))</f>
        <v/>
      </c>
      <c r="W8700" s="19">
        <f>IF($I8700="","",IF(ISNUMBER($I8700),TEXT($I8700,"0"),$I8700))</f>
        <v/>
      </c>
    </row>
    <row r="8701">
      <c r="B8701" s="25" t="n"/>
      <c r="I8701" s="25" t="n"/>
      <c r="U8701" s="19">
        <f>IF(AND($V8701='設定'!$C$4,COUNTIF('商品マスタ'!$B$6:$B$1005,$W8701)=0),N(U8700)+1,N(U8700))</f>
        <v/>
      </c>
      <c r="V8701" s="19">
        <f>IF($B8701="","",TEXT($B8701,"0000"))</f>
        <v/>
      </c>
      <c r="W8701" s="19">
        <f>IF($I8701="","",IF(ISNUMBER($I8701),TEXT($I8701,"0"),$I8701))</f>
        <v/>
      </c>
    </row>
    <row r="8702">
      <c r="B8702" s="25" t="n"/>
      <c r="I8702" s="25" t="n"/>
      <c r="U8702" s="19">
        <f>IF(AND($V8702='設定'!$C$4,COUNTIF('商品マスタ'!$B$6:$B$1005,$W8702)=0),N(U8701)+1,N(U8701))</f>
        <v/>
      </c>
      <c r="V8702" s="19">
        <f>IF($B8702="","",TEXT($B8702,"0000"))</f>
        <v/>
      </c>
      <c r="W8702" s="19">
        <f>IF($I8702="","",IF(ISNUMBER($I8702),TEXT($I8702,"0"),$I8702))</f>
        <v/>
      </c>
    </row>
    <row r="8703">
      <c r="B8703" s="25" t="n"/>
      <c r="I8703" s="25" t="n"/>
      <c r="U8703" s="19">
        <f>IF(AND($V8703='設定'!$C$4,COUNTIF('商品マスタ'!$B$6:$B$1005,$W8703)=0),N(U8702)+1,N(U8702))</f>
        <v/>
      </c>
      <c r="V8703" s="19">
        <f>IF($B8703="","",TEXT($B8703,"0000"))</f>
        <v/>
      </c>
      <c r="W8703" s="19">
        <f>IF($I8703="","",IF(ISNUMBER($I8703),TEXT($I8703,"0"),$I8703))</f>
        <v/>
      </c>
    </row>
    <row r="8704">
      <c r="B8704" s="25" t="n"/>
      <c r="I8704" s="25" t="n"/>
      <c r="U8704" s="19">
        <f>IF(AND($V8704='設定'!$C$4,COUNTIF('商品マスタ'!$B$6:$B$1005,$W8704)=0),N(U8703)+1,N(U8703))</f>
        <v/>
      </c>
      <c r="V8704" s="19">
        <f>IF($B8704="","",TEXT($B8704,"0000"))</f>
        <v/>
      </c>
      <c r="W8704" s="19">
        <f>IF($I8704="","",IF(ISNUMBER($I8704),TEXT($I8704,"0"),$I8704))</f>
        <v/>
      </c>
    </row>
    <row r="8705">
      <c r="B8705" s="25" t="n"/>
      <c r="I8705" s="25" t="n"/>
      <c r="U8705" s="19">
        <f>IF(AND($V8705='設定'!$C$4,COUNTIF('商品マスタ'!$B$6:$B$1005,$W8705)=0),N(U8704)+1,N(U8704))</f>
        <v/>
      </c>
      <c r="V8705" s="19">
        <f>IF($B8705="","",TEXT($B8705,"0000"))</f>
        <v/>
      </c>
      <c r="W8705" s="19">
        <f>IF($I8705="","",IF(ISNUMBER($I8705),TEXT($I8705,"0"),$I8705))</f>
        <v/>
      </c>
    </row>
    <row r="8706">
      <c r="B8706" s="25" t="n"/>
      <c r="I8706" s="25" t="n"/>
      <c r="U8706" s="19">
        <f>IF(AND($V8706='設定'!$C$4,COUNTIF('商品マスタ'!$B$6:$B$1005,$W8706)=0),N(U8705)+1,N(U8705))</f>
        <v/>
      </c>
      <c r="V8706" s="19">
        <f>IF($B8706="","",TEXT($B8706,"0000"))</f>
        <v/>
      </c>
      <c r="W8706" s="19">
        <f>IF($I8706="","",IF(ISNUMBER($I8706),TEXT($I8706,"0"),$I8706))</f>
        <v/>
      </c>
    </row>
    <row r="8707">
      <c r="B8707" s="25" t="n"/>
      <c r="I8707" s="25" t="n"/>
      <c r="U8707" s="19">
        <f>IF(AND($V8707='設定'!$C$4,COUNTIF('商品マスタ'!$B$6:$B$1005,$W8707)=0),N(U8706)+1,N(U8706))</f>
        <v/>
      </c>
      <c r="V8707" s="19">
        <f>IF($B8707="","",TEXT($B8707,"0000"))</f>
        <v/>
      </c>
      <c r="W8707" s="19">
        <f>IF($I8707="","",IF(ISNUMBER($I8707),TEXT($I8707,"0"),$I8707))</f>
        <v/>
      </c>
    </row>
    <row r="8708">
      <c r="B8708" s="25" t="n"/>
      <c r="I8708" s="25" t="n"/>
      <c r="U8708" s="19">
        <f>IF(AND($V8708='設定'!$C$4,COUNTIF('商品マスタ'!$B$6:$B$1005,$W8708)=0),N(U8707)+1,N(U8707))</f>
        <v/>
      </c>
      <c r="V8708" s="19">
        <f>IF($B8708="","",TEXT($B8708,"0000"))</f>
        <v/>
      </c>
      <c r="W8708" s="19">
        <f>IF($I8708="","",IF(ISNUMBER($I8708),TEXT($I8708,"0"),$I8708))</f>
        <v/>
      </c>
    </row>
    <row r="8709">
      <c r="B8709" s="25" t="n"/>
      <c r="I8709" s="25" t="n"/>
      <c r="U8709" s="19">
        <f>IF(AND($V8709='設定'!$C$4,COUNTIF('商品マスタ'!$B$6:$B$1005,$W8709)=0),N(U8708)+1,N(U8708))</f>
        <v/>
      </c>
      <c r="V8709" s="19">
        <f>IF($B8709="","",TEXT($B8709,"0000"))</f>
        <v/>
      </c>
      <c r="W8709" s="19">
        <f>IF($I8709="","",IF(ISNUMBER($I8709),TEXT($I8709,"0"),$I8709))</f>
        <v/>
      </c>
    </row>
    <row r="8710">
      <c r="B8710" s="25" t="n"/>
      <c r="I8710" s="25" t="n"/>
      <c r="U8710" s="19">
        <f>IF(AND($V8710='設定'!$C$4,COUNTIF('商品マスタ'!$B$6:$B$1005,$W8710)=0),N(U8709)+1,N(U8709))</f>
        <v/>
      </c>
      <c r="V8710" s="19">
        <f>IF($B8710="","",TEXT($B8710,"0000"))</f>
        <v/>
      </c>
      <c r="W8710" s="19">
        <f>IF($I8710="","",IF(ISNUMBER($I8710),TEXT($I8710,"0"),$I8710))</f>
        <v/>
      </c>
    </row>
    <row r="8711">
      <c r="B8711" s="25" t="n"/>
      <c r="I8711" s="25" t="n"/>
      <c r="U8711" s="19">
        <f>IF(AND($V8711='設定'!$C$4,COUNTIF('商品マスタ'!$B$6:$B$1005,$W8711)=0),N(U8710)+1,N(U8710))</f>
        <v/>
      </c>
      <c r="V8711" s="19">
        <f>IF($B8711="","",TEXT($B8711,"0000"))</f>
        <v/>
      </c>
      <c r="W8711" s="19">
        <f>IF($I8711="","",IF(ISNUMBER($I8711),TEXT($I8711,"0"),$I8711))</f>
        <v/>
      </c>
    </row>
    <row r="8712">
      <c r="B8712" s="25" t="n"/>
      <c r="I8712" s="25" t="n"/>
      <c r="U8712" s="19">
        <f>IF(AND($V8712='設定'!$C$4,COUNTIF('商品マスタ'!$B$6:$B$1005,$W8712)=0),N(U8711)+1,N(U8711))</f>
        <v/>
      </c>
      <c r="V8712" s="19">
        <f>IF($B8712="","",TEXT($B8712,"0000"))</f>
        <v/>
      </c>
      <c r="W8712" s="19">
        <f>IF($I8712="","",IF(ISNUMBER($I8712),TEXT($I8712,"0"),$I8712))</f>
        <v/>
      </c>
    </row>
    <row r="8713">
      <c r="B8713" s="25" t="n"/>
      <c r="I8713" s="25" t="n"/>
      <c r="U8713" s="19">
        <f>IF(AND($V8713='設定'!$C$4,COUNTIF('商品マスタ'!$B$6:$B$1005,$W8713)=0),N(U8712)+1,N(U8712))</f>
        <v/>
      </c>
      <c r="V8713" s="19">
        <f>IF($B8713="","",TEXT($B8713,"0000"))</f>
        <v/>
      </c>
      <c r="W8713" s="19">
        <f>IF($I8713="","",IF(ISNUMBER($I8713),TEXT($I8713,"0"),$I8713))</f>
        <v/>
      </c>
    </row>
    <row r="8714">
      <c r="B8714" s="25" t="n"/>
      <c r="I8714" s="25" t="n"/>
      <c r="U8714" s="19">
        <f>IF(AND($V8714='設定'!$C$4,COUNTIF('商品マスタ'!$B$6:$B$1005,$W8714)=0),N(U8713)+1,N(U8713))</f>
        <v/>
      </c>
      <c r="V8714" s="19">
        <f>IF($B8714="","",TEXT($B8714,"0000"))</f>
        <v/>
      </c>
      <c r="W8714" s="19">
        <f>IF($I8714="","",IF(ISNUMBER($I8714),TEXT($I8714,"0"),$I8714))</f>
        <v/>
      </c>
    </row>
    <row r="8715">
      <c r="B8715" s="25" t="n"/>
      <c r="I8715" s="25" t="n"/>
      <c r="U8715" s="19">
        <f>IF(AND($V8715='設定'!$C$4,COUNTIF('商品マスタ'!$B$6:$B$1005,$W8715)=0),N(U8714)+1,N(U8714))</f>
        <v/>
      </c>
      <c r="V8715" s="19">
        <f>IF($B8715="","",TEXT($B8715,"0000"))</f>
        <v/>
      </c>
      <c r="W8715" s="19">
        <f>IF($I8715="","",IF(ISNUMBER($I8715),TEXT($I8715,"0"),$I8715))</f>
        <v/>
      </c>
    </row>
    <row r="8716">
      <c r="B8716" s="25" t="n"/>
      <c r="I8716" s="25" t="n"/>
      <c r="U8716" s="19">
        <f>IF(AND($V8716='設定'!$C$4,COUNTIF('商品マスタ'!$B$6:$B$1005,$W8716)=0),N(U8715)+1,N(U8715))</f>
        <v/>
      </c>
      <c r="V8716" s="19">
        <f>IF($B8716="","",TEXT($B8716,"0000"))</f>
        <v/>
      </c>
      <c r="W8716" s="19">
        <f>IF($I8716="","",IF(ISNUMBER($I8716),TEXT($I8716,"0"),$I8716))</f>
        <v/>
      </c>
    </row>
    <row r="8717">
      <c r="B8717" s="25" t="n"/>
      <c r="I8717" s="25" t="n"/>
      <c r="U8717" s="19">
        <f>IF(AND($V8717='設定'!$C$4,COUNTIF('商品マスタ'!$B$6:$B$1005,$W8717)=0),N(U8716)+1,N(U8716))</f>
        <v/>
      </c>
      <c r="V8717" s="19">
        <f>IF($B8717="","",TEXT($B8717,"0000"))</f>
        <v/>
      </c>
      <c r="W8717" s="19">
        <f>IF($I8717="","",IF(ISNUMBER($I8717),TEXT($I8717,"0"),$I8717))</f>
        <v/>
      </c>
    </row>
    <row r="8718">
      <c r="B8718" s="25" t="n"/>
      <c r="I8718" s="25" t="n"/>
      <c r="U8718" s="19">
        <f>IF(AND($V8718='設定'!$C$4,COUNTIF('商品マスタ'!$B$6:$B$1005,$W8718)=0),N(U8717)+1,N(U8717))</f>
        <v/>
      </c>
      <c r="V8718" s="19">
        <f>IF($B8718="","",TEXT($B8718,"0000"))</f>
        <v/>
      </c>
      <c r="W8718" s="19">
        <f>IF($I8718="","",IF(ISNUMBER($I8718),TEXT($I8718,"0"),$I8718))</f>
        <v/>
      </c>
    </row>
    <row r="8719">
      <c r="B8719" s="25" t="n"/>
      <c r="I8719" s="25" t="n"/>
      <c r="U8719" s="19">
        <f>IF(AND($V8719='設定'!$C$4,COUNTIF('商品マスタ'!$B$6:$B$1005,$W8719)=0),N(U8718)+1,N(U8718))</f>
        <v/>
      </c>
      <c r="V8719" s="19">
        <f>IF($B8719="","",TEXT($B8719,"0000"))</f>
        <v/>
      </c>
      <c r="W8719" s="19">
        <f>IF($I8719="","",IF(ISNUMBER($I8719),TEXT($I8719,"0"),$I8719))</f>
        <v/>
      </c>
    </row>
    <row r="8720">
      <c r="B8720" s="25" t="n"/>
      <c r="I8720" s="25" t="n"/>
      <c r="U8720" s="19">
        <f>IF(AND($V8720='設定'!$C$4,COUNTIF('商品マスタ'!$B$6:$B$1005,$W8720)=0),N(U8719)+1,N(U8719))</f>
        <v/>
      </c>
      <c r="V8720" s="19">
        <f>IF($B8720="","",TEXT($B8720,"0000"))</f>
        <v/>
      </c>
      <c r="W8720" s="19">
        <f>IF($I8720="","",IF(ISNUMBER($I8720),TEXT($I8720,"0"),$I8720))</f>
        <v/>
      </c>
    </row>
    <row r="8721">
      <c r="B8721" s="25" t="n"/>
      <c r="I8721" s="25" t="n"/>
      <c r="U8721" s="19">
        <f>IF(AND($V8721='設定'!$C$4,COUNTIF('商品マスタ'!$B$6:$B$1005,$W8721)=0),N(U8720)+1,N(U8720))</f>
        <v/>
      </c>
      <c r="V8721" s="19">
        <f>IF($B8721="","",TEXT($B8721,"0000"))</f>
        <v/>
      </c>
      <c r="W8721" s="19">
        <f>IF($I8721="","",IF(ISNUMBER($I8721),TEXT($I8721,"0"),$I8721))</f>
        <v/>
      </c>
    </row>
    <row r="8722">
      <c r="B8722" s="25" t="n"/>
      <c r="I8722" s="25" t="n"/>
      <c r="U8722" s="19">
        <f>IF(AND($V8722='設定'!$C$4,COUNTIF('商品マスタ'!$B$6:$B$1005,$W8722)=0),N(U8721)+1,N(U8721))</f>
        <v/>
      </c>
      <c r="V8722" s="19">
        <f>IF($B8722="","",TEXT($B8722,"0000"))</f>
        <v/>
      </c>
      <c r="W8722" s="19">
        <f>IF($I8722="","",IF(ISNUMBER($I8722),TEXT($I8722,"0"),$I8722))</f>
        <v/>
      </c>
    </row>
    <row r="8723">
      <c r="B8723" s="25" t="n"/>
      <c r="I8723" s="25" t="n"/>
      <c r="U8723" s="19">
        <f>IF(AND($V8723='設定'!$C$4,COUNTIF('商品マスタ'!$B$6:$B$1005,$W8723)=0),N(U8722)+1,N(U8722))</f>
        <v/>
      </c>
      <c r="V8723" s="19">
        <f>IF($B8723="","",TEXT($B8723,"0000"))</f>
        <v/>
      </c>
      <c r="W8723" s="19">
        <f>IF($I8723="","",IF(ISNUMBER($I8723),TEXT($I8723,"0"),$I8723))</f>
        <v/>
      </c>
    </row>
    <row r="8724">
      <c r="B8724" s="25" t="n"/>
      <c r="I8724" s="25" t="n"/>
      <c r="U8724" s="19">
        <f>IF(AND($V8724='設定'!$C$4,COUNTIF('商品マスタ'!$B$6:$B$1005,$W8724)=0),N(U8723)+1,N(U8723))</f>
        <v/>
      </c>
      <c r="V8724" s="19">
        <f>IF($B8724="","",TEXT($B8724,"0000"))</f>
        <v/>
      </c>
      <c r="W8724" s="19">
        <f>IF($I8724="","",IF(ISNUMBER($I8724),TEXT($I8724,"0"),$I8724))</f>
        <v/>
      </c>
    </row>
    <row r="8725">
      <c r="B8725" s="25" t="n"/>
      <c r="I8725" s="25" t="n"/>
      <c r="U8725" s="19">
        <f>IF(AND($V8725='設定'!$C$4,COUNTIF('商品マスタ'!$B$6:$B$1005,$W8725)=0),N(U8724)+1,N(U8724))</f>
        <v/>
      </c>
      <c r="V8725" s="19">
        <f>IF($B8725="","",TEXT($B8725,"0000"))</f>
        <v/>
      </c>
      <c r="W8725" s="19">
        <f>IF($I8725="","",IF(ISNUMBER($I8725),TEXT($I8725,"0"),$I8725))</f>
        <v/>
      </c>
    </row>
    <row r="8726">
      <c r="B8726" s="25" t="n"/>
      <c r="I8726" s="25" t="n"/>
      <c r="U8726" s="19">
        <f>IF(AND($V8726='設定'!$C$4,COUNTIF('商品マスタ'!$B$6:$B$1005,$W8726)=0),N(U8725)+1,N(U8725))</f>
        <v/>
      </c>
      <c r="V8726" s="19">
        <f>IF($B8726="","",TEXT($B8726,"0000"))</f>
        <v/>
      </c>
      <c r="W8726" s="19">
        <f>IF($I8726="","",IF(ISNUMBER($I8726),TEXT($I8726,"0"),$I8726))</f>
        <v/>
      </c>
    </row>
    <row r="8727">
      <c r="B8727" s="25" t="n"/>
      <c r="I8727" s="25" t="n"/>
      <c r="U8727" s="19">
        <f>IF(AND($V8727='設定'!$C$4,COUNTIF('商品マスタ'!$B$6:$B$1005,$W8727)=0),N(U8726)+1,N(U8726))</f>
        <v/>
      </c>
      <c r="V8727" s="19">
        <f>IF($B8727="","",TEXT($B8727,"0000"))</f>
        <v/>
      </c>
      <c r="W8727" s="19">
        <f>IF($I8727="","",IF(ISNUMBER($I8727),TEXT($I8727,"0"),$I8727))</f>
        <v/>
      </c>
    </row>
    <row r="8728">
      <c r="B8728" s="25" t="n"/>
      <c r="I8728" s="25" t="n"/>
      <c r="U8728" s="19">
        <f>IF(AND($V8728='設定'!$C$4,COUNTIF('商品マスタ'!$B$6:$B$1005,$W8728)=0),N(U8727)+1,N(U8727))</f>
        <v/>
      </c>
      <c r="V8728" s="19">
        <f>IF($B8728="","",TEXT($B8728,"0000"))</f>
        <v/>
      </c>
      <c r="W8728" s="19">
        <f>IF($I8728="","",IF(ISNUMBER($I8728),TEXT($I8728,"0"),$I8728))</f>
        <v/>
      </c>
    </row>
    <row r="8729">
      <c r="B8729" s="25" t="n"/>
      <c r="I8729" s="25" t="n"/>
      <c r="U8729" s="19">
        <f>IF(AND($V8729='設定'!$C$4,COUNTIF('商品マスタ'!$B$6:$B$1005,$W8729)=0),N(U8728)+1,N(U8728))</f>
        <v/>
      </c>
      <c r="V8729" s="19">
        <f>IF($B8729="","",TEXT($B8729,"0000"))</f>
        <v/>
      </c>
      <c r="W8729" s="19">
        <f>IF($I8729="","",IF(ISNUMBER($I8729),TEXT($I8729,"0"),$I8729))</f>
        <v/>
      </c>
    </row>
    <row r="8730">
      <c r="B8730" s="25" t="n"/>
      <c r="I8730" s="25" t="n"/>
      <c r="U8730" s="19">
        <f>IF(AND($V8730='設定'!$C$4,COUNTIF('商品マスタ'!$B$6:$B$1005,$W8730)=0),N(U8729)+1,N(U8729))</f>
        <v/>
      </c>
      <c r="V8730" s="19">
        <f>IF($B8730="","",TEXT($B8730,"0000"))</f>
        <v/>
      </c>
      <c r="W8730" s="19">
        <f>IF($I8730="","",IF(ISNUMBER($I8730),TEXT($I8730,"0"),$I8730))</f>
        <v/>
      </c>
    </row>
    <row r="8731">
      <c r="B8731" s="25" t="n"/>
      <c r="I8731" s="25" t="n"/>
      <c r="U8731" s="19">
        <f>IF(AND($V8731='設定'!$C$4,COUNTIF('商品マスタ'!$B$6:$B$1005,$W8731)=0),N(U8730)+1,N(U8730))</f>
        <v/>
      </c>
      <c r="V8731" s="19">
        <f>IF($B8731="","",TEXT($B8731,"0000"))</f>
        <v/>
      </c>
      <c r="W8731" s="19">
        <f>IF($I8731="","",IF(ISNUMBER($I8731),TEXT($I8731,"0"),$I8731))</f>
        <v/>
      </c>
    </row>
    <row r="8732">
      <c r="B8732" s="25" t="n"/>
      <c r="I8732" s="25" t="n"/>
      <c r="U8732" s="19">
        <f>IF(AND($V8732='設定'!$C$4,COUNTIF('商品マスタ'!$B$6:$B$1005,$W8732)=0),N(U8731)+1,N(U8731))</f>
        <v/>
      </c>
      <c r="V8732" s="19">
        <f>IF($B8732="","",TEXT($B8732,"0000"))</f>
        <v/>
      </c>
      <c r="W8732" s="19">
        <f>IF($I8732="","",IF(ISNUMBER($I8732),TEXT($I8732,"0"),$I8732))</f>
        <v/>
      </c>
    </row>
    <row r="8733">
      <c r="B8733" s="25" t="n"/>
      <c r="I8733" s="25" t="n"/>
      <c r="U8733" s="19">
        <f>IF(AND($V8733='設定'!$C$4,COUNTIF('商品マスタ'!$B$6:$B$1005,$W8733)=0),N(U8732)+1,N(U8732))</f>
        <v/>
      </c>
      <c r="V8733" s="19">
        <f>IF($B8733="","",TEXT($B8733,"0000"))</f>
        <v/>
      </c>
      <c r="W8733" s="19">
        <f>IF($I8733="","",IF(ISNUMBER($I8733),TEXT($I8733,"0"),$I8733))</f>
        <v/>
      </c>
    </row>
    <row r="8734">
      <c r="B8734" s="25" t="n"/>
      <c r="I8734" s="25" t="n"/>
      <c r="U8734" s="19">
        <f>IF(AND($V8734='設定'!$C$4,COUNTIF('商品マスタ'!$B$6:$B$1005,$W8734)=0),N(U8733)+1,N(U8733))</f>
        <v/>
      </c>
      <c r="V8734" s="19">
        <f>IF($B8734="","",TEXT($B8734,"0000"))</f>
        <v/>
      </c>
      <c r="W8734" s="19">
        <f>IF($I8734="","",IF(ISNUMBER($I8734),TEXT($I8734,"0"),$I8734))</f>
        <v/>
      </c>
    </row>
    <row r="8735">
      <c r="B8735" s="25" t="n"/>
      <c r="I8735" s="25" t="n"/>
      <c r="U8735" s="19">
        <f>IF(AND($V8735='設定'!$C$4,COUNTIF('商品マスタ'!$B$6:$B$1005,$W8735)=0),N(U8734)+1,N(U8734))</f>
        <v/>
      </c>
      <c r="V8735" s="19">
        <f>IF($B8735="","",TEXT($B8735,"0000"))</f>
        <v/>
      </c>
      <c r="W8735" s="19">
        <f>IF($I8735="","",IF(ISNUMBER($I8735),TEXT($I8735,"0"),$I8735))</f>
        <v/>
      </c>
    </row>
    <row r="8736">
      <c r="B8736" s="25" t="n"/>
      <c r="I8736" s="25" t="n"/>
      <c r="U8736" s="19">
        <f>IF(AND($V8736='設定'!$C$4,COUNTIF('商品マスタ'!$B$6:$B$1005,$W8736)=0),N(U8735)+1,N(U8735))</f>
        <v/>
      </c>
      <c r="V8736" s="19">
        <f>IF($B8736="","",TEXT($B8736,"0000"))</f>
        <v/>
      </c>
      <c r="W8736" s="19">
        <f>IF($I8736="","",IF(ISNUMBER($I8736),TEXT($I8736,"0"),$I8736))</f>
        <v/>
      </c>
    </row>
    <row r="8737">
      <c r="B8737" s="25" t="n"/>
      <c r="I8737" s="25" t="n"/>
      <c r="U8737" s="19">
        <f>IF(AND($V8737='設定'!$C$4,COUNTIF('商品マスタ'!$B$6:$B$1005,$W8737)=0),N(U8736)+1,N(U8736))</f>
        <v/>
      </c>
      <c r="V8737" s="19">
        <f>IF($B8737="","",TEXT($B8737,"0000"))</f>
        <v/>
      </c>
      <c r="W8737" s="19">
        <f>IF($I8737="","",IF(ISNUMBER($I8737),TEXT($I8737,"0"),$I8737))</f>
        <v/>
      </c>
    </row>
    <row r="8738">
      <c r="B8738" s="25" t="n"/>
      <c r="I8738" s="25" t="n"/>
      <c r="U8738" s="19">
        <f>IF(AND($V8738='設定'!$C$4,COUNTIF('商品マスタ'!$B$6:$B$1005,$W8738)=0),N(U8737)+1,N(U8737))</f>
        <v/>
      </c>
      <c r="V8738" s="19">
        <f>IF($B8738="","",TEXT($B8738,"0000"))</f>
        <v/>
      </c>
      <c r="W8738" s="19">
        <f>IF($I8738="","",IF(ISNUMBER($I8738),TEXT($I8738,"0"),$I8738))</f>
        <v/>
      </c>
    </row>
    <row r="8739">
      <c r="B8739" s="25" t="n"/>
      <c r="I8739" s="25" t="n"/>
      <c r="U8739" s="19">
        <f>IF(AND($V8739='設定'!$C$4,COUNTIF('商品マスタ'!$B$6:$B$1005,$W8739)=0),N(U8738)+1,N(U8738))</f>
        <v/>
      </c>
      <c r="V8739" s="19">
        <f>IF($B8739="","",TEXT($B8739,"0000"))</f>
        <v/>
      </c>
      <c r="W8739" s="19">
        <f>IF($I8739="","",IF(ISNUMBER($I8739),TEXT($I8739,"0"),$I8739))</f>
        <v/>
      </c>
    </row>
    <row r="8740">
      <c r="B8740" s="25" t="n"/>
      <c r="I8740" s="25" t="n"/>
      <c r="U8740" s="19">
        <f>IF(AND($V8740='設定'!$C$4,COUNTIF('商品マスタ'!$B$6:$B$1005,$W8740)=0),N(U8739)+1,N(U8739))</f>
        <v/>
      </c>
      <c r="V8740" s="19">
        <f>IF($B8740="","",TEXT($B8740,"0000"))</f>
        <v/>
      </c>
      <c r="W8740" s="19">
        <f>IF($I8740="","",IF(ISNUMBER($I8740),TEXT($I8740,"0"),$I8740))</f>
        <v/>
      </c>
    </row>
    <row r="8741">
      <c r="B8741" s="25" t="n"/>
      <c r="I8741" s="25" t="n"/>
      <c r="U8741" s="19">
        <f>IF(AND($V8741='設定'!$C$4,COUNTIF('商品マスタ'!$B$6:$B$1005,$W8741)=0),N(U8740)+1,N(U8740))</f>
        <v/>
      </c>
      <c r="V8741" s="19">
        <f>IF($B8741="","",TEXT($B8741,"0000"))</f>
        <v/>
      </c>
      <c r="W8741" s="19">
        <f>IF($I8741="","",IF(ISNUMBER($I8741),TEXT($I8741,"0"),$I8741))</f>
        <v/>
      </c>
    </row>
    <row r="8742">
      <c r="B8742" s="25" t="n"/>
      <c r="I8742" s="25" t="n"/>
      <c r="U8742" s="19">
        <f>IF(AND($V8742='設定'!$C$4,COUNTIF('商品マスタ'!$B$6:$B$1005,$W8742)=0),N(U8741)+1,N(U8741))</f>
        <v/>
      </c>
      <c r="V8742" s="19">
        <f>IF($B8742="","",TEXT($B8742,"0000"))</f>
        <v/>
      </c>
      <c r="W8742" s="19">
        <f>IF($I8742="","",IF(ISNUMBER($I8742),TEXT($I8742,"0"),$I8742))</f>
        <v/>
      </c>
    </row>
    <row r="8743">
      <c r="B8743" s="25" t="n"/>
      <c r="I8743" s="25" t="n"/>
      <c r="U8743" s="19">
        <f>IF(AND($V8743='設定'!$C$4,COUNTIF('商品マスタ'!$B$6:$B$1005,$W8743)=0),N(U8742)+1,N(U8742))</f>
        <v/>
      </c>
      <c r="V8743" s="19">
        <f>IF($B8743="","",TEXT($B8743,"0000"))</f>
        <v/>
      </c>
      <c r="W8743" s="19">
        <f>IF($I8743="","",IF(ISNUMBER($I8743),TEXT($I8743,"0"),$I8743))</f>
        <v/>
      </c>
    </row>
    <row r="8744">
      <c r="B8744" s="25" t="n"/>
      <c r="I8744" s="25" t="n"/>
      <c r="U8744" s="19">
        <f>IF(AND($V8744='設定'!$C$4,COUNTIF('商品マスタ'!$B$6:$B$1005,$W8744)=0),N(U8743)+1,N(U8743))</f>
        <v/>
      </c>
      <c r="V8744" s="19">
        <f>IF($B8744="","",TEXT($B8744,"0000"))</f>
        <v/>
      </c>
      <c r="W8744" s="19">
        <f>IF($I8744="","",IF(ISNUMBER($I8744),TEXT($I8744,"0"),$I8744))</f>
        <v/>
      </c>
    </row>
    <row r="8745">
      <c r="B8745" s="25" t="n"/>
      <c r="I8745" s="25" t="n"/>
      <c r="U8745" s="19">
        <f>IF(AND($V8745='設定'!$C$4,COUNTIF('商品マスタ'!$B$6:$B$1005,$W8745)=0),N(U8744)+1,N(U8744))</f>
        <v/>
      </c>
      <c r="V8745" s="19">
        <f>IF($B8745="","",TEXT($B8745,"0000"))</f>
        <v/>
      </c>
      <c r="W8745" s="19">
        <f>IF($I8745="","",IF(ISNUMBER($I8745),TEXT($I8745,"0"),$I8745))</f>
        <v/>
      </c>
    </row>
    <row r="8746">
      <c r="B8746" s="25" t="n"/>
      <c r="I8746" s="25" t="n"/>
      <c r="U8746" s="19">
        <f>IF(AND($V8746='設定'!$C$4,COUNTIF('商品マスタ'!$B$6:$B$1005,$W8746)=0),N(U8745)+1,N(U8745))</f>
        <v/>
      </c>
      <c r="V8746" s="19">
        <f>IF($B8746="","",TEXT($B8746,"0000"))</f>
        <v/>
      </c>
      <c r="W8746" s="19">
        <f>IF($I8746="","",IF(ISNUMBER($I8746),TEXT($I8746,"0"),$I8746))</f>
        <v/>
      </c>
    </row>
    <row r="8747">
      <c r="B8747" s="25" t="n"/>
      <c r="I8747" s="25" t="n"/>
      <c r="U8747" s="19">
        <f>IF(AND($V8747='設定'!$C$4,COUNTIF('商品マスタ'!$B$6:$B$1005,$W8747)=0),N(U8746)+1,N(U8746))</f>
        <v/>
      </c>
      <c r="V8747" s="19">
        <f>IF($B8747="","",TEXT($B8747,"0000"))</f>
        <v/>
      </c>
      <c r="W8747" s="19">
        <f>IF($I8747="","",IF(ISNUMBER($I8747),TEXT($I8747,"0"),$I8747))</f>
        <v/>
      </c>
    </row>
    <row r="8748">
      <c r="B8748" s="25" t="n"/>
      <c r="I8748" s="25" t="n"/>
      <c r="U8748" s="19">
        <f>IF(AND($V8748='設定'!$C$4,COUNTIF('商品マスタ'!$B$6:$B$1005,$W8748)=0),N(U8747)+1,N(U8747))</f>
        <v/>
      </c>
      <c r="V8748" s="19">
        <f>IF($B8748="","",TEXT($B8748,"0000"))</f>
        <v/>
      </c>
      <c r="W8748" s="19">
        <f>IF($I8748="","",IF(ISNUMBER($I8748),TEXT($I8748,"0"),$I8748))</f>
        <v/>
      </c>
    </row>
    <row r="8749">
      <c r="B8749" s="25" t="n"/>
      <c r="I8749" s="25" t="n"/>
      <c r="U8749" s="19">
        <f>IF(AND($V8749='設定'!$C$4,COUNTIF('商品マスタ'!$B$6:$B$1005,$W8749)=0),N(U8748)+1,N(U8748))</f>
        <v/>
      </c>
      <c r="V8749" s="19">
        <f>IF($B8749="","",TEXT($B8749,"0000"))</f>
        <v/>
      </c>
      <c r="W8749" s="19">
        <f>IF($I8749="","",IF(ISNUMBER($I8749),TEXT($I8749,"0"),$I8749))</f>
        <v/>
      </c>
    </row>
    <row r="8750">
      <c r="B8750" s="25" t="n"/>
      <c r="I8750" s="25" t="n"/>
      <c r="U8750" s="19">
        <f>IF(AND($V8750='設定'!$C$4,COUNTIF('商品マスタ'!$B$6:$B$1005,$W8750)=0),N(U8749)+1,N(U8749))</f>
        <v/>
      </c>
      <c r="V8750" s="19">
        <f>IF($B8750="","",TEXT($B8750,"0000"))</f>
        <v/>
      </c>
      <c r="W8750" s="19">
        <f>IF($I8750="","",IF(ISNUMBER($I8750),TEXT($I8750,"0"),$I8750))</f>
        <v/>
      </c>
    </row>
    <row r="8751">
      <c r="B8751" s="25" t="n"/>
      <c r="I8751" s="25" t="n"/>
      <c r="U8751" s="19">
        <f>IF(AND($V8751='設定'!$C$4,COUNTIF('商品マスタ'!$B$6:$B$1005,$W8751)=0),N(U8750)+1,N(U8750))</f>
        <v/>
      </c>
      <c r="V8751" s="19">
        <f>IF($B8751="","",TEXT($B8751,"0000"))</f>
        <v/>
      </c>
      <c r="W8751" s="19">
        <f>IF($I8751="","",IF(ISNUMBER($I8751),TEXT($I8751,"0"),$I8751))</f>
        <v/>
      </c>
    </row>
    <row r="8752">
      <c r="B8752" s="25" t="n"/>
      <c r="I8752" s="25" t="n"/>
      <c r="U8752" s="19">
        <f>IF(AND($V8752='設定'!$C$4,COUNTIF('商品マスタ'!$B$6:$B$1005,$W8752)=0),N(U8751)+1,N(U8751))</f>
        <v/>
      </c>
      <c r="V8752" s="19">
        <f>IF($B8752="","",TEXT($B8752,"0000"))</f>
        <v/>
      </c>
      <c r="W8752" s="19">
        <f>IF($I8752="","",IF(ISNUMBER($I8752),TEXT($I8752,"0"),$I8752))</f>
        <v/>
      </c>
    </row>
    <row r="8753">
      <c r="B8753" s="25" t="n"/>
      <c r="I8753" s="25" t="n"/>
      <c r="U8753" s="19">
        <f>IF(AND($V8753='設定'!$C$4,COUNTIF('商品マスタ'!$B$6:$B$1005,$W8753)=0),N(U8752)+1,N(U8752))</f>
        <v/>
      </c>
      <c r="V8753" s="19">
        <f>IF($B8753="","",TEXT($B8753,"0000"))</f>
        <v/>
      </c>
      <c r="W8753" s="19">
        <f>IF($I8753="","",IF(ISNUMBER($I8753),TEXT($I8753,"0"),$I8753))</f>
        <v/>
      </c>
    </row>
    <row r="8754">
      <c r="B8754" s="25" t="n"/>
      <c r="I8754" s="25" t="n"/>
      <c r="U8754" s="19">
        <f>IF(AND($V8754='設定'!$C$4,COUNTIF('商品マスタ'!$B$6:$B$1005,$W8754)=0),N(U8753)+1,N(U8753))</f>
        <v/>
      </c>
      <c r="V8754" s="19">
        <f>IF($B8754="","",TEXT($B8754,"0000"))</f>
        <v/>
      </c>
      <c r="W8754" s="19">
        <f>IF($I8754="","",IF(ISNUMBER($I8754),TEXT($I8754,"0"),$I8754))</f>
        <v/>
      </c>
    </row>
    <row r="8755">
      <c r="B8755" s="25" t="n"/>
      <c r="I8755" s="25" t="n"/>
      <c r="U8755" s="19">
        <f>IF(AND($V8755='設定'!$C$4,COUNTIF('商品マスタ'!$B$6:$B$1005,$W8755)=0),N(U8754)+1,N(U8754))</f>
        <v/>
      </c>
      <c r="V8755" s="19">
        <f>IF($B8755="","",TEXT($B8755,"0000"))</f>
        <v/>
      </c>
      <c r="W8755" s="19">
        <f>IF($I8755="","",IF(ISNUMBER($I8755),TEXT($I8755,"0"),$I8755))</f>
        <v/>
      </c>
    </row>
    <row r="8756">
      <c r="B8756" s="25" t="n"/>
      <c r="I8756" s="25" t="n"/>
      <c r="U8756" s="19">
        <f>IF(AND($V8756='設定'!$C$4,COUNTIF('商品マスタ'!$B$6:$B$1005,$W8756)=0),N(U8755)+1,N(U8755))</f>
        <v/>
      </c>
      <c r="V8756" s="19">
        <f>IF($B8756="","",TEXT($B8756,"0000"))</f>
        <v/>
      </c>
      <c r="W8756" s="19">
        <f>IF($I8756="","",IF(ISNUMBER($I8756),TEXT($I8756,"0"),$I8756))</f>
        <v/>
      </c>
    </row>
    <row r="8757">
      <c r="B8757" s="25" t="n"/>
      <c r="I8757" s="25" t="n"/>
      <c r="U8757" s="19">
        <f>IF(AND($V8757='設定'!$C$4,COUNTIF('商品マスタ'!$B$6:$B$1005,$W8757)=0),N(U8756)+1,N(U8756))</f>
        <v/>
      </c>
      <c r="V8757" s="19">
        <f>IF($B8757="","",TEXT($B8757,"0000"))</f>
        <v/>
      </c>
      <c r="W8757" s="19">
        <f>IF($I8757="","",IF(ISNUMBER($I8757),TEXT($I8757,"0"),$I8757))</f>
        <v/>
      </c>
    </row>
    <row r="8758">
      <c r="B8758" s="25" t="n"/>
      <c r="I8758" s="25" t="n"/>
      <c r="U8758" s="19">
        <f>IF(AND($V8758='設定'!$C$4,COUNTIF('商品マスタ'!$B$6:$B$1005,$W8758)=0),N(U8757)+1,N(U8757))</f>
        <v/>
      </c>
      <c r="V8758" s="19">
        <f>IF($B8758="","",TEXT($B8758,"0000"))</f>
        <v/>
      </c>
      <c r="W8758" s="19">
        <f>IF($I8758="","",IF(ISNUMBER($I8758),TEXT($I8758,"0"),$I8758))</f>
        <v/>
      </c>
    </row>
    <row r="8759">
      <c r="B8759" s="25" t="n"/>
      <c r="I8759" s="25" t="n"/>
      <c r="U8759" s="19">
        <f>IF(AND($V8759='設定'!$C$4,COUNTIF('商品マスタ'!$B$6:$B$1005,$W8759)=0),N(U8758)+1,N(U8758))</f>
        <v/>
      </c>
      <c r="V8759" s="19">
        <f>IF($B8759="","",TEXT($B8759,"0000"))</f>
        <v/>
      </c>
      <c r="W8759" s="19">
        <f>IF($I8759="","",IF(ISNUMBER($I8759),TEXT($I8759,"0"),$I8759))</f>
        <v/>
      </c>
    </row>
    <row r="8760">
      <c r="B8760" s="25" t="n"/>
      <c r="I8760" s="25" t="n"/>
      <c r="U8760" s="19">
        <f>IF(AND($V8760='設定'!$C$4,COUNTIF('商品マスタ'!$B$6:$B$1005,$W8760)=0),N(U8759)+1,N(U8759))</f>
        <v/>
      </c>
      <c r="V8760" s="19">
        <f>IF($B8760="","",TEXT($B8760,"0000"))</f>
        <v/>
      </c>
      <c r="W8760" s="19">
        <f>IF($I8760="","",IF(ISNUMBER($I8760),TEXT($I8760,"0"),$I8760))</f>
        <v/>
      </c>
    </row>
    <row r="8761">
      <c r="B8761" s="25" t="n"/>
      <c r="I8761" s="25" t="n"/>
      <c r="U8761" s="19">
        <f>IF(AND($V8761='設定'!$C$4,COUNTIF('商品マスタ'!$B$6:$B$1005,$W8761)=0),N(U8760)+1,N(U8760))</f>
        <v/>
      </c>
      <c r="V8761" s="19">
        <f>IF($B8761="","",TEXT($B8761,"0000"))</f>
        <v/>
      </c>
      <c r="W8761" s="19">
        <f>IF($I8761="","",IF(ISNUMBER($I8761),TEXT($I8761,"0"),$I8761))</f>
        <v/>
      </c>
    </row>
    <row r="8762">
      <c r="B8762" s="25" t="n"/>
      <c r="I8762" s="25" t="n"/>
      <c r="U8762" s="19">
        <f>IF(AND($V8762='設定'!$C$4,COUNTIF('商品マスタ'!$B$6:$B$1005,$W8762)=0),N(U8761)+1,N(U8761))</f>
        <v/>
      </c>
      <c r="V8762" s="19">
        <f>IF($B8762="","",TEXT($B8762,"0000"))</f>
        <v/>
      </c>
      <c r="W8762" s="19">
        <f>IF($I8762="","",IF(ISNUMBER($I8762),TEXT($I8762,"0"),$I8762))</f>
        <v/>
      </c>
    </row>
    <row r="8763">
      <c r="B8763" s="25" t="n"/>
      <c r="I8763" s="25" t="n"/>
      <c r="U8763" s="19">
        <f>IF(AND($V8763='設定'!$C$4,COUNTIF('商品マスタ'!$B$6:$B$1005,$W8763)=0),N(U8762)+1,N(U8762))</f>
        <v/>
      </c>
      <c r="V8763" s="19">
        <f>IF($B8763="","",TEXT($B8763,"0000"))</f>
        <v/>
      </c>
      <c r="W8763" s="19">
        <f>IF($I8763="","",IF(ISNUMBER($I8763),TEXT($I8763,"0"),$I8763))</f>
        <v/>
      </c>
    </row>
    <row r="8764">
      <c r="B8764" s="25" t="n"/>
      <c r="I8764" s="25" t="n"/>
      <c r="U8764" s="19">
        <f>IF(AND($V8764='設定'!$C$4,COUNTIF('商品マスタ'!$B$6:$B$1005,$W8764)=0),N(U8763)+1,N(U8763))</f>
        <v/>
      </c>
      <c r="V8764" s="19">
        <f>IF($B8764="","",TEXT($B8764,"0000"))</f>
        <v/>
      </c>
      <c r="W8764" s="19">
        <f>IF($I8764="","",IF(ISNUMBER($I8764),TEXT($I8764,"0"),$I8764))</f>
        <v/>
      </c>
    </row>
    <row r="8765">
      <c r="B8765" s="25" t="n"/>
      <c r="I8765" s="25" t="n"/>
      <c r="U8765" s="19">
        <f>IF(AND($V8765='設定'!$C$4,COUNTIF('商品マスタ'!$B$6:$B$1005,$W8765)=0),N(U8764)+1,N(U8764))</f>
        <v/>
      </c>
      <c r="V8765" s="19">
        <f>IF($B8765="","",TEXT($B8765,"0000"))</f>
        <v/>
      </c>
      <c r="W8765" s="19">
        <f>IF($I8765="","",IF(ISNUMBER($I8765),TEXT($I8765,"0"),$I8765))</f>
        <v/>
      </c>
    </row>
    <row r="8766">
      <c r="B8766" s="25" t="n"/>
      <c r="I8766" s="25" t="n"/>
      <c r="U8766" s="19">
        <f>IF(AND($V8766='設定'!$C$4,COUNTIF('商品マスタ'!$B$6:$B$1005,$W8766)=0),N(U8765)+1,N(U8765))</f>
        <v/>
      </c>
      <c r="V8766" s="19">
        <f>IF($B8766="","",TEXT($B8766,"0000"))</f>
        <v/>
      </c>
      <c r="W8766" s="19">
        <f>IF($I8766="","",IF(ISNUMBER($I8766),TEXT($I8766,"0"),$I8766))</f>
        <v/>
      </c>
    </row>
    <row r="8767">
      <c r="B8767" s="25" t="n"/>
      <c r="I8767" s="25" t="n"/>
      <c r="U8767" s="19">
        <f>IF(AND($V8767='設定'!$C$4,COUNTIF('商品マスタ'!$B$6:$B$1005,$W8767)=0),N(U8766)+1,N(U8766))</f>
        <v/>
      </c>
      <c r="V8767" s="19">
        <f>IF($B8767="","",TEXT($B8767,"0000"))</f>
        <v/>
      </c>
      <c r="W8767" s="19">
        <f>IF($I8767="","",IF(ISNUMBER($I8767),TEXT($I8767,"0"),$I8767))</f>
        <v/>
      </c>
    </row>
    <row r="8768">
      <c r="B8768" s="25" t="n"/>
      <c r="I8768" s="25" t="n"/>
      <c r="U8768" s="19">
        <f>IF(AND($V8768='設定'!$C$4,COUNTIF('商品マスタ'!$B$6:$B$1005,$W8768)=0),N(U8767)+1,N(U8767))</f>
        <v/>
      </c>
      <c r="V8768" s="19">
        <f>IF($B8768="","",TEXT($B8768,"0000"))</f>
        <v/>
      </c>
      <c r="W8768" s="19">
        <f>IF($I8768="","",IF(ISNUMBER($I8768),TEXT($I8768,"0"),$I8768))</f>
        <v/>
      </c>
    </row>
    <row r="8769">
      <c r="B8769" s="25" t="n"/>
      <c r="I8769" s="25" t="n"/>
      <c r="U8769" s="19">
        <f>IF(AND($V8769='設定'!$C$4,COUNTIF('商品マスタ'!$B$6:$B$1005,$W8769)=0),N(U8768)+1,N(U8768))</f>
        <v/>
      </c>
      <c r="V8769" s="19">
        <f>IF($B8769="","",TEXT($B8769,"0000"))</f>
        <v/>
      </c>
      <c r="W8769" s="19">
        <f>IF($I8769="","",IF(ISNUMBER($I8769),TEXT($I8769,"0"),$I8769))</f>
        <v/>
      </c>
    </row>
    <row r="8770">
      <c r="B8770" s="25" t="n"/>
      <c r="I8770" s="25" t="n"/>
      <c r="U8770" s="19">
        <f>IF(AND($V8770='設定'!$C$4,COUNTIF('商品マスタ'!$B$6:$B$1005,$W8770)=0),N(U8769)+1,N(U8769))</f>
        <v/>
      </c>
      <c r="V8770" s="19">
        <f>IF($B8770="","",TEXT($B8770,"0000"))</f>
        <v/>
      </c>
      <c r="W8770" s="19">
        <f>IF($I8770="","",IF(ISNUMBER($I8770),TEXT($I8770,"0"),$I8770))</f>
        <v/>
      </c>
    </row>
    <row r="8771">
      <c r="B8771" s="25" t="n"/>
      <c r="I8771" s="25" t="n"/>
      <c r="U8771" s="19">
        <f>IF(AND($V8771='設定'!$C$4,COUNTIF('商品マスタ'!$B$6:$B$1005,$W8771)=0),N(U8770)+1,N(U8770))</f>
        <v/>
      </c>
      <c r="V8771" s="19">
        <f>IF($B8771="","",TEXT($B8771,"0000"))</f>
        <v/>
      </c>
      <c r="W8771" s="19">
        <f>IF($I8771="","",IF(ISNUMBER($I8771),TEXT($I8771,"0"),$I8771))</f>
        <v/>
      </c>
    </row>
    <row r="8772">
      <c r="B8772" s="25" t="n"/>
      <c r="I8772" s="25" t="n"/>
      <c r="U8772" s="19">
        <f>IF(AND($V8772='設定'!$C$4,COUNTIF('商品マスタ'!$B$6:$B$1005,$W8772)=0),N(U8771)+1,N(U8771))</f>
        <v/>
      </c>
      <c r="V8772" s="19">
        <f>IF($B8772="","",TEXT($B8772,"0000"))</f>
        <v/>
      </c>
      <c r="W8772" s="19">
        <f>IF($I8772="","",IF(ISNUMBER($I8772),TEXT($I8772,"0"),$I8772))</f>
        <v/>
      </c>
    </row>
    <row r="8773">
      <c r="B8773" s="25" t="n"/>
      <c r="I8773" s="25" t="n"/>
      <c r="U8773" s="19">
        <f>IF(AND($V8773='設定'!$C$4,COUNTIF('商品マスタ'!$B$6:$B$1005,$W8773)=0),N(U8772)+1,N(U8772))</f>
        <v/>
      </c>
      <c r="V8773" s="19">
        <f>IF($B8773="","",TEXT($B8773,"0000"))</f>
        <v/>
      </c>
      <c r="W8773" s="19">
        <f>IF($I8773="","",IF(ISNUMBER($I8773),TEXT($I8773,"0"),$I8773))</f>
        <v/>
      </c>
    </row>
    <row r="8774">
      <c r="B8774" s="25" t="n"/>
      <c r="I8774" s="25" t="n"/>
      <c r="U8774" s="19">
        <f>IF(AND($V8774='設定'!$C$4,COUNTIF('商品マスタ'!$B$6:$B$1005,$W8774)=0),N(U8773)+1,N(U8773))</f>
        <v/>
      </c>
      <c r="V8774" s="19">
        <f>IF($B8774="","",TEXT($B8774,"0000"))</f>
        <v/>
      </c>
      <c r="W8774" s="19">
        <f>IF($I8774="","",IF(ISNUMBER($I8774),TEXT($I8774,"0"),$I8774))</f>
        <v/>
      </c>
    </row>
    <row r="8775">
      <c r="B8775" s="25" t="n"/>
      <c r="I8775" s="25" t="n"/>
      <c r="U8775" s="19">
        <f>IF(AND($V8775='設定'!$C$4,COUNTIF('商品マスタ'!$B$6:$B$1005,$W8775)=0),N(U8774)+1,N(U8774))</f>
        <v/>
      </c>
      <c r="V8775" s="19">
        <f>IF($B8775="","",TEXT($B8775,"0000"))</f>
        <v/>
      </c>
      <c r="W8775" s="19">
        <f>IF($I8775="","",IF(ISNUMBER($I8775),TEXT($I8775,"0"),$I8775))</f>
        <v/>
      </c>
    </row>
    <row r="8776">
      <c r="B8776" s="25" t="n"/>
      <c r="I8776" s="25" t="n"/>
      <c r="U8776" s="19">
        <f>IF(AND($V8776='設定'!$C$4,COUNTIF('商品マスタ'!$B$6:$B$1005,$W8776)=0),N(U8775)+1,N(U8775))</f>
        <v/>
      </c>
      <c r="V8776" s="19">
        <f>IF($B8776="","",TEXT($B8776,"0000"))</f>
        <v/>
      </c>
      <c r="W8776" s="19">
        <f>IF($I8776="","",IF(ISNUMBER($I8776),TEXT($I8776,"0"),$I8776))</f>
        <v/>
      </c>
    </row>
    <row r="8777">
      <c r="B8777" s="25" t="n"/>
      <c r="I8777" s="25" t="n"/>
      <c r="U8777" s="19">
        <f>IF(AND($V8777='設定'!$C$4,COUNTIF('商品マスタ'!$B$6:$B$1005,$W8777)=0),N(U8776)+1,N(U8776))</f>
        <v/>
      </c>
      <c r="V8777" s="19">
        <f>IF($B8777="","",TEXT($B8777,"0000"))</f>
        <v/>
      </c>
      <c r="W8777" s="19">
        <f>IF($I8777="","",IF(ISNUMBER($I8777),TEXT($I8777,"0"),$I8777))</f>
        <v/>
      </c>
    </row>
    <row r="8778">
      <c r="B8778" s="25" t="n"/>
      <c r="I8778" s="25" t="n"/>
      <c r="U8778" s="19">
        <f>IF(AND($V8778='設定'!$C$4,COUNTIF('商品マスタ'!$B$6:$B$1005,$W8778)=0),N(U8777)+1,N(U8777))</f>
        <v/>
      </c>
      <c r="V8778" s="19">
        <f>IF($B8778="","",TEXT($B8778,"0000"))</f>
        <v/>
      </c>
      <c r="W8778" s="19">
        <f>IF($I8778="","",IF(ISNUMBER($I8778),TEXT($I8778,"0"),$I8778))</f>
        <v/>
      </c>
    </row>
    <row r="8779">
      <c r="B8779" s="25" t="n"/>
      <c r="I8779" s="25" t="n"/>
      <c r="U8779" s="19">
        <f>IF(AND($V8779='設定'!$C$4,COUNTIF('商品マスタ'!$B$6:$B$1005,$W8779)=0),N(U8778)+1,N(U8778))</f>
        <v/>
      </c>
      <c r="V8779" s="19">
        <f>IF($B8779="","",TEXT($B8779,"0000"))</f>
        <v/>
      </c>
      <c r="W8779" s="19">
        <f>IF($I8779="","",IF(ISNUMBER($I8779),TEXT($I8779,"0"),$I8779))</f>
        <v/>
      </c>
    </row>
    <row r="8780">
      <c r="B8780" s="25" t="n"/>
      <c r="I8780" s="25" t="n"/>
      <c r="U8780" s="19">
        <f>IF(AND($V8780='設定'!$C$4,COUNTIF('商品マスタ'!$B$6:$B$1005,$W8780)=0),N(U8779)+1,N(U8779))</f>
        <v/>
      </c>
      <c r="V8780" s="19">
        <f>IF($B8780="","",TEXT($B8780,"0000"))</f>
        <v/>
      </c>
      <c r="W8780" s="19">
        <f>IF($I8780="","",IF(ISNUMBER($I8780),TEXT($I8780,"0"),$I8780))</f>
        <v/>
      </c>
    </row>
    <row r="8781">
      <c r="B8781" s="25" t="n"/>
      <c r="I8781" s="25" t="n"/>
      <c r="U8781" s="19">
        <f>IF(AND($V8781='設定'!$C$4,COUNTIF('商品マスタ'!$B$6:$B$1005,$W8781)=0),N(U8780)+1,N(U8780))</f>
        <v/>
      </c>
      <c r="V8781" s="19">
        <f>IF($B8781="","",TEXT($B8781,"0000"))</f>
        <v/>
      </c>
      <c r="W8781" s="19">
        <f>IF($I8781="","",IF(ISNUMBER($I8781),TEXT($I8781,"0"),$I8781))</f>
        <v/>
      </c>
    </row>
    <row r="8782">
      <c r="B8782" s="25" t="n"/>
      <c r="I8782" s="25" t="n"/>
      <c r="U8782" s="19">
        <f>IF(AND($V8782='設定'!$C$4,COUNTIF('商品マスタ'!$B$6:$B$1005,$W8782)=0),N(U8781)+1,N(U8781))</f>
        <v/>
      </c>
      <c r="V8782" s="19">
        <f>IF($B8782="","",TEXT($B8782,"0000"))</f>
        <v/>
      </c>
      <c r="W8782" s="19">
        <f>IF($I8782="","",IF(ISNUMBER($I8782),TEXT($I8782,"0"),$I8782))</f>
        <v/>
      </c>
    </row>
    <row r="8783">
      <c r="B8783" s="25" t="n"/>
      <c r="I8783" s="25" t="n"/>
      <c r="U8783" s="19">
        <f>IF(AND($V8783='設定'!$C$4,COUNTIF('商品マスタ'!$B$6:$B$1005,$W8783)=0),N(U8782)+1,N(U8782))</f>
        <v/>
      </c>
      <c r="V8783" s="19">
        <f>IF($B8783="","",TEXT($B8783,"0000"))</f>
        <v/>
      </c>
      <c r="W8783" s="19">
        <f>IF($I8783="","",IF(ISNUMBER($I8783),TEXT($I8783,"0"),$I8783))</f>
        <v/>
      </c>
    </row>
    <row r="8784">
      <c r="B8784" s="25" t="n"/>
      <c r="I8784" s="25" t="n"/>
      <c r="U8784" s="19">
        <f>IF(AND($V8784='設定'!$C$4,COUNTIF('商品マスタ'!$B$6:$B$1005,$W8784)=0),N(U8783)+1,N(U8783))</f>
        <v/>
      </c>
      <c r="V8784" s="19">
        <f>IF($B8784="","",TEXT($B8784,"0000"))</f>
        <v/>
      </c>
      <c r="W8784" s="19">
        <f>IF($I8784="","",IF(ISNUMBER($I8784),TEXT($I8784,"0"),$I8784))</f>
        <v/>
      </c>
    </row>
    <row r="8785">
      <c r="B8785" s="25" t="n"/>
      <c r="I8785" s="25" t="n"/>
      <c r="U8785" s="19">
        <f>IF(AND($V8785='設定'!$C$4,COUNTIF('商品マスタ'!$B$6:$B$1005,$W8785)=0),N(U8784)+1,N(U8784))</f>
        <v/>
      </c>
      <c r="V8785" s="19">
        <f>IF($B8785="","",TEXT($B8785,"0000"))</f>
        <v/>
      </c>
      <c r="W8785" s="19">
        <f>IF($I8785="","",IF(ISNUMBER($I8785),TEXT($I8785,"0"),$I8785))</f>
        <v/>
      </c>
    </row>
    <row r="8786">
      <c r="B8786" s="25" t="n"/>
      <c r="I8786" s="25" t="n"/>
      <c r="U8786" s="19">
        <f>IF(AND($V8786='設定'!$C$4,COUNTIF('商品マスタ'!$B$6:$B$1005,$W8786)=0),N(U8785)+1,N(U8785))</f>
        <v/>
      </c>
      <c r="V8786" s="19">
        <f>IF($B8786="","",TEXT($B8786,"0000"))</f>
        <v/>
      </c>
      <c r="W8786" s="19">
        <f>IF($I8786="","",IF(ISNUMBER($I8786),TEXT($I8786,"0"),$I8786))</f>
        <v/>
      </c>
    </row>
    <row r="8787">
      <c r="B8787" s="25" t="n"/>
      <c r="I8787" s="25" t="n"/>
      <c r="U8787" s="19">
        <f>IF(AND($V8787='設定'!$C$4,COUNTIF('商品マスタ'!$B$6:$B$1005,$W8787)=0),N(U8786)+1,N(U8786))</f>
        <v/>
      </c>
      <c r="V8787" s="19">
        <f>IF($B8787="","",TEXT($B8787,"0000"))</f>
        <v/>
      </c>
      <c r="W8787" s="19">
        <f>IF($I8787="","",IF(ISNUMBER($I8787),TEXT($I8787,"0"),$I8787))</f>
        <v/>
      </c>
    </row>
    <row r="8788">
      <c r="B8788" s="25" t="n"/>
      <c r="I8788" s="25" t="n"/>
      <c r="U8788" s="19">
        <f>IF(AND($V8788='設定'!$C$4,COUNTIF('商品マスタ'!$B$6:$B$1005,$W8788)=0),N(U8787)+1,N(U8787))</f>
        <v/>
      </c>
      <c r="V8788" s="19">
        <f>IF($B8788="","",TEXT($B8788,"0000"))</f>
        <v/>
      </c>
      <c r="W8788" s="19">
        <f>IF($I8788="","",IF(ISNUMBER($I8788),TEXT($I8788,"0"),$I8788))</f>
        <v/>
      </c>
    </row>
    <row r="8789">
      <c r="B8789" s="25" t="n"/>
      <c r="I8789" s="25" t="n"/>
      <c r="U8789" s="19">
        <f>IF(AND($V8789='設定'!$C$4,COUNTIF('商品マスタ'!$B$6:$B$1005,$W8789)=0),N(U8788)+1,N(U8788))</f>
        <v/>
      </c>
      <c r="V8789" s="19">
        <f>IF($B8789="","",TEXT($B8789,"0000"))</f>
        <v/>
      </c>
      <c r="W8789" s="19">
        <f>IF($I8789="","",IF(ISNUMBER($I8789),TEXT($I8789,"0"),$I8789))</f>
        <v/>
      </c>
    </row>
    <row r="8790">
      <c r="B8790" s="25" t="n"/>
      <c r="I8790" s="25" t="n"/>
      <c r="U8790" s="19">
        <f>IF(AND($V8790='設定'!$C$4,COUNTIF('商品マスタ'!$B$6:$B$1005,$W8790)=0),N(U8789)+1,N(U8789))</f>
        <v/>
      </c>
      <c r="V8790" s="19">
        <f>IF($B8790="","",TEXT($B8790,"0000"))</f>
        <v/>
      </c>
      <c r="W8790" s="19">
        <f>IF($I8790="","",IF(ISNUMBER($I8790),TEXT($I8790,"0"),$I8790))</f>
        <v/>
      </c>
    </row>
    <row r="8791">
      <c r="B8791" s="25" t="n"/>
      <c r="I8791" s="25" t="n"/>
      <c r="U8791" s="19">
        <f>IF(AND($V8791='設定'!$C$4,COUNTIF('商品マスタ'!$B$6:$B$1005,$W8791)=0),N(U8790)+1,N(U8790))</f>
        <v/>
      </c>
      <c r="V8791" s="19">
        <f>IF($B8791="","",TEXT($B8791,"0000"))</f>
        <v/>
      </c>
      <c r="W8791" s="19">
        <f>IF($I8791="","",IF(ISNUMBER($I8791),TEXT($I8791,"0"),$I8791))</f>
        <v/>
      </c>
    </row>
    <row r="8792">
      <c r="B8792" s="25" t="n"/>
      <c r="I8792" s="25" t="n"/>
      <c r="U8792" s="19">
        <f>IF(AND($V8792='設定'!$C$4,COUNTIF('商品マスタ'!$B$6:$B$1005,$W8792)=0),N(U8791)+1,N(U8791))</f>
        <v/>
      </c>
      <c r="V8792" s="19">
        <f>IF($B8792="","",TEXT($B8792,"0000"))</f>
        <v/>
      </c>
      <c r="W8792" s="19">
        <f>IF($I8792="","",IF(ISNUMBER($I8792),TEXT($I8792,"0"),$I8792))</f>
        <v/>
      </c>
    </row>
    <row r="8793">
      <c r="B8793" s="25" t="n"/>
      <c r="I8793" s="25" t="n"/>
      <c r="U8793" s="19">
        <f>IF(AND($V8793='設定'!$C$4,COUNTIF('商品マスタ'!$B$6:$B$1005,$W8793)=0),N(U8792)+1,N(U8792))</f>
        <v/>
      </c>
      <c r="V8793" s="19">
        <f>IF($B8793="","",TEXT($B8793,"0000"))</f>
        <v/>
      </c>
      <c r="W8793" s="19">
        <f>IF($I8793="","",IF(ISNUMBER($I8793),TEXT($I8793,"0"),$I8793))</f>
        <v/>
      </c>
    </row>
    <row r="8794">
      <c r="B8794" s="25" t="n"/>
      <c r="I8794" s="25" t="n"/>
      <c r="U8794" s="19">
        <f>IF(AND($V8794='設定'!$C$4,COUNTIF('商品マスタ'!$B$6:$B$1005,$W8794)=0),N(U8793)+1,N(U8793))</f>
        <v/>
      </c>
      <c r="V8794" s="19">
        <f>IF($B8794="","",TEXT($B8794,"0000"))</f>
        <v/>
      </c>
      <c r="W8794" s="19">
        <f>IF($I8794="","",IF(ISNUMBER($I8794),TEXT($I8794,"0"),$I8794))</f>
        <v/>
      </c>
    </row>
    <row r="8795">
      <c r="B8795" s="25" t="n"/>
      <c r="I8795" s="25" t="n"/>
      <c r="U8795" s="19">
        <f>IF(AND($V8795='設定'!$C$4,COUNTIF('商品マスタ'!$B$6:$B$1005,$W8795)=0),N(U8794)+1,N(U8794))</f>
        <v/>
      </c>
      <c r="V8795" s="19">
        <f>IF($B8795="","",TEXT($B8795,"0000"))</f>
        <v/>
      </c>
      <c r="W8795" s="19">
        <f>IF($I8795="","",IF(ISNUMBER($I8795),TEXT($I8795,"0"),$I8795))</f>
        <v/>
      </c>
    </row>
    <row r="8796">
      <c r="B8796" s="25" t="n"/>
      <c r="I8796" s="25" t="n"/>
      <c r="U8796" s="19">
        <f>IF(AND($V8796='設定'!$C$4,COUNTIF('商品マスタ'!$B$6:$B$1005,$W8796)=0),N(U8795)+1,N(U8795))</f>
        <v/>
      </c>
      <c r="V8796" s="19">
        <f>IF($B8796="","",TEXT($B8796,"0000"))</f>
        <v/>
      </c>
      <c r="W8796" s="19">
        <f>IF($I8796="","",IF(ISNUMBER($I8796),TEXT($I8796,"0"),$I8796))</f>
        <v/>
      </c>
    </row>
    <row r="8797">
      <c r="B8797" s="25" t="n"/>
      <c r="I8797" s="25" t="n"/>
      <c r="U8797" s="19">
        <f>IF(AND($V8797='設定'!$C$4,COUNTIF('商品マスタ'!$B$6:$B$1005,$W8797)=0),N(U8796)+1,N(U8796))</f>
        <v/>
      </c>
      <c r="V8797" s="19">
        <f>IF($B8797="","",TEXT($B8797,"0000"))</f>
        <v/>
      </c>
      <c r="W8797" s="19">
        <f>IF($I8797="","",IF(ISNUMBER($I8797),TEXT($I8797,"0"),$I8797))</f>
        <v/>
      </c>
    </row>
    <row r="8798">
      <c r="B8798" s="25" t="n"/>
      <c r="I8798" s="25" t="n"/>
      <c r="U8798" s="19">
        <f>IF(AND($V8798='設定'!$C$4,COUNTIF('商品マスタ'!$B$6:$B$1005,$W8798)=0),N(U8797)+1,N(U8797))</f>
        <v/>
      </c>
      <c r="V8798" s="19">
        <f>IF($B8798="","",TEXT($B8798,"0000"))</f>
        <v/>
      </c>
      <c r="W8798" s="19">
        <f>IF($I8798="","",IF(ISNUMBER($I8798),TEXT($I8798,"0"),$I8798))</f>
        <v/>
      </c>
    </row>
    <row r="8799">
      <c r="B8799" s="25" t="n"/>
      <c r="I8799" s="25" t="n"/>
      <c r="U8799" s="19">
        <f>IF(AND($V8799='設定'!$C$4,COUNTIF('商品マスタ'!$B$6:$B$1005,$W8799)=0),N(U8798)+1,N(U8798))</f>
        <v/>
      </c>
      <c r="V8799" s="19">
        <f>IF($B8799="","",TEXT($B8799,"0000"))</f>
        <v/>
      </c>
      <c r="W8799" s="19">
        <f>IF($I8799="","",IF(ISNUMBER($I8799),TEXT($I8799,"0"),$I8799))</f>
        <v/>
      </c>
    </row>
    <row r="8800">
      <c r="B8800" s="25" t="n"/>
      <c r="I8800" s="25" t="n"/>
      <c r="U8800" s="19">
        <f>IF(AND($V8800='設定'!$C$4,COUNTIF('商品マスタ'!$B$6:$B$1005,$W8800)=0),N(U8799)+1,N(U8799))</f>
        <v/>
      </c>
      <c r="V8800" s="19">
        <f>IF($B8800="","",TEXT($B8800,"0000"))</f>
        <v/>
      </c>
      <c r="W8800" s="19">
        <f>IF($I8800="","",IF(ISNUMBER($I8800),TEXT($I8800,"0"),$I8800))</f>
        <v/>
      </c>
    </row>
    <row r="8801">
      <c r="B8801" s="25" t="n"/>
      <c r="I8801" s="25" t="n"/>
      <c r="U8801" s="19">
        <f>IF(AND($V8801='設定'!$C$4,COUNTIF('商品マスタ'!$B$6:$B$1005,$W8801)=0),N(U8800)+1,N(U8800))</f>
        <v/>
      </c>
      <c r="V8801" s="19">
        <f>IF($B8801="","",TEXT($B8801,"0000"))</f>
        <v/>
      </c>
      <c r="W8801" s="19">
        <f>IF($I8801="","",IF(ISNUMBER($I8801),TEXT($I8801,"0"),$I8801))</f>
        <v/>
      </c>
    </row>
    <row r="8802">
      <c r="B8802" s="25" t="n"/>
      <c r="I8802" s="25" t="n"/>
      <c r="U8802" s="19">
        <f>IF(AND($V8802='設定'!$C$4,COUNTIF('商品マスタ'!$B$6:$B$1005,$W8802)=0),N(U8801)+1,N(U8801))</f>
        <v/>
      </c>
      <c r="V8802" s="19">
        <f>IF($B8802="","",TEXT($B8802,"0000"))</f>
        <v/>
      </c>
      <c r="W8802" s="19">
        <f>IF($I8802="","",IF(ISNUMBER($I8802),TEXT($I8802,"0"),$I8802))</f>
        <v/>
      </c>
    </row>
    <row r="8803">
      <c r="B8803" s="25" t="n"/>
      <c r="I8803" s="25" t="n"/>
      <c r="U8803" s="19">
        <f>IF(AND($V8803='設定'!$C$4,COUNTIF('商品マスタ'!$B$6:$B$1005,$W8803)=0),N(U8802)+1,N(U8802))</f>
        <v/>
      </c>
      <c r="V8803" s="19">
        <f>IF($B8803="","",TEXT($B8803,"0000"))</f>
        <v/>
      </c>
      <c r="W8803" s="19">
        <f>IF($I8803="","",IF(ISNUMBER($I8803),TEXT($I8803,"0"),$I8803))</f>
        <v/>
      </c>
    </row>
    <row r="8804">
      <c r="B8804" s="25" t="n"/>
      <c r="I8804" s="25" t="n"/>
      <c r="U8804" s="19">
        <f>IF(AND($V8804='設定'!$C$4,COUNTIF('商品マスタ'!$B$6:$B$1005,$W8804)=0),N(U8803)+1,N(U8803))</f>
        <v/>
      </c>
      <c r="V8804" s="19">
        <f>IF($B8804="","",TEXT($B8804,"0000"))</f>
        <v/>
      </c>
      <c r="W8804" s="19">
        <f>IF($I8804="","",IF(ISNUMBER($I8804),TEXT($I8804,"0"),$I8804))</f>
        <v/>
      </c>
    </row>
    <row r="8805">
      <c r="B8805" s="25" t="n"/>
      <c r="I8805" s="25" t="n"/>
      <c r="U8805" s="19">
        <f>IF(AND($V8805='設定'!$C$4,COUNTIF('商品マスタ'!$B$6:$B$1005,$W8805)=0),N(U8804)+1,N(U8804))</f>
        <v/>
      </c>
      <c r="V8805" s="19">
        <f>IF($B8805="","",TEXT($B8805,"0000"))</f>
        <v/>
      </c>
      <c r="W8805" s="19">
        <f>IF($I8805="","",IF(ISNUMBER($I8805),TEXT($I8805,"0"),$I8805))</f>
        <v/>
      </c>
    </row>
    <row r="8806">
      <c r="B8806" s="25" t="n"/>
      <c r="I8806" s="25" t="n"/>
      <c r="U8806" s="19">
        <f>IF(AND($V8806='設定'!$C$4,COUNTIF('商品マスタ'!$B$6:$B$1005,$W8806)=0),N(U8805)+1,N(U8805))</f>
        <v/>
      </c>
      <c r="V8806" s="19">
        <f>IF($B8806="","",TEXT($B8806,"0000"))</f>
        <v/>
      </c>
      <c r="W8806" s="19">
        <f>IF($I8806="","",IF(ISNUMBER($I8806),TEXT($I8806,"0"),$I8806))</f>
        <v/>
      </c>
    </row>
    <row r="8807">
      <c r="B8807" s="25" t="n"/>
      <c r="I8807" s="25" t="n"/>
      <c r="U8807" s="19">
        <f>IF(AND($V8807='設定'!$C$4,COUNTIF('商品マスタ'!$B$6:$B$1005,$W8807)=0),N(U8806)+1,N(U8806))</f>
        <v/>
      </c>
      <c r="V8807" s="19">
        <f>IF($B8807="","",TEXT($B8807,"0000"))</f>
        <v/>
      </c>
      <c r="W8807" s="19">
        <f>IF($I8807="","",IF(ISNUMBER($I8807),TEXT($I8807,"0"),$I8807))</f>
        <v/>
      </c>
    </row>
    <row r="8808">
      <c r="B8808" s="25" t="n"/>
      <c r="I8808" s="25" t="n"/>
      <c r="U8808" s="19">
        <f>IF(AND($V8808='設定'!$C$4,COUNTIF('商品マスタ'!$B$6:$B$1005,$W8808)=0),N(U8807)+1,N(U8807))</f>
        <v/>
      </c>
      <c r="V8808" s="19">
        <f>IF($B8808="","",TEXT($B8808,"0000"))</f>
        <v/>
      </c>
      <c r="W8808" s="19">
        <f>IF($I8808="","",IF(ISNUMBER($I8808),TEXT($I8808,"0"),$I8808))</f>
        <v/>
      </c>
    </row>
    <row r="8809">
      <c r="B8809" s="25" t="n"/>
      <c r="I8809" s="25" t="n"/>
      <c r="U8809" s="19">
        <f>IF(AND($V8809='設定'!$C$4,COUNTIF('商品マスタ'!$B$6:$B$1005,$W8809)=0),N(U8808)+1,N(U8808))</f>
        <v/>
      </c>
      <c r="V8809" s="19">
        <f>IF($B8809="","",TEXT($B8809,"0000"))</f>
        <v/>
      </c>
      <c r="W8809" s="19">
        <f>IF($I8809="","",IF(ISNUMBER($I8809),TEXT($I8809,"0"),$I8809))</f>
        <v/>
      </c>
    </row>
    <row r="8810">
      <c r="B8810" s="25" t="n"/>
      <c r="I8810" s="25" t="n"/>
      <c r="U8810" s="19">
        <f>IF(AND($V8810='設定'!$C$4,COUNTIF('商品マスタ'!$B$6:$B$1005,$W8810)=0),N(U8809)+1,N(U8809))</f>
        <v/>
      </c>
      <c r="V8810" s="19">
        <f>IF($B8810="","",TEXT($B8810,"0000"))</f>
        <v/>
      </c>
      <c r="W8810" s="19">
        <f>IF($I8810="","",IF(ISNUMBER($I8810),TEXT($I8810,"0"),$I8810))</f>
        <v/>
      </c>
    </row>
    <row r="8811">
      <c r="B8811" s="25" t="n"/>
      <c r="I8811" s="25" t="n"/>
      <c r="U8811" s="19">
        <f>IF(AND($V8811='設定'!$C$4,COUNTIF('商品マスタ'!$B$6:$B$1005,$W8811)=0),N(U8810)+1,N(U8810))</f>
        <v/>
      </c>
      <c r="V8811" s="19">
        <f>IF($B8811="","",TEXT($B8811,"0000"))</f>
        <v/>
      </c>
      <c r="W8811" s="19">
        <f>IF($I8811="","",IF(ISNUMBER($I8811),TEXT($I8811,"0"),$I8811))</f>
        <v/>
      </c>
    </row>
    <row r="8812">
      <c r="B8812" s="25" t="n"/>
      <c r="I8812" s="25" t="n"/>
      <c r="U8812" s="19">
        <f>IF(AND($V8812='設定'!$C$4,COUNTIF('商品マスタ'!$B$6:$B$1005,$W8812)=0),N(U8811)+1,N(U8811))</f>
        <v/>
      </c>
      <c r="V8812" s="19">
        <f>IF($B8812="","",TEXT($B8812,"0000"))</f>
        <v/>
      </c>
      <c r="W8812" s="19">
        <f>IF($I8812="","",IF(ISNUMBER($I8812),TEXT($I8812,"0"),$I8812))</f>
        <v/>
      </c>
    </row>
    <row r="8813">
      <c r="B8813" s="25" t="n"/>
      <c r="I8813" s="25" t="n"/>
      <c r="U8813" s="19">
        <f>IF(AND($V8813='設定'!$C$4,COUNTIF('商品マスタ'!$B$6:$B$1005,$W8813)=0),N(U8812)+1,N(U8812))</f>
        <v/>
      </c>
      <c r="V8813" s="19">
        <f>IF($B8813="","",TEXT($B8813,"0000"))</f>
        <v/>
      </c>
      <c r="W8813" s="19">
        <f>IF($I8813="","",IF(ISNUMBER($I8813),TEXT($I8813,"0"),$I8813))</f>
        <v/>
      </c>
    </row>
    <row r="8814">
      <c r="B8814" s="25" t="n"/>
      <c r="I8814" s="25" t="n"/>
      <c r="U8814" s="19">
        <f>IF(AND($V8814='設定'!$C$4,COUNTIF('商品マスタ'!$B$6:$B$1005,$W8814)=0),N(U8813)+1,N(U8813))</f>
        <v/>
      </c>
      <c r="V8814" s="19">
        <f>IF($B8814="","",TEXT($B8814,"0000"))</f>
        <v/>
      </c>
      <c r="W8814" s="19">
        <f>IF($I8814="","",IF(ISNUMBER($I8814),TEXT($I8814,"0"),$I8814))</f>
        <v/>
      </c>
    </row>
    <row r="8815">
      <c r="B8815" s="25" t="n"/>
      <c r="I8815" s="25" t="n"/>
      <c r="U8815" s="19">
        <f>IF(AND($V8815='設定'!$C$4,COUNTIF('商品マスタ'!$B$6:$B$1005,$W8815)=0),N(U8814)+1,N(U8814))</f>
        <v/>
      </c>
      <c r="V8815" s="19">
        <f>IF($B8815="","",TEXT($B8815,"0000"))</f>
        <v/>
      </c>
      <c r="W8815" s="19">
        <f>IF($I8815="","",IF(ISNUMBER($I8815),TEXT($I8815,"0"),$I8815))</f>
        <v/>
      </c>
    </row>
    <row r="8816">
      <c r="B8816" s="25" t="n"/>
      <c r="I8816" s="25" t="n"/>
      <c r="U8816" s="19">
        <f>IF(AND($V8816='設定'!$C$4,COUNTIF('商品マスタ'!$B$6:$B$1005,$W8816)=0),N(U8815)+1,N(U8815))</f>
        <v/>
      </c>
      <c r="V8816" s="19">
        <f>IF($B8816="","",TEXT($B8816,"0000"))</f>
        <v/>
      </c>
      <c r="W8816" s="19">
        <f>IF($I8816="","",IF(ISNUMBER($I8816),TEXT($I8816,"0"),$I8816))</f>
        <v/>
      </c>
    </row>
    <row r="8817">
      <c r="B8817" s="25" t="n"/>
      <c r="I8817" s="25" t="n"/>
      <c r="U8817" s="19">
        <f>IF(AND($V8817='設定'!$C$4,COUNTIF('商品マスタ'!$B$6:$B$1005,$W8817)=0),N(U8816)+1,N(U8816))</f>
        <v/>
      </c>
      <c r="V8817" s="19">
        <f>IF($B8817="","",TEXT($B8817,"0000"))</f>
        <v/>
      </c>
      <c r="W8817" s="19">
        <f>IF($I8817="","",IF(ISNUMBER($I8817),TEXT($I8817,"0"),$I8817))</f>
        <v/>
      </c>
    </row>
    <row r="8818">
      <c r="B8818" s="25" t="n"/>
      <c r="I8818" s="25" t="n"/>
      <c r="U8818" s="19">
        <f>IF(AND($V8818='設定'!$C$4,COUNTIF('商品マスタ'!$B$6:$B$1005,$W8818)=0),N(U8817)+1,N(U8817))</f>
        <v/>
      </c>
      <c r="V8818" s="19">
        <f>IF($B8818="","",TEXT($B8818,"0000"))</f>
        <v/>
      </c>
      <c r="W8818" s="19">
        <f>IF($I8818="","",IF(ISNUMBER($I8818),TEXT($I8818,"0"),$I8818))</f>
        <v/>
      </c>
    </row>
    <row r="8819">
      <c r="B8819" s="25" t="n"/>
      <c r="I8819" s="25" t="n"/>
      <c r="U8819" s="19">
        <f>IF(AND($V8819='設定'!$C$4,COUNTIF('商品マスタ'!$B$6:$B$1005,$W8819)=0),N(U8818)+1,N(U8818))</f>
        <v/>
      </c>
      <c r="V8819" s="19">
        <f>IF($B8819="","",TEXT($B8819,"0000"))</f>
        <v/>
      </c>
      <c r="W8819" s="19">
        <f>IF($I8819="","",IF(ISNUMBER($I8819),TEXT($I8819,"0"),$I8819))</f>
        <v/>
      </c>
    </row>
    <row r="8820">
      <c r="B8820" s="25" t="n"/>
      <c r="I8820" s="25" t="n"/>
      <c r="U8820" s="19">
        <f>IF(AND($V8820='設定'!$C$4,COUNTIF('商品マスタ'!$B$6:$B$1005,$W8820)=0),N(U8819)+1,N(U8819))</f>
        <v/>
      </c>
      <c r="V8820" s="19">
        <f>IF($B8820="","",TEXT($B8820,"0000"))</f>
        <v/>
      </c>
      <c r="W8820" s="19">
        <f>IF($I8820="","",IF(ISNUMBER($I8820),TEXT($I8820,"0"),$I8820))</f>
        <v/>
      </c>
    </row>
    <row r="8821">
      <c r="B8821" s="25" t="n"/>
      <c r="I8821" s="25" t="n"/>
      <c r="U8821" s="19">
        <f>IF(AND($V8821='設定'!$C$4,COUNTIF('商品マスタ'!$B$6:$B$1005,$W8821)=0),N(U8820)+1,N(U8820))</f>
        <v/>
      </c>
      <c r="V8821" s="19">
        <f>IF($B8821="","",TEXT($B8821,"0000"))</f>
        <v/>
      </c>
      <c r="W8821" s="19">
        <f>IF($I8821="","",IF(ISNUMBER($I8821),TEXT($I8821,"0"),$I8821))</f>
        <v/>
      </c>
    </row>
    <row r="8822">
      <c r="B8822" s="25" t="n"/>
      <c r="I8822" s="25" t="n"/>
      <c r="U8822" s="19">
        <f>IF(AND($V8822='設定'!$C$4,COUNTIF('商品マスタ'!$B$6:$B$1005,$W8822)=0),N(U8821)+1,N(U8821))</f>
        <v/>
      </c>
      <c r="V8822" s="19">
        <f>IF($B8822="","",TEXT($B8822,"0000"))</f>
        <v/>
      </c>
      <c r="W8822" s="19">
        <f>IF($I8822="","",IF(ISNUMBER($I8822),TEXT($I8822,"0"),$I8822))</f>
        <v/>
      </c>
    </row>
    <row r="8823">
      <c r="B8823" s="25" t="n"/>
      <c r="I8823" s="25" t="n"/>
      <c r="U8823" s="19">
        <f>IF(AND($V8823='設定'!$C$4,COUNTIF('商品マスタ'!$B$6:$B$1005,$W8823)=0),N(U8822)+1,N(U8822))</f>
        <v/>
      </c>
      <c r="V8823" s="19">
        <f>IF($B8823="","",TEXT($B8823,"0000"))</f>
        <v/>
      </c>
      <c r="W8823" s="19">
        <f>IF($I8823="","",IF(ISNUMBER($I8823),TEXT($I8823,"0"),$I8823))</f>
        <v/>
      </c>
    </row>
    <row r="8824">
      <c r="B8824" s="25" t="n"/>
      <c r="I8824" s="25" t="n"/>
      <c r="U8824" s="19">
        <f>IF(AND($V8824='設定'!$C$4,COUNTIF('商品マスタ'!$B$6:$B$1005,$W8824)=0),N(U8823)+1,N(U8823))</f>
        <v/>
      </c>
      <c r="V8824" s="19">
        <f>IF($B8824="","",TEXT($B8824,"0000"))</f>
        <v/>
      </c>
      <c r="W8824" s="19">
        <f>IF($I8824="","",IF(ISNUMBER($I8824),TEXT($I8824,"0"),$I8824))</f>
        <v/>
      </c>
    </row>
    <row r="8825">
      <c r="B8825" s="25" t="n"/>
      <c r="I8825" s="25" t="n"/>
      <c r="U8825" s="19">
        <f>IF(AND($V8825='設定'!$C$4,COUNTIF('商品マスタ'!$B$6:$B$1005,$W8825)=0),N(U8824)+1,N(U8824))</f>
        <v/>
      </c>
      <c r="V8825" s="19">
        <f>IF($B8825="","",TEXT($B8825,"0000"))</f>
        <v/>
      </c>
      <c r="W8825" s="19">
        <f>IF($I8825="","",IF(ISNUMBER($I8825),TEXT($I8825,"0"),$I8825))</f>
        <v/>
      </c>
    </row>
    <row r="8826">
      <c r="B8826" s="25" t="n"/>
      <c r="I8826" s="25" t="n"/>
      <c r="U8826" s="19">
        <f>IF(AND($V8826='設定'!$C$4,COUNTIF('商品マスタ'!$B$6:$B$1005,$W8826)=0),N(U8825)+1,N(U8825))</f>
        <v/>
      </c>
      <c r="V8826" s="19">
        <f>IF($B8826="","",TEXT($B8826,"0000"))</f>
        <v/>
      </c>
      <c r="W8826" s="19">
        <f>IF($I8826="","",IF(ISNUMBER($I8826),TEXT($I8826,"0"),$I8826))</f>
        <v/>
      </c>
    </row>
    <row r="8827">
      <c r="B8827" s="25" t="n"/>
      <c r="I8827" s="25" t="n"/>
      <c r="U8827" s="19">
        <f>IF(AND($V8827='設定'!$C$4,COUNTIF('商品マスタ'!$B$6:$B$1005,$W8827)=0),N(U8826)+1,N(U8826))</f>
        <v/>
      </c>
      <c r="V8827" s="19">
        <f>IF($B8827="","",TEXT($B8827,"0000"))</f>
        <v/>
      </c>
      <c r="W8827" s="19">
        <f>IF($I8827="","",IF(ISNUMBER($I8827),TEXT($I8827,"0"),$I8827))</f>
        <v/>
      </c>
    </row>
    <row r="8828">
      <c r="B8828" s="25" t="n"/>
      <c r="I8828" s="25" t="n"/>
      <c r="U8828" s="19">
        <f>IF(AND($V8828='設定'!$C$4,COUNTIF('商品マスタ'!$B$6:$B$1005,$W8828)=0),N(U8827)+1,N(U8827))</f>
        <v/>
      </c>
      <c r="V8828" s="19">
        <f>IF($B8828="","",TEXT($B8828,"0000"))</f>
        <v/>
      </c>
      <c r="W8828" s="19">
        <f>IF($I8828="","",IF(ISNUMBER($I8828),TEXT($I8828,"0"),$I8828))</f>
        <v/>
      </c>
    </row>
    <row r="8829">
      <c r="B8829" s="25" t="n"/>
      <c r="I8829" s="25" t="n"/>
      <c r="U8829" s="19">
        <f>IF(AND($V8829='設定'!$C$4,COUNTIF('商品マスタ'!$B$6:$B$1005,$W8829)=0),N(U8828)+1,N(U8828))</f>
        <v/>
      </c>
      <c r="V8829" s="19">
        <f>IF($B8829="","",TEXT($B8829,"0000"))</f>
        <v/>
      </c>
      <c r="W8829" s="19">
        <f>IF($I8829="","",IF(ISNUMBER($I8829),TEXT($I8829,"0"),$I8829))</f>
        <v/>
      </c>
    </row>
    <row r="8830">
      <c r="B8830" s="25" t="n"/>
      <c r="I8830" s="25" t="n"/>
      <c r="U8830" s="19">
        <f>IF(AND($V8830='設定'!$C$4,COUNTIF('商品マスタ'!$B$6:$B$1005,$W8830)=0),N(U8829)+1,N(U8829))</f>
        <v/>
      </c>
      <c r="V8830" s="19">
        <f>IF($B8830="","",TEXT($B8830,"0000"))</f>
        <v/>
      </c>
      <c r="W8830" s="19">
        <f>IF($I8830="","",IF(ISNUMBER($I8830),TEXT($I8830,"0"),$I8830))</f>
        <v/>
      </c>
    </row>
    <row r="8831">
      <c r="B8831" s="25" t="n"/>
      <c r="I8831" s="25" t="n"/>
      <c r="U8831" s="19">
        <f>IF(AND($V8831='設定'!$C$4,COUNTIF('商品マスタ'!$B$6:$B$1005,$W8831)=0),N(U8830)+1,N(U8830))</f>
        <v/>
      </c>
      <c r="V8831" s="19">
        <f>IF($B8831="","",TEXT($B8831,"0000"))</f>
        <v/>
      </c>
      <c r="W8831" s="19">
        <f>IF($I8831="","",IF(ISNUMBER($I8831),TEXT($I8831,"0"),$I8831))</f>
        <v/>
      </c>
    </row>
    <row r="8832">
      <c r="B8832" s="25" t="n"/>
      <c r="I8832" s="25" t="n"/>
      <c r="U8832" s="19">
        <f>IF(AND($V8832='設定'!$C$4,COUNTIF('商品マスタ'!$B$6:$B$1005,$W8832)=0),N(U8831)+1,N(U8831))</f>
        <v/>
      </c>
      <c r="V8832" s="19">
        <f>IF($B8832="","",TEXT($B8832,"0000"))</f>
        <v/>
      </c>
      <c r="W8832" s="19">
        <f>IF($I8832="","",IF(ISNUMBER($I8832),TEXT($I8832,"0"),$I8832))</f>
        <v/>
      </c>
    </row>
    <row r="8833">
      <c r="B8833" s="25" t="n"/>
      <c r="I8833" s="25" t="n"/>
      <c r="U8833" s="19">
        <f>IF(AND($V8833='設定'!$C$4,COUNTIF('商品マスタ'!$B$6:$B$1005,$W8833)=0),N(U8832)+1,N(U8832))</f>
        <v/>
      </c>
      <c r="V8833" s="19">
        <f>IF($B8833="","",TEXT($B8833,"0000"))</f>
        <v/>
      </c>
      <c r="W8833" s="19">
        <f>IF($I8833="","",IF(ISNUMBER($I8833),TEXT($I8833,"0"),$I8833))</f>
        <v/>
      </c>
    </row>
    <row r="8834">
      <c r="B8834" s="25" t="n"/>
      <c r="I8834" s="25" t="n"/>
      <c r="U8834" s="19">
        <f>IF(AND($V8834='設定'!$C$4,COUNTIF('商品マスタ'!$B$6:$B$1005,$W8834)=0),N(U8833)+1,N(U8833))</f>
        <v/>
      </c>
      <c r="V8834" s="19">
        <f>IF($B8834="","",TEXT($B8834,"0000"))</f>
        <v/>
      </c>
      <c r="W8834" s="19">
        <f>IF($I8834="","",IF(ISNUMBER($I8834),TEXT($I8834,"0"),$I8834))</f>
        <v/>
      </c>
    </row>
    <row r="8835">
      <c r="B8835" s="25" t="n"/>
      <c r="I8835" s="25" t="n"/>
      <c r="U8835" s="19">
        <f>IF(AND($V8835='設定'!$C$4,COUNTIF('商品マスタ'!$B$6:$B$1005,$W8835)=0),N(U8834)+1,N(U8834))</f>
        <v/>
      </c>
      <c r="V8835" s="19">
        <f>IF($B8835="","",TEXT($B8835,"0000"))</f>
        <v/>
      </c>
      <c r="W8835" s="19">
        <f>IF($I8835="","",IF(ISNUMBER($I8835),TEXT($I8835,"0"),$I8835))</f>
        <v/>
      </c>
    </row>
    <row r="8836">
      <c r="B8836" s="25" t="n"/>
      <c r="I8836" s="25" t="n"/>
      <c r="U8836" s="19">
        <f>IF(AND($V8836='設定'!$C$4,COUNTIF('商品マスタ'!$B$6:$B$1005,$W8836)=0),N(U8835)+1,N(U8835))</f>
        <v/>
      </c>
      <c r="V8836" s="19">
        <f>IF($B8836="","",TEXT($B8836,"0000"))</f>
        <v/>
      </c>
      <c r="W8836" s="19">
        <f>IF($I8836="","",IF(ISNUMBER($I8836),TEXT($I8836,"0"),$I8836))</f>
        <v/>
      </c>
    </row>
    <row r="8837">
      <c r="B8837" s="25" t="n"/>
      <c r="I8837" s="25" t="n"/>
      <c r="U8837" s="19">
        <f>IF(AND($V8837='設定'!$C$4,COUNTIF('商品マスタ'!$B$6:$B$1005,$W8837)=0),N(U8836)+1,N(U8836))</f>
        <v/>
      </c>
      <c r="V8837" s="19">
        <f>IF($B8837="","",TEXT($B8837,"0000"))</f>
        <v/>
      </c>
      <c r="W8837" s="19">
        <f>IF($I8837="","",IF(ISNUMBER($I8837),TEXT($I8837,"0"),$I8837))</f>
        <v/>
      </c>
    </row>
    <row r="8838">
      <c r="B8838" s="25" t="n"/>
      <c r="I8838" s="25" t="n"/>
      <c r="U8838" s="19">
        <f>IF(AND($V8838='設定'!$C$4,COUNTIF('商品マスタ'!$B$6:$B$1005,$W8838)=0),N(U8837)+1,N(U8837))</f>
        <v/>
      </c>
      <c r="V8838" s="19">
        <f>IF($B8838="","",TEXT($B8838,"0000"))</f>
        <v/>
      </c>
      <c r="W8838" s="19">
        <f>IF($I8838="","",IF(ISNUMBER($I8838),TEXT($I8838,"0"),$I8838))</f>
        <v/>
      </c>
    </row>
    <row r="8839">
      <c r="B8839" s="25" t="n"/>
      <c r="I8839" s="25" t="n"/>
      <c r="U8839" s="19">
        <f>IF(AND($V8839='設定'!$C$4,COUNTIF('商品マスタ'!$B$6:$B$1005,$W8839)=0),N(U8838)+1,N(U8838))</f>
        <v/>
      </c>
      <c r="V8839" s="19">
        <f>IF($B8839="","",TEXT($B8839,"0000"))</f>
        <v/>
      </c>
      <c r="W8839" s="19">
        <f>IF($I8839="","",IF(ISNUMBER($I8839),TEXT($I8839,"0"),$I8839))</f>
        <v/>
      </c>
    </row>
    <row r="8840">
      <c r="B8840" s="25" t="n"/>
      <c r="I8840" s="25" t="n"/>
      <c r="U8840" s="19">
        <f>IF(AND($V8840='設定'!$C$4,COUNTIF('商品マスタ'!$B$6:$B$1005,$W8840)=0),N(U8839)+1,N(U8839))</f>
        <v/>
      </c>
      <c r="V8840" s="19">
        <f>IF($B8840="","",TEXT($B8840,"0000"))</f>
        <v/>
      </c>
      <c r="W8840" s="19">
        <f>IF($I8840="","",IF(ISNUMBER($I8840),TEXT($I8840,"0"),$I8840))</f>
        <v/>
      </c>
    </row>
    <row r="8841">
      <c r="B8841" s="25" t="n"/>
      <c r="I8841" s="25" t="n"/>
      <c r="U8841" s="19">
        <f>IF(AND($V8841='設定'!$C$4,COUNTIF('商品マスタ'!$B$6:$B$1005,$W8841)=0),N(U8840)+1,N(U8840))</f>
        <v/>
      </c>
      <c r="V8841" s="19">
        <f>IF($B8841="","",TEXT($B8841,"0000"))</f>
        <v/>
      </c>
      <c r="W8841" s="19">
        <f>IF($I8841="","",IF(ISNUMBER($I8841),TEXT($I8841,"0"),$I8841))</f>
        <v/>
      </c>
    </row>
    <row r="8842">
      <c r="B8842" s="25" t="n"/>
      <c r="I8842" s="25" t="n"/>
      <c r="U8842" s="19">
        <f>IF(AND($V8842='設定'!$C$4,COUNTIF('商品マスタ'!$B$6:$B$1005,$W8842)=0),N(U8841)+1,N(U8841))</f>
        <v/>
      </c>
      <c r="V8842" s="19">
        <f>IF($B8842="","",TEXT($B8842,"0000"))</f>
        <v/>
      </c>
      <c r="W8842" s="19">
        <f>IF($I8842="","",IF(ISNUMBER($I8842),TEXT($I8842,"0"),$I8842))</f>
        <v/>
      </c>
    </row>
    <row r="8843">
      <c r="B8843" s="25" t="n"/>
      <c r="I8843" s="25" t="n"/>
      <c r="U8843" s="19">
        <f>IF(AND($V8843='設定'!$C$4,COUNTIF('商品マスタ'!$B$6:$B$1005,$W8843)=0),N(U8842)+1,N(U8842))</f>
        <v/>
      </c>
      <c r="V8843" s="19">
        <f>IF($B8843="","",TEXT($B8843,"0000"))</f>
        <v/>
      </c>
      <c r="W8843" s="19">
        <f>IF($I8843="","",IF(ISNUMBER($I8843),TEXT($I8843,"0"),$I8843))</f>
        <v/>
      </c>
    </row>
    <row r="8844">
      <c r="B8844" s="25" t="n"/>
      <c r="I8844" s="25" t="n"/>
      <c r="U8844" s="19">
        <f>IF(AND($V8844='設定'!$C$4,COUNTIF('商品マスタ'!$B$6:$B$1005,$W8844)=0),N(U8843)+1,N(U8843))</f>
        <v/>
      </c>
      <c r="V8844" s="19">
        <f>IF($B8844="","",TEXT($B8844,"0000"))</f>
        <v/>
      </c>
      <c r="W8844" s="19">
        <f>IF($I8844="","",IF(ISNUMBER($I8844),TEXT($I8844,"0"),$I8844))</f>
        <v/>
      </c>
    </row>
    <row r="8845">
      <c r="B8845" s="25" t="n"/>
      <c r="I8845" s="25" t="n"/>
      <c r="U8845" s="19">
        <f>IF(AND($V8845='設定'!$C$4,COUNTIF('商品マスタ'!$B$6:$B$1005,$W8845)=0),N(U8844)+1,N(U8844))</f>
        <v/>
      </c>
      <c r="V8845" s="19">
        <f>IF($B8845="","",TEXT($B8845,"0000"))</f>
        <v/>
      </c>
      <c r="W8845" s="19">
        <f>IF($I8845="","",IF(ISNUMBER($I8845),TEXT($I8845,"0"),$I8845))</f>
        <v/>
      </c>
    </row>
    <row r="8846">
      <c r="B8846" s="25" t="n"/>
      <c r="I8846" s="25" t="n"/>
      <c r="U8846" s="19">
        <f>IF(AND($V8846='設定'!$C$4,COUNTIF('商品マスタ'!$B$6:$B$1005,$W8846)=0),N(U8845)+1,N(U8845))</f>
        <v/>
      </c>
      <c r="V8846" s="19">
        <f>IF($B8846="","",TEXT($B8846,"0000"))</f>
        <v/>
      </c>
      <c r="W8846" s="19">
        <f>IF($I8846="","",IF(ISNUMBER($I8846),TEXT($I8846,"0"),$I8846))</f>
        <v/>
      </c>
    </row>
    <row r="8847">
      <c r="B8847" s="25" t="n"/>
      <c r="I8847" s="25" t="n"/>
      <c r="U8847" s="19">
        <f>IF(AND($V8847='設定'!$C$4,COUNTIF('商品マスタ'!$B$6:$B$1005,$W8847)=0),N(U8846)+1,N(U8846))</f>
        <v/>
      </c>
      <c r="V8847" s="19">
        <f>IF($B8847="","",TEXT($B8847,"0000"))</f>
        <v/>
      </c>
      <c r="W8847" s="19">
        <f>IF($I8847="","",IF(ISNUMBER($I8847),TEXT($I8847,"0"),$I8847))</f>
        <v/>
      </c>
    </row>
    <row r="8848">
      <c r="B8848" s="25" t="n"/>
      <c r="I8848" s="25" t="n"/>
      <c r="U8848" s="19">
        <f>IF(AND($V8848='設定'!$C$4,COUNTIF('商品マスタ'!$B$6:$B$1005,$W8848)=0),N(U8847)+1,N(U8847))</f>
        <v/>
      </c>
      <c r="V8848" s="19">
        <f>IF($B8848="","",TEXT($B8848,"0000"))</f>
        <v/>
      </c>
      <c r="W8848" s="19">
        <f>IF($I8848="","",IF(ISNUMBER($I8848),TEXT($I8848,"0"),$I8848))</f>
        <v/>
      </c>
    </row>
    <row r="8849">
      <c r="B8849" s="25" t="n"/>
      <c r="I8849" s="25" t="n"/>
      <c r="U8849" s="19">
        <f>IF(AND($V8849='設定'!$C$4,COUNTIF('商品マスタ'!$B$6:$B$1005,$W8849)=0),N(U8848)+1,N(U8848))</f>
        <v/>
      </c>
      <c r="V8849" s="19">
        <f>IF($B8849="","",TEXT($B8849,"0000"))</f>
        <v/>
      </c>
      <c r="W8849" s="19">
        <f>IF($I8849="","",IF(ISNUMBER($I8849),TEXT($I8849,"0"),$I8849))</f>
        <v/>
      </c>
    </row>
    <row r="8850">
      <c r="B8850" s="25" t="n"/>
      <c r="I8850" s="25" t="n"/>
      <c r="U8850" s="19">
        <f>IF(AND($V8850='設定'!$C$4,COUNTIF('商品マスタ'!$B$6:$B$1005,$W8850)=0),N(U8849)+1,N(U8849))</f>
        <v/>
      </c>
      <c r="V8850" s="19">
        <f>IF($B8850="","",TEXT($B8850,"0000"))</f>
        <v/>
      </c>
      <c r="W8850" s="19">
        <f>IF($I8850="","",IF(ISNUMBER($I8850),TEXT($I8850,"0"),$I8850))</f>
        <v/>
      </c>
    </row>
    <row r="8851">
      <c r="B8851" s="25" t="n"/>
      <c r="I8851" s="25" t="n"/>
      <c r="U8851" s="19">
        <f>IF(AND($V8851='設定'!$C$4,COUNTIF('商品マスタ'!$B$6:$B$1005,$W8851)=0),N(U8850)+1,N(U8850))</f>
        <v/>
      </c>
      <c r="V8851" s="19">
        <f>IF($B8851="","",TEXT($B8851,"0000"))</f>
        <v/>
      </c>
      <c r="W8851" s="19">
        <f>IF($I8851="","",IF(ISNUMBER($I8851),TEXT($I8851,"0"),$I8851))</f>
        <v/>
      </c>
    </row>
    <row r="8852">
      <c r="B8852" s="25" t="n"/>
      <c r="I8852" s="25" t="n"/>
      <c r="U8852" s="19">
        <f>IF(AND($V8852='設定'!$C$4,COUNTIF('商品マスタ'!$B$6:$B$1005,$W8852)=0),N(U8851)+1,N(U8851))</f>
        <v/>
      </c>
      <c r="V8852" s="19">
        <f>IF($B8852="","",TEXT($B8852,"0000"))</f>
        <v/>
      </c>
      <c r="W8852" s="19">
        <f>IF($I8852="","",IF(ISNUMBER($I8852),TEXT($I8852,"0"),$I8852))</f>
        <v/>
      </c>
    </row>
    <row r="8853">
      <c r="B8853" s="25" t="n"/>
      <c r="I8853" s="25" t="n"/>
      <c r="U8853" s="19">
        <f>IF(AND($V8853='設定'!$C$4,COUNTIF('商品マスタ'!$B$6:$B$1005,$W8853)=0),N(U8852)+1,N(U8852))</f>
        <v/>
      </c>
      <c r="V8853" s="19">
        <f>IF($B8853="","",TEXT($B8853,"0000"))</f>
        <v/>
      </c>
      <c r="W8853" s="19">
        <f>IF($I8853="","",IF(ISNUMBER($I8853),TEXT($I8853,"0"),$I8853))</f>
        <v/>
      </c>
    </row>
    <row r="8854">
      <c r="B8854" s="25" t="n"/>
      <c r="I8854" s="25" t="n"/>
      <c r="U8854" s="19">
        <f>IF(AND($V8854='設定'!$C$4,COUNTIF('商品マスタ'!$B$6:$B$1005,$W8854)=0),N(U8853)+1,N(U8853))</f>
        <v/>
      </c>
      <c r="V8854" s="19">
        <f>IF($B8854="","",TEXT($B8854,"0000"))</f>
        <v/>
      </c>
      <c r="W8854" s="19">
        <f>IF($I8854="","",IF(ISNUMBER($I8854),TEXT($I8854,"0"),$I8854))</f>
        <v/>
      </c>
    </row>
    <row r="8855">
      <c r="B8855" s="25" t="n"/>
      <c r="I8855" s="25" t="n"/>
      <c r="U8855" s="19">
        <f>IF(AND($V8855='設定'!$C$4,COUNTIF('商品マスタ'!$B$6:$B$1005,$W8855)=0),N(U8854)+1,N(U8854))</f>
        <v/>
      </c>
      <c r="V8855" s="19">
        <f>IF($B8855="","",TEXT($B8855,"0000"))</f>
        <v/>
      </c>
      <c r="W8855" s="19">
        <f>IF($I8855="","",IF(ISNUMBER($I8855),TEXT($I8855,"0"),$I8855))</f>
        <v/>
      </c>
    </row>
    <row r="8856">
      <c r="B8856" s="25" t="n"/>
      <c r="I8856" s="25" t="n"/>
      <c r="U8856" s="19">
        <f>IF(AND($V8856='設定'!$C$4,COUNTIF('商品マスタ'!$B$6:$B$1005,$W8856)=0),N(U8855)+1,N(U8855))</f>
        <v/>
      </c>
      <c r="V8856" s="19">
        <f>IF($B8856="","",TEXT($B8856,"0000"))</f>
        <v/>
      </c>
      <c r="W8856" s="19">
        <f>IF($I8856="","",IF(ISNUMBER($I8856),TEXT($I8856,"0"),$I8856))</f>
        <v/>
      </c>
    </row>
    <row r="8857">
      <c r="B8857" s="25" t="n"/>
      <c r="I8857" s="25" t="n"/>
      <c r="U8857" s="19">
        <f>IF(AND($V8857='設定'!$C$4,COUNTIF('商品マスタ'!$B$6:$B$1005,$W8857)=0),N(U8856)+1,N(U8856))</f>
        <v/>
      </c>
      <c r="V8857" s="19">
        <f>IF($B8857="","",TEXT($B8857,"0000"))</f>
        <v/>
      </c>
      <c r="W8857" s="19">
        <f>IF($I8857="","",IF(ISNUMBER($I8857),TEXT($I8857,"0"),$I8857))</f>
        <v/>
      </c>
    </row>
    <row r="8858">
      <c r="B8858" s="25" t="n"/>
      <c r="I8858" s="25" t="n"/>
      <c r="U8858" s="19">
        <f>IF(AND($V8858='設定'!$C$4,COUNTIF('商品マスタ'!$B$6:$B$1005,$W8858)=0),N(U8857)+1,N(U8857))</f>
        <v/>
      </c>
      <c r="V8858" s="19">
        <f>IF($B8858="","",TEXT($B8858,"0000"))</f>
        <v/>
      </c>
      <c r="W8858" s="19">
        <f>IF($I8858="","",IF(ISNUMBER($I8858),TEXT($I8858,"0"),$I8858))</f>
        <v/>
      </c>
    </row>
    <row r="8859">
      <c r="B8859" s="25" t="n"/>
      <c r="I8859" s="25" t="n"/>
      <c r="U8859" s="19">
        <f>IF(AND($V8859='設定'!$C$4,COUNTIF('商品マスタ'!$B$6:$B$1005,$W8859)=0),N(U8858)+1,N(U8858))</f>
        <v/>
      </c>
      <c r="V8859" s="19">
        <f>IF($B8859="","",TEXT($B8859,"0000"))</f>
        <v/>
      </c>
      <c r="W8859" s="19">
        <f>IF($I8859="","",IF(ISNUMBER($I8859),TEXT($I8859,"0"),$I8859))</f>
        <v/>
      </c>
    </row>
    <row r="8860">
      <c r="B8860" s="25" t="n"/>
      <c r="I8860" s="25" t="n"/>
      <c r="U8860" s="19">
        <f>IF(AND($V8860='設定'!$C$4,COUNTIF('商品マスタ'!$B$6:$B$1005,$W8860)=0),N(U8859)+1,N(U8859))</f>
        <v/>
      </c>
      <c r="V8860" s="19">
        <f>IF($B8860="","",TEXT($B8860,"0000"))</f>
        <v/>
      </c>
      <c r="W8860" s="19">
        <f>IF($I8860="","",IF(ISNUMBER($I8860),TEXT($I8860,"0"),$I8860))</f>
        <v/>
      </c>
    </row>
    <row r="8861">
      <c r="B8861" s="25" t="n"/>
      <c r="I8861" s="25" t="n"/>
      <c r="U8861" s="19">
        <f>IF(AND($V8861='設定'!$C$4,COUNTIF('商品マスタ'!$B$6:$B$1005,$W8861)=0),N(U8860)+1,N(U8860))</f>
        <v/>
      </c>
      <c r="V8861" s="19">
        <f>IF($B8861="","",TEXT($B8861,"0000"))</f>
        <v/>
      </c>
      <c r="W8861" s="19">
        <f>IF($I8861="","",IF(ISNUMBER($I8861),TEXT($I8861,"0"),$I8861))</f>
        <v/>
      </c>
    </row>
    <row r="8862">
      <c r="B8862" s="25" t="n"/>
      <c r="I8862" s="25" t="n"/>
      <c r="U8862" s="19">
        <f>IF(AND($V8862='設定'!$C$4,COUNTIF('商品マスタ'!$B$6:$B$1005,$W8862)=0),N(U8861)+1,N(U8861))</f>
        <v/>
      </c>
      <c r="V8862" s="19">
        <f>IF($B8862="","",TEXT($B8862,"0000"))</f>
        <v/>
      </c>
      <c r="W8862" s="19">
        <f>IF($I8862="","",IF(ISNUMBER($I8862),TEXT($I8862,"0"),$I8862))</f>
        <v/>
      </c>
    </row>
    <row r="8863">
      <c r="B8863" s="25" t="n"/>
      <c r="I8863" s="25" t="n"/>
      <c r="U8863" s="19">
        <f>IF(AND($V8863='設定'!$C$4,COUNTIF('商品マスタ'!$B$6:$B$1005,$W8863)=0),N(U8862)+1,N(U8862))</f>
        <v/>
      </c>
      <c r="V8863" s="19">
        <f>IF($B8863="","",TEXT($B8863,"0000"))</f>
        <v/>
      </c>
      <c r="W8863" s="19">
        <f>IF($I8863="","",IF(ISNUMBER($I8863),TEXT($I8863,"0"),$I8863))</f>
        <v/>
      </c>
    </row>
    <row r="8864">
      <c r="B8864" s="25" t="n"/>
      <c r="I8864" s="25" t="n"/>
      <c r="U8864" s="19">
        <f>IF(AND($V8864='設定'!$C$4,COUNTIF('商品マスタ'!$B$6:$B$1005,$W8864)=0),N(U8863)+1,N(U8863))</f>
        <v/>
      </c>
      <c r="V8864" s="19">
        <f>IF($B8864="","",TEXT($B8864,"0000"))</f>
        <v/>
      </c>
      <c r="W8864" s="19">
        <f>IF($I8864="","",IF(ISNUMBER($I8864),TEXT($I8864,"0"),$I8864))</f>
        <v/>
      </c>
    </row>
    <row r="8865">
      <c r="B8865" s="25" t="n"/>
      <c r="I8865" s="25" t="n"/>
      <c r="U8865" s="19">
        <f>IF(AND($V8865='設定'!$C$4,COUNTIF('商品マスタ'!$B$6:$B$1005,$W8865)=0),N(U8864)+1,N(U8864))</f>
        <v/>
      </c>
      <c r="V8865" s="19">
        <f>IF($B8865="","",TEXT($B8865,"0000"))</f>
        <v/>
      </c>
      <c r="W8865" s="19">
        <f>IF($I8865="","",IF(ISNUMBER($I8865),TEXT($I8865,"0"),$I8865))</f>
        <v/>
      </c>
    </row>
    <row r="8866">
      <c r="B8866" s="25" t="n"/>
      <c r="I8866" s="25" t="n"/>
      <c r="U8866" s="19">
        <f>IF(AND($V8866='設定'!$C$4,COUNTIF('商品マスタ'!$B$6:$B$1005,$W8866)=0),N(U8865)+1,N(U8865))</f>
        <v/>
      </c>
      <c r="V8866" s="19">
        <f>IF($B8866="","",TEXT($B8866,"0000"))</f>
        <v/>
      </c>
      <c r="W8866" s="19">
        <f>IF($I8866="","",IF(ISNUMBER($I8866),TEXT($I8866,"0"),$I8866))</f>
        <v/>
      </c>
    </row>
    <row r="8867">
      <c r="B8867" s="25" t="n"/>
      <c r="I8867" s="25" t="n"/>
      <c r="U8867" s="19">
        <f>IF(AND($V8867='設定'!$C$4,COUNTIF('商品マスタ'!$B$6:$B$1005,$W8867)=0),N(U8866)+1,N(U8866))</f>
        <v/>
      </c>
      <c r="V8867" s="19">
        <f>IF($B8867="","",TEXT($B8867,"0000"))</f>
        <v/>
      </c>
      <c r="W8867" s="19">
        <f>IF($I8867="","",IF(ISNUMBER($I8867),TEXT($I8867,"0"),$I8867))</f>
        <v/>
      </c>
    </row>
    <row r="8868">
      <c r="B8868" s="25" t="n"/>
      <c r="I8868" s="25" t="n"/>
      <c r="U8868" s="19">
        <f>IF(AND($V8868='設定'!$C$4,COUNTIF('商品マスタ'!$B$6:$B$1005,$W8868)=0),N(U8867)+1,N(U8867))</f>
        <v/>
      </c>
      <c r="V8868" s="19">
        <f>IF($B8868="","",TEXT($B8868,"0000"))</f>
        <v/>
      </c>
      <c r="W8868" s="19">
        <f>IF($I8868="","",IF(ISNUMBER($I8868),TEXT($I8868,"0"),$I8868))</f>
        <v/>
      </c>
    </row>
    <row r="8869">
      <c r="B8869" s="25" t="n"/>
      <c r="I8869" s="25" t="n"/>
      <c r="U8869" s="19">
        <f>IF(AND($V8869='設定'!$C$4,COUNTIF('商品マスタ'!$B$6:$B$1005,$W8869)=0),N(U8868)+1,N(U8868))</f>
        <v/>
      </c>
      <c r="V8869" s="19">
        <f>IF($B8869="","",TEXT($B8869,"0000"))</f>
        <v/>
      </c>
      <c r="W8869" s="19">
        <f>IF($I8869="","",IF(ISNUMBER($I8869),TEXT($I8869,"0"),$I8869))</f>
        <v/>
      </c>
    </row>
    <row r="8870">
      <c r="B8870" s="25" t="n"/>
      <c r="I8870" s="25" t="n"/>
      <c r="U8870" s="19">
        <f>IF(AND($V8870='設定'!$C$4,COUNTIF('商品マスタ'!$B$6:$B$1005,$W8870)=0),N(U8869)+1,N(U8869))</f>
        <v/>
      </c>
      <c r="V8870" s="19">
        <f>IF($B8870="","",TEXT($B8870,"0000"))</f>
        <v/>
      </c>
      <c r="W8870" s="19">
        <f>IF($I8870="","",IF(ISNUMBER($I8870),TEXT($I8870,"0"),$I8870))</f>
        <v/>
      </c>
    </row>
    <row r="8871">
      <c r="B8871" s="25" t="n"/>
      <c r="I8871" s="25" t="n"/>
      <c r="U8871" s="19">
        <f>IF(AND($V8871='設定'!$C$4,COUNTIF('商品マスタ'!$B$6:$B$1005,$W8871)=0),N(U8870)+1,N(U8870))</f>
        <v/>
      </c>
      <c r="V8871" s="19">
        <f>IF($B8871="","",TEXT($B8871,"0000"))</f>
        <v/>
      </c>
      <c r="W8871" s="19">
        <f>IF($I8871="","",IF(ISNUMBER($I8871),TEXT($I8871,"0"),$I8871))</f>
        <v/>
      </c>
    </row>
    <row r="8872">
      <c r="B8872" s="25" t="n"/>
      <c r="I8872" s="25" t="n"/>
      <c r="U8872" s="19">
        <f>IF(AND($V8872='設定'!$C$4,COUNTIF('商品マスタ'!$B$6:$B$1005,$W8872)=0),N(U8871)+1,N(U8871))</f>
        <v/>
      </c>
      <c r="V8872" s="19">
        <f>IF($B8872="","",TEXT($B8872,"0000"))</f>
        <v/>
      </c>
      <c r="W8872" s="19">
        <f>IF($I8872="","",IF(ISNUMBER($I8872),TEXT($I8872,"0"),$I8872))</f>
        <v/>
      </c>
    </row>
    <row r="8873">
      <c r="B8873" s="25" t="n"/>
      <c r="I8873" s="25" t="n"/>
      <c r="U8873" s="19">
        <f>IF(AND($V8873='設定'!$C$4,COUNTIF('商品マスタ'!$B$6:$B$1005,$W8873)=0),N(U8872)+1,N(U8872))</f>
        <v/>
      </c>
      <c r="V8873" s="19">
        <f>IF($B8873="","",TEXT($B8873,"0000"))</f>
        <v/>
      </c>
      <c r="W8873" s="19">
        <f>IF($I8873="","",IF(ISNUMBER($I8873),TEXT($I8873,"0"),$I8873))</f>
        <v/>
      </c>
    </row>
    <row r="8874">
      <c r="B8874" s="25" t="n"/>
      <c r="I8874" s="25" t="n"/>
      <c r="U8874" s="19">
        <f>IF(AND($V8874='設定'!$C$4,COUNTIF('商品マスタ'!$B$6:$B$1005,$W8874)=0),N(U8873)+1,N(U8873))</f>
        <v/>
      </c>
      <c r="V8874" s="19">
        <f>IF($B8874="","",TEXT($B8874,"0000"))</f>
        <v/>
      </c>
      <c r="W8874" s="19">
        <f>IF($I8874="","",IF(ISNUMBER($I8874),TEXT($I8874,"0"),$I8874))</f>
        <v/>
      </c>
    </row>
    <row r="8875">
      <c r="B8875" s="25" t="n"/>
      <c r="I8875" s="25" t="n"/>
      <c r="U8875" s="19">
        <f>IF(AND($V8875='設定'!$C$4,COUNTIF('商品マスタ'!$B$6:$B$1005,$W8875)=0),N(U8874)+1,N(U8874))</f>
        <v/>
      </c>
      <c r="V8875" s="19">
        <f>IF($B8875="","",TEXT($B8875,"0000"))</f>
        <v/>
      </c>
      <c r="W8875" s="19">
        <f>IF($I8875="","",IF(ISNUMBER($I8875),TEXT($I8875,"0"),$I8875))</f>
        <v/>
      </c>
    </row>
    <row r="8876">
      <c r="B8876" s="25" t="n"/>
      <c r="I8876" s="25" t="n"/>
      <c r="U8876" s="19">
        <f>IF(AND($V8876='設定'!$C$4,COUNTIF('商品マスタ'!$B$6:$B$1005,$W8876)=0),N(U8875)+1,N(U8875))</f>
        <v/>
      </c>
      <c r="V8876" s="19">
        <f>IF($B8876="","",TEXT($B8876,"0000"))</f>
        <v/>
      </c>
      <c r="W8876" s="19">
        <f>IF($I8876="","",IF(ISNUMBER($I8876),TEXT($I8876,"0"),$I8876))</f>
        <v/>
      </c>
    </row>
    <row r="8877">
      <c r="B8877" s="25" t="n"/>
      <c r="I8877" s="25" t="n"/>
      <c r="U8877" s="19">
        <f>IF(AND($V8877='設定'!$C$4,COUNTIF('商品マスタ'!$B$6:$B$1005,$W8877)=0),N(U8876)+1,N(U8876))</f>
        <v/>
      </c>
      <c r="V8877" s="19">
        <f>IF($B8877="","",TEXT($B8877,"0000"))</f>
        <v/>
      </c>
      <c r="W8877" s="19">
        <f>IF($I8877="","",IF(ISNUMBER($I8877),TEXT($I8877,"0"),$I8877))</f>
        <v/>
      </c>
    </row>
    <row r="8878">
      <c r="B8878" s="25" t="n"/>
      <c r="I8878" s="25" t="n"/>
      <c r="U8878" s="19">
        <f>IF(AND($V8878='設定'!$C$4,COUNTIF('商品マスタ'!$B$6:$B$1005,$W8878)=0),N(U8877)+1,N(U8877))</f>
        <v/>
      </c>
      <c r="V8878" s="19">
        <f>IF($B8878="","",TEXT($B8878,"0000"))</f>
        <v/>
      </c>
      <c r="W8878" s="19">
        <f>IF($I8878="","",IF(ISNUMBER($I8878),TEXT($I8878,"0"),$I8878))</f>
        <v/>
      </c>
    </row>
    <row r="8879">
      <c r="B8879" s="25" t="n"/>
      <c r="I8879" s="25" t="n"/>
      <c r="U8879" s="19">
        <f>IF(AND($V8879='設定'!$C$4,COUNTIF('商品マスタ'!$B$6:$B$1005,$W8879)=0),N(U8878)+1,N(U8878))</f>
        <v/>
      </c>
      <c r="V8879" s="19">
        <f>IF($B8879="","",TEXT($B8879,"0000"))</f>
        <v/>
      </c>
      <c r="W8879" s="19">
        <f>IF($I8879="","",IF(ISNUMBER($I8879),TEXT($I8879,"0"),$I8879))</f>
        <v/>
      </c>
    </row>
    <row r="8880">
      <c r="B8880" s="25" t="n"/>
      <c r="I8880" s="25" t="n"/>
      <c r="U8880" s="19">
        <f>IF(AND($V8880='設定'!$C$4,COUNTIF('商品マスタ'!$B$6:$B$1005,$W8880)=0),N(U8879)+1,N(U8879))</f>
        <v/>
      </c>
      <c r="V8880" s="19">
        <f>IF($B8880="","",TEXT($B8880,"0000"))</f>
        <v/>
      </c>
      <c r="W8880" s="19">
        <f>IF($I8880="","",IF(ISNUMBER($I8880),TEXT($I8880,"0"),$I8880))</f>
        <v/>
      </c>
    </row>
    <row r="8881">
      <c r="B8881" s="25" t="n"/>
      <c r="I8881" s="25" t="n"/>
      <c r="U8881" s="19">
        <f>IF(AND($V8881='設定'!$C$4,COUNTIF('商品マスタ'!$B$6:$B$1005,$W8881)=0),N(U8880)+1,N(U8880))</f>
        <v/>
      </c>
      <c r="V8881" s="19">
        <f>IF($B8881="","",TEXT($B8881,"0000"))</f>
        <v/>
      </c>
      <c r="W8881" s="19">
        <f>IF($I8881="","",IF(ISNUMBER($I8881),TEXT($I8881,"0"),$I8881))</f>
        <v/>
      </c>
    </row>
    <row r="8882">
      <c r="B8882" s="25" t="n"/>
      <c r="I8882" s="25" t="n"/>
      <c r="U8882" s="19">
        <f>IF(AND($V8882='設定'!$C$4,COUNTIF('商品マスタ'!$B$6:$B$1005,$W8882)=0),N(U8881)+1,N(U8881))</f>
        <v/>
      </c>
      <c r="V8882" s="19">
        <f>IF($B8882="","",TEXT($B8882,"0000"))</f>
        <v/>
      </c>
      <c r="W8882" s="19">
        <f>IF($I8882="","",IF(ISNUMBER($I8882),TEXT($I8882,"0"),$I8882))</f>
        <v/>
      </c>
    </row>
    <row r="8883">
      <c r="B8883" s="25" t="n"/>
      <c r="I8883" s="25" t="n"/>
      <c r="U8883" s="19">
        <f>IF(AND($V8883='設定'!$C$4,COUNTIF('商品マスタ'!$B$6:$B$1005,$W8883)=0),N(U8882)+1,N(U8882))</f>
        <v/>
      </c>
      <c r="V8883" s="19">
        <f>IF($B8883="","",TEXT($B8883,"0000"))</f>
        <v/>
      </c>
      <c r="W8883" s="19">
        <f>IF($I8883="","",IF(ISNUMBER($I8883),TEXT($I8883,"0"),$I8883))</f>
        <v/>
      </c>
    </row>
    <row r="8884">
      <c r="B8884" s="25" t="n"/>
      <c r="I8884" s="25" t="n"/>
      <c r="U8884" s="19">
        <f>IF(AND($V8884='設定'!$C$4,COUNTIF('商品マスタ'!$B$6:$B$1005,$W8884)=0),N(U8883)+1,N(U8883))</f>
        <v/>
      </c>
      <c r="V8884" s="19">
        <f>IF($B8884="","",TEXT($B8884,"0000"))</f>
        <v/>
      </c>
      <c r="W8884" s="19">
        <f>IF($I8884="","",IF(ISNUMBER($I8884),TEXT($I8884,"0"),$I8884))</f>
        <v/>
      </c>
    </row>
    <row r="8885">
      <c r="B8885" s="25" t="n"/>
      <c r="I8885" s="25" t="n"/>
      <c r="U8885" s="19">
        <f>IF(AND($V8885='設定'!$C$4,COUNTIF('商品マスタ'!$B$6:$B$1005,$W8885)=0),N(U8884)+1,N(U8884))</f>
        <v/>
      </c>
      <c r="V8885" s="19">
        <f>IF($B8885="","",TEXT($B8885,"0000"))</f>
        <v/>
      </c>
      <c r="W8885" s="19">
        <f>IF($I8885="","",IF(ISNUMBER($I8885),TEXT($I8885,"0"),$I8885))</f>
        <v/>
      </c>
    </row>
    <row r="8886">
      <c r="B8886" s="25" t="n"/>
      <c r="I8886" s="25" t="n"/>
      <c r="U8886" s="19">
        <f>IF(AND($V8886='設定'!$C$4,COUNTIF('商品マスタ'!$B$6:$B$1005,$W8886)=0),N(U8885)+1,N(U8885))</f>
        <v/>
      </c>
      <c r="V8886" s="19">
        <f>IF($B8886="","",TEXT($B8886,"0000"))</f>
        <v/>
      </c>
      <c r="W8886" s="19">
        <f>IF($I8886="","",IF(ISNUMBER($I8886),TEXT($I8886,"0"),$I8886))</f>
        <v/>
      </c>
    </row>
    <row r="8887">
      <c r="B8887" s="25" t="n"/>
      <c r="I8887" s="25" t="n"/>
      <c r="U8887" s="19">
        <f>IF(AND($V8887='設定'!$C$4,COUNTIF('商品マスタ'!$B$6:$B$1005,$W8887)=0),N(U8886)+1,N(U8886))</f>
        <v/>
      </c>
      <c r="V8887" s="19">
        <f>IF($B8887="","",TEXT($B8887,"0000"))</f>
        <v/>
      </c>
      <c r="W8887" s="19">
        <f>IF($I8887="","",IF(ISNUMBER($I8887),TEXT($I8887,"0"),$I8887))</f>
        <v/>
      </c>
    </row>
    <row r="8888">
      <c r="B8888" s="25" t="n"/>
      <c r="I8888" s="25" t="n"/>
      <c r="U8888" s="19">
        <f>IF(AND($V8888='設定'!$C$4,COUNTIF('商品マスタ'!$B$6:$B$1005,$W8888)=0),N(U8887)+1,N(U8887))</f>
        <v/>
      </c>
      <c r="V8888" s="19">
        <f>IF($B8888="","",TEXT($B8888,"0000"))</f>
        <v/>
      </c>
      <c r="W8888" s="19">
        <f>IF($I8888="","",IF(ISNUMBER($I8888),TEXT($I8888,"0"),$I8888))</f>
        <v/>
      </c>
    </row>
    <row r="8889">
      <c r="B8889" s="25" t="n"/>
      <c r="I8889" s="25" t="n"/>
      <c r="U8889" s="19">
        <f>IF(AND($V8889='設定'!$C$4,COUNTIF('商品マスタ'!$B$6:$B$1005,$W8889)=0),N(U8888)+1,N(U8888))</f>
        <v/>
      </c>
      <c r="V8889" s="19">
        <f>IF($B8889="","",TEXT($B8889,"0000"))</f>
        <v/>
      </c>
      <c r="W8889" s="19">
        <f>IF($I8889="","",IF(ISNUMBER($I8889),TEXT($I8889,"0"),$I8889))</f>
        <v/>
      </c>
    </row>
    <row r="8890">
      <c r="B8890" s="25" t="n"/>
      <c r="I8890" s="25" t="n"/>
      <c r="U8890" s="19">
        <f>IF(AND($V8890='設定'!$C$4,COUNTIF('商品マスタ'!$B$6:$B$1005,$W8890)=0),N(U8889)+1,N(U8889))</f>
        <v/>
      </c>
      <c r="V8890" s="19">
        <f>IF($B8890="","",TEXT($B8890,"0000"))</f>
        <v/>
      </c>
      <c r="W8890" s="19">
        <f>IF($I8890="","",IF(ISNUMBER($I8890),TEXT($I8890,"0"),$I8890))</f>
        <v/>
      </c>
    </row>
    <row r="8891">
      <c r="B8891" s="25" t="n"/>
      <c r="I8891" s="25" t="n"/>
      <c r="U8891" s="19">
        <f>IF(AND($V8891='設定'!$C$4,COUNTIF('商品マスタ'!$B$6:$B$1005,$W8891)=0),N(U8890)+1,N(U8890))</f>
        <v/>
      </c>
      <c r="V8891" s="19">
        <f>IF($B8891="","",TEXT($B8891,"0000"))</f>
        <v/>
      </c>
      <c r="W8891" s="19">
        <f>IF($I8891="","",IF(ISNUMBER($I8891),TEXT($I8891,"0"),$I8891))</f>
        <v/>
      </c>
    </row>
    <row r="8892">
      <c r="B8892" s="25" t="n"/>
      <c r="I8892" s="25" t="n"/>
      <c r="U8892" s="19">
        <f>IF(AND($V8892='設定'!$C$4,COUNTIF('商品マスタ'!$B$6:$B$1005,$W8892)=0),N(U8891)+1,N(U8891))</f>
        <v/>
      </c>
      <c r="V8892" s="19">
        <f>IF($B8892="","",TEXT($B8892,"0000"))</f>
        <v/>
      </c>
      <c r="W8892" s="19">
        <f>IF($I8892="","",IF(ISNUMBER($I8892),TEXT($I8892,"0"),$I8892))</f>
        <v/>
      </c>
    </row>
    <row r="8893">
      <c r="B8893" s="25" t="n"/>
      <c r="I8893" s="25" t="n"/>
      <c r="U8893" s="19">
        <f>IF(AND($V8893='設定'!$C$4,COUNTIF('商品マスタ'!$B$6:$B$1005,$W8893)=0),N(U8892)+1,N(U8892))</f>
        <v/>
      </c>
      <c r="V8893" s="19">
        <f>IF($B8893="","",TEXT($B8893,"0000"))</f>
        <v/>
      </c>
      <c r="W8893" s="19">
        <f>IF($I8893="","",IF(ISNUMBER($I8893),TEXT($I8893,"0"),$I8893))</f>
        <v/>
      </c>
    </row>
    <row r="8894">
      <c r="B8894" s="25" t="n"/>
      <c r="I8894" s="25" t="n"/>
      <c r="U8894" s="19">
        <f>IF(AND($V8894='設定'!$C$4,COUNTIF('商品マスタ'!$B$6:$B$1005,$W8894)=0),N(U8893)+1,N(U8893))</f>
        <v/>
      </c>
      <c r="V8894" s="19">
        <f>IF($B8894="","",TEXT($B8894,"0000"))</f>
        <v/>
      </c>
      <c r="W8894" s="19">
        <f>IF($I8894="","",IF(ISNUMBER($I8894),TEXT($I8894,"0"),$I8894))</f>
        <v/>
      </c>
    </row>
    <row r="8895">
      <c r="B8895" s="25" t="n"/>
      <c r="I8895" s="25" t="n"/>
      <c r="U8895" s="19">
        <f>IF(AND($V8895='設定'!$C$4,COUNTIF('商品マスタ'!$B$6:$B$1005,$W8895)=0),N(U8894)+1,N(U8894))</f>
        <v/>
      </c>
      <c r="V8895" s="19">
        <f>IF($B8895="","",TEXT($B8895,"0000"))</f>
        <v/>
      </c>
      <c r="W8895" s="19">
        <f>IF($I8895="","",IF(ISNUMBER($I8895),TEXT($I8895,"0"),$I8895))</f>
        <v/>
      </c>
    </row>
    <row r="8896">
      <c r="B8896" s="25" t="n"/>
      <c r="I8896" s="25" t="n"/>
      <c r="U8896" s="19">
        <f>IF(AND($V8896='設定'!$C$4,COUNTIF('商品マスタ'!$B$6:$B$1005,$W8896)=0),N(U8895)+1,N(U8895))</f>
        <v/>
      </c>
      <c r="V8896" s="19">
        <f>IF($B8896="","",TEXT($B8896,"0000"))</f>
        <v/>
      </c>
      <c r="W8896" s="19">
        <f>IF($I8896="","",IF(ISNUMBER($I8896),TEXT($I8896,"0"),$I8896))</f>
        <v/>
      </c>
    </row>
    <row r="8897">
      <c r="B8897" s="25" t="n"/>
      <c r="I8897" s="25" t="n"/>
      <c r="U8897" s="19">
        <f>IF(AND($V8897='設定'!$C$4,COUNTIF('商品マスタ'!$B$6:$B$1005,$W8897)=0),N(U8896)+1,N(U8896))</f>
        <v/>
      </c>
      <c r="V8897" s="19">
        <f>IF($B8897="","",TEXT($B8897,"0000"))</f>
        <v/>
      </c>
      <c r="W8897" s="19">
        <f>IF($I8897="","",IF(ISNUMBER($I8897),TEXT($I8897,"0"),$I8897))</f>
        <v/>
      </c>
    </row>
    <row r="8898">
      <c r="B8898" s="25" t="n"/>
      <c r="I8898" s="25" t="n"/>
      <c r="U8898" s="19">
        <f>IF(AND($V8898='設定'!$C$4,COUNTIF('商品マスタ'!$B$6:$B$1005,$W8898)=0),N(U8897)+1,N(U8897))</f>
        <v/>
      </c>
      <c r="V8898" s="19">
        <f>IF($B8898="","",TEXT($B8898,"0000"))</f>
        <v/>
      </c>
      <c r="W8898" s="19">
        <f>IF($I8898="","",IF(ISNUMBER($I8898),TEXT($I8898,"0"),$I8898))</f>
        <v/>
      </c>
    </row>
    <row r="8899">
      <c r="B8899" s="25" t="n"/>
      <c r="I8899" s="25" t="n"/>
      <c r="U8899" s="19">
        <f>IF(AND($V8899='設定'!$C$4,COUNTIF('商品マスタ'!$B$6:$B$1005,$W8899)=0),N(U8898)+1,N(U8898))</f>
        <v/>
      </c>
      <c r="V8899" s="19">
        <f>IF($B8899="","",TEXT($B8899,"0000"))</f>
        <v/>
      </c>
      <c r="W8899" s="19">
        <f>IF($I8899="","",IF(ISNUMBER($I8899),TEXT($I8899,"0"),$I8899))</f>
        <v/>
      </c>
    </row>
    <row r="8900">
      <c r="B8900" s="25" t="n"/>
      <c r="I8900" s="25" t="n"/>
      <c r="U8900" s="19">
        <f>IF(AND($V8900='設定'!$C$4,COUNTIF('商品マスタ'!$B$6:$B$1005,$W8900)=0),N(U8899)+1,N(U8899))</f>
        <v/>
      </c>
      <c r="V8900" s="19">
        <f>IF($B8900="","",TEXT($B8900,"0000"))</f>
        <v/>
      </c>
      <c r="W8900" s="19">
        <f>IF($I8900="","",IF(ISNUMBER($I8900),TEXT($I8900,"0"),$I8900))</f>
        <v/>
      </c>
    </row>
    <row r="8901">
      <c r="B8901" s="25" t="n"/>
      <c r="I8901" s="25" t="n"/>
      <c r="U8901" s="19">
        <f>IF(AND($V8901='設定'!$C$4,COUNTIF('商品マスタ'!$B$6:$B$1005,$W8901)=0),N(U8900)+1,N(U8900))</f>
        <v/>
      </c>
      <c r="V8901" s="19">
        <f>IF($B8901="","",TEXT($B8901,"0000"))</f>
        <v/>
      </c>
      <c r="W8901" s="19">
        <f>IF($I8901="","",IF(ISNUMBER($I8901),TEXT($I8901,"0"),$I8901))</f>
        <v/>
      </c>
    </row>
    <row r="8902">
      <c r="B8902" s="25" t="n"/>
      <c r="I8902" s="25" t="n"/>
      <c r="U8902" s="19">
        <f>IF(AND($V8902='設定'!$C$4,COUNTIF('商品マスタ'!$B$6:$B$1005,$W8902)=0),N(U8901)+1,N(U8901))</f>
        <v/>
      </c>
      <c r="V8902" s="19">
        <f>IF($B8902="","",TEXT($B8902,"0000"))</f>
        <v/>
      </c>
      <c r="W8902" s="19">
        <f>IF($I8902="","",IF(ISNUMBER($I8902),TEXT($I8902,"0"),$I8902))</f>
        <v/>
      </c>
    </row>
    <row r="8903">
      <c r="B8903" s="25" t="n"/>
      <c r="I8903" s="25" t="n"/>
      <c r="U8903" s="19">
        <f>IF(AND($V8903='設定'!$C$4,COUNTIF('商品マスタ'!$B$6:$B$1005,$W8903)=0),N(U8902)+1,N(U8902))</f>
        <v/>
      </c>
      <c r="V8903" s="19">
        <f>IF($B8903="","",TEXT($B8903,"0000"))</f>
        <v/>
      </c>
      <c r="W8903" s="19">
        <f>IF($I8903="","",IF(ISNUMBER($I8903),TEXT($I8903,"0"),$I8903))</f>
        <v/>
      </c>
    </row>
    <row r="8904">
      <c r="B8904" s="25" t="n"/>
      <c r="I8904" s="25" t="n"/>
      <c r="U8904" s="19">
        <f>IF(AND($V8904='設定'!$C$4,COUNTIF('商品マスタ'!$B$6:$B$1005,$W8904)=0),N(U8903)+1,N(U8903))</f>
        <v/>
      </c>
      <c r="V8904" s="19">
        <f>IF($B8904="","",TEXT($B8904,"0000"))</f>
        <v/>
      </c>
      <c r="W8904" s="19">
        <f>IF($I8904="","",IF(ISNUMBER($I8904),TEXT($I8904,"0"),$I8904))</f>
        <v/>
      </c>
    </row>
    <row r="8905">
      <c r="B8905" s="25" t="n"/>
      <c r="I8905" s="25" t="n"/>
      <c r="U8905" s="19">
        <f>IF(AND($V8905='設定'!$C$4,COUNTIF('商品マスタ'!$B$6:$B$1005,$W8905)=0),N(U8904)+1,N(U8904))</f>
        <v/>
      </c>
      <c r="V8905" s="19">
        <f>IF($B8905="","",TEXT($B8905,"0000"))</f>
        <v/>
      </c>
      <c r="W8905" s="19">
        <f>IF($I8905="","",IF(ISNUMBER($I8905),TEXT($I8905,"0"),$I8905))</f>
        <v/>
      </c>
    </row>
    <row r="8906">
      <c r="B8906" s="25" t="n"/>
      <c r="I8906" s="25" t="n"/>
      <c r="U8906" s="19">
        <f>IF(AND($V8906='設定'!$C$4,COUNTIF('商品マスタ'!$B$6:$B$1005,$W8906)=0),N(U8905)+1,N(U8905))</f>
        <v/>
      </c>
      <c r="V8906" s="19">
        <f>IF($B8906="","",TEXT($B8906,"0000"))</f>
        <v/>
      </c>
      <c r="W8906" s="19">
        <f>IF($I8906="","",IF(ISNUMBER($I8906),TEXT($I8906,"0"),$I8906))</f>
        <v/>
      </c>
    </row>
    <row r="8907">
      <c r="B8907" s="25" t="n"/>
      <c r="I8907" s="25" t="n"/>
      <c r="U8907" s="19">
        <f>IF(AND($V8907='設定'!$C$4,COUNTIF('商品マスタ'!$B$6:$B$1005,$W8907)=0),N(U8906)+1,N(U8906))</f>
        <v/>
      </c>
      <c r="V8907" s="19">
        <f>IF($B8907="","",TEXT($B8907,"0000"))</f>
        <v/>
      </c>
      <c r="W8907" s="19">
        <f>IF($I8907="","",IF(ISNUMBER($I8907),TEXT($I8907,"0"),$I8907))</f>
        <v/>
      </c>
    </row>
    <row r="8908">
      <c r="B8908" s="25" t="n"/>
      <c r="I8908" s="25" t="n"/>
      <c r="U8908" s="19">
        <f>IF(AND($V8908='設定'!$C$4,COUNTIF('商品マスタ'!$B$6:$B$1005,$W8908)=0),N(U8907)+1,N(U8907))</f>
        <v/>
      </c>
      <c r="V8908" s="19">
        <f>IF($B8908="","",TEXT($B8908,"0000"))</f>
        <v/>
      </c>
      <c r="W8908" s="19">
        <f>IF($I8908="","",IF(ISNUMBER($I8908),TEXT($I8908,"0"),$I8908))</f>
        <v/>
      </c>
    </row>
    <row r="8909">
      <c r="B8909" s="25" t="n"/>
      <c r="I8909" s="25" t="n"/>
      <c r="U8909" s="19">
        <f>IF(AND($V8909='設定'!$C$4,COUNTIF('商品マスタ'!$B$6:$B$1005,$W8909)=0),N(U8908)+1,N(U8908))</f>
        <v/>
      </c>
      <c r="V8909" s="19">
        <f>IF($B8909="","",TEXT($B8909,"0000"))</f>
        <v/>
      </c>
      <c r="W8909" s="19">
        <f>IF($I8909="","",IF(ISNUMBER($I8909),TEXT($I8909,"0"),$I8909))</f>
        <v/>
      </c>
    </row>
    <row r="8910">
      <c r="B8910" s="25" t="n"/>
      <c r="I8910" s="25" t="n"/>
      <c r="U8910" s="19">
        <f>IF(AND($V8910='設定'!$C$4,COUNTIF('商品マスタ'!$B$6:$B$1005,$W8910)=0),N(U8909)+1,N(U8909))</f>
        <v/>
      </c>
      <c r="V8910" s="19">
        <f>IF($B8910="","",TEXT($B8910,"0000"))</f>
        <v/>
      </c>
      <c r="W8910" s="19">
        <f>IF($I8910="","",IF(ISNUMBER($I8910),TEXT($I8910,"0"),$I8910))</f>
        <v/>
      </c>
    </row>
    <row r="8911">
      <c r="B8911" s="25" t="n"/>
      <c r="I8911" s="25" t="n"/>
      <c r="U8911" s="19">
        <f>IF(AND($V8911='設定'!$C$4,COUNTIF('商品マスタ'!$B$6:$B$1005,$W8911)=0),N(U8910)+1,N(U8910))</f>
        <v/>
      </c>
      <c r="V8911" s="19">
        <f>IF($B8911="","",TEXT($B8911,"0000"))</f>
        <v/>
      </c>
      <c r="W8911" s="19">
        <f>IF($I8911="","",IF(ISNUMBER($I8911),TEXT($I8911,"0"),$I8911))</f>
        <v/>
      </c>
    </row>
    <row r="8912">
      <c r="B8912" s="25" t="n"/>
      <c r="I8912" s="25" t="n"/>
      <c r="U8912" s="19">
        <f>IF(AND($V8912='設定'!$C$4,COUNTIF('商品マスタ'!$B$6:$B$1005,$W8912)=0),N(U8911)+1,N(U8911))</f>
        <v/>
      </c>
      <c r="V8912" s="19">
        <f>IF($B8912="","",TEXT($B8912,"0000"))</f>
        <v/>
      </c>
      <c r="W8912" s="19">
        <f>IF($I8912="","",IF(ISNUMBER($I8912),TEXT($I8912,"0"),$I8912))</f>
        <v/>
      </c>
    </row>
    <row r="8913">
      <c r="B8913" s="25" t="n"/>
      <c r="I8913" s="25" t="n"/>
      <c r="U8913" s="19">
        <f>IF(AND($V8913='設定'!$C$4,COUNTIF('商品マスタ'!$B$6:$B$1005,$W8913)=0),N(U8912)+1,N(U8912))</f>
        <v/>
      </c>
      <c r="V8913" s="19">
        <f>IF($B8913="","",TEXT($B8913,"0000"))</f>
        <v/>
      </c>
      <c r="W8913" s="19">
        <f>IF($I8913="","",IF(ISNUMBER($I8913),TEXT($I8913,"0"),$I8913))</f>
        <v/>
      </c>
    </row>
    <row r="8914">
      <c r="B8914" s="25" t="n"/>
      <c r="I8914" s="25" t="n"/>
      <c r="U8914" s="19">
        <f>IF(AND($V8914='設定'!$C$4,COUNTIF('商品マスタ'!$B$6:$B$1005,$W8914)=0),N(U8913)+1,N(U8913))</f>
        <v/>
      </c>
      <c r="V8914" s="19">
        <f>IF($B8914="","",TEXT($B8914,"0000"))</f>
        <v/>
      </c>
      <c r="W8914" s="19">
        <f>IF($I8914="","",IF(ISNUMBER($I8914),TEXT($I8914,"0"),$I8914))</f>
        <v/>
      </c>
    </row>
    <row r="8915">
      <c r="B8915" s="25" t="n"/>
      <c r="I8915" s="25" t="n"/>
      <c r="U8915" s="19">
        <f>IF(AND($V8915='設定'!$C$4,COUNTIF('商品マスタ'!$B$6:$B$1005,$W8915)=0),N(U8914)+1,N(U8914))</f>
        <v/>
      </c>
      <c r="V8915" s="19">
        <f>IF($B8915="","",TEXT($B8915,"0000"))</f>
        <v/>
      </c>
      <c r="W8915" s="19">
        <f>IF($I8915="","",IF(ISNUMBER($I8915),TEXT($I8915,"0"),$I8915))</f>
        <v/>
      </c>
    </row>
    <row r="8916">
      <c r="B8916" s="25" t="n"/>
      <c r="I8916" s="25" t="n"/>
      <c r="U8916" s="19">
        <f>IF(AND($V8916='設定'!$C$4,COUNTIF('商品マスタ'!$B$6:$B$1005,$W8916)=0),N(U8915)+1,N(U8915))</f>
        <v/>
      </c>
      <c r="V8916" s="19">
        <f>IF($B8916="","",TEXT($B8916,"0000"))</f>
        <v/>
      </c>
      <c r="W8916" s="19">
        <f>IF($I8916="","",IF(ISNUMBER($I8916),TEXT($I8916,"0"),$I8916))</f>
        <v/>
      </c>
    </row>
    <row r="8917">
      <c r="B8917" s="25" t="n"/>
      <c r="I8917" s="25" t="n"/>
      <c r="U8917" s="19">
        <f>IF(AND($V8917='設定'!$C$4,COUNTIF('商品マスタ'!$B$6:$B$1005,$W8917)=0),N(U8916)+1,N(U8916))</f>
        <v/>
      </c>
      <c r="V8917" s="19">
        <f>IF($B8917="","",TEXT($B8917,"0000"))</f>
        <v/>
      </c>
      <c r="W8917" s="19">
        <f>IF($I8917="","",IF(ISNUMBER($I8917),TEXT($I8917,"0"),$I8917))</f>
        <v/>
      </c>
    </row>
    <row r="8918">
      <c r="B8918" s="25" t="n"/>
      <c r="I8918" s="25" t="n"/>
      <c r="U8918" s="19">
        <f>IF(AND($V8918='設定'!$C$4,COUNTIF('商品マスタ'!$B$6:$B$1005,$W8918)=0),N(U8917)+1,N(U8917))</f>
        <v/>
      </c>
      <c r="V8918" s="19">
        <f>IF($B8918="","",TEXT($B8918,"0000"))</f>
        <v/>
      </c>
      <c r="W8918" s="19">
        <f>IF($I8918="","",IF(ISNUMBER($I8918),TEXT($I8918,"0"),$I8918))</f>
        <v/>
      </c>
    </row>
    <row r="8919">
      <c r="B8919" s="25" t="n"/>
      <c r="I8919" s="25" t="n"/>
      <c r="U8919" s="19">
        <f>IF(AND($V8919='設定'!$C$4,COUNTIF('商品マスタ'!$B$6:$B$1005,$W8919)=0),N(U8918)+1,N(U8918))</f>
        <v/>
      </c>
      <c r="V8919" s="19">
        <f>IF($B8919="","",TEXT($B8919,"0000"))</f>
        <v/>
      </c>
      <c r="W8919" s="19">
        <f>IF($I8919="","",IF(ISNUMBER($I8919),TEXT($I8919,"0"),$I8919))</f>
        <v/>
      </c>
    </row>
    <row r="8920">
      <c r="B8920" s="25" t="n"/>
      <c r="I8920" s="25" t="n"/>
      <c r="U8920" s="19">
        <f>IF(AND($V8920='設定'!$C$4,COUNTIF('商品マスタ'!$B$6:$B$1005,$W8920)=0),N(U8919)+1,N(U8919))</f>
        <v/>
      </c>
      <c r="V8920" s="19">
        <f>IF($B8920="","",TEXT($B8920,"0000"))</f>
        <v/>
      </c>
      <c r="W8920" s="19">
        <f>IF($I8920="","",IF(ISNUMBER($I8920),TEXT($I8920,"0"),$I8920))</f>
        <v/>
      </c>
    </row>
    <row r="8921">
      <c r="B8921" s="25" t="n"/>
      <c r="I8921" s="25" t="n"/>
      <c r="U8921" s="19">
        <f>IF(AND($V8921='設定'!$C$4,COUNTIF('商品マスタ'!$B$6:$B$1005,$W8921)=0),N(U8920)+1,N(U8920))</f>
        <v/>
      </c>
      <c r="V8921" s="19">
        <f>IF($B8921="","",TEXT($B8921,"0000"))</f>
        <v/>
      </c>
      <c r="W8921" s="19">
        <f>IF($I8921="","",IF(ISNUMBER($I8921),TEXT($I8921,"0"),$I8921))</f>
        <v/>
      </c>
    </row>
    <row r="8922">
      <c r="B8922" s="25" t="n"/>
      <c r="I8922" s="25" t="n"/>
      <c r="U8922" s="19">
        <f>IF(AND($V8922='設定'!$C$4,COUNTIF('商品マスタ'!$B$6:$B$1005,$W8922)=0),N(U8921)+1,N(U8921))</f>
        <v/>
      </c>
      <c r="V8922" s="19">
        <f>IF($B8922="","",TEXT($B8922,"0000"))</f>
        <v/>
      </c>
      <c r="W8922" s="19">
        <f>IF($I8922="","",IF(ISNUMBER($I8922),TEXT($I8922,"0"),$I8922))</f>
        <v/>
      </c>
    </row>
    <row r="8923">
      <c r="B8923" s="25" t="n"/>
      <c r="I8923" s="25" t="n"/>
      <c r="U8923" s="19">
        <f>IF(AND($V8923='設定'!$C$4,COUNTIF('商品マスタ'!$B$6:$B$1005,$W8923)=0),N(U8922)+1,N(U8922))</f>
        <v/>
      </c>
      <c r="V8923" s="19">
        <f>IF($B8923="","",TEXT($B8923,"0000"))</f>
        <v/>
      </c>
      <c r="W8923" s="19">
        <f>IF($I8923="","",IF(ISNUMBER($I8923),TEXT($I8923,"0"),$I8923))</f>
        <v/>
      </c>
    </row>
    <row r="8924">
      <c r="B8924" s="25" t="n"/>
      <c r="I8924" s="25" t="n"/>
      <c r="U8924" s="19">
        <f>IF(AND($V8924='設定'!$C$4,COUNTIF('商品マスタ'!$B$6:$B$1005,$W8924)=0),N(U8923)+1,N(U8923))</f>
        <v/>
      </c>
      <c r="V8924" s="19">
        <f>IF($B8924="","",TEXT($B8924,"0000"))</f>
        <v/>
      </c>
      <c r="W8924" s="19">
        <f>IF($I8924="","",IF(ISNUMBER($I8924),TEXT($I8924,"0"),$I8924))</f>
        <v/>
      </c>
    </row>
    <row r="8925">
      <c r="B8925" s="25" t="n"/>
      <c r="I8925" s="25" t="n"/>
      <c r="U8925" s="19">
        <f>IF(AND($V8925='設定'!$C$4,COUNTIF('商品マスタ'!$B$6:$B$1005,$W8925)=0),N(U8924)+1,N(U8924))</f>
        <v/>
      </c>
      <c r="V8925" s="19">
        <f>IF($B8925="","",TEXT($B8925,"0000"))</f>
        <v/>
      </c>
      <c r="W8925" s="19">
        <f>IF($I8925="","",IF(ISNUMBER($I8925),TEXT($I8925,"0"),$I8925))</f>
        <v/>
      </c>
    </row>
    <row r="8926">
      <c r="B8926" s="25" t="n"/>
      <c r="I8926" s="25" t="n"/>
      <c r="U8926" s="19">
        <f>IF(AND($V8926='設定'!$C$4,COUNTIF('商品マスタ'!$B$6:$B$1005,$W8926)=0),N(U8925)+1,N(U8925))</f>
        <v/>
      </c>
      <c r="V8926" s="19">
        <f>IF($B8926="","",TEXT($B8926,"0000"))</f>
        <v/>
      </c>
      <c r="W8926" s="19">
        <f>IF($I8926="","",IF(ISNUMBER($I8926),TEXT($I8926,"0"),$I8926))</f>
        <v/>
      </c>
    </row>
    <row r="8927">
      <c r="B8927" s="25" t="n"/>
      <c r="I8927" s="25" t="n"/>
      <c r="U8927" s="19">
        <f>IF(AND($V8927='設定'!$C$4,COUNTIF('商品マスタ'!$B$6:$B$1005,$W8927)=0),N(U8926)+1,N(U8926))</f>
        <v/>
      </c>
      <c r="V8927" s="19">
        <f>IF($B8927="","",TEXT($B8927,"0000"))</f>
        <v/>
      </c>
      <c r="W8927" s="19">
        <f>IF($I8927="","",IF(ISNUMBER($I8927),TEXT($I8927,"0"),$I8927))</f>
        <v/>
      </c>
    </row>
    <row r="8928">
      <c r="B8928" s="25" t="n"/>
      <c r="I8928" s="25" t="n"/>
      <c r="U8928" s="19">
        <f>IF(AND($V8928='設定'!$C$4,COUNTIF('商品マスタ'!$B$6:$B$1005,$W8928)=0),N(U8927)+1,N(U8927))</f>
        <v/>
      </c>
      <c r="V8928" s="19">
        <f>IF($B8928="","",TEXT($B8928,"0000"))</f>
        <v/>
      </c>
      <c r="W8928" s="19">
        <f>IF($I8928="","",IF(ISNUMBER($I8928),TEXT($I8928,"0"),$I8928))</f>
        <v/>
      </c>
    </row>
    <row r="8929">
      <c r="B8929" s="25" t="n"/>
      <c r="I8929" s="25" t="n"/>
      <c r="U8929" s="19">
        <f>IF(AND($V8929='設定'!$C$4,COUNTIF('商品マスタ'!$B$6:$B$1005,$W8929)=0),N(U8928)+1,N(U8928))</f>
        <v/>
      </c>
      <c r="V8929" s="19">
        <f>IF($B8929="","",TEXT($B8929,"0000"))</f>
        <v/>
      </c>
      <c r="W8929" s="19">
        <f>IF($I8929="","",IF(ISNUMBER($I8929),TEXT($I8929,"0"),$I8929))</f>
        <v/>
      </c>
    </row>
    <row r="8930">
      <c r="B8930" s="25" t="n"/>
      <c r="I8930" s="25" t="n"/>
      <c r="U8930" s="19">
        <f>IF(AND($V8930='設定'!$C$4,COUNTIF('商品マスタ'!$B$6:$B$1005,$W8930)=0),N(U8929)+1,N(U8929))</f>
        <v/>
      </c>
      <c r="V8930" s="19">
        <f>IF($B8930="","",TEXT($B8930,"0000"))</f>
        <v/>
      </c>
      <c r="W8930" s="19">
        <f>IF($I8930="","",IF(ISNUMBER($I8930),TEXT($I8930,"0"),$I8930))</f>
        <v/>
      </c>
    </row>
    <row r="8931">
      <c r="B8931" s="25" t="n"/>
      <c r="I8931" s="25" t="n"/>
      <c r="U8931" s="19">
        <f>IF(AND($V8931='設定'!$C$4,COUNTIF('商品マスタ'!$B$6:$B$1005,$W8931)=0),N(U8930)+1,N(U8930))</f>
        <v/>
      </c>
      <c r="V8931" s="19">
        <f>IF($B8931="","",TEXT($B8931,"0000"))</f>
        <v/>
      </c>
      <c r="W8931" s="19">
        <f>IF($I8931="","",IF(ISNUMBER($I8931),TEXT($I8931,"0"),$I8931))</f>
        <v/>
      </c>
    </row>
    <row r="8932">
      <c r="B8932" s="25" t="n"/>
      <c r="I8932" s="25" t="n"/>
      <c r="U8932" s="19">
        <f>IF(AND($V8932='設定'!$C$4,COUNTIF('商品マスタ'!$B$6:$B$1005,$W8932)=0),N(U8931)+1,N(U8931))</f>
        <v/>
      </c>
      <c r="V8932" s="19">
        <f>IF($B8932="","",TEXT($B8932,"0000"))</f>
        <v/>
      </c>
      <c r="W8932" s="19">
        <f>IF($I8932="","",IF(ISNUMBER($I8932),TEXT($I8932,"0"),$I8932))</f>
        <v/>
      </c>
    </row>
    <row r="8933">
      <c r="B8933" s="25" t="n"/>
      <c r="I8933" s="25" t="n"/>
      <c r="U8933" s="19">
        <f>IF(AND($V8933='設定'!$C$4,COUNTIF('商品マスタ'!$B$6:$B$1005,$W8933)=0),N(U8932)+1,N(U8932))</f>
        <v/>
      </c>
      <c r="V8933" s="19">
        <f>IF($B8933="","",TEXT($B8933,"0000"))</f>
        <v/>
      </c>
      <c r="W8933" s="19">
        <f>IF($I8933="","",IF(ISNUMBER($I8933),TEXT($I8933,"0"),$I8933))</f>
        <v/>
      </c>
    </row>
    <row r="8934">
      <c r="B8934" s="25" t="n"/>
      <c r="I8934" s="25" t="n"/>
      <c r="U8934" s="19">
        <f>IF(AND($V8934='設定'!$C$4,COUNTIF('商品マスタ'!$B$6:$B$1005,$W8934)=0),N(U8933)+1,N(U8933))</f>
        <v/>
      </c>
      <c r="V8934" s="19">
        <f>IF($B8934="","",TEXT($B8934,"0000"))</f>
        <v/>
      </c>
      <c r="W8934" s="19">
        <f>IF($I8934="","",IF(ISNUMBER($I8934),TEXT($I8934,"0"),$I8934))</f>
        <v/>
      </c>
    </row>
    <row r="8935">
      <c r="B8935" s="25" t="n"/>
      <c r="I8935" s="25" t="n"/>
      <c r="U8935" s="19">
        <f>IF(AND($V8935='設定'!$C$4,COUNTIF('商品マスタ'!$B$6:$B$1005,$W8935)=0),N(U8934)+1,N(U8934))</f>
        <v/>
      </c>
      <c r="V8935" s="19">
        <f>IF($B8935="","",TEXT($B8935,"0000"))</f>
        <v/>
      </c>
      <c r="W8935" s="19">
        <f>IF($I8935="","",IF(ISNUMBER($I8935),TEXT($I8935,"0"),$I8935))</f>
        <v/>
      </c>
    </row>
    <row r="8936">
      <c r="B8936" s="25" t="n"/>
      <c r="I8936" s="25" t="n"/>
      <c r="U8936" s="19">
        <f>IF(AND($V8936='設定'!$C$4,COUNTIF('商品マスタ'!$B$6:$B$1005,$W8936)=0),N(U8935)+1,N(U8935))</f>
        <v/>
      </c>
      <c r="V8936" s="19">
        <f>IF($B8936="","",TEXT($B8936,"0000"))</f>
        <v/>
      </c>
      <c r="W8936" s="19">
        <f>IF($I8936="","",IF(ISNUMBER($I8936),TEXT($I8936,"0"),$I8936))</f>
        <v/>
      </c>
    </row>
    <row r="8937">
      <c r="B8937" s="25" t="n"/>
      <c r="I8937" s="25" t="n"/>
      <c r="U8937" s="19">
        <f>IF(AND($V8937='設定'!$C$4,COUNTIF('商品マスタ'!$B$6:$B$1005,$W8937)=0),N(U8936)+1,N(U8936))</f>
        <v/>
      </c>
      <c r="V8937" s="19">
        <f>IF($B8937="","",TEXT($B8937,"0000"))</f>
        <v/>
      </c>
      <c r="W8937" s="19">
        <f>IF($I8937="","",IF(ISNUMBER($I8937),TEXT($I8937,"0"),$I8937))</f>
        <v/>
      </c>
    </row>
    <row r="8938">
      <c r="B8938" s="25" t="n"/>
      <c r="I8938" s="25" t="n"/>
      <c r="U8938" s="19">
        <f>IF(AND($V8938='設定'!$C$4,COUNTIF('商品マスタ'!$B$6:$B$1005,$W8938)=0),N(U8937)+1,N(U8937))</f>
        <v/>
      </c>
      <c r="V8938" s="19">
        <f>IF($B8938="","",TEXT($B8938,"0000"))</f>
        <v/>
      </c>
      <c r="W8938" s="19">
        <f>IF($I8938="","",IF(ISNUMBER($I8938),TEXT($I8938,"0"),$I8938))</f>
        <v/>
      </c>
    </row>
    <row r="8939">
      <c r="B8939" s="25" t="n"/>
      <c r="I8939" s="25" t="n"/>
      <c r="U8939" s="19">
        <f>IF(AND($V8939='設定'!$C$4,COUNTIF('商品マスタ'!$B$6:$B$1005,$W8939)=0),N(U8938)+1,N(U8938))</f>
        <v/>
      </c>
      <c r="V8939" s="19">
        <f>IF($B8939="","",TEXT($B8939,"0000"))</f>
        <v/>
      </c>
      <c r="W8939" s="19">
        <f>IF($I8939="","",IF(ISNUMBER($I8939),TEXT($I8939,"0"),$I8939))</f>
        <v/>
      </c>
    </row>
    <row r="8940">
      <c r="B8940" s="25" t="n"/>
      <c r="I8940" s="25" t="n"/>
      <c r="U8940" s="19">
        <f>IF(AND($V8940='設定'!$C$4,COUNTIF('商品マスタ'!$B$6:$B$1005,$W8940)=0),N(U8939)+1,N(U8939))</f>
        <v/>
      </c>
      <c r="V8940" s="19">
        <f>IF($B8940="","",TEXT($B8940,"0000"))</f>
        <v/>
      </c>
      <c r="W8940" s="19">
        <f>IF($I8940="","",IF(ISNUMBER($I8940),TEXT($I8940,"0"),$I8940))</f>
        <v/>
      </c>
    </row>
    <row r="8941">
      <c r="B8941" s="25" t="n"/>
      <c r="I8941" s="25" t="n"/>
      <c r="U8941" s="19">
        <f>IF(AND($V8941='設定'!$C$4,COUNTIF('商品マスタ'!$B$6:$B$1005,$W8941)=0),N(U8940)+1,N(U8940))</f>
        <v/>
      </c>
      <c r="V8941" s="19">
        <f>IF($B8941="","",TEXT($B8941,"0000"))</f>
        <v/>
      </c>
      <c r="W8941" s="19">
        <f>IF($I8941="","",IF(ISNUMBER($I8941),TEXT($I8941,"0"),$I8941))</f>
        <v/>
      </c>
    </row>
    <row r="8942">
      <c r="B8942" s="25" t="n"/>
      <c r="I8942" s="25" t="n"/>
      <c r="U8942" s="19">
        <f>IF(AND($V8942='設定'!$C$4,COUNTIF('商品マスタ'!$B$6:$B$1005,$W8942)=0),N(U8941)+1,N(U8941))</f>
        <v/>
      </c>
      <c r="V8942" s="19">
        <f>IF($B8942="","",TEXT($B8942,"0000"))</f>
        <v/>
      </c>
      <c r="W8942" s="19">
        <f>IF($I8942="","",IF(ISNUMBER($I8942),TEXT($I8942,"0"),$I8942))</f>
        <v/>
      </c>
    </row>
    <row r="8943">
      <c r="B8943" s="25" t="n"/>
      <c r="I8943" s="25" t="n"/>
      <c r="U8943" s="19">
        <f>IF(AND($V8943='設定'!$C$4,COUNTIF('商品マスタ'!$B$6:$B$1005,$W8943)=0),N(U8942)+1,N(U8942))</f>
        <v/>
      </c>
      <c r="V8943" s="19">
        <f>IF($B8943="","",TEXT($B8943,"0000"))</f>
        <v/>
      </c>
      <c r="W8943" s="19">
        <f>IF($I8943="","",IF(ISNUMBER($I8943),TEXT($I8943,"0"),$I8943))</f>
        <v/>
      </c>
    </row>
    <row r="8944">
      <c r="B8944" s="25" t="n"/>
      <c r="I8944" s="25" t="n"/>
      <c r="U8944" s="19">
        <f>IF(AND($V8944='設定'!$C$4,COUNTIF('商品マスタ'!$B$6:$B$1005,$W8944)=0),N(U8943)+1,N(U8943))</f>
        <v/>
      </c>
      <c r="V8944" s="19">
        <f>IF($B8944="","",TEXT($B8944,"0000"))</f>
        <v/>
      </c>
      <c r="W8944" s="19">
        <f>IF($I8944="","",IF(ISNUMBER($I8944),TEXT($I8944,"0"),$I8944))</f>
        <v/>
      </c>
    </row>
    <row r="8945">
      <c r="B8945" s="25" t="n"/>
      <c r="I8945" s="25" t="n"/>
      <c r="U8945" s="19">
        <f>IF(AND($V8945='設定'!$C$4,COUNTIF('商品マスタ'!$B$6:$B$1005,$W8945)=0),N(U8944)+1,N(U8944))</f>
        <v/>
      </c>
      <c r="V8945" s="19">
        <f>IF($B8945="","",TEXT($B8945,"0000"))</f>
        <v/>
      </c>
      <c r="W8945" s="19">
        <f>IF($I8945="","",IF(ISNUMBER($I8945),TEXT($I8945,"0"),$I8945))</f>
        <v/>
      </c>
    </row>
    <row r="8946">
      <c r="B8946" s="25" t="n"/>
      <c r="I8946" s="25" t="n"/>
      <c r="U8946" s="19">
        <f>IF(AND($V8946='設定'!$C$4,COUNTIF('商品マスタ'!$B$6:$B$1005,$W8946)=0),N(U8945)+1,N(U8945))</f>
        <v/>
      </c>
      <c r="V8946" s="19">
        <f>IF($B8946="","",TEXT($B8946,"0000"))</f>
        <v/>
      </c>
      <c r="W8946" s="19">
        <f>IF($I8946="","",IF(ISNUMBER($I8946),TEXT($I8946,"0"),$I8946))</f>
        <v/>
      </c>
    </row>
    <row r="8947">
      <c r="B8947" s="25" t="n"/>
      <c r="I8947" s="25" t="n"/>
      <c r="U8947" s="19">
        <f>IF(AND($V8947='設定'!$C$4,COUNTIF('商品マスタ'!$B$6:$B$1005,$W8947)=0),N(U8946)+1,N(U8946))</f>
        <v/>
      </c>
      <c r="V8947" s="19">
        <f>IF($B8947="","",TEXT($B8947,"0000"))</f>
        <v/>
      </c>
      <c r="W8947" s="19">
        <f>IF($I8947="","",IF(ISNUMBER($I8947),TEXT($I8947,"0"),$I8947))</f>
        <v/>
      </c>
    </row>
    <row r="8948">
      <c r="B8948" s="25" t="n"/>
      <c r="I8948" s="25" t="n"/>
      <c r="U8948" s="19">
        <f>IF(AND($V8948='設定'!$C$4,COUNTIF('商品マスタ'!$B$6:$B$1005,$W8948)=0),N(U8947)+1,N(U8947))</f>
        <v/>
      </c>
      <c r="V8948" s="19">
        <f>IF($B8948="","",TEXT($B8948,"0000"))</f>
        <v/>
      </c>
      <c r="W8948" s="19">
        <f>IF($I8948="","",IF(ISNUMBER($I8948),TEXT($I8948,"0"),$I8948))</f>
        <v/>
      </c>
    </row>
    <row r="8949">
      <c r="B8949" s="25" t="n"/>
      <c r="I8949" s="25" t="n"/>
      <c r="U8949" s="19">
        <f>IF(AND($V8949='設定'!$C$4,COUNTIF('商品マスタ'!$B$6:$B$1005,$W8949)=0),N(U8948)+1,N(U8948))</f>
        <v/>
      </c>
      <c r="V8949" s="19">
        <f>IF($B8949="","",TEXT($B8949,"0000"))</f>
        <v/>
      </c>
      <c r="W8949" s="19">
        <f>IF($I8949="","",IF(ISNUMBER($I8949),TEXT($I8949,"0"),$I8949))</f>
        <v/>
      </c>
    </row>
    <row r="8950">
      <c r="B8950" s="25" t="n"/>
      <c r="I8950" s="25" t="n"/>
      <c r="U8950" s="19">
        <f>IF(AND($V8950='設定'!$C$4,COUNTIF('商品マスタ'!$B$6:$B$1005,$W8950)=0),N(U8949)+1,N(U8949))</f>
        <v/>
      </c>
      <c r="V8950" s="19">
        <f>IF($B8950="","",TEXT($B8950,"0000"))</f>
        <v/>
      </c>
      <c r="W8950" s="19">
        <f>IF($I8950="","",IF(ISNUMBER($I8950),TEXT($I8950,"0"),$I8950))</f>
        <v/>
      </c>
    </row>
    <row r="8951">
      <c r="B8951" s="25" t="n"/>
      <c r="I8951" s="25" t="n"/>
      <c r="U8951" s="19">
        <f>IF(AND($V8951='設定'!$C$4,COUNTIF('商品マスタ'!$B$6:$B$1005,$W8951)=0),N(U8950)+1,N(U8950))</f>
        <v/>
      </c>
      <c r="V8951" s="19">
        <f>IF($B8951="","",TEXT($B8951,"0000"))</f>
        <v/>
      </c>
      <c r="W8951" s="19">
        <f>IF($I8951="","",IF(ISNUMBER($I8951),TEXT($I8951,"0"),$I8951))</f>
        <v/>
      </c>
    </row>
    <row r="8952">
      <c r="B8952" s="25" t="n"/>
      <c r="I8952" s="25" t="n"/>
      <c r="U8952" s="19">
        <f>IF(AND($V8952='設定'!$C$4,COUNTIF('商品マスタ'!$B$6:$B$1005,$W8952)=0),N(U8951)+1,N(U8951))</f>
        <v/>
      </c>
      <c r="V8952" s="19">
        <f>IF($B8952="","",TEXT($B8952,"0000"))</f>
        <v/>
      </c>
      <c r="W8952" s="19">
        <f>IF($I8952="","",IF(ISNUMBER($I8952),TEXT($I8952,"0"),$I8952))</f>
        <v/>
      </c>
    </row>
    <row r="8953">
      <c r="B8953" s="25" t="n"/>
      <c r="I8953" s="25" t="n"/>
      <c r="U8953" s="19">
        <f>IF(AND($V8953='設定'!$C$4,COUNTIF('商品マスタ'!$B$6:$B$1005,$W8953)=0),N(U8952)+1,N(U8952))</f>
        <v/>
      </c>
      <c r="V8953" s="19">
        <f>IF($B8953="","",TEXT($B8953,"0000"))</f>
        <v/>
      </c>
      <c r="W8953" s="19">
        <f>IF($I8953="","",IF(ISNUMBER($I8953),TEXT($I8953,"0"),$I8953))</f>
        <v/>
      </c>
    </row>
    <row r="8954">
      <c r="B8954" s="25" t="n"/>
      <c r="I8954" s="25" t="n"/>
      <c r="U8954" s="19">
        <f>IF(AND($V8954='設定'!$C$4,COUNTIF('商品マスタ'!$B$6:$B$1005,$W8954)=0),N(U8953)+1,N(U8953))</f>
        <v/>
      </c>
      <c r="V8954" s="19">
        <f>IF($B8954="","",TEXT($B8954,"0000"))</f>
        <v/>
      </c>
      <c r="W8954" s="19">
        <f>IF($I8954="","",IF(ISNUMBER($I8954),TEXT($I8954,"0"),$I8954))</f>
        <v/>
      </c>
    </row>
    <row r="8955">
      <c r="B8955" s="25" t="n"/>
      <c r="I8955" s="25" t="n"/>
      <c r="U8955" s="19">
        <f>IF(AND($V8955='設定'!$C$4,COUNTIF('商品マスタ'!$B$6:$B$1005,$W8955)=0),N(U8954)+1,N(U8954))</f>
        <v/>
      </c>
      <c r="V8955" s="19">
        <f>IF($B8955="","",TEXT($B8955,"0000"))</f>
        <v/>
      </c>
      <c r="W8955" s="19">
        <f>IF($I8955="","",IF(ISNUMBER($I8955),TEXT($I8955,"0"),$I8955))</f>
        <v/>
      </c>
    </row>
    <row r="8956">
      <c r="B8956" s="25" t="n"/>
      <c r="I8956" s="25" t="n"/>
      <c r="U8956" s="19">
        <f>IF(AND($V8956='設定'!$C$4,COUNTIF('商品マスタ'!$B$6:$B$1005,$W8956)=0),N(U8955)+1,N(U8955))</f>
        <v/>
      </c>
      <c r="V8956" s="19">
        <f>IF($B8956="","",TEXT($B8956,"0000"))</f>
        <v/>
      </c>
      <c r="W8956" s="19">
        <f>IF($I8956="","",IF(ISNUMBER($I8956),TEXT($I8956,"0"),$I8956))</f>
        <v/>
      </c>
    </row>
    <row r="8957">
      <c r="B8957" s="25" t="n"/>
      <c r="I8957" s="25" t="n"/>
      <c r="U8957" s="19">
        <f>IF(AND($V8957='設定'!$C$4,COUNTIF('商品マスタ'!$B$6:$B$1005,$W8957)=0),N(U8956)+1,N(U8956))</f>
        <v/>
      </c>
      <c r="V8957" s="19">
        <f>IF($B8957="","",TEXT($B8957,"0000"))</f>
        <v/>
      </c>
      <c r="W8957" s="19">
        <f>IF($I8957="","",IF(ISNUMBER($I8957),TEXT($I8957,"0"),$I8957))</f>
        <v/>
      </c>
    </row>
    <row r="8958">
      <c r="B8958" s="25" t="n"/>
      <c r="I8958" s="25" t="n"/>
      <c r="U8958" s="19">
        <f>IF(AND($V8958='設定'!$C$4,COUNTIF('商品マスタ'!$B$6:$B$1005,$W8958)=0),N(U8957)+1,N(U8957))</f>
        <v/>
      </c>
      <c r="V8958" s="19">
        <f>IF($B8958="","",TEXT($B8958,"0000"))</f>
        <v/>
      </c>
      <c r="W8958" s="19">
        <f>IF($I8958="","",IF(ISNUMBER($I8958),TEXT($I8958,"0"),$I8958))</f>
        <v/>
      </c>
    </row>
    <row r="8959">
      <c r="B8959" s="25" t="n"/>
      <c r="I8959" s="25" t="n"/>
      <c r="U8959" s="19">
        <f>IF(AND($V8959='設定'!$C$4,COUNTIF('商品マスタ'!$B$6:$B$1005,$W8959)=0),N(U8958)+1,N(U8958))</f>
        <v/>
      </c>
      <c r="V8959" s="19">
        <f>IF($B8959="","",TEXT($B8959,"0000"))</f>
        <v/>
      </c>
      <c r="W8959" s="19">
        <f>IF($I8959="","",IF(ISNUMBER($I8959),TEXT($I8959,"0"),$I8959))</f>
        <v/>
      </c>
    </row>
    <row r="8960">
      <c r="B8960" s="25" t="n"/>
      <c r="I8960" s="25" t="n"/>
      <c r="U8960" s="19">
        <f>IF(AND($V8960='設定'!$C$4,COUNTIF('商品マスタ'!$B$6:$B$1005,$W8960)=0),N(U8959)+1,N(U8959))</f>
        <v/>
      </c>
      <c r="V8960" s="19">
        <f>IF($B8960="","",TEXT($B8960,"0000"))</f>
        <v/>
      </c>
      <c r="W8960" s="19">
        <f>IF($I8960="","",IF(ISNUMBER($I8960),TEXT($I8960,"0"),$I8960))</f>
        <v/>
      </c>
    </row>
    <row r="8961">
      <c r="B8961" s="25" t="n"/>
      <c r="I8961" s="25" t="n"/>
      <c r="U8961" s="19">
        <f>IF(AND($V8961='設定'!$C$4,COUNTIF('商品マスタ'!$B$6:$B$1005,$W8961)=0),N(U8960)+1,N(U8960))</f>
        <v/>
      </c>
      <c r="V8961" s="19">
        <f>IF($B8961="","",TEXT($B8961,"0000"))</f>
        <v/>
      </c>
      <c r="W8961" s="19">
        <f>IF($I8961="","",IF(ISNUMBER($I8961),TEXT($I8961,"0"),$I8961))</f>
        <v/>
      </c>
    </row>
    <row r="8962">
      <c r="B8962" s="25" t="n"/>
      <c r="I8962" s="25" t="n"/>
      <c r="U8962" s="19">
        <f>IF(AND($V8962='設定'!$C$4,COUNTIF('商品マスタ'!$B$6:$B$1005,$W8962)=0),N(U8961)+1,N(U8961))</f>
        <v/>
      </c>
      <c r="V8962" s="19">
        <f>IF($B8962="","",TEXT($B8962,"0000"))</f>
        <v/>
      </c>
      <c r="W8962" s="19">
        <f>IF($I8962="","",IF(ISNUMBER($I8962),TEXT($I8962,"0"),$I8962))</f>
        <v/>
      </c>
    </row>
    <row r="8963">
      <c r="B8963" s="25" t="n"/>
      <c r="I8963" s="25" t="n"/>
      <c r="U8963" s="19">
        <f>IF(AND($V8963='設定'!$C$4,COUNTIF('商品マスタ'!$B$6:$B$1005,$W8963)=0),N(U8962)+1,N(U8962))</f>
        <v/>
      </c>
      <c r="V8963" s="19">
        <f>IF($B8963="","",TEXT($B8963,"0000"))</f>
        <v/>
      </c>
      <c r="W8963" s="19">
        <f>IF($I8963="","",IF(ISNUMBER($I8963),TEXT($I8963,"0"),$I8963))</f>
        <v/>
      </c>
    </row>
    <row r="8964">
      <c r="B8964" s="25" t="n"/>
      <c r="I8964" s="25" t="n"/>
      <c r="U8964" s="19">
        <f>IF(AND($V8964='設定'!$C$4,COUNTIF('商品マスタ'!$B$6:$B$1005,$W8964)=0),N(U8963)+1,N(U8963))</f>
        <v/>
      </c>
      <c r="V8964" s="19">
        <f>IF($B8964="","",TEXT($B8964,"0000"))</f>
        <v/>
      </c>
      <c r="W8964" s="19">
        <f>IF($I8964="","",IF(ISNUMBER($I8964),TEXT($I8964,"0"),$I8964))</f>
        <v/>
      </c>
    </row>
    <row r="8965">
      <c r="B8965" s="25" t="n"/>
      <c r="I8965" s="25" t="n"/>
      <c r="U8965" s="19">
        <f>IF(AND($V8965='設定'!$C$4,COUNTIF('商品マスタ'!$B$6:$B$1005,$W8965)=0),N(U8964)+1,N(U8964))</f>
        <v/>
      </c>
      <c r="V8965" s="19">
        <f>IF($B8965="","",TEXT($B8965,"0000"))</f>
        <v/>
      </c>
      <c r="W8965" s="19">
        <f>IF($I8965="","",IF(ISNUMBER($I8965),TEXT($I8965,"0"),$I8965))</f>
        <v/>
      </c>
    </row>
    <row r="8966">
      <c r="B8966" s="25" t="n"/>
      <c r="I8966" s="25" t="n"/>
      <c r="U8966" s="19">
        <f>IF(AND($V8966='設定'!$C$4,COUNTIF('商品マスタ'!$B$6:$B$1005,$W8966)=0),N(U8965)+1,N(U8965))</f>
        <v/>
      </c>
      <c r="V8966" s="19">
        <f>IF($B8966="","",TEXT($B8966,"0000"))</f>
        <v/>
      </c>
      <c r="W8966" s="19">
        <f>IF($I8966="","",IF(ISNUMBER($I8966),TEXT($I8966,"0"),$I8966))</f>
        <v/>
      </c>
    </row>
    <row r="8967">
      <c r="B8967" s="25" t="n"/>
      <c r="I8967" s="25" t="n"/>
      <c r="U8967" s="19">
        <f>IF(AND($V8967='設定'!$C$4,COUNTIF('商品マスタ'!$B$6:$B$1005,$W8967)=0),N(U8966)+1,N(U8966))</f>
        <v/>
      </c>
      <c r="V8967" s="19">
        <f>IF($B8967="","",TEXT($B8967,"0000"))</f>
        <v/>
      </c>
      <c r="W8967" s="19">
        <f>IF($I8967="","",IF(ISNUMBER($I8967),TEXT($I8967,"0"),$I8967))</f>
        <v/>
      </c>
    </row>
    <row r="8968">
      <c r="B8968" s="25" t="n"/>
      <c r="I8968" s="25" t="n"/>
      <c r="U8968" s="19">
        <f>IF(AND($V8968='設定'!$C$4,COUNTIF('商品マスタ'!$B$6:$B$1005,$W8968)=0),N(U8967)+1,N(U8967))</f>
        <v/>
      </c>
      <c r="V8968" s="19">
        <f>IF($B8968="","",TEXT($B8968,"0000"))</f>
        <v/>
      </c>
      <c r="W8968" s="19">
        <f>IF($I8968="","",IF(ISNUMBER($I8968),TEXT($I8968,"0"),$I8968))</f>
        <v/>
      </c>
    </row>
    <row r="8969">
      <c r="B8969" s="25" t="n"/>
      <c r="I8969" s="25" t="n"/>
      <c r="U8969" s="19">
        <f>IF(AND($V8969='設定'!$C$4,COUNTIF('商品マスタ'!$B$6:$B$1005,$W8969)=0),N(U8968)+1,N(U8968))</f>
        <v/>
      </c>
      <c r="V8969" s="19">
        <f>IF($B8969="","",TEXT($B8969,"0000"))</f>
        <v/>
      </c>
      <c r="W8969" s="19">
        <f>IF($I8969="","",IF(ISNUMBER($I8969),TEXT($I8969,"0"),$I8969))</f>
        <v/>
      </c>
    </row>
    <row r="8970">
      <c r="B8970" s="25" t="n"/>
      <c r="I8970" s="25" t="n"/>
      <c r="U8970" s="19">
        <f>IF(AND($V8970='設定'!$C$4,COUNTIF('商品マスタ'!$B$6:$B$1005,$W8970)=0),N(U8969)+1,N(U8969))</f>
        <v/>
      </c>
      <c r="V8970" s="19">
        <f>IF($B8970="","",TEXT($B8970,"0000"))</f>
        <v/>
      </c>
      <c r="W8970" s="19">
        <f>IF($I8970="","",IF(ISNUMBER($I8970),TEXT($I8970,"0"),$I8970))</f>
        <v/>
      </c>
    </row>
    <row r="8971">
      <c r="B8971" s="25" t="n"/>
      <c r="I8971" s="25" t="n"/>
      <c r="U8971" s="19">
        <f>IF(AND($V8971='設定'!$C$4,COUNTIF('商品マスタ'!$B$6:$B$1005,$W8971)=0),N(U8970)+1,N(U8970))</f>
        <v/>
      </c>
      <c r="V8971" s="19">
        <f>IF($B8971="","",TEXT($B8971,"0000"))</f>
        <v/>
      </c>
      <c r="W8971" s="19">
        <f>IF($I8971="","",IF(ISNUMBER($I8971),TEXT($I8971,"0"),$I8971))</f>
        <v/>
      </c>
    </row>
    <row r="8972">
      <c r="B8972" s="25" t="n"/>
      <c r="I8972" s="25" t="n"/>
      <c r="U8972" s="19">
        <f>IF(AND($V8972='設定'!$C$4,COUNTIF('商品マスタ'!$B$6:$B$1005,$W8972)=0),N(U8971)+1,N(U8971))</f>
        <v/>
      </c>
      <c r="V8972" s="19">
        <f>IF($B8972="","",TEXT($B8972,"0000"))</f>
        <v/>
      </c>
      <c r="W8972" s="19">
        <f>IF($I8972="","",IF(ISNUMBER($I8972),TEXT($I8972,"0"),$I8972))</f>
        <v/>
      </c>
    </row>
    <row r="8973">
      <c r="B8973" s="25" t="n"/>
      <c r="I8973" s="25" t="n"/>
      <c r="U8973" s="19">
        <f>IF(AND($V8973='設定'!$C$4,COUNTIF('商品マスタ'!$B$6:$B$1005,$W8973)=0),N(U8972)+1,N(U8972))</f>
        <v/>
      </c>
      <c r="V8973" s="19">
        <f>IF($B8973="","",TEXT($B8973,"0000"))</f>
        <v/>
      </c>
      <c r="W8973" s="19">
        <f>IF($I8973="","",IF(ISNUMBER($I8973),TEXT($I8973,"0"),$I8973))</f>
        <v/>
      </c>
    </row>
    <row r="8974">
      <c r="B8974" s="25" t="n"/>
      <c r="I8974" s="25" t="n"/>
      <c r="U8974" s="19">
        <f>IF(AND($V8974='設定'!$C$4,COUNTIF('商品マスタ'!$B$6:$B$1005,$W8974)=0),N(U8973)+1,N(U8973))</f>
        <v/>
      </c>
      <c r="V8974" s="19">
        <f>IF($B8974="","",TEXT($B8974,"0000"))</f>
        <v/>
      </c>
      <c r="W8974" s="19">
        <f>IF($I8974="","",IF(ISNUMBER($I8974),TEXT($I8974,"0"),$I8974))</f>
        <v/>
      </c>
    </row>
    <row r="8975">
      <c r="B8975" s="25" t="n"/>
      <c r="I8975" s="25" t="n"/>
      <c r="U8975" s="19">
        <f>IF(AND($V8975='設定'!$C$4,COUNTIF('商品マスタ'!$B$6:$B$1005,$W8975)=0),N(U8974)+1,N(U8974))</f>
        <v/>
      </c>
      <c r="V8975" s="19">
        <f>IF($B8975="","",TEXT($B8975,"0000"))</f>
        <v/>
      </c>
      <c r="W8975" s="19">
        <f>IF($I8975="","",IF(ISNUMBER($I8975),TEXT($I8975,"0"),$I8975))</f>
        <v/>
      </c>
    </row>
    <row r="8976">
      <c r="B8976" s="25" t="n"/>
      <c r="I8976" s="25" t="n"/>
      <c r="U8976" s="19">
        <f>IF(AND($V8976='設定'!$C$4,COUNTIF('商品マスタ'!$B$6:$B$1005,$W8976)=0),N(U8975)+1,N(U8975))</f>
        <v/>
      </c>
      <c r="V8976" s="19">
        <f>IF($B8976="","",TEXT($B8976,"0000"))</f>
        <v/>
      </c>
      <c r="W8976" s="19">
        <f>IF($I8976="","",IF(ISNUMBER($I8976),TEXT($I8976,"0"),$I8976))</f>
        <v/>
      </c>
    </row>
    <row r="8977">
      <c r="B8977" s="25" t="n"/>
      <c r="I8977" s="25" t="n"/>
      <c r="U8977" s="19">
        <f>IF(AND($V8977='設定'!$C$4,COUNTIF('商品マスタ'!$B$6:$B$1005,$W8977)=0),N(U8976)+1,N(U8976))</f>
        <v/>
      </c>
      <c r="V8977" s="19">
        <f>IF($B8977="","",TEXT($B8977,"0000"))</f>
        <v/>
      </c>
      <c r="W8977" s="19">
        <f>IF($I8977="","",IF(ISNUMBER($I8977),TEXT($I8977,"0"),$I8977))</f>
        <v/>
      </c>
    </row>
    <row r="8978">
      <c r="B8978" s="25" t="n"/>
      <c r="I8978" s="25" t="n"/>
      <c r="U8978" s="19">
        <f>IF(AND($V8978='設定'!$C$4,COUNTIF('商品マスタ'!$B$6:$B$1005,$W8978)=0),N(U8977)+1,N(U8977))</f>
        <v/>
      </c>
      <c r="V8978" s="19">
        <f>IF($B8978="","",TEXT($B8978,"0000"))</f>
        <v/>
      </c>
      <c r="W8978" s="19">
        <f>IF($I8978="","",IF(ISNUMBER($I8978),TEXT($I8978,"0"),$I8978))</f>
        <v/>
      </c>
    </row>
    <row r="8979">
      <c r="B8979" s="25" t="n"/>
      <c r="I8979" s="25" t="n"/>
      <c r="U8979" s="19">
        <f>IF(AND($V8979='設定'!$C$4,COUNTIF('商品マスタ'!$B$6:$B$1005,$W8979)=0),N(U8978)+1,N(U8978))</f>
        <v/>
      </c>
      <c r="V8979" s="19">
        <f>IF($B8979="","",TEXT($B8979,"0000"))</f>
        <v/>
      </c>
      <c r="W8979" s="19">
        <f>IF($I8979="","",IF(ISNUMBER($I8979),TEXT($I8979,"0"),$I8979))</f>
        <v/>
      </c>
    </row>
    <row r="8980">
      <c r="B8980" s="25" t="n"/>
      <c r="I8980" s="25" t="n"/>
      <c r="U8980" s="19">
        <f>IF(AND($V8980='設定'!$C$4,COUNTIF('商品マスタ'!$B$6:$B$1005,$W8980)=0),N(U8979)+1,N(U8979))</f>
        <v/>
      </c>
      <c r="V8980" s="19">
        <f>IF($B8980="","",TEXT($B8980,"0000"))</f>
        <v/>
      </c>
      <c r="W8980" s="19">
        <f>IF($I8980="","",IF(ISNUMBER($I8980),TEXT($I8980,"0"),$I8980))</f>
        <v/>
      </c>
    </row>
    <row r="8981">
      <c r="B8981" s="25" t="n"/>
      <c r="I8981" s="25" t="n"/>
      <c r="U8981" s="19">
        <f>IF(AND($V8981='設定'!$C$4,COUNTIF('商品マスタ'!$B$6:$B$1005,$W8981)=0),N(U8980)+1,N(U8980))</f>
        <v/>
      </c>
      <c r="V8981" s="19">
        <f>IF($B8981="","",TEXT($B8981,"0000"))</f>
        <v/>
      </c>
      <c r="W8981" s="19">
        <f>IF($I8981="","",IF(ISNUMBER($I8981),TEXT($I8981,"0"),$I8981))</f>
        <v/>
      </c>
    </row>
    <row r="8982">
      <c r="B8982" s="25" t="n"/>
      <c r="I8982" s="25" t="n"/>
      <c r="U8982" s="19">
        <f>IF(AND($V8982='設定'!$C$4,COUNTIF('商品マスタ'!$B$6:$B$1005,$W8982)=0),N(U8981)+1,N(U8981))</f>
        <v/>
      </c>
      <c r="V8982" s="19">
        <f>IF($B8982="","",TEXT($B8982,"0000"))</f>
        <v/>
      </c>
      <c r="W8982" s="19">
        <f>IF($I8982="","",IF(ISNUMBER($I8982),TEXT($I8982,"0"),$I8982))</f>
        <v/>
      </c>
    </row>
    <row r="8983">
      <c r="B8983" s="25" t="n"/>
      <c r="I8983" s="25" t="n"/>
      <c r="U8983" s="19">
        <f>IF(AND($V8983='設定'!$C$4,COUNTIF('商品マスタ'!$B$6:$B$1005,$W8983)=0),N(U8982)+1,N(U8982))</f>
        <v/>
      </c>
      <c r="V8983" s="19">
        <f>IF($B8983="","",TEXT($B8983,"0000"))</f>
        <v/>
      </c>
      <c r="W8983" s="19">
        <f>IF($I8983="","",IF(ISNUMBER($I8983),TEXT($I8983,"0"),$I8983))</f>
        <v/>
      </c>
    </row>
    <row r="8984">
      <c r="B8984" s="25" t="n"/>
      <c r="I8984" s="25" t="n"/>
      <c r="U8984" s="19">
        <f>IF(AND($V8984='設定'!$C$4,COUNTIF('商品マスタ'!$B$6:$B$1005,$W8984)=0),N(U8983)+1,N(U8983))</f>
        <v/>
      </c>
      <c r="V8984" s="19">
        <f>IF($B8984="","",TEXT($B8984,"0000"))</f>
        <v/>
      </c>
      <c r="W8984" s="19">
        <f>IF($I8984="","",IF(ISNUMBER($I8984),TEXT($I8984,"0"),$I8984))</f>
        <v/>
      </c>
    </row>
    <row r="8985">
      <c r="B8985" s="25" t="n"/>
      <c r="I8985" s="25" t="n"/>
      <c r="U8985" s="19">
        <f>IF(AND($V8985='設定'!$C$4,COUNTIF('商品マスタ'!$B$6:$B$1005,$W8985)=0),N(U8984)+1,N(U8984))</f>
        <v/>
      </c>
      <c r="V8985" s="19">
        <f>IF($B8985="","",TEXT($B8985,"0000"))</f>
        <v/>
      </c>
      <c r="W8985" s="19">
        <f>IF($I8985="","",IF(ISNUMBER($I8985),TEXT($I8985,"0"),$I8985))</f>
        <v/>
      </c>
    </row>
    <row r="8986">
      <c r="B8986" s="25" t="n"/>
      <c r="I8986" s="25" t="n"/>
      <c r="U8986" s="19">
        <f>IF(AND($V8986='設定'!$C$4,COUNTIF('商品マスタ'!$B$6:$B$1005,$W8986)=0),N(U8985)+1,N(U8985))</f>
        <v/>
      </c>
      <c r="V8986" s="19">
        <f>IF($B8986="","",TEXT($B8986,"0000"))</f>
        <v/>
      </c>
      <c r="W8986" s="19">
        <f>IF($I8986="","",IF(ISNUMBER($I8986),TEXT($I8986,"0"),$I8986))</f>
        <v/>
      </c>
    </row>
    <row r="8987">
      <c r="B8987" s="25" t="n"/>
      <c r="I8987" s="25" t="n"/>
      <c r="U8987" s="19">
        <f>IF(AND($V8987='設定'!$C$4,COUNTIF('商品マスタ'!$B$6:$B$1005,$W8987)=0),N(U8986)+1,N(U8986))</f>
        <v/>
      </c>
      <c r="V8987" s="19">
        <f>IF($B8987="","",TEXT($B8987,"0000"))</f>
        <v/>
      </c>
      <c r="W8987" s="19">
        <f>IF($I8987="","",IF(ISNUMBER($I8987),TEXT($I8987,"0"),$I8987))</f>
        <v/>
      </c>
    </row>
    <row r="8988">
      <c r="B8988" s="25" t="n"/>
      <c r="I8988" s="25" t="n"/>
      <c r="U8988" s="19">
        <f>IF(AND($V8988='設定'!$C$4,COUNTIF('商品マスタ'!$B$6:$B$1005,$W8988)=0),N(U8987)+1,N(U8987))</f>
        <v/>
      </c>
      <c r="V8988" s="19">
        <f>IF($B8988="","",TEXT($B8988,"0000"))</f>
        <v/>
      </c>
      <c r="W8988" s="19">
        <f>IF($I8988="","",IF(ISNUMBER($I8988),TEXT($I8988,"0"),$I8988))</f>
        <v/>
      </c>
    </row>
    <row r="8989">
      <c r="B8989" s="25" t="n"/>
      <c r="I8989" s="25" t="n"/>
      <c r="U8989" s="19">
        <f>IF(AND($V8989='設定'!$C$4,COUNTIF('商品マスタ'!$B$6:$B$1005,$W8989)=0),N(U8988)+1,N(U8988))</f>
        <v/>
      </c>
      <c r="V8989" s="19">
        <f>IF($B8989="","",TEXT($B8989,"0000"))</f>
        <v/>
      </c>
      <c r="W8989" s="19">
        <f>IF($I8989="","",IF(ISNUMBER($I8989),TEXT($I8989,"0"),$I8989))</f>
        <v/>
      </c>
    </row>
    <row r="8990">
      <c r="B8990" s="25" t="n"/>
      <c r="I8990" s="25" t="n"/>
      <c r="U8990" s="19">
        <f>IF(AND($V8990='設定'!$C$4,COUNTIF('商品マスタ'!$B$6:$B$1005,$W8990)=0),N(U8989)+1,N(U8989))</f>
        <v/>
      </c>
      <c r="V8990" s="19">
        <f>IF($B8990="","",TEXT($B8990,"0000"))</f>
        <v/>
      </c>
      <c r="W8990" s="19">
        <f>IF($I8990="","",IF(ISNUMBER($I8990),TEXT($I8990,"0"),$I8990))</f>
        <v/>
      </c>
    </row>
    <row r="8991">
      <c r="B8991" s="25" t="n"/>
      <c r="I8991" s="25" t="n"/>
      <c r="U8991" s="19">
        <f>IF(AND($V8991='設定'!$C$4,COUNTIF('商品マスタ'!$B$6:$B$1005,$W8991)=0),N(U8990)+1,N(U8990))</f>
        <v/>
      </c>
      <c r="V8991" s="19">
        <f>IF($B8991="","",TEXT($B8991,"0000"))</f>
        <v/>
      </c>
      <c r="W8991" s="19">
        <f>IF($I8991="","",IF(ISNUMBER($I8991),TEXT($I8991,"0"),$I8991))</f>
        <v/>
      </c>
    </row>
    <row r="8992">
      <c r="B8992" s="25" t="n"/>
      <c r="I8992" s="25" t="n"/>
      <c r="U8992" s="19">
        <f>IF(AND($V8992='設定'!$C$4,COUNTIF('商品マスタ'!$B$6:$B$1005,$W8992)=0),N(U8991)+1,N(U8991))</f>
        <v/>
      </c>
      <c r="V8992" s="19">
        <f>IF($B8992="","",TEXT($B8992,"0000"))</f>
        <v/>
      </c>
      <c r="W8992" s="19">
        <f>IF($I8992="","",IF(ISNUMBER($I8992),TEXT($I8992,"0"),$I8992))</f>
        <v/>
      </c>
    </row>
    <row r="8993">
      <c r="B8993" s="25" t="n"/>
      <c r="I8993" s="25" t="n"/>
      <c r="U8993" s="19">
        <f>IF(AND($V8993='設定'!$C$4,COUNTIF('商品マスタ'!$B$6:$B$1005,$W8993)=0),N(U8992)+1,N(U8992))</f>
        <v/>
      </c>
      <c r="V8993" s="19">
        <f>IF($B8993="","",TEXT($B8993,"0000"))</f>
        <v/>
      </c>
      <c r="W8993" s="19">
        <f>IF($I8993="","",IF(ISNUMBER($I8993),TEXT($I8993,"0"),$I8993))</f>
        <v/>
      </c>
    </row>
    <row r="8994">
      <c r="B8994" s="25" t="n"/>
      <c r="I8994" s="25" t="n"/>
      <c r="U8994" s="19">
        <f>IF(AND($V8994='設定'!$C$4,COUNTIF('商品マスタ'!$B$6:$B$1005,$W8994)=0),N(U8993)+1,N(U8993))</f>
        <v/>
      </c>
      <c r="V8994" s="19">
        <f>IF($B8994="","",TEXT($B8994,"0000"))</f>
        <v/>
      </c>
      <c r="W8994" s="19">
        <f>IF($I8994="","",IF(ISNUMBER($I8994),TEXT($I8994,"0"),$I8994))</f>
        <v/>
      </c>
    </row>
    <row r="8995">
      <c r="B8995" s="25" t="n"/>
      <c r="I8995" s="25" t="n"/>
      <c r="U8995" s="19">
        <f>IF(AND($V8995='設定'!$C$4,COUNTIF('商品マスタ'!$B$6:$B$1005,$W8995)=0),N(U8994)+1,N(U8994))</f>
        <v/>
      </c>
      <c r="V8995" s="19">
        <f>IF($B8995="","",TEXT($B8995,"0000"))</f>
        <v/>
      </c>
      <c r="W8995" s="19">
        <f>IF($I8995="","",IF(ISNUMBER($I8995),TEXT($I8995,"0"),$I8995))</f>
        <v/>
      </c>
    </row>
    <row r="8996">
      <c r="B8996" s="25" t="n"/>
      <c r="I8996" s="25" t="n"/>
      <c r="U8996" s="19">
        <f>IF(AND($V8996='設定'!$C$4,COUNTIF('商品マスタ'!$B$6:$B$1005,$W8996)=0),N(U8995)+1,N(U8995))</f>
        <v/>
      </c>
      <c r="V8996" s="19">
        <f>IF($B8996="","",TEXT($B8996,"0000"))</f>
        <v/>
      </c>
      <c r="W8996" s="19">
        <f>IF($I8996="","",IF(ISNUMBER($I8996),TEXT($I8996,"0"),$I8996))</f>
        <v/>
      </c>
    </row>
    <row r="8997">
      <c r="B8997" s="25" t="n"/>
      <c r="I8997" s="25" t="n"/>
      <c r="U8997" s="19">
        <f>IF(AND($V8997='設定'!$C$4,COUNTIF('商品マスタ'!$B$6:$B$1005,$W8997)=0),N(U8996)+1,N(U8996))</f>
        <v/>
      </c>
      <c r="V8997" s="19">
        <f>IF($B8997="","",TEXT($B8997,"0000"))</f>
        <v/>
      </c>
      <c r="W8997" s="19">
        <f>IF($I8997="","",IF(ISNUMBER($I8997),TEXT($I8997,"0"),$I8997))</f>
        <v/>
      </c>
    </row>
    <row r="8998">
      <c r="B8998" s="25" t="n"/>
      <c r="I8998" s="25" t="n"/>
      <c r="U8998" s="19">
        <f>IF(AND($V8998='設定'!$C$4,COUNTIF('商品マスタ'!$B$6:$B$1005,$W8998)=0),N(U8997)+1,N(U8997))</f>
        <v/>
      </c>
      <c r="V8998" s="19">
        <f>IF($B8998="","",TEXT($B8998,"0000"))</f>
        <v/>
      </c>
      <c r="W8998" s="19">
        <f>IF($I8998="","",IF(ISNUMBER($I8998),TEXT($I8998,"0"),$I8998))</f>
        <v/>
      </c>
    </row>
    <row r="8999">
      <c r="B8999" s="25" t="n"/>
      <c r="I8999" s="25" t="n"/>
      <c r="U8999" s="19">
        <f>IF(AND($V8999='設定'!$C$4,COUNTIF('商品マスタ'!$B$6:$B$1005,$W8999)=0),N(U8998)+1,N(U8998))</f>
        <v/>
      </c>
      <c r="V8999" s="19">
        <f>IF($B8999="","",TEXT($B8999,"0000"))</f>
        <v/>
      </c>
      <c r="W8999" s="19">
        <f>IF($I8999="","",IF(ISNUMBER($I8999),TEXT($I8999,"0"),$I8999))</f>
        <v/>
      </c>
    </row>
    <row r="9000">
      <c r="B9000" s="25" t="n"/>
      <c r="I9000" s="25" t="n"/>
      <c r="U9000" s="19">
        <f>IF(AND($V9000='設定'!$C$4,COUNTIF('商品マスタ'!$B$6:$B$1005,$W9000)=0),N(U8999)+1,N(U8999))</f>
        <v/>
      </c>
      <c r="V9000" s="19">
        <f>IF($B9000="","",TEXT($B9000,"0000"))</f>
        <v/>
      </c>
      <c r="W9000" s="19">
        <f>IF($I9000="","",IF(ISNUMBER($I9000),TEXT($I9000,"0"),$I9000))</f>
        <v/>
      </c>
    </row>
    <row r="9001">
      <c r="B9001" s="25" t="n"/>
      <c r="I9001" s="25" t="n"/>
      <c r="U9001" s="19">
        <f>IF(AND($V9001='設定'!$C$4,COUNTIF('商品マスタ'!$B$6:$B$1005,$W9001)=0),N(U9000)+1,N(U9000))</f>
        <v/>
      </c>
      <c r="V9001" s="19">
        <f>IF($B9001="","",TEXT($B9001,"0000"))</f>
        <v/>
      </c>
      <c r="W9001" s="19">
        <f>IF($I9001="","",IF(ISNUMBER($I9001),TEXT($I9001,"0"),$I9001))</f>
        <v/>
      </c>
    </row>
    <row r="9002">
      <c r="B9002" s="25" t="n"/>
      <c r="I9002" s="25" t="n"/>
      <c r="U9002" s="19">
        <f>IF(AND($V9002='設定'!$C$4,COUNTIF('商品マスタ'!$B$6:$B$1005,$W9002)=0),N(U9001)+1,N(U9001))</f>
        <v/>
      </c>
      <c r="V9002" s="19">
        <f>IF($B9002="","",TEXT($B9002,"0000"))</f>
        <v/>
      </c>
      <c r="W9002" s="19">
        <f>IF($I9002="","",IF(ISNUMBER($I9002),TEXT($I9002,"0"),$I9002))</f>
        <v/>
      </c>
    </row>
    <row r="9003">
      <c r="B9003" s="25" t="n"/>
      <c r="I9003" s="25" t="n"/>
      <c r="U9003" s="19">
        <f>IF(AND($V9003='設定'!$C$4,COUNTIF('商品マスタ'!$B$6:$B$1005,$W9003)=0),N(U9002)+1,N(U9002))</f>
        <v/>
      </c>
      <c r="V9003" s="19">
        <f>IF($B9003="","",TEXT($B9003,"0000"))</f>
        <v/>
      </c>
      <c r="W9003" s="19">
        <f>IF($I9003="","",IF(ISNUMBER($I9003),TEXT($I9003,"0"),$I9003))</f>
        <v/>
      </c>
    </row>
    <row r="9004">
      <c r="B9004" s="25" t="n"/>
      <c r="I9004" s="25" t="n"/>
      <c r="U9004" s="19">
        <f>IF(AND($V9004='設定'!$C$4,COUNTIF('商品マスタ'!$B$6:$B$1005,$W9004)=0),N(U9003)+1,N(U9003))</f>
        <v/>
      </c>
      <c r="V9004" s="19">
        <f>IF($B9004="","",TEXT($B9004,"0000"))</f>
        <v/>
      </c>
      <c r="W9004" s="19">
        <f>IF($I9004="","",IF(ISNUMBER($I9004),TEXT($I9004,"0"),$I9004))</f>
        <v/>
      </c>
    </row>
    <row r="9005">
      <c r="B9005" s="25" t="n"/>
      <c r="I9005" s="25" t="n"/>
      <c r="U9005" s="19">
        <f>IF(AND($V9005='設定'!$C$4,COUNTIF('商品マスタ'!$B$6:$B$1005,$W9005)=0),N(U9004)+1,N(U9004))</f>
        <v/>
      </c>
      <c r="V9005" s="19">
        <f>IF($B9005="","",TEXT($B9005,"0000"))</f>
        <v/>
      </c>
      <c r="W9005" s="19">
        <f>IF($I9005="","",IF(ISNUMBER($I9005),TEXT($I9005,"0"),$I9005))</f>
        <v/>
      </c>
    </row>
    <row r="9006">
      <c r="B9006" s="25" t="n"/>
      <c r="I9006" s="25" t="n"/>
      <c r="U9006" s="19">
        <f>IF(AND($V9006='設定'!$C$4,COUNTIF('商品マスタ'!$B$6:$B$1005,$W9006)=0),N(U9005)+1,N(U9005))</f>
        <v/>
      </c>
      <c r="V9006" s="19">
        <f>IF($B9006="","",TEXT($B9006,"0000"))</f>
        <v/>
      </c>
      <c r="W9006" s="19">
        <f>IF($I9006="","",IF(ISNUMBER($I9006),TEXT($I9006,"0"),$I9006))</f>
        <v/>
      </c>
    </row>
    <row r="9007">
      <c r="B9007" s="25" t="n"/>
      <c r="I9007" s="25" t="n"/>
      <c r="U9007" s="19">
        <f>IF(AND($V9007='設定'!$C$4,COUNTIF('商品マスタ'!$B$6:$B$1005,$W9007)=0),N(U9006)+1,N(U9006))</f>
        <v/>
      </c>
      <c r="V9007" s="19">
        <f>IF($B9007="","",TEXT($B9007,"0000"))</f>
        <v/>
      </c>
      <c r="W9007" s="19">
        <f>IF($I9007="","",IF(ISNUMBER($I9007),TEXT($I9007,"0"),$I9007))</f>
        <v/>
      </c>
    </row>
    <row r="9008">
      <c r="B9008" s="25" t="n"/>
      <c r="I9008" s="25" t="n"/>
      <c r="U9008" s="19">
        <f>IF(AND($V9008='設定'!$C$4,COUNTIF('商品マスタ'!$B$6:$B$1005,$W9008)=0),N(U9007)+1,N(U9007))</f>
        <v/>
      </c>
      <c r="V9008" s="19">
        <f>IF($B9008="","",TEXT($B9008,"0000"))</f>
        <v/>
      </c>
      <c r="W9008" s="19">
        <f>IF($I9008="","",IF(ISNUMBER($I9008),TEXT($I9008,"0"),$I9008))</f>
        <v/>
      </c>
    </row>
    <row r="9009">
      <c r="B9009" s="25" t="n"/>
      <c r="I9009" s="25" t="n"/>
      <c r="U9009" s="19">
        <f>IF(AND($V9009='設定'!$C$4,COUNTIF('商品マスタ'!$B$6:$B$1005,$W9009)=0),N(U9008)+1,N(U9008))</f>
        <v/>
      </c>
      <c r="V9009" s="19">
        <f>IF($B9009="","",TEXT($B9009,"0000"))</f>
        <v/>
      </c>
      <c r="W9009" s="19">
        <f>IF($I9009="","",IF(ISNUMBER($I9009),TEXT($I9009,"0"),$I9009))</f>
        <v/>
      </c>
    </row>
    <row r="9010">
      <c r="B9010" s="25" t="n"/>
      <c r="I9010" s="25" t="n"/>
      <c r="U9010" s="19">
        <f>IF(AND($V9010='設定'!$C$4,COUNTIF('商品マスタ'!$B$6:$B$1005,$W9010)=0),N(U9009)+1,N(U9009))</f>
        <v/>
      </c>
      <c r="V9010" s="19">
        <f>IF($B9010="","",TEXT($B9010,"0000"))</f>
        <v/>
      </c>
      <c r="W9010" s="19">
        <f>IF($I9010="","",IF(ISNUMBER($I9010),TEXT($I9010,"0"),$I9010))</f>
        <v/>
      </c>
    </row>
    <row r="9011">
      <c r="B9011" s="25" t="n"/>
      <c r="I9011" s="25" t="n"/>
      <c r="U9011" s="19">
        <f>IF(AND($V9011='設定'!$C$4,COUNTIF('商品マスタ'!$B$6:$B$1005,$W9011)=0),N(U9010)+1,N(U9010))</f>
        <v/>
      </c>
      <c r="V9011" s="19">
        <f>IF($B9011="","",TEXT($B9011,"0000"))</f>
        <v/>
      </c>
      <c r="W9011" s="19">
        <f>IF($I9011="","",IF(ISNUMBER($I9011),TEXT($I9011,"0"),$I9011))</f>
        <v/>
      </c>
    </row>
    <row r="9012">
      <c r="B9012" s="25" t="n"/>
      <c r="I9012" s="25" t="n"/>
      <c r="U9012" s="19">
        <f>IF(AND($V9012='設定'!$C$4,COUNTIF('商品マスタ'!$B$6:$B$1005,$W9012)=0),N(U9011)+1,N(U9011))</f>
        <v/>
      </c>
      <c r="V9012" s="19">
        <f>IF($B9012="","",TEXT($B9012,"0000"))</f>
        <v/>
      </c>
      <c r="W9012" s="19">
        <f>IF($I9012="","",IF(ISNUMBER($I9012),TEXT($I9012,"0"),$I9012))</f>
        <v/>
      </c>
    </row>
    <row r="9013">
      <c r="B9013" s="25" t="n"/>
      <c r="I9013" s="25" t="n"/>
      <c r="U9013" s="19">
        <f>IF(AND($V9013='設定'!$C$4,COUNTIF('商品マスタ'!$B$6:$B$1005,$W9013)=0),N(U9012)+1,N(U9012))</f>
        <v/>
      </c>
      <c r="V9013" s="19">
        <f>IF($B9013="","",TEXT($B9013,"0000"))</f>
        <v/>
      </c>
      <c r="W9013" s="19">
        <f>IF($I9013="","",IF(ISNUMBER($I9013),TEXT($I9013,"0"),$I9013))</f>
        <v/>
      </c>
    </row>
    <row r="9014">
      <c r="B9014" s="25" t="n"/>
      <c r="I9014" s="25" t="n"/>
      <c r="U9014" s="19">
        <f>IF(AND($V9014='設定'!$C$4,COUNTIF('商品マスタ'!$B$6:$B$1005,$W9014)=0),N(U9013)+1,N(U9013))</f>
        <v/>
      </c>
      <c r="V9014" s="19">
        <f>IF($B9014="","",TEXT($B9014,"0000"))</f>
        <v/>
      </c>
      <c r="W9014" s="19">
        <f>IF($I9014="","",IF(ISNUMBER($I9014),TEXT($I9014,"0"),$I9014))</f>
        <v/>
      </c>
    </row>
    <row r="9015">
      <c r="B9015" s="25" t="n"/>
      <c r="I9015" s="25" t="n"/>
      <c r="U9015" s="19">
        <f>IF(AND($V9015='設定'!$C$4,COUNTIF('商品マスタ'!$B$6:$B$1005,$W9015)=0),N(U9014)+1,N(U9014))</f>
        <v/>
      </c>
      <c r="V9015" s="19">
        <f>IF($B9015="","",TEXT($B9015,"0000"))</f>
        <v/>
      </c>
      <c r="W9015" s="19">
        <f>IF($I9015="","",IF(ISNUMBER($I9015),TEXT($I9015,"0"),$I9015))</f>
        <v/>
      </c>
    </row>
    <row r="9016">
      <c r="B9016" s="25" t="n"/>
      <c r="I9016" s="25" t="n"/>
      <c r="U9016" s="19">
        <f>IF(AND($V9016='設定'!$C$4,COUNTIF('商品マスタ'!$B$6:$B$1005,$W9016)=0),N(U9015)+1,N(U9015))</f>
        <v/>
      </c>
      <c r="V9016" s="19">
        <f>IF($B9016="","",TEXT($B9016,"0000"))</f>
        <v/>
      </c>
      <c r="W9016" s="19">
        <f>IF($I9016="","",IF(ISNUMBER($I9016),TEXT($I9016,"0"),$I9016))</f>
        <v/>
      </c>
    </row>
    <row r="9017">
      <c r="B9017" s="25" t="n"/>
      <c r="I9017" s="25" t="n"/>
      <c r="U9017" s="19">
        <f>IF(AND($V9017='設定'!$C$4,COUNTIF('商品マスタ'!$B$6:$B$1005,$W9017)=0),N(U9016)+1,N(U9016))</f>
        <v/>
      </c>
      <c r="V9017" s="19">
        <f>IF($B9017="","",TEXT($B9017,"0000"))</f>
        <v/>
      </c>
      <c r="W9017" s="19">
        <f>IF($I9017="","",IF(ISNUMBER($I9017),TEXT($I9017,"0"),$I9017))</f>
        <v/>
      </c>
    </row>
    <row r="9018">
      <c r="B9018" s="25" t="n"/>
      <c r="I9018" s="25" t="n"/>
      <c r="U9018" s="19">
        <f>IF(AND($V9018='設定'!$C$4,COUNTIF('商品マスタ'!$B$6:$B$1005,$W9018)=0),N(U9017)+1,N(U9017))</f>
        <v/>
      </c>
      <c r="V9018" s="19">
        <f>IF($B9018="","",TEXT($B9018,"0000"))</f>
        <v/>
      </c>
      <c r="W9018" s="19">
        <f>IF($I9018="","",IF(ISNUMBER($I9018),TEXT($I9018,"0"),$I9018))</f>
        <v/>
      </c>
    </row>
    <row r="9019">
      <c r="B9019" s="25" t="n"/>
      <c r="I9019" s="25" t="n"/>
      <c r="U9019" s="19">
        <f>IF(AND($V9019='設定'!$C$4,COUNTIF('商品マスタ'!$B$6:$B$1005,$W9019)=0),N(U9018)+1,N(U9018))</f>
        <v/>
      </c>
      <c r="V9019" s="19">
        <f>IF($B9019="","",TEXT($B9019,"0000"))</f>
        <v/>
      </c>
      <c r="W9019" s="19">
        <f>IF($I9019="","",IF(ISNUMBER($I9019),TEXT($I9019,"0"),$I9019))</f>
        <v/>
      </c>
    </row>
    <row r="9020">
      <c r="B9020" s="25" t="n"/>
      <c r="I9020" s="25" t="n"/>
      <c r="U9020" s="19">
        <f>IF(AND($V9020='設定'!$C$4,COUNTIF('商品マスタ'!$B$6:$B$1005,$W9020)=0),N(U9019)+1,N(U9019))</f>
        <v/>
      </c>
      <c r="V9020" s="19">
        <f>IF($B9020="","",TEXT($B9020,"0000"))</f>
        <v/>
      </c>
      <c r="W9020" s="19">
        <f>IF($I9020="","",IF(ISNUMBER($I9020),TEXT($I9020,"0"),$I9020))</f>
        <v/>
      </c>
    </row>
    <row r="9021">
      <c r="B9021" s="25" t="n"/>
      <c r="I9021" s="25" t="n"/>
      <c r="U9021" s="19">
        <f>IF(AND($V9021='設定'!$C$4,COUNTIF('商品マスタ'!$B$6:$B$1005,$W9021)=0),N(U9020)+1,N(U9020))</f>
        <v/>
      </c>
      <c r="V9021" s="19">
        <f>IF($B9021="","",TEXT($B9021,"0000"))</f>
        <v/>
      </c>
      <c r="W9021" s="19">
        <f>IF($I9021="","",IF(ISNUMBER($I9021),TEXT($I9021,"0"),$I9021))</f>
        <v/>
      </c>
    </row>
    <row r="9022">
      <c r="B9022" s="25" t="n"/>
      <c r="I9022" s="25" t="n"/>
      <c r="U9022" s="19">
        <f>IF(AND($V9022='設定'!$C$4,COUNTIF('商品マスタ'!$B$6:$B$1005,$W9022)=0),N(U9021)+1,N(U9021))</f>
        <v/>
      </c>
      <c r="V9022" s="19">
        <f>IF($B9022="","",TEXT($B9022,"0000"))</f>
        <v/>
      </c>
      <c r="W9022" s="19">
        <f>IF($I9022="","",IF(ISNUMBER($I9022),TEXT($I9022,"0"),$I9022))</f>
        <v/>
      </c>
    </row>
    <row r="9023">
      <c r="B9023" s="25" t="n"/>
      <c r="I9023" s="25" t="n"/>
      <c r="U9023" s="19">
        <f>IF(AND($V9023='設定'!$C$4,COUNTIF('商品マスタ'!$B$6:$B$1005,$W9023)=0),N(U9022)+1,N(U9022))</f>
        <v/>
      </c>
      <c r="V9023" s="19">
        <f>IF($B9023="","",TEXT($B9023,"0000"))</f>
        <v/>
      </c>
      <c r="W9023" s="19">
        <f>IF($I9023="","",IF(ISNUMBER($I9023),TEXT($I9023,"0"),$I9023))</f>
        <v/>
      </c>
    </row>
    <row r="9024">
      <c r="B9024" s="25" t="n"/>
      <c r="I9024" s="25" t="n"/>
      <c r="U9024" s="19">
        <f>IF(AND($V9024='設定'!$C$4,COUNTIF('商品マスタ'!$B$6:$B$1005,$W9024)=0),N(U9023)+1,N(U9023))</f>
        <v/>
      </c>
      <c r="V9024" s="19">
        <f>IF($B9024="","",TEXT($B9024,"0000"))</f>
        <v/>
      </c>
      <c r="W9024" s="19">
        <f>IF($I9024="","",IF(ISNUMBER($I9024),TEXT($I9024,"0"),$I9024))</f>
        <v/>
      </c>
    </row>
    <row r="9025">
      <c r="B9025" s="25" t="n"/>
      <c r="I9025" s="25" t="n"/>
      <c r="U9025" s="19">
        <f>IF(AND($V9025='設定'!$C$4,COUNTIF('商品マスタ'!$B$6:$B$1005,$W9025)=0),N(U9024)+1,N(U9024))</f>
        <v/>
      </c>
      <c r="V9025" s="19">
        <f>IF($B9025="","",TEXT($B9025,"0000"))</f>
        <v/>
      </c>
      <c r="W9025" s="19">
        <f>IF($I9025="","",IF(ISNUMBER($I9025),TEXT($I9025,"0"),$I9025))</f>
        <v/>
      </c>
    </row>
    <row r="9026">
      <c r="B9026" s="25" t="n"/>
      <c r="I9026" s="25" t="n"/>
      <c r="U9026" s="19">
        <f>IF(AND($V9026='設定'!$C$4,COUNTIF('商品マスタ'!$B$6:$B$1005,$W9026)=0),N(U9025)+1,N(U9025))</f>
        <v/>
      </c>
      <c r="V9026" s="19">
        <f>IF($B9026="","",TEXT($B9026,"0000"))</f>
        <v/>
      </c>
      <c r="W9026" s="19">
        <f>IF($I9026="","",IF(ISNUMBER($I9026),TEXT($I9026,"0"),$I9026))</f>
        <v/>
      </c>
    </row>
    <row r="9027">
      <c r="B9027" s="25" t="n"/>
      <c r="I9027" s="25" t="n"/>
      <c r="U9027" s="19">
        <f>IF(AND($V9027='設定'!$C$4,COUNTIF('商品マスタ'!$B$6:$B$1005,$W9027)=0),N(U9026)+1,N(U9026))</f>
        <v/>
      </c>
      <c r="V9027" s="19">
        <f>IF($B9027="","",TEXT($B9027,"0000"))</f>
        <v/>
      </c>
      <c r="W9027" s="19">
        <f>IF($I9027="","",IF(ISNUMBER($I9027),TEXT($I9027,"0"),$I9027))</f>
        <v/>
      </c>
    </row>
    <row r="9028">
      <c r="B9028" s="25" t="n"/>
      <c r="I9028" s="25" t="n"/>
      <c r="U9028" s="19">
        <f>IF(AND($V9028='設定'!$C$4,COUNTIF('商品マスタ'!$B$6:$B$1005,$W9028)=0),N(U9027)+1,N(U9027))</f>
        <v/>
      </c>
      <c r="V9028" s="19">
        <f>IF($B9028="","",TEXT($B9028,"0000"))</f>
        <v/>
      </c>
      <c r="W9028" s="19">
        <f>IF($I9028="","",IF(ISNUMBER($I9028),TEXT($I9028,"0"),$I9028))</f>
        <v/>
      </c>
    </row>
    <row r="9029">
      <c r="B9029" s="25" t="n"/>
      <c r="I9029" s="25" t="n"/>
      <c r="U9029" s="19">
        <f>IF(AND($V9029='設定'!$C$4,COUNTIF('商品マスタ'!$B$6:$B$1005,$W9029)=0),N(U9028)+1,N(U9028))</f>
        <v/>
      </c>
      <c r="V9029" s="19">
        <f>IF($B9029="","",TEXT($B9029,"0000"))</f>
        <v/>
      </c>
      <c r="W9029" s="19">
        <f>IF($I9029="","",IF(ISNUMBER($I9029),TEXT($I9029,"0"),$I9029))</f>
        <v/>
      </c>
    </row>
    <row r="9030">
      <c r="B9030" s="25" t="n"/>
      <c r="I9030" s="25" t="n"/>
      <c r="U9030" s="19">
        <f>IF(AND($V9030='設定'!$C$4,COUNTIF('商品マスタ'!$B$6:$B$1005,$W9030)=0),N(U9029)+1,N(U9029))</f>
        <v/>
      </c>
      <c r="V9030" s="19">
        <f>IF($B9030="","",TEXT($B9030,"0000"))</f>
        <v/>
      </c>
      <c r="W9030" s="19">
        <f>IF($I9030="","",IF(ISNUMBER($I9030),TEXT($I9030,"0"),$I9030))</f>
        <v/>
      </c>
    </row>
    <row r="9031">
      <c r="B9031" s="25" t="n"/>
      <c r="I9031" s="25" t="n"/>
      <c r="U9031" s="19">
        <f>IF(AND($V9031='設定'!$C$4,COUNTIF('商品マスタ'!$B$6:$B$1005,$W9031)=0),N(U9030)+1,N(U9030))</f>
        <v/>
      </c>
      <c r="V9031" s="19">
        <f>IF($B9031="","",TEXT($B9031,"0000"))</f>
        <v/>
      </c>
      <c r="W9031" s="19">
        <f>IF($I9031="","",IF(ISNUMBER($I9031),TEXT($I9031,"0"),$I9031))</f>
        <v/>
      </c>
    </row>
    <row r="9032">
      <c r="B9032" s="25" t="n"/>
      <c r="I9032" s="25" t="n"/>
      <c r="U9032" s="19">
        <f>IF(AND($V9032='設定'!$C$4,COUNTIF('商品マスタ'!$B$6:$B$1005,$W9032)=0),N(U9031)+1,N(U9031))</f>
        <v/>
      </c>
      <c r="V9032" s="19">
        <f>IF($B9032="","",TEXT($B9032,"0000"))</f>
        <v/>
      </c>
      <c r="W9032" s="19">
        <f>IF($I9032="","",IF(ISNUMBER($I9032),TEXT($I9032,"0"),$I9032))</f>
        <v/>
      </c>
    </row>
    <row r="9033">
      <c r="B9033" s="25" t="n"/>
      <c r="I9033" s="25" t="n"/>
      <c r="U9033" s="19">
        <f>IF(AND($V9033='設定'!$C$4,COUNTIF('商品マスタ'!$B$6:$B$1005,$W9033)=0),N(U9032)+1,N(U9032))</f>
        <v/>
      </c>
      <c r="V9033" s="19">
        <f>IF($B9033="","",TEXT($B9033,"0000"))</f>
        <v/>
      </c>
      <c r="W9033" s="19">
        <f>IF($I9033="","",IF(ISNUMBER($I9033),TEXT($I9033,"0"),$I9033))</f>
        <v/>
      </c>
    </row>
    <row r="9034">
      <c r="B9034" s="25" t="n"/>
      <c r="I9034" s="25" t="n"/>
      <c r="U9034" s="19">
        <f>IF(AND($V9034='設定'!$C$4,COUNTIF('商品マスタ'!$B$6:$B$1005,$W9034)=0),N(U9033)+1,N(U9033))</f>
        <v/>
      </c>
      <c r="V9034" s="19">
        <f>IF($B9034="","",TEXT($B9034,"0000"))</f>
        <v/>
      </c>
      <c r="W9034" s="19">
        <f>IF($I9034="","",IF(ISNUMBER($I9034),TEXT($I9034,"0"),$I9034))</f>
        <v/>
      </c>
    </row>
    <row r="9035">
      <c r="B9035" s="25" t="n"/>
      <c r="I9035" s="25" t="n"/>
      <c r="U9035" s="19">
        <f>IF(AND($V9035='設定'!$C$4,COUNTIF('商品マスタ'!$B$6:$B$1005,$W9035)=0),N(U9034)+1,N(U9034))</f>
        <v/>
      </c>
      <c r="V9035" s="19">
        <f>IF($B9035="","",TEXT($B9035,"0000"))</f>
        <v/>
      </c>
      <c r="W9035" s="19">
        <f>IF($I9035="","",IF(ISNUMBER($I9035),TEXT($I9035,"0"),$I9035))</f>
        <v/>
      </c>
    </row>
    <row r="9036">
      <c r="B9036" s="25" t="n"/>
      <c r="I9036" s="25" t="n"/>
      <c r="U9036" s="19">
        <f>IF(AND($V9036='設定'!$C$4,COUNTIF('商品マスタ'!$B$6:$B$1005,$W9036)=0),N(U9035)+1,N(U9035))</f>
        <v/>
      </c>
      <c r="V9036" s="19">
        <f>IF($B9036="","",TEXT($B9036,"0000"))</f>
        <v/>
      </c>
      <c r="W9036" s="19">
        <f>IF($I9036="","",IF(ISNUMBER($I9036),TEXT($I9036,"0"),$I9036))</f>
        <v/>
      </c>
    </row>
    <row r="9037">
      <c r="B9037" s="25" t="n"/>
      <c r="I9037" s="25" t="n"/>
      <c r="U9037" s="19">
        <f>IF(AND($V9037='設定'!$C$4,COUNTIF('商品マスタ'!$B$6:$B$1005,$W9037)=0),N(U9036)+1,N(U9036))</f>
        <v/>
      </c>
      <c r="V9037" s="19">
        <f>IF($B9037="","",TEXT($B9037,"0000"))</f>
        <v/>
      </c>
      <c r="W9037" s="19">
        <f>IF($I9037="","",IF(ISNUMBER($I9037),TEXT($I9037,"0"),$I9037))</f>
        <v/>
      </c>
    </row>
    <row r="9038">
      <c r="B9038" s="25" t="n"/>
      <c r="I9038" s="25" t="n"/>
      <c r="U9038" s="19">
        <f>IF(AND($V9038='設定'!$C$4,COUNTIF('商品マスタ'!$B$6:$B$1005,$W9038)=0),N(U9037)+1,N(U9037))</f>
        <v/>
      </c>
      <c r="V9038" s="19">
        <f>IF($B9038="","",TEXT($B9038,"0000"))</f>
        <v/>
      </c>
      <c r="W9038" s="19">
        <f>IF($I9038="","",IF(ISNUMBER($I9038),TEXT($I9038,"0"),$I9038))</f>
        <v/>
      </c>
    </row>
    <row r="9039">
      <c r="B9039" s="25" t="n"/>
      <c r="I9039" s="25" t="n"/>
      <c r="U9039" s="19">
        <f>IF(AND($V9039='設定'!$C$4,COUNTIF('商品マスタ'!$B$6:$B$1005,$W9039)=0),N(U9038)+1,N(U9038))</f>
        <v/>
      </c>
      <c r="V9039" s="19">
        <f>IF($B9039="","",TEXT($B9039,"0000"))</f>
        <v/>
      </c>
      <c r="W9039" s="19">
        <f>IF($I9039="","",IF(ISNUMBER($I9039),TEXT($I9039,"0"),$I9039))</f>
        <v/>
      </c>
    </row>
    <row r="9040">
      <c r="B9040" s="25" t="n"/>
      <c r="I9040" s="25" t="n"/>
      <c r="U9040" s="19">
        <f>IF(AND($V9040='設定'!$C$4,COUNTIF('商品マスタ'!$B$6:$B$1005,$W9040)=0),N(U9039)+1,N(U9039))</f>
        <v/>
      </c>
      <c r="V9040" s="19">
        <f>IF($B9040="","",TEXT($B9040,"0000"))</f>
        <v/>
      </c>
      <c r="W9040" s="19">
        <f>IF($I9040="","",IF(ISNUMBER($I9040),TEXT($I9040,"0"),$I9040))</f>
        <v/>
      </c>
    </row>
    <row r="9041">
      <c r="B9041" s="25" t="n"/>
      <c r="I9041" s="25" t="n"/>
      <c r="U9041" s="19">
        <f>IF(AND($V9041='設定'!$C$4,COUNTIF('商品マスタ'!$B$6:$B$1005,$W9041)=0),N(U9040)+1,N(U9040))</f>
        <v/>
      </c>
      <c r="V9041" s="19">
        <f>IF($B9041="","",TEXT($B9041,"0000"))</f>
        <v/>
      </c>
      <c r="W9041" s="19">
        <f>IF($I9041="","",IF(ISNUMBER($I9041),TEXT($I9041,"0"),$I9041))</f>
        <v/>
      </c>
    </row>
    <row r="9042">
      <c r="B9042" s="25" t="n"/>
      <c r="I9042" s="25" t="n"/>
      <c r="U9042" s="19">
        <f>IF(AND($V9042='設定'!$C$4,COUNTIF('商品マスタ'!$B$6:$B$1005,$W9042)=0),N(U9041)+1,N(U9041))</f>
        <v/>
      </c>
      <c r="V9042" s="19">
        <f>IF($B9042="","",TEXT($B9042,"0000"))</f>
        <v/>
      </c>
      <c r="W9042" s="19">
        <f>IF($I9042="","",IF(ISNUMBER($I9042),TEXT($I9042,"0"),$I9042))</f>
        <v/>
      </c>
    </row>
    <row r="9043">
      <c r="B9043" s="25" t="n"/>
      <c r="I9043" s="25" t="n"/>
      <c r="U9043" s="19">
        <f>IF(AND($V9043='設定'!$C$4,COUNTIF('商品マスタ'!$B$6:$B$1005,$W9043)=0),N(U9042)+1,N(U9042))</f>
        <v/>
      </c>
      <c r="V9043" s="19">
        <f>IF($B9043="","",TEXT($B9043,"0000"))</f>
        <v/>
      </c>
      <c r="W9043" s="19">
        <f>IF($I9043="","",IF(ISNUMBER($I9043),TEXT($I9043,"0"),$I9043))</f>
        <v/>
      </c>
    </row>
    <row r="9044">
      <c r="B9044" s="25" t="n"/>
      <c r="I9044" s="25" t="n"/>
      <c r="U9044" s="19">
        <f>IF(AND($V9044='設定'!$C$4,COUNTIF('商品マスタ'!$B$6:$B$1005,$W9044)=0),N(U9043)+1,N(U9043))</f>
        <v/>
      </c>
      <c r="V9044" s="19">
        <f>IF($B9044="","",TEXT($B9044,"0000"))</f>
        <v/>
      </c>
      <c r="W9044" s="19">
        <f>IF($I9044="","",IF(ISNUMBER($I9044),TEXT($I9044,"0"),$I9044))</f>
        <v/>
      </c>
    </row>
    <row r="9045">
      <c r="B9045" s="25" t="n"/>
      <c r="I9045" s="25" t="n"/>
      <c r="U9045" s="19">
        <f>IF(AND($V9045='設定'!$C$4,COUNTIF('商品マスタ'!$B$6:$B$1005,$W9045)=0),N(U9044)+1,N(U9044))</f>
        <v/>
      </c>
      <c r="V9045" s="19">
        <f>IF($B9045="","",TEXT($B9045,"0000"))</f>
        <v/>
      </c>
      <c r="W9045" s="19">
        <f>IF($I9045="","",IF(ISNUMBER($I9045),TEXT($I9045,"0"),$I9045))</f>
        <v/>
      </c>
    </row>
    <row r="9046">
      <c r="B9046" s="25" t="n"/>
      <c r="I9046" s="25" t="n"/>
      <c r="U9046" s="19">
        <f>IF(AND($V9046='設定'!$C$4,COUNTIF('商品マスタ'!$B$6:$B$1005,$W9046)=0),N(U9045)+1,N(U9045))</f>
        <v/>
      </c>
      <c r="V9046" s="19">
        <f>IF($B9046="","",TEXT($B9046,"0000"))</f>
        <v/>
      </c>
      <c r="W9046" s="19">
        <f>IF($I9046="","",IF(ISNUMBER($I9046),TEXT($I9046,"0"),$I9046))</f>
        <v/>
      </c>
    </row>
    <row r="9047">
      <c r="B9047" s="25" t="n"/>
      <c r="I9047" s="25" t="n"/>
      <c r="U9047" s="19">
        <f>IF(AND($V9047='設定'!$C$4,COUNTIF('商品マスタ'!$B$6:$B$1005,$W9047)=0),N(U9046)+1,N(U9046))</f>
        <v/>
      </c>
      <c r="V9047" s="19">
        <f>IF($B9047="","",TEXT($B9047,"0000"))</f>
        <v/>
      </c>
      <c r="W9047" s="19">
        <f>IF($I9047="","",IF(ISNUMBER($I9047),TEXT($I9047,"0"),$I9047))</f>
        <v/>
      </c>
    </row>
    <row r="9048">
      <c r="B9048" s="25" t="n"/>
      <c r="I9048" s="25" t="n"/>
      <c r="U9048" s="19">
        <f>IF(AND($V9048='設定'!$C$4,COUNTIF('商品マスタ'!$B$6:$B$1005,$W9048)=0),N(U9047)+1,N(U9047))</f>
        <v/>
      </c>
      <c r="V9048" s="19">
        <f>IF($B9048="","",TEXT($B9048,"0000"))</f>
        <v/>
      </c>
      <c r="W9048" s="19">
        <f>IF($I9048="","",IF(ISNUMBER($I9048),TEXT($I9048,"0"),$I9048))</f>
        <v/>
      </c>
    </row>
    <row r="9049">
      <c r="B9049" s="25" t="n"/>
      <c r="I9049" s="25" t="n"/>
      <c r="U9049" s="19">
        <f>IF(AND($V9049='設定'!$C$4,COUNTIF('商品マスタ'!$B$6:$B$1005,$W9049)=0),N(U9048)+1,N(U9048))</f>
        <v/>
      </c>
      <c r="V9049" s="19">
        <f>IF($B9049="","",TEXT($B9049,"0000"))</f>
        <v/>
      </c>
      <c r="W9049" s="19">
        <f>IF($I9049="","",IF(ISNUMBER($I9049),TEXT($I9049,"0"),$I9049))</f>
        <v/>
      </c>
    </row>
    <row r="9050">
      <c r="B9050" s="25" t="n"/>
      <c r="I9050" s="25" t="n"/>
      <c r="U9050" s="19">
        <f>IF(AND($V9050='設定'!$C$4,COUNTIF('商品マスタ'!$B$6:$B$1005,$W9050)=0),N(U9049)+1,N(U9049))</f>
        <v/>
      </c>
      <c r="V9050" s="19">
        <f>IF($B9050="","",TEXT($B9050,"0000"))</f>
        <v/>
      </c>
      <c r="W9050" s="19">
        <f>IF($I9050="","",IF(ISNUMBER($I9050),TEXT($I9050,"0"),$I9050))</f>
        <v/>
      </c>
    </row>
    <row r="9051">
      <c r="B9051" s="25" t="n"/>
      <c r="I9051" s="25" t="n"/>
      <c r="U9051" s="19">
        <f>IF(AND($V9051='設定'!$C$4,COUNTIF('商品マスタ'!$B$6:$B$1005,$W9051)=0),N(U9050)+1,N(U9050))</f>
        <v/>
      </c>
      <c r="V9051" s="19">
        <f>IF($B9051="","",TEXT($B9051,"0000"))</f>
        <v/>
      </c>
      <c r="W9051" s="19">
        <f>IF($I9051="","",IF(ISNUMBER($I9051),TEXT($I9051,"0"),$I9051))</f>
        <v/>
      </c>
    </row>
    <row r="9052">
      <c r="B9052" s="25" t="n"/>
      <c r="I9052" s="25" t="n"/>
      <c r="U9052" s="19">
        <f>IF(AND($V9052='設定'!$C$4,COUNTIF('商品マスタ'!$B$6:$B$1005,$W9052)=0),N(U9051)+1,N(U9051))</f>
        <v/>
      </c>
      <c r="V9052" s="19">
        <f>IF($B9052="","",TEXT($B9052,"0000"))</f>
        <v/>
      </c>
      <c r="W9052" s="19">
        <f>IF($I9052="","",IF(ISNUMBER($I9052),TEXT($I9052,"0"),$I9052))</f>
        <v/>
      </c>
    </row>
    <row r="9053">
      <c r="B9053" s="25" t="n"/>
      <c r="I9053" s="25" t="n"/>
      <c r="U9053" s="19">
        <f>IF(AND($V9053='設定'!$C$4,COUNTIF('商品マスタ'!$B$6:$B$1005,$W9053)=0),N(U9052)+1,N(U9052))</f>
        <v/>
      </c>
      <c r="V9053" s="19">
        <f>IF($B9053="","",TEXT($B9053,"0000"))</f>
        <v/>
      </c>
      <c r="W9053" s="19">
        <f>IF($I9053="","",IF(ISNUMBER($I9053),TEXT($I9053,"0"),$I9053))</f>
        <v/>
      </c>
    </row>
    <row r="9054">
      <c r="B9054" s="25" t="n"/>
      <c r="I9054" s="25" t="n"/>
      <c r="U9054" s="19">
        <f>IF(AND($V9054='設定'!$C$4,COUNTIF('商品マスタ'!$B$6:$B$1005,$W9054)=0),N(U9053)+1,N(U9053))</f>
        <v/>
      </c>
      <c r="V9054" s="19">
        <f>IF($B9054="","",TEXT($B9054,"0000"))</f>
        <v/>
      </c>
      <c r="W9054" s="19">
        <f>IF($I9054="","",IF(ISNUMBER($I9054),TEXT($I9054,"0"),$I9054))</f>
        <v/>
      </c>
    </row>
    <row r="9055">
      <c r="B9055" s="25" t="n"/>
      <c r="I9055" s="25" t="n"/>
      <c r="U9055" s="19">
        <f>IF(AND($V9055='設定'!$C$4,COUNTIF('商品マスタ'!$B$6:$B$1005,$W9055)=0),N(U9054)+1,N(U9054))</f>
        <v/>
      </c>
      <c r="V9055" s="19">
        <f>IF($B9055="","",TEXT($B9055,"0000"))</f>
        <v/>
      </c>
      <c r="W9055" s="19">
        <f>IF($I9055="","",IF(ISNUMBER($I9055),TEXT($I9055,"0"),$I9055))</f>
        <v/>
      </c>
    </row>
    <row r="9056">
      <c r="B9056" s="25" t="n"/>
      <c r="I9056" s="25" t="n"/>
      <c r="U9056" s="19">
        <f>IF(AND($V9056='設定'!$C$4,COUNTIF('商品マスタ'!$B$6:$B$1005,$W9056)=0),N(U9055)+1,N(U9055))</f>
        <v/>
      </c>
      <c r="V9056" s="19">
        <f>IF($B9056="","",TEXT($B9056,"0000"))</f>
        <v/>
      </c>
      <c r="W9056" s="19">
        <f>IF($I9056="","",IF(ISNUMBER($I9056),TEXT($I9056,"0"),$I9056))</f>
        <v/>
      </c>
    </row>
    <row r="9057">
      <c r="B9057" s="25" t="n"/>
      <c r="I9057" s="25" t="n"/>
      <c r="U9057" s="19">
        <f>IF(AND($V9057='設定'!$C$4,COUNTIF('商品マスタ'!$B$6:$B$1005,$W9057)=0),N(U9056)+1,N(U9056))</f>
        <v/>
      </c>
      <c r="V9057" s="19">
        <f>IF($B9057="","",TEXT($B9057,"0000"))</f>
        <v/>
      </c>
      <c r="W9057" s="19">
        <f>IF($I9057="","",IF(ISNUMBER($I9057),TEXT($I9057,"0"),$I9057))</f>
        <v/>
      </c>
    </row>
    <row r="9058">
      <c r="B9058" s="25" t="n"/>
      <c r="I9058" s="25" t="n"/>
      <c r="U9058" s="19">
        <f>IF(AND($V9058='設定'!$C$4,COUNTIF('商品マスタ'!$B$6:$B$1005,$W9058)=0),N(U9057)+1,N(U9057))</f>
        <v/>
      </c>
      <c r="V9058" s="19">
        <f>IF($B9058="","",TEXT($B9058,"0000"))</f>
        <v/>
      </c>
      <c r="W9058" s="19">
        <f>IF($I9058="","",IF(ISNUMBER($I9058),TEXT($I9058,"0"),$I9058))</f>
        <v/>
      </c>
    </row>
    <row r="9059">
      <c r="B9059" s="25" t="n"/>
      <c r="I9059" s="25" t="n"/>
      <c r="U9059" s="19">
        <f>IF(AND($V9059='設定'!$C$4,COUNTIF('商品マスタ'!$B$6:$B$1005,$W9059)=0),N(U9058)+1,N(U9058))</f>
        <v/>
      </c>
      <c r="V9059" s="19">
        <f>IF($B9059="","",TEXT($B9059,"0000"))</f>
        <v/>
      </c>
      <c r="W9059" s="19">
        <f>IF($I9059="","",IF(ISNUMBER($I9059),TEXT($I9059,"0"),$I9059))</f>
        <v/>
      </c>
    </row>
    <row r="9060">
      <c r="B9060" s="25" t="n"/>
      <c r="I9060" s="25" t="n"/>
      <c r="U9060" s="19">
        <f>IF(AND($V9060='設定'!$C$4,COUNTIF('商品マスタ'!$B$6:$B$1005,$W9060)=0),N(U9059)+1,N(U9059))</f>
        <v/>
      </c>
      <c r="V9060" s="19">
        <f>IF($B9060="","",TEXT($B9060,"0000"))</f>
        <v/>
      </c>
      <c r="W9060" s="19">
        <f>IF($I9060="","",IF(ISNUMBER($I9060),TEXT($I9060,"0"),$I9060))</f>
        <v/>
      </c>
    </row>
    <row r="9061">
      <c r="B9061" s="25" t="n"/>
      <c r="I9061" s="25" t="n"/>
      <c r="U9061" s="19">
        <f>IF(AND($V9061='設定'!$C$4,COUNTIF('商品マスタ'!$B$6:$B$1005,$W9061)=0),N(U9060)+1,N(U9060))</f>
        <v/>
      </c>
      <c r="V9061" s="19">
        <f>IF($B9061="","",TEXT($B9061,"0000"))</f>
        <v/>
      </c>
      <c r="W9061" s="19">
        <f>IF($I9061="","",IF(ISNUMBER($I9061),TEXT($I9061,"0"),$I9061))</f>
        <v/>
      </c>
    </row>
    <row r="9062">
      <c r="B9062" s="25" t="n"/>
      <c r="I9062" s="25" t="n"/>
      <c r="U9062" s="19">
        <f>IF(AND($V9062='設定'!$C$4,COUNTIF('商品マスタ'!$B$6:$B$1005,$W9062)=0),N(U9061)+1,N(U9061))</f>
        <v/>
      </c>
      <c r="V9062" s="19">
        <f>IF($B9062="","",TEXT($B9062,"0000"))</f>
        <v/>
      </c>
      <c r="W9062" s="19">
        <f>IF($I9062="","",IF(ISNUMBER($I9062),TEXT($I9062,"0"),$I9062))</f>
        <v/>
      </c>
    </row>
    <row r="9063">
      <c r="B9063" s="25" t="n"/>
      <c r="I9063" s="25" t="n"/>
      <c r="U9063" s="19">
        <f>IF(AND($V9063='設定'!$C$4,COUNTIF('商品マスタ'!$B$6:$B$1005,$W9063)=0),N(U9062)+1,N(U9062))</f>
        <v/>
      </c>
      <c r="V9063" s="19">
        <f>IF($B9063="","",TEXT($B9063,"0000"))</f>
        <v/>
      </c>
      <c r="W9063" s="19">
        <f>IF($I9063="","",IF(ISNUMBER($I9063),TEXT($I9063,"0"),$I9063))</f>
        <v/>
      </c>
    </row>
    <row r="9064">
      <c r="B9064" s="25" t="n"/>
      <c r="I9064" s="25" t="n"/>
      <c r="U9064" s="19">
        <f>IF(AND($V9064='設定'!$C$4,COUNTIF('商品マスタ'!$B$6:$B$1005,$W9064)=0),N(U9063)+1,N(U9063))</f>
        <v/>
      </c>
      <c r="V9064" s="19">
        <f>IF($B9064="","",TEXT($B9064,"0000"))</f>
        <v/>
      </c>
      <c r="W9064" s="19">
        <f>IF($I9064="","",IF(ISNUMBER($I9064),TEXT($I9064,"0"),$I9064))</f>
        <v/>
      </c>
    </row>
    <row r="9065">
      <c r="B9065" s="25" t="n"/>
      <c r="I9065" s="25" t="n"/>
      <c r="U9065" s="19">
        <f>IF(AND($V9065='設定'!$C$4,COUNTIF('商品マスタ'!$B$6:$B$1005,$W9065)=0),N(U9064)+1,N(U9064))</f>
        <v/>
      </c>
      <c r="V9065" s="19">
        <f>IF($B9065="","",TEXT($B9065,"0000"))</f>
        <v/>
      </c>
      <c r="W9065" s="19">
        <f>IF($I9065="","",IF(ISNUMBER($I9065),TEXT($I9065,"0"),$I9065))</f>
        <v/>
      </c>
    </row>
    <row r="9066">
      <c r="B9066" s="25" t="n"/>
      <c r="I9066" s="25" t="n"/>
      <c r="U9066" s="19">
        <f>IF(AND($V9066='設定'!$C$4,COUNTIF('商品マスタ'!$B$6:$B$1005,$W9066)=0),N(U9065)+1,N(U9065))</f>
        <v/>
      </c>
      <c r="V9066" s="19">
        <f>IF($B9066="","",TEXT($B9066,"0000"))</f>
        <v/>
      </c>
      <c r="W9066" s="19">
        <f>IF($I9066="","",IF(ISNUMBER($I9066),TEXT($I9066,"0"),$I9066))</f>
        <v/>
      </c>
    </row>
    <row r="9067">
      <c r="B9067" s="25" t="n"/>
      <c r="I9067" s="25" t="n"/>
      <c r="U9067" s="19">
        <f>IF(AND($V9067='設定'!$C$4,COUNTIF('商品マスタ'!$B$6:$B$1005,$W9067)=0),N(U9066)+1,N(U9066))</f>
        <v/>
      </c>
      <c r="V9067" s="19">
        <f>IF($B9067="","",TEXT($B9067,"0000"))</f>
        <v/>
      </c>
      <c r="W9067" s="19">
        <f>IF($I9067="","",IF(ISNUMBER($I9067),TEXT($I9067,"0"),$I9067))</f>
        <v/>
      </c>
    </row>
    <row r="9068">
      <c r="B9068" s="25" t="n"/>
      <c r="I9068" s="25" t="n"/>
      <c r="U9068" s="19">
        <f>IF(AND($V9068='設定'!$C$4,COUNTIF('商品マスタ'!$B$6:$B$1005,$W9068)=0),N(U9067)+1,N(U9067))</f>
        <v/>
      </c>
      <c r="V9068" s="19">
        <f>IF($B9068="","",TEXT($B9068,"0000"))</f>
        <v/>
      </c>
      <c r="W9068" s="19">
        <f>IF($I9068="","",IF(ISNUMBER($I9068),TEXT($I9068,"0"),$I9068))</f>
        <v/>
      </c>
    </row>
    <row r="9069">
      <c r="B9069" s="25" t="n"/>
      <c r="I9069" s="25" t="n"/>
      <c r="U9069" s="19">
        <f>IF(AND($V9069='設定'!$C$4,COUNTIF('商品マスタ'!$B$6:$B$1005,$W9069)=0),N(U9068)+1,N(U9068))</f>
        <v/>
      </c>
      <c r="V9069" s="19">
        <f>IF($B9069="","",TEXT($B9069,"0000"))</f>
        <v/>
      </c>
      <c r="W9069" s="19">
        <f>IF($I9069="","",IF(ISNUMBER($I9069),TEXT($I9069,"0"),$I9069))</f>
        <v/>
      </c>
    </row>
    <row r="9070">
      <c r="B9070" s="25" t="n"/>
      <c r="I9070" s="25" t="n"/>
      <c r="U9070" s="19">
        <f>IF(AND($V9070='設定'!$C$4,COUNTIF('商品マスタ'!$B$6:$B$1005,$W9070)=0),N(U9069)+1,N(U9069))</f>
        <v/>
      </c>
      <c r="V9070" s="19">
        <f>IF($B9070="","",TEXT($B9070,"0000"))</f>
        <v/>
      </c>
      <c r="W9070" s="19">
        <f>IF($I9070="","",IF(ISNUMBER($I9070),TEXT($I9070,"0"),$I9070))</f>
        <v/>
      </c>
    </row>
    <row r="9071">
      <c r="B9071" s="25" t="n"/>
      <c r="I9071" s="25" t="n"/>
      <c r="U9071" s="19">
        <f>IF(AND($V9071='設定'!$C$4,COUNTIF('商品マスタ'!$B$6:$B$1005,$W9071)=0),N(U9070)+1,N(U9070))</f>
        <v/>
      </c>
      <c r="V9071" s="19">
        <f>IF($B9071="","",TEXT($B9071,"0000"))</f>
        <v/>
      </c>
      <c r="W9071" s="19">
        <f>IF($I9071="","",IF(ISNUMBER($I9071),TEXT($I9071,"0"),$I9071))</f>
        <v/>
      </c>
    </row>
    <row r="9072">
      <c r="B9072" s="25" t="n"/>
      <c r="I9072" s="25" t="n"/>
      <c r="U9072" s="19">
        <f>IF(AND($V9072='設定'!$C$4,COUNTIF('商品マスタ'!$B$6:$B$1005,$W9072)=0),N(U9071)+1,N(U9071))</f>
        <v/>
      </c>
      <c r="V9072" s="19">
        <f>IF($B9072="","",TEXT($B9072,"0000"))</f>
        <v/>
      </c>
      <c r="W9072" s="19">
        <f>IF($I9072="","",IF(ISNUMBER($I9072),TEXT($I9072,"0"),$I9072))</f>
        <v/>
      </c>
    </row>
    <row r="9073">
      <c r="B9073" s="25" t="n"/>
      <c r="I9073" s="25" t="n"/>
      <c r="U9073" s="19">
        <f>IF(AND($V9073='設定'!$C$4,COUNTIF('商品マスタ'!$B$6:$B$1005,$W9073)=0),N(U9072)+1,N(U9072))</f>
        <v/>
      </c>
      <c r="V9073" s="19">
        <f>IF($B9073="","",TEXT($B9073,"0000"))</f>
        <v/>
      </c>
      <c r="W9073" s="19">
        <f>IF($I9073="","",IF(ISNUMBER($I9073),TEXT($I9073,"0"),$I9073))</f>
        <v/>
      </c>
    </row>
    <row r="9074">
      <c r="B9074" s="25" t="n"/>
      <c r="I9074" s="25" t="n"/>
      <c r="U9074" s="19">
        <f>IF(AND($V9074='設定'!$C$4,COUNTIF('商品マスタ'!$B$6:$B$1005,$W9074)=0),N(U9073)+1,N(U9073))</f>
        <v/>
      </c>
      <c r="V9074" s="19">
        <f>IF($B9074="","",TEXT($B9074,"0000"))</f>
        <v/>
      </c>
      <c r="W9074" s="19">
        <f>IF($I9074="","",IF(ISNUMBER($I9074),TEXT($I9074,"0"),$I9074))</f>
        <v/>
      </c>
    </row>
    <row r="9075">
      <c r="B9075" s="25" t="n"/>
      <c r="I9075" s="25" t="n"/>
      <c r="U9075" s="19">
        <f>IF(AND($V9075='設定'!$C$4,COUNTIF('商品マスタ'!$B$6:$B$1005,$W9075)=0),N(U9074)+1,N(U9074))</f>
        <v/>
      </c>
      <c r="V9075" s="19">
        <f>IF($B9075="","",TEXT($B9075,"0000"))</f>
        <v/>
      </c>
      <c r="W9075" s="19">
        <f>IF($I9075="","",IF(ISNUMBER($I9075),TEXT($I9075,"0"),$I9075))</f>
        <v/>
      </c>
    </row>
    <row r="9076">
      <c r="B9076" s="25" t="n"/>
      <c r="I9076" s="25" t="n"/>
      <c r="U9076" s="19">
        <f>IF(AND($V9076='設定'!$C$4,COUNTIF('商品マスタ'!$B$6:$B$1005,$W9076)=0),N(U9075)+1,N(U9075))</f>
        <v/>
      </c>
      <c r="V9076" s="19">
        <f>IF($B9076="","",TEXT($B9076,"0000"))</f>
        <v/>
      </c>
      <c r="W9076" s="19">
        <f>IF($I9076="","",IF(ISNUMBER($I9076),TEXT($I9076,"0"),$I9076))</f>
        <v/>
      </c>
    </row>
    <row r="9077">
      <c r="B9077" s="25" t="n"/>
      <c r="I9077" s="25" t="n"/>
      <c r="U9077" s="19">
        <f>IF(AND($V9077='設定'!$C$4,COUNTIF('商品マスタ'!$B$6:$B$1005,$W9077)=0),N(U9076)+1,N(U9076))</f>
        <v/>
      </c>
      <c r="V9077" s="19">
        <f>IF($B9077="","",TEXT($B9077,"0000"))</f>
        <v/>
      </c>
      <c r="W9077" s="19">
        <f>IF($I9077="","",IF(ISNUMBER($I9077),TEXT($I9077,"0"),$I9077))</f>
        <v/>
      </c>
    </row>
    <row r="9078">
      <c r="B9078" s="25" t="n"/>
      <c r="I9078" s="25" t="n"/>
      <c r="U9078" s="19">
        <f>IF(AND($V9078='設定'!$C$4,COUNTIF('商品マスタ'!$B$6:$B$1005,$W9078)=0),N(U9077)+1,N(U9077))</f>
        <v/>
      </c>
      <c r="V9078" s="19">
        <f>IF($B9078="","",TEXT($B9078,"0000"))</f>
        <v/>
      </c>
      <c r="W9078" s="19">
        <f>IF($I9078="","",IF(ISNUMBER($I9078),TEXT($I9078,"0"),$I9078))</f>
        <v/>
      </c>
    </row>
    <row r="9079">
      <c r="B9079" s="25" t="n"/>
      <c r="I9079" s="25" t="n"/>
      <c r="U9079" s="19">
        <f>IF(AND($V9079='設定'!$C$4,COUNTIF('商品マスタ'!$B$6:$B$1005,$W9079)=0),N(U9078)+1,N(U9078))</f>
        <v/>
      </c>
      <c r="V9079" s="19">
        <f>IF($B9079="","",TEXT($B9079,"0000"))</f>
        <v/>
      </c>
      <c r="W9079" s="19">
        <f>IF($I9079="","",IF(ISNUMBER($I9079),TEXT($I9079,"0"),$I9079))</f>
        <v/>
      </c>
    </row>
    <row r="9080">
      <c r="B9080" s="25" t="n"/>
      <c r="I9080" s="25" t="n"/>
      <c r="U9080" s="19">
        <f>IF(AND($V9080='設定'!$C$4,COUNTIF('商品マスタ'!$B$6:$B$1005,$W9080)=0),N(U9079)+1,N(U9079))</f>
        <v/>
      </c>
      <c r="V9080" s="19">
        <f>IF($B9080="","",TEXT($B9080,"0000"))</f>
        <v/>
      </c>
      <c r="W9080" s="19">
        <f>IF($I9080="","",IF(ISNUMBER($I9080),TEXT($I9080,"0"),$I9080))</f>
        <v/>
      </c>
    </row>
    <row r="9081">
      <c r="B9081" s="25" t="n"/>
      <c r="I9081" s="25" t="n"/>
      <c r="U9081" s="19">
        <f>IF(AND($V9081='設定'!$C$4,COUNTIF('商品マスタ'!$B$6:$B$1005,$W9081)=0),N(U9080)+1,N(U9080))</f>
        <v/>
      </c>
      <c r="V9081" s="19">
        <f>IF($B9081="","",TEXT($B9081,"0000"))</f>
        <v/>
      </c>
      <c r="W9081" s="19">
        <f>IF($I9081="","",IF(ISNUMBER($I9081),TEXT($I9081,"0"),$I9081))</f>
        <v/>
      </c>
    </row>
    <row r="9082">
      <c r="B9082" s="25" t="n"/>
      <c r="I9082" s="25" t="n"/>
      <c r="U9082" s="19">
        <f>IF(AND($V9082='設定'!$C$4,COUNTIF('商品マスタ'!$B$6:$B$1005,$W9082)=0),N(U9081)+1,N(U9081))</f>
        <v/>
      </c>
      <c r="V9082" s="19">
        <f>IF($B9082="","",TEXT($B9082,"0000"))</f>
        <v/>
      </c>
      <c r="W9082" s="19">
        <f>IF($I9082="","",IF(ISNUMBER($I9082),TEXT($I9082,"0"),$I9082))</f>
        <v/>
      </c>
    </row>
    <row r="9083">
      <c r="B9083" s="25" t="n"/>
      <c r="I9083" s="25" t="n"/>
      <c r="U9083" s="19">
        <f>IF(AND($V9083='設定'!$C$4,COUNTIF('商品マスタ'!$B$6:$B$1005,$W9083)=0),N(U9082)+1,N(U9082))</f>
        <v/>
      </c>
      <c r="V9083" s="19">
        <f>IF($B9083="","",TEXT($B9083,"0000"))</f>
        <v/>
      </c>
      <c r="W9083" s="19">
        <f>IF($I9083="","",IF(ISNUMBER($I9083),TEXT($I9083,"0"),$I9083))</f>
        <v/>
      </c>
    </row>
    <row r="9084">
      <c r="B9084" s="25" t="n"/>
      <c r="I9084" s="25" t="n"/>
      <c r="U9084" s="19">
        <f>IF(AND($V9084='設定'!$C$4,COUNTIF('商品マスタ'!$B$6:$B$1005,$W9084)=0),N(U9083)+1,N(U9083))</f>
        <v/>
      </c>
      <c r="V9084" s="19">
        <f>IF($B9084="","",TEXT($B9084,"0000"))</f>
        <v/>
      </c>
      <c r="W9084" s="19">
        <f>IF($I9084="","",IF(ISNUMBER($I9084),TEXT($I9084,"0"),$I9084))</f>
        <v/>
      </c>
    </row>
    <row r="9085">
      <c r="B9085" s="25" t="n"/>
      <c r="I9085" s="25" t="n"/>
      <c r="U9085" s="19">
        <f>IF(AND($V9085='設定'!$C$4,COUNTIF('商品マスタ'!$B$6:$B$1005,$W9085)=0),N(U9084)+1,N(U9084))</f>
        <v/>
      </c>
      <c r="V9085" s="19">
        <f>IF($B9085="","",TEXT($B9085,"0000"))</f>
        <v/>
      </c>
      <c r="W9085" s="19">
        <f>IF($I9085="","",IF(ISNUMBER($I9085),TEXT($I9085,"0"),$I9085))</f>
        <v/>
      </c>
    </row>
    <row r="9086">
      <c r="B9086" s="25" t="n"/>
      <c r="I9086" s="25" t="n"/>
      <c r="U9086" s="19">
        <f>IF(AND($V9086='設定'!$C$4,COUNTIF('商品マスタ'!$B$6:$B$1005,$W9086)=0),N(U9085)+1,N(U9085))</f>
        <v/>
      </c>
      <c r="V9086" s="19">
        <f>IF($B9086="","",TEXT($B9086,"0000"))</f>
        <v/>
      </c>
      <c r="W9086" s="19">
        <f>IF($I9086="","",IF(ISNUMBER($I9086),TEXT($I9086,"0"),$I9086))</f>
        <v/>
      </c>
    </row>
    <row r="9087">
      <c r="B9087" s="25" t="n"/>
      <c r="I9087" s="25" t="n"/>
      <c r="U9087" s="19">
        <f>IF(AND($V9087='設定'!$C$4,COUNTIF('商品マスタ'!$B$6:$B$1005,$W9087)=0),N(U9086)+1,N(U9086))</f>
        <v/>
      </c>
      <c r="V9087" s="19">
        <f>IF($B9087="","",TEXT($B9087,"0000"))</f>
        <v/>
      </c>
      <c r="W9087" s="19">
        <f>IF($I9087="","",IF(ISNUMBER($I9087),TEXT($I9087,"0"),$I9087))</f>
        <v/>
      </c>
    </row>
    <row r="9088">
      <c r="B9088" s="25" t="n"/>
      <c r="I9088" s="25" t="n"/>
      <c r="U9088" s="19">
        <f>IF(AND($V9088='設定'!$C$4,COUNTIF('商品マスタ'!$B$6:$B$1005,$W9088)=0),N(U9087)+1,N(U9087))</f>
        <v/>
      </c>
      <c r="V9088" s="19">
        <f>IF($B9088="","",TEXT($B9088,"0000"))</f>
        <v/>
      </c>
      <c r="W9088" s="19">
        <f>IF($I9088="","",IF(ISNUMBER($I9088),TEXT($I9088,"0"),$I9088))</f>
        <v/>
      </c>
    </row>
    <row r="9089">
      <c r="B9089" s="25" t="n"/>
      <c r="I9089" s="25" t="n"/>
      <c r="U9089" s="19">
        <f>IF(AND($V9089='設定'!$C$4,COUNTIF('商品マスタ'!$B$6:$B$1005,$W9089)=0),N(U9088)+1,N(U9088))</f>
        <v/>
      </c>
      <c r="V9089" s="19">
        <f>IF($B9089="","",TEXT($B9089,"0000"))</f>
        <v/>
      </c>
      <c r="W9089" s="19">
        <f>IF($I9089="","",IF(ISNUMBER($I9089),TEXT($I9089,"0"),$I9089))</f>
        <v/>
      </c>
    </row>
    <row r="9090">
      <c r="B9090" s="25" t="n"/>
      <c r="I9090" s="25" t="n"/>
      <c r="U9090" s="19">
        <f>IF(AND($V9090='設定'!$C$4,COUNTIF('商品マスタ'!$B$6:$B$1005,$W9090)=0),N(U9089)+1,N(U9089))</f>
        <v/>
      </c>
      <c r="V9090" s="19">
        <f>IF($B9090="","",TEXT($B9090,"0000"))</f>
        <v/>
      </c>
      <c r="W9090" s="19">
        <f>IF($I9090="","",IF(ISNUMBER($I9090),TEXT($I9090,"0"),$I9090))</f>
        <v/>
      </c>
    </row>
    <row r="9091">
      <c r="B9091" s="25" t="n"/>
      <c r="I9091" s="25" t="n"/>
      <c r="U9091" s="19">
        <f>IF(AND($V9091='設定'!$C$4,COUNTIF('商品マスタ'!$B$6:$B$1005,$W9091)=0),N(U9090)+1,N(U9090))</f>
        <v/>
      </c>
      <c r="V9091" s="19">
        <f>IF($B9091="","",TEXT($B9091,"0000"))</f>
        <v/>
      </c>
      <c r="W9091" s="19">
        <f>IF($I9091="","",IF(ISNUMBER($I9091),TEXT($I9091,"0"),$I9091))</f>
        <v/>
      </c>
    </row>
    <row r="9092">
      <c r="B9092" s="25" t="n"/>
      <c r="I9092" s="25" t="n"/>
      <c r="U9092" s="19">
        <f>IF(AND($V9092='設定'!$C$4,COUNTIF('商品マスタ'!$B$6:$B$1005,$W9092)=0),N(U9091)+1,N(U9091))</f>
        <v/>
      </c>
      <c r="V9092" s="19">
        <f>IF($B9092="","",TEXT($B9092,"0000"))</f>
        <v/>
      </c>
      <c r="W9092" s="19">
        <f>IF($I9092="","",IF(ISNUMBER($I9092),TEXT($I9092,"0"),$I9092))</f>
        <v/>
      </c>
    </row>
    <row r="9093">
      <c r="B9093" s="25" t="n"/>
      <c r="I9093" s="25" t="n"/>
      <c r="U9093" s="19">
        <f>IF(AND($V9093='設定'!$C$4,COUNTIF('商品マスタ'!$B$6:$B$1005,$W9093)=0),N(U9092)+1,N(U9092))</f>
        <v/>
      </c>
      <c r="V9093" s="19">
        <f>IF($B9093="","",TEXT($B9093,"0000"))</f>
        <v/>
      </c>
      <c r="W9093" s="19">
        <f>IF($I9093="","",IF(ISNUMBER($I9093),TEXT($I9093,"0"),$I9093))</f>
        <v/>
      </c>
    </row>
    <row r="9094">
      <c r="B9094" s="25" t="n"/>
      <c r="I9094" s="25" t="n"/>
      <c r="U9094" s="19">
        <f>IF(AND($V9094='設定'!$C$4,COUNTIF('商品マスタ'!$B$6:$B$1005,$W9094)=0),N(U9093)+1,N(U9093))</f>
        <v/>
      </c>
      <c r="V9094" s="19">
        <f>IF($B9094="","",TEXT($B9094,"0000"))</f>
        <v/>
      </c>
      <c r="W9094" s="19">
        <f>IF($I9094="","",IF(ISNUMBER($I9094),TEXT($I9094,"0"),$I9094))</f>
        <v/>
      </c>
    </row>
    <row r="9095">
      <c r="B9095" s="25" t="n"/>
      <c r="I9095" s="25" t="n"/>
      <c r="U9095" s="19">
        <f>IF(AND($V9095='設定'!$C$4,COUNTIF('商品マスタ'!$B$6:$B$1005,$W9095)=0),N(U9094)+1,N(U9094))</f>
        <v/>
      </c>
      <c r="V9095" s="19">
        <f>IF($B9095="","",TEXT($B9095,"0000"))</f>
        <v/>
      </c>
      <c r="W9095" s="19">
        <f>IF($I9095="","",IF(ISNUMBER($I9095),TEXT($I9095,"0"),$I9095))</f>
        <v/>
      </c>
    </row>
    <row r="9096">
      <c r="B9096" s="25" t="n"/>
      <c r="I9096" s="25" t="n"/>
      <c r="U9096" s="19">
        <f>IF(AND($V9096='設定'!$C$4,COUNTIF('商品マスタ'!$B$6:$B$1005,$W9096)=0),N(U9095)+1,N(U9095))</f>
        <v/>
      </c>
      <c r="V9096" s="19">
        <f>IF($B9096="","",TEXT($B9096,"0000"))</f>
        <v/>
      </c>
      <c r="W9096" s="19">
        <f>IF($I9096="","",IF(ISNUMBER($I9096),TEXT($I9096,"0"),$I9096))</f>
        <v/>
      </c>
    </row>
    <row r="9097">
      <c r="B9097" s="25" t="n"/>
      <c r="I9097" s="25" t="n"/>
      <c r="U9097" s="19">
        <f>IF(AND($V9097='設定'!$C$4,COUNTIF('商品マスタ'!$B$6:$B$1005,$W9097)=0),N(U9096)+1,N(U9096))</f>
        <v/>
      </c>
      <c r="V9097" s="19">
        <f>IF($B9097="","",TEXT($B9097,"0000"))</f>
        <v/>
      </c>
      <c r="W9097" s="19">
        <f>IF($I9097="","",IF(ISNUMBER($I9097),TEXT($I9097,"0"),$I9097))</f>
        <v/>
      </c>
    </row>
    <row r="9098">
      <c r="B9098" s="25" t="n"/>
      <c r="I9098" s="25" t="n"/>
      <c r="U9098" s="19">
        <f>IF(AND($V9098='設定'!$C$4,COUNTIF('商品マスタ'!$B$6:$B$1005,$W9098)=0),N(U9097)+1,N(U9097))</f>
        <v/>
      </c>
      <c r="V9098" s="19">
        <f>IF($B9098="","",TEXT($B9098,"0000"))</f>
        <v/>
      </c>
      <c r="W9098" s="19">
        <f>IF($I9098="","",IF(ISNUMBER($I9098),TEXT($I9098,"0"),$I9098))</f>
        <v/>
      </c>
    </row>
    <row r="9099">
      <c r="B9099" s="25" t="n"/>
      <c r="I9099" s="25" t="n"/>
      <c r="U9099" s="19">
        <f>IF(AND($V9099='設定'!$C$4,COUNTIF('商品マスタ'!$B$6:$B$1005,$W9099)=0),N(U9098)+1,N(U9098))</f>
        <v/>
      </c>
      <c r="V9099" s="19">
        <f>IF($B9099="","",TEXT($B9099,"0000"))</f>
        <v/>
      </c>
      <c r="W9099" s="19">
        <f>IF($I9099="","",IF(ISNUMBER($I9099),TEXT($I9099,"0"),$I9099))</f>
        <v/>
      </c>
    </row>
    <row r="9100">
      <c r="B9100" s="25" t="n"/>
      <c r="I9100" s="25" t="n"/>
      <c r="U9100" s="19">
        <f>IF(AND($V9100='設定'!$C$4,COUNTIF('商品マスタ'!$B$6:$B$1005,$W9100)=0),N(U9099)+1,N(U9099))</f>
        <v/>
      </c>
      <c r="V9100" s="19">
        <f>IF($B9100="","",TEXT($B9100,"0000"))</f>
        <v/>
      </c>
      <c r="W9100" s="19">
        <f>IF($I9100="","",IF(ISNUMBER($I9100),TEXT($I9100,"0"),$I9100))</f>
        <v/>
      </c>
    </row>
    <row r="9101">
      <c r="B9101" s="25" t="n"/>
      <c r="I9101" s="25" t="n"/>
      <c r="U9101" s="19">
        <f>IF(AND($V9101='設定'!$C$4,COUNTIF('商品マスタ'!$B$6:$B$1005,$W9101)=0),N(U9100)+1,N(U9100))</f>
        <v/>
      </c>
      <c r="V9101" s="19">
        <f>IF($B9101="","",TEXT($B9101,"0000"))</f>
        <v/>
      </c>
      <c r="W9101" s="19">
        <f>IF($I9101="","",IF(ISNUMBER($I9101),TEXT($I9101,"0"),$I9101))</f>
        <v/>
      </c>
    </row>
    <row r="9102">
      <c r="B9102" s="25" t="n"/>
      <c r="I9102" s="25" t="n"/>
      <c r="U9102" s="19">
        <f>IF(AND($V9102='設定'!$C$4,COUNTIF('商品マスタ'!$B$6:$B$1005,$W9102)=0),N(U9101)+1,N(U9101))</f>
        <v/>
      </c>
      <c r="V9102" s="19">
        <f>IF($B9102="","",TEXT($B9102,"0000"))</f>
        <v/>
      </c>
      <c r="W9102" s="19">
        <f>IF($I9102="","",IF(ISNUMBER($I9102),TEXT($I9102,"0"),$I9102))</f>
        <v/>
      </c>
    </row>
    <row r="9103">
      <c r="B9103" s="25" t="n"/>
      <c r="I9103" s="25" t="n"/>
      <c r="U9103" s="19">
        <f>IF(AND($V9103='設定'!$C$4,COUNTIF('商品マスタ'!$B$6:$B$1005,$W9103)=0),N(U9102)+1,N(U9102))</f>
        <v/>
      </c>
      <c r="V9103" s="19">
        <f>IF($B9103="","",TEXT($B9103,"0000"))</f>
        <v/>
      </c>
      <c r="W9103" s="19">
        <f>IF($I9103="","",IF(ISNUMBER($I9103),TEXT($I9103,"0"),$I9103))</f>
        <v/>
      </c>
    </row>
    <row r="9104">
      <c r="B9104" s="25" t="n"/>
      <c r="I9104" s="25" t="n"/>
      <c r="U9104" s="19">
        <f>IF(AND($V9104='設定'!$C$4,COUNTIF('商品マスタ'!$B$6:$B$1005,$W9104)=0),N(U9103)+1,N(U9103))</f>
        <v/>
      </c>
      <c r="V9104" s="19">
        <f>IF($B9104="","",TEXT($B9104,"0000"))</f>
        <v/>
      </c>
      <c r="W9104" s="19">
        <f>IF($I9104="","",IF(ISNUMBER($I9104),TEXT($I9104,"0"),$I9104))</f>
        <v/>
      </c>
    </row>
    <row r="9105">
      <c r="B9105" s="25" t="n"/>
      <c r="I9105" s="25" t="n"/>
      <c r="U9105" s="19">
        <f>IF(AND($V9105='設定'!$C$4,COUNTIF('商品マスタ'!$B$6:$B$1005,$W9105)=0),N(U9104)+1,N(U9104))</f>
        <v/>
      </c>
      <c r="V9105" s="19">
        <f>IF($B9105="","",TEXT($B9105,"0000"))</f>
        <v/>
      </c>
      <c r="W9105" s="19">
        <f>IF($I9105="","",IF(ISNUMBER($I9105),TEXT($I9105,"0"),$I9105))</f>
        <v/>
      </c>
    </row>
    <row r="9106">
      <c r="B9106" s="25" t="n"/>
      <c r="I9106" s="25" t="n"/>
      <c r="U9106" s="19">
        <f>IF(AND($V9106='設定'!$C$4,COUNTIF('商品マスタ'!$B$6:$B$1005,$W9106)=0),N(U9105)+1,N(U9105))</f>
        <v/>
      </c>
      <c r="V9106" s="19">
        <f>IF($B9106="","",TEXT($B9106,"0000"))</f>
        <v/>
      </c>
      <c r="W9106" s="19">
        <f>IF($I9106="","",IF(ISNUMBER($I9106),TEXT($I9106,"0"),$I9106))</f>
        <v/>
      </c>
    </row>
    <row r="9107">
      <c r="B9107" s="25" t="n"/>
      <c r="I9107" s="25" t="n"/>
      <c r="U9107" s="19">
        <f>IF(AND($V9107='設定'!$C$4,COUNTIF('商品マスタ'!$B$6:$B$1005,$W9107)=0),N(U9106)+1,N(U9106))</f>
        <v/>
      </c>
      <c r="V9107" s="19">
        <f>IF($B9107="","",TEXT($B9107,"0000"))</f>
        <v/>
      </c>
      <c r="W9107" s="19">
        <f>IF($I9107="","",IF(ISNUMBER($I9107),TEXT($I9107,"0"),$I9107))</f>
        <v/>
      </c>
    </row>
    <row r="9108">
      <c r="B9108" s="25" t="n"/>
      <c r="I9108" s="25" t="n"/>
      <c r="U9108" s="19">
        <f>IF(AND($V9108='設定'!$C$4,COUNTIF('商品マスタ'!$B$6:$B$1005,$W9108)=0),N(U9107)+1,N(U9107))</f>
        <v/>
      </c>
      <c r="V9108" s="19">
        <f>IF($B9108="","",TEXT($B9108,"0000"))</f>
        <v/>
      </c>
      <c r="W9108" s="19">
        <f>IF($I9108="","",IF(ISNUMBER($I9108),TEXT($I9108,"0"),$I9108))</f>
        <v/>
      </c>
    </row>
    <row r="9109">
      <c r="B9109" s="25" t="n"/>
      <c r="I9109" s="25" t="n"/>
      <c r="U9109" s="19">
        <f>IF(AND($V9109='設定'!$C$4,COUNTIF('商品マスタ'!$B$6:$B$1005,$W9109)=0),N(U9108)+1,N(U9108))</f>
        <v/>
      </c>
      <c r="V9109" s="19">
        <f>IF($B9109="","",TEXT($B9109,"0000"))</f>
        <v/>
      </c>
      <c r="W9109" s="19">
        <f>IF($I9109="","",IF(ISNUMBER($I9109),TEXT($I9109,"0"),$I9109))</f>
        <v/>
      </c>
    </row>
    <row r="9110">
      <c r="B9110" s="25" t="n"/>
      <c r="I9110" s="25" t="n"/>
      <c r="U9110" s="19">
        <f>IF(AND($V9110='設定'!$C$4,COUNTIF('商品マスタ'!$B$6:$B$1005,$W9110)=0),N(U9109)+1,N(U9109))</f>
        <v/>
      </c>
      <c r="V9110" s="19">
        <f>IF($B9110="","",TEXT($B9110,"0000"))</f>
        <v/>
      </c>
      <c r="W9110" s="19">
        <f>IF($I9110="","",IF(ISNUMBER($I9110),TEXT($I9110,"0"),$I9110))</f>
        <v/>
      </c>
    </row>
    <row r="9111">
      <c r="B9111" s="25" t="n"/>
      <c r="I9111" s="25" t="n"/>
      <c r="U9111" s="19">
        <f>IF(AND($V9111='設定'!$C$4,COUNTIF('商品マスタ'!$B$6:$B$1005,$W9111)=0),N(U9110)+1,N(U9110))</f>
        <v/>
      </c>
      <c r="V9111" s="19">
        <f>IF($B9111="","",TEXT($B9111,"0000"))</f>
        <v/>
      </c>
      <c r="W9111" s="19">
        <f>IF($I9111="","",IF(ISNUMBER($I9111),TEXT($I9111,"0"),$I9111))</f>
        <v/>
      </c>
    </row>
    <row r="9112">
      <c r="B9112" s="25" t="n"/>
      <c r="I9112" s="25" t="n"/>
      <c r="U9112" s="19">
        <f>IF(AND($V9112='設定'!$C$4,COUNTIF('商品マスタ'!$B$6:$B$1005,$W9112)=0),N(U9111)+1,N(U9111))</f>
        <v/>
      </c>
      <c r="V9112" s="19">
        <f>IF($B9112="","",TEXT($B9112,"0000"))</f>
        <v/>
      </c>
      <c r="W9112" s="19">
        <f>IF($I9112="","",IF(ISNUMBER($I9112),TEXT($I9112,"0"),$I9112))</f>
        <v/>
      </c>
    </row>
    <row r="9113">
      <c r="B9113" s="25" t="n"/>
      <c r="I9113" s="25" t="n"/>
      <c r="U9113" s="19">
        <f>IF(AND($V9113='設定'!$C$4,COUNTIF('商品マスタ'!$B$6:$B$1005,$W9113)=0),N(U9112)+1,N(U9112))</f>
        <v/>
      </c>
      <c r="V9113" s="19">
        <f>IF($B9113="","",TEXT($B9113,"0000"))</f>
        <v/>
      </c>
      <c r="W9113" s="19">
        <f>IF($I9113="","",IF(ISNUMBER($I9113),TEXT($I9113,"0"),$I9113))</f>
        <v/>
      </c>
    </row>
    <row r="9114">
      <c r="B9114" s="25" t="n"/>
      <c r="I9114" s="25" t="n"/>
      <c r="U9114" s="19">
        <f>IF(AND($V9114='設定'!$C$4,COUNTIF('商品マスタ'!$B$6:$B$1005,$W9114)=0),N(U9113)+1,N(U9113))</f>
        <v/>
      </c>
      <c r="V9114" s="19">
        <f>IF($B9114="","",TEXT($B9114,"0000"))</f>
        <v/>
      </c>
      <c r="W9114" s="19">
        <f>IF($I9114="","",IF(ISNUMBER($I9114),TEXT($I9114,"0"),$I9114))</f>
        <v/>
      </c>
    </row>
    <row r="9115">
      <c r="B9115" s="25" t="n"/>
      <c r="I9115" s="25" t="n"/>
      <c r="U9115" s="19">
        <f>IF(AND($V9115='設定'!$C$4,COUNTIF('商品マスタ'!$B$6:$B$1005,$W9115)=0),N(U9114)+1,N(U9114))</f>
        <v/>
      </c>
      <c r="V9115" s="19">
        <f>IF($B9115="","",TEXT($B9115,"0000"))</f>
        <v/>
      </c>
      <c r="W9115" s="19">
        <f>IF($I9115="","",IF(ISNUMBER($I9115),TEXT($I9115,"0"),$I9115))</f>
        <v/>
      </c>
    </row>
    <row r="9116">
      <c r="B9116" s="25" t="n"/>
      <c r="I9116" s="25" t="n"/>
      <c r="U9116" s="19">
        <f>IF(AND($V9116='設定'!$C$4,COUNTIF('商品マスタ'!$B$6:$B$1005,$W9116)=0),N(U9115)+1,N(U9115))</f>
        <v/>
      </c>
      <c r="V9116" s="19">
        <f>IF($B9116="","",TEXT($B9116,"0000"))</f>
        <v/>
      </c>
      <c r="W9116" s="19">
        <f>IF($I9116="","",IF(ISNUMBER($I9116),TEXT($I9116,"0"),$I9116))</f>
        <v/>
      </c>
    </row>
    <row r="9117">
      <c r="B9117" s="25" t="n"/>
      <c r="I9117" s="25" t="n"/>
      <c r="U9117" s="19">
        <f>IF(AND($V9117='設定'!$C$4,COUNTIF('商品マスタ'!$B$6:$B$1005,$W9117)=0),N(U9116)+1,N(U9116))</f>
        <v/>
      </c>
      <c r="V9117" s="19">
        <f>IF($B9117="","",TEXT($B9117,"0000"))</f>
        <v/>
      </c>
      <c r="W9117" s="19">
        <f>IF($I9117="","",IF(ISNUMBER($I9117),TEXT($I9117,"0"),$I9117))</f>
        <v/>
      </c>
    </row>
    <row r="9118">
      <c r="B9118" s="25" t="n"/>
      <c r="I9118" s="25" t="n"/>
      <c r="U9118" s="19">
        <f>IF(AND($V9118='設定'!$C$4,COUNTIF('商品マスタ'!$B$6:$B$1005,$W9118)=0),N(U9117)+1,N(U9117))</f>
        <v/>
      </c>
      <c r="V9118" s="19">
        <f>IF($B9118="","",TEXT($B9118,"0000"))</f>
        <v/>
      </c>
      <c r="W9118" s="19">
        <f>IF($I9118="","",IF(ISNUMBER($I9118),TEXT($I9118,"0"),$I9118))</f>
        <v/>
      </c>
    </row>
    <row r="9119">
      <c r="B9119" s="25" t="n"/>
      <c r="I9119" s="25" t="n"/>
      <c r="U9119" s="19">
        <f>IF(AND($V9119='設定'!$C$4,COUNTIF('商品マスタ'!$B$6:$B$1005,$W9119)=0),N(U9118)+1,N(U9118))</f>
        <v/>
      </c>
      <c r="V9119" s="19">
        <f>IF($B9119="","",TEXT($B9119,"0000"))</f>
        <v/>
      </c>
      <c r="W9119" s="19">
        <f>IF($I9119="","",IF(ISNUMBER($I9119),TEXT($I9119,"0"),$I9119))</f>
        <v/>
      </c>
    </row>
    <row r="9120">
      <c r="B9120" s="25" t="n"/>
      <c r="I9120" s="25" t="n"/>
      <c r="U9120" s="19">
        <f>IF(AND($V9120='設定'!$C$4,COUNTIF('商品マスタ'!$B$6:$B$1005,$W9120)=0),N(U9119)+1,N(U9119))</f>
        <v/>
      </c>
      <c r="V9120" s="19">
        <f>IF($B9120="","",TEXT($B9120,"0000"))</f>
        <v/>
      </c>
      <c r="W9120" s="19">
        <f>IF($I9120="","",IF(ISNUMBER($I9120),TEXT($I9120,"0"),$I9120))</f>
        <v/>
      </c>
    </row>
    <row r="9121">
      <c r="B9121" s="25" t="n"/>
      <c r="I9121" s="25" t="n"/>
      <c r="U9121" s="19">
        <f>IF(AND($V9121='設定'!$C$4,COUNTIF('商品マスタ'!$B$6:$B$1005,$W9121)=0),N(U9120)+1,N(U9120))</f>
        <v/>
      </c>
      <c r="V9121" s="19">
        <f>IF($B9121="","",TEXT($B9121,"0000"))</f>
        <v/>
      </c>
      <c r="W9121" s="19">
        <f>IF($I9121="","",IF(ISNUMBER($I9121),TEXT($I9121,"0"),$I9121))</f>
        <v/>
      </c>
    </row>
    <row r="9122">
      <c r="B9122" s="25" t="n"/>
      <c r="I9122" s="25" t="n"/>
      <c r="U9122" s="19">
        <f>IF(AND($V9122='設定'!$C$4,COUNTIF('商品マスタ'!$B$6:$B$1005,$W9122)=0),N(U9121)+1,N(U9121))</f>
        <v/>
      </c>
      <c r="V9122" s="19">
        <f>IF($B9122="","",TEXT($B9122,"0000"))</f>
        <v/>
      </c>
      <c r="W9122" s="19">
        <f>IF($I9122="","",IF(ISNUMBER($I9122),TEXT($I9122,"0"),$I9122))</f>
        <v/>
      </c>
    </row>
    <row r="9123">
      <c r="B9123" s="25" t="n"/>
      <c r="I9123" s="25" t="n"/>
      <c r="U9123" s="19">
        <f>IF(AND($V9123='設定'!$C$4,COUNTIF('商品マスタ'!$B$6:$B$1005,$W9123)=0),N(U9122)+1,N(U9122))</f>
        <v/>
      </c>
      <c r="V9123" s="19">
        <f>IF($B9123="","",TEXT($B9123,"0000"))</f>
        <v/>
      </c>
      <c r="W9123" s="19">
        <f>IF($I9123="","",IF(ISNUMBER($I9123),TEXT($I9123,"0"),$I9123))</f>
        <v/>
      </c>
    </row>
    <row r="9124">
      <c r="B9124" s="25" t="n"/>
      <c r="I9124" s="25" t="n"/>
      <c r="U9124" s="19">
        <f>IF(AND($V9124='設定'!$C$4,COUNTIF('商品マスタ'!$B$6:$B$1005,$W9124)=0),N(U9123)+1,N(U9123))</f>
        <v/>
      </c>
      <c r="V9124" s="19">
        <f>IF($B9124="","",TEXT($B9124,"0000"))</f>
        <v/>
      </c>
      <c r="W9124" s="19">
        <f>IF($I9124="","",IF(ISNUMBER($I9124),TEXT($I9124,"0"),$I9124))</f>
        <v/>
      </c>
    </row>
    <row r="9125">
      <c r="B9125" s="25" t="n"/>
      <c r="I9125" s="25" t="n"/>
      <c r="U9125" s="19">
        <f>IF(AND($V9125='設定'!$C$4,COUNTIF('商品マスタ'!$B$6:$B$1005,$W9125)=0),N(U9124)+1,N(U9124))</f>
        <v/>
      </c>
      <c r="V9125" s="19">
        <f>IF($B9125="","",TEXT($B9125,"0000"))</f>
        <v/>
      </c>
      <c r="W9125" s="19">
        <f>IF($I9125="","",IF(ISNUMBER($I9125),TEXT($I9125,"0"),$I9125))</f>
        <v/>
      </c>
    </row>
    <row r="9126">
      <c r="B9126" s="25" t="n"/>
      <c r="I9126" s="25" t="n"/>
      <c r="U9126" s="19">
        <f>IF(AND($V9126='設定'!$C$4,COUNTIF('商品マスタ'!$B$6:$B$1005,$W9126)=0),N(U9125)+1,N(U9125))</f>
        <v/>
      </c>
      <c r="V9126" s="19">
        <f>IF($B9126="","",TEXT($B9126,"0000"))</f>
        <v/>
      </c>
      <c r="W9126" s="19">
        <f>IF($I9126="","",IF(ISNUMBER($I9126),TEXT($I9126,"0"),$I9126))</f>
        <v/>
      </c>
    </row>
    <row r="9127">
      <c r="B9127" s="25" t="n"/>
      <c r="I9127" s="25" t="n"/>
      <c r="U9127" s="19">
        <f>IF(AND($V9127='設定'!$C$4,COUNTIF('商品マスタ'!$B$6:$B$1005,$W9127)=0),N(U9126)+1,N(U9126))</f>
        <v/>
      </c>
      <c r="V9127" s="19">
        <f>IF($B9127="","",TEXT($B9127,"0000"))</f>
        <v/>
      </c>
      <c r="W9127" s="19">
        <f>IF($I9127="","",IF(ISNUMBER($I9127),TEXT($I9127,"0"),$I9127))</f>
        <v/>
      </c>
    </row>
    <row r="9128">
      <c r="B9128" s="25" t="n"/>
      <c r="I9128" s="25" t="n"/>
      <c r="U9128" s="19">
        <f>IF(AND($V9128='設定'!$C$4,COUNTIF('商品マスタ'!$B$6:$B$1005,$W9128)=0),N(U9127)+1,N(U9127))</f>
        <v/>
      </c>
      <c r="V9128" s="19">
        <f>IF($B9128="","",TEXT($B9128,"0000"))</f>
        <v/>
      </c>
      <c r="W9128" s="19">
        <f>IF($I9128="","",IF(ISNUMBER($I9128),TEXT($I9128,"0"),$I9128))</f>
        <v/>
      </c>
    </row>
    <row r="9129">
      <c r="B9129" s="25" t="n"/>
      <c r="I9129" s="25" t="n"/>
      <c r="U9129" s="19">
        <f>IF(AND($V9129='設定'!$C$4,COUNTIF('商品マスタ'!$B$6:$B$1005,$W9129)=0),N(U9128)+1,N(U9128))</f>
        <v/>
      </c>
      <c r="V9129" s="19">
        <f>IF($B9129="","",TEXT($B9129,"0000"))</f>
        <v/>
      </c>
      <c r="W9129" s="19">
        <f>IF($I9129="","",IF(ISNUMBER($I9129),TEXT($I9129,"0"),$I9129))</f>
        <v/>
      </c>
    </row>
    <row r="9130">
      <c r="B9130" s="25" t="n"/>
      <c r="I9130" s="25" t="n"/>
      <c r="U9130" s="19">
        <f>IF(AND($V9130='設定'!$C$4,COUNTIF('商品マスタ'!$B$6:$B$1005,$W9130)=0),N(U9129)+1,N(U9129))</f>
        <v/>
      </c>
      <c r="V9130" s="19">
        <f>IF($B9130="","",TEXT($B9130,"0000"))</f>
        <v/>
      </c>
      <c r="W9130" s="19">
        <f>IF($I9130="","",IF(ISNUMBER($I9130),TEXT($I9130,"0"),$I9130))</f>
        <v/>
      </c>
    </row>
    <row r="9131">
      <c r="B9131" s="25" t="n"/>
      <c r="I9131" s="25" t="n"/>
      <c r="U9131" s="19">
        <f>IF(AND($V9131='設定'!$C$4,COUNTIF('商品マスタ'!$B$6:$B$1005,$W9131)=0),N(U9130)+1,N(U9130))</f>
        <v/>
      </c>
      <c r="V9131" s="19">
        <f>IF($B9131="","",TEXT($B9131,"0000"))</f>
        <v/>
      </c>
      <c r="W9131" s="19">
        <f>IF($I9131="","",IF(ISNUMBER($I9131),TEXT($I9131,"0"),$I9131))</f>
        <v/>
      </c>
    </row>
    <row r="9132">
      <c r="B9132" s="25" t="n"/>
      <c r="I9132" s="25" t="n"/>
      <c r="U9132" s="19">
        <f>IF(AND($V9132='設定'!$C$4,COUNTIF('商品マスタ'!$B$6:$B$1005,$W9132)=0),N(U9131)+1,N(U9131))</f>
        <v/>
      </c>
      <c r="V9132" s="19">
        <f>IF($B9132="","",TEXT($B9132,"0000"))</f>
        <v/>
      </c>
      <c r="W9132" s="19">
        <f>IF($I9132="","",IF(ISNUMBER($I9132),TEXT($I9132,"0"),$I9132))</f>
        <v/>
      </c>
    </row>
    <row r="9133">
      <c r="B9133" s="25" t="n"/>
      <c r="I9133" s="25" t="n"/>
      <c r="U9133" s="19">
        <f>IF(AND($V9133='設定'!$C$4,COUNTIF('商品マスタ'!$B$6:$B$1005,$W9133)=0),N(U9132)+1,N(U9132))</f>
        <v/>
      </c>
      <c r="V9133" s="19">
        <f>IF($B9133="","",TEXT($B9133,"0000"))</f>
        <v/>
      </c>
      <c r="W9133" s="19">
        <f>IF($I9133="","",IF(ISNUMBER($I9133),TEXT($I9133,"0"),$I9133))</f>
        <v/>
      </c>
    </row>
    <row r="9134">
      <c r="B9134" s="25" t="n"/>
      <c r="I9134" s="25" t="n"/>
      <c r="U9134" s="19">
        <f>IF(AND($V9134='設定'!$C$4,COUNTIF('商品マスタ'!$B$6:$B$1005,$W9134)=0),N(U9133)+1,N(U9133))</f>
        <v/>
      </c>
      <c r="V9134" s="19">
        <f>IF($B9134="","",TEXT($B9134,"0000"))</f>
        <v/>
      </c>
      <c r="W9134" s="19">
        <f>IF($I9134="","",IF(ISNUMBER($I9134),TEXT($I9134,"0"),$I9134))</f>
        <v/>
      </c>
    </row>
    <row r="9135">
      <c r="B9135" s="25" t="n"/>
      <c r="I9135" s="25" t="n"/>
      <c r="U9135" s="19">
        <f>IF(AND($V9135='設定'!$C$4,COUNTIF('商品マスタ'!$B$6:$B$1005,$W9135)=0),N(U9134)+1,N(U9134))</f>
        <v/>
      </c>
      <c r="V9135" s="19">
        <f>IF($B9135="","",TEXT($B9135,"0000"))</f>
        <v/>
      </c>
      <c r="W9135" s="19">
        <f>IF($I9135="","",IF(ISNUMBER($I9135),TEXT($I9135,"0"),$I9135))</f>
        <v/>
      </c>
    </row>
    <row r="9136">
      <c r="B9136" s="25" t="n"/>
      <c r="I9136" s="25" t="n"/>
      <c r="U9136" s="19">
        <f>IF(AND($V9136='設定'!$C$4,COUNTIF('商品マスタ'!$B$6:$B$1005,$W9136)=0),N(U9135)+1,N(U9135))</f>
        <v/>
      </c>
      <c r="V9136" s="19">
        <f>IF($B9136="","",TEXT($B9136,"0000"))</f>
        <v/>
      </c>
      <c r="W9136" s="19">
        <f>IF($I9136="","",IF(ISNUMBER($I9136),TEXT($I9136,"0"),$I9136))</f>
        <v/>
      </c>
    </row>
    <row r="9137">
      <c r="B9137" s="25" t="n"/>
      <c r="I9137" s="25" t="n"/>
      <c r="U9137" s="19">
        <f>IF(AND($V9137='設定'!$C$4,COUNTIF('商品マスタ'!$B$6:$B$1005,$W9137)=0),N(U9136)+1,N(U9136))</f>
        <v/>
      </c>
      <c r="V9137" s="19">
        <f>IF($B9137="","",TEXT($B9137,"0000"))</f>
        <v/>
      </c>
      <c r="W9137" s="19">
        <f>IF($I9137="","",IF(ISNUMBER($I9137),TEXT($I9137,"0"),$I9137))</f>
        <v/>
      </c>
    </row>
    <row r="9138">
      <c r="B9138" s="25" t="n"/>
      <c r="I9138" s="25" t="n"/>
      <c r="U9138" s="19">
        <f>IF(AND($V9138='設定'!$C$4,COUNTIF('商品マスタ'!$B$6:$B$1005,$W9138)=0),N(U9137)+1,N(U9137))</f>
        <v/>
      </c>
      <c r="V9138" s="19">
        <f>IF($B9138="","",TEXT($B9138,"0000"))</f>
        <v/>
      </c>
      <c r="W9138" s="19">
        <f>IF($I9138="","",IF(ISNUMBER($I9138),TEXT($I9138,"0"),$I9138))</f>
        <v/>
      </c>
    </row>
    <row r="9139">
      <c r="B9139" s="25" t="n"/>
      <c r="I9139" s="25" t="n"/>
      <c r="U9139" s="19">
        <f>IF(AND($V9139='設定'!$C$4,COUNTIF('商品マスタ'!$B$6:$B$1005,$W9139)=0),N(U9138)+1,N(U9138))</f>
        <v/>
      </c>
      <c r="V9139" s="19">
        <f>IF($B9139="","",TEXT($B9139,"0000"))</f>
        <v/>
      </c>
      <c r="W9139" s="19">
        <f>IF($I9139="","",IF(ISNUMBER($I9139),TEXT($I9139,"0"),$I9139))</f>
        <v/>
      </c>
    </row>
    <row r="9140">
      <c r="B9140" s="25" t="n"/>
      <c r="I9140" s="25" t="n"/>
      <c r="U9140" s="19">
        <f>IF(AND($V9140='設定'!$C$4,COUNTIF('商品マスタ'!$B$6:$B$1005,$W9140)=0),N(U9139)+1,N(U9139))</f>
        <v/>
      </c>
      <c r="V9140" s="19">
        <f>IF($B9140="","",TEXT($B9140,"0000"))</f>
        <v/>
      </c>
      <c r="W9140" s="19">
        <f>IF($I9140="","",IF(ISNUMBER($I9140),TEXT($I9140,"0"),$I9140))</f>
        <v/>
      </c>
    </row>
    <row r="9141">
      <c r="B9141" s="25" t="n"/>
      <c r="I9141" s="25" t="n"/>
      <c r="U9141" s="19">
        <f>IF(AND($V9141='設定'!$C$4,COUNTIF('商品マスタ'!$B$6:$B$1005,$W9141)=0),N(U9140)+1,N(U9140))</f>
        <v/>
      </c>
      <c r="V9141" s="19">
        <f>IF($B9141="","",TEXT($B9141,"0000"))</f>
        <v/>
      </c>
      <c r="W9141" s="19">
        <f>IF($I9141="","",IF(ISNUMBER($I9141),TEXT($I9141,"0"),$I9141))</f>
        <v/>
      </c>
    </row>
    <row r="9142">
      <c r="B9142" s="25" t="n"/>
      <c r="I9142" s="25" t="n"/>
      <c r="U9142" s="19">
        <f>IF(AND($V9142='設定'!$C$4,COUNTIF('商品マスタ'!$B$6:$B$1005,$W9142)=0),N(U9141)+1,N(U9141))</f>
        <v/>
      </c>
      <c r="V9142" s="19">
        <f>IF($B9142="","",TEXT($B9142,"0000"))</f>
        <v/>
      </c>
      <c r="W9142" s="19">
        <f>IF($I9142="","",IF(ISNUMBER($I9142),TEXT($I9142,"0"),$I9142))</f>
        <v/>
      </c>
    </row>
    <row r="9143">
      <c r="B9143" s="25" t="n"/>
      <c r="I9143" s="25" t="n"/>
      <c r="U9143" s="19">
        <f>IF(AND($V9143='設定'!$C$4,COUNTIF('商品マスタ'!$B$6:$B$1005,$W9143)=0),N(U9142)+1,N(U9142))</f>
        <v/>
      </c>
      <c r="V9143" s="19">
        <f>IF($B9143="","",TEXT($B9143,"0000"))</f>
        <v/>
      </c>
      <c r="W9143" s="19">
        <f>IF($I9143="","",IF(ISNUMBER($I9143),TEXT($I9143,"0"),$I9143))</f>
        <v/>
      </c>
    </row>
    <row r="9144">
      <c r="B9144" s="25" t="n"/>
      <c r="I9144" s="25" t="n"/>
      <c r="U9144" s="19">
        <f>IF(AND($V9144='設定'!$C$4,COUNTIF('商品マスタ'!$B$6:$B$1005,$W9144)=0),N(U9143)+1,N(U9143))</f>
        <v/>
      </c>
      <c r="V9144" s="19">
        <f>IF($B9144="","",TEXT($B9144,"0000"))</f>
        <v/>
      </c>
      <c r="W9144" s="19">
        <f>IF($I9144="","",IF(ISNUMBER($I9144),TEXT($I9144,"0"),$I9144))</f>
        <v/>
      </c>
    </row>
    <row r="9145">
      <c r="B9145" s="25" t="n"/>
      <c r="I9145" s="25" t="n"/>
      <c r="U9145" s="19">
        <f>IF(AND($V9145='設定'!$C$4,COUNTIF('商品マスタ'!$B$6:$B$1005,$W9145)=0),N(U9144)+1,N(U9144))</f>
        <v/>
      </c>
      <c r="V9145" s="19">
        <f>IF($B9145="","",TEXT($B9145,"0000"))</f>
        <v/>
      </c>
      <c r="W9145" s="19">
        <f>IF($I9145="","",IF(ISNUMBER($I9145),TEXT($I9145,"0"),$I9145))</f>
        <v/>
      </c>
    </row>
    <row r="9146">
      <c r="B9146" s="25" t="n"/>
      <c r="I9146" s="25" t="n"/>
      <c r="U9146" s="19">
        <f>IF(AND($V9146='設定'!$C$4,COUNTIF('商品マスタ'!$B$6:$B$1005,$W9146)=0),N(U9145)+1,N(U9145))</f>
        <v/>
      </c>
      <c r="V9146" s="19">
        <f>IF($B9146="","",TEXT($B9146,"0000"))</f>
        <v/>
      </c>
      <c r="W9146" s="19">
        <f>IF($I9146="","",IF(ISNUMBER($I9146),TEXT($I9146,"0"),$I9146))</f>
        <v/>
      </c>
    </row>
    <row r="9147">
      <c r="B9147" s="25" t="n"/>
      <c r="I9147" s="25" t="n"/>
      <c r="U9147" s="19">
        <f>IF(AND($V9147='設定'!$C$4,COUNTIF('商品マスタ'!$B$6:$B$1005,$W9147)=0),N(U9146)+1,N(U9146))</f>
        <v/>
      </c>
      <c r="V9147" s="19">
        <f>IF($B9147="","",TEXT($B9147,"0000"))</f>
        <v/>
      </c>
      <c r="W9147" s="19">
        <f>IF($I9147="","",IF(ISNUMBER($I9147),TEXT($I9147,"0"),$I9147))</f>
        <v/>
      </c>
    </row>
    <row r="9148">
      <c r="B9148" s="25" t="n"/>
      <c r="I9148" s="25" t="n"/>
      <c r="U9148" s="19">
        <f>IF(AND($V9148='設定'!$C$4,COUNTIF('商品マスタ'!$B$6:$B$1005,$W9148)=0),N(U9147)+1,N(U9147))</f>
        <v/>
      </c>
      <c r="V9148" s="19">
        <f>IF($B9148="","",TEXT($B9148,"0000"))</f>
        <v/>
      </c>
      <c r="W9148" s="19">
        <f>IF($I9148="","",IF(ISNUMBER($I9148),TEXT($I9148,"0"),$I9148))</f>
        <v/>
      </c>
    </row>
    <row r="9149">
      <c r="B9149" s="25" t="n"/>
      <c r="I9149" s="25" t="n"/>
      <c r="U9149" s="19">
        <f>IF(AND($V9149='設定'!$C$4,COUNTIF('商品マスタ'!$B$6:$B$1005,$W9149)=0),N(U9148)+1,N(U9148))</f>
        <v/>
      </c>
      <c r="V9149" s="19">
        <f>IF($B9149="","",TEXT($B9149,"0000"))</f>
        <v/>
      </c>
      <c r="W9149" s="19">
        <f>IF($I9149="","",IF(ISNUMBER($I9149),TEXT($I9149,"0"),$I9149))</f>
        <v/>
      </c>
    </row>
    <row r="9150">
      <c r="B9150" s="25" t="n"/>
      <c r="I9150" s="25" t="n"/>
      <c r="U9150" s="19">
        <f>IF(AND($V9150='設定'!$C$4,COUNTIF('商品マスタ'!$B$6:$B$1005,$W9150)=0),N(U9149)+1,N(U9149))</f>
        <v/>
      </c>
      <c r="V9150" s="19">
        <f>IF($B9150="","",TEXT($B9150,"0000"))</f>
        <v/>
      </c>
      <c r="W9150" s="19">
        <f>IF($I9150="","",IF(ISNUMBER($I9150),TEXT($I9150,"0"),$I9150))</f>
        <v/>
      </c>
    </row>
    <row r="9151">
      <c r="B9151" s="25" t="n"/>
      <c r="I9151" s="25" t="n"/>
      <c r="U9151" s="19">
        <f>IF(AND($V9151='設定'!$C$4,COUNTIF('商品マスタ'!$B$6:$B$1005,$W9151)=0),N(U9150)+1,N(U9150))</f>
        <v/>
      </c>
      <c r="V9151" s="19">
        <f>IF($B9151="","",TEXT($B9151,"0000"))</f>
        <v/>
      </c>
      <c r="W9151" s="19">
        <f>IF($I9151="","",IF(ISNUMBER($I9151),TEXT($I9151,"0"),$I9151))</f>
        <v/>
      </c>
    </row>
    <row r="9152">
      <c r="B9152" s="25" t="n"/>
      <c r="I9152" s="25" t="n"/>
      <c r="U9152" s="19">
        <f>IF(AND($V9152='設定'!$C$4,COUNTIF('商品マスタ'!$B$6:$B$1005,$W9152)=0),N(U9151)+1,N(U9151))</f>
        <v/>
      </c>
      <c r="V9152" s="19">
        <f>IF($B9152="","",TEXT($B9152,"0000"))</f>
        <v/>
      </c>
      <c r="W9152" s="19">
        <f>IF($I9152="","",IF(ISNUMBER($I9152),TEXT($I9152,"0"),$I9152))</f>
        <v/>
      </c>
    </row>
    <row r="9153">
      <c r="B9153" s="25" t="n"/>
      <c r="I9153" s="25" t="n"/>
      <c r="U9153" s="19">
        <f>IF(AND($V9153='設定'!$C$4,COUNTIF('商品マスタ'!$B$6:$B$1005,$W9153)=0),N(U9152)+1,N(U9152))</f>
        <v/>
      </c>
      <c r="V9153" s="19">
        <f>IF($B9153="","",TEXT($B9153,"0000"))</f>
        <v/>
      </c>
      <c r="W9153" s="19">
        <f>IF($I9153="","",IF(ISNUMBER($I9153),TEXT($I9153,"0"),$I9153))</f>
        <v/>
      </c>
    </row>
    <row r="9154">
      <c r="B9154" s="25" t="n"/>
      <c r="I9154" s="25" t="n"/>
      <c r="U9154" s="19">
        <f>IF(AND($V9154='設定'!$C$4,COUNTIF('商品マスタ'!$B$6:$B$1005,$W9154)=0),N(U9153)+1,N(U9153))</f>
        <v/>
      </c>
      <c r="V9154" s="19">
        <f>IF($B9154="","",TEXT($B9154,"0000"))</f>
        <v/>
      </c>
      <c r="W9154" s="19">
        <f>IF($I9154="","",IF(ISNUMBER($I9154),TEXT($I9154,"0"),$I9154))</f>
        <v/>
      </c>
    </row>
    <row r="9155">
      <c r="B9155" s="25" t="n"/>
      <c r="I9155" s="25" t="n"/>
      <c r="U9155" s="19">
        <f>IF(AND($V9155='設定'!$C$4,COUNTIF('商品マスタ'!$B$6:$B$1005,$W9155)=0),N(U9154)+1,N(U9154))</f>
        <v/>
      </c>
      <c r="V9155" s="19">
        <f>IF($B9155="","",TEXT($B9155,"0000"))</f>
        <v/>
      </c>
      <c r="W9155" s="19">
        <f>IF($I9155="","",IF(ISNUMBER($I9155),TEXT($I9155,"0"),$I9155))</f>
        <v/>
      </c>
    </row>
    <row r="9156">
      <c r="B9156" s="25" t="n"/>
      <c r="I9156" s="25" t="n"/>
      <c r="U9156" s="19">
        <f>IF(AND($V9156='設定'!$C$4,COUNTIF('商品マスタ'!$B$6:$B$1005,$W9156)=0),N(U9155)+1,N(U9155))</f>
        <v/>
      </c>
      <c r="V9156" s="19">
        <f>IF($B9156="","",TEXT($B9156,"0000"))</f>
        <v/>
      </c>
      <c r="W9156" s="19">
        <f>IF($I9156="","",IF(ISNUMBER($I9156),TEXT($I9156,"0"),$I9156))</f>
        <v/>
      </c>
    </row>
    <row r="9157">
      <c r="B9157" s="25" t="n"/>
      <c r="I9157" s="25" t="n"/>
      <c r="U9157" s="19">
        <f>IF(AND($V9157='設定'!$C$4,COUNTIF('商品マスタ'!$B$6:$B$1005,$W9157)=0),N(U9156)+1,N(U9156))</f>
        <v/>
      </c>
      <c r="V9157" s="19">
        <f>IF($B9157="","",TEXT($B9157,"0000"))</f>
        <v/>
      </c>
      <c r="W9157" s="19">
        <f>IF($I9157="","",IF(ISNUMBER($I9157),TEXT($I9157,"0"),$I9157))</f>
        <v/>
      </c>
    </row>
    <row r="9158">
      <c r="B9158" s="25" t="n"/>
      <c r="I9158" s="25" t="n"/>
      <c r="U9158" s="19">
        <f>IF(AND($V9158='設定'!$C$4,COUNTIF('商品マスタ'!$B$6:$B$1005,$W9158)=0),N(U9157)+1,N(U9157))</f>
        <v/>
      </c>
      <c r="V9158" s="19">
        <f>IF($B9158="","",TEXT($B9158,"0000"))</f>
        <v/>
      </c>
      <c r="W9158" s="19">
        <f>IF($I9158="","",IF(ISNUMBER($I9158),TEXT($I9158,"0"),$I9158))</f>
        <v/>
      </c>
    </row>
    <row r="9159">
      <c r="B9159" s="25" t="n"/>
      <c r="I9159" s="25" t="n"/>
      <c r="U9159" s="19">
        <f>IF(AND($V9159='設定'!$C$4,COUNTIF('商品マスタ'!$B$6:$B$1005,$W9159)=0),N(U9158)+1,N(U9158))</f>
        <v/>
      </c>
      <c r="V9159" s="19">
        <f>IF($B9159="","",TEXT($B9159,"0000"))</f>
        <v/>
      </c>
      <c r="W9159" s="19">
        <f>IF($I9159="","",IF(ISNUMBER($I9159),TEXT($I9159,"0"),$I9159))</f>
        <v/>
      </c>
    </row>
    <row r="9160">
      <c r="B9160" s="25" t="n"/>
      <c r="I9160" s="25" t="n"/>
      <c r="U9160" s="19">
        <f>IF(AND($V9160='設定'!$C$4,COUNTIF('商品マスタ'!$B$6:$B$1005,$W9160)=0),N(U9159)+1,N(U9159))</f>
        <v/>
      </c>
      <c r="V9160" s="19">
        <f>IF($B9160="","",TEXT($B9160,"0000"))</f>
        <v/>
      </c>
      <c r="W9160" s="19">
        <f>IF($I9160="","",IF(ISNUMBER($I9160),TEXT($I9160,"0"),$I9160))</f>
        <v/>
      </c>
    </row>
    <row r="9161">
      <c r="B9161" s="25" t="n"/>
      <c r="I9161" s="25" t="n"/>
      <c r="U9161" s="19">
        <f>IF(AND($V9161='設定'!$C$4,COUNTIF('商品マスタ'!$B$6:$B$1005,$W9161)=0),N(U9160)+1,N(U9160))</f>
        <v/>
      </c>
      <c r="V9161" s="19">
        <f>IF($B9161="","",TEXT($B9161,"0000"))</f>
        <v/>
      </c>
      <c r="W9161" s="19">
        <f>IF($I9161="","",IF(ISNUMBER($I9161),TEXT($I9161,"0"),$I9161))</f>
        <v/>
      </c>
    </row>
    <row r="9162">
      <c r="B9162" s="25" t="n"/>
      <c r="I9162" s="25" t="n"/>
      <c r="U9162" s="19">
        <f>IF(AND($V9162='設定'!$C$4,COUNTIF('商品マスタ'!$B$6:$B$1005,$W9162)=0),N(U9161)+1,N(U9161))</f>
        <v/>
      </c>
      <c r="V9162" s="19">
        <f>IF($B9162="","",TEXT($B9162,"0000"))</f>
        <v/>
      </c>
      <c r="W9162" s="19">
        <f>IF($I9162="","",IF(ISNUMBER($I9162),TEXT($I9162,"0"),$I9162))</f>
        <v/>
      </c>
    </row>
    <row r="9163">
      <c r="B9163" s="25" t="n"/>
      <c r="I9163" s="25" t="n"/>
      <c r="U9163" s="19">
        <f>IF(AND($V9163='設定'!$C$4,COUNTIF('商品マスタ'!$B$6:$B$1005,$W9163)=0),N(U9162)+1,N(U9162))</f>
        <v/>
      </c>
      <c r="V9163" s="19">
        <f>IF($B9163="","",TEXT($B9163,"0000"))</f>
        <v/>
      </c>
      <c r="W9163" s="19">
        <f>IF($I9163="","",IF(ISNUMBER($I9163),TEXT($I9163,"0"),$I9163))</f>
        <v/>
      </c>
    </row>
    <row r="9164">
      <c r="B9164" s="25" t="n"/>
      <c r="I9164" s="25" t="n"/>
      <c r="U9164" s="19">
        <f>IF(AND($V9164='設定'!$C$4,COUNTIF('商品マスタ'!$B$6:$B$1005,$W9164)=0),N(U9163)+1,N(U9163))</f>
        <v/>
      </c>
      <c r="V9164" s="19">
        <f>IF($B9164="","",TEXT($B9164,"0000"))</f>
        <v/>
      </c>
      <c r="W9164" s="19">
        <f>IF($I9164="","",IF(ISNUMBER($I9164),TEXT($I9164,"0"),$I9164))</f>
        <v/>
      </c>
    </row>
    <row r="9165">
      <c r="B9165" s="25" t="n"/>
      <c r="I9165" s="25" t="n"/>
      <c r="U9165" s="19">
        <f>IF(AND($V9165='設定'!$C$4,COUNTIF('商品マスタ'!$B$6:$B$1005,$W9165)=0),N(U9164)+1,N(U9164))</f>
        <v/>
      </c>
      <c r="V9165" s="19">
        <f>IF($B9165="","",TEXT($B9165,"0000"))</f>
        <v/>
      </c>
      <c r="W9165" s="19">
        <f>IF($I9165="","",IF(ISNUMBER($I9165),TEXT($I9165,"0"),$I9165))</f>
        <v/>
      </c>
    </row>
    <row r="9166">
      <c r="B9166" s="25" t="n"/>
      <c r="I9166" s="25" t="n"/>
      <c r="U9166" s="19">
        <f>IF(AND($V9166='設定'!$C$4,COUNTIF('商品マスタ'!$B$6:$B$1005,$W9166)=0),N(U9165)+1,N(U9165))</f>
        <v/>
      </c>
      <c r="V9166" s="19">
        <f>IF($B9166="","",TEXT($B9166,"0000"))</f>
        <v/>
      </c>
      <c r="W9166" s="19">
        <f>IF($I9166="","",IF(ISNUMBER($I9166),TEXT($I9166,"0"),$I9166))</f>
        <v/>
      </c>
    </row>
    <row r="9167">
      <c r="B9167" s="25" t="n"/>
      <c r="I9167" s="25" t="n"/>
      <c r="U9167" s="19">
        <f>IF(AND($V9167='設定'!$C$4,COUNTIF('商品マスタ'!$B$6:$B$1005,$W9167)=0),N(U9166)+1,N(U9166))</f>
        <v/>
      </c>
      <c r="V9167" s="19">
        <f>IF($B9167="","",TEXT($B9167,"0000"))</f>
        <v/>
      </c>
      <c r="W9167" s="19">
        <f>IF($I9167="","",IF(ISNUMBER($I9167),TEXT($I9167,"0"),$I9167))</f>
        <v/>
      </c>
    </row>
    <row r="9168">
      <c r="B9168" s="25" t="n"/>
      <c r="I9168" s="25" t="n"/>
      <c r="U9168" s="19">
        <f>IF(AND($V9168='設定'!$C$4,COUNTIF('商品マスタ'!$B$6:$B$1005,$W9168)=0),N(U9167)+1,N(U9167))</f>
        <v/>
      </c>
      <c r="V9168" s="19">
        <f>IF($B9168="","",TEXT($B9168,"0000"))</f>
        <v/>
      </c>
      <c r="W9168" s="19">
        <f>IF($I9168="","",IF(ISNUMBER($I9168),TEXT($I9168,"0"),$I9168))</f>
        <v/>
      </c>
    </row>
    <row r="9169">
      <c r="B9169" s="25" t="n"/>
      <c r="I9169" s="25" t="n"/>
      <c r="U9169" s="19">
        <f>IF(AND($V9169='設定'!$C$4,COUNTIF('商品マスタ'!$B$6:$B$1005,$W9169)=0),N(U9168)+1,N(U9168))</f>
        <v/>
      </c>
      <c r="V9169" s="19">
        <f>IF($B9169="","",TEXT($B9169,"0000"))</f>
        <v/>
      </c>
      <c r="W9169" s="19">
        <f>IF($I9169="","",IF(ISNUMBER($I9169),TEXT($I9169,"0"),$I9169))</f>
        <v/>
      </c>
    </row>
    <row r="9170">
      <c r="B9170" s="25" t="n"/>
      <c r="I9170" s="25" t="n"/>
      <c r="U9170" s="19">
        <f>IF(AND($V9170='設定'!$C$4,COUNTIF('商品マスタ'!$B$6:$B$1005,$W9170)=0),N(U9169)+1,N(U9169))</f>
        <v/>
      </c>
      <c r="V9170" s="19">
        <f>IF($B9170="","",TEXT($B9170,"0000"))</f>
        <v/>
      </c>
      <c r="W9170" s="19">
        <f>IF($I9170="","",IF(ISNUMBER($I9170),TEXT($I9170,"0"),$I9170))</f>
        <v/>
      </c>
    </row>
    <row r="9171">
      <c r="B9171" s="25" t="n"/>
      <c r="I9171" s="25" t="n"/>
      <c r="U9171" s="19">
        <f>IF(AND($V9171='設定'!$C$4,COUNTIF('商品マスタ'!$B$6:$B$1005,$W9171)=0),N(U9170)+1,N(U9170))</f>
        <v/>
      </c>
      <c r="V9171" s="19">
        <f>IF($B9171="","",TEXT($B9171,"0000"))</f>
        <v/>
      </c>
      <c r="W9171" s="19">
        <f>IF($I9171="","",IF(ISNUMBER($I9171),TEXT($I9171,"0"),$I9171))</f>
        <v/>
      </c>
    </row>
    <row r="9172">
      <c r="B9172" s="25" t="n"/>
      <c r="I9172" s="25" t="n"/>
      <c r="U9172" s="19">
        <f>IF(AND($V9172='設定'!$C$4,COUNTIF('商品マスタ'!$B$6:$B$1005,$W9172)=0),N(U9171)+1,N(U9171))</f>
        <v/>
      </c>
      <c r="V9172" s="19">
        <f>IF($B9172="","",TEXT($B9172,"0000"))</f>
        <v/>
      </c>
      <c r="W9172" s="19">
        <f>IF($I9172="","",IF(ISNUMBER($I9172),TEXT($I9172,"0"),$I9172))</f>
        <v/>
      </c>
    </row>
    <row r="9173">
      <c r="B9173" s="25" t="n"/>
      <c r="I9173" s="25" t="n"/>
      <c r="U9173" s="19">
        <f>IF(AND($V9173='設定'!$C$4,COUNTIF('商品マスタ'!$B$6:$B$1005,$W9173)=0),N(U9172)+1,N(U9172))</f>
        <v/>
      </c>
      <c r="V9173" s="19">
        <f>IF($B9173="","",TEXT($B9173,"0000"))</f>
        <v/>
      </c>
      <c r="W9173" s="19">
        <f>IF($I9173="","",IF(ISNUMBER($I9173),TEXT($I9173,"0"),$I9173))</f>
        <v/>
      </c>
    </row>
    <row r="9174">
      <c r="B9174" s="25" t="n"/>
      <c r="I9174" s="25" t="n"/>
      <c r="U9174" s="19">
        <f>IF(AND($V9174='設定'!$C$4,COUNTIF('商品マスタ'!$B$6:$B$1005,$W9174)=0),N(U9173)+1,N(U9173))</f>
        <v/>
      </c>
      <c r="V9174" s="19">
        <f>IF($B9174="","",TEXT($B9174,"0000"))</f>
        <v/>
      </c>
      <c r="W9174" s="19">
        <f>IF($I9174="","",IF(ISNUMBER($I9174),TEXT($I9174,"0"),$I9174))</f>
        <v/>
      </c>
    </row>
    <row r="9175">
      <c r="B9175" s="25" t="n"/>
      <c r="I9175" s="25" t="n"/>
      <c r="U9175" s="19">
        <f>IF(AND($V9175='設定'!$C$4,COUNTIF('商品マスタ'!$B$6:$B$1005,$W9175)=0),N(U9174)+1,N(U9174))</f>
        <v/>
      </c>
      <c r="V9175" s="19">
        <f>IF($B9175="","",TEXT($B9175,"0000"))</f>
        <v/>
      </c>
      <c r="W9175" s="19">
        <f>IF($I9175="","",IF(ISNUMBER($I9175),TEXT($I9175,"0"),$I9175))</f>
        <v/>
      </c>
    </row>
    <row r="9176">
      <c r="B9176" s="25" t="n"/>
      <c r="I9176" s="25" t="n"/>
      <c r="U9176" s="19">
        <f>IF(AND($V9176='設定'!$C$4,COUNTIF('商品マスタ'!$B$6:$B$1005,$W9176)=0),N(U9175)+1,N(U9175))</f>
        <v/>
      </c>
      <c r="V9176" s="19">
        <f>IF($B9176="","",TEXT($B9176,"0000"))</f>
        <v/>
      </c>
      <c r="W9176" s="19">
        <f>IF($I9176="","",IF(ISNUMBER($I9176),TEXT($I9176,"0"),$I9176))</f>
        <v/>
      </c>
    </row>
    <row r="9177">
      <c r="B9177" s="25" t="n"/>
      <c r="I9177" s="25" t="n"/>
      <c r="U9177" s="19">
        <f>IF(AND($V9177='設定'!$C$4,COUNTIF('商品マスタ'!$B$6:$B$1005,$W9177)=0),N(U9176)+1,N(U9176))</f>
        <v/>
      </c>
      <c r="V9177" s="19">
        <f>IF($B9177="","",TEXT($B9177,"0000"))</f>
        <v/>
      </c>
      <c r="W9177" s="19">
        <f>IF($I9177="","",IF(ISNUMBER($I9177),TEXT($I9177,"0"),$I9177))</f>
        <v/>
      </c>
    </row>
    <row r="9178">
      <c r="B9178" s="25" t="n"/>
      <c r="I9178" s="25" t="n"/>
      <c r="U9178" s="19">
        <f>IF(AND($V9178='設定'!$C$4,COUNTIF('商品マスタ'!$B$6:$B$1005,$W9178)=0),N(U9177)+1,N(U9177))</f>
        <v/>
      </c>
      <c r="V9178" s="19">
        <f>IF($B9178="","",TEXT($B9178,"0000"))</f>
        <v/>
      </c>
      <c r="W9178" s="19">
        <f>IF($I9178="","",IF(ISNUMBER($I9178),TEXT($I9178,"0"),$I9178))</f>
        <v/>
      </c>
    </row>
    <row r="9179">
      <c r="B9179" s="25" t="n"/>
      <c r="I9179" s="25" t="n"/>
      <c r="U9179" s="19">
        <f>IF(AND($V9179='設定'!$C$4,COUNTIF('商品マスタ'!$B$6:$B$1005,$W9179)=0),N(U9178)+1,N(U9178))</f>
        <v/>
      </c>
      <c r="V9179" s="19">
        <f>IF($B9179="","",TEXT($B9179,"0000"))</f>
        <v/>
      </c>
      <c r="W9179" s="19">
        <f>IF($I9179="","",IF(ISNUMBER($I9179),TEXT($I9179,"0"),$I9179))</f>
        <v/>
      </c>
    </row>
    <row r="9180">
      <c r="B9180" s="25" t="n"/>
      <c r="I9180" s="25" t="n"/>
      <c r="U9180" s="19">
        <f>IF(AND($V9180='設定'!$C$4,COUNTIF('商品マスタ'!$B$6:$B$1005,$W9180)=0),N(U9179)+1,N(U9179))</f>
        <v/>
      </c>
      <c r="V9180" s="19">
        <f>IF($B9180="","",TEXT($B9180,"0000"))</f>
        <v/>
      </c>
      <c r="W9180" s="19">
        <f>IF($I9180="","",IF(ISNUMBER($I9180),TEXT($I9180,"0"),$I9180))</f>
        <v/>
      </c>
    </row>
    <row r="9181">
      <c r="B9181" s="25" t="n"/>
      <c r="I9181" s="25" t="n"/>
      <c r="U9181" s="19">
        <f>IF(AND($V9181='設定'!$C$4,COUNTIF('商品マスタ'!$B$6:$B$1005,$W9181)=0),N(U9180)+1,N(U9180))</f>
        <v/>
      </c>
      <c r="V9181" s="19">
        <f>IF($B9181="","",TEXT($B9181,"0000"))</f>
        <v/>
      </c>
      <c r="W9181" s="19">
        <f>IF($I9181="","",IF(ISNUMBER($I9181),TEXT($I9181,"0"),$I9181))</f>
        <v/>
      </c>
    </row>
    <row r="9182">
      <c r="B9182" s="25" t="n"/>
      <c r="I9182" s="25" t="n"/>
      <c r="U9182" s="19">
        <f>IF(AND($V9182='設定'!$C$4,COUNTIF('商品マスタ'!$B$6:$B$1005,$W9182)=0),N(U9181)+1,N(U9181))</f>
        <v/>
      </c>
      <c r="V9182" s="19">
        <f>IF($B9182="","",TEXT($B9182,"0000"))</f>
        <v/>
      </c>
      <c r="W9182" s="19">
        <f>IF($I9182="","",IF(ISNUMBER($I9182),TEXT($I9182,"0"),$I9182))</f>
        <v/>
      </c>
    </row>
    <row r="9183">
      <c r="B9183" s="25" t="n"/>
      <c r="I9183" s="25" t="n"/>
      <c r="U9183" s="19">
        <f>IF(AND($V9183='設定'!$C$4,COUNTIF('商品マスタ'!$B$6:$B$1005,$W9183)=0),N(U9182)+1,N(U9182))</f>
        <v/>
      </c>
      <c r="V9183" s="19">
        <f>IF($B9183="","",TEXT($B9183,"0000"))</f>
        <v/>
      </c>
      <c r="W9183" s="19">
        <f>IF($I9183="","",IF(ISNUMBER($I9183),TEXT($I9183,"0"),$I9183))</f>
        <v/>
      </c>
    </row>
    <row r="9184">
      <c r="B9184" s="25" t="n"/>
      <c r="I9184" s="25" t="n"/>
      <c r="U9184" s="19">
        <f>IF(AND($V9184='設定'!$C$4,COUNTIF('商品マスタ'!$B$6:$B$1005,$W9184)=0),N(U9183)+1,N(U9183))</f>
        <v/>
      </c>
      <c r="V9184" s="19">
        <f>IF($B9184="","",TEXT($B9184,"0000"))</f>
        <v/>
      </c>
      <c r="W9184" s="19">
        <f>IF($I9184="","",IF(ISNUMBER($I9184),TEXT($I9184,"0"),$I9184))</f>
        <v/>
      </c>
    </row>
    <row r="9185">
      <c r="B9185" s="25" t="n"/>
      <c r="I9185" s="25" t="n"/>
      <c r="U9185" s="19">
        <f>IF(AND($V9185='設定'!$C$4,COUNTIF('商品マスタ'!$B$6:$B$1005,$W9185)=0),N(U9184)+1,N(U9184))</f>
        <v/>
      </c>
      <c r="V9185" s="19">
        <f>IF($B9185="","",TEXT($B9185,"0000"))</f>
        <v/>
      </c>
      <c r="W9185" s="19">
        <f>IF($I9185="","",IF(ISNUMBER($I9185),TEXT($I9185,"0"),$I9185))</f>
        <v/>
      </c>
    </row>
    <row r="9186">
      <c r="B9186" s="25" t="n"/>
      <c r="I9186" s="25" t="n"/>
      <c r="U9186" s="19">
        <f>IF(AND($V9186='設定'!$C$4,COUNTIF('商品マスタ'!$B$6:$B$1005,$W9186)=0),N(U9185)+1,N(U9185))</f>
        <v/>
      </c>
      <c r="V9186" s="19">
        <f>IF($B9186="","",TEXT($B9186,"0000"))</f>
        <v/>
      </c>
      <c r="W9186" s="19">
        <f>IF($I9186="","",IF(ISNUMBER($I9186),TEXT($I9186,"0"),$I9186))</f>
        <v/>
      </c>
    </row>
    <row r="9187">
      <c r="B9187" s="25" t="n"/>
      <c r="I9187" s="25" t="n"/>
      <c r="U9187" s="19">
        <f>IF(AND($V9187='設定'!$C$4,COUNTIF('商品マスタ'!$B$6:$B$1005,$W9187)=0),N(U9186)+1,N(U9186))</f>
        <v/>
      </c>
      <c r="V9187" s="19">
        <f>IF($B9187="","",TEXT($B9187,"0000"))</f>
        <v/>
      </c>
      <c r="W9187" s="19">
        <f>IF($I9187="","",IF(ISNUMBER($I9187),TEXT($I9187,"0"),$I9187))</f>
        <v/>
      </c>
    </row>
    <row r="9188">
      <c r="B9188" s="25" t="n"/>
      <c r="I9188" s="25" t="n"/>
      <c r="U9188" s="19">
        <f>IF(AND($V9188='設定'!$C$4,COUNTIF('商品マスタ'!$B$6:$B$1005,$W9188)=0),N(U9187)+1,N(U9187))</f>
        <v/>
      </c>
      <c r="V9188" s="19">
        <f>IF($B9188="","",TEXT($B9188,"0000"))</f>
        <v/>
      </c>
      <c r="W9188" s="19">
        <f>IF($I9188="","",IF(ISNUMBER($I9188),TEXT($I9188,"0"),$I9188))</f>
        <v/>
      </c>
    </row>
    <row r="9189">
      <c r="B9189" s="25" t="n"/>
      <c r="I9189" s="25" t="n"/>
      <c r="U9189" s="19">
        <f>IF(AND($V9189='設定'!$C$4,COUNTIF('商品マスタ'!$B$6:$B$1005,$W9189)=0),N(U9188)+1,N(U9188))</f>
        <v/>
      </c>
      <c r="V9189" s="19">
        <f>IF($B9189="","",TEXT($B9189,"0000"))</f>
        <v/>
      </c>
      <c r="W9189" s="19">
        <f>IF($I9189="","",IF(ISNUMBER($I9189),TEXT($I9189,"0"),$I9189))</f>
        <v/>
      </c>
    </row>
    <row r="9190">
      <c r="B9190" s="25" t="n"/>
      <c r="I9190" s="25" t="n"/>
      <c r="U9190" s="19">
        <f>IF(AND($V9190='設定'!$C$4,COUNTIF('商品マスタ'!$B$6:$B$1005,$W9190)=0),N(U9189)+1,N(U9189))</f>
        <v/>
      </c>
      <c r="V9190" s="19">
        <f>IF($B9190="","",TEXT($B9190,"0000"))</f>
        <v/>
      </c>
      <c r="W9190" s="19">
        <f>IF($I9190="","",IF(ISNUMBER($I9190),TEXT($I9190,"0"),$I9190))</f>
        <v/>
      </c>
    </row>
    <row r="9191">
      <c r="B9191" s="25" t="n"/>
      <c r="I9191" s="25" t="n"/>
      <c r="U9191" s="19">
        <f>IF(AND($V9191='設定'!$C$4,COUNTIF('商品マスタ'!$B$6:$B$1005,$W9191)=0),N(U9190)+1,N(U9190))</f>
        <v/>
      </c>
      <c r="V9191" s="19">
        <f>IF($B9191="","",TEXT($B9191,"0000"))</f>
        <v/>
      </c>
      <c r="W9191" s="19">
        <f>IF($I9191="","",IF(ISNUMBER($I9191),TEXT($I9191,"0"),$I9191))</f>
        <v/>
      </c>
    </row>
    <row r="9192">
      <c r="B9192" s="25" t="n"/>
      <c r="I9192" s="25" t="n"/>
      <c r="U9192" s="19">
        <f>IF(AND($V9192='設定'!$C$4,COUNTIF('商品マスタ'!$B$6:$B$1005,$W9192)=0),N(U9191)+1,N(U9191))</f>
        <v/>
      </c>
      <c r="V9192" s="19">
        <f>IF($B9192="","",TEXT($B9192,"0000"))</f>
        <v/>
      </c>
      <c r="W9192" s="19">
        <f>IF($I9192="","",IF(ISNUMBER($I9192),TEXT($I9192,"0"),$I9192))</f>
        <v/>
      </c>
    </row>
    <row r="9193">
      <c r="B9193" s="25" t="n"/>
      <c r="I9193" s="25" t="n"/>
      <c r="U9193" s="19">
        <f>IF(AND($V9193='設定'!$C$4,COUNTIF('商品マスタ'!$B$6:$B$1005,$W9193)=0),N(U9192)+1,N(U9192))</f>
        <v/>
      </c>
      <c r="V9193" s="19">
        <f>IF($B9193="","",TEXT($B9193,"0000"))</f>
        <v/>
      </c>
      <c r="W9193" s="19">
        <f>IF($I9193="","",IF(ISNUMBER($I9193),TEXT($I9193,"0"),$I9193))</f>
        <v/>
      </c>
    </row>
    <row r="9194">
      <c r="B9194" s="25" t="n"/>
      <c r="I9194" s="25" t="n"/>
      <c r="U9194" s="19">
        <f>IF(AND($V9194='設定'!$C$4,COUNTIF('商品マスタ'!$B$6:$B$1005,$W9194)=0),N(U9193)+1,N(U9193))</f>
        <v/>
      </c>
      <c r="V9194" s="19">
        <f>IF($B9194="","",TEXT($B9194,"0000"))</f>
        <v/>
      </c>
      <c r="W9194" s="19">
        <f>IF($I9194="","",IF(ISNUMBER($I9194),TEXT($I9194,"0"),$I9194))</f>
        <v/>
      </c>
    </row>
    <row r="9195">
      <c r="B9195" s="25" t="n"/>
      <c r="I9195" s="25" t="n"/>
      <c r="U9195" s="19">
        <f>IF(AND($V9195='設定'!$C$4,COUNTIF('商品マスタ'!$B$6:$B$1005,$W9195)=0),N(U9194)+1,N(U9194))</f>
        <v/>
      </c>
      <c r="V9195" s="19">
        <f>IF($B9195="","",TEXT($B9195,"0000"))</f>
        <v/>
      </c>
      <c r="W9195" s="19">
        <f>IF($I9195="","",IF(ISNUMBER($I9195),TEXT($I9195,"0"),$I9195))</f>
        <v/>
      </c>
    </row>
    <row r="9196">
      <c r="B9196" s="25" t="n"/>
      <c r="I9196" s="25" t="n"/>
      <c r="U9196" s="19">
        <f>IF(AND($V9196='設定'!$C$4,COUNTIF('商品マスタ'!$B$6:$B$1005,$W9196)=0),N(U9195)+1,N(U9195))</f>
        <v/>
      </c>
      <c r="V9196" s="19">
        <f>IF($B9196="","",TEXT($B9196,"0000"))</f>
        <v/>
      </c>
      <c r="W9196" s="19">
        <f>IF($I9196="","",IF(ISNUMBER($I9196),TEXT($I9196,"0"),$I9196))</f>
        <v/>
      </c>
    </row>
    <row r="9197">
      <c r="B9197" s="25" t="n"/>
      <c r="I9197" s="25" t="n"/>
      <c r="U9197" s="19">
        <f>IF(AND($V9197='設定'!$C$4,COUNTIF('商品マスタ'!$B$6:$B$1005,$W9197)=0),N(U9196)+1,N(U9196))</f>
        <v/>
      </c>
      <c r="V9197" s="19">
        <f>IF($B9197="","",TEXT($B9197,"0000"))</f>
        <v/>
      </c>
      <c r="W9197" s="19">
        <f>IF($I9197="","",IF(ISNUMBER($I9197),TEXT($I9197,"0"),$I9197))</f>
        <v/>
      </c>
    </row>
    <row r="9198">
      <c r="B9198" s="25" t="n"/>
      <c r="I9198" s="25" t="n"/>
      <c r="U9198" s="19">
        <f>IF(AND($V9198='設定'!$C$4,COUNTIF('商品マスタ'!$B$6:$B$1005,$W9198)=0),N(U9197)+1,N(U9197))</f>
        <v/>
      </c>
      <c r="V9198" s="19">
        <f>IF($B9198="","",TEXT($B9198,"0000"))</f>
        <v/>
      </c>
      <c r="W9198" s="19">
        <f>IF($I9198="","",IF(ISNUMBER($I9198),TEXT($I9198,"0"),$I9198))</f>
        <v/>
      </c>
    </row>
    <row r="9199">
      <c r="B9199" s="25" t="n"/>
      <c r="I9199" s="25" t="n"/>
      <c r="U9199" s="19">
        <f>IF(AND($V9199='設定'!$C$4,COUNTIF('商品マスタ'!$B$6:$B$1005,$W9199)=0),N(U9198)+1,N(U9198))</f>
        <v/>
      </c>
      <c r="V9199" s="19">
        <f>IF($B9199="","",TEXT($B9199,"0000"))</f>
        <v/>
      </c>
      <c r="W9199" s="19">
        <f>IF($I9199="","",IF(ISNUMBER($I9199),TEXT($I9199,"0"),$I9199))</f>
        <v/>
      </c>
    </row>
    <row r="9200">
      <c r="B9200" s="25" t="n"/>
      <c r="I9200" s="25" t="n"/>
      <c r="U9200" s="19">
        <f>IF(AND($V9200='設定'!$C$4,COUNTIF('商品マスタ'!$B$6:$B$1005,$W9200)=0),N(U9199)+1,N(U9199))</f>
        <v/>
      </c>
      <c r="V9200" s="19">
        <f>IF($B9200="","",TEXT($B9200,"0000"))</f>
        <v/>
      </c>
      <c r="W9200" s="19">
        <f>IF($I9200="","",IF(ISNUMBER($I9200),TEXT($I9200,"0"),$I9200))</f>
        <v/>
      </c>
    </row>
    <row r="9201">
      <c r="B9201" s="25" t="n"/>
      <c r="I9201" s="25" t="n"/>
      <c r="U9201" s="19">
        <f>IF(AND($V9201='設定'!$C$4,COUNTIF('商品マスタ'!$B$6:$B$1005,$W9201)=0),N(U9200)+1,N(U9200))</f>
        <v/>
      </c>
      <c r="V9201" s="19">
        <f>IF($B9201="","",TEXT($B9201,"0000"))</f>
        <v/>
      </c>
      <c r="W9201" s="19">
        <f>IF($I9201="","",IF(ISNUMBER($I9201),TEXT($I9201,"0"),$I9201))</f>
        <v/>
      </c>
    </row>
    <row r="9202">
      <c r="B9202" s="25" t="n"/>
      <c r="I9202" s="25" t="n"/>
      <c r="U9202" s="19">
        <f>IF(AND($V9202='設定'!$C$4,COUNTIF('商品マスタ'!$B$6:$B$1005,$W9202)=0),N(U9201)+1,N(U9201))</f>
        <v/>
      </c>
      <c r="V9202" s="19">
        <f>IF($B9202="","",TEXT($B9202,"0000"))</f>
        <v/>
      </c>
      <c r="W9202" s="19">
        <f>IF($I9202="","",IF(ISNUMBER($I9202),TEXT($I9202,"0"),$I9202))</f>
        <v/>
      </c>
    </row>
    <row r="9203">
      <c r="B9203" s="25" t="n"/>
      <c r="I9203" s="25" t="n"/>
      <c r="U9203" s="19">
        <f>IF(AND($V9203='設定'!$C$4,COUNTIF('商品マスタ'!$B$6:$B$1005,$W9203)=0),N(U9202)+1,N(U9202))</f>
        <v/>
      </c>
      <c r="V9203" s="19">
        <f>IF($B9203="","",TEXT($B9203,"0000"))</f>
        <v/>
      </c>
      <c r="W9203" s="19">
        <f>IF($I9203="","",IF(ISNUMBER($I9203),TEXT($I9203,"0"),$I9203))</f>
        <v/>
      </c>
    </row>
    <row r="9204">
      <c r="B9204" s="25" t="n"/>
      <c r="I9204" s="25" t="n"/>
      <c r="U9204" s="19">
        <f>IF(AND($V9204='設定'!$C$4,COUNTIF('商品マスタ'!$B$6:$B$1005,$W9204)=0),N(U9203)+1,N(U9203))</f>
        <v/>
      </c>
      <c r="V9204" s="19">
        <f>IF($B9204="","",TEXT($B9204,"0000"))</f>
        <v/>
      </c>
      <c r="W9204" s="19">
        <f>IF($I9204="","",IF(ISNUMBER($I9204),TEXT($I9204,"0"),$I9204))</f>
        <v/>
      </c>
    </row>
    <row r="9205">
      <c r="B9205" s="25" t="n"/>
      <c r="I9205" s="25" t="n"/>
      <c r="U9205" s="19">
        <f>IF(AND($V9205='設定'!$C$4,COUNTIF('商品マスタ'!$B$6:$B$1005,$W9205)=0),N(U9204)+1,N(U9204))</f>
        <v/>
      </c>
      <c r="V9205" s="19">
        <f>IF($B9205="","",TEXT($B9205,"0000"))</f>
        <v/>
      </c>
      <c r="W9205" s="19">
        <f>IF($I9205="","",IF(ISNUMBER($I9205),TEXT($I9205,"0"),$I9205))</f>
        <v/>
      </c>
    </row>
    <row r="9206">
      <c r="B9206" s="25" t="n"/>
      <c r="I9206" s="25" t="n"/>
      <c r="U9206" s="19">
        <f>IF(AND($V9206='設定'!$C$4,COUNTIF('商品マスタ'!$B$6:$B$1005,$W9206)=0),N(U9205)+1,N(U9205))</f>
        <v/>
      </c>
      <c r="V9206" s="19">
        <f>IF($B9206="","",TEXT($B9206,"0000"))</f>
        <v/>
      </c>
      <c r="W9206" s="19">
        <f>IF($I9206="","",IF(ISNUMBER($I9206),TEXT($I9206,"0"),$I9206))</f>
        <v/>
      </c>
    </row>
    <row r="9207">
      <c r="B9207" s="25" t="n"/>
      <c r="I9207" s="25" t="n"/>
      <c r="U9207" s="19">
        <f>IF(AND($V9207='設定'!$C$4,COUNTIF('商品マスタ'!$B$6:$B$1005,$W9207)=0),N(U9206)+1,N(U9206))</f>
        <v/>
      </c>
      <c r="V9207" s="19">
        <f>IF($B9207="","",TEXT($B9207,"0000"))</f>
        <v/>
      </c>
      <c r="W9207" s="19">
        <f>IF($I9207="","",IF(ISNUMBER($I9207),TEXT($I9207,"0"),$I9207))</f>
        <v/>
      </c>
    </row>
    <row r="9208">
      <c r="B9208" s="25" t="n"/>
      <c r="I9208" s="25" t="n"/>
      <c r="U9208" s="19">
        <f>IF(AND($V9208='設定'!$C$4,COUNTIF('商品マスタ'!$B$6:$B$1005,$W9208)=0),N(U9207)+1,N(U9207))</f>
        <v/>
      </c>
      <c r="V9208" s="19">
        <f>IF($B9208="","",TEXT($B9208,"0000"))</f>
        <v/>
      </c>
      <c r="W9208" s="19">
        <f>IF($I9208="","",IF(ISNUMBER($I9208),TEXT($I9208,"0"),$I9208))</f>
        <v/>
      </c>
    </row>
    <row r="9209">
      <c r="B9209" s="25" t="n"/>
      <c r="I9209" s="25" t="n"/>
      <c r="U9209" s="19">
        <f>IF(AND($V9209='設定'!$C$4,COUNTIF('商品マスタ'!$B$6:$B$1005,$W9209)=0),N(U9208)+1,N(U9208))</f>
        <v/>
      </c>
      <c r="V9209" s="19">
        <f>IF($B9209="","",TEXT($B9209,"0000"))</f>
        <v/>
      </c>
      <c r="W9209" s="19">
        <f>IF($I9209="","",IF(ISNUMBER($I9209),TEXT($I9209,"0"),$I9209))</f>
        <v/>
      </c>
    </row>
    <row r="9210">
      <c r="B9210" s="25" t="n"/>
      <c r="I9210" s="25" t="n"/>
      <c r="U9210" s="19">
        <f>IF(AND($V9210='設定'!$C$4,COUNTIF('商品マスタ'!$B$6:$B$1005,$W9210)=0),N(U9209)+1,N(U9209))</f>
        <v/>
      </c>
      <c r="V9210" s="19">
        <f>IF($B9210="","",TEXT($B9210,"0000"))</f>
        <v/>
      </c>
      <c r="W9210" s="19">
        <f>IF($I9210="","",IF(ISNUMBER($I9210),TEXT($I9210,"0"),$I9210))</f>
        <v/>
      </c>
    </row>
    <row r="9211">
      <c r="B9211" s="25" t="n"/>
      <c r="I9211" s="25" t="n"/>
      <c r="U9211" s="19">
        <f>IF(AND($V9211='設定'!$C$4,COUNTIF('商品マスタ'!$B$6:$B$1005,$W9211)=0),N(U9210)+1,N(U9210))</f>
        <v/>
      </c>
      <c r="V9211" s="19">
        <f>IF($B9211="","",TEXT($B9211,"0000"))</f>
        <v/>
      </c>
      <c r="W9211" s="19">
        <f>IF($I9211="","",IF(ISNUMBER($I9211),TEXT($I9211,"0"),$I9211))</f>
        <v/>
      </c>
    </row>
    <row r="9212">
      <c r="B9212" s="25" t="n"/>
      <c r="I9212" s="25" t="n"/>
      <c r="U9212" s="19">
        <f>IF(AND($V9212='設定'!$C$4,COUNTIF('商品マスタ'!$B$6:$B$1005,$W9212)=0),N(U9211)+1,N(U9211))</f>
        <v/>
      </c>
      <c r="V9212" s="19">
        <f>IF($B9212="","",TEXT($B9212,"0000"))</f>
        <v/>
      </c>
      <c r="W9212" s="19">
        <f>IF($I9212="","",IF(ISNUMBER($I9212),TEXT($I9212,"0"),$I9212))</f>
        <v/>
      </c>
    </row>
    <row r="9213">
      <c r="B9213" s="25" t="n"/>
      <c r="I9213" s="25" t="n"/>
      <c r="U9213" s="19">
        <f>IF(AND($V9213='設定'!$C$4,COUNTIF('商品マスタ'!$B$6:$B$1005,$W9213)=0),N(U9212)+1,N(U9212))</f>
        <v/>
      </c>
      <c r="V9213" s="19">
        <f>IF($B9213="","",TEXT($B9213,"0000"))</f>
        <v/>
      </c>
      <c r="W9213" s="19">
        <f>IF($I9213="","",IF(ISNUMBER($I9213),TEXT($I9213,"0"),$I9213))</f>
        <v/>
      </c>
    </row>
    <row r="9214">
      <c r="B9214" s="25" t="n"/>
      <c r="I9214" s="25" t="n"/>
      <c r="U9214" s="19">
        <f>IF(AND($V9214='設定'!$C$4,COUNTIF('商品マスタ'!$B$6:$B$1005,$W9214)=0),N(U9213)+1,N(U9213))</f>
        <v/>
      </c>
      <c r="V9214" s="19">
        <f>IF($B9214="","",TEXT($B9214,"0000"))</f>
        <v/>
      </c>
      <c r="W9214" s="19">
        <f>IF($I9214="","",IF(ISNUMBER($I9214),TEXT($I9214,"0"),$I9214))</f>
        <v/>
      </c>
    </row>
    <row r="9215">
      <c r="B9215" s="25" t="n"/>
      <c r="I9215" s="25" t="n"/>
      <c r="U9215" s="19">
        <f>IF(AND($V9215='設定'!$C$4,COUNTIF('商品マスタ'!$B$6:$B$1005,$W9215)=0),N(U9214)+1,N(U9214))</f>
        <v/>
      </c>
      <c r="V9215" s="19">
        <f>IF($B9215="","",TEXT($B9215,"0000"))</f>
        <v/>
      </c>
      <c r="W9215" s="19">
        <f>IF($I9215="","",IF(ISNUMBER($I9215),TEXT($I9215,"0"),$I9215))</f>
        <v/>
      </c>
    </row>
    <row r="9216">
      <c r="B9216" s="25" t="n"/>
      <c r="I9216" s="25" t="n"/>
      <c r="U9216" s="19">
        <f>IF(AND($V9216='設定'!$C$4,COUNTIF('商品マスタ'!$B$6:$B$1005,$W9216)=0),N(U9215)+1,N(U9215))</f>
        <v/>
      </c>
      <c r="V9216" s="19">
        <f>IF($B9216="","",TEXT($B9216,"0000"))</f>
        <v/>
      </c>
      <c r="W9216" s="19">
        <f>IF($I9216="","",IF(ISNUMBER($I9216),TEXT($I9216,"0"),$I9216))</f>
        <v/>
      </c>
    </row>
    <row r="9217">
      <c r="B9217" s="25" t="n"/>
      <c r="I9217" s="25" t="n"/>
      <c r="U9217" s="19">
        <f>IF(AND($V9217='設定'!$C$4,COUNTIF('商品マスタ'!$B$6:$B$1005,$W9217)=0),N(U9216)+1,N(U9216))</f>
        <v/>
      </c>
      <c r="V9217" s="19">
        <f>IF($B9217="","",TEXT($B9217,"0000"))</f>
        <v/>
      </c>
      <c r="W9217" s="19">
        <f>IF($I9217="","",IF(ISNUMBER($I9217),TEXT($I9217,"0"),$I9217))</f>
        <v/>
      </c>
    </row>
    <row r="9218">
      <c r="B9218" s="25" t="n"/>
      <c r="I9218" s="25" t="n"/>
      <c r="U9218" s="19">
        <f>IF(AND($V9218='設定'!$C$4,COUNTIF('商品マスタ'!$B$6:$B$1005,$W9218)=0),N(U9217)+1,N(U9217))</f>
        <v/>
      </c>
      <c r="V9218" s="19">
        <f>IF($B9218="","",TEXT($B9218,"0000"))</f>
        <v/>
      </c>
      <c r="W9218" s="19">
        <f>IF($I9218="","",IF(ISNUMBER($I9218),TEXT($I9218,"0"),$I9218))</f>
        <v/>
      </c>
    </row>
    <row r="9219">
      <c r="B9219" s="25" t="n"/>
      <c r="I9219" s="25" t="n"/>
      <c r="U9219" s="19">
        <f>IF(AND($V9219='設定'!$C$4,COUNTIF('商品マスタ'!$B$6:$B$1005,$W9219)=0),N(U9218)+1,N(U9218))</f>
        <v/>
      </c>
      <c r="V9219" s="19">
        <f>IF($B9219="","",TEXT($B9219,"0000"))</f>
        <v/>
      </c>
      <c r="W9219" s="19">
        <f>IF($I9219="","",IF(ISNUMBER($I9219),TEXT($I9219,"0"),$I9219))</f>
        <v/>
      </c>
    </row>
    <row r="9220">
      <c r="B9220" s="25" t="n"/>
      <c r="I9220" s="25" t="n"/>
      <c r="U9220" s="19">
        <f>IF(AND($V9220='設定'!$C$4,COUNTIF('商品マスタ'!$B$6:$B$1005,$W9220)=0),N(U9219)+1,N(U9219))</f>
        <v/>
      </c>
      <c r="V9220" s="19">
        <f>IF($B9220="","",TEXT($B9220,"0000"))</f>
        <v/>
      </c>
      <c r="W9220" s="19">
        <f>IF($I9220="","",IF(ISNUMBER($I9220),TEXT($I9220,"0"),$I9220))</f>
        <v/>
      </c>
    </row>
    <row r="9221">
      <c r="B9221" s="25" t="n"/>
      <c r="I9221" s="25" t="n"/>
      <c r="U9221" s="19">
        <f>IF(AND($V9221='設定'!$C$4,COUNTIF('商品マスタ'!$B$6:$B$1005,$W9221)=0),N(U9220)+1,N(U9220))</f>
        <v/>
      </c>
      <c r="V9221" s="19">
        <f>IF($B9221="","",TEXT($B9221,"0000"))</f>
        <v/>
      </c>
      <c r="W9221" s="19">
        <f>IF($I9221="","",IF(ISNUMBER($I9221),TEXT($I9221,"0"),$I9221))</f>
        <v/>
      </c>
    </row>
    <row r="9222">
      <c r="B9222" s="25" t="n"/>
      <c r="I9222" s="25" t="n"/>
      <c r="U9222" s="19">
        <f>IF(AND($V9222='設定'!$C$4,COUNTIF('商品マスタ'!$B$6:$B$1005,$W9222)=0),N(U9221)+1,N(U9221))</f>
        <v/>
      </c>
      <c r="V9222" s="19">
        <f>IF($B9222="","",TEXT($B9222,"0000"))</f>
        <v/>
      </c>
      <c r="W9222" s="19">
        <f>IF($I9222="","",IF(ISNUMBER($I9222),TEXT($I9222,"0"),$I9222))</f>
        <v/>
      </c>
    </row>
    <row r="9223">
      <c r="B9223" s="25" t="n"/>
      <c r="I9223" s="25" t="n"/>
      <c r="U9223" s="19">
        <f>IF(AND($V9223='設定'!$C$4,COUNTIF('商品マスタ'!$B$6:$B$1005,$W9223)=0),N(U9222)+1,N(U9222))</f>
        <v/>
      </c>
      <c r="V9223" s="19">
        <f>IF($B9223="","",TEXT($B9223,"0000"))</f>
        <v/>
      </c>
      <c r="W9223" s="19">
        <f>IF($I9223="","",IF(ISNUMBER($I9223),TEXT($I9223,"0"),$I9223))</f>
        <v/>
      </c>
    </row>
    <row r="9224">
      <c r="B9224" s="25" t="n"/>
      <c r="I9224" s="25" t="n"/>
      <c r="U9224" s="19">
        <f>IF(AND($V9224='設定'!$C$4,COUNTIF('商品マスタ'!$B$6:$B$1005,$W9224)=0),N(U9223)+1,N(U9223))</f>
        <v/>
      </c>
      <c r="V9224" s="19">
        <f>IF($B9224="","",TEXT($B9224,"0000"))</f>
        <v/>
      </c>
      <c r="W9224" s="19">
        <f>IF($I9224="","",IF(ISNUMBER($I9224),TEXT($I9224,"0"),$I9224))</f>
        <v/>
      </c>
    </row>
    <row r="9225">
      <c r="B9225" s="25" t="n"/>
      <c r="I9225" s="25" t="n"/>
      <c r="U9225" s="19">
        <f>IF(AND($V9225='設定'!$C$4,COUNTIF('商品マスタ'!$B$6:$B$1005,$W9225)=0),N(U9224)+1,N(U9224))</f>
        <v/>
      </c>
      <c r="V9225" s="19">
        <f>IF($B9225="","",TEXT($B9225,"0000"))</f>
        <v/>
      </c>
      <c r="W9225" s="19">
        <f>IF($I9225="","",IF(ISNUMBER($I9225),TEXT($I9225,"0"),$I9225))</f>
        <v/>
      </c>
    </row>
    <row r="9226">
      <c r="B9226" s="25" t="n"/>
      <c r="I9226" s="25" t="n"/>
      <c r="U9226" s="19">
        <f>IF(AND($V9226='設定'!$C$4,COUNTIF('商品マスタ'!$B$6:$B$1005,$W9226)=0),N(U9225)+1,N(U9225))</f>
        <v/>
      </c>
      <c r="V9226" s="19">
        <f>IF($B9226="","",TEXT($B9226,"0000"))</f>
        <v/>
      </c>
      <c r="W9226" s="19">
        <f>IF($I9226="","",IF(ISNUMBER($I9226),TEXT($I9226,"0"),$I9226))</f>
        <v/>
      </c>
    </row>
    <row r="9227">
      <c r="B9227" s="25" t="n"/>
      <c r="I9227" s="25" t="n"/>
      <c r="U9227" s="19">
        <f>IF(AND($V9227='設定'!$C$4,COUNTIF('商品マスタ'!$B$6:$B$1005,$W9227)=0),N(U9226)+1,N(U9226))</f>
        <v/>
      </c>
      <c r="V9227" s="19">
        <f>IF($B9227="","",TEXT($B9227,"0000"))</f>
        <v/>
      </c>
      <c r="W9227" s="19">
        <f>IF($I9227="","",IF(ISNUMBER($I9227),TEXT($I9227,"0"),$I9227))</f>
        <v/>
      </c>
    </row>
    <row r="9228">
      <c r="B9228" s="25" t="n"/>
      <c r="I9228" s="25" t="n"/>
      <c r="U9228" s="19">
        <f>IF(AND($V9228='設定'!$C$4,COUNTIF('商品マスタ'!$B$6:$B$1005,$W9228)=0),N(U9227)+1,N(U9227))</f>
        <v/>
      </c>
      <c r="V9228" s="19">
        <f>IF($B9228="","",TEXT($B9228,"0000"))</f>
        <v/>
      </c>
      <c r="W9228" s="19">
        <f>IF($I9228="","",IF(ISNUMBER($I9228),TEXT($I9228,"0"),$I9228))</f>
        <v/>
      </c>
    </row>
    <row r="9229">
      <c r="B9229" s="25" t="n"/>
      <c r="I9229" s="25" t="n"/>
      <c r="U9229" s="19">
        <f>IF(AND($V9229='設定'!$C$4,COUNTIF('商品マスタ'!$B$6:$B$1005,$W9229)=0),N(U9228)+1,N(U9228))</f>
        <v/>
      </c>
      <c r="V9229" s="19">
        <f>IF($B9229="","",TEXT($B9229,"0000"))</f>
        <v/>
      </c>
      <c r="W9229" s="19">
        <f>IF($I9229="","",IF(ISNUMBER($I9229),TEXT($I9229,"0"),$I9229))</f>
        <v/>
      </c>
    </row>
    <row r="9230">
      <c r="B9230" s="25" t="n"/>
      <c r="I9230" s="25" t="n"/>
      <c r="U9230" s="19">
        <f>IF(AND($V9230='設定'!$C$4,COUNTIF('商品マスタ'!$B$6:$B$1005,$W9230)=0),N(U9229)+1,N(U9229))</f>
        <v/>
      </c>
      <c r="V9230" s="19">
        <f>IF($B9230="","",TEXT($B9230,"0000"))</f>
        <v/>
      </c>
      <c r="W9230" s="19">
        <f>IF($I9230="","",IF(ISNUMBER($I9230),TEXT($I9230,"0"),$I9230))</f>
        <v/>
      </c>
    </row>
    <row r="9231">
      <c r="B9231" s="25" t="n"/>
      <c r="I9231" s="25" t="n"/>
      <c r="U9231" s="19">
        <f>IF(AND($V9231='設定'!$C$4,COUNTIF('商品マスタ'!$B$6:$B$1005,$W9231)=0),N(U9230)+1,N(U9230))</f>
        <v/>
      </c>
      <c r="V9231" s="19">
        <f>IF($B9231="","",TEXT($B9231,"0000"))</f>
        <v/>
      </c>
      <c r="W9231" s="19">
        <f>IF($I9231="","",IF(ISNUMBER($I9231),TEXT($I9231,"0"),$I9231))</f>
        <v/>
      </c>
    </row>
    <row r="9232">
      <c r="B9232" s="25" t="n"/>
      <c r="I9232" s="25" t="n"/>
      <c r="U9232" s="19">
        <f>IF(AND($V9232='設定'!$C$4,COUNTIF('商品マスタ'!$B$6:$B$1005,$W9232)=0),N(U9231)+1,N(U9231))</f>
        <v/>
      </c>
      <c r="V9232" s="19">
        <f>IF($B9232="","",TEXT($B9232,"0000"))</f>
        <v/>
      </c>
      <c r="W9232" s="19">
        <f>IF($I9232="","",IF(ISNUMBER($I9232),TEXT($I9232,"0"),$I9232))</f>
        <v/>
      </c>
    </row>
    <row r="9233">
      <c r="B9233" s="25" t="n"/>
      <c r="I9233" s="25" t="n"/>
      <c r="U9233" s="19">
        <f>IF(AND($V9233='設定'!$C$4,COUNTIF('商品マスタ'!$B$6:$B$1005,$W9233)=0),N(U9232)+1,N(U9232))</f>
        <v/>
      </c>
      <c r="V9233" s="19">
        <f>IF($B9233="","",TEXT($B9233,"0000"))</f>
        <v/>
      </c>
      <c r="W9233" s="19">
        <f>IF($I9233="","",IF(ISNUMBER($I9233),TEXT($I9233,"0"),$I9233))</f>
        <v/>
      </c>
    </row>
    <row r="9234">
      <c r="B9234" s="25" t="n"/>
      <c r="I9234" s="25" t="n"/>
      <c r="U9234" s="19">
        <f>IF(AND($V9234='設定'!$C$4,COUNTIF('商品マスタ'!$B$6:$B$1005,$W9234)=0),N(U9233)+1,N(U9233))</f>
        <v/>
      </c>
      <c r="V9234" s="19">
        <f>IF($B9234="","",TEXT($B9234,"0000"))</f>
        <v/>
      </c>
      <c r="W9234" s="19">
        <f>IF($I9234="","",IF(ISNUMBER($I9234),TEXT($I9234,"0"),$I9234))</f>
        <v/>
      </c>
    </row>
    <row r="9235">
      <c r="B9235" s="25" t="n"/>
      <c r="I9235" s="25" t="n"/>
      <c r="U9235" s="19">
        <f>IF(AND($V9235='設定'!$C$4,COUNTIF('商品マスタ'!$B$6:$B$1005,$W9235)=0),N(U9234)+1,N(U9234))</f>
        <v/>
      </c>
      <c r="V9235" s="19">
        <f>IF($B9235="","",TEXT($B9235,"0000"))</f>
        <v/>
      </c>
      <c r="W9235" s="19">
        <f>IF($I9235="","",IF(ISNUMBER($I9235),TEXT($I9235,"0"),$I9235))</f>
        <v/>
      </c>
    </row>
    <row r="9236">
      <c r="B9236" s="25" t="n"/>
      <c r="I9236" s="25" t="n"/>
      <c r="U9236" s="19">
        <f>IF(AND($V9236='設定'!$C$4,COUNTIF('商品マスタ'!$B$6:$B$1005,$W9236)=0),N(U9235)+1,N(U9235))</f>
        <v/>
      </c>
      <c r="V9236" s="19">
        <f>IF($B9236="","",TEXT($B9236,"0000"))</f>
        <v/>
      </c>
      <c r="W9236" s="19">
        <f>IF($I9236="","",IF(ISNUMBER($I9236),TEXT($I9236,"0"),$I9236))</f>
        <v/>
      </c>
    </row>
    <row r="9237">
      <c r="B9237" s="25" t="n"/>
      <c r="I9237" s="25" t="n"/>
      <c r="U9237" s="19">
        <f>IF(AND($V9237='設定'!$C$4,COUNTIF('商品マスタ'!$B$6:$B$1005,$W9237)=0),N(U9236)+1,N(U9236))</f>
        <v/>
      </c>
      <c r="V9237" s="19">
        <f>IF($B9237="","",TEXT($B9237,"0000"))</f>
        <v/>
      </c>
      <c r="W9237" s="19">
        <f>IF($I9237="","",IF(ISNUMBER($I9237),TEXT($I9237,"0"),$I9237))</f>
        <v/>
      </c>
    </row>
    <row r="9238">
      <c r="B9238" s="25" t="n"/>
      <c r="I9238" s="25" t="n"/>
      <c r="U9238" s="19">
        <f>IF(AND($V9238='設定'!$C$4,COUNTIF('商品マスタ'!$B$6:$B$1005,$W9238)=0),N(U9237)+1,N(U9237))</f>
        <v/>
      </c>
      <c r="V9238" s="19">
        <f>IF($B9238="","",TEXT($B9238,"0000"))</f>
        <v/>
      </c>
      <c r="W9238" s="19">
        <f>IF($I9238="","",IF(ISNUMBER($I9238),TEXT($I9238,"0"),$I9238))</f>
        <v/>
      </c>
    </row>
    <row r="9239">
      <c r="B9239" s="25" t="n"/>
      <c r="I9239" s="25" t="n"/>
      <c r="U9239" s="19">
        <f>IF(AND($V9239='設定'!$C$4,COUNTIF('商品マスタ'!$B$6:$B$1005,$W9239)=0),N(U9238)+1,N(U9238))</f>
        <v/>
      </c>
      <c r="V9239" s="19">
        <f>IF($B9239="","",TEXT($B9239,"0000"))</f>
        <v/>
      </c>
      <c r="W9239" s="19">
        <f>IF($I9239="","",IF(ISNUMBER($I9239),TEXT($I9239,"0"),$I9239))</f>
        <v/>
      </c>
    </row>
    <row r="9240">
      <c r="B9240" s="25" t="n"/>
      <c r="I9240" s="25" t="n"/>
      <c r="U9240" s="19">
        <f>IF(AND($V9240='設定'!$C$4,COUNTIF('商品マスタ'!$B$6:$B$1005,$W9240)=0),N(U9239)+1,N(U9239))</f>
        <v/>
      </c>
      <c r="V9240" s="19">
        <f>IF($B9240="","",TEXT($B9240,"0000"))</f>
        <v/>
      </c>
      <c r="W9240" s="19">
        <f>IF($I9240="","",IF(ISNUMBER($I9240),TEXT($I9240,"0"),$I9240))</f>
        <v/>
      </c>
    </row>
    <row r="9241">
      <c r="B9241" s="25" t="n"/>
      <c r="I9241" s="25" t="n"/>
      <c r="U9241" s="19">
        <f>IF(AND($V9241='設定'!$C$4,COUNTIF('商品マスタ'!$B$6:$B$1005,$W9241)=0),N(U9240)+1,N(U9240))</f>
        <v/>
      </c>
      <c r="V9241" s="19">
        <f>IF($B9241="","",TEXT($B9241,"0000"))</f>
        <v/>
      </c>
      <c r="W9241" s="19">
        <f>IF($I9241="","",IF(ISNUMBER($I9241),TEXT($I9241,"0"),$I9241))</f>
        <v/>
      </c>
    </row>
    <row r="9242">
      <c r="B9242" s="25" t="n"/>
      <c r="I9242" s="25" t="n"/>
      <c r="U9242" s="19">
        <f>IF(AND($V9242='設定'!$C$4,COUNTIF('商品マスタ'!$B$6:$B$1005,$W9242)=0),N(U9241)+1,N(U9241))</f>
        <v/>
      </c>
      <c r="V9242" s="19">
        <f>IF($B9242="","",TEXT($B9242,"0000"))</f>
        <v/>
      </c>
      <c r="W9242" s="19">
        <f>IF($I9242="","",IF(ISNUMBER($I9242),TEXT($I9242,"0"),$I9242))</f>
        <v/>
      </c>
    </row>
    <row r="9243">
      <c r="B9243" s="25" t="n"/>
      <c r="I9243" s="25" t="n"/>
      <c r="U9243" s="19">
        <f>IF(AND($V9243='設定'!$C$4,COUNTIF('商品マスタ'!$B$6:$B$1005,$W9243)=0),N(U9242)+1,N(U9242))</f>
        <v/>
      </c>
      <c r="V9243" s="19">
        <f>IF($B9243="","",TEXT($B9243,"0000"))</f>
        <v/>
      </c>
      <c r="W9243" s="19">
        <f>IF($I9243="","",IF(ISNUMBER($I9243),TEXT($I9243,"0"),$I9243))</f>
        <v/>
      </c>
    </row>
    <row r="9244">
      <c r="B9244" s="25" t="n"/>
      <c r="I9244" s="25" t="n"/>
      <c r="U9244" s="19">
        <f>IF(AND($V9244='設定'!$C$4,COUNTIF('商品マスタ'!$B$6:$B$1005,$W9244)=0),N(U9243)+1,N(U9243))</f>
        <v/>
      </c>
      <c r="V9244" s="19">
        <f>IF($B9244="","",TEXT($B9244,"0000"))</f>
        <v/>
      </c>
      <c r="W9244" s="19">
        <f>IF($I9244="","",IF(ISNUMBER($I9244),TEXT($I9244,"0"),$I9244))</f>
        <v/>
      </c>
    </row>
    <row r="9245">
      <c r="B9245" s="25" t="n"/>
      <c r="I9245" s="25" t="n"/>
      <c r="U9245" s="19">
        <f>IF(AND($V9245='設定'!$C$4,COUNTIF('商品マスタ'!$B$6:$B$1005,$W9245)=0),N(U9244)+1,N(U9244))</f>
        <v/>
      </c>
      <c r="V9245" s="19">
        <f>IF($B9245="","",TEXT($B9245,"0000"))</f>
        <v/>
      </c>
      <c r="W9245" s="19">
        <f>IF($I9245="","",IF(ISNUMBER($I9245),TEXT($I9245,"0"),$I9245))</f>
        <v/>
      </c>
    </row>
    <row r="9246">
      <c r="B9246" s="25" t="n"/>
      <c r="I9246" s="25" t="n"/>
      <c r="U9246" s="19">
        <f>IF(AND($V9246='設定'!$C$4,COUNTIF('商品マスタ'!$B$6:$B$1005,$W9246)=0),N(U9245)+1,N(U9245))</f>
        <v/>
      </c>
      <c r="V9246" s="19">
        <f>IF($B9246="","",TEXT($B9246,"0000"))</f>
        <v/>
      </c>
      <c r="W9246" s="19">
        <f>IF($I9246="","",IF(ISNUMBER($I9246),TEXT($I9246,"0"),$I9246))</f>
        <v/>
      </c>
    </row>
    <row r="9247">
      <c r="B9247" s="25" t="n"/>
      <c r="I9247" s="25" t="n"/>
      <c r="U9247" s="19">
        <f>IF(AND($V9247='設定'!$C$4,COUNTIF('商品マスタ'!$B$6:$B$1005,$W9247)=0),N(U9246)+1,N(U9246))</f>
        <v/>
      </c>
      <c r="V9247" s="19">
        <f>IF($B9247="","",TEXT($B9247,"0000"))</f>
        <v/>
      </c>
      <c r="W9247" s="19">
        <f>IF($I9247="","",IF(ISNUMBER($I9247),TEXT($I9247,"0"),$I9247))</f>
        <v/>
      </c>
    </row>
    <row r="9248">
      <c r="B9248" s="25" t="n"/>
      <c r="I9248" s="25" t="n"/>
      <c r="U9248" s="19">
        <f>IF(AND($V9248='設定'!$C$4,COUNTIF('商品マスタ'!$B$6:$B$1005,$W9248)=0),N(U9247)+1,N(U9247))</f>
        <v/>
      </c>
      <c r="V9248" s="19">
        <f>IF($B9248="","",TEXT($B9248,"0000"))</f>
        <v/>
      </c>
      <c r="W9248" s="19">
        <f>IF($I9248="","",IF(ISNUMBER($I9248),TEXT($I9248,"0"),$I9248))</f>
        <v/>
      </c>
    </row>
    <row r="9249">
      <c r="B9249" s="25" t="n"/>
      <c r="I9249" s="25" t="n"/>
      <c r="U9249" s="19">
        <f>IF(AND($V9249='設定'!$C$4,COUNTIF('商品マスタ'!$B$6:$B$1005,$W9249)=0),N(U9248)+1,N(U9248))</f>
        <v/>
      </c>
      <c r="V9249" s="19">
        <f>IF($B9249="","",TEXT($B9249,"0000"))</f>
        <v/>
      </c>
      <c r="W9249" s="19">
        <f>IF($I9249="","",IF(ISNUMBER($I9249),TEXT($I9249,"0"),$I9249))</f>
        <v/>
      </c>
    </row>
    <row r="9250">
      <c r="B9250" s="25" t="n"/>
      <c r="I9250" s="25" t="n"/>
      <c r="U9250" s="19">
        <f>IF(AND($V9250='設定'!$C$4,COUNTIF('商品マスタ'!$B$6:$B$1005,$W9250)=0),N(U9249)+1,N(U9249))</f>
        <v/>
      </c>
      <c r="V9250" s="19">
        <f>IF($B9250="","",TEXT($B9250,"0000"))</f>
        <v/>
      </c>
      <c r="W9250" s="19">
        <f>IF($I9250="","",IF(ISNUMBER($I9250),TEXT($I9250,"0"),$I9250))</f>
        <v/>
      </c>
    </row>
    <row r="9251">
      <c r="B9251" s="25" t="n"/>
      <c r="I9251" s="25" t="n"/>
      <c r="U9251" s="19">
        <f>IF(AND($V9251='設定'!$C$4,COUNTIF('商品マスタ'!$B$6:$B$1005,$W9251)=0),N(U9250)+1,N(U9250))</f>
        <v/>
      </c>
      <c r="V9251" s="19">
        <f>IF($B9251="","",TEXT($B9251,"0000"))</f>
        <v/>
      </c>
      <c r="W9251" s="19">
        <f>IF($I9251="","",IF(ISNUMBER($I9251),TEXT($I9251,"0"),$I9251))</f>
        <v/>
      </c>
    </row>
    <row r="9252">
      <c r="B9252" s="25" t="n"/>
      <c r="I9252" s="25" t="n"/>
      <c r="U9252" s="19">
        <f>IF(AND($V9252='設定'!$C$4,COUNTIF('商品マスタ'!$B$6:$B$1005,$W9252)=0),N(U9251)+1,N(U9251))</f>
        <v/>
      </c>
      <c r="V9252" s="19">
        <f>IF($B9252="","",TEXT($B9252,"0000"))</f>
        <v/>
      </c>
      <c r="W9252" s="19">
        <f>IF($I9252="","",IF(ISNUMBER($I9252),TEXT($I9252,"0"),$I9252))</f>
        <v/>
      </c>
    </row>
    <row r="9253">
      <c r="B9253" s="25" t="n"/>
      <c r="I9253" s="25" t="n"/>
      <c r="U9253" s="19">
        <f>IF(AND($V9253='設定'!$C$4,COUNTIF('商品マスタ'!$B$6:$B$1005,$W9253)=0),N(U9252)+1,N(U9252))</f>
        <v/>
      </c>
      <c r="V9253" s="19">
        <f>IF($B9253="","",TEXT($B9253,"0000"))</f>
        <v/>
      </c>
      <c r="W9253" s="19">
        <f>IF($I9253="","",IF(ISNUMBER($I9253),TEXT($I9253,"0"),$I9253))</f>
        <v/>
      </c>
    </row>
    <row r="9254">
      <c r="B9254" s="25" t="n"/>
      <c r="I9254" s="25" t="n"/>
      <c r="U9254" s="19">
        <f>IF(AND($V9254='設定'!$C$4,COUNTIF('商品マスタ'!$B$6:$B$1005,$W9254)=0),N(U9253)+1,N(U9253))</f>
        <v/>
      </c>
      <c r="V9254" s="19">
        <f>IF($B9254="","",TEXT($B9254,"0000"))</f>
        <v/>
      </c>
      <c r="W9254" s="19">
        <f>IF($I9254="","",IF(ISNUMBER($I9254),TEXT($I9254,"0"),$I9254))</f>
        <v/>
      </c>
    </row>
    <row r="9255">
      <c r="B9255" s="25" t="n"/>
      <c r="I9255" s="25" t="n"/>
      <c r="U9255" s="19">
        <f>IF(AND($V9255='設定'!$C$4,COUNTIF('商品マスタ'!$B$6:$B$1005,$W9255)=0),N(U9254)+1,N(U9254))</f>
        <v/>
      </c>
      <c r="V9255" s="19">
        <f>IF($B9255="","",TEXT($B9255,"0000"))</f>
        <v/>
      </c>
      <c r="W9255" s="19">
        <f>IF($I9255="","",IF(ISNUMBER($I9255),TEXT($I9255,"0"),$I9255))</f>
        <v/>
      </c>
    </row>
    <row r="9256">
      <c r="B9256" s="25" t="n"/>
      <c r="I9256" s="25" t="n"/>
      <c r="U9256" s="19">
        <f>IF(AND($V9256='設定'!$C$4,COUNTIF('商品マスタ'!$B$6:$B$1005,$W9256)=0),N(U9255)+1,N(U9255))</f>
        <v/>
      </c>
      <c r="V9256" s="19">
        <f>IF($B9256="","",TEXT($B9256,"0000"))</f>
        <v/>
      </c>
      <c r="W9256" s="19">
        <f>IF($I9256="","",IF(ISNUMBER($I9256),TEXT($I9256,"0"),$I9256))</f>
        <v/>
      </c>
    </row>
    <row r="9257">
      <c r="B9257" s="25" t="n"/>
      <c r="I9257" s="25" t="n"/>
      <c r="U9257" s="19">
        <f>IF(AND($V9257='設定'!$C$4,COUNTIF('商品マスタ'!$B$6:$B$1005,$W9257)=0),N(U9256)+1,N(U9256))</f>
        <v/>
      </c>
      <c r="V9257" s="19">
        <f>IF($B9257="","",TEXT($B9257,"0000"))</f>
        <v/>
      </c>
      <c r="W9257" s="19">
        <f>IF($I9257="","",IF(ISNUMBER($I9257),TEXT($I9257,"0"),$I9257))</f>
        <v/>
      </c>
    </row>
    <row r="9258">
      <c r="B9258" s="25" t="n"/>
      <c r="I9258" s="25" t="n"/>
      <c r="U9258" s="19">
        <f>IF(AND($V9258='設定'!$C$4,COUNTIF('商品マスタ'!$B$6:$B$1005,$W9258)=0),N(U9257)+1,N(U9257))</f>
        <v/>
      </c>
      <c r="V9258" s="19">
        <f>IF($B9258="","",TEXT($B9258,"0000"))</f>
        <v/>
      </c>
      <c r="W9258" s="19">
        <f>IF($I9258="","",IF(ISNUMBER($I9258),TEXT($I9258,"0"),$I9258))</f>
        <v/>
      </c>
    </row>
    <row r="9259">
      <c r="B9259" s="25" t="n"/>
      <c r="I9259" s="25" t="n"/>
      <c r="U9259" s="19">
        <f>IF(AND($V9259='設定'!$C$4,COUNTIF('商品マスタ'!$B$6:$B$1005,$W9259)=0),N(U9258)+1,N(U9258))</f>
        <v/>
      </c>
      <c r="V9259" s="19">
        <f>IF($B9259="","",TEXT($B9259,"0000"))</f>
        <v/>
      </c>
      <c r="W9259" s="19">
        <f>IF($I9259="","",IF(ISNUMBER($I9259),TEXT($I9259,"0"),$I9259))</f>
        <v/>
      </c>
    </row>
    <row r="9260">
      <c r="B9260" s="25" t="n"/>
      <c r="I9260" s="25" t="n"/>
      <c r="U9260" s="19">
        <f>IF(AND($V9260='設定'!$C$4,COUNTIF('商品マスタ'!$B$6:$B$1005,$W9260)=0),N(U9259)+1,N(U9259))</f>
        <v/>
      </c>
      <c r="V9260" s="19">
        <f>IF($B9260="","",TEXT($B9260,"0000"))</f>
        <v/>
      </c>
      <c r="W9260" s="19">
        <f>IF($I9260="","",IF(ISNUMBER($I9260),TEXT($I9260,"0"),$I9260))</f>
        <v/>
      </c>
    </row>
    <row r="9261">
      <c r="B9261" s="25" t="n"/>
      <c r="I9261" s="25" t="n"/>
      <c r="U9261" s="19">
        <f>IF(AND($V9261='設定'!$C$4,COUNTIF('商品マスタ'!$B$6:$B$1005,$W9261)=0),N(U9260)+1,N(U9260))</f>
        <v/>
      </c>
      <c r="V9261" s="19">
        <f>IF($B9261="","",TEXT($B9261,"0000"))</f>
        <v/>
      </c>
      <c r="W9261" s="19">
        <f>IF($I9261="","",IF(ISNUMBER($I9261),TEXT($I9261,"0"),$I9261))</f>
        <v/>
      </c>
    </row>
    <row r="9262">
      <c r="B9262" s="25" t="n"/>
      <c r="I9262" s="25" t="n"/>
      <c r="U9262" s="19">
        <f>IF(AND($V9262='設定'!$C$4,COUNTIF('商品マスタ'!$B$6:$B$1005,$W9262)=0),N(U9261)+1,N(U9261))</f>
        <v/>
      </c>
      <c r="V9262" s="19">
        <f>IF($B9262="","",TEXT($B9262,"0000"))</f>
        <v/>
      </c>
      <c r="W9262" s="19">
        <f>IF($I9262="","",IF(ISNUMBER($I9262),TEXT($I9262,"0"),$I9262))</f>
        <v/>
      </c>
    </row>
    <row r="9263">
      <c r="B9263" s="25" t="n"/>
      <c r="I9263" s="25" t="n"/>
      <c r="U9263" s="19">
        <f>IF(AND($V9263='設定'!$C$4,COUNTIF('商品マスタ'!$B$6:$B$1005,$W9263)=0),N(U9262)+1,N(U9262))</f>
        <v/>
      </c>
      <c r="V9263" s="19">
        <f>IF($B9263="","",TEXT($B9263,"0000"))</f>
        <v/>
      </c>
      <c r="W9263" s="19">
        <f>IF($I9263="","",IF(ISNUMBER($I9263),TEXT($I9263,"0"),$I9263))</f>
        <v/>
      </c>
    </row>
    <row r="9264">
      <c r="B9264" s="25" t="n"/>
      <c r="I9264" s="25" t="n"/>
      <c r="U9264" s="19">
        <f>IF(AND($V9264='設定'!$C$4,COUNTIF('商品マスタ'!$B$6:$B$1005,$W9264)=0),N(U9263)+1,N(U9263))</f>
        <v/>
      </c>
      <c r="V9264" s="19">
        <f>IF($B9264="","",TEXT($B9264,"0000"))</f>
        <v/>
      </c>
      <c r="W9264" s="19">
        <f>IF($I9264="","",IF(ISNUMBER($I9264),TEXT($I9264,"0"),$I9264))</f>
        <v/>
      </c>
    </row>
    <row r="9265">
      <c r="B9265" s="25" t="n"/>
      <c r="I9265" s="25" t="n"/>
      <c r="U9265" s="19">
        <f>IF(AND($V9265='設定'!$C$4,COUNTIF('商品マスタ'!$B$6:$B$1005,$W9265)=0),N(U9264)+1,N(U9264))</f>
        <v/>
      </c>
      <c r="V9265" s="19">
        <f>IF($B9265="","",TEXT($B9265,"0000"))</f>
        <v/>
      </c>
      <c r="W9265" s="19">
        <f>IF($I9265="","",IF(ISNUMBER($I9265),TEXT($I9265,"0"),$I9265))</f>
        <v/>
      </c>
    </row>
    <row r="9266">
      <c r="B9266" s="25" t="n"/>
      <c r="I9266" s="25" t="n"/>
      <c r="U9266" s="19">
        <f>IF(AND($V9266='設定'!$C$4,COUNTIF('商品マスタ'!$B$6:$B$1005,$W9266)=0),N(U9265)+1,N(U9265))</f>
        <v/>
      </c>
      <c r="V9266" s="19">
        <f>IF($B9266="","",TEXT($B9266,"0000"))</f>
        <v/>
      </c>
      <c r="W9266" s="19">
        <f>IF($I9266="","",IF(ISNUMBER($I9266),TEXT($I9266,"0"),$I9266))</f>
        <v/>
      </c>
    </row>
    <row r="9267">
      <c r="B9267" s="25" t="n"/>
      <c r="I9267" s="25" t="n"/>
      <c r="U9267" s="19">
        <f>IF(AND($V9267='設定'!$C$4,COUNTIF('商品マスタ'!$B$6:$B$1005,$W9267)=0),N(U9266)+1,N(U9266))</f>
        <v/>
      </c>
      <c r="V9267" s="19">
        <f>IF($B9267="","",TEXT($B9267,"0000"))</f>
        <v/>
      </c>
      <c r="W9267" s="19">
        <f>IF($I9267="","",IF(ISNUMBER($I9267),TEXT($I9267,"0"),$I9267))</f>
        <v/>
      </c>
    </row>
    <row r="9268">
      <c r="B9268" s="25" t="n"/>
      <c r="I9268" s="25" t="n"/>
      <c r="U9268" s="19">
        <f>IF(AND($V9268='設定'!$C$4,COUNTIF('商品マスタ'!$B$6:$B$1005,$W9268)=0),N(U9267)+1,N(U9267))</f>
        <v/>
      </c>
      <c r="V9268" s="19">
        <f>IF($B9268="","",TEXT($B9268,"0000"))</f>
        <v/>
      </c>
      <c r="W9268" s="19">
        <f>IF($I9268="","",IF(ISNUMBER($I9268),TEXT($I9268,"0"),$I9268))</f>
        <v/>
      </c>
    </row>
    <row r="9269">
      <c r="B9269" s="25" t="n"/>
      <c r="I9269" s="25" t="n"/>
      <c r="U9269" s="19">
        <f>IF(AND($V9269='設定'!$C$4,COUNTIF('商品マスタ'!$B$6:$B$1005,$W9269)=0),N(U9268)+1,N(U9268))</f>
        <v/>
      </c>
      <c r="V9269" s="19">
        <f>IF($B9269="","",TEXT($B9269,"0000"))</f>
        <v/>
      </c>
      <c r="W9269" s="19">
        <f>IF($I9269="","",IF(ISNUMBER($I9269),TEXT($I9269,"0"),$I9269))</f>
        <v/>
      </c>
    </row>
    <row r="9270">
      <c r="B9270" s="25" t="n"/>
      <c r="I9270" s="25" t="n"/>
      <c r="U9270" s="19">
        <f>IF(AND($V9270='設定'!$C$4,COUNTIF('商品マスタ'!$B$6:$B$1005,$W9270)=0),N(U9269)+1,N(U9269))</f>
        <v/>
      </c>
      <c r="V9270" s="19">
        <f>IF($B9270="","",TEXT($B9270,"0000"))</f>
        <v/>
      </c>
      <c r="W9270" s="19">
        <f>IF($I9270="","",IF(ISNUMBER($I9270),TEXT($I9270,"0"),$I9270))</f>
        <v/>
      </c>
    </row>
    <row r="9271">
      <c r="B9271" s="25" t="n"/>
      <c r="I9271" s="25" t="n"/>
      <c r="U9271" s="19">
        <f>IF(AND($V9271='設定'!$C$4,COUNTIF('商品マスタ'!$B$6:$B$1005,$W9271)=0),N(U9270)+1,N(U9270))</f>
        <v/>
      </c>
      <c r="V9271" s="19">
        <f>IF($B9271="","",TEXT($B9271,"0000"))</f>
        <v/>
      </c>
      <c r="W9271" s="19">
        <f>IF($I9271="","",IF(ISNUMBER($I9271),TEXT($I9271,"0"),$I9271))</f>
        <v/>
      </c>
    </row>
    <row r="9272">
      <c r="B9272" s="25" t="n"/>
      <c r="I9272" s="25" t="n"/>
      <c r="U9272" s="19">
        <f>IF(AND($V9272='設定'!$C$4,COUNTIF('商品マスタ'!$B$6:$B$1005,$W9272)=0),N(U9271)+1,N(U9271))</f>
        <v/>
      </c>
      <c r="V9272" s="19">
        <f>IF($B9272="","",TEXT($B9272,"0000"))</f>
        <v/>
      </c>
      <c r="W9272" s="19">
        <f>IF($I9272="","",IF(ISNUMBER($I9272),TEXT($I9272,"0"),$I9272))</f>
        <v/>
      </c>
    </row>
    <row r="9273">
      <c r="B9273" s="25" t="n"/>
      <c r="I9273" s="25" t="n"/>
      <c r="U9273" s="19">
        <f>IF(AND($V9273='設定'!$C$4,COUNTIF('商品マスタ'!$B$6:$B$1005,$W9273)=0),N(U9272)+1,N(U9272))</f>
        <v/>
      </c>
      <c r="V9273" s="19">
        <f>IF($B9273="","",TEXT($B9273,"0000"))</f>
        <v/>
      </c>
      <c r="W9273" s="19">
        <f>IF($I9273="","",IF(ISNUMBER($I9273),TEXT($I9273,"0"),$I9273))</f>
        <v/>
      </c>
    </row>
    <row r="9274">
      <c r="B9274" s="25" t="n"/>
      <c r="I9274" s="25" t="n"/>
      <c r="U9274" s="19">
        <f>IF(AND($V9274='設定'!$C$4,COUNTIF('商品マスタ'!$B$6:$B$1005,$W9274)=0),N(U9273)+1,N(U9273))</f>
        <v/>
      </c>
      <c r="V9274" s="19">
        <f>IF($B9274="","",TEXT($B9274,"0000"))</f>
        <v/>
      </c>
      <c r="W9274" s="19">
        <f>IF($I9274="","",IF(ISNUMBER($I9274),TEXT($I9274,"0"),$I9274))</f>
        <v/>
      </c>
    </row>
    <row r="9275">
      <c r="B9275" s="25" t="n"/>
      <c r="I9275" s="25" t="n"/>
      <c r="U9275" s="19">
        <f>IF(AND($V9275='設定'!$C$4,COUNTIF('商品マスタ'!$B$6:$B$1005,$W9275)=0),N(U9274)+1,N(U9274))</f>
        <v/>
      </c>
      <c r="V9275" s="19">
        <f>IF($B9275="","",TEXT($B9275,"0000"))</f>
        <v/>
      </c>
      <c r="W9275" s="19">
        <f>IF($I9275="","",IF(ISNUMBER($I9275),TEXT($I9275,"0"),$I9275))</f>
        <v/>
      </c>
    </row>
    <row r="9276">
      <c r="B9276" s="25" t="n"/>
      <c r="I9276" s="25" t="n"/>
      <c r="U9276" s="19">
        <f>IF(AND($V9276='設定'!$C$4,COUNTIF('商品マスタ'!$B$6:$B$1005,$W9276)=0),N(U9275)+1,N(U9275))</f>
        <v/>
      </c>
      <c r="V9276" s="19">
        <f>IF($B9276="","",TEXT($B9276,"0000"))</f>
        <v/>
      </c>
      <c r="W9276" s="19">
        <f>IF($I9276="","",IF(ISNUMBER($I9276),TEXT($I9276,"0"),$I9276))</f>
        <v/>
      </c>
    </row>
    <row r="9277">
      <c r="B9277" s="25" t="n"/>
      <c r="I9277" s="25" t="n"/>
      <c r="U9277" s="19">
        <f>IF(AND($V9277='設定'!$C$4,COUNTIF('商品マスタ'!$B$6:$B$1005,$W9277)=0),N(U9276)+1,N(U9276))</f>
        <v/>
      </c>
      <c r="V9277" s="19">
        <f>IF($B9277="","",TEXT($B9277,"0000"))</f>
        <v/>
      </c>
      <c r="W9277" s="19">
        <f>IF($I9277="","",IF(ISNUMBER($I9277),TEXT($I9277,"0"),$I9277))</f>
        <v/>
      </c>
    </row>
    <row r="9278">
      <c r="B9278" s="25" t="n"/>
      <c r="I9278" s="25" t="n"/>
      <c r="U9278" s="19">
        <f>IF(AND($V9278='設定'!$C$4,COUNTIF('商品マスタ'!$B$6:$B$1005,$W9278)=0),N(U9277)+1,N(U9277))</f>
        <v/>
      </c>
      <c r="V9278" s="19">
        <f>IF($B9278="","",TEXT($B9278,"0000"))</f>
        <v/>
      </c>
      <c r="W9278" s="19">
        <f>IF($I9278="","",IF(ISNUMBER($I9278),TEXT($I9278,"0"),$I9278))</f>
        <v/>
      </c>
    </row>
    <row r="9279">
      <c r="B9279" s="25" t="n"/>
      <c r="I9279" s="25" t="n"/>
      <c r="U9279" s="19">
        <f>IF(AND($V9279='設定'!$C$4,COUNTIF('商品マスタ'!$B$6:$B$1005,$W9279)=0),N(U9278)+1,N(U9278))</f>
        <v/>
      </c>
      <c r="V9279" s="19">
        <f>IF($B9279="","",TEXT($B9279,"0000"))</f>
        <v/>
      </c>
      <c r="W9279" s="19">
        <f>IF($I9279="","",IF(ISNUMBER($I9279),TEXT($I9279,"0"),$I9279))</f>
        <v/>
      </c>
    </row>
    <row r="9280">
      <c r="B9280" s="25" t="n"/>
      <c r="I9280" s="25" t="n"/>
      <c r="U9280" s="19">
        <f>IF(AND($V9280='設定'!$C$4,COUNTIF('商品マスタ'!$B$6:$B$1005,$W9280)=0),N(U9279)+1,N(U9279))</f>
        <v/>
      </c>
      <c r="V9280" s="19">
        <f>IF($B9280="","",TEXT($B9280,"0000"))</f>
        <v/>
      </c>
      <c r="W9280" s="19">
        <f>IF($I9280="","",IF(ISNUMBER($I9280),TEXT($I9280,"0"),$I9280))</f>
        <v/>
      </c>
    </row>
    <row r="9281">
      <c r="B9281" s="25" t="n"/>
      <c r="I9281" s="25" t="n"/>
      <c r="U9281" s="19">
        <f>IF(AND($V9281='設定'!$C$4,COUNTIF('商品マスタ'!$B$6:$B$1005,$W9281)=0),N(U9280)+1,N(U9280))</f>
        <v/>
      </c>
      <c r="V9281" s="19">
        <f>IF($B9281="","",TEXT($B9281,"0000"))</f>
        <v/>
      </c>
      <c r="W9281" s="19">
        <f>IF($I9281="","",IF(ISNUMBER($I9281),TEXT($I9281,"0"),$I9281))</f>
        <v/>
      </c>
    </row>
    <row r="9282">
      <c r="B9282" s="25" t="n"/>
      <c r="I9282" s="25" t="n"/>
      <c r="U9282" s="19">
        <f>IF(AND($V9282='設定'!$C$4,COUNTIF('商品マスタ'!$B$6:$B$1005,$W9282)=0),N(U9281)+1,N(U9281))</f>
        <v/>
      </c>
      <c r="V9282" s="19">
        <f>IF($B9282="","",TEXT($B9282,"0000"))</f>
        <v/>
      </c>
      <c r="W9282" s="19">
        <f>IF($I9282="","",IF(ISNUMBER($I9282),TEXT($I9282,"0"),$I9282))</f>
        <v/>
      </c>
    </row>
    <row r="9283">
      <c r="B9283" s="25" t="n"/>
      <c r="I9283" s="25" t="n"/>
      <c r="U9283" s="19">
        <f>IF(AND($V9283='設定'!$C$4,COUNTIF('商品マスタ'!$B$6:$B$1005,$W9283)=0),N(U9282)+1,N(U9282))</f>
        <v/>
      </c>
      <c r="V9283" s="19">
        <f>IF($B9283="","",TEXT($B9283,"0000"))</f>
        <v/>
      </c>
      <c r="W9283" s="19">
        <f>IF($I9283="","",IF(ISNUMBER($I9283),TEXT($I9283,"0"),$I9283))</f>
        <v/>
      </c>
    </row>
    <row r="9284">
      <c r="B9284" s="25" t="n"/>
      <c r="I9284" s="25" t="n"/>
      <c r="U9284" s="19">
        <f>IF(AND($V9284='設定'!$C$4,COUNTIF('商品マスタ'!$B$6:$B$1005,$W9284)=0),N(U9283)+1,N(U9283))</f>
        <v/>
      </c>
      <c r="V9284" s="19">
        <f>IF($B9284="","",TEXT($B9284,"0000"))</f>
        <v/>
      </c>
      <c r="W9284" s="19">
        <f>IF($I9284="","",IF(ISNUMBER($I9284),TEXT($I9284,"0"),$I9284))</f>
        <v/>
      </c>
    </row>
    <row r="9285">
      <c r="B9285" s="25" t="n"/>
      <c r="I9285" s="25" t="n"/>
      <c r="U9285" s="19">
        <f>IF(AND($V9285='設定'!$C$4,COUNTIF('商品マスタ'!$B$6:$B$1005,$W9285)=0),N(U9284)+1,N(U9284))</f>
        <v/>
      </c>
      <c r="V9285" s="19">
        <f>IF($B9285="","",TEXT($B9285,"0000"))</f>
        <v/>
      </c>
      <c r="W9285" s="19">
        <f>IF($I9285="","",IF(ISNUMBER($I9285),TEXT($I9285,"0"),$I9285))</f>
        <v/>
      </c>
    </row>
    <row r="9286">
      <c r="B9286" s="25" t="n"/>
      <c r="I9286" s="25" t="n"/>
      <c r="U9286" s="19">
        <f>IF(AND($V9286='設定'!$C$4,COUNTIF('商品マスタ'!$B$6:$B$1005,$W9286)=0),N(U9285)+1,N(U9285))</f>
        <v/>
      </c>
      <c r="V9286" s="19">
        <f>IF($B9286="","",TEXT($B9286,"0000"))</f>
        <v/>
      </c>
      <c r="W9286" s="19">
        <f>IF($I9286="","",IF(ISNUMBER($I9286),TEXT($I9286,"0"),$I9286))</f>
        <v/>
      </c>
    </row>
    <row r="9287">
      <c r="B9287" s="25" t="n"/>
      <c r="I9287" s="25" t="n"/>
      <c r="U9287" s="19">
        <f>IF(AND($V9287='設定'!$C$4,COUNTIF('商品マスタ'!$B$6:$B$1005,$W9287)=0),N(U9286)+1,N(U9286))</f>
        <v/>
      </c>
      <c r="V9287" s="19">
        <f>IF($B9287="","",TEXT($B9287,"0000"))</f>
        <v/>
      </c>
      <c r="W9287" s="19">
        <f>IF($I9287="","",IF(ISNUMBER($I9287),TEXT($I9287,"0"),$I9287))</f>
        <v/>
      </c>
    </row>
    <row r="9288">
      <c r="B9288" s="25" t="n"/>
      <c r="I9288" s="25" t="n"/>
      <c r="U9288" s="19">
        <f>IF(AND($V9288='設定'!$C$4,COUNTIF('商品マスタ'!$B$6:$B$1005,$W9288)=0),N(U9287)+1,N(U9287))</f>
        <v/>
      </c>
      <c r="V9288" s="19">
        <f>IF($B9288="","",TEXT($B9288,"0000"))</f>
        <v/>
      </c>
      <c r="W9288" s="19">
        <f>IF($I9288="","",IF(ISNUMBER($I9288),TEXT($I9288,"0"),$I9288))</f>
        <v/>
      </c>
    </row>
    <row r="9289">
      <c r="B9289" s="25" t="n"/>
      <c r="I9289" s="25" t="n"/>
      <c r="U9289" s="19">
        <f>IF(AND($V9289='設定'!$C$4,COUNTIF('商品マスタ'!$B$6:$B$1005,$W9289)=0),N(U9288)+1,N(U9288))</f>
        <v/>
      </c>
      <c r="V9289" s="19">
        <f>IF($B9289="","",TEXT($B9289,"0000"))</f>
        <v/>
      </c>
      <c r="W9289" s="19">
        <f>IF($I9289="","",IF(ISNUMBER($I9289),TEXT($I9289,"0"),$I9289))</f>
        <v/>
      </c>
    </row>
    <row r="9290">
      <c r="B9290" s="25" t="n"/>
      <c r="I9290" s="25" t="n"/>
      <c r="U9290" s="19">
        <f>IF(AND($V9290='設定'!$C$4,COUNTIF('商品マスタ'!$B$6:$B$1005,$W9290)=0),N(U9289)+1,N(U9289))</f>
        <v/>
      </c>
      <c r="V9290" s="19">
        <f>IF($B9290="","",TEXT($B9290,"0000"))</f>
        <v/>
      </c>
      <c r="W9290" s="19">
        <f>IF($I9290="","",IF(ISNUMBER($I9290),TEXT($I9290,"0"),$I9290))</f>
        <v/>
      </c>
    </row>
    <row r="9291">
      <c r="B9291" s="25" t="n"/>
      <c r="I9291" s="25" t="n"/>
      <c r="U9291" s="19">
        <f>IF(AND($V9291='設定'!$C$4,COUNTIF('商品マスタ'!$B$6:$B$1005,$W9291)=0),N(U9290)+1,N(U9290))</f>
        <v/>
      </c>
      <c r="V9291" s="19">
        <f>IF($B9291="","",TEXT($B9291,"0000"))</f>
        <v/>
      </c>
      <c r="W9291" s="19">
        <f>IF($I9291="","",IF(ISNUMBER($I9291),TEXT($I9291,"0"),$I9291))</f>
        <v/>
      </c>
    </row>
    <row r="9292">
      <c r="B9292" s="25" t="n"/>
      <c r="I9292" s="25" t="n"/>
      <c r="U9292" s="19">
        <f>IF(AND($V9292='設定'!$C$4,COUNTIF('商品マスタ'!$B$6:$B$1005,$W9292)=0),N(U9291)+1,N(U9291))</f>
        <v/>
      </c>
      <c r="V9292" s="19">
        <f>IF($B9292="","",TEXT($B9292,"0000"))</f>
        <v/>
      </c>
      <c r="W9292" s="19">
        <f>IF($I9292="","",IF(ISNUMBER($I9292),TEXT($I9292,"0"),$I9292))</f>
        <v/>
      </c>
    </row>
    <row r="9293">
      <c r="B9293" s="25" t="n"/>
      <c r="I9293" s="25" t="n"/>
      <c r="U9293" s="19">
        <f>IF(AND($V9293='設定'!$C$4,COUNTIF('商品マスタ'!$B$6:$B$1005,$W9293)=0),N(U9292)+1,N(U9292))</f>
        <v/>
      </c>
      <c r="V9293" s="19">
        <f>IF($B9293="","",TEXT($B9293,"0000"))</f>
        <v/>
      </c>
      <c r="W9293" s="19">
        <f>IF($I9293="","",IF(ISNUMBER($I9293),TEXT($I9293,"0"),$I9293))</f>
        <v/>
      </c>
    </row>
    <row r="9294">
      <c r="B9294" s="25" t="n"/>
      <c r="I9294" s="25" t="n"/>
      <c r="U9294" s="19">
        <f>IF(AND($V9294='設定'!$C$4,COUNTIF('商品マスタ'!$B$6:$B$1005,$W9294)=0),N(U9293)+1,N(U9293))</f>
        <v/>
      </c>
      <c r="V9294" s="19">
        <f>IF($B9294="","",TEXT($B9294,"0000"))</f>
        <v/>
      </c>
      <c r="W9294" s="19">
        <f>IF($I9294="","",IF(ISNUMBER($I9294),TEXT($I9294,"0"),$I9294))</f>
        <v/>
      </c>
    </row>
    <row r="9295">
      <c r="B9295" s="25" t="n"/>
      <c r="I9295" s="25" t="n"/>
      <c r="U9295" s="19">
        <f>IF(AND($V9295='設定'!$C$4,COUNTIF('商品マスタ'!$B$6:$B$1005,$W9295)=0),N(U9294)+1,N(U9294))</f>
        <v/>
      </c>
      <c r="V9295" s="19">
        <f>IF($B9295="","",TEXT($B9295,"0000"))</f>
        <v/>
      </c>
      <c r="W9295" s="19">
        <f>IF($I9295="","",IF(ISNUMBER($I9295),TEXT($I9295,"0"),$I9295))</f>
        <v/>
      </c>
    </row>
    <row r="9296">
      <c r="B9296" s="25" t="n"/>
      <c r="I9296" s="25" t="n"/>
      <c r="U9296" s="19">
        <f>IF(AND($V9296='設定'!$C$4,COUNTIF('商品マスタ'!$B$6:$B$1005,$W9296)=0),N(U9295)+1,N(U9295))</f>
        <v/>
      </c>
      <c r="V9296" s="19">
        <f>IF($B9296="","",TEXT($B9296,"0000"))</f>
        <v/>
      </c>
      <c r="W9296" s="19">
        <f>IF($I9296="","",IF(ISNUMBER($I9296),TEXT($I9296,"0"),$I9296))</f>
        <v/>
      </c>
    </row>
    <row r="9297">
      <c r="B9297" s="25" t="n"/>
      <c r="I9297" s="25" t="n"/>
      <c r="U9297" s="19">
        <f>IF(AND($V9297='設定'!$C$4,COUNTIF('商品マスタ'!$B$6:$B$1005,$W9297)=0),N(U9296)+1,N(U9296))</f>
        <v/>
      </c>
      <c r="V9297" s="19">
        <f>IF($B9297="","",TEXT($B9297,"0000"))</f>
        <v/>
      </c>
      <c r="W9297" s="19">
        <f>IF($I9297="","",IF(ISNUMBER($I9297),TEXT($I9297,"0"),$I9297))</f>
        <v/>
      </c>
    </row>
    <row r="9298">
      <c r="B9298" s="25" t="n"/>
      <c r="I9298" s="25" t="n"/>
      <c r="U9298" s="19">
        <f>IF(AND($V9298='設定'!$C$4,COUNTIF('商品マスタ'!$B$6:$B$1005,$W9298)=0),N(U9297)+1,N(U9297))</f>
        <v/>
      </c>
      <c r="V9298" s="19">
        <f>IF($B9298="","",TEXT($B9298,"0000"))</f>
        <v/>
      </c>
      <c r="W9298" s="19">
        <f>IF($I9298="","",IF(ISNUMBER($I9298),TEXT($I9298,"0"),$I9298))</f>
        <v/>
      </c>
    </row>
    <row r="9299">
      <c r="B9299" s="25" t="n"/>
      <c r="I9299" s="25" t="n"/>
      <c r="U9299" s="19">
        <f>IF(AND($V9299='設定'!$C$4,COUNTIF('商品マスタ'!$B$6:$B$1005,$W9299)=0),N(U9298)+1,N(U9298))</f>
        <v/>
      </c>
      <c r="V9299" s="19">
        <f>IF($B9299="","",TEXT($B9299,"0000"))</f>
        <v/>
      </c>
      <c r="W9299" s="19">
        <f>IF($I9299="","",IF(ISNUMBER($I9299),TEXT($I9299,"0"),$I9299))</f>
        <v/>
      </c>
    </row>
    <row r="9300">
      <c r="B9300" s="25" t="n"/>
      <c r="I9300" s="25" t="n"/>
      <c r="U9300" s="19">
        <f>IF(AND($V9300='設定'!$C$4,COUNTIF('商品マスタ'!$B$6:$B$1005,$W9300)=0),N(U9299)+1,N(U9299))</f>
        <v/>
      </c>
      <c r="V9300" s="19">
        <f>IF($B9300="","",TEXT($B9300,"0000"))</f>
        <v/>
      </c>
      <c r="W9300" s="19">
        <f>IF($I9300="","",IF(ISNUMBER($I9300),TEXT($I9300,"0"),$I9300))</f>
        <v/>
      </c>
    </row>
    <row r="9301">
      <c r="B9301" s="25" t="n"/>
      <c r="I9301" s="25" t="n"/>
      <c r="U9301" s="19">
        <f>IF(AND($V9301='設定'!$C$4,COUNTIF('商品マスタ'!$B$6:$B$1005,$W9301)=0),N(U9300)+1,N(U9300))</f>
        <v/>
      </c>
      <c r="V9301" s="19">
        <f>IF($B9301="","",TEXT($B9301,"0000"))</f>
        <v/>
      </c>
      <c r="W9301" s="19">
        <f>IF($I9301="","",IF(ISNUMBER($I9301),TEXT($I9301,"0"),$I9301))</f>
        <v/>
      </c>
    </row>
    <row r="9302">
      <c r="B9302" s="25" t="n"/>
      <c r="I9302" s="25" t="n"/>
      <c r="U9302" s="19">
        <f>IF(AND($V9302='設定'!$C$4,COUNTIF('商品マスタ'!$B$6:$B$1005,$W9302)=0),N(U9301)+1,N(U9301))</f>
        <v/>
      </c>
      <c r="V9302" s="19">
        <f>IF($B9302="","",TEXT($B9302,"0000"))</f>
        <v/>
      </c>
      <c r="W9302" s="19">
        <f>IF($I9302="","",IF(ISNUMBER($I9302),TEXT($I9302,"0"),$I9302))</f>
        <v/>
      </c>
    </row>
    <row r="9303">
      <c r="B9303" s="25" t="n"/>
      <c r="I9303" s="25" t="n"/>
      <c r="U9303" s="19">
        <f>IF(AND($V9303='設定'!$C$4,COUNTIF('商品マスタ'!$B$6:$B$1005,$W9303)=0),N(U9302)+1,N(U9302))</f>
        <v/>
      </c>
      <c r="V9303" s="19">
        <f>IF($B9303="","",TEXT($B9303,"0000"))</f>
        <v/>
      </c>
      <c r="W9303" s="19">
        <f>IF($I9303="","",IF(ISNUMBER($I9303),TEXT($I9303,"0"),$I9303))</f>
        <v/>
      </c>
    </row>
    <row r="9304">
      <c r="B9304" s="25" t="n"/>
      <c r="I9304" s="25" t="n"/>
      <c r="U9304" s="19">
        <f>IF(AND($V9304='設定'!$C$4,COUNTIF('商品マスタ'!$B$6:$B$1005,$W9304)=0),N(U9303)+1,N(U9303))</f>
        <v/>
      </c>
      <c r="V9304" s="19">
        <f>IF($B9304="","",TEXT($B9304,"0000"))</f>
        <v/>
      </c>
      <c r="W9304" s="19">
        <f>IF($I9304="","",IF(ISNUMBER($I9304),TEXT($I9304,"0"),$I9304))</f>
        <v/>
      </c>
    </row>
    <row r="9305">
      <c r="B9305" s="25" t="n"/>
      <c r="I9305" s="25" t="n"/>
      <c r="U9305" s="19">
        <f>IF(AND($V9305='設定'!$C$4,COUNTIF('商品マスタ'!$B$6:$B$1005,$W9305)=0),N(U9304)+1,N(U9304))</f>
        <v/>
      </c>
      <c r="V9305" s="19">
        <f>IF($B9305="","",TEXT($B9305,"0000"))</f>
        <v/>
      </c>
      <c r="W9305" s="19">
        <f>IF($I9305="","",IF(ISNUMBER($I9305),TEXT($I9305,"0"),$I9305))</f>
        <v/>
      </c>
    </row>
    <row r="9306">
      <c r="B9306" s="25" t="n"/>
      <c r="I9306" s="25" t="n"/>
      <c r="U9306" s="19">
        <f>IF(AND($V9306='設定'!$C$4,COUNTIF('商品マスタ'!$B$6:$B$1005,$W9306)=0),N(U9305)+1,N(U9305))</f>
        <v/>
      </c>
      <c r="V9306" s="19">
        <f>IF($B9306="","",TEXT($B9306,"0000"))</f>
        <v/>
      </c>
      <c r="W9306" s="19">
        <f>IF($I9306="","",IF(ISNUMBER($I9306),TEXT($I9306,"0"),$I9306))</f>
        <v/>
      </c>
    </row>
    <row r="9307">
      <c r="B9307" s="25" t="n"/>
      <c r="I9307" s="25" t="n"/>
      <c r="U9307" s="19">
        <f>IF(AND($V9307='設定'!$C$4,COUNTIF('商品マスタ'!$B$6:$B$1005,$W9307)=0),N(U9306)+1,N(U9306))</f>
        <v/>
      </c>
      <c r="V9307" s="19">
        <f>IF($B9307="","",TEXT($B9307,"0000"))</f>
        <v/>
      </c>
      <c r="W9307" s="19">
        <f>IF($I9307="","",IF(ISNUMBER($I9307),TEXT($I9307,"0"),$I9307))</f>
        <v/>
      </c>
    </row>
    <row r="9308">
      <c r="B9308" s="25" t="n"/>
      <c r="I9308" s="25" t="n"/>
      <c r="U9308" s="19">
        <f>IF(AND($V9308='設定'!$C$4,COUNTIF('商品マスタ'!$B$6:$B$1005,$W9308)=0),N(U9307)+1,N(U9307))</f>
        <v/>
      </c>
      <c r="V9308" s="19">
        <f>IF($B9308="","",TEXT($B9308,"0000"))</f>
        <v/>
      </c>
      <c r="W9308" s="19">
        <f>IF($I9308="","",IF(ISNUMBER($I9308),TEXT($I9308,"0"),$I9308))</f>
        <v/>
      </c>
    </row>
    <row r="9309">
      <c r="B9309" s="25" t="n"/>
      <c r="I9309" s="25" t="n"/>
      <c r="U9309" s="19">
        <f>IF(AND($V9309='設定'!$C$4,COUNTIF('商品マスタ'!$B$6:$B$1005,$W9309)=0),N(U9308)+1,N(U9308))</f>
        <v/>
      </c>
      <c r="V9309" s="19">
        <f>IF($B9309="","",TEXT($B9309,"0000"))</f>
        <v/>
      </c>
      <c r="W9309" s="19">
        <f>IF($I9309="","",IF(ISNUMBER($I9309),TEXT($I9309,"0"),$I9309))</f>
        <v/>
      </c>
    </row>
    <row r="9310">
      <c r="B9310" s="25" t="n"/>
      <c r="I9310" s="25" t="n"/>
      <c r="U9310" s="19">
        <f>IF(AND($V9310='設定'!$C$4,COUNTIF('商品マスタ'!$B$6:$B$1005,$W9310)=0),N(U9309)+1,N(U9309))</f>
        <v/>
      </c>
      <c r="V9310" s="19">
        <f>IF($B9310="","",TEXT($B9310,"0000"))</f>
        <v/>
      </c>
      <c r="W9310" s="19">
        <f>IF($I9310="","",IF(ISNUMBER($I9310),TEXT($I9310,"0"),$I9310))</f>
        <v/>
      </c>
    </row>
    <row r="9311">
      <c r="B9311" s="25" t="n"/>
      <c r="I9311" s="25" t="n"/>
      <c r="U9311" s="19">
        <f>IF(AND($V9311='設定'!$C$4,COUNTIF('商品マスタ'!$B$6:$B$1005,$W9311)=0),N(U9310)+1,N(U9310))</f>
        <v/>
      </c>
      <c r="V9311" s="19">
        <f>IF($B9311="","",TEXT($B9311,"0000"))</f>
        <v/>
      </c>
      <c r="W9311" s="19">
        <f>IF($I9311="","",IF(ISNUMBER($I9311),TEXT($I9311,"0"),$I9311))</f>
        <v/>
      </c>
    </row>
    <row r="9312">
      <c r="B9312" s="25" t="n"/>
      <c r="I9312" s="25" t="n"/>
      <c r="U9312" s="19">
        <f>IF(AND($V9312='設定'!$C$4,COUNTIF('商品マスタ'!$B$6:$B$1005,$W9312)=0),N(U9311)+1,N(U9311))</f>
        <v/>
      </c>
      <c r="V9312" s="19">
        <f>IF($B9312="","",TEXT($B9312,"0000"))</f>
        <v/>
      </c>
      <c r="W9312" s="19">
        <f>IF($I9312="","",IF(ISNUMBER($I9312),TEXT($I9312,"0"),$I9312))</f>
        <v/>
      </c>
    </row>
    <row r="9313">
      <c r="B9313" s="25" t="n"/>
      <c r="I9313" s="25" t="n"/>
      <c r="U9313" s="19">
        <f>IF(AND($V9313='設定'!$C$4,COUNTIF('商品マスタ'!$B$6:$B$1005,$W9313)=0),N(U9312)+1,N(U9312))</f>
        <v/>
      </c>
      <c r="V9313" s="19">
        <f>IF($B9313="","",TEXT($B9313,"0000"))</f>
        <v/>
      </c>
      <c r="W9313" s="19">
        <f>IF($I9313="","",IF(ISNUMBER($I9313),TEXT($I9313,"0"),$I9313))</f>
        <v/>
      </c>
    </row>
    <row r="9314">
      <c r="B9314" s="25" t="n"/>
      <c r="I9314" s="25" t="n"/>
      <c r="U9314" s="19">
        <f>IF(AND($V9314='設定'!$C$4,COUNTIF('商品マスタ'!$B$6:$B$1005,$W9314)=0),N(U9313)+1,N(U9313))</f>
        <v/>
      </c>
      <c r="V9314" s="19">
        <f>IF($B9314="","",TEXT($B9314,"0000"))</f>
        <v/>
      </c>
      <c r="W9314" s="19">
        <f>IF($I9314="","",IF(ISNUMBER($I9314),TEXT($I9314,"0"),$I9314))</f>
        <v/>
      </c>
    </row>
    <row r="9315">
      <c r="B9315" s="25" t="n"/>
      <c r="I9315" s="25" t="n"/>
      <c r="U9315" s="19">
        <f>IF(AND($V9315='設定'!$C$4,COUNTIF('商品マスタ'!$B$6:$B$1005,$W9315)=0),N(U9314)+1,N(U9314))</f>
        <v/>
      </c>
      <c r="V9315" s="19">
        <f>IF($B9315="","",TEXT($B9315,"0000"))</f>
        <v/>
      </c>
      <c r="W9315" s="19">
        <f>IF($I9315="","",IF(ISNUMBER($I9315),TEXT($I9315,"0"),$I9315))</f>
        <v/>
      </c>
    </row>
    <row r="9316">
      <c r="B9316" s="25" t="n"/>
      <c r="I9316" s="25" t="n"/>
      <c r="U9316" s="19">
        <f>IF(AND($V9316='設定'!$C$4,COUNTIF('商品マスタ'!$B$6:$B$1005,$W9316)=0),N(U9315)+1,N(U9315))</f>
        <v/>
      </c>
      <c r="V9316" s="19">
        <f>IF($B9316="","",TEXT($B9316,"0000"))</f>
        <v/>
      </c>
      <c r="W9316" s="19">
        <f>IF($I9316="","",IF(ISNUMBER($I9316),TEXT($I9316,"0"),$I9316))</f>
        <v/>
      </c>
    </row>
    <row r="9317">
      <c r="B9317" s="25" t="n"/>
      <c r="I9317" s="25" t="n"/>
      <c r="U9317" s="19">
        <f>IF(AND($V9317='設定'!$C$4,COUNTIF('商品マスタ'!$B$6:$B$1005,$W9317)=0),N(U9316)+1,N(U9316))</f>
        <v/>
      </c>
      <c r="V9317" s="19">
        <f>IF($B9317="","",TEXT($B9317,"0000"))</f>
        <v/>
      </c>
      <c r="W9317" s="19">
        <f>IF($I9317="","",IF(ISNUMBER($I9317),TEXT($I9317,"0"),$I9317))</f>
        <v/>
      </c>
    </row>
    <row r="9318">
      <c r="B9318" s="25" t="n"/>
      <c r="I9318" s="25" t="n"/>
      <c r="U9318" s="19">
        <f>IF(AND($V9318='設定'!$C$4,COUNTIF('商品マスタ'!$B$6:$B$1005,$W9318)=0),N(U9317)+1,N(U9317))</f>
        <v/>
      </c>
      <c r="V9318" s="19">
        <f>IF($B9318="","",TEXT($B9318,"0000"))</f>
        <v/>
      </c>
      <c r="W9318" s="19">
        <f>IF($I9318="","",IF(ISNUMBER($I9318),TEXT($I9318,"0"),$I9318))</f>
        <v/>
      </c>
    </row>
    <row r="9319">
      <c r="B9319" s="25" t="n"/>
      <c r="I9319" s="25" t="n"/>
      <c r="U9319" s="19">
        <f>IF(AND($V9319='設定'!$C$4,COUNTIF('商品マスタ'!$B$6:$B$1005,$W9319)=0),N(U9318)+1,N(U9318))</f>
        <v/>
      </c>
      <c r="V9319" s="19">
        <f>IF($B9319="","",TEXT($B9319,"0000"))</f>
        <v/>
      </c>
      <c r="W9319" s="19">
        <f>IF($I9319="","",IF(ISNUMBER($I9319),TEXT($I9319,"0"),$I9319))</f>
        <v/>
      </c>
    </row>
    <row r="9320">
      <c r="B9320" s="25" t="n"/>
      <c r="I9320" s="25" t="n"/>
      <c r="U9320" s="19">
        <f>IF(AND($V9320='設定'!$C$4,COUNTIF('商品マスタ'!$B$6:$B$1005,$W9320)=0),N(U9319)+1,N(U9319))</f>
        <v/>
      </c>
      <c r="V9320" s="19">
        <f>IF($B9320="","",TEXT($B9320,"0000"))</f>
        <v/>
      </c>
      <c r="W9320" s="19">
        <f>IF($I9320="","",IF(ISNUMBER($I9320),TEXT($I9320,"0"),$I9320))</f>
        <v/>
      </c>
    </row>
    <row r="9321">
      <c r="B9321" s="25" t="n"/>
      <c r="I9321" s="25" t="n"/>
      <c r="U9321" s="19">
        <f>IF(AND($V9321='設定'!$C$4,COUNTIF('商品マスタ'!$B$6:$B$1005,$W9321)=0),N(U9320)+1,N(U9320))</f>
        <v/>
      </c>
      <c r="V9321" s="19">
        <f>IF($B9321="","",TEXT($B9321,"0000"))</f>
        <v/>
      </c>
      <c r="W9321" s="19">
        <f>IF($I9321="","",IF(ISNUMBER($I9321),TEXT($I9321,"0"),$I9321))</f>
        <v/>
      </c>
    </row>
    <row r="9322">
      <c r="B9322" s="25" t="n"/>
      <c r="I9322" s="25" t="n"/>
      <c r="U9322" s="19">
        <f>IF(AND($V9322='設定'!$C$4,COUNTIF('商品マスタ'!$B$6:$B$1005,$W9322)=0),N(U9321)+1,N(U9321))</f>
        <v/>
      </c>
      <c r="V9322" s="19">
        <f>IF($B9322="","",TEXT($B9322,"0000"))</f>
        <v/>
      </c>
      <c r="W9322" s="19">
        <f>IF($I9322="","",IF(ISNUMBER($I9322),TEXT($I9322,"0"),$I9322))</f>
        <v/>
      </c>
    </row>
    <row r="9323">
      <c r="B9323" s="25" t="n"/>
      <c r="I9323" s="25" t="n"/>
      <c r="U9323" s="19">
        <f>IF(AND($V9323='設定'!$C$4,COUNTIF('商品マスタ'!$B$6:$B$1005,$W9323)=0),N(U9322)+1,N(U9322))</f>
        <v/>
      </c>
      <c r="V9323" s="19">
        <f>IF($B9323="","",TEXT($B9323,"0000"))</f>
        <v/>
      </c>
      <c r="W9323" s="19">
        <f>IF($I9323="","",IF(ISNUMBER($I9323),TEXT($I9323,"0"),$I9323))</f>
        <v/>
      </c>
    </row>
    <row r="9324">
      <c r="B9324" s="25" t="n"/>
      <c r="I9324" s="25" t="n"/>
      <c r="U9324" s="19">
        <f>IF(AND($V9324='設定'!$C$4,COUNTIF('商品マスタ'!$B$6:$B$1005,$W9324)=0),N(U9323)+1,N(U9323))</f>
        <v/>
      </c>
      <c r="V9324" s="19">
        <f>IF($B9324="","",TEXT($B9324,"0000"))</f>
        <v/>
      </c>
      <c r="W9324" s="19">
        <f>IF($I9324="","",IF(ISNUMBER($I9324),TEXT($I9324,"0"),$I9324))</f>
        <v/>
      </c>
    </row>
    <row r="9325">
      <c r="B9325" s="25" t="n"/>
      <c r="I9325" s="25" t="n"/>
      <c r="U9325" s="19">
        <f>IF(AND($V9325='設定'!$C$4,COUNTIF('商品マスタ'!$B$6:$B$1005,$W9325)=0),N(U9324)+1,N(U9324))</f>
        <v/>
      </c>
      <c r="V9325" s="19">
        <f>IF($B9325="","",TEXT($B9325,"0000"))</f>
        <v/>
      </c>
      <c r="W9325" s="19">
        <f>IF($I9325="","",IF(ISNUMBER($I9325),TEXT($I9325,"0"),$I9325))</f>
        <v/>
      </c>
    </row>
    <row r="9326">
      <c r="B9326" s="25" t="n"/>
      <c r="I9326" s="25" t="n"/>
      <c r="U9326" s="19">
        <f>IF(AND($V9326='設定'!$C$4,COUNTIF('商品マスタ'!$B$6:$B$1005,$W9326)=0),N(U9325)+1,N(U9325))</f>
        <v/>
      </c>
      <c r="V9326" s="19">
        <f>IF($B9326="","",TEXT($B9326,"0000"))</f>
        <v/>
      </c>
      <c r="W9326" s="19">
        <f>IF($I9326="","",IF(ISNUMBER($I9326),TEXT($I9326,"0"),$I9326))</f>
        <v/>
      </c>
    </row>
    <row r="9327">
      <c r="B9327" s="25" t="n"/>
      <c r="I9327" s="25" t="n"/>
      <c r="U9327" s="19">
        <f>IF(AND($V9327='設定'!$C$4,COUNTIF('商品マスタ'!$B$6:$B$1005,$W9327)=0),N(U9326)+1,N(U9326))</f>
        <v/>
      </c>
      <c r="V9327" s="19">
        <f>IF($B9327="","",TEXT($B9327,"0000"))</f>
        <v/>
      </c>
      <c r="W9327" s="19">
        <f>IF($I9327="","",IF(ISNUMBER($I9327),TEXT($I9327,"0"),$I9327))</f>
        <v/>
      </c>
    </row>
    <row r="9328">
      <c r="B9328" s="25" t="n"/>
      <c r="I9328" s="25" t="n"/>
      <c r="U9328" s="19">
        <f>IF(AND($V9328='設定'!$C$4,COUNTIF('商品マスタ'!$B$6:$B$1005,$W9328)=0),N(U9327)+1,N(U9327))</f>
        <v/>
      </c>
      <c r="V9328" s="19">
        <f>IF($B9328="","",TEXT($B9328,"0000"))</f>
        <v/>
      </c>
      <c r="W9328" s="19">
        <f>IF($I9328="","",IF(ISNUMBER($I9328),TEXT($I9328,"0"),$I9328))</f>
        <v/>
      </c>
    </row>
    <row r="9329">
      <c r="B9329" s="25" t="n"/>
      <c r="I9329" s="25" t="n"/>
      <c r="U9329" s="19">
        <f>IF(AND($V9329='設定'!$C$4,COUNTIF('商品マスタ'!$B$6:$B$1005,$W9329)=0),N(U9328)+1,N(U9328))</f>
        <v/>
      </c>
      <c r="V9329" s="19">
        <f>IF($B9329="","",TEXT($B9329,"0000"))</f>
        <v/>
      </c>
      <c r="W9329" s="19">
        <f>IF($I9329="","",IF(ISNUMBER($I9329),TEXT($I9329,"0"),$I9329))</f>
        <v/>
      </c>
    </row>
    <row r="9330">
      <c r="B9330" s="25" t="n"/>
      <c r="I9330" s="25" t="n"/>
      <c r="U9330" s="19">
        <f>IF(AND($V9330='設定'!$C$4,COUNTIF('商品マスタ'!$B$6:$B$1005,$W9330)=0),N(U9329)+1,N(U9329))</f>
        <v/>
      </c>
      <c r="V9330" s="19">
        <f>IF($B9330="","",TEXT($B9330,"0000"))</f>
        <v/>
      </c>
      <c r="W9330" s="19">
        <f>IF($I9330="","",IF(ISNUMBER($I9330),TEXT($I9330,"0"),$I9330))</f>
        <v/>
      </c>
    </row>
    <row r="9331">
      <c r="B9331" s="25" t="n"/>
      <c r="I9331" s="25" t="n"/>
      <c r="U9331" s="19">
        <f>IF(AND($V9331='設定'!$C$4,COUNTIF('商品マスタ'!$B$6:$B$1005,$W9331)=0),N(U9330)+1,N(U9330))</f>
        <v/>
      </c>
      <c r="V9331" s="19">
        <f>IF($B9331="","",TEXT($B9331,"0000"))</f>
        <v/>
      </c>
      <c r="W9331" s="19">
        <f>IF($I9331="","",IF(ISNUMBER($I9331),TEXT($I9331,"0"),$I9331))</f>
        <v/>
      </c>
    </row>
    <row r="9332">
      <c r="B9332" s="25" t="n"/>
      <c r="I9332" s="25" t="n"/>
      <c r="U9332" s="19">
        <f>IF(AND($V9332='設定'!$C$4,COUNTIF('商品マスタ'!$B$6:$B$1005,$W9332)=0),N(U9331)+1,N(U9331))</f>
        <v/>
      </c>
      <c r="V9332" s="19">
        <f>IF($B9332="","",TEXT($B9332,"0000"))</f>
        <v/>
      </c>
      <c r="W9332" s="19">
        <f>IF($I9332="","",IF(ISNUMBER($I9332),TEXT($I9332,"0"),$I9332))</f>
        <v/>
      </c>
    </row>
    <row r="9333">
      <c r="B9333" s="25" t="n"/>
      <c r="I9333" s="25" t="n"/>
      <c r="U9333" s="19">
        <f>IF(AND($V9333='設定'!$C$4,COUNTIF('商品マスタ'!$B$6:$B$1005,$W9333)=0),N(U9332)+1,N(U9332))</f>
        <v/>
      </c>
      <c r="V9333" s="19">
        <f>IF($B9333="","",TEXT($B9333,"0000"))</f>
        <v/>
      </c>
      <c r="W9333" s="19">
        <f>IF($I9333="","",IF(ISNUMBER($I9333),TEXT($I9333,"0"),$I9333))</f>
        <v/>
      </c>
    </row>
    <row r="9334">
      <c r="B9334" s="25" t="n"/>
      <c r="I9334" s="25" t="n"/>
      <c r="U9334" s="19">
        <f>IF(AND($V9334='設定'!$C$4,COUNTIF('商品マスタ'!$B$6:$B$1005,$W9334)=0),N(U9333)+1,N(U9333))</f>
        <v/>
      </c>
      <c r="V9334" s="19">
        <f>IF($B9334="","",TEXT($B9334,"0000"))</f>
        <v/>
      </c>
      <c r="W9334" s="19">
        <f>IF($I9334="","",IF(ISNUMBER($I9334),TEXT($I9334,"0"),$I9334))</f>
        <v/>
      </c>
    </row>
    <row r="9335">
      <c r="B9335" s="25" t="n"/>
      <c r="I9335" s="25" t="n"/>
      <c r="U9335" s="19">
        <f>IF(AND($V9335='設定'!$C$4,COUNTIF('商品マスタ'!$B$6:$B$1005,$W9335)=0),N(U9334)+1,N(U9334))</f>
        <v/>
      </c>
      <c r="V9335" s="19">
        <f>IF($B9335="","",TEXT($B9335,"0000"))</f>
        <v/>
      </c>
      <c r="W9335" s="19">
        <f>IF($I9335="","",IF(ISNUMBER($I9335),TEXT($I9335,"0"),$I9335))</f>
        <v/>
      </c>
    </row>
    <row r="9336">
      <c r="B9336" s="25" t="n"/>
      <c r="I9336" s="25" t="n"/>
      <c r="U9336" s="19">
        <f>IF(AND($V9336='設定'!$C$4,COUNTIF('商品マスタ'!$B$6:$B$1005,$W9336)=0),N(U9335)+1,N(U9335))</f>
        <v/>
      </c>
      <c r="V9336" s="19">
        <f>IF($B9336="","",TEXT($B9336,"0000"))</f>
        <v/>
      </c>
      <c r="W9336" s="19">
        <f>IF($I9336="","",IF(ISNUMBER($I9336),TEXT($I9336,"0"),$I9336))</f>
        <v/>
      </c>
    </row>
    <row r="9337">
      <c r="B9337" s="25" t="n"/>
      <c r="I9337" s="25" t="n"/>
      <c r="U9337" s="19">
        <f>IF(AND($V9337='設定'!$C$4,COUNTIF('商品マスタ'!$B$6:$B$1005,$W9337)=0),N(U9336)+1,N(U9336))</f>
        <v/>
      </c>
      <c r="V9337" s="19">
        <f>IF($B9337="","",TEXT($B9337,"0000"))</f>
        <v/>
      </c>
      <c r="W9337" s="19">
        <f>IF($I9337="","",IF(ISNUMBER($I9337),TEXT($I9337,"0"),$I9337))</f>
        <v/>
      </c>
    </row>
    <row r="9338">
      <c r="B9338" s="25" t="n"/>
      <c r="I9338" s="25" t="n"/>
      <c r="U9338" s="19">
        <f>IF(AND($V9338='設定'!$C$4,COUNTIF('商品マスタ'!$B$6:$B$1005,$W9338)=0),N(U9337)+1,N(U9337))</f>
        <v/>
      </c>
      <c r="V9338" s="19">
        <f>IF($B9338="","",TEXT($B9338,"0000"))</f>
        <v/>
      </c>
      <c r="W9338" s="19">
        <f>IF($I9338="","",IF(ISNUMBER($I9338),TEXT($I9338,"0"),$I9338))</f>
        <v/>
      </c>
    </row>
    <row r="9339">
      <c r="B9339" s="25" t="n"/>
      <c r="I9339" s="25" t="n"/>
      <c r="U9339" s="19">
        <f>IF(AND($V9339='設定'!$C$4,COUNTIF('商品マスタ'!$B$6:$B$1005,$W9339)=0),N(U9338)+1,N(U9338))</f>
        <v/>
      </c>
      <c r="V9339" s="19">
        <f>IF($B9339="","",TEXT($B9339,"0000"))</f>
        <v/>
      </c>
      <c r="W9339" s="19">
        <f>IF($I9339="","",IF(ISNUMBER($I9339),TEXT($I9339,"0"),$I9339))</f>
        <v/>
      </c>
    </row>
    <row r="9340">
      <c r="B9340" s="25" t="n"/>
      <c r="I9340" s="25" t="n"/>
      <c r="U9340" s="19">
        <f>IF(AND($V9340='設定'!$C$4,COUNTIF('商品マスタ'!$B$6:$B$1005,$W9340)=0),N(U9339)+1,N(U9339))</f>
        <v/>
      </c>
      <c r="V9340" s="19">
        <f>IF($B9340="","",TEXT($B9340,"0000"))</f>
        <v/>
      </c>
      <c r="W9340" s="19">
        <f>IF($I9340="","",IF(ISNUMBER($I9340),TEXT($I9340,"0"),$I9340))</f>
        <v/>
      </c>
    </row>
    <row r="9341">
      <c r="B9341" s="25" t="n"/>
      <c r="I9341" s="25" t="n"/>
      <c r="U9341" s="19">
        <f>IF(AND($V9341='設定'!$C$4,COUNTIF('商品マスタ'!$B$6:$B$1005,$W9341)=0),N(U9340)+1,N(U9340))</f>
        <v/>
      </c>
      <c r="V9341" s="19">
        <f>IF($B9341="","",TEXT($B9341,"0000"))</f>
        <v/>
      </c>
      <c r="W9341" s="19">
        <f>IF($I9341="","",IF(ISNUMBER($I9341),TEXT($I9341,"0"),$I9341))</f>
        <v/>
      </c>
    </row>
    <row r="9342">
      <c r="B9342" s="25" t="n"/>
      <c r="I9342" s="25" t="n"/>
      <c r="U9342" s="19">
        <f>IF(AND($V9342='設定'!$C$4,COUNTIF('商品マスタ'!$B$6:$B$1005,$W9342)=0),N(U9341)+1,N(U9341))</f>
        <v/>
      </c>
      <c r="V9342" s="19">
        <f>IF($B9342="","",TEXT($B9342,"0000"))</f>
        <v/>
      </c>
      <c r="W9342" s="19">
        <f>IF($I9342="","",IF(ISNUMBER($I9342),TEXT($I9342,"0"),$I9342))</f>
        <v/>
      </c>
    </row>
    <row r="9343">
      <c r="B9343" s="25" t="n"/>
      <c r="I9343" s="25" t="n"/>
      <c r="U9343" s="19">
        <f>IF(AND($V9343='設定'!$C$4,COUNTIF('商品マスタ'!$B$6:$B$1005,$W9343)=0),N(U9342)+1,N(U9342))</f>
        <v/>
      </c>
      <c r="V9343" s="19">
        <f>IF($B9343="","",TEXT($B9343,"0000"))</f>
        <v/>
      </c>
      <c r="W9343" s="19">
        <f>IF($I9343="","",IF(ISNUMBER($I9343),TEXT($I9343,"0"),$I9343))</f>
        <v/>
      </c>
    </row>
    <row r="9344">
      <c r="B9344" s="25" t="n"/>
      <c r="I9344" s="25" t="n"/>
      <c r="U9344" s="19">
        <f>IF(AND($V9344='設定'!$C$4,COUNTIF('商品マスタ'!$B$6:$B$1005,$W9344)=0),N(U9343)+1,N(U9343))</f>
        <v/>
      </c>
      <c r="V9344" s="19">
        <f>IF($B9344="","",TEXT($B9344,"0000"))</f>
        <v/>
      </c>
      <c r="W9344" s="19">
        <f>IF($I9344="","",IF(ISNUMBER($I9344),TEXT($I9344,"0"),$I9344))</f>
        <v/>
      </c>
    </row>
    <row r="9345">
      <c r="B9345" s="25" t="n"/>
      <c r="I9345" s="25" t="n"/>
      <c r="U9345" s="19">
        <f>IF(AND($V9345='設定'!$C$4,COUNTIF('商品マスタ'!$B$6:$B$1005,$W9345)=0),N(U9344)+1,N(U9344))</f>
        <v/>
      </c>
      <c r="V9345" s="19">
        <f>IF($B9345="","",TEXT($B9345,"0000"))</f>
        <v/>
      </c>
      <c r="W9345" s="19">
        <f>IF($I9345="","",IF(ISNUMBER($I9345),TEXT($I9345,"0"),$I9345))</f>
        <v/>
      </c>
    </row>
    <row r="9346">
      <c r="B9346" s="25" t="n"/>
      <c r="I9346" s="25" t="n"/>
      <c r="U9346" s="19">
        <f>IF(AND($V9346='設定'!$C$4,COUNTIF('商品マスタ'!$B$6:$B$1005,$W9346)=0),N(U9345)+1,N(U9345))</f>
        <v/>
      </c>
      <c r="V9346" s="19">
        <f>IF($B9346="","",TEXT($B9346,"0000"))</f>
        <v/>
      </c>
      <c r="W9346" s="19">
        <f>IF($I9346="","",IF(ISNUMBER($I9346),TEXT($I9346,"0"),$I9346))</f>
        <v/>
      </c>
    </row>
    <row r="9347">
      <c r="B9347" s="25" t="n"/>
      <c r="I9347" s="25" t="n"/>
      <c r="U9347" s="19">
        <f>IF(AND($V9347='設定'!$C$4,COUNTIF('商品マスタ'!$B$6:$B$1005,$W9347)=0),N(U9346)+1,N(U9346))</f>
        <v/>
      </c>
      <c r="V9347" s="19">
        <f>IF($B9347="","",TEXT($B9347,"0000"))</f>
        <v/>
      </c>
      <c r="W9347" s="19">
        <f>IF($I9347="","",IF(ISNUMBER($I9347),TEXT($I9347,"0"),$I9347))</f>
        <v/>
      </c>
    </row>
    <row r="9348">
      <c r="B9348" s="25" t="n"/>
      <c r="I9348" s="25" t="n"/>
      <c r="U9348" s="19">
        <f>IF(AND($V9348='設定'!$C$4,COUNTIF('商品マスタ'!$B$6:$B$1005,$W9348)=0),N(U9347)+1,N(U9347))</f>
        <v/>
      </c>
      <c r="V9348" s="19">
        <f>IF($B9348="","",TEXT($B9348,"0000"))</f>
        <v/>
      </c>
      <c r="W9348" s="19">
        <f>IF($I9348="","",IF(ISNUMBER($I9348),TEXT($I9348,"0"),$I9348))</f>
        <v/>
      </c>
    </row>
    <row r="9349">
      <c r="B9349" s="25" t="n"/>
      <c r="I9349" s="25" t="n"/>
      <c r="U9349" s="19">
        <f>IF(AND($V9349='設定'!$C$4,COUNTIF('商品マスタ'!$B$6:$B$1005,$W9349)=0),N(U9348)+1,N(U9348))</f>
        <v/>
      </c>
      <c r="V9349" s="19">
        <f>IF($B9349="","",TEXT($B9349,"0000"))</f>
        <v/>
      </c>
      <c r="W9349" s="19">
        <f>IF($I9349="","",IF(ISNUMBER($I9349),TEXT($I9349,"0"),$I9349))</f>
        <v/>
      </c>
    </row>
    <row r="9350">
      <c r="B9350" s="25" t="n"/>
      <c r="I9350" s="25" t="n"/>
      <c r="U9350" s="19">
        <f>IF(AND($V9350='設定'!$C$4,COUNTIF('商品マスタ'!$B$6:$B$1005,$W9350)=0),N(U9349)+1,N(U9349))</f>
        <v/>
      </c>
      <c r="V9350" s="19">
        <f>IF($B9350="","",TEXT($B9350,"0000"))</f>
        <v/>
      </c>
      <c r="W9350" s="19">
        <f>IF($I9350="","",IF(ISNUMBER($I9350),TEXT($I9350,"0"),$I9350))</f>
        <v/>
      </c>
    </row>
    <row r="9351">
      <c r="B9351" s="25" t="n"/>
      <c r="I9351" s="25" t="n"/>
      <c r="U9351" s="19">
        <f>IF(AND($V9351='設定'!$C$4,COUNTIF('商品マスタ'!$B$6:$B$1005,$W9351)=0),N(U9350)+1,N(U9350))</f>
        <v/>
      </c>
      <c r="V9351" s="19">
        <f>IF($B9351="","",TEXT($B9351,"0000"))</f>
        <v/>
      </c>
      <c r="W9351" s="19">
        <f>IF($I9351="","",IF(ISNUMBER($I9351),TEXT($I9351,"0"),$I9351))</f>
        <v/>
      </c>
    </row>
    <row r="9352">
      <c r="B9352" s="25" t="n"/>
      <c r="I9352" s="25" t="n"/>
      <c r="U9352" s="19">
        <f>IF(AND($V9352='設定'!$C$4,COUNTIF('商品マスタ'!$B$6:$B$1005,$W9352)=0),N(U9351)+1,N(U9351))</f>
        <v/>
      </c>
      <c r="V9352" s="19">
        <f>IF($B9352="","",TEXT($B9352,"0000"))</f>
        <v/>
      </c>
      <c r="W9352" s="19">
        <f>IF($I9352="","",IF(ISNUMBER($I9352),TEXT($I9352,"0"),$I9352))</f>
        <v/>
      </c>
    </row>
    <row r="9353">
      <c r="B9353" s="25" t="n"/>
      <c r="I9353" s="25" t="n"/>
      <c r="U9353" s="19">
        <f>IF(AND($V9353='設定'!$C$4,COUNTIF('商品マスタ'!$B$6:$B$1005,$W9353)=0),N(U9352)+1,N(U9352))</f>
        <v/>
      </c>
      <c r="V9353" s="19">
        <f>IF($B9353="","",TEXT($B9353,"0000"))</f>
        <v/>
      </c>
      <c r="W9353" s="19">
        <f>IF($I9353="","",IF(ISNUMBER($I9353),TEXT($I9353,"0"),$I9353))</f>
        <v/>
      </c>
    </row>
    <row r="9354">
      <c r="B9354" s="25" t="n"/>
      <c r="I9354" s="25" t="n"/>
      <c r="U9354" s="19">
        <f>IF(AND($V9354='設定'!$C$4,COUNTIF('商品マスタ'!$B$6:$B$1005,$W9354)=0),N(U9353)+1,N(U9353))</f>
        <v/>
      </c>
      <c r="V9354" s="19">
        <f>IF($B9354="","",TEXT($B9354,"0000"))</f>
        <v/>
      </c>
      <c r="W9354" s="19">
        <f>IF($I9354="","",IF(ISNUMBER($I9354),TEXT($I9354,"0"),$I9354))</f>
        <v/>
      </c>
    </row>
    <row r="9355">
      <c r="B9355" s="25" t="n"/>
      <c r="I9355" s="25" t="n"/>
      <c r="U9355" s="19">
        <f>IF(AND($V9355='設定'!$C$4,COUNTIF('商品マスタ'!$B$6:$B$1005,$W9355)=0),N(U9354)+1,N(U9354))</f>
        <v/>
      </c>
      <c r="V9355" s="19">
        <f>IF($B9355="","",TEXT($B9355,"0000"))</f>
        <v/>
      </c>
      <c r="W9355" s="19">
        <f>IF($I9355="","",IF(ISNUMBER($I9355),TEXT($I9355,"0"),$I9355))</f>
        <v/>
      </c>
    </row>
    <row r="9356">
      <c r="B9356" s="25" t="n"/>
      <c r="I9356" s="25" t="n"/>
      <c r="U9356" s="19">
        <f>IF(AND($V9356='設定'!$C$4,COUNTIF('商品マスタ'!$B$6:$B$1005,$W9356)=0),N(U9355)+1,N(U9355))</f>
        <v/>
      </c>
      <c r="V9356" s="19">
        <f>IF($B9356="","",TEXT($B9356,"0000"))</f>
        <v/>
      </c>
      <c r="W9356" s="19">
        <f>IF($I9356="","",IF(ISNUMBER($I9356),TEXT($I9356,"0"),$I9356))</f>
        <v/>
      </c>
    </row>
    <row r="9357">
      <c r="B9357" s="25" t="n"/>
      <c r="I9357" s="25" t="n"/>
      <c r="U9357" s="19">
        <f>IF(AND($V9357='設定'!$C$4,COUNTIF('商品マスタ'!$B$6:$B$1005,$W9357)=0),N(U9356)+1,N(U9356))</f>
        <v/>
      </c>
      <c r="V9357" s="19">
        <f>IF($B9357="","",TEXT($B9357,"0000"))</f>
        <v/>
      </c>
      <c r="W9357" s="19">
        <f>IF($I9357="","",IF(ISNUMBER($I9357),TEXT($I9357,"0"),$I9357))</f>
        <v/>
      </c>
    </row>
    <row r="9358">
      <c r="B9358" s="25" t="n"/>
      <c r="I9358" s="25" t="n"/>
      <c r="U9358" s="19">
        <f>IF(AND($V9358='設定'!$C$4,COUNTIF('商品マスタ'!$B$6:$B$1005,$W9358)=0),N(U9357)+1,N(U9357))</f>
        <v/>
      </c>
      <c r="V9358" s="19">
        <f>IF($B9358="","",TEXT($B9358,"0000"))</f>
        <v/>
      </c>
      <c r="W9358" s="19">
        <f>IF($I9358="","",IF(ISNUMBER($I9358),TEXT($I9358,"0"),$I9358))</f>
        <v/>
      </c>
    </row>
    <row r="9359">
      <c r="B9359" s="25" t="n"/>
      <c r="I9359" s="25" t="n"/>
      <c r="U9359" s="19">
        <f>IF(AND($V9359='設定'!$C$4,COUNTIF('商品マスタ'!$B$6:$B$1005,$W9359)=0),N(U9358)+1,N(U9358))</f>
        <v/>
      </c>
      <c r="V9359" s="19">
        <f>IF($B9359="","",TEXT($B9359,"0000"))</f>
        <v/>
      </c>
      <c r="W9359" s="19">
        <f>IF($I9359="","",IF(ISNUMBER($I9359),TEXT($I9359,"0"),$I9359))</f>
        <v/>
      </c>
    </row>
    <row r="9360">
      <c r="B9360" s="25" t="n"/>
      <c r="I9360" s="25" t="n"/>
      <c r="U9360" s="19">
        <f>IF(AND($V9360='設定'!$C$4,COUNTIF('商品マスタ'!$B$6:$B$1005,$W9360)=0),N(U9359)+1,N(U9359))</f>
        <v/>
      </c>
      <c r="V9360" s="19">
        <f>IF($B9360="","",TEXT($B9360,"0000"))</f>
        <v/>
      </c>
      <c r="W9360" s="19">
        <f>IF($I9360="","",IF(ISNUMBER($I9360),TEXT($I9360,"0"),$I9360))</f>
        <v/>
      </c>
    </row>
    <row r="9361">
      <c r="B9361" s="25" t="n"/>
      <c r="I9361" s="25" t="n"/>
      <c r="U9361" s="19">
        <f>IF(AND($V9361='設定'!$C$4,COUNTIF('商品マスタ'!$B$6:$B$1005,$W9361)=0),N(U9360)+1,N(U9360))</f>
        <v/>
      </c>
      <c r="V9361" s="19">
        <f>IF($B9361="","",TEXT($B9361,"0000"))</f>
        <v/>
      </c>
      <c r="W9361" s="19">
        <f>IF($I9361="","",IF(ISNUMBER($I9361),TEXT($I9361,"0"),$I9361))</f>
        <v/>
      </c>
    </row>
    <row r="9362">
      <c r="B9362" s="25" t="n"/>
      <c r="I9362" s="25" t="n"/>
      <c r="U9362" s="19">
        <f>IF(AND($V9362='設定'!$C$4,COUNTIF('商品マスタ'!$B$6:$B$1005,$W9362)=0),N(U9361)+1,N(U9361))</f>
        <v/>
      </c>
      <c r="V9362" s="19">
        <f>IF($B9362="","",TEXT($B9362,"0000"))</f>
        <v/>
      </c>
      <c r="W9362" s="19">
        <f>IF($I9362="","",IF(ISNUMBER($I9362),TEXT($I9362,"0"),$I9362))</f>
        <v/>
      </c>
    </row>
    <row r="9363">
      <c r="B9363" s="25" t="n"/>
      <c r="I9363" s="25" t="n"/>
      <c r="U9363" s="19">
        <f>IF(AND($V9363='設定'!$C$4,COUNTIF('商品マスタ'!$B$6:$B$1005,$W9363)=0),N(U9362)+1,N(U9362))</f>
        <v/>
      </c>
      <c r="V9363" s="19">
        <f>IF($B9363="","",TEXT($B9363,"0000"))</f>
        <v/>
      </c>
      <c r="W9363" s="19">
        <f>IF($I9363="","",IF(ISNUMBER($I9363),TEXT($I9363,"0"),$I9363))</f>
        <v/>
      </c>
    </row>
    <row r="9364">
      <c r="B9364" s="25" t="n"/>
      <c r="I9364" s="25" t="n"/>
      <c r="U9364" s="19">
        <f>IF(AND($V9364='設定'!$C$4,COUNTIF('商品マスタ'!$B$6:$B$1005,$W9364)=0),N(U9363)+1,N(U9363))</f>
        <v/>
      </c>
      <c r="V9364" s="19">
        <f>IF($B9364="","",TEXT($B9364,"0000"))</f>
        <v/>
      </c>
      <c r="W9364" s="19">
        <f>IF($I9364="","",IF(ISNUMBER($I9364),TEXT($I9364,"0"),$I9364))</f>
        <v/>
      </c>
    </row>
    <row r="9365">
      <c r="B9365" s="25" t="n"/>
      <c r="I9365" s="25" t="n"/>
      <c r="U9365" s="19">
        <f>IF(AND($V9365='設定'!$C$4,COUNTIF('商品マスタ'!$B$6:$B$1005,$W9365)=0),N(U9364)+1,N(U9364))</f>
        <v/>
      </c>
      <c r="V9365" s="19">
        <f>IF($B9365="","",TEXT($B9365,"0000"))</f>
        <v/>
      </c>
      <c r="W9365" s="19">
        <f>IF($I9365="","",IF(ISNUMBER($I9365),TEXT($I9365,"0"),$I9365))</f>
        <v/>
      </c>
    </row>
    <row r="9366">
      <c r="B9366" s="25" t="n"/>
      <c r="I9366" s="25" t="n"/>
      <c r="U9366" s="19">
        <f>IF(AND($V9366='設定'!$C$4,COUNTIF('商品マスタ'!$B$6:$B$1005,$W9366)=0),N(U9365)+1,N(U9365))</f>
        <v/>
      </c>
      <c r="V9366" s="19">
        <f>IF($B9366="","",TEXT($B9366,"0000"))</f>
        <v/>
      </c>
      <c r="W9366" s="19">
        <f>IF($I9366="","",IF(ISNUMBER($I9366),TEXT($I9366,"0"),$I9366))</f>
        <v/>
      </c>
    </row>
    <row r="9367">
      <c r="B9367" s="25" t="n"/>
      <c r="I9367" s="25" t="n"/>
      <c r="U9367" s="19">
        <f>IF(AND($V9367='設定'!$C$4,COUNTIF('商品マスタ'!$B$6:$B$1005,$W9367)=0),N(U9366)+1,N(U9366))</f>
        <v/>
      </c>
      <c r="V9367" s="19">
        <f>IF($B9367="","",TEXT($B9367,"0000"))</f>
        <v/>
      </c>
      <c r="W9367" s="19">
        <f>IF($I9367="","",IF(ISNUMBER($I9367),TEXT($I9367,"0"),$I9367))</f>
        <v/>
      </c>
    </row>
    <row r="9368">
      <c r="B9368" s="25" t="n"/>
      <c r="I9368" s="25" t="n"/>
      <c r="U9368" s="19">
        <f>IF(AND($V9368='設定'!$C$4,COUNTIF('商品マスタ'!$B$6:$B$1005,$W9368)=0),N(U9367)+1,N(U9367))</f>
        <v/>
      </c>
      <c r="V9368" s="19">
        <f>IF($B9368="","",TEXT($B9368,"0000"))</f>
        <v/>
      </c>
      <c r="W9368" s="19">
        <f>IF($I9368="","",IF(ISNUMBER($I9368),TEXT($I9368,"0"),$I9368))</f>
        <v/>
      </c>
    </row>
    <row r="9369">
      <c r="B9369" s="25" t="n"/>
      <c r="I9369" s="25" t="n"/>
      <c r="U9369" s="19">
        <f>IF(AND($V9369='設定'!$C$4,COUNTIF('商品マスタ'!$B$6:$B$1005,$W9369)=0),N(U9368)+1,N(U9368))</f>
        <v/>
      </c>
      <c r="V9369" s="19">
        <f>IF($B9369="","",TEXT($B9369,"0000"))</f>
        <v/>
      </c>
      <c r="W9369" s="19">
        <f>IF($I9369="","",IF(ISNUMBER($I9369),TEXT($I9369,"0"),$I9369))</f>
        <v/>
      </c>
    </row>
    <row r="9370">
      <c r="B9370" s="25" t="n"/>
      <c r="I9370" s="25" t="n"/>
      <c r="U9370" s="19">
        <f>IF(AND($V9370='設定'!$C$4,COUNTIF('商品マスタ'!$B$6:$B$1005,$W9370)=0),N(U9369)+1,N(U9369))</f>
        <v/>
      </c>
      <c r="V9370" s="19">
        <f>IF($B9370="","",TEXT($B9370,"0000"))</f>
        <v/>
      </c>
      <c r="W9370" s="19">
        <f>IF($I9370="","",IF(ISNUMBER($I9370),TEXT($I9370,"0"),$I9370))</f>
        <v/>
      </c>
    </row>
    <row r="9371">
      <c r="B9371" s="25" t="n"/>
      <c r="I9371" s="25" t="n"/>
      <c r="U9371" s="19">
        <f>IF(AND($V9371='設定'!$C$4,COUNTIF('商品マスタ'!$B$6:$B$1005,$W9371)=0),N(U9370)+1,N(U9370))</f>
        <v/>
      </c>
      <c r="V9371" s="19">
        <f>IF($B9371="","",TEXT($B9371,"0000"))</f>
        <v/>
      </c>
      <c r="W9371" s="19">
        <f>IF($I9371="","",IF(ISNUMBER($I9371),TEXT($I9371,"0"),$I9371))</f>
        <v/>
      </c>
    </row>
    <row r="9372">
      <c r="B9372" s="25" t="n"/>
      <c r="I9372" s="25" t="n"/>
      <c r="U9372" s="19">
        <f>IF(AND($V9372='設定'!$C$4,COUNTIF('商品マスタ'!$B$6:$B$1005,$W9372)=0),N(U9371)+1,N(U9371))</f>
        <v/>
      </c>
      <c r="V9372" s="19">
        <f>IF($B9372="","",TEXT($B9372,"0000"))</f>
        <v/>
      </c>
      <c r="W9372" s="19">
        <f>IF($I9372="","",IF(ISNUMBER($I9372),TEXT($I9372,"0"),$I9372))</f>
        <v/>
      </c>
    </row>
    <row r="9373">
      <c r="B9373" s="25" t="n"/>
      <c r="I9373" s="25" t="n"/>
      <c r="U9373" s="19">
        <f>IF(AND($V9373='設定'!$C$4,COUNTIF('商品マスタ'!$B$6:$B$1005,$W9373)=0),N(U9372)+1,N(U9372))</f>
        <v/>
      </c>
      <c r="V9373" s="19">
        <f>IF($B9373="","",TEXT($B9373,"0000"))</f>
        <v/>
      </c>
      <c r="W9373" s="19">
        <f>IF($I9373="","",IF(ISNUMBER($I9373),TEXT($I9373,"0"),$I9373))</f>
        <v/>
      </c>
    </row>
    <row r="9374">
      <c r="B9374" s="25" t="n"/>
      <c r="I9374" s="25" t="n"/>
      <c r="U9374" s="19">
        <f>IF(AND($V9374='設定'!$C$4,COUNTIF('商品マスタ'!$B$6:$B$1005,$W9374)=0),N(U9373)+1,N(U9373))</f>
        <v/>
      </c>
      <c r="V9374" s="19">
        <f>IF($B9374="","",TEXT($B9374,"0000"))</f>
        <v/>
      </c>
      <c r="W9374" s="19">
        <f>IF($I9374="","",IF(ISNUMBER($I9374),TEXT($I9374,"0"),$I9374))</f>
        <v/>
      </c>
    </row>
    <row r="9375">
      <c r="B9375" s="25" t="n"/>
      <c r="I9375" s="25" t="n"/>
      <c r="U9375" s="19">
        <f>IF(AND($V9375='設定'!$C$4,COUNTIF('商品マスタ'!$B$6:$B$1005,$W9375)=0),N(U9374)+1,N(U9374))</f>
        <v/>
      </c>
      <c r="V9375" s="19">
        <f>IF($B9375="","",TEXT($B9375,"0000"))</f>
        <v/>
      </c>
      <c r="W9375" s="19">
        <f>IF($I9375="","",IF(ISNUMBER($I9375),TEXT($I9375,"0"),$I9375))</f>
        <v/>
      </c>
    </row>
    <row r="9376">
      <c r="B9376" s="25" t="n"/>
      <c r="I9376" s="25" t="n"/>
      <c r="U9376" s="19">
        <f>IF(AND($V9376='設定'!$C$4,COUNTIF('商品マスタ'!$B$6:$B$1005,$W9376)=0),N(U9375)+1,N(U9375))</f>
        <v/>
      </c>
      <c r="V9376" s="19">
        <f>IF($B9376="","",TEXT($B9376,"0000"))</f>
        <v/>
      </c>
      <c r="W9376" s="19">
        <f>IF($I9376="","",IF(ISNUMBER($I9376),TEXT($I9376,"0"),$I9376))</f>
        <v/>
      </c>
    </row>
    <row r="9377">
      <c r="B9377" s="25" t="n"/>
      <c r="I9377" s="25" t="n"/>
      <c r="U9377" s="19">
        <f>IF(AND($V9377='設定'!$C$4,COUNTIF('商品マスタ'!$B$6:$B$1005,$W9377)=0),N(U9376)+1,N(U9376))</f>
        <v/>
      </c>
      <c r="V9377" s="19">
        <f>IF($B9377="","",TEXT($B9377,"0000"))</f>
        <v/>
      </c>
      <c r="W9377" s="19">
        <f>IF($I9377="","",IF(ISNUMBER($I9377),TEXT($I9377,"0"),$I9377))</f>
        <v/>
      </c>
    </row>
    <row r="9378">
      <c r="B9378" s="25" t="n"/>
      <c r="I9378" s="25" t="n"/>
      <c r="U9378" s="19">
        <f>IF(AND($V9378='設定'!$C$4,COUNTIF('商品マスタ'!$B$6:$B$1005,$W9378)=0),N(U9377)+1,N(U9377))</f>
        <v/>
      </c>
      <c r="V9378" s="19">
        <f>IF($B9378="","",TEXT($B9378,"0000"))</f>
        <v/>
      </c>
      <c r="W9378" s="19">
        <f>IF($I9378="","",IF(ISNUMBER($I9378),TEXT($I9378,"0"),$I9378))</f>
        <v/>
      </c>
    </row>
    <row r="9379">
      <c r="B9379" s="25" t="n"/>
      <c r="I9379" s="25" t="n"/>
      <c r="U9379" s="19">
        <f>IF(AND($V9379='設定'!$C$4,COUNTIF('商品マスタ'!$B$6:$B$1005,$W9379)=0),N(U9378)+1,N(U9378))</f>
        <v/>
      </c>
      <c r="V9379" s="19">
        <f>IF($B9379="","",TEXT($B9379,"0000"))</f>
        <v/>
      </c>
      <c r="W9379" s="19">
        <f>IF($I9379="","",IF(ISNUMBER($I9379),TEXT($I9379,"0"),$I9379))</f>
        <v/>
      </c>
    </row>
    <row r="9380">
      <c r="B9380" s="25" t="n"/>
      <c r="I9380" s="25" t="n"/>
      <c r="U9380" s="19">
        <f>IF(AND($V9380='設定'!$C$4,COUNTIF('商品マスタ'!$B$6:$B$1005,$W9380)=0),N(U9379)+1,N(U9379))</f>
        <v/>
      </c>
      <c r="V9380" s="19">
        <f>IF($B9380="","",TEXT($B9380,"0000"))</f>
        <v/>
      </c>
      <c r="W9380" s="19">
        <f>IF($I9380="","",IF(ISNUMBER($I9380),TEXT($I9380,"0"),$I9380))</f>
        <v/>
      </c>
    </row>
    <row r="9381">
      <c r="B9381" s="25" t="n"/>
      <c r="I9381" s="25" t="n"/>
      <c r="U9381" s="19">
        <f>IF(AND($V9381='設定'!$C$4,COUNTIF('商品マスタ'!$B$6:$B$1005,$W9381)=0),N(U9380)+1,N(U9380))</f>
        <v/>
      </c>
      <c r="V9381" s="19">
        <f>IF($B9381="","",TEXT($B9381,"0000"))</f>
        <v/>
      </c>
      <c r="W9381" s="19">
        <f>IF($I9381="","",IF(ISNUMBER($I9381),TEXT($I9381,"0"),$I9381))</f>
        <v/>
      </c>
    </row>
    <row r="9382">
      <c r="B9382" s="25" t="n"/>
      <c r="I9382" s="25" t="n"/>
      <c r="U9382" s="19">
        <f>IF(AND($V9382='設定'!$C$4,COUNTIF('商品マスタ'!$B$6:$B$1005,$W9382)=0),N(U9381)+1,N(U9381))</f>
        <v/>
      </c>
      <c r="V9382" s="19">
        <f>IF($B9382="","",TEXT($B9382,"0000"))</f>
        <v/>
      </c>
      <c r="W9382" s="19">
        <f>IF($I9382="","",IF(ISNUMBER($I9382),TEXT($I9382,"0"),$I9382))</f>
        <v/>
      </c>
    </row>
    <row r="9383">
      <c r="B9383" s="25" t="n"/>
      <c r="I9383" s="25" t="n"/>
      <c r="U9383" s="19">
        <f>IF(AND($V9383='設定'!$C$4,COUNTIF('商品マスタ'!$B$6:$B$1005,$W9383)=0),N(U9382)+1,N(U9382))</f>
        <v/>
      </c>
      <c r="V9383" s="19">
        <f>IF($B9383="","",TEXT($B9383,"0000"))</f>
        <v/>
      </c>
      <c r="W9383" s="19">
        <f>IF($I9383="","",IF(ISNUMBER($I9383),TEXT($I9383,"0"),$I9383))</f>
        <v/>
      </c>
    </row>
    <row r="9384">
      <c r="B9384" s="25" t="n"/>
      <c r="I9384" s="25" t="n"/>
      <c r="U9384" s="19">
        <f>IF(AND($V9384='設定'!$C$4,COUNTIF('商品マスタ'!$B$6:$B$1005,$W9384)=0),N(U9383)+1,N(U9383))</f>
        <v/>
      </c>
      <c r="V9384" s="19">
        <f>IF($B9384="","",TEXT($B9384,"0000"))</f>
        <v/>
      </c>
      <c r="W9384" s="19">
        <f>IF($I9384="","",IF(ISNUMBER($I9384),TEXT($I9384,"0"),$I9384))</f>
        <v/>
      </c>
    </row>
    <row r="9385">
      <c r="B9385" s="25" t="n"/>
      <c r="I9385" s="25" t="n"/>
      <c r="U9385" s="19">
        <f>IF(AND($V9385='設定'!$C$4,COUNTIF('商品マスタ'!$B$6:$B$1005,$W9385)=0),N(U9384)+1,N(U9384))</f>
        <v/>
      </c>
      <c r="V9385" s="19">
        <f>IF($B9385="","",TEXT($B9385,"0000"))</f>
        <v/>
      </c>
      <c r="W9385" s="19">
        <f>IF($I9385="","",IF(ISNUMBER($I9385),TEXT($I9385,"0"),$I9385))</f>
        <v/>
      </c>
    </row>
    <row r="9386">
      <c r="B9386" s="25" t="n"/>
      <c r="I9386" s="25" t="n"/>
      <c r="U9386" s="19">
        <f>IF(AND($V9386='設定'!$C$4,COUNTIF('商品マスタ'!$B$6:$B$1005,$W9386)=0),N(U9385)+1,N(U9385))</f>
        <v/>
      </c>
      <c r="V9386" s="19">
        <f>IF($B9386="","",TEXT($B9386,"0000"))</f>
        <v/>
      </c>
      <c r="W9386" s="19">
        <f>IF($I9386="","",IF(ISNUMBER($I9386),TEXT($I9386,"0"),$I9386))</f>
        <v/>
      </c>
    </row>
    <row r="9387">
      <c r="B9387" s="25" t="n"/>
      <c r="I9387" s="25" t="n"/>
      <c r="U9387" s="19">
        <f>IF(AND($V9387='設定'!$C$4,COUNTIF('商品マスタ'!$B$6:$B$1005,$W9387)=0),N(U9386)+1,N(U9386))</f>
        <v/>
      </c>
      <c r="V9387" s="19">
        <f>IF($B9387="","",TEXT($B9387,"0000"))</f>
        <v/>
      </c>
      <c r="W9387" s="19">
        <f>IF($I9387="","",IF(ISNUMBER($I9387),TEXT($I9387,"0"),$I9387))</f>
        <v/>
      </c>
    </row>
    <row r="9388">
      <c r="B9388" s="25" t="n"/>
      <c r="I9388" s="25" t="n"/>
      <c r="U9388" s="19">
        <f>IF(AND($V9388='設定'!$C$4,COUNTIF('商品マスタ'!$B$6:$B$1005,$W9388)=0),N(U9387)+1,N(U9387))</f>
        <v/>
      </c>
      <c r="V9388" s="19">
        <f>IF($B9388="","",TEXT($B9388,"0000"))</f>
        <v/>
      </c>
      <c r="W9388" s="19">
        <f>IF($I9388="","",IF(ISNUMBER($I9388),TEXT($I9388,"0"),$I9388))</f>
        <v/>
      </c>
    </row>
    <row r="9389">
      <c r="B9389" s="25" t="n"/>
      <c r="I9389" s="25" t="n"/>
      <c r="U9389" s="19">
        <f>IF(AND($V9389='設定'!$C$4,COUNTIF('商品マスタ'!$B$6:$B$1005,$W9389)=0),N(U9388)+1,N(U9388))</f>
        <v/>
      </c>
      <c r="V9389" s="19">
        <f>IF($B9389="","",TEXT($B9389,"0000"))</f>
        <v/>
      </c>
      <c r="W9389" s="19">
        <f>IF($I9389="","",IF(ISNUMBER($I9389),TEXT($I9389,"0"),$I9389))</f>
        <v/>
      </c>
    </row>
    <row r="9390">
      <c r="B9390" s="25" t="n"/>
      <c r="I9390" s="25" t="n"/>
      <c r="U9390" s="19">
        <f>IF(AND($V9390='設定'!$C$4,COUNTIF('商品マスタ'!$B$6:$B$1005,$W9390)=0),N(U9389)+1,N(U9389))</f>
        <v/>
      </c>
      <c r="V9390" s="19">
        <f>IF($B9390="","",TEXT($B9390,"0000"))</f>
        <v/>
      </c>
      <c r="W9390" s="19">
        <f>IF($I9390="","",IF(ISNUMBER($I9390),TEXT($I9390,"0"),$I9390))</f>
        <v/>
      </c>
    </row>
    <row r="9391">
      <c r="B9391" s="25" t="n"/>
      <c r="I9391" s="25" t="n"/>
      <c r="U9391" s="19">
        <f>IF(AND($V9391='設定'!$C$4,COUNTIF('商品マスタ'!$B$6:$B$1005,$W9391)=0),N(U9390)+1,N(U9390))</f>
        <v/>
      </c>
      <c r="V9391" s="19">
        <f>IF($B9391="","",TEXT($B9391,"0000"))</f>
        <v/>
      </c>
      <c r="W9391" s="19">
        <f>IF($I9391="","",IF(ISNUMBER($I9391),TEXT($I9391,"0"),$I9391))</f>
        <v/>
      </c>
    </row>
    <row r="9392">
      <c r="B9392" s="25" t="n"/>
      <c r="I9392" s="25" t="n"/>
      <c r="U9392" s="19">
        <f>IF(AND($V9392='設定'!$C$4,COUNTIF('商品マスタ'!$B$6:$B$1005,$W9392)=0),N(U9391)+1,N(U9391))</f>
        <v/>
      </c>
      <c r="V9392" s="19">
        <f>IF($B9392="","",TEXT($B9392,"0000"))</f>
        <v/>
      </c>
      <c r="W9392" s="19">
        <f>IF($I9392="","",IF(ISNUMBER($I9392),TEXT($I9392,"0"),$I9392))</f>
        <v/>
      </c>
    </row>
    <row r="9393">
      <c r="B9393" s="25" t="n"/>
      <c r="I9393" s="25" t="n"/>
      <c r="U9393" s="19">
        <f>IF(AND($V9393='設定'!$C$4,COUNTIF('商品マスタ'!$B$6:$B$1005,$W9393)=0),N(U9392)+1,N(U9392))</f>
        <v/>
      </c>
      <c r="V9393" s="19">
        <f>IF($B9393="","",TEXT($B9393,"0000"))</f>
        <v/>
      </c>
      <c r="W9393" s="19">
        <f>IF($I9393="","",IF(ISNUMBER($I9393),TEXT($I9393,"0"),$I9393))</f>
        <v/>
      </c>
    </row>
    <row r="9394">
      <c r="B9394" s="25" t="n"/>
      <c r="I9394" s="25" t="n"/>
      <c r="U9394" s="19">
        <f>IF(AND($V9394='設定'!$C$4,COUNTIF('商品マスタ'!$B$6:$B$1005,$W9394)=0),N(U9393)+1,N(U9393))</f>
        <v/>
      </c>
      <c r="V9394" s="19">
        <f>IF($B9394="","",TEXT($B9394,"0000"))</f>
        <v/>
      </c>
      <c r="W9394" s="19">
        <f>IF($I9394="","",IF(ISNUMBER($I9394),TEXT($I9394,"0"),$I9394))</f>
        <v/>
      </c>
    </row>
    <row r="9395">
      <c r="B9395" s="25" t="n"/>
      <c r="I9395" s="25" t="n"/>
      <c r="U9395" s="19">
        <f>IF(AND($V9395='設定'!$C$4,COUNTIF('商品マスタ'!$B$6:$B$1005,$W9395)=0),N(U9394)+1,N(U9394))</f>
        <v/>
      </c>
      <c r="V9395" s="19">
        <f>IF($B9395="","",TEXT($B9395,"0000"))</f>
        <v/>
      </c>
      <c r="W9395" s="19">
        <f>IF($I9395="","",IF(ISNUMBER($I9395),TEXT($I9395,"0"),$I9395))</f>
        <v/>
      </c>
    </row>
    <row r="9396">
      <c r="B9396" s="25" t="n"/>
      <c r="I9396" s="25" t="n"/>
      <c r="U9396" s="19">
        <f>IF(AND($V9396='設定'!$C$4,COUNTIF('商品マスタ'!$B$6:$B$1005,$W9396)=0),N(U9395)+1,N(U9395))</f>
        <v/>
      </c>
      <c r="V9396" s="19">
        <f>IF($B9396="","",TEXT($B9396,"0000"))</f>
        <v/>
      </c>
      <c r="W9396" s="19">
        <f>IF($I9396="","",IF(ISNUMBER($I9396),TEXT($I9396,"0"),$I9396))</f>
        <v/>
      </c>
    </row>
    <row r="9397">
      <c r="B9397" s="25" t="n"/>
      <c r="I9397" s="25" t="n"/>
      <c r="U9397" s="19">
        <f>IF(AND($V9397='設定'!$C$4,COUNTIF('商品マスタ'!$B$6:$B$1005,$W9397)=0),N(U9396)+1,N(U9396))</f>
        <v/>
      </c>
      <c r="V9397" s="19">
        <f>IF($B9397="","",TEXT($B9397,"0000"))</f>
        <v/>
      </c>
      <c r="W9397" s="19">
        <f>IF($I9397="","",IF(ISNUMBER($I9397),TEXT($I9397,"0"),$I9397))</f>
        <v/>
      </c>
    </row>
    <row r="9398">
      <c r="B9398" s="25" t="n"/>
      <c r="I9398" s="25" t="n"/>
      <c r="U9398" s="19">
        <f>IF(AND($V9398='設定'!$C$4,COUNTIF('商品マスタ'!$B$6:$B$1005,$W9398)=0),N(U9397)+1,N(U9397))</f>
        <v/>
      </c>
      <c r="V9398" s="19">
        <f>IF($B9398="","",TEXT($B9398,"0000"))</f>
        <v/>
      </c>
      <c r="W9398" s="19">
        <f>IF($I9398="","",IF(ISNUMBER($I9398),TEXT($I9398,"0"),$I9398))</f>
        <v/>
      </c>
    </row>
    <row r="9399">
      <c r="B9399" s="25" t="n"/>
      <c r="I9399" s="25" t="n"/>
      <c r="U9399" s="19">
        <f>IF(AND($V9399='設定'!$C$4,COUNTIF('商品マスタ'!$B$6:$B$1005,$W9399)=0),N(U9398)+1,N(U9398))</f>
        <v/>
      </c>
      <c r="V9399" s="19">
        <f>IF($B9399="","",TEXT($B9399,"0000"))</f>
        <v/>
      </c>
      <c r="W9399" s="19">
        <f>IF($I9399="","",IF(ISNUMBER($I9399),TEXT($I9399,"0"),$I9399))</f>
        <v/>
      </c>
    </row>
    <row r="9400">
      <c r="B9400" s="25" t="n"/>
      <c r="I9400" s="25" t="n"/>
      <c r="U9400" s="19">
        <f>IF(AND($V9400='設定'!$C$4,COUNTIF('商品マスタ'!$B$6:$B$1005,$W9400)=0),N(U9399)+1,N(U9399))</f>
        <v/>
      </c>
      <c r="V9400" s="19">
        <f>IF($B9400="","",TEXT($B9400,"0000"))</f>
        <v/>
      </c>
      <c r="W9400" s="19">
        <f>IF($I9400="","",IF(ISNUMBER($I9400),TEXT($I9400,"0"),$I9400))</f>
        <v/>
      </c>
    </row>
    <row r="9401">
      <c r="B9401" s="25" t="n"/>
      <c r="I9401" s="25" t="n"/>
      <c r="U9401" s="19">
        <f>IF(AND($V9401='設定'!$C$4,COUNTIF('商品マスタ'!$B$6:$B$1005,$W9401)=0),N(U9400)+1,N(U9400))</f>
        <v/>
      </c>
      <c r="V9401" s="19">
        <f>IF($B9401="","",TEXT($B9401,"0000"))</f>
        <v/>
      </c>
      <c r="W9401" s="19">
        <f>IF($I9401="","",IF(ISNUMBER($I9401),TEXT($I9401,"0"),$I9401))</f>
        <v/>
      </c>
    </row>
    <row r="9402">
      <c r="B9402" s="25" t="n"/>
      <c r="I9402" s="25" t="n"/>
      <c r="U9402" s="19">
        <f>IF(AND($V9402='設定'!$C$4,COUNTIF('商品マスタ'!$B$6:$B$1005,$W9402)=0),N(U9401)+1,N(U9401))</f>
        <v/>
      </c>
      <c r="V9402" s="19">
        <f>IF($B9402="","",TEXT($B9402,"0000"))</f>
        <v/>
      </c>
      <c r="W9402" s="19">
        <f>IF($I9402="","",IF(ISNUMBER($I9402),TEXT($I9402,"0"),$I9402))</f>
        <v/>
      </c>
    </row>
    <row r="9403">
      <c r="B9403" s="25" t="n"/>
      <c r="I9403" s="25" t="n"/>
      <c r="U9403" s="19">
        <f>IF(AND($V9403='設定'!$C$4,COUNTIF('商品マスタ'!$B$6:$B$1005,$W9403)=0),N(U9402)+1,N(U9402))</f>
        <v/>
      </c>
      <c r="V9403" s="19">
        <f>IF($B9403="","",TEXT($B9403,"0000"))</f>
        <v/>
      </c>
      <c r="W9403" s="19">
        <f>IF($I9403="","",IF(ISNUMBER($I9403),TEXT($I9403,"0"),$I9403))</f>
        <v/>
      </c>
    </row>
    <row r="9404">
      <c r="B9404" s="25" t="n"/>
      <c r="I9404" s="25" t="n"/>
      <c r="U9404" s="19">
        <f>IF(AND($V9404='設定'!$C$4,COUNTIF('商品マスタ'!$B$6:$B$1005,$W9404)=0),N(U9403)+1,N(U9403))</f>
        <v/>
      </c>
      <c r="V9404" s="19">
        <f>IF($B9404="","",TEXT($B9404,"0000"))</f>
        <v/>
      </c>
      <c r="W9404" s="19">
        <f>IF($I9404="","",IF(ISNUMBER($I9404),TEXT($I9404,"0"),$I9404))</f>
        <v/>
      </c>
    </row>
    <row r="9405">
      <c r="B9405" s="25" t="n"/>
      <c r="I9405" s="25" t="n"/>
      <c r="U9405" s="19">
        <f>IF(AND($V9405='設定'!$C$4,COUNTIF('商品マスタ'!$B$6:$B$1005,$W9405)=0),N(U9404)+1,N(U9404))</f>
        <v/>
      </c>
      <c r="V9405" s="19">
        <f>IF($B9405="","",TEXT($B9405,"0000"))</f>
        <v/>
      </c>
      <c r="W9405" s="19">
        <f>IF($I9405="","",IF(ISNUMBER($I9405),TEXT($I9405,"0"),$I9405))</f>
        <v/>
      </c>
    </row>
    <row r="9406">
      <c r="B9406" s="25" t="n"/>
      <c r="I9406" s="25" t="n"/>
      <c r="U9406" s="19">
        <f>IF(AND($V9406='設定'!$C$4,COUNTIF('商品マスタ'!$B$6:$B$1005,$W9406)=0),N(U9405)+1,N(U9405))</f>
        <v/>
      </c>
      <c r="V9406" s="19">
        <f>IF($B9406="","",TEXT($B9406,"0000"))</f>
        <v/>
      </c>
      <c r="W9406" s="19">
        <f>IF($I9406="","",IF(ISNUMBER($I9406),TEXT($I9406,"0"),$I9406))</f>
        <v/>
      </c>
    </row>
    <row r="9407">
      <c r="B9407" s="25" t="n"/>
      <c r="I9407" s="25" t="n"/>
      <c r="U9407" s="19">
        <f>IF(AND($V9407='設定'!$C$4,COUNTIF('商品マスタ'!$B$6:$B$1005,$W9407)=0),N(U9406)+1,N(U9406))</f>
        <v/>
      </c>
      <c r="V9407" s="19">
        <f>IF($B9407="","",TEXT($B9407,"0000"))</f>
        <v/>
      </c>
      <c r="W9407" s="19">
        <f>IF($I9407="","",IF(ISNUMBER($I9407),TEXT($I9407,"0"),$I9407))</f>
        <v/>
      </c>
    </row>
    <row r="9408">
      <c r="B9408" s="25" t="n"/>
      <c r="I9408" s="25" t="n"/>
      <c r="U9408" s="19">
        <f>IF(AND($V9408='設定'!$C$4,COUNTIF('商品マスタ'!$B$6:$B$1005,$W9408)=0),N(U9407)+1,N(U9407))</f>
        <v/>
      </c>
      <c r="V9408" s="19">
        <f>IF($B9408="","",TEXT($B9408,"0000"))</f>
        <v/>
      </c>
      <c r="W9408" s="19">
        <f>IF($I9408="","",IF(ISNUMBER($I9408),TEXT($I9408,"0"),$I9408))</f>
        <v/>
      </c>
    </row>
    <row r="9409">
      <c r="B9409" s="25" t="n"/>
      <c r="I9409" s="25" t="n"/>
      <c r="U9409" s="19">
        <f>IF(AND($V9409='設定'!$C$4,COUNTIF('商品マスタ'!$B$6:$B$1005,$W9409)=0),N(U9408)+1,N(U9408))</f>
        <v/>
      </c>
      <c r="V9409" s="19">
        <f>IF($B9409="","",TEXT($B9409,"0000"))</f>
        <v/>
      </c>
      <c r="W9409" s="19">
        <f>IF($I9409="","",IF(ISNUMBER($I9409),TEXT($I9409,"0"),$I9409))</f>
        <v/>
      </c>
    </row>
    <row r="9410">
      <c r="B9410" s="25" t="n"/>
      <c r="I9410" s="25" t="n"/>
      <c r="U9410" s="19">
        <f>IF(AND($V9410='設定'!$C$4,COUNTIF('商品マスタ'!$B$6:$B$1005,$W9410)=0),N(U9409)+1,N(U9409))</f>
        <v/>
      </c>
      <c r="V9410" s="19">
        <f>IF($B9410="","",TEXT($B9410,"0000"))</f>
        <v/>
      </c>
      <c r="W9410" s="19">
        <f>IF($I9410="","",IF(ISNUMBER($I9410),TEXT($I9410,"0"),$I9410))</f>
        <v/>
      </c>
    </row>
    <row r="9411">
      <c r="B9411" s="25" t="n"/>
      <c r="I9411" s="25" t="n"/>
      <c r="U9411" s="19">
        <f>IF(AND($V9411='設定'!$C$4,COUNTIF('商品マスタ'!$B$6:$B$1005,$W9411)=0),N(U9410)+1,N(U9410))</f>
        <v/>
      </c>
      <c r="V9411" s="19">
        <f>IF($B9411="","",TEXT($B9411,"0000"))</f>
        <v/>
      </c>
      <c r="W9411" s="19">
        <f>IF($I9411="","",IF(ISNUMBER($I9411),TEXT($I9411,"0"),$I9411))</f>
        <v/>
      </c>
    </row>
    <row r="9412">
      <c r="B9412" s="25" t="n"/>
      <c r="I9412" s="25" t="n"/>
      <c r="U9412" s="19">
        <f>IF(AND($V9412='設定'!$C$4,COUNTIF('商品マスタ'!$B$6:$B$1005,$W9412)=0),N(U9411)+1,N(U9411))</f>
        <v/>
      </c>
      <c r="V9412" s="19">
        <f>IF($B9412="","",TEXT($B9412,"0000"))</f>
        <v/>
      </c>
      <c r="W9412" s="19">
        <f>IF($I9412="","",IF(ISNUMBER($I9412),TEXT($I9412,"0"),$I9412))</f>
        <v/>
      </c>
    </row>
    <row r="9413">
      <c r="B9413" s="25" t="n"/>
      <c r="I9413" s="25" t="n"/>
      <c r="U9413" s="19">
        <f>IF(AND($V9413='設定'!$C$4,COUNTIF('商品マスタ'!$B$6:$B$1005,$W9413)=0),N(U9412)+1,N(U9412))</f>
        <v/>
      </c>
      <c r="V9413" s="19">
        <f>IF($B9413="","",TEXT($B9413,"0000"))</f>
        <v/>
      </c>
      <c r="W9413" s="19">
        <f>IF($I9413="","",IF(ISNUMBER($I9413),TEXT($I9413,"0"),$I9413))</f>
        <v/>
      </c>
    </row>
    <row r="9414">
      <c r="B9414" s="25" t="n"/>
      <c r="I9414" s="25" t="n"/>
      <c r="U9414" s="19">
        <f>IF(AND($V9414='設定'!$C$4,COUNTIF('商品マスタ'!$B$6:$B$1005,$W9414)=0),N(U9413)+1,N(U9413))</f>
        <v/>
      </c>
      <c r="V9414" s="19">
        <f>IF($B9414="","",TEXT($B9414,"0000"))</f>
        <v/>
      </c>
      <c r="W9414" s="19">
        <f>IF($I9414="","",IF(ISNUMBER($I9414),TEXT($I9414,"0"),$I9414))</f>
        <v/>
      </c>
    </row>
    <row r="9415">
      <c r="B9415" s="25" t="n"/>
      <c r="I9415" s="25" t="n"/>
      <c r="U9415" s="19">
        <f>IF(AND($V9415='設定'!$C$4,COUNTIF('商品マスタ'!$B$6:$B$1005,$W9415)=0),N(U9414)+1,N(U9414))</f>
        <v/>
      </c>
      <c r="V9415" s="19">
        <f>IF($B9415="","",TEXT($B9415,"0000"))</f>
        <v/>
      </c>
      <c r="W9415" s="19">
        <f>IF($I9415="","",IF(ISNUMBER($I9415),TEXT($I9415,"0"),$I9415))</f>
        <v/>
      </c>
    </row>
    <row r="9416">
      <c r="B9416" s="25" t="n"/>
      <c r="I9416" s="25" t="n"/>
      <c r="U9416" s="19">
        <f>IF(AND($V9416='設定'!$C$4,COUNTIF('商品マスタ'!$B$6:$B$1005,$W9416)=0),N(U9415)+1,N(U9415))</f>
        <v/>
      </c>
      <c r="V9416" s="19">
        <f>IF($B9416="","",TEXT($B9416,"0000"))</f>
        <v/>
      </c>
      <c r="W9416" s="19">
        <f>IF($I9416="","",IF(ISNUMBER($I9416),TEXT($I9416,"0"),$I9416))</f>
        <v/>
      </c>
    </row>
    <row r="9417">
      <c r="B9417" s="25" t="n"/>
      <c r="I9417" s="25" t="n"/>
      <c r="U9417" s="19">
        <f>IF(AND($V9417='設定'!$C$4,COUNTIF('商品マスタ'!$B$6:$B$1005,$W9417)=0),N(U9416)+1,N(U9416))</f>
        <v/>
      </c>
      <c r="V9417" s="19">
        <f>IF($B9417="","",TEXT($B9417,"0000"))</f>
        <v/>
      </c>
      <c r="W9417" s="19">
        <f>IF($I9417="","",IF(ISNUMBER($I9417),TEXT($I9417,"0"),$I9417))</f>
        <v/>
      </c>
    </row>
    <row r="9418">
      <c r="B9418" s="25" t="n"/>
      <c r="I9418" s="25" t="n"/>
      <c r="U9418" s="19">
        <f>IF(AND($V9418='設定'!$C$4,COUNTIF('商品マスタ'!$B$6:$B$1005,$W9418)=0),N(U9417)+1,N(U9417))</f>
        <v/>
      </c>
      <c r="V9418" s="19">
        <f>IF($B9418="","",TEXT($B9418,"0000"))</f>
        <v/>
      </c>
      <c r="W9418" s="19">
        <f>IF($I9418="","",IF(ISNUMBER($I9418),TEXT($I9418,"0"),$I9418))</f>
        <v/>
      </c>
    </row>
    <row r="9419">
      <c r="B9419" s="25" t="n"/>
      <c r="I9419" s="25" t="n"/>
      <c r="U9419" s="19">
        <f>IF(AND($V9419='設定'!$C$4,COUNTIF('商品マスタ'!$B$6:$B$1005,$W9419)=0),N(U9418)+1,N(U9418))</f>
        <v/>
      </c>
      <c r="V9419" s="19">
        <f>IF($B9419="","",TEXT($B9419,"0000"))</f>
        <v/>
      </c>
      <c r="W9419" s="19">
        <f>IF($I9419="","",IF(ISNUMBER($I9419),TEXT($I9419,"0"),$I9419))</f>
        <v/>
      </c>
    </row>
    <row r="9420">
      <c r="B9420" s="25" t="n"/>
      <c r="I9420" s="25" t="n"/>
      <c r="U9420" s="19">
        <f>IF(AND($V9420='設定'!$C$4,COUNTIF('商品マスタ'!$B$6:$B$1005,$W9420)=0),N(U9419)+1,N(U9419))</f>
        <v/>
      </c>
      <c r="V9420" s="19">
        <f>IF($B9420="","",TEXT($B9420,"0000"))</f>
        <v/>
      </c>
      <c r="W9420" s="19">
        <f>IF($I9420="","",IF(ISNUMBER($I9420),TEXT($I9420,"0"),$I9420))</f>
        <v/>
      </c>
    </row>
    <row r="9421">
      <c r="B9421" s="25" t="n"/>
      <c r="I9421" s="25" t="n"/>
      <c r="U9421" s="19">
        <f>IF(AND($V9421='設定'!$C$4,COUNTIF('商品マスタ'!$B$6:$B$1005,$W9421)=0),N(U9420)+1,N(U9420))</f>
        <v/>
      </c>
      <c r="V9421" s="19">
        <f>IF($B9421="","",TEXT($B9421,"0000"))</f>
        <v/>
      </c>
      <c r="W9421" s="19">
        <f>IF($I9421="","",IF(ISNUMBER($I9421),TEXT($I9421,"0"),$I9421))</f>
        <v/>
      </c>
    </row>
    <row r="9422">
      <c r="B9422" s="25" t="n"/>
      <c r="I9422" s="25" t="n"/>
      <c r="U9422" s="19">
        <f>IF(AND($V9422='設定'!$C$4,COUNTIF('商品マスタ'!$B$6:$B$1005,$W9422)=0),N(U9421)+1,N(U9421))</f>
        <v/>
      </c>
      <c r="V9422" s="19">
        <f>IF($B9422="","",TEXT($B9422,"0000"))</f>
        <v/>
      </c>
      <c r="W9422" s="19">
        <f>IF($I9422="","",IF(ISNUMBER($I9422),TEXT($I9422,"0"),$I9422))</f>
        <v/>
      </c>
    </row>
    <row r="9423">
      <c r="B9423" s="25" t="n"/>
      <c r="I9423" s="25" t="n"/>
      <c r="U9423" s="19">
        <f>IF(AND($V9423='設定'!$C$4,COUNTIF('商品マスタ'!$B$6:$B$1005,$W9423)=0),N(U9422)+1,N(U9422))</f>
        <v/>
      </c>
      <c r="V9423" s="19">
        <f>IF($B9423="","",TEXT($B9423,"0000"))</f>
        <v/>
      </c>
      <c r="W9423" s="19">
        <f>IF($I9423="","",IF(ISNUMBER($I9423),TEXT($I9423,"0"),$I9423))</f>
        <v/>
      </c>
    </row>
    <row r="9424">
      <c r="B9424" s="25" t="n"/>
      <c r="I9424" s="25" t="n"/>
      <c r="U9424" s="19">
        <f>IF(AND($V9424='設定'!$C$4,COUNTIF('商品マスタ'!$B$6:$B$1005,$W9424)=0),N(U9423)+1,N(U9423))</f>
        <v/>
      </c>
      <c r="V9424" s="19">
        <f>IF($B9424="","",TEXT($B9424,"0000"))</f>
        <v/>
      </c>
      <c r="W9424" s="19">
        <f>IF($I9424="","",IF(ISNUMBER($I9424),TEXT($I9424,"0"),$I9424))</f>
        <v/>
      </c>
    </row>
    <row r="9425">
      <c r="B9425" s="25" t="n"/>
      <c r="I9425" s="25" t="n"/>
      <c r="U9425" s="19">
        <f>IF(AND($V9425='設定'!$C$4,COUNTIF('商品マスタ'!$B$6:$B$1005,$W9425)=0),N(U9424)+1,N(U9424))</f>
        <v/>
      </c>
      <c r="V9425" s="19">
        <f>IF($B9425="","",TEXT($B9425,"0000"))</f>
        <v/>
      </c>
      <c r="W9425" s="19">
        <f>IF($I9425="","",IF(ISNUMBER($I9425),TEXT($I9425,"0"),$I9425))</f>
        <v/>
      </c>
    </row>
    <row r="9426">
      <c r="B9426" s="25" t="n"/>
      <c r="I9426" s="25" t="n"/>
      <c r="U9426" s="19">
        <f>IF(AND($V9426='設定'!$C$4,COUNTIF('商品マスタ'!$B$6:$B$1005,$W9426)=0),N(U9425)+1,N(U9425))</f>
        <v/>
      </c>
      <c r="V9426" s="19">
        <f>IF($B9426="","",TEXT($B9426,"0000"))</f>
        <v/>
      </c>
      <c r="W9426" s="19">
        <f>IF($I9426="","",IF(ISNUMBER($I9426),TEXT($I9426,"0"),$I9426))</f>
        <v/>
      </c>
    </row>
    <row r="9427">
      <c r="B9427" s="25" t="n"/>
      <c r="I9427" s="25" t="n"/>
      <c r="U9427" s="19">
        <f>IF(AND($V9427='設定'!$C$4,COUNTIF('商品マスタ'!$B$6:$B$1005,$W9427)=0),N(U9426)+1,N(U9426))</f>
        <v/>
      </c>
      <c r="V9427" s="19">
        <f>IF($B9427="","",TEXT($B9427,"0000"))</f>
        <v/>
      </c>
      <c r="W9427" s="19">
        <f>IF($I9427="","",IF(ISNUMBER($I9427),TEXT($I9427,"0"),$I9427))</f>
        <v/>
      </c>
    </row>
    <row r="9428">
      <c r="B9428" s="25" t="n"/>
      <c r="I9428" s="25" t="n"/>
      <c r="U9428" s="19">
        <f>IF(AND($V9428='設定'!$C$4,COUNTIF('商品マスタ'!$B$6:$B$1005,$W9428)=0),N(U9427)+1,N(U9427))</f>
        <v/>
      </c>
      <c r="V9428" s="19">
        <f>IF($B9428="","",TEXT($B9428,"0000"))</f>
        <v/>
      </c>
      <c r="W9428" s="19">
        <f>IF($I9428="","",IF(ISNUMBER($I9428),TEXT($I9428,"0"),$I9428))</f>
        <v/>
      </c>
    </row>
    <row r="9429">
      <c r="B9429" s="25" t="n"/>
      <c r="I9429" s="25" t="n"/>
      <c r="U9429" s="19">
        <f>IF(AND($V9429='設定'!$C$4,COUNTIF('商品マスタ'!$B$6:$B$1005,$W9429)=0),N(U9428)+1,N(U9428))</f>
        <v/>
      </c>
      <c r="V9429" s="19">
        <f>IF($B9429="","",TEXT($B9429,"0000"))</f>
        <v/>
      </c>
      <c r="W9429" s="19">
        <f>IF($I9429="","",IF(ISNUMBER($I9429),TEXT($I9429,"0"),$I9429))</f>
        <v/>
      </c>
    </row>
    <row r="9430">
      <c r="B9430" s="25" t="n"/>
      <c r="I9430" s="25" t="n"/>
      <c r="U9430" s="19">
        <f>IF(AND($V9430='設定'!$C$4,COUNTIF('商品マスタ'!$B$6:$B$1005,$W9430)=0),N(U9429)+1,N(U9429))</f>
        <v/>
      </c>
      <c r="V9430" s="19">
        <f>IF($B9430="","",TEXT($B9430,"0000"))</f>
        <v/>
      </c>
      <c r="W9430" s="19">
        <f>IF($I9430="","",IF(ISNUMBER($I9430),TEXT($I9430,"0"),$I9430))</f>
        <v/>
      </c>
    </row>
    <row r="9431">
      <c r="B9431" s="25" t="n"/>
      <c r="I9431" s="25" t="n"/>
      <c r="U9431" s="19">
        <f>IF(AND($V9431='設定'!$C$4,COUNTIF('商品マスタ'!$B$6:$B$1005,$W9431)=0),N(U9430)+1,N(U9430))</f>
        <v/>
      </c>
      <c r="V9431" s="19">
        <f>IF($B9431="","",TEXT($B9431,"0000"))</f>
        <v/>
      </c>
      <c r="W9431" s="19">
        <f>IF($I9431="","",IF(ISNUMBER($I9431),TEXT($I9431,"0"),$I9431))</f>
        <v/>
      </c>
    </row>
    <row r="9432">
      <c r="B9432" s="25" t="n"/>
      <c r="I9432" s="25" t="n"/>
      <c r="U9432" s="19">
        <f>IF(AND($V9432='設定'!$C$4,COUNTIF('商品マスタ'!$B$6:$B$1005,$W9432)=0),N(U9431)+1,N(U9431))</f>
        <v/>
      </c>
      <c r="V9432" s="19">
        <f>IF($B9432="","",TEXT($B9432,"0000"))</f>
        <v/>
      </c>
      <c r="W9432" s="19">
        <f>IF($I9432="","",IF(ISNUMBER($I9432),TEXT($I9432,"0"),$I9432))</f>
        <v/>
      </c>
    </row>
    <row r="9433">
      <c r="B9433" s="25" t="n"/>
      <c r="I9433" s="25" t="n"/>
      <c r="U9433" s="19">
        <f>IF(AND($V9433='設定'!$C$4,COUNTIF('商品マスタ'!$B$6:$B$1005,$W9433)=0),N(U9432)+1,N(U9432))</f>
        <v/>
      </c>
      <c r="V9433" s="19">
        <f>IF($B9433="","",TEXT($B9433,"0000"))</f>
        <v/>
      </c>
      <c r="W9433" s="19">
        <f>IF($I9433="","",IF(ISNUMBER($I9433),TEXT($I9433,"0"),$I9433))</f>
        <v/>
      </c>
    </row>
    <row r="9434">
      <c r="B9434" s="25" t="n"/>
      <c r="I9434" s="25" t="n"/>
      <c r="U9434" s="19">
        <f>IF(AND($V9434='設定'!$C$4,COUNTIF('商品マスタ'!$B$6:$B$1005,$W9434)=0),N(U9433)+1,N(U9433))</f>
        <v/>
      </c>
      <c r="V9434" s="19">
        <f>IF($B9434="","",TEXT($B9434,"0000"))</f>
        <v/>
      </c>
      <c r="W9434" s="19">
        <f>IF($I9434="","",IF(ISNUMBER($I9434),TEXT($I9434,"0"),$I9434))</f>
        <v/>
      </c>
    </row>
    <row r="9435">
      <c r="B9435" s="25" t="n"/>
      <c r="I9435" s="25" t="n"/>
      <c r="U9435" s="19">
        <f>IF(AND($V9435='設定'!$C$4,COUNTIF('商品マスタ'!$B$6:$B$1005,$W9435)=0),N(U9434)+1,N(U9434))</f>
        <v/>
      </c>
      <c r="V9435" s="19">
        <f>IF($B9435="","",TEXT($B9435,"0000"))</f>
        <v/>
      </c>
      <c r="W9435" s="19">
        <f>IF($I9435="","",IF(ISNUMBER($I9435),TEXT($I9435,"0"),$I9435))</f>
        <v/>
      </c>
    </row>
    <row r="9436">
      <c r="B9436" s="25" t="n"/>
      <c r="I9436" s="25" t="n"/>
      <c r="U9436" s="19">
        <f>IF(AND($V9436='設定'!$C$4,COUNTIF('商品マスタ'!$B$6:$B$1005,$W9436)=0),N(U9435)+1,N(U9435))</f>
        <v/>
      </c>
      <c r="V9436" s="19">
        <f>IF($B9436="","",TEXT($B9436,"0000"))</f>
        <v/>
      </c>
      <c r="W9436" s="19">
        <f>IF($I9436="","",IF(ISNUMBER($I9436),TEXT($I9436,"0"),$I9436))</f>
        <v/>
      </c>
    </row>
    <row r="9437">
      <c r="B9437" s="25" t="n"/>
      <c r="I9437" s="25" t="n"/>
      <c r="U9437" s="19">
        <f>IF(AND($V9437='設定'!$C$4,COUNTIF('商品マスタ'!$B$6:$B$1005,$W9437)=0),N(U9436)+1,N(U9436))</f>
        <v/>
      </c>
      <c r="V9437" s="19">
        <f>IF($B9437="","",TEXT($B9437,"0000"))</f>
        <v/>
      </c>
      <c r="W9437" s="19">
        <f>IF($I9437="","",IF(ISNUMBER($I9437),TEXT($I9437,"0"),$I9437))</f>
        <v/>
      </c>
    </row>
    <row r="9438">
      <c r="B9438" s="25" t="n"/>
      <c r="I9438" s="25" t="n"/>
      <c r="U9438" s="19">
        <f>IF(AND($V9438='設定'!$C$4,COUNTIF('商品マスタ'!$B$6:$B$1005,$W9438)=0),N(U9437)+1,N(U9437))</f>
        <v/>
      </c>
      <c r="V9438" s="19">
        <f>IF($B9438="","",TEXT($B9438,"0000"))</f>
        <v/>
      </c>
      <c r="W9438" s="19">
        <f>IF($I9438="","",IF(ISNUMBER($I9438),TEXT($I9438,"0"),$I9438))</f>
        <v/>
      </c>
    </row>
    <row r="9439">
      <c r="B9439" s="25" t="n"/>
      <c r="I9439" s="25" t="n"/>
      <c r="U9439" s="19">
        <f>IF(AND($V9439='設定'!$C$4,COUNTIF('商品マスタ'!$B$6:$B$1005,$W9439)=0),N(U9438)+1,N(U9438))</f>
        <v/>
      </c>
      <c r="V9439" s="19">
        <f>IF($B9439="","",TEXT($B9439,"0000"))</f>
        <v/>
      </c>
      <c r="W9439" s="19">
        <f>IF($I9439="","",IF(ISNUMBER($I9439),TEXT($I9439,"0"),$I9439))</f>
        <v/>
      </c>
    </row>
    <row r="9440">
      <c r="B9440" s="25" t="n"/>
      <c r="I9440" s="25" t="n"/>
      <c r="U9440" s="19">
        <f>IF(AND($V9440='設定'!$C$4,COUNTIF('商品マスタ'!$B$6:$B$1005,$W9440)=0),N(U9439)+1,N(U9439))</f>
        <v/>
      </c>
      <c r="V9440" s="19">
        <f>IF($B9440="","",TEXT($B9440,"0000"))</f>
        <v/>
      </c>
      <c r="W9440" s="19">
        <f>IF($I9440="","",IF(ISNUMBER($I9440),TEXT($I9440,"0"),$I9440))</f>
        <v/>
      </c>
    </row>
    <row r="9441">
      <c r="B9441" s="25" t="n"/>
      <c r="I9441" s="25" t="n"/>
      <c r="U9441" s="19">
        <f>IF(AND($V9441='設定'!$C$4,COUNTIF('商品マスタ'!$B$6:$B$1005,$W9441)=0),N(U9440)+1,N(U9440))</f>
        <v/>
      </c>
      <c r="V9441" s="19">
        <f>IF($B9441="","",TEXT($B9441,"0000"))</f>
        <v/>
      </c>
      <c r="W9441" s="19">
        <f>IF($I9441="","",IF(ISNUMBER($I9441),TEXT($I9441,"0"),$I9441))</f>
        <v/>
      </c>
    </row>
    <row r="9442">
      <c r="B9442" s="25" t="n"/>
      <c r="I9442" s="25" t="n"/>
      <c r="U9442" s="19">
        <f>IF(AND($V9442='設定'!$C$4,COUNTIF('商品マスタ'!$B$6:$B$1005,$W9442)=0),N(U9441)+1,N(U9441))</f>
        <v/>
      </c>
      <c r="V9442" s="19">
        <f>IF($B9442="","",TEXT($B9442,"0000"))</f>
        <v/>
      </c>
      <c r="W9442" s="19">
        <f>IF($I9442="","",IF(ISNUMBER($I9442),TEXT($I9442,"0"),$I9442))</f>
        <v/>
      </c>
    </row>
    <row r="9443">
      <c r="B9443" s="25" t="n"/>
      <c r="I9443" s="25" t="n"/>
      <c r="U9443" s="19">
        <f>IF(AND($V9443='設定'!$C$4,COUNTIF('商品マスタ'!$B$6:$B$1005,$W9443)=0),N(U9442)+1,N(U9442))</f>
        <v/>
      </c>
      <c r="V9443" s="19">
        <f>IF($B9443="","",TEXT($B9443,"0000"))</f>
        <v/>
      </c>
      <c r="W9443" s="19">
        <f>IF($I9443="","",IF(ISNUMBER($I9443),TEXT($I9443,"0"),$I9443))</f>
        <v/>
      </c>
    </row>
    <row r="9444">
      <c r="B9444" s="25" t="n"/>
      <c r="I9444" s="25" t="n"/>
      <c r="U9444" s="19">
        <f>IF(AND($V9444='設定'!$C$4,COUNTIF('商品マスタ'!$B$6:$B$1005,$W9444)=0),N(U9443)+1,N(U9443))</f>
        <v/>
      </c>
      <c r="V9444" s="19">
        <f>IF($B9444="","",TEXT($B9444,"0000"))</f>
        <v/>
      </c>
      <c r="W9444" s="19">
        <f>IF($I9444="","",IF(ISNUMBER($I9444),TEXT($I9444,"0"),$I9444))</f>
        <v/>
      </c>
    </row>
    <row r="9445">
      <c r="B9445" s="25" t="n"/>
      <c r="I9445" s="25" t="n"/>
      <c r="U9445" s="19">
        <f>IF(AND($V9445='設定'!$C$4,COUNTIF('商品マスタ'!$B$6:$B$1005,$W9445)=0),N(U9444)+1,N(U9444))</f>
        <v/>
      </c>
      <c r="V9445" s="19">
        <f>IF($B9445="","",TEXT($B9445,"0000"))</f>
        <v/>
      </c>
      <c r="W9445" s="19">
        <f>IF($I9445="","",IF(ISNUMBER($I9445),TEXT($I9445,"0"),$I9445))</f>
        <v/>
      </c>
    </row>
    <row r="9446">
      <c r="B9446" s="25" t="n"/>
      <c r="I9446" s="25" t="n"/>
      <c r="U9446" s="19">
        <f>IF(AND($V9446='設定'!$C$4,COUNTIF('商品マスタ'!$B$6:$B$1005,$W9446)=0),N(U9445)+1,N(U9445))</f>
        <v/>
      </c>
      <c r="V9446" s="19">
        <f>IF($B9446="","",TEXT($B9446,"0000"))</f>
        <v/>
      </c>
      <c r="W9446" s="19">
        <f>IF($I9446="","",IF(ISNUMBER($I9446),TEXT($I9446,"0"),$I9446))</f>
        <v/>
      </c>
    </row>
    <row r="9447">
      <c r="B9447" s="25" t="n"/>
      <c r="I9447" s="25" t="n"/>
      <c r="U9447" s="19">
        <f>IF(AND($V9447='設定'!$C$4,COUNTIF('商品マスタ'!$B$6:$B$1005,$W9447)=0),N(U9446)+1,N(U9446))</f>
        <v/>
      </c>
      <c r="V9447" s="19">
        <f>IF($B9447="","",TEXT($B9447,"0000"))</f>
        <v/>
      </c>
      <c r="W9447" s="19">
        <f>IF($I9447="","",IF(ISNUMBER($I9447),TEXT($I9447,"0"),$I9447))</f>
        <v/>
      </c>
    </row>
    <row r="9448">
      <c r="B9448" s="25" t="n"/>
      <c r="I9448" s="25" t="n"/>
      <c r="U9448" s="19">
        <f>IF(AND($V9448='設定'!$C$4,COUNTIF('商品マスタ'!$B$6:$B$1005,$W9448)=0),N(U9447)+1,N(U9447))</f>
        <v/>
      </c>
      <c r="V9448" s="19">
        <f>IF($B9448="","",TEXT($B9448,"0000"))</f>
        <v/>
      </c>
      <c r="W9448" s="19">
        <f>IF($I9448="","",IF(ISNUMBER($I9448),TEXT($I9448,"0"),$I9448))</f>
        <v/>
      </c>
    </row>
    <row r="9449">
      <c r="B9449" s="25" t="n"/>
      <c r="I9449" s="25" t="n"/>
      <c r="U9449" s="19">
        <f>IF(AND($V9449='設定'!$C$4,COUNTIF('商品マスタ'!$B$6:$B$1005,$W9449)=0),N(U9448)+1,N(U9448))</f>
        <v/>
      </c>
      <c r="V9449" s="19">
        <f>IF($B9449="","",TEXT($B9449,"0000"))</f>
        <v/>
      </c>
      <c r="W9449" s="19">
        <f>IF($I9449="","",IF(ISNUMBER($I9449),TEXT($I9449,"0"),$I9449))</f>
        <v/>
      </c>
    </row>
    <row r="9450">
      <c r="B9450" s="25" t="n"/>
      <c r="I9450" s="25" t="n"/>
      <c r="U9450" s="19">
        <f>IF(AND($V9450='設定'!$C$4,COUNTIF('商品マスタ'!$B$6:$B$1005,$W9450)=0),N(U9449)+1,N(U9449))</f>
        <v/>
      </c>
      <c r="V9450" s="19">
        <f>IF($B9450="","",TEXT($B9450,"0000"))</f>
        <v/>
      </c>
      <c r="W9450" s="19">
        <f>IF($I9450="","",IF(ISNUMBER($I9450),TEXT($I9450,"0"),$I9450))</f>
        <v/>
      </c>
    </row>
    <row r="9451">
      <c r="B9451" s="25" t="n"/>
      <c r="I9451" s="25" t="n"/>
      <c r="U9451" s="19">
        <f>IF(AND($V9451='設定'!$C$4,COUNTIF('商品マスタ'!$B$6:$B$1005,$W9451)=0),N(U9450)+1,N(U9450))</f>
        <v/>
      </c>
      <c r="V9451" s="19">
        <f>IF($B9451="","",TEXT($B9451,"0000"))</f>
        <v/>
      </c>
      <c r="W9451" s="19">
        <f>IF($I9451="","",IF(ISNUMBER($I9451),TEXT($I9451,"0"),$I9451))</f>
        <v/>
      </c>
    </row>
    <row r="9452">
      <c r="B9452" s="25" t="n"/>
      <c r="I9452" s="25" t="n"/>
      <c r="U9452" s="19">
        <f>IF(AND($V9452='設定'!$C$4,COUNTIF('商品マスタ'!$B$6:$B$1005,$W9452)=0),N(U9451)+1,N(U9451))</f>
        <v/>
      </c>
      <c r="V9452" s="19">
        <f>IF($B9452="","",TEXT($B9452,"0000"))</f>
        <v/>
      </c>
      <c r="W9452" s="19">
        <f>IF($I9452="","",IF(ISNUMBER($I9452),TEXT($I9452,"0"),$I9452))</f>
        <v/>
      </c>
    </row>
    <row r="9453">
      <c r="B9453" s="25" t="n"/>
      <c r="I9453" s="25" t="n"/>
      <c r="U9453" s="19">
        <f>IF(AND($V9453='設定'!$C$4,COUNTIF('商品マスタ'!$B$6:$B$1005,$W9453)=0),N(U9452)+1,N(U9452))</f>
        <v/>
      </c>
      <c r="V9453" s="19">
        <f>IF($B9453="","",TEXT($B9453,"0000"))</f>
        <v/>
      </c>
      <c r="W9453" s="19">
        <f>IF($I9453="","",IF(ISNUMBER($I9453),TEXT($I9453,"0"),$I9453))</f>
        <v/>
      </c>
    </row>
    <row r="9454">
      <c r="B9454" s="25" t="n"/>
      <c r="I9454" s="25" t="n"/>
      <c r="U9454" s="19">
        <f>IF(AND($V9454='設定'!$C$4,COUNTIF('商品マスタ'!$B$6:$B$1005,$W9454)=0),N(U9453)+1,N(U9453))</f>
        <v/>
      </c>
      <c r="V9454" s="19">
        <f>IF($B9454="","",TEXT($B9454,"0000"))</f>
        <v/>
      </c>
      <c r="W9454" s="19">
        <f>IF($I9454="","",IF(ISNUMBER($I9454),TEXT($I9454,"0"),$I9454))</f>
        <v/>
      </c>
    </row>
    <row r="9455">
      <c r="B9455" s="25" t="n"/>
      <c r="I9455" s="25" t="n"/>
      <c r="U9455" s="19">
        <f>IF(AND($V9455='設定'!$C$4,COUNTIF('商品マスタ'!$B$6:$B$1005,$W9455)=0),N(U9454)+1,N(U9454))</f>
        <v/>
      </c>
      <c r="V9455" s="19">
        <f>IF($B9455="","",TEXT($B9455,"0000"))</f>
        <v/>
      </c>
      <c r="W9455" s="19">
        <f>IF($I9455="","",IF(ISNUMBER($I9455),TEXT($I9455,"0"),$I9455))</f>
        <v/>
      </c>
    </row>
    <row r="9456">
      <c r="B9456" s="25" t="n"/>
      <c r="I9456" s="25" t="n"/>
      <c r="U9456" s="19">
        <f>IF(AND($V9456='設定'!$C$4,COUNTIF('商品マスタ'!$B$6:$B$1005,$W9456)=0),N(U9455)+1,N(U9455))</f>
        <v/>
      </c>
      <c r="V9456" s="19">
        <f>IF($B9456="","",TEXT($B9456,"0000"))</f>
        <v/>
      </c>
      <c r="W9456" s="19">
        <f>IF($I9456="","",IF(ISNUMBER($I9456),TEXT($I9456,"0"),$I9456))</f>
        <v/>
      </c>
    </row>
    <row r="9457">
      <c r="B9457" s="25" t="n"/>
      <c r="I9457" s="25" t="n"/>
      <c r="U9457" s="19">
        <f>IF(AND($V9457='設定'!$C$4,COUNTIF('商品マスタ'!$B$6:$B$1005,$W9457)=0),N(U9456)+1,N(U9456))</f>
        <v/>
      </c>
      <c r="V9457" s="19">
        <f>IF($B9457="","",TEXT($B9457,"0000"))</f>
        <v/>
      </c>
      <c r="W9457" s="19">
        <f>IF($I9457="","",IF(ISNUMBER($I9457),TEXT($I9457,"0"),$I9457))</f>
        <v/>
      </c>
    </row>
    <row r="9458">
      <c r="B9458" s="25" t="n"/>
      <c r="I9458" s="25" t="n"/>
      <c r="U9458" s="19">
        <f>IF(AND($V9458='設定'!$C$4,COUNTIF('商品マスタ'!$B$6:$B$1005,$W9458)=0),N(U9457)+1,N(U9457))</f>
        <v/>
      </c>
      <c r="V9458" s="19">
        <f>IF($B9458="","",TEXT($B9458,"0000"))</f>
        <v/>
      </c>
      <c r="W9458" s="19">
        <f>IF($I9458="","",IF(ISNUMBER($I9458),TEXT($I9458,"0"),$I9458))</f>
        <v/>
      </c>
    </row>
    <row r="9459">
      <c r="B9459" s="25" t="n"/>
      <c r="I9459" s="25" t="n"/>
      <c r="U9459" s="19">
        <f>IF(AND($V9459='設定'!$C$4,COUNTIF('商品マスタ'!$B$6:$B$1005,$W9459)=0),N(U9458)+1,N(U9458))</f>
        <v/>
      </c>
      <c r="V9459" s="19">
        <f>IF($B9459="","",TEXT($B9459,"0000"))</f>
        <v/>
      </c>
      <c r="W9459" s="19">
        <f>IF($I9459="","",IF(ISNUMBER($I9459),TEXT($I9459,"0"),$I9459))</f>
        <v/>
      </c>
    </row>
    <row r="9460">
      <c r="B9460" s="25" t="n"/>
      <c r="I9460" s="25" t="n"/>
      <c r="U9460" s="19">
        <f>IF(AND($V9460='設定'!$C$4,COUNTIF('商品マスタ'!$B$6:$B$1005,$W9460)=0),N(U9459)+1,N(U9459))</f>
        <v/>
      </c>
      <c r="V9460" s="19">
        <f>IF($B9460="","",TEXT($B9460,"0000"))</f>
        <v/>
      </c>
      <c r="W9460" s="19">
        <f>IF($I9460="","",IF(ISNUMBER($I9460),TEXT($I9460,"0"),$I9460))</f>
        <v/>
      </c>
    </row>
    <row r="9461">
      <c r="B9461" s="25" t="n"/>
      <c r="I9461" s="25" t="n"/>
      <c r="U9461" s="19">
        <f>IF(AND($V9461='設定'!$C$4,COUNTIF('商品マスタ'!$B$6:$B$1005,$W9461)=0),N(U9460)+1,N(U9460))</f>
        <v/>
      </c>
      <c r="V9461" s="19">
        <f>IF($B9461="","",TEXT($B9461,"0000"))</f>
        <v/>
      </c>
      <c r="W9461" s="19">
        <f>IF($I9461="","",IF(ISNUMBER($I9461),TEXT($I9461,"0"),$I9461))</f>
        <v/>
      </c>
    </row>
    <row r="9462">
      <c r="B9462" s="25" t="n"/>
      <c r="I9462" s="25" t="n"/>
      <c r="U9462" s="19">
        <f>IF(AND($V9462='設定'!$C$4,COUNTIF('商品マスタ'!$B$6:$B$1005,$W9462)=0),N(U9461)+1,N(U9461))</f>
        <v/>
      </c>
      <c r="V9462" s="19">
        <f>IF($B9462="","",TEXT($B9462,"0000"))</f>
        <v/>
      </c>
      <c r="W9462" s="19">
        <f>IF($I9462="","",IF(ISNUMBER($I9462),TEXT($I9462,"0"),$I9462))</f>
        <v/>
      </c>
    </row>
    <row r="9463">
      <c r="B9463" s="25" t="n"/>
      <c r="I9463" s="25" t="n"/>
      <c r="U9463" s="19">
        <f>IF(AND($V9463='設定'!$C$4,COUNTIF('商品マスタ'!$B$6:$B$1005,$W9463)=0),N(U9462)+1,N(U9462))</f>
        <v/>
      </c>
      <c r="V9463" s="19">
        <f>IF($B9463="","",TEXT($B9463,"0000"))</f>
        <v/>
      </c>
      <c r="W9463" s="19">
        <f>IF($I9463="","",IF(ISNUMBER($I9463),TEXT($I9463,"0"),$I9463))</f>
        <v/>
      </c>
    </row>
    <row r="9464">
      <c r="B9464" s="25" t="n"/>
      <c r="I9464" s="25" t="n"/>
      <c r="U9464" s="19">
        <f>IF(AND($V9464='設定'!$C$4,COUNTIF('商品マスタ'!$B$6:$B$1005,$W9464)=0),N(U9463)+1,N(U9463))</f>
        <v/>
      </c>
      <c r="V9464" s="19">
        <f>IF($B9464="","",TEXT($B9464,"0000"))</f>
        <v/>
      </c>
      <c r="W9464" s="19">
        <f>IF($I9464="","",IF(ISNUMBER($I9464),TEXT($I9464,"0"),$I9464))</f>
        <v/>
      </c>
    </row>
    <row r="9465">
      <c r="B9465" s="25" t="n"/>
      <c r="I9465" s="25" t="n"/>
      <c r="U9465" s="19">
        <f>IF(AND($V9465='設定'!$C$4,COUNTIF('商品マスタ'!$B$6:$B$1005,$W9465)=0),N(U9464)+1,N(U9464))</f>
        <v/>
      </c>
      <c r="V9465" s="19">
        <f>IF($B9465="","",TEXT($B9465,"0000"))</f>
        <v/>
      </c>
      <c r="W9465" s="19">
        <f>IF($I9465="","",IF(ISNUMBER($I9465),TEXT($I9465,"0"),$I9465))</f>
        <v/>
      </c>
    </row>
    <row r="9466">
      <c r="B9466" s="25" t="n"/>
      <c r="I9466" s="25" t="n"/>
      <c r="U9466" s="19">
        <f>IF(AND($V9466='設定'!$C$4,COUNTIF('商品マスタ'!$B$6:$B$1005,$W9466)=0),N(U9465)+1,N(U9465))</f>
        <v/>
      </c>
      <c r="V9466" s="19">
        <f>IF($B9466="","",TEXT($B9466,"0000"))</f>
        <v/>
      </c>
      <c r="W9466" s="19">
        <f>IF($I9466="","",IF(ISNUMBER($I9466),TEXT($I9466,"0"),$I9466))</f>
        <v/>
      </c>
    </row>
    <row r="9467">
      <c r="B9467" s="25" t="n"/>
      <c r="I9467" s="25" t="n"/>
      <c r="U9467" s="19">
        <f>IF(AND($V9467='設定'!$C$4,COUNTIF('商品マスタ'!$B$6:$B$1005,$W9467)=0),N(U9466)+1,N(U9466))</f>
        <v/>
      </c>
      <c r="V9467" s="19">
        <f>IF($B9467="","",TEXT($B9467,"0000"))</f>
        <v/>
      </c>
      <c r="W9467" s="19">
        <f>IF($I9467="","",IF(ISNUMBER($I9467),TEXT($I9467,"0"),$I9467))</f>
        <v/>
      </c>
    </row>
    <row r="9468">
      <c r="B9468" s="25" t="n"/>
      <c r="I9468" s="25" t="n"/>
      <c r="U9468" s="19">
        <f>IF(AND($V9468='設定'!$C$4,COUNTIF('商品マスタ'!$B$6:$B$1005,$W9468)=0),N(U9467)+1,N(U9467))</f>
        <v/>
      </c>
      <c r="V9468" s="19">
        <f>IF($B9468="","",TEXT($B9468,"0000"))</f>
        <v/>
      </c>
      <c r="W9468" s="19">
        <f>IF($I9468="","",IF(ISNUMBER($I9468),TEXT($I9468,"0"),$I9468))</f>
        <v/>
      </c>
    </row>
    <row r="9469">
      <c r="B9469" s="25" t="n"/>
      <c r="I9469" s="25" t="n"/>
      <c r="U9469" s="19">
        <f>IF(AND($V9469='設定'!$C$4,COUNTIF('商品マスタ'!$B$6:$B$1005,$W9469)=0),N(U9468)+1,N(U9468))</f>
        <v/>
      </c>
      <c r="V9469" s="19">
        <f>IF($B9469="","",TEXT($B9469,"0000"))</f>
        <v/>
      </c>
      <c r="W9469" s="19">
        <f>IF($I9469="","",IF(ISNUMBER($I9469),TEXT($I9469,"0"),$I9469))</f>
        <v/>
      </c>
    </row>
    <row r="9470">
      <c r="B9470" s="25" t="n"/>
      <c r="I9470" s="25" t="n"/>
      <c r="U9470" s="19">
        <f>IF(AND($V9470='設定'!$C$4,COUNTIF('商品マスタ'!$B$6:$B$1005,$W9470)=0),N(U9469)+1,N(U9469))</f>
        <v/>
      </c>
      <c r="V9470" s="19">
        <f>IF($B9470="","",TEXT($B9470,"0000"))</f>
        <v/>
      </c>
      <c r="W9470" s="19">
        <f>IF($I9470="","",IF(ISNUMBER($I9470),TEXT($I9470,"0"),$I9470))</f>
        <v/>
      </c>
    </row>
    <row r="9471">
      <c r="B9471" s="25" t="n"/>
      <c r="I9471" s="25" t="n"/>
      <c r="U9471" s="19">
        <f>IF(AND($V9471='設定'!$C$4,COUNTIF('商品マスタ'!$B$6:$B$1005,$W9471)=0),N(U9470)+1,N(U9470))</f>
        <v/>
      </c>
      <c r="V9471" s="19">
        <f>IF($B9471="","",TEXT($B9471,"0000"))</f>
        <v/>
      </c>
      <c r="W9471" s="19">
        <f>IF($I9471="","",IF(ISNUMBER($I9471),TEXT($I9471,"0"),$I9471))</f>
        <v/>
      </c>
    </row>
    <row r="9472">
      <c r="B9472" s="25" t="n"/>
      <c r="I9472" s="25" t="n"/>
      <c r="U9472" s="19">
        <f>IF(AND($V9472='設定'!$C$4,COUNTIF('商品マスタ'!$B$6:$B$1005,$W9472)=0),N(U9471)+1,N(U9471))</f>
        <v/>
      </c>
      <c r="V9472" s="19">
        <f>IF($B9472="","",TEXT($B9472,"0000"))</f>
        <v/>
      </c>
      <c r="W9472" s="19">
        <f>IF($I9472="","",IF(ISNUMBER($I9472),TEXT($I9472,"0"),$I9472))</f>
        <v/>
      </c>
    </row>
    <row r="9473">
      <c r="B9473" s="25" t="n"/>
      <c r="I9473" s="25" t="n"/>
      <c r="U9473" s="19">
        <f>IF(AND($V9473='設定'!$C$4,COUNTIF('商品マスタ'!$B$6:$B$1005,$W9473)=0),N(U9472)+1,N(U9472))</f>
        <v/>
      </c>
      <c r="V9473" s="19">
        <f>IF($B9473="","",TEXT($B9473,"0000"))</f>
        <v/>
      </c>
      <c r="W9473" s="19">
        <f>IF($I9473="","",IF(ISNUMBER($I9473),TEXT($I9473,"0"),$I9473))</f>
        <v/>
      </c>
    </row>
    <row r="9474">
      <c r="B9474" s="25" t="n"/>
      <c r="I9474" s="25" t="n"/>
      <c r="U9474" s="19">
        <f>IF(AND($V9474='設定'!$C$4,COUNTIF('商品マスタ'!$B$6:$B$1005,$W9474)=0),N(U9473)+1,N(U9473))</f>
        <v/>
      </c>
      <c r="V9474" s="19">
        <f>IF($B9474="","",TEXT($B9474,"0000"))</f>
        <v/>
      </c>
      <c r="W9474" s="19">
        <f>IF($I9474="","",IF(ISNUMBER($I9474),TEXT($I9474,"0"),$I9474))</f>
        <v/>
      </c>
    </row>
    <row r="9475">
      <c r="B9475" s="25" t="n"/>
      <c r="I9475" s="25" t="n"/>
      <c r="U9475" s="19">
        <f>IF(AND($V9475='設定'!$C$4,COUNTIF('商品マスタ'!$B$6:$B$1005,$W9475)=0),N(U9474)+1,N(U9474))</f>
        <v/>
      </c>
      <c r="V9475" s="19">
        <f>IF($B9475="","",TEXT($B9475,"0000"))</f>
        <v/>
      </c>
      <c r="W9475" s="19">
        <f>IF($I9475="","",IF(ISNUMBER($I9475),TEXT($I9475,"0"),$I9475))</f>
        <v/>
      </c>
    </row>
    <row r="9476">
      <c r="B9476" s="25" t="n"/>
      <c r="I9476" s="25" t="n"/>
      <c r="U9476" s="19">
        <f>IF(AND($V9476='設定'!$C$4,COUNTIF('商品マスタ'!$B$6:$B$1005,$W9476)=0),N(U9475)+1,N(U9475))</f>
        <v/>
      </c>
      <c r="V9476" s="19">
        <f>IF($B9476="","",TEXT($B9476,"0000"))</f>
        <v/>
      </c>
      <c r="W9476" s="19">
        <f>IF($I9476="","",IF(ISNUMBER($I9476),TEXT($I9476,"0"),$I9476))</f>
        <v/>
      </c>
    </row>
    <row r="9477">
      <c r="B9477" s="25" t="n"/>
      <c r="I9477" s="25" t="n"/>
      <c r="U9477" s="19">
        <f>IF(AND($V9477='設定'!$C$4,COUNTIF('商品マスタ'!$B$6:$B$1005,$W9477)=0),N(U9476)+1,N(U9476))</f>
        <v/>
      </c>
      <c r="V9477" s="19">
        <f>IF($B9477="","",TEXT($B9477,"0000"))</f>
        <v/>
      </c>
      <c r="W9477" s="19">
        <f>IF($I9477="","",IF(ISNUMBER($I9477),TEXT($I9477,"0"),$I9477))</f>
        <v/>
      </c>
    </row>
    <row r="9478">
      <c r="B9478" s="25" t="n"/>
      <c r="I9478" s="25" t="n"/>
      <c r="U9478" s="19">
        <f>IF(AND($V9478='設定'!$C$4,COUNTIF('商品マスタ'!$B$6:$B$1005,$W9478)=0),N(U9477)+1,N(U9477))</f>
        <v/>
      </c>
      <c r="V9478" s="19">
        <f>IF($B9478="","",TEXT($B9478,"0000"))</f>
        <v/>
      </c>
      <c r="W9478" s="19">
        <f>IF($I9478="","",IF(ISNUMBER($I9478),TEXT($I9478,"0"),$I9478))</f>
        <v/>
      </c>
    </row>
    <row r="9479">
      <c r="B9479" s="25" t="n"/>
      <c r="I9479" s="25" t="n"/>
      <c r="U9479" s="19">
        <f>IF(AND($V9479='設定'!$C$4,COUNTIF('商品マスタ'!$B$6:$B$1005,$W9479)=0),N(U9478)+1,N(U9478))</f>
        <v/>
      </c>
      <c r="V9479" s="19">
        <f>IF($B9479="","",TEXT($B9479,"0000"))</f>
        <v/>
      </c>
      <c r="W9479" s="19">
        <f>IF($I9479="","",IF(ISNUMBER($I9479),TEXT($I9479,"0"),$I9479))</f>
        <v/>
      </c>
    </row>
    <row r="9480">
      <c r="B9480" s="25" t="n"/>
      <c r="I9480" s="25" t="n"/>
      <c r="U9480" s="19">
        <f>IF(AND($V9480='設定'!$C$4,COUNTIF('商品マスタ'!$B$6:$B$1005,$W9480)=0),N(U9479)+1,N(U9479))</f>
        <v/>
      </c>
      <c r="V9480" s="19">
        <f>IF($B9480="","",TEXT($B9480,"0000"))</f>
        <v/>
      </c>
      <c r="W9480" s="19">
        <f>IF($I9480="","",IF(ISNUMBER($I9480),TEXT($I9480,"0"),$I9480))</f>
        <v/>
      </c>
    </row>
    <row r="9481">
      <c r="B9481" s="25" t="n"/>
      <c r="I9481" s="25" t="n"/>
      <c r="U9481" s="19">
        <f>IF(AND($V9481='設定'!$C$4,COUNTIF('商品マスタ'!$B$6:$B$1005,$W9481)=0),N(U9480)+1,N(U9480))</f>
        <v/>
      </c>
      <c r="V9481" s="19">
        <f>IF($B9481="","",TEXT($B9481,"0000"))</f>
        <v/>
      </c>
      <c r="W9481" s="19">
        <f>IF($I9481="","",IF(ISNUMBER($I9481),TEXT($I9481,"0"),$I9481))</f>
        <v/>
      </c>
    </row>
    <row r="9482">
      <c r="B9482" s="25" t="n"/>
      <c r="I9482" s="25" t="n"/>
      <c r="U9482" s="19">
        <f>IF(AND($V9482='設定'!$C$4,COUNTIF('商品マスタ'!$B$6:$B$1005,$W9482)=0),N(U9481)+1,N(U9481))</f>
        <v/>
      </c>
      <c r="V9482" s="19">
        <f>IF($B9482="","",TEXT($B9482,"0000"))</f>
        <v/>
      </c>
      <c r="W9482" s="19">
        <f>IF($I9482="","",IF(ISNUMBER($I9482),TEXT($I9482,"0"),$I9482))</f>
        <v/>
      </c>
    </row>
    <row r="9483">
      <c r="B9483" s="25" t="n"/>
      <c r="I9483" s="25" t="n"/>
      <c r="U9483" s="19">
        <f>IF(AND($V9483='設定'!$C$4,COUNTIF('商品マスタ'!$B$6:$B$1005,$W9483)=0),N(U9482)+1,N(U9482))</f>
        <v/>
      </c>
      <c r="V9483" s="19">
        <f>IF($B9483="","",TEXT($B9483,"0000"))</f>
        <v/>
      </c>
      <c r="W9483" s="19">
        <f>IF($I9483="","",IF(ISNUMBER($I9483),TEXT($I9483,"0"),$I9483))</f>
        <v/>
      </c>
    </row>
    <row r="9484">
      <c r="B9484" s="25" t="n"/>
      <c r="I9484" s="25" t="n"/>
      <c r="U9484" s="19">
        <f>IF(AND($V9484='設定'!$C$4,COUNTIF('商品マスタ'!$B$6:$B$1005,$W9484)=0),N(U9483)+1,N(U9483))</f>
        <v/>
      </c>
      <c r="V9484" s="19">
        <f>IF($B9484="","",TEXT($B9484,"0000"))</f>
        <v/>
      </c>
      <c r="W9484" s="19">
        <f>IF($I9484="","",IF(ISNUMBER($I9484),TEXT($I9484,"0"),$I9484))</f>
        <v/>
      </c>
    </row>
    <row r="9485">
      <c r="B9485" s="25" t="n"/>
      <c r="I9485" s="25" t="n"/>
      <c r="U9485" s="19">
        <f>IF(AND($V9485='設定'!$C$4,COUNTIF('商品マスタ'!$B$6:$B$1005,$W9485)=0),N(U9484)+1,N(U9484))</f>
        <v/>
      </c>
      <c r="V9485" s="19">
        <f>IF($B9485="","",TEXT($B9485,"0000"))</f>
        <v/>
      </c>
      <c r="W9485" s="19">
        <f>IF($I9485="","",IF(ISNUMBER($I9485),TEXT($I9485,"0"),$I9485))</f>
        <v/>
      </c>
    </row>
    <row r="9486">
      <c r="B9486" s="25" t="n"/>
      <c r="I9486" s="25" t="n"/>
      <c r="U9486" s="19">
        <f>IF(AND($V9486='設定'!$C$4,COUNTIF('商品マスタ'!$B$6:$B$1005,$W9486)=0),N(U9485)+1,N(U9485))</f>
        <v/>
      </c>
      <c r="V9486" s="19">
        <f>IF($B9486="","",TEXT($B9486,"0000"))</f>
        <v/>
      </c>
      <c r="W9486" s="19">
        <f>IF($I9486="","",IF(ISNUMBER($I9486),TEXT($I9486,"0"),$I9486))</f>
        <v/>
      </c>
    </row>
    <row r="9487">
      <c r="B9487" s="25" t="n"/>
      <c r="I9487" s="25" t="n"/>
      <c r="U9487" s="19">
        <f>IF(AND($V9487='設定'!$C$4,COUNTIF('商品マスタ'!$B$6:$B$1005,$W9487)=0),N(U9486)+1,N(U9486))</f>
        <v/>
      </c>
      <c r="V9487" s="19">
        <f>IF($B9487="","",TEXT($B9487,"0000"))</f>
        <v/>
      </c>
      <c r="W9487" s="19">
        <f>IF($I9487="","",IF(ISNUMBER($I9487),TEXT($I9487,"0"),$I9487))</f>
        <v/>
      </c>
    </row>
    <row r="9488">
      <c r="B9488" s="25" t="n"/>
      <c r="I9488" s="25" t="n"/>
      <c r="U9488" s="19">
        <f>IF(AND($V9488='設定'!$C$4,COUNTIF('商品マスタ'!$B$6:$B$1005,$W9488)=0),N(U9487)+1,N(U9487))</f>
        <v/>
      </c>
      <c r="V9488" s="19">
        <f>IF($B9488="","",TEXT($B9488,"0000"))</f>
        <v/>
      </c>
      <c r="W9488" s="19">
        <f>IF($I9488="","",IF(ISNUMBER($I9488),TEXT($I9488,"0"),$I9488))</f>
        <v/>
      </c>
    </row>
    <row r="9489">
      <c r="B9489" s="25" t="n"/>
      <c r="I9489" s="25" t="n"/>
      <c r="U9489" s="19">
        <f>IF(AND($V9489='設定'!$C$4,COUNTIF('商品マスタ'!$B$6:$B$1005,$W9489)=0),N(U9488)+1,N(U9488))</f>
        <v/>
      </c>
      <c r="V9489" s="19">
        <f>IF($B9489="","",TEXT($B9489,"0000"))</f>
        <v/>
      </c>
      <c r="W9489" s="19">
        <f>IF($I9489="","",IF(ISNUMBER($I9489),TEXT($I9489,"0"),$I9489))</f>
        <v/>
      </c>
    </row>
    <row r="9490">
      <c r="B9490" s="25" t="n"/>
      <c r="I9490" s="25" t="n"/>
      <c r="U9490" s="19">
        <f>IF(AND($V9490='設定'!$C$4,COUNTIF('商品マスタ'!$B$6:$B$1005,$W9490)=0),N(U9489)+1,N(U9489))</f>
        <v/>
      </c>
      <c r="V9490" s="19">
        <f>IF($B9490="","",TEXT($B9490,"0000"))</f>
        <v/>
      </c>
      <c r="W9490" s="19">
        <f>IF($I9490="","",IF(ISNUMBER($I9490),TEXT($I9490,"0"),$I9490))</f>
        <v/>
      </c>
    </row>
    <row r="9491">
      <c r="B9491" s="25" t="n"/>
      <c r="I9491" s="25" t="n"/>
      <c r="U9491" s="19">
        <f>IF(AND($V9491='設定'!$C$4,COUNTIF('商品マスタ'!$B$6:$B$1005,$W9491)=0),N(U9490)+1,N(U9490))</f>
        <v/>
      </c>
      <c r="V9491" s="19">
        <f>IF($B9491="","",TEXT($B9491,"0000"))</f>
        <v/>
      </c>
      <c r="W9491" s="19">
        <f>IF($I9491="","",IF(ISNUMBER($I9491),TEXT($I9491,"0"),$I9491))</f>
        <v/>
      </c>
    </row>
    <row r="9492">
      <c r="B9492" s="25" t="n"/>
      <c r="I9492" s="25" t="n"/>
      <c r="U9492" s="19">
        <f>IF(AND($V9492='設定'!$C$4,COUNTIF('商品マスタ'!$B$6:$B$1005,$W9492)=0),N(U9491)+1,N(U9491))</f>
        <v/>
      </c>
      <c r="V9492" s="19">
        <f>IF($B9492="","",TEXT($B9492,"0000"))</f>
        <v/>
      </c>
      <c r="W9492" s="19">
        <f>IF($I9492="","",IF(ISNUMBER($I9492),TEXT($I9492,"0"),$I9492))</f>
        <v/>
      </c>
    </row>
    <row r="9493">
      <c r="B9493" s="25" t="n"/>
      <c r="I9493" s="25" t="n"/>
      <c r="U9493" s="19">
        <f>IF(AND($V9493='設定'!$C$4,COUNTIF('商品マスタ'!$B$6:$B$1005,$W9493)=0),N(U9492)+1,N(U9492))</f>
        <v/>
      </c>
      <c r="V9493" s="19">
        <f>IF($B9493="","",TEXT($B9493,"0000"))</f>
        <v/>
      </c>
      <c r="W9493" s="19">
        <f>IF($I9493="","",IF(ISNUMBER($I9493),TEXT($I9493,"0"),$I9493))</f>
        <v/>
      </c>
    </row>
    <row r="9494">
      <c r="B9494" s="25" t="n"/>
      <c r="I9494" s="25" t="n"/>
      <c r="U9494" s="19">
        <f>IF(AND($V9494='設定'!$C$4,COUNTIF('商品マスタ'!$B$6:$B$1005,$W9494)=0),N(U9493)+1,N(U9493))</f>
        <v/>
      </c>
      <c r="V9494" s="19">
        <f>IF($B9494="","",TEXT($B9494,"0000"))</f>
        <v/>
      </c>
      <c r="W9494" s="19">
        <f>IF($I9494="","",IF(ISNUMBER($I9494),TEXT($I9494,"0"),$I9494))</f>
        <v/>
      </c>
    </row>
    <row r="9495">
      <c r="B9495" s="25" t="n"/>
      <c r="I9495" s="25" t="n"/>
      <c r="U9495" s="19">
        <f>IF(AND($V9495='設定'!$C$4,COUNTIF('商品マスタ'!$B$6:$B$1005,$W9495)=0),N(U9494)+1,N(U9494))</f>
        <v/>
      </c>
      <c r="V9495" s="19">
        <f>IF($B9495="","",TEXT($B9495,"0000"))</f>
        <v/>
      </c>
      <c r="W9495" s="19">
        <f>IF($I9495="","",IF(ISNUMBER($I9495),TEXT($I9495,"0"),$I9495))</f>
        <v/>
      </c>
    </row>
    <row r="9496">
      <c r="B9496" s="25" t="n"/>
      <c r="I9496" s="25" t="n"/>
      <c r="U9496" s="19">
        <f>IF(AND($V9496='設定'!$C$4,COUNTIF('商品マスタ'!$B$6:$B$1005,$W9496)=0),N(U9495)+1,N(U9495))</f>
        <v/>
      </c>
      <c r="V9496" s="19">
        <f>IF($B9496="","",TEXT($B9496,"0000"))</f>
        <v/>
      </c>
      <c r="W9496" s="19">
        <f>IF($I9496="","",IF(ISNUMBER($I9496),TEXT($I9496,"0"),$I9496))</f>
        <v/>
      </c>
    </row>
    <row r="9497">
      <c r="B9497" s="25" t="n"/>
      <c r="I9497" s="25" t="n"/>
      <c r="U9497" s="19">
        <f>IF(AND($V9497='設定'!$C$4,COUNTIF('商品マスタ'!$B$6:$B$1005,$W9497)=0),N(U9496)+1,N(U9496))</f>
        <v/>
      </c>
      <c r="V9497" s="19">
        <f>IF($B9497="","",TEXT($B9497,"0000"))</f>
        <v/>
      </c>
      <c r="W9497" s="19">
        <f>IF($I9497="","",IF(ISNUMBER($I9497),TEXT($I9497,"0"),$I9497))</f>
        <v/>
      </c>
    </row>
    <row r="9498">
      <c r="B9498" s="25" t="n"/>
      <c r="I9498" s="25" t="n"/>
      <c r="U9498" s="19">
        <f>IF(AND($V9498='設定'!$C$4,COUNTIF('商品マスタ'!$B$6:$B$1005,$W9498)=0),N(U9497)+1,N(U9497))</f>
        <v/>
      </c>
      <c r="V9498" s="19">
        <f>IF($B9498="","",TEXT($B9498,"0000"))</f>
        <v/>
      </c>
      <c r="W9498" s="19">
        <f>IF($I9498="","",IF(ISNUMBER($I9498),TEXT($I9498,"0"),$I9498))</f>
        <v/>
      </c>
    </row>
    <row r="9499">
      <c r="B9499" s="25" t="n"/>
      <c r="I9499" s="25" t="n"/>
      <c r="U9499" s="19">
        <f>IF(AND($V9499='設定'!$C$4,COUNTIF('商品マスタ'!$B$6:$B$1005,$W9499)=0),N(U9498)+1,N(U9498))</f>
        <v/>
      </c>
      <c r="V9499" s="19">
        <f>IF($B9499="","",TEXT($B9499,"0000"))</f>
        <v/>
      </c>
      <c r="W9499" s="19">
        <f>IF($I9499="","",IF(ISNUMBER($I9499),TEXT($I9499,"0"),$I9499))</f>
        <v/>
      </c>
    </row>
    <row r="9500">
      <c r="B9500" s="25" t="n"/>
      <c r="I9500" s="25" t="n"/>
      <c r="U9500" s="19">
        <f>IF(AND($V9500='設定'!$C$4,COUNTIF('商品マスタ'!$B$6:$B$1005,$W9500)=0),N(U9499)+1,N(U9499))</f>
        <v/>
      </c>
      <c r="V9500" s="19">
        <f>IF($B9500="","",TEXT($B9500,"0000"))</f>
        <v/>
      </c>
      <c r="W9500" s="19">
        <f>IF($I9500="","",IF(ISNUMBER($I9500),TEXT($I9500,"0"),$I9500))</f>
        <v/>
      </c>
    </row>
    <row r="9501">
      <c r="B9501" s="25" t="n"/>
      <c r="I9501" s="25" t="n"/>
      <c r="U9501" s="19">
        <f>IF(AND($V9501='設定'!$C$4,COUNTIF('商品マスタ'!$B$6:$B$1005,$W9501)=0),N(U9500)+1,N(U9500))</f>
        <v/>
      </c>
      <c r="V9501" s="19">
        <f>IF($B9501="","",TEXT($B9501,"0000"))</f>
        <v/>
      </c>
      <c r="W9501" s="19">
        <f>IF($I9501="","",IF(ISNUMBER($I9501),TEXT($I9501,"0"),$I9501))</f>
        <v/>
      </c>
    </row>
    <row r="9502">
      <c r="B9502" s="25" t="n"/>
      <c r="I9502" s="25" t="n"/>
      <c r="U9502" s="19">
        <f>IF(AND($V9502='設定'!$C$4,COUNTIF('商品マスタ'!$B$6:$B$1005,$W9502)=0),N(U9501)+1,N(U9501))</f>
        <v/>
      </c>
      <c r="V9502" s="19">
        <f>IF($B9502="","",TEXT($B9502,"0000"))</f>
        <v/>
      </c>
      <c r="W9502" s="19">
        <f>IF($I9502="","",IF(ISNUMBER($I9502),TEXT($I9502,"0"),$I9502))</f>
        <v/>
      </c>
    </row>
    <row r="9503">
      <c r="B9503" s="25" t="n"/>
      <c r="I9503" s="25" t="n"/>
      <c r="U9503" s="19">
        <f>IF(AND($V9503='設定'!$C$4,COUNTIF('商品マスタ'!$B$6:$B$1005,$W9503)=0),N(U9502)+1,N(U9502))</f>
        <v/>
      </c>
      <c r="V9503" s="19">
        <f>IF($B9503="","",TEXT($B9503,"0000"))</f>
        <v/>
      </c>
      <c r="W9503" s="19">
        <f>IF($I9503="","",IF(ISNUMBER($I9503),TEXT($I9503,"0"),$I9503))</f>
        <v/>
      </c>
    </row>
    <row r="9504">
      <c r="B9504" s="25" t="n"/>
      <c r="I9504" s="25" t="n"/>
      <c r="U9504" s="19">
        <f>IF(AND($V9504='設定'!$C$4,COUNTIF('商品マスタ'!$B$6:$B$1005,$W9504)=0),N(U9503)+1,N(U9503))</f>
        <v/>
      </c>
      <c r="V9504" s="19">
        <f>IF($B9504="","",TEXT($B9504,"0000"))</f>
        <v/>
      </c>
      <c r="W9504" s="19">
        <f>IF($I9504="","",IF(ISNUMBER($I9504),TEXT($I9504,"0"),$I9504))</f>
        <v/>
      </c>
    </row>
    <row r="9505">
      <c r="B9505" s="25" t="n"/>
      <c r="I9505" s="25" t="n"/>
      <c r="U9505" s="19">
        <f>IF(AND($V9505='設定'!$C$4,COUNTIF('商品マスタ'!$B$6:$B$1005,$W9505)=0),N(U9504)+1,N(U9504))</f>
        <v/>
      </c>
      <c r="V9505" s="19">
        <f>IF($B9505="","",TEXT($B9505,"0000"))</f>
        <v/>
      </c>
      <c r="W9505" s="19">
        <f>IF($I9505="","",IF(ISNUMBER($I9505),TEXT($I9505,"0"),$I9505))</f>
        <v/>
      </c>
    </row>
    <row r="9506">
      <c r="B9506" s="25" t="n"/>
      <c r="I9506" s="25" t="n"/>
      <c r="U9506" s="19">
        <f>IF(AND($V9506='設定'!$C$4,COUNTIF('商品マスタ'!$B$6:$B$1005,$W9506)=0),N(U9505)+1,N(U9505))</f>
        <v/>
      </c>
      <c r="V9506" s="19">
        <f>IF($B9506="","",TEXT($B9506,"0000"))</f>
        <v/>
      </c>
      <c r="W9506" s="19">
        <f>IF($I9506="","",IF(ISNUMBER($I9506),TEXT($I9506,"0"),$I9506))</f>
        <v/>
      </c>
    </row>
    <row r="9507">
      <c r="B9507" s="25" t="n"/>
      <c r="I9507" s="25" t="n"/>
      <c r="U9507" s="19">
        <f>IF(AND($V9507='設定'!$C$4,COUNTIF('商品マスタ'!$B$6:$B$1005,$W9507)=0),N(U9506)+1,N(U9506))</f>
        <v/>
      </c>
      <c r="V9507" s="19">
        <f>IF($B9507="","",TEXT($B9507,"0000"))</f>
        <v/>
      </c>
      <c r="W9507" s="19">
        <f>IF($I9507="","",IF(ISNUMBER($I9507),TEXT($I9507,"0"),$I9507))</f>
        <v/>
      </c>
    </row>
    <row r="9508">
      <c r="B9508" s="25" t="n"/>
      <c r="I9508" s="25" t="n"/>
      <c r="U9508" s="19">
        <f>IF(AND($V9508='設定'!$C$4,COUNTIF('商品マスタ'!$B$6:$B$1005,$W9508)=0),N(U9507)+1,N(U9507))</f>
        <v/>
      </c>
      <c r="V9508" s="19">
        <f>IF($B9508="","",TEXT($B9508,"0000"))</f>
        <v/>
      </c>
      <c r="W9508" s="19">
        <f>IF($I9508="","",IF(ISNUMBER($I9508),TEXT($I9508,"0"),$I9508))</f>
        <v/>
      </c>
    </row>
    <row r="9509">
      <c r="B9509" s="25" t="n"/>
      <c r="I9509" s="25" t="n"/>
      <c r="U9509" s="19">
        <f>IF(AND($V9509='設定'!$C$4,COUNTIF('商品マスタ'!$B$6:$B$1005,$W9509)=0),N(U9508)+1,N(U9508))</f>
        <v/>
      </c>
      <c r="V9509" s="19">
        <f>IF($B9509="","",TEXT($B9509,"0000"))</f>
        <v/>
      </c>
      <c r="W9509" s="19">
        <f>IF($I9509="","",IF(ISNUMBER($I9509),TEXT($I9509,"0"),$I9509))</f>
        <v/>
      </c>
    </row>
    <row r="9510">
      <c r="B9510" s="25" t="n"/>
      <c r="I9510" s="25" t="n"/>
      <c r="U9510" s="19">
        <f>IF(AND($V9510='設定'!$C$4,COUNTIF('商品マスタ'!$B$6:$B$1005,$W9510)=0),N(U9509)+1,N(U9509))</f>
        <v/>
      </c>
      <c r="V9510" s="19">
        <f>IF($B9510="","",TEXT($B9510,"0000"))</f>
        <v/>
      </c>
      <c r="W9510" s="19">
        <f>IF($I9510="","",IF(ISNUMBER($I9510),TEXT($I9510,"0"),$I9510))</f>
        <v/>
      </c>
    </row>
    <row r="9511">
      <c r="B9511" s="25" t="n"/>
      <c r="I9511" s="25" t="n"/>
      <c r="U9511" s="19">
        <f>IF(AND($V9511='設定'!$C$4,COUNTIF('商品マスタ'!$B$6:$B$1005,$W9511)=0),N(U9510)+1,N(U9510))</f>
        <v/>
      </c>
      <c r="V9511" s="19">
        <f>IF($B9511="","",TEXT($B9511,"0000"))</f>
        <v/>
      </c>
      <c r="W9511" s="19">
        <f>IF($I9511="","",IF(ISNUMBER($I9511),TEXT($I9511,"0"),$I9511))</f>
        <v/>
      </c>
    </row>
    <row r="9512">
      <c r="B9512" s="25" t="n"/>
      <c r="I9512" s="25" t="n"/>
      <c r="U9512" s="19">
        <f>IF(AND($V9512='設定'!$C$4,COUNTIF('商品マスタ'!$B$6:$B$1005,$W9512)=0),N(U9511)+1,N(U9511))</f>
        <v/>
      </c>
      <c r="V9512" s="19">
        <f>IF($B9512="","",TEXT($B9512,"0000"))</f>
        <v/>
      </c>
      <c r="W9512" s="19">
        <f>IF($I9512="","",IF(ISNUMBER($I9512),TEXT($I9512,"0"),$I9512))</f>
        <v/>
      </c>
    </row>
    <row r="9513">
      <c r="B9513" s="25" t="n"/>
      <c r="I9513" s="25" t="n"/>
      <c r="U9513" s="19">
        <f>IF(AND($V9513='設定'!$C$4,COUNTIF('商品マスタ'!$B$6:$B$1005,$W9513)=0),N(U9512)+1,N(U9512))</f>
        <v/>
      </c>
      <c r="V9513" s="19">
        <f>IF($B9513="","",TEXT($B9513,"0000"))</f>
        <v/>
      </c>
      <c r="W9513" s="19">
        <f>IF($I9513="","",IF(ISNUMBER($I9513),TEXT($I9513,"0"),$I9513))</f>
        <v/>
      </c>
    </row>
    <row r="9514">
      <c r="B9514" s="25" t="n"/>
      <c r="I9514" s="25" t="n"/>
      <c r="U9514" s="19">
        <f>IF(AND($V9514='設定'!$C$4,COUNTIF('商品マスタ'!$B$6:$B$1005,$W9514)=0),N(U9513)+1,N(U9513))</f>
        <v/>
      </c>
      <c r="V9514" s="19">
        <f>IF($B9514="","",TEXT($B9514,"0000"))</f>
        <v/>
      </c>
      <c r="W9514" s="19">
        <f>IF($I9514="","",IF(ISNUMBER($I9514),TEXT($I9514,"0"),$I9514))</f>
        <v/>
      </c>
    </row>
    <row r="9515">
      <c r="B9515" s="25" t="n"/>
      <c r="I9515" s="25" t="n"/>
      <c r="U9515" s="19">
        <f>IF(AND($V9515='設定'!$C$4,COUNTIF('商品マスタ'!$B$6:$B$1005,$W9515)=0),N(U9514)+1,N(U9514))</f>
        <v/>
      </c>
      <c r="V9515" s="19">
        <f>IF($B9515="","",TEXT($B9515,"0000"))</f>
        <v/>
      </c>
      <c r="W9515" s="19">
        <f>IF($I9515="","",IF(ISNUMBER($I9515),TEXT($I9515,"0"),$I9515))</f>
        <v/>
      </c>
    </row>
    <row r="9516">
      <c r="B9516" s="25" t="n"/>
      <c r="I9516" s="25" t="n"/>
      <c r="U9516" s="19">
        <f>IF(AND($V9516='設定'!$C$4,COUNTIF('商品マスタ'!$B$6:$B$1005,$W9516)=0),N(U9515)+1,N(U9515))</f>
        <v/>
      </c>
      <c r="V9516" s="19">
        <f>IF($B9516="","",TEXT($B9516,"0000"))</f>
        <v/>
      </c>
      <c r="W9516" s="19">
        <f>IF($I9516="","",IF(ISNUMBER($I9516),TEXT($I9516,"0"),$I9516))</f>
        <v/>
      </c>
    </row>
    <row r="9517">
      <c r="B9517" s="25" t="n"/>
      <c r="I9517" s="25" t="n"/>
      <c r="U9517" s="19">
        <f>IF(AND($V9517='設定'!$C$4,COUNTIF('商品マスタ'!$B$6:$B$1005,$W9517)=0),N(U9516)+1,N(U9516))</f>
        <v/>
      </c>
      <c r="V9517" s="19">
        <f>IF($B9517="","",TEXT($B9517,"0000"))</f>
        <v/>
      </c>
      <c r="W9517" s="19">
        <f>IF($I9517="","",IF(ISNUMBER($I9517),TEXT($I9517,"0"),$I9517))</f>
        <v/>
      </c>
    </row>
    <row r="9518">
      <c r="B9518" s="25" t="n"/>
      <c r="I9518" s="25" t="n"/>
      <c r="U9518" s="19">
        <f>IF(AND($V9518='設定'!$C$4,COUNTIF('商品マスタ'!$B$6:$B$1005,$W9518)=0),N(U9517)+1,N(U9517))</f>
        <v/>
      </c>
      <c r="V9518" s="19">
        <f>IF($B9518="","",TEXT($B9518,"0000"))</f>
        <v/>
      </c>
      <c r="W9518" s="19">
        <f>IF($I9518="","",IF(ISNUMBER($I9518),TEXT($I9518,"0"),$I9518))</f>
        <v/>
      </c>
    </row>
    <row r="9519">
      <c r="B9519" s="25" t="n"/>
      <c r="I9519" s="25" t="n"/>
      <c r="U9519" s="19">
        <f>IF(AND($V9519='設定'!$C$4,COUNTIF('商品マスタ'!$B$6:$B$1005,$W9519)=0),N(U9518)+1,N(U9518))</f>
        <v/>
      </c>
      <c r="V9519" s="19">
        <f>IF($B9519="","",TEXT($B9519,"0000"))</f>
        <v/>
      </c>
      <c r="W9519" s="19">
        <f>IF($I9519="","",IF(ISNUMBER($I9519),TEXT($I9519,"0"),$I9519))</f>
        <v/>
      </c>
    </row>
    <row r="9520">
      <c r="B9520" s="25" t="n"/>
      <c r="I9520" s="25" t="n"/>
      <c r="U9520" s="19">
        <f>IF(AND($V9520='設定'!$C$4,COUNTIF('商品マスタ'!$B$6:$B$1005,$W9520)=0),N(U9519)+1,N(U9519))</f>
        <v/>
      </c>
      <c r="V9520" s="19">
        <f>IF($B9520="","",TEXT($B9520,"0000"))</f>
        <v/>
      </c>
      <c r="W9520" s="19">
        <f>IF($I9520="","",IF(ISNUMBER($I9520),TEXT($I9520,"0"),$I9520))</f>
        <v/>
      </c>
    </row>
    <row r="9521">
      <c r="B9521" s="25" t="n"/>
      <c r="I9521" s="25" t="n"/>
      <c r="U9521" s="19">
        <f>IF(AND($V9521='設定'!$C$4,COUNTIF('商品マスタ'!$B$6:$B$1005,$W9521)=0),N(U9520)+1,N(U9520))</f>
        <v/>
      </c>
      <c r="V9521" s="19">
        <f>IF($B9521="","",TEXT($B9521,"0000"))</f>
        <v/>
      </c>
      <c r="W9521" s="19">
        <f>IF($I9521="","",IF(ISNUMBER($I9521),TEXT($I9521,"0"),$I9521))</f>
        <v/>
      </c>
    </row>
    <row r="9522">
      <c r="B9522" s="25" t="n"/>
      <c r="I9522" s="25" t="n"/>
      <c r="U9522" s="19">
        <f>IF(AND($V9522='設定'!$C$4,COUNTIF('商品マスタ'!$B$6:$B$1005,$W9522)=0),N(U9521)+1,N(U9521))</f>
        <v/>
      </c>
      <c r="V9522" s="19">
        <f>IF($B9522="","",TEXT($B9522,"0000"))</f>
        <v/>
      </c>
      <c r="W9522" s="19">
        <f>IF($I9522="","",IF(ISNUMBER($I9522),TEXT($I9522,"0"),$I9522))</f>
        <v/>
      </c>
    </row>
    <row r="9523">
      <c r="B9523" s="25" t="n"/>
      <c r="I9523" s="25" t="n"/>
      <c r="U9523" s="19">
        <f>IF(AND($V9523='設定'!$C$4,COUNTIF('商品マスタ'!$B$6:$B$1005,$W9523)=0),N(U9522)+1,N(U9522))</f>
        <v/>
      </c>
      <c r="V9523" s="19">
        <f>IF($B9523="","",TEXT($B9523,"0000"))</f>
        <v/>
      </c>
      <c r="W9523" s="19">
        <f>IF($I9523="","",IF(ISNUMBER($I9523),TEXT($I9523,"0"),$I9523))</f>
        <v/>
      </c>
    </row>
    <row r="9524">
      <c r="B9524" s="25" t="n"/>
      <c r="I9524" s="25" t="n"/>
      <c r="U9524" s="19">
        <f>IF(AND($V9524='設定'!$C$4,COUNTIF('商品マスタ'!$B$6:$B$1005,$W9524)=0),N(U9523)+1,N(U9523))</f>
        <v/>
      </c>
      <c r="V9524" s="19">
        <f>IF($B9524="","",TEXT($B9524,"0000"))</f>
        <v/>
      </c>
      <c r="W9524" s="19">
        <f>IF($I9524="","",IF(ISNUMBER($I9524),TEXT($I9524,"0"),$I9524))</f>
        <v/>
      </c>
    </row>
    <row r="9525">
      <c r="B9525" s="25" t="n"/>
      <c r="I9525" s="25" t="n"/>
      <c r="U9525" s="19">
        <f>IF(AND($V9525='設定'!$C$4,COUNTIF('商品マスタ'!$B$6:$B$1005,$W9525)=0),N(U9524)+1,N(U9524))</f>
        <v/>
      </c>
      <c r="V9525" s="19">
        <f>IF($B9525="","",TEXT($B9525,"0000"))</f>
        <v/>
      </c>
      <c r="W9525" s="19">
        <f>IF($I9525="","",IF(ISNUMBER($I9525),TEXT($I9525,"0"),$I9525))</f>
        <v/>
      </c>
    </row>
    <row r="9526">
      <c r="B9526" s="25" t="n"/>
      <c r="I9526" s="25" t="n"/>
      <c r="U9526" s="19">
        <f>IF(AND($V9526='設定'!$C$4,COUNTIF('商品マスタ'!$B$6:$B$1005,$W9526)=0),N(U9525)+1,N(U9525))</f>
        <v/>
      </c>
      <c r="V9526" s="19">
        <f>IF($B9526="","",TEXT($B9526,"0000"))</f>
        <v/>
      </c>
      <c r="W9526" s="19">
        <f>IF($I9526="","",IF(ISNUMBER($I9526),TEXT($I9526,"0"),$I9526))</f>
        <v/>
      </c>
    </row>
    <row r="9527">
      <c r="B9527" s="25" t="n"/>
      <c r="I9527" s="25" t="n"/>
      <c r="U9527" s="19">
        <f>IF(AND($V9527='設定'!$C$4,COUNTIF('商品マスタ'!$B$6:$B$1005,$W9527)=0),N(U9526)+1,N(U9526))</f>
        <v/>
      </c>
      <c r="V9527" s="19">
        <f>IF($B9527="","",TEXT($B9527,"0000"))</f>
        <v/>
      </c>
      <c r="W9527" s="19">
        <f>IF($I9527="","",IF(ISNUMBER($I9527),TEXT($I9527,"0"),$I9527))</f>
        <v/>
      </c>
    </row>
    <row r="9528">
      <c r="B9528" s="25" t="n"/>
      <c r="I9528" s="25" t="n"/>
      <c r="U9528" s="19">
        <f>IF(AND($V9528='設定'!$C$4,COUNTIF('商品マスタ'!$B$6:$B$1005,$W9528)=0),N(U9527)+1,N(U9527))</f>
        <v/>
      </c>
      <c r="V9528" s="19">
        <f>IF($B9528="","",TEXT($B9528,"0000"))</f>
        <v/>
      </c>
      <c r="W9528" s="19">
        <f>IF($I9528="","",IF(ISNUMBER($I9528),TEXT($I9528,"0"),$I9528))</f>
        <v/>
      </c>
    </row>
    <row r="9529">
      <c r="B9529" s="25" t="n"/>
      <c r="I9529" s="25" t="n"/>
      <c r="U9529" s="19">
        <f>IF(AND($V9529='設定'!$C$4,COUNTIF('商品マスタ'!$B$6:$B$1005,$W9529)=0),N(U9528)+1,N(U9528))</f>
        <v/>
      </c>
      <c r="V9529" s="19">
        <f>IF($B9529="","",TEXT($B9529,"0000"))</f>
        <v/>
      </c>
      <c r="W9529" s="19">
        <f>IF($I9529="","",IF(ISNUMBER($I9529),TEXT($I9529,"0"),$I9529))</f>
        <v/>
      </c>
    </row>
    <row r="9530">
      <c r="B9530" s="25" t="n"/>
      <c r="I9530" s="25" t="n"/>
      <c r="U9530" s="19">
        <f>IF(AND($V9530='設定'!$C$4,COUNTIF('商品マスタ'!$B$6:$B$1005,$W9530)=0),N(U9529)+1,N(U9529))</f>
        <v/>
      </c>
      <c r="V9530" s="19">
        <f>IF($B9530="","",TEXT($B9530,"0000"))</f>
        <v/>
      </c>
      <c r="W9530" s="19">
        <f>IF($I9530="","",IF(ISNUMBER($I9530),TEXT($I9530,"0"),$I9530))</f>
        <v/>
      </c>
    </row>
    <row r="9531">
      <c r="B9531" s="25" t="n"/>
      <c r="I9531" s="25" t="n"/>
      <c r="U9531" s="19">
        <f>IF(AND($V9531='設定'!$C$4,COUNTIF('商品マスタ'!$B$6:$B$1005,$W9531)=0),N(U9530)+1,N(U9530))</f>
        <v/>
      </c>
      <c r="V9531" s="19">
        <f>IF($B9531="","",TEXT($B9531,"0000"))</f>
        <v/>
      </c>
      <c r="W9531" s="19">
        <f>IF($I9531="","",IF(ISNUMBER($I9531),TEXT($I9531,"0"),$I9531))</f>
        <v/>
      </c>
    </row>
    <row r="9532">
      <c r="B9532" s="25" t="n"/>
      <c r="I9532" s="25" t="n"/>
      <c r="U9532" s="19">
        <f>IF(AND($V9532='設定'!$C$4,COUNTIF('商品マスタ'!$B$6:$B$1005,$W9532)=0),N(U9531)+1,N(U9531))</f>
        <v/>
      </c>
      <c r="V9532" s="19">
        <f>IF($B9532="","",TEXT($B9532,"0000"))</f>
        <v/>
      </c>
      <c r="W9532" s="19">
        <f>IF($I9532="","",IF(ISNUMBER($I9532),TEXT($I9532,"0"),$I9532))</f>
        <v/>
      </c>
    </row>
    <row r="9533">
      <c r="B9533" s="25" t="n"/>
      <c r="I9533" s="25" t="n"/>
      <c r="U9533" s="19">
        <f>IF(AND($V9533='設定'!$C$4,COUNTIF('商品マスタ'!$B$6:$B$1005,$W9533)=0),N(U9532)+1,N(U9532))</f>
        <v/>
      </c>
      <c r="V9533" s="19">
        <f>IF($B9533="","",TEXT($B9533,"0000"))</f>
        <v/>
      </c>
      <c r="W9533" s="19">
        <f>IF($I9533="","",IF(ISNUMBER($I9533),TEXT($I9533,"0"),$I9533))</f>
        <v/>
      </c>
    </row>
    <row r="9534">
      <c r="B9534" s="25" t="n"/>
      <c r="I9534" s="25" t="n"/>
      <c r="U9534" s="19">
        <f>IF(AND($V9534='設定'!$C$4,COUNTIF('商品マスタ'!$B$6:$B$1005,$W9534)=0),N(U9533)+1,N(U9533))</f>
        <v/>
      </c>
      <c r="V9534" s="19">
        <f>IF($B9534="","",TEXT($B9534,"0000"))</f>
        <v/>
      </c>
      <c r="W9534" s="19">
        <f>IF($I9534="","",IF(ISNUMBER($I9534),TEXT($I9534,"0"),$I9534))</f>
        <v/>
      </c>
    </row>
    <row r="9535">
      <c r="B9535" s="25" t="n"/>
      <c r="I9535" s="25" t="n"/>
      <c r="U9535" s="19">
        <f>IF(AND($V9535='設定'!$C$4,COUNTIF('商品マスタ'!$B$6:$B$1005,$W9535)=0),N(U9534)+1,N(U9534))</f>
        <v/>
      </c>
      <c r="V9535" s="19">
        <f>IF($B9535="","",TEXT($B9535,"0000"))</f>
        <v/>
      </c>
      <c r="W9535" s="19">
        <f>IF($I9535="","",IF(ISNUMBER($I9535),TEXT($I9535,"0"),$I9535))</f>
        <v/>
      </c>
    </row>
    <row r="9536">
      <c r="B9536" s="25" t="n"/>
      <c r="I9536" s="25" t="n"/>
      <c r="U9536" s="19">
        <f>IF(AND($V9536='設定'!$C$4,COUNTIF('商品マスタ'!$B$6:$B$1005,$W9536)=0),N(U9535)+1,N(U9535))</f>
        <v/>
      </c>
      <c r="V9536" s="19">
        <f>IF($B9536="","",TEXT($B9536,"0000"))</f>
        <v/>
      </c>
      <c r="W9536" s="19">
        <f>IF($I9536="","",IF(ISNUMBER($I9536),TEXT($I9536,"0"),$I9536))</f>
        <v/>
      </c>
    </row>
    <row r="9537">
      <c r="B9537" s="25" t="n"/>
      <c r="I9537" s="25" t="n"/>
      <c r="U9537" s="19">
        <f>IF(AND($V9537='設定'!$C$4,COUNTIF('商品マスタ'!$B$6:$B$1005,$W9537)=0),N(U9536)+1,N(U9536))</f>
        <v/>
      </c>
      <c r="V9537" s="19">
        <f>IF($B9537="","",TEXT($B9537,"0000"))</f>
        <v/>
      </c>
      <c r="W9537" s="19">
        <f>IF($I9537="","",IF(ISNUMBER($I9537),TEXT($I9537,"0"),$I9537))</f>
        <v/>
      </c>
    </row>
    <row r="9538">
      <c r="B9538" s="25" t="n"/>
      <c r="I9538" s="25" t="n"/>
      <c r="U9538" s="19">
        <f>IF(AND($V9538='設定'!$C$4,COUNTIF('商品マスタ'!$B$6:$B$1005,$W9538)=0),N(U9537)+1,N(U9537))</f>
        <v/>
      </c>
      <c r="V9538" s="19">
        <f>IF($B9538="","",TEXT($B9538,"0000"))</f>
        <v/>
      </c>
      <c r="W9538" s="19">
        <f>IF($I9538="","",IF(ISNUMBER($I9538),TEXT($I9538,"0"),$I9538))</f>
        <v/>
      </c>
    </row>
    <row r="9539">
      <c r="B9539" s="25" t="n"/>
      <c r="I9539" s="25" t="n"/>
      <c r="U9539" s="19">
        <f>IF(AND($V9539='設定'!$C$4,COUNTIF('商品マスタ'!$B$6:$B$1005,$W9539)=0),N(U9538)+1,N(U9538))</f>
        <v/>
      </c>
      <c r="V9539" s="19">
        <f>IF($B9539="","",TEXT($B9539,"0000"))</f>
        <v/>
      </c>
      <c r="W9539" s="19">
        <f>IF($I9539="","",IF(ISNUMBER($I9539),TEXT($I9539,"0"),$I9539))</f>
        <v/>
      </c>
    </row>
    <row r="9540">
      <c r="B9540" s="25" t="n"/>
      <c r="I9540" s="25" t="n"/>
      <c r="U9540" s="19">
        <f>IF(AND($V9540='設定'!$C$4,COUNTIF('商品マスタ'!$B$6:$B$1005,$W9540)=0),N(U9539)+1,N(U9539))</f>
        <v/>
      </c>
      <c r="V9540" s="19">
        <f>IF($B9540="","",TEXT($B9540,"0000"))</f>
        <v/>
      </c>
      <c r="W9540" s="19">
        <f>IF($I9540="","",IF(ISNUMBER($I9540),TEXT($I9540,"0"),$I9540))</f>
        <v/>
      </c>
    </row>
    <row r="9541">
      <c r="B9541" s="25" t="n"/>
      <c r="I9541" s="25" t="n"/>
      <c r="U9541" s="19">
        <f>IF(AND($V9541='設定'!$C$4,COUNTIF('商品マスタ'!$B$6:$B$1005,$W9541)=0),N(U9540)+1,N(U9540))</f>
        <v/>
      </c>
      <c r="V9541" s="19">
        <f>IF($B9541="","",TEXT($B9541,"0000"))</f>
        <v/>
      </c>
      <c r="W9541" s="19">
        <f>IF($I9541="","",IF(ISNUMBER($I9541),TEXT($I9541,"0"),$I9541))</f>
        <v/>
      </c>
    </row>
    <row r="9542">
      <c r="B9542" s="25" t="n"/>
      <c r="I9542" s="25" t="n"/>
      <c r="U9542" s="19">
        <f>IF(AND($V9542='設定'!$C$4,COUNTIF('商品マスタ'!$B$6:$B$1005,$W9542)=0),N(U9541)+1,N(U9541))</f>
        <v/>
      </c>
      <c r="V9542" s="19">
        <f>IF($B9542="","",TEXT($B9542,"0000"))</f>
        <v/>
      </c>
      <c r="W9542" s="19">
        <f>IF($I9542="","",IF(ISNUMBER($I9542),TEXT($I9542,"0"),$I9542))</f>
        <v/>
      </c>
    </row>
    <row r="9543">
      <c r="B9543" s="25" t="n"/>
      <c r="I9543" s="25" t="n"/>
      <c r="U9543" s="19">
        <f>IF(AND($V9543='設定'!$C$4,COUNTIF('商品マスタ'!$B$6:$B$1005,$W9543)=0),N(U9542)+1,N(U9542))</f>
        <v/>
      </c>
      <c r="V9543" s="19">
        <f>IF($B9543="","",TEXT($B9543,"0000"))</f>
        <v/>
      </c>
      <c r="W9543" s="19">
        <f>IF($I9543="","",IF(ISNUMBER($I9543),TEXT($I9543,"0"),$I9543))</f>
        <v/>
      </c>
    </row>
    <row r="9544">
      <c r="B9544" s="25" t="n"/>
      <c r="I9544" s="25" t="n"/>
      <c r="U9544" s="19">
        <f>IF(AND($V9544='設定'!$C$4,COUNTIF('商品マスタ'!$B$6:$B$1005,$W9544)=0),N(U9543)+1,N(U9543))</f>
        <v/>
      </c>
      <c r="V9544" s="19">
        <f>IF($B9544="","",TEXT($B9544,"0000"))</f>
        <v/>
      </c>
      <c r="W9544" s="19">
        <f>IF($I9544="","",IF(ISNUMBER($I9544),TEXT($I9544,"0"),$I9544))</f>
        <v/>
      </c>
    </row>
    <row r="9545">
      <c r="B9545" s="25" t="n"/>
      <c r="I9545" s="25" t="n"/>
      <c r="U9545" s="19">
        <f>IF(AND($V9545='設定'!$C$4,COUNTIF('商品マスタ'!$B$6:$B$1005,$W9545)=0),N(U9544)+1,N(U9544))</f>
        <v/>
      </c>
      <c r="V9545" s="19">
        <f>IF($B9545="","",TEXT($B9545,"0000"))</f>
        <v/>
      </c>
      <c r="W9545" s="19">
        <f>IF($I9545="","",IF(ISNUMBER($I9545),TEXT($I9545,"0"),$I9545))</f>
        <v/>
      </c>
    </row>
    <row r="9546">
      <c r="B9546" s="25" t="n"/>
      <c r="I9546" s="25" t="n"/>
      <c r="U9546" s="19">
        <f>IF(AND($V9546='設定'!$C$4,COUNTIF('商品マスタ'!$B$6:$B$1005,$W9546)=0),N(U9545)+1,N(U9545))</f>
        <v/>
      </c>
      <c r="V9546" s="19">
        <f>IF($B9546="","",TEXT($B9546,"0000"))</f>
        <v/>
      </c>
      <c r="W9546" s="19">
        <f>IF($I9546="","",IF(ISNUMBER($I9546),TEXT($I9546,"0"),$I9546))</f>
        <v/>
      </c>
    </row>
    <row r="9547">
      <c r="B9547" s="25" t="n"/>
      <c r="I9547" s="25" t="n"/>
      <c r="U9547" s="19">
        <f>IF(AND($V9547='設定'!$C$4,COUNTIF('商品マスタ'!$B$6:$B$1005,$W9547)=0),N(U9546)+1,N(U9546))</f>
        <v/>
      </c>
      <c r="V9547" s="19">
        <f>IF($B9547="","",TEXT($B9547,"0000"))</f>
        <v/>
      </c>
      <c r="W9547" s="19">
        <f>IF($I9547="","",IF(ISNUMBER($I9547),TEXT($I9547,"0"),$I9547))</f>
        <v/>
      </c>
    </row>
    <row r="9548">
      <c r="B9548" s="25" t="n"/>
      <c r="I9548" s="25" t="n"/>
      <c r="U9548" s="19">
        <f>IF(AND($V9548='設定'!$C$4,COUNTIF('商品マスタ'!$B$6:$B$1005,$W9548)=0),N(U9547)+1,N(U9547))</f>
        <v/>
      </c>
      <c r="V9548" s="19">
        <f>IF($B9548="","",TEXT($B9548,"0000"))</f>
        <v/>
      </c>
      <c r="W9548" s="19">
        <f>IF($I9548="","",IF(ISNUMBER($I9548),TEXT($I9548,"0"),$I9548))</f>
        <v/>
      </c>
    </row>
    <row r="9549">
      <c r="B9549" s="25" t="n"/>
      <c r="I9549" s="25" t="n"/>
      <c r="U9549" s="19">
        <f>IF(AND($V9549='設定'!$C$4,COUNTIF('商品マスタ'!$B$6:$B$1005,$W9549)=0),N(U9548)+1,N(U9548))</f>
        <v/>
      </c>
      <c r="V9549" s="19">
        <f>IF($B9549="","",TEXT($B9549,"0000"))</f>
        <v/>
      </c>
      <c r="W9549" s="19">
        <f>IF($I9549="","",IF(ISNUMBER($I9549),TEXT($I9549,"0"),$I9549))</f>
        <v/>
      </c>
    </row>
    <row r="9550">
      <c r="B9550" s="25" t="n"/>
      <c r="I9550" s="25" t="n"/>
      <c r="U9550" s="19">
        <f>IF(AND($V9550='設定'!$C$4,COUNTIF('商品マスタ'!$B$6:$B$1005,$W9550)=0),N(U9549)+1,N(U9549))</f>
        <v/>
      </c>
      <c r="V9550" s="19">
        <f>IF($B9550="","",TEXT($B9550,"0000"))</f>
        <v/>
      </c>
      <c r="W9550" s="19">
        <f>IF($I9550="","",IF(ISNUMBER($I9550),TEXT($I9550,"0"),$I9550))</f>
        <v/>
      </c>
    </row>
    <row r="9551">
      <c r="B9551" s="25" t="n"/>
      <c r="I9551" s="25" t="n"/>
      <c r="U9551" s="19">
        <f>IF(AND($V9551='設定'!$C$4,COUNTIF('商品マスタ'!$B$6:$B$1005,$W9551)=0),N(U9550)+1,N(U9550))</f>
        <v/>
      </c>
      <c r="V9551" s="19">
        <f>IF($B9551="","",TEXT($B9551,"0000"))</f>
        <v/>
      </c>
      <c r="W9551" s="19">
        <f>IF($I9551="","",IF(ISNUMBER($I9551),TEXT($I9551,"0"),$I9551))</f>
        <v/>
      </c>
    </row>
    <row r="9552">
      <c r="B9552" s="25" t="n"/>
      <c r="I9552" s="25" t="n"/>
      <c r="U9552" s="19">
        <f>IF(AND($V9552='設定'!$C$4,COUNTIF('商品マスタ'!$B$6:$B$1005,$W9552)=0),N(U9551)+1,N(U9551))</f>
        <v/>
      </c>
      <c r="V9552" s="19">
        <f>IF($B9552="","",TEXT($B9552,"0000"))</f>
        <v/>
      </c>
      <c r="W9552" s="19">
        <f>IF($I9552="","",IF(ISNUMBER($I9552),TEXT($I9552,"0"),$I9552))</f>
        <v/>
      </c>
    </row>
    <row r="9553">
      <c r="B9553" s="25" t="n"/>
      <c r="I9553" s="25" t="n"/>
      <c r="U9553" s="19">
        <f>IF(AND($V9553='設定'!$C$4,COUNTIF('商品マスタ'!$B$6:$B$1005,$W9553)=0),N(U9552)+1,N(U9552))</f>
        <v/>
      </c>
      <c r="V9553" s="19">
        <f>IF($B9553="","",TEXT($B9553,"0000"))</f>
        <v/>
      </c>
      <c r="W9553" s="19">
        <f>IF($I9553="","",IF(ISNUMBER($I9553),TEXT($I9553,"0"),$I9553))</f>
        <v/>
      </c>
    </row>
    <row r="9554">
      <c r="B9554" s="25" t="n"/>
      <c r="I9554" s="25" t="n"/>
      <c r="U9554" s="19">
        <f>IF(AND($V9554='設定'!$C$4,COUNTIF('商品マスタ'!$B$6:$B$1005,$W9554)=0),N(U9553)+1,N(U9553))</f>
        <v/>
      </c>
      <c r="V9554" s="19">
        <f>IF($B9554="","",TEXT($B9554,"0000"))</f>
        <v/>
      </c>
      <c r="W9554" s="19">
        <f>IF($I9554="","",IF(ISNUMBER($I9554),TEXT($I9554,"0"),$I9554))</f>
        <v/>
      </c>
    </row>
    <row r="9555">
      <c r="B9555" s="25" t="n"/>
      <c r="I9555" s="25" t="n"/>
      <c r="U9555" s="19">
        <f>IF(AND($V9555='設定'!$C$4,COUNTIF('商品マスタ'!$B$6:$B$1005,$W9555)=0),N(U9554)+1,N(U9554))</f>
        <v/>
      </c>
      <c r="V9555" s="19">
        <f>IF($B9555="","",TEXT($B9555,"0000"))</f>
        <v/>
      </c>
      <c r="W9555" s="19">
        <f>IF($I9555="","",IF(ISNUMBER($I9555),TEXT($I9555,"0"),$I9555))</f>
        <v/>
      </c>
    </row>
    <row r="9556">
      <c r="B9556" s="25" t="n"/>
      <c r="I9556" s="25" t="n"/>
      <c r="U9556" s="19">
        <f>IF(AND($V9556='設定'!$C$4,COUNTIF('商品マスタ'!$B$6:$B$1005,$W9556)=0),N(U9555)+1,N(U9555))</f>
        <v/>
      </c>
      <c r="V9556" s="19">
        <f>IF($B9556="","",TEXT($B9556,"0000"))</f>
        <v/>
      </c>
      <c r="W9556" s="19">
        <f>IF($I9556="","",IF(ISNUMBER($I9556),TEXT($I9556,"0"),$I9556))</f>
        <v/>
      </c>
    </row>
    <row r="9557">
      <c r="B9557" s="25" t="n"/>
      <c r="I9557" s="25" t="n"/>
      <c r="U9557" s="19">
        <f>IF(AND($V9557='設定'!$C$4,COUNTIF('商品マスタ'!$B$6:$B$1005,$W9557)=0),N(U9556)+1,N(U9556))</f>
        <v/>
      </c>
      <c r="V9557" s="19">
        <f>IF($B9557="","",TEXT($B9557,"0000"))</f>
        <v/>
      </c>
      <c r="W9557" s="19">
        <f>IF($I9557="","",IF(ISNUMBER($I9557),TEXT($I9557,"0"),$I9557))</f>
        <v/>
      </c>
    </row>
    <row r="9558">
      <c r="B9558" s="25" t="n"/>
      <c r="I9558" s="25" t="n"/>
      <c r="U9558" s="19">
        <f>IF(AND($V9558='設定'!$C$4,COUNTIF('商品マスタ'!$B$6:$B$1005,$W9558)=0),N(U9557)+1,N(U9557))</f>
        <v/>
      </c>
      <c r="V9558" s="19">
        <f>IF($B9558="","",TEXT($B9558,"0000"))</f>
        <v/>
      </c>
      <c r="W9558" s="19">
        <f>IF($I9558="","",IF(ISNUMBER($I9558),TEXT($I9558,"0"),$I9558))</f>
        <v/>
      </c>
    </row>
    <row r="9559">
      <c r="B9559" s="25" t="n"/>
      <c r="I9559" s="25" t="n"/>
      <c r="U9559" s="19">
        <f>IF(AND($V9559='設定'!$C$4,COUNTIF('商品マスタ'!$B$6:$B$1005,$W9559)=0),N(U9558)+1,N(U9558))</f>
        <v/>
      </c>
      <c r="V9559" s="19">
        <f>IF($B9559="","",TEXT($B9559,"0000"))</f>
        <v/>
      </c>
      <c r="W9559" s="19">
        <f>IF($I9559="","",IF(ISNUMBER($I9559),TEXT($I9559,"0"),$I9559))</f>
        <v/>
      </c>
    </row>
    <row r="9560">
      <c r="B9560" s="25" t="n"/>
      <c r="I9560" s="25" t="n"/>
      <c r="U9560" s="19">
        <f>IF(AND($V9560='設定'!$C$4,COUNTIF('商品マスタ'!$B$6:$B$1005,$W9560)=0),N(U9559)+1,N(U9559))</f>
        <v/>
      </c>
      <c r="V9560" s="19">
        <f>IF($B9560="","",TEXT($B9560,"0000"))</f>
        <v/>
      </c>
      <c r="W9560" s="19">
        <f>IF($I9560="","",IF(ISNUMBER($I9560),TEXT($I9560,"0"),$I9560))</f>
        <v/>
      </c>
    </row>
    <row r="9561">
      <c r="B9561" s="25" t="n"/>
      <c r="I9561" s="25" t="n"/>
      <c r="U9561" s="19">
        <f>IF(AND($V9561='設定'!$C$4,COUNTIF('商品マスタ'!$B$6:$B$1005,$W9561)=0),N(U9560)+1,N(U9560))</f>
        <v/>
      </c>
      <c r="V9561" s="19">
        <f>IF($B9561="","",TEXT($B9561,"0000"))</f>
        <v/>
      </c>
      <c r="W9561" s="19">
        <f>IF($I9561="","",IF(ISNUMBER($I9561),TEXT($I9561,"0"),$I9561))</f>
        <v/>
      </c>
    </row>
    <row r="9562">
      <c r="B9562" s="25" t="n"/>
      <c r="I9562" s="25" t="n"/>
      <c r="U9562" s="19">
        <f>IF(AND($V9562='設定'!$C$4,COUNTIF('商品マスタ'!$B$6:$B$1005,$W9562)=0),N(U9561)+1,N(U9561))</f>
        <v/>
      </c>
      <c r="V9562" s="19">
        <f>IF($B9562="","",TEXT($B9562,"0000"))</f>
        <v/>
      </c>
      <c r="W9562" s="19">
        <f>IF($I9562="","",IF(ISNUMBER($I9562),TEXT($I9562,"0"),$I9562))</f>
        <v/>
      </c>
    </row>
    <row r="9563">
      <c r="B9563" s="25" t="n"/>
      <c r="I9563" s="25" t="n"/>
      <c r="U9563" s="19">
        <f>IF(AND($V9563='設定'!$C$4,COUNTIF('商品マスタ'!$B$6:$B$1005,$W9563)=0),N(U9562)+1,N(U9562))</f>
        <v/>
      </c>
      <c r="V9563" s="19">
        <f>IF($B9563="","",TEXT($B9563,"0000"))</f>
        <v/>
      </c>
      <c r="W9563" s="19">
        <f>IF($I9563="","",IF(ISNUMBER($I9563),TEXT($I9563,"0"),$I9563))</f>
        <v/>
      </c>
    </row>
    <row r="9564">
      <c r="B9564" s="25" t="n"/>
      <c r="I9564" s="25" t="n"/>
      <c r="U9564" s="19">
        <f>IF(AND($V9564='設定'!$C$4,COUNTIF('商品マスタ'!$B$6:$B$1005,$W9564)=0),N(U9563)+1,N(U9563))</f>
        <v/>
      </c>
      <c r="V9564" s="19">
        <f>IF($B9564="","",TEXT($B9564,"0000"))</f>
        <v/>
      </c>
      <c r="W9564" s="19">
        <f>IF($I9564="","",IF(ISNUMBER($I9564),TEXT($I9564,"0"),$I9564))</f>
        <v/>
      </c>
    </row>
    <row r="9565">
      <c r="B9565" s="25" t="n"/>
      <c r="I9565" s="25" t="n"/>
      <c r="U9565" s="19">
        <f>IF(AND($V9565='設定'!$C$4,COUNTIF('商品マスタ'!$B$6:$B$1005,$W9565)=0),N(U9564)+1,N(U9564))</f>
        <v/>
      </c>
      <c r="V9565" s="19">
        <f>IF($B9565="","",TEXT($B9565,"0000"))</f>
        <v/>
      </c>
      <c r="W9565" s="19">
        <f>IF($I9565="","",IF(ISNUMBER($I9565),TEXT($I9565,"0"),$I9565))</f>
        <v/>
      </c>
    </row>
    <row r="9566">
      <c r="B9566" s="25" t="n"/>
      <c r="I9566" s="25" t="n"/>
      <c r="U9566" s="19">
        <f>IF(AND($V9566='設定'!$C$4,COUNTIF('商品マスタ'!$B$6:$B$1005,$W9566)=0),N(U9565)+1,N(U9565))</f>
        <v/>
      </c>
      <c r="V9566" s="19">
        <f>IF($B9566="","",TEXT($B9566,"0000"))</f>
        <v/>
      </c>
      <c r="W9566" s="19">
        <f>IF($I9566="","",IF(ISNUMBER($I9566),TEXT($I9566,"0"),$I9566))</f>
        <v/>
      </c>
    </row>
    <row r="9567">
      <c r="B9567" s="25" t="n"/>
      <c r="I9567" s="25" t="n"/>
      <c r="U9567" s="19">
        <f>IF(AND($V9567='設定'!$C$4,COUNTIF('商品マスタ'!$B$6:$B$1005,$W9567)=0),N(U9566)+1,N(U9566))</f>
        <v/>
      </c>
      <c r="V9567" s="19">
        <f>IF($B9567="","",TEXT($B9567,"0000"))</f>
        <v/>
      </c>
      <c r="W9567" s="19">
        <f>IF($I9567="","",IF(ISNUMBER($I9567),TEXT($I9567,"0"),$I9567))</f>
        <v/>
      </c>
    </row>
    <row r="9568">
      <c r="B9568" s="25" t="n"/>
      <c r="I9568" s="25" t="n"/>
      <c r="U9568" s="19">
        <f>IF(AND($V9568='設定'!$C$4,COUNTIF('商品マスタ'!$B$6:$B$1005,$W9568)=0),N(U9567)+1,N(U9567))</f>
        <v/>
      </c>
      <c r="V9568" s="19">
        <f>IF($B9568="","",TEXT($B9568,"0000"))</f>
        <v/>
      </c>
      <c r="W9568" s="19">
        <f>IF($I9568="","",IF(ISNUMBER($I9568),TEXT($I9568,"0"),$I9568))</f>
        <v/>
      </c>
    </row>
    <row r="9569">
      <c r="B9569" s="25" t="n"/>
      <c r="I9569" s="25" t="n"/>
      <c r="U9569" s="19">
        <f>IF(AND($V9569='設定'!$C$4,COUNTIF('商品マスタ'!$B$6:$B$1005,$W9569)=0),N(U9568)+1,N(U9568))</f>
        <v/>
      </c>
      <c r="V9569" s="19">
        <f>IF($B9569="","",TEXT($B9569,"0000"))</f>
        <v/>
      </c>
      <c r="W9569" s="19">
        <f>IF($I9569="","",IF(ISNUMBER($I9569),TEXT($I9569,"0"),$I9569))</f>
        <v/>
      </c>
    </row>
    <row r="9570">
      <c r="B9570" s="25" t="n"/>
      <c r="I9570" s="25" t="n"/>
      <c r="U9570" s="19">
        <f>IF(AND($V9570='設定'!$C$4,COUNTIF('商品マスタ'!$B$6:$B$1005,$W9570)=0),N(U9569)+1,N(U9569))</f>
        <v/>
      </c>
      <c r="V9570" s="19">
        <f>IF($B9570="","",TEXT($B9570,"0000"))</f>
        <v/>
      </c>
      <c r="W9570" s="19">
        <f>IF($I9570="","",IF(ISNUMBER($I9570),TEXT($I9570,"0"),$I9570))</f>
        <v/>
      </c>
    </row>
    <row r="9571">
      <c r="B9571" s="25" t="n"/>
      <c r="I9571" s="25" t="n"/>
      <c r="U9571" s="19">
        <f>IF(AND($V9571='設定'!$C$4,COUNTIF('商品マスタ'!$B$6:$B$1005,$W9571)=0),N(U9570)+1,N(U9570))</f>
        <v/>
      </c>
      <c r="V9571" s="19">
        <f>IF($B9571="","",TEXT($B9571,"0000"))</f>
        <v/>
      </c>
      <c r="W9571" s="19">
        <f>IF($I9571="","",IF(ISNUMBER($I9571),TEXT($I9571,"0"),$I9571))</f>
        <v/>
      </c>
    </row>
    <row r="9572">
      <c r="B9572" s="25" t="n"/>
      <c r="I9572" s="25" t="n"/>
      <c r="U9572" s="19">
        <f>IF(AND($V9572='設定'!$C$4,COUNTIF('商品マスタ'!$B$6:$B$1005,$W9572)=0),N(U9571)+1,N(U9571))</f>
        <v/>
      </c>
      <c r="V9572" s="19">
        <f>IF($B9572="","",TEXT($B9572,"0000"))</f>
        <v/>
      </c>
      <c r="W9572" s="19">
        <f>IF($I9572="","",IF(ISNUMBER($I9572),TEXT($I9572,"0"),$I9572))</f>
        <v/>
      </c>
    </row>
    <row r="9573">
      <c r="B9573" s="25" t="n"/>
      <c r="I9573" s="25" t="n"/>
      <c r="U9573" s="19">
        <f>IF(AND($V9573='設定'!$C$4,COUNTIF('商品マスタ'!$B$6:$B$1005,$W9573)=0),N(U9572)+1,N(U9572))</f>
        <v/>
      </c>
      <c r="V9573" s="19">
        <f>IF($B9573="","",TEXT($B9573,"0000"))</f>
        <v/>
      </c>
      <c r="W9573" s="19">
        <f>IF($I9573="","",IF(ISNUMBER($I9573),TEXT($I9573,"0"),$I9573))</f>
        <v/>
      </c>
    </row>
    <row r="9574">
      <c r="B9574" s="25" t="n"/>
      <c r="I9574" s="25" t="n"/>
      <c r="U9574" s="19">
        <f>IF(AND($V9574='設定'!$C$4,COUNTIF('商品マスタ'!$B$6:$B$1005,$W9574)=0),N(U9573)+1,N(U9573))</f>
        <v/>
      </c>
      <c r="V9574" s="19">
        <f>IF($B9574="","",TEXT($B9574,"0000"))</f>
        <v/>
      </c>
      <c r="W9574" s="19">
        <f>IF($I9574="","",IF(ISNUMBER($I9574),TEXT($I9574,"0"),$I9574))</f>
        <v/>
      </c>
    </row>
    <row r="9575">
      <c r="B9575" s="25" t="n"/>
      <c r="I9575" s="25" t="n"/>
      <c r="U9575" s="19">
        <f>IF(AND($V9575='設定'!$C$4,COUNTIF('商品マスタ'!$B$6:$B$1005,$W9575)=0),N(U9574)+1,N(U9574))</f>
        <v/>
      </c>
      <c r="V9575" s="19">
        <f>IF($B9575="","",TEXT($B9575,"0000"))</f>
        <v/>
      </c>
      <c r="W9575" s="19">
        <f>IF($I9575="","",IF(ISNUMBER($I9575),TEXT($I9575,"0"),$I9575))</f>
        <v/>
      </c>
    </row>
    <row r="9576">
      <c r="B9576" s="25" t="n"/>
      <c r="I9576" s="25" t="n"/>
      <c r="U9576" s="19">
        <f>IF(AND($V9576='設定'!$C$4,COUNTIF('商品マスタ'!$B$6:$B$1005,$W9576)=0),N(U9575)+1,N(U9575))</f>
        <v/>
      </c>
      <c r="V9576" s="19">
        <f>IF($B9576="","",TEXT($B9576,"0000"))</f>
        <v/>
      </c>
      <c r="W9576" s="19">
        <f>IF($I9576="","",IF(ISNUMBER($I9576),TEXT($I9576,"0"),$I9576))</f>
        <v/>
      </c>
    </row>
    <row r="9577">
      <c r="B9577" s="25" t="n"/>
      <c r="I9577" s="25" t="n"/>
      <c r="U9577" s="19">
        <f>IF(AND($V9577='設定'!$C$4,COUNTIF('商品マスタ'!$B$6:$B$1005,$W9577)=0),N(U9576)+1,N(U9576))</f>
        <v/>
      </c>
      <c r="V9577" s="19">
        <f>IF($B9577="","",TEXT($B9577,"0000"))</f>
        <v/>
      </c>
      <c r="W9577" s="19">
        <f>IF($I9577="","",IF(ISNUMBER($I9577),TEXT($I9577,"0"),$I9577))</f>
        <v/>
      </c>
    </row>
    <row r="9578">
      <c r="B9578" s="25" t="n"/>
      <c r="I9578" s="25" t="n"/>
      <c r="U9578" s="19">
        <f>IF(AND($V9578='設定'!$C$4,COUNTIF('商品マスタ'!$B$6:$B$1005,$W9578)=0),N(U9577)+1,N(U9577))</f>
        <v/>
      </c>
      <c r="V9578" s="19">
        <f>IF($B9578="","",TEXT($B9578,"0000"))</f>
        <v/>
      </c>
      <c r="W9578" s="19">
        <f>IF($I9578="","",IF(ISNUMBER($I9578),TEXT($I9578,"0"),$I9578))</f>
        <v/>
      </c>
    </row>
    <row r="9579">
      <c r="B9579" s="25" t="n"/>
      <c r="I9579" s="25" t="n"/>
      <c r="U9579" s="19">
        <f>IF(AND($V9579='設定'!$C$4,COUNTIF('商品マスタ'!$B$6:$B$1005,$W9579)=0),N(U9578)+1,N(U9578))</f>
        <v/>
      </c>
      <c r="V9579" s="19">
        <f>IF($B9579="","",TEXT($B9579,"0000"))</f>
        <v/>
      </c>
      <c r="W9579" s="19">
        <f>IF($I9579="","",IF(ISNUMBER($I9579),TEXT($I9579,"0"),$I9579))</f>
        <v/>
      </c>
    </row>
    <row r="9580">
      <c r="B9580" s="25" t="n"/>
      <c r="I9580" s="25" t="n"/>
      <c r="U9580" s="19">
        <f>IF(AND($V9580='設定'!$C$4,COUNTIF('商品マスタ'!$B$6:$B$1005,$W9580)=0),N(U9579)+1,N(U9579))</f>
        <v/>
      </c>
      <c r="V9580" s="19">
        <f>IF($B9580="","",TEXT($B9580,"0000"))</f>
        <v/>
      </c>
      <c r="W9580" s="19">
        <f>IF($I9580="","",IF(ISNUMBER($I9580),TEXT($I9580,"0"),$I9580))</f>
        <v/>
      </c>
    </row>
    <row r="9581">
      <c r="B9581" s="25" t="n"/>
      <c r="I9581" s="25" t="n"/>
      <c r="U9581" s="19">
        <f>IF(AND($V9581='設定'!$C$4,COUNTIF('商品マスタ'!$B$6:$B$1005,$W9581)=0),N(U9580)+1,N(U9580))</f>
        <v/>
      </c>
      <c r="V9581" s="19">
        <f>IF($B9581="","",TEXT($B9581,"0000"))</f>
        <v/>
      </c>
      <c r="W9581" s="19">
        <f>IF($I9581="","",IF(ISNUMBER($I9581),TEXT($I9581,"0"),$I9581))</f>
        <v/>
      </c>
    </row>
    <row r="9582">
      <c r="B9582" s="25" t="n"/>
      <c r="I9582" s="25" t="n"/>
      <c r="U9582" s="19">
        <f>IF(AND($V9582='設定'!$C$4,COUNTIF('商品マスタ'!$B$6:$B$1005,$W9582)=0),N(U9581)+1,N(U9581))</f>
        <v/>
      </c>
      <c r="V9582" s="19">
        <f>IF($B9582="","",TEXT($B9582,"0000"))</f>
        <v/>
      </c>
      <c r="W9582" s="19">
        <f>IF($I9582="","",IF(ISNUMBER($I9582),TEXT($I9582,"0"),$I9582))</f>
        <v/>
      </c>
    </row>
    <row r="9583">
      <c r="B9583" s="25" t="n"/>
      <c r="I9583" s="25" t="n"/>
      <c r="U9583" s="19">
        <f>IF(AND($V9583='設定'!$C$4,COUNTIF('商品マスタ'!$B$6:$B$1005,$W9583)=0),N(U9582)+1,N(U9582))</f>
        <v/>
      </c>
      <c r="V9583" s="19">
        <f>IF($B9583="","",TEXT($B9583,"0000"))</f>
        <v/>
      </c>
      <c r="W9583" s="19">
        <f>IF($I9583="","",IF(ISNUMBER($I9583),TEXT($I9583,"0"),$I9583))</f>
        <v/>
      </c>
    </row>
    <row r="9584">
      <c r="B9584" s="25" t="n"/>
      <c r="I9584" s="25" t="n"/>
      <c r="U9584" s="19">
        <f>IF(AND($V9584='設定'!$C$4,COUNTIF('商品マスタ'!$B$6:$B$1005,$W9584)=0),N(U9583)+1,N(U9583))</f>
        <v/>
      </c>
      <c r="V9584" s="19">
        <f>IF($B9584="","",TEXT($B9584,"0000"))</f>
        <v/>
      </c>
      <c r="W9584" s="19">
        <f>IF($I9584="","",IF(ISNUMBER($I9584),TEXT($I9584,"0"),$I9584))</f>
        <v/>
      </c>
    </row>
    <row r="9585">
      <c r="B9585" s="25" t="n"/>
      <c r="I9585" s="25" t="n"/>
      <c r="U9585" s="19">
        <f>IF(AND($V9585='設定'!$C$4,COUNTIF('商品マスタ'!$B$6:$B$1005,$W9585)=0),N(U9584)+1,N(U9584))</f>
        <v/>
      </c>
      <c r="V9585" s="19">
        <f>IF($B9585="","",TEXT($B9585,"0000"))</f>
        <v/>
      </c>
      <c r="W9585" s="19">
        <f>IF($I9585="","",IF(ISNUMBER($I9585),TEXT($I9585,"0"),$I9585))</f>
        <v/>
      </c>
    </row>
    <row r="9586">
      <c r="B9586" s="25" t="n"/>
      <c r="I9586" s="25" t="n"/>
      <c r="U9586" s="19">
        <f>IF(AND($V9586='設定'!$C$4,COUNTIF('商品マスタ'!$B$6:$B$1005,$W9586)=0),N(U9585)+1,N(U9585))</f>
        <v/>
      </c>
      <c r="V9586" s="19">
        <f>IF($B9586="","",TEXT($B9586,"0000"))</f>
        <v/>
      </c>
      <c r="W9586" s="19">
        <f>IF($I9586="","",IF(ISNUMBER($I9586),TEXT($I9586,"0"),$I9586))</f>
        <v/>
      </c>
    </row>
    <row r="9587">
      <c r="B9587" s="25" t="n"/>
      <c r="I9587" s="25" t="n"/>
      <c r="U9587" s="19">
        <f>IF(AND($V9587='設定'!$C$4,COUNTIF('商品マスタ'!$B$6:$B$1005,$W9587)=0),N(U9586)+1,N(U9586))</f>
        <v/>
      </c>
      <c r="V9587" s="19">
        <f>IF($B9587="","",TEXT($B9587,"0000"))</f>
        <v/>
      </c>
      <c r="W9587" s="19">
        <f>IF($I9587="","",IF(ISNUMBER($I9587),TEXT($I9587,"0"),$I9587))</f>
        <v/>
      </c>
    </row>
    <row r="9588">
      <c r="B9588" s="25" t="n"/>
      <c r="I9588" s="25" t="n"/>
      <c r="U9588" s="19">
        <f>IF(AND($V9588='設定'!$C$4,COUNTIF('商品マスタ'!$B$6:$B$1005,$W9588)=0),N(U9587)+1,N(U9587))</f>
        <v/>
      </c>
      <c r="V9588" s="19">
        <f>IF($B9588="","",TEXT($B9588,"0000"))</f>
        <v/>
      </c>
      <c r="W9588" s="19">
        <f>IF($I9588="","",IF(ISNUMBER($I9588),TEXT($I9588,"0"),$I9588))</f>
        <v/>
      </c>
    </row>
    <row r="9589">
      <c r="B9589" s="25" t="n"/>
      <c r="I9589" s="25" t="n"/>
      <c r="U9589" s="19">
        <f>IF(AND($V9589='設定'!$C$4,COUNTIF('商品マスタ'!$B$6:$B$1005,$W9589)=0),N(U9588)+1,N(U9588))</f>
        <v/>
      </c>
      <c r="V9589" s="19">
        <f>IF($B9589="","",TEXT($B9589,"0000"))</f>
        <v/>
      </c>
      <c r="W9589" s="19">
        <f>IF($I9589="","",IF(ISNUMBER($I9589),TEXT($I9589,"0"),$I9589))</f>
        <v/>
      </c>
    </row>
    <row r="9590">
      <c r="B9590" s="25" t="n"/>
      <c r="I9590" s="25" t="n"/>
      <c r="U9590" s="19">
        <f>IF(AND($V9590='設定'!$C$4,COUNTIF('商品マスタ'!$B$6:$B$1005,$W9590)=0),N(U9589)+1,N(U9589))</f>
        <v/>
      </c>
      <c r="V9590" s="19">
        <f>IF($B9590="","",TEXT($B9590,"0000"))</f>
        <v/>
      </c>
      <c r="W9590" s="19">
        <f>IF($I9590="","",IF(ISNUMBER($I9590),TEXT($I9590,"0"),$I9590))</f>
        <v/>
      </c>
    </row>
    <row r="9591">
      <c r="B9591" s="25" t="n"/>
      <c r="I9591" s="25" t="n"/>
      <c r="U9591" s="19">
        <f>IF(AND($V9591='設定'!$C$4,COUNTIF('商品マスタ'!$B$6:$B$1005,$W9591)=0),N(U9590)+1,N(U9590))</f>
        <v/>
      </c>
      <c r="V9591" s="19">
        <f>IF($B9591="","",TEXT($B9591,"0000"))</f>
        <v/>
      </c>
      <c r="W9591" s="19">
        <f>IF($I9591="","",IF(ISNUMBER($I9591),TEXT($I9591,"0"),$I9591))</f>
        <v/>
      </c>
    </row>
    <row r="9592">
      <c r="B9592" s="25" t="n"/>
      <c r="I9592" s="25" t="n"/>
      <c r="U9592" s="19">
        <f>IF(AND($V9592='設定'!$C$4,COUNTIF('商品マスタ'!$B$6:$B$1005,$W9592)=0),N(U9591)+1,N(U9591))</f>
        <v/>
      </c>
      <c r="V9592" s="19">
        <f>IF($B9592="","",TEXT($B9592,"0000"))</f>
        <v/>
      </c>
      <c r="W9592" s="19">
        <f>IF($I9592="","",IF(ISNUMBER($I9592),TEXT($I9592,"0"),$I9592))</f>
        <v/>
      </c>
    </row>
    <row r="9593">
      <c r="B9593" s="25" t="n"/>
      <c r="I9593" s="25" t="n"/>
      <c r="U9593" s="19">
        <f>IF(AND($V9593='設定'!$C$4,COUNTIF('商品マスタ'!$B$6:$B$1005,$W9593)=0),N(U9592)+1,N(U9592))</f>
        <v/>
      </c>
      <c r="V9593" s="19">
        <f>IF($B9593="","",TEXT($B9593,"0000"))</f>
        <v/>
      </c>
      <c r="W9593" s="19">
        <f>IF($I9593="","",IF(ISNUMBER($I9593),TEXT($I9593,"0"),$I9593))</f>
        <v/>
      </c>
    </row>
    <row r="9594">
      <c r="B9594" s="25" t="n"/>
      <c r="I9594" s="25" t="n"/>
      <c r="U9594" s="19">
        <f>IF(AND($V9594='設定'!$C$4,COUNTIF('商品マスタ'!$B$6:$B$1005,$W9594)=0),N(U9593)+1,N(U9593))</f>
        <v/>
      </c>
      <c r="V9594" s="19">
        <f>IF($B9594="","",TEXT($B9594,"0000"))</f>
        <v/>
      </c>
      <c r="W9594" s="19">
        <f>IF($I9594="","",IF(ISNUMBER($I9594),TEXT($I9594,"0"),$I9594))</f>
        <v/>
      </c>
    </row>
    <row r="9595">
      <c r="B9595" s="25" t="n"/>
      <c r="I9595" s="25" t="n"/>
      <c r="U9595" s="19">
        <f>IF(AND($V9595='設定'!$C$4,COUNTIF('商品マスタ'!$B$6:$B$1005,$W9595)=0),N(U9594)+1,N(U9594))</f>
        <v/>
      </c>
      <c r="V9595" s="19">
        <f>IF($B9595="","",TEXT($B9595,"0000"))</f>
        <v/>
      </c>
      <c r="W9595" s="19">
        <f>IF($I9595="","",IF(ISNUMBER($I9595),TEXT($I9595,"0"),$I9595))</f>
        <v/>
      </c>
    </row>
    <row r="9596">
      <c r="B9596" s="25" t="n"/>
      <c r="I9596" s="25" t="n"/>
      <c r="U9596" s="19">
        <f>IF(AND($V9596='設定'!$C$4,COUNTIF('商品マスタ'!$B$6:$B$1005,$W9596)=0),N(U9595)+1,N(U9595))</f>
        <v/>
      </c>
      <c r="V9596" s="19">
        <f>IF($B9596="","",TEXT($B9596,"0000"))</f>
        <v/>
      </c>
      <c r="W9596" s="19">
        <f>IF($I9596="","",IF(ISNUMBER($I9596),TEXT($I9596,"0"),$I9596))</f>
        <v/>
      </c>
    </row>
    <row r="9597">
      <c r="B9597" s="25" t="n"/>
      <c r="I9597" s="25" t="n"/>
      <c r="U9597" s="19">
        <f>IF(AND($V9597='設定'!$C$4,COUNTIF('商品マスタ'!$B$6:$B$1005,$W9597)=0),N(U9596)+1,N(U9596))</f>
        <v/>
      </c>
      <c r="V9597" s="19">
        <f>IF($B9597="","",TEXT($B9597,"0000"))</f>
        <v/>
      </c>
      <c r="W9597" s="19">
        <f>IF($I9597="","",IF(ISNUMBER($I9597),TEXT($I9597,"0"),$I9597))</f>
        <v/>
      </c>
    </row>
    <row r="9598">
      <c r="B9598" s="25" t="n"/>
      <c r="I9598" s="25" t="n"/>
      <c r="U9598" s="19">
        <f>IF(AND($V9598='設定'!$C$4,COUNTIF('商品マスタ'!$B$6:$B$1005,$W9598)=0),N(U9597)+1,N(U9597))</f>
        <v/>
      </c>
      <c r="V9598" s="19">
        <f>IF($B9598="","",TEXT($B9598,"0000"))</f>
        <v/>
      </c>
      <c r="W9598" s="19">
        <f>IF($I9598="","",IF(ISNUMBER($I9598),TEXT($I9598,"0"),$I9598))</f>
        <v/>
      </c>
    </row>
    <row r="9599">
      <c r="B9599" s="25" t="n"/>
      <c r="I9599" s="25" t="n"/>
      <c r="U9599" s="19">
        <f>IF(AND($V9599='設定'!$C$4,COUNTIF('商品マスタ'!$B$6:$B$1005,$W9599)=0),N(U9598)+1,N(U9598))</f>
        <v/>
      </c>
      <c r="V9599" s="19">
        <f>IF($B9599="","",TEXT($B9599,"0000"))</f>
        <v/>
      </c>
      <c r="W9599" s="19">
        <f>IF($I9599="","",IF(ISNUMBER($I9599),TEXT($I9599,"0"),$I9599))</f>
        <v/>
      </c>
    </row>
    <row r="9600">
      <c r="B9600" s="25" t="n"/>
      <c r="I9600" s="25" t="n"/>
      <c r="U9600" s="19">
        <f>IF(AND($V9600='設定'!$C$4,COUNTIF('商品マスタ'!$B$6:$B$1005,$W9600)=0),N(U9599)+1,N(U9599))</f>
        <v/>
      </c>
      <c r="V9600" s="19">
        <f>IF($B9600="","",TEXT($B9600,"0000"))</f>
        <v/>
      </c>
      <c r="W9600" s="19">
        <f>IF($I9600="","",IF(ISNUMBER($I9600),TEXT($I9600,"0"),$I9600))</f>
        <v/>
      </c>
    </row>
    <row r="9601">
      <c r="B9601" s="25" t="n"/>
      <c r="I9601" s="25" t="n"/>
      <c r="U9601" s="19">
        <f>IF(AND($V9601='設定'!$C$4,COUNTIF('商品マスタ'!$B$6:$B$1005,$W9601)=0),N(U9600)+1,N(U9600))</f>
        <v/>
      </c>
      <c r="V9601" s="19">
        <f>IF($B9601="","",TEXT($B9601,"0000"))</f>
        <v/>
      </c>
      <c r="W9601" s="19">
        <f>IF($I9601="","",IF(ISNUMBER($I9601),TEXT($I9601,"0"),$I9601))</f>
        <v/>
      </c>
    </row>
    <row r="9602">
      <c r="B9602" s="25" t="n"/>
      <c r="I9602" s="25" t="n"/>
      <c r="U9602" s="19">
        <f>IF(AND($V9602='設定'!$C$4,COUNTIF('商品マスタ'!$B$6:$B$1005,$W9602)=0),N(U9601)+1,N(U9601))</f>
        <v/>
      </c>
      <c r="V9602" s="19">
        <f>IF($B9602="","",TEXT($B9602,"0000"))</f>
        <v/>
      </c>
      <c r="W9602" s="19">
        <f>IF($I9602="","",IF(ISNUMBER($I9602),TEXT($I9602,"0"),$I9602))</f>
        <v/>
      </c>
    </row>
    <row r="9603">
      <c r="B9603" s="25" t="n"/>
      <c r="I9603" s="25" t="n"/>
      <c r="U9603" s="19">
        <f>IF(AND($V9603='設定'!$C$4,COUNTIF('商品マスタ'!$B$6:$B$1005,$W9603)=0),N(U9602)+1,N(U9602))</f>
        <v/>
      </c>
      <c r="V9603" s="19">
        <f>IF($B9603="","",TEXT($B9603,"0000"))</f>
        <v/>
      </c>
      <c r="W9603" s="19">
        <f>IF($I9603="","",IF(ISNUMBER($I9603),TEXT($I9603,"0"),$I9603))</f>
        <v/>
      </c>
    </row>
    <row r="9604">
      <c r="B9604" s="25" t="n"/>
      <c r="I9604" s="25" t="n"/>
      <c r="U9604" s="19">
        <f>IF(AND($V9604='設定'!$C$4,COUNTIF('商品マスタ'!$B$6:$B$1005,$W9604)=0),N(U9603)+1,N(U9603))</f>
        <v/>
      </c>
      <c r="V9604" s="19">
        <f>IF($B9604="","",TEXT($B9604,"0000"))</f>
        <v/>
      </c>
      <c r="W9604" s="19">
        <f>IF($I9604="","",IF(ISNUMBER($I9604),TEXT($I9604,"0"),$I9604))</f>
        <v/>
      </c>
    </row>
    <row r="9605">
      <c r="B9605" s="25" t="n"/>
      <c r="I9605" s="25" t="n"/>
      <c r="U9605" s="19">
        <f>IF(AND($V9605='設定'!$C$4,COUNTIF('商品マスタ'!$B$6:$B$1005,$W9605)=0),N(U9604)+1,N(U9604))</f>
        <v/>
      </c>
      <c r="V9605" s="19">
        <f>IF($B9605="","",TEXT($B9605,"0000"))</f>
        <v/>
      </c>
      <c r="W9605" s="19">
        <f>IF($I9605="","",IF(ISNUMBER($I9605),TEXT($I9605,"0"),$I9605))</f>
        <v/>
      </c>
    </row>
    <row r="9606">
      <c r="B9606" s="25" t="n"/>
      <c r="I9606" s="25" t="n"/>
      <c r="U9606" s="19">
        <f>IF(AND($V9606='設定'!$C$4,COUNTIF('商品マスタ'!$B$6:$B$1005,$W9606)=0),N(U9605)+1,N(U9605))</f>
        <v/>
      </c>
      <c r="V9606" s="19">
        <f>IF($B9606="","",TEXT($B9606,"0000"))</f>
        <v/>
      </c>
      <c r="W9606" s="19">
        <f>IF($I9606="","",IF(ISNUMBER($I9606),TEXT($I9606,"0"),$I9606))</f>
        <v/>
      </c>
    </row>
    <row r="9607">
      <c r="B9607" s="25" t="n"/>
      <c r="I9607" s="25" t="n"/>
      <c r="U9607" s="19">
        <f>IF(AND($V9607='設定'!$C$4,COUNTIF('商品マスタ'!$B$6:$B$1005,$W9607)=0),N(U9606)+1,N(U9606))</f>
        <v/>
      </c>
      <c r="V9607" s="19">
        <f>IF($B9607="","",TEXT($B9607,"0000"))</f>
        <v/>
      </c>
      <c r="W9607" s="19">
        <f>IF($I9607="","",IF(ISNUMBER($I9607),TEXT($I9607,"0"),$I9607))</f>
        <v/>
      </c>
    </row>
    <row r="9608">
      <c r="B9608" s="25" t="n"/>
      <c r="I9608" s="25" t="n"/>
      <c r="U9608" s="19">
        <f>IF(AND($V9608='設定'!$C$4,COUNTIF('商品マスタ'!$B$6:$B$1005,$W9608)=0),N(U9607)+1,N(U9607))</f>
        <v/>
      </c>
      <c r="V9608" s="19">
        <f>IF($B9608="","",TEXT($B9608,"0000"))</f>
        <v/>
      </c>
      <c r="W9608" s="19">
        <f>IF($I9608="","",IF(ISNUMBER($I9608),TEXT($I9608,"0"),$I9608))</f>
        <v/>
      </c>
    </row>
    <row r="9609">
      <c r="B9609" s="25" t="n"/>
      <c r="I9609" s="25" t="n"/>
      <c r="U9609" s="19">
        <f>IF(AND($V9609='設定'!$C$4,COUNTIF('商品マスタ'!$B$6:$B$1005,$W9609)=0),N(U9608)+1,N(U9608))</f>
        <v/>
      </c>
      <c r="V9609" s="19">
        <f>IF($B9609="","",TEXT($B9609,"0000"))</f>
        <v/>
      </c>
      <c r="W9609" s="19">
        <f>IF($I9609="","",IF(ISNUMBER($I9609),TEXT($I9609,"0"),$I9609))</f>
        <v/>
      </c>
    </row>
    <row r="9610">
      <c r="B9610" s="25" t="n"/>
      <c r="I9610" s="25" t="n"/>
      <c r="U9610" s="19">
        <f>IF(AND($V9610='設定'!$C$4,COUNTIF('商品マスタ'!$B$6:$B$1005,$W9610)=0),N(U9609)+1,N(U9609))</f>
        <v/>
      </c>
      <c r="V9610" s="19">
        <f>IF($B9610="","",TEXT($B9610,"0000"))</f>
        <v/>
      </c>
      <c r="W9610" s="19">
        <f>IF($I9610="","",IF(ISNUMBER($I9610),TEXT($I9610,"0"),$I9610))</f>
        <v/>
      </c>
    </row>
    <row r="9611">
      <c r="B9611" s="25" t="n"/>
      <c r="I9611" s="25" t="n"/>
      <c r="U9611" s="19">
        <f>IF(AND($V9611='設定'!$C$4,COUNTIF('商品マスタ'!$B$6:$B$1005,$W9611)=0),N(U9610)+1,N(U9610))</f>
        <v/>
      </c>
      <c r="V9611" s="19">
        <f>IF($B9611="","",TEXT($B9611,"0000"))</f>
        <v/>
      </c>
      <c r="W9611" s="19">
        <f>IF($I9611="","",IF(ISNUMBER($I9611),TEXT($I9611,"0"),$I9611))</f>
        <v/>
      </c>
    </row>
    <row r="9612">
      <c r="B9612" s="25" t="n"/>
      <c r="I9612" s="25" t="n"/>
      <c r="U9612" s="19">
        <f>IF(AND($V9612='設定'!$C$4,COUNTIF('商品マスタ'!$B$6:$B$1005,$W9612)=0),N(U9611)+1,N(U9611))</f>
        <v/>
      </c>
      <c r="V9612" s="19">
        <f>IF($B9612="","",TEXT($B9612,"0000"))</f>
        <v/>
      </c>
      <c r="W9612" s="19">
        <f>IF($I9612="","",IF(ISNUMBER($I9612),TEXT($I9612,"0"),$I9612))</f>
        <v/>
      </c>
    </row>
    <row r="9613">
      <c r="B9613" s="25" t="n"/>
      <c r="I9613" s="25" t="n"/>
      <c r="U9613" s="19">
        <f>IF(AND($V9613='設定'!$C$4,COUNTIF('商品マスタ'!$B$6:$B$1005,$W9613)=0),N(U9612)+1,N(U9612))</f>
        <v/>
      </c>
      <c r="V9613" s="19">
        <f>IF($B9613="","",TEXT($B9613,"0000"))</f>
        <v/>
      </c>
      <c r="W9613" s="19">
        <f>IF($I9613="","",IF(ISNUMBER($I9613),TEXT($I9613,"0"),$I9613))</f>
        <v/>
      </c>
    </row>
    <row r="9614">
      <c r="B9614" s="25" t="n"/>
      <c r="I9614" s="25" t="n"/>
      <c r="U9614" s="19">
        <f>IF(AND($V9614='設定'!$C$4,COUNTIF('商品マスタ'!$B$6:$B$1005,$W9614)=0),N(U9613)+1,N(U9613))</f>
        <v/>
      </c>
      <c r="V9614" s="19">
        <f>IF($B9614="","",TEXT($B9614,"0000"))</f>
        <v/>
      </c>
      <c r="W9614" s="19">
        <f>IF($I9614="","",IF(ISNUMBER($I9614),TEXT($I9614,"0"),$I9614))</f>
        <v/>
      </c>
    </row>
    <row r="9615">
      <c r="B9615" s="25" t="n"/>
      <c r="I9615" s="25" t="n"/>
      <c r="U9615" s="19">
        <f>IF(AND($V9615='設定'!$C$4,COUNTIF('商品マスタ'!$B$6:$B$1005,$W9615)=0),N(U9614)+1,N(U9614))</f>
        <v/>
      </c>
      <c r="V9615" s="19">
        <f>IF($B9615="","",TEXT($B9615,"0000"))</f>
        <v/>
      </c>
      <c r="W9615" s="19">
        <f>IF($I9615="","",IF(ISNUMBER($I9615),TEXT($I9615,"0"),$I9615))</f>
        <v/>
      </c>
    </row>
    <row r="9616">
      <c r="B9616" s="25" t="n"/>
      <c r="I9616" s="25" t="n"/>
      <c r="U9616" s="19">
        <f>IF(AND($V9616='設定'!$C$4,COUNTIF('商品マスタ'!$B$6:$B$1005,$W9616)=0),N(U9615)+1,N(U9615))</f>
        <v/>
      </c>
      <c r="V9616" s="19">
        <f>IF($B9616="","",TEXT($B9616,"0000"))</f>
        <v/>
      </c>
      <c r="W9616" s="19">
        <f>IF($I9616="","",IF(ISNUMBER($I9616),TEXT($I9616,"0"),$I9616))</f>
        <v/>
      </c>
    </row>
    <row r="9617">
      <c r="B9617" s="25" t="n"/>
      <c r="I9617" s="25" t="n"/>
      <c r="U9617" s="19">
        <f>IF(AND($V9617='設定'!$C$4,COUNTIF('商品マスタ'!$B$6:$B$1005,$W9617)=0),N(U9616)+1,N(U9616))</f>
        <v/>
      </c>
      <c r="V9617" s="19">
        <f>IF($B9617="","",TEXT($B9617,"0000"))</f>
        <v/>
      </c>
      <c r="W9617" s="19">
        <f>IF($I9617="","",IF(ISNUMBER($I9617),TEXT($I9617,"0"),$I9617))</f>
        <v/>
      </c>
    </row>
    <row r="9618">
      <c r="B9618" s="25" t="n"/>
      <c r="I9618" s="25" t="n"/>
      <c r="U9618" s="19">
        <f>IF(AND($V9618='設定'!$C$4,COUNTIF('商品マスタ'!$B$6:$B$1005,$W9618)=0),N(U9617)+1,N(U9617))</f>
        <v/>
      </c>
      <c r="V9618" s="19">
        <f>IF($B9618="","",TEXT($B9618,"0000"))</f>
        <v/>
      </c>
      <c r="W9618" s="19">
        <f>IF($I9618="","",IF(ISNUMBER($I9618),TEXT($I9618,"0"),$I9618))</f>
        <v/>
      </c>
    </row>
    <row r="9619">
      <c r="B9619" s="25" t="n"/>
      <c r="I9619" s="25" t="n"/>
      <c r="U9619" s="19">
        <f>IF(AND($V9619='設定'!$C$4,COUNTIF('商品マスタ'!$B$6:$B$1005,$W9619)=0),N(U9618)+1,N(U9618))</f>
        <v/>
      </c>
      <c r="V9619" s="19">
        <f>IF($B9619="","",TEXT($B9619,"0000"))</f>
        <v/>
      </c>
      <c r="W9619" s="19">
        <f>IF($I9619="","",IF(ISNUMBER($I9619),TEXT($I9619,"0"),$I9619))</f>
        <v/>
      </c>
    </row>
    <row r="9620">
      <c r="B9620" s="25" t="n"/>
      <c r="I9620" s="25" t="n"/>
      <c r="U9620" s="19">
        <f>IF(AND($V9620='設定'!$C$4,COUNTIF('商品マスタ'!$B$6:$B$1005,$W9620)=0),N(U9619)+1,N(U9619))</f>
        <v/>
      </c>
      <c r="V9620" s="19">
        <f>IF($B9620="","",TEXT($B9620,"0000"))</f>
        <v/>
      </c>
      <c r="W9620" s="19">
        <f>IF($I9620="","",IF(ISNUMBER($I9620),TEXT($I9620,"0"),$I9620))</f>
        <v/>
      </c>
    </row>
    <row r="9621">
      <c r="B9621" s="25" t="n"/>
      <c r="I9621" s="25" t="n"/>
      <c r="U9621" s="19">
        <f>IF(AND($V9621='設定'!$C$4,COUNTIF('商品マスタ'!$B$6:$B$1005,$W9621)=0),N(U9620)+1,N(U9620))</f>
        <v/>
      </c>
      <c r="V9621" s="19">
        <f>IF($B9621="","",TEXT($B9621,"0000"))</f>
        <v/>
      </c>
      <c r="W9621" s="19">
        <f>IF($I9621="","",IF(ISNUMBER($I9621),TEXT($I9621,"0"),$I9621))</f>
        <v/>
      </c>
    </row>
    <row r="9622">
      <c r="B9622" s="25" t="n"/>
      <c r="I9622" s="25" t="n"/>
      <c r="U9622" s="19">
        <f>IF(AND($V9622='設定'!$C$4,COUNTIF('商品マスタ'!$B$6:$B$1005,$W9622)=0),N(U9621)+1,N(U9621))</f>
        <v/>
      </c>
      <c r="V9622" s="19">
        <f>IF($B9622="","",TEXT($B9622,"0000"))</f>
        <v/>
      </c>
      <c r="W9622" s="19">
        <f>IF($I9622="","",IF(ISNUMBER($I9622),TEXT($I9622,"0"),$I9622))</f>
        <v/>
      </c>
    </row>
    <row r="9623">
      <c r="B9623" s="25" t="n"/>
      <c r="I9623" s="25" t="n"/>
      <c r="U9623" s="19">
        <f>IF(AND($V9623='設定'!$C$4,COUNTIF('商品マスタ'!$B$6:$B$1005,$W9623)=0),N(U9622)+1,N(U9622))</f>
        <v/>
      </c>
      <c r="V9623" s="19">
        <f>IF($B9623="","",TEXT($B9623,"0000"))</f>
        <v/>
      </c>
      <c r="W9623" s="19">
        <f>IF($I9623="","",IF(ISNUMBER($I9623),TEXT($I9623,"0"),$I9623))</f>
        <v/>
      </c>
    </row>
    <row r="9624">
      <c r="B9624" s="25" t="n"/>
      <c r="I9624" s="25" t="n"/>
      <c r="U9624" s="19">
        <f>IF(AND($V9624='設定'!$C$4,COUNTIF('商品マスタ'!$B$6:$B$1005,$W9624)=0),N(U9623)+1,N(U9623))</f>
        <v/>
      </c>
      <c r="V9624" s="19">
        <f>IF($B9624="","",TEXT($B9624,"0000"))</f>
        <v/>
      </c>
      <c r="W9624" s="19">
        <f>IF($I9624="","",IF(ISNUMBER($I9624),TEXT($I9624,"0"),$I9624))</f>
        <v/>
      </c>
    </row>
    <row r="9625">
      <c r="B9625" s="25" t="n"/>
      <c r="I9625" s="25" t="n"/>
      <c r="U9625" s="19">
        <f>IF(AND($V9625='設定'!$C$4,COUNTIF('商品マスタ'!$B$6:$B$1005,$W9625)=0),N(U9624)+1,N(U9624))</f>
        <v/>
      </c>
      <c r="V9625" s="19">
        <f>IF($B9625="","",TEXT($B9625,"0000"))</f>
        <v/>
      </c>
      <c r="W9625" s="19">
        <f>IF($I9625="","",IF(ISNUMBER($I9625),TEXT($I9625,"0"),$I9625))</f>
        <v/>
      </c>
    </row>
    <row r="9626">
      <c r="B9626" s="25" t="n"/>
      <c r="I9626" s="25" t="n"/>
      <c r="U9626" s="19">
        <f>IF(AND($V9626='設定'!$C$4,COUNTIF('商品マスタ'!$B$6:$B$1005,$W9626)=0),N(U9625)+1,N(U9625))</f>
        <v/>
      </c>
      <c r="V9626" s="19">
        <f>IF($B9626="","",TEXT($B9626,"0000"))</f>
        <v/>
      </c>
      <c r="W9626" s="19">
        <f>IF($I9626="","",IF(ISNUMBER($I9626),TEXT($I9626,"0"),$I9626))</f>
        <v/>
      </c>
    </row>
    <row r="9627">
      <c r="B9627" s="25" t="n"/>
      <c r="I9627" s="25" t="n"/>
      <c r="U9627" s="19">
        <f>IF(AND($V9627='設定'!$C$4,COUNTIF('商品マスタ'!$B$6:$B$1005,$W9627)=0),N(U9626)+1,N(U9626))</f>
        <v/>
      </c>
      <c r="V9627" s="19">
        <f>IF($B9627="","",TEXT($B9627,"0000"))</f>
        <v/>
      </c>
      <c r="W9627" s="19">
        <f>IF($I9627="","",IF(ISNUMBER($I9627),TEXT($I9627,"0"),$I9627))</f>
        <v/>
      </c>
    </row>
    <row r="9628">
      <c r="B9628" s="25" t="n"/>
      <c r="I9628" s="25" t="n"/>
      <c r="U9628" s="19">
        <f>IF(AND($V9628='設定'!$C$4,COUNTIF('商品マスタ'!$B$6:$B$1005,$W9628)=0),N(U9627)+1,N(U9627))</f>
        <v/>
      </c>
      <c r="V9628" s="19">
        <f>IF($B9628="","",TEXT($B9628,"0000"))</f>
        <v/>
      </c>
      <c r="W9628" s="19">
        <f>IF($I9628="","",IF(ISNUMBER($I9628),TEXT($I9628,"0"),$I9628))</f>
        <v/>
      </c>
    </row>
    <row r="9629">
      <c r="B9629" s="25" t="n"/>
      <c r="I9629" s="25" t="n"/>
      <c r="U9629" s="19">
        <f>IF(AND($V9629='設定'!$C$4,COUNTIF('商品マスタ'!$B$6:$B$1005,$W9629)=0),N(U9628)+1,N(U9628))</f>
        <v/>
      </c>
      <c r="V9629" s="19">
        <f>IF($B9629="","",TEXT($B9629,"0000"))</f>
        <v/>
      </c>
      <c r="W9629" s="19">
        <f>IF($I9629="","",IF(ISNUMBER($I9629),TEXT($I9629,"0"),$I9629))</f>
        <v/>
      </c>
    </row>
    <row r="9630">
      <c r="B9630" s="25" t="n"/>
      <c r="I9630" s="25" t="n"/>
      <c r="U9630" s="19">
        <f>IF(AND($V9630='設定'!$C$4,COUNTIF('商品マスタ'!$B$6:$B$1005,$W9630)=0),N(U9629)+1,N(U9629))</f>
        <v/>
      </c>
      <c r="V9630" s="19">
        <f>IF($B9630="","",TEXT($B9630,"0000"))</f>
        <v/>
      </c>
      <c r="W9630" s="19">
        <f>IF($I9630="","",IF(ISNUMBER($I9630),TEXT($I9630,"0"),$I9630))</f>
        <v/>
      </c>
    </row>
    <row r="9631">
      <c r="B9631" s="25" t="n"/>
      <c r="I9631" s="25" t="n"/>
      <c r="U9631" s="19">
        <f>IF(AND($V9631='設定'!$C$4,COUNTIF('商品マスタ'!$B$6:$B$1005,$W9631)=0),N(U9630)+1,N(U9630))</f>
        <v/>
      </c>
      <c r="V9631" s="19">
        <f>IF($B9631="","",TEXT($B9631,"0000"))</f>
        <v/>
      </c>
      <c r="W9631" s="19">
        <f>IF($I9631="","",IF(ISNUMBER($I9631),TEXT($I9631,"0"),$I9631))</f>
        <v/>
      </c>
    </row>
    <row r="9632">
      <c r="B9632" s="25" t="n"/>
      <c r="I9632" s="25" t="n"/>
      <c r="U9632" s="19">
        <f>IF(AND($V9632='設定'!$C$4,COUNTIF('商品マスタ'!$B$6:$B$1005,$W9632)=0),N(U9631)+1,N(U9631))</f>
        <v/>
      </c>
      <c r="V9632" s="19">
        <f>IF($B9632="","",TEXT($B9632,"0000"))</f>
        <v/>
      </c>
      <c r="W9632" s="19">
        <f>IF($I9632="","",IF(ISNUMBER($I9632),TEXT($I9632,"0"),$I9632))</f>
        <v/>
      </c>
    </row>
    <row r="9633">
      <c r="B9633" s="25" t="n"/>
      <c r="I9633" s="25" t="n"/>
      <c r="U9633" s="19">
        <f>IF(AND($V9633='設定'!$C$4,COUNTIF('商品マスタ'!$B$6:$B$1005,$W9633)=0),N(U9632)+1,N(U9632))</f>
        <v/>
      </c>
      <c r="V9633" s="19">
        <f>IF($B9633="","",TEXT($B9633,"0000"))</f>
        <v/>
      </c>
      <c r="W9633" s="19">
        <f>IF($I9633="","",IF(ISNUMBER($I9633),TEXT($I9633,"0"),$I9633))</f>
        <v/>
      </c>
    </row>
    <row r="9634">
      <c r="B9634" s="25" t="n"/>
      <c r="I9634" s="25" t="n"/>
      <c r="U9634" s="19">
        <f>IF(AND($V9634='設定'!$C$4,COUNTIF('商品マスタ'!$B$6:$B$1005,$W9634)=0),N(U9633)+1,N(U9633))</f>
        <v/>
      </c>
      <c r="V9634" s="19">
        <f>IF($B9634="","",TEXT($B9634,"0000"))</f>
        <v/>
      </c>
      <c r="W9634" s="19">
        <f>IF($I9634="","",IF(ISNUMBER($I9634),TEXT($I9634,"0"),$I9634))</f>
        <v/>
      </c>
    </row>
    <row r="9635">
      <c r="B9635" s="25" t="n"/>
      <c r="I9635" s="25" t="n"/>
      <c r="U9635" s="19">
        <f>IF(AND($V9635='設定'!$C$4,COUNTIF('商品マスタ'!$B$6:$B$1005,$W9635)=0),N(U9634)+1,N(U9634))</f>
        <v/>
      </c>
      <c r="V9635" s="19">
        <f>IF($B9635="","",TEXT($B9635,"0000"))</f>
        <v/>
      </c>
      <c r="W9635" s="19">
        <f>IF($I9635="","",IF(ISNUMBER($I9635),TEXT($I9635,"0"),$I9635))</f>
        <v/>
      </c>
    </row>
    <row r="9636">
      <c r="B9636" s="25" t="n"/>
      <c r="I9636" s="25" t="n"/>
      <c r="U9636" s="19">
        <f>IF(AND($V9636='設定'!$C$4,COUNTIF('商品マスタ'!$B$6:$B$1005,$W9636)=0),N(U9635)+1,N(U9635))</f>
        <v/>
      </c>
      <c r="V9636" s="19">
        <f>IF($B9636="","",TEXT($B9636,"0000"))</f>
        <v/>
      </c>
      <c r="W9636" s="19">
        <f>IF($I9636="","",IF(ISNUMBER($I9636),TEXT($I9636,"0"),$I9636))</f>
        <v/>
      </c>
    </row>
    <row r="9637">
      <c r="B9637" s="25" t="n"/>
      <c r="I9637" s="25" t="n"/>
      <c r="U9637" s="19">
        <f>IF(AND($V9637='設定'!$C$4,COUNTIF('商品マスタ'!$B$6:$B$1005,$W9637)=0),N(U9636)+1,N(U9636))</f>
        <v/>
      </c>
      <c r="V9637" s="19">
        <f>IF($B9637="","",TEXT($B9637,"0000"))</f>
        <v/>
      </c>
      <c r="W9637" s="19">
        <f>IF($I9637="","",IF(ISNUMBER($I9637),TEXT($I9637,"0"),$I9637))</f>
        <v/>
      </c>
    </row>
    <row r="9638">
      <c r="B9638" s="25" t="n"/>
      <c r="I9638" s="25" t="n"/>
      <c r="U9638" s="19">
        <f>IF(AND($V9638='設定'!$C$4,COUNTIF('商品マスタ'!$B$6:$B$1005,$W9638)=0),N(U9637)+1,N(U9637))</f>
        <v/>
      </c>
      <c r="V9638" s="19">
        <f>IF($B9638="","",TEXT($B9638,"0000"))</f>
        <v/>
      </c>
      <c r="W9638" s="19">
        <f>IF($I9638="","",IF(ISNUMBER($I9638),TEXT($I9638,"0"),$I9638))</f>
        <v/>
      </c>
    </row>
    <row r="9639">
      <c r="B9639" s="25" t="n"/>
      <c r="I9639" s="25" t="n"/>
      <c r="U9639" s="19">
        <f>IF(AND($V9639='設定'!$C$4,COUNTIF('商品マスタ'!$B$6:$B$1005,$W9639)=0),N(U9638)+1,N(U9638))</f>
        <v/>
      </c>
      <c r="V9639" s="19">
        <f>IF($B9639="","",TEXT($B9639,"0000"))</f>
        <v/>
      </c>
      <c r="W9639" s="19">
        <f>IF($I9639="","",IF(ISNUMBER($I9639),TEXT($I9639,"0"),$I9639))</f>
        <v/>
      </c>
    </row>
    <row r="9640">
      <c r="B9640" s="25" t="n"/>
      <c r="I9640" s="25" t="n"/>
      <c r="U9640" s="19">
        <f>IF(AND($V9640='設定'!$C$4,COUNTIF('商品マスタ'!$B$6:$B$1005,$W9640)=0),N(U9639)+1,N(U9639))</f>
        <v/>
      </c>
      <c r="V9640" s="19">
        <f>IF($B9640="","",TEXT($B9640,"0000"))</f>
        <v/>
      </c>
      <c r="W9640" s="19">
        <f>IF($I9640="","",IF(ISNUMBER($I9640),TEXT($I9640,"0"),$I9640))</f>
        <v/>
      </c>
    </row>
    <row r="9641">
      <c r="B9641" s="25" t="n"/>
      <c r="I9641" s="25" t="n"/>
      <c r="U9641" s="19">
        <f>IF(AND($V9641='設定'!$C$4,COUNTIF('商品マスタ'!$B$6:$B$1005,$W9641)=0),N(U9640)+1,N(U9640))</f>
        <v/>
      </c>
      <c r="V9641" s="19">
        <f>IF($B9641="","",TEXT($B9641,"0000"))</f>
        <v/>
      </c>
      <c r="W9641" s="19">
        <f>IF($I9641="","",IF(ISNUMBER($I9641),TEXT($I9641,"0"),$I9641))</f>
        <v/>
      </c>
    </row>
    <row r="9642">
      <c r="B9642" s="25" t="n"/>
      <c r="I9642" s="25" t="n"/>
      <c r="U9642" s="19">
        <f>IF(AND($V9642='設定'!$C$4,COUNTIF('商品マスタ'!$B$6:$B$1005,$W9642)=0),N(U9641)+1,N(U9641))</f>
        <v/>
      </c>
      <c r="V9642" s="19">
        <f>IF($B9642="","",TEXT($B9642,"0000"))</f>
        <v/>
      </c>
      <c r="W9642" s="19">
        <f>IF($I9642="","",IF(ISNUMBER($I9642),TEXT($I9642,"0"),$I9642))</f>
        <v/>
      </c>
    </row>
    <row r="9643">
      <c r="B9643" s="25" t="n"/>
      <c r="I9643" s="25" t="n"/>
      <c r="U9643" s="19">
        <f>IF(AND($V9643='設定'!$C$4,COUNTIF('商品マスタ'!$B$6:$B$1005,$W9643)=0),N(U9642)+1,N(U9642))</f>
        <v/>
      </c>
      <c r="V9643" s="19">
        <f>IF($B9643="","",TEXT($B9643,"0000"))</f>
        <v/>
      </c>
      <c r="W9643" s="19">
        <f>IF($I9643="","",IF(ISNUMBER($I9643),TEXT($I9643,"0"),$I9643))</f>
        <v/>
      </c>
    </row>
    <row r="9644">
      <c r="B9644" s="25" t="n"/>
      <c r="I9644" s="25" t="n"/>
      <c r="U9644" s="19">
        <f>IF(AND($V9644='設定'!$C$4,COUNTIF('商品マスタ'!$B$6:$B$1005,$W9644)=0),N(U9643)+1,N(U9643))</f>
        <v/>
      </c>
      <c r="V9644" s="19">
        <f>IF($B9644="","",TEXT($B9644,"0000"))</f>
        <v/>
      </c>
      <c r="W9644" s="19">
        <f>IF($I9644="","",IF(ISNUMBER($I9644),TEXT($I9644,"0"),$I9644))</f>
        <v/>
      </c>
    </row>
    <row r="9645">
      <c r="B9645" s="25" t="n"/>
      <c r="I9645" s="25" t="n"/>
      <c r="U9645" s="19">
        <f>IF(AND($V9645='設定'!$C$4,COUNTIF('商品マスタ'!$B$6:$B$1005,$W9645)=0),N(U9644)+1,N(U9644))</f>
        <v/>
      </c>
      <c r="V9645" s="19">
        <f>IF($B9645="","",TEXT($B9645,"0000"))</f>
        <v/>
      </c>
      <c r="W9645" s="19">
        <f>IF($I9645="","",IF(ISNUMBER($I9645),TEXT($I9645,"0"),$I9645))</f>
        <v/>
      </c>
    </row>
    <row r="9646">
      <c r="B9646" s="25" t="n"/>
      <c r="I9646" s="25" t="n"/>
      <c r="U9646" s="19">
        <f>IF(AND($V9646='設定'!$C$4,COUNTIF('商品マスタ'!$B$6:$B$1005,$W9646)=0),N(U9645)+1,N(U9645))</f>
        <v/>
      </c>
      <c r="V9646" s="19">
        <f>IF($B9646="","",TEXT($B9646,"0000"))</f>
        <v/>
      </c>
      <c r="W9646" s="19">
        <f>IF($I9646="","",IF(ISNUMBER($I9646),TEXT($I9646,"0"),$I9646))</f>
        <v/>
      </c>
    </row>
    <row r="9647">
      <c r="B9647" s="25" t="n"/>
      <c r="I9647" s="25" t="n"/>
      <c r="U9647" s="19">
        <f>IF(AND($V9647='設定'!$C$4,COUNTIF('商品マスタ'!$B$6:$B$1005,$W9647)=0),N(U9646)+1,N(U9646))</f>
        <v/>
      </c>
      <c r="V9647" s="19">
        <f>IF($B9647="","",TEXT($B9647,"0000"))</f>
        <v/>
      </c>
      <c r="W9647" s="19">
        <f>IF($I9647="","",IF(ISNUMBER($I9647),TEXT($I9647,"0"),$I9647))</f>
        <v/>
      </c>
    </row>
    <row r="9648">
      <c r="B9648" s="25" t="n"/>
      <c r="I9648" s="25" t="n"/>
      <c r="U9648" s="19">
        <f>IF(AND($V9648='設定'!$C$4,COUNTIF('商品マスタ'!$B$6:$B$1005,$W9648)=0),N(U9647)+1,N(U9647))</f>
        <v/>
      </c>
      <c r="V9648" s="19">
        <f>IF($B9648="","",TEXT($B9648,"0000"))</f>
        <v/>
      </c>
      <c r="W9648" s="19">
        <f>IF($I9648="","",IF(ISNUMBER($I9648),TEXT($I9648,"0"),$I9648))</f>
        <v/>
      </c>
    </row>
    <row r="9649">
      <c r="B9649" s="25" t="n"/>
      <c r="I9649" s="25" t="n"/>
      <c r="U9649" s="19">
        <f>IF(AND($V9649='設定'!$C$4,COUNTIF('商品マスタ'!$B$6:$B$1005,$W9649)=0),N(U9648)+1,N(U9648))</f>
        <v/>
      </c>
      <c r="V9649" s="19">
        <f>IF($B9649="","",TEXT($B9649,"0000"))</f>
        <v/>
      </c>
      <c r="W9649" s="19">
        <f>IF($I9649="","",IF(ISNUMBER($I9649),TEXT($I9649,"0"),$I9649))</f>
        <v/>
      </c>
    </row>
    <row r="9650">
      <c r="B9650" s="25" t="n"/>
      <c r="I9650" s="25" t="n"/>
      <c r="U9650" s="19">
        <f>IF(AND($V9650='設定'!$C$4,COUNTIF('商品マスタ'!$B$6:$B$1005,$W9650)=0),N(U9649)+1,N(U9649))</f>
        <v/>
      </c>
      <c r="V9650" s="19">
        <f>IF($B9650="","",TEXT($B9650,"0000"))</f>
        <v/>
      </c>
      <c r="W9650" s="19">
        <f>IF($I9650="","",IF(ISNUMBER($I9650),TEXT($I9650,"0"),$I9650))</f>
        <v/>
      </c>
    </row>
    <row r="9651">
      <c r="B9651" s="25" t="n"/>
      <c r="I9651" s="25" t="n"/>
      <c r="U9651" s="19">
        <f>IF(AND($V9651='設定'!$C$4,COUNTIF('商品マスタ'!$B$6:$B$1005,$W9651)=0),N(U9650)+1,N(U9650))</f>
        <v/>
      </c>
      <c r="V9651" s="19">
        <f>IF($B9651="","",TEXT($B9651,"0000"))</f>
        <v/>
      </c>
      <c r="W9651" s="19">
        <f>IF($I9651="","",IF(ISNUMBER($I9651),TEXT($I9651,"0"),$I9651))</f>
        <v/>
      </c>
    </row>
    <row r="9652">
      <c r="B9652" s="25" t="n"/>
      <c r="I9652" s="25" t="n"/>
      <c r="U9652" s="19">
        <f>IF(AND($V9652='設定'!$C$4,COUNTIF('商品マスタ'!$B$6:$B$1005,$W9652)=0),N(U9651)+1,N(U9651))</f>
        <v/>
      </c>
      <c r="V9652" s="19">
        <f>IF($B9652="","",TEXT($B9652,"0000"))</f>
        <v/>
      </c>
      <c r="W9652" s="19">
        <f>IF($I9652="","",IF(ISNUMBER($I9652),TEXT($I9652,"0"),$I9652))</f>
        <v/>
      </c>
    </row>
    <row r="9653">
      <c r="B9653" s="25" t="n"/>
      <c r="I9653" s="25" t="n"/>
      <c r="U9653" s="19">
        <f>IF(AND($V9653='設定'!$C$4,COUNTIF('商品マスタ'!$B$6:$B$1005,$W9653)=0),N(U9652)+1,N(U9652))</f>
        <v/>
      </c>
      <c r="V9653" s="19">
        <f>IF($B9653="","",TEXT($B9653,"0000"))</f>
        <v/>
      </c>
      <c r="W9653" s="19">
        <f>IF($I9653="","",IF(ISNUMBER($I9653),TEXT($I9653,"0"),$I9653))</f>
        <v/>
      </c>
    </row>
    <row r="9654">
      <c r="B9654" s="25" t="n"/>
      <c r="I9654" s="25" t="n"/>
      <c r="U9654" s="19">
        <f>IF(AND($V9654='設定'!$C$4,COUNTIF('商品マスタ'!$B$6:$B$1005,$W9654)=0),N(U9653)+1,N(U9653))</f>
        <v/>
      </c>
      <c r="V9654" s="19">
        <f>IF($B9654="","",TEXT($B9654,"0000"))</f>
        <v/>
      </c>
      <c r="W9654" s="19">
        <f>IF($I9654="","",IF(ISNUMBER($I9654),TEXT($I9654,"0"),$I9654))</f>
        <v/>
      </c>
    </row>
    <row r="9655">
      <c r="B9655" s="25" t="n"/>
      <c r="I9655" s="25" t="n"/>
      <c r="U9655" s="19">
        <f>IF(AND($V9655='設定'!$C$4,COUNTIF('商品マスタ'!$B$6:$B$1005,$W9655)=0),N(U9654)+1,N(U9654))</f>
        <v/>
      </c>
      <c r="V9655" s="19">
        <f>IF($B9655="","",TEXT($B9655,"0000"))</f>
        <v/>
      </c>
      <c r="W9655" s="19">
        <f>IF($I9655="","",IF(ISNUMBER($I9655),TEXT($I9655,"0"),$I9655))</f>
        <v/>
      </c>
    </row>
    <row r="9656">
      <c r="B9656" s="25" t="n"/>
      <c r="I9656" s="25" t="n"/>
      <c r="U9656" s="19">
        <f>IF(AND($V9656='設定'!$C$4,COUNTIF('商品マスタ'!$B$6:$B$1005,$W9656)=0),N(U9655)+1,N(U9655))</f>
        <v/>
      </c>
      <c r="V9656" s="19">
        <f>IF($B9656="","",TEXT($B9656,"0000"))</f>
        <v/>
      </c>
      <c r="W9656" s="19">
        <f>IF($I9656="","",IF(ISNUMBER($I9656),TEXT($I9656,"0"),$I9656))</f>
        <v/>
      </c>
    </row>
    <row r="9657">
      <c r="B9657" s="25" t="n"/>
      <c r="I9657" s="25" t="n"/>
      <c r="U9657" s="19">
        <f>IF(AND($V9657='設定'!$C$4,COUNTIF('商品マスタ'!$B$6:$B$1005,$W9657)=0),N(U9656)+1,N(U9656))</f>
        <v/>
      </c>
      <c r="V9657" s="19">
        <f>IF($B9657="","",TEXT($B9657,"0000"))</f>
        <v/>
      </c>
      <c r="W9657" s="19">
        <f>IF($I9657="","",IF(ISNUMBER($I9657),TEXT($I9657,"0"),$I9657))</f>
        <v/>
      </c>
    </row>
    <row r="9658">
      <c r="B9658" s="25" t="n"/>
      <c r="I9658" s="25" t="n"/>
      <c r="U9658" s="19">
        <f>IF(AND($V9658='設定'!$C$4,COUNTIF('商品マスタ'!$B$6:$B$1005,$W9658)=0),N(U9657)+1,N(U9657))</f>
        <v/>
      </c>
      <c r="V9658" s="19">
        <f>IF($B9658="","",TEXT($B9658,"0000"))</f>
        <v/>
      </c>
      <c r="W9658" s="19">
        <f>IF($I9658="","",IF(ISNUMBER($I9658),TEXT($I9658,"0"),$I9658))</f>
        <v/>
      </c>
    </row>
    <row r="9659">
      <c r="B9659" s="25" t="n"/>
      <c r="I9659" s="25" t="n"/>
      <c r="U9659" s="19">
        <f>IF(AND($V9659='設定'!$C$4,COUNTIF('商品マスタ'!$B$6:$B$1005,$W9659)=0),N(U9658)+1,N(U9658))</f>
        <v/>
      </c>
      <c r="V9659" s="19">
        <f>IF($B9659="","",TEXT($B9659,"0000"))</f>
        <v/>
      </c>
      <c r="W9659" s="19">
        <f>IF($I9659="","",IF(ISNUMBER($I9659),TEXT($I9659,"0"),$I9659))</f>
        <v/>
      </c>
    </row>
    <row r="9660">
      <c r="B9660" s="25" t="n"/>
      <c r="I9660" s="25" t="n"/>
      <c r="U9660" s="19">
        <f>IF(AND($V9660='設定'!$C$4,COUNTIF('商品マスタ'!$B$6:$B$1005,$W9660)=0),N(U9659)+1,N(U9659))</f>
        <v/>
      </c>
      <c r="V9660" s="19">
        <f>IF($B9660="","",TEXT($B9660,"0000"))</f>
        <v/>
      </c>
      <c r="W9660" s="19">
        <f>IF($I9660="","",IF(ISNUMBER($I9660),TEXT($I9660,"0"),$I9660))</f>
        <v/>
      </c>
    </row>
    <row r="9661">
      <c r="B9661" s="25" t="n"/>
      <c r="I9661" s="25" t="n"/>
      <c r="U9661" s="19">
        <f>IF(AND($V9661='設定'!$C$4,COUNTIF('商品マスタ'!$B$6:$B$1005,$W9661)=0),N(U9660)+1,N(U9660))</f>
        <v/>
      </c>
      <c r="V9661" s="19">
        <f>IF($B9661="","",TEXT($B9661,"0000"))</f>
        <v/>
      </c>
      <c r="W9661" s="19">
        <f>IF($I9661="","",IF(ISNUMBER($I9661),TEXT($I9661,"0"),$I9661))</f>
        <v/>
      </c>
    </row>
    <row r="9662">
      <c r="B9662" s="25" t="n"/>
      <c r="I9662" s="25" t="n"/>
      <c r="U9662" s="19">
        <f>IF(AND($V9662='設定'!$C$4,COUNTIF('商品マスタ'!$B$6:$B$1005,$W9662)=0),N(U9661)+1,N(U9661))</f>
        <v/>
      </c>
      <c r="V9662" s="19">
        <f>IF($B9662="","",TEXT($B9662,"0000"))</f>
        <v/>
      </c>
      <c r="W9662" s="19">
        <f>IF($I9662="","",IF(ISNUMBER($I9662),TEXT($I9662,"0"),$I9662))</f>
        <v/>
      </c>
    </row>
    <row r="9663">
      <c r="B9663" s="25" t="n"/>
      <c r="I9663" s="25" t="n"/>
      <c r="U9663" s="19">
        <f>IF(AND($V9663='設定'!$C$4,COUNTIF('商品マスタ'!$B$6:$B$1005,$W9663)=0),N(U9662)+1,N(U9662))</f>
        <v/>
      </c>
      <c r="V9663" s="19">
        <f>IF($B9663="","",TEXT($B9663,"0000"))</f>
        <v/>
      </c>
      <c r="W9663" s="19">
        <f>IF($I9663="","",IF(ISNUMBER($I9663),TEXT($I9663,"0"),$I9663))</f>
        <v/>
      </c>
    </row>
    <row r="9664">
      <c r="B9664" s="25" t="n"/>
      <c r="I9664" s="25" t="n"/>
      <c r="U9664" s="19">
        <f>IF(AND($V9664='設定'!$C$4,COUNTIF('商品マスタ'!$B$6:$B$1005,$W9664)=0),N(U9663)+1,N(U9663))</f>
        <v/>
      </c>
      <c r="V9664" s="19">
        <f>IF($B9664="","",TEXT($B9664,"0000"))</f>
        <v/>
      </c>
      <c r="W9664" s="19">
        <f>IF($I9664="","",IF(ISNUMBER($I9664),TEXT($I9664,"0"),$I9664))</f>
        <v/>
      </c>
    </row>
    <row r="9665">
      <c r="B9665" s="25" t="n"/>
      <c r="I9665" s="25" t="n"/>
      <c r="U9665" s="19">
        <f>IF(AND($V9665='設定'!$C$4,COUNTIF('商品マスタ'!$B$6:$B$1005,$W9665)=0),N(U9664)+1,N(U9664))</f>
        <v/>
      </c>
      <c r="V9665" s="19">
        <f>IF($B9665="","",TEXT($B9665,"0000"))</f>
        <v/>
      </c>
      <c r="W9665" s="19">
        <f>IF($I9665="","",IF(ISNUMBER($I9665),TEXT($I9665,"0"),$I9665))</f>
        <v/>
      </c>
    </row>
    <row r="9666">
      <c r="B9666" s="25" t="n"/>
      <c r="I9666" s="25" t="n"/>
      <c r="U9666" s="19">
        <f>IF(AND($V9666='設定'!$C$4,COUNTIF('商品マスタ'!$B$6:$B$1005,$W9666)=0),N(U9665)+1,N(U9665))</f>
        <v/>
      </c>
      <c r="V9666" s="19">
        <f>IF($B9666="","",TEXT($B9666,"0000"))</f>
        <v/>
      </c>
      <c r="W9666" s="19">
        <f>IF($I9666="","",IF(ISNUMBER($I9666),TEXT($I9666,"0"),$I9666))</f>
        <v/>
      </c>
    </row>
    <row r="9667">
      <c r="B9667" s="25" t="n"/>
      <c r="I9667" s="25" t="n"/>
      <c r="U9667" s="19">
        <f>IF(AND($V9667='設定'!$C$4,COUNTIF('商品マスタ'!$B$6:$B$1005,$W9667)=0),N(U9666)+1,N(U9666))</f>
        <v/>
      </c>
      <c r="V9667" s="19">
        <f>IF($B9667="","",TEXT($B9667,"0000"))</f>
        <v/>
      </c>
      <c r="W9667" s="19">
        <f>IF($I9667="","",IF(ISNUMBER($I9667),TEXT($I9667,"0"),$I9667))</f>
        <v/>
      </c>
    </row>
    <row r="9668">
      <c r="B9668" s="25" t="n"/>
      <c r="I9668" s="25" t="n"/>
      <c r="U9668" s="19">
        <f>IF(AND($V9668='設定'!$C$4,COUNTIF('商品マスタ'!$B$6:$B$1005,$W9668)=0),N(U9667)+1,N(U9667))</f>
        <v/>
      </c>
      <c r="V9668" s="19">
        <f>IF($B9668="","",TEXT($B9668,"0000"))</f>
        <v/>
      </c>
      <c r="W9668" s="19">
        <f>IF($I9668="","",IF(ISNUMBER($I9668),TEXT($I9668,"0"),$I9668))</f>
        <v/>
      </c>
    </row>
    <row r="9669">
      <c r="B9669" s="25" t="n"/>
      <c r="I9669" s="25" t="n"/>
      <c r="U9669" s="19">
        <f>IF(AND($V9669='設定'!$C$4,COUNTIF('商品マスタ'!$B$6:$B$1005,$W9669)=0),N(U9668)+1,N(U9668))</f>
        <v/>
      </c>
      <c r="V9669" s="19">
        <f>IF($B9669="","",TEXT($B9669,"0000"))</f>
        <v/>
      </c>
      <c r="W9669" s="19">
        <f>IF($I9669="","",IF(ISNUMBER($I9669),TEXT($I9669,"0"),$I9669))</f>
        <v/>
      </c>
    </row>
    <row r="9670">
      <c r="B9670" s="25" t="n"/>
      <c r="I9670" s="25" t="n"/>
      <c r="U9670" s="19">
        <f>IF(AND($V9670='設定'!$C$4,COUNTIF('商品マスタ'!$B$6:$B$1005,$W9670)=0),N(U9669)+1,N(U9669))</f>
        <v/>
      </c>
      <c r="V9670" s="19">
        <f>IF($B9670="","",TEXT($B9670,"0000"))</f>
        <v/>
      </c>
      <c r="W9670" s="19">
        <f>IF($I9670="","",IF(ISNUMBER($I9670),TEXT($I9670,"0"),$I9670))</f>
        <v/>
      </c>
    </row>
    <row r="9671">
      <c r="B9671" s="25" t="n"/>
      <c r="I9671" s="25" t="n"/>
      <c r="U9671" s="19">
        <f>IF(AND($V9671='設定'!$C$4,COUNTIF('商品マスタ'!$B$6:$B$1005,$W9671)=0),N(U9670)+1,N(U9670))</f>
        <v/>
      </c>
      <c r="V9671" s="19">
        <f>IF($B9671="","",TEXT($B9671,"0000"))</f>
        <v/>
      </c>
      <c r="W9671" s="19">
        <f>IF($I9671="","",IF(ISNUMBER($I9671),TEXT($I9671,"0"),$I9671))</f>
        <v/>
      </c>
    </row>
    <row r="9672">
      <c r="B9672" s="25" t="n"/>
      <c r="I9672" s="25" t="n"/>
      <c r="U9672" s="19">
        <f>IF(AND($V9672='設定'!$C$4,COUNTIF('商品マスタ'!$B$6:$B$1005,$W9672)=0),N(U9671)+1,N(U9671))</f>
        <v/>
      </c>
      <c r="V9672" s="19">
        <f>IF($B9672="","",TEXT($B9672,"0000"))</f>
        <v/>
      </c>
      <c r="W9672" s="19">
        <f>IF($I9672="","",IF(ISNUMBER($I9672),TEXT($I9672,"0"),$I9672))</f>
        <v/>
      </c>
    </row>
    <row r="9673">
      <c r="B9673" s="25" t="n"/>
      <c r="I9673" s="25" t="n"/>
      <c r="U9673" s="19">
        <f>IF(AND($V9673='設定'!$C$4,COUNTIF('商品マスタ'!$B$6:$B$1005,$W9673)=0),N(U9672)+1,N(U9672))</f>
        <v/>
      </c>
      <c r="V9673" s="19">
        <f>IF($B9673="","",TEXT($B9673,"0000"))</f>
        <v/>
      </c>
      <c r="W9673" s="19">
        <f>IF($I9673="","",IF(ISNUMBER($I9673),TEXT($I9673,"0"),$I9673))</f>
        <v/>
      </c>
    </row>
    <row r="9674">
      <c r="B9674" s="25" t="n"/>
      <c r="I9674" s="25" t="n"/>
      <c r="U9674" s="19">
        <f>IF(AND($V9674='設定'!$C$4,COUNTIF('商品マスタ'!$B$6:$B$1005,$W9674)=0),N(U9673)+1,N(U9673))</f>
        <v/>
      </c>
      <c r="V9674" s="19">
        <f>IF($B9674="","",TEXT($B9674,"0000"))</f>
        <v/>
      </c>
      <c r="W9674" s="19">
        <f>IF($I9674="","",IF(ISNUMBER($I9674),TEXT($I9674,"0"),$I9674))</f>
        <v/>
      </c>
    </row>
    <row r="9675">
      <c r="B9675" s="25" t="n"/>
      <c r="I9675" s="25" t="n"/>
      <c r="U9675" s="19">
        <f>IF(AND($V9675='設定'!$C$4,COUNTIF('商品マスタ'!$B$6:$B$1005,$W9675)=0),N(U9674)+1,N(U9674))</f>
        <v/>
      </c>
      <c r="V9675" s="19">
        <f>IF($B9675="","",TEXT($B9675,"0000"))</f>
        <v/>
      </c>
      <c r="W9675" s="19">
        <f>IF($I9675="","",IF(ISNUMBER($I9675),TEXT($I9675,"0"),$I9675))</f>
        <v/>
      </c>
    </row>
    <row r="9676">
      <c r="B9676" s="25" t="n"/>
      <c r="I9676" s="25" t="n"/>
      <c r="U9676" s="19">
        <f>IF(AND($V9676='設定'!$C$4,COUNTIF('商品マスタ'!$B$6:$B$1005,$W9676)=0),N(U9675)+1,N(U9675))</f>
        <v/>
      </c>
      <c r="V9676" s="19">
        <f>IF($B9676="","",TEXT($B9676,"0000"))</f>
        <v/>
      </c>
      <c r="W9676" s="19">
        <f>IF($I9676="","",IF(ISNUMBER($I9676),TEXT($I9676,"0"),$I9676))</f>
        <v/>
      </c>
    </row>
    <row r="9677">
      <c r="B9677" s="25" t="n"/>
      <c r="I9677" s="25" t="n"/>
      <c r="U9677" s="19">
        <f>IF(AND($V9677='設定'!$C$4,COUNTIF('商品マスタ'!$B$6:$B$1005,$W9677)=0),N(U9676)+1,N(U9676))</f>
        <v/>
      </c>
      <c r="V9677" s="19">
        <f>IF($B9677="","",TEXT($B9677,"0000"))</f>
        <v/>
      </c>
      <c r="W9677" s="19">
        <f>IF($I9677="","",IF(ISNUMBER($I9677),TEXT($I9677,"0"),$I9677))</f>
        <v/>
      </c>
    </row>
    <row r="9678">
      <c r="B9678" s="25" t="n"/>
      <c r="I9678" s="25" t="n"/>
      <c r="U9678" s="19">
        <f>IF(AND($V9678='設定'!$C$4,COUNTIF('商品マスタ'!$B$6:$B$1005,$W9678)=0),N(U9677)+1,N(U9677))</f>
        <v/>
      </c>
      <c r="V9678" s="19">
        <f>IF($B9678="","",TEXT($B9678,"0000"))</f>
        <v/>
      </c>
      <c r="W9678" s="19">
        <f>IF($I9678="","",IF(ISNUMBER($I9678),TEXT($I9678,"0"),$I9678))</f>
        <v/>
      </c>
    </row>
    <row r="9679">
      <c r="B9679" s="25" t="n"/>
      <c r="I9679" s="25" t="n"/>
      <c r="U9679" s="19">
        <f>IF(AND($V9679='設定'!$C$4,COUNTIF('商品マスタ'!$B$6:$B$1005,$W9679)=0),N(U9678)+1,N(U9678))</f>
        <v/>
      </c>
      <c r="V9679" s="19">
        <f>IF($B9679="","",TEXT($B9679,"0000"))</f>
        <v/>
      </c>
      <c r="W9679" s="19">
        <f>IF($I9679="","",IF(ISNUMBER($I9679),TEXT($I9679,"0"),$I9679))</f>
        <v/>
      </c>
    </row>
    <row r="9680">
      <c r="B9680" s="25" t="n"/>
      <c r="I9680" s="25" t="n"/>
      <c r="U9680" s="19">
        <f>IF(AND($V9680='設定'!$C$4,COUNTIF('商品マスタ'!$B$6:$B$1005,$W9680)=0),N(U9679)+1,N(U9679))</f>
        <v/>
      </c>
      <c r="V9680" s="19">
        <f>IF($B9680="","",TEXT($B9680,"0000"))</f>
        <v/>
      </c>
      <c r="W9680" s="19">
        <f>IF($I9680="","",IF(ISNUMBER($I9680),TEXT($I9680,"0"),$I9680))</f>
        <v/>
      </c>
    </row>
    <row r="9681">
      <c r="B9681" s="25" t="n"/>
      <c r="I9681" s="25" t="n"/>
      <c r="U9681" s="19">
        <f>IF(AND($V9681='設定'!$C$4,COUNTIF('商品マスタ'!$B$6:$B$1005,$W9681)=0),N(U9680)+1,N(U9680))</f>
        <v/>
      </c>
      <c r="V9681" s="19">
        <f>IF($B9681="","",TEXT($B9681,"0000"))</f>
        <v/>
      </c>
      <c r="W9681" s="19">
        <f>IF($I9681="","",IF(ISNUMBER($I9681),TEXT($I9681,"0"),$I9681))</f>
        <v/>
      </c>
    </row>
    <row r="9682">
      <c r="B9682" s="25" t="n"/>
      <c r="I9682" s="25" t="n"/>
      <c r="U9682" s="19">
        <f>IF(AND($V9682='設定'!$C$4,COUNTIF('商品マスタ'!$B$6:$B$1005,$W9682)=0),N(U9681)+1,N(U9681))</f>
        <v/>
      </c>
      <c r="V9682" s="19">
        <f>IF($B9682="","",TEXT($B9682,"0000"))</f>
        <v/>
      </c>
      <c r="W9682" s="19">
        <f>IF($I9682="","",IF(ISNUMBER($I9682),TEXT($I9682,"0"),$I9682))</f>
        <v/>
      </c>
    </row>
    <row r="9683">
      <c r="B9683" s="25" t="n"/>
      <c r="I9683" s="25" t="n"/>
      <c r="U9683" s="19">
        <f>IF(AND($V9683='設定'!$C$4,COUNTIF('商品マスタ'!$B$6:$B$1005,$W9683)=0),N(U9682)+1,N(U9682))</f>
        <v/>
      </c>
      <c r="V9683" s="19">
        <f>IF($B9683="","",TEXT($B9683,"0000"))</f>
        <v/>
      </c>
      <c r="W9683" s="19">
        <f>IF($I9683="","",IF(ISNUMBER($I9683),TEXT($I9683,"0"),$I9683))</f>
        <v/>
      </c>
    </row>
    <row r="9684">
      <c r="B9684" s="25" t="n"/>
      <c r="I9684" s="25" t="n"/>
      <c r="U9684" s="19">
        <f>IF(AND($V9684='設定'!$C$4,COUNTIF('商品マスタ'!$B$6:$B$1005,$W9684)=0),N(U9683)+1,N(U9683))</f>
        <v/>
      </c>
      <c r="V9684" s="19">
        <f>IF($B9684="","",TEXT($B9684,"0000"))</f>
        <v/>
      </c>
      <c r="W9684" s="19">
        <f>IF($I9684="","",IF(ISNUMBER($I9684),TEXT($I9684,"0"),$I9684))</f>
        <v/>
      </c>
    </row>
    <row r="9685">
      <c r="B9685" s="25" t="n"/>
      <c r="I9685" s="25" t="n"/>
      <c r="U9685" s="19">
        <f>IF(AND($V9685='設定'!$C$4,COUNTIF('商品マスタ'!$B$6:$B$1005,$W9685)=0),N(U9684)+1,N(U9684))</f>
        <v/>
      </c>
      <c r="V9685" s="19">
        <f>IF($B9685="","",TEXT($B9685,"0000"))</f>
        <v/>
      </c>
      <c r="W9685" s="19">
        <f>IF($I9685="","",IF(ISNUMBER($I9685),TEXT($I9685,"0"),$I9685))</f>
        <v/>
      </c>
    </row>
    <row r="9686">
      <c r="B9686" s="25" t="n"/>
      <c r="I9686" s="25" t="n"/>
      <c r="U9686" s="19">
        <f>IF(AND($V9686='設定'!$C$4,COUNTIF('商品マスタ'!$B$6:$B$1005,$W9686)=0),N(U9685)+1,N(U9685))</f>
        <v/>
      </c>
      <c r="V9686" s="19">
        <f>IF($B9686="","",TEXT($B9686,"0000"))</f>
        <v/>
      </c>
      <c r="W9686" s="19">
        <f>IF($I9686="","",IF(ISNUMBER($I9686),TEXT($I9686,"0"),$I9686))</f>
        <v/>
      </c>
    </row>
    <row r="9687">
      <c r="B9687" s="25" t="n"/>
      <c r="I9687" s="25" t="n"/>
      <c r="U9687" s="19">
        <f>IF(AND($V9687='設定'!$C$4,COUNTIF('商品マスタ'!$B$6:$B$1005,$W9687)=0),N(U9686)+1,N(U9686))</f>
        <v/>
      </c>
      <c r="V9687" s="19">
        <f>IF($B9687="","",TEXT($B9687,"0000"))</f>
        <v/>
      </c>
      <c r="W9687" s="19">
        <f>IF($I9687="","",IF(ISNUMBER($I9687),TEXT($I9687,"0"),$I9687))</f>
        <v/>
      </c>
    </row>
    <row r="9688">
      <c r="B9688" s="25" t="n"/>
      <c r="I9688" s="25" t="n"/>
      <c r="U9688" s="19">
        <f>IF(AND($V9688='設定'!$C$4,COUNTIF('商品マスタ'!$B$6:$B$1005,$W9688)=0),N(U9687)+1,N(U9687))</f>
        <v/>
      </c>
      <c r="V9688" s="19">
        <f>IF($B9688="","",TEXT($B9688,"0000"))</f>
        <v/>
      </c>
      <c r="W9688" s="19">
        <f>IF($I9688="","",IF(ISNUMBER($I9688),TEXT($I9688,"0"),$I9688))</f>
        <v/>
      </c>
    </row>
    <row r="9689">
      <c r="B9689" s="25" t="n"/>
      <c r="I9689" s="25" t="n"/>
      <c r="U9689" s="19">
        <f>IF(AND($V9689='設定'!$C$4,COUNTIF('商品マスタ'!$B$6:$B$1005,$W9689)=0),N(U9688)+1,N(U9688))</f>
        <v/>
      </c>
      <c r="V9689" s="19">
        <f>IF($B9689="","",TEXT($B9689,"0000"))</f>
        <v/>
      </c>
      <c r="W9689" s="19">
        <f>IF($I9689="","",IF(ISNUMBER($I9689),TEXT($I9689,"0"),$I9689))</f>
        <v/>
      </c>
    </row>
    <row r="9690">
      <c r="B9690" s="25" t="n"/>
      <c r="I9690" s="25" t="n"/>
      <c r="U9690" s="19">
        <f>IF(AND($V9690='設定'!$C$4,COUNTIF('商品マスタ'!$B$6:$B$1005,$W9690)=0),N(U9689)+1,N(U9689))</f>
        <v/>
      </c>
      <c r="V9690" s="19">
        <f>IF($B9690="","",TEXT($B9690,"0000"))</f>
        <v/>
      </c>
      <c r="W9690" s="19">
        <f>IF($I9690="","",IF(ISNUMBER($I9690),TEXT($I9690,"0"),$I9690))</f>
        <v/>
      </c>
    </row>
    <row r="9691">
      <c r="B9691" s="25" t="n"/>
      <c r="I9691" s="25" t="n"/>
      <c r="U9691" s="19">
        <f>IF(AND($V9691='設定'!$C$4,COUNTIF('商品マスタ'!$B$6:$B$1005,$W9691)=0),N(U9690)+1,N(U9690))</f>
        <v/>
      </c>
      <c r="V9691" s="19">
        <f>IF($B9691="","",TEXT($B9691,"0000"))</f>
        <v/>
      </c>
      <c r="W9691" s="19">
        <f>IF($I9691="","",IF(ISNUMBER($I9691),TEXT($I9691,"0"),$I9691))</f>
        <v/>
      </c>
    </row>
    <row r="9692">
      <c r="B9692" s="25" t="n"/>
      <c r="I9692" s="25" t="n"/>
      <c r="U9692" s="19">
        <f>IF(AND($V9692='設定'!$C$4,COUNTIF('商品マスタ'!$B$6:$B$1005,$W9692)=0),N(U9691)+1,N(U9691))</f>
        <v/>
      </c>
      <c r="V9692" s="19">
        <f>IF($B9692="","",TEXT($B9692,"0000"))</f>
        <v/>
      </c>
      <c r="W9692" s="19">
        <f>IF($I9692="","",IF(ISNUMBER($I9692),TEXT($I9692,"0"),$I9692))</f>
        <v/>
      </c>
    </row>
    <row r="9693">
      <c r="B9693" s="25" t="n"/>
      <c r="I9693" s="25" t="n"/>
      <c r="U9693" s="19">
        <f>IF(AND($V9693='設定'!$C$4,COUNTIF('商品マスタ'!$B$6:$B$1005,$W9693)=0),N(U9692)+1,N(U9692))</f>
        <v/>
      </c>
      <c r="V9693" s="19">
        <f>IF($B9693="","",TEXT($B9693,"0000"))</f>
        <v/>
      </c>
      <c r="W9693" s="19">
        <f>IF($I9693="","",IF(ISNUMBER($I9693),TEXT($I9693,"0"),$I9693))</f>
        <v/>
      </c>
    </row>
    <row r="9694">
      <c r="B9694" s="25" t="n"/>
      <c r="I9694" s="25" t="n"/>
      <c r="U9694" s="19">
        <f>IF(AND($V9694='設定'!$C$4,COUNTIF('商品マスタ'!$B$6:$B$1005,$W9694)=0),N(U9693)+1,N(U9693))</f>
        <v/>
      </c>
      <c r="V9694" s="19">
        <f>IF($B9694="","",TEXT($B9694,"0000"))</f>
        <v/>
      </c>
      <c r="W9694" s="19">
        <f>IF($I9694="","",IF(ISNUMBER($I9694),TEXT($I9694,"0"),$I9694))</f>
        <v/>
      </c>
    </row>
    <row r="9695">
      <c r="B9695" s="25" t="n"/>
      <c r="I9695" s="25" t="n"/>
      <c r="U9695" s="19">
        <f>IF(AND($V9695='設定'!$C$4,COUNTIF('商品マスタ'!$B$6:$B$1005,$W9695)=0),N(U9694)+1,N(U9694))</f>
        <v/>
      </c>
      <c r="V9695" s="19">
        <f>IF($B9695="","",TEXT($B9695,"0000"))</f>
        <v/>
      </c>
      <c r="W9695" s="19">
        <f>IF($I9695="","",IF(ISNUMBER($I9695),TEXT($I9695,"0"),$I9695))</f>
        <v/>
      </c>
    </row>
    <row r="9696">
      <c r="B9696" s="25" t="n"/>
      <c r="I9696" s="25" t="n"/>
      <c r="U9696" s="19">
        <f>IF(AND($V9696='設定'!$C$4,COUNTIF('商品マスタ'!$B$6:$B$1005,$W9696)=0),N(U9695)+1,N(U9695))</f>
        <v/>
      </c>
      <c r="V9696" s="19">
        <f>IF($B9696="","",TEXT($B9696,"0000"))</f>
        <v/>
      </c>
      <c r="W9696" s="19">
        <f>IF($I9696="","",IF(ISNUMBER($I9696),TEXT($I9696,"0"),$I9696))</f>
        <v/>
      </c>
    </row>
    <row r="9697">
      <c r="B9697" s="25" t="n"/>
      <c r="I9697" s="25" t="n"/>
      <c r="U9697" s="19">
        <f>IF(AND($V9697='設定'!$C$4,COUNTIF('商品マスタ'!$B$6:$B$1005,$W9697)=0),N(U9696)+1,N(U9696))</f>
        <v/>
      </c>
      <c r="V9697" s="19">
        <f>IF($B9697="","",TEXT($B9697,"0000"))</f>
        <v/>
      </c>
      <c r="W9697" s="19">
        <f>IF($I9697="","",IF(ISNUMBER($I9697),TEXT($I9697,"0"),$I9697))</f>
        <v/>
      </c>
    </row>
    <row r="9698">
      <c r="B9698" s="25" t="n"/>
      <c r="I9698" s="25" t="n"/>
      <c r="U9698" s="19">
        <f>IF(AND($V9698='設定'!$C$4,COUNTIF('商品マスタ'!$B$6:$B$1005,$W9698)=0),N(U9697)+1,N(U9697))</f>
        <v/>
      </c>
      <c r="V9698" s="19">
        <f>IF($B9698="","",TEXT($B9698,"0000"))</f>
        <v/>
      </c>
      <c r="W9698" s="19">
        <f>IF($I9698="","",IF(ISNUMBER($I9698),TEXT($I9698,"0"),$I9698))</f>
        <v/>
      </c>
    </row>
    <row r="9699">
      <c r="B9699" s="25" t="n"/>
      <c r="I9699" s="25" t="n"/>
      <c r="U9699" s="19">
        <f>IF(AND($V9699='設定'!$C$4,COUNTIF('商品マスタ'!$B$6:$B$1005,$W9699)=0),N(U9698)+1,N(U9698))</f>
        <v/>
      </c>
      <c r="V9699" s="19">
        <f>IF($B9699="","",TEXT($B9699,"0000"))</f>
        <v/>
      </c>
      <c r="W9699" s="19">
        <f>IF($I9699="","",IF(ISNUMBER($I9699),TEXT($I9699,"0"),$I9699))</f>
        <v/>
      </c>
    </row>
    <row r="9700">
      <c r="B9700" s="25" t="n"/>
      <c r="I9700" s="25" t="n"/>
      <c r="U9700" s="19">
        <f>IF(AND($V9700='設定'!$C$4,COUNTIF('商品マスタ'!$B$6:$B$1005,$W9700)=0),N(U9699)+1,N(U9699))</f>
        <v/>
      </c>
      <c r="V9700" s="19">
        <f>IF($B9700="","",TEXT($B9700,"0000"))</f>
        <v/>
      </c>
      <c r="W9700" s="19">
        <f>IF($I9700="","",IF(ISNUMBER($I9700),TEXT($I9700,"0"),$I9700))</f>
        <v/>
      </c>
    </row>
    <row r="9701">
      <c r="B9701" s="25" t="n"/>
      <c r="I9701" s="25" t="n"/>
      <c r="U9701" s="19">
        <f>IF(AND($V9701='設定'!$C$4,COUNTIF('商品マスタ'!$B$6:$B$1005,$W9701)=0),N(U9700)+1,N(U9700))</f>
        <v/>
      </c>
      <c r="V9701" s="19">
        <f>IF($B9701="","",TEXT($B9701,"0000"))</f>
        <v/>
      </c>
      <c r="W9701" s="19">
        <f>IF($I9701="","",IF(ISNUMBER($I9701),TEXT($I9701,"0"),$I9701))</f>
        <v/>
      </c>
    </row>
    <row r="9702">
      <c r="B9702" s="25" t="n"/>
      <c r="I9702" s="25" t="n"/>
      <c r="U9702" s="19">
        <f>IF(AND($V9702='設定'!$C$4,COUNTIF('商品マスタ'!$B$6:$B$1005,$W9702)=0),N(U9701)+1,N(U9701))</f>
        <v/>
      </c>
      <c r="V9702" s="19">
        <f>IF($B9702="","",TEXT($B9702,"0000"))</f>
        <v/>
      </c>
      <c r="W9702" s="19">
        <f>IF($I9702="","",IF(ISNUMBER($I9702),TEXT($I9702,"0"),$I9702))</f>
        <v/>
      </c>
    </row>
    <row r="9703">
      <c r="B9703" s="25" t="n"/>
      <c r="I9703" s="25" t="n"/>
      <c r="U9703" s="19">
        <f>IF(AND($V9703='設定'!$C$4,COUNTIF('商品マスタ'!$B$6:$B$1005,$W9703)=0),N(U9702)+1,N(U9702))</f>
        <v/>
      </c>
      <c r="V9703" s="19">
        <f>IF($B9703="","",TEXT($B9703,"0000"))</f>
        <v/>
      </c>
      <c r="W9703" s="19">
        <f>IF($I9703="","",IF(ISNUMBER($I9703),TEXT($I9703,"0"),$I9703))</f>
        <v/>
      </c>
    </row>
    <row r="9704">
      <c r="B9704" s="25" t="n"/>
      <c r="I9704" s="25" t="n"/>
      <c r="U9704" s="19">
        <f>IF(AND($V9704='設定'!$C$4,COUNTIF('商品マスタ'!$B$6:$B$1005,$W9704)=0),N(U9703)+1,N(U9703))</f>
        <v/>
      </c>
      <c r="V9704" s="19">
        <f>IF($B9704="","",TEXT($B9704,"0000"))</f>
        <v/>
      </c>
      <c r="W9704" s="19">
        <f>IF($I9704="","",IF(ISNUMBER($I9704),TEXT($I9704,"0"),$I9704))</f>
        <v/>
      </c>
    </row>
    <row r="9705">
      <c r="B9705" s="25" t="n"/>
      <c r="I9705" s="25" t="n"/>
      <c r="U9705" s="19">
        <f>IF(AND($V9705='設定'!$C$4,COUNTIF('商品マスタ'!$B$6:$B$1005,$W9705)=0),N(U9704)+1,N(U9704))</f>
        <v/>
      </c>
      <c r="V9705" s="19">
        <f>IF($B9705="","",TEXT($B9705,"0000"))</f>
        <v/>
      </c>
      <c r="W9705" s="19">
        <f>IF($I9705="","",IF(ISNUMBER($I9705),TEXT($I9705,"0"),$I9705))</f>
        <v/>
      </c>
    </row>
    <row r="9706">
      <c r="B9706" s="25" t="n"/>
      <c r="I9706" s="25" t="n"/>
      <c r="U9706" s="19">
        <f>IF(AND($V9706='設定'!$C$4,COUNTIF('商品マスタ'!$B$6:$B$1005,$W9706)=0),N(U9705)+1,N(U9705))</f>
        <v/>
      </c>
      <c r="V9706" s="19">
        <f>IF($B9706="","",TEXT($B9706,"0000"))</f>
        <v/>
      </c>
      <c r="W9706" s="19">
        <f>IF($I9706="","",IF(ISNUMBER($I9706),TEXT($I9706,"0"),$I9706))</f>
        <v/>
      </c>
    </row>
    <row r="9707">
      <c r="B9707" s="25" t="n"/>
      <c r="I9707" s="25" t="n"/>
      <c r="U9707" s="19">
        <f>IF(AND($V9707='設定'!$C$4,COUNTIF('商品マスタ'!$B$6:$B$1005,$W9707)=0),N(U9706)+1,N(U9706))</f>
        <v/>
      </c>
      <c r="V9707" s="19">
        <f>IF($B9707="","",TEXT($B9707,"0000"))</f>
        <v/>
      </c>
      <c r="W9707" s="19">
        <f>IF($I9707="","",IF(ISNUMBER($I9707),TEXT($I9707,"0"),$I9707))</f>
        <v/>
      </c>
    </row>
    <row r="9708">
      <c r="B9708" s="25" t="n"/>
      <c r="I9708" s="25" t="n"/>
      <c r="U9708" s="19">
        <f>IF(AND($V9708='設定'!$C$4,COUNTIF('商品マスタ'!$B$6:$B$1005,$W9708)=0),N(U9707)+1,N(U9707))</f>
        <v/>
      </c>
      <c r="V9708" s="19">
        <f>IF($B9708="","",TEXT($B9708,"0000"))</f>
        <v/>
      </c>
      <c r="W9708" s="19">
        <f>IF($I9708="","",IF(ISNUMBER($I9708),TEXT($I9708,"0"),$I9708))</f>
        <v/>
      </c>
    </row>
    <row r="9709">
      <c r="B9709" s="25" t="n"/>
      <c r="I9709" s="25" t="n"/>
      <c r="U9709" s="19">
        <f>IF(AND($V9709='設定'!$C$4,COUNTIF('商品マスタ'!$B$6:$B$1005,$W9709)=0),N(U9708)+1,N(U9708))</f>
        <v/>
      </c>
      <c r="V9709" s="19">
        <f>IF($B9709="","",TEXT($B9709,"0000"))</f>
        <v/>
      </c>
      <c r="W9709" s="19">
        <f>IF($I9709="","",IF(ISNUMBER($I9709),TEXT($I9709,"0"),$I9709))</f>
        <v/>
      </c>
    </row>
    <row r="9710">
      <c r="B9710" s="25" t="n"/>
      <c r="I9710" s="25" t="n"/>
      <c r="U9710" s="19">
        <f>IF(AND($V9710='設定'!$C$4,COUNTIF('商品マスタ'!$B$6:$B$1005,$W9710)=0),N(U9709)+1,N(U9709))</f>
        <v/>
      </c>
      <c r="V9710" s="19">
        <f>IF($B9710="","",TEXT($B9710,"0000"))</f>
        <v/>
      </c>
      <c r="W9710" s="19">
        <f>IF($I9710="","",IF(ISNUMBER($I9710),TEXT($I9710,"0"),$I9710))</f>
        <v/>
      </c>
    </row>
    <row r="9711">
      <c r="B9711" s="25" t="n"/>
      <c r="I9711" s="25" t="n"/>
      <c r="U9711" s="19">
        <f>IF(AND($V9711='設定'!$C$4,COUNTIF('商品マスタ'!$B$6:$B$1005,$W9711)=0),N(U9710)+1,N(U9710))</f>
        <v/>
      </c>
      <c r="V9711" s="19">
        <f>IF($B9711="","",TEXT($B9711,"0000"))</f>
        <v/>
      </c>
      <c r="W9711" s="19">
        <f>IF($I9711="","",IF(ISNUMBER($I9711),TEXT($I9711,"0"),$I9711))</f>
        <v/>
      </c>
    </row>
    <row r="9712">
      <c r="B9712" s="25" t="n"/>
      <c r="I9712" s="25" t="n"/>
      <c r="U9712" s="19">
        <f>IF(AND($V9712='設定'!$C$4,COUNTIF('商品マスタ'!$B$6:$B$1005,$W9712)=0),N(U9711)+1,N(U9711))</f>
        <v/>
      </c>
      <c r="V9712" s="19">
        <f>IF($B9712="","",TEXT($B9712,"0000"))</f>
        <v/>
      </c>
      <c r="W9712" s="19">
        <f>IF($I9712="","",IF(ISNUMBER($I9712),TEXT($I9712,"0"),$I9712))</f>
        <v/>
      </c>
    </row>
    <row r="9713">
      <c r="B9713" s="25" t="n"/>
      <c r="I9713" s="25" t="n"/>
      <c r="U9713" s="19">
        <f>IF(AND($V9713='設定'!$C$4,COUNTIF('商品マスタ'!$B$6:$B$1005,$W9713)=0),N(U9712)+1,N(U9712))</f>
        <v/>
      </c>
      <c r="V9713" s="19">
        <f>IF($B9713="","",TEXT($B9713,"0000"))</f>
        <v/>
      </c>
      <c r="W9713" s="19">
        <f>IF($I9713="","",IF(ISNUMBER($I9713),TEXT($I9713,"0"),$I9713))</f>
        <v/>
      </c>
    </row>
    <row r="9714">
      <c r="B9714" s="25" t="n"/>
      <c r="I9714" s="25" t="n"/>
      <c r="U9714" s="19">
        <f>IF(AND($V9714='設定'!$C$4,COUNTIF('商品マスタ'!$B$6:$B$1005,$W9714)=0),N(U9713)+1,N(U9713))</f>
        <v/>
      </c>
      <c r="V9714" s="19">
        <f>IF($B9714="","",TEXT($B9714,"0000"))</f>
        <v/>
      </c>
      <c r="W9714" s="19">
        <f>IF($I9714="","",IF(ISNUMBER($I9714),TEXT($I9714,"0"),$I9714))</f>
        <v/>
      </c>
    </row>
    <row r="9715">
      <c r="B9715" s="25" t="n"/>
      <c r="I9715" s="25" t="n"/>
      <c r="U9715" s="19">
        <f>IF(AND($V9715='設定'!$C$4,COUNTIF('商品マスタ'!$B$6:$B$1005,$W9715)=0),N(U9714)+1,N(U9714))</f>
        <v/>
      </c>
      <c r="V9715" s="19">
        <f>IF($B9715="","",TEXT($B9715,"0000"))</f>
        <v/>
      </c>
      <c r="W9715" s="19">
        <f>IF($I9715="","",IF(ISNUMBER($I9715),TEXT($I9715,"0"),$I9715))</f>
        <v/>
      </c>
    </row>
    <row r="9716">
      <c r="B9716" s="25" t="n"/>
      <c r="I9716" s="25" t="n"/>
      <c r="U9716" s="19">
        <f>IF(AND($V9716='設定'!$C$4,COUNTIF('商品マスタ'!$B$6:$B$1005,$W9716)=0),N(U9715)+1,N(U9715))</f>
        <v/>
      </c>
      <c r="V9716" s="19">
        <f>IF($B9716="","",TEXT($B9716,"0000"))</f>
        <v/>
      </c>
      <c r="W9716" s="19">
        <f>IF($I9716="","",IF(ISNUMBER($I9716),TEXT($I9716,"0"),$I9716))</f>
        <v/>
      </c>
    </row>
    <row r="9717">
      <c r="B9717" s="25" t="n"/>
      <c r="I9717" s="25" t="n"/>
      <c r="U9717" s="19">
        <f>IF(AND($V9717='設定'!$C$4,COUNTIF('商品マスタ'!$B$6:$B$1005,$W9717)=0),N(U9716)+1,N(U9716))</f>
        <v/>
      </c>
      <c r="V9717" s="19">
        <f>IF($B9717="","",TEXT($B9717,"0000"))</f>
        <v/>
      </c>
      <c r="W9717" s="19">
        <f>IF($I9717="","",IF(ISNUMBER($I9717),TEXT($I9717,"0"),$I9717))</f>
        <v/>
      </c>
    </row>
    <row r="9718">
      <c r="B9718" s="25" t="n"/>
      <c r="I9718" s="25" t="n"/>
      <c r="U9718" s="19">
        <f>IF(AND($V9718='設定'!$C$4,COUNTIF('商品マスタ'!$B$6:$B$1005,$W9718)=0),N(U9717)+1,N(U9717))</f>
        <v/>
      </c>
      <c r="V9718" s="19">
        <f>IF($B9718="","",TEXT($B9718,"0000"))</f>
        <v/>
      </c>
      <c r="W9718" s="19">
        <f>IF($I9718="","",IF(ISNUMBER($I9718),TEXT($I9718,"0"),$I9718))</f>
        <v/>
      </c>
    </row>
    <row r="9719">
      <c r="B9719" s="25" t="n"/>
      <c r="I9719" s="25" t="n"/>
      <c r="U9719" s="19">
        <f>IF(AND($V9719='設定'!$C$4,COUNTIF('商品マスタ'!$B$6:$B$1005,$W9719)=0),N(U9718)+1,N(U9718))</f>
        <v/>
      </c>
      <c r="V9719" s="19">
        <f>IF($B9719="","",TEXT($B9719,"0000"))</f>
        <v/>
      </c>
      <c r="W9719" s="19">
        <f>IF($I9719="","",IF(ISNUMBER($I9719),TEXT($I9719,"0"),$I9719))</f>
        <v/>
      </c>
    </row>
    <row r="9720">
      <c r="B9720" s="25" t="n"/>
      <c r="I9720" s="25" t="n"/>
      <c r="U9720" s="19">
        <f>IF(AND($V9720='設定'!$C$4,COUNTIF('商品マスタ'!$B$6:$B$1005,$W9720)=0),N(U9719)+1,N(U9719))</f>
        <v/>
      </c>
      <c r="V9720" s="19">
        <f>IF($B9720="","",TEXT($B9720,"0000"))</f>
        <v/>
      </c>
      <c r="W9720" s="19">
        <f>IF($I9720="","",IF(ISNUMBER($I9720),TEXT($I9720,"0"),$I9720))</f>
        <v/>
      </c>
    </row>
    <row r="9721">
      <c r="B9721" s="25" t="n"/>
      <c r="I9721" s="25" t="n"/>
      <c r="U9721" s="19">
        <f>IF(AND($V9721='設定'!$C$4,COUNTIF('商品マスタ'!$B$6:$B$1005,$W9721)=0),N(U9720)+1,N(U9720))</f>
        <v/>
      </c>
      <c r="V9721" s="19">
        <f>IF($B9721="","",TEXT($B9721,"0000"))</f>
        <v/>
      </c>
      <c r="W9721" s="19">
        <f>IF($I9721="","",IF(ISNUMBER($I9721),TEXT($I9721,"0"),$I9721))</f>
        <v/>
      </c>
    </row>
    <row r="9722">
      <c r="B9722" s="25" t="n"/>
      <c r="I9722" s="25" t="n"/>
      <c r="U9722" s="19">
        <f>IF(AND($V9722='設定'!$C$4,COUNTIF('商品マスタ'!$B$6:$B$1005,$W9722)=0),N(U9721)+1,N(U9721))</f>
        <v/>
      </c>
      <c r="V9722" s="19">
        <f>IF($B9722="","",TEXT($B9722,"0000"))</f>
        <v/>
      </c>
      <c r="W9722" s="19">
        <f>IF($I9722="","",IF(ISNUMBER($I9722),TEXT($I9722,"0"),$I9722))</f>
        <v/>
      </c>
    </row>
    <row r="9723">
      <c r="B9723" s="25" t="n"/>
      <c r="I9723" s="25" t="n"/>
      <c r="U9723" s="19">
        <f>IF(AND($V9723='設定'!$C$4,COUNTIF('商品マスタ'!$B$6:$B$1005,$W9723)=0),N(U9722)+1,N(U9722))</f>
        <v/>
      </c>
      <c r="V9723" s="19">
        <f>IF($B9723="","",TEXT($B9723,"0000"))</f>
        <v/>
      </c>
      <c r="W9723" s="19">
        <f>IF($I9723="","",IF(ISNUMBER($I9723),TEXT($I9723,"0"),$I9723))</f>
        <v/>
      </c>
    </row>
    <row r="9724">
      <c r="B9724" s="25" t="n"/>
      <c r="I9724" s="25" t="n"/>
      <c r="U9724" s="19">
        <f>IF(AND($V9724='設定'!$C$4,COUNTIF('商品マスタ'!$B$6:$B$1005,$W9724)=0),N(U9723)+1,N(U9723))</f>
        <v/>
      </c>
      <c r="V9724" s="19">
        <f>IF($B9724="","",TEXT($B9724,"0000"))</f>
        <v/>
      </c>
      <c r="W9724" s="19">
        <f>IF($I9724="","",IF(ISNUMBER($I9724),TEXT($I9724,"0"),$I9724))</f>
        <v/>
      </c>
    </row>
    <row r="9725">
      <c r="B9725" s="25" t="n"/>
      <c r="I9725" s="25" t="n"/>
      <c r="U9725" s="19">
        <f>IF(AND($V9725='設定'!$C$4,COUNTIF('商品マスタ'!$B$6:$B$1005,$W9725)=0),N(U9724)+1,N(U9724))</f>
        <v/>
      </c>
      <c r="V9725" s="19">
        <f>IF($B9725="","",TEXT($B9725,"0000"))</f>
        <v/>
      </c>
      <c r="W9725" s="19">
        <f>IF($I9725="","",IF(ISNUMBER($I9725),TEXT($I9725,"0"),$I9725))</f>
        <v/>
      </c>
    </row>
    <row r="9726">
      <c r="B9726" s="25" t="n"/>
      <c r="I9726" s="25" t="n"/>
      <c r="U9726" s="19">
        <f>IF(AND($V9726='設定'!$C$4,COUNTIF('商品マスタ'!$B$6:$B$1005,$W9726)=0),N(U9725)+1,N(U9725))</f>
        <v/>
      </c>
      <c r="V9726" s="19">
        <f>IF($B9726="","",TEXT($B9726,"0000"))</f>
        <v/>
      </c>
      <c r="W9726" s="19">
        <f>IF($I9726="","",IF(ISNUMBER($I9726),TEXT($I9726,"0"),$I9726))</f>
        <v/>
      </c>
    </row>
    <row r="9727">
      <c r="B9727" s="25" t="n"/>
      <c r="I9727" s="25" t="n"/>
      <c r="U9727" s="19">
        <f>IF(AND($V9727='設定'!$C$4,COUNTIF('商品マスタ'!$B$6:$B$1005,$W9727)=0),N(U9726)+1,N(U9726))</f>
        <v/>
      </c>
      <c r="V9727" s="19">
        <f>IF($B9727="","",TEXT($B9727,"0000"))</f>
        <v/>
      </c>
      <c r="W9727" s="19">
        <f>IF($I9727="","",IF(ISNUMBER($I9727),TEXT($I9727,"0"),$I9727))</f>
        <v/>
      </c>
    </row>
    <row r="9728">
      <c r="B9728" s="25" t="n"/>
      <c r="I9728" s="25" t="n"/>
      <c r="U9728" s="19">
        <f>IF(AND($V9728='設定'!$C$4,COUNTIF('商品マスタ'!$B$6:$B$1005,$W9728)=0),N(U9727)+1,N(U9727))</f>
        <v/>
      </c>
      <c r="V9728" s="19">
        <f>IF($B9728="","",TEXT($B9728,"0000"))</f>
        <v/>
      </c>
      <c r="W9728" s="19">
        <f>IF($I9728="","",IF(ISNUMBER($I9728),TEXT($I9728,"0"),$I9728))</f>
        <v/>
      </c>
    </row>
    <row r="9729">
      <c r="B9729" s="25" t="n"/>
      <c r="I9729" s="25" t="n"/>
      <c r="U9729" s="19">
        <f>IF(AND($V9729='設定'!$C$4,COUNTIF('商品マスタ'!$B$6:$B$1005,$W9729)=0),N(U9728)+1,N(U9728))</f>
        <v/>
      </c>
      <c r="V9729" s="19">
        <f>IF($B9729="","",TEXT($B9729,"0000"))</f>
        <v/>
      </c>
      <c r="W9729" s="19">
        <f>IF($I9729="","",IF(ISNUMBER($I9729),TEXT($I9729,"0"),$I9729))</f>
        <v/>
      </c>
    </row>
    <row r="9730">
      <c r="B9730" s="25" t="n"/>
      <c r="I9730" s="25" t="n"/>
      <c r="U9730" s="19">
        <f>IF(AND($V9730='設定'!$C$4,COUNTIF('商品マスタ'!$B$6:$B$1005,$W9730)=0),N(U9729)+1,N(U9729))</f>
        <v/>
      </c>
      <c r="V9730" s="19">
        <f>IF($B9730="","",TEXT($B9730,"0000"))</f>
        <v/>
      </c>
      <c r="W9730" s="19">
        <f>IF($I9730="","",IF(ISNUMBER($I9730),TEXT($I9730,"0"),$I9730))</f>
        <v/>
      </c>
    </row>
    <row r="9731">
      <c r="B9731" s="25" t="n"/>
      <c r="I9731" s="25" t="n"/>
      <c r="U9731" s="19">
        <f>IF(AND($V9731='設定'!$C$4,COUNTIF('商品マスタ'!$B$6:$B$1005,$W9731)=0),N(U9730)+1,N(U9730))</f>
        <v/>
      </c>
      <c r="V9731" s="19">
        <f>IF($B9731="","",TEXT($B9731,"0000"))</f>
        <v/>
      </c>
      <c r="W9731" s="19">
        <f>IF($I9731="","",IF(ISNUMBER($I9731),TEXT($I9731,"0"),$I9731))</f>
        <v/>
      </c>
    </row>
    <row r="9732">
      <c r="B9732" s="25" t="n"/>
      <c r="I9732" s="25" t="n"/>
      <c r="U9732" s="19">
        <f>IF(AND($V9732='設定'!$C$4,COUNTIF('商品マスタ'!$B$6:$B$1005,$W9732)=0),N(U9731)+1,N(U9731))</f>
        <v/>
      </c>
      <c r="V9732" s="19">
        <f>IF($B9732="","",TEXT($B9732,"0000"))</f>
        <v/>
      </c>
      <c r="W9732" s="19">
        <f>IF($I9732="","",IF(ISNUMBER($I9732),TEXT($I9732,"0"),$I9732))</f>
        <v/>
      </c>
    </row>
    <row r="9733">
      <c r="B9733" s="25" t="n"/>
      <c r="I9733" s="25" t="n"/>
      <c r="U9733" s="19">
        <f>IF(AND($V9733='設定'!$C$4,COUNTIF('商品マスタ'!$B$6:$B$1005,$W9733)=0),N(U9732)+1,N(U9732))</f>
        <v/>
      </c>
      <c r="V9733" s="19">
        <f>IF($B9733="","",TEXT($B9733,"0000"))</f>
        <v/>
      </c>
      <c r="W9733" s="19">
        <f>IF($I9733="","",IF(ISNUMBER($I9733),TEXT($I9733,"0"),$I9733))</f>
        <v/>
      </c>
    </row>
    <row r="9734">
      <c r="B9734" s="25" t="n"/>
      <c r="I9734" s="25" t="n"/>
      <c r="U9734" s="19">
        <f>IF(AND($V9734='設定'!$C$4,COUNTIF('商品マスタ'!$B$6:$B$1005,$W9734)=0),N(U9733)+1,N(U9733))</f>
        <v/>
      </c>
      <c r="V9734" s="19">
        <f>IF($B9734="","",TEXT($B9734,"0000"))</f>
        <v/>
      </c>
      <c r="W9734" s="19">
        <f>IF($I9734="","",IF(ISNUMBER($I9734),TEXT($I9734,"0"),$I9734))</f>
        <v/>
      </c>
    </row>
    <row r="9735">
      <c r="B9735" s="25" t="n"/>
      <c r="I9735" s="25" t="n"/>
      <c r="U9735" s="19">
        <f>IF(AND($V9735='設定'!$C$4,COUNTIF('商品マスタ'!$B$6:$B$1005,$W9735)=0),N(U9734)+1,N(U9734))</f>
        <v/>
      </c>
      <c r="V9735" s="19">
        <f>IF($B9735="","",TEXT($B9735,"0000"))</f>
        <v/>
      </c>
      <c r="W9735" s="19">
        <f>IF($I9735="","",IF(ISNUMBER($I9735),TEXT($I9735,"0"),$I9735))</f>
        <v/>
      </c>
    </row>
    <row r="9736">
      <c r="B9736" s="25" t="n"/>
      <c r="I9736" s="25" t="n"/>
      <c r="U9736" s="19">
        <f>IF(AND($V9736='設定'!$C$4,COUNTIF('商品マスタ'!$B$6:$B$1005,$W9736)=0),N(U9735)+1,N(U9735))</f>
        <v/>
      </c>
      <c r="V9736" s="19">
        <f>IF($B9736="","",TEXT($B9736,"0000"))</f>
        <v/>
      </c>
      <c r="W9736" s="19">
        <f>IF($I9736="","",IF(ISNUMBER($I9736),TEXT($I9736,"0"),$I9736))</f>
        <v/>
      </c>
    </row>
    <row r="9737">
      <c r="B9737" s="25" t="n"/>
      <c r="I9737" s="25" t="n"/>
      <c r="U9737" s="19">
        <f>IF(AND($V9737='設定'!$C$4,COUNTIF('商品マスタ'!$B$6:$B$1005,$W9737)=0),N(U9736)+1,N(U9736))</f>
        <v/>
      </c>
      <c r="V9737" s="19">
        <f>IF($B9737="","",TEXT($B9737,"0000"))</f>
        <v/>
      </c>
      <c r="W9737" s="19">
        <f>IF($I9737="","",IF(ISNUMBER($I9737),TEXT($I9737,"0"),$I9737))</f>
        <v/>
      </c>
    </row>
    <row r="9738">
      <c r="B9738" s="25" t="n"/>
      <c r="I9738" s="25" t="n"/>
      <c r="U9738" s="19">
        <f>IF(AND($V9738='設定'!$C$4,COUNTIF('商品マスタ'!$B$6:$B$1005,$W9738)=0),N(U9737)+1,N(U9737))</f>
        <v/>
      </c>
      <c r="V9738" s="19">
        <f>IF($B9738="","",TEXT($B9738,"0000"))</f>
        <v/>
      </c>
      <c r="W9738" s="19">
        <f>IF($I9738="","",IF(ISNUMBER($I9738),TEXT($I9738,"0"),$I9738))</f>
        <v/>
      </c>
    </row>
    <row r="9739">
      <c r="B9739" s="25" t="n"/>
      <c r="I9739" s="25" t="n"/>
      <c r="U9739" s="19">
        <f>IF(AND($V9739='設定'!$C$4,COUNTIF('商品マスタ'!$B$6:$B$1005,$W9739)=0),N(U9738)+1,N(U9738))</f>
        <v/>
      </c>
      <c r="V9739" s="19">
        <f>IF($B9739="","",TEXT($B9739,"0000"))</f>
        <v/>
      </c>
      <c r="W9739" s="19">
        <f>IF($I9739="","",IF(ISNUMBER($I9739),TEXT($I9739,"0"),$I9739))</f>
        <v/>
      </c>
    </row>
    <row r="9740">
      <c r="B9740" s="25" t="n"/>
      <c r="I9740" s="25" t="n"/>
      <c r="U9740" s="19">
        <f>IF(AND($V9740='設定'!$C$4,COUNTIF('商品マスタ'!$B$6:$B$1005,$W9740)=0),N(U9739)+1,N(U9739))</f>
        <v/>
      </c>
      <c r="V9740" s="19">
        <f>IF($B9740="","",TEXT($B9740,"0000"))</f>
        <v/>
      </c>
      <c r="W9740" s="19">
        <f>IF($I9740="","",IF(ISNUMBER($I9740),TEXT($I9740,"0"),$I9740))</f>
        <v/>
      </c>
    </row>
    <row r="9741">
      <c r="B9741" s="25" t="n"/>
      <c r="I9741" s="25" t="n"/>
      <c r="U9741" s="19">
        <f>IF(AND($V9741='設定'!$C$4,COUNTIF('商品マスタ'!$B$6:$B$1005,$W9741)=0),N(U9740)+1,N(U9740))</f>
        <v/>
      </c>
      <c r="V9741" s="19">
        <f>IF($B9741="","",TEXT($B9741,"0000"))</f>
        <v/>
      </c>
      <c r="W9741" s="19">
        <f>IF($I9741="","",IF(ISNUMBER($I9741),TEXT($I9741,"0"),$I9741))</f>
        <v/>
      </c>
    </row>
    <row r="9742">
      <c r="B9742" s="25" t="n"/>
      <c r="I9742" s="25" t="n"/>
      <c r="U9742" s="19">
        <f>IF(AND($V9742='設定'!$C$4,COUNTIF('商品マスタ'!$B$6:$B$1005,$W9742)=0),N(U9741)+1,N(U9741))</f>
        <v/>
      </c>
      <c r="V9742" s="19">
        <f>IF($B9742="","",TEXT($B9742,"0000"))</f>
        <v/>
      </c>
      <c r="W9742" s="19">
        <f>IF($I9742="","",IF(ISNUMBER($I9742),TEXT($I9742,"0"),$I9742))</f>
        <v/>
      </c>
    </row>
    <row r="9743">
      <c r="B9743" s="25" t="n"/>
      <c r="I9743" s="25" t="n"/>
      <c r="U9743" s="19">
        <f>IF(AND($V9743='設定'!$C$4,COUNTIF('商品マスタ'!$B$6:$B$1005,$W9743)=0),N(U9742)+1,N(U9742))</f>
        <v/>
      </c>
      <c r="V9743" s="19">
        <f>IF($B9743="","",TEXT($B9743,"0000"))</f>
        <v/>
      </c>
      <c r="W9743" s="19">
        <f>IF($I9743="","",IF(ISNUMBER($I9743),TEXT($I9743,"0"),$I9743))</f>
        <v/>
      </c>
    </row>
    <row r="9744">
      <c r="B9744" s="25" t="n"/>
      <c r="I9744" s="25" t="n"/>
      <c r="U9744" s="19">
        <f>IF(AND($V9744='設定'!$C$4,COUNTIF('商品マスタ'!$B$6:$B$1005,$W9744)=0),N(U9743)+1,N(U9743))</f>
        <v/>
      </c>
      <c r="V9744" s="19">
        <f>IF($B9744="","",TEXT($B9744,"0000"))</f>
        <v/>
      </c>
      <c r="W9744" s="19">
        <f>IF($I9744="","",IF(ISNUMBER($I9744),TEXT($I9744,"0"),$I9744))</f>
        <v/>
      </c>
    </row>
    <row r="9745">
      <c r="B9745" s="25" t="n"/>
      <c r="I9745" s="25" t="n"/>
      <c r="U9745" s="19">
        <f>IF(AND($V9745='設定'!$C$4,COUNTIF('商品マスタ'!$B$6:$B$1005,$W9745)=0),N(U9744)+1,N(U9744))</f>
        <v/>
      </c>
      <c r="V9745" s="19">
        <f>IF($B9745="","",TEXT($B9745,"0000"))</f>
        <v/>
      </c>
      <c r="W9745" s="19">
        <f>IF($I9745="","",IF(ISNUMBER($I9745),TEXT($I9745,"0"),$I9745))</f>
        <v/>
      </c>
    </row>
    <row r="9746">
      <c r="B9746" s="25" t="n"/>
      <c r="I9746" s="25" t="n"/>
      <c r="U9746" s="19">
        <f>IF(AND($V9746='設定'!$C$4,COUNTIF('商品マスタ'!$B$6:$B$1005,$W9746)=0),N(U9745)+1,N(U9745))</f>
        <v/>
      </c>
      <c r="V9746" s="19">
        <f>IF($B9746="","",TEXT($B9746,"0000"))</f>
        <v/>
      </c>
      <c r="W9746" s="19">
        <f>IF($I9746="","",IF(ISNUMBER($I9746),TEXT($I9746,"0"),$I9746))</f>
        <v/>
      </c>
    </row>
    <row r="9747">
      <c r="B9747" s="25" t="n"/>
      <c r="I9747" s="25" t="n"/>
      <c r="U9747" s="19">
        <f>IF(AND($V9747='設定'!$C$4,COUNTIF('商品マスタ'!$B$6:$B$1005,$W9747)=0),N(U9746)+1,N(U9746))</f>
        <v/>
      </c>
      <c r="V9747" s="19">
        <f>IF($B9747="","",TEXT($B9747,"0000"))</f>
        <v/>
      </c>
      <c r="W9747" s="19">
        <f>IF($I9747="","",IF(ISNUMBER($I9747),TEXT($I9747,"0"),$I9747))</f>
        <v/>
      </c>
    </row>
    <row r="9748">
      <c r="B9748" s="25" t="n"/>
      <c r="I9748" s="25" t="n"/>
      <c r="U9748" s="19">
        <f>IF(AND($V9748='設定'!$C$4,COUNTIF('商品マスタ'!$B$6:$B$1005,$W9748)=0),N(U9747)+1,N(U9747))</f>
        <v/>
      </c>
      <c r="V9748" s="19">
        <f>IF($B9748="","",TEXT($B9748,"0000"))</f>
        <v/>
      </c>
      <c r="W9748" s="19">
        <f>IF($I9748="","",IF(ISNUMBER($I9748),TEXT($I9748,"0"),$I9748))</f>
        <v/>
      </c>
    </row>
    <row r="9749">
      <c r="B9749" s="25" t="n"/>
      <c r="I9749" s="25" t="n"/>
      <c r="U9749" s="19">
        <f>IF(AND($V9749='設定'!$C$4,COUNTIF('商品マスタ'!$B$6:$B$1005,$W9749)=0),N(U9748)+1,N(U9748))</f>
        <v/>
      </c>
      <c r="V9749" s="19">
        <f>IF($B9749="","",TEXT($B9749,"0000"))</f>
        <v/>
      </c>
      <c r="W9749" s="19">
        <f>IF($I9749="","",IF(ISNUMBER($I9749),TEXT($I9749,"0"),$I9749))</f>
        <v/>
      </c>
    </row>
    <row r="9750">
      <c r="B9750" s="25" t="n"/>
      <c r="I9750" s="25" t="n"/>
      <c r="U9750" s="19">
        <f>IF(AND($V9750='設定'!$C$4,COUNTIF('商品マスタ'!$B$6:$B$1005,$W9750)=0),N(U9749)+1,N(U9749))</f>
        <v/>
      </c>
      <c r="V9750" s="19">
        <f>IF($B9750="","",TEXT($B9750,"0000"))</f>
        <v/>
      </c>
      <c r="W9750" s="19">
        <f>IF($I9750="","",IF(ISNUMBER($I9750),TEXT($I9750,"0"),$I9750))</f>
        <v/>
      </c>
    </row>
    <row r="9751">
      <c r="B9751" s="25" t="n"/>
      <c r="I9751" s="25" t="n"/>
      <c r="U9751" s="19">
        <f>IF(AND($V9751='設定'!$C$4,COUNTIF('商品マスタ'!$B$6:$B$1005,$W9751)=0),N(U9750)+1,N(U9750))</f>
        <v/>
      </c>
      <c r="V9751" s="19">
        <f>IF($B9751="","",TEXT($B9751,"0000"))</f>
        <v/>
      </c>
      <c r="W9751" s="19">
        <f>IF($I9751="","",IF(ISNUMBER($I9751),TEXT($I9751,"0"),$I9751))</f>
        <v/>
      </c>
    </row>
    <row r="9752">
      <c r="B9752" s="25" t="n"/>
      <c r="I9752" s="25" t="n"/>
      <c r="U9752" s="19">
        <f>IF(AND($V9752='設定'!$C$4,COUNTIF('商品マスタ'!$B$6:$B$1005,$W9752)=0),N(U9751)+1,N(U9751))</f>
        <v/>
      </c>
      <c r="V9752" s="19">
        <f>IF($B9752="","",TEXT($B9752,"0000"))</f>
        <v/>
      </c>
      <c r="W9752" s="19">
        <f>IF($I9752="","",IF(ISNUMBER($I9752),TEXT($I9752,"0"),$I9752))</f>
        <v/>
      </c>
    </row>
    <row r="9753">
      <c r="B9753" s="25" t="n"/>
      <c r="I9753" s="25" t="n"/>
      <c r="U9753" s="19">
        <f>IF(AND($V9753='設定'!$C$4,COUNTIF('商品マスタ'!$B$6:$B$1005,$W9753)=0),N(U9752)+1,N(U9752))</f>
        <v/>
      </c>
      <c r="V9753" s="19">
        <f>IF($B9753="","",TEXT($B9753,"0000"))</f>
        <v/>
      </c>
      <c r="W9753" s="19">
        <f>IF($I9753="","",IF(ISNUMBER($I9753),TEXT($I9753,"0"),$I9753))</f>
        <v/>
      </c>
    </row>
    <row r="9754">
      <c r="B9754" s="25" t="n"/>
      <c r="I9754" s="25" t="n"/>
      <c r="U9754" s="19">
        <f>IF(AND($V9754='設定'!$C$4,COUNTIF('商品マスタ'!$B$6:$B$1005,$W9754)=0),N(U9753)+1,N(U9753))</f>
        <v/>
      </c>
      <c r="V9754" s="19">
        <f>IF($B9754="","",TEXT($B9754,"0000"))</f>
        <v/>
      </c>
      <c r="W9754" s="19">
        <f>IF($I9754="","",IF(ISNUMBER($I9754),TEXT($I9754,"0"),$I9754))</f>
        <v/>
      </c>
    </row>
    <row r="9755">
      <c r="B9755" s="25" t="n"/>
      <c r="I9755" s="25" t="n"/>
      <c r="U9755" s="19">
        <f>IF(AND($V9755='設定'!$C$4,COUNTIF('商品マスタ'!$B$6:$B$1005,$W9755)=0),N(U9754)+1,N(U9754))</f>
        <v/>
      </c>
      <c r="V9755" s="19">
        <f>IF($B9755="","",TEXT($B9755,"0000"))</f>
        <v/>
      </c>
      <c r="W9755" s="19">
        <f>IF($I9755="","",IF(ISNUMBER($I9755),TEXT($I9755,"0"),$I9755))</f>
        <v/>
      </c>
    </row>
    <row r="9756">
      <c r="B9756" s="25" t="n"/>
      <c r="I9756" s="25" t="n"/>
      <c r="U9756" s="19">
        <f>IF(AND($V9756='設定'!$C$4,COUNTIF('商品マスタ'!$B$6:$B$1005,$W9756)=0),N(U9755)+1,N(U9755))</f>
        <v/>
      </c>
      <c r="V9756" s="19">
        <f>IF($B9756="","",TEXT($B9756,"0000"))</f>
        <v/>
      </c>
      <c r="W9756" s="19">
        <f>IF($I9756="","",IF(ISNUMBER($I9756),TEXT($I9756,"0"),$I9756))</f>
        <v/>
      </c>
    </row>
    <row r="9757">
      <c r="B9757" s="25" t="n"/>
      <c r="I9757" s="25" t="n"/>
      <c r="U9757" s="19">
        <f>IF(AND($V9757='設定'!$C$4,COUNTIF('商品マスタ'!$B$6:$B$1005,$W9757)=0),N(U9756)+1,N(U9756))</f>
        <v/>
      </c>
      <c r="V9757" s="19">
        <f>IF($B9757="","",TEXT($B9757,"0000"))</f>
        <v/>
      </c>
      <c r="W9757" s="19">
        <f>IF($I9757="","",IF(ISNUMBER($I9757),TEXT($I9757,"0"),$I9757))</f>
        <v/>
      </c>
    </row>
    <row r="9758">
      <c r="B9758" s="25" t="n"/>
      <c r="I9758" s="25" t="n"/>
      <c r="U9758" s="19">
        <f>IF(AND($V9758='設定'!$C$4,COUNTIF('商品マスタ'!$B$6:$B$1005,$W9758)=0),N(U9757)+1,N(U9757))</f>
        <v/>
      </c>
      <c r="V9758" s="19">
        <f>IF($B9758="","",TEXT($B9758,"0000"))</f>
        <v/>
      </c>
      <c r="W9758" s="19">
        <f>IF($I9758="","",IF(ISNUMBER($I9758),TEXT($I9758,"0"),$I9758))</f>
        <v/>
      </c>
    </row>
    <row r="9759">
      <c r="B9759" s="25" t="n"/>
      <c r="I9759" s="25" t="n"/>
      <c r="U9759" s="19">
        <f>IF(AND($V9759='設定'!$C$4,COUNTIF('商品マスタ'!$B$6:$B$1005,$W9759)=0),N(U9758)+1,N(U9758))</f>
        <v/>
      </c>
      <c r="V9759" s="19">
        <f>IF($B9759="","",TEXT($B9759,"0000"))</f>
        <v/>
      </c>
      <c r="W9759" s="19">
        <f>IF($I9759="","",IF(ISNUMBER($I9759),TEXT($I9759,"0"),$I9759))</f>
        <v/>
      </c>
    </row>
    <row r="9760">
      <c r="B9760" s="25" t="n"/>
      <c r="I9760" s="25" t="n"/>
      <c r="U9760" s="19">
        <f>IF(AND($V9760='設定'!$C$4,COUNTIF('商品マスタ'!$B$6:$B$1005,$W9760)=0),N(U9759)+1,N(U9759))</f>
        <v/>
      </c>
      <c r="V9760" s="19">
        <f>IF($B9760="","",TEXT($B9760,"0000"))</f>
        <v/>
      </c>
      <c r="W9760" s="19">
        <f>IF($I9760="","",IF(ISNUMBER($I9760),TEXT($I9760,"0"),$I9760))</f>
        <v/>
      </c>
    </row>
    <row r="9761">
      <c r="B9761" s="25" t="n"/>
      <c r="I9761" s="25" t="n"/>
      <c r="U9761" s="19">
        <f>IF(AND($V9761='設定'!$C$4,COUNTIF('商品マスタ'!$B$6:$B$1005,$W9761)=0),N(U9760)+1,N(U9760))</f>
        <v/>
      </c>
      <c r="V9761" s="19">
        <f>IF($B9761="","",TEXT($B9761,"0000"))</f>
        <v/>
      </c>
      <c r="W9761" s="19">
        <f>IF($I9761="","",IF(ISNUMBER($I9761),TEXT($I9761,"0"),$I9761))</f>
        <v/>
      </c>
    </row>
    <row r="9762">
      <c r="B9762" s="25" t="n"/>
      <c r="I9762" s="25" t="n"/>
      <c r="U9762" s="19">
        <f>IF(AND($V9762='設定'!$C$4,COUNTIF('商品マスタ'!$B$6:$B$1005,$W9762)=0),N(U9761)+1,N(U9761))</f>
        <v/>
      </c>
      <c r="V9762" s="19">
        <f>IF($B9762="","",TEXT($B9762,"0000"))</f>
        <v/>
      </c>
      <c r="W9762" s="19">
        <f>IF($I9762="","",IF(ISNUMBER($I9762),TEXT($I9762,"0"),$I9762))</f>
        <v/>
      </c>
    </row>
    <row r="9763">
      <c r="B9763" s="25" t="n"/>
      <c r="I9763" s="25" t="n"/>
      <c r="U9763" s="19">
        <f>IF(AND($V9763='設定'!$C$4,COUNTIF('商品マスタ'!$B$6:$B$1005,$W9763)=0),N(U9762)+1,N(U9762))</f>
        <v/>
      </c>
      <c r="V9763" s="19">
        <f>IF($B9763="","",TEXT($B9763,"0000"))</f>
        <v/>
      </c>
      <c r="W9763" s="19">
        <f>IF($I9763="","",IF(ISNUMBER($I9763),TEXT($I9763,"0"),$I9763))</f>
        <v/>
      </c>
    </row>
    <row r="9764">
      <c r="B9764" s="25" t="n"/>
      <c r="I9764" s="25" t="n"/>
      <c r="U9764" s="19">
        <f>IF(AND($V9764='設定'!$C$4,COUNTIF('商品マスタ'!$B$6:$B$1005,$W9764)=0),N(U9763)+1,N(U9763))</f>
        <v/>
      </c>
      <c r="V9764" s="19">
        <f>IF($B9764="","",TEXT($B9764,"0000"))</f>
        <v/>
      </c>
      <c r="W9764" s="19">
        <f>IF($I9764="","",IF(ISNUMBER($I9764),TEXT($I9764,"0"),$I9764))</f>
        <v/>
      </c>
    </row>
    <row r="9765">
      <c r="B9765" s="25" t="n"/>
      <c r="I9765" s="25" t="n"/>
      <c r="U9765" s="19">
        <f>IF(AND($V9765='設定'!$C$4,COUNTIF('商品マスタ'!$B$6:$B$1005,$W9765)=0),N(U9764)+1,N(U9764))</f>
        <v/>
      </c>
      <c r="V9765" s="19">
        <f>IF($B9765="","",TEXT($B9765,"0000"))</f>
        <v/>
      </c>
      <c r="W9765" s="19">
        <f>IF($I9765="","",IF(ISNUMBER($I9765),TEXT($I9765,"0"),$I9765))</f>
        <v/>
      </c>
    </row>
    <row r="9766">
      <c r="B9766" s="25" t="n"/>
      <c r="I9766" s="25" t="n"/>
      <c r="U9766" s="19">
        <f>IF(AND($V9766='設定'!$C$4,COUNTIF('商品マスタ'!$B$6:$B$1005,$W9766)=0),N(U9765)+1,N(U9765))</f>
        <v/>
      </c>
      <c r="V9766" s="19">
        <f>IF($B9766="","",TEXT($B9766,"0000"))</f>
        <v/>
      </c>
      <c r="W9766" s="19">
        <f>IF($I9766="","",IF(ISNUMBER($I9766),TEXT($I9766,"0"),$I9766))</f>
        <v/>
      </c>
    </row>
    <row r="9767">
      <c r="B9767" s="25" t="n"/>
      <c r="I9767" s="25" t="n"/>
      <c r="U9767" s="19">
        <f>IF(AND($V9767='設定'!$C$4,COUNTIF('商品マスタ'!$B$6:$B$1005,$W9767)=0),N(U9766)+1,N(U9766))</f>
        <v/>
      </c>
      <c r="V9767" s="19">
        <f>IF($B9767="","",TEXT($B9767,"0000"))</f>
        <v/>
      </c>
      <c r="W9767" s="19">
        <f>IF($I9767="","",IF(ISNUMBER($I9767),TEXT($I9767,"0"),$I9767))</f>
        <v/>
      </c>
    </row>
    <row r="9768">
      <c r="B9768" s="25" t="n"/>
      <c r="I9768" s="25" t="n"/>
      <c r="U9768" s="19">
        <f>IF(AND($V9768='設定'!$C$4,COUNTIF('商品マスタ'!$B$6:$B$1005,$W9768)=0),N(U9767)+1,N(U9767))</f>
        <v/>
      </c>
      <c r="V9768" s="19">
        <f>IF($B9768="","",TEXT($B9768,"0000"))</f>
        <v/>
      </c>
      <c r="W9768" s="19">
        <f>IF($I9768="","",IF(ISNUMBER($I9768),TEXT($I9768,"0"),$I9768))</f>
        <v/>
      </c>
    </row>
    <row r="9769">
      <c r="B9769" s="25" t="n"/>
      <c r="I9769" s="25" t="n"/>
      <c r="U9769" s="19">
        <f>IF(AND($V9769='設定'!$C$4,COUNTIF('商品マスタ'!$B$6:$B$1005,$W9769)=0),N(U9768)+1,N(U9768))</f>
        <v/>
      </c>
      <c r="V9769" s="19">
        <f>IF($B9769="","",TEXT($B9769,"0000"))</f>
        <v/>
      </c>
      <c r="W9769" s="19">
        <f>IF($I9769="","",IF(ISNUMBER($I9769),TEXT($I9769,"0"),$I9769))</f>
        <v/>
      </c>
    </row>
    <row r="9770">
      <c r="B9770" s="25" t="n"/>
      <c r="I9770" s="25" t="n"/>
      <c r="U9770" s="19">
        <f>IF(AND($V9770='設定'!$C$4,COUNTIF('商品マスタ'!$B$6:$B$1005,$W9770)=0),N(U9769)+1,N(U9769))</f>
        <v/>
      </c>
      <c r="V9770" s="19">
        <f>IF($B9770="","",TEXT($B9770,"0000"))</f>
        <v/>
      </c>
      <c r="W9770" s="19">
        <f>IF($I9770="","",IF(ISNUMBER($I9770),TEXT($I9770,"0"),$I9770))</f>
        <v/>
      </c>
    </row>
    <row r="9771">
      <c r="B9771" s="25" t="n"/>
      <c r="I9771" s="25" t="n"/>
      <c r="U9771" s="19">
        <f>IF(AND($V9771='設定'!$C$4,COUNTIF('商品マスタ'!$B$6:$B$1005,$W9771)=0),N(U9770)+1,N(U9770))</f>
        <v/>
      </c>
      <c r="V9771" s="19">
        <f>IF($B9771="","",TEXT($B9771,"0000"))</f>
        <v/>
      </c>
      <c r="W9771" s="19">
        <f>IF($I9771="","",IF(ISNUMBER($I9771),TEXT($I9771,"0"),$I9771))</f>
        <v/>
      </c>
    </row>
    <row r="9772">
      <c r="B9772" s="25" t="n"/>
      <c r="I9772" s="25" t="n"/>
      <c r="U9772" s="19">
        <f>IF(AND($V9772='設定'!$C$4,COUNTIF('商品マスタ'!$B$6:$B$1005,$W9772)=0),N(U9771)+1,N(U9771))</f>
        <v/>
      </c>
      <c r="V9772" s="19">
        <f>IF($B9772="","",TEXT($B9772,"0000"))</f>
        <v/>
      </c>
      <c r="W9772" s="19">
        <f>IF($I9772="","",IF(ISNUMBER($I9772),TEXT($I9772,"0"),$I9772))</f>
        <v/>
      </c>
    </row>
    <row r="9773">
      <c r="B9773" s="25" t="n"/>
      <c r="I9773" s="25" t="n"/>
      <c r="U9773" s="19">
        <f>IF(AND($V9773='設定'!$C$4,COUNTIF('商品マスタ'!$B$6:$B$1005,$W9773)=0),N(U9772)+1,N(U9772))</f>
        <v/>
      </c>
      <c r="V9773" s="19">
        <f>IF($B9773="","",TEXT($B9773,"0000"))</f>
        <v/>
      </c>
      <c r="W9773" s="19">
        <f>IF($I9773="","",IF(ISNUMBER($I9773),TEXT($I9773,"0"),$I9773))</f>
        <v/>
      </c>
    </row>
    <row r="9774">
      <c r="B9774" s="25" t="n"/>
      <c r="I9774" s="25" t="n"/>
      <c r="U9774" s="19">
        <f>IF(AND($V9774='設定'!$C$4,COUNTIF('商品マスタ'!$B$6:$B$1005,$W9774)=0),N(U9773)+1,N(U9773))</f>
        <v/>
      </c>
      <c r="V9774" s="19">
        <f>IF($B9774="","",TEXT($B9774,"0000"))</f>
        <v/>
      </c>
      <c r="W9774" s="19">
        <f>IF($I9774="","",IF(ISNUMBER($I9774),TEXT($I9774,"0"),$I9774))</f>
        <v/>
      </c>
    </row>
    <row r="9775">
      <c r="B9775" s="25" t="n"/>
      <c r="I9775" s="25" t="n"/>
      <c r="U9775" s="19">
        <f>IF(AND($V9775='設定'!$C$4,COUNTIF('商品マスタ'!$B$6:$B$1005,$W9775)=0),N(U9774)+1,N(U9774))</f>
        <v/>
      </c>
      <c r="V9775" s="19">
        <f>IF($B9775="","",TEXT($B9775,"0000"))</f>
        <v/>
      </c>
      <c r="W9775" s="19">
        <f>IF($I9775="","",IF(ISNUMBER($I9775),TEXT($I9775,"0"),$I9775))</f>
        <v/>
      </c>
    </row>
    <row r="9776">
      <c r="B9776" s="25" t="n"/>
      <c r="I9776" s="25" t="n"/>
      <c r="U9776" s="19">
        <f>IF(AND($V9776='設定'!$C$4,COUNTIF('商品マスタ'!$B$6:$B$1005,$W9776)=0),N(U9775)+1,N(U9775))</f>
        <v/>
      </c>
      <c r="V9776" s="19">
        <f>IF($B9776="","",TEXT($B9776,"0000"))</f>
        <v/>
      </c>
      <c r="W9776" s="19">
        <f>IF($I9776="","",IF(ISNUMBER($I9776),TEXT($I9776,"0"),$I9776))</f>
        <v/>
      </c>
    </row>
    <row r="9777">
      <c r="B9777" s="25" t="n"/>
      <c r="I9777" s="25" t="n"/>
      <c r="U9777" s="19">
        <f>IF(AND($V9777='設定'!$C$4,COUNTIF('商品マスタ'!$B$6:$B$1005,$W9777)=0),N(U9776)+1,N(U9776))</f>
        <v/>
      </c>
      <c r="V9777" s="19">
        <f>IF($B9777="","",TEXT($B9777,"0000"))</f>
        <v/>
      </c>
      <c r="W9777" s="19">
        <f>IF($I9777="","",IF(ISNUMBER($I9777),TEXT($I9777,"0"),$I9777))</f>
        <v/>
      </c>
    </row>
    <row r="9778">
      <c r="B9778" s="25" t="n"/>
      <c r="I9778" s="25" t="n"/>
      <c r="U9778" s="19">
        <f>IF(AND($V9778='設定'!$C$4,COUNTIF('商品マスタ'!$B$6:$B$1005,$W9778)=0),N(U9777)+1,N(U9777))</f>
        <v/>
      </c>
      <c r="V9778" s="19">
        <f>IF($B9778="","",TEXT($B9778,"0000"))</f>
        <v/>
      </c>
      <c r="W9778" s="19">
        <f>IF($I9778="","",IF(ISNUMBER($I9778),TEXT($I9778,"0"),$I9778))</f>
        <v/>
      </c>
    </row>
    <row r="9779">
      <c r="B9779" s="25" t="n"/>
      <c r="I9779" s="25" t="n"/>
      <c r="U9779" s="19">
        <f>IF(AND($V9779='設定'!$C$4,COUNTIF('商品マスタ'!$B$6:$B$1005,$W9779)=0),N(U9778)+1,N(U9778))</f>
        <v/>
      </c>
      <c r="V9779" s="19">
        <f>IF($B9779="","",TEXT($B9779,"0000"))</f>
        <v/>
      </c>
      <c r="W9779" s="19">
        <f>IF($I9779="","",IF(ISNUMBER($I9779),TEXT($I9779,"0"),$I9779))</f>
        <v/>
      </c>
    </row>
    <row r="9780">
      <c r="B9780" s="25" t="n"/>
      <c r="I9780" s="25" t="n"/>
      <c r="U9780" s="19">
        <f>IF(AND($V9780='設定'!$C$4,COUNTIF('商品マスタ'!$B$6:$B$1005,$W9780)=0),N(U9779)+1,N(U9779))</f>
        <v/>
      </c>
      <c r="V9780" s="19">
        <f>IF($B9780="","",TEXT($B9780,"0000"))</f>
        <v/>
      </c>
      <c r="W9780" s="19">
        <f>IF($I9780="","",IF(ISNUMBER($I9780),TEXT($I9780,"0"),$I9780))</f>
        <v/>
      </c>
    </row>
    <row r="9781">
      <c r="B9781" s="25" t="n"/>
      <c r="I9781" s="25" t="n"/>
      <c r="U9781" s="19">
        <f>IF(AND($V9781='設定'!$C$4,COUNTIF('商品マスタ'!$B$6:$B$1005,$W9781)=0),N(U9780)+1,N(U9780))</f>
        <v/>
      </c>
      <c r="V9781" s="19">
        <f>IF($B9781="","",TEXT($B9781,"0000"))</f>
        <v/>
      </c>
      <c r="W9781" s="19">
        <f>IF($I9781="","",IF(ISNUMBER($I9781),TEXT($I9781,"0"),$I9781))</f>
        <v/>
      </c>
    </row>
    <row r="9782">
      <c r="B9782" s="25" t="n"/>
      <c r="I9782" s="25" t="n"/>
      <c r="U9782" s="19">
        <f>IF(AND($V9782='設定'!$C$4,COUNTIF('商品マスタ'!$B$6:$B$1005,$W9782)=0),N(U9781)+1,N(U9781))</f>
        <v/>
      </c>
      <c r="V9782" s="19">
        <f>IF($B9782="","",TEXT($B9782,"0000"))</f>
        <v/>
      </c>
      <c r="W9782" s="19">
        <f>IF($I9782="","",IF(ISNUMBER($I9782),TEXT($I9782,"0"),$I9782))</f>
        <v/>
      </c>
    </row>
    <row r="9783">
      <c r="B9783" s="25" t="n"/>
      <c r="I9783" s="25" t="n"/>
      <c r="U9783" s="19">
        <f>IF(AND($V9783='設定'!$C$4,COUNTIF('商品マスタ'!$B$6:$B$1005,$W9783)=0),N(U9782)+1,N(U9782))</f>
        <v/>
      </c>
      <c r="V9783" s="19">
        <f>IF($B9783="","",TEXT($B9783,"0000"))</f>
        <v/>
      </c>
      <c r="W9783" s="19">
        <f>IF($I9783="","",IF(ISNUMBER($I9783),TEXT($I9783,"0"),$I9783))</f>
        <v/>
      </c>
    </row>
    <row r="9784">
      <c r="B9784" s="25" t="n"/>
      <c r="I9784" s="25" t="n"/>
      <c r="U9784" s="19">
        <f>IF(AND($V9784='設定'!$C$4,COUNTIF('商品マスタ'!$B$6:$B$1005,$W9784)=0),N(U9783)+1,N(U9783))</f>
        <v/>
      </c>
      <c r="V9784" s="19">
        <f>IF($B9784="","",TEXT($B9784,"0000"))</f>
        <v/>
      </c>
      <c r="W9784" s="19">
        <f>IF($I9784="","",IF(ISNUMBER($I9784),TEXT($I9784,"0"),$I9784))</f>
        <v/>
      </c>
    </row>
    <row r="9785">
      <c r="B9785" s="25" t="n"/>
      <c r="I9785" s="25" t="n"/>
      <c r="U9785" s="19">
        <f>IF(AND($V9785='設定'!$C$4,COUNTIF('商品マスタ'!$B$6:$B$1005,$W9785)=0),N(U9784)+1,N(U9784))</f>
        <v/>
      </c>
      <c r="V9785" s="19">
        <f>IF($B9785="","",TEXT($B9785,"0000"))</f>
        <v/>
      </c>
      <c r="W9785" s="19">
        <f>IF($I9785="","",IF(ISNUMBER($I9785),TEXT($I9785,"0"),$I9785))</f>
        <v/>
      </c>
    </row>
    <row r="9786">
      <c r="B9786" s="25" t="n"/>
      <c r="I9786" s="25" t="n"/>
      <c r="U9786" s="19">
        <f>IF(AND($V9786='設定'!$C$4,COUNTIF('商品マスタ'!$B$6:$B$1005,$W9786)=0),N(U9785)+1,N(U9785))</f>
        <v/>
      </c>
      <c r="V9786" s="19">
        <f>IF($B9786="","",TEXT($B9786,"0000"))</f>
        <v/>
      </c>
      <c r="W9786" s="19">
        <f>IF($I9786="","",IF(ISNUMBER($I9786),TEXT($I9786,"0"),$I9786))</f>
        <v/>
      </c>
    </row>
    <row r="9787">
      <c r="B9787" s="25" t="n"/>
      <c r="I9787" s="25" t="n"/>
      <c r="U9787" s="19">
        <f>IF(AND($V9787='設定'!$C$4,COUNTIF('商品マスタ'!$B$6:$B$1005,$W9787)=0),N(U9786)+1,N(U9786))</f>
        <v/>
      </c>
      <c r="V9787" s="19">
        <f>IF($B9787="","",TEXT($B9787,"0000"))</f>
        <v/>
      </c>
      <c r="W9787" s="19">
        <f>IF($I9787="","",IF(ISNUMBER($I9787),TEXT($I9787,"0"),$I9787))</f>
        <v/>
      </c>
    </row>
    <row r="9788">
      <c r="B9788" s="25" t="n"/>
      <c r="I9788" s="25" t="n"/>
      <c r="U9788" s="19">
        <f>IF(AND($V9788='設定'!$C$4,COUNTIF('商品マスタ'!$B$6:$B$1005,$W9788)=0),N(U9787)+1,N(U9787))</f>
        <v/>
      </c>
      <c r="V9788" s="19">
        <f>IF($B9788="","",TEXT($B9788,"0000"))</f>
        <v/>
      </c>
      <c r="W9788" s="19">
        <f>IF($I9788="","",IF(ISNUMBER($I9788),TEXT($I9788,"0"),$I9788))</f>
        <v/>
      </c>
    </row>
    <row r="9789">
      <c r="B9789" s="25" t="n"/>
      <c r="I9789" s="25" t="n"/>
      <c r="U9789" s="19">
        <f>IF(AND($V9789='設定'!$C$4,COUNTIF('商品マスタ'!$B$6:$B$1005,$W9789)=0),N(U9788)+1,N(U9788))</f>
        <v/>
      </c>
      <c r="V9789" s="19">
        <f>IF($B9789="","",TEXT($B9789,"0000"))</f>
        <v/>
      </c>
      <c r="W9789" s="19">
        <f>IF($I9789="","",IF(ISNUMBER($I9789),TEXT($I9789,"0"),$I9789))</f>
        <v/>
      </c>
    </row>
    <row r="9790">
      <c r="B9790" s="25" t="n"/>
      <c r="I9790" s="25" t="n"/>
      <c r="U9790" s="19">
        <f>IF(AND($V9790='設定'!$C$4,COUNTIF('商品マスタ'!$B$6:$B$1005,$W9790)=0),N(U9789)+1,N(U9789))</f>
        <v/>
      </c>
      <c r="V9790" s="19">
        <f>IF($B9790="","",TEXT($B9790,"0000"))</f>
        <v/>
      </c>
      <c r="W9790" s="19">
        <f>IF($I9790="","",IF(ISNUMBER($I9790),TEXT($I9790,"0"),$I9790))</f>
        <v/>
      </c>
    </row>
    <row r="9791">
      <c r="B9791" s="25" t="n"/>
      <c r="I9791" s="25" t="n"/>
      <c r="U9791" s="19">
        <f>IF(AND($V9791='設定'!$C$4,COUNTIF('商品マスタ'!$B$6:$B$1005,$W9791)=0),N(U9790)+1,N(U9790))</f>
        <v/>
      </c>
      <c r="V9791" s="19">
        <f>IF($B9791="","",TEXT($B9791,"0000"))</f>
        <v/>
      </c>
      <c r="W9791" s="19">
        <f>IF($I9791="","",IF(ISNUMBER($I9791),TEXT($I9791,"0"),$I9791))</f>
        <v/>
      </c>
    </row>
    <row r="9792">
      <c r="B9792" s="25" t="n"/>
      <c r="I9792" s="25" t="n"/>
      <c r="U9792" s="19">
        <f>IF(AND($V9792='設定'!$C$4,COUNTIF('商品マスタ'!$B$6:$B$1005,$W9792)=0),N(U9791)+1,N(U9791))</f>
        <v/>
      </c>
      <c r="V9792" s="19">
        <f>IF($B9792="","",TEXT($B9792,"0000"))</f>
        <v/>
      </c>
      <c r="W9792" s="19">
        <f>IF($I9792="","",IF(ISNUMBER($I9792),TEXT($I9792,"0"),$I9792))</f>
        <v/>
      </c>
    </row>
    <row r="9793">
      <c r="B9793" s="25" t="n"/>
      <c r="I9793" s="25" t="n"/>
      <c r="U9793" s="19">
        <f>IF(AND($V9793='設定'!$C$4,COUNTIF('商品マスタ'!$B$6:$B$1005,$W9793)=0),N(U9792)+1,N(U9792))</f>
        <v/>
      </c>
      <c r="V9793" s="19">
        <f>IF($B9793="","",TEXT($B9793,"0000"))</f>
        <v/>
      </c>
      <c r="W9793" s="19">
        <f>IF($I9793="","",IF(ISNUMBER($I9793),TEXT($I9793,"0"),$I9793))</f>
        <v/>
      </c>
    </row>
    <row r="9794">
      <c r="B9794" s="25" t="n"/>
      <c r="I9794" s="25" t="n"/>
      <c r="U9794" s="19">
        <f>IF(AND($V9794='設定'!$C$4,COUNTIF('商品マスタ'!$B$6:$B$1005,$W9794)=0),N(U9793)+1,N(U9793))</f>
        <v/>
      </c>
      <c r="V9794" s="19">
        <f>IF($B9794="","",TEXT($B9794,"0000"))</f>
        <v/>
      </c>
      <c r="W9794" s="19">
        <f>IF($I9794="","",IF(ISNUMBER($I9794),TEXT($I9794,"0"),$I9794))</f>
        <v/>
      </c>
    </row>
    <row r="9795">
      <c r="B9795" s="25" t="n"/>
      <c r="I9795" s="25" t="n"/>
      <c r="U9795" s="19">
        <f>IF(AND($V9795='設定'!$C$4,COUNTIF('商品マスタ'!$B$6:$B$1005,$W9795)=0),N(U9794)+1,N(U9794))</f>
        <v/>
      </c>
      <c r="V9795" s="19">
        <f>IF($B9795="","",TEXT($B9795,"0000"))</f>
        <v/>
      </c>
      <c r="W9795" s="19">
        <f>IF($I9795="","",IF(ISNUMBER($I9795),TEXT($I9795,"0"),$I9795))</f>
        <v/>
      </c>
    </row>
    <row r="9796">
      <c r="B9796" s="25" t="n"/>
      <c r="I9796" s="25" t="n"/>
      <c r="U9796" s="19">
        <f>IF(AND($V9796='設定'!$C$4,COUNTIF('商品マスタ'!$B$6:$B$1005,$W9796)=0),N(U9795)+1,N(U9795))</f>
        <v/>
      </c>
      <c r="V9796" s="19">
        <f>IF($B9796="","",TEXT($B9796,"0000"))</f>
        <v/>
      </c>
      <c r="W9796" s="19">
        <f>IF($I9796="","",IF(ISNUMBER($I9796),TEXT($I9796,"0"),$I9796))</f>
        <v/>
      </c>
    </row>
    <row r="9797">
      <c r="B9797" s="25" t="n"/>
      <c r="I9797" s="25" t="n"/>
      <c r="U9797" s="19">
        <f>IF(AND($V9797='設定'!$C$4,COUNTIF('商品マスタ'!$B$6:$B$1005,$W9797)=0),N(U9796)+1,N(U9796))</f>
        <v/>
      </c>
      <c r="V9797" s="19">
        <f>IF($B9797="","",TEXT($B9797,"0000"))</f>
        <v/>
      </c>
      <c r="W9797" s="19">
        <f>IF($I9797="","",IF(ISNUMBER($I9797),TEXT($I9797,"0"),$I9797))</f>
        <v/>
      </c>
    </row>
    <row r="9798">
      <c r="B9798" s="25" t="n"/>
      <c r="I9798" s="25" t="n"/>
      <c r="U9798" s="19">
        <f>IF(AND($V9798='設定'!$C$4,COUNTIF('商品マスタ'!$B$6:$B$1005,$W9798)=0),N(U9797)+1,N(U9797))</f>
        <v/>
      </c>
      <c r="V9798" s="19">
        <f>IF($B9798="","",TEXT($B9798,"0000"))</f>
        <v/>
      </c>
      <c r="W9798" s="19">
        <f>IF($I9798="","",IF(ISNUMBER($I9798),TEXT($I9798,"0"),$I9798))</f>
        <v/>
      </c>
    </row>
    <row r="9799">
      <c r="B9799" s="25" t="n"/>
      <c r="I9799" s="25" t="n"/>
      <c r="U9799" s="19">
        <f>IF(AND($V9799='設定'!$C$4,COUNTIF('商品マスタ'!$B$6:$B$1005,$W9799)=0),N(U9798)+1,N(U9798))</f>
        <v/>
      </c>
      <c r="V9799" s="19">
        <f>IF($B9799="","",TEXT($B9799,"0000"))</f>
        <v/>
      </c>
      <c r="W9799" s="19">
        <f>IF($I9799="","",IF(ISNUMBER($I9799),TEXT($I9799,"0"),$I9799))</f>
        <v/>
      </c>
    </row>
    <row r="9800">
      <c r="B9800" s="25" t="n"/>
      <c r="I9800" s="25" t="n"/>
      <c r="U9800" s="19">
        <f>IF(AND($V9800='設定'!$C$4,COUNTIF('商品マスタ'!$B$6:$B$1005,$W9800)=0),N(U9799)+1,N(U9799))</f>
        <v/>
      </c>
      <c r="V9800" s="19">
        <f>IF($B9800="","",TEXT($B9800,"0000"))</f>
        <v/>
      </c>
      <c r="W9800" s="19">
        <f>IF($I9800="","",IF(ISNUMBER($I9800),TEXT($I9800,"0"),$I9800))</f>
        <v/>
      </c>
    </row>
    <row r="9801">
      <c r="B9801" s="25" t="n"/>
      <c r="I9801" s="25" t="n"/>
      <c r="U9801" s="19">
        <f>IF(AND($V9801='設定'!$C$4,COUNTIF('商品マスタ'!$B$6:$B$1005,$W9801)=0),N(U9800)+1,N(U9800))</f>
        <v/>
      </c>
      <c r="V9801" s="19">
        <f>IF($B9801="","",TEXT($B9801,"0000"))</f>
        <v/>
      </c>
      <c r="W9801" s="19">
        <f>IF($I9801="","",IF(ISNUMBER($I9801),TEXT($I9801,"0"),$I9801))</f>
        <v/>
      </c>
    </row>
    <row r="9802">
      <c r="B9802" s="25" t="n"/>
      <c r="I9802" s="25" t="n"/>
      <c r="U9802" s="19">
        <f>IF(AND($V9802='設定'!$C$4,COUNTIF('商品マスタ'!$B$6:$B$1005,$W9802)=0),N(U9801)+1,N(U9801))</f>
        <v/>
      </c>
      <c r="V9802" s="19">
        <f>IF($B9802="","",TEXT($B9802,"0000"))</f>
        <v/>
      </c>
      <c r="W9802" s="19">
        <f>IF($I9802="","",IF(ISNUMBER($I9802),TEXT($I9802,"0"),$I9802))</f>
        <v/>
      </c>
    </row>
    <row r="9803">
      <c r="B9803" s="25" t="n"/>
      <c r="I9803" s="25" t="n"/>
      <c r="U9803" s="19">
        <f>IF(AND($V9803='設定'!$C$4,COUNTIF('商品マスタ'!$B$6:$B$1005,$W9803)=0),N(U9802)+1,N(U9802))</f>
        <v/>
      </c>
      <c r="V9803" s="19">
        <f>IF($B9803="","",TEXT($B9803,"0000"))</f>
        <v/>
      </c>
      <c r="W9803" s="19">
        <f>IF($I9803="","",IF(ISNUMBER($I9803),TEXT($I9803,"0"),$I9803))</f>
        <v/>
      </c>
    </row>
    <row r="9804">
      <c r="B9804" s="25" t="n"/>
      <c r="I9804" s="25" t="n"/>
      <c r="U9804" s="19">
        <f>IF(AND($V9804='設定'!$C$4,COUNTIF('商品マスタ'!$B$6:$B$1005,$W9804)=0),N(U9803)+1,N(U9803))</f>
        <v/>
      </c>
      <c r="V9804" s="19">
        <f>IF($B9804="","",TEXT($B9804,"0000"))</f>
        <v/>
      </c>
      <c r="W9804" s="19">
        <f>IF($I9804="","",IF(ISNUMBER($I9804),TEXT($I9804,"0"),$I9804))</f>
        <v/>
      </c>
    </row>
    <row r="9805">
      <c r="B9805" s="25" t="n"/>
      <c r="I9805" s="25" t="n"/>
      <c r="U9805" s="19">
        <f>IF(AND($V9805='設定'!$C$4,COUNTIF('商品マスタ'!$B$6:$B$1005,$W9805)=0),N(U9804)+1,N(U9804))</f>
        <v/>
      </c>
      <c r="V9805" s="19">
        <f>IF($B9805="","",TEXT($B9805,"0000"))</f>
        <v/>
      </c>
      <c r="W9805" s="19">
        <f>IF($I9805="","",IF(ISNUMBER($I9805),TEXT($I9805,"0"),$I9805))</f>
        <v/>
      </c>
    </row>
    <row r="9806">
      <c r="B9806" s="25" t="n"/>
      <c r="I9806" s="25" t="n"/>
      <c r="U9806" s="19">
        <f>IF(AND($V9806='設定'!$C$4,COUNTIF('商品マスタ'!$B$6:$B$1005,$W9806)=0),N(U9805)+1,N(U9805))</f>
        <v/>
      </c>
      <c r="V9806" s="19">
        <f>IF($B9806="","",TEXT($B9806,"0000"))</f>
        <v/>
      </c>
      <c r="W9806" s="19">
        <f>IF($I9806="","",IF(ISNUMBER($I9806),TEXT($I9806,"0"),$I9806))</f>
        <v/>
      </c>
    </row>
    <row r="9807">
      <c r="B9807" s="25" t="n"/>
      <c r="I9807" s="25" t="n"/>
      <c r="U9807" s="19">
        <f>IF(AND($V9807='設定'!$C$4,COUNTIF('商品マスタ'!$B$6:$B$1005,$W9807)=0),N(U9806)+1,N(U9806))</f>
        <v/>
      </c>
      <c r="V9807" s="19">
        <f>IF($B9807="","",TEXT($B9807,"0000"))</f>
        <v/>
      </c>
      <c r="W9807" s="19">
        <f>IF($I9807="","",IF(ISNUMBER($I9807),TEXT($I9807,"0"),$I9807))</f>
        <v/>
      </c>
    </row>
    <row r="9808">
      <c r="B9808" s="25" t="n"/>
      <c r="I9808" s="25" t="n"/>
      <c r="U9808" s="19">
        <f>IF(AND($V9808='設定'!$C$4,COUNTIF('商品マスタ'!$B$6:$B$1005,$W9808)=0),N(U9807)+1,N(U9807))</f>
        <v/>
      </c>
      <c r="V9808" s="19">
        <f>IF($B9808="","",TEXT($B9808,"0000"))</f>
        <v/>
      </c>
      <c r="W9808" s="19">
        <f>IF($I9808="","",IF(ISNUMBER($I9808),TEXT($I9808,"0"),$I9808))</f>
        <v/>
      </c>
    </row>
    <row r="9809">
      <c r="B9809" s="25" t="n"/>
      <c r="I9809" s="25" t="n"/>
      <c r="U9809" s="19">
        <f>IF(AND($V9809='設定'!$C$4,COUNTIF('商品マスタ'!$B$6:$B$1005,$W9809)=0),N(U9808)+1,N(U9808))</f>
        <v/>
      </c>
      <c r="V9809" s="19">
        <f>IF($B9809="","",TEXT($B9809,"0000"))</f>
        <v/>
      </c>
      <c r="W9809" s="19">
        <f>IF($I9809="","",IF(ISNUMBER($I9809),TEXT($I9809,"0"),$I9809))</f>
        <v/>
      </c>
    </row>
    <row r="9810">
      <c r="B9810" s="25" t="n"/>
      <c r="I9810" s="25" t="n"/>
      <c r="U9810" s="19">
        <f>IF(AND($V9810='設定'!$C$4,COUNTIF('商品マスタ'!$B$6:$B$1005,$W9810)=0),N(U9809)+1,N(U9809))</f>
        <v/>
      </c>
      <c r="V9810" s="19">
        <f>IF($B9810="","",TEXT($B9810,"0000"))</f>
        <v/>
      </c>
      <c r="W9810" s="19">
        <f>IF($I9810="","",IF(ISNUMBER($I9810),TEXT($I9810,"0"),$I9810))</f>
        <v/>
      </c>
    </row>
    <row r="9811">
      <c r="B9811" s="25" t="n"/>
      <c r="I9811" s="25" t="n"/>
      <c r="U9811" s="19">
        <f>IF(AND($V9811='設定'!$C$4,COUNTIF('商品マスタ'!$B$6:$B$1005,$W9811)=0),N(U9810)+1,N(U9810))</f>
        <v/>
      </c>
      <c r="V9811" s="19">
        <f>IF($B9811="","",TEXT($B9811,"0000"))</f>
        <v/>
      </c>
      <c r="W9811" s="19">
        <f>IF($I9811="","",IF(ISNUMBER($I9811),TEXT($I9811,"0"),$I9811))</f>
        <v/>
      </c>
    </row>
    <row r="9812">
      <c r="B9812" s="25" t="n"/>
      <c r="I9812" s="25" t="n"/>
      <c r="U9812" s="19">
        <f>IF(AND($V9812='設定'!$C$4,COUNTIF('商品マスタ'!$B$6:$B$1005,$W9812)=0),N(U9811)+1,N(U9811))</f>
        <v/>
      </c>
      <c r="V9812" s="19">
        <f>IF($B9812="","",TEXT($B9812,"0000"))</f>
        <v/>
      </c>
      <c r="W9812" s="19">
        <f>IF($I9812="","",IF(ISNUMBER($I9812),TEXT($I9812,"0"),$I9812))</f>
        <v/>
      </c>
    </row>
    <row r="9813">
      <c r="B9813" s="25" t="n"/>
      <c r="I9813" s="25" t="n"/>
      <c r="U9813" s="19">
        <f>IF(AND($V9813='設定'!$C$4,COUNTIF('商品マスタ'!$B$6:$B$1005,$W9813)=0),N(U9812)+1,N(U9812))</f>
        <v/>
      </c>
      <c r="V9813" s="19">
        <f>IF($B9813="","",TEXT($B9813,"0000"))</f>
        <v/>
      </c>
      <c r="W9813" s="19">
        <f>IF($I9813="","",IF(ISNUMBER($I9813),TEXT($I9813,"0"),$I9813))</f>
        <v/>
      </c>
    </row>
    <row r="9814">
      <c r="B9814" s="25" t="n"/>
      <c r="I9814" s="25" t="n"/>
      <c r="U9814" s="19">
        <f>IF(AND($V9814='設定'!$C$4,COUNTIF('商品マスタ'!$B$6:$B$1005,$W9814)=0),N(U9813)+1,N(U9813))</f>
        <v/>
      </c>
      <c r="V9814" s="19">
        <f>IF($B9814="","",TEXT($B9814,"0000"))</f>
        <v/>
      </c>
      <c r="W9814" s="19">
        <f>IF($I9814="","",IF(ISNUMBER($I9814),TEXT($I9814,"0"),$I9814))</f>
        <v/>
      </c>
    </row>
    <row r="9815">
      <c r="B9815" s="25" t="n"/>
      <c r="I9815" s="25" t="n"/>
      <c r="U9815" s="19">
        <f>IF(AND($V9815='設定'!$C$4,COUNTIF('商品マスタ'!$B$6:$B$1005,$W9815)=0),N(U9814)+1,N(U9814))</f>
        <v/>
      </c>
      <c r="V9815" s="19">
        <f>IF($B9815="","",TEXT($B9815,"0000"))</f>
        <v/>
      </c>
      <c r="W9815" s="19">
        <f>IF($I9815="","",IF(ISNUMBER($I9815),TEXT($I9815,"0"),$I9815))</f>
        <v/>
      </c>
    </row>
    <row r="9816">
      <c r="B9816" s="25" t="n"/>
      <c r="I9816" s="25" t="n"/>
      <c r="U9816" s="19">
        <f>IF(AND($V9816='設定'!$C$4,COUNTIF('商品マスタ'!$B$6:$B$1005,$W9816)=0),N(U9815)+1,N(U9815))</f>
        <v/>
      </c>
      <c r="V9816" s="19">
        <f>IF($B9816="","",TEXT($B9816,"0000"))</f>
        <v/>
      </c>
      <c r="W9816" s="19">
        <f>IF($I9816="","",IF(ISNUMBER($I9816),TEXT($I9816,"0"),$I9816))</f>
        <v/>
      </c>
    </row>
    <row r="9817">
      <c r="B9817" s="25" t="n"/>
      <c r="I9817" s="25" t="n"/>
      <c r="U9817" s="19">
        <f>IF(AND($V9817='設定'!$C$4,COUNTIF('商品マスタ'!$B$6:$B$1005,$W9817)=0),N(U9816)+1,N(U9816))</f>
        <v/>
      </c>
      <c r="V9817" s="19">
        <f>IF($B9817="","",TEXT($B9817,"0000"))</f>
        <v/>
      </c>
      <c r="W9817" s="19">
        <f>IF($I9817="","",IF(ISNUMBER($I9817),TEXT($I9817,"0"),$I9817))</f>
        <v/>
      </c>
    </row>
    <row r="9818">
      <c r="B9818" s="25" t="n"/>
      <c r="I9818" s="25" t="n"/>
      <c r="U9818" s="19">
        <f>IF(AND($V9818='設定'!$C$4,COUNTIF('商品マスタ'!$B$6:$B$1005,$W9818)=0),N(U9817)+1,N(U9817))</f>
        <v/>
      </c>
      <c r="V9818" s="19">
        <f>IF($B9818="","",TEXT($B9818,"0000"))</f>
        <v/>
      </c>
      <c r="W9818" s="19">
        <f>IF($I9818="","",IF(ISNUMBER($I9818),TEXT($I9818,"0"),$I9818))</f>
        <v/>
      </c>
    </row>
    <row r="9819">
      <c r="B9819" s="25" t="n"/>
      <c r="I9819" s="25" t="n"/>
      <c r="U9819" s="19">
        <f>IF(AND($V9819='設定'!$C$4,COUNTIF('商品マスタ'!$B$6:$B$1005,$W9819)=0),N(U9818)+1,N(U9818))</f>
        <v/>
      </c>
      <c r="V9819" s="19">
        <f>IF($B9819="","",TEXT($B9819,"0000"))</f>
        <v/>
      </c>
      <c r="W9819" s="19">
        <f>IF($I9819="","",IF(ISNUMBER($I9819),TEXT($I9819,"0"),$I9819))</f>
        <v/>
      </c>
    </row>
    <row r="9820">
      <c r="B9820" s="25" t="n"/>
      <c r="I9820" s="25" t="n"/>
      <c r="U9820" s="19">
        <f>IF(AND($V9820='設定'!$C$4,COUNTIF('商品マスタ'!$B$6:$B$1005,$W9820)=0),N(U9819)+1,N(U9819))</f>
        <v/>
      </c>
      <c r="V9820" s="19">
        <f>IF($B9820="","",TEXT($B9820,"0000"))</f>
        <v/>
      </c>
      <c r="W9820" s="19">
        <f>IF($I9820="","",IF(ISNUMBER($I9820),TEXT($I9820,"0"),$I9820))</f>
        <v/>
      </c>
    </row>
    <row r="9821">
      <c r="B9821" s="25" t="n"/>
      <c r="I9821" s="25" t="n"/>
      <c r="U9821" s="19">
        <f>IF(AND($V9821='設定'!$C$4,COUNTIF('商品マスタ'!$B$6:$B$1005,$W9821)=0),N(U9820)+1,N(U9820))</f>
        <v/>
      </c>
      <c r="V9821" s="19">
        <f>IF($B9821="","",TEXT($B9821,"0000"))</f>
        <v/>
      </c>
      <c r="W9821" s="19">
        <f>IF($I9821="","",IF(ISNUMBER($I9821),TEXT($I9821,"0"),$I9821))</f>
        <v/>
      </c>
    </row>
    <row r="9822">
      <c r="B9822" s="25" t="n"/>
      <c r="I9822" s="25" t="n"/>
      <c r="U9822" s="19">
        <f>IF(AND($V9822='設定'!$C$4,COUNTIF('商品マスタ'!$B$6:$B$1005,$W9822)=0),N(U9821)+1,N(U9821))</f>
        <v/>
      </c>
      <c r="V9822" s="19">
        <f>IF($B9822="","",TEXT($B9822,"0000"))</f>
        <v/>
      </c>
      <c r="W9822" s="19">
        <f>IF($I9822="","",IF(ISNUMBER($I9822),TEXT($I9822,"0"),$I9822))</f>
        <v/>
      </c>
    </row>
    <row r="9823">
      <c r="B9823" s="25" t="n"/>
      <c r="I9823" s="25" t="n"/>
      <c r="U9823" s="19">
        <f>IF(AND($V9823='設定'!$C$4,COUNTIF('商品マスタ'!$B$6:$B$1005,$W9823)=0),N(U9822)+1,N(U9822))</f>
        <v/>
      </c>
      <c r="V9823" s="19">
        <f>IF($B9823="","",TEXT($B9823,"0000"))</f>
        <v/>
      </c>
      <c r="W9823" s="19">
        <f>IF($I9823="","",IF(ISNUMBER($I9823),TEXT($I9823,"0"),$I9823))</f>
        <v/>
      </c>
    </row>
    <row r="9824">
      <c r="B9824" s="25" t="n"/>
      <c r="I9824" s="25" t="n"/>
      <c r="U9824" s="19">
        <f>IF(AND($V9824='設定'!$C$4,COUNTIF('商品マスタ'!$B$6:$B$1005,$W9824)=0),N(U9823)+1,N(U9823))</f>
        <v/>
      </c>
      <c r="V9824" s="19">
        <f>IF($B9824="","",TEXT($B9824,"0000"))</f>
        <v/>
      </c>
      <c r="W9824" s="19">
        <f>IF($I9824="","",IF(ISNUMBER($I9824),TEXT($I9824,"0"),$I9824))</f>
        <v/>
      </c>
    </row>
    <row r="9825">
      <c r="B9825" s="25" t="n"/>
      <c r="I9825" s="25" t="n"/>
      <c r="U9825" s="19">
        <f>IF(AND($V9825='設定'!$C$4,COUNTIF('商品マスタ'!$B$6:$B$1005,$W9825)=0),N(U9824)+1,N(U9824))</f>
        <v/>
      </c>
      <c r="V9825" s="19">
        <f>IF($B9825="","",TEXT($B9825,"0000"))</f>
        <v/>
      </c>
      <c r="W9825" s="19">
        <f>IF($I9825="","",IF(ISNUMBER($I9825),TEXT($I9825,"0"),$I9825))</f>
        <v/>
      </c>
    </row>
    <row r="9826">
      <c r="B9826" s="25" t="n"/>
      <c r="I9826" s="25" t="n"/>
      <c r="U9826" s="19">
        <f>IF(AND($V9826='設定'!$C$4,COUNTIF('商品マスタ'!$B$6:$B$1005,$W9826)=0),N(U9825)+1,N(U9825))</f>
        <v/>
      </c>
      <c r="V9826" s="19">
        <f>IF($B9826="","",TEXT($B9826,"0000"))</f>
        <v/>
      </c>
      <c r="W9826" s="19">
        <f>IF($I9826="","",IF(ISNUMBER($I9826),TEXT($I9826,"0"),$I9826))</f>
        <v/>
      </c>
    </row>
    <row r="9827">
      <c r="B9827" s="25" t="n"/>
      <c r="I9827" s="25" t="n"/>
      <c r="U9827" s="19">
        <f>IF(AND($V9827='設定'!$C$4,COUNTIF('商品マスタ'!$B$6:$B$1005,$W9827)=0),N(U9826)+1,N(U9826))</f>
        <v/>
      </c>
      <c r="V9827" s="19">
        <f>IF($B9827="","",TEXT($B9827,"0000"))</f>
        <v/>
      </c>
      <c r="W9827" s="19">
        <f>IF($I9827="","",IF(ISNUMBER($I9827),TEXT($I9827,"0"),$I9827))</f>
        <v/>
      </c>
    </row>
    <row r="9828">
      <c r="B9828" s="25" t="n"/>
      <c r="I9828" s="25" t="n"/>
      <c r="U9828" s="19">
        <f>IF(AND($V9828='設定'!$C$4,COUNTIF('商品マスタ'!$B$6:$B$1005,$W9828)=0),N(U9827)+1,N(U9827))</f>
        <v/>
      </c>
      <c r="V9828" s="19">
        <f>IF($B9828="","",TEXT($B9828,"0000"))</f>
        <v/>
      </c>
      <c r="W9828" s="19">
        <f>IF($I9828="","",IF(ISNUMBER($I9828),TEXT($I9828,"0"),$I9828))</f>
        <v/>
      </c>
    </row>
    <row r="9829">
      <c r="B9829" s="25" t="n"/>
      <c r="I9829" s="25" t="n"/>
      <c r="U9829" s="19">
        <f>IF(AND($V9829='設定'!$C$4,COUNTIF('商品マスタ'!$B$6:$B$1005,$W9829)=0),N(U9828)+1,N(U9828))</f>
        <v/>
      </c>
      <c r="V9829" s="19">
        <f>IF($B9829="","",TEXT($B9829,"0000"))</f>
        <v/>
      </c>
      <c r="W9829" s="19">
        <f>IF($I9829="","",IF(ISNUMBER($I9829),TEXT($I9829,"0"),$I9829))</f>
        <v/>
      </c>
    </row>
    <row r="9830">
      <c r="B9830" s="25" t="n"/>
      <c r="I9830" s="25" t="n"/>
      <c r="U9830" s="19">
        <f>IF(AND($V9830='設定'!$C$4,COUNTIF('商品マスタ'!$B$6:$B$1005,$W9830)=0),N(U9829)+1,N(U9829))</f>
        <v/>
      </c>
      <c r="V9830" s="19">
        <f>IF($B9830="","",TEXT($B9830,"0000"))</f>
        <v/>
      </c>
      <c r="W9830" s="19">
        <f>IF($I9830="","",IF(ISNUMBER($I9830),TEXT($I9830,"0"),$I9830))</f>
        <v/>
      </c>
    </row>
    <row r="9831">
      <c r="B9831" s="25" t="n"/>
      <c r="I9831" s="25" t="n"/>
      <c r="U9831" s="19">
        <f>IF(AND($V9831='設定'!$C$4,COUNTIF('商品マスタ'!$B$6:$B$1005,$W9831)=0),N(U9830)+1,N(U9830))</f>
        <v/>
      </c>
      <c r="V9831" s="19">
        <f>IF($B9831="","",TEXT($B9831,"0000"))</f>
        <v/>
      </c>
      <c r="W9831" s="19">
        <f>IF($I9831="","",IF(ISNUMBER($I9831),TEXT($I9831,"0"),$I9831))</f>
        <v/>
      </c>
    </row>
    <row r="9832">
      <c r="B9832" s="25" t="n"/>
      <c r="I9832" s="25" t="n"/>
      <c r="U9832" s="19">
        <f>IF(AND($V9832='設定'!$C$4,COUNTIF('商品マスタ'!$B$6:$B$1005,$W9832)=0),N(U9831)+1,N(U9831))</f>
        <v/>
      </c>
      <c r="V9832" s="19">
        <f>IF($B9832="","",TEXT($B9832,"0000"))</f>
        <v/>
      </c>
      <c r="W9832" s="19">
        <f>IF($I9832="","",IF(ISNUMBER($I9832),TEXT($I9832,"0"),$I9832))</f>
        <v/>
      </c>
    </row>
    <row r="9833">
      <c r="B9833" s="25" t="n"/>
      <c r="I9833" s="25" t="n"/>
      <c r="U9833" s="19">
        <f>IF(AND($V9833='設定'!$C$4,COUNTIF('商品マスタ'!$B$6:$B$1005,$W9833)=0),N(U9832)+1,N(U9832))</f>
        <v/>
      </c>
      <c r="V9833" s="19">
        <f>IF($B9833="","",TEXT($B9833,"0000"))</f>
        <v/>
      </c>
      <c r="W9833" s="19">
        <f>IF($I9833="","",IF(ISNUMBER($I9833),TEXT($I9833,"0"),$I9833))</f>
        <v/>
      </c>
    </row>
    <row r="9834">
      <c r="B9834" s="25" t="n"/>
      <c r="I9834" s="25" t="n"/>
      <c r="U9834" s="19">
        <f>IF(AND($V9834='設定'!$C$4,COUNTIF('商品マスタ'!$B$6:$B$1005,$W9834)=0),N(U9833)+1,N(U9833))</f>
        <v/>
      </c>
      <c r="V9834" s="19">
        <f>IF($B9834="","",TEXT($B9834,"0000"))</f>
        <v/>
      </c>
      <c r="W9834" s="19">
        <f>IF($I9834="","",IF(ISNUMBER($I9834),TEXT($I9834,"0"),$I9834))</f>
        <v/>
      </c>
    </row>
    <row r="9835">
      <c r="B9835" s="25" t="n"/>
      <c r="I9835" s="25" t="n"/>
      <c r="U9835" s="19">
        <f>IF(AND($V9835='設定'!$C$4,COUNTIF('商品マスタ'!$B$6:$B$1005,$W9835)=0),N(U9834)+1,N(U9834))</f>
        <v/>
      </c>
      <c r="V9835" s="19">
        <f>IF($B9835="","",TEXT($B9835,"0000"))</f>
        <v/>
      </c>
      <c r="W9835" s="19">
        <f>IF($I9835="","",IF(ISNUMBER($I9835),TEXT($I9835,"0"),$I9835))</f>
        <v/>
      </c>
    </row>
    <row r="9836">
      <c r="B9836" s="25" t="n"/>
      <c r="I9836" s="25" t="n"/>
      <c r="U9836" s="19">
        <f>IF(AND($V9836='設定'!$C$4,COUNTIF('商品マスタ'!$B$6:$B$1005,$W9836)=0),N(U9835)+1,N(U9835))</f>
        <v/>
      </c>
      <c r="V9836" s="19">
        <f>IF($B9836="","",TEXT($B9836,"0000"))</f>
        <v/>
      </c>
      <c r="W9836" s="19">
        <f>IF($I9836="","",IF(ISNUMBER($I9836),TEXT($I9836,"0"),$I9836))</f>
        <v/>
      </c>
    </row>
    <row r="9837">
      <c r="B9837" s="25" t="n"/>
      <c r="I9837" s="25" t="n"/>
      <c r="U9837" s="19">
        <f>IF(AND($V9837='設定'!$C$4,COUNTIF('商品マスタ'!$B$6:$B$1005,$W9837)=0),N(U9836)+1,N(U9836))</f>
        <v/>
      </c>
      <c r="V9837" s="19">
        <f>IF($B9837="","",TEXT($B9837,"0000"))</f>
        <v/>
      </c>
      <c r="W9837" s="19">
        <f>IF($I9837="","",IF(ISNUMBER($I9837),TEXT($I9837,"0"),$I9837))</f>
        <v/>
      </c>
    </row>
    <row r="9838">
      <c r="B9838" s="25" t="n"/>
      <c r="I9838" s="25" t="n"/>
      <c r="U9838" s="19">
        <f>IF(AND($V9838='設定'!$C$4,COUNTIF('商品マスタ'!$B$6:$B$1005,$W9838)=0),N(U9837)+1,N(U9837))</f>
        <v/>
      </c>
      <c r="V9838" s="19">
        <f>IF($B9838="","",TEXT($B9838,"0000"))</f>
        <v/>
      </c>
      <c r="W9838" s="19">
        <f>IF($I9838="","",IF(ISNUMBER($I9838),TEXT($I9838,"0"),$I9838))</f>
        <v/>
      </c>
    </row>
    <row r="9839">
      <c r="B9839" s="25" t="n"/>
      <c r="I9839" s="25" t="n"/>
      <c r="U9839" s="19">
        <f>IF(AND($V9839='設定'!$C$4,COUNTIF('商品マスタ'!$B$6:$B$1005,$W9839)=0),N(U9838)+1,N(U9838))</f>
        <v/>
      </c>
      <c r="V9839" s="19">
        <f>IF($B9839="","",TEXT($B9839,"0000"))</f>
        <v/>
      </c>
      <c r="W9839" s="19">
        <f>IF($I9839="","",IF(ISNUMBER($I9839),TEXT($I9839,"0"),$I9839))</f>
        <v/>
      </c>
    </row>
    <row r="9840">
      <c r="B9840" s="25" t="n"/>
      <c r="I9840" s="25" t="n"/>
      <c r="U9840" s="19">
        <f>IF(AND($V9840='設定'!$C$4,COUNTIF('商品マスタ'!$B$6:$B$1005,$W9840)=0),N(U9839)+1,N(U9839))</f>
        <v/>
      </c>
      <c r="V9840" s="19">
        <f>IF($B9840="","",TEXT($B9840,"0000"))</f>
        <v/>
      </c>
      <c r="W9840" s="19">
        <f>IF($I9840="","",IF(ISNUMBER($I9840),TEXT($I9840,"0"),$I9840))</f>
        <v/>
      </c>
    </row>
    <row r="9841">
      <c r="B9841" s="25" t="n"/>
      <c r="I9841" s="25" t="n"/>
      <c r="U9841" s="19">
        <f>IF(AND($V9841='設定'!$C$4,COUNTIF('商品マスタ'!$B$6:$B$1005,$W9841)=0),N(U9840)+1,N(U9840))</f>
        <v/>
      </c>
      <c r="V9841" s="19">
        <f>IF($B9841="","",TEXT($B9841,"0000"))</f>
        <v/>
      </c>
      <c r="W9841" s="19">
        <f>IF($I9841="","",IF(ISNUMBER($I9841),TEXT($I9841,"0"),$I9841))</f>
        <v/>
      </c>
    </row>
    <row r="9842">
      <c r="B9842" s="25" t="n"/>
      <c r="I9842" s="25" t="n"/>
      <c r="U9842" s="19">
        <f>IF(AND($V9842='設定'!$C$4,COUNTIF('商品マスタ'!$B$6:$B$1005,$W9842)=0),N(U9841)+1,N(U9841))</f>
        <v/>
      </c>
      <c r="V9842" s="19">
        <f>IF($B9842="","",TEXT($B9842,"0000"))</f>
        <v/>
      </c>
      <c r="W9842" s="19">
        <f>IF($I9842="","",IF(ISNUMBER($I9842),TEXT($I9842,"0"),$I9842))</f>
        <v/>
      </c>
    </row>
    <row r="9843">
      <c r="B9843" s="25" t="n"/>
      <c r="I9843" s="25" t="n"/>
      <c r="U9843" s="19">
        <f>IF(AND($V9843='設定'!$C$4,COUNTIF('商品マスタ'!$B$6:$B$1005,$W9843)=0),N(U9842)+1,N(U9842))</f>
        <v/>
      </c>
      <c r="V9843" s="19">
        <f>IF($B9843="","",TEXT($B9843,"0000"))</f>
        <v/>
      </c>
      <c r="W9843" s="19">
        <f>IF($I9843="","",IF(ISNUMBER($I9843),TEXT($I9843,"0"),$I9843))</f>
        <v/>
      </c>
    </row>
    <row r="9844">
      <c r="B9844" s="25" t="n"/>
      <c r="I9844" s="25" t="n"/>
      <c r="U9844" s="19">
        <f>IF(AND($V9844='設定'!$C$4,COUNTIF('商品マスタ'!$B$6:$B$1005,$W9844)=0),N(U9843)+1,N(U9843))</f>
        <v/>
      </c>
      <c r="V9844" s="19">
        <f>IF($B9844="","",TEXT($B9844,"0000"))</f>
        <v/>
      </c>
      <c r="W9844" s="19">
        <f>IF($I9844="","",IF(ISNUMBER($I9844),TEXT($I9844,"0"),$I9844))</f>
        <v/>
      </c>
    </row>
    <row r="9845">
      <c r="B9845" s="25" t="n"/>
      <c r="I9845" s="25" t="n"/>
      <c r="U9845" s="19">
        <f>IF(AND($V9845='設定'!$C$4,COUNTIF('商品マスタ'!$B$6:$B$1005,$W9845)=0),N(U9844)+1,N(U9844))</f>
        <v/>
      </c>
      <c r="V9845" s="19">
        <f>IF($B9845="","",TEXT($B9845,"0000"))</f>
        <v/>
      </c>
      <c r="W9845" s="19">
        <f>IF($I9845="","",IF(ISNUMBER($I9845),TEXT($I9845,"0"),$I9845))</f>
        <v/>
      </c>
    </row>
    <row r="9846">
      <c r="B9846" s="25" t="n"/>
      <c r="I9846" s="25" t="n"/>
      <c r="U9846" s="19">
        <f>IF(AND($V9846='設定'!$C$4,COUNTIF('商品マスタ'!$B$6:$B$1005,$W9846)=0),N(U9845)+1,N(U9845))</f>
        <v/>
      </c>
      <c r="V9846" s="19">
        <f>IF($B9846="","",TEXT($B9846,"0000"))</f>
        <v/>
      </c>
      <c r="W9846" s="19">
        <f>IF($I9846="","",IF(ISNUMBER($I9846),TEXT($I9846,"0"),$I9846))</f>
        <v/>
      </c>
    </row>
    <row r="9847">
      <c r="B9847" s="25" t="n"/>
      <c r="I9847" s="25" t="n"/>
      <c r="U9847" s="19">
        <f>IF(AND($V9847='設定'!$C$4,COUNTIF('商品マスタ'!$B$6:$B$1005,$W9847)=0),N(U9846)+1,N(U9846))</f>
        <v/>
      </c>
      <c r="V9847" s="19">
        <f>IF($B9847="","",TEXT($B9847,"0000"))</f>
        <v/>
      </c>
      <c r="W9847" s="19">
        <f>IF($I9847="","",IF(ISNUMBER($I9847),TEXT($I9847,"0"),$I9847))</f>
        <v/>
      </c>
    </row>
    <row r="9848">
      <c r="B9848" s="25" t="n"/>
      <c r="I9848" s="25" t="n"/>
      <c r="U9848" s="19">
        <f>IF(AND($V9848='設定'!$C$4,COUNTIF('商品マスタ'!$B$6:$B$1005,$W9848)=0),N(U9847)+1,N(U9847))</f>
        <v/>
      </c>
      <c r="V9848" s="19">
        <f>IF($B9848="","",TEXT($B9848,"0000"))</f>
        <v/>
      </c>
      <c r="W9848" s="19">
        <f>IF($I9848="","",IF(ISNUMBER($I9848),TEXT($I9848,"0"),$I9848))</f>
        <v/>
      </c>
    </row>
    <row r="9849">
      <c r="B9849" s="25" t="n"/>
      <c r="I9849" s="25" t="n"/>
      <c r="U9849" s="19">
        <f>IF(AND($V9849='設定'!$C$4,COUNTIF('商品マスタ'!$B$6:$B$1005,$W9849)=0),N(U9848)+1,N(U9848))</f>
        <v/>
      </c>
      <c r="V9849" s="19">
        <f>IF($B9849="","",TEXT($B9849,"0000"))</f>
        <v/>
      </c>
      <c r="W9849" s="19">
        <f>IF($I9849="","",IF(ISNUMBER($I9849),TEXT($I9849,"0"),$I9849))</f>
        <v/>
      </c>
    </row>
    <row r="9850">
      <c r="B9850" s="25" t="n"/>
      <c r="I9850" s="25" t="n"/>
      <c r="U9850" s="19">
        <f>IF(AND($V9850='設定'!$C$4,COUNTIF('商品マスタ'!$B$6:$B$1005,$W9850)=0),N(U9849)+1,N(U9849))</f>
        <v/>
      </c>
      <c r="V9850" s="19">
        <f>IF($B9850="","",TEXT($B9850,"0000"))</f>
        <v/>
      </c>
      <c r="W9850" s="19">
        <f>IF($I9850="","",IF(ISNUMBER($I9850),TEXT($I9850,"0"),$I9850))</f>
        <v/>
      </c>
    </row>
    <row r="9851">
      <c r="B9851" s="25" t="n"/>
      <c r="I9851" s="25" t="n"/>
      <c r="U9851" s="19">
        <f>IF(AND($V9851='設定'!$C$4,COUNTIF('商品マスタ'!$B$6:$B$1005,$W9851)=0),N(U9850)+1,N(U9850))</f>
        <v/>
      </c>
      <c r="V9851" s="19">
        <f>IF($B9851="","",TEXT($B9851,"0000"))</f>
        <v/>
      </c>
      <c r="W9851" s="19">
        <f>IF($I9851="","",IF(ISNUMBER($I9851),TEXT($I9851,"0"),$I9851))</f>
        <v/>
      </c>
    </row>
    <row r="9852">
      <c r="B9852" s="25" t="n"/>
      <c r="I9852" s="25" t="n"/>
      <c r="U9852" s="19">
        <f>IF(AND($V9852='設定'!$C$4,COUNTIF('商品マスタ'!$B$6:$B$1005,$W9852)=0),N(U9851)+1,N(U9851))</f>
        <v/>
      </c>
      <c r="V9852" s="19">
        <f>IF($B9852="","",TEXT($B9852,"0000"))</f>
        <v/>
      </c>
      <c r="W9852" s="19">
        <f>IF($I9852="","",IF(ISNUMBER($I9852),TEXT($I9852,"0"),$I9852))</f>
        <v/>
      </c>
    </row>
    <row r="9853">
      <c r="B9853" s="25" t="n"/>
      <c r="I9853" s="25" t="n"/>
      <c r="U9853" s="19">
        <f>IF(AND($V9853='設定'!$C$4,COUNTIF('商品マスタ'!$B$6:$B$1005,$W9853)=0),N(U9852)+1,N(U9852))</f>
        <v/>
      </c>
      <c r="V9853" s="19">
        <f>IF($B9853="","",TEXT($B9853,"0000"))</f>
        <v/>
      </c>
      <c r="W9853" s="19">
        <f>IF($I9853="","",IF(ISNUMBER($I9853),TEXT($I9853,"0"),$I9853))</f>
        <v/>
      </c>
    </row>
    <row r="9854">
      <c r="B9854" s="25" t="n"/>
      <c r="I9854" s="25" t="n"/>
      <c r="U9854" s="19">
        <f>IF(AND($V9854='設定'!$C$4,COUNTIF('商品マスタ'!$B$6:$B$1005,$W9854)=0),N(U9853)+1,N(U9853))</f>
        <v/>
      </c>
      <c r="V9854" s="19">
        <f>IF($B9854="","",TEXT($B9854,"0000"))</f>
        <v/>
      </c>
      <c r="W9854" s="19">
        <f>IF($I9854="","",IF(ISNUMBER($I9854),TEXT($I9854,"0"),$I9854))</f>
        <v/>
      </c>
    </row>
    <row r="9855">
      <c r="B9855" s="25" t="n"/>
      <c r="I9855" s="25" t="n"/>
      <c r="U9855" s="19">
        <f>IF(AND($V9855='設定'!$C$4,COUNTIF('商品マスタ'!$B$6:$B$1005,$W9855)=0),N(U9854)+1,N(U9854))</f>
        <v/>
      </c>
      <c r="V9855" s="19">
        <f>IF($B9855="","",TEXT($B9855,"0000"))</f>
        <v/>
      </c>
      <c r="W9855" s="19">
        <f>IF($I9855="","",IF(ISNUMBER($I9855),TEXT($I9855,"0"),$I9855))</f>
        <v/>
      </c>
    </row>
    <row r="9856">
      <c r="B9856" s="25" t="n"/>
      <c r="I9856" s="25" t="n"/>
      <c r="U9856" s="19">
        <f>IF(AND($V9856='設定'!$C$4,COUNTIF('商品マスタ'!$B$6:$B$1005,$W9856)=0),N(U9855)+1,N(U9855))</f>
        <v/>
      </c>
      <c r="V9856" s="19">
        <f>IF($B9856="","",TEXT($B9856,"0000"))</f>
        <v/>
      </c>
      <c r="W9856" s="19">
        <f>IF($I9856="","",IF(ISNUMBER($I9856),TEXT($I9856,"0"),$I9856))</f>
        <v/>
      </c>
    </row>
    <row r="9857">
      <c r="B9857" s="25" t="n"/>
      <c r="I9857" s="25" t="n"/>
      <c r="U9857" s="19">
        <f>IF(AND($V9857='設定'!$C$4,COUNTIF('商品マスタ'!$B$6:$B$1005,$W9857)=0),N(U9856)+1,N(U9856))</f>
        <v/>
      </c>
      <c r="V9857" s="19">
        <f>IF($B9857="","",TEXT($B9857,"0000"))</f>
        <v/>
      </c>
      <c r="W9857" s="19">
        <f>IF($I9857="","",IF(ISNUMBER($I9857),TEXT($I9857,"0"),$I9857))</f>
        <v/>
      </c>
    </row>
    <row r="9858">
      <c r="B9858" s="25" t="n"/>
      <c r="I9858" s="25" t="n"/>
      <c r="U9858" s="19">
        <f>IF(AND($V9858='設定'!$C$4,COUNTIF('商品マスタ'!$B$6:$B$1005,$W9858)=0),N(U9857)+1,N(U9857))</f>
        <v/>
      </c>
      <c r="V9858" s="19">
        <f>IF($B9858="","",TEXT($B9858,"0000"))</f>
        <v/>
      </c>
      <c r="W9858" s="19">
        <f>IF($I9858="","",IF(ISNUMBER($I9858),TEXT($I9858,"0"),$I9858))</f>
        <v/>
      </c>
    </row>
    <row r="9859">
      <c r="B9859" s="25" t="n"/>
      <c r="I9859" s="25" t="n"/>
      <c r="U9859" s="19">
        <f>IF(AND($V9859='設定'!$C$4,COUNTIF('商品マスタ'!$B$6:$B$1005,$W9859)=0),N(U9858)+1,N(U9858))</f>
        <v/>
      </c>
      <c r="V9859" s="19">
        <f>IF($B9859="","",TEXT($B9859,"0000"))</f>
        <v/>
      </c>
      <c r="W9859" s="19">
        <f>IF($I9859="","",IF(ISNUMBER($I9859),TEXT($I9859,"0"),$I9859))</f>
        <v/>
      </c>
    </row>
    <row r="9860">
      <c r="B9860" s="25" t="n"/>
      <c r="I9860" s="25" t="n"/>
      <c r="U9860" s="19">
        <f>IF(AND($V9860='設定'!$C$4,COUNTIF('商品マスタ'!$B$6:$B$1005,$W9860)=0),N(U9859)+1,N(U9859))</f>
        <v/>
      </c>
      <c r="V9860" s="19">
        <f>IF($B9860="","",TEXT($B9860,"0000"))</f>
        <v/>
      </c>
      <c r="W9860" s="19">
        <f>IF($I9860="","",IF(ISNUMBER($I9860),TEXT($I9860,"0"),$I9860))</f>
        <v/>
      </c>
    </row>
    <row r="9861">
      <c r="B9861" s="25" t="n"/>
      <c r="I9861" s="25" t="n"/>
      <c r="U9861" s="19">
        <f>IF(AND($V9861='設定'!$C$4,COUNTIF('商品マスタ'!$B$6:$B$1005,$W9861)=0),N(U9860)+1,N(U9860))</f>
        <v/>
      </c>
      <c r="V9861" s="19">
        <f>IF($B9861="","",TEXT($B9861,"0000"))</f>
        <v/>
      </c>
      <c r="W9861" s="19">
        <f>IF($I9861="","",IF(ISNUMBER($I9861),TEXT($I9861,"0"),$I9861))</f>
        <v/>
      </c>
    </row>
    <row r="9862">
      <c r="B9862" s="25" t="n"/>
      <c r="I9862" s="25" t="n"/>
      <c r="U9862" s="19">
        <f>IF(AND($V9862='設定'!$C$4,COUNTIF('商品マスタ'!$B$6:$B$1005,$W9862)=0),N(U9861)+1,N(U9861))</f>
        <v/>
      </c>
      <c r="V9862" s="19">
        <f>IF($B9862="","",TEXT($B9862,"0000"))</f>
        <v/>
      </c>
      <c r="W9862" s="19">
        <f>IF($I9862="","",IF(ISNUMBER($I9862),TEXT($I9862,"0"),$I9862))</f>
        <v/>
      </c>
    </row>
    <row r="9863">
      <c r="B9863" s="25" t="n"/>
      <c r="I9863" s="25" t="n"/>
      <c r="U9863" s="19">
        <f>IF(AND($V9863='設定'!$C$4,COUNTIF('商品マスタ'!$B$6:$B$1005,$W9863)=0),N(U9862)+1,N(U9862))</f>
        <v/>
      </c>
      <c r="V9863" s="19">
        <f>IF($B9863="","",TEXT($B9863,"0000"))</f>
        <v/>
      </c>
      <c r="W9863" s="19">
        <f>IF($I9863="","",IF(ISNUMBER($I9863),TEXT($I9863,"0"),$I9863))</f>
        <v/>
      </c>
    </row>
    <row r="9864">
      <c r="B9864" s="25" t="n"/>
      <c r="I9864" s="25" t="n"/>
      <c r="U9864" s="19">
        <f>IF(AND($V9864='設定'!$C$4,COUNTIF('商品マスタ'!$B$6:$B$1005,$W9864)=0),N(U9863)+1,N(U9863))</f>
        <v/>
      </c>
      <c r="V9864" s="19">
        <f>IF($B9864="","",TEXT($B9864,"0000"))</f>
        <v/>
      </c>
      <c r="W9864" s="19">
        <f>IF($I9864="","",IF(ISNUMBER($I9864),TEXT($I9864,"0"),$I9864))</f>
        <v/>
      </c>
    </row>
    <row r="9865">
      <c r="B9865" s="25" t="n"/>
      <c r="I9865" s="25" t="n"/>
      <c r="U9865" s="19">
        <f>IF(AND($V9865='設定'!$C$4,COUNTIF('商品マスタ'!$B$6:$B$1005,$W9865)=0),N(U9864)+1,N(U9864))</f>
        <v/>
      </c>
      <c r="V9865" s="19">
        <f>IF($B9865="","",TEXT($B9865,"0000"))</f>
        <v/>
      </c>
      <c r="W9865" s="19">
        <f>IF($I9865="","",IF(ISNUMBER($I9865),TEXT($I9865,"0"),$I9865))</f>
        <v/>
      </c>
    </row>
    <row r="9866">
      <c r="B9866" s="25" t="n"/>
      <c r="I9866" s="25" t="n"/>
      <c r="U9866" s="19">
        <f>IF(AND($V9866='設定'!$C$4,COUNTIF('商品マスタ'!$B$6:$B$1005,$W9866)=0),N(U9865)+1,N(U9865))</f>
        <v/>
      </c>
      <c r="V9866" s="19">
        <f>IF($B9866="","",TEXT($B9866,"0000"))</f>
        <v/>
      </c>
      <c r="W9866" s="19">
        <f>IF($I9866="","",IF(ISNUMBER($I9866),TEXT($I9866,"0"),$I9866))</f>
        <v/>
      </c>
    </row>
    <row r="9867">
      <c r="B9867" s="25" t="n"/>
      <c r="I9867" s="25" t="n"/>
      <c r="U9867" s="19">
        <f>IF(AND($V9867='設定'!$C$4,COUNTIF('商品マスタ'!$B$6:$B$1005,$W9867)=0),N(U9866)+1,N(U9866))</f>
        <v/>
      </c>
      <c r="V9867" s="19">
        <f>IF($B9867="","",TEXT($B9867,"0000"))</f>
        <v/>
      </c>
      <c r="W9867" s="19">
        <f>IF($I9867="","",IF(ISNUMBER($I9867),TEXT($I9867,"0"),$I9867))</f>
        <v/>
      </c>
    </row>
    <row r="9868">
      <c r="B9868" s="25" t="n"/>
      <c r="I9868" s="25" t="n"/>
      <c r="U9868" s="19">
        <f>IF(AND($V9868='設定'!$C$4,COUNTIF('商品マスタ'!$B$6:$B$1005,$W9868)=0),N(U9867)+1,N(U9867))</f>
        <v/>
      </c>
      <c r="V9868" s="19">
        <f>IF($B9868="","",TEXT($B9868,"0000"))</f>
        <v/>
      </c>
      <c r="W9868" s="19">
        <f>IF($I9868="","",IF(ISNUMBER($I9868),TEXT($I9868,"0"),$I9868))</f>
        <v/>
      </c>
    </row>
    <row r="9869">
      <c r="B9869" s="25" t="n"/>
      <c r="I9869" s="25" t="n"/>
      <c r="U9869" s="19">
        <f>IF(AND($V9869='設定'!$C$4,COUNTIF('商品マスタ'!$B$6:$B$1005,$W9869)=0),N(U9868)+1,N(U9868))</f>
        <v/>
      </c>
      <c r="V9869" s="19">
        <f>IF($B9869="","",TEXT($B9869,"0000"))</f>
        <v/>
      </c>
      <c r="W9869" s="19">
        <f>IF($I9869="","",IF(ISNUMBER($I9869),TEXT($I9869,"0"),$I9869))</f>
        <v/>
      </c>
    </row>
    <row r="9870">
      <c r="B9870" s="25" t="n"/>
      <c r="I9870" s="25" t="n"/>
      <c r="U9870" s="19">
        <f>IF(AND($V9870='設定'!$C$4,COUNTIF('商品マスタ'!$B$6:$B$1005,$W9870)=0),N(U9869)+1,N(U9869))</f>
        <v/>
      </c>
      <c r="V9870" s="19">
        <f>IF($B9870="","",TEXT($B9870,"0000"))</f>
        <v/>
      </c>
      <c r="W9870" s="19">
        <f>IF($I9870="","",IF(ISNUMBER($I9870),TEXT($I9870,"0"),$I9870))</f>
        <v/>
      </c>
    </row>
    <row r="9871">
      <c r="B9871" s="25" t="n"/>
      <c r="I9871" s="25" t="n"/>
      <c r="U9871" s="19">
        <f>IF(AND($V9871='設定'!$C$4,COUNTIF('商品マスタ'!$B$6:$B$1005,$W9871)=0),N(U9870)+1,N(U9870))</f>
        <v/>
      </c>
      <c r="V9871" s="19">
        <f>IF($B9871="","",TEXT($B9871,"0000"))</f>
        <v/>
      </c>
      <c r="W9871" s="19">
        <f>IF($I9871="","",IF(ISNUMBER($I9871),TEXT($I9871,"0"),$I9871))</f>
        <v/>
      </c>
    </row>
    <row r="9872">
      <c r="B9872" s="25" t="n"/>
      <c r="I9872" s="25" t="n"/>
      <c r="U9872" s="19">
        <f>IF(AND($V9872='設定'!$C$4,COUNTIF('商品マスタ'!$B$6:$B$1005,$W9872)=0),N(U9871)+1,N(U9871))</f>
        <v/>
      </c>
      <c r="V9872" s="19">
        <f>IF($B9872="","",TEXT($B9872,"0000"))</f>
        <v/>
      </c>
      <c r="W9872" s="19">
        <f>IF($I9872="","",IF(ISNUMBER($I9872),TEXT($I9872,"0"),$I9872))</f>
        <v/>
      </c>
    </row>
    <row r="9873">
      <c r="B9873" s="25" t="n"/>
      <c r="I9873" s="25" t="n"/>
      <c r="U9873" s="19">
        <f>IF(AND($V9873='設定'!$C$4,COUNTIF('商品マスタ'!$B$6:$B$1005,$W9873)=0),N(U9872)+1,N(U9872))</f>
        <v/>
      </c>
      <c r="V9873" s="19">
        <f>IF($B9873="","",TEXT($B9873,"0000"))</f>
        <v/>
      </c>
      <c r="W9873" s="19">
        <f>IF($I9873="","",IF(ISNUMBER($I9873),TEXT($I9873,"0"),$I9873))</f>
        <v/>
      </c>
    </row>
    <row r="9874">
      <c r="B9874" s="25" t="n"/>
      <c r="I9874" s="25" t="n"/>
      <c r="U9874" s="19">
        <f>IF(AND($V9874='設定'!$C$4,COUNTIF('商品マスタ'!$B$6:$B$1005,$W9874)=0),N(U9873)+1,N(U9873))</f>
        <v/>
      </c>
      <c r="V9874" s="19">
        <f>IF($B9874="","",TEXT($B9874,"0000"))</f>
        <v/>
      </c>
      <c r="W9874" s="19">
        <f>IF($I9874="","",IF(ISNUMBER($I9874),TEXT($I9874,"0"),$I9874))</f>
        <v/>
      </c>
    </row>
    <row r="9875">
      <c r="B9875" s="25" t="n"/>
      <c r="I9875" s="25" t="n"/>
      <c r="U9875" s="19">
        <f>IF(AND($V9875='設定'!$C$4,COUNTIF('商品マスタ'!$B$6:$B$1005,$W9875)=0),N(U9874)+1,N(U9874))</f>
        <v/>
      </c>
      <c r="V9875" s="19">
        <f>IF($B9875="","",TEXT($B9875,"0000"))</f>
        <v/>
      </c>
      <c r="W9875" s="19">
        <f>IF($I9875="","",IF(ISNUMBER($I9875),TEXT($I9875,"0"),$I9875))</f>
        <v/>
      </c>
    </row>
    <row r="9876">
      <c r="B9876" s="25" t="n"/>
      <c r="I9876" s="25" t="n"/>
      <c r="U9876" s="19">
        <f>IF(AND($V9876='設定'!$C$4,COUNTIF('商品マスタ'!$B$6:$B$1005,$W9876)=0),N(U9875)+1,N(U9875))</f>
        <v/>
      </c>
      <c r="V9876" s="19">
        <f>IF($B9876="","",TEXT($B9876,"0000"))</f>
        <v/>
      </c>
      <c r="W9876" s="19">
        <f>IF($I9876="","",IF(ISNUMBER($I9876),TEXT($I9876,"0"),$I9876))</f>
        <v/>
      </c>
    </row>
    <row r="9877">
      <c r="B9877" s="25" t="n"/>
      <c r="I9877" s="25" t="n"/>
      <c r="U9877" s="19">
        <f>IF(AND($V9877='設定'!$C$4,COUNTIF('商品マスタ'!$B$6:$B$1005,$W9877)=0),N(U9876)+1,N(U9876))</f>
        <v/>
      </c>
      <c r="V9877" s="19">
        <f>IF($B9877="","",TEXT($B9877,"0000"))</f>
        <v/>
      </c>
      <c r="W9877" s="19">
        <f>IF($I9877="","",IF(ISNUMBER($I9877),TEXT($I9877,"0"),$I9877))</f>
        <v/>
      </c>
    </row>
    <row r="9878">
      <c r="B9878" s="25" t="n"/>
      <c r="I9878" s="25" t="n"/>
      <c r="U9878" s="19">
        <f>IF(AND($V9878='設定'!$C$4,COUNTIF('商品マスタ'!$B$6:$B$1005,$W9878)=0),N(U9877)+1,N(U9877))</f>
        <v/>
      </c>
      <c r="V9878" s="19">
        <f>IF($B9878="","",TEXT($B9878,"0000"))</f>
        <v/>
      </c>
      <c r="W9878" s="19">
        <f>IF($I9878="","",IF(ISNUMBER($I9878),TEXT($I9878,"0"),$I9878))</f>
        <v/>
      </c>
    </row>
    <row r="9879">
      <c r="B9879" s="25" t="n"/>
      <c r="I9879" s="25" t="n"/>
      <c r="U9879" s="19">
        <f>IF(AND($V9879='設定'!$C$4,COUNTIF('商品マスタ'!$B$6:$B$1005,$W9879)=0),N(U9878)+1,N(U9878))</f>
        <v/>
      </c>
      <c r="V9879" s="19">
        <f>IF($B9879="","",TEXT($B9879,"0000"))</f>
        <v/>
      </c>
      <c r="W9879" s="19">
        <f>IF($I9879="","",IF(ISNUMBER($I9879),TEXT($I9879,"0"),$I9879))</f>
        <v/>
      </c>
    </row>
    <row r="9880">
      <c r="B9880" s="25" t="n"/>
      <c r="I9880" s="25" t="n"/>
      <c r="U9880" s="19">
        <f>IF(AND($V9880='設定'!$C$4,COUNTIF('商品マスタ'!$B$6:$B$1005,$W9880)=0),N(U9879)+1,N(U9879))</f>
        <v/>
      </c>
      <c r="V9880" s="19">
        <f>IF($B9880="","",TEXT($B9880,"0000"))</f>
        <v/>
      </c>
      <c r="W9880" s="19">
        <f>IF($I9880="","",IF(ISNUMBER($I9880),TEXT($I9880,"0"),$I9880))</f>
        <v/>
      </c>
    </row>
    <row r="9881">
      <c r="B9881" s="25" t="n"/>
      <c r="I9881" s="25" t="n"/>
      <c r="U9881" s="19">
        <f>IF(AND($V9881='設定'!$C$4,COUNTIF('商品マスタ'!$B$6:$B$1005,$W9881)=0),N(U9880)+1,N(U9880))</f>
        <v/>
      </c>
      <c r="V9881" s="19">
        <f>IF($B9881="","",TEXT($B9881,"0000"))</f>
        <v/>
      </c>
      <c r="W9881" s="19">
        <f>IF($I9881="","",IF(ISNUMBER($I9881),TEXT($I9881,"0"),$I9881))</f>
        <v/>
      </c>
    </row>
    <row r="9882">
      <c r="B9882" s="25" t="n"/>
      <c r="I9882" s="25" t="n"/>
      <c r="U9882" s="19">
        <f>IF(AND($V9882='設定'!$C$4,COUNTIF('商品マスタ'!$B$6:$B$1005,$W9882)=0),N(U9881)+1,N(U9881))</f>
        <v/>
      </c>
      <c r="V9882" s="19">
        <f>IF($B9882="","",TEXT($B9882,"0000"))</f>
        <v/>
      </c>
      <c r="W9882" s="19">
        <f>IF($I9882="","",IF(ISNUMBER($I9882),TEXT($I9882,"0"),$I9882))</f>
        <v/>
      </c>
    </row>
    <row r="9883">
      <c r="B9883" s="25" t="n"/>
      <c r="I9883" s="25" t="n"/>
      <c r="U9883" s="19">
        <f>IF(AND($V9883='設定'!$C$4,COUNTIF('商品マスタ'!$B$6:$B$1005,$W9883)=0),N(U9882)+1,N(U9882))</f>
        <v/>
      </c>
      <c r="V9883" s="19">
        <f>IF($B9883="","",TEXT($B9883,"0000"))</f>
        <v/>
      </c>
      <c r="W9883" s="19">
        <f>IF($I9883="","",IF(ISNUMBER($I9883),TEXT($I9883,"0"),$I9883))</f>
        <v/>
      </c>
    </row>
    <row r="9884">
      <c r="B9884" s="25" t="n"/>
      <c r="I9884" s="25" t="n"/>
      <c r="U9884" s="19">
        <f>IF(AND($V9884='設定'!$C$4,COUNTIF('商品マスタ'!$B$6:$B$1005,$W9884)=0),N(U9883)+1,N(U9883))</f>
        <v/>
      </c>
      <c r="V9884" s="19">
        <f>IF($B9884="","",TEXT($B9884,"0000"))</f>
        <v/>
      </c>
      <c r="W9884" s="19">
        <f>IF($I9884="","",IF(ISNUMBER($I9884),TEXT($I9884,"0"),$I9884))</f>
        <v/>
      </c>
    </row>
    <row r="9885">
      <c r="B9885" s="25" t="n"/>
      <c r="I9885" s="25" t="n"/>
      <c r="U9885" s="19">
        <f>IF(AND($V9885='設定'!$C$4,COUNTIF('商品マスタ'!$B$6:$B$1005,$W9885)=0),N(U9884)+1,N(U9884))</f>
        <v/>
      </c>
      <c r="V9885" s="19">
        <f>IF($B9885="","",TEXT($B9885,"0000"))</f>
        <v/>
      </c>
      <c r="W9885" s="19">
        <f>IF($I9885="","",IF(ISNUMBER($I9885),TEXT($I9885,"0"),$I9885))</f>
        <v/>
      </c>
    </row>
    <row r="9886">
      <c r="B9886" s="25" t="n"/>
      <c r="I9886" s="25" t="n"/>
      <c r="U9886" s="19">
        <f>IF(AND($V9886='設定'!$C$4,COUNTIF('商品マスタ'!$B$6:$B$1005,$W9886)=0),N(U9885)+1,N(U9885))</f>
        <v/>
      </c>
      <c r="V9886" s="19">
        <f>IF($B9886="","",TEXT($B9886,"0000"))</f>
        <v/>
      </c>
      <c r="W9886" s="19">
        <f>IF($I9886="","",IF(ISNUMBER($I9886),TEXT($I9886,"0"),$I9886))</f>
        <v/>
      </c>
    </row>
    <row r="9887">
      <c r="B9887" s="25" t="n"/>
      <c r="I9887" s="25" t="n"/>
      <c r="U9887" s="19">
        <f>IF(AND($V9887='設定'!$C$4,COUNTIF('商品マスタ'!$B$6:$B$1005,$W9887)=0),N(U9886)+1,N(U9886))</f>
        <v/>
      </c>
      <c r="V9887" s="19">
        <f>IF($B9887="","",TEXT($B9887,"0000"))</f>
        <v/>
      </c>
      <c r="W9887" s="19">
        <f>IF($I9887="","",IF(ISNUMBER($I9887),TEXT($I9887,"0"),$I9887))</f>
        <v/>
      </c>
    </row>
    <row r="9888">
      <c r="B9888" s="25" t="n"/>
      <c r="I9888" s="25" t="n"/>
      <c r="U9888" s="19">
        <f>IF(AND($V9888='設定'!$C$4,COUNTIF('商品マスタ'!$B$6:$B$1005,$W9888)=0),N(U9887)+1,N(U9887))</f>
        <v/>
      </c>
      <c r="V9888" s="19">
        <f>IF($B9888="","",TEXT($B9888,"0000"))</f>
        <v/>
      </c>
      <c r="W9888" s="19">
        <f>IF($I9888="","",IF(ISNUMBER($I9888),TEXT($I9888,"0"),$I9888))</f>
        <v/>
      </c>
    </row>
    <row r="9889">
      <c r="B9889" s="25" t="n"/>
      <c r="I9889" s="25" t="n"/>
      <c r="U9889" s="19">
        <f>IF(AND($V9889='設定'!$C$4,COUNTIF('商品マスタ'!$B$6:$B$1005,$W9889)=0),N(U9888)+1,N(U9888))</f>
        <v/>
      </c>
      <c r="V9889" s="19">
        <f>IF($B9889="","",TEXT($B9889,"0000"))</f>
        <v/>
      </c>
      <c r="W9889" s="19">
        <f>IF($I9889="","",IF(ISNUMBER($I9889),TEXT($I9889,"0"),$I9889))</f>
        <v/>
      </c>
    </row>
    <row r="9890">
      <c r="B9890" s="25" t="n"/>
      <c r="I9890" s="25" t="n"/>
      <c r="U9890" s="19">
        <f>IF(AND($V9890='設定'!$C$4,COUNTIF('商品マスタ'!$B$6:$B$1005,$W9890)=0),N(U9889)+1,N(U9889))</f>
        <v/>
      </c>
      <c r="V9890" s="19">
        <f>IF($B9890="","",TEXT($B9890,"0000"))</f>
        <v/>
      </c>
      <c r="W9890" s="19">
        <f>IF($I9890="","",IF(ISNUMBER($I9890),TEXT($I9890,"0"),$I9890))</f>
        <v/>
      </c>
    </row>
    <row r="9891">
      <c r="B9891" s="25" t="n"/>
      <c r="I9891" s="25" t="n"/>
      <c r="U9891" s="19">
        <f>IF(AND($V9891='設定'!$C$4,COUNTIF('商品マスタ'!$B$6:$B$1005,$W9891)=0),N(U9890)+1,N(U9890))</f>
        <v/>
      </c>
      <c r="V9891" s="19">
        <f>IF($B9891="","",TEXT($B9891,"0000"))</f>
        <v/>
      </c>
      <c r="W9891" s="19">
        <f>IF($I9891="","",IF(ISNUMBER($I9891),TEXT($I9891,"0"),$I9891))</f>
        <v/>
      </c>
    </row>
    <row r="9892">
      <c r="B9892" s="25" t="n"/>
      <c r="I9892" s="25" t="n"/>
      <c r="U9892" s="19">
        <f>IF(AND($V9892='設定'!$C$4,COUNTIF('商品マスタ'!$B$6:$B$1005,$W9892)=0),N(U9891)+1,N(U9891))</f>
        <v/>
      </c>
      <c r="V9892" s="19">
        <f>IF($B9892="","",TEXT($B9892,"0000"))</f>
        <v/>
      </c>
      <c r="W9892" s="19">
        <f>IF($I9892="","",IF(ISNUMBER($I9892),TEXT($I9892,"0"),$I9892))</f>
        <v/>
      </c>
    </row>
    <row r="9893">
      <c r="B9893" s="25" t="n"/>
      <c r="I9893" s="25" t="n"/>
      <c r="U9893" s="19">
        <f>IF(AND($V9893='設定'!$C$4,COUNTIF('商品マスタ'!$B$6:$B$1005,$W9893)=0),N(U9892)+1,N(U9892))</f>
        <v/>
      </c>
      <c r="V9893" s="19">
        <f>IF($B9893="","",TEXT($B9893,"0000"))</f>
        <v/>
      </c>
      <c r="W9893" s="19">
        <f>IF($I9893="","",IF(ISNUMBER($I9893),TEXT($I9893,"0"),$I9893))</f>
        <v/>
      </c>
    </row>
    <row r="9894">
      <c r="B9894" s="25" t="n"/>
      <c r="I9894" s="25" t="n"/>
      <c r="U9894" s="19">
        <f>IF(AND($V9894='設定'!$C$4,COUNTIF('商品マスタ'!$B$6:$B$1005,$W9894)=0),N(U9893)+1,N(U9893))</f>
        <v/>
      </c>
      <c r="V9894" s="19">
        <f>IF($B9894="","",TEXT($B9894,"0000"))</f>
        <v/>
      </c>
      <c r="W9894" s="19">
        <f>IF($I9894="","",IF(ISNUMBER($I9894),TEXT($I9894,"0"),$I9894))</f>
        <v/>
      </c>
    </row>
    <row r="9895">
      <c r="B9895" s="25" t="n"/>
      <c r="I9895" s="25" t="n"/>
      <c r="U9895" s="19">
        <f>IF(AND($V9895='設定'!$C$4,COUNTIF('商品マスタ'!$B$6:$B$1005,$W9895)=0),N(U9894)+1,N(U9894))</f>
        <v/>
      </c>
      <c r="V9895" s="19">
        <f>IF($B9895="","",TEXT($B9895,"0000"))</f>
        <v/>
      </c>
      <c r="W9895" s="19">
        <f>IF($I9895="","",IF(ISNUMBER($I9895),TEXT($I9895,"0"),$I9895))</f>
        <v/>
      </c>
    </row>
    <row r="9896">
      <c r="B9896" s="25" t="n"/>
      <c r="I9896" s="25" t="n"/>
      <c r="U9896" s="19">
        <f>IF(AND($V9896='設定'!$C$4,COUNTIF('商品マスタ'!$B$6:$B$1005,$W9896)=0),N(U9895)+1,N(U9895))</f>
        <v/>
      </c>
      <c r="V9896" s="19">
        <f>IF($B9896="","",TEXT($B9896,"0000"))</f>
        <v/>
      </c>
      <c r="W9896" s="19">
        <f>IF($I9896="","",IF(ISNUMBER($I9896),TEXT($I9896,"0"),$I9896))</f>
        <v/>
      </c>
    </row>
    <row r="9897">
      <c r="B9897" s="25" t="n"/>
      <c r="I9897" s="25" t="n"/>
      <c r="U9897" s="19">
        <f>IF(AND($V9897='設定'!$C$4,COUNTIF('商品マスタ'!$B$6:$B$1005,$W9897)=0),N(U9896)+1,N(U9896))</f>
        <v/>
      </c>
      <c r="V9897" s="19">
        <f>IF($B9897="","",TEXT($B9897,"0000"))</f>
        <v/>
      </c>
      <c r="W9897" s="19">
        <f>IF($I9897="","",IF(ISNUMBER($I9897),TEXT($I9897,"0"),$I9897))</f>
        <v/>
      </c>
    </row>
    <row r="9898">
      <c r="B9898" s="25" t="n"/>
      <c r="I9898" s="25" t="n"/>
      <c r="U9898" s="19">
        <f>IF(AND($V9898='設定'!$C$4,COUNTIF('商品マスタ'!$B$6:$B$1005,$W9898)=0),N(U9897)+1,N(U9897))</f>
        <v/>
      </c>
      <c r="V9898" s="19">
        <f>IF($B9898="","",TEXT($B9898,"0000"))</f>
        <v/>
      </c>
      <c r="W9898" s="19">
        <f>IF($I9898="","",IF(ISNUMBER($I9898),TEXT($I9898,"0"),$I9898))</f>
        <v/>
      </c>
    </row>
    <row r="9899">
      <c r="B9899" s="25" t="n"/>
      <c r="I9899" s="25" t="n"/>
      <c r="U9899" s="19">
        <f>IF(AND($V9899='設定'!$C$4,COUNTIF('商品マスタ'!$B$6:$B$1005,$W9899)=0),N(U9898)+1,N(U9898))</f>
        <v/>
      </c>
      <c r="V9899" s="19">
        <f>IF($B9899="","",TEXT($B9899,"0000"))</f>
        <v/>
      </c>
      <c r="W9899" s="19">
        <f>IF($I9899="","",IF(ISNUMBER($I9899),TEXT($I9899,"0"),$I9899))</f>
        <v/>
      </c>
    </row>
    <row r="9900">
      <c r="B9900" s="25" t="n"/>
      <c r="I9900" s="25" t="n"/>
      <c r="U9900" s="19">
        <f>IF(AND($V9900='設定'!$C$4,COUNTIF('商品マスタ'!$B$6:$B$1005,$W9900)=0),N(U9899)+1,N(U9899))</f>
        <v/>
      </c>
      <c r="V9900" s="19">
        <f>IF($B9900="","",TEXT($B9900,"0000"))</f>
        <v/>
      </c>
      <c r="W9900" s="19">
        <f>IF($I9900="","",IF(ISNUMBER($I9900),TEXT($I9900,"0"),$I9900))</f>
        <v/>
      </c>
    </row>
    <row r="9901">
      <c r="B9901" s="25" t="n"/>
      <c r="I9901" s="25" t="n"/>
      <c r="U9901" s="19">
        <f>IF(AND($V9901='設定'!$C$4,COUNTIF('商品マスタ'!$B$6:$B$1005,$W9901)=0),N(U9900)+1,N(U9900))</f>
        <v/>
      </c>
      <c r="V9901" s="19">
        <f>IF($B9901="","",TEXT($B9901,"0000"))</f>
        <v/>
      </c>
      <c r="W9901" s="19">
        <f>IF($I9901="","",IF(ISNUMBER($I9901),TEXT($I9901,"0"),$I9901))</f>
        <v/>
      </c>
    </row>
    <row r="9902">
      <c r="B9902" s="25" t="n"/>
      <c r="I9902" s="25" t="n"/>
      <c r="U9902" s="19">
        <f>IF(AND($V9902='設定'!$C$4,COUNTIF('商品マスタ'!$B$6:$B$1005,$W9902)=0),N(U9901)+1,N(U9901))</f>
        <v/>
      </c>
      <c r="V9902" s="19">
        <f>IF($B9902="","",TEXT($B9902,"0000"))</f>
        <v/>
      </c>
      <c r="W9902" s="19">
        <f>IF($I9902="","",IF(ISNUMBER($I9902),TEXT($I9902,"0"),$I9902))</f>
        <v/>
      </c>
    </row>
    <row r="9903">
      <c r="B9903" s="25" t="n"/>
      <c r="I9903" s="25" t="n"/>
      <c r="U9903" s="19">
        <f>IF(AND($V9903='設定'!$C$4,COUNTIF('商品マスタ'!$B$6:$B$1005,$W9903)=0),N(U9902)+1,N(U9902))</f>
        <v/>
      </c>
      <c r="V9903" s="19">
        <f>IF($B9903="","",TEXT($B9903,"0000"))</f>
        <v/>
      </c>
      <c r="W9903" s="19">
        <f>IF($I9903="","",IF(ISNUMBER($I9903),TEXT($I9903,"0"),$I9903))</f>
        <v/>
      </c>
    </row>
    <row r="9904">
      <c r="B9904" s="25" t="n"/>
      <c r="I9904" s="25" t="n"/>
      <c r="U9904" s="19">
        <f>IF(AND($V9904='設定'!$C$4,COUNTIF('商品マスタ'!$B$6:$B$1005,$W9904)=0),N(U9903)+1,N(U9903))</f>
        <v/>
      </c>
      <c r="V9904" s="19">
        <f>IF($B9904="","",TEXT($B9904,"0000"))</f>
        <v/>
      </c>
      <c r="W9904" s="19">
        <f>IF($I9904="","",IF(ISNUMBER($I9904),TEXT($I9904,"0"),$I9904))</f>
        <v/>
      </c>
    </row>
    <row r="9905">
      <c r="B9905" s="25" t="n"/>
      <c r="I9905" s="25" t="n"/>
      <c r="U9905" s="19">
        <f>IF(AND($V9905='設定'!$C$4,COUNTIF('商品マスタ'!$B$6:$B$1005,$W9905)=0),N(U9904)+1,N(U9904))</f>
        <v/>
      </c>
      <c r="V9905" s="19">
        <f>IF($B9905="","",TEXT($B9905,"0000"))</f>
        <v/>
      </c>
      <c r="W9905" s="19">
        <f>IF($I9905="","",IF(ISNUMBER($I9905),TEXT($I9905,"0"),$I9905))</f>
        <v/>
      </c>
    </row>
    <row r="9906">
      <c r="B9906" s="25" t="n"/>
      <c r="I9906" s="25" t="n"/>
      <c r="U9906" s="19">
        <f>IF(AND($V9906='設定'!$C$4,COUNTIF('商品マスタ'!$B$6:$B$1005,$W9906)=0),N(U9905)+1,N(U9905))</f>
        <v/>
      </c>
      <c r="V9906" s="19">
        <f>IF($B9906="","",TEXT($B9906,"0000"))</f>
        <v/>
      </c>
      <c r="W9906" s="19">
        <f>IF($I9906="","",IF(ISNUMBER($I9906),TEXT($I9906,"0"),$I9906))</f>
        <v/>
      </c>
    </row>
    <row r="9907">
      <c r="B9907" s="25" t="n"/>
      <c r="I9907" s="25" t="n"/>
      <c r="U9907" s="19">
        <f>IF(AND($V9907='設定'!$C$4,COUNTIF('商品マスタ'!$B$6:$B$1005,$W9907)=0),N(U9906)+1,N(U9906))</f>
        <v/>
      </c>
      <c r="V9907" s="19">
        <f>IF($B9907="","",TEXT($B9907,"0000"))</f>
        <v/>
      </c>
      <c r="W9907" s="19">
        <f>IF($I9907="","",IF(ISNUMBER($I9907),TEXT($I9907,"0"),$I9907))</f>
        <v/>
      </c>
    </row>
    <row r="9908">
      <c r="B9908" s="25" t="n"/>
      <c r="I9908" s="25" t="n"/>
      <c r="U9908" s="19">
        <f>IF(AND($V9908='設定'!$C$4,COUNTIF('商品マスタ'!$B$6:$B$1005,$W9908)=0),N(U9907)+1,N(U9907))</f>
        <v/>
      </c>
      <c r="V9908" s="19">
        <f>IF($B9908="","",TEXT($B9908,"0000"))</f>
        <v/>
      </c>
      <c r="W9908" s="19">
        <f>IF($I9908="","",IF(ISNUMBER($I9908),TEXT($I9908,"0"),$I9908))</f>
        <v/>
      </c>
    </row>
    <row r="9909">
      <c r="B9909" s="25" t="n"/>
      <c r="I9909" s="25" t="n"/>
      <c r="U9909" s="19">
        <f>IF(AND($V9909='設定'!$C$4,COUNTIF('商品マスタ'!$B$6:$B$1005,$W9909)=0),N(U9908)+1,N(U9908))</f>
        <v/>
      </c>
      <c r="V9909" s="19">
        <f>IF($B9909="","",TEXT($B9909,"0000"))</f>
        <v/>
      </c>
      <c r="W9909" s="19">
        <f>IF($I9909="","",IF(ISNUMBER($I9909),TEXT($I9909,"0"),$I9909))</f>
        <v/>
      </c>
    </row>
    <row r="9910">
      <c r="B9910" s="25" t="n"/>
      <c r="I9910" s="25" t="n"/>
      <c r="U9910" s="19">
        <f>IF(AND($V9910='設定'!$C$4,COUNTIF('商品マスタ'!$B$6:$B$1005,$W9910)=0),N(U9909)+1,N(U9909))</f>
        <v/>
      </c>
      <c r="V9910" s="19">
        <f>IF($B9910="","",TEXT($B9910,"0000"))</f>
        <v/>
      </c>
      <c r="W9910" s="19">
        <f>IF($I9910="","",IF(ISNUMBER($I9910),TEXT($I9910,"0"),$I9910))</f>
        <v/>
      </c>
    </row>
    <row r="9911">
      <c r="B9911" s="25" t="n"/>
      <c r="I9911" s="25" t="n"/>
      <c r="U9911" s="19">
        <f>IF(AND($V9911='設定'!$C$4,COUNTIF('商品マスタ'!$B$6:$B$1005,$W9911)=0),N(U9910)+1,N(U9910))</f>
        <v/>
      </c>
      <c r="V9911" s="19">
        <f>IF($B9911="","",TEXT($B9911,"0000"))</f>
        <v/>
      </c>
      <c r="W9911" s="19">
        <f>IF($I9911="","",IF(ISNUMBER($I9911),TEXT($I9911,"0"),$I9911))</f>
        <v/>
      </c>
    </row>
    <row r="9912">
      <c r="B9912" s="25" t="n"/>
      <c r="I9912" s="25" t="n"/>
      <c r="U9912" s="19">
        <f>IF(AND($V9912='設定'!$C$4,COUNTIF('商品マスタ'!$B$6:$B$1005,$W9912)=0),N(U9911)+1,N(U9911))</f>
        <v/>
      </c>
      <c r="V9912" s="19">
        <f>IF($B9912="","",TEXT($B9912,"0000"))</f>
        <v/>
      </c>
      <c r="W9912" s="19">
        <f>IF($I9912="","",IF(ISNUMBER($I9912),TEXT($I9912,"0"),$I9912))</f>
        <v/>
      </c>
    </row>
    <row r="9913">
      <c r="B9913" s="25" t="n"/>
      <c r="I9913" s="25" t="n"/>
      <c r="U9913" s="19">
        <f>IF(AND($V9913='設定'!$C$4,COUNTIF('商品マスタ'!$B$6:$B$1005,$W9913)=0),N(U9912)+1,N(U9912))</f>
        <v/>
      </c>
      <c r="V9913" s="19">
        <f>IF($B9913="","",TEXT($B9913,"0000"))</f>
        <v/>
      </c>
      <c r="W9913" s="19">
        <f>IF($I9913="","",IF(ISNUMBER($I9913),TEXT($I9913,"0"),$I9913))</f>
        <v/>
      </c>
    </row>
    <row r="9914">
      <c r="B9914" s="25" t="n"/>
      <c r="I9914" s="25" t="n"/>
      <c r="U9914" s="19">
        <f>IF(AND($V9914='設定'!$C$4,COUNTIF('商品マスタ'!$B$6:$B$1005,$W9914)=0),N(U9913)+1,N(U9913))</f>
        <v/>
      </c>
      <c r="V9914" s="19">
        <f>IF($B9914="","",TEXT($B9914,"0000"))</f>
        <v/>
      </c>
      <c r="W9914" s="19">
        <f>IF($I9914="","",IF(ISNUMBER($I9914),TEXT($I9914,"0"),$I9914))</f>
        <v/>
      </c>
    </row>
    <row r="9915">
      <c r="B9915" s="25" t="n"/>
      <c r="I9915" s="25" t="n"/>
      <c r="U9915" s="19">
        <f>IF(AND($V9915='設定'!$C$4,COUNTIF('商品マスタ'!$B$6:$B$1005,$W9915)=0),N(U9914)+1,N(U9914))</f>
        <v/>
      </c>
      <c r="V9915" s="19">
        <f>IF($B9915="","",TEXT($B9915,"0000"))</f>
        <v/>
      </c>
      <c r="W9915" s="19">
        <f>IF($I9915="","",IF(ISNUMBER($I9915),TEXT($I9915,"0"),$I9915))</f>
        <v/>
      </c>
    </row>
    <row r="9916">
      <c r="B9916" s="25" t="n"/>
      <c r="I9916" s="25" t="n"/>
      <c r="U9916" s="19">
        <f>IF(AND($V9916='設定'!$C$4,COUNTIF('商品マスタ'!$B$6:$B$1005,$W9916)=0),N(U9915)+1,N(U9915))</f>
        <v/>
      </c>
      <c r="V9916" s="19">
        <f>IF($B9916="","",TEXT($B9916,"0000"))</f>
        <v/>
      </c>
      <c r="W9916" s="19">
        <f>IF($I9916="","",IF(ISNUMBER($I9916),TEXT($I9916,"0"),$I9916))</f>
        <v/>
      </c>
    </row>
    <row r="9917">
      <c r="B9917" s="25" t="n"/>
      <c r="I9917" s="25" t="n"/>
      <c r="U9917" s="19">
        <f>IF(AND($V9917='設定'!$C$4,COUNTIF('商品マスタ'!$B$6:$B$1005,$W9917)=0),N(U9916)+1,N(U9916))</f>
        <v/>
      </c>
      <c r="V9917" s="19">
        <f>IF($B9917="","",TEXT($B9917,"0000"))</f>
        <v/>
      </c>
      <c r="W9917" s="19">
        <f>IF($I9917="","",IF(ISNUMBER($I9917),TEXT($I9917,"0"),$I9917))</f>
        <v/>
      </c>
    </row>
    <row r="9918">
      <c r="B9918" s="25" t="n"/>
      <c r="I9918" s="25" t="n"/>
      <c r="U9918" s="19">
        <f>IF(AND($V9918='設定'!$C$4,COUNTIF('商品マスタ'!$B$6:$B$1005,$W9918)=0),N(U9917)+1,N(U9917))</f>
        <v/>
      </c>
      <c r="V9918" s="19">
        <f>IF($B9918="","",TEXT($B9918,"0000"))</f>
        <v/>
      </c>
      <c r="W9918" s="19">
        <f>IF($I9918="","",IF(ISNUMBER($I9918),TEXT($I9918,"0"),$I9918))</f>
        <v/>
      </c>
    </row>
    <row r="9919">
      <c r="B9919" s="25" t="n"/>
      <c r="I9919" s="25" t="n"/>
      <c r="U9919" s="19">
        <f>IF(AND($V9919='設定'!$C$4,COUNTIF('商品マスタ'!$B$6:$B$1005,$W9919)=0),N(U9918)+1,N(U9918))</f>
        <v/>
      </c>
      <c r="V9919" s="19">
        <f>IF($B9919="","",TEXT($B9919,"0000"))</f>
        <v/>
      </c>
      <c r="W9919" s="19">
        <f>IF($I9919="","",IF(ISNUMBER($I9919),TEXT($I9919,"0"),$I9919))</f>
        <v/>
      </c>
    </row>
    <row r="9920">
      <c r="B9920" s="25" t="n"/>
      <c r="I9920" s="25" t="n"/>
      <c r="U9920" s="19">
        <f>IF(AND($V9920='設定'!$C$4,COUNTIF('商品マスタ'!$B$6:$B$1005,$W9920)=0),N(U9919)+1,N(U9919))</f>
        <v/>
      </c>
      <c r="V9920" s="19">
        <f>IF($B9920="","",TEXT($B9920,"0000"))</f>
        <v/>
      </c>
      <c r="W9920" s="19">
        <f>IF($I9920="","",IF(ISNUMBER($I9920),TEXT($I9920,"0"),$I9920))</f>
        <v/>
      </c>
    </row>
    <row r="9921">
      <c r="B9921" s="25" t="n"/>
      <c r="I9921" s="25" t="n"/>
      <c r="U9921" s="19">
        <f>IF(AND($V9921='設定'!$C$4,COUNTIF('商品マスタ'!$B$6:$B$1005,$W9921)=0),N(U9920)+1,N(U9920))</f>
        <v/>
      </c>
      <c r="V9921" s="19">
        <f>IF($B9921="","",TEXT($B9921,"0000"))</f>
        <v/>
      </c>
      <c r="W9921" s="19">
        <f>IF($I9921="","",IF(ISNUMBER($I9921),TEXT($I9921,"0"),$I9921))</f>
        <v/>
      </c>
    </row>
    <row r="9922">
      <c r="B9922" s="25" t="n"/>
      <c r="I9922" s="25" t="n"/>
      <c r="U9922" s="19">
        <f>IF(AND($V9922='設定'!$C$4,COUNTIF('商品マスタ'!$B$6:$B$1005,$W9922)=0),N(U9921)+1,N(U9921))</f>
        <v/>
      </c>
      <c r="V9922" s="19">
        <f>IF($B9922="","",TEXT($B9922,"0000"))</f>
        <v/>
      </c>
      <c r="W9922" s="19">
        <f>IF($I9922="","",IF(ISNUMBER($I9922),TEXT($I9922,"0"),$I9922))</f>
        <v/>
      </c>
    </row>
    <row r="9923">
      <c r="B9923" s="25" t="n"/>
      <c r="I9923" s="25" t="n"/>
      <c r="U9923" s="19">
        <f>IF(AND($V9923='設定'!$C$4,COUNTIF('商品マスタ'!$B$6:$B$1005,$W9923)=0),N(U9922)+1,N(U9922))</f>
        <v/>
      </c>
      <c r="V9923" s="19">
        <f>IF($B9923="","",TEXT($B9923,"0000"))</f>
        <v/>
      </c>
      <c r="W9923" s="19">
        <f>IF($I9923="","",IF(ISNUMBER($I9923),TEXT($I9923,"0"),$I9923))</f>
        <v/>
      </c>
    </row>
    <row r="9924">
      <c r="B9924" s="25" t="n"/>
      <c r="I9924" s="25" t="n"/>
      <c r="U9924" s="19">
        <f>IF(AND($V9924='設定'!$C$4,COUNTIF('商品マスタ'!$B$6:$B$1005,$W9924)=0),N(U9923)+1,N(U9923))</f>
        <v/>
      </c>
      <c r="V9924" s="19">
        <f>IF($B9924="","",TEXT($B9924,"0000"))</f>
        <v/>
      </c>
      <c r="W9924" s="19">
        <f>IF($I9924="","",IF(ISNUMBER($I9924),TEXT($I9924,"0"),$I9924))</f>
        <v/>
      </c>
    </row>
    <row r="9925">
      <c r="B9925" s="25" t="n"/>
      <c r="I9925" s="25" t="n"/>
      <c r="U9925" s="19">
        <f>IF(AND($V9925='設定'!$C$4,COUNTIF('商品マスタ'!$B$6:$B$1005,$W9925)=0),N(U9924)+1,N(U9924))</f>
        <v/>
      </c>
      <c r="V9925" s="19">
        <f>IF($B9925="","",TEXT($B9925,"0000"))</f>
        <v/>
      </c>
      <c r="W9925" s="19">
        <f>IF($I9925="","",IF(ISNUMBER($I9925),TEXT($I9925,"0"),$I9925))</f>
        <v/>
      </c>
    </row>
    <row r="9926">
      <c r="B9926" s="25" t="n"/>
      <c r="I9926" s="25" t="n"/>
      <c r="U9926" s="19">
        <f>IF(AND($V9926='設定'!$C$4,COUNTIF('商品マスタ'!$B$6:$B$1005,$W9926)=0),N(U9925)+1,N(U9925))</f>
        <v/>
      </c>
      <c r="V9926" s="19">
        <f>IF($B9926="","",TEXT($B9926,"0000"))</f>
        <v/>
      </c>
      <c r="W9926" s="19">
        <f>IF($I9926="","",IF(ISNUMBER($I9926),TEXT($I9926,"0"),$I9926))</f>
        <v/>
      </c>
    </row>
    <row r="9927">
      <c r="B9927" s="25" t="n"/>
      <c r="I9927" s="25" t="n"/>
      <c r="U9927" s="19">
        <f>IF(AND($V9927='設定'!$C$4,COUNTIF('商品マスタ'!$B$6:$B$1005,$W9927)=0),N(U9926)+1,N(U9926))</f>
        <v/>
      </c>
      <c r="V9927" s="19">
        <f>IF($B9927="","",TEXT($B9927,"0000"))</f>
        <v/>
      </c>
      <c r="W9927" s="19">
        <f>IF($I9927="","",IF(ISNUMBER($I9927),TEXT($I9927,"0"),$I9927))</f>
        <v/>
      </c>
    </row>
    <row r="9928">
      <c r="B9928" s="25" t="n"/>
      <c r="I9928" s="25" t="n"/>
      <c r="U9928" s="19">
        <f>IF(AND($V9928='設定'!$C$4,COUNTIF('商品マスタ'!$B$6:$B$1005,$W9928)=0),N(U9927)+1,N(U9927))</f>
        <v/>
      </c>
      <c r="V9928" s="19">
        <f>IF($B9928="","",TEXT($B9928,"0000"))</f>
        <v/>
      </c>
      <c r="W9928" s="19">
        <f>IF($I9928="","",IF(ISNUMBER($I9928),TEXT($I9928,"0"),$I9928))</f>
        <v/>
      </c>
    </row>
    <row r="9929">
      <c r="B9929" s="25" t="n"/>
      <c r="I9929" s="25" t="n"/>
      <c r="U9929" s="19">
        <f>IF(AND($V9929='設定'!$C$4,COUNTIF('商品マスタ'!$B$6:$B$1005,$W9929)=0),N(U9928)+1,N(U9928))</f>
        <v/>
      </c>
      <c r="V9929" s="19">
        <f>IF($B9929="","",TEXT($B9929,"0000"))</f>
        <v/>
      </c>
      <c r="W9929" s="19">
        <f>IF($I9929="","",IF(ISNUMBER($I9929),TEXT($I9929,"0"),$I9929))</f>
        <v/>
      </c>
    </row>
    <row r="9930">
      <c r="B9930" s="25" t="n"/>
      <c r="I9930" s="25" t="n"/>
      <c r="U9930" s="19">
        <f>IF(AND($V9930='設定'!$C$4,COUNTIF('商品マスタ'!$B$6:$B$1005,$W9930)=0),N(U9929)+1,N(U9929))</f>
        <v/>
      </c>
      <c r="V9930" s="19">
        <f>IF($B9930="","",TEXT($B9930,"0000"))</f>
        <v/>
      </c>
      <c r="W9930" s="19">
        <f>IF($I9930="","",IF(ISNUMBER($I9930),TEXT($I9930,"0"),$I9930))</f>
        <v/>
      </c>
    </row>
    <row r="9931">
      <c r="B9931" s="25" t="n"/>
      <c r="I9931" s="25" t="n"/>
      <c r="U9931" s="19">
        <f>IF(AND($V9931='設定'!$C$4,COUNTIF('商品マスタ'!$B$6:$B$1005,$W9931)=0),N(U9930)+1,N(U9930))</f>
        <v/>
      </c>
      <c r="V9931" s="19">
        <f>IF($B9931="","",TEXT($B9931,"0000"))</f>
        <v/>
      </c>
      <c r="W9931" s="19">
        <f>IF($I9931="","",IF(ISNUMBER($I9931),TEXT($I9931,"0"),$I9931))</f>
        <v/>
      </c>
    </row>
    <row r="9932">
      <c r="B9932" s="25" t="n"/>
      <c r="I9932" s="25" t="n"/>
      <c r="U9932" s="19">
        <f>IF(AND($V9932='設定'!$C$4,COUNTIF('商品マスタ'!$B$6:$B$1005,$W9932)=0),N(U9931)+1,N(U9931))</f>
        <v/>
      </c>
      <c r="V9932" s="19">
        <f>IF($B9932="","",TEXT($B9932,"0000"))</f>
        <v/>
      </c>
      <c r="W9932" s="19">
        <f>IF($I9932="","",IF(ISNUMBER($I9932),TEXT($I9932,"0"),$I9932))</f>
        <v/>
      </c>
    </row>
    <row r="9933">
      <c r="B9933" s="25" t="n"/>
      <c r="I9933" s="25" t="n"/>
      <c r="U9933" s="19">
        <f>IF(AND($V9933='設定'!$C$4,COUNTIF('商品マスタ'!$B$6:$B$1005,$W9933)=0),N(U9932)+1,N(U9932))</f>
        <v/>
      </c>
      <c r="V9933" s="19">
        <f>IF($B9933="","",TEXT($B9933,"0000"))</f>
        <v/>
      </c>
      <c r="W9933" s="19">
        <f>IF($I9933="","",IF(ISNUMBER($I9933),TEXT($I9933,"0"),$I9933))</f>
        <v/>
      </c>
    </row>
    <row r="9934">
      <c r="B9934" s="25" t="n"/>
      <c r="I9934" s="25" t="n"/>
      <c r="U9934" s="19">
        <f>IF(AND($V9934='設定'!$C$4,COUNTIF('商品マスタ'!$B$6:$B$1005,$W9934)=0),N(U9933)+1,N(U9933))</f>
        <v/>
      </c>
      <c r="V9934" s="19">
        <f>IF($B9934="","",TEXT($B9934,"0000"))</f>
        <v/>
      </c>
      <c r="W9934" s="19">
        <f>IF($I9934="","",IF(ISNUMBER($I9934),TEXT($I9934,"0"),$I9934))</f>
        <v/>
      </c>
    </row>
    <row r="9935">
      <c r="B9935" s="25" t="n"/>
      <c r="I9935" s="25" t="n"/>
      <c r="U9935" s="19">
        <f>IF(AND($V9935='設定'!$C$4,COUNTIF('商品マスタ'!$B$6:$B$1005,$W9935)=0),N(U9934)+1,N(U9934))</f>
        <v/>
      </c>
      <c r="V9935" s="19">
        <f>IF($B9935="","",TEXT($B9935,"0000"))</f>
        <v/>
      </c>
      <c r="W9935" s="19">
        <f>IF($I9935="","",IF(ISNUMBER($I9935),TEXT($I9935,"0"),$I9935))</f>
        <v/>
      </c>
    </row>
    <row r="9936">
      <c r="B9936" s="25" t="n"/>
      <c r="I9936" s="25" t="n"/>
      <c r="U9936" s="19">
        <f>IF(AND($V9936='設定'!$C$4,COUNTIF('商品マスタ'!$B$6:$B$1005,$W9936)=0),N(U9935)+1,N(U9935))</f>
        <v/>
      </c>
      <c r="V9936" s="19">
        <f>IF($B9936="","",TEXT($B9936,"0000"))</f>
        <v/>
      </c>
      <c r="W9936" s="19">
        <f>IF($I9936="","",IF(ISNUMBER($I9936),TEXT($I9936,"0"),$I9936))</f>
        <v/>
      </c>
    </row>
    <row r="9937">
      <c r="B9937" s="25" t="n"/>
      <c r="I9937" s="25" t="n"/>
      <c r="U9937" s="19">
        <f>IF(AND($V9937='設定'!$C$4,COUNTIF('商品マスタ'!$B$6:$B$1005,$W9937)=0),N(U9936)+1,N(U9936))</f>
        <v/>
      </c>
      <c r="V9937" s="19">
        <f>IF($B9937="","",TEXT($B9937,"0000"))</f>
        <v/>
      </c>
      <c r="W9937" s="19">
        <f>IF($I9937="","",IF(ISNUMBER($I9937),TEXT($I9937,"0"),$I9937))</f>
        <v/>
      </c>
    </row>
    <row r="9938">
      <c r="B9938" s="25" t="n"/>
      <c r="I9938" s="25" t="n"/>
      <c r="U9938" s="19">
        <f>IF(AND($V9938='設定'!$C$4,COUNTIF('商品マスタ'!$B$6:$B$1005,$W9938)=0),N(U9937)+1,N(U9937))</f>
        <v/>
      </c>
      <c r="V9938" s="19">
        <f>IF($B9938="","",TEXT($B9938,"0000"))</f>
        <v/>
      </c>
      <c r="W9938" s="19">
        <f>IF($I9938="","",IF(ISNUMBER($I9938),TEXT($I9938,"0"),$I9938))</f>
        <v/>
      </c>
    </row>
    <row r="9939">
      <c r="B9939" s="25" t="n"/>
      <c r="I9939" s="25" t="n"/>
      <c r="U9939" s="19">
        <f>IF(AND($V9939='設定'!$C$4,COUNTIF('商品マスタ'!$B$6:$B$1005,$W9939)=0),N(U9938)+1,N(U9938))</f>
        <v/>
      </c>
      <c r="V9939" s="19">
        <f>IF($B9939="","",TEXT($B9939,"0000"))</f>
        <v/>
      </c>
      <c r="W9939" s="19">
        <f>IF($I9939="","",IF(ISNUMBER($I9939),TEXT($I9939,"0"),$I9939))</f>
        <v/>
      </c>
    </row>
    <row r="9940">
      <c r="B9940" s="25" t="n"/>
      <c r="I9940" s="25" t="n"/>
      <c r="U9940" s="19">
        <f>IF(AND($V9940='設定'!$C$4,COUNTIF('商品マスタ'!$B$6:$B$1005,$W9940)=0),N(U9939)+1,N(U9939))</f>
        <v/>
      </c>
      <c r="V9940" s="19">
        <f>IF($B9940="","",TEXT($B9940,"0000"))</f>
        <v/>
      </c>
      <c r="W9940" s="19">
        <f>IF($I9940="","",IF(ISNUMBER($I9940),TEXT($I9940,"0"),$I9940))</f>
        <v/>
      </c>
    </row>
    <row r="9941">
      <c r="B9941" s="25" t="n"/>
      <c r="I9941" s="25" t="n"/>
      <c r="U9941" s="19">
        <f>IF(AND($V9941='設定'!$C$4,COUNTIF('商品マスタ'!$B$6:$B$1005,$W9941)=0),N(U9940)+1,N(U9940))</f>
        <v/>
      </c>
      <c r="V9941" s="19">
        <f>IF($B9941="","",TEXT($B9941,"0000"))</f>
        <v/>
      </c>
      <c r="W9941" s="19">
        <f>IF($I9941="","",IF(ISNUMBER($I9941),TEXT($I9941,"0"),$I9941))</f>
        <v/>
      </c>
    </row>
    <row r="9942">
      <c r="B9942" s="25" t="n"/>
      <c r="I9942" s="25" t="n"/>
      <c r="U9942" s="19">
        <f>IF(AND($V9942='設定'!$C$4,COUNTIF('商品マスタ'!$B$6:$B$1005,$W9942)=0),N(U9941)+1,N(U9941))</f>
        <v/>
      </c>
      <c r="V9942" s="19">
        <f>IF($B9942="","",TEXT($B9942,"0000"))</f>
        <v/>
      </c>
      <c r="W9942" s="19">
        <f>IF($I9942="","",IF(ISNUMBER($I9942),TEXT($I9942,"0"),$I9942))</f>
        <v/>
      </c>
    </row>
    <row r="9943">
      <c r="B9943" s="25" t="n"/>
      <c r="I9943" s="25" t="n"/>
      <c r="U9943" s="19">
        <f>IF(AND($V9943='設定'!$C$4,COUNTIF('商品マスタ'!$B$6:$B$1005,$W9943)=0),N(U9942)+1,N(U9942))</f>
        <v/>
      </c>
      <c r="V9943" s="19">
        <f>IF($B9943="","",TEXT($B9943,"0000"))</f>
        <v/>
      </c>
      <c r="W9943" s="19">
        <f>IF($I9943="","",IF(ISNUMBER($I9943),TEXT($I9943,"0"),$I9943))</f>
        <v/>
      </c>
    </row>
    <row r="9944">
      <c r="B9944" s="25" t="n"/>
      <c r="I9944" s="25" t="n"/>
      <c r="U9944" s="19">
        <f>IF(AND($V9944='設定'!$C$4,COUNTIF('商品マスタ'!$B$6:$B$1005,$W9944)=0),N(U9943)+1,N(U9943))</f>
        <v/>
      </c>
      <c r="V9944" s="19">
        <f>IF($B9944="","",TEXT($B9944,"0000"))</f>
        <v/>
      </c>
      <c r="W9944" s="19">
        <f>IF($I9944="","",IF(ISNUMBER($I9944),TEXT($I9944,"0"),$I9944))</f>
        <v/>
      </c>
    </row>
    <row r="9945">
      <c r="B9945" s="25" t="n"/>
      <c r="I9945" s="25" t="n"/>
      <c r="U9945" s="19">
        <f>IF(AND($V9945='設定'!$C$4,COUNTIF('商品マスタ'!$B$6:$B$1005,$W9945)=0),N(U9944)+1,N(U9944))</f>
        <v/>
      </c>
      <c r="V9945" s="19">
        <f>IF($B9945="","",TEXT($B9945,"0000"))</f>
        <v/>
      </c>
      <c r="W9945" s="19">
        <f>IF($I9945="","",IF(ISNUMBER($I9945),TEXT($I9945,"0"),$I9945))</f>
        <v/>
      </c>
    </row>
    <row r="9946">
      <c r="B9946" s="25" t="n"/>
      <c r="I9946" s="25" t="n"/>
      <c r="U9946" s="19">
        <f>IF(AND($V9946='設定'!$C$4,COUNTIF('商品マスタ'!$B$6:$B$1005,$W9946)=0),N(U9945)+1,N(U9945))</f>
        <v/>
      </c>
      <c r="V9946" s="19">
        <f>IF($B9946="","",TEXT($B9946,"0000"))</f>
        <v/>
      </c>
      <c r="W9946" s="19">
        <f>IF($I9946="","",IF(ISNUMBER($I9946),TEXT($I9946,"0"),$I9946))</f>
        <v/>
      </c>
    </row>
    <row r="9947">
      <c r="B9947" s="25" t="n"/>
      <c r="I9947" s="25" t="n"/>
      <c r="U9947" s="19">
        <f>IF(AND($V9947='設定'!$C$4,COUNTIF('商品マスタ'!$B$6:$B$1005,$W9947)=0),N(U9946)+1,N(U9946))</f>
        <v/>
      </c>
      <c r="V9947" s="19">
        <f>IF($B9947="","",TEXT($B9947,"0000"))</f>
        <v/>
      </c>
      <c r="W9947" s="19">
        <f>IF($I9947="","",IF(ISNUMBER($I9947),TEXT($I9947,"0"),$I9947))</f>
        <v/>
      </c>
    </row>
    <row r="9948">
      <c r="B9948" s="25" t="n"/>
      <c r="I9948" s="25" t="n"/>
      <c r="U9948" s="19">
        <f>IF(AND($V9948='設定'!$C$4,COUNTIF('商品マスタ'!$B$6:$B$1005,$W9948)=0),N(U9947)+1,N(U9947))</f>
        <v/>
      </c>
      <c r="V9948" s="19">
        <f>IF($B9948="","",TEXT($B9948,"0000"))</f>
        <v/>
      </c>
      <c r="W9948" s="19">
        <f>IF($I9948="","",IF(ISNUMBER($I9948),TEXT($I9948,"0"),$I9948))</f>
        <v/>
      </c>
    </row>
    <row r="9949">
      <c r="B9949" s="25" t="n"/>
      <c r="I9949" s="25" t="n"/>
      <c r="U9949" s="19">
        <f>IF(AND($V9949='設定'!$C$4,COUNTIF('商品マスタ'!$B$6:$B$1005,$W9949)=0),N(U9948)+1,N(U9948))</f>
        <v/>
      </c>
      <c r="V9949" s="19">
        <f>IF($B9949="","",TEXT($B9949,"0000"))</f>
        <v/>
      </c>
      <c r="W9949" s="19">
        <f>IF($I9949="","",IF(ISNUMBER($I9949),TEXT($I9949,"0"),$I9949))</f>
        <v/>
      </c>
    </row>
    <row r="9950">
      <c r="B9950" s="25" t="n"/>
      <c r="I9950" s="25" t="n"/>
      <c r="U9950" s="19">
        <f>IF(AND($V9950='設定'!$C$4,COUNTIF('商品マスタ'!$B$6:$B$1005,$W9950)=0),N(U9949)+1,N(U9949))</f>
        <v/>
      </c>
      <c r="V9950" s="19">
        <f>IF($B9950="","",TEXT($B9950,"0000"))</f>
        <v/>
      </c>
      <c r="W9950" s="19">
        <f>IF($I9950="","",IF(ISNUMBER($I9950),TEXT($I9950,"0"),$I9950))</f>
        <v/>
      </c>
    </row>
    <row r="9951">
      <c r="B9951" s="25" t="n"/>
      <c r="I9951" s="25" t="n"/>
      <c r="U9951" s="19">
        <f>IF(AND($V9951='設定'!$C$4,COUNTIF('商品マスタ'!$B$6:$B$1005,$W9951)=0),N(U9950)+1,N(U9950))</f>
        <v/>
      </c>
      <c r="V9951" s="19">
        <f>IF($B9951="","",TEXT($B9951,"0000"))</f>
        <v/>
      </c>
      <c r="W9951" s="19">
        <f>IF($I9951="","",IF(ISNUMBER($I9951),TEXT($I9951,"0"),$I9951))</f>
        <v/>
      </c>
    </row>
    <row r="9952">
      <c r="B9952" s="25" t="n"/>
      <c r="I9952" s="25" t="n"/>
      <c r="U9952" s="19">
        <f>IF(AND($V9952='設定'!$C$4,COUNTIF('商品マスタ'!$B$6:$B$1005,$W9952)=0),N(U9951)+1,N(U9951))</f>
        <v/>
      </c>
      <c r="V9952" s="19">
        <f>IF($B9952="","",TEXT($B9952,"0000"))</f>
        <v/>
      </c>
      <c r="W9952" s="19">
        <f>IF($I9952="","",IF(ISNUMBER($I9952),TEXT($I9952,"0"),$I9952))</f>
        <v/>
      </c>
    </row>
    <row r="9953">
      <c r="B9953" s="25" t="n"/>
      <c r="I9953" s="25" t="n"/>
      <c r="U9953" s="19">
        <f>IF(AND($V9953='設定'!$C$4,COUNTIF('商品マスタ'!$B$6:$B$1005,$W9953)=0),N(U9952)+1,N(U9952))</f>
        <v/>
      </c>
      <c r="V9953" s="19">
        <f>IF($B9953="","",TEXT($B9953,"0000"))</f>
        <v/>
      </c>
      <c r="W9953" s="19">
        <f>IF($I9953="","",IF(ISNUMBER($I9953),TEXT($I9953,"0"),$I9953))</f>
        <v/>
      </c>
    </row>
    <row r="9954">
      <c r="B9954" s="25" t="n"/>
      <c r="I9954" s="25" t="n"/>
      <c r="U9954" s="19">
        <f>IF(AND($V9954='設定'!$C$4,COUNTIF('商品マスタ'!$B$6:$B$1005,$W9954)=0),N(U9953)+1,N(U9953))</f>
        <v/>
      </c>
      <c r="V9954" s="19">
        <f>IF($B9954="","",TEXT($B9954,"0000"))</f>
        <v/>
      </c>
      <c r="W9954" s="19">
        <f>IF($I9954="","",IF(ISNUMBER($I9954),TEXT($I9954,"0"),$I9954))</f>
        <v/>
      </c>
    </row>
    <row r="9955">
      <c r="B9955" s="25" t="n"/>
      <c r="I9955" s="25" t="n"/>
      <c r="U9955" s="19">
        <f>IF(AND($V9955='設定'!$C$4,COUNTIF('商品マスタ'!$B$6:$B$1005,$W9955)=0),N(U9954)+1,N(U9954))</f>
        <v/>
      </c>
      <c r="V9955" s="19">
        <f>IF($B9955="","",TEXT($B9955,"0000"))</f>
        <v/>
      </c>
      <c r="W9955" s="19">
        <f>IF($I9955="","",IF(ISNUMBER($I9955),TEXT($I9955,"0"),$I9955))</f>
        <v/>
      </c>
    </row>
    <row r="9956">
      <c r="B9956" s="25" t="n"/>
      <c r="I9956" s="25" t="n"/>
      <c r="U9956" s="19">
        <f>IF(AND($V9956='設定'!$C$4,COUNTIF('商品マスタ'!$B$6:$B$1005,$W9956)=0),N(U9955)+1,N(U9955))</f>
        <v/>
      </c>
      <c r="V9956" s="19">
        <f>IF($B9956="","",TEXT($B9956,"0000"))</f>
        <v/>
      </c>
      <c r="W9956" s="19">
        <f>IF($I9956="","",IF(ISNUMBER($I9956),TEXT($I9956,"0"),$I9956))</f>
        <v/>
      </c>
    </row>
    <row r="9957">
      <c r="B9957" s="25" t="n"/>
      <c r="I9957" s="25" t="n"/>
      <c r="U9957" s="19">
        <f>IF(AND($V9957='設定'!$C$4,COUNTIF('商品マスタ'!$B$6:$B$1005,$W9957)=0),N(U9956)+1,N(U9956))</f>
        <v/>
      </c>
      <c r="V9957" s="19">
        <f>IF($B9957="","",TEXT($B9957,"0000"))</f>
        <v/>
      </c>
      <c r="W9957" s="19">
        <f>IF($I9957="","",IF(ISNUMBER($I9957),TEXT($I9957,"0"),$I9957))</f>
        <v/>
      </c>
    </row>
    <row r="9958">
      <c r="B9958" s="25" t="n"/>
      <c r="I9958" s="25" t="n"/>
      <c r="U9958" s="19">
        <f>IF(AND($V9958='設定'!$C$4,COUNTIF('商品マスタ'!$B$6:$B$1005,$W9958)=0),N(U9957)+1,N(U9957))</f>
        <v/>
      </c>
      <c r="V9958" s="19">
        <f>IF($B9958="","",TEXT($B9958,"0000"))</f>
        <v/>
      </c>
      <c r="W9958" s="19">
        <f>IF($I9958="","",IF(ISNUMBER($I9958),TEXT($I9958,"0"),$I9958))</f>
        <v/>
      </c>
    </row>
    <row r="9959">
      <c r="B9959" s="25" t="n"/>
      <c r="I9959" s="25" t="n"/>
      <c r="U9959" s="19">
        <f>IF(AND($V9959='設定'!$C$4,COUNTIF('商品マスタ'!$B$6:$B$1005,$W9959)=0),N(U9958)+1,N(U9958))</f>
        <v/>
      </c>
      <c r="V9959" s="19">
        <f>IF($B9959="","",TEXT($B9959,"0000"))</f>
        <v/>
      </c>
      <c r="W9959" s="19">
        <f>IF($I9959="","",IF(ISNUMBER($I9959),TEXT($I9959,"0"),$I9959))</f>
        <v/>
      </c>
    </row>
    <row r="9960">
      <c r="B9960" s="25" t="n"/>
      <c r="I9960" s="25" t="n"/>
      <c r="U9960" s="19">
        <f>IF(AND($V9960='設定'!$C$4,COUNTIF('商品マスタ'!$B$6:$B$1005,$W9960)=0),N(U9959)+1,N(U9959))</f>
        <v/>
      </c>
      <c r="V9960" s="19">
        <f>IF($B9960="","",TEXT($B9960,"0000"))</f>
        <v/>
      </c>
      <c r="W9960" s="19">
        <f>IF($I9960="","",IF(ISNUMBER($I9960),TEXT($I9960,"0"),$I9960))</f>
        <v/>
      </c>
    </row>
    <row r="9961">
      <c r="B9961" s="25" t="n"/>
      <c r="I9961" s="25" t="n"/>
      <c r="U9961" s="19">
        <f>IF(AND($V9961='設定'!$C$4,COUNTIF('商品マスタ'!$B$6:$B$1005,$W9961)=0),N(U9960)+1,N(U9960))</f>
        <v/>
      </c>
      <c r="V9961" s="19">
        <f>IF($B9961="","",TEXT($B9961,"0000"))</f>
        <v/>
      </c>
      <c r="W9961" s="19">
        <f>IF($I9961="","",IF(ISNUMBER($I9961),TEXT($I9961,"0"),$I9961))</f>
        <v/>
      </c>
    </row>
    <row r="9962">
      <c r="B9962" s="25" t="n"/>
      <c r="I9962" s="25" t="n"/>
      <c r="U9962" s="19">
        <f>IF(AND($V9962='設定'!$C$4,COUNTIF('商品マスタ'!$B$6:$B$1005,$W9962)=0),N(U9961)+1,N(U9961))</f>
        <v/>
      </c>
      <c r="V9962" s="19">
        <f>IF($B9962="","",TEXT($B9962,"0000"))</f>
        <v/>
      </c>
      <c r="W9962" s="19">
        <f>IF($I9962="","",IF(ISNUMBER($I9962),TEXT($I9962,"0"),$I9962))</f>
        <v/>
      </c>
    </row>
    <row r="9963">
      <c r="B9963" s="25" t="n"/>
      <c r="I9963" s="25" t="n"/>
      <c r="U9963" s="19">
        <f>IF(AND($V9963='設定'!$C$4,COUNTIF('商品マスタ'!$B$6:$B$1005,$W9963)=0),N(U9962)+1,N(U9962))</f>
        <v/>
      </c>
      <c r="V9963" s="19">
        <f>IF($B9963="","",TEXT($B9963,"0000"))</f>
        <v/>
      </c>
      <c r="W9963" s="19">
        <f>IF($I9963="","",IF(ISNUMBER($I9963),TEXT($I9963,"0"),$I9963))</f>
        <v/>
      </c>
    </row>
    <row r="9964">
      <c r="B9964" s="25" t="n"/>
      <c r="I9964" s="25" t="n"/>
      <c r="U9964" s="19">
        <f>IF(AND($V9964='設定'!$C$4,COUNTIF('商品マスタ'!$B$6:$B$1005,$W9964)=0),N(U9963)+1,N(U9963))</f>
        <v/>
      </c>
      <c r="V9964" s="19">
        <f>IF($B9964="","",TEXT($B9964,"0000"))</f>
        <v/>
      </c>
      <c r="W9964" s="19">
        <f>IF($I9964="","",IF(ISNUMBER($I9964),TEXT($I9964,"0"),$I9964))</f>
        <v/>
      </c>
    </row>
    <row r="9965">
      <c r="B9965" s="25" t="n"/>
      <c r="I9965" s="25" t="n"/>
      <c r="U9965" s="19">
        <f>IF(AND($V9965='設定'!$C$4,COUNTIF('商品マスタ'!$B$6:$B$1005,$W9965)=0),N(U9964)+1,N(U9964))</f>
        <v/>
      </c>
      <c r="V9965" s="19">
        <f>IF($B9965="","",TEXT($B9965,"0000"))</f>
        <v/>
      </c>
      <c r="W9965" s="19">
        <f>IF($I9965="","",IF(ISNUMBER($I9965),TEXT($I9965,"0"),$I9965))</f>
        <v/>
      </c>
    </row>
    <row r="9966">
      <c r="B9966" s="25" t="n"/>
      <c r="I9966" s="25" t="n"/>
      <c r="U9966" s="19">
        <f>IF(AND($V9966='設定'!$C$4,COUNTIF('商品マスタ'!$B$6:$B$1005,$W9966)=0),N(U9965)+1,N(U9965))</f>
        <v/>
      </c>
      <c r="V9966" s="19">
        <f>IF($B9966="","",TEXT($B9966,"0000"))</f>
        <v/>
      </c>
      <c r="W9966" s="19">
        <f>IF($I9966="","",IF(ISNUMBER($I9966),TEXT($I9966,"0"),$I9966))</f>
        <v/>
      </c>
    </row>
    <row r="9967">
      <c r="B9967" s="25" t="n"/>
      <c r="I9967" s="25" t="n"/>
      <c r="U9967" s="19">
        <f>IF(AND($V9967='設定'!$C$4,COUNTIF('商品マスタ'!$B$6:$B$1005,$W9967)=0),N(U9966)+1,N(U9966))</f>
        <v/>
      </c>
      <c r="V9967" s="19">
        <f>IF($B9967="","",TEXT($B9967,"0000"))</f>
        <v/>
      </c>
      <c r="W9967" s="19">
        <f>IF($I9967="","",IF(ISNUMBER($I9967),TEXT($I9967,"0"),$I9967))</f>
        <v/>
      </c>
    </row>
    <row r="9968">
      <c r="B9968" s="25" t="n"/>
      <c r="I9968" s="25" t="n"/>
      <c r="U9968" s="19">
        <f>IF(AND($V9968='設定'!$C$4,COUNTIF('商品マスタ'!$B$6:$B$1005,$W9968)=0),N(U9967)+1,N(U9967))</f>
        <v/>
      </c>
      <c r="V9968" s="19">
        <f>IF($B9968="","",TEXT($B9968,"0000"))</f>
        <v/>
      </c>
      <c r="W9968" s="19">
        <f>IF($I9968="","",IF(ISNUMBER($I9968),TEXT($I9968,"0"),$I9968))</f>
        <v/>
      </c>
    </row>
    <row r="9969">
      <c r="B9969" s="25" t="n"/>
      <c r="I9969" s="25" t="n"/>
      <c r="U9969" s="19">
        <f>IF(AND($V9969='設定'!$C$4,COUNTIF('商品マスタ'!$B$6:$B$1005,$W9969)=0),N(U9968)+1,N(U9968))</f>
        <v/>
      </c>
      <c r="V9969" s="19">
        <f>IF($B9969="","",TEXT($B9969,"0000"))</f>
        <v/>
      </c>
      <c r="W9969" s="19">
        <f>IF($I9969="","",IF(ISNUMBER($I9969),TEXT($I9969,"0"),$I9969))</f>
        <v/>
      </c>
    </row>
    <row r="9970">
      <c r="B9970" s="25" t="n"/>
      <c r="I9970" s="25" t="n"/>
      <c r="U9970" s="19">
        <f>IF(AND($V9970='設定'!$C$4,COUNTIF('商品マスタ'!$B$6:$B$1005,$W9970)=0),N(U9969)+1,N(U9969))</f>
        <v/>
      </c>
      <c r="V9970" s="19">
        <f>IF($B9970="","",TEXT($B9970,"0000"))</f>
        <v/>
      </c>
      <c r="W9970" s="19">
        <f>IF($I9970="","",IF(ISNUMBER($I9970),TEXT($I9970,"0"),$I9970))</f>
        <v/>
      </c>
    </row>
    <row r="9971">
      <c r="B9971" s="25" t="n"/>
      <c r="I9971" s="25" t="n"/>
      <c r="U9971" s="19">
        <f>IF(AND($V9971='設定'!$C$4,COUNTIF('商品マスタ'!$B$6:$B$1005,$W9971)=0),N(U9970)+1,N(U9970))</f>
        <v/>
      </c>
      <c r="V9971" s="19">
        <f>IF($B9971="","",TEXT($B9971,"0000"))</f>
        <v/>
      </c>
      <c r="W9971" s="19">
        <f>IF($I9971="","",IF(ISNUMBER($I9971),TEXT($I9971,"0"),$I9971))</f>
        <v/>
      </c>
    </row>
    <row r="9972">
      <c r="B9972" s="25" t="n"/>
      <c r="I9972" s="25" t="n"/>
      <c r="U9972" s="19">
        <f>IF(AND($V9972='設定'!$C$4,COUNTIF('商品マスタ'!$B$6:$B$1005,$W9972)=0),N(U9971)+1,N(U9971))</f>
        <v/>
      </c>
      <c r="V9972" s="19">
        <f>IF($B9972="","",TEXT($B9972,"0000"))</f>
        <v/>
      </c>
      <c r="W9972" s="19">
        <f>IF($I9972="","",IF(ISNUMBER($I9972),TEXT($I9972,"0"),$I9972))</f>
        <v/>
      </c>
    </row>
    <row r="9973">
      <c r="B9973" s="25" t="n"/>
      <c r="I9973" s="25" t="n"/>
      <c r="U9973" s="19">
        <f>IF(AND($V9973='設定'!$C$4,COUNTIF('商品マスタ'!$B$6:$B$1005,$W9973)=0),N(U9972)+1,N(U9972))</f>
        <v/>
      </c>
      <c r="V9973" s="19">
        <f>IF($B9973="","",TEXT($B9973,"0000"))</f>
        <v/>
      </c>
      <c r="W9973" s="19">
        <f>IF($I9973="","",IF(ISNUMBER($I9973),TEXT($I9973,"0"),$I9973))</f>
        <v/>
      </c>
    </row>
    <row r="9974">
      <c r="B9974" s="25" t="n"/>
      <c r="I9974" s="25" t="n"/>
      <c r="U9974" s="19">
        <f>IF(AND($V9974='設定'!$C$4,COUNTIF('商品マスタ'!$B$6:$B$1005,$W9974)=0),N(U9973)+1,N(U9973))</f>
        <v/>
      </c>
      <c r="V9974" s="19">
        <f>IF($B9974="","",TEXT($B9974,"0000"))</f>
        <v/>
      </c>
      <c r="W9974" s="19">
        <f>IF($I9974="","",IF(ISNUMBER($I9974),TEXT($I9974,"0"),$I9974))</f>
        <v/>
      </c>
    </row>
    <row r="9975">
      <c r="B9975" s="25" t="n"/>
      <c r="I9975" s="25" t="n"/>
      <c r="U9975" s="19">
        <f>IF(AND($V9975='設定'!$C$4,COUNTIF('商品マスタ'!$B$6:$B$1005,$W9975)=0),N(U9974)+1,N(U9974))</f>
        <v/>
      </c>
      <c r="V9975" s="19">
        <f>IF($B9975="","",TEXT($B9975,"0000"))</f>
        <v/>
      </c>
      <c r="W9975" s="19">
        <f>IF($I9975="","",IF(ISNUMBER($I9975),TEXT($I9975,"0"),$I9975))</f>
        <v/>
      </c>
    </row>
    <row r="9976">
      <c r="B9976" s="25" t="n"/>
      <c r="I9976" s="25" t="n"/>
      <c r="U9976" s="19">
        <f>IF(AND($V9976='設定'!$C$4,COUNTIF('商品マスタ'!$B$6:$B$1005,$W9976)=0),N(U9975)+1,N(U9975))</f>
        <v/>
      </c>
      <c r="V9976" s="19">
        <f>IF($B9976="","",TEXT($B9976,"0000"))</f>
        <v/>
      </c>
      <c r="W9976" s="19">
        <f>IF($I9976="","",IF(ISNUMBER($I9976),TEXT($I9976,"0"),$I9976))</f>
        <v/>
      </c>
    </row>
    <row r="9977">
      <c r="B9977" s="25" t="n"/>
      <c r="I9977" s="25" t="n"/>
      <c r="U9977" s="19">
        <f>IF(AND($V9977='設定'!$C$4,COUNTIF('商品マスタ'!$B$6:$B$1005,$W9977)=0),N(U9976)+1,N(U9976))</f>
        <v/>
      </c>
      <c r="V9977" s="19">
        <f>IF($B9977="","",TEXT($B9977,"0000"))</f>
        <v/>
      </c>
      <c r="W9977" s="19">
        <f>IF($I9977="","",IF(ISNUMBER($I9977),TEXT($I9977,"0"),$I9977))</f>
        <v/>
      </c>
    </row>
    <row r="9978">
      <c r="B9978" s="25" t="n"/>
      <c r="I9978" s="25" t="n"/>
      <c r="U9978" s="19">
        <f>IF(AND($V9978='設定'!$C$4,COUNTIF('商品マスタ'!$B$6:$B$1005,$W9978)=0),N(U9977)+1,N(U9977))</f>
        <v/>
      </c>
      <c r="V9978" s="19">
        <f>IF($B9978="","",TEXT($B9978,"0000"))</f>
        <v/>
      </c>
      <c r="W9978" s="19">
        <f>IF($I9978="","",IF(ISNUMBER($I9978),TEXT($I9978,"0"),$I9978))</f>
        <v/>
      </c>
    </row>
    <row r="9979">
      <c r="B9979" s="25" t="n"/>
      <c r="I9979" s="25" t="n"/>
      <c r="U9979" s="19">
        <f>IF(AND($V9979='設定'!$C$4,COUNTIF('商品マスタ'!$B$6:$B$1005,$W9979)=0),N(U9978)+1,N(U9978))</f>
        <v/>
      </c>
      <c r="V9979" s="19">
        <f>IF($B9979="","",TEXT($B9979,"0000"))</f>
        <v/>
      </c>
      <c r="W9979" s="19">
        <f>IF($I9979="","",IF(ISNUMBER($I9979),TEXT($I9979,"0"),$I9979))</f>
        <v/>
      </c>
    </row>
    <row r="9980">
      <c r="B9980" s="25" t="n"/>
      <c r="I9980" s="25" t="n"/>
      <c r="U9980" s="19">
        <f>IF(AND($V9980='設定'!$C$4,COUNTIF('商品マスタ'!$B$6:$B$1005,$W9980)=0),N(U9979)+1,N(U9979))</f>
        <v/>
      </c>
      <c r="V9980" s="19">
        <f>IF($B9980="","",TEXT($B9980,"0000"))</f>
        <v/>
      </c>
      <c r="W9980" s="19">
        <f>IF($I9980="","",IF(ISNUMBER($I9980),TEXT($I9980,"0"),$I9980))</f>
        <v/>
      </c>
    </row>
    <row r="9981">
      <c r="B9981" s="25" t="n"/>
      <c r="I9981" s="25" t="n"/>
      <c r="U9981" s="19">
        <f>IF(AND($V9981='設定'!$C$4,COUNTIF('商品マスタ'!$B$6:$B$1005,$W9981)=0),N(U9980)+1,N(U9980))</f>
        <v/>
      </c>
      <c r="V9981" s="19">
        <f>IF($B9981="","",TEXT($B9981,"0000"))</f>
        <v/>
      </c>
      <c r="W9981" s="19">
        <f>IF($I9981="","",IF(ISNUMBER($I9981),TEXT($I9981,"0"),$I9981))</f>
        <v/>
      </c>
    </row>
    <row r="9982">
      <c r="B9982" s="25" t="n"/>
      <c r="I9982" s="25" t="n"/>
      <c r="U9982" s="19">
        <f>IF(AND($V9982='設定'!$C$4,COUNTIF('商品マスタ'!$B$6:$B$1005,$W9982)=0),N(U9981)+1,N(U9981))</f>
        <v/>
      </c>
      <c r="V9982" s="19">
        <f>IF($B9982="","",TEXT($B9982,"0000"))</f>
        <v/>
      </c>
      <c r="W9982" s="19">
        <f>IF($I9982="","",IF(ISNUMBER($I9982),TEXT($I9982,"0"),$I9982))</f>
        <v/>
      </c>
    </row>
    <row r="9983">
      <c r="B9983" s="25" t="n"/>
      <c r="I9983" s="25" t="n"/>
      <c r="U9983" s="19">
        <f>IF(AND($V9983='設定'!$C$4,COUNTIF('商品マスタ'!$B$6:$B$1005,$W9983)=0),N(U9982)+1,N(U9982))</f>
        <v/>
      </c>
      <c r="V9983" s="19">
        <f>IF($B9983="","",TEXT($B9983,"0000"))</f>
        <v/>
      </c>
      <c r="W9983" s="19">
        <f>IF($I9983="","",IF(ISNUMBER($I9983),TEXT($I9983,"0"),$I9983))</f>
        <v/>
      </c>
    </row>
    <row r="9984">
      <c r="B9984" s="25" t="n"/>
      <c r="I9984" s="25" t="n"/>
      <c r="U9984" s="19">
        <f>IF(AND($V9984='設定'!$C$4,COUNTIF('商品マスタ'!$B$6:$B$1005,$W9984)=0),N(U9983)+1,N(U9983))</f>
        <v/>
      </c>
      <c r="V9984" s="19">
        <f>IF($B9984="","",TEXT($B9984,"0000"))</f>
        <v/>
      </c>
      <c r="W9984" s="19">
        <f>IF($I9984="","",IF(ISNUMBER($I9984),TEXT($I9984,"0"),$I9984))</f>
        <v/>
      </c>
    </row>
    <row r="9985">
      <c r="B9985" s="25" t="n"/>
      <c r="I9985" s="25" t="n"/>
      <c r="U9985" s="19">
        <f>IF(AND($V9985='設定'!$C$4,COUNTIF('商品マスタ'!$B$6:$B$1005,$W9985)=0),N(U9984)+1,N(U9984))</f>
        <v/>
      </c>
      <c r="V9985" s="19">
        <f>IF($B9985="","",TEXT($B9985,"0000"))</f>
        <v/>
      </c>
      <c r="W9985" s="19">
        <f>IF($I9985="","",IF(ISNUMBER($I9985),TEXT($I9985,"0"),$I9985))</f>
        <v/>
      </c>
    </row>
    <row r="9986">
      <c r="B9986" s="25" t="n"/>
      <c r="I9986" s="25" t="n"/>
      <c r="U9986" s="19">
        <f>IF(AND($V9986='設定'!$C$4,COUNTIF('商品マスタ'!$B$6:$B$1005,$W9986)=0),N(U9985)+1,N(U9985))</f>
        <v/>
      </c>
      <c r="V9986" s="19">
        <f>IF($B9986="","",TEXT($B9986,"0000"))</f>
        <v/>
      </c>
      <c r="W9986" s="19">
        <f>IF($I9986="","",IF(ISNUMBER($I9986),TEXT($I9986,"0"),$I9986))</f>
        <v/>
      </c>
    </row>
    <row r="9987">
      <c r="B9987" s="25" t="n"/>
      <c r="I9987" s="25" t="n"/>
      <c r="U9987" s="19">
        <f>IF(AND($V9987='設定'!$C$4,COUNTIF('商品マスタ'!$B$6:$B$1005,$W9987)=0),N(U9986)+1,N(U9986))</f>
        <v/>
      </c>
      <c r="V9987" s="19">
        <f>IF($B9987="","",TEXT($B9987,"0000"))</f>
        <v/>
      </c>
      <c r="W9987" s="19">
        <f>IF($I9987="","",IF(ISNUMBER($I9987),TEXT($I9987,"0"),$I9987))</f>
        <v/>
      </c>
    </row>
    <row r="9988">
      <c r="B9988" s="25" t="n"/>
      <c r="I9988" s="25" t="n"/>
      <c r="U9988" s="19">
        <f>IF(AND($V9988='設定'!$C$4,COUNTIF('商品マスタ'!$B$6:$B$1005,$W9988)=0),N(U9987)+1,N(U9987))</f>
        <v/>
      </c>
      <c r="V9988" s="19">
        <f>IF($B9988="","",TEXT($B9988,"0000"))</f>
        <v/>
      </c>
      <c r="W9988" s="19">
        <f>IF($I9988="","",IF(ISNUMBER($I9988),TEXT($I9988,"0"),$I9988))</f>
        <v/>
      </c>
    </row>
    <row r="9989">
      <c r="B9989" s="25" t="n"/>
      <c r="I9989" s="25" t="n"/>
      <c r="U9989" s="19">
        <f>IF(AND($V9989='設定'!$C$4,COUNTIF('商品マスタ'!$B$6:$B$1005,$W9989)=0),N(U9988)+1,N(U9988))</f>
        <v/>
      </c>
      <c r="V9989" s="19">
        <f>IF($B9989="","",TEXT($B9989,"0000"))</f>
        <v/>
      </c>
      <c r="W9989" s="19">
        <f>IF($I9989="","",IF(ISNUMBER($I9989),TEXT($I9989,"0"),$I9989))</f>
        <v/>
      </c>
    </row>
    <row r="9990">
      <c r="B9990" s="25" t="n"/>
      <c r="I9990" s="25" t="n"/>
      <c r="U9990" s="19">
        <f>IF(AND($V9990='設定'!$C$4,COUNTIF('商品マスタ'!$B$6:$B$1005,$W9990)=0),N(U9989)+1,N(U9989))</f>
        <v/>
      </c>
      <c r="V9990" s="19">
        <f>IF($B9990="","",TEXT($B9990,"0000"))</f>
        <v/>
      </c>
      <c r="W9990" s="19">
        <f>IF($I9990="","",IF(ISNUMBER($I9990),TEXT($I9990,"0"),$I9990))</f>
        <v/>
      </c>
    </row>
    <row r="9991">
      <c r="B9991" s="25" t="n"/>
      <c r="I9991" s="25" t="n"/>
      <c r="U9991" s="19">
        <f>IF(AND($V9991='設定'!$C$4,COUNTIF('商品マスタ'!$B$6:$B$1005,$W9991)=0),N(U9990)+1,N(U9990))</f>
        <v/>
      </c>
      <c r="V9991" s="19">
        <f>IF($B9991="","",TEXT($B9991,"0000"))</f>
        <v/>
      </c>
      <c r="W9991" s="19">
        <f>IF($I9991="","",IF(ISNUMBER($I9991),TEXT($I9991,"0"),$I9991))</f>
        <v/>
      </c>
    </row>
    <row r="9992">
      <c r="B9992" s="25" t="n"/>
      <c r="I9992" s="25" t="n"/>
      <c r="U9992" s="19">
        <f>IF(AND($V9992='設定'!$C$4,COUNTIF('商品マスタ'!$B$6:$B$1005,$W9992)=0),N(U9991)+1,N(U9991))</f>
        <v/>
      </c>
      <c r="V9992" s="19">
        <f>IF($B9992="","",TEXT($B9992,"0000"))</f>
        <v/>
      </c>
      <c r="W9992" s="19">
        <f>IF($I9992="","",IF(ISNUMBER($I9992),TEXT($I9992,"0"),$I9992))</f>
        <v/>
      </c>
    </row>
    <row r="9993">
      <c r="B9993" s="25" t="n"/>
      <c r="I9993" s="25" t="n"/>
      <c r="U9993" s="19">
        <f>IF(AND($V9993='設定'!$C$4,COUNTIF('商品マスタ'!$B$6:$B$1005,$W9993)=0),N(U9992)+1,N(U9992))</f>
        <v/>
      </c>
      <c r="V9993" s="19">
        <f>IF($B9993="","",TEXT($B9993,"0000"))</f>
        <v/>
      </c>
      <c r="W9993" s="19">
        <f>IF($I9993="","",IF(ISNUMBER($I9993),TEXT($I9993,"0"),$I9993))</f>
        <v/>
      </c>
    </row>
    <row r="9994">
      <c r="B9994" s="25" t="n"/>
      <c r="I9994" s="25" t="n"/>
      <c r="U9994" s="19">
        <f>IF(AND($V9994='設定'!$C$4,COUNTIF('商品マスタ'!$B$6:$B$1005,$W9994)=0),N(U9993)+1,N(U9993))</f>
        <v/>
      </c>
      <c r="V9994" s="19">
        <f>IF($B9994="","",TEXT($B9994,"0000"))</f>
        <v/>
      </c>
      <c r="W9994" s="19">
        <f>IF($I9994="","",IF(ISNUMBER($I9994),TEXT($I9994,"0"),$I9994))</f>
        <v/>
      </c>
    </row>
    <row r="9995">
      <c r="B9995" s="25" t="n"/>
      <c r="I9995" s="25" t="n"/>
      <c r="U9995" s="19">
        <f>IF(AND($V9995='設定'!$C$4,COUNTIF('商品マスタ'!$B$6:$B$1005,$W9995)=0),N(U9994)+1,N(U9994))</f>
        <v/>
      </c>
      <c r="V9995" s="19">
        <f>IF($B9995="","",TEXT($B9995,"0000"))</f>
        <v/>
      </c>
      <c r="W9995" s="19">
        <f>IF($I9995="","",IF(ISNUMBER($I9995),TEXT($I9995,"0"),$I9995))</f>
        <v/>
      </c>
    </row>
    <row r="9996">
      <c r="B9996" s="25" t="n"/>
      <c r="I9996" s="25" t="n"/>
      <c r="U9996" s="19">
        <f>IF(AND($V9996='設定'!$C$4,COUNTIF('商品マスタ'!$B$6:$B$1005,$W9996)=0),N(U9995)+1,N(U9995))</f>
        <v/>
      </c>
      <c r="V9996" s="19">
        <f>IF($B9996="","",TEXT($B9996,"0000"))</f>
        <v/>
      </c>
      <c r="W9996" s="19">
        <f>IF($I9996="","",IF(ISNUMBER($I9996),TEXT($I9996,"0"),$I9996))</f>
        <v/>
      </c>
    </row>
    <row r="9997">
      <c r="B9997" s="25" t="n"/>
      <c r="I9997" s="25" t="n"/>
      <c r="U9997" s="19">
        <f>IF(AND($V9997='設定'!$C$4,COUNTIF('商品マスタ'!$B$6:$B$1005,$W9997)=0),N(U9996)+1,N(U9996))</f>
        <v/>
      </c>
      <c r="V9997" s="19">
        <f>IF($B9997="","",TEXT($B9997,"0000"))</f>
        <v/>
      </c>
      <c r="W9997" s="19">
        <f>IF($I9997="","",IF(ISNUMBER($I9997),TEXT($I9997,"0"),$I9997))</f>
        <v/>
      </c>
    </row>
    <row r="9998">
      <c r="B9998" s="25" t="n"/>
      <c r="I9998" s="25" t="n"/>
      <c r="U9998" s="19">
        <f>IF(AND($V9998='設定'!$C$4,COUNTIF('商品マスタ'!$B$6:$B$1005,$W9998)=0),N(U9997)+1,N(U9997))</f>
        <v/>
      </c>
      <c r="V9998" s="19">
        <f>IF($B9998="","",TEXT($B9998,"0000"))</f>
        <v/>
      </c>
      <c r="W9998" s="19">
        <f>IF($I9998="","",IF(ISNUMBER($I9998),TEXT($I9998,"0"),$I9998))</f>
        <v/>
      </c>
    </row>
    <row r="9999">
      <c r="B9999" s="25" t="n"/>
      <c r="I9999" s="25" t="n"/>
      <c r="U9999" s="19">
        <f>IF(AND($V9999='設定'!$C$4,COUNTIF('商品マスタ'!$B$6:$B$1005,$W9999)=0),N(U9998)+1,N(U9998))</f>
        <v/>
      </c>
      <c r="V9999" s="19">
        <f>IF($B9999="","",TEXT($B9999,"0000"))</f>
        <v/>
      </c>
      <c r="W9999" s="19">
        <f>IF($I9999="","",IF(ISNUMBER($I9999),TEXT($I9999,"0"),$I9999))</f>
        <v/>
      </c>
    </row>
    <row r="10000">
      <c r="B10000" s="25" t="n"/>
      <c r="I10000" s="25" t="n"/>
      <c r="U10000" s="19">
        <f>IF(AND($V10000='設定'!$C$4,COUNTIF('商品マスタ'!$B$6:$B$1005,$W10000)=0),N(U9999)+1,N(U9999))</f>
        <v/>
      </c>
      <c r="V10000" s="19">
        <f>IF($B10000="","",TEXT($B10000,"0000"))</f>
        <v/>
      </c>
      <c r="W10000" s="19">
        <f>IF($I10000="","",IF(ISNUMBER($I10000),TEXT($I10000,"0"),$I10000))</f>
        <v/>
      </c>
    </row>
    <row r="10001">
      <c r="B10001" s="25" t="n"/>
      <c r="I10001" s="25" t="n"/>
      <c r="U10001" s="19">
        <f>IF(AND($V10001='設定'!$C$4,COUNTIF('商品マスタ'!$B$6:$B$1005,$W10001)=0),N(U10000)+1,N(U10000))</f>
        <v/>
      </c>
      <c r="V10001" s="19">
        <f>IF($B10001="","",TEXT($B10001,"0000"))</f>
        <v/>
      </c>
      <c r="W10001" s="19">
        <f>IF($I10001="","",IF(ISNUMBER($I10001),TEXT($I10001,"0"),$I10001))</f>
        <v/>
      </c>
    </row>
    <row r="10002">
      <c r="B10002" s="25" t="n"/>
      <c r="I10002" s="25" t="n"/>
      <c r="U10002" s="19">
        <f>IF(AND($V10002='設定'!$C$4,COUNTIF('商品マスタ'!$B$6:$B$1005,$W10002)=0),N(U10001)+1,N(U10001))</f>
        <v/>
      </c>
      <c r="V10002" s="19">
        <f>IF($B10002="","",TEXT($B10002,"0000"))</f>
        <v/>
      </c>
      <c r="W10002" s="19">
        <f>IF($I10002="","",IF(ISNUMBER($I10002),TEXT($I10002,"0"),$I10002))</f>
        <v/>
      </c>
    </row>
    <row r="10003">
      <c r="B10003" s="25" t="n"/>
      <c r="I10003" s="25" t="n"/>
      <c r="U10003" s="19">
        <f>IF(AND($V10003='設定'!$C$4,COUNTIF('商品マスタ'!$B$6:$B$1005,$W10003)=0),N(U10002)+1,N(U10002))</f>
        <v/>
      </c>
      <c r="V10003" s="19">
        <f>IF($B10003="","",TEXT($B10003,"0000"))</f>
        <v/>
      </c>
      <c r="W10003" s="19">
        <f>IF($I10003="","",IF(ISNUMBER($I10003),TEXT($I10003,"0"),$I10003))</f>
        <v/>
      </c>
    </row>
    <row r="10004">
      <c r="B10004" s="25" t="n"/>
      <c r="I10004" s="25" t="n"/>
      <c r="U10004" s="19">
        <f>IF(AND($V10004='設定'!$C$4,COUNTIF('商品マスタ'!$B$6:$B$1005,$W10004)=0),N(U10003)+1,N(U10003))</f>
        <v/>
      </c>
      <c r="V10004" s="19">
        <f>IF($B10004="","",TEXT($B10004,"0000"))</f>
        <v/>
      </c>
      <c r="W10004" s="19">
        <f>IF($I10004="","",IF(ISNUMBER($I10004),TEXT($I10004,"0"),$I10004))</f>
        <v/>
      </c>
    </row>
    <row r="10005">
      <c r="B10005" s="25" t="n"/>
      <c r="I10005" s="25" t="n"/>
      <c r="U10005" s="19">
        <f>IF(AND($V10005='設定'!$C$4,COUNTIF('商品マスタ'!$B$6:$B$1005,$W10005)=0),N(U10004)+1,N(U10004))</f>
        <v/>
      </c>
      <c r="V10005" s="19">
        <f>IF($B10005="","",TEXT($B10005,"0000"))</f>
        <v/>
      </c>
      <c r="W10005" s="19">
        <f>IF($I10005="","",IF(ISNUMBER($I10005),TEXT($I10005,"0"),$I10005))</f>
        <v/>
      </c>
    </row>
  </sheetData>
  <mergeCells count="1">
    <mergeCell ref="B1:M1"/>
  </mergeCells>
  <conditionalFormatting sqref="H2">
    <cfRule type="expression" priority="1" dxfId="4" stopIfTrue="1">
      <formula>COUNTIF($V$6:$V$10005,'設定'!$C$4)=0</formula>
    </cfRule>
    <cfRule type="expression" priority="2" dxfId="5" stopIfTrue="1">
      <formula>TRUE</formula>
    </cfRule>
  </conditionalFormatting>
  <hyperlinks>
    <hyperlink ref="N1" location="'ホーム'!A1" display="◀ ホーム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B44A"/>
    <outlinePr summaryBelow="1" summaryRight="1"/>
    <pageSetUpPr fitToPage="1"/>
  </sheetPr>
  <dimension ref="B1:AH40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16" customWidth="1" min="1" max="1"/>
    <col width="5.4" customWidth="1" min="2" max="2"/>
    <col width="32.4" customWidth="1" min="3" max="3"/>
    <col width="9.720000000000001" customWidth="1" min="4" max="4"/>
    <col width="9.720000000000001" customWidth="1" min="5" max="5"/>
    <col width="9.720000000000001" customWidth="1" min="6" max="6"/>
    <col width="9.720000000000001" customWidth="1" min="7" max="7"/>
    <col width="47.52" customWidth="1" min="8" max="8"/>
    <col width="10.8" customWidth="1" min="9" max="9"/>
    <col width="8.640000000000001" customWidth="1" min="10" max="10"/>
    <col width="10.8" customWidth="1" min="11" max="11"/>
    <col width="6.48" customWidth="1" min="12" max="12"/>
    <col width="9.720000000000001" customWidth="1" min="13" max="13"/>
    <col width="7.56" customWidth="1" min="14" max="14"/>
    <col width="60.48" customWidth="1" min="15" max="15"/>
    <col width="6.91" customWidth="1" min="16" max="16"/>
    <col width="6.91" customWidth="1" min="17" max="17"/>
    <col width="6.91" customWidth="1" min="18" max="18"/>
    <col width="6.91" customWidth="1" min="19" max="19"/>
    <col width="6.91" customWidth="1" min="20" max="20"/>
    <col width="6.91" customWidth="1" min="21" max="21"/>
    <col width="6.91" customWidth="1" min="22" max="22"/>
    <col width="6.91" customWidth="1" min="23" max="23"/>
    <col width="6.91" customWidth="1" min="24" max="24"/>
    <col width="6.91" customWidth="1" min="25" max="25"/>
    <col width="6.91" customWidth="1" min="26" max="26"/>
    <col width="6.91" customWidth="1" min="27" max="27"/>
    <col width="6.91" customWidth="1" min="28" max="28"/>
    <col width="6.91" customWidth="1" min="29" max="29"/>
    <col width="10.8" customWidth="1" min="30" max="30"/>
    <col width="10.8" customWidth="1" min="31" max="31"/>
    <col width="16.2" customWidth="1" min="32" max="32"/>
    <col width="21.6" customWidth="1" min="33" max="33"/>
  </cols>
  <sheetData>
    <row r="1" ht="24" customHeight="1">
      <c r="B1" s="1" t="inlineStr">
        <is>
          <t xml:space="preserve">  STEP 2　発注する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0" t="inlineStr">
        <is>
          <t xml:space="preserve">◀ ホーム  </t>
        </is>
      </c>
    </row>
    <row r="2" ht="30" customHeight="1">
      <c r="B2" s="21" t="inlineStr">
        <is>
          <t>発注する</t>
        </is>
      </c>
      <c r="E2" s="26">
        <f>IF('設定'!$C$6="","← まず ①在庫を貼る",IF('設定'!$C$6&lt;TODAY()-1,"⚠ 在庫が "&amp;TEXT('設定'!$C$6,"m/d")&amp;" のものです（"&amp;(TODAY()-'設定'!$C$6)&amp;"日前）→ 今日のCSVを ①在庫を貼る に貼ってください","きょう "&amp;TEXT('設定'!$C$6,"m/d")&amp;"("&amp;CHOOSE(WEEKDAY('設定'!$C$6),"日","月","火","水","木","金","土")&amp;")"&amp;"　"&amp;'設定'!$C$5&amp;"　　CSV "&amp;'設定'!$C$10&amp;"行"))</f>
        <v/>
      </c>
    </row>
    <row r="4" ht="16" customHeight="1">
      <c r="C4" s="27" t="inlineStr">
        <is>
          <t>● 今日発注しないと間に合わない</t>
        </is>
      </c>
      <c r="D4" s="28" t="inlineStr">
        <is>
          <t>△ 近く切れる</t>
        </is>
      </c>
      <c r="E4" s="29" t="n"/>
      <c r="F4" s="29" t="n"/>
      <c r="G4" s="29" t="n"/>
      <c r="H4" s="28" t="inlineStr">
        <is>
          <t>⚠ 直すところ（直すまで発注書に載らない）</t>
        </is>
      </c>
      <c r="I4" s="30" t="inlineStr">
        <is>
          <t>入庫を入れた（発注書に載る）</t>
        </is>
      </c>
      <c r="J4" s="29" t="n"/>
      <c r="K4" s="29" t="n"/>
      <c r="L4" s="29" t="n"/>
      <c r="M4" s="30" t="inlineStr">
        <is>
          <t>発注予定額（税抜）</t>
        </is>
      </c>
      <c r="N4" s="29" t="n"/>
      <c r="O4" s="29" t="n"/>
      <c r="P4" s="31">
        <f>IF('計算'!$B$2=1,"⚠ これから14日が動員の表の外です。「動員を入れる」の表の開始日を今年の日付にしてください。",IF('計算'!$B$3=0,"⚠ 動員が入っていません。減り数が計算できないので「動員を入れる」か「設定」の標準の動員を入れてください。","これから14日の動員：平均 "&amp;TEXT('設定'!$C$16,"#,##0")&amp;" 人/日　　"&amp;"数字はその日の終わりの在庫。× は切れている。黄色は入庫の日。"))</f>
        <v/>
      </c>
    </row>
    <row r="5" ht="30" customHeight="1">
      <c r="C5" s="32">
        <f>COUNTIF($H$10:$H$409,"●*")</f>
        <v/>
      </c>
      <c r="D5" s="33">
        <f>COUNTIF($H$10:$H$409,"△*")</f>
        <v/>
      </c>
      <c r="E5" s="29" t="n"/>
      <c r="F5" s="29" t="n"/>
      <c r="G5" s="29" t="n"/>
      <c r="H5" s="34">
        <f>COUNTIF($O$10:$O$409,"⚠*")</f>
        <v/>
      </c>
      <c r="I5" s="35">
        <f>SUM('計算'!$CM$6:$CM$405)</f>
        <v/>
      </c>
      <c r="J5" s="29" t="n"/>
      <c r="K5" s="29" t="n"/>
      <c r="L5" s="29" t="n"/>
      <c r="M5" s="36">
        <f>SUM('計算'!$CN$6:$CN$405)</f>
        <v/>
      </c>
      <c r="N5" s="29" t="n"/>
      <c r="O5" s="29" t="n"/>
    </row>
    <row r="7">
      <c r="B7" s="5" t="inlineStr">
        <is>
          <t>読み方：左から順に。「このままだと」が ● か △ なら、黄色の入庫日（▼で選ぶ）と入庫数を入れる → 「入庫を入れると」で結果を確認。迷ったら「目安」の数。⚠ は直す。2便目は14日のうちに2回入るときだけ。</t>
        </is>
      </c>
      <c r="O7" s="37" t="inlineStr">
        <is>
          <t>動員 →</t>
        </is>
      </c>
      <c r="P7" s="38">
        <f>IF(P9="","",'計算'!V$4)</f>
        <v/>
      </c>
      <c r="Q7" s="38">
        <f>IF(Q9="","",'計算'!W$4)</f>
        <v/>
      </c>
      <c r="R7" s="38">
        <f>IF(R9="","",'計算'!X$4)</f>
        <v/>
      </c>
      <c r="S7" s="38">
        <f>IF(S9="","",'計算'!Y$4)</f>
        <v/>
      </c>
      <c r="T7" s="38">
        <f>IF(T9="","",'計算'!Z$4)</f>
        <v/>
      </c>
      <c r="U7" s="38">
        <f>IF(U9="","",'計算'!AA$4)</f>
        <v/>
      </c>
      <c r="V7" s="38">
        <f>IF(V9="","",'計算'!AB$4)</f>
        <v/>
      </c>
      <c r="W7" s="38">
        <f>IF(W9="","",'計算'!AC$4)</f>
        <v/>
      </c>
      <c r="X7" s="38">
        <f>IF(X9="","",'計算'!AD$4)</f>
        <v/>
      </c>
      <c r="Y7" s="38">
        <f>IF(Y9="","",'計算'!AE$4)</f>
        <v/>
      </c>
      <c r="Z7" s="38">
        <f>IF(Z9="","",'計算'!AF$4)</f>
        <v/>
      </c>
      <c r="AA7" s="38">
        <f>IF(AA9="","",'計算'!AG$4)</f>
        <v/>
      </c>
      <c r="AB7" s="38">
        <f>IF(AB9="","",'計算'!AH$4)</f>
        <v/>
      </c>
      <c r="AC7" s="38">
        <f>IF(AC9="","",'計算'!AI$4)</f>
        <v/>
      </c>
    </row>
    <row r="8">
      <c r="D8" s="39" t="inlineStr">
        <is>
          <t>自動</t>
        </is>
      </c>
      <c r="E8" s="39" t="inlineStr">
        <is>
          <t>自動</t>
        </is>
      </c>
      <c r="F8" s="39" t="inlineStr">
        <is>
          <t>自動</t>
        </is>
      </c>
      <c r="G8" s="39" t="inlineStr">
        <is>
          <t>自動</t>
        </is>
      </c>
      <c r="H8" s="39" t="inlineStr">
        <is>
          <t>自動</t>
        </is>
      </c>
      <c r="I8" s="39" t="inlineStr">
        <is>
          <t>入力</t>
        </is>
      </c>
      <c r="J8" s="39" t="inlineStr">
        <is>
          <t>入力</t>
        </is>
      </c>
      <c r="K8" s="39" t="inlineStr">
        <is>
          <t>自動</t>
        </is>
      </c>
      <c r="L8" s="39" t="inlineStr">
        <is>
          <t>自動</t>
        </is>
      </c>
      <c r="M8" s="39" t="inlineStr">
        <is>
          <t>任意</t>
        </is>
      </c>
      <c r="N8" s="39" t="inlineStr">
        <is>
          <t>任意</t>
        </is>
      </c>
      <c r="O8" s="39" t="inlineStr">
        <is>
          <t>自動</t>
        </is>
      </c>
      <c r="P8" s="39">
        <f>IF(P9="","",CHOOSE(WEEKDAY(P9),"日","月","火","水","木","金","土"))</f>
        <v/>
      </c>
      <c r="Q8" s="39">
        <f>IF(Q9="","",CHOOSE(WEEKDAY(Q9),"日","月","火","水","木","金","土"))</f>
        <v/>
      </c>
      <c r="R8" s="39">
        <f>IF(R9="","",CHOOSE(WEEKDAY(R9),"日","月","火","水","木","金","土"))</f>
        <v/>
      </c>
      <c r="S8" s="39">
        <f>IF(S9="","",CHOOSE(WEEKDAY(S9),"日","月","火","水","木","金","土"))</f>
        <v/>
      </c>
      <c r="T8" s="39">
        <f>IF(T9="","",CHOOSE(WEEKDAY(T9),"日","月","火","水","木","金","土"))</f>
        <v/>
      </c>
      <c r="U8" s="39">
        <f>IF(U9="","",CHOOSE(WEEKDAY(U9),"日","月","火","水","木","金","土"))</f>
        <v/>
      </c>
      <c r="V8" s="39">
        <f>IF(V9="","",CHOOSE(WEEKDAY(V9),"日","月","火","水","木","金","土"))</f>
        <v/>
      </c>
      <c r="W8" s="39">
        <f>IF(W9="","",CHOOSE(WEEKDAY(W9),"日","月","火","水","木","金","土"))</f>
        <v/>
      </c>
      <c r="X8" s="39">
        <f>IF(X9="","",CHOOSE(WEEKDAY(X9),"日","月","火","水","木","金","土"))</f>
        <v/>
      </c>
      <c r="Y8" s="39">
        <f>IF(Y9="","",CHOOSE(WEEKDAY(Y9),"日","月","火","水","木","金","土"))</f>
        <v/>
      </c>
      <c r="Z8" s="39">
        <f>IF(Z9="","",CHOOSE(WEEKDAY(Z9),"日","月","火","水","木","金","土"))</f>
        <v/>
      </c>
      <c r="AA8" s="39">
        <f>IF(AA9="","",CHOOSE(WEEKDAY(AA9),"日","月","火","水","木","金","土"))</f>
        <v/>
      </c>
      <c r="AB8" s="39">
        <f>IF(AB9="","",CHOOSE(WEEKDAY(AB9),"日","月","火","水","木","金","土"))</f>
        <v/>
      </c>
      <c r="AC8" s="39">
        <f>IF(AC9="","",CHOOSE(WEEKDAY(AC9),"日","月","火","水","木","金","土"))</f>
        <v/>
      </c>
      <c r="AD8" s="39" t="inlineStr">
        <is>
          <t>任意</t>
        </is>
      </c>
      <c r="AE8" s="39" t="inlineStr">
        <is>
          <t>任意</t>
        </is>
      </c>
      <c r="AF8" s="39" t="inlineStr">
        <is>
          <t>自動</t>
        </is>
      </c>
      <c r="AG8" s="39" t="inlineStr">
        <is>
          <t>自動</t>
        </is>
      </c>
    </row>
    <row r="9" ht="30" customHeight="1">
      <c r="B9" s="40" t="inlineStr">
        <is>
          <t>No</t>
        </is>
      </c>
      <c r="C9" s="40" t="inlineStr">
        <is>
          <t>商品名</t>
        </is>
      </c>
      <c r="D9" s="40" t="inlineStr">
        <is>
          <t>定数(個)</t>
        </is>
      </c>
      <c r="E9" s="40" t="inlineStr">
        <is>
          <t>在庫(個)</t>
        </is>
      </c>
      <c r="F9" s="40" t="inlineStr">
        <is>
          <t>減り数/日</t>
        </is>
      </c>
      <c r="G9" s="40" t="inlineStr">
        <is>
          <t>切れる日</t>
        </is>
      </c>
      <c r="H9" s="40" t="inlineStr">
        <is>
          <t>このままだと</t>
        </is>
      </c>
      <c r="I9" s="40" t="inlineStr">
        <is>
          <t>入庫日
(届く日)</t>
        </is>
      </c>
      <c r="J9" s="40" t="inlineStr">
        <is>
          <t>入庫数</t>
        </is>
      </c>
      <c r="K9" s="40" t="inlineStr">
        <is>
          <t>単位</t>
        </is>
      </c>
      <c r="L9" s="40" t="inlineStr">
        <is>
          <t>目安</t>
        </is>
      </c>
      <c r="M9" s="40" t="inlineStr">
        <is>
          <t>2便目
入庫日</t>
        </is>
      </c>
      <c r="N9" s="40" t="inlineStr">
        <is>
          <t>2便目
入庫数</t>
        </is>
      </c>
      <c r="O9" s="40" t="inlineStr">
        <is>
          <t>入庫を入れると</t>
        </is>
      </c>
      <c r="P9" s="41">
        <f>IF('設定'!$C$6="","",'設定'!$C$6+0)</f>
        <v/>
      </c>
      <c r="Q9" s="41">
        <f>IF('設定'!$C$6="","",'設定'!$C$6+1)</f>
        <v/>
      </c>
      <c r="R9" s="41">
        <f>IF('設定'!$C$6="","",'設定'!$C$6+2)</f>
        <v/>
      </c>
      <c r="S9" s="41">
        <f>IF('設定'!$C$6="","",'設定'!$C$6+3)</f>
        <v/>
      </c>
      <c r="T9" s="41">
        <f>IF('設定'!$C$6="","",'設定'!$C$6+4)</f>
        <v/>
      </c>
      <c r="U9" s="41">
        <f>IF('設定'!$C$6="","",'設定'!$C$6+5)</f>
        <v/>
      </c>
      <c r="V9" s="41">
        <f>IF('設定'!$C$6="","",'設定'!$C$6+6)</f>
        <v/>
      </c>
      <c r="W9" s="41">
        <f>IF('設定'!$C$6="","",'設定'!$C$6+7)</f>
        <v/>
      </c>
      <c r="X9" s="41">
        <f>IF('設定'!$C$6="","",'設定'!$C$6+8)</f>
        <v/>
      </c>
      <c r="Y9" s="41">
        <f>IF('設定'!$C$6="","",'設定'!$C$6+9)</f>
        <v/>
      </c>
      <c r="Z9" s="41">
        <f>IF('設定'!$C$6="","",'設定'!$C$6+10)</f>
        <v/>
      </c>
      <c r="AA9" s="41">
        <f>IF('設定'!$C$6="","",'設定'!$C$6+11)</f>
        <v/>
      </c>
      <c r="AB9" s="41">
        <f>IF('設定'!$C$6="","",'設定'!$C$6+12)</f>
        <v/>
      </c>
      <c r="AC9" s="41">
        <f>IF('設定'!$C$6="","",'設定'!$C$6+13)</f>
        <v/>
      </c>
      <c r="AD9" s="40" t="inlineStr">
        <is>
          <t>数えた在庫</t>
        </is>
      </c>
      <c r="AE9" s="40" t="inlineStr">
        <is>
          <t>数えた日</t>
        </is>
      </c>
      <c r="AF9" s="40" t="inlineStr">
        <is>
          <t>商品コード</t>
        </is>
      </c>
      <c r="AG9" s="40" t="inlineStr">
        <is>
          <t>仕入先</t>
        </is>
      </c>
    </row>
    <row r="10" ht="18" customHeight="1">
      <c r="B10" s="42">
        <f>IF('計算'!$C6="","",'計算'!$B6)</f>
        <v/>
      </c>
      <c r="C10" s="43">
        <f>IF('計算'!$C6="","",'計算'!$D6)</f>
        <v/>
      </c>
      <c r="D10" s="44">
        <f>IF('計算'!$C6="","",'計算'!$O6)</f>
        <v/>
      </c>
      <c r="E10" s="45">
        <f>IF('計算'!$C6="","",'計算'!$L6)</f>
        <v/>
      </c>
      <c r="F10" s="46">
        <f>IF('計算'!$C6="","",'計算'!$CD6)</f>
        <v/>
      </c>
      <c r="G10" s="47">
        <f>IF('計算'!$C6="","",'計算'!$CA6)</f>
        <v/>
      </c>
      <c r="H10" s="43">
        <f>IF('計算'!$C6="","",'計算'!$CP6)</f>
        <v/>
      </c>
      <c r="I10" s="48" t="n"/>
      <c r="J10" s="49" t="n"/>
      <c r="K10" s="50">
        <f>IF('計算'!$C6="","",'計算'!$CR6)</f>
        <v/>
      </c>
      <c r="L10" s="51">
        <f>IF('計算'!$C6="","",'計算'!$CF6)</f>
        <v/>
      </c>
      <c r="M10" s="48" t="n"/>
      <c r="N10" s="49" t="n"/>
      <c r="O10" s="43">
        <f>IF('計算'!$C6="","",'計算'!$CQ6)</f>
        <v/>
      </c>
      <c r="P10" s="52">
        <f>IF('計算'!$C6="","",IF('計算'!$M6="","",'計算'!$AX6))</f>
        <v/>
      </c>
      <c r="Q10" s="52">
        <f>IF('計算'!$C6="","",IF('計算'!$M6="","",'計算'!$AY6))</f>
        <v/>
      </c>
      <c r="R10" s="52">
        <f>IF('計算'!$C6="","",IF('計算'!$M6="","",'計算'!$AZ6))</f>
        <v/>
      </c>
      <c r="S10" s="52">
        <f>IF('計算'!$C6="","",IF('計算'!$M6="","",'計算'!$BA6))</f>
        <v/>
      </c>
      <c r="T10" s="52">
        <f>IF('計算'!$C6="","",IF('計算'!$M6="","",'計算'!$BB6))</f>
        <v/>
      </c>
      <c r="U10" s="52">
        <f>IF('計算'!$C6="","",IF('計算'!$M6="","",'計算'!$BC6))</f>
        <v/>
      </c>
      <c r="V10" s="52">
        <f>IF('計算'!$C6="","",IF('計算'!$M6="","",'計算'!$BD6))</f>
        <v/>
      </c>
      <c r="W10" s="52">
        <f>IF('計算'!$C6="","",IF('計算'!$M6="","",'計算'!$BE6))</f>
        <v/>
      </c>
      <c r="X10" s="52">
        <f>IF('計算'!$C6="","",IF('計算'!$M6="","",'計算'!$BF6))</f>
        <v/>
      </c>
      <c r="Y10" s="52">
        <f>IF('計算'!$C6="","",IF('計算'!$M6="","",'計算'!$BG6))</f>
        <v/>
      </c>
      <c r="Z10" s="52">
        <f>IF('計算'!$C6="","",IF('計算'!$M6="","",'計算'!$BH6))</f>
        <v/>
      </c>
      <c r="AA10" s="52">
        <f>IF('計算'!$C6="","",IF('計算'!$M6="","",'計算'!$BI6))</f>
        <v/>
      </c>
      <c r="AB10" s="52">
        <f>IF('計算'!$C6="","",IF('計算'!$M6="","",'計算'!$BJ6))</f>
        <v/>
      </c>
      <c r="AC10" s="52">
        <f>IF('計算'!$C6="","",IF('計算'!$M6="","",'計算'!$BK6))</f>
        <v/>
      </c>
      <c r="AD10" s="53" t="n"/>
      <c r="AE10" s="48" t="n"/>
      <c r="AF10" s="54">
        <f>IF('計算'!$C6="","",'計算'!$C6)</f>
        <v/>
      </c>
      <c r="AG10" s="54">
        <f>IF('計算'!$C6="","",'計算'!$F6)</f>
        <v/>
      </c>
    </row>
    <row r="11" ht="18" customHeight="1">
      <c r="B11" s="42">
        <f>IF('計算'!$C7="","",'計算'!$B7)</f>
        <v/>
      </c>
      <c r="C11" s="43">
        <f>IF('計算'!$C7="","",'計算'!$D7)</f>
        <v/>
      </c>
      <c r="D11" s="44">
        <f>IF('計算'!$C7="","",'計算'!$O7)</f>
        <v/>
      </c>
      <c r="E11" s="45">
        <f>IF('計算'!$C7="","",'計算'!$L7)</f>
        <v/>
      </c>
      <c r="F11" s="46">
        <f>IF('計算'!$C7="","",'計算'!$CD7)</f>
        <v/>
      </c>
      <c r="G11" s="47">
        <f>IF('計算'!$C7="","",'計算'!$CA7)</f>
        <v/>
      </c>
      <c r="H11" s="43">
        <f>IF('計算'!$C7="","",'計算'!$CP7)</f>
        <v/>
      </c>
      <c r="I11" s="48" t="n"/>
      <c r="J11" s="49" t="n"/>
      <c r="K11" s="50">
        <f>IF('計算'!$C7="","",'計算'!$CR7)</f>
        <v/>
      </c>
      <c r="L11" s="51">
        <f>IF('計算'!$C7="","",'計算'!$CF7)</f>
        <v/>
      </c>
      <c r="M11" s="48" t="n"/>
      <c r="N11" s="49" t="n"/>
      <c r="O11" s="43">
        <f>IF('計算'!$C7="","",'計算'!$CQ7)</f>
        <v/>
      </c>
      <c r="P11" s="52">
        <f>IF('計算'!$C7="","",IF('計算'!$M7="","",'計算'!$AX7))</f>
        <v/>
      </c>
      <c r="Q11" s="52">
        <f>IF('計算'!$C7="","",IF('計算'!$M7="","",'計算'!$AY7))</f>
        <v/>
      </c>
      <c r="R11" s="52">
        <f>IF('計算'!$C7="","",IF('計算'!$M7="","",'計算'!$AZ7))</f>
        <v/>
      </c>
      <c r="S11" s="52">
        <f>IF('計算'!$C7="","",IF('計算'!$M7="","",'計算'!$BA7))</f>
        <v/>
      </c>
      <c r="T11" s="52">
        <f>IF('計算'!$C7="","",IF('計算'!$M7="","",'計算'!$BB7))</f>
        <v/>
      </c>
      <c r="U11" s="52">
        <f>IF('計算'!$C7="","",IF('計算'!$M7="","",'計算'!$BC7))</f>
        <v/>
      </c>
      <c r="V11" s="52">
        <f>IF('計算'!$C7="","",IF('計算'!$M7="","",'計算'!$BD7))</f>
        <v/>
      </c>
      <c r="W11" s="52">
        <f>IF('計算'!$C7="","",IF('計算'!$M7="","",'計算'!$BE7))</f>
        <v/>
      </c>
      <c r="X11" s="52">
        <f>IF('計算'!$C7="","",IF('計算'!$M7="","",'計算'!$BF7))</f>
        <v/>
      </c>
      <c r="Y11" s="52">
        <f>IF('計算'!$C7="","",IF('計算'!$M7="","",'計算'!$BG7))</f>
        <v/>
      </c>
      <c r="Z11" s="52">
        <f>IF('計算'!$C7="","",IF('計算'!$M7="","",'計算'!$BH7))</f>
        <v/>
      </c>
      <c r="AA11" s="52">
        <f>IF('計算'!$C7="","",IF('計算'!$M7="","",'計算'!$BI7))</f>
        <v/>
      </c>
      <c r="AB11" s="52">
        <f>IF('計算'!$C7="","",IF('計算'!$M7="","",'計算'!$BJ7))</f>
        <v/>
      </c>
      <c r="AC11" s="52">
        <f>IF('計算'!$C7="","",IF('計算'!$M7="","",'計算'!$BK7))</f>
        <v/>
      </c>
      <c r="AD11" s="53" t="n"/>
      <c r="AE11" s="48" t="n"/>
      <c r="AF11" s="54">
        <f>IF('計算'!$C7="","",'計算'!$C7)</f>
        <v/>
      </c>
      <c r="AG11" s="54">
        <f>IF('計算'!$C7="","",'計算'!$F7)</f>
        <v/>
      </c>
    </row>
    <row r="12" ht="18" customHeight="1">
      <c r="B12" s="42">
        <f>IF('計算'!$C8="","",'計算'!$B8)</f>
        <v/>
      </c>
      <c r="C12" s="43">
        <f>IF('計算'!$C8="","",'計算'!$D8)</f>
        <v/>
      </c>
      <c r="D12" s="44">
        <f>IF('計算'!$C8="","",'計算'!$O8)</f>
        <v/>
      </c>
      <c r="E12" s="45">
        <f>IF('計算'!$C8="","",'計算'!$L8)</f>
        <v/>
      </c>
      <c r="F12" s="46">
        <f>IF('計算'!$C8="","",'計算'!$CD8)</f>
        <v/>
      </c>
      <c r="G12" s="47">
        <f>IF('計算'!$C8="","",'計算'!$CA8)</f>
        <v/>
      </c>
      <c r="H12" s="43">
        <f>IF('計算'!$C8="","",'計算'!$CP8)</f>
        <v/>
      </c>
      <c r="I12" s="48" t="n"/>
      <c r="J12" s="49" t="n"/>
      <c r="K12" s="50">
        <f>IF('計算'!$C8="","",'計算'!$CR8)</f>
        <v/>
      </c>
      <c r="L12" s="51">
        <f>IF('計算'!$C8="","",'計算'!$CF8)</f>
        <v/>
      </c>
      <c r="M12" s="48" t="n"/>
      <c r="N12" s="49" t="n"/>
      <c r="O12" s="43">
        <f>IF('計算'!$C8="","",'計算'!$CQ8)</f>
        <v/>
      </c>
      <c r="P12" s="52">
        <f>IF('計算'!$C8="","",IF('計算'!$M8="","",'計算'!$AX8))</f>
        <v/>
      </c>
      <c r="Q12" s="52">
        <f>IF('計算'!$C8="","",IF('計算'!$M8="","",'計算'!$AY8))</f>
        <v/>
      </c>
      <c r="R12" s="52">
        <f>IF('計算'!$C8="","",IF('計算'!$M8="","",'計算'!$AZ8))</f>
        <v/>
      </c>
      <c r="S12" s="52">
        <f>IF('計算'!$C8="","",IF('計算'!$M8="","",'計算'!$BA8))</f>
        <v/>
      </c>
      <c r="T12" s="52">
        <f>IF('計算'!$C8="","",IF('計算'!$M8="","",'計算'!$BB8))</f>
        <v/>
      </c>
      <c r="U12" s="52">
        <f>IF('計算'!$C8="","",IF('計算'!$M8="","",'計算'!$BC8))</f>
        <v/>
      </c>
      <c r="V12" s="52">
        <f>IF('計算'!$C8="","",IF('計算'!$M8="","",'計算'!$BD8))</f>
        <v/>
      </c>
      <c r="W12" s="52">
        <f>IF('計算'!$C8="","",IF('計算'!$M8="","",'計算'!$BE8))</f>
        <v/>
      </c>
      <c r="X12" s="52">
        <f>IF('計算'!$C8="","",IF('計算'!$M8="","",'計算'!$BF8))</f>
        <v/>
      </c>
      <c r="Y12" s="52">
        <f>IF('計算'!$C8="","",IF('計算'!$M8="","",'計算'!$BG8))</f>
        <v/>
      </c>
      <c r="Z12" s="52">
        <f>IF('計算'!$C8="","",IF('計算'!$M8="","",'計算'!$BH8))</f>
        <v/>
      </c>
      <c r="AA12" s="52">
        <f>IF('計算'!$C8="","",IF('計算'!$M8="","",'計算'!$BI8))</f>
        <v/>
      </c>
      <c r="AB12" s="52">
        <f>IF('計算'!$C8="","",IF('計算'!$M8="","",'計算'!$BJ8))</f>
        <v/>
      </c>
      <c r="AC12" s="52">
        <f>IF('計算'!$C8="","",IF('計算'!$M8="","",'計算'!$BK8))</f>
        <v/>
      </c>
      <c r="AD12" s="53" t="n"/>
      <c r="AE12" s="48" t="n"/>
      <c r="AF12" s="54">
        <f>IF('計算'!$C8="","",'計算'!$C8)</f>
        <v/>
      </c>
      <c r="AG12" s="54">
        <f>IF('計算'!$C8="","",'計算'!$F8)</f>
        <v/>
      </c>
    </row>
    <row r="13" ht="18" customHeight="1">
      <c r="B13" s="42">
        <f>IF('計算'!$C9="","",'計算'!$B9)</f>
        <v/>
      </c>
      <c r="C13" s="43">
        <f>IF('計算'!$C9="","",'計算'!$D9)</f>
        <v/>
      </c>
      <c r="D13" s="44">
        <f>IF('計算'!$C9="","",'計算'!$O9)</f>
        <v/>
      </c>
      <c r="E13" s="45">
        <f>IF('計算'!$C9="","",'計算'!$L9)</f>
        <v/>
      </c>
      <c r="F13" s="46">
        <f>IF('計算'!$C9="","",'計算'!$CD9)</f>
        <v/>
      </c>
      <c r="G13" s="47">
        <f>IF('計算'!$C9="","",'計算'!$CA9)</f>
        <v/>
      </c>
      <c r="H13" s="43">
        <f>IF('計算'!$C9="","",'計算'!$CP9)</f>
        <v/>
      </c>
      <c r="I13" s="48" t="n"/>
      <c r="J13" s="49" t="n"/>
      <c r="K13" s="50">
        <f>IF('計算'!$C9="","",'計算'!$CR9)</f>
        <v/>
      </c>
      <c r="L13" s="51">
        <f>IF('計算'!$C9="","",'計算'!$CF9)</f>
        <v/>
      </c>
      <c r="M13" s="48" t="n"/>
      <c r="N13" s="49" t="n"/>
      <c r="O13" s="43">
        <f>IF('計算'!$C9="","",'計算'!$CQ9)</f>
        <v/>
      </c>
      <c r="P13" s="52">
        <f>IF('計算'!$C9="","",IF('計算'!$M9="","",'計算'!$AX9))</f>
        <v/>
      </c>
      <c r="Q13" s="52">
        <f>IF('計算'!$C9="","",IF('計算'!$M9="","",'計算'!$AY9))</f>
        <v/>
      </c>
      <c r="R13" s="52">
        <f>IF('計算'!$C9="","",IF('計算'!$M9="","",'計算'!$AZ9))</f>
        <v/>
      </c>
      <c r="S13" s="52">
        <f>IF('計算'!$C9="","",IF('計算'!$M9="","",'計算'!$BA9))</f>
        <v/>
      </c>
      <c r="T13" s="52">
        <f>IF('計算'!$C9="","",IF('計算'!$M9="","",'計算'!$BB9))</f>
        <v/>
      </c>
      <c r="U13" s="52">
        <f>IF('計算'!$C9="","",IF('計算'!$M9="","",'計算'!$BC9))</f>
        <v/>
      </c>
      <c r="V13" s="52">
        <f>IF('計算'!$C9="","",IF('計算'!$M9="","",'計算'!$BD9))</f>
        <v/>
      </c>
      <c r="W13" s="52">
        <f>IF('計算'!$C9="","",IF('計算'!$M9="","",'計算'!$BE9))</f>
        <v/>
      </c>
      <c r="X13" s="52">
        <f>IF('計算'!$C9="","",IF('計算'!$M9="","",'計算'!$BF9))</f>
        <v/>
      </c>
      <c r="Y13" s="52">
        <f>IF('計算'!$C9="","",IF('計算'!$M9="","",'計算'!$BG9))</f>
        <v/>
      </c>
      <c r="Z13" s="52">
        <f>IF('計算'!$C9="","",IF('計算'!$M9="","",'計算'!$BH9))</f>
        <v/>
      </c>
      <c r="AA13" s="52">
        <f>IF('計算'!$C9="","",IF('計算'!$M9="","",'計算'!$BI9))</f>
        <v/>
      </c>
      <c r="AB13" s="52">
        <f>IF('計算'!$C9="","",IF('計算'!$M9="","",'計算'!$BJ9))</f>
        <v/>
      </c>
      <c r="AC13" s="52">
        <f>IF('計算'!$C9="","",IF('計算'!$M9="","",'計算'!$BK9))</f>
        <v/>
      </c>
      <c r="AD13" s="53" t="n"/>
      <c r="AE13" s="48" t="n"/>
      <c r="AF13" s="54">
        <f>IF('計算'!$C9="","",'計算'!$C9)</f>
        <v/>
      </c>
      <c r="AG13" s="54">
        <f>IF('計算'!$C9="","",'計算'!$F9)</f>
        <v/>
      </c>
    </row>
    <row r="14" ht="18" customHeight="1">
      <c r="B14" s="42">
        <f>IF('計算'!$C10="","",'計算'!$B10)</f>
        <v/>
      </c>
      <c r="C14" s="43">
        <f>IF('計算'!$C10="","",'計算'!$D10)</f>
        <v/>
      </c>
      <c r="D14" s="44">
        <f>IF('計算'!$C10="","",'計算'!$O10)</f>
        <v/>
      </c>
      <c r="E14" s="45">
        <f>IF('計算'!$C10="","",'計算'!$L10)</f>
        <v/>
      </c>
      <c r="F14" s="46">
        <f>IF('計算'!$C10="","",'計算'!$CD10)</f>
        <v/>
      </c>
      <c r="G14" s="47">
        <f>IF('計算'!$C10="","",'計算'!$CA10)</f>
        <v/>
      </c>
      <c r="H14" s="43">
        <f>IF('計算'!$C10="","",'計算'!$CP10)</f>
        <v/>
      </c>
      <c r="I14" s="48" t="n"/>
      <c r="J14" s="49" t="n"/>
      <c r="K14" s="50">
        <f>IF('計算'!$C10="","",'計算'!$CR10)</f>
        <v/>
      </c>
      <c r="L14" s="51">
        <f>IF('計算'!$C10="","",'計算'!$CF10)</f>
        <v/>
      </c>
      <c r="M14" s="48" t="n"/>
      <c r="N14" s="49" t="n"/>
      <c r="O14" s="43">
        <f>IF('計算'!$C10="","",'計算'!$CQ10)</f>
        <v/>
      </c>
      <c r="P14" s="52">
        <f>IF('計算'!$C10="","",IF('計算'!$M10="","",'計算'!$AX10))</f>
        <v/>
      </c>
      <c r="Q14" s="52">
        <f>IF('計算'!$C10="","",IF('計算'!$M10="","",'計算'!$AY10))</f>
        <v/>
      </c>
      <c r="R14" s="52">
        <f>IF('計算'!$C10="","",IF('計算'!$M10="","",'計算'!$AZ10))</f>
        <v/>
      </c>
      <c r="S14" s="52">
        <f>IF('計算'!$C10="","",IF('計算'!$M10="","",'計算'!$BA10))</f>
        <v/>
      </c>
      <c r="T14" s="52">
        <f>IF('計算'!$C10="","",IF('計算'!$M10="","",'計算'!$BB10))</f>
        <v/>
      </c>
      <c r="U14" s="52">
        <f>IF('計算'!$C10="","",IF('計算'!$M10="","",'計算'!$BC10))</f>
        <v/>
      </c>
      <c r="V14" s="52">
        <f>IF('計算'!$C10="","",IF('計算'!$M10="","",'計算'!$BD10))</f>
        <v/>
      </c>
      <c r="W14" s="52">
        <f>IF('計算'!$C10="","",IF('計算'!$M10="","",'計算'!$BE10))</f>
        <v/>
      </c>
      <c r="X14" s="52">
        <f>IF('計算'!$C10="","",IF('計算'!$M10="","",'計算'!$BF10))</f>
        <v/>
      </c>
      <c r="Y14" s="52">
        <f>IF('計算'!$C10="","",IF('計算'!$M10="","",'計算'!$BG10))</f>
        <v/>
      </c>
      <c r="Z14" s="52">
        <f>IF('計算'!$C10="","",IF('計算'!$M10="","",'計算'!$BH10))</f>
        <v/>
      </c>
      <c r="AA14" s="52">
        <f>IF('計算'!$C10="","",IF('計算'!$M10="","",'計算'!$BI10))</f>
        <v/>
      </c>
      <c r="AB14" s="52">
        <f>IF('計算'!$C10="","",IF('計算'!$M10="","",'計算'!$BJ10))</f>
        <v/>
      </c>
      <c r="AC14" s="52">
        <f>IF('計算'!$C10="","",IF('計算'!$M10="","",'計算'!$BK10))</f>
        <v/>
      </c>
      <c r="AD14" s="53" t="n"/>
      <c r="AE14" s="48" t="n"/>
      <c r="AF14" s="54">
        <f>IF('計算'!$C10="","",'計算'!$C10)</f>
        <v/>
      </c>
      <c r="AG14" s="54">
        <f>IF('計算'!$C10="","",'計算'!$F10)</f>
        <v/>
      </c>
    </row>
    <row r="15" ht="18" customHeight="1">
      <c r="B15" s="42">
        <f>IF('計算'!$C11="","",'計算'!$B11)</f>
        <v/>
      </c>
      <c r="C15" s="43">
        <f>IF('計算'!$C11="","",'計算'!$D11)</f>
        <v/>
      </c>
      <c r="D15" s="44">
        <f>IF('計算'!$C11="","",'計算'!$O11)</f>
        <v/>
      </c>
      <c r="E15" s="45">
        <f>IF('計算'!$C11="","",'計算'!$L11)</f>
        <v/>
      </c>
      <c r="F15" s="46">
        <f>IF('計算'!$C11="","",'計算'!$CD11)</f>
        <v/>
      </c>
      <c r="G15" s="47">
        <f>IF('計算'!$C11="","",'計算'!$CA11)</f>
        <v/>
      </c>
      <c r="H15" s="43">
        <f>IF('計算'!$C11="","",'計算'!$CP11)</f>
        <v/>
      </c>
      <c r="I15" s="48" t="n"/>
      <c r="J15" s="49" t="n"/>
      <c r="K15" s="50">
        <f>IF('計算'!$C11="","",'計算'!$CR11)</f>
        <v/>
      </c>
      <c r="L15" s="51">
        <f>IF('計算'!$C11="","",'計算'!$CF11)</f>
        <v/>
      </c>
      <c r="M15" s="48" t="n"/>
      <c r="N15" s="49" t="n"/>
      <c r="O15" s="43">
        <f>IF('計算'!$C11="","",'計算'!$CQ11)</f>
        <v/>
      </c>
      <c r="P15" s="52">
        <f>IF('計算'!$C11="","",IF('計算'!$M11="","",'計算'!$AX11))</f>
        <v/>
      </c>
      <c r="Q15" s="52">
        <f>IF('計算'!$C11="","",IF('計算'!$M11="","",'計算'!$AY11))</f>
        <v/>
      </c>
      <c r="R15" s="52">
        <f>IF('計算'!$C11="","",IF('計算'!$M11="","",'計算'!$AZ11))</f>
        <v/>
      </c>
      <c r="S15" s="52">
        <f>IF('計算'!$C11="","",IF('計算'!$M11="","",'計算'!$BA11))</f>
        <v/>
      </c>
      <c r="T15" s="52">
        <f>IF('計算'!$C11="","",IF('計算'!$M11="","",'計算'!$BB11))</f>
        <v/>
      </c>
      <c r="U15" s="52">
        <f>IF('計算'!$C11="","",IF('計算'!$M11="","",'計算'!$BC11))</f>
        <v/>
      </c>
      <c r="V15" s="52">
        <f>IF('計算'!$C11="","",IF('計算'!$M11="","",'計算'!$BD11))</f>
        <v/>
      </c>
      <c r="W15" s="52">
        <f>IF('計算'!$C11="","",IF('計算'!$M11="","",'計算'!$BE11))</f>
        <v/>
      </c>
      <c r="X15" s="52">
        <f>IF('計算'!$C11="","",IF('計算'!$M11="","",'計算'!$BF11))</f>
        <v/>
      </c>
      <c r="Y15" s="52">
        <f>IF('計算'!$C11="","",IF('計算'!$M11="","",'計算'!$BG11))</f>
        <v/>
      </c>
      <c r="Z15" s="52">
        <f>IF('計算'!$C11="","",IF('計算'!$M11="","",'計算'!$BH11))</f>
        <v/>
      </c>
      <c r="AA15" s="52">
        <f>IF('計算'!$C11="","",IF('計算'!$M11="","",'計算'!$BI11))</f>
        <v/>
      </c>
      <c r="AB15" s="52">
        <f>IF('計算'!$C11="","",IF('計算'!$M11="","",'計算'!$BJ11))</f>
        <v/>
      </c>
      <c r="AC15" s="52">
        <f>IF('計算'!$C11="","",IF('計算'!$M11="","",'計算'!$BK11))</f>
        <v/>
      </c>
      <c r="AD15" s="53" t="n"/>
      <c r="AE15" s="48" t="n"/>
      <c r="AF15" s="54">
        <f>IF('計算'!$C11="","",'計算'!$C11)</f>
        <v/>
      </c>
      <c r="AG15" s="54">
        <f>IF('計算'!$C11="","",'計算'!$F11)</f>
        <v/>
      </c>
    </row>
    <row r="16" ht="18" customHeight="1">
      <c r="B16" s="42">
        <f>IF('計算'!$C12="","",'計算'!$B12)</f>
        <v/>
      </c>
      <c r="C16" s="43">
        <f>IF('計算'!$C12="","",'計算'!$D12)</f>
        <v/>
      </c>
      <c r="D16" s="44">
        <f>IF('計算'!$C12="","",'計算'!$O12)</f>
        <v/>
      </c>
      <c r="E16" s="45">
        <f>IF('計算'!$C12="","",'計算'!$L12)</f>
        <v/>
      </c>
      <c r="F16" s="46">
        <f>IF('計算'!$C12="","",'計算'!$CD12)</f>
        <v/>
      </c>
      <c r="G16" s="47">
        <f>IF('計算'!$C12="","",'計算'!$CA12)</f>
        <v/>
      </c>
      <c r="H16" s="43">
        <f>IF('計算'!$C12="","",'計算'!$CP12)</f>
        <v/>
      </c>
      <c r="I16" s="48" t="n"/>
      <c r="J16" s="49" t="n"/>
      <c r="K16" s="50">
        <f>IF('計算'!$C12="","",'計算'!$CR12)</f>
        <v/>
      </c>
      <c r="L16" s="51">
        <f>IF('計算'!$C12="","",'計算'!$CF12)</f>
        <v/>
      </c>
      <c r="M16" s="48" t="n"/>
      <c r="N16" s="49" t="n"/>
      <c r="O16" s="43">
        <f>IF('計算'!$C12="","",'計算'!$CQ12)</f>
        <v/>
      </c>
      <c r="P16" s="52">
        <f>IF('計算'!$C12="","",IF('計算'!$M12="","",'計算'!$AX12))</f>
        <v/>
      </c>
      <c r="Q16" s="52">
        <f>IF('計算'!$C12="","",IF('計算'!$M12="","",'計算'!$AY12))</f>
        <v/>
      </c>
      <c r="R16" s="52">
        <f>IF('計算'!$C12="","",IF('計算'!$M12="","",'計算'!$AZ12))</f>
        <v/>
      </c>
      <c r="S16" s="52">
        <f>IF('計算'!$C12="","",IF('計算'!$M12="","",'計算'!$BA12))</f>
        <v/>
      </c>
      <c r="T16" s="52">
        <f>IF('計算'!$C12="","",IF('計算'!$M12="","",'計算'!$BB12))</f>
        <v/>
      </c>
      <c r="U16" s="52">
        <f>IF('計算'!$C12="","",IF('計算'!$M12="","",'計算'!$BC12))</f>
        <v/>
      </c>
      <c r="V16" s="52">
        <f>IF('計算'!$C12="","",IF('計算'!$M12="","",'計算'!$BD12))</f>
        <v/>
      </c>
      <c r="W16" s="52">
        <f>IF('計算'!$C12="","",IF('計算'!$M12="","",'計算'!$BE12))</f>
        <v/>
      </c>
      <c r="X16" s="52">
        <f>IF('計算'!$C12="","",IF('計算'!$M12="","",'計算'!$BF12))</f>
        <v/>
      </c>
      <c r="Y16" s="52">
        <f>IF('計算'!$C12="","",IF('計算'!$M12="","",'計算'!$BG12))</f>
        <v/>
      </c>
      <c r="Z16" s="52">
        <f>IF('計算'!$C12="","",IF('計算'!$M12="","",'計算'!$BH12))</f>
        <v/>
      </c>
      <c r="AA16" s="52">
        <f>IF('計算'!$C12="","",IF('計算'!$M12="","",'計算'!$BI12))</f>
        <v/>
      </c>
      <c r="AB16" s="52">
        <f>IF('計算'!$C12="","",IF('計算'!$M12="","",'計算'!$BJ12))</f>
        <v/>
      </c>
      <c r="AC16" s="52">
        <f>IF('計算'!$C12="","",IF('計算'!$M12="","",'計算'!$BK12))</f>
        <v/>
      </c>
      <c r="AD16" s="53" t="n"/>
      <c r="AE16" s="48" t="n"/>
      <c r="AF16" s="54">
        <f>IF('計算'!$C12="","",'計算'!$C12)</f>
        <v/>
      </c>
      <c r="AG16" s="54">
        <f>IF('計算'!$C12="","",'計算'!$F12)</f>
        <v/>
      </c>
    </row>
    <row r="17" ht="18" customHeight="1">
      <c r="B17" s="42">
        <f>IF('計算'!$C13="","",'計算'!$B13)</f>
        <v/>
      </c>
      <c r="C17" s="43">
        <f>IF('計算'!$C13="","",'計算'!$D13)</f>
        <v/>
      </c>
      <c r="D17" s="44">
        <f>IF('計算'!$C13="","",'計算'!$O13)</f>
        <v/>
      </c>
      <c r="E17" s="45">
        <f>IF('計算'!$C13="","",'計算'!$L13)</f>
        <v/>
      </c>
      <c r="F17" s="46">
        <f>IF('計算'!$C13="","",'計算'!$CD13)</f>
        <v/>
      </c>
      <c r="G17" s="47">
        <f>IF('計算'!$C13="","",'計算'!$CA13)</f>
        <v/>
      </c>
      <c r="H17" s="43">
        <f>IF('計算'!$C13="","",'計算'!$CP13)</f>
        <v/>
      </c>
      <c r="I17" s="48" t="n"/>
      <c r="J17" s="49" t="n"/>
      <c r="K17" s="50">
        <f>IF('計算'!$C13="","",'計算'!$CR13)</f>
        <v/>
      </c>
      <c r="L17" s="51">
        <f>IF('計算'!$C13="","",'計算'!$CF13)</f>
        <v/>
      </c>
      <c r="M17" s="48" t="n"/>
      <c r="N17" s="49" t="n"/>
      <c r="O17" s="43">
        <f>IF('計算'!$C13="","",'計算'!$CQ13)</f>
        <v/>
      </c>
      <c r="P17" s="52">
        <f>IF('計算'!$C13="","",IF('計算'!$M13="","",'計算'!$AX13))</f>
        <v/>
      </c>
      <c r="Q17" s="52">
        <f>IF('計算'!$C13="","",IF('計算'!$M13="","",'計算'!$AY13))</f>
        <v/>
      </c>
      <c r="R17" s="52">
        <f>IF('計算'!$C13="","",IF('計算'!$M13="","",'計算'!$AZ13))</f>
        <v/>
      </c>
      <c r="S17" s="52">
        <f>IF('計算'!$C13="","",IF('計算'!$M13="","",'計算'!$BA13))</f>
        <v/>
      </c>
      <c r="T17" s="52">
        <f>IF('計算'!$C13="","",IF('計算'!$M13="","",'計算'!$BB13))</f>
        <v/>
      </c>
      <c r="U17" s="52">
        <f>IF('計算'!$C13="","",IF('計算'!$M13="","",'計算'!$BC13))</f>
        <v/>
      </c>
      <c r="V17" s="52">
        <f>IF('計算'!$C13="","",IF('計算'!$M13="","",'計算'!$BD13))</f>
        <v/>
      </c>
      <c r="W17" s="52">
        <f>IF('計算'!$C13="","",IF('計算'!$M13="","",'計算'!$BE13))</f>
        <v/>
      </c>
      <c r="X17" s="52">
        <f>IF('計算'!$C13="","",IF('計算'!$M13="","",'計算'!$BF13))</f>
        <v/>
      </c>
      <c r="Y17" s="52">
        <f>IF('計算'!$C13="","",IF('計算'!$M13="","",'計算'!$BG13))</f>
        <v/>
      </c>
      <c r="Z17" s="52">
        <f>IF('計算'!$C13="","",IF('計算'!$M13="","",'計算'!$BH13))</f>
        <v/>
      </c>
      <c r="AA17" s="52">
        <f>IF('計算'!$C13="","",IF('計算'!$M13="","",'計算'!$BI13))</f>
        <v/>
      </c>
      <c r="AB17" s="52">
        <f>IF('計算'!$C13="","",IF('計算'!$M13="","",'計算'!$BJ13))</f>
        <v/>
      </c>
      <c r="AC17" s="52">
        <f>IF('計算'!$C13="","",IF('計算'!$M13="","",'計算'!$BK13))</f>
        <v/>
      </c>
      <c r="AD17" s="53" t="n"/>
      <c r="AE17" s="48" t="n"/>
      <c r="AF17" s="54">
        <f>IF('計算'!$C13="","",'計算'!$C13)</f>
        <v/>
      </c>
      <c r="AG17" s="54">
        <f>IF('計算'!$C13="","",'計算'!$F13)</f>
        <v/>
      </c>
    </row>
    <row r="18" ht="18" customHeight="1">
      <c r="B18" s="42">
        <f>IF('計算'!$C14="","",'計算'!$B14)</f>
        <v/>
      </c>
      <c r="C18" s="43">
        <f>IF('計算'!$C14="","",'計算'!$D14)</f>
        <v/>
      </c>
      <c r="D18" s="44">
        <f>IF('計算'!$C14="","",'計算'!$O14)</f>
        <v/>
      </c>
      <c r="E18" s="45">
        <f>IF('計算'!$C14="","",'計算'!$L14)</f>
        <v/>
      </c>
      <c r="F18" s="46">
        <f>IF('計算'!$C14="","",'計算'!$CD14)</f>
        <v/>
      </c>
      <c r="G18" s="47">
        <f>IF('計算'!$C14="","",'計算'!$CA14)</f>
        <v/>
      </c>
      <c r="H18" s="43">
        <f>IF('計算'!$C14="","",'計算'!$CP14)</f>
        <v/>
      </c>
      <c r="I18" s="48" t="n"/>
      <c r="J18" s="49" t="n"/>
      <c r="K18" s="50">
        <f>IF('計算'!$C14="","",'計算'!$CR14)</f>
        <v/>
      </c>
      <c r="L18" s="51">
        <f>IF('計算'!$C14="","",'計算'!$CF14)</f>
        <v/>
      </c>
      <c r="M18" s="48" t="n"/>
      <c r="N18" s="49" t="n"/>
      <c r="O18" s="43">
        <f>IF('計算'!$C14="","",'計算'!$CQ14)</f>
        <v/>
      </c>
      <c r="P18" s="52">
        <f>IF('計算'!$C14="","",IF('計算'!$M14="","",'計算'!$AX14))</f>
        <v/>
      </c>
      <c r="Q18" s="52">
        <f>IF('計算'!$C14="","",IF('計算'!$M14="","",'計算'!$AY14))</f>
        <v/>
      </c>
      <c r="R18" s="52">
        <f>IF('計算'!$C14="","",IF('計算'!$M14="","",'計算'!$AZ14))</f>
        <v/>
      </c>
      <c r="S18" s="52">
        <f>IF('計算'!$C14="","",IF('計算'!$M14="","",'計算'!$BA14))</f>
        <v/>
      </c>
      <c r="T18" s="52">
        <f>IF('計算'!$C14="","",IF('計算'!$M14="","",'計算'!$BB14))</f>
        <v/>
      </c>
      <c r="U18" s="52">
        <f>IF('計算'!$C14="","",IF('計算'!$M14="","",'計算'!$BC14))</f>
        <v/>
      </c>
      <c r="V18" s="52">
        <f>IF('計算'!$C14="","",IF('計算'!$M14="","",'計算'!$BD14))</f>
        <v/>
      </c>
      <c r="W18" s="52">
        <f>IF('計算'!$C14="","",IF('計算'!$M14="","",'計算'!$BE14))</f>
        <v/>
      </c>
      <c r="X18" s="52">
        <f>IF('計算'!$C14="","",IF('計算'!$M14="","",'計算'!$BF14))</f>
        <v/>
      </c>
      <c r="Y18" s="52">
        <f>IF('計算'!$C14="","",IF('計算'!$M14="","",'計算'!$BG14))</f>
        <v/>
      </c>
      <c r="Z18" s="52">
        <f>IF('計算'!$C14="","",IF('計算'!$M14="","",'計算'!$BH14))</f>
        <v/>
      </c>
      <c r="AA18" s="52">
        <f>IF('計算'!$C14="","",IF('計算'!$M14="","",'計算'!$BI14))</f>
        <v/>
      </c>
      <c r="AB18" s="52">
        <f>IF('計算'!$C14="","",IF('計算'!$M14="","",'計算'!$BJ14))</f>
        <v/>
      </c>
      <c r="AC18" s="52">
        <f>IF('計算'!$C14="","",IF('計算'!$M14="","",'計算'!$BK14))</f>
        <v/>
      </c>
      <c r="AD18" s="53" t="n"/>
      <c r="AE18" s="48" t="n"/>
      <c r="AF18" s="54">
        <f>IF('計算'!$C14="","",'計算'!$C14)</f>
        <v/>
      </c>
      <c r="AG18" s="54">
        <f>IF('計算'!$C14="","",'計算'!$F14)</f>
        <v/>
      </c>
    </row>
    <row r="19" ht="18" customHeight="1">
      <c r="B19" s="42">
        <f>IF('計算'!$C15="","",'計算'!$B15)</f>
        <v/>
      </c>
      <c r="C19" s="43">
        <f>IF('計算'!$C15="","",'計算'!$D15)</f>
        <v/>
      </c>
      <c r="D19" s="44">
        <f>IF('計算'!$C15="","",'計算'!$O15)</f>
        <v/>
      </c>
      <c r="E19" s="45">
        <f>IF('計算'!$C15="","",'計算'!$L15)</f>
        <v/>
      </c>
      <c r="F19" s="46">
        <f>IF('計算'!$C15="","",'計算'!$CD15)</f>
        <v/>
      </c>
      <c r="G19" s="47">
        <f>IF('計算'!$C15="","",'計算'!$CA15)</f>
        <v/>
      </c>
      <c r="H19" s="43">
        <f>IF('計算'!$C15="","",'計算'!$CP15)</f>
        <v/>
      </c>
      <c r="I19" s="48" t="n"/>
      <c r="J19" s="49" t="n"/>
      <c r="K19" s="50">
        <f>IF('計算'!$C15="","",'計算'!$CR15)</f>
        <v/>
      </c>
      <c r="L19" s="51">
        <f>IF('計算'!$C15="","",'計算'!$CF15)</f>
        <v/>
      </c>
      <c r="M19" s="48" t="n"/>
      <c r="N19" s="49" t="n"/>
      <c r="O19" s="43">
        <f>IF('計算'!$C15="","",'計算'!$CQ15)</f>
        <v/>
      </c>
      <c r="P19" s="52">
        <f>IF('計算'!$C15="","",IF('計算'!$M15="","",'計算'!$AX15))</f>
        <v/>
      </c>
      <c r="Q19" s="52">
        <f>IF('計算'!$C15="","",IF('計算'!$M15="","",'計算'!$AY15))</f>
        <v/>
      </c>
      <c r="R19" s="52">
        <f>IF('計算'!$C15="","",IF('計算'!$M15="","",'計算'!$AZ15))</f>
        <v/>
      </c>
      <c r="S19" s="52">
        <f>IF('計算'!$C15="","",IF('計算'!$M15="","",'計算'!$BA15))</f>
        <v/>
      </c>
      <c r="T19" s="52">
        <f>IF('計算'!$C15="","",IF('計算'!$M15="","",'計算'!$BB15))</f>
        <v/>
      </c>
      <c r="U19" s="52">
        <f>IF('計算'!$C15="","",IF('計算'!$M15="","",'計算'!$BC15))</f>
        <v/>
      </c>
      <c r="V19" s="52">
        <f>IF('計算'!$C15="","",IF('計算'!$M15="","",'計算'!$BD15))</f>
        <v/>
      </c>
      <c r="W19" s="52">
        <f>IF('計算'!$C15="","",IF('計算'!$M15="","",'計算'!$BE15))</f>
        <v/>
      </c>
      <c r="X19" s="52">
        <f>IF('計算'!$C15="","",IF('計算'!$M15="","",'計算'!$BF15))</f>
        <v/>
      </c>
      <c r="Y19" s="52">
        <f>IF('計算'!$C15="","",IF('計算'!$M15="","",'計算'!$BG15))</f>
        <v/>
      </c>
      <c r="Z19" s="52">
        <f>IF('計算'!$C15="","",IF('計算'!$M15="","",'計算'!$BH15))</f>
        <v/>
      </c>
      <c r="AA19" s="52">
        <f>IF('計算'!$C15="","",IF('計算'!$M15="","",'計算'!$BI15))</f>
        <v/>
      </c>
      <c r="AB19" s="52">
        <f>IF('計算'!$C15="","",IF('計算'!$M15="","",'計算'!$BJ15))</f>
        <v/>
      </c>
      <c r="AC19" s="52">
        <f>IF('計算'!$C15="","",IF('計算'!$M15="","",'計算'!$BK15))</f>
        <v/>
      </c>
      <c r="AD19" s="53" t="n"/>
      <c r="AE19" s="48" t="n"/>
      <c r="AF19" s="54">
        <f>IF('計算'!$C15="","",'計算'!$C15)</f>
        <v/>
      </c>
      <c r="AG19" s="54">
        <f>IF('計算'!$C15="","",'計算'!$F15)</f>
        <v/>
      </c>
    </row>
    <row r="20" ht="18" customHeight="1">
      <c r="B20" s="42">
        <f>IF('計算'!$C16="","",'計算'!$B16)</f>
        <v/>
      </c>
      <c r="C20" s="43">
        <f>IF('計算'!$C16="","",'計算'!$D16)</f>
        <v/>
      </c>
      <c r="D20" s="44">
        <f>IF('計算'!$C16="","",'計算'!$O16)</f>
        <v/>
      </c>
      <c r="E20" s="45">
        <f>IF('計算'!$C16="","",'計算'!$L16)</f>
        <v/>
      </c>
      <c r="F20" s="46">
        <f>IF('計算'!$C16="","",'計算'!$CD16)</f>
        <v/>
      </c>
      <c r="G20" s="47">
        <f>IF('計算'!$C16="","",'計算'!$CA16)</f>
        <v/>
      </c>
      <c r="H20" s="43">
        <f>IF('計算'!$C16="","",'計算'!$CP16)</f>
        <v/>
      </c>
      <c r="I20" s="48" t="n"/>
      <c r="J20" s="49" t="n"/>
      <c r="K20" s="50">
        <f>IF('計算'!$C16="","",'計算'!$CR16)</f>
        <v/>
      </c>
      <c r="L20" s="51">
        <f>IF('計算'!$C16="","",'計算'!$CF16)</f>
        <v/>
      </c>
      <c r="M20" s="48" t="n"/>
      <c r="N20" s="49" t="n"/>
      <c r="O20" s="43">
        <f>IF('計算'!$C16="","",'計算'!$CQ16)</f>
        <v/>
      </c>
      <c r="P20" s="52">
        <f>IF('計算'!$C16="","",IF('計算'!$M16="","",'計算'!$AX16))</f>
        <v/>
      </c>
      <c r="Q20" s="52">
        <f>IF('計算'!$C16="","",IF('計算'!$M16="","",'計算'!$AY16))</f>
        <v/>
      </c>
      <c r="R20" s="52">
        <f>IF('計算'!$C16="","",IF('計算'!$M16="","",'計算'!$AZ16))</f>
        <v/>
      </c>
      <c r="S20" s="52">
        <f>IF('計算'!$C16="","",IF('計算'!$M16="","",'計算'!$BA16))</f>
        <v/>
      </c>
      <c r="T20" s="52">
        <f>IF('計算'!$C16="","",IF('計算'!$M16="","",'計算'!$BB16))</f>
        <v/>
      </c>
      <c r="U20" s="52">
        <f>IF('計算'!$C16="","",IF('計算'!$M16="","",'計算'!$BC16))</f>
        <v/>
      </c>
      <c r="V20" s="52">
        <f>IF('計算'!$C16="","",IF('計算'!$M16="","",'計算'!$BD16))</f>
        <v/>
      </c>
      <c r="W20" s="52">
        <f>IF('計算'!$C16="","",IF('計算'!$M16="","",'計算'!$BE16))</f>
        <v/>
      </c>
      <c r="X20" s="52">
        <f>IF('計算'!$C16="","",IF('計算'!$M16="","",'計算'!$BF16))</f>
        <v/>
      </c>
      <c r="Y20" s="52">
        <f>IF('計算'!$C16="","",IF('計算'!$M16="","",'計算'!$BG16))</f>
        <v/>
      </c>
      <c r="Z20" s="52">
        <f>IF('計算'!$C16="","",IF('計算'!$M16="","",'計算'!$BH16))</f>
        <v/>
      </c>
      <c r="AA20" s="52">
        <f>IF('計算'!$C16="","",IF('計算'!$M16="","",'計算'!$BI16))</f>
        <v/>
      </c>
      <c r="AB20" s="52">
        <f>IF('計算'!$C16="","",IF('計算'!$M16="","",'計算'!$BJ16))</f>
        <v/>
      </c>
      <c r="AC20" s="52">
        <f>IF('計算'!$C16="","",IF('計算'!$M16="","",'計算'!$BK16))</f>
        <v/>
      </c>
      <c r="AD20" s="53" t="n"/>
      <c r="AE20" s="48" t="n"/>
      <c r="AF20" s="54">
        <f>IF('計算'!$C16="","",'計算'!$C16)</f>
        <v/>
      </c>
      <c r="AG20" s="54">
        <f>IF('計算'!$C16="","",'計算'!$F16)</f>
        <v/>
      </c>
    </row>
    <row r="21" ht="18" customHeight="1">
      <c r="B21" s="42">
        <f>IF('計算'!$C17="","",'計算'!$B17)</f>
        <v/>
      </c>
      <c r="C21" s="43">
        <f>IF('計算'!$C17="","",'計算'!$D17)</f>
        <v/>
      </c>
      <c r="D21" s="44">
        <f>IF('計算'!$C17="","",'計算'!$O17)</f>
        <v/>
      </c>
      <c r="E21" s="45">
        <f>IF('計算'!$C17="","",'計算'!$L17)</f>
        <v/>
      </c>
      <c r="F21" s="46">
        <f>IF('計算'!$C17="","",'計算'!$CD17)</f>
        <v/>
      </c>
      <c r="G21" s="47">
        <f>IF('計算'!$C17="","",'計算'!$CA17)</f>
        <v/>
      </c>
      <c r="H21" s="43">
        <f>IF('計算'!$C17="","",'計算'!$CP17)</f>
        <v/>
      </c>
      <c r="I21" s="48" t="n"/>
      <c r="J21" s="49" t="n"/>
      <c r="K21" s="50">
        <f>IF('計算'!$C17="","",'計算'!$CR17)</f>
        <v/>
      </c>
      <c r="L21" s="51">
        <f>IF('計算'!$C17="","",'計算'!$CF17)</f>
        <v/>
      </c>
      <c r="M21" s="48" t="n"/>
      <c r="N21" s="49" t="n"/>
      <c r="O21" s="43">
        <f>IF('計算'!$C17="","",'計算'!$CQ17)</f>
        <v/>
      </c>
      <c r="P21" s="52">
        <f>IF('計算'!$C17="","",IF('計算'!$M17="","",'計算'!$AX17))</f>
        <v/>
      </c>
      <c r="Q21" s="52">
        <f>IF('計算'!$C17="","",IF('計算'!$M17="","",'計算'!$AY17))</f>
        <v/>
      </c>
      <c r="R21" s="52">
        <f>IF('計算'!$C17="","",IF('計算'!$M17="","",'計算'!$AZ17))</f>
        <v/>
      </c>
      <c r="S21" s="52">
        <f>IF('計算'!$C17="","",IF('計算'!$M17="","",'計算'!$BA17))</f>
        <v/>
      </c>
      <c r="T21" s="52">
        <f>IF('計算'!$C17="","",IF('計算'!$M17="","",'計算'!$BB17))</f>
        <v/>
      </c>
      <c r="U21" s="52">
        <f>IF('計算'!$C17="","",IF('計算'!$M17="","",'計算'!$BC17))</f>
        <v/>
      </c>
      <c r="V21" s="52">
        <f>IF('計算'!$C17="","",IF('計算'!$M17="","",'計算'!$BD17))</f>
        <v/>
      </c>
      <c r="W21" s="52">
        <f>IF('計算'!$C17="","",IF('計算'!$M17="","",'計算'!$BE17))</f>
        <v/>
      </c>
      <c r="X21" s="52">
        <f>IF('計算'!$C17="","",IF('計算'!$M17="","",'計算'!$BF17))</f>
        <v/>
      </c>
      <c r="Y21" s="52">
        <f>IF('計算'!$C17="","",IF('計算'!$M17="","",'計算'!$BG17))</f>
        <v/>
      </c>
      <c r="Z21" s="52">
        <f>IF('計算'!$C17="","",IF('計算'!$M17="","",'計算'!$BH17))</f>
        <v/>
      </c>
      <c r="AA21" s="52">
        <f>IF('計算'!$C17="","",IF('計算'!$M17="","",'計算'!$BI17))</f>
        <v/>
      </c>
      <c r="AB21" s="52">
        <f>IF('計算'!$C17="","",IF('計算'!$M17="","",'計算'!$BJ17))</f>
        <v/>
      </c>
      <c r="AC21" s="52">
        <f>IF('計算'!$C17="","",IF('計算'!$M17="","",'計算'!$BK17))</f>
        <v/>
      </c>
      <c r="AD21" s="53" t="n"/>
      <c r="AE21" s="48" t="n"/>
      <c r="AF21" s="54">
        <f>IF('計算'!$C17="","",'計算'!$C17)</f>
        <v/>
      </c>
      <c r="AG21" s="54">
        <f>IF('計算'!$C17="","",'計算'!$F17)</f>
        <v/>
      </c>
    </row>
    <row r="22" ht="18" customHeight="1">
      <c r="B22" s="42">
        <f>IF('計算'!$C18="","",'計算'!$B18)</f>
        <v/>
      </c>
      <c r="C22" s="43">
        <f>IF('計算'!$C18="","",'計算'!$D18)</f>
        <v/>
      </c>
      <c r="D22" s="44">
        <f>IF('計算'!$C18="","",'計算'!$O18)</f>
        <v/>
      </c>
      <c r="E22" s="45">
        <f>IF('計算'!$C18="","",'計算'!$L18)</f>
        <v/>
      </c>
      <c r="F22" s="46">
        <f>IF('計算'!$C18="","",'計算'!$CD18)</f>
        <v/>
      </c>
      <c r="G22" s="47">
        <f>IF('計算'!$C18="","",'計算'!$CA18)</f>
        <v/>
      </c>
      <c r="H22" s="43">
        <f>IF('計算'!$C18="","",'計算'!$CP18)</f>
        <v/>
      </c>
      <c r="I22" s="48" t="n"/>
      <c r="J22" s="49" t="n"/>
      <c r="K22" s="50">
        <f>IF('計算'!$C18="","",'計算'!$CR18)</f>
        <v/>
      </c>
      <c r="L22" s="51">
        <f>IF('計算'!$C18="","",'計算'!$CF18)</f>
        <v/>
      </c>
      <c r="M22" s="48" t="n"/>
      <c r="N22" s="49" t="n"/>
      <c r="O22" s="43">
        <f>IF('計算'!$C18="","",'計算'!$CQ18)</f>
        <v/>
      </c>
      <c r="P22" s="52">
        <f>IF('計算'!$C18="","",IF('計算'!$M18="","",'計算'!$AX18))</f>
        <v/>
      </c>
      <c r="Q22" s="52">
        <f>IF('計算'!$C18="","",IF('計算'!$M18="","",'計算'!$AY18))</f>
        <v/>
      </c>
      <c r="R22" s="52">
        <f>IF('計算'!$C18="","",IF('計算'!$M18="","",'計算'!$AZ18))</f>
        <v/>
      </c>
      <c r="S22" s="52">
        <f>IF('計算'!$C18="","",IF('計算'!$M18="","",'計算'!$BA18))</f>
        <v/>
      </c>
      <c r="T22" s="52">
        <f>IF('計算'!$C18="","",IF('計算'!$M18="","",'計算'!$BB18))</f>
        <v/>
      </c>
      <c r="U22" s="52">
        <f>IF('計算'!$C18="","",IF('計算'!$M18="","",'計算'!$BC18))</f>
        <v/>
      </c>
      <c r="V22" s="52">
        <f>IF('計算'!$C18="","",IF('計算'!$M18="","",'計算'!$BD18))</f>
        <v/>
      </c>
      <c r="W22" s="52">
        <f>IF('計算'!$C18="","",IF('計算'!$M18="","",'計算'!$BE18))</f>
        <v/>
      </c>
      <c r="X22" s="52">
        <f>IF('計算'!$C18="","",IF('計算'!$M18="","",'計算'!$BF18))</f>
        <v/>
      </c>
      <c r="Y22" s="52">
        <f>IF('計算'!$C18="","",IF('計算'!$M18="","",'計算'!$BG18))</f>
        <v/>
      </c>
      <c r="Z22" s="52">
        <f>IF('計算'!$C18="","",IF('計算'!$M18="","",'計算'!$BH18))</f>
        <v/>
      </c>
      <c r="AA22" s="52">
        <f>IF('計算'!$C18="","",IF('計算'!$M18="","",'計算'!$BI18))</f>
        <v/>
      </c>
      <c r="AB22" s="52">
        <f>IF('計算'!$C18="","",IF('計算'!$M18="","",'計算'!$BJ18))</f>
        <v/>
      </c>
      <c r="AC22" s="52">
        <f>IF('計算'!$C18="","",IF('計算'!$M18="","",'計算'!$BK18))</f>
        <v/>
      </c>
      <c r="AD22" s="53" t="n"/>
      <c r="AE22" s="48" t="n"/>
      <c r="AF22" s="54">
        <f>IF('計算'!$C18="","",'計算'!$C18)</f>
        <v/>
      </c>
      <c r="AG22" s="54">
        <f>IF('計算'!$C18="","",'計算'!$F18)</f>
        <v/>
      </c>
    </row>
    <row r="23" ht="18" customHeight="1">
      <c r="B23" s="42">
        <f>IF('計算'!$C19="","",'計算'!$B19)</f>
        <v/>
      </c>
      <c r="C23" s="43">
        <f>IF('計算'!$C19="","",'計算'!$D19)</f>
        <v/>
      </c>
      <c r="D23" s="44">
        <f>IF('計算'!$C19="","",'計算'!$O19)</f>
        <v/>
      </c>
      <c r="E23" s="45">
        <f>IF('計算'!$C19="","",'計算'!$L19)</f>
        <v/>
      </c>
      <c r="F23" s="46">
        <f>IF('計算'!$C19="","",'計算'!$CD19)</f>
        <v/>
      </c>
      <c r="G23" s="47">
        <f>IF('計算'!$C19="","",'計算'!$CA19)</f>
        <v/>
      </c>
      <c r="H23" s="43">
        <f>IF('計算'!$C19="","",'計算'!$CP19)</f>
        <v/>
      </c>
      <c r="I23" s="48" t="n"/>
      <c r="J23" s="49" t="n"/>
      <c r="K23" s="50">
        <f>IF('計算'!$C19="","",'計算'!$CR19)</f>
        <v/>
      </c>
      <c r="L23" s="51">
        <f>IF('計算'!$C19="","",'計算'!$CF19)</f>
        <v/>
      </c>
      <c r="M23" s="48" t="n"/>
      <c r="N23" s="49" t="n"/>
      <c r="O23" s="43">
        <f>IF('計算'!$C19="","",'計算'!$CQ19)</f>
        <v/>
      </c>
      <c r="P23" s="52">
        <f>IF('計算'!$C19="","",IF('計算'!$M19="","",'計算'!$AX19))</f>
        <v/>
      </c>
      <c r="Q23" s="52">
        <f>IF('計算'!$C19="","",IF('計算'!$M19="","",'計算'!$AY19))</f>
        <v/>
      </c>
      <c r="R23" s="52">
        <f>IF('計算'!$C19="","",IF('計算'!$M19="","",'計算'!$AZ19))</f>
        <v/>
      </c>
      <c r="S23" s="52">
        <f>IF('計算'!$C19="","",IF('計算'!$M19="","",'計算'!$BA19))</f>
        <v/>
      </c>
      <c r="T23" s="52">
        <f>IF('計算'!$C19="","",IF('計算'!$M19="","",'計算'!$BB19))</f>
        <v/>
      </c>
      <c r="U23" s="52">
        <f>IF('計算'!$C19="","",IF('計算'!$M19="","",'計算'!$BC19))</f>
        <v/>
      </c>
      <c r="V23" s="52">
        <f>IF('計算'!$C19="","",IF('計算'!$M19="","",'計算'!$BD19))</f>
        <v/>
      </c>
      <c r="W23" s="52">
        <f>IF('計算'!$C19="","",IF('計算'!$M19="","",'計算'!$BE19))</f>
        <v/>
      </c>
      <c r="X23" s="52">
        <f>IF('計算'!$C19="","",IF('計算'!$M19="","",'計算'!$BF19))</f>
        <v/>
      </c>
      <c r="Y23" s="52">
        <f>IF('計算'!$C19="","",IF('計算'!$M19="","",'計算'!$BG19))</f>
        <v/>
      </c>
      <c r="Z23" s="52">
        <f>IF('計算'!$C19="","",IF('計算'!$M19="","",'計算'!$BH19))</f>
        <v/>
      </c>
      <c r="AA23" s="52">
        <f>IF('計算'!$C19="","",IF('計算'!$M19="","",'計算'!$BI19))</f>
        <v/>
      </c>
      <c r="AB23" s="52">
        <f>IF('計算'!$C19="","",IF('計算'!$M19="","",'計算'!$BJ19))</f>
        <v/>
      </c>
      <c r="AC23" s="52">
        <f>IF('計算'!$C19="","",IF('計算'!$M19="","",'計算'!$BK19))</f>
        <v/>
      </c>
      <c r="AD23" s="53" t="n"/>
      <c r="AE23" s="48" t="n"/>
      <c r="AF23" s="54">
        <f>IF('計算'!$C19="","",'計算'!$C19)</f>
        <v/>
      </c>
      <c r="AG23" s="54">
        <f>IF('計算'!$C19="","",'計算'!$F19)</f>
        <v/>
      </c>
    </row>
    <row r="24" ht="18" customHeight="1">
      <c r="B24" s="42">
        <f>IF('計算'!$C20="","",'計算'!$B20)</f>
        <v/>
      </c>
      <c r="C24" s="43">
        <f>IF('計算'!$C20="","",'計算'!$D20)</f>
        <v/>
      </c>
      <c r="D24" s="44">
        <f>IF('計算'!$C20="","",'計算'!$O20)</f>
        <v/>
      </c>
      <c r="E24" s="45">
        <f>IF('計算'!$C20="","",'計算'!$L20)</f>
        <v/>
      </c>
      <c r="F24" s="46">
        <f>IF('計算'!$C20="","",'計算'!$CD20)</f>
        <v/>
      </c>
      <c r="G24" s="47">
        <f>IF('計算'!$C20="","",'計算'!$CA20)</f>
        <v/>
      </c>
      <c r="H24" s="43">
        <f>IF('計算'!$C20="","",'計算'!$CP20)</f>
        <v/>
      </c>
      <c r="I24" s="48" t="n"/>
      <c r="J24" s="49" t="n"/>
      <c r="K24" s="50">
        <f>IF('計算'!$C20="","",'計算'!$CR20)</f>
        <v/>
      </c>
      <c r="L24" s="51">
        <f>IF('計算'!$C20="","",'計算'!$CF20)</f>
        <v/>
      </c>
      <c r="M24" s="48" t="n"/>
      <c r="N24" s="49" t="n"/>
      <c r="O24" s="43">
        <f>IF('計算'!$C20="","",'計算'!$CQ20)</f>
        <v/>
      </c>
      <c r="P24" s="52">
        <f>IF('計算'!$C20="","",IF('計算'!$M20="","",'計算'!$AX20))</f>
        <v/>
      </c>
      <c r="Q24" s="52">
        <f>IF('計算'!$C20="","",IF('計算'!$M20="","",'計算'!$AY20))</f>
        <v/>
      </c>
      <c r="R24" s="52">
        <f>IF('計算'!$C20="","",IF('計算'!$M20="","",'計算'!$AZ20))</f>
        <v/>
      </c>
      <c r="S24" s="52">
        <f>IF('計算'!$C20="","",IF('計算'!$M20="","",'計算'!$BA20))</f>
        <v/>
      </c>
      <c r="T24" s="52">
        <f>IF('計算'!$C20="","",IF('計算'!$M20="","",'計算'!$BB20))</f>
        <v/>
      </c>
      <c r="U24" s="52">
        <f>IF('計算'!$C20="","",IF('計算'!$M20="","",'計算'!$BC20))</f>
        <v/>
      </c>
      <c r="V24" s="52">
        <f>IF('計算'!$C20="","",IF('計算'!$M20="","",'計算'!$BD20))</f>
        <v/>
      </c>
      <c r="W24" s="52">
        <f>IF('計算'!$C20="","",IF('計算'!$M20="","",'計算'!$BE20))</f>
        <v/>
      </c>
      <c r="X24" s="52">
        <f>IF('計算'!$C20="","",IF('計算'!$M20="","",'計算'!$BF20))</f>
        <v/>
      </c>
      <c r="Y24" s="52">
        <f>IF('計算'!$C20="","",IF('計算'!$M20="","",'計算'!$BG20))</f>
        <v/>
      </c>
      <c r="Z24" s="52">
        <f>IF('計算'!$C20="","",IF('計算'!$M20="","",'計算'!$BH20))</f>
        <v/>
      </c>
      <c r="AA24" s="52">
        <f>IF('計算'!$C20="","",IF('計算'!$M20="","",'計算'!$BI20))</f>
        <v/>
      </c>
      <c r="AB24" s="52">
        <f>IF('計算'!$C20="","",IF('計算'!$M20="","",'計算'!$BJ20))</f>
        <v/>
      </c>
      <c r="AC24" s="52">
        <f>IF('計算'!$C20="","",IF('計算'!$M20="","",'計算'!$BK20))</f>
        <v/>
      </c>
      <c r="AD24" s="53" t="n"/>
      <c r="AE24" s="48" t="n"/>
      <c r="AF24" s="54">
        <f>IF('計算'!$C20="","",'計算'!$C20)</f>
        <v/>
      </c>
      <c r="AG24" s="54">
        <f>IF('計算'!$C20="","",'計算'!$F20)</f>
        <v/>
      </c>
    </row>
    <row r="25" ht="18" customHeight="1">
      <c r="B25" s="42">
        <f>IF('計算'!$C21="","",'計算'!$B21)</f>
        <v/>
      </c>
      <c r="C25" s="43">
        <f>IF('計算'!$C21="","",'計算'!$D21)</f>
        <v/>
      </c>
      <c r="D25" s="44">
        <f>IF('計算'!$C21="","",'計算'!$O21)</f>
        <v/>
      </c>
      <c r="E25" s="45">
        <f>IF('計算'!$C21="","",'計算'!$L21)</f>
        <v/>
      </c>
      <c r="F25" s="46">
        <f>IF('計算'!$C21="","",'計算'!$CD21)</f>
        <v/>
      </c>
      <c r="G25" s="47">
        <f>IF('計算'!$C21="","",'計算'!$CA21)</f>
        <v/>
      </c>
      <c r="H25" s="43">
        <f>IF('計算'!$C21="","",'計算'!$CP21)</f>
        <v/>
      </c>
      <c r="I25" s="48" t="n"/>
      <c r="J25" s="49" t="n"/>
      <c r="K25" s="50">
        <f>IF('計算'!$C21="","",'計算'!$CR21)</f>
        <v/>
      </c>
      <c r="L25" s="51">
        <f>IF('計算'!$C21="","",'計算'!$CF21)</f>
        <v/>
      </c>
      <c r="M25" s="48" t="n"/>
      <c r="N25" s="49" t="n"/>
      <c r="O25" s="43">
        <f>IF('計算'!$C21="","",'計算'!$CQ21)</f>
        <v/>
      </c>
      <c r="P25" s="52">
        <f>IF('計算'!$C21="","",IF('計算'!$M21="","",'計算'!$AX21))</f>
        <v/>
      </c>
      <c r="Q25" s="52">
        <f>IF('計算'!$C21="","",IF('計算'!$M21="","",'計算'!$AY21))</f>
        <v/>
      </c>
      <c r="R25" s="52">
        <f>IF('計算'!$C21="","",IF('計算'!$M21="","",'計算'!$AZ21))</f>
        <v/>
      </c>
      <c r="S25" s="52">
        <f>IF('計算'!$C21="","",IF('計算'!$M21="","",'計算'!$BA21))</f>
        <v/>
      </c>
      <c r="T25" s="52">
        <f>IF('計算'!$C21="","",IF('計算'!$M21="","",'計算'!$BB21))</f>
        <v/>
      </c>
      <c r="U25" s="52">
        <f>IF('計算'!$C21="","",IF('計算'!$M21="","",'計算'!$BC21))</f>
        <v/>
      </c>
      <c r="V25" s="52">
        <f>IF('計算'!$C21="","",IF('計算'!$M21="","",'計算'!$BD21))</f>
        <v/>
      </c>
      <c r="W25" s="52">
        <f>IF('計算'!$C21="","",IF('計算'!$M21="","",'計算'!$BE21))</f>
        <v/>
      </c>
      <c r="X25" s="52">
        <f>IF('計算'!$C21="","",IF('計算'!$M21="","",'計算'!$BF21))</f>
        <v/>
      </c>
      <c r="Y25" s="52">
        <f>IF('計算'!$C21="","",IF('計算'!$M21="","",'計算'!$BG21))</f>
        <v/>
      </c>
      <c r="Z25" s="52">
        <f>IF('計算'!$C21="","",IF('計算'!$M21="","",'計算'!$BH21))</f>
        <v/>
      </c>
      <c r="AA25" s="52">
        <f>IF('計算'!$C21="","",IF('計算'!$M21="","",'計算'!$BI21))</f>
        <v/>
      </c>
      <c r="AB25" s="52">
        <f>IF('計算'!$C21="","",IF('計算'!$M21="","",'計算'!$BJ21))</f>
        <v/>
      </c>
      <c r="AC25" s="52">
        <f>IF('計算'!$C21="","",IF('計算'!$M21="","",'計算'!$BK21))</f>
        <v/>
      </c>
      <c r="AD25" s="53" t="n"/>
      <c r="AE25" s="48" t="n"/>
      <c r="AF25" s="54">
        <f>IF('計算'!$C21="","",'計算'!$C21)</f>
        <v/>
      </c>
      <c r="AG25" s="54">
        <f>IF('計算'!$C21="","",'計算'!$F21)</f>
        <v/>
      </c>
    </row>
    <row r="26" ht="18" customHeight="1">
      <c r="B26" s="42">
        <f>IF('計算'!$C22="","",'計算'!$B22)</f>
        <v/>
      </c>
      <c r="C26" s="43">
        <f>IF('計算'!$C22="","",'計算'!$D22)</f>
        <v/>
      </c>
      <c r="D26" s="44">
        <f>IF('計算'!$C22="","",'計算'!$O22)</f>
        <v/>
      </c>
      <c r="E26" s="45">
        <f>IF('計算'!$C22="","",'計算'!$L22)</f>
        <v/>
      </c>
      <c r="F26" s="46">
        <f>IF('計算'!$C22="","",'計算'!$CD22)</f>
        <v/>
      </c>
      <c r="G26" s="47">
        <f>IF('計算'!$C22="","",'計算'!$CA22)</f>
        <v/>
      </c>
      <c r="H26" s="43">
        <f>IF('計算'!$C22="","",'計算'!$CP22)</f>
        <v/>
      </c>
      <c r="I26" s="48" t="n"/>
      <c r="J26" s="49" t="n"/>
      <c r="K26" s="50">
        <f>IF('計算'!$C22="","",'計算'!$CR22)</f>
        <v/>
      </c>
      <c r="L26" s="51">
        <f>IF('計算'!$C22="","",'計算'!$CF22)</f>
        <v/>
      </c>
      <c r="M26" s="48" t="n"/>
      <c r="N26" s="49" t="n"/>
      <c r="O26" s="43">
        <f>IF('計算'!$C22="","",'計算'!$CQ22)</f>
        <v/>
      </c>
      <c r="P26" s="52">
        <f>IF('計算'!$C22="","",IF('計算'!$M22="","",'計算'!$AX22))</f>
        <v/>
      </c>
      <c r="Q26" s="52">
        <f>IF('計算'!$C22="","",IF('計算'!$M22="","",'計算'!$AY22))</f>
        <v/>
      </c>
      <c r="R26" s="52">
        <f>IF('計算'!$C22="","",IF('計算'!$M22="","",'計算'!$AZ22))</f>
        <v/>
      </c>
      <c r="S26" s="52">
        <f>IF('計算'!$C22="","",IF('計算'!$M22="","",'計算'!$BA22))</f>
        <v/>
      </c>
      <c r="T26" s="52">
        <f>IF('計算'!$C22="","",IF('計算'!$M22="","",'計算'!$BB22))</f>
        <v/>
      </c>
      <c r="U26" s="52">
        <f>IF('計算'!$C22="","",IF('計算'!$M22="","",'計算'!$BC22))</f>
        <v/>
      </c>
      <c r="V26" s="52">
        <f>IF('計算'!$C22="","",IF('計算'!$M22="","",'計算'!$BD22))</f>
        <v/>
      </c>
      <c r="W26" s="52">
        <f>IF('計算'!$C22="","",IF('計算'!$M22="","",'計算'!$BE22))</f>
        <v/>
      </c>
      <c r="X26" s="52">
        <f>IF('計算'!$C22="","",IF('計算'!$M22="","",'計算'!$BF22))</f>
        <v/>
      </c>
      <c r="Y26" s="52">
        <f>IF('計算'!$C22="","",IF('計算'!$M22="","",'計算'!$BG22))</f>
        <v/>
      </c>
      <c r="Z26" s="52">
        <f>IF('計算'!$C22="","",IF('計算'!$M22="","",'計算'!$BH22))</f>
        <v/>
      </c>
      <c r="AA26" s="52">
        <f>IF('計算'!$C22="","",IF('計算'!$M22="","",'計算'!$BI22))</f>
        <v/>
      </c>
      <c r="AB26" s="52">
        <f>IF('計算'!$C22="","",IF('計算'!$M22="","",'計算'!$BJ22))</f>
        <v/>
      </c>
      <c r="AC26" s="52">
        <f>IF('計算'!$C22="","",IF('計算'!$M22="","",'計算'!$BK22))</f>
        <v/>
      </c>
      <c r="AD26" s="53" t="n"/>
      <c r="AE26" s="48" t="n"/>
      <c r="AF26" s="54">
        <f>IF('計算'!$C22="","",'計算'!$C22)</f>
        <v/>
      </c>
      <c r="AG26" s="54">
        <f>IF('計算'!$C22="","",'計算'!$F22)</f>
        <v/>
      </c>
    </row>
    <row r="27" ht="18" customHeight="1">
      <c r="B27" s="42">
        <f>IF('計算'!$C23="","",'計算'!$B23)</f>
        <v/>
      </c>
      <c r="C27" s="43">
        <f>IF('計算'!$C23="","",'計算'!$D23)</f>
        <v/>
      </c>
      <c r="D27" s="44">
        <f>IF('計算'!$C23="","",'計算'!$O23)</f>
        <v/>
      </c>
      <c r="E27" s="45">
        <f>IF('計算'!$C23="","",'計算'!$L23)</f>
        <v/>
      </c>
      <c r="F27" s="46">
        <f>IF('計算'!$C23="","",'計算'!$CD23)</f>
        <v/>
      </c>
      <c r="G27" s="47">
        <f>IF('計算'!$C23="","",'計算'!$CA23)</f>
        <v/>
      </c>
      <c r="H27" s="43">
        <f>IF('計算'!$C23="","",'計算'!$CP23)</f>
        <v/>
      </c>
      <c r="I27" s="48" t="n"/>
      <c r="J27" s="49" t="n"/>
      <c r="K27" s="50">
        <f>IF('計算'!$C23="","",'計算'!$CR23)</f>
        <v/>
      </c>
      <c r="L27" s="51">
        <f>IF('計算'!$C23="","",'計算'!$CF23)</f>
        <v/>
      </c>
      <c r="M27" s="48" t="n"/>
      <c r="N27" s="49" t="n"/>
      <c r="O27" s="43">
        <f>IF('計算'!$C23="","",'計算'!$CQ23)</f>
        <v/>
      </c>
      <c r="P27" s="52">
        <f>IF('計算'!$C23="","",IF('計算'!$M23="","",'計算'!$AX23))</f>
        <v/>
      </c>
      <c r="Q27" s="52">
        <f>IF('計算'!$C23="","",IF('計算'!$M23="","",'計算'!$AY23))</f>
        <v/>
      </c>
      <c r="R27" s="52">
        <f>IF('計算'!$C23="","",IF('計算'!$M23="","",'計算'!$AZ23))</f>
        <v/>
      </c>
      <c r="S27" s="52">
        <f>IF('計算'!$C23="","",IF('計算'!$M23="","",'計算'!$BA23))</f>
        <v/>
      </c>
      <c r="T27" s="52">
        <f>IF('計算'!$C23="","",IF('計算'!$M23="","",'計算'!$BB23))</f>
        <v/>
      </c>
      <c r="U27" s="52">
        <f>IF('計算'!$C23="","",IF('計算'!$M23="","",'計算'!$BC23))</f>
        <v/>
      </c>
      <c r="V27" s="52">
        <f>IF('計算'!$C23="","",IF('計算'!$M23="","",'計算'!$BD23))</f>
        <v/>
      </c>
      <c r="W27" s="52">
        <f>IF('計算'!$C23="","",IF('計算'!$M23="","",'計算'!$BE23))</f>
        <v/>
      </c>
      <c r="X27" s="52">
        <f>IF('計算'!$C23="","",IF('計算'!$M23="","",'計算'!$BF23))</f>
        <v/>
      </c>
      <c r="Y27" s="52">
        <f>IF('計算'!$C23="","",IF('計算'!$M23="","",'計算'!$BG23))</f>
        <v/>
      </c>
      <c r="Z27" s="52">
        <f>IF('計算'!$C23="","",IF('計算'!$M23="","",'計算'!$BH23))</f>
        <v/>
      </c>
      <c r="AA27" s="52">
        <f>IF('計算'!$C23="","",IF('計算'!$M23="","",'計算'!$BI23))</f>
        <v/>
      </c>
      <c r="AB27" s="52">
        <f>IF('計算'!$C23="","",IF('計算'!$M23="","",'計算'!$BJ23))</f>
        <v/>
      </c>
      <c r="AC27" s="52">
        <f>IF('計算'!$C23="","",IF('計算'!$M23="","",'計算'!$BK23))</f>
        <v/>
      </c>
      <c r="AD27" s="53" t="n"/>
      <c r="AE27" s="48" t="n"/>
      <c r="AF27" s="54">
        <f>IF('計算'!$C23="","",'計算'!$C23)</f>
        <v/>
      </c>
      <c r="AG27" s="54">
        <f>IF('計算'!$C23="","",'計算'!$F23)</f>
        <v/>
      </c>
    </row>
    <row r="28" ht="18" customHeight="1">
      <c r="B28" s="42">
        <f>IF('計算'!$C24="","",'計算'!$B24)</f>
        <v/>
      </c>
      <c r="C28" s="43">
        <f>IF('計算'!$C24="","",'計算'!$D24)</f>
        <v/>
      </c>
      <c r="D28" s="44">
        <f>IF('計算'!$C24="","",'計算'!$O24)</f>
        <v/>
      </c>
      <c r="E28" s="45">
        <f>IF('計算'!$C24="","",'計算'!$L24)</f>
        <v/>
      </c>
      <c r="F28" s="46">
        <f>IF('計算'!$C24="","",'計算'!$CD24)</f>
        <v/>
      </c>
      <c r="G28" s="47">
        <f>IF('計算'!$C24="","",'計算'!$CA24)</f>
        <v/>
      </c>
      <c r="H28" s="43">
        <f>IF('計算'!$C24="","",'計算'!$CP24)</f>
        <v/>
      </c>
      <c r="I28" s="48" t="n"/>
      <c r="J28" s="49" t="n"/>
      <c r="K28" s="50">
        <f>IF('計算'!$C24="","",'計算'!$CR24)</f>
        <v/>
      </c>
      <c r="L28" s="51">
        <f>IF('計算'!$C24="","",'計算'!$CF24)</f>
        <v/>
      </c>
      <c r="M28" s="48" t="n"/>
      <c r="N28" s="49" t="n"/>
      <c r="O28" s="43">
        <f>IF('計算'!$C24="","",'計算'!$CQ24)</f>
        <v/>
      </c>
      <c r="P28" s="52">
        <f>IF('計算'!$C24="","",IF('計算'!$M24="","",'計算'!$AX24))</f>
        <v/>
      </c>
      <c r="Q28" s="52">
        <f>IF('計算'!$C24="","",IF('計算'!$M24="","",'計算'!$AY24))</f>
        <v/>
      </c>
      <c r="R28" s="52">
        <f>IF('計算'!$C24="","",IF('計算'!$M24="","",'計算'!$AZ24))</f>
        <v/>
      </c>
      <c r="S28" s="52">
        <f>IF('計算'!$C24="","",IF('計算'!$M24="","",'計算'!$BA24))</f>
        <v/>
      </c>
      <c r="T28" s="52">
        <f>IF('計算'!$C24="","",IF('計算'!$M24="","",'計算'!$BB24))</f>
        <v/>
      </c>
      <c r="U28" s="52">
        <f>IF('計算'!$C24="","",IF('計算'!$M24="","",'計算'!$BC24))</f>
        <v/>
      </c>
      <c r="V28" s="52">
        <f>IF('計算'!$C24="","",IF('計算'!$M24="","",'計算'!$BD24))</f>
        <v/>
      </c>
      <c r="W28" s="52">
        <f>IF('計算'!$C24="","",IF('計算'!$M24="","",'計算'!$BE24))</f>
        <v/>
      </c>
      <c r="X28" s="52">
        <f>IF('計算'!$C24="","",IF('計算'!$M24="","",'計算'!$BF24))</f>
        <v/>
      </c>
      <c r="Y28" s="52">
        <f>IF('計算'!$C24="","",IF('計算'!$M24="","",'計算'!$BG24))</f>
        <v/>
      </c>
      <c r="Z28" s="52">
        <f>IF('計算'!$C24="","",IF('計算'!$M24="","",'計算'!$BH24))</f>
        <v/>
      </c>
      <c r="AA28" s="52">
        <f>IF('計算'!$C24="","",IF('計算'!$M24="","",'計算'!$BI24))</f>
        <v/>
      </c>
      <c r="AB28" s="52">
        <f>IF('計算'!$C24="","",IF('計算'!$M24="","",'計算'!$BJ24))</f>
        <v/>
      </c>
      <c r="AC28" s="52">
        <f>IF('計算'!$C24="","",IF('計算'!$M24="","",'計算'!$BK24))</f>
        <v/>
      </c>
      <c r="AD28" s="53" t="n"/>
      <c r="AE28" s="48" t="n"/>
      <c r="AF28" s="54">
        <f>IF('計算'!$C24="","",'計算'!$C24)</f>
        <v/>
      </c>
      <c r="AG28" s="54">
        <f>IF('計算'!$C24="","",'計算'!$F24)</f>
        <v/>
      </c>
    </row>
    <row r="29" ht="18" customHeight="1">
      <c r="B29" s="42">
        <f>IF('計算'!$C25="","",'計算'!$B25)</f>
        <v/>
      </c>
      <c r="C29" s="43">
        <f>IF('計算'!$C25="","",'計算'!$D25)</f>
        <v/>
      </c>
      <c r="D29" s="44">
        <f>IF('計算'!$C25="","",'計算'!$O25)</f>
        <v/>
      </c>
      <c r="E29" s="45">
        <f>IF('計算'!$C25="","",'計算'!$L25)</f>
        <v/>
      </c>
      <c r="F29" s="46">
        <f>IF('計算'!$C25="","",'計算'!$CD25)</f>
        <v/>
      </c>
      <c r="G29" s="47">
        <f>IF('計算'!$C25="","",'計算'!$CA25)</f>
        <v/>
      </c>
      <c r="H29" s="43">
        <f>IF('計算'!$C25="","",'計算'!$CP25)</f>
        <v/>
      </c>
      <c r="I29" s="48" t="n"/>
      <c r="J29" s="49" t="n"/>
      <c r="K29" s="50">
        <f>IF('計算'!$C25="","",'計算'!$CR25)</f>
        <v/>
      </c>
      <c r="L29" s="51">
        <f>IF('計算'!$C25="","",'計算'!$CF25)</f>
        <v/>
      </c>
      <c r="M29" s="48" t="n"/>
      <c r="N29" s="49" t="n"/>
      <c r="O29" s="43">
        <f>IF('計算'!$C25="","",'計算'!$CQ25)</f>
        <v/>
      </c>
      <c r="P29" s="52">
        <f>IF('計算'!$C25="","",IF('計算'!$M25="","",'計算'!$AX25))</f>
        <v/>
      </c>
      <c r="Q29" s="52">
        <f>IF('計算'!$C25="","",IF('計算'!$M25="","",'計算'!$AY25))</f>
        <v/>
      </c>
      <c r="R29" s="52">
        <f>IF('計算'!$C25="","",IF('計算'!$M25="","",'計算'!$AZ25))</f>
        <v/>
      </c>
      <c r="S29" s="52">
        <f>IF('計算'!$C25="","",IF('計算'!$M25="","",'計算'!$BA25))</f>
        <v/>
      </c>
      <c r="T29" s="52">
        <f>IF('計算'!$C25="","",IF('計算'!$M25="","",'計算'!$BB25))</f>
        <v/>
      </c>
      <c r="U29" s="52">
        <f>IF('計算'!$C25="","",IF('計算'!$M25="","",'計算'!$BC25))</f>
        <v/>
      </c>
      <c r="V29" s="52">
        <f>IF('計算'!$C25="","",IF('計算'!$M25="","",'計算'!$BD25))</f>
        <v/>
      </c>
      <c r="W29" s="52">
        <f>IF('計算'!$C25="","",IF('計算'!$M25="","",'計算'!$BE25))</f>
        <v/>
      </c>
      <c r="X29" s="52">
        <f>IF('計算'!$C25="","",IF('計算'!$M25="","",'計算'!$BF25))</f>
        <v/>
      </c>
      <c r="Y29" s="52">
        <f>IF('計算'!$C25="","",IF('計算'!$M25="","",'計算'!$BG25))</f>
        <v/>
      </c>
      <c r="Z29" s="52">
        <f>IF('計算'!$C25="","",IF('計算'!$M25="","",'計算'!$BH25))</f>
        <v/>
      </c>
      <c r="AA29" s="52">
        <f>IF('計算'!$C25="","",IF('計算'!$M25="","",'計算'!$BI25))</f>
        <v/>
      </c>
      <c r="AB29" s="52">
        <f>IF('計算'!$C25="","",IF('計算'!$M25="","",'計算'!$BJ25))</f>
        <v/>
      </c>
      <c r="AC29" s="52">
        <f>IF('計算'!$C25="","",IF('計算'!$M25="","",'計算'!$BK25))</f>
        <v/>
      </c>
      <c r="AD29" s="53" t="n"/>
      <c r="AE29" s="48" t="n"/>
      <c r="AF29" s="54">
        <f>IF('計算'!$C25="","",'計算'!$C25)</f>
        <v/>
      </c>
      <c r="AG29" s="54">
        <f>IF('計算'!$C25="","",'計算'!$F25)</f>
        <v/>
      </c>
    </row>
    <row r="30" ht="18" customHeight="1">
      <c r="B30" s="42">
        <f>IF('計算'!$C26="","",'計算'!$B26)</f>
        <v/>
      </c>
      <c r="C30" s="43">
        <f>IF('計算'!$C26="","",'計算'!$D26)</f>
        <v/>
      </c>
      <c r="D30" s="44">
        <f>IF('計算'!$C26="","",'計算'!$O26)</f>
        <v/>
      </c>
      <c r="E30" s="45">
        <f>IF('計算'!$C26="","",'計算'!$L26)</f>
        <v/>
      </c>
      <c r="F30" s="46">
        <f>IF('計算'!$C26="","",'計算'!$CD26)</f>
        <v/>
      </c>
      <c r="G30" s="47">
        <f>IF('計算'!$C26="","",'計算'!$CA26)</f>
        <v/>
      </c>
      <c r="H30" s="43">
        <f>IF('計算'!$C26="","",'計算'!$CP26)</f>
        <v/>
      </c>
      <c r="I30" s="48" t="n"/>
      <c r="J30" s="49" t="n"/>
      <c r="K30" s="50">
        <f>IF('計算'!$C26="","",'計算'!$CR26)</f>
        <v/>
      </c>
      <c r="L30" s="51">
        <f>IF('計算'!$C26="","",'計算'!$CF26)</f>
        <v/>
      </c>
      <c r="M30" s="48" t="n"/>
      <c r="N30" s="49" t="n"/>
      <c r="O30" s="43">
        <f>IF('計算'!$C26="","",'計算'!$CQ26)</f>
        <v/>
      </c>
      <c r="P30" s="52">
        <f>IF('計算'!$C26="","",IF('計算'!$M26="","",'計算'!$AX26))</f>
        <v/>
      </c>
      <c r="Q30" s="52">
        <f>IF('計算'!$C26="","",IF('計算'!$M26="","",'計算'!$AY26))</f>
        <v/>
      </c>
      <c r="R30" s="52">
        <f>IF('計算'!$C26="","",IF('計算'!$M26="","",'計算'!$AZ26))</f>
        <v/>
      </c>
      <c r="S30" s="52">
        <f>IF('計算'!$C26="","",IF('計算'!$M26="","",'計算'!$BA26))</f>
        <v/>
      </c>
      <c r="T30" s="52">
        <f>IF('計算'!$C26="","",IF('計算'!$M26="","",'計算'!$BB26))</f>
        <v/>
      </c>
      <c r="U30" s="52">
        <f>IF('計算'!$C26="","",IF('計算'!$M26="","",'計算'!$BC26))</f>
        <v/>
      </c>
      <c r="V30" s="52">
        <f>IF('計算'!$C26="","",IF('計算'!$M26="","",'計算'!$BD26))</f>
        <v/>
      </c>
      <c r="W30" s="52">
        <f>IF('計算'!$C26="","",IF('計算'!$M26="","",'計算'!$BE26))</f>
        <v/>
      </c>
      <c r="X30" s="52">
        <f>IF('計算'!$C26="","",IF('計算'!$M26="","",'計算'!$BF26))</f>
        <v/>
      </c>
      <c r="Y30" s="52">
        <f>IF('計算'!$C26="","",IF('計算'!$M26="","",'計算'!$BG26))</f>
        <v/>
      </c>
      <c r="Z30" s="52">
        <f>IF('計算'!$C26="","",IF('計算'!$M26="","",'計算'!$BH26))</f>
        <v/>
      </c>
      <c r="AA30" s="52">
        <f>IF('計算'!$C26="","",IF('計算'!$M26="","",'計算'!$BI26))</f>
        <v/>
      </c>
      <c r="AB30" s="52">
        <f>IF('計算'!$C26="","",IF('計算'!$M26="","",'計算'!$BJ26))</f>
        <v/>
      </c>
      <c r="AC30" s="52">
        <f>IF('計算'!$C26="","",IF('計算'!$M26="","",'計算'!$BK26))</f>
        <v/>
      </c>
      <c r="AD30" s="53" t="n"/>
      <c r="AE30" s="48" t="n"/>
      <c r="AF30" s="54">
        <f>IF('計算'!$C26="","",'計算'!$C26)</f>
        <v/>
      </c>
      <c r="AG30" s="54">
        <f>IF('計算'!$C26="","",'計算'!$F26)</f>
        <v/>
      </c>
    </row>
    <row r="31" ht="18" customHeight="1">
      <c r="B31" s="42">
        <f>IF('計算'!$C27="","",'計算'!$B27)</f>
        <v/>
      </c>
      <c r="C31" s="43">
        <f>IF('計算'!$C27="","",'計算'!$D27)</f>
        <v/>
      </c>
      <c r="D31" s="44">
        <f>IF('計算'!$C27="","",'計算'!$O27)</f>
        <v/>
      </c>
      <c r="E31" s="45">
        <f>IF('計算'!$C27="","",'計算'!$L27)</f>
        <v/>
      </c>
      <c r="F31" s="46">
        <f>IF('計算'!$C27="","",'計算'!$CD27)</f>
        <v/>
      </c>
      <c r="G31" s="47">
        <f>IF('計算'!$C27="","",'計算'!$CA27)</f>
        <v/>
      </c>
      <c r="H31" s="43">
        <f>IF('計算'!$C27="","",'計算'!$CP27)</f>
        <v/>
      </c>
      <c r="I31" s="48" t="n"/>
      <c r="J31" s="49" t="n"/>
      <c r="K31" s="50">
        <f>IF('計算'!$C27="","",'計算'!$CR27)</f>
        <v/>
      </c>
      <c r="L31" s="51">
        <f>IF('計算'!$C27="","",'計算'!$CF27)</f>
        <v/>
      </c>
      <c r="M31" s="48" t="n"/>
      <c r="N31" s="49" t="n"/>
      <c r="O31" s="43">
        <f>IF('計算'!$C27="","",'計算'!$CQ27)</f>
        <v/>
      </c>
      <c r="P31" s="52">
        <f>IF('計算'!$C27="","",IF('計算'!$M27="","",'計算'!$AX27))</f>
        <v/>
      </c>
      <c r="Q31" s="52">
        <f>IF('計算'!$C27="","",IF('計算'!$M27="","",'計算'!$AY27))</f>
        <v/>
      </c>
      <c r="R31" s="52">
        <f>IF('計算'!$C27="","",IF('計算'!$M27="","",'計算'!$AZ27))</f>
        <v/>
      </c>
      <c r="S31" s="52">
        <f>IF('計算'!$C27="","",IF('計算'!$M27="","",'計算'!$BA27))</f>
        <v/>
      </c>
      <c r="T31" s="52">
        <f>IF('計算'!$C27="","",IF('計算'!$M27="","",'計算'!$BB27))</f>
        <v/>
      </c>
      <c r="U31" s="52">
        <f>IF('計算'!$C27="","",IF('計算'!$M27="","",'計算'!$BC27))</f>
        <v/>
      </c>
      <c r="V31" s="52">
        <f>IF('計算'!$C27="","",IF('計算'!$M27="","",'計算'!$BD27))</f>
        <v/>
      </c>
      <c r="W31" s="52">
        <f>IF('計算'!$C27="","",IF('計算'!$M27="","",'計算'!$BE27))</f>
        <v/>
      </c>
      <c r="X31" s="52">
        <f>IF('計算'!$C27="","",IF('計算'!$M27="","",'計算'!$BF27))</f>
        <v/>
      </c>
      <c r="Y31" s="52">
        <f>IF('計算'!$C27="","",IF('計算'!$M27="","",'計算'!$BG27))</f>
        <v/>
      </c>
      <c r="Z31" s="52">
        <f>IF('計算'!$C27="","",IF('計算'!$M27="","",'計算'!$BH27))</f>
        <v/>
      </c>
      <c r="AA31" s="52">
        <f>IF('計算'!$C27="","",IF('計算'!$M27="","",'計算'!$BI27))</f>
        <v/>
      </c>
      <c r="AB31" s="52">
        <f>IF('計算'!$C27="","",IF('計算'!$M27="","",'計算'!$BJ27))</f>
        <v/>
      </c>
      <c r="AC31" s="52">
        <f>IF('計算'!$C27="","",IF('計算'!$M27="","",'計算'!$BK27))</f>
        <v/>
      </c>
      <c r="AD31" s="53" t="n"/>
      <c r="AE31" s="48" t="n"/>
      <c r="AF31" s="54">
        <f>IF('計算'!$C27="","",'計算'!$C27)</f>
        <v/>
      </c>
      <c r="AG31" s="54">
        <f>IF('計算'!$C27="","",'計算'!$F27)</f>
        <v/>
      </c>
    </row>
    <row r="32" ht="18" customHeight="1">
      <c r="B32" s="42">
        <f>IF('計算'!$C28="","",'計算'!$B28)</f>
        <v/>
      </c>
      <c r="C32" s="43">
        <f>IF('計算'!$C28="","",'計算'!$D28)</f>
        <v/>
      </c>
      <c r="D32" s="44">
        <f>IF('計算'!$C28="","",'計算'!$O28)</f>
        <v/>
      </c>
      <c r="E32" s="45">
        <f>IF('計算'!$C28="","",'計算'!$L28)</f>
        <v/>
      </c>
      <c r="F32" s="46">
        <f>IF('計算'!$C28="","",'計算'!$CD28)</f>
        <v/>
      </c>
      <c r="G32" s="47">
        <f>IF('計算'!$C28="","",'計算'!$CA28)</f>
        <v/>
      </c>
      <c r="H32" s="43">
        <f>IF('計算'!$C28="","",'計算'!$CP28)</f>
        <v/>
      </c>
      <c r="I32" s="48" t="n"/>
      <c r="J32" s="49" t="n"/>
      <c r="K32" s="50">
        <f>IF('計算'!$C28="","",'計算'!$CR28)</f>
        <v/>
      </c>
      <c r="L32" s="51">
        <f>IF('計算'!$C28="","",'計算'!$CF28)</f>
        <v/>
      </c>
      <c r="M32" s="48" t="n"/>
      <c r="N32" s="49" t="n"/>
      <c r="O32" s="43">
        <f>IF('計算'!$C28="","",'計算'!$CQ28)</f>
        <v/>
      </c>
      <c r="P32" s="52">
        <f>IF('計算'!$C28="","",IF('計算'!$M28="","",'計算'!$AX28))</f>
        <v/>
      </c>
      <c r="Q32" s="52">
        <f>IF('計算'!$C28="","",IF('計算'!$M28="","",'計算'!$AY28))</f>
        <v/>
      </c>
      <c r="R32" s="52">
        <f>IF('計算'!$C28="","",IF('計算'!$M28="","",'計算'!$AZ28))</f>
        <v/>
      </c>
      <c r="S32" s="52">
        <f>IF('計算'!$C28="","",IF('計算'!$M28="","",'計算'!$BA28))</f>
        <v/>
      </c>
      <c r="T32" s="52">
        <f>IF('計算'!$C28="","",IF('計算'!$M28="","",'計算'!$BB28))</f>
        <v/>
      </c>
      <c r="U32" s="52">
        <f>IF('計算'!$C28="","",IF('計算'!$M28="","",'計算'!$BC28))</f>
        <v/>
      </c>
      <c r="V32" s="52">
        <f>IF('計算'!$C28="","",IF('計算'!$M28="","",'計算'!$BD28))</f>
        <v/>
      </c>
      <c r="W32" s="52">
        <f>IF('計算'!$C28="","",IF('計算'!$M28="","",'計算'!$BE28))</f>
        <v/>
      </c>
      <c r="X32" s="52">
        <f>IF('計算'!$C28="","",IF('計算'!$M28="","",'計算'!$BF28))</f>
        <v/>
      </c>
      <c r="Y32" s="52">
        <f>IF('計算'!$C28="","",IF('計算'!$M28="","",'計算'!$BG28))</f>
        <v/>
      </c>
      <c r="Z32" s="52">
        <f>IF('計算'!$C28="","",IF('計算'!$M28="","",'計算'!$BH28))</f>
        <v/>
      </c>
      <c r="AA32" s="52">
        <f>IF('計算'!$C28="","",IF('計算'!$M28="","",'計算'!$BI28))</f>
        <v/>
      </c>
      <c r="AB32" s="52">
        <f>IF('計算'!$C28="","",IF('計算'!$M28="","",'計算'!$BJ28))</f>
        <v/>
      </c>
      <c r="AC32" s="52">
        <f>IF('計算'!$C28="","",IF('計算'!$M28="","",'計算'!$BK28))</f>
        <v/>
      </c>
      <c r="AD32" s="53" t="n"/>
      <c r="AE32" s="48" t="n"/>
      <c r="AF32" s="54">
        <f>IF('計算'!$C28="","",'計算'!$C28)</f>
        <v/>
      </c>
      <c r="AG32" s="54">
        <f>IF('計算'!$C28="","",'計算'!$F28)</f>
        <v/>
      </c>
    </row>
    <row r="33" ht="18" customHeight="1">
      <c r="B33" s="42">
        <f>IF('計算'!$C29="","",'計算'!$B29)</f>
        <v/>
      </c>
      <c r="C33" s="43">
        <f>IF('計算'!$C29="","",'計算'!$D29)</f>
        <v/>
      </c>
      <c r="D33" s="44">
        <f>IF('計算'!$C29="","",'計算'!$O29)</f>
        <v/>
      </c>
      <c r="E33" s="45">
        <f>IF('計算'!$C29="","",'計算'!$L29)</f>
        <v/>
      </c>
      <c r="F33" s="46">
        <f>IF('計算'!$C29="","",'計算'!$CD29)</f>
        <v/>
      </c>
      <c r="G33" s="47">
        <f>IF('計算'!$C29="","",'計算'!$CA29)</f>
        <v/>
      </c>
      <c r="H33" s="43">
        <f>IF('計算'!$C29="","",'計算'!$CP29)</f>
        <v/>
      </c>
      <c r="I33" s="48" t="n"/>
      <c r="J33" s="49" t="n"/>
      <c r="K33" s="50">
        <f>IF('計算'!$C29="","",'計算'!$CR29)</f>
        <v/>
      </c>
      <c r="L33" s="51">
        <f>IF('計算'!$C29="","",'計算'!$CF29)</f>
        <v/>
      </c>
      <c r="M33" s="48" t="n"/>
      <c r="N33" s="49" t="n"/>
      <c r="O33" s="43">
        <f>IF('計算'!$C29="","",'計算'!$CQ29)</f>
        <v/>
      </c>
      <c r="P33" s="52">
        <f>IF('計算'!$C29="","",IF('計算'!$M29="","",'計算'!$AX29))</f>
        <v/>
      </c>
      <c r="Q33" s="52">
        <f>IF('計算'!$C29="","",IF('計算'!$M29="","",'計算'!$AY29))</f>
        <v/>
      </c>
      <c r="R33" s="52">
        <f>IF('計算'!$C29="","",IF('計算'!$M29="","",'計算'!$AZ29))</f>
        <v/>
      </c>
      <c r="S33" s="52">
        <f>IF('計算'!$C29="","",IF('計算'!$M29="","",'計算'!$BA29))</f>
        <v/>
      </c>
      <c r="T33" s="52">
        <f>IF('計算'!$C29="","",IF('計算'!$M29="","",'計算'!$BB29))</f>
        <v/>
      </c>
      <c r="U33" s="52">
        <f>IF('計算'!$C29="","",IF('計算'!$M29="","",'計算'!$BC29))</f>
        <v/>
      </c>
      <c r="V33" s="52">
        <f>IF('計算'!$C29="","",IF('計算'!$M29="","",'計算'!$BD29))</f>
        <v/>
      </c>
      <c r="W33" s="52">
        <f>IF('計算'!$C29="","",IF('計算'!$M29="","",'計算'!$BE29))</f>
        <v/>
      </c>
      <c r="X33" s="52">
        <f>IF('計算'!$C29="","",IF('計算'!$M29="","",'計算'!$BF29))</f>
        <v/>
      </c>
      <c r="Y33" s="52">
        <f>IF('計算'!$C29="","",IF('計算'!$M29="","",'計算'!$BG29))</f>
        <v/>
      </c>
      <c r="Z33" s="52">
        <f>IF('計算'!$C29="","",IF('計算'!$M29="","",'計算'!$BH29))</f>
        <v/>
      </c>
      <c r="AA33" s="52">
        <f>IF('計算'!$C29="","",IF('計算'!$M29="","",'計算'!$BI29))</f>
        <v/>
      </c>
      <c r="AB33" s="52">
        <f>IF('計算'!$C29="","",IF('計算'!$M29="","",'計算'!$BJ29))</f>
        <v/>
      </c>
      <c r="AC33" s="52">
        <f>IF('計算'!$C29="","",IF('計算'!$M29="","",'計算'!$BK29))</f>
        <v/>
      </c>
      <c r="AD33" s="53" t="n"/>
      <c r="AE33" s="48" t="n"/>
      <c r="AF33" s="54">
        <f>IF('計算'!$C29="","",'計算'!$C29)</f>
        <v/>
      </c>
      <c r="AG33" s="54">
        <f>IF('計算'!$C29="","",'計算'!$F29)</f>
        <v/>
      </c>
    </row>
    <row r="34" ht="18" customHeight="1">
      <c r="B34" s="42">
        <f>IF('計算'!$C30="","",'計算'!$B30)</f>
        <v/>
      </c>
      <c r="C34" s="43">
        <f>IF('計算'!$C30="","",'計算'!$D30)</f>
        <v/>
      </c>
      <c r="D34" s="44">
        <f>IF('計算'!$C30="","",'計算'!$O30)</f>
        <v/>
      </c>
      <c r="E34" s="45">
        <f>IF('計算'!$C30="","",'計算'!$L30)</f>
        <v/>
      </c>
      <c r="F34" s="46">
        <f>IF('計算'!$C30="","",'計算'!$CD30)</f>
        <v/>
      </c>
      <c r="G34" s="47">
        <f>IF('計算'!$C30="","",'計算'!$CA30)</f>
        <v/>
      </c>
      <c r="H34" s="43">
        <f>IF('計算'!$C30="","",'計算'!$CP30)</f>
        <v/>
      </c>
      <c r="I34" s="48" t="n"/>
      <c r="J34" s="49" t="n"/>
      <c r="K34" s="50">
        <f>IF('計算'!$C30="","",'計算'!$CR30)</f>
        <v/>
      </c>
      <c r="L34" s="51">
        <f>IF('計算'!$C30="","",'計算'!$CF30)</f>
        <v/>
      </c>
      <c r="M34" s="48" t="n"/>
      <c r="N34" s="49" t="n"/>
      <c r="O34" s="43">
        <f>IF('計算'!$C30="","",'計算'!$CQ30)</f>
        <v/>
      </c>
      <c r="P34" s="52">
        <f>IF('計算'!$C30="","",IF('計算'!$M30="","",'計算'!$AX30))</f>
        <v/>
      </c>
      <c r="Q34" s="52">
        <f>IF('計算'!$C30="","",IF('計算'!$M30="","",'計算'!$AY30))</f>
        <v/>
      </c>
      <c r="R34" s="52">
        <f>IF('計算'!$C30="","",IF('計算'!$M30="","",'計算'!$AZ30))</f>
        <v/>
      </c>
      <c r="S34" s="52">
        <f>IF('計算'!$C30="","",IF('計算'!$M30="","",'計算'!$BA30))</f>
        <v/>
      </c>
      <c r="T34" s="52">
        <f>IF('計算'!$C30="","",IF('計算'!$M30="","",'計算'!$BB30))</f>
        <v/>
      </c>
      <c r="U34" s="52">
        <f>IF('計算'!$C30="","",IF('計算'!$M30="","",'計算'!$BC30))</f>
        <v/>
      </c>
      <c r="V34" s="52">
        <f>IF('計算'!$C30="","",IF('計算'!$M30="","",'計算'!$BD30))</f>
        <v/>
      </c>
      <c r="W34" s="52">
        <f>IF('計算'!$C30="","",IF('計算'!$M30="","",'計算'!$BE30))</f>
        <v/>
      </c>
      <c r="X34" s="52">
        <f>IF('計算'!$C30="","",IF('計算'!$M30="","",'計算'!$BF30))</f>
        <v/>
      </c>
      <c r="Y34" s="52">
        <f>IF('計算'!$C30="","",IF('計算'!$M30="","",'計算'!$BG30))</f>
        <v/>
      </c>
      <c r="Z34" s="52">
        <f>IF('計算'!$C30="","",IF('計算'!$M30="","",'計算'!$BH30))</f>
        <v/>
      </c>
      <c r="AA34" s="52">
        <f>IF('計算'!$C30="","",IF('計算'!$M30="","",'計算'!$BI30))</f>
        <v/>
      </c>
      <c r="AB34" s="52">
        <f>IF('計算'!$C30="","",IF('計算'!$M30="","",'計算'!$BJ30))</f>
        <v/>
      </c>
      <c r="AC34" s="52">
        <f>IF('計算'!$C30="","",IF('計算'!$M30="","",'計算'!$BK30))</f>
        <v/>
      </c>
      <c r="AD34" s="53" t="n"/>
      <c r="AE34" s="48" t="n"/>
      <c r="AF34" s="54">
        <f>IF('計算'!$C30="","",'計算'!$C30)</f>
        <v/>
      </c>
      <c r="AG34" s="54">
        <f>IF('計算'!$C30="","",'計算'!$F30)</f>
        <v/>
      </c>
    </row>
    <row r="35" ht="18" customHeight="1">
      <c r="B35" s="42">
        <f>IF('計算'!$C31="","",'計算'!$B31)</f>
        <v/>
      </c>
      <c r="C35" s="43">
        <f>IF('計算'!$C31="","",'計算'!$D31)</f>
        <v/>
      </c>
      <c r="D35" s="44">
        <f>IF('計算'!$C31="","",'計算'!$O31)</f>
        <v/>
      </c>
      <c r="E35" s="45">
        <f>IF('計算'!$C31="","",'計算'!$L31)</f>
        <v/>
      </c>
      <c r="F35" s="46">
        <f>IF('計算'!$C31="","",'計算'!$CD31)</f>
        <v/>
      </c>
      <c r="G35" s="47">
        <f>IF('計算'!$C31="","",'計算'!$CA31)</f>
        <v/>
      </c>
      <c r="H35" s="43">
        <f>IF('計算'!$C31="","",'計算'!$CP31)</f>
        <v/>
      </c>
      <c r="I35" s="48" t="n"/>
      <c r="J35" s="49" t="n"/>
      <c r="K35" s="50">
        <f>IF('計算'!$C31="","",'計算'!$CR31)</f>
        <v/>
      </c>
      <c r="L35" s="51">
        <f>IF('計算'!$C31="","",'計算'!$CF31)</f>
        <v/>
      </c>
      <c r="M35" s="48" t="n"/>
      <c r="N35" s="49" t="n"/>
      <c r="O35" s="43">
        <f>IF('計算'!$C31="","",'計算'!$CQ31)</f>
        <v/>
      </c>
      <c r="P35" s="52">
        <f>IF('計算'!$C31="","",IF('計算'!$M31="","",'計算'!$AX31))</f>
        <v/>
      </c>
      <c r="Q35" s="52">
        <f>IF('計算'!$C31="","",IF('計算'!$M31="","",'計算'!$AY31))</f>
        <v/>
      </c>
      <c r="R35" s="52">
        <f>IF('計算'!$C31="","",IF('計算'!$M31="","",'計算'!$AZ31))</f>
        <v/>
      </c>
      <c r="S35" s="52">
        <f>IF('計算'!$C31="","",IF('計算'!$M31="","",'計算'!$BA31))</f>
        <v/>
      </c>
      <c r="T35" s="52">
        <f>IF('計算'!$C31="","",IF('計算'!$M31="","",'計算'!$BB31))</f>
        <v/>
      </c>
      <c r="U35" s="52">
        <f>IF('計算'!$C31="","",IF('計算'!$M31="","",'計算'!$BC31))</f>
        <v/>
      </c>
      <c r="V35" s="52">
        <f>IF('計算'!$C31="","",IF('計算'!$M31="","",'計算'!$BD31))</f>
        <v/>
      </c>
      <c r="W35" s="52">
        <f>IF('計算'!$C31="","",IF('計算'!$M31="","",'計算'!$BE31))</f>
        <v/>
      </c>
      <c r="X35" s="52">
        <f>IF('計算'!$C31="","",IF('計算'!$M31="","",'計算'!$BF31))</f>
        <v/>
      </c>
      <c r="Y35" s="52">
        <f>IF('計算'!$C31="","",IF('計算'!$M31="","",'計算'!$BG31))</f>
        <v/>
      </c>
      <c r="Z35" s="52">
        <f>IF('計算'!$C31="","",IF('計算'!$M31="","",'計算'!$BH31))</f>
        <v/>
      </c>
      <c r="AA35" s="52">
        <f>IF('計算'!$C31="","",IF('計算'!$M31="","",'計算'!$BI31))</f>
        <v/>
      </c>
      <c r="AB35" s="52">
        <f>IF('計算'!$C31="","",IF('計算'!$M31="","",'計算'!$BJ31))</f>
        <v/>
      </c>
      <c r="AC35" s="52">
        <f>IF('計算'!$C31="","",IF('計算'!$M31="","",'計算'!$BK31))</f>
        <v/>
      </c>
      <c r="AD35" s="53" t="n"/>
      <c r="AE35" s="48" t="n"/>
      <c r="AF35" s="54">
        <f>IF('計算'!$C31="","",'計算'!$C31)</f>
        <v/>
      </c>
      <c r="AG35" s="54">
        <f>IF('計算'!$C31="","",'計算'!$F31)</f>
        <v/>
      </c>
    </row>
    <row r="36" ht="18" customHeight="1">
      <c r="B36" s="42">
        <f>IF('計算'!$C32="","",'計算'!$B32)</f>
        <v/>
      </c>
      <c r="C36" s="43">
        <f>IF('計算'!$C32="","",'計算'!$D32)</f>
        <v/>
      </c>
      <c r="D36" s="44">
        <f>IF('計算'!$C32="","",'計算'!$O32)</f>
        <v/>
      </c>
      <c r="E36" s="45">
        <f>IF('計算'!$C32="","",'計算'!$L32)</f>
        <v/>
      </c>
      <c r="F36" s="46">
        <f>IF('計算'!$C32="","",'計算'!$CD32)</f>
        <v/>
      </c>
      <c r="G36" s="47">
        <f>IF('計算'!$C32="","",'計算'!$CA32)</f>
        <v/>
      </c>
      <c r="H36" s="43">
        <f>IF('計算'!$C32="","",'計算'!$CP32)</f>
        <v/>
      </c>
      <c r="I36" s="48" t="n"/>
      <c r="J36" s="49" t="n"/>
      <c r="K36" s="50">
        <f>IF('計算'!$C32="","",'計算'!$CR32)</f>
        <v/>
      </c>
      <c r="L36" s="51">
        <f>IF('計算'!$C32="","",'計算'!$CF32)</f>
        <v/>
      </c>
      <c r="M36" s="48" t="n"/>
      <c r="N36" s="49" t="n"/>
      <c r="O36" s="43">
        <f>IF('計算'!$C32="","",'計算'!$CQ32)</f>
        <v/>
      </c>
      <c r="P36" s="52">
        <f>IF('計算'!$C32="","",IF('計算'!$M32="","",'計算'!$AX32))</f>
        <v/>
      </c>
      <c r="Q36" s="52">
        <f>IF('計算'!$C32="","",IF('計算'!$M32="","",'計算'!$AY32))</f>
        <v/>
      </c>
      <c r="R36" s="52">
        <f>IF('計算'!$C32="","",IF('計算'!$M32="","",'計算'!$AZ32))</f>
        <v/>
      </c>
      <c r="S36" s="52">
        <f>IF('計算'!$C32="","",IF('計算'!$M32="","",'計算'!$BA32))</f>
        <v/>
      </c>
      <c r="T36" s="52">
        <f>IF('計算'!$C32="","",IF('計算'!$M32="","",'計算'!$BB32))</f>
        <v/>
      </c>
      <c r="U36" s="52">
        <f>IF('計算'!$C32="","",IF('計算'!$M32="","",'計算'!$BC32))</f>
        <v/>
      </c>
      <c r="V36" s="52">
        <f>IF('計算'!$C32="","",IF('計算'!$M32="","",'計算'!$BD32))</f>
        <v/>
      </c>
      <c r="W36" s="52">
        <f>IF('計算'!$C32="","",IF('計算'!$M32="","",'計算'!$BE32))</f>
        <v/>
      </c>
      <c r="X36" s="52">
        <f>IF('計算'!$C32="","",IF('計算'!$M32="","",'計算'!$BF32))</f>
        <v/>
      </c>
      <c r="Y36" s="52">
        <f>IF('計算'!$C32="","",IF('計算'!$M32="","",'計算'!$BG32))</f>
        <v/>
      </c>
      <c r="Z36" s="52">
        <f>IF('計算'!$C32="","",IF('計算'!$M32="","",'計算'!$BH32))</f>
        <v/>
      </c>
      <c r="AA36" s="52">
        <f>IF('計算'!$C32="","",IF('計算'!$M32="","",'計算'!$BI32))</f>
        <v/>
      </c>
      <c r="AB36" s="52">
        <f>IF('計算'!$C32="","",IF('計算'!$M32="","",'計算'!$BJ32))</f>
        <v/>
      </c>
      <c r="AC36" s="52">
        <f>IF('計算'!$C32="","",IF('計算'!$M32="","",'計算'!$BK32))</f>
        <v/>
      </c>
      <c r="AD36" s="53" t="n"/>
      <c r="AE36" s="48" t="n"/>
      <c r="AF36" s="54">
        <f>IF('計算'!$C32="","",'計算'!$C32)</f>
        <v/>
      </c>
      <c r="AG36" s="54">
        <f>IF('計算'!$C32="","",'計算'!$F32)</f>
        <v/>
      </c>
    </row>
    <row r="37" ht="18" customHeight="1">
      <c r="B37" s="42">
        <f>IF('計算'!$C33="","",'計算'!$B33)</f>
        <v/>
      </c>
      <c r="C37" s="43">
        <f>IF('計算'!$C33="","",'計算'!$D33)</f>
        <v/>
      </c>
      <c r="D37" s="44">
        <f>IF('計算'!$C33="","",'計算'!$O33)</f>
        <v/>
      </c>
      <c r="E37" s="45">
        <f>IF('計算'!$C33="","",'計算'!$L33)</f>
        <v/>
      </c>
      <c r="F37" s="46">
        <f>IF('計算'!$C33="","",'計算'!$CD33)</f>
        <v/>
      </c>
      <c r="G37" s="47">
        <f>IF('計算'!$C33="","",'計算'!$CA33)</f>
        <v/>
      </c>
      <c r="H37" s="43">
        <f>IF('計算'!$C33="","",'計算'!$CP33)</f>
        <v/>
      </c>
      <c r="I37" s="48" t="n"/>
      <c r="J37" s="49" t="n"/>
      <c r="K37" s="50">
        <f>IF('計算'!$C33="","",'計算'!$CR33)</f>
        <v/>
      </c>
      <c r="L37" s="51">
        <f>IF('計算'!$C33="","",'計算'!$CF33)</f>
        <v/>
      </c>
      <c r="M37" s="48" t="n"/>
      <c r="N37" s="49" t="n"/>
      <c r="O37" s="43">
        <f>IF('計算'!$C33="","",'計算'!$CQ33)</f>
        <v/>
      </c>
      <c r="P37" s="52">
        <f>IF('計算'!$C33="","",IF('計算'!$M33="","",'計算'!$AX33))</f>
        <v/>
      </c>
      <c r="Q37" s="52">
        <f>IF('計算'!$C33="","",IF('計算'!$M33="","",'計算'!$AY33))</f>
        <v/>
      </c>
      <c r="R37" s="52">
        <f>IF('計算'!$C33="","",IF('計算'!$M33="","",'計算'!$AZ33))</f>
        <v/>
      </c>
      <c r="S37" s="52">
        <f>IF('計算'!$C33="","",IF('計算'!$M33="","",'計算'!$BA33))</f>
        <v/>
      </c>
      <c r="T37" s="52">
        <f>IF('計算'!$C33="","",IF('計算'!$M33="","",'計算'!$BB33))</f>
        <v/>
      </c>
      <c r="U37" s="52">
        <f>IF('計算'!$C33="","",IF('計算'!$M33="","",'計算'!$BC33))</f>
        <v/>
      </c>
      <c r="V37" s="52">
        <f>IF('計算'!$C33="","",IF('計算'!$M33="","",'計算'!$BD33))</f>
        <v/>
      </c>
      <c r="W37" s="52">
        <f>IF('計算'!$C33="","",IF('計算'!$M33="","",'計算'!$BE33))</f>
        <v/>
      </c>
      <c r="X37" s="52">
        <f>IF('計算'!$C33="","",IF('計算'!$M33="","",'計算'!$BF33))</f>
        <v/>
      </c>
      <c r="Y37" s="52">
        <f>IF('計算'!$C33="","",IF('計算'!$M33="","",'計算'!$BG33))</f>
        <v/>
      </c>
      <c r="Z37" s="52">
        <f>IF('計算'!$C33="","",IF('計算'!$M33="","",'計算'!$BH33))</f>
        <v/>
      </c>
      <c r="AA37" s="52">
        <f>IF('計算'!$C33="","",IF('計算'!$M33="","",'計算'!$BI33))</f>
        <v/>
      </c>
      <c r="AB37" s="52">
        <f>IF('計算'!$C33="","",IF('計算'!$M33="","",'計算'!$BJ33))</f>
        <v/>
      </c>
      <c r="AC37" s="52">
        <f>IF('計算'!$C33="","",IF('計算'!$M33="","",'計算'!$BK33))</f>
        <v/>
      </c>
      <c r="AD37" s="53" t="n"/>
      <c r="AE37" s="48" t="n"/>
      <c r="AF37" s="54">
        <f>IF('計算'!$C33="","",'計算'!$C33)</f>
        <v/>
      </c>
      <c r="AG37" s="54">
        <f>IF('計算'!$C33="","",'計算'!$F33)</f>
        <v/>
      </c>
    </row>
    <row r="38" ht="18" customHeight="1">
      <c r="B38" s="42">
        <f>IF('計算'!$C34="","",'計算'!$B34)</f>
        <v/>
      </c>
      <c r="C38" s="43">
        <f>IF('計算'!$C34="","",'計算'!$D34)</f>
        <v/>
      </c>
      <c r="D38" s="44">
        <f>IF('計算'!$C34="","",'計算'!$O34)</f>
        <v/>
      </c>
      <c r="E38" s="45">
        <f>IF('計算'!$C34="","",'計算'!$L34)</f>
        <v/>
      </c>
      <c r="F38" s="46">
        <f>IF('計算'!$C34="","",'計算'!$CD34)</f>
        <v/>
      </c>
      <c r="G38" s="47">
        <f>IF('計算'!$C34="","",'計算'!$CA34)</f>
        <v/>
      </c>
      <c r="H38" s="43">
        <f>IF('計算'!$C34="","",'計算'!$CP34)</f>
        <v/>
      </c>
      <c r="I38" s="48" t="n"/>
      <c r="J38" s="49" t="n"/>
      <c r="K38" s="50">
        <f>IF('計算'!$C34="","",'計算'!$CR34)</f>
        <v/>
      </c>
      <c r="L38" s="51">
        <f>IF('計算'!$C34="","",'計算'!$CF34)</f>
        <v/>
      </c>
      <c r="M38" s="48" t="n"/>
      <c r="N38" s="49" t="n"/>
      <c r="O38" s="43">
        <f>IF('計算'!$C34="","",'計算'!$CQ34)</f>
        <v/>
      </c>
      <c r="P38" s="52">
        <f>IF('計算'!$C34="","",IF('計算'!$M34="","",'計算'!$AX34))</f>
        <v/>
      </c>
      <c r="Q38" s="52">
        <f>IF('計算'!$C34="","",IF('計算'!$M34="","",'計算'!$AY34))</f>
        <v/>
      </c>
      <c r="R38" s="52">
        <f>IF('計算'!$C34="","",IF('計算'!$M34="","",'計算'!$AZ34))</f>
        <v/>
      </c>
      <c r="S38" s="52">
        <f>IF('計算'!$C34="","",IF('計算'!$M34="","",'計算'!$BA34))</f>
        <v/>
      </c>
      <c r="T38" s="52">
        <f>IF('計算'!$C34="","",IF('計算'!$M34="","",'計算'!$BB34))</f>
        <v/>
      </c>
      <c r="U38" s="52">
        <f>IF('計算'!$C34="","",IF('計算'!$M34="","",'計算'!$BC34))</f>
        <v/>
      </c>
      <c r="V38" s="52">
        <f>IF('計算'!$C34="","",IF('計算'!$M34="","",'計算'!$BD34))</f>
        <v/>
      </c>
      <c r="W38" s="52">
        <f>IF('計算'!$C34="","",IF('計算'!$M34="","",'計算'!$BE34))</f>
        <v/>
      </c>
      <c r="X38" s="52">
        <f>IF('計算'!$C34="","",IF('計算'!$M34="","",'計算'!$BF34))</f>
        <v/>
      </c>
      <c r="Y38" s="52">
        <f>IF('計算'!$C34="","",IF('計算'!$M34="","",'計算'!$BG34))</f>
        <v/>
      </c>
      <c r="Z38" s="52">
        <f>IF('計算'!$C34="","",IF('計算'!$M34="","",'計算'!$BH34))</f>
        <v/>
      </c>
      <c r="AA38" s="52">
        <f>IF('計算'!$C34="","",IF('計算'!$M34="","",'計算'!$BI34))</f>
        <v/>
      </c>
      <c r="AB38" s="52">
        <f>IF('計算'!$C34="","",IF('計算'!$M34="","",'計算'!$BJ34))</f>
        <v/>
      </c>
      <c r="AC38" s="52">
        <f>IF('計算'!$C34="","",IF('計算'!$M34="","",'計算'!$BK34))</f>
        <v/>
      </c>
      <c r="AD38" s="53" t="n"/>
      <c r="AE38" s="48" t="n"/>
      <c r="AF38" s="54">
        <f>IF('計算'!$C34="","",'計算'!$C34)</f>
        <v/>
      </c>
      <c r="AG38" s="54">
        <f>IF('計算'!$C34="","",'計算'!$F34)</f>
        <v/>
      </c>
    </row>
    <row r="39" ht="18" customHeight="1">
      <c r="B39" s="42">
        <f>IF('計算'!$C35="","",'計算'!$B35)</f>
        <v/>
      </c>
      <c r="C39" s="43">
        <f>IF('計算'!$C35="","",'計算'!$D35)</f>
        <v/>
      </c>
      <c r="D39" s="44">
        <f>IF('計算'!$C35="","",'計算'!$O35)</f>
        <v/>
      </c>
      <c r="E39" s="45">
        <f>IF('計算'!$C35="","",'計算'!$L35)</f>
        <v/>
      </c>
      <c r="F39" s="46">
        <f>IF('計算'!$C35="","",'計算'!$CD35)</f>
        <v/>
      </c>
      <c r="G39" s="47">
        <f>IF('計算'!$C35="","",'計算'!$CA35)</f>
        <v/>
      </c>
      <c r="H39" s="43">
        <f>IF('計算'!$C35="","",'計算'!$CP35)</f>
        <v/>
      </c>
      <c r="I39" s="48" t="n"/>
      <c r="J39" s="49" t="n"/>
      <c r="K39" s="50">
        <f>IF('計算'!$C35="","",'計算'!$CR35)</f>
        <v/>
      </c>
      <c r="L39" s="51">
        <f>IF('計算'!$C35="","",'計算'!$CF35)</f>
        <v/>
      </c>
      <c r="M39" s="48" t="n"/>
      <c r="N39" s="49" t="n"/>
      <c r="O39" s="43">
        <f>IF('計算'!$C35="","",'計算'!$CQ35)</f>
        <v/>
      </c>
      <c r="P39" s="52">
        <f>IF('計算'!$C35="","",IF('計算'!$M35="","",'計算'!$AX35))</f>
        <v/>
      </c>
      <c r="Q39" s="52">
        <f>IF('計算'!$C35="","",IF('計算'!$M35="","",'計算'!$AY35))</f>
        <v/>
      </c>
      <c r="R39" s="52">
        <f>IF('計算'!$C35="","",IF('計算'!$M35="","",'計算'!$AZ35))</f>
        <v/>
      </c>
      <c r="S39" s="52">
        <f>IF('計算'!$C35="","",IF('計算'!$M35="","",'計算'!$BA35))</f>
        <v/>
      </c>
      <c r="T39" s="52">
        <f>IF('計算'!$C35="","",IF('計算'!$M35="","",'計算'!$BB35))</f>
        <v/>
      </c>
      <c r="U39" s="52">
        <f>IF('計算'!$C35="","",IF('計算'!$M35="","",'計算'!$BC35))</f>
        <v/>
      </c>
      <c r="V39" s="52">
        <f>IF('計算'!$C35="","",IF('計算'!$M35="","",'計算'!$BD35))</f>
        <v/>
      </c>
      <c r="W39" s="52">
        <f>IF('計算'!$C35="","",IF('計算'!$M35="","",'計算'!$BE35))</f>
        <v/>
      </c>
      <c r="X39" s="52">
        <f>IF('計算'!$C35="","",IF('計算'!$M35="","",'計算'!$BF35))</f>
        <v/>
      </c>
      <c r="Y39" s="52">
        <f>IF('計算'!$C35="","",IF('計算'!$M35="","",'計算'!$BG35))</f>
        <v/>
      </c>
      <c r="Z39" s="52">
        <f>IF('計算'!$C35="","",IF('計算'!$M35="","",'計算'!$BH35))</f>
        <v/>
      </c>
      <c r="AA39" s="52">
        <f>IF('計算'!$C35="","",IF('計算'!$M35="","",'計算'!$BI35))</f>
        <v/>
      </c>
      <c r="AB39" s="52">
        <f>IF('計算'!$C35="","",IF('計算'!$M35="","",'計算'!$BJ35))</f>
        <v/>
      </c>
      <c r="AC39" s="52">
        <f>IF('計算'!$C35="","",IF('計算'!$M35="","",'計算'!$BK35))</f>
        <v/>
      </c>
      <c r="AD39" s="53" t="n"/>
      <c r="AE39" s="48" t="n"/>
      <c r="AF39" s="54">
        <f>IF('計算'!$C35="","",'計算'!$C35)</f>
        <v/>
      </c>
      <c r="AG39" s="54">
        <f>IF('計算'!$C35="","",'計算'!$F35)</f>
        <v/>
      </c>
    </row>
    <row r="40" ht="18" customHeight="1">
      <c r="B40" s="42">
        <f>IF('計算'!$C36="","",'計算'!$B36)</f>
        <v/>
      </c>
      <c r="C40" s="43">
        <f>IF('計算'!$C36="","",'計算'!$D36)</f>
        <v/>
      </c>
      <c r="D40" s="44">
        <f>IF('計算'!$C36="","",'計算'!$O36)</f>
        <v/>
      </c>
      <c r="E40" s="45">
        <f>IF('計算'!$C36="","",'計算'!$L36)</f>
        <v/>
      </c>
      <c r="F40" s="46">
        <f>IF('計算'!$C36="","",'計算'!$CD36)</f>
        <v/>
      </c>
      <c r="G40" s="47">
        <f>IF('計算'!$C36="","",'計算'!$CA36)</f>
        <v/>
      </c>
      <c r="H40" s="43">
        <f>IF('計算'!$C36="","",'計算'!$CP36)</f>
        <v/>
      </c>
      <c r="I40" s="48" t="n"/>
      <c r="J40" s="49" t="n"/>
      <c r="K40" s="50">
        <f>IF('計算'!$C36="","",'計算'!$CR36)</f>
        <v/>
      </c>
      <c r="L40" s="51">
        <f>IF('計算'!$C36="","",'計算'!$CF36)</f>
        <v/>
      </c>
      <c r="M40" s="48" t="n"/>
      <c r="N40" s="49" t="n"/>
      <c r="O40" s="43">
        <f>IF('計算'!$C36="","",'計算'!$CQ36)</f>
        <v/>
      </c>
      <c r="P40" s="52">
        <f>IF('計算'!$C36="","",IF('計算'!$M36="","",'計算'!$AX36))</f>
        <v/>
      </c>
      <c r="Q40" s="52">
        <f>IF('計算'!$C36="","",IF('計算'!$M36="","",'計算'!$AY36))</f>
        <v/>
      </c>
      <c r="R40" s="52">
        <f>IF('計算'!$C36="","",IF('計算'!$M36="","",'計算'!$AZ36))</f>
        <v/>
      </c>
      <c r="S40" s="52">
        <f>IF('計算'!$C36="","",IF('計算'!$M36="","",'計算'!$BA36))</f>
        <v/>
      </c>
      <c r="T40" s="52">
        <f>IF('計算'!$C36="","",IF('計算'!$M36="","",'計算'!$BB36))</f>
        <v/>
      </c>
      <c r="U40" s="52">
        <f>IF('計算'!$C36="","",IF('計算'!$M36="","",'計算'!$BC36))</f>
        <v/>
      </c>
      <c r="V40" s="52">
        <f>IF('計算'!$C36="","",IF('計算'!$M36="","",'計算'!$BD36))</f>
        <v/>
      </c>
      <c r="W40" s="52">
        <f>IF('計算'!$C36="","",IF('計算'!$M36="","",'計算'!$BE36))</f>
        <v/>
      </c>
      <c r="X40" s="52">
        <f>IF('計算'!$C36="","",IF('計算'!$M36="","",'計算'!$BF36))</f>
        <v/>
      </c>
      <c r="Y40" s="52">
        <f>IF('計算'!$C36="","",IF('計算'!$M36="","",'計算'!$BG36))</f>
        <v/>
      </c>
      <c r="Z40" s="52">
        <f>IF('計算'!$C36="","",IF('計算'!$M36="","",'計算'!$BH36))</f>
        <v/>
      </c>
      <c r="AA40" s="52">
        <f>IF('計算'!$C36="","",IF('計算'!$M36="","",'計算'!$BI36))</f>
        <v/>
      </c>
      <c r="AB40" s="52">
        <f>IF('計算'!$C36="","",IF('計算'!$M36="","",'計算'!$BJ36))</f>
        <v/>
      </c>
      <c r="AC40" s="52">
        <f>IF('計算'!$C36="","",IF('計算'!$M36="","",'計算'!$BK36))</f>
        <v/>
      </c>
      <c r="AD40" s="53" t="n"/>
      <c r="AE40" s="48" t="n"/>
      <c r="AF40" s="54">
        <f>IF('計算'!$C36="","",'計算'!$C36)</f>
        <v/>
      </c>
      <c r="AG40" s="54">
        <f>IF('計算'!$C36="","",'計算'!$F36)</f>
        <v/>
      </c>
    </row>
    <row r="41" ht="18" customHeight="1">
      <c r="B41" s="42">
        <f>IF('計算'!$C37="","",'計算'!$B37)</f>
        <v/>
      </c>
      <c r="C41" s="43">
        <f>IF('計算'!$C37="","",'計算'!$D37)</f>
        <v/>
      </c>
      <c r="D41" s="44">
        <f>IF('計算'!$C37="","",'計算'!$O37)</f>
        <v/>
      </c>
      <c r="E41" s="45">
        <f>IF('計算'!$C37="","",'計算'!$L37)</f>
        <v/>
      </c>
      <c r="F41" s="46">
        <f>IF('計算'!$C37="","",'計算'!$CD37)</f>
        <v/>
      </c>
      <c r="G41" s="47">
        <f>IF('計算'!$C37="","",'計算'!$CA37)</f>
        <v/>
      </c>
      <c r="H41" s="43">
        <f>IF('計算'!$C37="","",'計算'!$CP37)</f>
        <v/>
      </c>
      <c r="I41" s="48" t="n"/>
      <c r="J41" s="49" t="n"/>
      <c r="K41" s="50">
        <f>IF('計算'!$C37="","",'計算'!$CR37)</f>
        <v/>
      </c>
      <c r="L41" s="51">
        <f>IF('計算'!$C37="","",'計算'!$CF37)</f>
        <v/>
      </c>
      <c r="M41" s="48" t="n"/>
      <c r="N41" s="49" t="n"/>
      <c r="O41" s="43">
        <f>IF('計算'!$C37="","",'計算'!$CQ37)</f>
        <v/>
      </c>
      <c r="P41" s="52">
        <f>IF('計算'!$C37="","",IF('計算'!$M37="","",'計算'!$AX37))</f>
        <v/>
      </c>
      <c r="Q41" s="52">
        <f>IF('計算'!$C37="","",IF('計算'!$M37="","",'計算'!$AY37))</f>
        <v/>
      </c>
      <c r="R41" s="52">
        <f>IF('計算'!$C37="","",IF('計算'!$M37="","",'計算'!$AZ37))</f>
        <v/>
      </c>
      <c r="S41" s="52">
        <f>IF('計算'!$C37="","",IF('計算'!$M37="","",'計算'!$BA37))</f>
        <v/>
      </c>
      <c r="T41" s="52">
        <f>IF('計算'!$C37="","",IF('計算'!$M37="","",'計算'!$BB37))</f>
        <v/>
      </c>
      <c r="U41" s="52">
        <f>IF('計算'!$C37="","",IF('計算'!$M37="","",'計算'!$BC37))</f>
        <v/>
      </c>
      <c r="V41" s="52">
        <f>IF('計算'!$C37="","",IF('計算'!$M37="","",'計算'!$BD37))</f>
        <v/>
      </c>
      <c r="W41" s="52">
        <f>IF('計算'!$C37="","",IF('計算'!$M37="","",'計算'!$BE37))</f>
        <v/>
      </c>
      <c r="X41" s="52">
        <f>IF('計算'!$C37="","",IF('計算'!$M37="","",'計算'!$BF37))</f>
        <v/>
      </c>
      <c r="Y41" s="52">
        <f>IF('計算'!$C37="","",IF('計算'!$M37="","",'計算'!$BG37))</f>
        <v/>
      </c>
      <c r="Z41" s="52">
        <f>IF('計算'!$C37="","",IF('計算'!$M37="","",'計算'!$BH37))</f>
        <v/>
      </c>
      <c r="AA41" s="52">
        <f>IF('計算'!$C37="","",IF('計算'!$M37="","",'計算'!$BI37))</f>
        <v/>
      </c>
      <c r="AB41" s="52">
        <f>IF('計算'!$C37="","",IF('計算'!$M37="","",'計算'!$BJ37))</f>
        <v/>
      </c>
      <c r="AC41" s="52">
        <f>IF('計算'!$C37="","",IF('計算'!$M37="","",'計算'!$BK37))</f>
        <v/>
      </c>
      <c r="AD41" s="53" t="n"/>
      <c r="AE41" s="48" t="n"/>
      <c r="AF41" s="54">
        <f>IF('計算'!$C37="","",'計算'!$C37)</f>
        <v/>
      </c>
      <c r="AG41" s="54">
        <f>IF('計算'!$C37="","",'計算'!$F37)</f>
        <v/>
      </c>
    </row>
    <row r="42" ht="18" customHeight="1">
      <c r="B42" s="42">
        <f>IF('計算'!$C38="","",'計算'!$B38)</f>
        <v/>
      </c>
      <c r="C42" s="43">
        <f>IF('計算'!$C38="","",'計算'!$D38)</f>
        <v/>
      </c>
      <c r="D42" s="44">
        <f>IF('計算'!$C38="","",'計算'!$O38)</f>
        <v/>
      </c>
      <c r="E42" s="45">
        <f>IF('計算'!$C38="","",'計算'!$L38)</f>
        <v/>
      </c>
      <c r="F42" s="46">
        <f>IF('計算'!$C38="","",'計算'!$CD38)</f>
        <v/>
      </c>
      <c r="G42" s="47">
        <f>IF('計算'!$C38="","",'計算'!$CA38)</f>
        <v/>
      </c>
      <c r="H42" s="43">
        <f>IF('計算'!$C38="","",'計算'!$CP38)</f>
        <v/>
      </c>
      <c r="I42" s="48" t="n"/>
      <c r="J42" s="49" t="n"/>
      <c r="K42" s="50">
        <f>IF('計算'!$C38="","",'計算'!$CR38)</f>
        <v/>
      </c>
      <c r="L42" s="51">
        <f>IF('計算'!$C38="","",'計算'!$CF38)</f>
        <v/>
      </c>
      <c r="M42" s="48" t="n"/>
      <c r="N42" s="49" t="n"/>
      <c r="O42" s="43">
        <f>IF('計算'!$C38="","",'計算'!$CQ38)</f>
        <v/>
      </c>
      <c r="P42" s="52">
        <f>IF('計算'!$C38="","",IF('計算'!$M38="","",'計算'!$AX38))</f>
        <v/>
      </c>
      <c r="Q42" s="52">
        <f>IF('計算'!$C38="","",IF('計算'!$M38="","",'計算'!$AY38))</f>
        <v/>
      </c>
      <c r="R42" s="52">
        <f>IF('計算'!$C38="","",IF('計算'!$M38="","",'計算'!$AZ38))</f>
        <v/>
      </c>
      <c r="S42" s="52">
        <f>IF('計算'!$C38="","",IF('計算'!$M38="","",'計算'!$BA38))</f>
        <v/>
      </c>
      <c r="T42" s="52">
        <f>IF('計算'!$C38="","",IF('計算'!$M38="","",'計算'!$BB38))</f>
        <v/>
      </c>
      <c r="U42" s="52">
        <f>IF('計算'!$C38="","",IF('計算'!$M38="","",'計算'!$BC38))</f>
        <v/>
      </c>
      <c r="V42" s="52">
        <f>IF('計算'!$C38="","",IF('計算'!$M38="","",'計算'!$BD38))</f>
        <v/>
      </c>
      <c r="W42" s="52">
        <f>IF('計算'!$C38="","",IF('計算'!$M38="","",'計算'!$BE38))</f>
        <v/>
      </c>
      <c r="X42" s="52">
        <f>IF('計算'!$C38="","",IF('計算'!$M38="","",'計算'!$BF38))</f>
        <v/>
      </c>
      <c r="Y42" s="52">
        <f>IF('計算'!$C38="","",IF('計算'!$M38="","",'計算'!$BG38))</f>
        <v/>
      </c>
      <c r="Z42" s="52">
        <f>IF('計算'!$C38="","",IF('計算'!$M38="","",'計算'!$BH38))</f>
        <v/>
      </c>
      <c r="AA42" s="52">
        <f>IF('計算'!$C38="","",IF('計算'!$M38="","",'計算'!$BI38))</f>
        <v/>
      </c>
      <c r="AB42" s="52">
        <f>IF('計算'!$C38="","",IF('計算'!$M38="","",'計算'!$BJ38))</f>
        <v/>
      </c>
      <c r="AC42" s="52">
        <f>IF('計算'!$C38="","",IF('計算'!$M38="","",'計算'!$BK38))</f>
        <v/>
      </c>
      <c r="AD42" s="53" t="n"/>
      <c r="AE42" s="48" t="n"/>
      <c r="AF42" s="54">
        <f>IF('計算'!$C38="","",'計算'!$C38)</f>
        <v/>
      </c>
      <c r="AG42" s="54">
        <f>IF('計算'!$C38="","",'計算'!$F38)</f>
        <v/>
      </c>
    </row>
    <row r="43" ht="18" customHeight="1">
      <c r="B43" s="42">
        <f>IF('計算'!$C39="","",'計算'!$B39)</f>
        <v/>
      </c>
      <c r="C43" s="43">
        <f>IF('計算'!$C39="","",'計算'!$D39)</f>
        <v/>
      </c>
      <c r="D43" s="44">
        <f>IF('計算'!$C39="","",'計算'!$O39)</f>
        <v/>
      </c>
      <c r="E43" s="45">
        <f>IF('計算'!$C39="","",'計算'!$L39)</f>
        <v/>
      </c>
      <c r="F43" s="46">
        <f>IF('計算'!$C39="","",'計算'!$CD39)</f>
        <v/>
      </c>
      <c r="G43" s="47">
        <f>IF('計算'!$C39="","",'計算'!$CA39)</f>
        <v/>
      </c>
      <c r="H43" s="43">
        <f>IF('計算'!$C39="","",'計算'!$CP39)</f>
        <v/>
      </c>
      <c r="I43" s="48" t="n"/>
      <c r="J43" s="49" t="n"/>
      <c r="K43" s="50">
        <f>IF('計算'!$C39="","",'計算'!$CR39)</f>
        <v/>
      </c>
      <c r="L43" s="51">
        <f>IF('計算'!$C39="","",'計算'!$CF39)</f>
        <v/>
      </c>
      <c r="M43" s="48" t="n"/>
      <c r="N43" s="49" t="n"/>
      <c r="O43" s="43">
        <f>IF('計算'!$C39="","",'計算'!$CQ39)</f>
        <v/>
      </c>
      <c r="P43" s="52">
        <f>IF('計算'!$C39="","",IF('計算'!$M39="","",'計算'!$AX39))</f>
        <v/>
      </c>
      <c r="Q43" s="52">
        <f>IF('計算'!$C39="","",IF('計算'!$M39="","",'計算'!$AY39))</f>
        <v/>
      </c>
      <c r="R43" s="52">
        <f>IF('計算'!$C39="","",IF('計算'!$M39="","",'計算'!$AZ39))</f>
        <v/>
      </c>
      <c r="S43" s="52">
        <f>IF('計算'!$C39="","",IF('計算'!$M39="","",'計算'!$BA39))</f>
        <v/>
      </c>
      <c r="T43" s="52">
        <f>IF('計算'!$C39="","",IF('計算'!$M39="","",'計算'!$BB39))</f>
        <v/>
      </c>
      <c r="U43" s="52">
        <f>IF('計算'!$C39="","",IF('計算'!$M39="","",'計算'!$BC39))</f>
        <v/>
      </c>
      <c r="V43" s="52">
        <f>IF('計算'!$C39="","",IF('計算'!$M39="","",'計算'!$BD39))</f>
        <v/>
      </c>
      <c r="W43" s="52">
        <f>IF('計算'!$C39="","",IF('計算'!$M39="","",'計算'!$BE39))</f>
        <v/>
      </c>
      <c r="X43" s="52">
        <f>IF('計算'!$C39="","",IF('計算'!$M39="","",'計算'!$BF39))</f>
        <v/>
      </c>
      <c r="Y43" s="52">
        <f>IF('計算'!$C39="","",IF('計算'!$M39="","",'計算'!$BG39))</f>
        <v/>
      </c>
      <c r="Z43" s="52">
        <f>IF('計算'!$C39="","",IF('計算'!$M39="","",'計算'!$BH39))</f>
        <v/>
      </c>
      <c r="AA43" s="52">
        <f>IF('計算'!$C39="","",IF('計算'!$M39="","",'計算'!$BI39))</f>
        <v/>
      </c>
      <c r="AB43" s="52">
        <f>IF('計算'!$C39="","",IF('計算'!$M39="","",'計算'!$BJ39))</f>
        <v/>
      </c>
      <c r="AC43" s="52">
        <f>IF('計算'!$C39="","",IF('計算'!$M39="","",'計算'!$BK39))</f>
        <v/>
      </c>
      <c r="AD43" s="53" t="n"/>
      <c r="AE43" s="48" t="n"/>
      <c r="AF43" s="54">
        <f>IF('計算'!$C39="","",'計算'!$C39)</f>
        <v/>
      </c>
      <c r="AG43" s="54">
        <f>IF('計算'!$C39="","",'計算'!$F39)</f>
        <v/>
      </c>
    </row>
    <row r="44" ht="18" customHeight="1">
      <c r="B44" s="42">
        <f>IF('計算'!$C40="","",'計算'!$B40)</f>
        <v/>
      </c>
      <c r="C44" s="43">
        <f>IF('計算'!$C40="","",'計算'!$D40)</f>
        <v/>
      </c>
      <c r="D44" s="44">
        <f>IF('計算'!$C40="","",'計算'!$O40)</f>
        <v/>
      </c>
      <c r="E44" s="45">
        <f>IF('計算'!$C40="","",'計算'!$L40)</f>
        <v/>
      </c>
      <c r="F44" s="46">
        <f>IF('計算'!$C40="","",'計算'!$CD40)</f>
        <v/>
      </c>
      <c r="G44" s="47">
        <f>IF('計算'!$C40="","",'計算'!$CA40)</f>
        <v/>
      </c>
      <c r="H44" s="43">
        <f>IF('計算'!$C40="","",'計算'!$CP40)</f>
        <v/>
      </c>
      <c r="I44" s="48" t="n"/>
      <c r="J44" s="49" t="n"/>
      <c r="K44" s="50">
        <f>IF('計算'!$C40="","",'計算'!$CR40)</f>
        <v/>
      </c>
      <c r="L44" s="51">
        <f>IF('計算'!$C40="","",'計算'!$CF40)</f>
        <v/>
      </c>
      <c r="M44" s="48" t="n"/>
      <c r="N44" s="49" t="n"/>
      <c r="O44" s="43">
        <f>IF('計算'!$C40="","",'計算'!$CQ40)</f>
        <v/>
      </c>
      <c r="P44" s="52">
        <f>IF('計算'!$C40="","",IF('計算'!$M40="","",'計算'!$AX40))</f>
        <v/>
      </c>
      <c r="Q44" s="52">
        <f>IF('計算'!$C40="","",IF('計算'!$M40="","",'計算'!$AY40))</f>
        <v/>
      </c>
      <c r="R44" s="52">
        <f>IF('計算'!$C40="","",IF('計算'!$M40="","",'計算'!$AZ40))</f>
        <v/>
      </c>
      <c r="S44" s="52">
        <f>IF('計算'!$C40="","",IF('計算'!$M40="","",'計算'!$BA40))</f>
        <v/>
      </c>
      <c r="T44" s="52">
        <f>IF('計算'!$C40="","",IF('計算'!$M40="","",'計算'!$BB40))</f>
        <v/>
      </c>
      <c r="U44" s="52">
        <f>IF('計算'!$C40="","",IF('計算'!$M40="","",'計算'!$BC40))</f>
        <v/>
      </c>
      <c r="V44" s="52">
        <f>IF('計算'!$C40="","",IF('計算'!$M40="","",'計算'!$BD40))</f>
        <v/>
      </c>
      <c r="W44" s="52">
        <f>IF('計算'!$C40="","",IF('計算'!$M40="","",'計算'!$BE40))</f>
        <v/>
      </c>
      <c r="X44" s="52">
        <f>IF('計算'!$C40="","",IF('計算'!$M40="","",'計算'!$BF40))</f>
        <v/>
      </c>
      <c r="Y44" s="52">
        <f>IF('計算'!$C40="","",IF('計算'!$M40="","",'計算'!$BG40))</f>
        <v/>
      </c>
      <c r="Z44" s="52">
        <f>IF('計算'!$C40="","",IF('計算'!$M40="","",'計算'!$BH40))</f>
        <v/>
      </c>
      <c r="AA44" s="52">
        <f>IF('計算'!$C40="","",IF('計算'!$M40="","",'計算'!$BI40))</f>
        <v/>
      </c>
      <c r="AB44" s="52">
        <f>IF('計算'!$C40="","",IF('計算'!$M40="","",'計算'!$BJ40))</f>
        <v/>
      </c>
      <c r="AC44" s="52">
        <f>IF('計算'!$C40="","",IF('計算'!$M40="","",'計算'!$BK40))</f>
        <v/>
      </c>
      <c r="AD44" s="53" t="n"/>
      <c r="AE44" s="48" t="n"/>
      <c r="AF44" s="54">
        <f>IF('計算'!$C40="","",'計算'!$C40)</f>
        <v/>
      </c>
      <c r="AG44" s="54">
        <f>IF('計算'!$C40="","",'計算'!$F40)</f>
        <v/>
      </c>
    </row>
    <row r="45" ht="18" customHeight="1">
      <c r="B45" s="42">
        <f>IF('計算'!$C41="","",'計算'!$B41)</f>
        <v/>
      </c>
      <c r="C45" s="43">
        <f>IF('計算'!$C41="","",'計算'!$D41)</f>
        <v/>
      </c>
      <c r="D45" s="44">
        <f>IF('計算'!$C41="","",'計算'!$O41)</f>
        <v/>
      </c>
      <c r="E45" s="45">
        <f>IF('計算'!$C41="","",'計算'!$L41)</f>
        <v/>
      </c>
      <c r="F45" s="46">
        <f>IF('計算'!$C41="","",'計算'!$CD41)</f>
        <v/>
      </c>
      <c r="G45" s="47">
        <f>IF('計算'!$C41="","",'計算'!$CA41)</f>
        <v/>
      </c>
      <c r="H45" s="43">
        <f>IF('計算'!$C41="","",'計算'!$CP41)</f>
        <v/>
      </c>
      <c r="I45" s="48" t="n"/>
      <c r="J45" s="49" t="n"/>
      <c r="K45" s="50">
        <f>IF('計算'!$C41="","",'計算'!$CR41)</f>
        <v/>
      </c>
      <c r="L45" s="51">
        <f>IF('計算'!$C41="","",'計算'!$CF41)</f>
        <v/>
      </c>
      <c r="M45" s="48" t="n"/>
      <c r="N45" s="49" t="n"/>
      <c r="O45" s="43">
        <f>IF('計算'!$C41="","",'計算'!$CQ41)</f>
        <v/>
      </c>
      <c r="P45" s="52">
        <f>IF('計算'!$C41="","",IF('計算'!$M41="","",'計算'!$AX41))</f>
        <v/>
      </c>
      <c r="Q45" s="52">
        <f>IF('計算'!$C41="","",IF('計算'!$M41="","",'計算'!$AY41))</f>
        <v/>
      </c>
      <c r="R45" s="52">
        <f>IF('計算'!$C41="","",IF('計算'!$M41="","",'計算'!$AZ41))</f>
        <v/>
      </c>
      <c r="S45" s="52">
        <f>IF('計算'!$C41="","",IF('計算'!$M41="","",'計算'!$BA41))</f>
        <v/>
      </c>
      <c r="T45" s="52">
        <f>IF('計算'!$C41="","",IF('計算'!$M41="","",'計算'!$BB41))</f>
        <v/>
      </c>
      <c r="U45" s="52">
        <f>IF('計算'!$C41="","",IF('計算'!$M41="","",'計算'!$BC41))</f>
        <v/>
      </c>
      <c r="V45" s="52">
        <f>IF('計算'!$C41="","",IF('計算'!$M41="","",'計算'!$BD41))</f>
        <v/>
      </c>
      <c r="W45" s="52">
        <f>IF('計算'!$C41="","",IF('計算'!$M41="","",'計算'!$BE41))</f>
        <v/>
      </c>
      <c r="X45" s="52">
        <f>IF('計算'!$C41="","",IF('計算'!$M41="","",'計算'!$BF41))</f>
        <v/>
      </c>
      <c r="Y45" s="52">
        <f>IF('計算'!$C41="","",IF('計算'!$M41="","",'計算'!$BG41))</f>
        <v/>
      </c>
      <c r="Z45" s="52">
        <f>IF('計算'!$C41="","",IF('計算'!$M41="","",'計算'!$BH41))</f>
        <v/>
      </c>
      <c r="AA45" s="52">
        <f>IF('計算'!$C41="","",IF('計算'!$M41="","",'計算'!$BI41))</f>
        <v/>
      </c>
      <c r="AB45" s="52">
        <f>IF('計算'!$C41="","",IF('計算'!$M41="","",'計算'!$BJ41))</f>
        <v/>
      </c>
      <c r="AC45" s="52">
        <f>IF('計算'!$C41="","",IF('計算'!$M41="","",'計算'!$BK41))</f>
        <v/>
      </c>
      <c r="AD45" s="53" t="n"/>
      <c r="AE45" s="48" t="n"/>
      <c r="AF45" s="54">
        <f>IF('計算'!$C41="","",'計算'!$C41)</f>
        <v/>
      </c>
      <c r="AG45" s="54">
        <f>IF('計算'!$C41="","",'計算'!$F41)</f>
        <v/>
      </c>
    </row>
    <row r="46" ht="18" customHeight="1">
      <c r="B46" s="42">
        <f>IF('計算'!$C42="","",'計算'!$B42)</f>
        <v/>
      </c>
      <c r="C46" s="43">
        <f>IF('計算'!$C42="","",'計算'!$D42)</f>
        <v/>
      </c>
      <c r="D46" s="44">
        <f>IF('計算'!$C42="","",'計算'!$O42)</f>
        <v/>
      </c>
      <c r="E46" s="45">
        <f>IF('計算'!$C42="","",'計算'!$L42)</f>
        <v/>
      </c>
      <c r="F46" s="46">
        <f>IF('計算'!$C42="","",'計算'!$CD42)</f>
        <v/>
      </c>
      <c r="G46" s="47">
        <f>IF('計算'!$C42="","",'計算'!$CA42)</f>
        <v/>
      </c>
      <c r="H46" s="43">
        <f>IF('計算'!$C42="","",'計算'!$CP42)</f>
        <v/>
      </c>
      <c r="I46" s="48" t="n"/>
      <c r="J46" s="49" t="n"/>
      <c r="K46" s="50">
        <f>IF('計算'!$C42="","",'計算'!$CR42)</f>
        <v/>
      </c>
      <c r="L46" s="51">
        <f>IF('計算'!$C42="","",'計算'!$CF42)</f>
        <v/>
      </c>
      <c r="M46" s="48" t="n"/>
      <c r="N46" s="49" t="n"/>
      <c r="O46" s="43">
        <f>IF('計算'!$C42="","",'計算'!$CQ42)</f>
        <v/>
      </c>
      <c r="P46" s="52">
        <f>IF('計算'!$C42="","",IF('計算'!$M42="","",'計算'!$AX42))</f>
        <v/>
      </c>
      <c r="Q46" s="52">
        <f>IF('計算'!$C42="","",IF('計算'!$M42="","",'計算'!$AY42))</f>
        <v/>
      </c>
      <c r="R46" s="52">
        <f>IF('計算'!$C42="","",IF('計算'!$M42="","",'計算'!$AZ42))</f>
        <v/>
      </c>
      <c r="S46" s="52">
        <f>IF('計算'!$C42="","",IF('計算'!$M42="","",'計算'!$BA42))</f>
        <v/>
      </c>
      <c r="T46" s="52">
        <f>IF('計算'!$C42="","",IF('計算'!$M42="","",'計算'!$BB42))</f>
        <v/>
      </c>
      <c r="U46" s="52">
        <f>IF('計算'!$C42="","",IF('計算'!$M42="","",'計算'!$BC42))</f>
        <v/>
      </c>
      <c r="V46" s="52">
        <f>IF('計算'!$C42="","",IF('計算'!$M42="","",'計算'!$BD42))</f>
        <v/>
      </c>
      <c r="W46" s="52">
        <f>IF('計算'!$C42="","",IF('計算'!$M42="","",'計算'!$BE42))</f>
        <v/>
      </c>
      <c r="X46" s="52">
        <f>IF('計算'!$C42="","",IF('計算'!$M42="","",'計算'!$BF42))</f>
        <v/>
      </c>
      <c r="Y46" s="52">
        <f>IF('計算'!$C42="","",IF('計算'!$M42="","",'計算'!$BG42))</f>
        <v/>
      </c>
      <c r="Z46" s="52">
        <f>IF('計算'!$C42="","",IF('計算'!$M42="","",'計算'!$BH42))</f>
        <v/>
      </c>
      <c r="AA46" s="52">
        <f>IF('計算'!$C42="","",IF('計算'!$M42="","",'計算'!$BI42))</f>
        <v/>
      </c>
      <c r="AB46" s="52">
        <f>IF('計算'!$C42="","",IF('計算'!$M42="","",'計算'!$BJ42))</f>
        <v/>
      </c>
      <c r="AC46" s="52">
        <f>IF('計算'!$C42="","",IF('計算'!$M42="","",'計算'!$BK42))</f>
        <v/>
      </c>
      <c r="AD46" s="53" t="n"/>
      <c r="AE46" s="48" t="n"/>
      <c r="AF46" s="54">
        <f>IF('計算'!$C42="","",'計算'!$C42)</f>
        <v/>
      </c>
      <c r="AG46" s="54">
        <f>IF('計算'!$C42="","",'計算'!$F42)</f>
        <v/>
      </c>
    </row>
    <row r="47" ht="18" customHeight="1">
      <c r="B47" s="42">
        <f>IF('計算'!$C43="","",'計算'!$B43)</f>
        <v/>
      </c>
      <c r="C47" s="43">
        <f>IF('計算'!$C43="","",'計算'!$D43)</f>
        <v/>
      </c>
      <c r="D47" s="44">
        <f>IF('計算'!$C43="","",'計算'!$O43)</f>
        <v/>
      </c>
      <c r="E47" s="45">
        <f>IF('計算'!$C43="","",'計算'!$L43)</f>
        <v/>
      </c>
      <c r="F47" s="46">
        <f>IF('計算'!$C43="","",'計算'!$CD43)</f>
        <v/>
      </c>
      <c r="G47" s="47">
        <f>IF('計算'!$C43="","",'計算'!$CA43)</f>
        <v/>
      </c>
      <c r="H47" s="43">
        <f>IF('計算'!$C43="","",'計算'!$CP43)</f>
        <v/>
      </c>
      <c r="I47" s="48" t="n"/>
      <c r="J47" s="49" t="n"/>
      <c r="K47" s="50">
        <f>IF('計算'!$C43="","",'計算'!$CR43)</f>
        <v/>
      </c>
      <c r="L47" s="51">
        <f>IF('計算'!$C43="","",'計算'!$CF43)</f>
        <v/>
      </c>
      <c r="M47" s="48" t="n"/>
      <c r="N47" s="49" t="n"/>
      <c r="O47" s="43">
        <f>IF('計算'!$C43="","",'計算'!$CQ43)</f>
        <v/>
      </c>
      <c r="P47" s="52">
        <f>IF('計算'!$C43="","",IF('計算'!$M43="","",'計算'!$AX43))</f>
        <v/>
      </c>
      <c r="Q47" s="52">
        <f>IF('計算'!$C43="","",IF('計算'!$M43="","",'計算'!$AY43))</f>
        <v/>
      </c>
      <c r="R47" s="52">
        <f>IF('計算'!$C43="","",IF('計算'!$M43="","",'計算'!$AZ43))</f>
        <v/>
      </c>
      <c r="S47" s="52">
        <f>IF('計算'!$C43="","",IF('計算'!$M43="","",'計算'!$BA43))</f>
        <v/>
      </c>
      <c r="T47" s="52">
        <f>IF('計算'!$C43="","",IF('計算'!$M43="","",'計算'!$BB43))</f>
        <v/>
      </c>
      <c r="U47" s="52">
        <f>IF('計算'!$C43="","",IF('計算'!$M43="","",'計算'!$BC43))</f>
        <v/>
      </c>
      <c r="V47" s="52">
        <f>IF('計算'!$C43="","",IF('計算'!$M43="","",'計算'!$BD43))</f>
        <v/>
      </c>
      <c r="W47" s="52">
        <f>IF('計算'!$C43="","",IF('計算'!$M43="","",'計算'!$BE43))</f>
        <v/>
      </c>
      <c r="X47" s="52">
        <f>IF('計算'!$C43="","",IF('計算'!$M43="","",'計算'!$BF43))</f>
        <v/>
      </c>
      <c r="Y47" s="52">
        <f>IF('計算'!$C43="","",IF('計算'!$M43="","",'計算'!$BG43))</f>
        <v/>
      </c>
      <c r="Z47" s="52">
        <f>IF('計算'!$C43="","",IF('計算'!$M43="","",'計算'!$BH43))</f>
        <v/>
      </c>
      <c r="AA47" s="52">
        <f>IF('計算'!$C43="","",IF('計算'!$M43="","",'計算'!$BI43))</f>
        <v/>
      </c>
      <c r="AB47" s="52">
        <f>IF('計算'!$C43="","",IF('計算'!$M43="","",'計算'!$BJ43))</f>
        <v/>
      </c>
      <c r="AC47" s="52">
        <f>IF('計算'!$C43="","",IF('計算'!$M43="","",'計算'!$BK43))</f>
        <v/>
      </c>
      <c r="AD47" s="53" t="n"/>
      <c r="AE47" s="48" t="n"/>
      <c r="AF47" s="54">
        <f>IF('計算'!$C43="","",'計算'!$C43)</f>
        <v/>
      </c>
      <c r="AG47" s="54">
        <f>IF('計算'!$C43="","",'計算'!$F43)</f>
        <v/>
      </c>
    </row>
    <row r="48" ht="18" customHeight="1">
      <c r="B48" s="42">
        <f>IF('計算'!$C44="","",'計算'!$B44)</f>
        <v/>
      </c>
      <c r="C48" s="43">
        <f>IF('計算'!$C44="","",'計算'!$D44)</f>
        <v/>
      </c>
      <c r="D48" s="44">
        <f>IF('計算'!$C44="","",'計算'!$O44)</f>
        <v/>
      </c>
      <c r="E48" s="45">
        <f>IF('計算'!$C44="","",'計算'!$L44)</f>
        <v/>
      </c>
      <c r="F48" s="46">
        <f>IF('計算'!$C44="","",'計算'!$CD44)</f>
        <v/>
      </c>
      <c r="G48" s="47">
        <f>IF('計算'!$C44="","",'計算'!$CA44)</f>
        <v/>
      </c>
      <c r="H48" s="43">
        <f>IF('計算'!$C44="","",'計算'!$CP44)</f>
        <v/>
      </c>
      <c r="I48" s="48" t="n"/>
      <c r="J48" s="49" t="n"/>
      <c r="K48" s="50">
        <f>IF('計算'!$C44="","",'計算'!$CR44)</f>
        <v/>
      </c>
      <c r="L48" s="51">
        <f>IF('計算'!$C44="","",'計算'!$CF44)</f>
        <v/>
      </c>
      <c r="M48" s="48" t="n"/>
      <c r="N48" s="49" t="n"/>
      <c r="O48" s="43">
        <f>IF('計算'!$C44="","",'計算'!$CQ44)</f>
        <v/>
      </c>
      <c r="P48" s="52">
        <f>IF('計算'!$C44="","",IF('計算'!$M44="","",'計算'!$AX44))</f>
        <v/>
      </c>
      <c r="Q48" s="52">
        <f>IF('計算'!$C44="","",IF('計算'!$M44="","",'計算'!$AY44))</f>
        <v/>
      </c>
      <c r="R48" s="52">
        <f>IF('計算'!$C44="","",IF('計算'!$M44="","",'計算'!$AZ44))</f>
        <v/>
      </c>
      <c r="S48" s="52">
        <f>IF('計算'!$C44="","",IF('計算'!$M44="","",'計算'!$BA44))</f>
        <v/>
      </c>
      <c r="T48" s="52">
        <f>IF('計算'!$C44="","",IF('計算'!$M44="","",'計算'!$BB44))</f>
        <v/>
      </c>
      <c r="U48" s="52">
        <f>IF('計算'!$C44="","",IF('計算'!$M44="","",'計算'!$BC44))</f>
        <v/>
      </c>
      <c r="V48" s="52">
        <f>IF('計算'!$C44="","",IF('計算'!$M44="","",'計算'!$BD44))</f>
        <v/>
      </c>
      <c r="W48" s="52">
        <f>IF('計算'!$C44="","",IF('計算'!$M44="","",'計算'!$BE44))</f>
        <v/>
      </c>
      <c r="X48" s="52">
        <f>IF('計算'!$C44="","",IF('計算'!$M44="","",'計算'!$BF44))</f>
        <v/>
      </c>
      <c r="Y48" s="52">
        <f>IF('計算'!$C44="","",IF('計算'!$M44="","",'計算'!$BG44))</f>
        <v/>
      </c>
      <c r="Z48" s="52">
        <f>IF('計算'!$C44="","",IF('計算'!$M44="","",'計算'!$BH44))</f>
        <v/>
      </c>
      <c r="AA48" s="52">
        <f>IF('計算'!$C44="","",IF('計算'!$M44="","",'計算'!$BI44))</f>
        <v/>
      </c>
      <c r="AB48" s="52">
        <f>IF('計算'!$C44="","",IF('計算'!$M44="","",'計算'!$BJ44))</f>
        <v/>
      </c>
      <c r="AC48" s="52">
        <f>IF('計算'!$C44="","",IF('計算'!$M44="","",'計算'!$BK44))</f>
        <v/>
      </c>
      <c r="AD48" s="53" t="n"/>
      <c r="AE48" s="48" t="n"/>
      <c r="AF48" s="54">
        <f>IF('計算'!$C44="","",'計算'!$C44)</f>
        <v/>
      </c>
      <c r="AG48" s="54">
        <f>IF('計算'!$C44="","",'計算'!$F44)</f>
        <v/>
      </c>
    </row>
    <row r="49" ht="18" customHeight="1">
      <c r="B49" s="42">
        <f>IF('計算'!$C45="","",'計算'!$B45)</f>
        <v/>
      </c>
      <c r="C49" s="43">
        <f>IF('計算'!$C45="","",'計算'!$D45)</f>
        <v/>
      </c>
      <c r="D49" s="44">
        <f>IF('計算'!$C45="","",'計算'!$O45)</f>
        <v/>
      </c>
      <c r="E49" s="45">
        <f>IF('計算'!$C45="","",'計算'!$L45)</f>
        <v/>
      </c>
      <c r="F49" s="46">
        <f>IF('計算'!$C45="","",'計算'!$CD45)</f>
        <v/>
      </c>
      <c r="G49" s="47">
        <f>IF('計算'!$C45="","",'計算'!$CA45)</f>
        <v/>
      </c>
      <c r="H49" s="43">
        <f>IF('計算'!$C45="","",'計算'!$CP45)</f>
        <v/>
      </c>
      <c r="I49" s="48" t="n"/>
      <c r="J49" s="49" t="n"/>
      <c r="K49" s="50">
        <f>IF('計算'!$C45="","",'計算'!$CR45)</f>
        <v/>
      </c>
      <c r="L49" s="51">
        <f>IF('計算'!$C45="","",'計算'!$CF45)</f>
        <v/>
      </c>
      <c r="M49" s="48" t="n"/>
      <c r="N49" s="49" t="n"/>
      <c r="O49" s="43">
        <f>IF('計算'!$C45="","",'計算'!$CQ45)</f>
        <v/>
      </c>
      <c r="P49" s="52">
        <f>IF('計算'!$C45="","",IF('計算'!$M45="","",'計算'!$AX45))</f>
        <v/>
      </c>
      <c r="Q49" s="52">
        <f>IF('計算'!$C45="","",IF('計算'!$M45="","",'計算'!$AY45))</f>
        <v/>
      </c>
      <c r="R49" s="52">
        <f>IF('計算'!$C45="","",IF('計算'!$M45="","",'計算'!$AZ45))</f>
        <v/>
      </c>
      <c r="S49" s="52">
        <f>IF('計算'!$C45="","",IF('計算'!$M45="","",'計算'!$BA45))</f>
        <v/>
      </c>
      <c r="T49" s="52">
        <f>IF('計算'!$C45="","",IF('計算'!$M45="","",'計算'!$BB45))</f>
        <v/>
      </c>
      <c r="U49" s="52">
        <f>IF('計算'!$C45="","",IF('計算'!$M45="","",'計算'!$BC45))</f>
        <v/>
      </c>
      <c r="V49" s="52">
        <f>IF('計算'!$C45="","",IF('計算'!$M45="","",'計算'!$BD45))</f>
        <v/>
      </c>
      <c r="W49" s="52">
        <f>IF('計算'!$C45="","",IF('計算'!$M45="","",'計算'!$BE45))</f>
        <v/>
      </c>
      <c r="X49" s="52">
        <f>IF('計算'!$C45="","",IF('計算'!$M45="","",'計算'!$BF45))</f>
        <v/>
      </c>
      <c r="Y49" s="52">
        <f>IF('計算'!$C45="","",IF('計算'!$M45="","",'計算'!$BG45))</f>
        <v/>
      </c>
      <c r="Z49" s="52">
        <f>IF('計算'!$C45="","",IF('計算'!$M45="","",'計算'!$BH45))</f>
        <v/>
      </c>
      <c r="AA49" s="52">
        <f>IF('計算'!$C45="","",IF('計算'!$M45="","",'計算'!$BI45))</f>
        <v/>
      </c>
      <c r="AB49" s="52">
        <f>IF('計算'!$C45="","",IF('計算'!$M45="","",'計算'!$BJ45))</f>
        <v/>
      </c>
      <c r="AC49" s="52">
        <f>IF('計算'!$C45="","",IF('計算'!$M45="","",'計算'!$BK45))</f>
        <v/>
      </c>
      <c r="AD49" s="53" t="n"/>
      <c r="AE49" s="48" t="n"/>
      <c r="AF49" s="54">
        <f>IF('計算'!$C45="","",'計算'!$C45)</f>
        <v/>
      </c>
      <c r="AG49" s="54">
        <f>IF('計算'!$C45="","",'計算'!$F45)</f>
        <v/>
      </c>
    </row>
    <row r="50" ht="18" customHeight="1">
      <c r="B50" s="42">
        <f>IF('計算'!$C46="","",'計算'!$B46)</f>
        <v/>
      </c>
      <c r="C50" s="43">
        <f>IF('計算'!$C46="","",'計算'!$D46)</f>
        <v/>
      </c>
      <c r="D50" s="44">
        <f>IF('計算'!$C46="","",'計算'!$O46)</f>
        <v/>
      </c>
      <c r="E50" s="45">
        <f>IF('計算'!$C46="","",'計算'!$L46)</f>
        <v/>
      </c>
      <c r="F50" s="46">
        <f>IF('計算'!$C46="","",'計算'!$CD46)</f>
        <v/>
      </c>
      <c r="G50" s="47">
        <f>IF('計算'!$C46="","",'計算'!$CA46)</f>
        <v/>
      </c>
      <c r="H50" s="43">
        <f>IF('計算'!$C46="","",'計算'!$CP46)</f>
        <v/>
      </c>
      <c r="I50" s="48" t="n"/>
      <c r="J50" s="49" t="n"/>
      <c r="K50" s="50">
        <f>IF('計算'!$C46="","",'計算'!$CR46)</f>
        <v/>
      </c>
      <c r="L50" s="51">
        <f>IF('計算'!$C46="","",'計算'!$CF46)</f>
        <v/>
      </c>
      <c r="M50" s="48" t="n"/>
      <c r="N50" s="49" t="n"/>
      <c r="O50" s="43">
        <f>IF('計算'!$C46="","",'計算'!$CQ46)</f>
        <v/>
      </c>
      <c r="P50" s="52">
        <f>IF('計算'!$C46="","",IF('計算'!$M46="","",'計算'!$AX46))</f>
        <v/>
      </c>
      <c r="Q50" s="52">
        <f>IF('計算'!$C46="","",IF('計算'!$M46="","",'計算'!$AY46))</f>
        <v/>
      </c>
      <c r="R50" s="52">
        <f>IF('計算'!$C46="","",IF('計算'!$M46="","",'計算'!$AZ46))</f>
        <v/>
      </c>
      <c r="S50" s="52">
        <f>IF('計算'!$C46="","",IF('計算'!$M46="","",'計算'!$BA46))</f>
        <v/>
      </c>
      <c r="T50" s="52">
        <f>IF('計算'!$C46="","",IF('計算'!$M46="","",'計算'!$BB46))</f>
        <v/>
      </c>
      <c r="U50" s="52">
        <f>IF('計算'!$C46="","",IF('計算'!$M46="","",'計算'!$BC46))</f>
        <v/>
      </c>
      <c r="V50" s="52">
        <f>IF('計算'!$C46="","",IF('計算'!$M46="","",'計算'!$BD46))</f>
        <v/>
      </c>
      <c r="W50" s="52">
        <f>IF('計算'!$C46="","",IF('計算'!$M46="","",'計算'!$BE46))</f>
        <v/>
      </c>
      <c r="X50" s="52">
        <f>IF('計算'!$C46="","",IF('計算'!$M46="","",'計算'!$BF46))</f>
        <v/>
      </c>
      <c r="Y50" s="52">
        <f>IF('計算'!$C46="","",IF('計算'!$M46="","",'計算'!$BG46))</f>
        <v/>
      </c>
      <c r="Z50" s="52">
        <f>IF('計算'!$C46="","",IF('計算'!$M46="","",'計算'!$BH46))</f>
        <v/>
      </c>
      <c r="AA50" s="52">
        <f>IF('計算'!$C46="","",IF('計算'!$M46="","",'計算'!$BI46))</f>
        <v/>
      </c>
      <c r="AB50" s="52">
        <f>IF('計算'!$C46="","",IF('計算'!$M46="","",'計算'!$BJ46))</f>
        <v/>
      </c>
      <c r="AC50" s="52">
        <f>IF('計算'!$C46="","",IF('計算'!$M46="","",'計算'!$BK46))</f>
        <v/>
      </c>
      <c r="AD50" s="53" t="n"/>
      <c r="AE50" s="48" t="n"/>
      <c r="AF50" s="54">
        <f>IF('計算'!$C46="","",'計算'!$C46)</f>
        <v/>
      </c>
      <c r="AG50" s="54">
        <f>IF('計算'!$C46="","",'計算'!$F46)</f>
        <v/>
      </c>
    </row>
    <row r="51" ht="18" customHeight="1">
      <c r="B51" s="42">
        <f>IF('計算'!$C47="","",'計算'!$B47)</f>
        <v/>
      </c>
      <c r="C51" s="43">
        <f>IF('計算'!$C47="","",'計算'!$D47)</f>
        <v/>
      </c>
      <c r="D51" s="44">
        <f>IF('計算'!$C47="","",'計算'!$O47)</f>
        <v/>
      </c>
      <c r="E51" s="45">
        <f>IF('計算'!$C47="","",'計算'!$L47)</f>
        <v/>
      </c>
      <c r="F51" s="46">
        <f>IF('計算'!$C47="","",'計算'!$CD47)</f>
        <v/>
      </c>
      <c r="G51" s="47">
        <f>IF('計算'!$C47="","",'計算'!$CA47)</f>
        <v/>
      </c>
      <c r="H51" s="43">
        <f>IF('計算'!$C47="","",'計算'!$CP47)</f>
        <v/>
      </c>
      <c r="I51" s="48" t="n"/>
      <c r="J51" s="49" t="n"/>
      <c r="K51" s="50">
        <f>IF('計算'!$C47="","",'計算'!$CR47)</f>
        <v/>
      </c>
      <c r="L51" s="51">
        <f>IF('計算'!$C47="","",'計算'!$CF47)</f>
        <v/>
      </c>
      <c r="M51" s="48" t="n"/>
      <c r="N51" s="49" t="n"/>
      <c r="O51" s="43">
        <f>IF('計算'!$C47="","",'計算'!$CQ47)</f>
        <v/>
      </c>
      <c r="P51" s="52">
        <f>IF('計算'!$C47="","",IF('計算'!$M47="","",'計算'!$AX47))</f>
        <v/>
      </c>
      <c r="Q51" s="52">
        <f>IF('計算'!$C47="","",IF('計算'!$M47="","",'計算'!$AY47))</f>
        <v/>
      </c>
      <c r="R51" s="52">
        <f>IF('計算'!$C47="","",IF('計算'!$M47="","",'計算'!$AZ47))</f>
        <v/>
      </c>
      <c r="S51" s="52">
        <f>IF('計算'!$C47="","",IF('計算'!$M47="","",'計算'!$BA47))</f>
        <v/>
      </c>
      <c r="T51" s="52">
        <f>IF('計算'!$C47="","",IF('計算'!$M47="","",'計算'!$BB47))</f>
        <v/>
      </c>
      <c r="U51" s="52">
        <f>IF('計算'!$C47="","",IF('計算'!$M47="","",'計算'!$BC47))</f>
        <v/>
      </c>
      <c r="V51" s="52">
        <f>IF('計算'!$C47="","",IF('計算'!$M47="","",'計算'!$BD47))</f>
        <v/>
      </c>
      <c r="W51" s="52">
        <f>IF('計算'!$C47="","",IF('計算'!$M47="","",'計算'!$BE47))</f>
        <v/>
      </c>
      <c r="X51" s="52">
        <f>IF('計算'!$C47="","",IF('計算'!$M47="","",'計算'!$BF47))</f>
        <v/>
      </c>
      <c r="Y51" s="52">
        <f>IF('計算'!$C47="","",IF('計算'!$M47="","",'計算'!$BG47))</f>
        <v/>
      </c>
      <c r="Z51" s="52">
        <f>IF('計算'!$C47="","",IF('計算'!$M47="","",'計算'!$BH47))</f>
        <v/>
      </c>
      <c r="AA51" s="52">
        <f>IF('計算'!$C47="","",IF('計算'!$M47="","",'計算'!$BI47))</f>
        <v/>
      </c>
      <c r="AB51" s="52">
        <f>IF('計算'!$C47="","",IF('計算'!$M47="","",'計算'!$BJ47))</f>
        <v/>
      </c>
      <c r="AC51" s="52">
        <f>IF('計算'!$C47="","",IF('計算'!$M47="","",'計算'!$BK47))</f>
        <v/>
      </c>
      <c r="AD51" s="53" t="n"/>
      <c r="AE51" s="48" t="n"/>
      <c r="AF51" s="54">
        <f>IF('計算'!$C47="","",'計算'!$C47)</f>
        <v/>
      </c>
      <c r="AG51" s="54">
        <f>IF('計算'!$C47="","",'計算'!$F47)</f>
        <v/>
      </c>
    </row>
    <row r="52" ht="18" customHeight="1">
      <c r="B52" s="42">
        <f>IF('計算'!$C48="","",'計算'!$B48)</f>
        <v/>
      </c>
      <c r="C52" s="43">
        <f>IF('計算'!$C48="","",'計算'!$D48)</f>
        <v/>
      </c>
      <c r="D52" s="44">
        <f>IF('計算'!$C48="","",'計算'!$O48)</f>
        <v/>
      </c>
      <c r="E52" s="45">
        <f>IF('計算'!$C48="","",'計算'!$L48)</f>
        <v/>
      </c>
      <c r="F52" s="46">
        <f>IF('計算'!$C48="","",'計算'!$CD48)</f>
        <v/>
      </c>
      <c r="G52" s="47">
        <f>IF('計算'!$C48="","",'計算'!$CA48)</f>
        <v/>
      </c>
      <c r="H52" s="43">
        <f>IF('計算'!$C48="","",'計算'!$CP48)</f>
        <v/>
      </c>
      <c r="I52" s="48" t="n"/>
      <c r="J52" s="49" t="n"/>
      <c r="K52" s="50">
        <f>IF('計算'!$C48="","",'計算'!$CR48)</f>
        <v/>
      </c>
      <c r="L52" s="51">
        <f>IF('計算'!$C48="","",'計算'!$CF48)</f>
        <v/>
      </c>
      <c r="M52" s="48" t="n"/>
      <c r="N52" s="49" t="n"/>
      <c r="O52" s="43">
        <f>IF('計算'!$C48="","",'計算'!$CQ48)</f>
        <v/>
      </c>
      <c r="P52" s="52">
        <f>IF('計算'!$C48="","",IF('計算'!$M48="","",'計算'!$AX48))</f>
        <v/>
      </c>
      <c r="Q52" s="52">
        <f>IF('計算'!$C48="","",IF('計算'!$M48="","",'計算'!$AY48))</f>
        <v/>
      </c>
      <c r="R52" s="52">
        <f>IF('計算'!$C48="","",IF('計算'!$M48="","",'計算'!$AZ48))</f>
        <v/>
      </c>
      <c r="S52" s="52">
        <f>IF('計算'!$C48="","",IF('計算'!$M48="","",'計算'!$BA48))</f>
        <v/>
      </c>
      <c r="T52" s="52">
        <f>IF('計算'!$C48="","",IF('計算'!$M48="","",'計算'!$BB48))</f>
        <v/>
      </c>
      <c r="U52" s="52">
        <f>IF('計算'!$C48="","",IF('計算'!$M48="","",'計算'!$BC48))</f>
        <v/>
      </c>
      <c r="V52" s="52">
        <f>IF('計算'!$C48="","",IF('計算'!$M48="","",'計算'!$BD48))</f>
        <v/>
      </c>
      <c r="W52" s="52">
        <f>IF('計算'!$C48="","",IF('計算'!$M48="","",'計算'!$BE48))</f>
        <v/>
      </c>
      <c r="X52" s="52">
        <f>IF('計算'!$C48="","",IF('計算'!$M48="","",'計算'!$BF48))</f>
        <v/>
      </c>
      <c r="Y52" s="52">
        <f>IF('計算'!$C48="","",IF('計算'!$M48="","",'計算'!$BG48))</f>
        <v/>
      </c>
      <c r="Z52" s="52">
        <f>IF('計算'!$C48="","",IF('計算'!$M48="","",'計算'!$BH48))</f>
        <v/>
      </c>
      <c r="AA52" s="52">
        <f>IF('計算'!$C48="","",IF('計算'!$M48="","",'計算'!$BI48))</f>
        <v/>
      </c>
      <c r="AB52" s="52">
        <f>IF('計算'!$C48="","",IF('計算'!$M48="","",'計算'!$BJ48))</f>
        <v/>
      </c>
      <c r="AC52" s="52">
        <f>IF('計算'!$C48="","",IF('計算'!$M48="","",'計算'!$BK48))</f>
        <v/>
      </c>
      <c r="AD52" s="53" t="n"/>
      <c r="AE52" s="48" t="n"/>
      <c r="AF52" s="54">
        <f>IF('計算'!$C48="","",'計算'!$C48)</f>
        <v/>
      </c>
      <c r="AG52" s="54">
        <f>IF('計算'!$C48="","",'計算'!$F48)</f>
        <v/>
      </c>
    </row>
    <row r="53" ht="18" customHeight="1">
      <c r="B53" s="42">
        <f>IF('計算'!$C49="","",'計算'!$B49)</f>
        <v/>
      </c>
      <c r="C53" s="43">
        <f>IF('計算'!$C49="","",'計算'!$D49)</f>
        <v/>
      </c>
      <c r="D53" s="44">
        <f>IF('計算'!$C49="","",'計算'!$O49)</f>
        <v/>
      </c>
      <c r="E53" s="45">
        <f>IF('計算'!$C49="","",'計算'!$L49)</f>
        <v/>
      </c>
      <c r="F53" s="46">
        <f>IF('計算'!$C49="","",'計算'!$CD49)</f>
        <v/>
      </c>
      <c r="G53" s="47">
        <f>IF('計算'!$C49="","",'計算'!$CA49)</f>
        <v/>
      </c>
      <c r="H53" s="43">
        <f>IF('計算'!$C49="","",'計算'!$CP49)</f>
        <v/>
      </c>
      <c r="I53" s="48" t="n"/>
      <c r="J53" s="49" t="n"/>
      <c r="K53" s="50">
        <f>IF('計算'!$C49="","",'計算'!$CR49)</f>
        <v/>
      </c>
      <c r="L53" s="51">
        <f>IF('計算'!$C49="","",'計算'!$CF49)</f>
        <v/>
      </c>
      <c r="M53" s="48" t="n"/>
      <c r="N53" s="49" t="n"/>
      <c r="O53" s="43">
        <f>IF('計算'!$C49="","",'計算'!$CQ49)</f>
        <v/>
      </c>
      <c r="P53" s="52">
        <f>IF('計算'!$C49="","",IF('計算'!$M49="","",'計算'!$AX49))</f>
        <v/>
      </c>
      <c r="Q53" s="52">
        <f>IF('計算'!$C49="","",IF('計算'!$M49="","",'計算'!$AY49))</f>
        <v/>
      </c>
      <c r="R53" s="52">
        <f>IF('計算'!$C49="","",IF('計算'!$M49="","",'計算'!$AZ49))</f>
        <v/>
      </c>
      <c r="S53" s="52">
        <f>IF('計算'!$C49="","",IF('計算'!$M49="","",'計算'!$BA49))</f>
        <v/>
      </c>
      <c r="T53" s="52">
        <f>IF('計算'!$C49="","",IF('計算'!$M49="","",'計算'!$BB49))</f>
        <v/>
      </c>
      <c r="U53" s="52">
        <f>IF('計算'!$C49="","",IF('計算'!$M49="","",'計算'!$BC49))</f>
        <v/>
      </c>
      <c r="V53" s="52">
        <f>IF('計算'!$C49="","",IF('計算'!$M49="","",'計算'!$BD49))</f>
        <v/>
      </c>
      <c r="W53" s="52">
        <f>IF('計算'!$C49="","",IF('計算'!$M49="","",'計算'!$BE49))</f>
        <v/>
      </c>
      <c r="X53" s="52">
        <f>IF('計算'!$C49="","",IF('計算'!$M49="","",'計算'!$BF49))</f>
        <v/>
      </c>
      <c r="Y53" s="52">
        <f>IF('計算'!$C49="","",IF('計算'!$M49="","",'計算'!$BG49))</f>
        <v/>
      </c>
      <c r="Z53" s="52">
        <f>IF('計算'!$C49="","",IF('計算'!$M49="","",'計算'!$BH49))</f>
        <v/>
      </c>
      <c r="AA53" s="52">
        <f>IF('計算'!$C49="","",IF('計算'!$M49="","",'計算'!$BI49))</f>
        <v/>
      </c>
      <c r="AB53" s="52">
        <f>IF('計算'!$C49="","",IF('計算'!$M49="","",'計算'!$BJ49))</f>
        <v/>
      </c>
      <c r="AC53" s="52">
        <f>IF('計算'!$C49="","",IF('計算'!$M49="","",'計算'!$BK49))</f>
        <v/>
      </c>
      <c r="AD53" s="53" t="n"/>
      <c r="AE53" s="48" t="n"/>
      <c r="AF53" s="54">
        <f>IF('計算'!$C49="","",'計算'!$C49)</f>
        <v/>
      </c>
      <c r="AG53" s="54">
        <f>IF('計算'!$C49="","",'計算'!$F49)</f>
        <v/>
      </c>
    </row>
    <row r="54" ht="18" customHeight="1">
      <c r="B54" s="42">
        <f>IF('計算'!$C50="","",'計算'!$B50)</f>
        <v/>
      </c>
      <c r="C54" s="43">
        <f>IF('計算'!$C50="","",'計算'!$D50)</f>
        <v/>
      </c>
      <c r="D54" s="44">
        <f>IF('計算'!$C50="","",'計算'!$O50)</f>
        <v/>
      </c>
      <c r="E54" s="45">
        <f>IF('計算'!$C50="","",'計算'!$L50)</f>
        <v/>
      </c>
      <c r="F54" s="46">
        <f>IF('計算'!$C50="","",'計算'!$CD50)</f>
        <v/>
      </c>
      <c r="G54" s="47">
        <f>IF('計算'!$C50="","",'計算'!$CA50)</f>
        <v/>
      </c>
      <c r="H54" s="43">
        <f>IF('計算'!$C50="","",'計算'!$CP50)</f>
        <v/>
      </c>
      <c r="I54" s="48" t="n"/>
      <c r="J54" s="49" t="n"/>
      <c r="K54" s="50">
        <f>IF('計算'!$C50="","",'計算'!$CR50)</f>
        <v/>
      </c>
      <c r="L54" s="51">
        <f>IF('計算'!$C50="","",'計算'!$CF50)</f>
        <v/>
      </c>
      <c r="M54" s="48" t="n"/>
      <c r="N54" s="49" t="n"/>
      <c r="O54" s="43">
        <f>IF('計算'!$C50="","",'計算'!$CQ50)</f>
        <v/>
      </c>
      <c r="P54" s="52">
        <f>IF('計算'!$C50="","",IF('計算'!$M50="","",'計算'!$AX50))</f>
        <v/>
      </c>
      <c r="Q54" s="52">
        <f>IF('計算'!$C50="","",IF('計算'!$M50="","",'計算'!$AY50))</f>
        <v/>
      </c>
      <c r="R54" s="52">
        <f>IF('計算'!$C50="","",IF('計算'!$M50="","",'計算'!$AZ50))</f>
        <v/>
      </c>
      <c r="S54" s="52">
        <f>IF('計算'!$C50="","",IF('計算'!$M50="","",'計算'!$BA50))</f>
        <v/>
      </c>
      <c r="T54" s="52">
        <f>IF('計算'!$C50="","",IF('計算'!$M50="","",'計算'!$BB50))</f>
        <v/>
      </c>
      <c r="U54" s="52">
        <f>IF('計算'!$C50="","",IF('計算'!$M50="","",'計算'!$BC50))</f>
        <v/>
      </c>
      <c r="V54" s="52">
        <f>IF('計算'!$C50="","",IF('計算'!$M50="","",'計算'!$BD50))</f>
        <v/>
      </c>
      <c r="W54" s="52">
        <f>IF('計算'!$C50="","",IF('計算'!$M50="","",'計算'!$BE50))</f>
        <v/>
      </c>
      <c r="X54" s="52">
        <f>IF('計算'!$C50="","",IF('計算'!$M50="","",'計算'!$BF50))</f>
        <v/>
      </c>
      <c r="Y54" s="52">
        <f>IF('計算'!$C50="","",IF('計算'!$M50="","",'計算'!$BG50))</f>
        <v/>
      </c>
      <c r="Z54" s="52">
        <f>IF('計算'!$C50="","",IF('計算'!$M50="","",'計算'!$BH50))</f>
        <v/>
      </c>
      <c r="AA54" s="52">
        <f>IF('計算'!$C50="","",IF('計算'!$M50="","",'計算'!$BI50))</f>
        <v/>
      </c>
      <c r="AB54" s="52">
        <f>IF('計算'!$C50="","",IF('計算'!$M50="","",'計算'!$BJ50))</f>
        <v/>
      </c>
      <c r="AC54" s="52">
        <f>IF('計算'!$C50="","",IF('計算'!$M50="","",'計算'!$BK50))</f>
        <v/>
      </c>
      <c r="AD54" s="53" t="n"/>
      <c r="AE54" s="48" t="n"/>
      <c r="AF54" s="54">
        <f>IF('計算'!$C50="","",'計算'!$C50)</f>
        <v/>
      </c>
      <c r="AG54" s="54">
        <f>IF('計算'!$C50="","",'計算'!$F50)</f>
        <v/>
      </c>
    </row>
    <row r="55" ht="18" customHeight="1">
      <c r="B55" s="42">
        <f>IF('計算'!$C51="","",'計算'!$B51)</f>
        <v/>
      </c>
      <c r="C55" s="43">
        <f>IF('計算'!$C51="","",'計算'!$D51)</f>
        <v/>
      </c>
      <c r="D55" s="44">
        <f>IF('計算'!$C51="","",'計算'!$O51)</f>
        <v/>
      </c>
      <c r="E55" s="45">
        <f>IF('計算'!$C51="","",'計算'!$L51)</f>
        <v/>
      </c>
      <c r="F55" s="46">
        <f>IF('計算'!$C51="","",'計算'!$CD51)</f>
        <v/>
      </c>
      <c r="G55" s="47">
        <f>IF('計算'!$C51="","",'計算'!$CA51)</f>
        <v/>
      </c>
      <c r="H55" s="43">
        <f>IF('計算'!$C51="","",'計算'!$CP51)</f>
        <v/>
      </c>
      <c r="I55" s="48" t="n"/>
      <c r="J55" s="49" t="n"/>
      <c r="K55" s="50">
        <f>IF('計算'!$C51="","",'計算'!$CR51)</f>
        <v/>
      </c>
      <c r="L55" s="51">
        <f>IF('計算'!$C51="","",'計算'!$CF51)</f>
        <v/>
      </c>
      <c r="M55" s="48" t="n"/>
      <c r="N55" s="49" t="n"/>
      <c r="O55" s="43">
        <f>IF('計算'!$C51="","",'計算'!$CQ51)</f>
        <v/>
      </c>
      <c r="P55" s="52">
        <f>IF('計算'!$C51="","",IF('計算'!$M51="","",'計算'!$AX51))</f>
        <v/>
      </c>
      <c r="Q55" s="52">
        <f>IF('計算'!$C51="","",IF('計算'!$M51="","",'計算'!$AY51))</f>
        <v/>
      </c>
      <c r="R55" s="52">
        <f>IF('計算'!$C51="","",IF('計算'!$M51="","",'計算'!$AZ51))</f>
        <v/>
      </c>
      <c r="S55" s="52">
        <f>IF('計算'!$C51="","",IF('計算'!$M51="","",'計算'!$BA51))</f>
        <v/>
      </c>
      <c r="T55" s="52">
        <f>IF('計算'!$C51="","",IF('計算'!$M51="","",'計算'!$BB51))</f>
        <v/>
      </c>
      <c r="U55" s="52">
        <f>IF('計算'!$C51="","",IF('計算'!$M51="","",'計算'!$BC51))</f>
        <v/>
      </c>
      <c r="V55" s="52">
        <f>IF('計算'!$C51="","",IF('計算'!$M51="","",'計算'!$BD51))</f>
        <v/>
      </c>
      <c r="W55" s="52">
        <f>IF('計算'!$C51="","",IF('計算'!$M51="","",'計算'!$BE51))</f>
        <v/>
      </c>
      <c r="X55" s="52">
        <f>IF('計算'!$C51="","",IF('計算'!$M51="","",'計算'!$BF51))</f>
        <v/>
      </c>
      <c r="Y55" s="52">
        <f>IF('計算'!$C51="","",IF('計算'!$M51="","",'計算'!$BG51))</f>
        <v/>
      </c>
      <c r="Z55" s="52">
        <f>IF('計算'!$C51="","",IF('計算'!$M51="","",'計算'!$BH51))</f>
        <v/>
      </c>
      <c r="AA55" s="52">
        <f>IF('計算'!$C51="","",IF('計算'!$M51="","",'計算'!$BI51))</f>
        <v/>
      </c>
      <c r="AB55" s="52">
        <f>IF('計算'!$C51="","",IF('計算'!$M51="","",'計算'!$BJ51))</f>
        <v/>
      </c>
      <c r="AC55" s="52">
        <f>IF('計算'!$C51="","",IF('計算'!$M51="","",'計算'!$BK51))</f>
        <v/>
      </c>
      <c r="AD55" s="53" t="n"/>
      <c r="AE55" s="48" t="n"/>
      <c r="AF55" s="54">
        <f>IF('計算'!$C51="","",'計算'!$C51)</f>
        <v/>
      </c>
      <c r="AG55" s="54">
        <f>IF('計算'!$C51="","",'計算'!$F51)</f>
        <v/>
      </c>
    </row>
    <row r="56" ht="18" customHeight="1">
      <c r="B56" s="42">
        <f>IF('計算'!$C52="","",'計算'!$B52)</f>
        <v/>
      </c>
      <c r="C56" s="43">
        <f>IF('計算'!$C52="","",'計算'!$D52)</f>
        <v/>
      </c>
      <c r="D56" s="44">
        <f>IF('計算'!$C52="","",'計算'!$O52)</f>
        <v/>
      </c>
      <c r="E56" s="45">
        <f>IF('計算'!$C52="","",'計算'!$L52)</f>
        <v/>
      </c>
      <c r="F56" s="46">
        <f>IF('計算'!$C52="","",'計算'!$CD52)</f>
        <v/>
      </c>
      <c r="G56" s="47">
        <f>IF('計算'!$C52="","",'計算'!$CA52)</f>
        <v/>
      </c>
      <c r="H56" s="43">
        <f>IF('計算'!$C52="","",'計算'!$CP52)</f>
        <v/>
      </c>
      <c r="I56" s="48" t="n"/>
      <c r="J56" s="49" t="n"/>
      <c r="K56" s="50">
        <f>IF('計算'!$C52="","",'計算'!$CR52)</f>
        <v/>
      </c>
      <c r="L56" s="51">
        <f>IF('計算'!$C52="","",'計算'!$CF52)</f>
        <v/>
      </c>
      <c r="M56" s="48" t="n"/>
      <c r="N56" s="49" t="n"/>
      <c r="O56" s="43">
        <f>IF('計算'!$C52="","",'計算'!$CQ52)</f>
        <v/>
      </c>
      <c r="P56" s="52">
        <f>IF('計算'!$C52="","",IF('計算'!$M52="","",'計算'!$AX52))</f>
        <v/>
      </c>
      <c r="Q56" s="52">
        <f>IF('計算'!$C52="","",IF('計算'!$M52="","",'計算'!$AY52))</f>
        <v/>
      </c>
      <c r="R56" s="52">
        <f>IF('計算'!$C52="","",IF('計算'!$M52="","",'計算'!$AZ52))</f>
        <v/>
      </c>
      <c r="S56" s="52">
        <f>IF('計算'!$C52="","",IF('計算'!$M52="","",'計算'!$BA52))</f>
        <v/>
      </c>
      <c r="T56" s="52">
        <f>IF('計算'!$C52="","",IF('計算'!$M52="","",'計算'!$BB52))</f>
        <v/>
      </c>
      <c r="U56" s="52">
        <f>IF('計算'!$C52="","",IF('計算'!$M52="","",'計算'!$BC52))</f>
        <v/>
      </c>
      <c r="V56" s="52">
        <f>IF('計算'!$C52="","",IF('計算'!$M52="","",'計算'!$BD52))</f>
        <v/>
      </c>
      <c r="W56" s="52">
        <f>IF('計算'!$C52="","",IF('計算'!$M52="","",'計算'!$BE52))</f>
        <v/>
      </c>
      <c r="X56" s="52">
        <f>IF('計算'!$C52="","",IF('計算'!$M52="","",'計算'!$BF52))</f>
        <v/>
      </c>
      <c r="Y56" s="52">
        <f>IF('計算'!$C52="","",IF('計算'!$M52="","",'計算'!$BG52))</f>
        <v/>
      </c>
      <c r="Z56" s="52">
        <f>IF('計算'!$C52="","",IF('計算'!$M52="","",'計算'!$BH52))</f>
        <v/>
      </c>
      <c r="AA56" s="52">
        <f>IF('計算'!$C52="","",IF('計算'!$M52="","",'計算'!$BI52))</f>
        <v/>
      </c>
      <c r="AB56" s="52">
        <f>IF('計算'!$C52="","",IF('計算'!$M52="","",'計算'!$BJ52))</f>
        <v/>
      </c>
      <c r="AC56" s="52">
        <f>IF('計算'!$C52="","",IF('計算'!$M52="","",'計算'!$BK52))</f>
        <v/>
      </c>
      <c r="AD56" s="53" t="n"/>
      <c r="AE56" s="48" t="n"/>
      <c r="AF56" s="54">
        <f>IF('計算'!$C52="","",'計算'!$C52)</f>
        <v/>
      </c>
      <c r="AG56" s="54">
        <f>IF('計算'!$C52="","",'計算'!$F52)</f>
        <v/>
      </c>
    </row>
    <row r="57" ht="18" customHeight="1">
      <c r="B57" s="42">
        <f>IF('計算'!$C53="","",'計算'!$B53)</f>
        <v/>
      </c>
      <c r="C57" s="43">
        <f>IF('計算'!$C53="","",'計算'!$D53)</f>
        <v/>
      </c>
      <c r="D57" s="44">
        <f>IF('計算'!$C53="","",'計算'!$O53)</f>
        <v/>
      </c>
      <c r="E57" s="45">
        <f>IF('計算'!$C53="","",'計算'!$L53)</f>
        <v/>
      </c>
      <c r="F57" s="46">
        <f>IF('計算'!$C53="","",'計算'!$CD53)</f>
        <v/>
      </c>
      <c r="G57" s="47">
        <f>IF('計算'!$C53="","",'計算'!$CA53)</f>
        <v/>
      </c>
      <c r="H57" s="43">
        <f>IF('計算'!$C53="","",'計算'!$CP53)</f>
        <v/>
      </c>
      <c r="I57" s="48" t="n"/>
      <c r="J57" s="49" t="n"/>
      <c r="K57" s="50">
        <f>IF('計算'!$C53="","",'計算'!$CR53)</f>
        <v/>
      </c>
      <c r="L57" s="51">
        <f>IF('計算'!$C53="","",'計算'!$CF53)</f>
        <v/>
      </c>
      <c r="M57" s="48" t="n"/>
      <c r="N57" s="49" t="n"/>
      <c r="O57" s="43">
        <f>IF('計算'!$C53="","",'計算'!$CQ53)</f>
        <v/>
      </c>
      <c r="P57" s="52">
        <f>IF('計算'!$C53="","",IF('計算'!$M53="","",'計算'!$AX53))</f>
        <v/>
      </c>
      <c r="Q57" s="52">
        <f>IF('計算'!$C53="","",IF('計算'!$M53="","",'計算'!$AY53))</f>
        <v/>
      </c>
      <c r="R57" s="52">
        <f>IF('計算'!$C53="","",IF('計算'!$M53="","",'計算'!$AZ53))</f>
        <v/>
      </c>
      <c r="S57" s="52">
        <f>IF('計算'!$C53="","",IF('計算'!$M53="","",'計算'!$BA53))</f>
        <v/>
      </c>
      <c r="T57" s="52">
        <f>IF('計算'!$C53="","",IF('計算'!$M53="","",'計算'!$BB53))</f>
        <v/>
      </c>
      <c r="U57" s="52">
        <f>IF('計算'!$C53="","",IF('計算'!$M53="","",'計算'!$BC53))</f>
        <v/>
      </c>
      <c r="V57" s="52">
        <f>IF('計算'!$C53="","",IF('計算'!$M53="","",'計算'!$BD53))</f>
        <v/>
      </c>
      <c r="W57" s="52">
        <f>IF('計算'!$C53="","",IF('計算'!$M53="","",'計算'!$BE53))</f>
        <v/>
      </c>
      <c r="X57" s="52">
        <f>IF('計算'!$C53="","",IF('計算'!$M53="","",'計算'!$BF53))</f>
        <v/>
      </c>
      <c r="Y57" s="52">
        <f>IF('計算'!$C53="","",IF('計算'!$M53="","",'計算'!$BG53))</f>
        <v/>
      </c>
      <c r="Z57" s="52">
        <f>IF('計算'!$C53="","",IF('計算'!$M53="","",'計算'!$BH53))</f>
        <v/>
      </c>
      <c r="AA57" s="52">
        <f>IF('計算'!$C53="","",IF('計算'!$M53="","",'計算'!$BI53))</f>
        <v/>
      </c>
      <c r="AB57" s="52">
        <f>IF('計算'!$C53="","",IF('計算'!$M53="","",'計算'!$BJ53))</f>
        <v/>
      </c>
      <c r="AC57" s="52">
        <f>IF('計算'!$C53="","",IF('計算'!$M53="","",'計算'!$BK53))</f>
        <v/>
      </c>
      <c r="AD57" s="53" t="n"/>
      <c r="AE57" s="48" t="n"/>
      <c r="AF57" s="54">
        <f>IF('計算'!$C53="","",'計算'!$C53)</f>
        <v/>
      </c>
      <c r="AG57" s="54">
        <f>IF('計算'!$C53="","",'計算'!$F53)</f>
        <v/>
      </c>
    </row>
    <row r="58" ht="18" customHeight="1">
      <c r="B58" s="42">
        <f>IF('計算'!$C54="","",'計算'!$B54)</f>
        <v/>
      </c>
      <c r="C58" s="43">
        <f>IF('計算'!$C54="","",'計算'!$D54)</f>
        <v/>
      </c>
      <c r="D58" s="44">
        <f>IF('計算'!$C54="","",'計算'!$O54)</f>
        <v/>
      </c>
      <c r="E58" s="45">
        <f>IF('計算'!$C54="","",'計算'!$L54)</f>
        <v/>
      </c>
      <c r="F58" s="46">
        <f>IF('計算'!$C54="","",'計算'!$CD54)</f>
        <v/>
      </c>
      <c r="G58" s="47">
        <f>IF('計算'!$C54="","",'計算'!$CA54)</f>
        <v/>
      </c>
      <c r="H58" s="43">
        <f>IF('計算'!$C54="","",'計算'!$CP54)</f>
        <v/>
      </c>
      <c r="I58" s="48" t="n"/>
      <c r="J58" s="49" t="n"/>
      <c r="K58" s="50">
        <f>IF('計算'!$C54="","",'計算'!$CR54)</f>
        <v/>
      </c>
      <c r="L58" s="51">
        <f>IF('計算'!$C54="","",'計算'!$CF54)</f>
        <v/>
      </c>
      <c r="M58" s="48" t="n"/>
      <c r="N58" s="49" t="n"/>
      <c r="O58" s="43">
        <f>IF('計算'!$C54="","",'計算'!$CQ54)</f>
        <v/>
      </c>
      <c r="P58" s="52">
        <f>IF('計算'!$C54="","",IF('計算'!$M54="","",'計算'!$AX54))</f>
        <v/>
      </c>
      <c r="Q58" s="52">
        <f>IF('計算'!$C54="","",IF('計算'!$M54="","",'計算'!$AY54))</f>
        <v/>
      </c>
      <c r="R58" s="52">
        <f>IF('計算'!$C54="","",IF('計算'!$M54="","",'計算'!$AZ54))</f>
        <v/>
      </c>
      <c r="S58" s="52">
        <f>IF('計算'!$C54="","",IF('計算'!$M54="","",'計算'!$BA54))</f>
        <v/>
      </c>
      <c r="T58" s="52">
        <f>IF('計算'!$C54="","",IF('計算'!$M54="","",'計算'!$BB54))</f>
        <v/>
      </c>
      <c r="U58" s="52">
        <f>IF('計算'!$C54="","",IF('計算'!$M54="","",'計算'!$BC54))</f>
        <v/>
      </c>
      <c r="V58" s="52">
        <f>IF('計算'!$C54="","",IF('計算'!$M54="","",'計算'!$BD54))</f>
        <v/>
      </c>
      <c r="W58" s="52">
        <f>IF('計算'!$C54="","",IF('計算'!$M54="","",'計算'!$BE54))</f>
        <v/>
      </c>
      <c r="X58" s="52">
        <f>IF('計算'!$C54="","",IF('計算'!$M54="","",'計算'!$BF54))</f>
        <v/>
      </c>
      <c r="Y58" s="52">
        <f>IF('計算'!$C54="","",IF('計算'!$M54="","",'計算'!$BG54))</f>
        <v/>
      </c>
      <c r="Z58" s="52">
        <f>IF('計算'!$C54="","",IF('計算'!$M54="","",'計算'!$BH54))</f>
        <v/>
      </c>
      <c r="AA58" s="52">
        <f>IF('計算'!$C54="","",IF('計算'!$M54="","",'計算'!$BI54))</f>
        <v/>
      </c>
      <c r="AB58" s="52">
        <f>IF('計算'!$C54="","",IF('計算'!$M54="","",'計算'!$BJ54))</f>
        <v/>
      </c>
      <c r="AC58" s="52">
        <f>IF('計算'!$C54="","",IF('計算'!$M54="","",'計算'!$BK54))</f>
        <v/>
      </c>
      <c r="AD58" s="53" t="n"/>
      <c r="AE58" s="48" t="n"/>
      <c r="AF58" s="54">
        <f>IF('計算'!$C54="","",'計算'!$C54)</f>
        <v/>
      </c>
      <c r="AG58" s="54">
        <f>IF('計算'!$C54="","",'計算'!$F54)</f>
        <v/>
      </c>
    </row>
    <row r="59" ht="18" customHeight="1">
      <c r="B59" s="42">
        <f>IF('計算'!$C55="","",'計算'!$B55)</f>
        <v/>
      </c>
      <c r="C59" s="43">
        <f>IF('計算'!$C55="","",'計算'!$D55)</f>
        <v/>
      </c>
      <c r="D59" s="44">
        <f>IF('計算'!$C55="","",'計算'!$O55)</f>
        <v/>
      </c>
      <c r="E59" s="45">
        <f>IF('計算'!$C55="","",'計算'!$L55)</f>
        <v/>
      </c>
      <c r="F59" s="46">
        <f>IF('計算'!$C55="","",'計算'!$CD55)</f>
        <v/>
      </c>
      <c r="G59" s="47">
        <f>IF('計算'!$C55="","",'計算'!$CA55)</f>
        <v/>
      </c>
      <c r="H59" s="43">
        <f>IF('計算'!$C55="","",'計算'!$CP55)</f>
        <v/>
      </c>
      <c r="I59" s="48" t="n"/>
      <c r="J59" s="49" t="n"/>
      <c r="K59" s="50">
        <f>IF('計算'!$C55="","",'計算'!$CR55)</f>
        <v/>
      </c>
      <c r="L59" s="51">
        <f>IF('計算'!$C55="","",'計算'!$CF55)</f>
        <v/>
      </c>
      <c r="M59" s="48" t="n"/>
      <c r="N59" s="49" t="n"/>
      <c r="O59" s="43">
        <f>IF('計算'!$C55="","",'計算'!$CQ55)</f>
        <v/>
      </c>
      <c r="P59" s="52">
        <f>IF('計算'!$C55="","",IF('計算'!$M55="","",'計算'!$AX55))</f>
        <v/>
      </c>
      <c r="Q59" s="52">
        <f>IF('計算'!$C55="","",IF('計算'!$M55="","",'計算'!$AY55))</f>
        <v/>
      </c>
      <c r="R59" s="52">
        <f>IF('計算'!$C55="","",IF('計算'!$M55="","",'計算'!$AZ55))</f>
        <v/>
      </c>
      <c r="S59" s="52">
        <f>IF('計算'!$C55="","",IF('計算'!$M55="","",'計算'!$BA55))</f>
        <v/>
      </c>
      <c r="T59" s="52">
        <f>IF('計算'!$C55="","",IF('計算'!$M55="","",'計算'!$BB55))</f>
        <v/>
      </c>
      <c r="U59" s="52">
        <f>IF('計算'!$C55="","",IF('計算'!$M55="","",'計算'!$BC55))</f>
        <v/>
      </c>
      <c r="V59" s="52">
        <f>IF('計算'!$C55="","",IF('計算'!$M55="","",'計算'!$BD55))</f>
        <v/>
      </c>
      <c r="W59" s="52">
        <f>IF('計算'!$C55="","",IF('計算'!$M55="","",'計算'!$BE55))</f>
        <v/>
      </c>
      <c r="X59" s="52">
        <f>IF('計算'!$C55="","",IF('計算'!$M55="","",'計算'!$BF55))</f>
        <v/>
      </c>
      <c r="Y59" s="52">
        <f>IF('計算'!$C55="","",IF('計算'!$M55="","",'計算'!$BG55))</f>
        <v/>
      </c>
      <c r="Z59" s="52">
        <f>IF('計算'!$C55="","",IF('計算'!$M55="","",'計算'!$BH55))</f>
        <v/>
      </c>
      <c r="AA59" s="52">
        <f>IF('計算'!$C55="","",IF('計算'!$M55="","",'計算'!$BI55))</f>
        <v/>
      </c>
      <c r="AB59" s="52">
        <f>IF('計算'!$C55="","",IF('計算'!$M55="","",'計算'!$BJ55))</f>
        <v/>
      </c>
      <c r="AC59" s="52">
        <f>IF('計算'!$C55="","",IF('計算'!$M55="","",'計算'!$BK55))</f>
        <v/>
      </c>
      <c r="AD59" s="53" t="n"/>
      <c r="AE59" s="48" t="n"/>
      <c r="AF59" s="54">
        <f>IF('計算'!$C55="","",'計算'!$C55)</f>
        <v/>
      </c>
      <c r="AG59" s="54">
        <f>IF('計算'!$C55="","",'計算'!$F55)</f>
        <v/>
      </c>
    </row>
    <row r="60" ht="18" customHeight="1">
      <c r="B60" s="42">
        <f>IF('計算'!$C56="","",'計算'!$B56)</f>
        <v/>
      </c>
      <c r="C60" s="43">
        <f>IF('計算'!$C56="","",'計算'!$D56)</f>
        <v/>
      </c>
      <c r="D60" s="44">
        <f>IF('計算'!$C56="","",'計算'!$O56)</f>
        <v/>
      </c>
      <c r="E60" s="45">
        <f>IF('計算'!$C56="","",'計算'!$L56)</f>
        <v/>
      </c>
      <c r="F60" s="46">
        <f>IF('計算'!$C56="","",'計算'!$CD56)</f>
        <v/>
      </c>
      <c r="G60" s="47">
        <f>IF('計算'!$C56="","",'計算'!$CA56)</f>
        <v/>
      </c>
      <c r="H60" s="43">
        <f>IF('計算'!$C56="","",'計算'!$CP56)</f>
        <v/>
      </c>
      <c r="I60" s="48" t="n"/>
      <c r="J60" s="49" t="n"/>
      <c r="K60" s="50">
        <f>IF('計算'!$C56="","",'計算'!$CR56)</f>
        <v/>
      </c>
      <c r="L60" s="51">
        <f>IF('計算'!$C56="","",'計算'!$CF56)</f>
        <v/>
      </c>
      <c r="M60" s="48" t="n"/>
      <c r="N60" s="49" t="n"/>
      <c r="O60" s="43">
        <f>IF('計算'!$C56="","",'計算'!$CQ56)</f>
        <v/>
      </c>
      <c r="P60" s="52">
        <f>IF('計算'!$C56="","",IF('計算'!$M56="","",'計算'!$AX56))</f>
        <v/>
      </c>
      <c r="Q60" s="52">
        <f>IF('計算'!$C56="","",IF('計算'!$M56="","",'計算'!$AY56))</f>
        <v/>
      </c>
      <c r="R60" s="52">
        <f>IF('計算'!$C56="","",IF('計算'!$M56="","",'計算'!$AZ56))</f>
        <v/>
      </c>
      <c r="S60" s="52">
        <f>IF('計算'!$C56="","",IF('計算'!$M56="","",'計算'!$BA56))</f>
        <v/>
      </c>
      <c r="T60" s="52">
        <f>IF('計算'!$C56="","",IF('計算'!$M56="","",'計算'!$BB56))</f>
        <v/>
      </c>
      <c r="U60" s="52">
        <f>IF('計算'!$C56="","",IF('計算'!$M56="","",'計算'!$BC56))</f>
        <v/>
      </c>
      <c r="V60" s="52">
        <f>IF('計算'!$C56="","",IF('計算'!$M56="","",'計算'!$BD56))</f>
        <v/>
      </c>
      <c r="W60" s="52">
        <f>IF('計算'!$C56="","",IF('計算'!$M56="","",'計算'!$BE56))</f>
        <v/>
      </c>
      <c r="X60" s="52">
        <f>IF('計算'!$C56="","",IF('計算'!$M56="","",'計算'!$BF56))</f>
        <v/>
      </c>
      <c r="Y60" s="52">
        <f>IF('計算'!$C56="","",IF('計算'!$M56="","",'計算'!$BG56))</f>
        <v/>
      </c>
      <c r="Z60" s="52">
        <f>IF('計算'!$C56="","",IF('計算'!$M56="","",'計算'!$BH56))</f>
        <v/>
      </c>
      <c r="AA60" s="52">
        <f>IF('計算'!$C56="","",IF('計算'!$M56="","",'計算'!$BI56))</f>
        <v/>
      </c>
      <c r="AB60" s="52">
        <f>IF('計算'!$C56="","",IF('計算'!$M56="","",'計算'!$BJ56))</f>
        <v/>
      </c>
      <c r="AC60" s="52">
        <f>IF('計算'!$C56="","",IF('計算'!$M56="","",'計算'!$BK56))</f>
        <v/>
      </c>
      <c r="AD60" s="53" t="n"/>
      <c r="AE60" s="48" t="n"/>
      <c r="AF60" s="54">
        <f>IF('計算'!$C56="","",'計算'!$C56)</f>
        <v/>
      </c>
      <c r="AG60" s="54">
        <f>IF('計算'!$C56="","",'計算'!$F56)</f>
        <v/>
      </c>
    </row>
    <row r="61" ht="18" customHeight="1">
      <c r="B61" s="42">
        <f>IF('計算'!$C57="","",'計算'!$B57)</f>
        <v/>
      </c>
      <c r="C61" s="43">
        <f>IF('計算'!$C57="","",'計算'!$D57)</f>
        <v/>
      </c>
      <c r="D61" s="44">
        <f>IF('計算'!$C57="","",'計算'!$O57)</f>
        <v/>
      </c>
      <c r="E61" s="45">
        <f>IF('計算'!$C57="","",'計算'!$L57)</f>
        <v/>
      </c>
      <c r="F61" s="46">
        <f>IF('計算'!$C57="","",'計算'!$CD57)</f>
        <v/>
      </c>
      <c r="G61" s="47">
        <f>IF('計算'!$C57="","",'計算'!$CA57)</f>
        <v/>
      </c>
      <c r="H61" s="43">
        <f>IF('計算'!$C57="","",'計算'!$CP57)</f>
        <v/>
      </c>
      <c r="I61" s="48" t="n"/>
      <c r="J61" s="49" t="n"/>
      <c r="K61" s="50">
        <f>IF('計算'!$C57="","",'計算'!$CR57)</f>
        <v/>
      </c>
      <c r="L61" s="51">
        <f>IF('計算'!$C57="","",'計算'!$CF57)</f>
        <v/>
      </c>
      <c r="M61" s="48" t="n"/>
      <c r="N61" s="49" t="n"/>
      <c r="O61" s="43">
        <f>IF('計算'!$C57="","",'計算'!$CQ57)</f>
        <v/>
      </c>
      <c r="P61" s="52">
        <f>IF('計算'!$C57="","",IF('計算'!$M57="","",'計算'!$AX57))</f>
        <v/>
      </c>
      <c r="Q61" s="52">
        <f>IF('計算'!$C57="","",IF('計算'!$M57="","",'計算'!$AY57))</f>
        <v/>
      </c>
      <c r="R61" s="52">
        <f>IF('計算'!$C57="","",IF('計算'!$M57="","",'計算'!$AZ57))</f>
        <v/>
      </c>
      <c r="S61" s="52">
        <f>IF('計算'!$C57="","",IF('計算'!$M57="","",'計算'!$BA57))</f>
        <v/>
      </c>
      <c r="T61" s="52">
        <f>IF('計算'!$C57="","",IF('計算'!$M57="","",'計算'!$BB57))</f>
        <v/>
      </c>
      <c r="U61" s="52">
        <f>IF('計算'!$C57="","",IF('計算'!$M57="","",'計算'!$BC57))</f>
        <v/>
      </c>
      <c r="V61" s="52">
        <f>IF('計算'!$C57="","",IF('計算'!$M57="","",'計算'!$BD57))</f>
        <v/>
      </c>
      <c r="W61" s="52">
        <f>IF('計算'!$C57="","",IF('計算'!$M57="","",'計算'!$BE57))</f>
        <v/>
      </c>
      <c r="X61" s="52">
        <f>IF('計算'!$C57="","",IF('計算'!$M57="","",'計算'!$BF57))</f>
        <v/>
      </c>
      <c r="Y61" s="52">
        <f>IF('計算'!$C57="","",IF('計算'!$M57="","",'計算'!$BG57))</f>
        <v/>
      </c>
      <c r="Z61" s="52">
        <f>IF('計算'!$C57="","",IF('計算'!$M57="","",'計算'!$BH57))</f>
        <v/>
      </c>
      <c r="AA61" s="52">
        <f>IF('計算'!$C57="","",IF('計算'!$M57="","",'計算'!$BI57))</f>
        <v/>
      </c>
      <c r="AB61" s="52">
        <f>IF('計算'!$C57="","",IF('計算'!$M57="","",'計算'!$BJ57))</f>
        <v/>
      </c>
      <c r="AC61" s="52">
        <f>IF('計算'!$C57="","",IF('計算'!$M57="","",'計算'!$BK57))</f>
        <v/>
      </c>
      <c r="AD61" s="53" t="n"/>
      <c r="AE61" s="48" t="n"/>
      <c r="AF61" s="54">
        <f>IF('計算'!$C57="","",'計算'!$C57)</f>
        <v/>
      </c>
      <c r="AG61" s="54">
        <f>IF('計算'!$C57="","",'計算'!$F57)</f>
        <v/>
      </c>
    </row>
    <row r="62" ht="18" customHeight="1">
      <c r="B62" s="42">
        <f>IF('計算'!$C58="","",'計算'!$B58)</f>
        <v/>
      </c>
      <c r="C62" s="43">
        <f>IF('計算'!$C58="","",'計算'!$D58)</f>
        <v/>
      </c>
      <c r="D62" s="44">
        <f>IF('計算'!$C58="","",'計算'!$O58)</f>
        <v/>
      </c>
      <c r="E62" s="45">
        <f>IF('計算'!$C58="","",'計算'!$L58)</f>
        <v/>
      </c>
      <c r="F62" s="46">
        <f>IF('計算'!$C58="","",'計算'!$CD58)</f>
        <v/>
      </c>
      <c r="G62" s="47">
        <f>IF('計算'!$C58="","",'計算'!$CA58)</f>
        <v/>
      </c>
      <c r="H62" s="43">
        <f>IF('計算'!$C58="","",'計算'!$CP58)</f>
        <v/>
      </c>
      <c r="I62" s="48" t="n"/>
      <c r="J62" s="49" t="n"/>
      <c r="K62" s="50">
        <f>IF('計算'!$C58="","",'計算'!$CR58)</f>
        <v/>
      </c>
      <c r="L62" s="51">
        <f>IF('計算'!$C58="","",'計算'!$CF58)</f>
        <v/>
      </c>
      <c r="M62" s="48" t="n"/>
      <c r="N62" s="49" t="n"/>
      <c r="O62" s="43">
        <f>IF('計算'!$C58="","",'計算'!$CQ58)</f>
        <v/>
      </c>
      <c r="P62" s="52">
        <f>IF('計算'!$C58="","",IF('計算'!$M58="","",'計算'!$AX58))</f>
        <v/>
      </c>
      <c r="Q62" s="52">
        <f>IF('計算'!$C58="","",IF('計算'!$M58="","",'計算'!$AY58))</f>
        <v/>
      </c>
      <c r="R62" s="52">
        <f>IF('計算'!$C58="","",IF('計算'!$M58="","",'計算'!$AZ58))</f>
        <v/>
      </c>
      <c r="S62" s="52">
        <f>IF('計算'!$C58="","",IF('計算'!$M58="","",'計算'!$BA58))</f>
        <v/>
      </c>
      <c r="T62" s="52">
        <f>IF('計算'!$C58="","",IF('計算'!$M58="","",'計算'!$BB58))</f>
        <v/>
      </c>
      <c r="U62" s="52">
        <f>IF('計算'!$C58="","",IF('計算'!$M58="","",'計算'!$BC58))</f>
        <v/>
      </c>
      <c r="V62" s="52">
        <f>IF('計算'!$C58="","",IF('計算'!$M58="","",'計算'!$BD58))</f>
        <v/>
      </c>
      <c r="W62" s="52">
        <f>IF('計算'!$C58="","",IF('計算'!$M58="","",'計算'!$BE58))</f>
        <v/>
      </c>
      <c r="X62" s="52">
        <f>IF('計算'!$C58="","",IF('計算'!$M58="","",'計算'!$BF58))</f>
        <v/>
      </c>
      <c r="Y62" s="52">
        <f>IF('計算'!$C58="","",IF('計算'!$M58="","",'計算'!$BG58))</f>
        <v/>
      </c>
      <c r="Z62" s="52">
        <f>IF('計算'!$C58="","",IF('計算'!$M58="","",'計算'!$BH58))</f>
        <v/>
      </c>
      <c r="AA62" s="52">
        <f>IF('計算'!$C58="","",IF('計算'!$M58="","",'計算'!$BI58))</f>
        <v/>
      </c>
      <c r="AB62" s="52">
        <f>IF('計算'!$C58="","",IF('計算'!$M58="","",'計算'!$BJ58))</f>
        <v/>
      </c>
      <c r="AC62" s="52">
        <f>IF('計算'!$C58="","",IF('計算'!$M58="","",'計算'!$BK58))</f>
        <v/>
      </c>
      <c r="AD62" s="53" t="n"/>
      <c r="AE62" s="48" t="n"/>
      <c r="AF62" s="54">
        <f>IF('計算'!$C58="","",'計算'!$C58)</f>
        <v/>
      </c>
      <c r="AG62" s="54">
        <f>IF('計算'!$C58="","",'計算'!$F58)</f>
        <v/>
      </c>
    </row>
    <row r="63" ht="18" customHeight="1">
      <c r="B63" s="42">
        <f>IF('計算'!$C59="","",'計算'!$B59)</f>
        <v/>
      </c>
      <c r="C63" s="43">
        <f>IF('計算'!$C59="","",'計算'!$D59)</f>
        <v/>
      </c>
      <c r="D63" s="44">
        <f>IF('計算'!$C59="","",'計算'!$O59)</f>
        <v/>
      </c>
      <c r="E63" s="45">
        <f>IF('計算'!$C59="","",'計算'!$L59)</f>
        <v/>
      </c>
      <c r="F63" s="46">
        <f>IF('計算'!$C59="","",'計算'!$CD59)</f>
        <v/>
      </c>
      <c r="G63" s="47">
        <f>IF('計算'!$C59="","",'計算'!$CA59)</f>
        <v/>
      </c>
      <c r="H63" s="43">
        <f>IF('計算'!$C59="","",'計算'!$CP59)</f>
        <v/>
      </c>
      <c r="I63" s="48" t="n"/>
      <c r="J63" s="49" t="n"/>
      <c r="K63" s="50">
        <f>IF('計算'!$C59="","",'計算'!$CR59)</f>
        <v/>
      </c>
      <c r="L63" s="51">
        <f>IF('計算'!$C59="","",'計算'!$CF59)</f>
        <v/>
      </c>
      <c r="M63" s="48" t="n"/>
      <c r="N63" s="49" t="n"/>
      <c r="O63" s="43">
        <f>IF('計算'!$C59="","",'計算'!$CQ59)</f>
        <v/>
      </c>
      <c r="P63" s="52">
        <f>IF('計算'!$C59="","",IF('計算'!$M59="","",'計算'!$AX59))</f>
        <v/>
      </c>
      <c r="Q63" s="52">
        <f>IF('計算'!$C59="","",IF('計算'!$M59="","",'計算'!$AY59))</f>
        <v/>
      </c>
      <c r="R63" s="52">
        <f>IF('計算'!$C59="","",IF('計算'!$M59="","",'計算'!$AZ59))</f>
        <v/>
      </c>
      <c r="S63" s="52">
        <f>IF('計算'!$C59="","",IF('計算'!$M59="","",'計算'!$BA59))</f>
        <v/>
      </c>
      <c r="T63" s="52">
        <f>IF('計算'!$C59="","",IF('計算'!$M59="","",'計算'!$BB59))</f>
        <v/>
      </c>
      <c r="U63" s="52">
        <f>IF('計算'!$C59="","",IF('計算'!$M59="","",'計算'!$BC59))</f>
        <v/>
      </c>
      <c r="V63" s="52">
        <f>IF('計算'!$C59="","",IF('計算'!$M59="","",'計算'!$BD59))</f>
        <v/>
      </c>
      <c r="W63" s="52">
        <f>IF('計算'!$C59="","",IF('計算'!$M59="","",'計算'!$BE59))</f>
        <v/>
      </c>
      <c r="X63" s="52">
        <f>IF('計算'!$C59="","",IF('計算'!$M59="","",'計算'!$BF59))</f>
        <v/>
      </c>
      <c r="Y63" s="52">
        <f>IF('計算'!$C59="","",IF('計算'!$M59="","",'計算'!$BG59))</f>
        <v/>
      </c>
      <c r="Z63" s="52">
        <f>IF('計算'!$C59="","",IF('計算'!$M59="","",'計算'!$BH59))</f>
        <v/>
      </c>
      <c r="AA63" s="52">
        <f>IF('計算'!$C59="","",IF('計算'!$M59="","",'計算'!$BI59))</f>
        <v/>
      </c>
      <c r="AB63" s="52">
        <f>IF('計算'!$C59="","",IF('計算'!$M59="","",'計算'!$BJ59))</f>
        <v/>
      </c>
      <c r="AC63" s="52">
        <f>IF('計算'!$C59="","",IF('計算'!$M59="","",'計算'!$BK59))</f>
        <v/>
      </c>
      <c r="AD63" s="53" t="n"/>
      <c r="AE63" s="48" t="n"/>
      <c r="AF63" s="54">
        <f>IF('計算'!$C59="","",'計算'!$C59)</f>
        <v/>
      </c>
      <c r="AG63" s="54">
        <f>IF('計算'!$C59="","",'計算'!$F59)</f>
        <v/>
      </c>
    </row>
    <row r="64" ht="18" customHeight="1">
      <c r="B64" s="42">
        <f>IF('計算'!$C60="","",'計算'!$B60)</f>
        <v/>
      </c>
      <c r="C64" s="43">
        <f>IF('計算'!$C60="","",'計算'!$D60)</f>
        <v/>
      </c>
      <c r="D64" s="44">
        <f>IF('計算'!$C60="","",'計算'!$O60)</f>
        <v/>
      </c>
      <c r="E64" s="45">
        <f>IF('計算'!$C60="","",'計算'!$L60)</f>
        <v/>
      </c>
      <c r="F64" s="46">
        <f>IF('計算'!$C60="","",'計算'!$CD60)</f>
        <v/>
      </c>
      <c r="G64" s="47">
        <f>IF('計算'!$C60="","",'計算'!$CA60)</f>
        <v/>
      </c>
      <c r="H64" s="43">
        <f>IF('計算'!$C60="","",'計算'!$CP60)</f>
        <v/>
      </c>
      <c r="I64" s="48" t="n"/>
      <c r="J64" s="49" t="n"/>
      <c r="K64" s="50">
        <f>IF('計算'!$C60="","",'計算'!$CR60)</f>
        <v/>
      </c>
      <c r="L64" s="51">
        <f>IF('計算'!$C60="","",'計算'!$CF60)</f>
        <v/>
      </c>
      <c r="M64" s="48" t="n"/>
      <c r="N64" s="49" t="n"/>
      <c r="O64" s="43">
        <f>IF('計算'!$C60="","",'計算'!$CQ60)</f>
        <v/>
      </c>
      <c r="P64" s="52">
        <f>IF('計算'!$C60="","",IF('計算'!$M60="","",'計算'!$AX60))</f>
        <v/>
      </c>
      <c r="Q64" s="52">
        <f>IF('計算'!$C60="","",IF('計算'!$M60="","",'計算'!$AY60))</f>
        <v/>
      </c>
      <c r="R64" s="52">
        <f>IF('計算'!$C60="","",IF('計算'!$M60="","",'計算'!$AZ60))</f>
        <v/>
      </c>
      <c r="S64" s="52">
        <f>IF('計算'!$C60="","",IF('計算'!$M60="","",'計算'!$BA60))</f>
        <v/>
      </c>
      <c r="T64" s="52">
        <f>IF('計算'!$C60="","",IF('計算'!$M60="","",'計算'!$BB60))</f>
        <v/>
      </c>
      <c r="U64" s="52">
        <f>IF('計算'!$C60="","",IF('計算'!$M60="","",'計算'!$BC60))</f>
        <v/>
      </c>
      <c r="V64" s="52">
        <f>IF('計算'!$C60="","",IF('計算'!$M60="","",'計算'!$BD60))</f>
        <v/>
      </c>
      <c r="W64" s="52">
        <f>IF('計算'!$C60="","",IF('計算'!$M60="","",'計算'!$BE60))</f>
        <v/>
      </c>
      <c r="X64" s="52">
        <f>IF('計算'!$C60="","",IF('計算'!$M60="","",'計算'!$BF60))</f>
        <v/>
      </c>
      <c r="Y64" s="52">
        <f>IF('計算'!$C60="","",IF('計算'!$M60="","",'計算'!$BG60))</f>
        <v/>
      </c>
      <c r="Z64" s="52">
        <f>IF('計算'!$C60="","",IF('計算'!$M60="","",'計算'!$BH60))</f>
        <v/>
      </c>
      <c r="AA64" s="52">
        <f>IF('計算'!$C60="","",IF('計算'!$M60="","",'計算'!$BI60))</f>
        <v/>
      </c>
      <c r="AB64" s="52">
        <f>IF('計算'!$C60="","",IF('計算'!$M60="","",'計算'!$BJ60))</f>
        <v/>
      </c>
      <c r="AC64" s="52">
        <f>IF('計算'!$C60="","",IF('計算'!$M60="","",'計算'!$BK60))</f>
        <v/>
      </c>
      <c r="AD64" s="53" t="n"/>
      <c r="AE64" s="48" t="n"/>
      <c r="AF64" s="54">
        <f>IF('計算'!$C60="","",'計算'!$C60)</f>
        <v/>
      </c>
      <c r="AG64" s="54">
        <f>IF('計算'!$C60="","",'計算'!$F60)</f>
        <v/>
      </c>
    </row>
    <row r="65" ht="18" customHeight="1">
      <c r="B65" s="42">
        <f>IF('計算'!$C61="","",'計算'!$B61)</f>
        <v/>
      </c>
      <c r="C65" s="43">
        <f>IF('計算'!$C61="","",'計算'!$D61)</f>
        <v/>
      </c>
      <c r="D65" s="44">
        <f>IF('計算'!$C61="","",'計算'!$O61)</f>
        <v/>
      </c>
      <c r="E65" s="45">
        <f>IF('計算'!$C61="","",'計算'!$L61)</f>
        <v/>
      </c>
      <c r="F65" s="46">
        <f>IF('計算'!$C61="","",'計算'!$CD61)</f>
        <v/>
      </c>
      <c r="G65" s="47">
        <f>IF('計算'!$C61="","",'計算'!$CA61)</f>
        <v/>
      </c>
      <c r="H65" s="43">
        <f>IF('計算'!$C61="","",'計算'!$CP61)</f>
        <v/>
      </c>
      <c r="I65" s="48" t="n"/>
      <c r="J65" s="49" t="n"/>
      <c r="K65" s="50">
        <f>IF('計算'!$C61="","",'計算'!$CR61)</f>
        <v/>
      </c>
      <c r="L65" s="51">
        <f>IF('計算'!$C61="","",'計算'!$CF61)</f>
        <v/>
      </c>
      <c r="M65" s="48" t="n"/>
      <c r="N65" s="49" t="n"/>
      <c r="O65" s="43">
        <f>IF('計算'!$C61="","",'計算'!$CQ61)</f>
        <v/>
      </c>
      <c r="P65" s="52">
        <f>IF('計算'!$C61="","",IF('計算'!$M61="","",'計算'!$AX61))</f>
        <v/>
      </c>
      <c r="Q65" s="52">
        <f>IF('計算'!$C61="","",IF('計算'!$M61="","",'計算'!$AY61))</f>
        <v/>
      </c>
      <c r="R65" s="52">
        <f>IF('計算'!$C61="","",IF('計算'!$M61="","",'計算'!$AZ61))</f>
        <v/>
      </c>
      <c r="S65" s="52">
        <f>IF('計算'!$C61="","",IF('計算'!$M61="","",'計算'!$BA61))</f>
        <v/>
      </c>
      <c r="T65" s="52">
        <f>IF('計算'!$C61="","",IF('計算'!$M61="","",'計算'!$BB61))</f>
        <v/>
      </c>
      <c r="U65" s="52">
        <f>IF('計算'!$C61="","",IF('計算'!$M61="","",'計算'!$BC61))</f>
        <v/>
      </c>
      <c r="V65" s="52">
        <f>IF('計算'!$C61="","",IF('計算'!$M61="","",'計算'!$BD61))</f>
        <v/>
      </c>
      <c r="W65" s="52">
        <f>IF('計算'!$C61="","",IF('計算'!$M61="","",'計算'!$BE61))</f>
        <v/>
      </c>
      <c r="X65" s="52">
        <f>IF('計算'!$C61="","",IF('計算'!$M61="","",'計算'!$BF61))</f>
        <v/>
      </c>
      <c r="Y65" s="52">
        <f>IF('計算'!$C61="","",IF('計算'!$M61="","",'計算'!$BG61))</f>
        <v/>
      </c>
      <c r="Z65" s="52">
        <f>IF('計算'!$C61="","",IF('計算'!$M61="","",'計算'!$BH61))</f>
        <v/>
      </c>
      <c r="AA65" s="52">
        <f>IF('計算'!$C61="","",IF('計算'!$M61="","",'計算'!$BI61))</f>
        <v/>
      </c>
      <c r="AB65" s="52">
        <f>IF('計算'!$C61="","",IF('計算'!$M61="","",'計算'!$BJ61))</f>
        <v/>
      </c>
      <c r="AC65" s="52">
        <f>IF('計算'!$C61="","",IF('計算'!$M61="","",'計算'!$BK61))</f>
        <v/>
      </c>
      <c r="AD65" s="53" t="n"/>
      <c r="AE65" s="48" t="n"/>
      <c r="AF65" s="54">
        <f>IF('計算'!$C61="","",'計算'!$C61)</f>
        <v/>
      </c>
      <c r="AG65" s="54">
        <f>IF('計算'!$C61="","",'計算'!$F61)</f>
        <v/>
      </c>
    </row>
    <row r="66" ht="18" customHeight="1">
      <c r="B66" s="42">
        <f>IF('計算'!$C62="","",'計算'!$B62)</f>
        <v/>
      </c>
      <c r="C66" s="43">
        <f>IF('計算'!$C62="","",'計算'!$D62)</f>
        <v/>
      </c>
      <c r="D66" s="44">
        <f>IF('計算'!$C62="","",'計算'!$O62)</f>
        <v/>
      </c>
      <c r="E66" s="45">
        <f>IF('計算'!$C62="","",'計算'!$L62)</f>
        <v/>
      </c>
      <c r="F66" s="46">
        <f>IF('計算'!$C62="","",'計算'!$CD62)</f>
        <v/>
      </c>
      <c r="G66" s="47">
        <f>IF('計算'!$C62="","",'計算'!$CA62)</f>
        <v/>
      </c>
      <c r="H66" s="43">
        <f>IF('計算'!$C62="","",'計算'!$CP62)</f>
        <v/>
      </c>
      <c r="I66" s="48" t="n"/>
      <c r="J66" s="49" t="n"/>
      <c r="K66" s="50">
        <f>IF('計算'!$C62="","",'計算'!$CR62)</f>
        <v/>
      </c>
      <c r="L66" s="51">
        <f>IF('計算'!$C62="","",'計算'!$CF62)</f>
        <v/>
      </c>
      <c r="M66" s="48" t="n"/>
      <c r="N66" s="49" t="n"/>
      <c r="O66" s="43">
        <f>IF('計算'!$C62="","",'計算'!$CQ62)</f>
        <v/>
      </c>
      <c r="P66" s="52">
        <f>IF('計算'!$C62="","",IF('計算'!$M62="","",'計算'!$AX62))</f>
        <v/>
      </c>
      <c r="Q66" s="52">
        <f>IF('計算'!$C62="","",IF('計算'!$M62="","",'計算'!$AY62))</f>
        <v/>
      </c>
      <c r="R66" s="52">
        <f>IF('計算'!$C62="","",IF('計算'!$M62="","",'計算'!$AZ62))</f>
        <v/>
      </c>
      <c r="S66" s="52">
        <f>IF('計算'!$C62="","",IF('計算'!$M62="","",'計算'!$BA62))</f>
        <v/>
      </c>
      <c r="T66" s="52">
        <f>IF('計算'!$C62="","",IF('計算'!$M62="","",'計算'!$BB62))</f>
        <v/>
      </c>
      <c r="U66" s="52">
        <f>IF('計算'!$C62="","",IF('計算'!$M62="","",'計算'!$BC62))</f>
        <v/>
      </c>
      <c r="V66" s="52">
        <f>IF('計算'!$C62="","",IF('計算'!$M62="","",'計算'!$BD62))</f>
        <v/>
      </c>
      <c r="W66" s="52">
        <f>IF('計算'!$C62="","",IF('計算'!$M62="","",'計算'!$BE62))</f>
        <v/>
      </c>
      <c r="X66" s="52">
        <f>IF('計算'!$C62="","",IF('計算'!$M62="","",'計算'!$BF62))</f>
        <v/>
      </c>
      <c r="Y66" s="52">
        <f>IF('計算'!$C62="","",IF('計算'!$M62="","",'計算'!$BG62))</f>
        <v/>
      </c>
      <c r="Z66" s="52">
        <f>IF('計算'!$C62="","",IF('計算'!$M62="","",'計算'!$BH62))</f>
        <v/>
      </c>
      <c r="AA66" s="52">
        <f>IF('計算'!$C62="","",IF('計算'!$M62="","",'計算'!$BI62))</f>
        <v/>
      </c>
      <c r="AB66" s="52">
        <f>IF('計算'!$C62="","",IF('計算'!$M62="","",'計算'!$BJ62))</f>
        <v/>
      </c>
      <c r="AC66" s="52">
        <f>IF('計算'!$C62="","",IF('計算'!$M62="","",'計算'!$BK62))</f>
        <v/>
      </c>
      <c r="AD66" s="53" t="n"/>
      <c r="AE66" s="48" t="n"/>
      <c r="AF66" s="54">
        <f>IF('計算'!$C62="","",'計算'!$C62)</f>
        <v/>
      </c>
      <c r="AG66" s="54">
        <f>IF('計算'!$C62="","",'計算'!$F62)</f>
        <v/>
      </c>
    </row>
    <row r="67" ht="18" customHeight="1">
      <c r="B67" s="42">
        <f>IF('計算'!$C63="","",'計算'!$B63)</f>
        <v/>
      </c>
      <c r="C67" s="43">
        <f>IF('計算'!$C63="","",'計算'!$D63)</f>
        <v/>
      </c>
      <c r="D67" s="44">
        <f>IF('計算'!$C63="","",'計算'!$O63)</f>
        <v/>
      </c>
      <c r="E67" s="45">
        <f>IF('計算'!$C63="","",'計算'!$L63)</f>
        <v/>
      </c>
      <c r="F67" s="46">
        <f>IF('計算'!$C63="","",'計算'!$CD63)</f>
        <v/>
      </c>
      <c r="G67" s="47">
        <f>IF('計算'!$C63="","",'計算'!$CA63)</f>
        <v/>
      </c>
      <c r="H67" s="43">
        <f>IF('計算'!$C63="","",'計算'!$CP63)</f>
        <v/>
      </c>
      <c r="I67" s="48" t="n"/>
      <c r="J67" s="49" t="n"/>
      <c r="K67" s="50">
        <f>IF('計算'!$C63="","",'計算'!$CR63)</f>
        <v/>
      </c>
      <c r="L67" s="51">
        <f>IF('計算'!$C63="","",'計算'!$CF63)</f>
        <v/>
      </c>
      <c r="M67" s="48" t="n"/>
      <c r="N67" s="49" t="n"/>
      <c r="O67" s="43">
        <f>IF('計算'!$C63="","",'計算'!$CQ63)</f>
        <v/>
      </c>
      <c r="P67" s="52">
        <f>IF('計算'!$C63="","",IF('計算'!$M63="","",'計算'!$AX63))</f>
        <v/>
      </c>
      <c r="Q67" s="52">
        <f>IF('計算'!$C63="","",IF('計算'!$M63="","",'計算'!$AY63))</f>
        <v/>
      </c>
      <c r="R67" s="52">
        <f>IF('計算'!$C63="","",IF('計算'!$M63="","",'計算'!$AZ63))</f>
        <v/>
      </c>
      <c r="S67" s="52">
        <f>IF('計算'!$C63="","",IF('計算'!$M63="","",'計算'!$BA63))</f>
        <v/>
      </c>
      <c r="T67" s="52">
        <f>IF('計算'!$C63="","",IF('計算'!$M63="","",'計算'!$BB63))</f>
        <v/>
      </c>
      <c r="U67" s="52">
        <f>IF('計算'!$C63="","",IF('計算'!$M63="","",'計算'!$BC63))</f>
        <v/>
      </c>
      <c r="V67" s="52">
        <f>IF('計算'!$C63="","",IF('計算'!$M63="","",'計算'!$BD63))</f>
        <v/>
      </c>
      <c r="W67" s="52">
        <f>IF('計算'!$C63="","",IF('計算'!$M63="","",'計算'!$BE63))</f>
        <v/>
      </c>
      <c r="X67" s="52">
        <f>IF('計算'!$C63="","",IF('計算'!$M63="","",'計算'!$BF63))</f>
        <v/>
      </c>
      <c r="Y67" s="52">
        <f>IF('計算'!$C63="","",IF('計算'!$M63="","",'計算'!$BG63))</f>
        <v/>
      </c>
      <c r="Z67" s="52">
        <f>IF('計算'!$C63="","",IF('計算'!$M63="","",'計算'!$BH63))</f>
        <v/>
      </c>
      <c r="AA67" s="52">
        <f>IF('計算'!$C63="","",IF('計算'!$M63="","",'計算'!$BI63))</f>
        <v/>
      </c>
      <c r="AB67" s="52">
        <f>IF('計算'!$C63="","",IF('計算'!$M63="","",'計算'!$BJ63))</f>
        <v/>
      </c>
      <c r="AC67" s="52">
        <f>IF('計算'!$C63="","",IF('計算'!$M63="","",'計算'!$BK63))</f>
        <v/>
      </c>
      <c r="AD67" s="53" t="n"/>
      <c r="AE67" s="48" t="n"/>
      <c r="AF67" s="54">
        <f>IF('計算'!$C63="","",'計算'!$C63)</f>
        <v/>
      </c>
      <c r="AG67" s="54">
        <f>IF('計算'!$C63="","",'計算'!$F63)</f>
        <v/>
      </c>
    </row>
    <row r="68" ht="18" customHeight="1">
      <c r="B68" s="42">
        <f>IF('計算'!$C64="","",'計算'!$B64)</f>
        <v/>
      </c>
      <c r="C68" s="43">
        <f>IF('計算'!$C64="","",'計算'!$D64)</f>
        <v/>
      </c>
      <c r="D68" s="44">
        <f>IF('計算'!$C64="","",'計算'!$O64)</f>
        <v/>
      </c>
      <c r="E68" s="45">
        <f>IF('計算'!$C64="","",'計算'!$L64)</f>
        <v/>
      </c>
      <c r="F68" s="46">
        <f>IF('計算'!$C64="","",'計算'!$CD64)</f>
        <v/>
      </c>
      <c r="G68" s="47">
        <f>IF('計算'!$C64="","",'計算'!$CA64)</f>
        <v/>
      </c>
      <c r="H68" s="43">
        <f>IF('計算'!$C64="","",'計算'!$CP64)</f>
        <v/>
      </c>
      <c r="I68" s="48" t="n"/>
      <c r="J68" s="49" t="n"/>
      <c r="K68" s="50">
        <f>IF('計算'!$C64="","",'計算'!$CR64)</f>
        <v/>
      </c>
      <c r="L68" s="51">
        <f>IF('計算'!$C64="","",'計算'!$CF64)</f>
        <v/>
      </c>
      <c r="M68" s="48" t="n"/>
      <c r="N68" s="49" t="n"/>
      <c r="O68" s="43">
        <f>IF('計算'!$C64="","",'計算'!$CQ64)</f>
        <v/>
      </c>
      <c r="P68" s="52">
        <f>IF('計算'!$C64="","",IF('計算'!$M64="","",'計算'!$AX64))</f>
        <v/>
      </c>
      <c r="Q68" s="52">
        <f>IF('計算'!$C64="","",IF('計算'!$M64="","",'計算'!$AY64))</f>
        <v/>
      </c>
      <c r="R68" s="52">
        <f>IF('計算'!$C64="","",IF('計算'!$M64="","",'計算'!$AZ64))</f>
        <v/>
      </c>
      <c r="S68" s="52">
        <f>IF('計算'!$C64="","",IF('計算'!$M64="","",'計算'!$BA64))</f>
        <v/>
      </c>
      <c r="T68" s="52">
        <f>IF('計算'!$C64="","",IF('計算'!$M64="","",'計算'!$BB64))</f>
        <v/>
      </c>
      <c r="U68" s="52">
        <f>IF('計算'!$C64="","",IF('計算'!$M64="","",'計算'!$BC64))</f>
        <v/>
      </c>
      <c r="V68" s="52">
        <f>IF('計算'!$C64="","",IF('計算'!$M64="","",'計算'!$BD64))</f>
        <v/>
      </c>
      <c r="W68" s="52">
        <f>IF('計算'!$C64="","",IF('計算'!$M64="","",'計算'!$BE64))</f>
        <v/>
      </c>
      <c r="X68" s="52">
        <f>IF('計算'!$C64="","",IF('計算'!$M64="","",'計算'!$BF64))</f>
        <v/>
      </c>
      <c r="Y68" s="52">
        <f>IF('計算'!$C64="","",IF('計算'!$M64="","",'計算'!$BG64))</f>
        <v/>
      </c>
      <c r="Z68" s="52">
        <f>IF('計算'!$C64="","",IF('計算'!$M64="","",'計算'!$BH64))</f>
        <v/>
      </c>
      <c r="AA68" s="52">
        <f>IF('計算'!$C64="","",IF('計算'!$M64="","",'計算'!$BI64))</f>
        <v/>
      </c>
      <c r="AB68" s="52">
        <f>IF('計算'!$C64="","",IF('計算'!$M64="","",'計算'!$BJ64))</f>
        <v/>
      </c>
      <c r="AC68" s="52">
        <f>IF('計算'!$C64="","",IF('計算'!$M64="","",'計算'!$BK64))</f>
        <v/>
      </c>
      <c r="AD68" s="53" t="n"/>
      <c r="AE68" s="48" t="n"/>
      <c r="AF68" s="54">
        <f>IF('計算'!$C64="","",'計算'!$C64)</f>
        <v/>
      </c>
      <c r="AG68" s="54">
        <f>IF('計算'!$C64="","",'計算'!$F64)</f>
        <v/>
      </c>
    </row>
    <row r="69" ht="18" customHeight="1">
      <c r="B69" s="42">
        <f>IF('計算'!$C65="","",'計算'!$B65)</f>
        <v/>
      </c>
      <c r="C69" s="43">
        <f>IF('計算'!$C65="","",'計算'!$D65)</f>
        <v/>
      </c>
      <c r="D69" s="44">
        <f>IF('計算'!$C65="","",'計算'!$O65)</f>
        <v/>
      </c>
      <c r="E69" s="45">
        <f>IF('計算'!$C65="","",'計算'!$L65)</f>
        <v/>
      </c>
      <c r="F69" s="46">
        <f>IF('計算'!$C65="","",'計算'!$CD65)</f>
        <v/>
      </c>
      <c r="G69" s="47">
        <f>IF('計算'!$C65="","",'計算'!$CA65)</f>
        <v/>
      </c>
      <c r="H69" s="43">
        <f>IF('計算'!$C65="","",'計算'!$CP65)</f>
        <v/>
      </c>
      <c r="I69" s="48" t="n"/>
      <c r="J69" s="49" t="n"/>
      <c r="K69" s="50">
        <f>IF('計算'!$C65="","",'計算'!$CR65)</f>
        <v/>
      </c>
      <c r="L69" s="51">
        <f>IF('計算'!$C65="","",'計算'!$CF65)</f>
        <v/>
      </c>
      <c r="M69" s="48" t="n"/>
      <c r="N69" s="49" t="n"/>
      <c r="O69" s="43">
        <f>IF('計算'!$C65="","",'計算'!$CQ65)</f>
        <v/>
      </c>
      <c r="P69" s="52">
        <f>IF('計算'!$C65="","",IF('計算'!$M65="","",'計算'!$AX65))</f>
        <v/>
      </c>
      <c r="Q69" s="52">
        <f>IF('計算'!$C65="","",IF('計算'!$M65="","",'計算'!$AY65))</f>
        <v/>
      </c>
      <c r="R69" s="52">
        <f>IF('計算'!$C65="","",IF('計算'!$M65="","",'計算'!$AZ65))</f>
        <v/>
      </c>
      <c r="S69" s="52">
        <f>IF('計算'!$C65="","",IF('計算'!$M65="","",'計算'!$BA65))</f>
        <v/>
      </c>
      <c r="T69" s="52">
        <f>IF('計算'!$C65="","",IF('計算'!$M65="","",'計算'!$BB65))</f>
        <v/>
      </c>
      <c r="U69" s="52">
        <f>IF('計算'!$C65="","",IF('計算'!$M65="","",'計算'!$BC65))</f>
        <v/>
      </c>
      <c r="V69" s="52">
        <f>IF('計算'!$C65="","",IF('計算'!$M65="","",'計算'!$BD65))</f>
        <v/>
      </c>
      <c r="W69" s="52">
        <f>IF('計算'!$C65="","",IF('計算'!$M65="","",'計算'!$BE65))</f>
        <v/>
      </c>
      <c r="X69" s="52">
        <f>IF('計算'!$C65="","",IF('計算'!$M65="","",'計算'!$BF65))</f>
        <v/>
      </c>
      <c r="Y69" s="52">
        <f>IF('計算'!$C65="","",IF('計算'!$M65="","",'計算'!$BG65))</f>
        <v/>
      </c>
      <c r="Z69" s="52">
        <f>IF('計算'!$C65="","",IF('計算'!$M65="","",'計算'!$BH65))</f>
        <v/>
      </c>
      <c r="AA69" s="52">
        <f>IF('計算'!$C65="","",IF('計算'!$M65="","",'計算'!$BI65))</f>
        <v/>
      </c>
      <c r="AB69" s="52">
        <f>IF('計算'!$C65="","",IF('計算'!$M65="","",'計算'!$BJ65))</f>
        <v/>
      </c>
      <c r="AC69" s="52">
        <f>IF('計算'!$C65="","",IF('計算'!$M65="","",'計算'!$BK65))</f>
        <v/>
      </c>
      <c r="AD69" s="53" t="n"/>
      <c r="AE69" s="48" t="n"/>
      <c r="AF69" s="54">
        <f>IF('計算'!$C65="","",'計算'!$C65)</f>
        <v/>
      </c>
      <c r="AG69" s="54">
        <f>IF('計算'!$C65="","",'計算'!$F65)</f>
        <v/>
      </c>
    </row>
    <row r="70" ht="18" customHeight="1">
      <c r="B70" s="42">
        <f>IF('計算'!$C66="","",'計算'!$B66)</f>
        <v/>
      </c>
      <c r="C70" s="43">
        <f>IF('計算'!$C66="","",'計算'!$D66)</f>
        <v/>
      </c>
      <c r="D70" s="44">
        <f>IF('計算'!$C66="","",'計算'!$O66)</f>
        <v/>
      </c>
      <c r="E70" s="45">
        <f>IF('計算'!$C66="","",'計算'!$L66)</f>
        <v/>
      </c>
      <c r="F70" s="46">
        <f>IF('計算'!$C66="","",'計算'!$CD66)</f>
        <v/>
      </c>
      <c r="G70" s="47">
        <f>IF('計算'!$C66="","",'計算'!$CA66)</f>
        <v/>
      </c>
      <c r="H70" s="43">
        <f>IF('計算'!$C66="","",'計算'!$CP66)</f>
        <v/>
      </c>
      <c r="I70" s="48" t="n"/>
      <c r="J70" s="49" t="n"/>
      <c r="K70" s="50">
        <f>IF('計算'!$C66="","",'計算'!$CR66)</f>
        <v/>
      </c>
      <c r="L70" s="51">
        <f>IF('計算'!$C66="","",'計算'!$CF66)</f>
        <v/>
      </c>
      <c r="M70" s="48" t="n"/>
      <c r="N70" s="49" t="n"/>
      <c r="O70" s="43">
        <f>IF('計算'!$C66="","",'計算'!$CQ66)</f>
        <v/>
      </c>
      <c r="P70" s="52">
        <f>IF('計算'!$C66="","",IF('計算'!$M66="","",'計算'!$AX66))</f>
        <v/>
      </c>
      <c r="Q70" s="52">
        <f>IF('計算'!$C66="","",IF('計算'!$M66="","",'計算'!$AY66))</f>
        <v/>
      </c>
      <c r="R70" s="52">
        <f>IF('計算'!$C66="","",IF('計算'!$M66="","",'計算'!$AZ66))</f>
        <v/>
      </c>
      <c r="S70" s="52">
        <f>IF('計算'!$C66="","",IF('計算'!$M66="","",'計算'!$BA66))</f>
        <v/>
      </c>
      <c r="T70" s="52">
        <f>IF('計算'!$C66="","",IF('計算'!$M66="","",'計算'!$BB66))</f>
        <v/>
      </c>
      <c r="U70" s="52">
        <f>IF('計算'!$C66="","",IF('計算'!$M66="","",'計算'!$BC66))</f>
        <v/>
      </c>
      <c r="V70" s="52">
        <f>IF('計算'!$C66="","",IF('計算'!$M66="","",'計算'!$BD66))</f>
        <v/>
      </c>
      <c r="W70" s="52">
        <f>IF('計算'!$C66="","",IF('計算'!$M66="","",'計算'!$BE66))</f>
        <v/>
      </c>
      <c r="X70" s="52">
        <f>IF('計算'!$C66="","",IF('計算'!$M66="","",'計算'!$BF66))</f>
        <v/>
      </c>
      <c r="Y70" s="52">
        <f>IF('計算'!$C66="","",IF('計算'!$M66="","",'計算'!$BG66))</f>
        <v/>
      </c>
      <c r="Z70" s="52">
        <f>IF('計算'!$C66="","",IF('計算'!$M66="","",'計算'!$BH66))</f>
        <v/>
      </c>
      <c r="AA70" s="52">
        <f>IF('計算'!$C66="","",IF('計算'!$M66="","",'計算'!$BI66))</f>
        <v/>
      </c>
      <c r="AB70" s="52">
        <f>IF('計算'!$C66="","",IF('計算'!$M66="","",'計算'!$BJ66))</f>
        <v/>
      </c>
      <c r="AC70" s="52">
        <f>IF('計算'!$C66="","",IF('計算'!$M66="","",'計算'!$BK66))</f>
        <v/>
      </c>
      <c r="AD70" s="53" t="n"/>
      <c r="AE70" s="48" t="n"/>
      <c r="AF70" s="54">
        <f>IF('計算'!$C66="","",'計算'!$C66)</f>
        <v/>
      </c>
      <c r="AG70" s="54">
        <f>IF('計算'!$C66="","",'計算'!$F66)</f>
        <v/>
      </c>
    </row>
    <row r="71" ht="18" customHeight="1">
      <c r="B71" s="42">
        <f>IF('計算'!$C67="","",'計算'!$B67)</f>
        <v/>
      </c>
      <c r="C71" s="43">
        <f>IF('計算'!$C67="","",'計算'!$D67)</f>
        <v/>
      </c>
      <c r="D71" s="44">
        <f>IF('計算'!$C67="","",'計算'!$O67)</f>
        <v/>
      </c>
      <c r="E71" s="45">
        <f>IF('計算'!$C67="","",'計算'!$L67)</f>
        <v/>
      </c>
      <c r="F71" s="46">
        <f>IF('計算'!$C67="","",'計算'!$CD67)</f>
        <v/>
      </c>
      <c r="G71" s="47">
        <f>IF('計算'!$C67="","",'計算'!$CA67)</f>
        <v/>
      </c>
      <c r="H71" s="43">
        <f>IF('計算'!$C67="","",'計算'!$CP67)</f>
        <v/>
      </c>
      <c r="I71" s="48" t="n"/>
      <c r="J71" s="49" t="n"/>
      <c r="K71" s="50">
        <f>IF('計算'!$C67="","",'計算'!$CR67)</f>
        <v/>
      </c>
      <c r="L71" s="51">
        <f>IF('計算'!$C67="","",'計算'!$CF67)</f>
        <v/>
      </c>
      <c r="M71" s="48" t="n"/>
      <c r="N71" s="49" t="n"/>
      <c r="O71" s="43">
        <f>IF('計算'!$C67="","",'計算'!$CQ67)</f>
        <v/>
      </c>
      <c r="P71" s="52">
        <f>IF('計算'!$C67="","",IF('計算'!$M67="","",'計算'!$AX67))</f>
        <v/>
      </c>
      <c r="Q71" s="52">
        <f>IF('計算'!$C67="","",IF('計算'!$M67="","",'計算'!$AY67))</f>
        <v/>
      </c>
      <c r="R71" s="52">
        <f>IF('計算'!$C67="","",IF('計算'!$M67="","",'計算'!$AZ67))</f>
        <v/>
      </c>
      <c r="S71" s="52">
        <f>IF('計算'!$C67="","",IF('計算'!$M67="","",'計算'!$BA67))</f>
        <v/>
      </c>
      <c r="T71" s="52">
        <f>IF('計算'!$C67="","",IF('計算'!$M67="","",'計算'!$BB67))</f>
        <v/>
      </c>
      <c r="U71" s="52">
        <f>IF('計算'!$C67="","",IF('計算'!$M67="","",'計算'!$BC67))</f>
        <v/>
      </c>
      <c r="V71" s="52">
        <f>IF('計算'!$C67="","",IF('計算'!$M67="","",'計算'!$BD67))</f>
        <v/>
      </c>
      <c r="W71" s="52">
        <f>IF('計算'!$C67="","",IF('計算'!$M67="","",'計算'!$BE67))</f>
        <v/>
      </c>
      <c r="X71" s="52">
        <f>IF('計算'!$C67="","",IF('計算'!$M67="","",'計算'!$BF67))</f>
        <v/>
      </c>
      <c r="Y71" s="52">
        <f>IF('計算'!$C67="","",IF('計算'!$M67="","",'計算'!$BG67))</f>
        <v/>
      </c>
      <c r="Z71" s="52">
        <f>IF('計算'!$C67="","",IF('計算'!$M67="","",'計算'!$BH67))</f>
        <v/>
      </c>
      <c r="AA71" s="52">
        <f>IF('計算'!$C67="","",IF('計算'!$M67="","",'計算'!$BI67))</f>
        <v/>
      </c>
      <c r="AB71" s="52">
        <f>IF('計算'!$C67="","",IF('計算'!$M67="","",'計算'!$BJ67))</f>
        <v/>
      </c>
      <c r="AC71" s="52">
        <f>IF('計算'!$C67="","",IF('計算'!$M67="","",'計算'!$BK67))</f>
        <v/>
      </c>
      <c r="AD71" s="53" t="n"/>
      <c r="AE71" s="48" t="n"/>
      <c r="AF71" s="54">
        <f>IF('計算'!$C67="","",'計算'!$C67)</f>
        <v/>
      </c>
      <c r="AG71" s="54">
        <f>IF('計算'!$C67="","",'計算'!$F67)</f>
        <v/>
      </c>
    </row>
    <row r="72" ht="18" customHeight="1">
      <c r="B72" s="42">
        <f>IF('計算'!$C68="","",'計算'!$B68)</f>
        <v/>
      </c>
      <c r="C72" s="43">
        <f>IF('計算'!$C68="","",'計算'!$D68)</f>
        <v/>
      </c>
      <c r="D72" s="44">
        <f>IF('計算'!$C68="","",'計算'!$O68)</f>
        <v/>
      </c>
      <c r="E72" s="45">
        <f>IF('計算'!$C68="","",'計算'!$L68)</f>
        <v/>
      </c>
      <c r="F72" s="46">
        <f>IF('計算'!$C68="","",'計算'!$CD68)</f>
        <v/>
      </c>
      <c r="G72" s="47">
        <f>IF('計算'!$C68="","",'計算'!$CA68)</f>
        <v/>
      </c>
      <c r="H72" s="43">
        <f>IF('計算'!$C68="","",'計算'!$CP68)</f>
        <v/>
      </c>
      <c r="I72" s="48" t="n"/>
      <c r="J72" s="49" t="n"/>
      <c r="K72" s="50">
        <f>IF('計算'!$C68="","",'計算'!$CR68)</f>
        <v/>
      </c>
      <c r="L72" s="51">
        <f>IF('計算'!$C68="","",'計算'!$CF68)</f>
        <v/>
      </c>
      <c r="M72" s="48" t="n"/>
      <c r="N72" s="49" t="n"/>
      <c r="O72" s="43">
        <f>IF('計算'!$C68="","",'計算'!$CQ68)</f>
        <v/>
      </c>
      <c r="P72" s="52">
        <f>IF('計算'!$C68="","",IF('計算'!$M68="","",'計算'!$AX68))</f>
        <v/>
      </c>
      <c r="Q72" s="52">
        <f>IF('計算'!$C68="","",IF('計算'!$M68="","",'計算'!$AY68))</f>
        <v/>
      </c>
      <c r="R72" s="52">
        <f>IF('計算'!$C68="","",IF('計算'!$M68="","",'計算'!$AZ68))</f>
        <v/>
      </c>
      <c r="S72" s="52">
        <f>IF('計算'!$C68="","",IF('計算'!$M68="","",'計算'!$BA68))</f>
        <v/>
      </c>
      <c r="T72" s="52">
        <f>IF('計算'!$C68="","",IF('計算'!$M68="","",'計算'!$BB68))</f>
        <v/>
      </c>
      <c r="U72" s="52">
        <f>IF('計算'!$C68="","",IF('計算'!$M68="","",'計算'!$BC68))</f>
        <v/>
      </c>
      <c r="V72" s="52">
        <f>IF('計算'!$C68="","",IF('計算'!$M68="","",'計算'!$BD68))</f>
        <v/>
      </c>
      <c r="W72" s="52">
        <f>IF('計算'!$C68="","",IF('計算'!$M68="","",'計算'!$BE68))</f>
        <v/>
      </c>
      <c r="X72" s="52">
        <f>IF('計算'!$C68="","",IF('計算'!$M68="","",'計算'!$BF68))</f>
        <v/>
      </c>
      <c r="Y72" s="52">
        <f>IF('計算'!$C68="","",IF('計算'!$M68="","",'計算'!$BG68))</f>
        <v/>
      </c>
      <c r="Z72" s="52">
        <f>IF('計算'!$C68="","",IF('計算'!$M68="","",'計算'!$BH68))</f>
        <v/>
      </c>
      <c r="AA72" s="52">
        <f>IF('計算'!$C68="","",IF('計算'!$M68="","",'計算'!$BI68))</f>
        <v/>
      </c>
      <c r="AB72" s="52">
        <f>IF('計算'!$C68="","",IF('計算'!$M68="","",'計算'!$BJ68))</f>
        <v/>
      </c>
      <c r="AC72" s="52">
        <f>IF('計算'!$C68="","",IF('計算'!$M68="","",'計算'!$BK68))</f>
        <v/>
      </c>
      <c r="AD72" s="53" t="n"/>
      <c r="AE72" s="48" t="n"/>
      <c r="AF72" s="54">
        <f>IF('計算'!$C68="","",'計算'!$C68)</f>
        <v/>
      </c>
      <c r="AG72" s="54">
        <f>IF('計算'!$C68="","",'計算'!$F68)</f>
        <v/>
      </c>
    </row>
    <row r="73" ht="18" customHeight="1">
      <c r="B73" s="42">
        <f>IF('計算'!$C69="","",'計算'!$B69)</f>
        <v/>
      </c>
      <c r="C73" s="43">
        <f>IF('計算'!$C69="","",'計算'!$D69)</f>
        <v/>
      </c>
      <c r="D73" s="44">
        <f>IF('計算'!$C69="","",'計算'!$O69)</f>
        <v/>
      </c>
      <c r="E73" s="45">
        <f>IF('計算'!$C69="","",'計算'!$L69)</f>
        <v/>
      </c>
      <c r="F73" s="46">
        <f>IF('計算'!$C69="","",'計算'!$CD69)</f>
        <v/>
      </c>
      <c r="G73" s="47">
        <f>IF('計算'!$C69="","",'計算'!$CA69)</f>
        <v/>
      </c>
      <c r="H73" s="43">
        <f>IF('計算'!$C69="","",'計算'!$CP69)</f>
        <v/>
      </c>
      <c r="I73" s="48" t="n"/>
      <c r="J73" s="49" t="n"/>
      <c r="K73" s="50">
        <f>IF('計算'!$C69="","",'計算'!$CR69)</f>
        <v/>
      </c>
      <c r="L73" s="51">
        <f>IF('計算'!$C69="","",'計算'!$CF69)</f>
        <v/>
      </c>
      <c r="M73" s="48" t="n"/>
      <c r="N73" s="49" t="n"/>
      <c r="O73" s="43">
        <f>IF('計算'!$C69="","",'計算'!$CQ69)</f>
        <v/>
      </c>
      <c r="P73" s="52">
        <f>IF('計算'!$C69="","",IF('計算'!$M69="","",'計算'!$AX69))</f>
        <v/>
      </c>
      <c r="Q73" s="52">
        <f>IF('計算'!$C69="","",IF('計算'!$M69="","",'計算'!$AY69))</f>
        <v/>
      </c>
      <c r="R73" s="52">
        <f>IF('計算'!$C69="","",IF('計算'!$M69="","",'計算'!$AZ69))</f>
        <v/>
      </c>
      <c r="S73" s="52">
        <f>IF('計算'!$C69="","",IF('計算'!$M69="","",'計算'!$BA69))</f>
        <v/>
      </c>
      <c r="T73" s="52">
        <f>IF('計算'!$C69="","",IF('計算'!$M69="","",'計算'!$BB69))</f>
        <v/>
      </c>
      <c r="U73" s="52">
        <f>IF('計算'!$C69="","",IF('計算'!$M69="","",'計算'!$BC69))</f>
        <v/>
      </c>
      <c r="V73" s="52">
        <f>IF('計算'!$C69="","",IF('計算'!$M69="","",'計算'!$BD69))</f>
        <v/>
      </c>
      <c r="W73" s="52">
        <f>IF('計算'!$C69="","",IF('計算'!$M69="","",'計算'!$BE69))</f>
        <v/>
      </c>
      <c r="X73" s="52">
        <f>IF('計算'!$C69="","",IF('計算'!$M69="","",'計算'!$BF69))</f>
        <v/>
      </c>
      <c r="Y73" s="52">
        <f>IF('計算'!$C69="","",IF('計算'!$M69="","",'計算'!$BG69))</f>
        <v/>
      </c>
      <c r="Z73" s="52">
        <f>IF('計算'!$C69="","",IF('計算'!$M69="","",'計算'!$BH69))</f>
        <v/>
      </c>
      <c r="AA73" s="52">
        <f>IF('計算'!$C69="","",IF('計算'!$M69="","",'計算'!$BI69))</f>
        <v/>
      </c>
      <c r="AB73" s="52">
        <f>IF('計算'!$C69="","",IF('計算'!$M69="","",'計算'!$BJ69))</f>
        <v/>
      </c>
      <c r="AC73" s="52">
        <f>IF('計算'!$C69="","",IF('計算'!$M69="","",'計算'!$BK69))</f>
        <v/>
      </c>
      <c r="AD73" s="53" t="n"/>
      <c r="AE73" s="48" t="n"/>
      <c r="AF73" s="54">
        <f>IF('計算'!$C69="","",'計算'!$C69)</f>
        <v/>
      </c>
      <c r="AG73" s="54">
        <f>IF('計算'!$C69="","",'計算'!$F69)</f>
        <v/>
      </c>
    </row>
    <row r="74" ht="18" customHeight="1">
      <c r="B74" s="42">
        <f>IF('計算'!$C70="","",'計算'!$B70)</f>
        <v/>
      </c>
      <c r="C74" s="43">
        <f>IF('計算'!$C70="","",'計算'!$D70)</f>
        <v/>
      </c>
      <c r="D74" s="44">
        <f>IF('計算'!$C70="","",'計算'!$O70)</f>
        <v/>
      </c>
      <c r="E74" s="45">
        <f>IF('計算'!$C70="","",'計算'!$L70)</f>
        <v/>
      </c>
      <c r="F74" s="46">
        <f>IF('計算'!$C70="","",'計算'!$CD70)</f>
        <v/>
      </c>
      <c r="G74" s="47">
        <f>IF('計算'!$C70="","",'計算'!$CA70)</f>
        <v/>
      </c>
      <c r="H74" s="43">
        <f>IF('計算'!$C70="","",'計算'!$CP70)</f>
        <v/>
      </c>
      <c r="I74" s="48" t="n"/>
      <c r="J74" s="49" t="n"/>
      <c r="K74" s="50">
        <f>IF('計算'!$C70="","",'計算'!$CR70)</f>
        <v/>
      </c>
      <c r="L74" s="51">
        <f>IF('計算'!$C70="","",'計算'!$CF70)</f>
        <v/>
      </c>
      <c r="M74" s="48" t="n"/>
      <c r="N74" s="49" t="n"/>
      <c r="O74" s="43">
        <f>IF('計算'!$C70="","",'計算'!$CQ70)</f>
        <v/>
      </c>
      <c r="P74" s="52">
        <f>IF('計算'!$C70="","",IF('計算'!$M70="","",'計算'!$AX70))</f>
        <v/>
      </c>
      <c r="Q74" s="52">
        <f>IF('計算'!$C70="","",IF('計算'!$M70="","",'計算'!$AY70))</f>
        <v/>
      </c>
      <c r="R74" s="52">
        <f>IF('計算'!$C70="","",IF('計算'!$M70="","",'計算'!$AZ70))</f>
        <v/>
      </c>
      <c r="S74" s="52">
        <f>IF('計算'!$C70="","",IF('計算'!$M70="","",'計算'!$BA70))</f>
        <v/>
      </c>
      <c r="T74" s="52">
        <f>IF('計算'!$C70="","",IF('計算'!$M70="","",'計算'!$BB70))</f>
        <v/>
      </c>
      <c r="U74" s="52">
        <f>IF('計算'!$C70="","",IF('計算'!$M70="","",'計算'!$BC70))</f>
        <v/>
      </c>
      <c r="V74" s="52">
        <f>IF('計算'!$C70="","",IF('計算'!$M70="","",'計算'!$BD70))</f>
        <v/>
      </c>
      <c r="W74" s="52">
        <f>IF('計算'!$C70="","",IF('計算'!$M70="","",'計算'!$BE70))</f>
        <v/>
      </c>
      <c r="X74" s="52">
        <f>IF('計算'!$C70="","",IF('計算'!$M70="","",'計算'!$BF70))</f>
        <v/>
      </c>
      <c r="Y74" s="52">
        <f>IF('計算'!$C70="","",IF('計算'!$M70="","",'計算'!$BG70))</f>
        <v/>
      </c>
      <c r="Z74" s="52">
        <f>IF('計算'!$C70="","",IF('計算'!$M70="","",'計算'!$BH70))</f>
        <v/>
      </c>
      <c r="AA74" s="52">
        <f>IF('計算'!$C70="","",IF('計算'!$M70="","",'計算'!$BI70))</f>
        <v/>
      </c>
      <c r="AB74" s="52">
        <f>IF('計算'!$C70="","",IF('計算'!$M70="","",'計算'!$BJ70))</f>
        <v/>
      </c>
      <c r="AC74" s="52">
        <f>IF('計算'!$C70="","",IF('計算'!$M70="","",'計算'!$BK70))</f>
        <v/>
      </c>
      <c r="AD74" s="53" t="n"/>
      <c r="AE74" s="48" t="n"/>
      <c r="AF74" s="54">
        <f>IF('計算'!$C70="","",'計算'!$C70)</f>
        <v/>
      </c>
      <c r="AG74" s="54">
        <f>IF('計算'!$C70="","",'計算'!$F70)</f>
        <v/>
      </c>
    </row>
    <row r="75" ht="18" customHeight="1">
      <c r="B75" s="42">
        <f>IF('計算'!$C71="","",'計算'!$B71)</f>
        <v/>
      </c>
      <c r="C75" s="43">
        <f>IF('計算'!$C71="","",'計算'!$D71)</f>
        <v/>
      </c>
      <c r="D75" s="44">
        <f>IF('計算'!$C71="","",'計算'!$O71)</f>
        <v/>
      </c>
      <c r="E75" s="45">
        <f>IF('計算'!$C71="","",'計算'!$L71)</f>
        <v/>
      </c>
      <c r="F75" s="46">
        <f>IF('計算'!$C71="","",'計算'!$CD71)</f>
        <v/>
      </c>
      <c r="G75" s="47">
        <f>IF('計算'!$C71="","",'計算'!$CA71)</f>
        <v/>
      </c>
      <c r="H75" s="43">
        <f>IF('計算'!$C71="","",'計算'!$CP71)</f>
        <v/>
      </c>
      <c r="I75" s="48" t="n"/>
      <c r="J75" s="49" t="n"/>
      <c r="K75" s="50">
        <f>IF('計算'!$C71="","",'計算'!$CR71)</f>
        <v/>
      </c>
      <c r="L75" s="51">
        <f>IF('計算'!$C71="","",'計算'!$CF71)</f>
        <v/>
      </c>
      <c r="M75" s="48" t="n"/>
      <c r="N75" s="49" t="n"/>
      <c r="O75" s="43">
        <f>IF('計算'!$C71="","",'計算'!$CQ71)</f>
        <v/>
      </c>
      <c r="P75" s="52">
        <f>IF('計算'!$C71="","",IF('計算'!$M71="","",'計算'!$AX71))</f>
        <v/>
      </c>
      <c r="Q75" s="52">
        <f>IF('計算'!$C71="","",IF('計算'!$M71="","",'計算'!$AY71))</f>
        <v/>
      </c>
      <c r="R75" s="52">
        <f>IF('計算'!$C71="","",IF('計算'!$M71="","",'計算'!$AZ71))</f>
        <v/>
      </c>
      <c r="S75" s="52">
        <f>IF('計算'!$C71="","",IF('計算'!$M71="","",'計算'!$BA71))</f>
        <v/>
      </c>
      <c r="T75" s="52">
        <f>IF('計算'!$C71="","",IF('計算'!$M71="","",'計算'!$BB71))</f>
        <v/>
      </c>
      <c r="U75" s="52">
        <f>IF('計算'!$C71="","",IF('計算'!$M71="","",'計算'!$BC71))</f>
        <v/>
      </c>
      <c r="V75" s="52">
        <f>IF('計算'!$C71="","",IF('計算'!$M71="","",'計算'!$BD71))</f>
        <v/>
      </c>
      <c r="W75" s="52">
        <f>IF('計算'!$C71="","",IF('計算'!$M71="","",'計算'!$BE71))</f>
        <v/>
      </c>
      <c r="X75" s="52">
        <f>IF('計算'!$C71="","",IF('計算'!$M71="","",'計算'!$BF71))</f>
        <v/>
      </c>
      <c r="Y75" s="52">
        <f>IF('計算'!$C71="","",IF('計算'!$M71="","",'計算'!$BG71))</f>
        <v/>
      </c>
      <c r="Z75" s="52">
        <f>IF('計算'!$C71="","",IF('計算'!$M71="","",'計算'!$BH71))</f>
        <v/>
      </c>
      <c r="AA75" s="52">
        <f>IF('計算'!$C71="","",IF('計算'!$M71="","",'計算'!$BI71))</f>
        <v/>
      </c>
      <c r="AB75" s="52">
        <f>IF('計算'!$C71="","",IF('計算'!$M71="","",'計算'!$BJ71))</f>
        <v/>
      </c>
      <c r="AC75" s="52">
        <f>IF('計算'!$C71="","",IF('計算'!$M71="","",'計算'!$BK71))</f>
        <v/>
      </c>
      <c r="AD75" s="53" t="n"/>
      <c r="AE75" s="48" t="n"/>
      <c r="AF75" s="54">
        <f>IF('計算'!$C71="","",'計算'!$C71)</f>
        <v/>
      </c>
      <c r="AG75" s="54">
        <f>IF('計算'!$C71="","",'計算'!$F71)</f>
        <v/>
      </c>
    </row>
    <row r="76" ht="18" customHeight="1">
      <c r="B76" s="42">
        <f>IF('計算'!$C72="","",'計算'!$B72)</f>
        <v/>
      </c>
      <c r="C76" s="43">
        <f>IF('計算'!$C72="","",'計算'!$D72)</f>
        <v/>
      </c>
      <c r="D76" s="44">
        <f>IF('計算'!$C72="","",'計算'!$O72)</f>
        <v/>
      </c>
      <c r="E76" s="45">
        <f>IF('計算'!$C72="","",'計算'!$L72)</f>
        <v/>
      </c>
      <c r="F76" s="46">
        <f>IF('計算'!$C72="","",'計算'!$CD72)</f>
        <v/>
      </c>
      <c r="G76" s="47">
        <f>IF('計算'!$C72="","",'計算'!$CA72)</f>
        <v/>
      </c>
      <c r="H76" s="43">
        <f>IF('計算'!$C72="","",'計算'!$CP72)</f>
        <v/>
      </c>
      <c r="I76" s="48" t="n"/>
      <c r="J76" s="49" t="n"/>
      <c r="K76" s="50">
        <f>IF('計算'!$C72="","",'計算'!$CR72)</f>
        <v/>
      </c>
      <c r="L76" s="51">
        <f>IF('計算'!$C72="","",'計算'!$CF72)</f>
        <v/>
      </c>
      <c r="M76" s="48" t="n"/>
      <c r="N76" s="49" t="n"/>
      <c r="O76" s="43">
        <f>IF('計算'!$C72="","",'計算'!$CQ72)</f>
        <v/>
      </c>
      <c r="P76" s="52">
        <f>IF('計算'!$C72="","",IF('計算'!$M72="","",'計算'!$AX72))</f>
        <v/>
      </c>
      <c r="Q76" s="52">
        <f>IF('計算'!$C72="","",IF('計算'!$M72="","",'計算'!$AY72))</f>
        <v/>
      </c>
      <c r="R76" s="52">
        <f>IF('計算'!$C72="","",IF('計算'!$M72="","",'計算'!$AZ72))</f>
        <v/>
      </c>
      <c r="S76" s="52">
        <f>IF('計算'!$C72="","",IF('計算'!$M72="","",'計算'!$BA72))</f>
        <v/>
      </c>
      <c r="T76" s="52">
        <f>IF('計算'!$C72="","",IF('計算'!$M72="","",'計算'!$BB72))</f>
        <v/>
      </c>
      <c r="U76" s="52">
        <f>IF('計算'!$C72="","",IF('計算'!$M72="","",'計算'!$BC72))</f>
        <v/>
      </c>
      <c r="V76" s="52">
        <f>IF('計算'!$C72="","",IF('計算'!$M72="","",'計算'!$BD72))</f>
        <v/>
      </c>
      <c r="W76" s="52">
        <f>IF('計算'!$C72="","",IF('計算'!$M72="","",'計算'!$BE72))</f>
        <v/>
      </c>
      <c r="X76" s="52">
        <f>IF('計算'!$C72="","",IF('計算'!$M72="","",'計算'!$BF72))</f>
        <v/>
      </c>
      <c r="Y76" s="52">
        <f>IF('計算'!$C72="","",IF('計算'!$M72="","",'計算'!$BG72))</f>
        <v/>
      </c>
      <c r="Z76" s="52">
        <f>IF('計算'!$C72="","",IF('計算'!$M72="","",'計算'!$BH72))</f>
        <v/>
      </c>
      <c r="AA76" s="52">
        <f>IF('計算'!$C72="","",IF('計算'!$M72="","",'計算'!$BI72))</f>
        <v/>
      </c>
      <c r="AB76" s="52">
        <f>IF('計算'!$C72="","",IF('計算'!$M72="","",'計算'!$BJ72))</f>
        <v/>
      </c>
      <c r="AC76" s="52">
        <f>IF('計算'!$C72="","",IF('計算'!$M72="","",'計算'!$BK72))</f>
        <v/>
      </c>
      <c r="AD76" s="53" t="n"/>
      <c r="AE76" s="48" t="n"/>
      <c r="AF76" s="54">
        <f>IF('計算'!$C72="","",'計算'!$C72)</f>
        <v/>
      </c>
      <c r="AG76" s="54">
        <f>IF('計算'!$C72="","",'計算'!$F72)</f>
        <v/>
      </c>
    </row>
    <row r="77" ht="18" customHeight="1">
      <c r="B77" s="42">
        <f>IF('計算'!$C73="","",'計算'!$B73)</f>
        <v/>
      </c>
      <c r="C77" s="43">
        <f>IF('計算'!$C73="","",'計算'!$D73)</f>
        <v/>
      </c>
      <c r="D77" s="44">
        <f>IF('計算'!$C73="","",'計算'!$O73)</f>
        <v/>
      </c>
      <c r="E77" s="45">
        <f>IF('計算'!$C73="","",'計算'!$L73)</f>
        <v/>
      </c>
      <c r="F77" s="46">
        <f>IF('計算'!$C73="","",'計算'!$CD73)</f>
        <v/>
      </c>
      <c r="G77" s="47">
        <f>IF('計算'!$C73="","",'計算'!$CA73)</f>
        <v/>
      </c>
      <c r="H77" s="43">
        <f>IF('計算'!$C73="","",'計算'!$CP73)</f>
        <v/>
      </c>
      <c r="I77" s="48" t="n"/>
      <c r="J77" s="49" t="n"/>
      <c r="K77" s="50">
        <f>IF('計算'!$C73="","",'計算'!$CR73)</f>
        <v/>
      </c>
      <c r="L77" s="51">
        <f>IF('計算'!$C73="","",'計算'!$CF73)</f>
        <v/>
      </c>
      <c r="M77" s="48" t="n"/>
      <c r="N77" s="49" t="n"/>
      <c r="O77" s="43">
        <f>IF('計算'!$C73="","",'計算'!$CQ73)</f>
        <v/>
      </c>
      <c r="P77" s="52">
        <f>IF('計算'!$C73="","",IF('計算'!$M73="","",'計算'!$AX73))</f>
        <v/>
      </c>
      <c r="Q77" s="52">
        <f>IF('計算'!$C73="","",IF('計算'!$M73="","",'計算'!$AY73))</f>
        <v/>
      </c>
      <c r="R77" s="52">
        <f>IF('計算'!$C73="","",IF('計算'!$M73="","",'計算'!$AZ73))</f>
        <v/>
      </c>
      <c r="S77" s="52">
        <f>IF('計算'!$C73="","",IF('計算'!$M73="","",'計算'!$BA73))</f>
        <v/>
      </c>
      <c r="T77" s="52">
        <f>IF('計算'!$C73="","",IF('計算'!$M73="","",'計算'!$BB73))</f>
        <v/>
      </c>
      <c r="U77" s="52">
        <f>IF('計算'!$C73="","",IF('計算'!$M73="","",'計算'!$BC73))</f>
        <v/>
      </c>
      <c r="V77" s="52">
        <f>IF('計算'!$C73="","",IF('計算'!$M73="","",'計算'!$BD73))</f>
        <v/>
      </c>
      <c r="W77" s="52">
        <f>IF('計算'!$C73="","",IF('計算'!$M73="","",'計算'!$BE73))</f>
        <v/>
      </c>
      <c r="X77" s="52">
        <f>IF('計算'!$C73="","",IF('計算'!$M73="","",'計算'!$BF73))</f>
        <v/>
      </c>
      <c r="Y77" s="52">
        <f>IF('計算'!$C73="","",IF('計算'!$M73="","",'計算'!$BG73))</f>
        <v/>
      </c>
      <c r="Z77" s="52">
        <f>IF('計算'!$C73="","",IF('計算'!$M73="","",'計算'!$BH73))</f>
        <v/>
      </c>
      <c r="AA77" s="52">
        <f>IF('計算'!$C73="","",IF('計算'!$M73="","",'計算'!$BI73))</f>
        <v/>
      </c>
      <c r="AB77" s="52">
        <f>IF('計算'!$C73="","",IF('計算'!$M73="","",'計算'!$BJ73))</f>
        <v/>
      </c>
      <c r="AC77" s="52">
        <f>IF('計算'!$C73="","",IF('計算'!$M73="","",'計算'!$BK73))</f>
        <v/>
      </c>
      <c r="AD77" s="53" t="n"/>
      <c r="AE77" s="48" t="n"/>
      <c r="AF77" s="54">
        <f>IF('計算'!$C73="","",'計算'!$C73)</f>
        <v/>
      </c>
      <c r="AG77" s="54">
        <f>IF('計算'!$C73="","",'計算'!$F73)</f>
        <v/>
      </c>
    </row>
    <row r="78" ht="18" customHeight="1">
      <c r="B78" s="42">
        <f>IF('計算'!$C74="","",'計算'!$B74)</f>
        <v/>
      </c>
      <c r="C78" s="43">
        <f>IF('計算'!$C74="","",'計算'!$D74)</f>
        <v/>
      </c>
      <c r="D78" s="44">
        <f>IF('計算'!$C74="","",'計算'!$O74)</f>
        <v/>
      </c>
      <c r="E78" s="45">
        <f>IF('計算'!$C74="","",'計算'!$L74)</f>
        <v/>
      </c>
      <c r="F78" s="46">
        <f>IF('計算'!$C74="","",'計算'!$CD74)</f>
        <v/>
      </c>
      <c r="G78" s="47">
        <f>IF('計算'!$C74="","",'計算'!$CA74)</f>
        <v/>
      </c>
      <c r="H78" s="43">
        <f>IF('計算'!$C74="","",'計算'!$CP74)</f>
        <v/>
      </c>
      <c r="I78" s="48" t="n"/>
      <c r="J78" s="49" t="n"/>
      <c r="K78" s="50">
        <f>IF('計算'!$C74="","",'計算'!$CR74)</f>
        <v/>
      </c>
      <c r="L78" s="51">
        <f>IF('計算'!$C74="","",'計算'!$CF74)</f>
        <v/>
      </c>
      <c r="M78" s="48" t="n"/>
      <c r="N78" s="49" t="n"/>
      <c r="O78" s="43">
        <f>IF('計算'!$C74="","",'計算'!$CQ74)</f>
        <v/>
      </c>
      <c r="P78" s="52">
        <f>IF('計算'!$C74="","",IF('計算'!$M74="","",'計算'!$AX74))</f>
        <v/>
      </c>
      <c r="Q78" s="52">
        <f>IF('計算'!$C74="","",IF('計算'!$M74="","",'計算'!$AY74))</f>
        <v/>
      </c>
      <c r="R78" s="52">
        <f>IF('計算'!$C74="","",IF('計算'!$M74="","",'計算'!$AZ74))</f>
        <v/>
      </c>
      <c r="S78" s="52">
        <f>IF('計算'!$C74="","",IF('計算'!$M74="","",'計算'!$BA74))</f>
        <v/>
      </c>
      <c r="T78" s="52">
        <f>IF('計算'!$C74="","",IF('計算'!$M74="","",'計算'!$BB74))</f>
        <v/>
      </c>
      <c r="U78" s="52">
        <f>IF('計算'!$C74="","",IF('計算'!$M74="","",'計算'!$BC74))</f>
        <v/>
      </c>
      <c r="V78" s="52">
        <f>IF('計算'!$C74="","",IF('計算'!$M74="","",'計算'!$BD74))</f>
        <v/>
      </c>
      <c r="W78" s="52">
        <f>IF('計算'!$C74="","",IF('計算'!$M74="","",'計算'!$BE74))</f>
        <v/>
      </c>
      <c r="X78" s="52">
        <f>IF('計算'!$C74="","",IF('計算'!$M74="","",'計算'!$BF74))</f>
        <v/>
      </c>
      <c r="Y78" s="52">
        <f>IF('計算'!$C74="","",IF('計算'!$M74="","",'計算'!$BG74))</f>
        <v/>
      </c>
      <c r="Z78" s="52">
        <f>IF('計算'!$C74="","",IF('計算'!$M74="","",'計算'!$BH74))</f>
        <v/>
      </c>
      <c r="AA78" s="52">
        <f>IF('計算'!$C74="","",IF('計算'!$M74="","",'計算'!$BI74))</f>
        <v/>
      </c>
      <c r="AB78" s="52">
        <f>IF('計算'!$C74="","",IF('計算'!$M74="","",'計算'!$BJ74))</f>
        <v/>
      </c>
      <c r="AC78" s="52">
        <f>IF('計算'!$C74="","",IF('計算'!$M74="","",'計算'!$BK74))</f>
        <v/>
      </c>
      <c r="AD78" s="53" t="n"/>
      <c r="AE78" s="48" t="n"/>
      <c r="AF78" s="54">
        <f>IF('計算'!$C74="","",'計算'!$C74)</f>
        <v/>
      </c>
      <c r="AG78" s="54">
        <f>IF('計算'!$C74="","",'計算'!$F74)</f>
        <v/>
      </c>
    </row>
    <row r="79" ht="18" customHeight="1">
      <c r="B79" s="42">
        <f>IF('計算'!$C75="","",'計算'!$B75)</f>
        <v/>
      </c>
      <c r="C79" s="43">
        <f>IF('計算'!$C75="","",'計算'!$D75)</f>
        <v/>
      </c>
      <c r="D79" s="44">
        <f>IF('計算'!$C75="","",'計算'!$O75)</f>
        <v/>
      </c>
      <c r="E79" s="45">
        <f>IF('計算'!$C75="","",'計算'!$L75)</f>
        <v/>
      </c>
      <c r="F79" s="46">
        <f>IF('計算'!$C75="","",'計算'!$CD75)</f>
        <v/>
      </c>
      <c r="G79" s="47">
        <f>IF('計算'!$C75="","",'計算'!$CA75)</f>
        <v/>
      </c>
      <c r="H79" s="43">
        <f>IF('計算'!$C75="","",'計算'!$CP75)</f>
        <v/>
      </c>
      <c r="I79" s="48" t="n"/>
      <c r="J79" s="49" t="n"/>
      <c r="K79" s="50">
        <f>IF('計算'!$C75="","",'計算'!$CR75)</f>
        <v/>
      </c>
      <c r="L79" s="51">
        <f>IF('計算'!$C75="","",'計算'!$CF75)</f>
        <v/>
      </c>
      <c r="M79" s="48" t="n"/>
      <c r="N79" s="49" t="n"/>
      <c r="O79" s="43">
        <f>IF('計算'!$C75="","",'計算'!$CQ75)</f>
        <v/>
      </c>
      <c r="P79" s="52">
        <f>IF('計算'!$C75="","",IF('計算'!$M75="","",'計算'!$AX75))</f>
        <v/>
      </c>
      <c r="Q79" s="52">
        <f>IF('計算'!$C75="","",IF('計算'!$M75="","",'計算'!$AY75))</f>
        <v/>
      </c>
      <c r="R79" s="52">
        <f>IF('計算'!$C75="","",IF('計算'!$M75="","",'計算'!$AZ75))</f>
        <v/>
      </c>
      <c r="S79" s="52">
        <f>IF('計算'!$C75="","",IF('計算'!$M75="","",'計算'!$BA75))</f>
        <v/>
      </c>
      <c r="T79" s="52">
        <f>IF('計算'!$C75="","",IF('計算'!$M75="","",'計算'!$BB75))</f>
        <v/>
      </c>
      <c r="U79" s="52">
        <f>IF('計算'!$C75="","",IF('計算'!$M75="","",'計算'!$BC75))</f>
        <v/>
      </c>
      <c r="V79" s="52">
        <f>IF('計算'!$C75="","",IF('計算'!$M75="","",'計算'!$BD75))</f>
        <v/>
      </c>
      <c r="W79" s="52">
        <f>IF('計算'!$C75="","",IF('計算'!$M75="","",'計算'!$BE75))</f>
        <v/>
      </c>
      <c r="X79" s="52">
        <f>IF('計算'!$C75="","",IF('計算'!$M75="","",'計算'!$BF75))</f>
        <v/>
      </c>
      <c r="Y79" s="52">
        <f>IF('計算'!$C75="","",IF('計算'!$M75="","",'計算'!$BG75))</f>
        <v/>
      </c>
      <c r="Z79" s="52">
        <f>IF('計算'!$C75="","",IF('計算'!$M75="","",'計算'!$BH75))</f>
        <v/>
      </c>
      <c r="AA79" s="52">
        <f>IF('計算'!$C75="","",IF('計算'!$M75="","",'計算'!$BI75))</f>
        <v/>
      </c>
      <c r="AB79" s="52">
        <f>IF('計算'!$C75="","",IF('計算'!$M75="","",'計算'!$BJ75))</f>
        <v/>
      </c>
      <c r="AC79" s="52">
        <f>IF('計算'!$C75="","",IF('計算'!$M75="","",'計算'!$BK75))</f>
        <v/>
      </c>
      <c r="AD79" s="53" t="n"/>
      <c r="AE79" s="48" t="n"/>
      <c r="AF79" s="54">
        <f>IF('計算'!$C75="","",'計算'!$C75)</f>
        <v/>
      </c>
      <c r="AG79" s="54">
        <f>IF('計算'!$C75="","",'計算'!$F75)</f>
        <v/>
      </c>
    </row>
    <row r="80" ht="18" customHeight="1">
      <c r="B80" s="42">
        <f>IF('計算'!$C76="","",'計算'!$B76)</f>
        <v/>
      </c>
      <c r="C80" s="43">
        <f>IF('計算'!$C76="","",'計算'!$D76)</f>
        <v/>
      </c>
      <c r="D80" s="44">
        <f>IF('計算'!$C76="","",'計算'!$O76)</f>
        <v/>
      </c>
      <c r="E80" s="45">
        <f>IF('計算'!$C76="","",'計算'!$L76)</f>
        <v/>
      </c>
      <c r="F80" s="46">
        <f>IF('計算'!$C76="","",'計算'!$CD76)</f>
        <v/>
      </c>
      <c r="G80" s="47">
        <f>IF('計算'!$C76="","",'計算'!$CA76)</f>
        <v/>
      </c>
      <c r="H80" s="43">
        <f>IF('計算'!$C76="","",'計算'!$CP76)</f>
        <v/>
      </c>
      <c r="I80" s="48" t="n"/>
      <c r="J80" s="49" t="n"/>
      <c r="K80" s="50">
        <f>IF('計算'!$C76="","",'計算'!$CR76)</f>
        <v/>
      </c>
      <c r="L80" s="51">
        <f>IF('計算'!$C76="","",'計算'!$CF76)</f>
        <v/>
      </c>
      <c r="M80" s="48" t="n"/>
      <c r="N80" s="49" t="n"/>
      <c r="O80" s="43">
        <f>IF('計算'!$C76="","",'計算'!$CQ76)</f>
        <v/>
      </c>
      <c r="P80" s="52">
        <f>IF('計算'!$C76="","",IF('計算'!$M76="","",'計算'!$AX76))</f>
        <v/>
      </c>
      <c r="Q80" s="52">
        <f>IF('計算'!$C76="","",IF('計算'!$M76="","",'計算'!$AY76))</f>
        <v/>
      </c>
      <c r="R80" s="52">
        <f>IF('計算'!$C76="","",IF('計算'!$M76="","",'計算'!$AZ76))</f>
        <v/>
      </c>
      <c r="S80" s="52">
        <f>IF('計算'!$C76="","",IF('計算'!$M76="","",'計算'!$BA76))</f>
        <v/>
      </c>
      <c r="T80" s="52">
        <f>IF('計算'!$C76="","",IF('計算'!$M76="","",'計算'!$BB76))</f>
        <v/>
      </c>
      <c r="U80" s="52">
        <f>IF('計算'!$C76="","",IF('計算'!$M76="","",'計算'!$BC76))</f>
        <v/>
      </c>
      <c r="V80" s="52">
        <f>IF('計算'!$C76="","",IF('計算'!$M76="","",'計算'!$BD76))</f>
        <v/>
      </c>
      <c r="W80" s="52">
        <f>IF('計算'!$C76="","",IF('計算'!$M76="","",'計算'!$BE76))</f>
        <v/>
      </c>
      <c r="X80" s="52">
        <f>IF('計算'!$C76="","",IF('計算'!$M76="","",'計算'!$BF76))</f>
        <v/>
      </c>
      <c r="Y80" s="52">
        <f>IF('計算'!$C76="","",IF('計算'!$M76="","",'計算'!$BG76))</f>
        <v/>
      </c>
      <c r="Z80" s="52">
        <f>IF('計算'!$C76="","",IF('計算'!$M76="","",'計算'!$BH76))</f>
        <v/>
      </c>
      <c r="AA80" s="52">
        <f>IF('計算'!$C76="","",IF('計算'!$M76="","",'計算'!$BI76))</f>
        <v/>
      </c>
      <c r="AB80" s="52">
        <f>IF('計算'!$C76="","",IF('計算'!$M76="","",'計算'!$BJ76))</f>
        <v/>
      </c>
      <c r="AC80" s="52">
        <f>IF('計算'!$C76="","",IF('計算'!$M76="","",'計算'!$BK76))</f>
        <v/>
      </c>
      <c r="AD80" s="53" t="n"/>
      <c r="AE80" s="48" t="n"/>
      <c r="AF80" s="54">
        <f>IF('計算'!$C76="","",'計算'!$C76)</f>
        <v/>
      </c>
      <c r="AG80" s="54">
        <f>IF('計算'!$C76="","",'計算'!$F76)</f>
        <v/>
      </c>
    </row>
    <row r="81" ht="18" customHeight="1">
      <c r="B81" s="42">
        <f>IF('計算'!$C77="","",'計算'!$B77)</f>
        <v/>
      </c>
      <c r="C81" s="43">
        <f>IF('計算'!$C77="","",'計算'!$D77)</f>
        <v/>
      </c>
      <c r="D81" s="44">
        <f>IF('計算'!$C77="","",'計算'!$O77)</f>
        <v/>
      </c>
      <c r="E81" s="45">
        <f>IF('計算'!$C77="","",'計算'!$L77)</f>
        <v/>
      </c>
      <c r="F81" s="46">
        <f>IF('計算'!$C77="","",'計算'!$CD77)</f>
        <v/>
      </c>
      <c r="G81" s="47">
        <f>IF('計算'!$C77="","",'計算'!$CA77)</f>
        <v/>
      </c>
      <c r="H81" s="43">
        <f>IF('計算'!$C77="","",'計算'!$CP77)</f>
        <v/>
      </c>
      <c r="I81" s="48" t="n"/>
      <c r="J81" s="49" t="n"/>
      <c r="K81" s="50">
        <f>IF('計算'!$C77="","",'計算'!$CR77)</f>
        <v/>
      </c>
      <c r="L81" s="51">
        <f>IF('計算'!$C77="","",'計算'!$CF77)</f>
        <v/>
      </c>
      <c r="M81" s="48" t="n"/>
      <c r="N81" s="49" t="n"/>
      <c r="O81" s="43">
        <f>IF('計算'!$C77="","",'計算'!$CQ77)</f>
        <v/>
      </c>
      <c r="P81" s="52">
        <f>IF('計算'!$C77="","",IF('計算'!$M77="","",'計算'!$AX77))</f>
        <v/>
      </c>
      <c r="Q81" s="52">
        <f>IF('計算'!$C77="","",IF('計算'!$M77="","",'計算'!$AY77))</f>
        <v/>
      </c>
      <c r="R81" s="52">
        <f>IF('計算'!$C77="","",IF('計算'!$M77="","",'計算'!$AZ77))</f>
        <v/>
      </c>
      <c r="S81" s="52">
        <f>IF('計算'!$C77="","",IF('計算'!$M77="","",'計算'!$BA77))</f>
        <v/>
      </c>
      <c r="T81" s="52">
        <f>IF('計算'!$C77="","",IF('計算'!$M77="","",'計算'!$BB77))</f>
        <v/>
      </c>
      <c r="U81" s="52">
        <f>IF('計算'!$C77="","",IF('計算'!$M77="","",'計算'!$BC77))</f>
        <v/>
      </c>
      <c r="V81" s="52">
        <f>IF('計算'!$C77="","",IF('計算'!$M77="","",'計算'!$BD77))</f>
        <v/>
      </c>
      <c r="W81" s="52">
        <f>IF('計算'!$C77="","",IF('計算'!$M77="","",'計算'!$BE77))</f>
        <v/>
      </c>
      <c r="X81" s="52">
        <f>IF('計算'!$C77="","",IF('計算'!$M77="","",'計算'!$BF77))</f>
        <v/>
      </c>
      <c r="Y81" s="52">
        <f>IF('計算'!$C77="","",IF('計算'!$M77="","",'計算'!$BG77))</f>
        <v/>
      </c>
      <c r="Z81" s="52">
        <f>IF('計算'!$C77="","",IF('計算'!$M77="","",'計算'!$BH77))</f>
        <v/>
      </c>
      <c r="AA81" s="52">
        <f>IF('計算'!$C77="","",IF('計算'!$M77="","",'計算'!$BI77))</f>
        <v/>
      </c>
      <c r="AB81" s="52">
        <f>IF('計算'!$C77="","",IF('計算'!$M77="","",'計算'!$BJ77))</f>
        <v/>
      </c>
      <c r="AC81" s="52">
        <f>IF('計算'!$C77="","",IF('計算'!$M77="","",'計算'!$BK77))</f>
        <v/>
      </c>
      <c r="AD81" s="53" t="n"/>
      <c r="AE81" s="48" t="n"/>
      <c r="AF81" s="54">
        <f>IF('計算'!$C77="","",'計算'!$C77)</f>
        <v/>
      </c>
      <c r="AG81" s="54">
        <f>IF('計算'!$C77="","",'計算'!$F77)</f>
        <v/>
      </c>
    </row>
    <row r="82" ht="18" customHeight="1">
      <c r="B82" s="42">
        <f>IF('計算'!$C78="","",'計算'!$B78)</f>
        <v/>
      </c>
      <c r="C82" s="43">
        <f>IF('計算'!$C78="","",'計算'!$D78)</f>
        <v/>
      </c>
      <c r="D82" s="44">
        <f>IF('計算'!$C78="","",'計算'!$O78)</f>
        <v/>
      </c>
      <c r="E82" s="45">
        <f>IF('計算'!$C78="","",'計算'!$L78)</f>
        <v/>
      </c>
      <c r="F82" s="46">
        <f>IF('計算'!$C78="","",'計算'!$CD78)</f>
        <v/>
      </c>
      <c r="G82" s="47">
        <f>IF('計算'!$C78="","",'計算'!$CA78)</f>
        <v/>
      </c>
      <c r="H82" s="43">
        <f>IF('計算'!$C78="","",'計算'!$CP78)</f>
        <v/>
      </c>
      <c r="I82" s="48" t="n"/>
      <c r="J82" s="49" t="n"/>
      <c r="K82" s="50">
        <f>IF('計算'!$C78="","",'計算'!$CR78)</f>
        <v/>
      </c>
      <c r="L82" s="51">
        <f>IF('計算'!$C78="","",'計算'!$CF78)</f>
        <v/>
      </c>
      <c r="M82" s="48" t="n"/>
      <c r="N82" s="49" t="n"/>
      <c r="O82" s="43">
        <f>IF('計算'!$C78="","",'計算'!$CQ78)</f>
        <v/>
      </c>
      <c r="P82" s="52">
        <f>IF('計算'!$C78="","",IF('計算'!$M78="","",'計算'!$AX78))</f>
        <v/>
      </c>
      <c r="Q82" s="52">
        <f>IF('計算'!$C78="","",IF('計算'!$M78="","",'計算'!$AY78))</f>
        <v/>
      </c>
      <c r="R82" s="52">
        <f>IF('計算'!$C78="","",IF('計算'!$M78="","",'計算'!$AZ78))</f>
        <v/>
      </c>
      <c r="S82" s="52">
        <f>IF('計算'!$C78="","",IF('計算'!$M78="","",'計算'!$BA78))</f>
        <v/>
      </c>
      <c r="T82" s="52">
        <f>IF('計算'!$C78="","",IF('計算'!$M78="","",'計算'!$BB78))</f>
        <v/>
      </c>
      <c r="U82" s="52">
        <f>IF('計算'!$C78="","",IF('計算'!$M78="","",'計算'!$BC78))</f>
        <v/>
      </c>
      <c r="V82" s="52">
        <f>IF('計算'!$C78="","",IF('計算'!$M78="","",'計算'!$BD78))</f>
        <v/>
      </c>
      <c r="W82" s="52">
        <f>IF('計算'!$C78="","",IF('計算'!$M78="","",'計算'!$BE78))</f>
        <v/>
      </c>
      <c r="X82" s="52">
        <f>IF('計算'!$C78="","",IF('計算'!$M78="","",'計算'!$BF78))</f>
        <v/>
      </c>
      <c r="Y82" s="52">
        <f>IF('計算'!$C78="","",IF('計算'!$M78="","",'計算'!$BG78))</f>
        <v/>
      </c>
      <c r="Z82" s="52">
        <f>IF('計算'!$C78="","",IF('計算'!$M78="","",'計算'!$BH78))</f>
        <v/>
      </c>
      <c r="AA82" s="52">
        <f>IF('計算'!$C78="","",IF('計算'!$M78="","",'計算'!$BI78))</f>
        <v/>
      </c>
      <c r="AB82" s="52">
        <f>IF('計算'!$C78="","",IF('計算'!$M78="","",'計算'!$BJ78))</f>
        <v/>
      </c>
      <c r="AC82" s="52">
        <f>IF('計算'!$C78="","",IF('計算'!$M78="","",'計算'!$BK78))</f>
        <v/>
      </c>
      <c r="AD82" s="53" t="n"/>
      <c r="AE82" s="48" t="n"/>
      <c r="AF82" s="54">
        <f>IF('計算'!$C78="","",'計算'!$C78)</f>
        <v/>
      </c>
      <c r="AG82" s="54">
        <f>IF('計算'!$C78="","",'計算'!$F78)</f>
        <v/>
      </c>
    </row>
    <row r="83" ht="18" customHeight="1">
      <c r="B83" s="42">
        <f>IF('計算'!$C79="","",'計算'!$B79)</f>
        <v/>
      </c>
      <c r="C83" s="43">
        <f>IF('計算'!$C79="","",'計算'!$D79)</f>
        <v/>
      </c>
      <c r="D83" s="44">
        <f>IF('計算'!$C79="","",'計算'!$O79)</f>
        <v/>
      </c>
      <c r="E83" s="45">
        <f>IF('計算'!$C79="","",'計算'!$L79)</f>
        <v/>
      </c>
      <c r="F83" s="46">
        <f>IF('計算'!$C79="","",'計算'!$CD79)</f>
        <v/>
      </c>
      <c r="G83" s="47">
        <f>IF('計算'!$C79="","",'計算'!$CA79)</f>
        <v/>
      </c>
      <c r="H83" s="43">
        <f>IF('計算'!$C79="","",'計算'!$CP79)</f>
        <v/>
      </c>
      <c r="I83" s="48" t="n"/>
      <c r="J83" s="49" t="n"/>
      <c r="K83" s="50">
        <f>IF('計算'!$C79="","",'計算'!$CR79)</f>
        <v/>
      </c>
      <c r="L83" s="51">
        <f>IF('計算'!$C79="","",'計算'!$CF79)</f>
        <v/>
      </c>
      <c r="M83" s="48" t="n"/>
      <c r="N83" s="49" t="n"/>
      <c r="O83" s="43">
        <f>IF('計算'!$C79="","",'計算'!$CQ79)</f>
        <v/>
      </c>
      <c r="P83" s="52">
        <f>IF('計算'!$C79="","",IF('計算'!$M79="","",'計算'!$AX79))</f>
        <v/>
      </c>
      <c r="Q83" s="52">
        <f>IF('計算'!$C79="","",IF('計算'!$M79="","",'計算'!$AY79))</f>
        <v/>
      </c>
      <c r="R83" s="52">
        <f>IF('計算'!$C79="","",IF('計算'!$M79="","",'計算'!$AZ79))</f>
        <v/>
      </c>
      <c r="S83" s="52">
        <f>IF('計算'!$C79="","",IF('計算'!$M79="","",'計算'!$BA79))</f>
        <v/>
      </c>
      <c r="T83" s="52">
        <f>IF('計算'!$C79="","",IF('計算'!$M79="","",'計算'!$BB79))</f>
        <v/>
      </c>
      <c r="U83" s="52">
        <f>IF('計算'!$C79="","",IF('計算'!$M79="","",'計算'!$BC79))</f>
        <v/>
      </c>
      <c r="V83" s="52">
        <f>IF('計算'!$C79="","",IF('計算'!$M79="","",'計算'!$BD79))</f>
        <v/>
      </c>
      <c r="W83" s="52">
        <f>IF('計算'!$C79="","",IF('計算'!$M79="","",'計算'!$BE79))</f>
        <v/>
      </c>
      <c r="X83" s="52">
        <f>IF('計算'!$C79="","",IF('計算'!$M79="","",'計算'!$BF79))</f>
        <v/>
      </c>
      <c r="Y83" s="52">
        <f>IF('計算'!$C79="","",IF('計算'!$M79="","",'計算'!$BG79))</f>
        <v/>
      </c>
      <c r="Z83" s="52">
        <f>IF('計算'!$C79="","",IF('計算'!$M79="","",'計算'!$BH79))</f>
        <v/>
      </c>
      <c r="AA83" s="52">
        <f>IF('計算'!$C79="","",IF('計算'!$M79="","",'計算'!$BI79))</f>
        <v/>
      </c>
      <c r="AB83" s="52">
        <f>IF('計算'!$C79="","",IF('計算'!$M79="","",'計算'!$BJ79))</f>
        <v/>
      </c>
      <c r="AC83" s="52">
        <f>IF('計算'!$C79="","",IF('計算'!$M79="","",'計算'!$BK79))</f>
        <v/>
      </c>
      <c r="AD83" s="53" t="n"/>
      <c r="AE83" s="48" t="n"/>
      <c r="AF83" s="54">
        <f>IF('計算'!$C79="","",'計算'!$C79)</f>
        <v/>
      </c>
      <c r="AG83" s="54">
        <f>IF('計算'!$C79="","",'計算'!$F79)</f>
        <v/>
      </c>
    </row>
    <row r="84" ht="18" customHeight="1">
      <c r="B84" s="42">
        <f>IF('計算'!$C80="","",'計算'!$B80)</f>
        <v/>
      </c>
      <c r="C84" s="43">
        <f>IF('計算'!$C80="","",'計算'!$D80)</f>
        <v/>
      </c>
      <c r="D84" s="44">
        <f>IF('計算'!$C80="","",'計算'!$O80)</f>
        <v/>
      </c>
      <c r="E84" s="45">
        <f>IF('計算'!$C80="","",'計算'!$L80)</f>
        <v/>
      </c>
      <c r="F84" s="46">
        <f>IF('計算'!$C80="","",'計算'!$CD80)</f>
        <v/>
      </c>
      <c r="G84" s="47">
        <f>IF('計算'!$C80="","",'計算'!$CA80)</f>
        <v/>
      </c>
      <c r="H84" s="43">
        <f>IF('計算'!$C80="","",'計算'!$CP80)</f>
        <v/>
      </c>
      <c r="I84" s="48" t="n"/>
      <c r="J84" s="49" t="n"/>
      <c r="K84" s="50">
        <f>IF('計算'!$C80="","",'計算'!$CR80)</f>
        <v/>
      </c>
      <c r="L84" s="51">
        <f>IF('計算'!$C80="","",'計算'!$CF80)</f>
        <v/>
      </c>
      <c r="M84" s="48" t="n"/>
      <c r="N84" s="49" t="n"/>
      <c r="O84" s="43">
        <f>IF('計算'!$C80="","",'計算'!$CQ80)</f>
        <v/>
      </c>
      <c r="P84" s="52">
        <f>IF('計算'!$C80="","",IF('計算'!$M80="","",'計算'!$AX80))</f>
        <v/>
      </c>
      <c r="Q84" s="52">
        <f>IF('計算'!$C80="","",IF('計算'!$M80="","",'計算'!$AY80))</f>
        <v/>
      </c>
      <c r="R84" s="52">
        <f>IF('計算'!$C80="","",IF('計算'!$M80="","",'計算'!$AZ80))</f>
        <v/>
      </c>
      <c r="S84" s="52">
        <f>IF('計算'!$C80="","",IF('計算'!$M80="","",'計算'!$BA80))</f>
        <v/>
      </c>
      <c r="T84" s="52">
        <f>IF('計算'!$C80="","",IF('計算'!$M80="","",'計算'!$BB80))</f>
        <v/>
      </c>
      <c r="U84" s="52">
        <f>IF('計算'!$C80="","",IF('計算'!$M80="","",'計算'!$BC80))</f>
        <v/>
      </c>
      <c r="V84" s="52">
        <f>IF('計算'!$C80="","",IF('計算'!$M80="","",'計算'!$BD80))</f>
        <v/>
      </c>
      <c r="W84" s="52">
        <f>IF('計算'!$C80="","",IF('計算'!$M80="","",'計算'!$BE80))</f>
        <v/>
      </c>
      <c r="X84" s="52">
        <f>IF('計算'!$C80="","",IF('計算'!$M80="","",'計算'!$BF80))</f>
        <v/>
      </c>
      <c r="Y84" s="52">
        <f>IF('計算'!$C80="","",IF('計算'!$M80="","",'計算'!$BG80))</f>
        <v/>
      </c>
      <c r="Z84" s="52">
        <f>IF('計算'!$C80="","",IF('計算'!$M80="","",'計算'!$BH80))</f>
        <v/>
      </c>
      <c r="AA84" s="52">
        <f>IF('計算'!$C80="","",IF('計算'!$M80="","",'計算'!$BI80))</f>
        <v/>
      </c>
      <c r="AB84" s="52">
        <f>IF('計算'!$C80="","",IF('計算'!$M80="","",'計算'!$BJ80))</f>
        <v/>
      </c>
      <c r="AC84" s="52">
        <f>IF('計算'!$C80="","",IF('計算'!$M80="","",'計算'!$BK80))</f>
        <v/>
      </c>
      <c r="AD84" s="53" t="n"/>
      <c r="AE84" s="48" t="n"/>
      <c r="AF84" s="54">
        <f>IF('計算'!$C80="","",'計算'!$C80)</f>
        <v/>
      </c>
      <c r="AG84" s="54">
        <f>IF('計算'!$C80="","",'計算'!$F80)</f>
        <v/>
      </c>
    </row>
    <row r="85" ht="18" customHeight="1">
      <c r="B85" s="42">
        <f>IF('計算'!$C81="","",'計算'!$B81)</f>
        <v/>
      </c>
      <c r="C85" s="43">
        <f>IF('計算'!$C81="","",'計算'!$D81)</f>
        <v/>
      </c>
      <c r="D85" s="44">
        <f>IF('計算'!$C81="","",'計算'!$O81)</f>
        <v/>
      </c>
      <c r="E85" s="45">
        <f>IF('計算'!$C81="","",'計算'!$L81)</f>
        <v/>
      </c>
      <c r="F85" s="46">
        <f>IF('計算'!$C81="","",'計算'!$CD81)</f>
        <v/>
      </c>
      <c r="G85" s="47">
        <f>IF('計算'!$C81="","",'計算'!$CA81)</f>
        <v/>
      </c>
      <c r="H85" s="43">
        <f>IF('計算'!$C81="","",'計算'!$CP81)</f>
        <v/>
      </c>
      <c r="I85" s="48" t="n"/>
      <c r="J85" s="49" t="n"/>
      <c r="K85" s="50">
        <f>IF('計算'!$C81="","",'計算'!$CR81)</f>
        <v/>
      </c>
      <c r="L85" s="51">
        <f>IF('計算'!$C81="","",'計算'!$CF81)</f>
        <v/>
      </c>
      <c r="M85" s="48" t="n"/>
      <c r="N85" s="49" t="n"/>
      <c r="O85" s="43">
        <f>IF('計算'!$C81="","",'計算'!$CQ81)</f>
        <v/>
      </c>
      <c r="P85" s="52">
        <f>IF('計算'!$C81="","",IF('計算'!$M81="","",'計算'!$AX81))</f>
        <v/>
      </c>
      <c r="Q85" s="52">
        <f>IF('計算'!$C81="","",IF('計算'!$M81="","",'計算'!$AY81))</f>
        <v/>
      </c>
      <c r="R85" s="52">
        <f>IF('計算'!$C81="","",IF('計算'!$M81="","",'計算'!$AZ81))</f>
        <v/>
      </c>
      <c r="S85" s="52">
        <f>IF('計算'!$C81="","",IF('計算'!$M81="","",'計算'!$BA81))</f>
        <v/>
      </c>
      <c r="T85" s="52">
        <f>IF('計算'!$C81="","",IF('計算'!$M81="","",'計算'!$BB81))</f>
        <v/>
      </c>
      <c r="U85" s="52">
        <f>IF('計算'!$C81="","",IF('計算'!$M81="","",'計算'!$BC81))</f>
        <v/>
      </c>
      <c r="V85" s="52">
        <f>IF('計算'!$C81="","",IF('計算'!$M81="","",'計算'!$BD81))</f>
        <v/>
      </c>
      <c r="W85" s="52">
        <f>IF('計算'!$C81="","",IF('計算'!$M81="","",'計算'!$BE81))</f>
        <v/>
      </c>
      <c r="X85" s="52">
        <f>IF('計算'!$C81="","",IF('計算'!$M81="","",'計算'!$BF81))</f>
        <v/>
      </c>
      <c r="Y85" s="52">
        <f>IF('計算'!$C81="","",IF('計算'!$M81="","",'計算'!$BG81))</f>
        <v/>
      </c>
      <c r="Z85" s="52">
        <f>IF('計算'!$C81="","",IF('計算'!$M81="","",'計算'!$BH81))</f>
        <v/>
      </c>
      <c r="AA85" s="52">
        <f>IF('計算'!$C81="","",IF('計算'!$M81="","",'計算'!$BI81))</f>
        <v/>
      </c>
      <c r="AB85" s="52">
        <f>IF('計算'!$C81="","",IF('計算'!$M81="","",'計算'!$BJ81))</f>
        <v/>
      </c>
      <c r="AC85" s="52">
        <f>IF('計算'!$C81="","",IF('計算'!$M81="","",'計算'!$BK81))</f>
        <v/>
      </c>
      <c r="AD85" s="53" t="n"/>
      <c r="AE85" s="48" t="n"/>
      <c r="AF85" s="54">
        <f>IF('計算'!$C81="","",'計算'!$C81)</f>
        <v/>
      </c>
      <c r="AG85" s="54">
        <f>IF('計算'!$C81="","",'計算'!$F81)</f>
        <v/>
      </c>
    </row>
    <row r="86" ht="18" customHeight="1">
      <c r="B86" s="42">
        <f>IF('計算'!$C82="","",'計算'!$B82)</f>
        <v/>
      </c>
      <c r="C86" s="43">
        <f>IF('計算'!$C82="","",'計算'!$D82)</f>
        <v/>
      </c>
      <c r="D86" s="44">
        <f>IF('計算'!$C82="","",'計算'!$O82)</f>
        <v/>
      </c>
      <c r="E86" s="45">
        <f>IF('計算'!$C82="","",'計算'!$L82)</f>
        <v/>
      </c>
      <c r="F86" s="46">
        <f>IF('計算'!$C82="","",'計算'!$CD82)</f>
        <v/>
      </c>
      <c r="G86" s="47">
        <f>IF('計算'!$C82="","",'計算'!$CA82)</f>
        <v/>
      </c>
      <c r="H86" s="43">
        <f>IF('計算'!$C82="","",'計算'!$CP82)</f>
        <v/>
      </c>
      <c r="I86" s="48" t="n"/>
      <c r="J86" s="49" t="n"/>
      <c r="K86" s="50">
        <f>IF('計算'!$C82="","",'計算'!$CR82)</f>
        <v/>
      </c>
      <c r="L86" s="51">
        <f>IF('計算'!$C82="","",'計算'!$CF82)</f>
        <v/>
      </c>
      <c r="M86" s="48" t="n"/>
      <c r="N86" s="49" t="n"/>
      <c r="O86" s="43">
        <f>IF('計算'!$C82="","",'計算'!$CQ82)</f>
        <v/>
      </c>
      <c r="P86" s="52">
        <f>IF('計算'!$C82="","",IF('計算'!$M82="","",'計算'!$AX82))</f>
        <v/>
      </c>
      <c r="Q86" s="52">
        <f>IF('計算'!$C82="","",IF('計算'!$M82="","",'計算'!$AY82))</f>
        <v/>
      </c>
      <c r="R86" s="52">
        <f>IF('計算'!$C82="","",IF('計算'!$M82="","",'計算'!$AZ82))</f>
        <v/>
      </c>
      <c r="S86" s="52">
        <f>IF('計算'!$C82="","",IF('計算'!$M82="","",'計算'!$BA82))</f>
        <v/>
      </c>
      <c r="T86" s="52">
        <f>IF('計算'!$C82="","",IF('計算'!$M82="","",'計算'!$BB82))</f>
        <v/>
      </c>
      <c r="U86" s="52">
        <f>IF('計算'!$C82="","",IF('計算'!$M82="","",'計算'!$BC82))</f>
        <v/>
      </c>
      <c r="V86" s="52">
        <f>IF('計算'!$C82="","",IF('計算'!$M82="","",'計算'!$BD82))</f>
        <v/>
      </c>
      <c r="W86" s="52">
        <f>IF('計算'!$C82="","",IF('計算'!$M82="","",'計算'!$BE82))</f>
        <v/>
      </c>
      <c r="X86" s="52">
        <f>IF('計算'!$C82="","",IF('計算'!$M82="","",'計算'!$BF82))</f>
        <v/>
      </c>
      <c r="Y86" s="52">
        <f>IF('計算'!$C82="","",IF('計算'!$M82="","",'計算'!$BG82))</f>
        <v/>
      </c>
      <c r="Z86" s="52">
        <f>IF('計算'!$C82="","",IF('計算'!$M82="","",'計算'!$BH82))</f>
        <v/>
      </c>
      <c r="AA86" s="52">
        <f>IF('計算'!$C82="","",IF('計算'!$M82="","",'計算'!$BI82))</f>
        <v/>
      </c>
      <c r="AB86" s="52">
        <f>IF('計算'!$C82="","",IF('計算'!$M82="","",'計算'!$BJ82))</f>
        <v/>
      </c>
      <c r="AC86" s="52">
        <f>IF('計算'!$C82="","",IF('計算'!$M82="","",'計算'!$BK82))</f>
        <v/>
      </c>
      <c r="AD86" s="53" t="n"/>
      <c r="AE86" s="48" t="n"/>
      <c r="AF86" s="54">
        <f>IF('計算'!$C82="","",'計算'!$C82)</f>
        <v/>
      </c>
      <c r="AG86" s="54">
        <f>IF('計算'!$C82="","",'計算'!$F82)</f>
        <v/>
      </c>
    </row>
    <row r="87" ht="18" customHeight="1">
      <c r="B87" s="42">
        <f>IF('計算'!$C83="","",'計算'!$B83)</f>
        <v/>
      </c>
      <c r="C87" s="43">
        <f>IF('計算'!$C83="","",'計算'!$D83)</f>
        <v/>
      </c>
      <c r="D87" s="44">
        <f>IF('計算'!$C83="","",'計算'!$O83)</f>
        <v/>
      </c>
      <c r="E87" s="45">
        <f>IF('計算'!$C83="","",'計算'!$L83)</f>
        <v/>
      </c>
      <c r="F87" s="46">
        <f>IF('計算'!$C83="","",'計算'!$CD83)</f>
        <v/>
      </c>
      <c r="G87" s="47">
        <f>IF('計算'!$C83="","",'計算'!$CA83)</f>
        <v/>
      </c>
      <c r="H87" s="43">
        <f>IF('計算'!$C83="","",'計算'!$CP83)</f>
        <v/>
      </c>
      <c r="I87" s="48" t="n"/>
      <c r="J87" s="49" t="n"/>
      <c r="K87" s="50">
        <f>IF('計算'!$C83="","",'計算'!$CR83)</f>
        <v/>
      </c>
      <c r="L87" s="51">
        <f>IF('計算'!$C83="","",'計算'!$CF83)</f>
        <v/>
      </c>
      <c r="M87" s="48" t="n"/>
      <c r="N87" s="49" t="n"/>
      <c r="O87" s="43">
        <f>IF('計算'!$C83="","",'計算'!$CQ83)</f>
        <v/>
      </c>
      <c r="P87" s="52">
        <f>IF('計算'!$C83="","",IF('計算'!$M83="","",'計算'!$AX83))</f>
        <v/>
      </c>
      <c r="Q87" s="52">
        <f>IF('計算'!$C83="","",IF('計算'!$M83="","",'計算'!$AY83))</f>
        <v/>
      </c>
      <c r="R87" s="52">
        <f>IF('計算'!$C83="","",IF('計算'!$M83="","",'計算'!$AZ83))</f>
        <v/>
      </c>
      <c r="S87" s="52">
        <f>IF('計算'!$C83="","",IF('計算'!$M83="","",'計算'!$BA83))</f>
        <v/>
      </c>
      <c r="T87" s="52">
        <f>IF('計算'!$C83="","",IF('計算'!$M83="","",'計算'!$BB83))</f>
        <v/>
      </c>
      <c r="U87" s="52">
        <f>IF('計算'!$C83="","",IF('計算'!$M83="","",'計算'!$BC83))</f>
        <v/>
      </c>
      <c r="V87" s="52">
        <f>IF('計算'!$C83="","",IF('計算'!$M83="","",'計算'!$BD83))</f>
        <v/>
      </c>
      <c r="W87" s="52">
        <f>IF('計算'!$C83="","",IF('計算'!$M83="","",'計算'!$BE83))</f>
        <v/>
      </c>
      <c r="X87" s="52">
        <f>IF('計算'!$C83="","",IF('計算'!$M83="","",'計算'!$BF83))</f>
        <v/>
      </c>
      <c r="Y87" s="52">
        <f>IF('計算'!$C83="","",IF('計算'!$M83="","",'計算'!$BG83))</f>
        <v/>
      </c>
      <c r="Z87" s="52">
        <f>IF('計算'!$C83="","",IF('計算'!$M83="","",'計算'!$BH83))</f>
        <v/>
      </c>
      <c r="AA87" s="52">
        <f>IF('計算'!$C83="","",IF('計算'!$M83="","",'計算'!$BI83))</f>
        <v/>
      </c>
      <c r="AB87" s="52">
        <f>IF('計算'!$C83="","",IF('計算'!$M83="","",'計算'!$BJ83))</f>
        <v/>
      </c>
      <c r="AC87" s="52">
        <f>IF('計算'!$C83="","",IF('計算'!$M83="","",'計算'!$BK83))</f>
        <v/>
      </c>
      <c r="AD87" s="53" t="n"/>
      <c r="AE87" s="48" t="n"/>
      <c r="AF87" s="54">
        <f>IF('計算'!$C83="","",'計算'!$C83)</f>
        <v/>
      </c>
      <c r="AG87" s="54">
        <f>IF('計算'!$C83="","",'計算'!$F83)</f>
        <v/>
      </c>
    </row>
    <row r="88" ht="18" customHeight="1">
      <c r="B88" s="42">
        <f>IF('計算'!$C84="","",'計算'!$B84)</f>
        <v/>
      </c>
      <c r="C88" s="43">
        <f>IF('計算'!$C84="","",'計算'!$D84)</f>
        <v/>
      </c>
      <c r="D88" s="44">
        <f>IF('計算'!$C84="","",'計算'!$O84)</f>
        <v/>
      </c>
      <c r="E88" s="45">
        <f>IF('計算'!$C84="","",'計算'!$L84)</f>
        <v/>
      </c>
      <c r="F88" s="46">
        <f>IF('計算'!$C84="","",'計算'!$CD84)</f>
        <v/>
      </c>
      <c r="G88" s="47">
        <f>IF('計算'!$C84="","",'計算'!$CA84)</f>
        <v/>
      </c>
      <c r="H88" s="43">
        <f>IF('計算'!$C84="","",'計算'!$CP84)</f>
        <v/>
      </c>
      <c r="I88" s="48" t="n"/>
      <c r="J88" s="49" t="n"/>
      <c r="K88" s="50">
        <f>IF('計算'!$C84="","",'計算'!$CR84)</f>
        <v/>
      </c>
      <c r="L88" s="51">
        <f>IF('計算'!$C84="","",'計算'!$CF84)</f>
        <v/>
      </c>
      <c r="M88" s="48" t="n"/>
      <c r="N88" s="49" t="n"/>
      <c r="O88" s="43">
        <f>IF('計算'!$C84="","",'計算'!$CQ84)</f>
        <v/>
      </c>
      <c r="P88" s="52">
        <f>IF('計算'!$C84="","",IF('計算'!$M84="","",'計算'!$AX84))</f>
        <v/>
      </c>
      <c r="Q88" s="52">
        <f>IF('計算'!$C84="","",IF('計算'!$M84="","",'計算'!$AY84))</f>
        <v/>
      </c>
      <c r="R88" s="52">
        <f>IF('計算'!$C84="","",IF('計算'!$M84="","",'計算'!$AZ84))</f>
        <v/>
      </c>
      <c r="S88" s="52">
        <f>IF('計算'!$C84="","",IF('計算'!$M84="","",'計算'!$BA84))</f>
        <v/>
      </c>
      <c r="T88" s="52">
        <f>IF('計算'!$C84="","",IF('計算'!$M84="","",'計算'!$BB84))</f>
        <v/>
      </c>
      <c r="U88" s="52">
        <f>IF('計算'!$C84="","",IF('計算'!$M84="","",'計算'!$BC84))</f>
        <v/>
      </c>
      <c r="V88" s="52">
        <f>IF('計算'!$C84="","",IF('計算'!$M84="","",'計算'!$BD84))</f>
        <v/>
      </c>
      <c r="W88" s="52">
        <f>IF('計算'!$C84="","",IF('計算'!$M84="","",'計算'!$BE84))</f>
        <v/>
      </c>
      <c r="X88" s="52">
        <f>IF('計算'!$C84="","",IF('計算'!$M84="","",'計算'!$BF84))</f>
        <v/>
      </c>
      <c r="Y88" s="52">
        <f>IF('計算'!$C84="","",IF('計算'!$M84="","",'計算'!$BG84))</f>
        <v/>
      </c>
      <c r="Z88" s="52">
        <f>IF('計算'!$C84="","",IF('計算'!$M84="","",'計算'!$BH84))</f>
        <v/>
      </c>
      <c r="AA88" s="52">
        <f>IF('計算'!$C84="","",IF('計算'!$M84="","",'計算'!$BI84))</f>
        <v/>
      </c>
      <c r="AB88" s="52">
        <f>IF('計算'!$C84="","",IF('計算'!$M84="","",'計算'!$BJ84))</f>
        <v/>
      </c>
      <c r="AC88" s="52">
        <f>IF('計算'!$C84="","",IF('計算'!$M84="","",'計算'!$BK84))</f>
        <v/>
      </c>
      <c r="AD88" s="53" t="n"/>
      <c r="AE88" s="48" t="n"/>
      <c r="AF88" s="54">
        <f>IF('計算'!$C84="","",'計算'!$C84)</f>
        <v/>
      </c>
      <c r="AG88" s="54">
        <f>IF('計算'!$C84="","",'計算'!$F84)</f>
        <v/>
      </c>
    </row>
    <row r="89" ht="18" customHeight="1">
      <c r="B89" s="42">
        <f>IF('計算'!$C85="","",'計算'!$B85)</f>
        <v/>
      </c>
      <c r="C89" s="43">
        <f>IF('計算'!$C85="","",'計算'!$D85)</f>
        <v/>
      </c>
      <c r="D89" s="44">
        <f>IF('計算'!$C85="","",'計算'!$O85)</f>
        <v/>
      </c>
      <c r="E89" s="45">
        <f>IF('計算'!$C85="","",'計算'!$L85)</f>
        <v/>
      </c>
      <c r="F89" s="46">
        <f>IF('計算'!$C85="","",'計算'!$CD85)</f>
        <v/>
      </c>
      <c r="G89" s="47">
        <f>IF('計算'!$C85="","",'計算'!$CA85)</f>
        <v/>
      </c>
      <c r="H89" s="43">
        <f>IF('計算'!$C85="","",'計算'!$CP85)</f>
        <v/>
      </c>
      <c r="I89" s="48" t="n"/>
      <c r="J89" s="49" t="n"/>
      <c r="K89" s="50">
        <f>IF('計算'!$C85="","",'計算'!$CR85)</f>
        <v/>
      </c>
      <c r="L89" s="51">
        <f>IF('計算'!$C85="","",'計算'!$CF85)</f>
        <v/>
      </c>
      <c r="M89" s="48" t="n"/>
      <c r="N89" s="49" t="n"/>
      <c r="O89" s="43">
        <f>IF('計算'!$C85="","",'計算'!$CQ85)</f>
        <v/>
      </c>
      <c r="P89" s="52">
        <f>IF('計算'!$C85="","",IF('計算'!$M85="","",'計算'!$AX85))</f>
        <v/>
      </c>
      <c r="Q89" s="52">
        <f>IF('計算'!$C85="","",IF('計算'!$M85="","",'計算'!$AY85))</f>
        <v/>
      </c>
      <c r="R89" s="52">
        <f>IF('計算'!$C85="","",IF('計算'!$M85="","",'計算'!$AZ85))</f>
        <v/>
      </c>
      <c r="S89" s="52">
        <f>IF('計算'!$C85="","",IF('計算'!$M85="","",'計算'!$BA85))</f>
        <v/>
      </c>
      <c r="T89" s="52">
        <f>IF('計算'!$C85="","",IF('計算'!$M85="","",'計算'!$BB85))</f>
        <v/>
      </c>
      <c r="U89" s="52">
        <f>IF('計算'!$C85="","",IF('計算'!$M85="","",'計算'!$BC85))</f>
        <v/>
      </c>
      <c r="V89" s="52">
        <f>IF('計算'!$C85="","",IF('計算'!$M85="","",'計算'!$BD85))</f>
        <v/>
      </c>
      <c r="W89" s="52">
        <f>IF('計算'!$C85="","",IF('計算'!$M85="","",'計算'!$BE85))</f>
        <v/>
      </c>
      <c r="X89" s="52">
        <f>IF('計算'!$C85="","",IF('計算'!$M85="","",'計算'!$BF85))</f>
        <v/>
      </c>
      <c r="Y89" s="52">
        <f>IF('計算'!$C85="","",IF('計算'!$M85="","",'計算'!$BG85))</f>
        <v/>
      </c>
      <c r="Z89" s="52">
        <f>IF('計算'!$C85="","",IF('計算'!$M85="","",'計算'!$BH85))</f>
        <v/>
      </c>
      <c r="AA89" s="52">
        <f>IF('計算'!$C85="","",IF('計算'!$M85="","",'計算'!$BI85))</f>
        <v/>
      </c>
      <c r="AB89" s="52">
        <f>IF('計算'!$C85="","",IF('計算'!$M85="","",'計算'!$BJ85))</f>
        <v/>
      </c>
      <c r="AC89" s="52">
        <f>IF('計算'!$C85="","",IF('計算'!$M85="","",'計算'!$BK85))</f>
        <v/>
      </c>
      <c r="AD89" s="53" t="n"/>
      <c r="AE89" s="48" t="n"/>
      <c r="AF89" s="54">
        <f>IF('計算'!$C85="","",'計算'!$C85)</f>
        <v/>
      </c>
      <c r="AG89" s="54">
        <f>IF('計算'!$C85="","",'計算'!$F85)</f>
        <v/>
      </c>
    </row>
    <row r="90" ht="18" customHeight="1">
      <c r="B90" s="42">
        <f>IF('計算'!$C86="","",'計算'!$B86)</f>
        <v/>
      </c>
      <c r="C90" s="43">
        <f>IF('計算'!$C86="","",'計算'!$D86)</f>
        <v/>
      </c>
      <c r="D90" s="44">
        <f>IF('計算'!$C86="","",'計算'!$O86)</f>
        <v/>
      </c>
      <c r="E90" s="45">
        <f>IF('計算'!$C86="","",'計算'!$L86)</f>
        <v/>
      </c>
      <c r="F90" s="46">
        <f>IF('計算'!$C86="","",'計算'!$CD86)</f>
        <v/>
      </c>
      <c r="G90" s="47">
        <f>IF('計算'!$C86="","",'計算'!$CA86)</f>
        <v/>
      </c>
      <c r="H90" s="43">
        <f>IF('計算'!$C86="","",'計算'!$CP86)</f>
        <v/>
      </c>
      <c r="I90" s="48" t="n"/>
      <c r="J90" s="49" t="n"/>
      <c r="K90" s="50">
        <f>IF('計算'!$C86="","",'計算'!$CR86)</f>
        <v/>
      </c>
      <c r="L90" s="51">
        <f>IF('計算'!$C86="","",'計算'!$CF86)</f>
        <v/>
      </c>
      <c r="M90" s="48" t="n"/>
      <c r="N90" s="49" t="n"/>
      <c r="O90" s="43">
        <f>IF('計算'!$C86="","",'計算'!$CQ86)</f>
        <v/>
      </c>
      <c r="P90" s="52">
        <f>IF('計算'!$C86="","",IF('計算'!$M86="","",'計算'!$AX86))</f>
        <v/>
      </c>
      <c r="Q90" s="52">
        <f>IF('計算'!$C86="","",IF('計算'!$M86="","",'計算'!$AY86))</f>
        <v/>
      </c>
      <c r="R90" s="52">
        <f>IF('計算'!$C86="","",IF('計算'!$M86="","",'計算'!$AZ86))</f>
        <v/>
      </c>
      <c r="S90" s="52">
        <f>IF('計算'!$C86="","",IF('計算'!$M86="","",'計算'!$BA86))</f>
        <v/>
      </c>
      <c r="T90" s="52">
        <f>IF('計算'!$C86="","",IF('計算'!$M86="","",'計算'!$BB86))</f>
        <v/>
      </c>
      <c r="U90" s="52">
        <f>IF('計算'!$C86="","",IF('計算'!$M86="","",'計算'!$BC86))</f>
        <v/>
      </c>
      <c r="V90" s="52">
        <f>IF('計算'!$C86="","",IF('計算'!$M86="","",'計算'!$BD86))</f>
        <v/>
      </c>
      <c r="W90" s="52">
        <f>IF('計算'!$C86="","",IF('計算'!$M86="","",'計算'!$BE86))</f>
        <v/>
      </c>
      <c r="X90" s="52">
        <f>IF('計算'!$C86="","",IF('計算'!$M86="","",'計算'!$BF86))</f>
        <v/>
      </c>
      <c r="Y90" s="52">
        <f>IF('計算'!$C86="","",IF('計算'!$M86="","",'計算'!$BG86))</f>
        <v/>
      </c>
      <c r="Z90" s="52">
        <f>IF('計算'!$C86="","",IF('計算'!$M86="","",'計算'!$BH86))</f>
        <v/>
      </c>
      <c r="AA90" s="52">
        <f>IF('計算'!$C86="","",IF('計算'!$M86="","",'計算'!$BI86))</f>
        <v/>
      </c>
      <c r="AB90" s="52">
        <f>IF('計算'!$C86="","",IF('計算'!$M86="","",'計算'!$BJ86))</f>
        <v/>
      </c>
      <c r="AC90" s="52">
        <f>IF('計算'!$C86="","",IF('計算'!$M86="","",'計算'!$BK86))</f>
        <v/>
      </c>
      <c r="AD90" s="53" t="n"/>
      <c r="AE90" s="48" t="n"/>
      <c r="AF90" s="54">
        <f>IF('計算'!$C86="","",'計算'!$C86)</f>
        <v/>
      </c>
      <c r="AG90" s="54">
        <f>IF('計算'!$C86="","",'計算'!$F86)</f>
        <v/>
      </c>
    </row>
    <row r="91" ht="18" customHeight="1">
      <c r="B91" s="42">
        <f>IF('計算'!$C87="","",'計算'!$B87)</f>
        <v/>
      </c>
      <c r="C91" s="43">
        <f>IF('計算'!$C87="","",'計算'!$D87)</f>
        <v/>
      </c>
      <c r="D91" s="44">
        <f>IF('計算'!$C87="","",'計算'!$O87)</f>
        <v/>
      </c>
      <c r="E91" s="45">
        <f>IF('計算'!$C87="","",'計算'!$L87)</f>
        <v/>
      </c>
      <c r="F91" s="46">
        <f>IF('計算'!$C87="","",'計算'!$CD87)</f>
        <v/>
      </c>
      <c r="G91" s="47">
        <f>IF('計算'!$C87="","",'計算'!$CA87)</f>
        <v/>
      </c>
      <c r="H91" s="43">
        <f>IF('計算'!$C87="","",'計算'!$CP87)</f>
        <v/>
      </c>
      <c r="I91" s="48" t="n"/>
      <c r="J91" s="49" t="n"/>
      <c r="K91" s="50">
        <f>IF('計算'!$C87="","",'計算'!$CR87)</f>
        <v/>
      </c>
      <c r="L91" s="51">
        <f>IF('計算'!$C87="","",'計算'!$CF87)</f>
        <v/>
      </c>
      <c r="M91" s="48" t="n"/>
      <c r="N91" s="49" t="n"/>
      <c r="O91" s="43">
        <f>IF('計算'!$C87="","",'計算'!$CQ87)</f>
        <v/>
      </c>
      <c r="P91" s="52">
        <f>IF('計算'!$C87="","",IF('計算'!$M87="","",'計算'!$AX87))</f>
        <v/>
      </c>
      <c r="Q91" s="52">
        <f>IF('計算'!$C87="","",IF('計算'!$M87="","",'計算'!$AY87))</f>
        <v/>
      </c>
      <c r="R91" s="52">
        <f>IF('計算'!$C87="","",IF('計算'!$M87="","",'計算'!$AZ87))</f>
        <v/>
      </c>
      <c r="S91" s="52">
        <f>IF('計算'!$C87="","",IF('計算'!$M87="","",'計算'!$BA87))</f>
        <v/>
      </c>
      <c r="T91" s="52">
        <f>IF('計算'!$C87="","",IF('計算'!$M87="","",'計算'!$BB87))</f>
        <v/>
      </c>
      <c r="U91" s="52">
        <f>IF('計算'!$C87="","",IF('計算'!$M87="","",'計算'!$BC87))</f>
        <v/>
      </c>
      <c r="V91" s="52">
        <f>IF('計算'!$C87="","",IF('計算'!$M87="","",'計算'!$BD87))</f>
        <v/>
      </c>
      <c r="W91" s="52">
        <f>IF('計算'!$C87="","",IF('計算'!$M87="","",'計算'!$BE87))</f>
        <v/>
      </c>
      <c r="X91" s="52">
        <f>IF('計算'!$C87="","",IF('計算'!$M87="","",'計算'!$BF87))</f>
        <v/>
      </c>
      <c r="Y91" s="52">
        <f>IF('計算'!$C87="","",IF('計算'!$M87="","",'計算'!$BG87))</f>
        <v/>
      </c>
      <c r="Z91" s="52">
        <f>IF('計算'!$C87="","",IF('計算'!$M87="","",'計算'!$BH87))</f>
        <v/>
      </c>
      <c r="AA91" s="52">
        <f>IF('計算'!$C87="","",IF('計算'!$M87="","",'計算'!$BI87))</f>
        <v/>
      </c>
      <c r="AB91" s="52">
        <f>IF('計算'!$C87="","",IF('計算'!$M87="","",'計算'!$BJ87))</f>
        <v/>
      </c>
      <c r="AC91" s="52">
        <f>IF('計算'!$C87="","",IF('計算'!$M87="","",'計算'!$BK87))</f>
        <v/>
      </c>
      <c r="AD91" s="53" t="n"/>
      <c r="AE91" s="48" t="n"/>
      <c r="AF91" s="54">
        <f>IF('計算'!$C87="","",'計算'!$C87)</f>
        <v/>
      </c>
      <c r="AG91" s="54">
        <f>IF('計算'!$C87="","",'計算'!$F87)</f>
        <v/>
      </c>
    </row>
    <row r="92" ht="18" customHeight="1">
      <c r="B92" s="42">
        <f>IF('計算'!$C88="","",'計算'!$B88)</f>
        <v/>
      </c>
      <c r="C92" s="43">
        <f>IF('計算'!$C88="","",'計算'!$D88)</f>
        <v/>
      </c>
      <c r="D92" s="44">
        <f>IF('計算'!$C88="","",'計算'!$O88)</f>
        <v/>
      </c>
      <c r="E92" s="45">
        <f>IF('計算'!$C88="","",'計算'!$L88)</f>
        <v/>
      </c>
      <c r="F92" s="46">
        <f>IF('計算'!$C88="","",'計算'!$CD88)</f>
        <v/>
      </c>
      <c r="G92" s="47">
        <f>IF('計算'!$C88="","",'計算'!$CA88)</f>
        <v/>
      </c>
      <c r="H92" s="43">
        <f>IF('計算'!$C88="","",'計算'!$CP88)</f>
        <v/>
      </c>
      <c r="I92" s="48" t="n"/>
      <c r="J92" s="49" t="n"/>
      <c r="K92" s="50">
        <f>IF('計算'!$C88="","",'計算'!$CR88)</f>
        <v/>
      </c>
      <c r="L92" s="51">
        <f>IF('計算'!$C88="","",'計算'!$CF88)</f>
        <v/>
      </c>
      <c r="M92" s="48" t="n"/>
      <c r="N92" s="49" t="n"/>
      <c r="O92" s="43">
        <f>IF('計算'!$C88="","",'計算'!$CQ88)</f>
        <v/>
      </c>
      <c r="P92" s="52">
        <f>IF('計算'!$C88="","",IF('計算'!$M88="","",'計算'!$AX88))</f>
        <v/>
      </c>
      <c r="Q92" s="52">
        <f>IF('計算'!$C88="","",IF('計算'!$M88="","",'計算'!$AY88))</f>
        <v/>
      </c>
      <c r="R92" s="52">
        <f>IF('計算'!$C88="","",IF('計算'!$M88="","",'計算'!$AZ88))</f>
        <v/>
      </c>
      <c r="S92" s="52">
        <f>IF('計算'!$C88="","",IF('計算'!$M88="","",'計算'!$BA88))</f>
        <v/>
      </c>
      <c r="T92" s="52">
        <f>IF('計算'!$C88="","",IF('計算'!$M88="","",'計算'!$BB88))</f>
        <v/>
      </c>
      <c r="U92" s="52">
        <f>IF('計算'!$C88="","",IF('計算'!$M88="","",'計算'!$BC88))</f>
        <v/>
      </c>
      <c r="V92" s="52">
        <f>IF('計算'!$C88="","",IF('計算'!$M88="","",'計算'!$BD88))</f>
        <v/>
      </c>
      <c r="W92" s="52">
        <f>IF('計算'!$C88="","",IF('計算'!$M88="","",'計算'!$BE88))</f>
        <v/>
      </c>
      <c r="X92" s="52">
        <f>IF('計算'!$C88="","",IF('計算'!$M88="","",'計算'!$BF88))</f>
        <v/>
      </c>
      <c r="Y92" s="52">
        <f>IF('計算'!$C88="","",IF('計算'!$M88="","",'計算'!$BG88))</f>
        <v/>
      </c>
      <c r="Z92" s="52">
        <f>IF('計算'!$C88="","",IF('計算'!$M88="","",'計算'!$BH88))</f>
        <v/>
      </c>
      <c r="AA92" s="52">
        <f>IF('計算'!$C88="","",IF('計算'!$M88="","",'計算'!$BI88))</f>
        <v/>
      </c>
      <c r="AB92" s="52">
        <f>IF('計算'!$C88="","",IF('計算'!$M88="","",'計算'!$BJ88))</f>
        <v/>
      </c>
      <c r="AC92" s="52">
        <f>IF('計算'!$C88="","",IF('計算'!$M88="","",'計算'!$BK88))</f>
        <v/>
      </c>
      <c r="AD92" s="53" t="n"/>
      <c r="AE92" s="48" t="n"/>
      <c r="AF92" s="54">
        <f>IF('計算'!$C88="","",'計算'!$C88)</f>
        <v/>
      </c>
      <c r="AG92" s="54">
        <f>IF('計算'!$C88="","",'計算'!$F88)</f>
        <v/>
      </c>
    </row>
    <row r="93" ht="18" customHeight="1">
      <c r="B93" s="42">
        <f>IF('計算'!$C89="","",'計算'!$B89)</f>
        <v/>
      </c>
      <c r="C93" s="43">
        <f>IF('計算'!$C89="","",'計算'!$D89)</f>
        <v/>
      </c>
      <c r="D93" s="44">
        <f>IF('計算'!$C89="","",'計算'!$O89)</f>
        <v/>
      </c>
      <c r="E93" s="45">
        <f>IF('計算'!$C89="","",'計算'!$L89)</f>
        <v/>
      </c>
      <c r="F93" s="46">
        <f>IF('計算'!$C89="","",'計算'!$CD89)</f>
        <v/>
      </c>
      <c r="G93" s="47">
        <f>IF('計算'!$C89="","",'計算'!$CA89)</f>
        <v/>
      </c>
      <c r="H93" s="43">
        <f>IF('計算'!$C89="","",'計算'!$CP89)</f>
        <v/>
      </c>
      <c r="I93" s="48" t="n"/>
      <c r="J93" s="49" t="n"/>
      <c r="K93" s="50">
        <f>IF('計算'!$C89="","",'計算'!$CR89)</f>
        <v/>
      </c>
      <c r="L93" s="51">
        <f>IF('計算'!$C89="","",'計算'!$CF89)</f>
        <v/>
      </c>
      <c r="M93" s="48" t="n"/>
      <c r="N93" s="49" t="n"/>
      <c r="O93" s="43">
        <f>IF('計算'!$C89="","",'計算'!$CQ89)</f>
        <v/>
      </c>
      <c r="P93" s="52">
        <f>IF('計算'!$C89="","",IF('計算'!$M89="","",'計算'!$AX89))</f>
        <v/>
      </c>
      <c r="Q93" s="52">
        <f>IF('計算'!$C89="","",IF('計算'!$M89="","",'計算'!$AY89))</f>
        <v/>
      </c>
      <c r="R93" s="52">
        <f>IF('計算'!$C89="","",IF('計算'!$M89="","",'計算'!$AZ89))</f>
        <v/>
      </c>
      <c r="S93" s="52">
        <f>IF('計算'!$C89="","",IF('計算'!$M89="","",'計算'!$BA89))</f>
        <v/>
      </c>
      <c r="T93" s="52">
        <f>IF('計算'!$C89="","",IF('計算'!$M89="","",'計算'!$BB89))</f>
        <v/>
      </c>
      <c r="U93" s="52">
        <f>IF('計算'!$C89="","",IF('計算'!$M89="","",'計算'!$BC89))</f>
        <v/>
      </c>
      <c r="V93" s="52">
        <f>IF('計算'!$C89="","",IF('計算'!$M89="","",'計算'!$BD89))</f>
        <v/>
      </c>
      <c r="W93" s="52">
        <f>IF('計算'!$C89="","",IF('計算'!$M89="","",'計算'!$BE89))</f>
        <v/>
      </c>
      <c r="X93" s="52">
        <f>IF('計算'!$C89="","",IF('計算'!$M89="","",'計算'!$BF89))</f>
        <v/>
      </c>
      <c r="Y93" s="52">
        <f>IF('計算'!$C89="","",IF('計算'!$M89="","",'計算'!$BG89))</f>
        <v/>
      </c>
      <c r="Z93" s="52">
        <f>IF('計算'!$C89="","",IF('計算'!$M89="","",'計算'!$BH89))</f>
        <v/>
      </c>
      <c r="AA93" s="52">
        <f>IF('計算'!$C89="","",IF('計算'!$M89="","",'計算'!$BI89))</f>
        <v/>
      </c>
      <c r="AB93" s="52">
        <f>IF('計算'!$C89="","",IF('計算'!$M89="","",'計算'!$BJ89))</f>
        <v/>
      </c>
      <c r="AC93" s="52">
        <f>IF('計算'!$C89="","",IF('計算'!$M89="","",'計算'!$BK89))</f>
        <v/>
      </c>
      <c r="AD93" s="53" t="n"/>
      <c r="AE93" s="48" t="n"/>
      <c r="AF93" s="54">
        <f>IF('計算'!$C89="","",'計算'!$C89)</f>
        <v/>
      </c>
      <c r="AG93" s="54">
        <f>IF('計算'!$C89="","",'計算'!$F89)</f>
        <v/>
      </c>
    </row>
    <row r="94" ht="18" customHeight="1">
      <c r="B94" s="42">
        <f>IF('計算'!$C90="","",'計算'!$B90)</f>
        <v/>
      </c>
      <c r="C94" s="43">
        <f>IF('計算'!$C90="","",'計算'!$D90)</f>
        <v/>
      </c>
      <c r="D94" s="44">
        <f>IF('計算'!$C90="","",'計算'!$O90)</f>
        <v/>
      </c>
      <c r="E94" s="45">
        <f>IF('計算'!$C90="","",'計算'!$L90)</f>
        <v/>
      </c>
      <c r="F94" s="46">
        <f>IF('計算'!$C90="","",'計算'!$CD90)</f>
        <v/>
      </c>
      <c r="G94" s="47">
        <f>IF('計算'!$C90="","",'計算'!$CA90)</f>
        <v/>
      </c>
      <c r="H94" s="43">
        <f>IF('計算'!$C90="","",'計算'!$CP90)</f>
        <v/>
      </c>
      <c r="I94" s="48" t="n"/>
      <c r="J94" s="49" t="n"/>
      <c r="K94" s="50">
        <f>IF('計算'!$C90="","",'計算'!$CR90)</f>
        <v/>
      </c>
      <c r="L94" s="51">
        <f>IF('計算'!$C90="","",'計算'!$CF90)</f>
        <v/>
      </c>
      <c r="M94" s="48" t="n"/>
      <c r="N94" s="49" t="n"/>
      <c r="O94" s="43">
        <f>IF('計算'!$C90="","",'計算'!$CQ90)</f>
        <v/>
      </c>
      <c r="P94" s="52">
        <f>IF('計算'!$C90="","",IF('計算'!$M90="","",'計算'!$AX90))</f>
        <v/>
      </c>
      <c r="Q94" s="52">
        <f>IF('計算'!$C90="","",IF('計算'!$M90="","",'計算'!$AY90))</f>
        <v/>
      </c>
      <c r="R94" s="52">
        <f>IF('計算'!$C90="","",IF('計算'!$M90="","",'計算'!$AZ90))</f>
        <v/>
      </c>
      <c r="S94" s="52">
        <f>IF('計算'!$C90="","",IF('計算'!$M90="","",'計算'!$BA90))</f>
        <v/>
      </c>
      <c r="T94" s="52">
        <f>IF('計算'!$C90="","",IF('計算'!$M90="","",'計算'!$BB90))</f>
        <v/>
      </c>
      <c r="U94" s="52">
        <f>IF('計算'!$C90="","",IF('計算'!$M90="","",'計算'!$BC90))</f>
        <v/>
      </c>
      <c r="V94" s="52">
        <f>IF('計算'!$C90="","",IF('計算'!$M90="","",'計算'!$BD90))</f>
        <v/>
      </c>
      <c r="W94" s="52">
        <f>IF('計算'!$C90="","",IF('計算'!$M90="","",'計算'!$BE90))</f>
        <v/>
      </c>
      <c r="X94" s="52">
        <f>IF('計算'!$C90="","",IF('計算'!$M90="","",'計算'!$BF90))</f>
        <v/>
      </c>
      <c r="Y94" s="52">
        <f>IF('計算'!$C90="","",IF('計算'!$M90="","",'計算'!$BG90))</f>
        <v/>
      </c>
      <c r="Z94" s="52">
        <f>IF('計算'!$C90="","",IF('計算'!$M90="","",'計算'!$BH90))</f>
        <v/>
      </c>
      <c r="AA94" s="52">
        <f>IF('計算'!$C90="","",IF('計算'!$M90="","",'計算'!$BI90))</f>
        <v/>
      </c>
      <c r="AB94" s="52">
        <f>IF('計算'!$C90="","",IF('計算'!$M90="","",'計算'!$BJ90))</f>
        <v/>
      </c>
      <c r="AC94" s="52">
        <f>IF('計算'!$C90="","",IF('計算'!$M90="","",'計算'!$BK90))</f>
        <v/>
      </c>
      <c r="AD94" s="53" t="n"/>
      <c r="AE94" s="48" t="n"/>
      <c r="AF94" s="54">
        <f>IF('計算'!$C90="","",'計算'!$C90)</f>
        <v/>
      </c>
      <c r="AG94" s="54">
        <f>IF('計算'!$C90="","",'計算'!$F90)</f>
        <v/>
      </c>
    </row>
    <row r="95" ht="18" customHeight="1">
      <c r="B95" s="42">
        <f>IF('計算'!$C91="","",'計算'!$B91)</f>
        <v/>
      </c>
      <c r="C95" s="43">
        <f>IF('計算'!$C91="","",'計算'!$D91)</f>
        <v/>
      </c>
      <c r="D95" s="44">
        <f>IF('計算'!$C91="","",'計算'!$O91)</f>
        <v/>
      </c>
      <c r="E95" s="45">
        <f>IF('計算'!$C91="","",'計算'!$L91)</f>
        <v/>
      </c>
      <c r="F95" s="46">
        <f>IF('計算'!$C91="","",'計算'!$CD91)</f>
        <v/>
      </c>
      <c r="G95" s="47">
        <f>IF('計算'!$C91="","",'計算'!$CA91)</f>
        <v/>
      </c>
      <c r="H95" s="43">
        <f>IF('計算'!$C91="","",'計算'!$CP91)</f>
        <v/>
      </c>
      <c r="I95" s="48" t="n"/>
      <c r="J95" s="49" t="n"/>
      <c r="K95" s="50">
        <f>IF('計算'!$C91="","",'計算'!$CR91)</f>
        <v/>
      </c>
      <c r="L95" s="51">
        <f>IF('計算'!$C91="","",'計算'!$CF91)</f>
        <v/>
      </c>
      <c r="M95" s="48" t="n"/>
      <c r="N95" s="49" t="n"/>
      <c r="O95" s="43">
        <f>IF('計算'!$C91="","",'計算'!$CQ91)</f>
        <v/>
      </c>
      <c r="P95" s="52">
        <f>IF('計算'!$C91="","",IF('計算'!$M91="","",'計算'!$AX91))</f>
        <v/>
      </c>
      <c r="Q95" s="52">
        <f>IF('計算'!$C91="","",IF('計算'!$M91="","",'計算'!$AY91))</f>
        <v/>
      </c>
      <c r="R95" s="52">
        <f>IF('計算'!$C91="","",IF('計算'!$M91="","",'計算'!$AZ91))</f>
        <v/>
      </c>
      <c r="S95" s="52">
        <f>IF('計算'!$C91="","",IF('計算'!$M91="","",'計算'!$BA91))</f>
        <v/>
      </c>
      <c r="T95" s="52">
        <f>IF('計算'!$C91="","",IF('計算'!$M91="","",'計算'!$BB91))</f>
        <v/>
      </c>
      <c r="U95" s="52">
        <f>IF('計算'!$C91="","",IF('計算'!$M91="","",'計算'!$BC91))</f>
        <v/>
      </c>
      <c r="V95" s="52">
        <f>IF('計算'!$C91="","",IF('計算'!$M91="","",'計算'!$BD91))</f>
        <v/>
      </c>
      <c r="W95" s="52">
        <f>IF('計算'!$C91="","",IF('計算'!$M91="","",'計算'!$BE91))</f>
        <v/>
      </c>
      <c r="X95" s="52">
        <f>IF('計算'!$C91="","",IF('計算'!$M91="","",'計算'!$BF91))</f>
        <v/>
      </c>
      <c r="Y95" s="52">
        <f>IF('計算'!$C91="","",IF('計算'!$M91="","",'計算'!$BG91))</f>
        <v/>
      </c>
      <c r="Z95" s="52">
        <f>IF('計算'!$C91="","",IF('計算'!$M91="","",'計算'!$BH91))</f>
        <v/>
      </c>
      <c r="AA95" s="52">
        <f>IF('計算'!$C91="","",IF('計算'!$M91="","",'計算'!$BI91))</f>
        <v/>
      </c>
      <c r="AB95" s="52">
        <f>IF('計算'!$C91="","",IF('計算'!$M91="","",'計算'!$BJ91))</f>
        <v/>
      </c>
      <c r="AC95" s="52">
        <f>IF('計算'!$C91="","",IF('計算'!$M91="","",'計算'!$BK91))</f>
        <v/>
      </c>
      <c r="AD95" s="53" t="n"/>
      <c r="AE95" s="48" t="n"/>
      <c r="AF95" s="54">
        <f>IF('計算'!$C91="","",'計算'!$C91)</f>
        <v/>
      </c>
      <c r="AG95" s="54">
        <f>IF('計算'!$C91="","",'計算'!$F91)</f>
        <v/>
      </c>
    </row>
    <row r="96" ht="18" customHeight="1">
      <c r="B96" s="42">
        <f>IF('計算'!$C92="","",'計算'!$B92)</f>
        <v/>
      </c>
      <c r="C96" s="43">
        <f>IF('計算'!$C92="","",'計算'!$D92)</f>
        <v/>
      </c>
      <c r="D96" s="44">
        <f>IF('計算'!$C92="","",'計算'!$O92)</f>
        <v/>
      </c>
      <c r="E96" s="45">
        <f>IF('計算'!$C92="","",'計算'!$L92)</f>
        <v/>
      </c>
      <c r="F96" s="46">
        <f>IF('計算'!$C92="","",'計算'!$CD92)</f>
        <v/>
      </c>
      <c r="G96" s="47">
        <f>IF('計算'!$C92="","",'計算'!$CA92)</f>
        <v/>
      </c>
      <c r="H96" s="43">
        <f>IF('計算'!$C92="","",'計算'!$CP92)</f>
        <v/>
      </c>
      <c r="I96" s="48" t="n"/>
      <c r="J96" s="49" t="n"/>
      <c r="K96" s="50">
        <f>IF('計算'!$C92="","",'計算'!$CR92)</f>
        <v/>
      </c>
      <c r="L96" s="51">
        <f>IF('計算'!$C92="","",'計算'!$CF92)</f>
        <v/>
      </c>
      <c r="M96" s="48" t="n"/>
      <c r="N96" s="49" t="n"/>
      <c r="O96" s="43">
        <f>IF('計算'!$C92="","",'計算'!$CQ92)</f>
        <v/>
      </c>
      <c r="P96" s="52">
        <f>IF('計算'!$C92="","",IF('計算'!$M92="","",'計算'!$AX92))</f>
        <v/>
      </c>
      <c r="Q96" s="52">
        <f>IF('計算'!$C92="","",IF('計算'!$M92="","",'計算'!$AY92))</f>
        <v/>
      </c>
      <c r="R96" s="52">
        <f>IF('計算'!$C92="","",IF('計算'!$M92="","",'計算'!$AZ92))</f>
        <v/>
      </c>
      <c r="S96" s="52">
        <f>IF('計算'!$C92="","",IF('計算'!$M92="","",'計算'!$BA92))</f>
        <v/>
      </c>
      <c r="T96" s="52">
        <f>IF('計算'!$C92="","",IF('計算'!$M92="","",'計算'!$BB92))</f>
        <v/>
      </c>
      <c r="U96" s="52">
        <f>IF('計算'!$C92="","",IF('計算'!$M92="","",'計算'!$BC92))</f>
        <v/>
      </c>
      <c r="V96" s="52">
        <f>IF('計算'!$C92="","",IF('計算'!$M92="","",'計算'!$BD92))</f>
        <v/>
      </c>
      <c r="W96" s="52">
        <f>IF('計算'!$C92="","",IF('計算'!$M92="","",'計算'!$BE92))</f>
        <v/>
      </c>
      <c r="X96" s="52">
        <f>IF('計算'!$C92="","",IF('計算'!$M92="","",'計算'!$BF92))</f>
        <v/>
      </c>
      <c r="Y96" s="52">
        <f>IF('計算'!$C92="","",IF('計算'!$M92="","",'計算'!$BG92))</f>
        <v/>
      </c>
      <c r="Z96" s="52">
        <f>IF('計算'!$C92="","",IF('計算'!$M92="","",'計算'!$BH92))</f>
        <v/>
      </c>
      <c r="AA96" s="52">
        <f>IF('計算'!$C92="","",IF('計算'!$M92="","",'計算'!$BI92))</f>
        <v/>
      </c>
      <c r="AB96" s="52">
        <f>IF('計算'!$C92="","",IF('計算'!$M92="","",'計算'!$BJ92))</f>
        <v/>
      </c>
      <c r="AC96" s="52">
        <f>IF('計算'!$C92="","",IF('計算'!$M92="","",'計算'!$BK92))</f>
        <v/>
      </c>
      <c r="AD96" s="53" t="n"/>
      <c r="AE96" s="48" t="n"/>
      <c r="AF96" s="54">
        <f>IF('計算'!$C92="","",'計算'!$C92)</f>
        <v/>
      </c>
      <c r="AG96" s="54">
        <f>IF('計算'!$C92="","",'計算'!$F92)</f>
        <v/>
      </c>
    </row>
    <row r="97" ht="18" customHeight="1">
      <c r="B97" s="42">
        <f>IF('計算'!$C93="","",'計算'!$B93)</f>
        <v/>
      </c>
      <c r="C97" s="43">
        <f>IF('計算'!$C93="","",'計算'!$D93)</f>
        <v/>
      </c>
      <c r="D97" s="44">
        <f>IF('計算'!$C93="","",'計算'!$O93)</f>
        <v/>
      </c>
      <c r="E97" s="45">
        <f>IF('計算'!$C93="","",'計算'!$L93)</f>
        <v/>
      </c>
      <c r="F97" s="46">
        <f>IF('計算'!$C93="","",'計算'!$CD93)</f>
        <v/>
      </c>
      <c r="G97" s="47">
        <f>IF('計算'!$C93="","",'計算'!$CA93)</f>
        <v/>
      </c>
      <c r="H97" s="43">
        <f>IF('計算'!$C93="","",'計算'!$CP93)</f>
        <v/>
      </c>
      <c r="I97" s="48" t="n"/>
      <c r="J97" s="49" t="n"/>
      <c r="K97" s="50">
        <f>IF('計算'!$C93="","",'計算'!$CR93)</f>
        <v/>
      </c>
      <c r="L97" s="51">
        <f>IF('計算'!$C93="","",'計算'!$CF93)</f>
        <v/>
      </c>
      <c r="M97" s="48" t="n"/>
      <c r="N97" s="49" t="n"/>
      <c r="O97" s="43">
        <f>IF('計算'!$C93="","",'計算'!$CQ93)</f>
        <v/>
      </c>
      <c r="P97" s="52">
        <f>IF('計算'!$C93="","",IF('計算'!$M93="","",'計算'!$AX93))</f>
        <v/>
      </c>
      <c r="Q97" s="52">
        <f>IF('計算'!$C93="","",IF('計算'!$M93="","",'計算'!$AY93))</f>
        <v/>
      </c>
      <c r="R97" s="52">
        <f>IF('計算'!$C93="","",IF('計算'!$M93="","",'計算'!$AZ93))</f>
        <v/>
      </c>
      <c r="S97" s="52">
        <f>IF('計算'!$C93="","",IF('計算'!$M93="","",'計算'!$BA93))</f>
        <v/>
      </c>
      <c r="T97" s="52">
        <f>IF('計算'!$C93="","",IF('計算'!$M93="","",'計算'!$BB93))</f>
        <v/>
      </c>
      <c r="U97" s="52">
        <f>IF('計算'!$C93="","",IF('計算'!$M93="","",'計算'!$BC93))</f>
        <v/>
      </c>
      <c r="V97" s="52">
        <f>IF('計算'!$C93="","",IF('計算'!$M93="","",'計算'!$BD93))</f>
        <v/>
      </c>
      <c r="W97" s="52">
        <f>IF('計算'!$C93="","",IF('計算'!$M93="","",'計算'!$BE93))</f>
        <v/>
      </c>
      <c r="X97" s="52">
        <f>IF('計算'!$C93="","",IF('計算'!$M93="","",'計算'!$BF93))</f>
        <v/>
      </c>
      <c r="Y97" s="52">
        <f>IF('計算'!$C93="","",IF('計算'!$M93="","",'計算'!$BG93))</f>
        <v/>
      </c>
      <c r="Z97" s="52">
        <f>IF('計算'!$C93="","",IF('計算'!$M93="","",'計算'!$BH93))</f>
        <v/>
      </c>
      <c r="AA97" s="52">
        <f>IF('計算'!$C93="","",IF('計算'!$M93="","",'計算'!$BI93))</f>
        <v/>
      </c>
      <c r="AB97" s="52">
        <f>IF('計算'!$C93="","",IF('計算'!$M93="","",'計算'!$BJ93))</f>
        <v/>
      </c>
      <c r="AC97" s="52">
        <f>IF('計算'!$C93="","",IF('計算'!$M93="","",'計算'!$BK93))</f>
        <v/>
      </c>
      <c r="AD97" s="53" t="n"/>
      <c r="AE97" s="48" t="n"/>
      <c r="AF97" s="54">
        <f>IF('計算'!$C93="","",'計算'!$C93)</f>
        <v/>
      </c>
      <c r="AG97" s="54">
        <f>IF('計算'!$C93="","",'計算'!$F93)</f>
        <v/>
      </c>
    </row>
    <row r="98" ht="18" customHeight="1">
      <c r="B98" s="42">
        <f>IF('計算'!$C94="","",'計算'!$B94)</f>
        <v/>
      </c>
      <c r="C98" s="43">
        <f>IF('計算'!$C94="","",'計算'!$D94)</f>
        <v/>
      </c>
      <c r="D98" s="44">
        <f>IF('計算'!$C94="","",'計算'!$O94)</f>
        <v/>
      </c>
      <c r="E98" s="45">
        <f>IF('計算'!$C94="","",'計算'!$L94)</f>
        <v/>
      </c>
      <c r="F98" s="46">
        <f>IF('計算'!$C94="","",'計算'!$CD94)</f>
        <v/>
      </c>
      <c r="G98" s="47">
        <f>IF('計算'!$C94="","",'計算'!$CA94)</f>
        <v/>
      </c>
      <c r="H98" s="43">
        <f>IF('計算'!$C94="","",'計算'!$CP94)</f>
        <v/>
      </c>
      <c r="I98" s="48" t="n"/>
      <c r="J98" s="49" t="n"/>
      <c r="K98" s="50">
        <f>IF('計算'!$C94="","",'計算'!$CR94)</f>
        <v/>
      </c>
      <c r="L98" s="51">
        <f>IF('計算'!$C94="","",'計算'!$CF94)</f>
        <v/>
      </c>
      <c r="M98" s="48" t="n"/>
      <c r="N98" s="49" t="n"/>
      <c r="O98" s="43">
        <f>IF('計算'!$C94="","",'計算'!$CQ94)</f>
        <v/>
      </c>
      <c r="P98" s="52">
        <f>IF('計算'!$C94="","",IF('計算'!$M94="","",'計算'!$AX94))</f>
        <v/>
      </c>
      <c r="Q98" s="52">
        <f>IF('計算'!$C94="","",IF('計算'!$M94="","",'計算'!$AY94))</f>
        <v/>
      </c>
      <c r="R98" s="52">
        <f>IF('計算'!$C94="","",IF('計算'!$M94="","",'計算'!$AZ94))</f>
        <v/>
      </c>
      <c r="S98" s="52">
        <f>IF('計算'!$C94="","",IF('計算'!$M94="","",'計算'!$BA94))</f>
        <v/>
      </c>
      <c r="T98" s="52">
        <f>IF('計算'!$C94="","",IF('計算'!$M94="","",'計算'!$BB94))</f>
        <v/>
      </c>
      <c r="U98" s="52">
        <f>IF('計算'!$C94="","",IF('計算'!$M94="","",'計算'!$BC94))</f>
        <v/>
      </c>
      <c r="V98" s="52">
        <f>IF('計算'!$C94="","",IF('計算'!$M94="","",'計算'!$BD94))</f>
        <v/>
      </c>
      <c r="W98" s="52">
        <f>IF('計算'!$C94="","",IF('計算'!$M94="","",'計算'!$BE94))</f>
        <v/>
      </c>
      <c r="X98" s="52">
        <f>IF('計算'!$C94="","",IF('計算'!$M94="","",'計算'!$BF94))</f>
        <v/>
      </c>
      <c r="Y98" s="52">
        <f>IF('計算'!$C94="","",IF('計算'!$M94="","",'計算'!$BG94))</f>
        <v/>
      </c>
      <c r="Z98" s="52">
        <f>IF('計算'!$C94="","",IF('計算'!$M94="","",'計算'!$BH94))</f>
        <v/>
      </c>
      <c r="AA98" s="52">
        <f>IF('計算'!$C94="","",IF('計算'!$M94="","",'計算'!$BI94))</f>
        <v/>
      </c>
      <c r="AB98" s="52">
        <f>IF('計算'!$C94="","",IF('計算'!$M94="","",'計算'!$BJ94))</f>
        <v/>
      </c>
      <c r="AC98" s="52">
        <f>IF('計算'!$C94="","",IF('計算'!$M94="","",'計算'!$BK94))</f>
        <v/>
      </c>
      <c r="AD98" s="53" t="n"/>
      <c r="AE98" s="48" t="n"/>
      <c r="AF98" s="54">
        <f>IF('計算'!$C94="","",'計算'!$C94)</f>
        <v/>
      </c>
      <c r="AG98" s="54">
        <f>IF('計算'!$C94="","",'計算'!$F94)</f>
        <v/>
      </c>
    </row>
    <row r="99" ht="18" customHeight="1">
      <c r="B99" s="42">
        <f>IF('計算'!$C95="","",'計算'!$B95)</f>
        <v/>
      </c>
      <c r="C99" s="43">
        <f>IF('計算'!$C95="","",'計算'!$D95)</f>
        <v/>
      </c>
      <c r="D99" s="44">
        <f>IF('計算'!$C95="","",'計算'!$O95)</f>
        <v/>
      </c>
      <c r="E99" s="45">
        <f>IF('計算'!$C95="","",'計算'!$L95)</f>
        <v/>
      </c>
      <c r="F99" s="46">
        <f>IF('計算'!$C95="","",'計算'!$CD95)</f>
        <v/>
      </c>
      <c r="G99" s="47">
        <f>IF('計算'!$C95="","",'計算'!$CA95)</f>
        <v/>
      </c>
      <c r="H99" s="43">
        <f>IF('計算'!$C95="","",'計算'!$CP95)</f>
        <v/>
      </c>
      <c r="I99" s="48" t="n"/>
      <c r="J99" s="49" t="n"/>
      <c r="K99" s="50">
        <f>IF('計算'!$C95="","",'計算'!$CR95)</f>
        <v/>
      </c>
      <c r="L99" s="51">
        <f>IF('計算'!$C95="","",'計算'!$CF95)</f>
        <v/>
      </c>
      <c r="M99" s="48" t="n"/>
      <c r="N99" s="49" t="n"/>
      <c r="O99" s="43">
        <f>IF('計算'!$C95="","",'計算'!$CQ95)</f>
        <v/>
      </c>
      <c r="P99" s="52">
        <f>IF('計算'!$C95="","",IF('計算'!$M95="","",'計算'!$AX95))</f>
        <v/>
      </c>
      <c r="Q99" s="52">
        <f>IF('計算'!$C95="","",IF('計算'!$M95="","",'計算'!$AY95))</f>
        <v/>
      </c>
      <c r="R99" s="52">
        <f>IF('計算'!$C95="","",IF('計算'!$M95="","",'計算'!$AZ95))</f>
        <v/>
      </c>
      <c r="S99" s="52">
        <f>IF('計算'!$C95="","",IF('計算'!$M95="","",'計算'!$BA95))</f>
        <v/>
      </c>
      <c r="T99" s="52">
        <f>IF('計算'!$C95="","",IF('計算'!$M95="","",'計算'!$BB95))</f>
        <v/>
      </c>
      <c r="U99" s="52">
        <f>IF('計算'!$C95="","",IF('計算'!$M95="","",'計算'!$BC95))</f>
        <v/>
      </c>
      <c r="V99" s="52">
        <f>IF('計算'!$C95="","",IF('計算'!$M95="","",'計算'!$BD95))</f>
        <v/>
      </c>
      <c r="W99" s="52">
        <f>IF('計算'!$C95="","",IF('計算'!$M95="","",'計算'!$BE95))</f>
        <v/>
      </c>
      <c r="X99" s="52">
        <f>IF('計算'!$C95="","",IF('計算'!$M95="","",'計算'!$BF95))</f>
        <v/>
      </c>
      <c r="Y99" s="52">
        <f>IF('計算'!$C95="","",IF('計算'!$M95="","",'計算'!$BG95))</f>
        <v/>
      </c>
      <c r="Z99" s="52">
        <f>IF('計算'!$C95="","",IF('計算'!$M95="","",'計算'!$BH95))</f>
        <v/>
      </c>
      <c r="AA99" s="52">
        <f>IF('計算'!$C95="","",IF('計算'!$M95="","",'計算'!$BI95))</f>
        <v/>
      </c>
      <c r="AB99" s="52">
        <f>IF('計算'!$C95="","",IF('計算'!$M95="","",'計算'!$BJ95))</f>
        <v/>
      </c>
      <c r="AC99" s="52">
        <f>IF('計算'!$C95="","",IF('計算'!$M95="","",'計算'!$BK95))</f>
        <v/>
      </c>
      <c r="AD99" s="53" t="n"/>
      <c r="AE99" s="48" t="n"/>
      <c r="AF99" s="54">
        <f>IF('計算'!$C95="","",'計算'!$C95)</f>
        <v/>
      </c>
      <c r="AG99" s="54">
        <f>IF('計算'!$C95="","",'計算'!$F95)</f>
        <v/>
      </c>
    </row>
    <row r="100" ht="18" customHeight="1">
      <c r="B100" s="42">
        <f>IF('計算'!$C96="","",'計算'!$B96)</f>
        <v/>
      </c>
      <c r="C100" s="43">
        <f>IF('計算'!$C96="","",'計算'!$D96)</f>
        <v/>
      </c>
      <c r="D100" s="44">
        <f>IF('計算'!$C96="","",'計算'!$O96)</f>
        <v/>
      </c>
      <c r="E100" s="45">
        <f>IF('計算'!$C96="","",'計算'!$L96)</f>
        <v/>
      </c>
      <c r="F100" s="46">
        <f>IF('計算'!$C96="","",'計算'!$CD96)</f>
        <v/>
      </c>
      <c r="G100" s="47">
        <f>IF('計算'!$C96="","",'計算'!$CA96)</f>
        <v/>
      </c>
      <c r="H100" s="43">
        <f>IF('計算'!$C96="","",'計算'!$CP96)</f>
        <v/>
      </c>
      <c r="I100" s="48" t="n"/>
      <c r="J100" s="49" t="n"/>
      <c r="K100" s="50">
        <f>IF('計算'!$C96="","",'計算'!$CR96)</f>
        <v/>
      </c>
      <c r="L100" s="51">
        <f>IF('計算'!$C96="","",'計算'!$CF96)</f>
        <v/>
      </c>
      <c r="M100" s="48" t="n"/>
      <c r="N100" s="49" t="n"/>
      <c r="O100" s="43">
        <f>IF('計算'!$C96="","",'計算'!$CQ96)</f>
        <v/>
      </c>
      <c r="P100" s="52">
        <f>IF('計算'!$C96="","",IF('計算'!$M96="","",'計算'!$AX96))</f>
        <v/>
      </c>
      <c r="Q100" s="52">
        <f>IF('計算'!$C96="","",IF('計算'!$M96="","",'計算'!$AY96))</f>
        <v/>
      </c>
      <c r="R100" s="52">
        <f>IF('計算'!$C96="","",IF('計算'!$M96="","",'計算'!$AZ96))</f>
        <v/>
      </c>
      <c r="S100" s="52">
        <f>IF('計算'!$C96="","",IF('計算'!$M96="","",'計算'!$BA96))</f>
        <v/>
      </c>
      <c r="T100" s="52">
        <f>IF('計算'!$C96="","",IF('計算'!$M96="","",'計算'!$BB96))</f>
        <v/>
      </c>
      <c r="U100" s="52">
        <f>IF('計算'!$C96="","",IF('計算'!$M96="","",'計算'!$BC96))</f>
        <v/>
      </c>
      <c r="V100" s="52">
        <f>IF('計算'!$C96="","",IF('計算'!$M96="","",'計算'!$BD96))</f>
        <v/>
      </c>
      <c r="W100" s="52">
        <f>IF('計算'!$C96="","",IF('計算'!$M96="","",'計算'!$BE96))</f>
        <v/>
      </c>
      <c r="X100" s="52">
        <f>IF('計算'!$C96="","",IF('計算'!$M96="","",'計算'!$BF96))</f>
        <v/>
      </c>
      <c r="Y100" s="52">
        <f>IF('計算'!$C96="","",IF('計算'!$M96="","",'計算'!$BG96))</f>
        <v/>
      </c>
      <c r="Z100" s="52">
        <f>IF('計算'!$C96="","",IF('計算'!$M96="","",'計算'!$BH96))</f>
        <v/>
      </c>
      <c r="AA100" s="52">
        <f>IF('計算'!$C96="","",IF('計算'!$M96="","",'計算'!$BI96))</f>
        <v/>
      </c>
      <c r="AB100" s="52">
        <f>IF('計算'!$C96="","",IF('計算'!$M96="","",'計算'!$BJ96))</f>
        <v/>
      </c>
      <c r="AC100" s="52">
        <f>IF('計算'!$C96="","",IF('計算'!$M96="","",'計算'!$BK96))</f>
        <v/>
      </c>
      <c r="AD100" s="53" t="n"/>
      <c r="AE100" s="48" t="n"/>
      <c r="AF100" s="54">
        <f>IF('計算'!$C96="","",'計算'!$C96)</f>
        <v/>
      </c>
      <c r="AG100" s="54">
        <f>IF('計算'!$C96="","",'計算'!$F96)</f>
        <v/>
      </c>
    </row>
    <row r="101" ht="18" customHeight="1">
      <c r="B101" s="42">
        <f>IF('計算'!$C97="","",'計算'!$B97)</f>
        <v/>
      </c>
      <c r="C101" s="43">
        <f>IF('計算'!$C97="","",'計算'!$D97)</f>
        <v/>
      </c>
      <c r="D101" s="44">
        <f>IF('計算'!$C97="","",'計算'!$O97)</f>
        <v/>
      </c>
      <c r="E101" s="45">
        <f>IF('計算'!$C97="","",'計算'!$L97)</f>
        <v/>
      </c>
      <c r="F101" s="46">
        <f>IF('計算'!$C97="","",'計算'!$CD97)</f>
        <v/>
      </c>
      <c r="G101" s="47">
        <f>IF('計算'!$C97="","",'計算'!$CA97)</f>
        <v/>
      </c>
      <c r="H101" s="43">
        <f>IF('計算'!$C97="","",'計算'!$CP97)</f>
        <v/>
      </c>
      <c r="I101" s="48" t="n"/>
      <c r="J101" s="49" t="n"/>
      <c r="K101" s="50">
        <f>IF('計算'!$C97="","",'計算'!$CR97)</f>
        <v/>
      </c>
      <c r="L101" s="51">
        <f>IF('計算'!$C97="","",'計算'!$CF97)</f>
        <v/>
      </c>
      <c r="M101" s="48" t="n"/>
      <c r="N101" s="49" t="n"/>
      <c r="O101" s="43">
        <f>IF('計算'!$C97="","",'計算'!$CQ97)</f>
        <v/>
      </c>
      <c r="P101" s="52">
        <f>IF('計算'!$C97="","",IF('計算'!$M97="","",'計算'!$AX97))</f>
        <v/>
      </c>
      <c r="Q101" s="52">
        <f>IF('計算'!$C97="","",IF('計算'!$M97="","",'計算'!$AY97))</f>
        <v/>
      </c>
      <c r="R101" s="52">
        <f>IF('計算'!$C97="","",IF('計算'!$M97="","",'計算'!$AZ97))</f>
        <v/>
      </c>
      <c r="S101" s="52">
        <f>IF('計算'!$C97="","",IF('計算'!$M97="","",'計算'!$BA97))</f>
        <v/>
      </c>
      <c r="T101" s="52">
        <f>IF('計算'!$C97="","",IF('計算'!$M97="","",'計算'!$BB97))</f>
        <v/>
      </c>
      <c r="U101" s="52">
        <f>IF('計算'!$C97="","",IF('計算'!$M97="","",'計算'!$BC97))</f>
        <v/>
      </c>
      <c r="V101" s="52">
        <f>IF('計算'!$C97="","",IF('計算'!$M97="","",'計算'!$BD97))</f>
        <v/>
      </c>
      <c r="W101" s="52">
        <f>IF('計算'!$C97="","",IF('計算'!$M97="","",'計算'!$BE97))</f>
        <v/>
      </c>
      <c r="X101" s="52">
        <f>IF('計算'!$C97="","",IF('計算'!$M97="","",'計算'!$BF97))</f>
        <v/>
      </c>
      <c r="Y101" s="52">
        <f>IF('計算'!$C97="","",IF('計算'!$M97="","",'計算'!$BG97))</f>
        <v/>
      </c>
      <c r="Z101" s="52">
        <f>IF('計算'!$C97="","",IF('計算'!$M97="","",'計算'!$BH97))</f>
        <v/>
      </c>
      <c r="AA101" s="52">
        <f>IF('計算'!$C97="","",IF('計算'!$M97="","",'計算'!$BI97))</f>
        <v/>
      </c>
      <c r="AB101" s="52">
        <f>IF('計算'!$C97="","",IF('計算'!$M97="","",'計算'!$BJ97))</f>
        <v/>
      </c>
      <c r="AC101" s="52">
        <f>IF('計算'!$C97="","",IF('計算'!$M97="","",'計算'!$BK97))</f>
        <v/>
      </c>
      <c r="AD101" s="53" t="n"/>
      <c r="AE101" s="48" t="n"/>
      <c r="AF101" s="54">
        <f>IF('計算'!$C97="","",'計算'!$C97)</f>
        <v/>
      </c>
      <c r="AG101" s="54">
        <f>IF('計算'!$C97="","",'計算'!$F97)</f>
        <v/>
      </c>
    </row>
    <row r="102" ht="18" customHeight="1">
      <c r="B102" s="42">
        <f>IF('計算'!$C98="","",'計算'!$B98)</f>
        <v/>
      </c>
      <c r="C102" s="43">
        <f>IF('計算'!$C98="","",'計算'!$D98)</f>
        <v/>
      </c>
      <c r="D102" s="44">
        <f>IF('計算'!$C98="","",'計算'!$O98)</f>
        <v/>
      </c>
      <c r="E102" s="45">
        <f>IF('計算'!$C98="","",'計算'!$L98)</f>
        <v/>
      </c>
      <c r="F102" s="46">
        <f>IF('計算'!$C98="","",'計算'!$CD98)</f>
        <v/>
      </c>
      <c r="G102" s="47">
        <f>IF('計算'!$C98="","",'計算'!$CA98)</f>
        <v/>
      </c>
      <c r="H102" s="43">
        <f>IF('計算'!$C98="","",'計算'!$CP98)</f>
        <v/>
      </c>
      <c r="I102" s="48" t="n"/>
      <c r="J102" s="49" t="n"/>
      <c r="K102" s="50">
        <f>IF('計算'!$C98="","",'計算'!$CR98)</f>
        <v/>
      </c>
      <c r="L102" s="51">
        <f>IF('計算'!$C98="","",'計算'!$CF98)</f>
        <v/>
      </c>
      <c r="M102" s="48" t="n"/>
      <c r="N102" s="49" t="n"/>
      <c r="O102" s="43">
        <f>IF('計算'!$C98="","",'計算'!$CQ98)</f>
        <v/>
      </c>
      <c r="P102" s="52">
        <f>IF('計算'!$C98="","",IF('計算'!$M98="","",'計算'!$AX98))</f>
        <v/>
      </c>
      <c r="Q102" s="52">
        <f>IF('計算'!$C98="","",IF('計算'!$M98="","",'計算'!$AY98))</f>
        <v/>
      </c>
      <c r="R102" s="52">
        <f>IF('計算'!$C98="","",IF('計算'!$M98="","",'計算'!$AZ98))</f>
        <v/>
      </c>
      <c r="S102" s="52">
        <f>IF('計算'!$C98="","",IF('計算'!$M98="","",'計算'!$BA98))</f>
        <v/>
      </c>
      <c r="T102" s="52">
        <f>IF('計算'!$C98="","",IF('計算'!$M98="","",'計算'!$BB98))</f>
        <v/>
      </c>
      <c r="U102" s="52">
        <f>IF('計算'!$C98="","",IF('計算'!$M98="","",'計算'!$BC98))</f>
        <v/>
      </c>
      <c r="V102" s="52">
        <f>IF('計算'!$C98="","",IF('計算'!$M98="","",'計算'!$BD98))</f>
        <v/>
      </c>
      <c r="W102" s="52">
        <f>IF('計算'!$C98="","",IF('計算'!$M98="","",'計算'!$BE98))</f>
        <v/>
      </c>
      <c r="X102" s="52">
        <f>IF('計算'!$C98="","",IF('計算'!$M98="","",'計算'!$BF98))</f>
        <v/>
      </c>
      <c r="Y102" s="52">
        <f>IF('計算'!$C98="","",IF('計算'!$M98="","",'計算'!$BG98))</f>
        <v/>
      </c>
      <c r="Z102" s="52">
        <f>IF('計算'!$C98="","",IF('計算'!$M98="","",'計算'!$BH98))</f>
        <v/>
      </c>
      <c r="AA102" s="52">
        <f>IF('計算'!$C98="","",IF('計算'!$M98="","",'計算'!$BI98))</f>
        <v/>
      </c>
      <c r="AB102" s="52">
        <f>IF('計算'!$C98="","",IF('計算'!$M98="","",'計算'!$BJ98))</f>
        <v/>
      </c>
      <c r="AC102" s="52">
        <f>IF('計算'!$C98="","",IF('計算'!$M98="","",'計算'!$BK98))</f>
        <v/>
      </c>
      <c r="AD102" s="53" t="n"/>
      <c r="AE102" s="48" t="n"/>
      <c r="AF102" s="54">
        <f>IF('計算'!$C98="","",'計算'!$C98)</f>
        <v/>
      </c>
      <c r="AG102" s="54">
        <f>IF('計算'!$C98="","",'計算'!$F98)</f>
        <v/>
      </c>
    </row>
    <row r="103" ht="18" customHeight="1">
      <c r="B103" s="42">
        <f>IF('計算'!$C99="","",'計算'!$B99)</f>
        <v/>
      </c>
      <c r="C103" s="43">
        <f>IF('計算'!$C99="","",'計算'!$D99)</f>
        <v/>
      </c>
      <c r="D103" s="44">
        <f>IF('計算'!$C99="","",'計算'!$O99)</f>
        <v/>
      </c>
      <c r="E103" s="45">
        <f>IF('計算'!$C99="","",'計算'!$L99)</f>
        <v/>
      </c>
      <c r="F103" s="46">
        <f>IF('計算'!$C99="","",'計算'!$CD99)</f>
        <v/>
      </c>
      <c r="G103" s="47">
        <f>IF('計算'!$C99="","",'計算'!$CA99)</f>
        <v/>
      </c>
      <c r="H103" s="43">
        <f>IF('計算'!$C99="","",'計算'!$CP99)</f>
        <v/>
      </c>
      <c r="I103" s="48" t="n"/>
      <c r="J103" s="49" t="n"/>
      <c r="K103" s="50">
        <f>IF('計算'!$C99="","",'計算'!$CR99)</f>
        <v/>
      </c>
      <c r="L103" s="51">
        <f>IF('計算'!$C99="","",'計算'!$CF99)</f>
        <v/>
      </c>
      <c r="M103" s="48" t="n"/>
      <c r="N103" s="49" t="n"/>
      <c r="O103" s="43">
        <f>IF('計算'!$C99="","",'計算'!$CQ99)</f>
        <v/>
      </c>
      <c r="P103" s="52">
        <f>IF('計算'!$C99="","",IF('計算'!$M99="","",'計算'!$AX99))</f>
        <v/>
      </c>
      <c r="Q103" s="52">
        <f>IF('計算'!$C99="","",IF('計算'!$M99="","",'計算'!$AY99))</f>
        <v/>
      </c>
      <c r="R103" s="52">
        <f>IF('計算'!$C99="","",IF('計算'!$M99="","",'計算'!$AZ99))</f>
        <v/>
      </c>
      <c r="S103" s="52">
        <f>IF('計算'!$C99="","",IF('計算'!$M99="","",'計算'!$BA99))</f>
        <v/>
      </c>
      <c r="T103" s="52">
        <f>IF('計算'!$C99="","",IF('計算'!$M99="","",'計算'!$BB99))</f>
        <v/>
      </c>
      <c r="U103" s="52">
        <f>IF('計算'!$C99="","",IF('計算'!$M99="","",'計算'!$BC99))</f>
        <v/>
      </c>
      <c r="V103" s="52">
        <f>IF('計算'!$C99="","",IF('計算'!$M99="","",'計算'!$BD99))</f>
        <v/>
      </c>
      <c r="W103" s="52">
        <f>IF('計算'!$C99="","",IF('計算'!$M99="","",'計算'!$BE99))</f>
        <v/>
      </c>
      <c r="X103" s="52">
        <f>IF('計算'!$C99="","",IF('計算'!$M99="","",'計算'!$BF99))</f>
        <v/>
      </c>
      <c r="Y103" s="52">
        <f>IF('計算'!$C99="","",IF('計算'!$M99="","",'計算'!$BG99))</f>
        <v/>
      </c>
      <c r="Z103" s="52">
        <f>IF('計算'!$C99="","",IF('計算'!$M99="","",'計算'!$BH99))</f>
        <v/>
      </c>
      <c r="AA103" s="52">
        <f>IF('計算'!$C99="","",IF('計算'!$M99="","",'計算'!$BI99))</f>
        <v/>
      </c>
      <c r="AB103" s="52">
        <f>IF('計算'!$C99="","",IF('計算'!$M99="","",'計算'!$BJ99))</f>
        <v/>
      </c>
      <c r="AC103" s="52">
        <f>IF('計算'!$C99="","",IF('計算'!$M99="","",'計算'!$BK99))</f>
        <v/>
      </c>
      <c r="AD103" s="53" t="n"/>
      <c r="AE103" s="48" t="n"/>
      <c r="AF103" s="54">
        <f>IF('計算'!$C99="","",'計算'!$C99)</f>
        <v/>
      </c>
      <c r="AG103" s="54">
        <f>IF('計算'!$C99="","",'計算'!$F99)</f>
        <v/>
      </c>
    </row>
    <row r="104" ht="18" customHeight="1">
      <c r="B104" s="42">
        <f>IF('計算'!$C100="","",'計算'!$B100)</f>
        <v/>
      </c>
      <c r="C104" s="43">
        <f>IF('計算'!$C100="","",'計算'!$D100)</f>
        <v/>
      </c>
      <c r="D104" s="44">
        <f>IF('計算'!$C100="","",'計算'!$O100)</f>
        <v/>
      </c>
      <c r="E104" s="45">
        <f>IF('計算'!$C100="","",'計算'!$L100)</f>
        <v/>
      </c>
      <c r="F104" s="46">
        <f>IF('計算'!$C100="","",'計算'!$CD100)</f>
        <v/>
      </c>
      <c r="G104" s="47">
        <f>IF('計算'!$C100="","",'計算'!$CA100)</f>
        <v/>
      </c>
      <c r="H104" s="43">
        <f>IF('計算'!$C100="","",'計算'!$CP100)</f>
        <v/>
      </c>
      <c r="I104" s="48" t="n"/>
      <c r="J104" s="49" t="n"/>
      <c r="K104" s="50">
        <f>IF('計算'!$C100="","",'計算'!$CR100)</f>
        <v/>
      </c>
      <c r="L104" s="51">
        <f>IF('計算'!$C100="","",'計算'!$CF100)</f>
        <v/>
      </c>
      <c r="M104" s="48" t="n"/>
      <c r="N104" s="49" t="n"/>
      <c r="O104" s="43">
        <f>IF('計算'!$C100="","",'計算'!$CQ100)</f>
        <v/>
      </c>
      <c r="P104" s="52">
        <f>IF('計算'!$C100="","",IF('計算'!$M100="","",'計算'!$AX100))</f>
        <v/>
      </c>
      <c r="Q104" s="52">
        <f>IF('計算'!$C100="","",IF('計算'!$M100="","",'計算'!$AY100))</f>
        <v/>
      </c>
      <c r="R104" s="52">
        <f>IF('計算'!$C100="","",IF('計算'!$M100="","",'計算'!$AZ100))</f>
        <v/>
      </c>
      <c r="S104" s="52">
        <f>IF('計算'!$C100="","",IF('計算'!$M100="","",'計算'!$BA100))</f>
        <v/>
      </c>
      <c r="T104" s="52">
        <f>IF('計算'!$C100="","",IF('計算'!$M100="","",'計算'!$BB100))</f>
        <v/>
      </c>
      <c r="U104" s="52">
        <f>IF('計算'!$C100="","",IF('計算'!$M100="","",'計算'!$BC100))</f>
        <v/>
      </c>
      <c r="V104" s="52">
        <f>IF('計算'!$C100="","",IF('計算'!$M100="","",'計算'!$BD100))</f>
        <v/>
      </c>
      <c r="W104" s="52">
        <f>IF('計算'!$C100="","",IF('計算'!$M100="","",'計算'!$BE100))</f>
        <v/>
      </c>
      <c r="X104" s="52">
        <f>IF('計算'!$C100="","",IF('計算'!$M100="","",'計算'!$BF100))</f>
        <v/>
      </c>
      <c r="Y104" s="52">
        <f>IF('計算'!$C100="","",IF('計算'!$M100="","",'計算'!$BG100))</f>
        <v/>
      </c>
      <c r="Z104" s="52">
        <f>IF('計算'!$C100="","",IF('計算'!$M100="","",'計算'!$BH100))</f>
        <v/>
      </c>
      <c r="AA104" s="52">
        <f>IF('計算'!$C100="","",IF('計算'!$M100="","",'計算'!$BI100))</f>
        <v/>
      </c>
      <c r="AB104" s="52">
        <f>IF('計算'!$C100="","",IF('計算'!$M100="","",'計算'!$BJ100))</f>
        <v/>
      </c>
      <c r="AC104" s="52">
        <f>IF('計算'!$C100="","",IF('計算'!$M100="","",'計算'!$BK100))</f>
        <v/>
      </c>
      <c r="AD104" s="53" t="n"/>
      <c r="AE104" s="48" t="n"/>
      <c r="AF104" s="54">
        <f>IF('計算'!$C100="","",'計算'!$C100)</f>
        <v/>
      </c>
      <c r="AG104" s="54">
        <f>IF('計算'!$C100="","",'計算'!$F100)</f>
        <v/>
      </c>
    </row>
    <row r="105" ht="18" customHeight="1">
      <c r="B105" s="42">
        <f>IF('計算'!$C101="","",'計算'!$B101)</f>
        <v/>
      </c>
      <c r="C105" s="43">
        <f>IF('計算'!$C101="","",'計算'!$D101)</f>
        <v/>
      </c>
      <c r="D105" s="44">
        <f>IF('計算'!$C101="","",'計算'!$O101)</f>
        <v/>
      </c>
      <c r="E105" s="45">
        <f>IF('計算'!$C101="","",'計算'!$L101)</f>
        <v/>
      </c>
      <c r="F105" s="46">
        <f>IF('計算'!$C101="","",'計算'!$CD101)</f>
        <v/>
      </c>
      <c r="G105" s="47">
        <f>IF('計算'!$C101="","",'計算'!$CA101)</f>
        <v/>
      </c>
      <c r="H105" s="43">
        <f>IF('計算'!$C101="","",'計算'!$CP101)</f>
        <v/>
      </c>
      <c r="I105" s="48" t="n"/>
      <c r="J105" s="49" t="n"/>
      <c r="K105" s="50">
        <f>IF('計算'!$C101="","",'計算'!$CR101)</f>
        <v/>
      </c>
      <c r="L105" s="51">
        <f>IF('計算'!$C101="","",'計算'!$CF101)</f>
        <v/>
      </c>
      <c r="M105" s="48" t="n"/>
      <c r="N105" s="49" t="n"/>
      <c r="O105" s="43">
        <f>IF('計算'!$C101="","",'計算'!$CQ101)</f>
        <v/>
      </c>
      <c r="P105" s="52">
        <f>IF('計算'!$C101="","",IF('計算'!$M101="","",'計算'!$AX101))</f>
        <v/>
      </c>
      <c r="Q105" s="52">
        <f>IF('計算'!$C101="","",IF('計算'!$M101="","",'計算'!$AY101))</f>
        <v/>
      </c>
      <c r="R105" s="52">
        <f>IF('計算'!$C101="","",IF('計算'!$M101="","",'計算'!$AZ101))</f>
        <v/>
      </c>
      <c r="S105" s="52">
        <f>IF('計算'!$C101="","",IF('計算'!$M101="","",'計算'!$BA101))</f>
        <v/>
      </c>
      <c r="T105" s="52">
        <f>IF('計算'!$C101="","",IF('計算'!$M101="","",'計算'!$BB101))</f>
        <v/>
      </c>
      <c r="U105" s="52">
        <f>IF('計算'!$C101="","",IF('計算'!$M101="","",'計算'!$BC101))</f>
        <v/>
      </c>
      <c r="V105" s="52">
        <f>IF('計算'!$C101="","",IF('計算'!$M101="","",'計算'!$BD101))</f>
        <v/>
      </c>
      <c r="W105" s="52">
        <f>IF('計算'!$C101="","",IF('計算'!$M101="","",'計算'!$BE101))</f>
        <v/>
      </c>
      <c r="X105" s="52">
        <f>IF('計算'!$C101="","",IF('計算'!$M101="","",'計算'!$BF101))</f>
        <v/>
      </c>
      <c r="Y105" s="52">
        <f>IF('計算'!$C101="","",IF('計算'!$M101="","",'計算'!$BG101))</f>
        <v/>
      </c>
      <c r="Z105" s="52">
        <f>IF('計算'!$C101="","",IF('計算'!$M101="","",'計算'!$BH101))</f>
        <v/>
      </c>
      <c r="AA105" s="52">
        <f>IF('計算'!$C101="","",IF('計算'!$M101="","",'計算'!$BI101))</f>
        <v/>
      </c>
      <c r="AB105" s="52">
        <f>IF('計算'!$C101="","",IF('計算'!$M101="","",'計算'!$BJ101))</f>
        <v/>
      </c>
      <c r="AC105" s="52">
        <f>IF('計算'!$C101="","",IF('計算'!$M101="","",'計算'!$BK101))</f>
        <v/>
      </c>
      <c r="AD105" s="53" t="n"/>
      <c r="AE105" s="48" t="n"/>
      <c r="AF105" s="54">
        <f>IF('計算'!$C101="","",'計算'!$C101)</f>
        <v/>
      </c>
      <c r="AG105" s="54">
        <f>IF('計算'!$C101="","",'計算'!$F101)</f>
        <v/>
      </c>
    </row>
    <row r="106" ht="18" customHeight="1">
      <c r="B106" s="42">
        <f>IF('計算'!$C102="","",'計算'!$B102)</f>
        <v/>
      </c>
      <c r="C106" s="43">
        <f>IF('計算'!$C102="","",'計算'!$D102)</f>
        <v/>
      </c>
      <c r="D106" s="44">
        <f>IF('計算'!$C102="","",'計算'!$O102)</f>
        <v/>
      </c>
      <c r="E106" s="45">
        <f>IF('計算'!$C102="","",'計算'!$L102)</f>
        <v/>
      </c>
      <c r="F106" s="46">
        <f>IF('計算'!$C102="","",'計算'!$CD102)</f>
        <v/>
      </c>
      <c r="G106" s="47">
        <f>IF('計算'!$C102="","",'計算'!$CA102)</f>
        <v/>
      </c>
      <c r="H106" s="43">
        <f>IF('計算'!$C102="","",'計算'!$CP102)</f>
        <v/>
      </c>
      <c r="I106" s="48" t="n"/>
      <c r="J106" s="49" t="n"/>
      <c r="K106" s="50">
        <f>IF('計算'!$C102="","",'計算'!$CR102)</f>
        <v/>
      </c>
      <c r="L106" s="51">
        <f>IF('計算'!$C102="","",'計算'!$CF102)</f>
        <v/>
      </c>
      <c r="M106" s="48" t="n"/>
      <c r="N106" s="49" t="n"/>
      <c r="O106" s="43">
        <f>IF('計算'!$C102="","",'計算'!$CQ102)</f>
        <v/>
      </c>
      <c r="P106" s="52">
        <f>IF('計算'!$C102="","",IF('計算'!$M102="","",'計算'!$AX102))</f>
        <v/>
      </c>
      <c r="Q106" s="52">
        <f>IF('計算'!$C102="","",IF('計算'!$M102="","",'計算'!$AY102))</f>
        <v/>
      </c>
      <c r="R106" s="52">
        <f>IF('計算'!$C102="","",IF('計算'!$M102="","",'計算'!$AZ102))</f>
        <v/>
      </c>
      <c r="S106" s="52">
        <f>IF('計算'!$C102="","",IF('計算'!$M102="","",'計算'!$BA102))</f>
        <v/>
      </c>
      <c r="T106" s="52">
        <f>IF('計算'!$C102="","",IF('計算'!$M102="","",'計算'!$BB102))</f>
        <v/>
      </c>
      <c r="U106" s="52">
        <f>IF('計算'!$C102="","",IF('計算'!$M102="","",'計算'!$BC102))</f>
        <v/>
      </c>
      <c r="V106" s="52">
        <f>IF('計算'!$C102="","",IF('計算'!$M102="","",'計算'!$BD102))</f>
        <v/>
      </c>
      <c r="W106" s="52">
        <f>IF('計算'!$C102="","",IF('計算'!$M102="","",'計算'!$BE102))</f>
        <v/>
      </c>
      <c r="X106" s="52">
        <f>IF('計算'!$C102="","",IF('計算'!$M102="","",'計算'!$BF102))</f>
        <v/>
      </c>
      <c r="Y106" s="52">
        <f>IF('計算'!$C102="","",IF('計算'!$M102="","",'計算'!$BG102))</f>
        <v/>
      </c>
      <c r="Z106" s="52">
        <f>IF('計算'!$C102="","",IF('計算'!$M102="","",'計算'!$BH102))</f>
        <v/>
      </c>
      <c r="AA106" s="52">
        <f>IF('計算'!$C102="","",IF('計算'!$M102="","",'計算'!$BI102))</f>
        <v/>
      </c>
      <c r="AB106" s="52">
        <f>IF('計算'!$C102="","",IF('計算'!$M102="","",'計算'!$BJ102))</f>
        <v/>
      </c>
      <c r="AC106" s="52">
        <f>IF('計算'!$C102="","",IF('計算'!$M102="","",'計算'!$BK102))</f>
        <v/>
      </c>
      <c r="AD106" s="53" t="n"/>
      <c r="AE106" s="48" t="n"/>
      <c r="AF106" s="54">
        <f>IF('計算'!$C102="","",'計算'!$C102)</f>
        <v/>
      </c>
      <c r="AG106" s="54">
        <f>IF('計算'!$C102="","",'計算'!$F102)</f>
        <v/>
      </c>
    </row>
    <row r="107" ht="18" customHeight="1">
      <c r="B107" s="42">
        <f>IF('計算'!$C103="","",'計算'!$B103)</f>
        <v/>
      </c>
      <c r="C107" s="43">
        <f>IF('計算'!$C103="","",'計算'!$D103)</f>
        <v/>
      </c>
      <c r="D107" s="44">
        <f>IF('計算'!$C103="","",'計算'!$O103)</f>
        <v/>
      </c>
      <c r="E107" s="45">
        <f>IF('計算'!$C103="","",'計算'!$L103)</f>
        <v/>
      </c>
      <c r="F107" s="46">
        <f>IF('計算'!$C103="","",'計算'!$CD103)</f>
        <v/>
      </c>
      <c r="G107" s="47">
        <f>IF('計算'!$C103="","",'計算'!$CA103)</f>
        <v/>
      </c>
      <c r="H107" s="43">
        <f>IF('計算'!$C103="","",'計算'!$CP103)</f>
        <v/>
      </c>
      <c r="I107" s="48" t="n"/>
      <c r="J107" s="49" t="n"/>
      <c r="K107" s="50">
        <f>IF('計算'!$C103="","",'計算'!$CR103)</f>
        <v/>
      </c>
      <c r="L107" s="51">
        <f>IF('計算'!$C103="","",'計算'!$CF103)</f>
        <v/>
      </c>
      <c r="M107" s="48" t="n"/>
      <c r="N107" s="49" t="n"/>
      <c r="O107" s="43">
        <f>IF('計算'!$C103="","",'計算'!$CQ103)</f>
        <v/>
      </c>
      <c r="P107" s="52">
        <f>IF('計算'!$C103="","",IF('計算'!$M103="","",'計算'!$AX103))</f>
        <v/>
      </c>
      <c r="Q107" s="52">
        <f>IF('計算'!$C103="","",IF('計算'!$M103="","",'計算'!$AY103))</f>
        <v/>
      </c>
      <c r="R107" s="52">
        <f>IF('計算'!$C103="","",IF('計算'!$M103="","",'計算'!$AZ103))</f>
        <v/>
      </c>
      <c r="S107" s="52">
        <f>IF('計算'!$C103="","",IF('計算'!$M103="","",'計算'!$BA103))</f>
        <v/>
      </c>
      <c r="T107" s="52">
        <f>IF('計算'!$C103="","",IF('計算'!$M103="","",'計算'!$BB103))</f>
        <v/>
      </c>
      <c r="U107" s="52">
        <f>IF('計算'!$C103="","",IF('計算'!$M103="","",'計算'!$BC103))</f>
        <v/>
      </c>
      <c r="V107" s="52">
        <f>IF('計算'!$C103="","",IF('計算'!$M103="","",'計算'!$BD103))</f>
        <v/>
      </c>
      <c r="W107" s="52">
        <f>IF('計算'!$C103="","",IF('計算'!$M103="","",'計算'!$BE103))</f>
        <v/>
      </c>
      <c r="X107" s="52">
        <f>IF('計算'!$C103="","",IF('計算'!$M103="","",'計算'!$BF103))</f>
        <v/>
      </c>
      <c r="Y107" s="52">
        <f>IF('計算'!$C103="","",IF('計算'!$M103="","",'計算'!$BG103))</f>
        <v/>
      </c>
      <c r="Z107" s="52">
        <f>IF('計算'!$C103="","",IF('計算'!$M103="","",'計算'!$BH103))</f>
        <v/>
      </c>
      <c r="AA107" s="52">
        <f>IF('計算'!$C103="","",IF('計算'!$M103="","",'計算'!$BI103))</f>
        <v/>
      </c>
      <c r="AB107" s="52">
        <f>IF('計算'!$C103="","",IF('計算'!$M103="","",'計算'!$BJ103))</f>
        <v/>
      </c>
      <c r="AC107" s="52">
        <f>IF('計算'!$C103="","",IF('計算'!$M103="","",'計算'!$BK103))</f>
        <v/>
      </c>
      <c r="AD107" s="53" t="n"/>
      <c r="AE107" s="48" t="n"/>
      <c r="AF107" s="54">
        <f>IF('計算'!$C103="","",'計算'!$C103)</f>
        <v/>
      </c>
      <c r="AG107" s="54">
        <f>IF('計算'!$C103="","",'計算'!$F103)</f>
        <v/>
      </c>
    </row>
    <row r="108" ht="18" customHeight="1">
      <c r="B108" s="42">
        <f>IF('計算'!$C104="","",'計算'!$B104)</f>
        <v/>
      </c>
      <c r="C108" s="43">
        <f>IF('計算'!$C104="","",'計算'!$D104)</f>
        <v/>
      </c>
      <c r="D108" s="44">
        <f>IF('計算'!$C104="","",'計算'!$O104)</f>
        <v/>
      </c>
      <c r="E108" s="45">
        <f>IF('計算'!$C104="","",'計算'!$L104)</f>
        <v/>
      </c>
      <c r="F108" s="46">
        <f>IF('計算'!$C104="","",'計算'!$CD104)</f>
        <v/>
      </c>
      <c r="G108" s="47">
        <f>IF('計算'!$C104="","",'計算'!$CA104)</f>
        <v/>
      </c>
      <c r="H108" s="43">
        <f>IF('計算'!$C104="","",'計算'!$CP104)</f>
        <v/>
      </c>
      <c r="I108" s="48" t="n"/>
      <c r="J108" s="49" t="n"/>
      <c r="K108" s="50">
        <f>IF('計算'!$C104="","",'計算'!$CR104)</f>
        <v/>
      </c>
      <c r="L108" s="51">
        <f>IF('計算'!$C104="","",'計算'!$CF104)</f>
        <v/>
      </c>
      <c r="M108" s="48" t="n"/>
      <c r="N108" s="49" t="n"/>
      <c r="O108" s="43">
        <f>IF('計算'!$C104="","",'計算'!$CQ104)</f>
        <v/>
      </c>
      <c r="P108" s="52">
        <f>IF('計算'!$C104="","",IF('計算'!$M104="","",'計算'!$AX104))</f>
        <v/>
      </c>
      <c r="Q108" s="52">
        <f>IF('計算'!$C104="","",IF('計算'!$M104="","",'計算'!$AY104))</f>
        <v/>
      </c>
      <c r="R108" s="52">
        <f>IF('計算'!$C104="","",IF('計算'!$M104="","",'計算'!$AZ104))</f>
        <v/>
      </c>
      <c r="S108" s="52">
        <f>IF('計算'!$C104="","",IF('計算'!$M104="","",'計算'!$BA104))</f>
        <v/>
      </c>
      <c r="T108" s="52">
        <f>IF('計算'!$C104="","",IF('計算'!$M104="","",'計算'!$BB104))</f>
        <v/>
      </c>
      <c r="U108" s="52">
        <f>IF('計算'!$C104="","",IF('計算'!$M104="","",'計算'!$BC104))</f>
        <v/>
      </c>
      <c r="V108" s="52">
        <f>IF('計算'!$C104="","",IF('計算'!$M104="","",'計算'!$BD104))</f>
        <v/>
      </c>
      <c r="W108" s="52">
        <f>IF('計算'!$C104="","",IF('計算'!$M104="","",'計算'!$BE104))</f>
        <v/>
      </c>
      <c r="X108" s="52">
        <f>IF('計算'!$C104="","",IF('計算'!$M104="","",'計算'!$BF104))</f>
        <v/>
      </c>
      <c r="Y108" s="52">
        <f>IF('計算'!$C104="","",IF('計算'!$M104="","",'計算'!$BG104))</f>
        <v/>
      </c>
      <c r="Z108" s="52">
        <f>IF('計算'!$C104="","",IF('計算'!$M104="","",'計算'!$BH104))</f>
        <v/>
      </c>
      <c r="AA108" s="52">
        <f>IF('計算'!$C104="","",IF('計算'!$M104="","",'計算'!$BI104))</f>
        <v/>
      </c>
      <c r="AB108" s="52">
        <f>IF('計算'!$C104="","",IF('計算'!$M104="","",'計算'!$BJ104))</f>
        <v/>
      </c>
      <c r="AC108" s="52">
        <f>IF('計算'!$C104="","",IF('計算'!$M104="","",'計算'!$BK104))</f>
        <v/>
      </c>
      <c r="AD108" s="53" t="n"/>
      <c r="AE108" s="48" t="n"/>
      <c r="AF108" s="54">
        <f>IF('計算'!$C104="","",'計算'!$C104)</f>
        <v/>
      </c>
      <c r="AG108" s="54">
        <f>IF('計算'!$C104="","",'計算'!$F104)</f>
        <v/>
      </c>
    </row>
    <row r="109" ht="18" customHeight="1">
      <c r="B109" s="42">
        <f>IF('計算'!$C105="","",'計算'!$B105)</f>
        <v/>
      </c>
      <c r="C109" s="43">
        <f>IF('計算'!$C105="","",'計算'!$D105)</f>
        <v/>
      </c>
      <c r="D109" s="44">
        <f>IF('計算'!$C105="","",'計算'!$O105)</f>
        <v/>
      </c>
      <c r="E109" s="45">
        <f>IF('計算'!$C105="","",'計算'!$L105)</f>
        <v/>
      </c>
      <c r="F109" s="46">
        <f>IF('計算'!$C105="","",'計算'!$CD105)</f>
        <v/>
      </c>
      <c r="G109" s="47">
        <f>IF('計算'!$C105="","",'計算'!$CA105)</f>
        <v/>
      </c>
      <c r="H109" s="43">
        <f>IF('計算'!$C105="","",'計算'!$CP105)</f>
        <v/>
      </c>
      <c r="I109" s="48" t="n"/>
      <c r="J109" s="49" t="n"/>
      <c r="K109" s="50">
        <f>IF('計算'!$C105="","",'計算'!$CR105)</f>
        <v/>
      </c>
      <c r="L109" s="51">
        <f>IF('計算'!$C105="","",'計算'!$CF105)</f>
        <v/>
      </c>
      <c r="M109" s="48" t="n"/>
      <c r="N109" s="49" t="n"/>
      <c r="O109" s="43">
        <f>IF('計算'!$C105="","",'計算'!$CQ105)</f>
        <v/>
      </c>
      <c r="P109" s="52">
        <f>IF('計算'!$C105="","",IF('計算'!$M105="","",'計算'!$AX105))</f>
        <v/>
      </c>
      <c r="Q109" s="52">
        <f>IF('計算'!$C105="","",IF('計算'!$M105="","",'計算'!$AY105))</f>
        <v/>
      </c>
      <c r="R109" s="52">
        <f>IF('計算'!$C105="","",IF('計算'!$M105="","",'計算'!$AZ105))</f>
        <v/>
      </c>
      <c r="S109" s="52">
        <f>IF('計算'!$C105="","",IF('計算'!$M105="","",'計算'!$BA105))</f>
        <v/>
      </c>
      <c r="T109" s="52">
        <f>IF('計算'!$C105="","",IF('計算'!$M105="","",'計算'!$BB105))</f>
        <v/>
      </c>
      <c r="U109" s="52">
        <f>IF('計算'!$C105="","",IF('計算'!$M105="","",'計算'!$BC105))</f>
        <v/>
      </c>
      <c r="V109" s="52">
        <f>IF('計算'!$C105="","",IF('計算'!$M105="","",'計算'!$BD105))</f>
        <v/>
      </c>
      <c r="W109" s="52">
        <f>IF('計算'!$C105="","",IF('計算'!$M105="","",'計算'!$BE105))</f>
        <v/>
      </c>
      <c r="X109" s="52">
        <f>IF('計算'!$C105="","",IF('計算'!$M105="","",'計算'!$BF105))</f>
        <v/>
      </c>
      <c r="Y109" s="52">
        <f>IF('計算'!$C105="","",IF('計算'!$M105="","",'計算'!$BG105))</f>
        <v/>
      </c>
      <c r="Z109" s="52">
        <f>IF('計算'!$C105="","",IF('計算'!$M105="","",'計算'!$BH105))</f>
        <v/>
      </c>
      <c r="AA109" s="52">
        <f>IF('計算'!$C105="","",IF('計算'!$M105="","",'計算'!$BI105))</f>
        <v/>
      </c>
      <c r="AB109" s="52">
        <f>IF('計算'!$C105="","",IF('計算'!$M105="","",'計算'!$BJ105))</f>
        <v/>
      </c>
      <c r="AC109" s="52">
        <f>IF('計算'!$C105="","",IF('計算'!$M105="","",'計算'!$BK105))</f>
        <v/>
      </c>
      <c r="AD109" s="53" t="n"/>
      <c r="AE109" s="48" t="n"/>
      <c r="AF109" s="54">
        <f>IF('計算'!$C105="","",'計算'!$C105)</f>
        <v/>
      </c>
      <c r="AG109" s="54">
        <f>IF('計算'!$C105="","",'計算'!$F105)</f>
        <v/>
      </c>
    </row>
    <row r="110" ht="18" customHeight="1">
      <c r="B110" s="42">
        <f>IF('計算'!$C106="","",'計算'!$B106)</f>
        <v/>
      </c>
      <c r="C110" s="43">
        <f>IF('計算'!$C106="","",'計算'!$D106)</f>
        <v/>
      </c>
      <c r="D110" s="44">
        <f>IF('計算'!$C106="","",'計算'!$O106)</f>
        <v/>
      </c>
      <c r="E110" s="45">
        <f>IF('計算'!$C106="","",'計算'!$L106)</f>
        <v/>
      </c>
      <c r="F110" s="46">
        <f>IF('計算'!$C106="","",'計算'!$CD106)</f>
        <v/>
      </c>
      <c r="G110" s="47">
        <f>IF('計算'!$C106="","",'計算'!$CA106)</f>
        <v/>
      </c>
      <c r="H110" s="43">
        <f>IF('計算'!$C106="","",'計算'!$CP106)</f>
        <v/>
      </c>
      <c r="I110" s="48" t="n"/>
      <c r="J110" s="49" t="n"/>
      <c r="K110" s="50">
        <f>IF('計算'!$C106="","",'計算'!$CR106)</f>
        <v/>
      </c>
      <c r="L110" s="51">
        <f>IF('計算'!$C106="","",'計算'!$CF106)</f>
        <v/>
      </c>
      <c r="M110" s="48" t="n"/>
      <c r="N110" s="49" t="n"/>
      <c r="O110" s="43">
        <f>IF('計算'!$C106="","",'計算'!$CQ106)</f>
        <v/>
      </c>
      <c r="P110" s="52">
        <f>IF('計算'!$C106="","",IF('計算'!$M106="","",'計算'!$AX106))</f>
        <v/>
      </c>
      <c r="Q110" s="52">
        <f>IF('計算'!$C106="","",IF('計算'!$M106="","",'計算'!$AY106))</f>
        <v/>
      </c>
      <c r="R110" s="52">
        <f>IF('計算'!$C106="","",IF('計算'!$M106="","",'計算'!$AZ106))</f>
        <v/>
      </c>
      <c r="S110" s="52">
        <f>IF('計算'!$C106="","",IF('計算'!$M106="","",'計算'!$BA106))</f>
        <v/>
      </c>
      <c r="T110" s="52">
        <f>IF('計算'!$C106="","",IF('計算'!$M106="","",'計算'!$BB106))</f>
        <v/>
      </c>
      <c r="U110" s="52">
        <f>IF('計算'!$C106="","",IF('計算'!$M106="","",'計算'!$BC106))</f>
        <v/>
      </c>
      <c r="V110" s="52">
        <f>IF('計算'!$C106="","",IF('計算'!$M106="","",'計算'!$BD106))</f>
        <v/>
      </c>
      <c r="W110" s="52">
        <f>IF('計算'!$C106="","",IF('計算'!$M106="","",'計算'!$BE106))</f>
        <v/>
      </c>
      <c r="X110" s="52">
        <f>IF('計算'!$C106="","",IF('計算'!$M106="","",'計算'!$BF106))</f>
        <v/>
      </c>
      <c r="Y110" s="52">
        <f>IF('計算'!$C106="","",IF('計算'!$M106="","",'計算'!$BG106))</f>
        <v/>
      </c>
      <c r="Z110" s="52">
        <f>IF('計算'!$C106="","",IF('計算'!$M106="","",'計算'!$BH106))</f>
        <v/>
      </c>
      <c r="AA110" s="52">
        <f>IF('計算'!$C106="","",IF('計算'!$M106="","",'計算'!$BI106))</f>
        <v/>
      </c>
      <c r="AB110" s="52">
        <f>IF('計算'!$C106="","",IF('計算'!$M106="","",'計算'!$BJ106))</f>
        <v/>
      </c>
      <c r="AC110" s="52">
        <f>IF('計算'!$C106="","",IF('計算'!$M106="","",'計算'!$BK106))</f>
        <v/>
      </c>
      <c r="AD110" s="53" t="n"/>
      <c r="AE110" s="48" t="n"/>
      <c r="AF110" s="54">
        <f>IF('計算'!$C106="","",'計算'!$C106)</f>
        <v/>
      </c>
      <c r="AG110" s="54">
        <f>IF('計算'!$C106="","",'計算'!$F106)</f>
        <v/>
      </c>
    </row>
    <row r="111" ht="18" customHeight="1">
      <c r="B111" s="42">
        <f>IF('計算'!$C107="","",'計算'!$B107)</f>
        <v/>
      </c>
      <c r="C111" s="43">
        <f>IF('計算'!$C107="","",'計算'!$D107)</f>
        <v/>
      </c>
      <c r="D111" s="44">
        <f>IF('計算'!$C107="","",'計算'!$O107)</f>
        <v/>
      </c>
      <c r="E111" s="45">
        <f>IF('計算'!$C107="","",'計算'!$L107)</f>
        <v/>
      </c>
      <c r="F111" s="46">
        <f>IF('計算'!$C107="","",'計算'!$CD107)</f>
        <v/>
      </c>
      <c r="G111" s="47">
        <f>IF('計算'!$C107="","",'計算'!$CA107)</f>
        <v/>
      </c>
      <c r="H111" s="43">
        <f>IF('計算'!$C107="","",'計算'!$CP107)</f>
        <v/>
      </c>
      <c r="I111" s="48" t="n"/>
      <c r="J111" s="49" t="n"/>
      <c r="K111" s="50">
        <f>IF('計算'!$C107="","",'計算'!$CR107)</f>
        <v/>
      </c>
      <c r="L111" s="51">
        <f>IF('計算'!$C107="","",'計算'!$CF107)</f>
        <v/>
      </c>
      <c r="M111" s="48" t="n"/>
      <c r="N111" s="49" t="n"/>
      <c r="O111" s="43">
        <f>IF('計算'!$C107="","",'計算'!$CQ107)</f>
        <v/>
      </c>
      <c r="P111" s="52">
        <f>IF('計算'!$C107="","",IF('計算'!$M107="","",'計算'!$AX107))</f>
        <v/>
      </c>
      <c r="Q111" s="52">
        <f>IF('計算'!$C107="","",IF('計算'!$M107="","",'計算'!$AY107))</f>
        <v/>
      </c>
      <c r="R111" s="52">
        <f>IF('計算'!$C107="","",IF('計算'!$M107="","",'計算'!$AZ107))</f>
        <v/>
      </c>
      <c r="S111" s="52">
        <f>IF('計算'!$C107="","",IF('計算'!$M107="","",'計算'!$BA107))</f>
        <v/>
      </c>
      <c r="T111" s="52">
        <f>IF('計算'!$C107="","",IF('計算'!$M107="","",'計算'!$BB107))</f>
        <v/>
      </c>
      <c r="U111" s="52">
        <f>IF('計算'!$C107="","",IF('計算'!$M107="","",'計算'!$BC107))</f>
        <v/>
      </c>
      <c r="V111" s="52">
        <f>IF('計算'!$C107="","",IF('計算'!$M107="","",'計算'!$BD107))</f>
        <v/>
      </c>
      <c r="W111" s="52">
        <f>IF('計算'!$C107="","",IF('計算'!$M107="","",'計算'!$BE107))</f>
        <v/>
      </c>
      <c r="X111" s="52">
        <f>IF('計算'!$C107="","",IF('計算'!$M107="","",'計算'!$BF107))</f>
        <v/>
      </c>
      <c r="Y111" s="52">
        <f>IF('計算'!$C107="","",IF('計算'!$M107="","",'計算'!$BG107))</f>
        <v/>
      </c>
      <c r="Z111" s="52">
        <f>IF('計算'!$C107="","",IF('計算'!$M107="","",'計算'!$BH107))</f>
        <v/>
      </c>
      <c r="AA111" s="52">
        <f>IF('計算'!$C107="","",IF('計算'!$M107="","",'計算'!$BI107))</f>
        <v/>
      </c>
      <c r="AB111" s="52">
        <f>IF('計算'!$C107="","",IF('計算'!$M107="","",'計算'!$BJ107))</f>
        <v/>
      </c>
      <c r="AC111" s="52">
        <f>IF('計算'!$C107="","",IF('計算'!$M107="","",'計算'!$BK107))</f>
        <v/>
      </c>
      <c r="AD111" s="53" t="n"/>
      <c r="AE111" s="48" t="n"/>
      <c r="AF111" s="54">
        <f>IF('計算'!$C107="","",'計算'!$C107)</f>
        <v/>
      </c>
      <c r="AG111" s="54">
        <f>IF('計算'!$C107="","",'計算'!$F107)</f>
        <v/>
      </c>
    </row>
    <row r="112" ht="18" customHeight="1">
      <c r="B112" s="42">
        <f>IF('計算'!$C108="","",'計算'!$B108)</f>
        <v/>
      </c>
      <c r="C112" s="43">
        <f>IF('計算'!$C108="","",'計算'!$D108)</f>
        <v/>
      </c>
      <c r="D112" s="44">
        <f>IF('計算'!$C108="","",'計算'!$O108)</f>
        <v/>
      </c>
      <c r="E112" s="45">
        <f>IF('計算'!$C108="","",'計算'!$L108)</f>
        <v/>
      </c>
      <c r="F112" s="46">
        <f>IF('計算'!$C108="","",'計算'!$CD108)</f>
        <v/>
      </c>
      <c r="G112" s="47">
        <f>IF('計算'!$C108="","",'計算'!$CA108)</f>
        <v/>
      </c>
      <c r="H112" s="43">
        <f>IF('計算'!$C108="","",'計算'!$CP108)</f>
        <v/>
      </c>
      <c r="I112" s="48" t="n"/>
      <c r="J112" s="49" t="n"/>
      <c r="K112" s="50">
        <f>IF('計算'!$C108="","",'計算'!$CR108)</f>
        <v/>
      </c>
      <c r="L112" s="51">
        <f>IF('計算'!$C108="","",'計算'!$CF108)</f>
        <v/>
      </c>
      <c r="M112" s="48" t="n"/>
      <c r="N112" s="49" t="n"/>
      <c r="O112" s="43">
        <f>IF('計算'!$C108="","",'計算'!$CQ108)</f>
        <v/>
      </c>
      <c r="P112" s="52">
        <f>IF('計算'!$C108="","",IF('計算'!$M108="","",'計算'!$AX108))</f>
        <v/>
      </c>
      <c r="Q112" s="52">
        <f>IF('計算'!$C108="","",IF('計算'!$M108="","",'計算'!$AY108))</f>
        <v/>
      </c>
      <c r="R112" s="52">
        <f>IF('計算'!$C108="","",IF('計算'!$M108="","",'計算'!$AZ108))</f>
        <v/>
      </c>
      <c r="S112" s="52">
        <f>IF('計算'!$C108="","",IF('計算'!$M108="","",'計算'!$BA108))</f>
        <v/>
      </c>
      <c r="T112" s="52">
        <f>IF('計算'!$C108="","",IF('計算'!$M108="","",'計算'!$BB108))</f>
        <v/>
      </c>
      <c r="U112" s="52">
        <f>IF('計算'!$C108="","",IF('計算'!$M108="","",'計算'!$BC108))</f>
        <v/>
      </c>
      <c r="V112" s="52">
        <f>IF('計算'!$C108="","",IF('計算'!$M108="","",'計算'!$BD108))</f>
        <v/>
      </c>
      <c r="W112" s="52">
        <f>IF('計算'!$C108="","",IF('計算'!$M108="","",'計算'!$BE108))</f>
        <v/>
      </c>
      <c r="X112" s="52">
        <f>IF('計算'!$C108="","",IF('計算'!$M108="","",'計算'!$BF108))</f>
        <v/>
      </c>
      <c r="Y112" s="52">
        <f>IF('計算'!$C108="","",IF('計算'!$M108="","",'計算'!$BG108))</f>
        <v/>
      </c>
      <c r="Z112" s="52">
        <f>IF('計算'!$C108="","",IF('計算'!$M108="","",'計算'!$BH108))</f>
        <v/>
      </c>
      <c r="AA112" s="52">
        <f>IF('計算'!$C108="","",IF('計算'!$M108="","",'計算'!$BI108))</f>
        <v/>
      </c>
      <c r="AB112" s="52">
        <f>IF('計算'!$C108="","",IF('計算'!$M108="","",'計算'!$BJ108))</f>
        <v/>
      </c>
      <c r="AC112" s="52">
        <f>IF('計算'!$C108="","",IF('計算'!$M108="","",'計算'!$BK108))</f>
        <v/>
      </c>
      <c r="AD112" s="53" t="n"/>
      <c r="AE112" s="48" t="n"/>
      <c r="AF112" s="54">
        <f>IF('計算'!$C108="","",'計算'!$C108)</f>
        <v/>
      </c>
      <c r="AG112" s="54">
        <f>IF('計算'!$C108="","",'計算'!$F108)</f>
        <v/>
      </c>
    </row>
    <row r="113" ht="18" customHeight="1">
      <c r="B113" s="42">
        <f>IF('計算'!$C109="","",'計算'!$B109)</f>
        <v/>
      </c>
      <c r="C113" s="43">
        <f>IF('計算'!$C109="","",'計算'!$D109)</f>
        <v/>
      </c>
      <c r="D113" s="44">
        <f>IF('計算'!$C109="","",'計算'!$O109)</f>
        <v/>
      </c>
      <c r="E113" s="45">
        <f>IF('計算'!$C109="","",'計算'!$L109)</f>
        <v/>
      </c>
      <c r="F113" s="46">
        <f>IF('計算'!$C109="","",'計算'!$CD109)</f>
        <v/>
      </c>
      <c r="G113" s="47">
        <f>IF('計算'!$C109="","",'計算'!$CA109)</f>
        <v/>
      </c>
      <c r="H113" s="43">
        <f>IF('計算'!$C109="","",'計算'!$CP109)</f>
        <v/>
      </c>
      <c r="I113" s="48" t="n"/>
      <c r="J113" s="49" t="n"/>
      <c r="K113" s="50">
        <f>IF('計算'!$C109="","",'計算'!$CR109)</f>
        <v/>
      </c>
      <c r="L113" s="51">
        <f>IF('計算'!$C109="","",'計算'!$CF109)</f>
        <v/>
      </c>
      <c r="M113" s="48" t="n"/>
      <c r="N113" s="49" t="n"/>
      <c r="O113" s="43">
        <f>IF('計算'!$C109="","",'計算'!$CQ109)</f>
        <v/>
      </c>
      <c r="P113" s="52">
        <f>IF('計算'!$C109="","",IF('計算'!$M109="","",'計算'!$AX109))</f>
        <v/>
      </c>
      <c r="Q113" s="52">
        <f>IF('計算'!$C109="","",IF('計算'!$M109="","",'計算'!$AY109))</f>
        <v/>
      </c>
      <c r="R113" s="52">
        <f>IF('計算'!$C109="","",IF('計算'!$M109="","",'計算'!$AZ109))</f>
        <v/>
      </c>
      <c r="S113" s="52">
        <f>IF('計算'!$C109="","",IF('計算'!$M109="","",'計算'!$BA109))</f>
        <v/>
      </c>
      <c r="T113" s="52">
        <f>IF('計算'!$C109="","",IF('計算'!$M109="","",'計算'!$BB109))</f>
        <v/>
      </c>
      <c r="U113" s="52">
        <f>IF('計算'!$C109="","",IF('計算'!$M109="","",'計算'!$BC109))</f>
        <v/>
      </c>
      <c r="V113" s="52">
        <f>IF('計算'!$C109="","",IF('計算'!$M109="","",'計算'!$BD109))</f>
        <v/>
      </c>
      <c r="W113" s="52">
        <f>IF('計算'!$C109="","",IF('計算'!$M109="","",'計算'!$BE109))</f>
        <v/>
      </c>
      <c r="X113" s="52">
        <f>IF('計算'!$C109="","",IF('計算'!$M109="","",'計算'!$BF109))</f>
        <v/>
      </c>
      <c r="Y113" s="52">
        <f>IF('計算'!$C109="","",IF('計算'!$M109="","",'計算'!$BG109))</f>
        <v/>
      </c>
      <c r="Z113" s="52">
        <f>IF('計算'!$C109="","",IF('計算'!$M109="","",'計算'!$BH109))</f>
        <v/>
      </c>
      <c r="AA113" s="52">
        <f>IF('計算'!$C109="","",IF('計算'!$M109="","",'計算'!$BI109))</f>
        <v/>
      </c>
      <c r="AB113" s="52">
        <f>IF('計算'!$C109="","",IF('計算'!$M109="","",'計算'!$BJ109))</f>
        <v/>
      </c>
      <c r="AC113" s="52">
        <f>IF('計算'!$C109="","",IF('計算'!$M109="","",'計算'!$BK109))</f>
        <v/>
      </c>
      <c r="AD113" s="53" t="n"/>
      <c r="AE113" s="48" t="n"/>
      <c r="AF113" s="54">
        <f>IF('計算'!$C109="","",'計算'!$C109)</f>
        <v/>
      </c>
      <c r="AG113" s="54">
        <f>IF('計算'!$C109="","",'計算'!$F109)</f>
        <v/>
      </c>
    </row>
    <row r="114" ht="18" customHeight="1">
      <c r="B114" s="42">
        <f>IF('計算'!$C110="","",'計算'!$B110)</f>
        <v/>
      </c>
      <c r="C114" s="43">
        <f>IF('計算'!$C110="","",'計算'!$D110)</f>
        <v/>
      </c>
      <c r="D114" s="44">
        <f>IF('計算'!$C110="","",'計算'!$O110)</f>
        <v/>
      </c>
      <c r="E114" s="45">
        <f>IF('計算'!$C110="","",'計算'!$L110)</f>
        <v/>
      </c>
      <c r="F114" s="46">
        <f>IF('計算'!$C110="","",'計算'!$CD110)</f>
        <v/>
      </c>
      <c r="G114" s="47">
        <f>IF('計算'!$C110="","",'計算'!$CA110)</f>
        <v/>
      </c>
      <c r="H114" s="43">
        <f>IF('計算'!$C110="","",'計算'!$CP110)</f>
        <v/>
      </c>
      <c r="I114" s="48" t="n"/>
      <c r="J114" s="49" t="n"/>
      <c r="K114" s="50">
        <f>IF('計算'!$C110="","",'計算'!$CR110)</f>
        <v/>
      </c>
      <c r="L114" s="51">
        <f>IF('計算'!$C110="","",'計算'!$CF110)</f>
        <v/>
      </c>
      <c r="M114" s="48" t="n"/>
      <c r="N114" s="49" t="n"/>
      <c r="O114" s="43">
        <f>IF('計算'!$C110="","",'計算'!$CQ110)</f>
        <v/>
      </c>
      <c r="P114" s="52">
        <f>IF('計算'!$C110="","",IF('計算'!$M110="","",'計算'!$AX110))</f>
        <v/>
      </c>
      <c r="Q114" s="52">
        <f>IF('計算'!$C110="","",IF('計算'!$M110="","",'計算'!$AY110))</f>
        <v/>
      </c>
      <c r="R114" s="52">
        <f>IF('計算'!$C110="","",IF('計算'!$M110="","",'計算'!$AZ110))</f>
        <v/>
      </c>
      <c r="S114" s="52">
        <f>IF('計算'!$C110="","",IF('計算'!$M110="","",'計算'!$BA110))</f>
        <v/>
      </c>
      <c r="T114" s="52">
        <f>IF('計算'!$C110="","",IF('計算'!$M110="","",'計算'!$BB110))</f>
        <v/>
      </c>
      <c r="U114" s="52">
        <f>IF('計算'!$C110="","",IF('計算'!$M110="","",'計算'!$BC110))</f>
        <v/>
      </c>
      <c r="V114" s="52">
        <f>IF('計算'!$C110="","",IF('計算'!$M110="","",'計算'!$BD110))</f>
        <v/>
      </c>
      <c r="W114" s="52">
        <f>IF('計算'!$C110="","",IF('計算'!$M110="","",'計算'!$BE110))</f>
        <v/>
      </c>
      <c r="X114" s="52">
        <f>IF('計算'!$C110="","",IF('計算'!$M110="","",'計算'!$BF110))</f>
        <v/>
      </c>
      <c r="Y114" s="52">
        <f>IF('計算'!$C110="","",IF('計算'!$M110="","",'計算'!$BG110))</f>
        <v/>
      </c>
      <c r="Z114" s="52">
        <f>IF('計算'!$C110="","",IF('計算'!$M110="","",'計算'!$BH110))</f>
        <v/>
      </c>
      <c r="AA114" s="52">
        <f>IF('計算'!$C110="","",IF('計算'!$M110="","",'計算'!$BI110))</f>
        <v/>
      </c>
      <c r="AB114" s="52">
        <f>IF('計算'!$C110="","",IF('計算'!$M110="","",'計算'!$BJ110))</f>
        <v/>
      </c>
      <c r="AC114" s="52">
        <f>IF('計算'!$C110="","",IF('計算'!$M110="","",'計算'!$BK110))</f>
        <v/>
      </c>
      <c r="AD114" s="53" t="n"/>
      <c r="AE114" s="48" t="n"/>
      <c r="AF114" s="54">
        <f>IF('計算'!$C110="","",'計算'!$C110)</f>
        <v/>
      </c>
      <c r="AG114" s="54">
        <f>IF('計算'!$C110="","",'計算'!$F110)</f>
        <v/>
      </c>
    </row>
    <row r="115" ht="18" customHeight="1">
      <c r="B115" s="42">
        <f>IF('計算'!$C111="","",'計算'!$B111)</f>
        <v/>
      </c>
      <c r="C115" s="43">
        <f>IF('計算'!$C111="","",'計算'!$D111)</f>
        <v/>
      </c>
      <c r="D115" s="44">
        <f>IF('計算'!$C111="","",'計算'!$O111)</f>
        <v/>
      </c>
      <c r="E115" s="45">
        <f>IF('計算'!$C111="","",'計算'!$L111)</f>
        <v/>
      </c>
      <c r="F115" s="46">
        <f>IF('計算'!$C111="","",'計算'!$CD111)</f>
        <v/>
      </c>
      <c r="G115" s="47">
        <f>IF('計算'!$C111="","",'計算'!$CA111)</f>
        <v/>
      </c>
      <c r="H115" s="43">
        <f>IF('計算'!$C111="","",'計算'!$CP111)</f>
        <v/>
      </c>
      <c r="I115" s="48" t="n"/>
      <c r="J115" s="49" t="n"/>
      <c r="K115" s="50">
        <f>IF('計算'!$C111="","",'計算'!$CR111)</f>
        <v/>
      </c>
      <c r="L115" s="51">
        <f>IF('計算'!$C111="","",'計算'!$CF111)</f>
        <v/>
      </c>
      <c r="M115" s="48" t="n"/>
      <c r="N115" s="49" t="n"/>
      <c r="O115" s="43">
        <f>IF('計算'!$C111="","",'計算'!$CQ111)</f>
        <v/>
      </c>
      <c r="P115" s="52">
        <f>IF('計算'!$C111="","",IF('計算'!$M111="","",'計算'!$AX111))</f>
        <v/>
      </c>
      <c r="Q115" s="52">
        <f>IF('計算'!$C111="","",IF('計算'!$M111="","",'計算'!$AY111))</f>
        <v/>
      </c>
      <c r="R115" s="52">
        <f>IF('計算'!$C111="","",IF('計算'!$M111="","",'計算'!$AZ111))</f>
        <v/>
      </c>
      <c r="S115" s="52">
        <f>IF('計算'!$C111="","",IF('計算'!$M111="","",'計算'!$BA111))</f>
        <v/>
      </c>
      <c r="T115" s="52">
        <f>IF('計算'!$C111="","",IF('計算'!$M111="","",'計算'!$BB111))</f>
        <v/>
      </c>
      <c r="U115" s="52">
        <f>IF('計算'!$C111="","",IF('計算'!$M111="","",'計算'!$BC111))</f>
        <v/>
      </c>
      <c r="V115" s="52">
        <f>IF('計算'!$C111="","",IF('計算'!$M111="","",'計算'!$BD111))</f>
        <v/>
      </c>
      <c r="W115" s="52">
        <f>IF('計算'!$C111="","",IF('計算'!$M111="","",'計算'!$BE111))</f>
        <v/>
      </c>
      <c r="X115" s="52">
        <f>IF('計算'!$C111="","",IF('計算'!$M111="","",'計算'!$BF111))</f>
        <v/>
      </c>
      <c r="Y115" s="52">
        <f>IF('計算'!$C111="","",IF('計算'!$M111="","",'計算'!$BG111))</f>
        <v/>
      </c>
      <c r="Z115" s="52">
        <f>IF('計算'!$C111="","",IF('計算'!$M111="","",'計算'!$BH111))</f>
        <v/>
      </c>
      <c r="AA115" s="52">
        <f>IF('計算'!$C111="","",IF('計算'!$M111="","",'計算'!$BI111))</f>
        <v/>
      </c>
      <c r="AB115" s="52">
        <f>IF('計算'!$C111="","",IF('計算'!$M111="","",'計算'!$BJ111))</f>
        <v/>
      </c>
      <c r="AC115" s="52">
        <f>IF('計算'!$C111="","",IF('計算'!$M111="","",'計算'!$BK111))</f>
        <v/>
      </c>
      <c r="AD115" s="53" t="n"/>
      <c r="AE115" s="48" t="n"/>
      <c r="AF115" s="54">
        <f>IF('計算'!$C111="","",'計算'!$C111)</f>
        <v/>
      </c>
      <c r="AG115" s="54">
        <f>IF('計算'!$C111="","",'計算'!$F111)</f>
        <v/>
      </c>
    </row>
    <row r="116" ht="18" customHeight="1">
      <c r="B116" s="42">
        <f>IF('計算'!$C112="","",'計算'!$B112)</f>
        <v/>
      </c>
      <c r="C116" s="43">
        <f>IF('計算'!$C112="","",'計算'!$D112)</f>
        <v/>
      </c>
      <c r="D116" s="44">
        <f>IF('計算'!$C112="","",'計算'!$O112)</f>
        <v/>
      </c>
      <c r="E116" s="45">
        <f>IF('計算'!$C112="","",'計算'!$L112)</f>
        <v/>
      </c>
      <c r="F116" s="46">
        <f>IF('計算'!$C112="","",'計算'!$CD112)</f>
        <v/>
      </c>
      <c r="G116" s="47">
        <f>IF('計算'!$C112="","",'計算'!$CA112)</f>
        <v/>
      </c>
      <c r="H116" s="43">
        <f>IF('計算'!$C112="","",'計算'!$CP112)</f>
        <v/>
      </c>
      <c r="I116" s="48" t="n"/>
      <c r="J116" s="49" t="n"/>
      <c r="K116" s="50">
        <f>IF('計算'!$C112="","",'計算'!$CR112)</f>
        <v/>
      </c>
      <c r="L116" s="51">
        <f>IF('計算'!$C112="","",'計算'!$CF112)</f>
        <v/>
      </c>
      <c r="M116" s="48" t="n"/>
      <c r="N116" s="49" t="n"/>
      <c r="O116" s="43">
        <f>IF('計算'!$C112="","",'計算'!$CQ112)</f>
        <v/>
      </c>
      <c r="P116" s="52">
        <f>IF('計算'!$C112="","",IF('計算'!$M112="","",'計算'!$AX112))</f>
        <v/>
      </c>
      <c r="Q116" s="52">
        <f>IF('計算'!$C112="","",IF('計算'!$M112="","",'計算'!$AY112))</f>
        <v/>
      </c>
      <c r="R116" s="52">
        <f>IF('計算'!$C112="","",IF('計算'!$M112="","",'計算'!$AZ112))</f>
        <v/>
      </c>
      <c r="S116" s="52">
        <f>IF('計算'!$C112="","",IF('計算'!$M112="","",'計算'!$BA112))</f>
        <v/>
      </c>
      <c r="T116" s="52">
        <f>IF('計算'!$C112="","",IF('計算'!$M112="","",'計算'!$BB112))</f>
        <v/>
      </c>
      <c r="U116" s="52">
        <f>IF('計算'!$C112="","",IF('計算'!$M112="","",'計算'!$BC112))</f>
        <v/>
      </c>
      <c r="V116" s="52">
        <f>IF('計算'!$C112="","",IF('計算'!$M112="","",'計算'!$BD112))</f>
        <v/>
      </c>
      <c r="W116" s="52">
        <f>IF('計算'!$C112="","",IF('計算'!$M112="","",'計算'!$BE112))</f>
        <v/>
      </c>
      <c r="X116" s="52">
        <f>IF('計算'!$C112="","",IF('計算'!$M112="","",'計算'!$BF112))</f>
        <v/>
      </c>
      <c r="Y116" s="52">
        <f>IF('計算'!$C112="","",IF('計算'!$M112="","",'計算'!$BG112))</f>
        <v/>
      </c>
      <c r="Z116" s="52">
        <f>IF('計算'!$C112="","",IF('計算'!$M112="","",'計算'!$BH112))</f>
        <v/>
      </c>
      <c r="AA116" s="52">
        <f>IF('計算'!$C112="","",IF('計算'!$M112="","",'計算'!$BI112))</f>
        <v/>
      </c>
      <c r="AB116" s="52">
        <f>IF('計算'!$C112="","",IF('計算'!$M112="","",'計算'!$BJ112))</f>
        <v/>
      </c>
      <c r="AC116" s="52">
        <f>IF('計算'!$C112="","",IF('計算'!$M112="","",'計算'!$BK112))</f>
        <v/>
      </c>
      <c r="AD116" s="53" t="n"/>
      <c r="AE116" s="48" t="n"/>
      <c r="AF116" s="54">
        <f>IF('計算'!$C112="","",'計算'!$C112)</f>
        <v/>
      </c>
      <c r="AG116" s="54">
        <f>IF('計算'!$C112="","",'計算'!$F112)</f>
        <v/>
      </c>
    </row>
    <row r="117" ht="18" customHeight="1">
      <c r="B117" s="42">
        <f>IF('計算'!$C113="","",'計算'!$B113)</f>
        <v/>
      </c>
      <c r="C117" s="43">
        <f>IF('計算'!$C113="","",'計算'!$D113)</f>
        <v/>
      </c>
      <c r="D117" s="44">
        <f>IF('計算'!$C113="","",'計算'!$O113)</f>
        <v/>
      </c>
      <c r="E117" s="45">
        <f>IF('計算'!$C113="","",'計算'!$L113)</f>
        <v/>
      </c>
      <c r="F117" s="46">
        <f>IF('計算'!$C113="","",'計算'!$CD113)</f>
        <v/>
      </c>
      <c r="G117" s="47">
        <f>IF('計算'!$C113="","",'計算'!$CA113)</f>
        <v/>
      </c>
      <c r="H117" s="43">
        <f>IF('計算'!$C113="","",'計算'!$CP113)</f>
        <v/>
      </c>
      <c r="I117" s="48" t="n"/>
      <c r="J117" s="49" t="n"/>
      <c r="K117" s="50">
        <f>IF('計算'!$C113="","",'計算'!$CR113)</f>
        <v/>
      </c>
      <c r="L117" s="51">
        <f>IF('計算'!$C113="","",'計算'!$CF113)</f>
        <v/>
      </c>
      <c r="M117" s="48" t="n"/>
      <c r="N117" s="49" t="n"/>
      <c r="O117" s="43">
        <f>IF('計算'!$C113="","",'計算'!$CQ113)</f>
        <v/>
      </c>
      <c r="P117" s="52">
        <f>IF('計算'!$C113="","",IF('計算'!$M113="","",'計算'!$AX113))</f>
        <v/>
      </c>
      <c r="Q117" s="52">
        <f>IF('計算'!$C113="","",IF('計算'!$M113="","",'計算'!$AY113))</f>
        <v/>
      </c>
      <c r="R117" s="52">
        <f>IF('計算'!$C113="","",IF('計算'!$M113="","",'計算'!$AZ113))</f>
        <v/>
      </c>
      <c r="S117" s="52">
        <f>IF('計算'!$C113="","",IF('計算'!$M113="","",'計算'!$BA113))</f>
        <v/>
      </c>
      <c r="T117" s="52">
        <f>IF('計算'!$C113="","",IF('計算'!$M113="","",'計算'!$BB113))</f>
        <v/>
      </c>
      <c r="U117" s="52">
        <f>IF('計算'!$C113="","",IF('計算'!$M113="","",'計算'!$BC113))</f>
        <v/>
      </c>
      <c r="V117" s="52">
        <f>IF('計算'!$C113="","",IF('計算'!$M113="","",'計算'!$BD113))</f>
        <v/>
      </c>
      <c r="W117" s="52">
        <f>IF('計算'!$C113="","",IF('計算'!$M113="","",'計算'!$BE113))</f>
        <v/>
      </c>
      <c r="X117" s="52">
        <f>IF('計算'!$C113="","",IF('計算'!$M113="","",'計算'!$BF113))</f>
        <v/>
      </c>
      <c r="Y117" s="52">
        <f>IF('計算'!$C113="","",IF('計算'!$M113="","",'計算'!$BG113))</f>
        <v/>
      </c>
      <c r="Z117" s="52">
        <f>IF('計算'!$C113="","",IF('計算'!$M113="","",'計算'!$BH113))</f>
        <v/>
      </c>
      <c r="AA117" s="52">
        <f>IF('計算'!$C113="","",IF('計算'!$M113="","",'計算'!$BI113))</f>
        <v/>
      </c>
      <c r="AB117" s="52">
        <f>IF('計算'!$C113="","",IF('計算'!$M113="","",'計算'!$BJ113))</f>
        <v/>
      </c>
      <c r="AC117" s="52">
        <f>IF('計算'!$C113="","",IF('計算'!$M113="","",'計算'!$BK113))</f>
        <v/>
      </c>
      <c r="AD117" s="53" t="n"/>
      <c r="AE117" s="48" t="n"/>
      <c r="AF117" s="54">
        <f>IF('計算'!$C113="","",'計算'!$C113)</f>
        <v/>
      </c>
      <c r="AG117" s="54">
        <f>IF('計算'!$C113="","",'計算'!$F113)</f>
        <v/>
      </c>
    </row>
    <row r="118" ht="18" customHeight="1">
      <c r="B118" s="42">
        <f>IF('計算'!$C114="","",'計算'!$B114)</f>
        <v/>
      </c>
      <c r="C118" s="43">
        <f>IF('計算'!$C114="","",'計算'!$D114)</f>
        <v/>
      </c>
      <c r="D118" s="44">
        <f>IF('計算'!$C114="","",'計算'!$O114)</f>
        <v/>
      </c>
      <c r="E118" s="45">
        <f>IF('計算'!$C114="","",'計算'!$L114)</f>
        <v/>
      </c>
      <c r="F118" s="46">
        <f>IF('計算'!$C114="","",'計算'!$CD114)</f>
        <v/>
      </c>
      <c r="G118" s="47">
        <f>IF('計算'!$C114="","",'計算'!$CA114)</f>
        <v/>
      </c>
      <c r="H118" s="43">
        <f>IF('計算'!$C114="","",'計算'!$CP114)</f>
        <v/>
      </c>
      <c r="I118" s="48" t="n"/>
      <c r="J118" s="49" t="n"/>
      <c r="K118" s="50">
        <f>IF('計算'!$C114="","",'計算'!$CR114)</f>
        <v/>
      </c>
      <c r="L118" s="51">
        <f>IF('計算'!$C114="","",'計算'!$CF114)</f>
        <v/>
      </c>
      <c r="M118" s="48" t="n"/>
      <c r="N118" s="49" t="n"/>
      <c r="O118" s="43">
        <f>IF('計算'!$C114="","",'計算'!$CQ114)</f>
        <v/>
      </c>
      <c r="P118" s="52">
        <f>IF('計算'!$C114="","",IF('計算'!$M114="","",'計算'!$AX114))</f>
        <v/>
      </c>
      <c r="Q118" s="52">
        <f>IF('計算'!$C114="","",IF('計算'!$M114="","",'計算'!$AY114))</f>
        <v/>
      </c>
      <c r="R118" s="52">
        <f>IF('計算'!$C114="","",IF('計算'!$M114="","",'計算'!$AZ114))</f>
        <v/>
      </c>
      <c r="S118" s="52">
        <f>IF('計算'!$C114="","",IF('計算'!$M114="","",'計算'!$BA114))</f>
        <v/>
      </c>
      <c r="T118" s="52">
        <f>IF('計算'!$C114="","",IF('計算'!$M114="","",'計算'!$BB114))</f>
        <v/>
      </c>
      <c r="U118" s="52">
        <f>IF('計算'!$C114="","",IF('計算'!$M114="","",'計算'!$BC114))</f>
        <v/>
      </c>
      <c r="V118" s="52">
        <f>IF('計算'!$C114="","",IF('計算'!$M114="","",'計算'!$BD114))</f>
        <v/>
      </c>
      <c r="W118" s="52">
        <f>IF('計算'!$C114="","",IF('計算'!$M114="","",'計算'!$BE114))</f>
        <v/>
      </c>
      <c r="X118" s="52">
        <f>IF('計算'!$C114="","",IF('計算'!$M114="","",'計算'!$BF114))</f>
        <v/>
      </c>
      <c r="Y118" s="52">
        <f>IF('計算'!$C114="","",IF('計算'!$M114="","",'計算'!$BG114))</f>
        <v/>
      </c>
      <c r="Z118" s="52">
        <f>IF('計算'!$C114="","",IF('計算'!$M114="","",'計算'!$BH114))</f>
        <v/>
      </c>
      <c r="AA118" s="52">
        <f>IF('計算'!$C114="","",IF('計算'!$M114="","",'計算'!$BI114))</f>
        <v/>
      </c>
      <c r="AB118" s="52">
        <f>IF('計算'!$C114="","",IF('計算'!$M114="","",'計算'!$BJ114))</f>
        <v/>
      </c>
      <c r="AC118" s="52">
        <f>IF('計算'!$C114="","",IF('計算'!$M114="","",'計算'!$BK114))</f>
        <v/>
      </c>
      <c r="AD118" s="53" t="n"/>
      <c r="AE118" s="48" t="n"/>
      <c r="AF118" s="54">
        <f>IF('計算'!$C114="","",'計算'!$C114)</f>
        <v/>
      </c>
      <c r="AG118" s="54">
        <f>IF('計算'!$C114="","",'計算'!$F114)</f>
        <v/>
      </c>
    </row>
    <row r="119" ht="18" customHeight="1">
      <c r="B119" s="42">
        <f>IF('計算'!$C115="","",'計算'!$B115)</f>
        <v/>
      </c>
      <c r="C119" s="43">
        <f>IF('計算'!$C115="","",'計算'!$D115)</f>
        <v/>
      </c>
      <c r="D119" s="44">
        <f>IF('計算'!$C115="","",'計算'!$O115)</f>
        <v/>
      </c>
      <c r="E119" s="45">
        <f>IF('計算'!$C115="","",'計算'!$L115)</f>
        <v/>
      </c>
      <c r="F119" s="46">
        <f>IF('計算'!$C115="","",'計算'!$CD115)</f>
        <v/>
      </c>
      <c r="G119" s="47">
        <f>IF('計算'!$C115="","",'計算'!$CA115)</f>
        <v/>
      </c>
      <c r="H119" s="43">
        <f>IF('計算'!$C115="","",'計算'!$CP115)</f>
        <v/>
      </c>
      <c r="I119" s="48" t="n"/>
      <c r="J119" s="49" t="n"/>
      <c r="K119" s="50">
        <f>IF('計算'!$C115="","",'計算'!$CR115)</f>
        <v/>
      </c>
      <c r="L119" s="51">
        <f>IF('計算'!$C115="","",'計算'!$CF115)</f>
        <v/>
      </c>
      <c r="M119" s="48" t="n"/>
      <c r="N119" s="49" t="n"/>
      <c r="O119" s="43">
        <f>IF('計算'!$C115="","",'計算'!$CQ115)</f>
        <v/>
      </c>
      <c r="P119" s="52">
        <f>IF('計算'!$C115="","",IF('計算'!$M115="","",'計算'!$AX115))</f>
        <v/>
      </c>
      <c r="Q119" s="52">
        <f>IF('計算'!$C115="","",IF('計算'!$M115="","",'計算'!$AY115))</f>
        <v/>
      </c>
      <c r="R119" s="52">
        <f>IF('計算'!$C115="","",IF('計算'!$M115="","",'計算'!$AZ115))</f>
        <v/>
      </c>
      <c r="S119" s="52">
        <f>IF('計算'!$C115="","",IF('計算'!$M115="","",'計算'!$BA115))</f>
        <v/>
      </c>
      <c r="T119" s="52">
        <f>IF('計算'!$C115="","",IF('計算'!$M115="","",'計算'!$BB115))</f>
        <v/>
      </c>
      <c r="U119" s="52">
        <f>IF('計算'!$C115="","",IF('計算'!$M115="","",'計算'!$BC115))</f>
        <v/>
      </c>
      <c r="V119" s="52">
        <f>IF('計算'!$C115="","",IF('計算'!$M115="","",'計算'!$BD115))</f>
        <v/>
      </c>
      <c r="W119" s="52">
        <f>IF('計算'!$C115="","",IF('計算'!$M115="","",'計算'!$BE115))</f>
        <v/>
      </c>
      <c r="X119" s="52">
        <f>IF('計算'!$C115="","",IF('計算'!$M115="","",'計算'!$BF115))</f>
        <v/>
      </c>
      <c r="Y119" s="52">
        <f>IF('計算'!$C115="","",IF('計算'!$M115="","",'計算'!$BG115))</f>
        <v/>
      </c>
      <c r="Z119" s="52">
        <f>IF('計算'!$C115="","",IF('計算'!$M115="","",'計算'!$BH115))</f>
        <v/>
      </c>
      <c r="AA119" s="52">
        <f>IF('計算'!$C115="","",IF('計算'!$M115="","",'計算'!$BI115))</f>
        <v/>
      </c>
      <c r="AB119" s="52">
        <f>IF('計算'!$C115="","",IF('計算'!$M115="","",'計算'!$BJ115))</f>
        <v/>
      </c>
      <c r="AC119" s="52">
        <f>IF('計算'!$C115="","",IF('計算'!$M115="","",'計算'!$BK115))</f>
        <v/>
      </c>
      <c r="AD119" s="53" t="n"/>
      <c r="AE119" s="48" t="n"/>
      <c r="AF119" s="54">
        <f>IF('計算'!$C115="","",'計算'!$C115)</f>
        <v/>
      </c>
      <c r="AG119" s="54">
        <f>IF('計算'!$C115="","",'計算'!$F115)</f>
        <v/>
      </c>
    </row>
    <row r="120" ht="18" customHeight="1">
      <c r="B120" s="42">
        <f>IF('計算'!$C116="","",'計算'!$B116)</f>
        <v/>
      </c>
      <c r="C120" s="43">
        <f>IF('計算'!$C116="","",'計算'!$D116)</f>
        <v/>
      </c>
      <c r="D120" s="44">
        <f>IF('計算'!$C116="","",'計算'!$O116)</f>
        <v/>
      </c>
      <c r="E120" s="45">
        <f>IF('計算'!$C116="","",'計算'!$L116)</f>
        <v/>
      </c>
      <c r="F120" s="46">
        <f>IF('計算'!$C116="","",'計算'!$CD116)</f>
        <v/>
      </c>
      <c r="G120" s="47">
        <f>IF('計算'!$C116="","",'計算'!$CA116)</f>
        <v/>
      </c>
      <c r="H120" s="43">
        <f>IF('計算'!$C116="","",'計算'!$CP116)</f>
        <v/>
      </c>
      <c r="I120" s="48" t="n"/>
      <c r="J120" s="49" t="n"/>
      <c r="K120" s="50">
        <f>IF('計算'!$C116="","",'計算'!$CR116)</f>
        <v/>
      </c>
      <c r="L120" s="51">
        <f>IF('計算'!$C116="","",'計算'!$CF116)</f>
        <v/>
      </c>
      <c r="M120" s="48" t="n"/>
      <c r="N120" s="49" t="n"/>
      <c r="O120" s="43">
        <f>IF('計算'!$C116="","",'計算'!$CQ116)</f>
        <v/>
      </c>
      <c r="P120" s="52">
        <f>IF('計算'!$C116="","",IF('計算'!$M116="","",'計算'!$AX116))</f>
        <v/>
      </c>
      <c r="Q120" s="52">
        <f>IF('計算'!$C116="","",IF('計算'!$M116="","",'計算'!$AY116))</f>
        <v/>
      </c>
      <c r="R120" s="52">
        <f>IF('計算'!$C116="","",IF('計算'!$M116="","",'計算'!$AZ116))</f>
        <v/>
      </c>
      <c r="S120" s="52">
        <f>IF('計算'!$C116="","",IF('計算'!$M116="","",'計算'!$BA116))</f>
        <v/>
      </c>
      <c r="T120" s="52">
        <f>IF('計算'!$C116="","",IF('計算'!$M116="","",'計算'!$BB116))</f>
        <v/>
      </c>
      <c r="U120" s="52">
        <f>IF('計算'!$C116="","",IF('計算'!$M116="","",'計算'!$BC116))</f>
        <v/>
      </c>
      <c r="V120" s="52">
        <f>IF('計算'!$C116="","",IF('計算'!$M116="","",'計算'!$BD116))</f>
        <v/>
      </c>
      <c r="W120" s="52">
        <f>IF('計算'!$C116="","",IF('計算'!$M116="","",'計算'!$BE116))</f>
        <v/>
      </c>
      <c r="X120" s="52">
        <f>IF('計算'!$C116="","",IF('計算'!$M116="","",'計算'!$BF116))</f>
        <v/>
      </c>
      <c r="Y120" s="52">
        <f>IF('計算'!$C116="","",IF('計算'!$M116="","",'計算'!$BG116))</f>
        <v/>
      </c>
      <c r="Z120" s="52">
        <f>IF('計算'!$C116="","",IF('計算'!$M116="","",'計算'!$BH116))</f>
        <v/>
      </c>
      <c r="AA120" s="52">
        <f>IF('計算'!$C116="","",IF('計算'!$M116="","",'計算'!$BI116))</f>
        <v/>
      </c>
      <c r="AB120" s="52">
        <f>IF('計算'!$C116="","",IF('計算'!$M116="","",'計算'!$BJ116))</f>
        <v/>
      </c>
      <c r="AC120" s="52">
        <f>IF('計算'!$C116="","",IF('計算'!$M116="","",'計算'!$BK116))</f>
        <v/>
      </c>
      <c r="AD120" s="53" t="n"/>
      <c r="AE120" s="48" t="n"/>
      <c r="AF120" s="54">
        <f>IF('計算'!$C116="","",'計算'!$C116)</f>
        <v/>
      </c>
      <c r="AG120" s="54">
        <f>IF('計算'!$C116="","",'計算'!$F116)</f>
        <v/>
      </c>
    </row>
    <row r="121" ht="18" customHeight="1">
      <c r="B121" s="42">
        <f>IF('計算'!$C117="","",'計算'!$B117)</f>
        <v/>
      </c>
      <c r="C121" s="43">
        <f>IF('計算'!$C117="","",'計算'!$D117)</f>
        <v/>
      </c>
      <c r="D121" s="44">
        <f>IF('計算'!$C117="","",'計算'!$O117)</f>
        <v/>
      </c>
      <c r="E121" s="45">
        <f>IF('計算'!$C117="","",'計算'!$L117)</f>
        <v/>
      </c>
      <c r="F121" s="46">
        <f>IF('計算'!$C117="","",'計算'!$CD117)</f>
        <v/>
      </c>
      <c r="G121" s="47">
        <f>IF('計算'!$C117="","",'計算'!$CA117)</f>
        <v/>
      </c>
      <c r="H121" s="43">
        <f>IF('計算'!$C117="","",'計算'!$CP117)</f>
        <v/>
      </c>
      <c r="I121" s="48" t="n"/>
      <c r="J121" s="49" t="n"/>
      <c r="K121" s="50">
        <f>IF('計算'!$C117="","",'計算'!$CR117)</f>
        <v/>
      </c>
      <c r="L121" s="51">
        <f>IF('計算'!$C117="","",'計算'!$CF117)</f>
        <v/>
      </c>
      <c r="M121" s="48" t="n"/>
      <c r="N121" s="49" t="n"/>
      <c r="O121" s="43">
        <f>IF('計算'!$C117="","",'計算'!$CQ117)</f>
        <v/>
      </c>
      <c r="P121" s="52">
        <f>IF('計算'!$C117="","",IF('計算'!$M117="","",'計算'!$AX117))</f>
        <v/>
      </c>
      <c r="Q121" s="52">
        <f>IF('計算'!$C117="","",IF('計算'!$M117="","",'計算'!$AY117))</f>
        <v/>
      </c>
      <c r="R121" s="52">
        <f>IF('計算'!$C117="","",IF('計算'!$M117="","",'計算'!$AZ117))</f>
        <v/>
      </c>
      <c r="S121" s="52">
        <f>IF('計算'!$C117="","",IF('計算'!$M117="","",'計算'!$BA117))</f>
        <v/>
      </c>
      <c r="T121" s="52">
        <f>IF('計算'!$C117="","",IF('計算'!$M117="","",'計算'!$BB117))</f>
        <v/>
      </c>
      <c r="U121" s="52">
        <f>IF('計算'!$C117="","",IF('計算'!$M117="","",'計算'!$BC117))</f>
        <v/>
      </c>
      <c r="V121" s="52">
        <f>IF('計算'!$C117="","",IF('計算'!$M117="","",'計算'!$BD117))</f>
        <v/>
      </c>
      <c r="W121" s="52">
        <f>IF('計算'!$C117="","",IF('計算'!$M117="","",'計算'!$BE117))</f>
        <v/>
      </c>
      <c r="X121" s="52">
        <f>IF('計算'!$C117="","",IF('計算'!$M117="","",'計算'!$BF117))</f>
        <v/>
      </c>
      <c r="Y121" s="52">
        <f>IF('計算'!$C117="","",IF('計算'!$M117="","",'計算'!$BG117))</f>
        <v/>
      </c>
      <c r="Z121" s="52">
        <f>IF('計算'!$C117="","",IF('計算'!$M117="","",'計算'!$BH117))</f>
        <v/>
      </c>
      <c r="AA121" s="52">
        <f>IF('計算'!$C117="","",IF('計算'!$M117="","",'計算'!$BI117))</f>
        <v/>
      </c>
      <c r="AB121" s="52">
        <f>IF('計算'!$C117="","",IF('計算'!$M117="","",'計算'!$BJ117))</f>
        <v/>
      </c>
      <c r="AC121" s="52">
        <f>IF('計算'!$C117="","",IF('計算'!$M117="","",'計算'!$BK117))</f>
        <v/>
      </c>
      <c r="AD121" s="53" t="n"/>
      <c r="AE121" s="48" t="n"/>
      <c r="AF121" s="54">
        <f>IF('計算'!$C117="","",'計算'!$C117)</f>
        <v/>
      </c>
      <c r="AG121" s="54">
        <f>IF('計算'!$C117="","",'計算'!$F117)</f>
        <v/>
      </c>
    </row>
    <row r="122" ht="18" customHeight="1">
      <c r="B122" s="42">
        <f>IF('計算'!$C118="","",'計算'!$B118)</f>
        <v/>
      </c>
      <c r="C122" s="43">
        <f>IF('計算'!$C118="","",'計算'!$D118)</f>
        <v/>
      </c>
      <c r="D122" s="44">
        <f>IF('計算'!$C118="","",'計算'!$O118)</f>
        <v/>
      </c>
      <c r="E122" s="45">
        <f>IF('計算'!$C118="","",'計算'!$L118)</f>
        <v/>
      </c>
      <c r="F122" s="46">
        <f>IF('計算'!$C118="","",'計算'!$CD118)</f>
        <v/>
      </c>
      <c r="G122" s="47">
        <f>IF('計算'!$C118="","",'計算'!$CA118)</f>
        <v/>
      </c>
      <c r="H122" s="43">
        <f>IF('計算'!$C118="","",'計算'!$CP118)</f>
        <v/>
      </c>
      <c r="I122" s="48" t="n"/>
      <c r="J122" s="49" t="n"/>
      <c r="K122" s="50">
        <f>IF('計算'!$C118="","",'計算'!$CR118)</f>
        <v/>
      </c>
      <c r="L122" s="51">
        <f>IF('計算'!$C118="","",'計算'!$CF118)</f>
        <v/>
      </c>
      <c r="M122" s="48" t="n"/>
      <c r="N122" s="49" t="n"/>
      <c r="O122" s="43">
        <f>IF('計算'!$C118="","",'計算'!$CQ118)</f>
        <v/>
      </c>
      <c r="P122" s="52">
        <f>IF('計算'!$C118="","",IF('計算'!$M118="","",'計算'!$AX118))</f>
        <v/>
      </c>
      <c r="Q122" s="52">
        <f>IF('計算'!$C118="","",IF('計算'!$M118="","",'計算'!$AY118))</f>
        <v/>
      </c>
      <c r="R122" s="52">
        <f>IF('計算'!$C118="","",IF('計算'!$M118="","",'計算'!$AZ118))</f>
        <v/>
      </c>
      <c r="S122" s="52">
        <f>IF('計算'!$C118="","",IF('計算'!$M118="","",'計算'!$BA118))</f>
        <v/>
      </c>
      <c r="T122" s="52">
        <f>IF('計算'!$C118="","",IF('計算'!$M118="","",'計算'!$BB118))</f>
        <v/>
      </c>
      <c r="U122" s="52">
        <f>IF('計算'!$C118="","",IF('計算'!$M118="","",'計算'!$BC118))</f>
        <v/>
      </c>
      <c r="V122" s="52">
        <f>IF('計算'!$C118="","",IF('計算'!$M118="","",'計算'!$BD118))</f>
        <v/>
      </c>
      <c r="W122" s="52">
        <f>IF('計算'!$C118="","",IF('計算'!$M118="","",'計算'!$BE118))</f>
        <v/>
      </c>
      <c r="X122" s="52">
        <f>IF('計算'!$C118="","",IF('計算'!$M118="","",'計算'!$BF118))</f>
        <v/>
      </c>
      <c r="Y122" s="52">
        <f>IF('計算'!$C118="","",IF('計算'!$M118="","",'計算'!$BG118))</f>
        <v/>
      </c>
      <c r="Z122" s="52">
        <f>IF('計算'!$C118="","",IF('計算'!$M118="","",'計算'!$BH118))</f>
        <v/>
      </c>
      <c r="AA122" s="52">
        <f>IF('計算'!$C118="","",IF('計算'!$M118="","",'計算'!$BI118))</f>
        <v/>
      </c>
      <c r="AB122" s="52">
        <f>IF('計算'!$C118="","",IF('計算'!$M118="","",'計算'!$BJ118))</f>
        <v/>
      </c>
      <c r="AC122" s="52">
        <f>IF('計算'!$C118="","",IF('計算'!$M118="","",'計算'!$BK118))</f>
        <v/>
      </c>
      <c r="AD122" s="53" t="n"/>
      <c r="AE122" s="48" t="n"/>
      <c r="AF122" s="54">
        <f>IF('計算'!$C118="","",'計算'!$C118)</f>
        <v/>
      </c>
      <c r="AG122" s="54">
        <f>IF('計算'!$C118="","",'計算'!$F118)</f>
        <v/>
      </c>
    </row>
    <row r="123" ht="18" customHeight="1">
      <c r="B123" s="42">
        <f>IF('計算'!$C119="","",'計算'!$B119)</f>
        <v/>
      </c>
      <c r="C123" s="43">
        <f>IF('計算'!$C119="","",'計算'!$D119)</f>
        <v/>
      </c>
      <c r="D123" s="44">
        <f>IF('計算'!$C119="","",'計算'!$O119)</f>
        <v/>
      </c>
      <c r="E123" s="45">
        <f>IF('計算'!$C119="","",'計算'!$L119)</f>
        <v/>
      </c>
      <c r="F123" s="46">
        <f>IF('計算'!$C119="","",'計算'!$CD119)</f>
        <v/>
      </c>
      <c r="G123" s="47">
        <f>IF('計算'!$C119="","",'計算'!$CA119)</f>
        <v/>
      </c>
      <c r="H123" s="43">
        <f>IF('計算'!$C119="","",'計算'!$CP119)</f>
        <v/>
      </c>
      <c r="I123" s="48" t="n"/>
      <c r="J123" s="49" t="n"/>
      <c r="K123" s="50">
        <f>IF('計算'!$C119="","",'計算'!$CR119)</f>
        <v/>
      </c>
      <c r="L123" s="51">
        <f>IF('計算'!$C119="","",'計算'!$CF119)</f>
        <v/>
      </c>
      <c r="M123" s="48" t="n"/>
      <c r="N123" s="49" t="n"/>
      <c r="O123" s="43">
        <f>IF('計算'!$C119="","",'計算'!$CQ119)</f>
        <v/>
      </c>
      <c r="P123" s="52">
        <f>IF('計算'!$C119="","",IF('計算'!$M119="","",'計算'!$AX119))</f>
        <v/>
      </c>
      <c r="Q123" s="52">
        <f>IF('計算'!$C119="","",IF('計算'!$M119="","",'計算'!$AY119))</f>
        <v/>
      </c>
      <c r="R123" s="52">
        <f>IF('計算'!$C119="","",IF('計算'!$M119="","",'計算'!$AZ119))</f>
        <v/>
      </c>
      <c r="S123" s="52">
        <f>IF('計算'!$C119="","",IF('計算'!$M119="","",'計算'!$BA119))</f>
        <v/>
      </c>
      <c r="T123" s="52">
        <f>IF('計算'!$C119="","",IF('計算'!$M119="","",'計算'!$BB119))</f>
        <v/>
      </c>
      <c r="U123" s="52">
        <f>IF('計算'!$C119="","",IF('計算'!$M119="","",'計算'!$BC119))</f>
        <v/>
      </c>
      <c r="V123" s="52">
        <f>IF('計算'!$C119="","",IF('計算'!$M119="","",'計算'!$BD119))</f>
        <v/>
      </c>
      <c r="W123" s="52">
        <f>IF('計算'!$C119="","",IF('計算'!$M119="","",'計算'!$BE119))</f>
        <v/>
      </c>
      <c r="X123" s="52">
        <f>IF('計算'!$C119="","",IF('計算'!$M119="","",'計算'!$BF119))</f>
        <v/>
      </c>
      <c r="Y123" s="52">
        <f>IF('計算'!$C119="","",IF('計算'!$M119="","",'計算'!$BG119))</f>
        <v/>
      </c>
      <c r="Z123" s="52">
        <f>IF('計算'!$C119="","",IF('計算'!$M119="","",'計算'!$BH119))</f>
        <v/>
      </c>
      <c r="AA123" s="52">
        <f>IF('計算'!$C119="","",IF('計算'!$M119="","",'計算'!$BI119))</f>
        <v/>
      </c>
      <c r="AB123" s="52">
        <f>IF('計算'!$C119="","",IF('計算'!$M119="","",'計算'!$BJ119))</f>
        <v/>
      </c>
      <c r="AC123" s="52">
        <f>IF('計算'!$C119="","",IF('計算'!$M119="","",'計算'!$BK119))</f>
        <v/>
      </c>
      <c r="AD123" s="53" t="n"/>
      <c r="AE123" s="48" t="n"/>
      <c r="AF123" s="54">
        <f>IF('計算'!$C119="","",'計算'!$C119)</f>
        <v/>
      </c>
      <c r="AG123" s="54">
        <f>IF('計算'!$C119="","",'計算'!$F119)</f>
        <v/>
      </c>
    </row>
    <row r="124" ht="18" customHeight="1">
      <c r="B124" s="42">
        <f>IF('計算'!$C120="","",'計算'!$B120)</f>
        <v/>
      </c>
      <c r="C124" s="43">
        <f>IF('計算'!$C120="","",'計算'!$D120)</f>
        <v/>
      </c>
      <c r="D124" s="44">
        <f>IF('計算'!$C120="","",'計算'!$O120)</f>
        <v/>
      </c>
      <c r="E124" s="45">
        <f>IF('計算'!$C120="","",'計算'!$L120)</f>
        <v/>
      </c>
      <c r="F124" s="46">
        <f>IF('計算'!$C120="","",'計算'!$CD120)</f>
        <v/>
      </c>
      <c r="G124" s="47">
        <f>IF('計算'!$C120="","",'計算'!$CA120)</f>
        <v/>
      </c>
      <c r="H124" s="43">
        <f>IF('計算'!$C120="","",'計算'!$CP120)</f>
        <v/>
      </c>
      <c r="I124" s="48" t="n"/>
      <c r="J124" s="49" t="n"/>
      <c r="K124" s="50">
        <f>IF('計算'!$C120="","",'計算'!$CR120)</f>
        <v/>
      </c>
      <c r="L124" s="51">
        <f>IF('計算'!$C120="","",'計算'!$CF120)</f>
        <v/>
      </c>
      <c r="M124" s="48" t="n"/>
      <c r="N124" s="49" t="n"/>
      <c r="O124" s="43">
        <f>IF('計算'!$C120="","",'計算'!$CQ120)</f>
        <v/>
      </c>
      <c r="P124" s="52">
        <f>IF('計算'!$C120="","",IF('計算'!$M120="","",'計算'!$AX120))</f>
        <v/>
      </c>
      <c r="Q124" s="52">
        <f>IF('計算'!$C120="","",IF('計算'!$M120="","",'計算'!$AY120))</f>
        <v/>
      </c>
      <c r="R124" s="52">
        <f>IF('計算'!$C120="","",IF('計算'!$M120="","",'計算'!$AZ120))</f>
        <v/>
      </c>
      <c r="S124" s="52">
        <f>IF('計算'!$C120="","",IF('計算'!$M120="","",'計算'!$BA120))</f>
        <v/>
      </c>
      <c r="T124" s="52">
        <f>IF('計算'!$C120="","",IF('計算'!$M120="","",'計算'!$BB120))</f>
        <v/>
      </c>
      <c r="U124" s="52">
        <f>IF('計算'!$C120="","",IF('計算'!$M120="","",'計算'!$BC120))</f>
        <v/>
      </c>
      <c r="V124" s="52">
        <f>IF('計算'!$C120="","",IF('計算'!$M120="","",'計算'!$BD120))</f>
        <v/>
      </c>
      <c r="W124" s="52">
        <f>IF('計算'!$C120="","",IF('計算'!$M120="","",'計算'!$BE120))</f>
        <v/>
      </c>
      <c r="X124" s="52">
        <f>IF('計算'!$C120="","",IF('計算'!$M120="","",'計算'!$BF120))</f>
        <v/>
      </c>
      <c r="Y124" s="52">
        <f>IF('計算'!$C120="","",IF('計算'!$M120="","",'計算'!$BG120))</f>
        <v/>
      </c>
      <c r="Z124" s="52">
        <f>IF('計算'!$C120="","",IF('計算'!$M120="","",'計算'!$BH120))</f>
        <v/>
      </c>
      <c r="AA124" s="52">
        <f>IF('計算'!$C120="","",IF('計算'!$M120="","",'計算'!$BI120))</f>
        <v/>
      </c>
      <c r="AB124" s="52">
        <f>IF('計算'!$C120="","",IF('計算'!$M120="","",'計算'!$BJ120))</f>
        <v/>
      </c>
      <c r="AC124" s="52">
        <f>IF('計算'!$C120="","",IF('計算'!$M120="","",'計算'!$BK120))</f>
        <v/>
      </c>
      <c r="AD124" s="53" t="n"/>
      <c r="AE124" s="48" t="n"/>
      <c r="AF124" s="54">
        <f>IF('計算'!$C120="","",'計算'!$C120)</f>
        <v/>
      </c>
      <c r="AG124" s="54">
        <f>IF('計算'!$C120="","",'計算'!$F120)</f>
        <v/>
      </c>
    </row>
    <row r="125" ht="18" customHeight="1">
      <c r="B125" s="42">
        <f>IF('計算'!$C121="","",'計算'!$B121)</f>
        <v/>
      </c>
      <c r="C125" s="43">
        <f>IF('計算'!$C121="","",'計算'!$D121)</f>
        <v/>
      </c>
      <c r="D125" s="44">
        <f>IF('計算'!$C121="","",'計算'!$O121)</f>
        <v/>
      </c>
      <c r="E125" s="45">
        <f>IF('計算'!$C121="","",'計算'!$L121)</f>
        <v/>
      </c>
      <c r="F125" s="46">
        <f>IF('計算'!$C121="","",'計算'!$CD121)</f>
        <v/>
      </c>
      <c r="G125" s="47">
        <f>IF('計算'!$C121="","",'計算'!$CA121)</f>
        <v/>
      </c>
      <c r="H125" s="43">
        <f>IF('計算'!$C121="","",'計算'!$CP121)</f>
        <v/>
      </c>
      <c r="I125" s="48" t="n"/>
      <c r="J125" s="49" t="n"/>
      <c r="K125" s="50">
        <f>IF('計算'!$C121="","",'計算'!$CR121)</f>
        <v/>
      </c>
      <c r="L125" s="51">
        <f>IF('計算'!$C121="","",'計算'!$CF121)</f>
        <v/>
      </c>
      <c r="M125" s="48" t="n"/>
      <c r="N125" s="49" t="n"/>
      <c r="O125" s="43">
        <f>IF('計算'!$C121="","",'計算'!$CQ121)</f>
        <v/>
      </c>
      <c r="P125" s="52">
        <f>IF('計算'!$C121="","",IF('計算'!$M121="","",'計算'!$AX121))</f>
        <v/>
      </c>
      <c r="Q125" s="52">
        <f>IF('計算'!$C121="","",IF('計算'!$M121="","",'計算'!$AY121))</f>
        <v/>
      </c>
      <c r="R125" s="52">
        <f>IF('計算'!$C121="","",IF('計算'!$M121="","",'計算'!$AZ121))</f>
        <v/>
      </c>
      <c r="S125" s="52">
        <f>IF('計算'!$C121="","",IF('計算'!$M121="","",'計算'!$BA121))</f>
        <v/>
      </c>
      <c r="T125" s="52">
        <f>IF('計算'!$C121="","",IF('計算'!$M121="","",'計算'!$BB121))</f>
        <v/>
      </c>
      <c r="U125" s="52">
        <f>IF('計算'!$C121="","",IF('計算'!$M121="","",'計算'!$BC121))</f>
        <v/>
      </c>
      <c r="V125" s="52">
        <f>IF('計算'!$C121="","",IF('計算'!$M121="","",'計算'!$BD121))</f>
        <v/>
      </c>
      <c r="W125" s="52">
        <f>IF('計算'!$C121="","",IF('計算'!$M121="","",'計算'!$BE121))</f>
        <v/>
      </c>
      <c r="X125" s="52">
        <f>IF('計算'!$C121="","",IF('計算'!$M121="","",'計算'!$BF121))</f>
        <v/>
      </c>
      <c r="Y125" s="52">
        <f>IF('計算'!$C121="","",IF('計算'!$M121="","",'計算'!$BG121))</f>
        <v/>
      </c>
      <c r="Z125" s="52">
        <f>IF('計算'!$C121="","",IF('計算'!$M121="","",'計算'!$BH121))</f>
        <v/>
      </c>
      <c r="AA125" s="52">
        <f>IF('計算'!$C121="","",IF('計算'!$M121="","",'計算'!$BI121))</f>
        <v/>
      </c>
      <c r="AB125" s="52">
        <f>IF('計算'!$C121="","",IF('計算'!$M121="","",'計算'!$BJ121))</f>
        <v/>
      </c>
      <c r="AC125" s="52">
        <f>IF('計算'!$C121="","",IF('計算'!$M121="","",'計算'!$BK121))</f>
        <v/>
      </c>
      <c r="AD125" s="53" t="n"/>
      <c r="AE125" s="48" t="n"/>
      <c r="AF125" s="54">
        <f>IF('計算'!$C121="","",'計算'!$C121)</f>
        <v/>
      </c>
      <c r="AG125" s="54">
        <f>IF('計算'!$C121="","",'計算'!$F121)</f>
        <v/>
      </c>
    </row>
    <row r="126" ht="18" customHeight="1">
      <c r="B126" s="42">
        <f>IF('計算'!$C122="","",'計算'!$B122)</f>
        <v/>
      </c>
      <c r="C126" s="43">
        <f>IF('計算'!$C122="","",'計算'!$D122)</f>
        <v/>
      </c>
      <c r="D126" s="44">
        <f>IF('計算'!$C122="","",'計算'!$O122)</f>
        <v/>
      </c>
      <c r="E126" s="45">
        <f>IF('計算'!$C122="","",'計算'!$L122)</f>
        <v/>
      </c>
      <c r="F126" s="46">
        <f>IF('計算'!$C122="","",'計算'!$CD122)</f>
        <v/>
      </c>
      <c r="G126" s="47">
        <f>IF('計算'!$C122="","",'計算'!$CA122)</f>
        <v/>
      </c>
      <c r="H126" s="43">
        <f>IF('計算'!$C122="","",'計算'!$CP122)</f>
        <v/>
      </c>
      <c r="I126" s="48" t="n"/>
      <c r="J126" s="49" t="n"/>
      <c r="K126" s="50">
        <f>IF('計算'!$C122="","",'計算'!$CR122)</f>
        <v/>
      </c>
      <c r="L126" s="51">
        <f>IF('計算'!$C122="","",'計算'!$CF122)</f>
        <v/>
      </c>
      <c r="M126" s="48" t="n"/>
      <c r="N126" s="49" t="n"/>
      <c r="O126" s="43">
        <f>IF('計算'!$C122="","",'計算'!$CQ122)</f>
        <v/>
      </c>
      <c r="P126" s="52">
        <f>IF('計算'!$C122="","",IF('計算'!$M122="","",'計算'!$AX122))</f>
        <v/>
      </c>
      <c r="Q126" s="52">
        <f>IF('計算'!$C122="","",IF('計算'!$M122="","",'計算'!$AY122))</f>
        <v/>
      </c>
      <c r="R126" s="52">
        <f>IF('計算'!$C122="","",IF('計算'!$M122="","",'計算'!$AZ122))</f>
        <v/>
      </c>
      <c r="S126" s="52">
        <f>IF('計算'!$C122="","",IF('計算'!$M122="","",'計算'!$BA122))</f>
        <v/>
      </c>
      <c r="T126" s="52">
        <f>IF('計算'!$C122="","",IF('計算'!$M122="","",'計算'!$BB122))</f>
        <v/>
      </c>
      <c r="U126" s="52">
        <f>IF('計算'!$C122="","",IF('計算'!$M122="","",'計算'!$BC122))</f>
        <v/>
      </c>
      <c r="V126" s="52">
        <f>IF('計算'!$C122="","",IF('計算'!$M122="","",'計算'!$BD122))</f>
        <v/>
      </c>
      <c r="W126" s="52">
        <f>IF('計算'!$C122="","",IF('計算'!$M122="","",'計算'!$BE122))</f>
        <v/>
      </c>
      <c r="X126" s="52">
        <f>IF('計算'!$C122="","",IF('計算'!$M122="","",'計算'!$BF122))</f>
        <v/>
      </c>
      <c r="Y126" s="52">
        <f>IF('計算'!$C122="","",IF('計算'!$M122="","",'計算'!$BG122))</f>
        <v/>
      </c>
      <c r="Z126" s="52">
        <f>IF('計算'!$C122="","",IF('計算'!$M122="","",'計算'!$BH122))</f>
        <v/>
      </c>
      <c r="AA126" s="52">
        <f>IF('計算'!$C122="","",IF('計算'!$M122="","",'計算'!$BI122))</f>
        <v/>
      </c>
      <c r="AB126" s="52">
        <f>IF('計算'!$C122="","",IF('計算'!$M122="","",'計算'!$BJ122))</f>
        <v/>
      </c>
      <c r="AC126" s="52">
        <f>IF('計算'!$C122="","",IF('計算'!$M122="","",'計算'!$BK122))</f>
        <v/>
      </c>
      <c r="AD126" s="53" t="n"/>
      <c r="AE126" s="48" t="n"/>
      <c r="AF126" s="54">
        <f>IF('計算'!$C122="","",'計算'!$C122)</f>
        <v/>
      </c>
      <c r="AG126" s="54">
        <f>IF('計算'!$C122="","",'計算'!$F122)</f>
        <v/>
      </c>
    </row>
    <row r="127" ht="18" customHeight="1">
      <c r="B127" s="42">
        <f>IF('計算'!$C123="","",'計算'!$B123)</f>
        <v/>
      </c>
      <c r="C127" s="43">
        <f>IF('計算'!$C123="","",'計算'!$D123)</f>
        <v/>
      </c>
      <c r="D127" s="44">
        <f>IF('計算'!$C123="","",'計算'!$O123)</f>
        <v/>
      </c>
      <c r="E127" s="45">
        <f>IF('計算'!$C123="","",'計算'!$L123)</f>
        <v/>
      </c>
      <c r="F127" s="46">
        <f>IF('計算'!$C123="","",'計算'!$CD123)</f>
        <v/>
      </c>
      <c r="G127" s="47">
        <f>IF('計算'!$C123="","",'計算'!$CA123)</f>
        <v/>
      </c>
      <c r="H127" s="43">
        <f>IF('計算'!$C123="","",'計算'!$CP123)</f>
        <v/>
      </c>
      <c r="I127" s="48" t="n"/>
      <c r="J127" s="49" t="n"/>
      <c r="K127" s="50">
        <f>IF('計算'!$C123="","",'計算'!$CR123)</f>
        <v/>
      </c>
      <c r="L127" s="51">
        <f>IF('計算'!$C123="","",'計算'!$CF123)</f>
        <v/>
      </c>
      <c r="M127" s="48" t="n"/>
      <c r="N127" s="49" t="n"/>
      <c r="O127" s="43">
        <f>IF('計算'!$C123="","",'計算'!$CQ123)</f>
        <v/>
      </c>
      <c r="P127" s="52">
        <f>IF('計算'!$C123="","",IF('計算'!$M123="","",'計算'!$AX123))</f>
        <v/>
      </c>
      <c r="Q127" s="52">
        <f>IF('計算'!$C123="","",IF('計算'!$M123="","",'計算'!$AY123))</f>
        <v/>
      </c>
      <c r="R127" s="52">
        <f>IF('計算'!$C123="","",IF('計算'!$M123="","",'計算'!$AZ123))</f>
        <v/>
      </c>
      <c r="S127" s="52">
        <f>IF('計算'!$C123="","",IF('計算'!$M123="","",'計算'!$BA123))</f>
        <v/>
      </c>
      <c r="T127" s="52">
        <f>IF('計算'!$C123="","",IF('計算'!$M123="","",'計算'!$BB123))</f>
        <v/>
      </c>
      <c r="U127" s="52">
        <f>IF('計算'!$C123="","",IF('計算'!$M123="","",'計算'!$BC123))</f>
        <v/>
      </c>
      <c r="V127" s="52">
        <f>IF('計算'!$C123="","",IF('計算'!$M123="","",'計算'!$BD123))</f>
        <v/>
      </c>
      <c r="W127" s="52">
        <f>IF('計算'!$C123="","",IF('計算'!$M123="","",'計算'!$BE123))</f>
        <v/>
      </c>
      <c r="X127" s="52">
        <f>IF('計算'!$C123="","",IF('計算'!$M123="","",'計算'!$BF123))</f>
        <v/>
      </c>
      <c r="Y127" s="52">
        <f>IF('計算'!$C123="","",IF('計算'!$M123="","",'計算'!$BG123))</f>
        <v/>
      </c>
      <c r="Z127" s="52">
        <f>IF('計算'!$C123="","",IF('計算'!$M123="","",'計算'!$BH123))</f>
        <v/>
      </c>
      <c r="AA127" s="52">
        <f>IF('計算'!$C123="","",IF('計算'!$M123="","",'計算'!$BI123))</f>
        <v/>
      </c>
      <c r="AB127" s="52">
        <f>IF('計算'!$C123="","",IF('計算'!$M123="","",'計算'!$BJ123))</f>
        <v/>
      </c>
      <c r="AC127" s="52">
        <f>IF('計算'!$C123="","",IF('計算'!$M123="","",'計算'!$BK123))</f>
        <v/>
      </c>
      <c r="AD127" s="53" t="n"/>
      <c r="AE127" s="48" t="n"/>
      <c r="AF127" s="54">
        <f>IF('計算'!$C123="","",'計算'!$C123)</f>
        <v/>
      </c>
      <c r="AG127" s="54">
        <f>IF('計算'!$C123="","",'計算'!$F123)</f>
        <v/>
      </c>
    </row>
    <row r="128" ht="18" customHeight="1">
      <c r="B128" s="42">
        <f>IF('計算'!$C124="","",'計算'!$B124)</f>
        <v/>
      </c>
      <c r="C128" s="43">
        <f>IF('計算'!$C124="","",'計算'!$D124)</f>
        <v/>
      </c>
      <c r="D128" s="44">
        <f>IF('計算'!$C124="","",'計算'!$O124)</f>
        <v/>
      </c>
      <c r="E128" s="45">
        <f>IF('計算'!$C124="","",'計算'!$L124)</f>
        <v/>
      </c>
      <c r="F128" s="46">
        <f>IF('計算'!$C124="","",'計算'!$CD124)</f>
        <v/>
      </c>
      <c r="G128" s="47">
        <f>IF('計算'!$C124="","",'計算'!$CA124)</f>
        <v/>
      </c>
      <c r="H128" s="43">
        <f>IF('計算'!$C124="","",'計算'!$CP124)</f>
        <v/>
      </c>
      <c r="I128" s="48" t="n"/>
      <c r="J128" s="49" t="n"/>
      <c r="K128" s="50">
        <f>IF('計算'!$C124="","",'計算'!$CR124)</f>
        <v/>
      </c>
      <c r="L128" s="51">
        <f>IF('計算'!$C124="","",'計算'!$CF124)</f>
        <v/>
      </c>
      <c r="M128" s="48" t="n"/>
      <c r="N128" s="49" t="n"/>
      <c r="O128" s="43">
        <f>IF('計算'!$C124="","",'計算'!$CQ124)</f>
        <v/>
      </c>
      <c r="P128" s="52">
        <f>IF('計算'!$C124="","",IF('計算'!$M124="","",'計算'!$AX124))</f>
        <v/>
      </c>
      <c r="Q128" s="52">
        <f>IF('計算'!$C124="","",IF('計算'!$M124="","",'計算'!$AY124))</f>
        <v/>
      </c>
      <c r="R128" s="52">
        <f>IF('計算'!$C124="","",IF('計算'!$M124="","",'計算'!$AZ124))</f>
        <v/>
      </c>
      <c r="S128" s="52">
        <f>IF('計算'!$C124="","",IF('計算'!$M124="","",'計算'!$BA124))</f>
        <v/>
      </c>
      <c r="T128" s="52">
        <f>IF('計算'!$C124="","",IF('計算'!$M124="","",'計算'!$BB124))</f>
        <v/>
      </c>
      <c r="U128" s="52">
        <f>IF('計算'!$C124="","",IF('計算'!$M124="","",'計算'!$BC124))</f>
        <v/>
      </c>
      <c r="V128" s="52">
        <f>IF('計算'!$C124="","",IF('計算'!$M124="","",'計算'!$BD124))</f>
        <v/>
      </c>
      <c r="W128" s="52">
        <f>IF('計算'!$C124="","",IF('計算'!$M124="","",'計算'!$BE124))</f>
        <v/>
      </c>
      <c r="X128" s="52">
        <f>IF('計算'!$C124="","",IF('計算'!$M124="","",'計算'!$BF124))</f>
        <v/>
      </c>
      <c r="Y128" s="52">
        <f>IF('計算'!$C124="","",IF('計算'!$M124="","",'計算'!$BG124))</f>
        <v/>
      </c>
      <c r="Z128" s="52">
        <f>IF('計算'!$C124="","",IF('計算'!$M124="","",'計算'!$BH124))</f>
        <v/>
      </c>
      <c r="AA128" s="52">
        <f>IF('計算'!$C124="","",IF('計算'!$M124="","",'計算'!$BI124))</f>
        <v/>
      </c>
      <c r="AB128" s="52">
        <f>IF('計算'!$C124="","",IF('計算'!$M124="","",'計算'!$BJ124))</f>
        <v/>
      </c>
      <c r="AC128" s="52">
        <f>IF('計算'!$C124="","",IF('計算'!$M124="","",'計算'!$BK124))</f>
        <v/>
      </c>
      <c r="AD128" s="53" t="n"/>
      <c r="AE128" s="48" t="n"/>
      <c r="AF128" s="54">
        <f>IF('計算'!$C124="","",'計算'!$C124)</f>
        <v/>
      </c>
      <c r="AG128" s="54">
        <f>IF('計算'!$C124="","",'計算'!$F124)</f>
        <v/>
      </c>
    </row>
    <row r="129" ht="18" customHeight="1">
      <c r="B129" s="42">
        <f>IF('計算'!$C125="","",'計算'!$B125)</f>
        <v/>
      </c>
      <c r="C129" s="43">
        <f>IF('計算'!$C125="","",'計算'!$D125)</f>
        <v/>
      </c>
      <c r="D129" s="44">
        <f>IF('計算'!$C125="","",'計算'!$O125)</f>
        <v/>
      </c>
      <c r="E129" s="45">
        <f>IF('計算'!$C125="","",'計算'!$L125)</f>
        <v/>
      </c>
      <c r="F129" s="46">
        <f>IF('計算'!$C125="","",'計算'!$CD125)</f>
        <v/>
      </c>
      <c r="G129" s="47">
        <f>IF('計算'!$C125="","",'計算'!$CA125)</f>
        <v/>
      </c>
      <c r="H129" s="43">
        <f>IF('計算'!$C125="","",'計算'!$CP125)</f>
        <v/>
      </c>
      <c r="I129" s="48" t="n"/>
      <c r="J129" s="49" t="n"/>
      <c r="K129" s="50">
        <f>IF('計算'!$C125="","",'計算'!$CR125)</f>
        <v/>
      </c>
      <c r="L129" s="51">
        <f>IF('計算'!$C125="","",'計算'!$CF125)</f>
        <v/>
      </c>
      <c r="M129" s="48" t="n"/>
      <c r="N129" s="49" t="n"/>
      <c r="O129" s="43">
        <f>IF('計算'!$C125="","",'計算'!$CQ125)</f>
        <v/>
      </c>
      <c r="P129" s="52">
        <f>IF('計算'!$C125="","",IF('計算'!$M125="","",'計算'!$AX125))</f>
        <v/>
      </c>
      <c r="Q129" s="52">
        <f>IF('計算'!$C125="","",IF('計算'!$M125="","",'計算'!$AY125))</f>
        <v/>
      </c>
      <c r="R129" s="52">
        <f>IF('計算'!$C125="","",IF('計算'!$M125="","",'計算'!$AZ125))</f>
        <v/>
      </c>
      <c r="S129" s="52">
        <f>IF('計算'!$C125="","",IF('計算'!$M125="","",'計算'!$BA125))</f>
        <v/>
      </c>
      <c r="T129" s="52">
        <f>IF('計算'!$C125="","",IF('計算'!$M125="","",'計算'!$BB125))</f>
        <v/>
      </c>
      <c r="U129" s="52">
        <f>IF('計算'!$C125="","",IF('計算'!$M125="","",'計算'!$BC125))</f>
        <v/>
      </c>
      <c r="V129" s="52">
        <f>IF('計算'!$C125="","",IF('計算'!$M125="","",'計算'!$BD125))</f>
        <v/>
      </c>
      <c r="W129" s="52">
        <f>IF('計算'!$C125="","",IF('計算'!$M125="","",'計算'!$BE125))</f>
        <v/>
      </c>
      <c r="X129" s="52">
        <f>IF('計算'!$C125="","",IF('計算'!$M125="","",'計算'!$BF125))</f>
        <v/>
      </c>
      <c r="Y129" s="52">
        <f>IF('計算'!$C125="","",IF('計算'!$M125="","",'計算'!$BG125))</f>
        <v/>
      </c>
      <c r="Z129" s="52">
        <f>IF('計算'!$C125="","",IF('計算'!$M125="","",'計算'!$BH125))</f>
        <v/>
      </c>
      <c r="AA129" s="52">
        <f>IF('計算'!$C125="","",IF('計算'!$M125="","",'計算'!$BI125))</f>
        <v/>
      </c>
      <c r="AB129" s="52">
        <f>IF('計算'!$C125="","",IF('計算'!$M125="","",'計算'!$BJ125))</f>
        <v/>
      </c>
      <c r="AC129" s="52">
        <f>IF('計算'!$C125="","",IF('計算'!$M125="","",'計算'!$BK125))</f>
        <v/>
      </c>
      <c r="AD129" s="53" t="n"/>
      <c r="AE129" s="48" t="n"/>
      <c r="AF129" s="54">
        <f>IF('計算'!$C125="","",'計算'!$C125)</f>
        <v/>
      </c>
      <c r="AG129" s="54">
        <f>IF('計算'!$C125="","",'計算'!$F125)</f>
        <v/>
      </c>
    </row>
    <row r="130" ht="18" customHeight="1">
      <c r="B130" s="42">
        <f>IF('計算'!$C126="","",'計算'!$B126)</f>
        <v/>
      </c>
      <c r="C130" s="43">
        <f>IF('計算'!$C126="","",'計算'!$D126)</f>
        <v/>
      </c>
      <c r="D130" s="44">
        <f>IF('計算'!$C126="","",'計算'!$O126)</f>
        <v/>
      </c>
      <c r="E130" s="45">
        <f>IF('計算'!$C126="","",'計算'!$L126)</f>
        <v/>
      </c>
      <c r="F130" s="46">
        <f>IF('計算'!$C126="","",'計算'!$CD126)</f>
        <v/>
      </c>
      <c r="G130" s="47">
        <f>IF('計算'!$C126="","",'計算'!$CA126)</f>
        <v/>
      </c>
      <c r="H130" s="43">
        <f>IF('計算'!$C126="","",'計算'!$CP126)</f>
        <v/>
      </c>
      <c r="I130" s="48" t="n"/>
      <c r="J130" s="49" t="n"/>
      <c r="K130" s="50">
        <f>IF('計算'!$C126="","",'計算'!$CR126)</f>
        <v/>
      </c>
      <c r="L130" s="51">
        <f>IF('計算'!$C126="","",'計算'!$CF126)</f>
        <v/>
      </c>
      <c r="M130" s="48" t="n"/>
      <c r="N130" s="49" t="n"/>
      <c r="O130" s="43">
        <f>IF('計算'!$C126="","",'計算'!$CQ126)</f>
        <v/>
      </c>
      <c r="P130" s="52">
        <f>IF('計算'!$C126="","",IF('計算'!$M126="","",'計算'!$AX126))</f>
        <v/>
      </c>
      <c r="Q130" s="52">
        <f>IF('計算'!$C126="","",IF('計算'!$M126="","",'計算'!$AY126))</f>
        <v/>
      </c>
      <c r="R130" s="52">
        <f>IF('計算'!$C126="","",IF('計算'!$M126="","",'計算'!$AZ126))</f>
        <v/>
      </c>
      <c r="S130" s="52">
        <f>IF('計算'!$C126="","",IF('計算'!$M126="","",'計算'!$BA126))</f>
        <v/>
      </c>
      <c r="T130" s="52">
        <f>IF('計算'!$C126="","",IF('計算'!$M126="","",'計算'!$BB126))</f>
        <v/>
      </c>
      <c r="U130" s="52">
        <f>IF('計算'!$C126="","",IF('計算'!$M126="","",'計算'!$BC126))</f>
        <v/>
      </c>
      <c r="V130" s="52">
        <f>IF('計算'!$C126="","",IF('計算'!$M126="","",'計算'!$BD126))</f>
        <v/>
      </c>
      <c r="W130" s="52">
        <f>IF('計算'!$C126="","",IF('計算'!$M126="","",'計算'!$BE126))</f>
        <v/>
      </c>
      <c r="X130" s="52">
        <f>IF('計算'!$C126="","",IF('計算'!$M126="","",'計算'!$BF126))</f>
        <v/>
      </c>
      <c r="Y130" s="52">
        <f>IF('計算'!$C126="","",IF('計算'!$M126="","",'計算'!$BG126))</f>
        <v/>
      </c>
      <c r="Z130" s="52">
        <f>IF('計算'!$C126="","",IF('計算'!$M126="","",'計算'!$BH126))</f>
        <v/>
      </c>
      <c r="AA130" s="52">
        <f>IF('計算'!$C126="","",IF('計算'!$M126="","",'計算'!$BI126))</f>
        <v/>
      </c>
      <c r="AB130" s="52">
        <f>IF('計算'!$C126="","",IF('計算'!$M126="","",'計算'!$BJ126))</f>
        <v/>
      </c>
      <c r="AC130" s="52">
        <f>IF('計算'!$C126="","",IF('計算'!$M126="","",'計算'!$BK126))</f>
        <v/>
      </c>
      <c r="AD130" s="53" t="n"/>
      <c r="AE130" s="48" t="n"/>
      <c r="AF130" s="54">
        <f>IF('計算'!$C126="","",'計算'!$C126)</f>
        <v/>
      </c>
      <c r="AG130" s="54">
        <f>IF('計算'!$C126="","",'計算'!$F126)</f>
        <v/>
      </c>
    </row>
    <row r="131" ht="18" customHeight="1">
      <c r="B131" s="42">
        <f>IF('計算'!$C127="","",'計算'!$B127)</f>
        <v/>
      </c>
      <c r="C131" s="43">
        <f>IF('計算'!$C127="","",'計算'!$D127)</f>
        <v/>
      </c>
      <c r="D131" s="44">
        <f>IF('計算'!$C127="","",'計算'!$O127)</f>
        <v/>
      </c>
      <c r="E131" s="45">
        <f>IF('計算'!$C127="","",'計算'!$L127)</f>
        <v/>
      </c>
      <c r="F131" s="46">
        <f>IF('計算'!$C127="","",'計算'!$CD127)</f>
        <v/>
      </c>
      <c r="G131" s="47">
        <f>IF('計算'!$C127="","",'計算'!$CA127)</f>
        <v/>
      </c>
      <c r="H131" s="43">
        <f>IF('計算'!$C127="","",'計算'!$CP127)</f>
        <v/>
      </c>
      <c r="I131" s="48" t="n"/>
      <c r="J131" s="49" t="n"/>
      <c r="K131" s="50">
        <f>IF('計算'!$C127="","",'計算'!$CR127)</f>
        <v/>
      </c>
      <c r="L131" s="51">
        <f>IF('計算'!$C127="","",'計算'!$CF127)</f>
        <v/>
      </c>
      <c r="M131" s="48" t="n"/>
      <c r="N131" s="49" t="n"/>
      <c r="O131" s="43">
        <f>IF('計算'!$C127="","",'計算'!$CQ127)</f>
        <v/>
      </c>
      <c r="P131" s="52">
        <f>IF('計算'!$C127="","",IF('計算'!$M127="","",'計算'!$AX127))</f>
        <v/>
      </c>
      <c r="Q131" s="52">
        <f>IF('計算'!$C127="","",IF('計算'!$M127="","",'計算'!$AY127))</f>
        <v/>
      </c>
      <c r="R131" s="52">
        <f>IF('計算'!$C127="","",IF('計算'!$M127="","",'計算'!$AZ127))</f>
        <v/>
      </c>
      <c r="S131" s="52">
        <f>IF('計算'!$C127="","",IF('計算'!$M127="","",'計算'!$BA127))</f>
        <v/>
      </c>
      <c r="T131" s="52">
        <f>IF('計算'!$C127="","",IF('計算'!$M127="","",'計算'!$BB127))</f>
        <v/>
      </c>
      <c r="U131" s="52">
        <f>IF('計算'!$C127="","",IF('計算'!$M127="","",'計算'!$BC127))</f>
        <v/>
      </c>
      <c r="V131" s="52">
        <f>IF('計算'!$C127="","",IF('計算'!$M127="","",'計算'!$BD127))</f>
        <v/>
      </c>
      <c r="W131" s="52">
        <f>IF('計算'!$C127="","",IF('計算'!$M127="","",'計算'!$BE127))</f>
        <v/>
      </c>
      <c r="X131" s="52">
        <f>IF('計算'!$C127="","",IF('計算'!$M127="","",'計算'!$BF127))</f>
        <v/>
      </c>
      <c r="Y131" s="52">
        <f>IF('計算'!$C127="","",IF('計算'!$M127="","",'計算'!$BG127))</f>
        <v/>
      </c>
      <c r="Z131" s="52">
        <f>IF('計算'!$C127="","",IF('計算'!$M127="","",'計算'!$BH127))</f>
        <v/>
      </c>
      <c r="AA131" s="52">
        <f>IF('計算'!$C127="","",IF('計算'!$M127="","",'計算'!$BI127))</f>
        <v/>
      </c>
      <c r="AB131" s="52">
        <f>IF('計算'!$C127="","",IF('計算'!$M127="","",'計算'!$BJ127))</f>
        <v/>
      </c>
      <c r="AC131" s="52">
        <f>IF('計算'!$C127="","",IF('計算'!$M127="","",'計算'!$BK127))</f>
        <v/>
      </c>
      <c r="AD131" s="53" t="n"/>
      <c r="AE131" s="48" t="n"/>
      <c r="AF131" s="54">
        <f>IF('計算'!$C127="","",'計算'!$C127)</f>
        <v/>
      </c>
      <c r="AG131" s="54">
        <f>IF('計算'!$C127="","",'計算'!$F127)</f>
        <v/>
      </c>
    </row>
    <row r="132" ht="18" customHeight="1">
      <c r="B132" s="42">
        <f>IF('計算'!$C128="","",'計算'!$B128)</f>
        <v/>
      </c>
      <c r="C132" s="43">
        <f>IF('計算'!$C128="","",'計算'!$D128)</f>
        <v/>
      </c>
      <c r="D132" s="44">
        <f>IF('計算'!$C128="","",'計算'!$O128)</f>
        <v/>
      </c>
      <c r="E132" s="45">
        <f>IF('計算'!$C128="","",'計算'!$L128)</f>
        <v/>
      </c>
      <c r="F132" s="46">
        <f>IF('計算'!$C128="","",'計算'!$CD128)</f>
        <v/>
      </c>
      <c r="G132" s="47">
        <f>IF('計算'!$C128="","",'計算'!$CA128)</f>
        <v/>
      </c>
      <c r="H132" s="43">
        <f>IF('計算'!$C128="","",'計算'!$CP128)</f>
        <v/>
      </c>
      <c r="I132" s="48" t="n"/>
      <c r="J132" s="49" t="n"/>
      <c r="K132" s="50">
        <f>IF('計算'!$C128="","",'計算'!$CR128)</f>
        <v/>
      </c>
      <c r="L132" s="51">
        <f>IF('計算'!$C128="","",'計算'!$CF128)</f>
        <v/>
      </c>
      <c r="M132" s="48" t="n"/>
      <c r="N132" s="49" t="n"/>
      <c r="O132" s="43">
        <f>IF('計算'!$C128="","",'計算'!$CQ128)</f>
        <v/>
      </c>
      <c r="P132" s="52">
        <f>IF('計算'!$C128="","",IF('計算'!$M128="","",'計算'!$AX128))</f>
        <v/>
      </c>
      <c r="Q132" s="52">
        <f>IF('計算'!$C128="","",IF('計算'!$M128="","",'計算'!$AY128))</f>
        <v/>
      </c>
      <c r="R132" s="52">
        <f>IF('計算'!$C128="","",IF('計算'!$M128="","",'計算'!$AZ128))</f>
        <v/>
      </c>
      <c r="S132" s="52">
        <f>IF('計算'!$C128="","",IF('計算'!$M128="","",'計算'!$BA128))</f>
        <v/>
      </c>
      <c r="T132" s="52">
        <f>IF('計算'!$C128="","",IF('計算'!$M128="","",'計算'!$BB128))</f>
        <v/>
      </c>
      <c r="U132" s="52">
        <f>IF('計算'!$C128="","",IF('計算'!$M128="","",'計算'!$BC128))</f>
        <v/>
      </c>
      <c r="V132" s="52">
        <f>IF('計算'!$C128="","",IF('計算'!$M128="","",'計算'!$BD128))</f>
        <v/>
      </c>
      <c r="W132" s="52">
        <f>IF('計算'!$C128="","",IF('計算'!$M128="","",'計算'!$BE128))</f>
        <v/>
      </c>
      <c r="X132" s="52">
        <f>IF('計算'!$C128="","",IF('計算'!$M128="","",'計算'!$BF128))</f>
        <v/>
      </c>
      <c r="Y132" s="52">
        <f>IF('計算'!$C128="","",IF('計算'!$M128="","",'計算'!$BG128))</f>
        <v/>
      </c>
      <c r="Z132" s="52">
        <f>IF('計算'!$C128="","",IF('計算'!$M128="","",'計算'!$BH128))</f>
        <v/>
      </c>
      <c r="AA132" s="52">
        <f>IF('計算'!$C128="","",IF('計算'!$M128="","",'計算'!$BI128))</f>
        <v/>
      </c>
      <c r="AB132" s="52">
        <f>IF('計算'!$C128="","",IF('計算'!$M128="","",'計算'!$BJ128))</f>
        <v/>
      </c>
      <c r="AC132" s="52">
        <f>IF('計算'!$C128="","",IF('計算'!$M128="","",'計算'!$BK128))</f>
        <v/>
      </c>
      <c r="AD132" s="53" t="n"/>
      <c r="AE132" s="48" t="n"/>
      <c r="AF132" s="54">
        <f>IF('計算'!$C128="","",'計算'!$C128)</f>
        <v/>
      </c>
      <c r="AG132" s="54">
        <f>IF('計算'!$C128="","",'計算'!$F128)</f>
        <v/>
      </c>
    </row>
    <row r="133" ht="18" customHeight="1">
      <c r="B133" s="42">
        <f>IF('計算'!$C129="","",'計算'!$B129)</f>
        <v/>
      </c>
      <c r="C133" s="43">
        <f>IF('計算'!$C129="","",'計算'!$D129)</f>
        <v/>
      </c>
      <c r="D133" s="44">
        <f>IF('計算'!$C129="","",'計算'!$O129)</f>
        <v/>
      </c>
      <c r="E133" s="45">
        <f>IF('計算'!$C129="","",'計算'!$L129)</f>
        <v/>
      </c>
      <c r="F133" s="46">
        <f>IF('計算'!$C129="","",'計算'!$CD129)</f>
        <v/>
      </c>
      <c r="G133" s="47">
        <f>IF('計算'!$C129="","",'計算'!$CA129)</f>
        <v/>
      </c>
      <c r="H133" s="43">
        <f>IF('計算'!$C129="","",'計算'!$CP129)</f>
        <v/>
      </c>
      <c r="I133" s="48" t="n"/>
      <c r="J133" s="49" t="n"/>
      <c r="K133" s="50">
        <f>IF('計算'!$C129="","",'計算'!$CR129)</f>
        <v/>
      </c>
      <c r="L133" s="51">
        <f>IF('計算'!$C129="","",'計算'!$CF129)</f>
        <v/>
      </c>
      <c r="M133" s="48" t="n"/>
      <c r="N133" s="49" t="n"/>
      <c r="O133" s="43">
        <f>IF('計算'!$C129="","",'計算'!$CQ129)</f>
        <v/>
      </c>
      <c r="P133" s="52">
        <f>IF('計算'!$C129="","",IF('計算'!$M129="","",'計算'!$AX129))</f>
        <v/>
      </c>
      <c r="Q133" s="52">
        <f>IF('計算'!$C129="","",IF('計算'!$M129="","",'計算'!$AY129))</f>
        <v/>
      </c>
      <c r="R133" s="52">
        <f>IF('計算'!$C129="","",IF('計算'!$M129="","",'計算'!$AZ129))</f>
        <v/>
      </c>
      <c r="S133" s="52">
        <f>IF('計算'!$C129="","",IF('計算'!$M129="","",'計算'!$BA129))</f>
        <v/>
      </c>
      <c r="T133" s="52">
        <f>IF('計算'!$C129="","",IF('計算'!$M129="","",'計算'!$BB129))</f>
        <v/>
      </c>
      <c r="U133" s="52">
        <f>IF('計算'!$C129="","",IF('計算'!$M129="","",'計算'!$BC129))</f>
        <v/>
      </c>
      <c r="V133" s="52">
        <f>IF('計算'!$C129="","",IF('計算'!$M129="","",'計算'!$BD129))</f>
        <v/>
      </c>
      <c r="W133" s="52">
        <f>IF('計算'!$C129="","",IF('計算'!$M129="","",'計算'!$BE129))</f>
        <v/>
      </c>
      <c r="X133" s="52">
        <f>IF('計算'!$C129="","",IF('計算'!$M129="","",'計算'!$BF129))</f>
        <v/>
      </c>
      <c r="Y133" s="52">
        <f>IF('計算'!$C129="","",IF('計算'!$M129="","",'計算'!$BG129))</f>
        <v/>
      </c>
      <c r="Z133" s="52">
        <f>IF('計算'!$C129="","",IF('計算'!$M129="","",'計算'!$BH129))</f>
        <v/>
      </c>
      <c r="AA133" s="52">
        <f>IF('計算'!$C129="","",IF('計算'!$M129="","",'計算'!$BI129))</f>
        <v/>
      </c>
      <c r="AB133" s="52">
        <f>IF('計算'!$C129="","",IF('計算'!$M129="","",'計算'!$BJ129))</f>
        <v/>
      </c>
      <c r="AC133" s="52">
        <f>IF('計算'!$C129="","",IF('計算'!$M129="","",'計算'!$BK129))</f>
        <v/>
      </c>
      <c r="AD133" s="53" t="n"/>
      <c r="AE133" s="48" t="n"/>
      <c r="AF133" s="54">
        <f>IF('計算'!$C129="","",'計算'!$C129)</f>
        <v/>
      </c>
      <c r="AG133" s="54">
        <f>IF('計算'!$C129="","",'計算'!$F129)</f>
        <v/>
      </c>
    </row>
    <row r="134" ht="18" customHeight="1">
      <c r="B134" s="42">
        <f>IF('計算'!$C130="","",'計算'!$B130)</f>
        <v/>
      </c>
      <c r="C134" s="43">
        <f>IF('計算'!$C130="","",'計算'!$D130)</f>
        <v/>
      </c>
      <c r="D134" s="44">
        <f>IF('計算'!$C130="","",'計算'!$O130)</f>
        <v/>
      </c>
      <c r="E134" s="45">
        <f>IF('計算'!$C130="","",'計算'!$L130)</f>
        <v/>
      </c>
      <c r="F134" s="46">
        <f>IF('計算'!$C130="","",'計算'!$CD130)</f>
        <v/>
      </c>
      <c r="G134" s="47">
        <f>IF('計算'!$C130="","",'計算'!$CA130)</f>
        <v/>
      </c>
      <c r="H134" s="43">
        <f>IF('計算'!$C130="","",'計算'!$CP130)</f>
        <v/>
      </c>
      <c r="I134" s="48" t="n"/>
      <c r="J134" s="49" t="n"/>
      <c r="K134" s="50">
        <f>IF('計算'!$C130="","",'計算'!$CR130)</f>
        <v/>
      </c>
      <c r="L134" s="51">
        <f>IF('計算'!$C130="","",'計算'!$CF130)</f>
        <v/>
      </c>
      <c r="M134" s="48" t="n"/>
      <c r="N134" s="49" t="n"/>
      <c r="O134" s="43">
        <f>IF('計算'!$C130="","",'計算'!$CQ130)</f>
        <v/>
      </c>
      <c r="P134" s="52">
        <f>IF('計算'!$C130="","",IF('計算'!$M130="","",'計算'!$AX130))</f>
        <v/>
      </c>
      <c r="Q134" s="52">
        <f>IF('計算'!$C130="","",IF('計算'!$M130="","",'計算'!$AY130))</f>
        <v/>
      </c>
      <c r="R134" s="52">
        <f>IF('計算'!$C130="","",IF('計算'!$M130="","",'計算'!$AZ130))</f>
        <v/>
      </c>
      <c r="S134" s="52">
        <f>IF('計算'!$C130="","",IF('計算'!$M130="","",'計算'!$BA130))</f>
        <v/>
      </c>
      <c r="T134" s="52">
        <f>IF('計算'!$C130="","",IF('計算'!$M130="","",'計算'!$BB130))</f>
        <v/>
      </c>
      <c r="U134" s="52">
        <f>IF('計算'!$C130="","",IF('計算'!$M130="","",'計算'!$BC130))</f>
        <v/>
      </c>
      <c r="V134" s="52">
        <f>IF('計算'!$C130="","",IF('計算'!$M130="","",'計算'!$BD130))</f>
        <v/>
      </c>
      <c r="W134" s="52">
        <f>IF('計算'!$C130="","",IF('計算'!$M130="","",'計算'!$BE130))</f>
        <v/>
      </c>
      <c r="X134" s="52">
        <f>IF('計算'!$C130="","",IF('計算'!$M130="","",'計算'!$BF130))</f>
        <v/>
      </c>
      <c r="Y134" s="52">
        <f>IF('計算'!$C130="","",IF('計算'!$M130="","",'計算'!$BG130))</f>
        <v/>
      </c>
      <c r="Z134" s="52">
        <f>IF('計算'!$C130="","",IF('計算'!$M130="","",'計算'!$BH130))</f>
        <v/>
      </c>
      <c r="AA134" s="52">
        <f>IF('計算'!$C130="","",IF('計算'!$M130="","",'計算'!$BI130))</f>
        <v/>
      </c>
      <c r="AB134" s="52">
        <f>IF('計算'!$C130="","",IF('計算'!$M130="","",'計算'!$BJ130))</f>
        <v/>
      </c>
      <c r="AC134" s="52">
        <f>IF('計算'!$C130="","",IF('計算'!$M130="","",'計算'!$BK130))</f>
        <v/>
      </c>
      <c r="AD134" s="53" t="n"/>
      <c r="AE134" s="48" t="n"/>
      <c r="AF134" s="54">
        <f>IF('計算'!$C130="","",'計算'!$C130)</f>
        <v/>
      </c>
      <c r="AG134" s="54">
        <f>IF('計算'!$C130="","",'計算'!$F130)</f>
        <v/>
      </c>
    </row>
    <row r="135" ht="18" customHeight="1">
      <c r="B135" s="42">
        <f>IF('計算'!$C131="","",'計算'!$B131)</f>
        <v/>
      </c>
      <c r="C135" s="43">
        <f>IF('計算'!$C131="","",'計算'!$D131)</f>
        <v/>
      </c>
      <c r="D135" s="44">
        <f>IF('計算'!$C131="","",'計算'!$O131)</f>
        <v/>
      </c>
      <c r="E135" s="45">
        <f>IF('計算'!$C131="","",'計算'!$L131)</f>
        <v/>
      </c>
      <c r="F135" s="46">
        <f>IF('計算'!$C131="","",'計算'!$CD131)</f>
        <v/>
      </c>
      <c r="G135" s="47">
        <f>IF('計算'!$C131="","",'計算'!$CA131)</f>
        <v/>
      </c>
      <c r="H135" s="43">
        <f>IF('計算'!$C131="","",'計算'!$CP131)</f>
        <v/>
      </c>
      <c r="I135" s="48" t="n"/>
      <c r="J135" s="49" t="n"/>
      <c r="K135" s="50">
        <f>IF('計算'!$C131="","",'計算'!$CR131)</f>
        <v/>
      </c>
      <c r="L135" s="51">
        <f>IF('計算'!$C131="","",'計算'!$CF131)</f>
        <v/>
      </c>
      <c r="M135" s="48" t="n"/>
      <c r="N135" s="49" t="n"/>
      <c r="O135" s="43">
        <f>IF('計算'!$C131="","",'計算'!$CQ131)</f>
        <v/>
      </c>
      <c r="P135" s="52">
        <f>IF('計算'!$C131="","",IF('計算'!$M131="","",'計算'!$AX131))</f>
        <v/>
      </c>
      <c r="Q135" s="52">
        <f>IF('計算'!$C131="","",IF('計算'!$M131="","",'計算'!$AY131))</f>
        <v/>
      </c>
      <c r="R135" s="52">
        <f>IF('計算'!$C131="","",IF('計算'!$M131="","",'計算'!$AZ131))</f>
        <v/>
      </c>
      <c r="S135" s="52">
        <f>IF('計算'!$C131="","",IF('計算'!$M131="","",'計算'!$BA131))</f>
        <v/>
      </c>
      <c r="T135" s="52">
        <f>IF('計算'!$C131="","",IF('計算'!$M131="","",'計算'!$BB131))</f>
        <v/>
      </c>
      <c r="U135" s="52">
        <f>IF('計算'!$C131="","",IF('計算'!$M131="","",'計算'!$BC131))</f>
        <v/>
      </c>
      <c r="V135" s="52">
        <f>IF('計算'!$C131="","",IF('計算'!$M131="","",'計算'!$BD131))</f>
        <v/>
      </c>
      <c r="W135" s="52">
        <f>IF('計算'!$C131="","",IF('計算'!$M131="","",'計算'!$BE131))</f>
        <v/>
      </c>
      <c r="X135" s="52">
        <f>IF('計算'!$C131="","",IF('計算'!$M131="","",'計算'!$BF131))</f>
        <v/>
      </c>
      <c r="Y135" s="52">
        <f>IF('計算'!$C131="","",IF('計算'!$M131="","",'計算'!$BG131))</f>
        <v/>
      </c>
      <c r="Z135" s="52">
        <f>IF('計算'!$C131="","",IF('計算'!$M131="","",'計算'!$BH131))</f>
        <v/>
      </c>
      <c r="AA135" s="52">
        <f>IF('計算'!$C131="","",IF('計算'!$M131="","",'計算'!$BI131))</f>
        <v/>
      </c>
      <c r="AB135" s="52">
        <f>IF('計算'!$C131="","",IF('計算'!$M131="","",'計算'!$BJ131))</f>
        <v/>
      </c>
      <c r="AC135" s="52">
        <f>IF('計算'!$C131="","",IF('計算'!$M131="","",'計算'!$BK131))</f>
        <v/>
      </c>
      <c r="AD135" s="53" t="n"/>
      <c r="AE135" s="48" t="n"/>
      <c r="AF135" s="54">
        <f>IF('計算'!$C131="","",'計算'!$C131)</f>
        <v/>
      </c>
      <c r="AG135" s="54">
        <f>IF('計算'!$C131="","",'計算'!$F131)</f>
        <v/>
      </c>
    </row>
    <row r="136" ht="18" customHeight="1">
      <c r="B136" s="42">
        <f>IF('計算'!$C132="","",'計算'!$B132)</f>
        <v/>
      </c>
      <c r="C136" s="43">
        <f>IF('計算'!$C132="","",'計算'!$D132)</f>
        <v/>
      </c>
      <c r="D136" s="44">
        <f>IF('計算'!$C132="","",'計算'!$O132)</f>
        <v/>
      </c>
      <c r="E136" s="45">
        <f>IF('計算'!$C132="","",'計算'!$L132)</f>
        <v/>
      </c>
      <c r="F136" s="46">
        <f>IF('計算'!$C132="","",'計算'!$CD132)</f>
        <v/>
      </c>
      <c r="G136" s="47">
        <f>IF('計算'!$C132="","",'計算'!$CA132)</f>
        <v/>
      </c>
      <c r="H136" s="43">
        <f>IF('計算'!$C132="","",'計算'!$CP132)</f>
        <v/>
      </c>
      <c r="I136" s="48" t="n"/>
      <c r="J136" s="49" t="n"/>
      <c r="K136" s="50">
        <f>IF('計算'!$C132="","",'計算'!$CR132)</f>
        <v/>
      </c>
      <c r="L136" s="51">
        <f>IF('計算'!$C132="","",'計算'!$CF132)</f>
        <v/>
      </c>
      <c r="M136" s="48" t="n"/>
      <c r="N136" s="49" t="n"/>
      <c r="O136" s="43">
        <f>IF('計算'!$C132="","",'計算'!$CQ132)</f>
        <v/>
      </c>
      <c r="P136" s="52">
        <f>IF('計算'!$C132="","",IF('計算'!$M132="","",'計算'!$AX132))</f>
        <v/>
      </c>
      <c r="Q136" s="52">
        <f>IF('計算'!$C132="","",IF('計算'!$M132="","",'計算'!$AY132))</f>
        <v/>
      </c>
      <c r="R136" s="52">
        <f>IF('計算'!$C132="","",IF('計算'!$M132="","",'計算'!$AZ132))</f>
        <v/>
      </c>
      <c r="S136" s="52">
        <f>IF('計算'!$C132="","",IF('計算'!$M132="","",'計算'!$BA132))</f>
        <v/>
      </c>
      <c r="T136" s="52">
        <f>IF('計算'!$C132="","",IF('計算'!$M132="","",'計算'!$BB132))</f>
        <v/>
      </c>
      <c r="U136" s="52">
        <f>IF('計算'!$C132="","",IF('計算'!$M132="","",'計算'!$BC132))</f>
        <v/>
      </c>
      <c r="V136" s="52">
        <f>IF('計算'!$C132="","",IF('計算'!$M132="","",'計算'!$BD132))</f>
        <v/>
      </c>
      <c r="W136" s="52">
        <f>IF('計算'!$C132="","",IF('計算'!$M132="","",'計算'!$BE132))</f>
        <v/>
      </c>
      <c r="X136" s="52">
        <f>IF('計算'!$C132="","",IF('計算'!$M132="","",'計算'!$BF132))</f>
        <v/>
      </c>
      <c r="Y136" s="52">
        <f>IF('計算'!$C132="","",IF('計算'!$M132="","",'計算'!$BG132))</f>
        <v/>
      </c>
      <c r="Z136" s="52">
        <f>IF('計算'!$C132="","",IF('計算'!$M132="","",'計算'!$BH132))</f>
        <v/>
      </c>
      <c r="AA136" s="52">
        <f>IF('計算'!$C132="","",IF('計算'!$M132="","",'計算'!$BI132))</f>
        <v/>
      </c>
      <c r="AB136" s="52">
        <f>IF('計算'!$C132="","",IF('計算'!$M132="","",'計算'!$BJ132))</f>
        <v/>
      </c>
      <c r="AC136" s="52">
        <f>IF('計算'!$C132="","",IF('計算'!$M132="","",'計算'!$BK132))</f>
        <v/>
      </c>
      <c r="AD136" s="53" t="n"/>
      <c r="AE136" s="48" t="n"/>
      <c r="AF136" s="54">
        <f>IF('計算'!$C132="","",'計算'!$C132)</f>
        <v/>
      </c>
      <c r="AG136" s="54">
        <f>IF('計算'!$C132="","",'計算'!$F132)</f>
        <v/>
      </c>
    </row>
    <row r="137" ht="18" customHeight="1">
      <c r="B137" s="42">
        <f>IF('計算'!$C133="","",'計算'!$B133)</f>
        <v/>
      </c>
      <c r="C137" s="43">
        <f>IF('計算'!$C133="","",'計算'!$D133)</f>
        <v/>
      </c>
      <c r="D137" s="44">
        <f>IF('計算'!$C133="","",'計算'!$O133)</f>
        <v/>
      </c>
      <c r="E137" s="45">
        <f>IF('計算'!$C133="","",'計算'!$L133)</f>
        <v/>
      </c>
      <c r="F137" s="46">
        <f>IF('計算'!$C133="","",'計算'!$CD133)</f>
        <v/>
      </c>
      <c r="G137" s="47">
        <f>IF('計算'!$C133="","",'計算'!$CA133)</f>
        <v/>
      </c>
      <c r="H137" s="43">
        <f>IF('計算'!$C133="","",'計算'!$CP133)</f>
        <v/>
      </c>
      <c r="I137" s="48" t="n"/>
      <c r="J137" s="49" t="n"/>
      <c r="K137" s="50">
        <f>IF('計算'!$C133="","",'計算'!$CR133)</f>
        <v/>
      </c>
      <c r="L137" s="51">
        <f>IF('計算'!$C133="","",'計算'!$CF133)</f>
        <v/>
      </c>
      <c r="M137" s="48" t="n"/>
      <c r="N137" s="49" t="n"/>
      <c r="O137" s="43">
        <f>IF('計算'!$C133="","",'計算'!$CQ133)</f>
        <v/>
      </c>
      <c r="P137" s="52">
        <f>IF('計算'!$C133="","",IF('計算'!$M133="","",'計算'!$AX133))</f>
        <v/>
      </c>
      <c r="Q137" s="52">
        <f>IF('計算'!$C133="","",IF('計算'!$M133="","",'計算'!$AY133))</f>
        <v/>
      </c>
      <c r="R137" s="52">
        <f>IF('計算'!$C133="","",IF('計算'!$M133="","",'計算'!$AZ133))</f>
        <v/>
      </c>
      <c r="S137" s="52">
        <f>IF('計算'!$C133="","",IF('計算'!$M133="","",'計算'!$BA133))</f>
        <v/>
      </c>
      <c r="T137" s="52">
        <f>IF('計算'!$C133="","",IF('計算'!$M133="","",'計算'!$BB133))</f>
        <v/>
      </c>
      <c r="U137" s="52">
        <f>IF('計算'!$C133="","",IF('計算'!$M133="","",'計算'!$BC133))</f>
        <v/>
      </c>
      <c r="V137" s="52">
        <f>IF('計算'!$C133="","",IF('計算'!$M133="","",'計算'!$BD133))</f>
        <v/>
      </c>
      <c r="W137" s="52">
        <f>IF('計算'!$C133="","",IF('計算'!$M133="","",'計算'!$BE133))</f>
        <v/>
      </c>
      <c r="X137" s="52">
        <f>IF('計算'!$C133="","",IF('計算'!$M133="","",'計算'!$BF133))</f>
        <v/>
      </c>
      <c r="Y137" s="52">
        <f>IF('計算'!$C133="","",IF('計算'!$M133="","",'計算'!$BG133))</f>
        <v/>
      </c>
      <c r="Z137" s="52">
        <f>IF('計算'!$C133="","",IF('計算'!$M133="","",'計算'!$BH133))</f>
        <v/>
      </c>
      <c r="AA137" s="52">
        <f>IF('計算'!$C133="","",IF('計算'!$M133="","",'計算'!$BI133))</f>
        <v/>
      </c>
      <c r="AB137" s="52">
        <f>IF('計算'!$C133="","",IF('計算'!$M133="","",'計算'!$BJ133))</f>
        <v/>
      </c>
      <c r="AC137" s="52">
        <f>IF('計算'!$C133="","",IF('計算'!$M133="","",'計算'!$BK133))</f>
        <v/>
      </c>
      <c r="AD137" s="53" t="n"/>
      <c r="AE137" s="48" t="n"/>
      <c r="AF137" s="54">
        <f>IF('計算'!$C133="","",'計算'!$C133)</f>
        <v/>
      </c>
      <c r="AG137" s="54">
        <f>IF('計算'!$C133="","",'計算'!$F133)</f>
        <v/>
      </c>
    </row>
    <row r="138" ht="18" customHeight="1">
      <c r="B138" s="42">
        <f>IF('計算'!$C134="","",'計算'!$B134)</f>
        <v/>
      </c>
      <c r="C138" s="43">
        <f>IF('計算'!$C134="","",'計算'!$D134)</f>
        <v/>
      </c>
      <c r="D138" s="44">
        <f>IF('計算'!$C134="","",'計算'!$O134)</f>
        <v/>
      </c>
      <c r="E138" s="45">
        <f>IF('計算'!$C134="","",'計算'!$L134)</f>
        <v/>
      </c>
      <c r="F138" s="46">
        <f>IF('計算'!$C134="","",'計算'!$CD134)</f>
        <v/>
      </c>
      <c r="G138" s="47">
        <f>IF('計算'!$C134="","",'計算'!$CA134)</f>
        <v/>
      </c>
      <c r="H138" s="43">
        <f>IF('計算'!$C134="","",'計算'!$CP134)</f>
        <v/>
      </c>
      <c r="I138" s="48" t="n"/>
      <c r="J138" s="49" t="n"/>
      <c r="K138" s="50">
        <f>IF('計算'!$C134="","",'計算'!$CR134)</f>
        <v/>
      </c>
      <c r="L138" s="51">
        <f>IF('計算'!$C134="","",'計算'!$CF134)</f>
        <v/>
      </c>
      <c r="M138" s="48" t="n"/>
      <c r="N138" s="49" t="n"/>
      <c r="O138" s="43">
        <f>IF('計算'!$C134="","",'計算'!$CQ134)</f>
        <v/>
      </c>
      <c r="P138" s="52">
        <f>IF('計算'!$C134="","",IF('計算'!$M134="","",'計算'!$AX134))</f>
        <v/>
      </c>
      <c r="Q138" s="52">
        <f>IF('計算'!$C134="","",IF('計算'!$M134="","",'計算'!$AY134))</f>
        <v/>
      </c>
      <c r="R138" s="52">
        <f>IF('計算'!$C134="","",IF('計算'!$M134="","",'計算'!$AZ134))</f>
        <v/>
      </c>
      <c r="S138" s="52">
        <f>IF('計算'!$C134="","",IF('計算'!$M134="","",'計算'!$BA134))</f>
        <v/>
      </c>
      <c r="T138" s="52">
        <f>IF('計算'!$C134="","",IF('計算'!$M134="","",'計算'!$BB134))</f>
        <v/>
      </c>
      <c r="U138" s="52">
        <f>IF('計算'!$C134="","",IF('計算'!$M134="","",'計算'!$BC134))</f>
        <v/>
      </c>
      <c r="V138" s="52">
        <f>IF('計算'!$C134="","",IF('計算'!$M134="","",'計算'!$BD134))</f>
        <v/>
      </c>
      <c r="W138" s="52">
        <f>IF('計算'!$C134="","",IF('計算'!$M134="","",'計算'!$BE134))</f>
        <v/>
      </c>
      <c r="X138" s="52">
        <f>IF('計算'!$C134="","",IF('計算'!$M134="","",'計算'!$BF134))</f>
        <v/>
      </c>
      <c r="Y138" s="52">
        <f>IF('計算'!$C134="","",IF('計算'!$M134="","",'計算'!$BG134))</f>
        <v/>
      </c>
      <c r="Z138" s="52">
        <f>IF('計算'!$C134="","",IF('計算'!$M134="","",'計算'!$BH134))</f>
        <v/>
      </c>
      <c r="AA138" s="52">
        <f>IF('計算'!$C134="","",IF('計算'!$M134="","",'計算'!$BI134))</f>
        <v/>
      </c>
      <c r="AB138" s="52">
        <f>IF('計算'!$C134="","",IF('計算'!$M134="","",'計算'!$BJ134))</f>
        <v/>
      </c>
      <c r="AC138" s="52">
        <f>IF('計算'!$C134="","",IF('計算'!$M134="","",'計算'!$BK134))</f>
        <v/>
      </c>
      <c r="AD138" s="53" t="n"/>
      <c r="AE138" s="48" t="n"/>
      <c r="AF138" s="54">
        <f>IF('計算'!$C134="","",'計算'!$C134)</f>
        <v/>
      </c>
      <c r="AG138" s="54">
        <f>IF('計算'!$C134="","",'計算'!$F134)</f>
        <v/>
      </c>
    </row>
    <row r="139" ht="18" customHeight="1">
      <c r="B139" s="42">
        <f>IF('計算'!$C135="","",'計算'!$B135)</f>
        <v/>
      </c>
      <c r="C139" s="43">
        <f>IF('計算'!$C135="","",'計算'!$D135)</f>
        <v/>
      </c>
      <c r="D139" s="44">
        <f>IF('計算'!$C135="","",'計算'!$O135)</f>
        <v/>
      </c>
      <c r="E139" s="45">
        <f>IF('計算'!$C135="","",'計算'!$L135)</f>
        <v/>
      </c>
      <c r="F139" s="46">
        <f>IF('計算'!$C135="","",'計算'!$CD135)</f>
        <v/>
      </c>
      <c r="G139" s="47">
        <f>IF('計算'!$C135="","",'計算'!$CA135)</f>
        <v/>
      </c>
      <c r="H139" s="43">
        <f>IF('計算'!$C135="","",'計算'!$CP135)</f>
        <v/>
      </c>
      <c r="I139" s="48" t="n"/>
      <c r="J139" s="49" t="n"/>
      <c r="K139" s="50">
        <f>IF('計算'!$C135="","",'計算'!$CR135)</f>
        <v/>
      </c>
      <c r="L139" s="51">
        <f>IF('計算'!$C135="","",'計算'!$CF135)</f>
        <v/>
      </c>
      <c r="M139" s="48" t="n"/>
      <c r="N139" s="49" t="n"/>
      <c r="O139" s="43">
        <f>IF('計算'!$C135="","",'計算'!$CQ135)</f>
        <v/>
      </c>
      <c r="P139" s="52">
        <f>IF('計算'!$C135="","",IF('計算'!$M135="","",'計算'!$AX135))</f>
        <v/>
      </c>
      <c r="Q139" s="52">
        <f>IF('計算'!$C135="","",IF('計算'!$M135="","",'計算'!$AY135))</f>
        <v/>
      </c>
      <c r="R139" s="52">
        <f>IF('計算'!$C135="","",IF('計算'!$M135="","",'計算'!$AZ135))</f>
        <v/>
      </c>
      <c r="S139" s="52">
        <f>IF('計算'!$C135="","",IF('計算'!$M135="","",'計算'!$BA135))</f>
        <v/>
      </c>
      <c r="T139" s="52">
        <f>IF('計算'!$C135="","",IF('計算'!$M135="","",'計算'!$BB135))</f>
        <v/>
      </c>
      <c r="U139" s="52">
        <f>IF('計算'!$C135="","",IF('計算'!$M135="","",'計算'!$BC135))</f>
        <v/>
      </c>
      <c r="V139" s="52">
        <f>IF('計算'!$C135="","",IF('計算'!$M135="","",'計算'!$BD135))</f>
        <v/>
      </c>
      <c r="W139" s="52">
        <f>IF('計算'!$C135="","",IF('計算'!$M135="","",'計算'!$BE135))</f>
        <v/>
      </c>
      <c r="X139" s="52">
        <f>IF('計算'!$C135="","",IF('計算'!$M135="","",'計算'!$BF135))</f>
        <v/>
      </c>
      <c r="Y139" s="52">
        <f>IF('計算'!$C135="","",IF('計算'!$M135="","",'計算'!$BG135))</f>
        <v/>
      </c>
      <c r="Z139" s="52">
        <f>IF('計算'!$C135="","",IF('計算'!$M135="","",'計算'!$BH135))</f>
        <v/>
      </c>
      <c r="AA139" s="52">
        <f>IF('計算'!$C135="","",IF('計算'!$M135="","",'計算'!$BI135))</f>
        <v/>
      </c>
      <c r="AB139" s="52">
        <f>IF('計算'!$C135="","",IF('計算'!$M135="","",'計算'!$BJ135))</f>
        <v/>
      </c>
      <c r="AC139" s="52">
        <f>IF('計算'!$C135="","",IF('計算'!$M135="","",'計算'!$BK135))</f>
        <v/>
      </c>
      <c r="AD139" s="53" t="n"/>
      <c r="AE139" s="48" t="n"/>
      <c r="AF139" s="54">
        <f>IF('計算'!$C135="","",'計算'!$C135)</f>
        <v/>
      </c>
      <c r="AG139" s="54">
        <f>IF('計算'!$C135="","",'計算'!$F135)</f>
        <v/>
      </c>
    </row>
    <row r="140" ht="18" customHeight="1">
      <c r="B140" s="42">
        <f>IF('計算'!$C136="","",'計算'!$B136)</f>
        <v/>
      </c>
      <c r="C140" s="43">
        <f>IF('計算'!$C136="","",'計算'!$D136)</f>
        <v/>
      </c>
      <c r="D140" s="44">
        <f>IF('計算'!$C136="","",'計算'!$O136)</f>
        <v/>
      </c>
      <c r="E140" s="45">
        <f>IF('計算'!$C136="","",'計算'!$L136)</f>
        <v/>
      </c>
      <c r="F140" s="46">
        <f>IF('計算'!$C136="","",'計算'!$CD136)</f>
        <v/>
      </c>
      <c r="G140" s="47">
        <f>IF('計算'!$C136="","",'計算'!$CA136)</f>
        <v/>
      </c>
      <c r="H140" s="43">
        <f>IF('計算'!$C136="","",'計算'!$CP136)</f>
        <v/>
      </c>
      <c r="I140" s="48" t="n"/>
      <c r="J140" s="49" t="n"/>
      <c r="K140" s="50">
        <f>IF('計算'!$C136="","",'計算'!$CR136)</f>
        <v/>
      </c>
      <c r="L140" s="51">
        <f>IF('計算'!$C136="","",'計算'!$CF136)</f>
        <v/>
      </c>
      <c r="M140" s="48" t="n"/>
      <c r="N140" s="49" t="n"/>
      <c r="O140" s="43">
        <f>IF('計算'!$C136="","",'計算'!$CQ136)</f>
        <v/>
      </c>
      <c r="P140" s="52">
        <f>IF('計算'!$C136="","",IF('計算'!$M136="","",'計算'!$AX136))</f>
        <v/>
      </c>
      <c r="Q140" s="52">
        <f>IF('計算'!$C136="","",IF('計算'!$M136="","",'計算'!$AY136))</f>
        <v/>
      </c>
      <c r="R140" s="52">
        <f>IF('計算'!$C136="","",IF('計算'!$M136="","",'計算'!$AZ136))</f>
        <v/>
      </c>
      <c r="S140" s="52">
        <f>IF('計算'!$C136="","",IF('計算'!$M136="","",'計算'!$BA136))</f>
        <v/>
      </c>
      <c r="T140" s="52">
        <f>IF('計算'!$C136="","",IF('計算'!$M136="","",'計算'!$BB136))</f>
        <v/>
      </c>
      <c r="U140" s="52">
        <f>IF('計算'!$C136="","",IF('計算'!$M136="","",'計算'!$BC136))</f>
        <v/>
      </c>
      <c r="V140" s="52">
        <f>IF('計算'!$C136="","",IF('計算'!$M136="","",'計算'!$BD136))</f>
        <v/>
      </c>
      <c r="W140" s="52">
        <f>IF('計算'!$C136="","",IF('計算'!$M136="","",'計算'!$BE136))</f>
        <v/>
      </c>
      <c r="X140" s="52">
        <f>IF('計算'!$C136="","",IF('計算'!$M136="","",'計算'!$BF136))</f>
        <v/>
      </c>
      <c r="Y140" s="52">
        <f>IF('計算'!$C136="","",IF('計算'!$M136="","",'計算'!$BG136))</f>
        <v/>
      </c>
      <c r="Z140" s="52">
        <f>IF('計算'!$C136="","",IF('計算'!$M136="","",'計算'!$BH136))</f>
        <v/>
      </c>
      <c r="AA140" s="52">
        <f>IF('計算'!$C136="","",IF('計算'!$M136="","",'計算'!$BI136))</f>
        <v/>
      </c>
      <c r="AB140" s="52">
        <f>IF('計算'!$C136="","",IF('計算'!$M136="","",'計算'!$BJ136))</f>
        <v/>
      </c>
      <c r="AC140" s="52">
        <f>IF('計算'!$C136="","",IF('計算'!$M136="","",'計算'!$BK136))</f>
        <v/>
      </c>
      <c r="AD140" s="53" t="n"/>
      <c r="AE140" s="48" t="n"/>
      <c r="AF140" s="54">
        <f>IF('計算'!$C136="","",'計算'!$C136)</f>
        <v/>
      </c>
      <c r="AG140" s="54">
        <f>IF('計算'!$C136="","",'計算'!$F136)</f>
        <v/>
      </c>
    </row>
    <row r="141" ht="18" customHeight="1">
      <c r="B141" s="42">
        <f>IF('計算'!$C137="","",'計算'!$B137)</f>
        <v/>
      </c>
      <c r="C141" s="43">
        <f>IF('計算'!$C137="","",'計算'!$D137)</f>
        <v/>
      </c>
      <c r="D141" s="44">
        <f>IF('計算'!$C137="","",'計算'!$O137)</f>
        <v/>
      </c>
      <c r="E141" s="45">
        <f>IF('計算'!$C137="","",'計算'!$L137)</f>
        <v/>
      </c>
      <c r="F141" s="46">
        <f>IF('計算'!$C137="","",'計算'!$CD137)</f>
        <v/>
      </c>
      <c r="G141" s="47">
        <f>IF('計算'!$C137="","",'計算'!$CA137)</f>
        <v/>
      </c>
      <c r="H141" s="43">
        <f>IF('計算'!$C137="","",'計算'!$CP137)</f>
        <v/>
      </c>
      <c r="I141" s="48" t="n"/>
      <c r="J141" s="49" t="n"/>
      <c r="K141" s="50">
        <f>IF('計算'!$C137="","",'計算'!$CR137)</f>
        <v/>
      </c>
      <c r="L141" s="51">
        <f>IF('計算'!$C137="","",'計算'!$CF137)</f>
        <v/>
      </c>
      <c r="M141" s="48" t="n"/>
      <c r="N141" s="49" t="n"/>
      <c r="O141" s="43">
        <f>IF('計算'!$C137="","",'計算'!$CQ137)</f>
        <v/>
      </c>
      <c r="P141" s="52">
        <f>IF('計算'!$C137="","",IF('計算'!$M137="","",'計算'!$AX137))</f>
        <v/>
      </c>
      <c r="Q141" s="52">
        <f>IF('計算'!$C137="","",IF('計算'!$M137="","",'計算'!$AY137))</f>
        <v/>
      </c>
      <c r="R141" s="52">
        <f>IF('計算'!$C137="","",IF('計算'!$M137="","",'計算'!$AZ137))</f>
        <v/>
      </c>
      <c r="S141" s="52">
        <f>IF('計算'!$C137="","",IF('計算'!$M137="","",'計算'!$BA137))</f>
        <v/>
      </c>
      <c r="T141" s="52">
        <f>IF('計算'!$C137="","",IF('計算'!$M137="","",'計算'!$BB137))</f>
        <v/>
      </c>
      <c r="U141" s="52">
        <f>IF('計算'!$C137="","",IF('計算'!$M137="","",'計算'!$BC137))</f>
        <v/>
      </c>
      <c r="V141" s="52">
        <f>IF('計算'!$C137="","",IF('計算'!$M137="","",'計算'!$BD137))</f>
        <v/>
      </c>
      <c r="W141" s="52">
        <f>IF('計算'!$C137="","",IF('計算'!$M137="","",'計算'!$BE137))</f>
        <v/>
      </c>
      <c r="X141" s="52">
        <f>IF('計算'!$C137="","",IF('計算'!$M137="","",'計算'!$BF137))</f>
        <v/>
      </c>
      <c r="Y141" s="52">
        <f>IF('計算'!$C137="","",IF('計算'!$M137="","",'計算'!$BG137))</f>
        <v/>
      </c>
      <c r="Z141" s="52">
        <f>IF('計算'!$C137="","",IF('計算'!$M137="","",'計算'!$BH137))</f>
        <v/>
      </c>
      <c r="AA141" s="52">
        <f>IF('計算'!$C137="","",IF('計算'!$M137="","",'計算'!$BI137))</f>
        <v/>
      </c>
      <c r="AB141" s="52">
        <f>IF('計算'!$C137="","",IF('計算'!$M137="","",'計算'!$BJ137))</f>
        <v/>
      </c>
      <c r="AC141" s="52">
        <f>IF('計算'!$C137="","",IF('計算'!$M137="","",'計算'!$BK137))</f>
        <v/>
      </c>
      <c r="AD141" s="53" t="n"/>
      <c r="AE141" s="48" t="n"/>
      <c r="AF141" s="54">
        <f>IF('計算'!$C137="","",'計算'!$C137)</f>
        <v/>
      </c>
      <c r="AG141" s="54">
        <f>IF('計算'!$C137="","",'計算'!$F137)</f>
        <v/>
      </c>
    </row>
    <row r="142" ht="18" customHeight="1">
      <c r="B142" s="42">
        <f>IF('計算'!$C138="","",'計算'!$B138)</f>
        <v/>
      </c>
      <c r="C142" s="43">
        <f>IF('計算'!$C138="","",'計算'!$D138)</f>
        <v/>
      </c>
      <c r="D142" s="44">
        <f>IF('計算'!$C138="","",'計算'!$O138)</f>
        <v/>
      </c>
      <c r="E142" s="45">
        <f>IF('計算'!$C138="","",'計算'!$L138)</f>
        <v/>
      </c>
      <c r="F142" s="46">
        <f>IF('計算'!$C138="","",'計算'!$CD138)</f>
        <v/>
      </c>
      <c r="G142" s="47">
        <f>IF('計算'!$C138="","",'計算'!$CA138)</f>
        <v/>
      </c>
      <c r="H142" s="43">
        <f>IF('計算'!$C138="","",'計算'!$CP138)</f>
        <v/>
      </c>
      <c r="I142" s="48" t="n"/>
      <c r="J142" s="49" t="n"/>
      <c r="K142" s="50">
        <f>IF('計算'!$C138="","",'計算'!$CR138)</f>
        <v/>
      </c>
      <c r="L142" s="51">
        <f>IF('計算'!$C138="","",'計算'!$CF138)</f>
        <v/>
      </c>
      <c r="M142" s="48" t="n"/>
      <c r="N142" s="49" t="n"/>
      <c r="O142" s="43">
        <f>IF('計算'!$C138="","",'計算'!$CQ138)</f>
        <v/>
      </c>
      <c r="P142" s="52">
        <f>IF('計算'!$C138="","",IF('計算'!$M138="","",'計算'!$AX138))</f>
        <v/>
      </c>
      <c r="Q142" s="52">
        <f>IF('計算'!$C138="","",IF('計算'!$M138="","",'計算'!$AY138))</f>
        <v/>
      </c>
      <c r="R142" s="52">
        <f>IF('計算'!$C138="","",IF('計算'!$M138="","",'計算'!$AZ138))</f>
        <v/>
      </c>
      <c r="S142" s="52">
        <f>IF('計算'!$C138="","",IF('計算'!$M138="","",'計算'!$BA138))</f>
        <v/>
      </c>
      <c r="T142" s="52">
        <f>IF('計算'!$C138="","",IF('計算'!$M138="","",'計算'!$BB138))</f>
        <v/>
      </c>
      <c r="U142" s="52">
        <f>IF('計算'!$C138="","",IF('計算'!$M138="","",'計算'!$BC138))</f>
        <v/>
      </c>
      <c r="V142" s="52">
        <f>IF('計算'!$C138="","",IF('計算'!$M138="","",'計算'!$BD138))</f>
        <v/>
      </c>
      <c r="W142" s="52">
        <f>IF('計算'!$C138="","",IF('計算'!$M138="","",'計算'!$BE138))</f>
        <v/>
      </c>
      <c r="X142" s="52">
        <f>IF('計算'!$C138="","",IF('計算'!$M138="","",'計算'!$BF138))</f>
        <v/>
      </c>
      <c r="Y142" s="52">
        <f>IF('計算'!$C138="","",IF('計算'!$M138="","",'計算'!$BG138))</f>
        <v/>
      </c>
      <c r="Z142" s="52">
        <f>IF('計算'!$C138="","",IF('計算'!$M138="","",'計算'!$BH138))</f>
        <v/>
      </c>
      <c r="AA142" s="52">
        <f>IF('計算'!$C138="","",IF('計算'!$M138="","",'計算'!$BI138))</f>
        <v/>
      </c>
      <c r="AB142" s="52">
        <f>IF('計算'!$C138="","",IF('計算'!$M138="","",'計算'!$BJ138))</f>
        <v/>
      </c>
      <c r="AC142" s="52">
        <f>IF('計算'!$C138="","",IF('計算'!$M138="","",'計算'!$BK138))</f>
        <v/>
      </c>
      <c r="AD142" s="53" t="n"/>
      <c r="AE142" s="48" t="n"/>
      <c r="AF142" s="54">
        <f>IF('計算'!$C138="","",'計算'!$C138)</f>
        <v/>
      </c>
      <c r="AG142" s="54">
        <f>IF('計算'!$C138="","",'計算'!$F138)</f>
        <v/>
      </c>
    </row>
    <row r="143" ht="18" customHeight="1">
      <c r="B143" s="42">
        <f>IF('計算'!$C139="","",'計算'!$B139)</f>
        <v/>
      </c>
      <c r="C143" s="43">
        <f>IF('計算'!$C139="","",'計算'!$D139)</f>
        <v/>
      </c>
      <c r="D143" s="44">
        <f>IF('計算'!$C139="","",'計算'!$O139)</f>
        <v/>
      </c>
      <c r="E143" s="45">
        <f>IF('計算'!$C139="","",'計算'!$L139)</f>
        <v/>
      </c>
      <c r="F143" s="46">
        <f>IF('計算'!$C139="","",'計算'!$CD139)</f>
        <v/>
      </c>
      <c r="G143" s="47">
        <f>IF('計算'!$C139="","",'計算'!$CA139)</f>
        <v/>
      </c>
      <c r="H143" s="43">
        <f>IF('計算'!$C139="","",'計算'!$CP139)</f>
        <v/>
      </c>
      <c r="I143" s="48" t="n"/>
      <c r="J143" s="49" t="n"/>
      <c r="K143" s="50">
        <f>IF('計算'!$C139="","",'計算'!$CR139)</f>
        <v/>
      </c>
      <c r="L143" s="51">
        <f>IF('計算'!$C139="","",'計算'!$CF139)</f>
        <v/>
      </c>
      <c r="M143" s="48" t="n"/>
      <c r="N143" s="49" t="n"/>
      <c r="O143" s="43">
        <f>IF('計算'!$C139="","",'計算'!$CQ139)</f>
        <v/>
      </c>
      <c r="P143" s="52">
        <f>IF('計算'!$C139="","",IF('計算'!$M139="","",'計算'!$AX139))</f>
        <v/>
      </c>
      <c r="Q143" s="52">
        <f>IF('計算'!$C139="","",IF('計算'!$M139="","",'計算'!$AY139))</f>
        <v/>
      </c>
      <c r="R143" s="52">
        <f>IF('計算'!$C139="","",IF('計算'!$M139="","",'計算'!$AZ139))</f>
        <v/>
      </c>
      <c r="S143" s="52">
        <f>IF('計算'!$C139="","",IF('計算'!$M139="","",'計算'!$BA139))</f>
        <v/>
      </c>
      <c r="T143" s="52">
        <f>IF('計算'!$C139="","",IF('計算'!$M139="","",'計算'!$BB139))</f>
        <v/>
      </c>
      <c r="U143" s="52">
        <f>IF('計算'!$C139="","",IF('計算'!$M139="","",'計算'!$BC139))</f>
        <v/>
      </c>
      <c r="V143" s="52">
        <f>IF('計算'!$C139="","",IF('計算'!$M139="","",'計算'!$BD139))</f>
        <v/>
      </c>
      <c r="W143" s="52">
        <f>IF('計算'!$C139="","",IF('計算'!$M139="","",'計算'!$BE139))</f>
        <v/>
      </c>
      <c r="X143" s="52">
        <f>IF('計算'!$C139="","",IF('計算'!$M139="","",'計算'!$BF139))</f>
        <v/>
      </c>
      <c r="Y143" s="52">
        <f>IF('計算'!$C139="","",IF('計算'!$M139="","",'計算'!$BG139))</f>
        <v/>
      </c>
      <c r="Z143" s="52">
        <f>IF('計算'!$C139="","",IF('計算'!$M139="","",'計算'!$BH139))</f>
        <v/>
      </c>
      <c r="AA143" s="52">
        <f>IF('計算'!$C139="","",IF('計算'!$M139="","",'計算'!$BI139))</f>
        <v/>
      </c>
      <c r="AB143" s="52">
        <f>IF('計算'!$C139="","",IF('計算'!$M139="","",'計算'!$BJ139))</f>
        <v/>
      </c>
      <c r="AC143" s="52">
        <f>IF('計算'!$C139="","",IF('計算'!$M139="","",'計算'!$BK139))</f>
        <v/>
      </c>
      <c r="AD143" s="53" t="n"/>
      <c r="AE143" s="48" t="n"/>
      <c r="AF143" s="54">
        <f>IF('計算'!$C139="","",'計算'!$C139)</f>
        <v/>
      </c>
      <c r="AG143" s="54">
        <f>IF('計算'!$C139="","",'計算'!$F139)</f>
        <v/>
      </c>
    </row>
    <row r="144" ht="18" customHeight="1">
      <c r="B144" s="42">
        <f>IF('計算'!$C140="","",'計算'!$B140)</f>
        <v/>
      </c>
      <c r="C144" s="43">
        <f>IF('計算'!$C140="","",'計算'!$D140)</f>
        <v/>
      </c>
      <c r="D144" s="44">
        <f>IF('計算'!$C140="","",'計算'!$O140)</f>
        <v/>
      </c>
      <c r="E144" s="45">
        <f>IF('計算'!$C140="","",'計算'!$L140)</f>
        <v/>
      </c>
      <c r="F144" s="46">
        <f>IF('計算'!$C140="","",'計算'!$CD140)</f>
        <v/>
      </c>
      <c r="G144" s="47">
        <f>IF('計算'!$C140="","",'計算'!$CA140)</f>
        <v/>
      </c>
      <c r="H144" s="43">
        <f>IF('計算'!$C140="","",'計算'!$CP140)</f>
        <v/>
      </c>
      <c r="I144" s="48" t="n"/>
      <c r="J144" s="49" t="n"/>
      <c r="K144" s="50">
        <f>IF('計算'!$C140="","",'計算'!$CR140)</f>
        <v/>
      </c>
      <c r="L144" s="51">
        <f>IF('計算'!$C140="","",'計算'!$CF140)</f>
        <v/>
      </c>
      <c r="M144" s="48" t="n"/>
      <c r="N144" s="49" t="n"/>
      <c r="O144" s="43">
        <f>IF('計算'!$C140="","",'計算'!$CQ140)</f>
        <v/>
      </c>
      <c r="P144" s="52">
        <f>IF('計算'!$C140="","",IF('計算'!$M140="","",'計算'!$AX140))</f>
        <v/>
      </c>
      <c r="Q144" s="52">
        <f>IF('計算'!$C140="","",IF('計算'!$M140="","",'計算'!$AY140))</f>
        <v/>
      </c>
      <c r="R144" s="52">
        <f>IF('計算'!$C140="","",IF('計算'!$M140="","",'計算'!$AZ140))</f>
        <v/>
      </c>
      <c r="S144" s="52">
        <f>IF('計算'!$C140="","",IF('計算'!$M140="","",'計算'!$BA140))</f>
        <v/>
      </c>
      <c r="T144" s="52">
        <f>IF('計算'!$C140="","",IF('計算'!$M140="","",'計算'!$BB140))</f>
        <v/>
      </c>
      <c r="U144" s="52">
        <f>IF('計算'!$C140="","",IF('計算'!$M140="","",'計算'!$BC140))</f>
        <v/>
      </c>
      <c r="V144" s="52">
        <f>IF('計算'!$C140="","",IF('計算'!$M140="","",'計算'!$BD140))</f>
        <v/>
      </c>
      <c r="W144" s="52">
        <f>IF('計算'!$C140="","",IF('計算'!$M140="","",'計算'!$BE140))</f>
        <v/>
      </c>
      <c r="X144" s="52">
        <f>IF('計算'!$C140="","",IF('計算'!$M140="","",'計算'!$BF140))</f>
        <v/>
      </c>
      <c r="Y144" s="52">
        <f>IF('計算'!$C140="","",IF('計算'!$M140="","",'計算'!$BG140))</f>
        <v/>
      </c>
      <c r="Z144" s="52">
        <f>IF('計算'!$C140="","",IF('計算'!$M140="","",'計算'!$BH140))</f>
        <v/>
      </c>
      <c r="AA144" s="52">
        <f>IF('計算'!$C140="","",IF('計算'!$M140="","",'計算'!$BI140))</f>
        <v/>
      </c>
      <c r="AB144" s="52">
        <f>IF('計算'!$C140="","",IF('計算'!$M140="","",'計算'!$BJ140))</f>
        <v/>
      </c>
      <c r="AC144" s="52">
        <f>IF('計算'!$C140="","",IF('計算'!$M140="","",'計算'!$BK140))</f>
        <v/>
      </c>
      <c r="AD144" s="53" t="n"/>
      <c r="AE144" s="48" t="n"/>
      <c r="AF144" s="54">
        <f>IF('計算'!$C140="","",'計算'!$C140)</f>
        <v/>
      </c>
      <c r="AG144" s="54">
        <f>IF('計算'!$C140="","",'計算'!$F140)</f>
        <v/>
      </c>
    </row>
    <row r="145" ht="18" customHeight="1">
      <c r="B145" s="42">
        <f>IF('計算'!$C141="","",'計算'!$B141)</f>
        <v/>
      </c>
      <c r="C145" s="43">
        <f>IF('計算'!$C141="","",'計算'!$D141)</f>
        <v/>
      </c>
      <c r="D145" s="44">
        <f>IF('計算'!$C141="","",'計算'!$O141)</f>
        <v/>
      </c>
      <c r="E145" s="45">
        <f>IF('計算'!$C141="","",'計算'!$L141)</f>
        <v/>
      </c>
      <c r="F145" s="46">
        <f>IF('計算'!$C141="","",'計算'!$CD141)</f>
        <v/>
      </c>
      <c r="G145" s="47">
        <f>IF('計算'!$C141="","",'計算'!$CA141)</f>
        <v/>
      </c>
      <c r="H145" s="43">
        <f>IF('計算'!$C141="","",'計算'!$CP141)</f>
        <v/>
      </c>
      <c r="I145" s="48" t="n"/>
      <c r="J145" s="49" t="n"/>
      <c r="K145" s="50">
        <f>IF('計算'!$C141="","",'計算'!$CR141)</f>
        <v/>
      </c>
      <c r="L145" s="51">
        <f>IF('計算'!$C141="","",'計算'!$CF141)</f>
        <v/>
      </c>
      <c r="M145" s="48" t="n"/>
      <c r="N145" s="49" t="n"/>
      <c r="O145" s="43">
        <f>IF('計算'!$C141="","",'計算'!$CQ141)</f>
        <v/>
      </c>
      <c r="P145" s="52">
        <f>IF('計算'!$C141="","",IF('計算'!$M141="","",'計算'!$AX141))</f>
        <v/>
      </c>
      <c r="Q145" s="52">
        <f>IF('計算'!$C141="","",IF('計算'!$M141="","",'計算'!$AY141))</f>
        <v/>
      </c>
      <c r="R145" s="52">
        <f>IF('計算'!$C141="","",IF('計算'!$M141="","",'計算'!$AZ141))</f>
        <v/>
      </c>
      <c r="S145" s="52">
        <f>IF('計算'!$C141="","",IF('計算'!$M141="","",'計算'!$BA141))</f>
        <v/>
      </c>
      <c r="T145" s="52">
        <f>IF('計算'!$C141="","",IF('計算'!$M141="","",'計算'!$BB141))</f>
        <v/>
      </c>
      <c r="U145" s="52">
        <f>IF('計算'!$C141="","",IF('計算'!$M141="","",'計算'!$BC141))</f>
        <v/>
      </c>
      <c r="V145" s="52">
        <f>IF('計算'!$C141="","",IF('計算'!$M141="","",'計算'!$BD141))</f>
        <v/>
      </c>
      <c r="W145" s="52">
        <f>IF('計算'!$C141="","",IF('計算'!$M141="","",'計算'!$BE141))</f>
        <v/>
      </c>
      <c r="X145" s="52">
        <f>IF('計算'!$C141="","",IF('計算'!$M141="","",'計算'!$BF141))</f>
        <v/>
      </c>
      <c r="Y145" s="52">
        <f>IF('計算'!$C141="","",IF('計算'!$M141="","",'計算'!$BG141))</f>
        <v/>
      </c>
      <c r="Z145" s="52">
        <f>IF('計算'!$C141="","",IF('計算'!$M141="","",'計算'!$BH141))</f>
        <v/>
      </c>
      <c r="AA145" s="52">
        <f>IF('計算'!$C141="","",IF('計算'!$M141="","",'計算'!$BI141))</f>
        <v/>
      </c>
      <c r="AB145" s="52">
        <f>IF('計算'!$C141="","",IF('計算'!$M141="","",'計算'!$BJ141))</f>
        <v/>
      </c>
      <c r="AC145" s="52">
        <f>IF('計算'!$C141="","",IF('計算'!$M141="","",'計算'!$BK141))</f>
        <v/>
      </c>
      <c r="AD145" s="53" t="n"/>
      <c r="AE145" s="48" t="n"/>
      <c r="AF145" s="54">
        <f>IF('計算'!$C141="","",'計算'!$C141)</f>
        <v/>
      </c>
      <c r="AG145" s="54">
        <f>IF('計算'!$C141="","",'計算'!$F141)</f>
        <v/>
      </c>
    </row>
    <row r="146" ht="18" customHeight="1">
      <c r="B146" s="42">
        <f>IF('計算'!$C142="","",'計算'!$B142)</f>
        <v/>
      </c>
      <c r="C146" s="43">
        <f>IF('計算'!$C142="","",'計算'!$D142)</f>
        <v/>
      </c>
      <c r="D146" s="44">
        <f>IF('計算'!$C142="","",'計算'!$O142)</f>
        <v/>
      </c>
      <c r="E146" s="45">
        <f>IF('計算'!$C142="","",'計算'!$L142)</f>
        <v/>
      </c>
      <c r="F146" s="46">
        <f>IF('計算'!$C142="","",'計算'!$CD142)</f>
        <v/>
      </c>
      <c r="G146" s="47">
        <f>IF('計算'!$C142="","",'計算'!$CA142)</f>
        <v/>
      </c>
      <c r="H146" s="43">
        <f>IF('計算'!$C142="","",'計算'!$CP142)</f>
        <v/>
      </c>
      <c r="I146" s="48" t="n"/>
      <c r="J146" s="49" t="n"/>
      <c r="K146" s="50">
        <f>IF('計算'!$C142="","",'計算'!$CR142)</f>
        <v/>
      </c>
      <c r="L146" s="51">
        <f>IF('計算'!$C142="","",'計算'!$CF142)</f>
        <v/>
      </c>
      <c r="M146" s="48" t="n"/>
      <c r="N146" s="49" t="n"/>
      <c r="O146" s="43">
        <f>IF('計算'!$C142="","",'計算'!$CQ142)</f>
        <v/>
      </c>
      <c r="P146" s="52">
        <f>IF('計算'!$C142="","",IF('計算'!$M142="","",'計算'!$AX142))</f>
        <v/>
      </c>
      <c r="Q146" s="52">
        <f>IF('計算'!$C142="","",IF('計算'!$M142="","",'計算'!$AY142))</f>
        <v/>
      </c>
      <c r="R146" s="52">
        <f>IF('計算'!$C142="","",IF('計算'!$M142="","",'計算'!$AZ142))</f>
        <v/>
      </c>
      <c r="S146" s="52">
        <f>IF('計算'!$C142="","",IF('計算'!$M142="","",'計算'!$BA142))</f>
        <v/>
      </c>
      <c r="T146" s="52">
        <f>IF('計算'!$C142="","",IF('計算'!$M142="","",'計算'!$BB142))</f>
        <v/>
      </c>
      <c r="U146" s="52">
        <f>IF('計算'!$C142="","",IF('計算'!$M142="","",'計算'!$BC142))</f>
        <v/>
      </c>
      <c r="V146" s="52">
        <f>IF('計算'!$C142="","",IF('計算'!$M142="","",'計算'!$BD142))</f>
        <v/>
      </c>
      <c r="W146" s="52">
        <f>IF('計算'!$C142="","",IF('計算'!$M142="","",'計算'!$BE142))</f>
        <v/>
      </c>
      <c r="X146" s="52">
        <f>IF('計算'!$C142="","",IF('計算'!$M142="","",'計算'!$BF142))</f>
        <v/>
      </c>
      <c r="Y146" s="52">
        <f>IF('計算'!$C142="","",IF('計算'!$M142="","",'計算'!$BG142))</f>
        <v/>
      </c>
      <c r="Z146" s="52">
        <f>IF('計算'!$C142="","",IF('計算'!$M142="","",'計算'!$BH142))</f>
        <v/>
      </c>
      <c r="AA146" s="52">
        <f>IF('計算'!$C142="","",IF('計算'!$M142="","",'計算'!$BI142))</f>
        <v/>
      </c>
      <c r="AB146" s="52">
        <f>IF('計算'!$C142="","",IF('計算'!$M142="","",'計算'!$BJ142))</f>
        <v/>
      </c>
      <c r="AC146" s="52">
        <f>IF('計算'!$C142="","",IF('計算'!$M142="","",'計算'!$BK142))</f>
        <v/>
      </c>
      <c r="AD146" s="53" t="n"/>
      <c r="AE146" s="48" t="n"/>
      <c r="AF146" s="54">
        <f>IF('計算'!$C142="","",'計算'!$C142)</f>
        <v/>
      </c>
      <c r="AG146" s="54">
        <f>IF('計算'!$C142="","",'計算'!$F142)</f>
        <v/>
      </c>
    </row>
    <row r="147" ht="18" customHeight="1">
      <c r="B147" s="42">
        <f>IF('計算'!$C143="","",'計算'!$B143)</f>
        <v/>
      </c>
      <c r="C147" s="43">
        <f>IF('計算'!$C143="","",'計算'!$D143)</f>
        <v/>
      </c>
      <c r="D147" s="44">
        <f>IF('計算'!$C143="","",'計算'!$O143)</f>
        <v/>
      </c>
      <c r="E147" s="45">
        <f>IF('計算'!$C143="","",'計算'!$L143)</f>
        <v/>
      </c>
      <c r="F147" s="46">
        <f>IF('計算'!$C143="","",'計算'!$CD143)</f>
        <v/>
      </c>
      <c r="G147" s="47">
        <f>IF('計算'!$C143="","",'計算'!$CA143)</f>
        <v/>
      </c>
      <c r="H147" s="43">
        <f>IF('計算'!$C143="","",'計算'!$CP143)</f>
        <v/>
      </c>
      <c r="I147" s="48" t="n"/>
      <c r="J147" s="49" t="n"/>
      <c r="K147" s="50">
        <f>IF('計算'!$C143="","",'計算'!$CR143)</f>
        <v/>
      </c>
      <c r="L147" s="51">
        <f>IF('計算'!$C143="","",'計算'!$CF143)</f>
        <v/>
      </c>
      <c r="M147" s="48" t="n"/>
      <c r="N147" s="49" t="n"/>
      <c r="O147" s="43">
        <f>IF('計算'!$C143="","",'計算'!$CQ143)</f>
        <v/>
      </c>
      <c r="P147" s="52">
        <f>IF('計算'!$C143="","",IF('計算'!$M143="","",'計算'!$AX143))</f>
        <v/>
      </c>
      <c r="Q147" s="52">
        <f>IF('計算'!$C143="","",IF('計算'!$M143="","",'計算'!$AY143))</f>
        <v/>
      </c>
      <c r="R147" s="52">
        <f>IF('計算'!$C143="","",IF('計算'!$M143="","",'計算'!$AZ143))</f>
        <v/>
      </c>
      <c r="S147" s="52">
        <f>IF('計算'!$C143="","",IF('計算'!$M143="","",'計算'!$BA143))</f>
        <v/>
      </c>
      <c r="T147" s="52">
        <f>IF('計算'!$C143="","",IF('計算'!$M143="","",'計算'!$BB143))</f>
        <v/>
      </c>
      <c r="U147" s="52">
        <f>IF('計算'!$C143="","",IF('計算'!$M143="","",'計算'!$BC143))</f>
        <v/>
      </c>
      <c r="V147" s="52">
        <f>IF('計算'!$C143="","",IF('計算'!$M143="","",'計算'!$BD143))</f>
        <v/>
      </c>
      <c r="W147" s="52">
        <f>IF('計算'!$C143="","",IF('計算'!$M143="","",'計算'!$BE143))</f>
        <v/>
      </c>
      <c r="X147" s="52">
        <f>IF('計算'!$C143="","",IF('計算'!$M143="","",'計算'!$BF143))</f>
        <v/>
      </c>
      <c r="Y147" s="52">
        <f>IF('計算'!$C143="","",IF('計算'!$M143="","",'計算'!$BG143))</f>
        <v/>
      </c>
      <c r="Z147" s="52">
        <f>IF('計算'!$C143="","",IF('計算'!$M143="","",'計算'!$BH143))</f>
        <v/>
      </c>
      <c r="AA147" s="52">
        <f>IF('計算'!$C143="","",IF('計算'!$M143="","",'計算'!$BI143))</f>
        <v/>
      </c>
      <c r="AB147" s="52">
        <f>IF('計算'!$C143="","",IF('計算'!$M143="","",'計算'!$BJ143))</f>
        <v/>
      </c>
      <c r="AC147" s="52">
        <f>IF('計算'!$C143="","",IF('計算'!$M143="","",'計算'!$BK143))</f>
        <v/>
      </c>
      <c r="AD147" s="53" t="n"/>
      <c r="AE147" s="48" t="n"/>
      <c r="AF147" s="54">
        <f>IF('計算'!$C143="","",'計算'!$C143)</f>
        <v/>
      </c>
      <c r="AG147" s="54">
        <f>IF('計算'!$C143="","",'計算'!$F143)</f>
        <v/>
      </c>
    </row>
    <row r="148" ht="18" customHeight="1">
      <c r="B148" s="42">
        <f>IF('計算'!$C144="","",'計算'!$B144)</f>
        <v/>
      </c>
      <c r="C148" s="43">
        <f>IF('計算'!$C144="","",'計算'!$D144)</f>
        <v/>
      </c>
      <c r="D148" s="44">
        <f>IF('計算'!$C144="","",'計算'!$O144)</f>
        <v/>
      </c>
      <c r="E148" s="45">
        <f>IF('計算'!$C144="","",'計算'!$L144)</f>
        <v/>
      </c>
      <c r="F148" s="46">
        <f>IF('計算'!$C144="","",'計算'!$CD144)</f>
        <v/>
      </c>
      <c r="G148" s="47">
        <f>IF('計算'!$C144="","",'計算'!$CA144)</f>
        <v/>
      </c>
      <c r="H148" s="43">
        <f>IF('計算'!$C144="","",'計算'!$CP144)</f>
        <v/>
      </c>
      <c r="I148" s="48" t="n"/>
      <c r="J148" s="49" t="n"/>
      <c r="K148" s="50">
        <f>IF('計算'!$C144="","",'計算'!$CR144)</f>
        <v/>
      </c>
      <c r="L148" s="51">
        <f>IF('計算'!$C144="","",'計算'!$CF144)</f>
        <v/>
      </c>
      <c r="M148" s="48" t="n"/>
      <c r="N148" s="49" t="n"/>
      <c r="O148" s="43">
        <f>IF('計算'!$C144="","",'計算'!$CQ144)</f>
        <v/>
      </c>
      <c r="P148" s="52">
        <f>IF('計算'!$C144="","",IF('計算'!$M144="","",'計算'!$AX144))</f>
        <v/>
      </c>
      <c r="Q148" s="52">
        <f>IF('計算'!$C144="","",IF('計算'!$M144="","",'計算'!$AY144))</f>
        <v/>
      </c>
      <c r="R148" s="52">
        <f>IF('計算'!$C144="","",IF('計算'!$M144="","",'計算'!$AZ144))</f>
        <v/>
      </c>
      <c r="S148" s="52">
        <f>IF('計算'!$C144="","",IF('計算'!$M144="","",'計算'!$BA144))</f>
        <v/>
      </c>
      <c r="T148" s="52">
        <f>IF('計算'!$C144="","",IF('計算'!$M144="","",'計算'!$BB144))</f>
        <v/>
      </c>
      <c r="U148" s="52">
        <f>IF('計算'!$C144="","",IF('計算'!$M144="","",'計算'!$BC144))</f>
        <v/>
      </c>
      <c r="V148" s="52">
        <f>IF('計算'!$C144="","",IF('計算'!$M144="","",'計算'!$BD144))</f>
        <v/>
      </c>
      <c r="W148" s="52">
        <f>IF('計算'!$C144="","",IF('計算'!$M144="","",'計算'!$BE144))</f>
        <v/>
      </c>
      <c r="X148" s="52">
        <f>IF('計算'!$C144="","",IF('計算'!$M144="","",'計算'!$BF144))</f>
        <v/>
      </c>
      <c r="Y148" s="52">
        <f>IF('計算'!$C144="","",IF('計算'!$M144="","",'計算'!$BG144))</f>
        <v/>
      </c>
      <c r="Z148" s="52">
        <f>IF('計算'!$C144="","",IF('計算'!$M144="","",'計算'!$BH144))</f>
        <v/>
      </c>
      <c r="AA148" s="52">
        <f>IF('計算'!$C144="","",IF('計算'!$M144="","",'計算'!$BI144))</f>
        <v/>
      </c>
      <c r="AB148" s="52">
        <f>IF('計算'!$C144="","",IF('計算'!$M144="","",'計算'!$BJ144))</f>
        <v/>
      </c>
      <c r="AC148" s="52">
        <f>IF('計算'!$C144="","",IF('計算'!$M144="","",'計算'!$BK144))</f>
        <v/>
      </c>
      <c r="AD148" s="53" t="n"/>
      <c r="AE148" s="48" t="n"/>
      <c r="AF148" s="54">
        <f>IF('計算'!$C144="","",'計算'!$C144)</f>
        <v/>
      </c>
      <c r="AG148" s="54">
        <f>IF('計算'!$C144="","",'計算'!$F144)</f>
        <v/>
      </c>
    </row>
    <row r="149" ht="18" customHeight="1">
      <c r="B149" s="42">
        <f>IF('計算'!$C145="","",'計算'!$B145)</f>
        <v/>
      </c>
      <c r="C149" s="43">
        <f>IF('計算'!$C145="","",'計算'!$D145)</f>
        <v/>
      </c>
      <c r="D149" s="44">
        <f>IF('計算'!$C145="","",'計算'!$O145)</f>
        <v/>
      </c>
      <c r="E149" s="45">
        <f>IF('計算'!$C145="","",'計算'!$L145)</f>
        <v/>
      </c>
      <c r="F149" s="46">
        <f>IF('計算'!$C145="","",'計算'!$CD145)</f>
        <v/>
      </c>
      <c r="G149" s="47">
        <f>IF('計算'!$C145="","",'計算'!$CA145)</f>
        <v/>
      </c>
      <c r="H149" s="43">
        <f>IF('計算'!$C145="","",'計算'!$CP145)</f>
        <v/>
      </c>
      <c r="I149" s="48" t="n"/>
      <c r="J149" s="49" t="n"/>
      <c r="K149" s="50">
        <f>IF('計算'!$C145="","",'計算'!$CR145)</f>
        <v/>
      </c>
      <c r="L149" s="51">
        <f>IF('計算'!$C145="","",'計算'!$CF145)</f>
        <v/>
      </c>
      <c r="M149" s="48" t="n"/>
      <c r="N149" s="49" t="n"/>
      <c r="O149" s="43">
        <f>IF('計算'!$C145="","",'計算'!$CQ145)</f>
        <v/>
      </c>
      <c r="P149" s="52">
        <f>IF('計算'!$C145="","",IF('計算'!$M145="","",'計算'!$AX145))</f>
        <v/>
      </c>
      <c r="Q149" s="52">
        <f>IF('計算'!$C145="","",IF('計算'!$M145="","",'計算'!$AY145))</f>
        <v/>
      </c>
      <c r="R149" s="52">
        <f>IF('計算'!$C145="","",IF('計算'!$M145="","",'計算'!$AZ145))</f>
        <v/>
      </c>
      <c r="S149" s="52">
        <f>IF('計算'!$C145="","",IF('計算'!$M145="","",'計算'!$BA145))</f>
        <v/>
      </c>
      <c r="T149" s="52">
        <f>IF('計算'!$C145="","",IF('計算'!$M145="","",'計算'!$BB145))</f>
        <v/>
      </c>
      <c r="U149" s="52">
        <f>IF('計算'!$C145="","",IF('計算'!$M145="","",'計算'!$BC145))</f>
        <v/>
      </c>
      <c r="V149" s="52">
        <f>IF('計算'!$C145="","",IF('計算'!$M145="","",'計算'!$BD145))</f>
        <v/>
      </c>
      <c r="W149" s="52">
        <f>IF('計算'!$C145="","",IF('計算'!$M145="","",'計算'!$BE145))</f>
        <v/>
      </c>
      <c r="X149" s="52">
        <f>IF('計算'!$C145="","",IF('計算'!$M145="","",'計算'!$BF145))</f>
        <v/>
      </c>
      <c r="Y149" s="52">
        <f>IF('計算'!$C145="","",IF('計算'!$M145="","",'計算'!$BG145))</f>
        <v/>
      </c>
      <c r="Z149" s="52">
        <f>IF('計算'!$C145="","",IF('計算'!$M145="","",'計算'!$BH145))</f>
        <v/>
      </c>
      <c r="AA149" s="52">
        <f>IF('計算'!$C145="","",IF('計算'!$M145="","",'計算'!$BI145))</f>
        <v/>
      </c>
      <c r="AB149" s="52">
        <f>IF('計算'!$C145="","",IF('計算'!$M145="","",'計算'!$BJ145))</f>
        <v/>
      </c>
      <c r="AC149" s="52">
        <f>IF('計算'!$C145="","",IF('計算'!$M145="","",'計算'!$BK145))</f>
        <v/>
      </c>
      <c r="AD149" s="53" t="n"/>
      <c r="AE149" s="48" t="n"/>
      <c r="AF149" s="54">
        <f>IF('計算'!$C145="","",'計算'!$C145)</f>
        <v/>
      </c>
      <c r="AG149" s="54">
        <f>IF('計算'!$C145="","",'計算'!$F145)</f>
        <v/>
      </c>
    </row>
    <row r="150" ht="18" customHeight="1">
      <c r="B150" s="42">
        <f>IF('計算'!$C146="","",'計算'!$B146)</f>
        <v/>
      </c>
      <c r="C150" s="43">
        <f>IF('計算'!$C146="","",'計算'!$D146)</f>
        <v/>
      </c>
      <c r="D150" s="44">
        <f>IF('計算'!$C146="","",'計算'!$O146)</f>
        <v/>
      </c>
      <c r="E150" s="45">
        <f>IF('計算'!$C146="","",'計算'!$L146)</f>
        <v/>
      </c>
      <c r="F150" s="46">
        <f>IF('計算'!$C146="","",'計算'!$CD146)</f>
        <v/>
      </c>
      <c r="G150" s="47">
        <f>IF('計算'!$C146="","",'計算'!$CA146)</f>
        <v/>
      </c>
      <c r="H150" s="43">
        <f>IF('計算'!$C146="","",'計算'!$CP146)</f>
        <v/>
      </c>
      <c r="I150" s="48" t="n"/>
      <c r="J150" s="49" t="n"/>
      <c r="K150" s="50">
        <f>IF('計算'!$C146="","",'計算'!$CR146)</f>
        <v/>
      </c>
      <c r="L150" s="51">
        <f>IF('計算'!$C146="","",'計算'!$CF146)</f>
        <v/>
      </c>
      <c r="M150" s="48" t="n"/>
      <c r="N150" s="49" t="n"/>
      <c r="O150" s="43">
        <f>IF('計算'!$C146="","",'計算'!$CQ146)</f>
        <v/>
      </c>
      <c r="P150" s="52">
        <f>IF('計算'!$C146="","",IF('計算'!$M146="","",'計算'!$AX146))</f>
        <v/>
      </c>
      <c r="Q150" s="52">
        <f>IF('計算'!$C146="","",IF('計算'!$M146="","",'計算'!$AY146))</f>
        <v/>
      </c>
      <c r="R150" s="52">
        <f>IF('計算'!$C146="","",IF('計算'!$M146="","",'計算'!$AZ146))</f>
        <v/>
      </c>
      <c r="S150" s="52">
        <f>IF('計算'!$C146="","",IF('計算'!$M146="","",'計算'!$BA146))</f>
        <v/>
      </c>
      <c r="T150" s="52">
        <f>IF('計算'!$C146="","",IF('計算'!$M146="","",'計算'!$BB146))</f>
        <v/>
      </c>
      <c r="U150" s="52">
        <f>IF('計算'!$C146="","",IF('計算'!$M146="","",'計算'!$BC146))</f>
        <v/>
      </c>
      <c r="V150" s="52">
        <f>IF('計算'!$C146="","",IF('計算'!$M146="","",'計算'!$BD146))</f>
        <v/>
      </c>
      <c r="W150" s="52">
        <f>IF('計算'!$C146="","",IF('計算'!$M146="","",'計算'!$BE146))</f>
        <v/>
      </c>
      <c r="X150" s="52">
        <f>IF('計算'!$C146="","",IF('計算'!$M146="","",'計算'!$BF146))</f>
        <v/>
      </c>
      <c r="Y150" s="52">
        <f>IF('計算'!$C146="","",IF('計算'!$M146="","",'計算'!$BG146))</f>
        <v/>
      </c>
      <c r="Z150" s="52">
        <f>IF('計算'!$C146="","",IF('計算'!$M146="","",'計算'!$BH146))</f>
        <v/>
      </c>
      <c r="AA150" s="52">
        <f>IF('計算'!$C146="","",IF('計算'!$M146="","",'計算'!$BI146))</f>
        <v/>
      </c>
      <c r="AB150" s="52">
        <f>IF('計算'!$C146="","",IF('計算'!$M146="","",'計算'!$BJ146))</f>
        <v/>
      </c>
      <c r="AC150" s="52">
        <f>IF('計算'!$C146="","",IF('計算'!$M146="","",'計算'!$BK146))</f>
        <v/>
      </c>
      <c r="AD150" s="53" t="n"/>
      <c r="AE150" s="48" t="n"/>
      <c r="AF150" s="54">
        <f>IF('計算'!$C146="","",'計算'!$C146)</f>
        <v/>
      </c>
      <c r="AG150" s="54">
        <f>IF('計算'!$C146="","",'計算'!$F146)</f>
        <v/>
      </c>
    </row>
    <row r="151" ht="18" customHeight="1">
      <c r="B151" s="42">
        <f>IF('計算'!$C147="","",'計算'!$B147)</f>
        <v/>
      </c>
      <c r="C151" s="43">
        <f>IF('計算'!$C147="","",'計算'!$D147)</f>
        <v/>
      </c>
      <c r="D151" s="44">
        <f>IF('計算'!$C147="","",'計算'!$O147)</f>
        <v/>
      </c>
      <c r="E151" s="45">
        <f>IF('計算'!$C147="","",'計算'!$L147)</f>
        <v/>
      </c>
      <c r="F151" s="46">
        <f>IF('計算'!$C147="","",'計算'!$CD147)</f>
        <v/>
      </c>
      <c r="G151" s="47">
        <f>IF('計算'!$C147="","",'計算'!$CA147)</f>
        <v/>
      </c>
      <c r="H151" s="43">
        <f>IF('計算'!$C147="","",'計算'!$CP147)</f>
        <v/>
      </c>
      <c r="I151" s="48" t="n"/>
      <c r="J151" s="49" t="n"/>
      <c r="K151" s="50">
        <f>IF('計算'!$C147="","",'計算'!$CR147)</f>
        <v/>
      </c>
      <c r="L151" s="51">
        <f>IF('計算'!$C147="","",'計算'!$CF147)</f>
        <v/>
      </c>
      <c r="M151" s="48" t="n"/>
      <c r="N151" s="49" t="n"/>
      <c r="O151" s="43">
        <f>IF('計算'!$C147="","",'計算'!$CQ147)</f>
        <v/>
      </c>
      <c r="P151" s="52">
        <f>IF('計算'!$C147="","",IF('計算'!$M147="","",'計算'!$AX147))</f>
        <v/>
      </c>
      <c r="Q151" s="52">
        <f>IF('計算'!$C147="","",IF('計算'!$M147="","",'計算'!$AY147))</f>
        <v/>
      </c>
      <c r="R151" s="52">
        <f>IF('計算'!$C147="","",IF('計算'!$M147="","",'計算'!$AZ147))</f>
        <v/>
      </c>
      <c r="S151" s="52">
        <f>IF('計算'!$C147="","",IF('計算'!$M147="","",'計算'!$BA147))</f>
        <v/>
      </c>
      <c r="T151" s="52">
        <f>IF('計算'!$C147="","",IF('計算'!$M147="","",'計算'!$BB147))</f>
        <v/>
      </c>
      <c r="U151" s="52">
        <f>IF('計算'!$C147="","",IF('計算'!$M147="","",'計算'!$BC147))</f>
        <v/>
      </c>
      <c r="V151" s="52">
        <f>IF('計算'!$C147="","",IF('計算'!$M147="","",'計算'!$BD147))</f>
        <v/>
      </c>
      <c r="W151" s="52">
        <f>IF('計算'!$C147="","",IF('計算'!$M147="","",'計算'!$BE147))</f>
        <v/>
      </c>
      <c r="X151" s="52">
        <f>IF('計算'!$C147="","",IF('計算'!$M147="","",'計算'!$BF147))</f>
        <v/>
      </c>
      <c r="Y151" s="52">
        <f>IF('計算'!$C147="","",IF('計算'!$M147="","",'計算'!$BG147))</f>
        <v/>
      </c>
      <c r="Z151" s="52">
        <f>IF('計算'!$C147="","",IF('計算'!$M147="","",'計算'!$BH147))</f>
        <v/>
      </c>
      <c r="AA151" s="52">
        <f>IF('計算'!$C147="","",IF('計算'!$M147="","",'計算'!$BI147))</f>
        <v/>
      </c>
      <c r="AB151" s="52">
        <f>IF('計算'!$C147="","",IF('計算'!$M147="","",'計算'!$BJ147))</f>
        <v/>
      </c>
      <c r="AC151" s="52">
        <f>IF('計算'!$C147="","",IF('計算'!$M147="","",'計算'!$BK147))</f>
        <v/>
      </c>
      <c r="AD151" s="53" t="n"/>
      <c r="AE151" s="48" t="n"/>
      <c r="AF151" s="54">
        <f>IF('計算'!$C147="","",'計算'!$C147)</f>
        <v/>
      </c>
      <c r="AG151" s="54">
        <f>IF('計算'!$C147="","",'計算'!$F147)</f>
        <v/>
      </c>
    </row>
    <row r="152" ht="18" customHeight="1">
      <c r="B152" s="42">
        <f>IF('計算'!$C148="","",'計算'!$B148)</f>
        <v/>
      </c>
      <c r="C152" s="43">
        <f>IF('計算'!$C148="","",'計算'!$D148)</f>
        <v/>
      </c>
      <c r="D152" s="44">
        <f>IF('計算'!$C148="","",'計算'!$O148)</f>
        <v/>
      </c>
      <c r="E152" s="45">
        <f>IF('計算'!$C148="","",'計算'!$L148)</f>
        <v/>
      </c>
      <c r="F152" s="46">
        <f>IF('計算'!$C148="","",'計算'!$CD148)</f>
        <v/>
      </c>
      <c r="G152" s="47">
        <f>IF('計算'!$C148="","",'計算'!$CA148)</f>
        <v/>
      </c>
      <c r="H152" s="43">
        <f>IF('計算'!$C148="","",'計算'!$CP148)</f>
        <v/>
      </c>
      <c r="I152" s="48" t="n"/>
      <c r="J152" s="49" t="n"/>
      <c r="K152" s="50">
        <f>IF('計算'!$C148="","",'計算'!$CR148)</f>
        <v/>
      </c>
      <c r="L152" s="51">
        <f>IF('計算'!$C148="","",'計算'!$CF148)</f>
        <v/>
      </c>
      <c r="M152" s="48" t="n"/>
      <c r="N152" s="49" t="n"/>
      <c r="O152" s="43">
        <f>IF('計算'!$C148="","",'計算'!$CQ148)</f>
        <v/>
      </c>
      <c r="P152" s="52">
        <f>IF('計算'!$C148="","",IF('計算'!$M148="","",'計算'!$AX148))</f>
        <v/>
      </c>
      <c r="Q152" s="52">
        <f>IF('計算'!$C148="","",IF('計算'!$M148="","",'計算'!$AY148))</f>
        <v/>
      </c>
      <c r="R152" s="52">
        <f>IF('計算'!$C148="","",IF('計算'!$M148="","",'計算'!$AZ148))</f>
        <v/>
      </c>
      <c r="S152" s="52">
        <f>IF('計算'!$C148="","",IF('計算'!$M148="","",'計算'!$BA148))</f>
        <v/>
      </c>
      <c r="T152" s="52">
        <f>IF('計算'!$C148="","",IF('計算'!$M148="","",'計算'!$BB148))</f>
        <v/>
      </c>
      <c r="U152" s="52">
        <f>IF('計算'!$C148="","",IF('計算'!$M148="","",'計算'!$BC148))</f>
        <v/>
      </c>
      <c r="V152" s="52">
        <f>IF('計算'!$C148="","",IF('計算'!$M148="","",'計算'!$BD148))</f>
        <v/>
      </c>
      <c r="W152" s="52">
        <f>IF('計算'!$C148="","",IF('計算'!$M148="","",'計算'!$BE148))</f>
        <v/>
      </c>
      <c r="X152" s="52">
        <f>IF('計算'!$C148="","",IF('計算'!$M148="","",'計算'!$BF148))</f>
        <v/>
      </c>
      <c r="Y152" s="52">
        <f>IF('計算'!$C148="","",IF('計算'!$M148="","",'計算'!$BG148))</f>
        <v/>
      </c>
      <c r="Z152" s="52">
        <f>IF('計算'!$C148="","",IF('計算'!$M148="","",'計算'!$BH148))</f>
        <v/>
      </c>
      <c r="AA152" s="52">
        <f>IF('計算'!$C148="","",IF('計算'!$M148="","",'計算'!$BI148))</f>
        <v/>
      </c>
      <c r="AB152" s="52">
        <f>IF('計算'!$C148="","",IF('計算'!$M148="","",'計算'!$BJ148))</f>
        <v/>
      </c>
      <c r="AC152" s="52">
        <f>IF('計算'!$C148="","",IF('計算'!$M148="","",'計算'!$BK148))</f>
        <v/>
      </c>
      <c r="AD152" s="53" t="n"/>
      <c r="AE152" s="48" t="n"/>
      <c r="AF152" s="54">
        <f>IF('計算'!$C148="","",'計算'!$C148)</f>
        <v/>
      </c>
      <c r="AG152" s="54">
        <f>IF('計算'!$C148="","",'計算'!$F148)</f>
        <v/>
      </c>
    </row>
    <row r="153" ht="18" customHeight="1">
      <c r="B153" s="42">
        <f>IF('計算'!$C149="","",'計算'!$B149)</f>
        <v/>
      </c>
      <c r="C153" s="43">
        <f>IF('計算'!$C149="","",'計算'!$D149)</f>
        <v/>
      </c>
      <c r="D153" s="44">
        <f>IF('計算'!$C149="","",'計算'!$O149)</f>
        <v/>
      </c>
      <c r="E153" s="45">
        <f>IF('計算'!$C149="","",'計算'!$L149)</f>
        <v/>
      </c>
      <c r="F153" s="46">
        <f>IF('計算'!$C149="","",'計算'!$CD149)</f>
        <v/>
      </c>
      <c r="G153" s="47">
        <f>IF('計算'!$C149="","",'計算'!$CA149)</f>
        <v/>
      </c>
      <c r="H153" s="43">
        <f>IF('計算'!$C149="","",'計算'!$CP149)</f>
        <v/>
      </c>
      <c r="I153" s="48" t="n"/>
      <c r="J153" s="49" t="n"/>
      <c r="K153" s="50">
        <f>IF('計算'!$C149="","",'計算'!$CR149)</f>
        <v/>
      </c>
      <c r="L153" s="51">
        <f>IF('計算'!$C149="","",'計算'!$CF149)</f>
        <v/>
      </c>
      <c r="M153" s="48" t="n"/>
      <c r="N153" s="49" t="n"/>
      <c r="O153" s="43">
        <f>IF('計算'!$C149="","",'計算'!$CQ149)</f>
        <v/>
      </c>
      <c r="P153" s="52">
        <f>IF('計算'!$C149="","",IF('計算'!$M149="","",'計算'!$AX149))</f>
        <v/>
      </c>
      <c r="Q153" s="52">
        <f>IF('計算'!$C149="","",IF('計算'!$M149="","",'計算'!$AY149))</f>
        <v/>
      </c>
      <c r="R153" s="52">
        <f>IF('計算'!$C149="","",IF('計算'!$M149="","",'計算'!$AZ149))</f>
        <v/>
      </c>
      <c r="S153" s="52">
        <f>IF('計算'!$C149="","",IF('計算'!$M149="","",'計算'!$BA149))</f>
        <v/>
      </c>
      <c r="T153" s="52">
        <f>IF('計算'!$C149="","",IF('計算'!$M149="","",'計算'!$BB149))</f>
        <v/>
      </c>
      <c r="U153" s="52">
        <f>IF('計算'!$C149="","",IF('計算'!$M149="","",'計算'!$BC149))</f>
        <v/>
      </c>
      <c r="V153" s="52">
        <f>IF('計算'!$C149="","",IF('計算'!$M149="","",'計算'!$BD149))</f>
        <v/>
      </c>
      <c r="W153" s="52">
        <f>IF('計算'!$C149="","",IF('計算'!$M149="","",'計算'!$BE149))</f>
        <v/>
      </c>
      <c r="X153" s="52">
        <f>IF('計算'!$C149="","",IF('計算'!$M149="","",'計算'!$BF149))</f>
        <v/>
      </c>
      <c r="Y153" s="52">
        <f>IF('計算'!$C149="","",IF('計算'!$M149="","",'計算'!$BG149))</f>
        <v/>
      </c>
      <c r="Z153" s="52">
        <f>IF('計算'!$C149="","",IF('計算'!$M149="","",'計算'!$BH149))</f>
        <v/>
      </c>
      <c r="AA153" s="52">
        <f>IF('計算'!$C149="","",IF('計算'!$M149="","",'計算'!$BI149))</f>
        <v/>
      </c>
      <c r="AB153" s="52">
        <f>IF('計算'!$C149="","",IF('計算'!$M149="","",'計算'!$BJ149))</f>
        <v/>
      </c>
      <c r="AC153" s="52">
        <f>IF('計算'!$C149="","",IF('計算'!$M149="","",'計算'!$BK149))</f>
        <v/>
      </c>
      <c r="AD153" s="53" t="n"/>
      <c r="AE153" s="48" t="n"/>
      <c r="AF153" s="54">
        <f>IF('計算'!$C149="","",'計算'!$C149)</f>
        <v/>
      </c>
      <c r="AG153" s="54">
        <f>IF('計算'!$C149="","",'計算'!$F149)</f>
        <v/>
      </c>
    </row>
    <row r="154" ht="18" customHeight="1">
      <c r="B154" s="42">
        <f>IF('計算'!$C150="","",'計算'!$B150)</f>
        <v/>
      </c>
      <c r="C154" s="43">
        <f>IF('計算'!$C150="","",'計算'!$D150)</f>
        <v/>
      </c>
      <c r="D154" s="44">
        <f>IF('計算'!$C150="","",'計算'!$O150)</f>
        <v/>
      </c>
      <c r="E154" s="45">
        <f>IF('計算'!$C150="","",'計算'!$L150)</f>
        <v/>
      </c>
      <c r="F154" s="46">
        <f>IF('計算'!$C150="","",'計算'!$CD150)</f>
        <v/>
      </c>
      <c r="G154" s="47">
        <f>IF('計算'!$C150="","",'計算'!$CA150)</f>
        <v/>
      </c>
      <c r="H154" s="43">
        <f>IF('計算'!$C150="","",'計算'!$CP150)</f>
        <v/>
      </c>
      <c r="I154" s="48" t="n"/>
      <c r="J154" s="49" t="n"/>
      <c r="K154" s="50">
        <f>IF('計算'!$C150="","",'計算'!$CR150)</f>
        <v/>
      </c>
      <c r="L154" s="51">
        <f>IF('計算'!$C150="","",'計算'!$CF150)</f>
        <v/>
      </c>
      <c r="M154" s="48" t="n"/>
      <c r="N154" s="49" t="n"/>
      <c r="O154" s="43">
        <f>IF('計算'!$C150="","",'計算'!$CQ150)</f>
        <v/>
      </c>
      <c r="P154" s="52">
        <f>IF('計算'!$C150="","",IF('計算'!$M150="","",'計算'!$AX150))</f>
        <v/>
      </c>
      <c r="Q154" s="52">
        <f>IF('計算'!$C150="","",IF('計算'!$M150="","",'計算'!$AY150))</f>
        <v/>
      </c>
      <c r="R154" s="52">
        <f>IF('計算'!$C150="","",IF('計算'!$M150="","",'計算'!$AZ150))</f>
        <v/>
      </c>
      <c r="S154" s="52">
        <f>IF('計算'!$C150="","",IF('計算'!$M150="","",'計算'!$BA150))</f>
        <v/>
      </c>
      <c r="T154" s="52">
        <f>IF('計算'!$C150="","",IF('計算'!$M150="","",'計算'!$BB150))</f>
        <v/>
      </c>
      <c r="U154" s="52">
        <f>IF('計算'!$C150="","",IF('計算'!$M150="","",'計算'!$BC150))</f>
        <v/>
      </c>
      <c r="V154" s="52">
        <f>IF('計算'!$C150="","",IF('計算'!$M150="","",'計算'!$BD150))</f>
        <v/>
      </c>
      <c r="W154" s="52">
        <f>IF('計算'!$C150="","",IF('計算'!$M150="","",'計算'!$BE150))</f>
        <v/>
      </c>
      <c r="X154" s="52">
        <f>IF('計算'!$C150="","",IF('計算'!$M150="","",'計算'!$BF150))</f>
        <v/>
      </c>
      <c r="Y154" s="52">
        <f>IF('計算'!$C150="","",IF('計算'!$M150="","",'計算'!$BG150))</f>
        <v/>
      </c>
      <c r="Z154" s="52">
        <f>IF('計算'!$C150="","",IF('計算'!$M150="","",'計算'!$BH150))</f>
        <v/>
      </c>
      <c r="AA154" s="52">
        <f>IF('計算'!$C150="","",IF('計算'!$M150="","",'計算'!$BI150))</f>
        <v/>
      </c>
      <c r="AB154" s="52">
        <f>IF('計算'!$C150="","",IF('計算'!$M150="","",'計算'!$BJ150))</f>
        <v/>
      </c>
      <c r="AC154" s="52">
        <f>IF('計算'!$C150="","",IF('計算'!$M150="","",'計算'!$BK150))</f>
        <v/>
      </c>
      <c r="AD154" s="53" t="n"/>
      <c r="AE154" s="48" t="n"/>
      <c r="AF154" s="54">
        <f>IF('計算'!$C150="","",'計算'!$C150)</f>
        <v/>
      </c>
      <c r="AG154" s="54">
        <f>IF('計算'!$C150="","",'計算'!$F150)</f>
        <v/>
      </c>
    </row>
    <row r="155" ht="18" customHeight="1">
      <c r="B155" s="42">
        <f>IF('計算'!$C151="","",'計算'!$B151)</f>
        <v/>
      </c>
      <c r="C155" s="43">
        <f>IF('計算'!$C151="","",'計算'!$D151)</f>
        <v/>
      </c>
      <c r="D155" s="44">
        <f>IF('計算'!$C151="","",'計算'!$O151)</f>
        <v/>
      </c>
      <c r="E155" s="45">
        <f>IF('計算'!$C151="","",'計算'!$L151)</f>
        <v/>
      </c>
      <c r="F155" s="46">
        <f>IF('計算'!$C151="","",'計算'!$CD151)</f>
        <v/>
      </c>
      <c r="G155" s="47">
        <f>IF('計算'!$C151="","",'計算'!$CA151)</f>
        <v/>
      </c>
      <c r="H155" s="43">
        <f>IF('計算'!$C151="","",'計算'!$CP151)</f>
        <v/>
      </c>
      <c r="I155" s="48" t="n"/>
      <c r="J155" s="49" t="n"/>
      <c r="K155" s="50">
        <f>IF('計算'!$C151="","",'計算'!$CR151)</f>
        <v/>
      </c>
      <c r="L155" s="51">
        <f>IF('計算'!$C151="","",'計算'!$CF151)</f>
        <v/>
      </c>
      <c r="M155" s="48" t="n"/>
      <c r="N155" s="49" t="n"/>
      <c r="O155" s="43">
        <f>IF('計算'!$C151="","",'計算'!$CQ151)</f>
        <v/>
      </c>
      <c r="P155" s="52">
        <f>IF('計算'!$C151="","",IF('計算'!$M151="","",'計算'!$AX151))</f>
        <v/>
      </c>
      <c r="Q155" s="52">
        <f>IF('計算'!$C151="","",IF('計算'!$M151="","",'計算'!$AY151))</f>
        <v/>
      </c>
      <c r="R155" s="52">
        <f>IF('計算'!$C151="","",IF('計算'!$M151="","",'計算'!$AZ151))</f>
        <v/>
      </c>
      <c r="S155" s="52">
        <f>IF('計算'!$C151="","",IF('計算'!$M151="","",'計算'!$BA151))</f>
        <v/>
      </c>
      <c r="T155" s="52">
        <f>IF('計算'!$C151="","",IF('計算'!$M151="","",'計算'!$BB151))</f>
        <v/>
      </c>
      <c r="U155" s="52">
        <f>IF('計算'!$C151="","",IF('計算'!$M151="","",'計算'!$BC151))</f>
        <v/>
      </c>
      <c r="V155" s="52">
        <f>IF('計算'!$C151="","",IF('計算'!$M151="","",'計算'!$BD151))</f>
        <v/>
      </c>
      <c r="W155" s="52">
        <f>IF('計算'!$C151="","",IF('計算'!$M151="","",'計算'!$BE151))</f>
        <v/>
      </c>
      <c r="X155" s="52">
        <f>IF('計算'!$C151="","",IF('計算'!$M151="","",'計算'!$BF151))</f>
        <v/>
      </c>
      <c r="Y155" s="52">
        <f>IF('計算'!$C151="","",IF('計算'!$M151="","",'計算'!$BG151))</f>
        <v/>
      </c>
      <c r="Z155" s="52">
        <f>IF('計算'!$C151="","",IF('計算'!$M151="","",'計算'!$BH151))</f>
        <v/>
      </c>
      <c r="AA155" s="52">
        <f>IF('計算'!$C151="","",IF('計算'!$M151="","",'計算'!$BI151))</f>
        <v/>
      </c>
      <c r="AB155" s="52">
        <f>IF('計算'!$C151="","",IF('計算'!$M151="","",'計算'!$BJ151))</f>
        <v/>
      </c>
      <c r="AC155" s="52">
        <f>IF('計算'!$C151="","",IF('計算'!$M151="","",'計算'!$BK151))</f>
        <v/>
      </c>
      <c r="AD155" s="53" t="n"/>
      <c r="AE155" s="48" t="n"/>
      <c r="AF155" s="54">
        <f>IF('計算'!$C151="","",'計算'!$C151)</f>
        <v/>
      </c>
      <c r="AG155" s="54">
        <f>IF('計算'!$C151="","",'計算'!$F151)</f>
        <v/>
      </c>
    </row>
    <row r="156" ht="18" customHeight="1">
      <c r="B156" s="42">
        <f>IF('計算'!$C152="","",'計算'!$B152)</f>
        <v/>
      </c>
      <c r="C156" s="43">
        <f>IF('計算'!$C152="","",'計算'!$D152)</f>
        <v/>
      </c>
      <c r="D156" s="44">
        <f>IF('計算'!$C152="","",'計算'!$O152)</f>
        <v/>
      </c>
      <c r="E156" s="45">
        <f>IF('計算'!$C152="","",'計算'!$L152)</f>
        <v/>
      </c>
      <c r="F156" s="46">
        <f>IF('計算'!$C152="","",'計算'!$CD152)</f>
        <v/>
      </c>
      <c r="G156" s="47">
        <f>IF('計算'!$C152="","",'計算'!$CA152)</f>
        <v/>
      </c>
      <c r="H156" s="43">
        <f>IF('計算'!$C152="","",'計算'!$CP152)</f>
        <v/>
      </c>
      <c r="I156" s="48" t="n"/>
      <c r="J156" s="49" t="n"/>
      <c r="K156" s="50">
        <f>IF('計算'!$C152="","",'計算'!$CR152)</f>
        <v/>
      </c>
      <c r="L156" s="51">
        <f>IF('計算'!$C152="","",'計算'!$CF152)</f>
        <v/>
      </c>
      <c r="M156" s="48" t="n"/>
      <c r="N156" s="49" t="n"/>
      <c r="O156" s="43">
        <f>IF('計算'!$C152="","",'計算'!$CQ152)</f>
        <v/>
      </c>
      <c r="P156" s="52">
        <f>IF('計算'!$C152="","",IF('計算'!$M152="","",'計算'!$AX152))</f>
        <v/>
      </c>
      <c r="Q156" s="52">
        <f>IF('計算'!$C152="","",IF('計算'!$M152="","",'計算'!$AY152))</f>
        <v/>
      </c>
      <c r="R156" s="52">
        <f>IF('計算'!$C152="","",IF('計算'!$M152="","",'計算'!$AZ152))</f>
        <v/>
      </c>
      <c r="S156" s="52">
        <f>IF('計算'!$C152="","",IF('計算'!$M152="","",'計算'!$BA152))</f>
        <v/>
      </c>
      <c r="T156" s="52">
        <f>IF('計算'!$C152="","",IF('計算'!$M152="","",'計算'!$BB152))</f>
        <v/>
      </c>
      <c r="U156" s="52">
        <f>IF('計算'!$C152="","",IF('計算'!$M152="","",'計算'!$BC152))</f>
        <v/>
      </c>
      <c r="V156" s="52">
        <f>IF('計算'!$C152="","",IF('計算'!$M152="","",'計算'!$BD152))</f>
        <v/>
      </c>
      <c r="W156" s="52">
        <f>IF('計算'!$C152="","",IF('計算'!$M152="","",'計算'!$BE152))</f>
        <v/>
      </c>
      <c r="X156" s="52">
        <f>IF('計算'!$C152="","",IF('計算'!$M152="","",'計算'!$BF152))</f>
        <v/>
      </c>
      <c r="Y156" s="52">
        <f>IF('計算'!$C152="","",IF('計算'!$M152="","",'計算'!$BG152))</f>
        <v/>
      </c>
      <c r="Z156" s="52">
        <f>IF('計算'!$C152="","",IF('計算'!$M152="","",'計算'!$BH152))</f>
        <v/>
      </c>
      <c r="AA156" s="52">
        <f>IF('計算'!$C152="","",IF('計算'!$M152="","",'計算'!$BI152))</f>
        <v/>
      </c>
      <c r="AB156" s="52">
        <f>IF('計算'!$C152="","",IF('計算'!$M152="","",'計算'!$BJ152))</f>
        <v/>
      </c>
      <c r="AC156" s="52">
        <f>IF('計算'!$C152="","",IF('計算'!$M152="","",'計算'!$BK152))</f>
        <v/>
      </c>
      <c r="AD156" s="53" t="n"/>
      <c r="AE156" s="48" t="n"/>
      <c r="AF156" s="54">
        <f>IF('計算'!$C152="","",'計算'!$C152)</f>
        <v/>
      </c>
      <c r="AG156" s="54">
        <f>IF('計算'!$C152="","",'計算'!$F152)</f>
        <v/>
      </c>
    </row>
    <row r="157" ht="18" customHeight="1">
      <c r="B157" s="42">
        <f>IF('計算'!$C153="","",'計算'!$B153)</f>
        <v/>
      </c>
      <c r="C157" s="43">
        <f>IF('計算'!$C153="","",'計算'!$D153)</f>
        <v/>
      </c>
      <c r="D157" s="44">
        <f>IF('計算'!$C153="","",'計算'!$O153)</f>
        <v/>
      </c>
      <c r="E157" s="45">
        <f>IF('計算'!$C153="","",'計算'!$L153)</f>
        <v/>
      </c>
      <c r="F157" s="46">
        <f>IF('計算'!$C153="","",'計算'!$CD153)</f>
        <v/>
      </c>
      <c r="G157" s="47">
        <f>IF('計算'!$C153="","",'計算'!$CA153)</f>
        <v/>
      </c>
      <c r="H157" s="43">
        <f>IF('計算'!$C153="","",'計算'!$CP153)</f>
        <v/>
      </c>
      <c r="I157" s="48" t="n"/>
      <c r="J157" s="49" t="n"/>
      <c r="K157" s="50">
        <f>IF('計算'!$C153="","",'計算'!$CR153)</f>
        <v/>
      </c>
      <c r="L157" s="51">
        <f>IF('計算'!$C153="","",'計算'!$CF153)</f>
        <v/>
      </c>
      <c r="M157" s="48" t="n"/>
      <c r="N157" s="49" t="n"/>
      <c r="O157" s="43">
        <f>IF('計算'!$C153="","",'計算'!$CQ153)</f>
        <v/>
      </c>
      <c r="P157" s="52">
        <f>IF('計算'!$C153="","",IF('計算'!$M153="","",'計算'!$AX153))</f>
        <v/>
      </c>
      <c r="Q157" s="52">
        <f>IF('計算'!$C153="","",IF('計算'!$M153="","",'計算'!$AY153))</f>
        <v/>
      </c>
      <c r="R157" s="52">
        <f>IF('計算'!$C153="","",IF('計算'!$M153="","",'計算'!$AZ153))</f>
        <v/>
      </c>
      <c r="S157" s="52">
        <f>IF('計算'!$C153="","",IF('計算'!$M153="","",'計算'!$BA153))</f>
        <v/>
      </c>
      <c r="T157" s="52">
        <f>IF('計算'!$C153="","",IF('計算'!$M153="","",'計算'!$BB153))</f>
        <v/>
      </c>
      <c r="U157" s="52">
        <f>IF('計算'!$C153="","",IF('計算'!$M153="","",'計算'!$BC153))</f>
        <v/>
      </c>
      <c r="V157" s="52">
        <f>IF('計算'!$C153="","",IF('計算'!$M153="","",'計算'!$BD153))</f>
        <v/>
      </c>
      <c r="W157" s="52">
        <f>IF('計算'!$C153="","",IF('計算'!$M153="","",'計算'!$BE153))</f>
        <v/>
      </c>
      <c r="X157" s="52">
        <f>IF('計算'!$C153="","",IF('計算'!$M153="","",'計算'!$BF153))</f>
        <v/>
      </c>
      <c r="Y157" s="52">
        <f>IF('計算'!$C153="","",IF('計算'!$M153="","",'計算'!$BG153))</f>
        <v/>
      </c>
      <c r="Z157" s="52">
        <f>IF('計算'!$C153="","",IF('計算'!$M153="","",'計算'!$BH153))</f>
        <v/>
      </c>
      <c r="AA157" s="52">
        <f>IF('計算'!$C153="","",IF('計算'!$M153="","",'計算'!$BI153))</f>
        <v/>
      </c>
      <c r="AB157" s="52">
        <f>IF('計算'!$C153="","",IF('計算'!$M153="","",'計算'!$BJ153))</f>
        <v/>
      </c>
      <c r="AC157" s="52">
        <f>IF('計算'!$C153="","",IF('計算'!$M153="","",'計算'!$BK153))</f>
        <v/>
      </c>
      <c r="AD157" s="53" t="n"/>
      <c r="AE157" s="48" t="n"/>
      <c r="AF157" s="54">
        <f>IF('計算'!$C153="","",'計算'!$C153)</f>
        <v/>
      </c>
      <c r="AG157" s="54">
        <f>IF('計算'!$C153="","",'計算'!$F153)</f>
        <v/>
      </c>
    </row>
    <row r="158" ht="18" customHeight="1">
      <c r="B158" s="42">
        <f>IF('計算'!$C154="","",'計算'!$B154)</f>
        <v/>
      </c>
      <c r="C158" s="43">
        <f>IF('計算'!$C154="","",'計算'!$D154)</f>
        <v/>
      </c>
      <c r="D158" s="44">
        <f>IF('計算'!$C154="","",'計算'!$O154)</f>
        <v/>
      </c>
      <c r="E158" s="45">
        <f>IF('計算'!$C154="","",'計算'!$L154)</f>
        <v/>
      </c>
      <c r="F158" s="46">
        <f>IF('計算'!$C154="","",'計算'!$CD154)</f>
        <v/>
      </c>
      <c r="G158" s="47">
        <f>IF('計算'!$C154="","",'計算'!$CA154)</f>
        <v/>
      </c>
      <c r="H158" s="43">
        <f>IF('計算'!$C154="","",'計算'!$CP154)</f>
        <v/>
      </c>
      <c r="I158" s="48" t="n"/>
      <c r="J158" s="49" t="n"/>
      <c r="K158" s="50">
        <f>IF('計算'!$C154="","",'計算'!$CR154)</f>
        <v/>
      </c>
      <c r="L158" s="51">
        <f>IF('計算'!$C154="","",'計算'!$CF154)</f>
        <v/>
      </c>
      <c r="M158" s="48" t="n"/>
      <c r="N158" s="49" t="n"/>
      <c r="O158" s="43">
        <f>IF('計算'!$C154="","",'計算'!$CQ154)</f>
        <v/>
      </c>
      <c r="P158" s="52">
        <f>IF('計算'!$C154="","",IF('計算'!$M154="","",'計算'!$AX154))</f>
        <v/>
      </c>
      <c r="Q158" s="52">
        <f>IF('計算'!$C154="","",IF('計算'!$M154="","",'計算'!$AY154))</f>
        <v/>
      </c>
      <c r="R158" s="52">
        <f>IF('計算'!$C154="","",IF('計算'!$M154="","",'計算'!$AZ154))</f>
        <v/>
      </c>
      <c r="S158" s="52">
        <f>IF('計算'!$C154="","",IF('計算'!$M154="","",'計算'!$BA154))</f>
        <v/>
      </c>
      <c r="T158" s="52">
        <f>IF('計算'!$C154="","",IF('計算'!$M154="","",'計算'!$BB154))</f>
        <v/>
      </c>
      <c r="U158" s="52">
        <f>IF('計算'!$C154="","",IF('計算'!$M154="","",'計算'!$BC154))</f>
        <v/>
      </c>
      <c r="V158" s="52">
        <f>IF('計算'!$C154="","",IF('計算'!$M154="","",'計算'!$BD154))</f>
        <v/>
      </c>
      <c r="W158" s="52">
        <f>IF('計算'!$C154="","",IF('計算'!$M154="","",'計算'!$BE154))</f>
        <v/>
      </c>
      <c r="X158" s="52">
        <f>IF('計算'!$C154="","",IF('計算'!$M154="","",'計算'!$BF154))</f>
        <v/>
      </c>
      <c r="Y158" s="52">
        <f>IF('計算'!$C154="","",IF('計算'!$M154="","",'計算'!$BG154))</f>
        <v/>
      </c>
      <c r="Z158" s="52">
        <f>IF('計算'!$C154="","",IF('計算'!$M154="","",'計算'!$BH154))</f>
        <v/>
      </c>
      <c r="AA158" s="52">
        <f>IF('計算'!$C154="","",IF('計算'!$M154="","",'計算'!$BI154))</f>
        <v/>
      </c>
      <c r="AB158" s="52">
        <f>IF('計算'!$C154="","",IF('計算'!$M154="","",'計算'!$BJ154))</f>
        <v/>
      </c>
      <c r="AC158" s="52">
        <f>IF('計算'!$C154="","",IF('計算'!$M154="","",'計算'!$BK154))</f>
        <v/>
      </c>
      <c r="AD158" s="53" t="n"/>
      <c r="AE158" s="48" t="n"/>
      <c r="AF158" s="54">
        <f>IF('計算'!$C154="","",'計算'!$C154)</f>
        <v/>
      </c>
      <c r="AG158" s="54">
        <f>IF('計算'!$C154="","",'計算'!$F154)</f>
        <v/>
      </c>
    </row>
    <row r="159" ht="18" customHeight="1">
      <c r="B159" s="42">
        <f>IF('計算'!$C155="","",'計算'!$B155)</f>
        <v/>
      </c>
      <c r="C159" s="43">
        <f>IF('計算'!$C155="","",'計算'!$D155)</f>
        <v/>
      </c>
      <c r="D159" s="44">
        <f>IF('計算'!$C155="","",'計算'!$O155)</f>
        <v/>
      </c>
      <c r="E159" s="45">
        <f>IF('計算'!$C155="","",'計算'!$L155)</f>
        <v/>
      </c>
      <c r="F159" s="46">
        <f>IF('計算'!$C155="","",'計算'!$CD155)</f>
        <v/>
      </c>
      <c r="G159" s="47">
        <f>IF('計算'!$C155="","",'計算'!$CA155)</f>
        <v/>
      </c>
      <c r="H159" s="43">
        <f>IF('計算'!$C155="","",'計算'!$CP155)</f>
        <v/>
      </c>
      <c r="I159" s="48" t="n"/>
      <c r="J159" s="49" t="n"/>
      <c r="K159" s="50">
        <f>IF('計算'!$C155="","",'計算'!$CR155)</f>
        <v/>
      </c>
      <c r="L159" s="51">
        <f>IF('計算'!$C155="","",'計算'!$CF155)</f>
        <v/>
      </c>
      <c r="M159" s="48" t="n"/>
      <c r="N159" s="49" t="n"/>
      <c r="O159" s="43">
        <f>IF('計算'!$C155="","",'計算'!$CQ155)</f>
        <v/>
      </c>
      <c r="P159" s="52">
        <f>IF('計算'!$C155="","",IF('計算'!$M155="","",'計算'!$AX155))</f>
        <v/>
      </c>
      <c r="Q159" s="52">
        <f>IF('計算'!$C155="","",IF('計算'!$M155="","",'計算'!$AY155))</f>
        <v/>
      </c>
      <c r="R159" s="52">
        <f>IF('計算'!$C155="","",IF('計算'!$M155="","",'計算'!$AZ155))</f>
        <v/>
      </c>
      <c r="S159" s="52">
        <f>IF('計算'!$C155="","",IF('計算'!$M155="","",'計算'!$BA155))</f>
        <v/>
      </c>
      <c r="T159" s="52">
        <f>IF('計算'!$C155="","",IF('計算'!$M155="","",'計算'!$BB155))</f>
        <v/>
      </c>
      <c r="U159" s="52">
        <f>IF('計算'!$C155="","",IF('計算'!$M155="","",'計算'!$BC155))</f>
        <v/>
      </c>
      <c r="V159" s="52">
        <f>IF('計算'!$C155="","",IF('計算'!$M155="","",'計算'!$BD155))</f>
        <v/>
      </c>
      <c r="W159" s="52">
        <f>IF('計算'!$C155="","",IF('計算'!$M155="","",'計算'!$BE155))</f>
        <v/>
      </c>
      <c r="X159" s="52">
        <f>IF('計算'!$C155="","",IF('計算'!$M155="","",'計算'!$BF155))</f>
        <v/>
      </c>
      <c r="Y159" s="52">
        <f>IF('計算'!$C155="","",IF('計算'!$M155="","",'計算'!$BG155))</f>
        <v/>
      </c>
      <c r="Z159" s="52">
        <f>IF('計算'!$C155="","",IF('計算'!$M155="","",'計算'!$BH155))</f>
        <v/>
      </c>
      <c r="AA159" s="52">
        <f>IF('計算'!$C155="","",IF('計算'!$M155="","",'計算'!$BI155))</f>
        <v/>
      </c>
      <c r="AB159" s="52">
        <f>IF('計算'!$C155="","",IF('計算'!$M155="","",'計算'!$BJ155))</f>
        <v/>
      </c>
      <c r="AC159" s="52">
        <f>IF('計算'!$C155="","",IF('計算'!$M155="","",'計算'!$BK155))</f>
        <v/>
      </c>
      <c r="AD159" s="53" t="n"/>
      <c r="AE159" s="48" t="n"/>
      <c r="AF159" s="54">
        <f>IF('計算'!$C155="","",'計算'!$C155)</f>
        <v/>
      </c>
      <c r="AG159" s="54">
        <f>IF('計算'!$C155="","",'計算'!$F155)</f>
        <v/>
      </c>
    </row>
    <row r="160" ht="18" customHeight="1">
      <c r="B160" s="42">
        <f>IF('計算'!$C156="","",'計算'!$B156)</f>
        <v/>
      </c>
      <c r="C160" s="43">
        <f>IF('計算'!$C156="","",'計算'!$D156)</f>
        <v/>
      </c>
      <c r="D160" s="44">
        <f>IF('計算'!$C156="","",'計算'!$O156)</f>
        <v/>
      </c>
      <c r="E160" s="45">
        <f>IF('計算'!$C156="","",'計算'!$L156)</f>
        <v/>
      </c>
      <c r="F160" s="46">
        <f>IF('計算'!$C156="","",'計算'!$CD156)</f>
        <v/>
      </c>
      <c r="G160" s="47">
        <f>IF('計算'!$C156="","",'計算'!$CA156)</f>
        <v/>
      </c>
      <c r="H160" s="43">
        <f>IF('計算'!$C156="","",'計算'!$CP156)</f>
        <v/>
      </c>
      <c r="I160" s="48" t="n"/>
      <c r="J160" s="49" t="n"/>
      <c r="K160" s="50">
        <f>IF('計算'!$C156="","",'計算'!$CR156)</f>
        <v/>
      </c>
      <c r="L160" s="51">
        <f>IF('計算'!$C156="","",'計算'!$CF156)</f>
        <v/>
      </c>
      <c r="M160" s="48" t="n"/>
      <c r="N160" s="49" t="n"/>
      <c r="O160" s="43">
        <f>IF('計算'!$C156="","",'計算'!$CQ156)</f>
        <v/>
      </c>
      <c r="P160" s="52">
        <f>IF('計算'!$C156="","",IF('計算'!$M156="","",'計算'!$AX156))</f>
        <v/>
      </c>
      <c r="Q160" s="52">
        <f>IF('計算'!$C156="","",IF('計算'!$M156="","",'計算'!$AY156))</f>
        <v/>
      </c>
      <c r="R160" s="52">
        <f>IF('計算'!$C156="","",IF('計算'!$M156="","",'計算'!$AZ156))</f>
        <v/>
      </c>
      <c r="S160" s="52">
        <f>IF('計算'!$C156="","",IF('計算'!$M156="","",'計算'!$BA156))</f>
        <v/>
      </c>
      <c r="T160" s="52">
        <f>IF('計算'!$C156="","",IF('計算'!$M156="","",'計算'!$BB156))</f>
        <v/>
      </c>
      <c r="U160" s="52">
        <f>IF('計算'!$C156="","",IF('計算'!$M156="","",'計算'!$BC156))</f>
        <v/>
      </c>
      <c r="V160" s="52">
        <f>IF('計算'!$C156="","",IF('計算'!$M156="","",'計算'!$BD156))</f>
        <v/>
      </c>
      <c r="W160" s="52">
        <f>IF('計算'!$C156="","",IF('計算'!$M156="","",'計算'!$BE156))</f>
        <v/>
      </c>
      <c r="X160" s="52">
        <f>IF('計算'!$C156="","",IF('計算'!$M156="","",'計算'!$BF156))</f>
        <v/>
      </c>
      <c r="Y160" s="52">
        <f>IF('計算'!$C156="","",IF('計算'!$M156="","",'計算'!$BG156))</f>
        <v/>
      </c>
      <c r="Z160" s="52">
        <f>IF('計算'!$C156="","",IF('計算'!$M156="","",'計算'!$BH156))</f>
        <v/>
      </c>
      <c r="AA160" s="52">
        <f>IF('計算'!$C156="","",IF('計算'!$M156="","",'計算'!$BI156))</f>
        <v/>
      </c>
      <c r="AB160" s="52">
        <f>IF('計算'!$C156="","",IF('計算'!$M156="","",'計算'!$BJ156))</f>
        <v/>
      </c>
      <c r="AC160" s="52">
        <f>IF('計算'!$C156="","",IF('計算'!$M156="","",'計算'!$BK156))</f>
        <v/>
      </c>
      <c r="AD160" s="53" t="n"/>
      <c r="AE160" s="48" t="n"/>
      <c r="AF160" s="54">
        <f>IF('計算'!$C156="","",'計算'!$C156)</f>
        <v/>
      </c>
      <c r="AG160" s="54">
        <f>IF('計算'!$C156="","",'計算'!$F156)</f>
        <v/>
      </c>
    </row>
    <row r="161" ht="18" customHeight="1">
      <c r="B161" s="42">
        <f>IF('計算'!$C157="","",'計算'!$B157)</f>
        <v/>
      </c>
      <c r="C161" s="43">
        <f>IF('計算'!$C157="","",'計算'!$D157)</f>
        <v/>
      </c>
      <c r="D161" s="44">
        <f>IF('計算'!$C157="","",'計算'!$O157)</f>
        <v/>
      </c>
      <c r="E161" s="45">
        <f>IF('計算'!$C157="","",'計算'!$L157)</f>
        <v/>
      </c>
      <c r="F161" s="46">
        <f>IF('計算'!$C157="","",'計算'!$CD157)</f>
        <v/>
      </c>
      <c r="G161" s="47">
        <f>IF('計算'!$C157="","",'計算'!$CA157)</f>
        <v/>
      </c>
      <c r="H161" s="43">
        <f>IF('計算'!$C157="","",'計算'!$CP157)</f>
        <v/>
      </c>
      <c r="I161" s="48" t="n"/>
      <c r="J161" s="49" t="n"/>
      <c r="K161" s="50">
        <f>IF('計算'!$C157="","",'計算'!$CR157)</f>
        <v/>
      </c>
      <c r="L161" s="51">
        <f>IF('計算'!$C157="","",'計算'!$CF157)</f>
        <v/>
      </c>
      <c r="M161" s="48" t="n"/>
      <c r="N161" s="49" t="n"/>
      <c r="O161" s="43">
        <f>IF('計算'!$C157="","",'計算'!$CQ157)</f>
        <v/>
      </c>
      <c r="P161" s="52">
        <f>IF('計算'!$C157="","",IF('計算'!$M157="","",'計算'!$AX157))</f>
        <v/>
      </c>
      <c r="Q161" s="52">
        <f>IF('計算'!$C157="","",IF('計算'!$M157="","",'計算'!$AY157))</f>
        <v/>
      </c>
      <c r="R161" s="52">
        <f>IF('計算'!$C157="","",IF('計算'!$M157="","",'計算'!$AZ157))</f>
        <v/>
      </c>
      <c r="S161" s="52">
        <f>IF('計算'!$C157="","",IF('計算'!$M157="","",'計算'!$BA157))</f>
        <v/>
      </c>
      <c r="T161" s="52">
        <f>IF('計算'!$C157="","",IF('計算'!$M157="","",'計算'!$BB157))</f>
        <v/>
      </c>
      <c r="U161" s="52">
        <f>IF('計算'!$C157="","",IF('計算'!$M157="","",'計算'!$BC157))</f>
        <v/>
      </c>
      <c r="V161" s="52">
        <f>IF('計算'!$C157="","",IF('計算'!$M157="","",'計算'!$BD157))</f>
        <v/>
      </c>
      <c r="W161" s="52">
        <f>IF('計算'!$C157="","",IF('計算'!$M157="","",'計算'!$BE157))</f>
        <v/>
      </c>
      <c r="X161" s="52">
        <f>IF('計算'!$C157="","",IF('計算'!$M157="","",'計算'!$BF157))</f>
        <v/>
      </c>
      <c r="Y161" s="52">
        <f>IF('計算'!$C157="","",IF('計算'!$M157="","",'計算'!$BG157))</f>
        <v/>
      </c>
      <c r="Z161" s="52">
        <f>IF('計算'!$C157="","",IF('計算'!$M157="","",'計算'!$BH157))</f>
        <v/>
      </c>
      <c r="AA161" s="52">
        <f>IF('計算'!$C157="","",IF('計算'!$M157="","",'計算'!$BI157))</f>
        <v/>
      </c>
      <c r="AB161" s="52">
        <f>IF('計算'!$C157="","",IF('計算'!$M157="","",'計算'!$BJ157))</f>
        <v/>
      </c>
      <c r="AC161" s="52">
        <f>IF('計算'!$C157="","",IF('計算'!$M157="","",'計算'!$BK157))</f>
        <v/>
      </c>
      <c r="AD161" s="53" t="n"/>
      <c r="AE161" s="48" t="n"/>
      <c r="AF161" s="54">
        <f>IF('計算'!$C157="","",'計算'!$C157)</f>
        <v/>
      </c>
      <c r="AG161" s="54">
        <f>IF('計算'!$C157="","",'計算'!$F157)</f>
        <v/>
      </c>
    </row>
    <row r="162" ht="18" customHeight="1">
      <c r="B162" s="42">
        <f>IF('計算'!$C158="","",'計算'!$B158)</f>
        <v/>
      </c>
      <c r="C162" s="43">
        <f>IF('計算'!$C158="","",'計算'!$D158)</f>
        <v/>
      </c>
      <c r="D162" s="44">
        <f>IF('計算'!$C158="","",'計算'!$O158)</f>
        <v/>
      </c>
      <c r="E162" s="45">
        <f>IF('計算'!$C158="","",'計算'!$L158)</f>
        <v/>
      </c>
      <c r="F162" s="46">
        <f>IF('計算'!$C158="","",'計算'!$CD158)</f>
        <v/>
      </c>
      <c r="G162" s="47">
        <f>IF('計算'!$C158="","",'計算'!$CA158)</f>
        <v/>
      </c>
      <c r="H162" s="43">
        <f>IF('計算'!$C158="","",'計算'!$CP158)</f>
        <v/>
      </c>
      <c r="I162" s="48" t="n"/>
      <c r="J162" s="49" t="n"/>
      <c r="K162" s="50">
        <f>IF('計算'!$C158="","",'計算'!$CR158)</f>
        <v/>
      </c>
      <c r="L162" s="51">
        <f>IF('計算'!$C158="","",'計算'!$CF158)</f>
        <v/>
      </c>
      <c r="M162" s="48" t="n"/>
      <c r="N162" s="49" t="n"/>
      <c r="O162" s="43">
        <f>IF('計算'!$C158="","",'計算'!$CQ158)</f>
        <v/>
      </c>
      <c r="P162" s="52">
        <f>IF('計算'!$C158="","",IF('計算'!$M158="","",'計算'!$AX158))</f>
        <v/>
      </c>
      <c r="Q162" s="52">
        <f>IF('計算'!$C158="","",IF('計算'!$M158="","",'計算'!$AY158))</f>
        <v/>
      </c>
      <c r="R162" s="52">
        <f>IF('計算'!$C158="","",IF('計算'!$M158="","",'計算'!$AZ158))</f>
        <v/>
      </c>
      <c r="S162" s="52">
        <f>IF('計算'!$C158="","",IF('計算'!$M158="","",'計算'!$BA158))</f>
        <v/>
      </c>
      <c r="T162" s="52">
        <f>IF('計算'!$C158="","",IF('計算'!$M158="","",'計算'!$BB158))</f>
        <v/>
      </c>
      <c r="U162" s="52">
        <f>IF('計算'!$C158="","",IF('計算'!$M158="","",'計算'!$BC158))</f>
        <v/>
      </c>
      <c r="V162" s="52">
        <f>IF('計算'!$C158="","",IF('計算'!$M158="","",'計算'!$BD158))</f>
        <v/>
      </c>
      <c r="W162" s="52">
        <f>IF('計算'!$C158="","",IF('計算'!$M158="","",'計算'!$BE158))</f>
        <v/>
      </c>
      <c r="X162" s="52">
        <f>IF('計算'!$C158="","",IF('計算'!$M158="","",'計算'!$BF158))</f>
        <v/>
      </c>
      <c r="Y162" s="52">
        <f>IF('計算'!$C158="","",IF('計算'!$M158="","",'計算'!$BG158))</f>
        <v/>
      </c>
      <c r="Z162" s="52">
        <f>IF('計算'!$C158="","",IF('計算'!$M158="","",'計算'!$BH158))</f>
        <v/>
      </c>
      <c r="AA162" s="52">
        <f>IF('計算'!$C158="","",IF('計算'!$M158="","",'計算'!$BI158))</f>
        <v/>
      </c>
      <c r="AB162" s="52">
        <f>IF('計算'!$C158="","",IF('計算'!$M158="","",'計算'!$BJ158))</f>
        <v/>
      </c>
      <c r="AC162" s="52">
        <f>IF('計算'!$C158="","",IF('計算'!$M158="","",'計算'!$BK158))</f>
        <v/>
      </c>
      <c r="AD162" s="53" t="n"/>
      <c r="AE162" s="48" t="n"/>
      <c r="AF162" s="54">
        <f>IF('計算'!$C158="","",'計算'!$C158)</f>
        <v/>
      </c>
      <c r="AG162" s="54">
        <f>IF('計算'!$C158="","",'計算'!$F158)</f>
        <v/>
      </c>
    </row>
    <row r="163" ht="18" customHeight="1">
      <c r="B163" s="42">
        <f>IF('計算'!$C159="","",'計算'!$B159)</f>
        <v/>
      </c>
      <c r="C163" s="43">
        <f>IF('計算'!$C159="","",'計算'!$D159)</f>
        <v/>
      </c>
      <c r="D163" s="44">
        <f>IF('計算'!$C159="","",'計算'!$O159)</f>
        <v/>
      </c>
      <c r="E163" s="45">
        <f>IF('計算'!$C159="","",'計算'!$L159)</f>
        <v/>
      </c>
      <c r="F163" s="46">
        <f>IF('計算'!$C159="","",'計算'!$CD159)</f>
        <v/>
      </c>
      <c r="G163" s="47">
        <f>IF('計算'!$C159="","",'計算'!$CA159)</f>
        <v/>
      </c>
      <c r="H163" s="43">
        <f>IF('計算'!$C159="","",'計算'!$CP159)</f>
        <v/>
      </c>
      <c r="I163" s="48" t="n"/>
      <c r="J163" s="49" t="n"/>
      <c r="K163" s="50">
        <f>IF('計算'!$C159="","",'計算'!$CR159)</f>
        <v/>
      </c>
      <c r="L163" s="51">
        <f>IF('計算'!$C159="","",'計算'!$CF159)</f>
        <v/>
      </c>
      <c r="M163" s="48" t="n"/>
      <c r="N163" s="49" t="n"/>
      <c r="O163" s="43">
        <f>IF('計算'!$C159="","",'計算'!$CQ159)</f>
        <v/>
      </c>
      <c r="P163" s="52">
        <f>IF('計算'!$C159="","",IF('計算'!$M159="","",'計算'!$AX159))</f>
        <v/>
      </c>
      <c r="Q163" s="52">
        <f>IF('計算'!$C159="","",IF('計算'!$M159="","",'計算'!$AY159))</f>
        <v/>
      </c>
      <c r="R163" s="52">
        <f>IF('計算'!$C159="","",IF('計算'!$M159="","",'計算'!$AZ159))</f>
        <v/>
      </c>
      <c r="S163" s="52">
        <f>IF('計算'!$C159="","",IF('計算'!$M159="","",'計算'!$BA159))</f>
        <v/>
      </c>
      <c r="T163" s="52">
        <f>IF('計算'!$C159="","",IF('計算'!$M159="","",'計算'!$BB159))</f>
        <v/>
      </c>
      <c r="U163" s="52">
        <f>IF('計算'!$C159="","",IF('計算'!$M159="","",'計算'!$BC159))</f>
        <v/>
      </c>
      <c r="V163" s="52">
        <f>IF('計算'!$C159="","",IF('計算'!$M159="","",'計算'!$BD159))</f>
        <v/>
      </c>
      <c r="W163" s="52">
        <f>IF('計算'!$C159="","",IF('計算'!$M159="","",'計算'!$BE159))</f>
        <v/>
      </c>
      <c r="X163" s="52">
        <f>IF('計算'!$C159="","",IF('計算'!$M159="","",'計算'!$BF159))</f>
        <v/>
      </c>
      <c r="Y163" s="52">
        <f>IF('計算'!$C159="","",IF('計算'!$M159="","",'計算'!$BG159))</f>
        <v/>
      </c>
      <c r="Z163" s="52">
        <f>IF('計算'!$C159="","",IF('計算'!$M159="","",'計算'!$BH159))</f>
        <v/>
      </c>
      <c r="AA163" s="52">
        <f>IF('計算'!$C159="","",IF('計算'!$M159="","",'計算'!$BI159))</f>
        <v/>
      </c>
      <c r="AB163" s="52">
        <f>IF('計算'!$C159="","",IF('計算'!$M159="","",'計算'!$BJ159))</f>
        <v/>
      </c>
      <c r="AC163" s="52">
        <f>IF('計算'!$C159="","",IF('計算'!$M159="","",'計算'!$BK159))</f>
        <v/>
      </c>
      <c r="AD163" s="53" t="n"/>
      <c r="AE163" s="48" t="n"/>
      <c r="AF163" s="54">
        <f>IF('計算'!$C159="","",'計算'!$C159)</f>
        <v/>
      </c>
      <c r="AG163" s="54">
        <f>IF('計算'!$C159="","",'計算'!$F159)</f>
        <v/>
      </c>
    </row>
    <row r="164" ht="18" customHeight="1">
      <c r="B164" s="42">
        <f>IF('計算'!$C160="","",'計算'!$B160)</f>
        <v/>
      </c>
      <c r="C164" s="43">
        <f>IF('計算'!$C160="","",'計算'!$D160)</f>
        <v/>
      </c>
      <c r="D164" s="44">
        <f>IF('計算'!$C160="","",'計算'!$O160)</f>
        <v/>
      </c>
      <c r="E164" s="45">
        <f>IF('計算'!$C160="","",'計算'!$L160)</f>
        <v/>
      </c>
      <c r="F164" s="46">
        <f>IF('計算'!$C160="","",'計算'!$CD160)</f>
        <v/>
      </c>
      <c r="G164" s="47">
        <f>IF('計算'!$C160="","",'計算'!$CA160)</f>
        <v/>
      </c>
      <c r="H164" s="43">
        <f>IF('計算'!$C160="","",'計算'!$CP160)</f>
        <v/>
      </c>
      <c r="I164" s="48" t="n"/>
      <c r="J164" s="49" t="n"/>
      <c r="K164" s="50">
        <f>IF('計算'!$C160="","",'計算'!$CR160)</f>
        <v/>
      </c>
      <c r="L164" s="51">
        <f>IF('計算'!$C160="","",'計算'!$CF160)</f>
        <v/>
      </c>
      <c r="M164" s="48" t="n"/>
      <c r="N164" s="49" t="n"/>
      <c r="O164" s="43">
        <f>IF('計算'!$C160="","",'計算'!$CQ160)</f>
        <v/>
      </c>
      <c r="P164" s="52">
        <f>IF('計算'!$C160="","",IF('計算'!$M160="","",'計算'!$AX160))</f>
        <v/>
      </c>
      <c r="Q164" s="52">
        <f>IF('計算'!$C160="","",IF('計算'!$M160="","",'計算'!$AY160))</f>
        <v/>
      </c>
      <c r="R164" s="52">
        <f>IF('計算'!$C160="","",IF('計算'!$M160="","",'計算'!$AZ160))</f>
        <v/>
      </c>
      <c r="S164" s="52">
        <f>IF('計算'!$C160="","",IF('計算'!$M160="","",'計算'!$BA160))</f>
        <v/>
      </c>
      <c r="T164" s="52">
        <f>IF('計算'!$C160="","",IF('計算'!$M160="","",'計算'!$BB160))</f>
        <v/>
      </c>
      <c r="U164" s="52">
        <f>IF('計算'!$C160="","",IF('計算'!$M160="","",'計算'!$BC160))</f>
        <v/>
      </c>
      <c r="V164" s="52">
        <f>IF('計算'!$C160="","",IF('計算'!$M160="","",'計算'!$BD160))</f>
        <v/>
      </c>
      <c r="W164" s="52">
        <f>IF('計算'!$C160="","",IF('計算'!$M160="","",'計算'!$BE160))</f>
        <v/>
      </c>
      <c r="X164" s="52">
        <f>IF('計算'!$C160="","",IF('計算'!$M160="","",'計算'!$BF160))</f>
        <v/>
      </c>
      <c r="Y164" s="52">
        <f>IF('計算'!$C160="","",IF('計算'!$M160="","",'計算'!$BG160))</f>
        <v/>
      </c>
      <c r="Z164" s="52">
        <f>IF('計算'!$C160="","",IF('計算'!$M160="","",'計算'!$BH160))</f>
        <v/>
      </c>
      <c r="AA164" s="52">
        <f>IF('計算'!$C160="","",IF('計算'!$M160="","",'計算'!$BI160))</f>
        <v/>
      </c>
      <c r="AB164" s="52">
        <f>IF('計算'!$C160="","",IF('計算'!$M160="","",'計算'!$BJ160))</f>
        <v/>
      </c>
      <c r="AC164" s="52">
        <f>IF('計算'!$C160="","",IF('計算'!$M160="","",'計算'!$BK160))</f>
        <v/>
      </c>
      <c r="AD164" s="53" t="n"/>
      <c r="AE164" s="48" t="n"/>
      <c r="AF164" s="54">
        <f>IF('計算'!$C160="","",'計算'!$C160)</f>
        <v/>
      </c>
      <c r="AG164" s="54">
        <f>IF('計算'!$C160="","",'計算'!$F160)</f>
        <v/>
      </c>
    </row>
    <row r="165" ht="18" customHeight="1">
      <c r="B165" s="42">
        <f>IF('計算'!$C161="","",'計算'!$B161)</f>
        <v/>
      </c>
      <c r="C165" s="43">
        <f>IF('計算'!$C161="","",'計算'!$D161)</f>
        <v/>
      </c>
      <c r="D165" s="44">
        <f>IF('計算'!$C161="","",'計算'!$O161)</f>
        <v/>
      </c>
      <c r="E165" s="45">
        <f>IF('計算'!$C161="","",'計算'!$L161)</f>
        <v/>
      </c>
      <c r="F165" s="46">
        <f>IF('計算'!$C161="","",'計算'!$CD161)</f>
        <v/>
      </c>
      <c r="G165" s="47">
        <f>IF('計算'!$C161="","",'計算'!$CA161)</f>
        <v/>
      </c>
      <c r="H165" s="43">
        <f>IF('計算'!$C161="","",'計算'!$CP161)</f>
        <v/>
      </c>
      <c r="I165" s="48" t="n"/>
      <c r="J165" s="49" t="n"/>
      <c r="K165" s="50">
        <f>IF('計算'!$C161="","",'計算'!$CR161)</f>
        <v/>
      </c>
      <c r="L165" s="51">
        <f>IF('計算'!$C161="","",'計算'!$CF161)</f>
        <v/>
      </c>
      <c r="M165" s="48" t="n"/>
      <c r="N165" s="49" t="n"/>
      <c r="O165" s="43">
        <f>IF('計算'!$C161="","",'計算'!$CQ161)</f>
        <v/>
      </c>
      <c r="P165" s="52">
        <f>IF('計算'!$C161="","",IF('計算'!$M161="","",'計算'!$AX161))</f>
        <v/>
      </c>
      <c r="Q165" s="52">
        <f>IF('計算'!$C161="","",IF('計算'!$M161="","",'計算'!$AY161))</f>
        <v/>
      </c>
      <c r="R165" s="52">
        <f>IF('計算'!$C161="","",IF('計算'!$M161="","",'計算'!$AZ161))</f>
        <v/>
      </c>
      <c r="S165" s="52">
        <f>IF('計算'!$C161="","",IF('計算'!$M161="","",'計算'!$BA161))</f>
        <v/>
      </c>
      <c r="T165" s="52">
        <f>IF('計算'!$C161="","",IF('計算'!$M161="","",'計算'!$BB161))</f>
        <v/>
      </c>
      <c r="U165" s="52">
        <f>IF('計算'!$C161="","",IF('計算'!$M161="","",'計算'!$BC161))</f>
        <v/>
      </c>
      <c r="V165" s="52">
        <f>IF('計算'!$C161="","",IF('計算'!$M161="","",'計算'!$BD161))</f>
        <v/>
      </c>
      <c r="W165" s="52">
        <f>IF('計算'!$C161="","",IF('計算'!$M161="","",'計算'!$BE161))</f>
        <v/>
      </c>
      <c r="X165" s="52">
        <f>IF('計算'!$C161="","",IF('計算'!$M161="","",'計算'!$BF161))</f>
        <v/>
      </c>
      <c r="Y165" s="52">
        <f>IF('計算'!$C161="","",IF('計算'!$M161="","",'計算'!$BG161))</f>
        <v/>
      </c>
      <c r="Z165" s="52">
        <f>IF('計算'!$C161="","",IF('計算'!$M161="","",'計算'!$BH161))</f>
        <v/>
      </c>
      <c r="AA165" s="52">
        <f>IF('計算'!$C161="","",IF('計算'!$M161="","",'計算'!$BI161))</f>
        <v/>
      </c>
      <c r="AB165" s="52">
        <f>IF('計算'!$C161="","",IF('計算'!$M161="","",'計算'!$BJ161))</f>
        <v/>
      </c>
      <c r="AC165" s="52">
        <f>IF('計算'!$C161="","",IF('計算'!$M161="","",'計算'!$BK161))</f>
        <v/>
      </c>
      <c r="AD165" s="53" t="n"/>
      <c r="AE165" s="48" t="n"/>
      <c r="AF165" s="54">
        <f>IF('計算'!$C161="","",'計算'!$C161)</f>
        <v/>
      </c>
      <c r="AG165" s="54">
        <f>IF('計算'!$C161="","",'計算'!$F161)</f>
        <v/>
      </c>
    </row>
    <row r="166" ht="18" customHeight="1">
      <c r="B166" s="42">
        <f>IF('計算'!$C162="","",'計算'!$B162)</f>
        <v/>
      </c>
      <c r="C166" s="43">
        <f>IF('計算'!$C162="","",'計算'!$D162)</f>
        <v/>
      </c>
      <c r="D166" s="44">
        <f>IF('計算'!$C162="","",'計算'!$O162)</f>
        <v/>
      </c>
      <c r="E166" s="45">
        <f>IF('計算'!$C162="","",'計算'!$L162)</f>
        <v/>
      </c>
      <c r="F166" s="46">
        <f>IF('計算'!$C162="","",'計算'!$CD162)</f>
        <v/>
      </c>
      <c r="G166" s="47">
        <f>IF('計算'!$C162="","",'計算'!$CA162)</f>
        <v/>
      </c>
      <c r="H166" s="43">
        <f>IF('計算'!$C162="","",'計算'!$CP162)</f>
        <v/>
      </c>
      <c r="I166" s="48" t="n"/>
      <c r="J166" s="49" t="n"/>
      <c r="K166" s="50">
        <f>IF('計算'!$C162="","",'計算'!$CR162)</f>
        <v/>
      </c>
      <c r="L166" s="51">
        <f>IF('計算'!$C162="","",'計算'!$CF162)</f>
        <v/>
      </c>
      <c r="M166" s="48" t="n"/>
      <c r="N166" s="49" t="n"/>
      <c r="O166" s="43">
        <f>IF('計算'!$C162="","",'計算'!$CQ162)</f>
        <v/>
      </c>
      <c r="P166" s="52">
        <f>IF('計算'!$C162="","",IF('計算'!$M162="","",'計算'!$AX162))</f>
        <v/>
      </c>
      <c r="Q166" s="52">
        <f>IF('計算'!$C162="","",IF('計算'!$M162="","",'計算'!$AY162))</f>
        <v/>
      </c>
      <c r="R166" s="52">
        <f>IF('計算'!$C162="","",IF('計算'!$M162="","",'計算'!$AZ162))</f>
        <v/>
      </c>
      <c r="S166" s="52">
        <f>IF('計算'!$C162="","",IF('計算'!$M162="","",'計算'!$BA162))</f>
        <v/>
      </c>
      <c r="T166" s="52">
        <f>IF('計算'!$C162="","",IF('計算'!$M162="","",'計算'!$BB162))</f>
        <v/>
      </c>
      <c r="U166" s="52">
        <f>IF('計算'!$C162="","",IF('計算'!$M162="","",'計算'!$BC162))</f>
        <v/>
      </c>
      <c r="V166" s="52">
        <f>IF('計算'!$C162="","",IF('計算'!$M162="","",'計算'!$BD162))</f>
        <v/>
      </c>
      <c r="W166" s="52">
        <f>IF('計算'!$C162="","",IF('計算'!$M162="","",'計算'!$BE162))</f>
        <v/>
      </c>
      <c r="X166" s="52">
        <f>IF('計算'!$C162="","",IF('計算'!$M162="","",'計算'!$BF162))</f>
        <v/>
      </c>
      <c r="Y166" s="52">
        <f>IF('計算'!$C162="","",IF('計算'!$M162="","",'計算'!$BG162))</f>
        <v/>
      </c>
      <c r="Z166" s="52">
        <f>IF('計算'!$C162="","",IF('計算'!$M162="","",'計算'!$BH162))</f>
        <v/>
      </c>
      <c r="AA166" s="52">
        <f>IF('計算'!$C162="","",IF('計算'!$M162="","",'計算'!$BI162))</f>
        <v/>
      </c>
      <c r="AB166" s="52">
        <f>IF('計算'!$C162="","",IF('計算'!$M162="","",'計算'!$BJ162))</f>
        <v/>
      </c>
      <c r="AC166" s="52">
        <f>IF('計算'!$C162="","",IF('計算'!$M162="","",'計算'!$BK162))</f>
        <v/>
      </c>
      <c r="AD166" s="53" t="n"/>
      <c r="AE166" s="48" t="n"/>
      <c r="AF166" s="54">
        <f>IF('計算'!$C162="","",'計算'!$C162)</f>
        <v/>
      </c>
      <c r="AG166" s="54">
        <f>IF('計算'!$C162="","",'計算'!$F162)</f>
        <v/>
      </c>
    </row>
    <row r="167" ht="18" customHeight="1">
      <c r="B167" s="42">
        <f>IF('計算'!$C163="","",'計算'!$B163)</f>
        <v/>
      </c>
      <c r="C167" s="43">
        <f>IF('計算'!$C163="","",'計算'!$D163)</f>
        <v/>
      </c>
      <c r="D167" s="44">
        <f>IF('計算'!$C163="","",'計算'!$O163)</f>
        <v/>
      </c>
      <c r="E167" s="45">
        <f>IF('計算'!$C163="","",'計算'!$L163)</f>
        <v/>
      </c>
      <c r="F167" s="46">
        <f>IF('計算'!$C163="","",'計算'!$CD163)</f>
        <v/>
      </c>
      <c r="G167" s="47">
        <f>IF('計算'!$C163="","",'計算'!$CA163)</f>
        <v/>
      </c>
      <c r="H167" s="43">
        <f>IF('計算'!$C163="","",'計算'!$CP163)</f>
        <v/>
      </c>
      <c r="I167" s="48" t="n"/>
      <c r="J167" s="49" t="n"/>
      <c r="K167" s="50">
        <f>IF('計算'!$C163="","",'計算'!$CR163)</f>
        <v/>
      </c>
      <c r="L167" s="51">
        <f>IF('計算'!$C163="","",'計算'!$CF163)</f>
        <v/>
      </c>
      <c r="M167" s="48" t="n"/>
      <c r="N167" s="49" t="n"/>
      <c r="O167" s="43">
        <f>IF('計算'!$C163="","",'計算'!$CQ163)</f>
        <v/>
      </c>
      <c r="P167" s="52">
        <f>IF('計算'!$C163="","",IF('計算'!$M163="","",'計算'!$AX163))</f>
        <v/>
      </c>
      <c r="Q167" s="52">
        <f>IF('計算'!$C163="","",IF('計算'!$M163="","",'計算'!$AY163))</f>
        <v/>
      </c>
      <c r="R167" s="52">
        <f>IF('計算'!$C163="","",IF('計算'!$M163="","",'計算'!$AZ163))</f>
        <v/>
      </c>
      <c r="S167" s="52">
        <f>IF('計算'!$C163="","",IF('計算'!$M163="","",'計算'!$BA163))</f>
        <v/>
      </c>
      <c r="T167" s="52">
        <f>IF('計算'!$C163="","",IF('計算'!$M163="","",'計算'!$BB163))</f>
        <v/>
      </c>
      <c r="U167" s="52">
        <f>IF('計算'!$C163="","",IF('計算'!$M163="","",'計算'!$BC163))</f>
        <v/>
      </c>
      <c r="V167" s="52">
        <f>IF('計算'!$C163="","",IF('計算'!$M163="","",'計算'!$BD163))</f>
        <v/>
      </c>
      <c r="W167" s="52">
        <f>IF('計算'!$C163="","",IF('計算'!$M163="","",'計算'!$BE163))</f>
        <v/>
      </c>
      <c r="X167" s="52">
        <f>IF('計算'!$C163="","",IF('計算'!$M163="","",'計算'!$BF163))</f>
        <v/>
      </c>
      <c r="Y167" s="52">
        <f>IF('計算'!$C163="","",IF('計算'!$M163="","",'計算'!$BG163))</f>
        <v/>
      </c>
      <c r="Z167" s="52">
        <f>IF('計算'!$C163="","",IF('計算'!$M163="","",'計算'!$BH163))</f>
        <v/>
      </c>
      <c r="AA167" s="52">
        <f>IF('計算'!$C163="","",IF('計算'!$M163="","",'計算'!$BI163))</f>
        <v/>
      </c>
      <c r="AB167" s="52">
        <f>IF('計算'!$C163="","",IF('計算'!$M163="","",'計算'!$BJ163))</f>
        <v/>
      </c>
      <c r="AC167" s="52">
        <f>IF('計算'!$C163="","",IF('計算'!$M163="","",'計算'!$BK163))</f>
        <v/>
      </c>
      <c r="AD167" s="53" t="n"/>
      <c r="AE167" s="48" t="n"/>
      <c r="AF167" s="54">
        <f>IF('計算'!$C163="","",'計算'!$C163)</f>
        <v/>
      </c>
      <c r="AG167" s="54">
        <f>IF('計算'!$C163="","",'計算'!$F163)</f>
        <v/>
      </c>
    </row>
    <row r="168" ht="18" customHeight="1">
      <c r="B168" s="42">
        <f>IF('計算'!$C164="","",'計算'!$B164)</f>
        <v/>
      </c>
      <c r="C168" s="43">
        <f>IF('計算'!$C164="","",'計算'!$D164)</f>
        <v/>
      </c>
      <c r="D168" s="44">
        <f>IF('計算'!$C164="","",'計算'!$O164)</f>
        <v/>
      </c>
      <c r="E168" s="45">
        <f>IF('計算'!$C164="","",'計算'!$L164)</f>
        <v/>
      </c>
      <c r="F168" s="46">
        <f>IF('計算'!$C164="","",'計算'!$CD164)</f>
        <v/>
      </c>
      <c r="G168" s="47">
        <f>IF('計算'!$C164="","",'計算'!$CA164)</f>
        <v/>
      </c>
      <c r="H168" s="43">
        <f>IF('計算'!$C164="","",'計算'!$CP164)</f>
        <v/>
      </c>
      <c r="I168" s="48" t="n"/>
      <c r="J168" s="49" t="n"/>
      <c r="K168" s="50">
        <f>IF('計算'!$C164="","",'計算'!$CR164)</f>
        <v/>
      </c>
      <c r="L168" s="51">
        <f>IF('計算'!$C164="","",'計算'!$CF164)</f>
        <v/>
      </c>
      <c r="M168" s="48" t="n"/>
      <c r="N168" s="49" t="n"/>
      <c r="O168" s="43">
        <f>IF('計算'!$C164="","",'計算'!$CQ164)</f>
        <v/>
      </c>
      <c r="P168" s="52">
        <f>IF('計算'!$C164="","",IF('計算'!$M164="","",'計算'!$AX164))</f>
        <v/>
      </c>
      <c r="Q168" s="52">
        <f>IF('計算'!$C164="","",IF('計算'!$M164="","",'計算'!$AY164))</f>
        <v/>
      </c>
      <c r="R168" s="52">
        <f>IF('計算'!$C164="","",IF('計算'!$M164="","",'計算'!$AZ164))</f>
        <v/>
      </c>
      <c r="S168" s="52">
        <f>IF('計算'!$C164="","",IF('計算'!$M164="","",'計算'!$BA164))</f>
        <v/>
      </c>
      <c r="T168" s="52">
        <f>IF('計算'!$C164="","",IF('計算'!$M164="","",'計算'!$BB164))</f>
        <v/>
      </c>
      <c r="U168" s="52">
        <f>IF('計算'!$C164="","",IF('計算'!$M164="","",'計算'!$BC164))</f>
        <v/>
      </c>
      <c r="V168" s="52">
        <f>IF('計算'!$C164="","",IF('計算'!$M164="","",'計算'!$BD164))</f>
        <v/>
      </c>
      <c r="W168" s="52">
        <f>IF('計算'!$C164="","",IF('計算'!$M164="","",'計算'!$BE164))</f>
        <v/>
      </c>
      <c r="X168" s="52">
        <f>IF('計算'!$C164="","",IF('計算'!$M164="","",'計算'!$BF164))</f>
        <v/>
      </c>
      <c r="Y168" s="52">
        <f>IF('計算'!$C164="","",IF('計算'!$M164="","",'計算'!$BG164))</f>
        <v/>
      </c>
      <c r="Z168" s="52">
        <f>IF('計算'!$C164="","",IF('計算'!$M164="","",'計算'!$BH164))</f>
        <v/>
      </c>
      <c r="AA168" s="52">
        <f>IF('計算'!$C164="","",IF('計算'!$M164="","",'計算'!$BI164))</f>
        <v/>
      </c>
      <c r="AB168" s="52">
        <f>IF('計算'!$C164="","",IF('計算'!$M164="","",'計算'!$BJ164))</f>
        <v/>
      </c>
      <c r="AC168" s="52">
        <f>IF('計算'!$C164="","",IF('計算'!$M164="","",'計算'!$BK164))</f>
        <v/>
      </c>
      <c r="AD168" s="53" t="n"/>
      <c r="AE168" s="48" t="n"/>
      <c r="AF168" s="54">
        <f>IF('計算'!$C164="","",'計算'!$C164)</f>
        <v/>
      </c>
      <c r="AG168" s="54">
        <f>IF('計算'!$C164="","",'計算'!$F164)</f>
        <v/>
      </c>
    </row>
    <row r="169" ht="18" customHeight="1">
      <c r="B169" s="42">
        <f>IF('計算'!$C165="","",'計算'!$B165)</f>
        <v/>
      </c>
      <c r="C169" s="43">
        <f>IF('計算'!$C165="","",'計算'!$D165)</f>
        <v/>
      </c>
      <c r="D169" s="44">
        <f>IF('計算'!$C165="","",'計算'!$O165)</f>
        <v/>
      </c>
      <c r="E169" s="45">
        <f>IF('計算'!$C165="","",'計算'!$L165)</f>
        <v/>
      </c>
      <c r="F169" s="46">
        <f>IF('計算'!$C165="","",'計算'!$CD165)</f>
        <v/>
      </c>
      <c r="G169" s="47">
        <f>IF('計算'!$C165="","",'計算'!$CA165)</f>
        <v/>
      </c>
      <c r="H169" s="43">
        <f>IF('計算'!$C165="","",'計算'!$CP165)</f>
        <v/>
      </c>
      <c r="I169" s="48" t="n"/>
      <c r="J169" s="49" t="n"/>
      <c r="K169" s="50">
        <f>IF('計算'!$C165="","",'計算'!$CR165)</f>
        <v/>
      </c>
      <c r="L169" s="51">
        <f>IF('計算'!$C165="","",'計算'!$CF165)</f>
        <v/>
      </c>
      <c r="M169" s="48" t="n"/>
      <c r="N169" s="49" t="n"/>
      <c r="O169" s="43">
        <f>IF('計算'!$C165="","",'計算'!$CQ165)</f>
        <v/>
      </c>
      <c r="P169" s="52">
        <f>IF('計算'!$C165="","",IF('計算'!$M165="","",'計算'!$AX165))</f>
        <v/>
      </c>
      <c r="Q169" s="52">
        <f>IF('計算'!$C165="","",IF('計算'!$M165="","",'計算'!$AY165))</f>
        <v/>
      </c>
      <c r="R169" s="52">
        <f>IF('計算'!$C165="","",IF('計算'!$M165="","",'計算'!$AZ165))</f>
        <v/>
      </c>
      <c r="S169" s="52">
        <f>IF('計算'!$C165="","",IF('計算'!$M165="","",'計算'!$BA165))</f>
        <v/>
      </c>
      <c r="T169" s="52">
        <f>IF('計算'!$C165="","",IF('計算'!$M165="","",'計算'!$BB165))</f>
        <v/>
      </c>
      <c r="U169" s="52">
        <f>IF('計算'!$C165="","",IF('計算'!$M165="","",'計算'!$BC165))</f>
        <v/>
      </c>
      <c r="V169" s="52">
        <f>IF('計算'!$C165="","",IF('計算'!$M165="","",'計算'!$BD165))</f>
        <v/>
      </c>
      <c r="W169" s="52">
        <f>IF('計算'!$C165="","",IF('計算'!$M165="","",'計算'!$BE165))</f>
        <v/>
      </c>
      <c r="X169" s="52">
        <f>IF('計算'!$C165="","",IF('計算'!$M165="","",'計算'!$BF165))</f>
        <v/>
      </c>
      <c r="Y169" s="52">
        <f>IF('計算'!$C165="","",IF('計算'!$M165="","",'計算'!$BG165))</f>
        <v/>
      </c>
      <c r="Z169" s="52">
        <f>IF('計算'!$C165="","",IF('計算'!$M165="","",'計算'!$BH165))</f>
        <v/>
      </c>
      <c r="AA169" s="52">
        <f>IF('計算'!$C165="","",IF('計算'!$M165="","",'計算'!$BI165))</f>
        <v/>
      </c>
      <c r="AB169" s="52">
        <f>IF('計算'!$C165="","",IF('計算'!$M165="","",'計算'!$BJ165))</f>
        <v/>
      </c>
      <c r="AC169" s="52">
        <f>IF('計算'!$C165="","",IF('計算'!$M165="","",'計算'!$BK165))</f>
        <v/>
      </c>
      <c r="AD169" s="53" t="n"/>
      <c r="AE169" s="48" t="n"/>
      <c r="AF169" s="54">
        <f>IF('計算'!$C165="","",'計算'!$C165)</f>
        <v/>
      </c>
      <c r="AG169" s="54">
        <f>IF('計算'!$C165="","",'計算'!$F165)</f>
        <v/>
      </c>
    </row>
    <row r="170" ht="18" customHeight="1">
      <c r="B170" s="42">
        <f>IF('計算'!$C166="","",'計算'!$B166)</f>
        <v/>
      </c>
      <c r="C170" s="43">
        <f>IF('計算'!$C166="","",'計算'!$D166)</f>
        <v/>
      </c>
      <c r="D170" s="44">
        <f>IF('計算'!$C166="","",'計算'!$O166)</f>
        <v/>
      </c>
      <c r="E170" s="45">
        <f>IF('計算'!$C166="","",'計算'!$L166)</f>
        <v/>
      </c>
      <c r="F170" s="46">
        <f>IF('計算'!$C166="","",'計算'!$CD166)</f>
        <v/>
      </c>
      <c r="G170" s="47">
        <f>IF('計算'!$C166="","",'計算'!$CA166)</f>
        <v/>
      </c>
      <c r="H170" s="43">
        <f>IF('計算'!$C166="","",'計算'!$CP166)</f>
        <v/>
      </c>
      <c r="I170" s="48" t="n"/>
      <c r="J170" s="49" t="n"/>
      <c r="K170" s="50">
        <f>IF('計算'!$C166="","",'計算'!$CR166)</f>
        <v/>
      </c>
      <c r="L170" s="51">
        <f>IF('計算'!$C166="","",'計算'!$CF166)</f>
        <v/>
      </c>
      <c r="M170" s="48" t="n"/>
      <c r="N170" s="49" t="n"/>
      <c r="O170" s="43">
        <f>IF('計算'!$C166="","",'計算'!$CQ166)</f>
        <v/>
      </c>
      <c r="P170" s="52">
        <f>IF('計算'!$C166="","",IF('計算'!$M166="","",'計算'!$AX166))</f>
        <v/>
      </c>
      <c r="Q170" s="52">
        <f>IF('計算'!$C166="","",IF('計算'!$M166="","",'計算'!$AY166))</f>
        <v/>
      </c>
      <c r="R170" s="52">
        <f>IF('計算'!$C166="","",IF('計算'!$M166="","",'計算'!$AZ166))</f>
        <v/>
      </c>
      <c r="S170" s="52">
        <f>IF('計算'!$C166="","",IF('計算'!$M166="","",'計算'!$BA166))</f>
        <v/>
      </c>
      <c r="T170" s="52">
        <f>IF('計算'!$C166="","",IF('計算'!$M166="","",'計算'!$BB166))</f>
        <v/>
      </c>
      <c r="U170" s="52">
        <f>IF('計算'!$C166="","",IF('計算'!$M166="","",'計算'!$BC166))</f>
        <v/>
      </c>
      <c r="V170" s="52">
        <f>IF('計算'!$C166="","",IF('計算'!$M166="","",'計算'!$BD166))</f>
        <v/>
      </c>
      <c r="W170" s="52">
        <f>IF('計算'!$C166="","",IF('計算'!$M166="","",'計算'!$BE166))</f>
        <v/>
      </c>
      <c r="X170" s="52">
        <f>IF('計算'!$C166="","",IF('計算'!$M166="","",'計算'!$BF166))</f>
        <v/>
      </c>
      <c r="Y170" s="52">
        <f>IF('計算'!$C166="","",IF('計算'!$M166="","",'計算'!$BG166))</f>
        <v/>
      </c>
      <c r="Z170" s="52">
        <f>IF('計算'!$C166="","",IF('計算'!$M166="","",'計算'!$BH166))</f>
        <v/>
      </c>
      <c r="AA170" s="52">
        <f>IF('計算'!$C166="","",IF('計算'!$M166="","",'計算'!$BI166))</f>
        <v/>
      </c>
      <c r="AB170" s="52">
        <f>IF('計算'!$C166="","",IF('計算'!$M166="","",'計算'!$BJ166))</f>
        <v/>
      </c>
      <c r="AC170" s="52">
        <f>IF('計算'!$C166="","",IF('計算'!$M166="","",'計算'!$BK166))</f>
        <v/>
      </c>
      <c r="AD170" s="53" t="n"/>
      <c r="AE170" s="48" t="n"/>
      <c r="AF170" s="54">
        <f>IF('計算'!$C166="","",'計算'!$C166)</f>
        <v/>
      </c>
      <c r="AG170" s="54">
        <f>IF('計算'!$C166="","",'計算'!$F166)</f>
        <v/>
      </c>
    </row>
    <row r="171" ht="18" customHeight="1">
      <c r="B171" s="42">
        <f>IF('計算'!$C167="","",'計算'!$B167)</f>
        <v/>
      </c>
      <c r="C171" s="43">
        <f>IF('計算'!$C167="","",'計算'!$D167)</f>
        <v/>
      </c>
      <c r="D171" s="44">
        <f>IF('計算'!$C167="","",'計算'!$O167)</f>
        <v/>
      </c>
      <c r="E171" s="45">
        <f>IF('計算'!$C167="","",'計算'!$L167)</f>
        <v/>
      </c>
      <c r="F171" s="46">
        <f>IF('計算'!$C167="","",'計算'!$CD167)</f>
        <v/>
      </c>
      <c r="G171" s="47">
        <f>IF('計算'!$C167="","",'計算'!$CA167)</f>
        <v/>
      </c>
      <c r="H171" s="43">
        <f>IF('計算'!$C167="","",'計算'!$CP167)</f>
        <v/>
      </c>
      <c r="I171" s="48" t="n"/>
      <c r="J171" s="49" t="n"/>
      <c r="K171" s="50">
        <f>IF('計算'!$C167="","",'計算'!$CR167)</f>
        <v/>
      </c>
      <c r="L171" s="51">
        <f>IF('計算'!$C167="","",'計算'!$CF167)</f>
        <v/>
      </c>
      <c r="M171" s="48" t="n"/>
      <c r="N171" s="49" t="n"/>
      <c r="O171" s="43">
        <f>IF('計算'!$C167="","",'計算'!$CQ167)</f>
        <v/>
      </c>
      <c r="P171" s="52">
        <f>IF('計算'!$C167="","",IF('計算'!$M167="","",'計算'!$AX167))</f>
        <v/>
      </c>
      <c r="Q171" s="52">
        <f>IF('計算'!$C167="","",IF('計算'!$M167="","",'計算'!$AY167))</f>
        <v/>
      </c>
      <c r="R171" s="52">
        <f>IF('計算'!$C167="","",IF('計算'!$M167="","",'計算'!$AZ167))</f>
        <v/>
      </c>
      <c r="S171" s="52">
        <f>IF('計算'!$C167="","",IF('計算'!$M167="","",'計算'!$BA167))</f>
        <v/>
      </c>
      <c r="T171" s="52">
        <f>IF('計算'!$C167="","",IF('計算'!$M167="","",'計算'!$BB167))</f>
        <v/>
      </c>
      <c r="U171" s="52">
        <f>IF('計算'!$C167="","",IF('計算'!$M167="","",'計算'!$BC167))</f>
        <v/>
      </c>
      <c r="V171" s="52">
        <f>IF('計算'!$C167="","",IF('計算'!$M167="","",'計算'!$BD167))</f>
        <v/>
      </c>
      <c r="W171" s="52">
        <f>IF('計算'!$C167="","",IF('計算'!$M167="","",'計算'!$BE167))</f>
        <v/>
      </c>
      <c r="X171" s="52">
        <f>IF('計算'!$C167="","",IF('計算'!$M167="","",'計算'!$BF167))</f>
        <v/>
      </c>
      <c r="Y171" s="52">
        <f>IF('計算'!$C167="","",IF('計算'!$M167="","",'計算'!$BG167))</f>
        <v/>
      </c>
      <c r="Z171" s="52">
        <f>IF('計算'!$C167="","",IF('計算'!$M167="","",'計算'!$BH167))</f>
        <v/>
      </c>
      <c r="AA171" s="52">
        <f>IF('計算'!$C167="","",IF('計算'!$M167="","",'計算'!$BI167))</f>
        <v/>
      </c>
      <c r="AB171" s="52">
        <f>IF('計算'!$C167="","",IF('計算'!$M167="","",'計算'!$BJ167))</f>
        <v/>
      </c>
      <c r="AC171" s="52">
        <f>IF('計算'!$C167="","",IF('計算'!$M167="","",'計算'!$BK167))</f>
        <v/>
      </c>
      <c r="AD171" s="53" t="n"/>
      <c r="AE171" s="48" t="n"/>
      <c r="AF171" s="54">
        <f>IF('計算'!$C167="","",'計算'!$C167)</f>
        <v/>
      </c>
      <c r="AG171" s="54">
        <f>IF('計算'!$C167="","",'計算'!$F167)</f>
        <v/>
      </c>
    </row>
    <row r="172" ht="18" customHeight="1">
      <c r="B172" s="42">
        <f>IF('計算'!$C168="","",'計算'!$B168)</f>
        <v/>
      </c>
      <c r="C172" s="43">
        <f>IF('計算'!$C168="","",'計算'!$D168)</f>
        <v/>
      </c>
      <c r="D172" s="44">
        <f>IF('計算'!$C168="","",'計算'!$O168)</f>
        <v/>
      </c>
      <c r="E172" s="45">
        <f>IF('計算'!$C168="","",'計算'!$L168)</f>
        <v/>
      </c>
      <c r="F172" s="46">
        <f>IF('計算'!$C168="","",'計算'!$CD168)</f>
        <v/>
      </c>
      <c r="G172" s="47">
        <f>IF('計算'!$C168="","",'計算'!$CA168)</f>
        <v/>
      </c>
      <c r="H172" s="43">
        <f>IF('計算'!$C168="","",'計算'!$CP168)</f>
        <v/>
      </c>
      <c r="I172" s="48" t="n"/>
      <c r="J172" s="49" t="n"/>
      <c r="K172" s="50">
        <f>IF('計算'!$C168="","",'計算'!$CR168)</f>
        <v/>
      </c>
      <c r="L172" s="51">
        <f>IF('計算'!$C168="","",'計算'!$CF168)</f>
        <v/>
      </c>
      <c r="M172" s="48" t="n"/>
      <c r="N172" s="49" t="n"/>
      <c r="O172" s="43">
        <f>IF('計算'!$C168="","",'計算'!$CQ168)</f>
        <v/>
      </c>
      <c r="P172" s="52">
        <f>IF('計算'!$C168="","",IF('計算'!$M168="","",'計算'!$AX168))</f>
        <v/>
      </c>
      <c r="Q172" s="52">
        <f>IF('計算'!$C168="","",IF('計算'!$M168="","",'計算'!$AY168))</f>
        <v/>
      </c>
      <c r="R172" s="52">
        <f>IF('計算'!$C168="","",IF('計算'!$M168="","",'計算'!$AZ168))</f>
        <v/>
      </c>
      <c r="S172" s="52">
        <f>IF('計算'!$C168="","",IF('計算'!$M168="","",'計算'!$BA168))</f>
        <v/>
      </c>
      <c r="T172" s="52">
        <f>IF('計算'!$C168="","",IF('計算'!$M168="","",'計算'!$BB168))</f>
        <v/>
      </c>
      <c r="U172" s="52">
        <f>IF('計算'!$C168="","",IF('計算'!$M168="","",'計算'!$BC168))</f>
        <v/>
      </c>
      <c r="V172" s="52">
        <f>IF('計算'!$C168="","",IF('計算'!$M168="","",'計算'!$BD168))</f>
        <v/>
      </c>
      <c r="W172" s="52">
        <f>IF('計算'!$C168="","",IF('計算'!$M168="","",'計算'!$BE168))</f>
        <v/>
      </c>
      <c r="X172" s="52">
        <f>IF('計算'!$C168="","",IF('計算'!$M168="","",'計算'!$BF168))</f>
        <v/>
      </c>
      <c r="Y172" s="52">
        <f>IF('計算'!$C168="","",IF('計算'!$M168="","",'計算'!$BG168))</f>
        <v/>
      </c>
      <c r="Z172" s="52">
        <f>IF('計算'!$C168="","",IF('計算'!$M168="","",'計算'!$BH168))</f>
        <v/>
      </c>
      <c r="AA172" s="52">
        <f>IF('計算'!$C168="","",IF('計算'!$M168="","",'計算'!$BI168))</f>
        <v/>
      </c>
      <c r="AB172" s="52">
        <f>IF('計算'!$C168="","",IF('計算'!$M168="","",'計算'!$BJ168))</f>
        <v/>
      </c>
      <c r="AC172" s="52">
        <f>IF('計算'!$C168="","",IF('計算'!$M168="","",'計算'!$BK168))</f>
        <v/>
      </c>
      <c r="AD172" s="53" t="n"/>
      <c r="AE172" s="48" t="n"/>
      <c r="AF172" s="54">
        <f>IF('計算'!$C168="","",'計算'!$C168)</f>
        <v/>
      </c>
      <c r="AG172" s="54">
        <f>IF('計算'!$C168="","",'計算'!$F168)</f>
        <v/>
      </c>
    </row>
    <row r="173" ht="18" customHeight="1">
      <c r="B173" s="42">
        <f>IF('計算'!$C169="","",'計算'!$B169)</f>
        <v/>
      </c>
      <c r="C173" s="43">
        <f>IF('計算'!$C169="","",'計算'!$D169)</f>
        <v/>
      </c>
      <c r="D173" s="44">
        <f>IF('計算'!$C169="","",'計算'!$O169)</f>
        <v/>
      </c>
      <c r="E173" s="45">
        <f>IF('計算'!$C169="","",'計算'!$L169)</f>
        <v/>
      </c>
      <c r="F173" s="46">
        <f>IF('計算'!$C169="","",'計算'!$CD169)</f>
        <v/>
      </c>
      <c r="G173" s="47">
        <f>IF('計算'!$C169="","",'計算'!$CA169)</f>
        <v/>
      </c>
      <c r="H173" s="43">
        <f>IF('計算'!$C169="","",'計算'!$CP169)</f>
        <v/>
      </c>
      <c r="I173" s="48" t="n"/>
      <c r="J173" s="49" t="n"/>
      <c r="K173" s="50">
        <f>IF('計算'!$C169="","",'計算'!$CR169)</f>
        <v/>
      </c>
      <c r="L173" s="51">
        <f>IF('計算'!$C169="","",'計算'!$CF169)</f>
        <v/>
      </c>
      <c r="M173" s="48" t="n"/>
      <c r="N173" s="49" t="n"/>
      <c r="O173" s="43">
        <f>IF('計算'!$C169="","",'計算'!$CQ169)</f>
        <v/>
      </c>
      <c r="P173" s="52">
        <f>IF('計算'!$C169="","",IF('計算'!$M169="","",'計算'!$AX169))</f>
        <v/>
      </c>
      <c r="Q173" s="52">
        <f>IF('計算'!$C169="","",IF('計算'!$M169="","",'計算'!$AY169))</f>
        <v/>
      </c>
      <c r="R173" s="52">
        <f>IF('計算'!$C169="","",IF('計算'!$M169="","",'計算'!$AZ169))</f>
        <v/>
      </c>
      <c r="S173" s="52">
        <f>IF('計算'!$C169="","",IF('計算'!$M169="","",'計算'!$BA169))</f>
        <v/>
      </c>
      <c r="T173" s="52">
        <f>IF('計算'!$C169="","",IF('計算'!$M169="","",'計算'!$BB169))</f>
        <v/>
      </c>
      <c r="U173" s="52">
        <f>IF('計算'!$C169="","",IF('計算'!$M169="","",'計算'!$BC169))</f>
        <v/>
      </c>
      <c r="V173" s="52">
        <f>IF('計算'!$C169="","",IF('計算'!$M169="","",'計算'!$BD169))</f>
        <v/>
      </c>
      <c r="W173" s="52">
        <f>IF('計算'!$C169="","",IF('計算'!$M169="","",'計算'!$BE169))</f>
        <v/>
      </c>
      <c r="X173" s="52">
        <f>IF('計算'!$C169="","",IF('計算'!$M169="","",'計算'!$BF169))</f>
        <v/>
      </c>
      <c r="Y173" s="52">
        <f>IF('計算'!$C169="","",IF('計算'!$M169="","",'計算'!$BG169))</f>
        <v/>
      </c>
      <c r="Z173" s="52">
        <f>IF('計算'!$C169="","",IF('計算'!$M169="","",'計算'!$BH169))</f>
        <v/>
      </c>
      <c r="AA173" s="52">
        <f>IF('計算'!$C169="","",IF('計算'!$M169="","",'計算'!$BI169))</f>
        <v/>
      </c>
      <c r="AB173" s="52">
        <f>IF('計算'!$C169="","",IF('計算'!$M169="","",'計算'!$BJ169))</f>
        <v/>
      </c>
      <c r="AC173" s="52">
        <f>IF('計算'!$C169="","",IF('計算'!$M169="","",'計算'!$BK169))</f>
        <v/>
      </c>
      <c r="AD173" s="53" t="n"/>
      <c r="AE173" s="48" t="n"/>
      <c r="AF173" s="54">
        <f>IF('計算'!$C169="","",'計算'!$C169)</f>
        <v/>
      </c>
      <c r="AG173" s="54">
        <f>IF('計算'!$C169="","",'計算'!$F169)</f>
        <v/>
      </c>
    </row>
    <row r="174" ht="18" customHeight="1">
      <c r="B174" s="42">
        <f>IF('計算'!$C170="","",'計算'!$B170)</f>
        <v/>
      </c>
      <c r="C174" s="43">
        <f>IF('計算'!$C170="","",'計算'!$D170)</f>
        <v/>
      </c>
      <c r="D174" s="44">
        <f>IF('計算'!$C170="","",'計算'!$O170)</f>
        <v/>
      </c>
      <c r="E174" s="45">
        <f>IF('計算'!$C170="","",'計算'!$L170)</f>
        <v/>
      </c>
      <c r="F174" s="46">
        <f>IF('計算'!$C170="","",'計算'!$CD170)</f>
        <v/>
      </c>
      <c r="G174" s="47">
        <f>IF('計算'!$C170="","",'計算'!$CA170)</f>
        <v/>
      </c>
      <c r="H174" s="43">
        <f>IF('計算'!$C170="","",'計算'!$CP170)</f>
        <v/>
      </c>
      <c r="I174" s="48" t="n"/>
      <c r="J174" s="49" t="n"/>
      <c r="K174" s="50">
        <f>IF('計算'!$C170="","",'計算'!$CR170)</f>
        <v/>
      </c>
      <c r="L174" s="51">
        <f>IF('計算'!$C170="","",'計算'!$CF170)</f>
        <v/>
      </c>
      <c r="M174" s="48" t="n"/>
      <c r="N174" s="49" t="n"/>
      <c r="O174" s="43">
        <f>IF('計算'!$C170="","",'計算'!$CQ170)</f>
        <v/>
      </c>
      <c r="P174" s="52">
        <f>IF('計算'!$C170="","",IF('計算'!$M170="","",'計算'!$AX170))</f>
        <v/>
      </c>
      <c r="Q174" s="52">
        <f>IF('計算'!$C170="","",IF('計算'!$M170="","",'計算'!$AY170))</f>
        <v/>
      </c>
      <c r="R174" s="52">
        <f>IF('計算'!$C170="","",IF('計算'!$M170="","",'計算'!$AZ170))</f>
        <v/>
      </c>
      <c r="S174" s="52">
        <f>IF('計算'!$C170="","",IF('計算'!$M170="","",'計算'!$BA170))</f>
        <v/>
      </c>
      <c r="T174" s="52">
        <f>IF('計算'!$C170="","",IF('計算'!$M170="","",'計算'!$BB170))</f>
        <v/>
      </c>
      <c r="U174" s="52">
        <f>IF('計算'!$C170="","",IF('計算'!$M170="","",'計算'!$BC170))</f>
        <v/>
      </c>
      <c r="V174" s="52">
        <f>IF('計算'!$C170="","",IF('計算'!$M170="","",'計算'!$BD170))</f>
        <v/>
      </c>
      <c r="W174" s="52">
        <f>IF('計算'!$C170="","",IF('計算'!$M170="","",'計算'!$BE170))</f>
        <v/>
      </c>
      <c r="X174" s="52">
        <f>IF('計算'!$C170="","",IF('計算'!$M170="","",'計算'!$BF170))</f>
        <v/>
      </c>
      <c r="Y174" s="52">
        <f>IF('計算'!$C170="","",IF('計算'!$M170="","",'計算'!$BG170))</f>
        <v/>
      </c>
      <c r="Z174" s="52">
        <f>IF('計算'!$C170="","",IF('計算'!$M170="","",'計算'!$BH170))</f>
        <v/>
      </c>
      <c r="AA174" s="52">
        <f>IF('計算'!$C170="","",IF('計算'!$M170="","",'計算'!$BI170))</f>
        <v/>
      </c>
      <c r="AB174" s="52">
        <f>IF('計算'!$C170="","",IF('計算'!$M170="","",'計算'!$BJ170))</f>
        <v/>
      </c>
      <c r="AC174" s="52">
        <f>IF('計算'!$C170="","",IF('計算'!$M170="","",'計算'!$BK170))</f>
        <v/>
      </c>
      <c r="AD174" s="53" t="n"/>
      <c r="AE174" s="48" t="n"/>
      <c r="AF174" s="54">
        <f>IF('計算'!$C170="","",'計算'!$C170)</f>
        <v/>
      </c>
      <c r="AG174" s="54">
        <f>IF('計算'!$C170="","",'計算'!$F170)</f>
        <v/>
      </c>
    </row>
    <row r="175" ht="18" customHeight="1">
      <c r="B175" s="42">
        <f>IF('計算'!$C171="","",'計算'!$B171)</f>
        <v/>
      </c>
      <c r="C175" s="43">
        <f>IF('計算'!$C171="","",'計算'!$D171)</f>
        <v/>
      </c>
      <c r="D175" s="44">
        <f>IF('計算'!$C171="","",'計算'!$O171)</f>
        <v/>
      </c>
      <c r="E175" s="45">
        <f>IF('計算'!$C171="","",'計算'!$L171)</f>
        <v/>
      </c>
      <c r="F175" s="46">
        <f>IF('計算'!$C171="","",'計算'!$CD171)</f>
        <v/>
      </c>
      <c r="G175" s="47">
        <f>IF('計算'!$C171="","",'計算'!$CA171)</f>
        <v/>
      </c>
      <c r="H175" s="43">
        <f>IF('計算'!$C171="","",'計算'!$CP171)</f>
        <v/>
      </c>
      <c r="I175" s="48" t="n"/>
      <c r="J175" s="49" t="n"/>
      <c r="K175" s="50">
        <f>IF('計算'!$C171="","",'計算'!$CR171)</f>
        <v/>
      </c>
      <c r="L175" s="51">
        <f>IF('計算'!$C171="","",'計算'!$CF171)</f>
        <v/>
      </c>
      <c r="M175" s="48" t="n"/>
      <c r="N175" s="49" t="n"/>
      <c r="O175" s="43">
        <f>IF('計算'!$C171="","",'計算'!$CQ171)</f>
        <v/>
      </c>
      <c r="P175" s="52">
        <f>IF('計算'!$C171="","",IF('計算'!$M171="","",'計算'!$AX171))</f>
        <v/>
      </c>
      <c r="Q175" s="52">
        <f>IF('計算'!$C171="","",IF('計算'!$M171="","",'計算'!$AY171))</f>
        <v/>
      </c>
      <c r="R175" s="52">
        <f>IF('計算'!$C171="","",IF('計算'!$M171="","",'計算'!$AZ171))</f>
        <v/>
      </c>
      <c r="S175" s="52">
        <f>IF('計算'!$C171="","",IF('計算'!$M171="","",'計算'!$BA171))</f>
        <v/>
      </c>
      <c r="T175" s="52">
        <f>IF('計算'!$C171="","",IF('計算'!$M171="","",'計算'!$BB171))</f>
        <v/>
      </c>
      <c r="U175" s="52">
        <f>IF('計算'!$C171="","",IF('計算'!$M171="","",'計算'!$BC171))</f>
        <v/>
      </c>
      <c r="V175" s="52">
        <f>IF('計算'!$C171="","",IF('計算'!$M171="","",'計算'!$BD171))</f>
        <v/>
      </c>
      <c r="W175" s="52">
        <f>IF('計算'!$C171="","",IF('計算'!$M171="","",'計算'!$BE171))</f>
        <v/>
      </c>
      <c r="X175" s="52">
        <f>IF('計算'!$C171="","",IF('計算'!$M171="","",'計算'!$BF171))</f>
        <v/>
      </c>
      <c r="Y175" s="52">
        <f>IF('計算'!$C171="","",IF('計算'!$M171="","",'計算'!$BG171))</f>
        <v/>
      </c>
      <c r="Z175" s="52">
        <f>IF('計算'!$C171="","",IF('計算'!$M171="","",'計算'!$BH171))</f>
        <v/>
      </c>
      <c r="AA175" s="52">
        <f>IF('計算'!$C171="","",IF('計算'!$M171="","",'計算'!$BI171))</f>
        <v/>
      </c>
      <c r="AB175" s="52">
        <f>IF('計算'!$C171="","",IF('計算'!$M171="","",'計算'!$BJ171))</f>
        <v/>
      </c>
      <c r="AC175" s="52">
        <f>IF('計算'!$C171="","",IF('計算'!$M171="","",'計算'!$BK171))</f>
        <v/>
      </c>
      <c r="AD175" s="53" t="n"/>
      <c r="AE175" s="48" t="n"/>
      <c r="AF175" s="54">
        <f>IF('計算'!$C171="","",'計算'!$C171)</f>
        <v/>
      </c>
      <c r="AG175" s="54">
        <f>IF('計算'!$C171="","",'計算'!$F171)</f>
        <v/>
      </c>
    </row>
    <row r="176" ht="18" customHeight="1">
      <c r="B176" s="42">
        <f>IF('計算'!$C172="","",'計算'!$B172)</f>
        <v/>
      </c>
      <c r="C176" s="43">
        <f>IF('計算'!$C172="","",'計算'!$D172)</f>
        <v/>
      </c>
      <c r="D176" s="44">
        <f>IF('計算'!$C172="","",'計算'!$O172)</f>
        <v/>
      </c>
      <c r="E176" s="45">
        <f>IF('計算'!$C172="","",'計算'!$L172)</f>
        <v/>
      </c>
      <c r="F176" s="46">
        <f>IF('計算'!$C172="","",'計算'!$CD172)</f>
        <v/>
      </c>
      <c r="G176" s="47">
        <f>IF('計算'!$C172="","",'計算'!$CA172)</f>
        <v/>
      </c>
      <c r="H176" s="43">
        <f>IF('計算'!$C172="","",'計算'!$CP172)</f>
        <v/>
      </c>
      <c r="I176" s="48" t="n"/>
      <c r="J176" s="49" t="n"/>
      <c r="K176" s="50">
        <f>IF('計算'!$C172="","",'計算'!$CR172)</f>
        <v/>
      </c>
      <c r="L176" s="51">
        <f>IF('計算'!$C172="","",'計算'!$CF172)</f>
        <v/>
      </c>
      <c r="M176" s="48" t="n"/>
      <c r="N176" s="49" t="n"/>
      <c r="O176" s="43">
        <f>IF('計算'!$C172="","",'計算'!$CQ172)</f>
        <v/>
      </c>
      <c r="P176" s="52">
        <f>IF('計算'!$C172="","",IF('計算'!$M172="","",'計算'!$AX172))</f>
        <v/>
      </c>
      <c r="Q176" s="52">
        <f>IF('計算'!$C172="","",IF('計算'!$M172="","",'計算'!$AY172))</f>
        <v/>
      </c>
      <c r="R176" s="52">
        <f>IF('計算'!$C172="","",IF('計算'!$M172="","",'計算'!$AZ172))</f>
        <v/>
      </c>
      <c r="S176" s="52">
        <f>IF('計算'!$C172="","",IF('計算'!$M172="","",'計算'!$BA172))</f>
        <v/>
      </c>
      <c r="T176" s="52">
        <f>IF('計算'!$C172="","",IF('計算'!$M172="","",'計算'!$BB172))</f>
        <v/>
      </c>
      <c r="U176" s="52">
        <f>IF('計算'!$C172="","",IF('計算'!$M172="","",'計算'!$BC172))</f>
        <v/>
      </c>
      <c r="V176" s="52">
        <f>IF('計算'!$C172="","",IF('計算'!$M172="","",'計算'!$BD172))</f>
        <v/>
      </c>
      <c r="W176" s="52">
        <f>IF('計算'!$C172="","",IF('計算'!$M172="","",'計算'!$BE172))</f>
        <v/>
      </c>
      <c r="X176" s="52">
        <f>IF('計算'!$C172="","",IF('計算'!$M172="","",'計算'!$BF172))</f>
        <v/>
      </c>
      <c r="Y176" s="52">
        <f>IF('計算'!$C172="","",IF('計算'!$M172="","",'計算'!$BG172))</f>
        <v/>
      </c>
      <c r="Z176" s="52">
        <f>IF('計算'!$C172="","",IF('計算'!$M172="","",'計算'!$BH172))</f>
        <v/>
      </c>
      <c r="AA176" s="52">
        <f>IF('計算'!$C172="","",IF('計算'!$M172="","",'計算'!$BI172))</f>
        <v/>
      </c>
      <c r="AB176" s="52">
        <f>IF('計算'!$C172="","",IF('計算'!$M172="","",'計算'!$BJ172))</f>
        <v/>
      </c>
      <c r="AC176" s="52">
        <f>IF('計算'!$C172="","",IF('計算'!$M172="","",'計算'!$BK172))</f>
        <v/>
      </c>
      <c r="AD176" s="53" t="n"/>
      <c r="AE176" s="48" t="n"/>
      <c r="AF176" s="54">
        <f>IF('計算'!$C172="","",'計算'!$C172)</f>
        <v/>
      </c>
      <c r="AG176" s="54">
        <f>IF('計算'!$C172="","",'計算'!$F172)</f>
        <v/>
      </c>
    </row>
    <row r="177" ht="18" customHeight="1">
      <c r="B177" s="42">
        <f>IF('計算'!$C173="","",'計算'!$B173)</f>
        <v/>
      </c>
      <c r="C177" s="43">
        <f>IF('計算'!$C173="","",'計算'!$D173)</f>
        <v/>
      </c>
      <c r="D177" s="44">
        <f>IF('計算'!$C173="","",'計算'!$O173)</f>
        <v/>
      </c>
      <c r="E177" s="45">
        <f>IF('計算'!$C173="","",'計算'!$L173)</f>
        <v/>
      </c>
      <c r="F177" s="46">
        <f>IF('計算'!$C173="","",'計算'!$CD173)</f>
        <v/>
      </c>
      <c r="G177" s="47">
        <f>IF('計算'!$C173="","",'計算'!$CA173)</f>
        <v/>
      </c>
      <c r="H177" s="43">
        <f>IF('計算'!$C173="","",'計算'!$CP173)</f>
        <v/>
      </c>
      <c r="I177" s="48" t="n"/>
      <c r="J177" s="49" t="n"/>
      <c r="K177" s="50">
        <f>IF('計算'!$C173="","",'計算'!$CR173)</f>
        <v/>
      </c>
      <c r="L177" s="51">
        <f>IF('計算'!$C173="","",'計算'!$CF173)</f>
        <v/>
      </c>
      <c r="M177" s="48" t="n"/>
      <c r="N177" s="49" t="n"/>
      <c r="O177" s="43">
        <f>IF('計算'!$C173="","",'計算'!$CQ173)</f>
        <v/>
      </c>
      <c r="P177" s="52">
        <f>IF('計算'!$C173="","",IF('計算'!$M173="","",'計算'!$AX173))</f>
        <v/>
      </c>
      <c r="Q177" s="52">
        <f>IF('計算'!$C173="","",IF('計算'!$M173="","",'計算'!$AY173))</f>
        <v/>
      </c>
      <c r="R177" s="52">
        <f>IF('計算'!$C173="","",IF('計算'!$M173="","",'計算'!$AZ173))</f>
        <v/>
      </c>
      <c r="S177" s="52">
        <f>IF('計算'!$C173="","",IF('計算'!$M173="","",'計算'!$BA173))</f>
        <v/>
      </c>
      <c r="T177" s="52">
        <f>IF('計算'!$C173="","",IF('計算'!$M173="","",'計算'!$BB173))</f>
        <v/>
      </c>
      <c r="U177" s="52">
        <f>IF('計算'!$C173="","",IF('計算'!$M173="","",'計算'!$BC173))</f>
        <v/>
      </c>
      <c r="V177" s="52">
        <f>IF('計算'!$C173="","",IF('計算'!$M173="","",'計算'!$BD173))</f>
        <v/>
      </c>
      <c r="W177" s="52">
        <f>IF('計算'!$C173="","",IF('計算'!$M173="","",'計算'!$BE173))</f>
        <v/>
      </c>
      <c r="X177" s="52">
        <f>IF('計算'!$C173="","",IF('計算'!$M173="","",'計算'!$BF173))</f>
        <v/>
      </c>
      <c r="Y177" s="52">
        <f>IF('計算'!$C173="","",IF('計算'!$M173="","",'計算'!$BG173))</f>
        <v/>
      </c>
      <c r="Z177" s="52">
        <f>IF('計算'!$C173="","",IF('計算'!$M173="","",'計算'!$BH173))</f>
        <v/>
      </c>
      <c r="AA177" s="52">
        <f>IF('計算'!$C173="","",IF('計算'!$M173="","",'計算'!$BI173))</f>
        <v/>
      </c>
      <c r="AB177" s="52">
        <f>IF('計算'!$C173="","",IF('計算'!$M173="","",'計算'!$BJ173))</f>
        <v/>
      </c>
      <c r="AC177" s="52">
        <f>IF('計算'!$C173="","",IF('計算'!$M173="","",'計算'!$BK173))</f>
        <v/>
      </c>
      <c r="AD177" s="53" t="n"/>
      <c r="AE177" s="48" t="n"/>
      <c r="AF177" s="54">
        <f>IF('計算'!$C173="","",'計算'!$C173)</f>
        <v/>
      </c>
      <c r="AG177" s="54">
        <f>IF('計算'!$C173="","",'計算'!$F173)</f>
        <v/>
      </c>
    </row>
    <row r="178" ht="18" customHeight="1">
      <c r="B178" s="42">
        <f>IF('計算'!$C174="","",'計算'!$B174)</f>
        <v/>
      </c>
      <c r="C178" s="43">
        <f>IF('計算'!$C174="","",'計算'!$D174)</f>
        <v/>
      </c>
      <c r="D178" s="44">
        <f>IF('計算'!$C174="","",'計算'!$O174)</f>
        <v/>
      </c>
      <c r="E178" s="45">
        <f>IF('計算'!$C174="","",'計算'!$L174)</f>
        <v/>
      </c>
      <c r="F178" s="46">
        <f>IF('計算'!$C174="","",'計算'!$CD174)</f>
        <v/>
      </c>
      <c r="G178" s="47">
        <f>IF('計算'!$C174="","",'計算'!$CA174)</f>
        <v/>
      </c>
      <c r="H178" s="43">
        <f>IF('計算'!$C174="","",'計算'!$CP174)</f>
        <v/>
      </c>
      <c r="I178" s="48" t="n"/>
      <c r="J178" s="49" t="n"/>
      <c r="K178" s="50">
        <f>IF('計算'!$C174="","",'計算'!$CR174)</f>
        <v/>
      </c>
      <c r="L178" s="51">
        <f>IF('計算'!$C174="","",'計算'!$CF174)</f>
        <v/>
      </c>
      <c r="M178" s="48" t="n"/>
      <c r="N178" s="49" t="n"/>
      <c r="O178" s="43">
        <f>IF('計算'!$C174="","",'計算'!$CQ174)</f>
        <v/>
      </c>
      <c r="P178" s="52">
        <f>IF('計算'!$C174="","",IF('計算'!$M174="","",'計算'!$AX174))</f>
        <v/>
      </c>
      <c r="Q178" s="52">
        <f>IF('計算'!$C174="","",IF('計算'!$M174="","",'計算'!$AY174))</f>
        <v/>
      </c>
      <c r="R178" s="52">
        <f>IF('計算'!$C174="","",IF('計算'!$M174="","",'計算'!$AZ174))</f>
        <v/>
      </c>
      <c r="S178" s="52">
        <f>IF('計算'!$C174="","",IF('計算'!$M174="","",'計算'!$BA174))</f>
        <v/>
      </c>
      <c r="T178" s="52">
        <f>IF('計算'!$C174="","",IF('計算'!$M174="","",'計算'!$BB174))</f>
        <v/>
      </c>
      <c r="U178" s="52">
        <f>IF('計算'!$C174="","",IF('計算'!$M174="","",'計算'!$BC174))</f>
        <v/>
      </c>
      <c r="V178" s="52">
        <f>IF('計算'!$C174="","",IF('計算'!$M174="","",'計算'!$BD174))</f>
        <v/>
      </c>
      <c r="W178" s="52">
        <f>IF('計算'!$C174="","",IF('計算'!$M174="","",'計算'!$BE174))</f>
        <v/>
      </c>
      <c r="X178" s="52">
        <f>IF('計算'!$C174="","",IF('計算'!$M174="","",'計算'!$BF174))</f>
        <v/>
      </c>
      <c r="Y178" s="52">
        <f>IF('計算'!$C174="","",IF('計算'!$M174="","",'計算'!$BG174))</f>
        <v/>
      </c>
      <c r="Z178" s="52">
        <f>IF('計算'!$C174="","",IF('計算'!$M174="","",'計算'!$BH174))</f>
        <v/>
      </c>
      <c r="AA178" s="52">
        <f>IF('計算'!$C174="","",IF('計算'!$M174="","",'計算'!$BI174))</f>
        <v/>
      </c>
      <c r="AB178" s="52">
        <f>IF('計算'!$C174="","",IF('計算'!$M174="","",'計算'!$BJ174))</f>
        <v/>
      </c>
      <c r="AC178" s="52">
        <f>IF('計算'!$C174="","",IF('計算'!$M174="","",'計算'!$BK174))</f>
        <v/>
      </c>
      <c r="AD178" s="53" t="n"/>
      <c r="AE178" s="48" t="n"/>
      <c r="AF178" s="54">
        <f>IF('計算'!$C174="","",'計算'!$C174)</f>
        <v/>
      </c>
      <c r="AG178" s="54">
        <f>IF('計算'!$C174="","",'計算'!$F174)</f>
        <v/>
      </c>
    </row>
    <row r="179" ht="18" customHeight="1">
      <c r="B179" s="42">
        <f>IF('計算'!$C175="","",'計算'!$B175)</f>
        <v/>
      </c>
      <c r="C179" s="43">
        <f>IF('計算'!$C175="","",'計算'!$D175)</f>
        <v/>
      </c>
      <c r="D179" s="44">
        <f>IF('計算'!$C175="","",'計算'!$O175)</f>
        <v/>
      </c>
      <c r="E179" s="45">
        <f>IF('計算'!$C175="","",'計算'!$L175)</f>
        <v/>
      </c>
      <c r="F179" s="46">
        <f>IF('計算'!$C175="","",'計算'!$CD175)</f>
        <v/>
      </c>
      <c r="G179" s="47">
        <f>IF('計算'!$C175="","",'計算'!$CA175)</f>
        <v/>
      </c>
      <c r="H179" s="43">
        <f>IF('計算'!$C175="","",'計算'!$CP175)</f>
        <v/>
      </c>
      <c r="I179" s="48" t="n"/>
      <c r="J179" s="49" t="n"/>
      <c r="K179" s="50">
        <f>IF('計算'!$C175="","",'計算'!$CR175)</f>
        <v/>
      </c>
      <c r="L179" s="51">
        <f>IF('計算'!$C175="","",'計算'!$CF175)</f>
        <v/>
      </c>
      <c r="M179" s="48" t="n"/>
      <c r="N179" s="49" t="n"/>
      <c r="O179" s="43">
        <f>IF('計算'!$C175="","",'計算'!$CQ175)</f>
        <v/>
      </c>
      <c r="P179" s="52">
        <f>IF('計算'!$C175="","",IF('計算'!$M175="","",'計算'!$AX175))</f>
        <v/>
      </c>
      <c r="Q179" s="52">
        <f>IF('計算'!$C175="","",IF('計算'!$M175="","",'計算'!$AY175))</f>
        <v/>
      </c>
      <c r="R179" s="52">
        <f>IF('計算'!$C175="","",IF('計算'!$M175="","",'計算'!$AZ175))</f>
        <v/>
      </c>
      <c r="S179" s="52">
        <f>IF('計算'!$C175="","",IF('計算'!$M175="","",'計算'!$BA175))</f>
        <v/>
      </c>
      <c r="T179" s="52">
        <f>IF('計算'!$C175="","",IF('計算'!$M175="","",'計算'!$BB175))</f>
        <v/>
      </c>
      <c r="U179" s="52">
        <f>IF('計算'!$C175="","",IF('計算'!$M175="","",'計算'!$BC175))</f>
        <v/>
      </c>
      <c r="V179" s="52">
        <f>IF('計算'!$C175="","",IF('計算'!$M175="","",'計算'!$BD175))</f>
        <v/>
      </c>
      <c r="W179" s="52">
        <f>IF('計算'!$C175="","",IF('計算'!$M175="","",'計算'!$BE175))</f>
        <v/>
      </c>
      <c r="X179" s="52">
        <f>IF('計算'!$C175="","",IF('計算'!$M175="","",'計算'!$BF175))</f>
        <v/>
      </c>
      <c r="Y179" s="52">
        <f>IF('計算'!$C175="","",IF('計算'!$M175="","",'計算'!$BG175))</f>
        <v/>
      </c>
      <c r="Z179" s="52">
        <f>IF('計算'!$C175="","",IF('計算'!$M175="","",'計算'!$BH175))</f>
        <v/>
      </c>
      <c r="AA179" s="52">
        <f>IF('計算'!$C175="","",IF('計算'!$M175="","",'計算'!$BI175))</f>
        <v/>
      </c>
      <c r="AB179" s="52">
        <f>IF('計算'!$C175="","",IF('計算'!$M175="","",'計算'!$BJ175))</f>
        <v/>
      </c>
      <c r="AC179" s="52">
        <f>IF('計算'!$C175="","",IF('計算'!$M175="","",'計算'!$BK175))</f>
        <v/>
      </c>
      <c r="AD179" s="53" t="n"/>
      <c r="AE179" s="48" t="n"/>
      <c r="AF179" s="54">
        <f>IF('計算'!$C175="","",'計算'!$C175)</f>
        <v/>
      </c>
      <c r="AG179" s="54">
        <f>IF('計算'!$C175="","",'計算'!$F175)</f>
        <v/>
      </c>
    </row>
    <row r="180" ht="18" customHeight="1">
      <c r="B180" s="42">
        <f>IF('計算'!$C176="","",'計算'!$B176)</f>
        <v/>
      </c>
      <c r="C180" s="43">
        <f>IF('計算'!$C176="","",'計算'!$D176)</f>
        <v/>
      </c>
      <c r="D180" s="44">
        <f>IF('計算'!$C176="","",'計算'!$O176)</f>
        <v/>
      </c>
      <c r="E180" s="45">
        <f>IF('計算'!$C176="","",'計算'!$L176)</f>
        <v/>
      </c>
      <c r="F180" s="46">
        <f>IF('計算'!$C176="","",'計算'!$CD176)</f>
        <v/>
      </c>
      <c r="G180" s="47">
        <f>IF('計算'!$C176="","",'計算'!$CA176)</f>
        <v/>
      </c>
      <c r="H180" s="43">
        <f>IF('計算'!$C176="","",'計算'!$CP176)</f>
        <v/>
      </c>
      <c r="I180" s="48" t="n"/>
      <c r="J180" s="49" t="n"/>
      <c r="K180" s="50">
        <f>IF('計算'!$C176="","",'計算'!$CR176)</f>
        <v/>
      </c>
      <c r="L180" s="51">
        <f>IF('計算'!$C176="","",'計算'!$CF176)</f>
        <v/>
      </c>
      <c r="M180" s="48" t="n"/>
      <c r="N180" s="49" t="n"/>
      <c r="O180" s="43">
        <f>IF('計算'!$C176="","",'計算'!$CQ176)</f>
        <v/>
      </c>
      <c r="P180" s="52">
        <f>IF('計算'!$C176="","",IF('計算'!$M176="","",'計算'!$AX176))</f>
        <v/>
      </c>
      <c r="Q180" s="52">
        <f>IF('計算'!$C176="","",IF('計算'!$M176="","",'計算'!$AY176))</f>
        <v/>
      </c>
      <c r="R180" s="52">
        <f>IF('計算'!$C176="","",IF('計算'!$M176="","",'計算'!$AZ176))</f>
        <v/>
      </c>
      <c r="S180" s="52">
        <f>IF('計算'!$C176="","",IF('計算'!$M176="","",'計算'!$BA176))</f>
        <v/>
      </c>
      <c r="T180" s="52">
        <f>IF('計算'!$C176="","",IF('計算'!$M176="","",'計算'!$BB176))</f>
        <v/>
      </c>
      <c r="U180" s="52">
        <f>IF('計算'!$C176="","",IF('計算'!$M176="","",'計算'!$BC176))</f>
        <v/>
      </c>
      <c r="V180" s="52">
        <f>IF('計算'!$C176="","",IF('計算'!$M176="","",'計算'!$BD176))</f>
        <v/>
      </c>
      <c r="W180" s="52">
        <f>IF('計算'!$C176="","",IF('計算'!$M176="","",'計算'!$BE176))</f>
        <v/>
      </c>
      <c r="X180" s="52">
        <f>IF('計算'!$C176="","",IF('計算'!$M176="","",'計算'!$BF176))</f>
        <v/>
      </c>
      <c r="Y180" s="52">
        <f>IF('計算'!$C176="","",IF('計算'!$M176="","",'計算'!$BG176))</f>
        <v/>
      </c>
      <c r="Z180" s="52">
        <f>IF('計算'!$C176="","",IF('計算'!$M176="","",'計算'!$BH176))</f>
        <v/>
      </c>
      <c r="AA180" s="52">
        <f>IF('計算'!$C176="","",IF('計算'!$M176="","",'計算'!$BI176))</f>
        <v/>
      </c>
      <c r="AB180" s="52">
        <f>IF('計算'!$C176="","",IF('計算'!$M176="","",'計算'!$BJ176))</f>
        <v/>
      </c>
      <c r="AC180" s="52">
        <f>IF('計算'!$C176="","",IF('計算'!$M176="","",'計算'!$BK176))</f>
        <v/>
      </c>
      <c r="AD180" s="53" t="n"/>
      <c r="AE180" s="48" t="n"/>
      <c r="AF180" s="54">
        <f>IF('計算'!$C176="","",'計算'!$C176)</f>
        <v/>
      </c>
      <c r="AG180" s="54">
        <f>IF('計算'!$C176="","",'計算'!$F176)</f>
        <v/>
      </c>
    </row>
    <row r="181" ht="18" customHeight="1">
      <c r="B181" s="42">
        <f>IF('計算'!$C177="","",'計算'!$B177)</f>
        <v/>
      </c>
      <c r="C181" s="43">
        <f>IF('計算'!$C177="","",'計算'!$D177)</f>
        <v/>
      </c>
      <c r="D181" s="44">
        <f>IF('計算'!$C177="","",'計算'!$O177)</f>
        <v/>
      </c>
      <c r="E181" s="45">
        <f>IF('計算'!$C177="","",'計算'!$L177)</f>
        <v/>
      </c>
      <c r="F181" s="46">
        <f>IF('計算'!$C177="","",'計算'!$CD177)</f>
        <v/>
      </c>
      <c r="G181" s="47">
        <f>IF('計算'!$C177="","",'計算'!$CA177)</f>
        <v/>
      </c>
      <c r="H181" s="43">
        <f>IF('計算'!$C177="","",'計算'!$CP177)</f>
        <v/>
      </c>
      <c r="I181" s="48" t="n"/>
      <c r="J181" s="49" t="n"/>
      <c r="K181" s="50">
        <f>IF('計算'!$C177="","",'計算'!$CR177)</f>
        <v/>
      </c>
      <c r="L181" s="51">
        <f>IF('計算'!$C177="","",'計算'!$CF177)</f>
        <v/>
      </c>
      <c r="M181" s="48" t="n"/>
      <c r="N181" s="49" t="n"/>
      <c r="O181" s="43">
        <f>IF('計算'!$C177="","",'計算'!$CQ177)</f>
        <v/>
      </c>
      <c r="P181" s="52">
        <f>IF('計算'!$C177="","",IF('計算'!$M177="","",'計算'!$AX177))</f>
        <v/>
      </c>
      <c r="Q181" s="52">
        <f>IF('計算'!$C177="","",IF('計算'!$M177="","",'計算'!$AY177))</f>
        <v/>
      </c>
      <c r="R181" s="52">
        <f>IF('計算'!$C177="","",IF('計算'!$M177="","",'計算'!$AZ177))</f>
        <v/>
      </c>
      <c r="S181" s="52">
        <f>IF('計算'!$C177="","",IF('計算'!$M177="","",'計算'!$BA177))</f>
        <v/>
      </c>
      <c r="T181" s="52">
        <f>IF('計算'!$C177="","",IF('計算'!$M177="","",'計算'!$BB177))</f>
        <v/>
      </c>
      <c r="U181" s="52">
        <f>IF('計算'!$C177="","",IF('計算'!$M177="","",'計算'!$BC177))</f>
        <v/>
      </c>
      <c r="V181" s="52">
        <f>IF('計算'!$C177="","",IF('計算'!$M177="","",'計算'!$BD177))</f>
        <v/>
      </c>
      <c r="W181" s="52">
        <f>IF('計算'!$C177="","",IF('計算'!$M177="","",'計算'!$BE177))</f>
        <v/>
      </c>
      <c r="X181" s="52">
        <f>IF('計算'!$C177="","",IF('計算'!$M177="","",'計算'!$BF177))</f>
        <v/>
      </c>
      <c r="Y181" s="52">
        <f>IF('計算'!$C177="","",IF('計算'!$M177="","",'計算'!$BG177))</f>
        <v/>
      </c>
      <c r="Z181" s="52">
        <f>IF('計算'!$C177="","",IF('計算'!$M177="","",'計算'!$BH177))</f>
        <v/>
      </c>
      <c r="AA181" s="52">
        <f>IF('計算'!$C177="","",IF('計算'!$M177="","",'計算'!$BI177))</f>
        <v/>
      </c>
      <c r="AB181" s="52">
        <f>IF('計算'!$C177="","",IF('計算'!$M177="","",'計算'!$BJ177))</f>
        <v/>
      </c>
      <c r="AC181" s="52">
        <f>IF('計算'!$C177="","",IF('計算'!$M177="","",'計算'!$BK177))</f>
        <v/>
      </c>
      <c r="AD181" s="53" t="n"/>
      <c r="AE181" s="48" t="n"/>
      <c r="AF181" s="54">
        <f>IF('計算'!$C177="","",'計算'!$C177)</f>
        <v/>
      </c>
      <c r="AG181" s="54">
        <f>IF('計算'!$C177="","",'計算'!$F177)</f>
        <v/>
      </c>
    </row>
    <row r="182" ht="18" customHeight="1">
      <c r="B182" s="42">
        <f>IF('計算'!$C178="","",'計算'!$B178)</f>
        <v/>
      </c>
      <c r="C182" s="43">
        <f>IF('計算'!$C178="","",'計算'!$D178)</f>
        <v/>
      </c>
      <c r="D182" s="44">
        <f>IF('計算'!$C178="","",'計算'!$O178)</f>
        <v/>
      </c>
      <c r="E182" s="45">
        <f>IF('計算'!$C178="","",'計算'!$L178)</f>
        <v/>
      </c>
      <c r="F182" s="46">
        <f>IF('計算'!$C178="","",'計算'!$CD178)</f>
        <v/>
      </c>
      <c r="G182" s="47">
        <f>IF('計算'!$C178="","",'計算'!$CA178)</f>
        <v/>
      </c>
      <c r="H182" s="43">
        <f>IF('計算'!$C178="","",'計算'!$CP178)</f>
        <v/>
      </c>
      <c r="I182" s="48" t="n"/>
      <c r="J182" s="49" t="n"/>
      <c r="K182" s="50">
        <f>IF('計算'!$C178="","",'計算'!$CR178)</f>
        <v/>
      </c>
      <c r="L182" s="51">
        <f>IF('計算'!$C178="","",'計算'!$CF178)</f>
        <v/>
      </c>
      <c r="M182" s="48" t="n"/>
      <c r="N182" s="49" t="n"/>
      <c r="O182" s="43">
        <f>IF('計算'!$C178="","",'計算'!$CQ178)</f>
        <v/>
      </c>
      <c r="P182" s="52">
        <f>IF('計算'!$C178="","",IF('計算'!$M178="","",'計算'!$AX178))</f>
        <v/>
      </c>
      <c r="Q182" s="52">
        <f>IF('計算'!$C178="","",IF('計算'!$M178="","",'計算'!$AY178))</f>
        <v/>
      </c>
      <c r="R182" s="52">
        <f>IF('計算'!$C178="","",IF('計算'!$M178="","",'計算'!$AZ178))</f>
        <v/>
      </c>
      <c r="S182" s="52">
        <f>IF('計算'!$C178="","",IF('計算'!$M178="","",'計算'!$BA178))</f>
        <v/>
      </c>
      <c r="T182" s="52">
        <f>IF('計算'!$C178="","",IF('計算'!$M178="","",'計算'!$BB178))</f>
        <v/>
      </c>
      <c r="U182" s="52">
        <f>IF('計算'!$C178="","",IF('計算'!$M178="","",'計算'!$BC178))</f>
        <v/>
      </c>
      <c r="V182" s="52">
        <f>IF('計算'!$C178="","",IF('計算'!$M178="","",'計算'!$BD178))</f>
        <v/>
      </c>
      <c r="W182" s="52">
        <f>IF('計算'!$C178="","",IF('計算'!$M178="","",'計算'!$BE178))</f>
        <v/>
      </c>
      <c r="X182" s="52">
        <f>IF('計算'!$C178="","",IF('計算'!$M178="","",'計算'!$BF178))</f>
        <v/>
      </c>
      <c r="Y182" s="52">
        <f>IF('計算'!$C178="","",IF('計算'!$M178="","",'計算'!$BG178))</f>
        <v/>
      </c>
      <c r="Z182" s="52">
        <f>IF('計算'!$C178="","",IF('計算'!$M178="","",'計算'!$BH178))</f>
        <v/>
      </c>
      <c r="AA182" s="52">
        <f>IF('計算'!$C178="","",IF('計算'!$M178="","",'計算'!$BI178))</f>
        <v/>
      </c>
      <c r="AB182" s="52">
        <f>IF('計算'!$C178="","",IF('計算'!$M178="","",'計算'!$BJ178))</f>
        <v/>
      </c>
      <c r="AC182" s="52">
        <f>IF('計算'!$C178="","",IF('計算'!$M178="","",'計算'!$BK178))</f>
        <v/>
      </c>
      <c r="AD182" s="53" t="n"/>
      <c r="AE182" s="48" t="n"/>
      <c r="AF182" s="54">
        <f>IF('計算'!$C178="","",'計算'!$C178)</f>
        <v/>
      </c>
      <c r="AG182" s="54">
        <f>IF('計算'!$C178="","",'計算'!$F178)</f>
        <v/>
      </c>
    </row>
    <row r="183" ht="18" customHeight="1">
      <c r="B183" s="42">
        <f>IF('計算'!$C179="","",'計算'!$B179)</f>
        <v/>
      </c>
      <c r="C183" s="43">
        <f>IF('計算'!$C179="","",'計算'!$D179)</f>
        <v/>
      </c>
      <c r="D183" s="44">
        <f>IF('計算'!$C179="","",'計算'!$O179)</f>
        <v/>
      </c>
      <c r="E183" s="45">
        <f>IF('計算'!$C179="","",'計算'!$L179)</f>
        <v/>
      </c>
      <c r="F183" s="46">
        <f>IF('計算'!$C179="","",'計算'!$CD179)</f>
        <v/>
      </c>
      <c r="G183" s="47">
        <f>IF('計算'!$C179="","",'計算'!$CA179)</f>
        <v/>
      </c>
      <c r="H183" s="43">
        <f>IF('計算'!$C179="","",'計算'!$CP179)</f>
        <v/>
      </c>
      <c r="I183" s="48" t="n"/>
      <c r="J183" s="49" t="n"/>
      <c r="K183" s="50">
        <f>IF('計算'!$C179="","",'計算'!$CR179)</f>
        <v/>
      </c>
      <c r="L183" s="51">
        <f>IF('計算'!$C179="","",'計算'!$CF179)</f>
        <v/>
      </c>
      <c r="M183" s="48" t="n"/>
      <c r="N183" s="49" t="n"/>
      <c r="O183" s="43">
        <f>IF('計算'!$C179="","",'計算'!$CQ179)</f>
        <v/>
      </c>
      <c r="P183" s="52">
        <f>IF('計算'!$C179="","",IF('計算'!$M179="","",'計算'!$AX179))</f>
        <v/>
      </c>
      <c r="Q183" s="52">
        <f>IF('計算'!$C179="","",IF('計算'!$M179="","",'計算'!$AY179))</f>
        <v/>
      </c>
      <c r="R183" s="52">
        <f>IF('計算'!$C179="","",IF('計算'!$M179="","",'計算'!$AZ179))</f>
        <v/>
      </c>
      <c r="S183" s="52">
        <f>IF('計算'!$C179="","",IF('計算'!$M179="","",'計算'!$BA179))</f>
        <v/>
      </c>
      <c r="T183" s="52">
        <f>IF('計算'!$C179="","",IF('計算'!$M179="","",'計算'!$BB179))</f>
        <v/>
      </c>
      <c r="U183" s="52">
        <f>IF('計算'!$C179="","",IF('計算'!$M179="","",'計算'!$BC179))</f>
        <v/>
      </c>
      <c r="V183" s="52">
        <f>IF('計算'!$C179="","",IF('計算'!$M179="","",'計算'!$BD179))</f>
        <v/>
      </c>
      <c r="W183" s="52">
        <f>IF('計算'!$C179="","",IF('計算'!$M179="","",'計算'!$BE179))</f>
        <v/>
      </c>
      <c r="X183" s="52">
        <f>IF('計算'!$C179="","",IF('計算'!$M179="","",'計算'!$BF179))</f>
        <v/>
      </c>
      <c r="Y183" s="52">
        <f>IF('計算'!$C179="","",IF('計算'!$M179="","",'計算'!$BG179))</f>
        <v/>
      </c>
      <c r="Z183" s="52">
        <f>IF('計算'!$C179="","",IF('計算'!$M179="","",'計算'!$BH179))</f>
        <v/>
      </c>
      <c r="AA183" s="52">
        <f>IF('計算'!$C179="","",IF('計算'!$M179="","",'計算'!$BI179))</f>
        <v/>
      </c>
      <c r="AB183" s="52">
        <f>IF('計算'!$C179="","",IF('計算'!$M179="","",'計算'!$BJ179))</f>
        <v/>
      </c>
      <c r="AC183" s="52">
        <f>IF('計算'!$C179="","",IF('計算'!$M179="","",'計算'!$BK179))</f>
        <v/>
      </c>
      <c r="AD183" s="53" t="n"/>
      <c r="AE183" s="48" t="n"/>
      <c r="AF183" s="54">
        <f>IF('計算'!$C179="","",'計算'!$C179)</f>
        <v/>
      </c>
      <c r="AG183" s="54">
        <f>IF('計算'!$C179="","",'計算'!$F179)</f>
        <v/>
      </c>
    </row>
    <row r="184" ht="18" customHeight="1">
      <c r="B184" s="42">
        <f>IF('計算'!$C180="","",'計算'!$B180)</f>
        <v/>
      </c>
      <c r="C184" s="43">
        <f>IF('計算'!$C180="","",'計算'!$D180)</f>
        <v/>
      </c>
      <c r="D184" s="44">
        <f>IF('計算'!$C180="","",'計算'!$O180)</f>
        <v/>
      </c>
      <c r="E184" s="45">
        <f>IF('計算'!$C180="","",'計算'!$L180)</f>
        <v/>
      </c>
      <c r="F184" s="46">
        <f>IF('計算'!$C180="","",'計算'!$CD180)</f>
        <v/>
      </c>
      <c r="G184" s="47">
        <f>IF('計算'!$C180="","",'計算'!$CA180)</f>
        <v/>
      </c>
      <c r="H184" s="43">
        <f>IF('計算'!$C180="","",'計算'!$CP180)</f>
        <v/>
      </c>
      <c r="I184" s="48" t="n"/>
      <c r="J184" s="49" t="n"/>
      <c r="K184" s="50">
        <f>IF('計算'!$C180="","",'計算'!$CR180)</f>
        <v/>
      </c>
      <c r="L184" s="51">
        <f>IF('計算'!$C180="","",'計算'!$CF180)</f>
        <v/>
      </c>
      <c r="M184" s="48" t="n"/>
      <c r="N184" s="49" t="n"/>
      <c r="O184" s="43">
        <f>IF('計算'!$C180="","",'計算'!$CQ180)</f>
        <v/>
      </c>
      <c r="P184" s="52">
        <f>IF('計算'!$C180="","",IF('計算'!$M180="","",'計算'!$AX180))</f>
        <v/>
      </c>
      <c r="Q184" s="52">
        <f>IF('計算'!$C180="","",IF('計算'!$M180="","",'計算'!$AY180))</f>
        <v/>
      </c>
      <c r="R184" s="52">
        <f>IF('計算'!$C180="","",IF('計算'!$M180="","",'計算'!$AZ180))</f>
        <v/>
      </c>
      <c r="S184" s="52">
        <f>IF('計算'!$C180="","",IF('計算'!$M180="","",'計算'!$BA180))</f>
        <v/>
      </c>
      <c r="T184" s="52">
        <f>IF('計算'!$C180="","",IF('計算'!$M180="","",'計算'!$BB180))</f>
        <v/>
      </c>
      <c r="U184" s="52">
        <f>IF('計算'!$C180="","",IF('計算'!$M180="","",'計算'!$BC180))</f>
        <v/>
      </c>
      <c r="V184" s="52">
        <f>IF('計算'!$C180="","",IF('計算'!$M180="","",'計算'!$BD180))</f>
        <v/>
      </c>
      <c r="W184" s="52">
        <f>IF('計算'!$C180="","",IF('計算'!$M180="","",'計算'!$BE180))</f>
        <v/>
      </c>
      <c r="X184" s="52">
        <f>IF('計算'!$C180="","",IF('計算'!$M180="","",'計算'!$BF180))</f>
        <v/>
      </c>
      <c r="Y184" s="52">
        <f>IF('計算'!$C180="","",IF('計算'!$M180="","",'計算'!$BG180))</f>
        <v/>
      </c>
      <c r="Z184" s="52">
        <f>IF('計算'!$C180="","",IF('計算'!$M180="","",'計算'!$BH180))</f>
        <v/>
      </c>
      <c r="AA184" s="52">
        <f>IF('計算'!$C180="","",IF('計算'!$M180="","",'計算'!$BI180))</f>
        <v/>
      </c>
      <c r="AB184" s="52">
        <f>IF('計算'!$C180="","",IF('計算'!$M180="","",'計算'!$BJ180))</f>
        <v/>
      </c>
      <c r="AC184" s="52">
        <f>IF('計算'!$C180="","",IF('計算'!$M180="","",'計算'!$BK180))</f>
        <v/>
      </c>
      <c r="AD184" s="53" t="n"/>
      <c r="AE184" s="48" t="n"/>
      <c r="AF184" s="54">
        <f>IF('計算'!$C180="","",'計算'!$C180)</f>
        <v/>
      </c>
      <c r="AG184" s="54">
        <f>IF('計算'!$C180="","",'計算'!$F180)</f>
        <v/>
      </c>
    </row>
    <row r="185" ht="18" customHeight="1">
      <c r="B185" s="42">
        <f>IF('計算'!$C181="","",'計算'!$B181)</f>
        <v/>
      </c>
      <c r="C185" s="43">
        <f>IF('計算'!$C181="","",'計算'!$D181)</f>
        <v/>
      </c>
      <c r="D185" s="44">
        <f>IF('計算'!$C181="","",'計算'!$O181)</f>
        <v/>
      </c>
      <c r="E185" s="45">
        <f>IF('計算'!$C181="","",'計算'!$L181)</f>
        <v/>
      </c>
      <c r="F185" s="46">
        <f>IF('計算'!$C181="","",'計算'!$CD181)</f>
        <v/>
      </c>
      <c r="G185" s="47">
        <f>IF('計算'!$C181="","",'計算'!$CA181)</f>
        <v/>
      </c>
      <c r="H185" s="43">
        <f>IF('計算'!$C181="","",'計算'!$CP181)</f>
        <v/>
      </c>
      <c r="I185" s="48" t="n"/>
      <c r="J185" s="49" t="n"/>
      <c r="K185" s="50">
        <f>IF('計算'!$C181="","",'計算'!$CR181)</f>
        <v/>
      </c>
      <c r="L185" s="51">
        <f>IF('計算'!$C181="","",'計算'!$CF181)</f>
        <v/>
      </c>
      <c r="M185" s="48" t="n"/>
      <c r="N185" s="49" t="n"/>
      <c r="O185" s="43">
        <f>IF('計算'!$C181="","",'計算'!$CQ181)</f>
        <v/>
      </c>
      <c r="P185" s="52">
        <f>IF('計算'!$C181="","",IF('計算'!$M181="","",'計算'!$AX181))</f>
        <v/>
      </c>
      <c r="Q185" s="52">
        <f>IF('計算'!$C181="","",IF('計算'!$M181="","",'計算'!$AY181))</f>
        <v/>
      </c>
      <c r="R185" s="52">
        <f>IF('計算'!$C181="","",IF('計算'!$M181="","",'計算'!$AZ181))</f>
        <v/>
      </c>
      <c r="S185" s="52">
        <f>IF('計算'!$C181="","",IF('計算'!$M181="","",'計算'!$BA181))</f>
        <v/>
      </c>
      <c r="T185" s="52">
        <f>IF('計算'!$C181="","",IF('計算'!$M181="","",'計算'!$BB181))</f>
        <v/>
      </c>
      <c r="U185" s="52">
        <f>IF('計算'!$C181="","",IF('計算'!$M181="","",'計算'!$BC181))</f>
        <v/>
      </c>
      <c r="V185" s="52">
        <f>IF('計算'!$C181="","",IF('計算'!$M181="","",'計算'!$BD181))</f>
        <v/>
      </c>
      <c r="W185" s="52">
        <f>IF('計算'!$C181="","",IF('計算'!$M181="","",'計算'!$BE181))</f>
        <v/>
      </c>
      <c r="X185" s="52">
        <f>IF('計算'!$C181="","",IF('計算'!$M181="","",'計算'!$BF181))</f>
        <v/>
      </c>
      <c r="Y185" s="52">
        <f>IF('計算'!$C181="","",IF('計算'!$M181="","",'計算'!$BG181))</f>
        <v/>
      </c>
      <c r="Z185" s="52">
        <f>IF('計算'!$C181="","",IF('計算'!$M181="","",'計算'!$BH181))</f>
        <v/>
      </c>
      <c r="AA185" s="52">
        <f>IF('計算'!$C181="","",IF('計算'!$M181="","",'計算'!$BI181))</f>
        <v/>
      </c>
      <c r="AB185" s="52">
        <f>IF('計算'!$C181="","",IF('計算'!$M181="","",'計算'!$BJ181))</f>
        <v/>
      </c>
      <c r="AC185" s="52">
        <f>IF('計算'!$C181="","",IF('計算'!$M181="","",'計算'!$BK181))</f>
        <v/>
      </c>
      <c r="AD185" s="53" t="n"/>
      <c r="AE185" s="48" t="n"/>
      <c r="AF185" s="54">
        <f>IF('計算'!$C181="","",'計算'!$C181)</f>
        <v/>
      </c>
      <c r="AG185" s="54">
        <f>IF('計算'!$C181="","",'計算'!$F181)</f>
        <v/>
      </c>
    </row>
    <row r="186" ht="18" customHeight="1">
      <c r="B186" s="42">
        <f>IF('計算'!$C182="","",'計算'!$B182)</f>
        <v/>
      </c>
      <c r="C186" s="43">
        <f>IF('計算'!$C182="","",'計算'!$D182)</f>
        <v/>
      </c>
      <c r="D186" s="44">
        <f>IF('計算'!$C182="","",'計算'!$O182)</f>
        <v/>
      </c>
      <c r="E186" s="45">
        <f>IF('計算'!$C182="","",'計算'!$L182)</f>
        <v/>
      </c>
      <c r="F186" s="46">
        <f>IF('計算'!$C182="","",'計算'!$CD182)</f>
        <v/>
      </c>
      <c r="G186" s="47">
        <f>IF('計算'!$C182="","",'計算'!$CA182)</f>
        <v/>
      </c>
      <c r="H186" s="43">
        <f>IF('計算'!$C182="","",'計算'!$CP182)</f>
        <v/>
      </c>
      <c r="I186" s="48" t="n"/>
      <c r="J186" s="49" t="n"/>
      <c r="K186" s="50">
        <f>IF('計算'!$C182="","",'計算'!$CR182)</f>
        <v/>
      </c>
      <c r="L186" s="51">
        <f>IF('計算'!$C182="","",'計算'!$CF182)</f>
        <v/>
      </c>
      <c r="M186" s="48" t="n"/>
      <c r="N186" s="49" t="n"/>
      <c r="O186" s="43">
        <f>IF('計算'!$C182="","",'計算'!$CQ182)</f>
        <v/>
      </c>
      <c r="P186" s="52">
        <f>IF('計算'!$C182="","",IF('計算'!$M182="","",'計算'!$AX182))</f>
        <v/>
      </c>
      <c r="Q186" s="52">
        <f>IF('計算'!$C182="","",IF('計算'!$M182="","",'計算'!$AY182))</f>
        <v/>
      </c>
      <c r="R186" s="52">
        <f>IF('計算'!$C182="","",IF('計算'!$M182="","",'計算'!$AZ182))</f>
        <v/>
      </c>
      <c r="S186" s="52">
        <f>IF('計算'!$C182="","",IF('計算'!$M182="","",'計算'!$BA182))</f>
        <v/>
      </c>
      <c r="T186" s="52">
        <f>IF('計算'!$C182="","",IF('計算'!$M182="","",'計算'!$BB182))</f>
        <v/>
      </c>
      <c r="U186" s="52">
        <f>IF('計算'!$C182="","",IF('計算'!$M182="","",'計算'!$BC182))</f>
        <v/>
      </c>
      <c r="V186" s="52">
        <f>IF('計算'!$C182="","",IF('計算'!$M182="","",'計算'!$BD182))</f>
        <v/>
      </c>
      <c r="W186" s="52">
        <f>IF('計算'!$C182="","",IF('計算'!$M182="","",'計算'!$BE182))</f>
        <v/>
      </c>
      <c r="X186" s="52">
        <f>IF('計算'!$C182="","",IF('計算'!$M182="","",'計算'!$BF182))</f>
        <v/>
      </c>
      <c r="Y186" s="52">
        <f>IF('計算'!$C182="","",IF('計算'!$M182="","",'計算'!$BG182))</f>
        <v/>
      </c>
      <c r="Z186" s="52">
        <f>IF('計算'!$C182="","",IF('計算'!$M182="","",'計算'!$BH182))</f>
        <v/>
      </c>
      <c r="AA186" s="52">
        <f>IF('計算'!$C182="","",IF('計算'!$M182="","",'計算'!$BI182))</f>
        <v/>
      </c>
      <c r="AB186" s="52">
        <f>IF('計算'!$C182="","",IF('計算'!$M182="","",'計算'!$BJ182))</f>
        <v/>
      </c>
      <c r="AC186" s="52">
        <f>IF('計算'!$C182="","",IF('計算'!$M182="","",'計算'!$BK182))</f>
        <v/>
      </c>
      <c r="AD186" s="53" t="n"/>
      <c r="AE186" s="48" t="n"/>
      <c r="AF186" s="54">
        <f>IF('計算'!$C182="","",'計算'!$C182)</f>
        <v/>
      </c>
      <c r="AG186" s="54">
        <f>IF('計算'!$C182="","",'計算'!$F182)</f>
        <v/>
      </c>
    </row>
    <row r="187" ht="18" customHeight="1">
      <c r="B187" s="42">
        <f>IF('計算'!$C183="","",'計算'!$B183)</f>
        <v/>
      </c>
      <c r="C187" s="43">
        <f>IF('計算'!$C183="","",'計算'!$D183)</f>
        <v/>
      </c>
      <c r="D187" s="44">
        <f>IF('計算'!$C183="","",'計算'!$O183)</f>
        <v/>
      </c>
      <c r="E187" s="45">
        <f>IF('計算'!$C183="","",'計算'!$L183)</f>
        <v/>
      </c>
      <c r="F187" s="46">
        <f>IF('計算'!$C183="","",'計算'!$CD183)</f>
        <v/>
      </c>
      <c r="G187" s="47">
        <f>IF('計算'!$C183="","",'計算'!$CA183)</f>
        <v/>
      </c>
      <c r="H187" s="43">
        <f>IF('計算'!$C183="","",'計算'!$CP183)</f>
        <v/>
      </c>
      <c r="I187" s="48" t="n"/>
      <c r="J187" s="49" t="n"/>
      <c r="K187" s="50">
        <f>IF('計算'!$C183="","",'計算'!$CR183)</f>
        <v/>
      </c>
      <c r="L187" s="51">
        <f>IF('計算'!$C183="","",'計算'!$CF183)</f>
        <v/>
      </c>
      <c r="M187" s="48" t="n"/>
      <c r="N187" s="49" t="n"/>
      <c r="O187" s="43">
        <f>IF('計算'!$C183="","",'計算'!$CQ183)</f>
        <v/>
      </c>
      <c r="P187" s="52">
        <f>IF('計算'!$C183="","",IF('計算'!$M183="","",'計算'!$AX183))</f>
        <v/>
      </c>
      <c r="Q187" s="52">
        <f>IF('計算'!$C183="","",IF('計算'!$M183="","",'計算'!$AY183))</f>
        <v/>
      </c>
      <c r="R187" s="52">
        <f>IF('計算'!$C183="","",IF('計算'!$M183="","",'計算'!$AZ183))</f>
        <v/>
      </c>
      <c r="S187" s="52">
        <f>IF('計算'!$C183="","",IF('計算'!$M183="","",'計算'!$BA183))</f>
        <v/>
      </c>
      <c r="T187" s="52">
        <f>IF('計算'!$C183="","",IF('計算'!$M183="","",'計算'!$BB183))</f>
        <v/>
      </c>
      <c r="U187" s="52">
        <f>IF('計算'!$C183="","",IF('計算'!$M183="","",'計算'!$BC183))</f>
        <v/>
      </c>
      <c r="V187" s="52">
        <f>IF('計算'!$C183="","",IF('計算'!$M183="","",'計算'!$BD183))</f>
        <v/>
      </c>
      <c r="W187" s="52">
        <f>IF('計算'!$C183="","",IF('計算'!$M183="","",'計算'!$BE183))</f>
        <v/>
      </c>
      <c r="X187" s="52">
        <f>IF('計算'!$C183="","",IF('計算'!$M183="","",'計算'!$BF183))</f>
        <v/>
      </c>
      <c r="Y187" s="52">
        <f>IF('計算'!$C183="","",IF('計算'!$M183="","",'計算'!$BG183))</f>
        <v/>
      </c>
      <c r="Z187" s="52">
        <f>IF('計算'!$C183="","",IF('計算'!$M183="","",'計算'!$BH183))</f>
        <v/>
      </c>
      <c r="AA187" s="52">
        <f>IF('計算'!$C183="","",IF('計算'!$M183="","",'計算'!$BI183))</f>
        <v/>
      </c>
      <c r="AB187" s="52">
        <f>IF('計算'!$C183="","",IF('計算'!$M183="","",'計算'!$BJ183))</f>
        <v/>
      </c>
      <c r="AC187" s="52">
        <f>IF('計算'!$C183="","",IF('計算'!$M183="","",'計算'!$BK183))</f>
        <v/>
      </c>
      <c r="AD187" s="53" t="n"/>
      <c r="AE187" s="48" t="n"/>
      <c r="AF187" s="54">
        <f>IF('計算'!$C183="","",'計算'!$C183)</f>
        <v/>
      </c>
      <c r="AG187" s="54">
        <f>IF('計算'!$C183="","",'計算'!$F183)</f>
        <v/>
      </c>
    </row>
    <row r="188" ht="18" customHeight="1">
      <c r="B188" s="42">
        <f>IF('計算'!$C184="","",'計算'!$B184)</f>
        <v/>
      </c>
      <c r="C188" s="43">
        <f>IF('計算'!$C184="","",'計算'!$D184)</f>
        <v/>
      </c>
      <c r="D188" s="44">
        <f>IF('計算'!$C184="","",'計算'!$O184)</f>
        <v/>
      </c>
      <c r="E188" s="45">
        <f>IF('計算'!$C184="","",'計算'!$L184)</f>
        <v/>
      </c>
      <c r="F188" s="46">
        <f>IF('計算'!$C184="","",'計算'!$CD184)</f>
        <v/>
      </c>
      <c r="G188" s="47">
        <f>IF('計算'!$C184="","",'計算'!$CA184)</f>
        <v/>
      </c>
      <c r="H188" s="43">
        <f>IF('計算'!$C184="","",'計算'!$CP184)</f>
        <v/>
      </c>
      <c r="I188" s="48" t="n"/>
      <c r="J188" s="49" t="n"/>
      <c r="K188" s="50">
        <f>IF('計算'!$C184="","",'計算'!$CR184)</f>
        <v/>
      </c>
      <c r="L188" s="51">
        <f>IF('計算'!$C184="","",'計算'!$CF184)</f>
        <v/>
      </c>
      <c r="M188" s="48" t="n"/>
      <c r="N188" s="49" t="n"/>
      <c r="O188" s="43">
        <f>IF('計算'!$C184="","",'計算'!$CQ184)</f>
        <v/>
      </c>
      <c r="P188" s="52">
        <f>IF('計算'!$C184="","",IF('計算'!$M184="","",'計算'!$AX184))</f>
        <v/>
      </c>
      <c r="Q188" s="52">
        <f>IF('計算'!$C184="","",IF('計算'!$M184="","",'計算'!$AY184))</f>
        <v/>
      </c>
      <c r="R188" s="52">
        <f>IF('計算'!$C184="","",IF('計算'!$M184="","",'計算'!$AZ184))</f>
        <v/>
      </c>
      <c r="S188" s="52">
        <f>IF('計算'!$C184="","",IF('計算'!$M184="","",'計算'!$BA184))</f>
        <v/>
      </c>
      <c r="T188" s="52">
        <f>IF('計算'!$C184="","",IF('計算'!$M184="","",'計算'!$BB184))</f>
        <v/>
      </c>
      <c r="U188" s="52">
        <f>IF('計算'!$C184="","",IF('計算'!$M184="","",'計算'!$BC184))</f>
        <v/>
      </c>
      <c r="V188" s="52">
        <f>IF('計算'!$C184="","",IF('計算'!$M184="","",'計算'!$BD184))</f>
        <v/>
      </c>
      <c r="W188" s="52">
        <f>IF('計算'!$C184="","",IF('計算'!$M184="","",'計算'!$BE184))</f>
        <v/>
      </c>
      <c r="X188" s="52">
        <f>IF('計算'!$C184="","",IF('計算'!$M184="","",'計算'!$BF184))</f>
        <v/>
      </c>
      <c r="Y188" s="52">
        <f>IF('計算'!$C184="","",IF('計算'!$M184="","",'計算'!$BG184))</f>
        <v/>
      </c>
      <c r="Z188" s="52">
        <f>IF('計算'!$C184="","",IF('計算'!$M184="","",'計算'!$BH184))</f>
        <v/>
      </c>
      <c r="AA188" s="52">
        <f>IF('計算'!$C184="","",IF('計算'!$M184="","",'計算'!$BI184))</f>
        <v/>
      </c>
      <c r="AB188" s="52">
        <f>IF('計算'!$C184="","",IF('計算'!$M184="","",'計算'!$BJ184))</f>
        <v/>
      </c>
      <c r="AC188" s="52">
        <f>IF('計算'!$C184="","",IF('計算'!$M184="","",'計算'!$BK184))</f>
        <v/>
      </c>
      <c r="AD188" s="53" t="n"/>
      <c r="AE188" s="48" t="n"/>
      <c r="AF188" s="54">
        <f>IF('計算'!$C184="","",'計算'!$C184)</f>
        <v/>
      </c>
      <c r="AG188" s="54">
        <f>IF('計算'!$C184="","",'計算'!$F184)</f>
        <v/>
      </c>
    </row>
    <row r="189" ht="18" customHeight="1">
      <c r="B189" s="42">
        <f>IF('計算'!$C185="","",'計算'!$B185)</f>
        <v/>
      </c>
      <c r="C189" s="43">
        <f>IF('計算'!$C185="","",'計算'!$D185)</f>
        <v/>
      </c>
      <c r="D189" s="44">
        <f>IF('計算'!$C185="","",'計算'!$O185)</f>
        <v/>
      </c>
      <c r="E189" s="45">
        <f>IF('計算'!$C185="","",'計算'!$L185)</f>
        <v/>
      </c>
      <c r="F189" s="46">
        <f>IF('計算'!$C185="","",'計算'!$CD185)</f>
        <v/>
      </c>
      <c r="G189" s="47">
        <f>IF('計算'!$C185="","",'計算'!$CA185)</f>
        <v/>
      </c>
      <c r="H189" s="43">
        <f>IF('計算'!$C185="","",'計算'!$CP185)</f>
        <v/>
      </c>
      <c r="I189" s="48" t="n"/>
      <c r="J189" s="49" t="n"/>
      <c r="K189" s="50">
        <f>IF('計算'!$C185="","",'計算'!$CR185)</f>
        <v/>
      </c>
      <c r="L189" s="51">
        <f>IF('計算'!$C185="","",'計算'!$CF185)</f>
        <v/>
      </c>
      <c r="M189" s="48" t="n"/>
      <c r="N189" s="49" t="n"/>
      <c r="O189" s="43">
        <f>IF('計算'!$C185="","",'計算'!$CQ185)</f>
        <v/>
      </c>
      <c r="P189" s="52">
        <f>IF('計算'!$C185="","",IF('計算'!$M185="","",'計算'!$AX185))</f>
        <v/>
      </c>
      <c r="Q189" s="52">
        <f>IF('計算'!$C185="","",IF('計算'!$M185="","",'計算'!$AY185))</f>
        <v/>
      </c>
      <c r="R189" s="52">
        <f>IF('計算'!$C185="","",IF('計算'!$M185="","",'計算'!$AZ185))</f>
        <v/>
      </c>
      <c r="S189" s="52">
        <f>IF('計算'!$C185="","",IF('計算'!$M185="","",'計算'!$BA185))</f>
        <v/>
      </c>
      <c r="T189" s="52">
        <f>IF('計算'!$C185="","",IF('計算'!$M185="","",'計算'!$BB185))</f>
        <v/>
      </c>
      <c r="U189" s="52">
        <f>IF('計算'!$C185="","",IF('計算'!$M185="","",'計算'!$BC185))</f>
        <v/>
      </c>
      <c r="V189" s="52">
        <f>IF('計算'!$C185="","",IF('計算'!$M185="","",'計算'!$BD185))</f>
        <v/>
      </c>
      <c r="W189" s="52">
        <f>IF('計算'!$C185="","",IF('計算'!$M185="","",'計算'!$BE185))</f>
        <v/>
      </c>
      <c r="X189" s="52">
        <f>IF('計算'!$C185="","",IF('計算'!$M185="","",'計算'!$BF185))</f>
        <v/>
      </c>
      <c r="Y189" s="52">
        <f>IF('計算'!$C185="","",IF('計算'!$M185="","",'計算'!$BG185))</f>
        <v/>
      </c>
      <c r="Z189" s="52">
        <f>IF('計算'!$C185="","",IF('計算'!$M185="","",'計算'!$BH185))</f>
        <v/>
      </c>
      <c r="AA189" s="52">
        <f>IF('計算'!$C185="","",IF('計算'!$M185="","",'計算'!$BI185))</f>
        <v/>
      </c>
      <c r="AB189" s="52">
        <f>IF('計算'!$C185="","",IF('計算'!$M185="","",'計算'!$BJ185))</f>
        <v/>
      </c>
      <c r="AC189" s="52">
        <f>IF('計算'!$C185="","",IF('計算'!$M185="","",'計算'!$BK185))</f>
        <v/>
      </c>
      <c r="AD189" s="53" t="n"/>
      <c r="AE189" s="48" t="n"/>
      <c r="AF189" s="54">
        <f>IF('計算'!$C185="","",'計算'!$C185)</f>
        <v/>
      </c>
      <c r="AG189" s="54">
        <f>IF('計算'!$C185="","",'計算'!$F185)</f>
        <v/>
      </c>
    </row>
    <row r="190" ht="18" customHeight="1">
      <c r="B190" s="42">
        <f>IF('計算'!$C186="","",'計算'!$B186)</f>
        <v/>
      </c>
      <c r="C190" s="43">
        <f>IF('計算'!$C186="","",'計算'!$D186)</f>
        <v/>
      </c>
      <c r="D190" s="44">
        <f>IF('計算'!$C186="","",'計算'!$O186)</f>
        <v/>
      </c>
      <c r="E190" s="45">
        <f>IF('計算'!$C186="","",'計算'!$L186)</f>
        <v/>
      </c>
      <c r="F190" s="46">
        <f>IF('計算'!$C186="","",'計算'!$CD186)</f>
        <v/>
      </c>
      <c r="G190" s="47">
        <f>IF('計算'!$C186="","",'計算'!$CA186)</f>
        <v/>
      </c>
      <c r="H190" s="43">
        <f>IF('計算'!$C186="","",'計算'!$CP186)</f>
        <v/>
      </c>
      <c r="I190" s="48" t="n"/>
      <c r="J190" s="49" t="n"/>
      <c r="K190" s="50">
        <f>IF('計算'!$C186="","",'計算'!$CR186)</f>
        <v/>
      </c>
      <c r="L190" s="51">
        <f>IF('計算'!$C186="","",'計算'!$CF186)</f>
        <v/>
      </c>
      <c r="M190" s="48" t="n"/>
      <c r="N190" s="49" t="n"/>
      <c r="O190" s="43">
        <f>IF('計算'!$C186="","",'計算'!$CQ186)</f>
        <v/>
      </c>
      <c r="P190" s="52">
        <f>IF('計算'!$C186="","",IF('計算'!$M186="","",'計算'!$AX186))</f>
        <v/>
      </c>
      <c r="Q190" s="52">
        <f>IF('計算'!$C186="","",IF('計算'!$M186="","",'計算'!$AY186))</f>
        <v/>
      </c>
      <c r="R190" s="52">
        <f>IF('計算'!$C186="","",IF('計算'!$M186="","",'計算'!$AZ186))</f>
        <v/>
      </c>
      <c r="S190" s="52">
        <f>IF('計算'!$C186="","",IF('計算'!$M186="","",'計算'!$BA186))</f>
        <v/>
      </c>
      <c r="T190" s="52">
        <f>IF('計算'!$C186="","",IF('計算'!$M186="","",'計算'!$BB186))</f>
        <v/>
      </c>
      <c r="U190" s="52">
        <f>IF('計算'!$C186="","",IF('計算'!$M186="","",'計算'!$BC186))</f>
        <v/>
      </c>
      <c r="V190" s="52">
        <f>IF('計算'!$C186="","",IF('計算'!$M186="","",'計算'!$BD186))</f>
        <v/>
      </c>
      <c r="W190" s="52">
        <f>IF('計算'!$C186="","",IF('計算'!$M186="","",'計算'!$BE186))</f>
        <v/>
      </c>
      <c r="X190" s="52">
        <f>IF('計算'!$C186="","",IF('計算'!$M186="","",'計算'!$BF186))</f>
        <v/>
      </c>
      <c r="Y190" s="52">
        <f>IF('計算'!$C186="","",IF('計算'!$M186="","",'計算'!$BG186))</f>
        <v/>
      </c>
      <c r="Z190" s="52">
        <f>IF('計算'!$C186="","",IF('計算'!$M186="","",'計算'!$BH186))</f>
        <v/>
      </c>
      <c r="AA190" s="52">
        <f>IF('計算'!$C186="","",IF('計算'!$M186="","",'計算'!$BI186))</f>
        <v/>
      </c>
      <c r="AB190" s="52">
        <f>IF('計算'!$C186="","",IF('計算'!$M186="","",'計算'!$BJ186))</f>
        <v/>
      </c>
      <c r="AC190" s="52">
        <f>IF('計算'!$C186="","",IF('計算'!$M186="","",'計算'!$BK186))</f>
        <v/>
      </c>
      <c r="AD190" s="53" t="n"/>
      <c r="AE190" s="48" t="n"/>
      <c r="AF190" s="54">
        <f>IF('計算'!$C186="","",'計算'!$C186)</f>
        <v/>
      </c>
      <c r="AG190" s="54">
        <f>IF('計算'!$C186="","",'計算'!$F186)</f>
        <v/>
      </c>
    </row>
    <row r="191" ht="18" customHeight="1">
      <c r="B191" s="42">
        <f>IF('計算'!$C187="","",'計算'!$B187)</f>
        <v/>
      </c>
      <c r="C191" s="43">
        <f>IF('計算'!$C187="","",'計算'!$D187)</f>
        <v/>
      </c>
      <c r="D191" s="44">
        <f>IF('計算'!$C187="","",'計算'!$O187)</f>
        <v/>
      </c>
      <c r="E191" s="45">
        <f>IF('計算'!$C187="","",'計算'!$L187)</f>
        <v/>
      </c>
      <c r="F191" s="46">
        <f>IF('計算'!$C187="","",'計算'!$CD187)</f>
        <v/>
      </c>
      <c r="G191" s="47">
        <f>IF('計算'!$C187="","",'計算'!$CA187)</f>
        <v/>
      </c>
      <c r="H191" s="43">
        <f>IF('計算'!$C187="","",'計算'!$CP187)</f>
        <v/>
      </c>
      <c r="I191" s="48" t="n"/>
      <c r="J191" s="49" t="n"/>
      <c r="K191" s="50">
        <f>IF('計算'!$C187="","",'計算'!$CR187)</f>
        <v/>
      </c>
      <c r="L191" s="51">
        <f>IF('計算'!$C187="","",'計算'!$CF187)</f>
        <v/>
      </c>
      <c r="M191" s="48" t="n"/>
      <c r="N191" s="49" t="n"/>
      <c r="O191" s="43">
        <f>IF('計算'!$C187="","",'計算'!$CQ187)</f>
        <v/>
      </c>
      <c r="P191" s="52">
        <f>IF('計算'!$C187="","",IF('計算'!$M187="","",'計算'!$AX187))</f>
        <v/>
      </c>
      <c r="Q191" s="52">
        <f>IF('計算'!$C187="","",IF('計算'!$M187="","",'計算'!$AY187))</f>
        <v/>
      </c>
      <c r="R191" s="52">
        <f>IF('計算'!$C187="","",IF('計算'!$M187="","",'計算'!$AZ187))</f>
        <v/>
      </c>
      <c r="S191" s="52">
        <f>IF('計算'!$C187="","",IF('計算'!$M187="","",'計算'!$BA187))</f>
        <v/>
      </c>
      <c r="T191" s="52">
        <f>IF('計算'!$C187="","",IF('計算'!$M187="","",'計算'!$BB187))</f>
        <v/>
      </c>
      <c r="U191" s="52">
        <f>IF('計算'!$C187="","",IF('計算'!$M187="","",'計算'!$BC187))</f>
        <v/>
      </c>
      <c r="V191" s="52">
        <f>IF('計算'!$C187="","",IF('計算'!$M187="","",'計算'!$BD187))</f>
        <v/>
      </c>
      <c r="W191" s="52">
        <f>IF('計算'!$C187="","",IF('計算'!$M187="","",'計算'!$BE187))</f>
        <v/>
      </c>
      <c r="X191" s="52">
        <f>IF('計算'!$C187="","",IF('計算'!$M187="","",'計算'!$BF187))</f>
        <v/>
      </c>
      <c r="Y191" s="52">
        <f>IF('計算'!$C187="","",IF('計算'!$M187="","",'計算'!$BG187))</f>
        <v/>
      </c>
      <c r="Z191" s="52">
        <f>IF('計算'!$C187="","",IF('計算'!$M187="","",'計算'!$BH187))</f>
        <v/>
      </c>
      <c r="AA191" s="52">
        <f>IF('計算'!$C187="","",IF('計算'!$M187="","",'計算'!$BI187))</f>
        <v/>
      </c>
      <c r="AB191" s="52">
        <f>IF('計算'!$C187="","",IF('計算'!$M187="","",'計算'!$BJ187))</f>
        <v/>
      </c>
      <c r="AC191" s="52">
        <f>IF('計算'!$C187="","",IF('計算'!$M187="","",'計算'!$BK187))</f>
        <v/>
      </c>
      <c r="AD191" s="53" t="n"/>
      <c r="AE191" s="48" t="n"/>
      <c r="AF191" s="54">
        <f>IF('計算'!$C187="","",'計算'!$C187)</f>
        <v/>
      </c>
      <c r="AG191" s="54">
        <f>IF('計算'!$C187="","",'計算'!$F187)</f>
        <v/>
      </c>
    </row>
    <row r="192" ht="18" customHeight="1">
      <c r="B192" s="42">
        <f>IF('計算'!$C188="","",'計算'!$B188)</f>
        <v/>
      </c>
      <c r="C192" s="43">
        <f>IF('計算'!$C188="","",'計算'!$D188)</f>
        <v/>
      </c>
      <c r="D192" s="44">
        <f>IF('計算'!$C188="","",'計算'!$O188)</f>
        <v/>
      </c>
      <c r="E192" s="45">
        <f>IF('計算'!$C188="","",'計算'!$L188)</f>
        <v/>
      </c>
      <c r="F192" s="46">
        <f>IF('計算'!$C188="","",'計算'!$CD188)</f>
        <v/>
      </c>
      <c r="G192" s="47">
        <f>IF('計算'!$C188="","",'計算'!$CA188)</f>
        <v/>
      </c>
      <c r="H192" s="43">
        <f>IF('計算'!$C188="","",'計算'!$CP188)</f>
        <v/>
      </c>
      <c r="I192" s="48" t="n"/>
      <c r="J192" s="49" t="n"/>
      <c r="K192" s="50">
        <f>IF('計算'!$C188="","",'計算'!$CR188)</f>
        <v/>
      </c>
      <c r="L192" s="51">
        <f>IF('計算'!$C188="","",'計算'!$CF188)</f>
        <v/>
      </c>
      <c r="M192" s="48" t="n"/>
      <c r="N192" s="49" t="n"/>
      <c r="O192" s="43">
        <f>IF('計算'!$C188="","",'計算'!$CQ188)</f>
        <v/>
      </c>
      <c r="P192" s="52">
        <f>IF('計算'!$C188="","",IF('計算'!$M188="","",'計算'!$AX188))</f>
        <v/>
      </c>
      <c r="Q192" s="52">
        <f>IF('計算'!$C188="","",IF('計算'!$M188="","",'計算'!$AY188))</f>
        <v/>
      </c>
      <c r="R192" s="52">
        <f>IF('計算'!$C188="","",IF('計算'!$M188="","",'計算'!$AZ188))</f>
        <v/>
      </c>
      <c r="S192" s="52">
        <f>IF('計算'!$C188="","",IF('計算'!$M188="","",'計算'!$BA188))</f>
        <v/>
      </c>
      <c r="T192" s="52">
        <f>IF('計算'!$C188="","",IF('計算'!$M188="","",'計算'!$BB188))</f>
        <v/>
      </c>
      <c r="U192" s="52">
        <f>IF('計算'!$C188="","",IF('計算'!$M188="","",'計算'!$BC188))</f>
        <v/>
      </c>
      <c r="V192" s="52">
        <f>IF('計算'!$C188="","",IF('計算'!$M188="","",'計算'!$BD188))</f>
        <v/>
      </c>
      <c r="W192" s="52">
        <f>IF('計算'!$C188="","",IF('計算'!$M188="","",'計算'!$BE188))</f>
        <v/>
      </c>
      <c r="X192" s="52">
        <f>IF('計算'!$C188="","",IF('計算'!$M188="","",'計算'!$BF188))</f>
        <v/>
      </c>
      <c r="Y192" s="52">
        <f>IF('計算'!$C188="","",IF('計算'!$M188="","",'計算'!$BG188))</f>
        <v/>
      </c>
      <c r="Z192" s="52">
        <f>IF('計算'!$C188="","",IF('計算'!$M188="","",'計算'!$BH188))</f>
        <v/>
      </c>
      <c r="AA192" s="52">
        <f>IF('計算'!$C188="","",IF('計算'!$M188="","",'計算'!$BI188))</f>
        <v/>
      </c>
      <c r="AB192" s="52">
        <f>IF('計算'!$C188="","",IF('計算'!$M188="","",'計算'!$BJ188))</f>
        <v/>
      </c>
      <c r="AC192" s="52">
        <f>IF('計算'!$C188="","",IF('計算'!$M188="","",'計算'!$BK188))</f>
        <v/>
      </c>
      <c r="AD192" s="53" t="n"/>
      <c r="AE192" s="48" t="n"/>
      <c r="AF192" s="54">
        <f>IF('計算'!$C188="","",'計算'!$C188)</f>
        <v/>
      </c>
      <c r="AG192" s="54">
        <f>IF('計算'!$C188="","",'計算'!$F188)</f>
        <v/>
      </c>
    </row>
    <row r="193" ht="18" customHeight="1">
      <c r="B193" s="42">
        <f>IF('計算'!$C189="","",'計算'!$B189)</f>
        <v/>
      </c>
      <c r="C193" s="43">
        <f>IF('計算'!$C189="","",'計算'!$D189)</f>
        <v/>
      </c>
      <c r="D193" s="44">
        <f>IF('計算'!$C189="","",'計算'!$O189)</f>
        <v/>
      </c>
      <c r="E193" s="45">
        <f>IF('計算'!$C189="","",'計算'!$L189)</f>
        <v/>
      </c>
      <c r="F193" s="46">
        <f>IF('計算'!$C189="","",'計算'!$CD189)</f>
        <v/>
      </c>
      <c r="G193" s="47">
        <f>IF('計算'!$C189="","",'計算'!$CA189)</f>
        <v/>
      </c>
      <c r="H193" s="43">
        <f>IF('計算'!$C189="","",'計算'!$CP189)</f>
        <v/>
      </c>
      <c r="I193" s="48" t="n"/>
      <c r="J193" s="49" t="n"/>
      <c r="K193" s="50">
        <f>IF('計算'!$C189="","",'計算'!$CR189)</f>
        <v/>
      </c>
      <c r="L193" s="51">
        <f>IF('計算'!$C189="","",'計算'!$CF189)</f>
        <v/>
      </c>
      <c r="M193" s="48" t="n"/>
      <c r="N193" s="49" t="n"/>
      <c r="O193" s="43">
        <f>IF('計算'!$C189="","",'計算'!$CQ189)</f>
        <v/>
      </c>
      <c r="P193" s="52">
        <f>IF('計算'!$C189="","",IF('計算'!$M189="","",'計算'!$AX189))</f>
        <v/>
      </c>
      <c r="Q193" s="52">
        <f>IF('計算'!$C189="","",IF('計算'!$M189="","",'計算'!$AY189))</f>
        <v/>
      </c>
      <c r="R193" s="52">
        <f>IF('計算'!$C189="","",IF('計算'!$M189="","",'計算'!$AZ189))</f>
        <v/>
      </c>
      <c r="S193" s="52">
        <f>IF('計算'!$C189="","",IF('計算'!$M189="","",'計算'!$BA189))</f>
        <v/>
      </c>
      <c r="T193" s="52">
        <f>IF('計算'!$C189="","",IF('計算'!$M189="","",'計算'!$BB189))</f>
        <v/>
      </c>
      <c r="U193" s="52">
        <f>IF('計算'!$C189="","",IF('計算'!$M189="","",'計算'!$BC189))</f>
        <v/>
      </c>
      <c r="V193" s="52">
        <f>IF('計算'!$C189="","",IF('計算'!$M189="","",'計算'!$BD189))</f>
        <v/>
      </c>
      <c r="W193" s="52">
        <f>IF('計算'!$C189="","",IF('計算'!$M189="","",'計算'!$BE189))</f>
        <v/>
      </c>
      <c r="X193" s="52">
        <f>IF('計算'!$C189="","",IF('計算'!$M189="","",'計算'!$BF189))</f>
        <v/>
      </c>
      <c r="Y193" s="52">
        <f>IF('計算'!$C189="","",IF('計算'!$M189="","",'計算'!$BG189))</f>
        <v/>
      </c>
      <c r="Z193" s="52">
        <f>IF('計算'!$C189="","",IF('計算'!$M189="","",'計算'!$BH189))</f>
        <v/>
      </c>
      <c r="AA193" s="52">
        <f>IF('計算'!$C189="","",IF('計算'!$M189="","",'計算'!$BI189))</f>
        <v/>
      </c>
      <c r="AB193" s="52">
        <f>IF('計算'!$C189="","",IF('計算'!$M189="","",'計算'!$BJ189))</f>
        <v/>
      </c>
      <c r="AC193" s="52">
        <f>IF('計算'!$C189="","",IF('計算'!$M189="","",'計算'!$BK189))</f>
        <v/>
      </c>
      <c r="AD193" s="53" t="n"/>
      <c r="AE193" s="48" t="n"/>
      <c r="AF193" s="54">
        <f>IF('計算'!$C189="","",'計算'!$C189)</f>
        <v/>
      </c>
      <c r="AG193" s="54">
        <f>IF('計算'!$C189="","",'計算'!$F189)</f>
        <v/>
      </c>
    </row>
    <row r="194" ht="18" customHeight="1">
      <c r="B194" s="42">
        <f>IF('計算'!$C190="","",'計算'!$B190)</f>
        <v/>
      </c>
      <c r="C194" s="43">
        <f>IF('計算'!$C190="","",'計算'!$D190)</f>
        <v/>
      </c>
      <c r="D194" s="44">
        <f>IF('計算'!$C190="","",'計算'!$O190)</f>
        <v/>
      </c>
      <c r="E194" s="45">
        <f>IF('計算'!$C190="","",'計算'!$L190)</f>
        <v/>
      </c>
      <c r="F194" s="46">
        <f>IF('計算'!$C190="","",'計算'!$CD190)</f>
        <v/>
      </c>
      <c r="G194" s="47">
        <f>IF('計算'!$C190="","",'計算'!$CA190)</f>
        <v/>
      </c>
      <c r="H194" s="43">
        <f>IF('計算'!$C190="","",'計算'!$CP190)</f>
        <v/>
      </c>
      <c r="I194" s="48" t="n"/>
      <c r="J194" s="49" t="n"/>
      <c r="K194" s="50">
        <f>IF('計算'!$C190="","",'計算'!$CR190)</f>
        <v/>
      </c>
      <c r="L194" s="51">
        <f>IF('計算'!$C190="","",'計算'!$CF190)</f>
        <v/>
      </c>
      <c r="M194" s="48" t="n"/>
      <c r="N194" s="49" t="n"/>
      <c r="O194" s="43">
        <f>IF('計算'!$C190="","",'計算'!$CQ190)</f>
        <v/>
      </c>
      <c r="P194" s="52">
        <f>IF('計算'!$C190="","",IF('計算'!$M190="","",'計算'!$AX190))</f>
        <v/>
      </c>
      <c r="Q194" s="52">
        <f>IF('計算'!$C190="","",IF('計算'!$M190="","",'計算'!$AY190))</f>
        <v/>
      </c>
      <c r="R194" s="52">
        <f>IF('計算'!$C190="","",IF('計算'!$M190="","",'計算'!$AZ190))</f>
        <v/>
      </c>
      <c r="S194" s="52">
        <f>IF('計算'!$C190="","",IF('計算'!$M190="","",'計算'!$BA190))</f>
        <v/>
      </c>
      <c r="T194" s="52">
        <f>IF('計算'!$C190="","",IF('計算'!$M190="","",'計算'!$BB190))</f>
        <v/>
      </c>
      <c r="U194" s="52">
        <f>IF('計算'!$C190="","",IF('計算'!$M190="","",'計算'!$BC190))</f>
        <v/>
      </c>
      <c r="V194" s="52">
        <f>IF('計算'!$C190="","",IF('計算'!$M190="","",'計算'!$BD190))</f>
        <v/>
      </c>
      <c r="W194" s="52">
        <f>IF('計算'!$C190="","",IF('計算'!$M190="","",'計算'!$BE190))</f>
        <v/>
      </c>
      <c r="X194" s="52">
        <f>IF('計算'!$C190="","",IF('計算'!$M190="","",'計算'!$BF190))</f>
        <v/>
      </c>
      <c r="Y194" s="52">
        <f>IF('計算'!$C190="","",IF('計算'!$M190="","",'計算'!$BG190))</f>
        <v/>
      </c>
      <c r="Z194" s="52">
        <f>IF('計算'!$C190="","",IF('計算'!$M190="","",'計算'!$BH190))</f>
        <v/>
      </c>
      <c r="AA194" s="52">
        <f>IF('計算'!$C190="","",IF('計算'!$M190="","",'計算'!$BI190))</f>
        <v/>
      </c>
      <c r="AB194" s="52">
        <f>IF('計算'!$C190="","",IF('計算'!$M190="","",'計算'!$BJ190))</f>
        <v/>
      </c>
      <c r="AC194" s="52">
        <f>IF('計算'!$C190="","",IF('計算'!$M190="","",'計算'!$BK190))</f>
        <v/>
      </c>
      <c r="AD194" s="53" t="n"/>
      <c r="AE194" s="48" t="n"/>
      <c r="AF194" s="54">
        <f>IF('計算'!$C190="","",'計算'!$C190)</f>
        <v/>
      </c>
      <c r="AG194" s="54">
        <f>IF('計算'!$C190="","",'計算'!$F190)</f>
        <v/>
      </c>
    </row>
    <row r="195" ht="18" customHeight="1">
      <c r="B195" s="42">
        <f>IF('計算'!$C191="","",'計算'!$B191)</f>
        <v/>
      </c>
      <c r="C195" s="43">
        <f>IF('計算'!$C191="","",'計算'!$D191)</f>
        <v/>
      </c>
      <c r="D195" s="44">
        <f>IF('計算'!$C191="","",'計算'!$O191)</f>
        <v/>
      </c>
      <c r="E195" s="45">
        <f>IF('計算'!$C191="","",'計算'!$L191)</f>
        <v/>
      </c>
      <c r="F195" s="46">
        <f>IF('計算'!$C191="","",'計算'!$CD191)</f>
        <v/>
      </c>
      <c r="G195" s="47">
        <f>IF('計算'!$C191="","",'計算'!$CA191)</f>
        <v/>
      </c>
      <c r="H195" s="43">
        <f>IF('計算'!$C191="","",'計算'!$CP191)</f>
        <v/>
      </c>
      <c r="I195" s="48" t="n"/>
      <c r="J195" s="49" t="n"/>
      <c r="K195" s="50">
        <f>IF('計算'!$C191="","",'計算'!$CR191)</f>
        <v/>
      </c>
      <c r="L195" s="51">
        <f>IF('計算'!$C191="","",'計算'!$CF191)</f>
        <v/>
      </c>
      <c r="M195" s="48" t="n"/>
      <c r="N195" s="49" t="n"/>
      <c r="O195" s="43">
        <f>IF('計算'!$C191="","",'計算'!$CQ191)</f>
        <v/>
      </c>
      <c r="P195" s="52">
        <f>IF('計算'!$C191="","",IF('計算'!$M191="","",'計算'!$AX191))</f>
        <v/>
      </c>
      <c r="Q195" s="52">
        <f>IF('計算'!$C191="","",IF('計算'!$M191="","",'計算'!$AY191))</f>
        <v/>
      </c>
      <c r="R195" s="52">
        <f>IF('計算'!$C191="","",IF('計算'!$M191="","",'計算'!$AZ191))</f>
        <v/>
      </c>
      <c r="S195" s="52">
        <f>IF('計算'!$C191="","",IF('計算'!$M191="","",'計算'!$BA191))</f>
        <v/>
      </c>
      <c r="T195" s="52">
        <f>IF('計算'!$C191="","",IF('計算'!$M191="","",'計算'!$BB191))</f>
        <v/>
      </c>
      <c r="U195" s="52">
        <f>IF('計算'!$C191="","",IF('計算'!$M191="","",'計算'!$BC191))</f>
        <v/>
      </c>
      <c r="V195" s="52">
        <f>IF('計算'!$C191="","",IF('計算'!$M191="","",'計算'!$BD191))</f>
        <v/>
      </c>
      <c r="W195" s="52">
        <f>IF('計算'!$C191="","",IF('計算'!$M191="","",'計算'!$BE191))</f>
        <v/>
      </c>
      <c r="X195" s="52">
        <f>IF('計算'!$C191="","",IF('計算'!$M191="","",'計算'!$BF191))</f>
        <v/>
      </c>
      <c r="Y195" s="52">
        <f>IF('計算'!$C191="","",IF('計算'!$M191="","",'計算'!$BG191))</f>
        <v/>
      </c>
      <c r="Z195" s="52">
        <f>IF('計算'!$C191="","",IF('計算'!$M191="","",'計算'!$BH191))</f>
        <v/>
      </c>
      <c r="AA195" s="52">
        <f>IF('計算'!$C191="","",IF('計算'!$M191="","",'計算'!$BI191))</f>
        <v/>
      </c>
      <c r="AB195" s="52">
        <f>IF('計算'!$C191="","",IF('計算'!$M191="","",'計算'!$BJ191))</f>
        <v/>
      </c>
      <c r="AC195" s="52">
        <f>IF('計算'!$C191="","",IF('計算'!$M191="","",'計算'!$BK191))</f>
        <v/>
      </c>
      <c r="AD195" s="53" t="n"/>
      <c r="AE195" s="48" t="n"/>
      <c r="AF195" s="54">
        <f>IF('計算'!$C191="","",'計算'!$C191)</f>
        <v/>
      </c>
      <c r="AG195" s="54">
        <f>IF('計算'!$C191="","",'計算'!$F191)</f>
        <v/>
      </c>
    </row>
    <row r="196" ht="18" customHeight="1">
      <c r="B196" s="42">
        <f>IF('計算'!$C192="","",'計算'!$B192)</f>
        <v/>
      </c>
      <c r="C196" s="43">
        <f>IF('計算'!$C192="","",'計算'!$D192)</f>
        <v/>
      </c>
      <c r="D196" s="44">
        <f>IF('計算'!$C192="","",'計算'!$O192)</f>
        <v/>
      </c>
      <c r="E196" s="45">
        <f>IF('計算'!$C192="","",'計算'!$L192)</f>
        <v/>
      </c>
      <c r="F196" s="46">
        <f>IF('計算'!$C192="","",'計算'!$CD192)</f>
        <v/>
      </c>
      <c r="G196" s="47">
        <f>IF('計算'!$C192="","",'計算'!$CA192)</f>
        <v/>
      </c>
      <c r="H196" s="43">
        <f>IF('計算'!$C192="","",'計算'!$CP192)</f>
        <v/>
      </c>
      <c r="I196" s="48" t="n"/>
      <c r="J196" s="49" t="n"/>
      <c r="K196" s="50">
        <f>IF('計算'!$C192="","",'計算'!$CR192)</f>
        <v/>
      </c>
      <c r="L196" s="51">
        <f>IF('計算'!$C192="","",'計算'!$CF192)</f>
        <v/>
      </c>
      <c r="M196" s="48" t="n"/>
      <c r="N196" s="49" t="n"/>
      <c r="O196" s="43">
        <f>IF('計算'!$C192="","",'計算'!$CQ192)</f>
        <v/>
      </c>
      <c r="P196" s="52">
        <f>IF('計算'!$C192="","",IF('計算'!$M192="","",'計算'!$AX192))</f>
        <v/>
      </c>
      <c r="Q196" s="52">
        <f>IF('計算'!$C192="","",IF('計算'!$M192="","",'計算'!$AY192))</f>
        <v/>
      </c>
      <c r="R196" s="52">
        <f>IF('計算'!$C192="","",IF('計算'!$M192="","",'計算'!$AZ192))</f>
        <v/>
      </c>
      <c r="S196" s="52">
        <f>IF('計算'!$C192="","",IF('計算'!$M192="","",'計算'!$BA192))</f>
        <v/>
      </c>
      <c r="T196" s="52">
        <f>IF('計算'!$C192="","",IF('計算'!$M192="","",'計算'!$BB192))</f>
        <v/>
      </c>
      <c r="U196" s="52">
        <f>IF('計算'!$C192="","",IF('計算'!$M192="","",'計算'!$BC192))</f>
        <v/>
      </c>
      <c r="V196" s="52">
        <f>IF('計算'!$C192="","",IF('計算'!$M192="","",'計算'!$BD192))</f>
        <v/>
      </c>
      <c r="W196" s="52">
        <f>IF('計算'!$C192="","",IF('計算'!$M192="","",'計算'!$BE192))</f>
        <v/>
      </c>
      <c r="X196" s="52">
        <f>IF('計算'!$C192="","",IF('計算'!$M192="","",'計算'!$BF192))</f>
        <v/>
      </c>
      <c r="Y196" s="52">
        <f>IF('計算'!$C192="","",IF('計算'!$M192="","",'計算'!$BG192))</f>
        <v/>
      </c>
      <c r="Z196" s="52">
        <f>IF('計算'!$C192="","",IF('計算'!$M192="","",'計算'!$BH192))</f>
        <v/>
      </c>
      <c r="AA196" s="52">
        <f>IF('計算'!$C192="","",IF('計算'!$M192="","",'計算'!$BI192))</f>
        <v/>
      </c>
      <c r="AB196" s="52">
        <f>IF('計算'!$C192="","",IF('計算'!$M192="","",'計算'!$BJ192))</f>
        <v/>
      </c>
      <c r="AC196" s="52">
        <f>IF('計算'!$C192="","",IF('計算'!$M192="","",'計算'!$BK192))</f>
        <v/>
      </c>
      <c r="AD196" s="53" t="n"/>
      <c r="AE196" s="48" t="n"/>
      <c r="AF196" s="54">
        <f>IF('計算'!$C192="","",'計算'!$C192)</f>
        <v/>
      </c>
      <c r="AG196" s="54">
        <f>IF('計算'!$C192="","",'計算'!$F192)</f>
        <v/>
      </c>
    </row>
    <row r="197" ht="18" customHeight="1">
      <c r="B197" s="42">
        <f>IF('計算'!$C193="","",'計算'!$B193)</f>
        <v/>
      </c>
      <c r="C197" s="43">
        <f>IF('計算'!$C193="","",'計算'!$D193)</f>
        <v/>
      </c>
      <c r="D197" s="44">
        <f>IF('計算'!$C193="","",'計算'!$O193)</f>
        <v/>
      </c>
      <c r="E197" s="45">
        <f>IF('計算'!$C193="","",'計算'!$L193)</f>
        <v/>
      </c>
      <c r="F197" s="46">
        <f>IF('計算'!$C193="","",'計算'!$CD193)</f>
        <v/>
      </c>
      <c r="G197" s="47">
        <f>IF('計算'!$C193="","",'計算'!$CA193)</f>
        <v/>
      </c>
      <c r="H197" s="43">
        <f>IF('計算'!$C193="","",'計算'!$CP193)</f>
        <v/>
      </c>
      <c r="I197" s="48" t="n"/>
      <c r="J197" s="49" t="n"/>
      <c r="K197" s="50">
        <f>IF('計算'!$C193="","",'計算'!$CR193)</f>
        <v/>
      </c>
      <c r="L197" s="51">
        <f>IF('計算'!$C193="","",'計算'!$CF193)</f>
        <v/>
      </c>
      <c r="M197" s="48" t="n"/>
      <c r="N197" s="49" t="n"/>
      <c r="O197" s="43">
        <f>IF('計算'!$C193="","",'計算'!$CQ193)</f>
        <v/>
      </c>
      <c r="P197" s="52">
        <f>IF('計算'!$C193="","",IF('計算'!$M193="","",'計算'!$AX193))</f>
        <v/>
      </c>
      <c r="Q197" s="52">
        <f>IF('計算'!$C193="","",IF('計算'!$M193="","",'計算'!$AY193))</f>
        <v/>
      </c>
      <c r="R197" s="52">
        <f>IF('計算'!$C193="","",IF('計算'!$M193="","",'計算'!$AZ193))</f>
        <v/>
      </c>
      <c r="S197" s="52">
        <f>IF('計算'!$C193="","",IF('計算'!$M193="","",'計算'!$BA193))</f>
        <v/>
      </c>
      <c r="T197" s="52">
        <f>IF('計算'!$C193="","",IF('計算'!$M193="","",'計算'!$BB193))</f>
        <v/>
      </c>
      <c r="U197" s="52">
        <f>IF('計算'!$C193="","",IF('計算'!$M193="","",'計算'!$BC193))</f>
        <v/>
      </c>
      <c r="V197" s="52">
        <f>IF('計算'!$C193="","",IF('計算'!$M193="","",'計算'!$BD193))</f>
        <v/>
      </c>
      <c r="W197" s="52">
        <f>IF('計算'!$C193="","",IF('計算'!$M193="","",'計算'!$BE193))</f>
        <v/>
      </c>
      <c r="X197" s="52">
        <f>IF('計算'!$C193="","",IF('計算'!$M193="","",'計算'!$BF193))</f>
        <v/>
      </c>
      <c r="Y197" s="52">
        <f>IF('計算'!$C193="","",IF('計算'!$M193="","",'計算'!$BG193))</f>
        <v/>
      </c>
      <c r="Z197" s="52">
        <f>IF('計算'!$C193="","",IF('計算'!$M193="","",'計算'!$BH193))</f>
        <v/>
      </c>
      <c r="AA197" s="52">
        <f>IF('計算'!$C193="","",IF('計算'!$M193="","",'計算'!$BI193))</f>
        <v/>
      </c>
      <c r="AB197" s="52">
        <f>IF('計算'!$C193="","",IF('計算'!$M193="","",'計算'!$BJ193))</f>
        <v/>
      </c>
      <c r="AC197" s="52">
        <f>IF('計算'!$C193="","",IF('計算'!$M193="","",'計算'!$BK193))</f>
        <v/>
      </c>
      <c r="AD197" s="53" t="n"/>
      <c r="AE197" s="48" t="n"/>
      <c r="AF197" s="54">
        <f>IF('計算'!$C193="","",'計算'!$C193)</f>
        <v/>
      </c>
      <c r="AG197" s="54">
        <f>IF('計算'!$C193="","",'計算'!$F193)</f>
        <v/>
      </c>
    </row>
    <row r="198" ht="18" customHeight="1">
      <c r="B198" s="42">
        <f>IF('計算'!$C194="","",'計算'!$B194)</f>
        <v/>
      </c>
      <c r="C198" s="43">
        <f>IF('計算'!$C194="","",'計算'!$D194)</f>
        <v/>
      </c>
      <c r="D198" s="44">
        <f>IF('計算'!$C194="","",'計算'!$O194)</f>
        <v/>
      </c>
      <c r="E198" s="45">
        <f>IF('計算'!$C194="","",'計算'!$L194)</f>
        <v/>
      </c>
      <c r="F198" s="46">
        <f>IF('計算'!$C194="","",'計算'!$CD194)</f>
        <v/>
      </c>
      <c r="G198" s="47">
        <f>IF('計算'!$C194="","",'計算'!$CA194)</f>
        <v/>
      </c>
      <c r="H198" s="43">
        <f>IF('計算'!$C194="","",'計算'!$CP194)</f>
        <v/>
      </c>
      <c r="I198" s="48" t="n"/>
      <c r="J198" s="49" t="n"/>
      <c r="K198" s="50">
        <f>IF('計算'!$C194="","",'計算'!$CR194)</f>
        <v/>
      </c>
      <c r="L198" s="51">
        <f>IF('計算'!$C194="","",'計算'!$CF194)</f>
        <v/>
      </c>
      <c r="M198" s="48" t="n"/>
      <c r="N198" s="49" t="n"/>
      <c r="O198" s="43">
        <f>IF('計算'!$C194="","",'計算'!$CQ194)</f>
        <v/>
      </c>
      <c r="P198" s="52">
        <f>IF('計算'!$C194="","",IF('計算'!$M194="","",'計算'!$AX194))</f>
        <v/>
      </c>
      <c r="Q198" s="52">
        <f>IF('計算'!$C194="","",IF('計算'!$M194="","",'計算'!$AY194))</f>
        <v/>
      </c>
      <c r="R198" s="52">
        <f>IF('計算'!$C194="","",IF('計算'!$M194="","",'計算'!$AZ194))</f>
        <v/>
      </c>
      <c r="S198" s="52">
        <f>IF('計算'!$C194="","",IF('計算'!$M194="","",'計算'!$BA194))</f>
        <v/>
      </c>
      <c r="T198" s="52">
        <f>IF('計算'!$C194="","",IF('計算'!$M194="","",'計算'!$BB194))</f>
        <v/>
      </c>
      <c r="U198" s="52">
        <f>IF('計算'!$C194="","",IF('計算'!$M194="","",'計算'!$BC194))</f>
        <v/>
      </c>
      <c r="V198" s="52">
        <f>IF('計算'!$C194="","",IF('計算'!$M194="","",'計算'!$BD194))</f>
        <v/>
      </c>
      <c r="W198" s="52">
        <f>IF('計算'!$C194="","",IF('計算'!$M194="","",'計算'!$BE194))</f>
        <v/>
      </c>
      <c r="X198" s="52">
        <f>IF('計算'!$C194="","",IF('計算'!$M194="","",'計算'!$BF194))</f>
        <v/>
      </c>
      <c r="Y198" s="52">
        <f>IF('計算'!$C194="","",IF('計算'!$M194="","",'計算'!$BG194))</f>
        <v/>
      </c>
      <c r="Z198" s="52">
        <f>IF('計算'!$C194="","",IF('計算'!$M194="","",'計算'!$BH194))</f>
        <v/>
      </c>
      <c r="AA198" s="52">
        <f>IF('計算'!$C194="","",IF('計算'!$M194="","",'計算'!$BI194))</f>
        <v/>
      </c>
      <c r="AB198" s="52">
        <f>IF('計算'!$C194="","",IF('計算'!$M194="","",'計算'!$BJ194))</f>
        <v/>
      </c>
      <c r="AC198" s="52">
        <f>IF('計算'!$C194="","",IF('計算'!$M194="","",'計算'!$BK194))</f>
        <v/>
      </c>
      <c r="AD198" s="53" t="n"/>
      <c r="AE198" s="48" t="n"/>
      <c r="AF198" s="54">
        <f>IF('計算'!$C194="","",'計算'!$C194)</f>
        <v/>
      </c>
      <c r="AG198" s="54">
        <f>IF('計算'!$C194="","",'計算'!$F194)</f>
        <v/>
      </c>
    </row>
    <row r="199" ht="18" customHeight="1">
      <c r="B199" s="42">
        <f>IF('計算'!$C195="","",'計算'!$B195)</f>
        <v/>
      </c>
      <c r="C199" s="43">
        <f>IF('計算'!$C195="","",'計算'!$D195)</f>
        <v/>
      </c>
      <c r="D199" s="44">
        <f>IF('計算'!$C195="","",'計算'!$O195)</f>
        <v/>
      </c>
      <c r="E199" s="45">
        <f>IF('計算'!$C195="","",'計算'!$L195)</f>
        <v/>
      </c>
      <c r="F199" s="46">
        <f>IF('計算'!$C195="","",'計算'!$CD195)</f>
        <v/>
      </c>
      <c r="G199" s="47">
        <f>IF('計算'!$C195="","",'計算'!$CA195)</f>
        <v/>
      </c>
      <c r="H199" s="43">
        <f>IF('計算'!$C195="","",'計算'!$CP195)</f>
        <v/>
      </c>
      <c r="I199" s="48" t="n"/>
      <c r="J199" s="49" t="n"/>
      <c r="K199" s="50">
        <f>IF('計算'!$C195="","",'計算'!$CR195)</f>
        <v/>
      </c>
      <c r="L199" s="51">
        <f>IF('計算'!$C195="","",'計算'!$CF195)</f>
        <v/>
      </c>
      <c r="M199" s="48" t="n"/>
      <c r="N199" s="49" t="n"/>
      <c r="O199" s="43">
        <f>IF('計算'!$C195="","",'計算'!$CQ195)</f>
        <v/>
      </c>
      <c r="P199" s="52">
        <f>IF('計算'!$C195="","",IF('計算'!$M195="","",'計算'!$AX195))</f>
        <v/>
      </c>
      <c r="Q199" s="52">
        <f>IF('計算'!$C195="","",IF('計算'!$M195="","",'計算'!$AY195))</f>
        <v/>
      </c>
      <c r="R199" s="52">
        <f>IF('計算'!$C195="","",IF('計算'!$M195="","",'計算'!$AZ195))</f>
        <v/>
      </c>
      <c r="S199" s="52">
        <f>IF('計算'!$C195="","",IF('計算'!$M195="","",'計算'!$BA195))</f>
        <v/>
      </c>
      <c r="T199" s="52">
        <f>IF('計算'!$C195="","",IF('計算'!$M195="","",'計算'!$BB195))</f>
        <v/>
      </c>
      <c r="U199" s="52">
        <f>IF('計算'!$C195="","",IF('計算'!$M195="","",'計算'!$BC195))</f>
        <v/>
      </c>
      <c r="V199" s="52">
        <f>IF('計算'!$C195="","",IF('計算'!$M195="","",'計算'!$BD195))</f>
        <v/>
      </c>
      <c r="W199" s="52">
        <f>IF('計算'!$C195="","",IF('計算'!$M195="","",'計算'!$BE195))</f>
        <v/>
      </c>
      <c r="X199" s="52">
        <f>IF('計算'!$C195="","",IF('計算'!$M195="","",'計算'!$BF195))</f>
        <v/>
      </c>
      <c r="Y199" s="52">
        <f>IF('計算'!$C195="","",IF('計算'!$M195="","",'計算'!$BG195))</f>
        <v/>
      </c>
      <c r="Z199" s="52">
        <f>IF('計算'!$C195="","",IF('計算'!$M195="","",'計算'!$BH195))</f>
        <v/>
      </c>
      <c r="AA199" s="52">
        <f>IF('計算'!$C195="","",IF('計算'!$M195="","",'計算'!$BI195))</f>
        <v/>
      </c>
      <c r="AB199" s="52">
        <f>IF('計算'!$C195="","",IF('計算'!$M195="","",'計算'!$BJ195))</f>
        <v/>
      </c>
      <c r="AC199" s="52">
        <f>IF('計算'!$C195="","",IF('計算'!$M195="","",'計算'!$BK195))</f>
        <v/>
      </c>
      <c r="AD199" s="53" t="n"/>
      <c r="AE199" s="48" t="n"/>
      <c r="AF199" s="54">
        <f>IF('計算'!$C195="","",'計算'!$C195)</f>
        <v/>
      </c>
      <c r="AG199" s="54">
        <f>IF('計算'!$C195="","",'計算'!$F195)</f>
        <v/>
      </c>
    </row>
    <row r="200" ht="18" customHeight="1">
      <c r="B200" s="42">
        <f>IF('計算'!$C196="","",'計算'!$B196)</f>
        <v/>
      </c>
      <c r="C200" s="43">
        <f>IF('計算'!$C196="","",'計算'!$D196)</f>
        <v/>
      </c>
      <c r="D200" s="44">
        <f>IF('計算'!$C196="","",'計算'!$O196)</f>
        <v/>
      </c>
      <c r="E200" s="45">
        <f>IF('計算'!$C196="","",'計算'!$L196)</f>
        <v/>
      </c>
      <c r="F200" s="46">
        <f>IF('計算'!$C196="","",'計算'!$CD196)</f>
        <v/>
      </c>
      <c r="G200" s="47">
        <f>IF('計算'!$C196="","",'計算'!$CA196)</f>
        <v/>
      </c>
      <c r="H200" s="43">
        <f>IF('計算'!$C196="","",'計算'!$CP196)</f>
        <v/>
      </c>
      <c r="I200" s="48" t="n"/>
      <c r="J200" s="49" t="n"/>
      <c r="K200" s="50">
        <f>IF('計算'!$C196="","",'計算'!$CR196)</f>
        <v/>
      </c>
      <c r="L200" s="51">
        <f>IF('計算'!$C196="","",'計算'!$CF196)</f>
        <v/>
      </c>
      <c r="M200" s="48" t="n"/>
      <c r="N200" s="49" t="n"/>
      <c r="O200" s="43">
        <f>IF('計算'!$C196="","",'計算'!$CQ196)</f>
        <v/>
      </c>
      <c r="P200" s="52">
        <f>IF('計算'!$C196="","",IF('計算'!$M196="","",'計算'!$AX196))</f>
        <v/>
      </c>
      <c r="Q200" s="52">
        <f>IF('計算'!$C196="","",IF('計算'!$M196="","",'計算'!$AY196))</f>
        <v/>
      </c>
      <c r="R200" s="52">
        <f>IF('計算'!$C196="","",IF('計算'!$M196="","",'計算'!$AZ196))</f>
        <v/>
      </c>
      <c r="S200" s="52">
        <f>IF('計算'!$C196="","",IF('計算'!$M196="","",'計算'!$BA196))</f>
        <v/>
      </c>
      <c r="T200" s="52">
        <f>IF('計算'!$C196="","",IF('計算'!$M196="","",'計算'!$BB196))</f>
        <v/>
      </c>
      <c r="U200" s="52">
        <f>IF('計算'!$C196="","",IF('計算'!$M196="","",'計算'!$BC196))</f>
        <v/>
      </c>
      <c r="V200" s="52">
        <f>IF('計算'!$C196="","",IF('計算'!$M196="","",'計算'!$BD196))</f>
        <v/>
      </c>
      <c r="W200" s="52">
        <f>IF('計算'!$C196="","",IF('計算'!$M196="","",'計算'!$BE196))</f>
        <v/>
      </c>
      <c r="X200" s="52">
        <f>IF('計算'!$C196="","",IF('計算'!$M196="","",'計算'!$BF196))</f>
        <v/>
      </c>
      <c r="Y200" s="52">
        <f>IF('計算'!$C196="","",IF('計算'!$M196="","",'計算'!$BG196))</f>
        <v/>
      </c>
      <c r="Z200" s="52">
        <f>IF('計算'!$C196="","",IF('計算'!$M196="","",'計算'!$BH196))</f>
        <v/>
      </c>
      <c r="AA200" s="52">
        <f>IF('計算'!$C196="","",IF('計算'!$M196="","",'計算'!$BI196))</f>
        <v/>
      </c>
      <c r="AB200" s="52">
        <f>IF('計算'!$C196="","",IF('計算'!$M196="","",'計算'!$BJ196))</f>
        <v/>
      </c>
      <c r="AC200" s="52">
        <f>IF('計算'!$C196="","",IF('計算'!$M196="","",'計算'!$BK196))</f>
        <v/>
      </c>
      <c r="AD200" s="53" t="n"/>
      <c r="AE200" s="48" t="n"/>
      <c r="AF200" s="54">
        <f>IF('計算'!$C196="","",'計算'!$C196)</f>
        <v/>
      </c>
      <c r="AG200" s="54">
        <f>IF('計算'!$C196="","",'計算'!$F196)</f>
        <v/>
      </c>
    </row>
    <row r="201" ht="18" customHeight="1">
      <c r="B201" s="42">
        <f>IF('計算'!$C197="","",'計算'!$B197)</f>
        <v/>
      </c>
      <c r="C201" s="43">
        <f>IF('計算'!$C197="","",'計算'!$D197)</f>
        <v/>
      </c>
      <c r="D201" s="44">
        <f>IF('計算'!$C197="","",'計算'!$O197)</f>
        <v/>
      </c>
      <c r="E201" s="45">
        <f>IF('計算'!$C197="","",'計算'!$L197)</f>
        <v/>
      </c>
      <c r="F201" s="46">
        <f>IF('計算'!$C197="","",'計算'!$CD197)</f>
        <v/>
      </c>
      <c r="G201" s="47">
        <f>IF('計算'!$C197="","",'計算'!$CA197)</f>
        <v/>
      </c>
      <c r="H201" s="43">
        <f>IF('計算'!$C197="","",'計算'!$CP197)</f>
        <v/>
      </c>
      <c r="I201" s="48" t="n"/>
      <c r="J201" s="49" t="n"/>
      <c r="K201" s="50">
        <f>IF('計算'!$C197="","",'計算'!$CR197)</f>
        <v/>
      </c>
      <c r="L201" s="51">
        <f>IF('計算'!$C197="","",'計算'!$CF197)</f>
        <v/>
      </c>
      <c r="M201" s="48" t="n"/>
      <c r="N201" s="49" t="n"/>
      <c r="O201" s="43">
        <f>IF('計算'!$C197="","",'計算'!$CQ197)</f>
        <v/>
      </c>
      <c r="P201" s="52">
        <f>IF('計算'!$C197="","",IF('計算'!$M197="","",'計算'!$AX197))</f>
        <v/>
      </c>
      <c r="Q201" s="52">
        <f>IF('計算'!$C197="","",IF('計算'!$M197="","",'計算'!$AY197))</f>
        <v/>
      </c>
      <c r="R201" s="52">
        <f>IF('計算'!$C197="","",IF('計算'!$M197="","",'計算'!$AZ197))</f>
        <v/>
      </c>
      <c r="S201" s="52">
        <f>IF('計算'!$C197="","",IF('計算'!$M197="","",'計算'!$BA197))</f>
        <v/>
      </c>
      <c r="T201" s="52">
        <f>IF('計算'!$C197="","",IF('計算'!$M197="","",'計算'!$BB197))</f>
        <v/>
      </c>
      <c r="U201" s="52">
        <f>IF('計算'!$C197="","",IF('計算'!$M197="","",'計算'!$BC197))</f>
        <v/>
      </c>
      <c r="V201" s="52">
        <f>IF('計算'!$C197="","",IF('計算'!$M197="","",'計算'!$BD197))</f>
        <v/>
      </c>
      <c r="W201" s="52">
        <f>IF('計算'!$C197="","",IF('計算'!$M197="","",'計算'!$BE197))</f>
        <v/>
      </c>
      <c r="X201" s="52">
        <f>IF('計算'!$C197="","",IF('計算'!$M197="","",'計算'!$BF197))</f>
        <v/>
      </c>
      <c r="Y201" s="52">
        <f>IF('計算'!$C197="","",IF('計算'!$M197="","",'計算'!$BG197))</f>
        <v/>
      </c>
      <c r="Z201" s="52">
        <f>IF('計算'!$C197="","",IF('計算'!$M197="","",'計算'!$BH197))</f>
        <v/>
      </c>
      <c r="AA201" s="52">
        <f>IF('計算'!$C197="","",IF('計算'!$M197="","",'計算'!$BI197))</f>
        <v/>
      </c>
      <c r="AB201" s="52">
        <f>IF('計算'!$C197="","",IF('計算'!$M197="","",'計算'!$BJ197))</f>
        <v/>
      </c>
      <c r="AC201" s="52">
        <f>IF('計算'!$C197="","",IF('計算'!$M197="","",'計算'!$BK197))</f>
        <v/>
      </c>
      <c r="AD201" s="53" t="n"/>
      <c r="AE201" s="48" t="n"/>
      <c r="AF201" s="54">
        <f>IF('計算'!$C197="","",'計算'!$C197)</f>
        <v/>
      </c>
      <c r="AG201" s="54">
        <f>IF('計算'!$C197="","",'計算'!$F197)</f>
        <v/>
      </c>
    </row>
    <row r="202" ht="18" customHeight="1">
      <c r="B202" s="42">
        <f>IF('計算'!$C198="","",'計算'!$B198)</f>
        <v/>
      </c>
      <c r="C202" s="43">
        <f>IF('計算'!$C198="","",'計算'!$D198)</f>
        <v/>
      </c>
      <c r="D202" s="44">
        <f>IF('計算'!$C198="","",'計算'!$O198)</f>
        <v/>
      </c>
      <c r="E202" s="45">
        <f>IF('計算'!$C198="","",'計算'!$L198)</f>
        <v/>
      </c>
      <c r="F202" s="46">
        <f>IF('計算'!$C198="","",'計算'!$CD198)</f>
        <v/>
      </c>
      <c r="G202" s="47">
        <f>IF('計算'!$C198="","",'計算'!$CA198)</f>
        <v/>
      </c>
      <c r="H202" s="43">
        <f>IF('計算'!$C198="","",'計算'!$CP198)</f>
        <v/>
      </c>
      <c r="I202" s="48" t="n"/>
      <c r="J202" s="49" t="n"/>
      <c r="K202" s="50">
        <f>IF('計算'!$C198="","",'計算'!$CR198)</f>
        <v/>
      </c>
      <c r="L202" s="51">
        <f>IF('計算'!$C198="","",'計算'!$CF198)</f>
        <v/>
      </c>
      <c r="M202" s="48" t="n"/>
      <c r="N202" s="49" t="n"/>
      <c r="O202" s="43">
        <f>IF('計算'!$C198="","",'計算'!$CQ198)</f>
        <v/>
      </c>
      <c r="P202" s="52">
        <f>IF('計算'!$C198="","",IF('計算'!$M198="","",'計算'!$AX198))</f>
        <v/>
      </c>
      <c r="Q202" s="52">
        <f>IF('計算'!$C198="","",IF('計算'!$M198="","",'計算'!$AY198))</f>
        <v/>
      </c>
      <c r="R202" s="52">
        <f>IF('計算'!$C198="","",IF('計算'!$M198="","",'計算'!$AZ198))</f>
        <v/>
      </c>
      <c r="S202" s="52">
        <f>IF('計算'!$C198="","",IF('計算'!$M198="","",'計算'!$BA198))</f>
        <v/>
      </c>
      <c r="T202" s="52">
        <f>IF('計算'!$C198="","",IF('計算'!$M198="","",'計算'!$BB198))</f>
        <v/>
      </c>
      <c r="U202" s="52">
        <f>IF('計算'!$C198="","",IF('計算'!$M198="","",'計算'!$BC198))</f>
        <v/>
      </c>
      <c r="V202" s="52">
        <f>IF('計算'!$C198="","",IF('計算'!$M198="","",'計算'!$BD198))</f>
        <v/>
      </c>
      <c r="W202" s="52">
        <f>IF('計算'!$C198="","",IF('計算'!$M198="","",'計算'!$BE198))</f>
        <v/>
      </c>
      <c r="X202" s="52">
        <f>IF('計算'!$C198="","",IF('計算'!$M198="","",'計算'!$BF198))</f>
        <v/>
      </c>
      <c r="Y202" s="52">
        <f>IF('計算'!$C198="","",IF('計算'!$M198="","",'計算'!$BG198))</f>
        <v/>
      </c>
      <c r="Z202" s="52">
        <f>IF('計算'!$C198="","",IF('計算'!$M198="","",'計算'!$BH198))</f>
        <v/>
      </c>
      <c r="AA202" s="52">
        <f>IF('計算'!$C198="","",IF('計算'!$M198="","",'計算'!$BI198))</f>
        <v/>
      </c>
      <c r="AB202" s="52">
        <f>IF('計算'!$C198="","",IF('計算'!$M198="","",'計算'!$BJ198))</f>
        <v/>
      </c>
      <c r="AC202" s="52">
        <f>IF('計算'!$C198="","",IF('計算'!$M198="","",'計算'!$BK198))</f>
        <v/>
      </c>
      <c r="AD202" s="53" t="n"/>
      <c r="AE202" s="48" t="n"/>
      <c r="AF202" s="54">
        <f>IF('計算'!$C198="","",'計算'!$C198)</f>
        <v/>
      </c>
      <c r="AG202" s="54">
        <f>IF('計算'!$C198="","",'計算'!$F198)</f>
        <v/>
      </c>
    </row>
    <row r="203" ht="18" customHeight="1">
      <c r="B203" s="42">
        <f>IF('計算'!$C199="","",'計算'!$B199)</f>
        <v/>
      </c>
      <c r="C203" s="43">
        <f>IF('計算'!$C199="","",'計算'!$D199)</f>
        <v/>
      </c>
      <c r="D203" s="44">
        <f>IF('計算'!$C199="","",'計算'!$O199)</f>
        <v/>
      </c>
      <c r="E203" s="45">
        <f>IF('計算'!$C199="","",'計算'!$L199)</f>
        <v/>
      </c>
      <c r="F203" s="46">
        <f>IF('計算'!$C199="","",'計算'!$CD199)</f>
        <v/>
      </c>
      <c r="G203" s="47">
        <f>IF('計算'!$C199="","",'計算'!$CA199)</f>
        <v/>
      </c>
      <c r="H203" s="43">
        <f>IF('計算'!$C199="","",'計算'!$CP199)</f>
        <v/>
      </c>
      <c r="I203" s="48" t="n"/>
      <c r="J203" s="49" t="n"/>
      <c r="K203" s="50">
        <f>IF('計算'!$C199="","",'計算'!$CR199)</f>
        <v/>
      </c>
      <c r="L203" s="51">
        <f>IF('計算'!$C199="","",'計算'!$CF199)</f>
        <v/>
      </c>
      <c r="M203" s="48" t="n"/>
      <c r="N203" s="49" t="n"/>
      <c r="O203" s="43">
        <f>IF('計算'!$C199="","",'計算'!$CQ199)</f>
        <v/>
      </c>
      <c r="P203" s="52">
        <f>IF('計算'!$C199="","",IF('計算'!$M199="","",'計算'!$AX199))</f>
        <v/>
      </c>
      <c r="Q203" s="52">
        <f>IF('計算'!$C199="","",IF('計算'!$M199="","",'計算'!$AY199))</f>
        <v/>
      </c>
      <c r="R203" s="52">
        <f>IF('計算'!$C199="","",IF('計算'!$M199="","",'計算'!$AZ199))</f>
        <v/>
      </c>
      <c r="S203" s="52">
        <f>IF('計算'!$C199="","",IF('計算'!$M199="","",'計算'!$BA199))</f>
        <v/>
      </c>
      <c r="T203" s="52">
        <f>IF('計算'!$C199="","",IF('計算'!$M199="","",'計算'!$BB199))</f>
        <v/>
      </c>
      <c r="U203" s="52">
        <f>IF('計算'!$C199="","",IF('計算'!$M199="","",'計算'!$BC199))</f>
        <v/>
      </c>
      <c r="V203" s="52">
        <f>IF('計算'!$C199="","",IF('計算'!$M199="","",'計算'!$BD199))</f>
        <v/>
      </c>
      <c r="W203" s="52">
        <f>IF('計算'!$C199="","",IF('計算'!$M199="","",'計算'!$BE199))</f>
        <v/>
      </c>
      <c r="X203" s="52">
        <f>IF('計算'!$C199="","",IF('計算'!$M199="","",'計算'!$BF199))</f>
        <v/>
      </c>
      <c r="Y203" s="52">
        <f>IF('計算'!$C199="","",IF('計算'!$M199="","",'計算'!$BG199))</f>
        <v/>
      </c>
      <c r="Z203" s="52">
        <f>IF('計算'!$C199="","",IF('計算'!$M199="","",'計算'!$BH199))</f>
        <v/>
      </c>
      <c r="AA203" s="52">
        <f>IF('計算'!$C199="","",IF('計算'!$M199="","",'計算'!$BI199))</f>
        <v/>
      </c>
      <c r="AB203" s="52">
        <f>IF('計算'!$C199="","",IF('計算'!$M199="","",'計算'!$BJ199))</f>
        <v/>
      </c>
      <c r="AC203" s="52">
        <f>IF('計算'!$C199="","",IF('計算'!$M199="","",'計算'!$BK199))</f>
        <v/>
      </c>
      <c r="AD203" s="53" t="n"/>
      <c r="AE203" s="48" t="n"/>
      <c r="AF203" s="54">
        <f>IF('計算'!$C199="","",'計算'!$C199)</f>
        <v/>
      </c>
      <c r="AG203" s="54">
        <f>IF('計算'!$C199="","",'計算'!$F199)</f>
        <v/>
      </c>
    </row>
    <row r="204" ht="18" customHeight="1">
      <c r="B204" s="42">
        <f>IF('計算'!$C200="","",'計算'!$B200)</f>
        <v/>
      </c>
      <c r="C204" s="43">
        <f>IF('計算'!$C200="","",'計算'!$D200)</f>
        <v/>
      </c>
      <c r="D204" s="44">
        <f>IF('計算'!$C200="","",'計算'!$O200)</f>
        <v/>
      </c>
      <c r="E204" s="45">
        <f>IF('計算'!$C200="","",'計算'!$L200)</f>
        <v/>
      </c>
      <c r="F204" s="46">
        <f>IF('計算'!$C200="","",'計算'!$CD200)</f>
        <v/>
      </c>
      <c r="G204" s="47">
        <f>IF('計算'!$C200="","",'計算'!$CA200)</f>
        <v/>
      </c>
      <c r="H204" s="43">
        <f>IF('計算'!$C200="","",'計算'!$CP200)</f>
        <v/>
      </c>
      <c r="I204" s="48" t="n"/>
      <c r="J204" s="49" t="n"/>
      <c r="K204" s="50">
        <f>IF('計算'!$C200="","",'計算'!$CR200)</f>
        <v/>
      </c>
      <c r="L204" s="51">
        <f>IF('計算'!$C200="","",'計算'!$CF200)</f>
        <v/>
      </c>
      <c r="M204" s="48" t="n"/>
      <c r="N204" s="49" t="n"/>
      <c r="O204" s="43">
        <f>IF('計算'!$C200="","",'計算'!$CQ200)</f>
        <v/>
      </c>
      <c r="P204" s="52">
        <f>IF('計算'!$C200="","",IF('計算'!$M200="","",'計算'!$AX200))</f>
        <v/>
      </c>
      <c r="Q204" s="52">
        <f>IF('計算'!$C200="","",IF('計算'!$M200="","",'計算'!$AY200))</f>
        <v/>
      </c>
      <c r="R204" s="52">
        <f>IF('計算'!$C200="","",IF('計算'!$M200="","",'計算'!$AZ200))</f>
        <v/>
      </c>
      <c r="S204" s="52">
        <f>IF('計算'!$C200="","",IF('計算'!$M200="","",'計算'!$BA200))</f>
        <v/>
      </c>
      <c r="T204" s="52">
        <f>IF('計算'!$C200="","",IF('計算'!$M200="","",'計算'!$BB200))</f>
        <v/>
      </c>
      <c r="U204" s="52">
        <f>IF('計算'!$C200="","",IF('計算'!$M200="","",'計算'!$BC200))</f>
        <v/>
      </c>
      <c r="V204" s="52">
        <f>IF('計算'!$C200="","",IF('計算'!$M200="","",'計算'!$BD200))</f>
        <v/>
      </c>
      <c r="W204" s="52">
        <f>IF('計算'!$C200="","",IF('計算'!$M200="","",'計算'!$BE200))</f>
        <v/>
      </c>
      <c r="X204" s="52">
        <f>IF('計算'!$C200="","",IF('計算'!$M200="","",'計算'!$BF200))</f>
        <v/>
      </c>
      <c r="Y204" s="52">
        <f>IF('計算'!$C200="","",IF('計算'!$M200="","",'計算'!$BG200))</f>
        <v/>
      </c>
      <c r="Z204" s="52">
        <f>IF('計算'!$C200="","",IF('計算'!$M200="","",'計算'!$BH200))</f>
        <v/>
      </c>
      <c r="AA204" s="52">
        <f>IF('計算'!$C200="","",IF('計算'!$M200="","",'計算'!$BI200))</f>
        <v/>
      </c>
      <c r="AB204" s="52">
        <f>IF('計算'!$C200="","",IF('計算'!$M200="","",'計算'!$BJ200))</f>
        <v/>
      </c>
      <c r="AC204" s="52">
        <f>IF('計算'!$C200="","",IF('計算'!$M200="","",'計算'!$BK200))</f>
        <v/>
      </c>
      <c r="AD204" s="53" t="n"/>
      <c r="AE204" s="48" t="n"/>
      <c r="AF204" s="54">
        <f>IF('計算'!$C200="","",'計算'!$C200)</f>
        <v/>
      </c>
      <c r="AG204" s="54">
        <f>IF('計算'!$C200="","",'計算'!$F200)</f>
        <v/>
      </c>
    </row>
    <row r="205" ht="18" customHeight="1">
      <c r="B205" s="42">
        <f>IF('計算'!$C201="","",'計算'!$B201)</f>
        <v/>
      </c>
      <c r="C205" s="43">
        <f>IF('計算'!$C201="","",'計算'!$D201)</f>
        <v/>
      </c>
      <c r="D205" s="44">
        <f>IF('計算'!$C201="","",'計算'!$O201)</f>
        <v/>
      </c>
      <c r="E205" s="45">
        <f>IF('計算'!$C201="","",'計算'!$L201)</f>
        <v/>
      </c>
      <c r="F205" s="46">
        <f>IF('計算'!$C201="","",'計算'!$CD201)</f>
        <v/>
      </c>
      <c r="G205" s="47">
        <f>IF('計算'!$C201="","",'計算'!$CA201)</f>
        <v/>
      </c>
      <c r="H205" s="43">
        <f>IF('計算'!$C201="","",'計算'!$CP201)</f>
        <v/>
      </c>
      <c r="I205" s="48" t="n"/>
      <c r="J205" s="49" t="n"/>
      <c r="K205" s="50">
        <f>IF('計算'!$C201="","",'計算'!$CR201)</f>
        <v/>
      </c>
      <c r="L205" s="51">
        <f>IF('計算'!$C201="","",'計算'!$CF201)</f>
        <v/>
      </c>
      <c r="M205" s="48" t="n"/>
      <c r="N205" s="49" t="n"/>
      <c r="O205" s="43">
        <f>IF('計算'!$C201="","",'計算'!$CQ201)</f>
        <v/>
      </c>
      <c r="P205" s="52">
        <f>IF('計算'!$C201="","",IF('計算'!$M201="","",'計算'!$AX201))</f>
        <v/>
      </c>
      <c r="Q205" s="52">
        <f>IF('計算'!$C201="","",IF('計算'!$M201="","",'計算'!$AY201))</f>
        <v/>
      </c>
      <c r="R205" s="52">
        <f>IF('計算'!$C201="","",IF('計算'!$M201="","",'計算'!$AZ201))</f>
        <v/>
      </c>
      <c r="S205" s="52">
        <f>IF('計算'!$C201="","",IF('計算'!$M201="","",'計算'!$BA201))</f>
        <v/>
      </c>
      <c r="T205" s="52">
        <f>IF('計算'!$C201="","",IF('計算'!$M201="","",'計算'!$BB201))</f>
        <v/>
      </c>
      <c r="U205" s="52">
        <f>IF('計算'!$C201="","",IF('計算'!$M201="","",'計算'!$BC201))</f>
        <v/>
      </c>
      <c r="V205" s="52">
        <f>IF('計算'!$C201="","",IF('計算'!$M201="","",'計算'!$BD201))</f>
        <v/>
      </c>
      <c r="W205" s="52">
        <f>IF('計算'!$C201="","",IF('計算'!$M201="","",'計算'!$BE201))</f>
        <v/>
      </c>
      <c r="X205" s="52">
        <f>IF('計算'!$C201="","",IF('計算'!$M201="","",'計算'!$BF201))</f>
        <v/>
      </c>
      <c r="Y205" s="52">
        <f>IF('計算'!$C201="","",IF('計算'!$M201="","",'計算'!$BG201))</f>
        <v/>
      </c>
      <c r="Z205" s="52">
        <f>IF('計算'!$C201="","",IF('計算'!$M201="","",'計算'!$BH201))</f>
        <v/>
      </c>
      <c r="AA205" s="52">
        <f>IF('計算'!$C201="","",IF('計算'!$M201="","",'計算'!$BI201))</f>
        <v/>
      </c>
      <c r="AB205" s="52">
        <f>IF('計算'!$C201="","",IF('計算'!$M201="","",'計算'!$BJ201))</f>
        <v/>
      </c>
      <c r="AC205" s="52">
        <f>IF('計算'!$C201="","",IF('計算'!$M201="","",'計算'!$BK201))</f>
        <v/>
      </c>
      <c r="AD205" s="53" t="n"/>
      <c r="AE205" s="48" t="n"/>
      <c r="AF205" s="54">
        <f>IF('計算'!$C201="","",'計算'!$C201)</f>
        <v/>
      </c>
      <c r="AG205" s="54">
        <f>IF('計算'!$C201="","",'計算'!$F201)</f>
        <v/>
      </c>
    </row>
    <row r="206" ht="18" customHeight="1">
      <c r="B206" s="42">
        <f>IF('計算'!$C202="","",'計算'!$B202)</f>
        <v/>
      </c>
      <c r="C206" s="43">
        <f>IF('計算'!$C202="","",'計算'!$D202)</f>
        <v/>
      </c>
      <c r="D206" s="44">
        <f>IF('計算'!$C202="","",'計算'!$O202)</f>
        <v/>
      </c>
      <c r="E206" s="45">
        <f>IF('計算'!$C202="","",'計算'!$L202)</f>
        <v/>
      </c>
      <c r="F206" s="46">
        <f>IF('計算'!$C202="","",'計算'!$CD202)</f>
        <v/>
      </c>
      <c r="G206" s="47">
        <f>IF('計算'!$C202="","",'計算'!$CA202)</f>
        <v/>
      </c>
      <c r="H206" s="43">
        <f>IF('計算'!$C202="","",'計算'!$CP202)</f>
        <v/>
      </c>
      <c r="I206" s="48" t="n"/>
      <c r="J206" s="49" t="n"/>
      <c r="K206" s="50">
        <f>IF('計算'!$C202="","",'計算'!$CR202)</f>
        <v/>
      </c>
      <c r="L206" s="51">
        <f>IF('計算'!$C202="","",'計算'!$CF202)</f>
        <v/>
      </c>
      <c r="M206" s="48" t="n"/>
      <c r="N206" s="49" t="n"/>
      <c r="O206" s="43">
        <f>IF('計算'!$C202="","",'計算'!$CQ202)</f>
        <v/>
      </c>
      <c r="P206" s="52">
        <f>IF('計算'!$C202="","",IF('計算'!$M202="","",'計算'!$AX202))</f>
        <v/>
      </c>
      <c r="Q206" s="52">
        <f>IF('計算'!$C202="","",IF('計算'!$M202="","",'計算'!$AY202))</f>
        <v/>
      </c>
      <c r="R206" s="52">
        <f>IF('計算'!$C202="","",IF('計算'!$M202="","",'計算'!$AZ202))</f>
        <v/>
      </c>
      <c r="S206" s="52">
        <f>IF('計算'!$C202="","",IF('計算'!$M202="","",'計算'!$BA202))</f>
        <v/>
      </c>
      <c r="T206" s="52">
        <f>IF('計算'!$C202="","",IF('計算'!$M202="","",'計算'!$BB202))</f>
        <v/>
      </c>
      <c r="U206" s="52">
        <f>IF('計算'!$C202="","",IF('計算'!$M202="","",'計算'!$BC202))</f>
        <v/>
      </c>
      <c r="V206" s="52">
        <f>IF('計算'!$C202="","",IF('計算'!$M202="","",'計算'!$BD202))</f>
        <v/>
      </c>
      <c r="W206" s="52">
        <f>IF('計算'!$C202="","",IF('計算'!$M202="","",'計算'!$BE202))</f>
        <v/>
      </c>
      <c r="X206" s="52">
        <f>IF('計算'!$C202="","",IF('計算'!$M202="","",'計算'!$BF202))</f>
        <v/>
      </c>
      <c r="Y206" s="52">
        <f>IF('計算'!$C202="","",IF('計算'!$M202="","",'計算'!$BG202))</f>
        <v/>
      </c>
      <c r="Z206" s="52">
        <f>IF('計算'!$C202="","",IF('計算'!$M202="","",'計算'!$BH202))</f>
        <v/>
      </c>
      <c r="AA206" s="52">
        <f>IF('計算'!$C202="","",IF('計算'!$M202="","",'計算'!$BI202))</f>
        <v/>
      </c>
      <c r="AB206" s="52">
        <f>IF('計算'!$C202="","",IF('計算'!$M202="","",'計算'!$BJ202))</f>
        <v/>
      </c>
      <c r="AC206" s="52">
        <f>IF('計算'!$C202="","",IF('計算'!$M202="","",'計算'!$BK202))</f>
        <v/>
      </c>
      <c r="AD206" s="53" t="n"/>
      <c r="AE206" s="48" t="n"/>
      <c r="AF206" s="54">
        <f>IF('計算'!$C202="","",'計算'!$C202)</f>
        <v/>
      </c>
      <c r="AG206" s="54">
        <f>IF('計算'!$C202="","",'計算'!$F202)</f>
        <v/>
      </c>
    </row>
    <row r="207" ht="18" customHeight="1">
      <c r="B207" s="42">
        <f>IF('計算'!$C203="","",'計算'!$B203)</f>
        <v/>
      </c>
      <c r="C207" s="43">
        <f>IF('計算'!$C203="","",'計算'!$D203)</f>
        <v/>
      </c>
      <c r="D207" s="44">
        <f>IF('計算'!$C203="","",'計算'!$O203)</f>
        <v/>
      </c>
      <c r="E207" s="45">
        <f>IF('計算'!$C203="","",'計算'!$L203)</f>
        <v/>
      </c>
      <c r="F207" s="46">
        <f>IF('計算'!$C203="","",'計算'!$CD203)</f>
        <v/>
      </c>
      <c r="G207" s="47">
        <f>IF('計算'!$C203="","",'計算'!$CA203)</f>
        <v/>
      </c>
      <c r="H207" s="43">
        <f>IF('計算'!$C203="","",'計算'!$CP203)</f>
        <v/>
      </c>
      <c r="I207" s="48" t="n"/>
      <c r="J207" s="49" t="n"/>
      <c r="K207" s="50">
        <f>IF('計算'!$C203="","",'計算'!$CR203)</f>
        <v/>
      </c>
      <c r="L207" s="51">
        <f>IF('計算'!$C203="","",'計算'!$CF203)</f>
        <v/>
      </c>
      <c r="M207" s="48" t="n"/>
      <c r="N207" s="49" t="n"/>
      <c r="O207" s="43">
        <f>IF('計算'!$C203="","",'計算'!$CQ203)</f>
        <v/>
      </c>
      <c r="P207" s="52">
        <f>IF('計算'!$C203="","",IF('計算'!$M203="","",'計算'!$AX203))</f>
        <v/>
      </c>
      <c r="Q207" s="52">
        <f>IF('計算'!$C203="","",IF('計算'!$M203="","",'計算'!$AY203))</f>
        <v/>
      </c>
      <c r="R207" s="52">
        <f>IF('計算'!$C203="","",IF('計算'!$M203="","",'計算'!$AZ203))</f>
        <v/>
      </c>
      <c r="S207" s="52">
        <f>IF('計算'!$C203="","",IF('計算'!$M203="","",'計算'!$BA203))</f>
        <v/>
      </c>
      <c r="T207" s="52">
        <f>IF('計算'!$C203="","",IF('計算'!$M203="","",'計算'!$BB203))</f>
        <v/>
      </c>
      <c r="U207" s="52">
        <f>IF('計算'!$C203="","",IF('計算'!$M203="","",'計算'!$BC203))</f>
        <v/>
      </c>
      <c r="V207" s="52">
        <f>IF('計算'!$C203="","",IF('計算'!$M203="","",'計算'!$BD203))</f>
        <v/>
      </c>
      <c r="W207" s="52">
        <f>IF('計算'!$C203="","",IF('計算'!$M203="","",'計算'!$BE203))</f>
        <v/>
      </c>
      <c r="X207" s="52">
        <f>IF('計算'!$C203="","",IF('計算'!$M203="","",'計算'!$BF203))</f>
        <v/>
      </c>
      <c r="Y207" s="52">
        <f>IF('計算'!$C203="","",IF('計算'!$M203="","",'計算'!$BG203))</f>
        <v/>
      </c>
      <c r="Z207" s="52">
        <f>IF('計算'!$C203="","",IF('計算'!$M203="","",'計算'!$BH203))</f>
        <v/>
      </c>
      <c r="AA207" s="52">
        <f>IF('計算'!$C203="","",IF('計算'!$M203="","",'計算'!$BI203))</f>
        <v/>
      </c>
      <c r="AB207" s="52">
        <f>IF('計算'!$C203="","",IF('計算'!$M203="","",'計算'!$BJ203))</f>
        <v/>
      </c>
      <c r="AC207" s="52">
        <f>IF('計算'!$C203="","",IF('計算'!$M203="","",'計算'!$BK203))</f>
        <v/>
      </c>
      <c r="AD207" s="53" t="n"/>
      <c r="AE207" s="48" t="n"/>
      <c r="AF207" s="54">
        <f>IF('計算'!$C203="","",'計算'!$C203)</f>
        <v/>
      </c>
      <c r="AG207" s="54">
        <f>IF('計算'!$C203="","",'計算'!$F203)</f>
        <v/>
      </c>
    </row>
    <row r="208" ht="18" customHeight="1">
      <c r="B208" s="42">
        <f>IF('計算'!$C204="","",'計算'!$B204)</f>
        <v/>
      </c>
      <c r="C208" s="43">
        <f>IF('計算'!$C204="","",'計算'!$D204)</f>
        <v/>
      </c>
      <c r="D208" s="44">
        <f>IF('計算'!$C204="","",'計算'!$O204)</f>
        <v/>
      </c>
      <c r="E208" s="45">
        <f>IF('計算'!$C204="","",'計算'!$L204)</f>
        <v/>
      </c>
      <c r="F208" s="46">
        <f>IF('計算'!$C204="","",'計算'!$CD204)</f>
        <v/>
      </c>
      <c r="G208" s="47">
        <f>IF('計算'!$C204="","",'計算'!$CA204)</f>
        <v/>
      </c>
      <c r="H208" s="43">
        <f>IF('計算'!$C204="","",'計算'!$CP204)</f>
        <v/>
      </c>
      <c r="I208" s="48" t="n"/>
      <c r="J208" s="49" t="n"/>
      <c r="K208" s="50">
        <f>IF('計算'!$C204="","",'計算'!$CR204)</f>
        <v/>
      </c>
      <c r="L208" s="51">
        <f>IF('計算'!$C204="","",'計算'!$CF204)</f>
        <v/>
      </c>
      <c r="M208" s="48" t="n"/>
      <c r="N208" s="49" t="n"/>
      <c r="O208" s="43">
        <f>IF('計算'!$C204="","",'計算'!$CQ204)</f>
        <v/>
      </c>
      <c r="P208" s="52">
        <f>IF('計算'!$C204="","",IF('計算'!$M204="","",'計算'!$AX204))</f>
        <v/>
      </c>
      <c r="Q208" s="52">
        <f>IF('計算'!$C204="","",IF('計算'!$M204="","",'計算'!$AY204))</f>
        <v/>
      </c>
      <c r="R208" s="52">
        <f>IF('計算'!$C204="","",IF('計算'!$M204="","",'計算'!$AZ204))</f>
        <v/>
      </c>
      <c r="S208" s="52">
        <f>IF('計算'!$C204="","",IF('計算'!$M204="","",'計算'!$BA204))</f>
        <v/>
      </c>
      <c r="T208" s="52">
        <f>IF('計算'!$C204="","",IF('計算'!$M204="","",'計算'!$BB204))</f>
        <v/>
      </c>
      <c r="U208" s="52">
        <f>IF('計算'!$C204="","",IF('計算'!$M204="","",'計算'!$BC204))</f>
        <v/>
      </c>
      <c r="V208" s="52">
        <f>IF('計算'!$C204="","",IF('計算'!$M204="","",'計算'!$BD204))</f>
        <v/>
      </c>
      <c r="W208" s="52">
        <f>IF('計算'!$C204="","",IF('計算'!$M204="","",'計算'!$BE204))</f>
        <v/>
      </c>
      <c r="X208" s="52">
        <f>IF('計算'!$C204="","",IF('計算'!$M204="","",'計算'!$BF204))</f>
        <v/>
      </c>
      <c r="Y208" s="52">
        <f>IF('計算'!$C204="","",IF('計算'!$M204="","",'計算'!$BG204))</f>
        <v/>
      </c>
      <c r="Z208" s="52">
        <f>IF('計算'!$C204="","",IF('計算'!$M204="","",'計算'!$BH204))</f>
        <v/>
      </c>
      <c r="AA208" s="52">
        <f>IF('計算'!$C204="","",IF('計算'!$M204="","",'計算'!$BI204))</f>
        <v/>
      </c>
      <c r="AB208" s="52">
        <f>IF('計算'!$C204="","",IF('計算'!$M204="","",'計算'!$BJ204))</f>
        <v/>
      </c>
      <c r="AC208" s="52">
        <f>IF('計算'!$C204="","",IF('計算'!$M204="","",'計算'!$BK204))</f>
        <v/>
      </c>
      <c r="AD208" s="53" t="n"/>
      <c r="AE208" s="48" t="n"/>
      <c r="AF208" s="54">
        <f>IF('計算'!$C204="","",'計算'!$C204)</f>
        <v/>
      </c>
      <c r="AG208" s="54">
        <f>IF('計算'!$C204="","",'計算'!$F204)</f>
        <v/>
      </c>
    </row>
    <row r="209" ht="18" customHeight="1">
      <c r="B209" s="42">
        <f>IF('計算'!$C205="","",'計算'!$B205)</f>
        <v/>
      </c>
      <c r="C209" s="43">
        <f>IF('計算'!$C205="","",'計算'!$D205)</f>
        <v/>
      </c>
      <c r="D209" s="44">
        <f>IF('計算'!$C205="","",'計算'!$O205)</f>
        <v/>
      </c>
      <c r="E209" s="45">
        <f>IF('計算'!$C205="","",'計算'!$L205)</f>
        <v/>
      </c>
      <c r="F209" s="46">
        <f>IF('計算'!$C205="","",'計算'!$CD205)</f>
        <v/>
      </c>
      <c r="G209" s="47">
        <f>IF('計算'!$C205="","",'計算'!$CA205)</f>
        <v/>
      </c>
      <c r="H209" s="43">
        <f>IF('計算'!$C205="","",'計算'!$CP205)</f>
        <v/>
      </c>
      <c r="I209" s="48" t="n"/>
      <c r="J209" s="49" t="n"/>
      <c r="K209" s="50">
        <f>IF('計算'!$C205="","",'計算'!$CR205)</f>
        <v/>
      </c>
      <c r="L209" s="51">
        <f>IF('計算'!$C205="","",'計算'!$CF205)</f>
        <v/>
      </c>
      <c r="M209" s="48" t="n"/>
      <c r="N209" s="49" t="n"/>
      <c r="O209" s="43">
        <f>IF('計算'!$C205="","",'計算'!$CQ205)</f>
        <v/>
      </c>
      <c r="P209" s="52">
        <f>IF('計算'!$C205="","",IF('計算'!$M205="","",'計算'!$AX205))</f>
        <v/>
      </c>
      <c r="Q209" s="52">
        <f>IF('計算'!$C205="","",IF('計算'!$M205="","",'計算'!$AY205))</f>
        <v/>
      </c>
      <c r="R209" s="52">
        <f>IF('計算'!$C205="","",IF('計算'!$M205="","",'計算'!$AZ205))</f>
        <v/>
      </c>
      <c r="S209" s="52">
        <f>IF('計算'!$C205="","",IF('計算'!$M205="","",'計算'!$BA205))</f>
        <v/>
      </c>
      <c r="T209" s="52">
        <f>IF('計算'!$C205="","",IF('計算'!$M205="","",'計算'!$BB205))</f>
        <v/>
      </c>
      <c r="U209" s="52">
        <f>IF('計算'!$C205="","",IF('計算'!$M205="","",'計算'!$BC205))</f>
        <v/>
      </c>
      <c r="V209" s="52">
        <f>IF('計算'!$C205="","",IF('計算'!$M205="","",'計算'!$BD205))</f>
        <v/>
      </c>
      <c r="W209" s="52">
        <f>IF('計算'!$C205="","",IF('計算'!$M205="","",'計算'!$BE205))</f>
        <v/>
      </c>
      <c r="X209" s="52">
        <f>IF('計算'!$C205="","",IF('計算'!$M205="","",'計算'!$BF205))</f>
        <v/>
      </c>
      <c r="Y209" s="52">
        <f>IF('計算'!$C205="","",IF('計算'!$M205="","",'計算'!$BG205))</f>
        <v/>
      </c>
      <c r="Z209" s="52">
        <f>IF('計算'!$C205="","",IF('計算'!$M205="","",'計算'!$BH205))</f>
        <v/>
      </c>
      <c r="AA209" s="52">
        <f>IF('計算'!$C205="","",IF('計算'!$M205="","",'計算'!$BI205))</f>
        <v/>
      </c>
      <c r="AB209" s="52">
        <f>IF('計算'!$C205="","",IF('計算'!$M205="","",'計算'!$BJ205))</f>
        <v/>
      </c>
      <c r="AC209" s="52">
        <f>IF('計算'!$C205="","",IF('計算'!$M205="","",'計算'!$BK205))</f>
        <v/>
      </c>
      <c r="AD209" s="53" t="n"/>
      <c r="AE209" s="48" t="n"/>
      <c r="AF209" s="54">
        <f>IF('計算'!$C205="","",'計算'!$C205)</f>
        <v/>
      </c>
      <c r="AG209" s="54">
        <f>IF('計算'!$C205="","",'計算'!$F205)</f>
        <v/>
      </c>
    </row>
    <row r="210" ht="18" customHeight="1">
      <c r="B210" s="42">
        <f>IF('計算'!$C206="","",'計算'!$B206)</f>
        <v/>
      </c>
      <c r="C210" s="43">
        <f>IF('計算'!$C206="","",'計算'!$D206)</f>
        <v/>
      </c>
      <c r="D210" s="44">
        <f>IF('計算'!$C206="","",'計算'!$O206)</f>
        <v/>
      </c>
      <c r="E210" s="45">
        <f>IF('計算'!$C206="","",'計算'!$L206)</f>
        <v/>
      </c>
      <c r="F210" s="46">
        <f>IF('計算'!$C206="","",'計算'!$CD206)</f>
        <v/>
      </c>
      <c r="G210" s="47">
        <f>IF('計算'!$C206="","",'計算'!$CA206)</f>
        <v/>
      </c>
      <c r="H210" s="43">
        <f>IF('計算'!$C206="","",'計算'!$CP206)</f>
        <v/>
      </c>
      <c r="I210" s="48" t="n"/>
      <c r="J210" s="49" t="n"/>
      <c r="K210" s="50">
        <f>IF('計算'!$C206="","",'計算'!$CR206)</f>
        <v/>
      </c>
      <c r="L210" s="51">
        <f>IF('計算'!$C206="","",'計算'!$CF206)</f>
        <v/>
      </c>
      <c r="M210" s="48" t="n"/>
      <c r="N210" s="49" t="n"/>
      <c r="O210" s="43">
        <f>IF('計算'!$C206="","",'計算'!$CQ206)</f>
        <v/>
      </c>
      <c r="P210" s="52">
        <f>IF('計算'!$C206="","",IF('計算'!$M206="","",'計算'!$AX206))</f>
        <v/>
      </c>
      <c r="Q210" s="52">
        <f>IF('計算'!$C206="","",IF('計算'!$M206="","",'計算'!$AY206))</f>
        <v/>
      </c>
      <c r="R210" s="52">
        <f>IF('計算'!$C206="","",IF('計算'!$M206="","",'計算'!$AZ206))</f>
        <v/>
      </c>
      <c r="S210" s="52">
        <f>IF('計算'!$C206="","",IF('計算'!$M206="","",'計算'!$BA206))</f>
        <v/>
      </c>
      <c r="T210" s="52">
        <f>IF('計算'!$C206="","",IF('計算'!$M206="","",'計算'!$BB206))</f>
        <v/>
      </c>
      <c r="U210" s="52">
        <f>IF('計算'!$C206="","",IF('計算'!$M206="","",'計算'!$BC206))</f>
        <v/>
      </c>
      <c r="V210" s="52">
        <f>IF('計算'!$C206="","",IF('計算'!$M206="","",'計算'!$BD206))</f>
        <v/>
      </c>
      <c r="W210" s="52">
        <f>IF('計算'!$C206="","",IF('計算'!$M206="","",'計算'!$BE206))</f>
        <v/>
      </c>
      <c r="X210" s="52">
        <f>IF('計算'!$C206="","",IF('計算'!$M206="","",'計算'!$BF206))</f>
        <v/>
      </c>
      <c r="Y210" s="52">
        <f>IF('計算'!$C206="","",IF('計算'!$M206="","",'計算'!$BG206))</f>
        <v/>
      </c>
      <c r="Z210" s="52">
        <f>IF('計算'!$C206="","",IF('計算'!$M206="","",'計算'!$BH206))</f>
        <v/>
      </c>
      <c r="AA210" s="52">
        <f>IF('計算'!$C206="","",IF('計算'!$M206="","",'計算'!$BI206))</f>
        <v/>
      </c>
      <c r="AB210" s="52">
        <f>IF('計算'!$C206="","",IF('計算'!$M206="","",'計算'!$BJ206))</f>
        <v/>
      </c>
      <c r="AC210" s="52">
        <f>IF('計算'!$C206="","",IF('計算'!$M206="","",'計算'!$BK206))</f>
        <v/>
      </c>
      <c r="AD210" s="53" t="n"/>
      <c r="AE210" s="48" t="n"/>
      <c r="AF210" s="54">
        <f>IF('計算'!$C206="","",'計算'!$C206)</f>
        <v/>
      </c>
      <c r="AG210" s="54">
        <f>IF('計算'!$C206="","",'計算'!$F206)</f>
        <v/>
      </c>
    </row>
    <row r="211" ht="18" customHeight="1">
      <c r="B211" s="42">
        <f>IF('計算'!$C207="","",'計算'!$B207)</f>
        <v/>
      </c>
      <c r="C211" s="43">
        <f>IF('計算'!$C207="","",'計算'!$D207)</f>
        <v/>
      </c>
      <c r="D211" s="44">
        <f>IF('計算'!$C207="","",'計算'!$O207)</f>
        <v/>
      </c>
      <c r="E211" s="45">
        <f>IF('計算'!$C207="","",'計算'!$L207)</f>
        <v/>
      </c>
      <c r="F211" s="46">
        <f>IF('計算'!$C207="","",'計算'!$CD207)</f>
        <v/>
      </c>
      <c r="G211" s="47">
        <f>IF('計算'!$C207="","",'計算'!$CA207)</f>
        <v/>
      </c>
      <c r="H211" s="43">
        <f>IF('計算'!$C207="","",'計算'!$CP207)</f>
        <v/>
      </c>
      <c r="I211" s="48" t="n"/>
      <c r="J211" s="49" t="n"/>
      <c r="K211" s="50">
        <f>IF('計算'!$C207="","",'計算'!$CR207)</f>
        <v/>
      </c>
      <c r="L211" s="51">
        <f>IF('計算'!$C207="","",'計算'!$CF207)</f>
        <v/>
      </c>
      <c r="M211" s="48" t="n"/>
      <c r="N211" s="49" t="n"/>
      <c r="O211" s="43">
        <f>IF('計算'!$C207="","",'計算'!$CQ207)</f>
        <v/>
      </c>
      <c r="P211" s="52">
        <f>IF('計算'!$C207="","",IF('計算'!$M207="","",'計算'!$AX207))</f>
        <v/>
      </c>
      <c r="Q211" s="52">
        <f>IF('計算'!$C207="","",IF('計算'!$M207="","",'計算'!$AY207))</f>
        <v/>
      </c>
      <c r="R211" s="52">
        <f>IF('計算'!$C207="","",IF('計算'!$M207="","",'計算'!$AZ207))</f>
        <v/>
      </c>
      <c r="S211" s="52">
        <f>IF('計算'!$C207="","",IF('計算'!$M207="","",'計算'!$BA207))</f>
        <v/>
      </c>
      <c r="T211" s="52">
        <f>IF('計算'!$C207="","",IF('計算'!$M207="","",'計算'!$BB207))</f>
        <v/>
      </c>
      <c r="U211" s="52">
        <f>IF('計算'!$C207="","",IF('計算'!$M207="","",'計算'!$BC207))</f>
        <v/>
      </c>
      <c r="V211" s="52">
        <f>IF('計算'!$C207="","",IF('計算'!$M207="","",'計算'!$BD207))</f>
        <v/>
      </c>
      <c r="W211" s="52">
        <f>IF('計算'!$C207="","",IF('計算'!$M207="","",'計算'!$BE207))</f>
        <v/>
      </c>
      <c r="X211" s="52">
        <f>IF('計算'!$C207="","",IF('計算'!$M207="","",'計算'!$BF207))</f>
        <v/>
      </c>
      <c r="Y211" s="52">
        <f>IF('計算'!$C207="","",IF('計算'!$M207="","",'計算'!$BG207))</f>
        <v/>
      </c>
      <c r="Z211" s="52">
        <f>IF('計算'!$C207="","",IF('計算'!$M207="","",'計算'!$BH207))</f>
        <v/>
      </c>
      <c r="AA211" s="52">
        <f>IF('計算'!$C207="","",IF('計算'!$M207="","",'計算'!$BI207))</f>
        <v/>
      </c>
      <c r="AB211" s="52">
        <f>IF('計算'!$C207="","",IF('計算'!$M207="","",'計算'!$BJ207))</f>
        <v/>
      </c>
      <c r="AC211" s="52">
        <f>IF('計算'!$C207="","",IF('計算'!$M207="","",'計算'!$BK207))</f>
        <v/>
      </c>
      <c r="AD211" s="53" t="n"/>
      <c r="AE211" s="48" t="n"/>
      <c r="AF211" s="54">
        <f>IF('計算'!$C207="","",'計算'!$C207)</f>
        <v/>
      </c>
      <c r="AG211" s="54">
        <f>IF('計算'!$C207="","",'計算'!$F207)</f>
        <v/>
      </c>
    </row>
    <row r="212" ht="18" customHeight="1">
      <c r="B212" s="42">
        <f>IF('計算'!$C208="","",'計算'!$B208)</f>
        <v/>
      </c>
      <c r="C212" s="43">
        <f>IF('計算'!$C208="","",'計算'!$D208)</f>
        <v/>
      </c>
      <c r="D212" s="44">
        <f>IF('計算'!$C208="","",'計算'!$O208)</f>
        <v/>
      </c>
      <c r="E212" s="45">
        <f>IF('計算'!$C208="","",'計算'!$L208)</f>
        <v/>
      </c>
      <c r="F212" s="46">
        <f>IF('計算'!$C208="","",'計算'!$CD208)</f>
        <v/>
      </c>
      <c r="G212" s="47">
        <f>IF('計算'!$C208="","",'計算'!$CA208)</f>
        <v/>
      </c>
      <c r="H212" s="43">
        <f>IF('計算'!$C208="","",'計算'!$CP208)</f>
        <v/>
      </c>
      <c r="I212" s="48" t="n"/>
      <c r="J212" s="49" t="n"/>
      <c r="K212" s="50">
        <f>IF('計算'!$C208="","",'計算'!$CR208)</f>
        <v/>
      </c>
      <c r="L212" s="51">
        <f>IF('計算'!$C208="","",'計算'!$CF208)</f>
        <v/>
      </c>
      <c r="M212" s="48" t="n"/>
      <c r="N212" s="49" t="n"/>
      <c r="O212" s="43">
        <f>IF('計算'!$C208="","",'計算'!$CQ208)</f>
        <v/>
      </c>
      <c r="P212" s="52">
        <f>IF('計算'!$C208="","",IF('計算'!$M208="","",'計算'!$AX208))</f>
        <v/>
      </c>
      <c r="Q212" s="52">
        <f>IF('計算'!$C208="","",IF('計算'!$M208="","",'計算'!$AY208))</f>
        <v/>
      </c>
      <c r="R212" s="52">
        <f>IF('計算'!$C208="","",IF('計算'!$M208="","",'計算'!$AZ208))</f>
        <v/>
      </c>
      <c r="S212" s="52">
        <f>IF('計算'!$C208="","",IF('計算'!$M208="","",'計算'!$BA208))</f>
        <v/>
      </c>
      <c r="T212" s="52">
        <f>IF('計算'!$C208="","",IF('計算'!$M208="","",'計算'!$BB208))</f>
        <v/>
      </c>
      <c r="U212" s="52">
        <f>IF('計算'!$C208="","",IF('計算'!$M208="","",'計算'!$BC208))</f>
        <v/>
      </c>
      <c r="V212" s="52">
        <f>IF('計算'!$C208="","",IF('計算'!$M208="","",'計算'!$BD208))</f>
        <v/>
      </c>
      <c r="W212" s="52">
        <f>IF('計算'!$C208="","",IF('計算'!$M208="","",'計算'!$BE208))</f>
        <v/>
      </c>
      <c r="X212" s="52">
        <f>IF('計算'!$C208="","",IF('計算'!$M208="","",'計算'!$BF208))</f>
        <v/>
      </c>
      <c r="Y212" s="52">
        <f>IF('計算'!$C208="","",IF('計算'!$M208="","",'計算'!$BG208))</f>
        <v/>
      </c>
      <c r="Z212" s="52">
        <f>IF('計算'!$C208="","",IF('計算'!$M208="","",'計算'!$BH208))</f>
        <v/>
      </c>
      <c r="AA212" s="52">
        <f>IF('計算'!$C208="","",IF('計算'!$M208="","",'計算'!$BI208))</f>
        <v/>
      </c>
      <c r="AB212" s="52">
        <f>IF('計算'!$C208="","",IF('計算'!$M208="","",'計算'!$BJ208))</f>
        <v/>
      </c>
      <c r="AC212" s="52">
        <f>IF('計算'!$C208="","",IF('計算'!$M208="","",'計算'!$BK208))</f>
        <v/>
      </c>
      <c r="AD212" s="53" t="n"/>
      <c r="AE212" s="48" t="n"/>
      <c r="AF212" s="54">
        <f>IF('計算'!$C208="","",'計算'!$C208)</f>
        <v/>
      </c>
      <c r="AG212" s="54">
        <f>IF('計算'!$C208="","",'計算'!$F208)</f>
        <v/>
      </c>
    </row>
    <row r="213" ht="18" customHeight="1">
      <c r="B213" s="42">
        <f>IF('計算'!$C209="","",'計算'!$B209)</f>
        <v/>
      </c>
      <c r="C213" s="43">
        <f>IF('計算'!$C209="","",'計算'!$D209)</f>
        <v/>
      </c>
      <c r="D213" s="44">
        <f>IF('計算'!$C209="","",'計算'!$O209)</f>
        <v/>
      </c>
      <c r="E213" s="45">
        <f>IF('計算'!$C209="","",'計算'!$L209)</f>
        <v/>
      </c>
      <c r="F213" s="46">
        <f>IF('計算'!$C209="","",'計算'!$CD209)</f>
        <v/>
      </c>
      <c r="G213" s="47">
        <f>IF('計算'!$C209="","",'計算'!$CA209)</f>
        <v/>
      </c>
      <c r="H213" s="43">
        <f>IF('計算'!$C209="","",'計算'!$CP209)</f>
        <v/>
      </c>
      <c r="I213" s="48" t="n"/>
      <c r="J213" s="49" t="n"/>
      <c r="K213" s="50">
        <f>IF('計算'!$C209="","",'計算'!$CR209)</f>
        <v/>
      </c>
      <c r="L213" s="51">
        <f>IF('計算'!$C209="","",'計算'!$CF209)</f>
        <v/>
      </c>
      <c r="M213" s="48" t="n"/>
      <c r="N213" s="49" t="n"/>
      <c r="O213" s="43">
        <f>IF('計算'!$C209="","",'計算'!$CQ209)</f>
        <v/>
      </c>
      <c r="P213" s="52">
        <f>IF('計算'!$C209="","",IF('計算'!$M209="","",'計算'!$AX209))</f>
        <v/>
      </c>
      <c r="Q213" s="52">
        <f>IF('計算'!$C209="","",IF('計算'!$M209="","",'計算'!$AY209))</f>
        <v/>
      </c>
      <c r="R213" s="52">
        <f>IF('計算'!$C209="","",IF('計算'!$M209="","",'計算'!$AZ209))</f>
        <v/>
      </c>
      <c r="S213" s="52">
        <f>IF('計算'!$C209="","",IF('計算'!$M209="","",'計算'!$BA209))</f>
        <v/>
      </c>
      <c r="T213" s="52">
        <f>IF('計算'!$C209="","",IF('計算'!$M209="","",'計算'!$BB209))</f>
        <v/>
      </c>
      <c r="U213" s="52">
        <f>IF('計算'!$C209="","",IF('計算'!$M209="","",'計算'!$BC209))</f>
        <v/>
      </c>
      <c r="V213" s="52">
        <f>IF('計算'!$C209="","",IF('計算'!$M209="","",'計算'!$BD209))</f>
        <v/>
      </c>
      <c r="W213" s="52">
        <f>IF('計算'!$C209="","",IF('計算'!$M209="","",'計算'!$BE209))</f>
        <v/>
      </c>
      <c r="X213" s="52">
        <f>IF('計算'!$C209="","",IF('計算'!$M209="","",'計算'!$BF209))</f>
        <v/>
      </c>
      <c r="Y213" s="52">
        <f>IF('計算'!$C209="","",IF('計算'!$M209="","",'計算'!$BG209))</f>
        <v/>
      </c>
      <c r="Z213" s="52">
        <f>IF('計算'!$C209="","",IF('計算'!$M209="","",'計算'!$BH209))</f>
        <v/>
      </c>
      <c r="AA213" s="52">
        <f>IF('計算'!$C209="","",IF('計算'!$M209="","",'計算'!$BI209))</f>
        <v/>
      </c>
      <c r="AB213" s="52">
        <f>IF('計算'!$C209="","",IF('計算'!$M209="","",'計算'!$BJ209))</f>
        <v/>
      </c>
      <c r="AC213" s="52">
        <f>IF('計算'!$C209="","",IF('計算'!$M209="","",'計算'!$BK209))</f>
        <v/>
      </c>
      <c r="AD213" s="53" t="n"/>
      <c r="AE213" s="48" t="n"/>
      <c r="AF213" s="54">
        <f>IF('計算'!$C209="","",'計算'!$C209)</f>
        <v/>
      </c>
      <c r="AG213" s="54">
        <f>IF('計算'!$C209="","",'計算'!$F209)</f>
        <v/>
      </c>
    </row>
    <row r="214" ht="18" customHeight="1">
      <c r="B214" s="42">
        <f>IF('計算'!$C210="","",'計算'!$B210)</f>
        <v/>
      </c>
      <c r="C214" s="43">
        <f>IF('計算'!$C210="","",'計算'!$D210)</f>
        <v/>
      </c>
      <c r="D214" s="44">
        <f>IF('計算'!$C210="","",'計算'!$O210)</f>
        <v/>
      </c>
      <c r="E214" s="45">
        <f>IF('計算'!$C210="","",'計算'!$L210)</f>
        <v/>
      </c>
      <c r="F214" s="46">
        <f>IF('計算'!$C210="","",'計算'!$CD210)</f>
        <v/>
      </c>
      <c r="G214" s="47">
        <f>IF('計算'!$C210="","",'計算'!$CA210)</f>
        <v/>
      </c>
      <c r="H214" s="43">
        <f>IF('計算'!$C210="","",'計算'!$CP210)</f>
        <v/>
      </c>
      <c r="I214" s="48" t="n"/>
      <c r="J214" s="49" t="n"/>
      <c r="K214" s="50">
        <f>IF('計算'!$C210="","",'計算'!$CR210)</f>
        <v/>
      </c>
      <c r="L214" s="51">
        <f>IF('計算'!$C210="","",'計算'!$CF210)</f>
        <v/>
      </c>
      <c r="M214" s="48" t="n"/>
      <c r="N214" s="49" t="n"/>
      <c r="O214" s="43">
        <f>IF('計算'!$C210="","",'計算'!$CQ210)</f>
        <v/>
      </c>
      <c r="P214" s="52">
        <f>IF('計算'!$C210="","",IF('計算'!$M210="","",'計算'!$AX210))</f>
        <v/>
      </c>
      <c r="Q214" s="52">
        <f>IF('計算'!$C210="","",IF('計算'!$M210="","",'計算'!$AY210))</f>
        <v/>
      </c>
      <c r="R214" s="52">
        <f>IF('計算'!$C210="","",IF('計算'!$M210="","",'計算'!$AZ210))</f>
        <v/>
      </c>
      <c r="S214" s="52">
        <f>IF('計算'!$C210="","",IF('計算'!$M210="","",'計算'!$BA210))</f>
        <v/>
      </c>
      <c r="T214" s="52">
        <f>IF('計算'!$C210="","",IF('計算'!$M210="","",'計算'!$BB210))</f>
        <v/>
      </c>
      <c r="U214" s="52">
        <f>IF('計算'!$C210="","",IF('計算'!$M210="","",'計算'!$BC210))</f>
        <v/>
      </c>
      <c r="V214" s="52">
        <f>IF('計算'!$C210="","",IF('計算'!$M210="","",'計算'!$BD210))</f>
        <v/>
      </c>
      <c r="W214" s="52">
        <f>IF('計算'!$C210="","",IF('計算'!$M210="","",'計算'!$BE210))</f>
        <v/>
      </c>
      <c r="X214" s="52">
        <f>IF('計算'!$C210="","",IF('計算'!$M210="","",'計算'!$BF210))</f>
        <v/>
      </c>
      <c r="Y214" s="52">
        <f>IF('計算'!$C210="","",IF('計算'!$M210="","",'計算'!$BG210))</f>
        <v/>
      </c>
      <c r="Z214" s="52">
        <f>IF('計算'!$C210="","",IF('計算'!$M210="","",'計算'!$BH210))</f>
        <v/>
      </c>
      <c r="AA214" s="52">
        <f>IF('計算'!$C210="","",IF('計算'!$M210="","",'計算'!$BI210))</f>
        <v/>
      </c>
      <c r="AB214" s="52">
        <f>IF('計算'!$C210="","",IF('計算'!$M210="","",'計算'!$BJ210))</f>
        <v/>
      </c>
      <c r="AC214" s="52">
        <f>IF('計算'!$C210="","",IF('計算'!$M210="","",'計算'!$BK210))</f>
        <v/>
      </c>
      <c r="AD214" s="53" t="n"/>
      <c r="AE214" s="48" t="n"/>
      <c r="AF214" s="54">
        <f>IF('計算'!$C210="","",'計算'!$C210)</f>
        <v/>
      </c>
      <c r="AG214" s="54">
        <f>IF('計算'!$C210="","",'計算'!$F210)</f>
        <v/>
      </c>
    </row>
    <row r="215" ht="18" customHeight="1">
      <c r="B215" s="42">
        <f>IF('計算'!$C211="","",'計算'!$B211)</f>
        <v/>
      </c>
      <c r="C215" s="43">
        <f>IF('計算'!$C211="","",'計算'!$D211)</f>
        <v/>
      </c>
      <c r="D215" s="44">
        <f>IF('計算'!$C211="","",'計算'!$O211)</f>
        <v/>
      </c>
      <c r="E215" s="45">
        <f>IF('計算'!$C211="","",'計算'!$L211)</f>
        <v/>
      </c>
      <c r="F215" s="46">
        <f>IF('計算'!$C211="","",'計算'!$CD211)</f>
        <v/>
      </c>
      <c r="G215" s="47">
        <f>IF('計算'!$C211="","",'計算'!$CA211)</f>
        <v/>
      </c>
      <c r="H215" s="43">
        <f>IF('計算'!$C211="","",'計算'!$CP211)</f>
        <v/>
      </c>
      <c r="I215" s="48" t="n"/>
      <c r="J215" s="49" t="n"/>
      <c r="K215" s="50">
        <f>IF('計算'!$C211="","",'計算'!$CR211)</f>
        <v/>
      </c>
      <c r="L215" s="51">
        <f>IF('計算'!$C211="","",'計算'!$CF211)</f>
        <v/>
      </c>
      <c r="M215" s="48" t="n"/>
      <c r="N215" s="49" t="n"/>
      <c r="O215" s="43">
        <f>IF('計算'!$C211="","",'計算'!$CQ211)</f>
        <v/>
      </c>
      <c r="P215" s="52">
        <f>IF('計算'!$C211="","",IF('計算'!$M211="","",'計算'!$AX211))</f>
        <v/>
      </c>
      <c r="Q215" s="52">
        <f>IF('計算'!$C211="","",IF('計算'!$M211="","",'計算'!$AY211))</f>
        <v/>
      </c>
      <c r="R215" s="52">
        <f>IF('計算'!$C211="","",IF('計算'!$M211="","",'計算'!$AZ211))</f>
        <v/>
      </c>
      <c r="S215" s="52">
        <f>IF('計算'!$C211="","",IF('計算'!$M211="","",'計算'!$BA211))</f>
        <v/>
      </c>
      <c r="T215" s="52">
        <f>IF('計算'!$C211="","",IF('計算'!$M211="","",'計算'!$BB211))</f>
        <v/>
      </c>
      <c r="U215" s="52">
        <f>IF('計算'!$C211="","",IF('計算'!$M211="","",'計算'!$BC211))</f>
        <v/>
      </c>
      <c r="V215" s="52">
        <f>IF('計算'!$C211="","",IF('計算'!$M211="","",'計算'!$BD211))</f>
        <v/>
      </c>
      <c r="W215" s="52">
        <f>IF('計算'!$C211="","",IF('計算'!$M211="","",'計算'!$BE211))</f>
        <v/>
      </c>
      <c r="X215" s="52">
        <f>IF('計算'!$C211="","",IF('計算'!$M211="","",'計算'!$BF211))</f>
        <v/>
      </c>
      <c r="Y215" s="52">
        <f>IF('計算'!$C211="","",IF('計算'!$M211="","",'計算'!$BG211))</f>
        <v/>
      </c>
      <c r="Z215" s="52">
        <f>IF('計算'!$C211="","",IF('計算'!$M211="","",'計算'!$BH211))</f>
        <v/>
      </c>
      <c r="AA215" s="52">
        <f>IF('計算'!$C211="","",IF('計算'!$M211="","",'計算'!$BI211))</f>
        <v/>
      </c>
      <c r="AB215" s="52">
        <f>IF('計算'!$C211="","",IF('計算'!$M211="","",'計算'!$BJ211))</f>
        <v/>
      </c>
      <c r="AC215" s="52">
        <f>IF('計算'!$C211="","",IF('計算'!$M211="","",'計算'!$BK211))</f>
        <v/>
      </c>
      <c r="AD215" s="53" t="n"/>
      <c r="AE215" s="48" t="n"/>
      <c r="AF215" s="54">
        <f>IF('計算'!$C211="","",'計算'!$C211)</f>
        <v/>
      </c>
      <c r="AG215" s="54">
        <f>IF('計算'!$C211="","",'計算'!$F211)</f>
        <v/>
      </c>
    </row>
    <row r="216" ht="18" customHeight="1">
      <c r="B216" s="42">
        <f>IF('計算'!$C212="","",'計算'!$B212)</f>
        <v/>
      </c>
      <c r="C216" s="43">
        <f>IF('計算'!$C212="","",'計算'!$D212)</f>
        <v/>
      </c>
      <c r="D216" s="44">
        <f>IF('計算'!$C212="","",'計算'!$O212)</f>
        <v/>
      </c>
      <c r="E216" s="45">
        <f>IF('計算'!$C212="","",'計算'!$L212)</f>
        <v/>
      </c>
      <c r="F216" s="46">
        <f>IF('計算'!$C212="","",'計算'!$CD212)</f>
        <v/>
      </c>
      <c r="G216" s="47">
        <f>IF('計算'!$C212="","",'計算'!$CA212)</f>
        <v/>
      </c>
      <c r="H216" s="43">
        <f>IF('計算'!$C212="","",'計算'!$CP212)</f>
        <v/>
      </c>
      <c r="I216" s="48" t="n"/>
      <c r="J216" s="49" t="n"/>
      <c r="K216" s="50">
        <f>IF('計算'!$C212="","",'計算'!$CR212)</f>
        <v/>
      </c>
      <c r="L216" s="51">
        <f>IF('計算'!$C212="","",'計算'!$CF212)</f>
        <v/>
      </c>
      <c r="M216" s="48" t="n"/>
      <c r="N216" s="49" t="n"/>
      <c r="O216" s="43">
        <f>IF('計算'!$C212="","",'計算'!$CQ212)</f>
        <v/>
      </c>
      <c r="P216" s="52">
        <f>IF('計算'!$C212="","",IF('計算'!$M212="","",'計算'!$AX212))</f>
        <v/>
      </c>
      <c r="Q216" s="52">
        <f>IF('計算'!$C212="","",IF('計算'!$M212="","",'計算'!$AY212))</f>
        <v/>
      </c>
      <c r="R216" s="52">
        <f>IF('計算'!$C212="","",IF('計算'!$M212="","",'計算'!$AZ212))</f>
        <v/>
      </c>
      <c r="S216" s="52">
        <f>IF('計算'!$C212="","",IF('計算'!$M212="","",'計算'!$BA212))</f>
        <v/>
      </c>
      <c r="T216" s="52">
        <f>IF('計算'!$C212="","",IF('計算'!$M212="","",'計算'!$BB212))</f>
        <v/>
      </c>
      <c r="U216" s="52">
        <f>IF('計算'!$C212="","",IF('計算'!$M212="","",'計算'!$BC212))</f>
        <v/>
      </c>
      <c r="V216" s="52">
        <f>IF('計算'!$C212="","",IF('計算'!$M212="","",'計算'!$BD212))</f>
        <v/>
      </c>
      <c r="W216" s="52">
        <f>IF('計算'!$C212="","",IF('計算'!$M212="","",'計算'!$BE212))</f>
        <v/>
      </c>
      <c r="X216" s="52">
        <f>IF('計算'!$C212="","",IF('計算'!$M212="","",'計算'!$BF212))</f>
        <v/>
      </c>
      <c r="Y216" s="52">
        <f>IF('計算'!$C212="","",IF('計算'!$M212="","",'計算'!$BG212))</f>
        <v/>
      </c>
      <c r="Z216" s="52">
        <f>IF('計算'!$C212="","",IF('計算'!$M212="","",'計算'!$BH212))</f>
        <v/>
      </c>
      <c r="AA216" s="52">
        <f>IF('計算'!$C212="","",IF('計算'!$M212="","",'計算'!$BI212))</f>
        <v/>
      </c>
      <c r="AB216" s="52">
        <f>IF('計算'!$C212="","",IF('計算'!$M212="","",'計算'!$BJ212))</f>
        <v/>
      </c>
      <c r="AC216" s="52">
        <f>IF('計算'!$C212="","",IF('計算'!$M212="","",'計算'!$BK212))</f>
        <v/>
      </c>
      <c r="AD216" s="53" t="n"/>
      <c r="AE216" s="48" t="n"/>
      <c r="AF216" s="54">
        <f>IF('計算'!$C212="","",'計算'!$C212)</f>
        <v/>
      </c>
      <c r="AG216" s="54">
        <f>IF('計算'!$C212="","",'計算'!$F212)</f>
        <v/>
      </c>
    </row>
    <row r="217" ht="18" customHeight="1">
      <c r="B217" s="42">
        <f>IF('計算'!$C213="","",'計算'!$B213)</f>
        <v/>
      </c>
      <c r="C217" s="43">
        <f>IF('計算'!$C213="","",'計算'!$D213)</f>
        <v/>
      </c>
      <c r="D217" s="44">
        <f>IF('計算'!$C213="","",'計算'!$O213)</f>
        <v/>
      </c>
      <c r="E217" s="45">
        <f>IF('計算'!$C213="","",'計算'!$L213)</f>
        <v/>
      </c>
      <c r="F217" s="46">
        <f>IF('計算'!$C213="","",'計算'!$CD213)</f>
        <v/>
      </c>
      <c r="G217" s="47">
        <f>IF('計算'!$C213="","",'計算'!$CA213)</f>
        <v/>
      </c>
      <c r="H217" s="43">
        <f>IF('計算'!$C213="","",'計算'!$CP213)</f>
        <v/>
      </c>
      <c r="I217" s="48" t="n"/>
      <c r="J217" s="49" t="n"/>
      <c r="K217" s="50">
        <f>IF('計算'!$C213="","",'計算'!$CR213)</f>
        <v/>
      </c>
      <c r="L217" s="51">
        <f>IF('計算'!$C213="","",'計算'!$CF213)</f>
        <v/>
      </c>
      <c r="M217" s="48" t="n"/>
      <c r="N217" s="49" t="n"/>
      <c r="O217" s="43">
        <f>IF('計算'!$C213="","",'計算'!$CQ213)</f>
        <v/>
      </c>
      <c r="P217" s="52">
        <f>IF('計算'!$C213="","",IF('計算'!$M213="","",'計算'!$AX213))</f>
        <v/>
      </c>
      <c r="Q217" s="52">
        <f>IF('計算'!$C213="","",IF('計算'!$M213="","",'計算'!$AY213))</f>
        <v/>
      </c>
      <c r="R217" s="52">
        <f>IF('計算'!$C213="","",IF('計算'!$M213="","",'計算'!$AZ213))</f>
        <v/>
      </c>
      <c r="S217" s="52">
        <f>IF('計算'!$C213="","",IF('計算'!$M213="","",'計算'!$BA213))</f>
        <v/>
      </c>
      <c r="T217" s="52">
        <f>IF('計算'!$C213="","",IF('計算'!$M213="","",'計算'!$BB213))</f>
        <v/>
      </c>
      <c r="U217" s="52">
        <f>IF('計算'!$C213="","",IF('計算'!$M213="","",'計算'!$BC213))</f>
        <v/>
      </c>
      <c r="V217" s="52">
        <f>IF('計算'!$C213="","",IF('計算'!$M213="","",'計算'!$BD213))</f>
        <v/>
      </c>
      <c r="W217" s="52">
        <f>IF('計算'!$C213="","",IF('計算'!$M213="","",'計算'!$BE213))</f>
        <v/>
      </c>
      <c r="X217" s="52">
        <f>IF('計算'!$C213="","",IF('計算'!$M213="","",'計算'!$BF213))</f>
        <v/>
      </c>
      <c r="Y217" s="52">
        <f>IF('計算'!$C213="","",IF('計算'!$M213="","",'計算'!$BG213))</f>
        <v/>
      </c>
      <c r="Z217" s="52">
        <f>IF('計算'!$C213="","",IF('計算'!$M213="","",'計算'!$BH213))</f>
        <v/>
      </c>
      <c r="AA217" s="52">
        <f>IF('計算'!$C213="","",IF('計算'!$M213="","",'計算'!$BI213))</f>
        <v/>
      </c>
      <c r="AB217" s="52">
        <f>IF('計算'!$C213="","",IF('計算'!$M213="","",'計算'!$BJ213))</f>
        <v/>
      </c>
      <c r="AC217" s="52">
        <f>IF('計算'!$C213="","",IF('計算'!$M213="","",'計算'!$BK213))</f>
        <v/>
      </c>
      <c r="AD217" s="53" t="n"/>
      <c r="AE217" s="48" t="n"/>
      <c r="AF217" s="54">
        <f>IF('計算'!$C213="","",'計算'!$C213)</f>
        <v/>
      </c>
      <c r="AG217" s="54">
        <f>IF('計算'!$C213="","",'計算'!$F213)</f>
        <v/>
      </c>
    </row>
    <row r="218" ht="18" customHeight="1">
      <c r="B218" s="42">
        <f>IF('計算'!$C214="","",'計算'!$B214)</f>
        <v/>
      </c>
      <c r="C218" s="43">
        <f>IF('計算'!$C214="","",'計算'!$D214)</f>
        <v/>
      </c>
      <c r="D218" s="44">
        <f>IF('計算'!$C214="","",'計算'!$O214)</f>
        <v/>
      </c>
      <c r="E218" s="45">
        <f>IF('計算'!$C214="","",'計算'!$L214)</f>
        <v/>
      </c>
      <c r="F218" s="46">
        <f>IF('計算'!$C214="","",'計算'!$CD214)</f>
        <v/>
      </c>
      <c r="G218" s="47">
        <f>IF('計算'!$C214="","",'計算'!$CA214)</f>
        <v/>
      </c>
      <c r="H218" s="43">
        <f>IF('計算'!$C214="","",'計算'!$CP214)</f>
        <v/>
      </c>
      <c r="I218" s="48" t="n"/>
      <c r="J218" s="49" t="n"/>
      <c r="K218" s="50">
        <f>IF('計算'!$C214="","",'計算'!$CR214)</f>
        <v/>
      </c>
      <c r="L218" s="51">
        <f>IF('計算'!$C214="","",'計算'!$CF214)</f>
        <v/>
      </c>
      <c r="M218" s="48" t="n"/>
      <c r="N218" s="49" t="n"/>
      <c r="O218" s="43">
        <f>IF('計算'!$C214="","",'計算'!$CQ214)</f>
        <v/>
      </c>
      <c r="P218" s="52">
        <f>IF('計算'!$C214="","",IF('計算'!$M214="","",'計算'!$AX214))</f>
        <v/>
      </c>
      <c r="Q218" s="52">
        <f>IF('計算'!$C214="","",IF('計算'!$M214="","",'計算'!$AY214))</f>
        <v/>
      </c>
      <c r="R218" s="52">
        <f>IF('計算'!$C214="","",IF('計算'!$M214="","",'計算'!$AZ214))</f>
        <v/>
      </c>
      <c r="S218" s="52">
        <f>IF('計算'!$C214="","",IF('計算'!$M214="","",'計算'!$BA214))</f>
        <v/>
      </c>
      <c r="T218" s="52">
        <f>IF('計算'!$C214="","",IF('計算'!$M214="","",'計算'!$BB214))</f>
        <v/>
      </c>
      <c r="U218" s="52">
        <f>IF('計算'!$C214="","",IF('計算'!$M214="","",'計算'!$BC214))</f>
        <v/>
      </c>
      <c r="V218" s="52">
        <f>IF('計算'!$C214="","",IF('計算'!$M214="","",'計算'!$BD214))</f>
        <v/>
      </c>
      <c r="W218" s="52">
        <f>IF('計算'!$C214="","",IF('計算'!$M214="","",'計算'!$BE214))</f>
        <v/>
      </c>
      <c r="X218" s="52">
        <f>IF('計算'!$C214="","",IF('計算'!$M214="","",'計算'!$BF214))</f>
        <v/>
      </c>
      <c r="Y218" s="52">
        <f>IF('計算'!$C214="","",IF('計算'!$M214="","",'計算'!$BG214))</f>
        <v/>
      </c>
      <c r="Z218" s="52">
        <f>IF('計算'!$C214="","",IF('計算'!$M214="","",'計算'!$BH214))</f>
        <v/>
      </c>
      <c r="AA218" s="52">
        <f>IF('計算'!$C214="","",IF('計算'!$M214="","",'計算'!$BI214))</f>
        <v/>
      </c>
      <c r="AB218" s="52">
        <f>IF('計算'!$C214="","",IF('計算'!$M214="","",'計算'!$BJ214))</f>
        <v/>
      </c>
      <c r="AC218" s="52">
        <f>IF('計算'!$C214="","",IF('計算'!$M214="","",'計算'!$BK214))</f>
        <v/>
      </c>
      <c r="AD218" s="53" t="n"/>
      <c r="AE218" s="48" t="n"/>
      <c r="AF218" s="54">
        <f>IF('計算'!$C214="","",'計算'!$C214)</f>
        <v/>
      </c>
      <c r="AG218" s="54">
        <f>IF('計算'!$C214="","",'計算'!$F214)</f>
        <v/>
      </c>
    </row>
    <row r="219" ht="18" customHeight="1">
      <c r="B219" s="42">
        <f>IF('計算'!$C215="","",'計算'!$B215)</f>
        <v/>
      </c>
      <c r="C219" s="43">
        <f>IF('計算'!$C215="","",'計算'!$D215)</f>
        <v/>
      </c>
      <c r="D219" s="44">
        <f>IF('計算'!$C215="","",'計算'!$O215)</f>
        <v/>
      </c>
      <c r="E219" s="45">
        <f>IF('計算'!$C215="","",'計算'!$L215)</f>
        <v/>
      </c>
      <c r="F219" s="46">
        <f>IF('計算'!$C215="","",'計算'!$CD215)</f>
        <v/>
      </c>
      <c r="G219" s="47">
        <f>IF('計算'!$C215="","",'計算'!$CA215)</f>
        <v/>
      </c>
      <c r="H219" s="43">
        <f>IF('計算'!$C215="","",'計算'!$CP215)</f>
        <v/>
      </c>
      <c r="I219" s="48" t="n"/>
      <c r="J219" s="49" t="n"/>
      <c r="K219" s="50">
        <f>IF('計算'!$C215="","",'計算'!$CR215)</f>
        <v/>
      </c>
      <c r="L219" s="51">
        <f>IF('計算'!$C215="","",'計算'!$CF215)</f>
        <v/>
      </c>
      <c r="M219" s="48" t="n"/>
      <c r="N219" s="49" t="n"/>
      <c r="O219" s="43">
        <f>IF('計算'!$C215="","",'計算'!$CQ215)</f>
        <v/>
      </c>
      <c r="P219" s="52">
        <f>IF('計算'!$C215="","",IF('計算'!$M215="","",'計算'!$AX215))</f>
        <v/>
      </c>
      <c r="Q219" s="52">
        <f>IF('計算'!$C215="","",IF('計算'!$M215="","",'計算'!$AY215))</f>
        <v/>
      </c>
      <c r="R219" s="52">
        <f>IF('計算'!$C215="","",IF('計算'!$M215="","",'計算'!$AZ215))</f>
        <v/>
      </c>
      <c r="S219" s="52">
        <f>IF('計算'!$C215="","",IF('計算'!$M215="","",'計算'!$BA215))</f>
        <v/>
      </c>
      <c r="T219" s="52">
        <f>IF('計算'!$C215="","",IF('計算'!$M215="","",'計算'!$BB215))</f>
        <v/>
      </c>
      <c r="U219" s="52">
        <f>IF('計算'!$C215="","",IF('計算'!$M215="","",'計算'!$BC215))</f>
        <v/>
      </c>
      <c r="V219" s="52">
        <f>IF('計算'!$C215="","",IF('計算'!$M215="","",'計算'!$BD215))</f>
        <v/>
      </c>
      <c r="W219" s="52">
        <f>IF('計算'!$C215="","",IF('計算'!$M215="","",'計算'!$BE215))</f>
        <v/>
      </c>
      <c r="X219" s="52">
        <f>IF('計算'!$C215="","",IF('計算'!$M215="","",'計算'!$BF215))</f>
        <v/>
      </c>
      <c r="Y219" s="52">
        <f>IF('計算'!$C215="","",IF('計算'!$M215="","",'計算'!$BG215))</f>
        <v/>
      </c>
      <c r="Z219" s="52">
        <f>IF('計算'!$C215="","",IF('計算'!$M215="","",'計算'!$BH215))</f>
        <v/>
      </c>
      <c r="AA219" s="52">
        <f>IF('計算'!$C215="","",IF('計算'!$M215="","",'計算'!$BI215))</f>
        <v/>
      </c>
      <c r="AB219" s="52">
        <f>IF('計算'!$C215="","",IF('計算'!$M215="","",'計算'!$BJ215))</f>
        <v/>
      </c>
      <c r="AC219" s="52">
        <f>IF('計算'!$C215="","",IF('計算'!$M215="","",'計算'!$BK215))</f>
        <v/>
      </c>
      <c r="AD219" s="53" t="n"/>
      <c r="AE219" s="48" t="n"/>
      <c r="AF219" s="54">
        <f>IF('計算'!$C215="","",'計算'!$C215)</f>
        <v/>
      </c>
      <c r="AG219" s="54">
        <f>IF('計算'!$C215="","",'計算'!$F215)</f>
        <v/>
      </c>
    </row>
    <row r="220" ht="18" customHeight="1">
      <c r="B220" s="42">
        <f>IF('計算'!$C216="","",'計算'!$B216)</f>
        <v/>
      </c>
      <c r="C220" s="43">
        <f>IF('計算'!$C216="","",'計算'!$D216)</f>
        <v/>
      </c>
      <c r="D220" s="44">
        <f>IF('計算'!$C216="","",'計算'!$O216)</f>
        <v/>
      </c>
      <c r="E220" s="45">
        <f>IF('計算'!$C216="","",'計算'!$L216)</f>
        <v/>
      </c>
      <c r="F220" s="46">
        <f>IF('計算'!$C216="","",'計算'!$CD216)</f>
        <v/>
      </c>
      <c r="G220" s="47">
        <f>IF('計算'!$C216="","",'計算'!$CA216)</f>
        <v/>
      </c>
      <c r="H220" s="43">
        <f>IF('計算'!$C216="","",'計算'!$CP216)</f>
        <v/>
      </c>
      <c r="I220" s="48" t="n"/>
      <c r="J220" s="49" t="n"/>
      <c r="K220" s="50">
        <f>IF('計算'!$C216="","",'計算'!$CR216)</f>
        <v/>
      </c>
      <c r="L220" s="51">
        <f>IF('計算'!$C216="","",'計算'!$CF216)</f>
        <v/>
      </c>
      <c r="M220" s="48" t="n"/>
      <c r="N220" s="49" t="n"/>
      <c r="O220" s="43">
        <f>IF('計算'!$C216="","",'計算'!$CQ216)</f>
        <v/>
      </c>
      <c r="P220" s="52">
        <f>IF('計算'!$C216="","",IF('計算'!$M216="","",'計算'!$AX216))</f>
        <v/>
      </c>
      <c r="Q220" s="52">
        <f>IF('計算'!$C216="","",IF('計算'!$M216="","",'計算'!$AY216))</f>
        <v/>
      </c>
      <c r="R220" s="52">
        <f>IF('計算'!$C216="","",IF('計算'!$M216="","",'計算'!$AZ216))</f>
        <v/>
      </c>
      <c r="S220" s="52">
        <f>IF('計算'!$C216="","",IF('計算'!$M216="","",'計算'!$BA216))</f>
        <v/>
      </c>
      <c r="T220" s="52">
        <f>IF('計算'!$C216="","",IF('計算'!$M216="","",'計算'!$BB216))</f>
        <v/>
      </c>
      <c r="U220" s="52">
        <f>IF('計算'!$C216="","",IF('計算'!$M216="","",'計算'!$BC216))</f>
        <v/>
      </c>
      <c r="V220" s="52">
        <f>IF('計算'!$C216="","",IF('計算'!$M216="","",'計算'!$BD216))</f>
        <v/>
      </c>
      <c r="W220" s="52">
        <f>IF('計算'!$C216="","",IF('計算'!$M216="","",'計算'!$BE216))</f>
        <v/>
      </c>
      <c r="X220" s="52">
        <f>IF('計算'!$C216="","",IF('計算'!$M216="","",'計算'!$BF216))</f>
        <v/>
      </c>
      <c r="Y220" s="52">
        <f>IF('計算'!$C216="","",IF('計算'!$M216="","",'計算'!$BG216))</f>
        <v/>
      </c>
      <c r="Z220" s="52">
        <f>IF('計算'!$C216="","",IF('計算'!$M216="","",'計算'!$BH216))</f>
        <v/>
      </c>
      <c r="AA220" s="52">
        <f>IF('計算'!$C216="","",IF('計算'!$M216="","",'計算'!$BI216))</f>
        <v/>
      </c>
      <c r="AB220" s="52">
        <f>IF('計算'!$C216="","",IF('計算'!$M216="","",'計算'!$BJ216))</f>
        <v/>
      </c>
      <c r="AC220" s="52">
        <f>IF('計算'!$C216="","",IF('計算'!$M216="","",'計算'!$BK216))</f>
        <v/>
      </c>
      <c r="AD220" s="53" t="n"/>
      <c r="AE220" s="48" t="n"/>
      <c r="AF220" s="54">
        <f>IF('計算'!$C216="","",'計算'!$C216)</f>
        <v/>
      </c>
      <c r="AG220" s="54">
        <f>IF('計算'!$C216="","",'計算'!$F216)</f>
        <v/>
      </c>
    </row>
    <row r="221" ht="18" customHeight="1">
      <c r="B221" s="42">
        <f>IF('計算'!$C217="","",'計算'!$B217)</f>
        <v/>
      </c>
      <c r="C221" s="43">
        <f>IF('計算'!$C217="","",'計算'!$D217)</f>
        <v/>
      </c>
      <c r="D221" s="44">
        <f>IF('計算'!$C217="","",'計算'!$O217)</f>
        <v/>
      </c>
      <c r="E221" s="45">
        <f>IF('計算'!$C217="","",'計算'!$L217)</f>
        <v/>
      </c>
      <c r="F221" s="46">
        <f>IF('計算'!$C217="","",'計算'!$CD217)</f>
        <v/>
      </c>
      <c r="G221" s="47">
        <f>IF('計算'!$C217="","",'計算'!$CA217)</f>
        <v/>
      </c>
      <c r="H221" s="43">
        <f>IF('計算'!$C217="","",'計算'!$CP217)</f>
        <v/>
      </c>
      <c r="I221" s="48" t="n"/>
      <c r="J221" s="49" t="n"/>
      <c r="K221" s="50">
        <f>IF('計算'!$C217="","",'計算'!$CR217)</f>
        <v/>
      </c>
      <c r="L221" s="51">
        <f>IF('計算'!$C217="","",'計算'!$CF217)</f>
        <v/>
      </c>
      <c r="M221" s="48" t="n"/>
      <c r="N221" s="49" t="n"/>
      <c r="O221" s="43">
        <f>IF('計算'!$C217="","",'計算'!$CQ217)</f>
        <v/>
      </c>
      <c r="P221" s="52">
        <f>IF('計算'!$C217="","",IF('計算'!$M217="","",'計算'!$AX217))</f>
        <v/>
      </c>
      <c r="Q221" s="52">
        <f>IF('計算'!$C217="","",IF('計算'!$M217="","",'計算'!$AY217))</f>
        <v/>
      </c>
      <c r="R221" s="52">
        <f>IF('計算'!$C217="","",IF('計算'!$M217="","",'計算'!$AZ217))</f>
        <v/>
      </c>
      <c r="S221" s="52">
        <f>IF('計算'!$C217="","",IF('計算'!$M217="","",'計算'!$BA217))</f>
        <v/>
      </c>
      <c r="T221" s="52">
        <f>IF('計算'!$C217="","",IF('計算'!$M217="","",'計算'!$BB217))</f>
        <v/>
      </c>
      <c r="U221" s="52">
        <f>IF('計算'!$C217="","",IF('計算'!$M217="","",'計算'!$BC217))</f>
        <v/>
      </c>
      <c r="V221" s="52">
        <f>IF('計算'!$C217="","",IF('計算'!$M217="","",'計算'!$BD217))</f>
        <v/>
      </c>
      <c r="W221" s="52">
        <f>IF('計算'!$C217="","",IF('計算'!$M217="","",'計算'!$BE217))</f>
        <v/>
      </c>
      <c r="X221" s="52">
        <f>IF('計算'!$C217="","",IF('計算'!$M217="","",'計算'!$BF217))</f>
        <v/>
      </c>
      <c r="Y221" s="52">
        <f>IF('計算'!$C217="","",IF('計算'!$M217="","",'計算'!$BG217))</f>
        <v/>
      </c>
      <c r="Z221" s="52">
        <f>IF('計算'!$C217="","",IF('計算'!$M217="","",'計算'!$BH217))</f>
        <v/>
      </c>
      <c r="AA221" s="52">
        <f>IF('計算'!$C217="","",IF('計算'!$M217="","",'計算'!$BI217))</f>
        <v/>
      </c>
      <c r="AB221" s="52">
        <f>IF('計算'!$C217="","",IF('計算'!$M217="","",'計算'!$BJ217))</f>
        <v/>
      </c>
      <c r="AC221" s="52">
        <f>IF('計算'!$C217="","",IF('計算'!$M217="","",'計算'!$BK217))</f>
        <v/>
      </c>
      <c r="AD221" s="53" t="n"/>
      <c r="AE221" s="48" t="n"/>
      <c r="AF221" s="54">
        <f>IF('計算'!$C217="","",'計算'!$C217)</f>
        <v/>
      </c>
      <c r="AG221" s="54">
        <f>IF('計算'!$C217="","",'計算'!$F217)</f>
        <v/>
      </c>
    </row>
    <row r="222" ht="18" customHeight="1">
      <c r="B222" s="42">
        <f>IF('計算'!$C218="","",'計算'!$B218)</f>
        <v/>
      </c>
      <c r="C222" s="43">
        <f>IF('計算'!$C218="","",'計算'!$D218)</f>
        <v/>
      </c>
      <c r="D222" s="44">
        <f>IF('計算'!$C218="","",'計算'!$O218)</f>
        <v/>
      </c>
      <c r="E222" s="45">
        <f>IF('計算'!$C218="","",'計算'!$L218)</f>
        <v/>
      </c>
      <c r="F222" s="46">
        <f>IF('計算'!$C218="","",'計算'!$CD218)</f>
        <v/>
      </c>
      <c r="G222" s="47">
        <f>IF('計算'!$C218="","",'計算'!$CA218)</f>
        <v/>
      </c>
      <c r="H222" s="43">
        <f>IF('計算'!$C218="","",'計算'!$CP218)</f>
        <v/>
      </c>
      <c r="I222" s="48" t="n"/>
      <c r="J222" s="49" t="n"/>
      <c r="K222" s="50">
        <f>IF('計算'!$C218="","",'計算'!$CR218)</f>
        <v/>
      </c>
      <c r="L222" s="51">
        <f>IF('計算'!$C218="","",'計算'!$CF218)</f>
        <v/>
      </c>
      <c r="M222" s="48" t="n"/>
      <c r="N222" s="49" t="n"/>
      <c r="O222" s="43">
        <f>IF('計算'!$C218="","",'計算'!$CQ218)</f>
        <v/>
      </c>
      <c r="P222" s="52">
        <f>IF('計算'!$C218="","",IF('計算'!$M218="","",'計算'!$AX218))</f>
        <v/>
      </c>
      <c r="Q222" s="52">
        <f>IF('計算'!$C218="","",IF('計算'!$M218="","",'計算'!$AY218))</f>
        <v/>
      </c>
      <c r="R222" s="52">
        <f>IF('計算'!$C218="","",IF('計算'!$M218="","",'計算'!$AZ218))</f>
        <v/>
      </c>
      <c r="S222" s="52">
        <f>IF('計算'!$C218="","",IF('計算'!$M218="","",'計算'!$BA218))</f>
        <v/>
      </c>
      <c r="T222" s="52">
        <f>IF('計算'!$C218="","",IF('計算'!$M218="","",'計算'!$BB218))</f>
        <v/>
      </c>
      <c r="U222" s="52">
        <f>IF('計算'!$C218="","",IF('計算'!$M218="","",'計算'!$BC218))</f>
        <v/>
      </c>
      <c r="V222" s="52">
        <f>IF('計算'!$C218="","",IF('計算'!$M218="","",'計算'!$BD218))</f>
        <v/>
      </c>
      <c r="W222" s="52">
        <f>IF('計算'!$C218="","",IF('計算'!$M218="","",'計算'!$BE218))</f>
        <v/>
      </c>
      <c r="X222" s="52">
        <f>IF('計算'!$C218="","",IF('計算'!$M218="","",'計算'!$BF218))</f>
        <v/>
      </c>
      <c r="Y222" s="52">
        <f>IF('計算'!$C218="","",IF('計算'!$M218="","",'計算'!$BG218))</f>
        <v/>
      </c>
      <c r="Z222" s="52">
        <f>IF('計算'!$C218="","",IF('計算'!$M218="","",'計算'!$BH218))</f>
        <v/>
      </c>
      <c r="AA222" s="52">
        <f>IF('計算'!$C218="","",IF('計算'!$M218="","",'計算'!$BI218))</f>
        <v/>
      </c>
      <c r="AB222" s="52">
        <f>IF('計算'!$C218="","",IF('計算'!$M218="","",'計算'!$BJ218))</f>
        <v/>
      </c>
      <c r="AC222" s="52">
        <f>IF('計算'!$C218="","",IF('計算'!$M218="","",'計算'!$BK218))</f>
        <v/>
      </c>
      <c r="AD222" s="53" t="n"/>
      <c r="AE222" s="48" t="n"/>
      <c r="AF222" s="54">
        <f>IF('計算'!$C218="","",'計算'!$C218)</f>
        <v/>
      </c>
      <c r="AG222" s="54">
        <f>IF('計算'!$C218="","",'計算'!$F218)</f>
        <v/>
      </c>
    </row>
    <row r="223" ht="18" customHeight="1">
      <c r="B223" s="42">
        <f>IF('計算'!$C219="","",'計算'!$B219)</f>
        <v/>
      </c>
      <c r="C223" s="43">
        <f>IF('計算'!$C219="","",'計算'!$D219)</f>
        <v/>
      </c>
      <c r="D223" s="44">
        <f>IF('計算'!$C219="","",'計算'!$O219)</f>
        <v/>
      </c>
      <c r="E223" s="45">
        <f>IF('計算'!$C219="","",'計算'!$L219)</f>
        <v/>
      </c>
      <c r="F223" s="46">
        <f>IF('計算'!$C219="","",'計算'!$CD219)</f>
        <v/>
      </c>
      <c r="G223" s="47">
        <f>IF('計算'!$C219="","",'計算'!$CA219)</f>
        <v/>
      </c>
      <c r="H223" s="43">
        <f>IF('計算'!$C219="","",'計算'!$CP219)</f>
        <v/>
      </c>
      <c r="I223" s="48" t="n"/>
      <c r="J223" s="49" t="n"/>
      <c r="K223" s="50">
        <f>IF('計算'!$C219="","",'計算'!$CR219)</f>
        <v/>
      </c>
      <c r="L223" s="51">
        <f>IF('計算'!$C219="","",'計算'!$CF219)</f>
        <v/>
      </c>
      <c r="M223" s="48" t="n"/>
      <c r="N223" s="49" t="n"/>
      <c r="O223" s="43">
        <f>IF('計算'!$C219="","",'計算'!$CQ219)</f>
        <v/>
      </c>
      <c r="P223" s="52">
        <f>IF('計算'!$C219="","",IF('計算'!$M219="","",'計算'!$AX219))</f>
        <v/>
      </c>
      <c r="Q223" s="52">
        <f>IF('計算'!$C219="","",IF('計算'!$M219="","",'計算'!$AY219))</f>
        <v/>
      </c>
      <c r="R223" s="52">
        <f>IF('計算'!$C219="","",IF('計算'!$M219="","",'計算'!$AZ219))</f>
        <v/>
      </c>
      <c r="S223" s="52">
        <f>IF('計算'!$C219="","",IF('計算'!$M219="","",'計算'!$BA219))</f>
        <v/>
      </c>
      <c r="T223" s="52">
        <f>IF('計算'!$C219="","",IF('計算'!$M219="","",'計算'!$BB219))</f>
        <v/>
      </c>
      <c r="U223" s="52">
        <f>IF('計算'!$C219="","",IF('計算'!$M219="","",'計算'!$BC219))</f>
        <v/>
      </c>
      <c r="V223" s="52">
        <f>IF('計算'!$C219="","",IF('計算'!$M219="","",'計算'!$BD219))</f>
        <v/>
      </c>
      <c r="W223" s="52">
        <f>IF('計算'!$C219="","",IF('計算'!$M219="","",'計算'!$BE219))</f>
        <v/>
      </c>
      <c r="X223" s="52">
        <f>IF('計算'!$C219="","",IF('計算'!$M219="","",'計算'!$BF219))</f>
        <v/>
      </c>
      <c r="Y223" s="52">
        <f>IF('計算'!$C219="","",IF('計算'!$M219="","",'計算'!$BG219))</f>
        <v/>
      </c>
      <c r="Z223" s="52">
        <f>IF('計算'!$C219="","",IF('計算'!$M219="","",'計算'!$BH219))</f>
        <v/>
      </c>
      <c r="AA223" s="52">
        <f>IF('計算'!$C219="","",IF('計算'!$M219="","",'計算'!$BI219))</f>
        <v/>
      </c>
      <c r="AB223" s="52">
        <f>IF('計算'!$C219="","",IF('計算'!$M219="","",'計算'!$BJ219))</f>
        <v/>
      </c>
      <c r="AC223" s="52">
        <f>IF('計算'!$C219="","",IF('計算'!$M219="","",'計算'!$BK219))</f>
        <v/>
      </c>
      <c r="AD223" s="53" t="n"/>
      <c r="AE223" s="48" t="n"/>
      <c r="AF223" s="54">
        <f>IF('計算'!$C219="","",'計算'!$C219)</f>
        <v/>
      </c>
      <c r="AG223" s="54">
        <f>IF('計算'!$C219="","",'計算'!$F219)</f>
        <v/>
      </c>
    </row>
    <row r="224" ht="18" customHeight="1">
      <c r="B224" s="42">
        <f>IF('計算'!$C220="","",'計算'!$B220)</f>
        <v/>
      </c>
      <c r="C224" s="43">
        <f>IF('計算'!$C220="","",'計算'!$D220)</f>
        <v/>
      </c>
      <c r="D224" s="44">
        <f>IF('計算'!$C220="","",'計算'!$O220)</f>
        <v/>
      </c>
      <c r="E224" s="45">
        <f>IF('計算'!$C220="","",'計算'!$L220)</f>
        <v/>
      </c>
      <c r="F224" s="46">
        <f>IF('計算'!$C220="","",'計算'!$CD220)</f>
        <v/>
      </c>
      <c r="G224" s="47">
        <f>IF('計算'!$C220="","",'計算'!$CA220)</f>
        <v/>
      </c>
      <c r="H224" s="43">
        <f>IF('計算'!$C220="","",'計算'!$CP220)</f>
        <v/>
      </c>
      <c r="I224" s="48" t="n"/>
      <c r="J224" s="49" t="n"/>
      <c r="K224" s="50">
        <f>IF('計算'!$C220="","",'計算'!$CR220)</f>
        <v/>
      </c>
      <c r="L224" s="51">
        <f>IF('計算'!$C220="","",'計算'!$CF220)</f>
        <v/>
      </c>
      <c r="M224" s="48" t="n"/>
      <c r="N224" s="49" t="n"/>
      <c r="O224" s="43">
        <f>IF('計算'!$C220="","",'計算'!$CQ220)</f>
        <v/>
      </c>
      <c r="P224" s="52">
        <f>IF('計算'!$C220="","",IF('計算'!$M220="","",'計算'!$AX220))</f>
        <v/>
      </c>
      <c r="Q224" s="52">
        <f>IF('計算'!$C220="","",IF('計算'!$M220="","",'計算'!$AY220))</f>
        <v/>
      </c>
      <c r="R224" s="52">
        <f>IF('計算'!$C220="","",IF('計算'!$M220="","",'計算'!$AZ220))</f>
        <v/>
      </c>
      <c r="S224" s="52">
        <f>IF('計算'!$C220="","",IF('計算'!$M220="","",'計算'!$BA220))</f>
        <v/>
      </c>
      <c r="T224" s="52">
        <f>IF('計算'!$C220="","",IF('計算'!$M220="","",'計算'!$BB220))</f>
        <v/>
      </c>
      <c r="U224" s="52">
        <f>IF('計算'!$C220="","",IF('計算'!$M220="","",'計算'!$BC220))</f>
        <v/>
      </c>
      <c r="V224" s="52">
        <f>IF('計算'!$C220="","",IF('計算'!$M220="","",'計算'!$BD220))</f>
        <v/>
      </c>
      <c r="W224" s="52">
        <f>IF('計算'!$C220="","",IF('計算'!$M220="","",'計算'!$BE220))</f>
        <v/>
      </c>
      <c r="X224" s="52">
        <f>IF('計算'!$C220="","",IF('計算'!$M220="","",'計算'!$BF220))</f>
        <v/>
      </c>
      <c r="Y224" s="52">
        <f>IF('計算'!$C220="","",IF('計算'!$M220="","",'計算'!$BG220))</f>
        <v/>
      </c>
      <c r="Z224" s="52">
        <f>IF('計算'!$C220="","",IF('計算'!$M220="","",'計算'!$BH220))</f>
        <v/>
      </c>
      <c r="AA224" s="52">
        <f>IF('計算'!$C220="","",IF('計算'!$M220="","",'計算'!$BI220))</f>
        <v/>
      </c>
      <c r="AB224" s="52">
        <f>IF('計算'!$C220="","",IF('計算'!$M220="","",'計算'!$BJ220))</f>
        <v/>
      </c>
      <c r="AC224" s="52">
        <f>IF('計算'!$C220="","",IF('計算'!$M220="","",'計算'!$BK220))</f>
        <v/>
      </c>
      <c r="AD224" s="53" t="n"/>
      <c r="AE224" s="48" t="n"/>
      <c r="AF224" s="54">
        <f>IF('計算'!$C220="","",'計算'!$C220)</f>
        <v/>
      </c>
      <c r="AG224" s="54">
        <f>IF('計算'!$C220="","",'計算'!$F220)</f>
        <v/>
      </c>
    </row>
    <row r="225" ht="18" customHeight="1">
      <c r="B225" s="42">
        <f>IF('計算'!$C221="","",'計算'!$B221)</f>
        <v/>
      </c>
      <c r="C225" s="43">
        <f>IF('計算'!$C221="","",'計算'!$D221)</f>
        <v/>
      </c>
      <c r="D225" s="44">
        <f>IF('計算'!$C221="","",'計算'!$O221)</f>
        <v/>
      </c>
      <c r="E225" s="45">
        <f>IF('計算'!$C221="","",'計算'!$L221)</f>
        <v/>
      </c>
      <c r="F225" s="46">
        <f>IF('計算'!$C221="","",'計算'!$CD221)</f>
        <v/>
      </c>
      <c r="G225" s="47">
        <f>IF('計算'!$C221="","",'計算'!$CA221)</f>
        <v/>
      </c>
      <c r="H225" s="43">
        <f>IF('計算'!$C221="","",'計算'!$CP221)</f>
        <v/>
      </c>
      <c r="I225" s="48" t="n"/>
      <c r="J225" s="49" t="n"/>
      <c r="K225" s="50">
        <f>IF('計算'!$C221="","",'計算'!$CR221)</f>
        <v/>
      </c>
      <c r="L225" s="51">
        <f>IF('計算'!$C221="","",'計算'!$CF221)</f>
        <v/>
      </c>
      <c r="M225" s="48" t="n"/>
      <c r="N225" s="49" t="n"/>
      <c r="O225" s="43">
        <f>IF('計算'!$C221="","",'計算'!$CQ221)</f>
        <v/>
      </c>
      <c r="P225" s="52">
        <f>IF('計算'!$C221="","",IF('計算'!$M221="","",'計算'!$AX221))</f>
        <v/>
      </c>
      <c r="Q225" s="52">
        <f>IF('計算'!$C221="","",IF('計算'!$M221="","",'計算'!$AY221))</f>
        <v/>
      </c>
      <c r="R225" s="52">
        <f>IF('計算'!$C221="","",IF('計算'!$M221="","",'計算'!$AZ221))</f>
        <v/>
      </c>
      <c r="S225" s="52">
        <f>IF('計算'!$C221="","",IF('計算'!$M221="","",'計算'!$BA221))</f>
        <v/>
      </c>
      <c r="T225" s="52">
        <f>IF('計算'!$C221="","",IF('計算'!$M221="","",'計算'!$BB221))</f>
        <v/>
      </c>
      <c r="U225" s="52">
        <f>IF('計算'!$C221="","",IF('計算'!$M221="","",'計算'!$BC221))</f>
        <v/>
      </c>
      <c r="V225" s="52">
        <f>IF('計算'!$C221="","",IF('計算'!$M221="","",'計算'!$BD221))</f>
        <v/>
      </c>
      <c r="W225" s="52">
        <f>IF('計算'!$C221="","",IF('計算'!$M221="","",'計算'!$BE221))</f>
        <v/>
      </c>
      <c r="X225" s="52">
        <f>IF('計算'!$C221="","",IF('計算'!$M221="","",'計算'!$BF221))</f>
        <v/>
      </c>
      <c r="Y225" s="52">
        <f>IF('計算'!$C221="","",IF('計算'!$M221="","",'計算'!$BG221))</f>
        <v/>
      </c>
      <c r="Z225" s="52">
        <f>IF('計算'!$C221="","",IF('計算'!$M221="","",'計算'!$BH221))</f>
        <v/>
      </c>
      <c r="AA225" s="52">
        <f>IF('計算'!$C221="","",IF('計算'!$M221="","",'計算'!$BI221))</f>
        <v/>
      </c>
      <c r="AB225" s="52">
        <f>IF('計算'!$C221="","",IF('計算'!$M221="","",'計算'!$BJ221))</f>
        <v/>
      </c>
      <c r="AC225" s="52">
        <f>IF('計算'!$C221="","",IF('計算'!$M221="","",'計算'!$BK221))</f>
        <v/>
      </c>
      <c r="AD225" s="53" t="n"/>
      <c r="AE225" s="48" t="n"/>
      <c r="AF225" s="54">
        <f>IF('計算'!$C221="","",'計算'!$C221)</f>
        <v/>
      </c>
      <c r="AG225" s="54">
        <f>IF('計算'!$C221="","",'計算'!$F221)</f>
        <v/>
      </c>
    </row>
    <row r="226" ht="18" customHeight="1">
      <c r="B226" s="42">
        <f>IF('計算'!$C222="","",'計算'!$B222)</f>
        <v/>
      </c>
      <c r="C226" s="43">
        <f>IF('計算'!$C222="","",'計算'!$D222)</f>
        <v/>
      </c>
      <c r="D226" s="44">
        <f>IF('計算'!$C222="","",'計算'!$O222)</f>
        <v/>
      </c>
      <c r="E226" s="45">
        <f>IF('計算'!$C222="","",'計算'!$L222)</f>
        <v/>
      </c>
      <c r="F226" s="46">
        <f>IF('計算'!$C222="","",'計算'!$CD222)</f>
        <v/>
      </c>
      <c r="G226" s="47">
        <f>IF('計算'!$C222="","",'計算'!$CA222)</f>
        <v/>
      </c>
      <c r="H226" s="43">
        <f>IF('計算'!$C222="","",'計算'!$CP222)</f>
        <v/>
      </c>
      <c r="I226" s="48" t="n"/>
      <c r="J226" s="49" t="n"/>
      <c r="K226" s="50">
        <f>IF('計算'!$C222="","",'計算'!$CR222)</f>
        <v/>
      </c>
      <c r="L226" s="51">
        <f>IF('計算'!$C222="","",'計算'!$CF222)</f>
        <v/>
      </c>
      <c r="M226" s="48" t="n"/>
      <c r="N226" s="49" t="n"/>
      <c r="O226" s="43">
        <f>IF('計算'!$C222="","",'計算'!$CQ222)</f>
        <v/>
      </c>
      <c r="P226" s="52">
        <f>IF('計算'!$C222="","",IF('計算'!$M222="","",'計算'!$AX222))</f>
        <v/>
      </c>
      <c r="Q226" s="52">
        <f>IF('計算'!$C222="","",IF('計算'!$M222="","",'計算'!$AY222))</f>
        <v/>
      </c>
      <c r="R226" s="52">
        <f>IF('計算'!$C222="","",IF('計算'!$M222="","",'計算'!$AZ222))</f>
        <v/>
      </c>
      <c r="S226" s="52">
        <f>IF('計算'!$C222="","",IF('計算'!$M222="","",'計算'!$BA222))</f>
        <v/>
      </c>
      <c r="T226" s="52">
        <f>IF('計算'!$C222="","",IF('計算'!$M222="","",'計算'!$BB222))</f>
        <v/>
      </c>
      <c r="U226" s="52">
        <f>IF('計算'!$C222="","",IF('計算'!$M222="","",'計算'!$BC222))</f>
        <v/>
      </c>
      <c r="V226" s="52">
        <f>IF('計算'!$C222="","",IF('計算'!$M222="","",'計算'!$BD222))</f>
        <v/>
      </c>
      <c r="W226" s="52">
        <f>IF('計算'!$C222="","",IF('計算'!$M222="","",'計算'!$BE222))</f>
        <v/>
      </c>
      <c r="X226" s="52">
        <f>IF('計算'!$C222="","",IF('計算'!$M222="","",'計算'!$BF222))</f>
        <v/>
      </c>
      <c r="Y226" s="52">
        <f>IF('計算'!$C222="","",IF('計算'!$M222="","",'計算'!$BG222))</f>
        <v/>
      </c>
      <c r="Z226" s="52">
        <f>IF('計算'!$C222="","",IF('計算'!$M222="","",'計算'!$BH222))</f>
        <v/>
      </c>
      <c r="AA226" s="52">
        <f>IF('計算'!$C222="","",IF('計算'!$M222="","",'計算'!$BI222))</f>
        <v/>
      </c>
      <c r="AB226" s="52">
        <f>IF('計算'!$C222="","",IF('計算'!$M222="","",'計算'!$BJ222))</f>
        <v/>
      </c>
      <c r="AC226" s="52">
        <f>IF('計算'!$C222="","",IF('計算'!$M222="","",'計算'!$BK222))</f>
        <v/>
      </c>
      <c r="AD226" s="53" t="n"/>
      <c r="AE226" s="48" t="n"/>
      <c r="AF226" s="54">
        <f>IF('計算'!$C222="","",'計算'!$C222)</f>
        <v/>
      </c>
      <c r="AG226" s="54">
        <f>IF('計算'!$C222="","",'計算'!$F222)</f>
        <v/>
      </c>
    </row>
    <row r="227" ht="18" customHeight="1">
      <c r="B227" s="42">
        <f>IF('計算'!$C223="","",'計算'!$B223)</f>
        <v/>
      </c>
      <c r="C227" s="43">
        <f>IF('計算'!$C223="","",'計算'!$D223)</f>
        <v/>
      </c>
      <c r="D227" s="44">
        <f>IF('計算'!$C223="","",'計算'!$O223)</f>
        <v/>
      </c>
      <c r="E227" s="45">
        <f>IF('計算'!$C223="","",'計算'!$L223)</f>
        <v/>
      </c>
      <c r="F227" s="46">
        <f>IF('計算'!$C223="","",'計算'!$CD223)</f>
        <v/>
      </c>
      <c r="G227" s="47">
        <f>IF('計算'!$C223="","",'計算'!$CA223)</f>
        <v/>
      </c>
      <c r="H227" s="43">
        <f>IF('計算'!$C223="","",'計算'!$CP223)</f>
        <v/>
      </c>
      <c r="I227" s="48" t="n"/>
      <c r="J227" s="49" t="n"/>
      <c r="K227" s="50">
        <f>IF('計算'!$C223="","",'計算'!$CR223)</f>
        <v/>
      </c>
      <c r="L227" s="51">
        <f>IF('計算'!$C223="","",'計算'!$CF223)</f>
        <v/>
      </c>
      <c r="M227" s="48" t="n"/>
      <c r="N227" s="49" t="n"/>
      <c r="O227" s="43">
        <f>IF('計算'!$C223="","",'計算'!$CQ223)</f>
        <v/>
      </c>
      <c r="P227" s="52">
        <f>IF('計算'!$C223="","",IF('計算'!$M223="","",'計算'!$AX223))</f>
        <v/>
      </c>
      <c r="Q227" s="52">
        <f>IF('計算'!$C223="","",IF('計算'!$M223="","",'計算'!$AY223))</f>
        <v/>
      </c>
      <c r="R227" s="52">
        <f>IF('計算'!$C223="","",IF('計算'!$M223="","",'計算'!$AZ223))</f>
        <v/>
      </c>
      <c r="S227" s="52">
        <f>IF('計算'!$C223="","",IF('計算'!$M223="","",'計算'!$BA223))</f>
        <v/>
      </c>
      <c r="T227" s="52">
        <f>IF('計算'!$C223="","",IF('計算'!$M223="","",'計算'!$BB223))</f>
        <v/>
      </c>
      <c r="U227" s="52">
        <f>IF('計算'!$C223="","",IF('計算'!$M223="","",'計算'!$BC223))</f>
        <v/>
      </c>
      <c r="V227" s="52">
        <f>IF('計算'!$C223="","",IF('計算'!$M223="","",'計算'!$BD223))</f>
        <v/>
      </c>
      <c r="W227" s="52">
        <f>IF('計算'!$C223="","",IF('計算'!$M223="","",'計算'!$BE223))</f>
        <v/>
      </c>
      <c r="X227" s="52">
        <f>IF('計算'!$C223="","",IF('計算'!$M223="","",'計算'!$BF223))</f>
        <v/>
      </c>
      <c r="Y227" s="52">
        <f>IF('計算'!$C223="","",IF('計算'!$M223="","",'計算'!$BG223))</f>
        <v/>
      </c>
      <c r="Z227" s="52">
        <f>IF('計算'!$C223="","",IF('計算'!$M223="","",'計算'!$BH223))</f>
        <v/>
      </c>
      <c r="AA227" s="52">
        <f>IF('計算'!$C223="","",IF('計算'!$M223="","",'計算'!$BI223))</f>
        <v/>
      </c>
      <c r="AB227" s="52">
        <f>IF('計算'!$C223="","",IF('計算'!$M223="","",'計算'!$BJ223))</f>
        <v/>
      </c>
      <c r="AC227" s="52">
        <f>IF('計算'!$C223="","",IF('計算'!$M223="","",'計算'!$BK223))</f>
        <v/>
      </c>
      <c r="AD227" s="53" t="n"/>
      <c r="AE227" s="48" t="n"/>
      <c r="AF227" s="54">
        <f>IF('計算'!$C223="","",'計算'!$C223)</f>
        <v/>
      </c>
      <c r="AG227" s="54">
        <f>IF('計算'!$C223="","",'計算'!$F223)</f>
        <v/>
      </c>
    </row>
    <row r="228" ht="18" customHeight="1">
      <c r="B228" s="42">
        <f>IF('計算'!$C224="","",'計算'!$B224)</f>
        <v/>
      </c>
      <c r="C228" s="43">
        <f>IF('計算'!$C224="","",'計算'!$D224)</f>
        <v/>
      </c>
      <c r="D228" s="44">
        <f>IF('計算'!$C224="","",'計算'!$O224)</f>
        <v/>
      </c>
      <c r="E228" s="45">
        <f>IF('計算'!$C224="","",'計算'!$L224)</f>
        <v/>
      </c>
      <c r="F228" s="46">
        <f>IF('計算'!$C224="","",'計算'!$CD224)</f>
        <v/>
      </c>
      <c r="G228" s="47">
        <f>IF('計算'!$C224="","",'計算'!$CA224)</f>
        <v/>
      </c>
      <c r="H228" s="43">
        <f>IF('計算'!$C224="","",'計算'!$CP224)</f>
        <v/>
      </c>
      <c r="I228" s="48" t="n"/>
      <c r="J228" s="49" t="n"/>
      <c r="K228" s="50">
        <f>IF('計算'!$C224="","",'計算'!$CR224)</f>
        <v/>
      </c>
      <c r="L228" s="51">
        <f>IF('計算'!$C224="","",'計算'!$CF224)</f>
        <v/>
      </c>
      <c r="M228" s="48" t="n"/>
      <c r="N228" s="49" t="n"/>
      <c r="O228" s="43">
        <f>IF('計算'!$C224="","",'計算'!$CQ224)</f>
        <v/>
      </c>
      <c r="P228" s="52">
        <f>IF('計算'!$C224="","",IF('計算'!$M224="","",'計算'!$AX224))</f>
        <v/>
      </c>
      <c r="Q228" s="52">
        <f>IF('計算'!$C224="","",IF('計算'!$M224="","",'計算'!$AY224))</f>
        <v/>
      </c>
      <c r="R228" s="52">
        <f>IF('計算'!$C224="","",IF('計算'!$M224="","",'計算'!$AZ224))</f>
        <v/>
      </c>
      <c r="S228" s="52">
        <f>IF('計算'!$C224="","",IF('計算'!$M224="","",'計算'!$BA224))</f>
        <v/>
      </c>
      <c r="T228" s="52">
        <f>IF('計算'!$C224="","",IF('計算'!$M224="","",'計算'!$BB224))</f>
        <v/>
      </c>
      <c r="U228" s="52">
        <f>IF('計算'!$C224="","",IF('計算'!$M224="","",'計算'!$BC224))</f>
        <v/>
      </c>
      <c r="V228" s="52">
        <f>IF('計算'!$C224="","",IF('計算'!$M224="","",'計算'!$BD224))</f>
        <v/>
      </c>
      <c r="W228" s="52">
        <f>IF('計算'!$C224="","",IF('計算'!$M224="","",'計算'!$BE224))</f>
        <v/>
      </c>
      <c r="X228" s="52">
        <f>IF('計算'!$C224="","",IF('計算'!$M224="","",'計算'!$BF224))</f>
        <v/>
      </c>
      <c r="Y228" s="52">
        <f>IF('計算'!$C224="","",IF('計算'!$M224="","",'計算'!$BG224))</f>
        <v/>
      </c>
      <c r="Z228" s="52">
        <f>IF('計算'!$C224="","",IF('計算'!$M224="","",'計算'!$BH224))</f>
        <v/>
      </c>
      <c r="AA228" s="52">
        <f>IF('計算'!$C224="","",IF('計算'!$M224="","",'計算'!$BI224))</f>
        <v/>
      </c>
      <c r="AB228" s="52">
        <f>IF('計算'!$C224="","",IF('計算'!$M224="","",'計算'!$BJ224))</f>
        <v/>
      </c>
      <c r="AC228" s="52">
        <f>IF('計算'!$C224="","",IF('計算'!$M224="","",'計算'!$BK224))</f>
        <v/>
      </c>
      <c r="AD228" s="53" t="n"/>
      <c r="AE228" s="48" t="n"/>
      <c r="AF228" s="54">
        <f>IF('計算'!$C224="","",'計算'!$C224)</f>
        <v/>
      </c>
      <c r="AG228" s="54">
        <f>IF('計算'!$C224="","",'計算'!$F224)</f>
        <v/>
      </c>
    </row>
    <row r="229" ht="18" customHeight="1">
      <c r="B229" s="42">
        <f>IF('計算'!$C225="","",'計算'!$B225)</f>
        <v/>
      </c>
      <c r="C229" s="43">
        <f>IF('計算'!$C225="","",'計算'!$D225)</f>
        <v/>
      </c>
      <c r="D229" s="44">
        <f>IF('計算'!$C225="","",'計算'!$O225)</f>
        <v/>
      </c>
      <c r="E229" s="45">
        <f>IF('計算'!$C225="","",'計算'!$L225)</f>
        <v/>
      </c>
      <c r="F229" s="46">
        <f>IF('計算'!$C225="","",'計算'!$CD225)</f>
        <v/>
      </c>
      <c r="G229" s="47">
        <f>IF('計算'!$C225="","",'計算'!$CA225)</f>
        <v/>
      </c>
      <c r="H229" s="43">
        <f>IF('計算'!$C225="","",'計算'!$CP225)</f>
        <v/>
      </c>
      <c r="I229" s="48" t="n"/>
      <c r="J229" s="49" t="n"/>
      <c r="K229" s="50">
        <f>IF('計算'!$C225="","",'計算'!$CR225)</f>
        <v/>
      </c>
      <c r="L229" s="51">
        <f>IF('計算'!$C225="","",'計算'!$CF225)</f>
        <v/>
      </c>
      <c r="M229" s="48" t="n"/>
      <c r="N229" s="49" t="n"/>
      <c r="O229" s="43">
        <f>IF('計算'!$C225="","",'計算'!$CQ225)</f>
        <v/>
      </c>
      <c r="P229" s="52">
        <f>IF('計算'!$C225="","",IF('計算'!$M225="","",'計算'!$AX225))</f>
        <v/>
      </c>
      <c r="Q229" s="52">
        <f>IF('計算'!$C225="","",IF('計算'!$M225="","",'計算'!$AY225))</f>
        <v/>
      </c>
      <c r="R229" s="52">
        <f>IF('計算'!$C225="","",IF('計算'!$M225="","",'計算'!$AZ225))</f>
        <v/>
      </c>
      <c r="S229" s="52">
        <f>IF('計算'!$C225="","",IF('計算'!$M225="","",'計算'!$BA225))</f>
        <v/>
      </c>
      <c r="T229" s="52">
        <f>IF('計算'!$C225="","",IF('計算'!$M225="","",'計算'!$BB225))</f>
        <v/>
      </c>
      <c r="U229" s="52">
        <f>IF('計算'!$C225="","",IF('計算'!$M225="","",'計算'!$BC225))</f>
        <v/>
      </c>
      <c r="V229" s="52">
        <f>IF('計算'!$C225="","",IF('計算'!$M225="","",'計算'!$BD225))</f>
        <v/>
      </c>
      <c r="W229" s="52">
        <f>IF('計算'!$C225="","",IF('計算'!$M225="","",'計算'!$BE225))</f>
        <v/>
      </c>
      <c r="X229" s="52">
        <f>IF('計算'!$C225="","",IF('計算'!$M225="","",'計算'!$BF225))</f>
        <v/>
      </c>
      <c r="Y229" s="52">
        <f>IF('計算'!$C225="","",IF('計算'!$M225="","",'計算'!$BG225))</f>
        <v/>
      </c>
      <c r="Z229" s="52">
        <f>IF('計算'!$C225="","",IF('計算'!$M225="","",'計算'!$BH225))</f>
        <v/>
      </c>
      <c r="AA229" s="52">
        <f>IF('計算'!$C225="","",IF('計算'!$M225="","",'計算'!$BI225))</f>
        <v/>
      </c>
      <c r="AB229" s="52">
        <f>IF('計算'!$C225="","",IF('計算'!$M225="","",'計算'!$BJ225))</f>
        <v/>
      </c>
      <c r="AC229" s="52">
        <f>IF('計算'!$C225="","",IF('計算'!$M225="","",'計算'!$BK225))</f>
        <v/>
      </c>
      <c r="AD229" s="53" t="n"/>
      <c r="AE229" s="48" t="n"/>
      <c r="AF229" s="54">
        <f>IF('計算'!$C225="","",'計算'!$C225)</f>
        <v/>
      </c>
      <c r="AG229" s="54">
        <f>IF('計算'!$C225="","",'計算'!$F225)</f>
        <v/>
      </c>
    </row>
    <row r="230" ht="18" customHeight="1">
      <c r="B230" s="42">
        <f>IF('計算'!$C226="","",'計算'!$B226)</f>
        <v/>
      </c>
      <c r="C230" s="43">
        <f>IF('計算'!$C226="","",'計算'!$D226)</f>
        <v/>
      </c>
      <c r="D230" s="44">
        <f>IF('計算'!$C226="","",'計算'!$O226)</f>
        <v/>
      </c>
      <c r="E230" s="45">
        <f>IF('計算'!$C226="","",'計算'!$L226)</f>
        <v/>
      </c>
      <c r="F230" s="46">
        <f>IF('計算'!$C226="","",'計算'!$CD226)</f>
        <v/>
      </c>
      <c r="G230" s="47">
        <f>IF('計算'!$C226="","",'計算'!$CA226)</f>
        <v/>
      </c>
      <c r="H230" s="43">
        <f>IF('計算'!$C226="","",'計算'!$CP226)</f>
        <v/>
      </c>
      <c r="I230" s="48" t="n"/>
      <c r="J230" s="49" t="n"/>
      <c r="K230" s="50">
        <f>IF('計算'!$C226="","",'計算'!$CR226)</f>
        <v/>
      </c>
      <c r="L230" s="51">
        <f>IF('計算'!$C226="","",'計算'!$CF226)</f>
        <v/>
      </c>
      <c r="M230" s="48" t="n"/>
      <c r="N230" s="49" t="n"/>
      <c r="O230" s="43">
        <f>IF('計算'!$C226="","",'計算'!$CQ226)</f>
        <v/>
      </c>
      <c r="P230" s="52">
        <f>IF('計算'!$C226="","",IF('計算'!$M226="","",'計算'!$AX226))</f>
        <v/>
      </c>
      <c r="Q230" s="52">
        <f>IF('計算'!$C226="","",IF('計算'!$M226="","",'計算'!$AY226))</f>
        <v/>
      </c>
      <c r="R230" s="52">
        <f>IF('計算'!$C226="","",IF('計算'!$M226="","",'計算'!$AZ226))</f>
        <v/>
      </c>
      <c r="S230" s="52">
        <f>IF('計算'!$C226="","",IF('計算'!$M226="","",'計算'!$BA226))</f>
        <v/>
      </c>
      <c r="T230" s="52">
        <f>IF('計算'!$C226="","",IF('計算'!$M226="","",'計算'!$BB226))</f>
        <v/>
      </c>
      <c r="U230" s="52">
        <f>IF('計算'!$C226="","",IF('計算'!$M226="","",'計算'!$BC226))</f>
        <v/>
      </c>
      <c r="V230" s="52">
        <f>IF('計算'!$C226="","",IF('計算'!$M226="","",'計算'!$BD226))</f>
        <v/>
      </c>
      <c r="W230" s="52">
        <f>IF('計算'!$C226="","",IF('計算'!$M226="","",'計算'!$BE226))</f>
        <v/>
      </c>
      <c r="X230" s="52">
        <f>IF('計算'!$C226="","",IF('計算'!$M226="","",'計算'!$BF226))</f>
        <v/>
      </c>
      <c r="Y230" s="52">
        <f>IF('計算'!$C226="","",IF('計算'!$M226="","",'計算'!$BG226))</f>
        <v/>
      </c>
      <c r="Z230" s="52">
        <f>IF('計算'!$C226="","",IF('計算'!$M226="","",'計算'!$BH226))</f>
        <v/>
      </c>
      <c r="AA230" s="52">
        <f>IF('計算'!$C226="","",IF('計算'!$M226="","",'計算'!$BI226))</f>
        <v/>
      </c>
      <c r="AB230" s="52">
        <f>IF('計算'!$C226="","",IF('計算'!$M226="","",'計算'!$BJ226))</f>
        <v/>
      </c>
      <c r="AC230" s="52">
        <f>IF('計算'!$C226="","",IF('計算'!$M226="","",'計算'!$BK226))</f>
        <v/>
      </c>
      <c r="AD230" s="53" t="n"/>
      <c r="AE230" s="48" t="n"/>
      <c r="AF230" s="54">
        <f>IF('計算'!$C226="","",'計算'!$C226)</f>
        <v/>
      </c>
      <c r="AG230" s="54">
        <f>IF('計算'!$C226="","",'計算'!$F226)</f>
        <v/>
      </c>
    </row>
    <row r="231" ht="18" customHeight="1">
      <c r="B231" s="42">
        <f>IF('計算'!$C227="","",'計算'!$B227)</f>
        <v/>
      </c>
      <c r="C231" s="43">
        <f>IF('計算'!$C227="","",'計算'!$D227)</f>
        <v/>
      </c>
      <c r="D231" s="44">
        <f>IF('計算'!$C227="","",'計算'!$O227)</f>
        <v/>
      </c>
      <c r="E231" s="45">
        <f>IF('計算'!$C227="","",'計算'!$L227)</f>
        <v/>
      </c>
      <c r="F231" s="46">
        <f>IF('計算'!$C227="","",'計算'!$CD227)</f>
        <v/>
      </c>
      <c r="G231" s="47">
        <f>IF('計算'!$C227="","",'計算'!$CA227)</f>
        <v/>
      </c>
      <c r="H231" s="43">
        <f>IF('計算'!$C227="","",'計算'!$CP227)</f>
        <v/>
      </c>
      <c r="I231" s="48" t="n"/>
      <c r="J231" s="49" t="n"/>
      <c r="K231" s="50">
        <f>IF('計算'!$C227="","",'計算'!$CR227)</f>
        <v/>
      </c>
      <c r="L231" s="51">
        <f>IF('計算'!$C227="","",'計算'!$CF227)</f>
        <v/>
      </c>
      <c r="M231" s="48" t="n"/>
      <c r="N231" s="49" t="n"/>
      <c r="O231" s="43">
        <f>IF('計算'!$C227="","",'計算'!$CQ227)</f>
        <v/>
      </c>
      <c r="P231" s="52">
        <f>IF('計算'!$C227="","",IF('計算'!$M227="","",'計算'!$AX227))</f>
        <v/>
      </c>
      <c r="Q231" s="52">
        <f>IF('計算'!$C227="","",IF('計算'!$M227="","",'計算'!$AY227))</f>
        <v/>
      </c>
      <c r="R231" s="52">
        <f>IF('計算'!$C227="","",IF('計算'!$M227="","",'計算'!$AZ227))</f>
        <v/>
      </c>
      <c r="S231" s="52">
        <f>IF('計算'!$C227="","",IF('計算'!$M227="","",'計算'!$BA227))</f>
        <v/>
      </c>
      <c r="T231" s="52">
        <f>IF('計算'!$C227="","",IF('計算'!$M227="","",'計算'!$BB227))</f>
        <v/>
      </c>
      <c r="U231" s="52">
        <f>IF('計算'!$C227="","",IF('計算'!$M227="","",'計算'!$BC227))</f>
        <v/>
      </c>
      <c r="V231" s="52">
        <f>IF('計算'!$C227="","",IF('計算'!$M227="","",'計算'!$BD227))</f>
        <v/>
      </c>
      <c r="W231" s="52">
        <f>IF('計算'!$C227="","",IF('計算'!$M227="","",'計算'!$BE227))</f>
        <v/>
      </c>
      <c r="X231" s="52">
        <f>IF('計算'!$C227="","",IF('計算'!$M227="","",'計算'!$BF227))</f>
        <v/>
      </c>
      <c r="Y231" s="52">
        <f>IF('計算'!$C227="","",IF('計算'!$M227="","",'計算'!$BG227))</f>
        <v/>
      </c>
      <c r="Z231" s="52">
        <f>IF('計算'!$C227="","",IF('計算'!$M227="","",'計算'!$BH227))</f>
        <v/>
      </c>
      <c r="AA231" s="52">
        <f>IF('計算'!$C227="","",IF('計算'!$M227="","",'計算'!$BI227))</f>
        <v/>
      </c>
      <c r="AB231" s="52">
        <f>IF('計算'!$C227="","",IF('計算'!$M227="","",'計算'!$BJ227))</f>
        <v/>
      </c>
      <c r="AC231" s="52">
        <f>IF('計算'!$C227="","",IF('計算'!$M227="","",'計算'!$BK227))</f>
        <v/>
      </c>
      <c r="AD231" s="53" t="n"/>
      <c r="AE231" s="48" t="n"/>
      <c r="AF231" s="54">
        <f>IF('計算'!$C227="","",'計算'!$C227)</f>
        <v/>
      </c>
      <c r="AG231" s="54">
        <f>IF('計算'!$C227="","",'計算'!$F227)</f>
        <v/>
      </c>
    </row>
    <row r="232" ht="18" customHeight="1">
      <c r="B232" s="42">
        <f>IF('計算'!$C228="","",'計算'!$B228)</f>
        <v/>
      </c>
      <c r="C232" s="43">
        <f>IF('計算'!$C228="","",'計算'!$D228)</f>
        <v/>
      </c>
      <c r="D232" s="44">
        <f>IF('計算'!$C228="","",'計算'!$O228)</f>
        <v/>
      </c>
      <c r="E232" s="45">
        <f>IF('計算'!$C228="","",'計算'!$L228)</f>
        <v/>
      </c>
      <c r="F232" s="46">
        <f>IF('計算'!$C228="","",'計算'!$CD228)</f>
        <v/>
      </c>
      <c r="G232" s="47">
        <f>IF('計算'!$C228="","",'計算'!$CA228)</f>
        <v/>
      </c>
      <c r="H232" s="43">
        <f>IF('計算'!$C228="","",'計算'!$CP228)</f>
        <v/>
      </c>
      <c r="I232" s="48" t="n"/>
      <c r="J232" s="49" t="n"/>
      <c r="K232" s="50">
        <f>IF('計算'!$C228="","",'計算'!$CR228)</f>
        <v/>
      </c>
      <c r="L232" s="51">
        <f>IF('計算'!$C228="","",'計算'!$CF228)</f>
        <v/>
      </c>
      <c r="M232" s="48" t="n"/>
      <c r="N232" s="49" t="n"/>
      <c r="O232" s="43">
        <f>IF('計算'!$C228="","",'計算'!$CQ228)</f>
        <v/>
      </c>
      <c r="P232" s="52">
        <f>IF('計算'!$C228="","",IF('計算'!$M228="","",'計算'!$AX228))</f>
        <v/>
      </c>
      <c r="Q232" s="52">
        <f>IF('計算'!$C228="","",IF('計算'!$M228="","",'計算'!$AY228))</f>
        <v/>
      </c>
      <c r="R232" s="52">
        <f>IF('計算'!$C228="","",IF('計算'!$M228="","",'計算'!$AZ228))</f>
        <v/>
      </c>
      <c r="S232" s="52">
        <f>IF('計算'!$C228="","",IF('計算'!$M228="","",'計算'!$BA228))</f>
        <v/>
      </c>
      <c r="T232" s="52">
        <f>IF('計算'!$C228="","",IF('計算'!$M228="","",'計算'!$BB228))</f>
        <v/>
      </c>
      <c r="U232" s="52">
        <f>IF('計算'!$C228="","",IF('計算'!$M228="","",'計算'!$BC228))</f>
        <v/>
      </c>
      <c r="V232" s="52">
        <f>IF('計算'!$C228="","",IF('計算'!$M228="","",'計算'!$BD228))</f>
        <v/>
      </c>
      <c r="W232" s="52">
        <f>IF('計算'!$C228="","",IF('計算'!$M228="","",'計算'!$BE228))</f>
        <v/>
      </c>
      <c r="X232" s="52">
        <f>IF('計算'!$C228="","",IF('計算'!$M228="","",'計算'!$BF228))</f>
        <v/>
      </c>
      <c r="Y232" s="52">
        <f>IF('計算'!$C228="","",IF('計算'!$M228="","",'計算'!$BG228))</f>
        <v/>
      </c>
      <c r="Z232" s="52">
        <f>IF('計算'!$C228="","",IF('計算'!$M228="","",'計算'!$BH228))</f>
        <v/>
      </c>
      <c r="AA232" s="52">
        <f>IF('計算'!$C228="","",IF('計算'!$M228="","",'計算'!$BI228))</f>
        <v/>
      </c>
      <c r="AB232" s="52">
        <f>IF('計算'!$C228="","",IF('計算'!$M228="","",'計算'!$BJ228))</f>
        <v/>
      </c>
      <c r="AC232" s="52">
        <f>IF('計算'!$C228="","",IF('計算'!$M228="","",'計算'!$BK228))</f>
        <v/>
      </c>
      <c r="AD232" s="53" t="n"/>
      <c r="AE232" s="48" t="n"/>
      <c r="AF232" s="54">
        <f>IF('計算'!$C228="","",'計算'!$C228)</f>
        <v/>
      </c>
      <c r="AG232" s="54">
        <f>IF('計算'!$C228="","",'計算'!$F228)</f>
        <v/>
      </c>
    </row>
    <row r="233" ht="18" customHeight="1">
      <c r="B233" s="42">
        <f>IF('計算'!$C229="","",'計算'!$B229)</f>
        <v/>
      </c>
      <c r="C233" s="43">
        <f>IF('計算'!$C229="","",'計算'!$D229)</f>
        <v/>
      </c>
      <c r="D233" s="44">
        <f>IF('計算'!$C229="","",'計算'!$O229)</f>
        <v/>
      </c>
      <c r="E233" s="45">
        <f>IF('計算'!$C229="","",'計算'!$L229)</f>
        <v/>
      </c>
      <c r="F233" s="46">
        <f>IF('計算'!$C229="","",'計算'!$CD229)</f>
        <v/>
      </c>
      <c r="G233" s="47">
        <f>IF('計算'!$C229="","",'計算'!$CA229)</f>
        <v/>
      </c>
      <c r="H233" s="43">
        <f>IF('計算'!$C229="","",'計算'!$CP229)</f>
        <v/>
      </c>
      <c r="I233" s="48" t="n"/>
      <c r="J233" s="49" t="n"/>
      <c r="K233" s="50">
        <f>IF('計算'!$C229="","",'計算'!$CR229)</f>
        <v/>
      </c>
      <c r="L233" s="51">
        <f>IF('計算'!$C229="","",'計算'!$CF229)</f>
        <v/>
      </c>
      <c r="M233" s="48" t="n"/>
      <c r="N233" s="49" t="n"/>
      <c r="O233" s="43">
        <f>IF('計算'!$C229="","",'計算'!$CQ229)</f>
        <v/>
      </c>
      <c r="P233" s="52">
        <f>IF('計算'!$C229="","",IF('計算'!$M229="","",'計算'!$AX229))</f>
        <v/>
      </c>
      <c r="Q233" s="52">
        <f>IF('計算'!$C229="","",IF('計算'!$M229="","",'計算'!$AY229))</f>
        <v/>
      </c>
      <c r="R233" s="52">
        <f>IF('計算'!$C229="","",IF('計算'!$M229="","",'計算'!$AZ229))</f>
        <v/>
      </c>
      <c r="S233" s="52">
        <f>IF('計算'!$C229="","",IF('計算'!$M229="","",'計算'!$BA229))</f>
        <v/>
      </c>
      <c r="T233" s="52">
        <f>IF('計算'!$C229="","",IF('計算'!$M229="","",'計算'!$BB229))</f>
        <v/>
      </c>
      <c r="U233" s="52">
        <f>IF('計算'!$C229="","",IF('計算'!$M229="","",'計算'!$BC229))</f>
        <v/>
      </c>
      <c r="V233" s="52">
        <f>IF('計算'!$C229="","",IF('計算'!$M229="","",'計算'!$BD229))</f>
        <v/>
      </c>
      <c r="W233" s="52">
        <f>IF('計算'!$C229="","",IF('計算'!$M229="","",'計算'!$BE229))</f>
        <v/>
      </c>
      <c r="X233" s="52">
        <f>IF('計算'!$C229="","",IF('計算'!$M229="","",'計算'!$BF229))</f>
        <v/>
      </c>
      <c r="Y233" s="52">
        <f>IF('計算'!$C229="","",IF('計算'!$M229="","",'計算'!$BG229))</f>
        <v/>
      </c>
      <c r="Z233" s="52">
        <f>IF('計算'!$C229="","",IF('計算'!$M229="","",'計算'!$BH229))</f>
        <v/>
      </c>
      <c r="AA233" s="52">
        <f>IF('計算'!$C229="","",IF('計算'!$M229="","",'計算'!$BI229))</f>
        <v/>
      </c>
      <c r="AB233" s="52">
        <f>IF('計算'!$C229="","",IF('計算'!$M229="","",'計算'!$BJ229))</f>
        <v/>
      </c>
      <c r="AC233" s="52">
        <f>IF('計算'!$C229="","",IF('計算'!$M229="","",'計算'!$BK229))</f>
        <v/>
      </c>
      <c r="AD233" s="53" t="n"/>
      <c r="AE233" s="48" t="n"/>
      <c r="AF233" s="54">
        <f>IF('計算'!$C229="","",'計算'!$C229)</f>
        <v/>
      </c>
      <c r="AG233" s="54">
        <f>IF('計算'!$C229="","",'計算'!$F229)</f>
        <v/>
      </c>
    </row>
    <row r="234" ht="18" customHeight="1">
      <c r="B234" s="42">
        <f>IF('計算'!$C230="","",'計算'!$B230)</f>
        <v/>
      </c>
      <c r="C234" s="43">
        <f>IF('計算'!$C230="","",'計算'!$D230)</f>
        <v/>
      </c>
      <c r="D234" s="44">
        <f>IF('計算'!$C230="","",'計算'!$O230)</f>
        <v/>
      </c>
      <c r="E234" s="45">
        <f>IF('計算'!$C230="","",'計算'!$L230)</f>
        <v/>
      </c>
      <c r="F234" s="46">
        <f>IF('計算'!$C230="","",'計算'!$CD230)</f>
        <v/>
      </c>
      <c r="G234" s="47">
        <f>IF('計算'!$C230="","",'計算'!$CA230)</f>
        <v/>
      </c>
      <c r="H234" s="43">
        <f>IF('計算'!$C230="","",'計算'!$CP230)</f>
        <v/>
      </c>
      <c r="I234" s="48" t="n"/>
      <c r="J234" s="49" t="n"/>
      <c r="K234" s="50">
        <f>IF('計算'!$C230="","",'計算'!$CR230)</f>
        <v/>
      </c>
      <c r="L234" s="51">
        <f>IF('計算'!$C230="","",'計算'!$CF230)</f>
        <v/>
      </c>
      <c r="M234" s="48" t="n"/>
      <c r="N234" s="49" t="n"/>
      <c r="O234" s="43">
        <f>IF('計算'!$C230="","",'計算'!$CQ230)</f>
        <v/>
      </c>
      <c r="P234" s="52">
        <f>IF('計算'!$C230="","",IF('計算'!$M230="","",'計算'!$AX230))</f>
        <v/>
      </c>
      <c r="Q234" s="52">
        <f>IF('計算'!$C230="","",IF('計算'!$M230="","",'計算'!$AY230))</f>
        <v/>
      </c>
      <c r="R234" s="52">
        <f>IF('計算'!$C230="","",IF('計算'!$M230="","",'計算'!$AZ230))</f>
        <v/>
      </c>
      <c r="S234" s="52">
        <f>IF('計算'!$C230="","",IF('計算'!$M230="","",'計算'!$BA230))</f>
        <v/>
      </c>
      <c r="T234" s="52">
        <f>IF('計算'!$C230="","",IF('計算'!$M230="","",'計算'!$BB230))</f>
        <v/>
      </c>
      <c r="U234" s="52">
        <f>IF('計算'!$C230="","",IF('計算'!$M230="","",'計算'!$BC230))</f>
        <v/>
      </c>
      <c r="V234" s="52">
        <f>IF('計算'!$C230="","",IF('計算'!$M230="","",'計算'!$BD230))</f>
        <v/>
      </c>
      <c r="W234" s="52">
        <f>IF('計算'!$C230="","",IF('計算'!$M230="","",'計算'!$BE230))</f>
        <v/>
      </c>
      <c r="X234" s="52">
        <f>IF('計算'!$C230="","",IF('計算'!$M230="","",'計算'!$BF230))</f>
        <v/>
      </c>
      <c r="Y234" s="52">
        <f>IF('計算'!$C230="","",IF('計算'!$M230="","",'計算'!$BG230))</f>
        <v/>
      </c>
      <c r="Z234" s="52">
        <f>IF('計算'!$C230="","",IF('計算'!$M230="","",'計算'!$BH230))</f>
        <v/>
      </c>
      <c r="AA234" s="52">
        <f>IF('計算'!$C230="","",IF('計算'!$M230="","",'計算'!$BI230))</f>
        <v/>
      </c>
      <c r="AB234" s="52">
        <f>IF('計算'!$C230="","",IF('計算'!$M230="","",'計算'!$BJ230))</f>
        <v/>
      </c>
      <c r="AC234" s="52">
        <f>IF('計算'!$C230="","",IF('計算'!$M230="","",'計算'!$BK230))</f>
        <v/>
      </c>
      <c r="AD234" s="53" t="n"/>
      <c r="AE234" s="48" t="n"/>
      <c r="AF234" s="54">
        <f>IF('計算'!$C230="","",'計算'!$C230)</f>
        <v/>
      </c>
      <c r="AG234" s="54">
        <f>IF('計算'!$C230="","",'計算'!$F230)</f>
        <v/>
      </c>
    </row>
    <row r="235" ht="18" customHeight="1">
      <c r="B235" s="42">
        <f>IF('計算'!$C231="","",'計算'!$B231)</f>
        <v/>
      </c>
      <c r="C235" s="43">
        <f>IF('計算'!$C231="","",'計算'!$D231)</f>
        <v/>
      </c>
      <c r="D235" s="44">
        <f>IF('計算'!$C231="","",'計算'!$O231)</f>
        <v/>
      </c>
      <c r="E235" s="45">
        <f>IF('計算'!$C231="","",'計算'!$L231)</f>
        <v/>
      </c>
      <c r="F235" s="46">
        <f>IF('計算'!$C231="","",'計算'!$CD231)</f>
        <v/>
      </c>
      <c r="G235" s="47">
        <f>IF('計算'!$C231="","",'計算'!$CA231)</f>
        <v/>
      </c>
      <c r="H235" s="43">
        <f>IF('計算'!$C231="","",'計算'!$CP231)</f>
        <v/>
      </c>
      <c r="I235" s="48" t="n"/>
      <c r="J235" s="49" t="n"/>
      <c r="K235" s="50">
        <f>IF('計算'!$C231="","",'計算'!$CR231)</f>
        <v/>
      </c>
      <c r="L235" s="51">
        <f>IF('計算'!$C231="","",'計算'!$CF231)</f>
        <v/>
      </c>
      <c r="M235" s="48" t="n"/>
      <c r="N235" s="49" t="n"/>
      <c r="O235" s="43">
        <f>IF('計算'!$C231="","",'計算'!$CQ231)</f>
        <v/>
      </c>
      <c r="P235" s="52">
        <f>IF('計算'!$C231="","",IF('計算'!$M231="","",'計算'!$AX231))</f>
        <v/>
      </c>
      <c r="Q235" s="52">
        <f>IF('計算'!$C231="","",IF('計算'!$M231="","",'計算'!$AY231))</f>
        <v/>
      </c>
      <c r="R235" s="52">
        <f>IF('計算'!$C231="","",IF('計算'!$M231="","",'計算'!$AZ231))</f>
        <v/>
      </c>
      <c r="S235" s="52">
        <f>IF('計算'!$C231="","",IF('計算'!$M231="","",'計算'!$BA231))</f>
        <v/>
      </c>
      <c r="T235" s="52">
        <f>IF('計算'!$C231="","",IF('計算'!$M231="","",'計算'!$BB231))</f>
        <v/>
      </c>
      <c r="U235" s="52">
        <f>IF('計算'!$C231="","",IF('計算'!$M231="","",'計算'!$BC231))</f>
        <v/>
      </c>
      <c r="V235" s="52">
        <f>IF('計算'!$C231="","",IF('計算'!$M231="","",'計算'!$BD231))</f>
        <v/>
      </c>
      <c r="W235" s="52">
        <f>IF('計算'!$C231="","",IF('計算'!$M231="","",'計算'!$BE231))</f>
        <v/>
      </c>
      <c r="X235" s="52">
        <f>IF('計算'!$C231="","",IF('計算'!$M231="","",'計算'!$BF231))</f>
        <v/>
      </c>
      <c r="Y235" s="52">
        <f>IF('計算'!$C231="","",IF('計算'!$M231="","",'計算'!$BG231))</f>
        <v/>
      </c>
      <c r="Z235" s="52">
        <f>IF('計算'!$C231="","",IF('計算'!$M231="","",'計算'!$BH231))</f>
        <v/>
      </c>
      <c r="AA235" s="52">
        <f>IF('計算'!$C231="","",IF('計算'!$M231="","",'計算'!$BI231))</f>
        <v/>
      </c>
      <c r="AB235" s="52">
        <f>IF('計算'!$C231="","",IF('計算'!$M231="","",'計算'!$BJ231))</f>
        <v/>
      </c>
      <c r="AC235" s="52">
        <f>IF('計算'!$C231="","",IF('計算'!$M231="","",'計算'!$BK231))</f>
        <v/>
      </c>
      <c r="AD235" s="53" t="n"/>
      <c r="AE235" s="48" t="n"/>
      <c r="AF235" s="54">
        <f>IF('計算'!$C231="","",'計算'!$C231)</f>
        <v/>
      </c>
      <c r="AG235" s="54">
        <f>IF('計算'!$C231="","",'計算'!$F231)</f>
        <v/>
      </c>
    </row>
    <row r="236" ht="18" customHeight="1">
      <c r="B236" s="42">
        <f>IF('計算'!$C232="","",'計算'!$B232)</f>
        <v/>
      </c>
      <c r="C236" s="43">
        <f>IF('計算'!$C232="","",'計算'!$D232)</f>
        <v/>
      </c>
      <c r="D236" s="44">
        <f>IF('計算'!$C232="","",'計算'!$O232)</f>
        <v/>
      </c>
      <c r="E236" s="45">
        <f>IF('計算'!$C232="","",'計算'!$L232)</f>
        <v/>
      </c>
      <c r="F236" s="46">
        <f>IF('計算'!$C232="","",'計算'!$CD232)</f>
        <v/>
      </c>
      <c r="G236" s="47">
        <f>IF('計算'!$C232="","",'計算'!$CA232)</f>
        <v/>
      </c>
      <c r="H236" s="43">
        <f>IF('計算'!$C232="","",'計算'!$CP232)</f>
        <v/>
      </c>
      <c r="I236" s="48" t="n"/>
      <c r="J236" s="49" t="n"/>
      <c r="K236" s="50">
        <f>IF('計算'!$C232="","",'計算'!$CR232)</f>
        <v/>
      </c>
      <c r="L236" s="51">
        <f>IF('計算'!$C232="","",'計算'!$CF232)</f>
        <v/>
      </c>
      <c r="M236" s="48" t="n"/>
      <c r="N236" s="49" t="n"/>
      <c r="O236" s="43">
        <f>IF('計算'!$C232="","",'計算'!$CQ232)</f>
        <v/>
      </c>
      <c r="P236" s="52">
        <f>IF('計算'!$C232="","",IF('計算'!$M232="","",'計算'!$AX232))</f>
        <v/>
      </c>
      <c r="Q236" s="52">
        <f>IF('計算'!$C232="","",IF('計算'!$M232="","",'計算'!$AY232))</f>
        <v/>
      </c>
      <c r="R236" s="52">
        <f>IF('計算'!$C232="","",IF('計算'!$M232="","",'計算'!$AZ232))</f>
        <v/>
      </c>
      <c r="S236" s="52">
        <f>IF('計算'!$C232="","",IF('計算'!$M232="","",'計算'!$BA232))</f>
        <v/>
      </c>
      <c r="T236" s="52">
        <f>IF('計算'!$C232="","",IF('計算'!$M232="","",'計算'!$BB232))</f>
        <v/>
      </c>
      <c r="U236" s="52">
        <f>IF('計算'!$C232="","",IF('計算'!$M232="","",'計算'!$BC232))</f>
        <v/>
      </c>
      <c r="V236" s="52">
        <f>IF('計算'!$C232="","",IF('計算'!$M232="","",'計算'!$BD232))</f>
        <v/>
      </c>
      <c r="W236" s="52">
        <f>IF('計算'!$C232="","",IF('計算'!$M232="","",'計算'!$BE232))</f>
        <v/>
      </c>
      <c r="X236" s="52">
        <f>IF('計算'!$C232="","",IF('計算'!$M232="","",'計算'!$BF232))</f>
        <v/>
      </c>
      <c r="Y236" s="52">
        <f>IF('計算'!$C232="","",IF('計算'!$M232="","",'計算'!$BG232))</f>
        <v/>
      </c>
      <c r="Z236" s="52">
        <f>IF('計算'!$C232="","",IF('計算'!$M232="","",'計算'!$BH232))</f>
        <v/>
      </c>
      <c r="AA236" s="52">
        <f>IF('計算'!$C232="","",IF('計算'!$M232="","",'計算'!$BI232))</f>
        <v/>
      </c>
      <c r="AB236" s="52">
        <f>IF('計算'!$C232="","",IF('計算'!$M232="","",'計算'!$BJ232))</f>
        <v/>
      </c>
      <c r="AC236" s="52">
        <f>IF('計算'!$C232="","",IF('計算'!$M232="","",'計算'!$BK232))</f>
        <v/>
      </c>
      <c r="AD236" s="53" t="n"/>
      <c r="AE236" s="48" t="n"/>
      <c r="AF236" s="54">
        <f>IF('計算'!$C232="","",'計算'!$C232)</f>
        <v/>
      </c>
      <c r="AG236" s="54">
        <f>IF('計算'!$C232="","",'計算'!$F232)</f>
        <v/>
      </c>
    </row>
    <row r="237" ht="18" customHeight="1">
      <c r="B237" s="42">
        <f>IF('計算'!$C233="","",'計算'!$B233)</f>
        <v/>
      </c>
      <c r="C237" s="43">
        <f>IF('計算'!$C233="","",'計算'!$D233)</f>
        <v/>
      </c>
      <c r="D237" s="44">
        <f>IF('計算'!$C233="","",'計算'!$O233)</f>
        <v/>
      </c>
      <c r="E237" s="45">
        <f>IF('計算'!$C233="","",'計算'!$L233)</f>
        <v/>
      </c>
      <c r="F237" s="46">
        <f>IF('計算'!$C233="","",'計算'!$CD233)</f>
        <v/>
      </c>
      <c r="G237" s="47">
        <f>IF('計算'!$C233="","",'計算'!$CA233)</f>
        <v/>
      </c>
      <c r="H237" s="43">
        <f>IF('計算'!$C233="","",'計算'!$CP233)</f>
        <v/>
      </c>
      <c r="I237" s="48" t="n"/>
      <c r="J237" s="49" t="n"/>
      <c r="K237" s="50">
        <f>IF('計算'!$C233="","",'計算'!$CR233)</f>
        <v/>
      </c>
      <c r="L237" s="51">
        <f>IF('計算'!$C233="","",'計算'!$CF233)</f>
        <v/>
      </c>
      <c r="M237" s="48" t="n"/>
      <c r="N237" s="49" t="n"/>
      <c r="O237" s="43">
        <f>IF('計算'!$C233="","",'計算'!$CQ233)</f>
        <v/>
      </c>
      <c r="P237" s="52">
        <f>IF('計算'!$C233="","",IF('計算'!$M233="","",'計算'!$AX233))</f>
        <v/>
      </c>
      <c r="Q237" s="52">
        <f>IF('計算'!$C233="","",IF('計算'!$M233="","",'計算'!$AY233))</f>
        <v/>
      </c>
      <c r="R237" s="52">
        <f>IF('計算'!$C233="","",IF('計算'!$M233="","",'計算'!$AZ233))</f>
        <v/>
      </c>
      <c r="S237" s="52">
        <f>IF('計算'!$C233="","",IF('計算'!$M233="","",'計算'!$BA233))</f>
        <v/>
      </c>
      <c r="T237" s="52">
        <f>IF('計算'!$C233="","",IF('計算'!$M233="","",'計算'!$BB233))</f>
        <v/>
      </c>
      <c r="U237" s="52">
        <f>IF('計算'!$C233="","",IF('計算'!$M233="","",'計算'!$BC233))</f>
        <v/>
      </c>
      <c r="V237" s="52">
        <f>IF('計算'!$C233="","",IF('計算'!$M233="","",'計算'!$BD233))</f>
        <v/>
      </c>
      <c r="W237" s="52">
        <f>IF('計算'!$C233="","",IF('計算'!$M233="","",'計算'!$BE233))</f>
        <v/>
      </c>
      <c r="X237" s="52">
        <f>IF('計算'!$C233="","",IF('計算'!$M233="","",'計算'!$BF233))</f>
        <v/>
      </c>
      <c r="Y237" s="52">
        <f>IF('計算'!$C233="","",IF('計算'!$M233="","",'計算'!$BG233))</f>
        <v/>
      </c>
      <c r="Z237" s="52">
        <f>IF('計算'!$C233="","",IF('計算'!$M233="","",'計算'!$BH233))</f>
        <v/>
      </c>
      <c r="AA237" s="52">
        <f>IF('計算'!$C233="","",IF('計算'!$M233="","",'計算'!$BI233))</f>
        <v/>
      </c>
      <c r="AB237" s="52">
        <f>IF('計算'!$C233="","",IF('計算'!$M233="","",'計算'!$BJ233))</f>
        <v/>
      </c>
      <c r="AC237" s="52">
        <f>IF('計算'!$C233="","",IF('計算'!$M233="","",'計算'!$BK233))</f>
        <v/>
      </c>
      <c r="AD237" s="53" t="n"/>
      <c r="AE237" s="48" t="n"/>
      <c r="AF237" s="54">
        <f>IF('計算'!$C233="","",'計算'!$C233)</f>
        <v/>
      </c>
      <c r="AG237" s="54">
        <f>IF('計算'!$C233="","",'計算'!$F233)</f>
        <v/>
      </c>
    </row>
    <row r="238" ht="18" customHeight="1">
      <c r="B238" s="42">
        <f>IF('計算'!$C234="","",'計算'!$B234)</f>
        <v/>
      </c>
      <c r="C238" s="43">
        <f>IF('計算'!$C234="","",'計算'!$D234)</f>
        <v/>
      </c>
      <c r="D238" s="44">
        <f>IF('計算'!$C234="","",'計算'!$O234)</f>
        <v/>
      </c>
      <c r="E238" s="45">
        <f>IF('計算'!$C234="","",'計算'!$L234)</f>
        <v/>
      </c>
      <c r="F238" s="46">
        <f>IF('計算'!$C234="","",'計算'!$CD234)</f>
        <v/>
      </c>
      <c r="G238" s="47">
        <f>IF('計算'!$C234="","",'計算'!$CA234)</f>
        <v/>
      </c>
      <c r="H238" s="43">
        <f>IF('計算'!$C234="","",'計算'!$CP234)</f>
        <v/>
      </c>
      <c r="I238" s="48" t="n"/>
      <c r="J238" s="49" t="n"/>
      <c r="K238" s="50">
        <f>IF('計算'!$C234="","",'計算'!$CR234)</f>
        <v/>
      </c>
      <c r="L238" s="51">
        <f>IF('計算'!$C234="","",'計算'!$CF234)</f>
        <v/>
      </c>
      <c r="M238" s="48" t="n"/>
      <c r="N238" s="49" t="n"/>
      <c r="O238" s="43">
        <f>IF('計算'!$C234="","",'計算'!$CQ234)</f>
        <v/>
      </c>
      <c r="P238" s="52">
        <f>IF('計算'!$C234="","",IF('計算'!$M234="","",'計算'!$AX234))</f>
        <v/>
      </c>
      <c r="Q238" s="52">
        <f>IF('計算'!$C234="","",IF('計算'!$M234="","",'計算'!$AY234))</f>
        <v/>
      </c>
      <c r="R238" s="52">
        <f>IF('計算'!$C234="","",IF('計算'!$M234="","",'計算'!$AZ234))</f>
        <v/>
      </c>
      <c r="S238" s="52">
        <f>IF('計算'!$C234="","",IF('計算'!$M234="","",'計算'!$BA234))</f>
        <v/>
      </c>
      <c r="T238" s="52">
        <f>IF('計算'!$C234="","",IF('計算'!$M234="","",'計算'!$BB234))</f>
        <v/>
      </c>
      <c r="U238" s="52">
        <f>IF('計算'!$C234="","",IF('計算'!$M234="","",'計算'!$BC234))</f>
        <v/>
      </c>
      <c r="V238" s="52">
        <f>IF('計算'!$C234="","",IF('計算'!$M234="","",'計算'!$BD234))</f>
        <v/>
      </c>
      <c r="W238" s="52">
        <f>IF('計算'!$C234="","",IF('計算'!$M234="","",'計算'!$BE234))</f>
        <v/>
      </c>
      <c r="X238" s="52">
        <f>IF('計算'!$C234="","",IF('計算'!$M234="","",'計算'!$BF234))</f>
        <v/>
      </c>
      <c r="Y238" s="52">
        <f>IF('計算'!$C234="","",IF('計算'!$M234="","",'計算'!$BG234))</f>
        <v/>
      </c>
      <c r="Z238" s="52">
        <f>IF('計算'!$C234="","",IF('計算'!$M234="","",'計算'!$BH234))</f>
        <v/>
      </c>
      <c r="AA238" s="52">
        <f>IF('計算'!$C234="","",IF('計算'!$M234="","",'計算'!$BI234))</f>
        <v/>
      </c>
      <c r="AB238" s="52">
        <f>IF('計算'!$C234="","",IF('計算'!$M234="","",'計算'!$BJ234))</f>
        <v/>
      </c>
      <c r="AC238" s="52">
        <f>IF('計算'!$C234="","",IF('計算'!$M234="","",'計算'!$BK234))</f>
        <v/>
      </c>
      <c r="AD238" s="53" t="n"/>
      <c r="AE238" s="48" t="n"/>
      <c r="AF238" s="54">
        <f>IF('計算'!$C234="","",'計算'!$C234)</f>
        <v/>
      </c>
      <c r="AG238" s="54">
        <f>IF('計算'!$C234="","",'計算'!$F234)</f>
        <v/>
      </c>
    </row>
    <row r="239" ht="18" customHeight="1">
      <c r="B239" s="42">
        <f>IF('計算'!$C235="","",'計算'!$B235)</f>
        <v/>
      </c>
      <c r="C239" s="43">
        <f>IF('計算'!$C235="","",'計算'!$D235)</f>
        <v/>
      </c>
      <c r="D239" s="44">
        <f>IF('計算'!$C235="","",'計算'!$O235)</f>
        <v/>
      </c>
      <c r="E239" s="45">
        <f>IF('計算'!$C235="","",'計算'!$L235)</f>
        <v/>
      </c>
      <c r="F239" s="46">
        <f>IF('計算'!$C235="","",'計算'!$CD235)</f>
        <v/>
      </c>
      <c r="G239" s="47">
        <f>IF('計算'!$C235="","",'計算'!$CA235)</f>
        <v/>
      </c>
      <c r="H239" s="43">
        <f>IF('計算'!$C235="","",'計算'!$CP235)</f>
        <v/>
      </c>
      <c r="I239" s="48" t="n"/>
      <c r="J239" s="49" t="n"/>
      <c r="K239" s="50">
        <f>IF('計算'!$C235="","",'計算'!$CR235)</f>
        <v/>
      </c>
      <c r="L239" s="51">
        <f>IF('計算'!$C235="","",'計算'!$CF235)</f>
        <v/>
      </c>
      <c r="M239" s="48" t="n"/>
      <c r="N239" s="49" t="n"/>
      <c r="O239" s="43">
        <f>IF('計算'!$C235="","",'計算'!$CQ235)</f>
        <v/>
      </c>
      <c r="P239" s="52">
        <f>IF('計算'!$C235="","",IF('計算'!$M235="","",'計算'!$AX235))</f>
        <v/>
      </c>
      <c r="Q239" s="52">
        <f>IF('計算'!$C235="","",IF('計算'!$M235="","",'計算'!$AY235))</f>
        <v/>
      </c>
      <c r="R239" s="52">
        <f>IF('計算'!$C235="","",IF('計算'!$M235="","",'計算'!$AZ235))</f>
        <v/>
      </c>
      <c r="S239" s="52">
        <f>IF('計算'!$C235="","",IF('計算'!$M235="","",'計算'!$BA235))</f>
        <v/>
      </c>
      <c r="T239" s="52">
        <f>IF('計算'!$C235="","",IF('計算'!$M235="","",'計算'!$BB235))</f>
        <v/>
      </c>
      <c r="U239" s="52">
        <f>IF('計算'!$C235="","",IF('計算'!$M235="","",'計算'!$BC235))</f>
        <v/>
      </c>
      <c r="V239" s="52">
        <f>IF('計算'!$C235="","",IF('計算'!$M235="","",'計算'!$BD235))</f>
        <v/>
      </c>
      <c r="W239" s="52">
        <f>IF('計算'!$C235="","",IF('計算'!$M235="","",'計算'!$BE235))</f>
        <v/>
      </c>
      <c r="X239" s="52">
        <f>IF('計算'!$C235="","",IF('計算'!$M235="","",'計算'!$BF235))</f>
        <v/>
      </c>
      <c r="Y239" s="52">
        <f>IF('計算'!$C235="","",IF('計算'!$M235="","",'計算'!$BG235))</f>
        <v/>
      </c>
      <c r="Z239" s="52">
        <f>IF('計算'!$C235="","",IF('計算'!$M235="","",'計算'!$BH235))</f>
        <v/>
      </c>
      <c r="AA239" s="52">
        <f>IF('計算'!$C235="","",IF('計算'!$M235="","",'計算'!$BI235))</f>
        <v/>
      </c>
      <c r="AB239" s="52">
        <f>IF('計算'!$C235="","",IF('計算'!$M235="","",'計算'!$BJ235))</f>
        <v/>
      </c>
      <c r="AC239" s="52">
        <f>IF('計算'!$C235="","",IF('計算'!$M235="","",'計算'!$BK235))</f>
        <v/>
      </c>
      <c r="AD239" s="53" t="n"/>
      <c r="AE239" s="48" t="n"/>
      <c r="AF239" s="54">
        <f>IF('計算'!$C235="","",'計算'!$C235)</f>
        <v/>
      </c>
      <c r="AG239" s="54">
        <f>IF('計算'!$C235="","",'計算'!$F235)</f>
        <v/>
      </c>
    </row>
    <row r="240" ht="18" customHeight="1">
      <c r="B240" s="42">
        <f>IF('計算'!$C236="","",'計算'!$B236)</f>
        <v/>
      </c>
      <c r="C240" s="43">
        <f>IF('計算'!$C236="","",'計算'!$D236)</f>
        <v/>
      </c>
      <c r="D240" s="44">
        <f>IF('計算'!$C236="","",'計算'!$O236)</f>
        <v/>
      </c>
      <c r="E240" s="45">
        <f>IF('計算'!$C236="","",'計算'!$L236)</f>
        <v/>
      </c>
      <c r="F240" s="46">
        <f>IF('計算'!$C236="","",'計算'!$CD236)</f>
        <v/>
      </c>
      <c r="G240" s="47">
        <f>IF('計算'!$C236="","",'計算'!$CA236)</f>
        <v/>
      </c>
      <c r="H240" s="43">
        <f>IF('計算'!$C236="","",'計算'!$CP236)</f>
        <v/>
      </c>
      <c r="I240" s="48" t="n"/>
      <c r="J240" s="49" t="n"/>
      <c r="K240" s="50">
        <f>IF('計算'!$C236="","",'計算'!$CR236)</f>
        <v/>
      </c>
      <c r="L240" s="51">
        <f>IF('計算'!$C236="","",'計算'!$CF236)</f>
        <v/>
      </c>
      <c r="M240" s="48" t="n"/>
      <c r="N240" s="49" t="n"/>
      <c r="O240" s="43">
        <f>IF('計算'!$C236="","",'計算'!$CQ236)</f>
        <v/>
      </c>
      <c r="P240" s="52">
        <f>IF('計算'!$C236="","",IF('計算'!$M236="","",'計算'!$AX236))</f>
        <v/>
      </c>
      <c r="Q240" s="52">
        <f>IF('計算'!$C236="","",IF('計算'!$M236="","",'計算'!$AY236))</f>
        <v/>
      </c>
      <c r="R240" s="52">
        <f>IF('計算'!$C236="","",IF('計算'!$M236="","",'計算'!$AZ236))</f>
        <v/>
      </c>
      <c r="S240" s="52">
        <f>IF('計算'!$C236="","",IF('計算'!$M236="","",'計算'!$BA236))</f>
        <v/>
      </c>
      <c r="T240" s="52">
        <f>IF('計算'!$C236="","",IF('計算'!$M236="","",'計算'!$BB236))</f>
        <v/>
      </c>
      <c r="U240" s="52">
        <f>IF('計算'!$C236="","",IF('計算'!$M236="","",'計算'!$BC236))</f>
        <v/>
      </c>
      <c r="V240" s="52">
        <f>IF('計算'!$C236="","",IF('計算'!$M236="","",'計算'!$BD236))</f>
        <v/>
      </c>
      <c r="W240" s="52">
        <f>IF('計算'!$C236="","",IF('計算'!$M236="","",'計算'!$BE236))</f>
        <v/>
      </c>
      <c r="X240" s="52">
        <f>IF('計算'!$C236="","",IF('計算'!$M236="","",'計算'!$BF236))</f>
        <v/>
      </c>
      <c r="Y240" s="52">
        <f>IF('計算'!$C236="","",IF('計算'!$M236="","",'計算'!$BG236))</f>
        <v/>
      </c>
      <c r="Z240" s="52">
        <f>IF('計算'!$C236="","",IF('計算'!$M236="","",'計算'!$BH236))</f>
        <v/>
      </c>
      <c r="AA240" s="52">
        <f>IF('計算'!$C236="","",IF('計算'!$M236="","",'計算'!$BI236))</f>
        <v/>
      </c>
      <c r="AB240" s="52">
        <f>IF('計算'!$C236="","",IF('計算'!$M236="","",'計算'!$BJ236))</f>
        <v/>
      </c>
      <c r="AC240" s="52">
        <f>IF('計算'!$C236="","",IF('計算'!$M236="","",'計算'!$BK236))</f>
        <v/>
      </c>
      <c r="AD240" s="53" t="n"/>
      <c r="AE240" s="48" t="n"/>
      <c r="AF240" s="54">
        <f>IF('計算'!$C236="","",'計算'!$C236)</f>
        <v/>
      </c>
      <c r="AG240" s="54">
        <f>IF('計算'!$C236="","",'計算'!$F236)</f>
        <v/>
      </c>
    </row>
    <row r="241" ht="18" customHeight="1">
      <c r="B241" s="42">
        <f>IF('計算'!$C237="","",'計算'!$B237)</f>
        <v/>
      </c>
      <c r="C241" s="43">
        <f>IF('計算'!$C237="","",'計算'!$D237)</f>
        <v/>
      </c>
      <c r="D241" s="44">
        <f>IF('計算'!$C237="","",'計算'!$O237)</f>
        <v/>
      </c>
      <c r="E241" s="45">
        <f>IF('計算'!$C237="","",'計算'!$L237)</f>
        <v/>
      </c>
      <c r="F241" s="46">
        <f>IF('計算'!$C237="","",'計算'!$CD237)</f>
        <v/>
      </c>
      <c r="G241" s="47">
        <f>IF('計算'!$C237="","",'計算'!$CA237)</f>
        <v/>
      </c>
      <c r="H241" s="43">
        <f>IF('計算'!$C237="","",'計算'!$CP237)</f>
        <v/>
      </c>
      <c r="I241" s="48" t="n"/>
      <c r="J241" s="49" t="n"/>
      <c r="K241" s="50">
        <f>IF('計算'!$C237="","",'計算'!$CR237)</f>
        <v/>
      </c>
      <c r="L241" s="51">
        <f>IF('計算'!$C237="","",'計算'!$CF237)</f>
        <v/>
      </c>
      <c r="M241" s="48" t="n"/>
      <c r="N241" s="49" t="n"/>
      <c r="O241" s="43">
        <f>IF('計算'!$C237="","",'計算'!$CQ237)</f>
        <v/>
      </c>
      <c r="P241" s="52">
        <f>IF('計算'!$C237="","",IF('計算'!$M237="","",'計算'!$AX237))</f>
        <v/>
      </c>
      <c r="Q241" s="52">
        <f>IF('計算'!$C237="","",IF('計算'!$M237="","",'計算'!$AY237))</f>
        <v/>
      </c>
      <c r="R241" s="52">
        <f>IF('計算'!$C237="","",IF('計算'!$M237="","",'計算'!$AZ237))</f>
        <v/>
      </c>
      <c r="S241" s="52">
        <f>IF('計算'!$C237="","",IF('計算'!$M237="","",'計算'!$BA237))</f>
        <v/>
      </c>
      <c r="T241" s="52">
        <f>IF('計算'!$C237="","",IF('計算'!$M237="","",'計算'!$BB237))</f>
        <v/>
      </c>
      <c r="U241" s="52">
        <f>IF('計算'!$C237="","",IF('計算'!$M237="","",'計算'!$BC237))</f>
        <v/>
      </c>
      <c r="V241" s="52">
        <f>IF('計算'!$C237="","",IF('計算'!$M237="","",'計算'!$BD237))</f>
        <v/>
      </c>
      <c r="W241" s="52">
        <f>IF('計算'!$C237="","",IF('計算'!$M237="","",'計算'!$BE237))</f>
        <v/>
      </c>
      <c r="X241" s="52">
        <f>IF('計算'!$C237="","",IF('計算'!$M237="","",'計算'!$BF237))</f>
        <v/>
      </c>
      <c r="Y241" s="52">
        <f>IF('計算'!$C237="","",IF('計算'!$M237="","",'計算'!$BG237))</f>
        <v/>
      </c>
      <c r="Z241" s="52">
        <f>IF('計算'!$C237="","",IF('計算'!$M237="","",'計算'!$BH237))</f>
        <v/>
      </c>
      <c r="AA241" s="52">
        <f>IF('計算'!$C237="","",IF('計算'!$M237="","",'計算'!$BI237))</f>
        <v/>
      </c>
      <c r="AB241" s="52">
        <f>IF('計算'!$C237="","",IF('計算'!$M237="","",'計算'!$BJ237))</f>
        <v/>
      </c>
      <c r="AC241" s="52">
        <f>IF('計算'!$C237="","",IF('計算'!$M237="","",'計算'!$BK237))</f>
        <v/>
      </c>
      <c r="AD241" s="53" t="n"/>
      <c r="AE241" s="48" t="n"/>
      <c r="AF241" s="54">
        <f>IF('計算'!$C237="","",'計算'!$C237)</f>
        <v/>
      </c>
      <c r="AG241" s="54">
        <f>IF('計算'!$C237="","",'計算'!$F237)</f>
        <v/>
      </c>
    </row>
    <row r="242" ht="18" customHeight="1">
      <c r="B242" s="42">
        <f>IF('計算'!$C238="","",'計算'!$B238)</f>
        <v/>
      </c>
      <c r="C242" s="43">
        <f>IF('計算'!$C238="","",'計算'!$D238)</f>
        <v/>
      </c>
      <c r="D242" s="44">
        <f>IF('計算'!$C238="","",'計算'!$O238)</f>
        <v/>
      </c>
      <c r="E242" s="45">
        <f>IF('計算'!$C238="","",'計算'!$L238)</f>
        <v/>
      </c>
      <c r="F242" s="46">
        <f>IF('計算'!$C238="","",'計算'!$CD238)</f>
        <v/>
      </c>
      <c r="G242" s="47">
        <f>IF('計算'!$C238="","",'計算'!$CA238)</f>
        <v/>
      </c>
      <c r="H242" s="43">
        <f>IF('計算'!$C238="","",'計算'!$CP238)</f>
        <v/>
      </c>
      <c r="I242" s="48" t="n"/>
      <c r="J242" s="49" t="n"/>
      <c r="K242" s="50">
        <f>IF('計算'!$C238="","",'計算'!$CR238)</f>
        <v/>
      </c>
      <c r="L242" s="51">
        <f>IF('計算'!$C238="","",'計算'!$CF238)</f>
        <v/>
      </c>
      <c r="M242" s="48" t="n"/>
      <c r="N242" s="49" t="n"/>
      <c r="O242" s="43">
        <f>IF('計算'!$C238="","",'計算'!$CQ238)</f>
        <v/>
      </c>
      <c r="P242" s="52">
        <f>IF('計算'!$C238="","",IF('計算'!$M238="","",'計算'!$AX238))</f>
        <v/>
      </c>
      <c r="Q242" s="52">
        <f>IF('計算'!$C238="","",IF('計算'!$M238="","",'計算'!$AY238))</f>
        <v/>
      </c>
      <c r="R242" s="52">
        <f>IF('計算'!$C238="","",IF('計算'!$M238="","",'計算'!$AZ238))</f>
        <v/>
      </c>
      <c r="S242" s="52">
        <f>IF('計算'!$C238="","",IF('計算'!$M238="","",'計算'!$BA238))</f>
        <v/>
      </c>
      <c r="T242" s="52">
        <f>IF('計算'!$C238="","",IF('計算'!$M238="","",'計算'!$BB238))</f>
        <v/>
      </c>
      <c r="U242" s="52">
        <f>IF('計算'!$C238="","",IF('計算'!$M238="","",'計算'!$BC238))</f>
        <v/>
      </c>
      <c r="V242" s="52">
        <f>IF('計算'!$C238="","",IF('計算'!$M238="","",'計算'!$BD238))</f>
        <v/>
      </c>
      <c r="W242" s="52">
        <f>IF('計算'!$C238="","",IF('計算'!$M238="","",'計算'!$BE238))</f>
        <v/>
      </c>
      <c r="X242" s="52">
        <f>IF('計算'!$C238="","",IF('計算'!$M238="","",'計算'!$BF238))</f>
        <v/>
      </c>
      <c r="Y242" s="52">
        <f>IF('計算'!$C238="","",IF('計算'!$M238="","",'計算'!$BG238))</f>
        <v/>
      </c>
      <c r="Z242" s="52">
        <f>IF('計算'!$C238="","",IF('計算'!$M238="","",'計算'!$BH238))</f>
        <v/>
      </c>
      <c r="AA242" s="52">
        <f>IF('計算'!$C238="","",IF('計算'!$M238="","",'計算'!$BI238))</f>
        <v/>
      </c>
      <c r="AB242" s="52">
        <f>IF('計算'!$C238="","",IF('計算'!$M238="","",'計算'!$BJ238))</f>
        <v/>
      </c>
      <c r="AC242" s="52">
        <f>IF('計算'!$C238="","",IF('計算'!$M238="","",'計算'!$BK238))</f>
        <v/>
      </c>
      <c r="AD242" s="53" t="n"/>
      <c r="AE242" s="48" t="n"/>
      <c r="AF242" s="54">
        <f>IF('計算'!$C238="","",'計算'!$C238)</f>
        <v/>
      </c>
      <c r="AG242" s="54">
        <f>IF('計算'!$C238="","",'計算'!$F238)</f>
        <v/>
      </c>
    </row>
    <row r="243" ht="18" customHeight="1">
      <c r="B243" s="42">
        <f>IF('計算'!$C239="","",'計算'!$B239)</f>
        <v/>
      </c>
      <c r="C243" s="43">
        <f>IF('計算'!$C239="","",'計算'!$D239)</f>
        <v/>
      </c>
      <c r="D243" s="44">
        <f>IF('計算'!$C239="","",'計算'!$O239)</f>
        <v/>
      </c>
      <c r="E243" s="45">
        <f>IF('計算'!$C239="","",'計算'!$L239)</f>
        <v/>
      </c>
      <c r="F243" s="46">
        <f>IF('計算'!$C239="","",'計算'!$CD239)</f>
        <v/>
      </c>
      <c r="G243" s="47">
        <f>IF('計算'!$C239="","",'計算'!$CA239)</f>
        <v/>
      </c>
      <c r="H243" s="43">
        <f>IF('計算'!$C239="","",'計算'!$CP239)</f>
        <v/>
      </c>
      <c r="I243" s="48" t="n"/>
      <c r="J243" s="49" t="n"/>
      <c r="K243" s="50">
        <f>IF('計算'!$C239="","",'計算'!$CR239)</f>
        <v/>
      </c>
      <c r="L243" s="51">
        <f>IF('計算'!$C239="","",'計算'!$CF239)</f>
        <v/>
      </c>
      <c r="M243" s="48" t="n"/>
      <c r="N243" s="49" t="n"/>
      <c r="O243" s="43">
        <f>IF('計算'!$C239="","",'計算'!$CQ239)</f>
        <v/>
      </c>
      <c r="P243" s="52">
        <f>IF('計算'!$C239="","",IF('計算'!$M239="","",'計算'!$AX239))</f>
        <v/>
      </c>
      <c r="Q243" s="52">
        <f>IF('計算'!$C239="","",IF('計算'!$M239="","",'計算'!$AY239))</f>
        <v/>
      </c>
      <c r="R243" s="52">
        <f>IF('計算'!$C239="","",IF('計算'!$M239="","",'計算'!$AZ239))</f>
        <v/>
      </c>
      <c r="S243" s="52">
        <f>IF('計算'!$C239="","",IF('計算'!$M239="","",'計算'!$BA239))</f>
        <v/>
      </c>
      <c r="T243" s="52">
        <f>IF('計算'!$C239="","",IF('計算'!$M239="","",'計算'!$BB239))</f>
        <v/>
      </c>
      <c r="U243" s="52">
        <f>IF('計算'!$C239="","",IF('計算'!$M239="","",'計算'!$BC239))</f>
        <v/>
      </c>
      <c r="V243" s="52">
        <f>IF('計算'!$C239="","",IF('計算'!$M239="","",'計算'!$BD239))</f>
        <v/>
      </c>
      <c r="W243" s="52">
        <f>IF('計算'!$C239="","",IF('計算'!$M239="","",'計算'!$BE239))</f>
        <v/>
      </c>
      <c r="X243" s="52">
        <f>IF('計算'!$C239="","",IF('計算'!$M239="","",'計算'!$BF239))</f>
        <v/>
      </c>
      <c r="Y243" s="52">
        <f>IF('計算'!$C239="","",IF('計算'!$M239="","",'計算'!$BG239))</f>
        <v/>
      </c>
      <c r="Z243" s="52">
        <f>IF('計算'!$C239="","",IF('計算'!$M239="","",'計算'!$BH239))</f>
        <v/>
      </c>
      <c r="AA243" s="52">
        <f>IF('計算'!$C239="","",IF('計算'!$M239="","",'計算'!$BI239))</f>
        <v/>
      </c>
      <c r="AB243" s="52">
        <f>IF('計算'!$C239="","",IF('計算'!$M239="","",'計算'!$BJ239))</f>
        <v/>
      </c>
      <c r="AC243" s="52">
        <f>IF('計算'!$C239="","",IF('計算'!$M239="","",'計算'!$BK239))</f>
        <v/>
      </c>
      <c r="AD243" s="53" t="n"/>
      <c r="AE243" s="48" t="n"/>
      <c r="AF243" s="54">
        <f>IF('計算'!$C239="","",'計算'!$C239)</f>
        <v/>
      </c>
      <c r="AG243" s="54">
        <f>IF('計算'!$C239="","",'計算'!$F239)</f>
        <v/>
      </c>
    </row>
    <row r="244" ht="18" customHeight="1">
      <c r="B244" s="42">
        <f>IF('計算'!$C240="","",'計算'!$B240)</f>
        <v/>
      </c>
      <c r="C244" s="43">
        <f>IF('計算'!$C240="","",'計算'!$D240)</f>
        <v/>
      </c>
      <c r="D244" s="44">
        <f>IF('計算'!$C240="","",'計算'!$O240)</f>
        <v/>
      </c>
      <c r="E244" s="45">
        <f>IF('計算'!$C240="","",'計算'!$L240)</f>
        <v/>
      </c>
      <c r="F244" s="46">
        <f>IF('計算'!$C240="","",'計算'!$CD240)</f>
        <v/>
      </c>
      <c r="G244" s="47">
        <f>IF('計算'!$C240="","",'計算'!$CA240)</f>
        <v/>
      </c>
      <c r="H244" s="43">
        <f>IF('計算'!$C240="","",'計算'!$CP240)</f>
        <v/>
      </c>
      <c r="I244" s="48" t="n"/>
      <c r="J244" s="49" t="n"/>
      <c r="K244" s="50">
        <f>IF('計算'!$C240="","",'計算'!$CR240)</f>
        <v/>
      </c>
      <c r="L244" s="51">
        <f>IF('計算'!$C240="","",'計算'!$CF240)</f>
        <v/>
      </c>
      <c r="M244" s="48" t="n"/>
      <c r="N244" s="49" t="n"/>
      <c r="O244" s="43">
        <f>IF('計算'!$C240="","",'計算'!$CQ240)</f>
        <v/>
      </c>
      <c r="P244" s="52">
        <f>IF('計算'!$C240="","",IF('計算'!$M240="","",'計算'!$AX240))</f>
        <v/>
      </c>
      <c r="Q244" s="52">
        <f>IF('計算'!$C240="","",IF('計算'!$M240="","",'計算'!$AY240))</f>
        <v/>
      </c>
      <c r="R244" s="52">
        <f>IF('計算'!$C240="","",IF('計算'!$M240="","",'計算'!$AZ240))</f>
        <v/>
      </c>
      <c r="S244" s="52">
        <f>IF('計算'!$C240="","",IF('計算'!$M240="","",'計算'!$BA240))</f>
        <v/>
      </c>
      <c r="T244" s="52">
        <f>IF('計算'!$C240="","",IF('計算'!$M240="","",'計算'!$BB240))</f>
        <v/>
      </c>
      <c r="U244" s="52">
        <f>IF('計算'!$C240="","",IF('計算'!$M240="","",'計算'!$BC240))</f>
        <v/>
      </c>
      <c r="V244" s="52">
        <f>IF('計算'!$C240="","",IF('計算'!$M240="","",'計算'!$BD240))</f>
        <v/>
      </c>
      <c r="W244" s="52">
        <f>IF('計算'!$C240="","",IF('計算'!$M240="","",'計算'!$BE240))</f>
        <v/>
      </c>
      <c r="X244" s="52">
        <f>IF('計算'!$C240="","",IF('計算'!$M240="","",'計算'!$BF240))</f>
        <v/>
      </c>
      <c r="Y244" s="52">
        <f>IF('計算'!$C240="","",IF('計算'!$M240="","",'計算'!$BG240))</f>
        <v/>
      </c>
      <c r="Z244" s="52">
        <f>IF('計算'!$C240="","",IF('計算'!$M240="","",'計算'!$BH240))</f>
        <v/>
      </c>
      <c r="AA244" s="52">
        <f>IF('計算'!$C240="","",IF('計算'!$M240="","",'計算'!$BI240))</f>
        <v/>
      </c>
      <c r="AB244" s="52">
        <f>IF('計算'!$C240="","",IF('計算'!$M240="","",'計算'!$BJ240))</f>
        <v/>
      </c>
      <c r="AC244" s="52">
        <f>IF('計算'!$C240="","",IF('計算'!$M240="","",'計算'!$BK240))</f>
        <v/>
      </c>
      <c r="AD244" s="53" t="n"/>
      <c r="AE244" s="48" t="n"/>
      <c r="AF244" s="54">
        <f>IF('計算'!$C240="","",'計算'!$C240)</f>
        <v/>
      </c>
      <c r="AG244" s="54">
        <f>IF('計算'!$C240="","",'計算'!$F240)</f>
        <v/>
      </c>
    </row>
    <row r="245" ht="18" customHeight="1">
      <c r="B245" s="42">
        <f>IF('計算'!$C241="","",'計算'!$B241)</f>
        <v/>
      </c>
      <c r="C245" s="43">
        <f>IF('計算'!$C241="","",'計算'!$D241)</f>
        <v/>
      </c>
      <c r="D245" s="44">
        <f>IF('計算'!$C241="","",'計算'!$O241)</f>
        <v/>
      </c>
      <c r="E245" s="45">
        <f>IF('計算'!$C241="","",'計算'!$L241)</f>
        <v/>
      </c>
      <c r="F245" s="46">
        <f>IF('計算'!$C241="","",'計算'!$CD241)</f>
        <v/>
      </c>
      <c r="G245" s="47">
        <f>IF('計算'!$C241="","",'計算'!$CA241)</f>
        <v/>
      </c>
      <c r="H245" s="43">
        <f>IF('計算'!$C241="","",'計算'!$CP241)</f>
        <v/>
      </c>
      <c r="I245" s="48" t="n"/>
      <c r="J245" s="49" t="n"/>
      <c r="K245" s="50">
        <f>IF('計算'!$C241="","",'計算'!$CR241)</f>
        <v/>
      </c>
      <c r="L245" s="51">
        <f>IF('計算'!$C241="","",'計算'!$CF241)</f>
        <v/>
      </c>
      <c r="M245" s="48" t="n"/>
      <c r="N245" s="49" t="n"/>
      <c r="O245" s="43">
        <f>IF('計算'!$C241="","",'計算'!$CQ241)</f>
        <v/>
      </c>
      <c r="P245" s="52">
        <f>IF('計算'!$C241="","",IF('計算'!$M241="","",'計算'!$AX241))</f>
        <v/>
      </c>
      <c r="Q245" s="52">
        <f>IF('計算'!$C241="","",IF('計算'!$M241="","",'計算'!$AY241))</f>
        <v/>
      </c>
      <c r="R245" s="52">
        <f>IF('計算'!$C241="","",IF('計算'!$M241="","",'計算'!$AZ241))</f>
        <v/>
      </c>
      <c r="S245" s="52">
        <f>IF('計算'!$C241="","",IF('計算'!$M241="","",'計算'!$BA241))</f>
        <v/>
      </c>
      <c r="T245" s="52">
        <f>IF('計算'!$C241="","",IF('計算'!$M241="","",'計算'!$BB241))</f>
        <v/>
      </c>
      <c r="U245" s="52">
        <f>IF('計算'!$C241="","",IF('計算'!$M241="","",'計算'!$BC241))</f>
        <v/>
      </c>
      <c r="V245" s="52">
        <f>IF('計算'!$C241="","",IF('計算'!$M241="","",'計算'!$BD241))</f>
        <v/>
      </c>
      <c r="W245" s="52">
        <f>IF('計算'!$C241="","",IF('計算'!$M241="","",'計算'!$BE241))</f>
        <v/>
      </c>
      <c r="X245" s="52">
        <f>IF('計算'!$C241="","",IF('計算'!$M241="","",'計算'!$BF241))</f>
        <v/>
      </c>
      <c r="Y245" s="52">
        <f>IF('計算'!$C241="","",IF('計算'!$M241="","",'計算'!$BG241))</f>
        <v/>
      </c>
      <c r="Z245" s="52">
        <f>IF('計算'!$C241="","",IF('計算'!$M241="","",'計算'!$BH241))</f>
        <v/>
      </c>
      <c r="AA245" s="52">
        <f>IF('計算'!$C241="","",IF('計算'!$M241="","",'計算'!$BI241))</f>
        <v/>
      </c>
      <c r="AB245" s="52">
        <f>IF('計算'!$C241="","",IF('計算'!$M241="","",'計算'!$BJ241))</f>
        <v/>
      </c>
      <c r="AC245" s="52">
        <f>IF('計算'!$C241="","",IF('計算'!$M241="","",'計算'!$BK241))</f>
        <v/>
      </c>
      <c r="AD245" s="53" t="n"/>
      <c r="AE245" s="48" t="n"/>
      <c r="AF245" s="54">
        <f>IF('計算'!$C241="","",'計算'!$C241)</f>
        <v/>
      </c>
      <c r="AG245" s="54">
        <f>IF('計算'!$C241="","",'計算'!$F241)</f>
        <v/>
      </c>
    </row>
    <row r="246" ht="18" customHeight="1">
      <c r="B246" s="42">
        <f>IF('計算'!$C242="","",'計算'!$B242)</f>
        <v/>
      </c>
      <c r="C246" s="43">
        <f>IF('計算'!$C242="","",'計算'!$D242)</f>
        <v/>
      </c>
      <c r="D246" s="44">
        <f>IF('計算'!$C242="","",'計算'!$O242)</f>
        <v/>
      </c>
      <c r="E246" s="45">
        <f>IF('計算'!$C242="","",'計算'!$L242)</f>
        <v/>
      </c>
      <c r="F246" s="46">
        <f>IF('計算'!$C242="","",'計算'!$CD242)</f>
        <v/>
      </c>
      <c r="G246" s="47">
        <f>IF('計算'!$C242="","",'計算'!$CA242)</f>
        <v/>
      </c>
      <c r="H246" s="43">
        <f>IF('計算'!$C242="","",'計算'!$CP242)</f>
        <v/>
      </c>
      <c r="I246" s="48" t="n"/>
      <c r="J246" s="49" t="n"/>
      <c r="K246" s="50">
        <f>IF('計算'!$C242="","",'計算'!$CR242)</f>
        <v/>
      </c>
      <c r="L246" s="51">
        <f>IF('計算'!$C242="","",'計算'!$CF242)</f>
        <v/>
      </c>
      <c r="M246" s="48" t="n"/>
      <c r="N246" s="49" t="n"/>
      <c r="O246" s="43">
        <f>IF('計算'!$C242="","",'計算'!$CQ242)</f>
        <v/>
      </c>
      <c r="P246" s="52">
        <f>IF('計算'!$C242="","",IF('計算'!$M242="","",'計算'!$AX242))</f>
        <v/>
      </c>
      <c r="Q246" s="52">
        <f>IF('計算'!$C242="","",IF('計算'!$M242="","",'計算'!$AY242))</f>
        <v/>
      </c>
      <c r="R246" s="52">
        <f>IF('計算'!$C242="","",IF('計算'!$M242="","",'計算'!$AZ242))</f>
        <v/>
      </c>
      <c r="S246" s="52">
        <f>IF('計算'!$C242="","",IF('計算'!$M242="","",'計算'!$BA242))</f>
        <v/>
      </c>
      <c r="T246" s="52">
        <f>IF('計算'!$C242="","",IF('計算'!$M242="","",'計算'!$BB242))</f>
        <v/>
      </c>
      <c r="U246" s="52">
        <f>IF('計算'!$C242="","",IF('計算'!$M242="","",'計算'!$BC242))</f>
        <v/>
      </c>
      <c r="V246" s="52">
        <f>IF('計算'!$C242="","",IF('計算'!$M242="","",'計算'!$BD242))</f>
        <v/>
      </c>
      <c r="W246" s="52">
        <f>IF('計算'!$C242="","",IF('計算'!$M242="","",'計算'!$BE242))</f>
        <v/>
      </c>
      <c r="X246" s="52">
        <f>IF('計算'!$C242="","",IF('計算'!$M242="","",'計算'!$BF242))</f>
        <v/>
      </c>
      <c r="Y246" s="52">
        <f>IF('計算'!$C242="","",IF('計算'!$M242="","",'計算'!$BG242))</f>
        <v/>
      </c>
      <c r="Z246" s="52">
        <f>IF('計算'!$C242="","",IF('計算'!$M242="","",'計算'!$BH242))</f>
        <v/>
      </c>
      <c r="AA246" s="52">
        <f>IF('計算'!$C242="","",IF('計算'!$M242="","",'計算'!$BI242))</f>
        <v/>
      </c>
      <c r="AB246" s="52">
        <f>IF('計算'!$C242="","",IF('計算'!$M242="","",'計算'!$BJ242))</f>
        <v/>
      </c>
      <c r="AC246" s="52">
        <f>IF('計算'!$C242="","",IF('計算'!$M242="","",'計算'!$BK242))</f>
        <v/>
      </c>
      <c r="AD246" s="53" t="n"/>
      <c r="AE246" s="48" t="n"/>
      <c r="AF246" s="54">
        <f>IF('計算'!$C242="","",'計算'!$C242)</f>
        <v/>
      </c>
      <c r="AG246" s="54">
        <f>IF('計算'!$C242="","",'計算'!$F242)</f>
        <v/>
      </c>
    </row>
    <row r="247" ht="18" customHeight="1">
      <c r="B247" s="42">
        <f>IF('計算'!$C243="","",'計算'!$B243)</f>
        <v/>
      </c>
      <c r="C247" s="43">
        <f>IF('計算'!$C243="","",'計算'!$D243)</f>
        <v/>
      </c>
      <c r="D247" s="44">
        <f>IF('計算'!$C243="","",'計算'!$O243)</f>
        <v/>
      </c>
      <c r="E247" s="45">
        <f>IF('計算'!$C243="","",'計算'!$L243)</f>
        <v/>
      </c>
      <c r="F247" s="46">
        <f>IF('計算'!$C243="","",'計算'!$CD243)</f>
        <v/>
      </c>
      <c r="G247" s="47">
        <f>IF('計算'!$C243="","",'計算'!$CA243)</f>
        <v/>
      </c>
      <c r="H247" s="43">
        <f>IF('計算'!$C243="","",'計算'!$CP243)</f>
        <v/>
      </c>
      <c r="I247" s="48" t="n"/>
      <c r="J247" s="49" t="n"/>
      <c r="K247" s="50">
        <f>IF('計算'!$C243="","",'計算'!$CR243)</f>
        <v/>
      </c>
      <c r="L247" s="51">
        <f>IF('計算'!$C243="","",'計算'!$CF243)</f>
        <v/>
      </c>
      <c r="M247" s="48" t="n"/>
      <c r="N247" s="49" t="n"/>
      <c r="O247" s="43">
        <f>IF('計算'!$C243="","",'計算'!$CQ243)</f>
        <v/>
      </c>
      <c r="P247" s="52">
        <f>IF('計算'!$C243="","",IF('計算'!$M243="","",'計算'!$AX243))</f>
        <v/>
      </c>
      <c r="Q247" s="52">
        <f>IF('計算'!$C243="","",IF('計算'!$M243="","",'計算'!$AY243))</f>
        <v/>
      </c>
      <c r="R247" s="52">
        <f>IF('計算'!$C243="","",IF('計算'!$M243="","",'計算'!$AZ243))</f>
        <v/>
      </c>
      <c r="S247" s="52">
        <f>IF('計算'!$C243="","",IF('計算'!$M243="","",'計算'!$BA243))</f>
        <v/>
      </c>
      <c r="T247" s="52">
        <f>IF('計算'!$C243="","",IF('計算'!$M243="","",'計算'!$BB243))</f>
        <v/>
      </c>
      <c r="U247" s="52">
        <f>IF('計算'!$C243="","",IF('計算'!$M243="","",'計算'!$BC243))</f>
        <v/>
      </c>
      <c r="V247" s="52">
        <f>IF('計算'!$C243="","",IF('計算'!$M243="","",'計算'!$BD243))</f>
        <v/>
      </c>
      <c r="W247" s="52">
        <f>IF('計算'!$C243="","",IF('計算'!$M243="","",'計算'!$BE243))</f>
        <v/>
      </c>
      <c r="X247" s="52">
        <f>IF('計算'!$C243="","",IF('計算'!$M243="","",'計算'!$BF243))</f>
        <v/>
      </c>
      <c r="Y247" s="52">
        <f>IF('計算'!$C243="","",IF('計算'!$M243="","",'計算'!$BG243))</f>
        <v/>
      </c>
      <c r="Z247" s="52">
        <f>IF('計算'!$C243="","",IF('計算'!$M243="","",'計算'!$BH243))</f>
        <v/>
      </c>
      <c r="AA247" s="52">
        <f>IF('計算'!$C243="","",IF('計算'!$M243="","",'計算'!$BI243))</f>
        <v/>
      </c>
      <c r="AB247" s="52">
        <f>IF('計算'!$C243="","",IF('計算'!$M243="","",'計算'!$BJ243))</f>
        <v/>
      </c>
      <c r="AC247" s="52">
        <f>IF('計算'!$C243="","",IF('計算'!$M243="","",'計算'!$BK243))</f>
        <v/>
      </c>
      <c r="AD247" s="53" t="n"/>
      <c r="AE247" s="48" t="n"/>
      <c r="AF247" s="54">
        <f>IF('計算'!$C243="","",'計算'!$C243)</f>
        <v/>
      </c>
      <c r="AG247" s="54">
        <f>IF('計算'!$C243="","",'計算'!$F243)</f>
        <v/>
      </c>
    </row>
    <row r="248" ht="18" customHeight="1">
      <c r="B248" s="42">
        <f>IF('計算'!$C244="","",'計算'!$B244)</f>
        <v/>
      </c>
      <c r="C248" s="43">
        <f>IF('計算'!$C244="","",'計算'!$D244)</f>
        <v/>
      </c>
      <c r="D248" s="44">
        <f>IF('計算'!$C244="","",'計算'!$O244)</f>
        <v/>
      </c>
      <c r="E248" s="45">
        <f>IF('計算'!$C244="","",'計算'!$L244)</f>
        <v/>
      </c>
      <c r="F248" s="46">
        <f>IF('計算'!$C244="","",'計算'!$CD244)</f>
        <v/>
      </c>
      <c r="G248" s="47">
        <f>IF('計算'!$C244="","",'計算'!$CA244)</f>
        <v/>
      </c>
      <c r="H248" s="43">
        <f>IF('計算'!$C244="","",'計算'!$CP244)</f>
        <v/>
      </c>
      <c r="I248" s="48" t="n"/>
      <c r="J248" s="49" t="n"/>
      <c r="K248" s="50">
        <f>IF('計算'!$C244="","",'計算'!$CR244)</f>
        <v/>
      </c>
      <c r="L248" s="51">
        <f>IF('計算'!$C244="","",'計算'!$CF244)</f>
        <v/>
      </c>
      <c r="M248" s="48" t="n"/>
      <c r="N248" s="49" t="n"/>
      <c r="O248" s="43">
        <f>IF('計算'!$C244="","",'計算'!$CQ244)</f>
        <v/>
      </c>
      <c r="P248" s="52">
        <f>IF('計算'!$C244="","",IF('計算'!$M244="","",'計算'!$AX244))</f>
        <v/>
      </c>
      <c r="Q248" s="52">
        <f>IF('計算'!$C244="","",IF('計算'!$M244="","",'計算'!$AY244))</f>
        <v/>
      </c>
      <c r="R248" s="52">
        <f>IF('計算'!$C244="","",IF('計算'!$M244="","",'計算'!$AZ244))</f>
        <v/>
      </c>
      <c r="S248" s="52">
        <f>IF('計算'!$C244="","",IF('計算'!$M244="","",'計算'!$BA244))</f>
        <v/>
      </c>
      <c r="T248" s="52">
        <f>IF('計算'!$C244="","",IF('計算'!$M244="","",'計算'!$BB244))</f>
        <v/>
      </c>
      <c r="U248" s="52">
        <f>IF('計算'!$C244="","",IF('計算'!$M244="","",'計算'!$BC244))</f>
        <v/>
      </c>
      <c r="V248" s="52">
        <f>IF('計算'!$C244="","",IF('計算'!$M244="","",'計算'!$BD244))</f>
        <v/>
      </c>
      <c r="W248" s="52">
        <f>IF('計算'!$C244="","",IF('計算'!$M244="","",'計算'!$BE244))</f>
        <v/>
      </c>
      <c r="X248" s="52">
        <f>IF('計算'!$C244="","",IF('計算'!$M244="","",'計算'!$BF244))</f>
        <v/>
      </c>
      <c r="Y248" s="52">
        <f>IF('計算'!$C244="","",IF('計算'!$M244="","",'計算'!$BG244))</f>
        <v/>
      </c>
      <c r="Z248" s="52">
        <f>IF('計算'!$C244="","",IF('計算'!$M244="","",'計算'!$BH244))</f>
        <v/>
      </c>
      <c r="AA248" s="52">
        <f>IF('計算'!$C244="","",IF('計算'!$M244="","",'計算'!$BI244))</f>
        <v/>
      </c>
      <c r="AB248" s="52">
        <f>IF('計算'!$C244="","",IF('計算'!$M244="","",'計算'!$BJ244))</f>
        <v/>
      </c>
      <c r="AC248" s="52">
        <f>IF('計算'!$C244="","",IF('計算'!$M244="","",'計算'!$BK244))</f>
        <v/>
      </c>
      <c r="AD248" s="53" t="n"/>
      <c r="AE248" s="48" t="n"/>
      <c r="AF248" s="54">
        <f>IF('計算'!$C244="","",'計算'!$C244)</f>
        <v/>
      </c>
      <c r="AG248" s="54">
        <f>IF('計算'!$C244="","",'計算'!$F244)</f>
        <v/>
      </c>
    </row>
    <row r="249" ht="18" customHeight="1">
      <c r="B249" s="42">
        <f>IF('計算'!$C245="","",'計算'!$B245)</f>
        <v/>
      </c>
      <c r="C249" s="43">
        <f>IF('計算'!$C245="","",'計算'!$D245)</f>
        <v/>
      </c>
      <c r="D249" s="44">
        <f>IF('計算'!$C245="","",'計算'!$O245)</f>
        <v/>
      </c>
      <c r="E249" s="45">
        <f>IF('計算'!$C245="","",'計算'!$L245)</f>
        <v/>
      </c>
      <c r="F249" s="46">
        <f>IF('計算'!$C245="","",'計算'!$CD245)</f>
        <v/>
      </c>
      <c r="G249" s="47">
        <f>IF('計算'!$C245="","",'計算'!$CA245)</f>
        <v/>
      </c>
      <c r="H249" s="43">
        <f>IF('計算'!$C245="","",'計算'!$CP245)</f>
        <v/>
      </c>
      <c r="I249" s="48" t="n"/>
      <c r="J249" s="49" t="n"/>
      <c r="K249" s="50">
        <f>IF('計算'!$C245="","",'計算'!$CR245)</f>
        <v/>
      </c>
      <c r="L249" s="51">
        <f>IF('計算'!$C245="","",'計算'!$CF245)</f>
        <v/>
      </c>
      <c r="M249" s="48" t="n"/>
      <c r="N249" s="49" t="n"/>
      <c r="O249" s="43">
        <f>IF('計算'!$C245="","",'計算'!$CQ245)</f>
        <v/>
      </c>
      <c r="P249" s="52">
        <f>IF('計算'!$C245="","",IF('計算'!$M245="","",'計算'!$AX245))</f>
        <v/>
      </c>
      <c r="Q249" s="52">
        <f>IF('計算'!$C245="","",IF('計算'!$M245="","",'計算'!$AY245))</f>
        <v/>
      </c>
      <c r="R249" s="52">
        <f>IF('計算'!$C245="","",IF('計算'!$M245="","",'計算'!$AZ245))</f>
        <v/>
      </c>
      <c r="S249" s="52">
        <f>IF('計算'!$C245="","",IF('計算'!$M245="","",'計算'!$BA245))</f>
        <v/>
      </c>
      <c r="T249" s="52">
        <f>IF('計算'!$C245="","",IF('計算'!$M245="","",'計算'!$BB245))</f>
        <v/>
      </c>
      <c r="U249" s="52">
        <f>IF('計算'!$C245="","",IF('計算'!$M245="","",'計算'!$BC245))</f>
        <v/>
      </c>
      <c r="V249" s="52">
        <f>IF('計算'!$C245="","",IF('計算'!$M245="","",'計算'!$BD245))</f>
        <v/>
      </c>
      <c r="W249" s="52">
        <f>IF('計算'!$C245="","",IF('計算'!$M245="","",'計算'!$BE245))</f>
        <v/>
      </c>
      <c r="X249" s="52">
        <f>IF('計算'!$C245="","",IF('計算'!$M245="","",'計算'!$BF245))</f>
        <v/>
      </c>
      <c r="Y249" s="52">
        <f>IF('計算'!$C245="","",IF('計算'!$M245="","",'計算'!$BG245))</f>
        <v/>
      </c>
      <c r="Z249" s="52">
        <f>IF('計算'!$C245="","",IF('計算'!$M245="","",'計算'!$BH245))</f>
        <v/>
      </c>
      <c r="AA249" s="52">
        <f>IF('計算'!$C245="","",IF('計算'!$M245="","",'計算'!$BI245))</f>
        <v/>
      </c>
      <c r="AB249" s="52">
        <f>IF('計算'!$C245="","",IF('計算'!$M245="","",'計算'!$BJ245))</f>
        <v/>
      </c>
      <c r="AC249" s="52">
        <f>IF('計算'!$C245="","",IF('計算'!$M245="","",'計算'!$BK245))</f>
        <v/>
      </c>
      <c r="AD249" s="53" t="n"/>
      <c r="AE249" s="48" t="n"/>
      <c r="AF249" s="54">
        <f>IF('計算'!$C245="","",'計算'!$C245)</f>
        <v/>
      </c>
      <c r="AG249" s="54">
        <f>IF('計算'!$C245="","",'計算'!$F245)</f>
        <v/>
      </c>
    </row>
    <row r="250" ht="18" customHeight="1">
      <c r="B250" s="42">
        <f>IF('計算'!$C246="","",'計算'!$B246)</f>
        <v/>
      </c>
      <c r="C250" s="43">
        <f>IF('計算'!$C246="","",'計算'!$D246)</f>
        <v/>
      </c>
      <c r="D250" s="44">
        <f>IF('計算'!$C246="","",'計算'!$O246)</f>
        <v/>
      </c>
      <c r="E250" s="45">
        <f>IF('計算'!$C246="","",'計算'!$L246)</f>
        <v/>
      </c>
      <c r="F250" s="46">
        <f>IF('計算'!$C246="","",'計算'!$CD246)</f>
        <v/>
      </c>
      <c r="G250" s="47">
        <f>IF('計算'!$C246="","",'計算'!$CA246)</f>
        <v/>
      </c>
      <c r="H250" s="43">
        <f>IF('計算'!$C246="","",'計算'!$CP246)</f>
        <v/>
      </c>
      <c r="I250" s="48" t="n"/>
      <c r="J250" s="49" t="n"/>
      <c r="K250" s="50">
        <f>IF('計算'!$C246="","",'計算'!$CR246)</f>
        <v/>
      </c>
      <c r="L250" s="51">
        <f>IF('計算'!$C246="","",'計算'!$CF246)</f>
        <v/>
      </c>
      <c r="M250" s="48" t="n"/>
      <c r="N250" s="49" t="n"/>
      <c r="O250" s="43">
        <f>IF('計算'!$C246="","",'計算'!$CQ246)</f>
        <v/>
      </c>
      <c r="P250" s="52">
        <f>IF('計算'!$C246="","",IF('計算'!$M246="","",'計算'!$AX246))</f>
        <v/>
      </c>
      <c r="Q250" s="52">
        <f>IF('計算'!$C246="","",IF('計算'!$M246="","",'計算'!$AY246))</f>
        <v/>
      </c>
      <c r="R250" s="52">
        <f>IF('計算'!$C246="","",IF('計算'!$M246="","",'計算'!$AZ246))</f>
        <v/>
      </c>
      <c r="S250" s="52">
        <f>IF('計算'!$C246="","",IF('計算'!$M246="","",'計算'!$BA246))</f>
        <v/>
      </c>
      <c r="T250" s="52">
        <f>IF('計算'!$C246="","",IF('計算'!$M246="","",'計算'!$BB246))</f>
        <v/>
      </c>
      <c r="U250" s="52">
        <f>IF('計算'!$C246="","",IF('計算'!$M246="","",'計算'!$BC246))</f>
        <v/>
      </c>
      <c r="V250" s="52">
        <f>IF('計算'!$C246="","",IF('計算'!$M246="","",'計算'!$BD246))</f>
        <v/>
      </c>
      <c r="W250" s="52">
        <f>IF('計算'!$C246="","",IF('計算'!$M246="","",'計算'!$BE246))</f>
        <v/>
      </c>
      <c r="X250" s="52">
        <f>IF('計算'!$C246="","",IF('計算'!$M246="","",'計算'!$BF246))</f>
        <v/>
      </c>
      <c r="Y250" s="52">
        <f>IF('計算'!$C246="","",IF('計算'!$M246="","",'計算'!$BG246))</f>
        <v/>
      </c>
      <c r="Z250" s="52">
        <f>IF('計算'!$C246="","",IF('計算'!$M246="","",'計算'!$BH246))</f>
        <v/>
      </c>
      <c r="AA250" s="52">
        <f>IF('計算'!$C246="","",IF('計算'!$M246="","",'計算'!$BI246))</f>
        <v/>
      </c>
      <c r="AB250" s="52">
        <f>IF('計算'!$C246="","",IF('計算'!$M246="","",'計算'!$BJ246))</f>
        <v/>
      </c>
      <c r="AC250" s="52">
        <f>IF('計算'!$C246="","",IF('計算'!$M246="","",'計算'!$BK246))</f>
        <v/>
      </c>
      <c r="AD250" s="53" t="n"/>
      <c r="AE250" s="48" t="n"/>
      <c r="AF250" s="54">
        <f>IF('計算'!$C246="","",'計算'!$C246)</f>
        <v/>
      </c>
      <c r="AG250" s="54">
        <f>IF('計算'!$C246="","",'計算'!$F246)</f>
        <v/>
      </c>
    </row>
    <row r="251" ht="18" customHeight="1">
      <c r="B251" s="42">
        <f>IF('計算'!$C247="","",'計算'!$B247)</f>
        <v/>
      </c>
      <c r="C251" s="43">
        <f>IF('計算'!$C247="","",'計算'!$D247)</f>
        <v/>
      </c>
      <c r="D251" s="44">
        <f>IF('計算'!$C247="","",'計算'!$O247)</f>
        <v/>
      </c>
      <c r="E251" s="45">
        <f>IF('計算'!$C247="","",'計算'!$L247)</f>
        <v/>
      </c>
      <c r="F251" s="46">
        <f>IF('計算'!$C247="","",'計算'!$CD247)</f>
        <v/>
      </c>
      <c r="G251" s="47">
        <f>IF('計算'!$C247="","",'計算'!$CA247)</f>
        <v/>
      </c>
      <c r="H251" s="43">
        <f>IF('計算'!$C247="","",'計算'!$CP247)</f>
        <v/>
      </c>
      <c r="I251" s="48" t="n"/>
      <c r="J251" s="49" t="n"/>
      <c r="K251" s="50">
        <f>IF('計算'!$C247="","",'計算'!$CR247)</f>
        <v/>
      </c>
      <c r="L251" s="51">
        <f>IF('計算'!$C247="","",'計算'!$CF247)</f>
        <v/>
      </c>
      <c r="M251" s="48" t="n"/>
      <c r="N251" s="49" t="n"/>
      <c r="O251" s="43">
        <f>IF('計算'!$C247="","",'計算'!$CQ247)</f>
        <v/>
      </c>
      <c r="P251" s="52">
        <f>IF('計算'!$C247="","",IF('計算'!$M247="","",'計算'!$AX247))</f>
        <v/>
      </c>
      <c r="Q251" s="52">
        <f>IF('計算'!$C247="","",IF('計算'!$M247="","",'計算'!$AY247))</f>
        <v/>
      </c>
      <c r="R251" s="52">
        <f>IF('計算'!$C247="","",IF('計算'!$M247="","",'計算'!$AZ247))</f>
        <v/>
      </c>
      <c r="S251" s="52">
        <f>IF('計算'!$C247="","",IF('計算'!$M247="","",'計算'!$BA247))</f>
        <v/>
      </c>
      <c r="T251" s="52">
        <f>IF('計算'!$C247="","",IF('計算'!$M247="","",'計算'!$BB247))</f>
        <v/>
      </c>
      <c r="U251" s="52">
        <f>IF('計算'!$C247="","",IF('計算'!$M247="","",'計算'!$BC247))</f>
        <v/>
      </c>
      <c r="V251" s="52">
        <f>IF('計算'!$C247="","",IF('計算'!$M247="","",'計算'!$BD247))</f>
        <v/>
      </c>
      <c r="W251" s="52">
        <f>IF('計算'!$C247="","",IF('計算'!$M247="","",'計算'!$BE247))</f>
        <v/>
      </c>
      <c r="X251" s="52">
        <f>IF('計算'!$C247="","",IF('計算'!$M247="","",'計算'!$BF247))</f>
        <v/>
      </c>
      <c r="Y251" s="52">
        <f>IF('計算'!$C247="","",IF('計算'!$M247="","",'計算'!$BG247))</f>
        <v/>
      </c>
      <c r="Z251" s="52">
        <f>IF('計算'!$C247="","",IF('計算'!$M247="","",'計算'!$BH247))</f>
        <v/>
      </c>
      <c r="AA251" s="52">
        <f>IF('計算'!$C247="","",IF('計算'!$M247="","",'計算'!$BI247))</f>
        <v/>
      </c>
      <c r="AB251" s="52">
        <f>IF('計算'!$C247="","",IF('計算'!$M247="","",'計算'!$BJ247))</f>
        <v/>
      </c>
      <c r="AC251" s="52">
        <f>IF('計算'!$C247="","",IF('計算'!$M247="","",'計算'!$BK247))</f>
        <v/>
      </c>
      <c r="AD251" s="53" t="n"/>
      <c r="AE251" s="48" t="n"/>
      <c r="AF251" s="54">
        <f>IF('計算'!$C247="","",'計算'!$C247)</f>
        <v/>
      </c>
      <c r="AG251" s="54">
        <f>IF('計算'!$C247="","",'計算'!$F247)</f>
        <v/>
      </c>
    </row>
    <row r="252" ht="18" customHeight="1">
      <c r="B252" s="42">
        <f>IF('計算'!$C248="","",'計算'!$B248)</f>
        <v/>
      </c>
      <c r="C252" s="43">
        <f>IF('計算'!$C248="","",'計算'!$D248)</f>
        <v/>
      </c>
      <c r="D252" s="44">
        <f>IF('計算'!$C248="","",'計算'!$O248)</f>
        <v/>
      </c>
      <c r="E252" s="45">
        <f>IF('計算'!$C248="","",'計算'!$L248)</f>
        <v/>
      </c>
      <c r="F252" s="46">
        <f>IF('計算'!$C248="","",'計算'!$CD248)</f>
        <v/>
      </c>
      <c r="G252" s="47">
        <f>IF('計算'!$C248="","",'計算'!$CA248)</f>
        <v/>
      </c>
      <c r="H252" s="43">
        <f>IF('計算'!$C248="","",'計算'!$CP248)</f>
        <v/>
      </c>
      <c r="I252" s="48" t="n"/>
      <c r="J252" s="49" t="n"/>
      <c r="K252" s="50">
        <f>IF('計算'!$C248="","",'計算'!$CR248)</f>
        <v/>
      </c>
      <c r="L252" s="51">
        <f>IF('計算'!$C248="","",'計算'!$CF248)</f>
        <v/>
      </c>
      <c r="M252" s="48" t="n"/>
      <c r="N252" s="49" t="n"/>
      <c r="O252" s="43">
        <f>IF('計算'!$C248="","",'計算'!$CQ248)</f>
        <v/>
      </c>
      <c r="P252" s="52">
        <f>IF('計算'!$C248="","",IF('計算'!$M248="","",'計算'!$AX248))</f>
        <v/>
      </c>
      <c r="Q252" s="52">
        <f>IF('計算'!$C248="","",IF('計算'!$M248="","",'計算'!$AY248))</f>
        <v/>
      </c>
      <c r="R252" s="52">
        <f>IF('計算'!$C248="","",IF('計算'!$M248="","",'計算'!$AZ248))</f>
        <v/>
      </c>
      <c r="S252" s="52">
        <f>IF('計算'!$C248="","",IF('計算'!$M248="","",'計算'!$BA248))</f>
        <v/>
      </c>
      <c r="T252" s="52">
        <f>IF('計算'!$C248="","",IF('計算'!$M248="","",'計算'!$BB248))</f>
        <v/>
      </c>
      <c r="U252" s="52">
        <f>IF('計算'!$C248="","",IF('計算'!$M248="","",'計算'!$BC248))</f>
        <v/>
      </c>
      <c r="V252" s="52">
        <f>IF('計算'!$C248="","",IF('計算'!$M248="","",'計算'!$BD248))</f>
        <v/>
      </c>
      <c r="W252" s="52">
        <f>IF('計算'!$C248="","",IF('計算'!$M248="","",'計算'!$BE248))</f>
        <v/>
      </c>
      <c r="X252" s="52">
        <f>IF('計算'!$C248="","",IF('計算'!$M248="","",'計算'!$BF248))</f>
        <v/>
      </c>
      <c r="Y252" s="52">
        <f>IF('計算'!$C248="","",IF('計算'!$M248="","",'計算'!$BG248))</f>
        <v/>
      </c>
      <c r="Z252" s="52">
        <f>IF('計算'!$C248="","",IF('計算'!$M248="","",'計算'!$BH248))</f>
        <v/>
      </c>
      <c r="AA252" s="52">
        <f>IF('計算'!$C248="","",IF('計算'!$M248="","",'計算'!$BI248))</f>
        <v/>
      </c>
      <c r="AB252" s="52">
        <f>IF('計算'!$C248="","",IF('計算'!$M248="","",'計算'!$BJ248))</f>
        <v/>
      </c>
      <c r="AC252" s="52">
        <f>IF('計算'!$C248="","",IF('計算'!$M248="","",'計算'!$BK248))</f>
        <v/>
      </c>
      <c r="AD252" s="53" t="n"/>
      <c r="AE252" s="48" t="n"/>
      <c r="AF252" s="54">
        <f>IF('計算'!$C248="","",'計算'!$C248)</f>
        <v/>
      </c>
      <c r="AG252" s="54">
        <f>IF('計算'!$C248="","",'計算'!$F248)</f>
        <v/>
      </c>
    </row>
    <row r="253" ht="18" customHeight="1">
      <c r="B253" s="42">
        <f>IF('計算'!$C249="","",'計算'!$B249)</f>
        <v/>
      </c>
      <c r="C253" s="43">
        <f>IF('計算'!$C249="","",'計算'!$D249)</f>
        <v/>
      </c>
      <c r="D253" s="44">
        <f>IF('計算'!$C249="","",'計算'!$O249)</f>
        <v/>
      </c>
      <c r="E253" s="45">
        <f>IF('計算'!$C249="","",'計算'!$L249)</f>
        <v/>
      </c>
      <c r="F253" s="46">
        <f>IF('計算'!$C249="","",'計算'!$CD249)</f>
        <v/>
      </c>
      <c r="G253" s="47">
        <f>IF('計算'!$C249="","",'計算'!$CA249)</f>
        <v/>
      </c>
      <c r="H253" s="43">
        <f>IF('計算'!$C249="","",'計算'!$CP249)</f>
        <v/>
      </c>
      <c r="I253" s="48" t="n"/>
      <c r="J253" s="49" t="n"/>
      <c r="K253" s="50">
        <f>IF('計算'!$C249="","",'計算'!$CR249)</f>
        <v/>
      </c>
      <c r="L253" s="51">
        <f>IF('計算'!$C249="","",'計算'!$CF249)</f>
        <v/>
      </c>
      <c r="M253" s="48" t="n"/>
      <c r="N253" s="49" t="n"/>
      <c r="O253" s="43">
        <f>IF('計算'!$C249="","",'計算'!$CQ249)</f>
        <v/>
      </c>
      <c r="P253" s="52">
        <f>IF('計算'!$C249="","",IF('計算'!$M249="","",'計算'!$AX249))</f>
        <v/>
      </c>
      <c r="Q253" s="52">
        <f>IF('計算'!$C249="","",IF('計算'!$M249="","",'計算'!$AY249))</f>
        <v/>
      </c>
      <c r="R253" s="52">
        <f>IF('計算'!$C249="","",IF('計算'!$M249="","",'計算'!$AZ249))</f>
        <v/>
      </c>
      <c r="S253" s="52">
        <f>IF('計算'!$C249="","",IF('計算'!$M249="","",'計算'!$BA249))</f>
        <v/>
      </c>
      <c r="T253" s="52">
        <f>IF('計算'!$C249="","",IF('計算'!$M249="","",'計算'!$BB249))</f>
        <v/>
      </c>
      <c r="U253" s="52">
        <f>IF('計算'!$C249="","",IF('計算'!$M249="","",'計算'!$BC249))</f>
        <v/>
      </c>
      <c r="V253" s="52">
        <f>IF('計算'!$C249="","",IF('計算'!$M249="","",'計算'!$BD249))</f>
        <v/>
      </c>
      <c r="W253" s="52">
        <f>IF('計算'!$C249="","",IF('計算'!$M249="","",'計算'!$BE249))</f>
        <v/>
      </c>
      <c r="X253" s="52">
        <f>IF('計算'!$C249="","",IF('計算'!$M249="","",'計算'!$BF249))</f>
        <v/>
      </c>
      <c r="Y253" s="52">
        <f>IF('計算'!$C249="","",IF('計算'!$M249="","",'計算'!$BG249))</f>
        <v/>
      </c>
      <c r="Z253" s="52">
        <f>IF('計算'!$C249="","",IF('計算'!$M249="","",'計算'!$BH249))</f>
        <v/>
      </c>
      <c r="AA253" s="52">
        <f>IF('計算'!$C249="","",IF('計算'!$M249="","",'計算'!$BI249))</f>
        <v/>
      </c>
      <c r="AB253" s="52">
        <f>IF('計算'!$C249="","",IF('計算'!$M249="","",'計算'!$BJ249))</f>
        <v/>
      </c>
      <c r="AC253" s="52">
        <f>IF('計算'!$C249="","",IF('計算'!$M249="","",'計算'!$BK249))</f>
        <v/>
      </c>
      <c r="AD253" s="53" t="n"/>
      <c r="AE253" s="48" t="n"/>
      <c r="AF253" s="54">
        <f>IF('計算'!$C249="","",'計算'!$C249)</f>
        <v/>
      </c>
      <c r="AG253" s="54">
        <f>IF('計算'!$C249="","",'計算'!$F249)</f>
        <v/>
      </c>
    </row>
    <row r="254" ht="18" customHeight="1">
      <c r="B254" s="42">
        <f>IF('計算'!$C250="","",'計算'!$B250)</f>
        <v/>
      </c>
      <c r="C254" s="43">
        <f>IF('計算'!$C250="","",'計算'!$D250)</f>
        <v/>
      </c>
      <c r="D254" s="44">
        <f>IF('計算'!$C250="","",'計算'!$O250)</f>
        <v/>
      </c>
      <c r="E254" s="45">
        <f>IF('計算'!$C250="","",'計算'!$L250)</f>
        <v/>
      </c>
      <c r="F254" s="46">
        <f>IF('計算'!$C250="","",'計算'!$CD250)</f>
        <v/>
      </c>
      <c r="G254" s="47">
        <f>IF('計算'!$C250="","",'計算'!$CA250)</f>
        <v/>
      </c>
      <c r="H254" s="43">
        <f>IF('計算'!$C250="","",'計算'!$CP250)</f>
        <v/>
      </c>
      <c r="I254" s="48" t="n"/>
      <c r="J254" s="49" t="n"/>
      <c r="K254" s="50">
        <f>IF('計算'!$C250="","",'計算'!$CR250)</f>
        <v/>
      </c>
      <c r="L254" s="51">
        <f>IF('計算'!$C250="","",'計算'!$CF250)</f>
        <v/>
      </c>
      <c r="M254" s="48" t="n"/>
      <c r="N254" s="49" t="n"/>
      <c r="O254" s="43">
        <f>IF('計算'!$C250="","",'計算'!$CQ250)</f>
        <v/>
      </c>
      <c r="P254" s="52">
        <f>IF('計算'!$C250="","",IF('計算'!$M250="","",'計算'!$AX250))</f>
        <v/>
      </c>
      <c r="Q254" s="52">
        <f>IF('計算'!$C250="","",IF('計算'!$M250="","",'計算'!$AY250))</f>
        <v/>
      </c>
      <c r="R254" s="52">
        <f>IF('計算'!$C250="","",IF('計算'!$M250="","",'計算'!$AZ250))</f>
        <v/>
      </c>
      <c r="S254" s="52">
        <f>IF('計算'!$C250="","",IF('計算'!$M250="","",'計算'!$BA250))</f>
        <v/>
      </c>
      <c r="T254" s="52">
        <f>IF('計算'!$C250="","",IF('計算'!$M250="","",'計算'!$BB250))</f>
        <v/>
      </c>
      <c r="U254" s="52">
        <f>IF('計算'!$C250="","",IF('計算'!$M250="","",'計算'!$BC250))</f>
        <v/>
      </c>
      <c r="V254" s="52">
        <f>IF('計算'!$C250="","",IF('計算'!$M250="","",'計算'!$BD250))</f>
        <v/>
      </c>
      <c r="W254" s="52">
        <f>IF('計算'!$C250="","",IF('計算'!$M250="","",'計算'!$BE250))</f>
        <v/>
      </c>
      <c r="X254" s="52">
        <f>IF('計算'!$C250="","",IF('計算'!$M250="","",'計算'!$BF250))</f>
        <v/>
      </c>
      <c r="Y254" s="52">
        <f>IF('計算'!$C250="","",IF('計算'!$M250="","",'計算'!$BG250))</f>
        <v/>
      </c>
      <c r="Z254" s="52">
        <f>IF('計算'!$C250="","",IF('計算'!$M250="","",'計算'!$BH250))</f>
        <v/>
      </c>
      <c r="AA254" s="52">
        <f>IF('計算'!$C250="","",IF('計算'!$M250="","",'計算'!$BI250))</f>
        <v/>
      </c>
      <c r="AB254" s="52">
        <f>IF('計算'!$C250="","",IF('計算'!$M250="","",'計算'!$BJ250))</f>
        <v/>
      </c>
      <c r="AC254" s="52">
        <f>IF('計算'!$C250="","",IF('計算'!$M250="","",'計算'!$BK250))</f>
        <v/>
      </c>
      <c r="AD254" s="53" t="n"/>
      <c r="AE254" s="48" t="n"/>
      <c r="AF254" s="54">
        <f>IF('計算'!$C250="","",'計算'!$C250)</f>
        <v/>
      </c>
      <c r="AG254" s="54">
        <f>IF('計算'!$C250="","",'計算'!$F250)</f>
        <v/>
      </c>
    </row>
    <row r="255" ht="18" customHeight="1">
      <c r="B255" s="42">
        <f>IF('計算'!$C251="","",'計算'!$B251)</f>
        <v/>
      </c>
      <c r="C255" s="43">
        <f>IF('計算'!$C251="","",'計算'!$D251)</f>
        <v/>
      </c>
      <c r="D255" s="44">
        <f>IF('計算'!$C251="","",'計算'!$O251)</f>
        <v/>
      </c>
      <c r="E255" s="45">
        <f>IF('計算'!$C251="","",'計算'!$L251)</f>
        <v/>
      </c>
      <c r="F255" s="46">
        <f>IF('計算'!$C251="","",'計算'!$CD251)</f>
        <v/>
      </c>
      <c r="G255" s="47">
        <f>IF('計算'!$C251="","",'計算'!$CA251)</f>
        <v/>
      </c>
      <c r="H255" s="43">
        <f>IF('計算'!$C251="","",'計算'!$CP251)</f>
        <v/>
      </c>
      <c r="I255" s="48" t="n"/>
      <c r="J255" s="49" t="n"/>
      <c r="K255" s="50">
        <f>IF('計算'!$C251="","",'計算'!$CR251)</f>
        <v/>
      </c>
      <c r="L255" s="51">
        <f>IF('計算'!$C251="","",'計算'!$CF251)</f>
        <v/>
      </c>
      <c r="M255" s="48" t="n"/>
      <c r="N255" s="49" t="n"/>
      <c r="O255" s="43">
        <f>IF('計算'!$C251="","",'計算'!$CQ251)</f>
        <v/>
      </c>
      <c r="P255" s="52">
        <f>IF('計算'!$C251="","",IF('計算'!$M251="","",'計算'!$AX251))</f>
        <v/>
      </c>
      <c r="Q255" s="52">
        <f>IF('計算'!$C251="","",IF('計算'!$M251="","",'計算'!$AY251))</f>
        <v/>
      </c>
      <c r="R255" s="52">
        <f>IF('計算'!$C251="","",IF('計算'!$M251="","",'計算'!$AZ251))</f>
        <v/>
      </c>
      <c r="S255" s="52">
        <f>IF('計算'!$C251="","",IF('計算'!$M251="","",'計算'!$BA251))</f>
        <v/>
      </c>
      <c r="T255" s="52">
        <f>IF('計算'!$C251="","",IF('計算'!$M251="","",'計算'!$BB251))</f>
        <v/>
      </c>
      <c r="U255" s="52">
        <f>IF('計算'!$C251="","",IF('計算'!$M251="","",'計算'!$BC251))</f>
        <v/>
      </c>
      <c r="V255" s="52">
        <f>IF('計算'!$C251="","",IF('計算'!$M251="","",'計算'!$BD251))</f>
        <v/>
      </c>
      <c r="W255" s="52">
        <f>IF('計算'!$C251="","",IF('計算'!$M251="","",'計算'!$BE251))</f>
        <v/>
      </c>
      <c r="X255" s="52">
        <f>IF('計算'!$C251="","",IF('計算'!$M251="","",'計算'!$BF251))</f>
        <v/>
      </c>
      <c r="Y255" s="52">
        <f>IF('計算'!$C251="","",IF('計算'!$M251="","",'計算'!$BG251))</f>
        <v/>
      </c>
      <c r="Z255" s="52">
        <f>IF('計算'!$C251="","",IF('計算'!$M251="","",'計算'!$BH251))</f>
        <v/>
      </c>
      <c r="AA255" s="52">
        <f>IF('計算'!$C251="","",IF('計算'!$M251="","",'計算'!$BI251))</f>
        <v/>
      </c>
      <c r="AB255" s="52">
        <f>IF('計算'!$C251="","",IF('計算'!$M251="","",'計算'!$BJ251))</f>
        <v/>
      </c>
      <c r="AC255" s="52">
        <f>IF('計算'!$C251="","",IF('計算'!$M251="","",'計算'!$BK251))</f>
        <v/>
      </c>
      <c r="AD255" s="53" t="n"/>
      <c r="AE255" s="48" t="n"/>
      <c r="AF255" s="54">
        <f>IF('計算'!$C251="","",'計算'!$C251)</f>
        <v/>
      </c>
      <c r="AG255" s="54">
        <f>IF('計算'!$C251="","",'計算'!$F251)</f>
        <v/>
      </c>
    </row>
    <row r="256" ht="18" customHeight="1">
      <c r="B256" s="42">
        <f>IF('計算'!$C252="","",'計算'!$B252)</f>
        <v/>
      </c>
      <c r="C256" s="43">
        <f>IF('計算'!$C252="","",'計算'!$D252)</f>
        <v/>
      </c>
      <c r="D256" s="44">
        <f>IF('計算'!$C252="","",'計算'!$O252)</f>
        <v/>
      </c>
      <c r="E256" s="45">
        <f>IF('計算'!$C252="","",'計算'!$L252)</f>
        <v/>
      </c>
      <c r="F256" s="46">
        <f>IF('計算'!$C252="","",'計算'!$CD252)</f>
        <v/>
      </c>
      <c r="G256" s="47">
        <f>IF('計算'!$C252="","",'計算'!$CA252)</f>
        <v/>
      </c>
      <c r="H256" s="43">
        <f>IF('計算'!$C252="","",'計算'!$CP252)</f>
        <v/>
      </c>
      <c r="I256" s="48" t="n"/>
      <c r="J256" s="49" t="n"/>
      <c r="K256" s="50">
        <f>IF('計算'!$C252="","",'計算'!$CR252)</f>
        <v/>
      </c>
      <c r="L256" s="51">
        <f>IF('計算'!$C252="","",'計算'!$CF252)</f>
        <v/>
      </c>
      <c r="M256" s="48" t="n"/>
      <c r="N256" s="49" t="n"/>
      <c r="O256" s="43">
        <f>IF('計算'!$C252="","",'計算'!$CQ252)</f>
        <v/>
      </c>
      <c r="P256" s="52">
        <f>IF('計算'!$C252="","",IF('計算'!$M252="","",'計算'!$AX252))</f>
        <v/>
      </c>
      <c r="Q256" s="52">
        <f>IF('計算'!$C252="","",IF('計算'!$M252="","",'計算'!$AY252))</f>
        <v/>
      </c>
      <c r="R256" s="52">
        <f>IF('計算'!$C252="","",IF('計算'!$M252="","",'計算'!$AZ252))</f>
        <v/>
      </c>
      <c r="S256" s="52">
        <f>IF('計算'!$C252="","",IF('計算'!$M252="","",'計算'!$BA252))</f>
        <v/>
      </c>
      <c r="T256" s="52">
        <f>IF('計算'!$C252="","",IF('計算'!$M252="","",'計算'!$BB252))</f>
        <v/>
      </c>
      <c r="U256" s="52">
        <f>IF('計算'!$C252="","",IF('計算'!$M252="","",'計算'!$BC252))</f>
        <v/>
      </c>
      <c r="V256" s="52">
        <f>IF('計算'!$C252="","",IF('計算'!$M252="","",'計算'!$BD252))</f>
        <v/>
      </c>
      <c r="W256" s="52">
        <f>IF('計算'!$C252="","",IF('計算'!$M252="","",'計算'!$BE252))</f>
        <v/>
      </c>
      <c r="X256" s="52">
        <f>IF('計算'!$C252="","",IF('計算'!$M252="","",'計算'!$BF252))</f>
        <v/>
      </c>
      <c r="Y256" s="52">
        <f>IF('計算'!$C252="","",IF('計算'!$M252="","",'計算'!$BG252))</f>
        <v/>
      </c>
      <c r="Z256" s="52">
        <f>IF('計算'!$C252="","",IF('計算'!$M252="","",'計算'!$BH252))</f>
        <v/>
      </c>
      <c r="AA256" s="52">
        <f>IF('計算'!$C252="","",IF('計算'!$M252="","",'計算'!$BI252))</f>
        <v/>
      </c>
      <c r="AB256" s="52">
        <f>IF('計算'!$C252="","",IF('計算'!$M252="","",'計算'!$BJ252))</f>
        <v/>
      </c>
      <c r="AC256" s="52">
        <f>IF('計算'!$C252="","",IF('計算'!$M252="","",'計算'!$BK252))</f>
        <v/>
      </c>
      <c r="AD256" s="53" t="n"/>
      <c r="AE256" s="48" t="n"/>
      <c r="AF256" s="54">
        <f>IF('計算'!$C252="","",'計算'!$C252)</f>
        <v/>
      </c>
      <c r="AG256" s="54">
        <f>IF('計算'!$C252="","",'計算'!$F252)</f>
        <v/>
      </c>
    </row>
    <row r="257" ht="18" customHeight="1">
      <c r="B257" s="42">
        <f>IF('計算'!$C253="","",'計算'!$B253)</f>
        <v/>
      </c>
      <c r="C257" s="43">
        <f>IF('計算'!$C253="","",'計算'!$D253)</f>
        <v/>
      </c>
      <c r="D257" s="44">
        <f>IF('計算'!$C253="","",'計算'!$O253)</f>
        <v/>
      </c>
      <c r="E257" s="45">
        <f>IF('計算'!$C253="","",'計算'!$L253)</f>
        <v/>
      </c>
      <c r="F257" s="46">
        <f>IF('計算'!$C253="","",'計算'!$CD253)</f>
        <v/>
      </c>
      <c r="G257" s="47">
        <f>IF('計算'!$C253="","",'計算'!$CA253)</f>
        <v/>
      </c>
      <c r="H257" s="43">
        <f>IF('計算'!$C253="","",'計算'!$CP253)</f>
        <v/>
      </c>
      <c r="I257" s="48" t="n"/>
      <c r="J257" s="49" t="n"/>
      <c r="K257" s="50">
        <f>IF('計算'!$C253="","",'計算'!$CR253)</f>
        <v/>
      </c>
      <c r="L257" s="51">
        <f>IF('計算'!$C253="","",'計算'!$CF253)</f>
        <v/>
      </c>
      <c r="M257" s="48" t="n"/>
      <c r="N257" s="49" t="n"/>
      <c r="O257" s="43">
        <f>IF('計算'!$C253="","",'計算'!$CQ253)</f>
        <v/>
      </c>
      <c r="P257" s="52">
        <f>IF('計算'!$C253="","",IF('計算'!$M253="","",'計算'!$AX253))</f>
        <v/>
      </c>
      <c r="Q257" s="52">
        <f>IF('計算'!$C253="","",IF('計算'!$M253="","",'計算'!$AY253))</f>
        <v/>
      </c>
      <c r="R257" s="52">
        <f>IF('計算'!$C253="","",IF('計算'!$M253="","",'計算'!$AZ253))</f>
        <v/>
      </c>
      <c r="S257" s="52">
        <f>IF('計算'!$C253="","",IF('計算'!$M253="","",'計算'!$BA253))</f>
        <v/>
      </c>
      <c r="T257" s="52">
        <f>IF('計算'!$C253="","",IF('計算'!$M253="","",'計算'!$BB253))</f>
        <v/>
      </c>
      <c r="U257" s="52">
        <f>IF('計算'!$C253="","",IF('計算'!$M253="","",'計算'!$BC253))</f>
        <v/>
      </c>
      <c r="V257" s="52">
        <f>IF('計算'!$C253="","",IF('計算'!$M253="","",'計算'!$BD253))</f>
        <v/>
      </c>
      <c r="W257" s="52">
        <f>IF('計算'!$C253="","",IF('計算'!$M253="","",'計算'!$BE253))</f>
        <v/>
      </c>
      <c r="X257" s="52">
        <f>IF('計算'!$C253="","",IF('計算'!$M253="","",'計算'!$BF253))</f>
        <v/>
      </c>
      <c r="Y257" s="52">
        <f>IF('計算'!$C253="","",IF('計算'!$M253="","",'計算'!$BG253))</f>
        <v/>
      </c>
      <c r="Z257" s="52">
        <f>IF('計算'!$C253="","",IF('計算'!$M253="","",'計算'!$BH253))</f>
        <v/>
      </c>
      <c r="AA257" s="52">
        <f>IF('計算'!$C253="","",IF('計算'!$M253="","",'計算'!$BI253))</f>
        <v/>
      </c>
      <c r="AB257" s="52">
        <f>IF('計算'!$C253="","",IF('計算'!$M253="","",'計算'!$BJ253))</f>
        <v/>
      </c>
      <c r="AC257" s="52">
        <f>IF('計算'!$C253="","",IF('計算'!$M253="","",'計算'!$BK253))</f>
        <v/>
      </c>
      <c r="AD257" s="53" t="n"/>
      <c r="AE257" s="48" t="n"/>
      <c r="AF257" s="54">
        <f>IF('計算'!$C253="","",'計算'!$C253)</f>
        <v/>
      </c>
      <c r="AG257" s="54">
        <f>IF('計算'!$C253="","",'計算'!$F253)</f>
        <v/>
      </c>
    </row>
    <row r="258" ht="18" customHeight="1">
      <c r="B258" s="42">
        <f>IF('計算'!$C254="","",'計算'!$B254)</f>
        <v/>
      </c>
      <c r="C258" s="43">
        <f>IF('計算'!$C254="","",'計算'!$D254)</f>
        <v/>
      </c>
      <c r="D258" s="44">
        <f>IF('計算'!$C254="","",'計算'!$O254)</f>
        <v/>
      </c>
      <c r="E258" s="45">
        <f>IF('計算'!$C254="","",'計算'!$L254)</f>
        <v/>
      </c>
      <c r="F258" s="46">
        <f>IF('計算'!$C254="","",'計算'!$CD254)</f>
        <v/>
      </c>
      <c r="G258" s="47">
        <f>IF('計算'!$C254="","",'計算'!$CA254)</f>
        <v/>
      </c>
      <c r="H258" s="43">
        <f>IF('計算'!$C254="","",'計算'!$CP254)</f>
        <v/>
      </c>
      <c r="I258" s="48" t="n"/>
      <c r="J258" s="49" t="n"/>
      <c r="K258" s="50">
        <f>IF('計算'!$C254="","",'計算'!$CR254)</f>
        <v/>
      </c>
      <c r="L258" s="51">
        <f>IF('計算'!$C254="","",'計算'!$CF254)</f>
        <v/>
      </c>
      <c r="M258" s="48" t="n"/>
      <c r="N258" s="49" t="n"/>
      <c r="O258" s="43">
        <f>IF('計算'!$C254="","",'計算'!$CQ254)</f>
        <v/>
      </c>
      <c r="P258" s="52">
        <f>IF('計算'!$C254="","",IF('計算'!$M254="","",'計算'!$AX254))</f>
        <v/>
      </c>
      <c r="Q258" s="52">
        <f>IF('計算'!$C254="","",IF('計算'!$M254="","",'計算'!$AY254))</f>
        <v/>
      </c>
      <c r="R258" s="52">
        <f>IF('計算'!$C254="","",IF('計算'!$M254="","",'計算'!$AZ254))</f>
        <v/>
      </c>
      <c r="S258" s="52">
        <f>IF('計算'!$C254="","",IF('計算'!$M254="","",'計算'!$BA254))</f>
        <v/>
      </c>
      <c r="T258" s="52">
        <f>IF('計算'!$C254="","",IF('計算'!$M254="","",'計算'!$BB254))</f>
        <v/>
      </c>
      <c r="U258" s="52">
        <f>IF('計算'!$C254="","",IF('計算'!$M254="","",'計算'!$BC254))</f>
        <v/>
      </c>
      <c r="V258" s="52">
        <f>IF('計算'!$C254="","",IF('計算'!$M254="","",'計算'!$BD254))</f>
        <v/>
      </c>
      <c r="W258" s="52">
        <f>IF('計算'!$C254="","",IF('計算'!$M254="","",'計算'!$BE254))</f>
        <v/>
      </c>
      <c r="X258" s="52">
        <f>IF('計算'!$C254="","",IF('計算'!$M254="","",'計算'!$BF254))</f>
        <v/>
      </c>
      <c r="Y258" s="52">
        <f>IF('計算'!$C254="","",IF('計算'!$M254="","",'計算'!$BG254))</f>
        <v/>
      </c>
      <c r="Z258" s="52">
        <f>IF('計算'!$C254="","",IF('計算'!$M254="","",'計算'!$BH254))</f>
        <v/>
      </c>
      <c r="AA258" s="52">
        <f>IF('計算'!$C254="","",IF('計算'!$M254="","",'計算'!$BI254))</f>
        <v/>
      </c>
      <c r="AB258" s="52">
        <f>IF('計算'!$C254="","",IF('計算'!$M254="","",'計算'!$BJ254))</f>
        <v/>
      </c>
      <c r="AC258" s="52">
        <f>IF('計算'!$C254="","",IF('計算'!$M254="","",'計算'!$BK254))</f>
        <v/>
      </c>
      <c r="AD258" s="53" t="n"/>
      <c r="AE258" s="48" t="n"/>
      <c r="AF258" s="54">
        <f>IF('計算'!$C254="","",'計算'!$C254)</f>
        <v/>
      </c>
      <c r="AG258" s="54">
        <f>IF('計算'!$C254="","",'計算'!$F254)</f>
        <v/>
      </c>
    </row>
    <row r="259" ht="18" customHeight="1">
      <c r="B259" s="42">
        <f>IF('計算'!$C255="","",'計算'!$B255)</f>
        <v/>
      </c>
      <c r="C259" s="43">
        <f>IF('計算'!$C255="","",'計算'!$D255)</f>
        <v/>
      </c>
      <c r="D259" s="44">
        <f>IF('計算'!$C255="","",'計算'!$O255)</f>
        <v/>
      </c>
      <c r="E259" s="45">
        <f>IF('計算'!$C255="","",'計算'!$L255)</f>
        <v/>
      </c>
      <c r="F259" s="46">
        <f>IF('計算'!$C255="","",'計算'!$CD255)</f>
        <v/>
      </c>
      <c r="G259" s="47">
        <f>IF('計算'!$C255="","",'計算'!$CA255)</f>
        <v/>
      </c>
      <c r="H259" s="43">
        <f>IF('計算'!$C255="","",'計算'!$CP255)</f>
        <v/>
      </c>
      <c r="I259" s="48" t="n"/>
      <c r="J259" s="49" t="n"/>
      <c r="K259" s="50">
        <f>IF('計算'!$C255="","",'計算'!$CR255)</f>
        <v/>
      </c>
      <c r="L259" s="51">
        <f>IF('計算'!$C255="","",'計算'!$CF255)</f>
        <v/>
      </c>
      <c r="M259" s="48" t="n"/>
      <c r="N259" s="49" t="n"/>
      <c r="O259" s="43">
        <f>IF('計算'!$C255="","",'計算'!$CQ255)</f>
        <v/>
      </c>
      <c r="P259" s="52">
        <f>IF('計算'!$C255="","",IF('計算'!$M255="","",'計算'!$AX255))</f>
        <v/>
      </c>
      <c r="Q259" s="52">
        <f>IF('計算'!$C255="","",IF('計算'!$M255="","",'計算'!$AY255))</f>
        <v/>
      </c>
      <c r="R259" s="52">
        <f>IF('計算'!$C255="","",IF('計算'!$M255="","",'計算'!$AZ255))</f>
        <v/>
      </c>
      <c r="S259" s="52">
        <f>IF('計算'!$C255="","",IF('計算'!$M255="","",'計算'!$BA255))</f>
        <v/>
      </c>
      <c r="T259" s="52">
        <f>IF('計算'!$C255="","",IF('計算'!$M255="","",'計算'!$BB255))</f>
        <v/>
      </c>
      <c r="U259" s="52">
        <f>IF('計算'!$C255="","",IF('計算'!$M255="","",'計算'!$BC255))</f>
        <v/>
      </c>
      <c r="V259" s="52">
        <f>IF('計算'!$C255="","",IF('計算'!$M255="","",'計算'!$BD255))</f>
        <v/>
      </c>
      <c r="W259" s="52">
        <f>IF('計算'!$C255="","",IF('計算'!$M255="","",'計算'!$BE255))</f>
        <v/>
      </c>
      <c r="X259" s="52">
        <f>IF('計算'!$C255="","",IF('計算'!$M255="","",'計算'!$BF255))</f>
        <v/>
      </c>
      <c r="Y259" s="52">
        <f>IF('計算'!$C255="","",IF('計算'!$M255="","",'計算'!$BG255))</f>
        <v/>
      </c>
      <c r="Z259" s="52">
        <f>IF('計算'!$C255="","",IF('計算'!$M255="","",'計算'!$BH255))</f>
        <v/>
      </c>
      <c r="AA259" s="52">
        <f>IF('計算'!$C255="","",IF('計算'!$M255="","",'計算'!$BI255))</f>
        <v/>
      </c>
      <c r="AB259" s="52">
        <f>IF('計算'!$C255="","",IF('計算'!$M255="","",'計算'!$BJ255))</f>
        <v/>
      </c>
      <c r="AC259" s="52">
        <f>IF('計算'!$C255="","",IF('計算'!$M255="","",'計算'!$BK255))</f>
        <v/>
      </c>
      <c r="AD259" s="53" t="n"/>
      <c r="AE259" s="48" t="n"/>
      <c r="AF259" s="54">
        <f>IF('計算'!$C255="","",'計算'!$C255)</f>
        <v/>
      </c>
      <c r="AG259" s="54">
        <f>IF('計算'!$C255="","",'計算'!$F255)</f>
        <v/>
      </c>
    </row>
    <row r="260" ht="18" customHeight="1">
      <c r="B260" s="42">
        <f>IF('計算'!$C256="","",'計算'!$B256)</f>
        <v/>
      </c>
      <c r="C260" s="43">
        <f>IF('計算'!$C256="","",'計算'!$D256)</f>
        <v/>
      </c>
      <c r="D260" s="44">
        <f>IF('計算'!$C256="","",'計算'!$O256)</f>
        <v/>
      </c>
      <c r="E260" s="45">
        <f>IF('計算'!$C256="","",'計算'!$L256)</f>
        <v/>
      </c>
      <c r="F260" s="46">
        <f>IF('計算'!$C256="","",'計算'!$CD256)</f>
        <v/>
      </c>
      <c r="G260" s="47">
        <f>IF('計算'!$C256="","",'計算'!$CA256)</f>
        <v/>
      </c>
      <c r="H260" s="43">
        <f>IF('計算'!$C256="","",'計算'!$CP256)</f>
        <v/>
      </c>
      <c r="I260" s="48" t="n"/>
      <c r="J260" s="49" t="n"/>
      <c r="K260" s="50">
        <f>IF('計算'!$C256="","",'計算'!$CR256)</f>
        <v/>
      </c>
      <c r="L260" s="51">
        <f>IF('計算'!$C256="","",'計算'!$CF256)</f>
        <v/>
      </c>
      <c r="M260" s="48" t="n"/>
      <c r="N260" s="49" t="n"/>
      <c r="O260" s="43">
        <f>IF('計算'!$C256="","",'計算'!$CQ256)</f>
        <v/>
      </c>
      <c r="P260" s="52">
        <f>IF('計算'!$C256="","",IF('計算'!$M256="","",'計算'!$AX256))</f>
        <v/>
      </c>
      <c r="Q260" s="52">
        <f>IF('計算'!$C256="","",IF('計算'!$M256="","",'計算'!$AY256))</f>
        <v/>
      </c>
      <c r="R260" s="52">
        <f>IF('計算'!$C256="","",IF('計算'!$M256="","",'計算'!$AZ256))</f>
        <v/>
      </c>
      <c r="S260" s="52">
        <f>IF('計算'!$C256="","",IF('計算'!$M256="","",'計算'!$BA256))</f>
        <v/>
      </c>
      <c r="T260" s="52">
        <f>IF('計算'!$C256="","",IF('計算'!$M256="","",'計算'!$BB256))</f>
        <v/>
      </c>
      <c r="U260" s="52">
        <f>IF('計算'!$C256="","",IF('計算'!$M256="","",'計算'!$BC256))</f>
        <v/>
      </c>
      <c r="V260" s="52">
        <f>IF('計算'!$C256="","",IF('計算'!$M256="","",'計算'!$BD256))</f>
        <v/>
      </c>
      <c r="W260" s="52">
        <f>IF('計算'!$C256="","",IF('計算'!$M256="","",'計算'!$BE256))</f>
        <v/>
      </c>
      <c r="X260" s="52">
        <f>IF('計算'!$C256="","",IF('計算'!$M256="","",'計算'!$BF256))</f>
        <v/>
      </c>
      <c r="Y260" s="52">
        <f>IF('計算'!$C256="","",IF('計算'!$M256="","",'計算'!$BG256))</f>
        <v/>
      </c>
      <c r="Z260" s="52">
        <f>IF('計算'!$C256="","",IF('計算'!$M256="","",'計算'!$BH256))</f>
        <v/>
      </c>
      <c r="AA260" s="52">
        <f>IF('計算'!$C256="","",IF('計算'!$M256="","",'計算'!$BI256))</f>
        <v/>
      </c>
      <c r="AB260" s="52">
        <f>IF('計算'!$C256="","",IF('計算'!$M256="","",'計算'!$BJ256))</f>
        <v/>
      </c>
      <c r="AC260" s="52">
        <f>IF('計算'!$C256="","",IF('計算'!$M256="","",'計算'!$BK256))</f>
        <v/>
      </c>
      <c r="AD260" s="53" t="n"/>
      <c r="AE260" s="48" t="n"/>
      <c r="AF260" s="54">
        <f>IF('計算'!$C256="","",'計算'!$C256)</f>
        <v/>
      </c>
      <c r="AG260" s="54">
        <f>IF('計算'!$C256="","",'計算'!$F256)</f>
        <v/>
      </c>
    </row>
    <row r="261" ht="18" customHeight="1">
      <c r="B261" s="42">
        <f>IF('計算'!$C257="","",'計算'!$B257)</f>
        <v/>
      </c>
      <c r="C261" s="43">
        <f>IF('計算'!$C257="","",'計算'!$D257)</f>
        <v/>
      </c>
      <c r="D261" s="44">
        <f>IF('計算'!$C257="","",'計算'!$O257)</f>
        <v/>
      </c>
      <c r="E261" s="45">
        <f>IF('計算'!$C257="","",'計算'!$L257)</f>
        <v/>
      </c>
      <c r="F261" s="46">
        <f>IF('計算'!$C257="","",'計算'!$CD257)</f>
        <v/>
      </c>
      <c r="G261" s="47">
        <f>IF('計算'!$C257="","",'計算'!$CA257)</f>
        <v/>
      </c>
      <c r="H261" s="43">
        <f>IF('計算'!$C257="","",'計算'!$CP257)</f>
        <v/>
      </c>
      <c r="I261" s="48" t="n"/>
      <c r="J261" s="49" t="n"/>
      <c r="K261" s="50">
        <f>IF('計算'!$C257="","",'計算'!$CR257)</f>
        <v/>
      </c>
      <c r="L261" s="51">
        <f>IF('計算'!$C257="","",'計算'!$CF257)</f>
        <v/>
      </c>
      <c r="M261" s="48" t="n"/>
      <c r="N261" s="49" t="n"/>
      <c r="O261" s="43">
        <f>IF('計算'!$C257="","",'計算'!$CQ257)</f>
        <v/>
      </c>
      <c r="P261" s="52">
        <f>IF('計算'!$C257="","",IF('計算'!$M257="","",'計算'!$AX257))</f>
        <v/>
      </c>
      <c r="Q261" s="52">
        <f>IF('計算'!$C257="","",IF('計算'!$M257="","",'計算'!$AY257))</f>
        <v/>
      </c>
      <c r="R261" s="52">
        <f>IF('計算'!$C257="","",IF('計算'!$M257="","",'計算'!$AZ257))</f>
        <v/>
      </c>
      <c r="S261" s="52">
        <f>IF('計算'!$C257="","",IF('計算'!$M257="","",'計算'!$BA257))</f>
        <v/>
      </c>
      <c r="T261" s="52">
        <f>IF('計算'!$C257="","",IF('計算'!$M257="","",'計算'!$BB257))</f>
        <v/>
      </c>
      <c r="U261" s="52">
        <f>IF('計算'!$C257="","",IF('計算'!$M257="","",'計算'!$BC257))</f>
        <v/>
      </c>
      <c r="V261" s="52">
        <f>IF('計算'!$C257="","",IF('計算'!$M257="","",'計算'!$BD257))</f>
        <v/>
      </c>
      <c r="W261" s="52">
        <f>IF('計算'!$C257="","",IF('計算'!$M257="","",'計算'!$BE257))</f>
        <v/>
      </c>
      <c r="X261" s="52">
        <f>IF('計算'!$C257="","",IF('計算'!$M257="","",'計算'!$BF257))</f>
        <v/>
      </c>
      <c r="Y261" s="52">
        <f>IF('計算'!$C257="","",IF('計算'!$M257="","",'計算'!$BG257))</f>
        <v/>
      </c>
      <c r="Z261" s="52">
        <f>IF('計算'!$C257="","",IF('計算'!$M257="","",'計算'!$BH257))</f>
        <v/>
      </c>
      <c r="AA261" s="52">
        <f>IF('計算'!$C257="","",IF('計算'!$M257="","",'計算'!$BI257))</f>
        <v/>
      </c>
      <c r="AB261" s="52">
        <f>IF('計算'!$C257="","",IF('計算'!$M257="","",'計算'!$BJ257))</f>
        <v/>
      </c>
      <c r="AC261" s="52">
        <f>IF('計算'!$C257="","",IF('計算'!$M257="","",'計算'!$BK257))</f>
        <v/>
      </c>
      <c r="AD261" s="53" t="n"/>
      <c r="AE261" s="48" t="n"/>
      <c r="AF261" s="54">
        <f>IF('計算'!$C257="","",'計算'!$C257)</f>
        <v/>
      </c>
      <c r="AG261" s="54">
        <f>IF('計算'!$C257="","",'計算'!$F257)</f>
        <v/>
      </c>
    </row>
    <row r="262" ht="18" customHeight="1">
      <c r="B262" s="42">
        <f>IF('計算'!$C258="","",'計算'!$B258)</f>
        <v/>
      </c>
      <c r="C262" s="43">
        <f>IF('計算'!$C258="","",'計算'!$D258)</f>
        <v/>
      </c>
      <c r="D262" s="44">
        <f>IF('計算'!$C258="","",'計算'!$O258)</f>
        <v/>
      </c>
      <c r="E262" s="45">
        <f>IF('計算'!$C258="","",'計算'!$L258)</f>
        <v/>
      </c>
      <c r="F262" s="46">
        <f>IF('計算'!$C258="","",'計算'!$CD258)</f>
        <v/>
      </c>
      <c r="G262" s="47">
        <f>IF('計算'!$C258="","",'計算'!$CA258)</f>
        <v/>
      </c>
      <c r="H262" s="43">
        <f>IF('計算'!$C258="","",'計算'!$CP258)</f>
        <v/>
      </c>
      <c r="I262" s="48" t="n"/>
      <c r="J262" s="49" t="n"/>
      <c r="K262" s="50">
        <f>IF('計算'!$C258="","",'計算'!$CR258)</f>
        <v/>
      </c>
      <c r="L262" s="51">
        <f>IF('計算'!$C258="","",'計算'!$CF258)</f>
        <v/>
      </c>
      <c r="M262" s="48" t="n"/>
      <c r="N262" s="49" t="n"/>
      <c r="O262" s="43">
        <f>IF('計算'!$C258="","",'計算'!$CQ258)</f>
        <v/>
      </c>
      <c r="P262" s="52">
        <f>IF('計算'!$C258="","",IF('計算'!$M258="","",'計算'!$AX258))</f>
        <v/>
      </c>
      <c r="Q262" s="52">
        <f>IF('計算'!$C258="","",IF('計算'!$M258="","",'計算'!$AY258))</f>
        <v/>
      </c>
      <c r="R262" s="52">
        <f>IF('計算'!$C258="","",IF('計算'!$M258="","",'計算'!$AZ258))</f>
        <v/>
      </c>
      <c r="S262" s="52">
        <f>IF('計算'!$C258="","",IF('計算'!$M258="","",'計算'!$BA258))</f>
        <v/>
      </c>
      <c r="T262" s="52">
        <f>IF('計算'!$C258="","",IF('計算'!$M258="","",'計算'!$BB258))</f>
        <v/>
      </c>
      <c r="U262" s="52">
        <f>IF('計算'!$C258="","",IF('計算'!$M258="","",'計算'!$BC258))</f>
        <v/>
      </c>
      <c r="V262" s="52">
        <f>IF('計算'!$C258="","",IF('計算'!$M258="","",'計算'!$BD258))</f>
        <v/>
      </c>
      <c r="W262" s="52">
        <f>IF('計算'!$C258="","",IF('計算'!$M258="","",'計算'!$BE258))</f>
        <v/>
      </c>
      <c r="X262" s="52">
        <f>IF('計算'!$C258="","",IF('計算'!$M258="","",'計算'!$BF258))</f>
        <v/>
      </c>
      <c r="Y262" s="52">
        <f>IF('計算'!$C258="","",IF('計算'!$M258="","",'計算'!$BG258))</f>
        <v/>
      </c>
      <c r="Z262" s="52">
        <f>IF('計算'!$C258="","",IF('計算'!$M258="","",'計算'!$BH258))</f>
        <v/>
      </c>
      <c r="AA262" s="52">
        <f>IF('計算'!$C258="","",IF('計算'!$M258="","",'計算'!$BI258))</f>
        <v/>
      </c>
      <c r="AB262" s="52">
        <f>IF('計算'!$C258="","",IF('計算'!$M258="","",'計算'!$BJ258))</f>
        <v/>
      </c>
      <c r="AC262" s="52">
        <f>IF('計算'!$C258="","",IF('計算'!$M258="","",'計算'!$BK258))</f>
        <v/>
      </c>
      <c r="AD262" s="53" t="n"/>
      <c r="AE262" s="48" t="n"/>
      <c r="AF262" s="54">
        <f>IF('計算'!$C258="","",'計算'!$C258)</f>
        <v/>
      </c>
      <c r="AG262" s="54">
        <f>IF('計算'!$C258="","",'計算'!$F258)</f>
        <v/>
      </c>
    </row>
    <row r="263" ht="18" customHeight="1">
      <c r="B263" s="42">
        <f>IF('計算'!$C259="","",'計算'!$B259)</f>
        <v/>
      </c>
      <c r="C263" s="43">
        <f>IF('計算'!$C259="","",'計算'!$D259)</f>
        <v/>
      </c>
      <c r="D263" s="44">
        <f>IF('計算'!$C259="","",'計算'!$O259)</f>
        <v/>
      </c>
      <c r="E263" s="45">
        <f>IF('計算'!$C259="","",'計算'!$L259)</f>
        <v/>
      </c>
      <c r="F263" s="46">
        <f>IF('計算'!$C259="","",'計算'!$CD259)</f>
        <v/>
      </c>
      <c r="G263" s="47">
        <f>IF('計算'!$C259="","",'計算'!$CA259)</f>
        <v/>
      </c>
      <c r="H263" s="43">
        <f>IF('計算'!$C259="","",'計算'!$CP259)</f>
        <v/>
      </c>
      <c r="I263" s="48" t="n"/>
      <c r="J263" s="49" t="n"/>
      <c r="K263" s="50">
        <f>IF('計算'!$C259="","",'計算'!$CR259)</f>
        <v/>
      </c>
      <c r="L263" s="51">
        <f>IF('計算'!$C259="","",'計算'!$CF259)</f>
        <v/>
      </c>
      <c r="M263" s="48" t="n"/>
      <c r="N263" s="49" t="n"/>
      <c r="O263" s="43">
        <f>IF('計算'!$C259="","",'計算'!$CQ259)</f>
        <v/>
      </c>
      <c r="P263" s="52">
        <f>IF('計算'!$C259="","",IF('計算'!$M259="","",'計算'!$AX259))</f>
        <v/>
      </c>
      <c r="Q263" s="52">
        <f>IF('計算'!$C259="","",IF('計算'!$M259="","",'計算'!$AY259))</f>
        <v/>
      </c>
      <c r="R263" s="52">
        <f>IF('計算'!$C259="","",IF('計算'!$M259="","",'計算'!$AZ259))</f>
        <v/>
      </c>
      <c r="S263" s="52">
        <f>IF('計算'!$C259="","",IF('計算'!$M259="","",'計算'!$BA259))</f>
        <v/>
      </c>
      <c r="T263" s="52">
        <f>IF('計算'!$C259="","",IF('計算'!$M259="","",'計算'!$BB259))</f>
        <v/>
      </c>
      <c r="U263" s="52">
        <f>IF('計算'!$C259="","",IF('計算'!$M259="","",'計算'!$BC259))</f>
        <v/>
      </c>
      <c r="V263" s="52">
        <f>IF('計算'!$C259="","",IF('計算'!$M259="","",'計算'!$BD259))</f>
        <v/>
      </c>
      <c r="W263" s="52">
        <f>IF('計算'!$C259="","",IF('計算'!$M259="","",'計算'!$BE259))</f>
        <v/>
      </c>
      <c r="X263" s="52">
        <f>IF('計算'!$C259="","",IF('計算'!$M259="","",'計算'!$BF259))</f>
        <v/>
      </c>
      <c r="Y263" s="52">
        <f>IF('計算'!$C259="","",IF('計算'!$M259="","",'計算'!$BG259))</f>
        <v/>
      </c>
      <c r="Z263" s="52">
        <f>IF('計算'!$C259="","",IF('計算'!$M259="","",'計算'!$BH259))</f>
        <v/>
      </c>
      <c r="AA263" s="52">
        <f>IF('計算'!$C259="","",IF('計算'!$M259="","",'計算'!$BI259))</f>
        <v/>
      </c>
      <c r="AB263" s="52">
        <f>IF('計算'!$C259="","",IF('計算'!$M259="","",'計算'!$BJ259))</f>
        <v/>
      </c>
      <c r="AC263" s="52">
        <f>IF('計算'!$C259="","",IF('計算'!$M259="","",'計算'!$BK259))</f>
        <v/>
      </c>
      <c r="AD263" s="53" t="n"/>
      <c r="AE263" s="48" t="n"/>
      <c r="AF263" s="54">
        <f>IF('計算'!$C259="","",'計算'!$C259)</f>
        <v/>
      </c>
      <c r="AG263" s="54">
        <f>IF('計算'!$C259="","",'計算'!$F259)</f>
        <v/>
      </c>
    </row>
    <row r="264" ht="18" customHeight="1">
      <c r="B264" s="42">
        <f>IF('計算'!$C260="","",'計算'!$B260)</f>
        <v/>
      </c>
      <c r="C264" s="43">
        <f>IF('計算'!$C260="","",'計算'!$D260)</f>
        <v/>
      </c>
      <c r="D264" s="44">
        <f>IF('計算'!$C260="","",'計算'!$O260)</f>
        <v/>
      </c>
      <c r="E264" s="45">
        <f>IF('計算'!$C260="","",'計算'!$L260)</f>
        <v/>
      </c>
      <c r="F264" s="46">
        <f>IF('計算'!$C260="","",'計算'!$CD260)</f>
        <v/>
      </c>
      <c r="G264" s="47">
        <f>IF('計算'!$C260="","",'計算'!$CA260)</f>
        <v/>
      </c>
      <c r="H264" s="43">
        <f>IF('計算'!$C260="","",'計算'!$CP260)</f>
        <v/>
      </c>
      <c r="I264" s="48" t="n"/>
      <c r="J264" s="49" t="n"/>
      <c r="K264" s="50">
        <f>IF('計算'!$C260="","",'計算'!$CR260)</f>
        <v/>
      </c>
      <c r="L264" s="51">
        <f>IF('計算'!$C260="","",'計算'!$CF260)</f>
        <v/>
      </c>
      <c r="M264" s="48" t="n"/>
      <c r="N264" s="49" t="n"/>
      <c r="O264" s="43">
        <f>IF('計算'!$C260="","",'計算'!$CQ260)</f>
        <v/>
      </c>
      <c r="P264" s="52">
        <f>IF('計算'!$C260="","",IF('計算'!$M260="","",'計算'!$AX260))</f>
        <v/>
      </c>
      <c r="Q264" s="52">
        <f>IF('計算'!$C260="","",IF('計算'!$M260="","",'計算'!$AY260))</f>
        <v/>
      </c>
      <c r="R264" s="52">
        <f>IF('計算'!$C260="","",IF('計算'!$M260="","",'計算'!$AZ260))</f>
        <v/>
      </c>
      <c r="S264" s="52">
        <f>IF('計算'!$C260="","",IF('計算'!$M260="","",'計算'!$BA260))</f>
        <v/>
      </c>
      <c r="T264" s="52">
        <f>IF('計算'!$C260="","",IF('計算'!$M260="","",'計算'!$BB260))</f>
        <v/>
      </c>
      <c r="U264" s="52">
        <f>IF('計算'!$C260="","",IF('計算'!$M260="","",'計算'!$BC260))</f>
        <v/>
      </c>
      <c r="V264" s="52">
        <f>IF('計算'!$C260="","",IF('計算'!$M260="","",'計算'!$BD260))</f>
        <v/>
      </c>
      <c r="W264" s="52">
        <f>IF('計算'!$C260="","",IF('計算'!$M260="","",'計算'!$BE260))</f>
        <v/>
      </c>
      <c r="X264" s="52">
        <f>IF('計算'!$C260="","",IF('計算'!$M260="","",'計算'!$BF260))</f>
        <v/>
      </c>
      <c r="Y264" s="52">
        <f>IF('計算'!$C260="","",IF('計算'!$M260="","",'計算'!$BG260))</f>
        <v/>
      </c>
      <c r="Z264" s="52">
        <f>IF('計算'!$C260="","",IF('計算'!$M260="","",'計算'!$BH260))</f>
        <v/>
      </c>
      <c r="AA264" s="52">
        <f>IF('計算'!$C260="","",IF('計算'!$M260="","",'計算'!$BI260))</f>
        <v/>
      </c>
      <c r="AB264" s="52">
        <f>IF('計算'!$C260="","",IF('計算'!$M260="","",'計算'!$BJ260))</f>
        <v/>
      </c>
      <c r="AC264" s="52">
        <f>IF('計算'!$C260="","",IF('計算'!$M260="","",'計算'!$BK260))</f>
        <v/>
      </c>
      <c r="AD264" s="53" t="n"/>
      <c r="AE264" s="48" t="n"/>
      <c r="AF264" s="54">
        <f>IF('計算'!$C260="","",'計算'!$C260)</f>
        <v/>
      </c>
      <c r="AG264" s="54">
        <f>IF('計算'!$C260="","",'計算'!$F260)</f>
        <v/>
      </c>
    </row>
    <row r="265" ht="18" customHeight="1">
      <c r="B265" s="42">
        <f>IF('計算'!$C261="","",'計算'!$B261)</f>
        <v/>
      </c>
      <c r="C265" s="43">
        <f>IF('計算'!$C261="","",'計算'!$D261)</f>
        <v/>
      </c>
      <c r="D265" s="44">
        <f>IF('計算'!$C261="","",'計算'!$O261)</f>
        <v/>
      </c>
      <c r="E265" s="45">
        <f>IF('計算'!$C261="","",'計算'!$L261)</f>
        <v/>
      </c>
      <c r="F265" s="46">
        <f>IF('計算'!$C261="","",'計算'!$CD261)</f>
        <v/>
      </c>
      <c r="G265" s="47">
        <f>IF('計算'!$C261="","",'計算'!$CA261)</f>
        <v/>
      </c>
      <c r="H265" s="43">
        <f>IF('計算'!$C261="","",'計算'!$CP261)</f>
        <v/>
      </c>
      <c r="I265" s="48" t="n"/>
      <c r="J265" s="49" t="n"/>
      <c r="K265" s="50">
        <f>IF('計算'!$C261="","",'計算'!$CR261)</f>
        <v/>
      </c>
      <c r="L265" s="51">
        <f>IF('計算'!$C261="","",'計算'!$CF261)</f>
        <v/>
      </c>
      <c r="M265" s="48" t="n"/>
      <c r="N265" s="49" t="n"/>
      <c r="O265" s="43">
        <f>IF('計算'!$C261="","",'計算'!$CQ261)</f>
        <v/>
      </c>
      <c r="P265" s="52">
        <f>IF('計算'!$C261="","",IF('計算'!$M261="","",'計算'!$AX261))</f>
        <v/>
      </c>
      <c r="Q265" s="52">
        <f>IF('計算'!$C261="","",IF('計算'!$M261="","",'計算'!$AY261))</f>
        <v/>
      </c>
      <c r="R265" s="52">
        <f>IF('計算'!$C261="","",IF('計算'!$M261="","",'計算'!$AZ261))</f>
        <v/>
      </c>
      <c r="S265" s="52">
        <f>IF('計算'!$C261="","",IF('計算'!$M261="","",'計算'!$BA261))</f>
        <v/>
      </c>
      <c r="T265" s="52">
        <f>IF('計算'!$C261="","",IF('計算'!$M261="","",'計算'!$BB261))</f>
        <v/>
      </c>
      <c r="U265" s="52">
        <f>IF('計算'!$C261="","",IF('計算'!$M261="","",'計算'!$BC261))</f>
        <v/>
      </c>
      <c r="V265" s="52">
        <f>IF('計算'!$C261="","",IF('計算'!$M261="","",'計算'!$BD261))</f>
        <v/>
      </c>
      <c r="W265" s="52">
        <f>IF('計算'!$C261="","",IF('計算'!$M261="","",'計算'!$BE261))</f>
        <v/>
      </c>
      <c r="X265" s="52">
        <f>IF('計算'!$C261="","",IF('計算'!$M261="","",'計算'!$BF261))</f>
        <v/>
      </c>
      <c r="Y265" s="52">
        <f>IF('計算'!$C261="","",IF('計算'!$M261="","",'計算'!$BG261))</f>
        <v/>
      </c>
      <c r="Z265" s="52">
        <f>IF('計算'!$C261="","",IF('計算'!$M261="","",'計算'!$BH261))</f>
        <v/>
      </c>
      <c r="AA265" s="52">
        <f>IF('計算'!$C261="","",IF('計算'!$M261="","",'計算'!$BI261))</f>
        <v/>
      </c>
      <c r="AB265" s="52">
        <f>IF('計算'!$C261="","",IF('計算'!$M261="","",'計算'!$BJ261))</f>
        <v/>
      </c>
      <c r="AC265" s="52">
        <f>IF('計算'!$C261="","",IF('計算'!$M261="","",'計算'!$BK261))</f>
        <v/>
      </c>
      <c r="AD265" s="53" t="n"/>
      <c r="AE265" s="48" t="n"/>
      <c r="AF265" s="54">
        <f>IF('計算'!$C261="","",'計算'!$C261)</f>
        <v/>
      </c>
      <c r="AG265" s="54">
        <f>IF('計算'!$C261="","",'計算'!$F261)</f>
        <v/>
      </c>
    </row>
    <row r="266" ht="18" customHeight="1">
      <c r="B266" s="42">
        <f>IF('計算'!$C262="","",'計算'!$B262)</f>
        <v/>
      </c>
      <c r="C266" s="43">
        <f>IF('計算'!$C262="","",'計算'!$D262)</f>
        <v/>
      </c>
      <c r="D266" s="44">
        <f>IF('計算'!$C262="","",'計算'!$O262)</f>
        <v/>
      </c>
      <c r="E266" s="45">
        <f>IF('計算'!$C262="","",'計算'!$L262)</f>
        <v/>
      </c>
      <c r="F266" s="46">
        <f>IF('計算'!$C262="","",'計算'!$CD262)</f>
        <v/>
      </c>
      <c r="G266" s="47">
        <f>IF('計算'!$C262="","",'計算'!$CA262)</f>
        <v/>
      </c>
      <c r="H266" s="43">
        <f>IF('計算'!$C262="","",'計算'!$CP262)</f>
        <v/>
      </c>
      <c r="I266" s="48" t="n"/>
      <c r="J266" s="49" t="n"/>
      <c r="K266" s="50">
        <f>IF('計算'!$C262="","",'計算'!$CR262)</f>
        <v/>
      </c>
      <c r="L266" s="51">
        <f>IF('計算'!$C262="","",'計算'!$CF262)</f>
        <v/>
      </c>
      <c r="M266" s="48" t="n"/>
      <c r="N266" s="49" t="n"/>
      <c r="O266" s="43">
        <f>IF('計算'!$C262="","",'計算'!$CQ262)</f>
        <v/>
      </c>
      <c r="P266" s="52">
        <f>IF('計算'!$C262="","",IF('計算'!$M262="","",'計算'!$AX262))</f>
        <v/>
      </c>
      <c r="Q266" s="52">
        <f>IF('計算'!$C262="","",IF('計算'!$M262="","",'計算'!$AY262))</f>
        <v/>
      </c>
      <c r="R266" s="52">
        <f>IF('計算'!$C262="","",IF('計算'!$M262="","",'計算'!$AZ262))</f>
        <v/>
      </c>
      <c r="S266" s="52">
        <f>IF('計算'!$C262="","",IF('計算'!$M262="","",'計算'!$BA262))</f>
        <v/>
      </c>
      <c r="T266" s="52">
        <f>IF('計算'!$C262="","",IF('計算'!$M262="","",'計算'!$BB262))</f>
        <v/>
      </c>
      <c r="U266" s="52">
        <f>IF('計算'!$C262="","",IF('計算'!$M262="","",'計算'!$BC262))</f>
        <v/>
      </c>
      <c r="V266" s="52">
        <f>IF('計算'!$C262="","",IF('計算'!$M262="","",'計算'!$BD262))</f>
        <v/>
      </c>
      <c r="W266" s="52">
        <f>IF('計算'!$C262="","",IF('計算'!$M262="","",'計算'!$BE262))</f>
        <v/>
      </c>
      <c r="X266" s="52">
        <f>IF('計算'!$C262="","",IF('計算'!$M262="","",'計算'!$BF262))</f>
        <v/>
      </c>
      <c r="Y266" s="52">
        <f>IF('計算'!$C262="","",IF('計算'!$M262="","",'計算'!$BG262))</f>
        <v/>
      </c>
      <c r="Z266" s="52">
        <f>IF('計算'!$C262="","",IF('計算'!$M262="","",'計算'!$BH262))</f>
        <v/>
      </c>
      <c r="AA266" s="52">
        <f>IF('計算'!$C262="","",IF('計算'!$M262="","",'計算'!$BI262))</f>
        <v/>
      </c>
      <c r="AB266" s="52">
        <f>IF('計算'!$C262="","",IF('計算'!$M262="","",'計算'!$BJ262))</f>
        <v/>
      </c>
      <c r="AC266" s="52">
        <f>IF('計算'!$C262="","",IF('計算'!$M262="","",'計算'!$BK262))</f>
        <v/>
      </c>
      <c r="AD266" s="53" t="n"/>
      <c r="AE266" s="48" t="n"/>
      <c r="AF266" s="54">
        <f>IF('計算'!$C262="","",'計算'!$C262)</f>
        <v/>
      </c>
      <c r="AG266" s="54">
        <f>IF('計算'!$C262="","",'計算'!$F262)</f>
        <v/>
      </c>
    </row>
    <row r="267" ht="18" customHeight="1">
      <c r="B267" s="42">
        <f>IF('計算'!$C263="","",'計算'!$B263)</f>
        <v/>
      </c>
      <c r="C267" s="43">
        <f>IF('計算'!$C263="","",'計算'!$D263)</f>
        <v/>
      </c>
      <c r="D267" s="44">
        <f>IF('計算'!$C263="","",'計算'!$O263)</f>
        <v/>
      </c>
      <c r="E267" s="45">
        <f>IF('計算'!$C263="","",'計算'!$L263)</f>
        <v/>
      </c>
      <c r="F267" s="46">
        <f>IF('計算'!$C263="","",'計算'!$CD263)</f>
        <v/>
      </c>
      <c r="G267" s="47">
        <f>IF('計算'!$C263="","",'計算'!$CA263)</f>
        <v/>
      </c>
      <c r="H267" s="43">
        <f>IF('計算'!$C263="","",'計算'!$CP263)</f>
        <v/>
      </c>
      <c r="I267" s="48" t="n"/>
      <c r="J267" s="49" t="n"/>
      <c r="K267" s="50">
        <f>IF('計算'!$C263="","",'計算'!$CR263)</f>
        <v/>
      </c>
      <c r="L267" s="51">
        <f>IF('計算'!$C263="","",'計算'!$CF263)</f>
        <v/>
      </c>
      <c r="M267" s="48" t="n"/>
      <c r="N267" s="49" t="n"/>
      <c r="O267" s="43">
        <f>IF('計算'!$C263="","",'計算'!$CQ263)</f>
        <v/>
      </c>
      <c r="P267" s="52">
        <f>IF('計算'!$C263="","",IF('計算'!$M263="","",'計算'!$AX263))</f>
        <v/>
      </c>
      <c r="Q267" s="52">
        <f>IF('計算'!$C263="","",IF('計算'!$M263="","",'計算'!$AY263))</f>
        <v/>
      </c>
      <c r="R267" s="52">
        <f>IF('計算'!$C263="","",IF('計算'!$M263="","",'計算'!$AZ263))</f>
        <v/>
      </c>
      <c r="S267" s="52">
        <f>IF('計算'!$C263="","",IF('計算'!$M263="","",'計算'!$BA263))</f>
        <v/>
      </c>
      <c r="T267" s="52">
        <f>IF('計算'!$C263="","",IF('計算'!$M263="","",'計算'!$BB263))</f>
        <v/>
      </c>
      <c r="U267" s="52">
        <f>IF('計算'!$C263="","",IF('計算'!$M263="","",'計算'!$BC263))</f>
        <v/>
      </c>
      <c r="V267" s="52">
        <f>IF('計算'!$C263="","",IF('計算'!$M263="","",'計算'!$BD263))</f>
        <v/>
      </c>
      <c r="W267" s="52">
        <f>IF('計算'!$C263="","",IF('計算'!$M263="","",'計算'!$BE263))</f>
        <v/>
      </c>
      <c r="X267" s="52">
        <f>IF('計算'!$C263="","",IF('計算'!$M263="","",'計算'!$BF263))</f>
        <v/>
      </c>
      <c r="Y267" s="52">
        <f>IF('計算'!$C263="","",IF('計算'!$M263="","",'計算'!$BG263))</f>
        <v/>
      </c>
      <c r="Z267" s="52">
        <f>IF('計算'!$C263="","",IF('計算'!$M263="","",'計算'!$BH263))</f>
        <v/>
      </c>
      <c r="AA267" s="52">
        <f>IF('計算'!$C263="","",IF('計算'!$M263="","",'計算'!$BI263))</f>
        <v/>
      </c>
      <c r="AB267" s="52">
        <f>IF('計算'!$C263="","",IF('計算'!$M263="","",'計算'!$BJ263))</f>
        <v/>
      </c>
      <c r="AC267" s="52">
        <f>IF('計算'!$C263="","",IF('計算'!$M263="","",'計算'!$BK263))</f>
        <v/>
      </c>
      <c r="AD267" s="53" t="n"/>
      <c r="AE267" s="48" t="n"/>
      <c r="AF267" s="54">
        <f>IF('計算'!$C263="","",'計算'!$C263)</f>
        <v/>
      </c>
      <c r="AG267" s="54">
        <f>IF('計算'!$C263="","",'計算'!$F263)</f>
        <v/>
      </c>
    </row>
    <row r="268" ht="18" customHeight="1">
      <c r="B268" s="42">
        <f>IF('計算'!$C264="","",'計算'!$B264)</f>
        <v/>
      </c>
      <c r="C268" s="43">
        <f>IF('計算'!$C264="","",'計算'!$D264)</f>
        <v/>
      </c>
      <c r="D268" s="44">
        <f>IF('計算'!$C264="","",'計算'!$O264)</f>
        <v/>
      </c>
      <c r="E268" s="45">
        <f>IF('計算'!$C264="","",'計算'!$L264)</f>
        <v/>
      </c>
      <c r="F268" s="46">
        <f>IF('計算'!$C264="","",'計算'!$CD264)</f>
        <v/>
      </c>
      <c r="G268" s="47">
        <f>IF('計算'!$C264="","",'計算'!$CA264)</f>
        <v/>
      </c>
      <c r="H268" s="43">
        <f>IF('計算'!$C264="","",'計算'!$CP264)</f>
        <v/>
      </c>
      <c r="I268" s="48" t="n"/>
      <c r="J268" s="49" t="n"/>
      <c r="K268" s="50">
        <f>IF('計算'!$C264="","",'計算'!$CR264)</f>
        <v/>
      </c>
      <c r="L268" s="51">
        <f>IF('計算'!$C264="","",'計算'!$CF264)</f>
        <v/>
      </c>
      <c r="M268" s="48" t="n"/>
      <c r="N268" s="49" t="n"/>
      <c r="O268" s="43">
        <f>IF('計算'!$C264="","",'計算'!$CQ264)</f>
        <v/>
      </c>
      <c r="P268" s="52">
        <f>IF('計算'!$C264="","",IF('計算'!$M264="","",'計算'!$AX264))</f>
        <v/>
      </c>
      <c r="Q268" s="52">
        <f>IF('計算'!$C264="","",IF('計算'!$M264="","",'計算'!$AY264))</f>
        <v/>
      </c>
      <c r="R268" s="52">
        <f>IF('計算'!$C264="","",IF('計算'!$M264="","",'計算'!$AZ264))</f>
        <v/>
      </c>
      <c r="S268" s="52">
        <f>IF('計算'!$C264="","",IF('計算'!$M264="","",'計算'!$BA264))</f>
        <v/>
      </c>
      <c r="T268" s="52">
        <f>IF('計算'!$C264="","",IF('計算'!$M264="","",'計算'!$BB264))</f>
        <v/>
      </c>
      <c r="U268" s="52">
        <f>IF('計算'!$C264="","",IF('計算'!$M264="","",'計算'!$BC264))</f>
        <v/>
      </c>
      <c r="V268" s="52">
        <f>IF('計算'!$C264="","",IF('計算'!$M264="","",'計算'!$BD264))</f>
        <v/>
      </c>
      <c r="W268" s="52">
        <f>IF('計算'!$C264="","",IF('計算'!$M264="","",'計算'!$BE264))</f>
        <v/>
      </c>
      <c r="X268" s="52">
        <f>IF('計算'!$C264="","",IF('計算'!$M264="","",'計算'!$BF264))</f>
        <v/>
      </c>
      <c r="Y268" s="52">
        <f>IF('計算'!$C264="","",IF('計算'!$M264="","",'計算'!$BG264))</f>
        <v/>
      </c>
      <c r="Z268" s="52">
        <f>IF('計算'!$C264="","",IF('計算'!$M264="","",'計算'!$BH264))</f>
        <v/>
      </c>
      <c r="AA268" s="52">
        <f>IF('計算'!$C264="","",IF('計算'!$M264="","",'計算'!$BI264))</f>
        <v/>
      </c>
      <c r="AB268" s="52">
        <f>IF('計算'!$C264="","",IF('計算'!$M264="","",'計算'!$BJ264))</f>
        <v/>
      </c>
      <c r="AC268" s="52">
        <f>IF('計算'!$C264="","",IF('計算'!$M264="","",'計算'!$BK264))</f>
        <v/>
      </c>
      <c r="AD268" s="53" t="n"/>
      <c r="AE268" s="48" t="n"/>
      <c r="AF268" s="54">
        <f>IF('計算'!$C264="","",'計算'!$C264)</f>
        <v/>
      </c>
      <c r="AG268" s="54">
        <f>IF('計算'!$C264="","",'計算'!$F264)</f>
        <v/>
      </c>
    </row>
    <row r="269" ht="18" customHeight="1">
      <c r="B269" s="42">
        <f>IF('計算'!$C265="","",'計算'!$B265)</f>
        <v/>
      </c>
      <c r="C269" s="43">
        <f>IF('計算'!$C265="","",'計算'!$D265)</f>
        <v/>
      </c>
      <c r="D269" s="44">
        <f>IF('計算'!$C265="","",'計算'!$O265)</f>
        <v/>
      </c>
      <c r="E269" s="45">
        <f>IF('計算'!$C265="","",'計算'!$L265)</f>
        <v/>
      </c>
      <c r="F269" s="46">
        <f>IF('計算'!$C265="","",'計算'!$CD265)</f>
        <v/>
      </c>
      <c r="G269" s="47">
        <f>IF('計算'!$C265="","",'計算'!$CA265)</f>
        <v/>
      </c>
      <c r="H269" s="43">
        <f>IF('計算'!$C265="","",'計算'!$CP265)</f>
        <v/>
      </c>
      <c r="I269" s="48" t="n"/>
      <c r="J269" s="49" t="n"/>
      <c r="K269" s="50">
        <f>IF('計算'!$C265="","",'計算'!$CR265)</f>
        <v/>
      </c>
      <c r="L269" s="51">
        <f>IF('計算'!$C265="","",'計算'!$CF265)</f>
        <v/>
      </c>
      <c r="M269" s="48" t="n"/>
      <c r="N269" s="49" t="n"/>
      <c r="O269" s="43">
        <f>IF('計算'!$C265="","",'計算'!$CQ265)</f>
        <v/>
      </c>
      <c r="P269" s="52">
        <f>IF('計算'!$C265="","",IF('計算'!$M265="","",'計算'!$AX265))</f>
        <v/>
      </c>
      <c r="Q269" s="52">
        <f>IF('計算'!$C265="","",IF('計算'!$M265="","",'計算'!$AY265))</f>
        <v/>
      </c>
      <c r="R269" s="52">
        <f>IF('計算'!$C265="","",IF('計算'!$M265="","",'計算'!$AZ265))</f>
        <v/>
      </c>
      <c r="S269" s="52">
        <f>IF('計算'!$C265="","",IF('計算'!$M265="","",'計算'!$BA265))</f>
        <v/>
      </c>
      <c r="T269" s="52">
        <f>IF('計算'!$C265="","",IF('計算'!$M265="","",'計算'!$BB265))</f>
        <v/>
      </c>
      <c r="U269" s="52">
        <f>IF('計算'!$C265="","",IF('計算'!$M265="","",'計算'!$BC265))</f>
        <v/>
      </c>
      <c r="V269" s="52">
        <f>IF('計算'!$C265="","",IF('計算'!$M265="","",'計算'!$BD265))</f>
        <v/>
      </c>
      <c r="W269" s="52">
        <f>IF('計算'!$C265="","",IF('計算'!$M265="","",'計算'!$BE265))</f>
        <v/>
      </c>
      <c r="X269" s="52">
        <f>IF('計算'!$C265="","",IF('計算'!$M265="","",'計算'!$BF265))</f>
        <v/>
      </c>
      <c r="Y269" s="52">
        <f>IF('計算'!$C265="","",IF('計算'!$M265="","",'計算'!$BG265))</f>
        <v/>
      </c>
      <c r="Z269" s="52">
        <f>IF('計算'!$C265="","",IF('計算'!$M265="","",'計算'!$BH265))</f>
        <v/>
      </c>
      <c r="AA269" s="52">
        <f>IF('計算'!$C265="","",IF('計算'!$M265="","",'計算'!$BI265))</f>
        <v/>
      </c>
      <c r="AB269" s="52">
        <f>IF('計算'!$C265="","",IF('計算'!$M265="","",'計算'!$BJ265))</f>
        <v/>
      </c>
      <c r="AC269" s="52">
        <f>IF('計算'!$C265="","",IF('計算'!$M265="","",'計算'!$BK265))</f>
        <v/>
      </c>
      <c r="AD269" s="53" t="n"/>
      <c r="AE269" s="48" t="n"/>
      <c r="AF269" s="54">
        <f>IF('計算'!$C265="","",'計算'!$C265)</f>
        <v/>
      </c>
      <c r="AG269" s="54">
        <f>IF('計算'!$C265="","",'計算'!$F265)</f>
        <v/>
      </c>
    </row>
    <row r="270" ht="18" customHeight="1">
      <c r="B270" s="42">
        <f>IF('計算'!$C266="","",'計算'!$B266)</f>
        <v/>
      </c>
      <c r="C270" s="43">
        <f>IF('計算'!$C266="","",'計算'!$D266)</f>
        <v/>
      </c>
      <c r="D270" s="44">
        <f>IF('計算'!$C266="","",'計算'!$O266)</f>
        <v/>
      </c>
      <c r="E270" s="45">
        <f>IF('計算'!$C266="","",'計算'!$L266)</f>
        <v/>
      </c>
      <c r="F270" s="46">
        <f>IF('計算'!$C266="","",'計算'!$CD266)</f>
        <v/>
      </c>
      <c r="G270" s="47">
        <f>IF('計算'!$C266="","",'計算'!$CA266)</f>
        <v/>
      </c>
      <c r="H270" s="43">
        <f>IF('計算'!$C266="","",'計算'!$CP266)</f>
        <v/>
      </c>
      <c r="I270" s="48" t="n"/>
      <c r="J270" s="49" t="n"/>
      <c r="K270" s="50">
        <f>IF('計算'!$C266="","",'計算'!$CR266)</f>
        <v/>
      </c>
      <c r="L270" s="51">
        <f>IF('計算'!$C266="","",'計算'!$CF266)</f>
        <v/>
      </c>
      <c r="M270" s="48" t="n"/>
      <c r="N270" s="49" t="n"/>
      <c r="O270" s="43">
        <f>IF('計算'!$C266="","",'計算'!$CQ266)</f>
        <v/>
      </c>
      <c r="P270" s="52">
        <f>IF('計算'!$C266="","",IF('計算'!$M266="","",'計算'!$AX266))</f>
        <v/>
      </c>
      <c r="Q270" s="52">
        <f>IF('計算'!$C266="","",IF('計算'!$M266="","",'計算'!$AY266))</f>
        <v/>
      </c>
      <c r="R270" s="52">
        <f>IF('計算'!$C266="","",IF('計算'!$M266="","",'計算'!$AZ266))</f>
        <v/>
      </c>
      <c r="S270" s="52">
        <f>IF('計算'!$C266="","",IF('計算'!$M266="","",'計算'!$BA266))</f>
        <v/>
      </c>
      <c r="T270" s="52">
        <f>IF('計算'!$C266="","",IF('計算'!$M266="","",'計算'!$BB266))</f>
        <v/>
      </c>
      <c r="U270" s="52">
        <f>IF('計算'!$C266="","",IF('計算'!$M266="","",'計算'!$BC266))</f>
        <v/>
      </c>
      <c r="V270" s="52">
        <f>IF('計算'!$C266="","",IF('計算'!$M266="","",'計算'!$BD266))</f>
        <v/>
      </c>
      <c r="W270" s="52">
        <f>IF('計算'!$C266="","",IF('計算'!$M266="","",'計算'!$BE266))</f>
        <v/>
      </c>
      <c r="X270" s="52">
        <f>IF('計算'!$C266="","",IF('計算'!$M266="","",'計算'!$BF266))</f>
        <v/>
      </c>
      <c r="Y270" s="52">
        <f>IF('計算'!$C266="","",IF('計算'!$M266="","",'計算'!$BG266))</f>
        <v/>
      </c>
      <c r="Z270" s="52">
        <f>IF('計算'!$C266="","",IF('計算'!$M266="","",'計算'!$BH266))</f>
        <v/>
      </c>
      <c r="AA270" s="52">
        <f>IF('計算'!$C266="","",IF('計算'!$M266="","",'計算'!$BI266))</f>
        <v/>
      </c>
      <c r="AB270" s="52">
        <f>IF('計算'!$C266="","",IF('計算'!$M266="","",'計算'!$BJ266))</f>
        <v/>
      </c>
      <c r="AC270" s="52">
        <f>IF('計算'!$C266="","",IF('計算'!$M266="","",'計算'!$BK266))</f>
        <v/>
      </c>
      <c r="AD270" s="53" t="n"/>
      <c r="AE270" s="48" t="n"/>
      <c r="AF270" s="54">
        <f>IF('計算'!$C266="","",'計算'!$C266)</f>
        <v/>
      </c>
      <c r="AG270" s="54">
        <f>IF('計算'!$C266="","",'計算'!$F266)</f>
        <v/>
      </c>
    </row>
    <row r="271" ht="18" customHeight="1">
      <c r="B271" s="42">
        <f>IF('計算'!$C267="","",'計算'!$B267)</f>
        <v/>
      </c>
      <c r="C271" s="43">
        <f>IF('計算'!$C267="","",'計算'!$D267)</f>
        <v/>
      </c>
      <c r="D271" s="44">
        <f>IF('計算'!$C267="","",'計算'!$O267)</f>
        <v/>
      </c>
      <c r="E271" s="45">
        <f>IF('計算'!$C267="","",'計算'!$L267)</f>
        <v/>
      </c>
      <c r="F271" s="46">
        <f>IF('計算'!$C267="","",'計算'!$CD267)</f>
        <v/>
      </c>
      <c r="G271" s="47">
        <f>IF('計算'!$C267="","",'計算'!$CA267)</f>
        <v/>
      </c>
      <c r="H271" s="43">
        <f>IF('計算'!$C267="","",'計算'!$CP267)</f>
        <v/>
      </c>
      <c r="I271" s="48" t="n"/>
      <c r="J271" s="49" t="n"/>
      <c r="K271" s="50">
        <f>IF('計算'!$C267="","",'計算'!$CR267)</f>
        <v/>
      </c>
      <c r="L271" s="51">
        <f>IF('計算'!$C267="","",'計算'!$CF267)</f>
        <v/>
      </c>
      <c r="M271" s="48" t="n"/>
      <c r="N271" s="49" t="n"/>
      <c r="O271" s="43">
        <f>IF('計算'!$C267="","",'計算'!$CQ267)</f>
        <v/>
      </c>
      <c r="P271" s="52">
        <f>IF('計算'!$C267="","",IF('計算'!$M267="","",'計算'!$AX267))</f>
        <v/>
      </c>
      <c r="Q271" s="52">
        <f>IF('計算'!$C267="","",IF('計算'!$M267="","",'計算'!$AY267))</f>
        <v/>
      </c>
      <c r="R271" s="52">
        <f>IF('計算'!$C267="","",IF('計算'!$M267="","",'計算'!$AZ267))</f>
        <v/>
      </c>
      <c r="S271" s="52">
        <f>IF('計算'!$C267="","",IF('計算'!$M267="","",'計算'!$BA267))</f>
        <v/>
      </c>
      <c r="T271" s="52">
        <f>IF('計算'!$C267="","",IF('計算'!$M267="","",'計算'!$BB267))</f>
        <v/>
      </c>
      <c r="U271" s="52">
        <f>IF('計算'!$C267="","",IF('計算'!$M267="","",'計算'!$BC267))</f>
        <v/>
      </c>
      <c r="V271" s="52">
        <f>IF('計算'!$C267="","",IF('計算'!$M267="","",'計算'!$BD267))</f>
        <v/>
      </c>
      <c r="W271" s="52">
        <f>IF('計算'!$C267="","",IF('計算'!$M267="","",'計算'!$BE267))</f>
        <v/>
      </c>
      <c r="X271" s="52">
        <f>IF('計算'!$C267="","",IF('計算'!$M267="","",'計算'!$BF267))</f>
        <v/>
      </c>
      <c r="Y271" s="52">
        <f>IF('計算'!$C267="","",IF('計算'!$M267="","",'計算'!$BG267))</f>
        <v/>
      </c>
      <c r="Z271" s="52">
        <f>IF('計算'!$C267="","",IF('計算'!$M267="","",'計算'!$BH267))</f>
        <v/>
      </c>
      <c r="AA271" s="52">
        <f>IF('計算'!$C267="","",IF('計算'!$M267="","",'計算'!$BI267))</f>
        <v/>
      </c>
      <c r="AB271" s="52">
        <f>IF('計算'!$C267="","",IF('計算'!$M267="","",'計算'!$BJ267))</f>
        <v/>
      </c>
      <c r="AC271" s="52">
        <f>IF('計算'!$C267="","",IF('計算'!$M267="","",'計算'!$BK267))</f>
        <v/>
      </c>
      <c r="AD271" s="53" t="n"/>
      <c r="AE271" s="48" t="n"/>
      <c r="AF271" s="54">
        <f>IF('計算'!$C267="","",'計算'!$C267)</f>
        <v/>
      </c>
      <c r="AG271" s="54">
        <f>IF('計算'!$C267="","",'計算'!$F267)</f>
        <v/>
      </c>
    </row>
    <row r="272" ht="18" customHeight="1">
      <c r="B272" s="42">
        <f>IF('計算'!$C268="","",'計算'!$B268)</f>
        <v/>
      </c>
      <c r="C272" s="43">
        <f>IF('計算'!$C268="","",'計算'!$D268)</f>
        <v/>
      </c>
      <c r="D272" s="44">
        <f>IF('計算'!$C268="","",'計算'!$O268)</f>
        <v/>
      </c>
      <c r="E272" s="45">
        <f>IF('計算'!$C268="","",'計算'!$L268)</f>
        <v/>
      </c>
      <c r="F272" s="46">
        <f>IF('計算'!$C268="","",'計算'!$CD268)</f>
        <v/>
      </c>
      <c r="G272" s="47">
        <f>IF('計算'!$C268="","",'計算'!$CA268)</f>
        <v/>
      </c>
      <c r="H272" s="43">
        <f>IF('計算'!$C268="","",'計算'!$CP268)</f>
        <v/>
      </c>
      <c r="I272" s="48" t="n"/>
      <c r="J272" s="49" t="n"/>
      <c r="K272" s="50">
        <f>IF('計算'!$C268="","",'計算'!$CR268)</f>
        <v/>
      </c>
      <c r="L272" s="51">
        <f>IF('計算'!$C268="","",'計算'!$CF268)</f>
        <v/>
      </c>
      <c r="M272" s="48" t="n"/>
      <c r="N272" s="49" t="n"/>
      <c r="O272" s="43">
        <f>IF('計算'!$C268="","",'計算'!$CQ268)</f>
        <v/>
      </c>
      <c r="P272" s="52">
        <f>IF('計算'!$C268="","",IF('計算'!$M268="","",'計算'!$AX268))</f>
        <v/>
      </c>
      <c r="Q272" s="52">
        <f>IF('計算'!$C268="","",IF('計算'!$M268="","",'計算'!$AY268))</f>
        <v/>
      </c>
      <c r="R272" s="52">
        <f>IF('計算'!$C268="","",IF('計算'!$M268="","",'計算'!$AZ268))</f>
        <v/>
      </c>
      <c r="S272" s="52">
        <f>IF('計算'!$C268="","",IF('計算'!$M268="","",'計算'!$BA268))</f>
        <v/>
      </c>
      <c r="T272" s="52">
        <f>IF('計算'!$C268="","",IF('計算'!$M268="","",'計算'!$BB268))</f>
        <v/>
      </c>
      <c r="U272" s="52">
        <f>IF('計算'!$C268="","",IF('計算'!$M268="","",'計算'!$BC268))</f>
        <v/>
      </c>
      <c r="V272" s="52">
        <f>IF('計算'!$C268="","",IF('計算'!$M268="","",'計算'!$BD268))</f>
        <v/>
      </c>
      <c r="W272" s="52">
        <f>IF('計算'!$C268="","",IF('計算'!$M268="","",'計算'!$BE268))</f>
        <v/>
      </c>
      <c r="X272" s="52">
        <f>IF('計算'!$C268="","",IF('計算'!$M268="","",'計算'!$BF268))</f>
        <v/>
      </c>
      <c r="Y272" s="52">
        <f>IF('計算'!$C268="","",IF('計算'!$M268="","",'計算'!$BG268))</f>
        <v/>
      </c>
      <c r="Z272" s="52">
        <f>IF('計算'!$C268="","",IF('計算'!$M268="","",'計算'!$BH268))</f>
        <v/>
      </c>
      <c r="AA272" s="52">
        <f>IF('計算'!$C268="","",IF('計算'!$M268="","",'計算'!$BI268))</f>
        <v/>
      </c>
      <c r="AB272" s="52">
        <f>IF('計算'!$C268="","",IF('計算'!$M268="","",'計算'!$BJ268))</f>
        <v/>
      </c>
      <c r="AC272" s="52">
        <f>IF('計算'!$C268="","",IF('計算'!$M268="","",'計算'!$BK268))</f>
        <v/>
      </c>
      <c r="AD272" s="53" t="n"/>
      <c r="AE272" s="48" t="n"/>
      <c r="AF272" s="54">
        <f>IF('計算'!$C268="","",'計算'!$C268)</f>
        <v/>
      </c>
      <c r="AG272" s="54">
        <f>IF('計算'!$C268="","",'計算'!$F268)</f>
        <v/>
      </c>
    </row>
    <row r="273" ht="18" customHeight="1">
      <c r="B273" s="42">
        <f>IF('計算'!$C269="","",'計算'!$B269)</f>
        <v/>
      </c>
      <c r="C273" s="43">
        <f>IF('計算'!$C269="","",'計算'!$D269)</f>
        <v/>
      </c>
      <c r="D273" s="44">
        <f>IF('計算'!$C269="","",'計算'!$O269)</f>
        <v/>
      </c>
      <c r="E273" s="45">
        <f>IF('計算'!$C269="","",'計算'!$L269)</f>
        <v/>
      </c>
      <c r="F273" s="46">
        <f>IF('計算'!$C269="","",'計算'!$CD269)</f>
        <v/>
      </c>
      <c r="G273" s="47">
        <f>IF('計算'!$C269="","",'計算'!$CA269)</f>
        <v/>
      </c>
      <c r="H273" s="43">
        <f>IF('計算'!$C269="","",'計算'!$CP269)</f>
        <v/>
      </c>
      <c r="I273" s="48" t="n"/>
      <c r="J273" s="49" t="n"/>
      <c r="K273" s="50">
        <f>IF('計算'!$C269="","",'計算'!$CR269)</f>
        <v/>
      </c>
      <c r="L273" s="51">
        <f>IF('計算'!$C269="","",'計算'!$CF269)</f>
        <v/>
      </c>
      <c r="M273" s="48" t="n"/>
      <c r="N273" s="49" t="n"/>
      <c r="O273" s="43">
        <f>IF('計算'!$C269="","",'計算'!$CQ269)</f>
        <v/>
      </c>
      <c r="P273" s="52">
        <f>IF('計算'!$C269="","",IF('計算'!$M269="","",'計算'!$AX269))</f>
        <v/>
      </c>
      <c r="Q273" s="52">
        <f>IF('計算'!$C269="","",IF('計算'!$M269="","",'計算'!$AY269))</f>
        <v/>
      </c>
      <c r="R273" s="52">
        <f>IF('計算'!$C269="","",IF('計算'!$M269="","",'計算'!$AZ269))</f>
        <v/>
      </c>
      <c r="S273" s="52">
        <f>IF('計算'!$C269="","",IF('計算'!$M269="","",'計算'!$BA269))</f>
        <v/>
      </c>
      <c r="T273" s="52">
        <f>IF('計算'!$C269="","",IF('計算'!$M269="","",'計算'!$BB269))</f>
        <v/>
      </c>
      <c r="U273" s="52">
        <f>IF('計算'!$C269="","",IF('計算'!$M269="","",'計算'!$BC269))</f>
        <v/>
      </c>
      <c r="V273" s="52">
        <f>IF('計算'!$C269="","",IF('計算'!$M269="","",'計算'!$BD269))</f>
        <v/>
      </c>
      <c r="W273" s="52">
        <f>IF('計算'!$C269="","",IF('計算'!$M269="","",'計算'!$BE269))</f>
        <v/>
      </c>
      <c r="X273" s="52">
        <f>IF('計算'!$C269="","",IF('計算'!$M269="","",'計算'!$BF269))</f>
        <v/>
      </c>
      <c r="Y273" s="52">
        <f>IF('計算'!$C269="","",IF('計算'!$M269="","",'計算'!$BG269))</f>
        <v/>
      </c>
      <c r="Z273" s="52">
        <f>IF('計算'!$C269="","",IF('計算'!$M269="","",'計算'!$BH269))</f>
        <v/>
      </c>
      <c r="AA273" s="52">
        <f>IF('計算'!$C269="","",IF('計算'!$M269="","",'計算'!$BI269))</f>
        <v/>
      </c>
      <c r="AB273" s="52">
        <f>IF('計算'!$C269="","",IF('計算'!$M269="","",'計算'!$BJ269))</f>
        <v/>
      </c>
      <c r="AC273" s="52">
        <f>IF('計算'!$C269="","",IF('計算'!$M269="","",'計算'!$BK269))</f>
        <v/>
      </c>
      <c r="AD273" s="53" t="n"/>
      <c r="AE273" s="48" t="n"/>
      <c r="AF273" s="54">
        <f>IF('計算'!$C269="","",'計算'!$C269)</f>
        <v/>
      </c>
      <c r="AG273" s="54">
        <f>IF('計算'!$C269="","",'計算'!$F269)</f>
        <v/>
      </c>
    </row>
    <row r="274" ht="18" customHeight="1">
      <c r="B274" s="42">
        <f>IF('計算'!$C270="","",'計算'!$B270)</f>
        <v/>
      </c>
      <c r="C274" s="43">
        <f>IF('計算'!$C270="","",'計算'!$D270)</f>
        <v/>
      </c>
      <c r="D274" s="44">
        <f>IF('計算'!$C270="","",'計算'!$O270)</f>
        <v/>
      </c>
      <c r="E274" s="45">
        <f>IF('計算'!$C270="","",'計算'!$L270)</f>
        <v/>
      </c>
      <c r="F274" s="46">
        <f>IF('計算'!$C270="","",'計算'!$CD270)</f>
        <v/>
      </c>
      <c r="G274" s="47">
        <f>IF('計算'!$C270="","",'計算'!$CA270)</f>
        <v/>
      </c>
      <c r="H274" s="43">
        <f>IF('計算'!$C270="","",'計算'!$CP270)</f>
        <v/>
      </c>
      <c r="I274" s="48" t="n"/>
      <c r="J274" s="49" t="n"/>
      <c r="K274" s="50">
        <f>IF('計算'!$C270="","",'計算'!$CR270)</f>
        <v/>
      </c>
      <c r="L274" s="51">
        <f>IF('計算'!$C270="","",'計算'!$CF270)</f>
        <v/>
      </c>
      <c r="M274" s="48" t="n"/>
      <c r="N274" s="49" t="n"/>
      <c r="O274" s="43">
        <f>IF('計算'!$C270="","",'計算'!$CQ270)</f>
        <v/>
      </c>
      <c r="P274" s="52">
        <f>IF('計算'!$C270="","",IF('計算'!$M270="","",'計算'!$AX270))</f>
        <v/>
      </c>
      <c r="Q274" s="52">
        <f>IF('計算'!$C270="","",IF('計算'!$M270="","",'計算'!$AY270))</f>
        <v/>
      </c>
      <c r="R274" s="52">
        <f>IF('計算'!$C270="","",IF('計算'!$M270="","",'計算'!$AZ270))</f>
        <v/>
      </c>
      <c r="S274" s="52">
        <f>IF('計算'!$C270="","",IF('計算'!$M270="","",'計算'!$BA270))</f>
        <v/>
      </c>
      <c r="T274" s="52">
        <f>IF('計算'!$C270="","",IF('計算'!$M270="","",'計算'!$BB270))</f>
        <v/>
      </c>
      <c r="U274" s="52">
        <f>IF('計算'!$C270="","",IF('計算'!$M270="","",'計算'!$BC270))</f>
        <v/>
      </c>
      <c r="V274" s="52">
        <f>IF('計算'!$C270="","",IF('計算'!$M270="","",'計算'!$BD270))</f>
        <v/>
      </c>
      <c r="W274" s="52">
        <f>IF('計算'!$C270="","",IF('計算'!$M270="","",'計算'!$BE270))</f>
        <v/>
      </c>
      <c r="X274" s="52">
        <f>IF('計算'!$C270="","",IF('計算'!$M270="","",'計算'!$BF270))</f>
        <v/>
      </c>
      <c r="Y274" s="52">
        <f>IF('計算'!$C270="","",IF('計算'!$M270="","",'計算'!$BG270))</f>
        <v/>
      </c>
      <c r="Z274" s="52">
        <f>IF('計算'!$C270="","",IF('計算'!$M270="","",'計算'!$BH270))</f>
        <v/>
      </c>
      <c r="AA274" s="52">
        <f>IF('計算'!$C270="","",IF('計算'!$M270="","",'計算'!$BI270))</f>
        <v/>
      </c>
      <c r="AB274" s="52">
        <f>IF('計算'!$C270="","",IF('計算'!$M270="","",'計算'!$BJ270))</f>
        <v/>
      </c>
      <c r="AC274" s="52">
        <f>IF('計算'!$C270="","",IF('計算'!$M270="","",'計算'!$BK270))</f>
        <v/>
      </c>
      <c r="AD274" s="53" t="n"/>
      <c r="AE274" s="48" t="n"/>
      <c r="AF274" s="54">
        <f>IF('計算'!$C270="","",'計算'!$C270)</f>
        <v/>
      </c>
      <c r="AG274" s="54">
        <f>IF('計算'!$C270="","",'計算'!$F270)</f>
        <v/>
      </c>
    </row>
    <row r="275" ht="18" customHeight="1">
      <c r="B275" s="42">
        <f>IF('計算'!$C271="","",'計算'!$B271)</f>
        <v/>
      </c>
      <c r="C275" s="43">
        <f>IF('計算'!$C271="","",'計算'!$D271)</f>
        <v/>
      </c>
      <c r="D275" s="44">
        <f>IF('計算'!$C271="","",'計算'!$O271)</f>
        <v/>
      </c>
      <c r="E275" s="45">
        <f>IF('計算'!$C271="","",'計算'!$L271)</f>
        <v/>
      </c>
      <c r="F275" s="46">
        <f>IF('計算'!$C271="","",'計算'!$CD271)</f>
        <v/>
      </c>
      <c r="G275" s="47">
        <f>IF('計算'!$C271="","",'計算'!$CA271)</f>
        <v/>
      </c>
      <c r="H275" s="43">
        <f>IF('計算'!$C271="","",'計算'!$CP271)</f>
        <v/>
      </c>
      <c r="I275" s="48" t="n"/>
      <c r="J275" s="49" t="n"/>
      <c r="K275" s="50">
        <f>IF('計算'!$C271="","",'計算'!$CR271)</f>
        <v/>
      </c>
      <c r="L275" s="51">
        <f>IF('計算'!$C271="","",'計算'!$CF271)</f>
        <v/>
      </c>
      <c r="M275" s="48" t="n"/>
      <c r="N275" s="49" t="n"/>
      <c r="O275" s="43">
        <f>IF('計算'!$C271="","",'計算'!$CQ271)</f>
        <v/>
      </c>
      <c r="P275" s="52">
        <f>IF('計算'!$C271="","",IF('計算'!$M271="","",'計算'!$AX271))</f>
        <v/>
      </c>
      <c r="Q275" s="52">
        <f>IF('計算'!$C271="","",IF('計算'!$M271="","",'計算'!$AY271))</f>
        <v/>
      </c>
      <c r="R275" s="52">
        <f>IF('計算'!$C271="","",IF('計算'!$M271="","",'計算'!$AZ271))</f>
        <v/>
      </c>
      <c r="S275" s="52">
        <f>IF('計算'!$C271="","",IF('計算'!$M271="","",'計算'!$BA271))</f>
        <v/>
      </c>
      <c r="T275" s="52">
        <f>IF('計算'!$C271="","",IF('計算'!$M271="","",'計算'!$BB271))</f>
        <v/>
      </c>
      <c r="U275" s="52">
        <f>IF('計算'!$C271="","",IF('計算'!$M271="","",'計算'!$BC271))</f>
        <v/>
      </c>
      <c r="V275" s="52">
        <f>IF('計算'!$C271="","",IF('計算'!$M271="","",'計算'!$BD271))</f>
        <v/>
      </c>
      <c r="W275" s="52">
        <f>IF('計算'!$C271="","",IF('計算'!$M271="","",'計算'!$BE271))</f>
        <v/>
      </c>
      <c r="X275" s="52">
        <f>IF('計算'!$C271="","",IF('計算'!$M271="","",'計算'!$BF271))</f>
        <v/>
      </c>
      <c r="Y275" s="52">
        <f>IF('計算'!$C271="","",IF('計算'!$M271="","",'計算'!$BG271))</f>
        <v/>
      </c>
      <c r="Z275" s="52">
        <f>IF('計算'!$C271="","",IF('計算'!$M271="","",'計算'!$BH271))</f>
        <v/>
      </c>
      <c r="AA275" s="52">
        <f>IF('計算'!$C271="","",IF('計算'!$M271="","",'計算'!$BI271))</f>
        <v/>
      </c>
      <c r="AB275" s="52">
        <f>IF('計算'!$C271="","",IF('計算'!$M271="","",'計算'!$BJ271))</f>
        <v/>
      </c>
      <c r="AC275" s="52">
        <f>IF('計算'!$C271="","",IF('計算'!$M271="","",'計算'!$BK271))</f>
        <v/>
      </c>
      <c r="AD275" s="53" t="n"/>
      <c r="AE275" s="48" t="n"/>
      <c r="AF275" s="54">
        <f>IF('計算'!$C271="","",'計算'!$C271)</f>
        <v/>
      </c>
      <c r="AG275" s="54">
        <f>IF('計算'!$C271="","",'計算'!$F271)</f>
        <v/>
      </c>
    </row>
    <row r="276" ht="18" customHeight="1">
      <c r="B276" s="42">
        <f>IF('計算'!$C272="","",'計算'!$B272)</f>
        <v/>
      </c>
      <c r="C276" s="43">
        <f>IF('計算'!$C272="","",'計算'!$D272)</f>
        <v/>
      </c>
      <c r="D276" s="44">
        <f>IF('計算'!$C272="","",'計算'!$O272)</f>
        <v/>
      </c>
      <c r="E276" s="45">
        <f>IF('計算'!$C272="","",'計算'!$L272)</f>
        <v/>
      </c>
      <c r="F276" s="46">
        <f>IF('計算'!$C272="","",'計算'!$CD272)</f>
        <v/>
      </c>
      <c r="G276" s="47">
        <f>IF('計算'!$C272="","",'計算'!$CA272)</f>
        <v/>
      </c>
      <c r="H276" s="43">
        <f>IF('計算'!$C272="","",'計算'!$CP272)</f>
        <v/>
      </c>
      <c r="I276" s="48" t="n"/>
      <c r="J276" s="49" t="n"/>
      <c r="K276" s="50">
        <f>IF('計算'!$C272="","",'計算'!$CR272)</f>
        <v/>
      </c>
      <c r="L276" s="51">
        <f>IF('計算'!$C272="","",'計算'!$CF272)</f>
        <v/>
      </c>
      <c r="M276" s="48" t="n"/>
      <c r="N276" s="49" t="n"/>
      <c r="O276" s="43">
        <f>IF('計算'!$C272="","",'計算'!$CQ272)</f>
        <v/>
      </c>
      <c r="P276" s="52">
        <f>IF('計算'!$C272="","",IF('計算'!$M272="","",'計算'!$AX272))</f>
        <v/>
      </c>
      <c r="Q276" s="52">
        <f>IF('計算'!$C272="","",IF('計算'!$M272="","",'計算'!$AY272))</f>
        <v/>
      </c>
      <c r="R276" s="52">
        <f>IF('計算'!$C272="","",IF('計算'!$M272="","",'計算'!$AZ272))</f>
        <v/>
      </c>
      <c r="S276" s="52">
        <f>IF('計算'!$C272="","",IF('計算'!$M272="","",'計算'!$BA272))</f>
        <v/>
      </c>
      <c r="T276" s="52">
        <f>IF('計算'!$C272="","",IF('計算'!$M272="","",'計算'!$BB272))</f>
        <v/>
      </c>
      <c r="U276" s="52">
        <f>IF('計算'!$C272="","",IF('計算'!$M272="","",'計算'!$BC272))</f>
        <v/>
      </c>
      <c r="V276" s="52">
        <f>IF('計算'!$C272="","",IF('計算'!$M272="","",'計算'!$BD272))</f>
        <v/>
      </c>
      <c r="W276" s="52">
        <f>IF('計算'!$C272="","",IF('計算'!$M272="","",'計算'!$BE272))</f>
        <v/>
      </c>
      <c r="X276" s="52">
        <f>IF('計算'!$C272="","",IF('計算'!$M272="","",'計算'!$BF272))</f>
        <v/>
      </c>
      <c r="Y276" s="52">
        <f>IF('計算'!$C272="","",IF('計算'!$M272="","",'計算'!$BG272))</f>
        <v/>
      </c>
      <c r="Z276" s="52">
        <f>IF('計算'!$C272="","",IF('計算'!$M272="","",'計算'!$BH272))</f>
        <v/>
      </c>
      <c r="AA276" s="52">
        <f>IF('計算'!$C272="","",IF('計算'!$M272="","",'計算'!$BI272))</f>
        <v/>
      </c>
      <c r="AB276" s="52">
        <f>IF('計算'!$C272="","",IF('計算'!$M272="","",'計算'!$BJ272))</f>
        <v/>
      </c>
      <c r="AC276" s="52">
        <f>IF('計算'!$C272="","",IF('計算'!$M272="","",'計算'!$BK272))</f>
        <v/>
      </c>
      <c r="AD276" s="53" t="n"/>
      <c r="AE276" s="48" t="n"/>
      <c r="AF276" s="54">
        <f>IF('計算'!$C272="","",'計算'!$C272)</f>
        <v/>
      </c>
      <c r="AG276" s="54">
        <f>IF('計算'!$C272="","",'計算'!$F272)</f>
        <v/>
      </c>
    </row>
    <row r="277" ht="18" customHeight="1">
      <c r="B277" s="42">
        <f>IF('計算'!$C273="","",'計算'!$B273)</f>
        <v/>
      </c>
      <c r="C277" s="43">
        <f>IF('計算'!$C273="","",'計算'!$D273)</f>
        <v/>
      </c>
      <c r="D277" s="44">
        <f>IF('計算'!$C273="","",'計算'!$O273)</f>
        <v/>
      </c>
      <c r="E277" s="45">
        <f>IF('計算'!$C273="","",'計算'!$L273)</f>
        <v/>
      </c>
      <c r="F277" s="46">
        <f>IF('計算'!$C273="","",'計算'!$CD273)</f>
        <v/>
      </c>
      <c r="G277" s="47">
        <f>IF('計算'!$C273="","",'計算'!$CA273)</f>
        <v/>
      </c>
      <c r="H277" s="43">
        <f>IF('計算'!$C273="","",'計算'!$CP273)</f>
        <v/>
      </c>
      <c r="I277" s="48" t="n"/>
      <c r="J277" s="49" t="n"/>
      <c r="K277" s="50">
        <f>IF('計算'!$C273="","",'計算'!$CR273)</f>
        <v/>
      </c>
      <c r="L277" s="51">
        <f>IF('計算'!$C273="","",'計算'!$CF273)</f>
        <v/>
      </c>
      <c r="M277" s="48" t="n"/>
      <c r="N277" s="49" t="n"/>
      <c r="O277" s="43">
        <f>IF('計算'!$C273="","",'計算'!$CQ273)</f>
        <v/>
      </c>
      <c r="P277" s="52">
        <f>IF('計算'!$C273="","",IF('計算'!$M273="","",'計算'!$AX273))</f>
        <v/>
      </c>
      <c r="Q277" s="52">
        <f>IF('計算'!$C273="","",IF('計算'!$M273="","",'計算'!$AY273))</f>
        <v/>
      </c>
      <c r="R277" s="52">
        <f>IF('計算'!$C273="","",IF('計算'!$M273="","",'計算'!$AZ273))</f>
        <v/>
      </c>
      <c r="S277" s="52">
        <f>IF('計算'!$C273="","",IF('計算'!$M273="","",'計算'!$BA273))</f>
        <v/>
      </c>
      <c r="T277" s="52">
        <f>IF('計算'!$C273="","",IF('計算'!$M273="","",'計算'!$BB273))</f>
        <v/>
      </c>
      <c r="U277" s="52">
        <f>IF('計算'!$C273="","",IF('計算'!$M273="","",'計算'!$BC273))</f>
        <v/>
      </c>
      <c r="V277" s="52">
        <f>IF('計算'!$C273="","",IF('計算'!$M273="","",'計算'!$BD273))</f>
        <v/>
      </c>
      <c r="W277" s="52">
        <f>IF('計算'!$C273="","",IF('計算'!$M273="","",'計算'!$BE273))</f>
        <v/>
      </c>
      <c r="X277" s="52">
        <f>IF('計算'!$C273="","",IF('計算'!$M273="","",'計算'!$BF273))</f>
        <v/>
      </c>
      <c r="Y277" s="52">
        <f>IF('計算'!$C273="","",IF('計算'!$M273="","",'計算'!$BG273))</f>
        <v/>
      </c>
      <c r="Z277" s="52">
        <f>IF('計算'!$C273="","",IF('計算'!$M273="","",'計算'!$BH273))</f>
        <v/>
      </c>
      <c r="AA277" s="52">
        <f>IF('計算'!$C273="","",IF('計算'!$M273="","",'計算'!$BI273))</f>
        <v/>
      </c>
      <c r="AB277" s="52">
        <f>IF('計算'!$C273="","",IF('計算'!$M273="","",'計算'!$BJ273))</f>
        <v/>
      </c>
      <c r="AC277" s="52">
        <f>IF('計算'!$C273="","",IF('計算'!$M273="","",'計算'!$BK273))</f>
        <v/>
      </c>
      <c r="AD277" s="53" t="n"/>
      <c r="AE277" s="48" t="n"/>
      <c r="AF277" s="54">
        <f>IF('計算'!$C273="","",'計算'!$C273)</f>
        <v/>
      </c>
      <c r="AG277" s="54">
        <f>IF('計算'!$C273="","",'計算'!$F273)</f>
        <v/>
      </c>
    </row>
    <row r="278" ht="18" customHeight="1">
      <c r="B278" s="42">
        <f>IF('計算'!$C274="","",'計算'!$B274)</f>
        <v/>
      </c>
      <c r="C278" s="43">
        <f>IF('計算'!$C274="","",'計算'!$D274)</f>
        <v/>
      </c>
      <c r="D278" s="44">
        <f>IF('計算'!$C274="","",'計算'!$O274)</f>
        <v/>
      </c>
      <c r="E278" s="45">
        <f>IF('計算'!$C274="","",'計算'!$L274)</f>
        <v/>
      </c>
      <c r="F278" s="46">
        <f>IF('計算'!$C274="","",'計算'!$CD274)</f>
        <v/>
      </c>
      <c r="G278" s="47">
        <f>IF('計算'!$C274="","",'計算'!$CA274)</f>
        <v/>
      </c>
      <c r="H278" s="43">
        <f>IF('計算'!$C274="","",'計算'!$CP274)</f>
        <v/>
      </c>
      <c r="I278" s="48" t="n"/>
      <c r="J278" s="49" t="n"/>
      <c r="K278" s="50">
        <f>IF('計算'!$C274="","",'計算'!$CR274)</f>
        <v/>
      </c>
      <c r="L278" s="51">
        <f>IF('計算'!$C274="","",'計算'!$CF274)</f>
        <v/>
      </c>
      <c r="M278" s="48" t="n"/>
      <c r="N278" s="49" t="n"/>
      <c r="O278" s="43">
        <f>IF('計算'!$C274="","",'計算'!$CQ274)</f>
        <v/>
      </c>
      <c r="P278" s="52">
        <f>IF('計算'!$C274="","",IF('計算'!$M274="","",'計算'!$AX274))</f>
        <v/>
      </c>
      <c r="Q278" s="52">
        <f>IF('計算'!$C274="","",IF('計算'!$M274="","",'計算'!$AY274))</f>
        <v/>
      </c>
      <c r="R278" s="52">
        <f>IF('計算'!$C274="","",IF('計算'!$M274="","",'計算'!$AZ274))</f>
        <v/>
      </c>
      <c r="S278" s="52">
        <f>IF('計算'!$C274="","",IF('計算'!$M274="","",'計算'!$BA274))</f>
        <v/>
      </c>
      <c r="T278" s="52">
        <f>IF('計算'!$C274="","",IF('計算'!$M274="","",'計算'!$BB274))</f>
        <v/>
      </c>
      <c r="U278" s="52">
        <f>IF('計算'!$C274="","",IF('計算'!$M274="","",'計算'!$BC274))</f>
        <v/>
      </c>
      <c r="V278" s="52">
        <f>IF('計算'!$C274="","",IF('計算'!$M274="","",'計算'!$BD274))</f>
        <v/>
      </c>
      <c r="W278" s="52">
        <f>IF('計算'!$C274="","",IF('計算'!$M274="","",'計算'!$BE274))</f>
        <v/>
      </c>
      <c r="X278" s="52">
        <f>IF('計算'!$C274="","",IF('計算'!$M274="","",'計算'!$BF274))</f>
        <v/>
      </c>
      <c r="Y278" s="52">
        <f>IF('計算'!$C274="","",IF('計算'!$M274="","",'計算'!$BG274))</f>
        <v/>
      </c>
      <c r="Z278" s="52">
        <f>IF('計算'!$C274="","",IF('計算'!$M274="","",'計算'!$BH274))</f>
        <v/>
      </c>
      <c r="AA278" s="52">
        <f>IF('計算'!$C274="","",IF('計算'!$M274="","",'計算'!$BI274))</f>
        <v/>
      </c>
      <c r="AB278" s="52">
        <f>IF('計算'!$C274="","",IF('計算'!$M274="","",'計算'!$BJ274))</f>
        <v/>
      </c>
      <c r="AC278" s="52">
        <f>IF('計算'!$C274="","",IF('計算'!$M274="","",'計算'!$BK274))</f>
        <v/>
      </c>
      <c r="AD278" s="53" t="n"/>
      <c r="AE278" s="48" t="n"/>
      <c r="AF278" s="54">
        <f>IF('計算'!$C274="","",'計算'!$C274)</f>
        <v/>
      </c>
      <c r="AG278" s="54">
        <f>IF('計算'!$C274="","",'計算'!$F274)</f>
        <v/>
      </c>
    </row>
    <row r="279" ht="18" customHeight="1">
      <c r="B279" s="42">
        <f>IF('計算'!$C275="","",'計算'!$B275)</f>
        <v/>
      </c>
      <c r="C279" s="43">
        <f>IF('計算'!$C275="","",'計算'!$D275)</f>
        <v/>
      </c>
      <c r="D279" s="44">
        <f>IF('計算'!$C275="","",'計算'!$O275)</f>
        <v/>
      </c>
      <c r="E279" s="45">
        <f>IF('計算'!$C275="","",'計算'!$L275)</f>
        <v/>
      </c>
      <c r="F279" s="46">
        <f>IF('計算'!$C275="","",'計算'!$CD275)</f>
        <v/>
      </c>
      <c r="G279" s="47">
        <f>IF('計算'!$C275="","",'計算'!$CA275)</f>
        <v/>
      </c>
      <c r="H279" s="43">
        <f>IF('計算'!$C275="","",'計算'!$CP275)</f>
        <v/>
      </c>
      <c r="I279" s="48" t="n"/>
      <c r="J279" s="49" t="n"/>
      <c r="K279" s="50">
        <f>IF('計算'!$C275="","",'計算'!$CR275)</f>
        <v/>
      </c>
      <c r="L279" s="51">
        <f>IF('計算'!$C275="","",'計算'!$CF275)</f>
        <v/>
      </c>
      <c r="M279" s="48" t="n"/>
      <c r="N279" s="49" t="n"/>
      <c r="O279" s="43">
        <f>IF('計算'!$C275="","",'計算'!$CQ275)</f>
        <v/>
      </c>
      <c r="P279" s="52">
        <f>IF('計算'!$C275="","",IF('計算'!$M275="","",'計算'!$AX275))</f>
        <v/>
      </c>
      <c r="Q279" s="52">
        <f>IF('計算'!$C275="","",IF('計算'!$M275="","",'計算'!$AY275))</f>
        <v/>
      </c>
      <c r="R279" s="52">
        <f>IF('計算'!$C275="","",IF('計算'!$M275="","",'計算'!$AZ275))</f>
        <v/>
      </c>
      <c r="S279" s="52">
        <f>IF('計算'!$C275="","",IF('計算'!$M275="","",'計算'!$BA275))</f>
        <v/>
      </c>
      <c r="T279" s="52">
        <f>IF('計算'!$C275="","",IF('計算'!$M275="","",'計算'!$BB275))</f>
        <v/>
      </c>
      <c r="U279" s="52">
        <f>IF('計算'!$C275="","",IF('計算'!$M275="","",'計算'!$BC275))</f>
        <v/>
      </c>
      <c r="V279" s="52">
        <f>IF('計算'!$C275="","",IF('計算'!$M275="","",'計算'!$BD275))</f>
        <v/>
      </c>
      <c r="W279" s="52">
        <f>IF('計算'!$C275="","",IF('計算'!$M275="","",'計算'!$BE275))</f>
        <v/>
      </c>
      <c r="X279" s="52">
        <f>IF('計算'!$C275="","",IF('計算'!$M275="","",'計算'!$BF275))</f>
        <v/>
      </c>
      <c r="Y279" s="52">
        <f>IF('計算'!$C275="","",IF('計算'!$M275="","",'計算'!$BG275))</f>
        <v/>
      </c>
      <c r="Z279" s="52">
        <f>IF('計算'!$C275="","",IF('計算'!$M275="","",'計算'!$BH275))</f>
        <v/>
      </c>
      <c r="AA279" s="52">
        <f>IF('計算'!$C275="","",IF('計算'!$M275="","",'計算'!$BI275))</f>
        <v/>
      </c>
      <c r="AB279" s="52">
        <f>IF('計算'!$C275="","",IF('計算'!$M275="","",'計算'!$BJ275))</f>
        <v/>
      </c>
      <c r="AC279" s="52">
        <f>IF('計算'!$C275="","",IF('計算'!$M275="","",'計算'!$BK275))</f>
        <v/>
      </c>
      <c r="AD279" s="53" t="n"/>
      <c r="AE279" s="48" t="n"/>
      <c r="AF279" s="54">
        <f>IF('計算'!$C275="","",'計算'!$C275)</f>
        <v/>
      </c>
      <c r="AG279" s="54">
        <f>IF('計算'!$C275="","",'計算'!$F275)</f>
        <v/>
      </c>
    </row>
    <row r="280" ht="18" customHeight="1">
      <c r="B280" s="42">
        <f>IF('計算'!$C276="","",'計算'!$B276)</f>
        <v/>
      </c>
      <c r="C280" s="43">
        <f>IF('計算'!$C276="","",'計算'!$D276)</f>
        <v/>
      </c>
      <c r="D280" s="44">
        <f>IF('計算'!$C276="","",'計算'!$O276)</f>
        <v/>
      </c>
      <c r="E280" s="45">
        <f>IF('計算'!$C276="","",'計算'!$L276)</f>
        <v/>
      </c>
      <c r="F280" s="46">
        <f>IF('計算'!$C276="","",'計算'!$CD276)</f>
        <v/>
      </c>
      <c r="G280" s="47">
        <f>IF('計算'!$C276="","",'計算'!$CA276)</f>
        <v/>
      </c>
      <c r="H280" s="43">
        <f>IF('計算'!$C276="","",'計算'!$CP276)</f>
        <v/>
      </c>
      <c r="I280" s="48" t="n"/>
      <c r="J280" s="49" t="n"/>
      <c r="K280" s="50">
        <f>IF('計算'!$C276="","",'計算'!$CR276)</f>
        <v/>
      </c>
      <c r="L280" s="51">
        <f>IF('計算'!$C276="","",'計算'!$CF276)</f>
        <v/>
      </c>
      <c r="M280" s="48" t="n"/>
      <c r="N280" s="49" t="n"/>
      <c r="O280" s="43">
        <f>IF('計算'!$C276="","",'計算'!$CQ276)</f>
        <v/>
      </c>
      <c r="P280" s="52">
        <f>IF('計算'!$C276="","",IF('計算'!$M276="","",'計算'!$AX276))</f>
        <v/>
      </c>
      <c r="Q280" s="52">
        <f>IF('計算'!$C276="","",IF('計算'!$M276="","",'計算'!$AY276))</f>
        <v/>
      </c>
      <c r="R280" s="52">
        <f>IF('計算'!$C276="","",IF('計算'!$M276="","",'計算'!$AZ276))</f>
        <v/>
      </c>
      <c r="S280" s="52">
        <f>IF('計算'!$C276="","",IF('計算'!$M276="","",'計算'!$BA276))</f>
        <v/>
      </c>
      <c r="T280" s="52">
        <f>IF('計算'!$C276="","",IF('計算'!$M276="","",'計算'!$BB276))</f>
        <v/>
      </c>
      <c r="U280" s="52">
        <f>IF('計算'!$C276="","",IF('計算'!$M276="","",'計算'!$BC276))</f>
        <v/>
      </c>
      <c r="V280" s="52">
        <f>IF('計算'!$C276="","",IF('計算'!$M276="","",'計算'!$BD276))</f>
        <v/>
      </c>
      <c r="W280" s="52">
        <f>IF('計算'!$C276="","",IF('計算'!$M276="","",'計算'!$BE276))</f>
        <v/>
      </c>
      <c r="X280" s="52">
        <f>IF('計算'!$C276="","",IF('計算'!$M276="","",'計算'!$BF276))</f>
        <v/>
      </c>
      <c r="Y280" s="52">
        <f>IF('計算'!$C276="","",IF('計算'!$M276="","",'計算'!$BG276))</f>
        <v/>
      </c>
      <c r="Z280" s="52">
        <f>IF('計算'!$C276="","",IF('計算'!$M276="","",'計算'!$BH276))</f>
        <v/>
      </c>
      <c r="AA280" s="52">
        <f>IF('計算'!$C276="","",IF('計算'!$M276="","",'計算'!$BI276))</f>
        <v/>
      </c>
      <c r="AB280" s="52">
        <f>IF('計算'!$C276="","",IF('計算'!$M276="","",'計算'!$BJ276))</f>
        <v/>
      </c>
      <c r="AC280" s="52">
        <f>IF('計算'!$C276="","",IF('計算'!$M276="","",'計算'!$BK276))</f>
        <v/>
      </c>
      <c r="AD280" s="53" t="n"/>
      <c r="AE280" s="48" t="n"/>
      <c r="AF280" s="54">
        <f>IF('計算'!$C276="","",'計算'!$C276)</f>
        <v/>
      </c>
      <c r="AG280" s="54">
        <f>IF('計算'!$C276="","",'計算'!$F276)</f>
        <v/>
      </c>
    </row>
    <row r="281" ht="18" customHeight="1">
      <c r="B281" s="42">
        <f>IF('計算'!$C277="","",'計算'!$B277)</f>
        <v/>
      </c>
      <c r="C281" s="43">
        <f>IF('計算'!$C277="","",'計算'!$D277)</f>
        <v/>
      </c>
      <c r="D281" s="44">
        <f>IF('計算'!$C277="","",'計算'!$O277)</f>
        <v/>
      </c>
      <c r="E281" s="45">
        <f>IF('計算'!$C277="","",'計算'!$L277)</f>
        <v/>
      </c>
      <c r="F281" s="46">
        <f>IF('計算'!$C277="","",'計算'!$CD277)</f>
        <v/>
      </c>
      <c r="G281" s="47">
        <f>IF('計算'!$C277="","",'計算'!$CA277)</f>
        <v/>
      </c>
      <c r="H281" s="43">
        <f>IF('計算'!$C277="","",'計算'!$CP277)</f>
        <v/>
      </c>
      <c r="I281" s="48" t="n"/>
      <c r="J281" s="49" t="n"/>
      <c r="K281" s="50">
        <f>IF('計算'!$C277="","",'計算'!$CR277)</f>
        <v/>
      </c>
      <c r="L281" s="51">
        <f>IF('計算'!$C277="","",'計算'!$CF277)</f>
        <v/>
      </c>
      <c r="M281" s="48" t="n"/>
      <c r="N281" s="49" t="n"/>
      <c r="O281" s="43">
        <f>IF('計算'!$C277="","",'計算'!$CQ277)</f>
        <v/>
      </c>
      <c r="P281" s="52">
        <f>IF('計算'!$C277="","",IF('計算'!$M277="","",'計算'!$AX277))</f>
        <v/>
      </c>
      <c r="Q281" s="52">
        <f>IF('計算'!$C277="","",IF('計算'!$M277="","",'計算'!$AY277))</f>
        <v/>
      </c>
      <c r="R281" s="52">
        <f>IF('計算'!$C277="","",IF('計算'!$M277="","",'計算'!$AZ277))</f>
        <v/>
      </c>
      <c r="S281" s="52">
        <f>IF('計算'!$C277="","",IF('計算'!$M277="","",'計算'!$BA277))</f>
        <v/>
      </c>
      <c r="T281" s="52">
        <f>IF('計算'!$C277="","",IF('計算'!$M277="","",'計算'!$BB277))</f>
        <v/>
      </c>
      <c r="U281" s="52">
        <f>IF('計算'!$C277="","",IF('計算'!$M277="","",'計算'!$BC277))</f>
        <v/>
      </c>
      <c r="V281" s="52">
        <f>IF('計算'!$C277="","",IF('計算'!$M277="","",'計算'!$BD277))</f>
        <v/>
      </c>
      <c r="W281" s="52">
        <f>IF('計算'!$C277="","",IF('計算'!$M277="","",'計算'!$BE277))</f>
        <v/>
      </c>
      <c r="X281" s="52">
        <f>IF('計算'!$C277="","",IF('計算'!$M277="","",'計算'!$BF277))</f>
        <v/>
      </c>
      <c r="Y281" s="52">
        <f>IF('計算'!$C277="","",IF('計算'!$M277="","",'計算'!$BG277))</f>
        <v/>
      </c>
      <c r="Z281" s="52">
        <f>IF('計算'!$C277="","",IF('計算'!$M277="","",'計算'!$BH277))</f>
        <v/>
      </c>
      <c r="AA281" s="52">
        <f>IF('計算'!$C277="","",IF('計算'!$M277="","",'計算'!$BI277))</f>
        <v/>
      </c>
      <c r="AB281" s="52">
        <f>IF('計算'!$C277="","",IF('計算'!$M277="","",'計算'!$BJ277))</f>
        <v/>
      </c>
      <c r="AC281" s="52">
        <f>IF('計算'!$C277="","",IF('計算'!$M277="","",'計算'!$BK277))</f>
        <v/>
      </c>
      <c r="AD281" s="53" t="n"/>
      <c r="AE281" s="48" t="n"/>
      <c r="AF281" s="54">
        <f>IF('計算'!$C277="","",'計算'!$C277)</f>
        <v/>
      </c>
      <c r="AG281" s="54">
        <f>IF('計算'!$C277="","",'計算'!$F277)</f>
        <v/>
      </c>
    </row>
    <row r="282" ht="18" customHeight="1">
      <c r="B282" s="42">
        <f>IF('計算'!$C278="","",'計算'!$B278)</f>
        <v/>
      </c>
      <c r="C282" s="43">
        <f>IF('計算'!$C278="","",'計算'!$D278)</f>
        <v/>
      </c>
      <c r="D282" s="44">
        <f>IF('計算'!$C278="","",'計算'!$O278)</f>
        <v/>
      </c>
      <c r="E282" s="45">
        <f>IF('計算'!$C278="","",'計算'!$L278)</f>
        <v/>
      </c>
      <c r="F282" s="46">
        <f>IF('計算'!$C278="","",'計算'!$CD278)</f>
        <v/>
      </c>
      <c r="G282" s="47">
        <f>IF('計算'!$C278="","",'計算'!$CA278)</f>
        <v/>
      </c>
      <c r="H282" s="43">
        <f>IF('計算'!$C278="","",'計算'!$CP278)</f>
        <v/>
      </c>
      <c r="I282" s="48" t="n"/>
      <c r="J282" s="49" t="n"/>
      <c r="K282" s="50">
        <f>IF('計算'!$C278="","",'計算'!$CR278)</f>
        <v/>
      </c>
      <c r="L282" s="51">
        <f>IF('計算'!$C278="","",'計算'!$CF278)</f>
        <v/>
      </c>
      <c r="M282" s="48" t="n"/>
      <c r="N282" s="49" t="n"/>
      <c r="O282" s="43">
        <f>IF('計算'!$C278="","",'計算'!$CQ278)</f>
        <v/>
      </c>
      <c r="P282" s="52">
        <f>IF('計算'!$C278="","",IF('計算'!$M278="","",'計算'!$AX278))</f>
        <v/>
      </c>
      <c r="Q282" s="52">
        <f>IF('計算'!$C278="","",IF('計算'!$M278="","",'計算'!$AY278))</f>
        <v/>
      </c>
      <c r="R282" s="52">
        <f>IF('計算'!$C278="","",IF('計算'!$M278="","",'計算'!$AZ278))</f>
        <v/>
      </c>
      <c r="S282" s="52">
        <f>IF('計算'!$C278="","",IF('計算'!$M278="","",'計算'!$BA278))</f>
        <v/>
      </c>
      <c r="T282" s="52">
        <f>IF('計算'!$C278="","",IF('計算'!$M278="","",'計算'!$BB278))</f>
        <v/>
      </c>
      <c r="U282" s="52">
        <f>IF('計算'!$C278="","",IF('計算'!$M278="","",'計算'!$BC278))</f>
        <v/>
      </c>
      <c r="V282" s="52">
        <f>IF('計算'!$C278="","",IF('計算'!$M278="","",'計算'!$BD278))</f>
        <v/>
      </c>
      <c r="W282" s="52">
        <f>IF('計算'!$C278="","",IF('計算'!$M278="","",'計算'!$BE278))</f>
        <v/>
      </c>
      <c r="X282" s="52">
        <f>IF('計算'!$C278="","",IF('計算'!$M278="","",'計算'!$BF278))</f>
        <v/>
      </c>
      <c r="Y282" s="52">
        <f>IF('計算'!$C278="","",IF('計算'!$M278="","",'計算'!$BG278))</f>
        <v/>
      </c>
      <c r="Z282" s="52">
        <f>IF('計算'!$C278="","",IF('計算'!$M278="","",'計算'!$BH278))</f>
        <v/>
      </c>
      <c r="AA282" s="52">
        <f>IF('計算'!$C278="","",IF('計算'!$M278="","",'計算'!$BI278))</f>
        <v/>
      </c>
      <c r="AB282" s="52">
        <f>IF('計算'!$C278="","",IF('計算'!$M278="","",'計算'!$BJ278))</f>
        <v/>
      </c>
      <c r="AC282" s="52">
        <f>IF('計算'!$C278="","",IF('計算'!$M278="","",'計算'!$BK278))</f>
        <v/>
      </c>
      <c r="AD282" s="53" t="n"/>
      <c r="AE282" s="48" t="n"/>
      <c r="AF282" s="54">
        <f>IF('計算'!$C278="","",'計算'!$C278)</f>
        <v/>
      </c>
      <c r="AG282" s="54">
        <f>IF('計算'!$C278="","",'計算'!$F278)</f>
        <v/>
      </c>
    </row>
    <row r="283" ht="18" customHeight="1">
      <c r="B283" s="42">
        <f>IF('計算'!$C279="","",'計算'!$B279)</f>
        <v/>
      </c>
      <c r="C283" s="43">
        <f>IF('計算'!$C279="","",'計算'!$D279)</f>
        <v/>
      </c>
      <c r="D283" s="44">
        <f>IF('計算'!$C279="","",'計算'!$O279)</f>
        <v/>
      </c>
      <c r="E283" s="45">
        <f>IF('計算'!$C279="","",'計算'!$L279)</f>
        <v/>
      </c>
      <c r="F283" s="46">
        <f>IF('計算'!$C279="","",'計算'!$CD279)</f>
        <v/>
      </c>
      <c r="G283" s="47">
        <f>IF('計算'!$C279="","",'計算'!$CA279)</f>
        <v/>
      </c>
      <c r="H283" s="43">
        <f>IF('計算'!$C279="","",'計算'!$CP279)</f>
        <v/>
      </c>
      <c r="I283" s="48" t="n"/>
      <c r="J283" s="49" t="n"/>
      <c r="K283" s="50">
        <f>IF('計算'!$C279="","",'計算'!$CR279)</f>
        <v/>
      </c>
      <c r="L283" s="51">
        <f>IF('計算'!$C279="","",'計算'!$CF279)</f>
        <v/>
      </c>
      <c r="M283" s="48" t="n"/>
      <c r="N283" s="49" t="n"/>
      <c r="O283" s="43">
        <f>IF('計算'!$C279="","",'計算'!$CQ279)</f>
        <v/>
      </c>
      <c r="P283" s="52">
        <f>IF('計算'!$C279="","",IF('計算'!$M279="","",'計算'!$AX279))</f>
        <v/>
      </c>
      <c r="Q283" s="52">
        <f>IF('計算'!$C279="","",IF('計算'!$M279="","",'計算'!$AY279))</f>
        <v/>
      </c>
      <c r="R283" s="52">
        <f>IF('計算'!$C279="","",IF('計算'!$M279="","",'計算'!$AZ279))</f>
        <v/>
      </c>
      <c r="S283" s="52">
        <f>IF('計算'!$C279="","",IF('計算'!$M279="","",'計算'!$BA279))</f>
        <v/>
      </c>
      <c r="T283" s="52">
        <f>IF('計算'!$C279="","",IF('計算'!$M279="","",'計算'!$BB279))</f>
        <v/>
      </c>
      <c r="U283" s="52">
        <f>IF('計算'!$C279="","",IF('計算'!$M279="","",'計算'!$BC279))</f>
        <v/>
      </c>
      <c r="V283" s="52">
        <f>IF('計算'!$C279="","",IF('計算'!$M279="","",'計算'!$BD279))</f>
        <v/>
      </c>
      <c r="W283" s="52">
        <f>IF('計算'!$C279="","",IF('計算'!$M279="","",'計算'!$BE279))</f>
        <v/>
      </c>
      <c r="X283" s="52">
        <f>IF('計算'!$C279="","",IF('計算'!$M279="","",'計算'!$BF279))</f>
        <v/>
      </c>
      <c r="Y283" s="52">
        <f>IF('計算'!$C279="","",IF('計算'!$M279="","",'計算'!$BG279))</f>
        <v/>
      </c>
      <c r="Z283" s="52">
        <f>IF('計算'!$C279="","",IF('計算'!$M279="","",'計算'!$BH279))</f>
        <v/>
      </c>
      <c r="AA283" s="52">
        <f>IF('計算'!$C279="","",IF('計算'!$M279="","",'計算'!$BI279))</f>
        <v/>
      </c>
      <c r="AB283" s="52">
        <f>IF('計算'!$C279="","",IF('計算'!$M279="","",'計算'!$BJ279))</f>
        <v/>
      </c>
      <c r="AC283" s="52">
        <f>IF('計算'!$C279="","",IF('計算'!$M279="","",'計算'!$BK279))</f>
        <v/>
      </c>
      <c r="AD283" s="53" t="n"/>
      <c r="AE283" s="48" t="n"/>
      <c r="AF283" s="54">
        <f>IF('計算'!$C279="","",'計算'!$C279)</f>
        <v/>
      </c>
      <c r="AG283" s="54">
        <f>IF('計算'!$C279="","",'計算'!$F279)</f>
        <v/>
      </c>
    </row>
    <row r="284" ht="18" customHeight="1">
      <c r="B284" s="42">
        <f>IF('計算'!$C280="","",'計算'!$B280)</f>
        <v/>
      </c>
      <c r="C284" s="43">
        <f>IF('計算'!$C280="","",'計算'!$D280)</f>
        <v/>
      </c>
      <c r="D284" s="44">
        <f>IF('計算'!$C280="","",'計算'!$O280)</f>
        <v/>
      </c>
      <c r="E284" s="45">
        <f>IF('計算'!$C280="","",'計算'!$L280)</f>
        <v/>
      </c>
      <c r="F284" s="46">
        <f>IF('計算'!$C280="","",'計算'!$CD280)</f>
        <v/>
      </c>
      <c r="G284" s="47">
        <f>IF('計算'!$C280="","",'計算'!$CA280)</f>
        <v/>
      </c>
      <c r="H284" s="43">
        <f>IF('計算'!$C280="","",'計算'!$CP280)</f>
        <v/>
      </c>
      <c r="I284" s="48" t="n"/>
      <c r="J284" s="49" t="n"/>
      <c r="K284" s="50">
        <f>IF('計算'!$C280="","",'計算'!$CR280)</f>
        <v/>
      </c>
      <c r="L284" s="51">
        <f>IF('計算'!$C280="","",'計算'!$CF280)</f>
        <v/>
      </c>
      <c r="M284" s="48" t="n"/>
      <c r="N284" s="49" t="n"/>
      <c r="O284" s="43">
        <f>IF('計算'!$C280="","",'計算'!$CQ280)</f>
        <v/>
      </c>
      <c r="P284" s="52">
        <f>IF('計算'!$C280="","",IF('計算'!$M280="","",'計算'!$AX280))</f>
        <v/>
      </c>
      <c r="Q284" s="52">
        <f>IF('計算'!$C280="","",IF('計算'!$M280="","",'計算'!$AY280))</f>
        <v/>
      </c>
      <c r="R284" s="52">
        <f>IF('計算'!$C280="","",IF('計算'!$M280="","",'計算'!$AZ280))</f>
        <v/>
      </c>
      <c r="S284" s="52">
        <f>IF('計算'!$C280="","",IF('計算'!$M280="","",'計算'!$BA280))</f>
        <v/>
      </c>
      <c r="T284" s="52">
        <f>IF('計算'!$C280="","",IF('計算'!$M280="","",'計算'!$BB280))</f>
        <v/>
      </c>
      <c r="U284" s="52">
        <f>IF('計算'!$C280="","",IF('計算'!$M280="","",'計算'!$BC280))</f>
        <v/>
      </c>
      <c r="V284" s="52">
        <f>IF('計算'!$C280="","",IF('計算'!$M280="","",'計算'!$BD280))</f>
        <v/>
      </c>
      <c r="W284" s="52">
        <f>IF('計算'!$C280="","",IF('計算'!$M280="","",'計算'!$BE280))</f>
        <v/>
      </c>
      <c r="X284" s="52">
        <f>IF('計算'!$C280="","",IF('計算'!$M280="","",'計算'!$BF280))</f>
        <v/>
      </c>
      <c r="Y284" s="52">
        <f>IF('計算'!$C280="","",IF('計算'!$M280="","",'計算'!$BG280))</f>
        <v/>
      </c>
      <c r="Z284" s="52">
        <f>IF('計算'!$C280="","",IF('計算'!$M280="","",'計算'!$BH280))</f>
        <v/>
      </c>
      <c r="AA284" s="52">
        <f>IF('計算'!$C280="","",IF('計算'!$M280="","",'計算'!$BI280))</f>
        <v/>
      </c>
      <c r="AB284" s="52">
        <f>IF('計算'!$C280="","",IF('計算'!$M280="","",'計算'!$BJ280))</f>
        <v/>
      </c>
      <c r="AC284" s="52">
        <f>IF('計算'!$C280="","",IF('計算'!$M280="","",'計算'!$BK280))</f>
        <v/>
      </c>
      <c r="AD284" s="53" t="n"/>
      <c r="AE284" s="48" t="n"/>
      <c r="AF284" s="54">
        <f>IF('計算'!$C280="","",'計算'!$C280)</f>
        <v/>
      </c>
      <c r="AG284" s="54">
        <f>IF('計算'!$C280="","",'計算'!$F280)</f>
        <v/>
      </c>
    </row>
    <row r="285" ht="18" customHeight="1">
      <c r="B285" s="42">
        <f>IF('計算'!$C281="","",'計算'!$B281)</f>
        <v/>
      </c>
      <c r="C285" s="43">
        <f>IF('計算'!$C281="","",'計算'!$D281)</f>
        <v/>
      </c>
      <c r="D285" s="44">
        <f>IF('計算'!$C281="","",'計算'!$O281)</f>
        <v/>
      </c>
      <c r="E285" s="45">
        <f>IF('計算'!$C281="","",'計算'!$L281)</f>
        <v/>
      </c>
      <c r="F285" s="46">
        <f>IF('計算'!$C281="","",'計算'!$CD281)</f>
        <v/>
      </c>
      <c r="G285" s="47">
        <f>IF('計算'!$C281="","",'計算'!$CA281)</f>
        <v/>
      </c>
      <c r="H285" s="43">
        <f>IF('計算'!$C281="","",'計算'!$CP281)</f>
        <v/>
      </c>
      <c r="I285" s="48" t="n"/>
      <c r="J285" s="49" t="n"/>
      <c r="K285" s="50">
        <f>IF('計算'!$C281="","",'計算'!$CR281)</f>
        <v/>
      </c>
      <c r="L285" s="51">
        <f>IF('計算'!$C281="","",'計算'!$CF281)</f>
        <v/>
      </c>
      <c r="M285" s="48" t="n"/>
      <c r="N285" s="49" t="n"/>
      <c r="O285" s="43">
        <f>IF('計算'!$C281="","",'計算'!$CQ281)</f>
        <v/>
      </c>
      <c r="P285" s="52">
        <f>IF('計算'!$C281="","",IF('計算'!$M281="","",'計算'!$AX281))</f>
        <v/>
      </c>
      <c r="Q285" s="52">
        <f>IF('計算'!$C281="","",IF('計算'!$M281="","",'計算'!$AY281))</f>
        <v/>
      </c>
      <c r="R285" s="52">
        <f>IF('計算'!$C281="","",IF('計算'!$M281="","",'計算'!$AZ281))</f>
        <v/>
      </c>
      <c r="S285" s="52">
        <f>IF('計算'!$C281="","",IF('計算'!$M281="","",'計算'!$BA281))</f>
        <v/>
      </c>
      <c r="T285" s="52">
        <f>IF('計算'!$C281="","",IF('計算'!$M281="","",'計算'!$BB281))</f>
        <v/>
      </c>
      <c r="U285" s="52">
        <f>IF('計算'!$C281="","",IF('計算'!$M281="","",'計算'!$BC281))</f>
        <v/>
      </c>
      <c r="V285" s="52">
        <f>IF('計算'!$C281="","",IF('計算'!$M281="","",'計算'!$BD281))</f>
        <v/>
      </c>
      <c r="W285" s="52">
        <f>IF('計算'!$C281="","",IF('計算'!$M281="","",'計算'!$BE281))</f>
        <v/>
      </c>
      <c r="X285" s="52">
        <f>IF('計算'!$C281="","",IF('計算'!$M281="","",'計算'!$BF281))</f>
        <v/>
      </c>
      <c r="Y285" s="52">
        <f>IF('計算'!$C281="","",IF('計算'!$M281="","",'計算'!$BG281))</f>
        <v/>
      </c>
      <c r="Z285" s="52">
        <f>IF('計算'!$C281="","",IF('計算'!$M281="","",'計算'!$BH281))</f>
        <v/>
      </c>
      <c r="AA285" s="52">
        <f>IF('計算'!$C281="","",IF('計算'!$M281="","",'計算'!$BI281))</f>
        <v/>
      </c>
      <c r="AB285" s="52">
        <f>IF('計算'!$C281="","",IF('計算'!$M281="","",'計算'!$BJ281))</f>
        <v/>
      </c>
      <c r="AC285" s="52">
        <f>IF('計算'!$C281="","",IF('計算'!$M281="","",'計算'!$BK281))</f>
        <v/>
      </c>
      <c r="AD285" s="53" t="n"/>
      <c r="AE285" s="48" t="n"/>
      <c r="AF285" s="54">
        <f>IF('計算'!$C281="","",'計算'!$C281)</f>
        <v/>
      </c>
      <c r="AG285" s="54">
        <f>IF('計算'!$C281="","",'計算'!$F281)</f>
        <v/>
      </c>
    </row>
    <row r="286" ht="18" customHeight="1">
      <c r="B286" s="42">
        <f>IF('計算'!$C282="","",'計算'!$B282)</f>
        <v/>
      </c>
      <c r="C286" s="43">
        <f>IF('計算'!$C282="","",'計算'!$D282)</f>
        <v/>
      </c>
      <c r="D286" s="44">
        <f>IF('計算'!$C282="","",'計算'!$O282)</f>
        <v/>
      </c>
      <c r="E286" s="45">
        <f>IF('計算'!$C282="","",'計算'!$L282)</f>
        <v/>
      </c>
      <c r="F286" s="46">
        <f>IF('計算'!$C282="","",'計算'!$CD282)</f>
        <v/>
      </c>
      <c r="G286" s="47">
        <f>IF('計算'!$C282="","",'計算'!$CA282)</f>
        <v/>
      </c>
      <c r="H286" s="43">
        <f>IF('計算'!$C282="","",'計算'!$CP282)</f>
        <v/>
      </c>
      <c r="I286" s="48" t="n"/>
      <c r="J286" s="49" t="n"/>
      <c r="K286" s="50">
        <f>IF('計算'!$C282="","",'計算'!$CR282)</f>
        <v/>
      </c>
      <c r="L286" s="51">
        <f>IF('計算'!$C282="","",'計算'!$CF282)</f>
        <v/>
      </c>
      <c r="M286" s="48" t="n"/>
      <c r="N286" s="49" t="n"/>
      <c r="O286" s="43">
        <f>IF('計算'!$C282="","",'計算'!$CQ282)</f>
        <v/>
      </c>
      <c r="P286" s="52">
        <f>IF('計算'!$C282="","",IF('計算'!$M282="","",'計算'!$AX282))</f>
        <v/>
      </c>
      <c r="Q286" s="52">
        <f>IF('計算'!$C282="","",IF('計算'!$M282="","",'計算'!$AY282))</f>
        <v/>
      </c>
      <c r="R286" s="52">
        <f>IF('計算'!$C282="","",IF('計算'!$M282="","",'計算'!$AZ282))</f>
        <v/>
      </c>
      <c r="S286" s="52">
        <f>IF('計算'!$C282="","",IF('計算'!$M282="","",'計算'!$BA282))</f>
        <v/>
      </c>
      <c r="T286" s="52">
        <f>IF('計算'!$C282="","",IF('計算'!$M282="","",'計算'!$BB282))</f>
        <v/>
      </c>
      <c r="U286" s="52">
        <f>IF('計算'!$C282="","",IF('計算'!$M282="","",'計算'!$BC282))</f>
        <v/>
      </c>
      <c r="V286" s="52">
        <f>IF('計算'!$C282="","",IF('計算'!$M282="","",'計算'!$BD282))</f>
        <v/>
      </c>
      <c r="W286" s="52">
        <f>IF('計算'!$C282="","",IF('計算'!$M282="","",'計算'!$BE282))</f>
        <v/>
      </c>
      <c r="X286" s="52">
        <f>IF('計算'!$C282="","",IF('計算'!$M282="","",'計算'!$BF282))</f>
        <v/>
      </c>
      <c r="Y286" s="52">
        <f>IF('計算'!$C282="","",IF('計算'!$M282="","",'計算'!$BG282))</f>
        <v/>
      </c>
      <c r="Z286" s="52">
        <f>IF('計算'!$C282="","",IF('計算'!$M282="","",'計算'!$BH282))</f>
        <v/>
      </c>
      <c r="AA286" s="52">
        <f>IF('計算'!$C282="","",IF('計算'!$M282="","",'計算'!$BI282))</f>
        <v/>
      </c>
      <c r="AB286" s="52">
        <f>IF('計算'!$C282="","",IF('計算'!$M282="","",'計算'!$BJ282))</f>
        <v/>
      </c>
      <c r="AC286" s="52">
        <f>IF('計算'!$C282="","",IF('計算'!$M282="","",'計算'!$BK282))</f>
        <v/>
      </c>
      <c r="AD286" s="53" t="n"/>
      <c r="AE286" s="48" t="n"/>
      <c r="AF286" s="54">
        <f>IF('計算'!$C282="","",'計算'!$C282)</f>
        <v/>
      </c>
      <c r="AG286" s="54">
        <f>IF('計算'!$C282="","",'計算'!$F282)</f>
        <v/>
      </c>
    </row>
    <row r="287" ht="18" customHeight="1">
      <c r="B287" s="42">
        <f>IF('計算'!$C283="","",'計算'!$B283)</f>
        <v/>
      </c>
      <c r="C287" s="43">
        <f>IF('計算'!$C283="","",'計算'!$D283)</f>
        <v/>
      </c>
      <c r="D287" s="44">
        <f>IF('計算'!$C283="","",'計算'!$O283)</f>
        <v/>
      </c>
      <c r="E287" s="45">
        <f>IF('計算'!$C283="","",'計算'!$L283)</f>
        <v/>
      </c>
      <c r="F287" s="46">
        <f>IF('計算'!$C283="","",'計算'!$CD283)</f>
        <v/>
      </c>
      <c r="G287" s="47">
        <f>IF('計算'!$C283="","",'計算'!$CA283)</f>
        <v/>
      </c>
      <c r="H287" s="43">
        <f>IF('計算'!$C283="","",'計算'!$CP283)</f>
        <v/>
      </c>
      <c r="I287" s="48" t="n"/>
      <c r="J287" s="49" t="n"/>
      <c r="K287" s="50">
        <f>IF('計算'!$C283="","",'計算'!$CR283)</f>
        <v/>
      </c>
      <c r="L287" s="51">
        <f>IF('計算'!$C283="","",'計算'!$CF283)</f>
        <v/>
      </c>
      <c r="M287" s="48" t="n"/>
      <c r="N287" s="49" t="n"/>
      <c r="O287" s="43">
        <f>IF('計算'!$C283="","",'計算'!$CQ283)</f>
        <v/>
      </c>
      <c r="P287" s="52">
        <f>IF('計算'!$C283="","",IF('計算'!$M283="","",'計算'!$AX283))</f>
        <v/>
      </c>
      <c r="Q287" s="52">
        <f>IF('計算'!$C283="","",IF('計算'!$M283="","",'計算'!$AY283))</f>
        <v/>
      </c>
      <c r="R287" s="52">
        <f>IF('計算'!$C283="","",IF('計算'!$M283="","",'計算'!$AZ283))</f>
        <v/>
      </c>
      <c r="S287" s="52">
        <f>IF('計算'!$C283="","",IF('計算'!$M283="","",'計算'!$BA283))</f>
        <v/>
      </c>
      <c r="T287" s="52">
        <f>IF('計算'!$C283="","",IF('計算'!$M283="","",'計算'!$BB283))</f>
        <v/>
      </c>
      <c r="U287" s="52">
        <f>IF('計算'!$C283="","",IF('計算'!$M283="","",'計算'!$BC283))</f>
        <v/>
      </c>
      <c r="V287" s="52">
        <f>IF('計算'!$C283="","",IF('計算'!$M283="","",'計算'!$BD283))</f>
        <v/>
      </c>
      <c r="W287" s="52">
        <f>IF('計算'!$C283="","",IF('計算'!$M283="","",'計算'!$BE283))</f>
        <v/>
      </c>
      <c r="X287" s="52">
        <f>IF('計算'!$C283="","",IF('計算'!$M283="","",'計算'!$BF283))</f>
        <v/>
      </c>
      <c r="Y287" s="52">
        <f>IF('計算'!$C283="","",IF('計算'!$M283="","",'計算'!$BG283))</f>
        <v/>
      </c>
      <c r="Z287" s="52">
        <f>IF('計算'!$C283="","",IF('計算'!$M283="","",'計算'!$BH283))</f>
        <v/>
      </c>
      <c r="AA287" s="52">
        <f>IF('計算'!$C283="","",IF('計算'!$M283="","",'計算'!$BI283))</f>
        <v/>
      </c>
      <c r="AB287" s="52">
        <f>IF('計算'!$C283="","",IF('計算'!$M283="","",'計算'!$BJ283))</f>
        <v/>
      </c>
      <c r="AC287" s="52">
        <f>IF('計算'!$C283="","",IF('計算'!$M283="","",'計算'!$BK283))</f>
        <v/>
      </c>
      <c r="AD287" s="53" t="n"/>
      <c r="AE287" s="48" t="n"/>
      <c r="AF287" s="54">
        <f>IF('計算'!$C283="","",'計算'!$C283)</f>
        <v/>
      </c>
      <c r="AG287" s="54">
        <f>IF('計算'!$C283="","",'計算'!$F283)</f>
        <v/>
      </c>
    </row>
    <row r="288" ht="18" customHeight="1">
      <c r="B288" s="42">
        <f>IF('計算'!$C284="","",'計算'!$B284)</f>
        <v/>
      </c>
      <c r="C288" s="43">
        <f>IF('計算'!$C284="","",'計算'!$D284)</f>
        <v/>
      </c>
      <c r="D288" s="44">
        <f>IF('計算'!$C284="","",'計算'!$O284)</f>
        <v/>
      </c>
      <c r="E288" s="45">
        <f>IF('計算'!$C284="","",'計算'!$L284)</f>
        <v/>
      </c>
      <c r="F288" s="46">
        <f>IF('計算'!$C284="","",'計算'!$CD284)</f>
        <v/>
      </c>
      <c r="G288" s="47">
        <f>IF('計算'!$C284="","",'計算'!$CA284)</f>
        <v/>
      </c>
      <c r="H288" s="43">
        <f>IF('計算'!$C284="","",'計算'!$CP284)</f>
        <v/>
      </c>
      <c r="I288" s="48" t="n"/>
      <c r="J288" s="49" t="n"/>
      <c r="K288" s="50">
        <f>IF('計算'!$C284="","",'計算'!$CR284)</f>
        <v/>
      </c>
      <c r="L288" s="51">
        <f>IF('計算'!$C284="","",'計算'!$CF284)</f>
        <v/>
      </c>
      <c r="M288" s="48" t="n"/>
      <c r="N288" s="49" t="n"/>
      <c r="O288" s="43">
        <f>IF('計算'!$C284="","",'計算'!$CQ284)</f>
        <v/>
      </c>
      <c r="P288" s="52">
        <f>IF('計算'!$C284="","",IF('計算'!$M284="","",'計算'!$AX284))</f>
        <v/>
      </c>
      <c r="Q288" s="52">
        <f>IF('計算'!$C284="","",IF('計算'!$M284="","",'計算'!$AY284))</f>
        <v/>
      </c>
      <c r="R288" s="52">
        <f>IF('計算'!$C284="","",IF('計算'!$M284="","",'計算'!$AZ284))</f>
        <v/>
      </c>
      <c r="S288" s="52">
        <f>IF('計算'!$C284="","",IF('計算'!$M284="","",'計算'!$BA284))</f>
        <v/>
      </c>
      <c r="T288" s="52">
        <f>IF('計算'!$C284="","",IF('計算'!$M284="","",'計算'!$BB284))</f>
        <v/>
      </c>
      <c r="U288" s="52">
        <f>IF('計算'!$C284="","",IF('計算'!$M284="","",'計算'!$BC284))</f>
        <v/>
      </c>
      <c r="V288" s="52">
        <f>IF('計算'!$C284="","",IF('計算'!$M284="","",'計算'!$BD284))</f>
        <v/>
      </c>
      <c r="W288" s="52">
        <f>IF('計算'!$C284="","",IF('計算'!$M284="","",'計算'!$BE284))</f>
        <v/>
      </c>
      <c r="X288" s="52">
        <f>IF('計算'!$C284="","",IF('計算'!$M284="","",'計算'!$BF284))</f>
        <v/>
      </c>
      <c r="Y288" s="52">
        <f>IF('計算'!$C284="","",IF('計算'!$M284="","",'計算'!$BG284))</f>
        <v/>
      </c>
      <c r="Z288" s="52">
        <f>IF('計算'!$C284="","",IF('計算'!$M284="","",'計算'!$BH284))</f>
        <v/>
      </c>
      <c r="AA288" s="52">
        <f>IF('計算'!$C284="","",IF('計算'!$M284="","",'計算'!$BI284))</f>
        <v/>
      </c>
      <c r="AB288" s="52">
        <f>IF('計算'!$C284="","",IF('計算'!$M284="","",'計算'!$BJ284))</f>
        <v/>
      </c>
      <c r="AC288" s="52">
        <f>IF('計算'!$C284="","",IF('計算'!$M284="","",'計算'!$BK284))</f>
        <v/>
      </c>
      <c r="AD288" s="53" t="n"/>
      <c r="AE288" s="48" t="n"/>
      <c r="AF288" s="54">
        <f>IF('計算'!$C284="","",'計算'!$C284)</f>
        <v/>
      </c>
      <c r="AG288" s="54">
        <f>IF('計算'!$C284="","",'計算'!$F284)</f>
        <v/>
      </c>
    </row>
    <row r="289" ht="18" customHeight="1">
      <c r="B289" s="42">
        <f>IF('計算'!$C285="","",'計算'!$B285)</f>
        <v/>
      </c>
      <c r="C289" s="43">
        <f>IF('計算'!$C285="","",'計算'!$D285)</f>
        <v/>
      </c>
      <c r="D289" s="44">
        <f>IF('計算'!$C285="","",'計算'!$O285)</f>
        <v/>
      </c>
      <c r="E289" s="45">
        <f>IF('計算'!$C285="","",'計算'!$L285)</f>
        <v/>
      </c>
      <c r="F289" s="46">
        <f>IF('計算'!$C285="","",'計算'!$CD285)</f>
        <v/>
      </c>
      <c r="G289" s="47">
        <f>IF('計算'!$C285="","",'計算'!$CA285)</f>
        <v/>
      </c>
      <c r="H289" s="43">
        <f>IF('計算'!$C285="","",'計算'!$CP285)</f>
        <v/>
      </c>
      <c r="I289" s="48" t="n"/>
      <c r="J289" s="49" t="n"/>
      <c r="K289" s="50">
        <f>IF('計算'!$C285="","",'計算'!$CR285)</f>
        <v/>
      </c>
      <c r="L289" s="51">
        <f>IF('計算'!$C285="","",'計算'!$CF285)</f>
        <v/>
      </c>
      <c r="M289" s="48" t="n"/>
      <c r="N289" s="49" t="n"/>
      <c r="O289" s="43">
        <f>IF('計算'!$C285="","",'計算'!$CQ285)</f>
        <v/>
      </c>
      <c r="P289" s="52">
        <f>IF('計算'!$C285="","",IF('計算'!$M285="","",'計算'!$AX285))</f>
        <v/>
      </c>
      <c r="Q289" s="52">
        <f>IF('計算'!$C285="","",IF('計算'!$M285="","",'計算'!$AY285))</f>
        <v/>
      </c>
      <c r="R289" s="52">
        <f>IF('計算'!$C285="","",IF('計算'!$M285="","",'計算'!$AZ285))</f>
        <v/>
      </c>
      <c r="S289" s="52">
        <f>IF('計算'!$C285="","",IF('計算'!$M285="","",'計算'!$BA285))</f>
        <v/>
      </c>
      <c r="T289" s="52">
        <f>IF('計算'!$C285="","",IF('計算'!$M285="","",'計算'!$BB285))</f>
        <v/>
      </c>
      <c r="U289" s="52">
        <f>IF('計算'!$C285="","",IF('計算'!$M285="","",'計算'!$BC285))</f>
        <v/>
      </c>
      <c r="V289" s="52">
        <f>IF('計算'!$C285="","",IF('計算'!$M285="","",'計算'!$BD285))</f>
        <v/>
      </c>
      <c r="W289" s="52">
        <f>IF('計算'!$C285="","",IF('計算'!$M285="","",'計算'!$BE285))</f>
        <v/>
      </c>
      <c r="X289" s="52">
        <f>IF('計算'!$C285="","",IF('計算'!$M285="","",'計算'!$BF285))</f>
        <v/>
      </c>
      <c r="Y289" s="52">
        <f>IF('計算'!$C285="","",IF('計算'!$M285="","",'計算'!$BG285))</f>
        <v/>
      </c>
      <c r="Z289" s="52">
        <f>IF('計算'!$C285="","",IF('計算'!$M285="","",'計算'!$BH285))</f>
        <v/>
      </c>
      <c r="AA289" s="52">
        <f>IF('計算'!$C285="","",IF('計算'!$M285="","",'計算'!$BI285))</f>
        <v/>
      </c>
      <c r="AB289" s="52">
        <f>IF('計算'!$C285="","",IF('計算'!$M285="","",'計算'!$BJ285))</f>
        <v/>
      </c>
      <c r="AC289" s="52">
        <f>IF('計算'!$C285="","",IF('計算'!$M285="","",'計算'!$BK285))</f>
        <v/>
      </c>
      <c r="AD289" s="53" t="n"/>
      <c r="AE289" s="48" t="n"/>
      <c r="AF289" s="54">
        <f>IF('計算'!$C285="","",'計算'!$C285)</f>
        <v/>
      </c>
      <c r="AG289" s="54">
        <f>IF('計算'!$C285="","",'計算'!$F285)</f>
        <v/>
      </c>
    </row>
    <row r="290" ht="18" customHeight="1">
      <c r="B290" s="42">
        <f>IF('計算'!$C286="","",'計算'!$B286)</f>
        <v/>
      </c>
      <c r="C290" s="43">
        <f>IF('計算'!$C286="","",'計算'!$D286)</f>
        <v/>
      </c>
      <c r="D290" s="44">
        <f>IF('計算'!$C286="","",'計算'!$O286)</f>
        <v/>
      </c>
      <c r="E290" s="45">
        <f>IF('計算'!$C286="","",'計算'!$L286)</f>
        <v/>
      </c>
      <c r="F290" s="46">
        <f>IF('計算'!$C286="","",'計算'!$CD286)</f>
        <v/>
      </c>
      <c r="G290" s="47">
        <f>IF('計算'!$C286="","",'計算'!$CA286)</f>
        <v/>
      </c>
      <c r="H290" s="43">
        <f>IF('計算'!$C286="","",'計算'!$CP286)</f>
        <v/>
      </c>
      <c r="I290" s="48" t="n"/>
      <c r="J290" s="49" t="n"/>
      <c r="K290" s="50">
        <f>IF('計算'!$C286="","",'計算'!$CR286)</f>
        <v/>
      </c>
      <c r="L290" s="51">
        <f>IF('計算'!$C286="","",'計算'!$CF286)</f>
        <v/>
      </c>
      <c r="M290" s="48" t="n"/>
      <c r="N290" s="49" t="n"/>
      <c r="O290" s="43">
        <f>IF('計算'!$C286="","",'計算'!$CQ286)</f>
        <v/>
      </c>
      <c r="P290" s="52">
        <f>IF('計算'!$C286="","",IF('計算'!$M286="","",'計算'!$AX286))</f>
        <v/>
      </c>
      <c r="Q290" s="52">
        <f>IF('計算'!$C286="","",IF('計算'!$M286="","",'計算'!$AY286))</f>
        <v/>
      </c>
      <c r="R290" s="52">
        <f>IF('計算'!$C286="","",IF('計算'!$M286="","",'計算'!$AZ286))</f>
        <v/>
      </c>
      <c r="S290" s="52">
        <f>IF('計算'!$C286="","",IF('計算'!$M286="","",'計算'!$BA286))</f>
        <v/>
      </c>
      <c r="T290" s="52">
        <f>IF('計算'!$C286="","",IF('計算'!$M286="","",'計算'!$BB286))</f>
        <v/>
      </c>
      <c r="U290" s="52">
        <f>IF('計算'!$C286="","",IF('計算'!$M286="","",'計算'!$BC286))</f>
        <v/>
      </c>
      <c r="V290" s="52">
        <f>IF('計算'!$C286="","",IF('計算'!$M286="","",'計算'!$BD286))</f>
        <v/>
      </c>
      <c r="W290" s="52">
        <f>IF('計算'!$C286="","",IF('計算'!$M286="","",'計算'!$BE286))</f>
        <v/>
      </c>
      <c r="X290" s="52">
        <f>IF('計算'!$C286="","",IF('計算'!$M286="","",'計算'!$BF286))</f>
        <v/>
      </c>
      <c r="Y290" s="52">
        <f>IF('計算'!$C286="","",IF('計算'!$M286="","",'計算'!$BG286))</f>
        <v/>
      </c>
      <c r="Z290" s="52">
        <f>IF('計算'!$C286="","",IF('計算'!$M286="","",'計算'!$BH286))</f>
        <v/>
      </c>
      <c r="AA290" s="52">
        <f>IF('計算'!$C286="","",IF('計算'!$M286="","",'計算'!$BI286))</f>
        <v/>
      </c>
      <c r="AB290" s="52">
        <f>IF('計算'!$C286="","",IF('計算'!$M286="","",'計算'!$BJ286))</f>
        <v/>
      </c>
      <c r="AC290" s="52">
        <f>IF('計算'!$C286="","",IF('計算'!$M286="","",'計算'!$BK286))</f>
        <v/>
      </c>
      <c r="AD290" s="53" t="n"/>
      <c r="AE290" s="48" t="n"/>
      <c r="AF290" s="54">
        <f>IF('計算'!$C286="","",'計算'!$C286)</f>
        <v/>
      </c>
      <c r="AG290" s="54">
        <f>IF('計算'!$C286="","",'計算'!$F286)</f>
        <v/>
      </c>
    </row>
    <row r="291" ht="18" customHeight="1">
      <c r="B291" s="42">
        <f>IF('計算'!$C287="","",'計算'!$B287)</f>
        <v/>
      </c>
      <c r="C291" s="43">
        <f>IF('計算'!$C287="","",'計算'!$D287)</f>
        <v/>
      </c>
      <c r="D291" s="44">
        <f>IF('計算'!$C287="","",'計算'!$O287)</f>
        <v/>
      </c>
      <c r="E291" s="45">
        <f>IF('計算'!$C287="","",'計算'!$L287)</f>
        <v/>
      </c>
      <c r="F291" s="46">
        <f>IF('計算'!$C287="","",'計算'!$CD287)</f>
        <v/>
      </c>
      <c r="G291" s="47">
        <f>IF('計算'!$C287="","",'計算'!$CA287)</f>
        <v/>
      </c>
      <c r="H291" s="43">
        <f>IF('計算'!$C287="","",'計算'!$CP287)</f>
        <v/>
      </c>
      <c r="I291" s="48" t="n"/>
      <c r="J291" s="49" t="n"/>
      <c r="K291" s="50">
        <f>IF('計算'!$C287="","",'計算'!$CR287)</f>
        <v/>
      </c>
      <c r="L291" s="51">
        <f>IF('計算'!$C287="","",'計算'!$CF287)</f>
        <v/>
      </c>
      <c r="M291" s="48" t="n"/>
      <c r="N291" s="49" t="n"/>
      <c r="O291" s="43">
        <f>IF('計算'!$C287="","",'計算'!$CQ287)</f>
        <v/>
      </c>
      <c r="P291" s="52">
        <f>IF('計算'!$C287="","",IF('計算'!$M287="","",'計算'!$AX287))</f>
        <v/>
      </c>
      <c r="Q291" s="52">
        <f>IF('計算'!$C287="","",IF('計算'!$M287="","",'計算'!$AY287))</f>
        <v/>
      </c>
      <c r="R291" s="52">
        <f>IF('計算'!$C287="","",IF('計算'!$M287="","",'計算'!$AZ287))</f>
        <v/>
      </c>
      <c r="S291" s="52">
        <f>IF('計算'!$C287="","",IF('計算'!$M287="","",'計算'!$BA287))</f>
        <v/>
      </c>
      <c r="T291" s="52">
        <f>IF('計算'!$C287="","",IF('計算'!$M287="","",'計算'!$BB287))</f>
        <v/>
      </c>
      <c r="U291" s="52">
        <f>IF('計算'!$C287="","",IF('計算'!$M287="","",'計算'!$BC287))</f>
        <v/>
      </c>
      <c r="V291" s="52">
        <f>IF('計算'!$C287="","",IF('計算'!$M287="","",'計算'!$BD287))</f>
        <v/>
      </c>
      <c r="W291" s="52">
        <f>IF('計算'!$C287="","",IF('計算'!$M287="","",'計算'!$BE287))</f>
        <v/>
      </c>
      <c r="X291" s="52">
        <f>IF('計算'!$C287="","",IF('計算'!$M287="","",'計算'!$BF287))</f>
        <v/>
      </c>
      <c r="Y291" s="52">
        <f>IF('計算'!$C287="","",IF('計算'!$M287="","",'計算'!$BG287))</f>
        <v/>
      </c>
      <c r="Z291" s="52">
        <f>IF('計算'!$C287="","",IF('計算'!$M287="","",'計算'!$BH287))</f>
        <v/>
      </c>
      <c r="AA291" s="52">
        <f>IF('計算'!$C287="","",IF('計算'!$M287="","",'計算'!$BI287))</f>
        <v/>
      </c>
      <c r="AB291" s="52">
        <f>IF('計算'!$C287="","",IF('計算'!$M287="","",'計算'!$BJ287))</f>
        <v/>
      </c>
      <c r="AC291" s="52">
        <f>IF('計算'!$C287="","",IF('計算'!$M287="","",'計算'!$BK287))</f>
        <v/>
      </c>
      <c r="AD291" s="53" t="n"/>
      <c r="AE291" s="48" t="n"/>
      <c r="AF291" s="54">
        <f>IF('計算'!$C287="","",'計算'!$C287)</f>
        <v/>
      </c>
      <c r="AG291" s="54">
        <f>IF('計算'!$C287="","",'計算'!$F287)</f>
        <v/>
      </c>
    </row>
    <row r="292" ht="18" customHeight="1">
      <c r="B292" s="42">
        <f>IF('計算'!$C288="","",'計算'!$B288)</f>
        <v/>
      </c>
      <c r="C292" s="43">
        <f>IF('計算'!$C288="","",'計算'!$D288)</f>
        <v/>
      </c>
      <c r="D292" s="44">
        <f>IF('計算'!$C288="","",'計算'!$O288)</f>
        <v/>
      </c>
      <c r="E292" s="45">
        <f>IF('計算'!$C288="","",'計算'!$L288)</f>
        <v/>
      </c>
      <c r="F292" s="46">
        <f>IF('計算'!$C288="","",'計算'!$CD288)</f>
        <v/>
      </c>
      <c r="G292" s="47">
        <f>IF('計算'!$C288="","",'計算'!$CA288)</f>
        <v/>
      </c>
      <c r="H292" s="43">
        <f>IF('計算'!$C288="","",'計算'!$CP288)</f>
        <v/>
      </c>
      <c r="I292" s="48" t="n"/>
      <c r="J292" s="49" t="n"/>
      <c r="K292" s="50">
        <f>IF('計算'!$C288="","",'計算'!$CR288)</f>
        <v/>
      </c>
      <c r="L292" s="51">
        <f>IF('計算'!$C288="","",'計算'!$CF288)</f>
        <v/>
      </c>
      <c r="M292" s="48" t="n"/>
      <c r="N292" s="49" t="n"/>
      <c r="O292" s="43">
        <f>IF('計算'!$C288="","",'計算'!$CQ288)</f>
        <v/>
      </c>
      <c r="P292" s="52">
        <f>IF('計算'!$C288="","",IF('計算'!$M288="","",'計算'!$AX288))</f>
        <v/>
      </c>
      <c r="Q292" s="52">
        <f>IF('計算'!$C288="","",IF('計算'!$M288="","",'計算'!$AY288))</f>
        <v/>
      </c>
      <c r="R292" s="52">
        <f>IF('計算'!$C288="","",IF('計算'!$M288="","",'計算'!$AZ288))</f>
        <v/>
      </c>
      <c r="S292" s="52">
        <f>IF('計算'!$C288="","",IF('計算'!$M288="","",'計算'!$BA288))</f>
        <v/>
      </c>
      <c r="T292" s="52">
        <f>IF('計算'!$C288="","",IF('計算'!$M288="","",'計算'!$BB288))</f>
        <v/>
      </c>
      <c r="U292" s="52">
        <f>IF('計算'!$C288="","",IF('計算'!$M288="","",'計算'!$BC288))</f>
        <v/>
      </c>
      <c r="V292" s="52">
        <f>IF('計算'!$C288="","",IF('計算'!$M288="","",'計算'!$BD288))</f>
        <v/>
      </c>
      <c r="W292" s="52">
        <f>IF('計算'!$C288="","",IF('計算'!$M288="","",'計算'!$BE288))</f>
        <v/>
      </c>
      <c r="X292" s="52">
        <f>IF('計算'!$C288="","",IF('計算'!$M288="","",'計算'!$BF288))</f>
        <v/>
      </c>
      <c r="Y292" s="52">
        <f>IF('計算'!$C288="","",IF('計算'!$M288="","",'計算'!$BG288))</f>
        <v/>
      </c>
      <c r="Z292" s="52">
        <f>IF('計算'!$C288="","",IF('計算'!$M288="","",'計算'!$BH288))</f>
        <v/>
      </c>
      <c r="AA292" s="52">
        <f>IF('計算'!$C288="","",IF('計算'!$M288="","",'計算'!$BI288))</f>
        <v/>
      </c>
      <c r="AB292" s="52">
        <f>IF('計算'!$C288="","",IF('計算'!$M288="","",'計算'!$BJ288))</f>
        <v/>
      </c>
      <c r="AC292" s="52">
        <f>IF('計算'!$C288="","",IF('計算'!$M288="","",'計算'!$BK288))</f>
        <v/>
      </c>
      <c r="AD292" s="53" t="n"/>
      <c r="AE292" s="48" t="n"/>
      <c r="AF292" s="54">
        <f>IF('計算'!$C288="","",'計算'!$C288)</f>
        <v/>
      </c>
      <c r="AG292" s="54">
        <f>IF('計算'!$C288="","",'計算'!$F288)</f>
        <v/>
      </c>
    </row>
    <row r="293" ht="18" customHeight="1">
      <c r="B293" s="42">
        <f>IF('計算'!$C289="","",'計算'!$B289)</f>
        <v/>
      </c>
      <c r="C293" s="43">
        <f>IF('計算'!$C289="","",'計算'!$D289)</f>
        <v/>
      </c>
      <c r="D293" s="44">
        <f>IF('計算'!$C289="","",'計算'!$O289)</f>
        <v/>
      </c>
      <c r="E293" s="45">
        <f>IF('計算'!$C289="","",'計算'!$L289)</f>
        <v/>
      </c>
      <c r="F293" s="46">
        <f>IF('計算'!$C289="","",'計算'!$CD289)</f>
        <v/>
      </c>
      <c r="G293" s="47">
        <f>IF('計算'!$C289="","",'計算'!$CA289)</f>
        <v/>
      </c>
      <c r="H293" s="43">
        <f>IF('計算'!$C289="","",'計算'!$CP289)</f>
        <v/>
      </c>
      <c r="I293" s="48" t="n"/>
      <c r="J293" s="49" t="n"/>
      <c r="K293" s="50">
        <f>IF('計算'!$C289="","",'計算'!$CR289)</f>
        <v/>
      </c>
      <c r="L293" s="51">
        <f>IF('計算'!$C289="","",'計算'!$CF289)</f>
        <v/>
      </c>
      <c r="M293" s="48" t="n"/>
      <c r="N293" s="49" t="n"/>
      <c r="O293" s="43">
        <f>IF('計算'!$C289="","",'計算'!$CQ289)</f>
        <v/>
      </c>
      <c r="P293" s="52">
        <f>IF('計算'!$C289="","",IF('計算'!$M289="","",'計算'!$AX289))</f>
        <v/>
      </c>
      <c r="Q293" s="52">
        <f>IF('計算'!$C289="","",IF('計算'!$M289="","",'計算'!$AY289))</f>
        <v/>
      </c>
      <c r="R293" s="52">
        <f>IF('計算'!$C289="","",IF('計算'!$M289="","",'計算'!$AZ289))</f>
        <v/>
      </c>
      <c r="S293" s="52">
        <f>IF('計算'!$C289="","",IF('計算'!$M289="","",'計算'!$BA289))</f>
        <v/>
      </c>
      <c r="T293" s="52">
        <f>IF('計算'!$C289="","",IF('計算'!$M289="","",'計算'!$BB289))</f>
        <v/>
      </c>
      <c r="U293" s="52">
        <f>IF('計算'!$C289="","",IF('計算'!$M289="","",'計算'!$BC289))</f>
        <v/>
      </c>
      <c r="V293" s="52">
        <f>IF('計算'!$C289="","",IF('計算'!$M289="","",'計算'!$BD289))</f>
        <v/>
      </c>
      <c r="W293" s="52">
        <f>IF('計算'!$C289="","",IF('計算'!$M289="","",'計算'!$BE289))</f>
        <v/>
      </c>
      <c r="X293" s="52">
        <f>IF('計算'!$C289="","",IF('計算'!$M289="","",'計算'!$BF289))</f>
        <v/>
      </c>
      <c r="Y293" s="52">
        <f>IF('計算'!$C289="","",IF('計算'!$M289="","",'計算'!$BG289))</f>
        <v/>
      </c>
      <c r="Z293" s="52">
        <f>IF('計算'!$C289="","",IF('計算'!$M289="","",'計算'!$BH289))</f>
        <v/>
      </c>
      <c r="AA293" s="52">
        <f>IF('計算'!$C289="","",IF('計算'!$M289="","",'計算'!$BI289))</f>
        <v/>
      </c>
      <c r="AB293" s="52">
        <f>IF('計算'!$C289="","",IF('計算'!$M289="","",'計算'!$BJ289))</f>
        <v/>
      </c>
      <c r="AC293" s="52">
        <f>IF('計算'!$C289="","",IF('計算'!$M289="","",'計算'!$BK289))</f>
        <v/>
      </c>
      <c r="AD293" s="53" t="n"/>
      <c r="AE293" s="48" t="n"/>
      <c r="AF293" s="54">
        <f>IF('計算'!$C289="","",'計算'!$C289)</f>
        <v/>
      </c>
      <c r="AG293" s="54">
        <f>IF('計算'!$C289="","",'計算'!$F289)</f>
        <v/>
      </c>
    </row>
    <row r="294" ht="18" customHeight="1">
      <c r="B294" s="42">
        <f>IF('計算'!$C290="","",'計算'!$B290)</f>
        <v/>
      </c>
      <c r="C294" s="43">
        <f>IF('計算'!$C290="","",'計算'!$D290)</f>
        <v/>
      </c>
      <c r="D294" s="44">
        <f>IF('計算'!$C290="","",'計算'!$O290)</f>
        <v/>
      </c>
      <c r="E294" s="45">
        <f>IF('計算'!$C290="","",'計算'!$L290)</f>
        <v/>
      </c>
      <c r="F294" s="46">
        <f>IF('計算'!$C290="","",'計算'!$CD290)</f>
        <v/>
      </c>
      <c r="G294" s="47">
        <f>IF('計算'!$C290="","",'計算'!$CA290)</f>
        <v/>
      </c>
      <c r="H294" s="43">
        <f>IF('計算'!$C290="","",'計算'!$CP290)</f>
        <v/>
      </c>
      <c r="I294" s="48" t="n"/>
      <c r="J294" s="49" t="n"/>
      <c r="K294" s="50">
        <f>IF('計算'!$C290="","",'計算'!$CR290)</f>
        <v/>
      </c>
      <c r="L294" s="51">
        <f>IF('計算'!$C290="","",'計算'!$CF290)</f>
        <v/>
      </c>
      <c r="M294" s="48" t="n"/>
      <c r="N294" s="49" t="n"/>
      <c r="O294" s="43">
        <f>IF('計算'!$C290="","",'計算'!$CQ290)</f>
        <v/>
      </c>
      <c r="P294" s="52">
        <f>IF('計算'!$C290="","",IF('計算'!$M290="","",'計算'!$AX290))</f>
        <v/>
      </c>
      <c r="Q294" s="52">
        <f>IF('計算'!$C290="","",IF('計算'!$M290="","",'計算'!$AY290))</f>
        <v/>
      </c>
      <c r="R294" s="52">
        <f>IF('計算'!$C290="","",IF('計算'!$M290="","",'計算'!$AZ290))</f>
        <v/>
      </c>
      <c r="S294" s="52">
        <f>IF('計算'!$C290="","",IF('計算'!$M290="","",'計算'!$BA290))</f>
        <v/>
      </c>
      <c r="T294" s="52">
        <f>IF('計算'!$C290="","",IF('計算'!$M290="","",'計算'!$BB290))</f>
        <v/>
      </c>
      <c r="U294" s="52">
        <f>IF('計算'!$C290="","",IF('計算'!$M290="","",'計算'!$BC290))</f>
        <v/>
      </c>
      <c r="V294" s="52">
        <f>IF('計算'!$C290="","",IF('計算'!$M290="","",'計算'!$BD290))</f>
        <v/>
      </c>
      <c r="W294" s="52">
        <f>IF('計算'!$C290="","",IF('計算'!$M290="","",'計算'!$BE290))</f>
        <v/>
      </c>
      <c r="X294" s="52">
        <f>IF('計算'!$C290="","",IF('計算'!$M290="","",'計算'!$BF290))</f>
        <v/>
      </c>
      <c r="Y294" s="52">
        <f>IF('計算'!$C290="","",IF('計算'!$M290="","",'計算'!$BG290))</f>
        <v/>
      </c>
      <c r="Z294" s="52">
        <f>IF('計算'!$C290="","",IF('計算'!$M290="","",'計算'!$BH290))</f>
        <v/>
      </c>
      <c r="AA294" s="52">
        <f>IF('計算'!$C290="","",IF('計算'!$M290="","",'計算'!$BI290))</f>
        <v/>
      </c>
      <c r="AB294" s="52">
        <f>IF('計算'!$C290="","",IF('計算'!$M290="","",'計算'!$BJ290))</f>
        <v/>
      </c>
      <c r="AC294" s="52">
        <f>IF('計算'!$C290="","",IF('計算'!$M290="","",'計算'!$BK290))</f>
        <v/>
      </c>
      <c r="AD294" s="53" t="n"/>
      <c r="AE294" s="48" t="n"/>
      <c r="AF294" s="54">
        <f>IF('計算'!$C290="","",'計算'!$C290)</f>
        <v/>
      </c>
      <c r="AG294" s="54">
        <f>IF('計算'!$C290="","",'計算'!$F290)</f>
        <v/>
      </c>
    </row>
    <row r="295" ht="18" customHeight="1">
      <c r="B295" s="42">
        <f>IF('計算'!$C291="","",'計算'!$B291)</f>
        <v/>
      </c>
      <c r="C295" s="43">
        <f>IF('計算'!$C291="","",'計算'!$D291)</f>
        <v/>
      </c>
      <c r="D295" s="44">
        <f>IF('計算'!$C291="","",'計算'!$O291)</f>
        <v/>
      </c>
      <c r="E295" s="45">
        <f>IF('計算'!$C291="","",'計算'!$L291)</f>
        <v/>
      </c>
      <c r="F295" s="46">
        <f>IF('計算'!$C291="","",'計算'!$CD291)</f>
        <v/>
      </c>
      <c r="G295" s="47">
        <f>IF('計算'!$C291="","",'計算'!$CA291)</f>
        <v/>
      </c>
      <c r="H295" s="43">
        <f>IF('計算'!$C291="","",'計算'!$CP291)</f>
        <v/>
      </c>
      <c r="I295" s="48" t="n"/>
      <c r="J295" s="49" t="n"/>
      <c r="K295" s="50">
        <f>IF('計算'!$C291="","",'計算'!$CR291)</f>
        <v/>
      </c>
      <c r="L295" s="51">
        <f>IF('計算'!$C291="","",'計算'!$CF291)</f>
        <v/>
      </c>
      <c r="M295" s="48" t="n"/>
      <c r="N295" s="49" t="n"/>
      <c r="O295" s="43">
        <f>IF('計算'!$C291="","",'計算'!$CQ291)</f>
        <v/>
      </c>
      <c r="P295" s="52">
        <f>IF('計算'!$C291="","",IF('計算'!$M291="","",'計算'!$AX291))</f>
        <v/>
      </c>
      <c r="Q295" s="52">
        <f>IF('計算'!$C291="","",IF('計算'!$M291="","",'計算'!$AY291))</f>
        <v/>
      </c>
      <c r="R295" s="52">
        <f>IF('計算'!$C291="","",IF('計算'!$M291="","",'計算'!$AZ291))</f>
        <v/>
      </c>
      <c r="S295" s="52">
        <f>IF('計算'!$C291="","",IF('計算'!$M291="","",'計算'!$BA291))</f>
        <v/>
      </c>
      <c r="T295" s="52">
        <f>IF('計算'!$C291="","",IF('計算'!$M291="","",'計算'!$BB291))</f>
        <v/>
      </c>
      <c r="U295" s="52">
        <f>IF('計算'!$C291="","",IF('計算'!$M291="","",'計算'!$BC291))</f>
        <v/>
      </c>
      <c r="V295" s="52">
        <f>IF('計算'!$C291="","",IF('計算'!$M291="","",'計算'!$BD291))</f>
        <v/>
      </c>
      <c r="W295" s="52">
        <f>IF('計算'!$C291="","",IF('計算'!$M291="","",'計算'!$BE291))</f>
        <v/>
      </c>
      <c r="X295" s="52">
        <f>IF('計算'!$C291="","",IF('計算'!$M291="","",'計算'!$BF291))</f>
        <v/>
      </c>
      <c r="Y295" s="52">
        <f>IF('計算'!$C291="","",IF('計算'!$M291="","",'計算'!$BG291))</f>
        <v/>
      </c>
      <c r="Z295" s="52">
        <f>IF('計算'!$C291="","",IF('計算'!$M291="","",'計算'!$BH291))</f>
        <v/>
      </c>
      <c r="AA295" s="52">
        <f>IF('計算'!$C291="","",IF('計算'!$M291="","",'計算'!$BI291))</f>
        <v/>
      </c>
      <c r="AB295" s="52">
        <f>IF('計算'!$C291="","",IF('計算'!$M291="","",'計算'!$BJ291))</f>
        <v/>
      </c>
      <c r="AC295" s="52">
        <f>IF('計算'!$C291="","",IF('計算'!$M291="","",'計算'!$BK291))</f>
        <v/>
      </c>
      <c r="AD295" s="53" t="n"/>
      <c r="AE295" s="48" t="n"/>
      <c r="AF295" s="54">
        <f>IF('計算'!$C291="","",'計算'!$C291)</f>
        <v/>
      </c>
      <c r="AG295" s="54">
        <f>IF('計算'!$C291="","",'計算'!$F291)</f>
        <v/>
      </c>
    </row>
    <row r="296" ht="18" customHeight="1">
      <c r="B296" s="42">
        <f>IF('計算'!$C292="","",'計算'!$B292)</f>
        <v/>
      </c>
      <c r="C296" s="43">
        <f>IF('計算'!$C292="","",'計算'!$D292)</f>
        <v/>
      </c>
      <c r="D296" s="44">
        <f>IF('計算'!$C292="","",'計算'!$O292)</f>
        <v/>
      </c>
      <c r="E296" s="45">
        <f>IF('計算'!$C292="","",'計算'!$L292)</f>
        <v/>
      </c>
      <c r="F296" s="46">
        <f>IF('計算'!$C292="","",'計算'!$CD292)</f>
        <v/>
      </c>
      <c r="G296" s="47">
        <f>IF('計算'!$C292="","",'計算'!$CA292)</f>
        <v/>
      </c>
      <c r="H296" s="43">
        <f>IF('計算'!$C292="","",'計算'!$CP292)</f>
        <v/>
      </c>
      <c r="I296" s="48" t="n"/>
      <c r="J296" s="49" t="n"/>
      <c r="K296" s="50">
        <f>IF('計算'!$C292="","",'計算'!$CR292)</f>
        <v/>
      </c>
      <c r="L296" s="51">
        <f>IF('計算'!$C292="","",'計算'!$CF292)</f>
        <v/>
      </c>
      <c r="M296" s="48" t="n"/>
      <c r="N296" s="49" t="n"/>
      <c r="O296" s="43">
        <f>IF('計算'!$C292="","",'計算'!$CQ292)</f>
        <v/>
      </c>
      <c r="P296" s="52">
        <f>IF('計算'!$C292="","",IF('計算'!$M292="","",'計算'!$AX292))</f>
        <v/>
      </c>
      <c r="Q296" s="52">
        <f>IF('計算'!$C292="","",IF('計算'!$M292="","",'計算'!$AY292))</f>
        <v/>
      </c>
      <c r="R296" s="52">
        <f>IF('計算'!$C292="","",IF('計算'!$M292="","",'計算'!$AZ292))</f>
        <v/>
      </c>
      <c r="S296" s="52">
        <f>IF('計算'!$C292="","",IF('計算'!$M292="","",'計算'!$BA292))</f>
        <v/>
      </c>
      <c r="T296" s="52">
        <f>IF('計算'!$C292="","",IF('計算'!$M292="","",'計算'!$BB292))</f>
        <v/>
      </c>
      <c r="U296" s="52">
        <f>IF('計算'!$C292="","",IF('計算'!$M292="","",'計算'!$BC292))</f>
        <v/>
      </c>
      <c r="V296" s="52">
        <f>IF('計算'!$C292="","",IF('計算'!$M292="","",'計算'!$BD292))</f>
        <v/>
      </c>
      <c r="W296" s="52">
        <f>IF('計算'!$C292="","",IF('計算'!$M292="","",'計算'!$BE292))</f>
        <v/>
      </c>
      <c r="X296" s="52">
        <f>IF('計算'!$C292="","",IF('計算'!$M292="","",'計算'!$BF292))</f>
        <v/>
      </c>
      <c r="Y296" s="52">
        <f>IF('計算'!$C292="","",IF('計算'!$M292="","",'計算'!$BG292))</f>
        <v/>
      </c>
      <c r="Z296" s="52">
        <f>IF('計算'!$C292="","",IF('計算'!$M292="","",'計算'!$BH292))</f>
        <v/>
      </c>
      <c r="AA296" s="52">
        <f>IF('計算'!$C292="","",IF('計算'!$M292="","",'計算'!$BI292))</f>
        <v/>
      </c>
      <c r="AB296" s="52">
        <f>IF('計算'!$C292="","",IF('計算'!$M292="","",'計算'!$BJ292))</f>
        <v/>
      </c>
      <c r="AC296" s="52">
        <f>IF('計算'!$C292="","",IF('計算'!$M292="","",'計算'!$BK292))</f>
        <v/>
      </c>
      <c r="AD296" s="53" t="n"/>
      <c r="AE296" s="48" t="n"/>
      <c r="AF296" s="54">
        <f>IF('計算'!$C292="","",'計算'!$C292)</f>
        <v/>
      </c>
      <c r="AG296" s="54">
        <f>IF('計算'!$C292="","",'計算'!$F292)</f>
        <v/>
      </c>
    </row>
    <row r="297" ht="18" customHeight="1">
      <c r="B297" s="42">
        <f>IF('計算'!$C293="","",'計算'!$B293)</f>
        <v/>
      </c>
      <c r="C297" s="43">
        <f>IF('計算'!$C293="","",'計算'!$D293)</f>
        <v/>
      </c>
      <c r="D297" s="44">
        <f>IF('計算'!$C293="","",'計算'!$O293)</f>
        <v/>
      </c>
      <c r="E297" s="45">
        <f>IF('計算'!$C293="","",'計算'!$L293)</f>
        <v/>
      </c>
      <c r="F297" s="46">
        <f>IF('計算'!$C293="","",'計算'!$CD293)</f>
        <v/>
      </c>
      <c r="G297" s="47">
        <f>IF('計算'!$C293="","",'計算'!$CA293)</f>
        <v/>
      </c>
      <c r="H297" s="43">
        <f>IF('計算'!$C293="","",'計算'!$CP293)</f>
        <v/>
      </c>
      <c r="I297" s="48" t="n"/>
      <c r="J297" s="49" t="n"/>
      <c r="K297" s="50">
        <f>IF('計算'!$C293="","",'計算'!$CR293)</f>
        <v/>
      </c>
      <c r="L297" s="51">
        <f>IF('計算'!$C293="","",'計算'!$CF293)</f>
        <v/>
      </c>
      <c r="M297" s="48" t="n"/>
      <c r="N297" s="49" t="n"/>
      <c r="O297" s="43">
        <f>IF('計算'!$C293="","",'計算'!$CQ293)</f>
        <v/>
      </c>
      <c r="P297" s="52">
        <f>IF('計算'!$C293="","",IF('計算'!$M293="","",'計算'!$AX293))</f>
        <v/>
      </c>
      <c r="Q297" s="52">
        <f>IF('計算'!$C293="","",IF('計算'!$M293="","",'計算'!$AY293))</f>
        <v/>
      </c>
      <c r="R297" s="52">
        <f>IF('計算'!$C293="","",IF('計算'!$M293="","",'計算'!$AZ293))</f>
        <v/>
      </c>
      <c r="S297" s="52">
        <f>IF('計算'!$C293="","",IF('計算'!$M293="","",'計算'!$BA293))</f>
        <v/>
      </c>
      <c r="T297" s="52">
        <f>IF('計算'!$C293="","",IF('計算'!$M293="","",'計算'!$BB293))</f>
        <v/>
      </c>
      <c r="U297" s="52">
        <f>IF('計算'!$C293="","",IF('計算'!$M293="","",'計算'!$BC293))</f>
        <v/>
      </c>
      <c r="V297" s="52">
        <f>IF('計算'!$C293="","",IF('計算'!$M293="","",'計算'!$BD293))</f>
        <v/>
      </c>
      <c r="W297" s="52">
        <f>IF('計算'!$C293="","",IF('計算'!$M293="","",'計算'!$BE293))</f>
        <v/>
      </c>
      <c r="X297" s="52">
        <f>IF('計算'!$C293="","",IF('計算'!$M293="","",'計算'!$BF293))</f>
        <v/>
      </c>
      <c r="Y297" s="52">
        <f>IF('計算'!$C293="","",IF('計算'!$M293="","",'計算'!$BG293))</f>
        <v/>
      </c>
      <c r="Z297" s="52">
        <f>IF('計算'!$C293="","",IF('計算'!$M293="","",'計算'!$BH293))</f>
        <v/>
      </c>
      <c r="AA297" s="52">
        <f>IF('計算'!$C293="","",IF('計算'!$M293="","",'計算'!$BI293))</f>
        <v/>
      </c>
      <c r="AB297" s="52">
        <f>IF('計算'!$C293="","",IF('計算'!$M293="","",'計算'!$BJ293))</f>
        <v/>
      </c>
      <c r="AC297" s="52">
        <f>IF('計算'!$C293="","",IF('計算'!$M293="","",'計算'!$BK293))</f>
        <v/>
      </c>
      <c r="AD297" s="53" t="n"/>
      <c r="AE297" s="48" t="n"/>
      <c r="AF297" s="54">
        <f>IF('計算'!$C293="","",'計算'!$C293)</f>
        <v/>
      </c>
      <c r="AG297" s="54">
        <f>IF('計算'!$C293="","",'計算'!$F293)</f>
        <v/>
      </c>
    </row>
    <row r="298" ht="18" customHeight="1">
      <c r="B298" s="42">
        <f>IF('計算'!$C294="","",'計算'!$B294)</f>
        <v/>
      </c>
      <c r="C298" s="43">
        <f>IF('計算'!$C294="","",'計算'!$D294)</f>
        <v/>
      </c>
      <c r="D298" s="44">
        <f>IF('計算'!$C294="","",'計算'!$O294)</f>
        <v/>
      </c>
      <c r="E298" s="45">
        <f>IF('計算'!$C294="","",'計算'!$L294)</f>
        <v/>
      </c>
      <c r="F298" s="46">
        <f>IF('計算'!$C294="","",'計算'!$CD294)</f>
        <v/>
      </c>
      <c r="G298" s="47">
        <f>IF('計算'!$C294="","",'計算'!$CA294)</f>
        <v/>
      </c>
      <c r="H298" s="43">
        <f>IF('計算'!$C294="","",'計算'!$CP294)</f>
        <v/>
      </c>
      <c r="I298" s="48" t="n"/>
      <c r="J298" s="49" t="n"/>
      <c r="K298" s="50">
        <f>IF('計算'!$C294="","",'計算'!$CR294)</f>
        <v/>
      </c>
      <c r="L298" s="51">
        <f>IF('計算'!$C294="","",'計算'!$CF294)</f>
        <v/>
      </c>
      <c r="M298" s="48" t="n"/>
      <c r="N298" s="49" t="n"/>
      <c r="O298" s="43">
        <f>IF('計算'!$C294="","",'計算'!$CQ294)</f>
        <v/>
      </c>
      <c r="P298" s="52">
        <f>IF('計算'!$C294="","",IF('計算'!$M294="","",'計算'!$AX294))</f>
        <v/>
      </c>
      <c r="Q298" s="52">
        <f>IF('計算'!$C294="","",IF('計算'!$M294="","",'計算'!$AY294))</f>
        <v/>
      </c>
      <c r="R298" s="52">
        <f>IF('計算'!$C294="","",IF('計算'!$M294="","",'計算'!$AZ294))</f>
        <v/>
      </c>
      <c r="S298" s="52">
        <f>IF('計算'!$C294="","",IF('計算'!$M294="","",'計算'!$BA294))</f>
        <v/>
      </c>
      <c r="T298" s="52">
        <f>IF('計算'!$C294="","",IF('計算'!$M294="","",'計算'!$BB294))</f>
        <v/>
      </c>
      <c r="U298" s="52">
        <f>IF('計算'!$C294="","",IF('計算'!$M294="","",'計算'!$BC294))</f>
        <v/>
      </c>
      <c r="V298" s="52">
        <f>IF('計算'!$C294="","",IF('計算'!$M294="","",'計算'!$BD294))</f>
        <v/>
      </c>
      <c r="W298" s="52">
        <f>IF('計算'!$C294="","",IF('計算'!$M294="","",'計算'!$BE294))</f>
        <v/>
      </c>
      <c r="X298" s="52">
        <f>IF('計算'!$C294="","",IF('計算'!$M294="","",'計算'!$BF294))</f>
        <v/>
      </c>
      <c r="Y298" s="52">
        <f>IF('計算'!$C294="","",IF('計算'!$M294="","",'計算'!$BG294))</f>
        <v/>
      </c>
      <c r="Z298" s="52">
        <f>IF('計算'!$C294="","",IF('計算'!$M294="","",'計算'!$BH294))</f>
        <v/>
      </c>
      <c r="AA298" s="52">
        <f>IF('計算'!$C294="","",IF('計算'!$M294="","",'計算'!$BI294))</f>
        <v/>
      </c>
      <c r="AB298" s="52">
        <f>IF('計算'!$C294="","",IF('計算'!$M294="","",'計算'!$BJ294))</f>
        <v/>
      </c>
      <c r="AC298" s="52">
        <f>IF('計算'!$C294="","",IF('計算'!$M294="","",'計算'!$BK294))</f>
        <v/>
      </c>
      <c r="AD298" s="53" t="n"/>
      <c r="AE298" s="48" t="n"/>
      <c r="AF298" s="54">
        <f>IF('計算'!$C294="","",'計算'!$C294)</f>
        <v/>
      </c>
      <c r="AG298" s="54">
        <f>IF('計算'!$C294="","",'計算'!$F294)</f>
        <v/>
      </c>
    </row>
    <row r="299" ht="18" customHeight="1">
      <c r="B299" s="42">
        <f>IF('計算'!$C295="","",'計算'!$B295)</f>
        <v/>
      </c>
      <c r="C299" s="43">
        <f>IF('計算'!$C295="","",'計算'!$D295)</f>
        <v/>
      </c>
      <c r="D299" s="44">
        <f>IF('計算'!$C295="","",'計算'!$O295)</f>
        <v/>
      </c>
      <c r="E299" s="45">
        <f>IF('計算'!$C295="","",'計算'!$L295)</f>
        <v/>
      </c>
      <c r="F299" s="46">
        <f>IF('計算'!$C295="","",'計算'!$CD295)</f>
        <v/>
      </c>
      <c r="G299" s="47">
        <f>IF('計算'!$C295="","",'計算'!$CA295)</f>
        <v/>
      </c>
      <c r="H299" s="43">
        <f>IF('計算'!$C295="","",'計算'!$CP295)</f>
        <v/>
      </c>
      <c r="I299" s="48" t="n"/>
      <c r="J299" s="49" t="n"/>
      <c r="K299" s="50">
        <f>IF('計算'!$C295="","",'計算'!$CR295)</f>
        <v/>
      </c>
      <c r="L299" s="51">
        <f>IF('計算'!$C295="","",'計算'!$CF295)</f>
        <v/>
      </c>
      <c r="M299" s="48" t="n"/>
      <c r="N299" s="49" t="n"/>
      <c r="O299" s="43">
        <f>IF('計算'!$C295="","",'計算'!$CQ295)</f>
        <v/>
      </c>
      <c r="P299" s="52">
        <f>IF('計算'!$C295="","",IF('計算'!$M295="","",'計算'!$AX295))</f>
        <v/>
      </c>
      <c r="Q299" s="52">
        <f>IF('計算'!$C295="","",IF('計算'!$M295="","",'計算'!$AY295))</f>
        <v/>
      </c>
      <c r="R299" s="52">
        <f>IF('計算'!$C295="","",IF('計算'!$M295="","",'計算'!$AZ295))</f>
        <v/>
      </c>
      <c r="S299" s="52">
        <f>IF('計算'!$C295="","",IF('計算'!$M295="","",'計算'!$BA295))</f>
        <v/>
      </c>
      <c r="T299" s="52">
        <f>IF('計算'!$C295="","",IF('計算'!$M295="","",'計算'!$BB295))</f>
        <v/>
      </c>
      <c r="U299" s="52">
        <f>IF('計算'!$C295="","",IF('計算'!$M295="","",'計算'!$BC295))</f>
        <v/>
      </c>
      <c r="V299" s="52">
        <f>IF('計算'!$C295="","",IF('計算'!$M295="","",'計算'!$BD295))</f>
        <v/>
      </c>
      <c r="W299" s="52">
        <f>IF('計算'!$C295="","",IF('計算'!$M295="","",'計算'!$BE295))</f>
        <v/>
      </c>
      <c r="X299" s="52">
        <f>IF('計算'!$C295="","",IF('計算'!$M295="","",'計算'!$BF295))</f>
        <v/>
      </c>
      <c r="Y299" s="52">
        <f>IF('計算'!$C295="","",IF('計算'!$M295="","",'計算'!$BG295))</f>
        <v/>
      </c>
      <c r="Z299" s="52">
        <f>IF('計算'!$C295="","",IF('計算'!$M295="","",'計算'!$BH295))</f>
        <v/>
      </c>
      <c r="AA299" s="52">
        <f>IF('計算'!$C295="","",IF('計算'!$M295="","",'計算'!$BI295))</f>
        <v/>
      </c>
      <c r="AB299" s="52">
        <f>IF('計算'!$C295="","",IF('計算'!$M295="","",'計算'!$BJ295))</f>
        <v/>
      </c>
      <c r="AC299" s="52">
        <f>IF('計算'!$C295="","",IF('計算'!$M295="","",'計算'!$BK295))</f>
        <v/>
      </c>
      <c r="AD299" s="53" t="n"/>
      <c r="AE299" s="48" t="n"/>
      <c r="AF299" s="54">
        <f>IF('計算'!$C295="","",'計算'!$C295)</f>
        <v/>
      </c>
      <c r="AG299" s="54">
        <f>IF('計算'!$C295="","",'計算'!$F295)</f>
        <v/>
      </c>
    </row>
    <row r="300" ht="18" customHeight="1">
      <c r="B300" s="42">
        <f>IF('計算'!$C296="","",'計算'!$B296)</f>
        <v/>
      </c>
      <c r="C300" s="43">
        <f>IF('計算'!$C296="","",'計算'!$D296)</f>
        <v/>
      </c>
      <c r="D300" s="44">
        <f>IF('計算'!$C296="","",'計算'!$O296)</f>
        <v/>
      </c>
      <c r="E300" s="45">
        <f>IF('計算'!$C296="","",'計算'!$L296)</f>
        <v/>
      </c>
      <c r="F300" s="46">
        <f>IF('計算'!$C296="","",'計算'!$CD296)</f>
        <v/>
      </c>
      <c r="G300" s="47">
        <f>IF('計算'!$C296="","",'計算'!$CA296)</f>
        <v/>
      </c>
      <c r="H300" s="43">
        <f>IF('計算'!$C296="","",'計算'!$CP296)</f>
        <v/>
      </c>
      <c r="I300" s="48" t="n"/>
      <c r="J300" s="49" t="n"/>
      <c r="K300" s="50">
        <f>IF('計算'!$C296="","",'計算'!$CR296)</f>
        <v/>
      </c>
      <c r="L300" s="51">
        <f>IF('計算'!$C296="","",'計算'!$CF296)</f>
        <v/>
      </c>
      <c r="M300" s="48" t="n"/>
      <c r="N300" s="49" t="n"/>
      <c r="O300" s="43">
        <f>IF('計算'!$C296="","",'計算'!$CQ296)</f>
        <v/>
      </c>
      <c r="P300" s="52">
        <f>IF('計算'!$C296="","",IF('計算'!$M296="","",'計算'!$AX296))</f>
        <v/>
      </c>
      <c r="Q300" s="52">
        <f>IF('計算'!$C296="","",IF('計算'!$M296="","",'計算'!$AY296))</f>
        <v/>
      </c>
      <c r="R300" s="52">
        <f>IF('計算'!$C296="","",IF('計算'!$M296="","",'計算'!$AZ296))</f>
        <v/>
      </c>
      <c r="S300" s="52">
        <f>IF('計算'!$C296="","",IF('計算'!$M296="","",'計算'!$BA296))</f>
        <v/>
      </c>
      <c r="T300" s="52">
        <f>IF('計算'!$C296="","",IF('計算'!$M296="","",'計算'!$BB296))</f>
        <v/>
      </c>
      <c r="U300" s="52">
        <f>IF('計算'!$C296="","",IF('計算'!$M296="","",'計算'!$BC296))</f>
        <v/>
      </c>
      <c r="V300" s="52">
        <f>IF('計算'!$C296="","",IF('計算'!$M296="","",'計算'!$BD296))</f>
        <v/>
      </c>
      <c r="W300" s="52">
        <f>IF('計算'!$C296="","",IF('計算'!$M296="","",'計算'!$BE296))</f>
        <v/>
      </c>
      <c r="X300" s="52">
        <f>IF('計算'!$C296="","",IF('計算'!$M296="","",'計算'!$BF296))</f>
        <v/>
      </c>
      <c r="Y300" s="52">
        <f>IF('計算'!$C296="","",IF('計算'!$M296="","",'計算'!$BG296))</f>
        <v/>
      </c>
      <c r="Z300" s="52">
        <f>IF('計算'!$C296="","",IF('計算'!$M296="","",'計算'!$BH296))</f>
        <v/>
      </c>
      <c r="AA300" s="52">
        <f>IF('計算'!$C296="","",IF('計算'!$M296="","",'計算'!$BI296))</f>
        <v/>
      </c>
      <c r="AB300" s="52">
        <f>IF('計算'!$C296="","",IF('計算'!$M296="","",'計算'!$BJ296))</f>
        <v/>
      </c>
      <c r="AC300" s="52">
        <f>IF('計算'!$C296="","",IF('計算'!$M296="","",'計算'!$BK296))</f>
        <v/>
      </c>
      <c r="AD300" s="53" t="n"/>
      <c r="AE300" s="48" t="n"/>
      <c r="AF300" s="54">
        <f>IF('計算'!$C296="","",'計算'!$C296)</f>
        <v/>
      </c>
      <c r="AG300" s="54">
        <f>IF('計算'!$C296="","",'計算'!$F296)</f>
        <v/>
      </c>
    </row>
    <row r="301" ht="18" customHeight="1">
      <c r="B301" s="42">
        <f>IF('計算'!$C297="","",'計算'!$B297)</f>
        <v/>
      </c>
      <c r="C301" s="43">
        <f>IF('計算'!$C297="","",'計算'!$D297)</f>
        <v/>
      </c>
      <c r="D301" s="44">
        <f>IF('計算'!$C297="","",'計算'!$O297)</f>
        <v/>
      </c>
      <c r="E301" s="45">
        <f>IF('計算'!$C297="","",'計算'!$L297)</f>
        <v/>
      </c>
      <c r="F301" s="46">
        <f>IF('計算'!$C297="","",'計算'!$CD297)</f>
        <v/>
      </c>
      <c r="G301" s="47">
        <f>IF('計算'!$C297="","",'計算'!$CA297)</f>
        <v/>
      </c>
      <c r="H301" s="43">
        <f>IF('計算'!$C297="","",'計算'!$CP297)</f>
        <v/>
      </c>
      <c r="I301" s="48" t="n"/>
      <c r="J301" s="49" t="n"/>
      <c r="K301" s="50">
        <f>IF('計算'!$C297="","",'計算'!$CR297)</f>
        <v/>
      </c>
      <c r="L301" s="51">
        <f>IF('計算'!$C297="","",'計算'!$CF297)</f>
        <v/>
      </c>
      <c r="M301" s="48" t="n"/>
      <c r="N301" s="49" t="n"/>
      <c r="O301" s="43">
        <f>IF('計算'!$C297="","",'計算'!$CQ297)</f>
        <v/>
      </c>
      <c r="P301" s="52">
        <f>IF('計算'!$C297="","",IF('計算'!$M297="","",'計算'!$AX297))</f>
        <v/>
      </c>
      <c r="Q301" s="52">
        <f>IF('計算'!$C297="","",IF('計算'!$M297="","",'計算'!$AY297))</f>
        <v/>
      </c>
      <c r="R301" s="52">
        <f>IF('計算'!$C297="","",IF('計算'!$M297="","",'計算'!$AZ297))</f>
        <v/>
      </c>
      <c r="S301" s="52">
        <f>IF('計算'!$C297="","",IF('計算'!$M297="","",'計算'!$BA297))</f>
        <v/>
      </c>
      <c r="T301" s="52">
        <f>IF('計算'!$C297="","",IF('計算'!$M297="","",'計算'!$BB297))</f>
        <v/>
      </c>
      <c r="U301" s="52">
        <f>IF('計算'!$C297="","",IF('計算'!$M297="","",'計算'!$BC297))</f>
        <v/>
      </c>
      <c r="V301" s="52">
        <f>IF('計算'!$C297="","",IF('計算'!$M297="","",'計算'!$BD297))</f>
        <v/>
      </c>
      <c r="W301" s="52">
        <f>IF('計算'!$C297="","",IF('計算'!$M297="","",'計算'!$BE297))</f>
        <v/>
      </c>
      <c r="X301" s="52">
        <f>IF('計算'!$C297="","",IF('計算'!$M297="","",'計算'!$BF297))</f>
        <v/>
      </c>
      <c r="Y301" s="52">
        <f>IF('計算'!$C297="","",IF('計算'!$M297="","",'計算'!$BG297))</f>
        <v/>
      </c>
      <c r="Z301" s="52">
        <f>IF('計算'!$C297="","",IF('計算'!$M297="","",'計算'!$BH297))</f>
        <v/>
      </c>
      <c r="AA301" s="52">
        <f>IF('計算'!$C297="","",IF('計算'!$M297="","",'計算'!$BI297))</f>
        <v/>
      </c>
      <c r="AB301" s="52">
        <f>IF('計算'!$C297="","",IF('計算'!$M297="","",'計算'!$BJ297))</f>
        <v/>
      </c>
      <c r="AC301" s="52">
        <f>IF('計算'!$C297="","",IF('計算'!$M297="","",'計算'!$BK297))</f>
        <v/>
      </c>
      <c r="AD301" s="53" t="n"/>
      <c r="AE301" s="48" t="n"/>
      <c r="AF301" s="54">
        <f>IF('計算'!$C297="","",'計算'!$C297)</f>
        <v/>
      </c>
      <c r="AG301" s="54">
        <f>IF('計算'!$C297="","",'計算'!$F297)</f>
        <v/>
      </c>
    </row>
    <row r="302" ht="18" customHeight="1">
      <c r="B302" s="42">
        <f>IF('計算'!$C298="","",'計算'!$B298)</f>
        <v/>
      </c>
      <c r="C302" s="43">
        <f>IF('計算'!$C298="","",'計算'!$D298)</f>
        <v/>
      </c>
      <c r="D302" s="44">
        <f>IF('計算'!$C298="","",'計算'!$O298)</f>
        <v/>
      </c>
      <c r="E302" s="45">
        <f>IF('計算'!$C298="","",'計算'!$L298)</f>
        <v/>
      </c>
      <c r="F302" s="46">
        <f>IF('計算'!$C298="","",'計算'!$CD298)</f>
        <v/>
      </c>
      <c r="G302" s="47">
        <f>IF('計算'!$C298="","",'計算'!$CA298)</f>
        <v/>
      </c>
      <c r="H302" s="43">
        <f>IF('計算'!$C298="","",'計算'!$CP298)</f>
        <v/>
      </c>
      <c r="I302" s="48" t="n"/>
      <c r="J302" s="49" t="n"/>
      <c r="K302" s="50">
        <f>IF('計算'!$C298="","",'計算'!$CR298)</f>
        <v/>
      </c>
      <c r="L302" s="51">
        <f>IF('計算'!$C298="","",'計算'!$CF298)</f>
        <v/>
      </c>
      <c r="M302" s="48" t="n"/>
      <c r="N302" s="49" t="n"/>
      <c r="O302" s="43">
        <f>IF('計算'!$C298="","",'計算'!$CQ298)</f>
        <v/>
      </c>
      <c r="P302" s="52">
        <f>IF('計算'!$C298="","",IF('計算'!$M298="","",'計算'!$AX298))</f>
        <v/>
      </c>
      <c r="Q302" s="52">
        <f>IF('計算'!$C298="","",IF('計算'!$M298="","",'計算'!$AY298))</f>
        <v/>
      </c>
      <c r="R302" s="52">
        <f>IF('計算'!$C298="","",IF('計算'!$M298="","",'計算'!$AZ298))</f>
        <v/>
      </c>
      <c r="S302" s="52">
        <f>IF('計算'!$C298="","",IF('計算'!$M298="","",'計算'!$BA298))</f>
        <v/>
      </c>
      <c r="T302" s="52">
        <f>IF('計算'!$C298="","",IF('計算'!$M298="","",'計算'!$BB298))</f>
        <v/>
      </c>
      <c r="U302" s="52">
        <f>IF('計算'!$C298="","",IF('計算'!$M298="","",'計算'!$BC298))</f>
        <v/>
      </c>
      <c r="V302" s="52">
        <f>IF('計算'!$C298="","",IF('計算'!$M298="","",'計算'!$BD298))</f>
        <v/>
      </c>
      <c r="W302" s="52">
        <f>IF('計算'!$C298="","",IF('計算'!$M298="","",'計算'!$BE298))</f>
        <v/>
      </c>
      <c r="X302" s="52">
        <f>IF('計算'!$C298="","",IF('計算'!$M298="","",'計算'!$BF298))</f>
        <v/>
      </c>
      <c r="Y302" s="52">
        <f>IF('計算'!$C298="","",IF('計算'!$M298="","",'計算'!$BG298))</f>
        <v/>
      </c>
      <c r="Z302" s="52">
        <f>IF('計算'!$C298="","",IF('計算'!$M298="","",'計算'!$BH298))</f>
        <v/>
      </c>
      <c r="AA302" s="52">
        <f>IF('計算'!$C298="","",IF('計算'!$M298="","",'計算'!$BI298))</f>
        <v/>
      </c>
      <c r="AB302" s="52">
        <f>IF('計算'!$C298="","",IF('計算'!$M298="","",'計算'!$BJ298))</f>
        <v/>
      </c>
      <c r="AC302" s="52">
        <f>IF('計算'!$C298="","",IF('計算'!$M298="","",'計算'!$BK298))</f>
        <v/>
      </c>
      <c r="AD302" s="53" t="n"/>
      <c r="AE302" s="48" t="n"/>
      <c r="AF302" s="54">
        <f>IF('計算'!$C298="","",'計算'!$C298)</f>
        <v/>
      </c>
      <c r="AG302" s="54">
        <f>IF('計算'!$C298="","",'計算'!$F298)</f>
        <v/>
      </c>
    </row>
    <row r="303" ht="18" customHeight="1">
      <c r="B303" s="42">
        <f>IF('計算'!$C299="","",'計算'!$B299)</f>
        <v/>
      </c>
      <c r="C303" s="43">
        <f>IF('計算'!$C299="","",'計算'!$D299)</f>
        <v/>
      </c>
      <c r="D303" s="44">
        <f>IF('計算'!$C299="","",'計算'!$O299)</f>
        <v/>
      </c>
      <c r="E303" s="45">
        <f>IF('計算'!$C299="","",'計算'!$L299)</f>
        <v/>
      </c>
      <c r="F303" s="46">
        <f>IF('計算'!$C299="","",'計算'!$CD299)</f>
        <v/>
      </c>
      <c r="G303" s="47">
        <f>IF('計算'!$C299="","",'計算'!$CA299)</f>
        <v/>
      </c>
      <c r="H303" s="43">
        <f>IF('計算'!$C299="","",'計算'!$CP299)</f>
        <v/>
      </c>
      <c r="I303" s="48" t="n"/>
      <c r="J303" s="49" t="n"/>
      <c r="K303" s="50">
        <f>IF('計算'!$C299="","",'計算'!$CR299)</f>
        <v/>
      </c>
      <c r="L303" s="51">
        <f>IF('計算'!$C299="","",'計算'!$CF299)</f>
        <v/>
      </c>
      <c r="M303" s="48" t="n"/>
      <c r="N303" s="49" t="n"/>
      <c r="O303" s="43">
        <f>IF('計算'!$C299="","",'計算'!$CQ299)</f>
        <v/>
      </c>
      <c r="P303" s="52">
        <f>IF('計算'!$C299="","",IF('計算'!$M299="","",'計算'!$AX299))</f>
        <v/>
      </c>
      <c r="Q303" s="52">
        <f>IF('計算'!$C299="","",IF('計算'!$M299="","",'計算'!$AY299))</f>
        <v/>
      </c>
      <c r="R303" s="52">
        <f>IF('計算'!$C299="","",IF('計算'!$M299="","",'計算'!$AZ299))</f>
        <v/>
      </c>
      <c r="S303" s="52">
        <f>IF('計算'!$C299="","",IF('計算'!$M299="","",'計算'!$BA299))</f>
        <v/>
      </c>
      <c r="T303" s="52">
        <f>IF('計算'!$C299="","",IF('計算'!$M299="","",'計算'!$BB299))</f>
        <v/>
      </c>
      <c r="U303" s="52">
        <f>IF('計算'!$C299="","",IF('計算'!$M299="","",'計算'!$BC299))</f>
        <v/>
      </c>
      <c r="V303" s="52">
        <f>IF('計算'!$C299="","",IF('計算'!$M299="","",'計算'!$BD299))</f>
        <v/>
      </c>
      <c r="W303" s="52">
        <f>IF('計算'!$C299="","",IF('計算'!$M299="","",'計算'!$BE299))</f>
        <v/>
      </c>
      <c r="X303" s="52">
        <f>IF('計算'!$C299="","",IF('計算'!$M299="","",'計算'!$BF299))</f>
        <v/>
      </c>
      <c r="Y303" s="52">
        <f>IF('計算'!$C299="","",IF('計算'!$M299="","",'計算'!$BG299))</f>
        <v/>
      </c>
      <c r="Z303" s="52">
        <f>IF('計算'!$C299="","",IF('計算'!$M299="","",'計算'!$BH299))</f>
        <v/>
      </c>
      <c r="AA303" s="52">
        <f>IF('計算'!$C299="","",IF('計算'!$M299="","",'計算'!$BI299))</f>
        <v/>
      </c>
      <c r="AB303" s="52">
        <f>IF('計算'!$C299="","",IF('計算'!$M299="","",'計算'!$BJ299))</f>
        <v/>
      </c>
      <c r="AC303" s="52">
        <f>IF('計算'!$C299="","",IF('計算'!$M299="","",'計算'!$BK299))</f>
        <v/>
      </c>
      <c r="AD303" s="53" t="n"/>
      <c r="AE303" s="48" t="n"/>
      <c r="AF303" s="54">
        <f>IF('計算'!$C299="","",'計算'!$C299)</f>
        <v/>
      </c>
      <c r="AG303" s="54">
        <f>IF('計算'!$C299="","",'計算'!$F299)</f>
        <v/>
      </c>
    </row>
    <row r="304" ht="18" customHeight="1">
      <c r="B304" s="42">
        <f>IF('計算'!$C300="","",'計算'!$B300)</f>
        <v/>
      </c>
      <c r="C304" s="43">
        <f>IF('計算'!$C300="","",'計算'!$D300)</f>
        <v/>
      </c>
      <c r="D304" s="44">
        <f>IF('計算'!$C300="","",'計算'!$O300)</f>
        <v/>
      </c>
      <c r="E304" s="45">
        <f>IF('計算'!$C300="","",'計算'!$L300)</f>
        <v/>
      </c>
      <c r="F304" s="46">
        <f>IF('計算'!$C300="","",'計算'!$CD300)</f>
        <v/>
      </c>
      <c r="G304" s="47">
        <f>IF('計算'!$C300="","",'計算'!$CA300)</f>
        <v/>
      </c>
      <c r="H304" s="43">
        <f>IF('計算'!$C300="","",'計算'!$CP300)</f>
        <v/>
      </c>
      <c r="I304" s="48" t="n"/>
      <c r="J304" s="49" t="n"/>
      <c r="K304" s="50">
        <f>IF('計算'!$C300="","",'計算'!$CR300)</f>
        <v/>
      </c>
      <c r="L304" s="51">
        <f>IF('計算'!$C300="","",'計算'!$CF300)</f>
        <v/>
      </c>
      <c r="M304" s="48" t="n"/>
      <c r="N304" s="49" t="n"/>
      <c r="O304" s="43">
        <f>IF('計算'!$C300="","",'計算'!$CQ300)</f>
        <v/>
      </c>
      <c r="P304" s="52">
        <f>IF('計算'!$C300="","",IF('計算'!$M300="","",'計算'!$AX300))</f>
        <v/>
      </c>
      <c r="Q304" s="52">
        <f>IF('計算'!$C300="","",IF('計算'!$M300="","",'計算'!$AY300))</f>
        <v/>
      </c>
      <c r="R304" s="52">
        <f>IF('計算'!$C300="","",IF('計算'!$M300="","",'計算'!$AZ300))</f>
        <v/>
      </c>
      <c r="S304" s="52">
        <f>IF('計算'!$C300="","",IF('計算'!$M300="","",'計算'!$BA300))</f>
        <v/>
      </c>
      <c r="T304" s="52">
        <f>IF('計算'!$C300="","",IF('計算'!$M300="","",'計算'!$BB300))</f>
        <v/>
      </c>
      <c r="U304" s="52">
        <f>IF('計算'!$C300="","",IF('計算'!$M300="","",'計算'!$BC300))</f>
        <v/>
      </c>
      <c r="V304" s="52">
        <f>IF('計算'!$C300="","",IF('計算'!$M300="","",'計算'!$BD300))</f>
        <v/>
      </c>
      <c r="W304" s="52">
        <f>IF('計算'!$C300="","",IF('計算'!$M300="","",'計算'!$BE300))</f>
        <v/>
      </c>
      <c r="X304" s="52">
        <f>IF('計算'!$C300="","",IF('計算'!$M300="","",'計算'!$BF300))</f>
        <v/>
      </c>
      <c r="Y304" s="52">
        <f>IF('計算'!$C300="","",IF('計算'!$M300="","",'計算'!$BG300))</f>
        <v/>
      </c>
      <c r="Z304" s="52">
        <f>IF('計算'!$C300="","",IF('計算'!$M300="","",'計算'!$BH300))</f>
        <v/>
      </c>
      <c r="AA304" s="52">
        <f>IF('計算'!$C300="","",IF('計算'!$M300="","",'計算'!$BI300))</f>
        <v/>
      </c>
      <c r="AB304" s="52">
        <f>IF('計算'!$C300="","",IF('計算'!$M300="","",'計算'!$BJ300))</f>
        <v/>
      </c>
      <c r="AC304" s="52">
        <f>IF('計算'!$C300="","",IF('計算'!$M300="","",'計算'!$BK300))</f>
        <v/>
      </c>
      <c r="AD304" s="53" t="n"/>
      <c r="AE304" s="48" t="n"/>
      <c r="AF304" s="54">
        <f>IF('計算'!$C300="","",'計算'!$C300)</f>
        <v/>
      </c>
      <c r="AG304" s="54">
        <f>IF('計算'!$C300="","",'計算'!$F300)</f>
        <v/>
      </c>
    </row>
    <row r="305" ht="18" customHeight="1">
      <c r="B305" s="42">
        <f>IF('計算'!$C301="","",'計算'!$B301)</f>
        <v/>
      </c>
      <c r="C305" s="43">
        <f>IF('計算'!$C301="","",'計算'!$D301)</f>
        <v/>
      </c>
      <c r="D305" s="44">
        <f>IF('計算'!$C301="","",'計算'!$O301)</f>
        <v/>
      </c>
      <c r="E305" s="45">
        <f>IF('計算'!$C301="","",'計算'!$L301)</f>
        <v/>
      </c>
      <c r="F305" s="46">
        <f>IF('計算'!$C301="","",'計算'!$CD301)</f>
        <v/>
      </c>
      <c r="G305" s="47">
        <f>IF('計算'!$C301="","",'計算'!$CA301)</f>
        <v/>
      </c>
      <c r="H305" s="43">
        <f>IF('計算'!$C301="","",'計算'!$CP301)</f>
        <v/>
      </c>
      <c r="I305" s="48" t="n"/>
      <c r="J305" s="49" t="n"/>
      <c r="K305" s="50">
        <f>IF('計算'!$C301="","",'計算'!$CR301)</f>
        <v/>
      </c>
      <c r="L305" s="51">
        <f>IF('計算'!$C301="","",'計算'!$CF301)</f>
        <v/>
      </c>
      <c r="M305" s="48" t="n"/>
      <c r="N305" s="49" t="n"/>
      <c r="O305" s="43">
        <f>IF('計算'!$C301="","",'計算'!$CQ301)</f>
        <v/>
      </c>
      <c r="P305" s="52">
        <f>IF('計算'!$C301="","",IF('計算'!$M301="","",'計算'!$AX301))</f>
        <v/>
      </c>
      <c r="Q305" s="52">
        <f>IF('計算'!$C301="","",IF('計算'!$M301="","",'計算'!$AY301))</f>
        <v/>
      </c>
      <c r="R305" s="52">
        <f>IF('計算'!$C301="","",IF('計算'!$M301="","",'計算'!$AZ301))</f>
        <v/>
      </c>
      <c r="S305" s="52">
        <f>IF('計算'!$C301="","",IF('計算'!$M301="","",'計算'!$BA301))</f>
        <v/>
      </c>
      <c r="T305" s="52">
        <f>IF('計算'!$C301="","",IF('計算'!$M301="","",'計算'!$BB301))</f>
        <v/>
      </c>
      <c r="U305" s="52">
        <f>IF('計算'!$C301="","",IF('計算'!$M301="","",'計算'!$BC301))</f>
        <v/>
      </c>
      <c r="V305" s="52">
        <f>IF('計算'!$C301="","",IF('計算'!$M301="","",'計算'!$BD301))</f>
        <v/>
      </c>
      <c r="W305" s="52">
        <f>IF('計算'!$C301="","",IF('計算'!$M301="","",'計算'!$BE301))</f>
        <v/>
      </c>
      <c r="X305" s="52">
        <f>IF('計算'!$C301="","",IF('計算'!$M301="","",'計算'!$BF301))</f>
        <v/>
      </c>
      <c r="Y305" s="52">
        <f>IF('計算'!$C301="","",IF('計算'!$M301="","",'計算'!$BG301))</f>
        <v/>
      </c>
      <c r="Z305" s="52">
        <f>IF('計算'!$C301="","",IF('計算'!$M301="","",'計算'!$BH301))</f>
        <v/>
      </c>
      <c r="AA305" s="52">
        <f>IF('計算'!$C301="","",IF('計算'!$M301="","",'計算'!$BI301))</f>
        <v/>
      </c>
      <c r="AB305" s="52">
        <f>IF('計算'!$C301="","",IF('計算'!$M301="","",'計算'!$BJ301))</f>
        <v/>
      </c>
      <c r="AC305" s="52">
        <f>IF('計算'!$C301="","",IF('計算'!$M301="","",'計算'!$BK301))</f>
        <v/>
      </c>
      <c r="AD305" s="53" t="n"/>
      <c r="AE305" s="48" t="n"/>
      <c r="AF305" s="54">
        <f>IF('計算'!$C301="","",'計算'!$C301)</f>
        <v/>
      </c>
      <c r="AG305" s="54">
        <f>IF('計算'!$C301="","",'計算'!$F301)</f>
        <v/>
      </c>
    </row>
    <row r="306" ht="18" customHeight="1">
      <c r="B306" s="42">
        <f>IF('計算'!$C302="","",'計算'!$B302)</f>
        <v/>
      </c>
      <c r="C306" s="43">
        <f>IF('計算'!$C302="","",'計算'!$D302)</f>
        <v/>
      </c>
      <c r="D306" s="44">
        <f>IF('計算'!$C302="","",'計算'!$O302)</f>
        <v/>
      </c>
      <c r="E306" s="45">
        <f>IF('計算'!$C302="","",'計算'!$L302)</f>
        <v/>
      </c>
      <c r="F306" s="46">
        <f>IF('計算'!$C302="","",'計算'!$CD302)</f>
        <v/>
      </c>
      <c r="G306" s="47">
        <f>IF('計算'!$C302="","",'計算'!$CA302)</f>
        <v/>
      </c>
      <c r="H306" s="43">
        <f>IF('計算'!$C302="","",'計算'!$CP302)</f>
        <v/>
      </c>
      <c r="I306" s="48" t="n"/>
      <c r="J306" s="49" t="n"/>
      <c r="K306" s="50">
        <f>IF('計算'!$C302="","",'計算'!$CR302)</f>
        <v/>
      </c>
      <c r="L306" s="51">
        <f>IF('計算'!$C302="","",'計算'!$CF302)</f>
        <v/>
      </c>
      <c r="M306" s="48" t="n"/>
      <c r="N306" s="49" t="n"/>
      <c r="O306" s="43">
        <f>IF('計算'!$C302="","",'計算'!$CQ302)</f>
        <v/>
      </c>
      <c r="P306" s="52">
        <f>IF('計算'!$C302="","",IF('計算'!$M302="","",'計算'!$AX302))</f>
        <v/>
      </c>
      <c r="Q306" s="52">
        <f>IF('計算'!$C302="","",IF('計算'!$M302="","",'計算'!$AY302))</f>
        <v/>
      </c>
      <c r="R306" s="52">
        <f>IF('計算'!$C302="","",IF('計算'!$M302="","",'計算'!$AZ302))</f>
        <v/>
      </c>
      <c r="S306" s="52">
        <f>IF('計算'!$C302="","",IF('計算'!$M302="","",'計算'!$BA302))</f>
        <v/>
      </c>
      <c r="T306" s="52">
        <f>IF('計算'!$C302="","",IF('計算'!$M302="","",'計算'!$BB302))</f>
        <v/>
      </c>
      <c r="U306" s="52">
        <f>IF('計算'!$C302="","",IF('計算'!$M302="","",'計算'!$BC302))</f>
        <v/>
      </c>
      <c r="V306" s="52">
        <f>IF('計算'!$C302="","",IF('計算'!$M302="","",'計算'!$BD302))</f>
        <v/>
      </c>
      <c r="W306" s="52">
        <f>IF('計算'!$C302="","",IF('計算'!$M302="","",'計算'!$BE302))</f>
        <v/>
      </c>
      <c r="X306" s="52">
        <f>IF('計算'!$C302="","",IF('計算'!$M302="","",'計算'!$BF302))</f>
        <v/>
      </c>
      <c r="Y306" s="52">
        <f>IF('計算'!$C302="","",IF('計算'!$M302="","",'計算'!$BG302))</f>
        <v/>
      </c>
      <c r="Z306" s="52">
        <f>IF('計算'!$C302="","",IF('計算'!$M302="","",'計算'!$BH302))</f>
        <v/>
      </c>
      <c r="AA306" s="52">
        <f>IF('計算'!$C302="","",IF('計算'!$M302="","",'計算'!$BI302))</f>
        <v/>
      </c>
      <c r="AB306" s="52">
        <f>IF('計算'!$C302="","",IF('計算'!$M302="","",'計算'!$BJ302))</f>
        <v/>
      </c>
      <c r="AC306" s="52">
        <f>IF('計算'!$C302="","",IF('計算'!$M302="","",'計算'!$BK302))</f>
        <v/>
      </c>
      <c r="AD306" s="53" t="n"/>
      <c r="AE306" s="48" t="n"/>
      <c r="AF306" s="54">
        <f>IF('計算'!$C302="","",'計算'!$C302)</f>
        <v/>
      </c>
      <c r="AG306" s="54">
        <f>IF('計算'!$C302="","",'計算'!$F302)</f>
        <v/>
      </c>
    </row>
    <row r="307" ht="18" customHeight="1">
      <c r="B307" s="42">
        <f>IF('計算'!$C303="","",'計算'!$B303)</f>
        <v/>
      </c>
      <c r="C307" s="43">
        <f>IF('計算'!$C303="","",'計算'!$D303)</f>
        <v/>
      </c>
      <c r="D307" s="44">
        <f>IF('計算'!$C303="","",'計算'!$O303)</f>
        <v/>
      </c>
      <c r="E307" s="45">
        <f>IF('計算'!$C303="","",'計算'!$L303)</f>
        <v/>
      </c>
      <c r="F307" s="46">
        <f>IF('計算'!$C303="","",'計算'!$CD303)</f>
        <v/>
      </c>
      <c r="G307" s="47">
        <f>IF('計算'!$C303="","",'計算'!$CA303)</f>
        <v/>
      </c>
      <c r="H307" s="43">
        <f>IF('計算'!$C303="","",'計算'!$CP303)</f>
        <v/>
      </c>
      <c r="I307" s="48" t="n"/>
      <c r="J307" s="49" t="n"/>
      <c r="K307" s="50">
        <f>IF('計算'!$C303="","",'計算'!$CR303)</f>
        <v/>
      </c>
      <c r="L307" s="51">
        <f>IF('計算'!$C303="","",'計算'!$CF303)</f>
        <v/>
      </c>
      <c r="M307" s="48" t="n"/>
      <c r="N307" s="49" t="n"/>
      <c r="O307" s="43">
        <f>IF('計算'!$C303="","",'計算'!$CQ303)</f>
        <v/>
      </c>
      <c r="P307" s="52">
        <f>IF('計算'!$C303="","",IF('計算'!$M303="","",'計算'!$AX303))</f>
        <v/>
      </c>
      <c r="Q307" s="52">
        <f>IF('計算'!$C303="","",IF('計算'!$M303="","",'計算'!$AY303))</f>
        <v/>
      </c>
      <c r="R307" s="52">
        <f>IF('計算'!$C303="","",IF('計算'!$M303="","",'計算'!$AZ303))</f>
        <v/>
      </c>
      <c r="S307" s="52">
        <f>IF('計算'!$C303="","",IF('計算'!$M303="","",'計算'!$BA303))</f>
        <v/>
      </c>
      <c r="T307" s="52">
        <f>IF('計算'!$C303="","",IF('計算'!$M303="","",'計算'!$BB303))</f>
        <v/>
      </c>
      <c r="U307" s="52">
        <f>IF('計算'!$C303="","",IF('計算'!$M303="","",'計算'!$BC303))</f>
        <v/>
      </c>
      <c r="V307" s="52">
        <f>IF('計算'!$C303="","",IF('計算'!$M303="","",'計算'!$BD303))</f>
        <v/>
      </c>
      <c r="W307" s="52">
        <f>IF('計算'!$C303="","",IF('計算'!$M303="","",'計算'!$BE303))</f>
        <v/>
      </c>
      <c r="X307" s="52">
        <f>IF('計算'!$C303="","",IF('計算'!$M303="","",'計算'!$BF303))</f>
        <v/>
      </c>
      <c r="Y307" s="52">
        <f>IF('計算'!$C303="","",IF('計算'!$M303="","",'計算'!$BG303))</f>
        <v/>
      </c>
      <c r="Z307" s="52">
        <f>IF('計算'!$C303="","",IF('計算'!$M303="","",'計算'!$BH303))</f>
        <v/>
      </c>
      <c r="AA307" s="52">
        <f>IF('計算'!$C303="","",IF('計算'!$M303="","",'計算'!$BI303))</f>
        <v/>
      </c>
      <c r="AB307" s="52">
        <f>IF('計算'!$C303="","",IF('計算'!$M303="","",'計算'!$BJ303))</f>
        <v/>
      </c>
      <c r="AC307" s="52">
        <f>IF('計算'!$C303="","",IF('計算'!$M303="","",'計算'!$BK303))</f>
        <v/>
      </c>
      <c r="AD307" s="53" t="n"/>
      <c r="AE307" s="48" t="n"/>
      <c r="AF307" s="54">
        <f>IF('計算'!$C303="","",'計算'!$C303)</f>
        <v/>
      </c>
      <c r="AG307" s="54">
        <f>IF('計算'!$C303="","",'計算'!$F303)</f>
        <v/>
      </c>
    </row>
    <row r="308" ht="18" customHeight="1">
      <c r="B308" s="42">
        <f>IF('計算'!$C304="","",'計算'!$B304)</f>
        <v/>
      </c>
      <c r="C308" s="43">
        <f>IF('計算'!$C304="","",'計算'!$D304)</f>
        <v/>
      </c>
      <c r="D308" s="44">
        <f>IF('計算'!$C304="","",'計算'!$O304)</f>
        <v/>
      </c>
      <c r="E308" s="45">
        <f>IF('計算'!$C304="","",'計算'!$L304)</f>
        <v/>
      </c>
      <c r="F308" s="46">
        <f>IF('計算'!$C304="","",'計算'!$CD304)</f>
        <v/>
      </c>
      <c r="G308" s="47">
        <f>IF('計算'!$C304="","",'計算'!$CA304)</f>
        <v/>
      </c>
      <c r="H308" s="43">
        <f>IF('計算'!$C304="","",'計算'!$CP304)</f>
        <v/>
      </c>
      <c r="I308" s="48" t="n"/>
      <c r="J308" s="49" t="n"/>
      <c r="K308" s="50">
        <f>IF('計算'!$C304="","",'計算'!$CR304)</f>
        <v/>
      </c>
      <c r="L308" s="51">
        <f>IF('計算'!$C304="","",'計算'!$CF304)</f>
        <v/>
      </c>
      <c r="M308" s="48" t="n"/>
      <c r="N308" s="49" t="n"/>
      <c r="O308" s="43">
        <f>IF('計算'!$C304="","",'計算'!$CQ304)</f>
        <v/>
      </c>
      <c r="P308" s="52">
        <f>IF('計算'!$C304="","",IF('計算'!$M304="","",'計算'!$AX304))</f>
        <v/>
      </c>
      <c r="Q308" s="52">
        <f>IF('計算'!$C304="","",IF('計算'!$M304="","",'計算'!$AY304))</f>
        <v/>
      </c>
      <c r="R308" s="52">
        <f>IF('計算'!$C304="","",IF('計算'!$M304="","",'計算'!$AZ304))</f>
        <v/>
      </c>
      <c r="S308" s="52">
        <f>IF('計算'!$C304="","",IF('計算'!$M304="","",'計算'!$BA304))</f>
        <v/>
      </c>
      <c r="T308" s="52">
        <f>IF('計算'!$C304="","",IF('計算'!$M304="","",'計算'!$BB304))</f>
        <v/>
      </c>
      <c r="U308" s="52">
        <f>IF('計算'!$C304="","",IF('計算'!$M304="","",'計算'!$BC304))</f>
        <v/>
      </c>
      <c r="V308" s="52">
        <f>IF('計算'!$C304="","",IF('計算'!$M304="","",'計算'!$BD304))</f>
        <v/>
      </c>
      <c r="W308" s="52">
        <f>IF('計算'!$C304="","",IF('計算'!$M304="","",'計算'!$BE304))</f>
        <v/>
      </c>
      <c r="X308" s="52">
        <f>IF('計算'!$C304="","",IF('計算'!$M304="","",'計算'!$BF304))</f>
        <v/>
      </c>
      <c r="Y308" s="52">
        <f>IF('計算'!$C304="","",IF('計算'!$M304="","",'計算'!$BG304))</f>
        <v/>
      </c>
      <c r="Z308" s="52">
        <f>IF('計算'!$C304="","",IF('計算'!$M304="","",'計算'!$BH304))</f>
        <v/>
      </c>
      <c r="AA308" s="52">
        <f>IF('計算'!$C304="","",IF('計算'!$M304="","",'計算'!$BI304))</f>
        <v/>
      </c>
      <c r="AB308" s="52">
        <f>IF('計算'!$C304="","",IF('計算'!$M304="","",'計算'!$BJ304))</f>
        <v/>
      </c>
      <c r="AC308" s="52">
        <f>IF('計算'!$C304="","",IF('計算'!$M304="","",'計算'!$BK304))</f>
        <v/>
      </c>
      <c r="AD308" s="53" t="n"/>
      <c r="AE308" s="48" t="n"/>
      <c r="AF308" s="54">
        <f>IF('計算'!$C304="","",'計算'!$C304)</f>
        <v/>
      </c>
      <c r="AG308" s="54">
        <f>IF('計算'!$C304="","",'計算'!$F304)</f>
        <v/>
      </c>
    </row>
    <row r="309" ht="18" customHeight="1">
      <c r="B309" s="42">
        <f>IF('計算'!$C305="","",'計算'!$B305)</f>
        <v/>
      </c>
      <c r="C309" s="43">
        <f>IF('計算'!$C305="","",'計算'!$D305)</f>
        <v/>
      </c>
      <c r="D309" s="44">
        <f>IF('計算'!$C305="","",'計算'!$O305)</f>
        <v/>
      </c>
      <c r="E309" s="45">
        <f>IF('計算'!$C305="","",'計算'!$L305)</f>
        <v/>
      </c>
      <c r="F309" s="46">
        <f>IF('計算'!$C305="","",'計算'!$CD305)</f>
        <v/>
      </c>
      <c r="G309" s="47">
        <f>IF('計算'!$C305="","",'計算'!$CA305)</f>
        <v/>
      </c>
      <c r="H309" s="43">
        <f>IF('計算'!$C305="","",'計算'!$CP305)</f>
        <v/>
      </c>
      <c r="I309" s="48" t="n"/>
      <c r="J309" s="49" t="n"/>
      <c r="K309" s="50">
        <f>IF('計算'!$C305="","",'計算'!$CR305)</f>
        <v/>
      </c>
      <c r="L309" s="51">
        <f>IF('計算'!$C305="","",'計算'!$CF305)</f>
        <v/>
      </c>
      <c r="M309" s="48" t="n"/>
      <c r="N309" s="49" t="n"/>
      <c r="O309" s="43">
        <f>IF('計算'!$C305="","",'計算'!$CQ305)</f>
        <v/>
      </c>
      <c r="P309" s="52">
        <f>IF('計算'!$C305="","",IF('計算'!$M305="","",'計算'!$AX305))</f>
        <v/>
      </c>
      <c r="Q309" s="52">
        <f>IF('計算'!$C305="","",IF('計算'!$M305="","",'計算'!$AY305))</f>
        <v/>
      </c>
      <c r="R309" s="52">
        <f>IF('計算'!$C305="","",IF('計算'!$M305="","",'計算'!$AZ305))</f>
        <v/>
      </c>
      <c r="S309" s="52">
        <f>IF('計算'!$C305="","",IF('計算'!$M305="","",'計算'!$BA305))</f>
        <v/>
      </c>
      <c r="T309" s="52">
        <f>IF('計算'!$C305="","",IF('計算'!$M305="","",'計算'!$BB305))</f>
        <v/>
      </c>
      <c r="U309" s="52">
        <f>IF('計算'!$C305="","",IF('計算'!$M305="","",'計算'!$BC305))</f>
        <v/>
      </c>
      <c r="V309" s="52">
        <f>IF('計算'!$C305="","",IF('計算'!$M305="","",'計算'!$BD305))</f>
        <v/>
      </c>
      <c r="W309" s="52">
        <f>IF('計算'!$C305="","",IF('計算'!$M305="","",'計算'!$BE305))</f>
        <v/>
      </c>
      <c r="X309" s="52">
        <f>IF('計算'!$C305="","",IF('計算'!$M305="","",'計算'!$BF305))</f>
        <v/>
      </c>
      <c r="Y309" s="52">
        <f>IF('計算'!$C305="","",IF('計算'!$M305="","",'計算'!$BG305))</f>
        <v/>
      </c>
      <c r="Z309" s="52">
        <f>IF('計算'!$C305="","",IF('計算'!$M305="","",'計算'!$BH305))</f>
        <v/>
      </c>
      <c r="AA309" s="52">
        <f>IF('計算'!$C305="","",IF('計算'!$M305="","",'計算'!$BI305))</f>
        <v/>
      </c>
      <c r="AB309" s="52">
        <f>IF('計算'!$C305="","",IF('計算'!$M305="","",'計算'!$BJ305))</f>
        <v/>
      </c>
      <c r="AC309" s="52">
        <f>IF('計算'!$C305="","",IF('計算'!$M305="","",'計算'!$BK305))</f>
        <v/>
      </c>
      <c r="AD309" s="53" t="n"/>
      <c r="AE309" s="48" t="n"/>
      <c r="AF309" s="54">
        <f>IF('計算'!$C305="","",'計算'!$C305)</f>
        <v/>
      </c>
      <c r="AG309" s="54">
        <f>IF('計算'!$C305="","",'計算'!$F305)</f>
        <v/>
      </c>
    </row>
    <row r="310" ht="18" customHeight="1">
      <c r="B310" s="42">
        <f>IF('計算'!$C306="","",'計算'!$B306)</f>
        <v/>
      </c>
      <c r="C310" s="43">
        <f>IF('計算'!$C306="","",'計算'!$D306)</f>
        <v/>
      </c>
      <c r="D310" s="44">
        <f>IF('計算'!$C306="","",'計算'!$O306)</f>
        <v/>
      </c>
      <c r="E310" s="45">
        <f>IF('計算'!$C306="","",'計算'!$L306)</f>
        <v/>
      </c>
      <c r="F310" s="46">
        <f>IF('計算'!$C306="","",'計算'!$CD306)</f>
        <v/>
      </c>
      <c r="G310" s="47">
        <f>IF('計算'!$C306="","",'計算'!$CA306)</f>
        <v/>
      </c>
      <c r="H310" s="43">
        <f>IF('計算'!$C306="","",'計算'!$CP306)</f>
        <v/>
      </c>
      <c r="I310" s="48" t="n"/>
      <c r="J310" s="49" t="n"/>
      <c r="K310" s="50">
        <f>IF('計算'!$C306="","",'計算'!$CR306)</f>
        <v/>
      </c>
      <c r="L310" s="51">
        <f>IF('計算'!$C306="","",'計算'!$CF306)</f>
        <v/>
      </c>
      <c r="M310" s="48" t="n"/>
      <c r="N310" s="49" t="n"/>
      <c r="O310" s="43">
        <f>IF('計算'!$C306="","",'計算'!$CQ306)</f>
        <v/>
      </c>
      <c r="P310" s="52">
        <f>IF('計算'!$C306="","",IF('計算'!$M306="","",'計算'!$AX306))</f>
        <v/>
      </c>
      <c r="Q310" s="52">
        <f>IF('計算'!$C306="","",IF('計算'!$M306="","",'計算'!$AY306))</f>
        <v/>
      </c>
      <c r="R310" s="52">
        <f>IF('計算'!$C306="","",IF('計算'!$M306="","",'計算'!$AZ306))</f>
        <v/>
      </c>
      <c r="S310" s="52">
        <f>IF('計算'!$C306="","",IF('計算'!$M306="","",'計算'!$BA306))</f>
        <v/>
      </c>
      <c r="T310" s="52">
        <f>IF('計算'!$C306="","",IF('計算'!$M306="","",'計算'!$BB306))</f>
        <v/>
      </c>
      <c r="U310" s="52">
        <f>IF('計算'!$C306="","",IF('計算'!$M306="","",'計算'!$BC306))</f>
        <v/>
      </c>
      <c r="V310" s="52">
        <f>IF('計算'!$C306="","",IF('計算'!$M306="","",'計算'!$BD306))</f>
        <v/>
      </c>
      <c r="W310" s="52">
        <f>IF('計算'!$C306="","",IF('計算'!$M306="","",'計算'!$BE306))</f>
        <v/>
      </c>
      <c r="X310" s="52">
        <f>IF('計算'!$C306="","",IF('計算'!$M306="","",'計算'!$BF306))</f>
        <v/>
      </c>
      <c r="Y310" s="52">
        <f>IF('計算'!$C306="","",IF('計算'!$M306="","",'計算'!$BG306))</f>
        <v/>
      </c>
      <c r="Z310" s="52">
        <f>IF('計算'!$C306="","",IF('計算'!$M306="","",'計算'!$BH306))</f>
        <v/>
      </c>
      <c r="AA310" s="52">
        <f>IF('計算'!$C306="","",IF('計算'!$M306="","",'計算'!$BI306))</f>
        <v/>
      </c>
      <c r="AB310" s="52">
        <f>IF('計算'!$C306="","",IF('計算'!$M306="","",'計算'!$BJ306))</f>
        <v/>
      </c>
      <c r="AC310" s="52">
        <f>IF('計算'!$C306="","",IF('計算'!$M306="","",'計算'!$BK306))</f>
        <v/>
      </c>
      <c r="AD310" s="53" t="n"/>
      <c r="AE310" s="48" t="n"/>
      <c r="AF310" s="54">
        <f>IF('計算'!$C306="","",'計算'!$C306)</f>
        <v/>
      </c>
      <c r="AG310" s="54">
        <f>IF('計算'!$C306="","",'計算'!$F306)</f>
        <v/>
      </c>
    </row>
    <row r="311" ht="18" customHeight="1">
      <c r="B311" s="42">
        <f>IF('計算'!$C307="","",'計算'!$B307)</f>
        <v/>
      </c>
      <c r="C311" s="43">
        <f>IF('計算'!$C307="","",'計算'!$D307)</f>
        <v/>
      </c>
      <c r="D311" s="44">
        <f>IF('計算'!$C307="","",'計算'!$O307)</f>
        <v/>
      </c>
      <c r="E311" s="45">
        <f>IF('計算'!$C307="","",'計算'!$L307)</f>
        <v/>
      </c>
      <c r="F311" s="46">
        <f>IF('計算'!$C307="","",'計算'!$CD307)</f>
        <v/>
      </c>
      <c r="G311" s="47">
        <f>IF('計算'!$C307="","",'計算'!$CA307)</f>
        <v/>
      </c>
      <c r="H311" s="43">
        <f>IF('計算'!$C307="","",'計算'!$CP307)</f>
        <v/>
      </c>
      <c r="I311" s="48" t="n"/>
      <c r="J311" s="49" t="n"/>
      <c r="K311" s="50">
        <f>IF('計算'!$C307="","",'計算'!$CR307)</f>
        <v/>
      </c>
      <c r="L311" s="51">
        <f>IF('計算'!$C307="","",'計算'!$CF307)</f>
        <v/>
      </c>
      <c r="M311" s="48" t="n"/>
      <c r="N311" s="49" t="n"/>
      <c r="O311" s="43">
        <f>IF('計算'!$C307="","",'計算'!$CQ307)</f>
        <v/>
      </c>
      <c r="P311" s="52">
        <f>IF('計算'!$C307="","",IF('計算'!$M307="","",'計算'!$AX307))</f>
        <v/>
      </c>
      <c r="Q311" s="52">
        <f>IF('計算'!$C307="","",IF('計算'!$M307="","",'計算'!$AY307))</f>
        <v/>
      </c>
      <c r="R311" s="52">
        <f>IF('計算'!$C307="","",IF('計算'!$M307="","",'計算'!$AZ307))</f>
        <v/>
      </c>
      <c r="S311" s="52">
        <f>IF('計算'!$C307="","",IF('計算'!$M307="","",'計算'!$BA307))</f>
        <v/>
      </c>
      <c r="T311" s="52">
        <f>IF('計算'!$C307="","",IF('計算'!$M307="","",'計算'!$BB307))</f>
        <v/>
      </c>
      <c r="U311" s="52">
        <f>IF('計算'!$C307="","",IF('計算'!$M307="","",'計算'!$BC307))</f>
        <v/>
      </c>
      <c r="V311" s="52">
        <f>IF('計算'!$C307="","",IF('計算'!$M307="","",'計算'!$BD307))</f>
        <v/>
      </c>
      <c r="W311" s="52">
        <f>IF('計算'!$C307="","",IF('計算'!$M307="","",'計算'!$BE307))</f>
        <v/>
      </c>
      <c r="X311" s="52">
        <f>IF('計算'!$C307="","",IF('計算'!$M307="","",'計算'!$BF307))</f>
        <v/>
      </c>
      <c r="Y311" s="52">
        <f>IF('計算'!$C307="","",IF('計算'!$M307="","",'計算'!$BG307))</f>
        <v/>
      </c>
      <c r="Z311" s="52">
        <f>IF('計算'!$C307="","",IF('計算'!$M307="","",'計算'!$BH307))</f>
        <v/>
      </c>
      <c r="AA311" s="52">
        <f>IF('計算'!$C307="","",IF('計算'!$M307="","",'計算'!$BI307))</f>
        <v/>
      </c>
      <c r="AB311" s="52">
        <f>IF('計算'!$C307="","",IF('計算'!$M307="","",'計算'!$BJ307))</f>
        <v/>
      </c>
      <c r="AC311" s="52">
        <f>IF('計算'!$C307="","",IF('計算'!$M307="","",'計算'!$BK307))</f>
        <v/>
      </c>
      <c r="AD311" s="53" t="n"/>
      <c r="AE311" s="48" t="n"/>
      <c r="AF311" s="54">
        <f>IF('計算'!$C307="","",'計算'!$C307)</f>
        <v/>
      </c>
      <c r="AG311" s="54">
        <f>IF('計算'!$C307="","",'計算'!$F307)</f>
        <v/>
      </c>
    </row>
    <row r="312" ht="18" customHeight="1">
      <c r="B312" s="42">
        <f>IF('計算'!$C308="","",'計算'!$B308)</f>
        <v/>
      </c>
      <c r="C312" s="43">
        <f>IF('計算'!$C308="","",'計算'!$D308)</f>
        <v/>
      </c>
      <c r="D312" s="44">
        <f>IF('計算'!$C308="","",'計算'!$O308)</f>
        <v/>
      </c>
      <c r="E312" s="45">
        <f>IF('計算'!$C308="","",'計算'!$L308)</f>
        <v/>
      </c>
      <c r="F312" s="46">
        <f>IF('計算'!$C308="","",'計算'!$CD308)</f>
        <v/>
      </c>
      <c r="G312" s="47">
        <f>IF('計算'!$C308="","",'計算'!$CA308)</f>
        <v/>
      </c>
      <c r="H312" s="43">
        <f>IF('計算'!$C308="","",'計算'!$CP308)</f>
        <v/>
      </c>
      <c r="I312" s="48" t="n"/>
      <c r="J312" s="49" t="n"/>
      <c r="K312" s="50">
        <f>IF('計算'!$C308="","",'計算'!$CR308)</f>
        <v/>
      </c>
      <c r="L312" s="51">
        <f>IF('計算'!$C308="","",'計算'!$CF308)</f>
        <v/>
      </c>
      <c r="M312" s="48" t="n"/>
      <c r="N312" s="49" t="n"/>
      <c r="O312" s="43">
        <f>IF('計算'!$C308="","",'計算'!$CQ308)</f>
        <v/>
      </c>
      <c r="P312" s="52">
        <f>IF('計算'!$C308="","",IF('計算'!$M308="","",'計算'!$AX308))</f>
        <v/>
      </c>
      <c r="Q312" s="52">
        <f>IF('計算'!$C308="","",IF('計算'!$M308="","",'計算'!$AY308))</f>
        <v/>
      </c>
      <c r="R312" s="52">
        <f>IF('計算'!$C308="","",IF('計算'!$M308="","",'計算'!$AZ308))</f>
        <v/>
      </c>
      <c r="S312" s="52">
        <f>IF('計算'!$C308="","",IF('計算'!$M308="","",'計算'!$BA308))</f>
        <v/>
      </c>
      <c r="T312" s="52">
        <f>IF('計算'!$C308="","",IF('計算'!$M308="","",'計算'!$BB308))</f>
        <v/>
      </c>
      <c r="U312" s="52">
        <f>IF('計算'!$C308="","",IF('計算'!$M308="","",'計算'!$BC308))</f>
        <v/>
      </c>
      <c r="V312" s="52">
        <f>IF('計算'!$C308="","",IF('計算'!$M308="","",'計算'!$BD308))</f>
        <v/>
      </c>
      <c r="W312" s="52">
        <f>IF('計算'!$C308="","",IF('計算'!$M308="","",'計算'!$BE308))</f>
        <v/>
      </c>
      <c r="X312" s="52">
        <f>IF('計算'!$C308="","",IF('計算'!$M308="","",'計算'!$BF308))</f>
        <v/>
      </c>
      <c r="Y312" s="52">
        <f>IF('計算'!$C308="","",IF('計算'!$M308="","",'計算'!$BG308))</f>
        <v/>
      </c>
      <c r="Z312" s="52">
        <f>IF('計算'!$C308="","",IF('計算'!$M308="","",'計算'!$BH308))</f>
        <v/>
      </c>
      <c r="AA312" s="52">
        <f>IF('計算'!$C308="","",IF('計算'!$M308="","",'計算'!$BI308))</f>
        <v/>
      </c>
      <c r="AB312" s="52">
        <f>IF('計算'!$C308="","",IF('計算'!$M308="","",'計算'!$BJ308))</f>
        <v/>
      </c>
      <c r="AC312" s="52">
        <f>IF('計算'!$C308="","",IF('計算'!$M308="","",'計算'!$BK308))</f>
        <v/>
      </c>
      <c r="AD312" s="53" t="n"/>
      <c r="AE312" s="48" t="n"/>
      <c r="AF312" s="54">
        <f>IF('計算'!$C308="","",'計算'!$C308)</f>
        <v/>
      </c>
      <c r="AG312" s="54">
        <f>IF('計算'!$C308="","",'計算'!$F308)</f>
        <v/>
      </c>
    </row>
    <row r="313" ht="18" customHeight="1">
      <c r="B313" s="42">
        <f>IF('計算'!$C309="","",'計算'!$B309)</f>
        <v/>
      </c>
      <c r="C313" s="43">
        <f>IF('計算'!$C309="","",'計算'!$D309)</f>
        <v/>
      </c>
      <c r="D313" s="44">
        <f>IF('計算'!$C309="","",'計算'!$O309)</f>
        <v/>
      </c>
      <c r="E313" s="45">
        <f>IF('計算'!$C309="","",'計算'!$L309)</f>
        <v/>
      </c>
      <c r="F313" s="46">
        <f>IF('計算'!$C309="","",'計算'!$CD309)</f>
        <v/>
      </c>
      <c r="G313" s="47">
        <f>IF('計算'!$C309="","",'計算'!$CA309)</f>
        <v/>
      </c>
      <c r="H313" s="43">
        <f>IF('計算'!$C309="","",'計算'!$CP309)</f>
        <v/>
      </c>
      <c r="I313" s="48" t="n"/>
      <c r="J313" s="49" t="n"/>
      <c r="K313" s="50">
        <f>IF('計算'!$C309="","",'計算'!$CR309)</f>
        <v/>
      </c>
      <c r="L313" s="51">
        <f>IF('計算'!$C309="","",'計算'!$CF309)</f>
        <v/>
      </c>
      <c r="M313" s="48" t="n"/>
      <c r="N313" s="49" t="n"/>
      <c r="O313" s="43">
        <f>IF('計算'!$C309="","",'計算'!$CQ309)</f>
        <v/>
      </c>
      <c r="P313" s="52">
        <f>IF('計算'!$C309="","",IF('計算'!$M309="","",'計算'!$AX309))</f>
        <v/>
      </c>
      <c r="Q313" s="52">
        <f>IF('計算'!$C309="","",IF('計算'!$M309="","",'計算'!$AY309))</f>
        <v/>
      </c>
      <c r="R313" s="52">
        <f>IF('計算'!$C309="","",IF('計算'!$M309="","",'計算'!$AZ309))</f>
        <v/>
      </c>
      <c r="S313" s="52">
        <f>IF('計算'!$C309="","",IF('計算'!$M309="","",'計算'!$BA309))</f>
        <v/>
      </c>
      <c r="T313" s="52">
        <f>IF('計算'!$C309="","",IF('計算'!$M309="","",'計算'!$BB309))</f>
        <v/>
      </c>
      <c r="U313" s="52">
        <f>IF('計算'!$C309="","",IF('計算'!$M309="","",'計算'!$BC309))</f>
        <v/>
      </c>
      <c r="V313" s="52">
        <f>IF('計算'!$C309="","",IF('計算'!$M309="","",'計算'!$BD309))</f>
        <v/>
      </c>
      <c r="W313" s="52">
        <f>IF('計算'!$C309="","",IF('計算'!$M309="","",'計算'!$BE309))</f>
        <v/>
      </c>
      <c r="X313" s="52">
        <f>IF('計算'!$C309="","",IF('計算'!$M309="","",'計算'!$BF309))</f>
        <v/>
      </c>
      <c r="Y313" s="52">
        <f>IF('計算'!$C309="","",IF('計算'!$M309="","",'計算'!$BG309))</f>
        <v/>
      </c>
      <c r="Z313" s="52">
        <f>IF('計算'!$C309="","",IF('計算'!$M309="","",'計算'!$BH309))</f>
        <v/>
      </c>
      <c r="AA313" s="52">
        <f>IF('計算'!$C309="","",IF('計算'!$M309="","",'計算'!$BI309))</f>
        <v/>
      </c>
      <c r="AB313" s="52">
        <f>IF('計算'!$C309="","",IF('計算'!$M309="","",'計算'!$BJ309))</f>
        <v/>
      </c>
      <c r="AC313" s="52">
        <f>IF('計算'!$C309="","",IF('計算'!$M309="","",'計算'!$BK309))</f>
        <v/>
      </c>
      <c r="AD313" s="53" t="n"/>
      <c r="AE313" s="48" t="n"/>
      <c r="AF313" s="54">
        <f>IF('計算'!$C309="","",'計算'!$C309)</f>
        <v/>
      </c>
      <c r="AG313" s="54">
        <f>IF('計算'!$C309="","",'計算'!$F309)</f>
        <v/>
      </c>
    </row>
    <row r="314" ht="18" customHeight="1">
      <c r="B314" s="42">
        <f>IF('計算'!$C310="","",'計算'!$B310)</f>
        <v/>
      </c>
      <c r="C314" s="43">
        <f>IF('計算'!$C310="","",'計算'!$D310)</f>
        <v/>
      </c>
      <c r="D314" s="44">
        <f>IF('計算'!$C310="","",'計算'!$O310)</f>
        <v/>
      </c>
      <c r="E314" s="45">
        <f>IF('計算'!$C310="","",'計算'!$L310)</f>
        <v/>
      </c>
      <c r="F314" s="46">
        <f>IF('計算'!$C310="","",'計算'!$CD310)</f>
        <v/>
      </c>
      <c r="G314" s="47">
        <f>IF('計算'!$C310="","",'計算'!$CA310)</f>
        <v/>
      </c>
      <c r="H314" s="43">
        <f>IF('計算'!$C310="","",'計算'!$CP310)</f>
        <v/>
      </c>
      <c r="I314" s="48" t="n"/>
      <c r="J314" s="49" t="n"/>
      <c r="K314" s="50">
        <f>IF('計算'!$C310="","",'計算'!$CR310)</f>
        <v/>
      </c>
      <c r="L314" s="51">
        <f>IF('計算'!$C310="","",'計算'!$CF310)</f>
        <v/>
      </c>
      <c r="M314" s="48" t="n"/>
      <c r="N314" s="49" t="n"/>
      <c r="O314" s="43">
        <f>IF('計算'!$C310="","",'計算'!$CQ310)</f>
        <v/>
      </c>
      <c r="P314" s="52">
        <f>IF('計算'!$C310="","",IF('計算'!$M310="","",'計算'!$AX310))</f>
        <v/>
      </c>
      <c r="Q314" s="52">
        <f>IF('計算'!$C310="","",IF('計算'!$M310="","",'計算'!$AY310))</f>
        <v/>
      </c>
      <c r="R314" s="52">
        <f>IF('計算'!$C310="","",IF('計算'!$M310="","",'計算'!$AZ310))</f>
        <v/>
      </c>
      <c r="S314" s="52">
        <f>IF('計算'!$C310="","",IF('計算'!$M310="","",'計算'!$BA310))</f>
        <v/>
      </c>
      <c r="T314" s="52">
        <f>IF('計算'!$C310="","",IF('計算'!$M310="","",'計算'!$BB310))</f>
        <v/>
      </c>
      <c r="U314" s="52">
        <f>IF('計算'!$C310="","",IF('計算'!$M310="","",'計算'!$BC310))</f>
        <v/>
      </c>
      <c r="V314" s="52">
        <f>IF('計算'!$C310="","",IF('計算'!$M310="","",'計算'!$BD310))</f>
        <v/>
      </c>
      <c r="W314" s="52">
        <f>IF('計算'!$C310="","",IF('計算'!$M310="","",'計算'!$BE310))</f>
        <v/>
      </c>
      <c r="X314" s="52">
        <f>IF('計算'!$C310="","",IF('計算'!$M310="","",'計算'!$BF310))</f>
        <v/>
      </c>
      <c r="Y314" s="52">
        <f>IF('計算'!$C310="","",IF('計算'!$M310="","",'計算'!$BG310))</f>
        <v/>
      </c>
      <c r="Z314" s="52">
        <f>IF('計算'!$C310="","",IF('計算'!$M310="","",'計算'!$BH310))</f>
        <v/>
      </c>
      <c r="AA314" s="52">
        <f>IF('計算'!$C310="","",IF('計算'!$M310="","",'計算'!$BI310))</f>
        <v/>
      </c>
      <c r="AB314" s="52">
        <f>IF('計算'!$C310="","",IF('計算'!$M310="","",'計算'!$BJ310))</f>
        <v/>
      </c>
      <c r="AC314" s="52">
        <f>IF('計算'!$C310="","",IF('計算'!$M310="","",'計算'!$BK310))</f>
        <v/>
      </c>
      <c r="AD314" s="53" t="n"/>
      <c r="AE314" s="48" t="n"/>
      <c r="AF314" s="54">
        <f>IF('計算'!$C310="","",'計算'!$C310)</f>
        <v/>
      </c>
      <c r="AG314" s="54">
        <f>IF('計算'!$C310="","",'計算'!$F310)</f>
        <v/>
      </c>
    </row>
    <row r="315" ht="18" customHeight="1">
      <c r="B315" s="42">
        <f>IF('計算'!$C311="","",'計算'!$B311)</f>
        <v/>
      </c>
      <c r="C315" s="43">
        <f>IF('計算'!$C311="","",'計算'!$D311)</f>
        <v/>
      </c>
      <c r="D315" s="44">
        <f>IF('計算'!$C311="","",'計算'!$O311)</f>
        <v/>
      </c>
      <c r="E315" s="45">
        <f>IF('計算'!$C311="","",'計算'!$L311)</f>
        <v/>
      </c>
      <c r="F315" s="46">
        <f>IF('計算'!$C311="","",'計算'!$CD311)</f>
        <v/>
      </c>
      <c r="G315" s="47">
        <f>IF('計算'!$C311="","",'計算'!$CA311)</f>
        <v/>
      </c>
      <c r="H315" s="43">
        <f>IF('計算'!$C311="","",'計算'!$CP311)</f>
        <v/>
      </c>
      <c r="I315" s="48" t="n"/>
      <c r="J315" s="49" t="n"/>
      <c r="K315" s="50">
        <f>IF('計算'!$C311="","",'計算'!$CR311)</f>
        <v/>
      </c>
      <c r="L315" s="51">
        <f>IF('計算'!$C311="","",'計算'!$CF311)</f>
        <v/>
      </c>
      <c r="M315" s="48" t="n"/>
      <c r="N315" s="49" t="n"/>
      <c r="O315" s="43">
        <f>IF('計算'!$C311="","",'計算'!$CQ311)</f>
        <v/>
      </c>
      <c r="P315" s="52">
        <f>IF('計算'!$C311="","",IF('計算'!$M311="","",'計算'!$AX311))</f>
        <v/>
      </c>
      <c r="Q315" s="52">
        <f>IF('計算'!$C311="","",IF('計算'!$M311="","",'計算'!$AY311))</f>
        <v/>
      </c>
      <c r="R315" s="52">
        <f>IF('計算'!$C311="","",IF('計算'!$M311="","",'計算'!$AZ311))</f>
        <v/>
      </c>
      <c r="S315" s="52">
        <f>IF('計算'!$C311="","",IF('計算'!$M311="","",'計算'!$BA311))</f>
        <v/>
      </c>
      <c r="T315" s="52">
        <f>IF('計算'!$C311="","",IF('計算'!$M311="","",'計算'!$BB311))</f>
        <v/>
      </c>
      <c r="U315" s="52">
        <f>IF('計算'!$C311="","",IF('計算'!$M311="","",'計算'!$BC311))</f>
        <v/>
      </c>
      <c r="V315" s="52">
        <f>IF('計算'!$C311="","",IF('計算'!$M311="","",'計算'!$BD311))</f>
        <v/>
      </c>
      <c r="W315" s="52">
        <f>IF('計算'!$C311="","",IF('計算'!$M311="","",'計算'!$BE311))</f>
        <v/>
      </c>
      <c r="X315" s="52">
        <f>IF('計算'!$C311="","",IF('計算'!$M311="","",'計算'!$BF311))</f>
        <v/>
      </c>
      <c r="Y315" s="52">
        <f>IF('計算'!$C311="","",IF('計算'!$M311="","",'計算'!$BG311))</f>
        <v/>
      </c>
      <c r="Z315" s="52">
        <f>IF('計算'!$C311="","",IF('計算'!$M311="","",'計算'!$BH311))</f>
        <v/>
      </c>
      <c r="AA315" s="52">
        <f>IF('計算'!$C311="","",IF('計算'!$M311="","",'計算'!$BI311))</f>
        <v/>
      </c>
      <c r="AB315" s="52">
        <f>IF('計算'!$C311="","",IF('計算'!$M311="","",'計算'!$BJ311))</f>
        <v/>
      </c>
      <c r="AC315" s="52">
        <f>IF('計算'!$C311="","",IF('計算'!$M311="","",'計算'!$BK311))</f>
        <v/>
      </c>
      <c r="AD315" s="53" t="n"/>
      <c r="AE315" s="48" t="n"/>
      <c r="AF315" s="54">
        <f>IF('計算'!$C311="","",'計算'!$C311)</f>
        <v/>
      </c>
      <c r="AG315" s="54">
        <f>IF('計算'!$C311="","",'計算'!$F311)</f>
        <v/>
      </c>
    </row>
    <row r="316" ht="18" customHeight="1">
      <c r="B316" s="42">
        <f>IF('計算'!$C312="","",'計算'!$B312)</f>
        <v/>
      </c>
      <c r="C316" s="43">
        <f>IF('計算'!$C312="","",'計算'!$D312)</f>
        <v/>
      </c>
      <c r="D316" s="44">
        <f>IF('計算'!$C312="","",'計算'!$O312)</f>
        <v/>
      </c>
      <c r="E316" s="45">
        <f>IF('計算'!$C312="","",'計算'!$L312)</f>
        <v/>
      </c>
      <c r="F316" s="46">
        <f>IF('計算'!$C312="","",'計算'!$CD312)</f>
        <v/>
      </c>
      <c r="G316" s="47">
        <f>IF('計算'!$C312="","",'計算'!$CA312)</f>
        <v/>
      </c>
      <c r="H316" s="43">
        <f>IF('計算'!$C312="","",'計算'!$CP312)</f>
        <v/>
      </c>
      <c r="I316" s="48" t="n"/>
      <c r="J316" s="49" t="n"/>
      <c r="K316" s="50">
        <f>IF('計算'!$C312="","",'計算'!$CR312)</f>
        <v/>
      </c>
      <c r="L316" s="51">
        <f>IF('計算'!$C312="","",'計算'!$CF312)</f>
        <v/>
      </c>
      <c r="M316" s="48" t="n"/>
      <c r="N316" s="49" t="n"/>
      <c r="O316" s="43">
        <f>IF('計算'!$C312="","",'計算'!$CQ312)</f>
        <v/>
      </c>
      <c r="P316" s="52">
        <f>IF('計算'!$C312="","",IF('計算'!$M312="","",'計算'!$AX312))</f>
        <v/>
      </c>
      <c r="Q316" s="52">
        <f>IF('計算'!$C312="","",IF('計算'!$M312="","",'計算'!$AY312))</f>
        <v/>
      </c>
      <c r="R316" s="52">
        <f>IF('計算'!$C312="","",IF('計算'!$M312="","",'計算'!$AZ312))</f>
        <v/>
      </c>
      <c r="S316" s="52">
        <f>IF('計算'!$C312="","",IF('計算'!$M312="","",'計算'!$BA312))</f>
        <v/>
      </c>
      <c r="T316" s="52">
        <f>IF('計算'!$C312="","",IF('計算'!$M312="","",'計算'!$BB312))</f>
        <v/>
      </c>
      <c r="U316" s="52">
        <f>IF('計算'!$C312="","",IF('計算'!$M312="","",'計算'!$BC312))</f>
        <v/>
      </c>
      <c r="V316" s="52">
        <f>IF('計算'!$C312="","",IF('計算'!$M312="","",'計算'!$BD312))</f>
        <v/>
      </c>
      <c r="W316" s="52">
        <f>IF('計算'!$C312="","",IF('計算'!$M312="","",'計算'!$BE312))</f>
        <v/>
      </c>
      <c r="X316" s="52">
        <f>IF('計算'!$C312="","",IF('計算'!$M312="","",'計算'!$BF312))</f>
        <v/>
      </c>
      <c r="Y316" s="52">
        <f>IF('計算'!$C312="","",IF('計算'!$M312="","",'計算'!$BG312))</f>
        <v/>
      </c>
      <c r="Z316" s="52">
        <f>IF('計算'!$C312="","",IF('計算'!$M312="","",'計算'!$BH312))</f>
        <v/>
      </c>
      <c r="AA316" s="52">
        <f>IF('計算'!$C312="","",IF('計算'!$M312="","",'計算'!$BI312))</f>
        <v/>
      </c>
      <c r="AB316" s="52">
        <f>IF('計算'!$C312="","",IF('計算'!$M312="","",'計算'!$BJ312))</f>
        <v/>
      </c>
      <c r="AC316" s="52">
        <f>IF('計算'!$C312="","",IF('計算'!$M312="","",'計算'!$BK312))</f>
        <v/>
      </c>
      <c r="AD316" s="53" t="n"/>
      <c r="AE316" s="48" t="n"/>
      <c r="AF316" s="54">
        <f>IF('計算'!$C312="","",'計算'!$C312)</f>
        <v/>
      </c>
      <c r="AG316" s="54">
        <f>IF('計算'!$C312="","",'計算'!$F312)</f>
        <v/>
      </c>
    </row>
    <row r="317" ht="18" customHeight="1">
      <c r="B317" s="42">
        <f>IF('計算'!$C313="","",'計算'!$B313)</f>
        <v/>
      </c>
      <c r="C317" s="43">
        <f>IF('計算'!$C313="","",'計算'!$D313)</f>
        <v/>
      </c>
      <c r="D317" s="44">
        <f>IF('計算'!$C313="","",'計算'!$O313)</f>
        <v/>
      </c>
      <c r="E317" s="45">
        <f>IF('計算'!$C313="","",'計算'!$L313)</f>
        <v/>
      </c>
      <c r="F317" s="46">
        <f>IF('計算'!$C313="","",'計算'!$CD313)</f>
        <v/>
      </c>
      <c r="G317" s="47">
        <f>IF('計算'!$C313="","",'計算'!$CA313)</f>
        <v/>
      </c>
      <c r="H317" s="43">
        <f>IF('計算'!$C313="","",'計算'!$CP313)</f>
        <v/>
      </c>
      <c r="I317" s="48" t="n"/>
      <c r="J317" s="49" t="n"/>
      <c r="K317" s="50">
        <f>IF('計算'!$C313="","",'計算'!$CR313)</f>
        <v/>
      </c>
      <c r="L317" s="51">
        <f>IF('計算'!$C313="","",'計算'!$CF313)</f>
        <v/>
      </c>
      <c r="M317" s="48" t="n"/>
      <c r="N317" s="49" t="n"/>
      <c r="O317" s="43">
        <f>IF('計算'!$C313="","",'計算'!$CQ313)</f>
        <v/>
      </c>
      <c r="P317" s="52">
        <f>IF('計算'!$C313="","",IF('計算'!$M313="","",'計算'!$AX313))</f>
        <v/>
      </c>
      <c r="Q317" s="52">
        <f>IF('計算'!$C313="","",IF('計算'!$M313="","",'計算'!$AY313))</f>
        <v/>
      </c>
      <c r="R317" s="52">
        <f>IF('計算'!$C313="","",IF('計算'!$M313="","",'計算'!$AZ313))</f>
        <v/>
      </c>
      <c r="S317" s="52">
        <f>IF('計算'!$C313="","",IF('計算'!$M313="","",'計算'!$BA313))</f>
        <v/>
      </c>
      <c r="T317" s="52">
        <f>IF('計算'!$C313="","",IF('計算'!$M313="","",'計算'!$BB313))</f>
        <v/>
      </c>
      <c r="U317" s="52">
        <f>IF('計算'!$C313="","",IF('計算'!$M313="","",'計算'!$BC313))</f>
        <v/>
      </c>
      <c r="V317" s="52">
        <f>IF('計算'!$C313="","",IF('計算'!$M313="","",'計算'!$BD313))</f>
        <v/>
      </c>
      <c r="W317" s="52">
        <f>IF('計算'!$C313="","",IF('計算'!$M313="","",'計算'!$BE313))</f>
        <v/>
      </c>
      <c r="X317" s="52">
        <f>IF('計算'!$C313="","",IF('計算'!$M313="","",'計算'!$BF313))</f>
        <v/>
      </c>
      <c r="Y317" s="52">
        <f>IF('計算'!$C313="","",IF('計算'!$M313="","",'計算'!$BG313))</f>
        <v/>
      </c>
      <c r="Z317" s="52">
        <f>IF('計算'!$C313="","",IF('計算'!$M313="","",'計算'!$BH313))</f>
        <v/>
      </c>
      <c r="AA317" s="52">
        <f>IF('計算'!$C313="","",IF('計算'!$M313="","",'計算'!$BI313))</f>
        <v/>
      </c>
      <c r="AB317" s="52">
        <f>IF('計算'!$C313="","",IF('計算'!$M313="","",'計算'!$BJ313))</f>
        <v/>
      </c>
      <c r="AC317" s="52">
        <f>IF('計算'!$C313="","",IF('計算'!$M313="","",'計算'!$BK313))</f>
        <v/>
      </c>
      <c r="AD317" s="53" t="n"/>
      <c r="AE317" s="48" t="n"/>
      <c r="AF317" s="54">
        <f>IF('計算'!$C313="","",'計算'!$C313)</f>
        <v/>
      </c>
      <c r="AG317" s="54">
        <f>IF('計算'!$C313="","",'計算'!$F313)</f>
        <v/>
      </c>
    </row>
    <row r="318" ht="18" customHeight="1">
      <c r="B318" s="42">
        <f>IF('計算'!$C314="","",'計算'!$B314)</f>
        <v/>
      </c>
      <c r="C318" s="43">
        <f>IF('計算'!$C314="","",'計算'!$D314)</f>
        <v/>
      </c>
      <c r="D318" s="44">
        <f>IF('計算'!$C314="","",'計算'!$O314)</f>
        <v/>
      </c>
      <c r="E318" s="45">
        <f>IF('計算'!$C314="","",'計算'!$L314)</f>
        <v/>
      </c>
      <c r="F318" s="46">
        <f>IF('計算'!$C314="","",'計算'!$CD314)</f>
        <v/>
      </c>
      <c r="G318" s="47">
        <f>IF('計算'!$C314="","",'計算'!$CA314)</f>
        <v/>
      </c>
      <c r="H318" s="43">
        <f>IF('計算'!$C314="","",'計算'!$CP314)</f>
        <v/>
      </c>
      <c r="I318" s="48" t="n"/>
      <c r="J318" s="49" t="n"/>
      <c r="K318" s="50">
        <f>IF('計算'!$C314="","",'計算'!$CR314)</f>
        <v/>
      </c>
      <c r="L318" s="51">
        <f>IF('計算'!$C314="","",'計算'!$CF314)</f>
        <v/>
      </c>
      <c r="M318" s="48" t="n"/>
      <c r="N318" s="49" t="n"/>
      <c r="O318" s="43">
        <f>IF('計算'!$C314="","",'計算'!$CQ314)</f>
        <v/>
      </c>
      <c r="P318" s="52">
        <f>IF('計算'!$C314="","",IF('計算'!$M314="","",'計算'!$AX314))</f>
        <v/>
      </c>
      <c r="Q318" s="52">
        <f>IF('計算'!$C314="","",IF('計算'!$M314="","",'計算'!$AY314))</f>
        <v/>
      </c>
      <c r="R318" s="52">
        <f>IF('計算'!$C314="","",IF('計算'!$M314="","",'計算'!$AZ314))</f>
        <v/>
      </c>
      <c r="S318" s="52">
        <f>IF('計算'!$C314="","",IF('計算'!$M314="","",'計算'!$BA314))</f>
        <v/>
      </c>
      <c r="T318" s="52">
        <f>IF('計算'!$C314="","",IF('計算'!$M314="","",'計算'!$BB314))</f>
        <v/>
      </c>
      <c r="U318" s="52">
        <f>IF('計算'!$C314="","",IF('計算'!$M314="","",'計算'!$BC314))</f>
        <v/>
      </c>
      <c r="V318" s="52">
        <f>IF('計算'!$C314="","",IF('計算'!$M314="","",'計算'!$BD314))</f>
        <v/>
      </c>
      <c r="W318" s="52">
        <f>IF('計算'!$C314="","",IF('計算'!$M314="","",'計算'!$BE314))</f>
        <v/>
      </c>
      <c r="X318" s="52">
        <f>IF('計算'!$C314="","",IF('計算'!$M314="","",'計算'!$BF314))</f>
        <v/>
      </c>
      <c r="Y318" s="52">
        <f>IF('計算'!$C314="","",IF('計算'!$M314="","",'計算'!$BG314))</f>
        <v/>
      </c>
      <c r="Z318" s="52">
        <f>IF('計算'!$C314="","",IF('計算'!$M314="","",'計算'!$BH314))</f>
        <v/>
      </c>
      <c r="AA318" s="52">
        <f>IF('計算'!$C314="","",IF('計算'!$M314="","",'計算'!$BI314))</f>
        <v/>
      </c>
      <c r="AB318" s="52">
        <f>IF('計算'!$C314="","",IF('計算'!$M314="","",'計算'!$BJ314))</f>
        <v/>
      </c>
      <c r="AC318" s="52">
        <f>IF('計算'!$C314="","",IF('計算'!$M314="","",'計算'!$BK314))</f>
        <v/>
      </c>
      <c r="AD318" s="53" t="n"/>
      <c r="AE318" s="48" t="n"/>
      <c r="AF318" s="54">
        <f>IF('計算'!$C314="","",'計算'!$C314)</f>
        <v/>
      </c>
      <c r="AG318" s="54">
        <f>IF('計算'!$C314="","",'計算'!$F314)</f>
        <v/>
      </c>
    </row>
    <row r="319" ht="18" customHeight="1">
      <c r="B319" s="42">
        <f>IF('計算'!$C315="","",'計算'!$B315)</f>
        <v/>
      </c>
      <c r="C319" s="43">
        <f>IF('計算'!$C315="","",'計算'!$D315)</f>
        <v/>
      </c>
      <c r="D319" s="44">
        <f>IF('計算'!$C315="","",'計算'!$O315)</f>
        <v/>
      </c>
      <c r="E319" s="45">
        <f>IF('計算'!$C315="","",'計算'!$L315)</f>
        <v/>
      </c>
      <c r="F319" s="46">
        <f>IF('計算'!$C315="","",'計算'!$CD315)</f>
        <v/>
      </c>
      <c r="G319" s="47">
        <f>IF('計算'!$C315="","",'計算'!$CA315)</f>
        <v/>
      </c>
      <c r="H319" s="43">
        <f>IF('計算'!$C315="","",'計算'!$CP315)</f>
        <v/>
      </c>
      <c r="I319" s="48" t="n"/>
      <c r="J319" s="49" t="n"/>
      <c r="K319" s="50">
        <f>IF('計算'!$C315="","",'計算'!$CR315)</f>
        <v/>
      </c>
      <c r="L319" s="51">
        <f>IF('計算'!$C315="","",'計算'!$CF315)</f>
        <v/>
      </c>
      <c r="M319" s="48" t="n"/>
      <c r="N319" s="49" t="n"/>
      <c r="O319" s="43">
        <f>IF('計算'!$C315="","",'計算'!$CQ315)</f>
        <v/>
      </c>
      <c r="P319" s="52">
        <f>IF('計算'!$C315="","",IF('計算'!$M315="","",'計算'!$AX315))</f>
        <v/>
      </c>
      <c r="Q319" s="52">
        <f>IF('計算'!$C315="","",IF('計算'!$M315="","",'計算'!$AY315))</f>
        <v/>
      </c>
      <c r="R319" s="52">
        <f>IF('計算'!$C315="","",IF('計算'!$M315="","",'計算'!$AZ315))</f>
        <v/>
      </c>
      <c r="S319" s="52">
        <f>IF('計算'!$C315="","",IF('計算'!$M315="","",'計算'!$BA315))</f>
        <v/>
      </c>
      <c r="T319" s="52">
        <f>IF('計算'!$C315="","",IF('計算'!$M315="","",'計算'!$BB315))</f>
        <v/>
      </c>
      <c r="U319" s="52">
        <f>IF('計算'!$C315="","",IF('計算'!$M315="","",'計算'!$BC315))</f>
        <v/>
      </c>
      <c r="V319" s="52">
        <f>IF('計算'!$C315="","",IF('計算'!$M315="","",'計算'!$BD315))</f>
        <v/>
      </c>
      <c r="W319" s="52">
        <f>IF('計算'!$C315="","",IF('計算'!$M315="","",'計算'!$BE315))</f>
        <v/>
      </c>
      <c r="X319" s="52">
        <f>IF('計算'!$C315="","",IF('計算'!$M315="","",'計算'!$BF315))</f>
        <v/>
      </c>
      <c r="Y319" s="52">
        <f>IF('計算'!$C315="","",IF('計算'!$M315="","",'計算'!$BG315))</f>
        <v/>
      </c>
      <c r="Z319" s="52">
        <f>IF('計算'!$C315="","",IF('計算'!$M315="","",'計算'!$BH315))</f>
        <v/>
      </c>
      <c r="AA319" s="52">
        <f>IF('計算'!$C315="","",IF('計算'!$M315="","",'計算'!$BI315))</f>
        <v/>
      </c>
      <c r="AB319" s="52">
        <f>IF('計算'!$C315="","",IF('計算'!$M315="","",'計算'!$BJ315))</f>
        <v/>
      </c>
      <c r="AC319" s="52">
        <f>IF('計算'!$C315="","",IF('計算'!$M315="","",'計算'!$BK315))</f>
        <v/>
      </c>
      <c r="AD319" s="53" t="n"/>
      <c r="AE319" s="48" t="n"/>
      <c r="AF319" s="54">
        <f>IF('計算'!$C315="","",'計算'!$C315)</f>
        <v/>
      </c>
      <c r="AG319" s="54">
        <f>IF('計算'!$C315="","",'計算'!$F315)</f>
        <v/>
      </c>
    </row>
    <row r="320" ht="18" customHeight="1">
      <c r="B320" s="42">
        <f>IF('計算'!$C316="","",'計算'!$B316)</f>
        <v/>
      </c>
      <c r="C320" s="43">
        <f>IF('計算'!$C316="","",'計算'!$D316)</f>
        <v/>
      </c>
      <c r="D320" s="44">
        <f>IF('計算'!$C316="","",'計算'!$O316)</f>
        <v/>
      </c>
      <c r="E320" s="45">
        <f>IF('計算'!$C316="","",'計算'!$L316)</f>
        <v/>
      </c>
      <c r="F320" s="46">
        <f>IF('計算'!$C316="","",'計算'!$CD316)</f>
        <v/>
      </c>
      <c r="G320" s="47">
        <f>IF('計算'!$C316="","",'計算'!$CA316)</f>
        <v/>
      </c>
      <c r="H320" s="43">
        <f>IF('計算'!$C316="","",'計算'!$CP316)</f>
        <v/>
      </c>
      <c r="I320" s="48" t="n"/>
      <c r="J320" s="49" t="n"/>
      <c r="K320" s="50">
        <f>IF('計算'!$C316="","",'計算'!$CR316)</f>
        <v/>
      </c>
      <c r="L320" s="51">
        <f>IF('計算'!$C316="","",'計算'!$CF316)</f>
        <v/>
      </c>
      <c r="M320" s="48" t="n"/>
      <c r="N320" s="49" t="n"/>
      <c r="O320" s="43">
        <f>IF('計算'!$C316="","",'計算'!$CQ316)</f>
        <v/>
      </c>
      <c r="P320" s="52">
        <f>IF('計算'!$C316="","",IF('計算'!$M316="","",'計算'!$AX316))</f>
        <v/>
      </c>
      <c r="Q320" s="52">
        <f>IF('計算'!$C316="","",IF('計算'!$M316="","",'計算'!$AY316))</f>
        <v/>
      </c>
      <c r="R320" s="52">
        <f>IF('計算'!$C316="","",IF('計算'!$M316="","",'計算'!$AZ316))</f>
        <v/>
      </c>
      <c r="S320" s="52">
        <f>IF('計算'!$C316="","",IF('計算'!$M316="","",'計算'!$BA316))</f>
        <v/>
      </c>
      <c r="T320" s="52">
        <f>IF('計算'!$C316="","",IF('計算'!$M316="","",'計算'!$BB316))</f>
        <v/>
      </c>
      <c r="U320" s="52">
        <f>IF('計算'!$C316="","",IF('計算'!$M316="","",'計算'!$BC316))</f>
        <v/>
      </c>
      <c r="V320" s="52">
        <f>IF('計算'!$C316="","",IF('計算'!$M316="","",'計算'!$BD316))</f>
        <v/>
      </c>
      <c r="W320" s="52">
        <f>IF('計算'!$C316="","",IF('計算'!$M316="","",'計算'!$BE316))</f>
        <v/>
      </c>
      <c r="X320" s="52">
        <f>IF('計算'!$C316="","",IF('計算'!$M316="","",'計算'!$BF316))</f>
        <v/>
      </c>
      <c r="Y320" s="52">
        <f>IF('計算'!$C316="","",IF('計算'!$M316="","",'計算'!$BG316))</f>
        <v/>
      </c>
      <c r="Z320" s="52">
        <f>IF('計算'!$C316="","",IF('計算'!$M316="","",'計算'!$BH316))</f>
        <v/>
      </c>
      <c r="AA320" s="52">
        <f>IF('計算'!$C316="","",IF('計算'!$M316="","",'計算'!$BI316))</f>
        <v/>
      </c>
      <c r="AB320" s="52">
        <f>IF('計算'!$C316="","",IF('計算'!$M316="","",'計算'!$BJ316))</f>
        <v/>
      </c>
      <c r="AC320" s="52">
        <f>IF('計算'!$C316="","",IF('計算'!$M316="","",'計算'!$BK316))</f>
        <v/>
      </c>
      <c r="AD320" s="53" t="n"/>
      <c r="AE320" s="48" t="n"/>
      <c r="AF320" s="54">
        <f>IF('計算'!$C316="","",'計算'!$C316)</f>
        <v/>
      </c>
      <c r="AG320" s="54">
        <f>IF('計算'!$C316="","",'計算'!$F316)</f>
        <v/>
      </c>
    </row>
    <row r="321" ht="18" customHeight="1">
      <c r="B321" s="42">
        <f>IF('計算'!$C317="","",'計算'!$B317)</f>
        <v/>
      </c>
      <c r="C321" s="43">
        <f>IF('計算'!$C317="","",'計算'!$D317)</f>
        <v/>
      </c>
      <c r="D321" s="44">
        <f>IF('計算'!$C317="","",'計算'!$O317)</f>
        <v/>
      </c>
      <c r="E321" s="45">
        <f>IF('計算'!$C317="","",'計算'!$L317)</f>
        <v/>
      </c>
      <c r="F321" s="46">
        <f>IF('計算'!$C317="","",'計算'!$CD317)</f>
        <v/>
      </c>
      <c r="G321" s="47">
        <f>IF('計算'!$C317="","",'計算'!$CA317)</f>
        <v/>
      </c>
      <c r="H321" s="43">
        <f>IF('計算'!$C317="","",'計算'!$CP317)</f>
        <v/>
      </c>
      <c r="I321" s="48" t="n"/>
      <c r="J321" s="49" t="n"/>
      <c r="K321" s="50">
        <f>IF('計算'!$C317="","",'計算'!$CR317)</f>
        <v/>
      </c>
      <c r="L321" s="51">
        <f>IF('計算'!$C317="","",'計算'!$CF317)</f>
        <v/>
      </c>
      <c r="M321" s="48" t="n"/>
      <c r="N321" s="49" t="n"/>
      <c r="O321" s="43">
        <f>IF('計算'!$C317="","",'計算'!$CQ317)</f>
        <v/>
      </c>
      <c r="P321" s="52">
        <f>IF('計算'!$C317="","",IF('計算'!$M317="","",'計算'!$AX317))</f>
        <v/>
      </c>
      <c r="Q321" s="52">
        <f>IF('計算'!$C317="","",IF('計算'!$M317="","",'計算'!$AY317))</f>
        <v/>
      </c>
      <c r="R321" s="52">
        <f>IF('計算'!$C317="","",IF('計算'!$M317="","",'計算'!$AZ317))</f>
        <v/>
      </c>
      <c r="S321" s="52">
        <f>IF('計算'!$C317="","",IF('計算'!$M317="","",'計算'!$BA317))</f>
        <v/>
      </c>
      <c r="T321" s="52">
        <f>IF('計算'!$C317="","",IF('計算'!$M317="","",'計算'!$BB317))</f>
        <v/>
      </c>
      <c r="U321" s="52">
        <f>IF('計算'!$C317="","",IF('計算'!$M317="","",'計算'!$BC317))</f>
        <v/>
      </c>
      <c r="V321" s="52">
        <f>IF('計算'!$C317="","",IF('計算'!$M317="","",'計算'!$BD317))</f>
        <v/>
      </c>
      <c r="W321" s="52">
        <f>IF('計算'!$C317="","",IF('計算'!$M317="","",'計算'!$BE317))</f>
        <v/>
      </c>
      <c r="X321" s="52">
        <f>IF('計算'!$C317="","",IF('計算'!$M317="","",'計算'!$BF317))</f>
        <v/>
      </c>
      <c r="Y321" s="52">
        <f>IF('計算'!$C317="","",IF('計算'!$M317="","",'計算'!$BG317))</f>
        <v/>
      </c>
      <c r="Z321" s="52">
        <f>IF('計算'!$C317="","",IF('計算'!$M317="","",'計算'!$BH317))</f>
        <v/>
      </c>
      <c r="AA321" s="52">
        <f>IF('計算'!$C317="","",IF('計算'!$M317="","",'計算'!$BI317))</f>
        <v/>
      </c>
      <c r="AB321" s="52">
        <f>IF('計算'!$C317="","",IF('計算'!$M317="","",'計算'!$BJ317))</f>
        <v/>
      </c>
      <c r="AC321" s="52">
        <f>IF('計算'!$C317="","",IF('計算'!$M317="","",'計算'!$BK317))</f>
        <v/>
      </c>
      <c r="AD321" s="53" t="n"/>
      <c r="AE321" s="48" t="n"/>
      <c r="AF321" s="54">
        <f>IF('計算'!$C317="","",'計算'!$C317)</f>
        <v/>
      </c>
      <c r="AG321" s="54">
        <f>IF('計算'!$C317="","",'計算'!$F317)</f>
        <v/>
      </c>
    </row>
    <row r="322" ht="18" customHeight="1">
      <c r="B322" s="42">
        <f>IF('計算'!$C318="","",'計算'!$B318)</f>
        <v/>
      </c>
      <c r="C322" s="43">
        <f>IF('計算'!$C318="","",'計算'!$D318)</f>
        <v/>
      </c>
      <c r="D322" s="44">
        <f>IF('計算'!$C318="","",'計算'!$O318)</f>
        <v/>
      </c>
      <c r="E322" s="45">
        <f>IF('計算'!$C318="","",'計算'!$L318)</f>
        <v/>
      </c>
      <c r="F322" s="46">
        <f>IF('計算'!$C318="","",'計算'!$CD318)</f>
        <v/>
      </c>
      <c r="G322" s="47">
        <f>IF('計算'!$C318="","",'計算'!$CA318)</f>
        <v/>
      </c>
      <c r="H322" s="43">
        <f>IF('計算'!$C318="","",'計算'!$CP318)</f>
        <v/>
      </c>
      <c r="I322" s="48" t="n"/>
      <c r="J322" s="49" t="n"/>
      <c r="K322" s="50">
        <f>IF('計算'!$C318="","",'計算'!$CR318)</f>
        <v/>
      </c>
      <c r="L322" s="51">
        <f>IF('計算'!$C318="","",'計算'!$CF318)</f>
        <v/>
      </c>
      <c r="M322" s="48" t="n"/>
      <c r="N322" s="49" t="n"/>
      <c r="O322" s="43">
        <f>IF('計算'!$C318="","",'計算'!$CQ318)</f>
        <v/>
      </c>
      <c r="P322" s="52">
        <f>IF('計算'!$C318="","",IF('計算'!$M318="","",'計算'!$AX318))</f>
        <v/>
      </c>
      <c r="Q322" s="52">
        <f>IF('計算'!$C318="","",IF('計算'!$M318="","",'計算'!$AY318))</f>
        <v/>
      </c>
      <c r="R322" s="52">
        <f>IF('計算'!$C318="","",IF('計算'!$M318="","",'計算'!$AZ318))</f>
        <v/>
      </c>
      <c r="S322" s="52">
        <f>IF('計算'!$C318="","",IF('計算'!$M318="","",'計算'!$BA318))</f>
        <v/>
      </c>
      <c r="T322" s="52">
        <f>IF('計算'!$C318="","",IF('計算'!$M318="","",'計算'!$BB318))</f>
        <v/>
      </c>
      <c r="U322" s="52">
        <f>IF('計算'!$C318="","",IF('計算'!$M318="","",'計算'!$BC318))</f>
        <v/>
      </c>
      <c r="V322" s="52">
        <f>IF('計算'!$C318="","",IF('計算'!$M318="","",'計算'!$BD318))</f>
        <v/>
      </c>
      <c r="W322" s="52">
        <f>IF('計算'!$C318="","",IF('計算'!$M318="","",'計算'!$BE318))</f>
        <v/>
      </c>
      <c r="X322" s="52">
        <f>IF('計算'!$C318="","",IF('計算'!$M318="","",'計算'!$BF318))</f>
        <v/>
      </c>
      <c r="Y322" s="52">
        <f>IF('計算'!$C318="","",IF('計算'!$M318="","",'計算'!$BG318))</f>
        <v/>
      </c>
      <c r="Z322" s="52">
        <f>IF('計算'!$C318="","",IF('計算'!$M318="","",'計算'!$BH318))</f>
        <v/>
      </c>
      <c r="AA322" s="52">
        <f>IF('計算'!$C318="","",IF('計算'!$M318="","",'計算'!$BI318))</f>
        <v/>
      </c>
      <c r="AB322" s="52">
        <f>IF('計算'!$C318="","",IF('計算'!$M318="","",'計算'!$BJ318))</f>
        <v/>
      </c>
      <c r="AC322" s="52">
        <f>IF('計算'!$C318="","",IF('計算'!$M318="","",'計算'!$BK318))</f>
        <v/>
      </c>
      <c r="AD322" s="53" t="n"/>
      <c r="AE322" s="48" t="n"/>
      <c r="AF322" s="54">
        <f>IF('計算'!$C318="","",'計算'!$C318)</f>
        <v/>
      </c>
      <c r="AG322" s="54">
        <f>IF('計算'!$C318="","",'計算'!$F318)</f>
        <v/>
      </c>
    </row>
    <row r="323" ht="18" customHeight="1">
      <c r="B323" s="42">
        <f>IF('計算'!$C319="","",'計算'!$B319)</f>
        <v/>
      </c>
      <c r="C323" s="43">
        <f>IF('計算'!$C319="","",'計算'!$D319)</f>
        <v/>
      </c>
      <c r="D323" s="44">
        <f>IF('計算'!$C319="","",'計算'!$O319)</f>
        <v/>
      </c>
      <c r="E323" s="45">
        <f>IF('計算'!$C319="","",'計算'!$L319)</f>
        <v/>
      </c>
      <c r="F323" s="46">
        <f>IF('計算'!$C319="","",'計算'!$CD319)</f>
        <v/>
      </c>
      <c r="G323" s="47">
        <f>IF('計算'!$C319="","",'計算'!$CA319)</f>
        <v/>
      </c>
      <c r="H323" s="43">
        <f>IF('計算'!$C319="","",'計算'!$CP319)</f>
        <v/>
      </c>
      <c r="I323" s="48" t="n"/>
      <c r="J323" s="49" t="n"/>
      <c r="K323" s="50">
        <f>IF('計算'!$C319="","",'計算'!$CR319)</f>
        <v/>
      </c>
      <c r="L323" s="51">
        <f>IF('計算'!$C319="","",'計算'!$CF319)</f>
        <v/>
      </c>
      <c r="M323" s="48" t="n"/>
      <c r="N323" s="49" t="n"/>
      <c r="O323" s="43">
        <f>IF('計算'!$C319="","",'計算'!$CQ319)</f>
        <v/>
      </c>
      <c r="P323" s="52">
        <f>IF('計算'!$C319="","",IF('計算'!$M319="","",'計算'!$AX319))</f>
        <v/>
      </c>
      <c r="Q323" s="52">
        <f>IF('計算'!$C319="","",IF('計算'!$M319="","",'計算'!$AY319))</f>
        <v/>
      </c>
      <c r="R323" s="52">
        <f>IF('計算'!$C319="","",IF('計算'!$M319="","",'計算'!$AZ319))</f>
        <v/>
      </c>
      <c r="S323" s="52">
        <f>IF('計算'!$C319="","",IF('計算'!$M319="","",'計算'!$BA319))</f>
        <v/>
      </c>
      <c r="T323" s="52">
        <f>IF('計算'!$C319="","",IF('計算'!$M319="","",'計算'!$BB319))</f>
        <v/>
      </c>
      <c r="U323" s="52">
        <f>IF('計算'!$C319="","",IF('計算'!$M319="","",'計算'!$BC319))</f>
        <v/>
      </c>
      <c r="V323" s="52">
        <f>IF('計算'!$C319="","",IF('計算'!$M319="","",'計算'!$BD319))</f>
        <v/>
      </c>
      <c r="W323" s="52">
        <f>IF('計算'!$C319="","",IF('計算'!$M319="","",'計算'!$BE319))</f>
        <v/>
      </c>
      <c r="X323" s="52">
        <f>IF('計算'!$C319="","",IF('計算'!$M319="","",'計算'!$BF319))</f>
        <v/>
      </c>
      <c r="Y323" s="52">
        <f>IF('計算'!$C319="","",IF('計算'!$M319="","",'計算'!$BG319))</f>
        <v/>
      </c>
      <c r="Z323" s="52">
        <f>IF('計算'!$C319="","",IF('計算'!$M319="","",'計算'!$BH319))</f>
        <v/>
      </c>
      <c r="AA323" s="52">
        <f>IF('計算'!$C319="","",IF('計算'!$M319="","",'計算'!$BI319))</f>
        <v/>
      </c>
      <c r="AB323" s="52">
        <f>IF('計算'!$C319="","",IF('計算'!$M319="","",'計算'!$BJ319))</f>
        <v/>
      </c>
      <c r="AC323" s="52">
        <f>IF('計算'!$C319="","",IF('計算'!$M319="","",'計算'!$BK319))</f>
        <v/>
      </c>
      <c r="AD323" s="53" t="n"/>
      <c r="AE323" s="48" t="n"/>
      <c r="AF323" s="54">
        <f>IF('計算'!$C319="","",'計算'!$C319)</f>
        <v/>
      </c>
      <c r="AG323" s="54">
        <f>IF('計算'!$C319="","",'計算'!$F319)</f>
        <v/>
      </c>
    </row>
    <row r="324" ht="18" customHeight="1">
      <c r="B324" s="42">
        <f>IF('計算'!$C320="","",'計算'!$B320)</f>
        <v/>
      </c>
      <c r="C324" s="43">
        <f>IF('計算'!$C320="","",'計算'!$D320)</f>
        <v/>
      </c>
      <c r="D324" s="44">
        <f>IF('計算'!$C320="","",'計算'!$O320)</f>
        <v/>
      </c>
      <c r="E324" s="45">
        <f>IF('計算'!$C320="","",'計算'!$L320)</f>
        <v/>
      </c>
      <c r="F324" s="46">
        <f>IF('計算'!$C320="","",'計算'!$CD320)</f>
        <v/>
      </c>
      <c r="G324" s="47">
        <f>IF('計算'!$C320="","",'計算'!$CA320)</f>
        <v/>
      </c>
      <c r="H324" s="43">
        <f>IF('計算'!$C320="","",'計算'!$CP320)</f>
        <v/>
      </c>
      <c r="I324" s="48" t="n"/>
      <c r="J324" s="49" t="n"/>
      <c r="K324" s="50">
        <f>IF('計算'!$C320="","",'計算'!$CR320)</f>
        <v/>
      </c>
      <c r="L324" s="51">
        <f>IF('計算'!$C320="","",'計算'!$CF320)</f>
        <v/>
      </c>
      <c r="M324" s="48" t="n"/>
      <c r="N324" s="49" t="n"/>
      <c r="O324" s="43">
        <f>IF('計算'!$C320="","",'計算'!$CQ320)</f>
        <v/>
      </c>
      <c r="P324" s="52">
        <f>IF('計算'!$C320="","",IF('計算'!$M320="","",'計算'!$AX320))</f>
        <v/>
      </c>
      <c r="Q324" s="52">
        <f>IF('計算'!$C320="","",IF('計算'!$M320="","",'計算'!$AY320))</f>
        <v/>
      </c>
      <c r="R324" s="52">
        <f>IF('計算'!$C320="","",IF('計算'!$M320="","",'計算'!$AZ320))</f>
        <v/>
      </c>
      <c r="S324" s="52">
        <f>IF('計算'!$C320="","",IF('計算'!$M320="","",'計算'!$BA320))</f>
        <v/>
      </c>
      <c r="T324" s="52">
        <f>IF('計算'!$C320="","",IF('計算'!$M320="","",'計算'!$BB320))</f>
        <v/>
      </c>
      <c r="U324" s="52">
        <f>IF('計算'!$C320="","",IF('計算'!$M320="","",'計算'!$BC320))</f>
        <v/>
      </c>
      <c r="V324" s="52">
        <f>IF('計算'!$C320="","",IF('計算'!$M320="","",'計算'!$BD320))</f>
        <v/>
      </c>
      <c r="W324" s="52">
        <f>IF('計算'!$C320="","",IF('計算'!$M320="","",'計算'!$BE320))</f>
        <v/>
      </c>
      <c r="X324" s="52">
        <f>IF('計算'!$C320="","",IF('計算'!$M320="","",'計算'!$BF320))</f>
        <v/>
      </c>
      <c r="Y324" s="52">
        <f>IF('計算'!$C320="","",IF('計算'!$M320="","",'計算'!$BG320))</f>
        <v/>
      </c>
      <c r="Z324" s="52">
        <f>IF('計算'!$C320="","",IF('計算'!$M320="","",'計算'!$BH320))</f>
        <v/>
      </c>
      <c r="AA324" s="52">
        <f>IF('計算'!$C320="","",IF('計算'!$M320="","",'計算'!$BI320))</f>
        <v/>
      </c>
      <c r="AB324" s="52">
        <f>IF('計算'!$C320="","",IF('計算'!$M320="","",'計算'!$BJ320))</f>
        <v/>
      </c>
      <c r="AC324" s="52">
        <f>IF('計算'!$C320="","",IF('計算'!$M320="","",'計算'!$BK320))</f>
        <v/>
      </c>
      <c r="AD324" s="53" t="n"/>
      <c r="AE324" s="48" t="n"/>
      <c r="AF324" s="54">
        <f>IF('計算'!$C320="","",'計算'!$C320)</f>
        <v/>
      </c>
      <c r="AG324" s="54">
        <f>IF('計算'!$C320="","",'計算'!$F320)</f>
        <v/>
      </c>
    </row>
    <row r="325" ht="18" customHeight="1">
      <c r="B325" s="42">
        <f>IF('計算'!$C321="","",'計算'!$B321)</f>
        <v/>
      </c>
      <c r="C325" s="43">
        <f>IF('計算'!$C321="","",'計算'!$D321)</f>
        <v/>
      </c>
      <c r="D325" s="44">
        <f>IF('計算'!$C321="","",'計算'!$O321)</f>
        <v/>
      </c>
      <c r="E325" s="45">
        <f>IF('計算'!$C321="","",'計算'!$L321)</f>
        <v/>
      </c>
      <c r="F325" s="46">
        <f>IF('計算'!$C321="","",'計算'!$CD321)</f>
        <v/>
      </c>
      <c r="G325" s="47">
        <f>IF('計算'!$C321="","",'計算'!$CA321)</f>
        <v/>
      </c>
      <c r="H325" s="43">
        <f>IF('計算'!$C321="","",'計算'!$CP321)</f>
        <v/>
      </c>
      <c r="I325" s="48" t="n"/>
      <c r="J325" s="49" t="n"/>
      <c r="K325" s="50">
        <f>IF('計算'!$C321="","",'計算'!$CR321)</f>
        <v/>
      </c>
      <c r="L325" s="51">
        <f>IF('計算'!$C321="","",'計算'!$CF321)</f>
        <v/>
      </c>
      <c r="M325" s="48" t="n"/>
      <c r="N325" s="49" t="n"/>
      <c r="O325" s="43">
        <f>IF('計算'!$C321="","",'計算'!$CQ321)</f>
        <v/>
      </c>
      <c r="P325" s="52">
        <f>IF('計算'!$C321="","",IF('計算'!$M321="","",'計算'!$AX321))</f>
        <v/>
      </c>
      <c r="Q325" s="52">
        <f>IF('計算'!$C321="","",IF('計算'!$M321="","",'計算'!$AY321))</f>
        <v/>
      </c>
      <c r="R325" s="52">
        <f>IF('計算'!$C321="","",IF('計算'!$M321="","",'計算'!$AZ321))</f>
        <v/>
      </c>
      <c r="S325" s="52">
        <f>IF('計算'!$C321="","",IF('計算'!$M321="","",'計算'!$BA321))</f>
        <v/>
      </c>
      <c r="T325" s="52">
        <f>IF('計算'!$C321="","",IF('計算'!$M321="","",'計算'!$BB321))</f>
        <v/>
      </c>
      <c r="U325" s="52">
        <f>IF('計算'!$C321="","",IF('計算'!$M321="","",'計算'!$BC321))</f>
        <v/>
      </c>
      <c r="V325" s="52">
        <f>IF('計算'!$C321="","",IF('計算'!$M321="","",'計算'!$BD321))</f>
        <v/>
      </c>
      <c r="W325" s="52">
        <f>IF('計算'!$C321="","",IF('計算'!$M321="","",'計算'!$BE321))</f>
        <v/>
      </c>
      <c r="X325" s="52">
        <f>IF('計算'!$C321="","",IF('計算'!$M321="","",'計算'!$BF321))</f>
        <v/>
      </c>
      <c r="Y325" s="52">
        <f>IF('計算'!$C321="","",IF('計算'!$M321="","",'計算'!$BG321))</f>
        <v/>
      </c>
      <c r="Z325" s="52">
        <f>IF('計算'!$C321="","",IF('計算'!$M321="","",'計算'!$BH321))</f>
        <v/>
      </c>
      <c r="AA325" s="52">
        <f>IF('計算'!$C321="","",IF('計算'!$M321="","",'計算'!$BI321))</f>
        <v/>
      </c>
      <c r="AB325" s="52">
        <f>IF('計算'!$C321="","",IF('計算'!$M321="","",'計算'!$BJ321))</f>
        <v/>
      </c>
      <c r="AC325" s="52">
        <f>IF('計算'!$C321="","",IF('計算'!$M321="","",'計算'!$BK321))</f>
        <v/>
      </c>
      <c r="AD325" s="53" t="n"/>
      <c r="AE325" s="48" t="n"/>
      <c r="AF325" s="54">
        <f>IF('計算'!$C321="","",'計算'!$C321)</f>
        <v/>
      </c>
      <c r="AG325" s="54">
        <f>IF('計算'!$C321="","",'計算'!$F321)</f>
        <v/>
      </c>
    </row>
    <row r="326" ht="18" customHeight="1">
      <c r="B326" s="42">
        <f>IF('計算'!$C322="","",'計算'!$B322)</f>
        <v/>
      </c>
      <c r="C326" s="43">
        <f>IF('計算'!$C322="","",'計算'!$D322)</f>
        <v/>
      </c>
      <c r="D326" s="44">
        <f>IF('計算'!$C322="","",'計算'!$O322)</f>
        <v/>
      </c>
      <c r="E326" s="45">
        <f>IF('計算'!$C322="","",'計算'!$L322)</f>
        <v/>
      </c>
      <c r="F326" s="46">
        <f>IF('計算'!$C322="","",'計算'!$CD322)</f>
        <v/>
      </c>
      <c r="G326" s="47">
        <f>IF('計算'!$C322="","",'計算'!$CA322)</f>
        <v/>
      </c>
      <c r="H326" s="43">
        <f>IF('計算'!$C322="","",'計算'!$CP322)</f>
        <v/>
      </c>
      <c r="I326" s="48" t="n"/>
      <c r="J326" s="49" t="n"/>
      <c r="K326" s="50">
        <f>IF('計算'!$C322="","",'計算'!$CR322)</f>
        <v/>
      </c>
      <c r="L326" s="51">
        <f>IF('計算'!$C322="","",'計算'!$CF322)</f>
        <v/>
      </c>
      <c r="M326" s="48" t="n"/>
      <c r="N326" s="49" t="n"/>
      <c r="O326" s="43">
        <f>IF('計算'!$C322="","",'計算'!$CQ322)</f>
        <v/>
      </c>
      <c r="P326" s="52">
        <f>IF('計算'!$C322="","",IF('計算'!$M322="","",'計算'!$AX322))</f>
        <v/>
      </c>
      <c r="Q326" s="52">
        <f>IF('計算'!$C322="","",IF('計算'!$M322="","",'計算'!$AY322))</f>
        <v/>
      </c>
      <c r="R326" s="52">
        <f>IF('計算'!$C322="","",IF('計算'!$M322="","",'計算'!$AZ322))</f>
        <v/>
      </c>
      <c r="S326" s="52">
        <f>IF('計算'!$C322="","",IF('計算'!$M322="","",'計算'!$BA322))</f>
        <v/>
      </c>
      <c r="T326" s="52">
        <f>IF('計算'!$C322="","",IF('計算'!$M322="","",'計算'!$BB322))</f>
        <v/>
      </c>
      <c r="U326" s="52">
        <f>IF('計算'!$C322="","",IF('計算'!$M322="","",'計算'!$BC322))</f>
        <v/>
      </c>
      <c r="V326" s="52">
        <f>IF('計算'!$C322="","",IF('計算'!$M322="","",'計算'!$BD322))</f>
        <v/>
      </c>
      <c r="W326" s="52">
        <f>IF('計算'!$C322="","",IF('計算'!$M322="","",'計算'!$BE322))</f>
        <v/>
      </c>
      <c r="X326" s="52">
        <f>IF('計算'!$C322="","",IF('計算'!$M322="","",'計算'!$BF322))</f>
        <v/>
      </c>
      <c r="Y326" s="52">
        <f>IF('計算'!$C322="","",IF('計算'!$M322="","",'計算'!$BG322))</f>
        <v/>
      </c>
      <c r="Z326" s="52">
        <f>IF('計算'!$C322="","",IF('計算'!$M322="","",'計算'!$BH322))</f>
        <v/>
      </c>
      <c r="AA326" s="52">
        <f>IF('計算'!$C322="","",IF('計算'!$M322="","",'計算'!$BI322))</f>
        <v/>
      </c>
      <c r="AB326" s="52">
        <f>IF('計算'!$C322="","",IF('計算'!$M322="","",'計算'!$BJ322))</f>
        <v/>
      </c>
      <c r="AC326" s="52">
        <f>IF('計算'!$C322="","",IF('計算'!$M322="","",'計算'!$BK322))</f>
        <v/>
      </c>
      <c r="AD326" s="53" t="n"/>
      <c r="AE326" s="48" t="n"/>
      <c r="AF326" s="54">
        <f>IF('計算'!$C322="","",'計算'!$C322)</f>
        <v/>
      </c>
      <c r="AG326" s="54">
        <f>IF('計算'!$C322="","",'計算'!$F322)</f>
        <v/>
      </c>
    </row>
    <row r="327" ht="18" customHeight="1">
      <c r="B327" s="42">
        <f>IF('計算'!$C323="","",'計算'!$B323)</f>
        <v/>
      </c>
      <c r="C327" s="43">
        <f>IF('計算'!$C323="","",'計算'!$D323)</f>
        <v/>
      </c>
      <c r="D327" s="44">
        <f>IF('計算'!$C323="","",'計算'!$O323)</f>
        <v/>
      </c>
      <c r="E327" s="45">
        <f>IF('計算'!$C323="","",'計算'!$L323)</f>
        <v/>
      </c>
      <c r="F327" s="46">
        <f>IF('計算'!$C323="","",'計算'!$CD323)</f>
        <v/>
      </c>
      <c r="G327" s="47">
        <f>IF('計算'!$C323="","",'計算'!$CA323)</f>
        <v/>
      </c>
      <c r="H327" s="43">
        <f>IF('計算'!$C323="","",'計算'!$CP323)</f>
        <v/>
      </c>
      <c r="I327" s="48" t="n"/>
      <c r="J327" s="49" t="n"/>
      <c r="K327" s="50">
        <f>IF('計算'!$C323="","",'計算'!$CR323)</f>
        <v/>
      </c>
      <c r="L327" s="51">
        <f>IF('計算'!$C323="","",'計算'!$CF323)</f>
        <v/>
      </c>
      <c r="M327" s="48" t="n"/>
      <c r="N327" s="49" t="n"/>
      <c r="O327" s="43">
        <f>IF('計算'!$C323="","",'計算'!$CQ323)</f>
        <v/>
      </c>
      <c r="P327" s="52">
        <f>IF('計算'!$C323="","",IF('計算'!$M323="","",'計算'!$AX323))</f>
        <v/>
      </c>
      <c r="Q327" s="52">
        <f>IF('計算'!$C323="","",IF('計算'!$M323="","",'計算'!$AY323))</f>
        <v/>
      </c>
      <c r="R327" s="52">
        <f>IF('計算'!$C323="","",IF('計算'!$M323="","",'計算'!$AZ323))</f>
        <v/>
      </c>
      <c r="S327" s="52">
        <f>IF('計算'!$C323="","",IF('計算'!$M323="","",'計算'!$BA323))</f>
        <v/>
      </c>
      <c r="T327" s="52">
        <f>IF('計算'!$C323="","",IF('計算'!$M323="","",'計算'!$BB323))</f>
        <v/>
      </c>
      <c r="U327" s="52">
        <f>IF('計算'!$C323="","",IF('計算'!$M323="","",'計算'!$BC323))</f>
        <v/>
      </c>
      <c r="V327" s="52">
        <f>IF('計算'!$C323="","",IF('計算'!$M323="","",'計算'!$BD323))</f>
        <v/>
      </c>
      <c r="W327" s="52">
        <f>IF('計算'!$C323="","",IF('計算'!$M323="","",'計算'!$BE323))</f>
        <v/>
      </c>
      <c r="X327" s="52">
        <f>IF('計算'!$C323="","",IF('計算'!$M323="","",'計算'!$BF323))</f>
        <v/>
      </c>
      <c r="Y327" s="52">
        <f>IF('計算'!$C323="","",IF('計算'!$M323="","",'計算'!$BG323))</f>
        <v/>
      </c>
      <c r="Z327" s="52">
        <f>IF('計算'!$C323="","",IF('計算'!$M323="","",'計算'!$BH323))</f>
        <v/>
      </c>
      <c r="AA327" s="52">
        <f>IF('計算'!$C323="","",IF('計算'!$M323="","",'計算'!$BI323))</f>
        <v/>
      </c>
      <c r="AB327" s="52">
        <f>IF('計算'!$C323="","",IF('計算'!$M323="","",'計算'!$BJ323))</f>
        <v/>
      </c>
      <c r="AC327" s="52">
        <f>IF('計算'!$C323="","",IF('計算'!$M323="","",'計算'!$BK323))</f>
        <v/>
      </c>
      <c r="AD327" s="53" t="n"/>
      <c r="AE327" s="48" t="n"/>
      <c r="AF327" s="54">
        <f>IF('計算'!$C323="","",'計算'!$C323)</f>
        <v/>
      </c>
      <c r="AG327" s="54">
        <f>IF('計算'!$C323="","",'計算'!$F323)</f>
        <v/>
      </c>
    </row>
    <row r="328" ht="18" customHeight="1">
      <c r="B328" s="42">
        <f>IF('計算'!$C324="","",'計算'!$B324)</f>
        <v/>
      </c>
      <c r="C328" s="43">
        <f>IF('計算'!$C324="","",'計算'!$D324)</f>
        <v/>
      </c>
      <c r="D328" s="44">
        <f>IF('計算'!$C324="","",'計算'!$O324)</f>
        <v/>
      </c>
      <c r="E328" s="45">
        <f>IF('計算'!$C324="","",'計算'!$L324)</f>
        <v/>
      </c>
      <c r="F328" s="46">
        <f>IF('計算'!$C324="","",'計算'!$CD324)</f>
        <v/>
      </c>
      <c r="G328" s="47">
        <f>IF('計算'!$C324="","",'計算'!$CA324)</f>
        <v/>
      </c>
      <c r="H328" s="43">
        <f>IF('計算'!$C324="","",'計算'!$CP324)</f>
        <v/>
      </c>
      <c r="I328" s="48" t="n"/>
      <c r="J328" s="49" t="n"/>
      <c r="K328" s="50">
        <f>IF('計算'!$C324="","",'計算'!$CR324)</f>
        <v/>
      </c>
      <c r="L328" s="51">
        <f>IF('計算'!$C324="","",'計算'!$CF324)</f>
        <v/>
      </c>
      <c r="M328" s="48" t="n"/>
      <c r="N328" s="49" t="n"/>
      <c r="O328" s="43">
        <f>IF('計算'!$C324="","",'計算'!$CQ324)</f>
        <v/>
      </c>
      <c r="P328" s="52">
        <f>IF('計算'!$C324="","",IF('計算'!$M324="","",'計算'!$AX324))</f>
        <v/>
      </c>
      <c r="Q328" s="52">
        <f>IF('計算'!$C324="","",IF('計算'!$M324="","",'計算'!$AY324))</f>
        <v/>
      </c>
      <c r="R328" s="52">
        <f>IF('計算'!$C324="","",IF('計算'!$M324="","",'計算'!$AZ324))</f>
        <v/>
      </c>
      <c r="S328" s="52">
        <f>IF('計算'!$C324="","",IF('計算'!$M324="","",'計算'!$BA324))</f>
        <v/>
      </c>
      <c r="T328" s="52">
        <f>IF('計算'!$C324="","",IF('計算'!$M324="","",'計算'!$BB324))</f>
        <v/>
      </c>
      <c r="U328" s="52">
        <f>IF('計算'!$C324="","",IF('計算'!$M324="","",'計算'!$BC324))</f>
        <v/>
      </c>
      <c r="V328" s="52">
        <f>IF('計算'!$C324="","",IF('計算'!$M324="","",'計算'!$BD324))</f>
        <v/>
      </c>
      <c r="W328" s="52">
        <f>IF('計算'!$C324="","",IF('計算'!$M324="","",'計算'!$BE324))</f>
        <v/>
      </c>
      <c r="X328" s="52">
        <f>IF('計算'!$C324="","",IF('計算'!$M324="","",'計算'!$BF324))</f>
        <v/>
      </c>
      <c r="Y328" s="52">
        <f>IF('計算'!$C324="","",IF('計算'!$M324="","",'計算'!$BG324))</f>
        <v/>
      </c>
      <c r="Z328" s="52">
        <f>IF('計算'!$C324="","",IF('計算'!$M324="","",'計算'!$BH324))</f>
        <v/>
      </c>
      <c r="AA328" s="52">
        <f>IF('計算'!$C324="","",IF('計算'!$M324="","",'計算'!$BI324))</f>
        <v/>
      </c>
      <c r="AB328" s="52">
        <f>IF('計算'!$C324="","",IF('計算'!$M324="","",'計算'!$BJ324))</f>
        <v/>
      </c>
      <c r="AC328" s="52">
        <f>IF('計算'!$C324="","",IF('計算'!$M324="","",'計算'!$BK324))</f>
        <v/>
      </c>
      <c r="AD328" s="53" t="n"/>
      <c r="AE328" s="48" t="n"/>
      <c r="AF328" s="54">
        <f>IF('計算'!$C324="","",'計算'!$C324)</f>
        <v/>
      </c>
      <c r="AG328" s="54">
        <f>IF('計算'!$C324="","",'計算'!$F324)</f>
        <v/>
      </c>
    </row>
    <row r="329" ht="18" customHeight="1">
      <c r="B329" s="42">
        <f>IF('計算'!$C325="","",'計算'!$B325)</f>
        <v/>
      </c>
      <c r="C329" s="43">
        <f>IF('計算'!$C325="","",'計算'!$D325)</f>
        <v/>
      </c>
      <c r="D329" s="44">
        <f>IF('計算'!$C325="","",'計算'!$O325)</f>
        <v/>
      </c>
      <c r="E329" s="45">
        <f>IF('計算'!$C325="","",'計算'!$L325)</f>
        <v/>
      </c>
      <c r="F329" s="46">
        <f>IF('計算'!$C325="","",'計算'!$CD325)</f>
        <v/>
      </c>
      <c r="G329" s="47">
        <f>IF('計算'!$C325="","",'計算'!$CA325)</f>
        <v/>
      </c>
      <c r="H329" s="43">
        <f>IF('計算'!$C325="","",'計算'!$CP325)</f>
        <v/>
      </c>
      <c r="I329" s="48" t="n"/>
      <c r="J329" s="49" t="n"/>
      <c r="K329" s="50">
        <f>IF('計算'!$C325="","",'計算'!$CR325)</f>
        <v/>
      </c>
      <c r="L329" s="51">
        <f>IF('計算'!$C325="","",'計算'!$CF325)</f>
        <v/>
      </c>
      <c r="M329" s="48" t="n"/>
      <c r="N329" s="49" t="n"/>
      <c r="O329" s="43">
        <f>IF('計算'!$C325="","",'計算'!$CQ325)</f>
        <v/>
      </c>
      <c r="P329" s="52">
        <f>IF('計算'!$C325="","",IF('計算'!$M325="","",'計算'!$AX325))</f>
        <v/>
      </c>
      <c r="Q329" s="52">
        <f>IF('計算'!$C325="","",IF('計算'!$M325="","",'計算'!$AY325))</f>
        <v/>
      </c>
      <c r="R329" s="52">
        <f>IF('計算'!$C325="","",IF('計算'!$M325="","",'計算'!$AZ325))</f>
        <v/>
      </c>
      <c r="S329" s="52">
        <f>IF('計算'!$C325="","",IF('計算'!$M325="","",'計算'!$BA325))</f>
        <v/>
      </c>
      <c r="T329" s="52">
        <f>IF('計算'!$C325="","",IF('計算'!$M325="","",'計算'!$BB325))</f>
        <v/>
      </c>
      <c r="U329" s="52">
        <f>IF('計算'!$C325="","",IF('計算'!$M325="","",'計算'!$BC325))</f>
        <v/>
      </c>
      <c r="V329" s="52">
        <f>IF('計算'!$C325="","",IF('計算'!$M325="","",'計算'!$BD325))</f>
        <v/>
      </c>
      <c r="W329" s="52">
        <f>IF('計算'!$C325="","",IF('計算'!$M325="","",'計算'!$BE325))</f>
        <v/>
      </c>
      <c r="X329" s="52">
        <f>IF('計算'!$C325="","",IF('計算'!$M325="","",'計算'!$BF325))</f>
        <v/>
      </c>
      <c r="Y329" s="52">
        <f>IF('計算'!$C325="","",IF('計算'!$M325="","",'計算'!$BG325))</f>
        <v/>
      </c>
      <c r="Z329" s="52">
        <f>IF('計算'!$C325="","",IF('計算'!$M325="","",'計算'!$BH325))</f>
        <v/>
      </c>
      <c r="AA329" s="52">
        <f>IF('計算'!$C325="","",IF('計算'!$M325="","",'計算'!$BI325))</f>
        <v/>
      </c>
      <c r="AB329" s="52">
        <f>IF('計算'!$C325="","",IF('計算'!$M325="","",'計算'!$BJ325))</f>
        <v/>
      </c>
      <c r="AC329" s="52">
        <f>IF('計算'!$C325="","",IF('計算'!$M325="","",'計算'!$BK325))</f>
        <v/>
      </c>
      <c r="AD329" s="53" t="n"/>
      <c r="AE329" s="48" t="n"/>
      <c r="AF329" s="54">
        <f>IF('計算'!$C325="","",'計算'!$C325)</f>
        <v/>
      </c>
      <c r="AG329" s="54">
        <f>IF('計算'!$C325="","",'計算'!$F325)</f>
        <v/>
      </c>
    </row>
    <row r="330" ht="18" customHeight="1">
      <c r="B330" s="42">
        <f>IF('計算'!$C326="","",'計算'!$B326)</f>
        <v/>
      </c>
      <c r="C330" s="43">
        <f>IF('計算'!$C326="","",'計算'!$D326)</f>
        <v/>
      </c>
      <c r="D330" s="44">
        <f>IF('計算'!$C326="","",'計算'!$O326)</f>
        <v/>
      </c>
      <c r="E330" s="45">
        <f>IF('計算'!$C326="","",'計算'!$L326)</f>
        <v/>
      </c>
      <c r="F330" s="46">
        <f>IF('計算'!$C326="","",'計算'!$CD326)</f>
        <v/>
      </c>
      <c r="G330" s="47">
        <f>IF('計算'!$C326="","",'計算'!$CA326)</f>
        <v/>
      </c>
      <c r="H330" s="43">
        <f>IF('計算'!$C326="","",'計算'!$CP326)</f>
        <v/>
      </c>
      <c r="I330" s="48" t="n"/>
      <c r="J330" s="49" t="n"/>
      <c r="K330" s="50">
        <f>IF('計算'!$C326="","",'計算'!$CR326)</f>
        <v/>
      </c>
      <c r="L330" s="51">
        <f>IF('計算'!$C326="","",'計算'!$CF326)</f>
        <v/>
      </c>
      <c r="M330" s="48" t="n"/>
      <c r="N330" s="49" t="n"/>
      <c r="O330" s="43">
        <f>IF('計算'!$C326="","",'計算'!$CQ326)</f>
        <v/>
      </c>
      <c r="P330" s="52">
        <f>IF('計算'!$C326="","",IF('計算'!$M326="","",'計算'!$AX326))</f>
        <v/>
      </c>
      <c r="Q330" s="52">
        <f>IF('計算'!$C326="","",IF('計算'!$M326="","",'計算'!$AY326))</f>
        <v/>
      </c>
      <c r="R330" s="52">
        <f>IF('計算'!$C326="","",IF('計算'!$M326="","",'計算'!$AZ326))</f>
        <v/>
      </c>
      <c r="S330" s="52">
        <f>IF('計算'!$C326="","",IF('計算'!$M326="","",'計算'!$BA326))</f>
        <v/>
      </c>
      <c r="T330" s="52">
        <f>IF('計算'!$C326="","",IF('計算'!$M326="","",'計算'!$BB326))</f>
        <v/>
      </c>
      <c r="U330" s="52">
        <f>IF('計算'!$C326="","",IF('計算'!$M326="","",'計算'!$BC326))</f>
        <v/>
      </c>
      <c r="V330" s="52">
        <f>IF('計算'!$C326="","",IF('計算'!$M326="","",'計算'!$BD326))</f>
        <v/>
      </c>
      <c r="W330" s="52">
        <f>IF('計算'!$C326="","",IF('計算'!$M326="","",'計算'!$BE326))</f>
        <v/>
      </c>
      <c r="X330" s="52">
        <f>IF('計算'!$C326="","",IF('計算'!$M326="","",'計算'!$BF326))</f>
        <v/>
      </c>
      <c r="Y330" s="52">
        <f>IF('計算'!$C326="","",IF('計算'!$M326="","",'計算'!$BG326))</f>
        <v/>
      </c>
      <c r="Z330" s="52">
        <f>IF('計算'!$C326="","",IF('計算'!$M326="","",'計算'!$BH326))</f>
        <v/>
      </c>
      <c r="AA330" s="52">
        <f>IF('計算'!$C326="","",IF('計算'!$M326="","",'計算'!$BI326))</f>
        <v/>
      </c>
      <c r="AB330" s="52">
        <f>IF('計算'!$C326="","",IF('計算'!$M326="","",'計算'!$BJ326))</f>
        <v/>
      </c>
      <c r="AC330" s="52">
        <f>IF('計算'!$C326="","",IF('計算'!$M326="","",'計算'!$BK326))</f>
        <v/>
      </c>
      <c r="AD330" s="53" t="n"/>
      <c r="AE330" s="48" t="n"/>
      <c r="AF330" s="54">
        <f>IF('計算'!$C326="","",'計算'!$C326)</f>
        <v/>
      </c>
      <c r="AG330" s="54">
        <f>IF('計算'!$C326="","",'計算'!$F326)</f>
        <v/>
      </c>
    </row>
    <row r="331" ht="18" customHeight="1">
      <c r="B331" s="42">
        <f>IF('計算'!$C327="","",'計算'!$B327)</f>
        <v/>
      </c>
      <c r="C331" s="43">
        <f>IF('計算'!$C327="","",'計算'!$D327)</f>
        <v/>
      </c>
      <c r="D331" s="44">
        <f>IF('計算'!$C327="","",'計算'!$O327)</f>
        <v/>
      </c>
      <c r="E331" s="45">
        <f>IF('計算'!$C327="","",'計算'!$L327)</f>
        <v/>
      </c>
      <c r="F331" s="46">
        <f>IF('計算'!$C327="","",'計算'!$CD327)</f>
        <v/>
      </c>
      <c r="G331" s="47">
        <f>IF('計算'!$C327="","",'計算'!$CA327)</f>
        <v/>
      </c>
      <c r="H331" s="43">
        <f>IF('計算'!$C327="","",'計算'!$CP327)</f>
        <v/>
      </c>
      <c r="I331" s="48" t="n"/>
      <c r="J331" s="49" t="n"/>
      <c r="K331" s="50">
        <f>IF('計算'!$C327="","",'計算'!$CR327)</f>
        <v/>
      </c>
      <c r="L331" s="51">
        <f>IF('計算'!$C327="","",'計算'!$CF327)</f>
        <v/>
      </c>
      <c r="M331" s="48" t="n"/>
      <c r="N331" s="49" t="n"/>
      <c r="O331" s="43">
        <f>IF('計算'!$C327="","",'計算'!$CQ327)</f>
        <v/>
      </c>
      <c r="P331" s="52">
        <f>IF('計算'!$C327="","",IF('計算'!$M327="","",'計算'!$AX327))</f>
        <v/>
      </c>
      <c r="Q331" s="52">
        <f>IF('計算'!$C327="","",IF('計算'!$M327="","",'計算'!$AY327))</f>
        <v/>
      </c>
      <c r="R331" s="52">
        <f>IF('計算'!$C327="","",IF('計算'!$M327="","",'計算'!$AZ327))</f>
        <v/>
      </c>
      <c r="S331" s="52">
        <f>IF('計算'!$C327="","",IF('計算'!$M327="","",'計算'!$BA327))</f>
        <v/>
      </c>
      <c r="T331" s="52">
        <f>IF('計算'!$C327="","",IF('計算'!$M327="","",'計算'!$BB327))</f>
        <v/>
      </c>
      <c r="U331" s="52">
        <f>IF('計算'!$C327="","",IF('計算'!$M327="","",'計算'!$BC327))</f>
        <v/>
      </c>
      <c r="V331" s="52">
        <f>IF('計算'!$C327="","",IF('計算'!$M327="","",'計算'!$BD327))</f>
        <v/>
      </c>
      <c r="W331" s="52">
        <f>IF('計算'!$C327="","",IF('計算'!$M327="","",'計算'!$BE327))</f>
        <v/>
      </c>
      <c r="X331" s="52">
        <f>IF('計算'!$C327="","",IF('計算'!$M327="","",'計算'!$BF327))</f>
        <v/>
      </c>
      <c r="Y331" s="52">
        <f>IF('計算'!$C327="","",IF('計算'!$M327="","",'計算'!$BG327))</f>
        <v/>
      </c>
      <c r="Z331" s="52">
        <f>IF('計算'!$C327="","",IF('計算'!$M327="","",'計算'!$BH327))</f>
        <v/>
      </c>
      <c r="AA331" s="52">
        <f>IF('計算'!$C327="","",IF('計算'!$M327="","",'計算'!$BI327))</f>
        <v/>
      </c>
      <c r="AB331" s="52">
        <f>IF('計算'!$C327="","",IF('計算'!$M327="","",'計算'!$BJ327))</f>
        <v/>
      </c>
      <c r="AC331" s="52">
        <f>IF('計算'!$C327="","",IF('計算'!$M327="","",'計算'!$BK327))</f>
        <v/>
      </c>
      <c r="AD331" s="53" t="n"/>
      <c r="AE331" s="48" t="n"/>
      <c r="AF331" s="54">
        <f>IF('計算'!$C327="","",'計算'!$C327)</f>
        <v/>
      </c>
      <c r="AG331" s="54">
        <f>IF('計算'!$C327="","",'計算'!$F327)</f>
        <v/>
      </c>
    </row>
    <row r="332" ht="18" customHeight="1">
      <c r="B332" s="42">
        <f>IF('計算'!$C328="","",'計算'!$B328)</f>
        <v/>
      </c>
      <c r="C332" s="43">
        <f>IF('計算'!$C328="","",'計算'!$D328)</f>
        <v/>
      </c>
      <c r="D332" s="44">
        <f>IF('計算'!$C328="","",'計算'!$O328)</f>
        <v/>
      </c>
      <c r="E332" s="45">
        <f>IF('計算'!$C328="","",'計算'!$L328)</f>
        <v/>
      </c>
      <c r="F332" s="46">
        <f>IF('計算'!$C328="","",'計算'!$CD328)</f>
        <v/>
      </c>
      <c r="G332" s="47">
        <f>IF('計算'!$C328="","",'計算'!$CA328)</f>
        <v/>
      </c>
      <c r="H332" s="43">
        <f>IF('計算'!$C328="","",'計算'!$CP328)</f>
        <v/>
      </c>
      <c r="I332" s="48" t="n"/>
      <c r="J332" s="49" t="n"/>
      <c r="K332" s="50">
        <f>IF('計算'!$C328="","",'計算'!$CR328)</f>
        <v/>
      </c>
      <c r="L332" s="51">
        <f>IF('計算'!$C328="","",'計算'!$CF328)</f>
        <v/>
      </c>
      <c r="M332" s="48" t="n"/>
      <c r="N332" s="49" t="n"/>
      <c r="O332" s="43">
        <f>IF('計算'!$C328="","",'計算'!$CQ328)</f>
        <v/>
      </c>
      <c r="P332" s="52">
        <f>IF('計算'!$C328="","",IF('計算'!$M328="","",'計算'!$AX328))</f>
        <v/>
      </c>
      <c r="Q332" s="52">
        <f>IF('計算'!$C328="","",IF('計算'!$M328="","",'計算'!$AY328))</f>
        <v/>
      </c>
      <c r="R332" s="52">
        <f>IF('計算'!$C328="","",IF('計算'!$M328="","",'計算'!$AZ328))</f>
        <v/>
      </c>
      <c r="S332" s="52">
        <f>IF('計算'!$C328="","",IF('計算'!$M328="","",'計算'!$BA328))</f>
        <v/>
      </c>
      <c r="T332" s="52">
        <f>IF('計算'!$C328="","",IF('計算'!$M328="","",'計算'!$BB328))</f>
        <v/>
      </c>
      <c r="U332" s="52">
        <f>IF('計算'!$C328="","",IF('計算'!$M328="","",'計算'!$BC328))</f>
        <v/>
      </c>
      <c r="V332" s="52">
        <f>IF('計算'!$C328="","",IF('計算'!$M328="","",'計算'!$BD328))</f>
        <v/>
      </c>
      <c r="W332" s="52">
        <f>IF('計算'!$C328="","",IF('計算'!$M328="","",'計算'!$BE328))</f>
        <v/>
      </c>
      <c r="X332" s="52">
        <f>IF('計算'!$C328="","",IF('計算'!$M328="","",'計算'!$BF328))</f>
        <v/>
      </c>
      <c r="Y332" s="52">
        <f>IF('計算'!$C328="","",IF('計算'!$M328="","",'計算'!$BG328))</f>
        <v/>
      </c>
      <c r="Z332" s="52">
        <f>IF('計算'!$C328="","",IF('計算'!$M328="","",'計算'!$BH328))</f>
        <v/>
      </c>
      <c r="AA332" s="52">
        <f>IF('計算'!$C328="","",IF('計算'!$M328="","",'計算'!$BI328))</f>
        <v/>
      </c>
      <c r="AB332" s="52">
        <f>IF('計算'!$C328="","",IF('計算'!$M328="","",'計算'!$BJ328))</f>
        <v/>
      </c>
      <c r="AC332" s="52">
        <f>IF('計算'!$C328="","",IF('計算'!$M328="","",'計算'!$BK328))</f>
        <v/>
      </c>
      <c r="AD332" s="53" t="n"/>
      <c r="AE332" s="48" t="n"/>
      <c r="AF332" s="54">
        <f>IF('計算'!$C328="","",'計算'!$C328)</f>
        <v/>
      </c>
      <c r="AG332" s="54">
        <f>IF('計算'!$C328="","",'計算'!$F328)</f>
        <v/>
      </c>
    </row>
    <row r="333" ht="18" customHeight="1">
      <c r="B333" s="42">
        <f>IF('計算'!$C329="","",'計算'!$B329)</f>
        <v/>
      </c>
      <c r="C333" s="43">
        <f>IF('計算'!$C329="","",'計算'!$D329)</f>
        <v/>
      </c>
      <c r="D333" s="44">
        <f>IF('計算'!$C329="","",'計算'!$O329)</f>
        <v/>
      </c>
      <c r="E333" s="45">
        <f>IF('計算'!$C329="","",'計算'!$L329)</f>
        <v/>
      </c>
      <c r="F333" s="46">
        <f>IF('計算'!$C329="","",'計算'!$CD329)</f>
        <v/>
      </c>
      <c r="G333" s="47">
        <f>IF('計算'!$C329="","",'計算'!$CA329)</f>
        <v/>
      </c>
      <c r="H333" s="43">
        <f>IF('計算'!$C329="","",'計算'!$CP329)</f>
        <v/>
      </c>
      <c r="I333" s="48" t="n"/>
      <c r="J333" s="49" t="n"/>
      <c r="K333" s="50">
        <f>IF('計算'!$C329="","",'計算'!$CR329)</f>
        <v/>
      </c>
      <c r="L333" s="51">
        <f>IF('計算'!$C329="","",'計算'!$CF329)</f>
        <v/>
      </c>
      <c r="M333" s="48" t="n"/>
      <c r="N333" s="49" t="n"/>
      <c r="O333" s="43">
        <f>IF('計算'!$C329="","",'計算'!$CQ329)</f>
        <v/>
      </c>
      <c r="P333" s="52">
        <f>IF('計算'!$C329="","",IF('計算'!$M329="","",'計算'!$AX329))</f>
        <v/>
      </c>
      <c r="Q333" s="52">
        <f>IF('計算'!$C329="","",IF('計算'!$M329="","",'計算'!$AY329))</f>
        <v/>
      </c>
      <c r="R333" s="52">
        <f>IF('計算'!$C329="","",IF('計算'!$M329="","",'計算'!$AZ329))</f>
        <v/>
      </c>
      <c r="S333" s="52">
        <f>IF('計算'!$C329="","",IF('計算'!$M329="","",'計算'!$BA329))</f>
        <v/>
      </c>
      <c r="T333" s="52">
        <f>IF('計算'!$C329="","",IF('計算'!$M329="","",'計算'!$BB329))</f>
        <v/>
      </c>
      <c r="U333" s="52">
        <f>IF('計算'!$C329="","",IF('計算'!$M329="","",'計算'!$BC329))</f>
        <v/>
      </c>
      <c r="V333" s="52">
        <f>IF('計算'!$C329="","",IF('計算'!$M329="","",'計算'!$BD329))</f>
        <v/>
      </c>
      <c r="W333" s="52">
        <f>IF('計算'!$C329="","",IF('計算'!$M329="","",'計算'!$BE329))</f>
        <v/>
      </c>
      <c r="X333" s="52">
        <f>IF('計算'!$C329="","",IF('計算'!$M329="","",'計算'!$BF329))</f>
        <v/>
      </c>
      <c r="Y333" s="52">
        <f>IF('計算'!$C329="","",IF('計算'!$M329="","",'計算'!$BG329))</f>
        <v/>
      </c>
      <c r="Z333" s="52">
        <f>IF('計算'!$C329="","",IF('計算'!$M329="","",'計算'!$BH329))</f>
        <v/>
      </c>
      <c r="AA333" s="52">
        <f>IF('計算'!$C329="","",IF('計算'!$M329="","",'計算'!$BI329))</f>
        <v/>
      </c>
      <c r="AB333" s="52">
        <f>IF('計算'!$C329="","",IF('計算'!$M329="","",'計算'!$BJ329))</f>
        <v/>
      </c>
      <c r="AC333" s="52">
        <f>IF('計算'!$C329="","",IF('計算'!$M329="","",'計算'!$BK329))</f>
        <v/>
      </c>
      <c r="AD333" s="53" t="n"/>
      <c r="AE333" s="48" t="n"/>
      <c r="AF333" s="54">
        <f>IF('計算'!$C329="","",'計算'!$C329)</f>
        <v/>
      </c>
      <c r="AG333" s="54">
        <f>IF('計算'!$C329="","",'計算'!$F329)</f>
        <v/>
      </c>
    </row>
    <row r="334" ht="18" customHeight="1">
      <c r="B334" s="42">
        <f>IF('計算'!$C330="","",'計算'!$B330)</f>
        <v/>
      </c>
      <c r="C334" s="43">
        <f>IF('計算'!$C330="","",'計算'!$D330)</f>
        <v/>
      </c>
      <c r="D334" s="44">
        <f>IF('計算'!$C330="","",'計算'!$O330)</f>
        <v/>
      </c>
      <c r="E334" s="45">
        <f>IF('計算'!$C330="","",'計算'!$L330)</f>
        <v/>
      </c>
      <c r="F334" s="46">
        <f>IF('計算'!$C330="","",'計算'!$CD330)</f>
        <v/>
      </c>
      <c r="G334" s="47">
        <f>IF('計算'!$C330="","",'計算'!$CA330)</f>
        <v/>
      </c>
      <c r="H334" s="43">
        <f>IF('計算'!$C330="","",'計算'!$CP330)</f>
        <v/>
      </c>
      <c r="I334" s="48" t="n"/>
      <c r="J334" s="49" t="n"/>
      <c r="K334" s="50">
        <f>IF('計算'!$C330="","",'計算'!$CR330)</f>
        <v/>
      </c>
      <c r="L334" s="51">
        <f>IF('計算'!$C330="","",'計算'!$CF330)</f>
        <v/>
      </c>
      <c r="M334" s="48" t="n"/>
      <c r="N334" s="49" t="n"/>
      <c r="O334" s="43">
        <f>IF('計算'!$C330="","",'計算'!$CQ330)</f>
        <v/>
      </c>
      <c r="P334" s="52">
        <f>IF('計算'!$C330="","",IF('計算'!$M330="","",'計算'!$AX330))</f>
        <v/>
      </c>
      <c r="Q334" s="52">
        <f>IF('計算'!$C330="","",IF('計算'!$M330="","",'計算'!$AY330))</f>
        <v/>
      </c>
      <c r="R334" s="52">
        <f>IF('計算'!$C330="","",IF('計算'!$M330="","",'計算'!$AZ330))</f>
        <v/>
      </c>
      <c r="S334" s="52">
        <f>IF('計算'!$C330="","",IF('計算'!$M330="","",'計算'!$BA330))</f>
        <v/>
      </c>
      <c r="T334" s="52">
        <f>IF('計算'!$C330="","",IF('計算'!$M330="","",'計算'!$BB330))</f>
        <v/>
      </c>
      <c r="U334" s="52">
        <f>IF('計算'!$C330="","",IF('計算'!$M330="","",'計算'!$BC330))</f>
        <v/>
      </c>
      <c r="V334" s="52">
        <f>IF('計算'!$C330="","",IF('計算'!$M330="","",'計算'!$BD330))</f>
        <v/>
      </c>
      <c r="W334" s="52">
        <f>IF('計算'!$C330="","",IF('計算'!$M330="","",'計算'!$BE330))</f>
        <v/>
      </c>
      <c r="X334" s="52">
        <f>IF('計算'!$C330="","",IF('計算'!$M330="","",'計算'!$BF330))</f>
        <v/>
      </c>
      <c r="Y334" s="52">
        <f>IF('計算'!$C330="","",IF('計算'!$M330="","",'計算'!$BG330))</f>
        <v/>
      </c>
      <c r="Z334" s="52">
        <f>IF('計算'!$C330="","",IF('計算'!$M330="","",'計算'!$BH330))</f>
        <v/>
      </c>
      <c r="AA334" s="52">
        <f>IF('計算'!$C330="","",IF('計算'!$M330="","",'計算'!$BI330))</f>
        <v/>
      </c>
      <c r="AB334" s="52">
        <f>IF('計算'!$C330="","",IF('計算'!$M330="","",'計算'!$BJ330))</f>
        <v/>
      </c>
      <c r="AC334" s="52">
        <f>IF('計算'!$C330="","",IF('計算'!$M330="","",'計算'!$BK330))</f>
        <v/>
      </c>
      <c r="AD334" s="53" t="n"/>
      <c r="AE334" s="48" t="n"/>
      <c r="AF334" s="54">
        <f>IF('計算'!$C330="","",'計算'!$C330)</f>
        <v/>
      </c>
      <c r="AG334" s="54">
        <f>IF('計算'!$C330="","",'計算'!$F330)</f>
        <v/>
      </c>
    </row>
    <row r="335" ht="18" customHeight="1">
      <c r="B335" s="42">
        <f>IF('計算'!$C331="","",'計算'!$B331)</f>
        <v/>
      </c>
      <c r="C335" s="43">
        <f>IF('計算'!$C331="","",'計算'!$D331)</f>
        <v/>
      </c>
      <c r="D335" s="44">
        <f>IF('計算'!$C331="","",'計算'!$O331)</f>
        <v/>
      </c>
      <c r="E335" s="45">
        <f>IF('計算'!$C331="","",'計算'!$L331)</f>
        <v/>
      </c>
      <c r="F335" s="46">
        <f>IF('計算'!$C331="","",'計算'!$CD331)</f>
        <v/>
      </c>
      <c r="G335" s="47">
        <f>IF('計算'!$C331="","",'計算'!$CA331)</f>
        <v/>
      </c>
      <c r="H335" s="43">
        <f>IF('計算'!$C331="","",'計算'!$CP331)</f>
        <v/>
      </c>
      <c r="I335" s="48" t="n"/>
      <c r="J335" s="49" t="n"/>
      <c r="K335" s="50">
        <f>IF('計算'!$C331="","",'計算'!$CR331)</f>
        <v/>
      </c>
      <c r="L335" s="51">
        <f>IF('計算'!$C331="","",'計算'!$CF331)</f>
        <v/>
      </c>
      <c r="M335" s="48" t="n"/>
      <c r="N335" s="49" t="n"/>
      <c r="O335" s="43">
        <f>IF('計算'!$C331="","",'計算'!$CQ331)</f>
        <v/>
      </c>
      <c r="P335" s="52">
        <f>IF('計算'!$C331="","",IF('計算'!$M331="","",'計算'!$AX331))</f>
        <v/>
      </c>
      <c r="Q335" s="52">
        <f>IF('計算'!$C331="","",IF('計算'!$M331="","",'計算'!$AY331))</f>
        <v/>
      </c>
      <c r="R335" s="52">
        <f>IF('計算'!$C331="","",IF('計算'!$M331="","",'計算'!$AZ331))</f>
        <v/>
      </c>
      <c r="S335" s="52">
        <f>IF('計算'!$C331="","",IF('計算'!$M331="","",'計算'!$BA331))</f>
        <v/>
      </c>
      <c r="T335" s="52">
        <f>IF('計算'!$C331="","",IF('計算'!$M331="","",'計算'!$BB331))</f>
        <v/>
      </c>
      <c r="U335" s="52">
        <f>IF('計算'!$C331="","",IF('計算'!$M331="","",'計算'!$BC331))</f>
        <v/>
      </c>
      <c r="V335" s="52">
        <f>IF('計算'!$C331="","",IF('計算'!$M331="","",'計算'!$BD331))</f>
        <v/>
      </c>
      <c r="W335" s="52">
        <f>IF('計算'!$C331="","",IF('計算'!$M331="","",'計算'!$BE331))</f>
        <v/>
      </c>
      <c r="X335" s="52">
        <f>IF('計算'!$C331="","",IF('計算'!$M331="","",'計算'!$BF331))</f>
        <v/>
      </c>
      <c r="Y335" s="52">
        <f>IF('計算'!$C331="","",IF('計算'!$M331="","",'計算'!$BG331))</f>
        <v/>
      </c>
      <c r="Z335" s="52">
        <f>IF('計算'!$C331="","",IF('計算'!$M331="","",'計算'!$BH331))</f>
        <v/>
      </c>
      <c r="AA335" s="52">
        <f>IF('計算'!$C331="","",IF('計算'!$M331="","",'計算'!$BI331))</f>
        <v/>
      </c>
      <c r="AB335" s="52">
        <f>IF('計算'!$C331="","",IF('計算'!$M331="","",'計算'!$BJ331))</f>
        <v/>
      </c>
      <c r="AC335" s="52">
        <f>IF('計算'!$C331="","",IF('計算'!$M331="","",'計算'!$BK331))</f>
        <v/>
      </c>
      <c r="AD335" s="53" t="n"/>
      <c r="AE335" s="48" t="n"/>
      <c r="AF335" s="54">
        <f>IF('計算'!$C331="","",'計算'!$C331)</f>
        <v/>
      </c>
      <c r="AG335" s="54">
        <f>IF('計算'!$C331="","",'計算'!$F331)</f>
        <v/>
      </c>
    </row>
    <row r="336" ht="18" customHeight="1">
      <c r="B336" s="42">
        <f>IF('計算'!$C332="","",'計算'!$B332)</f>
        <v/>
      </c>
      <c r="C336" s="43">
        <f>IF('計算'!$C332="","",'計算'!$D332)</f>
        <v/>
      </c>
      <c r="D336" s="44">
        <f>IF('計算'!$C332="","",'計算'!$O332)</f>
        <v/>
      </c>
      <c r="E336" s="45">
        <f>IF('計算'!$C332="","",'計算'!$L332)</f>
        <v/>
      </c>
      <c r="F336" s="46">
        <f>IF('計算'!$C332="","",'計算'!$CD332)</f>
        <v/>
      </c>
      <c r="G336" s="47">
        <f>IF('計算'!$C332="","",'計算'!$CA332)</f>
        <v/>
      </c>
      <c r="H336" s="43">
        <f>IF('計算'!$C332="","",'計算'!$CP332)</f>
        <v/>
      </c>
      <c r="I336" s="48" t="n"/>
      <c r="J336" s="49" t="n"/>
      <c r="K336" s="50">
        <f>IF('計算'!$C332="","",'計算'!$CR332)</f>
        <v/>
      </c>
      <c r="L336" s="51">
        <f>IF('計算'!$C332="","",'計算'!$CF332)</f>
        <v/>
      </c>
      <c r="M336" s="48" t="n"/>
      <c r="N336" s="49" t="n"/>
      <c r="O336" s="43">
        <f>IF('計算'!$C332="","",'計算'!$CQ332)</f>
        <v/>
      </c>
      <c r="P336" s="52">
        <f>IF('計算'!$C332="","",IF('計算'!$M332="","",'計算'!$AX332))</f>
        <v/>
      </c>
      <c r="Q336" s="52">
        <f>IF('計算'!$C332="","",IF('計算'!$M332="","",'計算'!$AY332))</f>
        <v/>
      </c>
      <c r="R336" s="52">
        <f>IF('計算'!$C332="","",IF('計算'!$M332="","",'計算'!$AZ332))</f>
        <v/>
      </c>
      <c r="S336" s="52">
        <f>IF('計算'!$C332="","",IF('計算'!$M332="","",'計算'!$BA332))</f>
        <v/>
      </c>
      <c r="T336" s="52">
        <f>IF('計算'!$C332="","",IF('計算'!$M332="","",'計算'!$BB332))</f>
        <v/>
      </c>
      <c r="U336" s="52">
        <f>IF('計算'!$C332="","",IF('計算'!$M332="","",'計算'!$BC332))</f>
        <v/>
      </c>
      <c r="V336" s="52">
        <f>IF('計算'!$C332="","",IF('計算'!$M332="","",'計算'!$BD332))</f>
        <v/>
      </c>
      <c r="W336" s="52">
        <f>IF('計算'!$C332="","",IF('計算'!$M332="","",'計算'!$BE332))</f>
        <v/>
      </c>
      <c r="X336" s="52">
        <f>IF('計算'!$C332="","",IF('計算'!$M332="","",'計算'!$BF332))</f>
        <v/>
      </c>
      <c r="Y336" s="52">
        <f>IF('計算'!$C332="","",IF('計算'!$M332="","",'計算'!$BG332))</f>
        <v/>
      </c>
      <c r="Z336" s="52">
        <f>IF('計算'!$C332="","",IF('計算'!$M332="","",'計算'!$BH332))</f>
        <v/>
      </c>
      <c r="AA336" s="52">
        <f>IF('計算'!$C332="","",IF('計算'!$M332="","",'計算'!$BI332))</f>
        <v/>
      </c>
      <c r="AB336" s="52">
        <f>IF('計算'!$C332="","",IF('計算'!$M332="","",'計算'!$BJ332))</f>
        <v/>
      </c>
      <c r="AC336" s="52">
        <f>IF('計算'!$C332="","",IF('計算'!$M332="","",'計算'!$BK332))</f>
        <v/>
      </c>
      <c r="AD336" s="53" t="n"/>
      <c r="AE336" s="48" t="n"/>
      <c r="AF336" s="54">
        <f>IF('計算'!$C332="","",'計算'!$C332)</f>
        <v/>
      </c>
      <c r="AG336" s="54">
        <f>IF('計算'!$C332="","",'計算'!$F332)</f>
        <v/>
      </c>
    </row>
    <row r="337" ht="18" customHeight="1">
      <c r="B337" s="42">
        <f>IF('計算'!$C333="","",'計算'!$B333)</f>
        <v/>
      </c>
      <c r="C337" s="43">
        <f>IF('計算'!$C333="","",'計算'!$D333)</f>
        <v/>
      </c>
      <c r="D337" s="44">
        <f>IF('計算'!$C333="","",'計算'!$O333)</f>
        <v/>
      </c>
      <c r="E337" s="45">
        <f>IF('計算'!$C333="","",'計算'!$L333)</f>
        <v/>
      </c>
      <c r="F337" s="46">
        <f>IF('計算'!$C333="","",'計算'!$CD333)</f>
        <v/>
      </c>
      <c r="G337" s="47">
        <f>IF('計算'!$C333="","",'計算'!$CA333)</f>
        <v/>
      </c>
      <c r="H337" s="43">
        <f>IF('計算'!$C333="","",'計算'!$CP333)</f>
        <v/>
      </c>
      <c r="I337" s="48" t="n"/>
      <c r="J337" s="49" t="n"/>
      <c r="K337" s="50">
        <f>IF('計算'!$C333="","",'計算'!$CR333)</f>
        <v/>
      </c>
      <c r="L337" s="51">
        <f>IF('計算'!$C333="","",'計算'!$CF333)</f>
        <v/>
      </c>
      <c r="M337" s="48" t="n"/>
      <c r="N337" s="49" t="n"/>
      <c r="O337" s="43">
        <f>IF('計算'!$C333="","",'計算'!$CQ333)</f>
        <v/>
      </c>
      <c r="P337" s="52">
        <f>IF('計算'!$C333="","",IF('計算'!$M333="","",'計算'!$AX333))</f>
        <v/>
      </c>
      <c r="Q337" s="52">
        <f>IF('計算'!$C333="","",IF('計算'!$M333="","",'計算'!$AY333))</f>
        <v/>
      </c>
      <c r="R337" s="52">
        <f>IF('計算'!$C333="","",IF('計算'!$M333="","",'計算'!$AZ333))</f>
        <v/>
      </c>
      <c r="S337" s="52">
        <f>IF('計算'!$C333="","",IF('計算'!$M333="","",'計算'!$BA333))</f>
        <v/>
      </c>
      <c r="T337" s="52">
        <f>IF('計算'!$C333="","",IF('計算'!$M333="","",'計算'!$BB333))</f>
        <v/>
      </c>
      <c r="U337" s="52">
        <f>IF('計算'!$C333="","",IF('計算'!$M333="","",'計算'!$BC333))</f>
        <v/>
      </c>
      <c r="V337" s="52">
        <f>IF('計算'!$C333="","",IF('計算'!$M333="","",'計算'!$BD333))</f>
        <v/>
      </c>
      <c r="W337" s="52">
        <f>IF('計算'!$C333="","",IF('計算'!$M333="","",'計算'!$BE333))</f>
        <v/>
      </c>
      <c r="X337" s="52">
        <f>IF('計算'!$C333="","",IF('計算'!$M333="","",'計算'!$BF333))</f>
        <v/>
      </c>
      <c r="Y337" s="52">
        <f>IF('計算'!$C333="","",IF('計算'!$M333="","",'計算'!$BG333))</f>
        <v/>
      </c>
      <c r="Z337" s="52">
        <f>IF('計算'!$C333="","",IF('計算'!$M333="","",'計算'!$BH333))</f>
        <v/>
      </c>
      <c r="AA337" s="52">
        <f>IF('計算'!$C333="","",IF('計算'!$M333="","",'計算'!$BI333))</f>
        <v/>
      </c>
      <c r="AB337" s="52">
        <f>IF('計算'!$C333="","",IF('計算'!$M333="","",'計算'!$BJ333))</f>
        <v/>
      </c>
      <c r="AC337" s="52">
        <f>IF('計算'!$C333="","",IF('計算'!$M333="","",'計算'!$BK333))</f>
        <v/>
      </c>
      <c r="AD337" s="53" t="n"/>
      <c r="AE337" s="48" t="n"/>
      <c r="AF337" s="54">
        <f>IF('計算'!$C333="","",'計算'!$C333)</f>
        <v/>
      </c>
      <c r="AG337" s="54">
        <f>IF('計算'!$C333="","",'計算'!$F333)</f>
        <v/>
      </c>
    </row>
    <row r="338" ht="18" customHeight="1">
      <c r="B338" s="42">
        <f>IF('計算'!$C334="","",'計算'!$B334)</f>
        <v/>
      </c>
      <c r="C338" s="43">
        <f>IF('計算'!$C334="","",'計算'!$D334)</f>
        <v/>
      </c>
      <c r="D338" s="44">
        <f>IF('計算'!$C334="","",'計算'!$O334)</f>
        <v/>
      </c>
      <c r="E338" s="45">
        <f>IF('計算'!$C334="","",'計算'!$L334)</f>
        <v/>
      </c>
      <c r="F338" s="46">
        <f>IF('計算'!$C334="","",'計算'!$CD334)</f>
        <v/>
      </c>
      <c r="G338" s="47">
        <f>IF('計算'!$C334="","",'計算'!$CA334)</f>
        <v/>
      </c>
      <c r="H338" s="43">
        <f>IF('計算'!$C334="","",'計算'!$CP334)</f>
        <v/>
      </c>
      <c r="I338" s="48" t="n"/>
      <c r="J338" s="49" t="n"/>
      <c r="K338" s="50">
        <f>IF('計算'!$C334="","",'計算'!$CR334)</f>
        <v/>
      </c>
      <c r="L338" s="51">
        <f>IF('計算'!$C334="","",'計算'!$CF334)</f>
        <v/>
      </c>
      <c r="M338" s="48" t="n"/>
      <c r="N338" s="49" t="n"/>
      <c r="O338" s="43">
        <f>IF('計算'!$C334="","",'計算'!$CQ334)</f>
        <v/>
      </c>
      <c r="P338" s="52">
        <f>IF('計算'!$C334="","",IF('計算'!$M334="","",'計算'!$AX334))</f>
        <v/>
      </c>
      <c r="Q338" s="52">
        <f>IF('計算'!$C334="","",IF('計算'!$M334="","",'計算'!$AY334))</f>
        <v/>
      </c>
      <c r="R338" s="52">
        <f>IF('計算'!$C334="","",IF('計算'!$M334="","",'計算'!$AZ334))</f>
        <v/>
      </c>
      <c r="S338" s="52">
        <f>IF('計算'!$C334="","",IF('計算'!$M334="","",'計算'!$BA334))</f>
        <v/>
      </c>
      <c r="T338" s="52">
        <f>IF('計算'!$C334="","",IF('計算'!$M334="","",'計算'!$BB334))</f>
        <v/>
      </c>
      <c r="U338" s="52">
        <f>IF('計算'!$C334="","",IF('計算'!$M334="","",'計算'!$BC334))</f>
        <v/>
      </c>
      <c r="V338" s="52">
        <f>IF('計算'!$C334="","",IF('計算'!$M334="","",'計算'!$BD334))</f>
        <v/>
      </c>
      <c r="W338" s="52">
        <f>IF('計算'!$C334="","",IF('計算'!$M334="","",'計算'!$BE334))</f>
        <v/>
      </c>
      <c r="X338" s="52">
        <f>IF('計算'!$C334="","",IF('計算'!$M334="","",'計算'!$BF334))</f>
        <v/>
      </c>
      <c r="Y338" s="52">
        <f>IF('計算'!$C334="","",IF('計算'!$M334="","",'計算'!$BG334))</f>
        <v/>
      </c>
      <c r="Z338" s="52">
        <f>IF('計算'!$C334="","",IF('計算'!$M334="","",'計算'!$BH334))</f>
        <v/>
      </c>
      <c r="AA338" s="52">
        <f>IF('計算'!$C334="","",IF('計算'!$M334="","",'計算'!$BI334))</f>
        <v/>
      </c>
      <c r="AB338" s="52">
        <f>IF('計算'!$C334="","",IF('計算'!$M334="","",'計算'!$BJ334))</f>
        <v/>
      </c>
      <c r="AC338" s="52">
        <f>IF('計算'!$C334="","",IF('計算'!$M334="","",'計算'!$BK334))</f>
        <v/>
      </c>
      <c r="AD338" s="53" t="n"/>
      <c r="AE338" s="48" t="n"/>
      <c r="AF338" s="54">
        <f>IF('計算'!$C334="","",'計算'!$C334)</f>
        <v/>
      </c>
      <c r="AG338" s="54">
        <f>IF('計算'!$C334="","",'計算'!$F334)</f>
        <v/>
      </c>
    </row>
    <row r="339" ht="18" customHeight="1">
      <c r="B339" s="42">
        <f>IF('計算'!$C335="","",'計算'!$B335)</f>
        <v/>
      </c>
      <c r="C339" s="43">
        <f>IF('計算'!$C335="","",'計算'!$D335)</f>
        <v/>
      </c>
      <c r="D339" s="44">
        <f>IF('計算'!$C335="","",'計算'!$O335)</f>
        <v/>
      </c>
      <c r="E339" s="45">
        <f>IF('計算'!$C335="","",'計算'!$L335)</f>
        <v/>
      </c>
      <c r="F339" s="46">
        <f>IF('計算'!$C335="","",'計算'!$CD335)</f>
        <v/>
      </c>
      <c r="G339" s="47">
        <f>IF('計算'!$C335="","",'計算'!$CA335)</f>
        <v/>
      </c>
      <c r="H339" s="43">
        <f>IF('計算'!$C335="","",'計算'!$CP335)</f>
        <v/>
      </c>
      <c r="I339" s="48" t="n"/>
      <c r="J339" s="49" t="n"/>
      <c r="K339" s="50">
        <f>IF('計算'!$C335="","",'計算'!$CR335)</f>
        <v/>
      </c>
      <c r="L339" s="51">
        <f>IF('計算'!$C335="","",'計算'!$CF335)</f>
        <v/>
      </c>
      <c r="M339" s="48" t="n"/>
      <c r="N339" s="49" t="n"/>
      <c r="O339" s="43">
        <f>IF('計算'!$C335="","",'計算'!$CQ335)</f>
        <v/>
      </c>
      <c r="P339" s="52">
        <f>IF('計算'!$C335="","",IF('計算'!$M335="","",'計算'!$AX335))</f>
        <v/>
      </c>
      <c r="Q339" s="52">
        <f>IF('計算'!$C335="","",IF('計算'!$M335="","",'計算'!$AY335))</f>
        <v/>
      </c>
      <c r="R339" s="52">
        <f>IF('計算'!$C335="","",IF('計算'!$M335="","",'計算'!$AZ335))</f>
        <v/>
      </c>
      <c r="S339" s="52">
        <f>IF('計算'!$C335="","",IF('計算'!$M335="","",'計算'!$BA335))</f>
        <v/>
      </c>
      <c r="T339" s="52">
        <f>IF('計算'!$C335="","",IF('計算'!$M335="","",'計算'!$BB335))</f>
        <v/>
      </c>
      <c r="U339" s="52">
        <f>IF('計算'!$C335="","",IF('計算'!$M335="","",'計算'!$BC335))</f>
        <v/>
      </c>
      <c r="V339" s="52">
        <f>IF('計算'!$C335="","",IF('計算'!$M335="","",'計算'!$BD335))</f>
        <v/>
      </c>
      <c r="W339" s="52">
        <f>IF('計算'!$C335="","",IF('計算'!$M335="","",'計算'!$BE335))</f>
        <v/>
      </c>
      <c r="X339" s="52">
        <f>IF('計算'!$C335="","",IF('計算'!$M335="","",'計算'!$BF335))</f>
        <v/>
      </c>
      <c r="Y339" s="52">
        <f>IF('計算'!$C335="","",IF('計算'!$M335="","",'計算'!$BG335))</f>
        <v/>
      </c>
      <c r="Z339" s="52">
        <f>IF('計算'!$C335="","",IF('計算'!$M335="","",'計算'!$BH335))</f>
        <v/>
      </c>
      <c r="AA339" s="52">
        <f>IF('計算'!$C335="","",IF('計算'!$M335="","",'計算'!$BI335))</f>
        <v/>
      </c>
      <c r="AB339" s="52">
        <f>IF('計算'!$C335="","",IF('計算'!$M335="","",'計算'!$BJ335))</f>
        <v/>
      </c>
      <c r="AC339" s="52">
        <f>IF('計算'!$C335="","",IF('計算'!$M335="","",'計算'!$BK335))</f>
        <v/>
      </c>
      <c r="AD339" s="53" t="n"/>
      <c r="AE339" s="48" t="n"/>
      <c r="AF339" s="54">
        <f>IF('計算'!$C335="","",'計算'!$C335)</f>
        <v/>
      </c>
      <c r="AG339" s="54">
        <f>IF('計算'!$C335="","",'計算'!$F335)</f>
        <v/>
      </c>
    </row>
    <row r="340" ht="18" customHeight="1">
      <c r="B340" s="42">
        <f>IF('計算'!$C336="","",'計算'!$B336)</f>
        <v/>
      </c>
      <c r="C340" s="43">
        <f>IF('計算'!$C336="","",'計算'!$D336)</f>
        <v/>
      </c>
      <c r="D340" s="44">
        <f>IF('計算'!$C336="","",'計算'!$O336)</f>
        <v/>
      </c>
      <c r="E340" s="45">
        <f>IF('計算'!$C336="","",'計算'!$L336)</f>
        <v/>
      </c>
      <c r="F340" s="46">
        <f>IF('計算'!$C336="","",'計算'!$CD336)</f>
        <v/>
      </c>
      <c r="G340" s="47">
        <f>IF('計算'!$C336="","",'計算'!$CA336)</f>
        <v/>
      </c>
      <c r="H340" s="43">
        <f>IF('計算'!$C336="","",'計算'!$CP336)</f>
        <v/>
      </c>
      <c r="I340" s="48" t="n"/>
      <c r="J340" s="49" t="n"/>
      <c r="K340" s="50">
        <f>IF('計算'!$C336="","",'計算'!$CR336)</f>
        <v/>
      </c>
      <c r="L340" s="51">
        <f>IF('計算'!$C336="","",'計算'!$CF336)</f>
        <v/>
      </c>
      <c r="M340" s="48" t="n"/>
      <c r="N340" s="49" t="n"/>
      <c r="O340" s="43">
        <f>IF('計算'!$C336="","",'計算'!$CQ336)</f>
        <v/>
      </c>
      <c r="P340" s="52">
        <f>IF('計算'!$C336="","",IF('計算'!$M336="","",'計算'!$AX336))</f>
        <v/>
      </c>
      <c r="Q340" s="52">
        <f>IF('計算'!$C336="","",IF('計算'!$M336="","",'計算'!$AY336))</f>
        <v/>
      </c>
      <c r="R340" s="52">
        <f>IF('計算'!$C336="","",IF('計算'!$M336="","",'計算'!$AZ336))</f>
        <v/>
      </c>
      <c r="S340" s="52">
        <f>IF('計算'!$C336="","",IF('計算'!$M336="","",'計算'!$BA336))</f>
        <v/>
      </c>
      <c r="T340" s="52">
        <f>IF('計算'!$C336="","",IF('計算'!$M336="","",'計算'!$BB336))</f>
        <v/>
      </c>
      <c r="U340" s="52">
        <f>IF('計算'!$C336="","",IF('計算'!$M336="","",'計算'!$BC336))</f>
        <v/>
      </c>
      <c r="V340" s="52">
        <f>IF('計算'!$C336="","",IF('計算'!$M336="","",'計算'!$BD336))</f>
        <v/>
      </c>
      <c r="W340" s="52">
        <f>IF('計算'!$C336="","",IF('計算'!$M336="","",'計算'!$BE336))</f>
        <v/>
      </c>
      <c r="X340" s="52">
        <f>IF('計算'!$C336="","",IF('計算'!$M336="","",'計算'!$BF336))</f>
        <v/>
      </c>
      <c r="Y340" s="52">
        <f>IF('計算'!$C336="","",IF('計算'!$M336="","",'計算'!$BG336))</f>
        <v/>
      </c>
      <c r="Z340" s="52">
        <f>IF('計算'!$C336="","",IF('計算'!$M336="","",'計算'!$BH336))</f>
        <v/>
      </c>
      <c r="AA340" s="52">
        <f>IF('計算'!$C336="","",IF('計算'!$M336="","",'計算'!$BI336))</f>
        <v/>
      </c>
      <c r="AB340" s="52">
        <f>IF('計算'!$C336="","",IF('計算'!$M336="","",'計算'!$BJ336))</f>
        <v/>
      </c>
      <c r="AC340" s="52">
        <f>IF('計算'!$C336="","",IF('計算'!$M336="","",'計算'!$BK336))</f>
        <v/>
      </c>
      <c r="AD340" s="53" t="n"/>
      <c r="AE340" s="48" t="n"/>
      <c r="AF340" s="54">
        <f>IF('計算'!$C336="","",'計算'!$C336)</f>
        <v/>
      </c>
      <c r="AG340" s="54">
        <f>IF('計算'!$C336="","",'計算'!$F336)</f>
        <v/>
      </c>
    </row>
    <row r="341" ht="18" customHeight="1">
      <c r="B341" s="42">
        <f>IF('計算'!$C337="","",'計算'!$B337)</f>
        <v/>
      </c>
      <c r="C341" s="43">
        <f>IF('計算'!$C337="","",'計算'!$D337)</f>
        <v/>
      </c>
      <c r="D341" s="44">
        <f>IF('計算'!$C337="","",'計算'!$O337)</f>
        <v/>
      </c>
      <c r="E341" s="45">
        <f>IF('計算'!$C337="","",'計算'!$L337)</f>
        <v/>
      </c>
      <c r="F341" s="46">
        <f>IF('計算'!$C337="","",'計算'!$CD337)</f>
        <v/>
      </c>
      <c r="G341" s="47">
        <f>IF('計算'!$C337="","",'計算'!$CA337)</f>
        <v/>
      </c>
      <c r="H341" s="43">
        <f>IF('計算'!$C337="","",'計算'!$CP337)</f>
        <v/>
      </c>
      <c r="I341" s="48" t="n"/>
      <c r="J341" s="49" t="n"/>
      <c r="K341" s="50">
        <f>IF('計算'!$C337="","",'計算'!$CR337)</f>
        <v/>
      </c>
      <c r="L341" s="51">
        <f>IF('計算'!$C337="","",'計算'!$CF337)</f>
        <v/>
      </c>
      <c r="M341" s="48" t="n"/>
      <c r="N341" s="49" t="n"/>
      <c r="O341" s="43">
        <f>IF('計算'!$C337="","",'計算'!$CQ337)</f>
        <v/>
      </c>
      <c r="P341" s="52">
        <f>IF('計算'!$C337="","",IF('計算'!$M337="","",'計算'!$AX337))</f>
        <v/>
      </c>
      <c r="Q341" s="52">
        <f>IF('計算'!$C337="","",IF('計算'!$M337="","",'計算'!$AY337))</f>
        <v/>
      </c>
      <c r="R341" s="52">
        <f>IF('計算'!$C337="","",IF('計算'!$M337="","",'計算'!$AZ337))</f>
        <v/>
      </c>
      <c r="S341" s="52">
        <f>IF('計算'!$C337="","",IF('計算'!$M337="","",'計算'!$BA337))</f>
        <v/>
      </c>
      <c r="T341" s="52">
        <f>IF('計算'!$C337="","",IF('計算'!$M337="","",'計算'!$BB337))</f>
        <v/>
      </c>
      <c r="U341" s="52">
        <f>IF('計算'!$C337="","",IF('計算'!$M337="","",'計算'!$BC337))</f>
        <v/>
      </c>
      <c r="V341" s="52">
        <f>IF('計算'!$C337="","",IF('計算'!$M337="","",'計算'!$BD337))</f>
        <v/>
      </c>
      <c r="W341" s="52">
        <f>IF('計算'!$C337="","",IF('計算'!$M337="","",'計算'!$BE337))</f>
        <v/>
      </c>
      <c r="X341" s="52">
        <f>IF('計算'!$C337="","",IF('計算'!$M337="","",'計算'!$BF337))</f>
        <v/>
      </c>
      <c r="Y341" s="52">
        <f>IF('計算'!$C337="","",IF('計算'!$M337="","",'計算'!$BG337))</f>
        <v/>
      </c>
      <c r="Z341" s="52">
        <f>IF('計算'!$C337="","",IF('計算'!$M337="","",'計算'!$BH337))</f>
        <v/>
      </c>
      <c r="AA341" s="52">
        <f>IF('計算'!$C337="","",IF('計算'!$M337="","",'計算'!$BI337))</f>
        <v/>
      </c>
      <c r="AB341" s="52">
        <f>IF('計算'!$C337="","",IF('計算'!$M337="","",'計算'!$BJ337))</f>
        <v/>
      </c>
      <c r="AC341" s="52">
        <f>IF('計算'!$C337="","",IF('計算'!$M337="","",'計算'!$BK337))</f>
        <v/>
      </c>
      <c r="AD341" s="53" t="n"/>
      <c r="AE341" s="48" t="n"/>
      <c r="AF341" s="54">
        <f>IF('計算'!$C337="","",'計算'!$C337)</f>
        <v/>
      </c>
      <c r="AG341" s="54">
        <f>IF('計算'!$C337="","",'計算'!$F337)</f>
        <v/>
      </c>
    </row>
    <row r="342" ht="18" customHeight="1">
      <c r="B342" s="42">
        <f>IF('計算'!$C338="","",'計算'!$B338)</f>
        <v/>
      </c>
      <c r="C342" s="43">
        <f>IF('計算'!$C338="","",'計算'!$D338)</f>
        <v/>
      </c>
      <c r="D342" s="44">
        <f>IF('計算'!$C338="","",'計算'!$O338)</f>
        <v/>
      </c>
      <c r="E342" s="45">
        <f>IF('計算'!$C338="","",'計算'!$L338)</f>
        <v/>
      </c>
      <c r="F342" s="46">
        <f>IF('計算'!$C338="","",'計算'!$CD338)</f>
        <v/>
      </c>
      <c r="G342" s="47">
        <f>IF('計算'!$C338="","",'計算'!$CA338)</f>
        <v/>
      </c>
      <c r="H342" s="43">
        <f>IF('計算'!$C338="","",'計算'!$CP338)</f>
        <v/>
      </c>
      <c r="I342" s="48" t="n"/>
      <c r="J342" s="49" t="n"/>
      <c r="K342" s="50">
        <f>IF('計算'!$C338="","",'計算'!$CR338)</f>
        <v/>
      </c>
      <c r="L342" s="51">
        <f>IF('計算'!$C338="","",'計算'!$CF338)</f>
        <v/>
      </c>
      <c r="M342" s="48" t="n"/>
      <c r="N342" s="49" t="n"/>
      <c r="O342" s="43">
        <f>IF('計算'!$C338="","",'計算'!$CQ338)</f>
        <v/>
      </c>
      <c r="P342" s="52">
        <f>IF('計算'!$C338="","",IF('計算'!$M338="","",'計算'!$AX338))</f>
        <v/>
      </c>
      <c r="Q342" s="52">
        <f>IF('計算'!$C338="","",IF('計算'!$M338="","",'計算'!$AY338))</f>
        <v/>
      </c>
      <c r="R342" s="52">
        <f>IF('計算'!$C338="","",IF('計算'!$M338="","",'計算'!$AZ338))</f>
        <v/>
      </c>
      <c r="S342" s="52">
        <f>IF('計算'!$C338="","",IF('計算'!$M338="","",'計算'!$BA338))</f>
        <v/>
      </c>
      <c r="T342" s="52">
        <f>IF('計算'!$C338="","",IF('計算'!$M338="","",'計算'!$BB338))</f>
        <v/>
      </c>
      <c r="U342" s="52">
        <f>IF('計算'!$C338="","",IF('計算'!$M338="","",'計算'!$BC338))</f>
        <v/>
      </c>
      <c r="V342" s="52">
        <f>IF('計算'!$C338="","",IF('計算'!$M338="","",'計算'!$BD338))</f>
        <v/>
      </c>
      <c r="W342" s="52">
        <f>IF('計算'!$C338="","",IF('計算'!$M338="","",'計算'!$BE338))</f>
        <v/>
      </c>
      <c r="X342" s="52">
        <f>IF('計算'!$C338="","",IF('計算'!$M338="","",'計算'!$BF338))</f>
        <v/>
      </c>
      <c r="Y342" s="52">
        <f>IF('計算'!$C338="","",IF('計算'!$M338="","",'計算'!$BG338))</f>
        <v/>
      </c>
      <c r="Z342" s="52">
        <f>IF('計算'!$C338="","",IF('計算'!$M338="","",'計算'!$BH338))</f>
        <v/>
      </c>
      <c r="AA342" s="52">
        <f>IF('計算'!$C338="","",IF('計算'!$M338="","",'計算'!$BI338))</f>
        <v/>
      </c>
      <c r="AB342" s="52">
        <f>IF('計算'!$C338="","",IF('計算'!$M338="","",'計算'!$BJ338))</f>
        <v/>
      </c>
      <c r="AC342" s="52">
        <f>IF('計算'!$C338="","",IF('計算'!$M338="","",'計算'!$BK338))</f>
        <v/>
      </c>
      <c r="AD342" s="53" t="n"/>
      <c r="AE342" s="48" t="n"/>
      <c r="AF342" s="54">
        <f>IF('計算'!$C338="","",'計算'!$C338)</f>
        <v/>
      </c>
      <c r="AG342" s="54">
        <f>IF('計算'!$C338="","",'計算'!$F338)</f>
        <v/>
      </c>
    </row>
    <row r="343" ht="18" customHeight="1">
      <c r="B343" s="42">
        <f>IF('計算'!$C339="","",'計算'!$B339)</f>
        <v/>
      </c>
      <c r="C343" s="43">
        <f>IF('計算'!$C339="","",'計算'!$D339)</f>
        <v/>
      </c>
      <c r="D343" s="44">
        <f>IF('計算'!$C339="","",'計算'!$O339)</f>
        <v/>
      </c>
      <c r="E343" s="45">
        <f>IF('計算'!$C339="","",'計算'!$L339)</f>
        <v/>
      </c>
      <c r="F343" s="46">
        <f>IF('計算'!$C339="","",'計算'!$CD339)</f>
        <v/>
      </c>
      <c r="G343" s="47">
        <f>IF('計算'!$C339="","",'計算'!$CA339)</f>
        <v/>
      </c>
      <c r="H343" s="43">
        <f>IF('計算'!$C339="","",'計算'!$CP339)</f>
        <v/>
      </c>
      <c r="I343" s="48" t="n"/>
      <c r="J343" s="49" t="n"/>
      <c r="K343" s="50">
        <f>IF('計算'!$C339="","",'計算'!$CR339)</f>
        <v/>
      </c>
      <c r="L343" s="51">
        <f>IF('計算'!$C339="","",'計算'!$CF339)</f>
        <v/>
      </c>
      <c r="M343" s="48" t="n"/>
      <c r="N343" s="49" t="n"/>
      <c r="O343" s="43">
        <f>IF('計算'!$C339="","",'計算'!$CQ339)</f>
        <v/>
      </c>
      <c r="P343" s="52">
        <f>IF('計算'!$C339="","",IF('計算'!$M339="","",'計算'!$AX339))</f>
        <v/>
      </c>
      <c r="Q343" s="52">
        <f>IF('計算'!$C339="","",IF('計算'!$M339="","",'計算'!$AY339))</f>
        <v/>
      </c>
      <c r="R343" s="52">
        <f>IF('計算'!$C339="","",IF('計算'!$M339="","",'計算'!$AZ339))</f>
        <v/>
      </c>
      <c r="S343" s="52">
        <f>IF('計算'!$C339="","",IF('計算'!$M339="","",'計算'!$BA339))</f>
        <v/>
      </c>
      <c r="T343" s="52">
        <f>IF('計算'!$C339="","",IF('計算'!$M339="","",'計算'!$BB339))</f>
        <v/>
      </c>
      <c r="U343" s="52">
        <f>IF('計算'!$C339="","",IF('計算'!$M339="","",'計算'!$BC339))</f>
        <v/>
      </c>
      <c r="V343" s="52">
        <f>IF('計算'!$C339="","",IF('計算'!$M339="","",'計算'!$BD339))</f>
        <v/>
      </c>
      <c r="W343" s="52">
        <f>IF('計算'!$C339="","",IF('計算'!$M339="","",'計算'!$BE339))</f>
        <v/>
      </c>
      <c r="X343" s="52">
        <f>IF('計算'!$C339="","",IF('計算'!$M339="","",'計算'!$BF339))</f>
        <v/>
      </c>
      <c r="Y343" s="52">
        <f>IF('計算'!$C339="","",IF('計算'!$M339="","",'計算'!$BG339))</f>
        <v/>
      </c>
      <c r="Z343" s="52">
        <f>IF('計算'!$C339="","",IF('計算'!$M339="","",'計算'!$BH339))</f>
        <v/>
      </c>
      <c r="AA343" s="52">
        <f>IF('計算'!$C339="","",IF('計算'!$M339="","",'計算'!$BI339))</f>
        <v/>
      </c>
      <c r="AB343" s="52">
        <f>IF('計算'!$C339="","",IF('計算'!$M339="","",'計算'!$BJ339))</f>
        <v/>
      </c>
      <c r="AC343" s="52">
        <f>IF('計算'!$C339="","",IF('計算'!$M339="","",'計算'!$BK339))</f>
        <v/>
      </c>
      <c r="AD343" s="53" t="n"/>
      <c r="AE343" s="48" t="n"/>
      <c r="AF343" s="54">
        <f>IF('計算'!$C339="","",'計算'!$C339)</f>
        <v/>
      </c>
      <c r="AG343" s="54">
        <f>IF('計算'!$C339="","",'計算'!$F339)</f>
        <v/>
      </c>
    </row>
    <row r="344" ht="18" customHeight="1">
      <c r="B344" s="42">
        <f>IF('計算'!$C340="","",'計算'!$B340)</f>
        <v/>
      </c>
      <c r="C344" s="43">
        <f>IF('計算'!$C340="","",'計算'!$D340)</f>
        <v/>
      </c>
      <c r="D344" s="44">
        <f>IF('計算'!$C340="","",'計算'!$O340)</f>
        <v/>
      </c>
      <c r="E344" s="45">
        <f>IF('計算'!$C340="","",'計算'!$L340)</f>
        <v/>
      </c>
      <c r="F344" s="46">
        <f>IF('計算'!$C340="","",'計算'!$CD340)</f>
        <v/>
      </c>
      <c r="G344" s="47">
        <f>IF('計算'!$C340="","",'計算'!$CA340)</f>
        <v/>
      </c>
      <c r="H344" s="43">
        <f>IF('計算'!$C340="","",'計算'!$CP340)</f>
        <v/>
      </c>
      <c r="I344" s="48" t="n"/>
      <c r="J344" s="49" t="n"/>
      <c r="K344" s="50">
        <f>IF('計算'!$C340="","",'計算'!$CR340)</f>
        <v/>
      </c>
      <c r="L344" s="51">
        <f>IF('計算'!$C340="","",'計算'!$CF340)</f>
        <v/>
      </c>
      <c r="M344" s="48" t="n"/>
      <c r="N344" s="49" t="n"/>
      <c r="O344" s="43">
        <f>IF('計算'!$C340="","",'計算'!$CQ340)</f>
        <v/>
      </c>
      <c r="P344" s="52">
        <f>IF('計算'!$C340="","",IF('計算'!$M340="","",'計算'!$AX340))</f>
        <v/>
      </c>
      <c r="Q344" s="52">
        <f>IF('計算'!$C340="","",IF('計算'!$M340="","",'計算'!$AY340))</f>
        <v/>
      </c>
      <c r="R344" s="52">
        <f>IF('計算'!$C340="","",IF('計算'!$M340="","",'計算'!$AZ340))</f>
        <v/>
      </c>
      <c r="S344" s="52">
        <f>IF('計算'!$C340="","",IF('計算'!$M340="","",'計算'!$BA340))</f>
        <v/>
      </c>
      <c r="T344" s="52">
        <f>IF('計算'!$C340="","",IF('計算'!$M340="","",'計算'!$BB340))</f>
        <v/>
      </c>
      <c r="U344" s="52">
        <f>IF('計算'!$C340="","",IF('計算'!$M340="","",'計算'!$BC340))</f>
        <v/>
      </c>
      <c r="V344" s="52">
        <f>IF('計算'!$C340="","",IF('計算'!$M340="","",'計算'!$BD340))</f>
        <v/>
      </c>
      <c r="W344" s="52">
        <f>IF('計算'!$C340="","",IF('計算'!$M340="","",'計算'!$BE340))</f>
        <v/>
      </c>
      <c r="X344" s="52">
        <f>IF('計算'!$C340="","",IF('計算'!$M340="","",'計算'!$BF340))</f>
        <v/>
      </c>
      <c r="Y344" s="52">
        <f>IF('計算'!$C340="","",IF('計算'!$M340="","",'計算'!$BG340))</f>
        <v/>
      </c>
      <c r="Z344" s="52">
        <f>IF('計算'!$C340="","",IF('計算'!$M340="","",'計算'!$BH340))</f>
        <v/>
      </c>
      <c r="AA344" s="52">
        <f>IF('計算'!$C340="","",IF('計算'!$M340="","",'計算'!$BI340))</f>
        <v/>
      </c>
      <c r="AB344" s="52">
        <f>IF('計算'!$C340="","",IF('計算'!$M340="","",'計算'!$BJ340))</f>
        <v/>
      </c>
      <c r="AC344" s="52">
        <f>IF('計算'!$C340="","",IF('計算'!$M340="","",'計算'!$BK340))</f>
        <v/>
      </c>
      <c r="AD344" s="53" t="n"/>
      <c r="AE344" s="48" t="n"/>
      <c r="AF344" s="54">
        <f>IF('計算'!$C340="","",'計算'!$C340)</f>
        <v/>
      </c>
      <c r="AG344" s="54">
        <f>IF('計算'!$C340="","",'計算'!$F340)</f>
        <v/>
      </c>
    </row>
    <row r="345" ht="18" customHeight="1">
      <c r="B345" s="42">
        <f>IF('計算'!$C341="","",'計算'!$B341)</f>
        <v/>
      </c>
      <c r="C345" s="43">
        <f>IF('計算'!$C341="","",'計算'!$D341)</f>
        <v/>
      </c>
      <c r="D345" s="44">
        <f>IF('計算'!$C341="","",'計算'!$O341)</f>
        <v/>
      </c>
      <c r="E345" s="45">
        <f>IF('計算'!$C341="","",'計算'!$L341)</f>
        <v/>
      </c>
      <c r="F345" s="46">
        <f>IF('計算'!$C341="","",'計算'!$CD341)</f>
        <v/>
      </c>
      <c r="G345" s="47">
        <f>IF('計算'!$C341="","",'計算'!$CA341)</f>
        <v/>
      </c>
      <c r="H345" s="43">
        <f>IF('計算'!$C341="","",'計算'!$CP341)</f>
        <v/>
      </c>
      <c r="I345" s="48" t="n"/>
      <c r="J345" s="49" t="n"/>
      <c r="K345" s="50">
        <f>IF('計算'!$C341="","",'計算'!$CR341)</f>
        <v/>
      </c>
      <c r="L345" s="51">
        <f>IF('計算'!$C341="","",'計算'!$CF341)</f>
        <v/>
      </c>
      <c r="M345" s="48" t="n"/>
      <c r="N345" s="49" t="n"/>
      <c r="O345" s="43">
        <f>IF('計算'!$C341="","",'計算'!$CQ341)</f>
        <v/>
      </c>
      <c r="P345" s="52">
        <f>IF('計算'!$C341="","",IF('計算'!$M341="","",'計算'!$AX341))</f>
        <v/>
      </c>
      <c r="Q345" s="52">
        <f>IF('計算'!$C341="","",IF('計算'!$M341="","",'計算'!$AY341))</f>
        <v/>
      </c>
      <c r="R345" s="52">
        <f>IF('計算'!$C341="","",IF('計算'!$M341="","",'計算'!$AZ341))</f>
        <v/>
      </c>
      <c r="S345" s="52">
        <f>IF('計算'!$C341="","",IF('計算'!$M341="","",'計算'!$BA341))</f>
        <v/>
      </c>
      <c r="T345" s="52">
        <f>IF('計算'!$C341="","",IF('計算'!$M341="","",'計算'!$BB341))</f>
        <v/>
      </c>
      <c r="U345" s="52">
        <f>IF('計算'!$C341="","",IF('計算'!$M341="","",'計算'!$BC341))</f>
        <v/>
      </c>
      <c r="V345" s="52">
        <f>IF('計算'!$C341="","",IF('計算'!$M341="","",'計算'!$BD341))</f>
        <v/>
      </c>
      <c r="W345" s="52">
        <f>IF('計算'!$C341="","",IF('計算'!$M341="","",'計算'!$BE341))</f>
        <v/>
      </c>
      <c r="X345" s="52">
        <f>IF('計算'!$C341="","",IF('計算'!$M341="","",'計算'!$BF341))</f>
        <v/>
      </c>
      <c r="Y345" s="52">
        <f>IF('計算'!$C341="","",IF('計算'!$M341="","",'計算'!$BG341))</f>
        <v/>
      </c>
      <c r="Z345" s="52">
        <f>IF('計算'!$C341="","",IF('計算'!$M341="","",'計算'!$BH341))</f>
        <v/>
      </c>
      <c r="AA345" s="52">
        <f>IF('計算'!$C341="","",IF('計算'!$M341="","",'計算'!$BI341))</f>
        <v/>
      </c>
      <c r="AB345" s="52">
        <f>IF('計算'!$C341="","",IF('計算'!$M341="","",'計算'!$BJ341))</f>
        <v/>
      </c>
      <c r="AC345" s="52">
        <f>IF('計算'!$C341="","",IF('計算'!$M341="","",'計算'!$BK341))</f>
        <v/>
      </c>
      <c r="AD345" s="53" t="n"/>
      <c r="AE345" s="48" t="n"/>
      <c r="AF345" s="54">
        <f>IF('計算'!$C341="","",'計算'!$C341)</f>
        <v/>
      </c>
      <c r="AG345" s="54">
        <f>IF('計算'!$C341="","",'計算'!$F341)</f>
        <v/>
      </c>
    </row>
    <row r="346" ht="18" customHeight="1">
      <c r="B346" s="42">
        <f>IF('計算'!$C342="","",'計算'!$B342)</f>
        <v/>
      </c>
      <c r="C346" s="43">
        <f>IF('計算'!$C342="","",'計算'!$D342)</f>
        <v/>
      </c>
      <c r="D346" s="44">
        <f>IF('計算'!$C342="","",'計算'!$O342)</f>
        <v/>
      </c>
      <c r="E346" s="45">
        <f>IF('計算'!$C342="","",'計算'!$L342)</f>
        <v/>
      </c>
      <c r="F346" s="46">
        <f>IF('計算'!$C342="","",'計算'!$CD342)</f>
        <v/>
      </c>
      <c r="G346" s="47">
        <f>IF('計算'!$C342="","",'計算'!$CA342)</f>
        <v/>
      </c>
      <c r="H346" s="43">
        <f>IF('計算'!$C342="","",'計算'!$CP342)</f>
        <v/>
      </c>
      <c r="I346" s="48" t="n"/>
      <c r="J346" s="49" t="n"/>
      <c r="K346" s="50">
        <f>IF('計算'!$C342="","",'計算'!$CR342)</f>
        <v/>
      </c>
      <c r="L346" s="51">
        <f>IF('計算'!$C342="","",'計算'!$CF342)</f>
        <v/>
      </c>
      <c r="M346" s="48" t="n"/>
      <c r="N346" s="49" t="n"/>
      <c r="O346" s="43">
        <f>IF('計算'!$C342="","",'計算'!$CQ342)</f>
        <v/>
      </c>
      <c r="P346" s="52">
        <f>IF('計算'!$C342="","",IF('計算'!$M342="","",'計算'!$AX342))</f>
        <v/>
      </c>
      <c r="Q346" s="52">
        <f>IF('計算'!$C342="","",IF('計算'!$M342="","",'計算'!$AY342))</f>
        <v/>
      </c>
      <c r="R346" s="52">
        <f>IF('計算'!$C342="","",IF('計算'!$M342="","",'計算'!$AZ342))</f>
        <v/>
      </c>
      <c r="S346" s="52">
        <f>IF('計算'!$C342="","",IF('計算'!$M342="","",'計算'!$BA342))</f>
        <v/>
      </c>
      <c r="T346" s="52">
        <f>IF('計算'!$C342="","",IF('計算'!$M342="","",'計算'!$BB342))</f>
        <v/>
      </c>
      <c r="U346" s="52">
        <f>IF('計算'!$C342="","",IF('計算'!$M342="","",'計算'!$BC342))</f>
        <v/>
      </c>
      <c r="V346" s="52">
        <f>IF('計算'!$C342="","",IF('計算'!$M342="","",'計算'!$BD342))</f>
        <v/>
      </c>
      <c r="W346" s="52">
        <f>IF('計算'!$C342="","",IF('計算'!$M342="","",'計算'!$BE342))</f>
        <v/>
      </c>
      <c r="X346" s="52">
        <f>IF('計算'!$C342="","",IF('計算'!$M342="","",'計算'!$BF342))</f>
        <v/>
      </c>
      <c r="Y346" s="52">
        <f>IF('計算'!$C342="","",IF('計算'!$M342="","",'計算'!$BG342))</f>
        <v/>
      </c>
      <c r="Z346" s="52">
        <f>IF('計算'!$C342="","",IF('計算'!$M342="","",'計算'!$BH342))</f>
        <v/>
      </c>
      <c r="AA346" s="52">
        <f>IF('計算'!$C342="","",IF('計算'!$M342="","",'計算'!$BI342))</f>
        <v/>
      </c>
      <c r="AB346" s="52">
        <f>IF('計算'!$C342="","",IF('計算'!$M342="","",'計算'!$BJ342))</f>
        <v/>
      </c>
      <c r="AC346" s="52">
        <f>IF('計算'!$C342="","",IF('計算'!$M342="","",'計算'!$BK342))</f>
        <v/>
      </c>
      <c r="AD346" s="53" t="n"/>
      <c r="AE346" s="48" t="n"/>
      <c r="AF346" s="54">
        <f>IF('計算'!$C342="","",'計算'!$C342)</f>
        <v/>
      </c>
      <c r="AG346" s="54">
        <f>IF('計算'!$C342="","",'計算'!$F342)</f>
        <v/>
      </c>
    </row>
    <row r="347" ht="18" customHeight="1">
      <c r="B347" s="42">
        <f>IF('計算'!$C343="","",'計算'!$B343)</f>
        <v/>
      </c>
      <c r="C347" s="43">
        <f>IF('計算'!$C343="","",'計算'!$D343)</f>
        <v/>
      </c>
      <c r="D347" s="44">
        <f>IF('計算'!$C343="","",'計算'!$O343)</f>
        <v/>
      </c>
      <c r="E347" s="45">
        <f>IF('計算'!$C343="","",'計算'!$L343)</f>
        <v/>
      </c>
      <c r="F347" s="46">
        <f>IF('計算'!$C343="","",'計算'!$CD343)</f>
        <v/>
      </c>
      <c r="G347" s="47">
        <f>IF('計算'!$C343="","",'計算'!$CA343)</f>
        <v/>
      </c>
      <c r="H347" s="43">
        <f>IF('計算'!$C343="","",'計算'!$CP343)</f>
        <v/>
      </c>
      <c r="I347" s="48" t="n"/>
      <c r="J347" s="49" t="n"/>
      <c r="K347" s="50">
        <f>IF('計算'!$C343="","",'計算'!$CR343)</f>
        <v/>
      </c>
      <c r="L347" s="51">
        <f>IF('計算'!$C343="","",'計算'!$CF343)</f>
        <v/>
      </c>
      <c r="M347" s="48" t="n"/>
      <c r="N347" s="49" t="n"/>
      <c r="O347" s="43">
        <f>IF('計算'!$C343="","",'計算'!$CQ343)</f>
        <v/>
      </c>
      <c r="P347" s="52">
        <f>IF('計算'!$C343="","",IF('計算'!$M343="","",'計算'!$AX343))</f>
        <v/>
      </c>
      <c r="Q347" s="52">
        <f>IF('計算'!$C343="","",IF('計算'!$M343="","",'計算'!$AY343))</f>
        <v/>
      </c>
      <c r="R347" s="52">
        <f>IF('計算'!$C343="","",IF('計算'!$M343="","",'計算'!$AZ343))</f>
        <v/>
      </c>
      <c r="S347" s="52">
        <f>IF('計算'!$C343="","",IF('計算'!$M343="","",'計算'!$BA343))</f>
        <v/>
      </c>
      <c r="T347" s="52">
        <f>IF('計算'!$C343="","",IF('計算'!$M343="","",'計算'!$BB343))</f>
        <v/>
      </c>
      <c r="U347" s="52">
        <f>IF('計算'!$C343="","",IF('計算'!$M343="","",'計算'!$BC343))</f>
        <v/>
      </c>
      <c r="V347" s="52">
        <f>IF('計算'!$C343="","",IF('計算'!$M343="","",'計算'!$BD343))</f>
        <v/>
      </c>
      <c r="W347" s="52">
        <f>IF('計算'!$C343="","",IF('計算'!$M343="","",'計算'!$BE343))</f>
        <v/>
      </c>
      <c r="X347" s="52">
        <f>IF('計算'!$C343="","",IF('計算'!$M343="","",'計算'!$BF343))</f>
        <v/>
      </c>
      <c r="Y347" s="52">
        <f>IF('計算'!$C343="","",IF('計算'!$M343="","",'計算'!$BG343))</f>
        <v/>
      </c>
      <c r="Z347" s="52">
        <f>IF('計算'!$C343="","",IF('計算'!$M343="","",'計算'!$BH343))</f>
        <v/>
      </c>
      <c r="AA347" s="52">
        <f>IF('計算'!$C343="","",IF('計算'!$M343="","",'計算'!$BI343))</f>
        <v/>
      </c>
      <c r="AB347" s="52">
        <f>IF('計算'!$C343="","",IF('計算'!$M343="","",'計算'!$BJ343))</f>
        <v/>
      </c>
      <c r="AC347" s="52">
        <f>IF('計算'!$C343="","",IF('計算'!$M343="","",'計算'!$BK343))</f>
        <v/>
      </c>
      <c r="AD347" s="53" t="n"/>
      <c r="AE347" s="48" t="n"/>
      <c r="AF347" s="54">
        <f>IF('計算'!$C343="","",'計算'!$C343)</f>
        <v/>
      </c>
      <c r="AG347" s="54">
        <f>IF('計算'!$C343="","",'計算'!$F343)</f>
        <v/>
      </c>
    </row>
    <row r="348" ht="18" customHeight="1">
      <c r="B348" s="42">
        <f>IF('計算'!$C344="","",'計算'!$B344)</f>
        <v/>
      </c>
      <c r="C348" s="43">
        <f>IF('計算'!$C344="","",'計算'!$D344)</f>
        <v/>
      </c>
      <c r="D348" s="44">
        <f>IF('計算'!$C344="","",'計算'!$O344)</f>
        <v/>
      </c>
      <c r="E348" s="45">
        <f>IF('計算'!$C344="","",'計算'!$L344)</f>
        <v/>
      </c>
      <c r="F348" s="46">
        <f>IF('計算'!$C344="","",'計算'!$CD344)</f>
        <v/>
      </c>
      <c r="G348" s="47">
        <f>IF('計算'!$C344="","",'計算'!$CA344)</f>
        <v/>
      </c>
      <c r="H348" s="43">
        <f>IF('計算'!$C344="","",'計算'!$CP344)</f>
        <v/>
      </c>
      <c r="I348" s="48" t="n"/>
      <c r="J348" s="49" t="n"/>
      <c r="K348" s="50">
        <f>IF('計算'!$C344="","",'計算'!$CR344)</f>
        <v/>
      </c>
      <c r="L348" s="51">
        <f>IF('計算'!$C344="","",'計算'!$CF344)</f>
        <v/>
      </c>
      <c r="M348" s="48" t="n"/>
      <c r="N348" s="49" t="n"/>
      <c r="O348" s="43">
        <f>IF('計算'!$C344="","",'計算'!$CQ344)</f>
        <v/>
      </c>
      <c r="P348" s="52">
        <f>IF('計算'!$C344="","",IF('計算'!$M344="","",'計算'!$AX344))</f>
        <v/>
      </c>
      <c r="Q348" s="52">
        <f>IF('計算'!$C344="","",IF('計算'!$M344="","",'計算'!$AY344))</f>
        <v/>
      </c>
      <c r="R348" s="52">
        <f>IF('計算'!$C344="","",IF('計算'!$M344="","",'計算'!$AZ344))</f>
        <v/>
      </c>
      <c r="S348" s="52">
        <f>IF('計算'!$C344="","",IF('計算'!$M344="","",'計算'!$BA344))</f>
        <v/>
      </c>
      <c r="T348" s="52">
        <f>IF('計算'!$C344="","",IF('計算'!$M344="","",'計算'!$BB344))</f>
        <v/>
      </c>
      <c r="U348" s="52">
        <f>IF('計算'!$C344="","",IF('計算'!$M344="","",'計算'!$BC344))</f>
        <v/>
      </c>
      <c r="V348" s="52">
        <f>IF('計算'!$C344="","",IF('計算'!$M344="","",'計算'!$BD344))</f>
        <v/>
      </c>
      <c r="W348" s="52">
        <f>IF('計算'!$C344="","",IF('計算'!$M344="","",'計算'!$BE344))</f>
        <v/>
      </c>
      <c r="X348" s="52">
        <f>IF('計算'!$C344="","",IF('計算'!$M344="","",'計算'!$BF344))</f>
        <v/>
      </c>
      <c r="Y348" s="52">
        <f>IF('計算'!$C344="","",IF('計算'!$M344="","",'計算'!$BG344))</f>
        <v/>
      </c>
      <c r="Z348" s="52">
        <f>IF('計算'!$C344="","",IF('計算'!$M344="","",'計算'!$BH344))</f>
        <v/>
      </c>
      <c r="AA348" s="52">
        <f>IF('計算'!$C344="","",IF('計算'!$M344="","",'計算'!$BI344))</f>
        <v/>
      </c>
      <c r="AB348" s="52">
        <f>IF('計算'!$C344="","",IF('計算'!$M344="","",'計算'!$BJ344))</f>
        <v/>
      </c>
      <c r="AC348" s="52">
        <f>IF('計算'!$C344="","",IF('計算'!$M344="","",'計算'!$BK344))</f>
        <v/>
      </c>
      <c r="AD348" s="53" t="n"/>
      <c r="AE348" s="48" t="n"/>
      <c r="AF348" s="54">
        <f>IF('計算'!$C344="","",'計算'!$C344)</f>
        <v/>
      </c>
      <c r="AG348" s="54">
        <f>IF('計算'!$C344="","",'計算'!$F344)</f>
        <v/>
      </c>
    </row>
    <row r="349" ht="18" customHeight="1">
      <c r="B349" s="42">
        <f>IF('計算'!$C345="","",'計算'!$B345)</f>
        <v/>
      </c>
      <c r="C349" s="43">
        <f>IF('計算'!$C345="","",'計算'!$D345)</f>
        <v/>
      </c>
      <c r="D349" s="44">
        <f>IF('計算'!$C345="","",'計算'!$O345)</f>
        <v/>
      </c>
      <c r="E349" s="45">
        <f>IF('計算'!$C345="","",'計算'!$L345)</f>
        <v/>
      </c>
      <c r="F349" s="46">
        <f>IF('計算'!$C345="","",'計算'!$CD345)</f>
        <v/>
      </c>
      <c r="G349" s="47">
        <f>IF('計算'!$C345="","",'計算'!$CA345)</f>
        <v/>
      </c>
      <c r="H349" s="43">
        <f>IF('計算'!$C345="","",'計算'!$CP345)</f>
        <v/>
      </c>
      <c r="I349" s="48" t="n"/>
      <c r="J349" s="49" t="n"/>
      <c r="K349" s="50">
        <f>IF('計算'!$C345="","",'計算'!$CR345)</f>
        <v/>
      </c>
      <c r="L349" s="51">
        <f>IF('計算'!$C345="","",'計算'!$CF345)</f>
        <v/>
      </c>
      <c r="M349" s="48" t="n"/>
      <c r="N349" s="49" t="n"/>
      <c r="O349" s="43">
        <f>IF('計算'!$C345="","",'計算'!$CQ345)</f>
        <v/>
      </c>
      <c r="P349" s="52">
        <f>IF('計算'!$C345="","",IF('計算'!$M345="","",'計算'!$AX345))</f>
        <v/>
      </c>
      <c r="Q349" s="52">
        <f>IF('計算'!$C345="","",IF('計算'!$M345="","",'計算'!$AY345))</f>
        <v/>
      </c>
      <c r="R349" s="52">
        <f>IF('計算'!$C345="","",IF('計算'!$M345="","",'計算'!$AZ345))</f>
        <v/>
      </c>
      <c r="S349" s="52">
        <f>IF('計算'!$C345="","",IF('計算'!$M345="","",'計算'!$BA345))</f>
        <v/>
      </c>
      <c r="T349" s="52">
        <f>IF('計算'!$C345="","",IF('計算'!$M345="","",'計算'!$BB345))</f>
        <v/>
      </c>
      <c r="U349" s="52">
        <f>IF('計算'!$C345="","",IF('計算'!$M345="","",'計算'!$BC345))</f>
        <v/>
      </c>
      <c r="V349" s="52">
        <f>IF('計算'!$C345="","",IF('計算'!$M345="","",'計算'!$BD345))</f>
        <v/>
      </c>
      <c r="W349" s="52">
        <f>IF('計算'!$C345="","",IF('計算'!$M345="","",'計算'!$BE345))</f>
        <v/>
      </c>
      <c r="X349" s="52">
        <f>IF('計算'!$C345="","",IF('計算'!$M345="","",'計算'!$BF345))</f>
        <v/>
      </c>
      <c r="Y349" s="52">
        <f>IF('計算'!$C345="","",IF('計算'!$M345="","",'計算'!$BG345))</f>
        <v/>
      </c>
      <c r="Z349" s="52">
        <f>IF('計算'!$C345="","",IF('計算'!$M345="","",'計算'!$BH345))</f>
        <v/>
      </c>
      <c r="AA349" s="52">
        <f>IF('計算'!$C345="","",IF('計算'!$M345="","",'計算'!$BI345))</f>
        <v/>
      </c>
      <c r="AB349" s="52">
        <f>IF('計算'!$C345="","",IF('計算'!$M345="","",'計算'!$BJ345))</f>
        <v/>
      </c>
      <c r="AC349" s="52">
        <f>IF('計算'!$C345="","",IF('計算'!$M345="","",'計算'!$BK345))</f>
        <v/>
      </c>
      <c r="AD349" s="53" t="n"/>
      <c r="AE349" s="48" t="n"/>
      <c r="AF349" s="54">
        <f>IF('計算'!$C345="","",'計算'!$C345)</f>
        <v/>
      </c>
      <c r="AG349" s="54">
        <f>IF('計算'!$C345="","",'計算'!$F345)</f>
        <v/>
      </c>
    </row>
    <row r="350" ht="18" customHeight="1">
      <c r="B350" s="42">
        <f>IF('計算'!$C346="","",'計算'!$B346)</f>
        <v/>
      </c>
      <c r="C350" s="43">
        <f>IF('計算'!$C346="","",'計算'!$D346)</f>
        <v/>
      </c>
      <c r="D350" s="44">
        <f>IF('計算'!$C346="","",'計算'!$O346)</f>
        <v/>
      </c>
      <c r="E350" s="45">
        <f>IF('計算'!$C346="","",'計算'!$L346)</f>
        <v/>
      </c>
      <c r="F350" s="46">
        <f>IF('計算'!$C346="","",'計算'!$CD346)</f>
        <v/>
      </c>
      <c r="G350" s="47">
        <f>IF('計算'!$C346="","",'計算'!$CA346)</f>
        <v/>
      </c>
      <c r="H350" s="43">
        <f>IF('計算'!$C346="","",'計算'!$CP346)</f>
        <v/>
      </c>
      <c r="I350" s="48" t="n"/>
      <c r="J350" s="49" t="n"/>
      <c r="K350" s="50">
        <f>IF('計算'!$C346="","",'計算'!$CR346)</f>
        <v/>
      </c>
      <c r="L350" s="51">
        <f>IF('計算'!$C346="","",'計算'!$CF346)</f>
        <v/>
      </c>
      <c r="M350" s="48" t="n"/>
      <c r="N350" s="49" t="n"/>
      <c r="O350" s="43">
        <f>IF('計算'!$C346="","",'計算'!$CQ346)</f>
        <v/>
      </c>
      <c r="P350" s="52">
        <f>IF('計算'!$C346="","",IF('計算'!$M346="","",'計算'!$AX346))</f>
        <v/>
      </c>
      <c r="Q350" s="52">
        <f>IF('計算'!$C346="","",IF('計算'!$M346="","",'計算'!$AY346))</f>
        <v/>
      </c>
      <c r="R350" s="52">
        <f>IF('計算'!$C346="","",IF('計算'!$M346="","",'計算'!$AZ346))</f>
        <v/>
      </c>
      <c r="S350" s="52">
        <f>IF('計算'!$C346="","",IF('計算'!$M346="","",'計算'!$BA346))</f>
        <v/>
      </c>
      <c r="T350" s="52">
        <f>IF('計算'!$C346="","",IF('計算'!$M346="","",'計算'!$BB346))</f>
        <v/>
      </c>
      <c r="U350" s="52">
        <f>IF('計算'!$C346="","",IF('計算'!$M346="","",'計算'!$BC346))</f>
        <v/>
      </c>
      <c r="V350" s="52">
        <f>IF('計算'!$C346="","",IF('計算'!$M346="","",'計算'!$BD346))</f>
        <v/>
      </c>
      <c r="W350" s="52">
        <f>IF('計算'!$C346="","",IF('計算'!$M346="","",'計算'!$BE346))</f>
        <v/>
      </c>
      <c r="X350" s="52">
        <f>IF('計算'!$C346="","",IF('計算'!$M346="","",'計算'!$BF346))</f>
        <v/>
      </c>
      <c r="Y350" s="52">
        <f>IF('計算'!$C346="","",IF('計算'!$M346="","",'計算'!$BG346))</f>
        <v/>
      </c>
      <c r="Z350" s="52">
        <f>IF('計算'!$C346="","",IF('計算'!$M346="","",'計算'!$BH346))</f>
        <v/>
      </c>
      <c r="AA350" s="52">
        <f>IF('計算'!$C346="","",IF('計算'!$M346="","",'計算'!$BI346))</f>
        <v/>
      </c>
      <c r="AB350" s="52">
        <f>IF('計算'!$C346="","",IF('計算'!$M346="","",'計算'!$BJ346))</f>
        <v/>
      </c>
      <c r="AC350" s="52">
        <f>IF('計算'!$C346="","",IF('計算'!$M346="","",'計算'!$BK346))</f>
        <v/>
      </c>
      <c r="AD350" s="53" t="n"/>
      <c r="AE350" s="48" t="n"/>
      <c r="AF350" s="54">
        <f>IF('計算'!$C346="","",'計算'!$C346)</f>
        <v/>
      </c>
      <c r="AG350" s="54">
        <f>IF('計算'!$C346="","",'計算'!$F346)</f>
        <v/>
      </c>
    </row>
    <row r="351" ht="18" customHeight="1">
      <c r="B351" s="42">
        <f>IF('計算'!$C347="","",'計算'!$B347)</f>
        <v/>
      </c>
      <c r="C351" s="43">
        <f>IF('計算'!$C347="","",'計算'!$D347)</f>
        <v/>
      </c>
      <c r="D351" s="44">
        <f>IF('計算'!$C347="","",'計算'!$O347)</f>
        <v/>
      </c>
      <c r="E351" s="45">
        <f>IF('計算'!$C347="","",'計算'!$L347)</f>
        <v/>
      </c>
      <c r="F351" s="46">
        <f>IF('計算'!$C347="","",'計算'!$CD347)</f>
        <v/>
      </c>
      <c r="G351" s="47">
        <f>IF('計算'!$C347="","",'計算'!$CA347)</f>
        <v/>
      </c>
      <c r="H351" s="43">
        <f>IF('計算'!$C347="","",'計算'!$CP347)</f>
        <v/>
      </c>
      <c r="I351" s="48" t="n"/>
      <c r="J351" s="49" t="n"/>
      <c r="K351" s="50">
        <f>IF('計算'!$C347="","",'計算'!$CR347)</f>
        <v/>
      </c>
      <c r="L351" s="51">
        <f>IF('計算'!$C347="","",'計算'!$CF347)</f>
        <v/>
      </c>
      <c r="M351" s="48" t="n"/>
      <c r="N351" s="49" t="n"/>
      <c r="O351" s="43">
        <f>IF('計算'!$C347="","",'計算'!$CQ347)</f>
        <v/>
      </c>
      <c r="P351" s="52">
        <f>IF('計算'!$C347="","",IF('計算'!$M347="","",'計算'!$AX347))</f>
        <v/>
      </c>
      <c r="Q351" s="52">
        <f>IF('計算'!$C347="","",IF('計算'!$M347="","",'計算'!$AY347))</f>
        <v/>
      </c>
      <c r="R351" s="52">
        <f>IF('計算'!$C347="","",IF('計算'!$M347="","",'計算'!$AZ347))</f>
        <v/>
      </c>
      <c r="S351" s="52">
        <f>IF('計算'!$C347="","",IF('計算'!$M347="","",'計算'!$BA347))</f>
        <v/>
      </c>
      <c r="T351" s="52">
        <f>IF('計算'!$C347="","",IF('計算'!$M347="","",'計算'!$BB347))</f>
        <v/>
      </c>
      <c r="U351" s="52">
        <f>IF('計算'!$C347="","",IF('計算'!$M347="","",'計算'!$BC347))</f>
        <v/>
      </c>
      <c r="V351" s="52">
        <f>IF('計算'!$C347="","",IF('計算'!$M347="","",'計算'!$BD347))</f>
        <v/>
      </c>
      <c r="W351" s="52">
        <f>IF('計算'!$C347="","",IF('計算'!$M347="","",'計算'!$BE347))</f>
        <v/>
      </c>
      <c r="X351" s="52">
        <f>IF('計算'!$C347="","",IF('計算'!$M347="","",'計算'!$BF347))</f>
        <v/>
      </c>
      <c r="Y351" s="52">
        <f>IF('計算'!$C347="","",IF('計算'!$M347="","",'計算'!$BG347))</f>
        <v/>
      </c>
      <c r="Z351" s="52">
        <f>IF('計算'!$C347="","",IF('計算'!$M347="","",'計算'!$BH347))</f>
        <v/>
      </c>
      <c r="AA351" s="52">
        <f>IF('計算'!$C347="","",IF('計算'!$M347="","",'計算'!$BI347))</f>
        <v/>
      </c>
      <c r="AB351" s="52">
        <f>IF('計算'!$C347="","",IF('計算'!$M347="","",'計算'!$BJ347))</f>
        <v/>
      </c>
      <c r="AC351" s="52">
        <f>IF('計算'!$C347="","",IF('計算'!$M347="","",'計算'!$BK347))</f>
        <v/>
      </c>
      <c r="AD351" s="53" t="n"/>
      <c r="AE351" s="48" t="n"/>
      <c r="AF351" s="54">
        <f>IF('計算'!$C347="","",'計算'!$C347)</f>
        <v/>
      </c>
      <c r="AG351" s="54">
        <f>IF('計算'!$C347="","",'計算'!$F347)</f>
        <v/>
      </c>
    </row>
    <row r="352" ht="18" customHeight="1">
      <c r="B352" s="42">
        <f>IF('計算'!$C348="","",'計算'!$B348)</f>
        <v/>
      </c>
      <c r="C352" s="43">
        <f>IF('計算'!$C348="","",'計算'!$D348)</f>
        <v/>
      </c>
      <c r="D352" s="44">
        <f>IF('計算'!$C348="","",'計算'!$O348)</f>
        <v/>
      </c>
      <c r="E352" s="45">
        <f>IF('計算'!$C348="","",'計算'!$L348)</f>
        <v/>
      </c>
      <c r="F352" s="46">
        <f>IF('計算'!$C348="","",'計算'!$CD348)</f>
        <v/>
      </c>
      <c r="G352" s="47">
        <f>IF('計算'!$C348="","",'計算'!$CA348)</f>
        <v/>
      </c>
      <c r="H352" s="43">
        <f>IF('計算'!$C348="","",'計算'!$CP348)</f>
        <v/>
      </c>
      <c r="I352" s="48" t="n"/>
      <c r="J352" s="49" t="n"/>
      <c r="K352" s="50">
        <f>IF('計算'!$C348="","",'計算'!$CR348)</f>
        <v/>
      </c>
      <c r="L352" s="51">
        <f>IF('計算'!$C348="","",'計算'!$CF348)</f>
        <v/>
      </c>
      <c r="M352" s="48" t="n"/>
      <c r="N352" s="49" t="n"/>
      <c r="O352" s="43">
        <f>IF('計算'!$C348="","",'計算'!$CQ348)</f>
        <v/>
      </c>
      <c r="P352" s="52">
        <f>IF('計算'!$C348="","",IF('計算'!$M348="","",'計算'!$AX348))</f>
        <v/>
      </c>
      <c r="Q352" s="52">
        <f>IF('計算'!$C348="","",IF('計算'!$M348="","",'計算'!$AY348))</f>
        <v/>
      </c>
      <c r="R352" s="52">
        <f>IF('計算'!$C348="","",IF('計算'!$M348="","",'計算'!$AZ348))</f>
        <v/>
      </c>
      <c r="S352" s="52">
        <f>IF('計算'!$C348="","",IF('計算'!$M348="","",'計算'!$BA348))</f>
        <v/>
      </c>
      <c r="T352" s="52">
        <f>IF('計算'!$C348="","",IF('計算'!$M348="","",'計算'!$BB348))</f>
        <v/>
      </c>
      <c r="U352" s="52">
        <f>IF('計算'!$C348="","",IF('計算'!$M348="","",'計算'!$BC348))</f>
        <v/>
      </c>
      <c r="V352" s="52">
        <f>IF('計算'!$C348="","",IF('計算'!$M348="","",'計算'!$BD348))</f>
        <v/>
      </c>
      <c r="W352" s="52">
        <f>IF('計算'!$C348="","",IF('計算'!$M348="","",'計算'!$BE348))</f>
        <v/>
      </c>
      <c r="X352" s="52">
        <f>IF('計算'!$C348="","",IF('計算'!$M348="","",'計算'!$BF348))</f>
        <v/>
      </c>
      <c r="Y352" s="52">
        <f>IF('計算'!$C348="","",IF('計算'!$M348="","",'計算'!$BG348))</f>
        <v/>
      </c>
      <c r="Z352" s="52">
        <f>IF('計算'!$C348="","",IF('計算'!$M348="","",'計算'!$BH348))</f>
        <v/>
      </c>
      <c r="AA352" s="52">
        <f>IF('計算'!$C348="","",IF('計算'!$M348="","",'計算'!$BI348))</f>
        <v/>
      </c>
      <c r="AB352" s="52">
        <f>IF('計算'!$C348="","",IF('計算'!$M348="","",'計算'!$BJ348))</f>
        <v/>
      </c>
      <c r="AC352" s="52">
        <f>IF('計算'!$C348="","",IF('計算'!$M348="","",'計算'!$BK348))</f>
        <v/>
      </c>
      <c r="AD352" s="53" t="n"/>
      <c r="AE352" s="48" t="n"/>
      <c r="AF352" s="54">
        <f>IF('計算'!$C348="","",'計算'!$C348)</f>
        <v/>
      </c>
      <c r="AG352" s="54">
        <f>IF('計算'!$C348="","",'計算'!$F348)</f>
        <v/>
      </c>
    </row>
    <row r="353" ht="18" customHeight="1">
      <c r="B353" s="42">
        <f>IF('計算'!$C349="","",'計算'!$B349)</f>
        <v/>
      </c>
      <c r="C353" s="43">
        <f>IF('計算'!$C349="","",'計算'!$D349)</f>
        <v/>
      </c>
      <c r="D353" s="44">
        <f>IF('計算'!$C349="","",'計算'!$O349)</f>
        <v/>
      </c>
      <c r="E353" s="45">
        <f>IF('計算'!$C349="","",'計算'!$L349)</f>
        <v/>
      </c>
      <c r="F353" s="46">
        <f>IF('計算'!$C349="","",'計算'!$CD349)</f>
        <v/>
      </c>
      <c r="G353" s="47">
        <f>IF('計算'!$C349="","",'計算'!$CA349)</f>
        <v/>
      </c>
      <c r="H353" s="43">
        <f>IF('計算'!$C349="","",'計算'!$CP349)</f>
        <v/>
      </c>
      <c r="I353" s="48" t="n"/>
      <c r="J353" s="49" t="n"/>
      <c r="K353" s="50">
        <f>IF('計算'!$C349="","",'計算'!$CR349)</f>
        <v/>
      </c>
      <c r="L353" s="51">
        <f>IF('計算'!$C349="","",'計算'!$CF349)</f>
        <v/>
      </c>
      <c r="M353" s="48" t="n"/>
      <c r="N353" s="49" t="n"/>
      <c r="O353" s="43">
        <f>IF('計算'!$C349="","",'計算'!$CQ349)</f>
        <v/>
      </c>
      <c r="P353" s="52">
        <f>IF('計算'!$C349="","",IF('計算'!$M349="","",'計算'!$AX349))</f>
        <v/>
      </c>
      <c r="Q353" s="52">
        <f>IF('計算'!$C349="","",IF('計算'!$M349="","",'計算'!$AY349))</f>
        <v/>
      </c>
      <c r="R353" s="52">
        <f>IF('計算'!$C349="","",IF('計算'!$M349="","",'計算'!$AZ349))</f>
        <v/>
      </c>
      <c r="S353" s="52">
        <f>IF('計算'!$C349="","",IF('計算'!$M349="","",'計算'!$BA349))</f>
        <v/>
      </c>
      <c r="T353" s="52">
        <f>IF('計算'!$C349="","",IF('計算'!$M349="","",'計算'!$BB349))</f>
        <v/>
      </c>
      <c r="U353" s="52">
        <f>IF('計算'!$C349="","",IF('計算'!$M349="","",'計算'!$BC349))</f>
        <v/>
      </c>
      <c r="V353" s="52">
        <f>IF('計算'!$C349="","",IF('計算'!$M349="","",'計算'!$BD349))</f>
        <v/>
      </c>
      <c r="W353" s="52">
        <f>IF('計算'!$C349="","",IF('計算'!$M349="","",'計算'!$BE349))</f>
        <v/>
      </c>
      <c r="X353" s="52">
        <f>IF('計算'!$C349="","",IF('計算'!$M349="","",'計算'!$BF349))</f>
        <v/>
      </c>
      <c r="Y353" s="52">
        <f>IF('計算'!$C349="","",IF('計算'!$M349="","",'計算'!$BG349))</f>
        <v/>
      </c>
      <c r="Z353" s="52">
        <f>IF('計算'!$C349="","",IF('計算'!$M349="","",'計算'!$BH349))</f>
        <v/>
      </c>
      <c r="AA353" s="52">
        <f>IF('計算'!$C349="","",IF('計算'!$M349="","",'計算'!$BI349))</f>
        <v/>
      </c>
      <c r="AB353" s="52">
        <f>IF('計算'!$C349="","",IF('計算'!$M349="","",'計算'!$BJ349))</f>
        <v/>
      </c>
      <c r="AC353" s="52">
        <f>IF('計算'!$C349="","",IF('計算'!$M349="","",'計算'!$BK349))</f>
        <v/>
      </c>
      <c r="AD353" s="53" t="n"/>
      <c r="AE353" s="48" t="n"/>
      <c r="AF353" s="54">
        <f>IF('計算'!$C349="","",'計算'!$C349)</f>
        <v/>
      </c>
      <c r="AG353" s="54">
        <f>IF('計算'!$C349="","",'計算'!$F349)</f>
        <v/>
      </c>
    </row>
    <row r="354" ht="18" customHeight="1">
      <c r="B354" s="42">
        <f>IF('計算'!$C350="","",'計算'!$B350)</f>
        <v/>
      </c>
      <c r="C354" s="43">
        <f>IF('計算'!$C350="","",'計算'!$D350)</f>
        <v/>
      </c>
      <c r="D354" s="44">
        <f>IF('計算'!$C350="","",'計算'!$O350)</f>
        <v/>
      </c>
      <c r="E354" s="45">
        <f>IF('計算'!$C350="","",'計算'!$L350)</f>
        <v/>
      </c>
      <c r="F354" s="46">
        <f>IF('計算'!$C350="","",'計算'!$CD350)</f>
        <v/>
      </c>
      <c r="G354" s="47">
        <f>IF('計算'!$C350="","",'計算'!$CA350)</f>
        <v/>
      </c>
      <c r="H354" s="43">
        <f>IF('計算'!$C350="","",'計算'!$CP350)</f>
        <v/>
      </c>
      <c r="I354" s="48" t="n"/>
      <c r="J354" s="49" t="n"/>
      <c r="K354" s="50">
        <f>IF('計算'!$C350="","",'計算'!$CR350)</f>
        <v/>
      </c>
      <c r="L354" s="51">
        <f>IF('計算'!$C350="","",'計算'!$CF350)</f>
        <v/>
      </c>
      <c r="M354" s="48" t="n"/>
      <c r="N354" s="49" t="n"/>
      <c r="O354" s="43">
        <f>IF('計算'!$C350="","",'計算'!$CQ350)</f>
        <v/>
      </c>
      <c r="P354" s="52">
        <f>IF('計算'!$C350="","",IF('計算'!$M350="","",'計算'!$AX350))</f>
        <v/>
      </c>
      <c r="Q354" s="52">
        <f>IF('計算'!$C350="","",IF('計算'!$M350="","",'計算'!$AY350))</f>
        <v/>
      </c>
      <c r="R354" s="52">
        <f>IF('計算'!$C350="","",IF('計算'!$M350="","",'計算'!$AZ350))</f>
        <v/>
      </c>
      <c r="S354" s="52">
        <f>IF('計算'!$C350="","",IF('計算'!$M350="","",'計算'!$BA350))</f>
        <v/>
      </c>
      <c r="T354" s="52">
        <f>IF('計算'!$C350="","",IF('計算'!$M350="","",'計算'!$BB350))</f>
        <v/>
      </c>
      <c r="U354" s="52">
        <f>IF('計算'!$C350="","",IF('計算'!$M350="","",'計算'!$BC350))</f>
        <v/>
      </c>
      <c r="V354" s="52">
        <f>IF('計算'!$C350="","",IF('計算'!$M350="","",'計算'!$BD350))</f>
        <v/>
      </c>
      <c r="W354" s="52">
        <f>IF('計算'!$C350="","",IF('計算'!$M350="","",'計算'!$BE350))</f>
        <v/>
      </c>
      <c r="X354" s="52">
        <f>IF('計算'!$C350="","",IF('計算'!$M350="","",'計算'!$BF350))</f>
        <v/>
      </c>
      <c r="Y354" s="52">
        <f>IF('計算'!$C350="","",IF('計算'!$M350="","",'計算'!$BG350))</f>
        <v/>
      </c>
      <c r="Z354" s="52">
        <f>IF('計算'!$C350="","",IF('計算'!$M350="","",'計算'!$BH350))</f>
        <v/>
      </c>
      <c r="AA354" s="52">
        <f>IF('計算'!$C350="","",IF('計算'!$M350="","",'計算'!$BI350))</f>
        <v/>
      </c>
      <c r="AB354" s="52">
        <f>IF('計算'!$C350="","",IF('計算'!$M350="","",'計算'!$BJ350))</f>
        <v/>
      </c>
      <c r="AC354" s="52">
        <f>IF('計算'!$C350="","",IF('計算'!$M350="","",'計算'!$BK350))</f>
        <v/>
      </c>
      <c r="AD354" s="53" t="n"/>
      <c r="AE354" s="48" t="n"/>
      <c r="AF354" s="54">
        <f>IF('計算'!$C350="","",'計算'!$C350)</f>
        <v/>
      </c>
      <c r="AG354" s="54">
        <f>IF('計算'!$C350="","",'計算'!$F350)</f>
        <v/>
      </c>
    </row>
    <row r="355" ht="18" customHeight="1">
      <c r="B355" s="42">
        <f>IF('計算'!$C351="","",'計算'!$B351)</f>
        <v/>
      </c>
      <c r="C355" s="43">
        <f>IF('計算'!$C351="","",'計算'!$D351)</f>
        <v/>
      </c>
      <c r="D355" s="44">
        <f>IF('計算'!$C351="","",'計算'!$O351)</f>
        <v/>
      </c>
      <c r="E355" s="45">
        <f>IF('計算'!$C351="","",'計算'!$L351)</f>
        <v/>
      </c>
      <c r="F355" s="46">
        <f>IF('計算'!$C351="","",'計算'!$CD351)</f>
        <v/>
      </c>
      <c r="G355" s="47">
        <f>IF('計算'!$C351="","",'計算'!$CA351)</f>
        <v/>
      </c>
      <c r="H355" s="43">
        <f>IF('計算'!$C351="","",'計算'!$CP351)</f>
        <v/>
      </c>
      <c r="I355" s="48" t="n"/>
      <c r="J355" s="49" t="n"/>
      <c r="K355" s="50">
        <f>IF('計算'!$C351="","",'計算'!$CR351)</f>
        <v/>
      </c>
      <c r="L355" s="51">
        <f>IF('計算'!$C351="","",'計算'!$CF351)</f>
        <v/>
      </c>
      <c r="M355" s="48" t="n"/>
      <c r="N355" s="49" t="n"/>
      <c r="O355" s="43">
        <f>IF('計算'!$C351="","",'計算'!$CQ351)</f>
        <v/>
      </c>
      <c r="P355" s="52">
        <f>IF('計算'!$C351="","",IF('計算'!$M351="","",'計算'!$AX351))</f>
        <v/>
      </c>
      <c r="Q355" s="52">
        <f>IF('計算'!$C351="","",IF('計算'!$M351="","",'計算'!$AY351))</f>
        <v/>
      </c>
      <c r="R355" s="52">
        <f>IF('計算'!$C351="","",IF('計算'!$M351="","",'計算'!$AZ351))</f>
        <v/>
      </c>
      <c r="S355" s="52">
        <f>IF('計算'!$C351="","",IF('計算'!$M351="","",'計算'!$BA351))</f>
        <v/>
      </c>
      <c r="T355" s="52">
        <f>IF('計算'!$C351="","",IF('計算'!$M351="","",'計算'!$BB351))</f>
        <v/>
      </c>
      <c r="U355" s="52">
        <f>IF('計算'!$C351="","",IF('計算'!$M351="","",'計算'!$BC351))</f>
        <v/>
      </c>
      <c r="V355" s="52">
        <f>IF('計算'!$C351="","",IF('計算'!$M351="","",'計算'!$BD351))</f>
        <v/>
      </c>
      <c r="W355" s="52">
        <f>IF('計算'!$C351="","",IF('計算'!$M351="","",'計算'!$BE351))</f>
        <v/>
      </c>
      <c r="X355" s="52">
        <f>IF('計算'!$C351="","",IF('計算'!$M351="","",'計算'!$BF351))</f>
        <v/>
      </c>
      <c r="Y355" s="52">
        <f>IF('計算'!$C351="","",IF('計算'!$M351="","",'計算'!$BG351))</f>
        <v/>
      </c>
      <c r="Z355" s="52">
        <f>IF('計算'!$C351="","",IF('計算'!$M351="","",'計算'!$BH351))</f>
        <v/>
      </c>
      <c r="AA355" s="52">
        <f>IF('計算'!$C351="","",IF('計算'!$M351="","",'計算'!$BI351))</f>
        <v/>
      </c>
      <c r="AB355" s="52">
        <f>IF('計算'!$C351="","",IF('計算'!$M351="","",'計算'!$BJ351))</f>
        <v/>
      </c>
      <c r="AC355" s="52">
        <f>IF('計算'!$C351="","",IF('計算'!$M351="","",'計算'!$BK351))</f>
        <v/>
      </c>
      <c r="AD355" s="53" t="n"/>
      <c r="AE355" s="48" t="n"/>
      <c r="AF355" s="54">
        <f>IF('計算'!$C351="","",'計算'!$C351)</f>
        <v/>
      </c>
      <c r="AG355" s="54">
        <f>IF('計算'!$C351="","",'計算'!$F351)</f>
        <v/>
      </c>
    </row>
    <row r="356" ht="18" customHeight="1">
      <c r="B356" s="42">
        <f>IF('計算'!$C352="","",'計算'!$B352)</f>
        <v/>
      </c>
      <c r="C356" s="43">
        <f>IF('計算'!$C352="","",'計算'!$D352)</f>
        <v/>
      </c>
      <c r="D356" s="44">
        <f>IF('計算'!$C352="","",'計算'!$O352)</f>
        <v/>
      </c>
      <c r="E356" s="45">
        <f>IF('計算'!$C352="","",'計算'!$L352)</f>
        <v/>
      </c>
      <c r="F356" s="46">
        <f>IF('計算'!$C352="","",'計算'!$CD352)</f>
        <v/>
      </c>
      <c r="G356" s="47">
        <f>IF('計算'!$C352="","",'計算'!$CA352)</f>
        <v/>
      </c>
      <c r="H356" s="43">
        <f>IF('計算'!$C352="","",'計算'!$CP352)</f>
        <v/>
      </c>
      <c r="I356" s="48" t="n"/>
      <c r="J356" s="49" t="n"/>
      <c r="K356" s="50">
        <f>IF('計算'!$C352="","",'計算'!$CR352)</f>
        <v/>
      </c>
      <c r="L356" s="51">
        <f>IF('計算'!$C352="","",'計算'!$CF352)</f>
        <v/>
      </c>
      <c r="M356" s="48" t="n"/>
      <c r="N356" s="49" t="n"/>
      <c r="O356" s="43">
        <f>IF('計算'!$C352="","",'計算'!$CQ352)</f>
        <v/>
      </c>
      <c r="P356" s="52">
        <f>IF('計算'!$C352="","",IF('計算'!$M352="","",'計算'!$AX352))</f>
        <v/>
      </c>
      <c r="Q356" s="52">
        <f>IF('計算'!$C352="","",IF('計算'!$M352="","",'計算'!$AY352))</f>
        <v/>
      </c>
      <c r="R356" s="52">
        <f>IF('計算'!$C352="","",IF('計算'!$M352="","",'計算'!$AZ352))</f>
        <v/>
      </c>
      <c r="S356" s="52">
        <f>IF('計算'!$C352="","",IF('計算'!$M352="","",'計算'!$BA352))</f>
        <v/>
      </c>
      <c r="T356" s="52">
        <f>IF('計算'!$C352="","",IF('計算'!$M352="","",'計算'!$BB352))</f>
        <v/>
      </c>
      <c r="U356" s="52">
        <f>IF('計算'!$C352="","",IF('計算'!$M352="","",'計算'!$BC352))</f>
        <v/>
      </c>
      <c r="V356" s="52">
        <f>IF('計算'!$C352="","",IF('計算'!$M352="","",'計算'!$BD352))</f>
        <v/>
      </c>
      <c r="W356" s="52">
        <f>IF('計算'!$C352="","",IF('計算'!$M352="","",'計算'!$BE352))</f>
        <v/>
      </c>
      <c r="X356" s="52">
        <f>IF('計算'!$C352="","",IF('計算'!$M352="","",'計算'!$BF352))</f>
        <v/>
      </c>
      <c r="Y356" s="52">
        <f>IF('計算'!$C352="","",IF('計算'!$M352="","",'計算'!$BG352))</f>
        <v/>
      </c>
      <c r="Z356" s="52">
        <f>IF('計算'!$C352="","",IF('計算'!$M352="","",'計算'!$BH352))</f>
        <v/>
      </c>
      <c r="AA356" s="52">
        <f>IF('計算'!$C352="","",IF('計算'!$M352="","",'計算'!$BI352))</f>
        <v/>
      </c>
      <c r="AB356" s="52">
        <f>IF('計算'!$C352="","",IF('計算'!$M352="","",'計算'!$BJ352))</f>
        <v/>
      </c>
      <c r="AC356" s="52">
        <f>IF('計算'!$C352="","",IF('計算'!$M352="","",'計算'!$BK352))</f>
        <v/>
      </c>
      <c r="AD356" s="53" t="n"/>
      <c r="AE356" s="48" t="n"/>
      <c r="AF356" s="54">
        <f>IF('計算'!$C352="","",'計算'!$C352)</f>
        <v/>
      </c>
      <c r="AG356" s="54">
        <f>IF('計算'!$C352="","",'計算'!$F352)</f>
        <v/>
      </c>
    </row>
    <row r="357" ht="18" customHeight="1">
      <c r="B357" s="42">
        <f>IF('計算'!$C353="","",'計算'!$B353)</f>
        <v/>
      </c>
      <c r="C357" s="43">
        <f>IF('計算'!$C353="","",'計算'!$D353)</f>
        <v/>
      </c>
      <c r="D357" s="44">
        <f>IF('計算'!$C353="","",'計算'!$O353)</f>
        <v/>
      </c>
      <c r="E357" s="45">
        <f>IF('計算'!$C353="","",'計算'!$L353)</f>
        <v/>
      </c>
      <c r="F357" s="46">
        <f>IF('計算'!$C353="","",'計算'!$CD353)</f>
        <v/>
      </c>
      <c r="G357" s="47">
        <f>IF('計算'!$C353="","",'計算'!$CA353)</f>
        <v/>
      </c>
      <c r="H357" s="43">
        <f>IF('計算'!$C353="","",'計算'!$CP353)</f>
        <v/>
      </c>
      <c r="I357" s="48" t="n"/>
      <c r="J357" s="49" t="n"/>
      <c r="K357" s="50">
        <f>IF('計算'!$C353="","",'計算'!$CR353)</f>
        <v/>
      </c>
      <c r="L357" s="51">
        <f>IF('計算'!$C353="","",'計算'!$CF353)</f>
        <v/>
      </c>
      <c r="M357" s="48" t="n"/>
      <c r="N357" s="49" t="n"/>
      <c r="O357" s="43">
        <f>IF('計算'!$C353="","",'計算'!$CQ353)</f>
        <v/>
      </c>
      <c r="P357" s="52">
        <f>IF('計算'!$C353="","",IF('計算'!$M353="","",'計算'!$AX353))</f>
        <v/>
      </c>
      <c r="Q357" s="52">
        <f>IF('計算'!$C353="","",IF('計算'!$M353="","",'計算'!$AY353))</f>
        <v/>
      </c>
      <c r="R357" s="52">
        <f>IF('計算'!$C353="","",IF('計算'!$M353="","",'計算'!$AZ353))</f>
        <v/>
      </c>
      <c r="S357" s="52">
        <f>IF('計算'!$C353="","",IF('計算'!$M353="","",'計算'!$BA353))</f>
        <v/>
      </c>
      <c r="T357" s="52">
        <f>IF('計算'!$C353="","",IF('計算'!$M353="","",'計算'!$BB353))</f>
        <v/>
      </c>
      <c r="U357" s="52">
        <f>IF('計算'!$C353="","",IF('計算'!$M353="","",'計算'!$BC353))</f>
        <v/>
      </c>
      <c r="V357" s="52">
        <f>IF('計算'!$C353="","",IF('計算'!$M353="","",'計算'!$BD353))</f>
        <v/>
      </c>
      <c r="W357" s="52">
        <f>IF('計算'!$C353="","",IF('計算'!$M353="","",'計算'!$BE353))</f>
        <v/>
      </c>
      <c r="X357" s="52">
        <f>IF('計算'!$C353="","",IF('計算'!$M353="","",'計算'!$BF353))</f>
        <v/>
      </c>
      <c r="Y357" s="52">
        <f>IF('計算'!$C353="","",IF('計算'!$M353="","",'計算'!$BG353))</f>
        <v/>
      </c>
      <c r="Z357" s="52">
        <f>IF('計算'!$C353="","",IF('計算'!$M353="","",'計算'!$BH353))</f>
        <v/>
      </c>
      <c r="AA357" s="52">
        <f>IF('計算'!$C353="","",IF('計算'!$M353="","",'計算'!$BI353))</f>
        <v/>
      </c>
      <c r="AB357" s="52">
        <f>IF('計算'!$C353="","",IF('計算'!$M353="","",'計算'!$BJ353))</f>
        <v/>
      </c>
      <c r="AC357" s="52">
        <f>IF('計算'!$C353="","",IF('計算'!$M353="","",'計算'!$BK353))</f>
        <v/>
      </c>
      <c r="AD357" s="53" t="n"/>
      <c r="AE357" s="48" t="n"/>
      <c r="AF357" s="54">
        <f>IF('計算'!$C353="","",'計算'!$C353)</f>
        <v/>
      </c>
      <c r="AG357" s="54">
        <f>IF('計算'!$C353="","",'計算'!$F353)</f>
        <v/>
      </c>
    </row>
    <row r="358" ht="18" customHeight="1">
      <c r="B358" s="42">
        <f>IF('計算'!$C354="","",'計算'!$B354)</f>
        <v/>
      </c>
      <c r="C358" s="43">
        <f>IF('計算'!$C354="","",'計算'!$D354)</f>
        <v/>
      </c>
      <c r="D358" s="44">
        <f>IF('計算'!$C354="","",'計算'!$O354)</f>
        <v/>
      </c>
      <c r="E358" s="45">
        <f>IF('計算'!$C354="","",'計算'!$L354)</f>
        <v/>
      </c>
      <c r="F358" s="46">
        <f>IF('計算'!$C354="","",'計算'!$CD354)</f>
        <v/>
      </c>
      <c r="G358" s="47">
        <f>IF('計算'!$C354="","",'計算'!$CA354)</f>
        <v/>
      </c>
      <c r="H358" s="43">
        <f>IF('計算'!$C354="","",'計算'!$CP354)</f>
        <v/>
      </c>
      <c r="I358" s="48" t="n"/>
      <c r="J358" s="49" t="n"/>
      <c r="K358" s="50">
        <f>IF('計算'!$C354="","",'計算'!$CR354)</f>
        <v/>
      </c>
      <c r="L358" s="51">
        <f>IF('計算'!$C354="","",'計算'!$CF354)</f>
        <v/>
      </c>
      <c r="M358" s="48" t="n"/>
      <c r="N358" s="49" t="n"/>
      <c r="O358" s="43">
        <f>IF('計算'!$C354="","",'計算'!$CQ354)</f>
        <v/>
      </c>
      <c r="P358" s="52">
        <f>IF('計算'!$C354="","",IF('計算'!$M354="","",'計算'!$AX354))</f>
        <v/>
      </c>
      <c r="Q358" s="52">
        <f>IF('計算'!$C354="","",IF('計算'!$M354="","",'計算'!$AY354))</f>
        <v/>
      </c>
      <c r="R358" s="52">
        <f>IF('計算'!$C354="","",IF('計算'!$M354="","",'計算'!$AZ354))</f>
        <v/>
      </c>
      <c r="S358" s="52">
        <f>IF('計算'!$C354="","",IF('計算'!$M354="","",'計算'!$BA354))</f>
        <v/>
      </c>
      <c r="T358" s="52">
        <f>IF('計算'!$C354="","",IF('計算'!$M354="","",'計算'!$BB354))</f>
        <v/>
      </c>
      <c r="U358" s="52">
        <f>IF('計算'!$C354="","",IF('計算'!$M354="","",'計算'!$BC354))</f>
        <v/>
      </c>
      <c r="V358" s="52">
        <f>IF('計算'!$C354="","",IF('計算'!$M354="","",'計算'!$BD354))</f>
        <v/>
      </c>
      <c r="W358" s="52">
        <f>IF('計算'!$C354="","",IF('計算'!$M354="","",'計算'!$BE354))</f>
        <v/>
      </c>
      <c r="X358" s="52">
        <f>IF('計算'!$C354="","",IF('計算'!$M354="","",'計算'!$BF354))</f>
        <v/>
      </c>
      <c r="Y358" s="52">
        <f>IF('計算'!$C354="","",IF('計算'!$M354="","",'計算'!$BG354))</f>
        <v/>
      </c>
      <c r="Z358" s="52">
        <f>IF('計算'!$C354="","",IF('計算'!$M354="","",'計算'!$BH354))</f>
        <v/>
      </c>
      <c r="AA358" s="52">
        <f>IF('計算'!$C354="","",IF('計算'!$M354="","",'計算'!$BI354))</f>
        <v/>
      </c>
      <c r="AB358" s="52">
        <f>IF('計算'!$C354="","",IF('計算'!$M354="","",'計算'!$BJ354))</f>
        <v/>
      </c>
      <c r="AC358" s="52">
        <f>IF('計算'!$C354="","",IF('計算'!$M354="","",'計算'!$BK354))</f>
        <v/>
      </c>
      <c r="AD358" s="53" t="n"/>
      <c r="AE358" s="48" t="n"/>
      <c r="AF358" s="54">
        <f>IF('計算'!$C354="","",'計算'!$C354)</f>
        <v/>
      </c>
      <c r="AG358" s="54">
        <f>IF('計算'!$C354="","",'計算'!$F354)</f>
        <v/>
      </c>
    </row>
    <row r="359" ht="18" customHeight="1">
      <c r="B359" s="42">
        <f>IF('計算'!$C355="","",'計算'!$B355)</f>
        <v/>
      </c>
      <c r="C359" s="43">
        <f>IF('計算'!$C355="","",'計算'!$D355)</f>
        <v/>
      </c>
      <c r="D359" s="44">
        <f>IF('計算'!$C355="","",'計算'!$O355)</f>
        <v/>
      </c>
      <c r="E359" s="45">
        <f>IF('計算'!$C355="","",'計算'!$L355)</f>
        <v/>
      </c>
      <c r="F359" s="46">
        <f>IF('計算'!$C355="","",'計算'!$CD355)</f>
        <v/>
      </c>
      <c r="G359" s="47">
        <f>IF('計算'!$C355="","",'計算'!$CA355)</f>
        <v/>
      </c>
      <c r="H359" s="43">
        <f>IF('計算'!$C355="","",'計算'!$CP355)</f>
        <v/>
      </c>
      <c r="I359" s="48" t="n"/>
      <c r="J359" s="49" t="n"/>
      <c r="K359" s="50">
        <f>IF('計算'!$C355="","",'計算'!$CR355)</f>
        <v/>
      </c>
      <c r="L359" s="51">
        <f>IF('計算'!$C355="","",'計算'!$CF355)</f>
        <v/>
      </c>
      <c r="M359" s="48" t="n"/>
      <c r="N359" s="49" t="n"/>
      <c r="O359" s="43">
        <f>IF('計算'!$C355="","",'計算'!$CQ355)</f>
        <v/>
      </c>
      <c r="P359" s="52">
        <f>IF('計算'!$C355="","",IF('計算'!$M355="","",'計算'!$AX355))</f>
        <v/>
      </c>
      <c r="Q359" s="52">
        <f>IF('計算'!$C355="","",IF('計算'!$M355="","",'計算'!$AY355))</f>
        <v/>
      </c>
      <c r="R359" s="52">
        <f>IF('計算'!$C355="","",IF('計算'!$M355="","",'計算'!$AZ355))</f>
        <v/>
      </c>
      <c r="S359" s="52">
        <f>IF('計算'!$C355="","",IF('計算'!$M355="","",'計算'!$BA355))</f>
        <v/>
      </c>
      <c r="T359" s="52">
        <f>IF('計算'!$C355="","",IF('計算'!$M355="","",'計算'!$BB355))</f>
        <v/>
      </c>
      <c r="U359" s="52">
        <f>IF('計算'!$C355="","",IF('計算'!$M355="","",'計算'!$BC355))</f>
        <v/>
      </c>
      <c r="V359" s="52">
        <f>IF('計算'!$C355="","",IF('計算'!$M355="","",'計算'!$BD355))</f>
        <v/>
      </c>
      <c r="W359" s="52">
        <f>IF('計算'!$C355="","",IF('計算'!$M355="","",'計算'!$BE355))</f>
        <v/>
      </c>
      <c r="X359" s="52">
        <f>IF('計算'!$C355="","",IF('計算'!$M355="","",'計算'!$BF355))</f>
        <v/>
      </c>
      <c r="Y359" s="52">
        <f>IF('計算'!$C355="","",IF('計算'!$M355="","",'計算'!$BG355))</f>
        <v/>
      </c>
      <c r="Z359" s="52">
        <f>IF('計算'!$C355="","",IF('計算'!$M355="","",'計算'!$BH355))</f>
        <v/>
      </c>
      <c r="AA359" s="52">
        <f>IF('計算'!$C355="","",IF('計算'!$M355="","",'計算'!$BI355))</f>
        <v/>
      </c>
      <c r="AB359" s="52">
        <f>IF('計算'!$C355="","",IF('計算'!$M355="","",'計算'!$BJ355))</f>
        <v/>
      </c>
      <c r="AC359" s="52">
        <f>IF('計算'!$C355="","",IF('計算'!$M355="","",'計算'!$BK355))</f>
        <v/>
      </c>
      <c r="AD359" s="53" t="n"/>
      <c r="AE359" s="48" t="n"/>
      <c r="AF359" s="54">
        <f>IF('計算'!$C355="","",'計算'!$C355)</f>
        <v/>
      </c>
      <c r="AG359" s="54">
        <f>IF('計算'!$C355="","",'計算'!$F355)</f>
        <v/>
      </c>
    </row>
    <row r="360" ht="18" customHeight="1">
      <c r="B360" s="42">
        <f>IF('計算'!$C356="","",'計算'!$B356)</f>
        <v/>
      </c>
      <c r="C360" s="43">
        <f>IF('計算'!$C356="","",'計算'!$D356)</f>
        <v/>
      </c>
      <c r="D360" s="44">
        <f>IF('計算'!$C356="","",'計算'!$O356)</f>
        <v/>
      </c>
      <c r="E360" s="45">
        <f>IF('計算'!$C356="","",'計算'!$L356)</f>
        <v/>
      </c>
      <c r="F360" s="46">
        <f>IF('計算'!$C356="","",'計算'!$CD356)</f>
        <v/>
      </c>
      <c r="G360" s="47">
        <f>IF('計算'!$C356="","",'計算'!$CA356)</f>
        <v/>
      </c>
      <c r="H360" s="43">
        <f>IF('計算'!$C356="","",'計算'!$CP356)</f>
        <v/>
      </c>
      <c r="I360" s="48" t="n"/>
      <c r="J360" s="49" t="n"/>
      <c r="K360" s="50">
        <f>IF('計算'!$C356="","",'計算'!$CR356)</f>
        <v/>
      </c>
      <c r="L360" s="51">
        <f>IF('計算'!$C356="","",'計算'!$CF356)</f>
        <v/>
      </c>
      <c r="M360" s="48" t="n"/>
      <c r="N360" s="49" t="n"/>
      <c r="O360" s="43">
        <f>IF('計算'!$C356="","",'計算'!$CQ356)</f>
        <v/>
      </c>
      <c r="P360" s="52">
        <f>IF('計算'!$C356="","",IF('計算'!$M356="","",'計算'!$AX356))</f>
        <v/>
      </c>
      <c r="Q360" s="52">
        <f>IF('計算'!$C356="","",IF('計算'!$M356="","",'計算'!$AY356))</f>
        <v/>
      </c>
      <c r="R360" s="52">
        <f>IF('計算'!$C356="","",IF('計算'!$M356="","",'計算'!$AZ356))</f>
        <v/>
      </c>
      <c r="S360" s="52">
        <f>IF('計算'!$C356="","",IF('計算'!$M356="","",'計算'!$BA356))</f>
        <v/>
      </c>
      <c r="T360" s="52">
        <f>IF('計算'!$C356="","",IF('計算'!$M356="","",'計算'!$BB356))</f>
        <v/>
      </c>
      <c r="U360" s="52">
        <f>IF('計算'!$C356="","",IF('計算'!$M356="","",'計算'!$BC356))</f>
        <v/>
      </c>
      <c r="V360" s="52">
        <f>IF('計算'!$C356="","",IF('計算'!$M356="","",'計算'!$BD356))</f>
        <v/>
      </c>
      <c r="W360" s="52">
        <f>IF('計算'!$C356="","",IF('計算'!$M356="","",'計算'!$BE356))</f>
        <v/>
      </c>
      <c r="X360" s="52">
        <f>IF('計算'!$C356="","",IF('計算'!$M356="","",'計算'!$BF356))</f>
        <v/>
      </c>
      <c r="Y360" s="52">
        <f>IF('計算'!$C356="","",IF('計算'!$M356="","",'計算'!$BG356))</f>
        <v/>
      </c>
      <c r="Z360" s="52">
        <f>IF('計算'!$C356="","",IF('計算'!$M356="","",'計算'!$BH356))</f>
        <v/>
      </c>
      <c r="AA360" s="52">
        <f>IF('計算'!$C356="","",IF('計算'!$M356="","",'計算'!$BI356))</f>
        <v/>
      </c>
      <c r="AB360" s="52">
        <f>IF('計算'!$C356="","",IF('計算'!$M356="","",'計算'!$BJ356))</f>
        <v/>
      </c>
      <c r="AC360" s="52">
        <f>IF('計算'!$C356="","",IF('計算'!$M356="","",'計算'!$BK356))</f>
        <v/>
      </c>
      <c r="AD360" s="53" t="n"/>
      <c r="AE360" s="48" t="n"/>
      <c r="AF360" s="54">
        <f>IF('計算'!$C356="","",'計算'!$C356)</f>
        <v/>
      </c>
      <c r="AG360" s="54">
        <f>IF('計算'!$C356="","",'計算'!$F356)</f>
        <v/>
      </c>
    </row>
    <row r="361" ht="18" customHeight="1">
      <c r="B361" s="42">
        <f>IF('計算'!$C357="","",'計算'!$B357)</f>
        <v/>
      </c>
      <c r="C361" s="43">
        <f>IF('計算'!$C357="","",'計算'!$D357)</f>
        <v/>
      </c>
      <c r="D361" s="44">
        <f>IF('計算'!$C357="","",'計算'!$O357)</f>
        <v/>
      </c>
      <c r="E361" s="45">
        <f>IF('計算'!$C357="","",'計算'!$L357)</f>
        <v/>
      </c>
      <c r="F361" s="46">
        <f>IF('計算'!$C357="","",'計算'!$CD357)</f>
        <v/>
      </c>
      <c r="G361" s="47">
        <f>IF('計算'!$C357="","",'計算'!$CA357)</f>
        <v/>
      </c>
      <c r="H361" s="43">
        <f>IF('計算'!$C357="","",'計算'!$CP357)</f>
        <v/>
      </c>
      <c r="I361" s="48" t="n"/>
      <c r="J361" s="49" t="n"/>
      <c r="K361" s="50">
        <f>IF('計算'!$C357="","",'計算'!$CR357)</f>
        <v/>
      </c>
      <c r="L361" s="51">
        <f>IF('計算'!$C357="","",'計算'!$CF357)</f>
        <v/>
      </c>
      <c r="M361" s="48" t="n"/>
      <c r="N361" s="49" t="n"/>
      <c r="O361" s="43">
        <f>IF('計算'!$C357="","",'計算'!$CQ357)</f>
        <v/>
      </c>
      <c r="P361" s="52">
        <f>IF('計算'!$C357="","",IF('計算'!$M357="","",'計算'!$AX357))</f>
        <v/>
      </c>
      <c r="Q361" s="52">
        <f>IF('計算'!$C357="","",IF('計算'!$M357="","",'計算'!$AY357))</f>
        <v/>
      </c>
      <c r="R361" s="52">
        <f>IF('計算'!$C357="","",IF('計算'!$M357="","",'計算'!$AZ357))</f>
        <v/>
      </c>
      <c r="S361" s="52">
        <f>IF('計算'!$C357="","",IF('計算'!$M357="","",'計算'!$BA357))</f>
        <v/>
      </c>
      <c r="T361" s="52">
        <f>IF('計算'!$C357="","",IF('計算'!$M357="","",'計算'!$BB357))</f>
        <v/>
      </c>
      <c r="U361" s="52">
        <f>IF('計算'!$C357="","",IF('計算'!$M357="","",'計算'!$BC357))</f>
        <v/>
      </c>
      <c r="V361" s="52">
        <f>IF('計算'!$C357="","",IF('計算'!$M357="","",'計算'!$BD357))</f>
        <v/>
      </c>
      <c r="W361" s="52">
        <f>IF('計算'!$C357="","",IF('計算'!$M357="","",'計算'!$BE357))</f>
        <v/>
      </c>
      <c r="X361" s="52">
        <f>IF('計算'!$C357="","",IF('計算'!$M357="","",'計算'!$BF357))</f>
        <v/>
      </c>
      <c r="Y361" s="52">
        <f>IF('計算'!$C357="","",IF('計算'!$M357="","",'計算'!$BG357))</f>
        <v/>
      </c>
      <c r="Z361" s="52">
        <f>IF('計算'!$C357="","",IF('計算'!$M357="","",'計算'!$BH357))</f>
        <v/>
      </c>
      <c r="AA361" s="52">
        <f>IF('計算'!$C357="","",IF('計算'!$M357="","",'計算'!$BI357))</f>
        <v/>
      </c>
      <c r="AB361" s="52">
        <f>IF('計算'!$C357="","",IF('計算'!$M357="","",'計算'!$BJ357))</f>
        <v/>
      </c>
      <c r="AC361" s="52">
        <f>IF('計算'!$C357="","",IF('計算'!$M357="","",'計算'!$BK357))</f>
        <v/>
      </c>
      <c r="AD361" s="53" t="n"/>
      <c r="AE361" s="48" t="n"/>
      <c r="AF361" s="54">
        <f>IF('計算'!$C357="","",'計算'!$C357)</f>
        <v/>
      </c>
      <c r="AG361" s="54">
        <f>IF('計算'!$C357="","",'計算'!$F357)</f>
        <v/>
      </c>
    </row>
    <row r="362" ht="18" customHeight="1">
      <c r="B362" s="42">
        <f>IF('計算'!$C358="","",'計算'!$B358)</f>
        <v/>
      </c>
      <c r="C362" s="43">
        <f>IF('計算'!$C358="","",'計算'!$D358)</f>
        <v/>
      </c>
      <c r="D362" s="44">
        <f>IF('計算'!$C358="","",'計算'!$O358)</f>
        <v/>
      </c>
      <c r="E362" s="45">
        <f>IF('計算'!$C358="","",'計算'!$L358)</f>
        <v/>
      </c>
      <c r="F362" s="46">
        <f>IF('計算'!$C358="","",'計算'!$CD358)</f>
        <v/>
      </c>
      <c r="G362" s="47">
        <f>IF('計算'!$C358="","",'計算'!$CA358)</f>
        <v/>
      </c>
      <c r="H362" s="43">
        <f>IF('計算'!$C358="","",'計算'!$CP358)</f>
        <v/>
      </c>
      <c r="I362" s="48" t="n"/>
      <c r="J362" s="49" t="n"/>
      <c r="K362" s="50">
        <f>IF('計算'!$C358="","",'計算'!$CR358)</f>
        <v/>
      </c>
      <c r="L362" s="51">
        <f>IF('計算'!$C358="","",'計算'!$CF358)</f>
        <v/>
      </c>
      <c r="M362" s="48" t="n"/>
      <c r="N362" s="49" t="n"/>
      <c r="O362" s="43">
        <f>IF('計算'!$C358="","",'計算'!$CQ358)</f>
        <v/>
      </c>
      <c r="P362" s="52">
        <f>IF('計算'!$C358="","",IF('計算'!$M358="","",'計算'!$AX358))</f>
        <v/>
      </c>
      <c r="Q362" s="52">
        <f>IF('計算'!$C358="","",IF('計算'!$M358="","",'計算'!$AY358))</f>
        <v/>
      </c>
      <c r="R362" s="52">
        <f>IF('計算'!$C358="","",IF('計算'!$M358="","",'計算'!$AZ358))</f>
        <v/>
      </c>
      <c r="S362" s="52">
        <f>IF('計算'!$C358="","",IF('計算'!$M358="","",'計算'!$BA358))</f>
        <v/>
      </c>
      <c r="T362" s="52">
        <f>IF('計算'!$C358="","",IF('計算'!$M358="","",'計算'!$BB358))</f>
        <v/>
      </c>
      <c r="U362" s="52">
        <f>IF('計算'!$C358="","",IF('計算'!$M358="","",'計算'!$BC358))</f>
        <v/>
      </c>
      <c r="V362" s="52">
        <f>IF('計算'!$C358="","",IF('計算'!$M358="","",'計算'!$BD358))</f>
        <v/>
      </c>
      <c r="W362" s="52">
        <f>IF('計算'!$C358="","",IF('計算'!$M358="","",'計算'!$BE358))</f>
        <v/>
      </c>
      <c r="X362" s="52">
        <f>IF('計算'!$C358="","",IF('計算'!$M358="","",'計算'!$BF358))</f>
        <v/>
      </c>
      <c r="Y362" s="52">
        <f>IF('計算'!$C358="","",IF('計算'!$M358="","",'計算'!$BG358))</f>
        <v/>
      </c>
      <c r="Z362" s="52">
        <f>IF('計算'!$C358="","",IF('計算'!$M358="","",'計算'!$BH358))</f>
        <v/>
      </c>
      <c r="AA362" s="52">
        <f>IF('計算'!$C358="","",IF('計算'!$M358="","",'計算'!$BI358))</f>
        <v/>
      </c>
      <c r="AB362" s="52">
        <f>IF('計算'!$C358="","",IF('計算'!$M358="","",'計算'!$BJ358))</f>
        <v/>
      </c>
      <c r="AC362" s="52">
        <f>IF('計算'!$C358="","",IF('計算'!$M358="","",'計算'!$BK358))</f>
        <v/>
      </c>
      <c r="AD362" s="53" t="n"/>
      <c r="AE362" s="48" t="n"/>
      <c r="AF362" s="54">
        <f>IF('計算'!$C358="","",'計算'!$C358)</f>
        <v/>
      </c>
      <c r="AG362" s="54">
        <f>IF('計算'!$C358="","",'計算'!$F358)</f>
        <v/>
      </c>
    </row>
    <row r="363" ht="18" customHeight="1">
      <c r="B363" s="42">
        <f>IF('計算'!$C359="","",'計算'!$B359)</f>
        <v/>
      </c>
      <c r="C363" s="43">
        <f>IF('計算'!$C359="","",'計算'!$D359)</f>
        <v/>
      </c>
      <c r="D363" s="44">
        <f>IF('計算'!$C359="","",'計算'!$O359)</f>
        <v/>
      </c>
      <c r="E363" s="45">
        <f>IF('計算'!$C359="","",'計算'!$L359)</f>
        <v/>
      </c>
      <c r="F363" s="46">
        <f>IF('計算'!$C359="","",'計算'!$CD359)</f>
        <v/>
      </c>
      <c r="G363" s="47">
        <f>IF('計算'!$C359="","",'計算'!$CA359)</f>
        <v/>
      </c>
      <c r="H363" s="43">
        <f>IF('計算'!$C359="","",'計算'!$CP359)</f>
        <v/>
      </c>
      <c r="I363" s="48" t="n"/>
      <c r="J363" s="49" t="n"/>
      <c r="K363" s="50">
        <f>IF('計算'!$C359="","",'計算'!$CR359)</f>
        <v/>
      </c>
      <c r="L363" s="51">
        <f>IF('計算'!$C359="","",'計算'!$CF359)</f>
        <v/>
      </c>
      <c r="M363" s="48" t="n"/>
      <c r="N363" s="49" t="n"/>
      <c r="O363" s="43">
        <f>IF('計算'!$C359="","",'計算'!$CQ359)</f>
        <v/>
      </c>
      <c r="P363" s="52">
        <f>IF('計算'!$C359="","",IF('計算'!$M359="","",'計算'!$AX359))</f>
        <v/>
      </c>
      <c r="Q363" s="52">
        <f>IF('計算'!$C359="","",IF('計算'!$M359="","",'計算'!$AY359))</f>
        <v/>
      </c>
      <c r="R363" s="52">
        <f>IF('計算'!$C359="","",IF('計算'!$M359="","",'計算'!$AZ359))</f>
        <v/>
      </c>
      <c r="S363" s="52">
        <f>IF('計算'!$C359="","",IF('計算'!$M359="","",'計算'!$BA359))</f>
        <v/>
      </c>
      <c r="T363" s="52">
        <f>IF('計算'!$C359="","",IF('計算'!$M359="","",'計算'!$BB359))</f>
        <v/>
      </c>
      <c r="U363" s="52">
        <f>IF('計算'!$C359="","",IF('計算'!$M359="","",'計算'!$BC359))</f>
        <v/>
      </c>
      <c r="V363" s="52">
        <f>IF('計算'!$C359="","",IF('計算'!$M359="","",'計算'!$BD359))</f>
        <v/>
      </c>
      <c r="W363" s="52">
        <f>IF('計算'!$C359="","",IF('計算'!$M359="","",'計算'!$BE359))</f>
        <v/>
      </c>
      <c r="X363" s="52">
        <f>IF('計算'!$C359="","",IF('計算'!$M359="","",'計算'!$BF359))</f>
        <v/>
      </c>
      <c r="Y363" s="52">
        <f>IF('計算'!$C359="","",IF('計算'!$M359="","",'計算'!$BG359))</f>
        <v/>
      </c>
      <c r="Z363" s="52">
        <f>IF('計算'!$C359="","",IF('計算'!$M359="","",'計算'!$BH359))</f>
        <v/>
      </c>
      <c r="AA363" s="52">
        <f>IF('計算'!$C359="","",IF('計算'!$M359="","",'計算'!$BI359))</f>
        <v/>
      </c>
      <c r="AB363" s="52">
        <f>IF('計算'!$C359="","",IF('計算'!$M359="","",'計算'!$BJ359))</f>
        <v/>
      </c>
      <c r="AC363" s="52">
        <f>IF('計算'!$C359="","",IF('計算'!$M359="","",'計算'!$BK359))</f>
        <v/>
      </c>
      <c r="AD363" s="53" t="n"/>
      <c r="AE363" s="48" t="n"/>
      <c r="AF363" s="54">
        <f>IF('計算'!$C359="","",'計算'!$C359)</f>
        <v/>
      </c>
      <c r="AG363" s="54">
        <f>IF('計算'!$C359="","",'計算'!$F359)</f>
        <v/>
      </c>
    </row>
    <row r="364" ht="18" customHeight="1">
      <c r="B364" s="42">
        <f>IF('計算'!$C360="","",'計算'!$B360)</f>
        <v/>
      </c>
      <c r="C364" s="43">
        <f>IF('計算'!$C360="","",'計算'!$D360)</f>
        <v/>
      </c>
      <c r="D364" s="44">
        <f>IF('計算'!$C360="","",'計算'!$O360)</f>
        <v/>
      </c>
      <c r="E364" s="45">
        <f>IF('計算'!$C360="","",'計算'!$L360)</f>
        <v/>
      </c>
      <c r="F364" s="46">
        <f>IF('計算'!$C360="","",'計算'!$CD360)</f>
        <v/>
      </c>
      <c r="G364" s="47">
        <f>IF('計算'!$C360="","",'計算'!$CA360)</f>
        <v/>
      </c>
      <c r="H364" s="43">
        <f>IF('計算'!$C360="","",'計算'!$CP360)</f>
        <v/>
      </c>
      <c r="I364" s="48" t="n"/>
      <c r="J364" s="49" t="n"/>
      <c r="K364" s="50">
        <f>IF('計算'!$C360="","",'計算'!$CR360)</f>
        <v/>
      </c>
      <c r="L364" s="51">
        <f>IF('計算'!$C360="","",'計算'!$CF360)</f>
        <v/>
      </c>
      <c r="M364" s="48" t="n"/>
      <c r="N364" s="49" t="n"/>
      <c r="O364" s="43">
        <f>IF('計算'!$C360="","",'計算'!$CQ360)</f>
        <v/>
      </c>
      <c r="P364" s="52">
        <f>IF('計算'!$C360="","",IF('計算'!$M360="","",'計算'!$AX360))</f>
        <v/>
      </c>
      <c r="Q364" s="52">
        <f>IF('計算'!$C360="","",IF('計算'!$M360="","",'計算'!$AY360))</f>
        <v/>
      </c>
      <c r="R364" s="52">
        <f>IF('計算'!$C360="","",IF('計算'!$M360="","",'計算'!$AZ360))</f>
        <v/>
      </c>
      <c r="S364" s="52">
        <f>IF('計算'!$C360="","",IF('計算'!$M360="","",'計算'!$BA360))</f>
        <v/>
      </c>
      <c r="T364" s="52">
        <f>IF('計算'!$C360="","",IF('計算'!$M360="","",'計算'!$BB360))</f>
        <v/>
      </c>
      <c r="U364" s="52">
        <f>IF('計算'!$C360="","",IF('計算'!$M360="","",'計算'!$BC360))</f>
        <v/>
      </c>
      <c r="V364" s="52">
        <f>IF('計算'!$C360="","",IF('計算'!$M360="","",'計算'!$BD360))</f>
        <v/>
      </c>
      <c r="W364" s="52">
        <f>IF('計算'!$C360="","",IF('計算'!$M360="","",'計算'!$BE360))</f>
        <v/>
      </c>
      <c r="X364" s="52">
        <f>IF('計算'!$C360="","",IF('計算'!$M360="","",'計算'!$BF360))</f>
        <v/>
      </c>
      <c r="Y364" s="52">
        <f>IF('計算'!$C360="","",IF('計算'!$M360="","",'計算'!$BG360))</f>
        <v/>
      </c>
      <c r="Z364" s="52">
        <f>IF('計算'!$C360="","",IF('計算'!$M360="","",'計算'!$BH360))</f>
        <v/>
      </c>
      <c r="AA364" s="52">
        <f>IF('計算'!$C360="","",IF('計算'!$M360="","",'計算'!$BI360))</f>
        <v/>
      </c>
      <c r="AB364" s="52">
        <f>IF('計算'!$C360="","",IF('計算'!$M360="","",'計算'!$BJ360))</f>
        <v/>
      </c>
      <c r="AC364" s="52">
        <f>IF('計算'!$C360="","",IF('計算'!$M360="","",'計算'!$BK360))</f>
        <v/>
      </c>
      <c r="AD364" s="53" t="n"/>
      <c r="AE364" s="48" t="n"/>
      <c r="AF364" s="54">
        <f>IF('計算'!$C360="","",'計算'!$C360)</f>
        <v/>
      </c>
      <c r="AG364" s="54">
        <f>IF('計算'!$C360="","",'計算'!$F360)</f>
        <v/>
      </c>
    </row>
    <row r="365" ht="18" customHeight="1">
      <c r="B365" s="42">
        <f>IF('計算'!$C361="","",'計算'!$B361)</f>
        <v/>
      </c>
      <c r="C365" s="43">
        <f>IF('計算'!$C361="","",'計算'!$D361)</f>
        <v/>
      </c>
      <c r="D365" s="44">
        <f>IF('計算'!$C361="","",'計算'!$O361)</f>
        <v/>
      </c>
      <c r="E365" s="45">
        <f>IF('計算'!$C361="","",'計算'!$L361)</f>
        <v/>
      </c>
      <c r="F365" s="46">
        <f>IF('計算'!$C361="","",'計算'!$CD361)</f>
        <v/>
      </c>
      <c r="G365" s="47">
        <f>IF('計算'!$C361="","",'計算'!$CA361)</f>
        <v/>
      </c>
      <c r="H365" s="43">
        <f>IF('計算'!$C361="","",'計算'!$CP361)</f>
        <v/>
      </c>
      <c r="I365" s="48" t="n"/>
      <c r="J365" s="49" t="n"/>
      <c r="K365" s="50">
        <f>IF('計算'!$C361="","",'計算'!$CR361)</f>
        <v/>
      </c>
      <c r="L365" s="51">
        <f>IF('計算'!$C361="","",'計算'!$CF361)</f>
        <v/>
      </c>
      <c r="M365" s="48" t="n"/>
      <c r="N365" s="49" t="n"/>
      <c r="O365" s="43">
        <f>IF('計算'!$C361="","",'計算'!$CQ361)</f>
        <v/>
      </c>
      <c r="P365" s="52">
        <f>IF('計算'!$C361="","",IF('計算'!$M361="","",'計算'!$AX361))</f>
        <v/>
      </c>
      <c r="Q365" s="52">
        <f>IF('計算'!$C361="","",IF('計算'!$M361="","",'計算'!$AY361))</f>
        <v/>
      </c>
      <c r="R365" s="52">
        <f>IF('計算'!$C361="","",IF('計算'!$M361="","",'計算'!$AZ361))</f>
        <v/>
      </c>
      <c r="S365" s="52">
        <f>IF('計算'!$C361="","",IF('計算'!$M361="","",'計算'!$BA361))</f>
        <v/>
      </c>
      <c r="T365" s="52">
        <f>IF('計算'!$C361="","",IF('計算'!$M361="","",'計算'!$BB361))</f>
        <v/>
      </c>
      <c r="U365" s="52">
        <f>IF('計算'!$C361="","",IF('計算'!$M361="","",'計算'!$BC361))</f>
        <v/>
      </c>
      <c r="V365" s="52">
        <f>IF('計算'!$C361="","",IF('計算'!$M361="","",'計算'!$BD361))</f>
        <v/>
      </c>
      <c r="W365" s="52">
        <f>IF('計算'!$C361="","",IF('計算'!$M361="","",'計算'!$BE361))</f>
        <v/>
      </c>
      <c r="X365" s="52">
        <f>IF('計算'!$C361="","",IF('計算'!$M361="","",'計算'!$BF361))</f>
        <v/>
      </c>
      <c r="Y365" s="52">
        <f>IF('計算'!$C361="","",IF('計算'!$M361="","",'計算'!$BG361))</f>
        <v/>
      </c>
      <c r="Z365" s="52">
        <f>IF('計算'!$C361="","",IF('計算'!$M361="","",'計算'!$BH361))</f>
        <v/>
      </c>
      <c r="AA365" s="52">
        <f>IF('計算'!$C361="","",IF('計算'!$M361="","",'計算'!$BI361))</f>
        <v/>
      </c>
      <c r="AB365" s="52">
        <f>IF('計算'!$C361="","",IF('計算'!$M361="","",'計算'!$BJ361))</f>
        <v/>
      </c>
      <c r="AC365" s="52">
        <f>IF('計算'!$C361="","",IF('計算'!$M361="","",'計算'!$BK361))</f>
        <v/>
      </c>
      <c r="AD365" s="53" t="n"/>
      <c r="AE365" s="48" t="n"/>
      <c r="AF365" s="54">
        <f>IF('計算'!$C361="","",'計算'!$C361)</f>
        <v/>
      </c>
      <c r="AG365" s="54">
        <f>IF('計算'!$C361="","",'計算'!$F361)</f>
        <v/>
      </c>
    </row>
    <row r="366" ht="18" customHeight="1">
      <c r="B366" s="42">
        <f>IF('計算'!$C362="","",'計算'!$B362)</f>
        <v/>
      </c>
      <c r="C366" s="43">
        <f>IF('計算'!$C362="","",'計算'!$D362)</f>
        <v/>
      </c>
      <c r="D366" s="44">
        <f>IF('計算'!$C362="","",'計算'!$O362)</f>
        <v/>
      </c>
      <c r="E366" s="45">
        <f>IF('計算'!$C362="","",'計算'!$L362)</f>
        <v/>
      </c>
      <c r="F366" s="46">
        <f>IF('計算'!$C362="","",'計算'!$CD362)</f>
        <v/>
      </c>
      <c r="G366" s="47">
        <f>IF('計算'!$C362="","",'計算'!$CA362)</f>
        <v/>
      </c>
      <c r="H366" s="43">
        <f>IF('計算'!$C362="","",'計算'!$CP362)</f>
        <v/>
      </c>
      <c r="I366" s="48" t="n"/>
      <c r="J366" s="49" t="n"/>
      <c r="K366" s="50">
        <f>IF('計算'!$C362="","",'計算'!$CR362)</f>
        <v/>
      </c>
      <c r="L366" s="51">
        <f>IF('計算'!$C362="","",'計算'!$CF362)</f>
        <v/>
      </c>
      <c r="M366" s="48" t="n"/>
      <c r="N366" s="49" t="n"/>
      <c r="O366" s="43">
        <f>IF('計算'!$C362="","",'計算'!$CQ362)</f>
        <v/>
      </c>
      <c r="P366" s="52">
        <f>IF('計算'!$C362="","",IF('計算'!$M362="","",'計算'!$AX362))</f>
        <v/>
      </c>
      <c r="Q366" s="52">
        <f>IF('計算'!$C362="","",IF('計算'!$M362="","",'計算'!$AY362))</f>
        <v/>
      </c>
      <c r="R366" s="52">
        <f>IF('計算'!$C362="","",IF('計算'!$M362="","",'計算'!$AZ362))</f>
        <v/>
      </c>
      <c r="S366" s="52">
        <f>IF('計算'!$C362="","",IF('計算'!$M362="","",'計算'!$BA362))</f>
        <v/>
      </c>
      <c r="T366" s="52">
        <f>IF('計算'!$C362="","",IF('計算'!$M362="","",'計算'!$BB362))</f>
        <v/>
      </c>
      <c r="U366" s="52">
        <f>IF('計算'!$C362="","",IF('計算'!$M362="","",'計算'!$BC362))</f>
        <v/>
      </c>
      <c r="V366" s="52">
        <f>IF('計算'!$C362="","",IF('計算'!$M362="","",'計算'!$BD362))</f>
        <v/>
      </c>
      <c r="W366" s="52">
        <f>IF('計算'!$C362="","",IF('計算'!$M362="","",'計算'!$BE362))</f>
        <v/>
      </c>
      <c r="X366" s="52">
        <f>IF('計算'!$C362="","",IF('計算'!$M362="","",'計算'!$BF362))</f>
        <v/>
      </c>
      <c r="Y366" s="52">
        <f>IF('計算'!$C362="","",IF('計算'!$M362="","",'計算'!$BG362))</f>
        <v/>
      </c>
      <c r="Z366" s="52">
        <f>IF('計算'!$C362="","",IF('計算'!$M362="","",'計算'!$BH362))</f>
        <v/>
      </c>
      <c r="AA366" s="52">
        <f>IF('計算'!$C362="","",IF('計算'!$M362="","",'計算'!$BI362))</f>
        <v/>
      </c>
      <c r="AB366" s="52">
        <f>IF('計算'!$C362="","",IF('計算'!$M362="","",'計算'!$BJ362))</f>
        <v/>
      </c>
      <c r="AC366" s="52">
        <f>IF('計算'!$C362="","",IF('計算'!$M362="","",'計算'!$BK362))</f>
        <v/>
      </c>
      <c r="AD366" s="53" t="n"/>
      <c r="AE366" s="48" t="n"/>
      <c r="AF366" s="54">
        <f>IF('計算'!$C362="","",'計算'!$C362)</f>
        <v/>
      </c>
      <c r="AG366" s="54">
        <f>IF('計算'!$C362="","",'計算'!$F362)</f>
        <v/>
      </c>
    </row>
    <row r="367" ht="18" customHeight="1">
      <c r="B367" s="42">
        <f>IF('計算'!$C363="","",'計算'!$B363)</f>
        <v/>
      </c>
      <c r="C367" s="43">
        <f>IF('計算'!$C363="","",'計算'!$D363)</f>
        <v/>
      </c>
      <c r="D367" s="44">
        <f>IF('計算'!$C363="","",'計算'!$O363)</f>
        <v/>
      </c>
      <c r="E367" s="45">
        <f>IF('計算'!$C363="","",'計算'!$L363)</f>
        <v/>
      </c>
      <c r="F367" s="46">
        <f>IF('計算'!$C363="","",'計算'!$CD363)</f>
        <v/>
      </c>
      <c r="G367" s="47">
        <f>IF('計算'!$C363="","",'計算'!$CA363)</f>
        <v/>
      </c>
      <c r="H367" s="43">
        <f>IF('計算'!$C363="","",'計算'!$CP363)</f>
        <v/>
      </c>
      <c r="I367" s="48" t="n"/>
      <c r="J367" s="49" t="n"/>
      <c r="K367" s="50">
        <f>IF('計算'!$C363="","",'計算'!$CR363)</f>
        <v/>
      </c>
      <c r="L367" s="51">
        <f>IF('計算'!$C363="","",'計算'!$CF363)</f>
        <v/>
      </c>
      <c r="M367" s="48" t="n"/>
      <c r="N367" s="49" t="n"/>
      <c r="O367" s="43">
        <f>IF('計算'!$C363="","",'計算'!$CQ363)</f>
        <v/>
      </c>
      <c r="P367" s="52">
        <f>IF('計算'!$C363="","",IF('計算'!$M363="","",'計算'!$AX363))</f>
        <v/>
      </c>
      <c r="Q367" s="52">
        <f>IF('計算'!$C363="","",IF('計算'!$M363="","",'計算'!$AY363))</f>
        <v/>
      </c>
      <c r="R367" s="52">
        <f>IF('計算'!$C363="","",IF('計算'!$M363="","",'計算'!$AZ363))</f>
        <v/>
      </c>
      <c r="S367" s="52">
        <f>IF('計算'!$C363="","",IF('計算'!$M363="","",'計算'!$BA363))</f>
        <v/>
      </c>
      <c r="T367" s="52">
        <f>IF('計算'!$C363="","",IF('計算'!$M363="","",'計算'!$BB363))</f>
        <v/>
      </c>
      <c r="U367" s="52">
        <f>IF('計算'!$C363="","",IF('計算'!$M363="","",'計算'!$BC363))</f>
        <v/>
      </c>
      <c r="V367" s="52">
        <f>IF('計算'!$C363="","",IF('計算'!$M363="","",'計算'!$BD363))</f>
        <v/>
      </c>
      <c r="W367" s="52">
        <f>IF('計算'!$C363="","",IF('計算'!$M363="","",'計算'!$BE363))</f>
        <v/>
      </c>
      <c r="X367" s="52">
        <f>IF('計算'!$C363="","",IF('計算'!$M363="","",'計算'!$BF363))</f>
        <v/>
      </c>
      <c r="Y367" s="52">
        <f>IF('計算'!$C363="","",IF('計算'!$M363="","",'計算'!$BG363))</f>
        <v/>
      </c>
      <c r="Z367" s="52">
        <f>IF('計算'!$C363="","",IF('計算'!$M363="","",'計算'!$BH363))</f>
        <v/>
      </c>
      <c r="AA367" s="52">
        <f>IF('計算'!$C363="","",IF('計算'!$M363="","",'計算'!$BI363))</f>
        <v/>
      </c>
      <c r="AB367" s="52">
        <f>IF('計算'!$C363="","",IF('計算'!$M363="","",'計算'!$BJ363))</f>
        <v/>
      </c>
      <c r="AC367" s="52">
        <f>IF('計算'!$C363="","",IF('計算'!$M363="","",'計算'!$BK363))</f>
        <v/>
      </c>
      <c r="AD367" s="53" t="n"/>
      <c r="AE367" s="48" t="n"/>
      <c r="AF367" s="54">
        <f>IF('計算'!$C363="","",'計算'!$C363)</f>
        <v/>
      </c>
      <c r="AG367" s="54">
        <f>IF('計算'!$C363="","",'計算'!$F363)</f>
        <v/>
      </c>
    </row>
    <row r="368" ht="18" customHeight="1">
      <c r="B368" s="42">
        <f>IF('計算'!$C364="","",'計算'!$B364)</f>
        <v/>
      </c>
      <c r="C368" s="43">
        <f>IF('計算'!$C364="","",'計算'!$D364)</f>
        <v/>
      </c>
      <c r="D368" s="44">
        <f>IF('計算'!$C364="","",'計算'!$O364)</f>
        <v/>
      </c>
      <c r="E368" s="45">
        <f>IF('計算'!$C364="","",'計算'!$L364)</f>
        <v/>
      </c>
      <c r="F368" s="46">
        <f>IF('計算'!$C364="","",'計算'!$CD364)</f>
        <v/>
      </c>
      <c r="G368" s="47">
        <f>IF('計算'!$C364="","",'計算'!$CA364)</f>
        <v/>
      </c>
      <c r="H368" s="43">
        <f>IF('計算'!$C364="","",'計算'!$CP364)</f>
        <v/>
      </c>
      <c r="I368" s="48" t="n"/>
      <c r="J368" s="49" t="n"/>
      <c r="K368" s="50">
        <f>IF('計算'!$C364="","",'計算'!$CR364)</f>
        <v/>
      </c>
      <c r="L368" s="51">
        <f>IF('計算'!$C364="","",'計算'!$CF364)</f>
        <v/>
      </c>
      <c r="M368" s="48" t="n"/>
      <c r="N368" s="49" t="n"/>
      <c r="O368" s="43">
        <f>IF('計算'!$C364="","",'計算'!$CQ364)</f>
        <v/>
      </c>
      <c r="P368" s="52">
        <f>IF('計算'!$C364="","",IF('計算'!$M364="","",'計算'!$AX364))</f>
        <v/>
      </c>
      <c r="Q368" s="52">
        <f>IF('計算'!$C364="","",IF('計算'!$M364="","",'計算'!$AY364))</f>
        <v/>
      </c>
      <c r="R368" s="52">
        <f>IF('計算'!$C364="","",IF('計算'!$M364="","",'計算'!$AZ364))</f>
        <v/>
      </c>
      <c r="S368" s="52">
        <f>IF('計算'!$C364="","",IF('計算'!$M364="","",'計算'!$BA364))</f>
        <v/>
      </c>
      <c r="T368" s="52">
        <f>IF('計算'!$C364="","",IF('計算'!$M364="","",'計算'!$BB364))</f>
        <v/>
      </c>
      <c r="U368" s="52">
        <f>IF('計算'!$C364="","",IF('計算'!$M364="","",'計算'!$BC364))</f>
        <v/>
      </c>
      <c r="V368" s="52">
        <f>IF('計算'!$C364="","",IF('計算'!$M364="","",'計算'!$BD364))</f>
        <v/>
      </c>
      <c r="W368" s="52">
        <f>IF('計算'!$C364="","",IF('計算'!$M364="","",'計算'!$BE364))</f>
        <v/>
      </c>
      <c r="X368" s="52">
        <f>IF('計算'!$C364="","",IF('計算'!$M364="","",'計算'!$BF364))</f>
        <v/>
      </c>
      <c r="Y368" s="52">
        <f>IF('計算'!$C364="","",IF('計算'!$M364="","",'計算'!$BG364))</f>
        <v/>
      </c>
      <c r="Z368" s="52">
        <f>IF('計算'!$C364="","",IF('計算'!$M364="","",'計算'!$BH364))</f>
        <v/>
      </c>
      <c r="AA368" s="52">
        <f>IF('計算'!$C364="","",IF('計算'!$M364="","",'計算'!$BI364))</f>
        <v/>
      </c>
      <c r="AB368" s="52">
        <f>IF('計算'!$C364="","",IF('計算'!$M364="","",'計算'!$BJ364))</f>
        <v/>
      </c>
      <c r="AC368" s="52">
        <f>IF('計算'!$C364="","",IF('計算'!$M364="","",'計算'!$BK364))</f>
        <v/>
      </c>
      <c r="AD368" s="53" t="n"/>
      <c r="AE368" s="48" t="n"/>
      <c r="AF368" s="54">
        <f>IF('計算'!$C364="","",'計算'!$C364)</f>
        <v/>
      </c>
      <c r="AG368" s="54">
        <f>IF('計算'!$C364="","",'計算'!$F364)</f>
        <v/>
      </c>
    </row>
    <row r="369" ht="18" customHeight="1">
      <c r="B369" s="42">
        <f>IF('計算'!$C365="","",'計算'!$B365)</f>
        <v/>
      </c>
      <c r="C369" s="43">
        <f>IF('計算'!$C365="","",'計算'!$D365)</f>
        <v/>
      </c>
      <c r="D369" s="44">
        <f>IF('計算'!$C365="","",'計算'!$O365)</f>
        <v/>
      </c>
      <c r="E369" s="45">
        <f>IF('計算'!$C365="","",'計算'!$L365)</f>
        <v/>
      </c>
      <c r="F369" s="46">
        <f>IF('計算'!$C365="","",'計算'!$CD365)</f>
        <v/>
      </c>
      <c r="G369" s="47">
        <f>IF('計算'!$C365="","",'計算'!$CA365)</f>
        <v/>
      </c>
      <c r="H369" s="43">
        <f>IF('計算'!$C365="","",'計算'!$CP365)</f>
        <v/>
      </c>
      <c r="I369" s="48" t="n"/>
      <c r="J369" s="49" t="n"/>
      <c r="K369" s="50">
        <f>IF('計算'!$C365="","",'計算'!$CR365)</f>
        <v/>
      </c>
      <c r="L369" s="51">
        <f>IF('計算'!$C365="","",'計算'!$CF365)</f>
        <v/>
      </c>
      <c r="M369" s="48" t="n"/>
      <c r="N369" s="49" t="n"/>
      <c r="O369" s="43">
        <f>IF('計算'!$C365="","",'計算'!$CQ365)</f>
        <v/>
      </c>
      <c r="P369" s="52">
        <f>IF('計算'!$C365="","",IF('計算'!$M365="","",'計算'!$AX365))</f>
        <v/>
      </c>
      <c r="Q369" s="52">
        <f>IF('計算'!$C365="","",IF('計算'!$M365="","",'計算'!$AY365))</f>
        <v/>
      </c>
      <c r="R369" s="52">
        <f>IF('計算'!$C365="","",IF('計算'!$M365="","",'計算'!$AZ365))</f>
        <v/>
      </c>
      <c r="S369" s="52">
        <f>IF('計算'!$C365="","",IF('計算'!$M365="","",'計算'!$BA365))</f>
        <v/>
      </c>
      <c r="T369" s="52">
        <f>IF('計算'!$C365="","",IF('計算'!$M365="","",'計算'!$BB365))</f>
        <v/>
      </c>
      <c r="U369" s="52">
        <f>IF('計算'!$C365="","",IF('計算'!$M365="","",'計算'!$BC365))</f>
        <v/>
      </c>
      <c r="V369" s="52">
        <f>IF('計算'!$C365="","",IF('計算'!$M365="","",'計算'!$BD365))</f>
        <v/>
      </c>
      <c r="W369" s="52">
        <f>IF('計算'!$C365="","",IF('計算'!$M365="","",'計算'!$BE365))</f>
        <v/>
      </c>
      <c r="X369" s="52">
        <f>IF('計算'!$C365="","",IF('計算'!$M365="","",'計算'!$BF365))</f>
        <v/>
      </c>
      <c r="Y369" s="52">
        <f>IF('計算'!$C365="","",IF('計算'!$M365="","",'計算'!$BG365))</f>
        <v/>
      </c>
      <c r="Z369" s="52">
        <f>IF('計算'!$C365="","",IF('計算'!$M365="","",'計算'!$BH365))</f>
        <v/>
      </c>
      <c r="AA369" s="52">
        <f>IF('計算'!$C365="","",IF('計算'!$M365="","",'計算'!$BI365))</f>
        <v/>
      </c>
      <c r="AB369" s="52">
        <f>IF('計算'!$C365="","",IF('計算'!$M365="","",'計算'!$BJ365))</f>
        <v/>
      </c>
      <c r="AC369" s="52">
        <f>IF('計算'!$C365="","",IF('計算'!$M365="","",'計算'!$BK365))</f>
        <v/>
      </c>
      <c r="AD369" s="53" t="n"/>
      <c r="AE369" s="48" t="n"/>
      <c r="AF369" s="54">
        <f>IF('計算'!$C365="","",'計算'!$C365)</f>
        <v/>
      </c>
      <c r="AG369" s="54">
        <f>IF('計算'!$C365="","",'計算'!$F365)</f>
        <v/>
      </c>
    </row>
    <row r="370" ht="18" customHeight="1">
      <c r="B370" s="42">
        <f>IF('計算'!$C366="","",'計算'!$B366)</f>
        <v/>
      </c>
      <c r="C370" s="43">
        <f>IF('計算'!$C366="","",'計算'!$D366)</f>
        <v/>
      </c>
      <c r="D370" s="44">
        <f>IF('計算'!$C366="","",'計算'!$O366)</f>
        <v/>
      </c>
      <c r="E370" s="45">
        <f>IF('計算'!$C366="","",'計算'!$L366)</f>
        <v/>
      </c>
      <c r="F370" s="46">
        <f>IF('計算'!$C366="","",'計算'!$CD366)</f>
        <v/>
      </c>
      <c r="G370" s="47">
        <f>IF('計算'!$C366="","",'計算'!$CA366)</f>
        <v/>
      </c>
      <c r="H370" s="43">
        <f>IF('計算'!$C366="","",'計算'!$CP366)</f>
        <v/>
      </c>
      <c r="I370" s="48" t="n"/>
      <c r="J370" s="49" t="n"/>
      <c r="K370" s="50">
        <f>IF('計算'!$C366="","",'計算'!$CR366)</f>
        <v/>
      </c>
      <c r="L370" s="51">
        <f>IF('計算'!$C366="","",'計算'!$CF366)</f>
        <v/>
      </c>
      <c r="M370" s="48" t="n"/>
      <c r="N370" s="49" t="n"/>
      <c r="O370" s="43">
        <f>IF('計算'!$C366="","",'計算'!$CQ366)</f>
        <v/>
      </c>
      <c r="P370" s="52">
        <f>IF('計算'!$C366="","",IF('計算'!$M366="","",'計算'!$AX366))</f>
        <v/>
      </c>
      <c r="Q370" s="52">
        <f>IF('計算'!$C366="","",IF('計算'!$M366="","",'計算'!$AY366))</f>
        <v/>
      </c>
      <c r="R370" s="52">
        <f>IF('計算'!$C366="","",IF('計算'!$M366="","",'計算'!$AZ366))</f>
        <v/>
      </c>
      <c r="S370" s="52">
        <f>IF('計算'!$C366="","",IF('計算'!$M366="","",'計算'!$BA366))</f>
        <v/>
      </c>
      <c r="T370" s="52">
        <f>IF('計算'!$C366="","",IF('計算'!$M366="","",'計算'!$BB366))</f>
        <v/>
      </c>
      <c r="U370" s="52">
        <f>IF('計算'!$C366="","",IF('計算'!$M366="","",'計算'!$BC366))</f>
        <v/>
      </c>
      <c r="V370" s="52">
        <f>IF('計算'!$C366="","",IF('計算'!$M366="","",'計算'!$BD366))</f>
        <v/>
      </c>
      <c r="W370" s="52">
        <f>IF('計算'!$C366="","",IF('計算'!$M366="","",'計算'!$BE366))</f>
        <v/>
      </c>
      <c r="X370" s="52">
        <f>IF('計算'!$C366="","",IF('計算'!$M366="","",'計算'!$BF366))</f>
        <v/>
      </c>
      <c r="Y370" s="52">
        <f>IF('計算'!$C366="","",IF('計算'!$M366="","",'計算'!$BG366))</f>
        <v/>
      </c>
      <c r="Z370" s="52">
        <f>IF('計算'!$C366="","",IF('計算'!$M366="","",'計算'!$BH366))</f>
        <v/>
      </c>
      <c r="AA370" s="52">
        <f>IF('計算'!$C366="","",IF('計算'!$M366="","",'計算'!$BI366))</f>
        <v/>
      </c>
      <c r="AB370" s="52">
        <f>IF('計算'!$C366="","",IF('計算'!$M366="","",'計算'!$BJ366))</f>
        <v/>
      </c>
      <c r="AC370" s="52">
        <f>IF('計算'!$C366="","",IF('計算'!$M366="","",'計算'!$BK366))</f>
        <v/>
      </c>
      <c r="AD370" s="53" t="n"/>
      <c r="AE370" s="48" t="n"/>
      <c r="AF370" s="54">
        <f>IF('計算'!$C366="","",'計算'!$C366)</f>
        <v/>
      </c>
      <c r="AG370" s="54">
        <f>IF('計算'!$C366="","",'計算'!$F366)</f>
        <v/>
      </c>
    </row>
    <row r="371" ht="18" customHeight="1">
      <c r="B371" s="42">
        <f>IF('計算'!$C367="","",'計算'!$B367)</f>
        <v/>
      </c>
      <c r="C371" s="43">
        <f>IF('計算'!$C367="","",'計算'!$D367)</f>
        <v/>
      </c>
      <c r="D371" s="44">
        <f>IF('計算'!$C367="","",'計算'!$O367)</f>
        <v/>
      </c>
      <c r="E371" s="45">
        <f>IF('計算'!$C367="","",'計算'!$L367)</f>
        <v/>
      </c>
      <c r="F371" s="46">
        <f>IF('計算'!$C367="","",'計算'!$CD367)</f>
        <v/>
      </c>
      <c r="G371" s="47">
        <f>IF('計算'!$C367="","",'計算'!$CA367)</f>
        <v/>
      </c>
      <c r="H371" s="43">
        <f>IF('計算'!$C367="","",'計算'!$CP367)</f>
        <v/>
      </c>
      <c r="I371" s="48" t="n"/>
      <c r="J371" s="49" t="n"/>
      <c r="K371" s="50">
        <f>IF('計算'!$C367="","",'計算'!$CR367)</f>
        <v/>
      </c>
      <c r="L371" s="51">
        <f>IF('計算'!$C367="","",'計算'!$CF367)</f>
        <v/>
      </c>
      <c r="M371" s="48" t="n"/>
      <c r="N371" s="49" t="n"/>
      <c r="O371" s="43">
        <f>IF('計算'!$C367="","",'計算'!$CQ367)</f>
        <v/>
      </c>
      <c r="P371" s="52">
        <f>IF('計算'!$C367="","",IF('計算'!$M367="","",'計算'!$AX367))</f>
        <v/>
      </c>
      <c r="Q371" s="52">
        <f>IF('計算'!$C367="","",IF('計算'!$M367="","",'計算'!$AY367))</f>
        <v/>
      </c>
      <c r="R371" s="52">
        <f>IF('計算'!$C367="","",IF('計算'!$M367="","",'計算'!$AZ367))</f>
        <v/>
      </c>
      <c r="S371" s="52">
        <f>IF('計算'!$C367="","",IF('計算'!$M367="","",'計算'!$BA367))</f>
        <v/>
      </c>
      <c r="T371" s="52">
        <f>IF('計算'!$C367="","",IF('計算'!$M367="","",'計算'!$BB367))</f>
        <v/>
      </c>
      <c r="U371" s="52">
        <f>IF('計算'!$C367="","",IF('計算'!$M367="","",'計算'!$BC367))</f>
        <v/>
      </c>
      <c r="V371" s="52">
        <f>IF('計算'!$C367="","",IF('計算'!$M367="","",'計算'!$BD367))</f>
        <v/>
      </c>
      <c r="W371" s="52">
        <f>IF('計算'!$C367="","",IF('計算'!$M367="","",'計算'!$BE367))</f>
        <v/>
      </c>
      <c r="X371" s="52">
        <f>IF('計算'!$C367="","",IF('計算'!$M367="","",'計算'!$BF367))</f>
        <v/>
      </c>
      <c r="Y371" s="52">
        <f>IF('計算'!$C367="","",IF('計算'!$M367="","",'計算'!$BG367))</f>
        <v/>
      </c>
      <c r="Z371" s="52">
        <f>IF('計算'!$C367="","",IF('計算'!$M367="","",'計算'!$BH367))</f>
        <v/>
      </c>
      <c r="AA371" s="52">
        <f>IF('計算'!$C367="","",IF('計算'!$M367="","",'計算'!$BI367))</f>
        <v/>
      </c>
      <c r="AB371" s="52">
        <f>IF('計算'!$C367="","",IF('計算'!$M367="","",'計算'!$BJ367))</f>
        <v/>
      </c>
      <c r="AC371" s="52">
        <f>IF('計算'!$C367="","",IF('計算'!$M367="","",'計算'!$BK367))</f>
        <v/>
      </c>
      <c r="AD371" s="53" t="n"/>
      <c r="AE371" s="48" t="n"/>
      <c r="AF371" s="54">
        <f>IF('計算'!$C367="","",'計算'!$C367)</f>
        <v/>
      </c>
      <c r="AG371" s="54">
        <f>IF('計算'!$C367="","",'計算'!$F367)</f>
        <v/>
      </c>
    </row>
    <row r="372" ht="18" customHeight="1">
      <c r="B372" s="42">
        <f>IF('計算'!$C368="","",'計算'!$B368)</f>
        <v/>
      </c>
      <c r="C372" s="43">
        <f>IF('計算'!$C368="","",'計算'!$D368)</f>
        <v/>
      </c>
      <c r="D372" s="44">
        <f>IF('計算'!$C368="","",'計算'!$O368)</f>
        <v/>
      </c>
      <c r="E372" s="45">
        <f>IF('計算'!$C368="","",'計算'!$L368)</f>
        <v/>
      </c>
      <c r="F372" s="46">
        <f>IF('計算'!$C368="","",'計算'!$CD368)</f>
        <v/>
      </c>
      <c r="G372" s="47">
        <f>IF('計算'!$C368="","",'計算'!$CA368)</f>
        <v/>
      </c>
      <c r="H372" s="43">
        <f>IF('計算'!$C368="","",'計算'!$CP368)</f>
        <v/>
      </c>
      <c r="I372" s="48" t="n"/>
      <c r="J372" s="49" t="n"/>
      <c r="K372" s="50">
        <f>IF('計算'!$C368="","",'計算'!$CR368)</f>
        <v/>
      </c>
      <c r="L372" s="51">
        <f>IF('計算'!$C368="","",'計算'!$CF368)</f>
        <v/>
      </c>
      <c r="M372" s="48" t="n"/>
      <c r="N372" s="49" t="n"/>
      <c r="O372" s="43">
        <f>IF('計算'!$C368="","",'計算'!$CQ368)</f>
        <v/>
      </c>
      <c r="P372" s="52">
        <f>IF('計算'!$C368="","",IF('計算'!$M368="","",'計算'!$AX368))</f>
        <v/>
      </c>
      <c r="Q372" s="52">
        <f>IF('計算'!$C368="","",IF('計算'!$M368="","",'計算'!$AY368))</f>
        <v/>
      </c>
      <c r="R372" s="52">
        <f>IF('計算'!$C368="","",IF('計算'!$M368="","",'計算'!$AZ368))</f>
        <v/>
      </c>
      <c r="S372" s="52">
        <f>IF('計算'!$C368="","",IF('計算'!$M368="","",'計算'!$BA368))</f>
        <v/>
      </c>
      <c r="T372" s="52">
        <f>IF('計算'!$C368="","",IF('計算'!$M368="","",'計算'!$BB368))</f>
        <v/>
      </c>
      <c r="U372" s="52">
        <f>IF('計算'!$C368="","",IF('計算'!$M368="","",'計算'!$BC368))</f>
        <v/>
      </c>
      <c r="V372" s="52">
        <f>IF('計算'!$C368="","",IF('計算'!$M368="","",'計算'!$BD368))</f>
        <v/>
      </c>
      <c r="W372" s="52">
        <f>IF('計算'!$C368="","",IF('計算'!$M368="","",'計算'!$BE368))</f>
        <v/>
      </c>
      <c r="X372" s="52">
        <f>IF('計算'!$C368="","",IF('計算'!$M368="","",'計算'!$BF368))</f>
        <v/>
      </c>
      <c r="Y372" s="52">
        <f>IF('計算'!$C368="","",IF('計算'!$M368="","",'計算'!$BG368))</f>
        <v/>
      </c>
      <c r="Z372" s="52">
        <f>IF('計算'!$C368="","",IF('計算'!$M368="","",'計算'!$BH368))</f>
        <v/>
      </c>
      <c r="AA372" s="52">
        <f>IF('計算'!$C368="","",IF('計算'!$M368="","",'計算'!$BI368))</f>
        <v/>
      </c>
      <c r="AB372" s="52">
        <f>IF('計算'!$C368="","",IF('計算'!$M368="","",'計算'!$BJ368))</f>
        <v/>
      </c>
      <c r="AC372" s="52">
        <f>IF('計算'!$C368="","",IF('計算'!$M368="","",'計算'!$BK368))</f>
        <v/>
      </c>
      <c r="AD372" s="53" t="n"/>
      <c r="AE372" s="48" t="n"/>
      <c r="AF372" s="54">
        <f>IF('計算'!$C368="","",'計算'!$C368)</f>
        <v/>
      </c>
      <c r="AG372" s="54">
        <f>IF('計算'!$C368="","",'計算'!$F368)</f>
        <v/>
      </c>
    </row>
    <row r="373" ht="18" customHeight="1">
      <c r="B373" s="42">
        <f>IF('計算'!$C369="","",'計算'!$B369)</f>
        <v/>
      </c>
      <c r="C373" s="43">
        <f>IF('計算'!$C369="","",'計算'!$D369)</f>
        <v/>
      </c>
      <c r="D373" s="44">
        <f>IF('計算'!$C369="","",'計算'!$O369)</f>
        <v/>
      </c>
      <c r="E373" s="45">
        <f>IF('計算'!$C369="","",'計算'!$L369)</f>
        <v/>
      </c>
      <c r="F373" s="46">
        <f>IF('計算'!$C369="","",'計算'!$CD369)</f>
        <v/>
      </c>
      <c r="G373" s="47">
        <f>IF('計算'!$C369="","",'計算'!$CA369)</f>
        <v/>
      </c>
      <c r="H373" s="43">
        <f>IF('計算'!$C369="","",'計算'!$CP369)</f>
        <v/>
      </c>
      <c r="I373" s="48" t="n"/>
      <c r="J373" s="49" t="n"/>
      <c r="K373" s="50">
        <f>IF('計算'!$C369="","",'計算'!$CR369)</f>
        <v/>
      </c>
      <c r="L373" s="51">
        <f>IF('計算'!$C369="","",'計算'!$CF369)</f>
        <v/>
      </c>
      <c r="M373" s="48" t="n"/>
      <c r="N373" s="49" t="n"/>
      <c r="O373" s="43">
        <f>IF('計算'!$C369="","",'計算'!$CQ369)</f>
        <v/>
      </c>
      <c r="P373" s="52">
        <f>IF('計算'!$C369="","",IF('計算'!$M369="","",'計算'!$AX369))</f>
        <v/>
      </c>
      <c r="Q373" s="52">
        <f>IF('計算'!$C369="","",IF('計算'!$M369="","",'計算'!$AY369))</f>
        <v/>
      </c>
      <c r="R373" s="52">
        <f>IF('計算'!$C369="","",IF('計算'!$M369="","",'計算'!$AZ369))</f>
        <v/>
      </c>
      <c r="S373" s="52">
        <f>IF('計算'!$C369="","",IF('計算'!$M369="","",'計算'!$BA369))</f>
        <v/>
      </c>
      <c r="T373" s="52">
        <f>IF('計算'!$C369="","",IF('計算'!$M369="","",'計算'!$BB369))</f>
        <v/>
      </c>
      <c r="U373" s="52">
        <f>IF('計算'!$C369="","",IF('計算'!$M369="","",'計算'!$BC369))</f>
        <v/>
      </c>
      <c r="V373" s="52">
        <f>IF('計算'!$C369="","",IF('計算'!$M369="","",'計算'!$BD369))</f>
        <v/>
      </c>
      <c r="W373" s="52">
        <f>IF('計算'!$C369="","",IF('計算'!$M369="","",'計算'!$BE369))</f>
        <v/>
      </c>
      <c r="X373" s="52">
        <f>IF('計算'!$C369="","",IF('計算'!$M369="","",'計算'!$BF369))</f>
        <v/>
      </c>
      <c r="Y373" s="52">
        <f>IF('計算'!$C369="","",IF('計算'!$M369="","",'計算'!$BG369))</f>
        <v/>
      </c>
      <c r="Z373" s="52">
        <f>IF('計算'!$C369="","",IF('計算'!$M369="","",'計算'!$BH369))</f>
        <v/>
      </c>
      <c r="AA373" s="52">
        <f>IF('計算'!$C369="","",IF('計算'!$M369="","",'計算'!$BI369))</f>
        <v/>
      </c>
      <c r="AB373" s="52">
        <f>IF('計算'!$C369="","",IF('計算'!$M369="","",'計算'!$BJ369))</f>
        <v/>
      </c>
      <c r="AC373" s="52">
        <f>IF('計算'!$C369="","",IF('計算'!$M369="","",'計算'!$BK369))</f>
        <v/>
      </c>
      <c r="AD373" s="53" t="n"/>
      <c r="AE373" s="48" t="n"/>
      <c r="AF373" s="54">
        <f>IF('計算'!$C369="","",'計算'!$C369)</f>
        <v/>
      </c>
      <c r="AG373" s="54">
        <f>IF('計算'!$C369="","",'計算'!$F369)</f>
        <v/>
      </c>
    </row>
    <row r="374" ht="18" customHeight="1">
      <c r="B374" s="42">
        <f>IF('計算'!$C370="","",'計算'!$B370)</f>
        <v/>
      </c>
      <c r="C374" s="43">
        <f>IF('計算'!$C370="","",'計算'!$D370)</f>
        <v/>
      </c>
      <c r="D374" s="44">
        <f>IF('計算'!$C370="","",'計算'!$O370)</f>
        <v/>
      </c>
      <c r="E374" s="45">
        <f>IF('計算'!$C370="","",'計算'!$L370)</f>
        <v/>
      </c>
      <c r="F374" s="46">
        <f>IF('計算'!$C370="","",'計算'!$CD370)</f>
        <v/>
      </c>
      <c r="G374" s="47">
        <f>IF('計算'!$C370="","",'計算'!$CA370)</f>
        <v/>
      </c>
      <c r="H374" s="43">
        <f>IF('計算'!$C370="","",'計算'!$CP370)</f>
        <v/>
      </c>
      <c r="I374" s="48" t="n"/>
      <c r="J374" s="49" t="n"/>
      <c r="K374" s="50">
        <f>IF('計算'!$C370="","",'計算'!$CR370)</f>
        <v/>
      </c>
      <c r="L374" s="51">
        <f>IF('計算'!$C370="","",'計算'!$CF370)</f>
        <v/>
      </c>
      <c r="M374" s="48" t="n"/>
      <c r="N374" s="49" t="n"/>
      <c r="O374" s="43">
        <f>IF('計算'!$C370="","",'計算'!$CQ370)</f>
        <v/>
      </c>
      <c r="P374" s="52">
        <f>IF('計算'!$C370="","",IF('計算'!$M370="","",'計算'!$AX370))</f>
        <v/>
      </c>
      <c r="Q374" s="52">
        <f>IF('計算'!$C370="","",IF('計算'!$M370="","",'計算'!$AY370))</f>
        <v/>
      </c>
      <c r="R374" s="52">
        <f>IF('計算'!$C370="","",IF('計算'!$M370="","",'計算'!$AZ370))</f>
        <v/>
      </c>
      <c r="S374" s="52">
        <f>IF('計算'!$C370="","",IF('計算'!$M370="","",'計算'!$BA370))</f>
        <v/>
      </c>
      <c r="T374" s="52">
        <f>IF('計算'!$C370="","",IF('計算'!$M370="","",'計算'!$BB370))</f>
        <v/>
      </c>
      <c r="U374" s="52">
        <f>IF('計算'!$C370="","",IF('計算'!$M370="","",'計算'!$BC370))</f>
        <v/>
      </c>
      <c r="V374" s="52">
        <f>IF('計算'!$C370="","",IF('計算'!$M370="","",'計算'!$BD370))</f>
        <v/>
      </c>
      <c r="W374" s="52">
        <f>IF('計算'!$C370="","",IF('計算'!$M370="","",'計算'!$BE370))</f>
        <v/>
      </c>
      <c r="X374" s="52">
        <f>IF('計算'!$C370="","",IF('計算'!$M370="","",'計算'!$BF370))</f>
        <v/>
      </c>
      <c r="Y374" s="52">
        <f>IF('計算'!$C370="","",IF('計算'!$M370="","",'計算'!$BG370))</f>
        <v/>
      </c>
      <c r="Z374" s="52">
        <f>IF('計算'!$C370="","",IF('計算'!$M370="","",'計算'!$BH370))</f>
        <v/>
      </c>
      <c r="AA374" s="52">
        <f>IF('計算'!$C370="","",IF('計算'!$M370="","",'計算'!$BI370))</f>
        <v/>
      </c>
      <c r="AB374" s="52">
        <f>IF('計算'!$C370="","",IF('計算'!$M370="","",'計算'!$BJ370))</f>
        <v/>
      </c>
      <c r="AC374" s="52">
        <f>IF('計算'!$C370="","",IF('計算'!$M370="","",'計算'!$BK370))</f>
        <v/>
      </c>
      <c r="AD374" s="53" t="n"/>
      <c r="AE374" s="48" t="n"/>
      <c r="AF374" s="54">
        <f>IF('計算'!$C370="","",'計算'!$C370)</f>
        <v/>
      </c>
      <c r="AG374" s="54">
        <f>IF('計算'!$C370="","",'計算'!$F370)</f>
        <v/>
      </c>
    </row>
    <row r="375" ht="18" customHeight="1">
      <c r="B375" s="42">
        <f>IF('計算'!$C371="","",'計算'!$B371)</f>
        <v/>
      </c>
      <c r="C375" s="43">
        <f>IF('計算'!$C371="","",'計算'!$D371)</f>
        <v/>
      </c>
      <c r="D375" s="44">
        <f>IF('計算'!$C371="","",'計算'!$O371)</f>
        <v/>
      </c>
      <c r="E375" s="45">
        <f>IF('計算'!$C371="","",'計算'!$L371)</f>
        <v/>
      </c>
      <c r="F375" s="46">
        <f>IF('計算'!$C371="","",'計算'!$CD371)</f>
        <v/>
      </c>
      <c r="G375" s="47">
        <f>IF('計算'!$C371="","",'計算'!$CA371)</f>
        <v/>
      </c>
      <c r="H375" s="43">
        <f>IF('計算'!$C371="","",'計算'!$CP371)</f>
        <v/>
      </c>
      <c r="I375" s="48" t="n"/>
      <c r="J375" s="49" t="n"/>
      <c r="K375" s="50">
        <f>IF('計算'!$C371="","",'計算'!$CR371)</f>
        <v/>
      </c>
      <c r="L375" s="51">
        <f>IF('計算'!$C371="","",'計算'!$CF371)</f>
        <v/>
      </c>
      <c r="M375" s="48" t="n"/>
      <c r="N375" s="49" t="n"/>
      <c r="O375" s="43">
        <f>IF('計算'!$C371="","",'計算'!$CQ371)</f>
        <v/>
      </c>
      <c r="P375" s="52">
        <f>IF('計算'!$C371="","",IF('計算'!$M371="","",'計算'!$AX371))</f>
        <v/>
      </c>
      <c r="Q375" s="52">
        <f>IF('計算'!$C371="","",IF('計算'!$M371="","",'計算'!$AY371))</f>
        <v/>
      </c>
      <c r="R375" s="52">
        <f>IF('計算'!$C371="","",IF('計算'!$M371="","",'計算'!$AZ371))</f>
        <v/>
      </c>
      <c r="S375" s="52">
        <f>IF('計算'!$C371="","",IF('計算'!$M371="","",'計算'!$BA371))</f>
        <v/>
      </c>
      <c r="T375" s="52">
        <f>IF('計算'!$C371="","",IF('計算'!$M371="","",'計算'!$BB371))</f>
        <v/>
      </c>
      <c r="U375" s="52">
        <f>IF('計算'!$C371="","",IF('計算'!$M371="","",'計算'!$BC371))</f>
        <v/>
      </c>
      <c r="V375" s="52">
        <f>IF('計算'!$C371="","",IF('計算'!$M371="","",'計算'!$BD371))</f>
        <v/>
      </c>
      <c r="W375" s="52">
        <f>IF('計算'!$C371="","",IF('計算'!$M371="","",'計算'!$BE371))</f>
        <v/>
      </c>
      <c r="X375" s="52">
        <f>IF('計算'!$C371="","",IF('計算'!$M371="","",'計算'!$BF371))</f>
        <v/>
      </c>
      <c r="Y375" s="52">
        <f>IF('計算'!$C371="","",IF('計算'!$M371="","",'計算'!$BG371))</f>
        <v/>
      </c>
      <c r="Z375" s="52">
        <f>IF('計算'!$C371="","",IF('計算'!$M371="","",'計算'!$BH371))</f>
        <v/>
      </c>
      <c r="AA375" s="52">
        <f>IF('計算'!$C371="","",IF('計算'!$M371="","",'計算'!$BI371))</f>
        <v/>
      </c>
      <c r="AB375" s="52">
        <f>IF('計算'!$C371="","",IF('計算'!$M371="","",'計算'!$BJ371))</f>
        <v/>
      </c>
      <c r="AC375" s="52">
        <f>IF('計算'!$C371="","",IF('計算'!$M371="","",'計算'!$BK371))</f>
        <v/>
      </c>
      <c r="AD375" s="53" t="n"/>
      <c r="AE375" s="48" t="n"/>
      <c r="AF375" s="54">
        <f>IF('計算'!$C371="","",'計算'!$C371)</f>
        <v/>
      </c>
      <c r="AG375" s="54">
        <f>IF('計算'!$C371="","",'計算'!$F371)</f>
        <v/>
      </c>
    </row>
    <row r="376" ht="18" customHeight="1">
      <c r="B376" s="42">
        <f>IF('計算'!$C372="","",'計算'!$B372)</f>
        <v/>
      </c>
      <c r="C376" s="43">
        <f>IF('計算'!$C372="","",'計算'!$D372)</f>
        <v/>
      </c>
      <c r="D376" s="44">
        <f>IF('計算'!$C372="","",'計算'!$O372)</f>
        <v/>
      </c>
      <c r="E376" s="45">
        <f>IF('計算'!$C372="","",'計算'!$L372)</f>
        <v/>
      </c>
      <c r="F376" s="46">
        <f>IF('計算'!$C372="","",'計算'!$CD372)</f>
        <v/>
      </c>
      <c r="G376" s="47">
        <f>IF('計算'!$C372="","",'計算'!$CA372)</f>
        <v/>
      </c>
      <c r="H376" s="43">
        <f>IF('計算'!$C372="","",'計算'!$CP372)</f>
        <v/>
      </c>
      <c r="I376" s="48" t="n"/>
      <c r="J376" s="49" t="n"/>
      <c r="K376" s="50">
        <f>IF('計算'!$C372="","",'計算'!$CR372)</f>
        <v/>
      </c>
      <c r="L376" s="51">
        <f>IF('計算'!$C372="","",'計算'!$CF372)</f>
        <v/>
      </c>
      <c r="M376" s="48" t="n"/>
      <c r="N376" s="49" t="n"/>
      <c r="O376" s="43">
        <f>IF('計算'!$C372="","",'計算'!$CQ372)</f>
        <v/>
      </c>
      <c r="P376" s="52">
        <f>IF('計算'!$C372="","",IF('計算'!$M372="","",'計算'!$AX372))</f>
        <v/>
      </c>
      <c r="Q376" s="52">
        <f>IF('計算'!$C372="","",IF('計算'!$M372="","",'計算'!$AY372))</f>
        <v/>
      </c>
      <c r="R376" s="52">
        <f>IF('計算'!$C372="","",IF('計算'!$M372="","",'計算'!$AZ372))</f>
        <v/>
      </c>
      <c r="S376" s="52">
        <f>IF('計算'!$C372="","",IF('計算'!$M372="","",'計算'!$BA372))</f>
        <v/>
      </c>
      <c r="T376" s="52">
        <f>IF('計算'!$C372="","",IF('計算'!$M372="","",'計算'!$BB372))</f>
        <v/>
      </c>
      <c r="U376" s="52">
        <f>IF('計算'!$C372="","",IF('計算'!$M372="","",'計算'!$BC372))</f>
        <v/>
      </c>
      <c r="V376" s="52">
        <f>IF('計算'!$C372="","",IF('計算'!$M372="","",'計算'!$BD372))</f>
        <v/>
      </c>
      <c r="W376" s="52">
        <f>IF('計算'!$C372="","",IF('計算'!$M372="","",'計算'!$BE372))</f>
        <v/>
      </c>
      <c r="X376" s="52">
        <f>IF('計算'!$C372="","",IF('計算'!$M372="","",'計算'!$BF372))</f>
        <v/>
      </c>
      <c r="Y376" s="52">
        <f>IF('計算'!$C372="","",IF('計算'!$M372="","",'計算'!$BG372))</f>
        <v/>
      </c>
      <c r="Z376" s="52">
        <f>IF('計算'!$C372="","",IF('計算'!$M372="","",'計算'!$BH372))</f>
        <v/>
      </c>
      <c r="AA376" s="52">
        <f>IF('計算'!$C372="","",IF('計算'!$M372="","",'計算'!$BI372))</f>
        <v/>
      </c>
      <c r="AB376" s="52">
        <f>IF('計算'!$C372="","",IF('計算'!$M372="","",'計算'!$BJ372))</f>
        <v/>
      </c>
      <c r="AC376" s="52">
        <f>IF('計算'!$C372="","",IF('計算'!$M372="","",'計算'!$BK372))</f>
        <v/>
      </c>
      <c r="AD376" s="53" t="n"/>
      <c r="AE376" s="48" t="n"/>
      <c r="AF376" s="54">
        <f>IF('計算'!$C372="","",'計算'!$C372)</f>
        <v/>
      </c>
      <c r="AG376" s="54">
        <f>IF('計算'!$C372="","",'計算'!$F372)</f>
        <v/>
      </c>
    </row>
    <row r="377" ht="18" customHeight="1">
      <c r="B377" s="42">
        <f>IF('計算'!$C373="","",'計算'!$B373)</f>
        <v/>
      </c>
      <c r="C377" s="43">
        <f>IF('計算'!$C373="","",'計算'!$D373)</f>
        <v/>
      </c>
      <c r="D377" s="44">
        <f>IF('計算'!$C373="","",'計算'!$O373)</f>
        <v/>
      </c>
      <c r="E377" s="45">
        <f>IF('計算'!$C373="","",'計算'!$L373)</f>
        <v/>
      </c>
      <c r="F377" s="46">
        <f>IF('計算'!$C373="","",'計算'!$CD373)</f>
        <v/>
      </c>
      <c r="G377" s="47">
        <f>IF('計算'!$C373="","",'計算'!$CA373)</f>
        <v/>
      </c>
      <c r="H377" s="43">
        <f>IF('計算'!$C373="","",'計算'!$CP373)</f>
        <v/>
      </c>
      <c r="I377" s="48" t="n"/>
      <c r="J377" s="49" t="n"/>
      <c r="K377" s="50">
        <f>IF('計算'!$C373="","",'計算'!$CR373)</f>
        <v/>
      </c>
      <c r="L377" s="51">
        <f>IF('計算'!$C373="","",'計算'!$CF373)</f>
        <v/>
      </c>
      <c r="M377" s="48" t="n"/>
      <c r="N377" s="49" t="n"/>
      <c r="O377" s="43">
        <f>IF('計算'!$C373="","",'計算'!$CQ373)</f>
        <v/>
      </c>
      <c r="P377" s="52">
        <f>IF('計算'!$C373="","",IF('計算'!$M373="","",'計算'!$AX373))</f>
        <v/>
      </c>
      <c r="Q377" s="52">
        <f>IF('計算'!$C373="","",IF('計算'!$M373="","",'計算'!$AY373))</f>
        <v/>
      </c>
      <c r="R377" s="52">
        <f>IF('計算'!$C373="","",IF('計算'!$M373="","",'計算'!$AZ373))</f>
        <v/>
      </c>
      <c r="S377" s="52">
        <f>IF('計算'!$C373="","",IF('計算'!$M373="","",'計算'!$BA373))</f>
        <v/>
      </c>
      <c r="T377" s="52">
        <f>IF('計算'!$C373="","",IF('計算'!$M373="","",'計算'!$BB373))</f>
        <v/>
      </c>
      <c r="U377" s="52">
        <f>IF('計算'!$C373="","",IF('計算'!$M373="","",'計算'!$BC373))</f>
        <v/>
      </c>
      <c r="V377" s="52">
        <f>IF('計算'!$C373="","",IF('計算'!$M373="","",'計算'!$BD373))</f>
        <v/>
      </c>
      <c r="W377" s="52">
        <f>IF('計算'!$C373="","",IF('計算'!$M373="","",'計算'!$BE373))</f>
        <v/>
      </c>
      <c r="X377" s="52">
        <f>IF('計算'!$C373="","",IF('計算'!$M373="","",'計算'!$BF373))</f>
        <v/>
      </c>
      <c r="Y377" s="52">
        <f>IF('計算'!$C373="","",IF('計算'!$M373="","",'計算'!$BG373))</f>
        <v/>
      </c>
      <c r="Z377" s="52">
        <f>IF('計算'!$C373="","",IF('計算'!$M373="","",'計算'!$BH373))</f>
        <v/>
      </c>
      <c r="AA377" s="52">
        <f>IF('計算'!$C373="","",IF('計算'!$M373="","",'計算'!$BI373))</f>
        <v/>
      </c>
      <c r="AB377" s="52">
        <f>IF('計算'!$C373="","",IF('計算'!$M373="","",'計算'!$BJ373))</f>
        <v/>
      </c>
      <c r="AC377" s="52">
        <f>IF('計算'!$C373="","",IF('計算'!$M373="","",'計算'!$BK373))</f>
        <v/>
      </c>
      <c r="AD377" s="53" t="n"/>
      <c r="AE377" s="48" t="n"/>
      <c r="AF377" s="54">
        <f>IF('計算'!$C373="","",'計算'!$C373)</f>
        <v/>
      </c>
      <c r="AG377" s="54">
        <f>IF('計算'!$C373="","",'計算'!$F373)</f>
        <v/>
      </c>
    </row>
    <row r="378" ht="18" customHeight="1">
      <c r="B378" s="42">
        <f>IF('計算'!$C374="","",'計算'!$B374)</f>
        <v/>
      </c>
      <c r="C378" s="43">
        <f>IF('計算'!$C374="","",'計算'!$D374)</f>
        <v/>
      </c>
      <c r="D378" s="44">
        <f>IF('計算'!$C374="","",'計算'!$O374)</f>
        <v/>
      </c>
      <c r="E378" s="45">
        <f>IF('計算'!$C374="","",'計算'!$L374)</f>
        <v/>
      </c>
      <c r="F378" s="46">
        <f>IF('計算'!$C374="","",'計算'!$CD374)</f>
        <v/>
      </c>
      <c r="G378" s="47">
        <f>IF('計算'!$C374="","",'計算'!$CA374)</f>
        <v/>
      </c>
      <c r="H378" s="43">
        <f>IF('計算'!$C374="","",'計算'!$CP374)</f>
        <v/>
      </c>
      <c r="I378" s="48" t="n"/>
      <c r="J378" s="49" t="n"/>
      <c r="K378" s="50">
        <f>IF('計算'!$C374="","",'計算'!$CR374)</f>
        <v/>
      </c>
      <c r="L378" s="51">
        <f>IF('計算'!$C374="","",'計算'!$CF374)</f>
        <v/>
      </c>
      <c r="M378" s="48" t="n"/>
      <c r="N378" s="49" t="n"/>
      <c r="O378" s="43">
        <f>IF('計算'!$C374="","",'計算'!$CQ374)</f>
        <v/>
      </c>
      <c r="P378" s="52">
        <f>IF('計算'!$C374="","",IF('計算'!$M374="","",'計算'!$AX374))</f>
        <v/>
      </c>
      <c r="Q378" s="52">
        <f>IF('計算'!$C374="","",IF('計算'!$M374="","",'計算'!$AY374))</f>
        <v/>
      </c>
      <c r="R378" s="52">
        <f>IF('計算'!$C374="","",IF('計算'!$M374="","",'計算'!$AZ374))</f>
        <v/>
      </c>
      <c r="S378" s="52">
        <f>IF('計算'!$C374="","",IF('計算'!$M374="","",'計算'!$BA374))</f>
        <v/>
      </c>
      <c r="T378" s="52">
        <f>IF('計算'!$C374="","",IF('計算'!$M374="","",'計算'!$BB374))</f>
        <v/>
      </c>
      <c r="U378" s="52">
        <f>IF('計算'!$C374="","",IF('計算'!$M374="","",'計算'!$BC374))</f>
        <v/>
      </c>
      <c r="V378" s="52">
        <f>IF('計算'!$C374="","",IF('計算'!$M374="","",'計算'!$BD374))</f>
        <v/>
      </c>
      <c r="W378" s="52">
        <f>IF('計算'!$C374="","",IF('計算'!$M374="","",'計算'!$BE374))</f>
        <v/>
      </c>
      <c r="X378" s="52">
        <f>IF('計算'!$C374="","",IF('計算'!$M374="","",'計算'!$BF374))</f>
        <v/>
      </c>
      <c r="Y378" s="52">
        <f>IF('計算'!$C374="","",IF('計算'!$M374="","",'計算'!$BG374))</f>
        <v/>
      </c>
      <c r="Z378" s="52">
        <f>IF('計算'!$C374="","",IF('計算'!$M374="","",'計算'!$BH374))</f>
        <v/>
      </c>
      <c r="AA378" s="52">
        <f>IF('計算'!$C374="","",IF('計算'!$M374="","",'計算'!$BI374))</f>
        <v/>
      </c>
      <c r="AB378" s="52">
        <f>IF('計算'!$C374="","",IF('計算'!$M374="","",'計算'!$BJ374))</f>
        <v/>
      </c>
      <c r="AC378" s="52">
        <f>IF('計算'!$C374="","",IF('計算'!$M374="","",'計算'!$BK374))</f>
        <v/>
      </c>
      <c r="AD378" s="53" t="n"/>
      <c r="AE378" s="48" t="n"/>
      <c r="AF378" s="54">
        <f>IF('計算'!$C374="","",'計算'!$C374)</f>
        <v/>
      </c>
      <c r="AG378" s="54">
        <f>IF('計算'!$C374="","",'計算'!$F374)</f>
        <v/>
      </c>
    </row>
    <row r="379" ht="18" customHeight="1">
      <c r="B379" s="42">
        <f>IF('計算'!$C375="","",'計算'!$B375)</f>
        <v/>
      </c>
      <c r="C379" s="43">
        <f>IF('計算'!$C375="","",'計算'!$D375)</f>
        <v/>
      </c>
      <c r="D379" s="44">
        <f>IF('計算'!$C375="","",'計算'!$O375)</f>
        <v/>
      </c>
      <c r="E379" s="45">
        <f>IF('計算'!$C375="","",'計算'!$L375)</f>
        <v/>
      </c>
      <c r="F379" s="46">
        <f>IF('計算'!$C375="","",'計算'!$CD375)</f>
        <v/>
      </c>
      <c r="G379" s="47">
        <f>IF('計算'!$C375="","",'計算'!$CA375)</f>
        <v/>
      </c>
      <c r="H379" s="43">
        <f>IF('計算'!$C375="","",'計算'!$CP375)</f>
        <v/>
      </c>
      <c r="I379" s="48" t="n"/>
      <c r="J379" s="49" t="n"/>
      <c r="K379" s="50">
        <f>IF('計算'!$C375="","",'計算'!$CR375)</f>
        <v/>
      </c>
      <c r="L379" s="51">
        <f>IF('計算'!$C375="","",'計算'!$CF375)</f>
        <v/>
      </c>
      <c r="M379" s="48" t="n"/>
      <c r="N379" s="49" t="n"/>
      <c r="O379" s="43">
        <f>IF('計算'!$C375="","",'計算'!$CQ375)</f>
        <v/>
      </c>
      <c r="P379" s="52">
        <f>IF('計算'!$C375="","",IF('計算'!$M375="","",'計算'!$AX375))</f>
        <v/>
      </c>
      <c r="Q379" s="52">
        <f>IF('計算'!$C375="","",IF('計算'!$M375="","",'計算'!$AY375))</f>
        <v/>
      </c>
      <c r="R379" s="52">
        <f>IF('計算'!$C375="","",IF('計算'!$M375="","",'計算'!$AZ375))</f>
        <v/>
      </c>
      <c r="S379" s="52">
        <f>IF('計算'!$C375="","",IF('計算'!$M375="","",'計算'!$BA375))</f>
        <v/>
      </c>
      <c r="T379" s="52">
        <f>IF('計算'!$C375="","",IF('計算'!$M375="","",'計算'!$BB375))</f>
        <v/>
      </c>
      <c r="U379" s="52">
        <f>IF('計算'!$C375="","",IF('計算'!$M375="","",'計算'!$BC375))</f>
        <v/>
      </c>
      <c r="V379" s="52">
        <f>IF('計算'!$C375="","",IF('計算'!$M375="","",'計算'!$BD375))</f>
        <v/>
      </c>
      <c r="W379" s="52">
        <f>IF('計算'!$C375="","",IF('計算'!$M375="","",'計算'!$BE375))</f>
        <v/>
      </c>
      <c r="X379" s="52">
        <f>IF('計算'!$C375="","",IF('計算'!$M375="","",'計算'!$BF375))</f>
        <v/>
      </c>
      <c r="Y379" s="52">
        <f>IF('計算'!$C375="","",IF('計算'!$M375="","",'計算'!$BG375))</f>
        <v/>
      </c>
      <c r="Z379" s="52">
        <f>IF('計算'!$C375="","",IF('計算'!$M375="","",'計算'!$BH375))</f>
        <v/>
      </c>
      <c r="AA379" s="52">
        <f>IF('計算'!$C375="","",IF('計算'!$M375="","",'計算'!$BI375))</f>
        <v/>
      </c>
      <c r="AB379" s="52">
        <f>IF('計算'!$C375="","",IF('計算'!$M375="","",'計算'!$BJ375))</f>
        <v/>
      </c>
      <c r="AC379" s="52">
        <f>IF('計算'!$C375="","",IF('計算'!$M375="","",'計算'!$BK375))</f>
        <v/>
      </c>
      <c r="AD379" s="53" t="n"/>
      <c r="AE379" s="48" t="n"/>
      <c r="AF379" s="54">
        <f>IF('計算'!$C375="","",'計算'!$C375)</f>
        <v/>
      </c>
      <c r="AG379" s="54">
        <f>IF('計算'!$C375="","",'計算'!$F375)</f>
        <v/>
      </c>
    </row>
    <row r="380" ht="18" customHeight="1">
      <c r="B380" s="42">
        <f>IF('計算'!$C376="","",'計算'!$B376)</f>
        <v/>
      </c>
      <c r="C380" s="43">
        <f>IF('計算'!$C376="","",'計算'!$D376)</f>
        <v/>
      </c>
      <c r="D380" s="44">
        <f>IF('計算'!$C376="","",'計算'!$O376)</f>
        <v/>
      </c>
      <c r="E380" s="45">
        <f>IF('計算'!$C376="","",'計算'!$L376)</f>
        <v/>
      </c>
      <c r="F380" s="46">
        <f>IF('計算'!$C376="","",'計算'!$CD376)</f>
        <v/>
      </c>
      <c r="G380" s="47">
        <f>IF('計算'!$C376="","",'計算'!$CA376)</f>
        <v/>
      </c>
      <c r="H380" s="43">
        <f>IF('計算'!$C376="","",'計算'!$CP376)</f>
        <v/>
      </c>
      <c r="I380" s="48" t="n"/>
      <c r="J380" s="49" t="n"/>
      <c r="K380" s="50">
        <f>IF('計算'!$C376="","",'計算'!$CR376)</f>
        <v/>
      </c>
      <c r="L380" s="51">
        <f>IF('計算'!$C376="","",'計算'!$CF376)</f>
        <v/>
      </c>
      <c r="M380" s="48" t="n"/>
      <c r="N380" s="49" t="n"/>
      <c r="O380" s="43">
        <f>IF('計算'!$C376="","",'計算'!$CQ376)</f>
        <v/>
      </c>
      <c r="P380" s="52">
        <f>IF('計算'!$C376="","",IF('計算'!$M376="","",'計算'!$AX376))</f>
        <v/>
      </c>
      <c r="Q380" s="52">
        <f>IF('計算'!$C376="","",IF('計算'!$M376="","",'計算'!$AY376))</f>
        <v/>
      </c>
      <c r="R380" s="52">
        <f>IF('計算'!$C376="","",IF('計算'!$M376="","",'計算'!$AZ376))</f>
        <v/>
      </c>
      <c r="S380" s="52">
        <f>IF('計算'!$C376="","",IF('計算'!$M376="","",'計算'!$BA376))</f>
        <v/>
      </c>
      <c r="T380" s="52">
        <f>IF('計算'!$C376="","",IF('計算'!$M376="","",'計算'!$BB376))</f>
        <v/>
      </c>
      <c r="U380" s="52">
        <f>IF('計算'!$C376="","",IF('計算'!$M376="","",'計算'!$BC376))</f>
        <v/>
      </c>
      <c r="V380" s="52">
        <f>IF('計算'!$C376="","",IF('計算'!$M376="","",'計算'!$BD376))</f>
        <v/>
      </c>
      <c r="W380" s="52">
        <f>IF('計算'!$C376="","",IF('計算'!$M376="","",'計算'!$BE376))</f>
        <v/>
      </c>
      <c r="X380" s="52">
        <f>IF('計算'!$C376="","",IF('計算'!$M376="","",'計算'!$BF376))</f>
        <v/>
      </c>
      <c r="Y380" s="52">
        <f>IF('計算'!$C376="","",IF('計算'!$M376="","",'計算'!$BG376))</f>
        <v/>
      </c>
      <c r="Z380" s="52">
        <f>IF('計算'!$C376="","",IF('計算'!$M376="","",'計算'!$BH376))</f>
        <v/>
      </c>
      <c r="AA380" s="52">
        <f>IF('計算'!$C376="","",IF('計算'!$M376="","",'計算'!$BI376))</f>
        <v/>
      </c>
      <c r="AB380" s="52">
        <f>IF('計算'!$C376="","",IF('計算'!$M376="","",'計算'!$BJ376))</f>
        <v/>
      </c>
      <c r="AC380" s="52">
        <f>IF('計算'!$C376="","",IF('計算'!$M376="","",'計算'!$BK376))</f>
        <v/>
      </c>
      <c r="AD380" s="53" t="n"/>
      <c r="AE380" s="48" t="n"/>
      <c r="AF380" s="54">
        <f>IF('計算'!$C376="","",'計算'!$C376)</f>
        <v/>
      </c>
      <c r="AG380" s="54">
        <f>IF('計算'!$C376="","",'計算'!$F376)</f>
        <v/>
      </c>
    </row>
    <row r="381" ht="18" customHeight="1">
      <c r="B381" s="42">
        <f>IF('計算'!$C377="","",'計算'!$B377)</f>
        <v/>
      </c>
      <c r="C381" s="43">
        <f>IF('計算'!$C377="","",'計算'!$D377)</f>
        <v/>
      </c>
      <c r="D381" s="44">
        <f>IF('計算'!$C377="","",'計算'!$O377)</f>
        <v/>
      </c>
      <c r="E381" s="45">
        <f>IF('計算'!$C377="","",'計算'!$L377)</f>
        <v/>
      </c>
      <c r="F381" s="46">
        <f>IF('計算'!$C377="","",'計算'!$CD377)</f>
        <v/>
      </c>
      <c r="G381" s="47">
        <f>IF('計算'!$C377="","",'計算'!$CA377)</f>
        <v/>
      </c>
      <c r="H381" s="43">
        <f>IF('計算'!$C377="","",'計算'!$CP377)</f>
        <v/>
      </c>
      <c r="I381" s="48" t="n"/>
      <c r="J381" s="49" t="n"/>
      <c r="K381" s="50">
        <f>IF('計算'!$C377="","",'計算'!$CR377)</f>
        <v/>
      </c>
      <c r="L381" s="51">
        <f>IF('計算'!$C377="","",'計算'!$CF377)</f>
        <v/>
      </c>
      <c r="M381" s="48" t="n"/>
      <c r="N381" s="49" t="n"/>
      <c r="O381" s="43">
        <f>IF('計算'!$C377="","",'計算'!$CQ377)</f>
        <v/>
      </c>
      <c r="P381" s="52">
        <f>IF('計算'!$C377="","",IF('計算'!$M377="","",'計算'!$AX377))</f>
        <v/>
      </c>
      <c r="Q381" s="52">
        <f>IF('計算'!$C377="","",IF('計算'!$M377="","",'計算'!$AY377))</f>
        <v/>
      </c>
      <c r="R381" s="52">
        <f>IF('計算'!$C377="","",IF('計算'!$M377="","",'計算'!$AZ377))</f>
        <v/>
      </c>
      <c r="S381" s="52">
        <f>IF('計算'!$C377="","",IF('計算'!$M377="","",'計算'!$BA377))</f>
        <v/>
      </c>
      <c r="T381" s="52">
        <f>IF('計算'!$C377="","",IF('計算'!$M377="","",'計算'!$BB377))</f>
        <v/>
      </c>
      <c r="U381" s="52">
        <f>IF('計算'!$C377="","",IF('計算'!$M377="","",'計算'!$BC377))</f>
        <v/>
      </c>
      <c r="V381" s="52">
        <f>IF('計算'!$C377="","",IF('計算'!$M377="","",'計算'!$BD377))</f>
        <v/>
      </c>
      <c r="W381" s="52">
        <f>IF('計算'!$C377="","",IF('計算'!$M377="","",'計算'!$BE377))</f>
        <v/>
      </c>
      <c r="X381" s="52">
        <f>IF('計算'!$C377="","",IF('計算'!$M377="","",'計算'!$BF377))</f>
        <v/>
      </c>
      <c r="Y381" s="52">
        <f>IF('計算'!$C377="","",IF('計算'!$M377="","",'計算'!$BG377))</f>
        <v/>
      </c>
      <c r="Z381" s="52">
        <f>IF('計算'!$C377="","",IF('計算'!$M377="","",'計算'!$BH377))</f>
        <v/>
      </c>
      <c r="AA381" s="52">
        <f>IF('計算'!$C377="","",IF('計算'!$M377="","",'計算'!$BI377))</f>
        <v/>
      </c>
      <c r="AB381" s="52">
        <f>IF('計算'!$C377="","",IF('計算'!$M377="","",'計算'!$BJ377))</f>
        <v/>
      </c>
      <c r="AC381" s="52">
        <f>IF('計算'!$C377="","",IF('計算'!$M377="","",'計算'!$BK377))</f>
        <v/>
      </c>
      <c r="AD381" s="53" t="n"/>
      <c r="AE381" s="48" t="n"/>
      <c r="AF381" s="54">
        <f>IF('計算'!$C377="","",'計算'!$C377)</f>
        <v/>
      </c>
      <c r="AG381" s="54">
        <f>IF('計算'!$C377="","",'計算'!$F377)</f>
        <v/>
      </c>
    </row>
    <row r="382" ht="18" customHeight="1">
      <c r="B382" s="42">
        <f>IF('計算'!$C378="","",'計算'!$B378)</f>
        <v/>
      </c>
      <c r="C382" s="43">
        <f>IF('計算'!$C378="","",'計算'!$D378)</f>
        <v/>
      </c>
      <c r="D382" s="44">
        <f>IF('計算'!$C378="","",'計算'!$O378)</f>
        <v/>
      </c>
      <c r="E382" s="45">
        <f>IF('計算'!$C378="","",'計算'!$L378)</f>
        <v/>
      </c>
      <c r="F382" s="46">
        <f>IF('計算'!$C378="","",'計算'!$CD378)</f>
        <v/>
      </c>
      <c r="G382" s="47">
        <f>IF('計算'!$C378="","",'計算'!$CA378)</f>
        <v/>
      </c>
      <c r="H382" s="43">
        <f>IF('計算'!$C378="","",'計算'!$CP378)</f>
        <v/>
      </c>
      <c r="I382" s="48" t="n"/>
      <c r="J382" s="49" t="n"/>
      <c r="K382" s="50">
        <f>IF('計算'!$C378="","",'計算'!$CR378)</f>
        <v/>
      </c>
      <c r="L382" s="51">
        <f>IF('計算'!$C378="","",'計算'!$CF378)</f>
        <v/>
      </c>
      <c r="M382" s="48" t="n"/>
      <c r="N382" s="49" t="n"/>
      <c r="O382" s="43">
        <f>IF('計算'!$C378="","",'計算'!$CQ378)</f>
        <v/>
      </c>
      <c r="P382" s="52">
        <f>IF('計算'!$C378="","",IF('計算'!$M378="","",'計算'!$AX378))</f>
        <v/>
      </c>
      <c r="Q382" s="52">
        <f>IF('計算'!$C378="","",IF('計算'!$M378="","",'計算'!$AY378))</f>
        <v/>
      </c>
      <c r="R382" s="52">
        <f>IF('計算'!$C378="","",IF('計算'!$M378="","",'計算'!$AZ378))</f>
        <v/>
      </c>
      <c r="S382" s="52">
        <f>IF('計算'!$C378="","",IF('計算'!$M378="","",'計算'!$BA378))</f>
        <v/>
      </c>
      <c r="T382" s="52">
        <f>IF('計算'!$C378="","",IF('計算'!$M378="","",'計算'!$BB378))</f>
        <v/>
      </c>
      <c r="U382" s="52">
        <f>IF('計算'!$C378="","",IF('計算'!$M378="","",'計算'!$BC378))</f>
        <v/>
      </c>
      <c r="V382" s="52">
        <f>IF('計算'!$C378="","",IF('計算'!$M378="","",'計算'!$BD378))</f>
        <v/>
      </c>
      <c r="W382" s="52">
        <f>IF('計算'!$C378="","",IF('計算'!$M378="","",'計算'!$BE378))</f>
        <v/>
      </c>
      <c r="X382" s="52">
        <f>IF('計算'!$C378="","",IF('計算'!$M378="","",'計算'!$BF378))</f>
        <v/>
      </c>
      <c r="Y382" s="52">
        <f>IF('計算'!$C378="","",IF('計算'!$M378="","",'計算'!$BG378))</f>
        <v/>
      </c>
      <c r="Z382" s="52">
        <f>IF('計算'!$C378="","",IF('計算'!$M378="","",'計算'!$BH378))</f>
        <v/>
      </c>
      <c r="AA382" s="52">
        <f>IF('計算'!$C378="","",IF('計算'!$M378="","",'計算'!$BI378))</f>
        <v/>
      </c>
      <c r="AB382" s="52">
        <f>IF('計算'!$C378="","",IF('計算'!$M378="","",'計算'!$BJ378))</f>
        <v/>
      </c>
      <c r="AC382" s="52">
        <f>IF('計算'!$C378="","",IF('計算'!$M378="","",'計算'!$BK378))</f>
        <v/>
      </c>
      <c r="AD382" s="53" t="n"/>
      <c r="AE382" s="48" t="n"/>
      <c r="AF382" s="54">
        <f>IF('計算'!$C378="","",'計算'!$C378)</f>
        <v/>
      </c>
      <c r="AG382" s="54">
        <f>IF('計算'!$C378="","",'計算'!$F378)</f>
        <v/>
      </c>
    </row>
    <row r="383" ht="18" customHeight="1">
      <c r="B383" s="42">
        <f>IF('計算'!$C379="","",'計算'!$B379)</f>
        <v/>
      </c>
      <c r="C383" s="43">
        <f>IF('計算'!$C379="","",'計算'!$D379)</f>
        <v/>
      </c>
      <c r="D383" s="44">
        <f>IF('計算'!$C379="","",'計算'!$O379)</f>
        <v/>
      </c>
      <c r="E383" s="45">
        <f>IF('計算'!$C379="","",'計算'!$L379)</f>
        <v/>
      </c>
      <c r="F383" s="46">
        <f>IF('計算'!$C379="","",'計算'!$CD379)</f>
        <v/>
      </c>
      <c r="G383" s="47">
        <f>IF('計算'!$C379="","",'計算'!$CA379)</f>
        <v/>
      </c>
      <c r="H383" s="43">
        <f>IF('計算'!$C379="","",'計算'!$CP379)</f>
        <v/>
      </c>
      <c r="I383" s="48" t="n"/>
      <c r="J383" s="49" t="n"/>
      <c r="K383" s="50">
        <f>IF('計算'!$C379="","",'計算'!$CR379)</f>
        <v/>
      </c>
      <c r="L383" s="51">
        <f>IF('計算'!$C379="","",'計算'!$CF379)</f>
        <v/>
      </c>
      <c r="M383" s="48" t="n"/>
      <c r="N383" s="49" t="n"/>
      <c r="O383" s="43">
        <f>IF('計算'!$C379="","",'計算'!$CQ379)</f>
        <v/>
      </c>
      <c r="P383" s="52">
        <f>IF('計算'!$C379="","",IF('計算'!$M379="","",'計算'!$AX379))</f>
        <v/>
      </c>
      <c r="Q383" s="52">
        <f>IF('計算'!$C379="","",IF('計算'!$M379="","",'計算'!$AY379))</f>
        <v/>
      </c>
      <c r="R383" s="52">
        <f>IF('計算'!$C379="","",IF('計算'!$M379="","",'計算'!$AZ379))</f>
        <v/>
      </c>
      <c r="S383" s="52">
        <f>IF('計算'!$C379="","",IF('計算'!$M379="","",'計算'!$BA379))</f>
        <v/>
      </c>
      <c r="T383" s="52">
        <f>IF('計算'!$C379="","",IF('計算'!$M379="","",'計算'!$BB379))</f>
        <v/>
      </c>
      <c r="U383" s="52">
        <f>IF('計算'!$C379="","",IF('計算'!$M379="","",'計算'!$BC379))</f>
        <v/>
      </c>
      <c r="V383" s="52">
        <f>IF('計算'!$C379="","",IF('計算'!$M379="","",'計算'!$BD379))</f>
        <v/>
      </c>
      <c r="W383" s="52">
        <f>IF('計算'!$C379="","",IF('計算'!$M379="","",'計算'!$BE379))</f>
        <v/>
      </c>
      <c r="X383" s="52">
        <f>IF('計算'!$C379="","",IF('計算'!$M379="","",'計算'!$BF379))</f>
        <v/>
      </c>
      <c r="Y383" s="52">
        <f>IF('計算'!$C379="","",IF('計算'!$M379="","",'計算'!$BG379))</f>
        <v/>
      </c>
      <c r="Z383" s="52">
        <f>IF('計算'!$C379="","",IF('計算'!$M379="","",'計算'!$BH379))</f>
        <v/>
      </c>
      <c r="AA383" s="52">
        <f>IF('計算'!$C379="","",IF('計算'!$M379="","",'計算'!$BI379))</f>
        <v/>
      </c>
      <c r="AB383" s="52">
        <f>IF('計算'!$C379="","",IF('計算'!$M379="","",'計算'!$BJ379))</f>
        <v/>
      </c>
      <c r="AC383" s="52">
        <f>IF('計算'!$C379="","",IF('計算'!$M379="","",'計算'!$BK379))</f>
        <v/>
      </c>
      <c r="AD383" s="53" t="n"/>
      <c r="AE383" s="48" t="n"/>
      <c r="AF383" s="54">
        <f>IF('計算'!$C379="","",'計算'!$C379)</f>
        <v/>
      </c>
      <c r="AG383" s="54">
        <f>IF('計算'!$C379="","",'計算'!$F379)</f>
        <v/>
      </c>
    </row>
    <row r="384" ht="18" customHeight="1">
      <c r="B384" s="42">
        <f>IF('計算'!$C380="","",'計算'!$B380)</f>
        <v/>
      </c>
      <c r="C384" s="43">
        <f>IF('計算'!$C380="","",'計算'!$D380)</f>
        <v/>
      </c>
      <c r="D384" s="44">
        <f>IF('計算'!$C380="","",'計算'!$O380)</f>
        <v/>
      </c>
      <c r="E384" s="45">
        <f>IF('計算'!$C380="","",'計算'!$L380)</f>
        <v/>
      </c>
      <c r="F384" s="46">
        <f>IF('計算'!$C380="","",'計算'!$CD380)</f>
        <v/>
      </c>
      <c r="G384" s="47">
        <f>IF('計算'!$C380="","",'計算'!$CA380)</f>
        <v/>
      </c>
      <c r="H384" s="43">
        <f>IF('計算'!$C380="","",'計算'!$CP380)</f>
        <v/>
      </c>
      <c r="I384" s="48" t="n"/>
      <c r="J384" s="49" t="n"/>
      <c r="K384" s="50">
        <f>IF('計算'!$C380="","",'計算'!$CR380)</f>
        <v/>
      </c>
      <c r="L384" s="51">
        <f>IF('計算'!$C380="","",'計算'!$CF380)</f>
        <v/>
      </c>
      <c r="M384" s="48" t="n"/>
      <c r="N384" s="49" t="n"/>
      <c r="O384" s="43">
        <f>IF('計算'!$C380="","",'計算'!$CQ380)</f>
        <v/>
      </c>
      <c r="P384" s="52">
        <f>IF('計算'!$C380="","",IF('計算'!$M380="","",'計算'!$AX380))</f>
        <v/>
      </c>
      <c r="Q384" s="52">
        <f>IF('計算'!$C380="","",IF('計算'!$M380="","",'計算'!$AY380))</f>
        <v/>
      </c>
      <c r="R384" s="52">
        <f>IF('計算'!$C380="","",IF('計算'!$M380="","",'計算'!$AZ380))</f>
        <v/>
      </c>
      <c r="S384" s="52">
        <f>IF('計算'!$C380="","",IF('計算'!$M380="","",'計算'!$BA380))</f>
        <v/>
      </c>
      <c r="T384" s="52">
        <f>IF('計算'!$C380="","",IF('計算'!$M380="","",'計算'!$BB380))</f>
        <v/>
      </c>
      <c r="U384" s="52">
        <f>IF('計算'!$C380="","",IF('計算'!$M380="","",'計算'!$BC380))</f>
        <v/>
      </c>
      <c r="V384" s="52">
        <f>IF('計算'!$C380="","",IF('計算'!$M380="","",'計算'!$BD380))</f>
        <v/>
      </c>
      <c r="W384" s="52">
        <f>IF('計算'!$C380="","",IF('計算'!$M380="","",'計算'!$BE380))</f>
        <v/>
      </c>
      <c r="X384" s="52">
        <f>IF('計算'!$C380="","",IF('計算'!$M380="","",'計算'!$BF380))</f>
        <v/>
      </c>
      <c r="Y384" s="52">
        <f>IF('計算'!$C380="","",IF('計算'!$M380="","",'計算'!$BG380))</f>
        <v/>
      </c>
      <c r="Z384" s="52">
        <f>IF('計算'!$C380="","",IF('計算'!$M380="","",'計算'!$BH380))</f>
        <v/>
      </c>
      <c r="AA384" s="52">
        <f>IF('計算'!$C380="","",IF('計算'!$M380="","",'計算'!$BI380))</f>
        <v/>
      </c>
      <c r="AB384" s="52">
        <f>IF('計算'!$C380="","",IF('計算'!$M380="","",'計算'!$BJ380))</f>
        <v/>
      </c>
      <c r="AC384" s="52">
        <f>IF('計算'!$C380="","",IF('計算'!$M380="","",'計算'!$BK380))</f>
        <v/>
      </c>
      <c r="AD384" s="53" t="n"/>
      <c r="AE384" s="48" t="n"/>
      <c r="AF384" s="54">
        <f>IF('計算'!$C380="","",'計算'!$C380)</f>
        <v/>
      </c>
      <c r="AG384" s="54">
        <f>IF('計算'!$C380="","",'計算'!$F380)</f>
        <v/>
      </c>
    </row>
    <row r="385" ht="18" customHeight="1">
      <c r="B385" s="42">
        <f>IF('計算'!$C381="","",'計算'!$B381)</f>
        <v/>
      </c>
      <c r="C385" s="43">
        <f>IF('計算'!$C381="","",'計算'!$D381)</f>
        <v/>
      </c>
      <c r="D385" s="44">
        <f>IF('計算'!$C381="","",'計算'!$O381)</f>
        <v/>
      </c>
      <c r="E385" s="45">
        <f>IF('計算'!$C381="","",'計算'!$L381)</f>
        <v/>
      </c>
      <c r="F385" s="46">
        <f>IF('計算'!$C381="","",'計算'!$CD381)</f>
        <v/>
      </c>
      <c r="G385" s="47">
        <f>IF('計算'!$C381="","",'計算'!$CA381)</f>
        <v/>
      </c>
      <c r="H385" s="43">
        <f>IF('計算'!$C381="","",'計算'!$CP381)</f>
        <v/>
      </c>
      <c r="I385" s="48" t="n"/>
      <c r="J385" s="49" t="n"/>
      <c r="K385" s="50">
        <f>IF('計算'!$C381="","",'計算'!$CR381)</f>
        <v/>
      </c>
      <c r="L385" s="51">
        <f>IF('計算'!$C381="","",'計算'!$CF381)</f>
        <v/>
      </c>
      <c r="M385" s="48" t="n"/>
      <c r="N385" s="49" t="n"/>
      <c r="O385" s="43">
        <f>IF('計算'!$C381="","",'計算'!$CQ381)</f>
        <v/>
      </c>
      <c r="P385" s="52">
        <f>IF('計算'!$C381="","",IF('計算'!$M381="","",'計算'!$AX381))</f>
        <v/>
      </c>
      <c r="Q385" s="52">
        <f>IF('計算'!$C381="","",IF('計算'!$M381="","",'計算'!$AY381))</f>
        <v/>
      </c>
      <c r="R385" s="52">
        <f>IF('計算'!$C381="","",IF('計算'!$M381="","",'計算'!$AZ381))</f>
        <v/>
      </c>
      <c r="S385" s="52">
        <f>IF('計算'!$C381="","",IF('計算'!$M381="","",'計算'!$BA381))</f>
        <v/>
      </c>
      <c r="T385" s="52">
        <f>IF('計算'!$C381="","",IF('計算'!$M381="","",'計算'!$BB381))</f>
        <v/>
      </c>
      <c r="U385" s="52">
        <f>IF('計算'!$C381="","",IF('計算'!$M381="","",'計算'!$BC381))</f>
        <v/>
      </c>
      <c r="V385" s="52">
        <f>IF('計算'!$C381="","",IF('計算'!$M381="","",'計算'!$BD381))</f>
        <v/>
      </c>
      <c r="W385" s="52">
        <f>IF('計算'!$C381="","",IF('計算'!$M381="","",'計算'!$BE381))</f>
        <v/>
      </c>
      <c r="X385" s="52">
        <f>IF('計算'!$C381="","",IF('計算'!$M381="","",'計算'!$BF381))</f>
        <v/>
      </c>
      <c r="Y385" s="52">
        <f>IF('計算'!$C381="","",IF('計算'!$M381="","",'計算'!$BG381))</f>
        <v/>
      </c>
      <c r="Z385" s="52">
        <f>IF('計算'!$C381="","",IF('計算'!$M381="","",'計算'!$BH381))</f>
        <v/>
      </c>
      <c r="AA385" s="52">
        <f>IF('計算'!$C381="","",IF('計算'!$M381="","",'計算'!$BI381))</f>
        <v/>
      </c>
      <c r="AB385" s="52">
        <f>IF('計算'!$C381="","",IF('計算'!$M381="","",'計算'!$BJ381))</f>
        <v/>
      </c>
      <c r="AC385" s="52">
        <f>IF('計算'!$C381="","",IF('計算'!$M381="","",'計算'!$BK381))</f>
        <v/>
      </c>
      <c r="AD385" s="53" t="n"/>
      <c r="AE385" s="48" t="n"/>
      <c r="AF385" s="54">
        <f>IF('計算'!$C381="","",'計算'!$C381)</f>
        <v/>
      </c>
      <c r="AG385" s="54">
        <f>IF('計算'!$C381="","",'計算'!$F381)</f>
        <v/>
      </c>
    </row>
    <row r="386" ht="18" customHeight="1">
      <c r="B386" s="42">
        <f>IF('計算'!$C382="","",'計算'!$B382)</f>
        <v/>
      </c>
      <c r="C386" s="43">
        <f>IF('計算'!$C382="","",'計算'!$D382)</f>
        <v/>
      </c>
      <c r="D386" s="44">
        <f>IF('計算'!$C382="","",'計算'!$O382)</f>
        <v/>
      </c>
      <c r="E386" s="45">
        <f>IF('計算'!$C382="","",'計算'!$L382)</f>
        <v/>
      </c>
      <c r="F386" s="46">
        <f>IF('計算'!$C382="","",'計算'!$CD382)</f>
        <v/>
      </c>
      <c r="G386" s="47">
        <f>IF('計算'!$C382="","",'計算'!$CA382)</f>
        <v/>
      </c>
      <c r="H386" s="43">
        <f>IF('計算'!$C382="","",'計算'!$CP382)</f>
        <v/>
      </c>
      <c r="I386" s="48" t="n"/>
      <c r="J386" s="49" t="n"/>
      <c r="K386" s="50">
        <f>IF('計算'!$C382="","",'計算'!$CR382)</f>
        <v/>
      </c>
      <c r="L386" s="51">
        <f>IF('計算'!$C382="","",'計算'!$CF382)</f>
        <v/>
      </c>
      <c r="M386" s="48" t="n"/>
      <c r="N386" s="49" t="n"/>
      <c r="O386" s="43">
        <f>IF('計算'!$C382="","",'計算'!$CQ382)</f>
        <v/>
      </c>
      <c r="P386" s="52">
        <f>IF('計算'!$C382="","",IF('計算'!$M382="","",'計算'!$AX382))</f>
        <v/>
      </c>
      <c r="Q386" s="52">
        <f>IF('計算'!$C382="","",IF('計算'!$M382="","",'計算'!$AY382))</f>
        <v/>
      </c>
      <c r="R386" s="52">
        <f>IF('計算'!$C382="","",IF('計算'!$M382="","",'計算'!$AZ382))</f>
        <v/>
      </c>
      <c r="S386" s="52">
        <f>IF('計算'!$C382="","",IF('計算'!$M382="","",'計算'!$BA382))</f>
        <v/>
      </c>
      <c r="T386" s="52">
        <f>IF('計算'!$C382="","",IF('計算'!$M382="","",'計算'!$BB382))</f>
        <v/>
      </c>
      <c r="U386" s="52">
        <f>IF('計算'!$C382="","",IF('計算'!$M382="","",'計算'!$BC382))</f>
        <v/>
      </c>
      <c r="V386" s="52">
        <f>IF('計算'!$C382="","",IF('計算'!$M382="","",'計算'!$BD382))</f>
        <v/>
      </c>
      <c r="W386" s="52">
        <f>IF('計算'!$C382="","",IF('計算'!$M382="","",'計算'!$BE382))</f>
        <v/>
      </c>
      <c r="X386" s="52">
        <f>IF('計算'!$C382="","",IF('計算'!$M382="","",'計算'!$BF382))</f>
        <v/>
      </c>
      <c r="Y386" s="52">
        <f>IF('計算'!$C382="","",IF('計算'!$M382="","",'計算'!$BG382))</f>
        <v/>
      </c>
      <c r="Z386" s="52">
        <f>IF('計算'!$C382="","",IF('計算'!$M382="","",'計算'!$BH382))</f>
        <v/>
      </c>
      <c r="AA386" s="52">
        <f>IF('計算'!$C382="","",IF('計算'!$M382="","",'計算'!$BI382))</f>
        <v/>
      </c>
      <c r="AB386" s="52">
        <f>IF('計算'!$C382="","",IF('計算'!$M382="","",'計算'!$BJ382))</f>
        <v/>
      </c>
      <c r="AC386" s="52">
        <f>IF('計算'!$C382="","",IF('計算'!$M382="","",'計算'!$BK382))</f>
        <v/>
      </c>
      <c r="AD386" s="53" t="n"/>
      <c r="AE386" s="48" t="n"/>
      <c r="AF386" s="54">
        <f>IF('計算'!$C382="","",'計算'!$C382)</f>
        <v/>
      </c>
      <c r="AG386" s="54">
        <f>IF('計算'!$C382="","",'計算'!$F382)</f>
        <v/>
      </c>
    </row>
    <row r="387" ht="18" customHeight="1">
      <c r="B387" s="42">
        <f>IF('計算'!$C383="","",'計算'!$B383)</f>
        <v/>
      </c>
      <c r="C387" s="43">
        <f>IF('計算'!$C383="","",'計算'!$D383)</f>
        <v/>
      </c>
      <c r="D387" s="44">
        <f>IF('計算'!$C383="","",'計算'!$O383)</f>
        <v/>
      </c>
      <c r="E387" s="45">
        <f>IF('計算'!$C383="","",'計算'!$L383)</f>
        <v/>
      </c>
      <c r="F387" s="46">
        <f>IF('計算'!$C383="","",'計算'!$CD383)</f>
        <v/>
      </c>
      <c r="G387" s="47">
        <f>IF('計算'!$C383="","",'計算'!$CA383)</f>
        <v/>
      </c>
      <c r="H387" s="43">
        <f>IF('計算'!$C383="","",'計算'!$CP383)</f>
        <v/>
      </c>
      <c r="I387" s="48" t="n"/>
      <c r="J387" s="49" t="n"/>
      <c r="K387" s="50">
        <f>IF('計算'!$C383="","",'計算'!$CR383)</f>
        <v/>
      </c>
      <c r="L387" s="51">
        <f>IF('計算'!$C383="","",'計算'!$CF383)</f>
        <v/>
      </c>
      <c r="M387" s="48" t="n"/>
      <c r="N387" s="49" t="n"/>
      <c r="O387" s="43">
        <f>IF('計算'!$C383="","",'計算'!$CQ383)</f>
        <v/>
      </c>
      <c r="P387" s="52">
        <f>IF('計算'!$C383="","",IF('計算'!$M383="","",'計算'!$AX383))</f>
        <v/>
      </c>
      <c r="Q387" s="52">
        <f>IF('計算'!$C383="","",IF('計算'!$M383="","",'計算'!$AY383))</f>
        <v/>
      </c>
      <c r="R387" s="52">
        <f>IF('計算'!$C383="","",IF('計算'!$M383="","",'計算'!$AZ383))</f>
        <v/>
      </c>
      <c r="S387" s="52">
        <f>IF('計算'!$C383="","",IF('計算'!$M383="","",'計算'!$BA383))</f>
        <v/>
      </c>
      <c r="T387" s="52">
        <f>IF('計算'!$C383="","",IF('計算'!$M383="","",'計算'!$BB383))</f>
        <v/>
      </c>
      <c r="U387" s="52">
        <f>IF('計算'!$C383="","",IF('計算'!$M383="","",'計算'!$BC383))</f>
        <v/>
      </c>
      <c r="V387" s="52">
        <f>IF('計算'!$C383="","",IF('計算'!$M383="","",'計算'!$BD383))</f>
        <v/>
      </c>
      <c r="W387" s="52">
        <f>IF('計算'!$C383="","",IF('計算'!$M383="","",'計算'!$BE383))</f>
        <v/>
      </c>
      <c r="X387" s="52">
        <f>IF('計算'!$C383="","",IF('計算'!$M383="","",'計算'!$BF383))</f>
        <v/>
      </c>
      <c r="Y387" s="52">
        <f>IF('計算'!$C383="","",IF('計算'!$M383="","",'計算'!$BG383))</f>
        <v/>
      </c>
      <c r="Z387" s="52">
        <f>IF('計算'!$C383="","",IF('計算'!$M383="","",'計算'!$BH383))</f>
        <v/>
      </c>
      <c r="AA387" s="52">
        <f>IF('計算'!$C383="","",IF('計算'!$M383="","",'計算'!$BI383))</f>
        <v/>
      </c>
      <c r="AB387" s="52">
        <f>IF('計算'!$C383="","",IF('計算'!$M383="","",'計算'!$BJ383))</f>
        <v/>
      </c>
      <c r="AC387" s="52">
        <f>IF('計算'!$C383="","",IF('計算'!$M383="","",'計算'!$BK383))</f>
        <v/>
      </c>
      <c r="AD387" s="53" t="n"/>
      <c r="AE387" s="48" t="n"/>
      <c r="AF387" s="54">
        <f>IF('計算'!$C383="","",'計算'!$C383)</f>
        <v/>
      </c>
      <c r="AG387" s="54">
        <f>IF('計算'!$C383="","",'計算'!$F383)</f>
        <v/>
      </c>
    </row>
    <row r="388" ht="18" customHeight="1">
      <c r="B388" s="42">
        <f>IF('計算'!$C384="","",'計算'!$B384)</f>
        <v/>
      </c>
      <c r="C388" s="43">
        <f>IF('計算'!$C384="","",'計算'!$D384)</f>
        <v/>
      </c>
      <c r="D388" s="44">
        <f>IF('計算'!$C384="","",'計算'!$O384)</f>
        <v/>
      </c>
      <c r="E388" s="45">
        <f>IF('計算'!$C384="","",'計算'!$L384)</f>
        <v/>
      </c>
      <c r="F388" s="46">
        <f>IF('計算'!$C384="","",'計算'!$CD384)</f>
        <v/>
      </c>
      <c r="G388" s="47">
        <f>IF('計算'!$C384="","",'計算'!$CA384)</f>
        <v/>
      </c>
      <c r="H388" s="43">
        <f>IF('計算'!$C384="","",'計算'!$CP384)</f>
        <v/>
      </c>
      <c r="I388" s="48" t="n"/>
      <c r="J388" s="49" t="n"/>
      <c r="K388" s="50">
        <f>IF('計算'!$C384="","",'計算'!$CR384)</f>
        <v/>
      </c>
      <c r="L388" s="51">
        <f>IF('計算'!$C384="","",'計算'!$CF384)</f>
        <v/>
      </c>
      <c r="M388" s="48" t="n"/>
      <c r="N388" s="49" t="n"/>
      <c r="O388" s="43">
        <f>IF('計算'!$C384="","",'計算'!$CQ384)</f>
        <v/>
      </c>
      <c r="P388" s="52">
        <f>IF('計算'!$C384="","",IF('計算'!$M384="","",'計算'!$AX384))</f>
        <v/>
      </c>
      <c r="Q388" s="52">
        <f>IF('計算'!$C384="","",IF('計算'!$M384="","",'計算'!$AY384))</f>
        <v/>
      </c>
      <c r="R388" s="52">
        <f>IF('計算'!$C384="","",IF('計算'!$M384="","",'計算'!$AZ384))</f>
        <v/>
      </c>
      <c r="S388" s="52">
        <f>IF('計算'!$C384="","",IF('計算'!$M384="","",'計算'!$BA384))</f>
        <v/>
      </c>
      <c r="T388" s="52">
        <f>IF('計算'!$C384="","",IF('計算'!$M384="","",'計算'!$BB384))</f>
        <v/>
      </c>
      <c r="U388" s="52">
        <f>IF('計算'!$C384="","",IF('計算'!$M384="","",'計算'!$BC384))</f>
        <v/>
      </c>
      <c r="V388" s="52">
        <f>IF('計算'!$C384="","",IF('計算'!$M384="","",'計算'!$BD384))</f>
        <v/>
      </c>
      <c r="W388" s="52">
        <f>IF('計算'!$C384="","",IF('計算'!$M384="","",'計算'!$BE384))</f>
        <v/>
      </c>
      <c r="X388" s="52">
        <f>IF('計算'!$C384="","",IF('計算'!$M384="","",'計算'!$BF384))</f>
        <v/>
      </c>
      <c r="Y388" s="52">
        <f>IF('計算'!$C384="","",IF('計算'!$M384="","",'計算'!$BG384))</f>
        <v/>
      </c>
      <c r="Z388" s="52">
        <f>IF('計算'!$C384="","",IF('計算'!$M384="","",'計算'!$BH384))</f>
        <v/>
      </c>
      <c r="AA388" s="52">
        <f>IF('計算'!$C384="","",IF('計算'!$M384="","",'計算'!$BI384))</f>
        <v/>
      </c>
      <c r="AB388" s="52">
        <f>IF('計算'!$C384="","",IF('計算'!$M384="","",'計算'!$BJ384))</f>
        <v/>
      </c>
      <c r="AC388" s="52">
        <f>IF('計算'!$C384="","",IF('計算'!$M384="","",'計算'!$BK384))</f>
        <v/>
      </c>
      <c r="AD388" s="53" t="n"/>
      <c r="AE388" s="48" t="n"/>
      <c r="AF388" s="54">
        <f>IF('計算'!$C384="","",'計算'!$C384)</f>
        <v/>
      </c>
      <c r="AG388" s="54">
        <f>IF('計算'!$C384="","",'計算'!$F384)</f>
        <v/>
      </c>
    </row>
    <row r="389" ht="18" customHeight="1">
      <c r="B389" s="42">
        <f>IF('計算'!$C385="","",'計算'!$B385)</f>
        <v/>
      </c>
      <c r="C389" s="43">
        <f>IF('計算'!$C385="","",'計算'!$D385)</f>
        <v/>
      </c>
      <c r="D389" s="44">
        <f>IF('計算'!$C385="","",'計算'!$O385)</f>
        <v/>
      </c>
      <c r="E389" s="45">
        <f>IF('計算'!$C385="","",'計算'!$L385)</f>
        <v/>
      </c>
      <c r="F389" s="46">
        <f>IF('計算'!$C385="","",'計算'!$CD385)</f>
        <v/>
      </c>
      <c r="G389" s="47">
        <f>IF('計算'!$C385="","",'計算'!$CA385)</f>
        <v/>
      </c>
      <c r="H389" s="43">
        <f>IF('計算'!$C385="","",'計算'!$CP385)</f>
        <v/>
      </c>
      <c r="I389" s="48" t="n"/>
      <c r="J389" s="49" t="n"/>
      <c r="K389" s="50">
        <f>IF('計算'!$C385="","",'計算'!$CR385)</f>
        <v/>
      </c>
      <c r="L389" s="51">
        <f>IF('計算'!$C385="","",'計算'!$CF385)</f>
        <v/>
      </c>
      <c r="M389" s="48" t="n"/>
      <c r="N389" s="49" t="n"/>
      <c r="O389" s="43">
        <f>IF('計算'!$C385="","",'計算'!$CQ385)</f>
        <v/>
      </c>
      <c r="P389" s="52">
        <f>IF('計算'!$C385="","",IF('計算'!$M385="","",'計算'!$AX385))</f>
        <v/>
      </c>
      <c r="Q389" s="52">
        <f>IF('計算'!$C385="","",IF('計算'!$M385="","",'計算'!$AY385))</f>
        <v/>
      </c>
      <c r="R389" s="52">
        <f>IF('計算'!$C385="","",IF('計算'!$M385="","",'計算'!$AZ385))</f>
        <v/>
      </c>
      <c r="S389" s="52">
        <f>IF('計算'!$C385="","",IF('計算'!$M385="","",'計算'!$BA385))</f>
        <v/>
      </c>
      <c r="T389" s="52">
        <f>IF('計算'!$C385="","",IF('計算'!$M385="","",'計算'!$BB385))</f>
        <v/>
      </c>
      <c r="U389" s="52">
        <f>IF('計算'!$C385="","",IF('計算'!$M385="","",'計算'!$BC385))</f>
        <v/>
      </c>
      <c r="V389" s="52">
        <f>IF('計算'!$C385="","",IF('計算'!$M385="","",'計算'!$BD385))</f>
        <v/>
      </c>
      <c r="W389" s="52">
        <f>IF('計算'!$C385="","",IF('計算'!$M385="","",'計算'!$BE385))</f>
        <v/>
      </c>
      <c r="X389" s="52">
        <f>IF('計算'!$C385="","",IF('計算'!$M385="","",'計算'!$BF385))</f>
        <v/>
      </c>
      <c r="Y389" s="52">
        <f>IF('計算'!$C385="","",IF('計算'!$M385="","",'計算'!$BG385))</f>
        <v/>
      </c>
      <c r="Z389" s="52">
        <f>IF('計算'!$C385="","",IF('計算'!$M385="","",'計算'!$BH385))</f>
        <v/>
      </c>
      <c r="AA389" s="52">
        <f>IF('計算'!$C385="","",IF('計算'!$M385="","",'計算'!$BI385))</f>
        <v/>
      </c>
      <c r="AB389" s="52">
        <f>IF('計算'!$C385="","",IF('計算'!$M385="","",'計算'!$BJ385))</f>
        <v/>
      </c>
      <c r="AC389" s="52">
        <f>IF('計算'!$C385="","",IF('計算'!$M385="","",'計算'!$BK385))</f>
        <v/>
      </c>
      <c r="AD389" s="53" t="n"/>
      <c r="AE389" s="48" t="n"/>
      <c r="AF389" s="54">
        <f>IF('計算'!$C385="","",'計算'!$C385)</f>
        <v/>
      </c>
      <c r="AG389" s="54">
        <f>IF('計算'!$C385="","",'計算'!$F385)</f>
        <v/>
      </c>
    </row>
    <row r="390" ht="18" customHeight="1">
      <c r="B390" s="42">
        <f>IF('計算'!$C386="","",'計算'!$B386)</f>
        <v/>
      </c>
      <c r="C390" s="43">
        <f>IF('計算'!$C386="","",'計算'!$D386)</f>
        <v/>
      </c>
      <c r="D390" s="44">
        <f>IF('計算'!$C386="","",'計算'!$O386)</f>
        <v/>
      </c>
      <c r="E390" s="45">
        <f>IF('計算'!$C386="","",'計算'!$L386)</f>
        <v/>
      </c>
      <c r="F390" s="46">
        <f>IF('計算'!$C386="","",'計算'!$CD386)</f>
        <v/>
      </c>
      <c r="G390" s="47">
        <f>IF('計算'!$C386="","",'計算'!$CA386)</f>
        <v/>
      </c>
      <c r="H390" s="43">
        <f>IF('計算'!$C386="","",'計算'!$CP386)</f>
        <v/>
      </c>
      <c r="I390" s="48" t="n"/>
      <c r="J390" s="49" t="n"/>
      <c r="K390" s="50">
        <f>IF('計算'!$C386="","",'計算'!$CR386)</f>
        <v/>
      </c>
      <c r="L390" s="51">
        <f>IF('計算'!$C386="","",'計算'!$CF386)</f>
        <v/>
      </c>
      <c r="M390" s="48" t="n"/>
      <c r="N390" s="49" t="n"/>
      <c r="O390" s="43">
        <f>IF('計算'!$C386="","",'計算'!$CQ386)</f>
        <v/>
      </c>
      <c r="P390" s="52">
        <f>IF('計算'!$C386="","",IF('計算'!$M386="","",'計算'!$AX386))</f>
        <v/>
      </c>
      <c r="Q390" s="52">
        <f>IF('計算'!$C386="","",IF('計算'!$M386="","",'計算'!$AY386))</f>
        <v/>
      </c>
      <c r="R390" s="52">
        <f>IF('計算'!$C386="","",IF('計算'!$M386="","",'計算'!$AZ386))</f>
        <v/>
      </c>
      <c r="S390" s="52">
        <f>IF('計算'!$C386="","",IF('計算'!$M386="","",'計算'!$BA386))</f>
        <v/>
      </c>
      <c r="T390" s="52">
        <f>IF('計算'!$C386="","",IF('計算'!$M386="","",'計算'!$BB386))</f>
        <v/>
      </c>
      <c r="U390" s="52">
        <f>IF('計算'!$C386="","",IF('計算'!$M386="","",'計算'!$BC386))</f>
        <v/>
      </c>
      <c r="V390" s="52">
        <f>IF('計算'!$C386="","",IF('計算'!$M386="","",'計算'!$BD386))</f>
        <v/>
      </c>
      <c r="W390" s="52">
        <f>IF('計算'!$C386="","",IF('計算'!$M386="","",'計算'!$BE386))</f>
        <v/>
      </c>
      <c r="X390" s="52">
        <f>IF('計算'!$C386="","",IF('計算'!$M386="","",'計算'!$BF386))</f>
        <v/>
      </c>
      <c r="Y390" s="52">
        <f>IF('計算'!$C386="","",IF('計算'!$M386="","",'計算'!$BG386))</f>
        <v/>
      </c>
      <c r="Z390" s="52">
        <f>IF('計算'!$C386="","",IF('計算'!$M386="","",'計算'!$BH386))</f>
        <v/>
      </c>
      <c r="AA390" s="52">
        <f>IF('計算'!$C386="","",IF('計算'!$M386="","",'計算'!$BI386))</f>
        <v/>
      </c>
      <c r="AB390" s="52">
        <f>IF('計算'!$C386="","",IF('計算'!$M386="","",'計算'!$BJ386))</f>
        <v/>
      </c>
      <c r="AC390" s="52">
        <f>IF('計算'!$C386="","",IF('計算'!$M386="","",'計算'!$BK386))</f>
        <v/>
      </c>
      <c r="AD390" s="53" t="n"/>
      <c r="AE390" s="48" t="n"/>
      <c r="AF390" s="54">
        <f>IF('計算'!$C386="","",'計算'!$C386)</f>
        <v/>
      </c>
      <c r="AG390" s="54">
        <f>IF('計算'!$C386="","",'計算'!$F386)</f>
        <v/>
      </c>
    </row>
    <row r="391" ht="18" customHeight="1">
      <c r="B391" s="42">
        <f>IF('計算'!$C387="","",'計算'!$B387)</f>
        <v/>
      </c>
      <c r="C391" s="43">
        <f>IF('計算'!$C387="","",'計算'!$D387)</f>
        <v/>
      </c>
      <c r="D391" s="44">
        <f>IF('計算'!$C387="","",'計算'!$O387)</f>
        <v/>
      </c>
      <c r="E391" s="45">
        <f>IF('計算'!$C387="","",'計算'!$L387)</f>
        <v/>
      </c>
      <c r="F391" s="46">
        <f>IF('計算'!$C387="","",'計算'!$CD387)</f>
        <v/>
      </c>
      <c r="G391" s="47">
        <f>IF('計算'!$C387="","",'計算'!$CA387)</f>
        <v/>
      </c>
      <c r="H391" s="43">
        <f>IF('計算'!$C387="","",'計算'!$CP387)</f>
        <v/>
      </c>
      <c r="I391" s="48" t="n"/>
      <c r="J391" s="49" t="n"/>
      <c r="K391" s="50">
        <f>IF('計算'!$C387="","",'計算'!$CR387)</f>
        <v/>
      </c>
      <c r="L391" s="51">
        <f>IF('計算'!$C387="","",'計算'!$CF387)</f>
        <v/>
      </c>
      <c r="M391" s="48" t="n"/>
      <c r="N391" s="49" t="n"/>
      <c r="O391" s="43">
        <f>IF('計算'!$C387="","",'計算'!$CQ387)</f>
        <v/>
      </c>
      <c r="P391" s="52">
        <f>IF('計算'!$C387="","",IF('計算'!$M387="","",'計算'!$AX387))</f>
        <v/>
      </c>
      <c r="Q391" s="52">
        <f>IF('計算'!$C387="","",IF('計算'!$M387="","",'計算'!$AY387))</f>
        <v/>
      </c>
      <c r="R391" s="52">
        <f>IF('計算'!$C387="","",IF('計算'!$M387="","",'計算'!$AZ387))</f>
        <v/>
      </c>
      <c r="S391" s="52">
        <f>IF('計算'!$C387="","",IF('計算'!$M387="","",'計算'!$BA387))</f>
        <v/>
      </c>
      <c r="T391" s="52">
        <f>IF('計算'!$C387="","",IF('計算'!$M387="","",'計算'!$BB387))</f>
        <v/>
      </c>
      <c r="U391" s="52">
        <f>IF('計算'!$C387="","",IF('計算'!$M387="","",'計算'!$BC387))</f>
        <v/>
      </c>
      <c r="V391" s="52">
        <f>IF('計算'!$C387="","",IF('計算'!$M387="","",'計算'!$BD387))</f>
        <v/>
      </c>
      <c r="W391" s="52">
        <f>IF('計算'!$C387="","",IF('計算'!$M387="","",'計算'!$BE387))</f>
        <v/>
      </c>
      <c r="X391" s="52">
        <f>IF('計算'!$C387="","",IF('計算'!$M387="","",'計算'!$BF387))</f>
        <v/>
      </c>
      <c r="Y391" s="52">
        <f>IF('計算'!$C387="","",IF('計算'!$M387="","",'計算'!$BG387))</f>
        <v/>
      </c>
      <c r="Z391" s="52">
        <f>IF('計算'!$C387="","",IF('計算'!$M387="","",'計算'!$BH387))</f>
        <v/>
      </c>
      <c r="AA391" s="52">
        <f>IF('計算'!$C387="","",IF('計算'!$M387="","",'計算'!$BI387))</f>
        <v/>
      </c>
      <c r="AB391" s="52">
        <f>IF('計算'!$C387="","",IF('計算'!$M387="","",'計算'!$BJ387))</f>
        <v/>
      </c>
      <c r="AC391" s="52">
        <f>IF('計算'!$C387="","",IF('計算'!$M387="","",'計算'!$BK387))</f>
        <v/>
      </c>
      <c r="AD391" s="53" t="n"/>
      <c r="AE391" s="48" t="n"/>
      <c r="AF391" s="54">
        <f>IF('計算'!$C387="","",'計算'!$C387)</f>
        <v/>
      </c>
      <c r="AG391" s="54">
        <f>IF('計算'!$C387="","",'計算'!$F387)</f>
        <v/>
      </c>
    </row>
    <row r="392" ht="18" customHeight="1">
      <c r="B392" s="42">
        <f>IF('計算'!$C388="","",'計算'!$B388)</f>
        <v/>
      </c>
      <c r="C392" s="43">
        <f>IF('計算'!$C388="","",'計算'!$D388)</f>
        <v/>
      </c>
      <c r="D392" s="44">
        <f>IF('計算'!$C388="","",'計算'!$O388)</f>
        <v/>
      </c>
      <c r="E392" s="45">
        <f>IF('計算'!$C388="","",'計算'!$L388)</f>
        <v/>
      </c>
      <c r="F392" s="46">
        <f>IF('計算'!$C388="","",'計算'!$CD388)</f>
        <v/>
      </c>
      <c r="G392" s="47">
        <f>IF('計算'!$C388="","",'計算'!$CA388)</f>
        <v/>
      </c>
      <c r="H392" s="43">
        <f>IF('計算'!$C388="","",'計算'!$CP388)</f>
        <v/>
      </c>
      <c r="I392" s="48" t="n"/>
      <c r="J392" s="49" t="n"/>
      <c r="K392" s="50">
        <f>IF('計算'!$C388="","",'計算'!$CR388)</f>
        <v/>
      </c>
      <c r="L392" s="51">
        <f>IF('計算'!$C388="","",'計算'!$CF388)</f>
        <v/>
      </c>
      <c r="M392" s="48" t="n"/>
      <c r="N392" s="49" t="n"/>
      <c r="O392" s="43">
        <f>IF('計算'!$C388="","",'計算'!$CQ388)</f>
        <v/>
      </c>
      <c r="P392" s="52">
        <f>IF('計算'!$C388="","",IF('計算'!$M388="","",'計算'!$AX388))</f>
        <v/>
      </c>
      <c r="Q392" s="52">
        <f>IF('計算'!$C388="","",IF('計算'!$M388="","",'計算'!$AY388))</f>
        <v/>
      </c>
      <c r="R392" s="52">
        <f>IF('計算'!$C388="","",IF('計算'!$M388="","",'計算'!$AZ388))</f>
        <v/>
      </c>
      <c r="S392" s="52">
        <f>IF('計算'!$C388="","",IF('計算'!$M388="","",'計算'!$BA388))</f>
        <v/>
      </c>
      <c r="T392" s="52">
        <f>IF('計算'!$C388="","",IF('計算'!$M388="","",'計算'!$BB388))</f>
        <v/>
      </c>
      <c r="U392" s="52">
        <f>IF('計算'!$C388="","",IF('計算'!$M388="","",'計算'!$BC388))</f>
        <v/>
      </c>
      <c r="V392" s="52">
        <f>IF('計算'!$C388="","",IF('計算'!$M388="","",'計算'!$BD388))</f>
        <v/>
      </c>
      <c r="W392" s="52">
        <f>IF('計算'!$C388="","",IF('計算'!$M388="","",'計算'!$BE388))</f>
        <v/>
      </c>
      <c r="X392" s="52">
        <f>IF('計算'!$C388="","",IF('計算'!$M388="","",'計算'!$BF388))</f>
        <v/>
      </c>
      <c r="Y392" s="52">
        <f>IF('計算'!$C388="","",IF('計算'!$M388="","",'計算'!$BG388))</f>
        <v/>
      </c>
      <c r="Z392" s="52">
        <f>IF('計算'!$C388="","",IF('計算'!$M388="","",'計算'!$BH388))</f>
        <v/>
      </c>
      <c r="AA392" s="52">
        <f>IF('計算'!$C388="","",IF('計算'!$M388="","",'計算'!$BI388))</f>
        <v/>
      </c>
      <c r="AB392" s="52">
        <f>IF('計算'!$C388="","",IF('計算'!$M388="","",'計算'!$BJ388))</f>
        <v/>
      </c>
      <c r="AC392" s="52">
        <f>IF('計算'!$C388="","",IF('計算'!$M388="","",'計算'!$BK388))</f>
        <v/>
      </c>
      <c r="AD392" s="53" t="n"/>
      <c r="AE392" s="48" t="n"/>
      <c r="AF392" s="54">
        <f>IF('計算'!$C388="","",'計算'!$C388)</f>
        <v/>
      </c>
      <c r="AG392" s="54">
        <f>IF('計算'!$C388="","",'計算'!$F388)</f>
        <v/>
      </c>
    </row>
    <row r="393" ht="18" customHeight="1">
      <c r="B393" s="42">
        <f>IF('計算'!$C389="","",'計算'!$B389)</f>
        <v/>
      </c>
      <c r="C393" s="43">
        <f>IF('計算'!$C389="","",'計算'!$D389)</f>
        <v/>
      </c>
      <c r="D393" s="44">
        <f>IF('計算'!$C389="","",'計算'!$O389)</f>
        <v/>
      </c>
      <c r="E393" s="45">
        <f>IF('計算'!$C389="","",'計算'!$L389)</f>
        <v/>
      </c>
      <c r="F393" s="46">
        <f>IF('計算'!$C389="","",'計算'!$CD389)</f>
        <v/>
      </c>
      <c r="G393" s="47">
        <f>IF('計算'!$C389="","",'計算'!$CA389)</f>
        <v/>
      </c>
      <c r="H393" s="43">
        <f>IF('計算'!$C389="","",'計算'!$CP389)</f>
        <v/>
      </c>
      <c r="I393" s="48" t="n"/>
      <c r="J393" s="49" t="n"/>
      <c r="K393" s="50">
        <f>IF('計算'!$C389="","",'計算'!$CR389)</f>
        <v/>
      </c>
      <c r="L393" s="51">
        <f>IF('計算'!$C389="","",'計算'!$CF389)</f>
        <v/>
      </c>
      <c r="M393" s="48" t="n"/>
      <c r="N393" s="49" t="n"/>
      <c r="O393" s="43">
        <f>IF('計算'!$C389="","",'計算'!$CQ389)</f>
        <v/>
      </c>
      <c r="P393" s="52">
        <f>IF('計算'!$C389="","",IF('計算'!$M389="","",'計算'!$AX389))</f>
        <v/>
      </c>
      <c r="Q393" s="52">
        <f>IF('計算'!$C389="","",IF('計算'!$M389="","",'計算'!$AY389))</f>
        <v/>
      </c>
      <c r="R393" s="52">
        <f>IF('計算'!$C389="","",IF('計算'!$M389="","",'計算'!$AZ389))</f>
        <v/>
      </c>
      <c r="S393" s="52">
        <f>IF('計算'!$C389="","",IF('計算'!$M389="","",'計算'!$BA389))</f>
        <v/>
      </c>
      <c r="T393" s="52">
        <f>IF('計算'!$C389="","",IF('計算'!$M389="","",'計算'!$BB389))</f>
        <v/>
      </c>
      <c r="U393" s="52">
        <f>IF('計算'!$C389="","",IF('計算'!$M389="","",'計算'!$BC389))</f>
        <v/>
      </c>
      <c r="V393" s="52">
        <f>IF('計算'!$C389="","",IF('計算'!$M389="","",'計算'!$BD389))</f>
        <v/>
      </c>
      <c r="W393" s="52">
        <f>IF('計算'!$C389="","",IF('計算'!$M389="","",'計算'!$BE389))</f>
        <v/>
      </c>
      <c r="X393" s="52">
        <f>IF('計算'!$C389="","",IF('計算'!$M389="","",'計算'!$BF389))</f>
        <v/>
      </c>
      <c r="Y393" s="52">
        <f>IF('計算'!$C389="","",IF('計算'!$M389="","",'計算'!$BG389))</f>
        <v/>
      </c>
      <c r="Z393" s="52">
        <f>IF('計算'!$C389="","",IF('計算'!$M389="","",'計算'!$BH389))</f>
        <v/>
      </c>
      <c r="AA393" s="52">
        <f>IF('計算'!$C389="","",IF('計算'!$M389="","",'計算'!$BI389))</f>
        <v/>
      </c>
      <c r="AB393" s="52">
        <f>IF('計算'!$C389="","",IF('計算'!$M389="","",'計算'!$BJ389))</f>
        <v/>
      </c>
      <c r="AC393" s="52">
        <f>IF('計算'!$C389="","",IF('計算'!$M389="","",'計算'!$BK389))</f>
        <v/>
      </c>
      <c r="AD393" s="53" t="n"/>
      <c r="AE393" s="48" t="n"/>
      <c r="AF393" s="54">
        <f>IF('計算'!$C389="","",'計算'!$C389)</f>
        <v/>
      </c>
      <c r="AG393" s="54">
        <f>IF('計算'!$C389="","",'計算'!$F389)</f>
        <v/>
      </c>
    </row>
    <row r="394" ht="18" customHeight="1">
      <c r="B394" s="42">
        <f>IF('計算'!$C390="","",'計算'!$B390)</f>
        <v/>
      </c>
      <c r="C394" s="43">
        <f>IF('計算'!$C390="","",'計算'!$D390)</f>
        <v/>
      </c>
      <c r="D394" s="44">
        <f>IF('計算'!$C390="","",'計算'!$O390)</f>
        <v/>
      </c>
      <c r="E394" s="45">
        <f>IF('計算'!$C390="","",'計算'!$L390)</f>
        <v/>
      </c>
      <c r="F394" s="46">
        <f>IF('計算'!$C390="","",'計算'!$CD390)</f>
        <v/>
      </c>
      <c r="G394" s="47">
        <f>IF('計算'!$C390="","",'計算'!$CA390)</f>
        <v/>
      </c>
      <c r="H394" s="43">
        <f>IF('計算'!$C390="","",'計算'!$CP390)</f>
        <v/>
      </c>
      <c r="I394" s="48" t="n"/>
      <c r="J394" s="49" t="n"/>
      <c r="K394" s="50">
        <f>IF('計算'!$C390="","",'計算'!$CR390)</f>
        <v/>
      </c>
      <c r="L394" s="51">
        <f>IF('計算'!$C390="","",'計算'!$CF390)</f>
        <v/>
      </c>
      <c r="M394" s="48" t="n"/>
      <c r="N394" s="49" t="n"/>
      <c r="O394" s="43">
        <f>IF('計算'!$C390="","",'計算'!$CQ390)</f>
        <v/>
      </c>
      <c r="P394" s="52">
        <f>IF('計算'!$C390="","",IF('計算'!$M390="","",'計算'!$AX390))</f>
        <v/>
      </c>
      <c r="Q394" s="52">
        <f>IF('計算'!$C390="","",IF('計算'!$M390="","",'計算'!$AY390))</f>
        <v/>
      </c>
      <c r="R394" s="52">
        <f>IF('計算'!$C390="","",IF('計算'!$M390="","",'計算'!$AZ390))</f>
        <v/>
      </c>
      <c r="S394" s="52">
        <f>IF('計算'!$C390="","",IF('計算'!$M390="","",'計算'!$BA390))</f>
        <v/>
      </c>
      <c r="T394" s="52">
        <f>IF('計算'!$C390="","",IF('計算'!$M390="","",'計算'!$BB390))</f>
        <v/>
      </c>
      <c r="U394" s="52">
        <f>IF('計算'!$C390="","",IF('計算'!$M390="","",'計算'!$BC390))</f>
        <v/>
      </c>
      <c r="V394" s="52">
        <f>IF('計算'!$C390="","",IF('計算'!$M390="","",'計算'!$BD390))</f>
        <v/>
      </c>
      <c r="W394" s="52">
        <f>IF('計算'!$C390="","",IF('計算'!$M390="","",'計算'!$BE390))</f>
        <v/>
      </c>
      <c r="X394" s="52">
        <f>IF('計算'!$C390="","",IF('計算'!$M390="","",'計算'!$BF390))</f>
        <v/>
      </c>
      <c r="Y394" s="52">
        <f>IF('計算'!$C390="","",IF('計算'!$M390="","",'計算'!$BG390))</f>
        <v/>
      </c>
      <c r="Z394" s="52">
        <f>IF('計算'!$C390="","",IF('計算'!$M390="","",'計算'!$BH390))</f>
        <v/>
      </c>
      <c r="AA394" s="52">
        <f>IF('計算'!$C390="","",IF('計算'!$M390="","",'計算'!$BI390))</f>
        <v/>
      </c>
      <c r="AB394" s="52">
        <f>IF('計算'!$C390="","",IF('計算'!$M390="","",'計算'!$BJ390))</f>
        <v/>
      </c>
      <c r="AC394" s="52">
        <f>IF('計算'!$C390="","",IF('計算'!$M390="","",'計算'!$BK390))</f>
        <v/>
      </c>
      <c r="AD394" s="53" t="n"/>
      <c r="AE394" s="48" t="n"/>
      <c r="AF394" s="54">
        <f>IF('計算'!$C390="","",'計算'!$C390)</f>
        <v/>
      </c>
      <c r="AG394" s="54">
        <f>IF('計算'!$C390="","",'計算'!$F390)</f>
        <v/>
      </c>
    </row>
    <row r="395" ht="18" customHeight="1">
      <c r="B395" s="42">
        <f>IF('計算'!$C391="","",'計算'!$B391)</f>
        <v/>
      </c>
      <c r="C395" s="43">
        <f>IF('計算'!$C391="","",'計算'!$D391)</f>
        <v/>
      </c>
      <c r="D395" s="44">
        <f>IF('計算'!$C391="","",'計算'!$O391)</f>
        <v/>
      </c>
      <c r="E395" s="45">
        <f>IF('計算'!$C391="","",'計算'!$L391)</f>
        <v/>
      </c>
      <c r="F395" s="46">
        <f>IF('計算'!$C391="","",'計算'!$CD391)</f>
        <v/>
      </c>
      <c r="G395" s="47">
        <f>IF('計算'!$C391="","",'計算'!$CA391)</f>
        <v/>
      </c>
      <c r="H395" s="43">
        <f>IF('計算'!$C391="","",'計算'!$CP391)</f>
        <v/>
      </c>
      <c r="I395" s="48" t="n"/>
      <c r="J395" s="49" t="n"/>
      <c r="K395" s="50">
        <f>IF('計算'!$C391="","",'計算'!$CR391)</f>
        <v/>
      </c>
      <c r="L395" s="51">
        <f>IF('計算'!$C391="","",'計算'!$CF391)</f>
        <v/>
      </c>
      <c r="M395" s="48" t="n"/>
      <c r="N395" s="49" t="n"/>
      <c r="O395" s="43">
        <f>IF('計算'!$C391="","",'計算'!$CQ391)</f>
        <v/>
      </c>
      <c r="P395" s="52">
        <f>IF('計算'!$C391="","",IF('計算'!$M391="","",'計算'!$AX391))</f>
        <v/>
      </c>
      <c r="Q395" s="52">
        <f>IF('計算'!$C391="","",IF('計算'!$M391="","",'計算'!$AY391))</f>
        <v/>
      </c>
      <c r="R395" s="52">
        <f>IF('計算'!$C391="","",IF('計算'!$M391="","",'計算'!$AZ391))</f>
        <v/>
      </c>
      <c r="S395" s="52">
        <f>IF('計算'!$C391="","",IF('計算'!$M391="","",'計算'!$BA391))</f>
        <v/>
      </c>
      <c r="T395" s="52">
        <f>IF('計算'!$C391="","",IF('計算'!$M391="","",'計算'!$BB391))</f>
        <v/>
      </c>
      <c r="U395" s="52">
        <f>IF('計算'!$C391="","",IF('計算'!$M391="","",'計算'!$BC391))</f>
        <v/>
      </c>
      <c r="V395" s="52">
        <f>IF('計算'!$C391="","",IF('計算'!$M391="","",'計算'!$BD391))</f>
        <v/>
      </c>
      <c r="W395" s="52">
        <f>IF('計算'!$C391="","",IF('計算'!$M391="","",'計算'!$BE391))</f>
        <v/>
      </c>
      <c r="X395" s="52">
        <f>IF('計算'!$C391="","",IF('計算'!$M391="","",'計算'!$BF391))</f>
        <v/>
      </c>
      <c r="Y395" s="52">
        <f>IF('計算'!$C391="","",IF('計算'!$M391="","",'計算'!$BG391))</f>
        <v/>
      </c>
      <c r="Z395" s="52">
        <f>IF('計算'!$C391="","",IF('計算'!$M391="","",'計算'!$BH391))</f>
        <v/>
      </c>
      <c r="AA395" s="52">
        <f>IF('計算'!$C391="","",IF('計算'!$M391="","",'計算'!$BI391))</f>
        <v/>
      </c>
      <c r="AB395" s="52">
        <f>IF('計算'!$C391="","",IF('計算'!$M391="","",'計算'!$BJ391))</f>
        <v/>
      </c>
      <c r="AC395" s="52">
        <f>IF('計算'!$C391="","",IF('計算'!$M391="","",'計算'!$BK391))</f>
        <v/>
      </c>
      <c r="AD395" s="53" t="n"/>
      <c r="AE395" s="48" t="n"/>
      <c r="AF395" s="54">
        <f>IF('計算'!$C391="","",'計算'!$C391)</f>
        <v/>
      </c>
      <c r="AG395" s="54">
        <f>IF('計算'!$C391="","",'計算'!$F391)</f>
        <v/>
      </c>
    </row>
    <row r="396" ht="18" customHeight="1">
      <c r="B396" s="42">
        <f>IF('計算'!$C392="","",'計算'!$B392)</f>
        <v/>
      </c>
      <c r="C396" s="43">
        <f>IF('計算'!$C392="","",'計算'!$D392)</f>
        <v/>
      </c>
      <c r="D396" s="44">
        <f>IF('計算'!$C392="","",'計算'!$O392)</f>
        <v/>
      </c>
      <c r="E396" s="45">
        <f>IF('計算'!$C392="","",'計算'!$L392)</f>
        <v/>
      </c>
      <c r="F396" s="46">
        <f>IF('計算'!$C392="","",'計算'!$CD392)</f>
        <v/>
      </c>
      <c r="G396" s="47">
        <f>IF('計算'!$C392="","",'計算'!$CA392)</f>
        <v/>
      </c>
      <c r="H396" s="43">
        <f>IF('計算'!$C392="","",'計算'!$CP392)</f>
        <v/>
      </c>
      <c r="I396" s="48" t="n"/>
      <c r="J396" s="49" t="n"/>
      <c r="K396" s="50">
        <f>IF('計算'!$C392="","",'計算'!$CR392)</f>
        <v/>
      </c>
      <c r="L396" s="51">
        <f>IF('計算'!$C392="","",'計算'!$CF392)</f>
        <v/>
      </c>
      <c r="M396" s="48" t="n"/>
      <c r="N396" s="49" t="n"/>
      <c r="O396" s="43">
        <f>IF('計算'!$C392="","",'計算'!$CQ392)</f>
        <v/>
      </c>
      <c r="P396" s="52">
        <f>IF('計算'!$C392="","",IF('計算'!$M392="","",'計算'!$AX392))</f>
        <v/>
      </c>
      <c r="Q396" s="52">
        <f>IF('計算'!$C392="","",IF('計算'!$M392="","",'計算'!$AY392))</f>
        <v/>
      </c>
      <c r="R396" s="52">
        <f>IF('計算'!$C392="","",IF('計算'!$M392="","",'計算'!$AZ392))</f>
        <v/>
      </c>
      <c r="S396" s="52">
        <f>IF('計算'!$C392="","",IF('計算'!$M392="","",'計算'!$BA392))</f>
        <v/>
      </c>
      <c r="T396" s="52">
        <f>IF('計算'!$C392="","",IF('計算'!$M392="","",'計算'!$BB392))</f>
        <v/>
      </c>
      <c r="U396" s="52">
        <f>IF('計算'!$C392="","",IF('計算'!$M392="","",'計算'!$BC392))</f>
        <v/>
      </c>
      <c r="V396" s="52">
        <f>IF('計算'!$C392="","",IF('計算'!$M392="","",'計算'!$BD392))</f>
        <v/>
      </c>
      <c r="W396" s="52">
        <f>IF('計算'!$C392="","",IF('計算'!$M392="","",'計算'!$BE392))</f>
        <v/>
      </c>
      <c r="X396" s="52">
        <f>IF('計算'!$C392="","",IF('計算'!$M392="","",'計算'!$BF392))</f>
        <v/>
      </c>
      <c r="Y396" s="52">
        <f>IF('計算'!$C392="","",IF('計算'!$M392="","",'計算'!$BG392))</f>
        <v/>
      </c>
      <c r="Z396" s="52">
        <f>IF('計算'!$C392="","",IF('計算'!$M392="","",'計算'!$BH392))</f>
        <v/>
      </c>
      <c r="AA396" s="52">
        <f>IF('計算'!$C392="","",IF('計算'!$M392="","",'計算'!$BI392))</f>
        <v/>
      </c>
      <c r="AB396" s="52">
        <f>IF('計算'!$C392="","",IF('計算'!$M392="","",'計算'!$BJ392))</f>
        <v/>
      </c>
      <c r="AC396" s="52">
        <f>IF('計算'!$C392="","",IF('計算'!$M392="","",'計算'!$BK392))</f>
        <v/>
      </c>
      <c r="AD396" s="53" t="n"/>
      <c r="AE396" s="48" t="n"/>
      <c r="AF396" s="54">
        <f>IF('計算'!$C392="","",'計算'!$C392)</f>
        <v/>
      </c>
      <c r="AG396" s="54">
        <f>IF('計算'!$C392="","",'計算'!$F392)</f>
        <v/>
      </c>
    </row>
    <row r="397" ht="18" customHeight="1">
      <c r="B397" s="42">
        <f>IF('計算'!$C393="","",'計算'!$B393)</f>
        <v/>
      </c>
      <c r="C397" s="43">
        <f>IF('計算'!$C393="","",'計算'!$D393)</f>
        <v/>
      </c>
      <c r="D397" s="44">
        <f>IF('計算'!$C393="","",'計算'!$O393)</f>
        <v/>
      </c>
      <c r="E397" s="45">
        <f>IF('計算'!$C393="","",'計算'!$L393)</f>
        <v/>
      </c>
      <c r="F397" s="46">
        <f>IF('計算'!$C393="","",'計算'!$CD393)</f>
        <v/>
      </c>
      <c r="G397" s="47">
        <f>IF('計算'!$C393="","",'計算'!$CA393)</f>
        <v/>
      </c>
      <c r="H397" s="43">
        <f>IF('計算'!$C393="","",'計算'!$CP393)</f>
        <v/>
      </c>
      <c r="I397" s="48" t="n"/>
      <c r="J397" s="49" t="n"/>
      <c r="K397" s="50">
        <f>IF('計算'!$C393="","",'計算'!$CR393)</f>
        <v/>
      </c>
      <c r="L397" s="51">
        <f>IF('計算'!$C393="","",'計算'!$CF393)</f>
        <v/>
      </c>
      <c r="M397" s="48" t="n"/>
      <c r="N397" s="49" t="n"/>
      <c r="O397" s="43">
        <f>IF('計算'!$C393="","",'計算'!$CQ393)</f>
        <v/>
      </c>
      <c r="P397" s="52">
        <f>IF('計算'!$C393="","",IF('計算'!$M393="","",'計算'!$AX393))</f>
        <v/>
      </c>
      <c r="Q397" s="52">
        <f>IF('計算'!$C393="","",IF('計算'!$M393="","",'計算'!$AY393))</f>
        <v/>
      </c>
      <c r="R397" s="52">
        <f>IF('計算'!$C393="","",IF('計算'!$M393="","",'計算'!$AZ393))</f>
        <v/>
      </c>
      <c r="S397" s="52">
        <f>IF('計算'!$C393="","",IF('計算'!$M393="","",'計算'!$BA393))</f>
        <v/>
      </c>
      <c r="T397" s="52">
        <f>IF('計算'!$C393="","",IF('計算'!$M393="","",'計算'!$BB393))</f>
        <v/>
      </c>
      <c r="U397" s="52">
        <f>IF('計算'!$C393="","",IF('計算'!$M393="","",'計算'!$BC393))</f>
        <v/>
      </c>
      <c r="V397" s="52">
        <f>IF('計算'!$C393="","",IF('計算'!$M393="","",'計算'!$BD393))</f>
        <v/>
      </c>
      <c r="W397" s="52">
        <f>IF('計算'!$C393="","",IF('計算'!$M393="","",'計算'!$BE393))</f>
        <v/>
      </c>
      <c r="X397" s="52">
        <f>IF('計算'!$C393="","",IF('計算'!$M393="","",'計算'!$BF393))</f>
        <v/>
      </c>
      <c r="Y397" s="52">
        <f>IF('計算'!$C393="","",IF('計算'!$M393="","",'計算'!$BG393))</f>
        <v/>
      </c>
      <c r="Z397" s="52">
        <f>IF('計算'!$C393="","",IF('計算'!$M393="","",'計算'!$BH393))</f>
        <v/>
      </c>
      <c r="AA397" s="52">
        <f>IF('計算'!$C393="","",IF('計算'!$M393="","",'計算'!$BI393))</f>
        <v/>
      </c>
      <c r="AB397" s="52">
        <f>IF('計算'!$C393="","",IF('計算'!$M393="","",'計算'!$BJ393))</f>
        <v/>
      </c>
      <c r="AC397" s="52">
        <f>IF('計算'!$C393="","",IF('計算'!$M393="","",'計算'!$BK393))</f>
        <v/>
      </c>
      <c r="AD397" s="53" t="n"/>
      <c r="AE397" s="48" t="n"/>
      <c r="AF397" s="54">
        <f>IF('計算'!$C393="","",'計算'!$C393)</f>
        <v/>
      </c>
      <c r="AG397" s="54">
        <f>IF('計算'!$C393="","",'計算'!$F393)</f>
        <v/>
      </c>
    </row>
    <row r="398" ht="18" customHeight="1">
      <c r="B398" s="42">
        <f>IF('計算'!$C394="","",'計算'!$B394)</f>
        <v/>
      </c>
      <c r="C398" s="43">
        <f>IF('計算'!$C394="","",'計算'!$D394)</f>
        <v/>
      </c>
      <c r="D398" s="44">
        <f>IF('計算'!$C394="","",'計算'!$O394)</f>
        <v/>
      </c>
      <c r="E398" s="45">
        <f>IF('計算'!$C394="","",'計算'!$L394)</f>
        <v/>
      </c>
      <c r="F398" s="46">
        <f>IF('計算'!$C394="","",'計算'!$CD394)</f>
        <v/>
      </c>
      <c r="G398" s="47">
        <f>IF('計算'!$C394="","",'計算'!$CA394)</f>
        <v/>
      </c>
      <c r="H398" s="43">
        <f>IF('計算'!$C394="","",'計算'!$CP394)</f>
        <v/>
      </c>
      <c r="I398" s="48" t="n"/>
      <c r="J398" s="49" t="n"/>
      <c r="K398" s="50">
        <f>IF('計算'!$C394="","",'計算'!$CR394)</f>
        <v/>
      </c>
      <c r="L398" s="51">
        <f>IF('計算'!$C394="","",'計算'!$CF394)</f>
        <v/>
      </c>
      <c r="M398" s="48" t="n"/>
      <c r="N398" s="49" t="n"/>
      <c r="O398" s="43">
        <f>IF('計算'!$C394="","",'計算'!$CQ394)</f>
        <v/>
      </c>
      <c r="P398" s="52">
        <f>IF('計算'!$C394="","",IF('計算'!$M394="","",'計算'!$AX394))</f>
        <v/>
      </c>
      <c r="Q398" s="52">
        <f>IF('計算'!$C394="","",IF('計算'!$M394="","",'計算'!$AY394))</f>
        <v/>
      </c>
      <c r="R398" s="52">
        <f>IF('計算'!$C394="","",IF('計算'!$M394="","",'計算'!$AZ394))</f>
        <v/>
      </c>
      <c r="S398" s="52">
        <f>IF('計算'!$C394="","",IF('計算'!$M394="","",'計算'!$BA394))</f>
        <v/>
      </c>
      <c r="T398" s="52">
        <f>IF('計算'!$C394="","",IF('計算'!$M394="","",'計算'!$BB394))</f>
        <v/>
      </c>
      <c r="U398" s="52">
        <f>IF('計算'!$C394="","",IF('計算'!$M394="","",'計算'!$BC394))</f>
        <v/>
      </c>
      <c r="V398" s="52">
        <f>IF('計算'!$C394="","",IF('計算'!$M394="","",'計算'!$BD394))</f>
        <v/>
      </c>
      <c r="W398" s="52">
        <f>IF('計算'!$C394="","",IF('計算'!$M394="","",'計算'!$BE394))</f>
        <v/>
      </c>
      <c r="X398" s="52">
        <f>IF('計算'!$C394="","",IF('計算'!$M394="","",'計算'!$BF394))</f>
        <v/>
      </c>
      <c r="Y398" s="52">
        <f>IF('計算'!$C394="","",IF('計算'!$M394="","",'計算'!$BG394))</f>
        <v/>
      </c>
      <c r="Z398" s="52">
        <f>IF('計算'!$C394="","",IF('計算'!$M394="","",'計算'!$BH394))</f>
        <v/>
      </c>
      <c r="AA398" s="52">
        <f>IF('計算'!$C394="","",IF('計算'!$M394="","",'計算'!$BI394))</f>
        <v/>
      </c>
      <c r="AB398" s="52">
        <f>IF('計算'!$C394="","",IF('計算'!$M394="","",'計算'!$BJ394))</f>
        <v/>
      </c>
      <c r="AC398" s="52">
        <f>IF('計算'!$C394="","",IF('計算'!$M394="","",'計算'!$BK394))</f>
        <v/>
      </c>
      <c r="AD398" s="53" t="n"/>
      <c r="AE398" s="48" t="n"/>
      <c r="AF398" s="54">
        <f>IF('計算'!$C394="","",'計算'!$C394)</f>
        <v/>
      </c>
      <c r="AG398" s="54">
        <f>IF('計算'!$C394="","",'計算'!$F394)</f>
        <v/>
      </c>
    </row>
    <row r="399" ht="18" customHeight="1">
      <c r="B399" s="42">
        <f>IF('計算'!$C395="","",'計算'!$B395)</f>
        <v/>
      </c>
      <c r="C399" s="43">
        <f>IF('計算'!$C395="","",'計算'!$D395)</f>
        <v/>
      </c>
      <c r="D399" s="44">
        <f>IF('計算'!$C395="","",'計算'!$O395)</f>
        <v/>
      </c>
      <c r="E399" s="45">
        <f>IF('計算'!$C395="","",'計算'!$L395)</f>
        <v/>
      </c>
      <c r="F399" s="46">
        <f>IF('計算'!$C395="","",'計算'!$CD395)</f>
        <v/>
      </c>
      <c r="G399" s="47">
        <f>IF('計算'!$C395="","",'計算'!$CA395)</f>
        <v/>
      </c>
      <c r="H399" s="43">
        <f>IF('計算'!$C395="","",'計算'!$CP395)</f>
        <v/>
      </c>
      <c r="I399" s="48" t="n"/>
      <c r="J399" s="49" t="n"/>
      <c r="K399" s="50">
        <f>IF('計算'!$C395="","",'計算'!$CR395)</f>
        <v/>
      </c>
      <c r="L399" s="51">
        <f>IF('計算'!$C395="","",'計算'!$CF395)</f>
        <v/>
      </c>
      <c r="M399" s="48" t="n"/>
      <c r="N399" s="49" t="n"/>
      <c r="O399" s="43">
        <f>IF('計算'!$C395="","",'計算'!$CQ395)</f>
        <v/>
      </c>
      <c r="P399" s="52">
        <f>IF('計算'!$C395="","",IF('計算'!$M395="","",'計算'!$AX395))</f>
        <v/>
      </c>
      <c r="Q399" s="52">
        <f>IF('計算'!$C395="","",IF('計算'!$M395="","",'計算'!$AY395))</f>
        <v/>
      </c>
      <c r="R399" s="52">
        <f>IF('計算'!$C395="","",IF('計算'!$M395="","",'計算'!$AZ395))</f>
        <v/>
      </c>
      <c r="S399" s="52">
        <f>IF('計算'!$C395="","",IF('計算'!$M395="","",'計算'!$BA395))</f>
        <v/>
      </c>
      <c r="T399" s="52">
        <f>IF('計算'!$C395="","",IF('計算'!$M395="","",'計算'!$BB395))</f>
        <v/>
      </c>
      <c r="U399" s="52">
        <f>IF('計算'!$C395="","",IF('計算'!$M395="","",'計算'!$BC395))</f>
        <v/>
      </c>
      <c r="V399" s="52">
        <f>IF('計算'!$C395="","",IF('計算'!$M395="","",'計算'!$BD395))</f>
        <v/>
      </c>
      <c r="W399" s="52">
        <f>IF('計算'!$C395="","",IF('計算'!$M395="","",'計算'!$BE395))</f>
        <v/>
      </c>
      <c r="X399" s="52">
        <f>IF('計算'!$C395="","",IF('計算'!$M395="","",'計算'!$BF395))</f>
        <v/>
      </c>
      <c r="Y399" s="52">
        <f>IF('計算'!$C395="","",IF('計算'!$M395="","",'計算'!$BG395))</f>
        <v/>
      </c>
      <c r="Z399" s="52">
        <f>IF('計算'!$C395="","",IF('計算'!$M395="","",'計算'!$BH395))</f>
        <v/>
      </c>
      <c r="AA399" s="52">
        <f>IF('計算'!$C395="","",IF('計算'!$M395="","",'計算'!$BI395))</f>
        <v/>
      </c>
      <c r="AB399" s="52">
        <f>IF('計算'!$C395="","",IF('計算'!$M395="","",'計算'!$BJ395))</f>
        <v/>
      </c>
      <c r="AC399" s="52">
        <f>IF('計算'!$C395="","",IF('計算'!$M395="","",'計算'!$BK395))</f>
        <v/>
      </c>
      <c r="AD399" s="53" t="n"/>
      <c r="AE399" s="48" t="n"/>
      <c r="AF399" s="54">
        <f>IF('計算'!$C395="","",'計算'!$C395)</f>
        <v/>
      </c>
      <c r="AG399" s="54">
        <f>IF('計算'!$C395="","",'計算'!$F395)</f>
        <v/>
      </c>
    </row>
    <row r="400" ht="18" customHeight="1">
      <c r="B400" s="42">
        <f>IF('計算'!$C396="","",'計算'!$B396)</f>
        <v/>
      </c>
      <c r="C400" s="43">
        <f>IF('計算'!$C396="","",'計算'!$D396)</f>
        <v/>
      </c>
      <c r="D400" s="44">
        <f>IF('計算'!$C396="","",'計算'!$O396)</f>
        <v/>
      </c>
      <c r="E400" s="45">
        <f>IF('計算'!$C396="","",'計算'!$L396)</f>
        <v/>
      </c>
      <c r="F400" s="46">
        <f>IF('計算'!$C396="","",'計算'!$CD396)</f>
        <v/>
      </c>
      <c r="G400" s="47">
        <f>IF('計算'!$C396="","",'計算'!$CA396)</f>
        <v/>
      </c>
      <c r="H400" s="43">
        <f>IF('計算'!$C396="","",'計算'!$CP396)</f>
        <v/>
      </c>
      <c r="I400" s="48" t="n"/>
      <c r="J400" s="49" t="n"/>
      <c r="K400" s="50">
        <f>IF('計算'!$C396="","",'計算'!$CR396)</f>
        <v/>
      </c>
      <c r="L400" s="51">
        <f>IF('計算'!$C396="","",'計算'!$CF396)</f>
        <v/>
      </c>
      <c r="M400" s="48" t="n"/>
      <c r="N400" s="49" t="n"/>
      <c r="O400" s="43">
        <f>IF('計算'!$C396="","",'計算'!$CQ396)</f>
        <v/>
      </c>
      <c r="P400" s="52">
        <f>IF('計算'!$C396="","",IF('計算'!$M396="","",'計算'!$AX396))</f>
        <v/>
      </c>
      <c r="Q400" s="52">
        <f>IF('計算'!$C396="","",IF('計算'!$M396="","",'計算'!$AY396))</f>
        <v/>
      </c>
      <c r="R400" s="52">
        <f>IF('計算'!$C396="","",IF('計算'!$M396="","",'計算'!$AZ396))</f>
        <v/>
      </c>
      <c r="S400" s="52">
        <f>IF('計算'!$C396="","",IF('計算'!$M396="","",'計算'!$BA396))</f>
        <v/>
      </c>
      <c r="T400" s="52">
        <f>IF('計算'!$C396="","",IF('計算'!$M396="","",'計算'!$BB396))</f>
        <v/>
      </c>
      <c r="U400" s="52">
        <f>IF('計算'!$C396="","",IF('計算'!$M396="","",'計算'!$BC396))</f>
        <v/>
      </c>
      <c r="V400" s="52">
        <f>IF('計算'!$C396="","",IF('計算'!$M396="","",'計算'!$BD396))</f>
        <v/>
      </c>
      <c r="W400" s="52">
        <f>IF('計算'!$C396="","",IF('計算'!$M396="","",'計算'!$BE396))</f>
        <v/>
      </c>
      <c r="X400" s="52">
        <f>IF('計算'!$C396="","",IF('計算'!$M396="","",'計算'!$BF396))</f>
        <v/>
      </c>
      <c r="Y400" s="52">
        <f>IF('計算'!$C396="","",IF('計算'!$M396="","",'計算'!$BG396))</f>
        <v/>
      </c>
      <c r="Z400" s="52">
        <f>IF('計算'!$C396="","",IF('計算'!$M396="","",'計算'!$BH396))</f>
        <v/>
      </c>
      <c r="AA400" s="52">
        <f>IF('計算'!$C396="","",IF('計算'!$M396="","",'計算'!$BI396))</f>
        <v/>
      </c>
      <c r="AB400" s="52">
        <f>IF('計算'!$C396="","",IF('計算'!$M396="","",'計算'!$BJ396))</f>
        <v/>
      </c>
      <c r="AC400" s="52">
        <f>IF('計算'!$C396="","",IF('計算'!$M396="","",'計算'!$BK396))</f>
        <v/>
      </c>
      <c r="AD400" s="53" t="n"/>
      <c r="AE400" s="48" t="n"/>
      <c r="AF400" s="54">
        <f>IF('計算'!$C396="","",'計算'!$C396)</f>
        <v/>
      </c>
      <c r="AG400" s="54">
        <f>IF('計算'!$C396="","",'計算'!$F396)</f>
        <v/>
      </c>
    </row>
    <row r="401" ht="18" customHeight="1">
      <c r="B401" s="42">
        <f>IF('計算'!$C397="","",'計算'!$B397)</f>
        <v/>
      </c>
      <c r="C401" s="43">
        <f>IF('計算'!$C397="","",'計算'!$D397)</f>
        <v/>
      </c>
      <c r="D401" s="44">
        <f>IF('計算'!$C397="","",'計算'!$O397)</f>
        <v/>
      </c>
      <c r="E401" s="45">
        <f>IF('計算'!$C397="","",'計算'!$L397)</f>
        <v/>
      </c>
      <c r="F401" s="46">
        <f>IF('計算'!$C397="","",'計算'!$CD397)</f>
        <v/>
      </c>
      <c r="G401" s="47">
        <f>IF('計算'!$C397="","",'計算'!$CA397)</f>
        <v/>
      </c>
      <c r="H401" s="43">
        <f>IF('計算'!$C397="","",'計算'!$CP397)</f>
        <v/>
      </c>
      <c r="I401" s="48" t="n"/>
      <c r="J401" s="49" t="n"/>
      <c r="K401" s="50">
        <f>IF('計算'!$C397="","",'計算'!$CR397)</f>
        <v/>
      </c>
      <c r="L401" s="51">
        <f>IF('計算'!$C397="","",'計算'!$CF397)</f>
        <v/>
      </c>
      <c r="M401" s="48" t="n"/>
      <c r="N401" s="49" t="n"/>
      <c r="O401" s="43">
        <f>IF('計算'!$C397="","",'計算'!$CQ397)</f>
        <v/>
      </c>
      <c r="P401" s="52">
        <f>IF('計算'!$C397="","",IF('計算'!$M397="","",'計算'!$AX397))</f>
        <v/>
      </c>
      <c r="Q401" s="52">
        <f>IF('計算'!$C397="","",IF('計算'!$M397="","",'計算'!$AY397))</f>
        <v/>
      </c>
      <c r="R401" s="52">
        <f>IF('計算'!$C397="","",IF('計算'!$M397="","",'計算'!$AZ397))</f>
        <v/>
      </c>
      <c r="S401" s="52">
        <f>IF('計算'!$C397="","",IF('計算'!$M397="","",'計算'!$BA397))</f>
        <v/>
      </c>
      <c r="T401" s="52">
        <f>IF('計算'!$C397="","",IF('計算'!$M397="","",'計算'!$BB397))</f>
        <v/>
      </c>
      <c r="U401" s="52">
        <f>IF('計算'!$C397="","",IF('計算'!$M397="","",'計算'!$BC397))</f>
        <v/>
      </c>
      <c r="V401" s="52">
        <f>IF('計算'!$C397="","",IF('計算'!$M397="","",'計算'!$BD397))</f>
        <v/>
      </c>
      <c r="W401" s="52">
        <f>IF('計算'!$C397="","",IF('計算'!$M397="","",'計算'!$BE397))</f>
        <v/>
      </c>
      <c r="X401" s="52">
        <f>IF('計算'!$C397="","",IF('計算'!$M397="","",'計算'!$BF397))</f>
        <v/>
      </c>
      <c r="Y401" s="52">
        <f>IF('計算'!$C397="","",IF('計算'!$M397="","",'計算'!$BG397))</f>
        <v/>
      </c>
      <c r="Z401" s="52">
        <f>IF('計算'!$C397="","",IF('計算'!$M397="","",'計算'!$BH397))</f>
        <v/>
      </c>
      <c r="AA401" s="52">
        <f>IF('計算'!$C397="","",IF('計算'!$M397="","",'計算'!$BI397))</f>
        <v/>
      </c>
      <c r="AB401" s="52">
        <f>IF('計算'!$C397="","",IF('計算'!$M397="","",'計算'!$BJ397))</f>
        <v/>
      </c>
      <c r="AC401" s="52">
        <f>IF('計算'!$C397="","",IF('計算'!$M397="","",'計算'!$BK397))</f>
        <v/>
      </c>
      <c r="AD401" s="53" t="n"/>
      <c r="AE401" s="48" t="n"/>
      <c r="AF401" s="54">
        <f>IF('計算'!$C397="","",'計算'!$C397)</f>
        <v/>
      </c>
      <c r="AG401" s="54">
        <f>IF('計算'!$C397="","",'計算'!$F397)</f>
        <v/>
      </c>
    </row>
    <row r="402" ht="18" customHeight="1">
      <c r="B402" s="42">
        <f>IF('計算'!$C398="","",'計算'!$B398)</f>
        <v/>
      </c>
      <c r="C402" s="43">
        <f>IF('計算'!$C398="","",'計算'!$D398)</f>
        <v/>
      </c>
      <c r="D402" s="44">
        <f>IF('計算'!$C398="","",'計算'!$O398)</f>
        <v/>
      </c>
      <c r="E402" s="45">
        <f>IF('計算'!$C398="","",'計算'!$L398)</f>
        <v/>
      </c>
      <c r="F402" s="46">
        <f>IF('計算'!$C398="","",'計算'!$CD398)</f>
        <v/>
      </c>
      <c r="G402" s="47">
        <f>IF('計算'!$C398="","",'計算'!$CA398)</f>
        <v/>
      </c>
      <c r="H402" s="43">
        <f>IF('計算'!$C398="","",'計算'!$CP398)</f>
        <v/>
      </c>
      <c r="I402" s="48" t="n"/>
      <c r="J402" s="49" t="n"/>
      <c r="K402" s="50">
        <f>IF('計算'!$C398="","",'計算'!$CR398)</f>
        <v/>
      </c>
      <c r="L402" s="51">
        <f>IF('計算'!$C398="","",'計算'!$CF398)</f>
        <v/>
      </c>
      <c r="M402" s="48" t="n"/>
      <c r="N402" s="49" t="n"/>
      <c r="O402" s="43">
        <f>IF('計算'!$C398="","",'計算'!$CQ398)</f>
        <v/>
      </c>
      <c r="P402" s="52">
        <f>IF('計算'!$C398="","",IF('計算'!$M398="","",'計算'!$AX398))</f>
        <v/>
      </c>
      <c r="Q402" s="52">
        <f>IF('計算'!$C398="","",IF('計算'!$M398="","",'計算'!$AY398))</f>
        <v/>
      </c>
      <c r="R402" s="52">
        <f>IF('計算'!$C398="","",IF('計算'!$M398="","",'計算'!$AZ398))</f>
        <v/>
      </c>
      <c r="S402" s="52">
        <f>IF('計算'!$C398="","",IF('計算'!$M398="","",'計算'!$BA398))</f>
        <v/>
      </c>
      <c r="T402" s="52">
        <f>IF('計算'!$C398="","",IF('計算'!$M398="","",'計算'!$BB398))</f>
        <v/>
      </c>
      <c r="U402" s="52">
        <f>IF('計算'!$C398="","",IF('計算'!$M398="","",'計算'!$BC398))</f>
        <v/>
      </c>
      <c r="V402" s="52">
        <f>IF('計算'!$C398="","",IF('計算'!$M398="","",'計算'!$BD398))</f>
        <v/>
      </c>
      <c r="W402" s="52">
        <f>IF('計算'!$C398="","",IF('計算'!$M398="","",'計算'!$BE398))</f>
        <v/>
      </c>
      <c r="X402" s="52">
        <f>IF('計算'!$C398="","",IF('計算'!$M398="","",'計算'!$BF398))</f>
        <v/>
      </c>
      <c r="Y402" s="52">
        <f>IF('計算'!$C398="","",IF('計算'!$M398="","",'計算'!$BG398))</f>
        <v/>
      </c>
      <c r="Z402" s="52">
        <f>IF('計算'!$C398="","",IF('計算'!$M398="","",'計算'!$BH398))</f>
        <v/>
      </c>
      <c r="AA402" s="52">
        <f>IF('計算'!$C398="","",IF('計算'!$M398="","",'計算'!$BI398))</f>
        <v/>
      </c>
      <c r="AB402" s="52">
        <f>IF('計算'!$C398="","",IF('計算'!$M398="","",'計算'!$BJ398))</f>
        <v/>
      </c>
      <c r="AC402" s="52">
        <f>IF('計算'!$C398="","",IF('計算'!$M398="","",'計算'!$BK398))</f>
        <v/>
      </c>
      <c r="AD402" s="53" t="n"/>
      <c r="AE402" s="48" t="n"/>
      <c r="AF402" s="54">
        <f>IF('計算'!$C398="","",'計算'!$C398)</f>
        <v/>
      </c>
      <c r="AG402" s="54">
        <f>IF('計算'!$C398="","",'計算'!$F398)</f>
        <v/>
      </c>
    </row>
    <row r="403" ht="18" customHeight="1">
      <c r="B403" s="42">
        <f>IF('計算'!$C399="","",'計算'!$B399)</f>
        <v/>
      </c>
      <c r="C403" s="43">
        <f>IF('計算'!$C399="","",'計算'!$D399)</f>
        <v/>
      </c>
      <c r="D403" s="44">
        <f>IF('計算'!$C399="","",'計算'!$O399)</f>
        <v/>
      </c>
      <c r="E403" s="45">
        <f>IF('計算'!$C399="","",'計算'!$L399)</f>
        <v/>
      </c>
      <c r="F403" s="46">
        <f>IF('計算'!$C399="","",'計算'!$CD399)</f>
        <v/>
      </c>
      <c r="G403" s="47">
        <f>IF('計算'!$C399="","",'計算'!$CA399)</f>
        <v/>
      </c>
      <c r="H403" s="43">
        <f>IF('計算'!$C399="","",'計算'!$CP399)</f>
        <v/>
      </c>
      <c r="I403" s="48" t="n"/>
      <c r="J403" s="49" t="n"/>
      <c r="K403" s="50">
        <f>IF('計算'!$C399="","",'計算'!$CR399)</f>
        <v/>
      </c>
      <c r="L403" s="51">
        <f>IF('計算'!$C399="","",'計算'!$CF399)</f>
        <v/>
      </c>
      <c r="M403" s="48" t="n"/>
      <c r="N403" s="49" t="n"/>
      <c r="O403" s="43">
        <f>IF('計算'!$C399="","",'計算'!$CQ399)</f>
        <v/>
      </c>
      <c r="P403" s="52">
        <f>IF('計算'!$C399="","",IF('計算'!$M399="","",'計算'!$AX399))</f>
        <v/>
      </c>
      <c r="Q403" s="52">
        <f>IF('計算'!$C399="","",IF('計算'!$M399="","",'計算'!$AY399))</f>
        <v/>
      </c>
      <c r="R403" s="52">
        <f>IF('計算'!$C399="","",IF('計算'!$M399="","",'計算'!$AZ399))</f>
        <v/>
      </c>
      <c r="S403" s="52">
        <f>IF('計算'!$C399="","",IF('計算'!$M399="","",'計算'!$BA399))</f>
        <v/>
      </c>
      <c r="T403" s="52">
        <f>IF('計算'!$C399="","",IF('計算'!$M399="","",'計算'!$BB399))</f>
        <v/>
      </c>
      <c r="U403" s="52">
        <f>IF('計算'!$C399="","",IF('計算'!$M399="","",'計算'!$BC399))</f>
        <v/>
      </c>
      <c r="V403" s="52">
        <f>IF('計算'!$C399="","",IF('計算'!$M399="","",'計算'!$BD399))</f>
        <v/>
      </c>
      <c r="W403" s="52">
        <f>IF('計算'!$C399="","",IF('計算'!$M399="","",'計算'!$BE399))</f>
        <v/>
      </c>
      <c r="X403" s="52">
        <f>IF('計算'!$C399="","",IF('計算'!$M399="","",'計算'!$BF399))</f>
        <v/>
      </c>
      <c r="Y403" s="52">
        <f>IF('計算'!$C399="","",IF('計算'!$M399="","",'計算'!$BG399))</f>
        <v/>
      </c>
      <c r="Z403" s="52">
        <f>IF('計算'!$C399="","",IF('計算'!$M399="","",'計算'!$BH399))</f>
        <v/>
      </c>
      <c r="AA403" s="52">
        <f>IF('計算'!$C399="","",IF('計算'!$M399="","",'計算'!$BI399))</f>
        <v/>
      </c>
      <c r="AB403" s="52">
        <f>IF('計算'!$C399="","",IF('計算'!$M399="","",'計算'!$BJ399))</f>
        <v/>
      </c>
      <c r="AC403" s="52">
        <f>IF('計算'!$C399="","",IF('計算'!$M399="","",'計算'!$BK399))</f>
        <v/>
      </c>
      <c r="AD403" s="53" t="n"/>
      <c r="AE403" s="48" t="n"/>
      <c r="AF403" s="54">
        <f>IF('計算'!$C399="","",'計算'!$C399)</f>
        <v/>
      </c>
      <c r="AG403" s="54">
        <f>IF('計算'!$C399="","",'計算'!$F399)</f>
        <v/>
      </c>
    </row>
    <row r="404" ht="18" customHeight="1">
      <c r="B404" s="42">
        <f>IF('計算'!$C400="","",'計算'!$B400)</f>
        <v/>
      </c>
      <c r="C404" s="43">
        <f>IF('計算'!$C400="","",'計算'!$D400)</f>
        <v/>
      </c>
      <c r="D404" s="44">
        <f>IF('計算'!$C400="","",'計算'!$O400)</f>
        <v/>
      </c>
      <c r="E404" s="45">
        <f>IF('計算'!$C400="","",'計算'!$L400)</f>
        <v/>
      </c>
      <c r="F404" s="46">
        <f>IF('計算'!$C400="","",'計算'!$CD400)</f>
        <v/>
      </c>
      <c r="G404" s="47">
        <f>IF('計算'!$C400="","",'計算'!$CA400)</f>
        <v/>
      </c>
      <c r="H404" s="43">
        <f>IF('計算'!$C400="","",'計算'!$CP400)</f>
        <v/>
      </c>
      <c r="I404" s="48" t="n"/>
      <c r="J404" s="49" t="n"/>
      <c r="K404" s="50">
        <f>IF('計算'!$C400="","",'計算'!$CR400)</f>
        <v/>
      </c>
      <c r="L404" s="51">
        <f>IF('計算'!$C400="","",'計算'!$CF400)</f>
        <v/>
      </c>
      <c r="M404" s="48" t="n"/>
      <c r="N404" s="49" t="n"/>
      <c r="O404" s="43">
        <f>IF('計算'!$C400="","",'計算'!$CQ400)</f>
        <v/>
      </c>
      <c r="P404" s="52">
        <f>IF('計算'!$C400="","",IF('計算'!$M400="","",'計算'!$AX400))</f>
        <v/>
      </c>
      <c r="Q404" s="52">
        <f>IF('計算'!$C400="","",IF('計算'!$M400="","",'計算'!$AY400))</f>
        <v/>
      </c>
      <c r="R404" s="52">
        <f>IF('計算'!$C400="","",IF('計算'!$M400="","",'計算'!$AZ400))</f>
        <v/>
      </c>
      <c r="S404" s="52">
        <f>IF('計算'!$C400="","",IF('計算'!$M400="","",'計算'!$BA400))</f>
        <v/>
      </c>
      <c r="T404" s="52">
        <f>IF('計算'!$C400="","",IF('計算'!$M400="","",'計算'!$BB400))</f>
        <v/>
      </c>
      <c r="U404" s="52">
        <f>IF('計算'!$C400="","",IF('計算'!$M400="","",'計算'!$BC400))</f>
        <v/>
      </c>
      <c r="V404" s="52">
        <f>IF('計算'!$C400="","",IF('計算'!$M400="","",'計算'!$BD400))</f>
        <v/>
      </c>
      <c r="W404" s="52">
        <f>IF('計算'!$C400="","",IF('計算'!$M400="","",'計算'!$BE400))</f>
        <v/>
      </c>
      <c r="X404" s="52">
        <f>IF('計算'!$C400="","",IF('計算'!$M400="","",'計算'!$BF400))</f>
        <v/>
      </c>
      <c r="Y404" s="52">
        <f>IF('計算'!$C400="","",IF('計算'!$M400="","",'計算'!$BG400))</f>
        <v/>
      </c>
      <c r="Z404" s="52">
        <f>IF('計算'!$C400="","",IF('計算'!$M400="","",'計算'!$BH400))</f>
        <v/>
      </c>
      <c r="AA404" s="52">
        <f>IF('計算'!$C400="","",IF('計算'!$M400="","",'計算'!$BI400))</f>
        <v/>
      </c>
      <c r="AB404" s="52">
        <f>IF('計算'!$C400="","",IF('計算'!$M400="","",'計算'!$BJ400))</f>
        <v/>
      </c>
      <c r="AC404" s="52">
        <f>IF('計算'!$C400="","",IF('計算'!$M400="","",'計算'!$BK400))</f>
        <v/>
      </c>
      <c r="AD404" s="53" t="n"/>
      <c r="AE404" s="48" t="n"/>
      <c r="AF404" s="54">
        <f>IF('計算'!$C400="","",'計算'!$C400)</f>
        <v/>
      </c>
      <c r="AG404" s="54">
        <f>IF('計算'!$C400="","",'計算'!$F400)</f>
        <v/>
      </c>
    </row>
    <row r="405" ht="18" customHeight="1">
      <c r="B405" s="42">
        <f>IF('計算'!$C401="","",'計算'!$B401)</f>
        <v/>
      </c>
      <c r="C405" s="43">
        <f>IF('計算'!$C401="","",'計算'!$D401)</f>
        <v/>
      </c>
      <c r="D405" s="44">
        <f>IF('計算'!$C401="","",'計算'!$O401)</f>
        <v/>
      </c>
      <c r="E405" s="45">
        <f>IF('計算'!$C401="","",'計算'!$L401)</f>
        <v/>
      </c>
      <c r="F405" s="46">
        <f>IF('計算'!$C401="","",'計算'!$CD401)</f>
        <v/>
      </c>
      <c r="G405" s="47">
        <f>IF('計算'!$C401="","",'計算'!$CA401)</f>
        <v/>
      </c>
      <c r="H405" s="43">
        <f>IF('計算'!$C401="","",'計算'!$CP401)</f>
        <v/>
      </c>
      <c r="I405" s="48" t="n"/>
      <c r="J405" s="49" t="n"/>
      <c r="K405" s="50">
        <f>IF('計算'!$C401="","",'計算'!$CR401)</f>
        <v/>
      </c>
      <c r="L405" s="51">
        <f>IF('計算'!$C401="","",'計算'!$CF401)</f>
        <v/>
      </c>
      <c r="M405" s="48" t="n"/>
      <c r="N405" s="49" t="n"/>
      <c r="O405" s="43">
        <f>IF('計算'!$C401="","",'計算'!$CQ401)</f>
        <v/>
      </c>
      <c r="P405" s="52">
        <f>IF('計算'!$C401="","",IF('計算'!$M401="","",'計算'!$AX401))</f>
        <v/>
      </c>
      <c r="Q405" s="52">
        <f>IF('計算'!$C401="","",IF('計算'!$M401="","",'計算'!$AY401))</f>
        <v/>
      </c>
      <c r="R405" s="52">
        <f>IF('計算'!$C401="","",IF('計算'!$M401="","",'計算'!$AZ401))</f>
        <v/>
      </c>
      <c r="S405" s="52">
        <f>IF('計算'!$C401="","",IF('計算'!$M401="","",'計算'!$BA401))</f>
        <v/>
      </c>
      <c r="T405" s="52">
        <f>IF('計算'!$C401="","",IF('計算'!$M401="","",'計算'!$BB401))</f>
        <v/>
      </c>
      <c r="U405" s="52">
        <f>IF('計算'!$C401="","",IF('計算'!$M401="","",'計算'!$BC401))</f>
        <v/>
      </c>
      <c r="V405" s="52">
        <f>IF('計算'!$C401="","",IF('計算'!$M401="","",'計算'!$BD401))</f>
        <v/>
      </c>
      <c r="W405" s="52">
        <f>IF('計算'!$C401="","",IF('計算'!$M401="","",'計算'!$BE401))</f>
        <v/>
      </c>
      <c r="X405" s="52">
        <f>IF('計算'!$C401="","",IF('計算'!$M401="","",'計算'!$BF401))</f>
        <v/>
      </c>
      <c r="Y405" s="52">
        <f>IF('計算'!$C401="","",IF('計算'!$M401="","",'計算'!$BG401))</f>
        <v/>
      </c>
      <c r="Z405" s="52">
        <f>IF('計算'!$C401="","",IF('計算'!$M401="","",'計算'!$BH401))</f>
        <v/>
      </c>
      <c r="AA405" s="52">
        <f>IF('計算'!$C401="","",IF('計算'!$M401="","",'計算'!$BI401))</f>
        <v/>
      </c>
      <c r="AB405" s="52">
        <f>IF('計算'!$C401="","",IF('計算'!$M401="","",'計算'!$BJ401))</f>
        <v/>
      </c>
      <c r="AC405" s="52">
        <f>IF('計算'!$C401="","",IF('計算'!$M401="","",'計算'!$BK401))</f>
        <v/>
      </c>
      <c r="AD405" s="53" t="n"/>
      <c r="AE405" s="48" t="n"/>
      <c r="AF405" s="54">
        <f>IF('計算'!$C401="","",'計算'!$C401)</f>
        <v/>
      </c>
      <c r="AG405" s="54">
        <f>IF('計算'!$C401="","",'計算'!$F401)</f>
        <v/>
      </c>
    </row>
    <row r="406" ht="18" customHeight="1">
      <c r="B406" s="42">
        <f>IF('計算'!$C402="","",'計算'!$B402)</f>
        <v/>
      </c>
      <c r="C406" s="43">
        <f>IF('計算'!$C402="","",'計算'!$D402)</f>
        <v/>
      </c>
      <c r="D406" s="44">
        <f>IF('計算'!$C402="","",'計算'!$O402)</f>
        <v/>
      </c>
      <c r="E406" s="45">
        <f>IF('計算'!$C402="","",'計算'!$L402)</f>
        <v/>
      </c>
      <c r="F406" s="46">
        <f>IF('計算'!$C402="","",'計算'!$CD402)</f>
        <v/>
      </c>
      <c r="G406" s="47">
        <f>IF('計算'!$C402="","",'計算'!$CA402)</f>
        <v/>
      </c>
      <c r="H406" s="43">
        <f>IF('計算'!$C402="","",'計算'!$CP402)</f>
        <v/>
      </c>
      <c r="I406" s="48" t="n"/>
      <c r="J406" s="49" t="n"/>
      <c r="K406" s="50">
        <f>IF('計算'!$C402="","",'計算'!$CR402)</f>
        <v/>
      </c>
      <c r="L406" s="51">
        <f>IF('計算'!$C402="","",'計算'!$CF402)</f>
        <v/>
      </c>
      <c r="M406" s="48" t="n"/>
      <c r="N406" s="49" t="n"/>
      <c r="O406" s="43">
        <f>IF('計算'!$C402="","",'計算'!$CQ402)</f>
        <v/>
      </c>
      <c r="P406" s="52">
        <f>IF('計算'!$C402="","",IF('計算'!$M402="","",'計算'!$AX402))</f>
        <v/>
      </c>
      <c r="Q406" s="52">
        <f>IF('計算'!$C402="","",IF('計算'!$M402="","",'計算'!$AY402))</f>
        <v/>
      </c>
      <c r="R406" s="52">
        <f>IF('計算'!$C402="","",IF('計算'!$M402="","",'計算'!$AZ402))</f>
        <v/>
      </c>
      <c r="S406" s="52">
        <f>IF('計算'!$C402="","",IF('計算'!$M402="","",'計算'!$BA402))</f>
        <v/>
      </c>
      <c r="T406" s="52">
        <f>IF('計算'!$C402="","",IF('計算'!$M402="","",'計算'!$BB402))</f>
        <v/>
      </c>
      <c r="U406" s="52">
        <f>IF('計算'!$C402="","",IF('計算'!$M402="","",'計算'!$BC402))</f>
        <v/>
      </c>
      <c r="V406" s="52">
        <f>IF('計算'!$C402="","",IF('計算'!$M402="","",'計算'!$BD402))</f>
        <v/>
      </c>
      <c r="W406" s="52">
        <f>IF('計算'!$C402="","",IF('計算'!$M402="","",'計算'!$BE402))</f>
        <v/>
      </c>
      <c r="X406" s="52">
        <f>IF('計算'!$C402="","",IF('計算'!$M402="","",'計算'!$BF402))</f>
        <v/>
      </c>
      <c r="Y406" s="52">
        <f>IF('計算'!$C402="","",IF('計算'!$M402="","",'計算'!$BG402))</f>
        <v/>
      </c>
      <c r="Z406" s="52">
        <f>IF('計算'!$C402="","",IF('計算'!$M402="","",'計算'!$BH402))</f>
        <v/>
      </c>
      <c r="AA406" s="52">
        <f>IF('計算'!$C402="","",IF('計算'!$M402="","",'計算'!$BI402))</f>
        <v/>
      </c>
      <c r="AB406" s="52">
        <f>IF('計算'!$C402="","",IF('計算'!$M402="","",'計算'!$BJ402))</f>
        <v/>
      </c>
      <c r="AC406" s="52">
        <f>IF('計算'!$C402="","",IF('計算'!$M402="","",'計算'!$BK402))</f>
        <v/>
      </c>
      <c r="AD406" s="53" t="n"/>
      <c r="AE406" s="48" t="n"/>
      <c r="AF406" s="54">
        <f>IF('計算'!$C402="","",'計算'!$C402)</f>
        <v/>
      </c>
      <c r="AG406" s="54">
        <f>IF('計算'!$C402="","",'計算'!$F402)</f>
        <v/>
      </c>
    </row>
    <row r="407" ht="18" customHeight="1">
      <c r="B407" s="42">
        <f>IF('計算'!$C403="","",'計算'!$B403)</f>
        <v/>
      </c>
      <c r="C407" s="43">
        <f>IF('計算'!$C403="","",'計算'!$D403)</f>
        <v/>
      </c>
      <c r="D407" s="44">
        <f>IF('計算'!$C403="","",'計算'!$O403)</f>
        <v/>
      </c>
      <c r="E407" s="45">
        <f>IF('計算'!$C403="","",'計算'!$L403)</f>
        <v/>
      </c>
      <c r="F407" s="46">
        <f>IF('計算'!$C403="","",'計算'!$CD403)</f>
        <v/>
      </c>
      <c r="G407" s="47">
        <f>IF('計算'!$C403="","",'計算'!$CA403)</f>
        <v/>
      </c>
      <c r="H407" s="43">
        <f>IF('計算'!$C403="","",'計算'!$CP403)</f>
        <v/>
      </c>
      <c r="I407" s="48" t="n"/>
      <c r="J407" s="49" t="n"/>
      <c r="K407" s="50">
        <f>IF('計算'!$C403="","",'計算'!$CR403)</f>
        <v/>
      </c>
      <c r="L407" s="51">
        <f>IF('計算'!$C403="","",'計算'!$CF403)</f>
        <v/>
      </c>
      <c r="M407" s="48" t="n"/>
      <c r="N407" s="49" t="n"/>
      <c r="O407" s="43">
        <f>IF('計算'!$C403="","",'計算'!$CQ403)</f>
        <v/>
      </c>
      <c r="P407" s="52">
        <f>IF('計算'!$C403="","",IF('計算'!$M403="","",'計算'!$AX403))</f>
        <v/>
      </c>
      <c r="Q407" s="52">
        <f>IF('計算'!$C403="","",IF('計算'!$M403="","",'計算'!$AY403))</f>
        <v/>
      </c>
      <c r="R407" s="52">
        <f>IF('計算'!$C403="","",IF('計算'!$M403="","",'計算'!$AZ403))</f>
        <v/>
      </c>
      <c r="S407" s="52">
        <f>IF('計算'!$C403="","",IF('計算'!$M403="","",'計算'!$BA403))</f>
        <v/>
      </c>
      <c r="T407" s="52">
        <f>IF('計算'!$C403="","",IF('計算'!$M403="","",'計算'!$BB403))</f>
        <v/>
      </c>
      <c r="U407" s="52">
        <f>IF('計算'!$C403="","",IF('計算'!$M403="","",'計算'!$BC403))</f>
        <v/>
      </c>
      <c r="V407" s="52">
        <f>IF('計算'!$C403="","",IF('計算'!$M403="","",'計算'!$BD403))</f>
        <v/>
      </c>
      <c r="W407" s="52">
        <f>IF('計算'!$C403="","",IF('計算'!$M403="","",'計算'!$BE403))</f>
        <v/>
      </c>
      <c r="X407" s="52">
        <f>IF('計算'!$C403="","",IF('計算'!$M403="","",'計算'!$BF403))</f>
        <v/>
      </c>
      <c r="Y407" s="52">
        <f>IF('計算'!$C403="","",IF('計算'!$M403="","",'計算'!$BG403))</f>
        <v/>
      </c>
      <c r="Z407" s="52">
        <f>IF('計算'!$C403="","",IF('計算'!$M403="","",'計算'!$BH403))</f>
        <v/>
      </c>
      <c r="AA407" s="52">
        <f>IF('計算'!$C403="","",IF('計算'!$M403="","",'計算'!$BI403))</f>
        <v/>
      </c>
      <c r="AB407" s="52">
        <f>IF('計算'!$C403="","",IF('計算'!$M403="","",'計算'!$BJ403))</f>
        <v/>
      </c>
      <c r="AC407" s="52">
        <f>IF('計算'!$C403="","",IF('計算'!$M403="","",'計算'!$BK403))</f>
        <v/>
      </c>
      <c r="AD407" s="53" t="n"/>
      <c r="AE407" s="48" t="n"/>
      <c r="AF407" s="54">
        <f>IF('計算'!$C403="","",'計算'!$C403)</f>
        <v/>
      </c>
      <c r="AG407" s="54">
        <f>IF('計算'!$C403="","",'計算'!$F403)</f>
        <v/>
      </c>
    </row>
    <row r="408" ht="18" customHeight="1">
      <c r="B408" s="42">
        <f>IF('計算'!$C404="","",'計算'!$B404)</f>
        <v/>
      </c>
      <c r="C408" s="43">
        <f>IF('計算'!$C404="","",'計算'!$D404)</f>
        <v/>
      </c>
      <c r="D408" s="44">
        <f>IF('計算'!$C404="","",'計算'!$O404)</f>
        <v/>
      </c>
      <c r="E408" s="45">
        <f>IF('計算'!$C404="","",'計算'!$L404)</f>
        <v/>
      </c>
      <c r="F408" s="46">
        <f>IF('計算'!$C404="","",'計算'!$CD404)</f>
        <v/>
      </c>
      <c r="G408" s="47">
        <f>IF('計算'!$C404="","",'計算'!$CA404)</f>
        <v/>
      </c>
      <c r="H408" s="43">
        <f>IF('計算'!$C404="","",'計算'!$CP404)</f>
        <v/>
      </c>
      <c r="I408" s="48" t="n"/>
      <c r="J408" s="49" t="n"/>
      <c r="K408" s="50">
        <f>IF('計算'!$C404="","",'計算'!$CR404)</f>
        <v/>
      </c>
      <c r="L408" s="51">
        <f>IF('計算'!$C404="","",'計算'!$CF404)</f>
        <v/>
      </c>
      <c r="M408" s="48" t="n"/>
      <c r="N408" s="49" t="n"/>
      <c r="O408" s="43">
        <f>IF('計算'!$C404="","",'計算'!$CQ404)</f>
        <v/>
      </c>
      <c r="P408" s="52">
        <f>IF('計算'!$C404="","",IF('計算'!$M404="","",'計算'!$AX404))</f>
        <v/>
      </c>
      <c r="Q408" s="52">
        <f>IF('計算'!$C404="","",IF('計算'!$M404="","",'計算'!$AY404))</f>
        <v/>
      </c>
      <c r="R408" s="52">
        <f>IF('計算'!$C404="","",IF('計算'!$M404="","",'計算'!$AZ404))</f>
        <v/>
      </c>
      <c r="S408" s="52">
        <f>IF('計算'!$C404="","",IF('計算'!$M404="","",'計算'!$BA404))</f>
        <v/>
      </c>
      <c r="T408" s="52">
        <f>IF('計算'!$C404="","",IF('計算'!$M404="","",'計算'!$BB404))</f>
        <v/>
      </c>
      <c r="U408" s="52">
        <f>IF('計算'!$C404="","",IF('計算'!$M404="","",'計算'!$BC404))</f>
        <v/>
      </c>
      <c r="V408" s="52">
        <f>IF('計算'!$C404="","",IF('計算'!$M404="","",'計算'!$BD404))</f>
        <v/>
      </c>
      <c r="W408" s="52">
        <f>IF('計算'!$C404="","",IF('計算'!$M404="","",'計算'!$BE404))</f>
        <v/>
      </c>
      <c r="X408" s="52">
        <f>IF('計算'!$C404="","",IF('計算'!$M404="","",'計算'!$BF404))</f>
        <v/>
      </c>
      <c r="Y408" s="52">
        <f>IF('計算'!$C404="","",IF('計算'!$M404="","",'計算'!$BG404))</f>
        <v/>
      </c>
      <c r="Z408" s="52">
        <f>IF('計算'!$C404="","",IF('計算'!$M404="","",'計算'!$BH404))</f>
        <v/>
      </c>
      <c r="AA408" s="52">
        <f>IF('計算'!$C404="","",IF('計算'!$M404="","",'計算'!$BI404))</f>
        <v/>
      </c>
      <c r="AB408" s="52">
        <f>IF('計算'!$C404="","",IF('計算'!$M404="","",'計算'!$BJ404))</f>
        <v/>
      </c>
      <c r="AC408" s="52">
        <f>IF('計算'!$C404="","",IF('計算'!$M404="","",'計算'!$BK404))</f>
        <v/>
      </c>
      <c r="AD408" s="53" t="n"/>
      <c r="AE408" s="48" t="n"/>
      <c r="AF408" s="54">
        <f>IF('計算'!$C404="","",'計算'!$C404)</f>
        <v/>
      </c>
      <c r="AG408" s="54">
        <f>IF('計算'!$C404="","",'計算'!$F404)</f>
        <v/>
      </c>
    </row>
    <row r="409" ht="18" customHeight="1">
      <c r="B409" s="42">
        <f>IF('計算'!$C405="","",'計算'!$B405)</f>
        <v/>
      </c>
      <c r="C409" s="43">
        <f>IF('計算'!$C405="","",'計算'!$D405)</f>
        <v/>
      </c>
      <c r="D409" s="44">
        <f>IF('計算'!$C405="","",'計算'!$O405)</f>
        <v/>
      </c>
      <c r="E409" s="45">
        <f>IF('計算'!$C405="","",'計算'!$L405)</f>
        <v/>
      </c>
      <c r="F409" s="46">
        <f>IF('計算'!$C405="","",'計算'!$CD405)</f>
        <v/>
      </c>
      <c r="G409" s="47">
        <f>IF('計算'!$C405="","",'計算'!$CA405)</f>
        <v/>
      </c>
      <c r="H409" s="43">
        <f>IF('計算'!$C405="","",'計算'!$CP405)</f>
        <v/>
      </c>
      <c r="I409" s="48" t="n"/>
      <c r="J409" s="49" t="n"/>
      <c r="K409" s="50">
        <f>IF('計算'!$C405="","",'計算'!$CR405)</f>
        <v/>
      </c>
      <c r="L409" s="51">
        <f>IF('計算'!$C405="","",'計算'!$CF405)</f>
        <v/>
      </c>
      <c r="M409" s="48" t="n"/>
      <c r="N409" s="49" t="n"/>
      <c r="O409" s="43">
        <f>IF('計算'!$C405="","",'計算'!$CQ405)</f>
        <v/>
      </c>
      <c r="P409" s="52">
        <f>IF('計算'!$C405="","",IF('計算'!$M405="","",'計算'!$AX405))</f>
        <v/>
      </c>
      <c r="Q409" s="52">
        <f>IF('計算'!$C405="","",IF('計算'!$M405="","",'計算'!$AY405))</f>
        <v/>
      </c>
      <c r="R409" s="52">
        <f>IF('計算'!$C405="","",IF('計算'!$M405="","",'計算'!$AZ405))</f>
        <v/>
      </c>
      <c r="S409" s="52">
        <f>IF('計算'!$C405="","",IF('計算'!$M405="","",'計算'!$BA405))</f>
        <v/>
      </c>
      <c r="T409" s="52">
        <f>IF('計算'!$C405="","",IF('計算'!$M405="","",'計算'!$BB405))</f>
        <v/>
      </c>
      <c r="U409" s="52">
        <f>IF('計算'!$C405="","",IF('計算'!$M405="","",'計算'!$BC405))</f>
        <v/>
      </c>
      <c r="V409" s="52">
        <f>IF('計算'!$C405="","",IF('計算'!$M405="","",'計算'!$BD405))</f>
        <v/>
      </c>
      <c r="W409" s="52">
        <f>IF('計算'!$C405="","",IF('計算'!$M405="","",'計算'!$BE405))</f>
        <v/>
      </c>
      <c r="X409" s="52">
        <f>IF('計算'!$C405="","",IF('計算'!$M405="","",'計算'!$BF405))</f>
        <v/>
      </c>
      <c r="Y409" s="52">
        <f>IF('計算'!$C405="","",IF('計算'!$M405="","",'計算'!$BG405))</f>
        <v/>
      </c>
      <c r="Z409" s="52">
        <f>IF('計算'!$C405="","",IF('計算'!$M405="","",'計算'!$BH405))</f>
        <v/>
      </c>
      <c r="AA409" s="52">
        <f>IF('計算'!$C405="","",IF('計算'!$M405="","",'計算'!$BI405))</f>
        <v/>
      </c>
      <c r="AB409" s="52">
        <f>IF('計算'!$C405="","",IF('計算'!$M405="","",'計算'!$BJ405))</f>
        <v/>
      </c>
      <c r="AC409" s="52">
        <f>IF('計算'!$C405="","",IF('計算'!$M405="","",'計算'!$BK405))</f>
        <v/>
      </c>
      <c r="AD409" s="53" t="n"/>
      <c r="AE409" s="48" t="n"/>
      <c r="AF409" s="54">
        <f>IF('計算'!$C405="","",'計算'!$C405)</f>
        <v/>
      </c>
      <c r="AG409" s="54">
        <f>IF('計算'!$C405="","",'計算'!$F405)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B9:AG409"/>
  <mergeCells count="8">
    <mergeCell ref="B1:AG1"/>
    <mergeCell ref="M4:O4"/>
    <mergeCell ref="M5:O5"/>
    <mergeCell ref="I4:L4"/>
    <mergeCell ref="P4:AC5"/>
    <mergeCell ref="D5:G5"/>
    <mergeCell ref="I5:L5"/>
    <mergeCell ref="D4:G4"/>
  </mergeCells>
  <conditionalFormatting sqref="E2">
    <cfRule type="expression" priority="1" dxfId="6">
      <formula>LEFT($E$2,1)="⚠"</formula>
    </cfRule>
  </conditionalFormatting>
  <conditionalFormatting sqref="P4">
    <cfRule type="expression" priority="2" dxfId="1">
      <formula>LEFT(P$4,1)="⚠"</formula>
    </cfRule>
  </conditionalFormatting>
  <conditionalFormatting sqref="P9:AC9">
    <cfRule type="expression" priority="3" dxfId="7">
      <formula>AND(P$9&lt;&gt;"",OR(WEEKDAY(P$9)=1,WEEKDAY(P$9)=7))</formula>
    </cfRule>
  </conditionalFormatting>
  <conditionalFormatting sqref="H10:H409">
    <cfRule type="expression" priority="4" dxfId="8" stopIfTrue="1">
      <formula>LEFT($H10,1)="●"</formula>
    </cfRule>
    <cfRule type="expression" priority="5" dxfId="9" stopIfTrue="1">
      <formula>LEFT($H10,1)="△"</formula>
    </cfRule>
    <cfRule type="expression" priority="6" dxfId="9" stopIfTrue="1">
      <formula>LEFT($H10,1)="⚠"</formula>
    </cfRule>
    <cfRule type="expression" priority="7" dxfId="10" stopIfTrue="1">
      <formula>LEFT($H10,1)="○"</formula>
    </cfRule>
    <cfRule type="expression" priority="8" dxfId="11" stopIfTrue="1">
      <formula>LEFT($H10,1)="？"</formula>
    </cfRule>
    <cfRule type="expression" priority="9" dxfId="11" stopIfTrue="1">
      <formula>LEFT($H10,1)="－"</formula>
    </cfRule>
  </conditionalFormatting>
  <conditionalFormatting sqref="O10:O409">
    <cfRule type="expression" priority="10" dxfId="8" stopIfTrue="1">
      <formula>LEFT($O10,1)="●"</formula>
    </cfRule>
    <cfRule type="expression" priority="11" dxfId="9" stopIfTrue="1">
      <formula>LEFT($O10,1)="△"</formula>
    </cfRule>
    <cfRule type="expression" priority="12" dxfId="9" stopIfTrue="1">
      <formula>LEFT($O10,1)="⚠"</formula>
    </cfRule>
    <cfRule type="expression" priority="13" dxfId="10" stopIfTrue="1">
      <formula>LEFT($O10,1)="○"</formula>
    </cfRule>
    <cfRule type="expression" priority="14" dxfId="11" stopIfTrue="1">
      <formula>LEFT($O10,1)="？"</formula>
    </cfRule>
    <cfRule type="expression" priority="15" dxfId="11" stopIfTrue="1">
      <formula>LEFT($O10,1)="－"</formula>
    </cfRule>
  </conditionalFormatting>
  <conditionalFormatting sqref="B10:G409">
    <cfRule type="expression" priority="16" dxfId="11">
      <formula>LEFT($H10,1)="－"</formula>
    </cfRule>
  </conditionalFormatting>
  <conditionalFormatting sqref="G10:G409">
    <cfRule type="expression" priority="17" dxfId="12">
      <formula>LEFT($H10,1)="●"</formula>
    </cfRule>
    <cfRule type="expression" priority="18" dxfId="6">
      <formula>LEFT($H10,1)="△"</formula>
    </cfRule>
  </conditionalFormatting>
  <conditionalFormatting sqref="E10:E409">
    <cfRule type="expression" priority="19" dxfId="13">
      <formula>AND($AD10&lt;&gt;"",ISNUMBER($AE10),$AE10&gt;='設定'!$C$6)</formula>
    </cfRule>
  </conditionalFormatting>
  <conditionalFormatting sqref="AD10:AE409">
    <cfRule type="expression" priority="20" dxfId="9">
      <formula>AND($AD10&lt;&gt;"",NOT(AND(ISNUMBER($AE10),$AE10&gt;='設定'!$C$6)))</formula>
    </cfRule>
  </conditionalFormatting>
  <conditionalFormatting sqref="C10:C409">
    <cfRule type="expression" priority="21" dxfId="14">
      <formula>OR($I10&lt;&gt;"",$J10&lt;&gt;"",$M10&lt;&gt;"",$N10&lt;&gt;"")</formula>
    </cfRule>
  </conditionalFormatting>
  <conditionalFormatting sqref="I10:I409">
    <cfRule type="expression" priority="22" dxfId="15">
      <formula>AND(OR(LEFT($H10,1)="●",LEFT($H10,1)="△"),$J10="")</formula>
    </cfRule>
  </conditionalFormatting>
  <conditionalFormatting sqref="J10:J409">
    <cfRule type="expression" priority="23" dxfId="15">
      <formula>AND(OR(LEFT($H10,1)="●",LEFT($H10,1)="△"),$J10="")</formula>
    </cfRule>
  </conditionalFormatting>
  <conditionalFormatting sqref="P10:AC409">
    <cfRule type="expression" priority="24" dxfId="16" stopIfTrue="1">
      <formula>AND(P10&lt;&gt;"",P10&lt;1)</formula>
    </cfRule>
    <cfRule type="expression" priority="25" dxfId="17" stopIfTrue="1">
      <formula>OR(AND($I10&lt;&gt;"",P$9=$I10),AND($M10&lt;&gt;"",P$9=$M10))</formula>
    </cfRule>
  </conditionalFormatting>
  <dataValidations count="6">
    <dataValidation sqref="I10:I409" showDropDown="0" showInputMessage="1" showErrorMessage="1" allowBlank="1" errorTitle="入庫日" error="表にある14日のどれかを ▼ から選んでください（今日〜13日後）。" promptTitle="入庫日（届く日）" prompt="▼ から届く日を選びます。" type="list">
      <formula1>=$P$9:$AC$9</formula1>
    </dataValidation>
    <dataValidation sqref="M10:M409" showDropDown="0" showInputMessage="1" showErrorMessage="1" allowBlank="1" errorTitle="2便目の入庫日" error="表にある14日のどれかを ▼ から選んでください（今日〜13日後）。" promptTitle="2便目の入庫日（届く日）" prompt="▼ から届く日を選びます。" type="list">
      <formula1>=$P$9:$AC$9</formula1>
    </dataValidation>
    <dataValidation sqref="J10:J409" showDropDown="0" showInputMessage="1" showErrorMessage="1" allowBlank="0" errorTitle="入庫数" error="「目安」（定数まで入る数）までを整数で入れてください。目安が 0 の商品は定数まで在庫があります。それでも入れるなら、商品マスタの定数を増やしてください。" promptTitle="入庫数" prompt="「単位」の数で。迷ったら「目安」の数。" type="whole" operator="between">
      <formula1>0</formula1>
      <formula2>IF($C10="",0,IF($L10="",9999,$L10))</formula2>
    </dataValidation>
    <dataValidation sqref="N10:N409" showDropDown="0" showInputMessage="1" showErrorMessage="1" allowBlank="0" errorTitle="2便目の入庫数" error="整数で入れてください。定数を超えると ⚠ が出ます。" promptTitle="2便目の入庫数" prompt="14日のうちに2便いるときだけ。" type="whole" operator="between">
      <formula1>0</formula1>
      <formula2>IF($C10="",0,9999)</formula2>
    </dataValidation>
    <dataValidation sqref="AD10:AD409" showDropDown="0" showInputMessage="0" showErrorMessage="1" allowBlank="0" errorTitle="数えた在庫" error="個数を整数で入れてください。" promptTitle="数えた在庫" type="whole" operator="between">
      <formula1>0</formula1>
      <formula2>999999</formula2>
    </dataValidation>
    <dataValidation sqref="AE10:AE409" showDropDown="0" showInputMessage="0" showErrorMessage="1" allowBlank="0" errorTitle="数えた日" error="数えた日は今日か、それより前の日付です（30日前まで）。" type="date" operator="between">
      <formula1>N('設定'!$C$6)-30</formula1>
      <formula2>N('設定'!$C$6)</formula2>
    </dataValidation>
  </dataValidations>
  <hyperlinks>
    <hyperlink ref="AH1" location="'ホーム'!A1" display="◀ ホーム"/>
  </hyperlink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E8B44A"/>
    <outlinePr summaryBelow="1" summaryRight="1"/>
    <pageSetUpPr fitToPage="1"/>
  </sheetPr>
  <dimension ref="B1:K110"/>
  <sheetViews>
    <sheetView showGridLines="0" workbookViewId="0">
      <selection activeCell="A1" sqref="A1"/>
    </sheetView>
  </sheetViews>
  <sheetFormatPr baseColWidth="8" defaultRowHeight="15"/>
  <cols>
    <col width="5.4" customWidth="1" min="2" max="2"/>
    <col width="25.92" customWidth="1" min="3" max="3"/>
    <col width="17.28" customWidth="1" min="4" max="4"/>
    <col width="34.56" customWidth="1" min="5" max="5"/>
    <col width="12.96" customWidth="1" min="6" max="6"/>
    <col width="11.88" customWidth="1" min="7" max="7"/>
    <col width="9.720000000000001" customWidth="1" min="8" max="8"/>
    <col width="11.88" customWidth="1" min="9" max="9"/>
    <col width="14.04" customWidth="1" min="10" max="10"/>
  </cols>
  <sheetData>
    <row r="1" ht="24" customHeight="1">
      <c r="B1" s="1" t="inlineStr">
        <is>
          <t xml:space="preserve">  STEP 3　発注書を印刷する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0" t="inlineStr">
        <is>
          <t xml:space="preserve">◀ ホーム  </t>
        </is>
      </c>
    </row>
    <row r="2" ht="34" customHeight="1">
      <c r="B2" s="4" t="inlineStr">
        <is>
          <t>発 注 書</t>
        </is>
      </c>
    </row>
    <row r="3">
      <c r="B3" s="5" t="inlineStr">
        <is>
          <t>STEP 2 で入庫を入れた商品がここに集まります（⚠ の行は載りません）。仕入先を選んで印刷してください。</t>
        </is>
      </c>
    </row>
    <row r="4">
      <c r="B4" s="55" t="inlineStr">
        <is>
          <t>仕入先</t>
        </is>
      </c>
      <c r="C4" s="56" t="inlineStr">
        <is>
          <t>すべて</t>
        </is>
      </c>
      <c r="G4" s="19" t="inlineStr">
        <is>
          <t>← ここを選ぶ</t>
        </is>
      </c>
    </row>
    <row r="5">
      <c r="B5" s="55" t="inlineStr">
        <is>
          <t>発注日</t>
        </is>
      </c>
      <c r="C5" s="57">
        <f>'設定'!$C$6</f>
        <v/>
      </c>
    </row>
    <row r="6">
      <c r="B6" s="55" t="inlineStr">
        <is>
          <t>発注元</t>
        </is>
      </c>
      <c r="C6" s="58">
        <f>'設定'!$C$4&amp;"　"&amp;'設定'!$C$5</f>
        <v/>
      </c>
    </row>
    <row r="7">
      <c r="B7" s="55" t="inlineStr">
        <is>
          <t>担当者</t>
        </is>
      </c>
      <c r="C7" s="58">
        <f>'設定'!$C$9</f>
        <v/>
      </c>
    </row>
    <row r="8">
      <c r="H8" s="59" t="inlineStr">
        <is>
          <t>合計（税抜）</t>
        </is>
      </c>
      <c r="J8" s="60">
        <f>SUM($J$11:$J$110)</f>
        <v/>
      </c>
    </row>
    <row r="10" ht="30" customHeight="1">
      <c r="B10" s="40" t="inlineStr">
        <is>
          <t>No</t>
        </is>
      </c>
      <c r="C10" s="40" t="inlineStr">
        <is>
          <t>仕入先</t>
        </is>
      </c>
      <c r="D10" s="40" t="inlineStr">
        <is>
          <t>商品コード</t>
        </is>
      </c>
      <c r="E10" s="40" t="inlineStr">
        <is>
          <t>商品名</t>
        </is>
      </c>
      <c r="F10" s="40" t="inlineStr">
        <is>
          <t>入庫日(届く日)</t>
        </is>
      </c>
      <c r="G10" s="40" t="inlineStr">
        <is>
          <t>単位</t>
        </is>
      </c>
      <c r="H10" s="40" t="inlineStr">
        <is>
          <t>発注数</t>
        </is>
      </c>
      <c r="I10" s="40" t="inlineStr">
        <is>
          <t>単価</t>
        </is>
      </c>
      <c r="J10" s="40" t="inlineStr">
        <is>
          <t>金額</t>
        </is>
      </c>
    </row>
    <row r="11" ht="18" customHeight="1">
      <c r="B11" s="61">
        <f>IF(1&lt;=MAX('計算'!$CT$6:$CT$405)+MAX('計算'!$CU$6:$CU$405),1,"")</f>
        <v/>
      </c>
      <c r="C11" s="62">
        <f>IF($B11="","",IF(1&lt;=MAX('計算'!$CT$6:$CT$405),IFERROR(INDEX('計算'!$F$6:$F$405,MATCH(1,'計算'!$CT$6:$CT$405,0)),""),IFERROR(INDEX('計算'!$F$6:$F$405,MATCH(1-MAX('計算'!$CT$6:$CT$405),'計算'!$CU$6:$CU$405,0)),"")))</f>
        <v/>
      </c>
      <c r="D11" s="62">
        <f>IF($B11="","",IF(1&lt;=MAX('計算'!$CT$6:$CT$405),IFERROR(INDEX('計算'!$C$6:$C$405,MATCH(1,'計算'!$CT$6:$CT$405,0))&amp;"",""),IFERROR(INDEX('計算'!$C$6:$C$405,MATCH(1-MAX('計算'!$CT$6:$CT$405),'計算'!$CU$6:$CU$405,0))&amp;"","")))</f>
        <v/>
      </c>
      <c r="E11" s="62">
        <f>IF($B11="","",IF(1&lt;=MAX('計算'!$CT$6:$CT$405),IFERROR(INDEX('計算'!$D$6:$D$405,MATCH(1,'計算'!$CT$6:$CT$405,0)),""),IFERROR(INDEX('計算'!$D$6:$D$405,MATCH(1-MAX('計算'!$CT$6:$CT$405),'計算'!$CU$6:$CU$405,0)),"")))</f>
        <v/>
      </c>
      <c r="F11" s="63">
        <f>IF($B11="","",IF(1&lt;=MAX('計算'!$CT$6:$CT$405),IFERROR(INDEX('計算'!$P$6:$P$405,MATCH(1,'計算'!$CT$6:$CT$405,0)),""),IFERROR(INDEX('計算'!$S$6:$S$405,MATCH(1-MAX('計算'!$CT$6:$CT$405),'計算'!$CU$6:$CU$405,0)),"")))</f>
        <v/>
      </c>
      <c r="G11" s="62">
        <f>IF($B11="","",IF(1&lt;=MAX('計算'!$CT$6:$CT$405),IFERROR(INDEX('計算'!$CR$6:$CR$405,MATCH(1,'計算'!$CT$6:$CT$405,0)),""),IFERROR(INDEX('計算'!$CR$6:$CR$405,MATCH(1-MAX('計算'!$CT$6:$CT$405),'計算'!$CU$6:$CU$405,0)),"")))</f>
        <v/>
      </c>
      <c r="H11" s="64">
        <f>IF($B11="","",IF(1&lt;=MAX('計算'!$CT$6:$CT$405),IFERROR(INDEX('計算'!$Q$6:$Q$405,MATCH(1,'計算'!$CT$6:$CT$405,0)),""),IFERROR(INDEX('計算'!$T$6:$T$405,MATCH(1-MAX('計算'!$CT$6:$CT$405),'計算'!$CU$6:$CU$405,0)),"")))</f>
        <v/>
      </c>
      <c r="I11" s="65">
        <f>IF($B11="","",IF(1&lt;=MAX('計算'!$CT$6:$CT$405),IFERROR(INDEX('計算'!$H$6:$H$405,MATCH(1,'計算'!$CT$6:$CT$405,0)),""),IFERROR(INDEX('計算'!$H$6:$H$405,MATCH(1-MAX('計算'!$CT$6:$CT$405),'計算'!$CU$6:$CU$405,0)),"")))</f>
        <v/>
      </c>
      <c r="J11" s="65">
        <f>IF($B11="","",N($H11)*IFERROR(INDEX('計算'!$G$6:$G$405,IF(1&lt;=MAX('計算'!$CT$6:$CT$405),MATCH(1,'計算'!$CT$6:$CT$405,0),MATCH(1-MAX('計算'!$CT$6:$CT$405),'計算'!$CU$6:$CU$405,0))),1)*N($I11))</f>
        <v/>
      </c>
    </row>
    <row r="12" ht="18" customHeight="1">
      <c r="B12" s="61">
        <f>IF(2&lt;=MAX('計算'!$CT$6:$CT$405)+MAX('計算'!$CU$6:$CU$405),2,"")</f>
        <v/>
      </c>
      <c r="C12" s="62">
        <f>IF($B12="","",IF(2&lt;=MAX('計算'!$CT$6:$CT$405),IFERROR(INDEX('計算'!$F$6:$F$405,MATCH(2,'計算'!$CT$6:$CT$405,0)),""),IFERROR(INDEX('計算'!$F$6:$F$405,MATCH(2-MAX('計算'!$CT$6:$CT$405),'計算'!$CU$6:$CU$405,0)),"")))</f>
        <v/>
      </c>
      <c r="D12" s="62">
        <f>IF($B12="","",IF(2&lt;=MAX('計算'!$CT$6:$CT$405),IFERROR(INDEX('計算'!$C$6:$C$405,MATCH(2,'計算'!$CT$6:$CT$405,0))&amp;"",""),IFERROR(INDEX('計算'!$C$6:$C$405,MATCH(2-MAX('計算'!$CT$6:$CT$405),'計算'!$CU$6:$CU$405,0))&amp;"","")))</f>
        <v/>
      </c>
      <c r="E12" s="62">
        <f>IF($B12="","",IF(2&lt;=MAX('計算'!$CT$6:$CT$405),IFERROR(INDEX('計算'!$D$6:$D$405,MATCH(2,'計算'!$CT$6:$CT$405,0)),""),IFERROR(INDEX('計算'!$D$6:$D$405,MATCH(2-MAX('計算'!$CT$6:$CT$405),'計算'!$CU$6:$CU$405,0)),"")))</f>
        <v/>
      </c>
      <c r="F12" s="63">
        <f>IF($B12="","",IF(2&lt;=MAX('計算'!$CT$6:$CT$405),IFERROR(INDEX('計算'!$P$6:$P$405,MATCH(2,'計算'!$CT$6:$CT$405,0)),""),IFERROR(INDEX('計算'!$S$6:$S$405,MATCH(2-MAX('計算'!$CT$6:$CT$405),'計算'!$CU$6:$CU$405,0)),"")))</f>
        <v/>
      </c>
      <c r="G12" s="62">
        <f>IF($B12="","",IF(2&lt;=MAX('計算'!$CT$6:$CT$405),IFERROR(INDEX('計算'!$CR$6:$CR$405,MATCH(2,'計算'!$CT$6:$CT$405,0)),""),IFERROR(INDEX('計算'!$CR$6:$CR$405,MATCH(2-MAX('計算'!$CT$6:$CT$405),'計算'!$CU$6:$CU$405,0)),"")))</f>
        <v/>
      </c>
      <c r="H12" s="64">
        <f>IF($B12="","",IF(2&lt;=MAX('計算'!$CT$6:$CT$405),IFERROR(INDEX('計算'!$Q$6:$Q$405,MATCH(2,'計算'!$CT$6:$CT$405,0)),""),IFERROR(INDEX('計算'!$T$6:$T$405,MATCH(2-MAX('計算'!$CT$6:$CT$405),'計算'!$CU$6:$CU$405,0)),"")))</f>
        <v/>
      </c>
      <c r="I12" s="65">
        <f>IF($B12="","",IF(2&lt;=MAX('計算'!$CT$6:$CT$405),IFERROR(INDEX('計算'!$H$6:$H$405,MATCH(2,'計算'!$CT$6:$CT$405,0)),""),IFERROR(INDEX('計算'!$H$6:$H$405,MATCH(2-MAX('計算'!$CT$6:$CT$405),'計算'!$CU$6:$CU$405,0)),"")))</f>
        <v/>
      </c>
      <c r="J12" s="65">
        <f>IF($B12="","",N($H12)*IFERROR(INDEX('計算'!$G$6:$G$405,IF(2&lt;=MAX('計算'!$CT$6:$CT$405),MATCH(2,'計算'!$CT$6:$CT$405,0),MATCH(2-MAX('計算'!$CT$6:$CT$405),'計算'!$CU$6:$CU$405,0))),1)*N($I12))</f>
        <v/>
      </c>
    </row>
    <row r="13" ht="18" customHeight="1">
      <c r="B13" s="61">
        <f>IF(3&lt;=MAX('計算'!$CT$6:$CT$405)+MAX('計算'!$CU$6:$CU$405),3,"")</f>
        <v/>
      </c>
      <c r="C13" s="62">
        <f>IF($B13="","",IF(3&lt;=MAX('計算'!$CT$6:$CT$405),IFERROR(INDEX('計算'!$F$6:$F$405,MATCH(3,'計算'!$CT$6:$CT$405,0)),""),IFERROR(INDEX('計算'!$F$6:$F$405,MATCH(3-MAX('計算'!$CT$6:$CT$405),'計算'!$CU$6:$CU$405,0)),"")))</f>
        <v/>
      </c>
      <c r="D13" s="62">
        <f>IF($B13="","",IF(3&lt;=MAX('計算'!$CT$6:$CT$405),IFERROR(INDEX('計算'!$C$6:$C$405,MATCH(3,'計算'!$CT$6:$CT$405,0))&amp;"",""),IFERROR(INDEX('計算'!$C$6:$C$405,MATCH(3-MAX('計算'!$CT$6:$CT$405),'計算'!$CU$6:$CU$405,0))&amp;"","")))</f>
        <v/>
      </c>
      <c r="E13" s="62">
        <f>IF($B13="","",IF(3&lt;=MAX('計算'!$CT$6:$CT$405),IFERROR(INDEX('計算'!$D$6:$D$405,MATCH(3,'計算'!$CT$6:$CT$405,0)),""),IFERROR(INDEX('計算'!$D$6:$D$405,MATCH(3-MAX('計算'!$CT$6:$CT$405),'計算'!$CU$6:$CU$405,0)),"")))</f>
        <v/>
      </c>
      <c r="F13" s="63">
        <f>IF($B13="","",IF(3&lt;=MAX('計算'!$CT$6:$CT$405),IFERROR(INDEX('計算'!$P$6:$P$405,MATCH(3,'計算'!$CT$6:$CT$405,0)),""),IFERROR(INDEX('計算'!$S$6:$S$405,MATCH(3-MAX('計算'!$CT$6:$CT$405),'計算'!$CU$6:$CU$405,0)),"")))</f>
        <v/>
      </c>
      <c r="G13" s="62">
        <f>IF($B13="","",IF(3&lt;=MAX('計算'!$CT$6:$CT$405),IFERROR(INDEX('計算'!$CR$6:$CR$405,MATCH(3,'計算'!$CT$6:$CT$405,0)),""),IFERROR(INDEX('計算'!$CR$6:$CR$405,MATCH(3-MAX('計算'!$CT$6:$CT$405),'計算'!$CU$6:$CU$405,0)),"")))</f>
        <v/>
      </c>
      <c r="H13" s="64">
        <f>IF($B13="","",IF(3&lt;=MAX('計算'!$CT$6:$CT$405),IFERROR(INDEX('計算'!$Q$6:$Q$405,MATCH(3,'計算'!$CT$6:$CT$405,0)),""),IFERROR(INDEX('計算'!$T$6:$T$405,MATCH(3-MAX('計算'!$CT$6:$CT$405),'計算'!$CU$6:$CU$405,0)),"")))</f>
        <v/>
      </c>
      <c r="I13" s="65">
        <f>IF($B13="","",IF(3&lt;=MAX('計算'!$CT$6:$CT$405),IFERROR(INDEX('計算'!$H$6:$H$405,MATCH(3,'計算'!$CT$6:$CT$405,0)),""),IFERROR(INDEX('計算'!$H$6:$H$405,MATCH(3-MAX('計算'!$CT$6:$CT$405),'計算'!$CU$6:$CU$405,0)),"")))</f>
        <v/>
      </c>
      <c r="J13" s="65">
        <f>IF($B13="","",N($H13)*IFERROR(INDEX('計算'!$G$6:$G$405,IF(3&lt;=MAX('計算'!$CT$6:$CT$405),MATCH(3,'計算'!$CT$6:$CT$405,0),MATCH(3-MAX('計算'!$CT$6:$CT$405),'計算'!$CU$6:$CU$405,0))),1)*N($I13))</f>
        <v/>
      </c>
    </row>
    <row r="14" ht="18" customHeight="1">
      <c r="B14" s="61">
        <f>IF(4&lt;=MAX('計算'!$CT$6:$CT$405)+MAX('計算'!$CU$6:$CU$405),4,"")</f>
        <v/>
      </c>
      <c r="C14" s="62">
        <f>IF($B14="","",IF(4&lt;=MAX('計算'!$CT$6:$CT$405),IFERROR(INDEX('計算'!$F$6:$F$405,MATCH(4,'計算'!$CT$6:$CT$405,0)),""),IFERROR(INDEX('計算'!$F$6:$F$405,MATCH(4-MAX('計算'!$CT$6:$CT$405),'計算'!$CU$6:$CU$405,0)),"")))</f>
        <v/>
      </c>
      <c r="D14" s="62">
        <f>IF($B14="","",IF(4&lt;=MAX('計算'!$CT$6:$CT$405),IFERROR(INDEX('計算'!$C$6:$C$405,MATCH(4,'計算'!$CT$6:$CT$405,0))&amp;"",""),IFERROR(INDEX('計算'!$C$6:$C$405,MATCH(4-MAX('計算'!$CT$6:$CT$405),'計算'!$CU$6:$CU$405,0))&amp;"","")))</f>
        <v/>
      </c>
      <c r="E14" s="62">
        <f>IF($B14="","",IF(4&lt;=MAX('計算'!$CT$6:$CT$405),IFERROR(INDEX('計算'!$D$6:$D$405,MATCH(4,'計算'!$CT$6:$CT$405,0)),""),IFERROR(INDEX('計算'!$D$6:$D$405,MATCH(4-MAX('計算'!$CT$6:$CT$405),'計算'!$CU$6:$CU$405,0)),"")))</f>
        <v/>
      </c>
      <c r="F14" s="63">
        <f>IF($B14="","",IF(4&lt;=MAX('計算'!$CT$6:$CT$405),IFERROR(INDEX('計算'!$P$6:$P$405,MATCH(4,'計算'!$CT$6:$CT$405,0)),""),IFERROR(INDEX('計算'!$S$6:$S$405,MATCH(4-MAX('計算'!$CT$6:$CT$405),'計算'!$CU$6:$CU$405,0)),"")))</f>
        <v/>
      </c>
      <c r="G14" s="62">
        <f>IF($B14="","",IF(4&lt;=MAX('計算'!$CT$6:$CT$405),IFERROR(INDEX('計算'!$CR$6:$CR$405,MATCH(4,'計算'!$CT$6:$CT$405,0)),""),IFERROR(INDEX('計算'!$CR$6:$CR$405,MATCH(4-MAX('計算'!$CT$6:$CT$405),'計算'!$CU$6:$CU$405,0)),"")))</f>
        <v/>
      </c>
      <c r="H14" s="64">
        <f>IF($B14="","",IF(4&lt;=MAX('計算'!$CT$6:$CT$405),IFERROR(INDEX('計算'!$Q$6:$Q$405,MATCH(4,'計算'!$CT$6:$CT$405,0)),""),IFERROR(INDEX('計算'!$T$6:$T$405,MATCH(4-MAX('計算'!$CT$6:$CT$405),'計算'!$CU$6:$CU$405,0)),"")))</f>
        <v/>
      </c>
      <c r="I14" s="65">
        <f>IF($B14="","",IF(4&lt;=MAX('計算'!$CT$6:$CT$405),IFERROR(INDEX('計算'!$H$6:$H$405,MATCH(4,'計算'!$CT$6:$CT$405,0)),""),IFERROR(INDEX('計算'!$H$6:$H$405,MATCH(4-MAX('計算'!$CT$6:$CT$405),'計算'!$CU$6:$CU$405,0)),"")))</f>
        <v/>
      </c>
      <c r="J14" s="65">
        <f>IF($B14="","",N($H14)*IFERROR(INDEX('計算'!$G$6:$G$405,IF(4&lt;=MAX('計算'!$CT$6:$CT$405),MATCH(4,'計算'!$CT$6:$CT$405,0),MATCH(4-MAX('計算'!$CT$6:$CT$405),'計算'!$CU$6:$CU$405,0))),1)*N($I14))</f>
        <v/>
      </c>
    </row>
    <row r="15" ht="18" customHeight="1">
      <c r="B15" s="61">
        <f>IF(5&lt;=MAX('計算'!$CT$6:$CT$405)+MAX('計算'!$CU$6:$CU$405),5,"")</f>
        <v/>
      </c>
      <c r="C15" s="62">
        <f>IF($B15="","",IF(5&lt;=MAX('計算'!$CT$6:$CT$405),IFERROR(INDEX('計算'!$F$6:$F$405,MATCH(5,'計算'!$CT$6:$CT$405,0)),""),IFERROR(INDEX('計算'!$F$6:$F$405,MATCH(5-MAX('計算'!$CT$6:$CT$405),'計算'!$CU$6:$CU$405,0)),"")))</f>
        <v/>
      </c>
      <c r="D15" s="62">
        <f>IF($B15="","",IF(5&lt;=MAX('計算'!$CT$6:$CT$405),IFERROR(INDEX('計算'!$C$6:$C$405,MATCH(5,'計算'!$CT$6:$CT$405,0))&amp;"",""),IFERROR(INDEX('計算'!$C$6:$C$405,MATCH(5-MAX('計算'!$CT$6:$CT$405),'計算'!$CU$6:$CU$405,0))&amp;"","")))</f>
        <v/>
      </c>
      <c r="E15" s="62">
        <f>IF($B15="","",IF(5&lt;=MAX('計算'!$CT$6:$CT$405),IFERROR(INDEX('計算'!$D$6:$D$405,MATCH(5,'計算'!$CT$6:$CT$405,0)),""),IFERROR(INDEX('計算'!$D$6:$D$405,MATCH(5-MAX('計算'!$CT$6:$CT$405),'計算'!$CU$6:$CU$405,0)),"")))</f>
        <v/>
      </c>
      <c r="F15" s="63">
        <f>IF($B15="","",IF(5&lt;=MAX('計算'!$CT$6:$CT$405),IFERROR(INDEX('計算'!$P$6:$P$405,MATCH(5,'計算'!$CT$6:$CT$405,0)),""),IFERROR(INDEX('計算'!$S$6:$S$405,MATCH(5-MAX('計算'!$CT$6:$CT$405),'計算'!$CU$6:$CU$405,0)),"")))</f>
        <v/>
      </c>
      <c r="G15" s="62">
        <f>IF($B15="","",IF(5&lt;=MAX('計算'!$CT$6:$CT$405),IFERROR(INDEX('計算'!$CR$6:$CR$405,MATCH(5,'計算'!$CT$6:$CT$405,0)),""),IFERROR(INDEX('計算'!$CR$6:$CR$405,MATCH(5-MAX('計算'!$CT$6:$CT$405),'計算'!$CU$6:$CU$405,0)),"")))</f>
        <v/>
      </c>
      <c r="H15" s="64">
        <f>IF($B15="","",IF(5&lt;=MAX('計算'!$CT$6:$CT$405),IFERROR(INDEX('計算'!$Q$6:$Q$405,MATCH(5,'計算'!$CT$6:$CT$405,0)),""),IFERROR(INDEX('計算'!$T$6:$T$405,MATCH(5-MAX('計算'!$CT$6:$CT$405),'計算'!$CU$6:$CU$405,0)),"")))</f>
        <v/>
      </c>
      <c r="I15" s="65">
        <f>IF($B15="","",IF(5&lt;=MAX('計算'!$CT$6:$CT$405),IFERROR(INDEX('計算'!$H$6:$H$405,MATCH(5,'計算'!$CT$6:$CT$405,0)),""),IFERROR(INDEX('計算'!$H$6:$H$405,MATCH(5-MAX('計算'!$CT$6:$CT$405),'計算'!$CU$6:$CU$405,0)),"")))</f>
        <v/>
      </c>
      <c r="J15" s="65">
        <f>IF($B15="","",N($H15)*IFERROR(INDEX('計算'!$G$6:$G$405,IF(5&lt;=MAX('計算'!$CT$6:$CT$405),MATCH(5,'計算'!$CT$6:$CT$405,0),MATCH(5-MAX('計算'!$CT$6:$CT$405),'計算'!$CU$6:$CU$405,0))),1)*N($I15))</f>
        <v/>
      </c>
    </row>
    <row r="16" ht="18" customHeight="1">
      <c r="B16" s="61">
        <f>IF(6&lt;=MAX('計算'!$CT$6:$CT$405)+MAX('計算'!$CU$6:$CU$405),6,"")</f>
        <v/>
      </c>
      <c r="C16" s="62">
        <f>IF($B16="","",IF(6&lt;=MAX('計算'!$CT$6:$CT$405),IFERROR(INDEX('計算'!$F$6:$F$405,MATCH(6,'計算'!$CT$6:$CT$405,0)),""),IFERROR(INDEX('計算'!$F$6:$F$405,MATCH(6-MAX('計算'!$CT$6:$CT$405),'計算'!$CU$6:$CU$405,0)),"")))</f>
        <v/>
      </c>
      <c r="D16" s="62">
        <f>IF($B16="","",IF(6&lt;=MAX('計算'!$CT$6:$CT$405),IFERROR(INDEX('計算'!$C$6:$C$405,MATCH(6,'計算'!$CT$6:$CT$405,0))&amp;"",""),IFERROR(INDEX('計算'!$C$6:$C$405,MATCH(6-MAX('計算'!$CT$6:$CT$405),'計算'!$CU$6:$CU$405,0))&amp;"","")))</f>
        <v/>
      </c>
      <c r="E16" s="62">
        <f>IF($B16="","",IF(6&lt;=MAX('計算'!$CT$6:$CT$405),IFERROR(INDEX('計算'!$D$6:$D$405,MATCH(6,'計算'!$CT$6:$CT$405,0)),""),IFERROR(INDEX('計算'!$D$6:$D$405,MATCH(6-MAX('計算'!$CT$6:$CT$405),'計算'!$CU$6:$CU$405,0)),"")))</f>
        <v/>
      </c>
      <c r="F16" s="63">
        <f>IF($B16="","",IF(6&lt;=MAX('計算'!$CT$6:$CT$405),IFERROR(INDEX('計算'!$P$6:$P$405,MATCH(6,'計算'!$CT$6:$CT$405,0)),""),IFERROR(INDEX('計算'!$S$6:$S$405,MATCH(6-MAX('計算'!$CT$6:$CT$405),'計算'!$CU$6:$CU$405,0)),"")))</f>
        <v/>
      </c>
      <c r="G16" s="62">
        <f>IF($B16="","",IF(6&lt;=MAX('計算'!$CT$6:$CT$405),IFERROR(INDEX('計算'!$CR$6:$CR$405,MATCH(6,'計算'!$CT$6:$CT$405,0)),""),IFERROR(INDEX('計算'!$CR$6:$CR$405,MATCH(6-MAX('計算'!$CT$6:$CT$405),'計算'!$CU$6:$CU$405,0)),"")))</f>
        <v/>
      </c>
      <c r="H16" s="64">
        <f>IF($B16="","",IF(6&lt;=MAX('計算'!$CT$6:$CT$405),IFERROR(INDEX('計算'!$Q$6:$Q$405,MATCH(6,'計算'!$CT$6:$CT$405,0)),""),IFERROR(INDEX('計算'!$T$6:$T$405,MATCH(6-MAX('計算'!$CT$6:$CT$405),'計算'!$CU$6:$CU$405,0)),"")))</f>
        <v/>
      </c>
      <c r="I16" s="65">
        <f>IF($B16="","",IF(6&lt;=MAX('計算'!$CT$6:$CT$405),IFERROR(INDEX('計算'!$H$6:$H$405,MATCH(6,'計算'!$CT$6:$CT$405,0)),""),IFERROR(INDEX('計算'!$H$6:$H$405,MATCH(6-MAX('計算'!$CT$6:$CT$405),'計算'!$CU$6:$CU$405,0)),"")))</f>
        <v/>
      </c>
      <c r="J16" s="65">
        <f>IF($B16="","",N($H16)*IFERROR(INDEX('計算'!$G$6:$G$405,IF(6&lt;=MAX('計算'!$CT$6:$CT$405),MATCH(6,'計算'!$CT$6:$CT$405,0),MATCH(6-MAX('計算'!$CT$6:$CT$405),'計算'!$CU$6:$CU$405,0))),1)*N($I16))</f>
        <v/>
      </c>
    </row>
    <row r="17" ht="18" customHeight="1">
      <c r="B17" s="61">
        <f>IF(7&lt;=MAX('計算'!$CT$6:$CT$405)+MAX('計算'!$CU$6:$CU$405),7,"")</f>
        <v/>
      </c>
      <c r="C17" s="62">
        <f>IF($B17="","",IF(7&lt;=MAX('計算'!$CT$6:$CT$405),IFERROR(INDEX('計算'!$F$6:$F$405,MATCH(7,'計算'!$CT$6:$CT$405,0)),""),IFERROR(INDEX('計算'!$F$6:$F$405,MATCH(7-MAX('計算'!$CT$6:$CT$405),'計算'!$CU$6:$CU$405,0)),"")))</f>
        <v/>
      </c>
      <c r="D17" s="62">
        <f>IF($B17="","",IF(7&lt;=MAX('計算'!$CT$6:$CT$405),IFERROR(INDEX('計算'!$C$6:$C$405,MATCH(7,'計算'!$CT$6:$CT$405,0))&amp;"",""),IFERROR(INDEX('計算'!$C$6:$C$405,MATCH(7-MAX('計算'!$CT$6:$CT$405),'計算'!$CU$6:$CU$405,0))&amp;"","")))</f>
        <v/>
      </c>
      <c r="E17" s="62">
        <f>IF($B17="","",IF(7&lt;=MAX('計算'!$CT$6:$CT$405),IFERROR(INDEX('計算'!$D$6:$D$405,MATCH(7,'計算'!$CT$6:$CT$405,0)),""),IFERROR(INDEX('計算'!$D$6:$D$405,MATCH(7-MAX('計算'!$CT$6:$CT$405),'計算'!$CU$6:$CU$405,0)),"")))</f>
        <v/>
      </c>
      <c r="F17" s="63">
        <f>IF($B17="","",IF(7&lt;=MAX('計算'!$CT$6:$CT$405),IFERROR(INDEX('計算'!$P$6:$P$405,MATCH(7,'計算'!$CT$6:$CT$405,0)),""),IFERROR(INDEX('計算'!$S$6:$S$405,MATCH(7-MAX('計算'!$CT$6:$CT$405),'計算'!$CU$6:$CU$405,0)),"")))</f>
        <v/>
      </c>
      <c r="G17" s="62">
        <f>IF($B17="","",IF(7&lt;=MAX('計算'!$CT$6:$CT$405),IFERROR(INDEX('計算'!$CR$6:$CR$405,MATCH(7,'計算'!$CT$6:$CT$405,0)),""),IFERROR(INDEX('計算'!$CR$6:$CR$405,MATCH(7-MAX('計算'!$CT$6:$CT$405),'計算'!$CU$6:$CU$405,0)),"")))</f>
        <v/>
      </c>
      <c r="H17" s="64">
        <f>IF($B17="","",IF(7&lt;=MAX('計算'!$CT$6:$CT$405),IFERROR(INDEX('計算'!$Q$6:$Q$405,MATCH(7,'計算'!$CT$6:$CT$405,0)),""),IFERROR(INDEX('計算'!$T$6:$T$405,MATCH(7-MAX('計算'!$CT$6:$CT$405),'計算'!$CU$6:$CU$405,0)),"")))</f>
        <v/>
      </c>
      <c r="I17" s="65">
        <f>IF($B17="","",IF(7&lt;=MAX('計算'!$CT$6:$CT$405),IFERROR(INDEX('計算'!$H$6:$H$405,MATCH(7,'計算'!$CT$6:$CT$405,0)),""),IFERROR(INDEX('計算'!$H$6:$H$405,MATCH(7-MAX('計算'!$CT$6:$CT$405),'計算'!$CU$6:$CU$405,0)),"")))</f>
        <v/>
      </c>
      <c r="J17" s="65">
        <f>IF($B17="","",N($H17)*IFERROR(INDEX('計算'!$G$6:$G$405,IF(7&lt;=MAX('計算'!$CT$6:$CT$405),MATCH(7,'計算'!$CT$6:$CT$405,0),MATCH(7-MAX('計算'!$CT$6:$CT$405),'計算'!$CU$6:$CU$405,0))),1)*N($I17))</f>
        <v/>
      </c>
    </row>
    <row r="18" ht="18" customHeight="1">
      <c r="B18" s="61">
        <f>IF(8&lt;=MAX('計算'!$CT$6:$CT$405)+MAX('計算'!$CU$6:$CU$405),8,"")</f>
        <v/>
      </c>
      <c r="C18" s="62">
        <f>IF($B18="","",IF(8&lt;=MAX('計算'!$CT$6:$CT$405),IFERROR(INDEX('計算'!$F$6:$F$405,MATCH(8,'計算'!$CT$6:$CT$405,0)),""),IFERROR(INDEX('計算'!$F$6:$F$405,MATCH(8-MAX('計算'!$CT$6:$CT$405),'計算'!$CU$6:$CU$405,0)),"")))</f>
        <v/>
      </c>
      <c r="D18" s="62">
        <f>IF($B18="","",IF(8&lt;=MAX('計算'!$CT$6:$CT$405),IFERROR(INDEX('計算'!$C$6:$C$405,MATCH(8,'計算'!$CT$6:$CT$405,0))&amp;"",""),IFERROR(INDEX('計算'!$C$6:$C$405,MATCH(8-MAX('計算'!$CT$6:$CT$405),'計算'!$CU$6:$CU$405,0))&amp;"","")))</f>
        <v/>
      </c>
      <c r="E18" s="62">
        <f>IF($B18="","",IF(8&lt;=MAX('計算'!$CT$6:$CT$405),IFERROR(INDEX('計算'!$D$6:$D$405,MATCH(8,'計算'!$CT$6:$CT$405,0)),""),IFERROR(INDEX('計算'!$D$6:$D$405,MATCH(8-MAX('計算'!$CT$6:$CT$405),'計算'!$CU$6:$CU$405,0)),"")))</f>
        <v/>
      </c>
      <c r="F18" s="63">
        <f>IF($B18="","",IF(8&lt;=MAX('計算'!$CT$6:$CT$405),IFERROR(INDEX('計算'!$P$6:$P$405,MATCH(8,'計算'!$CT$6:$CT$405,0)),""),IFERROR(INDEX('計算'!$S$6:$S$405,MATCH(8-MAX('計算'!$CT$6:$CT$405),'計算'!$CU$6:$CU$405,0)),"")))</f>
        <v/>
      </c>
      <c r="G18" s="62">
        <f>IF($B18="","",IF(8&lt;=MAX('計算'!$CT$6:$CT$405),IFERROR(INDEX('計算'!$CR$6:$CR$405,MATCH(8,'計算'!$CT$6:$CT$405,0)),""),IFERROR(INDEX('計算'!$CR$6:$CR$405,MATCH(8-MAX('計算'!$CT$6:$CT$405),'計算'!$CU$6:$CU$405,0)),"")))</f>
        <v/>
      </c>
      <c r="H18" s="64">
        <f>IF($B18="","",IF(8&lt;=MAX('計算'!$CT$6:$CT$405),IFERROR(INDEX('計算'!$Q$6:$Q$405,MATCH(8,'計算'!$CT$6:$CT$405,0)),""),IFERROR(INDEX('計算'!$T$6:$T$405,MATCH(8-MAX('計算'!$CT$6:$CT$405),'計算'!$CU$6:$CU$405,0)),"")))</f>
        <v/>
      </c>
      <c r="I18" s="65">
        <f>IF($B18="","",IF(8&lt;=MAX('計算'!$CT$6:$CT$405),IFERROR(INDEX('計算'!$H$6:$H$405,MATCH(8,'計算'!$CT$6:$CT$405,0)),""),IFERROR(INDEX('計算'!$H$6:$H$405,MATCH(8-MAX('計算'!$CT$6:$CT$405),'計算'!$CU$6:$CU$405,0)),"")))</f>
        <v/>
      </c>
      <c r="J18" s="65">
        <f>IF($B18="","",N($H18)*IFERROR(INDEX('計算'!$G$6:$G$405,IF(8&lt;=MAX('計算'!$CT$6:$CT$405),MATCH(8,'計算'!$CT$6:$CT$405,0),MATCH(8-MAX('計算'!$CT$6:$CT$405),'計算'!$CU$6:$CU$405,0))),1)*N($I18))</f>
        <v/>
      </c>
    </row>
    <row r="19" ht="18" customHeight="1">
      <c r="B19" s="61">
        <f>IF(9&lt;=MAX('計算'!$CT$6:$CT$405)+MAX('計算'!$CU$6:$CU$405),9,"")</f>
        <v/>
      </c>
      <c r="C19" s="62">
        <f>IF($B19="","",IF(9&lt;=MAX('計算'!$CT$6:$CT$405),IFERROR(INDEX('計算'!$F$6:$F$405,MATCH(9,'計算'!$CT$6:$CT$405,0)),""),IFERROR(INDEX('計算'!$F$6:$F$405,MATCH(9-MAX('計算'!$CT$6:$CT$405),'計算'!$CU$6:$CU$405,0)),"")))</f>
        <v/>
      </c>
      <c r="D19" s="62">
        <f>IF($B19="","",IF(9&lt;=MAX('計算'!$CT$6:$CT$405),IFERROR(INDEX('計算'!$C$6:$C$405,MATCH(9,'計算'!$CT$6:$CT$405,0))&amp;"",""),IFERROR(INDEX('計算'!$C$6:$C$405,MATCH(9-MAX('計算'!$CT$6:$CT$405),'計算'!$CU$6:$CU$405,0))&amp;"","")))</f>
        <v/>
      </c>
      <c r="E19" s="62">
        <f>IF($B19="","",IF(9&lt;=MAX('計算'!$CT$6:$CT$405),IFERROR(INDEX('計算'!$D$6:$D$405,MATCH(9,'計算'!$CT$6:$CT$405,0)),""),IFERROR(INDEX('計算'!$D$6:$D$405,MATCH(9-MAX('計算'!$CT$6:$CT$405),'計算'!$CU$6:$CU$405,0)),"")))</f>
        <v/>
      </c>
      <c r="F19" s="63">
        <f>IF($B19="","",IF(9&lt;=MAX('計算'!$CT$6:$CT$405),IFERROR(INDEX('計算'!$P$6:$P$405,MATCH(9,'計算'!$CT$6:$CT$405,0)),""),IFERROR(INDEX('計算'!$S$6:$S$405,MATCH(9-MAX('計算'!$CT$6:$CT$405),'計算'!$CU$6:$CU$405,0)),"")))</f>
        <v/>
      </c>
      <c r="G19" s="62">
        <f>IF($B19="","",IF(9&lt;=MAX('計算'!$CT$6:$CT$405),IFERROR(INDEX('計算'!$CR$6:$CR$405,MATCH(9,'計算'!$CT$6:$CT$405,0)),""),IFERROR(INDEX('計算'!$CR$6:$CR$405,MATCH(9-MAX('計算'!$CT$6:$CT$405),'計算'!$CU$6:$CU$405,0)),"")))</f>
        <v/>
      </c>
      <c r="H19" s="64">
        <f>IF($B19="","",IF(9&lt;=MAX('計算'!$CT$6:$CT$405),IFERROR(INDEX('計算'!$Q$6:$Q$405,MATCH(9,'計算'!$CT$6:$CT$405,0)),""),IFERROR(INDEX('計算'!$T$6:$T$405,MATCH(9-MAX('計算'!$CT$6:$CT$405),'計算'!$CU$6:$CU$405,0)),"")))</f>
        <v/>
      </c>
      <c r="I19" s="65">
        <f>IF($B19="","",IF(9&lt;=MAX('計算'!$CT$6:$CT$405),IFERROR(INDEX('計算'!$H$6:$H$405,MATCH(9,'計算'!$CT$6:$CT$405,0)),""),IFERROR(INDEX('計算'!$H$6:$H$405,MATCH(9-MAX('計算'!$CT$6:$CT$405),'計算'!$CU$6:$CU$405,0)),"")))</f>
        <v/>
      </c>
      <c r="J19" s="65">
        <f>IF($B19="","",N($H19)*IFERROR(INDEX('計算'!$G$6:$G$405,IF(9&lt;=MAX('計算'!$CT$6:$CT$405),MATCH(9,'計算'!$CT$6:$CT$405,0),MATCH(9-MAX('計算'!$CT$6:$CT$405),'計算'!$CU$6:$CU$405,0))),1)*N($I19))</f>
        <v/>
      </c>
    </row>
    <row r="20" ht="18" customHeight="1">
      <c r="B20" s="61">
        <f>IF(10&lt;=MAX('計算'!$CT$6:$CT$405)+MAX('計算'!$CU$6:$CU$405),10,"")</f>
        <v/>
      </c>
      <c r="C20" s="62">
        <f>IF($B20="","",IF(10&lt;=MAX('計算'!$CT$6:$CT$405),IFERROR(INDEX('計算'!$F$6:$F$405,MATCH(10,'計算'!$CT$6:$CT$405,0)),""),IFERROR(INDEX('計算'!$F$6:$F$405,MATCH(10-MAX('計算'!$CT$6:$CT$405),'計算'!$CU$6:$CU$405,0)),"")))</f>
        <v/>
      </c>
      <c r="D20" s="62">
        <f>IF($B20="","",IF(10&lt;=MAX('計算'!$CT$6:$CT$405),IFERROR(INDEX('計算'!$C$6:$C$405,MATCH(10,'計算'!$CT$6:$CT$405,0))&amp;"",""),IFERROR(INDEX('計算'!$C$6:$C$405,MATCH(10-MAX('計算'!$CT$6:$CT$405),'計算'!$CU$6:$CU$405,0))&amp;"","")))</f>
        <v/>
      </c>
      <c r="E20" s="62">
        <f>IF($B20="","",IF(10&lt;=MAX('計算'!$CT$6:$CT$405),IFERROR(INDEX('計算'!$D$6:$D$405,MATCH(10,'計算'!$CT$6:$CT$405,0)),""),IFERROR(INDEX('計算'!$D$6:$D$405,MATCH(10-MAX('計算'!$CT$6:$CT$405),'計算'!$CU$6:$CU$405,0)),"")))</f>
        <v/>
      </c>
      <c r="F20" s="63">
        <f>IF($B20="","",IF(10&lt;=MAX('計算'!$CT$6:$CT$405),IFERROR(INDEX('計算'!$P$6:$P$405,MATCH(10,'計算'!$CT$6:$CT$405,0)),""),IFERROR(INDEX('計算'!$S$6:$S$405,MATCH(10-MAX('計算'!$CT$6:$CT$405),'計算'!$CU$6:$CU$405,0)),"")))</f>
        <v/>
      </c>
      <c r="G20" s="62">
        <f>IF($B20="","",IF(10&lt;=MAX('計算'!$CT$6:$CT$405),IFERROR(INDEX('計算'!$CR$6:$CR$405,MATCH(10,'計算'!$CT$6:$CT$405,0)),""),IFERROR(INDEX('計算'!$CR$6:$CR$405,MATCH(10-MAX('計算'!$CT$6:$CT$405),'計算'!$CU$6:$CU$405,0)),"")))</f>
        <v/>
      </c>
      <c r="H20" s="64">
        <f>IF($B20="","",IF(10&lt;=MAX('計算'!$CT$6:$CT$405),IFERROR(INDEX('計算'!$Q$6:$Q$405,MATCH(10,'計算'!$CT$6:$CT$405,0)),""),IFERROR(INDEX('計算'!$T$6:$T$405,MATCH(10-MAX('計算'!$CT$6:$CT$405),'計算'!$CU$6:$CU$405,0)),"")))</f>
        <v/>
      </c>
      <c r="I20" s="65">
        <f>IF($B20="","",IF(10&lt;=MAX('計算'!$CT$6:$CT$405),IFERROR(INDEX('計算'!$H$6:$H$405,MATCH(10,'計算'!$CT$6:$CT$405,0)),""),IFERROR(INDEX('計算'!$H$6:$H$405,MATCH(10-MAX('計算'!$CT$6:$CT$405),'計算'!$CU$6:$CU$405,0)),"")))</f>
        <v/>
      </c>
      <c r="J20" s="65">
        <f>IF($B20="","",N($H20)*IFERROR(INDEX('計算'!$G$6:$G$405,IF(10&lt;=MAX('計算'!$CT$6:$CT$405),MATCH(10,'計算'!$CT$6:$CT$405,0),MATCH(10-MAX('計算'!$CT$6:$CT$405),'計算'!$CU$6:$CU$405,0))),1)*N($I20))</f>
        <v/>
      </c>
    </row>
    <row r="21" ht="18" customHeight="1">
      <c r="B21" s="61">
        <f>IF(11&lt;=MAX('計算'!$CT$6:$CT$405)+MAX('計算'!$CU$6:$CU$405),11,"")</f>
        <v/>
      </c>
      <c r="C21" s="62">
        <f>IF($B21="","",IF(11&lt;=MAX('計算'!$CT$6:$CT$405),IFERROR(INDEX('計算'!$F$6:$F$405,MATCH(11,'計算'!$CT$6:$CT$405,0)),""),IFERROR(INDEX('計算'!$F$6:$F$405,MATCH(11-MAX('計算'!$CT$6:$CT$405),'計算'!$CU$6:$CU$405,0)),"")))</f>
        <v/>
      </c>
      <c r="D21" s="62">
        <f>IF($B21="","",IF(11&lt;=MAX('計算'!$CT$6:$CT$405),IFERROR(INDEX('計算'!$C$6:$C$405,MATCH(11,'計算'!$CT$6:$CT$405,0))&amp;"",""),IFERROR(INDEX('計算'!$C$6:$C$405,MATCH(11-MAX('計算'!$CT$6:$CT$405),'計算'!$CU$6:$CU$405,0))&amp;"","")))</f>
        <v/>
      </c>
      <c r="E21" s="62">
        <f>IF($B21="","",IF(11&lt;=MAX('計算'!$CT$6:$CT$405),IFERROR(INDEX('計算'!$D$6:$D$405,MATCH(11,'計算'!$CT$6:$CT$405,0)),""),IFERROR(INDEX('計算'!$D$6:$D$405,MATCH(11-MAX('計算'!$CT$6:$CT$405),'計算'!$CU$6:$CU$405,0)),"")))</f>
        <v/>
      </c>
      <c r="F21" s="63">
        <f>IF($B21="","",IF(11&lt;=MAX('計算'!$CT$6:$CT$405),IFERROR(INDEX('計算'!$P$6:$P$405,MATCH(11,'計算'!$CT$6:$CT$405,0)),""),IFERROR(INDEX('計算'!$S$6:$S$405,MATCH(11-MAX('計算'!$CT$6:$CT$405),'計算'!$CU$6:$CU$405,0)),"")))</f>
        <v/>
      </c>
      <c r="G21" s="62">
        <f>IF($B21="","",IF(11&lt;=MAX('計算'!$CT$6:$CT$405),IFERROR(INDEX('計算'!$CR$6:$CR$405,MATCH(11,'計算'!$CT$6:$CT$405,0)),""),IFERROR(INDEX('計算'!$CR$6:$CR$405,MATCH(11-MAX('計算'!$CT$6:$CT$405),'計算'!$CU$6:$CU$405,0)),"")))</f>
        <v/>
      </c>
      <c r="H21" s="64">
        <f>IF($B21="","",IF(11&lt;=MAX('計算'!$CT$6:$CT$405),IFERROR(INDEX('計算'!$Q$6:$Q$405,MATCH(11,'計算'!$CT$6:$CT$405,0)),""),IFERROR(INDEX('計算'!$T$6:$T$405,MATCH(11-MAX('計算'!$CT$6:$CT$405),'計算'!$CU$6:$CU$405,0)),"")))</f>
        <v/>
      </c>
      <c r="I21" s="65">
        <f>IF($B21="","",IF(11&lt;=MAX('計算'!$CT$6:$CT$405),IFERROR(INDEX('計算'!$H$6:$H$405,MATCH(11,'計算'!$CT$6:$CT$405,0)),""),IFERROR(INDEX('計算'!$H$6:$H$405,MATCH(11-MAX('計算'!$CT$6:$CT$405),'計算'!$CU$6:$CU$405,0)),"")))</f>
        <v/>
      </c>
      <c r="J21" s="65">
        <f>IF($B21="","",N($H21)*IFERROR(INDEX('計算'!$G$6:$G$405,IF(11&lt;=MAX('計算'!$CT$6:$CT$405),MATCH(11,'計算'!$CT$6:$CT$405,0),MATCH(11-MAX('計算'!$CT$6:$CT$405),'計算'!$CU$6:$CU$405,0))),1)*N($I21))</f>
        <v/>
      </c>
    </row>
    <row r="22" ht="18" customHeight="1">
      <c r="B22" s="61">
        <f>IF(12&lt;=MAX('計算'!$CT$6:$CT$405)+MAX('計算'!$CU$6:$CU$405),12,"")</f>
        <v/>
      </c>
      <c r="C22" s="62">
        <f>IF($B22="","",IF(12&lt;=MAX('計算'!$CT$6:$CT$405),IFERROR(INDEX('計算'!$F$6:$F$405,MATCH(12,'計算'!$CT$6:$CT$405,0)),""),IFERROR(INDEX('計算'!$F$6:$F$405,MATCH(12-MAX('計算'!$CT$6:$CT$405),'計算'!$CU$6:$CU$405,0)),"")))</f>
        <v/>
      </c>
      <c r="D22" s="62">
        <f>IF($B22="","",IF(12&lt;=MAX('計算'!$CT$6:$CT$405),IFERROR(INDEX('計算'!$C$6:$C$405,MATCH(12,'計算'!$CT$6:$CT$405,0))&amp;"",""),IFERROR(INDEX('計算'!$C$6:$C$405,MATCH(12-MAX('計算'!$CT$6:$CT$405),'計算'!$CU$6:$CU$405,0))&amp;"","")))</f>
        <v/>
      </c>
      <c r="E22" s="62">
        <f>IF($B22="","",IF(12&lt;=MAX('計算'!$CT$6:$CT$405),IFERROR(INDEX('計算'!$D$6:$D$405,MATCH(12,'計算'!$CT$6:$CT$405,0)),""),IFERROR(INDEX('計算'!$D$6:$D$405,MATCH(12-MAX('計算'!$CT$6:$CT$405),'計算'!$CU$6:$CU$405,0)),"")))</f>
        <v/>
      </c>
      <c r="F22" s="63">
        <f>IF($B22="","",IF(12&lt;=MAX('計算'!$CT$6:$CT$405),IFERROR(INDEX('計算'!$P$6:$P$405,MATCH(12,'計算'!$CT$6:$CT$405,0)),""),IFERROR(INDEX('計算'!$S$6:$S$405,MATCH(12-MAX('計算'!$CT$6:$CT$405),'計算'!$CU$6:$CU$405,0)),"")))</f>
        <v/>
      </c>
      <c r="G22" s="62">
        <f>IF($B22="","",IF(12&lt;=MAX('計算'!$CT$6:$CT$405),IFERROR(INDEX('計算'!$CR$6:$CR$405,MATCH(12,'計算'!$CT$6:$CT$405,0)),""),IFERROR(INDEX('計算'!$CR$6:$CR$405,MATCH(12-MAX('計算'!$CT$6:$CT$405),'計算'!$CU$6:$CU$405,0)),"")))</f>
        <v/>
      </c>
      <c r="H22" s="64">
        <f>IF($B22="","",IF(12&lt;=MAX('計算'!$CT$6:$CT$405),IFERROR(INDEX('計算'!$Q$6:$Q$405,MATCH(12,'計算'!$CT$6:$CT$405,0)),""),IFERROR(INDEX('計算'!$T$6:$T$405,MATCH(12-MAX('計算'!$CT$6:$CT$405),'計算'!$CU$6:$CU$405,0)),"")))</f>
        <v/>
      </c>
      <c r="I22" s="65">
        <f>IF($B22="","",IF(12&lt;=MAX('計算'!$CT$6:$CT$405),IFERROR(INDEX('計算'!$H$6:$H$405,MATCH(12,'計算'!$CT$6:$CT$405,0)),""),IFERROR(INDEX('計算'!$H$6:$H$405,MATCH(12-MAX('計算'!$CT$6:$CT$405),'計算'!$CU$6:$CU$405,0)),"")))</f>
        <v/>
      </c>
      <c r="J22" s="65">
        <f>IF($B22="","",N($H22)*IFERROR(INDEX('計算'!$G$6:$G$405,IF(12&lt;=MAX('計算'!$CT$6:$CT$405),MATCH(12,'計算'!$CT$6:$CT$405,0),MATCH(12-MAX('計算'!$CT$6:$CT$405),'計算'!$CU$6:$CU$405,0))),1)*N($I22))</f>
        <v/>
      </c>
    </row>
    <row r="23" ht="18" customHeight="1">
      <c r="B23" s="61">
        <f>IF(13&lt;=MAX('計算'!$CT$6:$CT$405)+MAX('計算'!$CU$6:$CU$405),13,"")</f>
        <v/>
      </c>
      <c r="C23" s="62">
        <f>IF($B23="","",IF(13&lt;=MAX('計算'!$CT$6:$CT$405),IFERROR(INDEX('計算'!$F$6:$F$405,MATCH(13,'計算'!$CT$6:$CT$405,0)),""),IFERROR(INDEX('計算'!$F$6:$F$405,MATCH(13-MAX('計算'!$CT$6:$CT$405),'計算'!$CU$6:$CU$405,0)),"")))</f>
        <v/>
      </c>
      <c r="D23" s="62">
        <f>IF($B23="","",IF(13&lt;=MAX('計算'!$CT$6:$CT$405),IFERROR(INDEX('計算'!$C$6:$C$405,MATCH(13,'計算'!$CT$6:$CT$405,0))&amp;"",""),IFERROR(INDEX('計算'!$C$6:$C$405,MATCH(13-MAX('計算'!$CT$6:$CT$405),'計算'!$CU$6:$CU$405,0))&amp;"","")))</f>
        <v/>
      </c>
      <c r="E23" s="62">
        <f>IF($B23="","",IF(13&lt;=MAX('計算'!$CT$6:$CT$405),IFERROR(INDEX('計算'!$D$6:$D$405,MATCH(13,'計算'!$CT$6:$CT$405,0)),""),IFERROR(INDEX('計算'!$D$6:$D$405,MATCH(13-MAX('計算'!$CT$6:$CT$405),'計算'!$CU$6:$CU$405,0)),"")))</f>
        <v/>
      </c>
      <c r="F23" s="63">
        <f>IF($B23="","",IF(13&lt;=MAX('計算'!$CT$6:$CT$405),IFERROR(INDEX('計算'!$P$6:$P$405,MATCH(13,'計算'!$CT$6:$CT$405,0)),""),IFERROR(INDEX('計算'!$S$6:$S$405,MATCH(13-MAX('計算'!$CT$6:$CT$405),'計算'!$CU$6:$CU$405,0)),"")))</f>
        <v/>
      </c>
      <c r="G23" s="62">
        <f>IF($B23="","",IF(13&lt;=MAX('計算'!$CT$6:$CT$405),IFERROR(INDEX('計算'!$CR$6:$CR$405,MATCH(13,'計算'!$CT$6:$CT$405,0)),""),IFERROR(INDEX('計算'!$CR$6:$CR$405,MATCH(13-MAX('計算'!$CT$6:$CT$405),'計算'!$CU$6:$CU$405,0)),"")))</f>
        <v/>
      </c>
      <c r="H23" s="64">
        <f>IF($B23="","",IF(13&lt;=MAX('計算'!$CT$6:$CT$405),IFERROR(INDEX('計算'!$Q$6:$Q$405,MATCH(13,'計算'!$CT$6:$CT$405,0)),""),IFERROR(INDEX('計算'!$T$6:$T$405,MATCH(13-MAX('計算'!$CT$6:$CT$405),'計算'!$CU$6:$CU$405,0)),"")))</f>
        <v/>
      </c>
      <c r="I23" s="65">
        <f>IF($B23="","",IF(13&lt;=MAX('計算'!$CT$6:$CT$405),IFERROR(INDEX('計算'!$H$6:$H$405,MATCH(13,'計算'!$CT$6:$CT$405,0)),""),IFERROR(INDEX('計算'!$H$6:$H$405,MATCH(13-MAX('計算'!$CT$6:$CT$405),'計算'!$CU$6:$CU$405,0)),"")))</f>
        <v/>
      </c>
      <c r="J23" s="65">
        <f>IF($B23="","",N($H23)*IFERROR(INDEX('計算'!$G$6:$G$405,IF(13&lt;=MAX('計算'!$CT$6:$CT$405),MATCH(13,'計算'!$CT$6:$CT$405,0),MATCH(13-MAX('計算'!$CT$6:$CT$405),'計算'!$CU$6:$CU$405,0))),1)*N($I23))</f>
        <v/>
      </c>
    </row>
    <row r="24" ht="18" customHeight="1">
      <c r="B24" s="61">
        <f>IF(14&lt;=MAX('計算'!$CT$6:$CT$405)+MAX('計算'!$CU$6:$CU$405),14,"")</f>
        <v/>
      </c>
      <c r="C24" s="62">
        <f>IF($B24="","",IF(14&lt;=MAX('計算'!$CT$6:$CT$405),IFERROR(INDEX('計算'!$F$6:$F$405,MATCH(14,'計算'!$CT$6:$CT$405,0)),""),IFERROR(INDEX('計算'!$F$6:$F$405,MATCH(14-MAX('計算'!$CT$6:$CT$405),'計算'!$CU$6:$CU$405,0)),"")))</f>
        <v/>
      </c>
      <c r="D24" s="62">
        <f>IF($B24="","",IF(14&lt;=MAX('計算'!$CT$6:$CT$405),IFERROR(INDEX('計算'!$C$6:$C$405,MATCH(14,'計算'!$CT$6:$CT$405,0))&amp;"",""),IFERROR(INDEX('計算'!$C$6:$C$405,MATCH(14-MAX('計算'!$CT$6:$CT$405),'計算'!$CU$6:$CU$405,0))&amp;"","")))</f>
        <v/>
      </c>
      <c r="E24" s="62">
        <f>IF($B24="","",IF(14&lt;=MAX('計算'!$CT$6:$CT$405),IFERROR(INDEX('計算'!$D$6:$D$405,MATCH(14,'計算'!$CT$6:$CT$405,0)),""),IFERROR(INDEX('計算'!$D$6:$D$405,MATCH(14-MAX('計算'!$CT$6:$CT$405),'計算'!$CU$6:$CU$405,0)),"")))</f>
        <v/>
      </c>
      <c r="F24" s="63">
        <f>IF($B24="","",IF(14&lt;=MAX('計算'!$CT$6:$CT$405),IFERROR(INDEX('計算'!$P$6:$P$405,MATCH(14,'計算'!$CT$6:$CT$405,0)),""),IFERROR(INDEX('計算'!$S$6:$S$405,MATCH(14-MAX('計算'!$CT$6:$CT$405),'計算'!$CU$6:$CU$405,0)),"")))</f>
        <v/>
      </c>
      <c r="G24" s="62">
        <f>IF($B24="","",IF(14&lt;=MAX('計算'!$CT$6:$CT$405),IFERROR(INDEX('計算'!$CR$6:$CR$405,MATCH(14,'計算'!$CT$6:$CT$405,0)),""),IFERROR(INDEX('計算'!$CR$6:$CR$405,MATCH(14-MAX('計算'!$CT$6:$CT$405),'計算'!$CU$6:$CU$405,0)),"")))</f>
        <v/>
      </c>
      <c r="H24" s="64">
        <f>IF($B24="","",IF(14&lt;=MAX('計算'!$CT$6:$CT$405),IFERROR(INDEX('計算'!$Q$6:$Q$405,MATCH(14,'計算'!$CT$6:$CT$405,0)),""),IFERROR(INDEX('計算'!$T$6:$T$405,MATCH(14-MAX('計算'!$CT$6:$CT$405),'計算'!$CU$6:$CU$405,0)),"")))</f>
        <v/>
      </c>
      <c r="I24" s="65">
        <f>IF($B24="","",IF(14&lt;=MAX('計算'!$CT$6:$CT$405),IFERROR(INDEX('計算'!$H$6:$H$405,MATCH(14,'計算'!$CT$6:$CT$405,0)),""),IFERROR(INDEX('計算'!$H$6:$H$405,MATCH(14-MAX('計算'!$CT$6:$CT$405),'計算'!$CU$6:$CU$405,0)),"")))</f>
        <v/>
      </c>
      <c r="J24" s="65">
        <f>IF($B24="","",N($H24)*IFERROR(INDEX('計算'!$G$6:$G$405,IF(14&lt;=MAX('計算'!$CT$6:$CT$405),MATCH(14,'計算'!$CT$6:$CT$405,0),MATCH(14-MAX('計算'!$CT$6:$CT$405),'計算'!$CU$6:$CU$405,0))),1)*N($I24))</f>
        <v/>
      </c>
    </row>
    <row r="25" ht="18" customHeight="1">
      <c r="B25" s="61">
        <f>IF(15&lt;=MAX('計算'!$CT$6:$CT$405)+MAX('計算'!$CU$6:$CU$405),15,"")</f>
        <v/>
      </c>
      <c r="C25" s="62">
        <f>IF($B25="","",IF(15&lt;=MAX('計算'!$CT$6:$CT$405),IFERROR(INDEX('計算'!$F$6:$F$405,MATCH(15,'計算'!$CT$6:$CT$405,0)),""),IFERROR(INDEX('計算'!$F$6:$F$405,MATCH(15-MAX('計算'!$CT$6:$CT$405),'計算'!$CU$6:$CU$405,0)),"")))</f>
        <v/>
      </c>
      <c r="D25" s="62">
        <f>IF($B25="","",IF(15&lt;=MAX('計算'!$CT$6:$CT$405),IFERROR(INDEX('計算'!$C$6:$C$405,MATCH(15,'計算'!$CT$6:$CT$405,0))&amp;"",""),IFERROR(INDEX('計算'!$C$6:$C$405,MATCH(15-MAX('計算'!$CT$6:$CT$405),'計算'!$CU$6:$CU$405,0))&amp;"","")))</f>
        <v/>
      </c>
      <c r="E25" s="62">
        <f>IF($B25="","",IF(15&lt;=MAX('計算'!$CT$6:$CT$405),IFERROR(INDEX('計算'!$D$6:$D$405,MATCH(15,'計算'!$CT$6:$CT$405,0)),""),IFERROR(INDEX('計算'!$D$6:$D$405,MATCH(15-MAX('計算'!$CT$6:$CT$405),'計算'!$CU$6:$CU$405,0)),"")))</f>
        <v/>
      </c>
      <c r="F25" s="63">
        <f>IF($B25="","",IF(15&lt;=MAX('計算'!$CT$6:$CT$405),IFERROR(INDEX('計算'!$P$6:$P$405,MATCH(15,'計算'!$CT$6:$CT$405,0)),""),IFERROR(INDEX('計算'!$S$6:$S$405,MATCH(15-MAX('計算'!$CT$6:$CT$405),'計算'!$CU$6:$CU$405,0)),"")))</f>
        <v/>
      </c>
      <c r="G25" s="62">
        <f>IF($B25="","",IF(15&lt;=MAX('計算'!$CT$6:$CT$405),IFERROR(INDEX('計算'!$CR$6:$CR$405,MATCH(15,'計算'!$CT$6:$CT$405,0)),""),IFERROR(INDEX('計算'!$CR$6:$CR$405,MATCH(15-MAX('計算'!$CT$6:$CT$405),'計算'!$CU$6:$CU$405,0)),"")))</f>
        <v/>
      </c>
      <c r="H25" s="64">
        <f>IF($B25="","",IF(15&lt;=MAX('計算'!$CT$6:$CT$405),IFERROR(INDEX('計算'!$Q$6:$Q$405,MATCH(15,'計算'!$CT$6:$CT$405,0)),""),IFERROR(INDEX('計算'!$T$6:$T$405,MATCH(15-MAX('計算'!$CT$6:$CT$405),'計算'!$CU$6:$CU$405,0)),"")))</f>
        <v/>
      </c>
      <c r="I25" s="65">
        <f>IF($B25="","",IF(15&lt;=MAX('計算'!$CT$6:$CT$405),IFERROR(INDEX('計算'!$H$6:$H$405,MATCH(15,'計算'!$CT$6:$CT$405,0)),""),IFERROR(INDEX('計算'!$H$6:$H$405,MATCH(15-MAX('計算'!$CT$6:$CT$405),'計算'!$CU$6:$CU$405,0)),"")))</f>
        <v/>
      </c>
      <c r="J25" s="65">
        <f>IF($B25="","",N($H25)*IFERROR(INDEX('計算'!$G$6:$G$405,IF(15&lt;=MAX('計算'!$CT$6:$CT$405),MATCH(15,'計算'!$CT$6:$CT$405,0),MATCH(15-MAX('計算'!$CT$6:$CT$405),'計算'!$CU$6:$CU$405,0))),1)*N($I25))</f>
        <v/>
      </c>
    </row>
    <row r="26" ht="18" customHeight="1">
      <c r="B26" s="61">
        <f>IF(16&lt;=MAX('計算'!$CT$6:$CT$405)+MAX('計算'!$CU$6:$CU$405),16,"")</f>
        <v/>
      </c>
      <c r="C26" s="62">
        <f>IF($B26="","",IF(16&lt;=MAX('計算'!$CT$6:$CT$405),IFERROR(INDEX('計算'!$F$6:$F$405,MATCH(16,'計算'!$CT$6:$CT$405,0)),""),IFERROR(INDEX('計算'!$F$6:$F$405,MATCH(16-MAX('計算'!$CT$6:$CT$405),'計算'!$CU$6:$CU$405,0)),"")))</f>
        <v/>
      </c>
      <c r="D26" s="62">
        <f>IF($B26="","",IF(16&lt;=MAX('計算'!$CT$6:$CT$405),IFERROR(INDEX('計算'!$C$6:$C$405,MATCH(16,'計算'!$CT$6:$CT$405,0))&amp;"",""),IFERROR(INDEX('計算'!$C$6:$C$405,MATCH(16-MAX('計算'!$CT$6:$CT$405),'計算'!$CU$6:$CU$405,0))&amp;"","")))</f>
        <v/>
      </c>
      <c r="E26" s="62">
        <f>IF($B26="","",IF(16&lt;=MAX('計算'!$CT$6:$CT$405),IFERROR(INDEX('計算'!$D$6:$D$405,MATCH(16,'計算'!$CT$6:$CT$405,0)),""),IFERROR(INDEX('計算'!$D$6:$D$405,MATCH(16-MAX('計算'!$CT$6:$CT$405),'計算'!$CU$6:$CU$405,0)),"")))</f>
        <v/>
      </c>
      <c r="F26" s="63">
        <f>IF($B26="","",IF(16&lt;=MAX('計算'!$CT$6:$CT$405),IFERROR(INDEX('計算'!$P$6:$P$405,MATCH(16,'計算'!$CT$6:$CT$405,0)),""),IFERROR(INDEX('計算'!$S$6:$S$405,MATCH(16-MAX('計算'!$CT$6:$CT$405),'計算'!$CU$6:$CU$405,0)),"")))</f>
        <v/>
      </c>
      <c r="G26" s="62">
        <f>IF($B26="","",IF(16&lt;=MAX('計算'!$CT$6:$CT$405),IFERROR(INDEX('計算'!$CR$6:$CR$405,MATCH(16,'計算'!$CT$6:$CT$405,0)),""),IFERROR(INDEX('計算'!$CR$6:$CR$405,MATCH(16-MAX('計算'!$CT$6:$CT$405),'計算'!$CU$6:$CU$405,0)),"")))</f>
        <v/>
      </c>
      <c r="H26" s="64">
        <f>IF($B26="","",IF(16&lt;=MAX('計算'!$CT$6:$CT$405),IFERROR(INDEX('計算'!$Q$6:$Q$405,MATCH(16,'計算'!$CT$6:$CT$405,0)),""),IFERROR(INDEX('計算'!$T$6:$T$405,MATCH(16-MAX('計算'!$CT$6:$CT$405),'計算'!$CU$6:$CU$405,0)),"")))</f>
        <v/>
      </c>
      <c r="I26" s="65">
        <f>IF($B26="","",IF(16&lt;=MAX('計算'!$CT$6:$CT$405),IFERROR(INDEX('計算'!$H$6:$H$405,MATCH(16,'計算'!$CT$6:$CT$405,0)),""),IFERROR(INDEX('計算'!$H$6:$H$405,MATCH(16-MAX('計算'!$CT$6:$CT$405),'計算'!$CU$6:$CU$405,0)),"")))</f>
        <v/>
      </c>
      <c r="J26" s="65">
        <f>IF($B26="","",N($H26)*IFERROR(INDEX('計算'!$G$6:$G$405,IF(16&lt;=MAX('計算'!$CT$6:$CT$405),MATCH(16,'計算'!$CT$6:$CT$405,0),MATCH(16-MAX('計算'!$CT$6:$CT$405),'計算'!$CU$6:$CU$405,0))),1)*N($I26))</f>
        <v/>
      </c>
    </row>
    <row r="27" ht="18" customHeight="1">
      <c r="B27" s="61">
        <f>IF(17&lt;=MAX('計算'!$CT$6:$CT$405)+MAX('計算'!$CU$6:$CU$405),17,"")</f>
        <v/>
      </c>
      <c r="C27" s="62">
        <f>IF($B27="","",IF(17&lt;=MAX('計算'!$CT$6:$CT$405),IFERROR(INDEX('計算'!$F$6:$F$405,MATCH(17,'計算'!$CT$6:$CT$405,0)),""),IFERROR(INDEX('計算'!$F$6:$F$405,MATCH(17-MAX('計算'!$CT$6:$CT$405),'計算'!$CU$6:$CU$405,0)),"")))</f>
        <v/>
      </c>
      <c r="D27" s="62">
        <f>IF($B27="","",IF(17&lt;=MAX('計算'!$CT$6:$CT$405),IFERROR(INDEX('計算'!$C$6:$C$405,MATCH(17,'計算'!$CT$6:$CT$405,0))&amp;"",""),IFERROR(INDEX('計算'!$C$6:$C$405,MATCH(17-MAX('計算'!$CT$6:$CT$405),'計算'!$CU$6:$CU$405,0))&amp;"","")))</f>
        <v/>
      </c>
      <c r="E27" s="62">
        <f>IF($B27="","",IF(17&lt;=MAX('計算'!$CT$6:$CT$405),IFERROR(INDEX('計算'!$D$6:$D$405,MATCH(17,'計算'!$CT$6:$CT$405,0)),""),IFERROR(INDEX('計算'!$D$6:$D$405,MATCH(17-MAX('計算'!$CT$6:$CT$405),'計算'!$CU$6:$CU$405,0)),"")))</f>
        <v/>
      </c>
      <c r="F27" s="63">
        <f>IF($B27="","",IF(17&lt;=MAX('計算'!$CT$6:$CT$405),IFERROR(INDEX('計算'!$P$6:$P$405,MATCH(17,'計算'!$CT$6:$CT$405,0)),""),IFERROR(INDEX('計算'!$S$6:$S$405,MATCH(17-MAX('計算'!$CT$6:$CT$405),'計算'!$CU$6:$CU$405,0)),"")))</f>
        <v/>
      </c>
      <c r="G27" s="62">
        <f>IF($B27="","",IF(17&lt;=MAX('計算'!$CT$6:$CT$405),IFERROR(INDEX('計算'!$CR$6:$CR$405,MATCH(17,'計算'!$CT$6:$CT$405,0)),""),IFERROR(INDEX('計算'!$CR$6:$CR$405,MATCH(17-MAX('計算'!$CT$6:$CT$405),'計算'!$CU$6:$CU$405,0)),"")))</f>
        <v/>
      </c>
      <c r="H27" s="64">
        <f>IF($B27="","",IF(17&lt;=MAX('計算'!$CT$6:$CT$405),IFERROR(INDEX('計算'!$Q$6:$Q$405,MATCH(17,'計算'!$CT$6:$CT$405,0)),""),IFERROR(INDEX('計算'!$T$6:$T$405,MATCH(17-MAX('計算'!$CT$6:$CT$405),'計算'!$CU$6:$CU$405,0)),"")))</f>
        <v/>
      </c>
      <c r="I27" s="65">
        <f>IF($B27="","",IF(17&lt;=MAX('計算'!$CT$6:$CT$405),IFERROR(INDEX('計算'!$H$6:$H$405,MATCH(17,'計算'!$CT$6:$CT$405,0)),""),IFERROR(INDEX('計算'!$H$6:$H$405,MATCH(17-MAX('計算'!$CT$6:$CT$405),'計算'!$CU$6:$CU$405,0)),"")))</f>
        <v/>
      </c>
      <c r="J27" s="65">
        <f>IF($B27="","",N($H27)*IFERROR(INDEX('計算'!$G$6:$G$405,IF(17&lt;=MAX('計算'!$CT$6:$CT$405),MATCH(17,'計算'!$CT$6:$CT$405,0),MATCH(17-MAX('計算'!$CT$6:$CT$405),'計算'!$CU$6:$CU$405,0))),1)*N($I27))</f>
        <v/>
      </c>
    </row>
    <row r="28" ht="18" customHeight="1">
      <c r="B28" s="61">
        <f>IF(18&lt;=MAX('計算'!$CT$6:$CT$405)+MAX('計算'!$CU$6:$CU$405),18,"")</f>
        <v/>
      </c>
      <c r="C28" s="62">
        <f>IF($B28="","",IF(18&lt;=MAX('計算'!$CT$6:$CT$405),IFERROR(INDEX('計算'!$F$6:$F$405,MATCH(18,'計算'!$CT$6:$CT$405,0)),""),IFERROR(INDEX('計算'!$F$6:$F$405,MATCH(18-MAX('計算'!$CT$6:$CT$405),'計算'!$CU$6:$CU$405,0)),"")))</f>
        <v/>
      </c>
      <c r="D28" s="62">
        <f>IF($B28="","",IF(18&lt;=MAX('計算'!$CT$6:$CT$405),IFERROR(INDEX('計算'!$C$6:$C$405,MATCH(18,'計算'!$CT$6:$CT$405,0))&amp;"",""),IFERROR(INDEX('計算'!$C$6:$C$405,MATCH(18-MAX('計算'!$CT$6:$CT$405),'計算'!$CU$6:$CU$405,0))&amp;"","")))</f>
        <v/>
      </c>
      <c r="E28" s="62">
        <f>IF($B28="","",IF(18&lt;=MAX('計算'!$CT$6:$CT$405),IFERROR(INDEX('計算'!$D$6:$D$405,MATCH(18,'計算'!$CT$6:$CT$405,0)),""),IFERROR(INDEX('計算'!$D$6:$D$405,MATCH(18-MAX('計算'!$CT$6:$CT$405),'計算'!$CU$6:$CU$405,0)),"")))</f>
        <v/>
      </c>
      <c r="F28" s="63">
        <f>IF($B28="","",IF(18&lt;=MAX('計算'!$CT$6:$CT$405),IFERROR(INDEX('計算'!$P$6:$P$405,MATCH(18,'計算'!$CT$6:$CT$405,0)),""),IFERROR(INDEX('計算'!$S$6:$S$405,MATCH(18-MAX('計算'!$CT$6:$CT$405),'計算'!$CU$6:$CU$405,0)),"")))</f>
        <v/>
      </c>
      <c r="G28" s="62">
        <f>IF($B28="","",IF(18&lt;=MAX('計算'!$CT$6:$CT$405),IFERROR(INDEX('計算'!$CR$6:$CR$405,MATCH(18,'計算'!$CT$6:$CT$405,0)),""),IFERROR(INDEX('計算'!$CR$6:$CR$405,MATCH(18-MAX('計算'!$CT$6:$CT$405),'計算'!$CU$6:$CU$405,0)),"")))</f>
        <v/>
      </c>
      <c r="H28" s="64">
        <f>IF($B28="","",IF(18&lt;=MAX('計算'!$CT$6:$CT$405),IFERROR(INDEX('計算'!$Q$6:$Q$405,MATCH(18,'計算'!$CT$6:$CT$405,0)),""),IFERROR(INDEX('計算'!$T$6:$T$405,MATCH(18-MAX('計算'!$CT$6:$CT$405),'計算'!$CU$6:$CU$405,0)),"")))</f>
        <v/>
      </c>
      <c r="I28" s="65">
        <f>IF($B28="","",IF(18&lt;=MAX('計算'!$CT$6:$CT$405),IFERROR(INDEX('計算'!$H$6:$H$405,MATCH(18,'計算'!$CT$6:$CT$405,0)),""),IFERROR(INDEX('計算'!$H$6:$H$405,MATCH(18-MAX('計算'!$CT$6:$CT$405),'計算'!$CU$6:$CU$405,0)),"")))</f>
        <v/>
      </c>
      <c r="J28" s="65">
        <f>IF($B28="","",N($H28)*IFERROR(INDEX('計算'!$G$6:$G$405,IF(18&lt;=MAX('計算'!$CT$6:$CT$405),MATCH(18,'計算'!$CT$6:$CT$405,0),MATCH(18-MAX('計算'!$CT$6:$CT$405),'計算'!$CU$6:$CU$405,0))),1)*N($I28))</f>
        <v/>
      </c>
    </row>
    <row r="29" ht="18" customHeight="1">
      <c r="B29" s="61">
        <f>IF(19&lt;=MAX('計算'!$CT$6:$CT$405)+MAX('計算'!$CU$6:$CU$405),19,"")</f>
        <v/>
      </c>
      <c r="C29" s="62">
        <f>IF($B29="","",IF(19&lt;=MAX('計算'!$CT$6:$CT$405),IFERROR(INDEX('計算'!$F$6:$F$405,MATCH(19,'計算'!$CT$6:$CT$405,0)),""),IFERROR(INDEX('計算'!$F$6:$F$405,MATCH(19-MAX('計算'!$CT$6:$CT$405),'計算'!$CU$6:$CU$405,0)),"")))</f>
        <v/>
      </c>
      <c r="D29" s="62">
        <f>IF($B29="","",IF(19&lt;=MAX('計算'!$CT$6:$CT$405),IFERROR(INDEX('計算'!$C$6:$C$405,MATCH(19,'計算'!$CT$6:$CT$405,0))&amp;"",""),IFERROR(INDEX('計算'!$C$6:$C$405,MATCH(19-MAX('計算'!$CT$6:$CT$405),'計算'!$CU$6:$CU$405,0))&amp;"","")))</f>
        <v/>
      </c>
      <c r="E29" s="62">
        <f>IF($B29="","",IF(19&lt;=MAX('計算'!$CT$6:$CT$405),IFERROR(INDEX('計算'!$D$6:$D$405,MATCH(19,'計算'!$CT$6:$CT$405,0)),""),IFERROR(INDEX('計算'!$D$6:$D$405,MATCH(19-MAX('計算'!$CT$6:$CT$405),'計算'!$CU$6:$CU$405,0)),"")))</f>
        <v/>
      </c>
      <c r="F29" s="63">
        <f>IF($B29="","",IF(19&lt;=MAX('計算'!$CT$6:$CT$405),IFERROR(INDEX('計算'!$P$6:$P$405,MATCH(19,'計算'!$CT$6:$CT$405,0)),""),IFERROR(INDEX('計算'!$S$6:$S$405,MATCH(19-MAX('計算'!$CT$6:$CT$405),'計算'!$CU$6:$CU$405,0)),"")))</f>
        <v/>
      </c>
      <c r="G29" s="62">
        <f>IF($B29="","",IF(19&lt;=MAX('計算'!$CT$6:$CT$405),IFERROR(INDEX('計算'!$CR$6:$CR$405,MATCH(19,'計算'!$CT$6:$CT$405,0)),""),IFERROR(INDEX('計算'!$CR$6:$CR$405,MATCH(19-MAX('計算'!$CT$6:$CT$405),'計算'!$CU$6:$CU$405,0)),"")))</f>
        <v/>
      </c>
      <c r="H29" s="64">
        <f>IF($B29="","",IF(19&lt;=MAX('計算'!$CT$6:$CT$405),IFERROR(INDEX('計算'!$Q$6:$Q$405,MATCH(19,'計算'!$CT$6:$CT$405,0)),""),IFERROR(INDEX('計算'!$T$6:$T$405,MATCH(19-MAX('計算'!$CT$6:$CT$405),'計算'!$CU$6:$CU$405,0)),"")))</f>
        <v/>
      </c>
      <c r="I29" s="65">
        <f>IF($B29="","",IF(19&lt;=MAX('計算'!$CT$6:$CT$405),IFERROR(INDEX('計算'!$H$6:$H$405,MATCH(19,'計算'!$CT$6:$CT$405,0)),""),IFERROR(INDEX('計算'!$H$6:$H$405,MATCH(19-MAX('計算'!$CT$6:$CT$405),'計算'!$CU$6:$CU$405,0)),"")))</f>
        <v/>
      </c>
      <c r="J29" s="65">
        <f>IF($B29="","",N($H29)*IFERROR(INDEX('計算'!$G$6:$G$405,IF(19&lt;=MAX('計算'!$CT$6:$CT$405),MATCH(19,'計算'!$CT$6:$CT$405,0),MATCH(19-MAX('計算'!$CT$6:$CT$405),'計算'!$CU$6:$CU$405,0))),1)*N($I29))</f>
        <v/>
      </c>
    </row>
    <row r="30" ht="18" customHeight="1">
      <c r="B30" s="61">
        <f>IF(20&lt;=MAX('計算'!$CT$6:$CT$405)+MAX('計算'!$CU$6:$CU$405),20,"")</f>
        <v/>
      </c>
      <c r="C30" s="62">
        <f>IF($B30="","",IF(20&lt;=MAX('計算'!$CT$6:$CT$405),IFERROR(INDEX('計算'!$F$6:$F$405,MATCH(20,'計算'!$CT$6:$CT$405,0)),""),IFERROR(INDEX('計算'!$F$6:$F$405,MATCH(20-MAX('計算'!$CT$6:$CT$405),'計算'!$CU$6:$CU$405,0)),"")))</f>
        <v/>
      </c>
      <c r="D30" s="62">
        <f>IF($B30="","",IF(20&lt;=MAX('計算'!$CT$6:$CT$405),IFERROR(INDEX('計算'!$C$6:$C$405,MATCH(20,'計算'!$CT$6:$CT$405,0))&amp;"",""),IFERROR(INDEX('計算'!$C$6:$C$405,MATCH(20-MAX('計算'!$CT$6:$CT$405),'計算'!$CU$6:$CU$405,0))&amp;"","")))</f>
        <v/>
      </c>
      <c r="E30" s="62">
        <f>IF($B30="","",IF(20&lt;=MAX('計算'!$CT$6:$CT$405),IFERROR(INDEX('計算'!$D$6:$D$405,MATCH(20,'計算'!$CT$6:$CT$405,0)),""),IFERROR(INDEX('計算'!$D$6:$D$405,MATCH(20-MAX('計算'!$CT$6:$CT$405),'計算'!$CU$6:$CU$405,0)),"")))</f>
        <v/>
      </c>
      <c r="F30" s="63">
        <f>IF($B30="","",IF(20&lt;=MAX('計算'!$CT$6:$CT$405),IFERROR(INDEX('計算'!$P$6:$P$405,MATCH(20,'計算'!$CT$6:$CT$405,0)),""),IFERROR(INDEX('計算'!$S$6:$S$405,MATCH(20-MAX('計算'!$CT$6:$CT$405),'計算'!$CU$6:$CU$405,0)),"")))</f>
        <v/>
      </c>
      <c r="G30" s="62">
        <f>IF($B30="","",IF(20&lt;=MAX('計算'!$CT$6:$CT$405),IFERROR(INDEX('計算'!$CR$6:$CR$405,MATCH(20,'計算'!$CT$6:$CT$405,0)),""),IFERROR(INDEX('計算'!$CR$6:$CR$405,MATCH(20-MAX('計算'!$CT$6:$CT$405),'計算'!$CU$6:$CU$405,0)),"")))</f>
        <v/>
      </c>
      <c r="H30" s="64">
        <f>IF($B30="","",IF(20&lt;=MAX('計算'!$CT$6:$CT$405),IFERROR(INDEX('計算'!$Q$6:$Q$405,MATCH(20,'計算'!$CT$6:$CT$405,0)),""),IFERROR(INDEX('計算'!$T$6:$T$405,MATCH(20-MAX('計算'!$CT$6:$CT$405),'計算'!$CU$6:$CU$405,0)),"")))</f>
        <v/>
      </c>
      <c r="I30" s="65">
        <f>IF($B30="","",IF(20&lt;=MAX('計算'!$CT$6:$CT$405),IFERROR(INDEX('計算'!$H$6:$H$405,MATCH(20,'計算'!$CT$6:$CT$405,0)),""),IFERROR(INDEX('計算'!$H$6:$H$405,MATCH(20-MAX('計算'!$CT$6:$CT$405),'計算'!$CU$6:$CU$405,0)),"")))</f>
        <v/>
      </c>
      <c r="J30" s="65">
        <f>IF($B30="","",N($H30)*IFERROR(INDEX('計算'!$G$6:$G$405,IF(20&lt;=MAX('計算'!$CT$6:$CT$405),MATCH(20,'計算'!$CT$6:$CT$405,0),MATCH(20-MAX('計算'!$CT$6:$CT$405),'計算'!$CU$6:$CU$405,0))),1)*N($I30))</f>
        <v/>
      </c>
    </row>
    <row r="31" ht="18" customHeight="1">
      <c r="B31" s="61">
        <f>IF(21&lt;=MAX('計算'!$CT$6:$CT$405)+MAX('計算'!$CU$6:$CU$405),21,"")</f>
        <v/>
      </c>
      <c r="C31" s="62">
        <f>IF($B31="","",IF(21&lt;=MAX('計算'!$CT$6:$CT$405),IFERROR(INDEX('計算'!$F$6:$F$405,MATCH(21,'計算'!$CT$6:$CT$405,0)),""),IFERROR(INDEX('計算'!$F$6:$F$405,MATCH(21-MAX('計算'!$CT$6:$CT$405),'計算'!$CU$6:$CU$405,0)),"")))</f>
        <v/>
      </c>
      <c r="D31" s="62">
        <f>IF($B31="","",IF(21&lt;=MAX('計算'!$CT$6:$CT$405),IFERROR(INDEX('計算'!$C$6:$C$405,MATCH(21,'計算'!$CT$6:$CT$405,0))&amp;"",""),IFERROR(INDEX('計算'!$C$6:$C$405,MATCH(21-MAX('計算'!$CT$6:$CT$405),'計算'!$CU$6:$CU$405,0))&amp;"","")))</f>
        <v/>
      </c>
      <c r="E31" s="62">
        <f>IF($B31="","",IF(21&lt;=MAX('計算'!$CT$6:$CT$405),IFERROR(INDEX('計算'!$D$6:$D$405,MATCH(21,'計算'!$CT$6:$CT$405,0)),""),IFERROR(INDEX('計算'!$D$6:$D$405,MATCH(21-MAX('計算'!$CT$6:$CT$405),'計算'!$CU$6:$CU$405,0)),"")))</f>
        <v/>
      </c>
      <c r="F31" s="63">
        <f>IF($B31="","",IF(21&lt;=MAX('計算'!$CT$6:$CT$405),IFERROR(INDEX('計算'!$P$6:$P$405,MATCH(21,'計算'!$CT$6:$CT$405,0)),""),IFERROR(INDEX('計算'!$S$6:$S$405,MATCH(21-MAX('計算'!$CT$6:$CT$405),'計算'!$CU$6:$CU$405,0)),"")))</f>
        <v/>
      </c>
      <c r="G31" s="62">
        <f>IF($B31="","",IF(21&lt;=MAX('計算'!$CT$6:$CT$405),IFERROR(INDEX('計算'!$CR$6:$CR$405,MATCH(21,'計算'!$CT$6:$CT$405,0)),""),IFERROR(INDEX('計算'!$CR$6:$CR$405,MATCH(21-MAX('計算'!$CT$6:$CT$405),'計算'!$CU$6:$CU$405,0)),"")))</f>
        <v/>
      </c>
      <c r="H31" s="64">
        <f>IF($B31="","",IF(21&lt;=MAX('計算'!$CT$6:$CT$405),IFERROR(INDEX('計算'!$Q$6:$Q$405,MATCH(21,'計算'!$CT$6:$CT$405,0)),""),IFERROR(INDEX('計算'!$T$6:$T$405,MATCH(21-MAX('計算'!$CT$6:$CT$405),'計算'!$CU$6:$CU$405,0)),"")))</f>
        <v/>
      </c>
      <c r="I31" s="65">
        <f>IF($B31="","",IF(21&lt;=MAX('計算'!$CT$6:$CT$405),IFERROR(INDEX('計算'!$H$6:$H$405,MATCH(21,'計算'!$CT$6:$CT$405,0)),""),IFERROR(INDEX('計算'!$H$6:$H$405,MATCH(21-MAX('計算'!$CT$6:$CT$405),'計算'!$CU$6:$CU$405,0)),"")))</f>
        <v/>
      </c>
      <c r="J31" s="65">
        <f>IF($B31="","",N($H31)*IFERROR(INDEX('計算'!$G$6:$G$405,IF(21&lt;=MAX('計算'!$CT$6:$CT$405),MATCH(21,'計算'!$CT$6:$CT$405,0),MATCH(21-MAX('計算'!$CT$6:$CT$405),'計算'!$CU$6:$CU$405,0))),1)*N($I31))</f>
        <v/>
      </c>
    </row>
    <row r="32" ht="18" customHeight="1">
      <c r="B32" s="61">
        <f>IF(22&lt;=MAX('計算'!$CT$6:$CT$405)+MAX('計算'!$CU$6:$CU$405),22,"")</f>
        <v/>
      </c>
      <c r="C32" s="62">
        <f>IF($B32="","",IF(22&lt;=MAX('計算'!$CT$6:$CT$405),IFERROR(INDEX('計算'!$F$6:$F$405,MATCH(22,'計算'!$CT$6:$CT$405,0)),""),IFERROR(INDEX('計算'!$F$6:$F$405,MATCH(22-MAX('計算'!$CT$6:$CT$405),'計算'!$CU$6:$CU$405,0)),"")))</f>
        <v/>
      </c>
      <c r="D32" s="62">
        <f>IF($B32="","",IF(22&lt;=MAX('計算'!$CT$6:$CT$405),IFERROR(INDEX('計算'!$C$6:$C$405,MATCH(22,'計算'!$CT$6:$CT$405,0))&amp;"",""),IFERROR(INDEX('計算'!$C$6:$C$405,MATCH(22-MAX('計算'!$CT$6:$CT$405),'計算'!$CU$6:$CU$405,0))&amp;"","")))</f>
        <v/>
      </c>
      <c r="E32" s="62">
        <f>IF($B32="","",IF(22&lt;=MAX('計算'!$CT$6:$CT$405),IFERROR(INDEX('計算'!$D$6:$D$405,MATCH(22,'計算'!$CT$6:$CT$405,0)),""),IFERROR(INDEX('計算'!$D$6:$D$405,MATCH(22-MAX('計算'!$CT$6:$CT$405),'計算'!$CU$6:$CU$405,0)),"")))</f>
        <v/>
      </c>
      <c r="F32" s="63">
        <f>IF($B32="","",IF(22&lt;=MAX('計算'!$CT$6:$CT$405),IFERROR(INDEX('計算'!$P$6:$P$405,MATCH(22,'計算'!$CT$6:$CT$405,0)),""),IFERROR(INDEX('計算'!$S$6:$S$405,MATCH(22-MAX('計算'!$CT$6:$CT$405),'計算'!$CU$6:$CU$405,0)),"")))</f>
        <v/>
      </c>
      <c r="G32" s="62">
        <f>IF($B32="","",IF(22&lt;=MAX('計算'!$CT$6:$CT$405),IFERROR(INDEX('計算'!$CR$6:$CR$405,MATCH(22,'計算'!$CT$6:$CT$405,0)),""),IFERROR(INDEX('計算'!$CR$6:$CR$405,MATCH(22-MAX('計算'!$CT$6:$CT$405),'計算'!$CU$6:$CU$405,0)),"")))</f>
        <v/>
      </c>
      <c r="H32" s="64">
        <f>IF($B32="","",IF(22&lt;=MAX('計算'!$CT$6:$CT$405),IFERROR(INDEX('計算'!$Q$6:$Q$405,MATCH(22,'計算'!$CT$6:$CT$405,0)),""),IFERROR(INDEX('計算'!$T$6:$T$405,MATCH(22-MAX('計算'!$CT$6:$CT$405),'計算'!$CU$6:$CU$405,0)),"")))</f>
        <v/>
      </c>
      <c r="I32" s="65">
        <f>IF($B32="","",IF(22&lt;=MAX('計算'!$CT$6:$CT$405),IFERROR(INDEX('計算'!$H$6:$H$405,MATCH(22,'計算'!$CT$6:$CT$405,0)),""),IFERROR(INDEX('計算'!$H$6:$H$405,MATCH(22-MAX('計算'!$CT$6:$CT$405),'計算'!$CU$6:$CU$405,0)),"")))</f>
        <v/>
      </c>
      <c r="J32" s="65">
        <f>IF($B32="","",N($H32)*IFERROR(INDEX('計算'!$G$6:$G$405,IF(22&lt;=MAX('計算'!$CT$6:$CT$405),MATCH(22,'計算'!$CT$6:$CT$405,0),MATCH(22-MAX('計算'!$CT$6:$CT$405),'計算'!$CU$6:$CU$405,0))),1)*N($I32))</f>
        <v/>
      </c>
    </row>
    <row r="33" ht="18" customHeight="1">
      <c r="B33" s="61">
        <f>IF(23&lt;=MAX('計算'!$CT$6:$CT$405)+MAX('計算'!$CU$6:$CU$405),23,"")</f>
        <v/>
      </c>
      <c r="C33" s="62">
        <f>IF($B33="","",IF(23&lt;=MAX('計算'!$CT$6:$CT$405),IFERROR(INDEX('計算'!$F$6:$F$405,MATCH(23,'計算'!$CT$6:$CT$405,0)),""),IFERROR(INDEX('計算'!$F$6:$F$405,MATCH(23-MAX('計算'!$CT$6:$CT$405),'計算'!$CU$6:$CU$405,0)),"")))</f>
        <v/>
      </c>
      <c r="D33" s="62">
        <f>IF($B33="","",IF(23&lt;=MAX('計算'!$CT$6:$CT$405),IFERROR(INDEX('計算'!$C$6:$C$405,MATCH(23,'計算'!$CT$6:$CT$405,0))&amp;"",""),IFERROR(INDEX('計算'!$C$6:$C$405,MATCH(23-MAX('計算'!$CT$6:$CT$405),'計算'!$CU$6:$CU$405,0))&amp;"","")))</f>
        <v/>
      </c>
      <c r="E33" s="62">
        <f>IF($B33="","",IF(23&lt;=MAX('計算'!$CT$6:$CT$405),IFERROR(INDEX('計算'!$D$6:$D$405,MATCH(23,'計算'!$CT$6:$CT$405,0)),""),IFERROR(INDEX('計算'!$D$6:$D$405,MATCH(23-MAX('計算'!$CT$6:$CT$405),'計算'!$CU$6:$CU$405,0)),"")))</f>
        <v/>
      </c>
      <c r="F33" s="63">
        <f>IF($B33="","",IF(23&lt;=MAX('計算'!$CT$6:$CT$405),IFERROR(INDEX('計算'!$P$6:$P$405,MATCH(23,'計算'!$CT$6:$CT$405,0)),""),IFERROR(INDEX('計算'!$S$6:$S$405,MATCH(23-MAX('計算'!$CT$6:$CT$405),'計算'!$CU$6:$CU$405,0)),"")))</f>
        <v/>
      </c>
      <c r="G33" s="62">
        <f>IF($B33="","",IF(23&lt;=MAX('計算'!$CT$6:$CT$405),IFERROR(INDEX('計算'!$CR$6:$CR$405,MATCH(23,'計算'!$CT$6:$CT$405,0)),""),IFERROR(INDEX('計算'!$CR$6:$CR$405,MATCH(23-MAX('計算'!$CT$6:$CT$405),'計算'!$CU$6:$CU$405,0)),"")))</f>
        <v/>
      </c>
      <c r="H33" s="64">
        <f>IF($B33="","",IF(23&lt;=MAX('計算'!$CT$6:$CT$405),IFERROR(INDEX('計算'!$Q$6:$Q$405,MATCH(23,'計算'!$CT$6:$CT$405,0)),""),IFERROR(INDEX('計算'!$T$6:$T$405,MATCH(23-MAX('計算'!$CT$6:$CT$405),'計算'!$CU$6:$CU$405,0)),"")))</f>
        <v/>
      </c>
      <c r="I33" s="65">
        <f>IF($B33="","",IF(23&lt;=MAX('計算'!$CT$6:$CT$405),IFERROR(INDEX('計算'!$H$6:$H$405,MATCH(23,'計算'!$CT$6:$CT$405,0)),""),IFERROR(INDEX('計算'!$H$6:$H$405,MATCH(23-MAX('計算'!$CT$6:$CT$405),'計算'!$CU$6:$CU$405,0)),"")))</f>
        <v/>
      </c>
      <c r="J33" s="65">
        <f>IF($B33="","",N($H33)*IFERROR(INDEX('計算'!$G$6:$G$405,IF(23&lt;=MAX('計算'!$CT$6:$CT$405),MATCH(23,'計算'!$CT$6:$CT$405,0),MATCH(23-MAX('計算'!$CT$6:$CT$405),'計算'!$CU$6:$CU$405,0))),1)*N($I33))</f>
        <v/>
      </c>
    </row>
    <row r="34" ht="18" customHeight="1">
      <c r="B34" s="61">
        <f>IF(24&lt;=MAX('計算'!$CT$6:$CT$405)+MAX('計算'!$CU$6:$CU$405),24,"")</f>
        <v/>
      </c>
      <c r="C34" s="62">
        <f>IF($B34="","",IF(24&lt;=MAX('計算'!$CT$6:$CT$405),IFERROR(INDEX('計算'!$F$6:$F$405,MATCH(24,'計算'!$CT$6:$CT$405,0)),""),IFERROR(INDEX('計算'!$F$6:$F$405,MATCH(24-MAX('計算'!$CT$6:$CT$405),'計算'!$CU$6:$CU$405,0)),"")))</f>
        <v/>
      </c>
      <c r="D34" s="62">
        <f>IF($B34="","",IF(24&lt;=MAX('計算'!$CT$6:$CT$405),IFERROR(INDEX('計算'!$C$6:$C$405,MATCH(24,'計算'!$CT$6:$CT$405,0))&amp;"",""),IFERROR(INDEX('計算'!$C$6:$C$405,MATCH(24-MAX('計算'!$CT$6:$CT$405),'計算'!$CU$6:$CU$405,0))&amp;"","")))</f>
        <v/>
      </c>
      <c r="E34" s="62">
        <f>IF($B34="","",IF(24&lt;=MAX('計算'!$CT$6:$CT$405),IFERROR(INDEX('計算'!$D$6:$D$405,MATCH(24,'計算'!$CT$6:$CT$405,0)),""),IFERROR(INDEX('計算'!$D$6:$D$405,MATCH(24-MAX('計算'!$CT$6:$CT$405),'計算'!$CU$6:$CU$405,0)),"")))</f>
        <v/>
      </c>
      <c r="F34" s="63">
        <f>IF($B34="","",IF(24&lt;=MAX('計算'!$CT$6:$CT$405),IFERROR(INDEX('計算'!$P$6:$P$405,MATCH(24,'計算'!$CT$6:$CT$405,0)),""),IFERROR(INDEX('計算'!$S$6:$S$405,MATCH(24-MAX('計算'!$CT$6:$CT$405),'計算'!$CU$6:$CU$405,0)),"")))</f>
        <v/>
      </c>
      <c r="G34" s="62">
        <f>IF($B34="","",IF(24&lt;=MAX('計算'!$CT$6:$CT$405),IFERROR(INDEX('計算'!$CR$6:$CR$405,MATCH(24,'計算'!$CT$6:$CT$405,0)),""),IFERROR(INDEX('計算'!$CR$6:$CR$405,MATCH(24-MAX('計算'!$CT$6:$CT$405),'計算'!$CU$6:$CU$405,0)),"")))</f>
        <v/>
      </c>
      <c r="H34" s="64">
        <f>IF($B34="","",IF(24&lt;=MAX('計算'!$CT$6:$CT$405),IFERROR(INDEX('計算'!$Q$6:$Q$405,MATCH(24,'計算'!$CT$6:$CT$405,0)),""),IFERROR(INDEX('計算'!$T$6:$T$405,MATCH(24-MAX('計算'!$CT$6:$CT$405),'計算'!$CU$6:$CU$405,0)),"")))</f>
        <v/>
      </c>
      <c r="I34" s="65">
        <f>IF($B34="","",IF(24&lt;=MAX('計算'!$CT$6:$CT$405),IFERROR(INDEX('計算'!$H$6:$H$405,MATCH(24,'計算'!$CT$6:$CT$405,0)),""),IFERROR(INDEX('計算'!$H$6:$H$405,MATCH(24-MAX('計算'!$CT$6:$CT$405),'計算'!$CU$6:$CU$405,0)),"")))</f>
        <v/>
      </c>
      <c r="J34" s="65">
        <f>IF($B34="","",N($H34)*IFERROR(INDEX('計算'!$G$6:$G$405,IF(24&lt;=MAX('計算'!$CT$6:$CT$405),MATCH(24,'計算'!$CT$6:$CT$405,0),MATCH(24-MAX('計算'!$CT$6:$CT$405),'計算'!$CU$6:$CU$405,0))),1)*N($I34))</f>
        <v/>
      </c>
    </row>
    <row r="35" ht="18" customHeight="1">
      <c r="B35" s="61">
        <f>IF(25&lt;=MAX('計算'!$CT$6:$CT$405)+MAX('計算'!$CU$6:$CU$405),25,"")</f>
        <v/>
      </c>
      <c r="C35" s="62">
        <f>IF($B35="","",IF(25&lt;=MAX('計算'!$CT$6:$CT$405),IFERROR(INDEX('計算'!$F$6:$F$405,MATCH(25,'計算'!$CT$6:$CT$405,0)),""),IFERROR(INDEX('計算'!$F$6:$F$405,MATCH(25-MAX('計算'!$CT$6:$CT$405),'計算'!$CU$6:$CU$405,0)),"")))</f>
        <v/>
      </c>
      <c r="D35" s="62">
        <f>IF($B35="","",IF(25&lt;=MAX('計算'!$CT$6:$CT$405),IFERROR(INDEX('計算'!$C$6:$C$405,MATCH(25,'計算'!$CT$6:$CT$405,0))&amp;"",""),IFERROR(INDEX('計算'!$C$6:$C$405,MATCH(25-MAX('計算'!$CT$6:$CT$405),'計算'!$CU$6:$CU$405,0))&amp;"","")))</f>
        <v/>
      </c>
      <c r="E35" s="62">
        <f>IF($B35="","",IF(25&lt;=MAX('計算'!$CT$6:$CT$405),IFERROR(INDEX('計算'!$D$6:$D$405,MATCH(25,'計算'!$CT$6:$CT$405,0)),""),IFERROR(INDEX('計算'!$D$6:$D$405,MATCH(25-MAX('計算'!$CT$6:$CT$405),'計算'!$CU$6:$CU$405,0)),"")))</f>
        <v/>
      </c>
      <c r="F35" s="63">
        <f>IF($B35="","",IF(25&lt;=MAX('計算'!$CT$6:$CT$405),IFERROR(INDEX('計算'!$P$6:$P$405,MATCH(25,'計算'!$CT$6:$CT$405,0)),""),IFERROR(INDEX('計算'!$S$6:$S$405,MATCH(25-MAX('計算'!$CT$6:$CT$405),'計算'!$CU$6:$CU$405,0)),"")))</f>
        <v/>
      </c>
      <c r="G35" s="62">
        <f>IF($B35="","",IF(25&lt;=MAX('計算'!$CT$6:$CT$405),IFERROR(INDEX('計算'!$CR$6:$CR$405,MATCH(25,'計算'!$CT$6:$CT$405,0)),""),IFERROR(INDEX('計算'!$CR$6:$CR$405,MATCH(25-MAX('計算'!$CT$6:$CT$405),'計算'!$CU$6:$CU$405,0)),"")))</f>
        <v/>
      </c>
      <c r="H35" s="64">
        <f>IF($B35="","",IF(25&lt;=MAX('計算'!$CT$6:$CT$405),IFERROR(INDEX('計算'!$Q$6:$Q$405,MATCH(25,'計算'!$CT$6:$CT$405,0)),""),IFERROR(INDEX('計算'!$T$6:$T$405,MATCH(25-MAX('計算'!$CT$6:$CT$405),'計算'!$CU$6:$CU$405,0)),"")))</f>
        <v/>
      </c>
      <c r="I35" s="65">
        <f>IF($B35="","",IF(25&lt;=MAX('計算'!$CT$6:$CT$405),IFERROR(INDEX('計算'!$H$6:$H$405,MATCH(25,'計算'!$CT$6:$CT$405,0)),""),IFERROR(INDEX('計算'!$H$6:$H$405,MATCH(25-MAX('計算'!$CT$6:$CT$405),'計算'!$CU$6:$CU$405,0)),"")))</f>
        <v/>
      </c>
      <c r="J35" s="65">
        <f>IF($B35="","",N($H35)*IFERROR(INDEX('計算'!$G$6:$G$405,IF(25&lt;=MAX('計算'!$CT$6:$CT$405),MATCH(25,'計算'!$CT$6:$CT$405,0),MATCH(25-MAX('計算'!$CT$6:$CT$405),'計算'!$CU$6:$CU$405,0))),1)*N($I35))</f>
        <v/>
      </c>
    </row>
    <row r="36" ht="18" customHeight="1">
      <c r="B36" s="61">
        <f>IF(26&lt;=MAX('計算'!$CT$6:$CT$405)+MAX('計算'!$CU$6:$CU$405),26,"")</f>
        <v/>
      </c>
      <c r="C36" s="62">
        <f>IF($B36="","",IF(26&lt;=MAX('計算'!$CT$6:$CT$405),IFERROR(INDEX('計算'!$F$6:$F$405,MATCH(26,'計算'!$CT$6:$CT$405,0)),""),IFERROR(INDEX('計算'!$F$6:$F$405,MATCH(26-MAX('計算'!$CT$6:$CT$405),'計算'!$CU$6:$CU$405,0)),"")))</f>
        <v/>
      </c>
      <c r="D36" s="62">
        <f>IF($B36="","",IF(26&lt;=MAX('計算'!$CT$6:$CT$405),IFERROR(INDEX('計算'!$C$6:$C$405,MATCH(26,'計算'!$CT$6:$CT$405,0))&amp;"",""),IFERROR(INDEX('計算'!$C$6:$C$405,MATCH(26-MAX('計算'!$CT$6:$CT$405),'計算'!$CU$6:$CU$405,0))&amp;"","")))</f>
        <v/>
      </c>
      <c r="E36" s="62">
        <f>IF($B36="","",IF(26&lt;=MAX('計算'!$CT$6:$CT$405),IFERROR(INDEX('計算'!$D$6:$D$405,MATCH(26,'計算'!$CT$6:$CT$405,0)),""),IFERROR(INDEX('計算'!$D$6:$D$405,MATCH(26-MAX('計算'!$CT$6:$CT$405),'計算'!$CU$6:$CU$405,0)),"")))</f>
        <v/>
      </c>
      <c r="F36" s="63">
        <f>IF($B36="","",IF(26&lt;=MAX('計算'!$CT$6:$CT$405),IFERROR(INDEX('計算'!$P$6:$P$405,MATCH(26,'計算'!$CT$6:$CT$405,0)),""),IFERROR(INDEX('計算'!$S$6:$S$405,MATCH(26-MAX('計算'!$CT$6:$CT$405),'計算'!$CU$6:$CU$405,0)),"")))</f>
        <v/>
      </c>
      <c r="G36" s="62">
        <f>IF($B36="","",IF(26&lt;=MAX('計算'!$CT$6:$CT$405),IFERROR(INDEX('計算'!$CR$6:$CR$405,MATCH(26,'計算'!$CT$6:$CT$405,0)),""),IFERROR(INDEX('計算'!$CR$6:$CR$405,MATCH(26-MAX('計算'!$CT$6:$CT$405),'計算'!$CU$6:$CU$405,0)),"")))</f>
        <v/>
      </c>
      <c r="H36" s="64">
        <f>IF($B36="","",IF(26&lt;=MAX('計算'!$CT$6:$CT$405),IFERROR(INDEX('計算'!$Q$6:$Q$405,MATCH(26,'計算'!$CT$6:$CT$405,0)),""),IFERROR(INDEX('計算'!$T$6:$T$405,MATCH(26-MAX('計算'!$CT$6:$CT$405),'計算'!$CU$6:$CU$405,0)),"")))</f>
        <v/>
      </c>
      <c r="I36" s="65">
        <f>IF($B36="","",IF(26&lt;=MAX('計算'!$CT$6:$CT$405),IFERROR(INDEX('計算'!$H$6:$H$405,MATCH(26,'計算'!$CT$6:$CT$405,0)),""),IFERROR(INDEX('計算'!$H$6:$H$405,MATCH(26-MAX('計算'!$CT$6:$CT$405),'計算'!$CU$6:$CU$405,0)),"")))</f>
        <v/>
      </c>
      <c r="J36" s="65">
        <f>IF($B36="","",N($H36)*IFERROR(INDEX('計算'!$G$6:$G$405,IF(26&lt;=MAX('計算'!$CT$6:$CT$405),MATCH(26,'計算'!$CT$6:$CT$405,0),MATCH(26-MAX('計算'!$CT$6:$CT$405),'計算'!$CU$6:$CU$405,0))),1)*N($I36))</f>
        <v/>
      </c>
    </row>
    <row r="37" ht="18" customHeight="1">
      <c r="B37" s="61">
        <f>IF(27&lt;=MAX('計算'!$CT$6:$CT$405)+MAX('計算'!$CU$6:$CU$405),27,"")</f>
        <v/>
      </c>
      <c r="C37" s="62">
        <f>IF($B37="","",IF(27&lt;=MAX('計算'!$CT$6:$CT$405),IFERROR(INDEX('計算'!$F$6:$F$405,MATCH(27,'計算'!$CT$6:$CT$405,0)),""),IFERROR(INDEX('計算'!$F$6:$F$405,MATCH(27-MAX('計算'!$CT$6:$CT$405),'計算'!$CU$6:$CU$405,0)),"")))</f>
        <v/>
      </c>
      <c r="D37" s="62">
        <f>IF($B37="","",IF(27&lt;=MAX('計算'!$CT$6:$CT$405),IFERROR(INDEX('計算'!$C$6:$C$405,MATCH(27,'計算'!$CT$6:$CT$405,0))&amp;"",""),IFERROR(INDEX('計算'!$C$6:$C$405,MATCH(27-MAX('計算'!$CT$6:$CT$405),'計算'!$CU$6:$CU$405,0))&amp;"","")))</f>
        <v/>
      </c>
      <c r="E37" s="62">
        <f>IF($B37="","",IF(27&lt;=MAX('計算'!$CT$6:$CT$405),IFERROR(INDEX('計算'!$D$6:$D$405,MATCH(27,'計算'!$CT$6:$CT$405,0)),""),IFERROR(INDEX('計算'!$D$6:$D$405,MATCH(27-MAX('計算'!$CT$6:$CT$405),'計算'!$CU$6:$CU$405,0)),"")))</f>
        <v/>
      </c>
      <c r="F37" s="63">
        <f>IF($B37="","",IF(27&lt;=MAX('計算'!$CT$6:$CT$405),IFERROR(INDEX('計算'!$P$6:$P$405,MATCH(27,'計算'!$CT$6:$CT$405,0)),""),IFERROR(INDEX('計算'!$S$6:$S$405,MATCH(27-MAX('計算'!$CT$6:$CT$405),'計算'!$CU$6:$CU$405,0)),"")))</f>
        <v/>
      </c>
      <c r="G37" s="62">
        <f>IF($B37="","",IF(27&lt;=MAX('計算'!$CT$6:$CT$405),IFERROR(INDEX('計算'!$CR$6:$CR$405,MATCH(27,'計算'!$CT$6:$CT$405,0)),""),IFERROR(INDEX('計算'!$CR$6:$CR$405,MATCH(27-MAX('計算'!$CT$6:$CT$405),'計算'!$CU$6:$CU$405,0)),"")))</f>
        <v/>
      </c>
      <c r="H37" s="64">
        <f>IF($B37="","",IF(27&lt;=MAX('計算'!$CT$6:$CT$405),IFERROR(INDEX('計算'!$Q$6:$Q$405,MATCH(27,'計算'!$CT$6:$CT$405,0)),""),IFERROR(INDEX('計算'!$T$6:$T$405,MATCH(27-MAX('計算'!$CT$6:$CT$405),'計算'!$CU$6:$CU$405,0)),"")))</f>
        <v/>
      </c>
      <c r="I37" s="65">
        <f>IF($B37="","",IF(27&lt;=MAX('計算'!$CT$6:$CT$405),IFERROR(INDEX('計算'!$H$6:$H$405,MATCH(27,'計算'!$CT$6:$CT$405,0)),""),IFERROR(INDEX('計算'!$H$6:$H$405,MATCH(27-MAX('計算'!$CT$6:$CT$405),'計算'!$CU$6:$CU$405,0)),"")))</f>
        <v/>
      </c>
      <c r="J37" s="65">
        <f>IF($B37="","",N($H37)*IFERROR(INDEX('計算'!$G$6:$G$405,IF(27&lt;=MAX('計算'!$CT$6:$CT$405),MATCH(27,'計算'!$CT$6:$CT$405,0),MATCH(27-MAX('計算'!$CT$6:$CT$405),'計算'!$CU$6:$CU$405,0))),1)*N($I37))</f>
        <v/>
      </c>
    </row>
    <row r="38" ht="18" customHeight="1">
      <c r="B38" s="61">
        <f>IF(28&lt;=MAX('計算'!$CT$6:$CT$405)+MAX('計算'!$CU$6:$CU$405),28,"")</f>
        <v/>
      </c>
      <c r="C38" s="62">
        <f>IF($B38="","",IF(28&lt;=MAX('計算'!$CT$6:$CT$405),IFERROR(INDEX('計算'!$F$6:$F$405,MATCH(28,'計算'!$CT$6:$CT$405,0)),""),IFERROR(INDEX('計算'!$F$6:$F$405,MATCH(28-MAX('計算'!$CT$6:$CT$405),'計算'!$CU$6:$CU$405,0)),"")))</f>
        <v/>
      </c>
      <c r="D38" s="62">
        <f>IF($B38="","",IF(28&lt;=MAX('計算'!$CT$6:$CT$405),IFERROR(INDEX('計算'!$C$6:$C$405,MATCH(28,'計算'!$CT$6:$CT$405,0))&amp;"",""),IFERROR(INDEX('計算'!$C$6:$C$405,MATCH(28-MAX('計算'!$CT$6:$CT$405),'計算'!$CU$6:$CU$405,0))&amp;"","")))</f>
        <v/>
      </c>
      <c r="E38" s="62">
        <f>IF($B38="","",IF(28&lt;=MAX('計算'!$CT$6:$CT$405),IFERROR(INDEX('計算'!$D$6:$D$405,MATCH(28,'計算'!$CT$6:$CT$405,0)),""),IFERROR(INDEX('計算'!$D$6:$D$405,MATCH(28-MAX('計算'!$CT$6:$CT$405),'計算'!$CU$6:$CU$405,0)),"")))</f>
        <v/>
      </c>
      <c r="F38" s="63">
        <f>IF($B38="","",IF(28&lt;=MAX('計算'!$CT$6:$CT$405),IFERROR(INDEX('計算'!$P$6:$P$405,MATCH(28,'計算'!$CT$6:$CT$405,0)),""),IFERROR(INDEX('計算'!$S$6:$S$405,MATCH(28-MAX('計算'!$CT$6:$CT$405),'計算'!$CU$6:$CU$405,0)),"")))</f>
        <v/>
      </c>
      <c r="G38" s="62">
        <f>IF($B38="","",IF(28&lt;=MAX('計算'!$CT$6:$CT$405),IFERROR(INDEX('計算'!$CR$6:$CR$405,MATCH(28,'計算'!$CT$6:$CT$405,0)),""),IFERROR(INDEX('計算'!$CR$6:$CR$405,MATCH(28-MAX('計算'!$CT$6:$CT$405),'計算'!$CU$6:$CU$405,0)),"")))</f>
        <v/>
      </c>
      <c r="H38" s="64">
        <f>IF($B38="","",IF(28&lt;=MAX('計算'!$CT$6:$CT$405),IFERROR(INDEX('計算'!$Q$6:$Q$405,MATCH(28,'計算'!$CT$6:$CT$405,0)),""),IFERROR(INDEX('計算'!$T$6:$T$405,MATCH(28-MAX('計算'!$CT$6:$CT$405),'計算'!$CU$6:$CU$405,0)),"")))</f>
        <v/>
      </c>
      <c r="I38" s="65">
        <f>IF($B38="","",IF(28&lt;=MAX('計算'!$CT$6:$CT$405),IFERROR(INDEX('計算'!$H$6:$H$405,MATCH(28,'計算'!$CT$6:$CT$405,0)),""),IFERROR(INDEX('計算'!$H$6:$H$405,MATCH(28-MAX('計算'!$CT$6:$CT$405),'計算'!$CU$6:$CU$405,0)),"")))</f>
        <v/>
      </c>
      <c r="J38" s="65">
        <f>IF($B38="","",N($H38)*IFERROR(INDEX('計算'!$G$6:$G$405,IF(28&lt;=MAX('計算'!$CT$6:$CT$405),MATCH(28,'計算'!$CT$6:$CT$405,0),MATCH(28-MAX('計算'!$CT$6:$CT$405),'計算'!$CU$6:$CU$405,0))),1)*N($I38))</f>
        <v/>
      </c>
    </row>
    <row r="39" ht="18" customHeight="1">
      <c r="B39" s="61">
        <f>IF(29&lt;=MAX('計算'!$CT$6:$CT$405)+MAX('計算'!$CU$6:$CU$405),29,"")</f>
        <v/>
      </c>
      <c r="C39" s="62">
        <f>IF($B39="","",IF(29&lt;=MAX('計算'!$CT$6:$CT$405),IFERROR(INDEX('計算'!$F$6:$F$405,MATCH(29,'計算'!$CT$6:$CT$405,0)),""),IFERROR(INDEX('計算'!$F$6:$F$405,MATCH(29-MAX('計算'!$CT$6:$CT$405),'計算'!$CU$6:$CU$405,0)),"")))</f>
        <v/>
      </c>
      <c r="D39" s="62">
        <f>IF($B39="","",IF(29&lt;=MAX('計算'!$CT$6:$CT$405),IFERROR(INDEX('計算'!$C$6:$C$405,MATCH(29,'計算'!$CT$6:$CT$405,0))&amp;"",""),IFERROR(INDEX('計算'!$C$6:$C$405,MATCH(29-MAX('計算'!$CT$6:$CT$405),'計算'!$CU$6:$CU$405,0))&amp;"","")))</f>
        <v/>
      </c>
      <c r="E39" s="62">
        <f>IF($B39="","",IF(29&lt;=MAX('計算'!$CT$6:$CT$405),IFERROR(INDEX('計算'!$D$6:$D$405,MATCH(29,'計算'!$CT$6:$CT$405,0)),""),IFERROR(INDEX('計算'!$D$6:$D$405,MATCH(29-MAX('計算'!$CT$6:$CT$405),'計算'!$CU$6:$CU$405,0)),"")))</f>
        <v/>
      </c>
      <c r="F39" s="63">
        <f>IF($B39="","",IF(29&lt;=MAX('計算'!$CT$6:$CT$405),IFERROR(INDEX('計算'!$P$6:$P$405,MATCH(29,'計算'!$CT$6:$CT$405,0)),""),IFERROR(INDEX('計算'!$S$6:$S$405,MATCH(29-MAX('計算'!$CT$6:$CT$405),'計算'!$CU$6:$CU$405,0)),"")))</f>
        <v/>
      </c>
      <c r="G39" s="62">
        <f>IF($B39="","",IF(29&lt;=MAX('計算'!$CT$6:$CT$405),IFERROR(INDEX('計算'!$CR$6:$CR$405,MATCH(29,'計算'!$CT$6:$CT$405,0)),""),IFERROR(INDEX('計算'!$CR$6:$CR$405,MATCH(29-MAX('計算'!$CT$6:$CT$405),'計算'!$CU$6:$CU$405,0)),"")))</f>
        <v/>
      </c>
      <c r="H39" s="64">
        <f>IF($B39="","",IF(29&lt;=MAX('計算'!$CT$6:$CT$405),IFERROR(INDEX('計算'!$Q$6:$Q$405,MATCH(29,'計算'!$CT$6:$CT$405,0)),""),IFERROR(INDEX('計算'!$T$6:$T$405,MATCH(29-MAX('計算'!$CT$6:$CT$405),'計算'!$CU$6:$CU$405,0)),"")))</f>
        <v/>
      </c>
      <c r="I39" s="65">
        <f>IF($B39="","",IF(29&lt;=MAX('計算'!$CT$6:$CT$405),IFERROR(INDEX('計算'!$H$6:$H$405,MATCH(29,'計算'!$CT$6:$CT$405,0)),""),IFERROR(INDEX('計算'!$H$6:$H$405,MATCH(29-MAX('計算'!$CT$6:$CT$405),'計算'!$CU$6:$CU$405,0)),"")))</f>
        <v/>
      </c>
      <c r="J39" s="65">
        <f>IF($B39="","",N($H39)*IFERROR(INDEX('計算'!$G$6:$G$405,IF(29&lt;=MAX('計算'!$CT$6:$CT$405),MATCH(29,'計算'!$CT$6:$CT$405,0),MATCH(29-MAX('計算'!$CT$6:$CT$405),'計算'!$CU$6:$CU$405,0))),1)*N($I39))</f>
        <v/>
      </c>
    </row>
    <row r="40" ht="18" customHeight="1">
      <c r="B40" s="61">
        <f>IF(30&lt;=MAX('計算'!$CT$6:$CT$405)+MAX('計算'!$CU$6:$CU$405),30,"")</f>
        <v/>
      </c>
      <c r="C40" s="62">
        <f>IF($B40="","",IF(30&lt;=MAX('計算'!$CT$6:$CT$405),IFERROR(INDEX('計算'!$F$6:$F$405,MATCH(30,'計算'!$CT$6:$CT$405,0)),""),IFERROR(INDEX('計算'!$F$6:$F$405,MATCH(30-MAX('計算'!$CT$6:$CT$405),'計算'!$CU$6:$CU$405,0)),"")))</f>
        <v/>
      </c>
      <c r="D40" s="62">
        <f>IF($B40="","",IF(30&lt;=MAX('計算'!$CT$6:$CT$405),IFERROR(INDEX('計算'!$C$6:$C$405,MATCH(30,'計算'!$CT$6:$CT$405,0))&amp;"",""),IFERROR(INDEX('計算'!$C$6:$C$405,MATCH(30-MAX('計算'!$CT$6:$CT$405),'計算'!$CU$6:$CU$405,0))&amp;"","")))</f>
        <v/>
      </c>
      <c r="E40" s="62">
        <f>IF($B40="","",IF(30&lt;=MAX('計算'!$CT$6:$CT$405),IFERROR(INDEX('計算'!$D$6:$D$405,MATCH(30,'計算'!$CT$6:$CT$405,0)),""),IFERROR(INDEX('計算'!$D$6:$D$405,MATCH(30-MAX('計算'!$CT$6:$CT$405),'計算'!$CU$6:$CU$405,0)),"")))</f>
        <v/>
      </c>
      <c r="F40" s="63">
        <f>IF($B40="","",IF(30&lt;=MAX('計算'!$CT$6:$CT$405),IFERROR(INDEX('計算'!$P$6:$P$405,MATCH(30,'計算'!$CT$6:$CT$405,0)),""),IFERROR(INDEX('計算'!$S$6:$S$405,MATCH(30-MAX('計算'!$CT$6:$CT$405),'計算'!$CU$6:$CU$405,0)),"")))</f>
        <v/>
      </c>
      <c r="G40" s="62">
        <f>IF($B40="","",IF(30&lt;=MAX('計算'!$CT$6:$CT$405),IFERROR(INDEX('計算'!$CR$6:$CR$405,MATCH(30,'計算'!$CT$6:$CT$405,0)),""),IFERROR(INDEX('計算'!$CR$6:$CR$405,MATCH(30-MAX('計算'!$CT$6:$CT$405),'計算'!$CU$6:$CU$405,0)),"")))</f>
        <v/>
      </c>
      <c r="H40" s="64">
        <f>IF($B40="","",IF(30&lt;=MAX('計算'!$CT$6:$CT$405),IFERROR(INDEX('計算'!$Q$6:$Q$405,MATCH(30,'計算'!$CT$6:$CT$405,0)),""),IFERROR(INDEX('計算'!$T$6:$T$405,MATCH(30-MAX('計算'!$CT$6:$CT$405),'計算'!$CU$6:$CU$405,0)),"")))</f>
        <v/>
      </c>
      <c r="I40" s="65">
        <f>IF($B40="","",IF(30&lt;=MAX('計算'!$CT$6:$CT$405),IFERROR(INDEX('計算'!$H$6:$H$405,MATCH(30,'計算'!$CT$6:$CT$405,0)),""),IFERROR(INDEX('計算'!$H$6:$H$405,MATCH(30-MAX('計算'!$CT$6:$CT$405),'計算'!$CU$6:$CU$405,0)),"")))</f>
        <v/>
      </c>
      <c r="J40" s="65">
        <f>IF($B40="","",N($H40)*IFERROR(INDEX('計算'!$G$6:$G$405,IF(30&lt;=MAX('計算'!$CT$6:$CT$405),MATCH(30,'計算'!$CT$6:$CT$405,0),MATCH(30-MAX('計算'!$CT$6:$CT$405),'計算'!$CU$6:$CU$405,0))),1)*N($I40))</f>
        <v/>
      </c>
    </row>
    <row r="41" ht="18" customHeight="1">
      <c r="B41" s="61">
        <f>IF(31&lt;=MAX('計算'!$CT$6:$CT$405)+MAX('計算'!$CU$6:$CU$405),31,"")</f>
        <v/>
      </c>
      <c r="C41" s="62">
        <f>IF($B41="","",IF(31&lt;=MAX('計算'!$CT$6:$CT$405),IFERROR(INDEX('計算'!$F$6:$F$405,MATCH(31,'計算'!$CT$6:$CT$405,0)),""),IFERROR(INDEX('計算'!$F$6:$F$405,MATCH(31-MAX('計算'!$CT$6:$CT$405),'計算'!$CU$6:$CU$405,0)),"")))</f>
        <v/>
      </c>
      <c r="D41" s="62">
        <f>IF($B41="","",IF(31&lt;=MAX('計算'!$CT$6:$CT$405),IFERROR(INDEX('計算'!$C$6:$C$405,MATCH(31,'計算'!$CT$6:$CT$405,0))&amp;"",""),IFERROR(INDEX('計算'!$C$6:$C$405,MATCH(31-MAX('計算'!$CT$6:$CT$405),'計算'!$CU$6:$CU$405,0))&amp;"","")))</f>
        <v/>
      </c>
      <c r="E41" s="62">
        <f>IF($B41="","",IF(31&lt;=MAX('計算'!$CT$6:$CT$405),IFERROR(INDEX('計算'!$D$6:$D$405,MATCH(31,'計算'!$CT$6:$CT$405,0)),""),IFERROR(INDEX('計算'!$D$6:$D$405,MATCH(31-MAX('計算'!$CT$6:$CT$405),'計算'!$CU$6:$CU$405,0)),"")))</f>
        <v/>
      </c>
      <c r="F41" s="63">
        <f>IF($B41="","",IF(31&lt;=MAX('計算'!$CT$6:$CT$405),IFERROR(INDEX('計算'!$P$6:$P$405,MATCH(31,'計算'!$CT$6:$CT$405,0)),""),IFERROR(INDEX('計算'!$S$6:$S$405,MATCH(31-MAX('計算'!$CT$6:$CT$405),'計算'!$CU$6:$CU$405,0)),"")))</f>
        <v/>
      </c>
      <c r="G41" s="62">
        <f>IF($B41="","",IF(31&lt;=MAX('計算'!$CT$6:$CT$405),IFERROR(INDEX('計算'!$CR$6:$CR$405,MATCH(31,'計算'!$CT$6:$CT$405,0)),""),IFERROR(INDEX('計算'!$CR$6:$CR$405,MATCH(31-MAX('計算'!$CT$6:$CT$405),'計算'!$CU$6:$CU$405,0)),"")))</f>
        <v/>
      </c>
      <c r="H41" s="64">
        <f>IF($B41="","",IF(31&lt;=MAX('計算'!$CT$6:$CT$405),IFERROR(INDEX('計算'!$Q$6:$Q$405,MATCH(31,'計算'!$CT$6:$CT$405,0)),""),IFERROR(INDEX('計算'!$T$6:$T$405,MATCH(31-MAX('計算'!$CT$6:$CT$405),'計算'!$CU$6:$CU$405,0)),"")))</f>
        <v/>
      </c>
      <c r="I41" s="65">
        <f>IF($B41="","",IF(31&lt;=MAX('計算'!$CT$6:$CT$405),IFERROR(INDEX('計算'!$H$6:$H$405,MATCH(31,'計算'!$CT$6:$CT$405,0)),""),IFERROR(INDEX('計算'!$H$6:$H$405,MATCH(31-MAX('計算'!$CT$6:$CT$405),'計算'!$CU$6:$CU$405,0)),"")))</f>
        <v/>
      </c>
      <c r="J41" s="65">
        <f>IF($B41="","",N($H41)*IFERROR(INDEX('計算'!$G$6:$G$405,IF(31&lt;=MAX('計算'!$CT$6:$CT$405),MATCH(31,'計算'!$CT$6:$CT$405,0),MATCH(31-MAX('計算'!$CT$6:$CT$405),'計算'!$CU$6:$CU$405,0))),1)*N($I41))</f>
        <v/>
      </c>
    </row>
    <row r="42" ht="18" customHeight="1">
      <c r="B42" s="61">
        <f>IF(32&lt;=MAX('計算'!$CT$6:$CT$405)+MAX('計算'!$CU$6:$CU$405),32,"")</f>
        <v/>
      </c>
      <c r="C42" s="62">
        <f>IF($B42="","",IF(32&lt;=MAX('計算'!$CT$6:$CT$405),IFERROR(INDEX('計算'!$F$6:$F$405,MATCH(32,'計算'!$CT$6:$CT$405,0)),""),IFERROR(INDEX('計算'!$F$6:$F$405,MATCH(32-MAX('計算'!$CT$6:$CT$405),'計算'!$CU$6:$CU$405,0)),"")))</f>
        <v/>
      </c>
      <c r="D42" s="62">
        <f>IF($B42="","",IF(32&lt;=MAX('計算'!$CT$6:$CT$405),IFERROR(INDEX('計算'!$C$6:$C$405,MATCH(32,'計算'!$CT$6:$CT$405,0))&amp;"",""),IFERROR(INDEX('計算'!$C$6:$C$405,MATCH(32-MAX('計算'!$CT$6:$CT$405),'計算'!$CU$6:$CU$405,0))&amp;"","")))</f>
        <v/>
      </c>
      <c r="E42" s="62">
        <f>IF($B42="","",IF(32&lt;=MAX('計算'!$CT$6:$CT$405),IFERROR(INDEX('計算'!$D$6:$D$405,MATCH(32,'計算'!$CT$6:$CT$405,0)),""),IFERROR(INDEX('計算'!$D$6:$D$405,MATCH(32-MAX('計算'!$CT$6:$CT$405),'計算'!$CU$6:$CU$405,0)),"")))</f>
        <v/>
      </c>
      <c r="F42" s="63">
        <f>IF($B42="","",IF(32&lt;=MAX('計算'!$CT$6:$CT$405),IFERROR(INDEX('計算'!$P$6:$P$405,MATCH(32,'計算'!$CT$6:$CT$405,0)),""),IFERROR(INDEX('計算'!$S$6:$S$405,MATCH(32-MAX('計算'!$CT$6:$CT$405),'計算'!$CU$6:$CU$405,0)),"")))</f>
        <v/>
      </c>
      <c r="G42" s="62">
        <f>IF($B42="","",IF(32&lt;=MAX('計算'!$CT$6:$CT$405),IFERROR(INDEX('計算'!$CR$6:$CR$405,MATCH(32,'計算'!$CT$6:$CT$405,0)),""),IFERROR(INDEX('計算'!$CR$6:$CR$405,MATCH(32-MAX('計算'!$CT$6:$CT$405),'計算'!$CU$6:$CU$405,0)),"")))</f>
        <v/>
      </c>
      <c r="H42" s="64">
        <f>IF($B42="","",IF(32&lt;=MAX('計算'!$CT$6:$CT$405),IFERROR(INDEX('計算'!$Q$6:$Q$405,MATCH(32,'計算'!$CT$6:$CT$405,0)),""),IFERROR(INDEX('計算'!$T$6:$T$405,MATCH(32-MAX('計算'!$CT$6:$CT$405),'計算'!$CU$6:$CU$405,0)),"")))</f>
        <v/>
      </c>
      <c r="I42" s="65">
        <f>IF($B42="","",IF(32&lt;=MAX('計算'!$CT$6:$CT$405),IFERROR(INDEX('計算'!$H$6:$H$405,MATCH(32,'計算'!$CT$6:$CT$405,0)),""),IFERROR(INDEX('計算'!$H$6:$H$405,MATCH(32-MAX('計算'!$CT$6:$CT$405),'計算'!$CU$6:$CU$405,0)),"")))</f>
        <v/>
      </c>
      <c r="J42" s="65">
        <f>IF($B42="","",N($H42)*IFERROR(INDEX('計算'!$G$6:$G$405,IF(32&lt;=MAX('計算'!$CT$6:$CT$405),MATCH(32,'計算'!$CT$6:$CT$405,0),MATCH(32-MAX('計算'!$CT$6:$CT$405),'計算'!$CU$6:$CU$405,0))),1)*N($I42))</f>
        <v/>
      </c>
    </row>
    <row r="43" ht="18" customHeight="1">
      <c r="B43" s="61">
        <f>IF(33&lt;=MAX('計算'!$CT$6:$CT$405)+MAX('計算'!$CU$6:$CU$405),33,"")</f>
        <v/>
      </c>
      <c r="C43" s="62">
        <f>IF($B43="","",IF(33&lt;=MAX('計算'!$CT$6:$CT$405),IFERROR(INDEX('計算'!$F$6:$F$405,MATCH(33,'計算'!$CT$6:$CT$405,0)),""),IFERROR(INDEX('計算'!$F$6:$F$405,MATCH(33-MAX('計算'!$CT$6:$CT$405),'計算'!$CU$6:$CU$405,0)),"")))</f>
        <v/>
      </c>
      <c r="D43" s="62">
        <f>IF($B43="","",IF(33&lt;=MAX('計算'!$CT$6:$CT$405),IFERROR(INDEX('計算'!$C$6:$C$405,MATCH(33,'計算'!$CT$6:$CT$405,0))&amp;"",""),IFERROR(INDEX('計算'!$C$6:$C$405,MATCH(33-MAX('計算'!$CT$6:$CT$405),'計算'!$CU$6:$CU$405,0))&amp;"","")))</f>
        <v/>
      </c>
      <c r="E43" s="62">
        <f>IF($B43="","",IF(33&lt;=MAX('計算'!$CT$6:$CT$405),IFERROR(INDEX('計算'!$D$6:$D$405,MATCH(33,'計算'!$CT$6:$CT$405,0)),""),IFERROR(INDEX('計算'!$D$6:$D$405,MATCH(33-MAX('計算'!$CT$6:$CT$405),'計算'!$CU$6:$CU$405,0)),"")))</f>
        <v/>
      </c>
      <c r="F43" s="63">
        <f>IF($B43="","",IF(33&lt;=MAX('計算'!$CT$6:$CT$405),IFERROR(INDEX('計算'!$P$6:$P$405,MATCH(33,'計算'!$CT$6:$CT$405,0)),""),IFERROR(INDEX('計算'!$S$6:$S$405,MATCH(33-MAX('計算'!$CT$6:$CT$405),'計算'!$CU$6:$CU$405,0)),"")))</f>
        <v/>
      </c>
      <c r="G43" s="62">
        <f>IF($B43="","",IF(33&lt;=MAX('計算'!$CT$6:$CT$405),IFERROR(INDEX('計算'!$CR$6:$CR$405,MATCH(33,'計算'!$CT$6:$CT$405,0)),""),IFERROR(INDEX('計算'!$CR$6:$CR$405,MATCH(33-MAX('計算'!$CT$6:$CT$405),'計算'!$CU$6:$CU$405,0)),"")))</f>
        <v/>
      </c>
      <c r="H43" s="64">
        <f>IF($B43="","",IF(33&lt;=MAX('計算'!$CT$6:$CT$405),IFERROR(INDEX('計算'!$Q$6:$Q$405,MATCH(33,'計算'!$CT$6:$CT$405,0)),""),IFERROR(INDEX('計算'!$T$6:$T$405,MATCH(33-MAX('計算'!$CT$6:$CT$405),'計算'!$CU$6:$CU$405,0)),"")))</f>
        <v/>
      </c>
      <c r="I43" s="65">
        <f>IF($B43="","",IF(33&lt;=MAX('計算'!$CT$6:$CT$405),IFERROR(INDEX('計算'!$H$6:$H$405,MATCH(33,'計算'!$CT$6:$CT$405,0)),""),IFERROR(INDEX('計算'!$H$6:$H$405,MATCH(33-MAX('計算'!$CT$6:$CT$405),'計算'!$CU$6:$CU$405,0)),"")))</f>
        <v/>
      </c>
      <c r="J43" s="65">
        <f>IF($B43="","",N($H43)*IFERROR(INDEX('計算'!$G$6:$G$405,IF(33&lt;=MAX('計算'!$CT$6:$CT$405),MATCH(33,'計算'!$CT$6:$CT$405,0),MATCH(33-MAX('計算'!$CT$6:$CT$405),'計算'!$CU$6:$CU$405,0))),1)*N($I43))</f>
        <v/>
      </c>
    </row>
    <row r="44" ht="18" customHeight="1">
      <c r="B44" s="61">
        <f>IF(34&lt;=MAX('計算'!$CT$6:$CT$405)+MAX('計算'!$CU$6:$CU$405),34,"")</f>
        <v/>
      </c>
      <c r="C44" s="62">
        <f>IF($B44="","",IF(34&lt;=MAX('計算'!$CT$6:$CT$405),IFERROR(INDEX('計算'!$F$6:$F$405,MATCH(34,'計算'!$CT$6:$CT$405,0)),""),IFERROR(INDEX('計算'!$F$6:$F$405,MATCH(34-MAX('計算'!$CT$6:$CT$405),'計算'!$CU$6:$CU$405,0)),"")))</f>
        <v/>
      </c>
      <c r="D44" s="62">
        <f>IF($B44="","",IF(34&lt;=MAX('計算'!$CT$6:$CT$405),IFERROR(INDEX('計算'!$C$6:$C$405,MATCH(34,'計算'!$CT$6:$CT$405,0))&amp;"",""),IFERROR(INDEX('計算'!$C$6:$C$405,MATCH(34-MAX('計算'!$CT$6:$CT$405),'計算'!$CU$6:$CU$405,0))&amp;"","")))</f>
        <v/>
      </c>
      <c r="E44" s="62">
        <f>IF($B44="","",IF(34&lt;=MAX('計算'!$CT$6:$CT$405),IFERROR(INDEX('計算'!$D$6:$D$405,MATCH(34,'計算'!$CT$6:$CT$405,0)),""),IFERROR(INDEX('計算'!$D$6:$D$405,MATCH(34-MAX('計算'!$CT$6:$CT$405),'計算'!$CU$6:$CU$405,0)),"")))</f>
        <v/>
      </c>
      <c r="F44" s="63">
        <f>IF($B44="","",IF(34&lt;=MAX('計算'!$CT$6:$CT$405),IFERROR(INDEX('計算'!$P$6:$P$405,MATCH(34,'計算'!$CT$6:$CT$405,0)),""),IFERROR(INDEX('計算'!$S$6:$S$405,MATCH(34-MAX('計算'!$CT$6:$CT$405),'計算'!$CU$6:$CU$405,0)),"")))</f>
        <v/>
      </c>
      <c r="G44" s="62">
        <f>IF($B44="","",IF(34&lt;=MAX('計算'!$CT$6:$CT$405),IFERROR(INDEX('計算'!$CR$6:$CR$405,MATCH(34,'計算'!$CT$6:$CT$405,0)),""),IFERROR(INDEX('計算'!$CR$6:$CR$405,MATCH(34-MAX('計算'!$CT$6:$CT$405),'計算'!$CU$6:$CU$405,0)),"")))</f>
        <v/>
      </c>
      <c r="H44" s="64">
        <f>IF($B44="","",IF(34&lt;=MAX('計算'!$CT$6:$CT$405),IFERROR(INDEX('計算'!$Q$6:$Q$405,MATCH(34,'計算'!$CT$6:$CT$405,0)),""),IFERROR(INDEX('計算'!$T$6:$T$405,MATCH(34-MAX('計算'!$CT$6:$CT$405),'計算'!$CU$6:$CU$405,0)),"")))</f>
        <v/>
      </c>
      <c r="I44" s="65">
        <f>IF($B44="","",IF(34&lt;=MAX('計算'!$CT$6:$CT$405),IFERROR(INDEX('計算'!$H$6:$H$405,MATCH(34,'計算'!$CT$6:$CT$405,0)),""),IFERROR(INDEX('計算'!$H$6:$H$405,MATCH(34-MAX('計算'!$CT$6:$CT$405),'計算'!$CU$6:$CU$405,0)),"")))</f>
        <v/>
      </c>
      <c r="J44" s="65">
        <f>IF($B44="","",N($H44)*IFERROR(INDEX('計算'!$G$6:$G$405,IF(34&lt;=MAX('計算'!$CT$6:$CT$405),MATCH(34,'計算'!$CT$6:$CT$405,0),MATCH(34-MAX('計算'!$CT$6:$CT$405),'計算'!$CU$6:$CU$405,0))),1)*N($I44))</f>
        <v/>
      </c>
    </row>
    <row r="45" ht="18" customHeight="1">
      <c r="B45" s="61">
        <f>IF(35&lt;=MAX('計算'!$CT$6:$CT$405)+MAX('計算'!$CU$6:$CU$405),35,"")</f>
        <v/>
      </c>
      <c r="C45" s="62">
        <f>IF($B45="","",IF(35&lt;=MAX('計算'!$CT$6:$CT$405),IFERROR(INDEX('計算'!$F$6:$F$405,MATCH(35,'計算'!$CT$6:$CT$405,0)),""),IFERROR(INDEX('計算'!$F$6:$F$405,MATCH(35-MAX('計算'!$CT$6:$CT$405),'計算'!$CU$6:$CU$405,0)),"")))</f>
        <v/>
      </c>
      <c r="D45" s="62">
        <f>IF($B45="","",IF(35&lt;=MAX('計算'!$CT$6:$CT$405),IFERROR(INDEX('計算'!$C$6:$C$405,MATCH(35,'計算'!$CT$6:$CT$405,0))&amp;"",""),IFERROR(INDEX('計算'!$C$6:$C$405,MATCH(35-MAX('計算'!$CT$6:$CT$405),'計算'!$CU$6:$CU$405,0))&amp;"","")))</f>
        <v/>
      </c>
      <c r="E45" s="62">
        <f>IF($B45="","",IF(35&lt;=MAX('計算'!$CT$6:$CT$405),IFERROR(INDEX('計算'!$D$6:$D$405,MATCH(35,'計算'!$CT$6:$CT$405,0)),""),IFERROR(INDEX('計算'!$D$6:$D$405,MATCH(35-MAX('計算'!$CT$6:$CT$405),'計算'!$CU$6:$CU$405,0)),"")))</f>
        <v/>
      </c>
      <c r="F45" s="63">
        <f>IF($B45="","",IF(35&lt;=MAX('計算'!$CT$6:$CT$405),IFERROR(INDEX('計算'!$P$6:$P$405,MATCH(35,'計算'!$CT$6:$CT$405,0)),""),IFERROR(INDEX('計算'!$S$6:$S$405,MATCH(35-MAX('計算'!$CT$6:$CT$405),'計算'!$CU$6:$CU$405,0)),"")))</f>
        <v/>
      </c>
      <c r="G45" s="62">
        <f>IF($B45="","",IF(35&lt;=MAX('計算'!$CT$6:$CT$405),IFERROR(INDEX('計算'!$CR$6:$CR$405,MATCH(35,'計算'!$CT$6:$CT$405,0)),""),IFERROR(INDEX('計算'!$CR$6:$CR$405,MATCH(35-MAX('計算'!$CT$6:$CT$405),'計算'!$CU$6:$CU$405,0)),"")))</f>
        <v/>
      </c>
      <c r="H45" s="64">
        <f>IF($B45="","",IF(35&lt;=MAX('計算'!$CT$6:$CT$405),IFERROR(INDEX('計算'!$Q$6:$Q$405,MATCH(35,'計算'!$CT$6:$CT$405,0)),""),IFERROR(INDEX('計算'!$T$6:$T$405,MATCH(35-MAX('計算'!$CT$6:$CT$405),'計算'!$CU$6:$CU$405,0)),"")))</f>
        <v/>
      </c>
      <c r="I45" s="65">
        <f>IF($B45="","",IF(35&lt;=MAX('計算'!$CT$6:$CT$405),IFERROR(INDEX('計算'!$H$6:$H$405,MATCH(35,'計算'!$CT$6:$CT$405,0)),""),IFERROR(INDEX('計算'!$H$6:$H$405,MATCH(35-MAX('計算'!$CT$6:$CT$405),'計算'!$CU$6:$CU$405,0)),"")))</f>
        <v/>
      </c>
      <c r="J45" s="65">
        <f>IF($B45="","",N($H45)*IFERROR(INDEX('計算'!$G$6:$G$405,IF(35&lt;=MAX('計算'!$CT$6:$CT$405),MATCH(35,'計算'!$CT$6:$CT$405,0),MATCH(35-MAX('計算'!$CT$6:$CT$405),'計算'!$CU$6:$CU$405,0))),1)*N($I45))</f>
        <v/>
      </c>
    </row>
    <row r="46" ht="18" customHeight="1">
      <c r="B46" s="61">
        <f>IF(36&lt;=MAX('計算'!$CT$6:$CT$405)+MAX('計算'!$CU$6:$CU$405),36,"")</f>
        <v/>
      </c>
      <c r="C46" s="62">
        <f>IF($B46="","",IF(36&lt;=MAX('計算'!$CT$6:$CT$405),IFERROR(INDEX('計算'!$F$6:$F$405,MATCH(36,'計算'!$CT$6:$CT$405,0)),""),IFERROR(INDEX('計算'!$F$6:$F$405,MATCH(36-MAX('計算'!$CT$6:$CT$405),'計算'!$CU$6:$CU$405,0)),"")))</f>
        <v/>
      </c>
      <c r="D46" s="62">
        <f>IF($B46="","",IF(36&lt;=MAX('計算'!$CT$6:$CT$405),IFERROR(INDEX('計算'!$C$6:$C$405,MATCH(36,'計算'!$CT$6:$CT$405,0))&amp;"",""),IFERROR(INDEX('計算'!$C$6:$C$405,MATCH(36-MAX('計算'!$CT$6:$CT$405),'計算'!$CU$6:$CU$405,0))&amp;"","")))</f>
        <v/>
      </c>
      <c r="E46" s="62">
        <f>IF($B46="","",IF(36&lt;=MAX('計算'!$CT$6:$CT$405),IFERROR(INDEX('計算'!$D$6:$D$405,MATCH(36,'計算'!$CT$6:$CT$405,0)),""),IFERROR(INDEX('計算'!$D$6:$D$405,MATCH(36-MAX('計算'!$CT$6:$CT$405),'計算'!$CU$6:$CU$405,0)),"")))</f>
        <v/>
      </c>
      <c r="F46" s="63">
        <f>IF($B46="","",IF(36&lt;=MAX('計算'!$CT$6:$CT$405),IFERROR(INDEX('計算'!$P$6:$P$405,MATCH(36,'計算'!$CT$6:$CT$405,0)),""),IFERROR(INDEX('計算'!$S$6:$S$405,MATCH(36-MAX('計算'!$CT$6:$CT$405),'計算'!$CU$6:$CU$405,0)),"")))</f>
        <v/>
      </c>
      <c r="G46" s="62">
        <f>IF($B46="","",IF(36&lt;=MAX('計算'!$CT$6:$CT$405),IFERROR(INDEX('計算'!$CR$6:$CR$405,MATCH(36,'計算'!$CT$6:$CT$405,0)),""),IFERROR(INDEX('計算'!$CR$6:$CR$405,MATCH(36-MAX('計算'!$CT$6:$CT$405),'計算'!$CU$6:$CU$405,0)),"")))</f>
        <v/>
      </c>
      <c r="H46" s="64">
        <f>IF($B46="","",IF(36&lt;=MAX('計算'!$CT$6:$CT$405),IFERROR(INDEX('計算'!$Q$6:$Q$405,MATCH(36,'計算'!$CT$6:$CT$405,0)),""),IFERROR(INDEX('計算'!$T$6:$T$405,MATCH(36-MAX('計算'!$CT$6:$CT$405),'計算'!$CU$6:$CU$405,0)),"")))</f>
        <v/>
      </c>
      <c r="I46" s="65">
        <f>IF($B46="","",IF(36&lt;=MAX('計算'!$CT$6:$CT$405),IFERROR(INDEX('計算'!$H$6:$H$405,MATCH(36,'計算'!$CT$6:$CT$405,0)),""),IFERROR(INDEX('計算'!$H$6:$H$405,MATCH(36-MAX('計算'!$CT$6:$CT$405),'計算'!$CU$6:$CU$405,0)),"")))</f>
        <v/>
      </c>
      <c r="J46" s="65">
        <f>IF($B46="","",N($H46)*IFERROR(INDEX('計算'!$G$6:$G$405,IF(36&lt;=MAX('計算'!$CT$6:$CT$405),MATCH(36,'計算'!$CT$6:$CT$405,0),MATCH(36-MAX('計算'!$CT$6:$CT$405),'計算'!$CU$6:$CU$405,0))),1)*N($I46))</f>
        <v/>
      </c>
    </row>
    <row r="47" ht="18" customHeight="1">
      <c r="B47" s="61">
        <f>IF(37&lt;=MAX('計算'!$CT$6:$CT$405)+MAX('計算'!$CU$6:$CU$405),37,"")</f>
        <v/>
      </c>
      <c r="C47" s="62">
        <f>IF($B47="","",IF(37&lt;=MAX('計算'!$CT$6:$CT$405),IFERROR(INDEX('計算'!$F$6:$F$405,MATCH(37,'計算'!$CT$6:$CT$405,0)),""),IFERROR(INDEX('計算'!$F$6:$F$405,MATCH(37-MAX('計算'!$CT$6:$CT$405),'計算'!$CU$6:$CU$405,0)),"")))</f>
        <v/>
      </c>
      <c r="D47" s="62">
        <f>IF($B47="","",IF(37&lt;=MAX('計算'!$CT$6:$CT$405),IFERROR(INDEX('計算'!$C$6:$C$405,MATCH(37,'計算'!$CT$6:$CT$405,0))&amp;"",""),IFERROR(INDEX('計算'!$C$6:$C$405,MATCH(37-MAX('計算'!$CT$6:$CT$405),'計算'!$CU$6:$CU$405,0))&amp;"","")))</f>
        <v/>
      </c>
      <c r="E47" s="62">
        <f>IF($B47="","",IF(37&lt;=MAX('計算'!$CT$6:$CT$405),IFERROR(INDEX('計算'!$D$6:$D$405,MATCH(37,'計算'!$CT$6:$CT$405,0)),""),IFERROR(INDEX('計算'!$D$6:$D$405,MATCH(37-MAX('計算'!$CT$6:$CT$405),'計算'!$CU$6:$CU$405,0)),"")))</f>
        <v/>
      </c>
      <c r="F47" s="63">
        <f>IF($B47="","",IF(37&lt;=MAX('計算'!$CT$6:$CT$405),IFERROR(INDEX('計算'!$P$6:$P$405,MATCH(37,'計算'!$CT$6:$CT$405,0)),""),IFERROR(INDEX('計算'!$S$6:$S$405,MATCH(37-MAX('計算'!$CT$6:$CT$405),'計算'!$CU$6:$CU$405,0)),"")))</f>
        <v/>
      </c>
      <c r="G47" s="62">
        <f>IF($B47="","",IF(37&lt;=MAX('計算'!$CT$6:$CT$405),IFERROR(INDEX('計算'!$CR$6:$CR$405,MATCH(37,'計算'!$CT$6:$CT$405,0)),""),IFERROR(INDEX('計算'!$CR$6:$CR$405,MATCH(37-MAX('計算'!$CT$6:$CT$405),'計算'!$CU$6:$CU$405,0)),"")))</f>
        <v/>
      </c>
      <c r="H47" s="64">
        <f>IF($B47="","",IF(37&lt;=MAX('計算'!$CT$6:$CT$405),IFERROR(INDEX('計算'!$Q$6:$Q$405,MATCH(37,'計算'!$CT$6:$CT$405,0)),""),IFERROR(INDEX('計算'!$T$6:$T$405,MATCH(37-MAX('計算'!$CT$6:$CT$405),'計算'!$CU$6:$CU$405,0)),"")))</f>
        <v/>
      </c>
      <c r="I47" s="65">
        <f>IF($B47="","",IF(37&lt;=MAX('計算'!$CT$6:$CT$405),IFERROR(INDEX('計算'!$H$6:$H$405,MATCH(37,'計算'!$CT$6:$CT$405,0)),""),IFERROR(INDEX('計算'!$H$6:$H$405,MATCH(37-MAX('計算'!$CT$6:$CT$405),'計算'!$CU$6:$CU$405,0)),"")))</f>
        <v/>
      </c>
      <c r="J47" s="65">
        <f>IF($B47="","",N($H47)*IFERROR(INDEX('計算'!$G$6:$G$405,IF(37&lt;=MAX('計算'!$CT$6:$CT$405),MATCH(37,'計算'!$CT$6:$CT$405,0),MATCH(37-MAX('計算'!$CT$6:$CT$405),'計算'!$CU$6:$CU$405,0))),1)*N($I47))</f>
        <v/>
      </c>
    </row>
    <row r="48" ht="18" customHeight="1">
      <c r="B48" s="61">
        <f>IF(38&lt;=MAX('計算'!$CT$6:$CT$405)+MAX('計算'!$CU$6:$CU$405),38,"")</f>
        <v/>
      </c>
      <c r="C48" s="62">
        <f>IF($B48="","",IF(38&lt;=MAX('計算'!$CT$6:$CT$405),IFERROR(INDEX('計算'!$F$6:$F$405,MATCH(38,'計算'!$CT$6:$CT$405,0)),""),IFERROR(INDEX('計算'!$F$6:$F$405,MATCH(38-MAX('計算'!$CT$6:$CT$405),'計算'!$CU$6:$CU$405,0)),"")))</f>
        <v/>
      </c>
      <c r="D48" s="62">
        <f>IF($B48="","",IF(38&lt;=MAX('計算'!$CT$6:$CT$405),IFERROR(INDEX('計算'!$C$6:$C$405,MATCH(38,'計算'!$CT$6:$CT$405,0))&amp;"",""),IFERROR(INDEX('計算'!$C$6:$C$405,MATCH(38-MAX('計算'!$CT$6:$CT$405),'計算'!$CU$6:$CU$405,0))&amp;"","")))</f>
        <v/>
      </c>
      <c r="E48" s="62">
        <f>IF($B48="","",IF(38&lt;=MAX('計算'!$CT$6:$CT$405),IFERROR(INDEX('計算'!$D$6:$D$405,MATCH(38,'計算'!$CT$6:$CT$405,0)),""),IFERROR(INDEX('計算'!$D$6:$D$405,MATCH(38-MAX('計算'!$CT$6:$CT$405),'計算'!$CU$6:$CU$405,0)),"")))</f>
        <v/>
      </c>
      <c r="F48" s="63">
        <f>IF($B48="","",IF(38&lt;=MAX('計算'!$CT$6:$CT$405),IFERROR(INDEX('計算'!$P$6:$P$405,MATCH(38,'計算'!$CT$6:$CT$405,0)),""),IFERROR(INDEX('計算'!$S$6:$S$405,MATCH(38-MAX('計算'!$CT$6:$CT$405),'計算'!$CU$6:$CU$405,0)),"")))</f>
        <v/>
      </c>
      <c r="G48" s="62">
        <f>IF($B48="","",IF(38&lt;=MAX('計算'!$CT$6:$CT$405),IFERROR(INDEX('計算'!$CR$6:$CR$405,MATCH(38,'計算'!$CT$6:$CT$405,0)),""),IFERROR(INDEX('計算'!$CR$6:$CR$405,MATCH(38-MAX('計算'!$CT$6:$CT$405),'計算'!$CU$6:$CU$405,0)),"")))</f>
        <v/>
      </c>
      <c r="H48" s="64">
        <f>IF($B48="","",IF(38&lt;=MAX('計算'!$CT$6:$CT$405),IFERROR(INDEX('計算'!$Q$6:$Q$405,MATCH(38,'計算'!$CT$6:$CT$405,0)),""),IFERROR(INDEX('計算'!$T$6:$T$405,MATCH(38-MAX('計算'!$CT$6:$CT$405),'計算'!$CU$6:$CU$405,0)),"")))</f>
        <v/>
      </c>
      <c r="I48" s="65">
        <f>IF($B48="","",IF(38&lt;=MAX('計算'!$CT$6:$CT$405),IFERROR(INDEX('計算'!$H$6:$H$405,MATCH(38,'計算'!$CT$6:$CT$405,0)),""),IFERROR(INDEX('計算'!$H$6:$H$405,MATCH(38-MAX('計算'!$CT$6:$CT$405),'計算'!$CU$6:$CU$405,0)),"")))</f>
        <v/>
      </c>
      <c r="J48" s="65">
        <f>IF($B48="","",N($H48)*IFERROR(INDEX('計算'!$G$6:$G$405,IF(38&lt;=MAX('計算'!$CT$6:$CT$405),MATCH(38,'計算'!$CT$6:$CT$405,0),MATCH(38-MAX('計算'!$CT$6:$CT$405),'計算'!$CU$6:$CU$405,0))),1)*N($I48))</f>
        <v/>
      </c>
    </row>
    <row r="49" ht="18" customHeight="1">
      <c r="B49" s="61">
        <f>IF(39&lt;=MAX('計算'!$CT$6:$CT$405)+MAX('計算'!$CU$6:$CU$405),39,"")</f>
        <v/>
      </c>
      <c r="C49" s="62">
        <f>IF($B49="","",IF(39&lt;=MAX('計算'!$CT$6:$CT$405),IFERROR(INDEX('計算'!$F$6:$F$405,MATCH(39,'計算'!$CT$6:$CT$405,0)),""),IFERROR(INDEX('計算'!$F$6:$F$405,MATCH(39-MAX('計算'!$CT$6:$CT$405),'計算'!$CU$6:$CU$405,0)),"")))</f>
        <v/>
      </c>
      <c r="D49" s="62">
        <f>IF($B49="","",IF(39&lt;=MAX('計算'!$CT$6:$CT$405),IFERROR(INDEX('計算'!$C$6:$C$405,MATCH(39,'計算'!$CT$6:$CT$405,0))&amp;"",""),IFERROR(INDEX('計算'!$C$6:$C$405,MATCH(39-MAX('計算'!$CT$6:$CT$405),'計算'!$CU$6:$CU$405,0))&amp;"","")))</f>
        <v/>
      </c>
      <c r="E49" s="62">
        <f>IF($B49="","",IF(39&lt;=MAX('計算'!$CT$6:$CT$405),IFERROR(INDEX('計算'!$D$6:$D$405,MATCH(39,'計算'!$CT$6:$CT$405,0)),""),IFERROR(INDEX('計算'!$D$6:$D$405,MATCH(39-MAX('計算'!$CT$6:$CT$405),'計算'!$CU$6:$CU$405,0)),"")))</f>
        <v/>
      </c>
      <c r="F49" s="63">
        <f>IF($B49="","",IF(39&lt;=MAX('計算'!$CT$6:$CT$405),IFERROR(INDEX('計算'!$P$6:$P$405,MATCH(39,'計算'!$CT$6:$CT$405,0)),""),IFERROR(INDEX('計算'!$S$6:$S$405,MATCH(39-MAX('計算'!$CT$6:$CT$405),'計算'!$CU$6:$CU$405,0)),"")))</f>
        <v/>
      </c>
      <c r="G49" s="62">
        <f>IF($B49="","",IF(39&lt;=MAX('計算'!$CT$6:$CT$405),IFERROR(INDEX('計算'!$CR$6:$CR$405,MATCH(39,'計算'!$CT$6:$CT$405,0)),""),IFERROR(INDEX('計算'!$CR$6:$CR$405,MATCH(39-MAX('計算'!$CT$6:$CT$405),'計算'!$CU$6:$CU$405,0)),"")))</f>
        <v/>
      </c>
      <c r="H49" s="64">
        <f>IF($B49="","",IF(39&lt;=MAX('計算'!$CT$6:$CT$405),IFERROR(INDEX('計算'!$Q$6:$Q$405,MATCH(39,'計算'!$CT$6:$CT$405,0)),""),IFERROR(INDEX('計算'!$T$6:$T$405,MATCH(39-MAX('計算'!$CT$6:$CT$405),'計算'!$CU$6:$CU$405,0)),"")))</f>
        <v/>
      </c>
      <c r="I49" s="65">
        <f>IF($B49="","",IF(39&lt;=MAX('計算'!$CT$6:$CT$405),IFERROR(INDEX('計算'!$H$6:$H$405,MATCH(39,'計算'!$CT$6:$CT$405,0)),""),IFERROR(INDEX('計算'!$H$6:$H$405,MATCH(39-MAX('計算'!$CT$6:$CT$405),'計算'!$CU$6:$CU$405,0)),"")))</f>
        <v/>
      </c>
      <c r="J49" s="65">
        <f>IF($B49="","",N($H49)*IFERROR(INDEX('計算'!$G$6:$G$405,IF(39&lt;=MAX('計算'!$CT$6:$CT$405),MATCH(39,'計算'!$CT$6:$CT$405,0),MATCH(39-MAX('計算'!$CT$6:$CT$405),'計算'!$CU$6:$CU$405,0))),1)*N($I49))</f>
        <v/>
      </c>
    </row>
    <row r="50" ht="18" customHeight="1">
      <c r="B50" s="61">
        <f>IF(40&lt;=MAX('計算'!$CT$6:$CT$405)+MAX('計算'!$CU$6:$CU$405),40,"")</f>
        <v/>
      </c>
      <c r="C50" s="62">
        <f>IF($B50="","",IF(40&lt;=MAX('計算'!$CT$6:$CT$405),IFERROR(INDEX('計算'!$F$6:$F$405,MATCH(40,'計算'!$CT$6:$CT$405,0)),""),IFERROR(INDEX('計算'!$F$6:$F$405,MATCH(40-MAX('計算'!$CT$6:$CT$405),'計算'!$CU$6:$CU$405,0)),"")))</f>
        <v/>
      </c>
      <c r="D50" s="62">
        <f>IF($B50="","",IF(40&lt;=MAX('計算'!$CT$6:$CT$405),IFERROR(INDEX('計算'!$C$6:$C$405,MATCH(40,'計算'!$CT$6:$CT$405,0))&amp;"",""),IFERROR(INDEX('計算'!$C$6:$C$405,MATCH(40-MAX('計算'!$CT$6:$CT$405),'計算'!$CU$6:$CU$405,0))&amp;"","")))</f>
        <v/>
      </c>
      <c r="E50" s="62">
        <f>IF($B50="","",IF(40&lt;=MAX('計算'!$CT$6:$CT$405),IFERROR(INDEX('計算'!$D$6:$D$405,MATCH(40,'計算'!$CT$6:$CT$405,0)),""),IFERROR(INDEX('計算'!$D$6:$D$405,MATCH(40-MAX('計算'!$CT$6:$CT$405),'計算'!$CU$6:$CU$405,0)),"")))</f>
        <v/>
      </c>
      <c r="F50" s="63">
        <f>IF($B50="","",IF(40&lt;=MAX('計算'!$CT$6:$CT$405),IFERROR(INDEX('計算'!$P$6:$P$405,MATCH(40,'計算'!$CT$6:$CT$405,0)),""),IFERROR(INDEX('計算'!$S$6:$S$405,MATCH(40-MAX('計算'!$CT$6:$CT$405),'計算'!$CU$6:$CU$405,0)),"")))</f>
        <v/>
      </c>
      <c r="G50" s="62">
        <f>IF($B50="","",IF(40&lt;=MAX('計算'!$CT$6:$CT$405),IFERROR(INDEX('計算'!$CR$6:$CR$405,MATCH(40,'計算'!$CT$6:$CT$405,0)),""),IFERROR(INDEX('計算'!$CR$6:$CR$405,MATCH(40-MAX('計算'!$CT$6:$CT$405),'計算'!$CU$6:$CU$405,0)),"")))</f>
        <v/>
      </c>
      <c r="H50" s="64">
        <f>IF($B50="","",IF(40&lt;=MAX('計算'!$CT$6:$CT$405),IFERROR(INDEX('計算'!$Q$6:$Q$405,MATCH(40,'計算'!$CT$6:$CT$405,0)),""),IFERROR(INDEX('計算'!$T$6:$T$405,MATCH(40-MAX('計算'!$CT$6:$CT$405),'計算'!$CU$6:$CU$405,0)),"")))</f>
        <v/>
      </c>
      <c r="I50" s="65">
        <f>IF($B50="","",IF(40&lt;=MAX('計算'!$CT$6:$CT$405),IFERROR(INDEX('計算'!$H$6:$H$405,MATCH(40,'計算'!$CT$6:$CT$405,0)),""),IFERROR(INDEX('計算'!$H$6:$H$405,MATCH(40-MAX('計算'!$CT$6:$CT$405),'計算'!$CU$6:$CU$405,0)),"")))</f>
        <v/>
      </c>
      <c r="J50" s="65">
        <f>IF($B50="","",N($H50)*IFERROR(INDEX('計算'!$G$6:$G$405,IF(40&lt;=MAX('計算'!$CT$6:$CT$405),MATCH(40,'計算'!$CT$6:$CT$405,0),MATCH(40-MAX('計算'!$CT$6:$CT$405),'計算'!$CU$6:$CU$405,0))),1)*N($I50))</f>
        <v/>
      </c>
    </row>
    <row r="51" ht="18" customHeight="1">
      <c r="B51" s="61">
        <f>IF(41&lt;=MAX('計算'!$CT$6:$CT$405)+MAX('計算'!$CU$6:$CU$405),41,"")</f>
        <v/>
      </c>
      <c r="C51" s="62">
        <f>IF($B51="","",IF(41&lt;=MAX('計算'!$CT$6:$CT$405),IFERROR(INDEX('計算'!$F$6:$F$405,MATCH(41,'計算'!$CT$6:$CT$405,0)),""),IFERROR(INDEX('計算'!$F$6:$F$405,MATCH(41-MAX('計算'!$CT$6:$CT$405),'計算'!$CU$6:$CU$405,0)),"")))</f>
        <v/>
      </c>
      <c r="D51" s="62">
        <f>IF($B51="","",IF(41&lt;=MAX('計算'!$CT$6:$CT$405),IFERROR(INDEX('計算'!$C$6:$C$405,MATCH(41,'計算'!$CT$6:$CT$405,0))&amp;"",""),IFERROR(INDEX('計算'!$C$6:$C$405,MATCH(41-MAX('計算'!$CT$6:$CT$405),'計算'!$CU$6:$CU$405,0))&amp;"","")))</f>
        <v/>
      </c>
      <c r="E51" s="62">
        <f>IF($B51="","",IF(41&lt;=MAX('計算'!$CT$6:$CT$405),IFERROR(INDEX('計算'!$D$6:$D$405,MATCH(41,'計算'!$CT$6:$CT$405,0)),""),IFERROR(INDEX('計算'!$D$6:$D$405,MATCH(41-MAX('計算'!$CT$6:$CT$405),'計算'!$CU$6:$CU$405,0)),"")))</f>
        <v/>
      </c>
      <c r="F51" s="63">
        <f>IF($B51="","",IF(41&lt;=MAX('計算'!$CT$6:$CT$405),IFERROR(INDEX('計算'!$P$6:$P$405,MATCH(41,'計算'!$CT$6:$CT$405,0)),""),IFERROR(INDEX('計算'!$S$6:$S$405,MATCH(41-MAX('計算'!$CT$6:$CT$405),'計算'!$CU$6:$CU$405,0)),"")))</f>
        <v/>
      </c>
      <c r="G51" s="62">
        <f>IF($B51="","",IF(41&lt;=MAX('計算'!$CT$6:$CT$405),IFERROR(INDEX('計算'!$CR$6:$CR$405,MATCH(41,'計算'!$CT$6:$CT$405,0)),""),IFERROR(INDEX('計算'!$CR$6:$CR$405,MATCH(41-MAX('計算'!$CT$6:$CT$405),'計算'!$CU$6:$CU$405,0)),"")))</f>
        <v/>
      </c>
      <c r="H51" s="64">
        <f>IF($B51="","",IF(41&lt;=MAX('計算'!$CT$6:$CT$405),IFERROR(INDEX('計算'!$Q$6:$Q$405,MATCH(41,'計算'!$CT$6:$CT$405,0)),""),IFERROR(INDEX('計算'!$T$6:$T$405,MATCH(41-MAX('計算'!$CT$6:$CT$405),'計算'!$CU$6:$CU$405,0)),"")))</f>
        <v/>
      </c>
      <c r="I51" s="65">
        <f>IF($B51="","",IF(41&lt;=MAX('計算'!$CT$6:$CT$405),IFERROR(INDEX('計算'!$H$6:$H$405,MATCH(41,'計算'!$CT$6:$CT$405,0)),""),IFERROR(INDEX('計算'!$H$6:$H$405,MATCH(41-MAX('計算'!$CT$6:$CT$405),'計算'!$CU$6:$CU$405,0)),"")))</f>
        <v/>
      </c>
      <c r="J51" s="65">
        <f>IF($B51="","",N($H51)*IFERROR(INDEX('計算'!$G$6:$G$405,IF(41&lt;=MAX('計算'!$CT$6:$CT$405),MATCH(41,'計算'!$CT$6:$CT$405,0),MATCH(41-MAX('計算'!$CT$6:$CT$405),'計算'!$CU$6:$CU$405,0))),1)*N($I51))</f>
        <v/>
      </c>
    </row>
    <row r="52" ht="18" customHeight="1">
      <c r="B52" s="61">
        <f>IF(42&lt;=MAX('計算'!$CT$6:$CT$405)+MAX('計算'!$CU$6:$CU$405),42,"")</f>
        <v/>
      </c>
      <c r="C52" s="62">
        <f>IF($B52="","",IF(42&lt;=MAX('計算'!$CT$6:$CT$405),IFERROR(INDEX('計算'!$F$6:$F$405,MATCH(42,'計算'!$CT$6:$CT$405,0)),""),IFERROR(INDEX('計算'!$F$6:$F$405,MATCH(42-MAX('計算'!$CT$6:$CT$405),'計算'!$CU$6:$CU$405,0)),"")))</f>
        <v/>
      </c>
      <c r="D52" s="62">
        <f>IF($B52="","",IF(42&lt;=MAX('計算'!$CT$6:$CT$405),IFERROR(INDEX('計算'!$C$6:$C$405,MATCH(42,'計算'!$CT$6:$CT$405,0))&amp;"",""),IFERROR(INDEX('計算'!$C$6:$C$405,MATCH(42-MAX('計算'!$CT$6:$CT$405),'計算'!$CU$6:$CU$405,0))&amp;"","")))</f>
        <v/>
      </c>
      <c r="E52" s="62">
        <f>IF($B52="","",IF(42&lt;=MAX('計算'!$CT$6:$CT$405),IFERROR(INDEX('計算'!$D$6:$D$405,MATCH(42,'計算'!$CT$6:$CT$405,0)),""),IFERROR(INDEX('計算'!$D$6:$D$405,MATCH(42-MAX('計算'!$CT$6:$CT$405),'計算'!$CU$6:$CU$405,0)),"")))</f>
        <v/>
      </c>
      <c r="F52" s="63">
        <f>IF($B52="","",IF(42&lt;=MAX('計算'!$CT$6:$CT$405),IFERROR(INDEX('計算'!$P$6:$P$405,MATCH(42,'計算'!$CT$6:$CT$405,0)),""),IFERROR(INDEX('計算'!$S$6:$S$405,MATCH(42-MAX('計算'!$CT$6:$CT$405),'計算'!$CU$6:$CU$405,0)),"")))</f>
        <v/>
      </c>
      <c r="G52" s="62">
        <f>IF($B52="","",IF(42&lt;=MAX('計算'!$CT$6:$CT$405),IFERROR(INDEX('計算'!$CR$6:$CR$405,MATCH(42,'計算'!$CT$6:$CT$405,0)),""),IFERROR(INDEX('計算'!$CR$6:$CR$405,MATCH(42-MAX('計算'!$CT$6:$CT$405),'計算'!$CU$6:$CU$405,0)),"")))</f>
        <v/>
      </c>
      <c r="H52" s="64">
        <f>IF($B52="","",IF(42&lt;=MAX('計算'!$CT$6:$CT$405),IFERROR(INDEX('計算'!$Q$6:$Q$405,MATCH(42,'計算'!$CT$6:$CT$405,0)),""),IFERROR(INDEX('計算'!$T$6:$T$405,MATCH(42-MAX('計算'!$CT$6:$CT$405),'計算'!$CU$6:$CU$405,0)),"")))</f>
        <v/>
      </c>
      <c r="I52" s="65">
        <f>IF($B52="","",IF(42&lt;=MAX('計算'!$CT$6:$CT$405),IFERROR(INDEX('計算'!$H$6:$H$405,MATCH(42,'計算'!$CT$6:$CT$405,0)),""),IFERROR(INDEX('計算'!$H$6:$H$405,MATCH(42-MAX('計算'!$CT$6:$CT$405),'計算'!$CU$6:$CU$405,0)),"")))</f>
        <v/>
      </c>
      <c r="J52" s="65">
        <f>IF($B52="","",N($H52)*IFERROR(INDEX('計算'!$G$6:$G$405,IF(42&lt;=MAX('計算'!$CT$6:$CT$405),MATCH(42,'計算'!$CT$6:$CT$405,0),MATCH(42-MAX('計算'!$CT$6:$CT$405),'計算'!$CU$6:$CU$405,0))),1)*N($I52))</f>
        <v/>
      </c>
    </row>
    <row r="53" ht="18" customHeight="1">
      <c r="B53" s="61">
        <f>IF(43&lt;=MAX('計算'!$CT$6:$CT$405)+MAX('計算'!$CU$6:$CU$405),43,"")</f>
        <v/>
      </c>
      <c r="C53" s="62">
        <f>IF($B53="","",IF(43&lt;=MAX('計算'!$CT$6:$CT$405),IFERROR(INDEX('計算'!$F$6:$F$405,MATCH(43,'計算'!$CT$6:$CT$405,0)),""),IFERROR(INDEX('計算'!$F$6:$F$405,MATCH(43-MAX('計算'!$CT$6:$CT$405),'計算'!$CU$6:$CU$405,0)),"")))</f>
        <v/>
      </c>
      <c r="D53" s="62">
        <f>IF($B53="","",IF(43&lt;=MAX('計算'!$CT$6:$CT$405),IFERROR(INDEX('計算'!$C$6:$C$405,MATCH(43,'計算'!$CT$6:$CT$405,0))&amp;"",""),IFERROR(INDEX('計算'!$C$6:$C$405,MATCH(43-MAX('計算'!$CT$6:$CT$405),'計算'!$CU$6:$CU$405,0))&amp;"","")))</f>
        <v/>
      </c>
      <c r="E53" s="62">
        <f>IF($B53="","",IF(43&lt;=MAX('計算'!$CT$6:$CT$405),IFERROR(INDEX('計算'!$D$6:$D$405,MATCH(43,'計算'!$CT$6:$CT$405,0)),""),IFERROR(INDEX('計算'!$D$6:$D$405,MATCH(43-MAX('計算'!$CT$6:$CT$405),'計算'!$CU$6:$CU$405,0)),"")))</f>
        <v/>
      </c>
      <c r="F53" s="63">
        <f>IF($B53="","",IF(43&lt;=MAX('計算'!$CT$6:$CT$405),IFERROR(INDEX('計算'!$P$6:$P$405,MATCH(43,'計算'!$CT$6:$CT$405,0)),""),IFERROR(INDEX('計算'!$S$6:$S$405,MATCH(43-MAX('計算'!$CT$6:$CT$405),'計算'!$CU$6:$CU$405,0)),"")))</f>
        <v/>
      </c>
      <c r="G53" s="62">
        <f>IF($B53="","",IF(43&lt;=MAX('計算'!$CT$6:$CT$405),IFERROR(INDEX('計算'!$CR$6:$CR$405,MATCH(43,'計算'!$CT$6:$CT$405,0)),""),IFERROR(INDEX('計算'!$CR$6:$CR$405,MATCH(43-MAX('計算'!$CT$6:$CT$405),'計算'!$CU$6:$CU$405,0)),"")))</f>
        <v/>
      </c>
      <c r="H53" s="64">
        <f>IF($B53="","",IF(43&lt;=MAX('計算'!$CT$6:$CT$405),IFERROR(INDEX('計算'!$Q$6:$Q$405,MATCH(43,'計算'!$CT$6:$CT$405,0)),""),IFERROR(INDEX('計算'!$T$6:$T$405,MATCH(43-MAX('計算'!$CT$6:$CT$405),'計算'!$CU$6:$CU$405,0)),"")))</f>
        <v/>
      </c>
      <c r="I53" s="65">
        <f>IF($B53="","",IF(43&lt;=MAX('計算'!$CT$6:$CT$405),IFERROR(INDEX('計算'!$H$6:$H$405,MATCH(43,'計算'!$CT$6:$CT$405,0)),""),IFERROR(INDEX('計算'!$H$6:$H$405,MATCH(43-MAX('計算'!$CT$6:$CT$405),'計算'!$CU$6:$CU$405,0)),"")))</f>
        <v/>
      </c>
      <c r="J53" s="65">
        <f>IF($B53="","",N($H53)*IFERROR(INDEX('計算'!$G$6:$G$405,IF(43&lt;=MAX('計算'!$CT$6:$CT$405),MATCH(43,'計算'!$CT$6:$CT$405,0),MATCH(43-MAX('計算'!$CT$6:$CT$405),'計算'!$CU$6:$CU$405,0))),1)*N($I53))</f>
        <v/>
      </c>
    </row>
    <row r="54" ht="18" customHeight="1">
      <c r="B54" s="61">
        <f>IF(44&lt;=MAX('計算'!$CT$6:$CT$405)+MAX('計算'!$CU$6:$CU$405),44,"")</f>
        <v/>
      </c>
      <c r="C54" s="62">
        <f>IF($B54="","",IF(44&lt;=MAX('計算'!$CT$6:$CT$405),IFERROR(INDEX('計算'!$F$6:$F$405,MATCH(44,'計算'!$CT$6:$CT$405,0)),""),IFERROR(INDEX('計算'!$F$6:$F$405,MATCH(44-MAX('計算'!$CT$6:$CT$405),'計算'!$CU$6:$CU$405,0)),"")))</f>
        <v/>
      </c>
      <c r="D54" s="62">
        <f>IF($B54="","",IF(44&lt;=MAX('計算'!$CT$6:$CT$405),IFERROR(INDEX('計算'!$C$6:$C$405,MATCH(44,'計算'!$CT$6:$CT$405,0))&amp;"",""),IFERROR(INDEX('計算'!$C$6:$C$405,MATCH(44-MAX('計算'!$CT$6:$CT$405),'計算'!$CU$6:$CU$405,0))&amp;"","")))</f>
        <v/>
      </c>
      <c r="E54" s="62">
        <f>IF($B54="","",IF(44&lt;=MAX('計算'!$CT$6:$CT$405),IFERROR(INDEX('計算'!$D$6:$D$405,MATCH(44,'計算'!$CT$6:$CT$405,0)),""),IFERROR(INDEX('計算'!$D$6:$D$405,MATCH(44-MAX('計算'!$CT$6:$CT$405),'計算'!$CU$6:$CU$405,0)),"")))</f>
        <v/>
      </c>
      <c r="F54" s="63">
        <f>IF($B54="","",IF(44&lt;=MAX('計算'!$CT$6:$CT$405),IFERROR(INDEX('計算'!$P$6:$P$405,MATCH(44,'計算'!$CT$6:$CT$405,0)),""),IFERROR(INDEX('計算'!$S$6:$S$405,MATCH(44-MAX('計算'!$CT$6:$CT$405),'計算'!$CU$6:$CU$405,0)),"")))</f>
        <v/>
      </c>
      <c r="G54" s="62">
        <f>IF($B54="","",IF(44&lt;=MAX('計算'!$CT$6:$CT$405),IFERROR(INDEX('計算'!$CR$6:$CR$405,MATCH(44,'計算'!$CT$6:$CT$405,0)),""),IFERROR(INDEX('計算'!$CR$6:$CR$405,MATCH(44-MAX('計算'!$CT$6:$CT$405),'計算'!$CU$6:$CU$405,0)),"")))</f>
        <v/>
      </c>
      <c r="H54" s="64">
        <f>IF($B54="","",IF(44&lt;=MAX('計算'!$CT$6:$CT$405),IFERROR(INDEX('計算'!$Q$6:$Q$405,MATCH(44,'計算'!$CT$6:$CT$405,0)),""),IFERROR(INDEX('計算'!$T$6:$T$405,MATCH(44-MAX('計算'!$CT$6:$CT$405),'計算'!$CU$6:$CU$405,0)),"")))</f>
        <v/>
      </c>
      <c r="I54" s="65">
        <f>IF($B54="","",IF(44&lt;=MAX('計算'!$CT$6:$CT$405),IFERROR(INDEX('計算'!$H$6:$H$405,MATCH(44,'計算'!$CT$6:$CT$405,0)),""),IFERROR(INDEX('計算'!$H$6:$H$405,MATCH(44-MAX('計算'!$CT$6:$CT$405),'計算'!$CU$6:$CU$405,0)),"")))</f>
        <v/>
      </c>
      <c r="J54" s="65">
        <f>IF($B54="","",N($H54)*IFERROR(INDEX('計算'!$G$6:$G$405,IF(44&lt;=MAX('計算'!$CT$6:$CT$405),MATCH(44,'計算'!$CT$6:$CT$405,0),MATCH(44-MAX('計算'!$CT$6:$CT$405),'計算'!$CU$6:$CU$405,0))),1)*N($I54))</f>
        <v/>
      </c>
    </row>
    <row r="55" ht="18" customHeight="1">
      <c r="B55" s="61">
        <f>IF(45&lt;=MAX('計算'!$CT$6:$CT$405)+MAX('計算'!$CU$6:$CU$405),45,"")</f>
        <v/>
      </c>
      <c r="C55" s="62">
        <f>IF($B55="","",IF(45&lt;=MAX('計算'!$CT$6:$CT$405),IFERROR(INDEX('計算'!$F$6:$F$405,MATCH(45,'計算'!$CT$6:$CT$405,0)),""),IFERROR(INDEX('計算'!$F$6:$F$405,MATCH(45-MAX('計算'!$CT$6:$CT$405),'計算'!$CU$6:$CU$405,0)),"")))</f>
        <v/>
      </c>
      <c r="D55" s="62">
        <f>IF($B55="","",IF(45&lt;=MAX('計算'!$CT$6:$CT$405),IFERROR(INDEX('計算'!$C$6:$C$405,MATCH(45,'計算'!$CT$6:$CT$405,0))&amp;"",""),IFERROR(INDEX('計算'!$C$6:$C$405,MATCH(45-MAX('計算'!$CT$6:$CT$405),'計算'!$CU$6:$CU$405,0))&amp;"","")))</f>
        <v/>
      </c>
      <c r="E55" s="62">
        <f>IF($B55="","",IF(45&lt;=MAX('計算'!$CT$6:$CT$405),IFERROR(INDEX('計算'!$D$6:$D$405,MATCH(45,'計算'!$CT$6:$CT$405,0)),""),IFERROR(INDEX('計算'!$D$6:$D$405,MATCH(45-MAX('計算'!$CT$6:$CT$405),'計算'!$CU$6:$CU$405,0)),"")))</f>
        <v/>
      </c>
      <c r="F55" s="63">
        <f>IF($B55="","",IF(45&lt;=MAX('計算'!$CT$6:$CT$405),IFERROR(INDEX('計算'!$P$6:$P$405,MATCH(45,'計算'!$CT$6:$CT$405,0)),""),IFERROR(INDEX('計算'!$S$6:$S$405,MATCH(45-MAX('計算'!$CT$6:$CT$405),'計算'!$CU$6:$CU$405,0)),"")))</f>
        <v/>
      </c>
      <c r="G55" s="62">
        <f>IF($B55="","",IF(45&lt;=MAX('計算'!$CT$6:$CT$405),IFERROR(INDEX('計算'!$CR$6:$CR$405,MATCH(45,'計算'!$CT$6:$CT$405,0)),""),IFERROR(INDEX('計算'!$CR$6:$CR$405,MATCH(45-MAX('計算'!$CT$6:$CT$405),'計算'!$CU$6:$CU$405,0)),"")))</f>
        <v/>
      </c>
      <c r="H55" s="64">
        <f>IF($B55="","",IF(45&lt;=MAX('計算'!$CT$6:$CT$405),IFERROR(INDEX('計算'!$Q$6:$Q$405,MATCH(45,'計算'!$CT$6:$CT$405,0)),""),IFERROR(INDEX('計算'!$T$6:$T$405,MATCH(45-MAX('計算'!$CT$6:$CT$405),'計算'!$CU$6:$CU$405,0)),"")))</f>
        <v/>
      </c>
      <c r="I55" s="65">
        <f>IF($B55="","",IF(45&lt;=MAX('計算'!$CT$6:$CT$405),IFERROR(INDEX('計算'!$H$6:$H$405,MATCH(45,'計算'!$CT$6:$CT$405,0)),""),IFERROR(INDEX('計算'!$H$6:$H$405,MATCH(45-MAX('計算'!$CT$6:$CT$405),'計算'!$CU$6:$CU$405,0)),"")))</f>
        <v/>
      </c>
      <c r="J55" s="65">
        <f>IF($B55="","",N($H55)*IFERROR(INDEX('計算'!$G$6:$G$405,IF(45&lt;=MAX('計算'!$CT$6:$CT$405),MATCH(45,'計算'!$CT$6:$CT$405,0),MATCH(45-MAX('計算'!$CT$6:$CT$405),'計算'!$CU$6:$CU$405,0))),1)*N($I55))</f>
        <v/>
      </c>
    </row>
    <row r="56" ht="18" customHeight="1">
      <c r="B56" s="61">
        <f>IF(46&lt;=MAX('計算'!$CT$6:$CT$405)+MAX('計算'!$CU$6:$CU$405),46,"")</f>
        <v/>
      </c>
      <c r="C56" s="62">
        <f>IF($B56="","",IF(46&lt;=MAX('計算'!$CT$6:$CT$405),IFERROR(INDEX('計算'!$F$6:$F$405,MATCH(46,'計算'!$CT$6:$CT$405,0)),""),IFERROR(INDEX('計算'!$F$6:$F$405,MATCH(46-MAX('計算'!$CT$6:$CT$405),'計算'!$CU$6:$CU$405,0)),"")))</f>
        <v/>
      </c>
      <c r="D56" s="62">
        <f>IF($B56="","",IF(46&lt;=MAX('計算'!$CT$6:$CT$405),IFERROR(INDEX('計算'!$C$6:$C$405,MATCH(46,'計算'!$CT$6:$CT$405,0))&amp;"",""),IFERROR(INDEX('計算'!$C$6:$C$405,MATCH(46-MAX('計算'!$CT$6:$CT$405),'計算'!$CU$6:$CU$405,0))&amp;"","")))</f>
        <v/>
      </c>
      <c r="E56" s="62">
        <f>IF($B56="","",IF(46&lt;=MAX('計算'!$CT$6:$CT$405),IFERROR(INDEX('計算'!$D$6:$D$405,MATCH(46,'計算'!$CT$6:$CT$405,0)),""),IFERROR(INDEX('計算'!$D$6:$D$405,MATCH(46-MAX('計算'!$CT$6:$CT$405),'計算'!$CU$6:$CU$405,0)),"")))</f>
        <v/>
      </c>
      <c r="F56" s="63">
        <f>IF($B56="","",IF(46&lt;=MAX('計算'!$CT$6:$CT$405),IFERROR(INDEX('計算'!$P$6:$P$405,MATCH(46,'計算'!$CT$6:$CT$405,0)),""),IFERROR(INDEX('計算'!$S$6:$S$405,MATCH(46-MAX('計算'!$CT$6:$CT$405),'計算'!$CU$6:$CU$405,0)),"")))</f>
        <v/>
      </c>
      <c r="G56" s="62">
        <f>IF($B56="","",IF(46&lt;=MAX('計算'!$CT$6:$CT$405),IFERROR(INDEX('計算'!$CR$6:$CR$405,MATCH(46,'計算'!$CT$6:$CT$405,0)),""),IFERROR(INDEX('計算'!$CR$6:$CR$405,MATCH(46-MAX('計算'!$CT$6:$CT$405),'計算'!$CU$6:$CU$405,0)),"")))</f>
        <v/>
      </c>
      <c r="H56" s="64">
        <f>IF($B56="","",IF(46&lt;=MAX('計算'!$CT$6:$CT$405),IFERROR(INDEX('計算'!$Q$6:$Q$405,MATCH(46,'計算'!$CT$6:$CT$405,0)),""),IFERROR(INDEX('計算'!$T$6:$T$405,MATCH(46-MAX('計算'!$CT$6:$CT$405),'計算'!$CU$6:$CU$405,0)),"")))</f>
        <v/>
      </c>
      <c r="I56" s="65">
        <f>IF($B56="","",IF(46&lt;=MAX('計算'!$CT$6:$CT$405),IFERROR(INDEX('計算'!$H$6:$H$405,MATCH(46,'計算'!$CT$6:$CT$405,0)),""),IFERROR(INDEX('計算'!$H$6:$H$405,MATCH(46-MAX('計算'!$CT$6:$CT$405),'計算'!$CU$6:$CU$405,0)),"")))</f>
        <v/>
      </c>
      <c r="J56" s="65">
        <f>IF($B56="","",N($H56)*IFERROR(INDEX('計算'!$G$6:$G$405,IF(46&lt;=MAX('計算'!$CT$6:$CT$405),MATCH(46,'計算'!$CT$6:$CT$405,0),MATCH(46-MAX('計算'!$CT$6:$CT$405),'計算'!$CU$6:$CU$405,0))),1)*N($I56))</f>
        <v/>
      </c>
    </row>
    <row r="57" ht="18" customHeight="1">
      <c r="B57" s="61">
        <f>IF(47&lt;=MAX('計算'!$CT$6:$CT$405)+MAX('計算'!$CU$6:$CU$405),47,"")</f>
        <v/>
      </c>
      <c r="C57" s="62">
        <f>IF($B57="","",IF(47&lt;=MAX('計算'!$CT$6:$CT$405),IFERROR(INDEX('計算'!$F$6:$F$405,MATCH(47,'計算'!$CT$6:$CT$405,0)),""),IFERROR(INDEX('計算'!$F$6:$F$405,MATCH(47-MAX('計算'!$CT$6:$CT$405),'計算'!$CU$6:$CU$405,0)),"")))</f>
        <v/>
      </c>
      <c r="D57" s="62">
        <f>IF($B57="","",IF(47&lt;=MAX('計算'!$CT$6:$CT$405),IFERROR(INDEX('計算'!$C$6:$C$405,MATCH(47,'計算'!$CT$6:$CT$405,0))&amp;"",""),IFERROR(INDEX('計算'!$C$6:$C$405,MATCH(47-MAX('計算'!$CT$6:$CT$405),'計算'!$CU$6:$CU$405,0))&amp;"","")))</f>
        <v/>
      </c>
      <c r="E57" s="62">
        <f>IF($B57="","",IF(47&lt;=MAX('計算'!$CT$6:$CT$405),IFERROR(INDEX('計算'!$D$6:$D$405,MATCH(47,'計算'!$CT$6:$CT$405,0)),""),IFERROR(INDEX('計算'!$D$6:$D$405,MATCH(47-MAX('計算'!$CT$6:$CT$405),'計算'!$CU$6:$CU$405,0)),"")))</f>
        <v/>
      </c>
      <c r="F57" s="63">
        <f>IF($B57="","",IF(47&lt;=MAX('計算'!$CT$6:$CT$405),IFERROR(INDEX('計算'!$P$6:$P$405,MATCH(47,'計算'!$CT$6:$CT$405,0)),""),IFERROR(INDEX('計算'!$S$6:$S$405,MATCH(47-MAX('計算'!$CT$6:$CT$405),'計算'!$CU$6:$CU$405,0)),"")))</f>
        <v/>
      </c>
      <c r="G57" s="62">
        <f>IF($B57="","",IF(47&lt;=MAX('計算'!$CT$6:$CT$405),IFERROR(INDEX('計算'!$CR$6:$CR$405,MATCH(47,'計算'!$CT$6:$CT$405,0)),""),IFERROR(INDEX('計算'!$CR$6:$CR$405,MATCH(47-MAX('計算'!$CT$6:$CT$405),'計算'!$CU$6:$CU$405,0)),"")))</f>
        <v/>
      </c>
      <c r="H57" s="64">
        <f>IF($B57="","",IF(47&lt;=MAX('計算'!$CT$6:$CT$405),IFERROR(INDEX('計算'!$Q$6:$Q$405,MATCH(47,'計算'!$CT$6:$CT$405,0)),""),IFERROR(INDEX('計算'!$T$6:$T$405,MATCH(47-MAX('計算'!$CT$6:$CT$405),'計算'!$CU$6:$CU$405,0)),"")))</f>
        <v/>
      </c>
      <c r="I57" s="65">
        <f>IF($B57="","",IF(47&lt;=MAX('計算'!$CT$6:$CT$405),IFERROR(INDEX('計算'!$H$6:$H$405,MATCH(47,'計算'!$CT$6:$CT$405,0)),""),IFERROR(INDEX('計算'!$H$6:$H$405,MATCH(47-MAX('計算'!$CT$6:$CT$405),'計算'!$CU$6:$CU$405,0)),"")))</f>
        <v/>
      </c>
      <c r="J57" s="65">
        <f>IF($B57="","",N($H57)*IFERROR(INDEX('計算'!$G$6:$G$405,IF(47&lt;=MAX('計算'!$CT$6:$CT$405),MATCH(47,'計算'!$CT$6:$CT$405,0),MATCH(47-MAX('計算'!$CT$6:$CT$405),'計算'!$CU$6:$CU$405,0))),1)*N($I57))</f>
        <v/>
      </c>
    </row>
    <row r="58" ht="18" customHeight="1">
      <c r="B58" s="61">
        <f>IF(48&lt;=MAX('計算'!$CT$6:$CT$405)+MAX('計算'!$CU$6:$CU$405),48,"")</f>
        <v/>
      </c>
      <c r="C58" s="62">
        <f>IF($B58="","",IF(48&lt;=MAX('計算'!$CT$6:$CT$405),IFERROR(INDEX('計算'!$F$6:$F$405,MATCH(48,'計算'!$CT$6:$CT$405,0)),""),IFERROR(INDEX('計算'!$F$6:$F$405,MATCH(48-MAX('計算'!$CT$6:$CT$405),'計算'!$CU$6:$CU$405,0)),"")))</f>
        <v/>
      </c>
      <c r="D58" s="62">
        <f>IF($B58="","",IF(48&lt;=MAX('計算'!$CT$6:$CT$405),IFERROR(INDEX('計算'!$C$6:$C$405,MATCH(48,'計算'!$CT$6:$CT$405,0))&amp;"",""),IFERROR(INDEX('計算'!$C$6:$C$405,MATCH(48-MAX('計算'!$CT$6:$CT$405),'計算'!$CU$6:$CU$405,0))&amp;"","")))</f>
        <v/>
      </c>
      <c r="E58" s="62">
        <f>IF($B58="","",IF(48&lt;=MAX('計算'!$CT$6:$CT$405),IFERROR(INDEX('計算'!$D$6:$D$405,MATCH(48,'計算'!$CT$6:$CT$405,0)),""),IFERROR(INDEX('計算'!$D$6:$D$405,MATCH(48-MAX('計算'!$CT$6:$CT$405),'計算'!$CU$6:$CU$405,0)),"")))</f>
        <v/>
      </c>
      <c r="F58" s="63">
        <f>IF($B58="","",IF(48&lt;=MAX('計算'!$CT$6:$CT$405),IFERROR(INDEX('計算'!$P$6:$P$405,MATCH(48,'計算'!$CT$6:$CT$405,0)),""),IFERROR(INDEX('計算'!$S$6:$S$405,MATCH(48-MAX('計算'!$CT$6:$CT$405),'計算'!$CU$6:$CU$405,0)),"")))</f>
        <v/>
      </c>
      <c r="G58" s="62">
        <f>IF($B58="","",IF(48&lt;=MAX('計算'!$CT$6:$CT$405),IFERROR(INDEX('計算'!$CR$6:$CR$405,MATCH(48,'計算'!$CT$6:$CT$405,0)),""),IFERROR(INDEX('計算'!$CR$6:$CR$405,MATCH(48-MAX('計算'!$CT$6:$CT$405),'計算'!$CU$6:$CU$405,0)),"")))</f>
        <v/>
      </c>
      <c r="H58" s="64">
        <f>IF($B58="","",IF(48&lt;=MAX('計算'!$CT$6:$CT$405),IFERROR(INDEX('計算'!$Q$6:$Q$405,MATCH(48,'計算'!$CT$6:$CT$405,0)),""),IFERROR(INDEX('計算'!$T$6:$T$405,MATCH(48-MAX('計算'!$CT$6:$CT$405),'計算'!$CU$6:$CU$405,0)),"")))</f>
        <v/>
      </c>
      <c r="I58" s="65">
        <f>IF($B58="","",IF(48&lt;=MAX('計算'!$CT$6:$CT$405),IFERROR(INDEX('計算'!$H$6:$H$405,MATCH(48,'計算'!$CT$6:$CT$405,0)),""),IFERROR(INDEX('計算'!$H$6:$H$405,MATCH(48-MAX('計算'!$CT$6:$CT$405),'計算'!$CU$6:$CU$405,0)),"")))</f>
        <v/>
      </c>
      <c r="J58" s="65">
        <f>IF($B58="","",N($H58)*IFERROR(INDEX('計算'!$G$6:$G$405,IF(48&lt;=MAX('計算'!$CT$6:$CT$405),MATCH(48,'計算'!$CT$6:$CT$405,0),MATCH(48-MAX('計算'!$CT$6:$CT$405),'計算'!$CU$6:$CU$405,0))),1)*N($I58))</f>
        <v/>
      </c>
    </row>
    <row r="59" ht="18" customHeight="1">
      <c r="B59" s="61">
        <f>IF(49&lt;=MAX('計算'!$CT$6:$CT$405)+MAX('計算'!$CU$6:$CU$405),49,"")</f>
        <v/>
      </c>
      <c r="C59" s="62">
        <f>IF($B59="","",IF(49&lt;=MAX('計算'!$CT$6:$CT$405),IFERROR(INDEX('計算'!$F$6:$F$405,MATCH(49,'計算'!$CT$6:$CT$405,0)),""),IFERROR(INDEX('計算'!$F$6:$F$405,MATCH(49-MAX('計算'!$CT$6:$CT$405),'計算'!$CU$6:$CU$405,0)),"")))</f>
        <v/>
      </c>
      <c r="D59" s="62">
        <f>IF($B59="","",IF(49&lt;=MAX('計算'!$CT$6:$CT$405),IFERROR(INDEX('計算'!$C$6:$C$405,MATCH(49,'計算'!$CT$6:$CT$405,0))&amp;"",""),IFERROR(INDEX('計算'!$C$6:$C$405,MATCH(49-MAX('計算'!$CT$6:$CT$405),'計算'!$CU$6:$CU$405,0))&amp;"","")))</f>
        <v/>
      </c>
      <c r="E59" s="62">
        <f>IF($B59="","",IF(49&lt;=MAX('計算'!$CT$6:$CT$405),IFERROR(INDEX('計算'!$D$6:$D$405,MATCH(49,'計算'!$CT$6:$CT$405,0)),""),IFERROR(INDEX('計算'!$D$6:$D$405,MATCH(49-MAX('計算'!$CT$6:$CT$405),'計算'!$CU$6:$CU$405,0)),"")))</f>
        <v/>
      </c>
      <c r="F59" s="63">
        <f>IF($B59="","",IF(49&lt;=MAX('計算'!$CT$6:$CT$405),IFERROR(INDEX('計算'!$P$6:$P$405,MATCH(49,'計算'!$CT$6:$CT$405,0)),""),IFERROR(INDEX('計算'!$S$6:$S$405,MATCH(49-MAX('計算'!$CT$6:$CT$405),'計算'!$CU$6:$CU$405,0)),"")))</f>
        <v/>
      </c>
      <c r="G59" s="62">
        <f>IF($B59="","",IF(49&lt;=MAX('計算'!$CT$6:$CT$405),IFERROR(INDEX('計算'!$CR$6:$CR$405,MATCH(49,'計算'!$CT$6:$CT$405,0)),""),IFERROR(INDEX('計算'!$CR$6:$CR$405,MATCH(49-MAX('計算'!$CT$6:$CT$405),'計算'!$CU$6:$CU$405,0)),"")))</f>
        <v/>
      </c>
      <c r="H59" s="64">
        <f>IF($B59="","",IF(49&lt;=MAX('計算'!$CT$6:$CT$405),IFERROR(INDEX('計算'!$Q$6:$Q$405,MATCH(49,'計算'!$CT$6:$CT$405,0)),""),IFERROR(INDEX('計算'!$T$6:$T$405,MATCH(49-MAX('計算'!$CT$6:$CT$405),'計算'!$CU$6:$CU$405,0)),"")))</f>
        <v/>
      </c>
      <c r="I59" s="65">
        <f>IF($B59="","",IF(49&lt;=MAX('計算'!$CT$6:$CT$405),IFERROR(INDEX('計算'!$H$6:$H$405,MATCH(49,'計算'!$CT$6:$CT$405,0)),""),IFERROR(INDEX('計算'!$H$6:$H$405,MATCH(49-MAX('計算'!$CT$6:$CT$405),'計算'!$CU$6:$CU$405,0)),"")))</f>
        <v/>
      </c>
      <c r="J59" s="65">
        <f>IF($B59="","",N($H59)*IFERROR(INDEX('計算'!$G$6:$G$405,IF(49&lt;=MAX('計算'!$CT$6:$CT$405),MATCH(49,'計算'!$CT$6:$CT$405,0),MATCH(49-MAX('計算'!$CT$6:$CT$405),'計算'!$CU$6:$CU$405,0))),1)*N($I59))</f>
        <v/>
      </c>
    </row>
    <row r="60" ht="18" customHeight="1">
      <c r="B60" s="61">
        <f>IF(50&lt;=MAX('計算'!$CT$6:$CT$405)+MAX('計算'!$CU$6:$CU$405),50,"")</f>
        <v/>
      </c>
      <c r="C60" s="62">
        <f>IF($B60="","",IF(50&lt;=MAX('計算'!$CT$6:$CT$405),IFERROR(INDEX('計算'!$F$6:$F$405,MATCH(50,'計算'!$CT$6:$CT$405,0)),""),IFERROR(INDEX('計算'!$F$6:$F$405,MATCH(50-MAX('計算'!$CT$6:$CT$405),'計算'!$CU$6:$CU$405,0)),"")))</f>
        <v/>
      </c>
      <c r="D60" s="62">
        <f>IF($B60="","",IF(50&lt;=MAX('計算'!$CT$6:$CT$405),IFERROR(INDEX('計算'!$C$6:$C$405,MATCH(50,'計算'!$CT$6:$CT$405,0))&amp;"",""),IFERROR(INDEX('計算'!$C$6:$C$405,MATCH(50-MAX('計算'!$CT$6:$CT$405),'計算'!$CU$6:$CU$405,0))&amp;"","")))</f>
        <v/>
      </c>
      <c r="E60" s="62">
        <f>IF($B60="","",IF(50&lt;=MAX('計算'!$CT$6:$CT$405),IFERROR(INDEX('計算'!$D$6:$D$405,MATCH(50,'計算'!$CT$6:$CT$405,0)),""),IFERROR(INDEX('計算'!$D$6:$D$405,MATCH(50-MAX('計算'!$CT$6:$CT$405),'計算'!$CU$6:$CU$405,0)),"")))</f>
        <v/>
      </c>
      <c r="F60" s="63">
        <f>IF($B60="","",IF(50&lt;=MAX('計算'!$CT$6:$CT$405),IFERROR(INDEX('計算'!$P$6:$P$405,MATCH(50,'計算'!$CT$6:$CT$405,0)),""),IFERROR(INDEX('計算'!$S$6:$S$405,MATCH(50-MAX('計算'!$CT$6:$CT$405),'計算'!$CU$6:$CU$405,0)),"")))</f>
        <v/>
      </c>
      <c r="G60" s="62">
        <f>IF($B60="","",IF(50&lt;=MAX('計算'!$CT$6:$CT$405),IFERROR(INDEX('計算'!$CR$6:$CR$405,MATCH(50,'計算'!$CT$6:$CT$405,0)),""),IFERROR(INDEX('計算'!$CR$6:$CR$405,MATCH(50-MAX('計算'!$CT$6:$CT$405),'計算'!$CU$6:$CU$405,0)),"")))</f>
        <v/>
      </c>
      <c r="H60" s="64">
        <f>IF($B60="","",IF(50&lt;=MAX('計算'!$CT$6:$CT$405),IFERROR(INDEX('計算'!$Q$6:$Q$405,MATCH(50,'計算'!$CT$6:$CT$405,0)),""),IFERROR(INDEX('計算'!$T$6:$T$405,MATCH(50-MAX('計算'!$CT$6:$CT$405),'計算'!$CU$6:$CU$405,0)),"")))</f>
        <v/>
      </c>
      <c r="I60" s="65">
        <f>IF($B60="","",IF(50&lt;=MAX('計算'!$CT$6:$CT$405),IFERROR(INDEX('計算'!$H$6:$H$405,MATCH(50,'計算'!$CT$6:$CT$405,0)),""),IFERROR(INDEX('計算'!$H$6:$H$405,MATCH(50-MAX('計算'!$CT$6:$CT$405),'計算'!$CU$6:$CU$405,0)),"")))</f>
        <v/>
      </c>
      <c r="J60" s="65">
        <f>IF($B60="","",N($H60)*IFERROR(INDEX('計算'!$G$6:$G$405,IF(50&lt;=MAX('計算'!$CT$6:$CT$405),MATCH(50,'計算'!$CT$6:$CT$405,0),MATCH(50-MAX('計算'!$CT$6:$CT$405),'計算'!$CU$6:$CU$405,0))),1)*N($I60))</f>
        <v/>
      </c>
    </row>
    <row r="61" ht="18" customHeight="1">
      <c r="B61" s="61">
        <f>IF(51&lt;=MAX('計算'!$CT$6:$CT$405)+MAX('計算'!$CU$6:$CU$405),51,"")</f>
        <v/>
      </c>
      <c r="C61" s="62">
        <f>IF($B61="","",IF(51&lt;=MAX('計算'!$CT$6:$CT$405),IFERROR(INDEX('計算'!$F$6:$F$405,MATCH(51,'計算'!$CT$6:$CT$405,0)),""),IFERROR(INDEX('計算'!$F$6:$F$405,MATCH(51-MAX('計算'!$CT$6:$CT$405),'計算'!$CU$6:$CU$405,0)),"")))</f>
        <v/>
      </c>
      <c r="D61" s="62">
        <f>IF($B61="","",IF(51&lt;=MAX('計算'!$CT$6:$CT$405),IFERROR(INDEX('計算'!$C$6:$C$405,MATCH(51,'計算'!$CT$6:$CT$405,0))&amp;"",""),IFERROR(INDEX('計算'!$C$6:$C$405,MATCH(51-MAX('計算'!$CT$6:$CT$405),'計算'!$CU$6:$CU$405,0))&amp;"","")))</f>
        <v/>
      </c>
      <c r="E61" s="62">
        <f>IF($B61="","",IF(51&lt;=MAX('計算'!$CT$6:$CT$405),IFERROR(INDEX('計算'!$D$6:$D$405,MATCH(51,'計算'!$CT$6:$CT$405,0)),""),IFERROR(INDEX('計算'!$D$6:$D$405,MATCH(51-MAX('計算'!$CT$6:$CT$405),'計算'!$CU$6:$CU$405,0)),"")))</f>
        <v/>
      </c>
      <c r="F61" s="63">
        <f>IF($B61="","",IF(51&lt;=MAX('計算'!$CT$6:$CT$405),IFERROR(INDEX('計算'!$P$6:$P$405,MATCH(51,'計算'!$CT$6:$CT$405,0)),""),IFERROR(INDEX('計算'!$S$6:$S$405,MATCH(51-MAX('計算'!$CT$6:$CT$405),'計算'!$CU$6:$CU$405,0)),"")))</f>
        <v/>
      </c>
      <c r="G61" s="62">
        <f>IF($B61="","",IF(51&lt;=MAX('計算'!$CT$6:$CT$405),IFERROR(INDEX('計算'!$CR$6:$CR$405,MATCH(51,'計算'!$CT$6:$CT$405,0)),""),IFERROR(INDEX('計算'!$CR$6:$CR$405,MATCH(51-MAX('計算'!$CT$6:$CT$405),'計算'!$CU$6:$CU$405,0)),"")))</f>
        <v/>
      </c>
      <c r="H61" s="64">
        <f>IF($B61="","",IF(51&lt;=MAX('計算'!$CT$6:$CT$405),IFERROR(INDEX('計算'!$Q$6:$Q$405,MATCH(51,'計算'!$CT$6:$CT$405,0)),""),IFERROR(INDEX('計算'!$T$6:$T$405,MATCH(51-MAX('計算'!$CT$6:$CT$405),'計算'!$CU$6:$CU$405,0)),"")))</f>
        <v/>
      </c>
      <c r="I61" s="65">
        <f>IF($B61="","",IF(51&lt;=MAX('計算'!$CT$6:$CT$405),IFERROR(INDEX('計算'!$H$6:$H$405,MATCH(51,'計算'!$CT$6:$CT$405,0)),""),IFERROR(INDEX('計算'!$H$6:$H$405,MATCH(51-MAX('計算'!$CT$6:$CT$405),'計算'!$CU$6:$CU$405,0)),"")))</f>
        <v/>
      </c>
      <c r="J61" s="65">
        <f>IF($B61="","",N($H61)*IFERROR(INDEX('計算'!$G$6:$G$405,IF(51&lt;=MAX('計算'!$CT$6:$CT$405),MATCH(51,'計算'!$CT$6:$CT$405,0),MATCH(51-MAX('計算'!$CT$6:$CT$405),'計算'!$CU$6:$CU$405,0))),1)*N($I61))</f>
        <v/>
      </c>
    </row>
    <row r="62" ht="18" customHeight="1">
      <c r="B62" s="61">
        <f>IF(52&lt;=MAX('計算'!$CT$6:$CT$405)+MAX('計算'!$CU$6:$CU$405),52,"")</f>
        <v/>
      </c>
      <c r="C62" s="62">
        <f>IF($B62="","",IF(52&lt;=MAX('計算'!$CT$6:$CT$405),IFERROR(INDEX('計算'!$F$6:$F$405,MATCH(52,'計算'!$CT$6:$CT$405,0)),""),IFERROR(INDEX('計算'!$F$6:$F$405,MATCH(52-MAX('計算'!$CT$6:$CT$405),'計算'!$CU$6:$CU$405,0)),"")))</f>
        <v/>
      </c>
      <c r="D62" s="62">
        <f>IF($B62="","",IF(52&lt;=MAX('計算'!$CT$6:$CT$405),IFERROR(INDEX('計算'!$C$6:$C$405,MATCH(52,'計算'!$CT$6:$CT$405,0))&amp;"",""),IFERROR(INDEX('計算'!$C$6:$C$405,MATCH(52-MAX('計算'!$CT$6:$CT$405),'計算'!$CU$6:$CU$405,0))&amp;"","")))</f>
        <v/>
      </c>
      <c r="E62" s="62">
        <f>IF($B62="","",IF(52&lt;=MAX('計算'!$CT$6:$CT$405),IFERROR(INDEX('計算'!$D$6:$D$405,MATCH(52,'計算'!$CT$6:$CT$405,0)),""),IFERROR(INDEX('計算'!$D$6:$D$405,MATCH(52-MAX('計算'!$CT$6:$CT$405),'計算'!$CU$6:$CU$405,0)),"")))</f>
        <v/>
      </c>
      <c r="F62" s="63">
        <f>IF($B62="","",IF(52&lt;=MAX('計算'!$CT$6:$CT$405),IFERROR(INDEX('計算'!$P$6:$P$405,MATCH(52,'計算'!$CT$6:$CT$405,0)),""),IFERROR(INDEX('計算'!$S$6:$S$405,MATCH(52-MAX('計算'!$CT$6:$CT$405),'計算'!$CU$6:$CU$405,0)),"")))</f>
        <v/>
      </c>
      <c r="G62" s="62">
        <f>IF($B62="","",IF(52&lt;=MAX('計算'!$CT$6:$CT$405),IFERROR(INDEX('計算'!$CR$6:$CR$405,MATCH(52,'計算'!$CT$6:$CT$405,0)),""),IFERROR(INDEX('計算'!$CR$6:$CR$405,MATCH(52-MAX('計算'!$CT$6:$CT$405),'計算'!$CU$6:$CU$405,0)),"")))</f>
        <v/>
      </c>
      <c r="H62" s="64">
        <f>IF($B62="","",IF(52&lt;=MAX('計算'!$CT$6:$CT$405),IFERROR(INDEX('計算'!$Q$6:$Q$405,MATCH(52,'計算'!$CT$6:$CT$405,0)),""),IFERROR(INDEX('計算'!$T$6:$T$405,MATCH(52-MAX('計算'!$CT$6:$CT$405),'計算'!$CU$6:$CU$405,0)),"")))</f>
        <v/>
      </c>
      <c r="I62" s="65">
        <f>IF($B62="","",IF(52&lt;=MAX('計算'!$CT$6:$CT$405),IFERROR(INDEX('計算'!$H$6:$H$405,MATCH(52,'計算'!$CT$6:$CT$405,0)),""),IFERROR(INDEX('計算'!$H$6:$H$405,MATCH(52-MAX('計算'!$CT$6:$CT$405),'計算'!$CU$6:$CU$405,0)),"")))</f>
        <v/>
      </c>
      <c r="J62" s="65">
        <f>IF($B62="","",N($H62)*IFERROR(INDEX('計算'!$G$6:$G$405,IF(52&lt;=MAX('計算'!$CT$6:$CT$405),MATCH(52,'計算'!$CT$6:$CT$405,0),MATCH(52-MAX('計算'!$CT$6:$CT$405),'計算'!$CU$6:$CU$405,0))),1)*N($I62))</f>
        <v/>
      </c>
    </row>
    <row r="63" ht="18" customHeight="1">
      <c r="B63" s="61">
        <f>IF(53&lt;=MAX('計算'!$CT$6:$CT$405)+MAX('計算'!$CU$6:$CU$405),53,"")</f>
        <v/>
      </c>
      <c r="C63" s="62">
        <f>IF($B63="","",IF(53&lt;=MAX('計算'!$CT$6:$CT$405),IFERROR(INDEX('計算'!$F$6:$F$405,MATCH(53,'計算'!$CT$6:$CT$405,0)),""),IFERROR(INDEX('計算'!$F$6:$F$405,MATCH(53-MAX('計算'!$CT$6:$CT$405),'計算'!$CU$6:$CU$405,0)),"")))</f>
        <v/>
      </c>
      <c r="D63" s="62">
        <f>IF($B63="","",IF(53&lt;=MAX('計算'!$CT$6:$CT$405),IFERROR(INDEX('計算'!$C$6:$C$405,MATCH(53,'計算'!$CT$6:$CT$405,0))&amp;"",""),IFERROR(INDEX('計算'!$C$6:$C$405,MATCH(53-MAX('計算'!$CT$6:$CT$405),'計算'!$CU$6:$CU$405,0))&amp;"","")))</f>
        <v/>
      </c>
      <c r="E63" s="62">
        <f>IF($B63="","",IF(53&lt;=MAX('計算'!$CT$6:$CT$405),IFERROR(INDEX('計算'!$D$6:$D$405,MATCH(53,'計算'!$CT$6:$CT$405,0)),""),IFERROR(INDEX('計算'!$D$6:$D$405,MATCH(53-MAX('計算'!$CT$6:$CT$405),'計算'!$CU$6:$CU$405,0)),"")))</f>
        <v/>
      </c>
      <c r="F63" s="63">
        <f>IF($B63="","",IF(53&lt;=MAX('計算'!$CT$6:$CT$405),IFERROR(INDEX('計算'!$P$6:$P$405,MATCH(53,'計算'!$CT$6:$CT$405,0)),""),IFERROR(INDEX('計算'!$S$6:$S$405,MATCH(53-MAX('計算'!$CT$6:$CT$405),'計算'!$CU$6:$CU$405,0)),"")))</f>
        <v/>
      </c>
      <c r="G63" s="62">
        <f>IF($B63="","",IF(53&lt;=MAX('計算'!$CT$6:$CT$405),IFERROR(INDEX('計算'!$CR$6:$CR$405,MATCH(53,'計算'!$CT$6:$CT$405,0)),""),IFERROR(INDEX('計算'!$CR$6:$CR$405,MATCH(53-MAX('計算'!$CT$6:$CT$405),'計算'!$CU$6:$CU$405,0)),"")))</f>
        <v/>
      </c>
      <c r="H63" s="64">
        <f>IF($B63="","",IF(53&lt;=MAX('計算'!$CT$6:$CT$405),IFERROR(INDEX('計算'!$Q$6:$Q$405,MATCH(53,'計算'!$CT$6:$CT$405,0)),""),IFERROR(INDEX('計算'!$T$6:$T$405,MATCH(53-MAX('計算'!$CT$6:$CT$405),'計算'!$CU$6:$CU$405,0)),"")))</f>
        <v/>
      </c>
      <c r="I63" s="65">
        <f>IF($B63="","",IF(53&lt;=MAX('計算'!$CT$6:$CT$405),IFERROR(INDEX('計算'!$H$6:$H$405,MATCH(53,'計算'!$CT$6:$CT$405,0)),""),IFERROR(INDEX('計算'!$H$6:$H$405,MATCH(53-MAX('計算'!$CT$6:$CT$405),'計算'!$CU$6:$CU$405,0)),"")))</f>
        <v/>
      </c>
      <c r="J63" s="65">
        <f>IF($B63="","",N($H63)*IFERROR(INDEX('計算'!$G$6:$G$405,IF(53&lt;=MAX('計算'!$CT$6:$CT$405),MATCH(53,'計算'!$CT$6:$CT$405,0),MATCH(53-MAX('計算'!$CT$6:$CT$405),'計算'!$CU$6:$CU$405,0))),1)*N($I63))</f>
        <v/>
      </c>
    </row>
    <row r="64" ht="18" customHeight="1">
      <c r="B64" s="61">
        <f>IF(54&lt;=MAX('計算'!$CT$6:$CT$405)+MAX('計算'!$CU$6:$CU$405),54,"")</f>
        <v/>
      </c>
      <c r="C64" s="62">
        <f>IF($B64="","",IF(54&lt;=MAX('計算'!$CT$6:$CT$405),IFERROR(INDEX('計算'!$F$6:$F$405,MATCH(54,'計算'!$CT$6:$CT$405,0)),""),IFERROR(INDEX('計算'!$F$6:$F$405,MATCH(54-MAX('計算'!$CT$6:$CT$405),'計算'!$CU$6:$CU$405,0)),"")))</f>
        <v/>
      </c>
      <c r="D64" s="62">
        <f>IF($B64="","",IF(54&lt;=MAX('計算'!$CT$6:$CT$405),IFERROR(INDEX('計算'!$C$6:$C$405,MATCH(54,'計算'!$CT$6:$CT$405,0))&amp;"",""),IFERROR(INDEX('計算'!$C$6:$C$405,MATCH(54-MAX('計算'!$CT$6:$CT$405),'計算'!$CU$6:$CU$405,0))&amp;"","")))</f>
        <v/>
      </c>
      <c r="E64" s="62">
        <f>IF($B64="","",IF(54&lt;=MAX('計算'!$CT$6:$CT$405),IFERROR(INDEX('計算'!$D$6:$D$405,MATCH(54,'計算'!$CT$6:$CT$405,0)),""),IFERROR(INDEX('計算'!$D$6:$D$405,MATCH(54-MAX('計算'!$CT$6:$CT$405),'計算'!$CU$6:$CU$405,0)),"")))</f>
        <v/>
      </c>
      <c r="F64" s="63">
        <f>IF($B64="","",IF(54&lt;=MAX('計算'!$CT$6:$CT$405),IFERROR(INDEX('計算'!$P$6:$P$405,MATCH(54,'計算'!$CT$6:$CT$405,0)),""),IFERROR(INDEX('計算'!$S$6:$S$405,MATCH(54-MAX('計算'!$CT$6:$CT$405),'計算'!$CU$6:$CU$405,0)),"")))</f>
        <v/>
      </c>
      <c r="G64" s="62">
        <f>IF($B64="","",IF(54&lt;=MAX('計算'!$CT$6:$CT$405),IFERROR(INDEX('計算'!$CR$6:$CR$405,MATCH(54,'計算'!$CT$6:$CT$405,0)),""),IFERROR(INDEX('計算'!$CR$6:$CR$405,MATCH(54-MAX('計算'!$CT$6:$CT$405),'計算'!$CU$6:$CU$405,0)),"")))</f>
        <v/>
      </c>
      <c r="H64" s="64">
        <f>IF($B64="","",IF(54&lt;=MAX('計算'!$CT$6:$CT$405),IFERROR(INDEX('計算'!$Q$6:$Q$405,MATCH(54,'計算'!$CT$6:$CT$405,0)),""),IFERROR(INDEX('計算'!$T$6:$T$405,MATCH(54-MAX('計算'!$CT$6:$CT$405),'計算'!$CU$6:$CU$405,0)),"")))</f>
        <v/>
      </c>
      <c r="I64" s="65">
        <f>IF($B64="","",IF(54&lt;=MAX('計算'!$CT$6:$CT$405),IFERROR(INDEX('計算'!$H$6:$H$405,MATCH(54,'計算'!$CT$6:$CT$405,0)),""),IFERROR(INDEX('計算'!$H$6:$H$405,MATCH(54-MAX('計算'!$CT$6:$CT$405),'計算'!$CU$6:$CU$405,0)),"")))</f>
        <v/>
      </c>
      <c r="J64" s="65">
        <f>IF($B64="","",N($H64)*IFERROR(INDEX('計算'!$G$6:$G$405,IF(54&lt;=MAX('計算'!$CT$6:$CT$405),MATCH(54,'計算'!$CT$6:$CT$405,0),MATCH(54-MAX('計算'!$CT$6:$CT$405),'計算'!$CU$6:$CU$405,0))),1)*N($I64))</f>
        <v/>
      </c>
    </row>
    <row r="65" ht="18" customHeight="1">
      <c r="B65" s="61">
        <f>IF(55&lt;=MAX('計算'!$CT$6:$CT$405)+MAX('計算'!$CU$6:$CU$405),55,"")</f>
        <v/>
      </c>
      <c r="C65" s="62">
        <f>IF($B65="","",IF(55&lt;=MAX('計算'!$CT$6:$CT$405),IFERROR(INDEX('計算'!$F$6:$F$405,MATCH(55,'計算'!$CT$6:$CT$405,0)),""),IFERROR(INDEX('計算'!$F$6:$F$405,MATCH(55-MAX('計算'!$CT$6:$CT$405),'計算'!$CU$6:$CU$405,0)),"")))</f>
        <v/>
      </c>
      <c r="D65" s="62">
        <f>IF($B65="","",IF(55&lt;=MAX('計算'!$CT$6:$CT$405),IFERROR(INDEX('計算'!$C$6:$C$405,MATCH(55,'計算'!$CT$6:$CT$405,0))&amp;"",""),IFERROR(INDEX('計算'!$C$6:$C$405,MATCH(55-MAX('計算'!$CT$6:$CT$405),'計算'!$CU$6:$CU$405,0))&amp;"","")))</f>
        <v/>
      </c>
      <c r="E65" s="62">
        <f>IF($B65="","",IF(55&lt;=MAX('計算'!$CT$6:$CT$405),IFERROR(INDEX('計算'!$D$6:$D$405,MATCH(55,'計算'!$CT$6:$CT$405,0)),""),IFERROR(INDEX('計算'!$D$6:$D$405,MATCH(55-MAX('計算'!$CT$6:$CT$405),'計算'!$CU$6:$CU$405,0)),"")))</f>
        <v/>
      </c>
      <c r="F65" s="63">
        <f>IF($B65="","",IF(55&lt;=MAX('計算'!$CT$6:$CT$405),IFERROR(INDEX('計算'!$P$6:$P$405,MATCH(55,'計算'!$CT$6:$CT$405,0)),""),IFERROR(INDEX('計算'!$S$6:$S$405,MATCH(55-MAX('計算'!$CT$6:$CT$405),'計算'!$CU$6:$CU$405,0)),"")))</f>
        <v/>
      </c>
      <c r="G65" s="62">
        <f>IF($B65="","",IF(55&lt;=MAX('計算'!$CT$6:$CT$405),IFERROR(INDEX('計算'!$CR$6:$CR$405,MATCH(55,'計算'!$CT$6:$CT$405,0)),""),IFERROR(INDEX('計算'!$CR$6:$CR$405,MATCH(55-MAX('計算'!$CT$6:$CT$405),'計算'!$CU$6:$CU$405,0)),"")))</f>
        <v/>
      </c>
      <c r="H65" s="64">
        <f>IF($B65="","",IF(55&lt;=MAX('計算'!$CT$6:$CT$405),IFERROR(INDEX('計算'!$Q$6:$Q$405,MATCH(55,'計算'!$CT$6:$CT$405,0)),""),IFERROR(INDEX('計算'!$T$6:$T$405,MATCH(55-MAX('計算'!$CT$6:$CT$405),'計算'!$CU$6:$CU$405,0)),"")))</f>
        <v/>
      </c>
      <c r="I65" s="65">
        <f>IF($B65="","",IF(55&lt;=MAX('計算'!$CT$6:$CT$405),IFERROR(INDEX('計算'!$H$6:$H$405,MATCH(55,'計算'!$CT$6:$CT$405,0)),""),IFERROR(INDEX('計算'!$H$6:$H$405,MATCH(55-MAX('計算'!$CT$6:$CT$405),'計算'!$CU$6:$CU$405,0)),"")))</f>
        <v/>
      </c>
      <c r="J65" s="65">
        <f>IF($B65="","",N($H65)*IFERROR(INDEX('計算'!$G$6:$G$405,IF(55&lt;=MAX('計算'!$CT$6:$CT$405),MATCH(55,'計算'!$CT$6:$CT$405,0),MATCH(55-MAX('計算'!$CT$6:$CT$405),'計算'!$CU$6:$CU$405,0))),1)*N($I65))</f>
        <v/>
      </c>
    </row>
    <row r="66" ht="18" customHeight="1">
      <c r="B66" s="61">
        <f>IF(56&lt;=MAX('計算'!$CT$6:$CT$405)+MAX('計算'!$CU$6:$CU$405),56,"")</f>
        <v/>
      </c>
      <c r="C66" s="62">
        <f>IF($B66="","",IF(56&lt;=MAX('計算'!$CT$6:$CT$405),IFERROR(INDEX('計算'!$F$6:$F$405,MATCH(56,'計算'!$CT$6:$CT$405,0)),""),IFERROR(INDEX('計算'!$F$6:$F$405,MATCH(56-MAX('計算'!$CT$6:$CT$405),'計算'!$CU$6:$CU$405,0)),"")))</f>
        <v/>
      </c>
      <c r="D66" s="62">
        <f>IF($B66="","",IF(56&lt;=MAX('計算'!$CT$6:$CT$405),IFERROR(INDEX('計算'!$C$6:$C$405,MATCH(56,'計算'!$CT$6:$CT$405,0))&amp;"",""),IFERROR(INDEX('計算'!$C$6:$C$405,MATCH(56-MAX('計算'!$CT$6:$CT$405),'計算'!$CU$6:$CU$405,0))&amp;"","")))</f>
        <v/>
      </c>
      <c r="E66" s="62">
        <f>IF($B66="","",IF(56&lt;=MAX('計算'!$CT$6:$CT$405),IFERROR(INDEX('計算'!$D$6:$D$405,MATCH(56,'計算'!$CT$6:$CT$405,0)),""),IFERROR(INDEX('計算'!$D$6:$D$405,MATCH(56-MAX('計算'!$CT$6:$CT$405),'計算'!$CU$6:$CU$405,0)),"")))</f>
        <v/>
      </c>
      <c r="F66" s="63">
        <f>IF($B66="","",IF(56&lt;=MAX('計算'!$CT$6:$CT$405),IFERROR(INDEX('計算'!$P$6:$P$405,MATCH(56,'計算'!$CT$6:$CT$405,0)),""),IFERROR(INDEX('計算'!$S$6:$S$405,MATCH(56-MAX('計算'!$CT$6:$CT$405),'計算'!$CU$6:$CU$405,0)),"")))</f>
        <v/>
      </c>
      <c r="G66" s="62">
        <f>IF($B66="","",IF(56&lt;=MAX('計算'!$CT$6:$CT$405),IFERROR(INDEX('計算'!$CR$6:$CR$405,MATCH(56,'計算'!$CT$6:$CT$405,0)),""),IFERROR(INDEX('計算'!$CR$6:$CR$405,MATCH(56-MAX('計算'!$CT$6:$CT$405),'計算'!$CU$6:$CU$405,0)),"")))</f>
        <v/>
      </c>
      <c r="H66" s="64">
        <f>IF($B66="","",IF(56&lt;=MAX('計算'!$CT$6:$CT$405),IFERROR(INDEX('計算'!$Q$6:$Q$405,MATCH(56,'計算'!$CT$6:$CT$405,0)),""),IFERROR(INDEX('計算'!$T$6:$T$405,MATCH(56-MAX('計算'!$CT$6:$CT$405),'計算'!$CU$6:$CU$405,0)),"")))</f>
        <v/>
      </c>
      <c r="I66" s="65">
        <f>IF($B66="","",IF(56&lt;=MAX('計算'!$CT$6:$CT$405),IFERROR(INDEX('計算'!$H$6:$H$405,MATCH(56,'計算'!$CT$6:$CT$405,0)),""),IFERROR(INDEX('計算'!$H$6:$H$405,MATCH(56-MAX('計算'!$CT$6:$CT$405),'計算'!$CU$6:$CU$405,0)),"")))</f>
        <v/>
      </c>
      <c r="J66" s="65">
        <f>IF($B66="","",N($H66)*IFERROR(INDEX('計算'!$G$6:$G$405,IF(56&lt;=MAX('計算'!$CT$6:$CT$405),MATCH(56,'計算'!$CT$6:$CT$405,0),MATCH(56-MAX('計算'!$CT$6:$CT$405),'計算'!$CU$6:$CU$405,0))),1)*N($I66))</f>
        <v/>
      </c>
    </row>
    <row r="67" ht="18" customHeight="1">
      <c r="B67" s="61">
        <f>IF(57&lt;=MAX('計算'!$CT$6:$CT$405)+MAX('計算'!$CU$6:$CU$405),57,"")</f>
        <v/>
      </c>
      <c r="C67" s="62">
        <f>IF($B67="","",IF(57&lt;=MAX('計算'!$CT$6:$CT$405),IFERROR(INDEX('計算'!$F$6:$F$405,MATCH(57,'計算'!$CT$6:$CT$405,0)),""),IFERROR(INDEX('計算'!$F$6:$F$405,MATCH(57-MAX('計算'!$CT$6:$CT$405),'計算'!$CU$6:$CU$405,0)),"")))</f>
        <v/>
      </c>
      <c r="D67" s="62">
        <f>IF($B67="","",IF(57&lt;=MAX('計算'!$CT$6:$CT$405),IFERROR(INDEX('計算'!$C$6:$C$405,MATCH(57,'計算'!$CT$6:$CT$405,0))&amp;"",""),IFERROR(INDEX('計算'!$C$6:$C$405,MATCH(57-MAX('計算'!$CT$6:$CT$405),'計算'!$CU$6:$CU$405,0))&amp;"","")))</f>
        <v/>
      </c>
      <c r="E67" s="62">
        <f>IF($B67="","",IF(57&lt;=MAX('計算'!$CT$6:$CT$405),IFERROR(INDEX('計算'!$D$6:$D$405,MATCH(57,'計算'!$CT$6:$CT$405,0)),""),IFERROR(INDEX('計算'!$D$6:$D$405,MATCH(57-MAX('計算'!$CT$6:$CT$405),'計算'!$CU$6:$CU$405,0)),"")))</f>
        <v/>
      </c>
      <c r="F67" s="63">
        <f>IF($B67="","",IF(57&lt;=MAX('計算'!$CT$6:$CT$405),IFERROR(INDEX('計算'!$P$6:$P$405,MATCH(57,'計算'!$CT$6:$CT$405,0)),""),IFERROR(INDEX('計算'!$S$6:$S$405,MATCH(57-MAX('計算'!$CT$6:$CT$405),'計算'!$CU$6:$CU$405,0)),"")))</f>
        <v/>
      </c>
      <c r="G67" s="62">
        <f>IF($B67="","",IF(57&lt;=MAX('計算'!$CT$6:$CT$405),IFERROR(INDEX('計算'!$CR$6:$CR$405,MATCH(57,'計算'!$CT$6:$CT$405,0)),""),IFERROR(INDEX('計算'!$CR$6:$CR$405,MATCH(57-MAX('計算'!$CT$6:$CT$405),'計算'!$CU$6:$CU$405,0)),"")))</f>
        <v/>
      </c>
      <c r="H67" s="64">
        <f>IF($B67="","",IF(57&lt;=MAX('計算'!$CT$6:$CT$405),IFERROR(INDEX('計算'!$Q$6:$Q$405,MATCH(57,'計算'!$CT$6:$CT$405,0)),""),IFERROR(INDEX('計算'!$T$6:$T$405,MATCH(57-MAX('計算'!$CT$6:$CT$405),'計算'!$CU$6:$CU$405,0)),"")))</f>
        <v/>
      </c>
      <c r="I67" s="65">
        <f>IF($B67="","",IF(57&lt;=MAX('計算'!$CT$6:$CT$405),IFERROR(INDEX('計算'!$H$6:$H$405,MATCH(57,'計算'!$CT$6:$CT$405,0)),""),IFERROR(INDEX('計算'!$H$6:$H$405,MATCH(57-MAX('計算'!$CT$6:$CT$405),'計算'!$CU$6:$CU$405,0)),"")))</f>
        <v/>
      </c>
      <c r="J67" s="65">
        <f>IF($B67="","",N($H67)*IFERROR(INDEX('計算'!$G$6:$G$405,IF(57&lt;=MAX('計算'!$CT$6:$CT$405),MATCH(57,'計算'!$CT$6:$CT$405,0),MATCH(57-MAX('計算'!$CT$6:$CT$405),'計算'!$CU$6:$CU$405,0))),1)*N($I67))</f>
        <v/>
      </c>
    </row>
    <row r="68" ht="18" customHeight="1">
      <c r="B68" s="61">
        <f>IF(58&lt;=MAX('計算'!$CT$6:$CT$405)+MAX('計算'!$CU$6:$CU$405),58,"")</f>
        <v/>
      </c>
      <c r="C68" s="62">
        <f>IF($B68="","",IF(58&lt;=MAX('計算'!$CT$6:$CT$405),IFERROR(INDEX('計算'!$F$6:$F$405,MATCH(58,'計算'!$CT$6:$CT$405,0)),""),IFERROR(INDEX('計算'!$F$6:$F$405,MATCH(58-MAX('計算'!$CT$6:$CT$405),'計算'!$CU$6:$CU$405,0)),"")))</f>
        <v/>
      </c>
      <c r="D68" s="62">
        <f>IF($B68="","",IF(58&lt;=MAX('計算'!$CT$6:$CT$405),IFERROR(INDEX('計算'!$C$6:$C$405,MATCH(58,'計算'!$CT$6:$CT$405,0))&amp;"",""),IFERROR(INDEX('計算'!$C$6:$C$405,MATCH(58-MAX('計算'!$CT$6:$CT$405),'計算'!$CU$6:$CU$405,0))&amp;"","")))</f>
        <v/>
      </c>
      <c r="E68" s="62">
        <f>IF($B68="","",IF(58&lt;=MAX('計算'!$CT$6:$CT$405),IFERROR(INDEX('計算'!$D$6:$D$405,MATCH(58,'計算'!$CT$6:$CT$405,0)),""),IFERROR(INDEX('計算'!$D$6:$D$405,MATCH(58-MAX('計算'!$CT$6:$CT$405),'計算'!$CU$6:$CU$405,0)),"")))</f>
        <v/>
      </c>
      <c r="F68" s="63">
        <f>IF($B68="","",IF(58&lt;=MAX('計算'!$CT$6:$CT$405),IFERROR(INDEX('計算'!$P$6:$P$405,MATCH(58,'計算'!$CT$6:$CT$405,0)),""),IFERROR(INDEX('計算'!$S$6:$S$405,MATCH(58-MAX('計算'!$CT$6:$CT$405),'計算'!$CU$6:$CU$405,0)),"")))</f>
        <v/>
      </c>
      <c r="G68" s="62">
        <f>IF($B68="","",IF(58&lt;=MAX('計算'!$CT$6:$CT$405),IFERROR(INDEX('計算'!$CR$6:$CR$405,MATCH(58,'計算'!$CT$6:$CT$405,0)),""),IFERROR(INDEX('計算'!$CR$6:$CR$405,MATCH(58-MAX('計算'!$CT$6:$CT$405),'計算'!$CU$6:$CU$405,0)),"")))</f>
        <v/>
      </c>
      <c r="H68" s="64">
        <f>IF($B68="","",IF(58&lt;=MAX('計算'!$CT$6:$CT$405),IFERROR(INDEX('計算'!$Q$6:$Q$405,MATCH(58,'計算'!$CT$6:$CT$405,0)),""),IFERROR(INDEX('計算'!$T$6:$T$405,MATCH(58-MAX('計算'!$CT$6:$CT$405),'計算'!$CU$6:$CU$405,0)),"")))</f>
        <v/>
      </c>
      <c r="I68" s="65">
        <f>IF($B68="","",IF(58&lt;=MAX('計算'!$CT$6:$CT$405),IFERROR(INDEX('計算'!$H$6:$H$405,MATCH(58,'計算'!$CT$6:$CT$405,0)),""),IFERROR(INDEX('計算'!$H$6:$H$405,MATCH(58-MAX('計算'!$CT$6:$CT$405),'計算'!$CU$6:$CU$405,0)),"")))</f>
        <v/>
      </c>
      <c r="J68" s="65">
        <f>IF($B68="","",N($H68)*IFERROR(INDEX('計算'!$G$6:$G$405,IF(58&lt;=MAX('計算'!$CT$6:$CT$405),MATCH(58,'計算'!$CT$6:$CT$405,0),MATCH(58-MAX('計算'!$CT$6:$CT$405),'計算'!$CU$6:$CU$405,0))),1)*N($I68))</f>
        <v/>
      </c>
    </row>
    <row r="69" ht="18" customHeight="1">
      <c r="B69" s="61">
        <f>IF(59&lt;=MAX('計算'!$CT$6:$CT$405)+MAX('計算'!$CU$6:$CU$405),59,"")</f>
        <v/>
      </c>
      <c r="C69" s="62">
        <f>IF($B69="","",IF(59&lt;=MAX('計算'!$CT$6:$CT$405),IFERROR(INDEX('計算'!$F$6:$F$405,MATCH(59,'計算'!$CT$6:$CT$405,0)),""),IFERROR(INDEX('計算'!$F$6:$F$405,MATCH(59-MAX('計算'!$CT$6:$CT$405),'計算'!$CU$6:$CU$405,0)),"")))</f>
        <v/>
      </c>
      <c r="D69" s="62">
        <f>IF($B69="","",IF(59&lt;=MAX('計算'!$CT$6:$CT$405),IFERROR(INDEX('計算'!$C$6:$C$405,MATCH(59,'計算'!$CT$6:$CT$405,0))&amp;"",""),IFERROR(INDEX('計算'!$C$6:$C$405,MATCH(59-MAX('計算'!$CT$6:$CT$405),'計算'!$CU$6:$CU$405,0))&amp;"","")))</f>
        <v/>
      </c>
      <c r="E69" s="62">
        <f>IF($B69="","",IF(59&lt;=MAX('計算'!$CT$6:$CT$405),IFERROR(INDEX('計算'!$D$6:$D$405,MATCH(59,'計算'!$CT$6:$CT$405,0)),""),IFERROR(INDEX('計算'!$D$6:$D$405,MATCH(59-MAX('計算'!$CT$6:$CT$405),'計算'!$CU$6:$CU$405,0)),"")))</f>
        <v/>
      </c>
      <c r="F69" s="63">
        <f>IF($B69="","",IF(59&lt;=MAX('計算'!$CT$6:$CT$405),IFERROR(INDEX('計算'!$P$6:$P$405,MATCH(59,'計算'!$CT$6:$CT$405,0)),""),IFERROR(INDEX('計算'!$S$6:$S$405,MATCH(59-MAX('計算'!$CT$6:$CT$405),'計算'!$CU$6:$CU$405,0)),"")))</f>
        <v/>
      </c>
      <c r="G69" s="62">
        <f>IF($B69="","",IF(59&lt;=MAX('計算'!$CT$6:$CT$405),IFERROR(INDEX('計算'!$CR$6:$CR$405,MATCH(59,'計算'!$CT$6:$CT$405,0)),""),IFERROR(INDEX('計算'!$CR$6:$CR$405,MATCH(59-MAX('計算'!$CT$6:$CT$405),'計算'!$CU$6:$CU$405,0)),"")))</f>
        <v/>
      </c>
      <c r="H69" s="64">
        <f>IF($B69="","",IF(59&lt;=MAX('計算'!$CT$6:$CT$405),IFERROR(INDEX('計算'!$Q$6:$Q$405,MATCH(59,'計算'!$CT$6:$CT$405,0)),""),IFERROR(INDEX('計算'!$T$6:$T$405,MATCH(59-MAX('計算'!$CT$6:$CT$405),'計算'!$CU$6:$CU$405,0)),"")))</f>
        <v/>
      </c>
      <c r="I69" s="65">
        <f>IF($B69="","",IF(59&lt;=MAX('計算'!$CT$6:$CT$405),IFERROR(INDEX('計算'!$H$6:$H$405,MATCH(59,'計算'!$CT$6:$CT$405,0)),""),IFERROR(INDEX('計算'!$H$6:$H$405,MATCH(59-MAX('計算'!$CT$6:$CT$405),'計算'!$CU$6:$CU$405,0)),"")))</f>
        <v/>
      </c>
      <c r="J69" s="65">
        <f>IF($B69="","",N($H69)*IFERROR(INDEX('計算'!$G$6:$G$405,IF(59&lt;=MAX('計算'!$CT$6:$CT$405),MATCH(59,'計算'!$CT$6:$CT$405,0),MATCH(59-MAX('計算'!$CT$6:$CT$405),'計算'!$CU$6:$CU$405,0))),1)*N($I69))</f>
        <v/>
      </c>
    </row>
    <row r="70" ht="18" customHeight="1">
      <c r="B70" s="61">
        <f>IF(60&lt;=MAX('計算'!$CT$6:$CT$405)+MAX('計算'!$CU$6:$CU$405),60,"")</f>
        <v/>
      </c>
      <c r="C70" s="62">
        <f>IF($B70="","",IF(60&lt;=MAX('計算'!$CT$6:$CT$405),IFERROR(INDEX('計算'!$F$6:$F$405,MATCH(60,'計算'!$CT$6:$CT$405,0)),""),IFERROR(INDEX('計算'!$F$6:$F$405,MATCH(60-MAX('計算'!$CT$6:$CT$405),'計算'!$CU$6:$CU$405,0)),"")))</f>
        <v/>
      </c>
      <c r="D70" s="62">
        <f>IF($B70="","",IF(60&lt;=MAX('計算'!$CT$6:$CT$405),IFERROR(INDEX('計算'!$C$6:$C$405,MATCH(60,'計算'!$CT$6:$CT$405,0))&amp;"",""),IFERROR(INDEX('計算'!$C$6:$C$405,MATCH(60-MAX('計算'!$CT$6:$CT$405),'計算'!$CU$6:$CU$405,0))&amp;"","")))</f>
        <v/>
      </c>
      <c r="E70" s="62">
        <f>IF($B70="","",IF(60&lt;=MAX('計算'!$CT$6:$CT$405),IFERROR(INDEX('計算'!$D$6:$D$405,MATCH(60,'計算'!$CT$6:$CT$405,0)),""),IFERROR(INDEX('計算'!$D$6:$D$405,MATCH(60-MAX('計算'!$CT$6:$CT$405),'計算'!$CU$6:$CU$405,0)),"")))</f>
        <v/>
      </c>
      <c r="F70" s="63">
        <f>IF($B70="","",IF(60&lt;=MAX('計算'!$CT$6:$CT$405),IFERROR(INDEX('計算'!$P$6:$P$405,MATCH(60,'計算'!$CT$6:$CT$405,0)),""),IFERROR(INDEX('計算'!$S$6:$S$405,MATCH(60-MAX('計算'!$CT$6:$CT$405),'計算'!$CU$6:$CU$405,0)),"")))</f>
        <v/>
      </c>
      <c r="G70" s="62">
        <f>IF($B70="","",IF(60&lt;=MAX('計算'!$CT$6:$CT$405),IFERROR(INDEX('計算'!$CR$6:$CR$405,MATCH(60,'計算'!$CT$6:$CT$405,0)),""),IFERROR(INDEX('計算'!$CR$6:$CR$405,MATCH(60-MAX('計算'!$CT$6:$CT$405),'計算'!$CU$6:$CU$405,0)),"")))</f>
        <v/>
      </c>
      <c r="H70" s="64">
        <f>IF($B70="","",IF(60&lt;=MAX('計算'!$CT$6:$CT$405),IFERROR(INDEX('計算'!$Q$6:$Q$405,MATCH(60,'計算'!$CT$6:$CT$405,0)),""),IFERROR(INDEX('計算'!$T$6:$T$405,MATCH(60-MAX('計算'!$CT$6:$CT$405),'計算'!$CU$6:$CU$405,0)),"")))</f>
        <v/>
      </c>
      <c r="I70" s="65">
        <f>IF($B70="","",IF(60&lt;=MAX('計算'!$CT$6:$CT$405),IFERROR(INDEX('計算'!$H$6:$H$405,MATCH(60,'計算'!$CT$6:$CT$405,0)),""),IFERROR(INDEX('計算'!$H$6:$H$405,MATCH(60-MAX('計算'!$CT$6:$CT$405),'計算'!$CU$6:$CU$405,0)),"")))</f>
        <v/>
      </c>
      <c r="J70" s="65">
        <f>IF($B70="","",N($H70)*IFERROR(INDEX('計算'!$G$6:$G$405,IF(60&lt;=MAX('計算'!$CT$6:$CT$405),MATCH(60,'計算'!$CT$6:$CT$405,0),MATCH(60-MAX('計算'!$CT$6:$CT$405),'計算'!$CU$6:$CU$405,0))),1)*N($I70))</f>
        <v/>
      </c>
    </row>
    <row r="71" ht="18" customHeight="1">
      <c r="B71" s="61">
        <f>IF(61&lt;=MAX('計算'!$CT$6:$CT$405)+MAX('計算'!$CU$6:$CU$405),61,"")</f>
        <v/>
      </c>
      <c r="C71" s="62">
        <f>IF($B71="","",IF(61&lt;=MAX('計算'!$CT$6:$CT$405),IFERROR(INDEX('計算'!$F$6:$F$405,MATCH(61,'計算'!$CT$6:$CT$405,0)),""),IFERROR(INDEX('計算'!$F$6:$F$405,MATCH(61-MAX('計算'!$CT$6:$CT$405),'計算'!$CU$6:$CU$405,0)),"")))</f>
        <v/>
      </c>
      <c r="D71" s="62">
        <f>IF($B71="","",IF(61&lt;=MAX('計算'!$CT$6:$CT$405),IFERROR(INDEX('計算'!$C$6:$C$405,MATCH(61,'計算'!$CT$6:$CT$405,0))&amp;"",""),IFERROR(INDEX('計算'!$C$6:$C$405,MATCH(61-MAX('計算'!$CT$6:$CT$405),'計算'!$CU$6:$CU$405,0))&amp;"","")))</f>
        <v/>
      </c>
      <c r="E71" s="62">
        <f>IF($B71="","",IF(61&lt;=MAX('計算'!$CT$6:$CT$405),IFERROR(INDEX('計算'!$D$6:$D$405,MATCH(61,'計算'!$CT$6:$CT$405,0)),""),IFERROR(INDEX('計算'!$D$6:$D$405,MATCH(61-MAX('計算'!$CT$6:$CT$405),'計算'!$CU$6:$CU$405,0)),"")))</f>
        <v/>
      </c>
      <c r="F71" s="63">
        <f>IF($B71="","",IF(61&lt;=MAX('計算'!$CT$6:$CT$405),IFERROR(INDEX('計算'!$P$6:$P$405,MATCH(61,'計算'!$CT$6:$CT$405,0)),""),IFERROR(INDEX('計算'!$S$6:$S$405,MATCH(61-MAX('計算'!$CT$6:$CT$405),'計算'!$CU$6:$CU$405,0)),"")))</f>
        <v/>
      </c>
      <c r="G71" s="62">
        <f>IF($B71="","",IF(61&lt;=MAX('計算'!$CT$6:$CT$405),IFERROR(INDEX('計算'!$CR$6:$CR$405,MATCH(61,'計算'!$CT$6:$CT$405,0)),""),IFERROR(INDEX('計算'!$CR$6:$CR$405,MATCH(61-MAX('計算'!$CT$6:$CT$405),'計算'!$CU$6:$CU$405,0)),"")))</f>
        <v/>
      </c>
      <c r="H71" s="64">
        <f>IF($B71="","",IF(61&lt;=MAX('計算'!$CT$6:$CT$405),IFERROR(INDEX('計算'!$Q$6:$Q$405,MATCH(61,'計算'!$CT$6:$CT$405,0)),""),IFERROR(INDEX('計算'!$T$6:$T$405,MATCH(61-MAX('計算'!$CT$6:$CT$405),'計算'!$CU$6:$CU$405,0)),"")))</f>
        <v/>
      </c>
      <c r="I71" s="65">
        <f>IF($B71="","",IF(61&lt;=MAX('計算'!$CT$6:$CT$405),IFERROR(INDEX('計算'!$H$6:$H$405,MATCH(61,'計算'!$CT$6:$CT$405,0)),""),IFERROR(INDEX('計算'!$H$6:$H$405,MATCH(61-MAX('計算'!$CT$6:$CT$405),'計算'!$CU$6:$CU$405,0)),"")))</f>
        <v/>
      </c>
      <c r="J71" s="65">
        <f>IF($B71="","",N($H71)*IFERROR(INDEX('計算'!$G$6:$G$405,IF(61&lt;=MAX('計算'!$CT$6:$CT$405),MATCH(61,'計算'!$CT$6:$CT$405,0),MATCH(61-MAX('計算'!$CT$6:$CT$405),'計算'!$CU$6:$CU$405,0))),1)*N($I71))</f>
        <v/>
      </c>
    </row>
    <row r="72" ht="18" customHeight="1">
      <c r="B72" s="61">
        <f>IF(62&lt;=MAX('計算'!$CT$6:$CT$405)+MAX('計算'!$CU$6:$CU$405),62,"")</f>
        <v/>
      </c>
      <c r="C72" s="62">
        <f>IF($B72="","",IF(62&lt;=MAX('計算'!$CT$6:$CT$405),IFERROR(INDEX('計算'!$F$6:$F$405,MATCH(62,'計算'!$CT$6:$CT$405,0)),""),IFERROR(INDEX('計算'!$F$6:$F$405,MATCH(62-MAX('計算'!$CT$6:$CT$405),'計算'!$CU$6:$CU$405,0)),"")))</f>
        <v/>
      </c>
      <c r="D72" s="62">
        <f>IF($B72="","",IF(62&lt;=MAX('計算'!$CT$6:$CT$405),IFERROR(INDEX('計算'!$C$6:$C$405,MATCH(62,'計算'!$CT$6:$CT$405,0))&amp;"",""),IFERROR(INDEX('計算'!$C$6:$C$405,MATCH(62-MAX('計算'!$CT$6:$CT$405),'計算'!$CU$6:$CU$405,0))&amp;"","")))</f>
        <v/>
      </c>
      <c r="E72" s="62">
        <f>IF($B72="","",IF(62&lt;=MAX('計算'!$CT$6:$CT$405),IFERROR(INDEX('計算'!$D$6:$D$405,MATCH(62,'計算'!$CT$6:$CT$405,0)),""),IFERROR(INDEX('計算'!$D$6:$D$405,MATCH(62-MAX('計算'!$CT$6:$CT$405),'計算'!$CU$6:$CU$405,0)),"")))</f>
        <v/>
      </c>
      <c r="F72" s="63">
        <f>IF($B72="","",IF(62&lt;=MAX('計算'!$CT$6:$CT$405),IFERROR(INDEX('計算'!$P$6:$P$405,MATCH(62,'計算'!$CT$6:$CT$405,0)),""),IFERROR(INDEX('計算'!$S$6:$S$405,MATCH(62-MAX('計算'!$CT$6:$CT$405),'計算'!$CU$6:$CU$405,0)),"")))</f>
        <v/>
      </c>
      <c r="G72" s="62">
        <f>IF($B72="","",IF(62&lt;=MAX('計算'!$CT$6:$CT$405),IFERROR(INDEX('計算'!$CR$6:$CR$405,MATCH(62,'計算'!$CT$6:$CT$405,0)),""),IFERROR(INDEX('計算'!$CR$6:$CR$405,MATCH(62-MAX('計算'!$CT$6:$CT$405),'計算'!$CU$6:$CU$405,0)),"")))</f>
        <v/>
      </c>
      <c r="H72" s="64">
        <f>IF($B72="","",IF(62&lt;=MAX('計算'!$CT$6:$CT$405),IFERROR(INDEX('計算'!$Q$6:$Q$405,MATCH(62,'計算'!$CT$6:$CT$405,0)),""),IFERROR(INDEX('計算'!$T$6:$T$405,MATCH(62-MAX('計算'!$CT$6:$CT$405),'計算'!$CU$6:$CU$405,0)),"")))</f>
        <v/>
      </c>
      <c r="I72" s="65">
        <f>IF($B72="","",IF(62&lt;=MAX('計算'!$CT$6:$CT$405),IFERROR(INDEX('計算'!$H$6:$H$405,MATCH(62,'計算'!$CT$6:$CT$405,0)),""),IFERROR(INDEX('計算'!$H$6:$H$405,MATCH(62-MAX('計算'!$CT$6:$CT$405),'計算'!$CU$6:$CU$405,0)),"")))</f>
        <v/>
      </c>
      <c r="J72" s="65">
        <f>IF($B72="","",N($H72)*IFERROR(INDEX('計算'!$G$6:$G$405,IF(62&lt;=MAX('計算'!$CT$6:$CT$405),MATCH(62,'計算'!$CT$6:$CT$405,0),MATCH(62-MAX('計算'!$CT$6:$CT$405),'計算'!$CU$6:$CU$405,0))),1)*N($I72))</f>
        <v/>
      </c>
    </row>
    <row r="73" ht="18" customHeight="1">
      <c r="B73" s="61">
        <f>IF(63&lt;=MAX('計算'!$CT$6:$CT$405)+MAX('計算'!$CU$6:$CU$405),63,"")</f>
        <v/>
      </c>
      <c r="C73" s="62">
        <f>IF($B73="","",IF(63&lt;=MAX('計算'!$CT$6:$CT$405),IFERROR(INDEX('計算'!$F$6:$F$405,MATCH(63,'計算'!$CT$6:$CT$405,0)),""),IFERROR(INDEX('計算'!$F$6:$F$405,MATCH(63-MAX('計算'!$CT$6:$CT$405),'計算'!$CU$6:$CU$405,0)),"")))</f>
        <v/>
      </c>
      <c r="D73" s="62">
        <f>IF($B73="","",IF(63&lt;=MAX('計算'!$CT$6:$CT$405),IFERROR(INDEX('計算'!$C$6:$C$405,MATCH(63,'計算'!$CT$6:$CT$405,0))&amp;"",""),IFERROR(INDEX('計算'!$C$6:$C$405,MATCH(63-MAX('計算'!$CT$6:$CT$405),'計算'!$CU$6:$CU$405,0))&amp;"","")))</f>
        <v/>
      </c>
      <c r="E73" s="62">
        <f>IF($B73="","",IF(63&lt;=MAX('計算'!$CT$6:$CT$405),IFERROR(INDEX('計算'!$D$6:$D$405,MATCH(63,'計算'!$CT$6:$CT$405,0)),""),IFERROR(INDEX('計算'!$D$6:$D$405,MATCH(63-MAX('計算'!$CT$6:$CT$405),'計算'!$CU$6:$CU$405,0)),"")))</f>
        <v/>
      </c>
      <c r="F73" s="63">
        <f>IF($B73="","",IF(63&lt;=MAX('計算'!$CT$6:$CT$405),IFERROR(INDEX('計算'!$P$6:$P$405,MATCH(63,'計算'!$CT$6:$CT$405,0)),""),IFERROR(INDEX('計算'!$S$6:$S$405,MATCH(63-MAX('計算'!$CT$6:$CT$405),'計算'!$CU$6:$CU$405,0)),"")))</f>
        <v/>
      </c>
      <c r="G73" s="62">
        <f>IF($B73="","",IF(63&lt;=MAX('計算'!$CT$6:$CT$405),IFERROR(INDEX('計算'!$CR$6:$CR$405,MATCH(63,'計算'!$CT$6:$CT$405,0)),""),IFERROR(INDEX('計算'!$CR$6:$CR$405,MATCH(63-MAX('計算'!$CT$6:$CT$405),'計算'!$CU$6:$CU$405,0)),"")))</f>
        <v/>
      </c>
      <c r="H73" s="64">
        <f>IF($B73="","",IF(63&lt;=MAX('計算'!$CT$6:$CT$405),IFERROR(INDEX('計算'!$Q$6:$Q$405,MATCH(63,'計算'!$CT$6:$CT$405,0)),""),IFERROR(INDEX('計算'!$T$6:$T$405,MATCH(63-MAX('計算'!$CT$6:$CT$405),'計算'!$CU$6:$CU$405,0)),"")))</f>
        <v/>
      </c>
      <c r="I73" s="65">
        <f>IF($B73="","",IF(63&lt;=MAX('計算'!$CT$6:$CT$405),IFERROR(INDEX('計算'!$H$6:$H$405,MATCH(63,'計算'!$CT$6:$CT$405,0)),""),IFERROR(INDEX('計算'!$H$6:$H$405,MATCH(63-MAX('計算'!$CT$6:$CT$405),'計算'!$CU$6:$CU$405,0)),"")))</f>
        <v/>
      </c>
      <c r="J73" s="65">
        <f>IF($B73="","",N($H73)*IFERROR(INDEX('計算'!$G$6:$G$405,IF(63&lt;=MAX('計算'!$CT$6:$CT$405),MATCH(63,'計算'!$CT$6:$CT$405,0),MATCH(63-MAX('計算'!$CT$6:$CT$405),'計算'!$CU$6:$CU$405,0))),1)*N($I73))</f>
        <v/>
      </c>
    </row>
    <row r="74" ht="18" customHeight="1">
      <c r="B74" s="61">
        <f>IF(64&lt;=MAX('計算'!$CT$6:$CT$405)+MAX('計算'!$CU$6:$CU$405),64,"")</f>
        <v/>
      </c>
      <c r="C74" s="62">
        <f>IF($B74="","",IF(64&lt;=MAX('計算'!$CT$6:$CT$405),IFERROR(INDEX('計算'!$F$6:$F$405,MATCH(64,'計算'!$CT$6:$CT$405,0)),""),IFERROR(INDEX('計算'!$F$6:$F$405,MATCH(64-MAX('計算'!$CT$6:$CT$405),'計算'!$CU$6:$CU$405,0)),"")))</f>
        <v/>
      </c>
      <c r="D74" s="62">
        <f>IF($B74="","",IF(64&lt;=MAX('計算'!$CT$6:$CT$405),IFERROR(INDEX('計算'!$C$6:$C$405,MATCH(64,'計算'!$CT$6:$CT$405,0))&amp;"",""),IFERROR(INDEX('計算'!$C$6:$C$405,MATCH(64-MAX('計算'!$CT$6:$CT$405),'計算'!$CU$6:$CU$405,0))&amp;"","")))</f>
        <v/>
      </c>
      <c r="E74" s="62">
        <f>IF($B74="","",IF(64&lt;=MAX('計算'!$CT$6:$CT$405),IFERROR(INDEX('計算'!$D$6:$D$405,MATCH(64,'計算'!$CT$6:$CT$405,0)),""),IFERROR(INDEX('計算'!$D$6:$D$405,MATCH(64-MAX('計算'!$CT$6:$CT$405),'計算'!$CU$6:$CU$405,0)),"")))</f>
        <v/>
      </c>
      <c r="F74" s="63">
        <f>IF($B74="","",IF(64&lt;=MAX('計算'!$CT$6:$CT$405),IFERROR(INDEX('計算'!$P$6:$P$405,MATCH(64,'計算'!$CT$6:$CT$405,0)),""),IFERROR(INDEX('計算'!$S$6:$S$405,MATCH(64-MAX('計算'!$CT$6:$CT$405),'計算'!$CU$6:$CU$405,0)),"")))</f>
        <v/>
      </c>
      <c r="G74" s="62">
        <f>IF($B74="","",IF(64&lt;=MAX('計算'!$CT$6:$CT$405),IFERROR(INDEX('計算'!$CR$6:$CR$405,MATCH(64,'計算'!$CT$6:$CT$405,0)),""),IFERROR(INDEX('計算'!$CR$6:$CR$405,MATCH(64-MAX('計算'!$CT$6:$CT$405),'計算'!$CU$6:$CU$405,0)),"")))</f>
        <v/>
      </c>
      <c r="H74" s="64">
        <f>IF($B74="","",IF(64&lt;=MAX('計算'!$CT$6:$CT$405),IFERROR(INDEX('計算'!$Q$6:$Q$405,MATCH(64,'計算'!$CT$6:$CT$405,0)),""),IFERROR(INDEX('計算'!$T$6:$T$405,MATCH(64-MAX('計算'!$CT$6:$CT$405),'計算'!$CU$6:$CU$405,0)),"")))</f>
        <v/>
      </c>
      <c r="I74" s="65">
        <f>IF($B74="","",IF(64&lt;=MAX('計算'!$CT$6:$CT$405),IFERROR(INDEX('計算'!$H$6:$H$405,MATCH(64,'計算'!$CT$6:$CT$405,0)),""),IFERROR(INDEX('計算'!$H$6:$H$405,MATCH(64-MAX('計算'!$CT$6:$CT$405),'計算'!$CU$6:$CU$405,0)),"")))</f>
        <v/>
      </c>
      <c r="J74" s="65">
        <f>IF($B74="","",N($H74)*IFERROR(INDEX('計算'!$G$6:$G$405,IF(64&lt;=MAX('計算'!$CT$6:$CT$405),MATCH(64,'計算'!$CT$6:$CT$405,0),MATCH(64-MAX('計算'!$CT$6:$CT$405),'計算'!$CU$6:$CU$405,0))),1)*N($I74))</f>
        <v/>
      </c>
    </row>
    <row r="75" ht="18" customHeight="1">
      <c r="B75" s="61">
        <f>IF(65&lt;=MAX('計算'!$CT$6:$CT$405)+MAX('計算'!$CU$6:$CU$405),65,"")</f>
        <v/>
      </c>
      <c r="C75" s="62">
        <f>IF($B75="","",IF(65&lt;=MAX('計算'!$CT$6:$CT$405),IFERROR(INDEX('計算'!$F$6:$F$405,MATCH(65,'計算'!$CT$6:$CT$405,0)),""),IFERROR(INDEX('計算'!$F$6:$F$405,MATCH(65-MAX('計算'!$CT$6:$CT$405),'計算'!$CU$6:$CU$405,0)),"")))</f>
        <v/>
      </c>
      <c r="D75" s="62">
        <f>IF($B75="","",IF(65&lt;=MAX('計算'!$CT$6:$CT$405),IFERROR(INDEX('計算'!$C$6:$C$405,MATCH(65,'計算'!$CT$6:$CT$405,0))&amp;"",""),IFERROR(INDEX('計算'!$C$6:$C$405,MATCH(65-MAX('計算'!$CT$6:$CT$405),'計算'!$CU$6:$CU$405,0))&amp;"","")))</f>
        <v/>
      </c>
      <c r="E75" s="62">
        <f>IF($B75="","",IF(65&lt;=MAX('計算'!$CT$6:$CT$405),IFERROR(INDEX('計算'!$D$6:$D$405,MATCH(65,'計算'!$CT$6:$CT$405,0)),""),IFERROR(INDEX('計算'!$D$6:$D$405,MATCH(65-MAX('計算'!$CT$6:$CT$405),'計算'!$CU$6:$CU$405,0)),"")))</f>
        <v/>
      </c>
      <c r="F75" s="63">
        <f>IF($B75="","",IF(65&lt;=MAX('計算'!$CT$6:$CT$405),IFERROR(INDEX('計算'!$P$6:$P$405,MATCH(65,'計算'!$CT$6:$CT$405,0)),""),IFERROR(INDEX('計算'!$S$6:$S$405,MATCH(65-MAX('計算'!$CT$6:$CT$405),'計算'!$CU$6:$CU$405,0)),"")))</f>
        <v/>
      </c>
      <c r="G75" s="62">
        <f>IF($B75="","",IF(65&lt;=MAX('計算'!$CT$6:$CT$405),IFERROR(INDEX('計算'!$CR$6:$CR$405,MATCH(65,'計算'!$CT$6:$CT$405,0)),""),IFERROR(INDEX('計算'!$CR$6:$CR$405,MATCH(65-MAX('計算'!$CT$6:$CT$405),'計算'!$CU$6:$CU$405,0)),"")))</f>
        <v/>
      </c>
      <c r="H75" s="64">
        <f>IF($B75="","",IF(65&lt;=MAX('計算'!$CT$6:$CT$405),IFERROR(INDEX('計算'!$Q$6:$Q$405,MATCH(65,'計算'!$CT$6:$CT$405,0)),""),IFERROR(INDEX('計算'!$T$6:$T$405,MATCH(65-MAX('計算'!$CT$6:$CT$405),'計算'!$CU$6:$CU$405,0)),"")))</f>
        <v/>
      </c>
      <c r="I75" s="65">
        <f>IF($B75="","",IF(65&lt;=MAX('計算'!$CT$6:$CT$405),IFERROR(INDEX('計算'!$H$6:$H$405,MATCH(65,'計算'!$CT$6:$CT$405,0)),""),IFERROR(INDEX('計算'!$H$6:$H$405,MATCH(65-MAX('計算'!$CT$6:$CT$405),'計算'!$CU$6:$CU$405,0)),"")))</f>
        <v/>
      </c>
      <c r="J75" s="65">
        <f>IF($B75="","",N($H75)*IFERROR(INDEX('計算'!$G$6:$G$405,IF(65&lt;=MAX('計算'!$CT$6:$CT$405),MATCH(65,'計算'!$CT$6:$CT$405,0),MATCH(65-MAX('計算'!$CT$6:$CT$405),'計算'!$CU$6:$CU$405,0))),1)*N($I75))</f>
        <v/>
      </c>
    </row>
    <row r="76" ht="18" customHeight="1">
      <c r="B76" s="61">
        <f>IF(66&lt;=MAX('計算'!$CT$6:$CT$405)+MAX('計算'!$CU$6:$CU$405),66,"")</f>
        <v/>
      </c>
      <c r="C76" s="62">
        <f>IF($B76="","",IF(66&lt;=MAX('計算'!$CT$6:$CT$405),IFERROR(INDEX('計算'!$F$6:$F$405,MATCH(66,'計算'!$CT$6:$CT$405,0)),""),IFERROR(INDEX('計算'!$F$6:$F$405,MATCH(66-MAX('計算'!$CT$6:$CT$405),'計算'!$CU$6:$CU$405,0)),"")))</f>
        <v/>
      </c>
      <c r="D76" s="62">
        <f>IF($B76="","",IF(66&lt;=MAX('計算'!$CT$6:$CT$405),IFERROR(INDEX('計算'!$C$6:$C$405,MATCH(66,'計算'!$CT$6:$CT$405,0))&amp;"",""),IFERROR(INDEX('計算'!$C$6:$C$405,MATCH(66-MAX('計算'!$CT$6:$CT$405),'計算'!$CU$6:$CU$405,0))&amp;"","")))</f>
        <v/>
      </c>
      <c r="E76" s="62">
        <f>IF($B76="","",IF(66&lt;=MAX('計算'!$CT$6:$CT$405),IFERROR(INDEX('計算'!$D$6:$D$405,MATCH(66,'計算'!$CT$6:$CT$405,0)),""),IFERROR(INDEX('計算'!$D$6:$D$405,MATCH(66-MAX('計算'!$CT$6:$CT$405),'計算'!$CU$6:$CU$405,0)),"")))</f>
        <v/>
      </c>
      <c r="F76" s="63">
        <f>IF($B76="","",IF(66&lt;=MAX('計算'!$CT$6:$CT$405),IFERROR(INDEX('計算'!$P$6:$P$405,MATCH(66,'計算'!$CT$6:$CT$405,0)),""),IFERROR(INDEX('計算'!$S$6:$S$405,MATCH(66-MAX('計算'!$CT$6:$CT$405),'計算'!$CU$6:$CU$405,0)),"")))</f>
        <v/>
      </c>
      <c r="G76" s="62">
        <f>IF($B76="","",IF(66&lt;=MAX('計算'!$CT$6:$CT$405),IFERROR(INDEX('計算'!$CR$6:$CR$405,MATCH(66,'計算'!$CT$6:$CT$405,0)),""),IFERROR(INDEX('計算'!$CR$6:$CR$405,MATCH(66-MAX('計算'!$CT$6:$CT$405),'計算'!$CU$6:$CU$405,0)),"")))</f>
        <v/>
      </c>
      <c r="H76" s="64">
        <f>IF($B76="","",IF(66&lt;=MAX('計算'!$CT$6:$CT$405),IFERROR(INDEX('計算'!$Q$6:$Q$405,MATCH(66,'計算'!$CT$6:$CT$405,0)),""),IFERROR(INDEX('計算'!$T$6:$T$405,MATCH(66-MAX('計算'!$CT$6:$CT$405),'計算'!$CU$6:$CU$405,0)),"")))</f>
        <v/>
      </c>
      <c r="I76" s="65">
        <f>IF($B76="","",IF(66&lt;=MAX('計算'!$CT$6:$CT$405),IFERROR(INDEX('計算'!$H$6:$H$405,MATCH(66,'計算'!$CT$6:$CT$405,0)),""),IFERROR(INDEX('計算'!$H$6:$H$405,MATCH(66-MAX('計算'!$CT$6:$CT$405),'計算'!$CU$6:$CU$405,0)),"")))</f>
        <v/>
      </c>
      <c r="J76" s="65">
        <f>IF($B76="","",N($H76)*IFERROR(INDEX('計算'!$G$6:$G$405,IF(66&lt;=MAX('計算'!$CT$6:$CT$405),MATCH(66,'計算'!$CT$6:$CT$405,0),MATCH(66-MAX('計算'!$CT$6:$CT$405),'計算'!$CU$6:$CU$405,0))),1)*N($I76))</f>
        <v/>
      </c>
    </row>
    <row r="77" ht="18" customHeight="1">
      <c r="B77" s="61">
        <f>IF(67&lt;=MAX('計算'!$CT$6:$CT$405)+MAX('計算'!$CU$6:$CU$405),67,"")</f>
        <v/>
      </c>
      <c r="C77" s="62">
        <f>IF($B77="","",IF(67&lt;=MAX('計算'!$CT$6:$CT$405),IFERROR(INDEX('計算'!$F$6:$F$405,MATCH(67,'計算'!$CT$6:$CT$405,0)),""),IFERROR(INDEX('計算'!$F$6:$F$405,MATCH(67-MAX('計算'!$CT$6:$CT$405),'計算'!$CU$6:$CU$405,0)),"")))</f>
        <v/>
      </c>
      <c r="D77" s="62">
        <f>IF($B77="","",IF(67&lt;=MAX('計算'!$CT$6:$CT$405),IFERROR(INDEX('計算'!$C$6:$C$405,MATCH(67,'計算'!$CT$6:$CT$405,0))&amp;"",""),IFERROR(INDEX('計算'!$C$6:$C$405,MATCH(67-MAX('計算'!$CT$6:$CT$405),'計算'!$CU$6:$CU$405,0))&amp;"","")))</f>
        <v/>
      </c>
      <c r="E77" s="62">
        <f>IF($B77="","",IF(67&lt;=MAX('計算'!$CT$6:$CT$405),IFERROR(INDEX('計算'!$D$6:$D$405,MATCH(67,'計算'!$CT$6:$CT$405,0)),""),IFERROR(INDEX('計算'!$D$6:$D$405,MATCH(67-MAX('計算'!$CT$6:$CT$405),'計算'!$CU$6:$CU$405,0)),"")))</f>
        <v/>
      </c>
      <c r="F77" s="63">
        <f>IF($B77="","",IF(67&lt;=MAX('計算'!$CT$6:$CT$405),IFERROR(INDEX('計算'!$P$6:$P$405,MATCH(67,'計算'!$CT$6:$CT$405,0)),""),IFERROR(INDEX('計算'!$S$6:$S$405,MATCH(67-MAX('計算'!$CT$6:$CT$405),'計算'!$CU$6:$CU$405,0)),"")))</f>
        <v/>
      </c>
      <c r="G77" s="62">
        <f>IF($B77="","",IF(67&lt;=MAX('計算'!$CT$6:$CT$405),IFERROR(INDEX('計算'!$CR$6:$CR$405,MATCH(67,'計算'!$CT$6:$CT$405,0)),""),IFERROR(INDEX('計算'!$CR$6:$CR$405,MATCH(67-MAX('計算'!$CT$6:$CT$405),'計算'!$CU$6:$CU$405,0)),"")))</f>
        <v/>
      </c>
      <c r="H77" s="64">
        <f>IF($B77="","",IF(67&lt;=MAX('計算'!$CT$6:$CT$405),IFERROR(INDEX('計算'!$Q$6:$Q$405,MATCH(67,'計算'!$CT$6:$CT$405,0)),""),IFERROR(INDEX('計算'!$T$6:$T$405,MATCH(67-MAX('計算'!$CT$6:$CT$405),'計算'!$CU$6:$CU$405,0)),"")))</f>
        <v/>
      </c>
      <c r="I77" s="65">
        <f>IF($B77="","",IF(67&lt;=MAX('計算'!$CT$6:$CT$405),IFERROR(INDEX('計算'!$H$6:$H$405,MATCH(67,'計算'!$CT$6:$CT$405,0)),""),IFERROR(INDEX('計算'!$H$6:$H$405,MATCH(67-MAX('計算'!$CT$6:$CT$405),'計算'!$CU$6:$CU$405,0)),"")))</f>
        <v/>
      </c>
      <c r="J77" s="65">
        <f>IF($B77="","",N($H77)*IFERROR(INDEX('計算'!$G$6:$G$405,IF(67&lt;=MAX('計算'!$CT$6:$CT$405),MATCH(67,'計算'!$CT$6:$CT$405,0),MATCH(67-MAX('計算'!$CT$6:$CT$405),'計算'!$CU$6:$CU$405,0))),1)*N($I77))</f>
        <v/>
      </c>
    </row>
    <row r="78" ht="18" customHeight="1">
      <c r="B78" s="61">
        <f>IF(68&lt;=MAX('計算'!$CT$6:$CT$405)+MAX('計算'!$CU$6:$CU$405),68,"")</f>
        <v/>
      </c>
      <c r="C78" s="62">
        <f>IF($B78="","",IF(68&lt;=MAX('計算'!$CT$6:$CT$405),IFERROR(INDEX('計算'!$F$6:$F$405,MATCH(68,'計算'!$CT$6:$CT$405,0)),""),IFERROR(INDEX('計算'!$F$6:$F$405,MATCH(68-MAX('計算'!$CT$6:$CT$405),'計算'!$CU$6:$CU$405,0)),"")))</f>
        <v/>
      </c>
      <c r="D78" s="62">
        <f>IF($B78="","",IF(68&lt;=MAX('計算'!$CT$6:$CT$405),IFERROR(INDEX('計算'!$C$6:$C$405,MATCH(68,'計算'!$CT$6:$CT$405,0))&amp;"",""),IFERROR(INDEX('計算'!$C$6:$C$405,MATCH(68-MAX('計算'!$CT$6:$CT$405),'計算'!$CU$6:$CU$405,0))&amp;"","")))</f>
        <v/>
      </c>
      <c r="E78" s="62">
        <f>IF($B78="","",IF(68&lt;=MAX('計算'!$CT$6:$CT$405),IFERROR(INDEX('計算'!$D$6:$D$405,MATCH(68,'計算'!$CT$6:$CT$405,0)),""),IFERROR(INDEX('計算'!$D$6:$D$405,MATCH(68-MAX('計算'!$CT$6:$CT$405),'計算'!$CU$6:$CU$405,0)),"")))</f>
        <v/>
      </c>
      <c r="F78" s="63">
        <f>IF($B78="","",IF(68&lt;=MAX('計算'!$CT$6:$CT$405),IFERROR(INDEX('計算'!$P$6:$P$405,MATCH(68,'計算'!$CT$6:$CT$405,0)),""),IFERROR(INDEX('計算'!$S$6:$S$405,MATCH(68-MAX('計算'!$CT$6:$CT$405),'計算'!$CU$6:$CU$405,0)),"")))</f>
        <v/>
      </c>
      <c r="G78" s="62">
        <f>IF($B78="","",IF(68&lt;=MAX('計算'!$CT$6:$CT$405),IFERROR(INDEX('計算'!$CR$6:$CR$405,MATCH(68,'計算'!$CT$6:$CT$405,0)),""),IFERROR(INDEX('計算'!$CR$6:$CR$405,MATCH(68-MAX('計算'!$CT$6:$CT$405),'計算'!$CU$6:$CU$405,0)),"")))</f>
        <v/>
      </c>
      <c r="H78" s="64">
        <f>IF($B78="","",IF(68&lt;=MAX('計算'!$CT$6:$CT$405),IFERROR(INDEX('計算'!$Q$6:$Q$405,MATCH(68,'計算'!$CT$6:$CT$405,0)),""),IFERROR(INDEX('計算'!$T$6:$T$405,MATCH(68-MAX('計算'!$CT$6:$CT$405),'計算'!$CU$6:$CU$405,0)),"")))</f>
        <v/>
      </c>
      <c r="I78" s="65">
        <f>IF($B78="","",IF(68&lt;=MAX('計算'!$CT$6:$CT$405),IFERROR(INDEX('計算'!$H$6:$H$405,MATCH(68,'計算'!$CT$6:$CT$405,0)),""),IFERROR(INDEX('計算'!$H$6:$H$405,MATCH(68-MAX('計算'!$CT$6:$CT$405),'計算'!$CU$6:$CU$405,0)),"")))</f>
        <v/>
      </c>
      <c r="J78" s="65">
        <f>IF($B78="","",N($H78)*IFERROR(INDEX('計算'!$G$6:$G$405,IF(68&lt;=MAX('計算'!$CT$6:$CT$405),MATCH(68,'計算'!$CT$6:$CT$405,0),MATCH(68-MAX('計算'!$CT$6:$CT$405),'計算'!$CU$6:$CU$405,0))),1)*N($I78))</f>
        <v/>
      </c>
    </row>
    <row r="79" ht="18" customHeight="1">
      <c r="B79" s="61">
        <f>IF(69&lt;=MAX('計算'!$CT$6:$CT$405)+MAX('計算'!$CU$6:$CU$405),69,"")</f>
        <v/>
      </c>
      <c r="C79" s="62">
        <f>IF($B79="","",IF(69&lt;=MAX('計算'!$CT$6:$CT$405),IFERROR(INDEX('計算'!$F$6:$F$405,MATCH(69,'計算'!$CT$6:$CT$405,0)),""),IFERROR(INDEX('計算'!$F$6:$F$405,MATCH(69-MAX('計算'!$CT$6:$CT$405),'計算'!$CU$6:$CU$405,0)),"")))</f>
        <v/>
      </c>
      <c r="D79" s="62">
        <f>IF($B79="","",IF(69&lt;=MAX('計算'!$CT$6:$CT$405),IFERROR(INDEX('計算'!$C$6:$C$405,MATCH(69,'計算'!$CT$6:$CT$405,0))&amp;"",""),IFERROR(INDEX('計算'!$C$6:$C$405,MATCH(69-MAX('計算'!$CT$6:$CT$405),'計算'!$CU$6:$CU$405,0))&amp;"","")))</f>
        <v/>
      </c>
      <c r="E79" s="62">
        <f>IF($B79="","",IF(69&lt;=MAX('計算'!$CT$6:$CT$405),IFERROR(INDEX('計算'!$D$6:$D$405,MATCH(69,'計算'!$CT$6:$CT$405,0)),""),IFERROR(INDEX('計算'!$D$6:$D$405,MATCH(69-MAX('計算'!$CT$6:$CT$405),'計算'!$CU$6:$CU$405,0)),"")))</f>
        <v/>
      </c>
      <c r="F79" s="63">
        <f>IF($B79="","",IF(69&lt;=MAX('計算'!$CT$6:$CT$405),IFERROR(INDEX('計算'!$P$6:$P$405,MATCH(69,'計算'!$CT$6:$CT$405,0)),""),IFERROR(INDEX('計算'!$S$6:$S$405,MATCH(69-MAX('計算'!$CT$6:$CT$405),'計算'!$CU$6:$CU$405,0)),"")))</f>
        <v/>
      </c>
      <c r="G79" s="62">
        <f>IF($B79="","",IF(69&lt;=MAX('計算'!$CT$6:$CT$405),IFERROR(INDEX('計算'!$CR$6:$CR$405,MATCH(69,'計算'!$CT$6:$CT$405,0)),""),IFERROR(INDEX('計算'!$CR$6:$CR$405,MATCH(69-MAX('計算'!$CT$6:$CT$405),'計算'!$CU$6:$CU$405,0)),"")))</f>
        <v/>
      </c>
      <c r="H79" s="64">
        <f>IF($B79="","",IF(69&lt;=MAX('計算'!$CT$6:$CT$405),IFERROR(INDEX('計算'!$Q$6:$Q$405,MATCH(69,'計算'!$CT$6:$CT$405,0)),""),IFERROR(INDEX('計算'!$T$6:$T$405,MATCH(69-MAX('計算'!$CT$6:$CT$405),'計算'!$CU$6:$CU$405,0)),"")))</f>
        <v/>
      </c>
      <c r="I79" s="65">
        <f>IF($B79="","",IF(69&lt;=MAX('計算'!$CT$6:$CT$405),IFERROR(INDEX('計算'!$H$6:$H$405,MATCH(69,'計算'!$CT$6:$CT$405,0)),""),IFERROR(INDEX('計算'!$H$6:$H$405,MATCH(69-MAX('計算'!$CT$6:$CT$405),'計算'!$CU$6:$CU$405,0)),"")))</f>
        <v/>
      </c>
      <c r="J79" s="65">
        <f>IF($B79="","",N($H79)*IFERROR(INDEX('計算'!$G$6:$G$405,IF(69&lt;=MAX('計算'!$CT$6:$CT$405),MATCH(69,'計算'!$CT$6:$CT$405,0),MATCH(69-MAX('計算'!$CT$6:$CT$405),'計算'!$CU$6:$CU$405,0))),1)*N($I79))</f>
        <v/>
      </c>
    </row>
    <row r="80" ht="18" customHeight="1">
      <c r="B80" s="61">
        <f>IF(70&lt;=MAX('計算'!$CT$6:$CT$405)+MAX('計算'!$CU$6:$CU$405),70,"")</f>
        <v/>
      </c>
      <c r="C80" s="62">
        <f>IF($B80="","",IF(70&lt;=MAX('計算'!$CT$6:$CT$405),IFERROR(INDEX('計算'!$F$6:$F$405,MATCH(70,'計算'!$CT$6:$CT$405,0)),""),IFERROR(INDEX('計算'!$F$6:$F$405,MATCH(70-MAX('計算'!$CT$6:$CT$405),'計算'!$CU$6:$CU$405,0)),"")))</f>
        <v/>
      </c>
      <c r="D80" s="62">
        <f>IF($B80="","",IF(70&lt;=MAX('計算'!$CT$6:$CT$405),IFERROR(INDEX('計算'!$C$6:$C$405,MATCH(70,'計算'!$CT$6:$CT$405,0))&amp;"",""),IFERROR(INDEX('計算'!$C$6:$C$405,MATCH(70-MAX('計算'!$CT$6:$CT$405),'計算'!$CU$6:$CU$405,0))&amp;"","")))</f>
        <v/>
      </c>
      <c r="E80" s="62">
        <f>IF($B80="","",IF(70&lt;=MAX('計算'!$CT$6:$CT$405),IFERROR(INDEX('計算'!$D$6:$D$405,MATCH(70,'計算'!$CT$6:$CT$405,0)),""),IFERROR(INDEX('計算'!$D$6:$D$405,MATCH(70-MAX('計算'!$CT$6:$CT$405),'計算'!$CU$6:$CU$405,0)),"")))</f>
        <v/>
      </c>
      <c r="F80" s="63">
        <f>IF($B80="","",IF(70&lt;=MAX('計算'!$CT$6:$CT$405),IFERROR(INDEX('計算'!$P$6:$P$405,MATCH(70,'計算'!$CT$6:$CT$405,0)),""),IFERROR(INDEX('計算'!$S$6:$S$405,MATCH(70-MAX('計算'!$CT$6:$CT$405),'計算'!$CU$6:$CU$405,0)),"")))</f>
        <v/>
      </c>
      <c r="G80" s="62">
        <f>IF($B80="","",IF(70&lt;=MAX('計算'!$CT$6:$CT$405),IFERROR(INDEX('計算'!$CR$6:$CR$405,MATCH(70,'計算'!$CT$6:$CT$405,0)),""),IFERROR(INDEX('計算'!$CR$6:$CR$405,MATCH(70-MAX('計算'!$CT$6:$CT$405),'計算'!$CU$6:$CU$405,0)),"")))</f>
        <v/>
      </c>
      <c r="H80" s="64">
        <f>IF($B80="","",IF(70&lt;=MAX('計算'!$CT$6:$CT$405),IFERROR(INDEX('計算'!$Q$6:$Q$405,MATCH(70,'計算'!$CT$6:$CT$405,0)),""),IFERROR(INDEX('計算'!$T$6:$T$405,MATCH(70-MAX('計算'!$CT$6:$CT$405),'計算'!$CU$6:$CU$405,0)),"")))</f>
        <v/>
      </c>
      <c r="I80" s="65">
        <f>IF($B80="","",IF(70&lt;=MAX('計算'!$CT$6:$CT$405),IFERROR(INDEX('計算'!$H$6:$H$405,MATCH(70,'計算'!$CT$6:$CT$405,0)),""),IFERROR(INDEX('計算'!$H$6:$H$405,MATCH(70-MAX('計算'!$CT$6:$CT$405),'計算'!$CU$6:$CU$405,0)),"")))</f>
        <v/>
      </c>
      <c r="J80" s="65">
        <f>IF($B80="","",N($H80)*IFERROR(INDEX('計算'!$G$6:$G$405,IF(70&lt;=MAX('計算'!$CT$6:$CT$405),MATCH(70,'計算'!$CT$6:$CT$405,0),MATCH(70-MAX('計算'!$CT$6:$CT$405),'計算'!$CU$6:$CU$405,0))),1)*N($I80))</f>
        <v/>
      </c>
    </row>
    <row r="81" ht="18" customHeight="1">
      <c r="B81" s="61">
        <f>IF(71&lt;=MAX('計算'!$CT$6:$CT$405)+MAX('計算'!$CU$6:$CU$405),71,"")</f>
        <v/>
      </c>
      <c r="C81" s="62">
        <f>IF($B81="","",IF(71&lt;=MAX('計算'!$CT$6:$CT$405),IFERROR(INDEX('計算'!$F$6:$F$405,MATCH(71,'計算'!$CT$6:$CT$405,0)),""),IFERROR(INDEX('計算'!$F$6:$F$405,MATCH(71-MAX('計算'!$CT$6:$CT$405),'計算'!$CU$6:$CU$405,0)),"")))</f>
        <v/>
      </c>
      <c r="D81" s="62">
        <f>IF($B81="","",IF(71&lt;=MAX('計算'!$CT$6:$CT$405),IFERROR(INDEX('計算'!$C$6:$C$405,MATCH(71,'計算'!$CT$6:$CT$405,0))&amp;"",""),IFERROR(INDEX('計算'!$C$6:$C$405,MATCH(71-MAX('計算'!$CT$6:$CT$405),'計算'!$CU$6:$CU$405,0))&amp;"","")))</f>
        <v/>
      </c>
      <c r="E81" s="62">
        <f>IF($B81="","",IF(71&lt;=MAX('計算'!$CT$6:$CT$405),IFERROR(INDEX('計算'!$D$6:$D$405,MATCH(71,'計算'!$CT$6:$CT$405,0)),""),IFERROR(INDEX('計算'!$D$6:$D$405,MATCH(71-MAX('計算'!$CT$6:$CT$405),'計算'!$CU$6:$CU$405,0)),"")))</f>
        <v/>
      </c>
      <c r="F81" s="63">
        <f>IF($B81="","",IF(71&lt;=MAX('計算'!$CT$6:$CT$405),IFERROR(INDEX('計算'!$P$6:$P$405,MATCH(71,'計算'!$CT$6:$CT$405,0)),""),IFERROR(INDEX('計算'!$S$6:$S$405,MATCH(71-MAX('計算'!$CT$6:$CT$405),'計算'!$CU$6:$CU$405,0)),"")))</f>
        <v/>
      </c>
      <c r="G81" s="62">
        <f>IF($B81="","",IF(71&lt;=MAX('計算'!$CT$6:$CT$405),IFERROR(INDEX('計算'!$CR$6:$CR$405,MATCH(71,'計算'!$CT$6:$CT$405,0)),""),IFERROR(INDEX('計算'!$CR$6:$CR$405,MATCH(71-MAX('計算'!$CT$6:$CT$405),'計算'!$CU$6:$CU$405,0)),"")))</f>
        <v/>
      </c>
      <c r="H81" s="64">
        <f>IF($B81="","",IF(71&lt;=MAX('計算'!$CT$6:$CT$405),IFERROR(INDEX('計算'!$Q$6:$Q$405,MATCH(71,'計算'!$CT$6:$CT$405,0)),""),IFERROR(INDEX('計算'!$T$6:$T$405,MATCH(71-MAX('計算'!$CT$6:$CT$405),'計算'!$CU$6:$CU$405,0)),"")))</f>
        <v/>
      </c>
      <c r="I81" s="65">
        <f>IF($B81="","",IF(71&lt;=MAX('計算'!$CT$6:$CT$405),IFERROR(INDEX('計算'!$H$6:$H$405,MATCH(71,'計算'!$CT$6:$CT$405,0)),""),IFERROR(INDEX('計算'!$H$6:$H$405,MATCH(71-MAX('計算'!$CT$6:$CT$405),'計算'!$CU$6:$CU$405,0)),"")))</f>
        <v/>
      </c>
      <c r="J81" s="65">
        <f>IF($B81="","",N($H81)*IFERROR(INDEX('計算'!$G$6:$G$405,IF(71&lt;=MAX('計算'!$CT$6:$CT$405),MATCH(71,'計算'!$CT$6:$CT$405,0),MATCH(71-MAX('計算'!$CT$6:$CT$405),'計算'!$CU$6:$CU$405,0))),1)*N($I81))</f>
        <v/>
      </c>
    </row>
    <row r="82" ht="18" customHeight="1">
      <c r="B82" s="61">
        <f>IF(72&lt;=MAX('計算'!$CT$6:$CT$405)+MAX('計算'!$CU$6:$CU$405),72,"")</f>
        <v/>
      </c>
      <c r="C82" s="62">
        <f>IF($B82="","",IF(72&lt;=MAX('計算'!$CT$6:$CT$405),IFERROR(INDEX('計算'!$F$6:$F$405,MATCH(72,'計算'!$CT$6:$CT$405,0)),""),IFERROR(INDEX('計算'!$F$6:$F$405,MATCH(72-MAX('計算'!$CT$6:$CT$405),'計算'!$CU$6:$CU$405,0)),"")))</f>
        <v/>
      </c>
      <c r="D82" s="62">
        <f>IF($B82="","",IF(72&lt;=MAX('計算'!$CT$6:$CT$405),IFERROR(INDEX('計算'!$C$6:$C$405,MATCH(72,'計算'!$CT$6:$CT$405,0))&amp;"",""),IFERROR(INDEX('計算'!$C$6:$C$405,MATCH(72-MAX('計算'!$CT$6:$CT$405),'計算'!$CU$6:$CU$405,0))&amp;"","")))</f>
        <v/>
      </c>
      <c r="E82" s="62">
        <f>IF($B82="","",IF(72&lt;=MAX('計算'!$CT$6:$CT$405),IFERROR(INDEX('計算'!$D$6:$D$405,MATCH(72,'計算'!$CT$6:$CT$405,0)),""),IFERROR(INDEX('計算'!$D$6:$D$405,MATCH(72-MAX('計算'!$CT$6:$CT$405),'計算'!$CU$6:$CU$405,0)),"")))</f>
        <v/>
      </c>
      <c r="F82" s="63">
        <f>IF($B82="","",IF(72&lt;=MAX('計算'!$CT$6:$CT$405),IFERROR(INDEX('計算'!$P$6:$P$405,MATCH(72,'計算'!$CT$6:$CT$405,0)),""),IFERROR(INDEX('計算'!$S$6:$S$405,MATCH(72-MAX('計算'!$CT$6:$CT$405),'計算'!$CU$6:$CU$405,0)),"")))</f>
        <v/>
      </c>
      <c r="G82" s="62">
        <f>IF($B82="","",IF(72&lt;=MAX('計算'!$CT$6:$CT$405),IFERROR(INDEX('計算'!$CR$6:$CR$405,MATCH(72,'計算'!$CT$6:$CT$405,0)),""),IFERROR(INDEX('計算'!$CR$6:$CR$405,MATCH(72-MAX('計算'!$CT$6:$CT$405),'計算'!$CU$6:$CU$405,0)),"")))</f>
        <v/>
      </c>
      <c r="H82" s="64">
        <f>IF($B82="","",IF(72&lt;=MAX('計算'!$CT$6:$CT$405),IFERROR(INDEX('計算'!$Q$6:$Q$405,MATCH(72,'計算'!$CT$6:$CT$405,0)),""),IFERROR(INDEX('計算'!$T$6:$T$405,MATCH(72-MAX('計算'!$CT$6:$CT$405),'計算'!$CU$6:$CU$405,0)),"")))</f>
        <v/>
      </c>
      <c r="I82" s="65">
        <f>IF($B82="","",IF(72&lt;=MAX('計算'!$CT$6:$CT$405),IFERROR(INDEX('計算'!$H$6:$H$405,MATCH(72,'計算'!$CT$6:$CT$405,0)),""),IFERROR(INDEX('計算'!$H$6:$H$405,MATCH(72-MAX('計算'!$CT$6:$CT$405),'計算'!$CU$6:$CU$405,0)),"")))</f>
        <v/>
      </c>
      <c r="J82" s="65">
        <f>IF($B82="","",N($H82)*IFERROR(INDEX('計算'!$G$6:$G$405,IF(72&lt;=MAX('計算'!$CT$6:$CT$405),MATCH(72,'計算'!$CT$6:$CT$405,0),MATCH(72-MAX('計算'!$CT$6:$CT$405),'計算'!$CU$6:$CU$405,0))),1)*N($I82))</f>
        <v/>
      </c>
    </row>
    <row r="83" ht="18" customHeight="1">
      <c r="B83" s="61">
        <f>IF(73&lt;=MAX('計算'!$CT$6:$CT$405)+MAX('計算'!$CU$6:$CU$405),73,"")</f>
        <v/>
      </c>
      <c r="C83" s="62">
        <f>IF($B83="","",IF(73&lt;=MAX('計算'!$CT$6:$CT$405),IFERROR(INDEX('計算'!$F$6:$F$405,MATCH(73,'計算'!$CT$6:$CT$405,0)),""),IFERROR(INDEX('計算'!$F$6:$F$405,MATCH(73-MAX('計算'!$CT$6:$CT$405),'計算'!$CU$6:$CU$405,0)),"")))</f>
        <v/>
      </c>
      <c r="D83" s="62">
        <f>IF($B83="","",IF(73&lt;=MAX('計算'!$CT$6:$CT$405),IFERROR(INDEX('計算'!$C$6:$C$405,MATCH(73,'計算'!$CT$6:$CT$405,0))&amp;"",""),IFERROR(INDEX('計算'!$C$6:$C$405,MATCH(73-MAX('計算'!$CT$6:$CT$405),'計算'!$CU$6:$CU$405,0))&amp;"","")))</f>
        <v/>
      </c>
      <c r="E83" s="62">
        <f>IF($B83="","",IF(73&lt;=MAX('計算'!$CT$6:$CT$405),IFERROR(INDEX('計算'!$D$6:$D$405,MATCH(73,'計算'!$CT$6:$CT$405,0)),""),IFERROR(INDEX('計算'!$D$6:$D$405,MATCH(73-MAX('計算'!$CT$6:$CT$405),'計算'!$CU$6:$CU$405,0)),"")))</f>
        <v/>
      </c>
      <c r="F83" s="63">
        <f>IF($B83="","",IF(73&lt;=MAX('計算'!$CT$6:$CT$405),IFERROR(INDEX('計算'!$P$6:$P$405,MATCH(73,'計算'!$CT$6:$CT$405,0)),""),IFERROR(INDEX('計算'!$S$6:$S$405,MATCH(73-MAX('計算'!$CT$6:$CT$405),'計算'!$CU$6:$CU$405,0)),"")))</f>
        <v/>
      </c>
      <c r="G83" s="62">
        <f>IF($B83="","",IF(73&lt;=MAX('計算'!$CT$6:$CT$405),IFERROR(INDEX('計算'!$CR$6:$CR$405,MATCH(73,'計算'!$CT$6:$CT$405,0)),""),IFERROR(INDEX('計算'!$CR$6:$CR$405,MATCH(73-MAX('計算'!$CT$6:$CT$405),'計算'!$CU$6:$CU$405,0)),"")))</f>
        <v/>
      </c>
      <c r="H83" s="64">
        <f>IF($B83="","",IF(73&lt;=MAX('計算'!$CT$6:$CT$405),IFERROR(INDEX('計算'!$Q$6:$Q$405,MATCH(73,'計算'!$CT$6:$CT$405,0)),""),IFERROR(INDEX('計算'!$T$6:$T$405,MATCH(73-MAX('計算'!$CT$6:$CT$405),'計算'!$CU$6:$CU$405,0)),"")))</f>
        <v/>
      </c>
      <c r="I83" s="65">
        <f>IF($B83="","",IF(73&lt;=MAX('計算'!$CT$6:$CT$405),IFERROR(INDEX('計算'!$H$6:$H$405,MATCH(73,'計算'!$CT$6:$CT$405,0)),""),IFERROR(INDEX('計算'!$H$6:$H$405,MATCH(73-MAX('計算'!$CT$6:$CT$405),'計算'!$CU$6:$CU$405,0)),"")))</f>
        <v/>
      </c>
      <c r="J83" s="65">
        <f>IF($B83="","",N($H83)*IFERROR(INDEX('計算'!$G$6:$G$405,IF(73&lt;=MAX('計算'!$CT$6:$CT$405),MATCH(73,'計算'!$CT$6:$CT$405,0),MATCH(73-MAX('計算'!$CT$6:$CT$405),'計算'!$CU$6:$CU$405,0))),1)*N($I83))</f>
        <v/>
      </c>
    </row>
    <row r="84" ht="18" customHeight="1">
      <c r="B84" s="61">
        <f>IF(74&lt;=MAX('計算'!$CT$6:$CT$405)+MAX('計算'!$CU$6:$CU$405),74,"")</f>
        <v/>
      </c>
      <c r="C84" s="62">
        <f>IF($B84="","",IF(74&lt;=MAX('計算'!$CT$6:$CT$405),IFERROR(INDEX('計算'!$F$6:$F$405,MATCH(74,'計算'!$CT$6:$CT$405,0)),""),IFERROR(INDEX('計算'!$F$6:$F$405,MATCH(74-MAX('計算'!$CT$6:$CT$405),'計算'!$CU$6:$CU$405,0)),"")))</f>
        <v/>
      </c>
      <c r="D84" s="62">
        <f>IF($B84="","",IF(74&lt;=MAX('計算'!$CT$6:$CT$405),IFERROR(INDEX('計算'!$C$6:$C$405,MATCH(74,'計算'!$CT$6:$CT$405,0))&amp;"",""),IFERROR(INDEX('計算'!$C$6:$C$405,MATCH(74-MAX('計算'!$CT$6:$CT$405),'計算'!$CU$6:$CU$405,0))&amp;"","")))</f>
        <v/>
      </c>
      <c r="E84" s="62">
        <f>IF($B84="","",IF(74&lt;=MAX('計算'!$CT$6:$CT$405),IFERROR(INDEX('計算'!$D$6:$D$405,MATCH(74,'計算'!$CT$6:$CT$405,0)),""),IFERROR(INDEX('計算'!$D$6:$D$405,MATCH(74-MAX('計算'!$CT$6:$CT$405),'計算'!$CU$6:$CU$405,0)),"")))</f>
        <v/>
      </c>
      <c r="F84" s="63">
        <f>IF($B84="","",IF(74&lt;=MAX('計算'!$CT$6:$CT$405),IFERROR(INDEX('計算'!$P$6:$P$405,MATCH(74,'計算'!$CT$6:$CT$405,0)),""),IFERROR(INDEX('計算'!$S$6:$S$405,MATCH(74-MAX('計算'!$CT$6:$CT$405),'計算'!$CU$6:$CU$405,0)),"")))</f>
        <v/>
      </c>
      <c r="G84" s="62">
        <f>IF($B84="","",IF(74&lt;=MAX('計算'!$CT$6:$CT$405),IFERROR(INDEX('計算'!$CR$6:$CR$405,MATCH(74,'計算'!$CT$6:$CT$405,0)),""),IFERROR(INDEX('計算'!$CR$6:$CR$405,MATCH(74-MAX('計算'!$CT$6:$CT$405),'計算'!$CU$6:$CU$405,0)),"")))</f>
        <v/>
      </c>
      <c r="H84" s="64">
        <f>IF($B84="","",IF(74&lt;=MAX('計算'!$CT$6:$CT$405),IFERROR(INDEX('計算'!$Q$6:$Q$405,MATCH(74,'計算'!$CT$6:$CT$405,0)),""),IFERROR(INDEX('計算'!$T$6:$T$405,MATCH(74-MAX('計算'!$CT$6:$CT$405),'計算'!$CU$6:$CU$405,0)),"")))</f>
        <v/>
      </c>
      <c r="I84" s="65">
        <f>IF($B84="","",IF(74&lt;=MAX('計算'!$CT$6:$CT$405),IFERROR(INDEX('計算'!$H$6:$H$405,MATCH(74,'計算'!$CT$6:$CT$405,0)),""),IFERROR(INDEX('計算'!$H$6:$H$405,MATCH(74-MAX('計算'!$CT$6:$CT$405),'計算'!$CU$6:$CU$405,0)),"")))</f>
        <v/>
      </c>
      <c r="J84" s="65">
        <f>IF($B84="","",N($H84)*IFERROR(INDEX('計算'!$G$6:$G$405,IF(74&lt;=MAX('計算'!$CT$6:$CT$405),MATCH(74,'計算'!$CT$6:$CT$405,0),MATCH(74-MAX('計算'!$CT$6:$CT$405),'計算'!$CU$6:$CU$405,0))),1)*N($I84))</f>
        <v/>
      </c>
    </row>
    <row r="85" ht="18" customHeight="1">
      <c r="B85" s="61">
        <f>IF(75&lt;=MAX('計算'!$CT$6:$CT$405)+MAX('計算'!$CU$6:$CU$405),75,"")</f>
        <v/>
      </c>
      <c r="C85" s="62">
        <f>IF($B85="","",IF(75&lt;=MAX('計算'!$CT$6:$CT$405),IFERROR(INDEX('計算'!$F$6:$F$405,MATCH(75,'計算'!$CT$6:$CT$405,0)),""),IFERROR(INDEX('計算'!$F$6:$F$405,MATCH(75-MAX('計算'!$CT$6:$CT$405),'計算'!$CU$6:$CU$405,0)),"")))</f>
        <v/>
      </c>
      <c r="D85" s="62">
        <f>IF($B85="","",IF(75&lt;=MAX('計算'!$CT$6:$CT$405),IFERROR(INDEX('計算'!$C$6:$C$405,MATCH(75,'計算'!$CT$6:$CT$405,0))&amp;"",""),IFERROR(INDEX('計算'!$C$6:$C$405,MATCH(75-MAX('計算'!$CT$6:$CT$405),'計算'!$CU$6:$CU$405,0))&amp;"","")))</f>
        <v/>
      </c>
      <c r="E85" s="62">
        <f>IF($B85="","",IF(75&lt;=MAX('計算'!$CT$6:$CT$405),IFERROR(INDEX('計算'!$D$6:$D$405,MATCH(75,'計算'!$CT$6:$CT$405,0)),""),IFERROR(INDEX('計算'!$D$6:$D$405,MATCH(75-MAX('計算'!$CT$6:$CT$405),'計算'!$CU$6:$CU$405,0)),"")))</f>
        <v/>
      </c>
      <c r="F85" s="63">
        <f>IF($B85="","",IF(75&lt;=MAX('計算'!$CT$6:$CT$405),IFERROR(INDEX('計算'!$P$6:$P$405,MATCH(75,'計算'!$CT$6:$CT$405,0)),""),IFERROR(INDEX('計算'!$S$6:$S$405,MATCH(75-MAX('計算'!$CT$6:$CT$405),'計算'!$CU$6:$CU$405,0)),"")))</f>
        <v/>
      </c>
      <c r="G85" s="62">
        <f>IF($B85="","",IF(75&lt;=MAX('計算'!$CT$6:$CT$405),IFERROR(INDEX('計算'!$CR$6:$CR$405,MATCH(75,'計算'!$CT$6:$CT$405,0)),""),IFERROR(INDEX('計算'!$CR$6:$CR$405,MATCH(75-MAX('計算'!$CT$6:$CT$405),'計算'!$CU$6:$CU$405,0)),"")))</f>
        <v/>
      </c>
      <c r="H85" s="64">
        <f>IF($B85="","",IF(75&lt;=MAX('計算'!$CT$6:$CT$405),IFERROR(INDEX('計算'!$Q$6:$Q$405,MATCH(75,'計算'!$CT$6:$CT$405,0)),""),IFERROR(INDEX('計算'!$T$6:$T$405,MATCH(75-MAX('計算'!$CT$6:$CT$405),'計算'!$CU$6:$CU$405,0)),"")))</f>
        <v/>
      </c>
      <c r="I85" s="65">
        <f>IF($B85="","",IF(75&lt;=MAX('計算'!$CT$6:$CT$405),IFERROR(INDEX('計算'!$H$6:$H$405,MATCH(75,'計算'!$CT$6:$CT$405,0)),""),IFERROR(INDEX('計算'!$H$6:$H$405,MATCH(75-MAX('計算'!$CT$6:$CT$405),'計算'!$CU$6:$CU$405,0)),"")))</f>
        <v/>
      </c>
      <c r="J85" s="65">
        <f>IF($B85="","",N($H85)*IFERROR(INDEX('計算'!$G$6:$G$405,IF(75&lt;=MAX('計算'!$CT$6:$CT$405),MATCH(75,'計算'!$CT$6:$CT$405,0),MATCH(75-MAX('計算'!$CT$6:$CT$405),'計算'!$CU$6:$CU$405,0))),1)*N($I85))</f>
        <v/>
      </c>
    </row>
    <row r="86" ht="18" customHeight="1">
      <c r="B86" s="61">
        <f>IF(76&lt;=MAX('計算'!$CT$6:$CT$405)+MAX('計算'!$CU$6:$CU$405),76,"")</f>
        <v/>
      </c>
      <c r="C86" s="62">
        <f>IF($B86="","",IF(76&lt;=MAX('計算'!$CT$6:$CT$405),IFERROR(INDEX('計算'!$F$6:$F$405,MATCH(76,'計算'!$CT$6:$CT$405,0)),""),IFERROR(INDEX('計算'!$F$6:$F$405,MATCH(76-MAX('計算'!$CT$6:$CT$405),'計算'!$CU$6:$CU$405,0)),"")))</f>
        <v/>
      </c>
      <c r="D86" s="62">
        <f>IF($B86="","",IF(76&lt;=MAX('計算'!$CT$6:$CT$405),IFERROR(INDEX('計算'!$C$6:$C$405,MATCH(76,'計算'!$CT$6:$CT$405,0))&amp;"",""),IFERROR(INDEX('計算'!$C$6:$C$405,MATCH(76-MAX('計算'!$CT$6:$CT$405),'計算'!$CU$6:$CU$405,0))&amp;"","")))</f>
        <v/>
      </c>
      <c r="E86" s="62">
        <f>IF($B86="","",IF(76&lt;=MAX('計算'!$CT$6:$CT$405),IFERROR(INDEX('計算'!$D$6:$D$405,MATCH(76,'計算'!$CT$6:$CT$405,0)),""),IFERROR(INDEX('計算'!$D$6:$D$405,MATCH(76-MAX('計算'!$CT$6:$CT$405),'計算'!$CU$6:$CU$405,0)),"")))</f>
        <v/>
      </c>
      <c r="F86" s="63">
        <f>IF($B86="","",IF(76&lt;=MAX('計算'!$CT$6:$CT$405),IFERROR(INDEX('計算'!$P$6:$P$405,MATCH(76,'計算'!$CT$6:$CT$405,0)),""),IFERROR(INDEX('計算'!$S$6:$S$405,MATCH(76-MAX('計算'!$CT$6:$CT$405),'計算'!$CU$6:$CU$405,0)),"")))</f>
        <v/>
      </c>
      <c r="G86" s="62">
        <f>IF($B86="","",IF(76&lt;=MAX('計算'!$CT$6:$CT$405),IFERROR(INDEX('計算'!$CR$6:$CR$405,MATCH(76,'計算'!$CT$6:$CT$405,0)),""),IFERROR(INDEX('計算'!$CR$6:$CR$405,MATCH(76-MAX('計算'!$CT$6:$CT$405),'計算'!$CU$6:$CU$405,0)),"")))</f>
        <v/>
      </c>
      <c r="H86" s="64">
        <f>IF($B86="","",IF(76&lt;=MAX('計算'!$CT$6:$CT$405),IFERROR(INDEX('計算'!$Q$6:$Q$405,MATCH(76,'計算'!$CT$6:$CT$405,0)),""),IFERROR(INDEX('計算'!$T$6:$T$405,MATCH(76-MAX('計算'!$CT$6:$CT$405),'計算'!$CU$6:$CU$405,0)),"")))</f>
        <v/>
      </c>
      <c r="I86" s="65">
        <f>IF($B86="","",IF(76&lt;=MAX('計算'!$CT$6:$CT$405),IFERROR(INDEX('計算'!$H$6:$H$405,MATCH(76,'計算'!$CT$6:$CT$405,0)),""),IFERROR(INDEX('計算'!$H$6:$H$405,MATCH(76-MAX('計算'!$CT$6:$CT$405),'計算'!$CU$6:$CU$405,0)),"")))</f>
        <v/>
      </c>
      <c r="J86" s="65">
        <f>IF($B86="","",N($H86)*IFERROR(INDEX('計算'!$G$6:$G$405,IF(76&lt;=MAX('計算'!$CT$6:$CT$405),MATCH(76,'計算'!$CT$6:$CT$405,0),MATCH(76-MAX('計算'!$CT$6:$CT$405),'計算'!$CU$6:$CU$405,0))),1)*N($I86))</f>
        <v/>
      </c>
    </row>
    <row r="87" ht="18" customHeight="1">
      <c r="B87" s="61">
        <f>IF(77&lt;=MAX('計算'!$CT$6:$CT$405)+MAX('計算'!$CU$6:$CU$405),77,"")</f>
        <v/>
      </c>
      <c r="C87" s="62">
        <f>IF($B87="","",IF(77&lt;=MAX('計算'!$CT$6:$CT$405),IFERROR(INDEX('計算'!$F$6:$F$405,MATCH(77,'計算'!$CT$6:$CT$405,0)),""),IFERROR(INDEX('計算'!$F$6:$F$405,MATCH(77-MAX('計算'!$CT$6:$CT$405),'計算'!$CU$6:$CU$405,0)),"")))</f>
        <v/>
      </c>
      <c r="D87" s="62">
        <f>IF($B87="","",IF(77&lt;=MAX('計算'!$CT$6:$CT$405),IFERROR(INDEX('計算'!$C$6:$C$405,MATCH(77,'計算'!$CT$6:$CT$405,0))&amp;"",""),IFERROR(INDEX('計算'!$C$6:$C$405,MATCH(77-MAX('計算'!$CT$6:$CT$405),'計算'!$CU$6:$CU$405,0))&amp;"","")))</f>
        <v/>
      </c>
      <c r="E87" s="62">
        <f>IF($B87="","",IF(77&lt;=MAX('計算'!$CT$6:$CT$405),IFERROR(INDEX('計算'!$D$6:$D$405,MATCH(77,'計算'!$CT$6:$CT$405,0)),""),IFERROR(INDEX('計算'!$D$6:$D$405,MATCH(77-MAX('計算'!$CT$6:$CT$405),'計算'!$CU$6:$CU$405,0)),"")))</f>
        <v/>
      </c>
      <c r="F87" s="63">
        <f>IF($B87="","",IF(77&lt;=MAX('計算'!$CT$6:$CT$405),IFERROR(INDEX('計算'!$P$6:$P$405,MATCH(77,'計算'!$CT$6:$CT$405,0)),""),IFERROR(INDEX('計算'!$S$6:$S$405,MATCH(77-MAX('計算'!$CT$6:$CT$405),'計算'!$CU$6:$CU$405,0)),"")))</f>
        <v/>
      </c>
      <c r="G87" s="62">
        <f>IF($B87="","",IF(77&lt;=MAX('計算'!$CT$6:$CT$405),IFERROR(INDEX('計算'!$CR$6:$CR$405,MATCH(77,'計算'!$CT$6:$CT$405,0)),""),IFERROR(INDEX('計算'!$CR$6:$CR$405,MATCH(77-MAX('計算'!$CT$6:$CT$405),'計算'!$CU$6:$CU$405,0)),"")))</f>
        <v/>
      </c>
      <c r="H87" s="64">
        <f>IF($B87="","",IF(77&lt;=MAX('計算'!$CT$6:$CT$405),IFERROR(INDEX('計算'!$Q$6:$Q$405,MATCH(77,'計算'!$CT$6:$CT$405,0)),""),IFERROR(INDEX('計算'!$T$6:$T$405,MATCH(77-MAX('計算'!$CT$6:$CT$405),'計算'!$CU$6:$CU$405,0)),"")))</f>
        <v/>
      </c>
      <c r="I87" s="65">
        <f>IF($B87="","",IF(77&lt;=MAX('計算'!$CT$6:$CT$405),IFERROR(INDEX('計算'!$H$6:$H$405,MATCH(77,'計算'!$CT$6:$CT$405,0)),""),IFERROR(INDEX('計算'!$H$6:$H$405,MATCH(77-MAX('計算'!$CT$6:$CT$405),'計算'!$CU$6:$CU$405,0)),"")))</f>
        <v/>
      </c>
      <c r="J87" s="65">
        <f>IF($B87="","",N($H87)*IFERROR(INDEX('計算'!$G$6:$G$405,IF(77&lt;=MAX('計算'!$CT$6:$CT$405),MATCH(77,'計算'!$CT$6:$CT$405,0),MATCH(77-MAX('計算'!$CT$6:$CT$405),'計算'!$CU$6:$CU$405,0))),1)*N($I87))</f>
        <v/>
      </c>
    </row>
    <row r="88" ht="18" customHeight="1">
      <c r="B88" s="61">
        <f>IF(78&lt;=MAX('計算'!$CT$6:$CT$405)+MAX('計算'!$CU$6:$CU$405),78,"")</f>
        <v/>
      </c>
      <c r="C88" s="62">
        <f>IF($B88="","",IF(78&lt;=MAX('計算'!$CT$6:$CT$405),IFERROR(INDEX('計算'!$F$6:$F$405,MATCH(78,'計算'!$CT$6:$CT$405,0)),""),IFERROR(INDEX('計算'!$F$6:$F$405,MATCH(78-MAX('計算'!$CT$6:$CT$405),'計算'!$CU$6:$CU$405,0)),"")))</f>
        <v/>
      </c>
      <c r="D88" s="62">
        <f>IF($B88="","",IF(78&lt;=MAX('計算'!$CT$6:$CT$405),IFERROR(INDEX('計算'!$C$6:$C$405,MATCH(78,'計算'!$CT$6:$CT$405,0))&amp;"",""),IFERROR(INDEX('計算'!$C$6:$C$405,MATCH(78-MAX('計算'!$CT$6:$CT$405),'計算'!$CU$6:$CU$405,0))&amp;"","")))</f>
        <v/>
      </c>
      <c r="E88" s="62">
        <f>IF($B88="","",IF(78&lt;=MAX('計算'!$CT$6:$CT$405),IFERROR(INDEX('計算'!$D$6:$D$405,MATCH(78,'計算'!$CT$6:$CT$405,0)),""),IFERROR(INDEX('計算'!$D$6:$D$405,MATCH(78-MAX('計算'!$CT$6:$CT$405),'計算'!$CU$6:$CU$405,0)),"")))</f>
        <v/>
      </c>
      <c r="F88" s="63">
        <f>IF($B88="","",IF(78&lt;=MAX('計算'!$CT$6:$CT$405),IFERROR(INDEX('計算'!$P$6:$P$405,MATCH(78,'計算'!$CT$6:$CT$405,0)),""),IFERROR(INDEX('計算'!$S$6:$S$405,MATCH(78-MAX('計算'!$CT$6:$CT$405),'計算'!$CU$6:$CU$405,0)),"")))</f>
        <v/>
      </c>
      <c r="G88" s="62">
        <f>IF($B88="","",IF(78&lt;=MAX('計算'!$CT$6:$CT$405),IFERROR(INDEX('計算'!$CR$6:$CR$405,MATCH(78,'計算'!$CT$6:$CT$405,0)),""),IFERROR(INDEX('計算'!$CR$6:$CR$405,MATCH(78-MAX('計算'!$CT$6:$CT$405),'計算'!$CU$6:$CU$405,0)),"")))</f>
        <v/>
      </c>
      <c r="H88" s="64">
        <f>IF($B88="","",IF(78&lt;=MAX('計算'!$CT$6:$CT$405),IFERROR(INDEX('計算'!$Q$6:$Q$405,MATCH(78,'計算'!$CT$6:$CT$405,0)),""),IFERROR(INDEX('計算'!$T$6:$T$405,MATCH(78-MAX('計算'!$CT$6:$CT$405),'計算'!$CU$6:$CU$405,0)),"")))</f>
        <v/>
      </c>
      <c r="I88" s="65">
        <f>IF($B88="","",IF(78&lt;=MAX('計算'!$CT$6:$CT$405),IFERROR(INDEX('計算'!$H$6:$H$405,MATCH(78,'計算'!$CT$6:$CT$405,0)),""),IFERROR(INDEX('計算'!$H$6:$H$405,MATCH(78-MAX('計算'!$CT$6:$CT$405),'計算'!$CU$6:$CU$405,0)),"")))</f>
        <v/>
      </c>
      <c r="J88" s="65">
        <f>IF($B88="","",N($H88)*IFERROR(INDEX('計算'!$G$6:$G$405,IF(78&lt;=MAX('計算'!$CT$6:$CT$405),MATCH(78,'計算'!$CT$6:$CT$405,0),MATCH(78-MAX('計算'!$CT$6:$CT$405),'計算'!$CU$6:$CU$405,0))),1)*N($I88))</f>
        <v/>
      </c>
    </row>
    <row r="89" ht="18" customHeight="1">
      <c r="B89" s="61">
        <f>IF(79&lt;=MAX('計算'!$CT$6:$CT$405)+MAX('計算'!$CU$6:$CU$405),79,"")</f>
        <v/>
      </c>
      <c r="C89" s="62">
        <f>IF($B89="","",IF(79&lt;=MAX('計算'!$CT$6:$CT$405),IFERROR(INDEX('計算'!$F$6:$F$405,MATCH(79,'計算'!$CT$6:$CT$405,0)),""),IFERROR(INDEX('計算'!$F$6:$F$405,MATCH(79-MAX('計算'!$CT$6:$CT$405),'計算'!$CU$6:$CU$405,0)),"")))</f>
        <v/>
      </c>
      <c r="D89" s="62">
        <f>IF($B89="","",IF(79&lt;=MAX('計算'!$CT$6:$CT$405),IFERROR(INDEX('計算'!$C$6:$C$405,MATCH(79,'計算'!$CT$6:$CT$405,0))&amp;"",""),IFERROR(INDEX('計算'!$C$6:$C$405,MATCH(79-MAX('計算'!$CT$6:$CT$405),'計算'!$CU$6:$CU$405,0))&amp;"","")))</f>
        <v/>
      </c>
      <c r="E89" s="62">
        <f>IF($B89="","",IF(79&lt;=MAX('計算'!$CT$6:$CT$405),IFERROR(INDEX('計算'!$D$6:$D$405,MATCH(79,'計算'!$CT$6:$CT$405,0)),""),IFERROR(INDEX('計算'!$D$6:$D$405,MATCH(79-MAX('計算'!$CT$6:$CT$405),'計算'!$CU$6:$CU$405,0)),"")))</f>
        <v/>
      </c>
      <c r="F89" s="63">
        <f>IF($B89="","",IF(79&lt;=MAX('計算'!$CT$6:$CT$405),IFERROR(INDEX('計算'!$P$6:$P$405,MATCH(79,'計算'!$CT$6:$CT$405,0)),""),IFERROR(INDEX('計算'!$S$6:$S$405,MATCH(79-MAX('計算'!$CT$6:$CT$405),'計算'!$CU$6:$CU$405,0)),"")))</f>
        <v/>
      </c>
      <c r="G89" s="62">
        <f>IF($B89="","",IF(79&lt;=MAX('計算'!$CT$6:$CT$405),IFERROR(INDEX('計算'!$CR$6:$CR$405,MATCH(79,'計算'!$CT$6:$CT$405,0)),""),IFERROR(INDEX('計算'!$CR$6:$CR$405,MATCH(79-MAX('計算'!$CT$6:$CT$405),'計算'!$CU$6:$CU$405,0)),"")))</f>
        <v/>
      </c>
      <c r="H89" s="64">
        <f>IF($B89="","",IF(79&lt;=MAX('計算'!$CT$6:$CT$405),IFERROR(INDEX('計算'!$Q$6:$Q$405,MATCH(79,'計算'!$CT$6:$CT$405,0)),""),IFERROR(INDEX('計算'!$T$6:$T$405,MATCH(79-MAX('計算'!$CT$6:$CT$405),'計算'!$CU$6:$CU$405,0)),"")))</f>
        <v/>
      </c>
      <c r="I89" s="65">
        <f>IF($B89="","",IF(79&lt;=MAX('計算'!$CT$6:$CT$405),IFERROR(INDEX('計算'!$H$6:$H$405,MATCH(79,'計算'!$CT$6:$CT$405,0)),""),IFERROR(INDEX('計算'!$H$6:$H$405,MATCH(79-MAX('計算'!$CT$6:$CT$405),'計算'!$CU$6:$CU$405,0)),"")))</f>
        <v/>
      </c>
      <c r="J89" s="65">
        <f>IF($B89="","",N($H89)*IFERROR(INDEX('計算'!$G$6:$G$405,IF(79&lt;=MAX('計算'!$CT$6:$CT$405),MATCH(79,'計算'!$CT$6:$CT$405,0),MATCH(79-MAX('計算'!$CT$6:$CT$405),'計算'!$CU$6:$CU$405,0))),1)*N($I89))</f>
        <v/>
      </c>
    </row>
    <row r="90" ht="18" customHeight="1">
      <c r="B90" s="61">
        <f>IF(80&lt;=MAX('計算'!$CT$6:$CT$405)+MAX('計算'!$CU$6:$CU$405),80,"")</f>
        <v/>
      </c>
      <c r="C90" s="62">
        <f>IF($B90="","",IF(80&lt;=MAX('計算'!$CT$6:$CT$405),IFERROR(INDEX('計算'!$F$6:$F$405,MATCH(80,'計算'!$CT$6:$CT$405,0)),""),IFERROR(INDEX('計算'!$F$6:$F$405,MATCH(80-MAX('計算'!$CT$6:$CT$405),'計算'!$CU$6:$CU$405,0)),"")))</f>
        <v/>
      </c>
      <c r="D90" s="62">
        <f>IF($B90="","",IF(80&lt;=MAX('計算'!$CT$6:$CT$405),IFERROR(INDEX('計算'!$C$6:$C$405,MATCH(80,'計算'!$CT$6:$CT$405,0))&amp;"",""),IFERROR(INDEX('計算'!$C$6:$C$405,MATCH(80-MAX('計算'!$CT$6:$CT$405),'計算'!$CU$6:$CU$405,0))&amp;"","")))</f>
        <v/>
      </c>
      <c r="E90" s="62">
        <f>IF($B90="","",IF(80&lt;=MAX('計算'!$CT$6:$CT$405),IFERROR(INDEX('計算'!$D$6:$D$405,MATCH(80,'計算'!$CT$6:$CT$405,0)),""),IFERROR(INDEX('計算'!$D$6:$D$405,MATCH(80-MAX('計算'!$CT$6:$CT$405),'計算'!$CU$6:$CU$405,0)),"")))</f>
        <v/>
      </c>
      <c r="F90" s="63">
        <f>IF($B90="","",IF(80&lt;=MAX('計算'!$CT$6:$CT$405),IFERROR(INDEX('計算'!$P$6:$P$405,MATCH(80,'計算'!$CT$6:$CT$405,0)),""),IFERROR(INDEX('計算'!$S$6:$S$405,MATCH(80-MAX('計算'!$CT$6:$CT$405),'計算'!$CU$6:$CU$405,0)),"")))</f>
        <v/>
      </c>
      <c r="G90" s="62">
        <f>IF($B90="","",IF(80&lt;=MAX('計算'!$CT$6:$CT$405),IFERROR(INDEX('計算'!$CR$6:$CR$405,MATCH(80,'計算'!$CT$6:$CT$405,0)),""),IFERROR(INDEX('計算'!$CR$6:$CR$405,MATCH(80-MAX('計算'!$CT$6:$CT$405),'計算'!$CU$6:$CU$405,0)),"")))</f>
        <v/>
      </c>
      <c r="H90" s="64">
        <f>IF($B90="","",IF(80&lt;=MAX('計算'!$CT$6:$CT$405),IFERROR(INDEX('計算'!$Q$6:$Q$405,MATCH(80,'計算'!$CT$6:$CT$405,0)),""),IFERROR(INDEX('計算'!$T$6:$T$405,MATCH(80-MAX('計算'!$CT$6:$CT$405),'計算'!$CU$6:$CU$405,0)),"")))</f>
        <v/>
      </c>
      <c r="I90" s="65">
        <f>IF($B90="","",IF(80&lt;=MAX('計算'!$CT$6:$CT$405),IFERROR(INDEX('計算'!$H$6:$H$405,MATCH(80,'計算'!$CT$6:$CT$405,0)),""),IFERROR(INDEX('計算'!$H$6:$H$405,MATCH(80-MAX('計算'!$CT$6:$CT$405),'計算'!$CU$6:$CU$405,0)),"")))</f>
        <v/>
      </c>
      <c r="J90" s="65">
        <f>IF($B90="","",N($H90)*IFERROR(INDEX('計算'!$G$6:$G$405,IF(80&lt;=MAX('計算'!$CT$6:$CT$405),MATCH(80,'計算'!$CT$6:$CT$405,0),MATCH(80-MAX('計算'!$CT$6:$CT$405),'計算'!$CU$6:$CU$405,0))),1)*N($I90))</f>
        <v/>
      </c>
    </row>
    <row r="91" ht="18" customHeight="1">
      <c r="B91" s="61">
        <f>IF(81&lt;=MAX('計算'!$CT$6:$CT$405)+MAX('計算'!$CU$6:$CU$405),81,"")</f>
        <v/>
      </c>
      <c r="C91" s="62">
        <f>IF($B91="","",IF(81&lt;=MAX('計算'!$CT$6:$CT$405),IFERROR(INDEX('計算'!$F$6:$F$405,MATCH(81,'計算'!$CT$6:$CT$405,0)),""),IFERROR(INDEX('計算'!$F$6:$F$405,MATCH(81-MAX('計算'!$CT$6:$CT$405),'計算'!$CU$6:$CU$405,0)),"")))</f>
        <v/>
      </c>
      <c r="D91" s="62">
        <f>IF($B91="","",IF(81&lt;=MAX('計算'!$CT$6:$CT$405),IFERROR(INDEX('計算'!$C$6:$C$405,MATCH(81,'計算'!$CT$6:$CT$405,0))&amp;"",""),IFERROR(INDEX('計算'!$C$6:$C$405,MATCH(81-MAX('計算'!$CT$6:$CT$405),'計算'!$CU$6:$CU$405,0))&amp;"","")))</f>
        <v/>
      </c>
      <c r="E91" s="62">
        <f>IF($B91="","",IF(81&lt;=MAX('計算'!$CT$6:$CT$405),IFERROR(INDEX('計算'!$D$6:$D$405,MATCH(81,'計算'!$CT$6:$CT$405,0)),""),IFERROR(INDEX('計算'!$D$6:$D$405,MATCH(81-MAX('計算'!$CT$6:$CT$405),'計算'!$CU$6:$CU$405,0)),"")))</f>
        <v/>
      </c>
      <c r="F91" s="63">
        <f>IF($B91="","",IF(81&lt;=MAX('計算'!$CT$6:$CT$405),IFERROR(INDEX('計算'!$P$6:$P$405,MATCH(81,'計算'!$CT$6:$CT$405,0)),""),IFERROR(INDEX('計算'!$S$6:$S$405,MATCH(81-MAX('計算'!$CT$6:$CT$405),'計算'!$CU$6:$CU$405,0)),"")))</f>
        <v/>
      </c>
      <c r="G91" s="62">
        <f>IF($B91="","",IF(81&lt;=MAX('計算'!$CT$6:$CT$405),IFERROR(INDEX('計算'!$CR$6:$CR$405,MATCH(81,'計算'!$CT$6:$CT$405,0)),""),IFERROR(INDEX('計算'!$CR$6:$CR$405,MATCH(81-MAX('計算'!$CT$6:$CT$405),'計算'!$CU$6:$CU$405,0)),"")))</f>
        <v/>
      </c>
      <c r="H91" s="64">
        <f>IF($B91="","",IF(81&lt;=MAX('計算'!$CT$6:$CT$405),IFERROR(INDEX('計算'!$Q$6:$Q$405,MATCH(81,'計算'!$CT$6:$CT$405,0)),""),IFERROR(INDEX('計算'!$T$6:$T$405,MATCH(81-MAX('計算'!$CT$6:$CT$405),'計算'!$CU$6:$CU$405,0)),"")))</f>
        <v/>
      </c>
      <c r="I91" s="65">
        <f>IF($B91="","",IF(81&lt;=MAX('計算'!$CT$6:$CT$405),IFERROR(INDEX('計算'!$H$6:$H$405,MATCH(81,'計算'!$CT$6:$CT$405,0)),""),IFERROR(INDEX('計算'!$H$6:$H$405,MATCH(81-MAX('計算'!$CT$6:$CT$405),'計算'!$CU$6:$CU$405,0)),"")))</f>
        <v/>
      </c>
      <c r="J91" s="65">
        <f>IF($B91="","",N($H91)*IFERROR(INDEX('計算'!$G$6:$G$405,IF(81&lt;=MAX('計算'!$CT$6:$CT$405),MATCH(81,'計算'!$CT$6:$CT$405,0),MATCH(81-MAX('計算'!$CT$6:$CT$405),'計算'!$CU$6:$CU$405,0))),1)*N($I91))</f>
        <v/>
      </c>
    </row>
    <row r="92" ht="18" customHeight="1">
      <c r="B92" s="61">
        <f>IF(82&lt;=MAX('計算'!$CT$6:$CT$405)+MAX('計算'!$CU$6:$CU$405),82,"")</f>
        <v/>
      </c>
      <c r="C92" s="62">
        <f>IF($B92="","",IF(82&lt;=MAX('計算'!$CT$6:$CT$405),IFERROR(INDEX('計算'!$F$6:$F$405,MATCH(82,'計算'!$CT$6:$CT$405,0)),""),IFERROR(INDEX('計算'!$F$6:$F$405,MATCH(82-MAX('計算'!$CT$6:$CT$405),'計算'!$CU$6:$CU$405,0)),"")))</f>
        <v/>
      </c>
      <c r="D92" s="62">
        <f>IF($B92="","",IF(82&lt;=MAX('計算'!$CT$6:$CT$405),IFERROR(INDEX('計算'!$C$6:$C$405,MATCH(82,'計算'!$CT$6:$CT$405,0))&amp;"",""),IFERROR(INDEX('計算'!$C$6:$C$405,MATCH(82-MAX('計算'!$CT$6:$CT$405),'計算'!$CU$6:$CU$405,0))&amp;"","")))</f>
        <v/>
      </c>
      <c r="E92" s="62">
        <f>IF($B92="","",IF(82&lt;=MAX('計算'!$CT$6:$CT$405),IFERROR(INDEX('計算'!$D$6:$D$405,MATCH(82,'計算'!$CT$6:$CT$405,0)),""),IFERROR(INDEX('計算'!$D$6:$D$405,MATCH(82-MAX('計算'!$CT$6:$CT$405),'計算'!$CU$6:$CU$405,0)),"")))</f>
        <v/>
      </c>
      <c r="F92" s="63">
        <f>IF($B92="","",IF(82&lt;=MAX('計算'!$CT$6:$CT$405),IFERROR(INDEX('計算'!$P$6:$P$405,MATCH(82,'計算'!$CT$6:$CT$405,0)),""),IFERROR(INDEX('計算'!$S$6:$S$405,MATCH(82-MAX('計算'!$CT$6:$CT$405),'計算'!$CU$6:$CU$405,0)),"")))</f>
        <v/>
      </c>
      <c r="G92" s="62">
        <f>IF($B92="","",IF(82&lt;=MAX('計算'!$CT$6:$CT$405),IFERROR(INDEX('計算'!$CR$6:$CR$405,MATCH(82,'計算'!$CT$6:$CT$405,0)),""),IFERROR(INDEX('計算'!$CR$6:$CR$405,MATCH(82-MAX('計算'!$CT$6:$CT$405),'計算'!$CU$6:$CU$405,0)),"")))</f>
        <v/>
      </c>
      <c r="H92" s="64">
        <f>IF($B92="","",IF(82&lt;=MAX('計算'!$CT$6:$CT$405),IFERROR(INDEX('計算'!$Q$6:$Q$405,MATCH(82,'計算'!$CT$6:$CT$405,0)),""),IFERROR(INDEX('計算'!$T$6:$T$405,MATCH(82-MAX('計算'!$CT$6:$CT$405),'計算'!$CU$6:$CU$405,0)),"")))</f>
        <v/>
      </c>
      <c r="I92" s="65">
        <f>IF($B92="","",IF(82&lt;=MAX('計算'!$CT$6:$CT$405),IFERROR(INDEX('計算'!$H$6:$H$405,MATCH(82,'計算'!$CT$6:$CT$405,0)),""),IFERROR(INDEX('計算'!$H$6:$H$405,MATCH(82-MAX('計算'!$CT$6:$CT$405),'計算'!$CU$6:$CU$405,0)),"")))</f>
        <v/>
      </c>
      <c r="J92" s="65">
        <f>IF($B92="","",N($H92)*IFERROR(INDEX('計算'!$G$6:$G$405,IF(82&lt;=MAX('計算'!$CT$6:$CT$405),MATCH(82,'計算'!$CT$6:$CT$405,0),MATCH(82-MAX('計算'!$CT$6:$CT$405),'計算'!$CU$6:$CU$405,0))),1)*N($I92))</f>
        <v/>
      </c>
    </row>
    <row r="93" ht="18" customHeight="1">
      <c r="B93" s="61">
        <f>IF(83&lt;=MAX('計算'!$CT$6:$CT$405)+MAX('計算'!$CU$6:$CU$405),83,"")</f>
        <v/>
      </c>
      <c r="C93" s="62">
        <f>IF($B93="","",IF(83&lt;=MAX('計算'!$CT$6:$CT$405),IFERROR(INDEX('計算'!$F$6:$F$405,MATCH(83,'計算'!$CT$6:$CT$405,0)),""),IFERROR(INDEX('計算'!$F$6:$F$405,MATCH(83-MAX('計算'!$CT$6:$CT$405),'計算'!$CU$6:$CU$405,0)),"")))</f>
        <v/>
      </c>
      <c r="D93" s="62">
        <f>IF($B93="","",IF(83&lt;=MAX('計算'!$CT$6:$CT$405),IFERROR(INDEX('計算'!$C$6:$C$405,MATCH(83,'計算'!$CT$6:$CT$405,0))&amp;"",""),IFERROR(INDEX('計算'!$C$6:$C$405,MATCH(83-MAX('計算'!$CT$6:$CT$405),'計算'!$CU$6:$CU$405,0))&amp;"","")))</f>
        <v/>
      </c>
      <c r="E93" s="62">
        <f>IF($B93="","",IF(83&lt;=MAX('計算'!$CT$6:$CT$405),IFERROR(INDEX('計算'!$D$6:$D$405,MATCH(83,'計算'!$CT$6:$CT$405,0)),""),IFERROR(INDEX('計算'!$D$6:$D$405,MATCH(83-MAX('計算'!$CT$6:$CT$405),'計算'!$CU$6:$CU$405,0)),"")))</f>
        <v/>
      </c>
      <c r="F93" s="63">
        <f>IF($B93="","",IF(83&lt;=MAX('計算'!$CT$6:$CT$405),IFERROR(INDEX('計算'!$P$6:$P$405,MATCH(83,'計算'!$CT$6:$CT$405,0)),""),IFERROR(INDEX('計算'!$S$6:$S$405,MATCH(83-MAX('計算'!$CT$6:$CT$405),'計算'!$CU$6:$CU$405,0)),"")))</f>
        <v/>
      </c>
      <c r="G93" s="62">
        <f>IF($B93="","",IF(83&lt;=MAX('計算'!$CT$6:$CT$405),IFERROR(INDEX('計算'!$CR$6:$CR$405,MATCH(83,'計算'!$CT$6:$CT$405,0)),""),IFERROR(INDEX('計算'!$CR$6:$CR$405,MATCH(83-MAX('計算'!$CT$6:$CT$405),'計算'!$CU$6:$CU$405,0)),"")))</f>
        <v/>
      </c>
      <c r="H93" s="64">
        <f>IF($B93="","",IF(83&lt;=MAX('計算'!$CT$6:$CT$405),IFERROR(INDEX('計算'!$Q$6:$Q$405,MATCH(83,'計算'!$CT$6:$CT$405,0)),""),IFERROR(INDEX('計算'!$T$6:$T$405,MATCH(83-MAX('計算'!$CT$6:$CT$405),'計算'!$CU$6:$CU$405,0)),"")))</f>
        <v/>
      </c>
      <c r="I93" s="65">
        <f>IF($B93="","",IF(83&lt;=MAX('計算'!$CT$6:$CT$405),IFERROR(INDEX('計算'!$H$6:$H$405,MATCH(83,'計算'!$CT$6:$CT$405,0)),""),IFERROR(INDEX('計算'!$H$6:$H$405,MATCH(83-MAX('計算'!$CT$6:$CT$405),'計算'!$CU$6:$CU$405,0)),"")))</f>
        <v/>
      </c>
      <c r="J93" s="65">
        <f>IF($B93="","",N($H93)*IFERROR(INDEX('計算'!$G$6:$G$405,IF(83&lt;=MAX('計算'!$CT$6:$CT$405),MATCH(83,'計算'!$CT$6:$CT$405,0),MATCH(83-MAX('計算'!$CT$6:$CT$405),'計算'!$CU$6:$CU$405,0))),1)*N($I93))</f>
        <v/>
      </c>
    </row>
    <row r="94" ht="18" customHeight="1">
      <c r="B94" s="61">
        <f>IF(84&lt;=MAX('計算'!$CT$6:$CT$405)+MAX('計算'!$CU$6:$CU$405),84,"")</f>
        <v/>
      </c>
      <c r="C94" s="62">
        <f>IF($B94="","",IF(84&lt;=MAX('計算'!$CT$6:$CT$405),IFERROR(INDEX('計算'!$F$6:$F$405,MATCH(84,'計算'!$CT$6:$CT$405,0)),""),IFERROR(INDEX('計算'!$F$6:$F$405,MATCH(84-MAX('計算'!$CT$6:$CT$405),'計算'!$CU$6:$CU$405,0)),"")))</f>
        <v/>
      </c>
      <c r="D94" s="62">
        <f>IF($B94="","",IF(84&lt;=MAX('計算'!$CT$6:$CT$405),IFERROR(INDEX('計算'!$C$6:$C$405,MATCH(84,'計算'!$CT$6:$CT$405,0))&amp;"",""),IFERROR(INDEX('計算'!$C$6:$C$405,MATCH(84-MAX('計算'!$CT$6:$CT$405),'計算'!$CU$6:$CU$405,0))&amp;"","")))</f>
        <v/>
      </c>
      <c r="E94" s="62">
        <f>IF($B94="","",IF(84&lt;=MAX('計算'!$CT$6:$CT$405),IFERROR(INDEX('計算'!$D$6:$D$405,MATCH(84,'計算'!$CT$6:$CT$405,0)),""),IFERROR(INDEX('計算'!$D$6:$D$405,MATCH(84-MAX('計算'!$CT$6:$CT$405),'計算'!$CU$6:$CU$405,0)),"")))</f>
        <v/>
      </c>
      <c r="F94" s="63">
        <f>IF($B94="","",IF(84&lt;=MAX('計算'!$CT$6:$CT$405),IFERROR(INDEX('計算'!$P$6:$P$405,MATCH(84,'計算'!$CT$6:$CT$405,0)),""),IFERROR(INDEX('計算'!$S$6:$S$405,MATCH(84-MAX('計算'!$CT$6:$CT$405),'計算'!$CU$6:$CU$405,0)),"")))</f>
        <v/>
      </c>
      <c r="G94" s="62">
        <f>IF($B94="","",IF(84&lt;=MAX('計算'!$CT$6:$CT$405),IFERROR(INDEX('計算'!$CR$6:$CR$405,MATCH(84,'計算'!$CT$6:$CT$405,0)),""),IFERROR(INDEX('計算'!$CR$6:$CR$405,MATCH(84-MAX('計算'!$CT$6:$CT$405),'計算'!$CU$6:$CU$405,0)),"")))</f>
        <v/>
      </c>
      <c r="H94" s="64">
        <f>IF($B94="","",IF(84&lt;=MAX('計算'!$CT$6:$CT$405),IFERROR(INDEX('計算'!$Q$6:$Q$405,MATCH(84,'計算'!$CT$6:$CT$405,0)),""),IFERROR(INDEX('計算'!$T$6:$T$405,MATCH(84-MAX('計算'!$CT$6:$CT$405),'計算'!$CU$6:$CU$405,0)),"")))</f>
        <v/>
      </c>
      <c r="I94" s="65">
        <f>IF($B94="","",IF(84&lt;=MAX('計算'!$CT$6:$CT$405),IFERROR(INDEX('計算'!$H$6:$H$405,MATCH(84,'計算'!$CT$6:$CT$405,0)),""),IFERROR(INDEX('計算'!$H$6:$H$405,MATCH(84-MAX('計算'!$CT$6:$CT$405),'計算'!$CU$6:$CU$405,0)),"")))</f>
        <v/>
      </c>
      <c r="J94" s="65">
        <f>IF($B94="","",N($H94)*IFERROR(INDEX('計算'!$G$6:$G$405,IF(84&lt;=MAX('計算'!$CT$6:$CT$405),MATCH(84,'計算'!$CT$6:$CT$405,0),MATCH(84-MAX('計算'!$CT$6:$CT$405),'計算'!$CU$6:$CU$405,0))),1)*N($I94))</f>
        <v/>
      </c>
    </row>
    <row r="95" ht="18" customHeight="1">
      <c r="B95" s="61">
        <f>IF(85&lt;=MAX('計算'!$CT$6:$CT$405)+MAX('計算'!$CU$6:$CU$405),85,"")</f>
        <v/>
      </c>
      <c r="C95" s="62">
        <f>IF($B95="","",IF(85&lt;=MAX('計算'!$CT$6:$CT$405),IFERROR(INDEX('計算'!$F$6:$F$405,MATCH(85,'計算'!$CT$6:$CT$405,0)),""),IFERROR(INDEX('計算'!$F$6:$F$405,MATCH(85-MAX('計算'!$CT$6:$CT$405),'計算'!$CU$6:$CU$405,0)),"")))</f>
        <v/>
      </c>
      <c r="D95" s="62">
        <f>IF($B95="","",IF(85&lt;=MAX('計算'!$CT$6:$CT$405),IFERROR(INDEX('計算'!$C$6:$C$405,MATCH(85,'計算'!$CT$6:$CT$405,0))&amp;"",""),IFERROR(INDEX('計算'!$C$6:$C$405,MATCH(85-MAX('計算'!$CT$6:$CT$405),'計算'!$CU$6:$CU$405,0))&amp;"","")))</f>
        <v/>
      </c>
      <c r="E95" s="62">
        <f>IF($B95="","",IF(85&lt;=MAX('計算'!$CT$6:$CT$405),IFERROR(INDEX('計算'!$D$6:$D$405,MATCH(85,'計算'!$CT$6:$CT$405,0)),""),IFERROR(INDEX('計算'!$D$6:$D$405,MATCH(85-MAX('計算'!$CT$6:$CT$405),'計算'!$CU$6:$CU$405,0)),"")))</f>
        <v/>
      </c>
      <c r="F95" s="63">
        <f>IF($B95="","",IF(85&lt;=MAX('計算'!$CT$6:$CT$405),IFERROR(INDEX('計算'!$P$6:$P$405,MATCH(85,'計算'!$CT$6:$CT$405,0)),""),IFERROR(INDEX('計算'!$S$6:$S$405,MATCH(85-MAX('計算'!$CT$6:$CT$405),'計算'!$CU$6:$CU$405,0)),"")))</f>
        <v/>
      </c>
      <c r="G95" s="62">
        <f>IF($B95="","",IF(85&lt;=MAX('計算'!$CT$6:$CT$405),IFERROR(INDEX('計算'!$CR$6:$CR$405,MATCH(85,'計算'!$CT$6:$CT$405,0)),""),IFERROR(INDEX('計算'!$CR$6:$CR$405,MATCH(85-MAX('計算'!$CT$6:$CT$405),'計算'!$CU$6:$CU$405,0)),"")))</f>
        <v/>
      </c>
      <c r="H95" s="64">
        <f>IF($B95="","",IF(85&lt;=MAX('計算'!$CT$6:$CT$405),IFERROR(INDEX('計算'!$Q$6:$Q$405,MATCH(85,'計算'!$CT$6:$CT$405,0)),""),IFERROR(INDEX('計算'!$T$6:$T$405,MATCH(85-MAX('計算'!$CT$6:$CT$405),'計算'!$CU$6:$CU$405,0)),"")))</f>
        <v/>
      </c>
      <c r="I95" s="65">
        <f>IF($B95="","",IF(85&lt;=MAX('計算'!$CT$6:$CT$405),IFERROR(INDEX('計算'!$H$6:$H$405,MATCH(85,'計算'!$CT$6:$CT$405,0)),""),IFERROR(INDEX('計算'!$H$6:$H$405,MATCH(85-MAX('計算'!$CT$6:$CT$405),'計算'!$CU$6:$CU$405,0)),"")))</f>
        <v/>
      </c>
      <c r="J95" s="65">
        <f>IF($B95="","",N($H95)*IFERROR(INDEX('計算'!$G$6:$G$405,IF(85&lt;=MAX('計算'!$CT$6:$CT$405),MATCH(85,'計算'!$CT$6:$CT$405,0),MATCH(85-MAX('計算'!$CT$6:$CT$405),'計算'!$CU$6:$CU$405,0))),1)*N($I95))</f>
        <v/>
      </c>
    </row>
    <row r="96" ht="18" customHeight="1">
      <c r="B96" s="61">
        <f>IF(86&lt;=MAX('計算'!$CT$6:$CT$405)+MAX('計算'!$CU$6:$CU$405),86,"")</f>
        <v/>
      </c>
      <c r="C96" s="62">
        <f>IF($B96="","",IF(86&lt;=MAX('計算'!$CT$6:$CT$405),IFERROR(INDEX('計算'!$F$6:$F$405,MATCH(86,'計算'!$CT$6:$CT$405,0)),""),IFERROR(INDEX('計算'!$F$6:$F$405,MATCH(86-MAX('計算'!$CT$6:$CT$405),'計算'!$CU$6:$CU$405,0)),"")))</f>
        <v/>
      </c>
      <c r="D96" s="62">
        <f>IF($B96="","",IF(86&lt;=MAX('計算'!$CT$6:$CT$405),IFERROR(INDEX('計算'!$C$6:$C$405,MATCH(86,'計算'!$CT$6:$CT$405,0))&amp;"",""),IFERROR(INDEX('計算'!$C$6:$C$405,MATCH(86-MAX('計算'!$CT$6:$CT$405),'計算'!$CU$6:$CU$405,0))&amp;"","")))</f>
        <v/>
      </c>
      <c r="E96" s="62">
        <f>IF($B96="","",IF(86&lt;=MAX('計算'!$CT$6:$CT$405),IFERROR(INDEX('計算'!$D$6:$D$405,MATCH(86,'計算'!$CT$6:$CT$405,0)),""),IFERROR(INDEX('計算'!$D$6:$D$405,MATCH(86-MAX('計算'!$CT$6:$CT$405),'計算'!$CU$6:$CU$405,0)),"")))</f>
        <v/>
      </c>
      <c r="F96" s="63">
        <f>IF($B96="","",IF(86&lt;=MAX('計算'!$CT$6:$CT$405),IFERROR(INDEX('計算'!$P$6:$P$405,MATCH(86,'計算'!$CT$6:$CT$405,0)),""),IFERROR(INDEX('計算'!$S$6:$S$405,MATCH(86-MAX('計算'!$CT$6:$CT$405),'計算'!$CU$6:$CU$405,0)),"")))</f>
        <v/>
      </c>
      <c r="G96" s="62">
        <f>IF($B96="","",IF(86&lt;=MAX('計算'!$CT$6:$CT$405),IFERROR(INDEX('計算'!$CR$6:$CR$405,MATCH(86,'計算'!$CT$6:$CT$405,0)),""),IFERROR(INDEX('計算'!$CR$6:$CR$405,MATCH(86-MAX('計算'!$CT$6:$CT$405),'計算'!$CU$6:$CU$405,0)),"")))</f>
        <v/>
      </c>
      <c r="H96" s="64">
        <f>IF($B96="","",IF(86&lt;=MAX('計算'!$CT$6:$CT$405),IFERROR(INDEX('計算'!$Q$6:$Q$405,MATCH(86,'計算'!$CT$6:$CT$405,0)),""),IFERROR(INDEX('計算'!$T$6:$T$405,MATCH(86-MAX('計算'!$CT$6:$CT$405),'計算'!$CU$6:$CU$405,0)),"")))</f>
        <v/>
      </c>
      <c r="I96" s="65">
        <f>IF($B96="","",IF(86&lt;=MAX('計算'!$CT$6:$CT$405),IFERROR(INDEX('計算'!$H$6:$H$405,MATCH(86,'計算'!$CT$6:$CT$405,0)),""),IFERROR(INDEX('計算'!$H$6:$H$405,MATCH(86-MAX('計算'!$CT$6:$CT$405),'計算'!$CU$6:$CU$405,0)),"")))</f>
        <v/>
      </c>
      <c r="J96" s="65">
        <f>IF($B96="","",N($H96)*IFERROR(INDEX('計算'!$G$6:$G$405,IF(86&lt;=MAX('計算'!$CT$6:$CT$405),MATCH(86,'計算'!$CT$6:$CT$405,0),MATCH(86-MAX('計算'!$CT$6:$CT$405),'計算'!$CU$6:$CU$405,0))),1)*N($I96))</f>
        <v/>
      </c>
    </row>
    <row r="97" ht="18" customHeight="1">
      <c r="B97" s="61">
        <f>IF(87&lt;=MAX('計算'!$CT$6:$CT$405)+MAX('計算'!$CU$6:$CU$405),87,"")</f>
        <v/>
      </c>
      <c r="C97" s="62">
        <f>IF($B97="","",IF(87&lt;=MAX('計算'!$CT$6:$CT$405),IFERROR(INDEX('計算'!$F$6:$F$405,MATCH(87,'計算'!$CT$6:$CT$405,0)),""),IFERROR(INDEX('計算'!$F$6:$F$405,MATCH(87-MAX('計算'!$CT$6:$CT$405),'計算'!$CU$6:$CU$405,0)),"")))</f>
        <v/>
      </c>
      <c r="D97" s="62">
        <f>IF($B97="","",IF(87&lt;=MAX('計算'!$CT$6:$CT$405),IFERROR(INDEX('計算'!$C$6:$C$405,MATCH(87,'計算'!$CT$6:$CT$405,0))&amp;"",""),IFERROR(INDEX('計算'!$C$6:$C$405,MATCH(87-MAX('計算'!$CT$6:$CT$405),'計算'!$CU$6:$CU$405,0))&amp;"","")))</f>
        <v/>
      </c>
      <c r="E97" s="62">
        <f>IF($B97="","",IF(87&lt;=MAX('計算'!$CT$6:$CT$405),IFERROR(INDEX('計算'!$D$6:$D$405,MATCH(87,'計算'!$CT$6:$CT$405,0)),""),IFERROR(INDEX('計算'!$D$6:$D$405,MATCH(87-MAX('計算'!$CT$6:$CT$405),'計算'!$CU$6:$CU$405,0)),"")))</f>
        <v/>
      </c>
      <c r="F97" s="63">
        <f>IF($B97="","",IF(87&lt;=MAX('計算'!$CT$6:$CT$405),IFERROR(INDEX('計算'!$P$6:$P$405,MATCH(87,'計算'!$CT$6:$CT$405,0)),""),IFERROR(INDEX('計算'!$S$6:$S$405,MATCH(87-MAX('計算'!$CT$6:$CT$405),'計算'!$CU$6:$CU$405,0)),"")))</f>
        <v/>
      </c>
      <c r="G97" s="62">
        <f>IF($B97="","",IF(87&lt;=MAX('計算'!$CT$6:$CT$405),IFERROR(INDEX('計算'!$CR$6:$CR$405,MATCH(87,'計算'!$CT$6:$CT$405,0)),""),IFERROR(INDEX('計算'!$CR$6:$CR$405,MATCH(87-MAX('計算'!$CT$6:$CT$405),'計算'!$CU$6:$CU$405,0)),"")))</f>
        <v/>
      </c>
      <c r="H97" s="64">
        <f>IF($B97="","",IF(87&lt;=MAX('計算'!$CT$6:$CT$405),IFERROR(INDEX('計算'!$Q$6:$Q$405,MATCH(87,'計算'!$CT$6:$CT$405,0)),""),IFERROR(INDEX('計算'!$T$6:$T$405,MATCH(87-MAX('計算'!$CT$6:$CT$405),'計算'!$CU$6:$CU$405,0)),"")))</f>
        <v/>
      </c>
      <c r="I97" s="65">
        <f>IF($B97="","",IF(87&lt;=MAX('計算'!$CT$6:$CT$405),IFERROR(INDEX('計算'!$H$6:$H$405,MATCH(87,'計算'!$CT$6:$CT$405,0)),""),IFERROR(INDEX('計算'!$H$6:$H$405,MATCH(87-MAX('計算'!$CT$6:$CT$405),'計算'!$CU$6:$CU$405,0)),"")))</f>
        <v/>
      </c>
      <c r="J97" s="65">
        <f>IF($B97="","",N($H97)*IFERROR(INDEX('計算'!$G$6:$G$405,IF(87&lt;=MAX('計算'!$CT$6:$CT$405),MATCH(87,'計算'!$CT$6:$CT$405,0),MATCH(87-MAX('計算'!$CT$6:$CT$405),'計算'!$CU$6:$CU$405,0))),1)*N($I97))</f>
        <v/>
      </c>
    </row>
    <row r="98" ht="18" customHeight="1">
      <c r="B98" s="61">
        <f>IF(88&lt;=MAX('計算'!$CT$6:$CT$405)+MAX('計算'!$CU$6:$CU$405),88,"")</f>
        <v/>
      </c>
      <c r="C98" s="62">
        <f>IF($B98="","",IF(88&lt;=MAX('計算'!$CT$6:$CT$405),IFERROR(INDEX('計算'!$F$6:$F$405,MATCH(88,'計算'!$CT$6:$CT$405,0)),""),IFERROR(INDEX('計算'!$F$6:$F$405,MATCH(88-MAX('計算'!$CT$6:$CT$405),'計算'!$CU$6:$CU$405,0)),"")))</f>
        <v/>
      </c>
      <c r="D98" s="62">
        <f>IF($B98="","",IF(88&lt;=MAX('計算'!$CT$6:$CT$405),IFERROR(INDEX('計算'!$C$6:$C$405,MATCH(88,'計算'!$CT$6:$CT$405,0))&amp;"",""),IFERROR(INDEX('計算'!$C$6:$C$405,MATCH(88-MAX('計算'!$CT$6:$CT$405),'計算'!$CU$6:$CU$405,0))&amp;"","")))</f>
        <v/>
      </c>
      <c r="E98" s="62">
        <f>IF($B98="","",IF(88&lt;=MAX('計算'!$CT$6:$CT$405),IFERROR(INDEX('計算'!$D$6:$D$405,MATCH(88,'計算'!$CT$6:$CT$405,0)),""),IFERROR(INDEX('計算'!$D$6:$D$405,MATCH(88-MAX('計算'!$CT$6:$CT$405),'計算'!$CU$6:$CU$405,0)),"")))</f>
        <v/>
      </c>
      <c r="F98" s="63">
        <f>IF($B98="","",IF(88&lt;=MAX('計算'!$CT$6:$CT$405),IFERROR(INDEX('計算'!$P$6:$P$405,MATCH(88,'計算'!$CT$6:$CT$405,0)),""),IFERROR(INDEX('計算'!$S$6:$S$405,MATCH(88-MAX('計算'!$CT$6:$CT$405),'計算'!$CU$6:$CU$405,0)),"")))</f>
        <v/>
      </c>
      <c r="G98" s="62">
        <f>IF($B98="","",IF(88&lt;=MAX('計算'!$CT$6:$CT$405),IFERROR(INDEX('計算'!$CR$6:$CR$405,MATCH(88,'計算'!$CT$6:$CT$405,0)),""),IFERROR(INDEX('計算'!$CR$6:$CR$405,MATCH(88-MAX('計算'!$CT$6:$CT$405),'計算'!$CU$6:$CU$405,0)),"")))</f>
        <v/>
      </c>
      <c r="H98" s="64">
        <f>IF($B98="","",IF(88&lt;=MAX('計算'!$CT$6:$CT$405),IFERROR(INDEX('計算'!$Q$6:$Q$405,MATCH(88,'計算'!$CT$6:$CT$405,0)),""),IFERROR(INDEX('計算'!$T$6:$T$405,MATCH(88-MAX('計算'!$CT$6:$CT$405),'計算'!$CU$6:$CU$405,0)),"")))</f>
        <v/>
      </c>
      <c r="I98" s="65">
        <f>IF($B98="","",IF(88&lt;=MAX('計算'!$CT$6:$CT$405),IFERROR(INDEX('計算'!$H$6:$H$405,MATCH(88,'計算'!$CT$6:$CT$405,0)),""),IFERROR(INDEX('計算'!$H$6:$H$405,MATCH(88-MAX('計算'!$CT$6:$CT$405),'計算'!$CU$6:$CU$405,0)),"")))</f>
        <v/>
      </c>
      <c r="J98" s="65">
        <f>IF($B98="","",N($H98)*IFERROR(INDEX('計算'!$G$6:$G$405,IF(88&lt;=MAX('計算'!$CT$6:$CT$405),MATCH(88,'計算'!$CT$6:$CT$405,0),MATCH(88-MAX('計算'!$CT$6:$CT$405),'計算'!$CU$6:$CU$405,0))),1)*N($I98))</f>
        <v/>
      </c>
    </row>
    <row r="99" ht="18" customHeight="1">
      <c r="B99" s="61">
        <f>IF(89&lt;=MAX('計算'!$CT$6:$CT$405)+MAX('計算'!$CU$6:$CU$405),89,"")</f>
        <v/>
      </c>
      <c r="C99" s="62">
        <f>IF($B99="","",IF(89&lt;=MAX('計算'!$CT$6:$CT$405),IFERROR(INDEX('計算'!$F$6:$F$405,MATCH(89,'計算'!$CT$6:$CT$405,0)),""),IFERROR(INDEX('計算'!$F$6:$F$405,MATCH(89-MAX('計算'!$CT$6:$CT$405),'計算'!$CU$6:$CU$405,0)),"")))</f>
        <v/>
      </c>
      <c r="D99" s="62">
        <f>IF($B99="","",IF(89&lt;=MAX('計算'!$CT$6:$CT$405),IFERROR(INDEX('計算'!$C$6:$C$405,MATCH(89,'計算'!$CT$6:$CT$405,0))&amp;"",""),IFERROR(INDEX('計算'!$C$6:$C$405,MATCH(89-MAX('計算'!$CT$6:$CT$405),'計算'!$CU$6:$CU$405,0))&amp;"","")))</f>
        <v/>
      </c>
      <c r="E99" s="62">
        <f>IF($B99="","",IF(89&lt;=MAX('計算'!$CT$6:$CT$405),IFERROR(INDEX('計算'!$D$6:$D$405,MATCH(89,'計算'!$CT$6:$CT$405,0)),""),IFERROR(INDEX('計算'!$D$6:$D$405,MATCH(89-MAX('計算'!$CT$6:$CT$405),'計算'!$CU$6:$CU$405,0)),"")))</f>
        <v/>
      </c>
      <c r="F99" s="63">
        <f>IF($B99="","",IF(89&lt;=MAX('計算'!$CT$6:$CT$405),IFERROR(INDEX('計算'!$P$6:$P$405,MATCH(89,'計算'!$CT$6:$CT$405,0)),""),IFERROR(INDEX('計算'!$S$6:$S$405,MATCH(89-MAX('計算'!$CT$6:$CT$405),'計算'!$CU$6:$CU$405,0)),"")))</f>
        <v/>
      </c>
      <c r="G99" s="62">
        <f>IF($B99="","",IF(89&lt;=MAX('計算'!$CT$6:$CT$405),IFERROR(INDEX('計算'!$CR$6:$CR$405,MATCH(89,'計算'!$CT$6:$CT$405,0)),""),IFERROR(INDEX('計算'!$CR$6:$CR$405,MATCH(89-MAX('計算'!$CT$6:$CT$405),'計算'!$CU$6:$CU$405,0)),"")))</f>
        <v/>
      </c>
      <c r="H99" s="64">
        <f>IF($B99="","",IF(89&lt;=MAX('計算'!$CT$6:$CT$405),IFERROR(INDEX('計算'!$Q$6:$Q$405,MATCH(89,'計算'!$CT$6:$CT$405,0)),""),IFERROR(INDEX('計算'!$T$6:$T$405,MATCH(89-MAX('計算'!$CT$6:$CT$405),'計算'!$CU$6:$CU$405,0)),"")))</f>
        <v/>
      </c>
      <c r="I99" s="65">
        <f>IF($B99="","",IF(89&lt;=MAX('計算'!$CT$6:$CT$405),IFERROR(INDEX('計算'!$H$6:$H$405,MATCH(89,'計算'!$CT$6:$CT$405,0)),""),IFERROR(INDEX('計算'!$H$6:$H$405,MATCH(89-MAX('計算'!$CT$6:$CT$405),'計算'!$CU$6:$CU$405,0)),"")))</f>
        <v/>
      </c>
      <c r="J99" s="65">
        <f>IF($B99="","",N($H99)*IFERROR(INDEX('計算'!$G$6:$G$405,IF(89&lt;=MAX('計算'!$CT$6:$CT$405),MATCH(89,'計算'!$CT$6:$CT$405,0),MATCH(89-MAX('計算'!$CT$6:$CT$405),'計算'!$CU$6:$CU$405,0))),1)*N($I99))</f>
        <v/>
      </c>
    </row>
    <row r="100" ht="18" customHeight="1">
      <c r="B100" s="61">
        <f>IF(90&lt;=MAX('計算'!$CT$6:$CT$405)+MAX('計算'!$CU$6:$CU$405),90,"")</f>
        <v/>
      </c>
      <c r="C100" s="62">
        <f>IF($B100="","",IF(90&lt;=MAX('計算'!$CT$6:$CT$405),IFERROR(INDEX('計算'!$F$6:$F$405,MATCH(90,'計算'!$CT$6:$CT$405,0)),""),IFERROR(INDEX('計算'!$F$6:$F$405,MATCH(90-MAX('計算'!$CT$6:$CT$405),'計算'!$CU$6:$CU$405,0)),"")))</f>
        <v/>
      </c>
      <c r="D100" s="62">
        <f>IF($B100="","",IF(90&lt;=MAX('計算'!$CT$6:$CT$405),IFERROR(INDEX('計算'!$C$6:$C$405,MATCH(90,'計算'!$CT$6:$CT$405,0))&amp;"",""),IFERROR(INDEX('計算'!$C$6:$C$405,MATCH(90-MAX('計算'!$CT$6:$CT$405),'計算'!$CU$6:$CU$405,0))&amp;"","")))</f>
        <v/>
      </c>
      <c r="E100" s="62">
        <f>IF($B100="","",IF(90&lt;=MAX('計算'!$CT$6:$CT$405),IFERROR(INDEX('計算'!$D$6:$D$405,MATCH(90,'計算'!$CT$6:$CT$405,0)),""),IFERROR(INDEX('計算'!$D$6:$D$405,MATCH(90-MAX('計算'!$CT$6:$CT$405),'計算'!$CU$6:$CU$405,0)),"")))</f>
        <v/>
      </c>
      <c r="F100" s="63">
        <f>IF($B100="","",IF(90&lt;=MAX('計算'!$CT$6:$CT$405),IFERROR(INDEX('計算'!$P$6:$P$405,MATCH(90,'計算'!$CT$6:$CT$405,0)),""),IFERROR(INDEX('計算'!$S$6:$S$405,MATCH(90-MAX('計算'!$CT$6:$CT$405),'計算'!$CU$6:$CU$405,0)),"")))</f>
        <v/>
      </c>
      <c r="G100" s="62">
        <f>IF($B100="","",IF(90&lt;=MAX('計算'!$CT$6:$CT$405),IFERROR(INDEX('計算'!$CR$6:$CR$405,MATCH(90,'計算'!$CT$6:$CT$405,0)),""),IFERROR(INDEX('計算'!$CR$6:$CR$405,MATCH(90-MAX('計算'!$CT$6:$CT$405),'計算'!$CU$6:$CU$405,0)),"")))</f>
        <v/>
      </c>
      <c r="H100" s="64">
        <f>IF($B100="","",IF(90&lt;=MAX('計算'!$CT$6:$CT$405),IFERROR(INDEX('計算'!$Q$6:$Q$405,MATCH(90,'計算'!$CT$6:$CT$405,0)),""),IFERROR(INDEX('計算'!$T$6:$T$405,MATCH(90-MAX('計算'!$CT$6:$CT$405),'計算'!$CU$6:$CU$405,0)),"")))</f>
        <v/>
      </c>
      <c r="I100" s="65">
        <f>IF($B100="","",IF(90&lt;=MAX('計算'!$CT$6:$CT$405),IFERROR(INDEX('計算'!$H$6:$H$405,MATCH(90,'計算'!$CT$6:$CT$405,0)),""),IFERROR(INDEX('計算'!$H$6:$H$405,MATCH(90-MAX('計算'!$CT$6:$CT$405),'計算'!$CU$6:$CU$405,0)),"")))</f>
        <v/>
      </c>
      <c r="J100" s="65">
        <f>IF($B100="","",N($H100)*IFERROR(INDEX('計算'!$G$6:$G$405,IF(90&lt;=MAX('計算'!$CT$6:$CT$405),MATCH(90,'計算'!$CT$6:$CT$405,0),MATCH(90-MAX('計算'!$CT$6:$CT$405),'計算'!$CU$6:$CU$405,0))),1)*N($I100))</f>
        <v/>
      </c>
    </row>
    <row r="101" ht="18" customHeight="1">
      <c r="B101" s="61">
        <f>IF(91&lt;=MAX('計算'!$CT$6:$CT$405)+MAX('計算'!$CU$6:$CU$405),91,"")</f>
        <v/>
      </c>
      <c r="C101" s="62">
        <f>IF($B101="","",IF(91&lt;=MAX('計算'!$CT$6:$CT$405),IFERROR(INDEX('計算'!$F$6:$F$405,MATCH(91,'計算'!$CT$6:$CT$405,0)),""),IFERROR(INDEX('計算'!$F$6:$F$405,MATCH(91-MAX('計算'!$CT$6:$CT$405),'計算'!$CU$6:$CU$405,0)),"")))</f>
        <v/>
      </c>
      <c r="D101" s="62">
        <f>IF($B101="","",IF(91&lt;=MAX('計算'!$CT$6:$CT$405),IFERROR(INDEX('計算'!$C$6:$C$405,MATCH(91,'計算'!$CT$6:$CT$405,0))&amp;"",""),IFERROR(INDEX('計算'!$C$6:$C$405,MATCH(91-MAX('計算'!$CT$6:$CT$405),'計算'!$CU$6:$CU$405,0))&amp;"","")))</f>
        <v/>
      </c>
      <c r="E101" s="62">
        <f>IF($B101="","",IF(91&lt;=MAX('計算'!$CT$6:$CT$405),IFERROR(INDEX('計算'!$D$6:$D$405,MATCH(91,'計算'!$CT$6:$CT$405,0)),""),IFERROR(INDEX('計算'!$D$6:$D$405,MATCH(91-MAX('計算'!$CT$6:$CT$405),'計算'!$CU$6:$CU$405,0)),"")))</f>
        <v/>
      </c>
      <c r="F101" s="63">
        <f>IF($B101="","",IF(91&lt;=MAX('計算'!$CT$6:$CT$405),IFERROR(INDEX('計算'!$P$6:$P$405,MATCH(91,'計算'!$CT$6:$CT$405,0)),""),IFERROR(INDEX('計算'!$S$6:$S$405,MATCH(91-MAX('計算'!$CT$6:$CT$405),'計算'!$CU$6:$CU$405,0)),"")))</f>
        <v/>
      </c>
      <c r="G101" s="62">
        <f>IF($B101="","",IF(91&lt;=MAX('計算'!$CT$6:$CT$405),IFERROR(INDEX('計算'!$CR$6:$CR$405,MATCH(91,'計算'!$CT$6:$CT$405,0)),""),IFERROR(INDEX('計算'!$CR$6:$CR$405,MATCH(91-MAX('計算'!$CT$6:$CT$405),'計算'!$CU$6:$CU$405,0)),"")))</f>
        <v/>
      </c>
      <c r="H101" s="64">
        <f>IF($B101="","",IF(91&lt;=MAX('計算'!$CT$6:$CT$405),IFERROR(INDEX('計算'!$Q$6:$Q$405,MATCH(91,'計算'!$CT$6:$CT$405,0)),""),IFERROR(INDEX('計算'!$T$6:$T$405,MATCH(91-MAX('計算'!$CT$6:$CT$405),'計算'!$CU$6:$CU$405,0)),"")))</f>
        <v/>
      </c>
      <c r="I101" s="65">
        <f>IF($B101="","",IF(91&lt;=MAX('計算'!$CT$6:$CT$405),IFERROR(INDEX('計算'!$H$6:$H$405,MATCH(91,'計算'!$CT$6:$CT$405,0)),""),IFERROR(INDEX('計算'!$H$6:$H$405,MATCH(91-MAX('計算'!$CT$6:$CT$405),'計算'!$CU$6:$CU$405,0)),"")))</f>
        <v/>
      </c>
      <c r="J101" s="65">
        <f>IF($B101="","",N($H101)*IFERROR(INDEX('計算'!$G$6:$G$405,IF(91&lt;=MAX('計算'!$CT$6:$CT$405),MATCH(91,'計算'!$CT$6:$CT$405,0),MATCH(91-MAX('計算'!$CT$6:$CT$405),'計算'!$CU$6:$CU$405,0))),1)*N($I101))</f>
        <v/>
      </c>
    </row>
    <row r="102" ht="18" customHeight="1">
      <c r="B102" s="61">
        <f>IF(92&lt;=MAX('計算'!$CT$6:$CT$405)+MAX('計算'!$CU$6:$CU$405),92,"")</f>
        <v/>
      </c>
      <c r="C102" s="62">
        <f>IF($B102="","",IF(92&lt;=MAX('計算'!$CT$6:$CT$405),IFERROR(INDEX('計算'!$F$6:$F$405,MATCH(92,'計算'!$CT$6:$CT$405,0)),""),IFERROR(INDEX('計算'!$F$6:$F$405,MATCH(92-MAX('計算'!$CT$6:$CT$405),'計算'!$CU$6:$CU$405,0)),"")))</f>
        <v/>
      </c>
      <c r="D102" s="62">
        <f>IF($B102="","",IF(92&lt;=MAX('計算'!$CT$6:$CT$405),IFERROR(INDEX('計算'!$C$6:$C$405,MATCH(92,'計算'!$CT$6:$CT$405,0))&amp;"",""),IFERROR(INDEX('計算'!$C$6:$C$405,MATCH(92-MAX('計算'!$CT$6:$CT$405),'計算'!$CU$6:$CU$405,0))&amp;"","")))</f>
        <v/>
      </c>
      <c r="E102" s="62">
        <f>IF($B102="","",IF(92&lt;=MAX('計算'!$CT$6:$CT$405),IFERROR(INDEX('計算'!$D$6:$D$405,MATCH(92,'計算'!$CT$6:$CT$405,0)),""),IFERROR(INDEX('計算'!$D$6:$D$405,MATCH(92-MAX('計算'!$CT$6:$CT$405),'計算'!$CU$6:$CU$405,0)),"")))</f>
        <v/>
      </c>
      <c r="F102" s="63">
        <f>IF($B102="","",IF(92&lt;=MAX('計算'!$CT$6:$CT$405),IFERROR(INDEX('計算'!$P$6:$P$405,MATCH(92,'計算'!$CT$6:$CT$405,0)),""),IFERROR(INDEX('計算'!$S$6:$S$405,MATCH(92-MAX('計算'!$CT$6:$CT$405),'計算'!$CU$6:$CU$405,0)),"")))</f>
        <v/>
      </c>
      <c r="G102" s="62">
        <f>IF($B102="","",IF(92&lt;=MAX('計算'!$CT$6:$CT$405),IFERROR(INDEX('計算'!$CR$6:$CR$405,MATCH(92,'計算'!$CT$6:$CT$405,0)),""),IFERROR(INDEX('計算'!$CR$6:$CR$405,MATCH(92-MAX('計算'!$CT$6:$CT$405),'計算'!$CU$6:$CU$405,0)),"")))</f>
        <v/>
      </c>
      <c r="H102" s="64">
        <f>IF($B102="","",IF(92&lt;=MAX('計算'!$CT$6:$CT$405),IFERROR(INDEX('計算'!$Q$6:$Q$405,MATCH(92,'計算'!$CT$6:$CT$405,0)),""),IFERROR(INDEX('計算'!$T$6:$T$405,MATCH(92-MAX('計算'!$CT$6:$CT$405),'計算'!$CU$6:$CU$405,0)),"")))</f>
        <v/>
      </c>
      <c r="I102" s="65">
        <f>IF($B102="","",IF(92&lt;=MAX('計算'!$CT$6:$CT$405),IFERROR(INDEX('計算'!$H$6:$H$405,MATCH(92,'計算'!$CT$6:$CT$405,0)),""),IFERROR(INDEX('計算'!$H$6:$H$405,MATCH(92-MAX('計算'!$CT$6:$CT$405),'計算'!$CU$6:$CU$405,0)),"")))</f>
        <v/>
      </c>
      <c r="J102" s="65">
        <f>IF($B102="","",N($H102)*IFERROR(INDEX('計算'!$G$6:$G$405,IF(92&lt;=MAX('計算'!$CT$6:$CT$405),MATCH(92,'計算'!$CT$6:$CT$405,0),MATCH(92-MAX('計算'!$CT$6:$CT$405),'計算'!$CU$6:$CU$405,0))),1)*N($I102))</f>
        <v/>
      </c>
    </row>
    <row r="103" ht="18" customHeight="1">
      <c r="B103" s="61">
        <f>IF(93&lt;=MAX('計算'!$CT$6:$CT$405)+MAX('計算'!$CU$6:$CU$405),93,"")</f>
        <v/>
      </c>
      <c r="C103" s="62">
        <f>IF($B103="","",IF(93&lt;=MAX('計算'!$CT$6:$CT$405),IFERROR(INDEX('計算'!$F$6:$F$405,MATCH(93,'計算'!$CT$6:$CT$405,0)),""),IFERROR(INDEX('計算'!$F$6:$F$405,MATCH(93-MAX('計算'!$CT$6:$CT$405),'計算'!$CU$6:$CU$405,0)),"")))</f>
        <v/>
      </c>
      <c r="D103" s="62">
        <f>IF($B103="","",IF(93&lt;=MAX('計算'!$CT$6:$CT$405),IFERROR(INDEX('計算'!$C$6:$C$405,MATCH(93,'計算'!$CT$6:$CT$405,0))&amp;"",""),IFERROR(INDEX('計算'!$C$6:$C$405,MATCH(93-MAX('計算'!$CT$6:$CT$405),'計算'!$CU$6:$CU$405,0))&amp;"","")))</f>
        <v/>
      </c>
      <c r="E103" s="62">
        <f>IF($B103="","",IF(93&lt;=MAX('計算'!$CT$6:$CT$405),IFERROR(INDEX('計算'!$D$6:$D$405,MATCH(93,'計算'!$CT$6:$CT$405,0)),""),IFERROR(INDEX('計算'!$D$6:$D$405,MATCH(93-MAX('計算'!$CT$6:$CT$405),'計算'!$CU$6:$CU$405,0)),"")))</f>
        <v/>
      </c>
      <c r="F103" s="63">
        <f>IF($B103="","",IF(93&lt;=MAX('計算'!$CT$6:$CT$405),IFERROR(INDEX('計算'!$P$6:$P$405,MATCH(93,'計算'!$CT$6:$CT$405,0)),""),IFERROR(INDEX('計算'!$S$6:$S$405,MATCH(93-MAX('計算'!$CT$6:$CT$405),'計算'!$CU$6:$CU$405,0)),"")))</f>
        <v/>
      </c>
      <c r="G103" s="62">
        <f>IF($B103="","",IF(93&lt;=MAX('計算'!$CT$6:$CT$405),IFERROR(INDEX('計算'!$CR$6:$CR$405,MATCH(93,'計算'!$CT$6:$CT$405,0)),""),IFERROR(INDEX('計算'!$CR$6:$CR$405,MATCH(93-MAX('計算'!$CT$6:$CT$405),'計算'!$CU$6:$CU$405,0)),"")))</f>
        <v/>
      </c>
      <c r="H103" s="64">
        <f>IF($B103="","",IF(93&lt;=MAX('計算'!$CT$6:$CT$405),IFERROR(INDEX('計算'!$Q$6:$Q$405,MATCH(93,'計算'!$CT$6:$CT$405,0)),""),IFERROR(INDEX('計算'!$T$6:$T$405,MATCH(93-MAX('計算'!$CT$6:$CT$405),'計算'!$CU$6:$CU$405,0)),"")))</f>
        <v/>
      </c>
      <c r="I103" s="65">
        <f>IF($B103="","",IF(93&lt;=MAX('計算'!$CT$6:$CT$405),IFERROR(INDEX('計算'!$H$6:$H$405,MATCH(93,'計算'!$CT$6:$CT$405,0)),""),IFERROR(INDEX('計算'!$H$6:$H$405,MATCH(93-MAX('計算'!$CT$6:$CT$405),'計算'!$CU$6:$CU$405,0)),"")))</f>
        <v/>
      </c>
      <c r="J103" s="65">
        <f>IF($B103="","",N($H103)*IFERROR(INDEX('計算'!$G$6:$G$405,IF(93&lt;=MAX('計算'!$CT$6:$CT$405),MATCH(93,'計算'!$CT$6:$CT$405,0),MATCH(93-MAX('計算'!$CT$6:$CT$405),'計算'!$CU$6:$CU$405,0))),1)*N($I103))</f>
        <v/>
      </c>
    </row>
    <row r="104" ht="18" customHeight="1">
      <c r="B104" s="61">
        <f>IF(94&lt;=MAX('計算'!$CT$6:$CT$405)+MAX('計算'!$CU$6:$CU$405),94,"")</f>
        <v/>
      </c>
      <c r="C104" s="62">
        <f>IF($B104="","",IF(94&lt;=MAX('計算'!$CT$6:$CT$405),IFERROR(INDEX('計算'!$F$6:$F$405,MATCH(94,'計算'!$CT$6:$CT$405,0)),""),IFERROR(INDEX('計算'!$F$6:$F$405,MATCH(94-MAX('計算'!$CT$6:$CT$405),'計算'!$CU$6:$CU$405,0)),"")))</f>
        <v/>
      </c>
      <c r="D104" s="62">
        <f>IF($B104="","",IF(94&lt;=MAX('計算'!$CT$6:$CT$405),IFERROR(INDEX('計算'!$C$6:$C$405,MATCH(94,'計算'!$CT$6:$CT$405,0))&amp;"",""),IFERROR(INDEX('計算'!$C$6:$C$405,MATCH(94-MAX('計算'!$CT$6:$CT$405),'計算'!$CU$6:$CU$405,0))&amp;"","")))</f>
        <v/>
      </c>
      <c r="E104" s="62">
        <f>IF($B104="","",IF(94&lt;=MAX('計算'!$CT$6:$CT$405),IFERROR(INDEX('計算'!$D$6:$D$405,MATCH(94,'計算'!$CT$6:$CT$405,0)),""),IFERROR(INDEX('計算'!$D$6:$D$405,MATCH(94-MAX('計算'!$CT$6:$CT$405),'計算'!$CU$6:$CU$405,0)),"")))</f>
        <v/>
      </c>
      <c r="F104" s="63">
        <f>IF($B104="","",IF(94&lt;=MAX('計算'!$CT$6:$CT$405),IFERROR(INDEX('計算'!$P$6:$P$405,MATCH(94,'計算'!$CT$6:$CT$405,0)),""),IFERROR(INDEX('計算'!$S$6:$S$405,MATCH(94-MAX('計算'!$CT$6:$CT$405),'計算'!$CU$6:$CU$405,0)),"")))</f>
        <v/>
      </c>
      <c r="G104" s="62">
        <f>IF($B104="","",IF(94&lt;=MAX('計算'!$CT$6:$CT$405),IFERROR(INDEX('計算'!$CR$6:$CR$405,MATCH(94,'計算'!$CT$6:$CT$405,0)),""),IFERROR(INDEX('計算'!$CR$6:$CR$405,MATCH(94-MAX('計算'!$CT$6:$CT$405),'計算'!$CU$6:$CU$405,0)),"")))</f>
        <v/>
      </c>
      <c r="H104" s="64">
        <f>IF($B104="","",IF(94&lt;=MAX('計算'!$CT$6:$CT$405),IFERROR(INDEX('計算'!$Q$6:$Q$405,MATCH(94,'計算'!$CT$6:$CT$405,0)),""),IFERROR(INDEX('計算'!$T$6:$T$405,MATCH(94-MAX('計算'!$CT$6:$CT$405),'計算'!$CU$6:$CU$405,0)),"")))</f>
        <v/>
      </c>
      <c r="I104" s="65">
        <f>IF($B104="","",IF(94&lt;=MAX('計算'!$CT$6:$CT$405),IFERROR(INDEX('計算'!$H$6:$H$405,MATCH(94,'計算'!$CT$6:$CT$405,0)),""),IFERROR(INDEX('計算'!$H$6:$H$405,MATCH(94-MAX('計算'!$CT$6:$CT$405),'計算'!$CU$6:$CU$405,0)),"")))</f>
        <v/>
      </c>
      <c r="J104" s="65">
        <f>IF($B104="","",N($H104)*IFERROR(INDEX('計算'!$G$6:$G$405,IF(94&lt;=MAX('計算'!$CT$6:$CT$405),MATCH(94,'計算'!$CT$6:$CT$405,0),MATCH(94-MAX('計算'!$CT$6:$CT$405),'計算'!$CU$6:$CU$405,0))),1)*N($I104))</f>
        <v/>
      </c>
    </row>
    <row r="105" ht="18" customHeight="1">
      <c r="B105" s="61">
        <f>IF(95&lt;=MAX('計算'!$CT$6:$CT$405)+MAX('計算'!$CU$6:$CU$405),95,"")</f>
        <v/>
      </c>
      <c r="C105" s="62">
        <f>IF($B105="","",IF(95&lt;=MAX('計算'!$CT$6:$CT$405),IFERROR(INDEX('計算'!$F$6:$F$405,MATCH(95,'計算'!$CT$6:$CT$405,0)),""),IFERROR(INDEX('計算'!$F$6:$F$405,MATCH(95-MAX('計算'!$CT$6:$CT$405),'計算'!$CU$6:$CU$405,0)),"")))</f>
        <v/>
      </c>
      <c r="D105" s="62">
        <f>IF($B105="","",IF(95&lt;=MAX('計算'!$CT$6:$CT$405),IFERROR(INDEX('計算'!$C$6:$C$405,MATCH(95,'計算'!$CT$6:$CT$405,0))&amp;"",""),IFERROR(INDEX('計算'!$C$6:$C$405,MATCH(95-MAX('計算'!$CT$6:$CT$405),'計算'!$CU$6:$CU$405,0))&amp;"","")))</f>
        <v/>
      </c>
      <c r="E105" s="62">
        <f>IF($B105="","",IF(95&lt;=MAX('計算'!$CT$6:$CT$405),IFERROR(INDEX('計算'!$D$6:$D$405,MATCH(95,'計算'!$CT$6:$CT$405,0)),""),IFERROR(INDEX('計算'!$D$6:$D$405,MATCH(95-MAX('計算'!$CT$6:$CT$405),'計算'!$CU$6:$CU$405,0)),"")))</f>
        <v/>
      </c>
      <c r="F105" s="63">
        <f>IF($B105="","",IF(95&lt;=MAX('計算'!$CT$6:$CT$405),IFERROR(INDEX('計算'!$P$6:$P$405,MATCH(95,'計算'!$CT$6:$CT$405,0)),""),IFERROR(INDEX('計算'!$S$6:$S$405,MATCH(95-MAX('計算'!$CT$6:$CT$405),'計算'!$CU$6:$CU$405,0)),"")))</f>
        <v/>
      </c>
      <c r="G105" s="62">
        <f>IF($B105="","",IF(95&lt;=MAX('計算'!$CT$6:$CT$405),IFERROR(INDEX('計算'!$CR$6:$CR$405,MATCH(95,'計算'!$CT$6:$CT$405,0)),""),IFERROR(INDEX('計算'!$CR$6:$CR$405,MATCH(95-MAX('計算'!$CT$6:$CT$405),'計算'!$CU$6:$CU$405,0)),"")))</f>
        <v/>
      </c>
      <c r="H105" s="64">
        <f>IF($B105="","",IF(95&lt;=MAX('計算'!$CT$6:$CT$405),IFERROR(INDEX('計算'!$Q$6:$Q$405,MATCH(95,'計算'!$CT$6:$CT$405,0)),""),IFERROR(INDEX('計算'!$T$6:$T$405,MATCH(95-MAX('計算'!$CT$6:$CT$405),'計算'!$CU$6:$CU$405,0)),"")))</f>
        <v/>
      </c>
      <c r="I105" s="65">
        <f>IF($B105="","",IF(95&lt;=MAX('計算'!$CT$6:$CT$405),IFERROR(INDEX('計算'!$H$6:$H$405,MATCH(95,'計算'!$CT$6:$CT$405,0)),""),IFERROR(INDEX('計算'!$H$6:$H$405,MATCH(95-MAX('計算'!$CT$6:$CT$405),'計算'!$CU$6:$CU$405,0)),"")))</f>
        <v/>
      </c>
      <c r="J105" s="65">
        <f>IF($B105="","",N($H105)*IFERROR(INDEX('計算'!$G$6:$G$405,IF(95&lt;=MAX('計算'!$CT$6:$CT$405),MATCH(95,'計算'!$CT$6:$CT$405,0),MATCH(95-MAX('計算'!$CT$6:$CT$405),'計算'!$CU$6:$CU$405,0))),1)*N($I105))</f>
        <v/>
      </c>
    </row>
    <row r="106" ht="18" customHeight="1">
      <c r="B106" s="61">
        <f>IF(96&lt;=MAX('計算'!$CT$6:$CT$405)+MAX('計算'!$CU$6:$CU$405),96,"")</f>
        <v/>
      </c>
      <c r="C106" s="62">
        <f>IF($B106="","",IF(96&lt;=MAX('計算'!$CT$6:$CT$405),IFERROR(INDEX('計算'!$F$6:$F$405,MATCH(96,'計算'!$CT$6:$CT$405,0)),""),IFERROR(INDEX('計算'!$F$6:$F$405,MATCH(96-MAX('計算'!$CT$6:$CT$405),'計算'!$CU$6:$CU$405,0)),"")))</f>
        <v/>
      </c>
      <c r="D106" s="62">
        <f>IF($B106="","",IF(96&lt;=MAX('計算'!$CT$6:$CT$405),IFERROR(INDEX('計算'!$C$6:$C$405,MATCH(96,'計算'!$CT$6:$CT$405,0))&amp;"",""),IFERROR(INDEX('計算'!$C$6:$C$405,MATCH(96-MAX('計算'!$CT$6:$CT$405),'計算'!$CU$6:$CU$405,0))&amp;"","")))</f>
        <v/>
      </c>
      <c r="E106" s="62">
        <f>IF($B106="","",IF(96&lt;=MAX('計算'!$CT$6:$CT$405),IFERROR(INDEX('計算'!$D$6:$D$405,MATCH(96,'計算'!$CT$6:$CT$405,0)),""),IFERROR(INDEX('計算'!$D$6:$D$405,MATCH(96-MAX('計算'!$CT$6:$CT$405),'計算'!$CU$6:$CU$405,0)),"")))</f>
        <v/>
      </c>
      <c r="F106" s="63">
        <f>IF($B106="","",IF(96&lt;=MAX('計算'!$CT$6:$CT$405),IFERROR(INDEX('計算'!$P$6:$P$405,MATCH(96,'計算'!$CT$6:$CT$405,0)),""),IFERROR(INDEX('計算'!$S$6:$S$405,MATCH(96-MAX('計算'!$CT$6:$CT$405),'計算'!$CU$6:$CU$405,0)),"")))</f>
        <v/>
      </c>
      <c r="G106" s="62">
        <f>IF($B106="","",IF(96&lt;=MAX('計算'!$CT$6:$CT$405),IFERROR(INDEX('計算'!$CR$6:$CR$405,MATCH(96,'計算'!$CT$6:$CT$405,0)),""),IFERROR(INDEX('計算'!$CR$6:$CR$405,MATCH(96-MAX('計算'!$CT$6:$CT$405),'計算'!$CU$6:$CU$405,0)),"")))</f>
        <v/>
      </c>
      <c r="H106" s="64">
        <f>IF($B106="","",IF(96&lt;=MAX('計算'!$CT$6:$CT$405),IFERROR(INDEX('計算'!$Q$6:$Q$405,MATCH(96,'計算'!$CT$6:$CT$405,0)),""),IFERROR(INDEX('計算'!$T$6:$T$405,MATCH(96-MAX('計算'!$CT$6:$CT$405),'計算'!$CU$6:$CU$405,0)),"")))</f>
        <v/>
      </c>
      <c r="I106" s="65">
        <f>IF($B106="","",IF(96&lt;=MAX('計算'!$CT$6:$CT$405),IFERROR(INDEX('計算'!$H$6:$H$405,MATCH(96,'計算'!$CT$6:$CT$405,0)),""),IFERROR(INDEX('計算'!$H$6:$H$405,MATCH(96-MAX('計算'!$CT$6:$CT$405),'計算'!$CU$6:$CU$405,0)),"")))</f>
        <v/>
      </c>
      <c r="J106" s="65">
        <f>IF($B106="","",N($H106)*IFERROR(INDEX('計算'!$G$6:$G$405,IF(96&lt;=MAX('計算'!$CT$6:$CT$405),MATCH(96,'計算'!$CT$6:$CT$405,0),MATCH(96-MAX('計算'!$CT$6:$CT$405),'計算'!$CU$6:$CU$405,0))),1)*N($I106))</f>
        <v/>
      </c>
    </row>
    <row r="107" ht="18" customHeight="1">
      <c r="B107" s="61">
        <f>IF(97&lt;=MAX('計算'!$CT$6:$CT$405)+MAX('計算'!$CU$6:$CU$405),97,"")</f>
        <v/>
      </c>
      <c r="C107" s="62">
        <f>IF($B107="","",IF(97&lt;=MAX('計算'!$CT$6:$CT$405),IFERROR(INDEX('計算'!$F$6:$F$405,MATCH(97,'計算'!$CT$6:$CT$405,0)),""),IFERROR(INDEX('計算'!$F$6:$F$405,MATCH(97-MAX('計算'!$CT$6:$CT$405),'計算'!$CU$6:$CU$405,0)),"")))</f>
        <v/>
      </c>
      <c r="D107" s="62">
        <f>IF($B107="","",IF(97&lt;=MAX('計算'!$CT$6:$CT$405),IFERROR(INDEX('計算'!$C$6:$C$405,MATCH(97,'計算'!$CT$6:$CT$405,0))&amp;"",""),IFERROR(INDEX('計算'!$C$6:$C$405,MATCH(97-MAX('計算'!$CT$6:$CT$405),'計算'!$CU$6:$CU$405,0))&amp;"","")))</f>
        <v/>
      </c>
      <c r="E107" s="62">
        <f>IF($B107="","",IF(97&lt;=MAX('計算'!$CT$6:$CT$405),IFERROR(INDEX('計算'!$D$6:$D$405,MATCH(97,'計算'!$CT$6:$CT$405,0)),""),IFERROR(INDEX('計算'!$D$6:$D$405,MATCH(97-MAX('計算'!$CT$6:$CT$405),'計算'!$CU$6:$CU$405,0)),"")))</f>
        <v/>
      </c>
      <c r="F107" s="63">
        <f>IF($B107="","",IF(97&lt;=MAX('計算'!$CT$6:$CT$405),IFERROR(INDEX('計算'!$P$6:$P$405,MATCH(97,'計算'!$CT$6:$CT$405,0)),""),IFERROR(INDEX('計算'!$S$6:$S$405,MATCH(97-MAX('計算'!$CT$6:$CT$405),'計算'!$CU$6:$CU$405,0)),"")))</f>
        <v/>
      </c>
      <c r="G107" s="62">
        <f>IF($B107="","",IF(97&lt;=MAX('計算'!$CT$6:$CT$405),IFERROR(INDEX('計算'!$CR$6:$CR$405,MATCH(97,'計算'!$CT$6:$CT$405,0)),""),IFERROR(INDEX('計算'!$CR$6:$CR$405,MATCH(97-MAX('計算'!$CT$6:$CT$405),'計算'!$CU$6:$CU$405,0)),"")))</f>
        <v/>
      </c>
      <c r="H107" s="64">
        <f>IF($B107="","",IF(97&lt;=MAX('計算'!$CT$6:$CT$405),IFERROR(INDEX('計算'!$Q$6:$Q$405,MATCH(97,'計算'!$CT$6:$CT$405,0)),""),IFERROR(INDEX('計算'!$T$6:$T$405,MATCH(97-MAX('計算'!$CT$6:$CT$405),'計算'!$CU$6:$CU$405,0)),"")))</f>
        <v/>
      </c>
      <c r="I107" s="65">
        <f>IF($B107="","",IF(97&lt;=MAX('計算'!$CT$6:$CT$405),IFERROR(INDEX('計算'!$H$6:$H$405,MATCH(97,'計算'!$CT$6:$CT$405,0)),""),IFERROR(INDEX('計算'!$H$6:$H$405,MATCH(97-MAX('計算'!$CT$6:$CT$405),'計算'!$CU$6:$CU$405,0)),"")))</f>
        <v/>
      </c>
      <c r="J107" s="65">
        <f>IF($B107="","",N($H107)*IFERROR(INDEX('計算'!$G$6:$G$405,IF(97&lt;=MAX('計算'!$CT$6:$CT$405),MATCH(97,'計算'!$CT$6:$CT$405,0),MATCH(97-MAX('計算'!$CT$6:$CT$405),'計算'!$CU$6:$CU$405,0))),1)*N($I107))</f>
        <v/>
      </c>
    </row>
    <row r="108" ht="18" customHeight="1">
      <c r="B108" s="61">
        <f>IF(98&lt;=MAX('計算'!$CT$6:$CT$405)+MAX('計算'!$CU$6:$CU$405),98,"")</f>
        <v/>
      </c>
      <c r="C108" s="62">
        <f>IF($B108="","",IF(98&lt;=MAX('計算'!$CT$6:$CT$405),IFERROR(INDEX('計算'!$F$6:$F$405,MATCH(98,'計算'!$CT$6:$CT$405,0)),""),IFERROR(INDEX('計算'!$F$6:$F$405,MATCH(98-MAX('計算'!$CT$6:$CT$405),'計算'!$CU$6:$CU$405,0)),"")))</f>
        <v/>
      </c>
      <c r="D108" s="62">
        <f>IF($B108="","",IF(98&lt;=MAX('計算'!$CT$6:$CT$405),IFERROR(INDEX('計算'!$C$6:$C$405,MATCH(98,'計算'!$CT$6:$CT$405,0))&amp;"",""),IFERROR(INDEX('計算'!$C$6:$C$405,MATCH(98-MAX('計算'!$CT$6:$CT$405),'計算'!$CU$6:$CU$405,0))&amp;"","")))</f>
        <v/>
      </c>
      <c r="E108" s="62">
        <f>IF($B108="","",IF(98&lt;=MAX('計算'!$CT$6:$CT$405),IFERROR(INDEX('計算'!$D$6:$D$405,MATCH(98,'計算'!$CT$6:$CT$405,0)),""),IFERROR(INDEX('計算'!$D$6:$D$405,MATCH(98-MAX('計算'!$CT$6:$CT$405),'計算'!$CU$6:$CU$405,0)),"")))</f>
        <v/>
      </c>
      <c r="F108" s="63">
        <f>IF($B108="","",IF(98&lt;=MAX('計算'!$CT$6:$CT$405),IFERROR(INDEX('計算'!$P$6:$P$405,MATCH(98,'計算'!$CT$6:$CT$405,0)),""),IFERROR(INDEX('計算'!$S$6:$S$405,MATCH(98-MAX('計算'!$CT$6:$CT$405),'計算'!$CU$6:$CU$405,0)),"")))</f>
        <v/>
      </c>
      <c r="G108" s="62">
        <f>IF($B108="","",IF(98&lt;=MAX('計算'!$CT$6:$CT$405),IFERROR(INDEX('計算'!$CR$6:$CR$405,MATCH(98,'計算'!$CT$6:$CT$405,0)),""),IFERROR(INDEX('計算'!$CR$6:$CR$405,MATCH(98-MAX('計算'!$CT$6:$CT$405),'計算'!$CU$6:$CU$405,0)),"")))</f>
        <v/>
      </c>
      <c r="H108" s="64">
        <f>IF($B108="","",IF(98&lt;=MAX('計算'!$CT$6:$CT$405),IFERROR(INDEX('計算'!$Q$6:$Q$405,MATCH(98,'計算'!$CT$6:$CT$405,0)),""),IFERROR(INDEX('計算'!$T$6:$T$405,MATCH(98-MAX('計算'!$CT$6:$CT$405),'計算'!$CU$6:$CU$405,0)),"")))</f>
        <v/>
      </c>
      <c r="I108" s="65">
        <f>IF($B108="","",IF(98&lt;=MAX('計算'!$CT$6:$CT$405),IFERROR(INDEX('計算'!$H$6:$H$405,MATCH(98,'計算'!$CT$6:$CT$405,0)),""),IFERROR(INDEX('計算'!$H$6:$H$405,MATCH(98-MAX('計算'!$CT$6:$CT$405),'計算'!$CU$6:$CU$405,0)),"")))</f>
        <v/>
      </c>
      <c r="J108" s="65">
        <f>IF($B108="","",N($H108)*IFERROR(INDEX('計算'!$G$6:$G$405,IF(98&lt;=MAX('計算'!$CT$6:$CT$405),MATCH(98,'計算'!$CT$6:$CT$405,0),MATCH(98-MAX('計算'!$CT$6:$CT$405),'計算'!$CU$6:$CU$405,0))),1)*N($I108))</f>
        <v/>
      </c>
    </row>
    <row r="109" ht="18" customHeight="1">
      <c r="B109" s="61">
        <f>IF(99&lt;=MAX('計算'!$CT$6:$CT$405)+MAX('計算'!$CU$6:$CU$405),99,"")</f>
        <v/>
      </c>
      <c r="C109" s="62">
        <f>IF($B109="","",IF(99&lt;=MAX('計算'!$CT$6:$CT$405),IFERROR(INDEX('計算'!$F$6:$F$405,MATCH(99,'計算'!$CT$6:$CT$405,0)),""),IFERROR(INDEX('計算'!$F$6:$F$405,MATCH(99-MAX('計算'!$CT$6:$CT$405),'計算'!$CU$6:$CU$405,0)),"")))</f>
        <v/>
      </c>
      <c r="D109" s="62">
        <f>IF($B109="","",IF(99&lt;=MAX('計算'!$CT$6:$CT$405),IFERROR(INDEX('計算'!$C$6:$C$405,MATCH(99,'計算'!$CT$6:$CT$405,0))&amp;"",""),IFERROR(INDEX('計算'!$C$6:$C$405,MATCH(99-MAX('計算'!$CT$6:$CT$405),'計算'!$CU$6:$CU$405,0))&amp;"","")))</f>
        <v/>
      </c>
      <c r="E109" s="62">
        <f>IF($B109="","",IF(99&lt;=MAX('計算'!$CT$6:$CT$405),IFERROR(INDEX('計算'!$D$6:$D$405,MATCH(99,'計算'!$CT$6:$CT$405,0)),""),IFERROR(INDEX('計算'!$D$6:$D$405,MATCH(99-MAX('計算'!$CT$6:$CT$405),'計算'!$CU$6:$CU$405,0)),"")))</f>
        <v/>
      </c>
      <c r="F109" s="63">
        <f>IF($B109="","",IF(99&lt;=MAX('計算'!$CT$6:$CT$405),IFERROR(INDEX('計算'!$P$6:$P$405,MATCH(99,'計算'!$CT$6:$CT$405,0)),""),IFERROR(INDEX('計算'!$S$6:$S$405,MATCH(99-MAX('計算'!$CT$6:$CT$405),'計算'!$CU$6:$CU$405,0)),"")))</f>
        <v/>
      </c>
      <c r="G109" s="62">
        <f>IF($B109="","",IF(99&lt;=MAX('計算'!$CT$6:$CT$405),IFERROR(INDEX('計算'!$CR$6:$CR$405,MATCH(99,'計算'!$CT$6:$CT$405,0)),""),IFERROR(INDEX('計算'!$CR$6:$CR$405,MATCH(99-MAX('計算'!$CT$6:$CT$405),'計算'!$CU$6:$CU$405,0)),"")))</f>
        <v/>
      </c>
      <c r="H109" s="64">
        <f>IF($B109="","",IF(99&lt;=MAX('計算'!$CT$6:$CT$405),IFERROR(INDEX('計算'!$Q$6:$Q$405,MATCH(99,'計算'!$CT$6:$CT$405,0)),""),IFERROR(INDEX('計算'!$T$6:$T$405,MATCH(99-MAX('計算'!$CT$6:$CT$405),'計算'!$CU$6:$CU$405,0)),"")))</f>
        <v/>
      </c>
      <c r="I109" s="65">
        <f>IF($B109="","",IF(99&lt;=MAX('計算'!$CT$6:$CT$405),IFERROR(INDEX('計算'!$H$6:$H$405,MATCH(99,'計算'!$CT$6:$CT$405,0)),""),IFERROR(INDEX('計算'!$H$6:$H$405,MATCH(99-MAX('計算'!$CT$6:$CT$405),'計算'!$CU$6:$CU$405,0)),"")))</f>
        <v/>
      </c>
      <c r="J109" s="65">
        <f>IF($B109="","",N($H109)*IFERROR(INDEX('計算'!$G$6:$G$405,IF(99&lt;=MAX('計算'!$CT$6:$CT$405),MATCH(99,'計算'!$CT$6:$CT$405,0),MATCH(99-MAX('計算'!$CT$6:$CT$405),'計算'!$CU$6:$CU$405,0))),1)*N($I109))</f>
        <v/>
      </c>
    </row>
    <row r="110" ht="18" customHeight="1">
      <c r="B110" s="61">
        <f>IF(100&lt;=MAX('計算'!$CT$6:$CT$405)+MAX('計算'!$CU$6:$CU$405),100,"")</f>
        <v/>
      </c>
      <c r="C110" s="62">
        <f>IF($B110="","",IF(100&lt;=MAX('計算'!$CT$6:$CT$405),IFERROR(INDEX('計算'!$F$6:$F$405,MATCH(100,'計算'!$CT$6:$CT$405,0)),""),IFERROR(INDEX('計算'!$F$6:$F$405,MATCH(100-MAX('計算'!$CT$6:$CT$405),'計算'!$CU$6:$CU$405,0)),"")))</f>
        <v/>
      </c>
      <c r="D110" s="62">
        <f>IF($B110="","",IF(100&lt;=MAX('計算'!$CT$6:$CT$405),IFERROR(INDEX('計算'!$C$6:$C$405,MATCH(100,'計算'!$CT$6:$CT$405,0))&amp;"",""),IFERROR(INDEX('計算'!$C$6:$C$405,MATCH(100-MAX('計算'!$CT$6:$CT$405),'計算'!$CU$6:$CU$405,0))&amp;"","")))</f>
        <v/>
      </c>
      <c r="E110" s="62">
        <f>IF($B110="","",IF(100&lt;=MAX('計算'!$CT$6:$CT$405),IFERROR(INDEX('計算'!$D$6:$D$405,MATCH(100,'計算'!$CT$6:$CT$405,0)),""),IFERROR(INDEX('計算'!$D$6:$D$405,MATCH(100-MAX('計算'!$CT$6:$CT$405),'計算'!$CU$6:$CU$405,0)),"")))</f>
        <v/>
      </c>
      <c r="F110" s="63">
        <f>IF($B110="","",IF(100&lt;=MAX('計算'!$CT$6:$CT$405),IFERROR(INDEX('計算'!$P$6:$P$405,MATCH(100,'計算'!$CT$6:$CT$405,0)),""),IFERROR(INDEX('計算'!$S$6:$S$405,MATCH(100-MAX('計算'!$CT$6:$CT$405),'計算'!$CU$6:$CU$405,0)),"")))</f>
        <v/>
      </c>
      <c r="G110" s="62">
        <f>IF($B110="","",IF(100&lt;=MAX('計算'!$CT$6:$CT$405),IFERROR(INDEX('計算'!$CR$6:$CR$405,MATCH(100,'計算'!$CT$6:$CT$405,0)),""),IFERROR(INDEX('計算'!$CR$6:$CR$405,MATCH(100-MAX('計算'!$CT$6:$CT$405),'計算'!$CU$6:$CU$405,0)),"")))</f>
        <v/>
      </c>
      <c r="H110" s="64">
        <f>IF($B110="","",IF(100&lt;=MAX('計算'!$CT$6:$CT$405),IFERROR(INDEX('計算'!$Q$6:$Q$405,MATCH(100,'計算'!$CT$6:$CT$405,0)),""),IFERROR(INDEX('計算'!$T$6:$T$405,MATCH(100-MAX('計算'!$CT$6:$CT$405),'計算'!$CU$6:$CU$405,0)),"")))</f>
        <v/>
      </c>
      <c r="I110" s="65">
        <f>IF($B110="","",IF(100&lt;=MAX('計算'!$CT$6:$CT$405),IFERROR(INDEX('計算'!$H$6:$H$405,MATCH(100,'計算'!$CT$6:$CT$405,0)),""),IFERROR(INDEX('計算'!$H$6:$H$405,MATCH(100-MAX('計算'!$CT$6:$CT$405),'計算'!$CU$6:$CU$405,0)),"")))</f>
        <v/>
      </c>
      <c r="J110" s="65">
        <f>IF($B110="","",N($H110)*IFERROR(INDEX('計算'!$G$6:$G$405,IF(100&lt;=MAX('計算'!$CT$6:$CT$405),MATCH(100,'計算'!$CT$6:$CT$405,0),MATCH(100-MAX('計算'!$CT$6:$CT$405),'計算'!$CU$6:$CU$405,0))),1)*N($I110))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C4:F4"/>
    <mergeCell ref="C6:F6"/>
    <mergeCell ref="C7:F7"/>
    <mergeCell ref="B1:J1"/>
    <mergeCell ref="C5:F5"/>
  </mergeCells>
  <dataValidations count="1">
    <dataValidation sqref="C4" showDropDown="0" showInputMessage="0" showErrorMessage="1" allowBlank="1" errorTitle="仕入先" error="一覧から選んでください（一覧は 設定 シートの F 列）。" type="list">
      <formula1>='設定'!$F$4:$F$40</formula1>
    </dataValidation>
  </dataValidations>
  <hyperlinks>
    <hyperlink ref="K1" location="'ホーム'!A1" display="◀ ホーム"/>
  </hyperlink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tabColor rgb="0000795A"/>
    <outlinePr summaryBelow="1" summaryRight="1"/>
    <pageSetUpPr/>
  </sheetPr>
  <dimension ref="B1:P4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04" customWidth="1" min="2" max="2"/>
    <col width="6.48" customWidth="1" min="3" max="3"/>
    <col width="12.96" customWidth="1" min="4" max="4"/>
    <col width="12.96" customWidth="1" min="5" max="5"/>
    <col width="38.88" customWidth="1" min="6" max="6"/>
    <col width="14.04" customWidth="1" min="7" max="7"/>
    <col width="3.24" customWidth="1" min="8" max="8"/>
    <col width="3.24" customWidth="1" min="9" max="9"/>
    <col width="8.640000000000001" customWidth="1" min="10" max="10"/>
    <col width="12.96" customWidth="1" min="11" max="11"/>
    <col width="8.640000000000001" customWidth="1" min="12" max="12"/>
  </cols>
  <sheetData>
    <row r="1" ht="24" customHeight="1">
      <c r="B1" s="1" t="inlineStr">
        <is>
          <t xml:space="preserve">  随時　動員を入れる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0" t="inlineStr">
        <is>
          <t xml:space="preserve">◀ ホーム  </t>
        </is>
      </c>
    </row>
    <row r="2" ht="30" customHeight="1">
      <c r="B2" s="21" t="inlineStr">
        <is>
          <t>動員を入れる</t>
        </is>
      </c>
    </row>
    <row r="3">
      <c r="B3" s="5" t="inlineStr">
        <is>
          <t>予測は読みが変わる日だけ。実績は月1回まとめてでも構いません。空欄の日は曜日の実績平均→標準の動員の順で埋まります。</t>
        </is>
      </c>
    </row>
    <row r="5">
      <c r="B5" s="55" t="inlineStr">
        <is>
          <t>表の開始日</t>
        </is>
      </c>
      <c r="C5" s="66" t="n"/>
      <c r="E5" s="19" t="inlineStr">
        <is>
          <t>← 空欄なら今年の1月1日から400日分。年が変わったら新しい年の1月1日を入れます。動かすと入力済みの行がずれるので、年に1回だけ。</t>
        </is>
      </c>
      <c r="J5" s="6" t="inlineStr">
        <is>
          <t>曜日ごとの実績平均（直近8週）</t>
        </is>
      </c>
    </row>
    <row r="6">
      <c r="J6" s="39" t="inlineStr">
        <is>
          <t>自動</t>
        </is>
      </c>
      <c r="K6" s="39" t="inlineStr">
        <is>
          <t>自動</t>
        </is>
      </c>
      <c r="L6" s="39" t="inlineStr">
        <is>
          <t>自動</t>
        </is>
      </c>
    </row>
    <row r="7" ht="30" customHeight="1">
      <c r="J7" s="40" t="inlineStr">
        <is>
          <t>曜日</t>
        </is>
      </c>
      <c r="K7" s="40" t="inlineStr">
        <is>
          <t>実績の平均</t>
        </is>
      </c>
      <c r="L7" s="40" t="inlineStr">
        <is>
          <t>日数</t>
        </is>
      </c>
    </row>
    <row r="8" ht="18" customHeight="1">
      <c r="J8" s="67" t="inlineStr">
        <is>
          <t>月</t>
        </is>
      </c>
      <c r="K8" s="44">
        <f>IFERROR(AVERAGEIFS('動員を入れる'!$E$16:$E$415,'動員を入れる'!$C$16:$C$415,$J8,'動員を入れる'!$B$16:$B$415,"&gt;="&amp;(N('設定'!$C$6)-56),'動員を入れる'!$B$16:$B$415,"&lt;"&amp;N('設定'!$C$6)),"")</f>
        <v/>
      </c>
      <c r="L8" s="43">
        <f>COUNTIFS('動員を入れる'!$C$16:$C$415,$J8,'動員を入れる'!$B$16:$B$415,"&gt;="&amp;(N('設定'!$C$6)-56),'動員を入れる'!$B$16:$B$415,"&lt;"&amp;N('設定'!$C$6),'動員を入れる'!$E$16:$E$415,"&gt;0")</f>
        <v/>
      </c>
    </row>
    <row r="9" ht="18" customHeight="1">
      <c r="J9" s="67" t="inlineStr">
        <is>
          <t>火</t>
        </is>
      </c>
      <c r="K9" s="44">
        <f>IFERROR(AVERAGEIFS('動員を入れる'!$E$16:$E$415,'動員を入れる'!$C$16:$C$415,$J9,'動員を入れる'!$B$16:$B$415,"&gt;="&amp;(N('設定'!$C$6)-56),'動員を入れる'!$B$16:$B$415,"&lt;"&amp;N('設定'!$C$6)),"")</f>
        <v/>
      </c>
      <c r="L9" s="43">
        <f>COUNTIFS('動員を入れる'!$C$16:$C$415,$J9,'動員を入れる'!$B$16:$B$415,"&gt;="&amp;(N('設定'!$C$6)-56),'動員を入れる'!$B$16:$B$415,"&lt;"&amp;N('設定'!$C$6),'動員を入れる'!$E$16:$E$415,"&gt;0")</f>
        <v/>
      </c>
    </row>
    <row r="10" ht="18" customHeight="1">
      <c r="J10" s="67" t="inlineStr">
        <is>
          <t>水</t>
        </is>
      </c>
      <c r="K10" s="44">
        <f>IFERROR(AVERAGEIFS('動員を入れる'!$E$16:$E$415,'動員を入れる'!$C$16:$C$415,$J10,'動員を入れる'!$B$16:$B$415,"&gt;="&amp;(N('設定'!$C$6)-56),'動員を入れる'!$B$16:$B$415,"&lt;"&amp;N('設定'!$C$6)),"")</f>
        <v/>
      </c>
      <c r="L10" s="43">
        <f>COUNTIFS('動員を入れる'!$C$16:$C$415,$J10,'動員を入れる'!$B$16:$B$415,"&gt;="&amp;(N('設定'!$C$6)-56),'動員を入れる'!$B$16:$B$415,"&lt;"&amp;N('設定'!$C$6),'動員を入れる'!$E$16:$E$415,"&gt;0")</f>
        <v/>
      </c>
    </row>
    <row r="11" ht="18" customHeight="1">
      <c r="J11" s="67" t="inlineStr">
        <is>
          <t>木</t>
        </is>
      </c>
      <c r="K11" s="44">
        <f>IFERROR(AVERAGEIFS('動員を入れる'!$E$16:$E$415,'動員を入れる'!$C$16:$C$415,$J11,'動員を入れる'!$B$16:$B$415,"&gt;="&amp;(N('設定'!$C$6)-56),'動員を入れる'!$B$16:$B$415,"&lt;"&amp;N('設定'!$C$6)),"")</f>
        <v/>
      </c>
      <c r="L11" s="43">
        <f>COUNTIFS('動員を入れる'!$C$16:$C$415,$J11,'動員を入れる'!$B$16:$B$415,"&gt;="&amp;(N('設定'!$C$6)-56),'動員を入れる'!$B$16:$B$415,"&lt;"&amp;N('設定'!$C$6),'動員を入れる'!$E$16:$E$415,"&gt;0")</f>
        <v/>
      </c>
    </row>
    <row r="12" ht="18" customHeight="1">
      <c r="J12" s="67" t="inlineStr">
        <is>
          <t>金</t>
        </is>
      </c>
      <c r="K12" s="44">
        <f>IFERROR(AVERAGEIFS('動員を入れる'!$E$16:$E$415,'動員を入れる'!$C$16:$C$415,$J12,'動員を入れる'!$B$16:$B$415,"&gt;="&amp;(N('設定'!$C$6)-56),'動員を入れる'!$B$16:$B$415,"&lt;"&amp;N('設定'!$C$6)),"")</f>
        <v/>
      </c>
      <c r="L12" s="43">
        <f>COUNTIFS('動員を入れる'!$C$16:$C$415,$J12,'動員を入れる'!$B$16:$B$415,"&gt;="&amp;(N('設定'!$C$6)-56),'動員を入れる'!$B$16:$B$415,"&lt;"&amp;N('設定'!$C$6),'動員を入れる'!$E$16:$E$415,"&gt;0")</f>
        <v/>
      </c>
    </row>
    <row r="13" ht="18" customHeight="1">
      <c r="B13" s="19" t="inlineStr">
        <is>
          <t>薄い黄色の帯＝これから14日（発注に使う範囲）。橙の実績＝入れ忘れ。</t>
        </is>
      </c>
      <c r="J13" s="67" t="inlineStr">
        <is>
          <t>土</t>
        </is>
      </c>
      <c r="K13" s="44">
        <f>IFERROR(AVERAGEIFS('動員を入れる'!$E$16:$E$415,'動員を入れる'!$C$16:$C$415,$J13,'動員を入れる'!$B$16:$B$415,"&gt;="&amp;(N('設定'!$C$6)-56),'動員を入れる'!$B$16:$B$415,"&lt;"&amp;N('設定'!$C$6)),"")</f>
        <v/>
      </c>
      <c r="L13" s="43">
        <f>COUNTIFS('動員を入れる'!$C$16:$C$415,$J13,'動員を入れる'!$B$16:$B$415,"&gt;="&amp;(N('設定'!$C$6)-56),'動員を入れる'!$B$16:$B$415,"&lt;"&amp;N('設定'!$C$6),'動員を入れる'!$E$16:$E$415,"&gt;0")</f>
        <v/>
      </c>
    </row>
    <row r="14" ht="18" customHeight="1">
      <c r="B14" s="39" t="inlineStr">
        <is>
          <t>自動</t>
        </is>
      </c>
      <c r="C14" s="39" t="inlineStr">
        <is>
          <t>自動</t>
        </is>
      </c>
      <c r="D14" s="39" t="inlineStr">
        <is>
          <t>入力</t>
        </is>
      </c>
      <c r="E14" s="39" t="inlineStr">
        <is>
          <t>入力</t>
        </is>
      </c>
      <c r="F14" s="39" t="inlineStr">
        <is>
          <t>入力</t>
        </is>
      </c>
      <c r="G14" s="39" t="inlineStr">
        <is>
          <t>自動</t>
        </is>
      </c>
      <c r="J14" s="67" t="inlineStr">
        <is>
          <t>日</t>
        </is>
      </c>
      <c r="K14" s="44">
        <f>IFERROR(AVERAGEIFS('動員を入れる'!$E$16:$E$415,'動員を入れる'!$C$16:$C$415,$J14,'動員を入れる'!$B$16:$B$415,"&gt;="&amp;(N('設定'!$C$6)-56),'動員を入れる'!$B$16:$B$415,"&lt;"&amp;N('設定'!$C$6)),"")</f>
        <v/>
      </c>
      <c r="L14" s="43">
        <f>COUNTIFS('動員を入れる'!$C$16:$C$415,$J14,'動員を入れる'!$B$16:$B$415,"&gt;="&amp;(N('設定'!$C$6)-56),'動員を入れる'!$B$16:$B$415,"&lt;"&amp;N('設定'!$C$6),'動員を入れる'!$E$16:$E$415,"&gt;0")</f>
        <v/>
      </c>
    </row>
    <row r="15" ht="30" customHeight="1">
      <c r="B15" s="40" t="inlineStr">
        <is>
          <t>日付</t>
        </is>
      </c>
      <c r="C15" s="40" t="inlineStr">
        <is>
          <t>曜日</t>
        </is>
      </c>
      <c r="D15" s="40" t="inlineStr">
        <is>
          <t>予測動員</t>
        </is>
      </c>
      <c r="E15" s="40" t="inlineStr">
        <is>
          <t>実績動員</t>
        </is>
      </c>
      <c r="F15" s="40" t="inlineStr">
        <is>
          <t>主な作品・備考</t>
        </is>
      </c>
      <c r="G15" s="40" t="inlineStr">
        <is>
          <t>採用する動員</t>
        </is>
      </c>
    </row>
    <row r="16" ht="18" customHeight="1">
      <c r="B16" s="68">
        <f>IF(IF($C$5&lt;&gt;"",$C$5,IF('設定'!$C$6="","",DATE(YEAR('設定'!$C$6),1,1)))="","",IF($C$5&lt;&gt;"",$C$5,IF('設定'!$C$6="","",DATE(YEAR('設定'!$C$6),1,1)))+0)</f>
        <v/>
      </c>
      <c r="C16" s="67">
        <f>IF($B16="","",CHOOSE(WEEKDAY($B16),"日","月","火","水","木","金","土"))</f>
        <v/>
      </c>
      <c r="D16" s="69" t="n"/>
      <c r="E16" s="69" t="n"/>
      <c r="F16" s="70" t="n"/>
      <c r="G16" s="44">
        <f>IF($B16="","",IF(ISNUMBER($E16),$E16,IF(ISNUMBER($D16),$D16,ROUND(IF(N(IFERROR(INDEX('動員を入れる'!$K$8:$K$14,MATCH($C16,'動員を入れる'!$J$8:$J$14,0)),0))&gt;0,IFERROR(INDEX('動員を入れる'!$K$8:$K$14,MATCH($C16,'動員を入れる'!$J$8:$J$14,0)),0),N('設定'!$C$8)),0))))</f>
        <v/>
      </c>
    </row>
    <row r="17" ht="18" customHeight="1">
      <c r="B17" s="68">
        <f>IF(IF($C$5&lt;&gt;"",$C$5,IF('設定'!$C$6="","",DATE(YEAR('設定'!$C$6),1,1)))="","",IF($C$5&lt;&gt;"",$C$5,IF('設定'!$C$6="","",DATE(YEAR('設定'!$C$6),1,1)))+1)</f>
        <v/>
      </c>
      <c r="C17" s="67">
        <f>IF($B17="","",CHOOSE(WEEKDAY($B17),"日","月","火","水","木","金","土"))</f>
        <v/>
      </c>
      <c r="D17" s="69" t="n"/>
      <c r="E17" s="69" t="n"/>
      <c r="F17" s="70" t="n"/>
      <c r="G17" s="44">
        <f>IF($B17="","",IF(ISNUMBER($E17),$E17,IF(ISNUMBER($D17),$D17,ROUND(IF(N(IFERROR(INDEX('動員を入れる'!$K$8:$K$14,MATCH($C17,'動員を入れる'!$J$8:$J$14,0)),0))&gt;0,IFERROR(INDEX('動員を入れる'!$K$8:$K$14,MATCH($C17,'動員を入れる'!$J$8:$J$14,0)),0),N('設定'!$C$8)),0))))</f>
        <v/>
      </c>
    </row>
    <row r="18" ht="18" customHeight="1">
      <c r="B18" s="68">
        <f>IF(IF($C$5&lt;&gt;"",$C$5,IF('設定'!$C$6="","",DATE(YEAR('設定'!$C$6),1,1)))="","",IF($C$5&lt;&gt;"",$C$5,IF('設定'!$C$6="","",DATE(YEAR('設定'!$C$6),1,1)))+2)</f>
        <v/>
      </c>
      <c r="C18" s="67">
        <f>IF($B18="","",CHOOSE(WEEKDAY($B18),"日","月","火","水","木","金","土"))</f>
        <v/>
      </c>
      <c r="D18" s="69" t="n"/>
      <c r="E18" s="69" t="n"/>
      <c r="F18" s="70" t="n"/>
      <c r="G18" s="44">
        <f>IF($B18="","",IF(ISNUMBER($E18),$E18,IF(ISNUMBER($D18),$D18,ROUND(IF(N(IFERROR(INDEX('動員を入れる'!$K$8:$K$14,MATCH($C18,'動員を入れる'!$J$8:$J$14,0)),0))&gt;0,IFERROR(INDEX('動員を入れる'!$K$8:$K$14,MATCH($C18,'動員を入れる'!$J$8:$J$14,0)),0),N('設定'!$C$8)),0))))</f>
        <v/>
      </c>
    </row>
    <row r="19" ht="18" customHeight="1">
      <c r="B19" s="68">
        <f>IF(IF($C$5&lt;&gt;"",$C$5,IF('設定'!$C$6="","",DATE(YEAR('設定'!$C$6),1,1)))="","",IF($C$5&lt;&gt;"",$C$5,IF('設定'!$C$6="","",DATE(YEAR('設定'!$C$6),1,1)))+3)</f>
        <v/>
      </c>
      <c r="C19" s="67">
        <f>IF($B19="","",CHOOSE(WEEKDAY($B19),"日","月","火","水","木","金","土"))</f>
        <v/>
      </c>
      <c r="D19" s="69" t="n"/>
      <c r="E19" s="69" t="n"/>
      <c r="F19" s="70" t="n"/>
      <c r="G19" s="44">
        <f>IF($B19="","",IF(ISNUMBER($E19),$E19,IF(ISNUMBER($D19),$D19,ROUND(IF(N(IFERROR(INDEX('動員を入れる'!$K$8:$K$14,MATCH($C19,'動員を入れる'!$J$8:$J$14,0)),0))&gt;0,IFERROR(INDEX('動員を入れる'!$K$8:$K$14,MATCH($C19,'動員を入れる'!$J$8:$J$14,0)),0),N('設定'!$C$8)),0))))</f>
        <v/>
      </c>
    </row>
    <row r="20" ht="18" customHeight="1">
      <c r="B20" s="68">
        <f>IF(IF($C$5&lt;&gt;"",$C$5,IF('設定'!$C$6="","",DATE(YEAR('設定'!$C$6),1,1)))="","",IF($C$5&lt;&gt;"",$C$5,IF('設定'!$C$6="","",DATE(YEAR('設定'!$C$6),1,1)))+4)</f>
        <v/>
      </c>
      <c r="C20" s="67">
        <f>IF($B20="","",CHOOSE(WEEKDAY($B20),"日","月","火","水","木","金","土"))</f>
        <v/>
      </c>
      <c r="D20" s="69" t="n"/>
      <c r="E20" s="69" t="n"/>
      <c r="F20" s="70" t="n"/>
      <c r="G20" s="44">
        <f>IF($B20="","",IF(ISNUMBER($E20),$E20,IF(ISNUMBER($D20),$D20,ROUND(IF(N(IFERROR(INDEX('動員を入れる'!$K$8:$K$14,MATCH($C20,'動員を入れる'!$J$8:$J$14,0)),0))&gt;0,IFERROR(INDEX('動員を入れる'!$K$8:$K$14,MATCH($C20,'動員を入れる'!$J$8:$J$14,0)),0),N('設定'!$C$8)),0))))</f>
        <v/>
      </c>
    </row>
    <row r="21" ht="18" customHeight="1">
      <c r="B21" s="68">
        <f>IF(IF($C$5&lt;&gt;"",$C$5,IF('設定'!$C$6="","",DATE(YEAR('設定'!$C$6),1,1)))="","",IF($C$5&lt;&gt;"",$C$5,IF('設定'!$C$6="","",DATE(YEAR('設定'!$C$6),1,1)))+5)</f>
        <v/>
      </c>
      <c r="C21" s="67">
        <f>IF($B21="","",CHOOSE(WEEKDAY($B21),"日","月","火","水","木","金","土"))</f>
        <v/>
      </c>
      <c r="D21" s="69" t="n"/>
      <c r="E21" s="69" t="n"/>
      <c r="F21" s="70" t="n"/>
      <c r="G21" s="44">
        <f>IF($B21="","",IF(ISNUMBER($E21),$E21,IF(ISNUMBER($D21),$D21,ROUND(IF(N(IFERROR(INDEX('動員を入れる'!$K$8:$K$14,MATCH($C21,'動員を入れる'!$J$8:$J$14,0)),0))&gt;0,IFERROR(INDEX('動員を入れる'!$K$8:$K$14,MATCH($C21,'動員を入れる'!$J$8:$J$14,0)),0),N('設定'!$C$8)),0))))</f>
        <v/>
      </c>
    </row>
    <row r="22" ht="18" customHeight="1">
      <c r="B22" s="68">
        <f>IF(IF($C$5&lt;&gt;"",$C$5,IF('設定'!$C$6="","",DATE(YEAR('設定'!$C$6),1,1)))="","",IF($C$5&lt;&gt;"",$C$5,IF('設定'!$C$6="","",DATE(YEAR('設定'!$C$6),1,1)))+6)</f>
        <v/>
      </c>
      <c r="C22" s="67">
        <f>IF($B22="","",CHOOSE(WEEKDAY($B22),"日","月","火","水","木","金","土"))</f>
        <v/>
      </c>
      <c r="D22" s="69" t="n"/>
      <c r="E22" s="69" t="n"/>
      <c r="F22" s="70" t="n"/>
      <c r="G22" s="44">
        <f>IF($B22="","",IF(ISNUMBER($E22),$E22,IF(ISNUMBER($D22),$D22,ROUND(IF(N(IFERROR(INDEX('動員を入れる'!$K$8:$K$14,MATCH($C22,'動員を入れる'!$J$8:$J$14,0)),0))&gt;0,IFERROR(INDEX('動員を入れる'!$K$8:$K$14,MATCH($C22,'動員を入れる'!$J$8:$J$14,0)),0),N('設定'!$C$8)),0))))</f>
        <v/>
      </c>
    </row>
    <row r="23" ht="18" customHeight="1">
      <c r="B23" s="68">
        <f>IF(IF($C$5&lt;&gt;"",$C$5,IF('設定'!$C$6="","",DATE(YEAR('設定'!$C$6),1,1)))="","",IF($C$5&lt;&gt;"",$C$5,IF('設定'!$C$6="","",DATE(YEAR('設定'!$C$6),1,1)))+7)</f>
        <v/>
      </c>
      <c r="C23" s="67">
        <f>IF($B23="","",CHOOSE(WEEKDAY($B23),"日","月","火","水","木","金","土"))</f>
        <v/>
      </c>
      <c r="D23" s="69" t="n"/>
      <c r="E23" s="69" t="n"/>
      <c r="F23" s="70" t="n"/>
      <c r="G23" s="44">
        <f>IF($B23="","",IF(ISNUMBER($E23),$E23,IF(ISNUMBER($D23),$D23,ROUND(IF(N(IFERROR(INDEX('動員を入れる'!$K$8:$K$14,MATCH($C23,'動員を入れる'!$J$8:$J$14,0)),0))&gt;0,IFERROR(INDEX('動員を入れる'!$K$8:$K$14,MATCH($C23,'動員を入れる'!$J$8:$J$14,0)),0),N('設定'!$C$8)),0))))</f>
        <v/>
      </c>
    </row>
    <row r="24" ht="18" customHeight="1">
      <c r="B24" s="68">
        <f>IF(IF($C$5&lt;&gt;"",$C$5,IF('設定'!$C$6="","",DATE(YEAR('設定'!$C$6),1,1)))="","",IF($C$5&lt;&gt;"",$C$5,IF('設定'!$C$6="","",DATE(YEAR('設定'!$C$6),1,1)))+8)</f>
        <v/>
      </c>
      <c r="C24" s="67">
        <f>IF($B24="","",CHOOSE(WEEKDAY($B24),"日","月","火","水","木","金","土"))</f>
        <v/>
      </c>
      <c r="D24" s="69" t="n"/>
      <c r="E24" s="69" t="n"/>
      <c r="F24" s="70" t="n"/>
      <c r="G24" s="44">
        <f>IF($B24="","",IF(ISNUMBER($E24),$E24,IF(ISNUMBER($D24),$D24,ROUND(IF(N(IFERROR(INDEX('動員を入れる'!$K$8:$K$14,MATCH($C24,'動員を入れる'!$J$8:$J$14,0)),0))&gt;0,IFERROR(INDEX('動員を入れる'!$K$8:$K$14,MATCH($C24,'動員を入れる'!$J$8:$J$14,0)),0),N('設定'!$C$8)),0))))</f>
        <v/>
      </c>
    </row>
    <row r="25" ht="18" customHeight="1">
      <c r="B25" s="68">
        <f>IF(IF($C$5&lt;&gt;"",$C$5,IF('設定'!$C$6="","",DATE(YEAR('設定'!$C$6),1,1)))="","",IF($C$5&lt;&gt;"",$C$5,IF('設定'!$C$6="","",DATE(YEAR('設定'!$C$6),1,1)))+9)</f>
        <v/>
      </c>
      <c r="C25" s="67">
        <f>IF($B25="","",CHOOSE(WEEKDAY($B25),"日","月","火","水","木","金","土"))</f>
        <v/>
      </c>
      <c r="D25" s="69" t="n"/>
      <c r="E25" s="69" t="n"/>
      <c r="F25" s="70" t="n"/>
      <c r="G25" s="44">
        <f>IF($B25="","",IF(ISNUMBER($E25),$E25,IF(ISNUMBER($D25),$D25,ROUND(IF(N(IFERROR(INDEX('動員を入れる'!$K$8:$K$14,MATCH($C25,'動員を入れる'!$J$8:$J$14,0)),0))&gt;0,IFERROR(INDEX('動員を入れる'!$K$8:$K$14,MATCH($C25,'動員を入れる'!$J$8:$J$14,0)),0),N('設定'!$C$8)),0))))</f>
        <v/>
      </c>
    </row>
    <row r="26" ht="18" customHeight="1">
      <c r="B26" s="68">
        <f>IF(IF($C$5&lt;&gt;"",$C$5,IF('設定'!$C$6="","",DATE(YEAR('設定'!$C$6),1,1)))="","",IF($C$5&lt;&gt;"",$C$5,IF('設定'!$C$6="","",DATE(YEAR('設定'!$C$6),1,1)))+10)</f>
        <v/>
      </c>
      <c r="C26" s="67">
        <f>IF($B26="","",CHOOSE(WEEKDAY($B26),"日","月","火","水","木","金","土"))</f>
        <v/>
      </c>
      <c r="D26" s="69" t="n"/>
      <c r="E26" s="69" t="n"/>
      <c r="F26" s="70" t="n"/>
      <c r="G26" s="44">
        <f>IF($B26="","",IF(ISNUMBER($E26),$E26,IF(ISNUMBER($D26),$D26,ROUND(IF(N(IFERROR(INDEX('動員を入れる'!$K$8:$K$14,MATCH($C26,'動員を入れる'!$J$8:$J$14,0)),0))&gt;0,IFERROR(INDEX('動員を入れる'!$K$8:$K$14,MATCH($C26,'動員を入れる'!$J$8:$J$14,0)),0),N('設定'!$C$8)),0))))</f>
        <v/>
      </c>
    </row>
    <row r="27" ht="18" customHeight="1">
      <c r="B27" s="68">
        <f>IF(IF($C$5&lt;&gt;"",$C$5,IF('設定'!$C$6="","",DATE(YEAR('設定'!$C$6),1,1)))="","",IF($C$5&lt;&gt;"",$C$5,IF('設定'!$C$6="","",DATE(YEAR('設定'!$C$6),1,1)))+11)</f>
        <v/>
      </c>
      <c r="C27" s="67">
        <f>IF($B27="","",CHOOSE(WEEKDAY($B27),"日","月","火","水","木","金","土"))</f>
        <v/>
      </c>
      <c r="D27" s="69" t="n"/>
      <c r="E27" s="69" t="n"/>
      <c r="F27" s="70" t="n"/>
      <c r="G27" s="44">
        <f>IF($B27="","",IF(ISNUMBER($E27),$E27,IF(ISNUMBER($D27),$D27,ROUND(IF(N(IFERROR(INDEX('動員を入れる'!$K$8:$K$14,MATCH($C27,'動員を入れる'!$J$8:$J$14,0)),0))&gt;0,IFERROR(INDEX('動員を入れる'!$K$8:$K$14,MATCH($C27,'動員を入れる'!$J$8:$J$14,0)),0),N('設定'!$C$8)),0))))</f>
        <v/>
      </c>
    </row>
    <row r="28" ht="18" customHeight="1">
      <c r="B28" s="68">
        <f>IF(IF($C$5&lt;&gt;"",$C$5,IF('設定'!$C$6="","",DATE(YEAR('設定'!$C$6),1,1)))="","",IF($C$5&lt;&gt;"",$C$5,IF('設定'!$C$6="","",DATE(YEAR('設定'!$C$6),1,1)))+12)</f>
        <v/>
      </c>
      <c r="C28" s="67">
        <f>IF($B28="","",CHOOSE(WEEKDAY($B28),"日","月","火","水","木","金","土"))</f>
        <v/>
      </c>
      <c r="D28" s="69" t="n"/>
      <c r="E28" s="69" t="n"/>
      <c r="F28" s="70" t="n"/>
      <c r="G28" s="44">
        <f>IF($B28="","",IF(ISNUMBER($E28),$E28,IF(ISNUMBER($D28),$D28,ROUND(IF(N(IFERROR(INDEX('動員を入れる'!$K$8:$K$14,MATCH($C28,'動員を入れる'!$J$8:$J$14,0)),0))&gt;0,IFERROR(INDEX('動員を入れる'!$K$8:$K$14,MATCH($C28,'動員を入れる'!$J$8:$J$14,0)),0),N('設定'!$C$8)),0))))</f>
        <v/>
      </c>
    </row>
    <row r="29" ht="18" customHeight="1">
      <c r="B29" s="68">
        <f>IF(IF($C$5&lt;&gt;"",$C$5,IF('設定'!$C$6="","",DATE(YEAR('設定'!$C$6),1,1)))="","",IF($C$5&lt;&gt;"",$C$5,IF('設定'!$C$6="","",DATE(YEAR('設定'!$C$6),1,1)))+13)</f>
        <v/>
      </c>
      <c r="C29" s="67">
        <f>IF($B29="","",CHOOSE(WEEKDAY($B29),"日","月","火","水","木","金","土"))</f>
        <v/>
      </c>
      <c r="D29" s="69" t="n"/>
      <c r="E29" s="69" t="n"/>
      <c r="F29" s="70" t="n"/>
      <c r="G29" s="44">
        <f>IF($B29="","",IF(ISNUMBER($E29),$E29,IF(ISNUMBER($D29),$D29,ROUND(IF(N(IFERROR(INDEX('動員を入れる'!$K$8:$K$14,MATCH($C29,'動員を入れる'!$J$8:$J$14,0)),0))&gt;0,IFERROR(INDEX('動員を入れる'!$K$8:$K$14,MATCH($C29,'動員を入れる'!$J$8:$J$14,0)),0),N('設定'!$C$8)),0))))</f>
        <v/>
      </c>
    </row>
    <row r="30" ht="18" customHeight="1">
      <c r="B30" s="68">
        <f>IF(IF($C$5&lt;&gt;"",$C$5,IF('設定'!$C$6="","",DATE(YEAR('設定'!$C$6),1,1)))="","",IF($C$5&lt;&gt;"",$C$5,IF('設定'!$C$6="","",DATE(YEAR('設定'!$C$6),1,1)))+14)</f>
        <v/>
      </c>
      <c r="C30" s="67">
        <f>IF($B30="","",CHOOSE(WEEKDAY($B30),"日","月","火","水","木","金","土"))</f>
        <v/>
      </c>
      <c r="D30" s="69" t="n"/>
      <c r="E30" s="69" t="n"/>
      <c r="F30" s="70" t="n"/>
      <c r="G30" s="44">
        <f>IF($B30="","",IF(ISNUMBER($E30),$E30,IF(ISNUMBER($D30),$D30,ROUND(IF(N(IFERROR(INDEX('動員を入れる'!$K$8:$K$14,MATCH($C30,'動員を入れる'!$J$8:$J$14,0)),0))&gt;0,IFERROR(INDEX('動員を入れる'!$K$8:$K$14,MATCH($C30,'動員を入れる'!$J$8:$J$14,0)),0),N('設定'!$C$8)),0))))</f>
        <v/>
      </c>
    </row>
    <row r="31" ht="18" customHeight="1">
      <c r="B31" s="68">
        <f>IF(IF($C$5&lt;&gt;"",$C$5,IF('設定'!$C$6="","",DATE(YEAR('設定'!$C$6),1,1)))="","",IF($C$5&lt;&gt;"",$C$5,IF('設定'!$C$6="","",DATE(YEAR('設定'!$C$6),1,1)))+15)</f>
        <v/>
      </c>
      <c r="C31" s="67">
        <f>IF($B31="","",CHOOSE(WEEKDAY($B31),"日","月","火","水","木","金","土"))</f>
        <v/>
      </c>
      <c r="D31" s="69" t="n"/>
      <c r="E31" s="69" t="n"/>
      <c r="F31" s="70" t="n"/>
      <c r="G31" s="44">
        <f>IF($B31="","",IF(ISNUMBER($E31),$E31,IF(ISNUMBER($D31),$D31,ROUND(IF(N(IFERROR(INDEX('動員を入れる'!$K$8:$K$14,MATCH($C31,'動員を入れる'!$J$8:$J$14,0)),0))&gt;0,IFERROR(INDEX('動員を入れる'!$K$8:$K$14,MATCH($C31,'動員を入れる'!$J$8:$J$14,0)),0),N('設定'!$C$8)),0))))</f>
        <v/>
      </c>
    </row>
    <row r="32" ht="18" customHeight="1">
      <c r="B32" s="68">
        <f>IF(IF($C$5&lt;&gt;"",$C$5,IF('設定'!$C$6="","",DATE(YEAR('設定'!$C$6),1,1)))="","",IF($C$5&lt;&gt;"",$C$5,IF('設定'!$C$6="","",DATE(YEAR('設定'!$C$6),1,1)))+16)</f>
        <v/>
      </c>
      <c r="C32" s="67">
        <f>IF($B32="","",CHOOSE(WEEKDAY($B32),"日","月","火","水","木","金","土"))</f>
        <v/>
      </c>
      <c r="D32" s="69" t="n"/>
      <c r="E32" s="69" t="n"/>
      <c r="F32" s="70" t="n"/>
      <c r="G32" s="44">
        <f>IF($B32="","",IF(ISNUMBER($E32),$E32,IF(ISNUMBER($D32),$D32,ROUND(IF(N(IFERROR(INDEX('動員を入れる'!$K$8:$K$14,MATCH($C32,'動員を入れる'!$J$8:$J$14,0)),0))&gt;0,IFERROR(INDEX('動員を入れる'!$K$8:$K$14,MATCH($C32,'動員を入れる'!$J$8:$J$14,0)),0),N('設定'!$C$8)),0))))</f>
        <v/>
      </c>
    </row>
    <row r="33" ht="18" customHeight="1">
      <c r="B33" s="68">
        <f>IF(IF($C$5&lt;&gt;"",$C$5,IF('設定'!$C$6="","",DATE(YEAR('設定'!$C$6),1,1)))="","",IF($C$5&lt;&gt;"",$C$5,IF('設定'!$C$6="","",DATE(YEAR('設定'!$C$6),1,1)))+17)</f>
        <v/>
      </c>
      <c r="C33" s="67">
        <f>IF($B33="","",CHOOSE(WEEKDAY($B33),"日","月","火","水","木","金","土"))</f>
        <v/>
      </c>
      <c r="D33" s="69" t="n"/>
      <c r="E33" s="69" t="n"/>
      <c r="F33" s="70" t="n"/>
      <c r="G33" s="44">
        <f>IF($B33="","",IF(ISNUMBER($E33),$E33,IF(ISNUMBER($D33),$D33,ROUND(IF(N(IFERROR(INDEX('動員を入れる'!$K$8:$K$14,MATCH($C33,'動員を入れる'!$J$8:$J$14,0)),0))&gt;0,IFERROR(INDEX('動員を入れる'!$K$8:$K$14,MATCH($C33,'動員を入れる'!$J$8:$J$14,0)),0),N('設定'!$C$8)),0))))</f>
        <v/>
      </c>
    </row>
    <row r="34" ht="18" customHeight="1">
      <c r="B34" s="68">
        <f>IF(IF($C$5&lt;&gt;"",$C$5,IF('設定'!$C$6="","",DATE(YEAR('設定'!$C$6),1,1)))="","",IF($C$5&lt;&gt;"",$C$5,IF('設定'!$C$6="","",DATE(YEAR('設定'!$C$6),1,1)))+18)</f>
        <v/>
      </c>
      <c r="C34" s="67">
        <f>IF($B34="","",CHOOSE(WEEKDAY($B34),"日","月","火","水","木","金","土"))</f>
        <v/>
      </c>
      <c r="D34" s="69" t="n"/>
      <c r="E34" s="69" t="n"/>
      <c r="F34" s="70" t="n"/>
      <c r="G34" s="44">
        <f>IF($B34="","",IF(ISNUMBER($E34),$E34,IF(ISNUMBER($D34),$D34,ROUND(IF(N(IFERROR(INDEX('動員を入れる'!$K$8:$K$14,MATCH($C34,'動員を入れる'!$J$8:$J$14,0)),0))&gt;0,IFERROR(INDEX('動員を入れる'!$K$8:$K$14,MATCH($C34,'動員を入れる'!$J$8:$J$14,0)),0),N('設定'!$C$8)),0))))</f>
        <v/>
      </c>
    </row>
    <row r="35" ht="18" customHeight="1">
      <c r="B35" s="68">
        <f>IF(IF($C$5&lt;&gt;"",$C$5,IF('設定'!$C$6="","",DATE(YEAR('設定'!$C$6),1,1)))="","",IF($C$5&lt;&gt;"",$C$5,IF('設定'!$C$6="","",DATE(YEAR('設定'!$C$6),1,1)))+19)</f>
        <v/>
      </c>
      <c r="C35" s="67">
        <f>IF($B35="","",CHOOSE(WEEKDAY($B35),"日","月","火","水","木","金","土"))</f>
        <v/>
      </c>
      <c r="D35" s="69" t="n"/>
      <c r="E35" s="69" t="n"/>
      <c r="F35" s="70" t="n"/>
      <c r="G35" s="44">
        <f>IF($B35="","",IF(ISNUMBER($E35),$E35,IF(ISNUMBER($D35),$D35,ROUND(IF(N(IFERROR(INDEX('動員を入れる'!$K$8:$K$14,MATCH($C35,'動員を入れる'!$J$8:$J$14,0)),0))&gt;0,IFERROR(INDEX('動員を入れる'!$K$8:$K$14,MATCH($C35,'動員を入れる'!$J$8:$J$14,0)),0),N('設定'!$C$8)),0))))</f>
        <v/>
      </c>
    </row>
    <row r="36" ht="18" customHeight="1">
      <c r="B36" s="68">
        <f>IF(IF($C$5&lt;&gt;"",$C$5,IF('設定'!$C$6="","",DATE(YEAR('設定'!$C$6),1,1)))="","",IF($C$5&lt;&gt;"",$C$5,IF('設定'!$C$6="","",DATE(YEAR('設定'!$C$6),1,1)))+20)</f>
        <v/>
      </c>
      <c r="C36" s="67">
        <f>IF($B36="","",CHOOSE(WEEKDAY($B36),"日","月","火","水","木","金","土"))</f>
        <v/>
      </c>
      <c r="D36" s="69" t="n"/>
      <c r="E36" s="69" t="n"/>
      <c r="F36" s="70" t="n"/>
      <c r="G36" s="44">
        <f>IF($B36="","",IF(ISNUMBER($E36),$E36,IF(ISNUMBER($D36),$D36,ROUND(IF(N(IFERROR(INDEX('動員を入れる'!$K$8:$K$14,MATCH($C36,'動員を入れる'!$J$8:$J$14,0)),0))&gt;0,IFERROR(INDEX('動員を入れる'!$K$8:$K$14,MATCH($C36,'動員を入れる'!$J$8:$J$14,0)),0),N('設定'!$C$8)),0))))</f>
        <v/>
      </c>
    </row>
    <row r="37" ht="18" customHeight="1">
      <c r="B37" s="68">
        <f>IF(IF($C$5&lt;&gt;"",$C$5,IF('設定'!$C$6="","",DATE(YEAR('設定'!$C$6),1,1)))="","",IF($C$5&lt;&gt;"",$C$5,IF('設定'!$C$6="","",DATE(YEAR('設定'!$C$6),1,1)))+21)</f>
        <v/>
      </c>
      <c r="C37" s="67">
        <f>IF($B37="","",CHOOSE(WEEKDAY($B37),"日","月","火","水","木","金","土"))</f>
        <v/>
      </c>
      <c r="D37" s="69" t="n"/>
      <c r="E37" s="69" t="n"/>
      <c r="F37" s="70" t="n"/>
      <c r="G37" s="44">
        <f>IF($B37="","",IF(ISNUMBER($E37),$E37,IF(ISNUMBER($D37),$D37,ROUND(IF(N(IFERROR(INDEX('動員を入れる'!$K$8:$K$14,MATCH($C37,'動員を入れる'!$J$8:$J$14,0)),0))&gt;0,IFERROR(INDEX('動員を入れる'!$K$8:$K$14,MATCH($C37,'動員を入れる'!$J$8:$J$14,0)),0),N('設定'!$C$8)),0))))</f>
        <v/>
      </c>
    </row>
    <row r="38" ht="18" customHeight="1">
      <c r="B38" s="68">
        <f>IF(IF($C$5&lt;&gt;"",$C$5,IF('設定'!$C$6="","",DATE(YEAR('設定'!$C$6),1,1)))="","",IF($C$5&lt;&gt;"",$C$5,IF('設定'!$C$6="","",DATE(YEAR('設定'!$C$6),1,1)))+22)</f>
        <v/>
      </c>
      <c r="C38" s="67">
        <f>IF($B38="","",CHOOSE(WEEKDAY($B38),"日","月","火","水","木","金","土"))</f>
        <v/>
      </c>
      <c r="D38" s="69" t="n"/>
      <c r="E38" s="69" t="n"/>
      <c r="F38" s="70" t="n"/>
      <c r="G38" s="44">
        <f>IF($B38="","",IF(ISNUMBER($E38),$E38,IF(ISNUMBER($D38),$D38,ROUND(IF(N(IFERROR(INDEX('動員を入れる'!$K$8:$K$14,MATCH($C38,'動員を入れる'!$J$8:$J$14,0)),0))&gt;0,IFERROR(INDEX('動員を入れる'!$K$8:$K$14,MATCH($C38,'動員を入れる'!$J$8:$J$14,0)),0),N('設定'!$C$8)),0))))</f>
        <v/>
      </c>
    </row>
    <row r="39" ht="18" customHeight="1">
      <c r="B39" s="68">
        <f>IF(IF($C$5&lt;&gt;"",$C$5,IF('設定'!$C$6="","",DATE(YEAR('設定'!$C$6),1,1)))="","",IF($C$5&lt;&gt;"",$C$5,IF('設定'!$C$6="","",DATE(YEAR('設定'!$C$6),1,1)))+23)</f>
        <v/>
      </c>
      <c r="C39" s="67">
        <f>IF($B39="","",CHOOSE(WEEKDAY($B39),"日","月","火","水","木","金","土"))</f>
        <v/>
      </c>
      <c r="D39" s="69" t="n"/>
      <c r="E39" s="69" t="n"/>
      <c r="F39" s="70" t="n"/>
      <c r="G39" s="44">
        <f>IF($B39="","",IF(ISNUMBER($E39),$E39,IF(ISNUMBER($D39),$D39,ROUND(IF(N(IFERROR(INDEX('動員を入れる'!$K$8:$K$14,MATCH($C39,'動員を入れる'!$J$8:$J$14,0)),0))&gt;0,IFERROR(INDEX('動員を入れる'!$K$8:$K$14,MATCH($C39,'動員を入れる'!$J$8:$J$14,0)),0),N('設定'!$C$8)),0))))</f>
        <v/>
      </c>
    </row>
    <row r="40" ht="18" customHeight="1">
      <c r="B40" s="68">
        <f>IF(IF($C$5&lt;&gt;"",$C$5,IF('設定'!$C$6="","",DATE(YEAR('設定'!$C$6),1,1)))="","",IF($C$5&lt;&gt;"",$C$5,IF('設定'!$C$6="","",DATE(YEAR('設定'!$C$6),1,1)))+24)</f>
        <v/>
      </c>
      <c r="C40" s="67">
        <f>IF($B40="","",CHOOSE(WEEKDAY($B40),"日","月","火","水","木","金","土"))</f>
        <v/>
      </c>
      <c r="D40" s="69" t="n"/>
      <c r="E40" s="69" t="n"/>
      <c r="F40" s="70" t="n"/>
      <c r="G40" s="44">
        <f>IF($B40="","",IF(ISNUMBER($E40),$E40,IF(ISNUMBER($D40),$D40,ROUND(IF(N(IFERROR(INDEX('動員を入れる'!$K$8:$K$14,MATCH($C40,'動員を入れる'!$J$8:$J$14,0)),0))&gt;0,IFERROR(INDEX('動員を入れる'!$K$8:$K$14,MATCH($C40,'動員を入れる'!$J$8:$J$14,0)),0),N('設定'!$C$8)),0))))</f>
        <v/>
      </c>
    </row>
    <row r="41" ht="18" customHeight="1">
      <c r="B41" s="68">
        <f>IF(IF($C$5&lt;&gt;"",$C$5,IF('設定'!$C$6="","",DATE(YEAR('設定'!$C$6),1,1)))="","",IF($C$5&lt;&gt;"",$C$5,IF('設定'!$C$6="","",DATE(YEAR('設定'!$C$6),1,1)))+25)</f>
        <v/>
      </c>
      <c r="C41" s="67">
        <f>IF($B41="","",CHOOSE(WEEKDAY($B41),"日","月","火","水","木","金","土"))</f>
        <v/>
      </c>
      <c r="D41" s="69" t="n"/>
      <c r="E41" s="69" t="n"/>
      <c r="F41" s="70" t="n"/>
      <c r="G41" s="44">
        <f>IF($B41="","",IF(ISNUMBER($E41),$E41,IF(ISNUMBER($D41),$D41,ROUND(IF(N(IFERROR(INDEX('動員を入れる'!$K$8:$K$14,MATCH($C41,'動員を入れる'!$J$8:$J$14,0)),0))&gt;0,IFERROR(INDEX('動員を入れる'!$K$8:$K$14,MATCH($C41,'動員を入れる'!$J$8:$J$14,0)),0),N('設定'!$C$8)),0))))</f>
        <v/>
      </c>
    </row>
    <row r="42" ht="18" customHeight="1">
      <c r="B42" s="68">
        <f>IF(IF($C$5&lt;&gt;"",$C$5,IF('設定'!$C$6="","",DATE(YEAR('設定'!$C$6),1,1)))="","",IF($C$5&lt;&gt;"",$C$5,IF('設定'!$C$6="","",DATE(YEAR('設定'!$C$6),1,1)))+26)</f>
        <v/>
      </c>
      <c r="C42" s="67">
        <f>IF($B42="","",CHOOSE(WEEKDAY($B42),"日","月","火","水","木","金","土"))</f>
        <v/>
      </c>
      <c r="D42" s="69" t="n"/>
      <c r="E42" s="69" t="n"/>
      <c r="F42" s="70" t="n"/>
      <c r="G42" s="44">
        <f>IF($B42="","",IF(ISNUMBER($E42),$E42,IF(ISNUMBER($D42),$D42,ROUND(IF(N(IFERROR(INDEX('動員を入れる'!$K$8:$K$14,MATCH($C42,'動員を入れる'!$J$8:$J$14,0)),0))&gt;0,IFERROR(INDEX('動員を入れる'!$K$8:$K$14,MATCH($C42,'動員を入れる'!$J$8:$J$14,0)),0),N('設定'!$C$8)),0))))</f>
        <v/>
      </c>
    </row>
    <row r="43" ht="18" customHeight="1">
      <c r="B43" s="68">
        <f>IF(IF($C$5&lt;&gt;"",$C$5,IF('設定'!$C$6="","",DATE(YEAR('設定'!$C$6),1,1)))="","",IF($C$5&lt;&gt;"",$C$5,IF('設定'!$C$6="","",DATE(YEAR('設定'!$C$6),1,1)))+27)</f>
        <v/>
      </c>
      <c r="C43" s="67">
        <f>IF($B43="","",CHOOSE(WEEKDAY($B43),"日","月","火","水","木","金","土"))</f>
        <v/>
      </c>
      <c r="D43" s="69" t="n"/>
      <c r="E43" s="69" t="n"/>
      <c r="F43" s="70" t="n"/>
      <c r="G43" s="44">
        <f>IF($B43="","",IF(ISNUMBER($E43),$E43,IF(ISNUMBER($D43),$D43,ROUND(IF(N(IFERROR(INDEX('動員を入れる'!$K$8:$K$14,MATCH($C43,'動員を入れる'!$J$8:$J$14,0)),0))&gt;0,IFERROR(INDEX('動員を入れる'!$K$8:$K$14,MATCH($C43,'動員を入れる'!$J$8:$J$14,0)),0),N('設定'!$C$8)),0))))</f>
        <v/>
      </c>
    </row>
    <row r="44" ht="18" customHeight="1">
      <c r="B44" s="68">
        <f>IF(IF($C$5&lt;&gt;"",$C$5,IF('設定'!$C$6="","",DATE(YEAR('設定'!$C$6),1,1)))="","",IF($C$5&lt;&gt;"",$C$5,IF('設定'!$C$6="","",DATE(YEAR('設定'!$C$6),1,1)))+28)</f>
        <v/>
      </c>
      <c r="C44" s="67">
        <f>IF($B44="","",CHOOSE(WEEKDAY($B44),"日","月","火","水","木","金","土"))</f>
        <v/>
      </c>
      <c r="D44" s="69" t="n"/>
      <c r="E44" s="69" t="n"/>
      <c r="F44" s="70" t="n"/>
      <c r="G44" s="44">
        <f>IF($B44="","",IF(ISNUMBER($E44),$E44,IF(ISNUMBER($D44),$D44,ROUND(IF(N(IFERROR(INDEX('動員を入れる'!$K$8:$K$14,MATCH($C44,'動員を入れる'!$J$8:$J$14,0)),0))&gt;0,IFERROR(INDEX('動員を入れる'!$K$8:$K$14,MATCH($C44,'動員を入れる'!$J$8:$J$14,0)),0),N('設定'!$C$8)),0))))</f>
        <v/>
      </c>
    </row>
    <row r="45" ht="18" customHeight="1">
      <c r="B45" s="68">
        <f>IF(IF($C$5&lt;&gt;"",$C$5,IF('設定'!$C$6="","",DATE(YEAR('設定'!$C$6),1,1)))="","",IF($C$5&lt;&gt;"",$C$5,IF('設定'!$C$6="","",DATE(YEAR('設定'!$C$6),1,1)))+29)</f>
        <v/>
      </c>
      <c r="C45" s="67">
        <f>IF($B45="","",CHOOSE(WEEKDAY($B45),"日","月","火","水","木","金","土"))</f>
        <v/>
      </c>
      <c r="D45" s="69" t="n"/>
      <c r="E45" s="69" t="n"/>
      <c r="F45" s="70" t="n"/>
      <c r="G45" s="44">
        <f>IF($B45="","",IF(ISNUMBER($E45),$E45,IF(ISNUMBER($D45),$D45,ROUND(IF(N(IFERROR(INDEX('動員を入れる'!$K$8:$K$14,MATCH($C45,'動員を入れる'!$J$8:$J$14,0)),0))&gt;0,IFERROR(INDEX('動員を入れる'!$K$8:$K$14,MATCH($C45,'動員を入れる'!$J$8:$J$14,0)),0),N('設定'!$C$8)),0))))</f>
        <v/>
      </c>
    </row>
    <row r="46" ht="18" customHeight="1">
      <c r="B46" s="68">
        <f>IF(IF($C$5&lt;&gt;"",$C$5,IF('設定'!$C$6="","",DATE(YEAR('設定'!$C$6),1,1)))="","",IF($C$5&lt;&gt;"",$C$5,IF('設定'!$C$6="","",DATE(YEAR('設定'!$C$6),1,1)))+30)</f>
        <v/>
      </c>
      <c r="C46" s="67">
        <f>IF($B46="","",CHOOSE(WEEKDAY($B46),"日","月","火","水","木","金","土"))</f>
        <v/>
      </c>
      <c r="D46" s="69" t="n"/>
      <c r="E46" s="69" t="n"/>
      <c r="F46" s="70" t="n"/>
      <c r="G46" s="44">
        <f>IF($B46="","",IF(ISNUMBER($E46),$E46,IF(ISNUMBER($D46),$D46,ROUND(IF(N(IFERROR(INDEX('動員を入れる'!$K$8:$K$14,MATCH($C46,'動員を入れる'!$J$8:$J$14,0)),0))&gt;0,IFERROR(INDEX('動員を入れる'!$K$8:$K$14,MATCH($C46,'動員を入れる'!$J$8:$J$14,0)),0),N('設定'!$C$8)),0))))</f>
        <v/>
      </c>
    </row>
    <row r="47" ht="18" customHeight="1">
      <c r="B47" s="68">
        <f>IF(IF($C$5&lt;&gt;"",$C$5,IF('設定'!$C$6="","",DATE(YEAR('設定'!$C$6),1,1)))="","",IF($C$5&lt;&gt;"",$C$5,IF('設定'!$C$6="","",DATE(YEAR('設定'!$C$6),1,1)))+31)</f>
        <v/>
      </c>
      <c r="C47" s="67">
        <f>IF($B47="","",CHOOSE(WEEKDAY($B47),"日","月","火","水","木","金","土"))</f>
        <v/>
      </c>
      <c r="D47" s="69" t="n"/>
      <c r="E47" s="69" t="n"/>
      <c r="F47" s="70" t="n"/>
      <c r="G47" s="44">
        <f>IF($B47="","",IF(ISNUMBER($E47),$E47,IF(ISNUMBER($D47),$D47,ROUND(IF(N(IFERROR(INDEX('動員を入れる'!$K$8:$K$14,MATCH($C47,'動員を入れる'!$J$8:$J$14,0)),0))&gt;0,IFERROR(INDEX('動員を入れる'!$K$8:$K$14,MATCH($C47,'動員を入れる'!$J$8:$J$14,0)),0),N('設定'!$C$8)),0))))</f>
        <v/>
      </c>
    </row>
    <row r="48" ht="18" customHeight="1">
      <c r="B48" s="68">
        <f>IF(IF($C$5&lt;&gt;"",$C$5,IF('設定'!$C$6="","",DATE(YEAR('設定'!$C$6),1,1)))="","",IF($C$5&lt;&gt;"",$C$5,IF('設定'!$C$6="","",DATE(YEAR('設定'!$C$6),1,1)))+32)</f>
        <v/>
      </c>
      <c r="C48" s="67">
        <f>IF($B48="","",CHOOSE(WEEKDAY($B48),"日","月","火","水","木","金","土"))</f>
        <v/>
      </c>
      <c r="D48" s="69" t="n"/>
      <c r="E48" s="69" t="n"/>
      <c r="F48" s="70" t="n"/>
      <c r="G48" s="44">
        <f>IF($B48="","",IF(ISNUMBER($E48),$E48,IF(ISNUMBER($D48),$D48,ROUND(IF(N(IFERROR(INDEX('動員を入れる'!$K$8:$K$14,MATCH($C48,'動員を入れる'!$J$8:$J$14,0)),0))&gt;0,IFERROR(INDEX('動員を入れる'!$K$8:$K$14,MATCH($C48,'動員を入れる'!$J$8:$J$14,0)),0),N('設定'!$C$8)),0))))</f>
        <v/>
      </c>
    </row>
    <row r="49" ht="18" customHeight="1">
      <c r="B49" s="68">
        <f>IF(IF($C$5&lt;&gt;"",$C$5,IF('設定'!$C$6="","",DATE(YEAR('設定'!$C$6),1,1)))="","",IF($C$5&lt;&gt;"",$C$5,IF('設定'!$C$6="","",DATE(YEAR('設定'!$C$6),1,1)))+33)</f>
        <v/>
      </c>
      <c r="C49" s="67">
        <f>IF($B49="","",CHOOSE(WEEKDAY($B49),"日","月","火","水","木","金","土"))</f>
        <v/>
      </c>
      <c r="D49" s="69" t="n"/>
      <c r="E49" s="69" t="n"/>
      <c r="F49" s="70" t="n"/>
      <c r="G49" s="44">
        <f>IF($B49="","",IF(ISNUMBER($E49),$E49,IF(ISNUMBER($D49),$D49,ROUND(IF(N(IFERROR(INDEX('動員を入れる'!$K$8:$K$14,MATCH($C49,'動員を入れる'!$J$8:$J$14,0)),0))&gt;0,IFERROR(INDEX('動員を入れる'!$K$8:$K$14,MATCH($C49,'動員を入れる'!$J$8:$J$14,0)),0),N('設定'!$C$8)),0))))</f>
        <v/>
      </c>
    </row>
    <row r="50" ht="18" customHeight="1">
      <c r="B50" s="68">
        <f>IF(IF($C$5&lt;&gt;"",$C$5,IF('設定'!$C$6="","",DATE(YEAR('設定'!$C$6),1,1)))="","",IF($C$5&lt;&gt;"",$C$5,IF('設定'!$C$6="","",DATE(YEAR('設定'!$C$6),1,1)))+34)</f>
        <v/>
      </c>
      <c r="C50" s="67">
        <f>IF($B50="","",CHOOSE(WEEKDAY($B50),"日","月","火","水","木","金","土"))</f>
        <v/>
      </c>
      <c r="D50" s="69" t="n"/>
      <c r="E50" s="69" t="n"/>
      <c r="F50" s="70" t="n"/>
      <c r="G50" s="44">
        <f>IF($B50="","",IF(ISNUMBER($E50),$E50,IF(ISNUMBER($D50),$D50,ROUND(IF(N(IFERROR(INDEX('動員を入れる'!$K$8:$K$14,MATCH($C50,'動員を入れる'!$J$8:$J$14,0)),0))&gt;0,IFERROR(INDEX('動員を入れる'!$K$8:$K$14,MATCH($C50,'動員を入れる'!$J$8:$J$14,0)),0),N('設定'!$C$8)),0))))</f>
        <v/>
      </c>
    </row>
    <row r="51" ht="18" customHeight="1">
      <c r="B51" s="68">
        <f>IF(IF($C$5&lt;&gt;"",$C$5,IF('設定'!$C$6="","",DATE(YEAR('設定'!$C$6),1,1)))="","",IF($C$5&lt;&gt;"",$C$5,IF('設定'!$C$6="","",DATE(YEAR('設定'!$C$6),1,1)))+35)</f>
        <v/>
      </c>
      <c r="C51" s="67">
        <f>IF($B51="","",CHOOSE(WEEKDAY($B51),"日","月","火","水","木","金","土"))</f>
        <v/>
      </c>
      <c r="D51" s="69" t="n"/>
      <c r="E51" s="69" t="n"/>
      <c r="F51" s="70" t="n"/>
      <c r="G51" s="44">
        <f>IF($B51="","",IF(ISNUMBER($E51),$E51,IF(ISNUMBER($D51),$D51,ROUND(IF(N(IFERROR(INDEX('動員を入れる'!$K$8:$K$14,MATCH($C51,'動員を入れる'!$J$8:$J$14,0)),0))&gt;0,IFERROR(INDEX('動員を入れる'!$K$8:$K$14,MATCH($C51,'動員を入れる'!$J$8:$J$14,0)),0),N('設定'!$C$8)),0))))</f>
        <v/>
      </c>
    </row>
    <row r="52" ht="18" customHeight="1">
      <c r="B52" s="68">
        <f>IF(IF($C$5&lt;&gt;"",$C$5,IF('設定'!$C$6="","",DATE(YEAR('設定'!$C$6),1,1)))="","",IF($C$5&lt;&gt;"",$C$5,IF('設定'!$C$6="","",DATE(YEAR('設定'!$C$6),1,1)))+36)</f>
        <v/>
      </c>
      <c r="C52" s="67">
        <f>IF($B52="","",CHOOSE(WEEKDAY($B52),"日","月","火","水","木","金","土"))</f>
        <v/>
      </c>
      <c r="D52" s="69" t="n"/>
      <c r="E52" s="69" t="n"/>
      <c r="F52" s="70" t="n"/>
      <c r="G52" s="44">
        <f>IF($B52="","",IF(ISNUMBER($E52),$E52,IF(ISNUMBER($D52),$D52,ROUND(IF(N(IFERROR(INDEX('動員を入れる'!$K$8:$K$14,MATCH($C52,'動員を入れる'!$J$8:$J$14,0)),0))&gt;0,IFERROR(INDEX('動員を入れる'!$K$8:$K$14,MATCH($C52,'動員を入れる'!$J$8:$J$14,0)),0),N('設定'!$C$8)),0))))</f>
        <v/>
      </c>
    </row>
    <row r="53" ht="18" customHeight="1">
      <c r="B53" s="68">
        <f>IF(IF($C$5&lt;&gt;"",$C$5,IF('設定'!$C$6="","",DATE(YEAR('設定'!$C$6),1,1)))="","",IF($C$5&lt;&gt;"",$C$5,IF('設定'!$C$6="","",DATE(YEAR('設定'!$C$6),1,1)))+37)</f>
        <v/>
      </c>
      <c r="C53" s="67">
        <f>IF($B53="","",CHOOSE(WEEKDAY($B53),"日","月","火","水","木","金","土"))</f>
        <v/>
      </c>
      <c r="D53" s="69" t="n"/>
      <c r="E53" s="69" t="n"/>
      <c r="F53" s="70" t="n"/>
      <c r="G53" s="44">
        <f>IF($B53="","",IF(ISNUMBER($E53),$E53,IF(ISNUMBER($D53),$D53,ROUND(IF(N(IFERROR(INDEX('動員を入れる'!$K$8:$K$14,MATCH($C53,'動員を入れる'!$J$8:$J$14,0)),0))&gt;0,IFERROR(INDEX('動員を入れる'!$K$8:$K$14,MATCH($C53,'動員を入れる'!$J$8:$J$14,0)),0),N('設定'!$C$8)),0))))</f>
        <v/>
      </c>
    </row>
    <row r="54" ht="18" customHeight="1">
      <c r="B54" s="68">
        <f>IF(IF($C$5&lt;&gt;"",$C$5,IF('設定'!$C$6="","",DATE(YEAR('設定'!$C$6),1,1)))="","",IF($C$5&lt;&gt;"",$C$5,IF('設定'!$C$6="","",DATE(YEAR('設定'!$C$6),1,1)))+38)</f>
        <v/>
      </c>
      <c r="C54" s="67">
        <f>IF($B54="","",CHOOSE(WEEKDAY($B54),"日","月","火","水","木","金","土"))</f>
        <v/>
      </c>
      <c r="D54" s="69" t="n"/>
      <c r="E54" s="69" t="n"/>
      <c r="F54" s="70" t="n"/>
      <c r="G54" s="44">
        <f>IF($B54="","",IF(ISNUMBER($E54),$E54,IF(ISNUMBER($D54),$D54,ROUND(IF(N(IFERROR(INDEX('動員を入れる'!$K$8:$K$14,MATCH($C54,'動員を入れる'!$J$8:$J$14,0)),0))&gt;0,IFERROR(INDEX('動員を入れる'!$K$8:$K$14,MATCH($C54,'動員を入れる'!$J$8:$J$14,0)),0),N('設定'!$C$8)),0))))</f>
        <v/>
      </c>
    </row>
    <row r="55" ht="18" customHeight="1">
      <c r="B55" s="68">
        <f>IF(IF($C$5&lt;&gt;"",$C$5,IF('設定'!$C$6="","",DATE(YEAR('設定'!$C$6),1,1)))="","",IF($C$5&lt;&gt;"",$C$5,IF('設定'!$C$6="","",DATE(YEAR('設定'!$C$6),1,1)))+39)</f>
        <v/>
      </c>
      <c r="C55" s="67">
        <f>IF($B55="","",CHOOSE(WEEKDAY($B55),"日","月","火","水","木","金","土"))</f>
        <v/>
      </c>
      <c r="D55" s="69" t="n"/>
      <c r="E55" s="69" t="n"/>
      <c r="F55" s="70" t="n"/>
      <c r="G55" s="44">
        <f>IF($B55="","",IF(ISNUMBER($E55),$E55,IF(ISNUMBER($D55),$D55,ROUND(IF(N(IFERROR(INDEX('動員を入れる'!$K$8:$K$14,MATCH($C55,'動員を入れる'!$J$8:$J$14,0)),0))&gt;0,IFERROR(INDEX('動員を入れる'!$K$8:$K$14,MATCH($C55,'動員を入れる'!$J$8:$J$14,0)),0),N('設定'!$C$8)),0))))</f>
        <v/>
      </c>
    </row>
    <row r="56" ht="18" customHeight="1">
      <c r="B56" s="68">
        <f>IF(IF($C$5&lt;&gt;"",$C$5,IF('設定'!$C$6="","",DATE(YEAR('設定'!$C$6),1,1)))="","",IF($C$5&lt;&gt;"",$C$5,IF('設定'!$C$6="","",DATE(YEAR('設定'!$C$6),1,1)))+40)</f>
        <v/>
      </c>
      <c r="C56" s="67">
        <f>IF($B56="","",CHOOSE(WEEKDAY($B56),"日","月","火","水","木","金","土"))</f>
        <v/>
      </c>
      <c r="D56" s="69" t="n"/>
      <c r="E56" s="69" t="n"/>
      <c r="F56" s="70" t="n"/>
      <c r="G56" s="44">
        <f>IF($B56="","",IF(ISNUMBER($E56),$E56,IF(ISNUMBER($D56),$D56,ROUND(IF(N(IFERROR(INDEX('動員を入れる'!$K$8:$K$14,MATCH($C56,'動員を入れる'!$J$8:$J$14,0)),0))&gt;0,IFERROR(INDEX('動員を入れる'!$K$8:$K$14,MATCH($C56,'動員を入れる'!$J$8:$J$14,0)),0),N('設定'!$C$8)),0))))</f>
        <v/>
      </c>
    </row>
    <row r="57" ht="18" customHeight="1">
      <c r="B57" s="68">
        <f>IF(IF($C$5&lt;&gt;"",$C$5,IF('設定'!$C$6="","",DATE(YEAR('設定'!$C$6),1,1)))="","",IF($C$5&lt;&gt;"",$C$5,IF('設定'!$C$6="","",DATE(YEAR('設定'!$C$6),1,1)))+41)</f>
        <v/>
      </c>
      <c r="C57" s="67">
        <f>IF($B57="","",CHOOSE(WEEKDAY($B57),"日","月","火","水","木","金","土"))</f>
        <v/>
      </c>
      <c r="D57" s="69" t="n"/>
      <c r="E57" s="69" t="n"/>
      <c r="F57" s="70" t="n"/>
      <c r="G57" s="44">
        <f>IF($B57="","",IF(ISNUMBER($E57),$E57,IF(ISNUMBER($D57),$D57,ROUND(IF(N(IFERROR(INDEX('動員を入れる'!$K$8:$K$14,MATCH($C57,'動員を入れる'!$J$8:$J$14,0)),0))&gt;0,IFERROR(INDEX('動員を入れる'!$K$8:$K$14,MATCH($C57,'動員を入れる'!$J$8:$J$14,0)),0),N('設定'!$C$8)),0))))</f>
        <v/>
      </c>
    </row>
    <row r="58" ht="18" customHeight="1">
      <c r="B58" s="68">
        <f>IF(IF($C$5&lt;&gt;"",$C$5,IF('設定'!$C$6="","",DATE(YEAR('設定'!$C$6),1,1)))="","",IF($C$5&lt;&gt;"",$C$5,IF('設定'!$C$6="","",DATE(YEAR('設定'!$C$6),1,1)))+42)</f>
        <v/>
      </c>
      <c r="C58" s="67">
        <f>IF($B58="","",CHOOSE(WEEKDAY($B58),"日","月","火","水","木","金","土"))</f>
        <v/>
      </c>
      <c r="D58" s="69" t="n"/>
      <c r="E58" s="69" t="n"/>
      <c r="F58" s="70" t="n"/>
      <c r="G58" s="44">
        <f>IF($B58="","",IF(ISNUMBER($E58),$E58,IF(ISNUMBER($D58),$D58,ROUND(IF(N(IFERROR(INDEX('動員を入れる'!$K$8:$K$14,MATCH($C58,'動員を入れる'!$J$8:$J$14,0)),0))&gt;0,IFERROR(INDEX('動員を入れる'!$K$8:$K$14,MATCH($C58,'動員を入れる'!$J$8:$J$14,0)),0),N('設定'!$C$8)),0))))</f>
        <v/>
      </c>
    </row>
    <row r="59" ht="18" customHeight="1">
      <c r="B59" s="68">
        <f>IF(IF($C$5&lt;&gt;"",$C$5,IF('設定'!$C$6="","",DATE(YEAR('設定'!$C$6),1,1)))="","",IF($C$5&lt;&gt;"",$C$5,IF('設定'!$C$6="","",DATE(YEAR('設定'!$C$6),1,1)))+43)</f>
        <v/>
      </c>
      <c r="C59" s="67">
        <f>IF($B59="","",CHOOSE(WEEKDAY($B59),"日","月","火","水","木","金","土"))</f>
        <v/>
      </c>
      <c r="D59" s="69" t="n"/>
      <c r="E59" s="69" t="n"/>
      <c r="F59" s="70" t="n"/>
      <c r="G59" s="44">
        <f>IF($B59="","",IF(ISNUMBER($E59),$E59,IF(ISNUMBER($D59),$D59,ROUND(IF(N(IFERROR(INDEX('動員を入れる'!$K$8:$K$14,MATCH($C59,'動員を入れる'!$J$8:$J$14,0)),0))&gt;0,IFERROR(INDEX('動員を入れる'!$K$8:$K$14,MATCH($C59,'動員を入れる'!$J$8:$J$14,0)),0),N('設定'!$C$8)),0))))</f>
        <v/>
      </c>
    </row>
    <row r="60" ht="18" customHeight="1">
      <c r="B60" s="68">
        <f>IF(IF($C$5&lt;&gt;"",$C$5,IF('設定'!$C$6="","",DATE(YEAR('設定'!$C$6),1,1)))="","",IF($C$5&lt;&gt;"",$C$5,IF('設定'!$C$6="","",DATE(YEAR('設定'!$C$6),1,1)))+44)</f>
        <v/>
      </c>
      <c r="C60" s="67">
        <f>IF($B60="","",CHOOSE(WEEKDAY($B60),"日","月","火","水","木","金","土"))</f>
        <v/>
      </c>
      <c r="D60" s="69" t="n"/>
      <c r="E60" s="69" t="n"/>
      <c r="F60" s="70" t="n"/>
      <c r="G60" s="44">
        <f>IF($B60="","",IF(ISNUMBER($E60),$E60,IF(ISNUMBER($D60),$D60,ROUND(IF(N(IFERROR(INDEX('動員を入れる'!$K$8:$K$14,MATCH($C60,'動員を入れる'!$J$8:$J$14,0)),0))&gt;0,IFERROR(INDEX('動員を入れる'!$K$8:$K$14,MATCH($C60,'動員を入れる'!$J$8:$J$14,0)),0),N('設定'!$C$8)),0))))</f>
        <v/>
      </c>
    </row>
    <row r="61" ht="18" customHeight="1">
      <c r="B61" s="68">
        <f>IF(IF($C$5&lt;&gt;"",$C$5,IF('設定'!$C$6="","",DATE(YEAR('設定'!$C$6),1,1)))="","",IF($C$5&lt;&gt;"",$C$5,IF('設定'!$C$6="","",DATE(YEAR('設定'!$C$6),1,1)))+45)</f>
        <v/>
      </c>
      <c r="C61" s="67">
        <f>IF($B61="","",CHOOSE(WEEKDAY($B61),"日","月","火","水","木","金","土"))</f>
        <v/>
      </c>
      <c r="D61" s="69" t="n"/>
      <c r="E61" s="69" t="n"/>
      <c r="F61" s="70" t="n"/>
      <c r="G61" s="44">
        <f>IF($B61="","",IF(ISNUMBER($E61),$E61,IF(ISNUMBER($D61),$D61,ROUND(IF(N(IFERROR(INDEX('動員を入れる'!$K$8:$K$14,MATCH($C61,'動員を入れる'!$J$8:$J$14,0)),0))&gt;0,IFERROR(INDEX('動員を入れる'!$K$8:$K$14,MATCH($C61,'動員を入れる'!$J$8:$J$14,0)),0),N('設定'!$C$8)),0))))</f>
        <v/>
      </c>
    </row>
    <row r="62" ht="18" customHeight="1">
      <c r="B62" s="68">
        <f>IF(IF($C$5&lt;&gt;"",$C$5,IF('設定'!$C$6="","",DATE(YEAR('設定'!$C$6),1,1)))="","",IF($C$5&lt;&gt;"",$C$5,IF('設定'!$C$6="","",DATE(YEAR('設定'!$C$6),1,1)))+46)</f>
        <v/>
      </c>
      <c r="C62" s="67">
        <f>IF($B62="","",CHOOSE(WEEKDAY($B62),"日","月","火","水","木","金","土"))</f>
        <v/>
      </c>
      <c r="D62" s="69" t="n"/>
      <c r="E62" s="69" t="n"/>
      <c r="F62" s="70" t="n"/>
      <c r="G62" s="44">
        <f>IF($B62="","",IF(ISNUMBER($E62),$E62,IF(ISNUMBER($D62),$D62,ROUND(IF(N(IFERROR(INDEX('動員を入れる'!$K$8:$K$14,MATCH($C62,'動員を入れる'!$J$8:$J$14,0)),0))&gt;0,IFERROR(INDEX('動員を入れる'!$K$8:$K$14,MATCH($C62,'動員を入れる'!$J$8:$J$14,0)),0),N('設定'!$C$8)),0))))</f>
        <v/>
      </c>
    </row>
    <row r="63" ht="18" customHeight="1">
      <c r="B63" s="68">
        <f>IF(IF($C$5&lt;&gt;"",$C$5,IF('設定'!$C$6="","",DATE(YEAR('設定'!$C$6),1,1)))="","",IF($C$5&lt;&gt;"",$C$5,IF('設定'!$C$6="","",DATE(YEAR('設定'!$C$6),1,1)))+47)</f>
        <v/>
      </c>
      <c r="C63" s="67">
        <f>IF($B63="","",CHOOSE(WEEKDAY($B63),"日","月","火","水","木","金","土"))</f>
        <v/>
      </c>
      <c r="D63" s="69" t="n"/>
      <c r="E63" s="69" t="n"/>
      <c r="F63" s="70" t="n"/>
      <c r="G63" s="44">
        <f>IF($B63="","",IF(ISNUMBER($E63),$E63,IF(ISNUMBER($D63),$D63,ROUND(IF(N(IFERROR(INDEX('動員を入れる'!$K$8:$K$14,MATCH($C63,'動員を入れる'!$J$8:$J$14,0)),0))&gt;0,IFERROR(INDEX('動員を入れる'!$K$8:$K$14,MATCH($C63,'動員を入れる'!$J$8:$J$14,0)),0),N('設定'!$C$8)),0))))</f>
        <v/>
      </c>
    </row>
    <row r="64" ht="18" customHeight="1">
      <c r="B64" s="68">
        <f>IF(IF($C$5&lt;&gt;"",$C$5,IF('設定'!$C$6="","",DATE(YEAR('設定'!$C$6),1,1)))="","",IF($C$5&lt;&gt;"",$C$5,IF('設定'!$C$6="","",DATE(YEAR('設定'!$C$6),1,1)))+48)</f>
        <v/>
      </c>
      <c r="C64" s="67">
        <f>IF($B64="","",CHOOSE(WEEKDAY($B64),"日","月","火","水","木","金","土"))</f>
        <v/>
      </c>
      <c r="D64" s="69" t="n"/>
      <c r="E64" s="69" t="n"/>
      <c r="F64" s="70" t="n"/>
      <c r="G64" s="44">
        <f>IF($B64="","",IF(ISNUMBER($E64),$E64,IF(ISNUMBER($D64),$D64,ROUND(IF(N(IFERROR(INDEX('動員を入れる'!$K$8:$K$14,MATCH($C64,'動員を入れる'!$J$8:$J$14,0)),0))&gt;0,IFERROR(INDEX('動員を入れる'!$K$8:$K$14,MATCH($C64,'動員を入れる'!$J$8:$J$14,0)),0),N('設定'!$C$8)),0))))</f>
        <v/>
      </c>
    </row>
    <row r="65" ht="18" customHeight="1">
      <c r="B65" s="68">
        <f>IF(IF($C$5&lt;&gt;"",$C$5,IF('設定'!$C$6="","",DATE(YEAR('設定'!$C$6),1,1)))="","",IF($C$5&lt;&gt;"",$C$5,IF('設定'!$C$6="","",DATE(YEAR('設定'!$C$6),1,1)))+49)</f>
        <v/>
      </c>
      <c r="C65" s="67">
        <f>IF($B65="","",CHOOSE(WEEKDAY($B65),"日","月","火","水","木","金","土"))</f>
        <v/>
      </c>
      <c r="D65" s="69" t="n"/>
      <c r="E65" s="69" t="n"/>
      <c r="F65" s="70" t="n"/>
      <c r="G65" s="44">
        <f>IF($B65="","",IF(ISNUMBER($E65),$E65,IF(ISNUMBER($D65),$D65,ROUND(IF(N(IFERROR(INDEX('動員を入れる'!$K$8:$K$14,MATCH($C65,'動員を入れる'!$J$8:$J$14,0)),0))&gt;0,IFERROR(INDEX('動員を入れる'!$K$8:$K$14,MATCH($C65,'動員を入れる'!$J$8:$J$14,0)),0),N('設定'!$C$8)),0))))</f>
        <v/>
      </c>
    </row>
    <row r="66" ht="18" customHeight="1">
      <c r="B66" s="68">
        <f>IF(IF($C$5&lt;&gt;"",$C$5,IF('設定'!$C$6="","",DATE(YEAR('設定'!$C$6),1,1)))="","",IF($C$5&lt;&gt;"",$C$5,IF('設定'!$C$6="","",DATE(YEAR('設定'!$C$6),1,1)))+50)</f>
        <v/>
      </c>
      <c r="C66" s="67">
        <f>IF($B66="","",CHOOSE(WEEKDAY($B66),"日","月","火","水","木","金","土"))</f>
        <v/>
      </c>
      <c r="D66" s="69" t="n"/>
      <c r="E66" s="69" t="n"/>
      <c r="F66" s="70" t="n"/>
      <c r="G66" s="44">
        <f>IF($B66="","",IF(ISNUMBER($E66),$E66,IF(ISNUMBER($D66),$D66,ROUND(IF(N(IFERROR(INDEX('動員を入れる'!$K$8:$K$14,MATCH($C66,'動員を入れる'!$J$8:$J$14,0)),0))&gt;0,IFERROR(INDEX('動員を入れる'!$K$8:$K$14,MATCH($C66,'動員を入れる'!$J$8:$J$14,0)),0),N('設定'!$C$8)),0))))</f>
        <v/>
      </c>
    </row>
    <row r="67" ht="18" customHeight="1">
      <c r="B67" s="68">
        <f>IF(IF($C$5&lt;&gt;"",$C$5,IF('設定'!$C$6="","",DATE(YEAR('設定'!$C$6),1,1)))="","",IF($C$5&lt;&gt;"",$C$5,IF('設定'!$C$6="","",DATE(YEAR('設定'!$C$6),1,1)))+51)</f>
        <v/>
      </c>
      <c r="C67" s="67">
        <f>IF($B67="","",CHOOSE(WEEKDAY($B67),"日","月","火","水","木","金","土"))</f>
        <v/>
      </c>
      <c r="D67" s="69" t="n"/>
      <c r="E67" s="69" t="n"/>
      <c r="F67" s="70" t="n"/>
      <c r="G67" s="44">
        <f>IF($B67="","",IF(ISNUMBER($E67),$E67,IF(ISNUMBER($D67),$D67,ROUND(IF(N(IFERROR(INDEX('動員を入れる'!$K$8:$K$14,MATCH($C67,'動員を入れる'!$J$8:$J$14,0)),0))&gt;0,IFERROR(INDEX('動員を入れる'!$K$8:$K$14,MATCH($C67,'動員を入れる'!$J$8:$J$14,0)),0),N('設定'!$C$8)),0))))</f>
        <v/>
      </c>
    </row>
    <row r="68" ht="18" customHeight="1">
      <c r="B68" s="68">
        <f>IF(IF($C$5&lt;&gt;"",$C$5,IF('設定'!$C$6="","",DATE(YEAR('設定'!$C$6),1,1)))="","",IF($C$5&lt;&gt;"",$C$5,IF('設定'!$C$6="","",DATE(YEAR('設定'!$C$6),1,1)))+52)</f>
        <v/>
      </c>
      <c r="C68" s="67">
        <f>IF($B68="","",CHOOSE(WEEKDAY($B68),"日","月","火","水","木","金","土"))</f>
        <v/>
      </c>
      <c r="D68" s="69" t="n"/>
      <c r="E68" s="69" t="n"/>
      <c r="F68" s="70" t="n"/>
      <c r="G68" s="44">
        <f>IF($B68="","",IF(ISNUMBER($E68),$E68,IF(ISNUMBER($D68),$D68,ROUND(IF(N(IFERROR(INDEX('動員を入れる'!$K$8:$K$14,MATCH($C68,'動員を入れる'!$J$8:$J$14,0)),0))&gt;0,IFERROR(INDEX('動員を入れる'!$K$8:$K$14,MATCH($C68,'動員を入れる'!$J$8:$J$14,0)),0),N('設定'!$C$8)),0))))</f>
        <v/>
      </c>
    </row>
    <row r="69" ht="18" customHeight="1">
      <c r="B69" s="68">
        <f>IF(IF($C$5&lt;&gt;"",$C$5,IF('設定'!$C$6="","",DATE(YEAR('設定'!$C$6),1,1)))="","",IF($C$5&lt;&gt;"",$C$5,IF('設定'!$C$6="","",DATE(YEAR('設定'!$C$6),1,1)))+53)</f>
        <v/>
      </c>
      <c r="C69" s="67">
        <f>IF($B69="","",CHOOSE(WEEKDAY($B69),"日","月","火","水","木","金","土"))</f>
        <v/>
      </c>
      <c r="D69" s="69" t="n"/>
      <c r="E69" s="69" t="n"/>
      <c r="F69" s="70" t="n"/>
      <c r="G69" s="44">
        <f>IF($B69="","",IF(ISNUMBER($E69),$E69,IF(ISNUMBER($D69),$D69,ROUND(IF(N(IFERROR(INDEX('動員を入れる'!$K$8:$K$14,MATCH($C69,'動員を入れる'!$J$8:$J$14,0)),0))&gt;0,IFERROR(INDEX('動員を入れる'!$K$8:$K$14,MATCH($C69,'動員を入れる'!$J$8:$J$14,0)),0),N('設定'!$C$8)),0))))</f>
        <v/>
      </c>
    </row>
    <row r="70" ht="18" customHeight="1">
      <c r="B70" s="68">
        <f>IF(IF($C$5&lt;&gt;"",$C$5,IF('設定'!$C$6="","",DATE(YEAR('設定'!$C$6),1,1)))="","",IF($C$5&lt;&gt;"",$C$5,IF('設定'!$C$6="","",DATE(YEAR('設定'!$C$6),1,1)))+54)</f>
        <v/>
      </c>
      <c r="C70" s="67">
        <f>IF($B70="","",CHOOSE(WEEKDAY($B70),"日","月","火","水","木","金","土"))</f>
        <v/>
      </c>
      <c r="D70" s="69" t="n"/>
      <c r="E70" s="69" t="n"/>
      <c r="F70" s="70" t="n"/>
      <c r="G70" s="44">
        <f>IF($B70="","",IF(ISNUMBER($E70),$E70,IF(ISNUMBER($D70),$D70,ROUND(IF(N(IFERROR(INDEX('動員を入れる'!$K$8:$K$14,MATCH($C70,'動員を入れる'!$J$8:$J$14,0)),0))&gt;0,IFERROR(INDEX('動員を入れる'!$K$8:$K$14,MATCH($C70,'動員を入れる'!$J$8:$J$14,0)),0),N('設定'!$C$8)),0))))</f>
        <v/>
      </c>
    </row>
    <row r="71" ht="18" customHeight="1">
      <c r="B71" s="68">
        <f>IF(IF($C$5&lt;&gt;"",$C$5,IF('設定'!$C$6="","",DATE(YEAR('設定'!$C$6),1,1)))="","",IF($C$5&lt;&gt;"",$C$5,IF('設定'!$C$6="","",DATE(YEAR('設定'!$C$6),1,1)))+55)</f>
        <v/>
      </c>
      <c r="C71" s="67">
        <f>IF($B71="","",CHOOSE(WEEKDAY($B71),"日","月","火","水","木","金","土"))</f>
        <v/>
      </c>
      <c r="D71" s="69" t="n"/>
      <c r="E71" s="69" t="n"/>
      <c r="F71" s="70" t="n"/>
      <c r="G71" s="44">
        <f>IF($B71="","",IF(ISNUMBER($E71),$E71,IF(ISNUMBER($D71),$D71,ROUND(IF(N(IFERROR(INDEX('動員を入れる'!$K$8:$K$14,MATCH($C71,'動員を入れる'!$J$8:$J$14,0)),0))&gt;0,IFERROR(INDEX('動員を入れる'!$K$8:$K$14,MATCH($C71,'動員を入れる'!$J$8:$J$14,0)),0),N('設定'!$C$8)),0))))</f>
        <v/>
      </c>
    </row>
    <row r="72" ht="18" customHeight="1">
      <c r="B72" s="68">
        <f>IF(IF($C$5&lt;&gt;"",$C$5,IF('設定'!$C$6="","",DATE(YEAR('設定'!$C$6),1,1)))="","",IF($C$5&lt;&gt;"",$C$5,IF('設定'!$C$6="","",DATE(YEAR('設定'!$C$6),1,1)))+56)</f>
        <v/>
      </c>
      <c r="C72" s="67">
        <f>IF($B72="","",CHOOSE(WEEKDAY($B72),"日","月","火","水","木","金","土"))</f>
        <v/>
      </c>
      <c r="D72" s="69" t="n"/>
      <c r="E72" s="69" t="n"/>
      <c r="F72" s="70" t="n"/>
      <c r="G72" s="44">
        <f>IF($B72="","",IF(ISNUMBER($E72),$E72,IF(ISNUMBER($D72),$D72,ROUND(IF(N(IFERROR(INDEX('動員を入れる'!$K$8:$K$14,MATCH($C72,'動員を入れる'!$J$8:$J$14,0)),0))&gt;0,IFERROR(INDEX('動員を入れる'!$K$8:$K$14,MATCH($C72,'動員を入れる'!$J$8:$J$14,0)),0),N('設定'!$C$8)),0))))</f>
        <v/>
      </c>
    </row>
    <row r="73" ht="18" customHeight="1">
      <c r="B73" s="68">
        <f>IF(IF($C$5&lt;&gt;"",$C$5,IF('設定'!$C$6="","",DATE(YEAR('設定'!$C$6),1,1)))="","",IF($C$5&lt;&gt;"",$C$5,IF('設定'!$C$6="","",DATE(YEAR('設定'!$C$6),1,1)))+57)</f>
        <v/>
      </c>
      <c r="C73" s="67">
        <f>IF($B73="","",CHOOSE(WEEKDAY($B73),"日","月","火","水","木","金","土"))</f>
        <v/>
      </c>
      <c r="D73" s="69" t="n"/>
      <c r="E73" s="69" t="n"/>
      <c r="F73" s="70" t="n"/>
      <c r="G73" s="44">
        <f>IF($B73="","",IF(ISNUMBER($E73),$E73,IF(ISNUMBER($D73),$D73,ROUND(IF(N(IFERROR(INDEX('動員を入れる'!$K$8:$K$14,MATCH($C73,'動員を入れる'!$J$8:$J$14,0)),0))&gt;0,IFERROR(INDEX('動員を入れる'!$K$8:$K$14,MATCH($C73,'動員を入れる'!$J$8:$J$14,0)),0),N('設定'!$C$8)),0))))</f>
        <v/>
      </c>
    </row>
    <row r="74" ht="18" customHeight="1">
      <c r="B74" s="68">
        <f>IF(IF($C$5&lt;&gt;"",$C$5,IF('設定'!$C$6="","",DATE(YEAR('設定'!$C$6),1,1)))="","",IF($C$5&lt;&gt;"",$C$5,IF('設定'!$C$6="","",DATE(YEAR('設定'!$C$6),1,1)))+58)</f>
        <v/>
      </c>
      <c r="C74" s="67">
        <f>IF($B74="","",CHOOSE(WEEKDAY($B74),"日","月","火","水","木","金","土"))</f>
        <v/>
      </c>
      <c r="D74" s="69" t="n"/>
      <c r="E74" s="69" t="n"/>
      <c r="F74" s="70" t="n"/>
      <c r="G74" s="44">
        <f>IF($B74="","",IF(ISNUMBER($E74),$E74,IF(ISNUMBER($D74),$D74,ROUND(IF(N(IFERROR(INDEX('動員を入れる'!$K$8:$K$14,MATCH($C74,'動員を入れる'!$J$8:$J$14,0)),0))&gt;0,IFERROR(INDEX('動員を入れる'!$K$8:$K$14,MATCH($C74,'動員を入れる'!$J$8:$J$14,0)),0),N('設定'!$C$8)),0))))</f>
        <v/>
      </c>
    </row>
    <row r="75" ht="18" customHeight="1">
      <c r="B75" s="68">
        <f>IF(IF($C$5&lt;&gt;"",$C$5,IF('設定'!$C$6="","",DATE(YEAR('設定'!$C$6),1,1)))="","",IF($C$5&lt;&gt;"",$C$5,IF('設定'!$C$6="","",DATE(YEAR('設定'!$C$6),1,1)))+59)</f>
        <v/>
      </c>
      <c r="C75" s="67">
        <f>IF($B75="","",CHOOSE(WEEKDAY($B75),"日","月","火","水","木","金","土"))</f>
        <v/>
      </c>
      <c r="D75" s="69" t="n"/>
      <c r="E75" s="69" t="n"/>
      <c r="F75" s="70" t="n"/>
      <c r="G75" s="44">
        <f>IF($B75="","",IF(ISNUMBER($E75),$E75,IF(ISNUMBER($D75),$D75,ROUND(IF(N(IFERROR(INDEX('動員を入れる'!$K$8:$K$14,MATCH($C75,'動員を入れる'!$J$8:$J$14,0)),0))&gt;0,IFERROR(INDEX('動員を入れる'!$K$8:$K$14,MATCH($C75,'動員を入れる'!$J$8:$J$14,0)),0),N('設定'!$C$8)),0))))</f>
        <v/>
      </c>
    </row>
    <row r="76" ht="18" customHeight="1">
      <c r="B76" s="68">
        <f>IF(IF($C$5&lt;&gt;"",$C$5,IF('設定'!$C$6="","",DATE(YEAR('設定'!$C$6),1,1)))="","",IF($C$5&lt;&gt;"",$C$5,IF('設定'!$C$6="","",DATE(YEAR('設定'!$C$6),1,1)))+60)</f>
        <v/>
      </c>
      <c r="C76" s="67">
        <f>IF($B76="","",CHOOSE(WEEKDAY($B76),"日","月","火","水","木","金","土"))</f>
        <v/>
      </c>
      <c r="D76" s="69" t="n"/>
      <c r="E76" s="69" t="n"/>
      <c r="F76" s="70" t="n"/>
      <c r="G76" s="44">
        <f>IF($B76="","",IF(ISNUMBER($E76),$E76,IF(ISNUMBER($D76),$D76,ROUND(IF(N(IFERROR(INDEX('動員を入れる'!$K$8:$K$14,MATCH($C76,'動員を入れる'!$J$8:$J$14,0)),0))&gt;0,IFERROR(INDEX('動員を入れる'!$K$8:$K$14,MATCH($C76,'動員を入れる'!$J$8:$J$14,0)),0),N('設定'!$C$8)),0))))</f>
        <v/>
      </c>
    </row>
    <row r="77" ht="18" customHeight="1">
      <c r="B77" s="68">
        <f>IF(IF($C$5&lt;&gt;"",$C$5,IF('設定'!$C$6="","",DATE(YEAR('設定'!$C$6),1,1)))="","",IF($C$5&lt;&gt;"",$C$5,IF('設定'!$C$6="","",DATE(YEAR('設定'!$C$6),1,1)))+61)</f>
        <v/>
      </c>
      <c r="C77" s="67">
        <f>IF($B77="","",CHOOSE(WEEKDAY($B77),"日","月","火","水","木","金","土"))</f>
        <v/>
      </c>
      <c r="D77" s="69" t="n"/>
      <c r="E77" s="69" t="n"/>
      <c r="F77" s="70" t="n"/>
      <c r="G77" s="44">
        <f>IF($B77="","",IF(ISNUMBER($E77),$E77,IF(ISNUMBER($D77),$D77,ROUND(IF(N(IFERROR(INDEX('動員を入れる'!$K$8:$K$14,MATCH($C77,'動員を入れる'!$J$8:$J$14,0)),0))&gt;0,IFERROR(INDEX('動員を入れる'!$K$8:$K$14,MATCH($C77,'動員を入れる'!$J$8:$J$14,0)),0),N('設定'!$C$8)),0))))</f>
        <v/>
      </c>
    </row>
    <row r="78" ht="18" customHeight="1">
      <c r="B78" s="68">
        <f>IF(IF($C$5&lt;&gt;"",$C$5,IF('設定'!$C$6="","",DATE(YEAR('設定'!$C$6),1,1)))="","",IF($C$5&lt;&gt;"",$C$5,IF('設定'!$C$6="","",DATE(YEAR('設定'!$C$6),1,1)))+62)</f>
        <v/>
      </c>
      <c r="C78" s="67">
        <f>IF($B78="","",CHOOSE(WEEKDAY($B78),"日","月","火","水","木","金","土"))</f>
        <v/>
      </c>
      <c r="D78" s="69" t="n"/>
      <c r="E78" s="69" t="n"/>
      <c r="F78" s="70" t="n"/>
      <c r="G78" s="44">
        <f>IF($B78="","",IF(ISNUMBER($E78),$E78,IF(ISNUMBER($D78),$D78,ROUND(IF(N(IFERROR(INDEX('動員を入れる'!$K$8:$K$14,MATCH($C78,'動員を入れる'!$J$8:$J$14,0)),0))&gt;0,IFERROR(INDEX('動員を入れる'!$K$8:$K$14,MATCH($C78,'動員を入れる'!$J$8:$J$14,0)),0),N('設定'!$C$8)),0))))</f>
        <v/>
      </c>
    </row>
    <row r="79" ht="18" customHeight="1">
      <c r="B79" s="68">
        <f>IF(IF($C$5&lt;&gt;"",$C$5,IF('設定'!$C$6="","",DATE(YEAR('設定'!$C$6),1,1)))="","",IF($C$5&lt;&gt;"",$C$5,IF('設定'!$C$6="","",DATE(YEAR('設定'!$C$6),1,1)))+63)</f>
        <v/>
      </c>
      <c r="C79" s="67">
        <f>IF($B79="","",CHOOSE(WEEKDAY($B79),"日","月","火","水","木","金","土"))</f>
        <v/>
      </c>
      <c r="D79" s="69" t="n"/>
      <c r="E79" s="69" t="n"/>
      <c r="F79" s="70" t="n"/>
      <c r="G79" s="44">
        <f>IF($B79="","",IF(ISNUMBER($E79),$E79,IF(ISNUMBER($D79),$D79,ROUND(IF(N(IFERROR(INDEX('動員を入れる'!$K$8:$K$14,MATCH($C79,'動員を入れる'!$J$8:$J$14,0)),0))&gt;0,IFERROR(INDEX('動員を入れる'!$K$8:$K$14,MATCH($C79,'動員を入れる'!$J$8:$J$14,0)),0),N('設定'!$C$8)),0))))</f>
        <v/>
      </c>
    </row>
    <row r="80" ht="18" customHeight="1">
      <c r="B80" s="68">
        <f>IF(IF($C$5&lt;&gt;"",$C$5,IF('設定'!$C$6="","",DATE(YEAR('設定'!$C$6),1,1)))="","",IF($C$5&lt;&gt;"",$C$5,IF('設定'!$C$6="","",DATE(YEAR('設定'!$C$6),1,1)))+64)</f>
        <v/>
      </c>
      <c r="C80" s="67">
        <f>IF($B80="","",CHOOSE(WEEKDAY($B80),"日","月","火","水","木","金","土"))</f>
        <v/>
      </c>
      <c r="D80" s="69" t="n"/>
      <c r="E80" s="69" t="n"/>
      <c r="F80" s="70" t="n"/>
      <c r="G80" s="44">
        <f>IF($B80="","",IF(ISNUMBER($E80),$E80,IF(ISNUMBER($D80),$D80,ROUND(IF(N(IFERROR(INDEX('動員を入れる'!$K$8:$K$14,MATCH($C80,'動員を入れる'!$J$8:$J$14,0)),0))&gt;0,IFERROR(INDEX('動員を入れる'!$K$8:$K$14,MATCH($C80,'動員を入れる'!$J$8:$J$14,0)),0),N('設定'!$C$8)),0))))</f>
        <v/>
      </c>
    </row>
    <row r="81" ht="18" customHeight="1">
      <c r="B81" s="68">
        <f>IF(IF($C$5&lt;&gt;"",$C$5,IF('設定'!$C$6="","",DATE(YEAR('設定'!$C$6),1,1)))="","",IF($C$5&lt;&gt;"",$C$5,IF('設定'!$C$6="","",DATE(YEAR('設定'!$C$6),1,1)))+65)</f>
        <v/>
      </c>
      <c r="C81" s="67">
        <f>IF($B81="","",CHOOSE(WEEKDAY($B81),"日","月","火","水","木","金","土"))</f>
        <v/>
      </c>
      <c r="D81" s="69" t="n"/>
      <c r="E81" s="69" t="n"/>
      <c r="F81" s="70" t="n"/>
      <c r="G81" s="44">
        <f>IF($B81="","",IF(ISNUMBER($E81),$E81,IF(ISNUMBER($D81),$D81,ROUND(IF(N(IFERROR(INDEX('動員を入れる'!$K$8:$K$14,MATCH($C81,'動員を入れる'!$J$8:$J$14,0)),0))&gt;0,IFERROR(INDEX('動員を入れる'!$K$8:$K$14,MATCH($C81,'動員を入れる'!$J$8:$J$14,0)),0),N('設定'!$C$8)),0))))</f>
        <v/>
      </c>
    </row>
    <row r="82" ht="18" customHeight="1">
      <c r="B82" s="68">
        <f>IF(IF($C$5&lt;&gt;"",$C$5,IF('設定'!$C$6="","",DATE(YEAR('設定'!$C$6),1,1)))="","",IF($C$5&lt;&gt;"",$C$5,IF('設定'!$C$6="","",DATE(YEAR('設定'!$C$6),1,1)))+66)</f>
        <v/>
      </c>
      <c r="C82" s="67">
        <f>IF($B82="","",CHOOSE(WEEKDAY($B82),"日","月","火","水","木","金","土"))</f>
        <v/>
      </c>
      <c r="D82" s="69" t="n"/>
      <c r="E82" s="69" t="n"/>
      <c r="F82" s="70" t="n"/>
      <c r="G82" s="44">
        <f>IF($B82="","",IF(ISNUMBER($E82),$E82,IF(ISNUMBER($D82),$D82,ROUND(IF(N(IFERROR(INDEX('動員を入れる'!$K$8:$K$14,MATCH($C82,'動員を入れる'!$J$8:$J$14,0)),0))&gt;0,IFERROR(INDEX('動員を入れる'!$K$8:$K$14,MATCH($C82,'動員を入れる'!$J$8:$J$14,0)),0),N('設定'!$C$8)),0))))</f>
        <v/>
      </c>
    </row>
    <row r="83" ht="18" customHeight="1">
      <c r="B83" s="68">
        <f>IF(IF($C$5&lt;&gt;"",$C$5,IF('設定'!$C$6="","",DATE(YEAR('設定'!$C$6),1,1)))="","",IF($C$5&lt;&gt;"",$C$5,IF('設定'!$C$6="","",DATE(YEAR('設定'!$C$6),1,1)))+67)</f>
        <v/>
      </c>
      <c r="C83" s="67">
        <f>IF($B83="","",CHOOSE(WEEKDAY($B83),"日","月","火","水","木","金","土"))</f>
        <v/>
      </c>
      <c r="D83" s="69" t="n"/>
      <c r="E83" s="69" t="n"/>
      <c r="F83" s="70" t="n"/>
      <c r="G83" s="44">
        <f>IF($B83="","",IF(ISNUMBER($E83),$E83,IF(ISNUMBER($D83),$D83,ROUND(IF(N(IFERROR(INDEX('動員を入れる'!$K$8:$K$14,MATCH($C83,'動員を入れる'!$J$8:$J$14,0)),0))&gt;0,IFERROR(INDEX('動員を入れる'!$K$8:$K$14,MATCH($C83,'動員を入れる'!$J$8:$J$14,0)),0),N('設定'!$C$8)),0))))</f>
        <v/>
      </c>
    </row>
    <row r="84" ht="18" customHeight="1">
      <c r="B84" s="68">
        <f>IF(IF($C$5&lt;&gt;"",$C$5,IF('設定'!$C$6="","",DATE(YEAR('設定'!$C$6),1,1)))="","",IF($C$5&lt;&gt;"",$C$5,IF('設定'!$C$6="","",DATE(YEAR('設定'!$C$6),1,1)))+68)</f>
        <v/>
      </c>
      <c r="C84" s="67">
        <f>IF($B84="","",CHOOSE(WEEKDAY($B84),"日","月","火","水","木","金","土"))</f>
        <v/>
      </c>
      <c r="D84" s="69" t="n"/>
      <c r="E84" s="69" t="n"/>
      <c r="F84" s="70" t="n"/>
      <c r="G84" s="44">
        <f>IF($B84="","",IF(ISNUMBER($E84),$E84,IF(ISNUMBER($D84),$D84,ROUND(IF(N(IFERROR(INDEX('動員を入れる'!$K$8:$K$14,MATCH($C84,'動員を入れる'!$J$8:$J$14,0)),0))&gt;0,IFERROR(INDEX('動員を入れる'!$K$8:$K$14,MATCH($C84,'動員を入れる'!$J$8:$J$14,0)),0),N('設定'!$C$8)),0))))</f>
        <v/>
      </c>
    </row>
    <row r="85" ht="18" customHeight="1">
      <c r="B85" s="68">
        <f>IF(IF($C$5&lt;&gt;"",$C$5,IF('設定'!$C$6="","",DATE(YEAR('設定'!$C$6),1,1)))="","",IF($C$5&lt;&gt;"",$C$5,IF('設定'!$C$6="","",DATE(YEAR('設定'!$C$6),1,1)))+69)</f>
        <v/>
      </c>
      <c r="C85" s="67">
        <f>IF($B85="","",CHOOSE(WEEKDAY($B85),"日","月","火","水","木","金","土"))</f>
        <v/>
      </c>
      <c r="D85" s="69" t="n"/>
      <c r="E85" s="69" t="n"/>
      <c r="F85" s="70" t="n"/>
      <c r="G85" s="44">
        <f>IF($B85="","",IF(ISNUMBER($E85),$E85,IF(ISNUMBER($D85),$D85,ROUND(IF(N(IFERROR(INDEX('動員を入れる'!$K$8:$K$14,MATCH($C85,'動員を入れる'!$J$8:$J$14,0)),0))&gt;0,IFERROR(INDEX('動員を入れる'!$K$8:$K$14,MATCH($C85,'動員を入れる'!$J$8:$J$14,0)),0),N('設定'!$C$8)),0))))</f>
        <v/>
      </c>
    </row>
    <row r="86" ht="18" customHeight="1">
      <c r="B86" s="68">
        <f>IF(IF($C$5&lt;&gt;"",$C$5,IF('設定'!$C$6="","",DATE(YEAR('設定'!$C$6),1,1)))="","",IF($C$5&lt;&gt;"",$C$5,IF('設定'!$C$6="","",DATE(YEAR('設定'!$C$6),1,1)))+70)</f>
        <v/>
      </c>
      <c r="C86" s="67">
        <f>IF($B86="","",CHOOSE(WEEKDAY($B86),"日","月","火","水","木","金","土"))</f>
        <v/>
      </c>
      <c r="D86" s="69" t="n"/>
      <c r="E86" s="69" t="n"/>
      <c r="F86" s="70" t="n"/>
      <c r="G86" s="44">
        <f>IF($B86="","",IF(ISNUMBER($E86),$E86,IF(ISNUMBER($D86),$D86,ROUND(IF(N(IFERROR(INDEX('動員を入れる'!$K$8:$K$14,MATCH($C86,'動員を入れる'!$J$8:$J$14,0)),0))&gt;0,IFERROR(INDEX('動員を入れる'!$K$8:$K$14,MATCH($C86,'動員を入れる'!$J$8:$J$14,0)),0),N('設定'!$C$8)),0))))</f>
        <v/>
      </c>
    </row>
    <row r="87" ht="18" customHeight="1">
      <c r="B87" s="68">
        <f>IF(IF($C$5&lt;&gt;"",$C$5,IF('設定'!$C$6="","",DATE(YEAR('設定'!$C$6),1,1)))="","",IF($C$5&lt;&gt;"",$C$5,IF('設定'!$C$6="","",DATE(YEAR('設定'!$C$6),1,1)))+71)</f>
        <v/>
      </c>
      <c r="C87" s="67">
        <f>IF($B87="","",CHOOSE(WEEKDAY($B87),"日","月","火","水","木","金","土"))</f>
        <v/>
      </c>
      <c r="D87" s="69" t="n"/>
      <c r="E87" s="69" t="n"/>
      <c r="F87" s="70" t="n"/>
      <c r="G87" s="44">
        <f>IF($B87="","",IF(ISNUMBER($E87),$E87,IF(ISNUMBER($D87),$D87,ROUND(IF(N(IFERROR(INDEX('動員を入れる'!$K$8:$K$14,MATCH($C87,'動員を入れる'!$J$8:$J$14,0)),0))&gt;0,IFERROR(INDEX('動員を入れる'!$K$8:$K$14,MATCH($C87,'動員を入れる'!$J$8:$J$14,0)),0),N('設定'!$C$8)),0))))</f>
        <v/>
      </c>
    </row>
    <row r="88" ht="18" customHeight="1">
      <c r="B88" s="68">
        <f>IF(IF($C$5&lt;&gt;"",$C$5,IF('設定'!$C$6="","",DATE(YEAR('設定'!$C$6),1,1)))="","",IF($C$5&lt;&gt;"",$C$5,IF('設定'!$C$6="","",DATE(YEAR('設定'!$C$6),1,1)))+72)</f>
        <v/>
      </c>
      <c r="C88" s="67">
        <f>IF($B88="","",CHOOSE(WEEKDAY($B88),"日","月","火","水","木","金","土"))</f>
        <v/>
      </c>
      <c r="D88" s="69" t="n"/>
      <c r="E88" s="69" t="n"/>
      <c r="F88" s="70" t="n"/>
      <c r="G88" s="44">
        <f>IF($B88="","",IF(ISNUMBER($E88),$E88,IF(ISNUMBER($D88),$D88,ROUND(IF(N(IFERROR(INDEX('動員を入れる'!$K$8:$K$14,MATCH($C88,'動員を入れる'!$J$8:$J$14,0)),0))&gt;0,IFERROR(INDEX('動員を入れる'!$K$8:$K$14,MATCH($C88,'動員を入れる'!$J$8:$J$14,0)),0),N('設定'!$C$8)),0))))</f>
        <v/>
      </c>
    </row>
    <row r="89" ht="18" customHeight="1">
      <c r="B89" s="68">
        <f>IF(IF($C$5&lt;&gt;"",$C$5,IF('設定'!$C$6="","",DATE(YEAR('設定'!$C$6),1,1)))="","",IF($C$5&lt;&gt;"",$C$5,IF('設定'!$C$6="","",DATE(YEAR('設定'!$C$6),1,1)))+73)</f>
        <v/>
      </c>
      <c r="C89" s="67">
        <f>IF($B89="","",CHOOSE(WEEKDAY($B89),"日","月","火","水","木","金","土"))</f>
        <v/>
      </c>
      <c r="D89" s="69" t="n"/>
      <c r="E89" s="69" t="n"/>
      <c r="F89" s="70" t="n"/>
      <c r="G89" s="44">
        <f>IF($B89="","",IF(ISNUMBER($E89),$E89,IF(ISNUMBER($D89),$D89,ROUND(IF(N(IFERROR(INDEX('動員を入れる'!$K$8:$K$14,MATCH($C89,'動員を入れる'!$J$8:$J$14,0)),0))&gt;0,IFERROR(INDEX('動員を入れる'!$K$8:$K$14,MATCH($C89,'動員を入れる'!$J$8:$J$14,0)),0),N('設定'!$C$8)),0))))</f>
        <v/>
      </c>
    </row>
    <row r="90" ht="18" customHeight="1">
      <c r="B90" s="68">
        <f>IF(IF($C$5&lt;&gt;"",$C$5,IF('設定'!$C$6="","",DATE(YEAR('設定'!$C$6),1,1)))="","",IF($C$5&lt;&gt;"",$C$5,IF('設定'!$C$6="","",DATE(YEAR('設定'!$C$6),1,1)))+74)</f>
        <v/>
      </c>
      <c r="C90" s="67">
        <f>IF($B90="","",CHOOSE(WEEKDAY($B90),"日","月","火","水","木","金","土"))</f>
        <v/>
      </c>
      <c r="D90" s="69" t="n"/>
      <c r="E90" s="69" t="n"/>
      <c r="F90" s="70" t="n"/>
      <c r="G90" s="44">
        <f>IF($B90="","",IF(ISNUMBER($E90),$E90,IF(ISNUMBER($D90),$D90,ROUND(IF(N(IFERROR(INDEX('動員を入れる'!$K$8:$K$14,MATCH($C90,'動員を入れる'!$J$8:$J$14,0)),0))&gt;0,IFERROR(INDEX('動員を入れる'!$K$8:$K$14,MATCH($C90,'動員を入れる'!$J$8:$J$14,0)),0),N('設定'!$C$8)),0))))</f>
        <v/>
      </c>
    </row>
    <row r="91" ht="18" customHeight="1">
      <c r="B91" s="68">
        <f>IF(IF($C$5&lt;&gt;"",$C$5,IF('設定'!$C$6="","",DATE(YEAR('設定'!$C$6),1,1)))="","",IF($C$5&lt;&gt;"",$C$5,IF('設定'!$C$6="","",DATE(YEAR('設定'!$C$6),1,1)))+75)</f>
        <v/>
      </c>
      <c r="C91" s="67">
        <f>IF($B91="","",CHOOSE(WEEKDAY($B91),"日","月","火","水","木","金","土"))</f>
        <v/>
      </c>
      <c r="D91" s="69" t="n"/>
      <c r="E91" s="69" t="n"/>
      <c r="F91" s="70" t="n"/>
      <c r="G91" s="44">
        <f>IF($B91="","",IF(ISNUMBER($E91),$E91,IF(ISNUMBER($D91),$D91,ROUND(IF(N(IFERROR(INDEX('動員を入れる'!$K$8:$K$14,MATCH($C91,'動員を入れる'!$J$8:$J$14,0)),0))&gt;0,IFERROR(INDEX('動員を入れる'!$K$8:$K$14,MATCH($C91,'動員を入れる'!$J$8:$J$14,0)),0),N('設定'!$C$8)),0))))</f>
        <v/>
      </c>
    </row>
    <row r="92" ht="18" customHeight="1">
      <c r="B92" s="68">
        <f>IF(IF($C$5&lt;&gt;"",$C$5,IF('設定'!$C$6="","",DATE(YEAR('設定'!$C$6),1,1)))="","",IF($C$5&lt;&gt;"",$C$5,IF('設定'!$C$6="","",DATE(YEAR('設定'!$C$6),1,1)))+76)</f>
        <v/>
      </c>
      <c r="C92" s="67">
        <f>IF($B92="","",CHOOSE(WEEKDAY($B92),"日","月","火","水","木","金","土"))</f>
        <v/>
      </c>
      <c r="D92" s="69" t="n"/>
      <c r="E92" s="69" t="n"/>
      <c r="F92" s="70" t="n"/>
      <c r="G92" s="44">
        <f>IF($B92="","",IF(ISNUMBER($E92),$E92,IF(ISNUMBER($D92),$D92,ROUND(IF(N(IFERROR(INDEX('動員を入れる'!$K$8:$K$14,MATCH($C92,'動員を入れる'!$J$8:$J$14,0)),0))&gt;0,IFERROR(INDEX('動員を入れる'!$K$8:$K$14,MATCH($C92,'動員を入れる'!$J$8:$J$14,0)),0),N('設定'!$C$8)),0))))</f>
        <v/>
      </c>
    </row>
    <row r="93" ht="18" customHeight="1">
      <c r="B93" s="68">
        <f>IF(IF($C$5&lt;&gt;"",$C$5,IF('設定'!$C$6="","",DATE(YEAR('設定'!$C$6),1,1)))="","",IF($C$5&lt;&gt;"",$C$5,IF('設定'!$C$6="","",DATE(YEAR('設定'!$C$6),1,1)))+77)</f>
        <v/>
      </c>
      <c r="C93" s="67">
        <f>IF($B93="","",CHOOSE(WEEKDAY($B93),"日","月","火","水","木","金","土"))</f>
        <v/>
      </c>
      <c r="D93" s="69" t="n"/>
      <c r="E93" s="69" t="n"/>
      <c r="F93" s="70" t="n"/>
      <c r="G93" s="44">
        <f>IF($B93="","",IF(ISNUMBER($E93),$E93,IF(ISNUMBER($D93),$D93,ROUND(IF(N(IFERROR(INDEX('動員を入れる'!$K$8:$K$14,MATCH($C93,'動員を入れる'!$J$8:$J$14,0)),0))&gt;0,IFERROR(INDEX('動員を入れる'!$K$8:$K$14,MATCH($C93,'動員を入れる'!$J$8:$J$14,0)),0),N('設定'!$C$8)),0))))</f>
        <v/>
      </c>
    </row>
    <row r="94" ht="18" customHeight="1">
      <c r="B94" s="68">
        <f>IF(IF($C$5&lt;&gt;"",$C$5,IF('設定'!$C$6="","",DATE(YEAR('設定'!$C$6),1,1)))="","",IF($C$5&lt;&gt;"",$C$5,IF('設定'!$C$6="","",DATE(YEAR('設定'!$C$6),1,1)))+78)</f>
        <v/>
      </c>
      <c r="C94" s="67">
        <f>IF($B94="","",CHOOSE(WEEKDAY($B94),"日","月","火","水","木","金","土"))</f>
        <v/>
      </c>
      <c r="D94" s="69" t="n"/>
      <c r="E94" s="69" t="n"/>
      <c r="F94" s="70" t="n"/>
      <c r="G94" s="44">
        <f>IF($B94="","",IF(ISNUMBER($E94),$E94,IF(ISNUMBER($D94),$D94,ROUND(IF(N(IFERROR(INDEX('動員を入れる'!$K$8:$K$14,MATCH($C94,'動員を入れる'!$J$8:$J$14,0)),0))&gt;0,IFERROR(INDEX('動員を入れる'!$K$8:$K$14,MATCH($C94,'動員を入れる'!$J$8:$J$14,0)),0),N('設定'!$C$8)),0))))</f>
        <v/>
      </c>
    </row>
    <row r="95" ht="18" customHeight="1">
      <c r="B95" s="68">
        <f>IF(IF($C$5&lt;&gt;"",$C$5,IF('設定'!$C$6="","",DATE(YEAR('設定'!$C$6),1,1)))="","",IF($C$5&lt;&gt;"",$C$5,IF('設定'!$C$6="","",DATE(YEAR('設定'!$C$6),1,1)))+79)</f>
        <v/>
      </c>
      <c r="C95" s="67">
        <f>IF($B95="","",CHOOSE(WEEKDAY($B95),"日","月","火","水","木","金","土"))</f>
        <v/>
      </c>
      <c r="D95" s="69" t="n"/>
      <c r="E95" s="69" t="n"/>
      <c r="F95" s="70" t="n"/>
      <c r="G95" s="44">
        <f>IF($B95="","",IF(ISNUMBER($E95),$E95,IF(ISNUMBER($D95),$D95,ROUND(IF(N(IFERROR(INDEX('動員を入れる'!$K$8:$K$14,MATCH($C95,'動員を入れる'!$J$8:$J$14,0)),0))&gt;0,IFERROR(INDEX('動員を入れる'!$K$8:$K$14,MATCH($C95,'動員を入れる'!$J$8:$J$14,0)),0),N('設定'!$C$8)),0))))</f>
        <v/>
      </c>
    </row>
    <row r="96" ht="18" customHeight="1">
      <c r="B96" s="68">
        <f>IF(IF($C$5&lt;&gt;"",$C$5,IF('設定'!$C$6="","",DATE(YEAR('設定'!$C$6),1,1)))="","",IF($C$5&lt;&gt;"",$C$5,IF('設定'!$C$6="","",DATE(YEAR('設定'!$C$6),1,1)))+80)</f>
        <v/>
      </c>
      <c r="C96" s="67">
        <f>IF($B96="","",CHOOSE(WEEKDAY($B96),"日","月","火","水","木","金","土"))</f>
        <v/>
      </c>
      <c r="D96" s="69" t="n"/>
      <c r="E96" s="69" t="n"/>
      <c r="F96" s="70" t="n"/>
      <c r="G96" s="44">
        <f>IF($B96="","",IF(ISNUMBER($E96),$E96,IF(ISNUMBER($D96),$D96,ROUND(IF(N(IFERROR(INDEX('動員を入れる'!$K$8:$K$14,MATCH($C96,'動員を入れる'!$J$8:$J$14,0)),0))&gt;0,IFERROR(INDEX('動員を入れる'!$K$8:$K$14,MATCH($C96,'動員を入れる'!$J$8:$J$14,0)),0),N('設定'!$C$8)),0))))</f>
        <v/>
      </c>
    </row>
    <row r="97" ht="18" customHeight="1">
      <c r="B97" s="68">
        <f>IF(IF($C$5&lt;&gt;"",$C$5,IF('設定'!$C$6="","",DATE(YEAR('設定'!$C$6),1,1)))="","",IF($C$5&lt;&gt;"",$C$5,IF('設定'!$C$6="","",DATE(YEAR('設定'!$C$6),1,1)))+81)</f>
        <v/>
      </c>
      <c r="C97" s="67">
        <f>IF($B97="","",CHOOSE(WEEKDAY($B97),"日","月","火","水","木","金","土"))</f>
        <v/>
      </c>
      <c r="D97" s="69" t="n"/>
      <c r="E97" s="69" t="n"/>
      <c r="F97" s="70" t="n"/>
      <c r="G97" s="44">
        <f>IF($B97="","",IF(ISNUMBER($E97),$E97,IF(ISNUMBER($D97),$D97,ROUND(IF(N(IFERROR(INDEX('動員を入れる'!$K$8:$K$14,MATCH($C97,'動員を入れる'!$J$8:$J$14,0)),0))&gt;0,IFERROR(INDEX('動員を入れる'!$K$8:$K$14,MATCH($C97,'動員を入れる'!$J$8:$J$14,0)),0),N('設定'!$C$8)),0))))</f>
        <v/>
      </c>
    </row>
    <row r="98" ht="18" customHeight="1">
      <c r="B98" s="68">
        <f>IF(IF($C$5&lt;&gt;"",$C$5,IF('設定'!$C$6="","",DATE(YEAR('設定'!$C$6),1,1)))="","",IF($C$5&lt;&gt;"",$C$5,IF('設定'!$C$6="","",DATE(YEAR('設定'!$C$6),1,1)))+82)</f>
        <v/>
      </c>
      <c r="C98" s="67">
        <f>IF($B98="","",CHOOSE(WEEKDAY($B98),"日","月","火","水","木","金","土"))</f>
        <v/>
      </c>
      <c r="D98" s="69" t="n"/>
      <c r="E98" s="69" t="n"/>
      <c r="F98" s="70" t="n"/>
      <c r="G98" s="44">
        <f>IF($B98="","",IF(ISNUMBER($E98),$E98,IF(ISNUMBER($D98),$D98,ROUND(IF(N(IFERROR(INDEX('動員を入れる'!$K$8:$K$14,MATCH($C98,'動員を入れる'!$J$8:$J$14,0)),0))&gt;0,IFERROR(INDEX('動員を入れる'!$K$8:$K$14,MATCH($C98,'動員を入れる'!$J$8:$J$14,0)),0),N('設定'!$C$8)),0))))</f>
        <v/>
      </c>
    </row>
    <row r="99" ht="18" customHeight="1">
      <c r="B99" s="68">
        <f>IF(IF($C$5&lt;&gt;"",$C$5,IF('設定'!$C$6="","",DATE(YEAR('設定'!$C$6),1,1)))="","",IF($C$5&lt;&gt;"",$C$5,IF('設定'!$C$6="","",DATE(YEAR('設定'!$C$6),1,1)))+83)</f>
        <v/>
      </c>
      <c r="C99" s="67">
        <f>IF($B99="","",CHOOSE(WEEKDAY($B99),"日","月","火","水","木","金","土"))</f>
        <v/>
      </c>
      <c r="D99" s="69" t="n"/>
      <c r="E99" s="69" t="n"/>
      <c r="F99" s="70" t="n"/>
      <c r="G99" s="44">
        <f>IF($B99="","",IF(ISNUMBER($E99),$E99,IF(ISNUMBER($D99),$D99,ROUND(IF(N(IFERROR(INDEX('動員を入れる'!$K$8:$K$14,MATCH($C99,'動員を入れる'!$J$8:$J$14,0)),0))&gt;0,IFERROR(INDEX('動員を入れる'!$K$8:$K$14,MATCH($C99,'動員を入れる'!$J$8:$J$14,0)),0),N('設定'!$C$8)),0))))</f>
        <v/>
      </c>
    </row>
    <row r="100" ht="18" customHeight="1">
      <c r="B100" s="68">
        <f>IF(IF($C$5&lt;&gt;"",$C$5,IF('設定'!$C$6="","",DATE(YEAR('設定'!$C$6),1,1)))="","",IF($C$5&lt;&gt;"",$C$5,IF('設定'!$C$6="","",DATE(YEAR('設定'!$C$6),1,1)))+84)</f>
        <v/>
      </c>
      <c r="C100" s="67">
        <f>IF($B100="","",CHOOSE(WEEKDAY($B100),"日","月","火","水","木","金","土"))</f>
        <v/>
      </c>
      <c r="D100" s="69" t="n"/>
      <c r="E100" s="69" t="n"/>
      <c r="F100" s="70" t="n"/>
      <c r="G100" s="44">
        <f>IF($B100="","",IF(ISNUMBER($E100),$E100,IF(ISNUMBER($D100),$D100,ROUND(IF(N(IFERROR(INDEX('動員を入れる'!$K$8:$K$14,MATCH($C100,'動員を入れる'!$J$8:$J$14,0)),0))&gt;0,IFERROR(INDEX('動員を入れる'!$K$8:$K$14,MATCH($C100,'動員を入れる'!$J$8:$J$14,0)),0),N('設定'!$C$8)),0))))</f>
        <v/>
      </c>
    </row>
    <row r="101" ht="18" customHeight="1">
      <c r="B101" s="68">
        <f>IF(IF($C$5&lt;&gt;"",$C$5,IF('設定'!$C$6="","",DATE(YEAR('設定'!$C$6),1,1)))="","",IF($C$5&lt;&gt;"",$C$5,IF('設定'!$C$6="","",DATE(YEAR('設定'!$C$6),1,1)))+85)</f>
        <v/>
      </c>
      <c r="C101" s="67">
        <f>IF($B101="","",CHOOSE(WEEKDAY($B101),"日","月","火","水","木","金","土"))</f>
        <v/>
      </c>
      <c r="D101" s="69" t="n"/>
      <c r="E101" s="69" t="n"/>
      <c r="F101" s="70" t="n"/>
      <c r="G101" s="44">
        <f>IF($B101="","",IF(ISNUMBER($E101),$E101,IF(ISNUMBER($D101),$D101,ROUND(IF(N(IFERROR(INDEX('動員を入れる'!$K$8:$K$14,MATCH($C101,'動員を入れる'!$J$8:$J$14,0)),0))&gt;0,IFERROR(INDEX('動員を入れる'!$K$8:$K$14,MATCH($C101,'動員を入れる'!$J$8:$J$14,0)),0),N('設定'!$C$8)),0))))</f>
        <v/>
      </c>
    </row>
    <row r="102" ht="18" customHeight="1">
      <c r="B102" s="68">
        <f>IF(IF($C$5&lt;&gt;"",$C$5,IF('設定'!$C$6="","",DATE(YEAR('設定'!$C$6),1,1)))="","",IF($C$5&lt;&gt;"",$C$5,IF('設定'!$C$6="","",DATE(YEAR('設定'!$C$6),1,1)))+86)</f>
        <v/>
      </c>
      <c r="C102" s="67">
        <f>IF($B102="","",CHOOSE(WEEKDAY($B102),"日","月","火","水","木","金","土"))</f>
        <v/>
      </c>
      <c r="D102" s="69" t="n"/>
      <c r="E102" s="69" t="n"/>
      <c r="F102" s="70" t="n"/>
      <c r="G102" s="44">
        <f>IF($B102="","",IF(ISNUMBER($E102),$E102,IF(ISNUMBER($D102),$D102,ROUND(IF(N(IFERROR(INDEX('動員を入れる'!$K$8:$K$14,MATCH($C102,'動員を入れる'!$J$8:$J$14,0)),0))&gt;0,IFERROR(INDEX('動員を入れる'!$K$8:$K$14,MATCH($C102,'動員を入れる'!$J$8:$J$14,0)),0),N('設定'!$C$8)),0))))</f>
        <v/>
      </c>
    </row>
    <row r="103" ht="18" customHeight="1">
      <c r="B103" s="68">
        <f>IF(IF($C$5&lt;&gt;"",$C$5,IF('設定'!$C$6="","",DATE(YEAR('設定'!$C$6),1,1)))="","",IF($C$5&lt;&gt;"",$C$5,IF('設定'!$C$6="","",DATE(YEAR('設定'!$C$6),1,1)))+87)</f>
        <v/>
      </c>
      <c r="C103" s="67">
        <f>IF($B103="","",CHOOSE(WEEKDAY($B103),"日","月","火","水","木","金","土"))</f>
        <v/>
      </c>
      <c r="D103" s="69" t="n"/>
      <c r="E103" s="69" t="n"/>
      <c r="F103" s="70" t="n"/>
      <c r="G103" s="44">
        <f>IF($B103="","",IF(ISNUMBER($E103),$E103,IF(ISNUMBER($D103),$D103,ROUND(IF(N(IFERROR(INDEX('動員を入れる'!$K$8:$K$14,MATCH($C103,'動員を入れる'!$J$8:$J$14,0)),0))&gt;0,IFERROR(INDEX('動員を入れる'!$K$8:$K$14,MATCH($C103,'動員を入れる'!$J$8:$J$14,0)),0),N('設定'!$C$8)),0))))</f>
        <v/>
      </c>
    </row>
    <row r="104" ht="18" customHeight="1">
      <c r="B104" s="68">
        <f>IF(IF($C$5&lt;&gt;"",$C$5,IF('設定'!$C$6="","",DATE(YEAR('設定'!$C$6),1,1)))="","",IF($C$5&lt;&gt;"",$C$5,IF('設定'!$C$6="","",DATE(YEAR('設定'!$C$6),1,1)))+88)</f>
        <v/>
      </c>
      <c r="C104" s="67">
        <f>IF($B104="","",CHOOSE(WEEKDAY($B104),"日","月","火","水","木","金","土"))</f>
        <v/>
      </c>
      <c r="D104" s="69" t="n"/>
      <c r="E104" s="69" t="n"/>
      <c r="F104" s="70" t="n"/>
      <c r="G104" s="44">
        <f>IF($B104="","",IF(ISNUMBER($E104),$E104,IF(ISNUMBER($D104),$D104,ROUND(IF(N(IFERROR(INDEX('動員を入れる'!$K$8:$K$14,MATCH($C104,'動員を入れる'!$J$8:$J$14,0)),0))&gt;0,IFERROR(INDEX('動員を入れる'!$K$8:$K$14,MATCH($C104,'動員を入れる'!$J$8:$J$14,0)),0),N('設定'!$C$8)),0))))</f>
        <v/>
      </c>
    </row>
    <row r="105" ht="18" customHeight="1">
      <c r="B105" s="68">
        <f>IF(IF($C$5&lt;&gt;"",$C$5,IF('設定'!$C$6="","",DATE(YEAR('設定'!$C$6),1,1)))="","",IF($C$5&lt;&gt;"",$C$5,IF('設定'!$C$6="","",DATE(YEAR('設定'!$C$6),1,1)))+89)</f>
        <v/>
      </c>
      <c r="C105" s="67">
        <f>IF($B105="","",CHOOSE(WEEKDAY($B105),"日","月","火","水","木","金","土"))</f>
        <v/>
      </c>
      <c r="D105" s="69" t="n"/>
      <c r="E105" s="69" t="n"/>
      <c r="F105" s="70" t="n"/>
      <c r="G105" s="44">
        <f>IF($B105="","",IF(ISNUMBER($E105),$E105,IF(ISNUMBER($D105),$D105,ROUND(IF(N(IFERROR(INDEX('動員を入れる'!$K$8:$K$14,MATCH($C105,'動員を入れる'!$J$8:$J$14,0)),0))&gt;0,IFERROR(INDEX('動員を入れる'!$K$8:$K$14,MATCH($C105,'動員を入れる'!$J$8:$J$14,0)),0),N('設定'!$C$8)),0))))</f>
        <v/>
      </c>
    </row>
    <row r="106" ht="18" customHeight="1">
      <c r="B106" s="68">
        <f>IF(IF($C$5&lt;&gt;"",$C$5,IF('設定'!$C$6="","",DATE(YEAR('設定'!$C$6),1,1)))="","",IF($C$5&lt;&gt;"",$C$5,IF('設定'!$C$6="","",DATE(YEAR('設定'!$C$6),1,1)))+90)</f>
        <v/>
      </c>
      <c r="C106" s="67">
        <f>IF($B106="","",CHOOSE(WEEKDAY($B106),"日","月","火","水","木","金","土"))</f>
        <v/>
      </c>
      <c r="D106" s="69" t="n"/>
      <c r="E106" s="69" t="n"/>
      <c r="F106" s="70" t="n"/>
      <c r="G106" s="44">
        <f>IF($B106="","",IF(ISNUMBER($E106),$E106,IF(ISNUMBER($D106),$D106,ROUND(IF(N(IFERROR(INDEX('動員を入れる'!$K$8:$K$14,MATCH($C106,'動員を入れる'!$J$8:$J$14,0)),0))&gt;0,IFERROR(INDEX('動員を入れる'!$K$8:$K$14,MATCH($C106,'動員を入れる'!$J$8:$J$14,0)),0),N('設定'!$C$8)),0))))</f>
        <v/>
      </c>
    </row>
    <row r="107" ht="18" customHeight="1">
      <c r="B107" s="68">
        <f>IF(IF($C$5&lt;&gt;"",$C$5,IF('設定'!$C$6="","",DATE(YEAR('設定'!$C$6),1,1)))="","",IF($C$5&lt;&gt;"",$C$5,IF('設定'!$C$6="","",DATE(YEAR('設定'!$C$6),1,1)))+91)</f>
        <v/>
      </c>
      <c r="C107" s="67">
        <f>IF($B107="","",CHOOSE(WEEKDAY($B107),"日","月","火","水","木","金","土"))</f>
        <v/>
      </c>
      <c r="D107" s="69" t="n"/>
      <c r="E107" s="69" t="n"/>
      <c r="F107" s="70" t="n"/>
      <c r="G107" s="44">
        <f>IF($B107="","",IF(ISNUMBER($E107),$E107,IF(ISNUMBER($D107),$D107,ROUND(IF(N(IFERROR(INDEX('動員を入れる'!$K$8:$K$14,MATCH($C107,'動員を入れる'!$J$8:$J$14,0)),0))&gt;0,IFERROR(INDEX('動員を入れる'!$K$8:$K$14,MATCH($C107,'動員を入れる'!$J$8:$J$14,0)),0),N('設定'!$C$8)),0))))</f>
        <v/>
      </c>
    </row>
    <row r="108" ht="18" customHeight="1">
      <c r="B108" s="68">
        <f>IF(IF($C$5&lt;&gt;"",$C$5,IF('設定'!$C$6="","",DATE(YEAR('設定'!$C$6),1,1)))="","",IF($C$5&lt;&gt;"",$C$5,IF('設定'!$C$6="","",DATE(YEAR('設定'!$C$6),1,1)))+92)</f>
        <v/>
      </c>
      <c r="C108" s="67">
        <f>IF($B108="","",CHOOSE(WEEKDAY($B108),"日","月","火","水","木","金","土"))</f>
        <v/>
      </c>
      <c r="D108" s="69" t="n"/>
      <c r="E108" s="69" t="n"/>
      <c r="F108" s="70" t="n"/>
      <c r="G108" s="44">
        <f>IF($B108="","",IF(ISNUMBER($E108),$E108,IF(ISNUMBER($D108),$D108,ROUND(IF(N(IFERROR(INDEX('動員を入れる'!$K$8:$K$14,MATCH($C108,'動員を入れる'!$J$8:$J$14,0)),0))&gt;0,IFERROR(INDEX('動員を入れる'!$K$8:$K$14,MATCH($C108,'動員を入れる'!$J$8:$J$14,0)),0),N('設定'!$C$8)),0))))</f>
        <v/>
      </c>
    </row>
    <row r="109" ht="18" customHeight="1">
      <c r="B109" s="68">
        <f>IF(IF($C$5&lt;&gt;"",$C$5,IF('設定'!$C$6="","",DATE(YEAR('設定'!$C$6),1,1)))="","",IF($C$5&lt;&gt;"",$C$5,IF('設定'!$C$6="","",DATE(YEAR('設定'!$C$6),1,1)))+93)</f>
        <v/>
      </c>
      <c r="C109" s="67">
        <f>IF($B109="","",CHOOSE(WEEKDAY($B109),"日","月","火","水","木","金","土"))</f>
        <v/>
      </c>
      <c r="D109" s="69" t="n"/>
      <c r="E109" s="69" t="n"/>
      <c r="F109" s="70" t="n"/>
      <c r="G109" s="44">
        <f>IF($B109="","",IF(ISNUMBER($E109),$E109,IF(ISNUMBER($D109),$D109,ROUND(IF(N(IFERROR(INDEX('動員を入れる'!$K$8:$K$14,MATCH($C109,'動員を入れる'!$J$8:$J$14,0)),0))&gt;0,IFERROR(INDEX('動員を入れる'!$K$8:$K$14,MATCH($C109,'動員を入れる'!$J$8:$J$14,0)),0),N('設定'!$C$8)),0))))</f>
        <v/>
      </c>
    </row>
    <row r="110" ht="18" customHeight="1">
      <c r="B110" s="68">
        <f>IF(IF($C$5&lt;&gt;"",$C$5,IF('設定'!$C$6="","",DATE(YEAR('設定'!$C$6),1,1)))="","",IF($C$5&lt;&gt;"",$C$5,IF('設定'!$C$6="","",DATE(YEAR('設定'!$C$6),1,1)))+94)</f>
        <v/>
      </c>
      <c r="C110" s="67">
        <f>IF($B110="","",CHOOSE(WEEKDAY($B110),"日","月","火","水","木","金","土"))</f>
        <v/>
      </c>
      <c r="D110" s="69" t="n"/>
      <c r="E110" s="69" t="n"/>
      <c r="F110" s="70" t="n"/>
      <c r="G110" s="44">
        <f>IF($B110="","",IF(ISNUMBER($E110),$E110,IF(ISNUMBER($D110),$D110,ROUND(IF(N(IFERROR(INDEX('動員を入れる'!$K$8:$K$14,MATCH($C110,'動員を入れる'!$J$8:$J$14,0)),0))&gt;0,IFERROR(INDEX('動員を入れる'!$K$8:$K$14,MATCH($C110,'動員を入れる'!$J$8:$J$14,0)),0),N('設定'!$C$8)),0))))</f>
        <v/>
      </c>
    </row>
    <row r="111" ht="18" customHeight="1">
      <c r="B111" s="68">
        <f>IF(IF($C$5&lt;&gt;"",$C$5,IF('設定'!$C$6="","",DATE(YEAR('設定'!$C$6),1,1)))="","",IF($C$5&lt;&gt;"",$C$5,IF('設定'!$C$6="","",DATE(YEAR('設定'!$C$6),1,1)))+95)</f>
        <v/>
      </c>
      <c r="C111" s="67">
        <f>IF($B111="","",CHOOSE(WEEKDAY($B111),"日","月","火","水","木","金","土"))</f>
        <v/>
      </c>
      <c r="D111" s="69" t="n"/>
      <c r="E111" s="69" t="n"/>
      <c r="F111" s="70" t="n"/>
      <c r="G111" s="44">
        <f>IF($B111="","",IF(ISNUMBER($E111),$E111,IF(ISNUMBER($D111),$D111,ROUND(IF(N(IFERROR(INDEX('動員を入れる'!$K$8:$K$14,MATCH($C111,'動員を入れる'!$J$8:$J$14,0)),0))&gt;0,IFERROR(INDEX('動員を入れる'!$K$8:$K$14,MATCH($C111,'動員を入れる'!$J$8:$J$14,0)),0),N('設定'!$C$8)),0))))</f>
        <v/>
      </c>
    </row>
    <row r="112" ht="18" customHeight="1">
      <c r="B112" s="68">
        <f>IF(IF($C$5&lt;&gt;"",$C$5,IF('設定'!$C$6="","",DATE(YEAR('設定'!$C$6),1,1)))="","",IF($C$5&lt;&gt;"",$C$5,IF('設定'!$C$6="","",DATE(YEAR('設定'!$C$6),1,1)))+96)</f>
        <v/>
      </c>
      <c r="C112" s="67">
        <f>IF($B112="","",CHOOSE(WEEKDAY($B112),"日","月","火","水","木","金","土"))</f>
        <v/>
      </c>
      <c r="D112" s="69" t="n"/>
      <c r="E112" s="69" t="n"/>
      <c r="F112" s="70" t="n"/>
      <c r="G112" s="44">
        <f>IF($B112="","",IF(ISNUMBER($E112),$E112,IF(ISNUMBER($D112),$D112,ROUND(IF(N(IFERROR(INDEX('動員を入れる'!$K$8:$K$14,MATCH($C112,'動員を入れる'!$J$8:$J$14,0)),0))&gt;0,IFERROR(INDEX('動員を入れる'!$K$8:$K$14,MATCH($C112,'動員を入れる'!$J$8:$J$14,0)),0),N('設定'!$C$8)),0))))</f>
        <v/>
      </c>
    </row>
    <row r="113" ht="18" customHeight="1">
      <c r="B113" s="68">
        <f>IF(IF($C$5&lt;&gt;"",$C$5,IF('設定'!$C$6="","",DATE(YEAR('設定'!$C$6),1,1)))="","",IF($C$5&lt;&gt;"",$C$5,IF('設定'!$C$6="","",DATE(YEAR('設定'!$C$6),1,1)))+97)</f>
        <v/>
      </c>
      <c r="C113" s="67">
        <f>IF($B113="","",CHOOSE(WEEKDAY($B113),"日","月","火","水","木","金","土"))</f>
        <v/>
      </c>
      <c r="D113" s="69" t="n"/>
      <c r="E113" s="69" t="n"/>
      <c r="F113" s="70" t="n"/>
      <c r="G113" s="44">
        <f>IF($B113="","",IF(ISNUMBER($E113),$E113,IF(ISNUMBER($D113),$D113,ROUND(IF(N(IFERROR(INDEX('動員を入れる'!$K$8:$K$14,MATCH($C113,'動員を入れる'!$J$8:$J$14,0)),0))&gt;0,IFERROR(INDEX('動員を入れる'!$K$8:$K$14,MATCH($C113,'動員を入れる'!$J$8:$J$14,0)),0),N('設定'!$C$8)),0))))</f>
        <v/>
      </c>
    </row>
    <row r="114" ht="18" customHeight="1">
      <c r="B114" s="68">
        <f>IF(IF($C$5&lt;&gt;"",$C$5,IF('設定'!$C$6="","",DATE(YEAR('設定'!$C$6),1,1)))="","",IF($C$5&lt;&gt;"",$C$5,IF('設定'!$C$6="","",DATE(YEAR('設定'!$C$6),1,1)))+98)</f>
        <v/>
      </c>
      <c r="C114" s="67">
        <f>IF($B114="","",CHOOSE(WEEKDAY($B114),"日","月","火","水","木","金","土"))</f>
        <v/>
      </c>
      <c r="D114" s="69" t="n"/>
      <c r="E114" s="69" t="n"/>
      <c r="F114" s="70" t="n"/>
      <c r="G114" s="44">
        <f>IF($B114="","",IF(ISNUMBER($E114),$E114,IF(ISNUMBER($D114),$D114,ROUND(IF(N(IFERROR(INDEX('動員を入れる'!$K$8:$K$14,MATCH($C114,'動員を入れる'!$J$8:$J$14,0)),0))&gt;0,IFERROR(INDEX('動員を入れる'!$K$8:$K$14,MATCH($C114,'動員を入れる'!$J$8:$J$14,0)),0),N('設定'!$C$8)),0))))</f>
        <v/>
      </c>
    </row>
    <row r="115" ht="18" customHeight="1">
      <c r="B115" s="68">
        <f>IF(IF($C$5&lt;&gt;"",$C$5,IF('設定'!$C$6="","",DATE(YEAR('設定'!$C$6),1,1)))="","",IF($C$5&lt;&gt;"",$C$5,IF('設定'!$C$6="","",DATE(YEAR('設定'!$C$6),1,1)))+99)</f>
        <v/>
      </c>
      <c r="C115" s="67">
        <f>IF($B115="","",CHOOSE(WEEKDAY($B115),"日","月","火","水","木","金","土"))</f>
        <v/>
      </c>
      <c r="D115" s="69" t="n"/>
      <c r="E115" s="69" t="n"/>
      <c r="F115" s="70" t="n"/>
      <c r="G115" s="44">
        <f>IF($B115="","",IF(ISNUMBER($E115),$E115,IF(ISNUMBER($D115),$D115,ROUND(IF(N(IFERROR(INDEX('動員を入れる'!$K$8:$K$14,MATCH($C115,'動員を入れる'!$J$8:$J$14,0)),0))&gt;0,IFERROR(INDEX('動員を入れる'!$K$8:$K$14,MATCH($C115,'動員を入れる'!$J$8:$J$14,0)),0),N('設定'!$C$8)),0))))</f>
        <v/>
      </c>
    </row>
    <row r="116" ht="18" customHeight="1">
      <c r="B116" s="68">
        <f>IF(IF($C$5&lt;&gt;"",$C$5,IF('設定'!$C$6="","",DATE(YEAR('設定'!$C$6),1,1)))="","",IF($C$5&lt;&gt;"",$C$5,IF('設定'!$C$6="","",DATE(YEAR('設定'!$C$6),1,1)))+100)</f>
        <v/>
      </c>
      <c r="C116" s="67">
        <f>IF($B116="","",CHOOSE(WEEKDAY($B116),"日","月","火","水","木","金","土"))</f>
        <v/>
      </c>
      <c r="D116" s="69" t="n"/>
      <c r="E116" s="69" t="n"/>
      <c r="F116" s="70" t="n"/>
      <c r="G116" s="44">
        <f>IF($B116="","",IF(ISNUMBER($E116),$E116,IF(ISNUMBER($D116),$D116,ROUND(IF(N(IFERROR(INDEX('動員を入れる'!$K$8:$K$14,MATCH($C116,'動員を入れる'!$J$8:$J$14,0)),0))&gt;0,IFERROR(INDEX('動員を入れる'!$K$8:$K$14,MATCH($C116,'動員を入れる'!$J$8:$J$14,0)),0),N('設定'!$C$8)),0))))</f>
        <v/>
      </c>
    </row>
    <row r="117" ht="18" customHeight="1">
      <c r="B117" s="68">
        <f>IF(IF($C$5&lt;&gt;"",$C$5,IF('設定'!$C$6="","",DATE(YEAR('設定'!$C$6),1,1)))="","",IF($C$5&lt;&gt;"",$C$5,IF('設定'!$C$6="","",DATE(YEAR('設定'!$C$6),1,1)))+101)</f>
        <v/>
      </c>
      <c r="C117" s="67">
        <f>IF($B117="","",CHOOSE(WEEKDAY($B117),"日","月","火","水","木","金","土"))</f>
        <v/>
      </c>
      <c r="D117" s="69" t="n"/>
      <c r="E117" s="69" t="n"/>
      <c r="F117" s="70" t="n"/>
      <c r="G117" s="44">
        <f>IF($B117="","",IF(ISNUMBER($E117),$E117,IF(ISNUMBER($D117),$D117,ROUND(IF(N(IFERROR(INDEX('動員を入れる'!$K$8:$K$14,MATCH($C117,'動員を入れる'!$J$8:$J$14,0)),0))&gt;0,IFERROR(INDEX('動員を入れる'!$K$8:$K$14,MATCH($C117,'動員を入れる'!$J$8:$J$14,0)),0),N('設定'!$C$8)),0))))</f>
        <v/>
      </c>
    </row>
    <row r="118" ht="18" customHeight="1">
      <c r="B118" s="68">
        <f>IF(IF($C$5&lt;&gt;"",$C$5,IF('設定'!$C$6="","",DATE(YEAR('設定'!$C$6),1,1)))="","",IF($C$5&lt;&gt;"",$C$5,IF('設定'!$C$6="","",DATE(YEAR('設定'!$C$6),1,1)))+102)</f>
        <v/>
      </c>
      <c r="C118" s="67">
        <f>IF($B118="","",CHOOSE(WEEKDAY($B118),"日","月","火","水","木","金","土"))</f>
        <v/>
      </c>
      <c r="D118" s="69" t="n"/>
      <c r="E118" s="69" t="n"/>
      <c r="F118" s="70" t="n"/>
      <c r="G118" s="44">
        <f>IF($B118="","",IF(ISNUMBER($E118),$E118,IF(ISNUMBER($D118),$D118,ROUND(IF(N(IFERROR(INDEX('動員を入れる'!$K$8:$K$14,MATCH($C118,'動員を入れる'!$J$8:$J$14,0)),0))&gt;0,IFERROR(INDEX('動員を入れる'!$K$8:$K$14,MATCH($C118,'動員を入れる'!$J$8:$J$14,0)),0),N('設定'!$C$8)),0))))</f>
        <v/>
      </c>
    </row>
    <row r="119" ht="18" customHeight="1">
      <c r="B119" s="68">
        <f>IF(IF($C$5&lt;&gt;"",$C$5,IF('設定'!$C$6="","",DATE(YEAR('設定'!$C$6),1,1)))="","",IF($C$5&lt;&gt;"",$C$5,IF('設定'!$C$6="","",DATE(YEAR('設定'!$C$6),1,1)))+103)</f>
        <v/>
      </c>
      <c r="C119" s="67">
        <f>IF($B119="","",CHOOSE(WEEKDAY($B119),"日","月","火","水","木","金","土"))</f>
        <v/>
      </c>
      <c r="D119" s="69" t="n"/>
      <c r="E119" s="69" t="n"/>
      <c r="F119" s="70" t="n"/>
      <c r="G119" s="44">
        <f>IF($B119="","",IF(ISNUMBER($E119),$E119,IF(ISNUMBER($D119),$D119,ROUND(IF(N(IFERROR(INDEX('動員を入れる'!$K$8:$K$14,MATCH($C119,'動員を入れる'!$J$8:$J$14,0)),0))&gt;0,IFERROR(INDEX('動員を入れる'!$K$8:$K$14,MATCH($C119,'動員を入れる'!$J$8:$J$14,0)),0),N('設定'!$C$8)),0))))</f>
        <v/>
      </c>
    </row>
    <row r="120" ht="18" customHeight="1">
      <c r="B120" s="68">
        <f>IF(IF($C$5&lt;&gt;"",$C$5,IF('設定'!$C$6="","",DATE(YEAR('設定'!$C$6),1,1)))="","",IF($C$5&lt;&gt;"",$C$5,IF('設定'!$C$6="","",DATE(YEAR('設定'!$C$6),1,1)))+104)</f>
        <v/>
      </c>
      <c r="C120" s="67">
        <f>IF($B120="","",CHOOSE(WEEKDAY($B120),"日","月","火","水","木","金","土"))</f>
        <v/>
      </c>
      <c r="D120" s="69" t="n"/>
      <c r="E120" s="69" t="n"/>
      <c r="F120" s="70" t="n"/>
      <c r="G120" s="44">
        <f>IF($B120="","",IF(ISNUMBER($E120),$E120,IF(ISNUMBER($D120),$D120,ROUND(IF(N(IFERROR(INDEX('動員を入れる'!$K$8:$K$14,MATCH($C120,'動員を入れる'!$J$8:$J$14,0)),0))&gt;0,IFERROR(INDEX('動員を入れる'!$K$8:$K$14,MATCH($C120,'動員を入れる'!$J$8:$J$14,0)),0),N('設定'!$C$8)),0))))</f>
        <v/>
      </c>
    </row>
    <row r="121" ht="18" customHeight="1">
      <c r="B121" s="68">
        <f>IF(IF($C$5&lt;&gt;"",$C$5,IF('設定'!$C$6="","",DATE(YEAR('設定'!$C$6),1,1)))="","",IF($C$5&lt;&gt;"",$C$5,IF('設定'!$C$6="","",DATE(YEAR('設定'!$C$6),1,1)))+105)</f>
        <v/>
      </c>
      <c r="C121" s="67">
        <f>IF($B121="","",CHOOSE(WEEKDAY($B121),"日","月","火","水","木","金","土"))</f>
        <v/>
      </c>
      <c r="D121" s="69" t="n"/>
      <c r="E121" s="69" t="n"/>
      <c r="F121" s="70" t="n"/>
      <c r="G121" s="44">
        <f>IF($B121="","",IF(ISNUMBER($E121),$E121,IF(ISNUMBER($D121),$D121,ROUND(IF(N(IFERROR(INDEX('動員を入れる'!$K$8:$K$14,MATCH($C121,'動員を入れる'!$J$8:$J$14,0)),0))&gt;0,IFERROR(INDEX('動員を入れる'!$K$8:$K$14,MATCH($C121,'動員を入れる'!$J$8:$J$14,0)),0),N('設定'!$C$8)),0))))</f>
        <v/>
      </c>
    </row>
    <row r="122" ht="18" customHeight="1">
      <c r="B122" s="68">
        <f>IF(IF($C$5&lt;&gt;"",$C$5,IF('設定'!$C$6="","",DATE(YEAR('設定'!$C$6),1,1)))="","",IF($C$5&lt;&gt;"",$C$5,IF('設定'!$C$6="","",DATE(YEAR('設定'!$C$6),1,1)))+106)</f>
        <v/>
      </c>
      <c r="C122" s="67">
        <f>IF($B122="","",CHOOSE(WEEKDAY($B122),"日","月","火","水","木","金","土"))</f>
        <v/>
      </c>
      <c r="D122" s="69" t="n"/>
      <c r="E122" s="69" t="n"/>
      <c r="F122" s="70" t="n"/>
      <c r="G122" s="44">
        <f>IF($B122="","",IF(ISNUMBER($E122),$E122,IF(ISNUMBER($D122),$D122,ROUND(IF(N(IFERROR(INDEX('動員を入れる'!$K$8:$K$14,MATCH($C122,'動員を入れる'!$J$8:$J$14,0)),0))&gt;0,IFERROR(INDEX('動員を入れる'!$K$8:$K$14,MATCH($C122,'動員を入れる'!$J$8:$J$14,0)),0),N('設定'!$C$8)),0))))</f>
        <v/>
      </c>
    </row>
    <row r="123" ht="18" customHeight="1">
      <c r="B123" s="68">
        <f>IF(IF($C$5&lt;&gt;"",$C$5,IF('設定'!$C$6="","",DATE(YEAR('設定'!$C$6),1,1)))="","",IF($C$5&lt;&gt;"",$C$5,IF('設定'!$C$6="","",DATE(YEAR('設定'!$C$6),1,1)))+107)</f>
        <v/>
      </c>
      <c r="C123" s="67">
        <f>IF($B123="","",CHOOSE(WEEKDAY($B123),"日","月","火","水","木","金","土"))</f>
        <v/>
      </c>
      <c r="D123" s="69" t="n"/>
      <c r="E123" s="69" t="n"/>
      <c r="F123" s="70" t="n"/>
      <c r="G123" s="44">
        <f>IF($B123="","",IF(ISNUMBER($E123),$E123,IF(ISNUMBER($D123),$D123,ROUND(IF(N(IFERROR(INDEX('動員を入れる'!$K$8:$K$14,MATCH($C123,'動員を入れる'!$J$8:$J$14,0)),0))&gt;0,IFERROR(INDEX('動員を入れる'!$K$8:$K$14,MATCH($C123,'動員を入れる'!$J$8:$J$14,0)),0),N('設定'!$C$8)),0))))</f>
        <v/>
      </c>
    </row>
    <row r="124" ht="18" customHeight="1">
      <c r="B124" s="68">
        <f>IF(IF($C$5&lt;&gt;"",$C$5,IF('設定'!$C$6="","",DATE(YEAR('設定'!$C$6),1,1)))="","",IF($C$5&lt;&gt;"",$C$5,IF('設定'!$C$6="","",DATE(YEAR('設定'!$C$6),1,1)))+108)</f>
        <v/>
      </c>
      <c r="C124" s="67">
        <f>IF($B124="","",CHOOSE(WEEKDAY($B124),"日","月","火","水","木","金","土"))</f>
        <v/>
      </c>
      <c r="D124" s="69" t="n"/>
      <c r="E124" s="69" t="n"/>
      <c r="F124" s="70" t="n"/>
      <c r="G124" s="44">
        <f>IF($B124="","",IF(ISNUMBER($E124),$E124,IF(ISNUMBER($D124),$D124,ROUND(IF(N(IFERROR(INDEX('動員を入れる'!$K$8:$K$14,MATCH($C124,'動員を入れる'!$J$8:$J$14,0)),0))&gt;0,IFERROR(INDEX('動員を入れる'!$K$8:$K$14,MATCH($C124,'動員を入れる'!$J$8:$J$14,0)),0),N('設定'!$C$8)),0))))</f>
        <v/>
      </c>
    </row>
    <row r="125" ht="18" customHeight="1">
      <c r="B125" s="68">
        <f>IF(IF($C$5&lt;&gt;"",$C$5,IF('設定'!$C$6="","",DATE(YEAR('設定'!$C$6),1,1)))="","",IF($C$5&lt;&gt;"",$C$5,IF('設定'!$C$6="","",DATE(YEAR('設定'!$C$6),1,1)))+109)</f>
        <v/>
      </c>
      <c r="C125" s="67">
        <f>IF($B125="","",CHOOSE(WEEKDAY($B125),"日","月","火","水","木","金","土"))</f>
        <v/>
      </c>
      <c r="D125" s="69" t="n"/>
      <c r="E125" s="69" t="n"/>
      <c r="F125" s="70" t="n"/>
      <c r="G125" s="44">
        <f>IF($B125="","",IF(ISNUMBER($E125),$E125,IF(ISNUMBER($D125),$D125,ROUND(IF(N(IFERROR(INDEX('動員を入れる'!$K$8:$K$14,MATCH($C125,'動員を入れる'!$J$8:$J$14,0)),0))&gt;0,IFERROR(INDEX('動員を入れる'!$K$8:$K$14,MATCH($C125,'動員を入れる'!$J$8:$J$14,0)),0),N('設定'!$C$8)),0))))</f>
        <v/>
      </c>
    </row>
    <row r="126" ht="18" customHeight="1">
      <c r="B126" s="68">
        <f>IF(IF($C$5&lt;&gt;"",$C$5,IF('設定'!$C$6="","",DATE(YEAR('設定'!$C$6),1,1)))="","",IF($C$5&lt;&gt;"",$C$5,IF('設定'!$C$6="","",DATE(YEAR('設定'!$C$6),1,1)))+110)</f>
        <v/>
      </c>
      <c r="C126" s="67">
        <f>IF($B126="","",CHOOSE(WEEKDAY($B126),"日","月","火","水","木","金","土"))</f>
        <v/>
      </c>
      <c r="D126" s="69" t="n"/>
      <c r="E126" s="69" t="n"/>
      <c r="F126" s="70" t="n"/>
      <c r="G126" s="44">
        <f>IF($B126="","",IF(ISNUMBER($E126),$E126,IF(ISNUMBER($D126),$D126,ROUND(IF(N(IFERROR(INDEX('動員を入れる'!$K$8:$K$14,MATCH($C126,'動員を入れる'!$J$8:$J$14,0)),0))&gt;0,IFERROR(INDEX('動員を入れる'!$K$8:$K$14,MATCH($C126,'動員を入れる'!$J$8:$J$14,0)),0),N('設定'!$C$8)),0))))</f>
        <v/>
      </c>
    </row>
    <row r="127" ht="18" customHeight="1">
      <c r="B127" s="68">
        <f>IF(IF($C$5&lt;&gt;"",$C$5,IF('設定'!$C$6="","",DATE(YEAR('設定'!$C$6),1,1)))="","",IF($C$5&lt;&gt;"",$C$5,IF('設定'!$C$6="","",DATE(YEAR('設定'!$C$6),1,1)))+111)</f>
        <v/>
      </c>
      <c r="C127" s="67">
        <f>IF($B127="","",CHOOSE(WEEKDAY($B127),"日","月","火","水","木","金","土"))</f>
        <v/>
      </c>
      <c r="D127" s="69" t="n"/>
      <c r="E127" s="69" t="n"/>
      <c r="F127" s="70" t="n"/>
      <c r="G127" s="44">
        <f>IF($B127="","",IF(ISNUMBER($E127),$E127,IF(ISNUMBER($D127),$D127,ROUND(IF(N(IFERROR(INDEX('動員を入れる'!$K$8:$K$14,MATCH($C127,'動員を入れる'!$J$8:$J$14,0)),0))&gt;0,IFERROR(INDEX('動員を入れる'!$K$8:$K$14,MATCH($C127,'動員を入れる'!$J$8:$J$14,0)),0),N('設定'!$C$8)),0))))</f>
        <v/>
      </c>
    </row>
    <row r="128" ht="18" customHeight="1">
      <c r="B128" s="68">
        <f>IF(IF($C$5&lt;&gt;"",$C$5,IF('設定'!$C$6="","",DATE(YEAR('設定'!$C$6),1,1)))="","",IF($C$5&lt;&gt;"",$C$5,IF('設定'!$C$6="","",DATE(YEAR('設定'!$C$6),1,1)))+112)</f>
        <v/>
      </c>
      <c r="C128" s="67">
        <f>IF($B128="","",CHOOSE(WEEKDAY($B128),"日","月","火","水","木","金","土"))</f>
        <v/>
      </c>
      <c r="D128" s="69" t="n"/>
      <c r="E128" s="69" t="n"/>
      <c r="F128" s="70" t="n"/>
      <c r="G128" s="44">
        <f>IF($B128="","",IF(ISNUMBER($E128),$E128,IF(ISNUMBER($D128),$D128,ROUND(IF(N(IFERROR(INDEX('動員を入れる'!$K$8:$K$14,MATCH($C128,'動員を入れる'!$J$8:$J$14,0)),0))&gt;0,IFERROR(INDEX('動員を入れる'!$K$8:$K$14,MATCH($C128,'動員を入れる'!$J$8:$J$14,0)),0),N('設定'!$C$8)),0))))</f>
        <v/>
      </c>
    </row>
    <row r="129" ht="18" customHeight="1">
      <c r="B129" s="68">
        <f>IF(IF($C$5&lt;&gt;"",$C$5,IF('設定'!$C$6="","",DATE(YEAR('設定'!$C$6),1,1)))="","",IF($C$5&lt;&gt;"",$C$5,IF('設定'!$C$6="","",DATE(YEAR('設定'!$C$6),1,1)))+113)</f>
        <v/>
      </c>
      <c r="C129" s="67">
        <f>IF($B129="","",CHOOSE(WEEKDAY($B129),"日","月","火","水","木","金","土"))</f>
        <v/>
      </c>
      <c r="D129" s="69" t="n"/>
      <c r="E129" s="69" t="n"/>
      <c r="F129" s="70" t="n"/>
      <c r="G129" s="44">
        <f>IF($B129="","",IF(ISNUMBER($E129),$E129,IF(ISNUMBER($D129),$D129,ROUND(IF(N(IFERROR(INDEX('動員を入れる'!$K$8:$K$14,MATCH($C129,'動員を入れる'!$J$8:$J$14,0)),0))&gt;0,IFERROR(INDEX('動員を入れる'!$K$8:$K$14,MATCH($C129,'動員を入れる'!$J$8:$J$14,0)),0),N('設定'!$C$8)),0))))</f>
        <v/>
      </c>
    </row>
    <row r="130" ht="18" customHeight="1">
      <c r="B130" s="68">
        <f>IF(IF($C$5&lt;&gt;"",$C$5,IF('設定'!$C$6="","",DATE(YEAR('設定'!$C$6),1,1)))="","",IF($C$5&lt;&gt;"",$C$5,IF('設定'!$C$6="","",DATE(YEAR('設定'!$C$6),1,1)))+114)</f>
        <v/>
      </c>
      <c r="C130" s="67">
        <f>IF($B130="","",CHOOSE(WEEKDAY($B130),"日","月","火","水","木","金","土"))</f>
        <v/>
      </c>
      <c r="D130" s="69" t="n"/>
      <c r="E130" s="69" t="n"/>
      <c r="F130" s="70" t="n"/>
      <c r="G130" s="44">
        <f>IF($B130="","",IF(ISNUMBER($E130),$E130,IF(ISNUMBER($D130),$D130,ROUND(IF(N(IFERROR(INDEX('動員を入れる'!$K$8:$K$14,MATCH($C130,'動員を入れる'!$J$8:$J$14,0)),0))&gt;0,IFERROR(INDEX('動員を入れる'!$K$8:$K$14,MATCH($C130,'動員を入れる'!$J$8:$J$14,0)),0),N('設定'!$C$8)),0))))</f>
        <v/>
      </c>
    </row>
    <row r="131" ht="18" customHeight="1">
      <c r="B131" s="68">
        <f>IF(IF($C$5&lt;&gt;"",$C$5,IF('設定'!$C$6="","",DATE(YEAR('設定'!$C$6),1,1)))="","",IF($C$5&lt;&gt;"",$C$5,IF('設定'!$C$6="","",DATE(YEAR('設定'!$C$6),1,1)))+115)</f>
        <v/>
      </c>
      <c r="C131" s="67">
        <f>IF($B131="","",CHOOSE(WEEKDAY($B131),"日","月","火","水","木","金","土"))</f>
        <v/>
      </c>
      <c r="D131" s="69" t="n"/>
      <c r="E131" s="69" t="n"/>
      <c r="F131" s="70" t="n"/>
      <c r="G131" s="44">
        <f>IF($B131="","",IF(ISNUMBER($E131),$E131,IF(ISNUMBER($D131),$D131,ROUND(IF(N(IFERROR(INDEX('動員を入れる'!$K$8:$K$14,MATCH($C131,'動員を入れる'!$J$8:$J$14,0)),0))&gt;0,IFERROR(INDEX('動員を入れる'!$K$8:$K$14,MATCH($C131,'動員を入れる'!$J$8:$J$14,0)),0),N('設定'!$C$8)),0))))</f>
        <v/>
      </c>
    </row>
    <row r="132" ht="18" customHeight="1">
      <c r="B132" s="68">
        <f>IF(IF($C$5&lt;&gt;"",$C$5,IF('設定'!$C$6="","",DATE(YEAR('設定'!$C$6),1,1)))="","",IF($C$5&lt;&gt;"",$C$5,IF('設定'!$C$6="","",DATE(YEAR('設定'!$C$6),1,1)))+116)</f>
        <v/>
      </c>
      <c r="C132" s="67">
        <f>IF($B132="","",CHOOSE(WEEKDAY($B132),"日","月","火","水","木","金","土"))</f>
        <v/>
      </c>
      <c r="D132" s="69" t="n"/>
      <c r="E132" s="69" t="n"/>
      <c r="F132" s="70" t="n"/>
      <c r="G132" s="44">
        <f>IF($B132="","",IF(ISNUMBER($E132),$E132,IF(ISNUMBER($D132),$D132,ROUND(IF(N(IFERROR(INDEX('動員を入れる'!$K$8:$K$14,MATCH($C132,'動員を入れる'!$J$8:$J$14,0)),0))&gt;0,IFERROR(INDEX('動員を入れる'!$K$8:$K$14,MATCH($C132,'動員を入れる'!$J$8:$J$14,0)),0),N('設定'!$C$8)),0))))</f>
        <v/>
      </c>
    </row>
    <row r="133" ht="18" customHeight="1">
      <c r="B133" s="68">
        <f>IF(IF($C$5&lt;&gt;"",$C$5,IF('設定'!$C$6="","",DATE(YEAR('設定'!$C$6),1,1)))="","",IF($C$5&lt;&gt;"",$C$5,IF('設定'!$C$6="","",DATE(YEAR('設定'!$C$6),1,1)))+117)</f>
        <v/>
      </c>
      <c r="C133" s="67">
        <f>IF($B133="","",CHOOSE(WEEKDAY($B133),"日","月","火","水","木","金","土"))</f>
        <v/>
      </c>
      <c r="D133" s="69" t="n"/>
      <c r="E133" s="69" t="n"/>
      <c r="F133" s="70" t="n"/>
      <c r="G133" s="44">
        <f>IF($B133="","",IF(ISNUMBER($E133),$E133,IF(ISNUMBER($D133),$D133,ROUND(IF(N(IFERROR(INDEX('動員を入れる'!$K$8:$K$14,MATCH($C133,'動員を入れる'!$J$8:$J$14,0)),0))&gt;0,IFERROR(INDEX('動員を入れる'!$K$8:$K$14,MATCH($C133,'動員を入れる'!$J$8:$J$14,0)),0),N('設定'!$C$8)),0))))</f>
        <v/>
      </c>
    </row>
    <row r="134" ht="18" customHeight="1">
      <c r="B134" s="68">
        <f>IF(IF($C$5&lt;&gt;"",$C$5,IF('設定'!$C$6="","",DATE(YEAR('設定'!$C$6),1,1)))="","",IF($C$5&lt;&gt;"",$C$5,IF('設定'!$C$6="","",DATE(YEAR('設定'!$C$6),1,1)))+118)</f>
        <v/>
      </c>
      <c r="C134" s="67">
        <f>IF($B134="","",CHOOSE(WEEKDAY($B134),"日","月","火","水","木","金","土"))</f>
        <v/>
      </c>
      <c r="D134" s="69" t="n"/>
      <c r="E134" s="69" t="n"/>
      <c r="F134" s="70" t="n"/>
      <c r="G134" s="44">
        <f>IF($B134="","",IF(ISNUMBER($E134),$E134,IF(ISNUMBER($D134),$D134,ROUND(IF(N(IFERROR(INDEX('動員を入れる'!$K$8:$K$14,MATCH($C134,'動員を入れる'!$J$8:$J$14,0)),0))&gt;0,IFERROR(INDEX('動員を入れる'!$K$8:$K$14,MATCH($C134,'動員を入れる'!$J$8:$J$14,0)),0),N('設定'!$C$8)),0))))</f>
        <v/>
      </c>
    </row>
    <row r="135" ht="18" customHeight="1">
      <c r="B135" s="68">
        <f>IF(IF($C$5&lt;&gt;"",$C$5,IF('設定'!$C$6="","",DATE(YEAR('設定'!$C$6),1,1)))="","",IF($C$5&lt;&gt;"",$C$5,IF('設定'!$C$6="","",DATE(YEAR('設定'!$C$6),1,1)))+119)</f>
        <v/>
      </c>
      <c r="C135" s="67">
        <f>IF($B135="","",CHOOSE(WEEKDAY($B135),"日","月","火","水","木","金","土"))</f>
        <v/>
      </c>
      <c r="D135" s="69" t="n"/>
      <c r="E135" s="69" t="n"/>
      <c r="F135" s="70" t="n"/>
      <c r="G135" s="44">
        <f>IF($B135="","",IF(ISNUMBER($E135),$E135,IF(ISNUMBER($D135),$D135,ROUND(IF(N(IFERROR(INDEX('動員を入れる'!$K$8:$K$14,MATCH($C135,'動員を入れる'!$J$8:$J$14,0)),0))&gt;0,IFERROR(INDEX('動員を入れる'!$K$8:$K$14,MATCH($C135,'動員を入れる'!$J$8:$J$14,0)),0),N('設定'!$C$8)),0))))</f>
        <v/>
      </c>
    </row>
    <row r="136" ht="18" customHeight="1">
      <c r="B136" s="68">
        <f>IF(IF($C$5&lt;&gt;"",$C$5,IF('設定'!$C$6="","",DATE(YEAR('設定'!$C$6),1,1)))="","",IF($C$5&lt;&gt;"",$C$5,IF('設定'!$C$6="","",DATE(YEAR('設定'!$C$6),1,1)))+120)</f>
        <v/>
      </c>
      <c r="C136" s="67">
        <f>IF($B136="","",CHOOSE(WEEKDAY($B136),"日","月","火","水","木","金","土"))</f>
        <v/>
      </c>
      <c r="D136" s="69" t="n"/>
      <c r="E136" s="69" t="n"/>
      <c r="F136" s="70" t="n"/>
      <c r="G136" s="44">
        <f>IF($B136="","",IF(ISNUMBER($E136),$E136,IF(ISNUMBER($D136),$D136,ROUND(IF(N(IFERROR(INDEX('動員を入れる'!$K$8:$K$14,MATCH($C136,'動員を入れる'!$J$8:$J$14,0)),0))&gt;0,IFERROR(INDEX('動員を入れる'!$K$8:$K$14,MATCH($C136,'動員を入れる'!$J$8:$J$14,0)),0),N('設定'!$C$8)),0))))</f>
        <v/>
      </c>
    </row>
    <row r="137" ht="18" customHeight="1">
      <c r="B137" s="68">
        <f>IF(IF($C$5&lt;&gt;"",$C$5,IF('設定'!$C$6="","",DATE(YEAR('設定'!$C$6),1,1)))="","",IF($C$5&lt;&gt;"",$C$5,IF('設定'!$C$6="","",DATE(YEAR('設定'!$C$6),1,1)))+121)</f>
        <v/>
      </c>
      <c r="C137" s="67">
        <f>IF($B137="","",CHOOSE(WEEKDAY($B137),"日","月","火","水","木","金","土"))</f>
        <v/>
      </c>
      <c r="D137" s="69" t="n"/>
      <c r="E137" s="69" t="n"/>
      <c r="F137" s="70" t="n"/>
      <c r="G137" s="44">
        <f>IF($B137="","",IF(ISNUMBER($E137),$E137,IF(ISNUMBER($D137),$D137,ROUND(IF(N(IFERROR(INDEX('動員を入れる'!$K$8:$K$14,MATCH($C137,'動員を入れる'!$J$8:$J$14,0)),0))&gt;0,IFERROR(INDEX('動員を入れる'!$K$8:$K$14,MATCH($C137,'動員を入れる'!$J$8:$J$14,0)),0),N('設定'!$C$8)),0))))</f>
        <v/>
      </c>
    </row>
    <row r="138" ht="18" customHeight="1">
      <c r="B138" s="68">
        <f>IF(IF($C$5&lt;&gt;"",$C$5,IF('設定'!$C$6="","",DATE(YEAR('設定'!$C$6),1,1)))="","",IF($C$5&lt;&gt;"",$C$5,IF('設定'!$C$6="","",DATE(YEAR('設定'!$C$6),1,1)))+122)</f>
        <v/>
      </c>
      <c r="C138" s="67">
        <f>IF($B138="","",CHOOSE(WEEKDAY($B138),"日","月","火","水","木","金","土"))</f>
        <v/>
      </c>
      <c r="D138" s="69" t="n"/>
      <c r="E138" s="69" t="n"/>
      <c r="F138" s="70" t="n"/>
      <c r="G138" s="44">
        <f>IF($B138="","",IF(ISNUMBER($E138),$E138,IF(ISNUMBER($D138),$D138,ROUND(IF(N(IFERROR(INDEX('動員を入れる'!$K$8:$K$14,MATCH($C138,'動員を入れる'!$J$8:$J$14,0)),0))&gt;0,IFERROR(INDEX('動員を入れる'!$K$8:$K$14,MATCH($C138,'動員を入れる'!$J$8:$J$14,0)),0),N('設定'!$C$8)),0))))</f>
        <v/>
      </c>
    </row>
    <row r="139" ht="18" customHeight="1">
      <c r="B139" s="68">
        <f>IF(IF($C$5&lt;&gt;"",$C$5,IF('設定'!$C$6="","",DATE(YEAR('設定'!$C$6),1,1)))="","",IF($C$5&lt;&gt;"",$C$5,IF('設定'!$C$6="","",DATE(YEAR('設定'!$C$6),1,1)))+123)</f>
        <v/>
      </c>
      <c r="C139" s="67">
        <f>IF($B139="","",CHOOSE(WEEKDAY($B139),"日","月","火","水","木","金","土"))</f>
        <v/>
      </c>
      <c r="D139" s="69" t="n"/>
      <c r="E139" s="69" t="n"/>
      <c r="F139" s="70" t="n"/>
      <c r="G139" s="44">
        <f>IF($B139="","",IF(ISNUMBER($E139),$E139,IF(ISNUMBER($D139),$D139,ROUND(IF(N(IFERROR(INDEX('動員を入れる'!$K$8:$K$14,MATCH($C139,'動員を入れる'!$J$8:$J$14,0)),0))&gt;0,IFERROR(INDEX('動員を入れる'!$K$8:$K$14,MATCH($C139,'動員を入れる'!$J$8:$J$14,0)),0),N('設定'!$C$8)),0))))</f>
        <v/>
      </c>
    </row>
    <row r="140" ht="18" customHeight="1">
      <c r="B140" s="68">
        <f>IF(IF($C$5&lt;&gt;"",$C$5,IF('設定'!$C$6="","",DATE(YEAR('設定'!$C$6),1,1)))="","",IF($C$5&lt;&gt;"",$C$5,IF('設定'!$C$6="","",DATE(YEAR('設定'!$C$6),1,1)))+124)</f>
        <v/>
      </c>
      <c r="C140" s="67">
        <f>IF($B140="","",CHOOSE(WEEKDAY($B140),"日","月","火","水","木","金","土"))</f>
        <v/>
      </c>
      <c r="D140" s="69" t="n"/>
      <c r="E140" s="69" t="n"/>
      <c r="F140" s="70" t="n"/>
      <c r="G140" s="44">
        <f>IF($B140="","",IF(ISNUMBER($E140),$E140,IF(ISNUMBER($D140),$D140,ROUND(IF(N(IFERROR(INDEX('動員を入れる'!$K$8:$K$14,MATCH($C140,'動員を入れる'!$J$8:$J$14,0)),0))&gt;0,IFERROR(INDEX('動員を入れる'!$K$8:$K$14,MATCH($C140,'動員を入れる'!$J$8:$J$14,0)),0),N('設定'!$C$8)),0))))</f>
        <v/>
      </c>
    </row>
    <row r="141" ht="18" customHeight="1">
      <c r="B141" s="68">
        <f>IF(IF($C$5&lt;&gt;"",$C$5,IF('設定'!$C$6="","",DATE(YEAR('設定'!$C$6),1,1)))="","",IF($C$5&lt;&gt;"",$C$5,IF('設定'!$C$6="","",DATE(YEAR('設定'!$C$6),1,1)))+125)</f>
        <v/>
      </c>
      <c r="C141" s="67">
        <f>IF($B141="","",CHOOSE(WEEKDAY($B141),"日","月","火","水","木","金","土"))</f>
        <v/>
      </c>
      <c r="D141" s="69" t="n"/>
      <c r="E141" s="69" t="n"/>
      <c r="F141" s="70" t="n"/>
      <c r="G141" s="44">
        <f>IF($B141="","",IF(ISNUMBER($E141),$E141,IF(ISNUMBER($D141),$D141,ROUND(IF(N(IFERROR(INDEX('動員を入れる'!$K$8:$K$14,MATCH($C141,'動員を入れる'!$J$8:$J$14,0)),0))&gt;0,IFERROR(INDEX('動員を入れる'!$K$8:$K$14,MATCH($C141,'動員を入れる'!$J$8:$J$14,0)),0),N('設定'!$C$8)),0))))</f>
        <v/>
      </c>
    </row>
    <row r="142" ht="18" customHeight="1">
      <c r="B142" s="68">
        <f>IF(IF($C$5&lt;&gt;"",$C$5,IF('設定'!$C$6="","",DATE(YEAR('設定'!$C$6),1,1)))="","",IF($C$5&lt;&gt;"",$C$5,IF('設定'!$C$6="","",DATE(YEAR('設定'!$C$6),1,1)))+126)</f>
        <v/>
      </c>
      <c r="C142" s="67">
        <f>IF($B142="","",CHOOSE(WEEKDAY($B142),"日","月","火","水","木","金","土"))</f>
        <v/>
      </c>
      <c r="D142" s="69" t="n"/>
      <c r="E142" s="69" t="n"/>
      <c r="F142" s="70" t="n"/>
      <c r="G142" s="44">
        <f>IF($B142="","",IF(ISNUMBER($E142),$E142,IF(ISNUMBER($D142),$D142,ROUND(IF(N(IFERROR(INDEX('動員を入れる'!$K$8:$K$14,MATCH($C142,'動員を入れる'!$J$8:$J$14,0)),0))&gt;0,IFERROR(INDEX('動員を入れる'!$K$8:$K$14,MATCH($C142,'動員を入れる'!$J$8:$J$14,0)),0),N('設定'!$C$8)),0))))</f>
        <v/>
      </c>
    </row>
    <row r="143" ht="18" customHeight="1">
      <c r="B143" s="68">
        <f>IF(IF($C$5&lt;&gt;"",$C$5,IF('設定'!$C$6="","",DATE(YEAR('設定'!$C$6),1,1)))="","",IF($C$5&lt;&gt;"",$C$5,IF('設定'!$C$6="","",DATE(YEAR('設定'!$C$6),1,1)))+127)</f>
        <v/>
      </c>
      <c r="C143" s="67">
        <f>IF($B143="","",CHOOSE(WEEKDAY($B143),"日","月","火","水","木","金","土"))</f>
        <v/>
      </c>
      <c r="D143" s="69" t="n"/>
      <c r="E143" s="69" t="n"/>
      <c r="F143" s="70" t="n"/>
      <c r="G143" s="44">
        <f>IF($B143="","",IF(ISNUMBER($E143),$E143,IF(ISNUMBER($D143),$D143,ROUND(IF(N(IFERROR(INDEX('動員を入れる'!$K$8:$K$14,MATCH($C143,'動員を入れる'!$J$8:$J$14,0)),0))&gt;0,IFERROR(INDEX('動員を入れる'!$K$8:$K$14,MATCH($C143,'動員を入れる'!$J$8:$J$14,0)),0),N('設定'!$C$8)),0))))</f>
        <v/>
      </c>
    </row>
    <row r="144" ht="18" customHeight="1">
      <c r="B144" s="68">
        <f>IF(IF($C$5&lt;&gt;"",$C$5,IF('設定'!$C$6="","",DATE(YEAR('設定'!$C$6),1,1)))="","",IF($C$5&lt;&gt;"",$C$5,IF('設定'!$C$6="","",DATE(YEAR('設定'!$C$6),1,1)))+128)</f>
        <v/>
      </c>
      <c r="C144" s="67">
        <f>IF($B144="","",CHOOSE(WEEKDAY($B144),"日","月","火","水","木","金","土"))</f>
        <v/>
      </c>
      <c r="D144" s="69" t="n"/>
      <c r="E144" s="69" t="n"/>
      <c r="F144" s="70" t="n"/>
      <c r="G144" s="44">
        <f>IF($B144="","",IF(ISNUMBER($E144),$E144,IF(ISNUMBER($D144),$D144,ROUND(IF(N(IFERROR(INDEX('動員を入れる'!$K$8:$K$14,MATCH($C144,'動員を入れる'!$J$8:$J$14,0)),0))&gt;0,IFERROR(INDEX('動員を入れる'!$K$8:$K$14,MATCH($C144,'動員を入れる'!$J$8:$J$14,0)),0),N('設定'!$C$8)),0))))</f>
        <v/>
      </c>
    </row>
    <row r="145" ht="18" customHeight="1">
      <c r="B145" s="68">
        <f>IF(IF($C$5&lt;&gt;"",$C$5,IF('設定'!$C$6="","",DATE(YEAR('設定'!$C$6),1,1)))="","",IF($C$5&lt;&gt;"",$C$5,IF('設定'!$C$6="","",DATE(YEAR('設定'!$C$6),1,1)))+129)</f>
        <v/>
      </c>
      <c r="C145" s="67">
        <f>IF($B145="","",CHOOSE(WEEKDAY($B145),"日","月","火","水","木","金","土"))</f>
        <v/>
      </c>
      <c r="D145" s="69" t="n"/>
      <c r="E145" s="69" t="n"/>
      <c r="F145" s="70" t="n"/>
      <c r="G145" s="44">
        <f>IF($B145="","",IF(ISNUMBER($E145),$E145,IF(ISNUMBER($D145),$D145,ROUND(IF(N(IFERROR(INDEX('動員を入れる'!$K$8:$K$14,MATCH($C145,'動員を入れる'!$J$8:$J$14,0)),0))&gt;0,IFERROR(INDEX('動員を入れる'!$K$8:$K$14,MATCH($C145,'動員を入れる'!$J$8:$J$14,0)),0),N('設定'!$C$8)),0))))</f>
        <v/>
      </c>
    </row>
    <row r="146" ht="18" customHeight="1">
      <c r="B146" s="68">
        <f>IF(IF($C$5&lt;&gt;"",$C$5,IF('設定'!$C$6="","",DATE(YEAR('設定'!$C$6),1,1)))="","",IF($C$5&lt;&gt;"",$C$5,IF('設定'!$C$6="","",DATE(YEAR('設定'!$C$6),1,1)))+130)</f>
        <v/>
      </c>
      <c r="C146" s="67">
        <f>IF($B146="","",CHOOSE(WEEKDAY($B146),"日","月","火","水","木","金","土"))</f>
        <v/>
      </c>
      <c r="D146" s="69" t="n"/>
      <c r="E146" s="69" t="n"/>
      <c r="F146" s="70" t="n"/>
      <c r="G146" s="44">
        <f>IF($B146="","",IF(ISNUMBER($E146),$E146,IF(ISNUMBER($D146),$D146,ROUND(IF(N(IFERROR(INDEX('動員を入れる'!$K$8:$K$14,MATCH($C146,'動員を入れる'!$J$8:$J$14,0)),0))&gt;0,IFERROR(INDEX('動員を入れる'!$K$8:$K$14,MATCH($C146,'動員を入れる'!$J$8:$J$14,0)),0),N('設定'!$C$8)),0))))</f>
        <v/>
      </c>
    </row>
    <row r="147" ht="18" customHeight="1">
      <c r="B147" s="68">
        <f>IF(IF($C$5&lt;&gt;"",$C$5,IF('設定'!$C$6="","",DATE(YEAR('設定'!$C$6),1,1)))="","",IF($C$5&lt;&gt;"",$C$5,IF('設定'!$C$6="","",DATE(YEAR('設定'!$C$6),1,1)))+131)</f>
        <v/>
      </c>
      <c r="C147" s="67">
        <f>IF($B147="","",CHOOSE(WEEKDAY($B147),"日","月","火","水","木","金","土"))</f>
        <v/>
      </c>
      <c r="D147" s="69" t="n"/>
      <c r="E147" s="69" t="n"/>
      <c r="F147" s="70" t="n"/>
      <c r="G147" s="44">
        <f>IF($B147="","",IF(ISNUMBER($E147),$E147,IF(ISNUMBER($D147),$D147,ROUND(IF(N(IFERROR(INDEX('動員を入れる'!$K$8:$K$14,MATCH($C147,'動員を入れる'!$J$8:$J$14,0)),0))&gt;0,IFERROR(INDEX('動員を入れる'!$K$8:$K$14,MATCH($C147,'動員を入れる'!$J$8:$J$14,0)),0),N('設定'!$C$8)),0))))</f>
        <v/>
      </c>
    </row>
    <row r="148" ht="18" customHeight="1">
      <c r="B148" s="68">
        <f>IF(IF($C$5&lt;&gt;"",$C$5,IF('設定'!$C$6="","",DATE(YEAR('設定'!$C$6),1,1)))="","",IF($C$5&lt;&gt;"",$C$5,IF('設定'!$C$6="","",DATE(YEAR('設定'!$C$6),1,1)))+132)</f>
        <v/>
      </c>
      <c r="C148" s="67">
        <f>IF($B148="","",CHOOSE(WEEKDAY($B148),"日","月","火","水","木","金","土"))</f>
        <v/>
      </c>
      <c r="D148" s="69" t="n"/>
      <c r="E148" s="69" t="n"/>
      <c r="F148" s="70" t="n"/>
      <c r="G148" s="44">
        <f>IF($B148="","",IF(ISNUMBER($E148),$E148,IF(ISNUMBER($D148),$D148,ROUND(IF(N(IFERROR(INDEX('動員を入れる'!$K$8:$K$14,MATCH($C148,'動員を入れる'!$J$8:$J$14,0)),0))&gt;0,IFERROR(INDEX('動員を入れる'!$K$8:$K$14,MATCH($C148,'動員を入れる'!$J$8:$J$14,0)),0),N('設定'!$C$8)),0))))</f>
        <v/>
      </c>
    </row>
    <row r="149" ht="18" customHeight="1">
      <c r="B149" s="68">
        <f>IF(IF($C$5&lt;&gt;"",$C$5,IF('設定'!$C$6="","",DATE(YEAR('設定'!$C$6),1,1)))="","",IF($C$5&lt;&gt;"",$C$5,IF('設定'!$C$6="","",DATE(YEAR('設定'!$C$6),1,1)))+133)</f>
        <v/>
      </c>
      <c r="C149" s="67">
        <f>IF($B149="","",CHOOSE(WEEKDAY($B149),"日","月","火","水","木","金","土"))</f>
        <v/>
      </c>
      <c r="D149" s="69" t="n"/>
      <c r="E149" s="69" t="n"/>
      <c r="F149" s="70" t="n"/>
      <c r="G149" s="44">
        <f>IF($B149="","",IF(ISNUMBER($E149),$E149,IF(ISNUMBER($D149),$D149,ROUND(IF(N(IFERROR(INDEX('動員を入れる'!$K$8:$K$14,MATCH($C149,'動員を入れる'!$J$8:$J$14,0)),0))&gt;0,IFERROR(INDEX('動員を入れる'!$K$8:$K$14,MATCH($C149,'動員を入れる'!$J$8:$J$14,0)),0),N('設定'!$C$8)),0))))</f>
        <v/>
      </c>
    </row>
    <row r="150" ht="18" customHeight="1">
      <c r="B150" s="68">
        <f>IF(IF($C$5&lt;&gt;"",$C$5,IF('設定'!$C$6="","",DATE(YEAR('設定'!$C$6),1,1)))="","",IF($C$5&lt;&gt;"",$C$5,IF('設定'!$C$6="","",DATE(YEAR('設定'!$C$6),1,1)))+134)</f>
        <v/>
      </c>
      <c r="C150" s="67">
        <f>IF($B150="","",CHOOSE(WEEKDAY($B150),"日","月","火","水","木","金","土"))</f>
        <v/>
      </c>
      <c r="D150" s="69" t="n"/>
      <c r="E150" s="69" t="n"/>
      <c r="F150" s="70" t="n"/>
      <c r="G150" s="44">
        <f>IF($B150="","",IF(ISNUMBER($E150),$E150,IF(ISNUMBER($D150),$D150,ROUND(IF(N(IFERROR(INDEX('動員を入れる'!$K$8:$K$14,MATCH($C150,'動員を入れる'!$J$8:$J$14,0)),0))&gt;0,IFERROR(INDEX('動員を入れる'!$K$8:$K$14,MATCH($C150,'動員を入れる'!$J$8:$J$14,0)),0),N('設定'!$C$8)),0))))</f>
        <v/>
      </c>
    </row>
    <row r="151" ht="18" customHeight="1">
      <c r="B151" s="68">
        <f>IF(IF($C$5&lt;&gt;"",$C$5,IF('設定'!$C$6="","",DATE(YEAR('設定'!$C$6),1,1)))="","",IF($C$5&lt;&gt;"",$C$5,IF('設定'!$C$6="","",DATE(YEAR('設定'!$C$6),1,1)))+135)</f>
        <v/>
      </c>
      <c r="C151" s="67">
        <f>IF($B151="","",CHOOSE(WEEKDAY($B151),"日","月","火","水","木","金","土"))</f>
        <v/>
      </c>
      <c r="D151" s="69" t="n"/>
      <c r="E151" s="69" t="n"/>
      <c r="F151" s="70" t="n"/>
      <c r="G151" s="44">
        <f>IF($B151="","",IF(ISNUMBER($E151),$E151,IF(ISNUMBER($D151),$D151,ROUND(IF(N(IFERROR(INDEX('動員を入れる'!$K$8:$K$14,MATCH($C151,'動員を入れる'!$J$8:$J$14,0)),0))&gt;0,IFERROR(INDEX('動員を入れる'!$K$8:$K$14,MATCH($C151,'動員を入れる'!$J$8:$J$14,0)),0),N('設定'!$C$8)),0))))</f>
        <v/>
      </c>
    </row>
    <row r="152" ht="18" customHeight="1">
      <c r="B152" s="68">
        <f>IF(IF($C$5&lt;&gt;"",$C$5,IF('設定'!$C$6="","",DATE(YEAR('設定'!$C$6),1,1)))="","",IF($C$5&lt;&gt;"",$C$5,IF('設定'!$C$6="","",DATE(YEAR('設定'!$C$6),1,1)))+136)</f>
        <v/>
      </c>
      <c r="C152" s="67">
        <f>IF($B152="","",CHOOSE(WEEKDAY($B152),"日","月","火","水","木","金","土"))</f>
        <v/>
      </c>
      <c r="D152" s="69" t="n"/>
      <c r="E152" s="69" t="n"/>
      <c r="F152" s="70" t="n"/>
      <c r="G152" s="44">
        <f>IF($B152="","",IF(ISNUMBER($E152),$E152,IF(ISNUMBER($D152),$D152,ROUND(IF(N(IFERROR(INDEX('動員を入れる'!$K$8:$K$14,MATCH($C152,'動員を入れる'!$J$8:$J$14,0)),0))&gt;0,IFERROR(INDEX('動員を入れる'!$K$8:$K$14,MATCH($C152,'動員を入れる'!$J$8:$J$14,0)),0),N('設定'!$C$8)),0))))</f>
        <v/>
      </c>
    </row>
    <row r="153" ht="18" customHeight="1">
      <c r="B153" s="68">
        <f>IF(IF($C$5&lt;&gt;"",$C$5,IF('設定'!$C$6="","",DATE(YEAR('設定'!$C$6),1,1)))="","",IF($C$5&lt;&gt;"",$C$5,IF('設定'!$C$6="","",DATE(YEAR('設定'!$C$6),1,1)))+137)</f>
        <v/>
      </c>
      <c r="C153" s="67">
        <f>IF($B153="","",CHOOSE(WEEKDAY($B153),"日","月","火","水","木","金","土"))</f>
        <v/>
      </c>
      <c r="D153" s="69" t="n"/>
      <c r="E153" s="69" t="n"/>
      <c r="F153" s="70" t="n"/>
      <c r="G153" s="44">
        <f>IF($B153="","",IF(ISNUMBER($E153),$E153,IF(ISNUMBER($D153),$D153,ROUND(IF(N(IFERROR(INDEX('動員を入れる'!$K$8:$K$14,MATCH($C153,'動員を入れる'!$J$8:$J$14,0)),0))&gt;0,IFERROR(INDEX('動員を入れる'!$K$8:$K$14,MATCH($C153,'動員を入れる'!$J$8:$J$14,0)),0),N('設定'!$C$8)),0))))</f>
        <v/>
      </c>
    </row>
    <row r="154" ht="18" customHeight="1">
      <c r="B154" s="68">
        <f>IF(IF($C$5&lt;&gt;"",$C$5,IF('設定'!$C$6="","",DATE(YEAR('設定'!$C$6),1,1)))="","",IF($C$5&lt;&gt;"",$C$5,IF('設定'!$C$6="","",DATE(YEAR('設定'!$C$6),1,1)))+138)</f>
        <v/>
      </c>
      <c r="C154" s="67">
        <f>IF($B154="","",CHOOSE(WEEKDAY($B154),"日","月","火","水","木","金","土"))</f>
        <v/>
      </c>
      <c r="D154" s="69" t="n"/>
      <c r="E154" s="69" t="n"/>
      <c r="F154" s="70" t="n"/>
      <c r="G154" s="44">
        <f>IF($B154="","",IF(ISNUMBER($E154),$E154,IF(ISNUMBER($D154),$D154,ROUND(IF(N(IFERROR(INDEX('動員を入れる'!$K$8:$K$14,MATCH($C154,'動員を入れる'!$J$8:$J$14,0)),0))&gt;0,IFERROR(INDEX('動員を入れる'!$K$8:$K$14,MATCH($C154,'動員を入れる'!$J$8:$J$14,0)),0),N('設定'!$C$8)),0))))</f>
        <v/>
      </c>
    </row>
    <row r="155" ht="18" customHeight="1">
      <c r="B155" s="68">
        <f>IF(IF($C$5&lt;&gt;"",$C$5,IF('設定'!$C$6="","",DATE(YEAR('設定'!$C$6),1,1)))="","",IF($C$5&lt;&gt;"",$C$5,IF('設定'!$C$6="","",DATE(YEAR('設定'!$C$6),1,1)))+139)</f>
        <v/>
      </c>
      <c r="C155" s="67">
        <f>IF($B155="","",CHOOSE(WEEKDAY($B155),"日","月","火","水","木","金","土"))</f>
        <v/>
      </c>
      <c r="D155" s="69" t="n"/>
      <c r="E155" s="69" t="n"/>
      <c r="F155" s="70" t="n"/>
      <c r="G155" s="44">
        <f>IF($B155="","",IF(ISNUMBER($E155),$E155,IF(ISNUMBER($D155),$D155,ROUND(IF(N(IFERROR(INDEX('動員を入れる'!$K$8:$K$14,MATCH($C155,'動員を入れる'!$J$8:$J$14,0)),0))&gt;0,IFERROR(INDEX('動員を入れる'!$K$8:$K$14,MATCH($C155,'動員を入れる'!$J$8:$J$14,0)),0),N('設定'!$C$8)),0))))</f>
        <v/>
      </c>
    </row>
    <row r="156" ht="18" customHeight="1">
      <c r="B156" s="68">
        <f>IF(IF($C$5&lt;&gt;"",$C$5,IF('設定'!$C$6="","",DATE(YEAR('設定'!$C$6),1,1)))="","",IF($C$5&lt;&gt;"",$C$5,IF('設定'!$C$6="","",DATE(YEAR('設定'!$C$6),1,1)))+140)</f>
        <v/>
      </c>
      <c r="C156" s="67">
        <f>IF($B156="","",CHOOSE(WEEKDAY($B156),"日","月","火","水","木","金","土"))</f>
        <v/>
      </c>
      <c r="D156" s="69" t="n"/>
      <c r="E156" s="69" t="n"/>
      <c r="F156" s="70" t="n"/>
      <c r="G156" s="44">
        <f>IF($B156="","",IF(ISNUMBER($E156),$E156,IF(ISNUMBER($D156),$D156,ROUND(IF(N(IFERROR(INDEX('動員を入れる'!$K$8:$K$14,MATCH($C156,'動員を入れる'!$J$8:$J$14,0)),0))&gt;0,IFERROR(INDEX('動員を入れる'!$K$8:$K$14,MATCH($C156,'動員を入れる'!$J$8:$J$14,0)),0),N('設定'!$C$8)),0))))</f>
        <v/>
      </c>
    </row>
    <row r="157" ht="18" customHeight="1">
      <c r="B157" s="68">
        <f>IF(IF($C$5&lt;&gt;"",$C$5,IF('設定'!$C$6="","",DATE(YEAR('設定'!$C$6),1,1)))="","",IF($C$5&lt;&gt;"",$C$5,IF('設定'!$C$6="","",DATE(YEAR('設定'!$C$6),1,1)))+141)</f>
        <v/>
      </c>
      <c r="C157" s="67">
        <f>IF($B157="","",CHOOSE(WEEKDAY($B157),"日","月","火","水","木","金","土"))</f>
        <v/>
      </c>
      <c r="D157" s="69" t="n"/>
      <c r="E157" s="69" t="n"/>
      <c r="F157" s="70" t="n"/>
      <c r="G157" s="44">
        <f>IF($B157="","",IF(ISNUMBER($E157),$E157,IF(ISNUMBER($D157),$D157,ROUND(IF(N(IFERROR(INDEX('動員を入れる'!$K$8:$K$14,MATCH($C157,'動員を入れる'!$J$8:$J$14,0)),0))&gt;0,IFERROR(INDEX('動員を入れる'!$K$8:$K$14,MATCH($C157,'動員を入れる'!$J$8:$J$14,0)),0),N('設定'!$C$8)),0))))</f>
        <v/>
      </c>
    </row>
    <row r="158" ht="18" customHeight="1">
      <c r="B158" s="68">
        <f>IF(IF($C$5&lt;&gt;"",$C$5,IF('設定'!$C$6="","",DATE(YEAR('設定'!$C$6),1,1)))="","",IF($C$5&lt;&gt;"",$C$5,IF('設定'!$C$6="","",DATE(YEAR('設定'!$C$6),1,1)))+142)</f>
        <v/>
      </c>
      <c r="C158" s="67">
        <f>IF($B158="","",CHOOSE(WEEKDAY($B158),"日","月","火","水","木","金","土"))</f>
        <v/>
      </c>
      <c r="D158" s="69" t="n"/>
      <c r="E158" s="69" t="n"/>
      <c r="F158" s="70" t="n"/>
      <c r="G158" s="44">
        <f>IF($B158="","",IF(ISNUMBER($E158),$E158,IF(ISNUMBER($D158),$D158,ROUND(IF(N(IFERROR(INDEX('動員を入れる'!$K$8:$K$14,MATCH($C158,'動員を入れる'!$J$8:$J$14,0)),0))&gt;0,IFERROR(INDEX('動員を入れる'!$K$8:$K$14,MATCH($C158,'動員を入れる'!$J$8:$J$14,0)),0),N('設定'!$C$8)),0))))</f>
        <v/>
      </c>
    </row>
    <row r="159" ht="18" customHeight="1">
      <c r="B159" s="68">
        <f>IF(IF($C$5&lt;&gt;"",$C$5,IF('設定'!$C$6="","",DATE(YEAR('設定'!$C$6),1,1)))="","",IF($C$5&lt;&gt;"",$C$5,IF('設定'!$C$6="","",DATE(YEAR('設定'!$C$6),1,1)))+143)</f>
        <v/>
      </c>
      <c r="C159" s="67">
        <f>IF($B159="","",CHOOSE(WEEKDAY($B159),"日","月","火","水","木","金","土"))</f>
        <v/>
      </c>
      <c r="D159" s="69" t="n"/>
      <c r="E159" s="69" t="n"/>
      <c r="F159" s="70" t="n"/>
      <c r="G159" s="44">
        <f>IF($B159="","",IF(ISNUMBER($E159),$E159,IF(ISNUMBER($D159),$D159,ROUND(IF(N(IFERROR(INDEX('動員を入れる'!$K$8:$K$14,MATCH($C159,'動員を入れる'!$J$8:$J$14,0)),0))&gt;0,IFERROR(INDEX('動員を入れる'!$K$8:$K$14,MATCH($C159,'動員を入れる'!$J$8:$J$14,0)),0),N('設定'!$C$8)),0))))</f>
        <v/>
      </c>
    </row>
    <row r="160" ht="18" customHeight="1">
      <c r="B160" s="68">
        <f>IF(IF($C$5&lt;&gt;"",$C$5,IF('設定'!$C$6="","",DATE(YEAR('設定'!$C$6),1,1)))="","",IF($C$5&lt;&gt;"",$C$5,IF('設定'!$C$6="","",DATE(YEAR('設定'!$C$6),1,1)))+144)</f>
        <v/>
      </c>
      <c r="C160" s="67">
        <f>IF($B160="","",CHOOSE(WEEKDAY($B160),"日","月","火","水","木","金","土"))</f>
        <v/>
      </c>
      <c r="D160" s="69" t="n"/>
      <c r="E160" s="69" t="n"/>
      <c r="F160" s="70" t="n"/>
      <c r="G160" s="44">
        <f>IF($B160="","",IF(ISNUMBER($E160),$E160,IF(ISNUMBER($D160),$D160,ROUND(IF(N(IFERROR(INDEX('動員を入れる'!$K$8:$K$14,MATCH($C160,'動員を入れる'!$J$8:$J$14,0)),0))&gt;0,IFERROR(INDEX('動員を入れる'!$K$8:$K$14,MATCH($C160,'動員を入れる'!$J$8:$J$14,0)),0),N('設定'!$C$8)),0))))</f>
        <v/>
      </c>
    </row>
    <row r="161" ht="18" customHeight="1">
      <c r="B161" s="68">
        <f>IF(IF($C$5&lt;&gt;"",$C$5,IF('設定'!$C$6="","",DATE(YEAR('設定'!$C$6),1,1)))="","",IF($C$5&lt;&gt;"",$C$5,IF('設定'!$C$6="","",DATE(YEAR('設定'!$C$6),1,1)))+145)</f>
        <v/>
      </c>
      <c r="C161" s="67">
        <f>IF($B161="","",CHOOSE(WEEKDAY($B161),"日","月","火","水","木","金","土"))</f>
        <v/>
      </c>
      <c r="D161" s="69" t="n"/>
      <c r="E161" s="69" t="n"/>
      <c r="F161" s="70" t="n"/>
      <c r="G161" s="44">
        <f>IF($B161="","",IF(ISNUMBER($E161),$E161,IF(ISNUMBER($D161),$D161,ROUND(IF(N(IFERROR(INDEX('動員を入れる'!$K$8:$K$14,MATCH($C161,'動員を入れる'!$J$8:$J$14,0)),0))&gt;0,IFERROR(INDEX('動員を入れる'!$K$8:$K$14,MATCH($C161,'動員を入れる'!$J$8:$J$14,0)),0),N('設定'!$C$8)),0))))</f>
        <v/>
      </c>
    </row>
    <row r="162" ht="18" customHeight="1">
      <c r="B162" s="68">
        <f>IF(IF($C$5&lt;&gt;"",$C$5,IF('設定'!$C$6="","",DATE(YEAR('設定'!$C$6),1,1)))="","",IF($C$5&lt;&gt;"",$C$5,IF('設定'!$C$6="","",DATE(YEAR('設定'!$C$6),1,1)))+146)</f>
        <v/>
      </c>
      <c r="C162" s="67">
        <f>IF($B162="","",CHOOSE(WEEKDAY($B162),"日","月","火","水","木","金","土"))</f>
        <v/>
      </c>
      <c r="D162" s="69" t="n"/>
      <c r="E162" s="69" t="n"/>
      <c r="F162" s="70" t="n"/>
      <c r="G162" s="44">
        <f>IF($B162="","",IF(ISNUMBER($E162),$E162,IF(ISNUMBER($D162),$D162,ROUND(IF(N(IFERROR(INDEX('動員を入れる'!$K$8:$K$14,MATCH($C162,'動員を入れる'!$J$8:$J$14,0)),0))&gt;0,IFERROR(INDEX('動員を入れる'!$K$8:$K$14,MATCH($C162,'動員を入れる'!$J$8:$J$14,0)),0),N('設定'!$C$8)),0))))</f>
        <v/>
      </c>
    </row>
    <row r="163" ht="18" customHeight="1">
      <c r="B163" s="68">
        <f>IF(IF($C$5&lt;&gt;"",$C$5,IF('設定'!$C$6="","",DATE(YEAR('設定'!$C$6),1,1)))="","",IF($C$5&lt;&gt;"",$C$5,IF('設定'!$C$6="","",DATE(YEAR('設定'!$C$6),1,1)))+147)</f>
        <v/>
      </c>
      <c r="C163" s="67">
        <f>IF($B163="","",CHOOSE(WEEKDAY($B163),"日","月","火","水","木","金","土"))</f>
        <v/>
      </c>
      <c r="D163" s="69" t="n"/>
      <c r="E163" s="69" t="n"/>
      <c r="F163" s="70" t="n"/>
      <c r="G163" s="44">
        <f>IF($B163="","",IF(ISNUMBER($E163),$E163,IF(ISNUMBER($D163),$D163,ROUND(IF(N(IFERROR(INDEX('動員を入れる'!$K$8:$K$14,MATCH($C163,'動員を入れる'!$J$8:$J$14,0)),0))&gt;0,IFERROR(INDEX('動員を入れる'!$K$8:$K$14,MATCH($C163,'動員を入れる'!$J$8:$J$14,0)),0),N('設定'!$C$8)),0))))</f>
        <v/>
      </c>
    </row>
    <row r="164" ht="18" customHeight="1">
      <c r="B164" s="68">
        <f>IF(IF($C$5&lt;&gt;"",$C$5,IF('設定'!$C$6="","",DATE(YEAR('設定'!$C$6),1,1)))="","",IF($C$5&lt;&gt;"",$C$5,IF('設定'!$C$6="","",DATE(YEAR('設定'!$C$6),1,1)))+148)</f>
        <v/>
      </c>
      <c r="C164" s="67">
        <f>IF($B164="","",CHOOSE(WEEKDAY($B164),"日","月","火","水","木","金","土"))</f>
        <v/>
      </c>
      <c r="D164" s="69" t="n"/>
      <c r="E164" s="69" t="n"/>
      <c r="F164" s="70" t="n"/>
      <c r="G164" s="44">
        <f>IF($B164="","",IF(ISNUMBER($E164),$E164,IF(ISNUMBER($D164),$D164,ROUND(IF(N(IFERROR(INDEX('動員を入れる'!$K$8:$K$14,MATCH($C164,'動員を入れる'!$J$8:$J$14,0)),0))&gt;0,IFERROR(INDEX('動員を入れる'!$K$8:$K$14,MATCH($C164,'動員を入れる'!$J$8:$J$14,0)),0),N('設定'!$C$8)),0))))</f>
        <v/>
      </c>
    </row>
    <row r="165" ht="18" customHeight="1">
      <c r="B165" s="68">
        <f>IF(IF($C$5&lt;&gt;"",$C$5,IF('設定'!$C$6="","",DATE(YEAR('設定'!$C$6),1,1)))="","",IF($C$5&lt;&gt;"",$C$5,IF('設定'!$C$6="","",DATE(YEAR('設定'!$C$6),1,1)))+149)</f>
        <v/>
      </c>
      <c r="C165" s="67">
        <f>IF($B165="","",CHOOSE(WEEKDAY($B165),"日","月","火","水","木","金","土"))</f>
        <v/>
      </c>
      <c r="D165" s="69" t="n"/>
      <c r="E165" s="69" t="n"/>
      <c r="F165" s="70" t="n"/>
      <c r="G165" s="44">
        <f>IF($B165="","",IF(ISNUMBER($E165),$E165,IF(ISNUMBER($D165),$D165,ROUND(IF(N(IFERROR(INDEX('動員を入れる'!$K$8:$K$14,MATCH($C165,'動員を入れる'!$J$8:$J$14,0)),0))&gt;0,IFERROR(INDEX('動員を入れる'!$K$8:$K$14,MATCH($C165,'動員を入れる'!$J$8:$J$14,0)),0),N('設定'!$C$8)),0))))</f>
        <v/>
      </c>
    </row>
    <row r="166" ht="18" customHeight="1">
      <c r="B166" s="68">
        <f>IF(IF($C$5&lt;&gt;"",$C$5,IF('設定'!$C$6="","",DATE(YEAR('設定'!$C$6),1,1)))="","",IF($C$5&lt;&gt;"",$C$5,IF('設定'!$C$6="","",DATE(YEAR('設定'!$C$6),1,1)))+150)</f>
        <v/>
      </c>
      <c r="C166" s="67">
        <f>IF($B166="","",CHOOSE(WEEKDAY($B166),"日","月","火","水","木","金","土"))</f>
        <v/>
      </c>
      <c r="D166" s="69" t="n"/>
      <c r="E166" s="69" t="n"/>
      <c r="F166" s="70" t="n"/>
      <c r="G166" s="44">
        <f>IF($B166="","",IF(ISNUMBER($E166),$E166,IF(ISNUMBER($D166),$D166,ROUND(IF(N(IFERROR(INDEX('動員を入れる'!$K$8:$K$14,MATCH($C166,'動員を入れる'!$J$8:$J$14,0)),0))&gt;0,IFERROR(INDEX('動員を入れる'!$K$8:$K$14,MATCH($C166,'動員を入れる'!$J$8:$J$14,0)),0),N('設定'!$C$8)),0))))</f>
        <v/>
      </c>
    </row>
    <row r="167" ht="18" customHeight="1">
      <c r="B167" s="68">
        <f>IF(IF($C$5&lt;&gt;"",$C$5,IF('設定'!$C$6="","",DATE(YEAR('設定'!$C$6),1,1)))="","",IF($C$5&lt;&gt;"",$C$5,IF('設定'!$C$6="","",DATE(YEAR('設定'!$C$6),1,1)))+151)</f>
        <v/>
      </c>
      <c r="C167" s="67">
        <f>IF($B167="","",CHOOSE(WEEKDAY($B167),"日","月","火","水","木","金","土"))</f>
        <v/>
      </c>
      <c r="D167" s="69" t="n"/>
      <c r="E167" s="69" t="n"/>
      <c r="F167" s="70" t="n"/>
      <c r="G167" s="44">
        <f>IF($B167="","",IF(ISNUMBER($E167),$E167,IF(ISNUMBER($D167),$D167,ROUND(IF(N(IFERROR(INDEX('動員を入れる'!$K$8:$K$14,MATCH($C167,'動員を入れる'!$J$8:$J$14,0)),0))&gt;0,IFERROR(INDEX('動員を入れる'!$K$8:$K$14,MATCH($C167,'動員を入れる'!$J$8:$J$14,0)),0),N('設定'!$C$8)),0))))</f>
        <v/>
      </c>
    </row>
    <row r="168" ht="18" customHeight="1">
      <c r="B168" s="68">
        <f>IF(IF($C$5&lt;&gt;"",$C$5,IF('設定'!$C$6="","",DATE(YEAR('設定'!$C$6),1,1)))="","",IF($C$5&lt;&gt;"",$C$5,IF('設定'!$C$6="","",DATE(YEAR('設定'!$C$6),1,1)))+152)</f>
        <v/>
      </c>
      <c r="C168" s="67">
        <f>IF($B168="","",CHOOSE(WEEKDAY($B168),"日","月","火","水","木","金","土"))</f>
        <v/>
      </c>
      <c r="D168" s="69" t="n"/>
      <c r="E168" s="69" t="n"/>
      <c r="F168" s="70" t="n"/>
      <c r="G168" s="44">
        <f>IF($B168="","",IF(ISNUMBER($E168),$E168,IF(ISNUMBER($D168),$D168,ROUND(IF(N(IFERROR(INDEX('動員を入れる'!$K$8:$K$14,MATCH($C168,'動員を入れる'!$J$8:$J$14,0)),0))&gt;0,IFERROR(INDEX('動員を入れる'!$K$8:$K$14,MATCH($C168,'動員を入れる'!$J$8:$J$14,0)),0),N('設定'!$C$8)),0))))</f>
        <v/>
      </c>
    </row>
    <row r="169" ht="18" customHeight="1">
      <c r="B169" s="68">
        <f>IF(IF($C$5&lt;&gt;"",$C$5,IF('設定'!$C$6="","",DATE(YEAR('設定'!$C$6),1,1)))="","",IF($C$5&lt;&gt;"",$C$5,IF('設定'!$C$6="","",DATE(YEAR('設定'!$C$6),1,1)))+153)</f>
        <v/>
      </c>
      <c r="C169" s="67">
        <f>IF($B169="","",CHOOSE(WEEKDAY($B169),"日","月","火","水","木","金","土"))</f>
        <v/>
      </c>
      <c r="D169" s="69" t="n"/>
      <c r="E169" s="69" t="n"/>
      <c r="F169" s="70" t="n"/>
      <c r="G169" s="44">
        <f>IF($B169="","",IF(ISNUMBER($E169),$E169,IF(ISNUMBER($D169),$D169,ROUND(IF(N(IFERROR(INDEX('動員を入れる'!$K$8:$K$14,MATCH($C169,'動員を入れる'!$J$8:$J$14,0)),0))&gt;0,IFERROR(INDEX('動員を入れる'!$K$8:$K$14,MATCH($C169,'動員を入れる'!$J$8:$J$14,0)),0),N('設定'!$C$8)),0))))</f>
        <v/>
      </c>
    </row>
    <row r="170" ht="18" customHeight="1">
      <c r="B170" s="68">
        <f>IF(IF($C$5&lt;&gt;"",$C$5,IF('設定'!$C$6="","",DATE(YEAR('設定'!$C$6),1,1)))="","",IF($C$5&lt;&gt;"",$C$5,IF('設定'!$C$6="","",DATE(YEAR('設定'!$C$6),1,1)))+154)</f>
        <v/>
      </c>
      <c r="C170" s="67">
        <f>IF($B170="","",CHOOSE(WEEKDAY($B170),"日","月","火","水","木","金","土"))</f>
        <v/>
      </c>
      <c r="D170" s="69" t="n"/>
      <c r="E170" s="69" t="n"/>
      <c r="F170" s="70" t="n"/>
      <c r="G170" s="44">
        <f>IF($B170="","",IF(ISNUMBER($E170),$E170,IF(ISNUMBER($D170),$D170,ROUND(IF(N(IFERROR(INDEX('動員を入れる'!$K$8:$K$14,MATCH($C170,'動員を入れる'!$J$8:$J$14,0)),0))&gt;0,IFERROR(INDEX('動員を入れる'!$K$8:$K$14,MATCH($C170,'動員を入れる'!$J$8:$J$14,0)),0),N('設定'!$C$8)),0))))</f>
        <v/>
      </c>
    </row>
    <row r="171" ht="18" customHeight="1">
      <c r="B171" s="68">
        <f>IF(IF($C$5&lt;&gt;"",$C$5,IF('設定'!$C$6="","",DATE(YEAR('設定'!$C$6),1,1)))="","",IF($C$5&lt;&gt;"",$C$5,IF('設定'!$C$6="","",DATE(YEAR('設定'!$C$6),1,1)))+155)</f>
        <v/>
      </c>
      <c r="C171" s="67">
        <f>IF($B171="","",CHOOSE(WEEKDAY($B171),"日","月","火","水","木","金","土"))</f>
        <v/>
      </c>
      <c r="D171" s="69" t="n"/>
      <c r="E171" s="69" t="n"/>
      <c r="F171" s="70" t="n"/>
      <c r="G171" s="44">
        <f>IF($B171="","",IF(ISNUMBER($E171),$E171,IF(ISNUMBER($D171),$D171,ROUND(IF(N(IFERROR(INDEX('動員を入れる'!$K$8:$K$14,MATCH($C171,'動員を入れる'!$J$8:$J$14,0)),0))&gt;0,IFERROR(INDEX('動員を入れる'!$K$8:$K$14,MATCH($C171,'動員を入れる'!$J$8:$J$14,0)),0),N('設定'!$C$8)),0))))</f>
        <v/>
      </c>
    </row>
    <row r="172" ht="18" customHeight="1">
      <c r="B172" s="68">
        <f>IF(IF($C$5&lt;&gt;"",$C$5,IF('設定'!$C$6="","",DATE(YEAR('設定'!$C$6),1,1)))="","",IF($C$5&lt;&gt;"",$C$5,IF('設定'!$C$6="","",DATE(YEAR('設定'!$C$6),1,1)))+156)</f>
        <v/>
      </c>
      <c r="C172" s="67">
        <f>IF($B172="","",CHOOSE(WEEKDAY($B172),"日","月","火","水","木","金","土"))</f>
        <v/>
      </c>
      <c r="D172" s="69" t="n"/>
      <c r="E172" s="69" t="n"/>
      <c r="F172" s="70" t="n"/>
      <c r="G172" s="44">
        <f>IF($B172="","",IF(ISNUMBER($E172),$E172,IF(ISNUMBER($D172),$D172,ROUND(IF(N(IFERROR(INDEX('動員を入れる'!$K$8:$K$14,MATCH($C172,'動員を入れる'!$J$8:$J$14,0)),0))&gt;0,IFERROR(INDEX('動員を入れる'!$K$8:$K$14,MATCH($C172,'動員を入れる'!$J$8:$J$14,0)),0),N('設定'!$C$8)),0))))</f>
        <v/>
      </c>
    </row>
    <row r="173" ht="18" customHeight="1">
      <c r="B173" s="68">
        <f>IF(IF($C$5&lt;&gt;"",$C$5,IF('設定'!$C$6="","",DATE(YEAR('設定'!$C$6),1,1)))="","",IF($C$5&lt;&gt;"",$C$5,IF('設定'!$C$6="","",DATE(YEAR('設定'!$C$6),1,1)))+157)</f>
        <v/>
      </c>
      <c r="C173" s="67">
        <f>IF($B173="","",CHOOSE(WEEKDAY($B173),"日","月","火","水","木","金","土"))</f>
        <v/>
      </c>
      <c r="D173" s="69" t="n"/>
      <c r="E173" s="69" t="n"/>
      <c r="F173" s="70" t="n"/>
      <c r="G173" s="44">
        <f>IF($B173="","",IF(ISNUMBER($E173),$E173,IF(ISNUMBER($D173),$D173,ROUND(IF(N(IFERROR(INDEX('動員を入れる'!$K$8:$K$14,MATCH($C173,'動員を入れる'!$J$8:$J$14,0)),0))&gt;0,IFERROR(INDEX('動員を入れる'!$K$8:$K$14,MATCH($C173,'動員を入れる'!$J$8:$J$14,0)),0),N('設定'!$C$8)),0))))</f>
        <v/>
      </c>
    </row>
    <row r="174" ht="18" customHeight="1">
      <c r="B174" s="68">
        <f>IF(IF($C$5&lt;&gt;"",$C$5,IF('設定'!$C$6="","",DATE(YEAR('設定'!$C$6),1,1)))="","",IF($C$5&lt;&gt;"",$C$5,IF('設定'!$C$6="","",DATE(YEAR('設定'!$C$6),1,1)))+158)</f>
        <v/>
      </c>
      <c r="C174" s="67">
        <f>IF($B174="","",CHOOSE(WEEKDAY($B174),"日","月","火","水","木","金","土"))</f>
        <v/>
      </c>
      <c r="D174" s="69" t="n"/>
      <c r="E174" s="69" t="n"/>
      <c r="F174" s="70" t="n"/>
      <c r="G174" s="44">
        <f>IF($B174="","",IF(ISNUMBER($E174),$E174,IF(ISNUMBER($D174),$D174,ROUND(IF(N(IFERROR(INDEX('動員を入れる'!$K$8:$K$14,MATCH($C174,'動員を入れる'!$J$8:$J$14,0)),0))&gt;0,IFERROR(INDEX('動員を入れる'!$K$8:$K$14,MATCH($C174,'動員を入れる'!$J$8:$J$14,0)),0),N('設定'!$C$8)),0))))</f>
        <v/>
      </c>
    </row>
    <row r="175" ht="18" customHeight="1">
      <c r="B175" s="68">
        <f>IF(IF($C$5&lt;&gt;"",$C$5,IF('設定'!$C$6="","",DATE(YEAR('設定'!$C$6),1,1)))="","",IF($C$5&lt;&gt;"",$C$5,IF('設定'!$C$6="","",DATE(YEAR('設定'!$C$6),1,1)))+159)</f>
        <v/>
      </c>
      <c r="C175" s="67">
        <f>IF($B175="","",CHOOSE(WEEKDAY($B175),"日","月","火","水","木","金","土"))</f>
        <v/>
      </c>
      <c r="D175" s="69" t="n"/>
      <c r="E175" s="69" t="n"/>
      <c r="F175" s="70" t="n"/>
      <c r="G175" s="44">
        <f>IF($B175="","",IF(ISNUMBER($E175),$E175,IF(ISNUMBER($D175),$D175,ROUND(IF(N(IFERROR(INDEX('動員を入れる'!$K$8:$K$14,MATCH($C175,'動員を入れる'!$J$8:$J$14,0)),0))&gt;0,IFERROR(INDEX('動員を入れる'!$K$8:$K$14,MATCH($C175,'動員を入れる'!$J$8:$J$14,0)),0),N('設定'!$C$8)),0))))</f>
        <v/>
      </c>
    </row>
    <row r="176" ht="18" customHeight="1">
      <c r="B176" s="68">
        <f>IF(IF($C$5&lt;&gt;"",$C$5,IF('設定'!$C$6="","",DATE(YEAR('設定'!$C$6),1,1)))="","",IF($C$5&lt;&gt;"",$C$5,IF('設定'!$C$6="","",DATE(YEAR('設定'!$C$6),1,1)))+160)</f>
        <v/>
      </c>
      <c r="C176" s="67">
        <f>IF($B176="","",CHOOSE(WEEKDAY($B176),"日","月","火","水","木","金","土"))</f>
        <v/>
      </c>
      <c r="D176" s="69" t="n"/>
      <c r="E176" s="69" t="n"/>
      <c r="F176" s="70" t="n"/>
      <c r="G176" s="44">
        <f>IF($B176="","",IF(ISNUMBER($E176),$E176,IF(ISNUMBER($D176),$D176,ROUND(IF(N(IFERROR(INDEX('動員を入れる'!$K$8:$K$14,MATCH($C176,'動員を入れる'!$J$8:$J$14,0)),0))&gt;0,IFERROR(INDEX('動員を入れる'!$K$8:$K$14,MATCH($C176,'動員を入れる'!$J$8:$J$14,0)),0),N('設定'!$C$8)),0))))</f>
        <v/>
      </c>
    </row>
    <row r="177" ht="18" customHeight="1">
      <c r="B177" s="68">
        <f>IF(IF($C$5&lt;&gt;"",$C$5,IF('設定'!$C$6="","",DATE(YEAR('設定'!$C$6),1,1)))="","",IF($C$5&lt;&gt;"",$C$5,IF('設定'!$C$6="","",DATE(YEAR('設定'!$C$6),1,1)))+161)</f>
        <v/>
      </c>
      <c r="C177" s="67">
        <f>IF($B177="","",CHOOSE(WEEKDAY($B177),"日","月","火","水","木","金","土"))</f>
        <v/>
      </c>
      <c r="D177" s="69" t="n"/>
      <c r="E177" s="69" t="n"/>
      <c r="F177" s="70" t="n"/>
      <c r="G177" s="44">
        <f>IF($B177="","",IF(ISNUMBER($E177),$E177,IF(ISNUMBER($D177),$D177,ROUND(IF(N(IFERROR(INDEX('動員を入れる'!$K$8:$K$14,MATCH($C177,'動員を入れる'!$J$8:$J$14,0)),0))&gt;0,IFERROR(INDEX('動員を入れる'!$K$8:$K$14,MATCH($C177,'動員を入れる'!$J$8:$J$14,0)),0),N('設定'!$C$8)),0))))</f>
        <v/>
      </c>
    </row>
    <row r="178" ht="18" customHeight="1">
      <c r="B178" s="68">
        <f>IF(IF($C$5&lt;&gt;"",$C$5,IF('設定'!$C$6="","",DATE(YEAR('設定'!$C$6),1,1)))="","",IF($C$5&lt;&gt;"",$C$5,IF('設定'!$C$6="","",DATE(YEAR('設定'!$C$6),1,1)))+162)</f>
        <v/>
      </c>
      <c r="C178" s="67">
        <f>IF($B178="","",CHOOSE(WEEKDAY($B178),"日","月","火","水","木","金","土"))</f>
        <v/>
      </c>
      <c r="D178" s="69" t="n"/>
      <c r="E178" s="69" t="n"/>
      <c r="F178" s="70" t="n"/>
      <c r="G178" s="44">
        <f>IF($B178="","",IF(ISNUMBER($E178),$E178,IF(ISNUMBER($D178),$D178,ROUND(IF(N(IFERROR(INDEX('動員を入れる'!$K$8:$K$14,MATCH($C178,'動員を入れる'!$J$8:$J$14,0)),0))&gt;0,IFERROR(INDEX('動員を入れる'!$K$8:$K$14,MATCH($C178,'動員を入れる'!$J$8:$J$14,0)),0),N('設定'!$C$8)),0))))</f>
        <v/>
      </c>
    </row>
    <row r="179" ht="18" customHeight="1">
      <c r="B179" s="68">
        <f>IF(IF($C$5&lt;&gt;"",$C$5,IF('設定'!$C$6="","",DATE(YEAR('設定'!$C$6),1,1)))="","",IF($C$5&lt;&gt;"",$C$5,IF('設定'!$C$6="","",DATE(YEAR('設定'!$C$6),1,1)))+163)</f>
        <v/>
      </c>
      <c r="C179" s="67">
        <f>IF($B179="","",CHOOSE(WEEKDAY($B179),"日","月","火","水","木","金","土"))</f>
        <v/>
      </c>
      <c r="D179" s="69" t="n"/>
      <c r="E179" s="69" t="n"/>
      <c r="F179" s="70" t="n"/>
      <c r="G179" s="44">
        <f>IF($B179="","",IF(ISNUMBER($E179),$E179,IF(ISNUMBER($D179),$D179,ROUND(IF(N(IFERROR(INDEX('動員を入れる'!$K$8:$K$14,MATCH($C179,'動員を入れる'!$J$8:$J$14,0)),0))&gt;0,IFERROR(INDEX('動員を入れる'!$K$8:$K$14,MATCH($C179,'動員を入れる'!$J$8:$J$14,0)),0),N('設定'!$C$8)),0))))</f>
        <v/>
      </c>
    </row>
    <row r="180" ht="18" customHeight="1">
      <c r="B180" s="68">
        <f>IF(IF($C$5&lt;&gt;"",$C$5,IF('設定'!$C$6="","",DATE(YEAR('設定'!$C$6),1,1)))="","",IF($C$5&lt;&gt;"",$C$5,IF('設定'!$C$6="","",DATE(YEAR('設定'!$C$6),1,1)))+164)</f>
        <v/>
      </c>
      <c r="C180" s="67">
        <f>IF($B180="","",CHOOSE(WEEKDAY($B180),"日","月","火","水","木","金","土"))</f>
        <v/>
      </c>
      <c r="D180" s="69" t="n"/>
      <c r="E180" s="69" t="n"/>
      <c r="F180" s="70" t="n"/>
      <c r="G180" s="44">
        <f>IF($B180="","",IF(ISNUMBER($E180),$E180,IF(ISNUMBER($D180),$D180,ROUND(IF(N(IFERROR(INDEX('動員を入れる'!$K$8:$K$14,MATCH($C180,'動員を入れる'!$J$8:$J$14,0)),0))&gt;0,IFERROR(INDEX('動員を入れる'!$K$8:$K$14,MATCH($C180,'動員を入れる'!$J$8:$J$14,0)),0),N('設定'!$C$8)),0))))</f>
        <v/>
      </c>
    </row>
    <row r="181" ht="18" customHeight="1">
      <c r="B181" s="68">
        <f>IF(IF($C$5&lt;&gt;"",$C$5,IF('設定'!$C$6="","",DATE(YEAR('設定'!$C$6),1,1)))="","",IF($C$5&lt;&gt;"",$C$5,IF('設定'!$C$6="","",DATE(YEAR('設定'!$C$6),1,1)))+165)</f>
        <v/>
      </c>
      <c r="C181" s="67">
        <f>IF($B181="","",CHOOSE(WEEKDAY($B181),"日","月","火","水","木","金","土"))</f>
        <v/>
      </c>
      <c r="D181" s="69" t="n"/>
      <c r="E181" s="69" t="n"/>
      <c r="F181" s="70" t="n"/>
      <c r="G181" s="44">
        <f>IF($B181="","",IF(ISNUMBER($E181),$E181,IF(ISNUMBER($D181),$D181,ROUND(IF(N(IFERROR(INDEX('動員を入れる'!$K$8:$K$14,MATCH($C181,'動員を入れる'!$J$8:$J$14,0)),0))&gt;0,IFERROR(INDEX('動員を入れる'!$K$8:$K$14,MATCH($C181,'動員を入れる'!$J$8:$J$14,0)),0),N('設定'!$C$8)),0))))</f>
        <v/>
      </c>
    </row>
    <row r="182" ht="18" customHeight="1">
      <c r="B182" s="68">
        <f>IF(IF($C$5&lt;&gt;"",$C$5,IF('設定'!$C$6="","",DATE(YEAR('設定'!$C$6),1,1)))="","",IF($C$5&lt;&gt;"",$C$5,IF('設定'!$C$6="","",DATE(YEAR('設定'!$C$6),1,1)))+166)</f>
        <v/>
      </c>
      <c r="C182" s="67">
        <f>IF($B182="","",CHOOSE(WEEKDAY($B182),"日","月","火","水","木","金","土"))</f>
        <v/>
      </c>
      <c r="D182" s="69" t="n"/>
      <c r="E182" s="69" t="n"/>
      <c r="F182" s="70" t="n"/>
      <c r="G182" s="44">
        <f>IF($B182="","",IF(ISNUMBER($E182),$E182,IF(ISNUMBER($D182),$D182,ROUND(IF(N(IFERROR(INDEX('動員を入れる'!$K$8:$K$14,MATCH($C182,'動員を入れる'!$J$8:$J$14,0)),0))&gt;0,IFERROR(INDEX('動員を入れる'!$K$8:$K$14,MATCH($C182,'動員を入れる'!$J$8:$J$14,0)),0),N('設定'!$C$8)),0))))</f>
        <v/>
      </c>
    </row>
    <row r="183" ht="18" customHeight="1">
      <c r="B183" s="68">
        <f>IF(IF($C$5&lt;&gt;"",$C$5,IF('設定'!$C$6="","",DATE(YEAR('設定'!$C$6),1,1)))="","",IF($C$5&lt;&gt;"",$C$5,IF('設定'!$C$6="","",DATE(YEAR('設定'!$C$6),1,1)))+167)</f>
        <v/>
      </c>
      <c r="C183" s="67">
        <f>IF($B183="","",CHOOSE(WEEKDAY($B183),"日","月","火","水","木","金","土"))</f>
        <v/>
      </c>
      <c r="D183" s="69" t="n"/>
      <c r="E183" s="69" t="n"/>
      <c r="F183" s="70" t="n"/>
      <c r="G183" s="44">
        <f>IF($B183="","",IF(ISNUMBER($E183),$E183,IF(ISNUMBER($D183),$D183,ROUND(IF(N(IFERROR(INDEX('動員を入れる'!$K$8:$K$14,MATCH($C183,'動員を入れる'!$J$8:$J$14,0)),0))&gt;0,IFERROR(INDEX('動員を入れる'!$K$8:$K$14,MATCH($C183,'動員を入れる'!$J$8:$J$14,0)),0),N('設定'!$C$8)),0))))</f>
        <v/>
      </c>
    </row>
    <row r="184" ht="18" customHeight="1">
      <c r="B184" s="68">
        <f>IF(IF($C$5&lt;&gt;"",$C$5,IF('設定'!$C$6="","",DATE(YEAR('設定'!$C$6),1,1)))="","",IF($C$5&lt;&gt;"",$C$5,IF('設定'!$C$6="","",DATE(YEAR('設定'!$C$6),1,1)))+168)</f>
        <v/>
      </c>
      <c r="C184" s="67">
        <f>IF($B184="","",CHOOSE(WEEKDAY($B184),"日","月","火","水","木","金","土"))</f>
        <v/>
      </c>
      <c r="D184" s="69" t="n"/>
      <c r="E184" s="69" t="n"/>
      <c r="F184" s="70" t="n"/>
      <c r="G184" s="44">
        <f>IF($B184="","",IF(ISNUMBER($E184),$E184,IF(ISNUMBER($D184),$D184,ROUND(IF(N(IFERROR(INDEX('動員を入れる'!$K$8:$K$14,MATCH($C184,'動員を入れる'!$J$8:$J$14,0)),0))&gt;0,IFERROR(INDEX('動員を入れる'!$K$8:$K$14,MATCH($C184,'動員を入れる'!$J$8:$J$14,0)),0),N('設定'!$C$8)),0))))</f>
        <v/>
      </c>
    </row>
    <row r="185" ht="18" customHeight="1">
      <c r="B185" s="68">
        <f>IF(IF($C$5&lt;&gt;"",$C$5,IF('設定'!$C$6="","",DATE(YEAR('設定'!$C$6),1,1)))="","",IF($C$5&lt;&gt;"",$C$5,IF('設定'!$C$6="","",DATE(YEAR('設定'!$C$6),1,1)))+169)</f>
        <v/>
      </c>
      <c r="C185" s="67">
        <f>IF($B185="","",CHOOSE(WEEKDAY($B185),"日","月","火","水","木","金","土"))</f>
        <v/>
      </c>
      <c r="D185" s="69" t="n"/>
      <c r="E185" s="69" t="n"/>
      <c r="F185" s="70" t="n"/>
      <c r="G185" s="44">
        <f>IF($B185="","",IF(ISNUMBER($E185),$E185,IF(ISNUMBER($D185),$D185,ROUND(IF(N(IFERROR(INDEX('動員を入れる'!$K$8:$K$14,MATCH($C185,'動員を入れる'!$J$8:$J$14,0)),0))&gt;0,IFERROR(INDEX('動員を入れる'!$K$8:$K$14,MATCH($C185,'動員を入れる'!$J$8:$J$14,0)),0),N('設定'!$C$8)),0))))</f>
        <v/>
      </c>
    </row>
    <row r="186" ht="18" customHeight="1">
      <c r="B186" s="68">
        <f>IF(IF($C$5&lt;&gt;"",$C$5,IF('設定'!$C$6="","",DATE(YEAR('設定'!$C$6),1,1)))="","",IF($C$5&lt;&gt;"",$C$5,IF('設定'!$C$6="","",DATE(YEAR('設定'!$C$6),1,1)))+170)</f>
        <v/>
      </c>
      <c r="C186" s="67">
        <f>IF($B186="","",CHOOSE(WEEKDAY($B186),"日","月","火","水","木","金","土"))</f>
        <v/>
      </c>
      <c r="D186" s="69" t="n"/>
      <c r="E186" s="69" t="n"/>
      <c r="F186" s="70" t="n"/>
      <c r="G186" s="44">
        <f>IF($B186="","",IF(ISNUMBER($E186),$E186,IF(ISNUMBER($D186),$D186,ROUND(IF(N(IFERROR(INDEX('動員を入れる'!$K$8:$K$14,MATCH($C186,'動員を入れる'!$J$8:$J$14,0)),0))&gt;0,IFERROR(INDEX('動員を入れる'!$K$8:$K$14,MATCH($C186,'動員を入れる'!$J$8:$J$14,0)),0),N('設定'!$C$8)),0))))</f>
        <v/>
      </c>
    </row>
    <row r="187" ht="18" customHeight="1">
      <c r="B187" s="68">
        <f>IF(IF($C$5&lt;&gt;"",$C$5,IF('設定'!$C$6="","",DATE(YEAR('設定'!$C$6),1,1)))="","",IF($C$5&lt;&gt;"",$C$5,IF('設定'!$C$6="","",DATE(YEAR('設定'!$C$6),1,1)))+171)</f>
        <v/>
      </c>
      <c r="C187" s="67">
        <f>IF($B187="","",CHOOSE(WEEKDAY($B187),"日","月","火","水","木","金","土"))</f>
        <v/>
      </c>
      <c r="D187" s="69" t="n"/>
      <c r="E187" s="69" t="n"/>
      <c r="F187" s="70" t="n"/>
      <c r="G187" s="44">
        <f>IF($B187="","",IF(ISNUMBER($E187),$E187,IF(ISNUMBER($D187),$D187,ROUND(IF(N(IFERROR(INDEX('動員を入れる'!$K$8:$K$14,MATCH($C187,'動員を入れる'!$J$8:$J$14,0)),0))&gt;0,IFERROR(INDEX('動員を入れる'!$K$8:$K$14,MATCH($C187,'動員を入れる'!$J$8:$J$14,0)),0),N('設定'!$C$8)),0))))</f>
        <v/>
      </c>
    </row>
    <row r="188" ht="18" customHeight="1">
      <c r="B188" s="68">
        <f>IF(IF($C$5&lt;&gt;"",$C$5,IF('設定'!$C$6="","",DATE(YEAR('設定'!$C$6),1,1)))="","",IF($C$5&lt;&gt;"",$C$5,IF('設定'!$C$6="","",DATE(YEAR('設定'!$C$6),1,1)))+172)</f>
        <v/>
      </c>
      <c r="C188" s="67">
        <f>IF($B188="","",CHOOSE(WEEKDAY($B188),"日","月","火","水","木","金","土"))</f>
        <v/>
      </c>
      <c r="D188" s="69" t="n"/>
      <c r="E188" s="69" t="n"/>
      <c r="F188" s="70" t="n"/>
      <c r="G188" s="44">
        <f>IF($B188="","",IF(ISNUMBER($E188),$E188,IF(ISNUMBER($D188),$D188,ROUND(IF(N(IFERROR(INDEX('動員を入れる'!$K$8:$K$14,MATCH($C188,'動員を入れる'!$J$8:$J$14,0)),0))&gt;0,IFERROR(INDEX('動員を入れる'!$K$8:$K$14,MATCH($C188,'動員を入れる'!$J$8:$J$14,0)),0),N('設定'!$C$8)),0))))</f>
        <v/>
      </c>
    </row>
    <row r="189" ht="18" customHeight="1">
      <c r="B189" s="68">
        <f>IF(IF($C$5&lt;&gt;"",$C$5,IF('設定'!$C$6="","",DATE(YEAR('設定'!$C$6),1,1)))="","",IF($C$5&lt;&gt;"",$C$5,IF('設定'!$C$6="","",DATE(YEAR('設定'!$C$6),1,1)))+173)</f>
        <v/>
      </c>
      <c r="C189" s="67">
        <f>IF($B189="","",CHOOSE(WEEKDAY($B189),"日","月","火","水","木","金","土"))</f>
        <v/>
      </c>
      <c r="D189" s="69" t="n"/>
      <c r="E189" s="69" t="n"/>
      <c r="F189" s="70" t="n"/>
      <c r="G189" s="44">
        <f>IF($B189="","",IF(ISNUMBER($E189),$E189,IF(ISNUMBER($D189),$D189,ROUND(IF(N(IFERROR(INDEX('動員を入れる'!$K$8:$K$14,MATCH($C189,'動員を入れる'!$J$8:$J$14,0)),0))&gt;0,IFERROR(INDEX('動員を入れる'!$K$8:$K$14,MATCH($C189,'動員を入れる'!$J$8:$J$14,0)),0),N('設定'!$C$8)),0))))</f>
        <v/>
      </c>
    </row>
    <row r="190" ht="18" customHeight="1">
      <c r="B190" s="68">
        <f>IF(IF($C$5&lt;&gt;"",$C$5,IF('設定'!$C$6="","",DATE(YEAR('設定'!$C$6),1,1)))="","",IF($C$5&lt;&gt;"",$C$5,IF('設定'!$C$6="","",DATE(YEAR('設定'!$C$6),1,1)))+174)</f>
        <v/>
      </c>
      <c r="C190" s="67">
        <f>IF($B190="","",CHOOSE(WEEKDAY($B190),"日","月","火","水","木","金","土"))</f>
        <v/>
      </c>
      <c r="D190" s="69" t="n"/>
      <c r="E190" s="69" t="n"/>
      <c r="F190" s="70" t="n"/>
      <c r="G190" s="44">
        <f>IF($B190="","",IF(ISNUMBER($E190),$E190,IF(ISNUMBER($D190),$D190,ROUND(IF(N(IFERROR(INDEX('動員を入れる'!$K$8:$K$14,MATCH($C190,'動員を入れる'!$J$8:$J$14,0)),0))&gt;0,IFERROR(INDEX('動員を入れる'!$K$8:$K$14,MATCH($C190,'動員を入れる'!$J$8:$J$14,0)),0),N('設定'!$C$8)),0))))</f>
        <v/>
      </c>
    </row>
    <row r="191" ht="18" customHeight="1">
      <c r="B191" s="68">
        <f>IF(IF($C$5&lt;&gt;"",$C$5,IF('設定'!$C$6="","",DATE(YEAR('設定'!$C$6),1,1)))="","",IF($C$5&lt;&gt;"",$C$5,IF('設定'!$C$6="","",DATE(YEAR('設定'!$C$6),1,1)))+175)</f>
        <v/>
      </c>
      <c r="C191" s="67">
        <f>IF($B191="","",CHOOSE(WEEKDAY($B191),"日","月","火","水","木","金","土"))</f>
        <v/>
      </c>
      <c r="D191" s="69" t="n"/>
      <c r="E191" s="69" t="n"/>
      <c r="F191" s="70" t="n"/>
      <c r="G191" s="44">
        <f>IF($B191="","",IF(ISNUMBER($E191),$E191,IF(ISNUMBER($D191),$D191,ROUND(IF(N(IFERROR(INDEX('動員を入れる'!$K$8:$K$14,MATCH($C191,'動員を入れる'!$J$8:$J$14,0)),0))&gt;0,IFERROR(INDEX('動員を入れる'!$K$8:$K$14,MATCH($C191,'動員を入れる'!$J$8:$J$14,0)),0),N('設定'!$C$8)),0))))</f>
        <v/>
      </c>
    </row>
    <row r="192" ht="18" customHeight="1">
      <c r="B192" s="68">
        <f>IF(IF($C$5&lt;&gt;"",$C$5,IF('設定'!$C$6="","",DATE(YEAR('設定'!$C$6),1,1)))="","",IF($C$5&lt;&gt;"",$C$5,IF('設定'!$C$6="","",DATE(YEAR('設定'!$C$6),1,1)))+176)</f>
        <v/>
      </c>
      <c r="C192" s="67">
        <f>IF($B192="","",CHOOSE(WEEKDAY($B192),"日","月","火","水","木","金","土"))</f>
        <v/>
      </c>
      <c r="D192" s="69" t="n"/>
      <c r="E192" s="69" t="n"/>
      <c r="F192" s="70" t="n"/>
      <c r="G192" s="44">
        <f>IF($B192="","",IF(ISNUMBER($E192),$E192,IF(ISNUMBER($D192),$D192,ROUND(IF(N(IFERROR(INDEX('動員を入れる'!$K$8:$K$14,MATCH($C192,'動員を入れる'!$J$8:$J$14,0)),0))&gt;0,IFERROR(INDEX('動員を入れる'!$K$8:$K$14,MATCH($C192,'動員を入れる'!$J$8:$J$14,0)),0),N('設定'!$C$8)),0))))</f>
        <v/>
      </c>
    </row>
    <row r="193" ht="18" customHeight="1">
      <c r="B193" s="68">
        <f>IF(IF($C$5&lt;&gt;"",$C$5,IF('設定'!$C$6="","",DATE(YEAR('設定'!$C$6),1,1)))="","",IF($C$5&lt;&gt;"",$C$5,IF('設定'!$C$6="","",DATE(YEAR('設定'!$C$6),1,1)))+177)</f>
        <v/>
      </c>
      <c r="C193" s="67">
        <f>IF($B193="","",CHOOSE(WEEKDAY($B193),"日","月","火","水","木","金","土"))</f>
        <v/>
      </c>
      <c r="D193" s="69" t="n"/>
      <c r="E193" s="69" t="n"/>
      <c r="F193" s="70" t="n"/>
      <c r="G193" s="44">
        <f>IF($B193="","",IF(ISNUMBER($E193),$E193,IF(ISNUMBER($D193),$D193,ROUND(IF(N(IFERROR(INDEX('動員を入れる'!$K$8:$K$14,MATCH($C193,'動員を入れる'!$J$8:$J$14,0)),0))&gt;0,IFERROR(INDEX('動員を入れる'!$K$8:$K$14,MATCH($C193,'動員を入れる'!$J$8:$J$14,0)),0),N('設定'!$C$8)),0))))</f>
        <v/>
      </c>
    </row>
    <row r="194" ht="18" customHeight="1">
      <c r="B194" s="68">
        <f>IF(IF($C$5&lt;&gt;"",$C$5,IF('設定'!$C$6="","",DATE(YEAR('設定'!$C$6),1,1)))="","",IF($C$5&lt;&gt;"",$C$5,IF('設定'!$C$6="","",DATE(YEAR('設定'!$C$6),1,1)))+178)</f>
        <v/>
      </c>
      <c r="C194" s="67">
        <f>IF($B194="","",CHOOSE(WEEKDAY($B194),"日","月","火","水","木","金","土"))</f>
        <v/>
      </c>
      <c r="D194" s="69" t="n"/>
      <c r="E194" s="69" t="n"/>
      <c r="F194" s="70" t="n"/>
      <c r="G194" s="44">
        <f>IF($B194="","",IF(ISNUMBER($E194),$E194,IF(ISNUMBER($D194),$D194,ROUND(IF(N(IFERROR(INDEX('動員を入れる'!$K$8:$K$14,MATCH($C194,'動員を入れる'!$J$8:$J$14,0)),0))&gt;0,IFERROR(INDEX('動員を入れる'!$K$8:$K$14,MATCH($C194,'動員を入れる'!$J$8:$J$14,0)),0),N('設定'!$C$8)),0))))</f>
        <v/>
      </c>
    </row>
    <row r="195" ht="18" customHeight="1">
      <c r="B195" s="68">
        <f>IF(IF($C$5&lt;&gt;"",$C$5,IF('設定'!$C$6="","",DATE(YEAR('設定'!$C$6),1,1)))="","",IF($C$5&lt;&gt;"",$C$5,IF('設定'!$C$6="","",DATE(YEAR('設定'!$C$6),1,1)))+179)</f>
        <v/>
      </c>
      <c r="C195" s="67">
        <f>IF($B195="","",CHOOSE(WEEKDAY($B195),"日","月","火","水","木","金","土"))</f>
        <v/>
      </c>
      <c r="D195" s="69" t="n"/>
      <c r="E195" s="69" t="n"/>
      <c r="F195" s="70" t="n"/>
      <c r="G195" s="44">
        <f>IF($B195="","",IF(ISNUMBER($E195),$E195,IF(ISNUMBER($D195),$D195,ROUND(IF(N(IFERROR(INDEX('動員を入れる'!$K$8:$K$14,MATCH($C195,'動員を入れる'!$J$8:$J$14,0)),0))&gt;0,IFERROR(INDEX('動員を入れる'!$K$8:$K$14,MATCH($C195,'動員を入れる'!$J$8:$J$14,0)),0),N('設定'!$C$8)),0))))</f>
        <v/>
      </c>
    </row>
    <row r="196" ht="18" customHeight="1">
      <c r="B196" s="68">
        <f>IF(IF($C$5&lt;&gt;"",$C$5,IF('設定'!$C$6="","",DATE(YEAR('設定'!$C$6),1,1)))="","",IF($C$5&lt;&gt;"",$C$5,IF('設定'!$C$6="","",DATE(YEAR('設定'!$C$6),1,1)))+180)</f>
        <v/>
      </c>
      <c r="C196" s="67">
        <f>IF($B196="","",CHOOSE(WEEKDAY($B196),"日","月","火","水","木","金","土"))</f>
        <v/>
      </c>
      <c r="D196" s="69" t="n"/>
      <c r="E196" s="69" t="n"/>
      <c r="F196" s="70" t="n"/>
      <c r="G196" s="44">
        <f>IF($B196="","",IF(ISNUMBER($E196),$E196,IF(ISNUMBER($D196),$D196,ROUND(IF(N(IFERROR(INDEX('動員を入れる'!$K$8:$K$14,MATCH($C196,'動員を入れる'!$J$8:$J$14,0)),0))&gt;0,IFERROR(INDEX('動員を入れる'!$K$8:$K$14,MATCH($C196,'動員を入れる'!$J$8:$J$14,0)),0),N('設定'!$C$8)),0))))</f>
        <v/>
      </c>
    </row>
    <row r="197" ht="18" customHeight="1">
      <c r="B197" s="68">
        <f>IF(IF($C$5&lt;&gt;"",$C$5,IF('設定'!$C$6="","",DATE(YEAR('設定'!$C$6),1,1)))="","",IF($C$5&lt;&gt;"",$C$5,IF('設定'!$C$6="","",DATE(YEAR('設定'!$C$6),1,1)))+181)</f>
        <v/>
      </c>
      <c r="C197" s="67">
        <f>IF($B197="","",CHOOSE(WEEKDAY($B197),"日","月","火","水","木","金","土"))</f>
        <v/>
      </c>
      <c r="D197" s="69" t="n"/>
      <c r="E197" s="69" t="n"/>
      <c r="F197" s="70" t="n"/>
      <c r="G197" s="44">
        <f>IF($B197="","",IF(ISNUMBER($E197),$E197,IF(ISNUMBER($D197),$D197,ROUND(IF(N(IFERROR(INDEX('動員を入れる'!$K$8:$K$14,MATCH($C197,'動員を入れる'!$J$8:$J$14,0)),0))&gt;0,IFERROR(INDEX('動員を入れる'!$K$8:$K$14,MATCH($C197,'動員を入れる'!$J$8:$J$14,0)),0),N('設定'!$C$8)),0))))</f>
        <v/>
      </c>
    </row>
    <row r="198" ht="18" customHeight="1">
      <c r="B198" s="68">
        <f>IF(IF($C$5&lt;&gt;"",$C$5,IF('設定'!$C$6="","",DATE(YEAR('設定'!$C$6),1,1)))="","",IF($C$5&lt;&gt;"",$C$5,IF('設定'!$C$6="","",DATE(YEAR('設定'!$C$6),1,1)))+182)</f>
        <v/>
      </c>
      <c r="C198" s="67">
        <f>IF($B198="","",CHOOSE(WEEKDAY($B198),"日","月","火","水","木","金","土"))</f>
        <v/>
      </c>
      <c r="D198" s="69" t="n"/>
      <c r="E198" s="69" t="n"/>
      <c r="F198" s="70" t="n"/>
      <c r="G198" s="44">
        <f>IF($B198="","",IF(ISNUMBER($E198),$E198,IF(ISNUMBER($D198),$D198,ROUND(IF(N(IFERROR(INDEX('動員を入れる'!$K$8:$K$14,MATCH($C198,'動員を入れる'!$J$8:$J$14,0)),0))&gt;0,IFERROR(INDEX('動員を入れる'!$K$8:$K$14,MATCH($C198,'動員を入れる'!$J$8:$J$14,0)),0),N('設定'!$C$8)),0))))</f>
        <v/>
      </c>
    </row>
    <row r="199" ht="18" customHeight="1">
      <c r="B199" s="68">
        <f>IF(IF($C$5&lt;&gt;"",$C$5,IF('設定'!$C$6="","",DATE(YEAR('設定'!$C$6),1,1)))="","",IF($C$5&lt;&gt;"",$C$5,IF('設定'!$C$6="","",DATE(YEAR('設定'!$C$6),1,1)))+183)</f>
        <v/>
      </c>
      <c r="C199" s="67">
        <f>IF($B199="","",CHOOSE(WEEKDAY($B199),"日","月","火","水","木","金","土"))</f>
        <v/>
      </c>
      <c r="D199" s="69" t="n"/>
      <c r="E199" s="69" t="n"/>
      <c r="F199" s="70" t="n"/>
      <c r="G199" s="44">
        <f>IF($B199="","",IF(ISNUMBER($E199),$E199,IF(ISNUMBER($D199),$D199,ROUND(IF(N(IFERROR(INDEX('動員を入れる'!$K$8:$K$14,MATCH($C199,'動員を入れる'!$J$8:$J$14,0)),0))&gt;0,IFERROR(INDEX('動員を入れる'!$K$8:$K$14,MATCH($C199,'動員を入れる'!$J$8:$J$14,0)),0),N('設定'!$C$8)),0))))</f>
        <v/>
      </c>
    </row>
    <row r="200" ht="18" customHeight="1">
      <c r="B200" s="68">
        <f>IF(IF($C$5&lt;&gt;"",$C$5,IF('設定'!$C$6="","",DATE(YEAR('設定'!$C$6),1,1)))="","",IF($C$5&lt;&gt;"",$C$5,IF('設定'!$C$6="","",DATE(YEAR('設定'!$C$6),1,1)))+184)</f>
        <v/>
      </c>
      <c r="C200" s="67">
        <f>IF($B200="","",CHOOSE(WEEKDAY($B200),"日","月","火","水","木","金","土"))</f>
        <v/>
      </c>
      <c r="D200" s="69" t="n"/>
      <c r="E200" s="69" t="n"/>
      <c r="F200" s="70" t="n"/>
      <c r="G200" s="44">
        <f>IF($B200="","",IF(ISNUMBER($E200),$E200,IF(ISNUMBER($D200),$D200,ROUND(IF(N(IFERROR(INDEX('動員を入れる'!$K$8:$K$14,MATCH($C200,'動員を入れる'!$J$8:$J$14,0)),0))&gt;0,IFERROR(INDEX('動員を入れる'!$K$8:$K$14,MATCH($C200,'動員を入れる'!$J$8:$J$14,0)),0),N('設定'!$C$8)),0))))</f>
        <v/>
      </c>
    </row>
    <row r="201" ht="18" customHeight="1">
      <c r="B201" s="68">
        <f>IF(IF($C$5&lt;&gt;"",$C$5,IF('設定'!$C$6="","",DATE(YEAR('設定'!$C$6),1,1)))="","",IF($C$5&lt;&gt;"",$C$5,IF('設定'!$C$6="","",DATE(YEAR('設定'!$C$6),1,1)))+185)</f>
        <v/>
      </c>
      <c r="C201" s="67">
        <f>IF($B201="","",CHOOSE(WEEKDAY($B201),"日","月","火","水","木","金","土"))</f>
        <v/>
      </c>
      <c r="D201" s="69" t="n"/>
      <c r="E201" s="69" t="n"/>
      <c r="F201" s="70" t="n"/>
      <c r="G201" s="44">
        <f>IF($B201="","",IF(ISNUMBER($E201),$E201,IF(ISNUMBER($D201),$D201,ROUND(IF(N(IFERROR(INDEX('動員を入れる'!$K$8:$K$14,MATCH($C201,'動員を入れる'!$J$8:$J$14,0)),0))&gt;0,IFERROR(INDEX('動員を入れる'!$K$8:$K$14,MATCH($C201,'動員を入れる'!$J$8:$J$14,0)),0),N('設定'!$C$8)),0))))</f>
        <v/>
      </c>
    </row>
    <row r="202" ht="18" customHeight="1">
      <c r="B202" s="68">
        <f>IF(IF($C$5&lt;&gt;"",$C$5,IF('設定'!$C$6="","",DATE(YEAR('設定'!$C$6),1,1)))="","",IF($C$5&lt;&gt;"",$C$5,IF('設定'!$C$6="","",DATE(YEAR('設定'!$C$6),1,1)))+186)</f>
        <v/>
      </c>
      <c r="C202" s="67">
        <f>IF($B202="","",CHOOSE(WEEKDAY($B202),"日","月","火","水","木","金","土"))</f>
        <v/>
      </c>
      <c r="D202" s="69" t="n"/>
      <c r="E202" s="69" t="n"/>
      <c r="F202" s="70" t="n"/>
      <c r="G202" s="44">
        <f>IF($B202="","",IF(ISNUMBER($E202),$E202,IF(ISNUMBER($D202),$D202,ROUND(IF(N(IFERROR(INDEX('動員を入れる'!$K$8:$K$14,MATCH($C202,'動員を入れる'!$J$8:$J$14,0)),0))&gt;0,IFERROR(INDEX('動員を入れる'!$K$8:$K$14,MATCH($C202,'動員を入れる'!$J$8:$J$14,0)),0),N('設定'!$C$8)),0))))</f>
        <v/>
      </c>
    </row>
    <row r="203" ht="18" customHeight="1">
      <c r="B203" s="68">
        <f>IF(IF($C$5&lt;&gt;"",$C$5,IF('設定'!$C$6="","",DATE(YEAR('設定'!$C$6),1,1)))="","",IF($C$5&lt;&gt;"",$C$5,IF('設定'!$C$6="","",DATE(YEAR('設定'!$C$6),1,1)))+187)</f>
        <v/>
      </c>
      <c r="C203" s="67">
        <f>IF($B203="","",CHOOSE(WEEKDAY($B203),"日","月","火","水","木","金","土"))</f>
        <v/>
      </c>
      <c r="D203" s="69" t="n"/>
      <c r="E203" s="69" t="n"/>
      <c r="F203" s="70" t="n"/>
      <c r="G203" s="44">
        <f>IF($B203="","",IF(ISNUMBER($E203),$E203,IF(ISNUMBER($D203),$D203,ROUND(IF(N(IFERROR(INDEX('動員を入れる'!$K$8:$K$14,MATCH($C203,'動員を入れる'!$J$8:$J$14,0)),0))&gt;0,IFERROR(INDEX('動員を入れる'!$K$8:$K$14,MATCH($C203,'動員を入れる'!$J$8:$J$14,0)),0),N('設定'!$C$8)),0))))</f>
        <v/>
      </c>
    </row>
    <row r="204" ht="18" customHeight="1">
      <c r="B204" s="68">
        <f>IF(IF($C$5&lt;&gt;"",$C$5,IF('設定'!$C$6="","",DATE(YEAR('設定'!$C$6),1,1)))="","",IF($C$5&lt;&gt;"",$C$5,IF('設定'!$C$6="","",DATE(YEAR('設定'!$C$6),1,1)))+188)</f>
        <v/>
      </c>
      <c r="C204" s="67">
        <f>IF($B204="","",CHOOSE(WEEKDAY($B204),"日","月","火","水","木","金","土"))</f>
        <v/>
      </c>
      <c r="D204" s="69" t="n"/>
      <c r="E204" s="69" t="n"/>
      <c r="F204" s="70" t="n"/>
      <c r="G204" s="44">
        <f>IF($B204="","",IF(ISNUMBER($E204),$E204,IF(ISNUMBER($D204),$D204,ROUND(IF(N(IFERROR(INDEX('動員を入れる'!$K$8:$K$14,MATCH($C204,'動員を入れる'!$J$8:$J$14,0)),0))&gt;0,IFERROR(INDEX('動員を入れる'!$K$8:$K$14,MATCH($C204,'動員を入れる'!$J$8:$J$14,0)),0),N('設定'!$C$8)),0))))</f>
        <v/>
      </c>
    </row>
    <row r="205" ht="18" customHeight="1">
      <c r="B205" s="68">
        <f>IF(IF($C$5&lt;&gt;"",$C$5,IF('設定'!$C$6="","",DATE(YEAR('設定'!$C$6),1,1)))="","",IF($C$5&lt;&gt;"",$C$5,IF('設定'!$C$6="","",DATE(YEAR('設定'!$C$6),1,1)))+189)</f>
        <v/>
      </c>
      <c r="C205" s="67">
        <f>IF($B205="","",CHOOSE(WEEKDAY($B205),"日","月","火","水","木","金","土"))</f>
        <v/>
      </c>
      <c r="D205" s="69" t="n"/>
      <c r="E205" s="69" t="n"/>
      <c r="F205" s="70" t="n"/>
      <c r="G205" s="44">
        <f>IF($B205="","",IF(ISNUMBER($E205),$E205,IF(ISNUMBER($D205),$D205,ROUND(IF(N(IFERROR(INDEX('動員を入れる'!$K$8:$K$14,MATCH($C205,'動員を入れる'!$J$8:$J$14,0)),0))&gt;0,IFERROR(INDEX('動員を入れる'!$K$8:$K$14,MATCH($C205,'動員を入れる'!$J$8:$J$14,0)),0),N('設定'!$C$8)),0))))</f>
        <v/>
      </c>
    </row>
    <row r="206" ht="18" customHeight="1">
      <c r="B206" s="68">
        <f>IF(IF($C$5&lt;&gt;"",$C$5,IF('設定'!$C$6="","",DATE(YEAR('設定'!$C$6),1,1)))="","",IF($C$5&lt;&gt;"",$C$5,IF('設定'!$C$6="","",DATE(YEAR('設定'!$C$6),1,1)))+190)</f>
        <v/>
      </c>
      <c r="C206" s="67">
        <f>IF($B206="","",CHOOSE(WEEKDAY($B206),"日","月","火","水","木","金","土"))</f>
        <v/>
      </c>
      <c r="D206" s="69" t="n"/>
      <c r="E206" s="69" t="n"/>
      <c r="F206" s="70" t="n"/>
      <c r="G206" s="44">
        <f>IF($B206="","",IF(ISNUMBER($E206),$E206,IF(ISNUMBER($D206),$D206,ROUND(IF(N(IFERROR(INDEX('動員を入れる'!$K$8:$K$14,MATCH($C206,'動員を入れる'!$J$8:$J$14,0)),0))&gt;0,IFERROR(INDEX('動員を入れる'!$K$8:$K$14,MATCH($C206,'動員を入れる'!$J$8:$J$14,0)),0),N('設定'!$C$8)),0))))</f>
        <v/>
      </c>
    </row>
    <row r="207" ht="18" customHeight="1">
      <c r="B207" s="68">
        <f>IF(IF($C$5&lt;&gt;"",$C$5,IF('設定'!$C$6="","",DATE(YEAR('設定'!$C$6),1,1)))="","",IF($C$5&lt;&gt;"",$C$5,IF('設定'!$C$6="","",DATE(YEAR('設定'!$C$6),1,1)))+191)</f>
        <v/>
      </c>
      <c r="C207" s="67">
        <f>IF($B207="","",CHOOSE(WEEKDAY($B207),"日","月","火","水","木","金","土"))</f>
        <v/>
      </c>
      <c r="D207" s="69" t="n"/>
      <c r="E207" s="69" t="n"/>
      <c r="F207" s="70" t="n"/>
      <c r="G207" s="44">
        <f>IF($B207="","",IF(ISNUMBER($E207),$E207,IF(ISNUMBER($D207),$D207,ROUND(IF(N(IFERROR(INDEX('動員を入れる'!$K$8:$K$14,MATCH($C207,'動員を入れる'!$J$8:$J$14,0)),0))&gt;0,IFERROR(INDEX('動員を入れる'!$K$8:$K$14,MATCH($C207,'動員を入れる'!$J$8:$J$14,0)),0),N('設定'!$C$8)),0))))</f>
        <v/>
      </c>
    </row>
    <row r="208" ht="18" customHeight="1">
      <c r="B208" s="68">
        <f>IF(IF($C$5&lt;&gt;"",$C$5,IF('設定'!$C$6="","",DATE(YEAR('設定'!$C$6),1,1)))="","",IF($C$5&lt;&gt;"",$C$5,IF('設定'!$C$6="","",DATE(YEAR('設定'!$C$6),1,1)))+192)</f>
        <v/>
      </c>
      <c r="C208" s="67">
        <f>IF($B208="","",CHOOSE(WEEKDAY($B208),"日","月","火","水","木","金","土"))</f>
        <v/>
      </c>
      <c r="D208" s="69" t="n"/>
      <c r="E208" s="69" t="n"/>
      <c r="F208" s="70" t="n"/>
      <c r="G208" s="44">
        <f>IF($B208="","",IF(ISNUMBER($E208),$E208,IF(ISNUMBER($D208),$D208,ROUND(IF(N(IFERROR(INDEX('動員を入れる'!$K$8:$K$14,MATCH($C208,'動員を入れる'!$J$8:$J$14,0)),0))&gt;0,IFERROR(INDEX('動員を入れる'!$K$8:$K$14,MATCH($C208,'動員を入れる'!$J$8:$J$14,0)),0),N('設定'!$C$8)),0))))</f>
        <v/>
      </c>
    </row>
    <row r="209" ht="18" customHeight="1">
      <c r="B209" s="68">
        <f>IF(IF($C$5&lt;&gt;"",$C$5,IF('設定'!$C$6="","",DATE(YEAR('設定'!$C$6),1,1)))="","",IF($C$5&lt;&gt;"",$C$5,IF('設定'!$C$6="","",DATE(YEAR('設定'!$C$6),1,1)))+193)</f>
        <v/>
      </c>
      <c r="C209" s="67">
        <f>IF($B209="","",CHOOSE(WEEKDAY($B209),"日","月","火","水","木","金","土"))</f>
        <v/>
      </c>
      <c r="D209" s="69" t="n"/>
      <c r="E209" s="69" t="n"/>
      <c r="F209" s="70" t="n"/>
      <c r="G209" s="44">
        <f>IF($B209="","",IF(ISNUMBER($E209),$E209,IF(ISNUMBER($D209),$D209,ROUND(IF(N(IFERROR(INDEX('動員を入れる'!$K$8:$K$14,MATCH($C209,'動員を入れる'!$J$8:$J$14,0)),0))&gt;0,IFERROR(INDEX('動員を入れる'!$K$8:$K$14,MATCH($C209,'動員を入れる'!$J$8:$J$14,0)),0),N('設定'!$C$8)),0))))</f>
        <v/>
      </c>
    </row>
    <row r="210" ht="18" customHeight="1">
      <c r="B210" s="68">
        <f>IF(IF($C$5&lt;&gt;"",$C$5,IF('設定'!$C$6="","",DATE(YEAR('設定'!$C$6),1,1)))="","",IF($C$5&lt;&gt;"",$C$5,IF('設定'!$C$6="","",DATE(YEAR('設定'!$C$6),1,1)))+194)</f>
        <v/>
      </c>
      <c r="C210" s="67">
        <f>IF($B210="","",CHOOSE(WEEKDAY($B210),"日","月","火","水","木","金","土"))</f>
        <v/>
      </c>
      <c r="D210" s="69" t="n"/>
      <c r="E210" s="69" t="n"/>
      <c r="F210" s="70" t="n"/>
      <c r="G210" s="44">
        <f>IF($B210="","",IF(ISNUMBER($E210),$E210,IF(ISNUMBER($D210),$D210,ROUND(IF(N(IFERROR(INDEX('動員を入れる'!$K$8:$K$14,MATCH($C210,'動員を入れる'!$J$8:$J$14,0)),0))&gt;0,IFERROR(INDEX('動員を入れる'!$K$8:$K$14,MATCH($C210,'動員を入れる'!$J$8:$J$14,0)),0),N('設定'!$C$8)),0))))</f>
        <v/>
      </c>
    </row>
    <row r="211" ht="18" customHeight="1">
      <c r="B211" s="68">
        <f>IF(IF($C$5&lt;&gt;"",$C$5,IF('設定'!$C$6="","",DATE(YEAR('設定'!$C$6),1,1)))="","",IF($C$5&lt;&gt;"",$C$5,IF('設定'!$C$6="","",DATE(YEAR('設定'!$C$6),1,1)))+195)</f>
        <v/>
      </c>
      <c r="C211" s="67">
        <f>IF($B211="","",CHOOSE(WEEKDAY($B211),"日","月","火","水","木","金","土"))</f>
        <v/>
      </c>
      <c r="D211" s="69" t="n"/>
      <c r="E211" s="69" t="n"/>
      <c r="F211" s="70" t="n"/>
      <c r="G211" s="44">
        <f>IF($B211="","",IF(ISNUMBER($E211),$E211,IF(ISNUMBER($D211),$D211,ROUND(IF(N(IFERROR(INDEX('動員を入れる'!$K$8:$K$14,MATCH($C211,'動員を入れる'!$J$8:$J$14,0)),0))&gt;0,IFERROR(INDEX('動員を入れる'!$K$8:$K$14,MATCH($C211,'動員を入れる'!$J$8:$J$14,0)),0),N('設定'!$C$8)),0))))</f>
        <v/>
      </c>
    </row>
    <row r="212" ht="18" customHeight="1">
      <c r="B212" s="68">
        <f>IF(IF($C$5&lt;&gt;"",$C$5,IF('設定'!$C$6="","",DATE(YEAR('設定'!$C$6),1,1)))="","",IF($C$5&lt;&gt;"",$C$5,IF('設定'!$C$6="","",DATE(YEAR('設定'!$C$6),1,1)))+196)</f>
        <v/>
      </c>
      <c r="C212" s="67">
        <f>IF($B212="","",CHOOSE(WEEKDAY($B212),"日","月","火","水","木","金","土"))</f>
        <v/>
      </c>
      <c r="D212" s="69" t="n"/>
      <c r="E212" s="69" t="n"/>
      <c r="F212" s="70" t="n"/>
      <c r="G212" s="44">
        <f>IF($B212="","",IF(ISNUMBER($E212),$E212,IF(ISNUMBER($D212),$D212,ROUND(IF(N(IFERROR(INDEX('動員を入れる'!$K$8:$K$14,MATCH($C212,'動員を入れる'!$J$8:$J$14,0)),0))&gt;0,IFERROR(INDEX('動員を入れる'!$K$8:$K$14,MATCH($C212,'動員を入れる'!$J$8:$J$14,0)),0),N('設定'!$C$8)),0))))</f>
        <v/>
      </c>
    </row>
    <row r="213" ht="18" customHeight="1">
      <c r="B213" s="68">
        <f>IF(IF($C$5&lt;&gt;"",$C$5,IF('設定'!$C$6="","",DATE(YEAR('設定'!$C$6),1,1)))="","",IF($C$5&lt;&gt;"",$C$5,IF('設定'!$C$6="","",DATE(YEAR('設定'!$C$6),1,1)))+197)</f>
        <v/>
      </c>
      <c r="C213" s="67">
        <f>IF($B213="","",CHOOSE(WEEKDAY($B213),"日","月","火","水","木","金","土"))</f>
        <v/>
      </c>
      <c r="D213" s="69" t="n"/>
      <c r="E213" s="69" t="n"/>
      <c r="F213" s="70" t="n"/>
      <c r="G213" s="44">
        <f>IF($B213="","",IF(ISNUMBER($E213),$E213,IF(ISNUMBER($D213),$D213,ROUND(IF(N(IFERROR(INDEX('動員を入れる'!$K$8:$K$14,MATCH($C213,'動員を入れる'!$J$8:$J$14,0)),0))&gt;0,IFERROR(INDEX('動員を入れる'!$K$8:$K$14,MATCH($C213,'動員を入れる'!$J$8:$J$14,0)),0),N('設定'!$C$8)),0))))</f>
        <v/>
      </c>
    </row>
    <row r="214" ht="18" customHeight="1">
      <c r="B214" s="68">
        <f>IF(IF($C$5&lt;&gt;"",$C$5,IF('設定'!$C$6="","",DATE(YEAR('設定'!$C$6),1,1)))="","",IF($C$5&lt;&gt;"",$C$5,IF('設定'!$C$6="","",DATE(YEAR('設定'!$C$6),1,1)))+198)</f>
        <v/>
      </c>
      <c r="C214" s="67">
        <f>IF($B214="","",CHOOSE(WEEKDAY($B214),"日","月","火","水","木","金","土"))</f>
        <v/>
      </c>
      <c r="D214" s="69" t="n"/>
      <c r="E214" s="69" t="n"/>
      <c r="F214" s="70" t="n"/>
      <c r="G214" s="44">
        <f>IF($B214="","",IF(ISNUMBER($E214),$E214,IF(ISNUMBER($D214),$D214,ROUND(IF(N(IFERROR(INDEX('動員を入れる'!$K$8:$K$14,MATCH($C214,'動員を入れる'!$J$8:$J$14,0)),0))&gt;0,IFERROR(INDEX('動員を入れる'!$K$8:$K$14,MATCH($C214,'動員を入れる'!$J$8:$J$14,0)),0),N('設定'!$C$8)),0))))</f>
        <v/>
      </c>
    </row>
    <row r="215" ht="18" customHeight="1">
      <c r="B215" s="68">
        <f>IF(IF($C$5&lt;&gt;"",$C$5,IF('設定'!$C$6="","",DATE(YEAR('設定'!$C$6),1,1)))="","",IF($C$5&lt;&gt;"",$C$5,IF('設定'!$C$6="","",DATE(YEAR('設定'!$C$6),1,1)))+199)</f>
        <v/>
      </c>
      <c r="C215" s="67">
        <f>IF($B215="","",CHOOSE(WEEKDAY($B215),"日","月","火","水","木","金","土"))</f>
        <v/>
      </c>
      <c r="D215" s="69" t="n"/>
      <c r="E215" s="69" t="n"/>
      <c r="F215" s="70" t="n"/>
      <c r="G215" s="44">
        <f>IF($B215="","",IF(ISNUMBER($E215),$E215,IF(ISNUMBER($D215),$D215,ROUND(IF(N(IFERROR(INDEX('動員を入れる'!$K$8:$K$14,MATCH($C215,'動員を入れる'!$J$8:$J$14,0)),0))&gt;0,IFERROR(INDEX('動員を入れる'!$K$8:$K$14,MATCH($C215,'動員を入れる'!$J$8:$J$14,0)),0),N('設定'!$C$8)),0))))</f>
        <v/>
      </c>
    </row>
    <row r="216" ht="18" customHeight="1">
      <c r="B216" s="68">
        <f>IF(IF($C$5&lt;&gt;"",$C$5,IF('設定'!$C$6="","",DATE(YEAR('設定'!$C$6),1,1)))="","",IF($C$5&lt;&gt;"",$C$5,IF('設定'!$C$6="","",DATE(YEAR('設定'!$C$6),1,1)))+200)</f>
        <v/>
      </c>
      <c r="C216" s="67">
        <f>IF($B216="","",CHOOSE(WEEKDAY($B216),"日","月","火","水","木","金","土"))</f>
        <v/>
      </c>
      <c r="D216" s="69" t="n"/>
      <c r="E216" s="69" t="n"/>
      <c r="F216" s="70" t="n"/>
      <c r="G216" s="44">
        <f>IF($B216="","",IF(ISNUMBER($E216),$E216,IF(ISNUMBER($D216),$D216,ROUND(IF(N(IFERROR(INDEX('動員を入れる'!$K$8:$K$14,MATCH($C216,'動員を入れる'!$J$8:$J$14,0)),0))&gt;0,IFERROR(INDEX('動員を入れる'!$K$8:$K$14,MATCH($C216,'動員を入れる'!$J$8:$J$14,0)),0),N('設定'!$C$8)),0))))</f>
        <v/>
      </c>
    </row>
    <row r="217" ht="18" customHeight="1">
      <c r="B217" s="68">
        <f>IF(IF($C$5&lt;&gt;"",$C$5,IF('設定'!$C$6="","",DATE(YEAR('設定'!$C$6),1,1)))="","",IF($C$5&lt;&gt;"",$C$5,IF('設定'!$C$6="","",DATE(YEAR('設定'!$C$6),1,1)))+201)</f>
        <v/>
      </c>
      <c r="C217" s="67">
        <f>IF($B217="","",CHOOSE(WEEKDAY($B217),"日","月","火","水","木","金","土"))</f>
        <v/>
      </c>
      <c r="D217" s="69" t="n"/>
      <c r="E217" s="69" t="n"/>
      <c r="F217" s="70" t="n"/>
      <c r="G217" s="44">
        <f>IF($B217="","",IF(ISNUMBER($E217),$E217,IF(ISNUMBER($D217),$D217,ROUND(IF(N(IFERROR(INDEX('動員を入れる'!$K$8:$K$14,MATCH($C217,'動員を入れる'!$J$8:$J$14,0)),0))&gt;0,IFERROR(INDEX('動員を入れる'!$K$8:$K$14,MATCH($C217,'動員を入れる'!$J$8:$J$14,0)),0),N('設定'!$C$8)),0))))</f>
        <v/>
      </c>
    </row>
    <row r="218" ht="18" customHeight="1">
      <c r="B218" s="68">
        <f>IF(IF($C$5&lt;&gt;"",$C$5,IF('設定'!$C$6="","",DATE(YEAR('設定'!$C$6),1,1)))="","",IF($C$5&lt;&gt;"",$C$5,IF('設定'!$C$6="","",DATE(YEAR('設定'!$C$6),1,1)))+202)</f>
        <v/>
      </c>
      <c r="C218" s="67">
        <f>IF($B218="","",CHOOSE(WEEKDAY($B218),"日","月","火","水","木","金","土"))</f>
        <v/>
      </c>
      <c r="D218" s="69" t="n"/>
      <c r="E218" s="69" t="n"/>
      <c r="F218" s="70" t="n"/>
      <c r="G218" s="44">
        <f>IF($B218="","",IF(ISNUMBER($E218),$E218,IF(ISNUMBER($D218),$D218,ROUND(IF(N(IFERROR(INDEX('動員を入れる'!$K$8:$K$14,MATCH($C218,'動員を入れる'!$J$8:$J$14,0)),0))&gt;0,IFERROR(INDEX('動員を入れる'!$K$8:$K$14,MATCH($C218,'動員を入れる'!$J$8:$J$14,0)),0),N('設定'!$C$8)),0))))</f>
        <v/>
      </c>
    </row>
    <row r="219" ht="18" customHeight="1">
      <c r="B219" s="68">
        <f>IF(IF($C$5&lt;&gt;"",$C$5,IF('設定'!$C$6="","",DATE(YEAR('設定'!$C$6),1,1)))="","",IF($C$5&lt;&gt;"",$C$5,IF('設定'!$C$6="","",DATE(YEAR('設定'!$C$6),1,1)))+203)</f>
        <v/>
      </c>
      <c r="C219" s="67">
        <f>IF($B219="","",CHOOSE(WEEKDAY($B219),"日","月","火","水","木","金","土"))</f>
        <v/>
      </c>
      <c r="D219" s="69" t="n"/>
      <c r="E219" s="69" t="n"/>
      <c r="F219" s="70" t="n"/>
      <c r="G219" s="44">
        <f>IF($B219="","",IF(ISNUMBER($E219),$E219,IF(ISNUMBER($D219),$D219,ROUND(IF(N(IFERROR(INDEX('動員を入れる'!$K$8:$K$14,MATCH($C219,'動員を入れる'!$J$8:$J$14,0)),0))&gt;0,IFERROR(INDEX('動員を入れる'!$K$8:$K$14,MATCH($C219,'動員を入れる'!$J$8:$J$14,0)),0),N('設定'!$C$8)),0))))</f>
        <v/>
      </c>
    </row>
    <row r="220" ht="18" customHeight="1">
      <c r="B220" s="68">
        <f>IF(IF($C$5&lt;&gt;"",$C$5,IF('設定'!$C$6="","",DATE(YEAR('設定'!$C$6),1,1)))="","",IF($C$5&lt;&gt;"",$C$5,IF('設定'!$C$6="","",DATE(YEAR('設定'!$C$6),1,1)))+204)</f>
        <v/>
      </c>
      <c r="C220" s="67">
        <f>IF($B220="","",CHOOSE(WEEKDAY($B220),"日","月","火","水","木","金","土"))</f>
        <v/>
      </c>
      <c r="D220" s="69" t="n"/>
      <c r="E220" s="69" t="n"/>
      <c r="F220" s="70" t="n"/>
      <c r="G220" s="44">
        <f>IF($B220="","",IF(ISNUMBER($E220),$E220,IF(ISNUMBER($D220),$D220,ROUND(IF(N(IFERROR(INDEX('動員を入れる'!$K$8:$K$14,MATCH($C220,'動員を入れる'!$J$8:$J$14,0)),0))&gt;0,IFERROR(INDEX('動員を入れる'!$K$8:$K$14,MATCH($C220,'動員を入れる'!$J$8:$J$14,0)),0),N('設定'!$C$8)),0))))</f>
        <v/>
      </c>
    </row>
    <row r="221" ht="18" customHeight="1">
      <c r="B221" s="68">
        <f>IF(IF($C$5&lt;&gt;"",$C$5,IF('設定'!$C$6="","",DATE(YEAR('設定'!$C$6),1,1)))="","",IF($C$5&lt;&gt;"",$C$5,IF('設定'!$C$6="","",DATE(YEAR('設定'!$C$6),1,1)))+205)</f>
        <v/>
      </c>
      <c r="C221" s="67">
        <f>IF($B221="","",CHOOSE(WEEKDAY($B221),"日","月","火","水","木","金","土"))</f>
        <v/>
      </c>
      <c r="D221" s="69" t="n"/>
      <c r="E221" s="69" t="n"/>
      <c r="F221" s="70" t="n"/>
      <c r="G221" s="44">
        <f>IF($B221="","",IF(ISNUMBER($E221),$E221,IF(ISNUMBER($D221),$D221,ROUND(IF(N(IFERROR(INDEX('動員を入れる'!$K$8:$K$14,MATCH($C221,'動員を入れる'!$J$8:$J$14,0)),0))&gt;0,IFERROR(INDEX('動員を入れる'!$K$8:$K$14,MATCH($C221,'動員を入れる'!$J$8:$J$14,0)),0),N('設定'!$C$8)),0))))</f>
        <v/>
      </c>
    </row>
    <row r="222" ht="18" customHeight="1">
      <c r="B222" s="68">
        <f>IF(IF($C$5&lt;&gt;"",$C$5,IF('設定'!$C$6="","",DATE(YEAR('設定'!$C$6),1,1)))="","",IF($C$5&lt;&gt;"",$C$5,IF('設定'!$C$6="","",DATE(YEAR('設定'!$C$6),1,1)))+206)</f>
        <v/>
      </c>
      <c r="C222" s="67">
        <f>IF($B222="","",CHOOSE(WEEKDAY($B222),"日","月","火","水","木","金","土"))</f>
        <v/>
      </c>
      <c r="D222" s="69" t="n"/>
      <c r="E222" s="69" t="n"/>
      <c r="F222" s="70" t="n"/>
      <c r="G222" s="44">
        <f>IF($B222="","",IF(ISNUMBER($E222),$E222,IF(ISNUMBER($D222),$D222,ROUND(IF(N(IFERROR(INDEX('動員を入れる'!$K$8:$K$14,MATCH($C222,'動員を入れる'!$J$8:$J$14,0)),0))&gt;0,IFERROR(INDEX('動員を入れる'!$K$8:$K$14,MATCH($C222,'動員を入れる'!$J$8:$J$14,0)),0),N('設定'!$C$8)),0))))</f>
        <v/>
      </c>
    </row>
    <row r="223" ht="18" customHeight="1">
      <c r="B223" s="68">
        <f>IF(IF($C$5&lt;&gt;"",$C$5,IF('設定'!$C$6="","",DATE(YEAR('設定'!$C$6),1,1)))="","",IF($C$5&lt;&gt;"",$C$5,IF('設定'!$C$6="","",DATE(YEAR('設定'!$C$6),1,1)))+207)</f>
        <v/>
      </c>
      <c r="C223" s="67">
        <f>IF($B223="","",CHOOSE(WEEKDAY($B223),"日","月","火","水","木","金","土"))</f>
        <v/>
      </c>
      <c r="D223" s="69" t="n"/>
      <c r="E223" s="69" t="n"/>
      <c r="F223" s="70" t="n"/>
      <c r="G223" s="44">
        <f>IF($B223="","",IF(ISNUMBER($E223),$E223,IF(ISNUMBER($D223),$D223,ROUND(IF(N(IFERROR(INDEX('動員を入れる'!$K$8:$K$14,MATCH($C223,'動員を入れる'!$J$8:$J$14,0)),0))&gt;0,IFERROR(INDEX('動員を入れる'!$K$8:$K$14,MATCH($C223,'動員を入れる'!$J$8:$J$14,0)),0),N('設定'!$C$8)),0))))</f>
        <v/>
      </c>
    </row>
    <row r="224" ht="18" customHeight="1">
      <c r="B224" s="68">
        <f>IF(IF($C$5&lt;&gt;"",$C$5,IF('設定'!$C$6="","",DATE(YEAR('設定'!$C$6),1,1)))="","",IF($C$5&lt;&gt;"",$C$5,IF('設定'!$C$6="","",DATE(YEAR('設定'!$C$6),1,1)))+208)</f>
        <v/>
      </c>
      <c r="C224" s="67">
        <f>IF($B224="","",CHOOSE(WEEKDAY($B224),"日","月","火","水","木","金","土"))</f>
        <v/>
      </c>
      <c r="D224" s="69" t="n"/>
      <c r="E224" s="69" t="n"/>
      <c r="F224" s="70" t="n"/>
      <c r="G224" s="44">
        <f>IF($B224="","",IF(ISNUMBER($E224),$E224,IF(ISNUMBER($D224),$D224,ROUND(IF(N(IFERROR(INDEX('動員を入れる'!$K$8:$K$14,MATCH($C224,'動員を入れる'!$J$8:$J$14,0)),0))&gt;0,IFERROR(INDEX('動員を入れる'!$K$8:$K$14,MATCH($C224,'動員を入れる'!$J$8:$J$14,0)),0),N('設定'!$C$8)),0))))</f>
        <v/>
      </c>
    </row>
    <row r="225" ht="18" customHeight="1">
      <c r="B225" s="68">
        <f>IF(IF($C$5&lt;&gt;"",$C$5,IF('設定'!$C$6="","",DATE(YEAR('設定'!$C$6),1,1)))="","",IF($C$5&lt;&gt;"",$C$5,IF('設定'!$C$6="","",DATE(YEAR('設定'!$C$6),1,1)))+209)</f>
        <v/>
      </c>
      <c r="C225" s="67">
        <f>IF($B225="","",CHOOSE(WEEKDAY($B225),"日","月","火","水","木","金","土"))</f>
        <v/>
      </c>
      <c r="D225" s="69" t="n"/>
      <c r="E225" s="69" t="n"/>
      <c r="F225" s="70" t="n"/>
      <c r="G225" s="44">
        <f>IF($B225="","",IF(ISNUMBER($E225),$E225,IF(ISNUMBER($D225),$D225,ROUND(IF(N(IFERROR(INDEX('動員を入れる'!$K$8:$K$14,MATCH($C225,'動員を入れる'!$J$8:$J$14,0)),0))&gt;0,IFERROR(INDEX('動員を入れる'!$K$8:$K$14,MATCH($C225,'動員を入れる'!$J$8:$J$14,0)),0),N('設定'!$C$8)),0))))</f>
        <v/>
      </c>
    </row>
    <row r="226" ht="18" customHeight="1">
      <c r="B226" s="68">
        <f>IF(IF($C$5&lt;&gt;"",$C$5,IF('設定'!$C$6="","",DATE(YEAR('設定'!$C$6),1,1)))="","",IF($C$5&lt;&gt;"",$C$5,IF('設定'!$C$6="","",DATE(YEAR('設定'!$C$6),1,1)))+210)</f>
        <v/>
      </c>
      <c r="C226" s="67">
        <f>IF($B226="","",CHOOSE(WEEKDAY($B226),"日","月","火","水","木","金","土"))</f>
        <v/>
      </c>
      <c r="D226" s="69" t="n"/>
      <c r="E226" s="69" t="n"/>
      <c r="F226" s="70" t="n"/>
      <c r="G226" s="44">
        <f>IF($B226="","",IF(ISNUMBER($E226),$E226,IF(ISNUMBER($D226),$D226,ROUND(IF(N(IFERROR(INDEX('動員を入れる'!$K$8:$K$14,MATCH($C226,'動員を入れる'!$J$8:$J$14,0)),0))&gt;0,IFERROR(INDEX('動員を入れる'!$K$8:$K$14,MATCH($C226,'動員を入れる'!$J$8:$J$14,0)),0),N('設定'!$C$8)),0))))</f>
        <v/>
      </c>
    </row>
    <row r="227" ht="18" customHeight="1">
      <c r="B227" s="68">
        <f>IF(IF($C$5&lt;&gt;"",$C$5,IF('設定'!$C$6="","",DATE(YEAR('設定'!$C$6),1,1)))="","",IF($C$5&lt;&gt;"",$C$5,IF('設定'!$C$6="","",DATE(YEAR('設定'!$C$6),1,1)))+211)</f>
        <v/>
      </c>
      <c r="C227" s="67">
        <f>IF($B227="","",CHOOSE(WEEKDAY($B227),"日","月","火","水","木","金","土"))</f>
        <v/>
      </c>
      <c r="D227" s="69" t="n"/>
      <c r="E227" s="69" t="n"/>
      <c r="F227" s="70" t="n"/>
      <c r="G227" s="44">
        <f>IF($B227="","",IF(ISNUMBER($E227),$E227,IF(ISNUMBER($D227),$D227,ROUND(IF(N(IFERROR(INDEX('動員を入れる'!$K$8:$K$14,MATCH($C227,'動員を入れる'!$J$8:$J$14,0)),0))&gt;0,IFERROR(INDEX('動員を入れる'!$K$8:$K$14,MATCH($C227,'動員を入れる'!$J$8:$J$14,0)),0),N('設定'!$C$8)),0))))</f>
        <v/>
      </c>
    </row>
    <row r="228" ht="18" customHeight="1">
      <c r="B228" s="68">
        <f>IF(IF($C$5&lt;&gt;"",$C$5,IF('設定'!$C$6="","",DATE(YEAR('設定'!$C$6),1,1)))="","",IF($C$5&lt;&gt;"",$C$5,IF('設定'!$C$6="","",DATE(YEAR('設定'!$C$6),1,1)))+212)</f>
        <v/>
      </c>
      <c r="C228" s="67">
        <f>IF($B228="","",CHOOSE(WEEKDAY($B228),"日","月","火","水","木","金","土"))</f>
        <v/>
      </c>
      <c r="D228" s="69" t="n"/>
      <c r="E228" s="69" t="n"/>
      <c r="F228" s="70" t="n"/>
      <c r="G228" s="44">
        <f>IF($B228="","",IF(ISNUMBER($E228),$E228,IF(ISNUMBER($D228),$D228,ROUND(IF(N(IFERROR(INDEX('動員を入れる'!$K$8:$K$14,MATCH($C228,'動員を入れる'!$J$8:$J$14,0)),0))&gt;0,IFERROR(INDEX('動員を入れる'!$K$8:$K$14,MATCH($C228,'動員を入れる'!$J$8:$J$14,0)),0),N('設定'!$C$8)),0))))</f>
        <v/>
      </c>
    </row>
    <row r="229" ht="18" customHeight="1">
      <c r="B229" s="68">
        <f>IF(IF($C$5&lt;&gt;"",$C$5,IF('設定'!$C$6="","",DATE(YEAR('設定'!$C$6),1,1)))="","",IF($C$5&lt;&gt;"",$C$5,IF('設定'!$C$6="","",DATE(YEAR('設定'!$C$6),1,1)))+213)</f>
        <v/>
      </c>
      <c r="C229" s="67">
        <f>IF($B229="","",CHOOSE(WEEKDAY($B229),"日","月","火","水","木","金","土"))</f>
        <v/>
      </c>
      <c r="D229" s="69" t="n"/>
      <c r="E229" s="69" t="n"/>
      <c r="F229" s="70" t="n"/>
      <c r="G229" s="44">
        <f>IF($B229="","",IF(ISNUMBER($E229),$E229,IF(ISNUMBER($D229),$D229,ROUND(IF(N(IFERROR(INDEX('動員を入れる'!$K$8:$K$14,MATCH($C229,'動員を入れる'!$J$8:$J$14,0)),0))&gt;0,IFERROR(INDEX('動員を入れる'!$K$8:$K$14,MATCH($C229,'動員を入れる'!$J$8:$J$14,0)),0),N('設定'!$C$8)),0))))</f>
        <v/>
      </c>
    </row>
    <row r="230" ht="18" customHeight="1">
      <c r="B230" s="68">
        <f>IF(IF($C$5&lt;&gt;"",$C$5,IF('設定'!$C$6="","",DATE(YEAR('設定'!$C$6),1,1)))="","",IF($C$5&lt;&gt;"",$C$5,IF('設定'!$C$6="","",DATE(YEAR('設定'!$C$6),1,1)))+214)</f>
        <v/>
      </c>
      <c r="C230" s="67">
        <f>IF($B230="","",CHOOSE(WEEKDAY($B230),"日","月","火","水","木","金","土"))</f>
        <v/>
      </c>
      <c r="D230" s="69" t="n"/>
      <c r="E230" s="69" t="n"/>
      <c r="F230" s="70" t="n"/>
      <c r="G230" s="44">
        <f>IF($B230="","",IF(ISNUMBER($E230),$E230,IF(ISNUMBER($D230),$D230,ROUND(IF(N(IFERROR(INDEX('動員を入れる'!$K$8:$K$14,MATCH($C230,'動員を入れる'!$J$8:$J$14,0)),0))&gt;0,IFERROR(INDEX('動員を入れる'!$K$8:$K$14,MATCH($C230,'動員を入れる'!$J$8:$J$14,0)),0),N('設定'!$C$8)),0))))</f>
        <v/>
      </c>
    </row>
    <row r="231" ht="18" customHeight="1">
      <c r="B231" s="68">
        <f>IF(IF($C$5&lt;&gt;"",$C$5,IF('設定'!$C$6="","",DATE(YEAR('設定'!$C$6),1,1)))="","",IF($C$5&lt;&gt;"",$C$5,IF('設定'!$C$6="","",DATE(YEAR('設定'!$C$6),1,1)))+215)</f>
        <v/>
      </c>
      <c r="C231" s="67">
        <f>IF($B231="","",CHOOSE(WEEKDAY($B231),"日","月","火","水","木","金","土"))</f>
        <v/>
      </c>
      <c r="D231" s="69" t="n"/>
      <c r="E231" s="69" t="n"/>
      <c r="F231" s="70" t="n"/>
      <c r="G231" s="44">
        <f>IF($B231="","",IF(ISNUMBER($E231),$E231,IF(ISNUMBER($D231),$D231,ROUND(IF(N(IFERROR(INDEX('動員を入れる'!$K$8:$K$14,MATCH($C231,'動員を入れる'!$J$8:$J$14,0)),0))&gt;0,IFERROR(INDEX('動員を入れる'!$K$8:$K$14,MATCH($C231,'動員を入れる'!$J$8:$J$14,0)),0),N('設定'!$C$8)),0))))</f>
        <v/>
      </c>
    </row>
    <row r="232" ht="18" customHeight="1">
      <c r="B232" s="68">
        <f>IF(IF($C$5&lt;&gt;"",$C$5,IF('設定'!$C$6="","",DATE(YEAR('設定'!$C$6),1,1)))="","",IF($C$5&lt;&gt;"",$C$5,IF('設定'!$C$6="","",DATE(YEAR('設定'!$C$6),1,1)))+216)</f>
        <v/>
      </c>
      <c r="C232" s="67">
        <f>IF($B232="","",CHOOSE(WEEKDAY($B232),"日","月","火","水","木","金","土"))</f>
        <v/>
      </c>
      <c r="D232" s="69" t="n"/>
      <c r="E232" s="69" t="n"/>
      <c r="F232" s="70" t="n"/>
      <c r="G232" s="44">
        <f>IF($B232="","",IF(ISNUMBER($E232),$E232,IF(ISNUMBER($D232),$D232,ROUND(IF(N(IFERROR(INDEX('動員を入れる'!$K$8:$K$14,MATCH($C232,'動員を入れる'!$J$8:$J$14,0)),0))&gt;0,IFERROR(INDEX('動員を入れる'!$K$8:$K$14,MATCH($C232,'動員を入れる'!$J$8:$J$14,0)),0),N('設定'!$C$8)),0))))</f>
        <v/>
      </c>
    </row>
    <row r="233" ht="18" customHeight="1">
      <c r="B233" s="68">
        <f>IF(IF($C$5&lt;&gt;"",$C$5,IF('設定'!$C$6="","",DATE(YEAR('設定'!$C$6),1,1)))="","",IF($C$5&lt;&gt;"",$C$5,IF('設定'!$C$6="","",DATE(YEAR('設定'!$C$6),1,1)))+217)</f>
        <v/>
      </c>
      <c r="C233" s="67">
        <f>IF($B233="","",CHOOSE(WEEKDAY($B233),"日","月","火","水","木","金","土"))</f>
        <v/>
      </c>
      <c r="D233" s="69" t="n"/>
      <c r="E233" s="69" t="n"/>
      <c r="F233" s="70" t="n"/>
      <c r="G233" s="44">
        <f>IF($B233="","",IF(ISNUMBER($E233),$E233,IF(ISNUMBER($D233),$D233,ROUND(IF(N(IFERROR(INDEX('動員を入れる'!$K$8:$K$14,MATCH($C233,'動員を入れる'!$J$8:$J$14,0)),0))&gt;0,IFERROR(INDEX('動員を入れる'!$K$8:$K$14,MATCH($C233,'動員を入れる'!$J$8:$J$14,0)),0),N('設定'!$C$8)),0))))</f>
        <v/>
      </c>
    </row>
    <row r="234" ht="18" customHeight="1">
      <c r="B234" s="68">
        <f>IF(IF($C$5&lt;&gt;"",$C$5,IF('設定'!$C$6="","",DATE(YEAR('設定'!$C$6),1,1)))="","",IF($C$5&lt;&gt;"",$C$5,IF('設定'!$C$6="","",DATE(YEAR('設定'!$C$6),1,1)))+218)</f>
        <v/>
      </c>
      <c r="C234" s="67">
        <f>IF($B234="","",CHOOSE(WEEKDAY($B234),"日","月","火","水","木","金","土"))</f>
        <v/>
      </c>
      <c r="D234" s="69" t="n"/>
      <c r="E234" s="69" t="n"/>
      <c r="F234" s="70" t="n"/>
      <c r="G234" s="44">
        <f>IF($B234="","",IF(ISNUMBER($E234),$E234,IF(ISNUMBER($D234),$D234,ROUND(IF(N(IFERROR(INDEX('動員を入れる'!$K$8:$K$14,MATCH($C234,'動員を入れる'!$J$8:$J$14,0)),0))&gt;0,IFERROR(INDEX('動員を入れる'!$K$8:$K$14,MATCH($C234,'動員を入れる'!$J$8:$J$14,0)),0),N('設定'!$C$8)),0))))</f>
        <v/>
      </c>
    </row>
    <row r="235" ht="18" customHeight="1">
      <c r="B235" s="68">
        <f>IF(IF($C$5&lt;&gt;"",$C$5,IF('設定'!$C$6="","",DATE(YEAR('設定'!$C$6),1,1)))="","",IF($C$5&lt;&gt;"",$C$5,IF('設定'!$C$6="","",DATE(YEAR('設定'!$C$6),1,1)))+219)</f>
        <v/>
      </c>
      <c r="C235" s="67">
        <f>IF($B235="","",CHOOSE(WEEKDAY($B235),"日","月","火","水","木","金","土"))</f>
        <v/>
      </c>
      <c r="D235" s="69" t="n"/>
      <c r="E235" s="69" t="n"/>
      <c r="F235" s="70" t="n"/>
      <c r="G235" s="44">
        <f>IF($B235="","",IF(ISNUMBER($E235),$E235,IF(ISNUMBER($D235),$D235,ROUND(IF(N(IFERROR(INDEX('動員を入れる'!$K$8:$K$14,MATCH($C235,'動員を入れる'!$J$8:$J$14,0)),0))&gt;0,IFERROR(INDEX('動員を入れる'!$K$8:$K$14,MATCH($C235,'動員を入れる'!$J$8:$J$14,0)),0),N('設定'!$C$8)),0))))</f>
        <v/>
      </c>
    </row>
    <row r="236" ht="18" customHeight="1">
      <c r="B236" s="68">
        <f>IF(IF($C$5&lt;&gt;"",$C$5,IF('設定'!$C$6="","",DATE(YEAR('設定'!$C$6),1,1)))="","",IF($C$5&lt;&gt;"",$C$5,IF('設定'!$C$6="","",DATE(YEAR('設定'!$C$6),1,1)))+220)</f>
        <v/>
      </c>
      <c r="C236" s="67">
        <f>IF($B236="","",CHOOSE(WEEKDAY($B236),"日","月","火","水","木","金","土"))</f>
        <v/>
      </c>
      <c r="D236" s="69" t="n"/>
      <c r="E236" s="69" t="n"/>
      <c r="F236" s="70" t="n"/>
      <c r="G236" s="44">
        <f>IF($B236="","",IF(ISNUMBER($E236),$E236,IF(ISNUMBER($D236),$D236,ROUND(IF(N(IFERROR(INDEX('動員を入れる'!$K$8:$K$14,MATCH($C236,'動員を入れる'!$J$8:$J$14,0)),0))&gt;0,IFERROR(INDEX('動員を入れる'!$K$8:$K$14,MATCH($C236,'動員を入れる'!$J$8:$J$14,0)),0),N('設定'!$C$8)),0))))</f>
        <v/>
      </c>
    </row>
    <row r="237" ht="18" customHeight="1">
      <c r="B237" s="68">
        <f>IF(IF($C$5&lt;&gt;"",$C$5,IF('設定'!$C$6="","",DATE(YEAR('設定'!$C$6),1,1)))="","",IF($C$5&lt;&gt;"",$C$5,IF('設定'!$C$6="","",DATE(YEAR('設定'!$C$6),1,1)))+221)</f>
        <v/>
      </c>
      <c r="C237" s="67">
        <f>IF($B237="","",CHOOSE(WEEKDAY($B237),"日","月","火","水","木","金","土"))</f>
        <v/>
      </c>
      <c r="D237" s="69" t="n"/>
      <c r="E237" s="69" t="n"/>
      <c r="F237" s="70" t="n"/>
      <c r="G237" s="44">
        <f>IF($B237="","",IF(ISNUMBER($E237),$E237,IF(ISNUMBER($D237),$D237,ROUND(IF(N(IFERROR(INDEX('動員を入れる'!$K$8:$K$14,MATCH($C237,'動員を入れる'!$J$8:$J$14,0)),0))&gt;0,IFERROR(INDEX('動員を入れる'!$K$8:$K$14,MATCH($C237,'動員を入れる'!$J$8:$J$14,0)),0),N('設定'!$C$8)),0))))</f>
        <v/>
      </c>
    </row>
    <row r="238" ht="18" customHeight="1">
      <c r="B238" s="68">
        <f>IF(IF($C$5&lt;&gt;"",$C$5,IF('設定'!$C$6="","",DATE(YEAR('設定'!$C$6),1,1)))="","",IF($C$5&lt;&gt;"",$C$5,IF('設定'!$C$6="","",DATE(YEAR('設定'!$C$6),1,1)))+222)</f>
        <v/>
      </c>
      <c r="C238" s="67">
        <f>IF($B238="","",CHOOSE(WEEKDAY($B238),"日","月","火","水","木","金","土"))</f>
        <v/>
      </c>
      <c r="D238" s="69" t="n"/>
      <c r="E238" s="69" t="n"/>
      <c r="F238" s="70" t="n"/>
      <c r="G238" s="44">
        <f>IF($B238="","",IF(ISNUMBER($E238),$E238,IF(ISNUMBER($D238),$D238,ROUND(IF(N(IFERROR(INDEX('動員を入れる'!$K$8:$K$14,MATCH($C238,'動員を入れる'!$J$8:$J$14,0)),0))&gt;0,IFERROR(INDEX('動員を入れる'!$K$8:$K$14,MATCH($C238,'動員を入れる'!$J$8:$J$14,0)),0),N('設定'!$C$8)),0))))</f>
        <v/>
      </c>
    </row>
    <row r="239" ht="18" customHeight="1">
      <c r="B239" s="68">
        <f>IF(IF($C$5&lt;&gt;"",$C$5,IF('設定'!$C$6="","",DATE(YEAR('設定'!$C$6),1,1)))="","",IF($C$5&lt;&gt;"",$C$5,IF('設定'!$C$6="","",DATE(YEAR('設定'!$C$6),1,1)))+223)</f>
        <v/>
      </c>
      <c r="C239" s="67">
        <f>IF($B239="","",CHOOSE(WEEKDAY($B239),"日","月","火","水","木","金","土"))</f>
        <v/>
      </c>
      <c r="D239" s="69" t="n"/>
      <c r="E239" s="69" t="n"/>
      <c r="F239" s="70" t="n"/>
      <c r="G239" s="44">
        <f>IF($B239="","",IF(ISNUMBER($E239),$E239,IF(ISNUMBER($D239),$D239,ROUND(IF(N(IFERROR(INDEX('動員を入れる'!$K$8:$K$14,MATCH($C239,'動員を入れる'!$J$8:$J$14,0)),0))&gt;0,IFERROR(INDEX('動員を入れる'!$K$8:$K$14,MATCH($C239,'動員を入れる'!$J$8:$J$14,0)),0),N('設定'!$C$8)),0))))</f>
        <v/>
      </c>
    </row>
    <row r="240" ht="18" customHeight="1">
      <c r="B240" s="68">
        <f>IF(IF($C$5&lt;&gt;"",$C$5,IF('設定'!$C$6="","",DATE(YEAR('設定'!$C$6),1,1)))="","",IF($C$5&lt;&gt;"",$C$5,IF('設定'!$C$6="","",DATE(YEAR('設定'!$C$6),1,1)))+224)</f>
        <v/>
      </c>
      <c r="C240" s="67">
        <f>IF($B240="","",CHOOSE(WEEKDAY($B240),"日","月","火","水","木","金","土"))</f>
        <v/>
      </c>
      <c r="D240" s="69" t="n"/>
      <c r="E240" s="69" t="n"/>
      <c r="F240" s="70" t="n"/>
      <c r="G240" s="44">
        <f>IF($B240="","",IF(ISNUMBER($E240),$E240,IF(ISNUMBER($D240),$D240,ROUND(IF(N(IFERROR(INDEX('動員を入れる'!$K$8:$K$14,MATCH($C240,'動員を入れる'!$J$8:$J$14,0)),0))&gt;0,IFERROR(INDEX('動員を入れる'!$K$8:$K$14,MATCH($C240,'動員を入れる'!$J$8:$J$14,0)),0),N('設定'!$C$8)),0))))</f>
        <v/>
      </c>
    </row>
    <row r="241" ht="18" customHeight="1">
      <c r="B241" s="68">
        <f>IF(IF($C$5&lt;&gt;"",$C$5,IF('設定'!$C$6="","",DATE(YEAR('設定'!$C$6),1,1)))="","",IF($C$5&lt;&gt;"",$C$5,IF('設定'!$C$6="","",DATE(YEAR('設定'!$C$6),1,1)))+225)</f>
        <v/>
      </c>
      <c r="C241" s="67">
        <f>IF($B241="","",CHOOSE(WEEKDAY($B241),"日","月","火","水","木","金","土"))</f>
        <v/>
      </c>
      <c r="D241" s="69" t="n"/>
      <c r="E241" s="69" t="n"/>
      <c r="F241" s="70" t="n"/>
      <c r="G241" s="44">
        <f>IF($B241="","",IF(ISNUMBER($E241),$E241,IF(ISNUMBER($D241),$D241,ROUND(IF(N(IFERROR(INDEX('動員を入れる'!$K$8:$K$14,MATCH($C241,'動員を入れる'!$J$8:$J$14,0)),0))&gt;0,IFERROR(INDEX('動員を入れる'!$K$8:$K$14,MATCH($C241,'動員を入れる'!$J$8:$J$14,0)),0),N('設定'!$C$8)),0))))</f>
        <v/>
      </c>
    </row>
    <row r="242" ht="18" customHeight="1">
      <c r="B242" s="68">
        <f>IF(IF($C$5&lt;&gt;"",$C$5,IF('設定'!$C$6="","",DATE(YEAR('設定'!$C$6),1,1)))="","",IF($C$5&lt;&gt;"",$C$5,IF('設定'!$C$6="","",DATE(YEAR('設定'!$C$6),1,1)))+226)</f>
        <v/>
      </c>
      <c r="C242" s="67">
        <f>IF($B242="","",CHOOSE(WEEKDAY($B242),"日","月","火","水","木","金","土"))</f>
        <v/>
      </c>
      <c r="D242" s="69" t="n"/>
      <c r="E242" s="69" t="n"/>
      <c r="F242" s="70" t="n"/>
      <c r="G242" s="44">
        <f>IF($B242="","",IF(ISNUMBER($E242),$E242,IF(ISNUMBER($D242),$D242,ROUND(IF(N(IFERROR(INDEX('動員を入れる'!$K$8:$K$14,MATCH($C242,'動員を入れる'!$J$8:$J$14,0)),0))&gt;0,IFERROR(INDEX('動員を入れる'!$K$8:$K$14,MATCH($C242,'動員を入れる'!$J$8:$J$14,0)),0),N('設定'!$C$8)),0))))</f>
        <v/>
      </c>
    </row>
    <row r="243" ht="18" customHeight="1">
      <c r="B243" s="68">
        <f>IF(IF($C$5&lt;&gt;"",$C$5,IF('設定'!$C$6="","",DATE(YEAR('設定'!$C$6),1,1)))="","",IF($C$5&lt;&gt;"",$C$5,IF('設定'!$C$6="","",DATE(YEAR('設定'!$C$6),1,1)))+227)</f>
        <v/>
      </c>
      <c r="C243" s="67">
        <f>IF($B243="","",CHOOSE(WEEKDAY($B243),"日","月","火","水","木","金","土"))</f>
        <v/>
      </c>
      <c r="D243" s="69" t="n"/>
      <c r="E243" s="69" t="n"/>
      <c r="F243" s="70" t="n"/>
      <c r="G243" s="44">
        <f>IF($B243="","",IF(ISNUMBER($E243),$E243,IF(ISNUMBER($D243),$D243,ROUND(IF(N(IFERROR(INDEX('動員を入れる'!$K$8:$K$14,MATCH($C243,'動員を入れる'!$J$8:$J$14,0)),0))&gt;0,IFERROR(INDEX('動員を入れる'!$K$8:$K$14,MATCH($C243,'動員を入れる'!$J$8:$J$14,0)),0),N('設定'!$C$8)),0))))</f>
        <v/>
      </c>
    </row>
    <row r="244" ht="18" customHeight="1">
      <c r="B244" s="68">
        <f>IF(IF($C$5&lt;&gt;"",$C$5,IF('設定'!$C$6="","",DATE(YEAR('設定'!$C$6),1,1)))="","",IF($C$5&lt;&gt;"",$C$5,IF('設定'!$C$6="","",DATE(YEAR('設定'!$C$6),1,1)))+228)</f>
        <v/>
      </c>
      <c r="C244" s="67">
        <f>IF($B244="","",CHOOSE(WEEKDAY($B244),"日","月","火","水","木","金","土"))</f>
        <v/>
      </c>
      <c r="D244" s="69" t="n"/>
      <c r="E244" s="69" t="n"/>
      <c r="F244" s="70" t="n"/>
      <c r="G244" s="44">
        <f>IF($B244="","",IF(ISNUMBER($E244),$E244,IF(ISNUMBER($D244),$D244,ROUND(IF(N(IFERROR(INDEX('動員を入れる'!$K$8:$K$14,MATCH($C244,'動員を入れる'!$J$8:$J$14,0)),0))&gt;0,IFERROR(INDEX('動員を入れる'!$K$8:$K$14,MATCH($C244,'動員を入れる'!$J$8:$J$14,0)),0),N('設定'!$C$8)),0))))</f>
        <v/>
      </c>
    </row>
    <row r="245" ht="18" customHeight="1">
      <c r="B245" s="68">
        <f>IF(IF($C$5&lt;&gt;"",$C$5,IF('設定'!$C$6="","",DATE(YEAR('設定'!$C$6),1,1)))="","",IF($C$5&lt;&gt;"",$C$5,IF('設定'!$C$6="","",DATE(YEAR('設定'!$C$6),1,1)))+229)</f>
        <v/>
      </c>
      <c r="C245" s="67">
        <f>IF($B245="","",CHOOSE(WEEKDAY($B245),"日","月","火","水","木","金","土"))</f>
        <v/>
      </c>
      <c r="D245" s="69" t="n"/>
      <c r="E245" s="69" t="n"/>
      <c r="F245" s="70" t="n"/>
      <c r="G245" s="44">
        <f>IF($B245="","",IF(ISNUMBER($E245),$E245,IF(ISNUMBER($D245),$D245,ROUND(IF(N(IFERROR(INDEX('動員を入れる'!$K$8:$K$14,MATCH($C245,'動員を入れる'!$J$8:$J$14,0)),0))&gt;0,IFERROR(INDEX('動員を入れる'!$K$8:$K$14,MATCH($C245,'動員を入れる'!$J$8:$J$14,0)),0),N('設定'!$C$8)),0))))</f>
        <v/>
      </c>
    </row>
    <row r="246" ht="18" customHeight="1">
      <c r="B246" s="68">
        <f>IF(IF($C$5&lt;&gt;"",$C$5,IF('設定'!$C$6="","",DATE(YEAR('設定'!$C$6),1,1)))="","",IF($C$5&lt;&gt;"",$C$5,IF('設定'!$C$6="","",DATE(YEAR('設定'!$C$6),1,1)))+230)</f>
        <v/>
      </c>
      <c r="C246" s="67">
        <f>IF($B246="","",CHOOSE(WEEKDAY($B246),"日","月","火","水","木","金","土"))</f>
        <v/>
      </c>
      <c r="D246" s="69" t="n"/>
      <c r="E246" s="69" t="n"/>
      <c r="F246" s="70" t="n"/>
      <c r="G246" s="44">
        <f>IF($B246="","",IF(ISNUMBER($E246),$E246,IF(ISNUMBER($D246),$D246,ROUND(IF(N(IFERROR(INDEX('動員を入れる'!$K$8:$K$14,MATCH($C246,'動員を入れる'!$J$8:$J$14,0)),0))&gt;0,IFERROR(INDEX('動員を入れる'!$K$8:$K$14,MATCH($C246,'動員を入れる'!$J$8:$J$14,0)),0),N('設定'!$C$8)),0))))</f>
        <v/>
      </c>
    </row>
    <row r="247" ht="18" customHeight="1">
      <c r="B247" s="68">
        <f>IF(IF($C$5&lt;&gt;"",$C$5,IF('設定'!$C$6="","",DATE(YEAR('設定'!$C$6),1,1)))="","",IF($C$5&lt;&gt;"",$C$5,IF('設定'!$C$6="","",DATE(YEAR('設定'!$C$6),1,1)))+231)</f>
        <v/>
      </c>
      <c r="C247" s="67">
        <f>IF($B247="","",CHOOSE(WEEKDAY($B247),"日","月","火","水","木","金","土"))</f>
        <v/>
      </c>
      <c r="D247" s="69" t="n"/>
      <c r="E247" s="69" t="n"/>
      <c r="F247" s="70" t="n"/>
      <c r="G247" s="44">
        <f>IF($B247="","",IF(ISNUMBER($E247),$E247,IF(ISNUMBER($D247),$D247,ROUND(IF(N(IFERROR(INDEX('動員を入れる'!$K$8:$K$14,MATCH($C247,'動員を入れる'!$J$8:$J$14,0)),0))&gt;0,IFERROR(INDEX('動員を入れる'!$K$8:$K$14,MATCH($C247,'動員を入れる'!$J$8:$J$14,0)),0),N('設定'!$C$8)),0))))</f>
        <v/>
      </c>
    </row>
    <row r="248" ht="18" customHeight="1">
      <c r="B248" s="68">
        <f>IF(IF($C$5&lt;&gt;"",$C$5,IF('設定'!$C$6="","",DATE(YEAR('設定'!$C$6),1,1)))="","",IF($C$5&lt;&gt;"",$C$5,IF('設定'!$C$6="","",DATE(YEAR('設定'!$C$6),1,1)))+232)</f>
        <v/>
      </c>
      <c r="C248" s="67">
        <f>IF($B248="","",CHOOSE(WEEKDAY($B248),"日","月","火","水","木","金","土"))</f>
        <v/>
      </c>
      <c r="D248" s="69" t="n"/>
      <c r="E248" s="69" t="n"/>
      <c r="F248" s="70" t="n"/>
      <c r="G248" s="44">
        <f>IF($B248="","",IF(ISNUMBER($E248),$E248,IF(ISNUMBER($D248),$D248,ROUND(IF(N(IFERROR(INDEX('動員を入れる'!$K$8:$K$14,MATCH($C248,'動員を入れる'!$J$8:$J$14,0)),0))&gt;0,IFERROR(INDEX('動員を入れる'!$K$8:$K$14,MATCH($C248,'動員を入れる'!$J$8:$J$14,0)),0),N('設定'!$C$8)),0))))</f>
        <v/>
      </c>
    </row>
    <row r="249" ht="18" customHeight="1">
      <c r="B249" s="68">
        <f>IF(IF($C$5&lt;&gt;"",$C$5,IF('設定'!$C$6="","",DATE(YEAR('設定'!$C$6),1,1)))="","",IF($C$5&lt;&gt;"",$C$5,IF('設定'!$C$6="","",DATE(YEAR('設定'!$C$6),1,1)))+233)</f>
        <v/>
      </c>
      <c r="C249" s="67">
        <f>IF($B249="","",CHOOSE(WEEKDAY($B249),"日","月","火","水","木","金","土"))</f>
        <v/>
      </c>
      <c r="D249" s="69" t="n"/>
      <c r="E249" s="69" t="n"/>
      <c r="F249" s="70" t="n"/>
      <c r="G249" s="44">
        <f>IF($B249="","",IF(ISNUMBER($E249),$E249,IF(ISNUMBER($D249),$D249,ROUND(IF(N(IFERROR(INDEX('動員を入れる'!$K$8:$K$14,MATCH($C249,'動員を入れる'!$J$8:$J$14,0)),0))&gt;0,IFERROR(INDEX('動員を入れる'!$K$8:$K$14,MATCH($C249,'動員を入れる'!$J$8:$J$14,0)),0),N('設定'!$C$8)),0))))</f>
        <v/>
      </c>
    </row>
    <row r="250" ht="18" customHeight="1">
      <c r="B250" s="68">
        <f>IF(IF($C$5&lt;&gt;"",$C$5,IF('設定'!$C$6="","",DATE(YEAR('設定'!$C$6),1,1)))="","",IF($C$5&lt;&gt;"",$C$5,IF('設定'!$C$6="","",DATE(YEAR('設定'!$C$6),1,1)))+234)</f>
        <v/>
      </c>
      <c r="C250" s="67">
        <f>IF($B250="","",CHOOSE(WEEKDAY($B250),"日","月","火","水","木","金","土"))</f>
        <v/>
      </c>
      <c r="D250" s="69" t="n"/>
      <c r="E250" s="69" t="n"/>
      <c r="F250" s="70" t="n"/>
      <c r="G250" s="44">
        <f>IF($B250="","",IF(ISNUMBER($E250),$E250,IF(ISNUMBER($D250),$D250,ROUND(IF(N(IFERROR(INDEX('動員を入れる'!$K$8:$K$14,MATCH($C250,'動員を入れる'!$J$8:$J$14,0)),0))&gt;0,IFERROR(INDEX('動員を入れる'!$K$8:$K$14,MATCH($C250,'動員を入れる'!$J$8:$J$14,0)),0),N('設定'!$C$8)),0))))</f>
        <v/>
      </c>
    </row>
    <row r="251" ht="18" customHeight="1">
      <c r="B251" s="68">
        <f>IF(IF($C$5&lt;&gt;"",$C$5,IF('設定'!$C$6="","",DATE(YEAR('設定'!$C$6),1,1)))="","",IF($C$5&lt;&gt;"",$C$5,IF('設定'!$C$6="","",DATE(YEAR('設定'!$C$6),1,1)))+235)</f>
        <v/>
      </c>
      <c r="C251" s="67">
        <f>IF($B251="","",CHOOSE(WEEKDAY($B251),"日","月","火","水","木","金","土"))</f>
        <v/>
      </c>
      <c r="D251" s="69" t="n"/>
      <c r="E251" s="69" t="n"/>
      <c r="F251" s="70" t="n"/>
      <c r="G251" s="44">
        <f>IF($B251="","",IF(ISNUMBER($E251),$E251,IF(ISNUMBER($D251),$D251,ROUND(IF(N(IFERROR(INDEX('動員を入れる'!$K$8:$K$14,MATCH($C251,'動員を入れる'!$J$8:$J$14,0)),0))&gt;0,IFERROR(INDEX('動員を入れる'!$K$8:$K$14,MATCH($C251,'動員を入れる'!$J$8:$J$14,0)),0),N('設定'!$C$8)),0))))</f>
        <v/>
      </c>
    </row>
    <row r="252" ht="18" customHeight="1">
      <c r="B252" s="68">
        <f>IF(IF($C$5&lt;&gt;"",$C$5,IF('設定'!$C$6="","",DATE(YEAR('設定'!$C$6),1,1)))="","",IF($C$5&lt;&gt;"",$C$5,IF('設定'!$C$6="","",DATE(YEAR('設定'!$C$6),1,1)))+236)</f>
        <v/>
      </c>
      <c r="C252" s="67">
        <f>IF($B252="","",CHOOSE(WEEKDAY($B252),"日","月","火","水","木","金","土"))</f>
        <v/>
      </c>
      <c r="D252" s="69" t="n"/>
      <c r="E252" s="69" t="n"/>
      <c r="F252" s="70" t="n"/>
      <c r="G252" s="44">
        <f>IF($B252="","",IF(ISNUMBER($E252),$E252,IF(ISNUMBER($D252),$D252,ROUND(IF(N(IFERROR(INDEX('動員を入れる'!$K$8:$K$14,MATCH($C252,'動員を入れる'!$J$8:$J$14,0)),0))&gt;0,IFERROR(INDEX('動員を入れる'!$K$8:$K$14,MATCH($C252,'動員を入れる'!$J$8:$J$14,0)),0),N('設定'!$C$8)),0))))</f>
        <v/>
      </c>
    </row>
    <row r="253" ht="18" customHeight="1">
      <c r="B253" s="68">
        <f>IF(IF($C$5&lt;&gt;"",$C$5,IF('設定'!$C$6="","",DATE(YEAR('設定'!$C$6),1,1)))="","",IF($C$5&lt;&gt;"",$C$5,IF('設定'!$C$6="","",DATE(YEAR('設定'!$C$6),1,1)))+237)</f>
        <v/>
      </c>
      <c r="C253" s="67">
        <f>IF($B253="","",CHOOSE(WEEKDAY($B253),"日","月","火","水","木","金","土"))</f>
        <v/>
      </c>
      <c r="D253" s="69" t="n"/>
      <c r="E253" s="69" t="n"/>
      <c r="F253" s="70" t="n"/>
      <c r="G253" s="44">
        <f>IF($B253="","",IF(ISNUMBER($E253),$E253,IF(ISNUMBER($D253),$D253,ROUND(IF(N(IFERROR(INDEX('動員を入れる'!$K$8:$K$14,MATCH($C253,'動員を入れる'!$J$8:$J$14,0)),0))&gt;0,IFERROR(INDEX('動員を入れる'!$K$8:$K$14,MATCH($C253,'動員を入れる'!$J$8:$J$14,0)),0),N('設定'!$C$8)),0))))</f>
        <v/>
      </c>
    </row>
    <row r="254" ht="18" customHeight="1">
      <c r="B254" s="68">
        <f>IF(IF($C$5&lt;&gt;"",$C$5,IF('設定'!$C$6="","",DATE(YEAR('設定'!$C$6),1,1)))="","",IF($C$5&lt;&gt;"",$C$5,IF('設定'!$C$6="","",DATE(YEAR('設定'!$C$6),1,1)))+238)</f>
        <v/>
      </c>
      <c r="C254" s="67">
        <f>IF($B254="","",CHOOSE(WEEKDAY($B254),"日","月","火","水","木","金","土"))</f>
        <v/>
      </c>
      <c r="D254" s="69" t="n"/>
      <c r="E254" s="69" t="n"/>
      <c r="F254" s="70" t="n"/>
      <c r="G254" s="44">
        <f>IF($B254="","",IF(ISNUMBER($E254),$E254,IF(ISNUMBER($D254),$D254,ROUND(IF(N(IFERROR(INDEX('動員を入れる'!$K$8:$K$14,MATCH($C254,'動員を入れる'!$J$8:$J$14,0)),0))&gt;0,IFERROR(INDEX('動員を入れる'!$K$8:$K$14,MATCH($C254,'動員を入れる'!$J$8:$J$14,0)),0),N('設定'!$C$8)),0))))</f>
        <v/>
      </c>
    </row>
    <row r="255" ht="18" customHeight="1">
      <c r="B255" s="68">
        <f>IF(IF($C$5&lt;&gt;"",$C$5,IF('設定'!$C$6="","",DATE(YEAR('設定'!$C$6),1,1)))="","",IF($C$5&lt;&gt;"",$C$5,IF('設定'!$C$6="","",DATE(YEAR('設定'!$C$6),1,1)))+239)</f>
        <v/>
      </c>
      <c r="C255" s="67">
        <f>IF($B255="","",CHOOSE(WEEKDAY($B255),"日","月","火","水","木","金","土"))</f>
        <v/>
      </c>
      <c r="D255" s="69" t="n"/>
      <c r="E255" s="69" t="n"/>
      <c r="F255" s="70" t="n"/>
      <c r="G255" s="44">
        <f>IF($B255="","",IF(ISNUMBER($E255),$E255,IF(ISNUMBER($D255),$D255,ROUND(IF(N(IFERROR(INDEX('動員を入れる'!$K$8:$K$14,MATCH($C255,'動員を入れる'!$J$8:$J$14,0)),0))&gt;0,IFERROR(INDEX('動員を入れる'!$K$8:$K$14,MATCH($C255,'動員を入れる'!$J$8:$J$14,0)),0),N('設定'!$C$8)),0))))</f>
        <v/>
      </c>
    </row>
    <row r="256" ht="18" customHeight="1">
      <c r="B256" s="68">
        <f>IF(IF($C$5&lt;&gt;"",$C$5,IF('設定'!$C$6="","",DATE(YEAR('設定'!$C$6),1,1)))="","",IF($C$5&lt;&gt;"",$C$5,IF('設定'!$C$6="","",DATE(YEAR('設定'!$C$6),1,1)))+240)</f>
        <v/>
      </c>
      <c r="C256" s="67">
        <f>IF($B256="","",CHOOSE(WEEKDAY($B256),"日","月","火","水","木","金","土"))</f>
        <v/>
      </c>
      <c r="D256" s="69" t="n"/>
      <c r="E256" s="69" t="n"/>
      <c r="F256" s="70" t="n"/>
      <c r="G256" s="44">
        <f>IF($B256="","",IF(ISNUMBER($E256),$E256,IF(ISNUMBER($D256),$D256,ROUND(IF(N(IFERROR(INDEX('動員を入れる'!$K$8:$K$14,MATCH($C256,'動員を入れる'!$J$8:$J$14,0)),0))&gt;0,IFERROR(INDEX('動員を入れる'!$K$8:$K$14,MATCH($C256,'動員を入れる'!$J$8:$J$14,0)),0),N('設定'!$C$8)),0))))</f>
        <v/>
      </c>
    </row>
    <row r="257" ht="18" customHeight="1">
      <c r="B257" s="68">
        <f>IF(IF($C$5&lt;&gt;"",$C$5,IF('設定'!$C$6="","",DATE(YEAR('設定'!$C$6),1,1)))="","",IF($C$5&lt;&gt;"",$C$5,IF('設定'!$C$6="","",DATE(YEAR('設定'!$C$6),1,1)))+241)</f>
        <v/>
      </c>
      <c r="C257" s="67">
        <f>IF($B257="","",CHOOSE(WEEKDAY($B257),"日","月","火","水","木","金","土"))</f>
        <v/>
      </c>
      <c r="D257" s="69" t="n"/>
      <c r="E257" s="69" t="n"/>
      <c r="F257" s="70" t="n"/>
      <c r="G257" s="44">
        <f>IF($B257="","",IF(ISNUMBER($E257),$E257,IF(ISNUMBER($D257),$D257,ROUND(IF(N(IFERROR(INDEX('動員を入れる'!$K$8:$K$14,MATCH($C257,'動員を入れる'!$J$8:$J$14,0)),0))&gt;0,IFERROR(INDEX('動員を入れる'!$K$8:$K$14,MATCH($C257,'動員を入れる'!$J$8:$J$14,0)),0),N('設定'!$C$8)),0))))</f>
        <v/>
      </c>
    </row>
    <row r="258" ht="18" customHeight="1">
      <c r="B258" s="68">
        <f>IF(IF($C$5&lt;&gt;"",$C$5,IF('設定'!$C$6="","",DATE(YEAR('設定'!$C$6),1,1)))="","",IF($C$5&lt;&gt;"",$C$5,IF('設定'!$C$6="","",DATE(YEAR('設定'!$C$6),1,1)))+242)</f>
        <v/>
      </c>
      <c r="C258" s="67">
        <f>IF($B258="","",CHOOSE(WEEKDAY($B258),"日","月","火","水","木","金","土"))</f>
        <v/>
      </c>
      <c r="D258" s="69" t="n"/>
      <c r="E258" s="69" t="n"/>
      <c r="F258" s="70" t="n"/>
      <c r="G258" s="44">
        <f>IF($B258="","",IF(ISNUMBER($E258),$E258,IF(ISNUMBER($D258),$D258,ROUND(IF(N(IFERROR(INDEX('動員を入れる'!$K$8:$K$14,MATCH($C258,'動員を入れる'!$J$8:$J$14,0)),0))&gt;0,IFERROR(INDEX('動員を入れる'!$K$8:$K$14,MATCH($C258,'動員を入れる'!$J$8:$J$14,0)),0),N('設定'!$C$8)),0))))</f>
        <v/>
      </c>
    </row>
    <row r="259" ht="18" customHeight="1">
      <c r="B259" s="68">
        <f>IF(IF($C$5&lt;&gt;"",$C$5,IF('設定'!$C$6="","",DATE(YEAR('設定'!$C$6),1,1)))="","",IF($C$5&lt;&gt;"",$C$5,IF('設定'!$C$6="","",DATE(YEAR('設定'!$C$6),1,1)))+243)</f>
        <v/>
      </c>
      <c r="C259" s="67">
        <f>IF($B259="","",CHOOSE(WEEKDAY($B259),"日","月","火","水","木","金","土"))</f>
        <v/>
      </c>
      <c r="D259" s="69" t="n"/>
      <c r="E259" s="69" t="n"/>
      <c r="F259" s="70" t="n"/>
      <c r="G259" s="44">
        <f>IF($B259="","",IF(ISNUMBER($E259),$E259,IF(ISNUMBER($D259),$D259,ROUND(IF(N(IFERROR(INDEX('動員を入れる'!$K$8:$K$14,MATCH($C259,'動員を入れる'!$J$8:$J$14,0)),0))&gt;0,IFERROR(INDEX('動員を入れる'!$K$8:$K$14,MATCH($C259,'動員を入れる'!$J$8:$J$14,0)),0),N('設定'!$C$8)),0))))</f>
        <v/>
      </c>
    </row>
    <row r="260" ht="18" customHeight="1">
      <c r="B260" s="68">
        <f>IF(IF($C$5&lt;&gt;"",$C$5,IF('設定'!$C$6="","",DATE(YEAR('設定'!$C$6),1,1)))="","",IF($C$5&lt;&gt;"",$C$5,IF('設定'!$C$6="","",DATE(YEAR('設定'!$C$6),1,1)))+244)</f>
        <v/>
      </c>
      <c r="C260" s="67">
        <f>IF($B260="","",CHOOSE(WEEKDAY($B260),"日","月","火","水","木","金","土"))</f>
        <v/>
      </c>
      <c r="D260" s="69" t="n"/>
      <c r="E260" s="69" t="n"/>
      <c r="F260" s="70" t="n"/>
      <c r="G260" s="44">
        <f>IF($B260="","",IF(ISNUMBER($E260),$E260,IF(ISNUMBER($D260),$D260,ROUND(IF(N(IFERROR(INDEX('動員を入れる'!$K$8:$K$14,MATCH($C260,'動員を入れる'!$J$8:$J$14,0)),0))&gt;0,IFERROR(INDEX('動員を入れる'!$K$8:$K$14,MATCH($C260,'動員を入れる'!$J$8:$J$14,0)),0),N('設定'!$C$8)),0))))</f>
        <v/>
      </c>
    </row>
    <row r="261" ht="18" customHeight="1">
      <c r="B261" s="68">
        <f>IF(IF($C$5&lt;&gt;"",$C$5,IF('設定'!$C$6="","",DATE(YEAR('設定'!$C$6),1,1)))="","",IF($C$5&lt;&gt;"",$C$5,IF('設定'!$C$6="","",DATE(YEAR('設定'!$C$6),1,1)))+245)</f>
        <v/>
      </c>
      <c r="C261" s="67">
        <f>IF($B261="","",CHOOSE(WEEKDAY($B261),"日","月","火","水","木","金","土"))</f>
        <v/>
      </c>
      <c r="D261" s="69" t="n"/>
      <c r="E261" s="69" t="n"/>
      <c r="F261" s="70" t="n"/>
      <c r="G261" s="44">
        <f>IF($B261="","",IF(ISNUMBER($E261),$E261,IF(ISNUMBER($D261),$D261,ROUND(IF(N(IFERROR(INDEX('動員を入れる'!$K$8:$K$14,MATCH($C261,'動員を入れる'!$J$8:$J$14,0)),0))&gt;0,IFERROR(INDEX('動員を入れる'!$K$8:$K$14,MATCH($C261,'動員を入れる'!$J$8:$J$14,0)),0),N('設定'!$C$8)),0))))</f>
        <v/>
      </c>
    </row>
    <row r="262" ht="18" customHeight="1">
      <c r="B262" s="68">
        <f>IF(IF($C$5&lt;&gt;"",$C$5,IF('設定'!$C$6="","",DATE(YEAR('設定'!$C$6),1,1)))="","",IF($C$5&lt;&gt;"",$C$5,IF('設定'!$C$6="","",DATE(YEAR('設定'!$C$6),1,1)))+246)</f>
        <v/>
      </c>
      <c r="C262" s="67">
        <f>IF($B262="","",CHOOSE(WEEKDAY($B262),"日","月","火","水","木","金","土"))</f>
        <v/>
      </c>
      <c r="D262" s="69" t="n"/>
      <c r="E262" s="69" t="n"/>
      <c r="F262" s="70" t="n"/>
      <c r="G262" s="44">
        <f>IF($B262="","",IF(ISNUMBER($E262),$E262,IF(ISNUMBER($D262),$D262,ROUND(IF(N(IFERROR(INDEX('動員を入れる'!$K$8:$K$14,MATCH($C262,'動員を入れる'!$J$8:$J$14,0)),0))&gt;0,IFERROR(INDEX('動員を入れる'!$K$8:$K$14,MATCH($C262,'動員を入れる'!$J$8:$J$14,0)),0),N('設定'!$C$8)),0))))</f>
        <v/>
      </c>
    </row>
    <row r="263" ht="18" customHeight="1">
      <c r="B263" s="68">
        <f>IF(IF($C$5&lt;&gt;"",$C$5,IF('設定'!$C$6="","",DATE(YEAR('設定'!$C$6),1,1)))="","",IF($C$5&lt;&gt;"",$C$5,IF('設定'!$C$6="","",DATE(YEAR('設定'!$C$6),1,1)))+247)</f>
        <v/>
      </c>
      <c r="C263" s="67">
        <f>IF($B263="","",CHOOSE(WEEKDAY($B263),"日","月","火","水","木","金","土"))</f>
        <v/>
      </c>
      <c r="D263" s="69" t="n"/>
      <c r="E263" s="69" t="n"/>
      <c r="F263" s="70" t="n"/>
      <c r="G263" s="44">
        <f>IF($B263="","",IF(ISNUMBER($E263),$E263,IF(ISNUMBER($D263),$D263,ROUND(IF(N(IFERROR(INDEX('動員を入れる'!$K$8:$K$14,MATCH($C263,'動員を入れる'!$J$8:$J$14,0)),0))&gt;0,IFERROR(INDEX('動員を入れる'!$K$8:$K$14,MATCH($C263,'動員を入れる'!$J$8:$J$14,0)),0),N('設定'!$C$8)),0))))</f>
        <v/>
      </c>
    </row>
    <row r="264" ht="18" customHeight="1">
      <c r="B264" s="68">
        <f>IF(IF($C$5&lt;&gt;"",$C$5,IF('設定'!$C$6="","",DATE(YEAR('設定'!$C$6),1,1)))="","",IF($C$5&lt;&gt;"",$C$5,IF('設定'!$C$6="","",DATE(YEAR('設定'!$C$6),1,1)))+248)</f>
        <v/>
      </c>
      <c r="C264" s="67">
        <f>IF($B264="","",CHOOSE(WEEKDAY($B264),"日","月","火","水","木","金","土"))</f>
        <v/>
      </c>
      <c r="D264" s="69" t="n"/>
      <c r="E264" s="69" t="n"/>
      <c r="F264" s="70" t="n"/>
      <c r="G264" s="44">
        <f>IF($B264="","",IF(ISNUMBER($E264),$E264,IF(ISNUMBER($D264),$D264,ROUND(IF(N(IFERROR(INDEX('動員を入れる'!$K$8:$K$14,MATCH($C264,'動員を入れる'!$J$8:$J$14,0)),0))&gt;0,IFERROR(INDEX('動員を入れる'!$K$8:$K$14,MATCH($C264,'動員を入れる'!$J$8:$J$14,0)),0),N('設定'!$C$8)),0))))</f>
        <v/>
      </c>
    </row>
    <row r="265" ht="18" customHeight="1">
      <c r="B265" s="68">
        <f>IF(IF($C$5&lt;&gt;"",$C$5,IF('設定'!$C$6="","",DATE(YEAR('設定'!$C$6),1,1)))="","",IF($C$5&lt;&gt;"",$C$5,IF('設定'!$C$6="","",DATE(YEAR('設定'!$C$6),1,1)))+249)</f>
        <v/>
      </c>
      <c r="C265" s="67">
        <f>IF($B265="","",CHOOSE(WEEKDAY($B265),"日","月","火","水","木","金","土"))</f>
        <v/>
      </c>
      <c r="D265" s="69" t="n"/>
      <c r="E265" s="69" t="n"/>
      <c r="F265" s="70" t="n"/>
      <c r="G265" s="44">
        <f>IF($B265="","",IF(ISNUMBER($E265),$E265,IF(ISNUMBER($D265),$D265,ROUND(IF(N(IFERROR(INDEX('動員を入れる'!$K$8:$K$14,MATCH($C265,'動員を入れる'!$J$8:$J$14,0)),0))&gt;0,IFERROR(INDEX('動員を入れる'!$K$8:$K$14,MATCH($C265,'動員を入れる'!$J$8:$J$14,0)),0),N('設定'!$C$8)),0))))</f>
        <v/>
      </c>
    </row>
    <row r="266" ht="18" customHeight="1">
      <c r="B266" s="68">
        <f>IF(IF($C$5&lt;&gt;"",$C$5,IF('設定'!$C$6="","",DATE(YEAR('設定'!$C$6),1,1)))="","",IF($C$5&lt;&gt;"",$C$5,IF('設定'!$C$6="","",DATE(YEAR('設定'!$C$6),1,1)))+250)</f>
        <v/>
      </c>
      <c r="C266" s="67">
        <f>IF($B266="","",CHOOSE(WEEKDAY($B266),"日","月","火","水","木","金","土"))</f>
        <v/>
      </c>
      <c r="D266" s="69" t="n"/>
      <c r="E266" s="69" t="n"/>
      <c r="F266" s="70" t="n"/>
      <c r="G266" s="44">
        <f>IF($B266="","",IF(ISNUMBER($E266),$E266,IF(ISNUMBER($D266),$D266,ROUND(IF(N(IFERROR(INDEX('動員を入れる'!$K$8:$K$14,MATCH($C266,'動員を入れる'!$J$8:$J$14,0)),0))&gt;0,IFERROR(INDEX('動員を入れる'!$K$8:$K$14,MATCH($C266,'動員を入れる'!$J$8:$J$14,0)),0),N('設定'!$C$8)),0))))</f>
        <v/>
      </c>
    </row>
    <row r="267" ht="18" customHeight="1">
      <c r="B267" s="68">
        <f>IF(IF($C$5&lt;&gt;"",$C$5,IF('設定'!$C$6="","",DATE(YEAR('設定'!$C$6),1,1)))="","",IF($C$5&lt;&gt;"",$C$5,IF('設定'!$C$6="","",DATE(YEAR('設定'!$C$6),1,1)))+251)</f>
        <v/>
      </c>
      <c r="C267" s="67">
        <f>IF($B267="","",CHOOSE(WEEKDAY($B267),"日","月","火","水","木","金","土"))</f>
        <v/>
      </c>
      <c r="D267" s="69" t="n"/>
      <c r="E267" s="69" t="n"/>
      <c r="F267" s="70" t="n"/>
      <c r="G267" s="44">
        <f>IF($B267="","",IF(ISNUMBER($E267),$E267,IF(ISNUMBER($D267),$D267,ROUND(IF(N(IFERROR(INDEX('動員を入れる'!$K$8:$K$14,MATCH($C267,'動員を入れる'!$J$8:$J$14,0)),0))&gt;0,IFERROR(INDEX('動員を入れる'!$K$8:$K$14,MATCH($C267,'動員を入れる'!$J$8:$J$14,0)),0),N('設定'!$C$8)),0))))</f>
        <v/>
      </c>
    </row>
    <row r="268" ht="18" customHeight="1">
      <c r="B268" s="68">
        <f>IF(IF($C$5&lt;&gt;"",$C$5,IF('設定'!$C$6="","",DATE(YEAR('設定'!$C$6),1,1)))="","",IF($C$5&lt;&gt;"",$C$5,IF('設定'!$C$6="","",DATE(YEAR('設定'!$C$6),1,1)))+252)</f>
        <v/>
      </c>
      <c r="C268" s="67">
        <f>IF($B268="","",CHOOSE(WEEKDAY($B268),"日","月","火","水","木","金","土"))</f>
        <v/>
      </c>
      <c r="D268" s="69" t="n"/>
      <c r="E268" s="69" t="n"/>
      <c r="F268" s="70" t="n"/>
      <c r="G268" s="44">
        <f>IF($B268="","",IF(ISNUMBER($E268),$E268,IF(ISNUMBER($D268),$D268,ROUND(IF(N(IFERROR(INDEX('動員を入れる'!$K$8:$K$14,MATCH($C268,'動員を入れる'!$J$8:$J$14,0)),0))&gt;0,IFERROR(INDEX('動員を入れる'!$K$8:$K$14,MATCH($C268,'動員を入れる'!$J$8:$J$14,0)),0),N('設定'!$C$8)),0))))</f>
        <v/>
      </c>
    </row>
    <row r="269" ht="18" customHeight="1">
      <c r="B269" s="68">
        <f>IF(IF($C$5&lt;&gt;"",$C$5,IF('設定'!$C$6="","",DATE(YEAR('設定'!$C$6),1,1)))="","",IF($C$5&lt;&gt;"",$C$5,IF('設定'!$C$6="","",DATE(YEAR('設定'!$C$6),1,1)))+253)</f>
        <v/>
      </c>
      <c r="C269" s="67">
        <f>IF($B269="","",CHOOSE(WEEKDAY($B269),"日","月","火","水","木","金","土"))</f>
        <v/>
      </c>
      <c r="D269" s="69" t="n"/>
      <c r="E269" s="69" t="n"/>
      <c r="F269" s="70" t="n"/>
      <c r="G269" s="44">
        <f>IF($B269="","",IF(ISNUMBER($E269),$E269,IF(ISNUMBER($D269),$D269,ROUND(IF(N(IFERROR(INDEX('動員を入れる'!$K$8:$K$14,MATCH($C269,'動員を入れる'!$J$8:$J$14,0)),0))&gt;0,IFERROR(INDEX('動員を入れる'!$K$8:$K$14,MATCH($C269,'動員を入れる'!$J$8:$J$14,0)),0),N('設定'!$C$8)),0))))</f>
        <v/>
      </c>
    </row>
    <row r="270" ht="18" customHeight="1">
      <c r="B270" s="68">
        <f>IF(IF($C$5&lt;&gt;"",$C$5,IF('設定'!$C$6="","",DATE(YEAR('設定'!$C$6),1,1)))="","",IF($C$5&lt;&gt;"",$C$5,IF('設定'!$C$6="","",DATE(YEAR('設定'!$C$6),1,1)))+254)</f>
        <v/>
      </c>
      <c r="C270" s="67">
        <f>IF($B270="","",CHOOSE(WEEKDAY($B270),"日","月","火","水","木","金","土"))</f>
        <v/>
      </c>
      <c r="D270" s="69" t="n"/>
      <c r="E270" s="69" t="n"/>
      <c r="F270" s="70" t="n"/>
      <c r="G270" s="44">
        <f>IF($B270="","",IF(ISNUMBER($E270),$E270,IF(ISNUMBER($D270),$D270,ROUND(IF(N(IFERROR(INDEX('動員を入れる'!$K$8:$K$14,MATCH($C270,'動員を入れる'!$J$8:$J$14,0)),0))&gt;0,IFERROR(INDEX('動員を入れる'!$K$8:$K$14,MATCH($C270,'動員を入れる'!$J$8:$J$14,0)),0),N('設定'!$C$8)),0))))</f>
        <v/>
      </c>
    </row>
    <row r="271" ht="18" customHeight="1">
      <c r="B271" s="68">
        <f>IF(IF($C$5&lt;&gt;"",$C$5,IF('設定'!$C$6="","",DATE(YEAR('設定'!$C$6),1,1)))="","",IF($C$5&lt;&gt;"",$C$5,IF('設定'!$C$6="","",DATE(YEAR('設定'!$C$6),1,1)))+255)</f>
        <v/>
      </c>
      <c r="C271" s="67">
        <f>IF($B271="","",CHOOSE(WEEKDAY($B271),"日","月","火","水","木","金","土"))</f>
        <v/>
      </c>
      <c r="D271" s="69" t="n"/>
      <c r="E271" s="69" t="n"/>
      <c r="F271" s="70" t="n"/>
      <c r="G271" s="44">
        <f>IF($B271="","",IF(ISNUMBER($E271),$E271,IF(ISNUMBER($D271),$D271,ROUND(IF(N(IFERROR(INDEX('動員を入れる'!$K$8:$K$14,MATCH($C271,'動員を入れる'!$J$8:$J$14,0)),0))&gt;0,IFERROR(INDEX('動員を入れる'!$K$8:$K$14,MATCH($C271,'動員を入れる'!$J$8:$J$14,0)),0),N('設定'!$C$8)),0))))</f>
        <v/>
      </c>
    </row>
    <row r="272" ht="18" customHeight="1">
      <c r="B272" s="68">
        <f>IF(IF($C$5&lt;&gt;"",$C$5,IF('設定'!$C$6="","",DATE(YEAR('設定'!$C$6),1,1)))="","",IF($C$5&lt;&gt;"",$C$5,IF('設定'!$C$6="","",DATE(YEAR('設定'!$C$6),1,1)))+256)</f>
        <v/>
      </c>
      <c r="C272" s="67">
        <f>IF($B272="","",CHOOSE(WEEKDAY($B272),"日","月","火","水","木","金","土"))</f>
        <v/>
      </c>
      <c r="D272" s="69" t="n"/>
      <c r="E272" s="69" t="n"/>
      <c r="F272" s="70" t="n"/>
      <c r="G272" s="44">
        <f>IF($B272="","",IF(ISNUMBER($E272),$E272,IF(ISNUMBER($D272),$D272,ROUND(IF(N(IFERROR(INDEX('動員を入れる'!$K$8:$K$14,MATCH($C272,'動員を入れる'!$J$8:$J$14,0)),0))&gt;0,IFERROR(INDEX('動員を入れる'!$K$8:$K$14,MATCH($C272,'動員を入れる'!$J$8:$J$14,0)),0),N('設定'!$C$8)),0))))</f>
        <v/>
      </c>
    </row>
    <row r="273" ht="18" customHeight="1">
      <c r="B273" s="68">
        <f>IF(IF($C$5&lt;&gt;"",$C$5,IF('設定'!$C$6="","",DATE(YEAR('設定'!$C$6),1,1)))="","",IF($C$5&lt;&gt;"",$C$5,IF('設定'!$C$6="","",DATE(YEAR('設定'!$C$6),1,1)))+257)</f>
        <v/>
      </c>
      <c r="C273" s="67">
        <f>IF($B273="","",CHOOSE(WEEKDAY($B273),"日","月","火","水","木","金","土"))</f>
        <v/>
      </c>
      <c r="D273" s="69" t="n"/>
      <c r="E273" s="69" t="n"/>
      <c r="F273" s="70" t="n"/>
      <c r="G273" s="44">
        <f>IF($B273="","",IF(ISNUMBER($E273),$E273,IF(ISNUMBER($D273),$D273,ROUND(IF(N(IFERROR(INDEX('動員を入れる'!$K$8:$K$14,MATCH($C273,'動員を入れる'!$J$8:$J$14,0)),0))&gt;0,IFERROR(INDEX('動員を入れる'!$K$8:$K$14,MATCH($C273,'動員を入れる'!$J$8:$J$14,0)),0),N('設定'!$C$8)),0))))</f>
        <v/>
      </c>
    </row>
    <row r="274" ht="18" customHeight="1">
      <c r="B274" s="68">
        <f>IF(IF($C$5&lt;&gt;"",$C$5,IF('設定'!$C$6="","",DATE(YEAR('設定'!$C$6),1,1)))="","",IF($C$5&lt;&gt;"",$C$5,IF('設定'!$C$6="","",DATE(YEAR('設定'!$C$6),1,1)))+258)</f>
        <v/>
      </c>
      <c r="C274" s="67">
        <f>IF($B274="","",CHOOSE(WEEKDAY($B274),"日","月","火","水","木","金","土"))</f>
        <v/>
      </c>
      <c r="D274" s="69" t="n"/>
      <c r="E274" s="69" t="n"/>
      <c r="F274" s="70" t="n"/>
      <c r="G274" s="44">
        <f>IF($B274="","",IF(ISNUMBER($E274),$E274,IF(ISNUMBER($D274),$D274,ROUND(IF(N(IFERROR(INDEX('動員を入れる'!$K$8:$K$14,MATCH($C274,'動員を入れる'!$J$8:$J$14,0)),0))&gt;0,IFERROR(INDEX('動員を入れる'!$K$8:$K$14,MATCH($C274,'動員を入れる'!$J$8:$J$14,0)),0),N('設定'!$C$8)),0))))</f>
        <v/>
      </c>
    </row>
    <row r="275" ht="18" customHeight="1">
      <c r="B275" s="68">
        <f>IF(IF($C$5&lt;&gt;"",$C$5,IF('設定'!$C$6="","",DATE(YEAR('設定'!$C$6),1,1)))="","",IF($C$5&lt;&gt;"",$C$5,IF('設定'!$C$6="","",DATE(YEAR('設定'!$C$6),1,1)))+259)</f>
        <v/>
      </c>
      <c r="C275" s="67">
        <f>IF($B275="","",CHOOSE(WEEKDAY($B275),"日","月","火","水","木","金","土"))</f>
        <v/>
      </c>
      <c r="D275" s="69" t="n"/>
      <c r="E275" s="69" t="n"/>
      <c r="F275" s="70" t="n"/>
      <c r="G275" s="44">
        <f>IF($B275="","",IF(ISNUMBER($E275),$E275,IF(ISNUMBER($D275),$D275,ROUND(IF(N(IFERROR(INDEX('動員を入れる'!$K$8:$K$14,MATCH($C275,'動員を入れる'!$J$8:$J$14,0)),0))&gt;0,IFERROR(INDEX('動員を入れる'!$K$8:$K$14,MATCH($C275,'動員を入れる'!$J$8:$J$14,0)),0),N('設定'!$C$8)),0))))</f>
        <v/>
      </c>
    </row>
    <row r="276" ht="18" customHeight="1">
      <c r="B276" s="68">
        <f>IF(IF($C$5&lt;&gt;"",$C$5,IF('設定'!$C$6="","",DATE(YEAR('設定'!$C$6),1,1)))="","",IF($C$5&lt;&gt;"",$C$5,IF('設定'!$C$6="","",DATE(YEAR('設定'!$C$6),1,1)))+260)</f>
        <v/>
      </c>
      <c r="C276" s="67">
        <f>IF($B276="","",CHOOSE(WEEKDAY($B276),"日","月","火","水","木","金","土"))</f>
        <v/>
      </c>
      <c r="D276" s="69" t="n"/>
      <c r="E276" s="69" t="n"/>
      <c r="F276" s="70" t="n"/>
      <c r="G276" s="44">
        <f>IF($B276="","",IF(ISNUMBER($E276),$E276,IF(ISNUMBER($D276),$D276,ROUND(IF(N(IFERROR(INDEX('動員を入れる'!$K$8:$K$14,MATCH($C276,'動員を入れる'!$J$8:$J$14,0)),0))&gt;0,IFERROR(INDEX('動員を入れる'!$K$8:$K$14,MATCH($C276,'動員を入れる'!$J$8:$J$14,0)),0),N('設定'!$C$8)),0))))</f>
        <v/>
      </c>
    </row>
    <row r="277" ht="18" customHeight="1">
      <c r="B277" s="68">
        <f>IF(IF($C$5&lt;&gt;"",$C$5,IF('設定'!$C$6="","",DATE(YEAR('設定'!$C$6),1,1)))="","",IF($C$5&lt;&gt;"",$C$5,IF('設定'!$C$6="","",DATE(YEAR('設定'!$C$6),1,1)))+261)</f>
        <v/>
      </c>
      <c r="C277" s="67">
        <f>IF($B277="","",CHOOSE(WEEKDAY($B277),"日","月","火","水","木","金","土"))</f>
        <v/>
      </c>
      <c r="D277" s="69" t="n"/>
      <c r="E277" s="69" t="n"/>
      <c r="F277" s="70" t="n"/>
      <c r="G277" s="44">
        <f>IF($B277="","",IF(ISNUMBER($E277),$E277,IF(ISNUMBER($D277),$D277,ROUND(IF(N(IFERROR(INDEX('動員を入れる'!$K$8:$K$14,MATCH($C277,'動員を入れる'!$J$8:$J$14,0)),0))&gt;0,IFERROR(INDEX('動員を入れる'!$K$8:$K$14,MATCH($C277,'動員を入れる'!$J$8:$J$14,0)),0),N('設定'!$C$8)),0))))</f>
        <v/>
      </c>
    </row>
    <row r="278" ht="18" customHeight="1">
      <c r="B278" s="68">
        <f>IF(IF($C$5&lt;&gt;"",$C$5,IF('設定'!$C$6="","",DATE(YEAR('設定'!$C$6),1,1)))="","",IF($C$5&lt;&gt;"",$C$5,IF('設定'!$C$6="","",DATE(YEAR('設定'!$C$6),1,1)))+262)</f>
        <v/>
      </c>
      <c r="C278" s="67">
        <f>IF($B278="","",CHOOSE(WEEKDAY($B278),"日","月","火","水","木","金","土"))</f>
        <v/>
      </c>
      <c r="D278" s="69" t="n"/>
      <c r="E278" s="69" t="n"/>
      <c r="F278" s="70" t="n"/>
      <c r="G278" s="44">
        <f>IF($B278="","",IF(ISNUMBER($E278),$E278,IF(ISNUMBER($D278),$D278,ROUND(IF(N(IFERROR(INDEX('動員を入れる'!$K$8:$K$14,MATCH($C278,'動員を入れる'!$J$8:$J$14,0)),0))&gt;0,IFERROR(INDEX('動員を入れる'!$K$8:$K$14,MATCH($C278,'動員を入れる'!$J$8:$J$14,0)),0),N('設定'!$C$8)),0))))</f>
        <v/>
      </c>
    </row>
    <row r="279" ht="18" customHeight="1">
      <c r="B279" s="68">
        <f>IF(IF($C$5&lt;&gt;"",$C$5,IF('設定'!$C$6="","",DATE(YEAR('設定'!$C$6),1,1)))="","",IF($C$5&lt;&gt;"",$C$5,IF('設定'!$C$6="","",DATE(YEAR('設定'!$C$6),1,1)))+263)</f>
        <v/>
      </c>
      <c r="C279" s="67">
        <f>IF($B279="","",CHOOSE(WEEKDAY($B279),"日","月","火","水","木","金","土"))</f>
        <v/>
      </c>
      <c r="D279" s="69" t="n"/>
      <c r="E279" s="69" t="n"/>
      <c r="F279" s="70" t="n"/>
      <c r="G279" s="44">
        <f>IF($B279="","",IF(ISNUMBER($E279),$E279,IF(ISNUMBER($D279),$D279,ROUND(IF(N(IFERROR(INDEX('動員を入れる'!$K$8:$K$14,MATCH($C279,'動員を入れる'!$J$8:$J$14,0)),0))&gt;0,IFERROR(INDEX('動員を入れる'!$K$8:$K$14,MATCH($C279,'動員を入れる'!$J$8:$J$14,0)),0),N('設定'!$C$8)),0))))</f>
        <v/>
      </c>
    </row>
    <row r="280" ht="18" customHeight="1">
      <c r="B280" s="68">
        <f>IF(IF($C$5&lt;&gt;"",$C$5,IF('設定'!$C$6="","",DATE(YEAR('設定'!$C$6),1,1)))="","",IF($C$5&lt;&gt;"",$C$5,IF('設定'!$C$6="","",DATE(YEAR('設定'!$C$6),1,1)))+264)</f>
        <v/>
      </c>
      <c r="C280" s="67">
        <f>IF($B280="","",CHOOSE(WEEKDAY($B280),"日","月","火","水","木","金","土"))</f>
        <v/>
      </c>
      <c r="D280" s="69" t="n"/>
      <c r="E280" s="69" t="n"/>
      <c r="F280" s="70" t="n"/>
      <c r="G280" s="44">
        <f>IF($B280="","",IF(ISNUMBER($E280),$E280,IF(ISNUMBER($D280),$D280,ROUND(IF(N(IFERROR(INDEX('動員を入れる'!$K$8:$K$14,MATCH($C280,'動員を入れる'!$J$8:$J$14,0)),0))&gt;0,IFERROR(INDEX('動員を入れる'!$K$8:$K$14,MATCH($C280,'動員を入れる'!$J$8:$J$14,0)),0),N('設定'!$C$8)),0))))</f>
        <v/>
      </c>
    </row>
    <row r="281" ht="18" customHeight="1">
      <c r="B281" s="68">
        <f>IF(IF($C$5&lt;&gt;"",$C$5,IF('設定'!$C$6="","",DATE(YEAR('設定'!$C$6),1,1)))="","",IF($C$5&lt;&gt;"",$C$5,IF('設定'!$C$6="","",DATE(YEAR('設定'!$C$6),1,1)))+265)</f>
        <v/>
      </c>
      <c r="C281" s="67">
        <f>IF($B281="","",CHOOSE(WEEKDAY($B281),"日","月","火","水","木","金","土"))</f>
        <v/>
      </c>
      <c r="D281" s="69" t="n"/>
      <c r="E281" s="69" t="n"/>
      <c r="F281" s="70" t="n"/>
      <c r="G281" s="44">
        <f>IF($B281="","",IF(ISNUMBER($E281),$E281,IF(ISNUMBER($D281),$D281,ROUND(IF(N(IFERROR(INDEX('動員を入れる'!$K$8:$K$14,MATCH($C281,'動員を入れる'!$J$8:$J$14,0)),0))&gt;0,IFERROR(INDEX('動員を入れる'!$K$8:$K$14,MATCH($C281,'動員を入れる'!$J$8:$J$14,0)),0),N('設定'!$C$8)),0))))</f>
        <v/>
      </c>
    </row>
    <row r="282" ht="18" customHeight="1">
      <c r="B282" s="68">
        <f>IF(IF($C$5&lt;&gt;"",$C$5,IF('設定'!$C$6="","",DATE(YEAR('設定'!$C$6),1,1)))="","",IF($C$5&lt;&gt;"",$C$5,IF('設定'!$C$6="","",DATE(YEAR('設定'!$C$6),1,1)))+266)</f>
        <v/>
      </c>
      <c r="C282" s="67">
        <f>IF($B282="","",CHOOSE(WEEKDAY($B282),"日","月","火","水","木","金","土"))</f>
        <v/>
      </c>
      <c r="D282" s="69" t="n"/>
      <c r="E282" s="69" t="n"/>
      <c r="F282" s="70" t="n"/>
      <c r="G282" s="44">
        <f>IF($B282="","",IF(ISNUMBER($E282),$E282,IF(ISNUMBER($D282),$D282,ROUND(IF(N(IFERROR(INDEX('動員を入れる'!$K$8:$K$14,MATCH($C282,'動員を入れる'!$J$8:$J$14,0)),0))&gt;0,IFERROR(INDEX('動員を入れる'!$K$8:$K$14,MATCH($C282,'動員を入れる'!$J$8:$J$14,0)),0),N('設定'!$C$8)),0))))</f>
        <v/>
      </c>
    </row>
    <row r="283" ht="18" customHeight="1">
      <c r="B283" s="68">
        <f>IF(IF($C$5&lt;&gt;"",$C$5,IF('設定'!$C$6="","",DATE(YEAR('設定'!$C$6),1,1)))="","",IF($C$5&lt;&gt;"",$C$5,IF('設定'!$C$6="","",DATE(YEAR('設定'!$C$6),1,1)))+267)</f>
        <v/>
      </c>
      <c r="C283" s="67">
        <f>IF($B283="","",CHOOSE(WEEKDAY($B283),"日","月","火","水","木","金","土"))</f>
        <v/>
      </c>
      <c r="D283" s="69" t="n"/>
      <c r="E283" s="69" t="n"/>
      <c r="F283" s="70" t="n"/>
      <c r="G283" s="44">
        <f>IF($B283="","",IF(ISNUMBER($E283),$E283,IF(ISNUMBER($D283),$D283,ROUND(IF(N(IFERROR(INDEX('動員を入れる'!$K$8:$K$14,MATCH($C283,'動員を入れる'!$J$8:$J$14,0)),0))&gt;0,IFERROR(INDEX('動員を入れる'!$K$8:$K$14,MATCH($C283,'動員を入れる'!$J$8:$J$14,0)),0),N('設定'!$C$8)),0))))</f>
        <v/>
      </c>
    </row>
    <row r="284" ht="18" customHeight="1">
      <c r="B284" s="68">
        <f>IF(IF($C$5&lt;&gt;"",$C$5,IF('設定'!$C$6="","",DATE(YEAR('設定'!$C$6),1,1)))="","",IF($C$5&lt;&gt;"",$C$5,IF('設定'!$C$6="","",DATE(YEAR('設定'!$C$6),1,1)))+268)</f>
        <v/>
      </c>
      <c r="C284" s="67">
        <f>IF($B284="","",CHOOSE(WEEKDAY($B284),"日","月","火","水","木","金","土"))</f>
        <v/>
      </c>
      <c r="D284" s="69" t="n"/>
      <c r="E284" s="69" t="n"/>
      <c r="F284" s="70" t="n"/>
      <c r="G284" s="44">
        <f>IF($B284="","",IF(ISNUMBER($E284),$E284,IF(ISNUMBER($D284),$D284,ROUND(IF(N(IFERROR(INDEX('動員を入れる'!$K$8:$K$14,MATCH($C284,'動員を入れる'!$J$8:$J$14,0)),0))&gt;0,IFERROR(INDEX('動員を入れる'!$K$8:$K$14,MATCH($C284,'動員を入れる'!$J$8:$J$14,0)),0),N('設定'!$C$8)),0))))</f>
        <v/>
      </c>
    </row>
    <row r="285" ht="18" customHeight="1">
      <c r="B285" s="68">
        <f>IF(IF($C$5&lt;&gt;"",$C$5,IF('設定'!$C$6="","",DATE(YEAR('設定'!$C$6),1,1)))="","",IF($C$5&lt;&gt;"",$C$5,IF('設定'!$C$6="","",DATE(YEAR('設定'!$C$6),1,1)))+269)</f>
        <v/>
      </c>
      <c r="C285" s="67">
        <f>IF($B285="","",CHOOSE(WEEKDAY($B285),"日","月","火","水","木","金","土"))</f>
        <v/>
      </c>
      <c r="D285" s="69" t="n"/>
      <c r="E285" s="69" t="n"/>
      <c r="F285" s="70" t="n"/>
      <c r="G285" s="44">
        <f>IF($B285="","",IF(ISNUMBER($E285),$E285,IF(ISNUMBER($D285),$D285,ROUND(IF(N(IFERROR(INDEX('動員を入れる'!$K$8:$K$14,MATCH($C285,'動員を入れる'!$J$8:$J$14,0)),0))&gt;0,IFERROR(INDEX('動員を入れる'!$K$8:$K$14,MATCH($C285,'動員を入れる'!$J$8:$J$14,0)),0),N('設定'!$C$8)),0))))</f>
        <v/>
      </c>
    </row>
    <row r="286" ht="18" customHeight="1">
      <c r="B286" s="68">
        <f>IF(IF($C$5&lt;&gt;"",$C$5,IF('設定'!$C$6="","",DATE(YEAR('設定'!$C$6),1,1)))="","",IF($C$5&lt;&gt;"",$C$5,IF('設定'!$C$6="","",DATE(YEAR('設定'!$C$6),1,1)))+270)</f>
        <v/>
      </c>
      <c r="C286" s="67">
        <f>IF($B286="","",CHOOSE(WEEKDAY($B286),"日","月","火","水","木","金","土"))</f>
        <v/>
      </c>
      <c r="D286" s="69" t="n"/>
      <c r="E286" s="69" t="n"/>
      <c r="F286" s="70" t="n"/>
      <c r="G286" s="44">
        <f>IF($B286="","",IF(ISNUMBER($E286),$E286,IF(ISNUMBER($D286),$D286,ROUND(IF(N(IFERROR(INDEX('動員を入れる'!$K$8:$K$14,MATCH($C286,'動員を入れる'!$J$8:$J$14,0)),0))&gt;0,IFERROR(INDEX('動員を入れる'!$K$8:$K$14,MATCH($C286,'動員を入れる'!$J$8:$J$14,0)),0),N('設定'!$C$8)),0))))</f>
        <v/>
      </c>
    </row>
    <row r="287" ht="18" customHeight="1">
      <c r="B287" s="68">
        <f>IF(IF($C$5&lt;&gt;"",$C$5,IF('設定'!$C$6="","",DATE(YEAR('設定'!$C$6),1,1)))="","",IF($C$5&lt;&gt;"",$C$5,IF('設定'!$C$6="","",DATE(YEAR('設定'!$C$6),1,1)))+271)</f>
        <v/>
      </c>
      <c r="C287" s="67">
        <f>IF($B287="","",CHOOSE(WEEKDAY($B287),"日","月","火","水","木","金","土"))</f>
        <v/>
      </c>
      <c r="D287" s="69" t="n"/>
      <c r="E287" s="69" t="n"/>
      <c r="F287" s="70" t="n"/>
      <c r="G287" s="44">
        <f>IF($B287="","",IF(ISNUMBER($E287),$E287,IF(ISNUMBER($D287),$D287,ROUND(IF(N(IFERROR(INDEX('動員を入れる'!$K$8:$K$14,MATCH($C287,'動員を入れる'!$J$8:$J$14,0)),0))&gt;0,IFERROR(INDEX('動員を入れる'!$K$8:$K$14,MATCH($C287,'動員を入れる'!$J$8:$J$14,0)),0),N('設定'!$C$8)),0))))</f>
        <v/>
      </c>
    </row>
    <row r="288" ht="18" customHeight="1">
      <c r="B288" s="68">
        <f>IF(IF($C$5&lt;&gt;"",$C$5,IF('設定'!$C$6="","",DATE(YEAR('設定'!$C$6),1,1)))="","",IF($C$5&lt;&gt;"",$C$5,IF('設定'!$C$6="","",DATE(YEAR('設定'!$C$6),1,1)))+272)</f>
        <v/>
      </c>
      <c r="C288" s="67">
        <f>IF($B288="","",CHOOSE(WEEKDAY($B288),"日","月","火","水","木","金","土"))</f>
        <v/>
      </c>
      <c r="D288" s="69" t="n"/>
      <c r="E288" s="69" t="n"/>
      <c r="F288" s="70" t="n"/>
      <c r="G288" s="44">
        <f>IF($B288="","",IF(ISNUMBER($E288),$E288,IF(ISNUMBER($D288),$D288,ROUND(IF(N(IFERROR(INDEX('動員を入れる'!$K$8:$K$14,MATCH($C288,'動員を入れる'!$J$8:$J$14,0)),0))&gt;0,IFERROR(INDEX('動員を入れる'!$K$8:$K$14,MATCH($C288,'動員を入れる'!$J$8:$J$14,0)),0),N('設定'!$C$8)),0))))</f>
        <v/>
      </c>
    </row>
    <row r="289" ht="18" customHeight="1">
      <c r="B289" s="68">
        <f>IF(IF($C$5&lt;&gt;"",$C$5,IF('設定'!$C$6="","",DATE(YEAR('設定'!$C$6),1,1)))="","",IF($C$5&lt;&gt;"",$C$5,IF('設定'!$C$6="","",DATE(YEAR('設定'!$C$6),1,1)))+273)</f>
        <v/>
      </c>
      <c r="C289" s="67">
        <f>IF($B289="","",CHOOSE(WEEKDAY($B289),"日","月","火","水","木","金","土"))</f>
        <v/>
      </c>
      <c r="D289" s="69" t="n"/>
      <c r="E289" s="69" t="n"/>
      <c r="F289" s="70" t="n"/>
      <c r="G289" s="44">
        <f>IF($B289="","",IF(ISNUMBER($E289),$E289,IF(ISNUMBER($D289),$D289,ROUND(IF(N(IFERROR(INDEX('動員を入れる'!$K$8:$K$14,MATCH($C289,'動員を入れる'!$J$8:$J$14,0)),0))&gt;0,IFERROR(INDEX('動員を入れる'!$K$8:$K$14,MATCH($C289,'動員を入れる'!$J$8:$J$14,0)),0),N('設定'!$C$8)),0))))</f>
        <v/>
      </c>
    </row>
    <row r="290" ht="18" customHeight="1">
      <c r="B290" s="68">
        <f>IF(IF($C$5&lt;&gt;"",$C$5,IF('設定'!$C$6="","",DATE(YEAR('設定'!$C$6),1,1)))="","",IF($C$5&lt;&gt;"",$C$5,IF('設定'!$C$6="","",DATE(YEAR('設定'!$C$6),1,1)))+274)</f>
        <v/>
      </c>
      <c r="C290" s="67">
        <f>IF($B290="","",CHOOSE(WEEKDAY($B290),"日","月","火","水","木","金","土"))</f>
        <v/>
      </c>
      <c r="D290" s="69" t="n"/>
      <c r="E290" s="69" t="n"/>
      <c r="F290" s="70" t="n"/>
      <c r="G290" s="44">
        <f>IF($B290="","",IF(ISNUMBER($E290),$E290,IF(ISNUMBER($D290),$D290,ROUND(IF(N(IFERROR(INDEX('動員を入れる'!$K$8:$K$14,MATCH($C290,'動員を入れる'!$J$8:$J$14,0)),0))&gt;0,IFERROR(INDEX('動員を入れる'!$K$8:$K$14,MATCH($C290,'動員を入れる'!$J$8:$J$14,0)),0),N('設定'!$C$8)),0))))</f>
        <v/>
      </c>
    </row>
    <row r="291" ht="18" customHeight="1">
      <c r="B291" s="68">
        <f>IF(IF($C$5&lt;&gt;"",$C$5,IF('設定'!$C$6="","",DATE(YEAR('設定'!$C$6),1,1)))="","",IF($C$5&lt;&gt;"",$C$5,IF('設定'!$C$6="","",DATE(YEAR('設定'!$C$6),1,1)))+275)</f>
        <v/>
      </c>
      <c r="C291" s="67">
        <f>IF($B291="","",CHOOSE(WEEKDAY($B291),"日","月","火","水","木","金","土"))</f>
        <v/>
      </c>
      <c r="D291" s="69" t="n"/>
      <c r="E291" s="69" t="n"/>
      <c r="F291" s="70" t="n"/>
      <c r="G291" s="44">
        <f>IF($B291="","",IF(ISNUMBER($E291),$E291,IF(ISNUMBER($D291),$D291,ROUND(IF(N(IFERROR(INDEX('動員を入れる'!$K$8:$K$14,MATCH($C291,'動員を入れる'!$J$8:$J$14,0)),0))&gt;0,IFERROR(INDEX('動員を入れる'!$K$8:$K$14,MATCH($C291,'動員を入れる'!$J$8:$J$14,0)),0),N('設定'!$C$8)),0))))</f>
        <v/>
      </c>
    </row>
    <row r="292" ht="18" customHeight="1">
      <c r="B292" s="68">
        <f>IF(IF($C$5&lt;&gt;"",$C$5,IF('設定'!$C$6="","",DATE(YEAR('設定'!$C$6),1,1)))="","",IF($C$5&lt;&gt;"",$C$5,IF('設定'!$C$6="","",DATE(YEAR('設定'!$C$6),1,1)))+276)</f>
        <v/>
      </c>
      <c r="C292" s="67">
        <f>IF($B292="","",CHOOSE(WEEKDAY($B292),"日","月","火","水","木","金","土"))</f>
        <v/>
      </c>
      <c r="D292" s="69" t="n"/>
      <c r="E292" s="69" t="n"/>
      <c r="F292" s="70" t="n"/>
      <c r="G292" s="44">
        <f>IF($B292="","",IF(ISNUMBER($E292),$E292,IF(ISNUMBER($D292),$D292,ROUND(IF(N(IFERROR(INDEX('動員を入れる'!$K$8:$K$14,MATCH($C292,'動員を入れる'!$J$8:$J$14,0)),0))&gt;0,IFERROR(INDEX('動員を入れる'!$K$8:$K$14,MATCH($C292,'動員を入れる'!$J$8:$J$14,0)),0),N('設定'!$C$8)),0))))</f>
        <v/>
      </c>
    </row>
    <row r="293" ht="18" customHeight="1">
      <c r="B293" s="68">
        <f>IF(IF($C$5&lt;&gt;"",$C$5,IF('設定'!$C$6="","",DATE(YEAR('設定'!$C$6),1,1)))="","",IF($C$5&lt;&gt;"",$C$5,IF('設定'!$C$6="","",DATE(YEAR('設定'!$C$6),1,1)))+277)</f>
        <v/>
      </c>
      <c r="C293" s="67">
        <f>IF($B293="","",CHOOSE(WEEKDAY($B293),"日","月","火","水","木","金","土"))</f>
        <v/>
      </c>
      <c r="D293" s="69" t="n"/>
      <c r="E293" s="69" t="n"/>
      <c r="F293" s="70" t="n"/>
      <c r="G293" s="44">
        <f>IF($B293="","",IF(ISNUMBER($E293),$E293,IF(ISNUMBER($D293),$D293,ROUND(IF(N(IFERROR(INDEX('動員を入れる'!$K$8:$K$14,MATCH($C293,'動員を入れる'!$J$8:$J$14,0)),0))&gt;0,IFERROR(INDEX('動員を入れる'!$K$8:$K$14,MATCH($C293,'動員を入れる'!$J$8:$J$14,0)),0),N('設定'!$C$8)),0))))</f>
        <v/>
      </c>
    </row>
    <row r="294" ht="18" customHeight="1">
      <c r="B294" s="68">
        <f>IF(IF($C$5&lt;&gt;"",$C$5,IF('設定'!$C$6="","",DATE(YEAR('設定'!$C$6),1,1)))="","",IF($C$5&lt;&gt;"",$C$5,IF('設定'!$C$6="","",DATE(YEAR('設定'!$C$6),1,1)))+278)</f>
        <v/>
      </c>
      <c r="C294" s="67">
        <f>IF($B294="","",CHOOSE(WEEKDAY($B294),"日","月","火","水","木","金","土"))</f>
        <v/>
      </c>
      <c r="D294" s="69" t="n"/>
      <c r="E294" s="69" t="n"/>
      <c r="F294" s="70" t="n"/>
      <c r="G294" s="44">
        <f>IF($B294="","",IF(ISNUMBER($E294),$E294,IF(ISNUMBER($D294),$D294,ROUND(IF(N(IFERROR(INDEX('動員を入れる'!$K$8:$K$14,MATCH($C294,'動員を入れる'!$J$8:$J$14,0)),0))&gt;0,IFERROR(INDEX('動員を入れる'!$K$8:$K$14,MATCH($C294,'動員を入れる'!$J$8:$J$14,0)),0),N('設定'!$C$8)),0))))</f>
        <v/>
      </c>
    </row>
    <row r="295" ht="18" customHeight="1">
      <c r="B295" s="68">
        <f>IF(IF($C$5&lt;&gt;"",$C$5,IF('設定'!$C$6="","",DATE(YEAR('設定'!$C$6),1,1)))="","",IF($C$5&lt;&gt;"",$C$5,IF('設定'!$C$6="","",DATE(YEAR('設定'!$C$6),1,1)))+279)</f>
        <v/>
      </c>
      <c r="C295" s="67">
        <f>IF($B295="","",CHOOSE(WEEKDAY($B295),"日","月","火","水","木","金","土"))</f>
        <v/>
      </c>
      <c r="D295" s="69" t="n"/>
      <c r="E295" s="69" t="n"/>
      <c r="F295" s="70" t="n"/>
      <c r="G295" s="44">
        <f>IF($B295="","",IF(ISNUMBER($E295),$E295,IF(ISNUMBER($D295),$D295,ROUND(IF(N(IFERROR(INDEX('動員を入れる'!$K$8:$K$14,MATCH($C295,'動員を入れる'!$J$8:$J$14,0)),0))&gt;0,IFERROR(INDEX('動員を入れる'!$K$8:$K$14,MATCH($C295,'動員を入れる'!$J$8:$J$14,0)),0),N('設定'!$C$8)),0))))</f>
        <v/>
      </c>
    </row>
    <row r="296" ht="18" customHeight="1">
      <c r="B296" s="68">
        <f>IF(IF($C$5&lt;&gt;"",$C$5,IF('設定'!$C$6="","",DATE(YEAR('設定'!$C$6),1,1)))="","",IF($C$5&lt;&gt;"",$C$5,IF('設定'!$C$6="","",DATE(YEAR('設定'!$C$6),1,1)))+280)</f>
        <v/>
      </c>
      <c r="C296" s="67">
        <f>IF($B296="","",CHOOSE(WEEKDAY($B296),"日","月","火","水","木","金","土"))</f>
        <v/>
      </c>
      <c r="D296" s="69" t="n"/>
      <c r="E296" s="69" t="n"/>
      <c r="F296" s="70" t="n"/>
      <c r="G296" s="44">
        <f>IF($B296="","",IF(ISNUMBER($E296),$E296,IF(ISNUMBER($D296),$D296,ROUND(IF(N(IFERROR(INDEX('動員を入れる'!$K$8:$K$14,MATCH($C296,'動員を入れる'!$J$8:$J$14,0)),0))&gt;0,IFERROR(INDEX('動員を入れる'!$K$8:$K$14,MATCH($C296,'動員を入れる'!$J$8:$J$14,0)),0),N('設定'!$C$8)),0))))</f>
        <v/>
      </c>
    </row>
    <row r="297" ht="18" customHeight="1">
      <c r="B297" s="68">
        <f>IF(IF($C$5&lt;&gt;"",$C$5,IF('設定'!$C$6="","",DATE(YEAR('設定'!$C$6),1,1)))="","",IF($C$5&lt;&gt;"",$C$5,IF('設定'!$C$6="","",DATE(YEAR('設定'!$C$6),1,1)))+281)</f>
        <v/>
      </c>
      <c r="C297" s="67">
        <f>IF($B297="","",CHOOSE(WEEKDAY($B297),"日","月","火","水","木","金","土"))</f>
        <v/>
      </c>
      <c r="D297" s="69" t="n"/>
      <c r="E297" s="69" t="n"/>
      <c r="F297" s="70" t="n"/>
      <c r="G297" s="44">
        <f>IF($B297="","",IF(ISNUMBER($E297),$E297,IF(ISNUMBER($D297),$D297,ROUND(IF(N(IFERROR(INDEX('動員を入れる'!$K$8:$K$14,MATCH($C297,'動員を入れる'!$J$8:$J$14,0)),0))&gt;0,IFERROR(INDEX('動員を入れる'!$K$8:$K$14,MATCH($C297,'動員を入れる'!$J$8:$J$14,0)),0),N('設定'!$C$8)),0))))</f>
        <v/>
      </c>
    </row>
    <row r="298" ht="18" customHeight="1">
      <c r="B298" s="68">
        <f>IF(IF($C$5&lt;&gt;"",$C$5,IF('設定'!$C$6="","",DATE(YEAR('設定'!$C$6),1,1)))="","",IF($C$5&lt;&gt;"",$C$5,IF('設定'!$C$6="","",DATE(YEAR('設定'!$C$6),1,1)))+282)</f>
        <v/>
      </c>
      <c r="C298" s="67">
        <f>IF($B298="","",CHOOSE(WEEKDAY($B298),"日","月","火","水","木","金","土"))</f>
        <v/>
      </c>
      <c r="D298" s="69" t="n"/>
      <c r="E298" s="69" t="n"/>
      <c r="F298" s="70" t="n"/>
      <c r="G298" s="44">
        <f>IF($B298="","",IF(ISNUMBER($E298),$E298,IF(ISNUMBER($D298),$D298,ROUND(IF(N(IFERROR(INDEX('動員を入れる'!$K$8:$K$14,MATCH($C298,'動員を入れる'!$J$8:$J$14,0)),0))&gt;0,IFERROR(INDEX('動員を入れる'!$K$8:$K$14,MATCH($C298,'動員を入れる'!$J$8:$J$14,0)),0),N('設定'!$C$8)),0))))</f>
        <v/>
      </c>
    </row>
    <row r="299" ht="18" customHeight="1">
      <c r="B299" s="68">
        <f>IF(IF($C$5&lt;&gt;"",$C$5,IF('設定'!$C$6="","",DATE(YEAR('設定'!$C$6),1,1)))="","",IF($C$5&lt;&gt;"",$C$5,IF('設定'!$C$6="","",DATE(YEAR('設定'!$C$6),1,1)))+283)</f>
        <v/>
      </c>
      <c r="C299" s="67">
        <f>IF($B299="","",CHOOSE(WEEKDAY($B299),"日","月","火","水","木","金","土"))</f>
        <v/>
      </c>
      <c r="D299" s="69" t="n"/>
      <c r="E299" s="69" t="n"/>
      <c r="F299" s="70" t="n"/>
      <c r="G299" s="44">
        <f>IF($B299="","",IF(ISNUMBER($E299),$E299,IF(ISNUMBER($D299),$D299,ROUND(IF(N(IFERROR(INDEX('動員を入れる'!$K$8:$K$14,MATCH($C299,'動員を入れる'!$J$8:$J$14,0)),0))&gt;0,IFERROR(INDEX('動員を入れる'!$K$8:$K$14,MATCH($C299,'動員を入れる'!$J$8:$J$14,0)),0),N('設定'!$C$8)),0))))</f>
        <v/>
      </c>
    </row>
    <row r="300" ht="18" customHeight="1">
      <c r="B300" s="68">
        <f>IF(IF($C$5&lt;&gt;"",$C$5,IF('設定'!$C$6="","",DATE(YEAR('設定'!$C$6),1,1)))="","",IF($C$5&lt;&gt;"",$C$5,IF('設定'!$C$6="","",DATE(YEAR('設定'!$C$6),1,1)))+284)</f>
        <v/>
      </c>
      <c r="C300" s="67">
        <f>IF($B300="","",CHOOSE(WEEKDAY($B300),"日","月","火","水","木","金","土"))</f>
        <v/>
      </c>
      <c r="D300" s="69" t="n"/>
      <c r="E300" s="69" t="n"/>
      <c r="F300" s="70" t="n"/>
      <c r="G300" s="44">
        <f>IF($B300="","",IF(ISNUMBER($E300),$E300,IF(ISNUMBER($D300),$D300,ROUND(IF(N(IFERROR(INDEX('動員を入れる'!$K$8:$K$14,MATCH($C300,'動員を入れる'!$J$8:$J$14,0)),0))&gt;0,IFERROR(INDEX('動員を入れる'!$K$8:$K$14,MATCH($C300,'動員を入れる'!$J$8:$J$14,0)),0),N('設定'!$C$8)),0))))</f>
        <v/>
      </c>
    </row>
    <row r="301" ht="18" customHeight="1">
      <c r="B301" s="68">
        <f>IF(IF($C$5&lt;&gt;"",$C$5,IF('設定'!$C$6="","",DATE(YEAR('設定'!$C$6),1,1)))="","",IF($C$5&lt;&gt;"",$C$5,IF('設定'!$C$6="","",DATE(YEAR('設定'!$C$6),1,1)))+285)</f>
        <v/>
      </c>
      <c r="C301" s="67">
        <f>IF($B301="","",CHOOSE(WEEKDAY($B301),"日","月","火","水","木","金","土"))</f>
        <v/>
      </c>
      <c r="D301" s="69" t="n"/>
      <c r="E301" s="69" t="n"/>
      <c r="F301" s="70" t="n"/>
      <c r="G301" s="44">
        <f>IF($B301="","",IF(ISNUMBER($E301),$E301,IF(ISNUMBER($D301),$D301,ROUND(IF(N(IFERROR(INDEX('動員を入れる'!$K$8:$K$14,MATCH($C301,'動員を入れる'!$J$8:$J$14,0)),0))&gt;0,IFERROR(INDEX('動員を入れる'!$K$8:$K$14,MATCH($C301,'動員を入れる'!$J$8:$J$14,0)),0),N('設定'!$C$8)),0))))</f>
        <v/>
      </c>
    </row>
    <row r="302" ht="18" customHeight="1">
      <c r="B302" s="68">
        <f>IF(IF($C$5&lt;&gt;"",$C$5,IF('設定'!$C$6="","",DATE(YEAR('設定'!$C$6),1,1)))="","",IF($C$5&lt;&gt;"",$C$5,IF('設定'!$C$6="","",DATE(YEAR('設定'!$C$6),1,1)))+286)</f>
        <v/>
      </c>
      <c r="C302" s="67">
        <f>IF($B302="","",CHOOSE(WEEKDAY($B302),"日","月","火","水","木","金","土"))</f>
        <v/>
      </c>
      <c r="D302" s="69" t="n"/>
      <c r="E302" s="69" t="n"/>
      <c r="F302" s="70" t="n"/>
      <c r="G302" s="44">
        <f>IF($B302="","",IF(ISNUMBER($E302),$E302,IF(ISNUMBER($D302),$D302,ROUND(IF(N(IFERROR(INDEX('動員を入れる'!$K$8:$K$14,MATCH($C302,'動員を入れる'!$J$8:$J$14,0)),0))&gt;0,IFERROR(INDEX('動員を入れる'!$K$8:$K$14,MATCH($C302,'動員を入れる'!$J$8:$J$14,0)),0),N('設定'!$C$8)),0))))</f>
        <v/>
      </c>
    </row>
    <row r="303" ht="18" customHeight="1">
      <c r="B303" s="68">
        <f>IF(IF($C$5&lt;&gt;"",$C$5,IF('設定'!$C$6="","",DATE(YEAR('設定'!$C$6),1,1)))="","",IF($C$5&lt;&gt;"",$C$5,IF('設定'!$C$6="","",DATE(YEAR('設定'!$C$6),1,1)))+287)</f>
        <v/>
      </c>
      <c r="C303" s="67">
        <f>IF($B303="","",CHOOSE(WEEKDAY($B303),"日","月","火","水","木","金","土"))</f>
        <v/>
      </c>
      <c r="D303" s="69" t="n"/>
      <c r="E303" s="69" t="n"/>
      <c r="F303" s="70" t="n"/>
      <c r="G303" s="44">
        <f>IF($B303="","",IF(ISNUMBER($E303),$E303,IF(ISNUMBER($D303),$D303,ROUND(IF(N(IFERROR(INDEX('動員を入れる'!$K$8:$K$14,MATCH($C303,'動員を入れる'!$J$8:$J$14,0)),0))&gt;0,IFERROR(INDEX('動員を入れる'!$K$8:$K$14,MATCH($C303,'動員を入れる'!$J$8:$J$14,0)),0),N('設定'!$C$8)),0))))</f>
        <v/>
      </c>
    </row>
    <row r="304" ht="18" customHeight="1">
      <c r="B304" s="68">
        <f>IF(IF($C$5&lt;&gt;"",$C$5,IF('設定'!$C$6="","",DATE(YEAR('設定'!$C$6),1,1)))="","",IF($C$5&lt;&gt;"",$C$5,IF('設定'!$C$6="","",DATE(YEAR('設定'!$C$6),1,1)))+288)</f>
        <v/>
      </c>
      <c r="C304" s="67">
        <f>IF($B304="","",CHOOSE(WEEKDAY($B304),"日","月","火","水","木","金","土"))</f>
        <v/>
      </c>
      <c r="D304" s="69" t="n"/>
      <c r="E304" s="69" t="n"/>
      <c r="F304" s="70" t="n"/>
      <c r="G304" s="44">
        <f>IF($B304="","",IF(ISNUMBER($E304),$E304,IF(ISNUMBER($D304),$D304,ROUND(IF(N(IFERROR(INDEX('動員を入れる'!$K$8:$K$14,MATCH($C304,'動員を入れる'!$J$8:$J$14,0)),0))&gt;0,IFERROR(INDEX('動員を入れる'!$K$8:$K$14,MATCH($C304,'動員を入れる'!$J$8:$J$14,0)),0),N('設定'!$C$8)),0))))</f>
        <v/>
      </c>
    </row>
    <row r="305" ht="18" customHeight="1">
      <c r="B305" s="68">
        <f>IF(IF($C$5&lt;&gt;"",$C$5,IF('設定'!$C$6="","",DATE(YEAR('設定'!$C$6),1,1)))="","",IF($C$5&lt;&gt;"",$C$5,IF('設定'!$C$6="","",DATE(YEAR('設定'!$C$6),1,1)))+289)</f>
        <v/>
      </c>
      <c r="C305" s="67">
        <f>IF($B305="","",CHOOSE(WEEKDAY($B305),"日","月","火","水","木","金","土"))</f>
        <v/>
      </c>
      <c r="D305" s="69" t="n"/>
      <c r="E305" s="69" t="n"/>
      <c r="F305" s="70" t="n"/>
      <c r="G305" s="44">
        <f>IF($B305="","",IF(ISNUMBER($E305),$E305,IF(ISNUMBER($D305),$D305,ROUND(IF(N(IFERROR(INDEX('動員を入れる'!$K$8:$K$14,MATCH($C305,'動員を入れる'!$J$8:$J$14,0)),0))&gt;0,IFERROR(INDEX('動員を入れる'!$K$8:$K$14,MATCH($C305,'動員を入れる'!$J$8:$J$14,0)),0),N('設定'!$C$8)),0))))</f>
        <v/>
      </c>
    </row>
    <row r="306" ht="18" customHeight="1">
      <c r="B306" s="68">
        <f>IF(IF($C$5&lt;&gt;"",$C$5,IF('設定'!$C$6="","",DATE(YEAR('設定'!$C$6),1,1)))="","",IF($C$5&lt;&gt;"",$C$5,IF('設定'!$C$6="","",DATE(YEAR('設定'!$C$6),1,1)))+290)</f>
        <v/>
      </c>
      <c r="C306" s="67">
        <f>IF($B306="","",CHOOSE(WEEKDAY($B306),"日","月","火","水","木","金","土"))</f>
        <v/>
      </c>
      <c r="D306" s="69" t="n"/>
      <c r="E306" s="69" t="n"/>
      <c r="F306" s="70" t="n"/>
      <c r="G306" s="44">
        <f>IF($B306="","",IF(ISNUMBER($E306),$E306,IF(ISNUMBER($D306),$D306,ROUND(IF(N(IFERROR(INDEX('動員を入れる'!$K$8:$K$14,MATCH($C306,'動員を入れる'!$J$8:$J$14,0)),0))&gt;0,IFERROR(INDEX('動員を入れる'!$K$8:$K$14,MATCH($C306,'動員を入れる'!$J$8:$J$14,0)),0),N('設定'!$C$8)),0))))</f>
        <v/>
      </c>
    </row>
    <row r="307" ht="18" customHeight="1">
      <c r="B307" s="68">
        <f>IF(IF($C$5&lt;&gt;"",$C$5,IF('設定'!$C$6="","",DATE(YEAR('設定'!$C$6),1,1)))="","",IF($C$5&lt;&gt;"",$C$5,IF('設定'!$C$6="","",DATE(YEAR('設定'!$C$6),1,1)))+291)</f>
        <v/>
      </c>
      <c r="C307" s="67">
        <f>IF($B307="","",CHOOSE(WEEKDAY($B307),"日","月","火","水","木","金","土"))</f>
        <v/>
      </c>
      <c r="D307" s="69" t="n"/>
      <c r="E307" s="69" t="n"/>
      <c r="F307" s="70" t="n"/>
      <c r="G307" s="44">
        <f>IF($B307="","",IF(ISNUMBER($E307),$E307,IF(ISNUMBER($D307),$D307,ROUND(IF(N(IFERROR(INDEX('動員を入れる'!$K$8:$K$14,MATCH($C307,'動員を入れる'!$J$8:$J$14,0)),0))&gt;0,IFERROR(INDEX('動員を入れる'!$K$8:$K$14,MATCH($C307,'動員を入れる'!$J$8:$J$14,0)),0),N('設定'!$C$8)),0))))</f>
        <v/>
      </c>
    </row>
    <row r="308" ht="18" customHeight="1">
      <c r="B308" s="68">
        <f>IF(IF($C$5&lt;&gt;"",$C$5,IF('設定'!$C$6="","",DATE(YEAR('設定'!$C$6),1,1)))="","",IF($C$5&lt;&gt;"",$C$5,IF('設定'!$C$6="","",DATE(YEAR('設定'!$C$6),1,1)))+292)</f>
        <v/>
      </c>
      <c r="C308" s="67">
        <f>IF($B308="","",CHOOSE(WEEKDAY($B308),"日","月","火","水","木","金","土"))</f>
        <v/>
      </c>
      <c r="D308" s="69" t="n"/>
      <c r="E308" s="69" t="n"/>
      <c r="F308" s="70" t="n"/>
      <c r="G308" s="44">
        <f>IF($B308="","",IF(ISNUMBER($E308),$E308,IF(ISNUMBER($D308),$D308,ROUND(IF(N(IFERROR(INDEX('動員を入れる'!$K$8:$K$14,MATCH($C308,'動員を入れる'!$J$8:$J$14,0)),0))&gt;0,IFERROR(INDEX('動員を入れる'!$K$8:$K$14,MATCH($C308,'動員を入れる'!$J$8:$J$14,0)),0),N('設定'!$C$8)),0))))</f>
        <v/>
      </c>
    </row>
    <row r="309" ht="18" customHeight="1">
      <c r="B309" s="68">
        <f>IF(IF($C$5&lt;&gt;"",$C$5,IF('設定'!$C$6="","",DATE(YEAR('設定'!$C$6),1,1)))="","",IF($C$5&lt;&gt;"",$C$5,IF('設定'!$C$6="","",DATE(YEAR('設定'!$C$6),1,1)))+293)</f>
        <v/>
      </c>
      <c r="C309" s="67">
        <f>IF($B309="","",CHOOSE(WEEKDAY($B309),"日","月","火","水","木","金","土"))</f>
        <v/>
      </c>
      <c r="D309" s="69" t="n"/>
      <c r="E309" s="69" t="n"/>
      <c r="F309" s="70" t="n"/>
      <c r="G309" s="44">
        <f>IF($B309="","",IF(ISNUMBER($E309),$E309,IF(ISNUMBER($D309),$D309,ROUND(IF(N(IFERROR(INDEX('動員を入れる'!$K$8:$K$14,MATCH($C309,'動員を入れる'!$J$8:$J$14,0)),0))&gt;0,IFERROR(INDEX('動員を入れる'!$K$8:$K$14,MATCH($C309,'動員を入れる'!$J$8:$J$14,0)),0),N('設定'!$C$8)),0))))</f>
        <v/>
      </c>
    </row>
    <row r="310" ht="18" customHeight="1">
      <c r="B310" s="68">
        <f>IF(IF($C$5&lt;&gt;"",$C$5,IF('設定'!$C$6="","",DATE(YEAR('設定'!$C$6),1,1)))="","",IF($C$5&lt;&gt;"",$C$5,IF('設定'!$C$6="","",DATE(YEAR('設定'!$C$6),1,1)))+294)</f>
        <v/>
      </c>
      <c r="C310" s="67">
        <f>IF($B310="","",CHOOSE(WEEKDAY($B310),"日","月","火","水","木","金","土"))</f>
        <v/>
      </c>
      <c r="D310" s="69" t="n"/>
      <c r="E310" s="69" t="n"/>
      <c r="F310" s="70" t="n"/>
      <c r="G310" s="44">
        <f>IF($B310="","",IF(ISNUMBER($E310),$E310,IF(ISNUMBER($D310),$D310,ROUND(IF(N(IFERROR(INDEX('動員を入れる'!$K$8:$K$14,MATCH($C310,'動員を入れる'!$J$8:$J$14,0)),0))&gt;0,IFERROR(INDEX('動員を入れる'!$K$8:$K$14,MATCH($C310,'動員を入れる'!$J$8:$J$14,0)),0),N('設定'!$C$8)),0))))</f>
        <v/>
      </c>
    </row>
    <row r="311" ht="18" customHeight="1">
      <c r="B311" s="68">
        <f>IF(IF($C$5&lt;&gt;"",$C$5,IF('設定'!$C$6="","",DATE(YEAR('設定'!$C$6),1,1)))="","",IF($C$5&lt;&gt;"",$C$5,IF('設定'!$C$6="","",DATE(YEAR('設定'!$C$6),1,1)))+295)</f>
        <v/>
      </c>
      <c r="C311" s="67">
        <f>IF($B311="","",CHOOSE(WEEKDAY($B311),"日","月","火","水","木","金","土"))</f>
        <v/>
      </c>
      <c r="D311" s="69" t="n"/>
      <c r="E311" s="69" t="n"/>
      <c r="F311" s="70" t="n"/>
      <c r="G311" s="44">
        <f>IF($B311="","",IF(ISNUMBER($E311),$E311,IF(ISNUMBER($D311),$D311,ROUND(IF(N(IFERROR(INDEX('動員を入れる'!$K$8:$K$14,MATCH($C311,'動員を入れる'!$J$8:$J$14,0)),0))&gt;0,IFERROR(INDEX('動員を入れる'!$K$8:$K$14,MATCH($C311,'動員を入れる'!$J$8:$J$14,0)),0),N('設定'!$C$8)),0))))</f>
        <v/>
      </c>
    </row>
    <row r="312" ht="18" customHeight="1">
      <c r="B312" s="68">
        <f>IF(IF($C$5&lt;&gt;"",$C$5,IF('設定'!$C$6="","",DATE(YEAR('設定'!$C$6),1,1)))="","",IF($C$5&lt;&gt;"",$C$5,IF('設定'!$C$6="","",DATE(YEAR('設定'!$C$6),1,1)))+296)</f>
        <v/>
      </c>
      <c r="C312" s="67">
        <f>IF($B312="","",CHOOSE(WEEKDAY($B312),"日","月","火","水","木","金","土"))</f>
        <v/>
      </c>
      <c r="D312" s="69" t="n"/>
      <c r="E312" s="69" t="n"/>
      <c r="F312" s="70" t="n"/>
      <c r="G312" s="44">
        <f>IF($B312="","",IF(ISNUMBER($E312),$E312,IF(ISNUMBER($D312),$D312,ROUND(IF(N(IFERROR(INDEX('動員を入れる'!$K$8:$K$14,MATCH($C312,'動員を入れる'!$J$8:$J$14,0)),0))&gt;0,IFERROR(INDEX('動員を入れる'!$K$8:$K$14,MATCH($C312,'動員を入れる'!$J$8:$J$14,0)),0),N('設定'!$C$8)),0))))</f>
        <v/>
      </c>
    </row>
    <row r="313" ht="18" customHeight="1">
      <c r="B313" s="68">
        <f>IF(IF($C$5&lt;&gt;"",$C$5,IF('設定'!$C$6="","",DATE(YEAR('設定'!$C$6),1,1)))="","",IF($C$5&lt;&gt;"",$C$5,IF('設定'!$C$6="","",DATE(YEAR('設定'!$C$6),1,1)))+297)</f>
        <v/>
      </c>
      <c r="C313" s="67">
        <f>IF($B313="","",CHOOSE(WEEKDAY($B313),"日","月","火","水","木","金","土"))</f>
        <v/>
      </c>
      <c r="D313" s="69" t="n"/>
      <c r="E313" s="69" t="n"/>
      <c r="F313" s="70" t="n"/>
      <c r="G313" s="44">
        <f>IF($B313="","",IF(ISNUMBER($E313),$E313,IF(ISNUMBER($D313),$D313,ROUND(IF(N(IFERROR(INDEX('動員を入れる'!$K$8:$K$14,MATCH($C313,'動員を入れる'!$J$8:$J$14,0)),0))&gt;0,IFERROR(INDEX('動員を入れる'!$K$8:$K$14,MATCH($C313,'動員を入れる'!$J$8:$J$14,0)),0),N('設定'!$C$8)),0))))</f>
        <v/>
      </c>
    </row>
    <row r="314" ht="18" customHeight="1">
      <c r="B314" s="68">
        <f>IF(IF($C$5&lt;&gt;"",$C$5,IF('設定'!$C$6="","",DATE(YEAR('設定'!$C$6),1,1)))="","",IF($C$5&lt;&gt;"",$C$5,IF('設定'!$C$6="","",DATE(YEAR('設定'!$C$6),1,1)))+298)</f>
        <v/>
      </c>
      <c r="C314" s="67">
        <f>IF($B314="","",CHOOSE(WEEKDAY($B314),"日","月","火","水","木","金","土"))</f>
        <v/>
      </c>
      <c r="D314" s="69" t="n"/>
      <c r="E314" s="69" t="n"/>
      <c r="F314" s="70" t="n"/>
      <c r="G314" s="44">
        <f>IF($B314="","",IF(ISNUMBER($E314),$E314,IF(ISNUMBER($D314),$D314,ROUND(IF(N(IFERROR(INDEX('動員を入れる'!$K$8:$K$14,MATCH($C314,'動員を入れる'!$J$8:$J$14,0)),0))&gt;0,IFERROR(INDEX('動員を入れる'!$K$8:$K$14,MATCH($C314,'動員を入れる'!$J$8:$J$14,0)),0),N('設定'!$C$8)),0))))</f>
        <v/>
      </c>
    </row>
    <row r="315" ht="18" customHeight="1">
      <c r="B315" s="68">
        <f>IF(IF($C$5&lt;&gt;"",$C$5,IF('設定'!$C$6="","",DATE(YEAR('設定'!$C$6),1,1)))="","",IF($C$5&lt;&gt;"",$C$5,IF('設定'!$C$6="","",DATE(YEAR('設定'!$C$6),1,1)))+299)</f>
        <v/>
      </c>
      <c r="C315" s="67">
        <f>IF($B315="","",CHOOSE(WEEKDAY($B315),"日","月","火","水","木","金","土"))</f>
        <v/>
      </c>
      <c r="D315" s="69" t="n"/>
      <c r="E315" s="69" t="n"/>
      <c r="F315" s="70" t="n"/>
      <c r="G315" s="44">
        <f>IF($B315="","",IF(ISNUMBER($E315),$E315,IF(ISNUMBER($D315),$D315,ROUND(IF(N(IFERROR(INDEX('動員を入れる'!$K$8:$K$14,MATCH($C315,'動員を入れる'!$J$8:$J$14,0)),0))&gt;0,IFERROR(INDEX('動員を入れる'!$K$8:$K$14,MATCH($C315,'動員を入れる'!$J$8:$J$14,0)),0),N('設定'!$C$8)),0))))</f>
        <v/>
      </c>
    </row>
    <row r="316" ht="18" customHeight="1">
      <c r="B316" s="68">
        <f>IF(IF($C$5&lt;&gt;"",$C$5,IF('設定'!$C$6="","",DATE(YEAR('設定'!$C$6),1,1)))="","",IF($C$5&lt;&gt;"",$C$5,IF('設定'!$C$6="","",DATE(YEAR('設定'!$C$6),1,1)))+300)</f>
        <v/>
      </c>
      <c r="C316" s="67">
        <f>IF($B316="","",CHOOSE(WEEKDAY($B316),"日","月","火","水","木","金","土"))</f>
        <v/>
      </c>
      <c r="D316" s="69" t="n"/>
      <c r="E316" s="69" t="n"/>
      <c r="F316" s="70" t="n"/>
      <c r="G316" s="44">
        <f>IF($B316="","",IF(ISNUMBER($E316),$E316,IF(ISNUMBER($D316),$D316,ROUND(IF(N(IFERROR(INDEX('動員を入れる'!$K$8:$K$14,MATCH($C316,'動員を入れる'!$J$8:$J$14,0)),0))&gt;0,IFERROR(INDEX('動員を入れる'!$K$8:$K$14,MATCH($C316,'動員を入れる'!$J$8:$J$14,0)),0),N('設定'!$C$8)),0))))</f>
        <v/>
      </c>
    </row>
    <row r="317" ht="18" customHeight="1">
      <c r="B317" s="68">
        <f>IF(IF($C$5&lt;&gt;"",$C$5,IF('設定'!$C$6="","",DATE(YEAR('設定'!$C$6),1,1)))="","",IF($C$5&lt;&gt;"",$C$5,IF('設定'!$C$6="","",DATE(YEAR('設定'!$C$6),1,1)))+301)</f>
        <v/>
      </c>
      <c r="C317" s="67">
        <f>IF($B317="","",CHOOSE(WEEKDAY($B317),"日","月","火","水","木","金","土"))</f>
        <v/>
      </c>
      <c r="D317" s="69" t="n"/>
      <c r="E317" s="69" t="n"/>
      <c r="F317" s="70" t="n"/>
      <c r="G317" s="44">
        <f>IF($B317="","",IF(ISNUMBER($E317),$E317,IF(ISNUMBER($D317),$D317,ROUND(IF(N(IFERROR(INDEX('動員を入れる'!$K$8:$K$14,MATCH($C317,'動員を入れる'!$J$8:$J$14,0)),0))&gt;0,IFERROR(INDEX('動員を入れる'!$K$8:$K$14,MATCH($C317,'動員を入れる'!$J$8:$J$14,0)),0),N('設定'!$C$8)),0))))</f>
        <v/>
      </c>
    </row>
    <row r="318" ht="18" customHeight="1">
      <c r="B318" s="68">
        <f>IF(IF($C$5&lt;&gt;"",$C$5,IF('設定'!$C$6="","",DATE(YEAR('設定'!$C$6),1,1)))="","",IF($C$5&lt;&gt;"",$C$5,IF('設定'!$C$6="","",DATE(YEAR('設定'!$C$6),1,1)))+302)</f>
        <v/>
      </c>
      <c r="C318" s="67">
        <f>IF($B318="","",CHOOSE(WEEKDAY($B318),"日","月","火","水","木","金","土"))</f>
        <v/>
      </c>
      <c r="D318" s="69" t="n"/>
      <c r="E318" s="69" t="n"/>
      <c r="F318" s="70" t="n"/>
      <c r="G318" s="44">
        <f>IF($B318="","",IF(ISNUMBER($E318),$E318,IF(ISNUMBER($D318),$D318,ROUND(IF(N(IFERROR(INDEX('動員を入れる'!$K$8:$K$14,MATCH($C318,'動員を入れる'!$J$8:$J$14,0)),0))&gt;0,IFERROR(INDEX('動員を入れる'!$K$8:$K$14,MATCH($C318,'動員を入れる'!$J$8:$J$14,0)),0),N('設定'!$C$8)),0))))</f>
        <v/>
      </c>
    </row>
    <row r="319" ht="18" customHeight="1">
      <c r="B319" s="68">
        <f>IF(IF($C$5&lt;&gt;"",$C$5,IF('設定'!$C$6="","",DATE(YEAR('設定'!$C$6),1,1)))="","",IF($C$5&lt;&gt;"",$C$5,IF('設定'!$C$6="","",DATE(YEAR('設定'!$C$6),1,1)))+303)</f>
        <v/>
      </c>
      <c r="C319" s="67">
        <f>IF($B319="","",CHOOSE(WEEKDAY($B319),"日","月","火","水","木","金","土"))</f>
        <v/>
      </c>
      <c r="D319" s="69" t="n"/>
      <c r="E319" s="69" t="n"/>
      <c r="F319" s="70" t="n"/>
      <c r="G319" s="44">
        <f>IF($B319="","",IF(ISNUMBER($E319),$E319,IF(ISNUMBER($D319),$D319,ROUND(IF(N(IFERROR(INDEX('動員を入れる'!$K$8:$K$14,MATCH($C319,'動員を入れる'!$J$8:$J$14,0)),0))&gt;0,IFERROR(INDEX('動員を入れる'!$K$8:$K$14,MATCH($C319,'動員を入れる'!$J$8:$J$14,0)),0),N('設定'!$C$8)),0))))</f>
        <v/>
      </c>
    </row>
    <row r="320" ht="18" customHeight="1">
      <c r="B320" s="68">
        <f>IF(IF($C$5&lt;&gt;"",$C$5,IF('設定'!$C$6="","",DATE(YEAR('設定'!$C$6),1,1)))="","",IF($C$5&lt;&gt;"",$C$5,IF('設定'!$C$6="","",DATE(YEAR('設定'!$C$6),1,1)))+304)</f>
        <v/>
      </c>
      <c r="C320" s="67">
        <f>IF($B320="","",CHOOSE(WEEKDAY($B320),"日","月","火","水","木","金","土"))</f>
        <v/>
      </c>
      <c r="D320" s="69" t="n"/>
      <c r="E320" s="69" t="n"/>
      <c r="F320" s="70" t="n"/>
      <c r="G320" s="44">
        <f>IF($B320="","",IF(ISNUMBER($E320),$E320,IF(ISNUMBER($D320),$D320,ROUND(IF(N(IFERROR(INDEX('動員を入れる'!$K$8:$K$14,MATCH($C320,'動員を入れる'!$J$8:$J$14,0)),0))&gt;0,IFERROR(INDEX('動員を入れる'!$K$8:$K$14,MATCH($C320,'動員を入れる'!$J$8:$J$14,0)),0),N('設定'!$C$8)),0))))</f>
        <v/>
      </c>
    </row>
    <row r="321" ht="18" customHeight="1">
      <c r="B321" s="68">
        <f>IF(IF($C$5&lt;&gt;"",$C$5,IF('設定'!$C$6="","",DATE(YEAR('設定'!$C$6),1,1)))="","",IF($C$5&lt;&gt;"",$C$5,IF('設定'!$C$6="","",DATE(YEAR('設定'!$C$6),1,1)))+305)</f>
        <v/>
      </c>
      <c r="C321" s="67">
        <f>IF($B321="","",CHOOSE(WEEKDAY($B321),"日","月","火","水","木","金","土"))</f>
        <v/>
      </c>
      <c r="D321" s="69" t="n"/>
      <c r="E321" s="69" t="n"/>
      <c r="F321" s="70" t="n"/>
      <c r="G321" s="44">
        <f>IF($B321="","",IF(ISNUMBER($E321),$E321,IF(ISNUMBER($D321),$D321,ROUND(IF(N(IFERROR(INDEX('動員を入れる'!$K$8:$K$14,MATCH($C321,'動員を入れる'!$J$8:$J$14,0)),0))&gt;0,IFERROR(INDEX('動員を入れる'!$K$8:$K$14,MATCH($C321,'動員を入れる'!$J$8:$J$14,0)),0),N('設定'!$C$8)),0))))</f>
        <v/>
      </c>
    </row>
    <row r="322" ht="18" customHeight="1">
      <c r="B322" s="68">
        <f>IF(IF($C$5&lt;&gt;"",$C$5,IF('設定'!$C$6="","",DATE(YEAR('設定'!$C$6),1,1)))="","",IF($C$5&lt;&gt;"",$C$5,IF('設定'!$C$6="","",DATE(YEAR('設定'!$C$6),1,1)))+306)</f>
        <v/>
      </c>
      <c r="C322" s="67">
        <f>IF($B322="","",CHOOSE(WEEKDAY($B322),"日","月","火","水","木","金","土"))</f>
        <v/>
      </c>
      <c r="D322" s="69" t="n"/>
      <c r="E322" s="69" t="n"/>
      <c r="F322" s="70" t="n"/>
      <c r="G322" s="44">
        <f>IF($B322="","",IF(ISNUMBER($E322),$E322,IF(ISNUMBER($D322),$D322,ROUND(IF(N(IFERROR(INDEX('動員を入れる'!$K$8:$K$14,MATCH($C322,'動員を入れる'!$J$8:$J$14,0)),0))&gt;0,IFERROR(INDEX('動員を入れる'!$K$8:$K$14,MATCH($C322,'動員を入れる'!$J$8:$J$14,0)),0),N('設定'!$C$8)),0))))</f>
        <v/>
      </c>
    </row>
    <row r="323" ht="18" customHeight="1">
      <c r="B323" s="68">
        <f>IF(IF($C$5&lt;&gt;"",$C$5,IF('設定'!$C$6="","",DATE(YEAR('設定'!$C$6),1,1)))="","",IF($C$5&lt;&gt;"",$C$5,IF('設定'!$C$6="","",DATE(YEAR('設定'!$C$6),1,1)))+307)</f>
        <v/>
      </c>
      <c r="C323" s="67">
        <f>IF($B323="","",CHOOSE(WEEKDAY($B323),"日","月","火","水","木","金","土"))</f>
        <v/>
      </c>
      <c r="D323" s="69" t="n"/>
      <c r="E323" s="69" t="n"/>
      <c r="F323" s="70" t="n"/>
      <c r="G323" s="44">
        <f>IF($B323="","",IF(ISNUMBER($E323),$E323,IF(ISNUMBER($D323),$D323,ROUND(IF(N(IFERROR(INDEX('動員を入れる'!$K$8:$K$14,MATCH($C323,'動員を入れる'!$J$8:$J$14,0)),0))&gt;0,IFERROR(INDEX('動員を入れる'!$K$8:$K$14,MATCH($C323,'動員を入れる'!$J$8:$J$14,0)),0),N('設定'!$C$8)),0))))</f>
        <v/>
      </c>
    </row>
    <row r="324" ht="18" customHeight="1">
      <c r="B324" s="68">
        <f>IF(IF($C$5&lt;&gt;"",$C$5,IF('設定'!$C$6="","",DATE(YEAR('設定'!$C$6),1,1)))="","",IF($C$5&lt;&gt;"",$C$5,IF('設定'!$C$6="","",DATE(YEAR('設定'!$C$6),1,1)))+308)</f>
        <v/>
      </c>
      <c r="C324" s="67">
        <f>IF($B324="","",CHOOSE(WEEKDAY($B324),"日","月","火","水","木","金","土"))</f>
        <v/>
      </c>
      <c r="D324" s="69" t="n"/>
      <c r="E324" s="69" t="n"/>
      <c r="F324" s="70" t="n"/>
      <c r="G324" s="44">
        <f>IF($B324="","",IF(ISNUMBER($E324),$E324,IF(ISNUMBER($D324),$D324,ROUND(IF(N(IFERROR(INDEX('動員を入れる'!$K$8:$K$14,MATCH($C324,'動員を入れる'!$J$8:$J$14,0)),0))&gt;0,IFERROR(INDEX('動員を入れる'!$K$8:$K$14,MATCH($C324,'動員を入れる'!$J$8:$J$14,0)),0),N('設定'!$C$8)),0))))</f>
        <v/>
      </c>
    </row>
    <row r="325" ht="18" customHeight="1">
      <c r="B325" s="68">
        <f>IF(IF($C$5&lt;&gt;"",$C$5,IF('設定'!$C$6="","",DATE(YEAR('設定'!$C$6),1,1)))="","",IF($C$5&lt;&gt;"",$C$5,IF('設定'!$C$6="","",DATE(YEAR('設定'!$C$6),1,1)))+309)</f>
        <v/>
      </c>
      <c r="C325" s="67">
        <f>IF($B325="","",CHOOSE(WEEKDAY($B325),"日","月","火","水","木","金","土"))</f>
        <v/>
      </c>
      <c r="D325" s="69" t="n"/>
      <c r="E325" s="69" t="n"/>
      <c r="F325" s="70" t="n"/>
      <c r="G325" s="44">
        <f>IF($B325="","",IF(ISNUMBER($E325),$E325,IF(ISNUMBER($D325),$D325,ROUND(IF(N(IFERROR(INDEX('動員を入れる'!$K$8:$K$14,MATCH($C325,'動員を入れる'!$J$8:$J$14,0)),0))&gt;0,IFERROR(INDEX('動員を入れる'!$K$8:$K$14,MATCH($C325,'動員を入れる'!$J$8:$J$14,0)),0),N('設定'!$C$8)),0))))</f>
        <v/>
      </c>
    </row>
    <row r="326" ht="18" customHeight="1">
      <c r="B326" s="68">
        <f>IF(IF($C$5&lt;&gt;"",$C$5,IF('設定'!$C$6="","",DATE(YEAR('設定'!$C$6),1,1)))="","",IF($C$5&lt;&gt;"",$C$5,IF('設定'!$C$6="","",DATE(YEAR('設定'!$C$6),1,1)))+310)</f>
        <v/>
      </c>
      <c r="C326" s="67">
        <f>IF($B326="","",CHOOSE(WEEKDAY($B326),"日","月","火","水","木","金","土"))</f>
        <v/>
      </c>
      <c r="D326" s="69" t="n"/>
      <c r="E326" s="69" t="n"/>
      <c r="F326" s="70" t="n"/>
      <c r="G326" s="44">
        <f>IF($B326="","",IF(ISNUMBER($E326),$E326,IF(ISNUMBER($D326),$D326,ROUND(IF(N(IFERROR(INDEX('動員を入れる'!$K$8:$K$14,MATCH($C326,'動員を入れる'!$J$8:$J$14,0)),0))&gt;0,IFERROR(INDEX('動員を入れる'!$K$8:$K$14,MATCH($C326,'動員を入れる'!$J$8:$J$14,0)),0),N('設定'!$C$8)),0))))</f>
        <v/>
      </c>
    </row>
    <row r="327" ht="18" customHeight="1">
      <c r="B327" s="68">
        <f>IF(IF($C$5&lt;&gt;"",$C$5,IF('設定'!$C$6="","",DATE(YEAR('設定'!$C$6),1,1)))="","",IF($C$5&lt;&gt;"",$C$5,IF('設定'!$C$6="","",DATE(YEAR('設定'!$C$6),1,1)))+311)</f>
        <v/>
      </c>
      <c r="C327" s="67">
        <f>IF($B327="","",CHOOSE(WEEKDAY($B327),"日","月","火","水","木","金","土"))</f>
        <v/>
      </c>
      <c r="D327" s="69" t="n"/>
      <c r="E327" s="69" t="n"/>
      <c r="F327" s="70" t="n"/>
      <c r="G327" s="44">
        <f>IF($B327="","",IF(ISNUMBER($E327),$E327,IF(ISNUMBER($D327),$D327,ROUND(IF(N(IFERROR(INDEX('動員を入れる'!$K$8:$K$14,MATCH($C327,'動員を入れる'!$J$8:$J$14,0)),0))&gt;0,IFERROR(INDEX('動員を入れる'!$K$8:$K$14,MATCH($C327,'動員を入れる'!$J$8:$J$14,0)),0),N('設定'!$C$8)),0))))</f>
        <v/>
      </c>
    </row>
    <row r="328" ht="18" customHeight="1">
      <c r="B328" s="68">
        <f>IF(IF($C$5&lt;&gt;"",$C$5,IF('設定'!$C$6="","",DATE(YEAR('設定'!$C$6),1,1)))="","",IF($C$5&lt;&gt;"",$C$5,IF('設定'!$C$6="","",DATE(YEAR('設定'!$C$6),1,1)))+312)</f>
        <v/>
      </c>
      <c r="C328" s="67">
        <f>IF($B328="","",CHOOSE(WEEKDAY($B328),"日","月","火","水","木","金","土"))</f>
        <v/>
      </c>
      <c r="D328" s="69" t="n"/>
      <c r="E328" s="69" t="n"/>
      <c r="F328" s="70" t="n"/>
      <c r="G328" s="44">
        <f>IF($B328="","",IF(ISNUMBER($E328),$E328,IF(ISNUMBER($D328),$D328,ROUND(IF(N(IFERROR(INDEX('動員を入れる'!$K$8:$K$14,MATCH($C328,'動員を入れる'!$J$8:$J$14,0)),0))&gt;0,IFERROR(INDEX('動員を入れる'!$K$8:$K$14,MATCH($C328,'動員を入れる'!$J$8:$J$14,0)),0),N('設定'!$C$8)),0))))</f>
        <v/>
      </c>
    </row>
    <row r="329" ht="18" customHeight="1">
      <c r="B329" s="68">
        <f>IF(IF($C$5&lt;&gt;"",$C$5,IF('設定'!$C$6="","",DATE(YEAR('設定'!$C$6),1,1)))="","",IF($C$5&lt;&gt;"",$C$5,IF('設定'!$C$6="","",DATE(YEAR('設定'!$C$6),1,1)))+313)</f>
        <v/>
      </c>
      <c r="C329" s="67">
        <f>IF($B329="","",CHOOSE(WEEKDAY($B329),"日","月","火","水","木","金","土"))</f>
        <v/>
      </c>
      <c r="D329" s="69" t="n"/>
      <c r="E329" s="69" t="n"/>
      <c r="F329" s="70" t="n"/>
      <c r="G329" s="44">
        <f>IF($B329="","",IF(ISNUMBER($E329),$E329,IF(ISNUMBER($D329),$D329,ROUND(IF(N(IFERROR(INDEX('動員を入れる'!$K$8:$K$14,MATCH($C329,'動員を入れる'!$J$8:$J$14,0)),0))&gt;0,IFERROR(INDEX('動員を入れる'!$K$8:$K$14,MATCH($C329,'動員を入れる'!$J$8:$J$14,0)),0),N('設定'!$C$8)),0))))</f>
        <v/>
      </c>
    </row>
    <row r="330" ht="18" customHeight="1">
      <c r="B330" s="68">
        <f>IF(IF($C$5&lt;&gt;"",$C$5,IF('設定'!$C$6="","",DATE(YEAR('設定'!$C$6),1,1)))="","",IF($C$5&lt;&gt;"",$C$5,IF('設定'!$C$6="","",DATE(YEAR('設定'!$C$6),1,1)))+314)</f>
        <v/>
      </c>
      <c r="C330" s="67">
        <f>IF($B330="","",CHOOSE(WEEKDAY($B330),"日","月","火","水","木","金","土"))</f>
        <v/>
      </c>
      <c r="D330" s="69" t="n"/>
      <c r="E330" s="69" t="n"/>
      <c r="F330" s="70" t="n"/>
      <c r="G330" s="44">
        <f>IF($B330="","",IF(ISNUMBER($E330),$E330,IF(ISNUMBER($D330),$D330,ROUND(IF(N(IFERROR(INDEX('動員を入れる'!$K$8:$K$14,MATCH($C330,'動員を入れる'!$J$8:$J$14,0)),0))&gt;0,IFERROR(INDEX('動員を入れる'!$K$8:$K$14,MATCH($C330,'動員を入れる'!$J$8:$J$14,0)),0),N('設定'!$C$8)),0))))</f>
        <v/>
      </c>
    </row>
    <row r="331" ht="18" customHeight="1">
      <c r="B331" s="68">
        <f>IF(IF($C$5&lt;&gt;"",$C$5,IF('設定'!$C$6="","",DATE(YEAR('設定'!$C$6),1,1)))="","",IF($C$5&lt;&gt;"",$C$5,IF('設定'!$C$6="","",DATE(YEAR('設定'!$C$6),1,1)))+315)</f>
        <v/>
      </c>
      <c r="C331" s="67">
        <f>IF($B331="","",CHOOSE(WEEKDAY($B331),"日","月","火","水","木","金","土"))</f>
        <v/>
      </c>
      <c r="D331" s="69" t="n"/>
      <c r="E331" s="69" t="n"/>
      <c r="F331" s="70" t="n"/>
      <c r="G331" s="44">
        <f>IF($B331="","",IF(ISNUMBER($E331),$E331,IF(ISNUMBER($D331),$D331,ROUND(IF(N(IFERROR(INDEX('動員を入れる'!$K$8:$K$14,MATCH($C331,'動員を入れる'!$J$8:$J$14,0)),0))&gt;0,IFERROR(INDEX('動員を入れる'!$K$8:$K$14,MATCH($C331,'動員を入れる'!$J$8:$J$14,0)),0),N('設定'!$C$8)),0))))</f>
        <v/>
      </c>
    </row>
    <row r="332" ht="18" customHeight="1">
      <c r="B332" s="68">
        <f>IF(IF($C$5&lt;&gt;"",$C$5,IF('設定'!$C$6="","",DATE(YEAR('設定'!$C$6),1,1)))="","",IF($C$5&lt;&gt;"",$C$5,IF('設定'!$C$6="","",DATE(YEAR('設定'!$C$6),1,1)))+316)</f>
        <v/>
      </c>
      <c r="C332" s="67">
        <f>IF($B332="","",CHOOSE(WEEKDAY($B332),"日","月","火","水","木","金","土"))</f>
        <v/>
      </c>
      <c r="D332" s="69" t="n"/>
      <c r="E332" s="69" t="n"/>
      <c r="F332" s="70" t="n"/>
      <c r="G332" s="44">
        <f>IF($B332="","",IF(ISNUMBER($E332),$E332,IF(ISNUMBER($D332),$D332,ROUND(IF(N(IFERROR(INDEX('動員を入れる'!$K$8:$K$14,MATCH($C332,'動員を入れる'!$J$8:$J$14,0)),0))&gt;0,IFERROR(INDEX('動員を入れる'!$K$8:$K$14,MATCH($C332,'動員を入れる'!$J$8:$J$14,0)),0),N('設定'!$C$8)),0))))</f>
        <v/>
      </c>
    </row>
    <row r="333" ht="18" customHeight="1">
      <c r="B333" s="68">
        <f>IF(IF($C$5&lt;&gt;"",$C$5,IF('設定'!$C$6="","",DATE(YEAR('設定'!$C$6),1,1)))="","",IF($C$5&lt;&gt;"",$C$5,IF('設定'!$C$6="","",DATE(YEAR('設定'!$C$6),1,1)))+317)</f>
        <v/>
      </c>
      <c r="C333" s="67">
        <f>IF($B333="","",CHOOSE(WEEKDAY($B333),"日","月","火","水","木","金","土"))</f>
        <v/>
      </c>
      <c r="D333" s="69" t="n"/>
      <c r="E333" s="69" t="n"/>
      <c r="F333" s="70" t="n"/>
      <c r="G333" s="44">
        <f>IF($B333="","",IF(ISNUMBER($E333),$E333,IF(ISNUMBER($D333),$D333,ROUND(IF(N(IFERROR(INDEX('動員を入れる'!$K$8:$K$14,MATCH($C333,'動員を入れる'!$J$8:$J$14,0)),0))&gt;0,IFERROR(INDEX('動員を入れる'!$K$8:$K$14,MATCH($C333,'動員を入れる'!$J$8:$J$14,0)),0),N('設定'!$C$8)),0))))</f>
        <v/>
      </c>
    </row>
    <row r="334" ht="18" customHeight="1">
      <c r="B334" s="68">
        <f>IF(IF($C$5&lt;&gt;"",$C$5,IF('設定'!$C$6="","",DATE(YEAR('設定'!$C$6),1,1)))="","",IF($C$5&lt;&gt;"",$C$5,IF('設定'!$C$6="","",DATE(YEAR('設定'!$C$6),1,1)))+318)</f>
        <v/>
      </c>
      <c r="C334" s="67">
        <f>IF($B334="","",CHOOSE(WEEKDAY($B334),"日","月","火","水","木","金","土"))</f>
        <v/>
      </c>
      <c r="D334" s="69" t="n"/>
      <c r="E334" s="69" t="n"/>
      <c r="F334" s="70" t="n"/>
      <c r="G334" s="44">
        <f>IF($B334="","",IF(ISNUMBER($E334),$E334,IF(ISNUMBER($D334),$D334,ROUND(IF(N(IFERROR(INDEX('動員を入れる'!$K$8:$K$14,MATCH($C334,'動員を入れる'!$J$8:$J$14,0)),0))&gt;0,IFERROR(INDEX('動員を入れる'!$K$8:$K$14,MATCH($C334,'動員を入れる'!$J$8:$J$14,0)),0),N('設定'!$C$8)),0))))</f>
        <v/>
      </c>
    </row>
    <row r="335" ht="18" customHeight="1">
      <c r="B335" s="68">
        <f>IF(IF($C$5&lt;&gt;"",$C$5,IF('設定'!$C$6="","",DATE(YEAR('設定'!$C$6),1,1)))="","",IF($C$5&lt;&gt;"",$C$5,IF('設定'!$C$6="","",DATE(YEAR('設定'!$C$6),1,1)))+319)</f>
        <v/>
      </c>
      <c r="C335" s="67">
        <f>IF($B335="","",CHOOSE(WEEKDAY($B335),"日","月","火","水","木","金","土"))</f>
        <v/>
      </c>
      <c r="D335" s="69" t="n"/>
      <c r="E335" s="69" t="n"/>
      <c r="F335" s="70" t="n"/>
      <c r="G335" s="44">
        <f>IF($B335="","",IF(ISNUMBER($E335),$E335,IF(ISNUMBER($D335),$D335,ROUND(IF(N(IFERROR(INDEX('動員を入れる'!$K$8:$K$14,MATCH($C335,'動員を入れる'!$J$8:$J$14,0)),0))&gt;0,IFERROR(INDEX('動員を入れる'!$K$8:$K$14,MATCH($C335,'動員を入れる'!$J$8:$J$14,0)),0),N('設定'!$C$8)),0))))</f>
        <v/>
      </c>
    </row>
    <row r="336" ht="18" customHeight="1">
      <c r="B336" s="68">
        <f>IF(IF($C$5&lt;&gt;"",$C$5,IF('設定'!$C$6="","",DATE(YEAR('設定'!$C$6),1,1)))="","",IF($C$5&lt;&gt;"",$C$5,IF('設定'!$C$6="","",DATE(YEAR('設定'!$C$6),1,1)))+320)</f>
        <v/>
      </c>
      <c r="C336" s="67">
        <f>IF($B336="","",CHOOSE(WEEKDAY($B336),"日","月","火","水","木","金","土"))</f>
        <v/>
      </c>
      <c r="D336" s="69" t="n"/>
      <c r="E336" s="69" t="n"/>
      <c r="F336" s="70" t="n"/>
      <c r="G336" s="44">
        <f>IF($B336="","",IF(ISNUMBER($E336),$E336,IF(ISNUMBER($D336),$D336,ROUND(IF(N(IFERROR(INDEX('動員を入れる'!$K$8:$K$14,MATCH($C336,'動員を入れる'!$J$8:$J$14,0)),0))&gt;0,IFERROR(INDEX('動員を入れる'!$K$8:$K$14,MATCH($C336,'動員を入れる'!$J$8:$J$14,0)),0),N('設定'!$C$8)),0))))</f>
        <v/>
      </c>
    </row>
    <row r="337" ht="18" customHeight="1">
      <c r="B337" s="68">
        <f>IF(IF($C$5&lt;&gt;"",$C$5,IF('設定'!$C$6="","",DATE(YEAR('設定'!$C$6),1,1)))="","",IF($C$5&lt;&gt;"",$C$5,IF('設定'!$C$6="","",DATE(YEAR('設定'!$C$6),1,1)))+321)</f>
        <v/>
      </c>
      <c r="C337" s="67">
        <f>IF($B337="","",CHOOSE(WEEKDAY($B337),"日","月","火","水","木","金","土"))</f>
        <v/>
      </c>
      <c r="D337" s="69" t="n"/>
      <c r="E337" s="69" t="n"/>
      <c r="F337" s="70" t="n"/>
      <c r="G337" s="44">
        <f>IF($B337="","",IF(ISNUMBER($E337),$E337,IF(ISNUMBER($D337),$D337,ROUND(IF(N(IFERROR(INDEX('動員を入れる'!$K$8:$K$14,MATCH($C337,'動員を入れる'!$J$8:$J$14,0)),0))&gt;0,IFERROR(INDEX('動員を入れる'!$K$8:$K$14,MATCH($C337,'動員を入れる'!$J$8:$J$14,0)),0),N('設定'!$C$8)),0))))</f>
        <v/>
      </c>
    </row>
    <row r="338" ht="18" customHeight="1">
      <c r="B338" s="68">
        <f>IF(IF($C$5&lt;&gt;"",$C$5,IF('設定'!$C$6="","",DATE(YEAR('設定'!$C$6),1,1)))="","",IF($C$5&lt;&gt;"",$C$5,IF('設定'!$C$6="","",DATE(YEAR('設定'!$C$6),1,1)))+322)</f>
        <v/>
      </c>
      <c r="C338" s="67">
        <f>IF($B338="","",CHOOSE(WEEKDAY($B338),"日","月","火","水","木","金","土"))</f>
        <v/>
      </c>
      <c r="D338" s="69" t="n"/>
      <c r="E338" s="69" t="n"/>
      <c r="F338" s="70" t="n"/>
      <c r="G338" s="44">
        <f>IF($B338="","",IF(ISNUMBER($E338),$E338,IF(ISNUMBER($D338),$D338,ROUND(IF(N(IFERROR(INDEX('動員を入れる'!$K$8:$K$14,MATCH($C338,'動員を入れる'!$J$8:$J$14,0)),0))&gt;0,IFERROR(INDEX('動員を入れる'!$K$8:$K$14,MATCH($C338,'動員を入れる'!$J$8:$J$14,0)),0),N('設定'!$C$8)),0))))</f>
        <v/>
      </c>
    </row>
    <row r="339" ht="18" customHeight="1">
      <c r="B339" s="68">
        <f>IF(IF($C$5&lt;&gt;"",$C$5,IF('設定'!$C$6="","",DATE(YEAR('設定'!$C$6),1,1)))="","",IF($C$5&lt;&gt;"",$C$5,IF('設定'!$C$6="","",DATE(YEAR('設定'!$C$6),1,1)))+323)</f>
        <v/>
      </c>
      <c r="C339" s="67">
        <f>IF($B339="","",CHOOSE(WEEKDAY($B339),"日","月","火","水","木","金","土"))</f>
        <v/>
      </c>
      <c r="D339" s="69" t="n"/>
      <c r="E339" s="69" t="n"/>
      <c r="F339" s="70" t="n"/>
      <c r="G339" s="44">
        <f>IF($B339="","",IF(ISNUMBER($E339),$E339,IF(ISNUMBER($D339),$D339,ROUND(IF(N(IFERROR(INDEX('動員を入れる'!$K$8:$K$14,MATCH($C339,'動員を入れる'!$J$8:$J$14,0)),0))&gt;0,IFERROR(INDEX('動員を入れる'!$K$8:$K$14,MATCH($C339,'動員を入れる'!$J$8:$J$14,0)),0),N('設定'!$C$8)),0))))</f>
        <v/>
      </c>
    </row>
    <row r="340" ht="18" customHeight="1">
      <c r="B340" s="68">
        <f>IF(IF($C$5&lt;&gt;"",$C$5,IF('設定'!$C$6="","",DATE(YEAR('設定'!$C$6),1,1)))="","",IF($C$5&lt;&gt;"",$C$5,IF('設定'!$C$6="","",DATE(YEAR('設定'!$C$6),1,1)))+324)</f>
        <v/>
      </c>
      <c r="C340" s="67">
        <f>IF($B340="","",CHOOSE(WEEKDAY($B340),"日","月","火","水","木","金","土"))</f>
        <v/>
      </c>
      <c r="D340" s="69" t="n"/>
      <c r="E340" s="69" t="n"/>
      <c r="F340" s="70" t="n"/>
      <c r="G340" s="44">
        <f>IF($B340="","",IF(ISNUMBER($E340),$E340,IF(ISNUMBER($D340),$D340,ROUND(IF(N(IFERROR(INDEX('動員を入れる'!$K$8:$K$14,MATCH($C340,'動員を入れる'!$J$8:$J$14,0)),0))&gt;0,IFERROR(INDEX('動員を入れる'!$K$8:$K$14,MATCH($C340,'動員を入れる'!$J$8:$J$14,0)),0),N('設定'!$C$8)),0))))</f>
        <v/>
      </c>
    </row>
    <row r="341" ht="18" customHeight="1">
      <c r="B341" s="68">
        <f>IF(IF($C$5&lt;&gt;"",$C$5,IF('設定'!$C$6="","",DATE(YEAR('設定'!$C$6),1,1)))="","",IF($C$5&lt;&gt;"",$C$5,IF('設定'!$C$6="","",DATE(YEAR('設定'!$C$6),1,1)))+325)</f>
        <v/>
      </c>
      <c r="C341" s="67">
        <f>IF($B341="","",CHOOSE(WEEKDAY($B341),"日","月","火","水","木","金","土"))</f>
        <v/>
      </c>
      <c r="D341" s="69" t="n"/>
      <c r="E341" s="69" t="n"/>
      <c r="F341" s="70" t="n"/>
      <c r="G341" s="44">
        <f>IF($B341="","",IF(ISNUMBER($E341),$E341,IF(ISNUMBER($D341),$D341,ROUND(IF(N(IFERROR(INDEX('動員を入れる'!$K$8:$K$14,MATCH($C341,'動員を入れる'!$J$8:$J$14,0)),0))&gt;0,IFERROR(INDEX('動員を入れる'!$K$8:$K$14,MATCH($C341,'動員を入れる'!$J$8:$J$14,0)),0),N('設定'!$C$8)),0))))</f>
        <v/>
      </c>
    </row>
    <row r="342" ht="18" customHeight="1">
      <c r="B342" s="68">
        <f>IF(IF($C$5&lt;&gt;"",$C$5,IF('設定'!$C$6="","",DATE(YEAR('設定'!$C$6),1,1)))="","",IF($C$5&lt;&gt;"",$C$5,IF('設定'!$C$6="","",DATE(YEAR('設定'!$C$6),1,1)))+326)</f>
        <v/>
      </c>
      <c r="C342" s="67">
        <f>IF($B342="","",CHOOSE(WEEKDAY($B342),"日","月","火","水","木","金","土"))</f>
        <v/>
      </c>
      <c r="D342" s="69" t="n"/>
      <c r="E342" s="69" t="n"/>
      <c r="F342" s="70" t="n"/>
      <c r="G342" s="44">
        <f>IF($B342="","",IF(ISNUMBER($E342),$E342,IF(ISNUMBER($D342),$D342,ROUND(IF(N(IFERROR(INDEX('動員を入れる'!$K$8:$K$14,MATCH($C342,'動員を入れる'!$J$8:$J$14,0)),0))&gt;0,IFERROR(INDEX('動員を入れる'!$K$8:$K$14,MATCH($C342,'動員を入れる'!$J$8:$J$14,0)),0),N('設定'!$C$8)),0))))</f>
        <v/>
      </c>
    </row>
    <row r="343" ht="18" customHeight="1">
      <c r="B343" s="68">
        <f>IF(IF($C$5&lt;&gt;"",$C$5,IF('設定'!$C$6="","",DATE(YEAR('設定'!$C$6),1,1)))="","",IF($C$5&lt;&gt;"",$C$5,IF('設定'!$C$6="","",DATE(YEAR('設定'!$C$6),1,1)))+327)</f>
        <v/>
      </c>
      <c r="C343" s="67">
        <f>IF($B343="","",CHOOSE(WEEKDAY($B343),"日","月","火","水","木","金","土"))</f>
        <v/>
      </c>
      <c r="D343" s="69" t="n"/>
      <c r="E343" s="69" t="n"/>
      <c r="F343" s="70" t="n"/>
      <c r="G343" s="44">
        <f>IF($B343="","",IF(ISNUMBER($E343),$E343,IF(ISNUMBER($D343),$D343,ROUND(IF(N(IFERROR(INDEX('動員を入れる'!$K$8:$K$14,MATCH($C343,'動員を入れる'!$J$8:$J$14,0)),0))&gt;0,IFERROR(INDEX('動員を入れる'!$K$8:$K$14,MATCH($C343,'動員を入れる'!$J$8:$J$14,0)),0),N('設定'!$C$8)),0))))</f>
        <v/>
      </c>
    </row>
    <row r="344" ht="18" customHeight="1">
      <c r="B344" s="68">
        <f>IF(IF($C$5&lt;&gt;"",$C$5,IF('設定'!$C$6="","",DATE(YEAR('設定'!$C$6),1,1)))="","",IF($C$5&lt;&gt;"",$C$5,IF('設定'!$C$6="","",DATE(YEAR('設定'!$C$6),1,1)))+328)</f>
        <v/>
      </c>
      <c r="C344" s="67">
        <f>IF($B344="","",CHOOSE(WEEKDAY($B344),"日","月","火","水","木","金","土"))</f>
        <v/>
      </c>
      <c r="D344" s="69" t="n"/>
      <c r="E344" s="69" t="n"/>
      <c r="F344" s="70" t="n"/>
      <c r="G344" s="44">
        <f>IF($B344="","",IF(ISNUMBER($E344),$E344,IF(ISNUMBER($D344),$D344,ROUND(IF(N(IFERROR(INDEX('動員を入れる'!$K$8:$K$14,MATCH($C344,'動員を入れる'!$J$8:$J$14,0)),0))&gt;0,IFERROR(INDEX('動員を入れる'!$K$8:$K$14,MATCH($C344,'動員を入れる'!$J$8:$J$14,0)),0),N('設定'!$C$8)),0))))</f>
        <v/>
      </c>
    </row>
    <row r="345" ht="18" customHeight="1">
      <c r="B345" s="68">
        <f>IF(IF($C$5&lt;&gt;"",$C$5,IF('設定'!$C$6="","",DATE(YEAR('設定'!$C$6),1,1)))="","",IF($C$5&lt;&gt;"",$C$5,IF('設定'!$C$6="","",DATE(YEAR('設定'!$C$6),1,1)))+329)</f>
        <v/>
      </c>
      <c r="C345" s="67">
        <f>IF($B345="","",CHOOSE(WEEKDAY($B345),"日","月","火","水","木","金","土"))</f>
        <v/>
      </c>
      <c r="D345" s="69" t="n"/>
      <c r="E345" s="69" t="n"/>
      <c r="F345" s="70" t="n"/>
      <c r="G345" s="44">
        <f>IF($B345="","",IF(ISNUMBER($E345),$E345,IF(ISNUMBER($D345),$D345,ROUND(IF(N(IFERROR(INDEX('動員を入れる'!$K$8:$K$14,MATCH($C345,'動員を入れる'!$J$8:$J$14,0)),0))&gt;0,IFERROR(INDEX('動員を入れる'!$K$8:$K$14,MATCH($C345,'動員を入れる'!$J$8:$J$14,0)),0),N('設定'!$C$8)),0))))</f>
        <v/>
      </c>
    </row>
    <row r="346" ht="18" customHeight="1">
      <c r="B346" s="68">
        <f>IF(IF($C$5&lt;&gt;"",$C$5,IF('設定'!$C$6="","",DATE(YEAR('設定'!$C$6),1,1)))="","",IF($C$5&lt;&gt;"",$C$5,IF('設定'!$C$6="","",DATE(YEAR('設定'!$C$6),1,1)))+330)</f>
        <v/>
      </c>
      <c r="C346" s="67">
        <f>IF($B346="","",CHOOSE(WEEKDAY($B346),"日","月","火","水","木","金","土"))</f>
        <v/>
      </c>
      <c r="D346" s="69" t="n"/>
      <c r="E346" s="69" t="n"/>
      <c r="F346" s="70" t="n"/>
      <c r="G346" s="44">
        <f>IF($B346="","",IF(ISNUMBER($E346),$E346,IF(ISNUMBER($D346),$D346,ROUND(IF(N(IFERROR(INDEX('動員を入れる'!$K$8:$K$14,MATCH($C346,'動員を入れる'!$J$8:$J$14,0)),0))&gt;0,IFERROR(INDEX('動員を入れる'!$K$8:$K$14,MATCH($C346,'動員を入れる'!$J$8:$J$14,0)),0),N('設定'!$C$8)),0))))</f>
        <v/>
      </c>
    </row>
    <row r="347" ht="18" customHeight="1">
      <c r="B347" s="68">
        <f>IF(IF($C$5&lt;&gt;"",$C$5,IF('設定'!$C$6="","",DATE(YEAR('設定'!$C$6),1,1)))="","",IF($C$5&lt;&gt;"",$C$5,IF('設定'!$C$6="","",DATE(YEAR('設定'!$C$6),1,1)))+331)</f>
        <v/>
      </c>
      <c r="C347" s="67">
        <f>IF($B347="","",CHOOSE(WEEKDAY($B347),"日","月","火","水","木","金","土"))</f>
        <v/>
      </c>
      <c r="D347" s="69" t="n"/>
      <c r="E347" s="69" t="n"/>
      <c r="F347" s="70" t="n"/>
      <c r="G347" s="44">
        <f>IF($B347="","",IF(ISNUMBER($E347),$E347,IF(ISNUMBER($D347),$D347,ROUND(IF(N(IFERROR(INDEX('動員を入れる'!$K$8:$K$14,MATCH($C347,'動員を入れる'!$J$8:$J$14,0)),0))&gt;0,IFERROR(INDEX('動員を入れる'!$K$8:$K$14,MATCH($C347,'動員を入れる'!$J$8:$J$14,0)),0),N('設定'!$C$8)),0))))</f>
        <v/>
      </c>
    </row>
    <row r="348" ht="18" customHeight="1">
      <c r="B348" s="68">
        <f>IF(IF($C$5&lt;&gt;"",$C$5,IF('設定'!$C$6="","",DATE(YEAR('設定'!$C$6),1,1)))="","",IF($C$5&lt;&gt;"",$C$5,IF('設定'!$C$6="","",DATE(YEAR('設定'!$C$6),1,1)))+332)</f>
        <v/>
      </c>
      <c r="C348" s="67">
        <f>IF($B348="","",CHOOSE(WEEKDAY($B348),"日","月","火","水","木","金","土"))</f>
        <v/>
      </c>
      <c r="D348" s="69" t="n"/>
      <c r="E348" s="69" t="n"/>
      <c r="F348" s="70" t="n"/>
      <c r="G348" s="44">
        <f>IF($B348="","",IF(ISNUMBER($E348),$E348,IF(ISNUMBER($D348),$D348,ROUND(IF(N(IFERROR(INDEX('動員を入れる'!$K$8:$K$14,MATCH($C348,'動員を入れる'!$J$8:$J$14,0)),0))&gt;0,IFERROR(INDEX('動員を入れる'!$K$8:$K$14,MATCH($C348,'動員を入れる'!$J$8:$J$14,0)),0),N('設定'!$C$8)),0))))</f>
        <v/>
      </c>
    </row>
    <row r="349" ht="18" customHeight="1">
      <c r="B349" s="68">
        <f>IF(IF($C$5&lt;&gt;"",$C$5,IF('設定'!$C$6="","",DATE(YEAR('設定'!$C$6),1,1)))="","",IF($C$5&lt;&gt;"",$C$5,IF('設定'!$C$6="","",DATE(YEAR('設定'!$C$6),1,1)))+333)</f>
        <v/>
      </c>
      <c r="C349" s="67">
        <f>IF($B349="","",CHOOSE(WEEKDAY($B349),"日","月","火","水","木","金","土"))</f>
        <v/>
      </c>
      <c r="D349" s="69" t="n"/>
      <c r="E349" s="69" t="n"/>
      <c r="F349" s="70" t="n"/>
      <c r="G349" s="44">
        <f>IF($B349="","",IF(ISNUMBER($E349),$E349,IF(ISNUMBER($D349),$D349,ROUND(IF(N(IFERROR(INDEX('動員を入れる'!$K$8:$K$14,MATCH($C349,'動員を入れる'!$J$8:$J$14,0)),0))&gt;0,IFERROR(INDEX('動員を入れる'!$K$8:$K$14,MATCH($C349,'動員を入れる'!$J$8:$J$14,0)),0),N('設定'!$C$8)),0))))</f>
        <v/>
      </c>
    </row>
    <row r="350" ht="18" customHeight="1">
      <c r="B350" s="68">
        <f>IF(IF($C$5&lt;&gt;"",$C$5,IF('設定'!$C$6="","",DATE(YEAR('設定'!$C$6),1,1)))="","",IF($C$5&lt;&gt;"",$C$5,IF('設定'!$C$6="","",DATE(YEAR('設定'!$C$6),1,1)))+334)</f>
        <v/>
      </c>
      <c r="C350" s="67">
        <f>IF($B350="","",CHOOSE(WEEKDAY($B350),"日","月","火","水","木","金","土"))</f>
        <v/>
      </c>
      <c r="D350" s="69" t="n"/>
      <c r="E350" s="69" t="n"/>
      <c r="F350" s="70" t="n"/>
      <c r="G350" s="44">
        <f>IF($B350="","",IF(ISNUMBER($E350),$E350,IF(ISNUMBER($D350),$D350,ROUND(IF(N(IFERROR(INDEX('動員を入れる'!$K$8:$K$14,MATCH($C350,'動員を入れる'!$J$8:$J$14,0)),0))&gt;0,IFERROR(INDEX('動員を入れる'!$K$8:$K$14,MATCH($C350,'動員を入れる'!$J$8:$J$14,0)),0),N('設定'!$C$8)),0))))</f>
        <v/>
      </c>
    </row>
    <row r="351" ht="18" customHeight="1">
      <c r="B351" s="68">
        <f>IF(IF($C$5&lt;&gt;"",$C$5,IF('設定'!$C$6="","",DATE(YEAR('設定'!$C$6),1,1)))="","",IF($C$5&lt;&gt;"",$C$5,IF('設定'!$C$6="","",DATE(YEAR('設定'!$C$6),1,1)))+335)</f>
        <v/>
      </c>
      <c r="C351" s="67">
        <f>IF($B351="","",CHOOSE(WEEKDAY($B351),"日","月","火","水","木","金","土"))</f>
        <v/>
      </c>
      <c r="D351" s="69" t="n"/>
      <c r="E351" s="69" t="n"/>
      <c r="F351" s="70" t="n"/>
      <c r="G351" s="44">
        <f>IF($B351="","",IF(ISNUMBER($E351),$E351,IF(ISNUMBER($D351),$D351,ROUND(IF(N(IFERROR(INDEX('動員を入れる'!$K$8:$K$14,MATCH($C351,'動員を入れる'!$J$8:$J$14,0)),0))&gt;0,IFERROR(INDEX('動員を入れる'!$K$8:$K$14,MATCH($C351,'動員を入れる'!$J$8:$J$14,0)),0),N('設定'!$C$8)),0))))</f>
        <v/>
      </c>
    </row>
    <row r="352" ht="18" customHeight="1">
      <c r="B352" s="68">
        <f>IF(IF($C$5&lt;&gt;"",$C$5,IF('設定'!$C$6="","",DATE(YEAR('設定'!$C$6),1,1)))="","",IF($C$5&lt;&gt;"",$C$5,IF('設定'!$C$6="","",DATE(YEAR('設定'!$C$6),1,1)))+336)</f>
        <v/>
      </c>
      <c r="C352" s="67">
        <f>IF($B352="","",CHOOSE(WEEKDAY($B352),"日","月","火","水","木","金","土"))</f>
        <v/>
      </c>
      <c r="D352" s="69" t="n"/>
      <c r="E352" s="69" t="n"/>
      <c r="F352" s="70" t="n"/>
      <c r="G352" s="44">
        <f>IF($B352="","",IF(ISNUMBER($E352),$E352,IF(ISNUMBER($D352),$D352,ROUND(IF(N(IFERROR(INDEX('動員を入れる'!$K$8:$K$14,MATCH($C352,'動員を入れる'!$J$8:$J$14,0)),0))&gt;0,IFERROR(INDEX('動員を入れる'!$K$8:$K$14,MATCH($C352,'動員を入れる'!$J$8:$J$14,0)),0),N('設定'!$C$8)),0))))</f>
        <v/>
      </c>
    </row>
    <row r="353" ht="18" customHeight="1">
      <c r="B353" s="68">
        <f>IF(IF($C$5&lt;&gt;"",$C$5,IF('設定'!$C$6="","",DATE(YEAR('設定'!$C$6),1,1)))="","",IF($C$5&lt;&gt;"",$C$5,IF('設定'!$C$6="","",DATE(YEAR('設定'!$C$6),1,1)))+337)</f>
        <v/>
      </c>
      <c r="C353" s="67">
        <f>IF($B353="","",CHOOSE(WEEKDAY($B353),"日","月","火","水","木","金","土"))</f>
        <v/>
      </c>
      <c r="D353" s="69" t="n"/>
      <c r="E353" s="69" t="n"/>
      <c r="F353" s="70" t="n"/>
      <c r="G353" s="44">
        <f>IF($B353="","",IF(ISNUMBER($E353),$E353,IF(ISNUMBER($D353),$D353,ROUND(IF(N(IFERROR(INDEX('動員を入れる'!$K$8:$K$14,MATCH($C353,'動員を入れる'!$J$8:$J$14,0)),0))&gt;0,IFERROR(INDEX('動員を入れる'!$K$8:$K$14,MATCH($C353,'動員を入れる'!$J$8:$J$14,0)),0),N('設定'!$C$8)),0))))</f>
        <v/>
      </c>
    </row>
    <row r="354" ht="18" customHeight="1">
      <c r="B354" s="68">
        <f>IF(IF($C$5&lt;&gt;"",$C$5,IF('設定'!$C$6="","",DATE(YEAR('設定'!$C$6),1,1)))="","",IF($C$5&lt;&gt;"",$C$5,IF('設定'!$C$6="","",DATE(YEAR('設定'!$C$6),1,1)))+338)</f>
        <v/>
      </c>
      <c r="C354" s="67">
        <f>IF($B354="","",CHOOSE(WEEKDAY($B354),"日","月","火","水","木","金","土"))</f>
        <v/>
      </c>
      <c r="D354" s="69" t="n"/>
      <c r="E354" s="69" t="n"/>
      <c r="F354" s="70" t="n"/>
      <c r="G354" s="44">
        <f>IF($B354="","",IF(ISNUMBER($E354),$E354,IF(ISNUMBER($D354),$D354,ROUND(IF(N(IFERROR(INDEX('動員を入れる'!$K$8:$K$14,MATCH($C354,'動員を入れる'!$J$8:$J$14,0)),0))&gt;0,IFERROR(INDEX('動員を入れる'!$K$8:$K$14,MATCH($C354,'動員を入れる'!$J$8:$J$14,0)),0),N('設定'!$C$8)),0))))</f>
        <v/>
      </c>
    </row>
    <row r="355" ht="18" customHeight="1">
      <c r="B355" s="68">
        <f>IF(IF($C$5&lt;&gt;"",$C$5,IF('設定'!$C$6="","",DATE(YEAR('設定'!$C$6),1,1)))="","",IF($C$5&lt;&gt;"",$C$5,IF('設定'!$C$6="","",DATE(YEAR('設定'!$C$6),1,1)))+339)</f>
        <v/>
      </c>
      <c r="C355" s="67">
        <f>IF($B355="","",CHOOSE(WEEKDAY($B355),"日","月","火","水","木","金","土"))</f>
        <v/>
      </c>
      <c r="D355" s="69" t="n"/>
      <c r="E355" s="69" t="n"/>
      <c r="F355" s="70" t="n"/>
      <c r="G355" s="44">
        <f>IF($B355="","",IF(ISNUMBER($E355),$E355,IF(ISNUMBER($D355),$D355,ROUND(IF(N(IFERROR(INDEX('動員を入れる'!$K$8:$K$14,MATCH($C355,'動員を入れる'!$J$8:$J$14,0)),0))&gt;0,IFERROR(INDEX('動員を入れる'!$K$8:$K$14,MATCH($C355,'動員を入れる'!$J$8:$J$14,0)),0),N('設定'!$C$8)),0))))</f>
        <v/>
      </c>
    </row>
    <row r="356" ht="18" customHeight="1">
      <c r="B356" s="68">
        <f>IF(IF($C$5&lt;&gt;"",$C$5,IF('設定'!$C$6="","",DATE(YEAR('設定'!$C$6),1,1)))="","",IF($C$5&lt;&gt;"",$C$5,IF('設定'!$C$6="","",DATE(YEAR('設定'!$C$6),1,1)))+340)</f>
        <v/>
      </c>
      <c r="C356" s="67">
        <f>IF($B356="","",CHOOSE(WEEKDAY($B356),"日","月","火","水","木","金","土"))</f>
        <v/>
      </c>
      <c r="D356" s="69" t="n"/>
      <c r="E356" s="69" t="n"/>
      <c r="F356" s="70" t="n"/>
      <c r="G356" s="44">
        <f>IF($B356="","",IF(ISNUMBER($E356),$E356,IF(ISNUMBER($D356),$D356,ROUND(IF(N(IFERROR(INDEX('動員を入れる'!$K$8:$K$14,MATCH($C356,'動員を入れる'!$J$8:$J$14,0)),0))&gt;0,IFERROR(INDEX('動員を入れる'!$K$8:$K$14,MATCH($C356,'動員を入れる'!$J$8:$J$14,0)),0),N('設定'!$C$8)),0))))</f>
        <v/>
      </c>
    </row>
    <row r="357" ht="18" customHeight="1">
      <c r="B357" s="68">
        <f>IF(IF($C$5&lt;&gt;"",$C$5,IF('設定'!$C$6="","",DATE(YEAR('設定'!$C$6),1,1)))="","",IF($C$5&lt;&gt;"",$C$5,IF('設定'!$C$6="","",DATE(YEAR('設定'!$C$6),1,1)))+341)</f>
        <v/>
      </c>
      <c r="C357" s="67">
        <f>IF($B357="","",CHOOSE(WEEKDAY($B357),"日","月","火","水","木","金","土"))</f>
        <v/>
      </c>
      <c r="D357" s="69" t="n"/>
      <c r="E357" s="69" t="n"/>
      <c r="F357" s="70" t="n"/>
      <c r="G357" s="44">
        <f>IF($B357="","",IF(ISNUMBER($E357),$E357,IF(ISNUMBER($D357),$D357,ROUND(IF(N(IFERROR(INDEX('動員を入れる'!$K$8:$K$14,MATCH($C357,'動員を入れる'!$J$8:$J$14,0)),0))&gt;0,IFERROR(INDEX('動員を入れる'!$K$8:$K$14,MATCH($C357,'動員を入れる'!$J$8:$J$14,0)),0),N('設定'!$C$8)),0))))</f>
        <v/>
      </c>
    </row>
    <row r="358" ht="18" customHeight="1">
      <c r="B358" s="68">
        <f>IF(IF($C$5&lt;&gt;"",$C$5,IF('設定'!$C$6="","",DATE(YEAR('設定'!$C$6),1,1)))="","",IF($C$5&lt;&gt;"",$C$5,IF('設定'!$C$6="","",DATE(YEAR('設定'!$C$6),1,1)))+342)</f>
        <v/>
      </c>
      <c r="C358" s="67">
        <f>IF($B358="","",CHOOSE(WEEKDAY($B358),"日","月","火","水","木","金","土"))</f>
        <v/>
      </c>
      <c r="D358" s="69" t="n"/>
      <c r="E358" s="69" t="n"/>
      <c r="F358" s="70" t="n"/>
      <c r="G358" s="44">
        <f>IF($B358="","",IF(ISNUMBER($E358),$E358,IF(ISNUMBER($D358),$D358,ROUND(IF(N(IFERROR(INDEX('動員を入れる'!$K$8:$K$14,MATCH($C358,'動員を入れる'!$J$8:$J$14,0)),0))&gt;0,IFERROR(INDEX('動員を入れる'!$K$8:$K$14,MATCH($C358,'動員を入れる'!$J$8:$J$14,0)),0),N('設定'!$C$8)),0))))</f>
        <v/>
      </c>
    </row>
    <row r="359" ht="18" customHeight="1">
      <c r="B359" s="68">
        <f>IF(IF($C$5&lt;&gt;"",$C$5,IF('設定'!$C$6="","",DATE(YEAR('設定'!$C$6),1,1)))="","",IF($C$5&lt;&gt;"",$C$5,IF('設定'!$C$6="","",DATE(YEAR('設定'!$C$6),1,1)))+343)</f>
        <v/>
      </c>
      <c r="C359" s="67">
        <f>IF($B359="","",CHOOSE(WEEKDAY($B359),"日","月","火","水","木","金","土"))</f>
        <v/>
      </c>
      <c r="D359" s="69" t="n"/>
      <c r="E359" s="69" t="n"/>
      <c r="F359" s="70" t="n"/>
      <c r="G359" s="44">
        <f>IF($B359="","",IF(ISNUMBER($E359),$E359,IF(ISNUMBER($D359),$D359,ROUND(IF(N(IFERROR(INDEX('動員を入れる'!$K$8:$K$14,MATCH($C359,'動員を入れる'!$J$8:$J$14,0)),0))&gt;0,IFERROR(INDEX('動員を入れる'!$K$8:$K$14,MATCH($C359,'動員を入れる'!$J$8:$J$14,0)),0),N('設定'!$C$8)),0))))</f>
        <v/>
      </c>
    </row>
    <row r="360" ht="18" customHeight="1">
      <c r="B360" s="68">
        <f>IF(IF($C$5&lt;&gt;"",$C$5,IF('設定'!$C$6="","",DATE(YEAR('設定'!$C$6),1,1)))="","",IF($C$5&lt;&gt;"",$C$5,IF('設定'!$C$6="","",DATE(YEAR('設定'!$C$6),1,1)))+344)</f>
        <v/>
      </c>
      <c r="C360" s="67">
        <f>IF($B360="","",CHOOSE(WEEKDAY($B360),"日","月","火","水","木","金","土"))</f>
        <v/>
      </c>
      <c r="D360" s="69" t="n"/>
      <c r="E360" s="69" t="n"/>
      <c r="F360" s="70" t="n"/>
      <c r="G360" s="44">
        <f>IF($B360="","",IF(ISNUMBER($E360),$E360,IF(ISNUMBER($D360),$D360,ROUND(IF(N(IFERROR(INDEX('動員を入れる'!$K$8:$K$14,MATCH($C360,'動員を入れる'!$J$8:$J$14,0)),0))&gt;0,IFERROR(INDEX('動員を入れる'!$K$8:$K$14,MATCH($C360,'動員を入れる'!$J$8:$J$14,0)),0),N('設定'!$C$8)),0))))</f>
        <v/>
      </c>
    </row>
    <row r="361" ht="18" customHeight="1">
      <c r="B361" s="68">
        <f>IF(IF($C$5&lt;&gt;"",$C$5,IF('設定'!$C$6="","",DATE(YEAR('設定'!$C$6),1,1)))="","",IF($C$5&lt;&gt;"",$C$5,IF('設定'!$C$6="","",DATE(YEAR('設定'!$C$6),1,1)))+345)</f>
        <v/>
      </c>
      <c r="C361" s="67">
        <f>IF($B361="","",CHOOSE(WEEKDAY($B361),"日","月","火","水","木","金","土"))</f>
        <v/>
      </c>
      <c r="D361" s="69" t="n"/>
      <c r="E361" s="69" t="n"/>
      <c r="F361" s="70" t="n"/>
      <c r="G361" s="44">
        <f>IF($B361="","",IF(ISNUMBER($E361),$E361,IF(ISNUMBER($D361),$D361,ROUND(IF(N(IFERROR(INDEX('動員を入れる'!$K$8:$K$14,MATCH($C361,'動員を入れる'!$J$8:$J$14,0)),0))&gt;0,IFERROR(INDEX('動員を入れる'!$K$8:$K$14,MATCH($C361,'動員を入れる'!$J$8:$J$14,0)),0),N('設定'!$C$8)),0))))</f>
        <v/>
      </c>
    </row>
    <row r="362" ht="18" customHeight="1">
      <c r="B362" s="68">
        <f>IF(IF($C$5&lt;&gt;"",$C$5,IF('設定'!$C$6="","",DATE(YEAR('設定'!$C$6),1,1)))="","",IF($C$5&lt;&gt;"",$C$5,IF('設定'!$C$6="","",DATE(YEAR('設定'!$C$6),1,1)))+346)</f>
        <v/>
      </c>
      <c r="C362" s="67">
        <f>IF($B362="","",CHOOSE(WEEKDAY($B362),"日","月","火","水","木","金","土"))</f>
        <v/>
      </c>
      <c r="D362" s="69" t="n"/>
      <c r="E362" s="69" t="n"/>
      <c r="F362" s="70" t="n"/>
      <c r="G362" s="44">
        <f>IF($B362="","",IF(ISNUMBER($E362),$E362,IF(ISNUMBER($D362),$D362,ROUND(IF(N(IFERROR(INDEX('動員を入れる'!$K$8:$K$14,MATCH($C362,'動員を入れる'!$J$8:$J$14,0)),0))&gt;0,IFERROR(INDEX('動員を入れる'!$K$8:$K$14,MATCH($C362,'動員を入れる'!$J$8:$J$14,0)),0),N('設定'!$C$8)),0))))</f>
        <v/>
      </c>
    </row>
    <row r="363" ht="18" customHeight="1">
      <c r="B363" s="68">
        <f>IF(IF($C$5&lt;&gt;"",$C$5,IF('設定'!$C$6="","",DATE(YEAR('設定'!$C$6),1,1)))="","",IF($C$5&lt;&gt;"",$C$5,IF('設定'!$C$6="","",DATE(YEAR('設定'!$C$6),1,1)))+347)</f>
        <v/>
      </c>
      <c r="C363" s="67">
        <f>IF($B363="","",CHOOSE(WEEKDAY($B363),"日","月","火","水","木","金","土"))</f>
        <v/>
      </c>
      <c r="D363" s="69" t="n"/>
      <c r="E363" s="69" t="n"/>
      <c r="F363" s="70" t="n"/>
      <c r="G363" s="44">
        <f>IF($B363="","",IF(ISNUMBER($E363),$E363,IF(ISNUMBER($D363),$D363,ROUND(IF(N(IFERROR(INDEX('動員を入れる'!$K$8:$K$14,MATCH($C363,'動員を入れる'!$J$8:$J$14,0)),0))&gt;0,IFERROR(INDEX('動員を入れる'!$K$8:$K$14,MATCH($C363,'動員を入れる'!$J$8:$J$14,0)),0),N('設定'!$C$8)),0))))</f>
        <v/>
      </c>
    </row>
    <row r="364" ht="18" customHeight="1">
      <c r="B364" s="68">
        <f>IF(IF($C$5&lt;&gt;"",$C$5,IF('設定'!$C$6="","",DATE(YEAR('設定'!$C$6),1,1)))="","",IF($C$5&lt;&gt;"",$C$5,IF('設定'!$C$6="","",DATE(YEAR('設定'!$C$6),1,1)))+348)</f>
        <v/>
      </c>
      <c r="C364" s="67">
        <f>IF($B364="","",CHOOSE(WEEKDAY($B364),"日","月","火","水","木","金","土"))</f>
        <v/>
      </c>
      <c r="D364" s="69" t="n"/>
      <c r="E364" s="69" t="n"/>
      <c r="F364" s="70" t="n"/>
      <c r="G364" s="44">
        <f>IF($B364="","",IF(ISNUMBER($E364),$E364,IF(ISNUMBER($D364),$D364,ROUND(IF(N(IFERROR(INDEX('動員を入れる'!$K$8:$K$14,MATCH($C364,'動員を入れる'!$J$8:$J$14,0)),0))&gt;0,IFERROR(INDEX('動員を入れる'!$K$8:$K$14,MATCH($C364,'動員を入れる'!$J$8:$J$14,0)),0),N('設定'!$C$8)),0))))</f>
        <v/>
      </c>
    </row>
    <row r="365" ht="18" customHeight="1">
      <c r="B365" s="68">
        <f>IF(IF($C$5&lt;&gt;"",$C$5,IF('設定'!$C$6="","",DATE(YEAR('設定'!$C$6),1,1)))="","",IF($C$5&lt;&gt;"",$C$5,IF('設定'!$C$6="","",DATE(YEAR('設定'!$C$6),1,1)))+349)</f>
        <v/>
      </c>
      <c r="C365" s="67">
        <f>IF($B365="","",CHOOSE(WEEKDAY($B365),"日","月","火","水","木","金","土"))</f>
        <v/>
      </c>
      <c r="D365" s="69" t="n"/>
      <c r="E365" s="69" t="n"/>
      <c r="F365" s="70" t="n"/>
      <c r="G365" s="44">
        <f>IF($B365="","",IF(ISNUMBER($E365),$E365,IF(ISNUMBER($D365),$D365,ROUND(IF(N(IFERROR(INDEX('動員を入れる'!$K$8:$K$14,MATCH($C365,'動員を入れる'!$J$8:$J$14,0)),0))&gt;0,IFERROR(INDEX('動員を入れる'!$K$8:$K$14,MATCH($C365,'動員を入れる'!$J$8:$J$14,0)),0),N('設定'!$C$8)),0))))</f>
        <v/>
      </c>
    </row>
    <row r="366" ht="18" customHeight="1">
      <c r="B366" s="68">
        <f>IF(IF($C$5&lt;&gt;"",$C$5,IF('設定'!$C$6="","",DATE(YEAR('設定'!$C$6),1,1)))="","",IF($C$5&lt;&gt;"",$C$5,IF('設定'!$C$6="","",DATE(YEAR('設定'!$C$6),1,1)))+350)</f>
        <v/>
      </c>
      <c r="C366" s="67">
        <f>IF($B366="","",CHOOSE(WEEKDAY($B366),"日","月","火","水","木","金","土"))</f>
        <v/>
      </c>
      <c r="D366" s="69" t="n"/>
      <c r="E366" s="69" t="n"/>
      <c r="F366" s="70" t="n"/>
      <c r="G366" s="44">
        <f>IF($B366="","",IF(ISNUMBER($E366),$E366,IF(ISNUMBER($D366),$D366,ROUND(IF(N(IFERROR(INDEX('動員を入れる'!$K$8:$K$14,MATCH($C366,'動員を入れる'!$J$8:$J$14,0)),0))&gt;0,IFERROR(INDEX('動員を入れる'!$K$8:$K$14,MATCH($C366,'動員を入れる'!$J$8:$J$14,0)),0),N('設定'!$C$8)),0))))</f>
        <v/>
      </c>
    </row>
    <row r="367" ht="18" customHeight="1">
      <c r="B367" s="68">
        <f>IF(IF($C$5&lt;&gt;"",$C$5,IF('設定'!$C$6="","",DATE(YEAR('設定'!$C$6),1,1)))="","",IF($C$5&lt;&gt;"",$C$5,IF('設定'!$C$6="","",DATE(YEAR('設定'!$C$6),1,1)))+351)</f>
        <v/>
      </c>
      <c r="C367" s="67">
        <f>IF($B367="","",CHOOSE(WEEKDAY($B367),"日","月","火","水","木","金","土"))</f>
        <v/>
      </c>
      <c r="D367" s="69" t="n"/>
      <c r="E367" s="69" t="n"/>
      <c r="F367" s="70" t="n"/>
      <c r="G367" s="44">
        <f>IF($B367="","",IF(ISNUMBER($E367),$E367,IF(ISNUMBER($D367),$D367,ROUND(IF(N(IFERROR(INDEX('動員を入れる'!$K$8:$K$14,MATCH($C367,'動員を入れる'!$J$8:$J$14,0)),0))&gt;0,IFERROR(INDEX('動員を入れる'!$K$8:$K$14,MATCH($C367,'動員を入れる'!$J$8:$J$14,0)),0),N('設定'!$C$8)),0))))</f>
        <v/>
      </c>
    </row>
    <row r="368" ht="18" customHeight="1">
      <c r="B368" s="68">
        <f>IF(IF($C$5&lt;&gt;"",$C$5,IF('設定'!$C$6="","",DATE(YEAR('設定'!$C$6),1,1)))="","",IF($C$5&lt;&gt;"",$C$5,IF('設定'!$C$6="","",DATE(YEAR('設定'!$C$6),1,1)))+352)</f>
        <v/>
      </c>
      <c r="C368" s="67">
        <f>IF($B368="","",CHOOSE(WEEKDAY($B368),"日","月","火","水","木","金","土"))</f>
        <v/>
      </c>
      <c r="D368" s="69" t="n"/>
      <c r="E368" s="69" t="n"/>
      <c r="F368" s="70" t="n"/>
      <c r="G368" s="44">
        <f>IF($B368="","",IF(ISNUMBER($E368),$E368,IF(ISNUMBER($D368),$D368,ROUND(IF(N(IFERROR(INDEX('動員を入れる'!$K$8:$K$14,MATCH($C368,'動員を入れる'!$J$8:$J$14,0)),0))&gt;0,IFERROR(INDEX('動員を入れる'!$K$8:$K$14,MATCH($C368,'動員を入れる'!$J$8:$J$14,0)),0),N('設定'!$C$8)),0))))</f>
        <v/>
      </c>
    </row>
    <row r="369" ht="18" customHeight="1">
      <c r="B369" s="68">
        <f>IF(IF($C$5&lt;&gt;"",$C$5,IF('設定'!$C$6="","",DATE(YEAR('設定'!$C$6),1,1)))="","",IF($C$5&lt;&gt;"",$C$5,IF('設定'!$C$6="","",DATE(YEAR('設定'!$C$6),1,1)))+353)</f>
        <v/>
      </c>
      <c r="C369" s="67">
        <f>IF($B369="","",CHOOSE(WEEKDAY($B369),"日","月","火","水","木","金","土"))</f>
        <v/>
      </c>
      <c r="D369" s="69" t="n"/>
      <c r="E369" s="69" t="n"/>
      <c r="F369" s="70" t="n"/>
      <c r="G369" s="44">
        <f>IF($B369="","",IF(ISNUMBER($E369),$E369,IF(ISNUMBER($D369),$D369,ROUND(IF(N(IFERROR(INDEX('動員を入れる'!$K$8:$K$14,MATCH($C369,'動員を入れる'!$J$8:$J$14,0)),0))&gt;0,IFERROR(INDEX('動員を入れる'!$K$8:$K$14,MATCH($C369,'動員を入れる'!$J$8:$J$14,0)),0),N('設定'!$C$8)),0))))</f>
        <v/>
      </c>
    </row>
    <row r="370" ht="18" customHeight="1">
      <c r="B370" s="68">
        <f>IF(IF($C$5&lt;&gt;"",$C$5,IF('設定'!$C$6="","",DATE(YEAR('設定'!$C$6),1,1)))="","",IF($C$5&lt;&gt;"",$C$5,IF('設定'!$C$6="","",DATE(YEAR('設定'!$C$6),1,1)))+354)</f>
        <v/>
      </c>
      <c r="C370" s="67">
        <f>IF($B370="","",CHOOSE(WEEKDAY($B370),"日","月","火","水","木","金","土"))</f>
        <v/>
      </c>
      <c r="D370" s="69" t="n"/>
      <c r="E370" s="69" t="n"/>
      <c r="F370" s="70" t="n"/>
      <c r="G370" s="44">
        <f>IF($B370="","",IF(ISNUMBER($E370),$E370,IF(ISNUMBER($D370),$D370,ROUND(IF(N(IFERROR(INDEX('動員を入れる'!$K$8:$K$14,MATCH($C370,'動員を入れる'!$J$8:$J$14,0)),0))&gt;0,IFERROR(INDEX('動員を入れる'!$K$8:$K$14,MATCH($C370,'動員を入れる'!$J$8:$J$14,0)),0),N('設定'!$C$8)),0))))</f>
        <v/>
      </c>
    </row>
    <row r="371" ht="18" customHeight="1">
      <c r="B371" s="68">
        <f>IF(IF($C$5&lt;&gt;"",$C$5,IF('設定'!$C$6="","",DATE(YEAR('設定'!$C$6),1,1)))="","",IF($C$5&lt;&gt;"",$C$5,IF('設定'!$C$6="","",DATE(YEAR('設定'!$C$6),1,1)))+355)</f>
        <v/>
      </c>
      <c r="C371" s="67">
        <f>IF($B371="","",CHOOSE(WEEKDAY($B371),"日","月","火","水","木","金","土"))</f>
        <v/>
      </c>
      <c r="D371" s="69" t="n"/>
      <c r="E371" s="69" t="n"/>
      <c r="F371" s="70" t="n"/>
      <c r="G371" s="44">
        <f>IF($B371="","",IF(ISNUMBER($E371),$E371,IF(ISNUMBER($D371),$D371,ROUND(IF(N(IFERROR(INDEX('動員を入れる'!$K$8:$K$14,MATCH($C371,'動員を入れる'!$J$8:$J$14,0)),0))&gt;0,IFERROR(INDEX('動員を入れる'!$K$8:$K$14,MATCH($C371,'動員を入れる'!$J$8:$J$14,0)),0),N('設定'!$C$8)),0))))</f>
        <v/>
      </c>
    </row>
    <row r="372" ht="18" customHeight="1">
      <c r="B372" s="68">
        <f>IF(IF($C$5&lt;&gt;"",$C$5,IF('設定'!$C$6="","",DATE(YEAR('設定'!$C$6),1,1)))="","",IF($C$5&lt;&gt;"",$C$5,IF('設定'!$C$6="","",DATE(YEAR('設定'!$C$6),1,1)))+356)</f>
        <v/>
      </c>
      <c r="C372" s="67">
        <f>IF($B372="","",CHOOSE(WEEKDAY($B372),"日","月","火","水","木","金","土"))</f>
        <v/>
      </c>
      <c r="D372" s="69" t="n"/>
      <c r="E372" s="69" t="n"/>
      <c r="F372" s="70" t="n"/>
      <c r="G372" s="44">
        <f>IF($B372="","",IF(ISNUMBER($E372),$E372,IF(ISNUMBER($D372),$D372,ROUND(IF(N(IFERROR(INDEX('動員を入れる'!$K$8:$K$14,MATCH($C372,'動員を入れる'!$J$8:$J$14,0)),0))&gt;0,IFERROR(INDEX('動員を入れる'!$K$8:$K$14,MATCH($C372,'動員を入れる'!$J$8:$J$14,0)),0),N('設定'!$C$8)),0))))</f>
        <v/>
      </c>
    </row>
    <row r="373" ht="18" customHeight="1">
      <c r="B373" s="68">
        <f>IF(IF($C$5&lt;&gt;"",$C$5,IF('設定'!$C$6="","",DATE(YEAR('設定'!$C$6),1,1)))="","",IF($C$5&lt;&gt;"",$C$5,IF('設定'!$C$6="","",DATE(YEAR('設定'!$C$6),1,1)))+357)</f>
        <v/>
      </c>
      <c r="C373" s="67">
        <f>IF($B373="","",CHOOSE(WEEKDAY($B373),"日","月","火","水","木","金","土"))</f>
        <v/>
      </c>
      <c r="D373" s="69" t="n"/>
      <c r="E373" s="69" t="n"/>
      <c r="F373" s="70" t="n"/>
      <c r="G373" s="44">
        <f>IF($B373="","",IF(ISNUMBER($E373),$E373,IF(ISNUMBER($D373),$D373,ROUND(IF(N(IFERROR(INDEX('動員を入れる'!$K$8:$K$14,MATCH($C373,'動員を入れる'!$J$8:$J$14,0)),0))&gt;0,IFERROR(INDEX('動員を入れる'!$K$8:$K$14,MATCH($C373,'動員を入れる'!$J$8:$J$14,0)),0),N('設定'!$C$8)),0))))</f>
        <v/>
      </c>
    </row>
    <row r="374" ht="18" customHeight="1">
      <c r="B374" s="68">
        <f>IF(IF($C$5&lt;&gt;"",$C$5,IF('設定'!$C$6="","",DATE(YEAR('設定'!$C$6),1,1)))="","",IF($C$5&lt;&gt;"",$C$5,IF('設定'!$C$6="","",DATE(YEAR('設定'!$C$6),1,1)))+358)</f>
        <v/>
      </c>
      <c r="C374" s="67">
        <f>IF($B374="","",CHOOSE(WEEKDAY($B374),"日","月","火","水","木","金","土"))</f>
        <v/>
      </c>
      <c r="D374" s="69" t="n"/>
      <c r="E374" s="69" t="n"/>
      <c r="F374" s="70" t="n"/>
      <c r="G374" s="44">
        <f>IF($B374="","",IF(ISNUMBER($E374),$E374,IF(ISNUMBER($D374),$D374,ROUND(IF(N(IFERROR(INDEX('動員を入れる'!$K$8:$K$14,MATCH($C374,'動員を入れる'!$J$8:$J$14,0)),0))&gt;0,IFERROR(INDEX('動員を入れる'!$K$8:$K$14,MATCH($C374,'動員を入れる'!$J$8:$J$14,0)),0),N('設定'!$C$8)),0))))</f>
        <v/>
      </c>
    </row>
    <row r="375" ht="18" customHeight="1">
      <c r="B375" s="68">
        <f>IF(IF($C$5&lt;&gt;"",$C$5,IF('設定'!$C$6="","",DATE(YEAR('設定'!$C$6),1,1)))="","",IF($C$5&lt;&gt;"",$C$5,IF('設定'!$C$6="","",DATE(YEAR('設定'!$C$6),1,1)))+359)</f>
        <v/>
      </c>
      <c r="C375" s="67">
        <f>IF($B375="","",CHOOSE(WEEKDAY($B375),"日","月","火","水","木","金","土"))</f>
        <v/>
      </c>
      <c r="D375" s="69" t="n"/>
      <c r="E375" s="69" t="n"/>
      <c r="F375" s="70" t="n"/>
      <c r="G375" s="44">
        <f>IF($B375="","",IF(ISNUMBER($E375),$E375,IF(ISNUMBER($D375),$D375,ROUND(IF(N(IFERROR(INDEX('動員を入れる'!$K$8:$K$14,MATCH($C375,'動員を入れる'!$J$8:$J$14,0)),0))&gt;0,IFERROR(INDEX('動員を入れる'!$K$8:$K$14,MATCH($C375,'動員を入れる'!$J$8:$J$14,0)),0),N('設定'!$C$8)),0))))</f>
        <v/>
      </c>
    </row>
    <row r="376" ht="18" customHeight="1">
      <c r="B376" s="68">
        <f>IF(IF($C$5&lt;&gt;"",$C$5,IF('設定'!$C$6="","",DATE(YEAR('設定'!$C$6),1,1)))="","",IF($C$5&lt;&gt;"",$C$5,IF('設定'!$C$6="","",DATE(YEAR('設定'!$C$6),1,1)))+360)</f>
        <v/>
      </c>
      <c r="C376" s="67">
        <f>IF($B376="","",CHOOSE(WEEKDAY($B376),"日","月","火","水","木","金","土"))</f>
        <v/>
      </c>
      <c r="D376" s="69" t="n"/>
      <c r="E376" s="69" t="n"/>
      <c r="F376" s="70" t="n"/>
      <c r="G376" s="44">
        <f>IF($B376="","",IF(ISNUMBER($E376),$E376,IF(ISNUMBER($D376),$D376,ROUND(IF(N(IFERROR(INDEX('動員を入れる'!$K$8:$K$14,MATCH($C376,'動員を入れる'!$J$8:$J$14,0)),0))&gt;0,IFERROR(INDEX('動員を入れる'!$K$8:$K$14,MATCH($C376,'動員を入れる'!$J$8:$J$14,0)),0),N('設定'!$C$8)),0))))</f>
        <v/>
      </c>
    </row>
    <row r="377" ht="18" customHeight="1">
      <c r="B377" s="68">
        <f>IF(IF($C$5&lt;&gt;"",$C$5,IF('設定'!$C$6="","",DATE(YEAR('設定'!$C$6),1,1)))="","",IF($C$5&lt;&gt;"",$C$5,IF('設定'!$C$6="","",DATE(YEAR('設定'!$C$6),1,1)))+361)</f>
        <v/>
      </c>
      <c r="C377" s="67">
        <f>IF($B377="","",CHOOSE(WEEKDAY($B377),"日","月","火","水","木","金","土"))</f>
        <v/>
      </c>
      <c r="D377" s="69" t="n"/>
      <c r="E377" s="69" t="n"/>
      <c r="F377" s="70" t="n"/>
      <c r="G377" s="44">
        <f>IF($B377="","",IF(ISNUMBER($E377),$E377,IF(ISNUMBER($D377),$D377,ROUND(IF(N(IFERROR(INDEX('動員を入れる'!$K$8:$K$14,MATCH($C377,'動員を入れる'!$J$8:$J$14,0)),0))&gt;0,IFERROR(INDEX('動員を入れる'!$K$8:$K$14,MATCH($C377,'動員を入れる'!$J$8:$J$14,0)),0),N('設定'!$C$8)),0))))</f>
        <v/>
      </c>
    </row>
    <row r="378" ht="18" customHeight="1">
      <c r="B378" s="68">
        <f>IF(IF($C$5&lt;&gt;"",$C$5,IF('設定'!$C$6="","",DATE(YEAR('設定'!$C$6),1,1)))="","",IF($C$5&lt;&gt;"",$C$5,IF('設定'!$C$6="","",DATE(YEAR('設定'!$C$6),1,1)))+362)</f>
        <v/>
      </c>
      <c r="C378" s="67">
        <f>IF($B378="","",CHOOSE(WEEKDAY($B378),"日","月","火","水","木","金","土"))</f>
        <v/>
      </c>
      <c r="D378" s="69" t="n"/>
      <c r="E378" s="69" t="n"/>
      <c r="F378" s="70" t="n"/>
      <c r="G378" s="44">
        <f>IF($B378="","",IF(ISNUMBER($E378),$E378,IF(ISNUMBER($D378),$D378,ROUND(IF(N(IFERROR(INDEX('動員を入れる'!$K$8:$K$14,MATCH($C378,'動員を入れる'!$J$8:$J$14,0)),0))&gt;0,IFERROR(INDEX('動員を入れる'!$K$8:$K$14,MATCH($C378,'動員を入れる'!$J$8:$J$14,0)),0),N('設定'!$C$8)),0))))</f>
        <v/>
      </c>
    </row>
    <row r="379" ht="18" customHeight="1">
      <c r="B379" s="68">
        <f>IF(IF($C$5&lt;&gt;"",$C$5,IF('設定'!$C$6="","",DATE(YEAR('設定'!$C$6),1,1)))="","",IF($C$5&lt;&gt;"",$C$5,IF('設定'!$C$6="","",DATE(YEAR('設定'!$C$6),1,1)))+363)</f>
        <v/>
      </c>
      <c r="C379" s="67">
        <f>IF($B379="","",CHOOSE(WEEKDAY($B379),"日","月","火","水","木","金","土"))</f>
        <v/>
      </c>
      <c r="D379" s="69" t="n"/>
      <c r="E379" s="69" t="n"/>
      <c r="F379" s="70" t="n"/>
      <c r="G379" s="44">
        <f>IF($B379="","",IF(ISNUMBER($E379),$E379,IF(ISNUMBER($D379),$D379,ROUND(IF(N(IFERROR(INDEX('動員を入れる'!$K$8:$K$14,MATCH($C379,'動員を入れる'!$J$8:$J$14,0)),0))&gt;0,IFERROR(INDEX('動員を入れる'!$K$8:$K$14,MATCH($C379,'動員を入れる'!$J$8:$J$14,0)),0),N('設定'!$C$8)),0))))</f>
        <v/>
      </c>
    </row>
    <row r="380" ht="18" customHeight="1">
      <c r="B380" s="68">
        <f>IF(IF($C$5&lt;&gt;"",$C$5,IF('設定'!$C$6="","",DATE(YEAR('設定'!$C$6),1,1)))="","",IF($C$5&lt;&gt;"",$C$5,IF('設定'!$C$6="","",DATE(YEAR('設定'!$C$6),1,1)))+364)</f>
        <v/>
      </c>
      <c r="C380" s="67">
        <f>IF($B380="","",CHOOSE(WEEKDAY($B380),"日","月","火","水","木","金","土"))</f>
        <v/>
      </c>
      <c r="D380" s="69" t="n"/>
      <c r="E380" s="69" t="n"/>
      <c r="F380" s="70" t="n"/>
      <c r="G380" s="44">
        <f>IF($B380="","",IF(ISNUMBER($E380),$E380,IF(ISNUMBER($D380),$D380,ROUND(IF(N(IFERROR(INDEX('動員を入れる'!$K$8:$K$14,MATCH($C380,'動員を入れる'!$J$8:$J$14,0)),0))&gt;0,IFERROR(INDEX('動員を入れる'!$K$8:$K$14,MATCH($C380,'動員を入れる'!$J$8:$J$14,0)),0),N('設定'!$C$8)),0))))</f>
        <v/>
      </c>
    </row>
    <row r="381" ht="18" customHeight="1">
      <c r="B381" s="68">
        <f>IF(IF($C$5&lt;&gt;"",$C$5,IF('設定'!$C$6="","",DATE(YEAR('設定'!$C$6),1,1)))="","",IF($C$5&lt;&gt;"",$C$5,IF('設定'!$C$6="","",DATE(YEAR('設定'!$C$6),1,1)))+365)</f>
        <v/>
      </c>
      <c r="C381" s="67">
        <f>IF($B381="","",CHOOSE(WEEKDAY($B381),"日","月","火","水","木","金","土"))</f>
        <v/>
      </c>
      <c r="D381" s="69" t="n"/>
      <c r="E381" s="69" t="n"/>
      <c r="F381" s="70" t="n"/>
      <c r="G381" s="44">
        <f>IF($B381="","",IF(ISNUMBER($E381),$E381,IF(ISNUMBER($D381),$D381,ROUND(IF(N(IFERROR(INDEX('動員を入れる'!$K$8:$K$14,MATCH($C381,'動員を入れる'!$J$8:$J$14,0)),0))&gt;0,IFERROR(INDEX('動員を入れる'!$K$8:$K$14,MATCH($C381,'動員を入れる'!$J$8:$J$14,0)),0),N('設定'!$C$8)),0))))</f>
        <v/>
      </c>
    </row>
    <row r="382" ht="18" customHeight="1">
      <c r="B382" s="68">
        <f>IF(IF($C$5&lt;&gt;"",$C$5,IF('設定'!$C$6="","",DATE(YEAR('設定'!$C$6),1,1)))="","",IF($C$5&lt;&gt;"",$C$5,IF('設定'!$C$6="","",DATE(YEAR('設定'!$C$6),1,1)))+366)</f>
        <v/>
      </c>
      <c r="C382" s="67">
        <f>IF($B382="","",CHOOSE(WEEKDAY($B382),"日","月","火","水","木","金","土"))</f>
        <v/>
      </c>
      <c r="D382" s="69" t="n"/>
      <c r="E382" s="69" t="n"/>
      <c r="F382" s="70" t="n"/>
      <c r="G382" s="44">
        <f>IF($B382="","",IF(ISNUMBER($E382),$E382,IF(ISNUMBER($D382),$D382,ROUND(IF(N(IFERROR(INDEX('動員を入れる'!$K$8:$K$14,MATCH($C382,'動員を入れる'!$J$8:$J$14,0)),0))&gt;0,IFERROR(INDEX('動員を入れる'!$K$8:$K$14,MATCH($C382,'動員を入れる'!$J$8:$J$14,0)),0),N('設定'!$C$8)),0))))</f>
        <v/>
      </c>
    </row>
    <row r="383" ht="18" customHeight="1">
      <c r="B383" s="68">
        <f>IF(IF($C$5&lt;&gt;"",$C$5,IF('設定'!$C$6="","",DATE(YEAR('設定'!$C$6),1,1)))="","",IF($C$5&lt;&gt;"",$C$5,IF('設定'!$C$6="","",DATE(YEAR('設定'!$C$6),1,1)))+367)</f>
        <v/>
      </c>
      <c r="C383" s="67">
        <f>IF($B383="","",CHOOSE(WEEKDAY($B383),"日","月","火","水","木","金","土"))</f>
        <v/>
      </c>
      <c r="D383" s="69" t="n"/>
      <c r="E383" s="69" t="n"/>
      <c r="F383" s="70" t="n"/>
      <c r="G383" s="44">
        <f>IF($B383="","",IF(ISNUMBER($E383),$E383,IF(ISNUMBER($D383),$D383,ROUND(IF(N(IFERROR(INDEX('動員を入れる'!$K$8:$K$14,MATCH($C383,'動員を入れる'!$J$8:$J$14,0)),0))&gt;0,IFERROR(INDEX('動員を入れる'!$K$8:$K$14,MATCH($C383,'動員を入れる'!$J$8:$J$14,0)),0),N('設定'!$C$8)),0))))</f>
        <v/>
      </c>
    </row>
    <row r="384" ht="18" customHeight="1">
      <c r="B384" s="68">
        <f>IF(IF($C$5&lt;&gt;"",$C$5,IF('設定'!$C$6="","",DATE(YEAR('設定'!$C$6),1,1)))="","",IF($C$5&lt;&gt;"",$C$5,IF('設定'!$C$6="","",DATE(YEAR('設定'!$C$6),1,1)))+368)</f>
        <v/>
      </c>
      <c r="C384" s="67">
        <f>IF($B384="","",CHOOSE(WEEKDAY($B384),"日","月","火","水","木","金","土"))</f>
        <v/>
      </c>
      <c r="D384" s="69" t="n"/>
      <c r="E384" s="69" t="n"/>
      <c r="F384" s="70" t="n"/>
      <c r="G384" s="44">
        <f>IF($B384="","",IF(ISNUMBER($E384),$E384,IF(ISNUMBER($D384),$D384,ROUND(IF(N(IFERROR(INDEX('動員を入れる'!$K$8:$K$14,MATCH($C384,'動員を入れる'!$J$8:$J$14,0)),0))&gt;0,IFERROR(INDEX('動員を入れる'!$K$8:$K$14,MATCH($C384,'動員を入れる'!$J$8:$J$14,0)),0),N('設定'!$C$8)),0))))</f>
        <v/>
      </c>
    </row>
    <row r="385" ht="18" customHeight="1">
      <c r="B385" s="68">
        <f>IF(IF($C$5&lt;&gt;"",$C$5,IF('設定'!$C$6="","",DATE(YEAR('設定'!$C$6),1,1)))="","",IF($C$5&lt;&gt;"",$C$5,IF('設定'!$C$6="","",DATE(YEAR('設定'!$C$6),1,1)))+369)</f>
        <v/>
      </c>
      <c r="C385" s="67">
        <f>IF($B385="","",CHOOSE(WEEKDAY($B385),"日","月","火","水","木","金","土"))</f>
        <v/>
      </c>
      <c r="D385" s="69" t="n"/>
      <c r="E385" s="69" t="n"/>
      <c r="F385" s="70" t="n"/>
      <c r="G385" s="44">
        <f>IF($B385="","",IF(ISNUMBER($E385),$E385,IF(ISNUMBER($D385),$D385,ROUND(IF(N(IFERROR(INDEX('動員を入れる'!$K$8:$K$14,MATCH($C385,'動員を入れる'!$J$8:$J$14,0)),0))&gt;0,IFERROR(INDEX('動員を入れる'!$K$8:$K$14,MATCH($C385,'動員を入れる'!$J$8:$J$14,0)),0),N('設定'!$C$8)),0))))</f>
        <v/>
      </c>
    </row>
    <row r="386" ht="18" customHeight="1">
      <c r="B386" s="68">
        <f>IF(IF($C$5&lt;&gt;"",$C$5,IF('設定'!$C$6="","",DATE(YEAR('設定'!$C$6),1,1)))="","",IF($C$5&lt;&gt;"",$C$5,IF('設定'!$C$6="","",DATE(YEAR('設定'!$C$6),1,1)))+370)</f>
        <v/>
      </c>
      <c r="C386" s="67">
        <f>IF($B386="","",CHOOSE(WEEKDAY($B386),"日","月","火","水","木","金","土"))</f>
        <v/>
      </c>
      <c r="D386" s="69" t="n"/>
      <c r="E386" s="69" t="n"/>
      <c r="F386" s="70" t="n"/>
      <c r="G386" s="44">
        <f>IF($B386="","",IF(ISNUMBER($E386),$E386,IF(ISNUMBER($D386),$D386,ROUND(IF(N(IFERROR(INDEX('動員を入れる'!$K$8:$K$14,MATCH($C386,'動員を入れる'!$J$8:$J$14,0)),0))&gt;0,IFERROR(INDEX('動員を入れる'!$K$8:$K$14,MATCH($C386,'動員を入れる'!$J$8:$J$14,0)),0),N('設定'!$C$8)),0))))</f>
        <v/>
      </c>
    </row>
    <row r="387" ht="18" customHeight="1">
      <c r="B387" s="68">
        <f>IF(IF($C$5&lt;&gt;"",$C$5,IF('設定'!$C$6="","",DATE(YEAR('設定'!$C$6),1,1)))="","",IF($C$5&lt;&gt;"",$C$5,IF('設定'!$C$6="","",DATE(YEAR('設定'!$C$6),1,1)))+371)</f>
        <v/>
      </c>
      <c r="C387" s="67">
        <f>IF($B387="","",CHOOSE(WEEKDAY($B387),"日","月","火","水","木","金","土"))</f>
        <v/>
      </c>
      <c r="D387" s="69" t="n"/>
      <c r="E387" s="69" t="n"/>
      <c r="F387" s="70" t="n"/>
      <c r="G387" s="44">
        <f>IF($B387="","",IF(ISNUMBER($E387),$E387,IF(ISNUMBER($D387),$D387,ROUND(IF(N(IFERROR(INDEX('動員を入れる'!$K$8:$K$14,MATCH($C387,'動員を入れる'!$J$8:$J$14,0)),0))&gt;0,IFERROR(INDEX('動員を入れる'!$K$8:$K$14,MATCH($C387,'動員を入れる'!$J$8:$J$14,0)),0),N('設定'!$C$8)),0))))</f>
        <v/>
      </c>
    </row>
    <row r="388" ht="18" customHeight="1">
      <c r="B388" s="68">
        <f>IF(IF($C$5&lt;&gt;"",$C$5,IF('設定'!$C$6="","",DATE(YEAR('設定'!$C$6),1,1)))="","",IF($C$5&lt;&gt;"",$C$5,IF('設定'!$C$6="","",DATE(YEAR('設定'!$C$6),1,1)))+372)</f>
        <v/>
      </c>
      <c r="C388" s="67">
        <f>IF($B388="","",CHOOSE(WEEKDAY($B388),"日","月","火","水","木","金","土"))</f>
        <v/>
      </c>
      <c r="D388" s="69" t="n"/>
      <c r="E388" s="69" t="n"/>
      <c r="F388" s="70" t="n"/>
      <c r="G388" s="44">
        <f>IF($B388="","",IF(ISNUMBER($E388),$E388,IF(ISNUMBER($D388),$D388,ROUND(IF(N(IFERROR(INDEX('動員を入れる'!$K$8:$K$14,MATCH($C388,'動員を入れる'!$J$8:$J$14,0)),0))&gt;0,IFERROR(INDEX('動員を入れる'!$K$8:$K$14,MATCH($C388,'動員を入れる'!$J$8:$J$14,0)),0),N('設定'!$C$8)),0))))</f>
        <v/>
      </c>
    </row>
    <row r="389" ht="18" customHeight="1">
      <c r="B389" s="68">
        <f>IF(IF($C$5&lt;&gt;"",$C$5,IF('設定'!$C$6="","",DATE(YEAR('設定'!$C$6),1,1)))="","",IF($C$5&lt;&gt;"",$C$5,IF('設定'!$C$6="","",DATE(YEAR('設定'!$C$6),1,1)))+373)</f>
        <v/>
      </c>
      <c r="C389" s="67">
        <f>IF($B389="","",CHOOSE(WEEKDAY($B389),"日","月","火","水","木","金","土"))</f>
        <v/>
      </c>
      <c r="D389" s="69" t="n"/>
      <c r="E389" s="69" t="n"/>
      <c r="F389" s="70" t="n"/>
      <c r="G389" s="44">
        <f>IF($B389="","",IF(ISNUMBER($E389),$E389,IF(ISNUMBER($D389),$D389,ROUND(IF(N(IFERROR(INDEX('動員を入れる'!$K$8:$K$14,MATCH($C389,'動員を入れる'!$J$8:$J$14,0)),0))&gt;0,IFERROR(INDEX('動員を入れる'!$K$8:$K$14,MATCH($C389,'動員を入れる'!$J$8:$J$14,0)),0),N('設定'!$C$8)),0))))</f>
        <v/>
      </c>
    </row>
    <row r="390" ht="18" customHeight="1">
      <c r="B390" s="68">
        <f>IF(IF($C$5&lt;&gt;"",$C$5,IF('設定'!$C$6="","",DATE(YEAR('設定'!$C$6),1,1)))="","",IF($C$5&lt;&gt;"",$C$5,IF('設定'!$C$6="","",DATE(YEAR('設定'!$C$6),1,1)))+374)</f>
        <v/>
      </c>
      <c r="C390" s="67">
        <f>IF($B390="","",CHOOSE(WEEKDAY($B390),"日","月","火","水","木","金","土"))</f>
        <v/>
      </c>
      <c r="D390" s="69" t="n"/>
      <c r="E390" s="69" t="n"/>
      <c r="F390" s="70" t="n"/>
      <c r="G390" s="44">
        <f>IF($B390="","",IF(ISNUMBER($E390),$E390,IF(ISNUMBER($D390),$D390,ROUND(IF(N(IFERROR(INDEX('動員を入れる'!$K$8:$K$14,MATCH($C390,'動員を入れる'!$J$8:$J$14,0)),0))&gt;0,IFERROR(INDEX('動員を入れる'!$K$8:$K$14,MATCH($C390,'動員を入れる'!$J$8:$J$14,0)),0),N('設定'!$C$8)),0))))</f>
        <v/>
      </c>
    </row>
    <row r="391" ht="18" customHeight="1">
      <c r="B391" s="68">
        <f>IF(IF($C$5&lt;&gt;"",$C$5,IF('設定'!$C$6="","",DATE(YEAR('設定'!$C$6),1,1)))="","",IF($C$5&lt;&gt;"",$C$5,IF('設定'!$C$6="","",DATE(YEAR('設定'!$C$6),1,1)))+375)</f>
        <v/>
      </c>
      <c r="C391" s="67">
        <f>IF($B391="","",CHOOSE(WEEKDAY($B391),"日","月","火","水","木","金","土"))</f>
        <v/>
      </c>
      <c r="D391" s="69" t="n"/>
      <c r="E391" s="69" t="n"/>
      <c r="F391" s="70" t="n"/>
      <c r="G391" s="44">
        <f>IF($B391="","",IF(ISNUMBER($E391),$E391,IF(ISNUMBER($D391),$D391,ROUND(IF(N(IFERROR(INDEX('動員を入れる'!$K$8:$K$14,MATCH($C391,'動員を入れる'!$J$8:$J$14,0)),0))&gt;0,IFERROR(INDEX('動員を入れる'!$K$8:$K$14,MATCH($C391,'動員を入れる'!$J$8:$J$14,0)),0),N('設定'!$C$8)),0))))</f>
        <v/>
      </c>
    </row>
    <row r="392" ht="18" customHeight="1">
      <c r="B392" s="68">
        <f>IF(IF($C$5&lt;&gt;"",$C$5,IF('設定'!$C$6="","",DATE(YEAR('設定'!$C$6),1,1)))="","",IF($C$5&lt;&gt;"",$C$5,IF('設定'!$C$6="","",DATE(YEAR('設定'!$C$6),1,1)))+376)</f>
        <v/>
      </c>
      <c r="C392" s="67">
        <f>IF($B392="","",CHOOSE(WEEKDAY($B392),"日","月","火","水","木","金","土"))</f>
        <v/>
      </c>
      <c r="D392" s="69" t="n"/>
      <c r="E392" s="69" t="n"/>
      <c r="F392" s="70" t="n"/>
      <c r="G392" s="44">
        <f>IF($B392="","",IF(ISNUMBER($E392),$E392,IF(ISNUMBER($D392),$D392,ROUND(IF(N(IFERROR(INDEX('動員を入れる'!$K$8:$K$14,MATCH($C392,'動員を入れる'!$J$8:$J$14,0)),0))&gt;0,IFERROR(INDEX('動員を入れる'!$K$8:$K$14,MATCH($C392,'動員を入れる'!$J$8:$J$14,0)),0),N('設定'!$C$8)),0))))</f>
        <v/>
      </c>
    </row>
    <row r="393" ht="18" customHeight="1">
      <c r="B393" s="68">
        <f>IF(IF($C$5&lt;&gt;"",$C$5,IF('設定'!$C$6="","",DATE(YEAR('設定'!$C$6),1,1)))="","",IF($C$5&lt;&gt;"",$C$5,IF('設定'!$C$6="","",DATE(YEAR('設定'!$C$6),1,1)))+377)</f>
        <v/>
      </c>
      <c r="C393" s="67">
        <f>IF($B393="","",CHOOSE(WEEKDAY($B393),"日","月","火","水","木","金","土"))</f>
        <v/>
      </c>
      <c r="D393" s="69" t="n"/>
      <c r="E393" s="69" t="n"/>
      <c r="F393" s="70" t="n"/>
      <c r="G393" s="44">
        <f>IF($B393="","",IF(ISNUMBER($E393),$E393,IF(ISNUMBER($D393),$D393,ROUND(IF(N(IFERROR(INDEX('動員を入れる'!$K$8:$K$14,MATCH($C393,'動員を入れる'!$J$8:$J$14,0)),0))&gt;0,IFERROR(INDEX('動員を入れる'!$K$8:$K$14,MATCH($C393,'動員を入れる'!$J$8:$J$14,0)),0),N('設定'!$C$8)),0))))</f>
        <v/>
      </c>
    </row>
    <row r="394" ht="18" customHeight="1">
      <c r="B394" s="68">
        <f>IF(IF($C$5&lt;&gt;"",$C$5,IF('設定'!$C$6="","",DATE(YEAR('設定'!$C$6),1,1)))="","",IF($C$5&lt;&gt;"",$C$5,IF('設定'!$C$6="","",DATE(YEAR('設定'!$C$6),1,1)))+378)</f>
        <v/>
      </c>
      <c r="C394" s="67">
        <f>IF($B394="","",CHOOSE(WEEKDAY($B394),"日","月","火","水","木","金","土"))</f>
        <v/>
      </c>
      <c r="D394" s="69" t="n"/>
      <c r="E394" s="69" t="n"/>
      <c r="F394" s="70" t="n"/>
      <c r="G394" s="44">
        <f>IF($B394="","",IF(ISNUMBER($E394),$E394,IF(ISNUMBER($D394),$D394,ROUND(IF(N(IFERROR(INDEX('動員を入れる'!$K$8:$K$14,MATCH($C394,'動員を入れる'!$J$8:$J$14,0)),0))&gt;0,IFERROR(INDEX('動員を入れる'!$K$8:$K$14,MATCH($C394,'動員を入れる'!$J$8:$J$14,0)),0),N('設定'!$C$8)),0))))</f>
        <v/>
      </c>
    </row>
    <row r="395" ht="18" customHeight="1">
      <c r="B395" s="68">
        <f>IF(IF($C$5&lt;&gt;"",$C$5,IF('設定'!$C$6="","",DATE(YEAR('設定'!$C$6),1,1)))="","",IF($C$5&lt;&gt;"",$C$5,IF('設定'!$C$6="","",DATE(YEAR('設定'!$C$6),1,1)))+379)</f>
        <v/>
      </c>
      <c r="C395" s="67">
        <f>IF($B395="","",CHOOSE(WEEKDAY($B395),"日","月","火","水","木","金","土"))</f>
        <v/>
      </c>
      <c r="D395" s="69" t="n"/>
      <c r="E395" s="69" t="n"/>
      <c r="F395" s="70" t="n"/>
      <c r="G395" s="44">
        <f>IF($B395="","",IF(ISNUMBER($E395),$E395,IF(ISNUMBER($D395),$D395,ROUND(IF(N(IFERROR(INDEX('動員を入れる'!$K$8:$K$14,MATCH($C395,'動員を入れる'!$J$8:$J$14,0)),0))&gt;0,IFERROR(INDEX('動員を入れる'!$K$8:$K$14,MATCH($C395,'動員を入れる'!$J$8:$J$14,0)),0),N('設定'!$C$8)),0))))</f>
        <v/>
      </c>
    </row>
    <row r="396" ht="18" customHeight="1">
      <c r="B396" s="68">
        <f>IF(IF($C$5&lt;&gt;"",$C$5,IF('設定'!$C$6="","",DATE(YEAR('設定'!$C$6),1,1)))="","",IF($C$5&lt;&gt;"",$C$5,IF('設定'!$C$6="","",DATE(YEAR('設定'!$C$6),1,1)))+380)</f>
        <v/>
      </c>
      <c r="C396" s="67">
        <f>IF($B396="","",CHOOSE(WEEKDAY($B396),"日","月","火","水","木","金","土"))</f>
        <v/>
      </c>
      <c r="D396" s="69" t="n"/>
      <c r="E396" s="69" t="n"/>
      <c r="F396" s="70" t="n"/>
      <c r="G396" s="44">
        <f>IF($B396="","",IF(ISNUMBER($E396),$E396,IF(ISNUMBER($D396),$D396,ROUND(IF(N(IFERROR(INDEX('動員を入れる'!$K$8:$K$14,MATCH($C396,'動員を入れる'!$J$8:$J$14,0)),0))&gt;0,IFERROR(INDEX('動員を入れる'!$K$8:$K$14,MATCH($C396,'動員を入れる'!$J$8:$J$14,0)),0),N('設定'!$C$8)),0))))</f>
        <v/>
      </c>
    </row>
    <row r="397" ht="18" customHeight="1">
      <c r="B397" s="68">
        <f>IF(IF($C$5&lt;&gt;"",$C$5,IF('設定'!$C$6="","",DATE(YEAR('設定'!$C$6),1,1)))="","",IF($C$5&lt;&gt;"",$C$5,IF('設定'!$C$6="","",DATE(YEAR('設定'!$C$6),1,1)))+381)</f>
        <v/>
      </c>
      <c r="C397" s="67">
        <f>IF($B397="","",CHOOSE(WEEKDAY($B397),"日","月","火","水","木","金","土"))</f>
        <v/>
      </c>
      <c r="D397" s="69" t="n"/>
      <c r="E397" s="69" t="n"/>
      <c r="F397" s="70" t="n"/>
      <c r="G397" s="44">
        <f>IF($B397="","",IF(ISNUMBER($E397),$E397,IF(ISNUMBER($D397),$D397,ROUND(IF(N(IFERROR(INDEX('動員を入れる'!$K$8:$K$14,MATCH($C397,'動員を入れる'!$J$8:$J$14,0)),0))&gt;0,IFERROR(INDEX('動員を入れる'!$K$8:$K$14,MATCH($C397,'動員を入れる'!$J$8:$J$14,0)),0),N('設定'!$C$8)),0))))</f>
        <v/>
      </c>
    </row>
    <row r="398" ht="18" customHeight="1">
      <c r="B398" s="68">
        <f>IF(IF($C$5&lt;&gt;"",$C$5,IF('設定'!$C$6="","",DATE(YEAR('設定'!$C$6),1,1)))="","",IF($C$5&lt;&gt;"",$C$5,IF('設定'!$C$6="","",DATE(YEAR('設定'!$C$6),1,1)))+382)</f>
        <v/>
      </c>
      <c r="C398" s="67">
        <f>IF($B398="","",CHOOSE(WEEKDAY($B398),"日","月","火","水","木","金","土"))</f>
        <v/>
      </c>
      <c r="D398" s="69" t="n"/>
      <c r="E398" s="69" t="n"/>
      <c r="F398" s="70" t="n"/>
      <c r="G398" s="44">
        <f>IF($B398="","",IF(ISNUMBER($E398),$E398,IF(ISNUMBER($D398),$D398,ROUND(IF(N(IFERROR(INDEX('動員を入れる'!$K$8:$K$14,MATCH($C398,'動員を入れる'!$J$8:$J$14,0)),0))&gt;0,IFERROR(INDEX('動員を入れる'!$K$8:$K$14,MATCH($C398,'動員を入れる'!$J$8:$J$14,0)),0),N('設定'!$C$8)),0))))</f>
        <v/>
      </c>
    </row>
    <row r="399" ht="18" customHeight="1">
      <c r="B399" s="68">
        <f>IF(IF($C$5&lt;&gt;"",$C$5,IF('設定'!$C$6="","",DATE(YEAR('設定'!$C$6),1,1)))="","",IF($C$5&lt;&gt;"",$C$5,IF('設定'!$C$6="","",DATE(YEAR('設定'!$C$6),1,1)))+383)</f>
        <v/>
      </c>
      <c r="C399" s="67">
        <f>IF($B399="","",CHOOSE(WEEKDAY($B399),"日","月","火","水","木","金","土"))</f>
        <v/>
      </c>
      <c r="D399" s="69" t="n"/>
      <c r="E399" s="69" t="n"/>
      <c r="F399" s="70" t="n"/>
      <c r="G399" s="44">
        <f>IF($B399="","",IF(ISNUMBER($E399),$E399,IF(ISNUMBER($D399),$D399,ROUND(IF(N(IFERROR(INDEX('動員を入れる'!$K$8:$K$14,MATCH($C399,'動員を入れる'!$J$8:$J$14,0)),0))&gt;0,IFERROR(INDEX('動員を入れる'!$K$8:$K$14,MATCH($C399,'動員を入れる'!$J$8:$J$14,0)),0),N('設定'!$C$8)),0))))</f>
        <v/>
      </c>
    </row>
    <row r="400" ht="18" customHeight="1">
      <c r="B400" s="68">
        <f>IF(IF($C$5&lt;&gt;"",$C$5,IF('設定'!$C$6="","",DATE(YEAR('設定'!$C$6),1,1)))="","",IF($C$5&lt;&gt;"",$C$5,IF('設定'!$C$6="","",DATE(YEAR('設定'!$C$6),1,1)))+384)</f>
        <v/>
      </c>
      <c r="C400" s="67">
        <f>IF($B400="","",CHOOSE(WEEKDAY($B400),"日","月","火","水","木","金","土"))</f>
        <v/>
      </c>
      <c r="D400" s="69" t="n"/>
      <c r="E400" s="69" t="n"/>
      <c r="F400" s="70" t="n"/>
      <c r="G400" s="44">
        <f>IF($B400="","",IF(ISNUMBER($E400),$E400,IF(ISNUMBER($D400),$D400,ROUND(IF(N(IFERROR(INDEX('動員を入れる'!$K$8:$K$14,MATCH($C400,'動員を入れる'!$J$8:$J$14,0)),0))&gt;0,IFERROR(INDEX('動員を入れる'!$K$8:$K$14,MATCH($C400,'動員を入れる'!$J$8:$J$14,0)),0),N('設定'!$C$8)),0))))</f>
        <v/>
      </c>
    </row>
    <row r="401" ht="18" customHeight="1">
      <c r="B401" s="68">
        <f>IF(IF($C$5&lt;&gt;"",$C$5,IF('設定'!$C$6="","",DATE(YEAR('設定'!$C$6),1,1)))="","",IF($C$5&lt;&gt;"",$C$5,IF('設定'!$C$6="","",DATE(YEAR('設定'!$C$6),1,1)))+385)</f>
        <v/>
      </c>
      <c r="C401" s="67">
        <f>IF($B401="","",CHOOSE(WEEKDAY($B401),"日","月","火","水","木","金","土"))</f>
        <v/>
      </c>
      <c r="D401" s="69" t="n"/>
      <c r="E401" s="69" t="n"/>
      <c r="F401" s="70" t="n"/>
      <c r="G401" s="44">
        <f>IF($B401="","",IF(ISNUMBER($E401),$E401,IF(ISNUMBER($D401),$D401,ROUND(IF(N(IFERROR(INDEX('動員を入れる'!$K$8:$K$14,MATCH($C401,'動員を入れる'!$J$8:$J$14,0)),0))&gt;0,IFERROR(INDEX('動員を入れる'!$K$8:$K$14,MATCH($C401,'動員を入れる'!$J$8:$J$14,0)),0),N('設定'!$C$8)),0))))</f>
        <v/>
      </c>
    </row>
    <row r="402" ht="18" customHeight="1">
      <c r="B402" s="68">
        <f>IF(IF($C$5&lt;&gt;"",$C$5,IF('設定'!$C$6="","",DATE(YEAR('設定'!$C$6),1,1)))="","",IF($C$5&lt;&gt;"",$C$5,IF('設定'!$C$6="","",DATE(YEAR('設定'!$C$6),1,1)))+386)</f>
        <v/>
      </c>
      <c r="C402" s="67">
        <f>IF($B402="","",CHOOSE(WEEKDAY($B402),"日","月","火","水","木","金","土"))</f>
        <v/>
      </c>
      <c r="D402" s="69" t="n"/>
      <c r="E402" s="69" t="n"/>
      <c r="F402" s="70" t="n"/>
      <c r="G402" s="44">
        <f>IF($B402="","",IF(ISNUMBER($E402),$E402,IF(ISNUMBER($D402),$D402,ROUND(IF(N(IFERROR(INDEX('動員を入れる'!$K$8:$K$14,MATCH($C402,'動員を入れる'!$J$8:$J$14,0)),0))&gt;0,IFERROR(INDEX('動員を入れる'!$K$8:$K$14,MATCH($C402,'動員を入れる'!$J$8:$J$14,0)),0),N('設定'!$C$8)),0))))</f>
        <v/>
      </c>
    </row>
    <row r="403" ht="18" customHeight="1">
      <c r="B403" s="68">
        <f>IF(IF($C$5&lt;&gt;"",$C$5,IF('設定'!$C$6="","",DATE(YEAR('設定'!$C$6),1,1)))="","",IF($C$5&lt;&gt;"",$C$5,IF('設定'!$C$6="","",DATE(YEAR('設定'!$C$6),1,1)))+387)</f>
        <v/>
      </c>
      <c r="C403" s="67">
        <f>IF($B403="","",CHOOSE(WEEKDAY($B403),"日","月","火","水","木","金","土"))</f>
        <v/>
      </c>
      <c r="D403" s="69" t="n"/>
      <c r="E403" s="69" t="n"/>
      <c r="F403" s="70" t="n"/>
      <c r="G403" s="44">
        <f>IF($B403="","",IF(ISNUMBER($E403),$E403,IF(ISNUMBER($D403),$D403,ROUND(IF(N(IFERROR(INDEX('動員を入れる'!$K$8:$K$14,MATCH($C403,'動員を入れる'!$J$8:$J$14,0)),0))&gt;0,IFERROR(INDEX('動員を入れる'!$K$8:$K$14,MATCH($C403,'動員を入れる'!$J$8:$J$14,0)),0),N('設定'!$C$8)),0))))</f>
        <v/>
      </c>
    </row>
    <row r="404" ht="18" customHeight="1">
      <c r="B404" s="68">
        <f>IF(IF($C$5&lt;&gt;"",$C$5,IF('設定'!$C$6="","",DATE(YEAR('設定'!$C$6),1,1)))="","",IF($C$5&lt;&gt;"",$C$5,IF('設定'!$C$6="","",DATE(YEAR('設定'!$C$6),1,1)))+388)</f>
        <v/>
      </c>
      <c r="C404" s="67">
        <f>IF($B404="","",CHOOSE(WEEKDAY($B404),"日","月","火","水","木","金","土"))</f>
        <v/>
      </c>
      <c r="D404" s="69" t="n"/>
      <c r="E404" s="69" t="n"/>
      <c r="F404" s="70" t="n"/>
      <c r="G404" s="44">
        <f>IF($B404="","",IF(ISNUMBER($E404),$E404,IF(ISNUMBER($D404),$D404,ROUND(IF(N(IFERROR(INDEX('動員を入れる'!$K$8:$K$14,MATCH($C404,'動員を入れる'!$J$8:$J$14,0)),0))&gt;0,IFERROR(INDEX('動員を入れる'!$K$8:$K$14,MATCH($C404,'動員を入れる'!$J$8:$J$14,0)),0),N('設定'!$C$8)),0))))</f>
        <v/>
      </c>
    </row>
    <row r="405" ht="18" customHeight="1">
      <c r="B405" s="68">
        <f>IF(IF($C$5&lt;&gt;"",$C$5,IF('設定'!$C$6="","",DATE(YEAR('設定'!$C$6),1,1)))="","",IF($C$5&lt;&gt;"",$C$5,IF('設定'!$C$6="","",DATE(YEAR('設定'!$C$6),1,1)))+389)</f>
        <v/>
      </c>
      <c r="C405" s="67">
        <f>IF($B405="","",CHOOSE(WEEKDAY($B405),"日","月","火","水","木","金","土"))</f>
        <v/>
      </c>
      <c r="D405" s="69" t="n"/>
      <c r="E405" s="69" t="n"/>
      <c r="F405" s="70" t="n"/>
      <c r="G405" s="44">
        <f>IF($B405="","",IF(ISNUMBER($E405),$E405,IF(ISNUMBER($D405),$D405,ROUND(IF(N(IFERROR(INDEX('動員を入れる'!$K$8:$K$14,MATCH($C405,'動員を入れる'!$J$8:$J$14,0)),0))&gt;0,IFERROR(INDEX('動員を入れる'!$K$8:$K$14,MATCH($C405,'動員を入れる'!$J$8:$J$14,0)),0),N('設定'!$C$8)),0))))</f>
        <v/>
      </c>
    </row>
    <row r="406" ht="18" customHeight="1">
      <c r="B406" s="68">
        <f>IF(IF($C$5&lt;&gt;"",$C$5,IF('設定'!$C$6="","",DATE(YEAR('設定'!$C$6),1,1)))="","",IF($C$5&lt;&gt;"",$C$5,IF('設定'!$C$6="","",DATE(YEAR('設定'!$C$6),1,1)))+390)</f>
        <v/>
      </c>
      <c r="C406" s="67">
        <f>IF($B406="","",CHOOSE(WEEKDAY($B406),"日","月","火","水","木","金","土"))</f>
        <v/>
      </c>
      <c r="D406" s="69" t="n"/>
      <c r="E406" s="69" t="n"/>
      <c r="F406" s="70" t="n"/>
      <c r="G406" s="44">
        <f>IF($B406="","",IF(ISNUMBER($E406),$E406,IF(ISNUMBER($D406),$D406,ROUND(IF(N(IFERROR(INDEX('動員を入れる'!$K$8:$K$14,MATCH($C406,'動員を入れる'!$J$8:$J$14,0)),0))&gt;0,IFERROR(INDEX('動員を入れる'!$K$8:$K$14,MATCH($C406,'動員を入れる'!$J$8:$J$14,0)),0),N('設定'!$C$8)),0))))</f>
        <v/>
      </c>
    </row>
    <row r="407" ht="18" customHeight="1">
      <c r="B407" s="68">
        <f>IF(IF($C$5&lt;&gt;"",$C$5,IF('設定'!$C$6="","",DATE(YEAR('設定'!$C$6),1,1)))="","",IF($C$5&lt;&gt;"",$C$5,IF('設定'!$C$6="","",DATE(YEAR('設定'!$C$6),1,1)))+391)</f>
        <v/>
      </c>
      <c r="C407" s="67">
        <f>IF($B407="","",CHOOSE(WEEKDAY($B407),"日","月","火","水","木","金","土"))</f>
        <v/>
      </c>
      <c r="D407" s="69" t="n"/>
      <c r="E407" s="69" t="n"/>
      <c r="F407" s="70" t="n"/>
      <c r="G407" s="44">
        <f>IF($B407="","",IF(ISNUMBER($E407),$E407,IF(ISNUMBER($D407),$D407,ROUND(IF(N(IFERROR(INDEX('動員を入れる'!$K$8:$K$14,MATCH($C407,'動員を入れる'!$J$8:$J$14,0)),0))&gt;0,IFERROR(INDEX('動員を入れる'!$K$8:$K$14,MATCH($C407,'動員を入れる'!$J$8:$J$14,0)),0),N('設定'!$C$8)),0))))</f>
        <v/>
      </c>
    </row>
    <row r="408" ht="18" customHeight="1">
      <c r="B408" s="68">
        <f>IF(IF($C$5&lt;&gt;"",$C$5,IF('設定'!$C$6="","",DATE(YEAR('設定'!$C$6),1,1)))="","",IF($C$5&lt;&gt;"",$C$5,IF('設定'!$C$6="","",DATE(YEAR('設定'!$C$6),1,1)))+392)</f>
        <v/>
      </c>
      <c r="C408" s="67">
        <f>IF($B408="","",CHOOSE(WEEKDAY($B408),"日","月","火","水","木","金","土"))</f>
        <v/>
      </c>
      <c r="D408" s="69" t="n"/>
      <c r="E408" s="69" t="n"/>
      <c r="F408" s="70" t="n"/>
      <c r="G408" s="44">
        <f>IF($B408="","",IF(ISNUMBER($E408),$E408,IF(ISNUMBER($D408),$D408,ROUND(IF(N(IFERROR(INDEX('動員を入れる'!$K$8:$K$14,MATCH($C408,'動員を入れる'!$J$8:$J$14,0)),0))&gt;0,IFERROR(INDEX('動員を入れる'!$K$8:$K$14,MATCH($C408,'動員を入れる'!$J$8:$J$14,0)),0),N('設定'!$C$8)),0))))</f>
        <v/>
      </c>
    </row>
    <row r="409" ht="18" customHeight="1">
      <c r="B409" s="68">
        <f>IF(IF($C$5&lt;&gt;"",$C$5,IF('設定'!$C$6="","",DATE(YEAR('設定'!$C$6),1,1)))="","",IF($C$5&lt;&gt;"",$C$5,IF('設定'!$C$6="","",DATE(YEAR('設定'!$C$6),1,1)))+393)</f>
        <v/>
      </c>
      <c r="C409" s="67">
        <f>IF($B409="","",CHOOSE(WEEKDAY($B409),"日","月","火","水","木","金","土"))</f>
        <v/>
      </c>
      <c r="D409" s="69" t="n"/>
      <c r="E409" s="69" t="n"/>
      <c r="F409" s="70" t="n"/>
      <c r="G409" s="44">
        <f>IF($B409="","",IF(ISNUMBER($E409),$E409,IF(ISNUMBER($D409),$D409,ROUND(IF(N(IFERROR(INDEX('動員を入れる'!$K$8:$K$14,MATCH($C409,'動員を入れる'!$J$8:$J$14,0)),0))&gt;0,IFERROR(INDEX('動員を入れる'!$K$8:$K$14,MATCH($C409,'動員を入れる'!$J$8:$J$14,0)),0),N('設定'!$C$8)),0))))</f>
        <v/>
      </c>
    </row>
    <row r="410" ht="18" customHeight="1">
      <c r="B410" s="68">
        <f>IF(IF($C$5&lt;&gt;"",$C$5,IF('設定'!$C$6="","",DATE(YEAR('設定'!$C$6),1,1)))="","",IF($C$5&lt;&gt;"",$C$5,IF('設定'!$C$6="","",DATE(YEAR('設定'!$C$6),1,1)))+394)</f>
        <v/>
      </c>
      <c r="C410" s="67">
        <f>IF($B410="","",CHOOSE(WEEKDAY($B410),"日","月","火","水","木","金","土"))</f>
        <v/>
      </c>
      <c r="D410" s="69" t="n"/>
      <c r="E410" s="69" t="n"/>
      <c r="F410" s="70" t="n"/>
      <c r="G410" s="44">
        <f>IF($B410="","",IF(ISNUMBER($E410),$E410,IF(ISNUMBER($D410),$D410,ROUND(IF(N(IFERROR(INDEX('動員を入れる'!$K$8:$K$14,MATCH($C410,'動員を入れる'!$J$8:$J$14,0)),0))&gt;0,IFERROR(INDEX('動員を入れる'!$K$8:$K$14,MATCH($C410,'動員を入れる'!$J$8:$J$14,0)),0),N('設定'!$C$8)),0))))</f>
        <v/>
      </c>
    </row>
    <row r="411" ht="18" customHeight="1">
      <c r="B411" s="68">
        <f>IF(IF($C$5&lt;&gt;"",$C$5,IF('設定'!$C$6="","",DATE(YEAR('設定'!$C$6),1,1)))="","",IF($C$5&lt;&gt;"",$C$5,IF('設定'!$C$6="","",DATE(YEAR('設定'!$C$6),1,1)))+395)</f>
        <v/>
      </c>
      <c r="C411" s="67">
        <f>IF($B411="","",CHOOSE(WEEKDAY($B411),"日","月","火","水","木","金","土"))</f>
        <v/>
      </c>
      <c r="D411" s="69" t="n"/>
      <c r="E411" s="69" t="n"/>
      <c r="F411" s="70" t="n"/>
      <c r="G411" s="44">
        <f>IF($B411="","",IF(ISNUMBER($E411),$E411,IF(ISNUMBER($D411),$D411,ROUND(IF(N(IFERROR(INDEX('動員を入れる'!$K$8:$K$14,MATCH($C411,'動員を入れる'!$J$8:$J$14,0)),0))&gt;0,IFERROR(INDEX('動員を入れる'!$K$8:$K$14,MATCH($C411,'動員を入れる'!$J$8:$J$14,0)),0),N('設定'!$C$8)),0))))</f>
        <v/>
      </c>
    </row>
    <row r="412" ht="18" customHeight="1">
      <c r="B412" s="68">
        <f>IF(IF($C$5&lt;&gt;"",$C$5,IF('設定'!$C$6="","",DATE(YEAR('設定'!$C$6),1,1)))="","",IF($C$5&lt;&gt;"",$C$5,IF('設定'!$C$6="","",DATE(YEAR('設定'!$C$6),1,1)))+396)</f>
        <v/>
      </c>
      <c r="C412" s="67">
        <f>IF($B412="","",CHOOSE(WEEKDAY($B412),"日","月","火","水","木","金","土"))</f>
        <v/>
      </c>
      <c r="D412" s="69" t="n"/>
      <c r="E412" s="69" t="n"/>
      <c r="F412" s="70" t="n"/>
      <c r="G412" s="44">
        <f>IF($B412="","",IF(ISNUMBER($E412),$E412,IF(ISNUMBER($D412),$D412,ROUND(IF(N(IFERROR(INDEX('動員を入れる'!$K$8:$K$14,MATCH($C412,'動員を入れる'!$J$8:$J$14,0)),0))&gt;0,IFERROR(INDEX('動員を入れる'!$K$8:$K$14,MATCH($C412,'動員を入れる'!$J$8:$J$14,0)),0),N('設定'!$C$8)),0))))</f>
        <v/>
      </c>
    </row>
    <row r="413" ht="18" customHeight="1">
      <c r="B413" s="68">
        <f>IF(IF($C$5&lt;&gt;"",$C$5,IF('設定'!$C$6="","",DATE(YEAR('設定'!$C$6),1,1)))="","",IF($C$5&lt;&gt;"",$C$5,IF('設定'!$C$6="","",DATE(YEAR('設定'!$C$6),1,1)))+397)</f>
        <v/>
      </c>
      <c r="C413" s="67">
        <f>IF($B413="","",CHOOSE(WEEKDAY($B413),"日","月","火","水","木","金","土"))</f>
        <v/>
      </c>
      <c r="D413" s="69" t="n"/>
      <c r="E413" s="69" t="n"/>
      <c r="F413" s="70" t="n"/>
      <c r="G413" s="44">
        <f>IF($B413="","",IF(ISNUMBER($E413),$E413,IF(ISNUMBER($D413),$D413,ROUND(IF(N(IFERROR(INDEX('動員を入れる'!$K$8:$K$14,MATCH($C413,'動員を入れる'!$J$8:$J$14,0)),0))&gt;0,IFERROR(INDEX('動員を入れる'!$K$8:$K$14,MATCH($C413,'動員を入れる'!$J$8:$J$14,0)),0),N('設定'!$C$8)),0))))</f>
        <v/>
      </c>
    </row>
    <row r="414" ht="18" customHeight="1">
      <c r="B414" s="68">
        <f>IF(IF($C$5&lt;&gt;"",$C$5,IF('設定'!$C$6="","",DATE(YEAR('設定'!$C$6),1,1)))="","",IF($C$5&lt;&gt;"",$C$5,IF('設定'!$C$6="","",DATE(YEAR('設定'!$C$6),1,1)))+398)</f>
        <v/>
      </c>
      <c r="C414" s="67">
        <f>IF($B414="","",CHOOSE(WEEKDAY($B414),"日","月","火","水","木","金","土"))</f>
        <v/>
      </c>
      <c r="D414" s="69" t="n"/>
      <c r="E414" s="69" t="n"/>
      <c r="F414" s="70" t="n"/>
      <c r="G414" s="44">
        <f>IF($B414="","",IF(ISNUMBER($E414),$E414,IF(ISNUMBER($D414),$D414,ROUND(IF(N(IFERROR(INDEX('動員を入れる'!$K$8:$K$14,MATCH($C414,'動員を入れる'!$J$8:$J$14,0)),0))&gt;0,IFERROR(INDEX('動員を入れる'!$K$8:$K$14,MATCH($C414,'動員を入れる'!$J$8:$J$14,0)),0),N('設定'!$C$8)),0))))</f>
        <v/>
      </c>
    </row>
    <row r="415" ht="18" customHeight="1">
      <c r="B415" s="68">
        <f>IF(IF($C$5&lt;&gt;"",$C$5,IF('設定'!$C$6="","",DATE(YEAR('設定'!$C$6),1,1)))="","",IF($C$5&lt;&gt;"",$C$5,IF('設定'!$C$6="","",DATE(YEAR('設定'!$C$6),1,1)))+399)</f>
        <v/>
      </c>
      <c r="C415" s="67">
        <f>IF($B415="","",CHOOSE(WEEKDAY($B415),"日","月","火","水","木","金","土"))</f>
        <v/>
      </c>
      <c r="D415" s="69" t="n"/>
      <c r="E415" s="69" t="n"/>
      <c r="F415" s="70" t="n"/>
      <c r="G415" s="44">
        <f>IF($B415="","",IF(ISNUMBER($E415),$E415,IF(ISNUMBER($D415),$D415,ROUND(IF(N(IFERROR(INDEX('動員を入れる'!$K$8:$K$14,MATCH($C415,'動員を入れる'!$J$8:$J$14,0)),0))&gt;0,IFERROR(INDEX('動員を入れる'!$K$8:$K$14,MATCH($C415,'動員を入れる'!$J$8:$J$14,0)),0),N('設定'!$C$8)),0)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1:O1"/>
    <mergeCell ref="C5:D5"/>
  </mergeCells>
  <conditionalFormatting sqref="B16:G415">
    <cfRule type="expression" priority="1" dxfId="18" stopIfTrue="0">
      <formula>AND($B16&lt;&gt;"",$B16&gt;='設定'!$C$6,$B16&lt;='設定'!$C$6+13)</formula>
    </cfRule>
    <cfRule type="expression" priority="2" dxfId="19" stopIfTrue="0">
      <formula>AND($B16&lt;&gt;"",OR(WEEKDAY($B16)=1,WEEKDAY($B16)=7))</formula>
    </cfRule>
  </conditionalFormatting>
  <conditionalFormatting sqref="E16:E415">
    <cfRule type="expression" priority="3" dxfId="20" stopIfTrue="1">
      <formula>AND($B16&lt;&gt;"",$B16&lt;'設定'!$C$6,$E16="")</formula>
    </cfRule>
  </conditionalFormatting>
  <dataValidations count="2">
    <dataValidation sqref="C5" showDropDown="0" showInputMessage="0" showErrorMessage="1" allowBlank="0" errorTitle="開始日" error="日付を入れてください（例 2026/1/1）。" type="date" operator="greaterThan">
      <formula1>DATE(2020,1,1)</formula1>
    </dataValidation>
    <dataValidation sqref="D16:E415" showDropDown="0" showInputMessage="0" showErrorMessage="1" allowBlank="0" errorTitle="動員" error="来場者数を整数で入れてください。" promptTitle="動員" type="whole" operator="between">
      <formula1>0</formula1>
      <formula2>100000</formula2>
    </dataValidation>
  </dataValidations>
  <hyperlinks>
    <hyperlink ref="P1" location="'ホーム'!A1" display="◀ ホーム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795A"/>
    <outlinePr summaryBelow="1" summaryRight="1"/>
    <pageSetUpPr/>
  </sheetPr>
  <dimension ref="B1:F46"/>
  <sheetViews>
    <sheetView showGridLines="0" workbookViewId="0">
      <selection activeCell="A1" sqref="A1"/>
    </sheetView>
  </sheetViews>
  <sheetFormatPr baseColWidth="8" defaultRowHeight="15"/>
  <cols>
    <col width="3.24" customWidth="1" min="2" max="2"/>
    <col width="28.08" customWidth="1" min="3" max="3"/>
    <col width="103.68" customWidth="1" min="4" max="4"/>
  </cols>
  <sheetData>
    <row r="1" ht="24" customHeight="1">
      <c r="B1" s="1" t="inlineStr">
        <is>
          <t xml:space="preserve">  つかいかた</t>
        </is>
      </c>
      <c r="C1" s="2" t="n"/>
      <c r="D1" s="2" t="n"/>
      <c r="E1" s="2" t="n"/>
      <c r="F1" s="20" t="inlineStr">
        <is>
          <t xml:space="preserve">◀ ホーム  </t>
        </is>
      </c>
    </row>
    <row r="2" ht="30" customHeight="1">
      <c r="B2" s="21" t="inlineStr">
        <is>
          <t>つかいかた</t>
        </is>
      </c>
    </row>
    <row r="5">
      <c r="C5" s="71" t="inlineStr">
        <is>
          <t>毎日やること　これだけです</t>
        </is>
      </c>
      <c r="D5" s="72" t="n"/>
    </row>
    <row r="6">
      <c r="C6" s="18" t="inlineStr">
        <is>
          <t>①在庫を貼る ›</t>
        </is>
      </c>
      <c r="D6" s="6" t="inlineStr">
        <is>
          <t>在庫システムの「在庫一覧CSV」を貼る</t>
        </is>
      </c>
    </row>
    <row r="7">
      <c r="D7" s="5" t="inlineStr">
        <is>
          <t xml:space="preserve">　CSVを開いて、見出し行を除いたデータ部分をコピーし、A6 セルに貼り付けます。</t>
        </is>
      </c>
    </row>
    <row r="8">
      <c r="D8" s="5" t="inlineStr">
        <is>
          <t xml:space="preserve">　貼り替えるときは、前のデータ（A6 から S 列まで）だけを消してから貼ります。右の方の列は消さないでください。</t>
        </is>
      </c>
    </row>
    <row r="9">
      <c r="D9" s="5" t="inlineStr">
        <is>
          <t xml:space="preserve">　貼れたら上に「✔ ○行 読み込めました」と出ます。✖ のままなら貼る場所か劇場コードが違います。</t>
        </is>
      </c>
    </row>
    <row r="11">
      <c r="C11" s="18" t="inlineStr">
        <is>
          <t>②発注する ›</t>
        </is>
      </c>
      <c r="D11" s="6" t="inlineStr">
        <is>
          <t>「切れる日」を見て、黄色の「入庫日」「入庫数」を入れる</t>
        </is>
      </c>
    </row>
    <row r="12">
      <c r="D12" s="5" t="inlineStr">
        <is>
          <t xml:space="preserve">　左から順に読みます。定数 → 在庫 → 減り数/日 → 切れる日 → このままだと（アラート）。</t>
        </is>
      </c>
    </row>
    <row r="13">
      <c r="D13" s="5" t="inlineStr">
        <is>
          <t xml:space="preserve">　● 赤＝今日中に発注しないと間に合わない。△ 橙＝近く切れる（○/○ までに発注）。○ 緑＝14日以上もつ。</t>
        </is>
      </c>
    </row>
    <row r="14">
      <c r="D14" s="5" t="inlineStr">
        <is>
          <t xml:space="preserve">　入庫日は ▼ から届く日を選びます（今日〜13日後）。入庫数はケース入りならケース数、それ以外は個数。</t>
        </is>
      </c>
    </row>
    <row r="15">
      <c r="D15" s="5" t="inlineStr">
        <is>
          <t xml:space="preserve">　入庫数は「目安」（定数まで入る数）を超えると入りません。もっと入れたいときは商品マスタの定数を直します。</t>
        </is>
      </c>
    </row>
    <row r="16">
      <c r="D16" s="5" t="inlineStr">
        <is>
          <t xml:space="preserve">　入れると右の「入庫を入れると」に結果が出て、14日の表の在庫が復活します（入庫の日は黄色）。</t>
        </is>
      </c>
    </row>
    <row r="17">
      <c r="D17" s="5" t="inlineStr">
        <is>
          <t xml:space="preserve">　14日のうちに2便いるときだけ「2便目」に2つ目の入庫日と入庫数を入れます。</t>
        </is>
      </c>
    </row>
    <row r="18">
      <c r="D18" s="5" t="inlineStr">
        <is>
          <t xml:space="preserve">　⚠ が出た行は直すまで発注書に載りません（入庫日なし／入庫数なし／過去の日付／目安より多い）。</t>
        </is>
      </c>
    </row>
    <row r="19">
      <c r="D19" s="5" t="inlineStr">
        <is>
          <t xml:space="preserve">　入庫日が過ぎた行は、CSVの在庫に反映されているので消してください。</t>
        </is>
      </c>
    </row>
    <row r="21">
      <c r="C21" s="18" t="inlineStr">
        <is>
          <t>③発注書 ›</t>
        </is>
      </c>
      <c r="D21" s="6" t="inlineStr">
        <is>
          <t>仕入先を選んで印刷する</t>
        </is>
      </c>
    </row>
    <row r="22">
      <c r="D22" s="5" t="inlineStr">
        <is>
          <t xml:space="preserve">　入庫を入れた商品だけがここに集まります。仕入先を選ぶとその分だけになります。2便目は別の行に出ます。</t>
        </is>
      </c>
    </row>
    <row r="24">
      <c r="C24" s="71" t="inlineStr">
        <is>
          <t>随時・月1回</t>
        </is>
      </c>
      <c r="D24" s="72" t="n"/>
    </row>
    <row r="25">
      <c r="C25" s="18" t="inlineStr">
        <is>
          <t>動員を入れる ›</t>
        </is>
      </c>
      <c r="D25" s="6" t="inlineStr">
        <is>
          <t>動員（来場者数）を入れる</t>
        </is>
      </c>
    </row>
    <row r="26">
      <c r="D26" s="5" t="inlineStr">
        <is>
          <t xml:space="preserve">　「予測」は大型作品の公開週など読みが変わる日だけで十分です。空欄はその曜日の実績平均→標準の動員の順で埋まります。</t>
        </is>
      </c>
    </row>
    <row r="27">
      <c r="D27" s="5" t="inlineStr">
        <is>
          <t xml:space="preserve">　「実績」は毎日でも、月1回まとめてでも構いません。入れるほど曜日の平均が正確になります。</t>
        </is>
      </c>
    </row>
    <row r="28">
      <c r="D28" s="5" t="inlineStr">
        <is>
          <t xml:space="preserve">　減り数/日 ＝ 100人あたりの減り数 × その日の動員 ÷ 100 で決まります。</t>
        </is>
      </c>
    </row>
    <row r="29">
      <c r="D29" s="5" t="inlineStr">
        <is>
          <t xml:space="preserve">　表は「表の開始日」から400日分です。空欄なら今年の1月1日から。年が変わったら開始日を新しい年にします。</t>
        </is>
      </c>
    </row>
    <row r="31">
      <c r="C31" s="18" t="inlineStr">
        <is>
          <t>月1回_1ヶ月前の在庫 ›</t>
        </is>
      </c>
      <c r="D31" s="6" t="inlineStr">
        <is>
          <t>月に1回、1ヶ月前・2ヶ月前の在庫CSVを貼り替える（貼らなくても動きます）</t>
        </is>
      </c>
    </row>
    <row r="32">
      <c r="D32" s="5" t="inlineStr">
        <is>
          <t xml:space="preserve">　取扱商品が変わっていないかを見るためのものです。新商品・終売の件数がシートの上に出ます。</t>
        </is>
      </c>
    </row>
    <row r="34">
      <c r="C34" s="18" t="inlineStr">
        <is>
          <t>商品マスタ ›</t>
        </is>
      </c>
      <c r="D34" s="6" t="inlineStr">
        <is>
          <t>定数と減り数を決める（社員）</t>
        </is>
      </c>
    </row>
    <row r="35">
      <c r="D35" s="5" t="inlineStr">
        <is>
          <t xml:space="preserve">　定数（ケース）＝その商品を棚に置ける最大数。入数を掛けた「定数（個）」が発注画面に出ます。</t>
        </is>
      </c>
    </row>
    <row r="36">
      <c r="D36" s="5" t="inlineStr">
        <is>
          <t xml:space="preserve">　100人あたりの減り数＝来場者100人につき何個減るか。1ヶ月の減り ÷ 1ヶ月の動員 × 100 で見当を付けます。</t>
        </is>
      </c>
    </row>
    <row r="37">
      <c r="D37" s="5" t="inlineStr">
        <is>
          <t xml:space="preserve">　減り数が空欄か 0 の商品は「？ 減り数が未設定」と出て、切れる日が計算できません。</t>
        </is>
      </c>
    </row>
    <row r="38">
      <c r="D38" s="5" t="inlineStr">
        <is>
          <t xml:space="preserve">　②の行はこのマスタの順に並びます。行の挿入・削除・並べ替えは、入庫を入れていない朝いちにやってください（②の入力がずれます）。</t>
        </is>
      </c>
    </row>
    <row r="39">
      <c r="D39" s="5" t="inlineStr">
        <is>
          <t xml:space="preserve">　CSVにあってマスタに無い商品は②の末尾に出ます。マスタに追加して減り数を入れてください。</t>
        </is>
      </c>
    </row>
    <row r="41">
      <c r="C41" s="71" t="inlineStr">
        <is>
          <t>色と記号の意味</t>
        </is>
      </c>
      <c r="D41" s="72" t="n"/>
    </row>
    <row r="42">
      <c r="D42" s="5" t="inlineStr">
        <is>
          <t xml:space="preserve">　黄色のセル … 入力するところ。それ以外は保護されていて書き換えられません（校閲 → シート保護の解除、パスワード無し）。</t>
        </is>
      </c>
    </row>
    <row r="43">
      <c r="D43" s="5" t="inlineStr">
        <is>
          <t xml:space="preserve">　● 赤 … 今日発注しないと間に合わない／入庫が遅い　　△ 橙 … 近く切れる、欠品の期間がある　　○ 緑 … 14日以上もつ</t>
        </is>
      </c>
    </row>
    <row r="44">
      <c r="D44" s="5" t="inlineStr">
        <is>
          <t xml:space="preserve">　⚠ … 直すところ（直すまで発注書に載らない）　　？ … 減り数か動員が未設定で計算できない　　－ … 今日のCSVに無い商品（終売の可能性）</t>
        </is>
      </c>
    </row>
    <row r="45">
      <c r="D45" s="5" t="inlineStr">
        <is>
          <t xml:space="preserve">　14日の表 … 数字はその日の終わりの在庫。× は切れている。黄色の日は入庫の日。</t>
        </is>
      </c>
    </row>
    <row r="46">
      <c r="D46" s="5" t="inlineStr">
        <is>
          <t xml:space="preserve">　在庫が緑 … 「数えた在庫」を使っています（数えた日が今日のとき）。数えた日が古いと橙になり、CSVの在庫に戻ります。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:E1"/>
  </mergeCells>
  <hyperlinks>
    <hyperlink ref="F1" location="'ホーム'!A1" display="◀ ホーム"/>
    <hyperlink ref="C6" location="'①在庫を貼る'!A1" display="①在庫を貼る ›"/>
    <hyperlink ref="C11" location="'②発注する'!A1" display="②発注する ›"/>
    <hyperlink ref="C21" location="'③発注書'!A1" display="③発注書 ›"/>
    <hyperlink ref="C25" location="'動員を入れる'!A1" display="動員を入れる ›"/>
    <hyperlink ref="C31" location="'月1回_1ヶ月前の在庫'!A1" display="月1回_1ヶ月前の在庫 ›"/>
    <hyperlink ref="C34" location="'商品マスタ'!A1" display="商品マスタ ›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A8D9C"/>
    <outlinePr summaryBelow="1" summaryRight="1"/>
    <pageSetUpPr/>
  </sheetPr>
  <dimension ref="A1:W10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96" customWidth="1" min="1" max="1"/>
    <col width="11.88" customWidth="1" min="2" max="2"/>
    <col width="10.8" customWidth="1" min="3" max="3"/>
    <col width="28.08" customWidth="1" min="5" max="5"/>
    <col width="17.28" customWidth="1" min="8" max="8"/>
    <col width="17.28" customWidth="1" min="9" max="9"/>
    <col width="32.4" customWidth="1" min="10" max="10"/>
    <col width="6.48" customWidth="1" min="14" max="14"/>
    <col width="12.96" customWidth="1" min="15" max="15"/>
    <col width="6.48" customWidth="1" min="16" max="16"/>
    <col width="12.96" customWidth="1" min="17" max="17"/>
    <col width="6.48" customWidth="1" min="18" max="18"/>
    <col width="12.96" customWidth="1" min="19" max="19"/>
    <col width="6.48" customWidth="1" min="20" max="20"/>
    <col width="15.12" customWidth="1" min="21" max="21"/>
    <col width="12.96" customWidth="1" min="22" max="22"/>
    <col width="15.12" customWidth="1" min="23" max="23"/>
  </cols>
  <sheetData>
    <row r="1" ht="24" customHeight="1">
      <c r="B1" s="1" t="inlineStr">
        <is>
          <t xml:space="preserve">  月1回　1ヶ月前の在庫を貼る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0" t="inlineStr">
        <is>
          <t xml:space="preserve">◀ ホーム  </t>
        </is>
      </c>
    </row>
    <row r="2" ht="30" customHeight="1">
      <c r="B2" s="21" t="inlineStr">
        <is>
          <t>1ヶ月前の在庫を貼る（月1回・任意）</t>
        </is>
      </c>
      <c r="H2" s="22">
        <f>IF(COUNTIF($V$6:$V$10005,'設定'!$C$4)=0,"✖ まだ貼れていません","✔ "&amp;COUNTIF($V$6:$V$10005,'設定'!$C$4)&amp;"行 読み込めました")</f>
        <v/>
      </c>
      <c r="N2" s="73">
        <f>COUNTIF('計算'!$CY$6:$CY$405,"新商品（今月から）")</f>
        <v/>
      </c>
      <c r="P2" s="73">
        <f>COUNTIF('計算'!$CY$6:$CY$405,"新商品（先月から）")</f>
        <v/>
      </c>
      <c r="R2" s="73">
        <f>COUNTIF('計算'!$CY$6:$CY$405,"終売（今月から）")</f>
        <v/>
      </c>
      <c r="T2" s="73">
        <f>COUNTIF('計算'!$CY$6:$CY$405,"終売（先月から）")</f>
        <v/>
      </c>
      <c r="V2" s="73">
        <f>COUNTIF('計算'!$CY$6:$CY$405,"復活（先月は無し）")</f>
        <v/>
      </c>
    </row>
    <row r="3">
      <c r="B3" s="5" t="inlineStr">
        <is>
          <t>取扱商品が変わっていないかを見るためのものです。1ヶ月前の1日時点の在庫一覧を貼ってください。</t>
        </is>
      </c>
      <c r="H3" s="5">
        <f>IF(COUNTIF($V$6:$V$10005,'設定'!$C$4)=0,"貼らなくても動きます。貼ると、取扱商品の入れ替わりが分かります。","対象劇場："&amp;'設定'!$C$4&amp;"　"&amp;'設定'!$C$5)</f>
        <v/>
      </c>
      <c r="N3" s="74" t="inlineStr">
        <is>
          <t>新商品（今月から）</t>
        </is>
      </c>
      <c r="P3" s="74" t="inlineStr">
        <is>
          <t>新商品（先月から）</t>
        </is>
      </c>
      <c r="R3" s="74" t="inlineStr">
        <is>
          <t>終売（今月から）</t>
        </is>
      </c>
      <c r="T3" s="74" t="inlineStr">
        <is>
          <t>終売（先月から）</t>
        </is>
      </c>
      <c r="V3" s="74" t="inlineStr">
        <is>
          <t>復活（先月は無し）</t>
        </is>
      </c>
    </row>
    <row r="4">
      <c r="B4" s="6" t="inlineStr">
        <is>
          <t>月に1回、A6 セルに貼り替えてください。貼らなくても動きます。</t>
        </is>
      </c>
      <c r="N4" s="75" t="inlineStr">
        <is>
          <t>取扱の変化（当日・1ヶ月前・2ヶ月前を突き合わせた結果）</t>
        </is>
      </c>
      <c r="U4" s="19" t="inlineStr">
        <is>
          <t>← この右の3列は自動です。消さないでください（消えたら社員に）。</t>
        </is>
      </c>
    </row>
    <row r="5">
      <c r="A5" s="23" t="inlineStr">
        <is>
          <t>対象日付</t>
        </is>
      </c>
      <c r="B5" s="23" t="inlineStr">
        <is>
          <t>劇場コード</t>
        </is>
      </c>
      <c r="C5" s="23" t="inlineStr">
        <is>
          <t>劇場名</t>
        </is>
      </c>
      <c r="D5" s="23" t="inlineStr">
        <is>
          <t>支払先コード</t>
        </is>
      </c>
      <c r="E5" s="23" t="inlineStr">
        <is>
          <t>支払先名</t>
        </is>
      </c>
      <c r="F5" s="23" t="inlineStr">
        <is>
          <t>大分類コード</t>
        </is>
      </c>
      <c r="G5" s="23" t="inlineStr">
        <is>
          <t>小分類コード</t>
        </is>
      </c>
      <c r="H5" s="23" t="inlineStr">
        <is>
          <t>商品分類名</t>
        </is>
      </c>
      <c r="I5" s="23" t="inlineStr">
        <is>
          <t>商品コード</t>
        </is>
      </c>
      <c r="J5" s="23" t="inlineStr">
        <is>
          <t>商品名</t>
        </is>
      </c>
      <c r="K5" s="23" t="inlineStr">
        <is>
          <t>入数</t>
        </is>
      </c>
      <c r="L5" s="23" t="inlineStr">
        <is>
          <t>在庫数ケース</t>
        </is>
      </c>
      <c r="M5" s="23" t="inlineStr">
        <is>
          <t>在庫数バラ</t>
        </is>
      </c>
      <c r="N5" s="23" t="inlineStr">
        <is>
          <t>総数</t>
        </is>
      </c>
      <c r="O5" s="23" t="inlineStr">
        <is>
          <t>規定数</t>
        </is>
      </c>
      <c r="P5" s="23" t="inlineStr">
        <is>
          <t>資産廃棄</t>
        </is>
      </c>
      <c r="Q5" s="23" t="inlineStr">
        <is>
          <t>税抜単価</t>
        </is>
      </c>
      <c r="R5" s="23" t="inlineStr">
        <is>
          <t>仕入税区分</t>
        </is>
      </c>
      <c r="S5" s="23" t="inlineStr">
        <is>
          <t>仕入税率</t>
        </is>
      </c>
      <c r="U5" s="24" t="inlineStr">
        <is>
          <t>マスタに無い商品の連番(自動)</t>
        </is>
      </c>
      <c r="V5" s="24" t="inlineStr">
        <is>
          <t>劇場コード(自動)</t>
        </is>
      </c>
      <c r="W5" s="24" t="inlineStr">
        <is>
          <t>商品コード(自動)</t>
        </is>
      </c>
    </row>
    <row r="6">
      <c r="B6" s="25" t="n"/>
      <c r="I6" s="25" t="n"/>
      <c r="U6" s="19">
        <f>IF($V6&lt;&gt;'設定'!$C$4,N(U5),IF(OR(NOT(COUNTIF('商品マスタ'!$B$6:$B$1005,$W6)=0),COUNTIFS('①在庫を貼る'!$V$6:$V$10005,$V6,'①在庫を貼る'!$W$6:$W$10005,$W6)&gt;0),N(U5),N(U5)+1))</f>
        <v/>
      </c>
      <c r="V6" s="19">
        <f>IF($B6="","",TEXT($B6,"0000"))</f>
        <v/>
      </c>
      <c r="W6" s="19">
        <f>IF($I6="","",IF(ISNUMBER($I6),TEXT($I6,"0"),$I6))</f>
        <v/>
      </c>
    </row>
    <row r="7">
      <c r="B7" s="25" t="n"/>
      <c r="I7" s="25" t="n"/>
      <c r="U7" s="19">
        <f>IF($V7&lt;&gt;'設定'!$C$4,N(U6),IF(OR(NOT(COUNTIF('商品マスタ'!$B$6:$B$1005,$W7)=0),COUNTIFS('①在庫を貼る'!$V$6:$V$10005,$V7,'①在庫を貼る'!$W$6:$W$10005,$W7)&gt;0),N(U6),N(U6)+1))</f>
        <v/>
      </c>
      <c r="V7" s="19">
        <f>IF($B7="","",TEXT($B7,"0000"))</f>
        <v/>
      </c>
      <c r="W7" s="19">
        <f>IF($I7="","",IF(ISNUMBER($I7),TEXT($I7,"0"),$I7))</f>
        <v/>
      </c>
    </row>
    <row r="8">
      <c r="B8" s="25" t="n"/>
      <c r="I8" s="25" t="n"/>
      <c r="U8" s="19">
        <f>IF($V8&lt;&gt;'設定'!$C$4,N(U7),IF(OR(NOT(COUNTIF('商品マスタ'!$B$6:$B$1005,$W8)=0),COUNTIFS('①在庫を貼る'!$V$6:$V$10005,$V8,'①在庫を貼る'!$W$6:$W$10005,$W8)&gt;0),N(U7),N(U7)+1))</f>
        <v/>
      </c>
      <c r="V8" s="19">
        <f>IF($B8="","",TEXT($B8,"0000"))</f>
        <v/>
      </c>
      <c r="W8" s="19">
        <f>IF($I8="","",IF(ISNUMBER($I8),TEXT($I8,"0"),$I8))</f>
        <v/>
      </c>
    </row>
    <row r="9">
      <c r="B9" s="25" t="n"/>
      <c r="I9" s="25" t="n"/>
      <c r="U9" s="19">
        <f>IF($V9&lt;&gt;'設定'!$C$4,N(U8),IF(OR(NOT(COUNTIF('商品マスタ'!$B$6:$B$1005,$W9)=0),COUNTIFS('①在庫を貼る'!$V$6:$V$10005,$V9,'①在庫を貼る'!$W$6:$W$10005,$W9)&gt;0),N(U8),N(U8)+1))</f>
        <v/>
      </c>
      <c r="V9" s="19">
        <f>IF($B9="","",TEXT($B9,"0000"))</f>
        <v/>
      </c>
      <c r="W9" s="19">
        <f>IF($I9="","",IF(ISNUMBER($I9),TEXT($I9,"0"),$I9))</f>
        <v/>
      </c>
    </row>
    <row r="10">
      <c r="B10" s="25" t="n"/>
      <c r="I10" s="25" t="n"/>
      <c r="U10" s="19">
        <f>IF($V10&lt;&gt;'設定'!$C$4,N(U9),IF(OR(NOT(COUNTIF('商品マスタ'!$B$6:$B$1005,$W10)=0),COUNTIFS('①在庫を貼る'!$V$6:$V$10005,$V10,'①在庫を貼る'!$W$6:$W$10005,$W10)&gt;0),N(U9),N(U9)+1))</f>
        <v/>
      </c>
      <c r="V10" s="19">
        <f>IF($B10="","",TEXT($B10,"0000"))</f>
        <v/>
      </c>
      <c r="W10" s="19">
        <f>IF($I10="","",IF(ISNUMBER($I10),TEXT($I10,"0"),$I10))</f>
        <v/>
      </c>
    </row>
    <row r="11">
      <c r="B11" s="25" t="n"/>
      <c r="I11" s="25" t="n"/>
      <c r="U11" s="19">
        <f>IF($V11&lt;&gt;'設定'!$C$4,N(U10),IF(OR(NOT(COUNTIF('商品マスタ'!$B$6:$B$1005,$W11)=0),COUNTIFS('①在庫を貼る'!$V$6:$V$10005,$V11,'①在庫を貼る'!$W$6:$W$10005,$W11)&gt;0),N(U10),N(U10)+1))</f>
        <v/>
      </c>
      <c r="V11" s="19">
        <f>IF($B11="","",TEXT($B11,"0000"))</f>
        <v/>
      </c>
      <c r="W11" s="19">
        <f>IF($I11="","",IF(ISNUMBER($I11),TEXT($I11,"0"),$I11))</f>
        <v/>
      </c>
    </row>
    <row r="12">
      <c r="B12" s="25" t="n"/>
      <c r="I12" s="25" t="n"/>
      <c r="U12" s="19">
        <f>IF($V12&lt;&gt;'設定'!$C$4,N(U11),IF(OR(NOT(COUNTIF('商品マスタ'!$B$6:$B$1005,$W12)=0),COUNTIFS('①在庫を貼る'!$V$6:$V$10005,$V12,'①在庫を貼る'!$W$6:$W$10005,$W12)&gt;0),N(U11),N(U11)+1))</f>
        <v/>
      </c>
      <c r="V12" s="19">
        <f>IF($B12="","",TEXT($B12,"0000"))</f>
        <v/>
      </c>
      <c r="W12" s="19">
        <f>IF($I12="","",IF(ISNUMBER($I12),TEXT($I12,"0"),$I12))</f>
        <v/>
      </c>
    </row>
    <row r="13">
      <c r="B13" s="25" t="n"/>
      <c r="I13" s="25" t="n"/>
      <c r="U13" s="19">
        <f>IF($V13&lt;&gt;'設定'!$C$4,N(U12),IF(OR(NOT(COUNTIF('商品マスタ'!$B$6:$B$1005,$W13)=0),COUNTIFS('①在庫を貼る'!$V$6:$V$10005,$V13,'①在庫を貼る'!$W$6:$W$10005,$W13)&gt;0),N(U12),N(U12)+1))</f>
        <v/>
      </c>
      <c r="V13" s="19">
        <f>IF($B13="","",TEXT($B13,"0000"))</f>
        <v/>
      </c>
      <c r="W13" s="19">
        <f>IF($I13="","",IF(ISNUMBER($I13),TEXT($I13,"0"),$I13))</f>
        <v/>
      </c>
    </row>
    <row r="14">
      <c r="B14" s="25" t="n"/>
      <c r="I14" s="25" t="n"/>
      <c r="U14" s="19">
        <f>IF($V14&lt;&gt;'設定'!$C$4,N(U13),IF(OR(NOT(COUNTIF('商品マスタ'!$B$6:$B$1005,$W14)=0),COUNTIFS('①在庫を貼る'!$V$6:$V$10005,$V14,'①在庫を貼る'!$W$6:$W$10005,$W14)&gt;0),N(U13),N(U13)+1))</f>
        <v/>
      </c>
      <c r="V14" s="19">
        <f>IF($B14="","",TEXT($B14,"0000"))</f>
        <v/>
      </c>
      <c r="W14" s="19">
        <f>IF($I14="","",IF(ISNUMBER($I14),TEXT($I14,"0"),$I14))</f>
        <v/>
      </c>
    </row>
    <row r="15">
      <c r="B15" s="25" t="n"/>
      <c r="I15" s="25" t="n"/>
      <c r="U15" s="19">
        <f>IF($V15&lt;&gt;'設定'!$C$4,N(U14),IF(OR(NOT(COUNTIF('商品マスタ'!$B$6:$B$1005,$W15)=0),COUNTIFS('①在庫を貼る'!$V$6:$V$10005,$V15,'①在庫を貼る'!$W$6:$W$10005,$W15)&gt;0),N(U14),N(U14)+1))</f>
        <v/>
      </c>
      <c r="V15" s="19">
        <f>IF($B15="","",TEXT($B15,"0000"))</f>
        <v/>
      </c>
      <c r="W15" s="19">
        <f>IF($I15="","",IF(ISNUMBER($I15),TEXT($I15,"0"),$I15))</f>
        <v/>
      </c>
    </row>
    <row r="16">
      <c r="B16" s="25" t="n"/>
      <c r="I16" s="25" t="n"/>
      <c r="U16" s="19">
        <f>IF($V16&lt;&gt;'設定'!$C$4,N(U15),IF(OR(NOT(COUNTIF('商品マスタ'!$B$6:$B$1005,$W16)=0),COUNTIFS('①在庫を貼る'!$V$6:$V$10005,$V16,'①在庫を貼る'!$W$6:$W$10005,$W16)&gt;0),N(U15),N(U15)+1))</f>
        <v/>
      </c>
      <c r="V16" s="19">
        <f>IF($B16="","",TEXT($B16,"0000"))</f>
        <v/>
      </c>
      <c r="W16" s="19">
        <f>IF($I16="","",IF(ISNUMBER($I16),TEXT($I16,"0"),$I16))</f>
        <v/>
      </c>
    </row>
    <row r="17">
      <c r="B17" s="25" t="n"/>
      <c r="I17" s="25" t="n"/>
      <c r="U17" s="19">
        <f>IF($V17&lt;&gt;'設定'!$C$4,N(U16),IF(OR(NOT(COUNTIF('商品マスタ'!$B$6:$B$1005,$W17)=0),COUNTIFS('①在庫を貼る'!$V$6:$V$10005,$V17,'①在庫を貼る'!$W$6:$W$10005,$W17)&gt;0),N(U16),N(U16)+1))</f>
        <v/>
      </c>
      <c r="V17" s="19">
        <f>IF($B17="","",TEXT($B17,"0000"))</f>
        <v/>
      </c>
      <c r="W17" s="19">
        <f>IF($I17="","",IF(ISNUMBER($I17),TEXT($I17,"0"),$I17))</f>
        <v/>
      </c>
    </row>
    <row r="18">
      <c r="B18" s="25" t="n"/>
      <c r="I18" s="25" t="n"/>
      <c r="U18" s="19">
        <f>IF($V18&lt;&gt;'設定'!$C$4,N(U17),IF(OR(NOT(COUNTIF('商品マスタ'!$B$6:$B$1005,$W18)=0),COUNTIFS('①在庫を貼る'!$V$6:$V$10005,$V18,'①在庫を貼る'!$W$6:$W$10005,$W18)&gt;0),N(U17),N(U17)+1))</f>
        <v/>
      </c>
      <c r="V18" s="19">
        <f>IF($B18="","",TEXT($B18,"0000"))</f>
        <v/>
      </c>
      <c r="W18" s="19">
        <f>IF($I18="","",IF(ISNUMBER($I18),TEXT($I18,"0"),$I18))</f>
        <v/>
      </c>
    </row>
    <row r="19">
      <c r="B19" s="25" t="n"/>
      <c r="I19" s="25" t="n"/>
      <c r="U19" s="19">
        <f>IF($V19&lt;&gt;'設定'!$C$4,N(U18),IF(OR(NOT(COUNTIF('商品マスタ'!$B$6:$B$1005,$W19)=0),COUNTIFS('①在庫を貼る'!$V$6:$V$10005,$V19,'①在庫を貼る'!$W$6:$W$10005,$W19)&gt;0),N(U18),N(U18)+1))</f>
        <v/>
      </c>
      <c r="V19" s="19">
        <f>IF($B19="","",TEXT($B19,"0000"))</f>
        <v/>
      </c>
      <c r="W19" s="19">
        <f>IF($I19="","",IF(ISNUMBER($I19),TEXT($I19,"0"),$I19))</f>
        <v/>
      </c>
    </row>
    <row r="20">
      <c r="B20" s="25" t="n"/>
      <c r="I20" s="25" t="n"/>
      <c r="U20" s="19">
        <f>IF($V20&lt;&gt;'設定'!$C$4,N(U19),IF(OR(NOT(COUNTIF('商品マスタ'!$B$6:$B$1005,$W20)=0),COUNTIFS('①在庫を貼る'!$V$6:$V$10005,$V20,'①在庫を貼る'!$W$6:$W$10005,$W20)&gt;0),N(U19),N(U19)+1))</f>
        <v/>
      </c>
      <c r="V20" s="19">
        <f>IF($B20="","",TEXT($B20,"0000"))</f>
        <v/>
      </c>
      <c r="W20" s="19">
        <f>IF($I20="","",IF(ISNUMBER($I20),TEXT($I20,"0"),$I20))</f>
        <v/>
      </c>
    </row>
    <row r="21">
      <c r="B21" s="25" t="n"/>
      <c r="I21" s="25" t="n"/>
      <c r="U21" s="19">
        <f>IF($V21&lt;&gt;'設定'!$C$4,N(U20),IF(OR(NOT(COUNTIF('商品マスタ'!$B$6:$B$1005,$W21)=0),COUNTIFS('①在庫を貼る'!$V$6:$V$10005,$V21,'①在庫を貼る'!$W$6:$W$10005,$W21)&gt;0),N(U20),N(U20)+1))</f>
        <v/>
      </c>
      <c r="V21" s="19">
        <f>IF($B21="","",TEXT($B21,"0000"))</f>
        <v/>
      </c>
      <c r="W21" s="19">
        <f>IF($I21="","",IF(ISNUMBER($I21),TEXT($I21,"0"),$I21))</f>
        <v/>
      </c>
    </row>
    <row r="22">
      <c r="B22" s="25" t="n"/>
      <c r="I22" s="25" t="n"/>
      <c r="U22" s="19">
        <f>IF($V22&lt;&gt;'設定'!$C$4,N(U21),IF(OR(NOT(COUNTIF('商品マスタ'!$B$6:$B$1005,$W22)=0),COUNTIFS('①在庫を貼る'!$V$6:$V$10005,$V22,'①在庫を貼る'!$W$6:$W$10005,$W22)&gt;0),N(U21),N(U21)+1))</f>
        <v/>
      </c>
      <c r="V22" s="19">
        <f>IF($B22="","",TEXT($B22,"0000"))</f>
        <v/>
      </c>
      <c r="W22" s="19">
        <f>IF($I22="","",IF(ISNUMBER($I22),TEXT($I22,"0"),$I22))</f>
        <v/>
      </c>
    </row>
    <row r="23">
      <c r="B23" s="25" t="n"/>
      <c r="I23" s="25" t="n"/>
      <c r="U23" s="19">
        <f>IF($V23&lt;&gt;'設定'!$C$4,N(U22),IF(OR(NOT(COUNTIF('商品マスタ'!$B$6:$B$1005,$W23)=0),COUNTIFS('①在庫を貼る'!$V$6:$V$10005,$V23,'①在庫を貼る'!$W$6:$W$10005,$W23)&gt;0),N(U22),N(U22)+1))</f>
        <v/>
      </c>
      <c r="V23" s="19">
        <f>IF($B23="","",TEXT($B23,"0000"))</f>
        <v/>
      </c>
      <c r="W23" s="19">
        <f>IF($I23="","",IF(ISNUMBER($I23),TEXT($I23,"0"),$I23))</f>
        <v/>
      </c>
    </row>
    <row r="24">
      <c r="B24" s="25" t="n"/>
      <c r="I24" s="25" t="n"/>
      <c r="U24" s="19">
        <f>IF($V24&lt;&gt;'設定'!$C$4,N(U23),IF(OR(NOT(COUNTIF('商品マスタ'!$B$6:$B$1005,$W24)=0),COUNTIFS('①在庫を貼る'!$V$6:$V$10005,$V24,'①在庫を貼る'!$W$6:$W$10005,$W24)&gt;0),N(U23),N(U23)+1))</f>
        <v/>
      </c>
      <c r="V24" s="19">
        <f>IF($B24="","",TEXT($B24,"0000"))</f>
        <v/>
      </c>
      <c r="W24" s="19">
        <f>IF($I24="","",IF(ISNUMBER($I24),TEXT($I24,"0"),$I24))</f>
        <v/>
      </c>
    </row>
    <row r="25">
      <c r="B25" s="25" t="n"/>
      <c r="I25" s="25" t="n"/>
      <c r="U25" s="19">
        <f>IF($V25&lt;&gt;'設定'!$C$4,N(U24),IF(OR(NOT(COUNTIF('商品マスタ'!$B$6:$B$1005,$W25)=0),COUNTIFS('①在庫を貼る'!$V$6:$V$10005,$V25,'①在庫を貼る'!$W$6:$W$10005,$W25)&gt;0),N(U24),N(U24)+1))</f>
        <v/>
      </c>
      <c r="V25" s="19">
        <f>IF($B25="","",TEXT($B25,"0000"))</f>
        <v/>
      </c>
      <c r="W25" s="19">
        <f>IF($I25="","",IF(ISNUMBER($I25),TEXT($I25,"0"),$I25))</f>
        <v/>
      </c>
    </row>
    <row r="26">
      <c r="B26" s="25" t="n"/>
      <c r="I26" s="25" t="n"/>
      <c r="U26" s="19">
        <f>IF($V26&lt;&gt;'設定'!$C$4,N(U25),IF(OR(NOT(COUNTIF('商品マスタ'!$B$6:$B$1005,$W26)=0),COUNTIFS('①在庫を貼る'!$V$6:$V$10005,$V26,'①在庫を貼る'!$W$6:$W$10005,$W26)&gt;0),N(U25),N(U25)+1))</f>
        <v/>
      </c>
      <c r="V26" s="19">
        <f>IF($B26="","",TEXT($B26,"0000"))</f>
        <v/>
      </c>
      <c r="W26" s="19">
        <f>IF($I26="","",IF(ISNUMBER($I26),TEXT($I26,"0"),$I26))</f>
        <v/>
      </c>
    </row>
    <row r="27">
      <c r="B27" s="25" t="n"/>
      <c r="I27" s="25" t="n"/>
      <c r="U27" s="19">
        <f>IF($V27&lt;&gt;'設定'!$C$4,N(U26),IF(OR(NOT(COUNTIF('商品マスタ'!$B$6:$B$1005,$W27)=0),COUNTIFS('①在庫を貼る'!$V$6:$V$10005,$V27,'①在庫を貼る'!$W$6:$W$10005,$W27)&gt;0),N(U26),N(U26)+1))</f>
        <v/>
      </c>
      <c r="V27" s="19">
        <f>IF($B27="","",TEXT($B27,"0000"))</f>
        <v/>
      </c>
      <c r="W27" s="19">
        <f>IF($I27="","",IF(ISNUMBER($I27),TEXT($I27,"0"),$I27))</f>
        <v/>
      </c>
    </row>
    <row r="28">
      <c r="B28" s="25" t="n"/>
      <c r="I28" s="25" t="n"/>
      <c r="U28" s="19">
        <f>IF($V28&lt;&gt;'設定'!$C$4,N(U27),IF(OR(NOT(COUNTIF('商品マスタ'!$B$6:$B$1005,$W28)=0),COUNTIFS('①在庫を貼る'!$V$6:$V$10005,$V28,'①在庫を貼る'!$W$6:$W$10005,$W28)&gt;0),N(U27),N(U27)+1))</f>
        <v/>
      </c>
      <c r="V28" s="19">
        <f>IF($B28="","",TEXT($B28,"0000"))</f>
        <v/>
      </c>
      <c r="W28" s="19">
        <f>IF($I28="","",IF(ISNUMBER($I28),TEXT($I28,"0"),$I28))</f>
        <v/>
      </c>
    </row>
    <row r="29">
      <c r="B29" s="25" t="n"/>
      <c r="I29" s="25" t="n"/>
      <c r="U29" s="19">
        <f>IF($V29&lt;&gt;'設定'!$C$4,N(U28),IF(OR(NOT(COUNTIF('商品マスタ'!$B$6:$B$1005,$W29)=0),COUNTIFS('①在庫を貼る'!$V$6:$V$10005,$V29,'①在庫を貼る'!$W$6:$W$10005,$W29)&gt;0),N(U28),N(U28)+1))</f>
        <v/>
      </c>
      <c r="V29" s="19">
        <f>IF($B29="","",TEXT($B29,"0000"))</f>
        <v/>
      </c>
      <c r="W29" s="19">
        <f>IF($I29="","",IF(ISNUMBER($I29),TEXT($I29,"0"),$I29))</f>
        <v/>
      </c>
    </row>
    <row r="30">
      <c r="B30" s="25" t="n"/>
      <c r="I30" s="25" t="n"/>
      <c r="U30" s="19">
        <f>IF($V30&lt;&gt;'設定'!$C$4,N(U29),IF(OR(NOT(COUNTIF('商品マスタ'!$B$6:$B$1005,$W30)=0),COUNTIFS('①在庫を貼る'!$V$6:$V$10005,$V30,'①在庫を貼る'!$W$6:$W$10005,$W30)&gt;0),N(U29),N(U29)+1))</f>
        <v/>
      </c>
      <c r="V30" s="19">
        <f>IF($B30="","",TEXT($B30,"0000"))</f>
        <v/>
      </c>
      <c r="W30" s="19">
        <f>IF($I30="","",IF(ISNUMBER($I30),TEXT($I30,"0"),$I30))</f>
        <v/>
      </c>
    </row>
    <row r="31">
      <c r="B31" s="25" t="n"/>
      <c r="I31" s="25" t="n"/>
      <c r="U31" s="19">
        <f>IF($V31&lt;&gt;'設定'!$C$4,N(U30),IF(OR(NOT(COUNTIF('商品マスタ'!$B$6:$B$1005,$W31)=0),COUNTIFS('①在庫を貼る'!$V$6:$V$10005,$V31,'①在庫を貼る'!$W$6:$W$10005,$W31)&gt;0),N(U30),N(U30)+1))</f>
        <v/>
      </c>
      <c r="V31" s="19">
        <f>IF($B31="","",TEXT($B31,"0000"))</f>
        <v/>
      </c>
      <c r="W31" s="19">
        <f>IF($I31="","",IF(ISNUMBER($I31),TEXT($I31,"0"),$I31))</f>
        <v/>
      </c>
    </row>
    <row r="32">
      <c r="B32" s="25" t="n"/>
      <c r="I32" s="25" t="n"/>
      <c r="U32" s="19">
        <f>IF($V32&lt;&gt;'設定'!$C$4,N(U31),IF(OR(NOT(COUNTIF('商品マスタ'!$B$6:$B$1005,$W32)=0),COUNTIFS('①在庫を貼る'!$V$6:$V$10005,$V32,'①在庫を貼る'!$W$6:$W$10005,$W32)&gt;0),N(U31),N(U31)+1))</f>
        <v/>
      </c>
      <c r="V32" s="19">
        <f>IF($B32="","",TEXT($B32,"0000"))</f>
        <v/>
      </c>
      <c r="W32" s="19">
        <f>IF($I32="","",IF(ISNUMBER($I32),TEXT($I32,"0"),$I32))</f>
        <v/>
      </c>
    </row>
    <row r="33">
      <c r="B33" s="25" t="n"/>
      <c r="I33" s="25" t="n"/>
      <c r="U33" s="19">
        <f>IF($V33&lt;&gt;'設定'!$C$4,N(U32),IF(OR(NOT(COUNTIF('商品マスタ'!$B$6:$B$1005,$W33)=0),COUNTIFS('①在庫を貼る'!$V$6:$V$10005,$V33,'①在庫を貼る'!$W$6:$W$10005,$W33)&gt;0),N(U32),N(U32)+1))</f>
        <v/>
      </c>
      <c r="V33" s="19">
        <f>IF($B33="","",TEXT($B33,"0000"))</f>
        <v/>
      </c>
      <c r="W33" s="19">
        <f>IF($I33="","",IF(ISNUMBER($I33),TEXT($I33,"0"),$I33))</f>
        <v/>
      </c>
    </row>
    <row r="34">
      <c r="B34" s="25" t="n"/>
      <c r="I34" s="25" t="n"/>
      <c r="U34" s="19">
        <f>IF($V34&lt;&gt;'設定'!$C$4,N(U33),IF(OR(NOT(COUNTIF('商品マスタ'!$B$6:$B$1005,$W34)=0),COUNTIFS('①在庫を貼る'!$V$6:$V$10005,$V34,'①在庫を貼る'!$W$6:$W$10005,$W34)&gt;0),N(U33),N(U33)+1))</f>
        <v/>
      </c>
      <c r="V34" s="19">
        <f>IF($B34="","",TEXT($B34,"0000"))</f>
        <v/>
      </c>
      <c r="W34" s="19">
        <f>IF($I34="","",IF(ISNUMBER($I34),TEXT($I34,"0"),$I34))</f>
        <v/>
      </c>
    </row>
    <row r="35">
      <c r="B35" s="25" t="n"/>
      <c r="I35" s="25" t="n"/>
      <c r="U35" s="19">
        <f>IF($V35&lt;&gt;'設定'!$C$4,N(U34),IF(OR(NOT(COUNTIF('商品マスタ'!$B$6:$B$1005,$W35)=0),COUNTIFS('①在庫を貼る'!$V$6:$V$10005,$V35,'①在庫を貼る'!$W$6:$W$10005,$W35)&gt;0),N(U34),N(U34)+1))</f>
        <v/>
      </c>
      <c r="V35" s="19">
        <f>IF($B35="","",TEXT($B35,"0000"))</f>
        <v/>
      </c>
      <c r="W35" s="19">
        <f>IF($I35="","",IF(ISNUMBER($I35),TEXT($I35,"0"),$I35))</f>
        <v/>
      </c>
    </row>
    <row r="36">
      <c r="B36" s="25" t="n"/>
      <c r="I36" s="25" t="n"/>
      <c r="U36" s="19">
        <f>IF($V36&lt;&gt;'設定'!$C$4,N(U35),IF(OR(NOT(COUNTIF('商品マスタ'!$B$6:$B$1005,$W36)=0),COUNTIFS('①在庫を貼る'!$V$6:$V$10005,$V36,'①在庫を貼る'!$W$6:$W$10005,$W36)&gt;0),N(U35),N(U35)+1))</f>
        <v/>
      </c>
      <c r="V36" s="19">
        <f>IF($B36="","",TEXT($B36,"0000"))</f>
        <v/>
      </c>
      <c r="W36" s="19">
        <f>IF($I36="","",IF(ISNUMBER($I36),TEXT($I36,"0"),$I36))</f>
        <v/>
      </c>
    </row>
    <row r="37">
      <c r="B37" s="25" t="n"/>
      <c r="I37" s="25" t="n"/>
      <c r="U37" s="19">
        <f>IF($V37&lt;&gt;'設定'!$C$4,N(U36),IF(OR(NOT(COUNTIF('商品マスタ'!$B$6:$B$1005,$W37)=0),COUNTIFS('①在庫を貼る'!$V$6:$V$10005,$V37,'①在庫を貼る'!$W$6:$W$10005,$W37)&gt;0),N(U36),N(U36)+1))</f>
        <v/>
      </c>
      <c r="V37" s="19">
        <f>IF($B37="","",TEXT($B37,"0000"))</f>
        <v/>
      </c>
      <c r="W37" s="19">
        <f>IF($I37="","",IF(ISNUMBER($I37),TEXT($I37,"0"),$I37))</f>
        <v/>
      </c>
    </row>
    <row r="38">
      <c r="B38" s="25" t="n"/>
      <c r="I38" s="25" t="n"/>
      <c r="U38" s="19">
        <f>IF($V38&lt;&gt;'設定'!$C$4,N(U37),IF(OR(NOT(COUNTIF('商品マスタ'!$B$6:$B$1005,$W38)=0),COUNTIFS('①在庫を貼る'!$V$6:$V$10005,$V38,'①在庫を貼る'!$W$6:$W$10005,$W38)&gt;0),N(U37),N(U37)+1))</f>
        <v/>
      </c>
      <c r="V38" s="19">
        <f>IF($B38="","",TEXT($B38,"0000"))</f>
        <v/>
      </c>
      <c r="W38" s="19">
        <f>IF($I38="","",IF(ISNUMBER($I38),TEXT($I38,"0"),$I38))</f>
        <v/>
      </c>
    </row>
    <row r="39">
      <c r="B39" s="25" t="n"/>
      <c r="I39" s="25" t="n"/>
      <c r="U39" s="19">
        <f>IF($V39&lt;&gt;'設定'!$C$4,N(U38),IF(OR(NOT(COUNTIF('商品マスタ'!$B$6:$B$1005,$W39)=0),COUNTIFS('①在庫を貼る'!$V$6:$V$10005,$V39,'①在庫を貼る'!$W$6:$W$10005,$W39)&gt;0),N(U38),N(U38)+1))</f>
        <v/>
      </c>
      <c r="V39" s="19">
        <f>IF($B39="","",TEXT($B39,"0000"))</f>
        <v/>
      </c>
      <c r="W39" s="19">
        <f>IF($I39="","",IF(ISNUMBER($I39),TEXT($I39,"0"),$I39))</f>
        <v/>
      </c>
    </row>
    <row r="40">
      <c r="B40" s="25" t="n"/>
      <c r="I40" s="25" t="n"/>
      <c r="U40" s="19">
        <f>IF($V40&lt;&gt;'設定'!$C$4,N(U39),IF(OR(NOT(COUNTIF('商品マスタ'!$B$6:$B$1005,$W40)=0),COUNTIFS('①在庫を貼る'!$V$6:$V$10005,$V40,'①在庫を貼る'!$W$6:$W$10005,$W40)&gt;0),N(U39),N(U39)+1))</f>
        <v/>
      </c>
      <c r="V40" s="19">
        <f>IF($B40="","",TEXT($B40,"0000"))</f>
        <v/>
      </c>
      <c r="W40" s="19">
        <f>IF($I40="","",IF(ISNUMBER($I40),TEXT($I40,"0"),$I40))</f>
        <v/>
      </c>
    </row>
    <row r="41">
      <c r="B41" s="25" t="n"/>
      <c r="I41" s="25" t="n"/>
      <c r="U41" s="19">
        <f>IF($V41&lt;&gt;'設定'!$C$4,N(U40),IF(OR(NOT(COUNTIF('商品マスタ'!$B$6:$B$1005,$W41)=0),COUNTIFS('①在庫を貼る'!$V$6:$V$10005,$V41,'①在庫を貼る'!$W$6:$W$10005,$W41)&gt;0),N(U40),N(U40)+1))</f>
        <v/>
      </c>
      <c r="V41" s="19">
        <f>IF($B41="","",TEXT($B41,"0000"))</f>
        <v/>
      </c>
      <c r="W41" s="19">
        <f>IF($I41="","",IF(ISNUMBER($I41),TEXT($I41,"0"),$I41))</f>
        <v/>
      </c>
    </row>
    <row r="42">
      <c r="B42" s="25" t="n"/>
      <c r="I42" s="25" t="n"/>
      <c r="U42" s="19">
        <f>IF($V42&lt;&gt;'設定'!$C$4,N(U41),IF(OR(NOT(COUNTIF('商品マスタ'!$B$6:$B$1005,$W42)=0),COUNTIFS('①在庫を貼る'!$V$6:$V$10005,$V42,'①在庫を貼る'!$W$6:$W$10005,$W42)&gt;0),N(U41),N(U41)+1))</f>
        <v/>
      </c>
      <c r="V42" s="19">
        <f>IF($B42="","",TEXT($B42,"0000"))</f>
        <v/>
      </c>
      <c r="W42" s="19">
        <f>IF($I42="","",IF(ISNUMBER($I42),TEXT($I42,"0"),$I42))</f>
        <v/>
      </c>
    </row>
    <row r="43">
      <c r="B43" s="25" t="n"/>
      <c r="I43" s="25" t="n"/>
      <c r="U43" s="19">
        <f>IF($V43&lt;&gt;'設定'!$C$4,N(U42),IF(OR(NOT(COUNTIF('商品マスタ'!$B$6:$B$1005,$W43)=0),COUNTIFS('①在庫を貼る'!$V$6:$V$10005,$V43,'①在庫を貼る'!$W$6:$W$10005,$W43)&gt;0),N(U42),N(U42)+1))</f>
        <v/>
      </c>
      <c r="V43" s="19">
        <f>IF($B43="","",TEXT($B43,"0000"))</f>
        <v/>
      </c>
      <c r="W43" s="19">
        <f>IF($I43="","",IF(ISNUMBER($I43),TEXT($I43,"0"),$I43))</f>
        <v/>
      </c>
    </row>
    <row r="44">
      <c r="B44" s="25" t="n"/>
      <c r="I44" s="25" t="n"/>
      <c r="U44" s="19">
        <f>IF($V44&lt;&gt;'設定'!$C$4,N(U43),IF(OR(NOT(COUNTIF('商品マスタ'!$B$6:$B$1005,$W44)=0),COUNTIFS('①在庫を貼る'!$V$6:$V$10005,$V44,'①在庫を貼る'!$W$6:$W$10005,$W44)&gt;0),N(U43),N(U43)+1))</f>
        <v/>
      </c>
      <c r="V44" s="19">
        <f>IF($B44="","",TEXT($B44,"0000"))</f>
        <v/>
      </c>
      <c r="W44" s="19">
        <f>IF($I44="","",IF(ISNUMBER($I44),TEXT($I44,"0"),$I44))</f>
        <v/>
      </c>
    </row>
    <row r="45">
      <c r="B45" s="25" t="n"/>
      <c r="I45" s="25" t="n"/>
      <c r="U45" s="19">
        <f>IF($V45&lt;&gt;'設定'!$C$4,N(U44),IF(OR(NOT(COUNTIF('商品マスタ'!$B$6:$B$1005,$W45)=0),COUNTIFS('①在庫を貼る'!$V$6:$V$10005,$V45,'①在庫を貼る'!$W$6:$W$10005,$W45)&gt;0),N(U44),N(U44)+1))</f>
        <v/>
      </c>
      <c r="V45" s="19">
        <f>IF($B45="","",TEXT($B45,"0000"))</f>
        <v/>
      </c>
      <c r="W45" s="19">
        <f>IF($I45="","",IF(ISNUMBER($I45),TEXT($I45,"0"),$I45))</f>
        <v/>
      </c>
    </row>
    <row r="46">
      <c r="B46" s="25" t="n"/>
      <c r="I46" s="25" t="n"/>
      <c r="U46" s="19">
        <f>IF($V46&lt;&gt;'設定'!$C$4,N(U45),IF(OR(NOT(COUNTIF('商品マスタ'!$B$6:$B$1005,$W46)=0),COUNTIFS('①在庫を貼る'!$V$6:$V$10005,$V46,'①在庫を貼る'!$W$6:$W$10005,$W46)&gt;0),N(U45),N(U45)+1))</f>
        <v/>
      </c>
      <c r="V46" s="19">
        <f>IF($B46="","",TEXT($B46,"0000"))</f>
        <v/>
      </c>
      <c r="W46" s="19">
        <f>IF($I46="","",IF(ISNUMBER($I46),TEXT($I46,"0"),$I46))</f>
        <v/>
      </c>
    </row>
    <row r="47">
      <c r="B47" s="25" t="n"/>
      <c r="I47" s="25" t="n"/>
      <c r="U47" s="19">
        <f>IF($V47&lt;&gt;'設定'!$C$4,N(U46),IF(OR(NOT(COUNTIF('商品マスタ'!$B$6:$B$1005,$W47)=0),COUNTIFS('①在庫を貼る'!$V$6:$V$10005,$V47,'①在庫を貼る'!$W$6:$W$10005,$W47)&gt;0),N(U46),N(U46)+1))</f>
        <v/>
      </c>
      <c r="V47" s="19">
        <f>IF($B47="","",TEXT($B47,"0000"))</f>
        <v/>
      </c>
      <c r="W47" s="19">
        <f>IF($I47="","",IF(ISNUMBER($I47),TEXT($I47,"0"),$I47))</f>
        <v/>
      </c>
    </row>
    <row r="48">
      <c r="B48" s="25" t="n"/>
      <c r="I48" s="25" t="n"/>
      <c r="U48" s="19">
        <f>IF($V48&lt;&gt;'設定'!$C$4,N(U47),IF(OR(NOT(COUNTIF('商品マスタ'!$B$6:$B$1005,$W48)=0),COUNTIFS('①在庫を貼る'!$V$6:$V$10005,$V48,'①在庫を貼る'!$W$6:$W$10005,$W48)&gt;0),N(U47),N(U47)+1))</f>
        <v/>
      </c>
      <c r="V48" s="19">
        <f>IF($B48="","",TEXT($B48,"0000"))</f>
        <v/>
      </c>
      <c r="W48" s="19">
        <f>IF($I48="","",IF(ISNUMBER($I48),TEXT($I48,"0"),$I48))</f>
        <v/>
      </c>
    </row>
    <row r="49">
      <c r="B49" s="25" t="n"/>
      <c r="I49" s="25" t="n"/>
      <c r="U49" s="19">
        <f>IF($V49&lt;&gt;'設定'!$C$4,N(U48),IF(OR(NOT(COUNTIF('商品マスタ'!$B$6:$B$1005,$W49)=0),COUNTIFS('①在庫を貼る'!$V$6:$V$10005,$V49,'①在庫を貼る'!$W$6:$W$10005,$W49)&gt;0),N(U48),N(U48)+1))</f>
        <v/>
      </c>
      <c r="V49" s="19">
        <f>IF($B49="","",TEXT($B49,"0000"))</f>
        <v/>
      </c>
      <c r="W49" s="19">
        <f>IF($I49="","",IF(ISNUMBER($I49),TEXT($I49,"0"),$I49))</f>
        <v/>
      </c>
    </row>
    <row r="50">
      <c r="B50" s="25" t="n"/>
      <c r="I50" s="25" t="n"/>
      <c r="U50" s="19">
        <f>IF($V50&lt;&gt;'設定'!$C$4,N(U49),IF(OR(NOT(COUNTIF('商品マスタ'!$B$6:$B$1005,$W50)=0),COUNTIFS('①在庫を貼る'!$V$6:$V$10005,$V50,'①在庫を貼る'!$W$6:$W$10005,$W50)&gt;0),N(U49),N(U49)+1))</f>
        <v/>
      </c>
      <c r="V50" s="19">
        <f>IF($B50="","",TEXT($B50,"0000"))</f>
        <v/>
      </c>
      <c r="W50" s="19">
        <f>IF($I50="","",IF(ISNUMBER($I50),TEXT($I50,"0"),$I50))</f>
        <v/>
      </c>
    </row>
    <row r="51">
      <c r="B51" s="25" t="n"/>
      <c r="I51" s="25" t="n"/>
      <c r="U51" s="19">
        <f>IF($V51&lt;&gt;'設定'!$C$4,N(U50),IF(OR(NOT(COUNTIF('商品マスタ'!$B$6:$B$1005,$W51)=0),COUNTIFS('①在庫を貼る'!$V$6:$V$10005,$V51,'①在庫を貼る'!$W$6:$W$10005,$W51)&gt;0),N(U50),N(U50)+1))</f>
        <v/>
      </c>
      <c r="V51" s="19">
        <f>IF($B51="","",TEXT($B51,"0000"))</f>
        <v/>
      </c>
      <c r="W51" s="19">
        <f>IF($I51="","",IF(ISNUMBER($I51),TEXT($I51,"0"),$I51))</f>
        <v/>
      </c>
    </row>
    <row r="52">
      <c r="B52" s="25" t="n"/>
      <c r="I52" s="25" t="n"/>
      <c r="U52" s="19">
        <f>IF($V52&lt;&gt;'設定'!$C$4,N(U51),IF(OR(NOT(COUNTIF('商品マスタ'!$B$6:$B$1005,$W52)=0),COUNTIFS('①在庫を貼る'!$V$6:$V$10005,$V52,'①在庫を貼る'!$W$6:$W$10005,$W52)&gt;0),N(U51),N(U51)+1))</f>
        <v/>
      </c>
      <c r="V52" s="19">
        <f>IF($B52="","",TEXT($B52,"0000"))</f>
        <v/>
      </c>
      <c r="W52" s="19">
        <f>IF($I52="","",IF(ISNUMBER($I52),TEXT($I52,"0"),$I52))</f>
        <v/>
      </c>
    </row>
    <row r="53">
      <c r="B53" s="25" t="n"/>
      <c r="I53" s="25" t="n"/>
      <c r="U53" s="19">
        <f>IF($V53&lt;&gt;'設定'!$C$4,N(U52),IF(OR(NOT(COUNTIF('商品マスタ'!$B$6:$B$1005,$W53)=0),COUNTIFS('①在庫を貼る'!$V$6:$V$10005,$V53,'①在庫を貼る'!$W$6:$W$10005,$W53)&gt;0),N(U52),N(U52)+1))</f>
        <v/>
      </c>
      <c r="V53" s="19">
        <f>IF($B53="","",TEXT($B53,"0000"))</f>
        <v/>
      </c>
      <c r="W53" s="19">
        <f>IF($I53="","",IF(ISNUMBER($I53),TEXT($I53,"0"),$I53))</f>
        <v/>
      </c>
    </row>
    <row r="54">
      <c r="B54" s="25" t="n"/>
      <c r="I54" s="25" t="n"/>
      <c r="U54" s="19">
        <f>IF($V54&lt;&gt;'設定'!$C$4,N(U53),IF(OR(NOT(COUNTIF('商品マスタ'!$B$6:$B$1005,$W54)=0),COUNTIFS('①在庫を貼る'!$V$6:$V$10005,$V54,'①在庫を貼る'!$W$6:$W$10005,$W54)&gt;0),N(U53),N(U53)+1))</f>
        <v/>
      </c>
      <c r="V54" s="19">
        <f>IF($B54="","",TEXT($B54,"0000"))</f>
        <v/>
      </c>
      <c r="W54" s="19">
        <f>IF($I54="","",IF(ISNUMBER($I54),TEXT($I54,"0"),$I54))</f>
        <v/>
      </c>
    </row>
    <row r="55">
      <c r="B55" s="25" t="n"/>
      <c r="I55" s="25" t="n"/>
      <c r="U55" s="19">
        <f>IF($V55&lt;&gt;'設定'!$C$4,N(U54),IF(OR(NOT(COUNTIF('商品マスタ'!$B$6:$B$1005,$W55)=0),COUNTIFS('①在庫を貼る'!$V$6:$V$10005,$V55,'①在庫を貼る'!$W$6:$W$10005,$W55)&gt;0),N(U54),N(U54)+1))</f>
        <v/>
      </c>
      <c r="V55" s="19">
        <f>IF($B55="","",TEXT($B55,"0000"))</f>
        <v/>
      </c>
      <c r="W55" s="19">
        <f>IF($I55="","",IF(ISNUMBER($I55),TEXT($I55,"0"),$I55))</f>
        <v/>
      </c>
    </row>
    <row r="56">
      <c r="B56" s="25" t="n"/>
      <c r="I56" s="25" t="n"/>
      <c r="U56" s="19">
        <f>IF($V56&lt;&gt;'設定'!$C$4,N(U55),IF(OR(NOT(COUNTIF('商品マスタ'!$B$6:$B$1005,$W56)=0),COUNTIFS('①在庫を貼る'!$V$6:$V$10005,$V56,'①在庫を貼る'!$W$6:$W$10005,$W56)&gt;0),N(U55),N(U55)+1))</f>
        <v/>
      </c>
      <c r="V56" s="19">
        <f>IF($B56="","",TEXT($B56,"0000"))</f>
        <v/>
      </c>
      <c r="W56" s="19">
        <f>IF($I56="","",IF(ISNUMBER($I56),TEXT($I56,"0"),$I56))</f>
        <v/>
      </c>
    </row>
    <row r="57">
      <c r="B57" s="25" t="n"/>
      <c r="I57" s="25" t="n"/>
      <c r="U57" s="19">
        <f>IF($V57&lt;&gt;'設定'!$C$4,N(U56),IF(OR(NOT(COUNTIF('商品マスタ'!$B$6:$B$1005,$W57)=0),COUNTIFS('①在庫を貼る'!$V$6:$V$10005,$V57,'①在庫を貼る'!$W$6:$W$10005,$W57)&gt;0),N(U56),N(U56)+1))</f>
        <v/>
      </c>
      <c r="V57" s="19">
        <f>IF($B57="","",TEXT($B57,"0000"))</f>
        <v/>
      </c>
      <c r="W57" s="19">
        <f>IF($I57="","",IF(ISNUMBER($I57),TEXT($I57,"0"),$I57))</f>
        <v/>
      </c>
    </row>
    <row r="58">
      <c r="B58" s="25" t="n"/>
      <c r="I58" s="25" t="n"/>
      <c r="U58" s="19">
        <f>IF($V58&lt;&gt;'設定'!$C$4,N(U57),IF(OR(NOT(COUNTIF('商品マスタ'!$B$6:$B$1005,$W58)=0),COUNTIFS('①在庫を貼る'!$V$6:$V$10005,$V58,'①在庫を貼る'!$W$6:$W$10005,$W58)&gt;0),N(U57),N(U57)+1))</f>
        <v/>
      </c>
      <c r="V58" s="19">
        <f>IF($B58="","",TEXT($B58,"0000"))</f>
        <v/>
      </c>
      <c r="W58" s="19">
        <f>IF($I58="","",IF(ISNUMBER($I58),TEXT($I58,"0"),$I58))</f>
        <v/>
      </c>
    </row>
    <row r="59">
      <c r="B59" s="25" t="n"/>
      <c r="I59" s="25" t="n"/>
      <c r="U59" s="19">
        <f>IF($V59&lt;&gt;'設定'!$C$4,N(U58),IF(OR(NOT(COUNTIF('商品マスタ'!$B$6:$B$1005,$W59)=0),COUNTIFS('①在庫を貼る'!$V$6:$V$10005,$V59,'①在庫を貼る'!$W$6:$W$10005,$W59)&gt;0),N(U58),N(U58)+1))</f>
        <v/>
      </c>
      <c r="V59" s="19">
        <f>IF($B59="","",TEXT($B59,"0000"))</f>
        <v/>
      </c>
      <c r="W59" s="19">
        <f>IF($I59="","",IF(ISNUMBER($I59),TEXT($I59,"0"),$I59))</f>
        <v/>
      </c>
    </row>
    <row r="60">
      <c r="B60" s="25" t="n"/>
      <c r="I60" s="25" t="n"/>
      <c r="U60" s="19">
        <f>IF($V60&lt;&gt;'設定'!$C$4,N(U59),IF(OR(NOT(COUNTIF('商品マスタ'!$B$6:$B$1005,$W60)=0),COUNTIFS('①在庫を貼る'!$V$6:$V$10005,$V60,'①在庫を貼る'!$W$6:$W$10005,$W60)&gt;0),N(U59),N(U59)+1))</f>
        <v/>
      </c>
      <c r="V60" s="19">
        <f>IF($B60="","",TEXT($B60,"0000"))</f>
        <v/>
      </c>
      <c r="W60" s="19">
        <f>IF($I60="","",IF(ISNUMBER($I60),TEXT($I60,"0"),$I60))</f>
        <v/>
      </c>
    </row>
    <row r="61">
      <c r="B61" s="25" t="n"/>
      <c r="I61" s="25" t="n"/>
      <c r="U61" s="19">
        <f>IF($V61&lt;&gt;'設定'!$C$4,N(U60),IF(OR(NOT(COUNTIF('商品マスタ'!$B$6:$B$1005,$W61)=0),COUNTIFS('①在庫を貼る'!$V$6:$V$10005,$V61,'①在庫を貼る'!$W$6:$W$10005,$W61)&gt;0),N(U60),N(U60)+1))</f>
        <v/>
      </c>
      <c r="V61" s="19">
        <f>IF($B61="","",TEXT($B61,"0000"))</f>
        <v/>
      </c>
      <c r="W61" s="19">
        <f>IF($I61="","",IF(ISNUMBER($I61),TEXT($I61,"0"),$I61))</f>
        <v/>
      </c>
    </row>
    <row r="62">
      <c r="B62" s="25" t="n"/>
      <c r="I62" s="25" t="n"/>
      <c r="U62" s="19">
        <f>IF($V62&lt;&gt;'設定'!$C$4,N(U61),IF(OR(NOT(COUNTIF('商品マスタ'!$B$6:$B$1005,$W62)=0),COUNTIFS('①在庫を貼る'!$V$6:$V$10005,$V62,'①在庫を貼る'!$W$6:$W$10005,$W62)&gt;0),N(U61),N(U61)+1))</f>
        <v/>
      </c>
      <c r="V62" s="19">
        <f>IF($B62="","",TEXT($B62,"0000"))</f>
        <v/>
      </c>
      <c r="W62" s="19">
        <f>IF($I62="","",IF(ISNUMBER($I62),TEXT($I62,"0"),$I62))</f>
        <v/>
      </c>
    </row>
    <row r="63">
      <c r="B63" s="25" t="n"/>
      <c r="I63" s="25" t="n"/>
      <c r="U63" s="19">
        <f>IF($V63&lt;&gt;'設定'!$C$4,N(U62),IF(OR(NOT(COUNTIF('商品マスタ'!$B$6:$B$1005,$W63)=0),COUNTIFS('①在庫を貼る'!$V$6:$V$10005,$V63,'①在庫を貼る'!$W$6:$W$10005,$W63)&gt;0),N(U62),N(U62)+1))</f>
        <v/>
      </c>
      <c r="V63" s="19">
        <f>IF($B63="","",TEXT($B63,"0000"))</f>
        <v/>
      </c>
      <c r="W63" s="19">
        <f>IF($I63="","",IF(ISNUMBER($I63),TEXT($I63,"0"),$I63))</f>
        <v/>
      </c>
    </row>
    <row r="64">
      <c r="B64" s="25" t="n"/>
      <c r="I64" s="25" t="n"/>
      <c r="U64" s="19">
        <f>IF($V64&lt;&gt;'設定'!$C$4,N(U63),IF(OR(NOT(COUNTIF('商品マスタ'!$B$6:$B$1005,$W64)=0),COUNTIFS('①在庫を貼る'!$V$6:$V$10005,$V64,'①在庫を貼る'!$W$6:$W$10005,$W64)&gt;0),N(U63),N(U63)+1))</f>
        <v/>
      </c>
      <c r="V64" s="19">
        <f>IF($B64="","",TEXT($B64,"0000"))</f>
        <v/>
      </c>
      <c r="W64" s="19">
        <f>IF($I64="","",IF(ISNUMBER($I64),TEXT($I64,"0"),$I64))</f>
        <v/>
      </c>
    </row>
    <row r="65">
      <c r="B65" s="25" t="n"/>
      <c r="I65" s="25" t="n"/>
      <c r="U65" s="19">
        <f>IF($V65&lt;&gt;'設定'!$C$4,N(U64),IF(OR(NOT(COUNTIF('商品マスタ'!$B$6:$B$1005,$W65)=0),COUNTIFS('①在庫を貼る'!$V$6:$V$10005,$V65,'①在庫を貼る'!$W$6:$W$10005,$W65)&gt;0),N(U64),N(U64)+1))</f>
        <v/>
      </c>
      <c r="V65" s="19">
        <f>IF($B65="","",TEXT($B65,"0000"))</f>
        <v/>
      </c>
      <c r="W65" s="19">
        <f>IF($I65="","",IF(ISNUMBER($I65),TEXT($I65,"0"),$I65))</f>
        <v/>
      </c>
    </row>
    <row r="66">
      <c r="B66" s="25" t="n"/>
      <c r="I66" s="25" t="n"/>
      <c r="U66" s="19">
        <f>IF($V66&lt;&gt;'設定'!$C$4,N(U65),IF(OR(NOT(COUNTIF('商品マスタ'!$B$6:$B$1005,$W66)=0),COUNTIFS('①在庫を貼る'!$V$6:$V$10005,$V66,'①在庫を貼る'!$W$6:$W$10005,$W66)&gt;0),N(U65),N(U65)+1))</f>
        <v/>
      </c>
      <c r="V66" s="19">
        <f>IF($B66="","",TEXT($B66,"0000"))</f>
        <v/>
      </c>
      <c r="W66" s="19">
        <f>IF($I66="","",IF(ISNUMBER($I66),TEXT($I66,"0"),$I66))</f>
        <v/>
      </c>
    </row>
    <row r="67">
      <c r="B67" s="25" t="n"/>
      <c r="I67" s="25" t="n"/>
      <c r="U67" s="19">
        <f>IF($V67&lt;&gt;'設定'!$C$4,N(U66),IF(OR(NOT(COUNTIF('商品マスタ'!$B$6:$B$1005,$W67)=0),COUNTIFS('①在庫を貼る'!$V$6:$V$10005,$V67,'①在庫を貼る'!$W$6:$W$10005,$W67)&gt;0),N(U66),N(U66)+1))</f>
        <v/>
      </c>
      <c r="V67" s="19">
        <f>IF($B67="","",TEXT($B67,"0000"))</f>
        <v/>
      </c>
      <c r="W67" s="19">
        <f>IF($I67="","",IF(ISNUMBER($I67),TEXT($I67,"0"),$I67))</f>
        <v/>
      </c>
    </row>
    <row r="68">
      <c r="B68" s="25" t="n"/>
      <c r="I68" s="25" t="n"/>
      <c r="U68" s="19">
        <f>IF($V68&lt;&gt;'設定'!$C$4,N(U67),IF(OR(NOT(COUNTIF('商品マスタ'!$B$6:$B$1005,$W68)=0),COUNTIFS('①在庫を貼る'!$V$6:$V$10005,$V68,'①在庫を貼る'!$W$6:$W$10005,$W68)&gt;0),N(U67),N(U67)+1))</f>
        <v/>
      </c>
      <c r="V68" s="19">
        <f>IF($B68="","",TEXT($B68,"0000"))</f>
        <v/>
      </c>
      <c r="W68" s="19">
        <f>IF($I68="","",IF(ISNUMBER($I68),TEXT($I68,"0"),$I68))</f>
        <v/>
      </c>
    </row>
    <row r="69">
      <c r="B69" s="25" t="n"/>
      <c r="I69" s="25" t="n"/>
      <c r="U69" s="19">
        <f>IF($V69&lt;&gt;'設定'!$C$4,N(U68),IF(OR(NOT(COUNTIF('商品マスタ'!$B$6:$B$1005,$W69)=0),COUNTIFS('①在庫を貼る'!$V$6:$V$10005,$V69,'①在庫を貼る'!$W$6:$W$10005,$W69)&gt;0),N(U68),N(U68)+1))</f>
        <v/>
      </c>
      <c r="V69" s="19">
        <f>IF($B69="","",TEXT($B69,"0000"))</f>
        <v/>
      </c>
      <c r="W69" s="19">
        <f>IF($I69="","",IF(ISNUMBER($I69),TEXT($I69,"0"),$I69))</f>
        <v/>
      </c>
    </row>
    <row r="70">
      <c r="B70" s="25" t="n"/>
      <c r="I70" s="25" t="n"/>
      <c r="U70" s="19">
        <f>IF($V70&lt;&gt;'設定'!$C$4,N(U69),IF(OR(NOT(COUNTIF('商品マスタ'!$B$6:$B$1005,$W70)=0),COUNTIFS('①在庫を貼る'!$V$6:$V$10005,$V70,'①在庫を貼る'!$W$6:$W$10005,$W70)&gt;0),N(U69),N(U69)+1))</f>
        <v/>
      </c>
      <c r="V70" s="19">
        <f>IF($B70="","",TEXT($B70,"0000"))</f>
        <v/>
      </c>
      <c r="W70" s="19">
        <f>IF($I70="","",IF(ISNUMBER($I70),TEXT($I70,"0"),$I70))</f>
        <v/>
      </c>
    </row>
    <row r="71">
      <c r="B71" s="25" t="n"/>
      <c r="I71" s="25" t="n"/>
      <c r="U71" s="19">
        <f>IF($V71&lt;&gt;'設定'!$C$4,N(U70),IF(OR(NOT(COUNTIF('商品マスタ'!$B$6:$B$1005,$W71)=0),COUNTIFS('①在庫を貼る'!$V$6:$V$10005,$V71,'①在庫を貼る'!$W$6:$W$10005,$W71)&gt;0),N(U70),N(U70)+1))</f>
        <v/>
      </c>
      <c r="V71" s="19">
        <f>IF($B71="","",TEXT($B71,"0000"))</f>
        <v/>
      </c>
      <c r="W71" s="19">
        <f>IF($I71="","",IF(ISNUMBER($I71),TEXT($I71,"0"),$I71))</f>
        <v/>
      </c>
    </row>
    <row r="72">
      <c r="B72" s="25" t="n"/>
      <c r="I72" s="25" t="n"/>
      <c r="U72" s="19">
        <f>IF($V72&lt;&gt;'設定'!$C$4,N(U71),IF(OR(NOT(COUNTIF('商品マスタ'!$B$6:$B$1005,$W72)=0),COUNTIFS('①在庫を貼る'!$V$6:$V$10005,$V72,'①在庫を貼る'!$W$6:$W$10005,$W72)&gt;0),N(U71),N(U71)+1))</f>
        <v/>
      </c>
      <c r="V72" s="19">
        <f>IF($B72="","",TEXT($B72,"0000"))</f>
        <v/>
      </c>
      <c r="W72" s="19">
        <f>IF($I72="","",IF(ISNUMBER($I72),TEXT($I72,"0"),$I72))</f>
        <v/>
      </c>
    </row>
    <row r="73">
      <c r="B73" s="25" t="n"/>
      <c r="I73" s="25" t="n"/>
      <c r="U73" s="19">
        <f>IF($V73&lt;&gt;'設定'!$C$4,N(U72),IF(OR(NOT(COUNTIF('商品マスタ'!$B$6:$B$1005,$W73)=0),COUNTIFS('①在庫を貼る'!$V$6:$V$10005,$V73,'①在庫を貼る'!$W$6:$W$10005,$W73)&gt;0),N(U72),N(U72)+1))</f>
        <v/>
      </c>
      <c r="V73" s="19">
        <f>IF($B73="","",TEXT($B73,"0000"))</f>
        <v/>
      </c>
      <c r="W73" s="19">
        <f>IF($I73="","",IF(ISNUMBER($I73),TEXT($I73,"0"),$I73))</f>
        <v/>
      </c>
    </row>
    <row r="74">
      <c r="B74" s="25" t="n"/>
      <c r="I74" s="25" t="n"/>
      <c r="U74" s="19">
        <f>IF($V74&lt;&gt;'設定'!$C$4,N(U73),IF(OR(NOT(COUNTIF('商品マスタ'!$B$6:$B$1005,$W74)=0),COUNTIFS('①在庫を貼る'!$V$6:$V$10005,$V74,'①在庫を貼る'!$W$6:$W$10005,$W74)&gt;0),N(U73),N(U73)+1))</f>
        <v/>
      </c>
      <c r="V74" s="19">
        <f>IF($B74="","",TEXT($B74,"0000"))</f>
        <v/>
      </c>
      <c r="W74" s="19">
        <f>IF($I74="","",IF(ISNUMBER($I74),TEXT($I74,"0"),$I74))</f>
        <v/>
      </c>
    </row>
    <row r="75">
      <c r="B75" s="25" t="n"/>
      <c r="I75" s="25" t="n"/>
      <c r="U75" s="19">
        <f>IF($V75&lt;&gt;'設定'!$C$4,N(U74),IF(OR(NOT(COUNTIF('商品マスタ'!$B$6:$B$1005,$W75)=0),COUNTIFS('①在庫を貼る'!$V$6:$V$10005,$V75,'①在庫を貼る'!$W$6:$W$10005,$W75)&gt;0),N(U74),N(U74)+1))</f>
        <v/>
      </c>
      <c r="V75" s="19">
        <f>IF($B75="","",TEXT($B75,"0000"))</f>
        <v/>
      </c>
      <c r="W75" s="19">
        <f>IF($I75="","",IF(ISNUMBER($I75),TEXT($I75,"0"),$I75))</f>
        <v/>
      </c>
    </row>
    <row r="76">
      <c r="B76" s="25" t="n"/>
      <c r="I76" s="25" t="n"/>
      <c r="U76" s="19">
        <f>IF($V76&lt;&gt;'設定'!$C$4,N(U75),IF(OR(NOT(COUNTIF('商品マスタ'!$B$6:$B$1005,$W76)=0),COUNTIFS('①在庫を貼る'!$V$6:$V$10005,$V76,'①在庫を貼る'!$W$6:$W$10005,$W76)&gt;0),N(U75),N(U75)+1))</f>
        <v/>
      </c>
      <c r="V76" s="19">
        <f>IF($B76="","",TEXT($B76,"0000"))</f>
        <v/>
      </c>
      <c r="W76" s="19">
        <f>IF($I76="","",IF(ISNUMBER($I76),TEXT($I76,"0"),$I76))</f>
        <v/>
      </c>
    </row>
    <row r="77">
      <c r="B77" s="25" t="n"/>
      <c r="I77" s="25" t="n"/>
      <c r="U77" s="19">
        <f>IF($V77&lt;&gt;'設定'!$C$4,N(U76),IF(OR(NOT(COUNTIF('商品マスタ'!$B$6:$B$1005,$W77)=0),COUNTIFS('①在庫を貼る'!$V$6:$V$10005,$V77,'①在庫を貼る'!$W$6:$W$10005,$W77)&gt;0),N(U76),N(U76)+1))</f>
        <v/>
      </c>
      <c r="V77" s="19">
        <f>IF($B77="","",TEXT($B77,"0000"))</f>
        <v/>
      </c>
      <c r="W77" s="19">
        <f>IF($I77="","",IF(ISNUMBER($I77),TEXT($I77,"0"),$I77))</f>
        <v/>
      </c>
    </row>
    <row r="78">
      <c r="B78" s="25" t="n"/>
      <c r="I78" s="25" t="n"/>
      <c r="U78" s="19">
        <f>IF($V78&lt;&gt;'設定'!$C$4,N(U77),IF(OR(NOT(COUNTIF('商品マスタ'!$B$6:$B$1005,$W78)=0),COUNTIFS('①在庫を貼る'!$V$6:$V$10005,$V78,'①在庫を貼る'!$W$6:$W$10005,$W78)&gt;0),N(U77),N(U77)+1))</f>
        <v/>
      </c>
      <c r="V78" s="19">
        <f>IF($B78="","",TEXT($B78,"0000"))</f>
        <v/>
      </c>
      <c r="W78" s="19">
        <f>IF($I78="","",IF(ISNUMBER($I78),TEXT($I78,"0"),$I78))</f>
        <v/>
      </c>
    </row>
    <row r="79">
      <c r="B79" s="25" t="n"/>
      <c r="I79" s="25" t="n"/>
      <c r="U79" s="19">
        <f>IF($V79&lt;&gt;'設定'!$C$4,N(U78),IF(OR(NOT(COUNTIF('商品マスタ'!$B$6:$B$1005,$W79)=0),COUNTIFS('①在庫を貼る'!$V$6:$V$10005,$V79,'①在庫を貼る'!$W$6:$W$10005,$W79)&gt;0),N(U78),N(U78)+1))</f>
        <v/>
      </c>
      <c r="V79" s="19">
        <f>IF($B79="","",TEXT($B79,"0000"))</f>
        <v/>
      </c>
      <c r="W79" s="19">
        <f>IF($I79="","",IF(ISNUMBER($I79),TEXT($I79,"0"),$I79))</f>
        <v/>
      </c>
    </row>
    <row r="80">
      <c r="B80" s="25" t="n"/>
      <c r="I80" s="25" t="n"/>
      <c r="U80" s="19">
        <f>IF($V80&lt;&gt;'設定'!$C$4,N(U79),IF(OR(NOT(COUNTIF('商品マスタ'!$B$6:$B$1005,$W80)=0),COUNTIFS('①在庫を貼る'!$V$6:$V$10005,$V80,'①在庫を貼る'!$W$6:$W$10005,$W80)&gt;0),N(U79),N(U79)+1))</f>
        <v/>
      </c>
      <c r="V80" s="19">
        <f>IF($B80="","",TEXT($B80,"0000"))</f>
        <v/>
      </c>
      <c r="W80" s="19">
        <f>IF($I80="","",IF(ISNUMBER($I80),TEXT($I80,"0"),$I80))</f>
        <v/>
      </c>
    </row>
    <row r="81">
      <c r="B81" s="25" t="n"/>
      <c r="I81" s="25" t="n"/>
      <c r="U81" s="19">
        <f>IF($V81&lt;&gt;'設定'!$C$4,N(U80),IF(OR(NOT(COUNTIF('商品マスタ'!$B$6:$B$1005,$W81)=0),COUNTIFS('①在庫を貼る'!$V$6:$V$10005,$V81,'①在庫を貼る'!$W$6:$W$10005,$W81)&gt;0),N(U80),N(U80)+1))</f>
        <v/>
      </c>
      <c r="V81" s="19">
        <f>IF($B81="","",TEXT($B81,"0000"))</f>
        <v/>
      </c>
      <c r="W81" s="19">
        <f>IF($I81="","",IF(ISNUMBER($I81),TEXT($I81,"0"),$I81))</f>
        <v/>
      </c>
    </row>
    <row r="82">
      <c r="B82" s="25" t="n"/>
      <c r="I82" s="25" t="n"/>
      <c r="U82" s="19">
        <f>IF($V82&lt;&gt;'設定'!$C$4,N(U81),IF(OR(NOT(COUNTIF('商品マスタ'!$B$6:$B$1005,$W82)=0),COUNTIFS('①在庫を貼る'!$V$6:$V$10005,$V82,'①在庫を貼る'!$W$6:$W$10005,$W82)&gt;0),N(U81),N(U81)+1))</f>
        <v/>
      </c>
      <c r="V82" s="19">
        <f>IF($B82="","",TEXT($B82,"0000"))</f>
        <v/>
      </c>
      <c r="W82" s="19">
        <f>IF($I82="","",IF(ISNUMBER($I82),TEXT($I82,"0"),$I82))</f>
        <v/>
      </c>
    </row>
    <row r="83">
      <c r="B83" s="25" t="n"/>
      <c r="I83" s="25" t="n"/>
      <c r="U83" s="19">
        <f>IF($V83&lt;&gt;'設定'!$C$4,N(U82),IF(OR(NOT(COUNTIF('商品マスタ'!$B$6:$B$1005,$W83)=0),COUNTIFS('①在庫を貼る'!$V$6:$V$10005,$V83,'①在庫を貼る'!$W$6:$W$10005,$W83)&gt;0),N(U82),N(U82)+1))</f>
        <v/>
      </c>
      <c r="V83" s="19">
        <f>IF($B83="","",TEXT($B83,"0000"))</f>
        <v/>
      </c>
      <c r="W83" s="19">
        <f>IF($I83="","",IF(ISNUMBER($I83),TEXT($I83,"0"),$I83))</f>
        <v/>
      </c>
    </row>
    <row r="84">
      <c r="B84" s="25" t="n"/>
      <c r="I84" s="25" t="n"/>
      <c r="U84" s="19">
        <f>IF($V84&lt;&gt;'設定'!$C$4,N(U83),IF(OR(NOT(COUNTIF('商品マスタ'!$B$6:$B$1005,$W84)=0),COUNTIFS('①在庫を貼る'!$V$6:$V$10005,$V84,'①在庫を貼る'!$W$6:$W$10005,$W84)&gt;0),N(U83),N(U83)+1))</f>
        <v/>
      </c>
      <c r="V84" s="19">
        <f>IF($B84="","",TEXT($B84,"0000"))</f>
        <v/>
      </c>
      <c r="W84" s="19">
        <f>IF($I84="","",IF(ISNUMBER($I84),TEXT($I84,"0"),$I84))</f>
        <v/>
      </c>
    </row>
    <row r="85">
      <c r="B85" s="25" t="n"/>
      <c r="I85" s="25" t="n"/>
      <c r="U85" s="19">
        <f>IF($V85&lt;&gt;'設定'!$C$4,N(U84),IF(OR(NOT(COUNTIF('商品マスタ'!$B$6:$B$1005,$W85)=0),COUNTIFS('①在庫を貼る'!$V$6:$V$10005,$V85,'①在庫を貼る'!$W$6:$W$10005,$W85)&gt;0),N(U84),N(U84)+1))</f>
        <v/>
      </c>
      <c r="V85" s="19">
        <f>IF($B85="","",TEXT($B85,"0000"))</f>
        <v/>
      </c>
      <c r="W85" s="19">
        <f>IF($I85="","",IF(ISNUMBER($I85),TEXT($I85,"0"),$I85))</f>
        <v/>
      </c>
    </row>
    <row r="86">
      <c r="B86" s="25" t="n"/>
      <c r="I86" s="25" t="n"/>
      <c r="U86" s="19">
        <f>IF($V86&lt;&gt;'設定'!$C$4,N(U85),IF(OR(NOT(COUNTIF('商品マスタ'!$B$6:$B$1005,$W86)=0),COUNTIFS('①在庫を貼る'!$V$6:$V$10005,$V86,'①在庫を貼る'!$W$6:$W$10005,$W86)&gt;0),N(U85),N(U85)+1))</f>
        <v/>
      </c>
      <c r="V86" s="19">
        <f>IF($B86="","",TEXT($B86,"0000"))</f>
        <v/>
      </c>
      <c r="W86" s="19">
        <f>IF($I86="","",IF(ISNUMBER($I86),TEXT($I86,"0"),$I86))</f>
        <v/>
      </c>
    </row>
    <row r="87">
      <c r="B87" s="25" t="n"/>
      <c r="I87" s="25" t="n"/>
      <c r="U87" s="19">
        <f>IF($V87&lt;&gt;'設定'!$C$4,N(U86),IF(OR(NOT(COUNTIF('商品マスタ'!$B$6:$B$1005,$W87)=0),COUNTIFS('①在庫を貼る'!$V$6:$V$10005,$V87,'①在庫を貼る'!$W$6:$W$10005,$W87)&gt;0),N(U86),N(U86)+1))</f>
        <v/>
      </c>
      <c r="V87" s="19">
        <f>IF($B87="","",TEXT($B87,"0000"))</f>
        <v/>
      </c>
      <c r="W87" s="19">
        <f>IF($I87="","",IF(ISNUMBER($I87),TEXT($I87,"0"),$I87))</f>
        <v/>
      </c>
    </row>
    <row r="88">
      <c r="B88" s="25" t="n"/>
      <c r="I88" s="25" t="n"/>
      <c r="U88" s="19">
        <f>IF($V88&lt;&gt;'設定'!$C$4,N(U87),IF(OR(NOT(COUNTIF('商品マスタ'!$B$6:$B$1005,$W88)=0),COUNTIFS('①在庫を貼る'!$V$6:$V$10005,$V88,'①在庫を貼る'!$W$6:$W$10005,$W88)&gt;0),N(U87),N(U87)+1))</f>
        <v/>
      </c>
      <c r="V88" s="19">
        <f>IF($B88="","",TEXT($B88,"0000"))</f>
        <v/>
      </c>
      <c r="W88" s="19">
        <f>IF($I88="","",IF(ISNUMBER($I88),TEXT($I88,"0"),$I88))</f>
        <v/>
      </c>
    </row>
    <row r="89">
      <c r="B89" s="25" t="n"/>
      <c r="I89" s="25" t="n"/>
      <c r="U89" s="19">
        <f>IF($V89&lt;&gt;'設定'!$C$4,N(U88),IF(OR(NOT(COUNTIF('商品マスタ'!$B$6:$B$1005,$W89)=0),COUNTIFS('①在庫を貼る'!$V$6:$V$10005,$V89,'①在庫を貼る'!$W$6:$W$10005,$W89)&gt;0),N(U88),N(U88)+1))</f>
        <v/>
      </c>
      <c r="V89" s="19">
        <f>IF($B89="","",TEXT($B89,"0000"))</f>
        <v/>
      </c>
      <c r="W89" s="19">
        <f>IF($I89="","",IF(ISNUMBER($I89),TEXT($I89,"0"),$I89))</f>
        <v/>
      </c>
    </row>
    <row r="90">
      <c r="B90" s="25" t="n"/>
      <c r="I90" s="25" t="n"/>
      <c r="U90" s="19">
        <f>IF($V90&lt;&gt;'設定'!$C$4,N(U89),IF(OR(NOT(COUNTIF('商品マスタ'!$B$6:$B$1005,$W90)=0),COUNTIFS('①在庫を貼る'!$V$6:$V$10005,$V90,'①在庫を貼る'!$W$6:$W$10005,$W90)&gt;0),N(U89),N(U89)+1))</f>
        <v/>
      </c>
      <c r="V90" s="19">
        <f>IF($B90="","",TEXT($B90,"0000"))</f>
        <v/>
      </c>
      <c r="W90" s="19">
        <f>IF($I90="","",IF(ISNUMBER($I90),TEXT($I90,"0"),$I90))</f>
        <v/>
      </c>
    </row>
    <row r="91">
      <c r="B91" s="25" t="n"/>
      <c r="I91" s="25" t="n"/>
      <c r="U91" s="19">
        <f>IF($V91&lt;&gt;'設定'!$C$4,N(U90),IF(OR(NOT(COUNTIF('商品マスタ'!$B$6:$B$1005,$W91)=0),COUNTIFS('①在庫を貼る'!$V$6:$V$10005,$V91,'①在庫を貼る'!$W$6:$W$10005,$W91)&gt;0),N(U90),N(U90)+1))</f>
        <v/>
      </c>
      <c r="V91" s="19">
        <f>IF($B91="","",TEXT($B91,"0000"))</f>
        <v/>
      </c>
      <c r="W91" s="19">
        <f>IF($I91="","",IF(ISNUMBER($I91),TEXT($I91,"0"),$I91))</f>
        <v/>
      </c>
    </row>
    <row r="92">
      <c r="B92" s="25" t="n"/>
      <c r="I92" s="25" t="n"/>
      <c r="U92" s="19">
        <f>IF($V92&lt;&gt;'設定'!$C$4,N(U91),IF(OR(NOT(COUNTIF('商品マスタ'!$B$6:$B$1005,$W92)=0),COUNTIFS('①在庫を貼る'!$V$6:$V$10005,$V92,'①在庫を貼る'!$W$6:$W$10005,$W92)&gt;0),N(U91),N(U91)+1))</f>
        <v/>
      </c>
      <c r="V92" s="19">
        <f>IF($B92="","",TEXT($B92,"0000"))</f>
        <v/>
      </c>
      <c r="W92" s="19">
        <f>IF($I92="","",IF(ISNUMBER($I92),TEXT($I92,"0"),$I92))</f>
        <v/>
      </c>
    </row>
    <row r="93">
      <c r="B93" s="25" t="n"/>
      <c r="I93" s="25" t="n"/>
      <c r="U93" s="19">
        <f>IF($V93&lt;&gt;'設定'!$C$4,N(U92),IF(OR(NOT(COUNTIF('商品マスタ'!$B$6:$B$1005,$W93)=0),COUNTIFS('①在庫を貼る'!$V$6:$V$10005,$V93,'①在庫を貼る'!$W$6:$W$10005,$W93)&gt;0),N(U92),N(U92)+1))</f>
        <v/>
      </c>
      <c r="V93" s="19">
        <f>IF($B93="","",TEXT($B93,"0000"))</f>
        <v/>
      </c>
      <c r="W93" s="19">
        <f>IF($I93="","",IF(ISNUMBER($I93),TEXT($I93,"0"),$I93))</f>
        <v/>
      </c>
    </row>
    <row r="94">
      <c r="B94" s="25" t="n"/>
      <c r="I94" s="25" t="n"/>
      <c r="U94" s="19">
        <f>IF($V94&lt;&gt;'設定'!$C$4,N(U93),IF(OR(NOT(COUNTIF('商品マスタ'!$B$6:$B$1005,$W94)=0),COUNTIFS('①在庫を貼る'!$V$6:$V$10005,$V94,'①在庫を貼る'!$W$6:$W$10005,$W94)&gt;0),N(U93),N(U93)+1))</f>
        <v/>
      </c>
      <c r="V94" s="19">
        <f>IF($B94="","",TEXT($B94,"0000"))</f>
        <v/>
      </c>
      <c r="W94" s="19">
        <f>IF($I94="","",IF(ISNUMBER($I94),TEXT($I94,"0"),$I94))</f>
        <v/>
      </c>
    </row>
    <row r="95">
      <c r="B95" s="25" t="n"/>
      <c r="I95" s="25" t="n"/>
      <c r="U95" s="19">
        <f>IF($V95&lt;&gt;'設定'!$C$4,N(U94),IF(OR(NOT(COUNTIF('商品マスタ'!$B$6:$B$1005,$W95)=0),COUNTIFS('①在庫を貼る'!$V$6:$V$10005,$V95,'①在庫を貼る'!$W$6:$W$10005,$W95)&gt;0),N(U94),N(U94)+1))</f>
        <v/>
      </c>
      <c r="V95" s="19">
        <f>IF($B95="","",TEXT($B95,"0000"))</f>
        <v/>
      </c>
      <c r="W95" s="19">
        <f>IF($I95="","",IF(ISNUMBER($I95),TEXT($I95,"0"),$I95))</f>
        <v/>
      </c>
    </row>
    <row r="96">
      <c r="B96" s="25" t="n"/>
      <c r="I96" s="25" t="n"/>
      <c r="U96" s="19">
        <f>IF($V96&lt;&gt;'設定'!$C$4,N(U95),IF(OR(NOT(COUNTIF('商品マスタ'!$B$6:$B$1005,$W96)=0),COUNTIFS('①在庫を貼る'!$V$6:$V$10005,$V96,'①在庫を貼る'!$W$6:$W$10005,$W96)&gt;0),N(U95),N(U95)+1))</f>
        <v/>
      </c>
      <c r="V96" s="19">
        <f>IF($B96="","",TEXT($B96,"0000"))</f>
        <v/>
      </c>
      <c r="W96" s="19">
        <f>IF($I96="","",IF(ISNUMBER($I96),TEXT($I96,"0"),$I96))</f>
        <v/>
      </c>
    </row>
    <row r="97">
      <c r="B97" s="25" t="n"/>
      <c r="I97" s="25" t="n"/>
      <c r="U97" s="19">
        <f>IF($V97&lt;&gt;'設定'!$C$4,N(U96),IF(OR(NOT(COUNTIF('商品マスタ'!$B$6:$B$1005,$W97)=0),COUNTIFS('①在庫を貼る'!$V$6:$V$10005,$V97,'①在庫を貼る'!$W$6:$W$10005,$W97)&gt;0),N(U96),N(U96)+1))</f>
        <v/>
      </c>
      <c r="V97" s="19">
        <f>IF($B97="","",TEXT($B97,"0000"))</f>
        <v/>
      </c>
      <c r="W97" s="19">
        <f>IF($I97="","",IF(ISNUMBER($I97),TEXT($I97,"0"),$I97))</f>
        <v/>
      </c>
    </row>
    <row r="98">
      <c r="B98" s="25" t="n"/>
      <c r="I98" s="25" t="n"/>
      <c r="U98" s="19">
        <f>IF($V98&lt;&gt;'設定'!$C$4,N(U97),IF(OR(NOT(COUNTIF('商品マスタ'!$B$6:$B$1005,$W98)=0),COUNTIFS('①在庫を貼る'!$V$6:$V$10005,$V98,'①在庫を貼る'!$W$6:$W$10005,$W98)&gt;0),N(U97),N(U97)+1))</f>
        <v/>
      </c>
      <c r="V98" s="19">
        <f>IF($B98="","",TEXT($B98,"0000"))</f>
        <v/>
      </c>
      <c r="W98" s="19">
        <f>IF($I98="","",IF(ISNUMBER($I98),TEXT($I98,"0"),$I98))</f>
        <v/>
      </c>
    </row>
    <row r="99">
      <c r="B99" s="25" t="n"/>
      <c r="I99" s="25" t="n"/>
      <c r="U99" s="19">
        <f>IF($V99&lt;&gt;'設定'!$C$4,N(U98),IF(OR(NOT(COUNTIF('商品マスタ'!$B$6:$B$1005,$W99)=0),COUNTIFS('①在庫を貼る'!$V$6:$V$10005,$V99,'①在庫を貼る'!$W$6:$W$10005,$W99)&gt;0),N(U98),N(U98)+1))</f>
        <v/>
      </c>
      <c r="V99" s="19">
        <f>IF($B99="","",TEXT($B99,"0000"))</f>
        <v/>
      </c>
      <c r="W99" s="19">
        <f>IF($I99="","",IF(ISNUMBER($I99),TEXT($I99,"0"),$I99))</f>
        <v/>
      </c>
    </row>
    <row r="100">
      <c r="B100" s="25" t="n"/>
      <c r="I100" s="25" t="n"/>
      <c r="U100" s="19">
        <f>IF($V100&lt;&gt;'設定'!$C$4,N(U99),IF(OR(NOT(COUNTIF('商品マスタ'!$B$6:$B$1005,$W100)=0),COUNTIFS('①在庫を貼る'!$V$6:$V$10005,$V100,'①在庫を貼る'!$W$6:$W$10005,$W100)&gt;0),N(U99),N(U99)+1))</f>
        <v/>
      </c>
      <c r="V100" s="19">
        <f>IF($B100="","",TEXT($B100,"0000"))</f>
        <v/>
      </c>
      <c r="W100" s="19">
        <f>IF($I100="","",IF(ISNUMBER($I100),TEXT($I100,"0"),$I100))</f>
        <v/>
      </c>
    </row>
    <row r="101">
      <c r="B101" s="25" t="n"/>
      <c r="I101" s="25" t="n"/>
      <c r="U101" s="19">
        <f>IF($V101&lt;&gt;'設定'!$C$4,N(U100),IF(OR(NOT(COUNTIF('商品マスタ'!$B$6:$B$1005,$W101)=0),COUNTIFS('①在庫を貼る'!$V$6:$V$10005,$V101,'①在庫を貼る'!$W$6:$W$10005,$W101)&gt;0),N(U100),N(U100)+1))</f>
        <v/>
      </c>
      <c r="V101" s="19">
        <f>IF($B101="","",TEXT($B101,"0000"))</f>
        <v/>
      </c>
      <c r="W101" s="19">
        <f>IF($I101="","",IF(ISNUMBER($I101),TEXT($I101,"0"),$I101))</f>
        <v/>
      </c>
    </row>
    <row r="102">
      <c r="B102" s="25" t="n"/>
      <c r="I102" s="25" t="n"/>
      <c r="U102" s="19">
        <f>IF($V102&lt;&gt;'設定'!$C$4,N(U101),IF(OR(NOT(COUNTIF('商品マスタ'!$B$6:$B$1005,$W102)=0),COUNTIFS('①在庫を貼る'!$V$6:$V$10005,$V102,'①在庫を貼る'!$W$6:$W$10005,$W102)&gt;0),N(U101),N(U101)+1))</f>
        <v/>
      </c>
      <c r="V102" s="19">
        <f>IF($B102="","",TEXT($B102,"0000"))</f>
        <v/>
      </c>
      <c r="W102" s="19">
        <f>IF($I102="","",IF(ISNUMBER($I102),TEXT($I102,"0"),$I102))</f>
        <v/>
      </c>
    </row>
    <row r="103">
      <c r="B103" s="25" t="n"/>
      <c r="I103" s="25" t="n"/>
      <c r="U103" s="19">
        <f>IF($V103&lt;&gt;'設定'!$C$4,N(U102),IF(OR(NOT(COUNTIF('商品マスタ'!$B$6:$B$1005,$W103)=0),COUNTIFS('①在庫を貼る'!$V$6:$V$10005,$V103,'①在庫を貼る'!$W$6:$W$10005,$W103)&gt;0),N(U102),N(U102)+1))</f>
        <v/>
      </c>
      <c r="V103" s="19">
        <f>IF($B103="","",TEXT($B103,"0000"))</f>
        <v/>
      </c>
      <c r="W103" s="19">
        <f>IF($I103="","",IF(ISNUMBER($I103),TEXT($I103,"0"),$I103))</f>
        <v/>
      </c>
    </row>
    <row r="104">
      <c r="B104" s="25" t="n"/>
      <c r="I104" s="25" t="n"/>
      <c r="U104" s="19">
        <f>IF($V104&lt;&gt;'設定'!$C$4,N(U103),IF(OR(NOT(COUNTIF('商品マスタ'!$B$6:$B$1005,$W104)=0),COUNTIFS('①在庫を貼る'!$V$6:$V$10005,$V104,'①在庫を貼る'!$W$6:$W$10005,$W104)&gt;0),N(U103),N(U103)+1))</f>
        <v/>
      </c>
      <c r="V104" s="19">
        <f>IF($B104="","",TEXT($B104,"0000"))</f>
        <v/>
      </c>
      <c r="W104" s="19">
        <f>IF($I104="","",IF(ISNUMBER($I104),TEXT($I104,"0"),$I104))</f>
        <v/>
      </c>
    </row>
    <row r="105">
      <c r="B105" s="25" t="n"/>
      <c r="I105" s="25" t="n"/>
      <c r="U105" s="19">
        <f>IF($V105&lt;&gt;'設定'!$C$4,N(U104),IF(OR(NOT(COUNTIF('商品マスタ'!$B$6:$B$1005,$W105)=0),COUNTIFS('①在庫を貼る'!$V$6:$V$10005,$V105,'①在庫を貼る'!$W$6:$W$10005,$W105)&gt;0),N(U104),N(U104)+1))</f>
        <v/>
      </c>
      <c r="V105" s="19">
        <f>IF($B105="","",TEXT($B105,"0000"))</f>
        <v/>
      </c>
      <c r="W105" s="19">
        <f>IF($I105="","",IF(ISNUMBER($I105),TEXT($I105,"0"),$I105))</f>
        <v/>
      </c>
    </row>
    <row r="106">
      <c r="B106" s="25" t="n"/>
      <c r="I106" s="25" t="n"/>
      <c r="U106" s="19">
        <f>IF($V106&lt;&gt;'設定'!$C$4,N(U105),IF(OR(NOT(COUNTIF('商品マスタ'!$B$6:$B$1005,$W106)=0),COUNTIFS('①在庫を貼る'!$V$6:$V$10005,$V106,'①在庫を貼る'!$W$6:$W$10005,$W106)&gt;0),N(U105),N(U105)+1))</f>
        <v/>
      </c>
      <c r="V106" s="19">
        <f>IF($B106="","",TEXT($B106,"0000"))</f>
        <v/>
      </c>
      <c r="W106" s="19">
        <f>IF($I106="","",IF(ISNUMBER($I106),TEXT($I106,"0"),$I106))</f>
        <v/>
      </c>
    </row>
    <row r="107">
      <c r="B107" s="25" t="n"/>
      <c r="I107" s="25" t="n"/>
      <c r="U107" s="19">
        <f>IF($V107&lt;&gt;'設定'!$C$4,N(U106),IF(OR(NOT(COUNTIF('商品マスタ'!$B$6:$B$1005,$W107)=0),COUNTIFS('①在庫を貼る'!$V$6:$V$10005,$V107,'①在庫を貼る'!$W$6:$W$10005,$W107)&gt;0),N(U106),N(U106)+1))</f>
        <v/>
      </c>
      <c r="V107" s="19">
        <f>IF($B107="","",TEXT($B107,"0000"))</f>
        <v/>
      </c>
      <c r="W107" s="19">
        <f>IF($I107="","",IF(ISNUMBER($I107),TEXT($I107,"0"),$I107))</f>
        <v/>
      </c>
    </row>
    <row r="108">
      <c r="B108" s="25" t="n"/>
      <c r="I108" s="25" t="n"/>
      <c r="U108" s="19">
        <f>IF($V108&lt;&gt;'設定'!$C$4,N(U107),IF(OR(NOT(COUNTIF('商品マスタ'!$B$6:$B$1005,$W108)=0),COUNTIFS('①在庫を貼る'!$V$6:$V$10005,$V108,'①在庫を貼る'!$W$6:$W$10005,$W108)&gt;0),N(U107),N(U107)+1))</f>
        <v/>
      </c>
      <c r="V108" s="19">
        <f>IF($B108="","",TEXT($B108,"0000"))</f>
        <v/>
      </c>
      <c r="W108" s="19">
        <f>IF($I108="","",IF(ISNUMBER($I108),TEXT($I108,"0"),$I108))</f>
        <v/>
      </c>
    </row>
    <row r="109">
      <c r="B109" s="25" t="n"/>
      <c r="I109" s="25" t="n"/>
      <c r="U109" s="19">
        <f>IF($V109&lt;&gt;'設定'!$C$4,N(U108),IF(OR(NOT(COUNTIF('商品マスタ'!$B$6:$B$1005,$W109)=0),COUNTIFS('①在庫を貼る'!$V$6:$V$10005,$V109,'①在庫を貼る'!$W$6:$W$10005,$W109)&gt;0),N(U108),N(U108)+1))</f>
        <v/>
      </c>
      <c r="V109" s="19">
        <f>IF($B109="","",TEXT($B109,"0000"))</f>
        <v/>
      </c>
      <c r="W109" s="19">
        <f>IF($I109="","",IF(ISNUMBER($I109),TEXT($I109,"0"),$I109))</f>
        <v/>
      </c>
    </row>
    <row r="110">
      <c r="B110" s="25" t="n"/>
      <c r="I110" s="25" t="n"/>
      <c r="U110" s="19">
        <f>IF($V110&lt;&gt;'設定'!$C$4,N(U109),IF(OR(NOT(COUNTIF('商品マスタ'!$B$6:$B$1005,$W110)=0),COUNTIFS('①在庫を貼る'!$V$6:$V$10005,$V110,'①在庫を貼る'!$W$6:$W$10005,$W110)&gt;0),N(U109),N(U109)+1))</f>
        <v/>
      </c>
      <c r="V110" s="19">
        <f>IF($B110="","",TEXT($B110,"0000"))</f>
        <v/>
      </c>
      <c r="W110" s="19">
        <f>IF($I110="","",IF(ISNUMBER($I110),TEXT($I110,"0"),$I110))</f>
        <v/>
      </c>
    </row>
    <row r="111">
      <c r="B111" s="25" t="n"/>
      <c r="I111" s="25" t="n"/>
      <c r="U111" s="19">
        <f>IF($V111&lt;&gt;'設定'!$C$4,N(U110),IF(OR(NOT(COUNTIF('商品マスタ'!$B$6:$B$1005,$W111)=0),COUNTIFS('①在庫を貼る'!$V$6:$V$10005,$V111,'①在庫を貼る'!$W$6:$W$10005,$W111)&gt;0),N(U110),N(U110)+1))</f>
        <v/>
      </c>
      <c r="V111" s="19">
        <f>IF($B111="","",TEXT($B111,"0000"))</f>
        <v/>
      </c>
      <c r="W111" s="19">
        <f>IF($I111="","",IF(ISNUMBER($I111),TEXT($I111,"0"),$I111))</f>
        <v/>
      </c>
    </row>
    <row r="112">
      <c r="B112" s="25" t="n"/>
      <c r="I112" s="25" t="n"/>
      <c r="U112" s="19">
        <f>IF($V112&lt;&gt;'設定'!$C$4,N(U111),IF(OR(NOT(COUNTIF('商品マスタ'!$B$6:$B$1005,$W112)=0),COUNTIFS('①在庫を貼る'!$V$6:$V$10005,$V112,'①在庫を貼る'!$W$6:$W$10005,$W112)&gt;0),N(U111),N(U111)+1))</f>
        <v/>
      </c>
      <c r="V112" s="19">
        <f>IF($B112="","",TEXT($B112,"0000"))</f>
        <v/>
      </c>
      <c r="W112" s="19">
        <f>IF($I112="","",IF(ISNUMBER($I112),TEXT($I112,"0"),$I112))</f>
        <v/>
      </c>
    </row>
    <row r="113">
      <c r="B113" s="25" t="n"/>
      <c r="I113" s="25" t="n"/>
      <c r="U113" s="19">
        <f>IF($V113&lt;&gt;'設定'!$C$4,N(U112),IF(OR(NOT(COUNTIF('商品マスタ'!$B$6:$B$1005,$W113)=0),COUNTIFS('①在庫を貼る'!$V$6:$V$10005,$V113,'①在庫を貼る'!$W$6:$W$10005,$W113)&gt;0),N(U112),N(U112)+1))</f>
        <v/>
      </c>
      <c r="V113" s="19">
        <f>IF($B113="","",TEXT($B113,"0000"))</f>
        <v/>
      </c>
      <c r="W113" s="19">
        <f>IF($I113="","",IF(ISNUMBER($I113),TEXT($I113,"0"),$I113))</f>
        <v/>
      </c>
    </row>
    <row r="114">
      <c r="B114" s="25" t="n"/>
      <c r="I114" s="25" t="n"/>
      <c r="U114" s="19">
        <f>IF($V114&lt;&gt;'設定'!$C$4,N(U113),IF(OR(NOT(COUNTIF('商品マスタ'!$B$6:$B$1005,$W114)=0),COUNTIFS('①在庫を貼る'!$V$6:$V$10005,$V114,'①在庫を貼る'!$W$6:$W$10005,$W114)&gt;0),N(U113),N(U113)+1))</f>
        <v/>
      </c>
      <c r="V114" s="19">
        <f>IF($B114="","",TEXT($B114,"0000"))</f>
        <v/>
      </c>
      <c r="W114" s="19">
        <f>IF($I114="","",IF(ISNUMBER($I114),TEXT($I114,"0"),$I114))</f>
        <v/>
      </c>
    </row>
    <row r="115">
      <c r="B115" s="25" t="n"/>
      <c r="I115" s="25" t="n"/>
      <c r="U115" s="19">
        <f>IF($V115&lt;&gt;'設定'!$C$4,N(U114),IF(OR(NOT(COUNTIF('商品マスタ'!$B$6:$B$1005,$W115)=0),COUNTIFS('①在庫を貼る'!$V$6:$V$10005,$V115,'①在庫を貼る'!$W$6:$W$10005,$W115)&gt;0),N(U114),N(U114)+1))</f>
        <v/>
      </c>
      <c r="V115" s="19">
        <f>IF($B115="","",TEXT($B115,"0000"))</f>
        <v/>
      </c>
      <c r="W115" s="19">
        <f>IF($I115="","",IF(ISNUMBER($I115),TEXT($I115,"0"),$I115))</f>
        <v/>
      </c>
    </row>
    <row r="116">
      <c r="B116" s="25" t="n"/>
      <c r="I116" s="25" t="n"/>
      <c r="U116" s="19">
        <f>IF($V116&lt;&gt;'設定'!$C$4,N(U115),IF(OR(NOT(COUNTIF('商品マスタ'!$B$6:$B$1005,$W116)=0),COUNTIFS('①在庫を貼る'!$V$6:$V$10005,$V116,'①在庫を貼る'!$W$6:$W$10005,$W116)&gt;0),N(U115),N(U115)+1))</f>
        <v/>
      </c>
      <c r="V116" s="19">
        <f>IF($B116="","",TEXT($B116,"0000"))</f>
        <v/>
      </c>
      <c r="W116" s="19">
        <f>IF($I116="","",IF(ISNUMBER($I116),TEXT($I116,"0"),$I116))</f>
        <v/>
      </c>
    </row>
    <row r="117">
      <c r="B117" s="25" t="n"/>
      <c r="I117" s="25" t="n"/>
      <c r="U117" s="19">
        <f>IF($V117&lt;&gt;'設定'!$C$4,N(U116),IF(OR(NOT(COUNTIF('商品マスタ'!$B$6:$B$1005,$W117)=0),COUNTIFS('①在庫を貼る'!$V$6:$V$10005,$V117,'①在庫を貼る'!$W$6:$W$10005,$W117)&gt;0),N(U116),N(U116)+1))</f>
        <v/>
      </c>
      <c r="V117" s="19">
        <f>IF($B117="","",TEXT($B117,"0000"))</f>
        <v/>
      </c>
      <c r="W117" s="19">
        <f>IF($I117="","",IF(ISNUMBER($I117),TEXT($I117,"0"),$I117))</f>
        <v/>
      </c>
    </row>
    <row r="118">
      <c r="B118" s="25" t="n"/>
      <c r="I118" s="25" t="n"/>
      <c r="U118" s="19">
        <f>IF($V118&lt;&gt;'設定'!$C$4,N(U117),IF(OR(NOT(COUNTIF('商品マスタ'!$B$6:$B$1005,$W118)=0),COUNTIFS('①在庫を貼る'!$V$6:$V$10005,$V118,'①在庫を貼る'!$W$6:$W$10005,$W118)&gt;0),N(U117),N(U117)+1))</f>
        <v/>
      </c>
      <c r="V118" s="19">
        <f>IF($B118="","",TEXT($B118,"0000"))</f>
        <v/>
      </c>
      <c r="W118" s="19">
        <f>IF($I118="","",IF(ISNUMBER($I118),TEXT($I118,"0"),$I118))</f>
        <v/>
      </c>
    </row>
    <row r="119">
      <c r="B119" s="25" t="n"/>
      <c r="I119" s="25" t="n"/>
      <c r="U119" s="19">
        <f>IF($V119&lt;&gt;'設定'!$C$4,N(U118),IF(OR(NOT(COUNTIF('商品マスタ'!$B$6:$B$1005,$W119)=0),COUNTIFS('①在庫を貼る'!$V$6:$V$10005,$V119,'①在庫を貼る'!$W$6:$W$10005,$W119)&gt;0),N(U118),N(U118)+1))</f>
        <v/>
      </c>
      <c r="V119" s="19">
        <f>IF($B119="","",TEXT($B119,"0000"))</f>
        <v/>
      </c>
      <c r="W119" s="19">
        <f>IF($I119="","",IF(ISNUMBER($I119),TEXT($I119,"0"),$I119))</f>
        <v/>
      </c>
    </row>
    <row r="120">
      <c r="B120" s="25" t="n"/>
      <c r="I120" s="25" t="n"/>
      <c r="U120" s="19">
        <f>IF($V120&lt;&gt;'設定'!$C$4,N(U119),IF(OR(NOT(COUNTIF('商品マスタ'!$B$6:$B$1005,$W120)=0),COUNTIFS('①在庫を貼る'!$V$6:$V$10005,$V120,'①在庫を貼る'!$W$6:$W$10005,$W120)&gt;0),N(U119),N(U119)+1))</f>
        <v/>
      </c>
      <c r="V120" s="19">
        <f>IF($B120="","",TEXT($B120,"0000"))</f>
        <v/>
      </c>
      <c r="W120" s="19">
        <f>IF($I120="","",IF(ISNUMBER($I120),TEXT($I120,"0"),$I120))</f>
        <v/>
      </c>
    </row>
    <row r="121">
      <c r="B121" s="25" t="n"/>
      <c r="I121" s="25" t="n"/>
      <c r="U121" s="19">
        <f>IF($V121&lt;&gt;'設定'!$C$4,N(U120),IF(OR(NOT(COUNTIF('商品マスタ'!$B$6:$B$1005,$W121)=0),COUNTIFS('①在庫を貼る'!$V$6:$V$10005,$V121,'①在庫を貼る'!$W$6:$W$10005,$W121)&gt;0),N(U120),N(U120)+1))</f>
        <v/>
      </c>
      <c r="V121" s="19">
        <f>IF($B121="","",TEXT($B121,"0000"))</f>
        <v/>
      </c>
      <c r="W121" s="19">
        <f>IF($I121="","",IF(ISNUMBER($I121),TEXT($I121,"0"),$I121))</f>
        <v/>
      </c>
    </row>
    <row r="122">
      <c r="B122" s="25" t="n"/>
      <c r="I122" s="25" t="n"/>
      <c r="U122" s="19">
        <f>IF($V122&lt;&gt;'設定'!$C$4,N(U121),IF(OR(NOT(COUNTIF('商品マスタ'!$B$6:$B$1005,$W122)=0),COUNTIFS('①在庫を貼る'!$V$6:$V$10005,$V122,'①在庫を貼る'!$W$6:$W$10005,$W122)&gt;0),N(U121),N(U121)+1))</f>
        <v/>
      </c>
      <c r="V122" s="19">
        <f>IF($B122="","",TEXT($B122,"0000"))</f>
        <v/>
      </c>
      <c r="W122" s="19">
        <f>IF($I122="","",IF(ISNUMBER($I122),TEXT($I122,"0"),$I122))</f>
        <v/>
      </c>
    </row>
    <row r="123">
      <c r="B123" s="25" t="n"/>
      <c r="I123" s="25" t="n"/>
      <c r="U123" s="19">
        <f>IF($V123&lt;&gt;'設定'!$C$4,N(U122),IF(OR(NOT(COUNTIF('商品マスタ'!$B$6:$B$1005,$W123)=0),COUNTIFS('①在庫を貼る'!$V$6:$V$10005,$V123,'①在庫を貼る'!$W$6:$W$10005,$W123)&gt;0),N(U122),N(U122)+1))</f>
        <v/>
      </c>
      <c r="V123" s="19">
        <f>IF($B123="","",TEXT($B123,"0000"))</f>
        <v/>
      </c>
      <c r="W123" s="19">
        <f>IF($I123="","",IF(ISNUMBER($I123),TEXT($I123,"0"),$I123))</f>
        <v/>
      </c>
    </row>
    <row r="124">
      <c r="B124" s="25" t="n"/>
      <c r="I124" s="25" t="n"/>
      <c r="U124" s="19">
        <f>IF($V124&lt;&gt;'設定'!$C$4,N(U123),IF(OR(NOT(COUNTIF('商品マスタ'!$B$6:$B$1005,$W124)=0),COUNTIFS('①在庫を貼る'!$V$6:$V$10005,$V124,'①在庫を貼る'!$W$6:$W$10005,$W124)&gt;0),N(U123),N(U123)+1))</f>
        <v/>
      </c>
      <c r="V124" s="19">
        <f>IF($B124="","",TEXT($B124,"0000"))</f>
        <v/>
      </c>
      <c r="W124" s="19">
        <f>IF($I124="","",IF(ISNUMBER($I124),TEXT($I124,"0"),$I124))</f>
        <v/>
      </c>
    </row>
    <row r="125">
      <c r="B125" s="25" t="n"/>
      <c r="I125" s="25" t="n"/>
      <c r="U125" s="19">
        <f>IF($V125&lt;&gt;'設定'!$C$4,N(U124),IF(OR(NOT(COUNTIF('商品マスタ'!$B$6:$B$1005,$W125)=0),COUNTIFS('①在庫を貼る'!$V$6:$V$10005,$V125,'①在庫を貼る'!$W$6:$W$10005,$W125)&gt;0),N(U124),N(U124)+1))</f>
        <v/>
      </c>
      <c r="V125" s="19">
        <f>IF($B125="","",TEXT($B125,"0000"))</f>
        <v/>
      </c>
      <c r="W125" s="19">
        <f>IF($I125="","",IF(ISNUMBER($I125),TEXT($I125,"0"),$I125))</f>
        <v/>
      </c>
    </row>
    <row r="126">
      <c r="B126" s="25" t="n"/>
      <c r="I126" s="25" t="n"/>
      <c r="U126" s="19">
        <f>IF($V126&lt;&gt;'設定'!$C$4,N(U125),IF(OR(NOT(COUNTIF('商品マスタ'!$B$6:$B$1005,$W126)=0),COUNTIFS('①在庫を貼る'!$V$6:$V$10005,$V126,'①在庫を貼る'!$W$6:$W$10005,$W126)&gt;0),N(U125),N(U125)+1))</f>
        <v/>
      </c>
      <c r="V126" s="19">
        <f>IF($B126="","",TEXT($B126,"0000"))</f>
        <v/>
      </c>
      <c r="W126" s="19">
        <f>IF($I126="","",IF(ISNUMBER($I126),TEXT($I126,"0"),$I126))</f>
        <v/>
      </c>
    </row>
    <row r="127">
      <c r="B127" s="25" t="n"/>
      <c r="I127" s="25" t="n"/>
      <c r="U127" s="19">
        <f>IF($V127&lt;&gt;'設定'!$C$4,N(U126),IF(OR(NOT(COUNTIF('商品マスタ'!$B$6:$B$1005,$W127)=0),COUNTIFS('①在庫を貼る'!$V$6:$V$10005,$V127,'①在庫を貼る'!$W$6:$W$10005,$W127)&gt;0),N(U126),N(U126)+1))</f>
        <v/>
      </c>
      <c r="V127" s="19">
        <f>IF($B127="","",TEXT($B127,"0000"))</f>
        <v/>
      </c>
      <c r="W127" s="19">
        <f>IF($I127="","",IF(ISNUMBER($I127),TEXT($I127,"0"),$I127))</f>
        <v/>
      </c>
    </row>
    <row r="128">
      <c r="B128" s="25" t="n"/>
      <c r="I128" s="25" t="n"/>
      <c r="U128" s="19">
        <f>IF($V128&lt;&gt;'設定'!$C$4,N(U127),IF(OR(NOT(COUNTIF('商品マスタ'!$B$6:$B$1005,$W128)=0),COUNTIFS('①在庫を貼る'!$V$6:$V$10005,$V128,'①在庫を貼る'!$W$6:$W$10005,$W128)&gt;0),N(U127),N(U127)+1))</f>
        <v/>
      </c>
      <c r="V128" s="19">
        <f>IF($B128="","",TEXT($B128,"0000"))</f>
        <v/>
      </c>
      <c r="W128" s="19">
        <f>IF($I128="","",IF(ISNUMBER($I128),TEXT($I128,"0"),$I128))</f>
        <v/>
      </c>
    </row>
    <row r="129">
      <c r="B129" s="25" t="n"/>
      <c r="I129" s="25" t="n"/>
      <c r="U129" s="19">
        <f>IF($V129&lt;&gt;'設定'!$C$4,N(U128),IF(OR(NOT(COUNTIF('商品マスタ'!$B$6:$B$1005,$W129)=0),COUNTIFS('①在庫を貼る'!$V$6:$V$10005,$V129,'①在庫を貼る'!$W$6:$W$10005,$W129)&gt;0),N(U128),N(U128)+1))</f>
        <v/>
      </c>
      <c r="V129" s="19">
        <f>IF($B129="","",TEXT($B129,"0000"))</f>
        <v/>
      </c>
      <c r="W129" s="19">
        <f>IF($I129="","",IF(ISNUMBER($I129),TEXT($I129,"0"),$I129))</f>
        <v/>
      </c>
    </row>
    <row r="130">
      <c r="B130" s="25" t="n"/>
      <c r="I130" s="25" t="n"/>
      <c r="U130" s="19">
        <f>IF($V130&lt;&gt;'設定'!$C$4,N(U129),IF(OR(NOT(COUNTIF('商品マスタ'!$B$6:$B$1005,$W130)=0),COUNTIFS('①在庫を貼る'!$V$6:$V$10005,$V130,'①在庫を貼る'!$W$6:$W$10005,$W130)&gt;0),N(U129),N(U129)+1))</f>
        <v/>
      </c>
      <c r="V130" s="19">
        <f>IF($B130="","",TEXT($B130,"0000"))</f>
        <v/>
      </c>
      <c r="W130" s="19">
        <f>IF($I130="","",IF(ISNUMBER($I130),TEXT($I130,"0"),$I130))</f>
        <v/>
      </c>
    </row>
    <row r="131">
      <c r="B131" s="25" t="n"/>
      <c r="I131" s="25" t="n"/>
      <c r="U131" s="19">
        <f>IF($V131&lt;&gt;'設定'!$C$4,N(U130),IF(OR(NOT(COUNTIF('商品マスタ'!$B$6:$B$1005,$W131)=0),COUNTIFS('①在庫を貼る'!$V$6:$V$10005,$V131,'①在庫を貼る'!$W$6:$W$10005,$W131)&gt;0),N(U130),N(U130)+1))</f>
        <v/>
      </c>
      <c r="V131" s="19">
        <f>IF($B131="","",TEXT($B131,"0000"))</f>
        <v/>
      </c>
      <c r="W131" s="19">
        <f>IF($I131="","",IF(ISNUMBER($I131),TEXT($I131,"0"),$I131))</f>
        <v/>
      </c>
    </row>
    <row r="132">
      <c r="B132" s="25" t="n"/>
      <c r="I132" s="25" t="n"/>
      <c r="U132" s="19">
        <f>IF($V132&lt;&gt;'設定'!$C$4,N(U131),IF(OR(NOT(COUNTIF('商品マスタ'!$B$6:$B$1005,$W132)=0),COUNTIFS('①在庫を貼る'!$V$6:$V$10005,$V132,'①在庫を貼る'!$W$6:$W$10005,$W132)&gt;0),N(U131),N(U131)+1))</f>
        <v/>
      </c>
      <c r="V132" s="19">
        <f>IF($B132="","",TEXT($B132,"0000"))</f>
        <v/>
      </c>
      <c r="W132" s="19">
        <f>IF($I132="","",IF(ISNUMBER($I132),TEXT($I132,"0"),$I132))</f>
        <v/>
      </c>
    </row>
    <row r="133">
      <c r="B133" s="25" t="n"/>
      <c r="I133" s="25" t="n"/>
      <c r="U133" s="19">
        <f>IF($V133&lt;&gt;'設定'!$C$4,N(U132),IF(OR(NOT(COUNTIF('商品マスタ'!$B$6:$B$1005,$W133)=0),COUNTIFS('①在庫を貼る'!$V$6:$V$10005,$V133,'①在庫を貼る'!$W$6:$W$10005,$W133)&gt;0),N(U132),N(U132)+1))</f>
        <v/>
      </c>
      <c r="V133" s="19">
        <f>IF($B133="","",TEXT($B133,"0000"))</f>
        <v/>
      </c>
      <c r="W133" s="19">
        <f>IF($I133="","",IF(ISNUMBER($I133),TEXT($I133,"0"),$I133))</f>
        <v/>
      </c>
    </row>
    <row r="134">
      <c r="B134" s="25" t="n"/>
      <c r="I134" s="25" t="n"/>
      <c r="U134" s="19">
        <f>IF($V134&lt;&gt;'設定'!$C$4,N(U133),IF(OR(NOT(COUNTIF('商品マスタ'!$B$6:$B$1005,$W134)=0),COUNTIFS('①在庫を貼る'!$V$6:$V$10005,$V134,'①在庫を貼る'!$W$6:$W$10005,$W134)&gt;0),N(U133),N(U133)+1))</f>
        <v/>
      </c>
      <c r="V134" s="19">
        <f>IF($B134="","",TEXT($B134,"0000"))</f>
        <v/>
      </c>
      <c r="W134" s="19">
        <f>IF($I134="","",IF(ISNUMBER($I134),TEXT($I134,"0"),$I134))</f>
        <v/>
      </c>
    </row>
    <row r="135">
      <c r="B135" s="25" t="n"/>
      <c r="I135" s="25" t="n"/>
      <c r="U135" s="19">
        <f>IF($V135&lt;&gt;'設定'!$C$4,N(U134),IF(OR(NOT(COUNTIF('商品マスタ'!$B$6:$B$1005,$W135)=0),COUNTIFS('①在庫を貼る'!$V$6:$V$10005,$V135,'①在庫を貼る'!$W$6:$W$10005,$W135)&gt;0),N(U134),N(U134)+1))</f>
        <v/>
      </c>
      <c r="V135" s="19">
        <f>IF($B135="","",TEXT($B135,"0000"))</f>
        <v/>
      </c>
      <c r="W135" s="19">
        <f>IF($I135="","",IF(ISNUMBER($I135),TEXT($I135,"0"),$I135))</f>
        <v/>
      </c>
    </row>
    <row r="136">
      <c r="B136" s="25" t="n"/>
      <c r="I136" s="25" t="n"/>
      <c r="U136" s="19">
        <f>IF($V136&lt;&gt;'設定'!$C$4,N(U135),IF(OR(NOT(COUNTIF('商品マスタ'!$B$6:$B$1005,$W136)=0),COUNTIFS('①在庫を貼る'!$V$6:$V$10005,$V136,'①在庫を貼る'!$W$6:$W$10005,$W136)&gt;0),N(U135),N(U135)+1))</f>
        <v/>
      </c>
      <c r="V136" s="19">
        <f>IF($B136="","",TEXT($B136,"0000"))</f>
        <v/>
      </c>
      <c r="W136" s="19">
        <f>IF($I136="","",IF(ISNUMBER($I136),TEXT($I136,"0"),$I136))</f>
        <v/>
      </c>
    </row>
    <row r="137">
      <c r="B137" s="25" t="n"/>
      <c r="I137" s="25" t="n"/>
      <c r="U137" s="19">
        <f>IF($V137&lt;&gt;'設定'!$C$4,N(U136),IF(OR(NOT(COUNTIF('商品マスタ'!$B$6:$B$1005,$W137)=0),COUNTIFS('①在庫を貼る'!$V$6:$V$10005,$V137,'①在庫を貼る'!$W$6:$W$10005,$W137)&gt;0),N(U136),N(U136)+1))</f>
        <v/>
      </c>
      <c r="V137" s="19">
        <f>IF($B137="","",TEXT($B137,"0000"))</f>
        <v/>
      </c>
      <c r="W137" s="19">
        <f>IF($I137="","",IF(ISNUMBER($I137),TEXT($I137,"0"),$I137))</f>
        <v/>
      </c>
    </row>
    <row r="138">
      <c r="B138" s="25" t="n"/>
      <c r="I138" s="25" t="n"/>
      <c r="U138" s="19">
        <f>IF($V138&lt;&gt;'設定'!$C$4,N(U137),IF(OR(NOT(COUNTIF('商品マスタ'!$B$6:$B$1005,$W138)=0),COUNTIFS('①在庫を貼る'!$V$6:$V$10005,$V138,'①在庫を貼る'!$W$6:$W$10005,$W138)&gt;0),N(U137),N(U137)+1))</f>
        <v/>
      </c>
      <c r="V138" s="19">
        <f>IF($B138="","",TEXT($B138,"0000"))</f>
        <v/>
      </c>
      <c r="W138" s="19">
        <f>IF($I138="","",IF(ISNUMBER($I138),TEXT($I138,"0"),$I138))</f>
        <v/>
      </c>
    </row>
    <row r="139">
      <c r="B139" s="25" t="n"/>
      <c r="I139" s="25" t="n"/>
      <c r="U139" s="19">
        <f>IF($V139&lt;&gt;'設定'!$C$4,N(U138),IF(OR(NOT(COUNTIF('商品マスタ'!$B$6:$B$1005,$W139)=0),COUNTIFS('①在庫を貼る'!$V$6:$V$10005,$V139,'①在庫を貼る'!$W$6:$W$10005,$W139)&gt;0),N(U138),N(U138)+1))</f>
        <v/>
      </c>
      <c r="V139" s="19">
        <f>IF($B139="","",TEXT($B139,"0000"))</f>
        <v/>
      </c>
      <c r="W139" s="19">
        <f>IF($I139="","",IF(ISNUMBER($I139),TEXT($I139,"0"),$I139))</f>
        <v/>
      </c>
    </row>
    <row r="140">
      <c r="B140" s="25" t="n"/>
      <c r="I140" s="25" t="n"/>
      <c r="U140" s="19">
        <f>IF($V140&lt;&gt;'設定'!$C$4,N(U139),IF(OR(NOT(COUNTIF('商品マスタ'!$B$6:$B$1005,$W140)=0),COUNTIFS('①在庫を貼る'!$V$6:$V$10005,$V140,'①在庫を貼る'!$W$6:$W$10005,$W140)&gt;0),N(U139),N(U139)+1))</f>
        <v/>
      </c>
      <c r="V140" s="19">
        <f>IF($B140="","",TEXT($B140,"0000"))</f>
        <v/>
      </c>
      <c r="W140" s="19">
        <f>IF($I140="","",IF(ISNUMBER($I140),TEXT($I140,"0"),$I140))</f>
        <v/>
      </c>
    </row>
    <row r="141">
      <c r="B141" s="25" t="n"/>
      <c r="I141" s="25" t="n"/>
      <c r="U141" s="19">
        <f>IF($V141&lt;&gt;'設定'!$C$4,N(U140),IF(OR(NOT(COUNTIF('商品マスタ'!$B$6:$B$1005,$W141)=0),COUNTIFS('①在庫を貼る'!$V$6:$V$10005,$V141,'①在庫を貼る'!$W$6:$W$10005,$W141)&gt;0),N(U140),N(U140)+1))</f>
        <v/>
      </c>
      <c r="V141" s="19">
        <f>IF($B141="","",TEXT($B141,"0000"))</f>
        <v/>
      </c>
      <c r="W141" s="19">
        <f>IF($I141="","",IF(ISNUMBER($I141),TEXT($I141,"0"),$I141))</f>
        <v/>
      </c>
    </row>
    <row r="142">
      <c r="B142" s="25" t="n"/>
      <c r="I142" s="25" t="n"/>
      <c r="U142" s="19">
        <f>IF($V142&lt;&gt;'設定'!$C$4,N(U141),IF(OR(NOT(COUNTIF('商品マスタ'!$B$6:$B$1005,$W142)=0),COUNTIFS('①在庫を貼る'!$V$6:$V$10005,$V142,'①在庫を貼る'!$W$6:$W$10005,$W142)&gt;0),N(U141),N(U141)+1))</f>
        <v/>
      </c>
      <c r="V142" s="19">
        <f>IF($B142="","",TEXT($B142,"0000"))</f>
        <v/>
      </c>
      <c r="W142" s="19">
        <f>IF($I142="","",IF(ISNUMBER($I142),TEXT($I142,"0"),$I142))</f>
        <v/>
      </c>
    </row>
    <row r="143">
      <c r="B143" s="25" t="n"/>
      <c r="I143" s="25" t="n"/>
      <c r="U143" s="19">
        <f>IF($V143&lt;&gt;'設定'!$C$4,N(U142),IF(OR(NOT(COUNTIF('商品マスタ'!$B$6:$B$1005,$W143)=0),COUNTIFS('①在庫を貼る'!$V$6:$V$10005,$V143,'①在庫を貼る'!$W$6:$W$10005,$W143)&gt;0),N(U142),N(U142)+1))</f>
        <v/>
      </c>
      <c r="V143" s="19">
        <f>IF($B143="","",TEXT($B143,"0000"))</f>
        <v/>
      </c>
      <c r="W143" s="19">
        <f>IF($I143="","",IF(ISNUMBER($I143),TEXT($I143,"0"),$I143))</f>
        <v/>
      </c>
    </row>
    <row r="144">
      <c r="B144" s="25" t="n"/>
      <c r="I144" s="25" t="n"/>
      <c r="U144" s="19">
        <f>IF($V144&lt;&gt;'設定'!$C$4,N(U143),IF(OR(NOT(COUNTIF('商品マスタ'!$B$6:$B$1005,$W144)=0),COUNTIFS('①在庫を貼る'!$V$6:$V$10005,$V144,'①在庫を貼る'!$W$6:$W$10005,$W144)&gt;0),N(U143),N(U143)+1))</f>
        <v/>
      </c>
      <c r="V144" s="19">
        <f>IF($B144="","",TEXT($B144,"0000"))</f>
        <v/>
      </c>
      <c r="W144" s="19">
        <f>IF($I144="","",IF(ISNUMBER($I144),TEXT($I144,"0"),$I144))</f>
        <v/>
      </c>
    </row>
    <row r="145">
      <c r="B145" s="25" t="n"/>
      <c r="I145" s="25" t="n"/>
      <c r="U145" s="19">
        <f>IF($V145&lt;&gt;'設定'!$C$4,N(U144),IF(OR(NOT(COUNTIF('商品マスタ'!$B$6:$B$1005,$W145)=0),COUNTIFS('①在庫を貼る'!$V$6:$V$10005,$V145,'①在庫を貼る'!$W$6:$W$10005,$W145)&gt;0),N(U144),N(U144)+1))</f>
        <v/>
      </c>
      <c r="V145" s="19">
        <f>IF($B145="","",TEXT($B145,"0000"))</f>
        <v/>
      </c>
      <c r="W145" s="19">
        <f>IF($I145="","",IF(ISNUMBER($I145),TEXT($I145,"0"),$I145))</f>
        <v/>
      </c>
    </row>
    <row r="146">
      <c r="B146" s="25" t="n"/>
      <c r="I146" s="25" t="n"/>
      <c r="U146" s="19">
        <f>IF($V146&lt;&gt;'設定'!$C$4,N(U145),IF(OR(NOT(COUNTIF('商品マスタ'!$B$6:$B$1005,$W146)=0),COUNTIFS('①在庫を貼る'!$V$6:$V$10005,$V146,'①在庫を貼る'!$W$6:$W$10005,$W146)&gt;0),N(U145),N(U145)+1))</f>
        <v/>
      </c>
      <c r="V146" s="19">
        <f>IF($B146="","",TEXT($B146,"0000"))</f>
        <v/>
      </c>
      <c r="W146" s="19">
        <f>IF($I146="","",IF(ISNUMBER($I146),TEXT($I146,"0"),$I146))</f>
        <v/>
      </c>
    </row>
    <row r="147">
      <c r="B147" s="25" t="n"/>
      <c r="I147" s="25" t="n"/>
      <c r="U147" s="19">
        <f>IF($V147&lt;&gt;'設定'!$C$4,N(U146),IF(OR(NOT(COUNTIF('商品マスタ'!$B$6:$B$1005,$W147)=0),COUNTIFS('①在庫を貼る'!$V$6:$V$10005,$V147,'①在庫を貼る'!$W$6:$W$10005,$W147)&gt;0),N(U146),N(U146)+1))</f>
        <v/>
      </c>
      <c r="V147" s="19">
        <f>IF($B147="","",TEXT($B147,"0000"))</f>
        <v/>
      </c>
      <c r="W147" s="19">
        <f>IF($I147="","",IF(ISNUMBER($I147),TEXT($I147,"0"),$I147))</f>
        <v/>
      </c>
    </row>
    <row r="148">
      <c r="B148" s="25" t="n"/>
      <c r="I148" s="25" t="n"/>
      <c r="U148" s="19">
        <f>IF($V148&lt;&gt;'設定'!$C$4,N(U147),IF(OR(NOT(COUNTIF('商品マスタ'!$B$6:$B$1005,$W148)=0),COUNTIFS('①在庫を貼る'!$V$6:$V$10005,$V148,'①在庫を貼る'!$W$6:$W$10005,$W148)&gt;0),N(U147),N(U147)+1))</f>
        <v/>
      </c>
      <c r="V148" s="19">
        <f>IF($B148="","",TEXT($B148,"0000"))</f>
        <v/>
      </c>
      <c r="W148" s="19">
        <f>IF($I148="","",IF(ISNUMBER($I148),TEXT($I148,"0"),$I148))</f>
        <v/>
      </c>
    </row>
    <row r="149">
      <c r="B149" s="25" t="n"/>
      <c r="I149" s="25" t="n"/>
      <c r="U149" s="19">
        <f>IF($V149&lt;&gt;'設定'!$C$4,N(U148),IF(OR(NOT(COUNTIF('商品マスタ'!$B$6:$B$1005,$W149)=0),COUNTIFS('①在庫を貼る'!$V$6:$V$10005,$V149,'①在庫を貼る'!$W$6:$W$10005,$W149)&gt;0),N(U148),N(U148)+1))</f>
        <v/>
      </c>
      <c r="V149" s="19">
        <f>IF($B149="","",TEXT($B149,"0000"))</f>
        <v/>
      </c>
      <c r="W149" s="19">
        <f>IF($I149="","",IF(ISNUMBER($I149),TEXT($I149,"0"),$I149))</f>
        <v/>
      </c>
    </row>
    <row r="150">
      <c r="B150" s="25" t="n"/>
      <c r="I150" s="25" t="n"/>
      <c r="U150" s="19">
        <f>IF($V150&lt;&gt;'設定'!$C$4,N(U149),IF(OR(NOT(COUNTIF('商品マスタ'!$B$6:$B$1005,$W150)=0),COUNTIFS('①在庫を貼る'!$V$6:$V$10005,$V150,'①在庫を貼る'!$W$6:$W$10005,$W150)&gt;0),N(U149),N(U149)+1))</f>
        <v/>
      </c>
      <c r="V150" s="19">
        <f>IF($B150="","",TEXT($B150,"0000"))</f>
        <v/>
      </c>
      <c r="W150" s="19">
        <f>IF($I150="","",IF(ISNUMBER($I150),TEXT($I150,"0"),$I150))</f>
        <v/>
      </c>
    </row>
    <row r="151">
      <c r="B151" s="25" t="n"/>
      <c r="I151" s="25" t="n"/>
      <c r="U151" s="19">
        <f>IF($V151&lt;&gt;'設定'!$C$4,N(U150),IF(OR(NOT(COUNTIF('商品マスタ'!$B$6:$B$1005,$W151)=0),COUNTIFS('①在庫を貼る'!$V$6:$V$10005,$V151,'①在庫を貼る'!$W$6:$W$10005,$W151)&gt;0),N(U150),N(U150)+1))</f>
        <v/>
      </c>
      <c r="V151" s="19">
        <f>IF($B151="","",TEXT($B151,"0000"))</f>
        <v/>
      </c>
      <c r="W151" s="19">
        <f>IF($I151="","",IF(ISNUMBER($I151),TEXT($I151,"0"),$I151))</f>
        <v/>
      </c>
    </row>
    <row r="152">
      <c r="B152" s="25" t="n"/>
      <c r="I152" s="25" t="n"/>
      <c r="U152" s="19">
        <f>IF($V152&lt;&gt;'設定'!$C$4,N(U151),IF(OR(NOT(COUNTIF('商品マスタ'!$B$6:$B$1005,$W152)=0),COUNTIFS('①在庫を貼る'!$V$6:$V$10005,$V152,'①在庫を貼る'!$W$6:$W$10005,$W152)&gt;0),N(U151),N(U151)+1))</f>
        <v/>
      </c>
      <c r="V152" s="19">
        <f>IF($B152="","",TEXT($B152,"0000"))</f>
        <v/>
      </c>
      <c r="W152" s="19">
        <f>IF($I152="","",IF(ISNUMBER($I152),TEXT($I152,"0"),$I152))</f>
        <v/>
      </c>
    </row>
    <row r="153">
      <c r="B153" s="25" t="n"/>
      <c r="I153" s="25" t="n"/>
      <c r="U153" s="19">
        <f>IF($V153&lt;&gt;'設定'!$C$4,N(U152),IF(OR(NOT(COUNTIF('商品マスタ'!$B$6:$B$1005,$W153)=0),COUNTIFS('①在庫を貼る'!$V$6:$V$10005,$V153,'①在庫を貼る'!$W$6:$W$10005,$W153)&gt;0),N(U152),N(U152)+1))</f>
        <v/>
      </c>
      <c r="V153" s="19">
        <f>IF($B153="","",TEXT($B153,"0000"))</f>
        <v/>
      </c>
      <c r="W153" s="19">
        <f>IF($I153="","",IF(ISNUMBER($I153),TEXT($I153,"0"),$I153))</f>
        <v/>
      </c>
    </row>
    <row r="154">
      <c r="B154" s="25" t="n"/>
      <c r="I154" s="25" t="n"/>
      <c r="U154" s="19">
        <f>IF($V154&lt;&gt;'設定'!$C$4,N(U153),IF(OR(NOT(COUNTIF('商品マスタ'!$B$6:$B$1005,$W154)=0),COUNTIFS('①在庫を貼る'!$V$6:$V$10005,$V154,'①在庫を貼る'!$W$6:$W$10005,$W154)&gt;0),N(U153),N(U153)+1))</f>
        <v/>
      </c>
      <c r="V154" s="19">
        <f>IF($B154="","",TEXT($B154,"0000"))</f>
        <v/>
      </c>
      <c r="W154" s="19">
        <f>IF($I154="","",IF(ISNUMBER($I154),TEXT($I154,"0"),$I154))</f>
        <v/>
      </c>
    </row>
    <row r="155">
      <c r="B155" s="25" t="n"/>
      <c r="I155" s="25" t="n"/>
      <c r="U155" s="19">
        <f>IF($V155&lt;&gt;'設定'!$C$4,N(U154),IF(OR(NOT(COUNTIF('商品マスタ'!$B$6:$B$1005,$W155)=0),COUNTIFS('①在庫を貼る'!$V$6:$V$10005,$V155,'①在庫を貼る'!$W$6:$W$10005,$W155)&gt;0),N(U154),N(U154)+1))</f>
        <v/>
      </c>
      <c r="V155" s="19">
        <f>IF($B155="","",TEXT($B155,"0000"))</f>
        <v/>
      </c>
      <c r="W155" s="19">
        <f>IF($I155="","",IF(ISNUMBER($I155),TEXT($I155,"0"),$I155))</f>
        <v/>
      </c>
    </row>
    <row r="156">
      <c r="B156" s="25" t="n"/>
      <c r="I156" s="25" t="n"/>
      <c r="U156" s="19">
        <f>IF($V156&lt;&gt;'設定'!$C$4,N(U155),IF(OR(NOT(COUNTIF('商品マスタ'!$B$6:$B$1005,$W156)=0),COUNTIFS('①在庫を貼る'!$V$6:$V$10005,$V156,'①在庫を貼る'!$W$6:$W$10005,$W156)&gt;0),N(U155),N(U155)+1))</f>
        <v/>
      </c>
      <c r="V156" s="19">
        <f>IF($B156="","",TEXT($B156,"0000"))</f>
        <v/>
      </c>
      <c r="W156" s="19">
        <f>IF($I156="","",IF(ISNUMBER($I156),TEXT($I156,"0"),$I156))</f>
        <v/>
      </c>
    </row>
    <row r="157">
      <c r="B157" s="25" t="n"/>
      <c r="I157" s="25" t="n"/>
      <c r="U157" s="19">
        <f>IF($V157&lt;&gt;'設定'!$C$4,N(U156),IF(OR(NOT(COUNTIF('商品マスタ'!$B$6:$B$1005,$W157)=0),COUNTIFS('①在庫を貼る'!$V$6:$V$10005,$V157,'①在庫を貼る'!$W$6:$W$10005,$W157)&gt;0),N(U156),N(U156)+1))</f>
        <v/>
      </c>
      <c r="V157" s="19">
        <f>IF($B157="","",TEXT($B157,"0000"))</f>
        <v/>
      </c>
      <c r="W157" s="19">
        <f>IF($I157="","",IF(ISNUMBER($I157),TEXT($I157,"0"),$I157))</f>
        <v/>
      </c>
    </row>
    <row r="158">
      <c r="B158" s="25" t="n"/>
      <c r="I158" s="25" t="n"/>
      <c r="U158" s="19">
        <f>IF($V158&lt;&gt;'設定'!$C$4,N(U157),IF(OR(NOT(COUNTIF('商品マスタ'!$B$6:$B$1005,$W158)=0),COUNTIFS('①在庫を貼る'!$V$6:$V$10005,$V158,'①在庫を貼る'!$W$6:$W$10005,$W158)&gt;0),N(U157),N(U157)+1))</f>
        <v/>
      </c>
      <c r="V158" s="19">
        <f>IF($B158="","",TEXT($B158,"0000"))</f>
        <v/>
      </c>
      <c r="W158" s="19">
        <f>IF($I158="","",IF(ISNUMBER($I158),TEXT($I158,"0"),$I158))</f>
        <v/>
      </c>
    </row>
    <row r="159">
      <c r="B159" s="25" t="n"/>
      <c r="I159" s="25" t="n"/>
      <c r="U159" s="19">
        <f>IF($V159&lt;&gt;'設定'!$C$4,N(U158),IF(OR(NOT(COUNTIF('商品マスタ'!$B$6:$B$1005,$W159)=0),COUNTIFS('①在庫を貼る'!$V$6:$V$10005,$V159,'①在庫を貼る'!$W$6:$W$10005,$W159)&gt;0),N(U158),N(U158)+1))</f>
        <v/>
      </c>
      <c r="V159" s="19">
        <f>IF($B159="","",TEXT($B159,"0000"))</f>
        <v/>
      </c>
      <c r="W159" s="19">
        <f>IF($I159="","",IF(ISNUMBER($I159),TEXT($I159,"0"),$I159))</f>
        <v/>
      </c>
    </row>
    <row r="160">
      <c r="B160" s="25" t="n"/>
      <c r="I160" s="25" t="n"/>
      <c r="U160" s="19">
        <f>IF($V160&lt;&gt;'設定'!$C$4,N(U159),IF(OR(NOT(COUNTIF('商品マスタ'!$B$6:$B$1005,$W160)=0),COUNTIFS('①在庫を貼る'!$V$6:$V$10005,$V160,'①在庫を貼る'!$W$6:$W$10005,$W160)&gt;0),N(U159),N(U159)+1))</f>
        <v/>
      </c>
      <c r="V160" s="19">
        <f>IF($B160="","",TEXT($B160,"0000"))</f>
        <v/>
      </c>
      <c r="W160" s="19">
        <f>IF($I160="","",IF(ISNUMBER($I160),TEXT($I160,"0"),$I160))</f>
        <v/>
      </c>
    </row>
    <row r="161">
      <c r="B161" s="25" t="n"/>
      <c r="I161" s="25" t="n"/>
      <c r="U161" s="19">
        <f>IF($V161&lt;&gt;'設定'!$C$4,N(U160),IF(OR(NOT(COUNTIF('商品マスタ'!$B$6:$B$1005,$W161)=0),COUNTIFS('①在庫を貼る'!$V$6:$V$10005,$V161,'①在庫を貼る'!$W$6:$W$10005,$W161)&gt;0),N(U160),N(U160)+1))</f>
        <v/>
      </c>
      <c r="V161" s="19">
        <f>IF($B161="","",TEXT($B161,"0000"))</f>
        <v/>
      </c>
      <c r="W161" s="19">
        <f>IF($I161="","",IF(ISNUMBER($I161),TEXT($I161,"0"),$I161))</f>
        <v/>
      </c>
    </row>
    <row r="162">
      <c r="B162" s="25" t="n"/>
      <c r="I162" s="25" t="n"/>
      <c r="U162" s="19">
        <f>IF($V162&lt;&gt;'設定'!$C$4,N(U161),IF(OR(NOT(COUNTIF('商品マスタ'!$B$6:$B$1005,$W162)=0),COUNTIFS('①在庫を貼る'!$V$6:$V$10005,$V162,'①在庫を貼る'!$W$6:$W$10005,$W162)&gt;0),N(U161),N(U161)+1))</f>
        <v/>
      </c>
      <c r="V162" s="19">
        <f>IF($B162="","",TEXT($B162,"0000"))</f>
        <v/>
      </c>
      <c r="W162" s="19">
        <f>IF($I162="","",IF(ISNUMBER($I162),TEXT($I162,"0"),$I162))</f>
        <v/>
      </c>
    </row>
    <row r="163">
      <c r="B163" s="25" t="n"/>
      <c r="I163" s="25" t="n"/>
      <c r="U163" s="19">
        <f>IF($V163&lt;&gt;'設定'!$C$4,N(U162),IF(OR(NOT(COUNTIF('商品マスタ'!$B$6:$B$1005,$W163)=0),COUNTIFS('①在庫を貼る'!$V$6:$V$10005,$V163,'①在庫を貼る'!$W$6:$W$10005,$W163)&gt;0),N(U162),N(U162)+1))</f>
        <v/>
      </c>
      <c r="V163" s="19">
        <f>IF($B163="","",TEXT($B163,"0000"))</f>
        <v/>
      </c>
      <c r="W163" s="19">
        <f>IF($I163="","",IF(ISNUMBER($I163),TEXT($I163,"0"),$I163))</f>
        <v/>
      </c>
    </row>
    <row r="164">
      <c r="B164" s="25" t="n"/>
      <c r="I164" s="25" t="n"/>
      <c r="U164" s="19">
        <f>IF($V164&lt;&gt;'設定'!$C$4,N(U163),IF(OR(NOT(COUNTIF('商品マスタ'!$B$6:$B$1005,$W164)=0),COUNTIFS('①在庫を貼る'!$V$6:$V$10005,$V164,'①在庫を貼る'!$W$6:$W$10005,$W164)&gt;0),N(U163),N(U163)+1))</f>
        <v/>
      </c>
      <c r="V164" s="19">
        <f>IF($B164="","",TEXT($B164,"0000"))</f>
        <v/>
      </c>
      <c r="W164" s="19">
        <f>IF($I164="","",IF(ISNUMBER($I164),TEXT($I164,"0"),$I164))</f>
        <v/>
      </c>
    </row>
    <row r="165">
      <c r="B165" s="25" t="n"/>
      <c r="I165" s="25" t="n"/>
      <c r="U165" s="19">
        <f>IF($V165&lt;&gt;'設定'!$C$4,N(U164),IF(OR(NOT(COUNTIF('商品マスタ'!$B$6:$B$1005,$W165)=0),COUNTIFS('①在庫を貼る'!$V$6:$V$10005,$V165,'①在庫を貼る'!$W$6:$W$10005,$W165)&gt;0),N(U164),N(U164)+1))</f>
        <v/>
      </c>
      <c r="V165" s="19">
        <f>IF($B165="","",TEXT($B165,"0000"))</f>
        <v/>
      </c>
      <c r="W165" s="19">
        <f>IF($I165="","",IF(ISNUMBER($I165),TEXT($I165,"0"),$I165))</f>
        <v/>
      </c>
    </row>
    <row r="166">
      <c r="B166" s="25" t="n"/>
      <c r="I166" s="25" t="n"/>
      <c r="U166" s="19">
        <f>IF($V166&lt;&gt;'設定'!$C$4,N(U165),IF(OR(NOT(COUNTIF('商品マスタ'!$B$6:$B$1005,$W166)=0),COUNTIFS('①在庫を貼る'!$V$6:$V$10005,$V166,'①在庫を貼る'!$W$6:$W$10005,$W166)&gt;0),N(U165),N(U165)+1))</f>
        <v/>
      </c>
      <c r="V166" s="19">
        <f>IF($B166="","",TEXT($B166,"0000"))</f>
        <v/>
      </c>
      <c r="W166" s="19">
        <f>IF($I166="","",IF(ISNUMBER($I166),TEXT($I166,"0"),$I166))</f>
        <v/>
      </c>
    </row>
    <row r="167">
      <c r="B167" s="25" t="n"/>
      <c r="I167" s="25" t="n"/>
      <c r="U167" s="19">
        <f>IF($V167&lt;&gt;'設定'!$C$4,N(U166),IF(OR(NOT(COUNTIF('商品マスタ'!$B$6:$B$1005,$W167)=0),COUNTIFS('①在庫を貼る'!$V$6:$V$10005,$V167,'①在庫を貼る'!$W$6:$W$10005,$W167)&gt;0),N(U166),N(U166)+1))</f>
        <v/>
      </c>
      <c r="V167" s="19">
        <f>IF($B167="","",TEXT($B167,"0000"))</f>
        <v/>
      </c>
      <c r="W167" s="19">
        <f>IF($I167="","",IF(ISNUMBER($I167),TEXT($I167,"0"),$I167))</f>
        <v/>
      </c>
    </row>
    <row r="168">
      <c r="B168" s="25" t="n"/>
      <c r="I168" s="25" t="n"/>
      <c r="U168" s="19">
        <f>IF($V168&lt;&gt;'設定'!$C$4,N(U167),IF(OR(NOT(COUNTIF('商品マスタ'!$B$6:$B$1005,$W168)=0),COUNTIFS('①在庫を貼る'!$V$6:$V$10005,$V168,'①在庫を貼る'!$W$6:$W$10005,$W168)&gt;0),N(U167),N(U167)+1))</f>
        <v/>
      </c>
      <c r="V168" s="19">
        <f>IF($B168="","",TEXT($B168,"0000"))</f>
        <v/>
      </c>
      <c r="W168" s="19">
        <f>IF($I168="","",IF(ISNUMBER($I168),TEXT($I168,"0"),$I168))</f>
        <v/>
      </c>
    </row>
    <row r="169">
      <c r="B169" s="25" t="n"/>
      <c r="I169" s="25" t="n"/>
      <c r="U169" s="19">
        <f>IF($V169&lt;&gt;'設定'!$C$4,N(U168),IF(OR(NOT(COUNTIF('商品マスタ'!$B$6:$B$1005,$W169)=0),COUNTIFS('①在庫を貼る'!$V$6:$V$10005,$V169,'①在庫を貼る'!$W$6:$W$10005,$W169)&gt;0),N(U168),N(U168)+1))</f>
        <v/>
      </c>
      <c r="V169" s="19">
        <f>IF($B169="","",TEXT($B169,"0000"))</f>
        <v/>
      </c>
      <c r="W169" s="19">
        <f>IF($I169="","",IF(ISNUMBER($I169),TEXT($I169,"0"),$I169))</f>
        <v/>
      </c>
    </row>
    <row r="170">
      <c r="B170" s="25" t="n"/>
      <c r="I170" s="25" t="n"/>
      <c r="U170" s="19">
        <f>IF($V170&lt;&gt;'設定'!$C$4,N(U169),IF(OR(NOT(COUNTIF('商品マスタ'!$B$6:$B$1005,$W170)=0),COUNTIFS('①在庫を貼る'!$V$6:$V$10005,$V170,'①在庫を貼る'!$W$6:$W$10005,$W170)&gt;0),N(U169),N(U169)+1))</f>
        <v/>
      </c>
      <c r="V170" s="19">
        <f>IF($B170="","",TEXT($B170,"0000"))</f>
        <v/>
      </c>
      <c r="W170" s="19">
        <f>IF($I170="","",IF(ISNUMBER($I170),TEXT($I170,"0"),$I170))</f>
        <v/>
      </c>
    </row>
    <row r="171">
      <c r="B171" s="25" t="n"/>
      <c r="I171" s="25" t="n"/>
      <c r="U171" s="19">
        <f>IF($V171&lt;&gt;'設定'!$C$4,N(U170),IF(OR(NOT(COUNTIF('商品マスタ'!$B$6:$B$1005,$W171)=0),COUNTIFS('①在庫を貼る'!$V$6:$V$10005,$V171,'①在庫を貼る'!$W$6:$W$10005,$W171)&gt;0),N(U170),N(U170)+1))</f>
        <v/>
      </c>
      <c r="V171" s="19">
        <f>IF($B171="","",TEXT($B171,"0000"))</f>
        <v/>
      </c>
      <c r="W171" s="19">
        <f>IF($I171="","",IF(ISNUMBER($I171),TEXT($I171,"0"),$I171))</f>
        <v/>
      </c>
    </row>
    <row r="172">
      <c r="B172" s="25" t="n"/>
      <c r="I172" s="25" t="n"/>
      <c r="U172" s="19">
        <f>IF($V172&lt;&gt;'設定'!$C$4,N(U171),IF(OR(NOT(COUNTIF('商品マスタ'!$B$6:$B$1005,$W172)=0),COUNTIFS('①在庫を貼る'!$V$6:$V$10005,$V172,'①在庫を貼る'!$W$6:$W$10005,$W172)&gt;0),N(U171),N(U171)+1))</f>
        <v/>
      </c>
      <c r="V172" s="19">
        <f>IF($B172="","",TEXT($B172,"0000"))</f>
        <v/>
      </c>
      <c r="W172" s="19">
        <f>IF($I172="","",IF(ISNUMBER($I172),TEXT($I172,"0"),$I172))</f>
        <v/>
      </c>
    </row>
    <row r="173">
      <c r="B173" s="25" t="n"/>
      <c r="I173" s="25" t="n"/>
      <c r="U173" s="19">
        <f>IF($V173&lt;&gt;'設定'!$C$4,N(U172),IF(OR(NOT(COUNTIF('商品マスタ'!$B$6:$B$1005,$W173)=0),COUNTIFS('①在庫を貼る'!$V$6:$V$10005,$V173,'①在庫を貼る'!$W$6:$W$10005,$W173)&gt;0),N(U172),N(U172)+1))</f>
        <v/>
      </c>
      <c r="V173" s="19">
        <f>IF($B173="","",TEXT($B173,"0000"))</f>
        <v/>
      </c>
      <c r="W173" s="19">
        <f>IF($I173="","",IF(ISNUMBER($I173),TEXT($I173,"0"),$I173))</f>
        <v/>
      </c>
    </row>
    <row r="174">
      <c r="B174" s="25" t="n"/>
      <c r="I174" s="25" t="n"/>
      <c r="U174" s="19">
        <f>IF($V174&lt;&gt;'設定'!$C$4,N(U173),IF(OR(NOT(COUNTIF('商品マスタ'!$B$6:$B$1005,$W174)=0),COUNTIFS('①在庫を貼る'!$V$6:$V$10005,$V174,'①在庫を貼る'!$W$6:$W$10005,$W174)&gt;0),N(U173),N(U173)+1))</f>
        <v/>
      </c>
      <c r="V174" s="19">
        <f>IF($B174="","",TEXT($B174,"0000"))</f>
        <v/>
      </c>
      <c r="W174" s="19">
        <f>IF($I174="","",IF(ISNUMBER($I174),TEXT($I174,"0"),$I174))</f>
        <v/>
      </c>
    </row>
    <row r="175">
      <c r="B175" s="25" t="n"/>
      <c r="I175" s="25" t="n"/>
      <c r="U175" s="19">
        <f>IF($V175&lt;&gt;'設定'!$C$4,N(U174),IF(OR(NOT(COUNTIF('商品マスタ'!$B$6:$B$1005,$W175)=0),COUNTIFS('①在庫を貼る'!$V$6:$V$10005,$V175,'①在庫を貼る'!$W$6:$W$10005,$W175)&gt;0),N(U174),N(U174)+1))</f>
        <v/>
      </c>
      <c r="V175" s="19">
        <f>IF($B175="","",TEXT($B175,"0000"))</f>
        <v/>
      </c>
      <c r="W175" s="19">
        <f>IF($I175="","",IF(ISNUMBER($I175),TEXT($I175,"0"),$I175))</f>
        <v/>
      </c>
    </row>
    <row r="176">
      <c r="B176" s="25" t="n"/>
      <c r="I176" s="25" t="n"/>
      <c r="U176" s="19">
        <f>IF($V176&lt;&gt;'設定'!$C$4,N(U175),IF(OR(NOT(COUNTIF('商品マスタ'!$B$6:$B$1005,$W176)=0),COUNTIFS('①在庫を貼る'!$V$6:$V$10005,$V176,'①在庫を貼る'!$W$6:$W$10005,$W176)&gt;0),N(U175),N(U175)+1))</f>
        <v/>
      </c>
      <c r="V176" s="19">
        <f>IF($B176="","",TEXT($B176,"0000"))</f>
        <v/>
      </c>
      <c r="W176" s="19">
        <f>IF($I176="","",IF(ISNUMBER($I176),TEXT($I176,"0"),$I176))</f>
        <v/>
      </c>
    </row>
    <row r="177">
      <c r="B177" s="25" t="n"/>
      <c r="I177" s="25" t="n"/>
      <c r="U177" s="19">
        <f>IF($V177&lt;&gt;'設定'!$C$4,N(U176),IF(OR(NOT(COUNTIF('商品マスタ'!$B$6:$B$1005,$W177)=0),COUNTIFS('①在庫を貼る'!$V$6:$V$10005,$V177,'①在庫を貼る'!$W$6:$W$10005,$W177)&gt;0),N(U176),N(U176)+1))</f>
        <v/>
      </c>
      <c r="V177" s="19">
        <f>IF($B177="","",TEXT($B177,"0000"))</f>
        <v/>
      </c>
      <c r="W177" s="19">
        <f>IF($I177="","",IF(ISNUMBER($I177),TEXT($I177,"0"),$I177))</f>
        <v/>
      </c>
    </row>
    <row r="178">
      <c r="B178" s="25" t="n"/>
      <c r="I178" s="25" t="n"/>
      <c r="U178" s="19">
        <f>IF($V178&lt;&gt;'設定'!$C$4,N(U177),IF(OR(NOT(COUNTIF('商品マスタ'!$B$6:$B$1005,$W178)=0),COUNTIFS('①在庫を貼る'!$V$6:$V$10005,$V178,'①在庫を貼る'!$W$6:$W$10005,$W178)&gt;0),N(U177),N(U177)+1))</f>
        <v/>
      </c>
      <c r="V178" s="19">
        <f>IF($B178="","",TEXT($B178,"0000"))</f>
        <v/>
      </c>
      <c r="W178" s="19">
        <f>IF($I178="","",IF(ISNUMBER($I178),TEXT($I178,"0"),$I178))</f>
        <v/>
      </c>
    </row>
    <row r="179">
      <c r="B179" s="25" t="n"/>
      <c r="I179" s="25" t="n"/>
      <c r="U179" s="19">
        <f>IF($V179&lt;&gt;'設定'!$C$4,N(U178),IF(OR(NOT(COUNTIF('商品マスタ'!$B$6:$B$1005,$W179)=0),COUNTIFS('①在庫を貼る'!$V$6:$V$10005,$V179,'①在庫を貼る'!$W$6:$W$10005,$W179)&gt;0),N(U178),N(U178)+1))</f>
        <v/>
      </c>
      <c r="V179" s="19">
        <f>IF($B179="","",TEXT($B179,"0000"))</f>
        <v/>
      </c>
      <c r="W179" s="19">
        <f>IF($I179="","",IF(ISNUMBER($I179),TEXT($I179,"0"),$I179))</f>
        <v/>
      </c>
    </row>
    <row r="180">
      <c r="B180" s="25" t="n"/>
      <c r="I180" s="25" t="n"/>
      <c r="U180" s="19">
        <f>IF($V180&lt;&gt;'設定'!$C$4,N(U179),IF(OR(NOT(COUNTIF('商品マスタ'!$B$6:$B$1005,$W180)=0),COUNTIFS('①在庫を貼る'!$V$6:$V$10005,$V180,'①在庫を貼る'!$W$6:$W$10005,$W180)&gt;0),N(U179),N(U179)+1))</f>
        <v/>
      </c>
      <c r="V180" s="19">
        <f>IF($B180="","",TEXT($B180,"0000"))</f>
        <v/>
      </c>
      <c r="W180" s="19">
        <f>IF($I180="","",IF(ISNUMBER($I180),TEXT($I180,"0"),$I180))</f>
        <v/>
      </c>
    </row>
    <row r="181">
      <c r="B181" s="25" t="n"/>
      <c r="I181" s="25" t="n"/>
      <c r="U181" s="19">
        <f>IF($V181&lt;&gt;'設定'!$C$4,N(U180),IF(OR(NOT(COUNTIF('商品マスタ'!$B$6:$B$1005,$W181)=0),COUNTIFS('①在庫を貼る'!$V$6:$V$10005,$V181,'①在庫を貼る'!$W$6:$W$10005,$W181)&gt;0),N(U180),N(U180)+1))</f>
        <v/>
      </c>
      <c r="V181" s="19">
        <f>IF($B181="","",TEXT($B181,"0000"))</f>
        <v/>
      </c>
      <c r="W181" s="19">
        <f>IF($I181="","",IF(ISNUMBER($I181),TEXT($I181,"0"),$I181))</f>
        <v/>
      </c>
    </row>
    <row r="182">
      <c r="B182" s="25" t="n"/>
      <c r="I182" s="25" t="n"/>
      <c r="U182" s="19">
        <f>IF($V182&lt;&gt;'設定'!$C$4,N(U181),IF(OR(NOT(COUNTIF('商品マスタ'!$B$6:$B$1005,$W182)=0),COUNTIFS('①在庫を貼る'!$V$6:$V$10005,$V182,'①在庫を貼る'!$W$6:$W$10005,$W182)&gt;0),N(U181),N(U181)+1))</f>
        <v/>
      </c>
      <c r="V182" s="19">
        <f>IF($B182="","",TEXT($B182,"0000"))</f>
        <v/>
      </c>
      <c r="W182" s="19">
        <f>IF($I182="","",IF(ISNUMBER($I182),TEXT($I182,"0"),$I182))</f>
        <v/>
      </c>
    </row>
    <row r="183">
      <c r="B183" s="25" t="n"/>
      <c r="I183" s="25" t="n"/>
      <c r="U183" s="19">
        <f>IF($V183&lt;&gt;'設定'!$C$4,N(U182),IF(OR(NOT(COUNTIF('商品マスタ'!$B$6:$B$1005,$W183)=0),COUNTIFS('①在庫を貼る'!$V$6:$V$10005,$V183,'①在庫を貼る'!$W$6:$W$10005,$W183)&gt;0),N(U182),N(U182)+1))</f>
        <v/>
      </c>
      <c r="V183" s="19">
        <f>IF($B183="","",TEXT($B183,"0000"))</f>
        <v/>
      </c>
      <c r="W183" s="19">
        <f>IF($I183="","",IF(ISNUMBER($I183),TEXT($I183,"0"),$I183))</f>
        <v/>
      </c>
    </row>
    <row r="184">
      <c r="B184" s="25" t="n"/>
      <c r="I184" s="25" t="n"/>
      <c r="U184" s="19">
        <f>IF($V184&lt;&gt;'設定'!$C$4,N(U183),IF(OR(NOT(COUNTIF('商品マスタ'!$B$6:$B$1005,$W184)=0),COUNTIFS('①在庫を貼る'!$V$6:$V$10005,$V184,'①在庫を貼る'!$W$6:$W$10005,$W184)&gt;0),N(U183),N(U183)+1))</f>
        <v/>
      </c>
      <c r="V184" s="19">
        <f>IF($B184="","",TEXT($B184,"0000"))</f>
        <v/>
      </c>
      <c r="W184" s="19">
        <f>IF($I184="","",IF(ISNUMBER($I184),TEXT($I184,"0"),$I184))</f>
        <v/>
      </c>
    </row>
    <row r="185">
      <c r="B185" s="25" t="n"/>
      <c r="I185" s="25" t="n"/>
      <c r="U185" s="19">
        <f>IF($V185&lt;&gt;'設定'!$C$4,N(U184),IF(OR(NOT(COUNTIF('商品マスタ'!$B$6:$B$1005,$W185)=0),COUNTIFS('①在庫を貼る'!$V$6:$V$10005,$V185,'①在庫を貼る'!$W$6:$W$10005,$W185)&gt;0),N(U184),N(U184)+1))</f>
        <v/>
      </c>
      <c r="V185" s="19">
        <f>IF($B185="","",TEXT($B185,"0000"))</f>
        <v/>
      </c>
      <c r="W185" s="19">
        <f>IF($I185="","",IF(ISNUMBER($I185),TEXT($I185,"0"),$I185))</f>
        <v/>
      </c>
    </row>
    <row r="186">
      <c r="B186" s="25" t="n"/>
      <c r="I186" s="25" t="n"/>
      <c r="U186" s="19">
        <f>IF($V186&lt;&gt;'設定'!$C$4,N(U185),IF(OR(NOT(COUNTIF('商品マスタ'!$B$6:$B$1005,$W186)=0),COUNTIFS('①在庫を貼る'!$V$6:$V$10005,$V186,'①在庫を貼る'!$W$6:$W$10005,$W186)&gt;0),N(U185),N(U185)+1))</f>
        <v/>
      </c>
      <c r="V186" s="19">
        <f>IF($B186="","",TEXT($B186,"0000"))</f>
        <v/>
      </c>
      <c r="W186" s="19">
        <f>IF($I186="","",IF(ISNUMBER($I186),TEXT($I186,"0"),$I186))</f>
        <v/>
      </c>
    </row>
    <row r="187">
      <c r="B187" s="25" t="n"/>
      <c r="I187" s="25" t="n"/>
      <c r="U187" s="19">
        <f>IF($V187&lt;&gt;'設定'!$C$4,N(U186),IF(OR(NOT(COUNTIF('商品マスタ'!$B$6:$B$1005,$W187)=0),COUNTIFS('①在庫を貼る'!$V$6:$V$10005,$V187,'①在庫を貼る'!$W$6:$W$10005,$W187)&gt;0),N(U186),N(U186)+1))</f>
        <v/>
      </c>
      <c r="V187" s="19">
        <f>IF($B187="","",TEXT($B187,"0000"))</f>
        <v/>
      </c>
      <c r="W187" s="19">
        <f>IF($I187="","",IF(ISNUMBER($I187),TEXT($I187,"0"),$I187))</f>
        <v/>
      </c>
    </row>
    <row r="188">
      <c r="B188" s="25" t="n"/>
      <c r="I188" s="25" t="n"/>
      <c r="U188" s="19">
        <f>IF($V188&lt;&gt;'設定'!$C$4,N(U187),IF(OR(NOT(COUNTIF('商品マスタ'!$B$6:$B$1005,$W188)=0),COUNTIFS('①在庫を貼る'!$V$6:$V$10005,$V188,'①在庫を貼る'!$W$6:$W$10005,$W188)&gt;0),N(U187),N(U187)+1))</f>
        <v/>
      </c>
      <c r="V188" s="19">
        <f>IF($B188="","",TEXT($B188,"0000"))</f>
        <v/>
      </c>
      <c r="W188" s="19">
        <f>IF($I188="","",IF(ISNUMBER($I188),TEXT($I188,"0"),$I188))</f>
        <v/>
      </c>
    </row>
    <row r="189">
      <c r="B189" s="25" t="n"/>
      <c r="I189" s="25" t="n"/>
      <c r="U189" s="19">
        <f>IF($V189&lt;&gt;'設定'!$C$4,N(U188),IF(OR(NOT(COUNTIF('商品マスタ'!$B$6:$B$1005,$W189)=0),COUNTIFS('①在庫を貼る'!$V$6:$V$10005,$V189,'①在庫を貼る'!$W$6:$W$10005,$W189)&gt;0),N(U188),N(U188)+1))</f>
        <v/>
      </c>
      <c r="V189" s="19">
        <f>IF($B189="","",TEXT($B189,"0000"))</f>
        <v/>
      </c>
      <c r="W189" s="19">
        <f>IF($I189="","",IF(ISNUMBER($I189),TEXT($I189,"0"),$I189))</f>
        <v/>
      </c>
    </row>
    <row r="190">
      <c r="B190" s="25" t="n"/>
      <c r="I190" s="25" t="n"/>
      <c r="U190" s="19">
        <f>IF($V190&lt;&gt;'設定'!$C$4,N(U189),IF(OR(NOT(COUNTIF('商品マスタ'!$B$6:$B$1005,$W190)=0),COUNTIFS('①在庫を貼る'!$V$6:$V$10005,$V190,'①在庫を貼る'!$W$6:$W$10005,$W190)&gt;0),N(U189),N(U189)+1))</f>
        <v/>
      </c>
      <c r="V190" s="19">
        <f>IF($B190="","",TEXT($B190,"0000"))</f>
        <v/>
      </c>
      <c r="W190" s="19">
        <f>IF($I190="","",IF(ISNUMBER($I190),TEXT($I190,"0"),$I190))</f>
        <v/>
      </c>
    </row>
    <row r="191">
      <c r="B191" s="25" t="n"/>
      <c r="I191" s="25" t="n"/>
      <c r="U191" s="19">
        <f>IF($V191&lt;&gt;'設定'!$C$4,N(U190),IF(OR(NOT(COUNTIF('商品マスタ'!$B$6:$B$1005,$W191)=0),COUNTIFS('①在庫を貼る'!$V$6:$V$10005,$V191,'①在庫を貼る'!$W$6:$W$10005,$W191)&gt;0),N(U190),N(U190)+1))</f>
        <v/>
      </c>
      <c r="V191" s="19">
        <f>IF($B191="","",TEXT($B191,"0000"))</f>
        <v/>
      </c>
      <c r="W191" s="19">
        <f>IF($I191="","",IF(ISNUMBER($I191),TEXT($I191,"0"),$I191))</f>
        <v/>
      </c>
    </row>
    <row r="192">
      <c r="B192" s="25" t="n"/>
      <c r="I192" s="25" t="n"/>
      <c r="U192" s="19">
        <f>IF($V192&lt;&gt;'設定'!$C$4,N(U191),IF(OR(NOT(COUNTIF('商品マスタ'!$B$6:$B$1005,$W192)=0),COUNTIFS('①在庫を貼る'!$V$6:$V$10005,$V192,'①在庫を貼る'!$W$6:$W$10005,$W192)&gt;0),N(U191),N(U191)+1))</f>
        <v/>
      </c>
      <c r="V192" s="19">
        <f>IF($B192="","",TEXT($B192,"0000"))</f>
        <v/>
      </c>
      <c r="W192" s="19">
        <f>IF($I192="","",IF(ISNUMBER($I192),TEXT($I192,"0"),$I192))</f>
        <v/>
      </c>
    </row>
    <row r="193">
      <c r="B193" s="25" t="n"/>
      <c r="I193" s="25" t="n"/>
      <c r="U193" s="19">
        <f>IF($V193&lt;&gt;'設定'!$C$4,N(U192),IF(OR(NOT(COUNTIF('商品マスタ'!$B$6:$B$1005,$W193)=0),COUNTIFS('①在庫を貼る'!$V$6:$V$10005,$V193,'①在庫を貼る'!$W$6:$W$10005,$W193)&gt;0),N(U192),N(U192)+1))</f>
        <v/>
      </c>
      <c r="V193" s="19">
        <f>IF($B193="","",TEXT($B193,"0000"))</f>
        <v/>
      </c>
      <c r="W193" s="19">
        <f>IF($I193="","",IF(ISNUMBER($I193),TEXT($I193,"0"),$I193))</f>
        <v/>
      </c>
    </row>
    <row r="194">
      <c r="B194" s="25" t="n"/>
      <c r="I194" s="25" t="n"/>
      <c r="U194" s="19">
        <f>IF($V194&lt;&gt;'設定'!$C$4,N(U193),IF(OR(NOT(COUNTIF('商品マスタ'!$B$6:$B$1005,$W194)=0),COUNTIFS('①在庫を貼る'!$V$6:$V$10005,$V194,'①在庫を貼る'!$W$6:$W$10005,$W194)&gt;0),N(U193),N(U193)+1))</f>
        <v/>
      </c>
      <c r="V194" s="19">
        <f>IF($B194="","",TEXT($B194,"0000"))</f>
        <v/>
      </c>
      <c r="W194" s="19">
        <f>IF($I194="","",IF(ISNUMBER($I194),TEXT($I194,"0"),$I194))</f>
        <v/>
      </c>
    </row>
    <row r="195">
      <c r="B195" s="25" t="n"/>
      <c r="I195" s="25" t="n"/>
      <c r="U195" s="19">
        <f>IF($V195&lt;&gt;'設定'!$C$4,N(U194),IF(OR(NOT(COUNTIF('商品マスタ'!$B$6:$B$1005,$W195)=0),COUNTIFS('①在庫を貼る'!$V$6:$V$10005,$V195,'①在庫を貼る'!$W$6:$W$10005,$W195)&gt;0),N(U194),N(U194)+1))</f>
        <v/>
      </c>
      <c r="V195" s="19">
        <f>IF($B195="","",TEXT($B195,"0000"))</f>
        <v/>
      </c>
      <c r="W195" s="19">
        <f>IF($I195="","",IF(ISNUMBER($I195),TEXT($I195,"0"),$I195))</f>
        <v/>
      </c>
    </row>
    <row r="196">
      <c r="B196" s="25" t="n"/>
      <c r="I196" s="25" t="n"/>
      <c r="U196" s="19">
        <f>IF($V196&lt;&gt;'設定'!$C$4,N(U195),IF(OR(NOT(COUNTIF('商品マスタ'!$B$6:$B$1005,$W196)=0),COUNTIFS('①在庫を貼る'!$V$6:$V$10005,$V196,'①在庫を貼る'!$W$6:$W$10005,$W196)&gt;0),N(U195),N(U195)+1))</f>
        <v/>
      </c>
      <c r="V196" s="19">
        <f>IF($B196="","",TEXT($B196,"0000"))</f>
        <v/>
      </c>
      <c r="W196" s="19">
        <f>IF($I196="","",IF(ISNUMBER($I196),TEXT($I196,"0"),$I196))</f>
        <v/>
      </c>
    </row>
    <row r="197">
      <c r="B197" s="25" t="n"/>
      <c r="I197" s="25" t="n"/>
      <c r="U197" s="19">
        <f>IF($V197&lt;&gt;'設定'!$C$4,N(U196),IF(OR(NOT(COUNTIF('商品マスタ'!$B$6:$B$1005,$W197)=0),COUNTIFS('①在庫を貼る'!$V$6:$V$10005,$V197,'①在庫を貼る'!$W$6:$W$10005,$W197)&gt;0),N(U196),N(U196)+1))</f>
        <v/>
      </c>
      <c r="V197" s="19">
        <f>IF($B197="","",TEXT($B197,"0000"))</f>
        <v/>
      </c>
      <c r="W197" s="19">
        <f>IF($I197="","",IF(ISNUMBER($I197),TEXT($I197,"0"),$I197))</f>
        <v/>
      </c>
    </row>
    <row r="198">
      <c r="B198" s="25" t="n"/>
      <c r="I198" s="25" t="n"/>
      <c r="U198" s="19">
        <f>IF($V198&lt;&gt;'設定'!$C$4,N(U197),IF(OR(NOT(COUNTIF('商品マスタ'!$B$6:$B$1005,$W198)=0),COUNTIFS('①在庫を貼る'!$V$6:$V$10005,$V198,'①在庫を貼る'!$W$6:$W$10005,$W198)&gt;0),N(U197),N(U197)+1))</f>
        <v/>
      </c>
      <c r="V198" s="19">
        <f>IF($B198="","",TEXT($B198,"0000"))</f>
        <v/>
      </c>
      <c r="W198" s="19">
        <f>IF($I198="","",IF(ISNUMBER($I198),TEXT($I198,"0"),$I198))</f>
        <v/>
      </c>
    </row>
    <row r="199">
      <c r="B199" s="25" t="n"/>
      <c r="I199" s="25" t="n"/>
      <c r="U199" s="19">
        <f>IF($V199&lt;&gt;'設定'!$C$4,N(U198),IF(OR(NOT(COUNTIF('商品マスタ'!$B$6:$B$1005,$W199)=0),COUNTIFS('①在庫を貼る'!$V$6:$V$10005,$V199,'①在庫を貼る'!$W$6:$W$10005,$W199)&gt;0),N(U198),N(U198)+1))</f>
        <v/>
      </c>
      <c r="V199" s="19">
        <f>IF($B199="","",TEXT($B199,"0000"))</f>
        <v/>
      </c>
      <c r="W199" s="19">
        <f>IF($I199="","",IF(ISNUMBER($I199),TEXT($I199,"0"),$I199))</f>
        <v/>
      </c>
    </row>
    <row r="200">
      <c r="B200" s="25" t="n"/>
      <c r="I200" s="25" t="n"/>
      <c r="U200" s="19">
        <f>IF($V200&lt;&gt;'設定'!$C$4,N(U199),IF(OR(NOT(COUNTIF('商品マスタ'!$B$6:$B$1005,$W200)=0),COUNTIFS('①在庫を貼る'!$V$6:$V$10005,$V200,'①在庫を貼る'!$W$6:$W$10005,$W200)&gt;0),N(U199),N(U199)+1))</f>
        <v/>
      </c>
      <c r="V200" s="19">
        <f>IF($B200="","",TEXT($B200,"0000"))</f>
        <v/>
      </c>
      <c r="W200" s="19">
        <f>IF($I200="","",IF(ISNUMBER($I200),TEXT($I200,"0"),$I200))</f>
        <v/>
      </c>
    </row>
    <row r="201">
      <c r="B201" s="25" t="n"/>
      <c r="I201" s="25" t="n"/>
      <c r="U201" s="19">
        <f>IF($V201&lt;&gt;'設定'!$C$4,N(U200),IF(OR(NOT(COUNTIF('商品マスタ'!$B$6:$B$1005,$W201)=0),COUNTIFS('①在庫を貼る'!$V$6:$V$10005,$V201,'①在庫を貼る'!$W$6:$W$10005,$W201)&gt;0),N(U200),N(U200)+1))</f>
        <v/>
      </c>
      <c r="V201" s="19">
        <f>IF($B201="","",TEXT($B201,"0000"))</f>
        <v/>
      </c>
      <c r="W201" s="19">
        <f>IF($I201="","",IF(ISNUMBER($I201),TEXT($I201,"0"),$I201))</f>
        <v/>
      </c>
    </row>
    <row r="202">
      <c r="B202" s="25" t="n"/>
      <c r="I202" s="25" t="n"/>
      <c r="U202" s="19">
        <f>IF($V202&lt;&gt;'設定'!$C$4,N(U201),IF(OR(NOT(COUNTIF('商品マスタ'!$B$6:$B$1005,$W202)=0),COUNTIFS('①在庫を貼る'!$V$6:$V$10005,$V202,'①在庫を貼る'!$W$6:$W$10005,$W202)&gt;0),N(U201),N(U201)+1))</f>
        <v/>
      </c>
      <c r="V202" s="19">
        <f>IF($B202="","",TEXT($B202,"0000"))</f>
        <v/>
      </c>
      <c r="W202" s="19">
        <f>IF($I202="","",IF(ISNUMBER($I202),TEXT($I202,"0"),$I202))</f>
        <v/>
      </c>
    </row>
    <row r="203">
      <c r="B203" s="25" t="n"/>
      <c r="I203" s="25" t="n"/>
      <c r="U203" s="19">
        <f>IF($V203&lt;&gt;'設定'!$C$4,N(U202),IF(OR(NOT(COUNTIF('商品マスタ'!$B$6:$B$1005,$W203)=0),COUNTIFS('①在庫を貼る'!$V$6:$V$10005,$V203,'①在庫を貼る'!$W$6:$W$10005,$W203)&gt;0),N(U202),N(U202)+1))</f>
        <v/>
      </c>
      <c r="V203" s="19">
        <f>IF($B203="","",TEXT($B203,"0000"))</f>
        <v/>
      </c>
      <c r="W203" s="19">
        <f>IF($I203="","",IF(ISNUMBER($I203),TEXT($I203,"0"),$I203))</f>
        <v/>
      </c>
    </row>
    <row r="204">
      <c r="B204" s="25" t="n"/>
      <c r="I204" s="25" t="n"/>
      <c r="U204" s="19">
        <f>IF($V204&lt;&gt;'設定'!$C$4,N(U203),IF(OR(NOT(COUNTIF('商品マスタ'!$B$6:$B$1005,$W204)=0),COUNTIFS('①在庫を貼る'!$V$6:$V$10005,$V204,'①在庫を貼る'!$W$6:$W$10005,$W204)&gt;0),N(U203),N(U203)+1))</f>
        <v/>
      </c>
      <c r="V204" s="19">
        <f>IF($B204="","",TEXT($B204,"0000"))</f>
        <v/>
      </c>
      <c r="W204" s="19">
        <f>IF($I204="","",IF(ISNUMBER($I204),TEXT($I204,"0"),$I204))</f>
        <v/>
      </c>
    </row>
    <row r="205">
      <c r="B205" s="25" t="n"/>
      <c r="I205" s="25" t="n"/>
      <c r="U205" s="19">
        <f>IF($V205&lt;&gt;'設定'!$C$4,N(U204),IF(OR(NOT(COUNTIF('商品マスタ'!$B$6:$B$1005,$W205)=0),COUNTIFS('①在庫を貼る'!$V$6:$V$10005,$V205,'①在庫を貼る'!$W$6:$W$10005,$W205)&gt;0),N(U204),N(U204)+1))</f>
        <v/>
      </c>
      <c r="V205" s="19">
        <f>IF($B205="","",TEXT($B205,"0000"))</f>
        <v/>
      </c>
      <c r="W205" s="19">
        <f>IF($I205="","",IF(ISNUMBER($I205),TEXT($I205,"0"),$I205))</f>
        <v/>
      </c>
    </row>
    <row r="206">
      <c r="B206" s="25" t="n"/>
      <c r="I206" s="25" t="n"/>
      <c r="U206" s="19">
        <f>IF($V206&lt;&gt;'設定'!$C$4,N(U205),IF(OR(NOT(COUNTIF('商品マスタ'!$B$6:$B$1005,$W206)=0),COUNTIFS('①在庫を貼る'!$V$6:$V$10005,$V206,'①在庫を貼る'!$W$6:$W$10005,$W206)&gt;0),N(U205),N(U205)+1))</f>
        <v/>
      </c>
      <c r="V206" s="19">
        <f>IF($B206="","",TEXT($B206,"0000"))</f>
        <v/>
      </c>
      <c r="W206" s="19">
        <f>IF($I206="","",IF(ISNUMBER($I206),TEXT($I206,"0"),$I206))</f>
        <v/>
      </c>
    </row>
    <row r="207">
      <c r="B207" s="25" t="n"/>
      <c r="I207" s="25" t="n"/>
      <c r="U207" s="19">
        <f>IF($V207&lt;&gt;'設定'!$C$4,N(U206),IF(OR(NOT(COUNTIF('商品マスタ'!$B$6:$B$1005,$W207)=0),COUNTIFS('①在庫を貼る'!$V$6:$V$10005,$V207,'①在庫を貼る'!$W$6:$W$10005,$W207)&gt;0),N(U206),N(U206)+1))</f>
        <v/>
      </c>
      <c r="V207" s="19">
        <f>IF($B207="","",TEXT($B207,"0000"))</f>
        <v/>
      </c>
      <c r="W207" s="19">
        <f>IF($I207="","",IF(ISNUMBER($I207),TEXT($I207,"0"),$I207))</f>
        <v/>
      </c>
    </row>
    <row r="208">
      <c r="B208" s="25" t="n"/>
      <c r="I208" s="25" t="n"/>
      <c r="U208" s="19">
        <f>IF($V208&lt;&gt;'設定'!$C$4,N(U207),IF(OR(NOT(COUNTIF('商品マスタ'!$B$6:$B$1005,$W208)=0),COUNTIFS('①在庫を貼る'!$V$6:$V$10005,$V208,'①在庫を貼る'!$W$6:$W$10005,$W208)&gt;0),N(U207),N(U207)+1))</f>
        <v/>
      </c>
      <c r="V208" s="19">
        <f>IF($B208="","",TEXT($B208,"0000"))</f>
        <v/>
      </c>
      <c r="W208" s="19">
        <f>IF($I208="","",IF(ISNUMBER($I208),TEXT($I208,"0"),$I208))</f>
        <v/>
      </c>
    </row>
    <row r="209">
      <c r="B209" s="25" t="n"/>
      <c r="I209" s="25" t="n"/>
      <c r="U209" s="19">
        <f>IF($V209&lt;&gt;'設定'!$C$4,N(U208),IF(OR(NOT(COUNTIF('商品マスタ'!$B$6:$B$1005,$W209)=0),COUNTIFS('①在庫を貼る'!$V$6:$V$10005,$V209,'①在庫を貼る'!$W$6:$W$10005,$W209)&gt;0),N(U208),N(U208)+1))</f>
        <v/>
      </c>
      <c r="V209" s="19">
        <f>IF($B209="","",TEXT($B209,"0000"))</f>
        <v/>
      </c>
      <c r="W209" s="19">
        <f>IF($I209="","",IF(ISNUMBER($I209),TEXT($I209,"0"),$I209))</f>
        <v/>
      </c>
    </row>
    <row r="210">
      <c r="B210" s="25" t="n"/>
      <c r="I210" s="25" t="n"/>
      <c r="U210" s="19">
        <f>IF($V210&lt;&gt;'設定'!$C$4,N(U209),IF(OR(NOT(COUNTIF('商品マスタ'!$B$6:$B$1005,$W210)=0),COUNTIFS('①在庫を貼る'!$V$6:$V$10005,$V210,'①在庫を貼る'!$W$6:$W$10005,$W210)&gt;0),N(U209),N(U209)+1))</f>
        <v/>
      </c>
      <c r="V210" s="19">
        <f>IF($B210="","",TEXT($B210,"0000"))</f>
        <v/>
      </c>
      <c r="W210" s="19">
        <f>IF($I210="","",IF(ISNUMBER($I210),TEXT($I210,"0"),$I210))</f>
        <v/>
      </c>
    </row>
    <row r="211">
      <c r="B211" s="25" t="n"/>
      <c r="I211" s="25" t="n"/>
      <c r="U211" s="19">
        <f>IF($V211&lt;&gt;'設定'!$C$4,N(U210),IF(OR(NOT(COUNTIF('商品マスタ'!$B$6:$B$1005,$W211)=0),COUNTIFS('①在庫を貼る'!$V$6:$V$10005,$V211,'①在庫を貼る'!$W$6:$W$10005,$W211)&gt;0),N(U210),N(U210)+1))</f>
        <v/>
      </c>
      <c r="V211" s="19">
        <f>IF($B211="","",TEXT($B211,"0000"))</f>
        <v/>
      </c>
      <c r="W211" s="19">
        <f>IF($I211="","",IF(ISNUMBER($I211),TEXT($I211,"0"),$I211))</f>
        <v/>
      </c>
    </row>
    <row r="212">
      <c r="B212" s="25" t="n"/>
      <c r="I212" s="25" t="n"/>
      <c r="U212" s="19">
        <f>IF($V212&lt;&gt;'設定'!$C$4,N(U211),IF(OR(NOT(COUNTIF('商品マスタ'!$B$6:$B$1005,$W212)=0),COUNTIFS('①在庫を貼る'!$V$6:$V$10005,$V212,'①在庫を貼る'!$W$6:$W$10005,$W212)&gt;0),N(U211),N(U211)+1))</f>
        <v/>
      </c>
      <c r="V212" s="19">
        <f>IF($B212="","",TEXT($B212,"0000"))</f>
        <v/>
      </c>
      <c r="W212" s="19">
        <f>IF($I212="","",IF(ISNUMBER($I212),TEXT($I212,"0"),$I212))</f>
        <v/>
      </c>
    </row>
    <row r="213">
      <c r="B213" s="25" t="n"/>
      <c r="I213" s="25" t="n"/>
      <c r="U213" s="19">
        <f>IF($V213&lt;&gt;'設定'!$C$4,N(U212),IF(OR(NOT(COUNTIF('商品マスタ'!$B$6:$B$1005,$W213)=0),COUNTIFS('①在庫を貼る'!$V$6:$V$10005,$V213,'①在庫を貼る'!$W$6:$W$10005,$W213)&gt;0),N(U212),N(U212)+1))</f>
        <v/>
      </c>
      <c r="V213" s="19">
        <f>IF($B213="","",TEXT($B213,"0000"))</f>
        <v/>
      </c>
      <c r="W213" s="19">
        <f>IF($I213="","",IF(ISNUMBER($I213),TEXT($I213,"0"),$I213))</f>
        <v/>
      </c>
    </row>
    <row r="214">
      <c r="B214" s="25" t="n"/>
      <c r="I214" s="25" t="n"/>
      <c r="U214" s="19">
        <f>IF($V214&lt;&gt;'設定'!$C$4,N(U213),IF(OR(NOT(COUNTIF('商品マスタ'!$B$6:$B$1005,$W214)=0),COUNTIFS('①在庫を貼る'!$V$6:$V$10005,$V214,'①在庫を貼る'!$W$6:$W$10005,$W214)&gt;0),N(U213),N(U213)+1))</f>
        <v/>
      </c>
      <c r="V214" s="19">
        <f>IF($B214="","",TEXT($B214,"0000"))</f>
        <v/>
      </c>
      <c r="W214" s="19">
        <f>IF($I214="","",IF(ISNUMBER($I214),TEXT($I214,"0"),$I214))</f>
        <v/>
      </c>
    </row>
    <row r="215">
      <c r="B215" s="25" t="n"/>
      <c r="I215" s="25" t="n"/>
      <c r="U215" s="19">
        <f>IF($V215&lt;&gt;'設定'!$C$4,N(U214),IF(OR(NOT(COUNTIF('商品マスタ'!$B$6:$B$1005,$W215)=0),COUNTIFS('①在庫を貼る'!$V$6:$V$10005,$V215,'①在庫を貼る'!$W$6:$W$10005,$W215)&gt;0),N(U214),N(U214)+1))</f>
        <v/>
      </c>
      <c r="V215" s="19">
        <f>IF($B215="","",TEXT($B215,"0000"))</f>
        <v/>
      </c>
      <c r="W215" s="19">
        <f>IF($I215="","",IF(ISNUMBER($I215),TEXT($I215,"0"),$I215))</f>
        <v/>
      </c>
    </row>
    <row r="216">
      <c r="B216" s="25" t="n"/>
      <c r="I216" s="25" t="n"/>
      <c r="U216" s="19">
        <f>IF($V216&lt;&gt;'設定'!$C$4,N(U215),IF(OR(NOT(COUNTIF('商品マスタ'!$B$6:$B$1005,$W216)=0),COUNTIFS('①在庫を貼る'!$V$6:$V$10005,$V216,'①在庫を貼る'!$W$6:$W$10005,$W216)&gt;0),N(U215),N(U215)+1))</f>
        <v/>
      </c>
      <c r="V216" s="19">
        <f>IF($B216="","",TEXT($B216,"0000"))</f>
        <v/>
      </c>
      <c r="W216" s="19">
        <f>IF($I216="","",IF(ISNUMBER($I216),TEXT($I216,"0"),$I216))</f>
        <v/>
      </c>
    </row>
    <row r="217">
      <c r="B217" s="25" t="n"/>
      <c r="I217" s="25" t="n"/>
      <c r="U217" s="19">
        <f>IF($V217&lt;&gt;'設定'!$C$4,N(U216),IF(OR(NOT(COUNTIF('商品マスタ'!$B$6:$B$1005,$W217)=0),COUNTIFS('①在庫を貼る'!$V$6:$V$10005,$V217,'①在庫を貼る'!$W$6:$W$10005,$W217)&gt;0),N(U216),N(U216)+1))</f>
        <v/>
      </c>
      <c r="V217" s="19">
        <f>IF($B217="","",TEXT($B217,"0000"))</f>
        <v/>
      </c>
      <c r="W217" s="19">
        <f>IF($I217="","",IF(ISNUMBER($I217),TEXT($I217,"0"),$I217))</f>
        <v/>
      </c>
    </row>
    <row r="218">
      <c r="B218" s="25" t="n"/>
      <c r="I218" s="25" t="n"/>
      <c r="U218" s="19">
        <f>IF($V218&lt;&gt;'設定'!$C$4,N(U217),IF(OR(NOT(COUNTIF('商品マスタ'!$B$6:$B$1005,$W218)=0),COUNTIFS('①在庫を貼る'!$V$6:$V$10005,$V218,'①在庫を貼る'!$W$6:$W$10005,$W218)&gt;0),N(U217),N(U217)+1))</f>
        <v/>
      </c>
      <c r="V218" s="19">
        <f>IF($B218="","",TEXT($B218,"0000"))</f>
        <v/>
      </c>
      <c r="W218" s="19">
        <f>IF($I218="","",IF(ISNUMBER($I218),TEXT($I218,"0"),$I218))</f>
        <v/>
      </c>
    </row>
    <row r="219">
      <c r="B219" s="25" t="n"/>
      <c r="I219" s="25" t="n"/>
      <c r="U219" s="19">
        <f>IF($V219&lt;&gt;'設定'!$C$4,N(U218),IF(OR(NOT(COUNTIF('商品マスタ'!$B$6:$B$1005,$W219)=0),COUNTIFS('①在庫を貼る'!$V$6:$V$10005,$V219,'①在庫を貼る'!$W$6:$W$10005,$W219)&gt;0),N(U218),N(U218)+1))</f>
        <v/>
      </c>
      <c r="V219" s="19">
        <f>IF($B219="","",TEXT($B219,"0000"))</f>
        <v/>
      </c>
      <c r="W219" s="19">
        <f>IF($I219="","",IF(ISNUMBER($I219),TEXT($I219,"0"),$I219))</f>
        <v/>
      </c>
    </row>
    <row r="220">
      <c r="B220" s="25" t="n"/>
      <c r="I220" s="25" t="n"/>
      <c r="U220" s="19">
        <f>IF($V220&lt;&gt;'設定'!$C$4,N(U219),IF(OR(NOT(COUNTIF('商品マスタ'!$B$6:$B$1005,$W220)=0),COUNTIFS('①在庫を貼る'!$V$6:$V$10005,$V220,'①在庫を貼る'!$W$6:$W$10005,$W220)&gt;0),N(U219),N(U219)+1))</f>
        <v/>
      </c>
      <c r="V220" s="19">
        <f>IF($B220="","",TEXT($B220,"0000"))</f>
        <v/>
      </c>
      <c r="W220" s="19">
        <f>IF($I220="","",IF(ISNUMBER($I220),TEXT($I220,"0"),$I220))</f>
        <v/>
      </c>
    </row>
    <row r="221">
      <c r="B221" s="25" t="n"/>
      <c r="I221" s="25" t="n"/>
      <c r="U221" s="19">
        <f>IF($V221&lt;&gt;'設定'!$C$4,N(U220),IF(OR(NOT(COUNTIF('商品マスタ'!$B$6:$B$1005,$W221)=0),COUNTIFS('①在庫を貼る'!$V$6:$V$10005,$V221,'①在庫を貼る'!$W$6:$W$10005,$W221)&gt;0),N(U220),N(U220)+1))</f>
        <v/>
      </c>
      <c r="V221" s="19">
        <f>IF($B221="","",TEXT($B221,"0000"))</f>
        <v/>
      </c>
      <c r="W221" s="19">
        <f>IF($I221="","",IF(ISNUMBER($I221),TEXT($I221,"0"),$I221))</f>
        <v/>
      </c>
    </row>
    <row r="222">
      <c r="B222" s="25" t="n"/>
      <c r="I222" s="25" t="n"/>
      <c r="U222" s="19">
        <f>IF($V222&lt;&gt;'設定'!$C$4,N(U221),IF(OR(NOT(COUNTIF('商品マスタ'!$B$6:$B$1005,$W222)=0),COUNTIFS('①在庫を貼る'!$V$6:$V$10005,$V222,'①在庫を貼る'!$W$6:$W$10005,$W222)&gt;0),N(U221),N(U221)+1))</f>
        <v/>
      </c>
      <c r="V222" s="19">
        <f>IF($B222="","",TEXT($B222,"0000"))</f>
        <v/>
      </c>
      <c r="W222" s="19">
        <f>IF($I222="","",IF(ISNUMBER($I222),TEXT($I222,"0"),$I222))</f>
        <v/>
      </c>
    </row>
    <row r="223">
      <c r="B223" s="25" t="n"/>
      <c r="I223" s="25" t="n"/>
      <c r="U223" s="19">
        <f>IF($V223&lt;&gt;'設定'!$C$4,N(U222),IF(OR(NOT(COUNTIF('商品マスタ'!$B$6:$B$1005,$W223)=0),COUNTIFS('①在庫を貼る'!$V$6:$V$10005,$V223,'①在庫を貼る'!$W$6:$W$10005,$W223)&gt;0),N(U222),N(U222)+1))</f>
        <v/>
      </c>
      <c r="V223" s="19">
        <f>IF($B223="","",TEXT($B223,"0000"))</f>
        <v/>
      </c>
      <c r="W223" s="19">
        <f>IF($I223="","",IF(ISNUMBER($I223),TEXT($I223,"0"),$I223))</f>
        <v/>
      </c>
    </row>
    <row r="224">
      <c r="B224" s="25" t="n"/>
      <c r="I224" s="25" t="n"/>
      <c r="U224" s="19">
        <f>IF($V224&lt;&gt;'設定'!$C$4,N(U223),IF(OR(NOT(COUNTIF('商品マスタ'!$B$6:$B$1005,$W224)=0),COUNTIFS('①在庫を貼る'!$V$6:$V$10005,$V224,'①在庫を貼る'!$W$6:$W$10005,$W224)&gt;0),N(U223),N(U223)+1))</f>
        <v/>
      </c>
      <c r="V224" s="19">
        <f>IF($B224="","",TEXT($B224,"0000"))</f>
        <v/>
      </c>
      <c r="W224" s="19">
        <f>IF($I224="","",IF(ISNUMBER($I224),TEXT($I224,"0"),$I224))</f>
        <v/>
      </c>
    </row>
    <row r="225">
      <c r="B225" s="25" t="n"/>
      <c r="I225" s="25" t="n"/>
      <c r="U225" s="19">
        <f>IF($V225&lt;&gt;'設定'!$C$4,N(U224),IF(OR(NOT(COUNTIF('商品マスタ'!$B$6:$B$1005,$W225)=0),COUNTIFS('①在庫を貼る'!$V$6:$V$10005,$V225,'①在庫を貼る'!$W$6:$W$10005,$W225)&gt;0),N(U224),N(U224)+1))</f>
        <v/>
      </c>
      <c r="V225" s="19">
        <f>IF($B225="","",TEXT($B225,"0000"))</f>
        <v/>
      </c>
      <c r="W225" s="19">
        <f>IF($I225="","",IF(ISNUMBER($I225),TEXT($I225,"0"),$I225))</f>
        <v/>
      </c>
    </row>
    <row r="226">
      <c r="B226" s="25" t="n"/>
      <c r="I226" s="25" t="n"/>
      <c r="U226" s="19">
        <f>IF($V226&lt;&gt;'設定'!$C$4,N(U225),IF(OR(NOT(COUNTIF('商品マスタ'!$B$6:$B$1005,$W226)=0),COUNTIFS('①在庫を貼る'!$V$6:$V$10005,$V226,'①在庫を貼る'!$W$6:$W$10005,$W226)&gt;0),N(U225),N(U225)+1))</f>
        <v/>
      </c>
      <c r="V226" s="19">
        <f>IF($B226="","",TEXT($B226,"0000"))</f>
        <v/>
      </c>
      <c r="W226" s="19">
        <f>IF($I226="","",IF(ISNUMBER($I226),TEXT($I226,"0"),$I226))</f>
        <v/>
      </c>
    </row>
    <row r="227">
      <c r="B227" s="25" t="n"/>
      <c r="I227" s="25" t="n"/>
      <c r="U227" s="19">
        <f>IF($V227&lt;&gt;'設定'!$C$4,N(U226),IF(OR(NOT(COUNTIF('商品マスタ'!$B$6:$B$1005,$W227)=0),COUNTIFS('①在庫を貼る'!$V$6:$V$10005,$V227,'①在庫を貼る'!$W$6:$W$10005,$W227)&gt;0),N(U226),N(U226)+1))</f>
        <v/>
      </c>
      <c r="V227" s="19">
        <f>IF($B227="","",TEXT($B227,"0000"))</f>
        <v/>
      </c>
      <c r="W227" s="19">
        <f>IF($I227="","",IF(ISNUMBER($I227),TEXT($I227,"0"),$I227))</f>
        <v/>
      </c>
    </row>
    <row r="228">
      <c r="B228" s="25" t="n"/>
      <c r="I228" s="25" t="n"/>
      <c r="U228" s="19">
        <f>IF($V228&lt;&gt;'設定'!$C$4,N(U227),IF(OR(NOT(COUNTIF('商品マスタ'!$B$6:$B$1005,$W228)=0),COUNTIFS('①在庫を貼る'!$V$6:$V$10005,$V228,'①在庫を貼る'!$W$6:$W$10005,$W228)&gt;0),N(U227),N(U227)+1))</f>
        <v/>
      </c>
      <c r="V228" s="19">
        <f>IF($B228="","",TEXT($B228,"0000"))</f>
        <v/>
      </c>
      <c r="W228" s="19">
        <f>IF($I228="","",IF(ISNUMBER($I228),TEXT($I228,"0"),$I228))</f>
        <v/>
      </c>
    </row>
    <row r="229">
      <c r="B229" s="25" t="n"/>
      <c r="I229" s="25" t="n"/>
      <c r="U229" s="19">
        <f>IF($V229&lt;&gt;'設定'!$C$4,N(U228),IF(OR(NOT(COUNTIF('商品マスタ'!$B$6:$B$1005,$W229)=0),COUNTIFS('①在庫を貼る'!$V$6:$V$10005,$V229,'①在庫を貼る'!$W$6:$W$10005,$W229)&gt;0),N(U228),N(U228)+1))</f>
        <v/>
      </c>
      <c r="V229" s="19">
        <f>IF($B229="","",TEXT($B229,"0000"))</f>
        <v/>
      </c>
      <c r="W229" s="19">
        <f>IF($I229="","",IF(ISNUMBER($I229),TEXT($I229,"0"),$I229))</f>
        <v/>
      </c>
    </row>
    <row r="230">
      <c r="B230" s="25" t="n"/>
      <c r="I230" s="25" t="n"/>
      <c r="U230" s="19">
        <f>IF($V230&lt;&gt;'設定'!$C$4,N(U229),IF(OR(NOT(COUNTIF('商品マスタ'!$B$6:$B$1005,$W230)=0),COUNTIFS('①在庫を貼る'!$V$6:$V$10005,$V230,'①在庫を貼る'!$W$6:$W$10005,$W230)&gt;0),N(U229),N(U229)+1))</f>
        <v/>
      </c>
      <c r="V230" s="19">
        <f>IF($B230="","",TEXT($B230,"0000"))</f>
        <v/>
      </c>
      <c r="W230" s="19">
        <f>IF($I230="","",IF(ISNUMBER($I230),TEXT($I230,"0"),$I230))</f>
        <v/>
      </c>
    </row>
    <row r="231">
      <c r="B231" s="25" t="n"/>
      <c r="I231" s="25" t="n"/>
      <c r="U231" s="19">
        <f>IF($V231&lt;&gt;'設定'!$C$4,N(U230),IF(OR(NOT(COUNTIF('商品マスタ'!$B$6:$B$1005,$W231)=0),COUNTIFS('①在庫を貼る'!$V$6:$V$10005,$V231,'①在庫を貼る'!$W$6:$W$10005,$W231)&gt;0),N(U230),N(U230)+1))</f>
        <v/>
      </c>
      <c r="V231" s="19">
        <f>IF($B231="","",TEXT($B231,"0000"))</f>
        <v/>
      </c>
      <c r="W231" s="19">
        <f>IF($I231="","",IF(ISNUMBER($I231),TEXT($I231,"0"),$I231))</f>
        <v/>
      </c>
    </row>
    <row r="232">
      <c r="B232" s="25" t="n"/>
      <c r="I232" s="25" t="n"/>
      <c r="U232" s="19">
        <f>IF($V232&lt;&gt;'設定'!$C$4,N(U231),IF(OR(NOT(COUNTIF('商品マスタ'!$B$6:$B$1005,$W232)=0),COUNTIFS('①在庫を貼る'!$V$6:$V$10005,$V232,'①在庫を貼る'!$W$6:$W$10005,$W232)&gt;0),N(U231),N(U231)+1))</f>
        <v/>
      </c>
      <c r="V232" s="19">
        <f>IF($B232="","",TEXT($B232,"0000"))</f>
        <v/>
      </c>
      <c r="W232" s="19">
        <f>IF($I232="","",IF(ISNUMBER($I232),TEXT($I232,"0"),$I232))</f>
        <v/>
      </c>
    </row>
    <row r="233">
      <c r="B233" s="25" t="n"/>
      <c r="I233" s="25" t="n"/>
      <c r="U233" s="19">
        <f>IF($V233&lt;&gt;'設定'!$C$4,N(U232),IF(OR(NOT(COUNTIF('商品マスタ'!$B$6:$B$1005,$W233)=0),COUNTIFS('①在庫を貼る'!$V$6:$V$10005,$V233,'①在庫を貼る'!$W$6:$W$10005,$W233)&gt;0),N(U232),N(U232)+1))</f>
        <v/>
      </c>
      <c r="V233" s="19">
        <f>IF($B233="","",TEXT($B233,"0000"))</f>
        <v/>
      </c>
      <c r="W233" s="19">
        <f>IF($I233="","",IF(ISNUMBER($I233),TEXT($I233,"0"),$I233))</f>
        <v/>
      </c>
    </row>
    <row r="234">
      <c r="B234" s="25" t="n"/>
      <c r="I234" s="25" t="n"/>
      <c r="U234" s="19">
        <f>IF($V234&lt;&gt;'設定'!$C$4,N(U233),IF(OR(NOT(COUNTIF('商品マスタ'!$B$6:$B$1005,$W234)=0),COUNTIFS('①在庫を貼る'!$V$6:$V$10005,$V234,'①在庫を貼る'!$W$6:$W$10005,$W234)&gt;0),N(U233),N(U233)+1))</f>
        <v/>
      </c>
      <c r="V234" s="19">
        <f>IF($B234="","",TEXT($B234,"0000"))</f>
        <v/>
      </c>
      <c r="W234" s="19">
        <f>IF($I234="","",IF(ISNUMBER($I234),TEXT($I234,"0"),$I234))</f>
        <v/>
      </c>
    </row>
    <row r="235">
      <c r="B235" s="25" t="n"/>
      <c r="I235" s="25" t="n"/>
      <c r="U235" s="19">
        <f>IF($V235&lt;&gt;'設定'!$C$4,N(U234),IF(OR(NOT(COUNTIF('商品マスタ'!$B$6:$B$1005,$W235)=0),COUNTIFS('①在庫を貼る'!$V$6:$V$10005,$V235,'①在庫を貼る'!$W$6:$W$10005,$W235)&gt;0),N(U234),N(U234)+1))</f>
        <v/>
      </c>
      <c r="V235" s="19">
        <f>IF($B235="","",TEXT($B235,"0000"))</f>
        <v/>
      </c>
      <c r="W235" s="19">
        <f>IF($I235="","",IF(ISNUMBER($I235),TEXT($I235,"0"),$I235))</f>
        <v/>
      </c>
    </row>
    <row r="236">
      <c r="B236" s="25" t="n"/>
      <c r="I236" s="25" t="n"/>
      <c r="U236" s="19">
        <f>IF($V236&lt;&gt;'設定'!$C$4,N(U235),IF(OR(NOT(COUNTIF('商品マスタ'!$B$6:$B$1005,$W236)=0),COUNTIFS('①在庫を貼る'!$V$6:$V$10005,$V236,'①在庫を貼る'!$W$6:$W$10005,$W236)&gt;0),N(U235),N(U235)+1))</f>
        <v/>
      </c>
      <c r="V236" s="19">
        <f>IF($B236="","",TEXT($B236,"0000"))</f>
        <v/>
      </c>
      <c r="W236" s="19">
        <f>IF($I236="","",IF(ISNUMBER($I236),TEXT($I236,"0"),$I236))</f>
        <v/>
      </c>
    </row>
    <row r="237">
      <c r="B237" s="25" t="n"/>
      <c r="I237" s="25" t="n"/>
      <c r="U237" s="19">
        <f>IF($V237&lt;&gt;'設定'!$C$4,N(U236),IF(OR(NOT(COUNTIF('商品マスタ'!$B$6:$B$1005,$W237)=0),COUNTIFS('①在庫を貼る'!$V$6:$V$10005,$V237,'①在庫を貼る'!$W$6:$W$10005,$W237)&gt;0),N(U236),N(U236)+1))</f>
        <v/>
      </c>
      <c r="V237" s="19">
        <f>IF($B237="","",TEXT($B237,"0000"))</f>
        <v/>
      </c>
      <c r="W237" s="19">
        <f>IF($I237="","",IF(ISNUMBER($I237),TEXT($I237,"0"),$I237))</f>
        <v/>
      </c>
    </row>
    <row r="238">
      <c r="B238" s="25" t="n"/>
      <c r="I238" s="25" t="n"/>
      <c r="U238" s="19">
        <f>IF($V238&lt;&gt;'設定'!$C$4,N(U237),IF(OR(NOT(COUNTIF('商品マスタ'!$B$6:$B$1005,$W238)=0),COUNTIFS('①在庫を貼る'!$V$6:$V$10005,$V238,'①在庫を貼る'!$W$6:$W$10005,$W238)&gt;0),N(U237),N(U237)+1))</f>
        <v/>
      </c>
      <c r="V238" s="19">
        <f>IF($B238="","",TEXT($B238,"0000"))</f>
        <v/>
      </c>
      <c r="W238" s="19">
        <f>IF($I238="","",IF(ISNUMBER($I238),TEXT($I238,"0"),$I238))</f>
        <v/>
      </c>
    </row>
    <row r="239">
      <c r="B239" s="25" t="n"/>
      <c r="I239" s="25" t="n"/>
      <c r="U239" s="19">
        <f>IF($V239&lt;&gt;'設定'!$C$4,N(U238),IF(OR(NOT(COUNTIF('商品マスタ'!$B$6:$B$1005,$W239)=0),COUNTIFS('①在庫を貼る'!$V$6:$V$10005,$V239,'①在庫を貼る'!$W$6:$W$10005,$W239)&gt;0),N(U238),N(U238)+1))</f>
        <v/>
      </c>
      <c r="V239" s="19">
        <f>IF($B239="","",TEXT($B239,"0000"))</f>
        <v/>
      </c>
      <c r="W239" s="19">
        <f>IF($I239="","",IF(ISNUMBER($I239),TEXT($I239,"0"),$I239))</f>
        <v/>
      </c>
    </row>
    <row r="240">
      <c r="B240" s="25" t="n"/>
      <c r="I240" s="25" t="n"/>
      <c r="U240" s="19">
        <f>IF($V240&lt;&gt;'設定'!$C$4,N(U239),IF(OR(NOT(COUNTIF('商品マスタ'!$B$6:$B$1005,$W240)=0),COUNTIFS('①在庫を貼る'!$V$6:$V$10005,$V240,'①在庫を貼る'!$W$6:$W$10005,$W240)&gt;0),N(U239),N(U239)+1))</f>
        <v/>
      </c>
      <c r="V240" s="19">
        <f>IF($B240="","",TEXT($B240,"0000"))</f>
        <v/>
      </c>
      <c r="W240" s="19">
        <f>IF($I240="","",IF(ISNUMBER($I240),TEXT($I240,"0"),$I240))</f>
        <v/>
      </c>
    </row>
    <row r="241">
      <c r="B241" s="25" t="n"/>
      <c r="I241" s="25" t="n"/>
      <c r="U241" s="19">
        <f>IF($V241&lt;&gt;'設定'!$C$4,N(U240),IF(OR(NOT(COUNTIF('商品マスタ'!$B$6:$B$1005,$W241)=0),COUNTIFS('①在庫を貼る'!$V$6:$V$10005,$V241,'①在庫を貼る'!$W$6:$W$10005,$W241)&gt;0),N(U240),N(U240)+1))</f>
        <v/>
      </c>
      <c r="V241" s="19">
        <f>IF($B241="","",TEXT($B241,"0000"))</f>
        <v/>
      </c>
      <c r="W241" s="19">
        <f>IF($I241="","",IF(ISNUMBER($I241),TEXT($I241,"0"),$I241))</f>
        <v/>
      </c>
    </row>
    <row r="242">
      <c r="B242" s="25" t="n"/>
      <c r="I242" s="25" t="n"/>
      <c r="U242" s="19">
        <f>IF($V242&lt;&gt;'設定'!$C$4,N(U241),IF(OR(NOT(COUNTIF('商品マスタ'!$B$6:$B$1005,$W242)=0),COUNTIFS('①在庫を貼る'!$V$6:$V$10005,$V242,'①在庫を貼る'!$W$6:$W$10005,$W242)&gt;0),N(U241),N(U241)+1))</f>
        <v/>
      </c>
      <c r="V242" s="19">
        <f>IF($B242="","",TEXT($B242,"0000"))</f>
        <v/>
      </c>
      <c r="W242" s="19">
        <f>IF($I242="","",IF(ISNUMBER($I242),TEXT($I242,"0"),$I242))</f>
        <v/>
      </c>
    </row>
    <row r="243">
      <c r="B243" s="25" t="n"/>
      <c r="I243" s="25" t="n"/>
      <c r="U243" s="19">
        <f>IF($V243&lt;&gt;'設定'!$C$4,N(U242),IF(OR(NOT(COUNTIF('商品マスタ'!$B$6:$B$1005,$W243)=0),COUNTIFS('①在庫を貼る'!$V$6:$V$10005,$V243,'①在庫を貼る'!$W$6:$W$10005,$W243)&gt;0),N(U242),N(U242)+1))</f>
        <v/>
      </c>
      <c r="V243" s="19">
        <f>IF($B243="","",TEXT($B243,"0000"))</f>
        <v/>
      </c>
      <c r="W243" s="19">
        <f>IF($I243="","",IF(ISNUMBER($I243),TEXT($I243,"0"),$I243))</f>
        <v/>
      </c>
    </row>
    <row r="244">
      <c r="B244" s="25" t="n"/>
      <c r="I244" s="25" t="n"/>
      <c r="U244" s="19">
        <f>IF($V244&lt;&gt;'設定'!$C$4,N(U243),IF(OR(NOT(COUNTIF('商品マスタ'!$B$6:$B$1005,$W244)=0),COUNTIFS('①在庫を貼る'!$V$6:$V$10005,$V244,'①在庫を貼る'!$W$6:$W$10005,$W244)&gt;0),N(U243),N(U243)+1))</f>
        <v/>
      </c>
      <c r="V244" s="19">
        <f>IF($B244="","",TEXT($B244,"0000"))</f>
        <v/>
      </c>
      <c r="W244" s="19">
        <f>IF($I244="","",IF(ISNUMBER($I244),TEXT($I244,"0"),$I244))</f>
        <v/>
      </c>
    </row>
    <row r="245">
      <c r="B245" s="25" t="n"/>
      <c r="I245" s="25" t="n"/>
      <c r="U245" s="19">
        <f>IF($V245&lt;&gt;'設定'!$C$4,N(U244),IF(OR(NOT(COUNTIF('商品マスタ'!$B$6:$B$1005,$W245)=0),COUNTIFS('①在庫を貼る'!$V$6:$V$10005,$V245,'①在庫を貼る'!$W$6:$W$10005,$W245)&gt;0),N(U244),N(U244)+1))</f>
        <v/>
      </c>
      <c r="V245" s="19">
        <f>IF($B245="","",TEXT($B245,"0000"))</f>
        <v/>
      </c>
      <c r="W245" s="19">
        <f>IF($I245="","",IF(ISNUMBER($I245),TEXT($I245,"0"),$I245))</f>
        <v/>
      </c>
    </row>
    <row r="246">
      <c r="B246" s="25" t="n"/>
      <c r="I246" s="25" t="n"/>
      <c r="U246" s="19">
        <f>IF($V246&lt;&gt;'設定'!$C$4,N(U245),IF(OR(NOT(COUNTIF('商品マスタ'!$B$6:$B$1005,$W246)=0),COUNTIFS('①在庫を貼る'!$V$6:$V$10005,$V246,'①在庫を貼る'!$W$6:$W$10005,$W246)&gt;0),N(U245),N(U245)+1))</f>
        <v/>
      </c>
      <c r="V246" s="19">
        <f>IF($B246="","",TEXT($B246,"0000"))</f>
        <v/>
      </c>
      <c r="W246" s="19">
        <f>IF($I246="","",IF(ISNUMBER($I246),TEXT($I246,"0"),$I246))</f>
        <v/>
      </c>
    </row>
    <row r="247">
      <c r="B247" s="25" t="n"/>
      <c r="I247" s="25" t="n"/>
      <c r="U247" s="19">
        <f>IF($V247&lt;&gt;'設定'!$C$4,N(U246),IF(OR(NOT(COUNTIF('商品マスタ'!$B$6:$B$1005,$W247)=0),COUNTIFS('①在庫を貼る'!$V$6:$V$10005,$V247,'①在庫を貼る'!$W$6:$W$10005,$W247)&gt;0),N(U246),N(U246)+1))</f>
        <v/>
      </c>
      <c r="V247" s="19">
        <f>IF($B247="","",TEXT($B247,"0000"))</f>
        <v/>
      </c>
      <c r="W247" s="19">
        <f>IF($I247="","",IF(ISNUMBER($I247),TEXT($I247,"0"),$I247))</f>
        <v/>
      </c>
    </row>
    <row r="248">
      <c r="B248" s="25" t="n"/>
      <c r="I248" s="25" t="n"/>
      <c r="U248" s="19">
        <f>IF($V248&lt;&gt;'設定'!$C$4,N(U247),IF(OR(NOT(COUNTIF('商品マスタ'!$B$6:$B$1005,$W248)=0),COUNTIFS('①在庫を貼る'!$V$6:$V$10005,$V248,'①在庫を貼る'!$W$6:$W$10005,$W248)&gt;0),N(U247),N(U247)+1))</f>
        <v/>
      </c>
      <c r="V248" s="19">
        <f>IF($B248="","",TEXT($B248,"0000"))</f>
        <v/>
      </c>
      <c r="W248" s="19">
        <f>IF($I248="","",IF(ISNUMBER($I248),TEXT($I248,"0"),$I248))</f>
        <v/>
      </c>
    </row>
    <row r="249">
      <c r="B249" s="25" t="n"/>
      <c r="I249" s="25" t="n"/>
      <c r="U249" s="19">
        <f>IF($V249&lt;&gt;'設定'!$C$4,N(U248),IF(OR(NOT(COUNTIF('商品マスタ'!$B$6:$B$1005,$W249)=0),COUNTIFS('①在庫を貼る'!$V$6:$V$10005,$V249,'①在庫を貼る'!$W$6:$W$10005,$W249)&gt;0),N(U248),N(U248)+1))</f>
        <v/>
      </c>
      <c r="V249" s="19">
        <f>IF($B249="","",TEXT($B249,"0000"))</f>
        <v/>
      </c>
      <c r="W249" s="19">
        <f>IF($I249="","",IF(ISNUMBER($I249),TEXT($I249,"0"),$I249))</f>
        <v/>
      </c>
    </row>
    <row r="250">
      <c r="B250" s="25" t="n"/>
      <c r="I250" s="25" t="n"/>
      <c r="U250" s="19">
        <f>IF($V250&lt;&gt;'設定'!$C$4,N(U249),IF(OR(NOT(COUNTIF('商品マスタ'!$B$6:$B$1005,$W250)=0),COUNTIFS('①在庫を貼る'!$V$6:$V$10005,$V250,'①在庫を貼る'!$W$6:$W$10005,$W250)&gt;0),N(U249),N(U249)+1))</f>
        <v/>
      </c>
      <c r="V250" s="19">
        <f>IF($B250="","",TEXT($B250,"0000"))</f>
        <v/>
      </c>
      <c r="W250" s="19">
        <f>IF($I250="","",IF(ISNUMBER($I250),TEXT($I250,"0"),$I250))</f>
        <v/>
      </c>
    </row>
    <row r="251">
      <c r="B251" s="25" t="n"/>
      <c r="I251" s="25" t="n"/>
      <c r="U251" s="19">
        <f>IF($V251&lt;&gt;'設定'!$C$4,N(U250),IF(OR(NOT(COUNTIF('商品マスタ'!$B$6:$B$1005,$W251)=0),COUNTIFS('①在庫を貼る'!$V$6:$V$10005,$V251,'①在庫を貼る'!$W$6:$W$10005,$W251)&gt;0),N(U250),N(U250)+1))</f>
        <v/>
      </c>
      <c r="V251" s="19">
        <f>IF($B251="","",TEXT($B251,"0000"))</f>
        <v/>
      </c>
      <c r="W251" s="19">
        <f>IF($I251="","",IF(ISNUMBER($I251),TEXT($I251,"0"),$I251))</f>
        <v/>
      </c>
    </row>
    <row r="252">
      <c r="B252" s="25" t="n"/>
      <c r="I252" s="25" t="n"/>
      <c r="U252" s="19">
        <f>IF($V252&lt;&gt;'設定'!$C$4,N(U251),IF(OR(NOT(COUNTIF('商品マスタ'!$B$6:$B$1005,$W252)=0),COUNTIFS('①在庫を貼る'!$V$6:$V$10005,$V252,'①在庫を貼る'!$W$6:$W$10005,$W252)&gt;0),N(U251),N(U251)+1))</f>
        <v/>
      </c>
      <c r="V252" s="19">
        <f>IF($B252="","",TEXT($B252,"0000"))</f>
        <v/>
      </c>
      <c r="W252" s="19">
        <f>IF($I252="","",IF(ISNUMBER($I252),TEXT($I252,"0"),$I252))</f>
        <v/>
      </c>
    </row>
    <row r="253">
      <c r="B253" s="25" t="n"/>
      <c r="I253" s="25" t="n"/>
      <c r="U253" s="19">
        <f>IF($V253&lt;&gt;'設定'!$C$4,N(U252),IF(OR(NOT(COUNTIF('商品マスタ'!$B$6:$B$1005,$W253)=0),COUNTIFS('①在庫を貼る'!$V$6:$V$10005,$V253,'①在庫を貼る'!$W$6:$W$10005,$W253)&gt;0),N(U252),N(U252)+1))</f>
        <v/>
      </c>
      <c r="V253" s="19">
        <f>IF($B253="","",TEXT($B253,"0000"))</f>
        <v/>
      </c>
      <c r="W253" s="19">
        <f>IF($I253="","",IF(ISNUMBER($I253),TEXT($I253,"0"),$I253))</f>
        <v/>
      </c>
    </row>
    <row r="254">
      <c r="B254" s="25" t="n"/>
      <c r="I254" s="25" t="n"/>
      <c r="U254" s="19">
        <f>IF($V254&lt;&gt;'設定'!$C$4,N(U253),IF(OR(NOT(COUNTIF('商品マスタ'!$B$6:$B$1005,$W254)=0),COUNTIFS('①在庫を貼る'!$V$6:$V$10005,$V254,'①在庫を貼る'!$W$6:$W$10005,$W254)&gt;0),N(U253),N(U253)+1))</f>
        <v/>
      </c>
      <c r="V254" s="19">
        <f>IF($B254="","",TEXT($B254,"0000"))</f>
        <v/>
      </c>
      <c r="W254" s="19">
        <f>IF($I254="","",IF(ISNUMBER($I254),TEXT($I254,"0"),$I254))</f>
        <v/>
      </c>
    </row>
    <row r="255">
      <c r="B255" s="25" t="n"/>
      <c r="I255" s="25" t="n"/>
      <c r="U255" s="19">
        <f>IF($V255&lt;&gt;'設定'!$C$4,N(U254),IF(OR(NOT(COUNTIF('商品マスタ'!$B$6:$B$1005,$W255)=0),COUNTIFS('①在庫を貼る'!$V$6:$V$10005,$V255,'①在庫を貼る'!$W$6:$W$10005,$W255)&gt;0),N(U254),N(U254)+1))</f>
        <v/>
      </c>
      <c r="V255" s="19">
        <f>IF($B255="","",TEXT($B255,"0000"))</f>
        <v/>
      </c>
      <c r="W255" s="19">
        <f>IF($I255="","",IF(ISNUMBER($I255),TEXT($I255,"0"),$I255))</f>
        <v/>
      </c>
    </row>
    <row r="256">
      <c r="B256" s="25" t="n"/>
      <c r="I256" s="25" t="n"/>
      <c r="U256" s="19">
        <f>IF($V256&lt;&gt;'設定'!$C$4,N(U255),IF(OR(NOT(COUNTIF('商品マスタ'!$B$6:$B$1005,$W256)=0),COUNTIFS('①在庫を貼る'!$V$6:$V$10005,$V256,'①在庫を貼る'!$W$6:$W$10005,$W256)&gt;0),N(U255),N(U255)+1))</f>
        <v/>
      </c>
      <c r="V256" s="19">
        <f>IF($B256="","",TEXT($B256,"0000"))</f>
        <v/>
      </c>
      <c r="W256" s="19">
        <f>IF($I256="","",IF(ISNUMBER($I256),TEXT($I256,"0"),$I256))</f>
        <v/>
      </c>
    </row>
    <row r="257">
      <c r="B257" s="25" t="n"/>
      <c r="I257" s="25" t="n"/>
      <c r="U257" s="19">
        <f>IF($V257&lt;&gt;'設定'!$C$4,N(U256),IF(OR(NOT(COUNTIF('商品マスタ'!$B$6:$B$1005,$W257)=0),COUNTIFS('①在庫を貼る'!$V$6:$V$10005,$V257,'①在庫を貼る'!$W$6:$W$10005,$W257)&gt;0),N(U256),N(U256)+1))</f>
        <v/>
      </c>
      <c r="V257" s="19">
        <f>IF($B257="","",TEXT($B257,"0000"))</f>
        <v/>
      </c>
      <c r="W257" s="19">
        <f>IF($I257="","",IF(ISNUMBER($I257),TEXT($I257,"0"),$I257))</f>
        <v/>
      </c>
    </row>
    <row r="258">
      <c r="B258" s="25" t="n"/>
      <c r="I258" s="25" t="n"/>
      <c r="U258" s="19">
        <f>IF($V258&lt;&gt;'設定'!$C$4,N(U257),IF(OR(NOT(COUNTIF('商品マスタ'!$B$6:$B$1005,$W258)=0),COUNTIFS('①在庫を貼る'!$V$6:$V$10005,$V258,'①在庫を貼る'!$W$6:$W$10005,$W258)&gt;0),N(U257),N(U257)+1))</f>
        <v/>
      </c>
      <c r="V258" s="19">
        <f>IF($B258="","",TEXT($B258,"0000"))</f>
        <v/>
      </c>
      <c r="W258" s="19">
        <f>IF($I258="","",IF(ISNUMBER($I258),TEXT($I258,"0"),$I258))</f>
        <v/>
      </c>
    </row>
    <row r="259">
      <c r="B259" s="25" t="n"/>
      <c r="I259" s="25" t="n"/>
      <c r="U259" s="19">
        <f>IF($V259&lt;&gt;'設定'!$C$4,N(U258),IF(OR(NOT(COUNTIF('商品マスタ'!$B$6:$B$1005,$W259)=0),COUNTIFS('①在庫を貼る'!$V$6:$V$10005,$V259,'①在庫を貼る'!$W$6:$W$10005,$W259)&gt;0),N(U258),N(U258)+1))</f>
        <v/>
      </c>
      <c r="V259" s="19">
        <f>IF($B259="","",TEXT($B259,"0000"))</f>
        <v/>
      </c>
      <c r="W259" s="19">
        <f>IF($I259="","",IF(ISNUMBER($I259),TEXT($I259,"0"),$I259))</f>
        <v/>
      </c>
    </row>
    <row r="260">
      <c r="B260" s="25" t="n"/>
      <c r="I260" s="25" t="n"/>
      <c r="U260" s="19">
        <f>IF($V260&lt;&gt;'設定'!$C$4,N(U259),IF(OR(NOT(COUNTIF('商品マスタ'!$B$6:$B$1005,$W260)=0),COUNTIFS('①在庫を貼る'!$V$6:$V$10005,$V260,'①在庫を貼る'!$W$6:$W$10005,$W260)&gt;0),N(U259),N(U259)+1))</f>
        <v/>
      </c>
      <c r="V260" s="19">
        <f>IF($B260="","",TEXT($B260,"0000"))</f>
        <v/>
      </c>
      <c r="W260" s="19">
        <f>IF($I260="","",IF(ISNUMBER($I260),TEXT($I260,"0"),$I260))</f>
        <v/>
      </c>
    </row>
    <row r="261">
      <c r="B261" s="25" t="n"/>
      <c r="I261" s="25" t="n"/>
      <c r="U261" s="19">
        <f>IF($V261&lt;&gt;'設定'!$C$4,N(U260),IF(OR(NOT(COUNTIF('商品マスタ'!$B$6:$B$1005,$W261)=0),COUNTIFS('①在庫を貼る'!$V$6:$V$10005,$V261,'①在庫を貼る'!$W$6:$W$10005,$W261)&gt;0),N(U260),N(U260)+1))</f>
        <v/>
      </c>
      <c r="V261" s="19">
        <f>IF($B261="","",TEXT($B261,"0000"))</f>
        <v/>
      </c>
      <c r="W261" s="19">
        <f>IF($I261="","",IF(ISNUMBER($I261),TEXT($I261,"0"),$I261))</f>
        <v/>
      </c>
    </row>
    <row r="262">
      <c r="B262" s="25" t="n"/>
      <c r="I262" s="25" t="n"/>
      <c r="U262" s="19">
        <f>IF($V262&lt;&gt;'設定'!$C$4,N(U261),IF(OR(NOT(COUNTIF('商品マスタ'!$B$6:$B$1005,$W262)=0),COUNTIFS('①在庫を貼る'!$V$6:$V$10005,$V262,'①在庫を貼る'!$W$6:$W$10005,$W262)&gt;0),N(U261),N(U261)+1))</f>
        <v/>
      </c>
      <c r="V262" s="19">
        <f>IF($B262="","",TEXT($B262,"0000"))</f>
        <v/>
      </c>
      <c r="W262" s="19">
        <f>IF($I262="","",IF(ISNUMBER($I262),TEXT($I262,"0"),$I262))</f>
        <v/>
      </c>
    </row>
    <row r="263">
      <c r="B263" s="25" t="n"/>
      <c r="I263" s="25" t="n"/>
      <c r="U263" s="19">
        <f>IF($V263&lt;&gt;'設定'!$C$4,N(U262),IF(OR(NOT(COUNTIF('商品マスタ'!$B$6:$B$1005,$W263)=0),COUNTIFS('①在庫を貼る'!$V$6:$V$10005,$V263,'①在庫を貼る'!$W$6:$W$10005,$W263)&gt;0),N(U262),N(U262)+1))</f>
        <v/>
      </c>
      <c r="V263" s="19">
        <f>IF($B263="","",TEXT($B263,"0000"))</f>
        <v/>
      </c>
      <c r="W263" s="19">
        <f>IF($I263="","",IF(ISNUMBER($I263),TEXT($I263,"0"),$I263))</f>
        <v/>
      </c>
    </row>
    <row r="264">
      <c r="B264" s="25" t="n"/>
      <c r="I264" s="25" t="n"/>
      <c r="U264" s="19">
        <f>IF($V264&lt;&gt;'設定'!$C$4,N(U263),IF(OR(NOT(COUNTIF('商品マスタ'!$B$6:$B$1005,$W264)=0),COUNTIFS('①在庫を貼る'!$V$6:$V$10005,$V264,'①在庫を貼る'!$W$6:$W$10005,$W264)&gt;0),N(U263),N(U263)+1))</f>
        <v/>
      </c>
      <c r="V264" s="19">
        <f>IF($B264="","",TEXT($B264,"0000"))</f>
        <v/>
      </c>
      <c r="W264" s="19">
        <f>IF($I264="","",IF(ISNUMBER($I264),TEXT($I264,"0"),$I264))</f>
        <v/>
      </c>
    </row>
    <row r="265">
      <c r="B265" s="25" t="n"/>
      <c r="I265" s="25" t="n"/>
      <c r="U265" s="19">
        <f>IF($V265&lt;&gt;'設定'!$C$4,N(U264),IF(OR(NOT(COUNTIF('商品マスタ'!$B$6:$B$1005,$W265)=0),COUNTIFS('①在庫を貼る'!$V$6:$V$10005,$V265,'①在庫を貼る'!$W$6:$W$10005,$W265)&gt;0),N(U264),N(U264)+1))</f>
        <v/>
      </c>
      <c r="V265" s="19">
        <f>IF($B265="","",TEXT($B265,"0000"))</f>
        <v/>
      </c>
      <c r="W265" s="19">
        <f>IF($I265="","",IF(ISNUMBER($I265),TEXT($I265,"0"),$I265))</f>
        <v/>
      </c>
    </row>
    <row r="266">
      <c r="B266" s="25" t="n"/>
      <c r="I266" s="25" t="n"/>
      <c r="U266" s="19">
        <f>IF($V266&lt;&gt;'設定'!$C$4,N(U265),IF(OR(NOT(COUNTIF('商品マスタ'!$B$6:$B$1005,$W266)=0),COUNTIFS('①在庫を貼る'!$V$6:$V$10005,$V266,'①在庫を貼る'!$W$6:$W$10005,$W266)&gt;0),N(U265),N(U265)+1))</f>
        <v/>
      </c>
      <c r="V266" s="19">
        <f>IF($B266="","",TEXT($B266,"0000"))</f>
        <v/>
      </c>
      <c r="W266" s="19">
        <f>IF($I266="","",IF(ISNUMBER($I266),TEXT($I266,"0"),$I266))</f>
        <v/>
      </c>
    </row>
    <row r="267">
      <c r="B267" s="25" t="n"/>
      <c r="I267" s="25" t="n"/>
      <c r="U267" s="19">
        <f>IF($V267&lt;&gt;'設定'!$C$4,N(U266),IF(OR(NOT(COUNTIF('商品マスタ'!$B$6:$B$1005,$W267)=0),COUNTIFS('①在庫を貼る'!$V$6:$V$10005,$V267,'①在庫を貼る'!$W$6:$W$10005,$W267)&gt;0),N(U266),N(U266)+1))</f>
        <v/>
      </c>
      <c r="V267" s="19">
        <f>IF($B267="","",TEXT($B267,"0000"))</f>
        <v/>
      </c>
      <c r="W267" s="19">
        <f>IF($I267="","",IF(ISNUMBER($I267),TEXT($I267,"0"),$I267))</f>
        <v/>
      </c>
    </row>
    <row r="268">
      <c r="B268" s="25" t="n"/>
      <c r="I268" s="25" t="n"/>
      <c r="U268" s="19">
        <f>IF($V268&lt;&gt;'設定'!$C$4,N(U267),IF(OR(NOT(COUNTIF('商品マスタ'!$B$6:$B$1005,$W268)=0),COUNTIFS('①在庫を貼る'!$V$6:$V$10005,$V268,'①在庫を貼る'!$W$6:$W$10005,$W268)&gt;0),N(U267),N(U267)+1))</f>
        <v/>
      </c>
      <c r="V268" s="19">
        <f>IF($B268="","",TEXT($B268,"0000"))</f>
        <v/>
      </c>
      <c r="W268" s="19">
        <f>IF($I268="","",IF(ISNUMBER($I268),TEXT($I268,"0"),$I268))</f>
        <v/>
      </c>
    </row>
    <row r="269">
      <c r="B269" s="25" t="n"/>
      <c r="I269" s="25" t="n"/>
      <c r="U269" s="19">
        <f>IF($V269&lt;&gt;'設定'!$C$4,N(U268),IF(OR(NOT(COUNTIF('商品マスタ'!$B$6:$B$1005,$W269)=0),COUNTIFS('①在庫を貼る'!$V$6:$V$10005,$V269,'①在庫を貼る'!$W$6:$W$10005,$W269)&gt;0),N(U268),N(U268)+1))</f>
        <v/>
      </c>
      <c r="V269" s="19">
        <f>IF($B269="","",TEXT($B269,"0000"))</f>
        <v/>
      </c>
      <c r="W269" s="19">
        <f>IF($I269="","",IF(ISNUMBER($I269),TEXT($I269,"0"),$I269))</f>
        <v/>
      </c>
    </row>
    <row r="270">
      <c r="B270" s="25" t="n"/>
      <c r="I270" s="25" t="n"/>
      <c r="U270" s="19">
        <f>IF($V270&lt;&gt;'設定'!$C$4,N(U269),IF(OR(NOT(COUNTIF('商品マスタ'!$B$6:$B$1005,$W270)=0),COUNTIFS('①在庫を貼る'!$V$6:$V$10005,$V270,'①在庫を貼る'!$W$6:$W$10005,$W270)&gt;0),N(U269),N(U269)+1))</f>
        <v/>
      </c>
      <c r="V270" s="19">
        <f>IF($B270="","",TEXT($B270,"0000"))</f>
        <v/>
      </c>
      <c r="W270" s="19">
        <f>IF($I270="","",IF(ISNUMBER($I270),TEXT($I270,"0"),$I270))</f>
        <v/>
      </c>
    </row>
    <row r="271">
      <c r="B271" s="25" t="n"/>
      <c r="I271" s="25" t="n"/>
      <c r="U271" s="19">
        <f>IF($V271&lt;&gt;'設定'!$C$4,N(U270),IF(OR(NOT(COUNTIF('商品マスタ'!$B$6:$B$1005,$W271)=0),COUNTIFS('①在庫を貼る'!$V$6:$V$10005,$V271,'①在庫を貼る'!$W$6:$W$10005,$W271)&gt;0),N(U270),N(U270)+1))</f>
        <v/>
      </c>
      <c r="V271" s="19">
        <f>IF($B271="","",TEXT($B271,"0000"))</f>
        <v/>
      </c>
      <c r="W271" s="19">
        <f>IF($I271="","",IF(ISNUMBER($I271),TEXT($I271,"0"),$I271))</f>
        <v/>
      </c>
    </row>
    <row r="272">
      <c r="B272" s="25" t="n"/>
      <c r="I272" s="25" t="n"/>
      <c r="U272" s="19">
        <f>IF($V272&lt;&gt;'設定'!$C$4,N(U271),IF(OR(NOT(COUNTIF('商品マスタ'!$B$6:$B$1005,$W272)=0),COUNTIFS('①在庫を貼る'!$V$6:$V$10005,$V272,'①在庫を貼る'!$W$6:$W$10005,$W272)&gt;0),N(U271),N(U271)+1))</f>
        <v/>
      </c>
      <c r="V272" s="19">
        <f>IF($B272="","",TEXT($B272,"0000"))</f>
        <v/>
      </c>
      <c r="W272" s="19">
        <f>IF($I272="","",IF(ISNUMBER($I272),TEXT($I272,"0"),$I272))</f>
        <v/>
      </c>
    </row>
    <row r="273">
      <c r="B273" s="25" t="n"/>
      <c r="I273" s="25" t="n"/>
      <c r="U273" s="19">
        <f>IF($V273&lt;&gt;'設定'!$C$4,N(U272),IF(OR(NOT(COUNTIF('商品マスタ'!$B$6:$B$1005,$W273)=0),COUNTIFS('①在庫を貼る'!$V$6:$V$10005,$V273,'①在庫を貼る'!$W$6:$W$10005,$W273)&gt;0),N(U272),N(U272)+1))</f>
        <v/>
      </c>
      <c r="V273" s="19">
        <f>IF($B273="","",TEXT($B273,"0000"))</f>
        <v/>
      </c>
      <c r="W273" s="19">
        <f>IF($I273="","",IF(ISNUMBER($I273),TEXT($I273,"0"),$I273))</f>
        <v/>
      </c>
    </row>
    <row r="274">
      <c r="B274" s="25" t="n"/>
      <c r="I274" s="25" t="n"/>
      <c r="U274" s="19">
        <f>IF($V274&lt;&gt;'設定'!$C$4,N(U273),IF(OR(NOT(COUNTIF('商品マスタ'!$B$6:$B$1005,$W274)=0),COUNTIFS('①在庫を貼る'!$V$6:$V$10005,$V274,'①在庫を貼る'!$W$6:$W$10005,$W274)&gt;0),N(U273),N(U273)+1))</f>
        <v/>
      </c>
      <c r="V274" s="19">
        <f>IF($B274="","",TEXT($B274,"0000"))</f>
        <v/>
      </c>
      <c r="W274" s="19">
        <f>IF($I274="","",IF(ISNUMBER($I274),TEXT($I274,"0"),$I274))</f>
        <v/>
      </c>
    </row>
    <row r="275">
      <c r="B275" s="25" t="n"/>
      <c r="I275" s="25" t="n"/>
      <c r="U275" s="19">
        <f>IF($V275&lt;&gt;'設定'!$C$4,N(U274),IF(OR(NOT(COUNTIF('商品マスタ'!$B$6:$B$1005,$W275)=0),COUNTIFS('①在庫を貼る'!$V$6:$V$10005,$V275,'①在庫を貼る'!$W$6:$W$10005,$W275)&gt;0),N(U274),N(U274)+1))</f>
        <v/>
      </c>
      <c r="V275" s="19">
        <f>IF($B275="","",TEXT($B275,"0000"))</f>
        <v/>
      </c>
      <c r="W275" s="19">
        <f>IF($I275="","",IF(ISNUMBER($I275),TEXT($I275,"0"),$I275))</f>
        <v/>
      </c>
    </row>
    <row r="276">
      <c r="B276" s="25" t="n"/>
      <c r="I276" s="25" t="n"/>
      <c r="U276" s="19">
        <f>IF($V276&lt;&gt;'設定'!$C$4,N(U275),IF(OR(NOT(COUNTIF('商品マスタ'!$B$6:$B$1005,$W276)=0),COUNTIFS('①在庫を貼る'!$V$6:$V$10005,$V276,'①在庫を貼る'!$W$6:$W$10005,$W276)&gt;0),N(U275),N(U275)+1))</f>
        <v/>
      </c>
      <c r="V276" s="19">
        <f>IF($B276="","",TEXT($B276,"0000"))</f>
        <v/>
      </c>
      <c r="W276" s="19">
        <f>IF($I276="","",IF(ISNUMBER($I276),TEXT($I276,"0"),$I276))</f>
        <v/>
      </c>
    </row>
    <row r="277">
      <c r="B277" s="25" t="n"/>
      <c r="I277" s="25" t="n"/>
      <c r="U277" s="19">
        <f>IF($V277&lt;&gt;'設定'!$C$4,N(U276),IF(OR(NOT(COUNTIF('商品マスタ'!$B$6:$B$1005,$W277)=0),COUNTIFS('①在庫を貼る'!$V$6:$V$10005,$V277,'①在庫を貼る'!$W$6:$W$10005,$W277)&gt;0),N(U276),N(U276)+1))</f>
        <v/>
      </c>
      <c r="V277" s="19">
        <f>IF($B277="","",TEXT($B277,"0000"))</f>
        <v/>
      </c>
      <c r="W277" s="19">
        <f>IF($I277="","",IF(ISNUMBER($I277),TEXT($I277,"0"),$I277))</f>
        <v/>
      </c>
    </row>
    <row r="278">
      <c r="B278" s="25" t="n"/>
      <c r="I278" s="25" t="n"/>
      <c r="U278" s="19">
        <f>IF($V278&lt;&gt;'設定'!$C$4,N(U277),IF(OR(NOT(COUNTIF('商品マスタ'!$B$6:$B$1005,$W278)=0),COUNTIFS('①在庫を貼る'!$V$6:$V$10005,$V278,'①在庫を貼る'!$W$6:$W$10005,$W278)&gt;0),N(U277),N(U277)+1))</f>
        <v/>
      </c>
      <c r="V278" s="19">
        <f>IF($B278="","",TEXT($B278,"0000"))</f>
        <v/>
      </c>
      <c r="W278" s="19">
        <f>IF($I278="","",IF(ISNUMBER($I278),TEXT($I278,"0"),$I278))</f>
        <v/>
      </c>
    </row>
    <row r="279">
      <c r="B279" s="25" t="n"/>
      <c r="I279" s="25" t="n"/>
      <c r="U279" s="19">
        <f>IF($V279&lt;&gt;'設定'!$C$4,N(U278),IF(OR(NOT(COUNTIF('商品マスタ'!$B$6:$B$1005,$W279)=0),COUNTIFS('①在庫を貼る'!$V$6:$V$10005,$V279,'①在庫を貼る'!$W$6:$W$10005,$W279)&gt;0),N(U278),N(U278)+1))</f>
        <v/>
      </c>
      <c r="V279" s="19">
        <f>IF($B279="","",TEXT($B279,"0000"))</f>
        <v/>
      </c>
      <c r="W279" s="19">
        <f>IF($I279="","",IF(ISNUMBER($I279),TEXT($I279,"0"),$I279))</f>
        <v/>
      </c>
    </row>
    <row r="280">
      <c r="B280" s="25" t="n"/>
      <c r="I280" s="25" t="n"/>
      <c r="U280" s="19">
        <f>IF($V280&lt;&gt;'設定'!$C$4,N(U279),IF(OR(NOT(COUNTIF('商品マスタ'!$B$6:$B$1005,$W280)=0),COUNTIFS('①在庫を貼る'!$V$6:$V$10005,$V280,'①在庫を貼る'!$W$6:$W$10005,$W280)&gt;0),N(U279),N(U279)+1))</f>
        <v/>
      </c>
      <c r="V280" s="19">
        <f>IF($B280="","",TEXT($B280,"0000"))</f>
        <v/>
      </c>
      <c r="W280" s="19">
        <f>IF($I280="","",IF(ISNUMBER($I280),TEXT($I280,"0"),$I280))</f>
        <v/>
      </c>
    </row>
    <row r="281">
      <c r="B281" s="25" t="n"/>
      <c r="I281" s="25" t="n"/>
      <c r="U281" s="19">
        <f>IF($V281&lt;&gt;'設定'!$C$4,N(U280),IF(OR(NOT(COUNTIF('商品マスタ'!$B$6:$B$1005,$W281)=0),COUNTIFS('①在庫を貼る'!$V$6:$V$10005,$V281,'①在庫を貼る'!$W$6:$W$10005,$W281)&gt;0),N(U280),N(U280)+1))</f>
        <v/>
      </c>
      <c r="V281" s="19">
        <f>IF($B281="","",TEXT($B281,"0000"))</f>
        <v/>
      </c>
      <c r="W281" s="19">
        <f>IF($I281="","",IF(ISNUMBER($I281),TEXT($I281,"0"),$I281))</f>
        <v/>
      </c>
    </row>
    <row r="282">
      <c r="B282" s="25" t="n"/>
      <c r="I282" s="25" t="n"/>
      <c r="U282" s="19">
        <f>IF($V282&lt;&gt;'設定'!$C$4,N(U281),IF(OR(NOT(COUNTIF('商品マスタ'!$B$6:$B$1005,$W282)=0),COUNTIFS('①在庫を貼る'!$V$6:$V$10005,$V282,'①在庫を貼る'!$W$6:$W$10005,$W282)&gt;0),N(U281),N(U281)+1))</f>
        <v/>
      </c>
      <c r="V282" s="19">
        <f>IF($B282="","",TEXT($B282,"0000"))</f>
        <v/>
      </c>
      <c r="W282" s="19">
        <f>IF($I282="","",IF(ISNUMBER($I282),TEXT($I282,"0"),$I282))</f>
        <v/>
      </c>
    </row>
    <row r="283">
      <c r="B283" s="25" t="n"/>
      <c r="I283" s="25" t="n"/>
      <c r="U283" s="19">
        <f>IF($V283&lt;&gt;'設定'!$C$4,N(U282),IF(OR(NOT(COUNTIF('商品マスタ'!$B$6:$B$1005,$W283)=0),COUNTIFS('①在庫を貼る'!$V$6:$V$10005,$V283,'①在庫を貼る'!$W$6:$W$10005,$W283)&gt;0),N(U282),N(U282)+1))</f>
        <v/>
      </c>
      <c r="V283" s="19">
        <f>IF($B283="","",TEXT($B283,"0000"))</f>
        <v/>
      </c>
      <c r="W283" s="19">
        <f>IF($I283="","",IF(ISNUMBER($I283),TEXT($I283,"0"),$I283))</f>
        <v/>
      </c>
    </row>
    <row r="284">
      <c r="B284" s="25" t="n"/>
      <c r="I284" s="25" t="n"/>
      <c r="U284" s="19">
        <f>IF($V284&lt;&gt;'設定'!$C$4,N(U283),IF(OR(NOT(COUNTIF('商品マスタ'!$B$6:$B$1005,$W284)=0),COUNTIFS('①在庫を貼る'!$V$6:$V$10005,$V284,'①在庫を貼る'!$W$6:$W$10005,$W284)&gt;0),N(U283),N(U283)+1))</f>
        <v/>
      </c>
      <c r="V284" s="19">
        <f>IF($B284="","",TEXT($B284,"0000"))</f>
        <v/>
      </c>
      <c r="W284" s="19">
        <f>IF($I284="","",IF(ISNUMBER($I284),TEXT($I284,"0"),$I284))</f>
        <v/>
      </c>
    </row>
    <row r="285">
      <c r="B285" s="25" t="n"/>
      <c r="I285" s="25" t="n"/>
      <c r="U285" s="19">
        <f>IF($V285&lt;&gt;'設定'!$C$4,N(U284),IF(OR(NOT(COUNTIF('商品マスタ'!$B$6:$B$1005,$W285)=0),COUNTIFS('①在庫を貼る'!$V$6:$V$10005,$V285,'①在庫を貼る'!$W$6:$W$10005,$W285)&gt;0),N(U284),N(U284)+1))</f>
        <v/>
      </c>
      <c r="V285" s="19">
        <f>IF($B285="","",TEXT($B285,"0000"))</f>
        <v/>
      </c>
      <c r="W285" s="19">
        <f>IF($I285="","",IF(ISNUMBER($I285),TEXT($I285,"0"),$I285))</f>
        <v/>
      </c>
    </row>
    <row r="286">
      <c r="B286" s="25" t="n"/>
      <c r="I286" s="25" t="n"/>
      <c r="U286" s="19">
        <f>IF($V286&lt;&gt;'設定'!$C$4,N(U285),IF(OR(NOT(COUNTIF('商品マスタ'!$B$6:$B$1005,$W286)=0),COUNTIFS('①在庫を貼る'!$V$6:$V$10005,$V286,'①在庫を貼る'!$W$6:$W$10005,$W286)&gt;0),N(U285),N(U285)+1))</f>
        <v/>
      </c>
      <c r="V286" s="19">
        <f>IF($B286="","",TEXT($B286,"0000"))</f>
        <v/>
      </c>
      <c r="W286" s="19">
        <f>IF($I286="","",IF(ISNUMBER($I286),TEXT($I286,"0"),$I286))</f>
        <v/>
      </c>
    </row>
    <row r="287">
      <c r="B287" s="25" t="n"/>
      <c r="I287" s="25" t="n"/>
      <c r="U287" s="19">
        <f>IF($V287&lt;&gt;'設定'!$C$4,N(U286),IF(OR(NOT(COUNTIF('商品マスタ'!$B$6:$B$1005,$W287)=0),COUNTIFS('①在庫を貼る'!$V$6:$V$10005,$V287,'①在庫を貼る'!$W$6:$W$10005,$W287)&gt;0),N(U286),N(U286)+1))</f>
        <v/>
      </c>
      <c r="V287" s="19">
        <f>IF($B287="","",TEXT($B287,"0000"))</f>
        <v/>
      </c>
      <c r="W287" s="19">
        <f>IF($I287="","",IF(ISNUMBER($I287),TEXT($I287,"0"),$I287))</f>
        <v/>
      </c>
    </row>
    <row r="288">
      <c r="B288" s="25" t="n"/>
      <c r="I288" s="25" t="n"/>
      <c r="U288" s="19">
        <f>IF($V288&lt;&gt;'設定'!$C$4,N(U287),IF(OR(NOT(COUNTIF('商品マスタ'!$B$6:$B$1005,$W288)=0),COUNTIFS('①在庫を貼る'!$V$6:$V$10005,$V288,'①在庫を貼る'!$W$6:$W$10005,$W288)&gt;0),N(U287),N(U287)+1))</f>
        <v/>
      </c>
      <c r="V288" s="19">
        <f>IF($B288="","",TEXT($B288,"0000"))</f>
        <v/>
      </c>
      <c r="W288" s="19">
        <f>IF($I288="","",IF(ISNUMBER($I288),TEXT($I288,"0"),$I288))</f>
        <v/>
      </c>
    </row>
    <row r="289">
      <c r="B289" s="25" t="n"/>
      <c r="I289" s="25" t="n"/>
      <c r="U289" s="19">
        <f>IF($V289&lt;&gt;'設定'!$C$4,N(U288),IF(OR(NOT(COUNTIF('商品マスタ'!$B$6:$B$1005,$W289)=0),COUNTIFS('①在庫を貼る'!$V$6:$V$10005,$V289,'①在庫を貼る'!$W$6:$W$10005,$W289)&gt;0),N(U288),N(U288)+1))</f>
        <v/>
      </c>
      <c r="V289" s="19">
        <f>IF($B289="","",TEXT($B289,"0000"))</f>
        <v/>
      </c>
      <c r="W289" s="19">
        <f>IF($I289="","",IF(ISNUMBER($I289),TEXT($I289,"0"),$I289))</f>
        <v/>
      </c>
    </row>
    <row r="290">
      <c r="B290" s="25" t="n"/>
      <c r="I290" s="25" t="n"/>
      <c r="U290" s="19">
        <f>IF($V290&lt;&gt;'設定'!$C$4,N(U289),IF(OR(NOT(COUNTIF('商品マスタ'!$B$6:$B$1005,$W290)=0),COUNTIFS('①在庫を貼る'!$V$6:$V$10005,$V290,'①在庫を貼る'!$W$6:$W$10005,$W290)&gt;0),N(U289),N(U289)+1))</f>
        <v/>
      </c>
      <c r="V290" s="19">
        <f>IF($B290="","",TEXT($B290,"0000"))</f>
        <v/>
      </c>
      <c r="W290" s="19">
        <f>IF($I290="","",IF(ISNUMBER($I290),TEXT($I290,"0"),$I290))</f>
        <v/>
      </c>
    </row>
    <row r="291">
      <c r="B291" s="25" t="n"/>
      <c r="I291" s="25" t="n"/>
      <c r="U291" s="19">
        <f>IF($V291&lt;&gt;'設定'!$C$4,N(U290),IF(OR(NOT(COUNTIF('商品マスタ'!$B$6:$B$1005,$W291)=0),COUNTIFS('①在庫を貼る'!$V$6:$V$10005,$V291,'①在庫を貼る'!$W$6:$W$10005,$W291)&gt;0),N(U290),N(U290)+1))</f>
        <v/>
      </c>
      <c r="V291" s="19">
        <f>IF($B291="","",TEXT($B291,"0000"))</f>
        <v/>
      </c>
      <c r="W291" s="19">
        <f>IF($I291="","",IF(ISNUMBER($I291),TEXT($I291,"0"),$I291))</f>
        <v/>
      </c>
    </row>
    <row r="292">
      <c r="B292" s="25" t="n"/>
      <c r="I292" s="25" t="n"/>
      <c r="U292" s="19">
        <f>IF($V292&lt;&gt;'設定'!$C$4,N(U291),IF(OR(NOT(COUNTIF('商品マスタ'!$B$6:$B$1005,$W292)=0),COUNTIFS('①在庫を貼る'!$V$6:$V$10005,$V292,'①在庫を貼る'!$W$6:$W$10005,$W292)&gt;0),N(U291),N(U291)+1))</f>
        <v/>
      </c>
      <c r="V292" s="19">
        <f>IF($B292="","",TEXT($B292,"0000"))</f>
        <v/>
      </c>
      <c r="W292" s="19">
        <f>IF($I292="","",IF(ISNUMBER($I292),TEXT($I292,"0"),$I292))</f>
        <v/>
      </c>
    </row>
    <row r="293">
      <c r="B293" s="25" t="n"/>
      <c r="I293" s="25" t="n"/>
      <c r="U293" s="19">
        <f>IF($V293&lt;&gt;'設定'!$C$4,N(U292),IF(OR(NOT(COUNTIF('商品マスタ'!$B$6:$B$1005,$W293)=0),COUNTIFS('①在庫を貼る'!$V$6:$V$10005,$V293,'①在庫を貼る'!$W$6:$W$10005,$W293)&gt;0),N(U292),N(U292)+1))</f>
        <v/>
      </c>
      <c r="V293" s="19">
        <f>IF($B293="","",TEXT($B293,"0000"))</f>
        <v/>
      </c>
      <c r="W293" s="19">
        <f>IF($I293="","",IF(ISNUMBER($I293),TEXT($I293,"0"),$I293))</f>
        <v/>
      </c>
    </row>
    <row r="294">
      <c r="B294" s="25" t="n"/>
      <c r="I294" s="25" t="n"/>
      <c r="U294" s="19">
        <f>IF($V294&lt;&gt;'設定'!$C$4,N(U293),IF(OR(NOT(COUNTIF('商品マスタ'!$B$6:$B$1005,$W294)=0),COUNTIFS('①在庫を貼る'!$V$6:$V$10005,$V294,'①在庫を貼る'!$W$6:$W$10005,$W294)&gt;0),N(U293),N(U293)+1))</f>
        <v/>
      </c>
      <c r="V294" s="19">
        <f>IF($B294="","",TEXT($B294,"0000"))</f>
        <v/>
      </c>
      <c r="W294" s="19">
        <f>IF($I294="","",IF(ISNUMBER($I294),TEXT($I294,"0"),$I294))</f>
        <v/>
      </c>
    </row>
    <row r="295">
      <c r="B295" s="25" t="n"/>
      <c r="I295" s="25" t="n"/>
      <c r="U295" s="19">
        <f>IF($V295&lt;&gt;'設定'!$C$4,N(U294),IF(OR(NOT(COUNTIF('商品マスタ'!$B$6:$B$1005,$W295)=0),COUNTIFS('①在庫を貼る'!$V$6:$V$10005,$V295,'①在庫を貼る'!$W$6:$W$10005,$W295)&gt;0),N(U294),N(U294)+1))</f>
        <v/>
      </c>
      <c r="V295" s="19">
        <f>IF($B295="","",TEXT($B295,"0000"))</f>
        <v/>
      </c>
      <c r="W295" s="19">
        <f>IF($I295="","",IF(ISNUMBER($I295),TEXT($I295,"0"),$I295))</f>
        <v/>
      </c>
    </row>
    <row r="296">
      <c r="B296" s="25" t="n"/>
      <c r="I296" s="25" t="n"/>
      <c r="U296" s="19">
        <f>IF($V296&lt;&gt;'設定'!$C$4,N(U295),IF(OR(NOT(COUNTIF('商品マスタ'!$B$6:$B$1005,$W296)=0),COUNTIFS('①在庫を貼る'!$V$6:$V$10005,$V296,'①在庫を貼る'!$W$6:$W$10005,$W296)&gt;0),N(U295),N(U295)+1))</f>
        <v/>
      </c>
      <c r="V296" s="19">
        <f>IF($B296="","",TEXT($B296,"0000"))</f>
        <v/>
      </c>
      <c r="W296" s="19">
        <f>IF($I296="","",IF(ISNUMBER($I296),TEXT($I296,"0"),$I296))</f>
        <v/>
      </c>
    </row>
    <row r="297">
      <c r="B297" s="25" t="n"/>
      <c r="I297" s="25" t="n"/>
      <c r="U297" s="19">
        <f>IF($V297&lt;&gt;'設定'!$C$4,N(U296),IF(OR(NOT(COUNTIF('商品マスタ'!$B$6:$B$1005,$W297)=0),COUNTIFS('①在庫を貼る'!$V$6:$V$10005,$V297,'①在庫を貼る'!$W$6:$W$10005,$W297)&gt;0),N(U296),N(U296)+1))</f>
        <v/>
      </c>
      <c r="V297" s="19">
        <f>IF($B297="","",TEXT($B297,"0000"))</f>
        <v/>
      </c>
      <c r="W297" s="19">
        <f>IF($I297="","",IF(ISNUMBER($I297),TEXT($I297,"0"),$I297))</f>
        <v/>
      </c>
    </row>
    <row r="298">
      <c r="B298" s="25" t="n"/>
      <c r="I298" s="25" t="n"/>
      <c r="U298" s="19">
        <f>IF($V298&lt;&gt;'設定'!$C$4,N(U297),IF(OR(NOT(COUNTIF('商品マスタ'!$B$6:$B$1005,$W298)=0),COUNTIFS('①在庫を貼る'!$V$6:$V$10005,$V298,'①在庫を貼る'!$W$6:$W$10005,$W298)&gt;0),N(U297),N(U297)+1))</f>
        <v/>
      </c>
      <c r="V298" s="19">
        <f>IF($B298="","",TEXT($B298,"0000"))</f>
        <v/>
      </c>
      <c r="W298" s="19">
        <f>IF($I298="","",IF(ISNUMBER($I298),TEXT($I298,"0"),$I298))</f>
        <v/>
      </c>
    </row>
    <row r="299">
      <c r="B299" s="25" t="n"/>
      <c r="I299" s="25" t="n"/>
      <c r="U299" s="19">
        <f>IF($V299&lt;&gt;'設定'!$C$4,N(U298),IF(OR(NOT(COUNTIF('商品マスタ'!$B$6:$B$1005,$W299)=0),COUNTIFS('①在庫を貼る'!$V$6:$V$10005,$V299,'①在庫を貼る'!$W$6:$W$10005,$W299)&gt;0),N(U298),N(U298)+1))</f>
        <v/>
      </c>
      <c r="V299" s="19">
        <f>IF($B299="","",TEXT($B299,"0000"))</f>
        <v/>
      </c>
      <c r="W299" s="19">
        <f>IF($I299="","",IF(ISNUMBER($I299),TEXT($I299,"0"),$I299))</f>
        <v/>
      </c>
    </row>
    <row r="300">
      <c r="B300" s="25" t="n"/>
      <c r="I300" s="25" t="n"/>
      <c r="U300" s="19">
        <f>IF($V300&lt;&gt;'設定'!$C$4,N(U299),IF(OR(NOT(COUNTIF('商品マスタ'!$B$6:$B$1005,$W300)=0),COUNTIFS('①在庫を貼る'!$V$6:$V$10005,$V300,'①在庫を貼る'!$W$6:$W$10005,$W300)&gt;0),N(U299),N(U299)+1))</f>
        <v/>
      </c>
      <c r="V300" s="19">
        <f>IF($B300="","",TEXT($B300,"0000"))</f>
        <v/>
      </c>
      <c r="W300" s="19">
        <f>IF($I300="","",IF(ISNUMBER($I300),TEXT($I300,"0"),$I300))</f>
        <v/>
      </c>
    </row>
    <row r="301">
      <c r="B301" s="25" t="n"/>
      <c r="I301" s="25" t="n"/>
      <c r="U301" s="19">
        <f>IF($V301&lt;&gt;'設定'!$C$4,N(U300),IF(OR(NOT(COUNTIF('商品マスタ'!$B$6:$B$1005,$W301)=0),COUNTIFS('①在庫を貼る'!$V$6:$V$10005,$V301,'①在庫を貼る'!$W$6:$W$10005,$W301)&gt;0),N(U300),N(U300)+1))</f>
        <v/>
      </c>
      <c r="V301" s="19">
        <f>IF($B301="","",TEXT($B301,"0000"))</f>
        <v/>
      </c>
      <c r="W301" s="19">
        <f>IF($I301="","",IF(ISNUMBER($I301),TEXT($I301,"0"),$I301))</f>
        <v/>
      </c>
    </row>
    <row r="302">
      <c r="B302" s="25" t="n"/>
      <c r="I302" s="25" t="n"/>
      <c r="U302" s="19">
        <f>IF($V302&lt;&gt;'設定'!$C$4,N(U301),IF(OR(NOT(COUNTIF('商品マスタ'!$B$6:$B$1005,$W302)=0),COUNTIFS('①在庫を貼る'!$V$6:$V$10005,$V302,'①在庫を貼る'!$W$6:$W$10005,$W302)&gt;0),N(U301),N(U301)+1))</f>
        <v/>
      </c>
      <c r="V302" s="19">
        <f>IF($B302="","",TEXT($B302,"0000"))</f>
        <v/>
      </c>
      <c r="W302" s="19">
        <f>IF($I302="","",IF(ISNUMBER($I302),TEXT($I302,"0"),$I302))</f>
        <v/>
      </c>
    </row>
    <row r="303">
      <c r="B303" s="25" t="n"/>
      <c r="I303" s="25" t="n"/>
      <c r="U303" s="19">
        <f>IF($V303&lt;&gt;'設定'!$C$4,N(U302),IF(OR(NOT(COUNTIF('商品マスタ'!$B$6:$B$1005,$W303)=0),COUNTIFS('①在庫を貼る'!$V$6:$V$10005,$V303,'①在庫を貼る'!$W$6:$W$10005,$W303)&gt;0),N(U302),N(U302)+1))</f>
        <v/>
      </c>
      <c r="V303" s="19">
        <f>IF($B303="","",TEXT($B303,"0000"))</f>
        <v/>
      </c>
      <c r="W303" s="19">
        <f>IF($I303="","",IF(ISNUMBER($I303),TEXT($I303,"0"),$I303))</f>
        <v/>
      </c>
    </row>
    <row r="304">
      <c r="B304" s="25" t="n"/>
      <c r="I304" s="25" t="n"/>
      <c r="U304" s="19">
        <f>IF($V304&lt;&gt;'設定'!$C$4,N(U303),IF(OR(NOT(COUNTIF('商品マスタ'!$B$6:$B$1005,$W304)=0),COUNTIFS('①在庫を貼る'!$V$6:$V$10005,$V304,'①在庫を貼る'!$W$6:$W$10005,$W304)&gt;0),N(U303),N(U303)+1))</f>
        <v/>
      </c>
      <c r="V304" s="19">
        <f>IF($B304="","",TEXT($B304,"0000"))</f>
        <v/>
      </c>
      <c r="W304" s="19">
        <f>IF($I304="","",IF(ISNUMBER($I304),TEXT($I304,"0"),$I304))</f>
        <v/>
      </c>
    </row>
    <row r="305">
      <c r="B305" s="25" t="n"/>
      <c r="I305" s="25" t="n"/>
      <c r="U305" s="19">
        <f>IF($V305&lt;&gt;'設定'!$C$4,N(U304),IF(OR(NOT(COUNTIF('商品マスタ'!$B$6:$B$1005,$W305)=0),COUNTIFS('①在庫を貼る'!$V$6:$V$10005,$V305,'①在庫を貼る'!$W$6:$W$10005,$W305)&gt;0),N(U304),N(U304)+1))</f>
        <v/>
      </c>
      <c r="V305" s="19">
        <f>IF($B305="","",TEXT($B305,"0000"))</f>
        <v/>
      </c>
      <c r="W305" s="19">
        <f>IF($I305="","",IF(ISNUMBER($I305),TEXT($I305,"0"),$I305))</f>
        <v/>
      </c>
    </row>
    <row r="306">
      <c r="B306" s="25" t="n"/>
      <c r="I306" s="25" t="n"/>
      <c r="U306" s="19">
        <f>IF($V306&lt;&gt;'設定'!$C$4,N(U305),IF(OR(NOT(COUNTIF('商品マスタ'!$B$6:$B$1005,$W306)=0),COUNTIFS('①在庫を貼る'!$V$6:$V$10005,$V306,'①在庫を貼る'!$W$6:$W$10005,$W306)&gt;0),N(U305),N(U305)+1))</f>
        <v/>
      </c>
      <c r="V306" s="19">
        <f>IF($B306="","",TEXT($B306,"0000"))</f>
        <v/>
      </c>
      <c r="W306" s="19">
        <f>IF($I306="","",IF(ISNUMBER($I306),TEXT($I306,"0"),$I306))</f>
        <v/>
      </c>
    </row>
    <row r="307">
      <c r="B307" s="25" t="n"/>
      <c r="I307" s="25" t="n"/>
      <c r="U307" s="19">
        <f>IF($V307&lt;&gt;'設定'!$C$4,N(U306),IF(OR(NOT(COUNTIF('商品マスタ'!$B$6:$B$1005,$W307)=0),COUNTIFS('①在庫を貼る'!$V$6:$V$10005,$V307,'①在庫を貼る'!$W$6:$W$10005,$W307)&gt;0),N(U306),N(U306)+1))</f>
        <v/>
      </c>
      <c r="V307" s="19">
        <f>IF($B307="","",TEXT($B307,"0000"))</f>
        <v/>
      </c>
      <c r="W307" s="19">
        <f>IF($I307="","",IF(ISNUMBER($I307),TEXT($I307,"0"),$I307))</f>
        <v/>
      </c>
    </row>
    <row r="308">
      <c r="B308" s="25" t="n"/>
      <c r="I308" s="25" t="n"/>
      <c r="U308" s="19">
        <f>IF($V308&lt;&gt;'設定'!$C$4,N(U307),IF(OR(NOT(COUNTIF('商品マスタ'!$B$6:$B$1005,$W308)=0),COUNTIFS('①在庫を貼る'!$V$6:$V$10005,$V308,'①在庫を貼る'!$W$6:$W$10005,$W308)&gt;0),N(U307),N(U307)+1))</f>
        <v/>
      </c>
      <c r="V308" s="19">
        <f>IF($B308="","",TEXT($B308,"0000"))</f>
        <v/>
      </c>
      <c r="W308" s="19">
        <f>IF($I308="","",IF(ISNUMBER($I308),TEXT($I308,"0"),$I308))</f>
        <v/>
      </c>
    </row>
    <row r="309">
      <c r="B309" s="25" t="n"/>
      <c r="I309" s="25" t="n"/>
      <c r="U309" s="19">
        <f>IF($V309&lt;&gt;'設定'!$C$4,N(U308),IF(OR(NOT(COUNTIF('商品マスタ'!$B$6:$B$1005,$W309)=0),COUNTIFS('①在庫を貼る'!$V$6:$V$10005,$V309,'①在庫を貼る'!$W$6:$W$10005,$W309)&gt;0),N(U308),N(U308)+1))</f>
        <v/>
      </c>
      <c r="V309" s="19">
        <f>IF($B309="","",TEXT($B309,"0000"))</f>
        <v/>
      </c>
      <c r="W309" s="19">
        <f>IF($I309="","",IF(ISNUMBER($I309),TEXT($I309,"0"),$I309))</f>
        <v/>
      </c>
    </row>
    <row r="310">
      <c r="B310" s="25" t="n"/>
      <c r="I310" s="25" t="n"/>
      <c r="U310" s="19">
        <f>IF($V310&lt;&gt;'設定'!$C$4,N(U309),IF(OR(NOT(COUNTIF('商品マスタ'!$B$6:$B$1005,$W310)=0),COUNTIFS('①在庫を貼る'!$V$6:$V$10005,$V310,'①在庫を貼る'!$W$6:$W$10005,$W310)&gt;0),N(U309),N(U309)+1))</f>
        <v/>
      </c>
      <c r="V310" s="19">
        <f>IF($B310="","",TEXT($B310,"0000"))</f>
        <v/>
      </c>
      <c r="W310" s="19">
        <f>IF($I310="","",IF(ISNUMBER($I310),TEXT($I310,"0"),$I310))</f>
        <v/>
      </c>
    </row>
    <row r="311">
      <c r="B311" s="25" t="n"/>
      <c r="I311" s="25" t="n"/>
      <c r="U311" s="19">
        <f>IF($V311&lt;&gt;'設定'!$C$4,N(U310),IF(OR(NOT(COUNTIF('商品マスタ'!$B$6:$B$1005,$W311)=0),COUNTIFS('①在庫を貼る'!$V$6:$V$10005,$V311,'①在庫を貼る'!$W$6:$W$10005,$W311)&gt;0),N(U310),N(U310)+1))</f>
        <v/>
      </c>
      <c r="V311" s="19">
        <f>IF($B311="","",TEXT($B311,"0000"))</f>
        <v/>
      </c>
      <c r="W311" s="19">
        <f>IF($I311="","",IF(ISNUMBER($I311),TEXT($I311,"0"),$I311))</f>
        <v/>
      </c>
    </row>
    <row r="312">
      <c r="B312" s="25" t="n"/>
      <c r="I312" s="25" t="n"/>
      <c r="U312" s="19">
        <f>IF($V312&lt;&gt;'設定'!$C$4,N(U311),IF(OR(NOT(COUNTIF('商品マスタ'!$B$6:$B$1005,$W312)=0),COUNTIFS('①在庫を貼る'!$V$6:$V$10005,$V312,'①在庫を貼る'!$W$6:$W$10005,$W312)&gt;0),N(U311),N(U311)+1))</f>
        <v/>
      </c>
      <c r="V312" s="19">
        <f>IF($B312="","",TEXT($B312,"0000"))</f>
        <v/>
      </c>
      <c r="W312" s="19">
        <f>IF($I312="","",IF(ISNUMBER($I312),TEXT($I312,"0"),$I312))</f>
        <v/>
      </c>
    </row>
    <row r="313">
      <c r="B313" s="25" t="n"/>
      <c r="I313" s="25" t="n"/>
      <c r="U313" s="19">
        <f>IF($V313&lt;&gt;'設定'!$C$4,N(U312),IF(OR(NOT(COUNTIF('商品マスタ'!$B$6:$B$1005,$W313)=0),COUNTIFS('①在庫を貼る'!$V$6:$V$10005,$V313,'①在庫を貼る'!$W$6:$W$10005,$W313)&gt;0),N(U312),N(U312)+1))</f>
        <v/>
      </c>
      <c r="V313" s="19">
        <f>IF($B313="","",TEXT($B313,"0000"))</f>
        <v/>
      </c>
      <c r="W313" s="19">
        <f>IF($I313="","",IF(ISNUMBER($I313),TEXT($I313,"0"),$I313))</f>
        <v/>
      </c>
    </row>
    <row r="314">
      <c r="B314" s="25" t="n"/>
      <c r="I314" s="25" t="n"/>
      <c r="U314" s="19">
        <f>IF($V314&lt;&gt;'設定'!$C$4,N(U313),IF(OR(NOT(COUNTIF('商品マスタ'!$B$6:$B$1005,$W314)=0),COUNTIFS('①在庫を貼る'!$V$6:$V$10005,$V314,'①在庫を貼る'!$W$6:$W$10005,$W314)&gt;0),N(U313),N(U313)+1))</f>
        <v/>
      </c>
      <c r="V314" s="19">
        <f>IF($B314="","",TEXT($B314,"0000"))</f>
        <v/>
      </c>
      <c r="W314" s="19">
        <f>IF($I314="","",IF(ISNUMBER($I314),TEXT($I314,"0"),$I314))</f>
        <v/>
      </c>
    </row>
    <row r="315">
      <c r="B315" s="25" t="n"/>
      <c r="I315" s="25" t="n"/>
      <c r="U315" s="19">
        <f>IF($V315&lt;&gt;'設定'!$C$4,N(U314),IF(OR(NOT(COUNTIF('商品マスタ'!$B$6:$B$1005,$W315)=0),COUNTIFS('①在庫を貼る'!$V$6:$V$10005,$V315,'①在庫を貼る'!$W$6:$W$10005,$W315)&gt;0),N(U314),N(U314)+1))</f>
        <v/>
      </c>
      <c r="V315" s="19">
        <f>IF($B315="","",TEXT($B315,"0000"))</f>
        <v/>
      </c>
      <c r="W315" s="19">
        <f>IF($I315="","",IF(ISNUMBER($I315),TEXT($I315,"0"),$I315))</f>
        <v/>
      </c>
    </row>
    <row r="316">
      <c r="B316" s="25" t="n"/>
      <c r="I316" s="25" t="n"/>
      <c r="U316" s="19">
        <f>IF($V316&lt;&gt;'設定'!$C$4,N(U315),IF(OR(NOT(COUNTIF('商品マスタ'!$B$6:$B$1005,$W316)=0),COUNTIFS('①在庫を貼る'!$V$6:$V$10005,$V316,'①在庫を貼る'!$W$6:$W$10005,$W316)&gt;0),N(U315),N(U315)+1))</f>
        <v/>
      </c>
      <c r="V316" s="19">
        <f>IF($B316="","",TEXT($B316,"0000"))</f>
        <v/>
      </c>
      <c r="W316" s="19">
        <f>IF($I316="","",IF(ISNUMBER($I316),TEXT($I316,"0"),$I316))</f>
        <v/>
      </c>
    </row>
    <row r="317">
      <c r="B317" s="25" t="n"/>
      <c r="I317" s="25" t="n"/>
      <c r="U317" s="19">
        <f>IF($V317&lt;&gt;'設定'!$C$4,N(U316),IF(OR(NOT(COUNTIF('商品マスタ'!$B$6:$B$1005,$W317)=0),COUNTIFS('①在庫を貼る'!$V$6:$V$10005,$V317,'①在庫を貼る'!$W$6:$W$10005,$W317)&gt;0),N(U316),N(U316)+1))</f>
        <v/>
      </c>
      <c r="V317" s="19">
        <f>IF($B317="","",TEXT($B317,"0000"))</f>
        <v/>
      </c>
      <c r="W317" s="19">
        <f>IF($I317="","",IF(ISNUMBER($I317),TEXT($I317,"0"),$I317))</f>
        <v/>
      </c>
    </row>
    <row r="318">
      <c r="B318" s="25" t="n"/>
      <c r="I318" s="25" t="n"/>
      <c r="U318" s="19">
        <f>IF($V318&lt;&gt;'設定'!$C$4,N(U317),IF(OR(NOT(COUNTIF('商品マスタ'!$B$6:$B$1005,$W318)=0),COUNTIFS('①在庫を貼る'!$V$6:$V$10005,$V318,'①在庫を貼る'!$W$6:$W$10005,$W318)&gt;0),N(U317),N(U317)+1))</f>
        <v/>
      </c>
      <c r="V318" s="19">
        <f>IF($B318="","",TEXT($B318,"0000"))</f>
        <v/>
      </c>
      <c r="W318" s="19">
        <f>IF($I318="","",IF(ISNUMBER($I318),TEXT($I318,"0"),$I318))</f>
        <v/>
      </c>
    </row>
    <row r="319">
      <c r="B319" s="25" t="n"/>
      <c r="I319" s="25" t="n"/>
      <c r="U319" s="19">
        <f>IF($V319&lt;&gt;'設定'!$C$4,N(U318),IF(OR(NOT(COUNTIF('商品マスタ'!$B$6:$B$1005,$W319)=0),COUNTIFS('①在庫を貼る'!$V$6:$V$10005,$V319,'①在庫を貼る'!$W$6:$W$10005,$W319)&gt;0),N(U318),N(U318)+1))</f>
        <v/>
      </c>
      <c r="V319" s="19">
        <f>IF($B319="","",TEXT($B319,"0000"))</f>
        <v/>
      </c>
      <c r="W319" s="19">
        <f>IF($I319="","",IF(ISNUMBER($I319),TEXT($I319,"0"),$I319))</f>
        <v/>
      </c>
    </row>
    <row r="320">
      <c r="B320" s="25" t="n"/>
      <c r="I320" s="25" t="n"/>
      <c r="U320" s="19">
        <f>IF($V320&lt;&gt;'設定'!$C$4,N(U319),IF(OR(NOT(COUNTIF('商品マスタ'!$B$6:$B$1005,$W320)=0),COUNTIFS('①在庫を貼る'!$V$6:$V$10005,$V320,'①在庫を貼る'!$W$6:$W$10005,$W320)&gt;0),N(U319),N(U319)+1))</f>
        <v/>
      </c>
      <c r="V320" s="19">
        <f>IF($B320="","",TEXT($B320,"0000"))</f>
        <v/>
      </c>
      <c r="W320" s="19">
        <f>IF($I320="","",IF(ISNUMBER($I320),TEXT($I320,"0"),$I320))</f>
        <v/>
      </c>
    </row>
    <row r="321">
      <c r="B321" s="25" t="n"/>
      <c r="I321" s="25" t="n"/>
      <c r="U321" s="19">
        <f>IF($V321&lt;&gt;'設定'!$C$4,N(U320),IF(OR(NOT(COUNTIF('商品マスタ'!$B$6:$B$1005,$W321)=0),COUNTIFS('①在庫を貼る'!$V$6:$V$10005,$V321,'①在庫を貼る'!$W$6:$W$10005,$W321)&gt;0),N(U320),N(U320)+1))</f>
        <v/>
      </c>
      <c r="V321" s="19">
        <f>IF($B321="","",TEXT($B321,"0000"))</f>
        <v/>
      </c>
      <c r="W321" s="19">
        <f>IF($I321="","",IF(ISNUMBER($I321),TEXT($I321,"0"),$I321))</f>
        <v/>
      </c>
    </row>
    <row r="322">
      <c r="B322" s="25" t="n"/>
      <c r="I322" s="25" t="n"/>
      <c r="U322" s="19">
        <f>IF($V322&lt;&gt;'設定'!$C$4,N(U321),IF(OR(NOT(COUNTIF('商品マスタ'!$B$6:$B$1005,$W322)=0),COUNTIFS('①在庫を貼る'!$V$6:$V$10005,$V322,'①在庫を貼る'!$W$6:$W$10005,$W322)&gt;0),N(U321),N(U321)+1))</f>
        <v/>
      </c>
      <c r="V322" s="19">
        <f>IF($B322="","",TEXT($B322,"0000"))</f>
        <v/>
      </c>
      <c r="W322" s="19">
        <f>IF($I322="","",IF(ISNUMBER($I322),TEXT($I322,"0"),$I322))</f>
        <v/>
      </c>
    </row>
    <row r="323">
      <c r="B323" s="25" t="n"/>
      <c r="I323" s="25" t="n"/>
      <c r="U323" s="19">
        <f>IF($V323&lt;&gt;'設定'!$C$4,N(U322),IF(OR(NOT(COUNTIF('商品マスタ'!$B$6:$B$1005,$W323)=0),COUNTIFS('①在庫を貼る'!$V$6:$V$10005,$V323,'①在庫を貼る'!$W$6:$W$10005,$W323)&gt;0),N(U322),N(U322)+1))</f>
        <v/>
      </c>
      <c r="V323" s="19">
        <f>IF($B323="","",TEXT($B323,"0000"))</f>
        <v/>
      </c>
      <c r="W323" s="19">
        <f>IF($I323="","",IF(ISNUMBER($I323),TEXT($I323,"0"),$I323))</f>
        <v/>
      </c>
    </row>
    <row r="324">
      <c r="B324" s="25" t="n"/>
      <c r="I324" s="25" t="n"/>
      <c r="U324" s="19">
        <f>IF($V324&lt;&gt;'設定'!$C$4,N(U323),IF(OR(NOT(COUNTIF('商品マスタ'!$B$6:$B$1005,$W324)=0),COUNTIFS('①在庫を貼る'!$V$6:$V$10005,$V324,'①在庫を貼る'!$W$6:$W$10005,$W324)&gt;0),N(U323),N(U323)+1))</f>
        <v/>
      </c>
      <c r="V324" s="19">
        <f>IF($B324="","",TEXT($B324,"0000"))</f>
        <v/>
      </c>
      <c r="W324" s="19">
        <f>IF($I324="","",IF(ISNUMBER($I324),TEXT($I324,"0"),$I324))</f>
        <v/>
      </c>
    </row>
    <row r="325">
      <c r="B325" s="25" t="n"/>
      <c r="I325" s="25" t="n"/>
      <c r="U325" s="19">
        <f>IF($V325&lt;&gt;'設定'!$C$4,N(U324),IF(OR(NOT(COUNTIF('商品マスタ'!$B$6:$B$1005,$W325)=0),COUNTIFS('①在庫を貼る'!$V$6:$V$10005,$V325,'①在庫を貼る'!$W$6:$W$10005,$W325)&gt;0),N(U324),N(U324)+1))</f>
        <v/>
      </c>
      <c r="V325" s="19">
        <f>IF($B325="","",TEXT($B325,"0000"))</f>
        <v/>
      </c>
      <c r="W325" s="19">
        <f>IF($I325="","",IF(ISNUMBER($I325),TEXT($I325,"0"),$I325))</f>
        <v/>
      </c>
    </row>
    <row r="326">
      <c r="B326" s="25" t="n"/>
      <c r="I326" s="25" t="n"/>
      <c r="U326" s="19">
        <f>IF($V326&lt;&gt;'設定'!$C$4,N(U325),IF(OR(NOT(COUNTIF('商品マスタ'!$B$6:$B$1005,$W326)=0),COUNTIFS('①在庫を貼る'!$V$6:$V$10005,$V326,'①在庫を貼る'!$W$6:$W$10005,$W326)&gt;0),N(U325),N(U325)+1))</f>
        <v/>
      </c>
      <c r="V326" s="19">
        <f>IF($B326="","",TEXT($B326,"0000"))</f>
        <v/>
      </c>
      <c r="W326" s="19">
        <f>IF($I326="","",IF(ISNUMBER($I326),TEXT($I326,"0"),$I326))</f>
        <v/>
      </c>
    </row>
    <row r="327">
      <c r="B327" s="25" t="n"/>
      <c r="I327" s="25" t="n"/>
      <c r="U327" s="19">
        <f>IF($V327&lt;&gt;'設定'!$C$4,N(U326),IF(OR(NOT(COUNTIF('商品マスタ'!$B$6:$B$1005,$W327)=0),COUNTIFS('①在庫を貼る'!$V$6:$V$10005,$V327,'①在庫を貼る'!$W$6:$W$10005,$W327)&gt;0),N(U326),N(U326)+1))</f>
        <v/>
      </c>
      <c r="V327" s="19">
        <f>IF($B327="","",TEXT($B327,"0000"))</f>
        <v/>
      </c>
      <c r="W327" s="19">
        <f>IF($I327="","",IF(ISNUMBER($I327),TEXT($I327,"0"),$I327))</f>
        <v/>
      </c>
    </row>
    <row r="328">
      <c r="B328" s="25" t="n"/>
      <c r="I328" s="25" t="n"/>
      <c r="U328" s="19">
        <f>IF($V328&lt;&gt;'設定'!$C$4,N(U327),IF(OR(NOT(COUNTIF('商品マスタ'!$B$6:$B$1005,$W328)=0),COUNTIFS('①在庫を貼る'!$V$6:$V$10005,$V328,'①在庫を貼る'!$W$6:$W$10005,$W328)&gt;0),N(U327),N(U327)+1))</f>
        <v/>
      </c>
      <c r="V328" s="19">
        <f>IF($B328="","",TEXT($B328,"0000"))</f>
        <v/>
      </c>
      <c r="W328" s="19">
        <f>IF($I328="","",IF(ISNUMBER($I328),TEXT($I328,"0"),$I328))</f>
        <v/>
      </c>
    </row>
    <row r="329">
      <c r="B329" s="25" t="n"/>
      <c r="I329" s="25" t="n"/>
      <c r="U329" s="19">
        <f>IF($V329&lt;&gt;'設定'!$C$4,N(U328),IF(OR(NOT(COUNTIF('商品マスタ'!$B$6:$B$1005,$W329)=0),COUNTIFS('①在庫を貼る'!$V$6:$V$10005,$V329,'①在庫を貼る'!$W$6:$W$10005,$W329)&gt;0),N(U328),N(U328)+1))</f>
        <v/>
      </c>
      <c r="V329" s="19">
        <f>IF($B329="","",TEXT($B329,"0000"))</f>
        <v/>
      </c>
      <c r="W329" s="19">
        <f>IF($I329="","",IF(ISNUMBER($I329),TEXT($I329,"0"),$I329))</f>
        <v/>
      </c>
    </row>
    <row r="330">
      <c r="B330" s="25" t="n"/>
      <c r="I330" s="25" t="n"/>
      <c r="U330" s="19">
        <f>IF($V330&lt;&gt;'設定'!$C$4,N(U329),IF(OR(NOT(COUNTIF('商品マスタ'!$B$6:$B$1005,$W330)=0),COUNTIFS('①在庫を貼る'!$V$6:$V$10005,$V330,'①在庫を貼る'!$W$6:$W$10005,$W330)&gt;0),N(U329),N(U329)+1))</f>
        <v/>
      </c>
      <c r="V330" s="19">
        <f>IF($B330="","",TEXT($B330,"0000"))</f>
        <v/>
      </c>
      <c r="W330" s="19">
        <f>IF($I330="","",IF(ISNUMBER($I330),TEXT($I330,"0"),$I330))</f>
        <v/>
      </c>
    </row>
    <row r="331">
      <c r="B331" s="25" t="n"/>
      <c r="I331" s="25" t="n"/>
      <c r="U331" s="19">
        <f>IF($V331&lt;&gt;'設定'!$C$4,N(U330),IF(OR(NOT(COUNTIF('商品マスタ'!$B$6:$B$1005,$W331)=0),COUNTIFS('①在庫を貼る'!$V$6:$V$10005,$V331,'①在庫を貼る'!$W$6:$W$10005,$W331)&gt;0),N(U330),N(U330)+1))</f>
        <v/>
      </c>
      <c r="V331" s="19">
        <f>IF($B331="","",TEXT($B331,"0000"))</f>
        <v/>
      </c>
      <c r="W331" s="19">
        <f>IF($I331="","",IF(ISNUMBER($I331),TEXT($I331,"0"),$I331))</f>
        <v/>
      </c>
    </row>
    <row r="332">
      <c r="B332" s="25" t="n"/>
      <c r="I332" s="25" t="n"/>
      <c r="U332" s="19">
        <f>IF($V332&lt;&gt;'設定'!$C$4,N(U331),IF(OR(NOT(COUNTIF('商品マスタ'!$B$6:$B$1005,$W332)=0),COUNTIFS('①在庫を貼る'!$V$6:$V$10005,$V332,'①在庫を貼る'!$W$6:$W$10005,$W332)&gt;0),N(U331),N(U331)+1))</f>
        <v/>
      </c>
      <c r="V332" s="19">
        <f>IF($B332="","",TEXT($B332,"0000"))</f>
        <v/>
      </c>
      <c r="W332" s="19">
        <f>IF($I332="","",IF(ISNUMBER($I332),TEXT($I332,"0"),$I332))</f>
        <v/>
      </c>
    </row>
    <row r="333">
      <c r="B333" s="25" t="n"/>
      <c r="I333" s="25" t="n"/>
      <c r="U333" s="19">
        <f>IF($V333&lt;&gt;'設定'!$C$4,N(U332),IF(OR(NOT(COUNTIF('商品マスタ'!$B$6:$B$1005,$W333)=0),COUNTIFS('①在庫を貼る'!$V$6:$V$10005,$V333,'①在庫を貼る'!$W$6:$W$10005,$W333)&gt;0),N(U332),N(U332)+1))</f>
        <v/>
      </c>
      <c r="V333" s="19">
        <f>IF($B333="","",TEXT($B333,"0000"))</f>
        <v/>
      </c>
      <c r="W333" s="19">
        <f>IF($I333="","",IF(ISNUMBER($I333),TEXT($I333,"0"),$I333))</f>
        <v/>
      </c>
    </row>
    <row r="334">
      <c r="B334" s="25" t="n"/>
      <c r="I334" s="25" t="n"/>
      <c r="U334" s="19">
        <f>IF($V334&lt;&gt;'設定'!$C$4,N(U333),IF(OR(NOT(COUNTIF('商品マスタ'!$B$6:$B$1005,$W334)=0),COUNTIFS('①在庫を貼る'!$V$6:$V$10005,$V334,'①在庫を貼る'!$W$6:$W$10005,$W334)&gt;0),N(U333),N(U333)+1))</f>
        <v/>
      </c>
      <c r="V334" s="19">
        <f>IF($B334="","",TEXT($B334,"0000"))</f>
        <v/>
      </c>
      <c r="W334" s="19">
        <f>IF($I334="","",IF(ISNUMBER($I334),TEXT($I334,"0"),$I334))</f>
        <v/>
      </c>
    </row>
    <row r="335">
      <c r="B335" s="25" t="n"/>
      <c r="I335" s="25" t="n"/>
      <c r="U335" s="19">
        <f>IF($V335&lt;&gt;'設定'!$C$4,N(U334),IF(OR(NOT(COUNTIF('商品マスタ'!$B$6:$B$1005,$W335)=0),COUNTIFS('①在庫を貼る'!$V$6:$V$10005,$V335,'①在庫を貼る'!$W$6:$W$10005,$W335)&gt;0),N(U334),N(U334)+1))</f>
        <v/>
      </c>
      <c r="V335" s="19">
        <f>IF($B335="","",TEXT($B335,"0000"))</f>
        <v/>
      </c>
      <c r="W335" s="19">
        <f>IF($I335="","",IF(ISNUMBER($I335),TEXT($I335,"0"),$I335))</f>
        <v/>
      </c>
    </row>
    <row r="336">
      <c r="B336" s="25" t="n"/>
      <c r="I336" s="25" t="n"/>
      <c r="U336" s="19">
        <f>IF($V336&lt;&gt;'設定'!$C$4,N(U335),IF(OR(NOT(COUNTIF('商品マスタ'!$B$6:$B$1005,$W336)=0),COUNTIFS('①在庫を貼る'!$V$6:$V$10005,$V336,'①在庫を貼る'!$W$6:$W$10005,$W336)&gt;0),N(U335),N(U335)+1))</f>
        <v/>
      </c>
      <c r="V336" s="19">
        <f>IF($B336="","",TEXT($B336,"0000"))</f>
        <v/>
      </c>
      <c r="W336" s="19">
        <f>IF($I336="","",IF(ISNUMBER($I336),TEXT($I336,"0"),$I336))</f>
        <v/>
      </c>
    </row>
    <row r="337">
      <c r="B337" s="25" t="n"/>
      <c r="I337" s="25" t="n"/>
      <c r="U337" s="19">
        <f>IF($V337&lt;&gt;'設定'!$C$4,N(U336),IF(OR(NOT(COUNTIF('商品マスタ'!$B$6:$B$1005,$W337)=0),COUNTIFS('①在庫を貼る'!$V$6:$V$10005,$V337,'①在庫を貼る'!$W$6:$W$10005,$W337)&gt;0),N(U336),N(U336)+1))</f>
        <v/>
      </c>
      <c r="V337" s="19">
        <f>IF($B337="","",TEXT($B337,"0000"))</f>
        <v/>
      </c>
      <c r="W337" s="19">
        <f>IF($I337="","",IF(ISNUMBER($I337),TEXT($I337,"0"),$I337))</f>
        <v/>
      </c>
    </row>
    <row r="338">
      <c r="B338" s="25" t="n"/>
      <c r="I338" s="25" t="n"/>
      <c r="U338" s="19">
        <f>IF($V338&lt;&gt;'設定'!$C$4,N(U337),IF(OR(NOT(COUNTIF('商品マスタ'!$B$6:$B$1005,$W338)=0),COUNTIFS('①在庫を貼る'!$V$6:$V$10005,$V338,'①在庫を貼る'!$W$6:$W$10005,$W338)&gt;0),N(U337),N(U337)+1))</f>
        <v/>
      </c>
      <c r="V338" s="19">
        <f>IF($B338="","",TEXT($B338,"0000"))</f>
        <v/>
      </c>
      <c r="W338" s="19">
        <f>IF($I338="","",IF(ISNUMBER($I338),TEXT($I338,"0"),$I338))</f>
        <v/>
      </c>
    </row>
    <row r="339">
      <c r="B339" s="25" t="n"/>
      <c r="I339" s="25" t="n"/>
      <c r="U339" s="19">
        <f>IF($V339&lt;&gt;'設定'!$C$4,N(U338),IF(OR(NOT(COUNTIF('商品マスタ'!$B$6:$B$1005,$W339)=0),COUNTIFS('①在庫を貼る'!$V$6:$V$10005,$V339,'①在庫を貼る'!$W$6:$W$10005,$W339)&gt;0),N(U338),N(U338)+1))</f>
        <v/>
      </c>
      <c r="V339" s="19">
        <f>IF($B339="","",TEXT($B339,"0000"))</f>
        <v/>
      </c>
      <c r="W339" s="19">
        <f>IF($I339="","",IF(ISNUMBER($I339),TEXT($I339,"0"),$I339))</f>
        <v/>
      </c>
    </row>
    <row r="340">
      <c r="B340" s="25" t="n"/>
      <c r="I340" s="25" t="n"/>
      <c r="U340" s="19">
        <f>IF($V340&lt;&gt;'設定'!$C$4,N(U339),IF(OR(NOT(COUNTIF('商品マスタ'!$B$6:$B$1005,$W340)=0),COUNTIFS('①在庫を貼る'!$V$6:$V$10005,$V340,'①在庫を貼る'!$W$6:$W$10005,$W340)&gt;0),N(U339),N(U339)+1))</f>
        <v/>
      </c>
      <c r="V340" s="19">
        <f>IF($B340="","",TEXT($B340,"0000"))</f>
        <v/>
      </c>
      <c r="W340" s="19">
        <f>IF($I340="","",IF(ISNUMBER($I340),TEXT($I340,"0"),$I340))</f>
        <v/>
      </c>
    </row>
    <row r="341">
      <c r="B341" s="25" t="n"/>
      <c r="I341" s="25" t="n"/>
      <c r="U341" s="19">
        <f>IF($V341&lt;&gt;'設定'!$C$4,N(U340),IF(OR(NOT(COUNTIF('商品マスタ'!$B$6:$B$1005,$W341)=0),COUNTIFS('①在庫を貼る'!$V$6:$V$10005,$V341,'①在庫を貼る'!$W$6:$W$10005,$W341)&gt;0),N(U340),N(U340)+1))</f>
        <v/>
      </c>
      <c r="V341" s="19">
        <f>IF($B341="","",TEXT($B341,"0000"))</f>
        <v/>
      </c>
      <c r="W341" s="19">
        <f>IF($I341="","",IF(ISNUMBER($I341),TEXT($I341,"0"),$I341))</f>
        <v/>
      </c>
    </row>
    <row r="342">
      <c r="B342" s="25" t="n"/>
      <c r="I342" s="25" t="n"/>
      <c r="U342" s="19">
        <f>IF($V342&lt;&gt;'設定'!$C$4,N(U341),IF(OR(NOT(COUNTIF('商品マスタ'!$B$6:$B$1005,$W342)=0),COUNTIFS('①在庫を貼る'!$V$6:$V$10005,$V342,'①在庫を貼る'!$W$6:$W$10005,$W342)&gt;0),N(U341),N(U341)+1))</f>
        <v/>
      </c>
      <c r="V342" s="19">
        <f>IF($B342="","",TEXT($B342,"0000"))</f>
        <v/>
      </c>
      <c r="W342" s="19">
        <f>IF($I342="","",IF(ISNUMBER($I342),TEXT($I342,"0"),$I342))</f>
        <v/>
      </c>
    </row>
    <row r="343">
      <c r="B343" s="25" t="n"/>
      <c r="I343" s="25" t="n"/>
      <c r="U343" s="19">
        <f>IF($V343&lt;&gt;'設定'!$C$4,N(U342),IF(OR(NOT(COUNTIF('商品マスタ'!$B$6:$B$1005,$W343)=0),COUNTIFS('①在庫を貼る'!$V$6:$V$10005,$V343,'①在庫を貼る'!$W$6:$W$10005,$W343)&gt;0),N(U342),N(U342)+1))</f>
        <v/>
      </c>
      <c r="V343" s="19">
        <f>IF($B343="","",TEXT($B343,"0000"))</f>
        <v/>
      </c>
      <c r="W343" s="19">
        <f>IF($I343="","",IF(ISNUMBER($I343),TEXT($I343,"0"),$I343))</f>
        <v/>
      </c>
    </row>
    <row r="344">
      <c r="B344" s="25" t="n"/>
      <c r="I344" s="25" t="n"/>
      <c r="U344" s="19">
        <f>IF($V344&lt;&gt;'設定'!$C$4,N(U343),IF(OR(NOT(COUNTIF('商品マスタ'!$B$6:$B$1005,$W344)=0),COUNTIFS('①在庫を貼る'!$V$6:$V$10005,$V344,'①在庫を貼る'!$W$6:$W$10005,$W344)&gt;0),N(U343),N(U343)+1))</f>
        <v/>
      </c>
      <c r="V344" s="19">
        <f>IF($B344="","",TEXT($B344,"0000"))</f>
        <v/>
      </c>
      <c r="W344" s="19">
        <f>IF($I344="","",IF(ISNUMBER($I344),TEXT($I344,"0"),$I344))</f>
        <v/>
      </c>
    </row>
    <row r="345">
      <c r="B345" s="25" t="n"/>
      <c r="I345" s="25" t="n"/>
      <c r="U345" s="19">
        <f>IF($V345&lt;&gt;'設定'!$C$4,N(U344),IF(OR(NOT(COUNTIF('商品マスタ'!$B$6:$B$1005,$W345)=0),COUNTIFS('①在庫を貼る'!$V$6:$V$10005,$V345,'①在庫を貼る'!$W$6:$W$10005,$W345)&gt;0),N(U344),N(U344)+1))</f>
        <v/>
      </c>
      <c r="V345" s="19">
        <f>IF($B345="","",TEXT($B345,"0000"))</f>
        <v/>
      </c>
      <c r="W345" s="19">
        <f>IF($I345="","",IF(ISNUMBER($I345),TEXT($I345,"0"),$I345))</f>
        <v/>
      </c>
    </row>
    <row r="346">
      <c r="B346" s="25" t="n"/>
      <c r="I346" s="25" t="n"/>
      <c r="U346" s="19">
        <f>IF($V346&lt;&gt;'設定'!$C$4,N(U345),IF(OR(NOT(COUNTIF('商品マスタ'!$B$6:$B$1005,$W346)=0),COUNTIFS('①在庫を貼る'!$V$6:$V$10005,$V346,'①在庫を貼る'!$W$6:$W$10005,$W346)&gt;0),N(U345),N(U345)+1))</f>
        <v/>
      </c>
      <c r="V346" s="19">
        <f>IF($B346="","",TEXT($B346,"0000"))</f>
        <v/>
      </c>
      <c r="W346" s="19">
        <f>IF($I346="","",IF(ISNUMBER($I346),TEXT($I346,"0"),$I346))</f>
        <v/>
      </c>
    </row>
    <row r="347">
      <c r="B347" s="25" t="n"/>
      <c r="I347" s="25" t="n"/>
      <c r="U347" s="19">
        <f>IF($V347&lt;&gt;'設定'!$C$4,N(U346),IF(OR(NOT(COUNTIF('商品マスタ'!$B$6:$B$1005,$W347)=0),COUNTIFS('①在庫を貼る'!$V$6:$V$10005,$V347,'①在庫を貼る'!$W$6:$W$10005,$W347)&gt;0),N(U346),N(U346)+1))</f>
        <v/>
      </c>
      <c r="V347" s="19">
        <f>IF($B347="","",TEXT($B347,"0000"))</f>
        <v/>
      </c>
      <c r="W347" s="19">
        <f>IF($I347="","",IF(ISNUMBER($I347),TEXT($I347,"0"),$I347))</f>
        <v/>
      </c>
    </row>
    <row r="348">
      <c r="B348" s="25" t="n"/>
      <c r="I348" s="25" t="n"/>
      <c r="U348" s="19">
        <f>IF($V348&lt;&gt;'設定'!$C$4,N(U347),IF(OR(NOT(COUNTIF('商品マスタ'!$B$6:$B$1005,$W348)=0),COUNTIFS('①在庫を貼る'!$V$6:$V$10005,$V348,'①在庫を貼る'!$W$6:$W$10005,$W348)&gt;0),N(U347),N(U347)+1))</f>
        <v/>
      </c>
      <c r="V348" s="19">
        <f>IF($B348="","",TEXT($B348,"0000"))</f>
        <v/>
      </c>
      <c r="W348" s="19">
        <f>IF($I348="","",IF(ISNUMBER($I348),TEXT($I348,"0"),$I348))</f>
        <v/>
      </c>
    </row>
    <row r="349">
      <c r="B349" s="25" t="n"/>
      <c r="I349" s="25" t="n"/>
      <c r="U349" s="19">
        <f>IF($V349&lt;&gt;'設定'!$C$4,N(U348),IF(OR(NOT(COUNTIF('商品マスタ'!$B$6:$B$1005,$W349)=0),COUNTIFS('①在庫を貼る'!$V$6:$V$10005,$V349,'①在庫を貼る'!$W$6:$W$10005,$W349)&gt;0),N(U348),N(U348)+1))</f>
        <v/>
      </c>
      <c r="V349" s="19">
        <f>IF($B349="","",TEXT($B349,"0000"))</f>
        <v/>
      </c>
      <c r="W349" s="19">
        <f>IF($I349="","",IF(ISNUMBER($I349),TEXT($I349,"0"),$I349))</f>
        <v/>
      </c>
    </row>
    <row r="350">
      <c r="B350" s="25" t="n"/>
      <c r="I350" s="25" t="n"/>
      <c r="U350" s="19">
        <f>IF($V350&lt;&gt;'設定'!$C$4,N(U349),IF(OR(NOT(COUNTIF('商品マスタ'!$B$6:$B$1005,$W350)=0),COUNTIFS('①在庫を貼る'!$V$6:$V$10005,$V350,'①在庫を貼る'!$W$6:$W$10005,$W350)&gt;0),N(U349),N(U349)+1))</f>
        <v/>
      </c>
      <c r="V350" s="19">
        <f>IF($B350="","",TEXT($B350,"0000"))</f>
        <v/>
      </c>
      <c r="W350" s="19">
        <f>IF($I350="","",IF(ISNUMBER($I350),TEXT($I350,"0"),$I350))</f>
        <v/>
      </c>
    </row>
    <row r="351">
      <c r="B351" s="25" t="n"/>
      <c r="I351" s="25" t="n"/>
      <c r="U351" s="19">
        <f>IF($V351&lt;&gt;'設定'!$C$4,N(U350),IF(OR(NOT(COUNTIF('商品マスタ'!$B$6:$B$1005,$W351)=0),COUNTIFS('①在庫を貼る'!$V$6:$V$10005,$V351,'①在庫を貼る'!$W$6:$W$10005,$W351)&gt;0),N(U350),N(U350)+1))</f>
        <v/>
      </c>
      <c r="V351" s="19">
        <f>IF($B351="","",TEXT($B351,"0000"))</f>
        <v/>
      </c>
      <c r="W351" s="19">
        <f>IF($I351="","",IF(ISNUMBER($I351),TEXT($I351,"0"),$I351))</f>
        <v/>
      </c>
    </row>
    <row r="352">
      <c r="B352" s="25" t="n"/>
      <c r="I352" s="25" t="n"/>
      <c r="U352" s="19">
        <f>IF($V352&lt;&gt;'設定'!$C$4,N(U351),IF(OR(NOT(COUNTIF('商品マスタ'!$B$6:$B$1005,$W352)=0),COUNTIFS('①在庫を貼る'!$V$6:$V$10005,$V352,'①在庫を貼る'!$W$6:$W$10005,$W352)&gt;0),N(U351),N(U351)+1))</f>
        <v/>
      </c>
      <c r="V352" s="19">
        <f>IF($B352="","",TEXT($B352,"0000"))</f>
        <v/>
      </c>
      <c r="W352" s="19">
        <f>IF($I352="","",IF(ISNUMBER($I352),TEXT($I352,"0"),$I352))</f>
        <v/>
      </c>
    </row>
    <row r="353">
      <c r="B353" s="25" t="n"/>
      <c r="I353" s="25" t="n"/>
      <c r="U353" s="19">
        <f>IF($V353&lt;&gt;'設定'!$C$4,N(U352),IF(OR(NOT(COUNTIF('商品マスタ'!$B$6:$B$1005,$W353)=0),COUNTIFS('①在庫を貼る'!$V$6:$V$10005,$V353,'①在庫を貼る'!$W$6:$W$10005,$W353)&gt;0),N(U352),N(U352)+1))</f>
        <v/>
      </c>
      <c r="V353" s="19">
        <f>IF($B353="","",TEXT($B353,"0000"))</f>
        <v/>
      </c>
      <c r="W353" s="19">
        <f>IF($I353="","",IF(ISNUMBER($I353),TEXT($I353,"0"),$I353))</f>
        <v/>
      </c>
    </row>
    <row r="354">
      <c r="B354" s="25" t="n"/>
      <c r="I354" s="25" t="n"/>
      <c r="U354" s="19">
        <f>IF($V354&lt;&gt;'設定'!$C$4,N(U353),IF(OR(NOT(COUNTIF('商品マスタ'!$B$6:$B$1005,$W354)=0),COUNTIFS('①在庫を貼る'!$V$6:$V$10005,$V354,'①在庫を貼る'!$W$6:$W$10005,$W354)&gt;0),N(U353),N(U353)+1))</f>
        <v/>
      </c>
      <c r="V354" s="19">
        <f>IF($B354="","",TEXT($B354,"0000"))</f>
        <v/>
      </c>
      <c r="W354" s="19">
        <f>IF($I354="","",IF(ISNUMBER($I354),TEXT($I354,"0"),$I354))</f>
        <v/>
      </c>
    </row>
    <row r="355">
      <c r="B355" s="25" t="n"/>
      <c r="I355" s="25" t="n"/>
      <c r="U355" s="19">
        <f>IF($V355&lt;&gt;'設定'!$C$4,N(U354),IF(OR(NOT(COUNTIF('商品マスタ'!$B$6:$B$1005,$W355)=0),COUNTIFS('①在庫を貼る'!$V$6:$V$10005,$V355,'①在庫を貼る'!$W$6:$W$10005,$W355)&gt;0),N(U354),N(U354)+1))</f>
        <v/>
      </c>
      <c r="V355" s="19">
        <f>IF($B355="","",TEXT($B355,"0000"))</f>
        <v/>
      </c>
      <c r="W355" s="19">
        <f>IF($I355="","",IF(ISNUMBER($I355),TEXT($I355,"0"),$I355))</f>
        <v/>
      </c>
    </row>
    <row r="356">
      <c r="B356" s="25" t="n"/>
      <c r="I356" s="25" t="n"/>
      <c r="U356" s="19">
        <f>IF($V356&lt;&gt;'設定'!$C$4,N(U355),IF(OR(NOT(COUNTIF('商品マスタ'!$B$6:$B$1005,$W356)=0),COUNTIFS('①在庫を貼る'!$V$6:$V$10005,$V356,'①在庫を貼る'!$W$6:$W$10005,$W356)&gt;0),N(U355),N(U355)+1))</f>
        <v/>
      </c>
      <c r="V356" s="19">
        <f>IF($B356="","",TEXT($B356,"0000"))</f>
        <v/>
      </c>
      <c r="W356" s="19">
        <f>IF($I356="","",IF(ISNUMBER($I356),TEXT($I356,"0"),$I356))</f>
        <v/>
      </c>
    </row>
    <row r="357">
      <c r="B357" s="25" t="n"/>
      <c r="I357" s="25" t="n"/>
      <c r="U357" s="19">
        <f>IF($V357&lt;&gt;'設定'!$C$4,N(U356),IF(OR(NOT(COUNTIF('商品マスタ'!$B$6:$B$1005,$W357)=0),COUNTIFS('①在庫を貼る'!$V$6:$V$10005,$V357,'①在庫を貼る'!$W$6:$W$10005,$W357)&gt;0),N(U356),N(U356)+1))</f>
        <v/>
      </c>
      <c r="V357" s="19">
        <f>IF($B357="","",TEXT($B357,"0000"))</f>
        <v/>
      </c>
      <c r="W357" s="19">
        <f>IF($I357="","",IF(ISNUMBER($I357),TEXT($I357,"0"),$I357))</f>
        <v/>
      </c>
    </row>
    <row r="358">
      <c r="B358" s="25" t="n"/>
      <c r="I358" s="25" t="n"/>
      <c r="U358" s="19">
        <f>IF($V358&lt;&gt;'設定'!$C$4,N(U357),IF(OR(NOT(COUNTIF('商品マスタ'!$B$6:$B$1005,$W358)=0),COUNTIFS('①在庫を貼る'!$V$6:$V$10005,$V358,'①在庫を貼る'!$W$6:$W$10005,$W358)&gt;0),N(U357),N(U357)+1))</f>
        <v/>
      </c>
      <c r="V358" s="19">
        <f>IF($B358="","",TEXT($B358,"0000"))</f>
        <v/>
      </c>
      <c r="W358" s="19">
        <f>IF($I358="","",IF(ISNUMBER($I358),TEXT($I358,"0"),$I358))</f>
        <v/>
      </c>
    </row>
    <row r="359">
      <c r="B359" s="25" t="n"/>
      <c r="I359" s="25" t="n"/>
      <c r="U359" s="19">
        <f>IF($V359&lt;&gt;'設定'!$C$4,N(U358),IF(OR(NOT(COUNTIF('商品マスタ'!$B$6:$B$1005,$W359)=0),COUNTIFS('①在庫を貼る'!$V$6:$V$10005,$V359,'①在庫を貼る'!$W$6:$W$10005,$W359)&gt;0),N(U358),N(U358)+1))</f>
        <v/>
      </c>
      <c r="V359" s="19">
        <f>IF($B359="","",TEXT($B359,"0000"))</f>
        <v/>
      </c>
      <c r="W359" s="19">
        <f>IF($I359="","",IF(ISNUMBER($I359),TEXT($I359,"0"),$I359))</f>
        <v/>
      </c>
    </row>
    <row r="360">
      <c r="B360" s="25" t="n"/>
      <c r="I360" s="25" t="n"/>
      <c r="U360" s="19">
        <f>IF($V360&lt;&gt;'設定'!$C$4,N(U359),IF(OR(NOT(COUNTIF('商品マスタ'!$B$6:$B$1005,$W360)=0),COUNTIFS('①在庫を貼る'!$V$6:$V$10005,$V360,'①在庫を貼る'!$W$6:$W$10005,$W360)&gt;0),N(U359),N(U359)+1))</f>
        <v/>
      </c>
      <c r="V360" s="19">
        <f>IF($B360="","",TEXT($B360,"0000"))</f>
        <v/>
      </c>
      <c r="W360" s="19">
        <f>IF($I360="","",IF(ISNUMBER($I360),TEXT($I360,"0"),$I360))</f>
        <v/>
      </c>
    </row>
    <row r="361">
      <c r="B361" s="25" t="n"/>
      <c r="I361" s="25" t="n"/>
      <c r="U361" s="19">
        <f>IF($V361&lt;&gt;'設定'!$C$4,N(U360),IF(OR(NOT(COUNTIF('商品マスタ'!$B$6:$B$1005,$W361)=0),COUNTIFS('①在庫を貼る'!$V$6:$V$10005,$V361,'①在庫を貼る'!$W$6:$W$10005,$W361)&gt;0),N(U360),N(U360)+1))</f>
        <v/>
      </c>
      <c r="V361" s="19">
        <f>IF($B361="","",TEXT($B361,"0000"))</f>
        <v/>
      </c>
      <c r="W361" s="19">
        <f>IF($I361="","",IF(ISNUMBER($I361),TEXT($I361,"0"),$I361))</f>
        <v/>
      </c>
    </row>
    <row r="362">
      <c r="B362" s="25" t="n"/>
      <c r="I362" s="25" t="n"/>
      <c r="U362" s="19">
        <f>IF($V362&lt;&gt;'設定'!$C$4,N(U361),IF(OR(NOT(COUNTIF('商品マスタ'!$B$6:$B$1005,$W362)=0),COUNTIFS('①在庫を貼る'!$V$6:$V$10005,$V362,'①在庫を貼る'!$W$6:$W$10005,$W362)&gt;0),N(U361),N(U361)+1))</f>
        <v/>
      </c>
      <c r="V362" s="19">
        <f>IF($B362="","",TEXT($B362,"0000"))</f>
        <v/>
      </c>
      <c r="W362" s="19">
        <f>IF($I362="","",IF(ISNUMBER($I362),TEXT($I362,"0"),$I362))</f>
        <v/>
      </c>
    </row>
    <row r="363">
      <c r="B363" s="25" t="n"/>
      <c r="I363" s="25" t="n"/>
      <c r="U363" s="19">
        <f>IF($V363&lt;&gt;'設定'!$C$4,N(U362),IF(OR(NOT(COUNTIF('商品マスタ'!$B$6:$B$1005,$W363)=0),COUNTIFS('①在庫を貼る'!$V$6:$V$10005,$V363,'①在庫を貼る'!$W$6:$W$10005,$W363)&gt;0),N(U362),N(U362)+1))</f>
        <v/>
      </c>
      <c r="V363" s="19">
        <f>IF($B363="","",TEXT($B363,"0000"))</f>
        <v/>
      </c>
      <c r="W363" s="19">
        <f>IF($I363="","",IF(ISNUMBER($I363),TEXT($I363,"0"),$I363))</f>
        <v/>
      </c>
    </row>
    <row r="364">
      <c r="B364" s="25" t="n"/>
      <c r="I364" s="25" t="n"/>
      <c r="U364" s="19">
        <f>IF($V364&lt;&gt;'設定'!$C$4,N(U363),IF(OR(NOT(COUNTIF('商品マスタ'!$B$6:$B$1005,$W364)=0),COUNTIFS('①在庫を貼る'!$V$6:$V$10005,$V364,'①在庫を貼る'!$W$6:$W$10005,$W364)&gt;0),N(U363),N(U363)+1))</f>
        <v/>
      </c>
      <c r="V364" s="19">
        <f>IF($B364="","",TEXT($B364,"0000"))</f>
        <v/>
      </c>
      <c r="W364" s="19">
        <f>IF($I364="","",IF(ISNUMBER($I364),TEXT($I364,"0"),$I364))</f>
        <v/>
      </c>
    </row>
    <row r="365">
      <c r="B365" s="25" t="n"/>
      <c r="I365" s="25" t="n"/>
      <c r="U365" s="19">
        <f>IF($V365&lt;&gt;'設定'!$C$4,N(U364),IF(OR(NOT(COUNTIF('商品マスタ'!$B$6:$B$1005,$W365)=0),COUNTIFS('①在庫を貼る'!$V$6:$V$10005,$V365,'①在庫を貼る'!$W$6:$W$10005,$W365)&gt;0),N(U364),N(U364)+1))</f>
        <v/>
      </c>
      <c r="V365" s="19">
        <f>IF($B365="","",TEXT($B365,"0000"))</f>
        <v/>
      </c>
      <c r="W365" s="19">
        <f>IF($I365="","",IF(ISNUMBER($I365),TEXT($I365,"0"),$I365))</f>
        <v/>
      </c>
    </row>
    <row r="366">
      <c r="B366" s="25" t="n"/>
      <c r="I366" s="25" t="n"/>
      <c r="U366" s="19">
        <f>IF($V366&lt;&gt;'設定'!$C$4,N(U365),IF(OR(NOT(COUNTIF('商品マスタ'!$B$6:$B$1005,$W366)=0),COUNTIFS('①在庫を貼る'!$V$6:$V$10005,$V366,'①在庫を貼る'!$W$6:$W$10005,$W366)&gt;0),N(U365),N(U365)+1))</f>
        <v/>
      </c>
      <c r="V366" s="19">
        <f>IF($B366="","",TEXT($B366,"0000"))</f>
        <v/>
      </c>
      <c r="W366" s="19">
        <f>IF($I366="","",IF(ISNUMBER($I366),TEXT($I366,"0"),$I366))</f>
        <v/>
      </c>
    </row>
    <row r="367">
      <c r="B367" s="25" t="n"/>
      <c r="I367" s="25" t="n"/>
      <c r="U367" s="19">
        <f>IF($V367&lt;&gt;'設定'!$C$4,N(U366),IF(OR(NOT(COUNTIF('商品マスタ'!$B$6:$B$1005,$W367)=0),COUNTIFS('①在庫を貼る'!$V$6:$V$10005,$V367,'①在庫を貼る'!$W$6:$W$10005,$W367)&gt;0),N(U366),N(U366)+1))</f>
        <v/>
      </c>
      <c r="V367" s="19">
        <f>IF($B367="","",TEXT($B367,"0000"))</f>
        <v/>
      </c>
      <c r="W367" s="19">
        <f>IF($I367="","",IF(ISNUMBER($I367),TEXT($I367,"0"),$I367))</f>
        <v/>
      </c>
    </row>
    <row r="368">
      <c r="B368" s="25" t="n"/>
      <c r="I368" s="25" t="n"/>
      <c r="U368" s="19">
        <f>IF($V368&lt;&gt;'設定'!$C$4,N(U367),IF(OR(NOT(COUNTIF('商品マスタ'!$B$6:$B$1005,$W368)=0),COUNTIFS('①在庫を貼る'!$V$6:$V$10005,$V368,'①在庫を貼る'!$W$6:$W$10005,$W368)&gt;0),N(U367),N(U367)+1))</f>
        <v/>
      </c>
      <c r="V368" s="19">
        <f>IF($B368="","",TEXT($B368,"0000"))</f>
        <v/>
      </c>
      <c r="W368" s="19">
        <f>IF($I368="","",IF(ISNUMBER($I368),TEXT($I368,"0"),$I368))</f>
        <v/>
      </c>
    </row>
    <row r="369">
      <c r="B369" s="25" t="n"/>
      <c r="I369" s="25" t="n"/>
      <c r="U369" s="19">
        <f>IF($V369&lt;&gt;'設定'!$C$4,N(U368),IF(OR(NOT(COUNTIF('商品マスタ'!$B$6:$B$1005,$W369)=0),COUNTIFS('①在庫を貼る'!$V$6:$V$10005,$V369,'①在庫を貼る'!$W$6:$W$10005,$W369)&gt;0),N(U368),N(U368)+1))</f>
        <v/>
      </c>
      <c r="V369" s="19">
        <f>IF($B369="","",TEXT($B369,"0000"))</f>
        <v/>
      </c>
      <c r="W369" s="19">
        <f>IF($I369="","",IF(ISNUMBER($I369),TEXT($I369,"0"),$I369))</f>
        <v/>
      </c>
    </row>
    <row r="370">
      <c r="B370" s="25" t="n"/>
      <c r="I370" s="25" t="n"/>
      <c r="U370" s="19">
        <f>IF($V370&lt;&gt;'設定'!$C$4,N(U369),IF(OR(NOT(COUNTIF('商品マスタ'!$B$6:$B$1005,$W370)=0),COUNTIFS('①在庫を貼る'!$V$6:$V$10005,$V370,'①在庫を貼る'!$W$6:$W$10005,$W370)&gt;0),N(U369),N(U369)+1))</f>
        <v/>
      </c>
      <c r="V370" s="19">
        <f>IF($B370="","",TEXT($B370,"0000"))</f>
        <v/>
      </c>
      <c r="W370" s="19">
        <f>IF($I370="","",IF(ISNUMBER($I370),TEXT($I370,"0"),$I370))</f>
        <v/>
      </c>
    </row>
    <row r="371">
      <c r="B371" s="25" t="n"/>
      <c r="I371" s="25" t="n"/>
      <c r="U371" s="19">
        <f>IF($V371&lt;&gt;'設定'!$C$4,N(U370),IF(OR(NOT(COUNTIF('商品マスタ'!$B$6:$B$1005,$W371)=0),COUNTIFS('①在庫を貼る'!$V$6:$V$10005,$V371,'①在庫を貼る'!$W$6:$W$10005,$W371)&gt;0),N(U370),N(U370)+1))</f>
        <v/>
      </c>
      <c r="V371" s="19">
        <f>IF($B371="","",TEXT($B371,"0000"))</f>
        <v/>
      </c>
      <c r="W371" s="19">
        <f>IF($I371="","",IF(ISNUMBER($I371),TEXT($I371,"0"),$I371))</f>
        <v/>
      </c>
    </row>
    <row r="372">
      <c r="B372" s="25" t="n"/>
      <c r="I372" s="25" t="n"/>
      <c r="U372" s="19">
        <f>IF($V372&lt;&gt;'設定'!$C$4,N(U371),IF(OR(NOT(COUNTIF('商品マスタ'!$B$6:$B$1005,$W372)=0),COUNTIFS('①在庫を貼る'!$V$6:$V$10005,$V372,'①在庫を貼る'!$W$6:$W$10005,$W372)&gt;0),N(U371),N(U371)+1))</f>
        <v/>
      </c>
      <c r="V372" s="19">
        <f>IF($B372="","",TEXT($B372,"0000"))</f>
        <v/>
      </c>
      <c r="W372" s="19">
        <f>IF($I372="","",IF(ISNUMBER($I372),TEXT($I372,"0"),$I372))</f>
        <v/>
      </c>
    </row>
    <row r="373">
      <c r="B373" s="25" t="n"/>
      <c r="I373" s="25" t="n"/>
      <c r="U373" s="19">
        <f>IF($V373&lt;&gt;'設定'!$C$4,N(U372),IF(OR(NOT(COUNTIF('商品マスタ'!$B$6:$B$1005,$W373)=0),COUNTIFS('①在庫を貼る'!$V$6:$V$10005,$V373,'①在庫を貼る'!$W$6:$W$10005,$W373)&gt;0),N(U372),N(U372)+1))</f>
        <v/>
      </c>
      <c r="V373" s="19">
        <f>IF($B373="","",TEXT($B373,"0000"))</f>
        <v/>
      </c>
      <c r="W373" s="19">
        <f>IF($I373="","",IF(ISNUMBER($I373),TEXT($I373,"0"),$I373))</f>
        <v/>
      </c>
    </row>
    <row r="374">
      <c r="B374" s="25" t="n"/>
      <c r="I374" s="25" t="n"/>
      <c r="U374" s="19">
        <f>IF($V374&lt;&gt;'設定'!$C$4,N(U373),IF(OR(NOT(COUNTIF('商品マスタ'!$B$6:$B$1005,$W374)=0),COUNTIFS('①在庫を貼る'!$V$6:$V$10005,$V374,'①在庫を貼る'!$W$6:$W$10005,$W374)&gt;0),N(U373),N(U373)+1))</f>
        <v/>
      </c>
      <c r="V374" s="19">
        <f>IF($B374="","",TEXT($B374,"0000"))</f>
        <v/>
      </c>
      <c r="W374" s="19">
        <f>IF($I374="","",IF(ISNUMBER($I374),TEXT($I374,"0"),$I374))</f>
        <v/>
      </c>
    </row>
    <row r="375">
      <c r="B375" s="25" t="n"/>
      <c r="I375" s="25" t="n"/>
      <c r="U375" s="19">
        <f>IF($V375&lt;&gt;'設定'!$C$4,N(U374),IF(OR(NOT(COUNTIF('商品マスタ'!$B$6:$B$1005,$W375)=0),COUNTIFS('①在庫を貼る'!$V$6:$V$10005,$V375,'①在庫を貼る'!$W$6:$W$10005,$W375)&gt;0),N(U374),N(U374)+1))</f>
        <v/>
      </c>
      <c r="V375" s="19">
        <f>IF($B375="","",TEXT($B375,"0000"))</f>
        <v/>
      </c>
      <c r="W375" s="19">
        <f>IF($I375="","",IF(ISNUMBER($I375),TEXT($I375,"0"),$I375))</f>
        <v/>
      </c>
    </row>
    <row r="376">
      <c r="B376" s="25" t="n"/>
      <c r="I376" s="25" t="n"/>
      <c r="U376" s="19">
        <f>IF($V376&lt;&gt;'設定'!$C$4,N(U375),IF(OR(NOT(COUNTIF('商品マスタ'!$B$6:$B$1005,$W376)=0),COUNTIFS('①在庫を貼る'!$V$6:$V$10005,$V376,'①在庫を貼る'!$W$6:$W$10005,$W376)&gt;0),N(U375),N(U375)+1))</f>
        <v/>
      </c>
      <c r="V376" s="19">
        <f>IF($B376="","",TEXT($B376,"0000"))</f>
        <v/>
      </c>
      <c r="W376" s="19">
        <f>IF($I376="","",IF(ISNUMBER($I376),TEXT($I376,"0"),$I376))</f>
        <v/>
      </c>
    </row>
    <row r="377">
      <c r="B377" s="25" t="n"/>
      <c r="I377" s="25" t="n"/>
      <c r="U377" s="19">
        <f>IF($V377&lt;&gt;'設定'!$C$4,N(U376),IF(OR(NOT(COUNTIF('商品マスタ'!$B$6:$B$1005,$W377)=0),COUNTIFS('①在庫を貼る'!$V$6:$V$10005,$V377,'①在庫を貼る'!$W$6:$W$10005,$W377)&gt;0),N(U376),N(U376)+1))</f>
        <v/>
      </c>
      <c r="V377" s="19">
        <f>IF($B377="","",TEXT($B377,"0000"))</f>
        <v/>
      </c>
      <c r="W377" s="19">
        <f>IF($I377="","",IF(ISNUMBER($I377),TEXT($I377,"0"),$I377))</f>
        <v/>
      </c>
    </row>
    <row r="378">
      <c r="B378" s="25" t="n"/>
      <c r="I378" s="25" t="n"/>
      <c r="U378" s="19">
        <f>IF($V378&lt;&gt;'設定'!$C$4,N(U377),IF(OR(NOT(COUNTIF('商品マスタ'!$B$6:$B$1005,$W378)=0),COUNTIFS('①在庫を貼る'!$V$6:$V$10005,$V378,'①在庫を貼る'!$W$6:$W$10005,$W378)&gt;0),N(U377),N(U377)+1))</f>
        <v/>
      </c>
      <c r="V378" s="19">
        <f>IF($B378="","",TEXT($B378,"0000"))</f>
        <v/>
      </c>
      <c r="W378" s="19">
        <f>IF($I378="","",IF(ISNUMBER($I378),TEXT($I378,"0"),$I378))</f>
        <v/>
      </c>
    </row>
    <row r="379">
      <c r="B379" s="25" t="n"/>
      <c r="I379" s="25" t="n"/>
      <c r="U379" s="19">
        <f>IF($V379&lt;&gt;'設定'!$C$4,N(U378),IF(OR(NOT(COUNTIF('商品マスタ'!$B$6:$B$1005,$W379)=0),COUNTIFS('①在庫を貼る'!$V$6:$V$10005,$V379,'①在庫を貼る'!$W$6:$W$10005,$W379)&gt;0),N(U378),N(U378)+1))</f>
        <v/>
      </c>
      <c r="V379" s="19">
        <f>IF($B379="","",TEXT($B379,"0000"))</f>
        <v/>
      </c>
      <c r="W379" s="19">
        <f>IF($I379="","",IF(ISNUMBER($I379),TEXT($I379,"0"),$I379))</f>
        <v/>
      </c>
    </row>
    <row r="380">
      <c r="B380" s="25" t="n"/>
      <c r="I380" s="25" t="n"/>
      <c r="U380" s="19">
        <f>IF($V380&lt;&gt;'設定'!$C$4,N(U379),IF(OR(NOT(COUNTIF('商品マスタ'!$B$6:$B$1005,$W380)=0),COUNTIFS('①在庫を貼る'!$V$6:$V$10005,$V380,'①在庫を貼る'!$W$6:$W$10005,$W380)&gt;0),N(U379),N(U379)+1))</f>
        <v/>
      </c>
      <c r="V380" s="19">
        <f>IF($B380="","",TEXT($B380,"0000"))</f>
        <v/>
      </c>
      <c r="W380" s="19">
        <f>IF($I380="","",IF(ISNUMBER($I380),TEXT($I380,"0"),$I380))</f>
        <v/>
      </c>
    </row>
    <row r="381">
      <c r="B381" s="25" t="n"/>
      <c r="I381" s="25" t="n"/>
      <c r="U381" s="19">
        <f>IF($V381&lt;&gt;'設定'!$C$4,N(U380),IF(OR(NOT(COUNTIF('商品マスタ'!$B$6:$B$1005,$W381)=0),COUNTIFS('①在庫を貼る'!$V$6:$V$10005,$V381,'①在庫を貼る'!$W$6:$W$10005,$W381)&gt;0),N(U380),N(U380)+1))</f>
        <v/>
      </c>
      <c r="V381" s="19">
        <f>IF($B381="","",TEXT($B381,"0000"))</f>
        <v/>
      </c>
      <c r="W381" s="19">
        <f>IF($I381="","",IF(ISNUMBER($I381),TEXT($I381,"0"),$I381))</f>
        <v/>
      </c>
    </row>
    <row r="382">
      <c r="B382" s="25" t="n"/>
      <c r="I382" s="25" t="n"/>
      <c r="U382" s="19">
        <f>IF($V382&lt;&gt;'設定'!$C$4,N(U381),IF(OR(NOT(COUNTIF('商品マスタ'!$B$6:$B$1005,$W382)=0),COUNTIFS('①在庫を貼る'!$V$6:$V$10005,$V382,'①在庫を貼る'!$W$6:$W$10005,$W382)&gt;0),N(U381),N(U381)+1))</f>
        <v/>
      </c>
      <c r="V382" s="19">
        <f>IF($B382="","",TEXT($B382,"0000"))</f>
        <v/>
      </c>
      <c r="W382" s="19">
        <f>IF($I382="","",IF(ISNUMBER($I382),TEXT($I382,"0"),$I382))</f>
        <v/>
      </c>
    </row>
    <row r="383">
      <c r="B383" s="25" t="n"/>
      <c r="I383" s="25" t="n"/>
      <c r="U383" s="19">
        <f>IF($V383&lt;&gt;'設定'!$C$4,N(U382),IF(OR(NOT(COUNTIF('商品マスタ'!$B$6:$B$1005,$W383)=0),COUNTIFS('①在庫を貼る'!$V$6:$V$10005,$V383,'①在庫を貼る'!$W$6:$W$10005,$W383)&gt;0),N(U382),N(U382)+1))</f>
        <v/>
      </c>
      <c r="V383" s="19">
        <f>IF($B383="","",TEXT($B383,"0000"))</f>
        <v/>
      </c>
      <c r="W383" s="19">
        <f>IF($I383="","",IF(ISNUMBER($I383),TEXT($I383,"0"),$I383))</f>
        <v/>
      </c>
    </row>
    <row r="384">
      <c r="B384" s="25" t="n"/>
      <c r="I384" s="25" t="n"/>
      <c r="U384" s="19">
        <f>IF($V384&lt;&gt;'設定'!$C$4,N(U383),IF(OR(NOT(COUNTIF('商品マスタ'!$B$6:$B$1005,$W384)=0),COUNTIFS('①在庫を貼る'!$V$6:$V$10005,$V384,'①在庫を貼る'!$W$6:$W$10005,$W384)&gt;0),N(U383),N(U383)+1))</f>
        <v/>
      </c>
      <c r="V384" s="19">
        <f>IF($B384="","",TEXT($B384,"0000"))</f>
        <v/>
      </c>
      <c r="W384" s="19">
        <f>IF($I384="","",IF(ISNUMBER($I384),TEXT($I384,"0"),$I384))</f>
        <v/>
      </c>
    </row>
    <row r="385">
      <c r="B385" s="25" t="n"/>
      <c r="I385" s="25" t="n"/>
      <c r="U385" s="19">
        <f>IF($V385&lt;&gt;'設定'!$C$4,N(U384),IF(OR(NOT(COUNTIF('商品マスタ'!$B$6:$B$1005,$W385)=0),COUNTIFS('①在庫を貼る'!$V$6:$V$10005,$V385,'①在庫を貼る'!$W$6:$W$10005,$W385)&gt;0),N(U384),N(U384)+1))</f>
        <v/>
      </c>
      <c r="V385" s="19">
        <f>IF($B385="","",TEXT($B385,"0000"))</f>
        <v/>
      </c>
      <c r="W385" s="19">
        <f>IF($I385="","",IF(ISNUMBER($I385),TEXT($I385,"0"),$I385))</f>
        <v/>
      </c>
    </row>
    <row r="386">
      <c r="B386" s="25" t="n"/>
      <c r="I386" s="25" t="n"/>
      <c r="U386" s="19">
        <f>IF($V386&lt;&gt;'設定'!$C$4,N(U385),IF(OR(NOT(COUNTIF('商品マスタ'!$B$6:$B$1005,$W386)=0),COUNTIFS('①在庫を貼る'!$V$6:$V$10005,$V386,'①在庫を貼る'!$W$6:$W$10005,$W386)&gt;0),N(U385),N(U385)+1))</f>
        <v/>
      </c>
      <c r="V386" s="19">
        <f>IF($B386="","",TEXT($B386,"0000"))</f>
        <v/>
      </c>
      <c r="W386" s="19">
        <f>IF($I386="","",IF(ISNUMBER($I386),TEXT($I386,"0"),$I386))</f>
        <v/>
      </c>
    </row>
    <row r="387">
      <c r="B387" s="25" t="n"/>
      <c r="I387" s="25" t="n"/>
      <c r="U387" s="19">
        <f>IF($V387&lt;&gt;'設定'!$C$4,N(U386),IF(OR(NOT(COUNTIF('商品マスタ'!$B$6:$B$1005,$W387)=0),COUNTIFS('①在庫を貼る'!$V$6:$V$10005,$V387,'①在庫を貼る'!$W$6:$W$10005,$W387)&gt;0),N(U386),N(U386)+1))</f>
        <v/>
      </c>
      <c r="V387" s="19">
        <f>IF($B387="","",TEXT($B387,"0000"))</f>
        <v/>
      </c>
      <c r="W387" s="19">
        <f>IF($I387="","",IF(ISNUMBER($I387),TEXT($I387,"0"),$I387))</f>
        <v/>
      </c>
    </row>
    <row r="388">
      <c r="B388" s="25" t="n"/>
      <c r="I388" s="25" t="n"/>
      <c r="U388" s="19">
        <f>IF($V388&lt;&gt;'設定'!$C$4,N(U387),IF(OR(NOT(COUNTIF('商品マスタ'!$B$6:$B$1005,$W388)=0),COUNTIFS('①在庫を貼る'!$V$6:$V$10005,$V388,'①在庫を貼る'!$W$6:$W$10005,$W388)&gt;0),N(U387),N(U387)+1))</f>
        <v/>
      </c>
      <c r="V388" s="19">
        <f>IF($B388="","",TEXT($B388,"0000"))</f>
        <v/>
      </c>
      <c r="W388" s="19">
        <f>IF($I388="","",IF(ISNUMBER($I388),TEXT($I388,"0"),$I388))</f>
        <v/>
      </c>
    </row>
    <row r="389">
      <c r="B389" s="25" t="n"/>
      <c r="I389" s="25" t="n"/>
      <c r="U389" s="19">
        <f>IF($V389&lt;&gt;'設定'!$C$4,N(U388),IF(OR(NOT(COUNTIF('商品マスタ'!$B$6:$B$1005,$W389)=0),COUNTIFS('①在庫を貼る'!$V$6:$V$10005,$V389,'①在庫を貼る'!$W$6:$W$10005,$W389)&gt;0),N(U388),N(U388)+1))</f>
        <v/>
      </c>
      <c r="V389" s="19">
        <f>IF($B389="","",TEXT($B389,"0000"))</f>
        <v/>
      </c>
      <c r="W389" s="19">
        <f>IF($I389="","",IF(ISNUMBER($I389),TEXT($I389,"0"),$I389))</f>
        <v/>
      </c>
    </row>
    <row r="390">
      <c r="B390" s="25" t="n"/>
      <c r="I390" s="25" t="n"/>
      <c r="U390" s="19">
        <f>IF($V390&lt;&gt;'設定'!$C$4,N(U389),IF(OR(NOT(COUNTIF('商品マスタ'!$B$6:$B$1005,$W390)=0),COUNTIFS('①在庫を貼る'!$V$6:$V$10005,$V390,'①在庫を貼る'!$W$6:$W$10005,$W390)&gt;0),N(U389),N(U389)+1))</f>
        <v/>
      </c>
      <c r="V390" s="19">
        <f>IF($B390="","",TEXT($B390,"0000"))</f>
        <v/>
      </c>
      <c r="W390" s="19">
        <f>IF($I390="","",IF(ISNUMBER($I390),TEXT($I390,"0"),$I390))</f>
        <v/>
      </c>
    </row>
    <row r="391">
      <c r="B391" s="25" t="n"/>
      <c r="I391" s="25" t="n"/>
      <c r="U391" s="19">
        <f>IF($V391&lt;&gt;'設定'!$C$4,N(U390),IF(OR(NOT(COUNTIF('商品マスタ'!$B$6:$B$1005,$W391)=0),COUNTIFS('①在庫を貼る'!$V$6:$V$10005,$V391,'①在庫を貼る'!$W$6:$W$10005,$W391)&gt;0),N(U390),N(U390)+1))</f>
        <v/>
      </c>
      <c r="V391" s="19">
        <f>IF($B391="","",TEXT($B391,"0000"))</f>
        <v/>
      </c>
      <c r="W391" s="19">
        <f>IF($I391="","",IF(ISNUMBER($I391),TEXT($I391,"0"),$I391))</f>
        <v/>
      </c>
    </row>
    <row r="392">
      <c r="B392" s="25" t="n"/>
      <c r="I392" s="25" t="n"/>
      <c r="U392" s="19">
        <f>IF($V392&lt;&gt;'設定'!$C$4,N(U391),IF(OR(NOT(COUNTIF('商品マスタ'!$B$6:$B$1005,$W392)=0),COUNTIFS('①在庫を貼る'!$V$6:$V$10005,$V392,'①在庫を貼る'!$W$6:$W$10005,$W392)&gt;0),N(U391),N(U391)+1))</f>
        <v/>
      </c>
      <c r="V392" s="19">
        <f>IF($B392="","",TEXT($B392,"0000"))</f>
        <v/>
      </c>
      <c r="W392" s="19">
        <f>IF($I392="","",IF(ISNUMBER($I392),TEXT($I392,"0"),$I392))</f>
        <v/>
      </c>
    </row>
    <row r="393">
      <c r="B393" s="25" t="n"/>
      <c r="I393" s="25" t="n"/>
      <c r="U393" s="19">
        <f>IF($V393&lt;&gt;'設定'!$C$4,N(U392),IF(OR(NOT(COUNTIF('商品マスタ'!$B$6:$B$1005,$W393)=0),COUNTIFS('①在庫を貼る'!$V$6:$V$10005,$V393,'①在庫を貼る'!$W$6:$W$10005,$W393)&gt;0),N(U392),N(U392)+1))</f>
        <v/>
      </c>
      <c r="V393" s="19">
        <f>IF($B393="","",TEXT($B393,"0000"))</f>
        <v/>
      </c>
      <c r="W393" s="19">
        <f>IF($I393="","",IF(ISNUMBER($I393),TEXT($I393,"0"),$I393))</f>
        <v/>
      </c>
    </row>
    <row r="394">
      <c r="B394" s="25" t="n"/>
      <c r="I394" s="25" t="n"/>
      <c r="U394" s="19">
        <f>IF($V394&lt;&gt;'設定'!$C$4,N(U393),IF(OR(NOT(COUNTIF('商品マスタ'!$B$6:$B$1005,$W394)=0),COUNTIFS('①在庫を貼る'!$V$6:$V$10005,$V394,'①在庫を貼る'!$W$6:$W$10005,$W394)&gt;0),N(U393),N(U393)+1))</f>
        <v/>
      </c>
      <c r="V394" s="19">
        <f>IF($B394="","",TEXT($B394,"0000"))</f>
        <v/>
      </c>
      <c r="W394" s="19">
        <f>IF($I394="","",IF(ISNUMBER($I394),TEXT($I394,"0"),$I394))</f>
        <v/>
      </c>
    </row>
    <row r="395">
      <c r="B395" s="25" t="n"/>
      <c r="I395" s="25" t="n"/>
      <c r="U395" s="19">
        <f>IF($V395&lt;&gt;'設定'!$C$4,N(U394),IF(OR(NOT(COUNTIF('商品マスタ'!$B$6:$B$1005,$W395)=0),COUNTIFS('①在庫を貼る'!$V$6:$V$10005,$V395,'①在庫を貼る'!$W$6:$W$10005,$W395)&gt;0),N(U394),N(U394)+1))</f>
        <v/>
      </c>
      <c r="V395" s="19">
        <f>IF($B395="","",TEXT($B395,"0000"))</f>
        <v/>
      </c>
      <c r="W395" s="19">
        <f>IF($I395="","",IF(ISNUMBER($I395),TEXT($I395,"0"),$I395))</f>
        <v/>
      </c>
    </row>
    <row r="396">
      <c r="B396" s="25" t="n"/>
      <c r="I396" s="25" t="n"/>
      <c r="U396" s="19">
        <f>IF($V396&lt;&gt;'設定'!$C$4,N(U395),IF(OR(NOT(COUNTIF('商品マスタ'!$B$6:$B$1005,$W396)=0),COUNTIFS('①在庫を貼る'!$V$6:$V$10005,$V396,'①在庫を貼る'!$W$6:$W$10005,$W396)&gt;0),N(U395),N(U395)+1))</f>
        <v/>
      </c>
      <c r="V396" s="19">
        <f>IF($B396="","",TEXT($B396,"0000"))</f>
        <v/>
      </c>
      <c r="W396" s="19">
        <f>IF($I396="","",IF(ISNUMBER($I396),TEXT($I396,"0"),$I396))</f>
        <v/>
      </c>
    </row>
    <row r="397">
      <c r="B397" s="25" t="n"/>
      <c r="I397" s="25" t="n"/>
      <c r="U397" s="19">
        <f>IF($V397&lt;&gt;'設定'!$C$4,N(U396),IF(OR(NOT(COUNTIF('商品マスタ'!$B$6:$B$1005,$W397)=0),COUNTIFS('①在庫を貼る'!$V$6:$V$10005,$V397,'①在庫を貼る'!$W$6:$W$10005,$W397)&gt;0),N(U396),N(U396)+1))</f>
        <v/>
      </c>
      <c r="V397" s="19">
        <f>IF($B397="","",TEXT($B397,"0000"))</f>
        <v/>
      </c>
      <c r="W397" s="19">
        <f>IF($I397="","",IF(ISNUMBER($I397),TEXT($I397,"0"),$I397))</f>
        <v/>
      </c>
    </row>
    <row r="398">
      <c r="B398" s="25" t="n"/>
      <c r="I398" s="25" t="n"/>
      <c r="U398" s="19">
        <f>IF($V398&lt;&gt;'設定'!$C$4,N(U397),IF(OR(NOT(COUNTIF('商品マスタ'!$B$6:$B$1005,$W398)=0),COUNTIFS('①在庫を貼る'!$V$6:$V$10005,$V398,'①在庫を貼る'!$W$6:$W$10005,$W398)&gt;0),N(U397),N(U397)+1))</f>
        <v/>
      </c>
      <c r="V398" s="19">
        <f>IF($B398="","",TEXT($B398,"0000"))</f>
        <v/>
      </c>
      <c r="W398" s="19">
        <f>IF($I398="","",IF(ISNUMBER($I398),TEXT($I398,"0"),$I398))</f>
        <v/>
      </c>
    </row>
    <row r="399">
      <c r="B399" s="25" t="n"/>
      <c r="I399" s="25" t="n"/>
      <c r="U399" s="19">
        <f>IF($V399&lt;&gt;'設定'!$C$4,N(U398),IF(OR(NOT(COUNTIF('商品マスタ'!$B$6:$B$1005,$W399)=0),COUNTIFS('①在庫を貼る'!$V$6:$V$10005,$V399,'①在庫を貼る'!$W$6:$W$10005,$W399)&gt;0),N(U398),N(U398)+1))</f>
        <v/>
      </c>
      <c r="V399" s="19">
        <f>IF($B399="","",TEXT($B399,"0000"))</f>
        <v/>
      </c>
      <c r="W399" s="19">
        <f>IF($I399="","",IF(ISNUMBER($I399),TEXT($I399,"0"),$I399))</f>
        <v/>
      </c>
    </row>
    <row r="400">
      <c r="B400" s="25" t="n"/>
      <c r="I400" s="25" t="n"/>
      <c r="U400" s="19">
        <f>IF($V400&lt;&gt;'設定'!$C$4,N(U399),IF(OR(NOT(COUNTIF('商品マスタ'!$B$6:$B$1005,$W400)=0),COUNTIFS('①在庫を貼る'!$V$6:$V$10005,$V400,'①在庫を貼る'!$W$6:$W$10005,$W400)&gt;0),N(U399),N(U399)+1))</f>
        <v/>
      </c>
      <c r="V400" s="19">
        <f>IF($B400="","",TEXT($B400,"0000"))</f>
        <v/>
      </c>
      <c r="W400" s="19">
        <f>IF($I400="","",IF(ISNUMBER($I400),TEXT($I400,"0"),$I400))</f>
        <v/>
      </c>
    </row>
    <row r="401">
      <c r="B401" s="25" t="n"/>
      <c r="I401" s="25" t="n"/>
      <c r="U401" s="19">
        <f>IF($V401&lt;&gt;'設定'!$C$4,N(U400),IF(OR(NOT(COUNTIF('商品マスタ'!$B$6:$B$1005,$W401)=0),COUNTIFS('①在庫を貼る'!$V$6:$V$10005,$V401,'①在庫を貼る'!$W$6:$W$10005,$W401)&gt;0),N(U400),N(U400)+1))</f>
        <v/>
      </c>
      <c r="V401" s="19">
        <f>IF($B401="","",TEXT($B401,"0000"))</f>
        <v/>
      </c>
      <c r="W401" s="19">
        <f>IF($I401="","",IF(ISNUMBER($I401),TEXT($I401,"0"),$I401))</f>
        <v/>
      </c>
    </row>
    <row r="402">
      <c r="B402" s="25" t="n"/>
      <c r="I402" s="25" t="n"/>
      <c r="U402" s="19">
        <f>IF($V402&lt;&gt;'設定'!$C$4,N(U401),IF(OR(NOT(COUNTIF('商品マスタ'!$B$6:$B$1005,$W402)=0),COUNTIFS('①在庫を貼る'!$V$6:$V$10005,$V402,'①在庫を貼る'!$W$6:$W$10005,$W402)&gt;0),N(U401),N(U401)+1))</f>
        <v/>
      </c>
      <c r="V402" s="19">
        <f>IF($B402="","",TEXT($B402,"0000"))</f>
        <v/>
      </c>
      <c r="W402" s="19">
        <f>IF($I402="","",IF(ISNUMBER($I402),TEXT($I402,"0"),$I402))</f>
        <v/>
      </c>
    </row>
    <row r="403">
      <c r="B403" s="25" t="n"/>
      <c r="I403" s="25" t="n"/>
      <c r="U403" s="19">
        <f>IF($V403&lt;&gt;'設定'!$C$4,N(U402),IF(OR(NOT(COUNTIF('商品マスタ'!$B$6:$B$1005,$W403)=0),COUNTIFS('①在庫を貼る'!$V$6:$V$10005,$V403,'①在庫を貼る'!$W$6:$W$10005,$W403)&gt;0),N(U402),N(U402)+1))</f>
        <v/>
      </c>
      <c r="V403" s="19">
        <f>IF($B403="","",TEXT($B403,"0000"))</f>
        <v/>
      </c>
      <c r="W403" s="19">
        <f>IF($I403="","",IF(ISNUMBER($I403),TEXT($I403,"0"),$I403))</f>
        <v/>
      </c>
    </row>
    <row r="404">
      <c r="B404" s="25" t="n"/>
      <c r="I404" s="25" t="n"/>
      <c r="U404" s="19">
        <f>IF($V404&lt;&gt;'設定'!$C$4,N(U403),IF(OR(NOT(COUNTIF('商品マスタ'!$B$6:$B$1005,$W404)=0),COUNTIFS('①在庫を貼る'!$V$6:$V$10005,$V404,'①在庫を貼る'!$W$6:$W$10005,$W404)&gt;0),N(U403),N(U403)+1))</f>
        <v/>
      </c>
      <c r="V404" s="19">
        <f>IF($B404="","",TEXT($B404,"0000"))</f>
        <v/>
      </c>
      <c r="W404" s="19">
        <f>IF($I404="","",IF(ISNUMBER($I404),TEXT($I404,"0"),$I404))</f>
        <v/>
      </c>
    </row>
    <row r="405">
      <c r="B405" s="25" t="n"/>
      <c r="I405" s="25" t="n"/>
      <c r="U405" s="19">
        <f>IF($V405&lt;&gt;'設定'!$C$4,N(U404),IF(OR(NOT(COUNTIF('商品マスタ'!$B$6:$B$1005,$W405)=0),COUNTIFS('①在庫を貼る'!$V$6:$V$10005,$V405,'①在庫を貼る'!$W$6:$W$10005,$W405)&gt;0),N(U404),N(U404)+1))</f>
        <v/>
      </c>
      <c r="V405" s="19">
        <f>IF($B405="","",TEXT($B405,"0000"))</f>
        <v/>
      </c>
      <c r="W405" s="19">
        <f>IF($I405="","",IF(ISNUMBER($I405),TEXT($I405,"0"),$I405))</f>
        <v/>
      </c>
    </row>
    <row r="406">
      <c r="B406" s="25" t="n"/>
      <c r="I406" s="25" t="n"/>
      <c r="U406" s="19">
        <f>IF($V406&lt;&gt;'設定'!$C$4,N(U405),IF(OR(NOT(COUNTIF('商品マスタ'!$B$6:$B$1005,$W406)=0),COUNTIFS('①在庫を貼る'!$V$6:$V$10005,$V406,'①在庫を貼る'!$W$6:$W$10005,$W406)&gt;0),N(U405),N(U405)+1))</f>
        <v/>
      </c>
      <c r="V406" s="19">
        <f>IF($B406="","",TEXT($B406,"0000"))</f>
        <v/>
      </c>
      <c r="W406" s="19">
        <f>IF($I406="","",IF(ISNUMBER($I406),TEXT($I406,"0"),$I406))</f>
        <v/>
      </c>
    </row>
    <row r="407">
      <c r="B407" s="25" t="n"/>
      <c r="I407" s="25" t="n"/>
      <c r="U407" s="19">
        <f>IF($V407&lt;&gt;'設定'!$C$4,N(U406),IF(OR(NOT(COUNTIF('商品マスタ'!$B$6:$B$1005,$W407)=0),COUNTIFS('①在庫を貼る'!$V$6:$V$10005,$V407,'①在庫を貼る'!$W$6:$W$10005,$W407)&gt;0),N(U406),N(U406)+1))</f>
        <v/>
      </c>
      <c r="V407" s="19">
        <f>IF($B407="","",TEXT($B407,"0000"))</f>
        <v/>
      </c>
      <c r="W407" s="19">
        <f>IF($I407="","",IF(ISNUMBER($I407),TEXT($I407,"0"),$I407))</f>
        <v/>
      </c>
    </row>
    <row r="408">
      <c r="B408" s="25" t="n"/>
      <c r="I408" s="25" t="n"/>
      <c r="U408" s="19">
        <f>IF($V408&lt;&gt;'設定'!$C$4,N(U407),IF(OR(NOT(COUNTIF('商品マスタ'!$B$6:$B$1005,$W408)=0),COUNTIFS('①在庫を貼る'!$V$6:$V$10005,$V408,'①在庫を貼る'!$W$6:$W$10005,$W408)&gt;0),N(U407),N(U407)+1))</f>
        <v/>
      </c>
      <c r="V408" s="19">
        <f>IF($B408="","",TEXT($B408,"0000"))</f>
        <v/>
      </c>
      <c r="W408" s="19">
        <f>IF($I408="","",IF(ISNUMBER($I408),TEXT($I408,"0"),$I408))</f>
        <v/>
      </c>
    </row>
    <row r="409">
      <c r="B409" s="25" t="n"/>
      <c r="I409" s="25" t="n"/>
      <c r="U409" s="19">
        <f>IF($V409&lt;&gt;'設定'!$C$4,N(U408),IF(OR(NOT(COUNTIF('商品マスタ'!$B$6:$B$1005,$W409)=0),COUNTIFS('①在庫を貼る'!$V$6:$V$10005,$V409,'①在庫を貼る'!$W$6:$W$10005,$W409)&gt;0),N(U408),N(U408)+1))</f>
        <v/>
      </c>
      <c r="V409" s="19">
        <f>IF($B409="","",TEXT($B409,"0000"))</f>
        <v/>
      </c>
      <c r="W409" s="19">
        <f>IF($I409="","",IF(ISNUMBER($I409),TEXT($I409,"0"),$I409))</f>
        <v/>
      </c>
    </row>
    <row r="410">
      <c r="B410" s="25" t="n"/>
      <c r="I410" s="25" t="n"/>
      <c r="U410" s="19">
        <f>IF($V410&lt;&gt;'設定'!$C$4,N(U409),IF(OR(NOT(COUNTIF('商品マスタ'!$B$6:$B$1005,$W410)=0),COUNTIFS('①在庫を貼る'!$V$6:$V$10005,$V410,'①在庫を貼る'!$W$6:$W$10005,$W410)&gt;0),N(U409),N(U409)+1))</f>
        <v/>
      </c>
      <c r="V410" s="19">
        <f>IF($B410="","",TEXT($B410,"0000"))</f>
        <v/>
      </c>
      <c r="W410" s="19">
        <f>IF($I410="","",IF(ISNUMBER($I410),TEXT($I410,"0"),$I410))</f>
        <v/>
      </c>
    </row>
    <row r="411">
      <c r="B411" s="25" t="n"/>
      <c r="I411" s="25" t="n"/>
      <c r="U411" s="19">
        <f>IF($V411&lt;&gt;'設定'!$C$4,N(U410),IF(OR(NOT(COUNTIF('商品マスタ'!$B$6:$B$1005,$W411)=0),COUNTIFS('①在庫を貼る'!$V$6:$V$10005,$V411,'①在庫を貼る'!$W$6:$W$10005,$W411)&gt;0),N(U410),N(U410)+1))</f>
        <v/>
      </c>
      <c r="V411" s="19">
        <f>IF($B411="","",TEXT($B411,"0000"))</f>
        <v/>
      </c>
      <c r="W411" s="19">
        <f>IF($I411="","",IF(ISNUMBER($I411),TEXT($I411,"0"),$I411))</f>
        <v/>
      </c>
    </row>
    <row r="412">
      <c r="B412" s="25" t="n"/>
      <c r="I412" s="25" t="n"/>
      <c r="U412" s="19">
        <f>IF($V412&lt;&gt;'設定'!$C$4,N(U411),IF(OR(NOT(COUNTIF('商品マスタ'!$B$6:$B$1005,$W412)=0),COUNTIFS('①在庫を貼る'!$V$6:$V$10005,$V412,'①在庫を貼る'!$W$6:$W$10005,$W412)&gt;0),N(U411),N(U411)+1))</f>
        <v/>
      </c>
      <c r="V412" s="19">
        <f>IF($B412="","",TEXT($B412,"0000"))</f>
        <v/>
      </c>
      <c r="W412" s="19">
        <f>IF($I412="","",IF(ISNUMBER($I412),TEXT($I412,"0"),$I412))</f>
        <v/>
      </c>
    </row>
    <row r="413">
      <c r="B413" s="25" t="n"/>
      <c r="I413" s="25" t="n"/>
      <c r="U413" s="19">
        <f>IF($V413&lt;&gt;'設定'!$C$4,N(U412),IF(OR(NOT(COUNTIF('商品マスタ'!$B$6:$B$1005,$W413)=0),COUNTIFS('①在庫を貼る'!$V$6:$V$10005,$V413,'①在庫を貼る'!$W$6:$W$10005,$W413)&gt;0),N(U412),N(U412)+1))</f>
        <v/>
      </c>
      <c r="V413" s="19">
        <f>IF($B413="","",TEXT($B413,"0000"))</f>
        <v/>
      </c>
      <c r="W413" s="19">
        <f>IF($I413="","",IF(ISNUMBER($I413),TEXT($I413,"0"),$I413))</f>
        <v/>
      </c>
    </row>
    <row r="414">
      <c r="B414" s="25" t="n"/>
      <c r="I414" s="25" t="n"/>
      <c r="U414" s="19">
        <f>IF($V414&lt;&gt;'設定'!$C$4,N(U413),IF(OR(NOT(COUNTIF('商品マスタ'!$B$6:$B$1005,$W414)=0),COUNTIFS('①在庫を貼る'!$V$6:$V$10005,$V414,'①在庫を貼る'!$W$6:$W$10005,$W414)&gt;0),N(U413),N(U413)+1))</f>
        <v/>
      </c>
      <c r="V414" s="19">
        <f>IF($B414="","",TEXT($B414,"0000"))</f>
        <v/>
      </c>
      <c r="W414" s="19">
        <f>IF($I414="","",IF(ISNUMBER($I414),TEXT($I414,"0"),$I414))</f>
        <v/>
      </c>
    </row>
    <row r="415">
      <c r="B415" s="25" t="n"/>
      <c r="I415" s="25" t="n"/>
      <c r="U415" s="19">
        <f>IF($V415&lt;&gt;'設定'!$C$4,N(U414),IF(OR(NOT(COUNTIF('商品マスタ'!$B$6:$B$1005,$W415)=0),COUNTIFS('①在庫を貼る'!$V$6:$V$10005,$V415,'①在庫を貼る'!$W$6:$W$10005,$W415)&gt;0),N(U414),N(U414)+1))</f>
        <v/>
      </c>
      <c r="V415" s="19">
        <f>IF($B415="","",TEXT($B415,"0000"))</f>
        <v/>
      </c>
      <c r="W415" s="19">
        <f>IF($I415="","",IF(ISNUMBER($I415),TEXT($I415,"0"),$I415))</f>
        <v/>
      </c>
    </row>
    <row r="416">
      <c r="B416" s="25" t="n"/>
      <c r="I416" s="25" t="n"/>
      <c r="U416" s="19">
        <f>IF($V416&lt;&gt;'設定'!$C$4,N(U415),IF(OR(NOT(COUNTIF('商品マスタ'!$B$6:$B$1005,$W416)=0),COUNTIFS('①在庫を貼る'!$V$6:$V$10005,$V416,'①在庫を貼る'!$W$6:$W$10005,$W416)&gt;0),N(U415),N(U415)+1))</f>
        <v/>
      </c>
      <c r="V416" s="19">
        <f>IF($B416="","",TEXT($B416,"0000"))</f>
        <v/>
      </c>
      <c r="W416" s="19">
        <f>IF($I416="","",IF(ISNUMBER($I416),TEXT($I416,"0"),$I416))</f>
        <v/>
      </c>
    </row>
    <row r="417">
      <c r="B417" s="25" t="n"/>
      <c r="I417" s="25" t="n"/>
      <c r="U417" s="19">
        <f>IF($V417&lt;&gt;'設定'!$C$4,N(U416),IF(OR(NOT(COUNTIF('商品マスタ'!$B$6:$B$1005,$W417)=0),COUNTIFS('①在庫を貼る'!$V$6:$V$10005,$V417,'①在庫を貼る'!$W$6:$W$10005,$W417)&gt;0),N(U416),N(U416)+1))</f>
        <v/>
      </c>
      <c r="V417" s="19">
        <f>IF($B417="","",TEXT($B417,"0000"))</f>
        <v/>
      </c>
      <c r="W417" s="19">
        <f>IF($I417="","",IF(ISNUMBER($I417),TEXT($I417,"0"),$I417))</f>
        <v/>
      </c>
    </row>
    <row r="418">
      <c r="B418" s="25" t="n"/>
      <c r="I418" s="25" t="n"/>
      <c r="U418" s="19">
        <f>IF($V418&lt;&gt;'設定'!$C$4,N(U417),IF(OR(NOT(COUNTIF('商品マスタ'!$B$6:$B$1005,$W418)=0),COUNTIFS('①在庫を貼る'!$V$6:$V$10005,$V418,'①在庫を貼る'!$W$6:$W$10005,$W418)&gt;0),N(U417),N(U417)+1))</f>
        <v/>
      </c>
      <c r="V418" s="19">
        <f>IF($B418="","",TEXT($B418,"0000"))</f>
        <v/>
      </c>
      <c r="W418" s="19">
        <f>IF($I418="","",IF(ISNUMBER($I418),TEXT($I418,"0"),$I418))</f>
        <v/>
      </c>
    </row>
    <row r="419">
      <c r="B419" s="25" t="n"/>
      <c r="I419" s="25" t="n"/>
      <c r="U419" s="19">
        <f>IF($V419&lt;&gt;'設定'!$C$4,N(U418),IF(OR(NOT(COUNTIF('商品マスタ'!$B$6:$B$1005,$W419)=0),COUNTIFS('①在庫を貼る'!$V$6:$V$10005,$V419,'①在庫を貼る'!$W$6:$W$10005,$W419)&gt;0),N(U418),N(U418)+1))</f>
        <v/>
      </c>
      <c r="V419" s="19">
        <f>IF($B419="","",TEXT($B419,"0000"))</f>
        <v/>
      </c>
      <c r="W419" s="19">
        <f>IF($I419="","",IF(ISNUMBER($I419),TEXT($I419,"0"),$I419))</f>
        <v/>
      </c>
    </row>
    <row r="420">
      <c r="B420" s="25" t="n"/>
      <c r="I420" s="25" t="n"/>
      <c r="U420" s="19">
        <f>IF($V420&lt;&gt;'設定'!$C$4,N(U419),IF(OR(NOT(COUNTIF('商品マスタ'!$B$6:$B$1005,$W420)=0),COUNTIFS('①在庫を貼る'!$V$6:$V$10005,$V420,'①在庫を貼る'!$W$6:$W$10005,$W420)&gt;0),N(U419),N(U419)+1))</f>
        <v/>
      </c>
      <c r="V420" s="19">
        <f>IF($B420="","",TEXT($B420,"0000"))</f>
        <v/>
      </c>
      <c r="W420" s="19">
        <f>IF($I420="","",IF(ISNUMBER($I420),TEXT($I420,"0"),$I420))</f>
        <v/>
      </c>
    </row>
    <row r="421">
      <c r="B421" s="25" t="n"/>
      <c r="I421" s="25" t="n"/>
      <c r="U421" s="19">
        <f>IF($V421&lt;&gt;'設定'!$C$4,N(U420),IF(OR(NOT(COUNTIF('商品マスタ'!$B$6:$B$1005,$W421)=0),COUNTIFS('①在庫を貼る'!$V$6:$V$10005,$V421,'①在庫を貼る'!$W$6:$W$10005,$W421)&gt;0),N(U420),N(U420)+1))</f>
        <v/>
      </c>
      <c r="V421" s="19">
        <f>IF($B421="","",TEXT($B421,"0000"))</f>
        <v/>
      </c>
      <c r="W421" s="19">
        <f>IF($I421="","",IF(ISNUMBER($I421),TEXT($I421,"0"),$I421))</f>
        <v/>
      </c>
    </row>
    <row r="422">
      <c r="B422" s="25" t="n"/>
      <c r="I422" s="25" t="n"/>
      <c r="U422" s="19">
        <f>IF($V422&lt;&gt;'設定'!$C$4,N(U421),IF(OR(NOT(COUNTIF('商品マスタ'!$B$6:$B$1005,$W422)=0),COUNTIFS('①在庫を貼る'!$V$6:$V$10005,$V422,'①在庫を貼る'!$W$6:$W$10005,$W422)&gt;0),N(U421),N(U421)+1))</f>
        <v/>
      </c>
      <c r="V422" s="19">
        <f>IF($B422="","",TEXT($B422,"0000"))</f>
        <v/>
      </c>
      <c r="W422" s="19">
        <f>IF($I422="","",IF(ISNUMBER($I422),TEXT($I422,"0"),$I422))</f>
        <v/>
      </c>
    </row>
    <row r="423">
      <c r="B423" s="25" t="n"/>
      <c r="I423" s="25" t="n"/>
      <c r="U423" s="19">
        <f>IF($V423&lt;&gt;'設定'!$C$4,N(U422),IF(OR(NOT(COUNTIF('商品マスタ'!$B$6:$B$1005,$W423)=0),COUNTIFS('①在庫を貼る'!$V$6:$V$10005,$V423,'①在庫を貼る'!$W$6:$W$10005,$W423)&gt;0),N(U422),N(U422)+1))</f>
        <v/>
      </c>
      <c r="V423" s="19">
        <f>IF($B423="","",TEXT($B423,"0000"))</f>
        <v/>
      </c>
      <c r="W423" s="19">
        <f>IF($I423="","",IF(ISNUMBER($I423),TEXT($I423,"0"),$I423))</f>
        <v/>
      </c>
    </row>
    <row r="424">
      <c r="B424" s="25" t="n"/>
      <c r="I424" s="25" t="n"/>
      <c r="U424" s="19">
        <f>IF($V424&lt;&gt;'設定'!$C$4,N(U423),IF(OR(NOT(COUNTIF('商品マスタ'!$B$6:$B$1005,$W424)=0),COUNTIFS('①在庫を貼る'!$V$6:$V$10005,$V424,'①在庫を貼る'!$W$6:$W$10005,$W424)&gt;0),N(U423),N(U423)+1))</f>
        <v/>
      </c>
      <c r="V424" s="19">
        <f>IF($B424="","",TEXT($B424,"0000"))</f>
        <v/>
      </c>
      <c r="W424" s="19">
        <f>IF($I424="","",IF(ISNUMBER($I424),TEXT($I424,"0"),$I424))</f>
        <v/>
      </c>
    </row>
    <row r="425">
      <c r="B425" s="25" t="n"/>
      <c r="I425" s="25" t="n"/>
      <c r="U425" s="19">
        <f>IF($V425&lt;&gt;'設定'!$C$4,N(U424),IF(OR(NOT(COUNTIF('商品マスタ'!$B$6:$B$1005,$W425)=0),COUNTIFS('①在庫を貼る'!$V$6:$V$10005,$V425,'①在庫を貼る'!$W$6:$W$10005,$W425)&gt;0),N(U424),N(U424)+1))</f>
        <v/>
      </c>
      <c r="V425" s="19">
        <f>IF($B425="","",TEXT($B425,"0000"))</f>
        <v/>
      </c>
      <c r="W425" s="19">
        <f>IF($I425="","",IF(ISNUMBER($I425),TEXT($I425,"0"),$I425))</f>
        <v/>
      </c>
    </row>
    <row r="426">
      <c r="B426" s="25" t="n"/>
      <c r="I426" s="25" t="n"/>
      <c r="U426" s="19">
        <f>IF($V426&lt;&gt;'設定'!$C$4,N(U425),IF(OR(NOT(COUNTIF('商品マスタ'!$B$6:$B$1005,$W426)=0),COUNTIFS('①在庫を貼る'!$V$6:$V$10005,$V426,'①在庫を貼る'!$W$6:$W$10005,$W426)&gt;0),N(U425),N(U425)+1))</f>
        <v/>
      </c>
      <c r="V426" s="19">
        <f>IF($B426="","",TEXT($B426,"0000"))</f>
        <v/>
      </c>
      <c r="W426" s="19">
        <f>IF($I426="","",IF(ISNUMBER($I426),TEXT($I426,"0"),$I426))</f>
        <v/>
      </c>
    </row>
    <row r="427">
      <c r="B427" s="25" t="n"/>
      <c r="I427" s="25" t="n"/>
      <c r="U427" s="19">
        <f>IF($V427&lt;&gt;'設定'!$C$4,N(U426),IF(OR(NOT(COUNTIF('商品マスタ'!$B$6:$B$1005,$W427)=0),COUNTIFS('①在庫を貼る'!$V$6:$V$10005,$V427,'①在庫を貼る'!$W$6:$W$10005,$W427)&gt;0),N(U426),N(U426)+1))</f>
        <v/>
      </c>
      <c r="V427" s="19">
        <f>IF($B427="","",TEXT($B427,"0000"))</f>
        <v/>
      </c>
      <c r="W427" s="19">
        <f>IF($I427="","",IF(ISNUMBER($I427),TEXT($I427,"0"),$I427))</f>
        <v/>
      </c>
    </row>
    <row r="428">
      <c r="B428" s="25" t="n"/>
      <c r="I428" s="25" t="n"/>
      <c r="U428" s="19">
        <f>IF($V428&lt;&gt;'設定'!$C$4,N(U427),IF(OR(NOT(COUNTIF('商品マスタ'!$B$6:$B$1005,$W428)=0),COUNTIFS('①在庫を貼る'!$V$6:$V$10005,$V428,'①在庫を貼る'!$W$6:$W$10005,$W428)&gt;0),N(U427),N(U427)+1))</f>
        <v/>
      </c>
      <c r="V428" s="19">
        <f>IF($B428="","",TEXT($B428,"0000"))</f>
        <v/>
      </c>
      <c r="W428" s="19">
        <f>IF($I428="","",IF(ISNUMBER($I428),TEXT($I428,"0"),$I428))</f>
        <v/>
      </c>
    </row>
    <row r="429">
      <c r="B429" s="25" t="n"/>
      <c r="I429" s="25" t="n"/>
      <c r="U429" s="19">
        <f>IF($V429&lt;&gt;'設定'!$C$4,N(U428),IF(OR(NOT(COUNTIF('商品マスタ'!$B$6:$B$1005,$W429)=0),COUNTIFS('①在庫を貼る'!$V$6:$V$10005,$V429,'①在庫を貼る'!$W$6:$W$10005,$W429)&gt;0),N(U428),N(U428)+1))</f>
        <v/>
      </c>
      <c r="V429" s="19">
        <f>IF($B429="","",TEXT($B429,"0000"))</f>
        <v/>
      </c>
      <c r="W429" s="19">
        <f>IF($I429="","",IF(ISNUMBER($I429),TEXT($I429,"0"),$I429))</f>
        <v/>
      </c>
    </row>
    <row r="430">
      <c r="B430" s="25" t="n"/>
      <c r="I430" s="25" t="n"/>
      <c r="U430" s="19">
        <f>IF($V430&lt;&gt;'設定'!$C$4,N(U429),IF(OR(NOT(COUNTIF('商品マスタ'!$B$6:$B$1005,$W430)=0),COUNTIFS('①在庫を貼る'!$V$6:$V$10005,$V430,'①在庫を貼る'!$W$6:$W$10005,$W430)&gt;0),N(U429),N(U429)+1))</f>
        <v/>
      </c>
      <c r="V430" s="19">
        <f>IF($B430="","",TEXT($B430,"0000"))</f>
        <v/>
      </c>
      <c r="W430" s="19">
        <f>IF($I430="","",IF(ISNUMBER($I430),TEXT($I430,"0"),$I430))</f>
        <v/>
      </c>
    </row>
    <row r="431">
      <c r="B431" s="25" t="n"/>
      <c r="I431" s="25" t="n"/>
      <c r="U431" s="19">
        <f>IF($V431&lt;&gt;'設定'!$C$4,N(U430),IF(OR(NOT(COUNTIF('商品マスタ'!$B$6:$B$1005,$W431)=0),COUNTIFS('①在庫を貼る'!$V$6:$V$10005,$V431,'①在庫を貼る'!$W$6:$W$10005,$W431)&gt;0),N(U430),N(U430)+1))</f>
        <v/>
      </c>
      <c r="V431" s="19">
        <f>IF($B431="","",TEXT($B431,"0000"))</f>
        <v/>
      </c>
      <c r="W431" s="19">
        <f>IF($I431="","",IF(ISNUMBER($I431),TEXT($I431,"0"),$I431))</f>
        <v/>
      </c>
    </row>
    <row r="432">
      <c r="B432" s="25" t="n"/>
      <c r="I432" s="25" t="n"/>
      <c r="U432" s="19">
        <f>IF($V432&lt;&gt;'設定'!$C$4,N(U431),IF(OR(NOT(COUNTIF('商品マスタ'!$B$6:$B$1005,$W432)=0),COUNTIFS('①在庫を貼る'!$V$6:$V$10005,$V432,'①在庫を貼る'!$W$6:$W$10005,$W432)&gt;0),N(U431),N(U431)+1))</f>
        <v/>
      </c>
      <c r="V432" s="19">
        <f>IF($B432="","",TEXT($B432,"0000"))</f>
        <v/>
      </c>
      <c r="W432" s="19">
        <f>IF($I432="","",IF(ISNUMBER($I432),TEXT($I432,"0"),$I432))</f>
        <v/>
      </c>
    </row>
    <row r="433">
      <c r="B433" s="25" t="n"/>
      <c r="I433" s="25" t="n"/>
      <c r="U433" s="19">
        <f>IF($V433&lt;&gt;'設定'!$C$4,N(U432),IF(OR(NOT(COUNTIF('商品マスタ'!$B$6:$B$1005,$W433)=0),COUNTIFS('①在庫を貼る'!$V$6:$V$10005,$V433,'①在庫を貼る'!$W$6:$W$10005,$W433)&gt;0),N(U432),N(U432)+1))</f>
        <v/>
      </c>
      <c r="V433" s="19">
        <f>IF($B433="","",TEXT($B433,"0000"))</f>
        <v/>
      </c>
      <c r="W433" s="19">
        <f>IF($I433="","",IF(ISNUMBER($I433),TEXT($I433,"0"),$I433))</f>
        <v/>
      </c>
    </row>
    <row r="434">
      <c r="B434" s="25" t="n"/>
      <c r="I434" s="25" t="n"/>
      <c r="U434" s="19">
        <f>IF($V434&lt;&gt;'設定'!$C$4,N(U433),IF(OR(NOT(COUNTIF('商品マスタ'!$B$6:$B$1005,$W434)=0),COUNTIFS('①在庫を貼る'!$V$6:$V$10005,$V434,'①在庫を貼る'!$W$6:$W$10005,$W434)&gt;0),N(U433),N(U433)+1))</f>
        <v/>
      </c>
      <c r="V434" s="19">
        <f>IF($B434="","",TEXT($B434,"0000"))</f>
        <v/>
      </c>
      <c r="W434" s="19">
        <f>IF($I434="","",IF(ISNUMBER($I434),TEXT($I434,"0"),$I434))</f>
        <v/>
      </c>
    </row>
    <row r="435">
      <c r="B435" s="25" t="n"/>
      <c r="I435" s="25" t="n"/>
      <c r="U435" s="19">
        <f>IF($V435&lt;&gt;'設定'!$C$4,N(U434),IF(OR(NOT(COUNTIF('商品マスタ'!$B$6:$B$1005,$W435)=0),COUNTIFS('①在庫を貼る'!$V$6:$V$10005,$V435,'①在庫を貼る'!$W$6:$W$10005,$W435)&gt;0),N(U434),N(U434)+1))</f>
        <v/>
      </c>
      <c r="V435" s="19">
        <f>IF($B435="","",TEXT($B435,"0000"))</f>
        <v/>
      </c>
      <c r="W435" s="19">
        <f>IF($I435="","",IF(ISNUMBER($I435),TEXT($I435,"0"),$I435))</f>
        <v/>
      </c>
    </row>
    <row r="436">
      <c r="B436" s="25" t="n"/>
      <c r="I436" s="25" t="n"/>
      <c r="U436" s="19">
        <f>IF($V436&lt;&gt;'設定'!$C$4,N(U435),IF(OR(NOT(COUNTIF('商品マスタ'!$B$6:$B$1005,$W436)=0),COUNTIFS('①在庫を貼る'!$V$6:$V$10005,$V436,'①在庫を貼る'!$W$6:$W$10005,$W436)&gt;0),N(U435),N(U435)+1))</f>
        <v/>
      </c>
      <c r="V436" s="19">
        <f>IF($B436="","",TEXT($B436,"0000"))</f>
        <v/>
      </c>
      <c r="W436" s="19">
        <f>IF($I436="","",IF(ISNUMBER($I436),TEXT($I436,"0"),$I436))</f>
        <v/>
      </c>
    </row>
    <row r="437">
      <c r="B437" s="25" t="n"/>
      <c r="I437" s="25" t="n"/>
      <c r="U437" s="19">
        <f>IF($V437&lt;&gt;'設定'!$C$4,N(U436),IF(OR(NOT(COUNTIF('商品マスタ'!$B$6:$B$1005,$W437)=0),COUNTIFS('①在庫を貼る'!$V$6:$V$10005,$V437,'①在庫を貼る'!$W$6:$W$10005,$W437)&gt;0),N(U436),N(U436)+1))</f>
        <v/>
      </c>
      <c r="V437" s="19">
        <f>IF($B437="","",TEXT($B437,"0000"))</f>
        <v/>
      </c>
      <c r="W437" s="19">
        <f>IF($I437="","",IF(ISNUMBER($I437),TEXT($I437,"0"),$I437))</f>
        <v/>
      </c>
    </row>
    <row r="438">
      <c r="B438" s="25" t="n"/>
      <c r="I438" s="25" t="n"/>
      <c r="U438" s="19">
        <f>IF($V438&lt;&gt;'設定'!$C$4,N(U437),IF(OR(NOT(COUNTIF('商品マスタ'!$B$6:$B$1005,$W438)=0),COUNTIFS('①在庫を貼る'!$V$6:$V$10005,$V438,'①在庫を貼る'!$W$6:$W$10005,$W438)&gt;0),N(U437),N(U437)+1))</f>
        <v/>
      </c>
      <c r="V438" s="19">
        <f>IF($B438="","",TEXT($B438,"0000"))</f>
        <v/>
      </c>
      <c r="W438" s="19">
        <f>IF($I438="","",IF(ISNUMBER($I438),TEXT($I438,"0"),$I438))</f>
        <v/>
      </c>
    </row>
    <row r="439">
      <c r="B439" s="25" t="n"/>
      <c r="I439" s="25" t="n"/>
      <c r="U439" s="19">
        <f>IF($V439&lt;&gt;'設定'!$C$4,N(U438),IF(OR(NOT(COUNTIF('商品マスタ'!$B$6:$B$1005,$W439)=0),COUNTIFS('①在庫を貼る'!$V$6:$V$10005,$V439,'①在庫を貼る'!$W$6:$W$10005,$W439)&gt;0),N(U438),N(U438)+1))</f>
        <v/>
      </c>
      <c r="V439" s="19">
        <f>IF($B439="","",TEXT($B439,"0000"))</f>
        <v/>
      </c>
      <c r="W439" s="19">
        <f>IF($I439="","",IF(ISNUMBER($I439),TEXT($I439,"0"),$I439))</f>
        <v/>
      </c>
    </row>
    <row r="440">
      <c r="B440" s="25" t="n"/>
      <c r="I440" s="25" t="n"/>
      <c r="U440" s="19">
        <f>IF($V440&lt;&gt;'設定'!$C$4,N(U439),IF(OR(NOT(COUNTIF('商品マスタ'!$B$6:$B$1005,$W440)=0),COUNTIFS('①在庫を貼る'!$V$6:$V$10005,$V440,'①在庫を貼る'!$W$6:$W$10005,$W440)&gt;0),N(U439),N(U439)+1))</f>
        <v/>
      </c>
      <c r="V440" s="19">
        <f>IF($B440="","",TEXT($B440,"0000"))</f>
        <v/>
      </c>
      <c r="W440" s="19">
        <f>IF($I440="","",IF(ISNUMBER($I440),TEXT($I440,"0"),$I440))</f>
        <v/>
      </c>
    </row>
    <row r="441">
      <c r="B441" s="25" t="n"/>
      <c r="I441" s="25" t="n"/>
      <c r="U441" s="19">
        <f>IF($V441&lt;&gt;'設定'!$C$4,N(U440),IF(OR(NOT(COUNTIF('商品マスタ'!$B$6:$B$1005,$W441)=0),COUNTIFS('①在庫を貼る'!$V$6:$V$10005,$V441,'①在庫を貼る'!$W$6:$W$10005,$W441)&gt;0),N(U440),N(U440)+1))</f>
        <v/>
      </c>
      <c r="V441" s="19">
        <f>IF($B441="","",TEXT($B441,"0000"))</f>
        <v/>
      </c>
      <c r="W441" s="19">
        <f>IF($I441="","",IF(ISNUMBER($I441),TEXT($I441,"0"),$I441))</f>
        <v/>
      </c>
    </row>
    <row r="442">
      <c r="B442" s="25" t="n"/>
      <c r="I442" s="25" t="n"/>
      <c r="U442" s="19">
        <f>IF($V442&lt;&gt;'設定'!$C$4,N(U441),IF(OR(NOT(COUNTIF('商品マスタ'!$B$6:$B$1005,$W442)=0),COUNTIFS('①在庫を貼る'!$V$6:$V$10005,$V442,'①在庫を貼る'!$W$6:$W$10005,$W442)&gt;0),N(U441),N(U441)+1))</f>
        <v/>
      </c>
      <c r="V442" s="19">
        <f>IF($B442="","",TEXT($B442,"0000"))</f>
        <v/>
      </c>
      <c r="W442" s="19">
        <f>IF($I442="","",IF(ISNUMBER($I442),TEXT($I442,"0"),$I442))</f>
        <v/>
      </c>
    </row>
    <row r="443">
      <c r="B443" s="25" t="n"/>
      <c r="I443" s="25" t="n"/>
      <c r="U443" s="19">
        <f>IF($V443&lt;&gt;'設定'!$C$4,N(U442),IF(OR(NOT(COUNTIF('商品マスタ'!$B$6:$B$1005,$W443)=0),COUNTIFS('①在庫を貼る'!$V$6:$V$10005,$V443,'①在庫を貼る'!$W$6:$W$10005,$W443)&gt;0),N(U442),N(U442)+1))</f>
        <v/>
      </c>
      <c r="V443" s="19">
        <f>IF($B443="","",TEXT($B443,"0000"))</f>
        <v/>
      </c>
      <c r="W443" s="19">
        <f>IF($I443="","",IF(ISNUMBER($I443),TEXT($I443,"0"),$I443))</f>
        <v/>
      </c>
    </row>
    <row r="444">
      <c r="B444" s="25" t="n"/>
      <c r="I444" s="25" t="n"/>
      <c r="U444" s="19">
        <f>IF($V444&lt;&gt;'設定'!$C$4,N(U443),IF(OR(NOT(COUNTIF('商品マスタ'!$B$6:$B$1005,$W444)=0),COUNTIFS('①在庫を貼る'!$V$6:$V$10005,$V444,'①在庫を貼る'!$W$6:$W$10005,$W444)&gt;0),N(U443),N(U443)+1))</f>
        <v/>
      </c>
      <c r="V444" s="19">
        <f>IF($B444="","",TEXT($B444,"0000"))</f>
        <v/>
      </c>
      <c r="W444" s="19">
        <f>IF($I444="","",IF(ISNUMBER($I444),TEXT($I444,"0"),$I444))</f>
        <v/>
      </c>
    </row>
    <row r="445">
      <c r="B445" s="25" t="n"/>
      <c r="I445" s="25" t="n"/>
      <c r="U445" s="19">
        <f>IF($V445&lt;&gt;'設定'!$C$4,N(U444),IF(OR(NOT(COUNTIF('商品マスタ'!$B$6:$B$1005,$W445)=0),COUNTIFS('①在庫を貼る'!$V$6:$V$10005,$V445,'①在庫を貼る'!$W$6:$W$10005,$W445)&gt;0),N(U444),N(U444)+1))</f>
        <v/>
      </c>
      <c r="V445" s="19">
        <f>IF($B445="","",TEXT($B445,"0000"))</f>
        <v/>
      </c>
      <c r="W445" s="19">
        <f>IF($I445="","",IF(ISNUMBER($I445),TEXT($I445,"0"),$I445))</f>
        <v/>
      </c>
    </row>
    <row r="446">
      <c r="B446" s="25" t="n"/>
      <c r="I446" s="25" t="n"/>
      <c r="U446" s="19">
        <f>IF($V446&lt;&gt;'設定'!$C$4,N(U445),IF(OR(NOT(COUNTIF('商品マスタ'!$B$6:$B$1005,$W446)=0),COUNTIFS('①在庫を貼る'!$V$6:$V$10005,$V446,'①在庫を貼る'!$W$6:$W$10005,$W446)&gt;0),N(U445),N(U445)+1))</f>
        <v/>
      </c>
      <c r="V446" s="19">
        <f>IF($B446="","",TEXT($B446,"0000"))</f>
        <v/>
      </c>
      <c r="W446" s="19">
        <f>IF($I446="","",IF(ISNUMBER($I446),TEXT($I446,"0"),$I446))</f>
        <v/>
      </c>
    </row>
    <row r="447">
      <c r="B447" s="25" t="n"/>
      <c r="I447" s="25" t="n"/>
      <c r="U447" s="19">
        <f>IF($V447&lt;&gt;'設定'!$C$4,N(U446),IF(OR(NOT(COUNTIF('商品マスタ'!$B$6:$B$1005,$W447)=0),COUNTIFS('①在庫を貼る'!$V$6:$V$10005,$V447,'①在庫を貼る'!$W$6:$W$10005,$W447)&gt;0),N(U446),N(U446)+1))</f>
        <v/>
      </c>
      <c r="V447" s="19">
        <f>IF($B447="","",TEXT($B447,"0000"))</f>
        <v/>
      </c>
      <c r="W447" s="19">
        <f>IF($I447="","",IF(ISNUMBER($I447),TEXT($I447,"0"),$I447))</f>
        <v/>
      </c>
    </row>
    <row r="448">
      <c r="B448" s="25" t="n"/>
      <c r="I448" s="25" t="n"/>
      <c r="U448" s="19">
        <f>IF($V448&lt;&gt;'設定'!$C$4,N(U447),IF(OR(NOT(COUNTIF('商品マスタ'!$B$6:$B$1005,$W448)=0),COUNTIFS('①在庫を貼る'!$V$6:$V$10005,$V448,'①在庫を貼る'!$W$6:$W$10005,$W448)&gt;0),N(U447),N(U447)+1))</f>
        <v/>
      </c>
      <c r="V448" s="19">
        <f>IF($B448="","",TEXT($B448,"0000"))</f>
        <v/>
      </c>
      <c r="W448" s="19">
        <f>IF($I448="","",IF(ISNUMBER($I448),TEXT($I448,"0"),$I448))</f>
        <v/>
      </c>
    </row>
    <row r="449">
      <c r="B449" s="25" t="n"/>
      <c r="I449" s="25" t="n"/>
      <c r="U449" s="19">
        <f>IF($V449&lt;&gt;'設定'!$C$4,N(U448),IF(OR(NOT(COUNTIF('商品マスタ'!$B$6:$B$1005,$W449)=0),COUNTIFS('①在庫を貼る'!$V$6:$V$10005,$V449,'①在庫を貼る'!$W$6:$W$10005,$W449)&gt;0),N(U448),N(U448)+1))</f>
        <v/>
      </c>
      <c r="V449" s="19">
        <f>IF($B449="","",TEXT($B449,"0000"))</f>
        <v/>
      </c>
      <c r="W449" s="19">
        <f>IF($I449="","",IF(ISNUMBER($I449),TEXT($I449,"0"),$I449))</f>
        <v/>
      </c>
    </row>
    <row r="450">
      <c r="B450" s="25" t="n"/>
      <c r="I450" s="25" t="n"/>
      <c r="U450" s="19">
        <f>IF($V450&lt;&gt;'設定'!$C$4,N(U449),IF(OR(NOT(COUNTIF('商品マスタ'!$B$6:$B$1005,$W450)=0),COUNTIFS('①在庫を貼る'!$V$6:$V$10005,$V450,'①在庫を貼る'!$W$6:$W$10005,$W450)&gt;0),N(U449),N(U449)+1))</f>
        <v/>
      </c>
      <c r="V450" s="19">
        <f>IF($B450="","",TEXT($B450,"0000"))</f>
        <v/>
      </c>
      <c r="W450" s="19">
        <f>IF($I450="","",IF(ISNUMBER($I450),TEXT($I450,"0"),$I450))</f>
        <v/>
      </c>
    </row>
    <row r="451">
      <c r="B451" s="25" t="n"/>
      <c r="I451" s="25" t="n"/>
      <c r="U451" s="19">
        <f>IF($V451&lt;&gt;'設定'!$C$4,N(U450),IF(OR(NOT(COUNTIF('商品マスタ'!$B$6:$B$1005,$W451)=0),COUNTIFS('①在庫を貼る'!$V$6:$V$10005,$V451,'①在庫を貼る'!$W$6:$W$10005,$W451)&gt;0),N(U450),N(U450)+1))</f>
        <v/>
      </c>
      <c r="V451" s="19">
        <f>IF($B451="","",TEXT($B451,"0000"))</f>
        <v/>
      </c>
      <c r="W451" s="19">
        <f>IF($I451="","",IF(ISNUMBER($I451),TEXT($I451,"0"),$I451))</f>
        <v/>
      </c>
    </row>
    <row r="452">
      <c r="B452" s="25" t="n"/>
      <c r="I452" s="25" t="n"/>
      <c r="U452" s="19">
        <f>IF($V452&lt;&gt;'設定'!$C$4,N(U451),IF(OR(NOT(COUNTIF('商品マスタ'!$B$6:$B$1005,$W452)=0),COUNTIFS('①在庫を貼る'!$V$6:$V$10005,$V452,'①在庫を貼る'!$W$6:$W$10005,$W452)&gt;0),N(U451),N(U451)+1))</f>
        <v/>
      </c>
      <c r="V452" s="19">
        <f>IF($B452="","",TEXT($B452,"0000"))</f>
        <v/>
      </c>
      <c r="W452" s="19">
        <f>IF($I452="","",IF(ISNUMBER($I452),TEXT($I452,"0"),$I452))</f>
        <v/>
      </c>
    </row>
    <row r="453">
      <c r="B453" s="25" t="n"/>
      <c r="I453" s="25" t="n"/>
      <c r="U453" s="19">
        <f>IF($V453&lt;&gt;'設定'!$C$4,N(U452),IF(OR(NOT(COUNTIF('商品マスタ'!$B$6:$B$1005,$W453)=0),COUNTIFS('①在庫を貼る'!$V$6:$V$10005,$V453,'①在庫を貼る'!$W$6:$W$10005,$W453)&gt;0),N(U452),N(U452)+1))</f>
        <v/>
      </c>
      <c r="V453" s="19">
        <f>IF($B453="","",TEXT($B453,"0000"))</f>
        <v/>
      </c>
      <c r="W453" s="19">
        <f>IF($I453="","",IF(ISNUMBER($I453),TEXT($I453,"0"),$I453))</f>
        <v/>
      </c>
    </row>
    <row r="454">
      <c r="B454" s="25" t="n"/>
      <c r="I454" s="25" t="n"/>
      <c r="U454" s="19">
        <f>IF($V454&lt;&gt;'設定'!$C$4,N(U453),IF(OR(NOT(COUNTIF('商品マスタ'!$B$6:$B$1005,$W454)=0),COUNTIFS('①在庫を貼る'!$V$6:$V$10005,$V454,'①在庫を貼る'!$W$6:$W$10005,$W454)&gt;0),N(U453),N(U453)+1))</f>
        <v/>
      </c>
      <c r="V454" s="19">
        <f>IF($B454="","",TEXT($B454,"0000"))</f>
        <v/>
      </c>
      <c r="W454" s="19">
        <f>IF($I454="","",IF(ISNUMBER($I454),TEXT($I454,"0"),$I454))</f>
        <v/>
      </c>
    </row>
    <row r="455">
      <c r="B455" s="25" t="n"/>
      <c r="I455" s="25" t="n"/>
      <c r="U455" s="19">
        <f>IF($V455&lt;&gt;'設定'!$C$4,N(U454),IF(OR(NOT(COUNTIF('商品マスタ'!$B$6:$B$1005,$W455)=0),COUNTIFS('①在庫を貼る'!$V$6:$V$10005,$V455,'①在庫を貼る'!$W$6:$W$10005,$W455)&gt;0),N(U454),N(U454)+1))</f>
        <v/>
      </c>
      <c r="V455" s="19">
        <f>IF($B455="","",TEXT($B455,"0000"))</f>
        <v/>
      </c>
      <c r="W455" s="19">
        <f>IF($I455="","",IF(ISNUMBER($I455),TEXT($I455,"0"),$I455))</f>
        <v/>
      </c>
    </row>
    <row r="456">
      <c r="B456" s="25" t="n"/>
      <c r="I456" s="25" t="n"/>
      <c r="U456" s="19">
        <f>IF($V456&lt;&gt;'設定'!$C$4,N(U455),IF(OR(NOT(COUNTIF('商品マスタ'!$B$6:$B$1005,$W456)=0),COUNTIFS('①在庫を貼る'!$V$6:$V$10005,$V456,'①在庫を貼る'!$W$6:$W$10005,$W456)&gt;0),N(U455),N(U455)+1))</f>
        <v/>
      </c>
      <c r="V456" s="19">
        <f>IF($B456="","",TEXT($B456,"0000"))</f>
        <v/>
      </c>
      <c r="W456" s="19">
        <f>IF($I456="","",IF(ISNUMBER($I456),TEXT($I456,"0"),$I456))</f>
        <v/>
      </c>
    </row>
    <row r="457">
      <c r="B457" s="25" t="n"/>
      <c r="I457" s="25" t="n"/>
      <c r="U457" s="19">
        <f>IF($V457&lt;&gt;'設定'!$C$4,N(U456),IF(OR(NOT(COUNTIF('商品マスタ'!$B$6:$B$1005,$W457)=0),COUNTIFS('①在庫を貼る'!$V$6:$V$10005,$V457,'①在庫を貼る'!$W$6:$W$10005,$W457)&gt;0),N(U456),N(U456)+1))</f>
        <v/>
      </c>
      <c r="V457" s="19">
        <f>IF($B457="","",TEXT($B457,"0000"))</f>
        <v/>
      </c>
      <c r="W457" s="19">
        <f>IF($I457="","",IF(ISNUMBER($I457),TEXT($I457,"0"),$I457))</f>
        <v/>
      </c>
    </row>
    <row r="458">
      <c r="B458" s="25" t="n"/>
      <c r="I458" s="25" t="n"/>
      <c r="U458" s="19">
        <f>IF($V458&lt;&gt;'設定'!$C$4,N(U457),IF(OR(NOT(COUNTIF('商品マスタ'!$B$6:$B$1005,$W458)=0),COUNTIFS('①在庫を貼る'!$V$6:$V$10005,$V458,'①在庫を貼る'!$W$6:$W$10005,$W458)&gt;0),N(U457),N(U457)+1))</f>
        <v/>
      </c>
      <c r="V458" s="19">
        <f>IF($B458="","",TEXT($B458,"0000"))</f>
        <v/>
      </c>
      <c r="W458" s="19">
        <f>IF($I458="","",IF(ISNUMBER($I458),TEXT($I458,"0"),$I458))</f>
        <v/>
      </c>
    </row>
    <row r="459">
      <c r="B459" s="25" t="n"/>
      <c r="I459" s="25" t="n"/>
      <c r="U459" s="19">
        <f>IF($V459&lt;&gt;'設定'!$C$4,N(U458),IF(OR(NOT(COUNTIF('商品マスタ'!$B$6:$B$1005,$W459)=0),COUNTIFS('①在庫を貼る'!$V$6:$V$10005,$V459,'①在庫を貼る'!$W$6:$W$10005,$W459)&gt;0),N(U458),N(U458)+1))</f>
        <v/>
      </c>
      <c r="V459" s="19">
        <f>IF($B459="","",TEXT($B459,"0000"))</f>
        <v/>
      </c>
      <c r="W459" s="19">
        <f>IF($I459="","",IF(ISNUMBER($I459),TEXT($I459,"0"),$I459))</f>
        <v/>
      </c>
    </row>
    <row r="460">
      <c r="B460" s="25" t="n"/>
      <c r="I460" s="25" t="n"/>
      <c r="U460" s="19">
        <f>IF($V460&lt;&gt;'設定'!$C$4,N(U459),IF(OR(NOT(COUNTIF('商品マスタ'!$B$6:$B$1005,$W460)=0),COUNTIFS('①在庫を貼る'!$V$6:$V$10005,$V460,'①在庫を貼る'!$W$6:$W$10005,$W460)&gt;0),N(U459),N(U459)+1))</f>
        <v/>
      </c>
      <c r="V460" s="19">
        <f>IF($B460="","",TEXT($B460,"0000"))</f>
        <v/>
      </c>
      <c r="W460" s="19">
        <f>IF($I460="","",IF(ISNUMBER($I460),TEXT($I460,"0"),$I460))</f>
        <v/>
      </c>
    </row>
    <row r="461">
      <c r="B461" s="25" t="n"/>
      <c r="I461" s="25" t="n"/>
      <c r="U461" s="19">
        <f>IF($V461&lt;&gt;'設定'!$C$4,N(U460),IF(OR(NOT(COUNTIF('商品マスタ'!$B$6:$B$1005,$W461)=0),COUNTIFS('①在庫を貼る'!$V$6:$V$10005,$V461,'①在庫を貼る'!$W$6:$W$10005,$W461)&gt;0),N(U460),N(U460)+1))</f>
        <v/>
      </c>
      <c r="V461" s="19">
        <f>IF($B461="","",TEXT($B461,"0000"))</f>
        <v/>
      </c>
      <c r="W461" s="19">
        <f>IF($I461="","",IF(ISNUMBER($I461),TEXT($I461,"0"),$I461))</f>
        <v/>
      </c>
    </row>
    <row r="462">
      <c r="B462" s="25" t="n"/>
      <c r="I462" s="25" t="n"/>
      <c r="U462" s="19">
        <f>IF($V462&lt;&gt;'設定'!$C$4,N(U461),IF(OR(NOT(COUNTIF('商品マスタ'!$B$6:$B$1005,$W462)=0),COUNTIFS('①在庫を貼る'!$V$6:$V$10005,$V462,'①在庫を貼る'!$W$6:$W$10005,$W462)&gt;0),N(U461),N(U461)+1))</f>
        <v/>
      </c>
      <c r="V462" s="19">
        <f>IF($B462="","",TEXT($B462,"0000"))</f>
        <v/>
      </c>
      <c r="W462" s="19">
        <f>IF($I462="","",IF(ISNUMBER($I462),TEXT($I462,"0"),$I462))</f>
        <v/>
      </c>
    </row>
    <row r="463">
      <c r="B463" s="25" t="n"/>
      <c r="I463" s="25" t="n"/>
      <c r="U463" s="19">
        <f>IF($V463&lt;&gt;'設定'!$C$4,N(U462),IF(OR(NOT(COUNTIF('商品マスタ'!$B$6:$B$1005,$W463)=0),COUNTIFS('①在庫を貼る'!$V$6:$V$10005,$V463,'①在庫を貼る'!$W$6:$W$10005,$W463)&gt;0),N(U462),N(U462)+1))</f>
        <v/>
      </c>
      <c r="V463" s="19">
        <f>IF($B463="","",TEXT($B463,"0000"))</f>
        <v/>
      </c>
      <c r="W463" s="19">
        <f>IF($I463="","",IF(ISNUMBER($I463),TEXT($I463,"0"),$I463))</f>
        <v/>
      </c>
    </row>
    <row r="464">
      <c r="B464" s="25" t="n"/>
      <c r="I464" s="25" t="n"/>
      <c r="U464" s="19">
        <f>IF($V464&lt;&gt;'設定'!$C$4,N(U463),IF(OR(NOT(COUNTIF('商品マスタ'!$B$6:$B$1005,$W464)=0),COUNTIFS('①在庫を貼る'!$V$6:$V$10005,$V464,'①在庫を貼る'!$W$6:$W$10005,$W464)&gt;0),N(U463),N(U463)+1))</f>
        <v/>
      </c>
      <c r="V464" s="19">
        <f>IF($B464="","",TEXT($B464,"0000"))</f>
        <v/>
      </c>
      <c r="W464" s="19">
        <f>IF($I464="","",IF(ISNUMBER($I464),TEXT($I464,"0"),$I464))</f>
        <v/>
      </c>
    </row>
    <row r="465">
      <c r="B465" s="25" t="n"/>
      <c r="I465" s="25" t="n"/>
      <c r="U465" s="19">
        <f>IF($V465&lt;&gt;'設定'!$C$4,N(U464),IF(OR(NOT(COUNTIF('商品マスタ'!$B$6:$B$1005,$W465)=0),COUNTIFS('①在庫を貼る'!$V$6:$V$10005,$V465,'①在庫を貼る'!$W$6:$W$10005,$W465)&gt;0),N(U464),N(U464)+1))</f>
        <v/>
      </c>
      <c r="V465" s="19">
        <f>IF($B465="","",TEXT($B465,"0000"))</f>
        <v/>
      </c>
      <c r="W465" s="19">
        <f>IF($I465="","",IF(ISNUMBER($I465),TEXT($I465,"0"),$I465))</f>
        <v/>
      </c>
    </row>
    <row r="466">
      <c r="B466" s="25" t="n"/>
      <c r="I466" s="25" t="n"/>
      <c r="U466" s="19">
        <f>IF($V466&lt;&gt;'設定'!$C$4,N(U465),IF(OR(NOT(COUNTIF('商品マスタ'!$B$6:$B$1005,$W466)=0),COUNTIFS('①在庫を貼る'!$V$6:$V$10005,$V466,'①在庫を貼る'!$W$6:$W$10005,$W466)&gt;0),N(U465),N(U465)+1))</f>
        <v/>
      </c>
      <c r="V466" s="19">
        <f>IF($B466="","",TEXT($B466,"0000"))</f>
        <v/>
      </c>
      <c r="W466" s="19">
        <f>IF($I466="","",IF(ISNUMBER($I466),TEXT($I466,"0"),$I466))</f>
        <v/>
      </c>
    </row>
    <row r="467">
      <c r="B467" s="25" t="n"/>
      <c r="I467" s="25" t="n"/>
      <c r="U467" s="19">
        <f>IF($V467&lt;&gt;'設定'!$C$4,N(U466),IF(OR(NOT(COUNTIF('商品マスタ'!$B$6:$B$1005,$W467)=0),COUNTIFS('①在庫を貼る'!$V$6:$V$10005,$V467,'①在庫を貼る'!$W$6:$W$10005,$W467)&gt;0),N(U466),N(U466)+1))</f>
        <v/>
      </c>
      <c r="V467" s="19">
        <f>IF($B467="","",TEXT($B467,"0000"))</f>
        <v/>
      </c>
      <c r="W467" s="19">
        <f>IF($I467="","",IF(ISNUMBER($I467),TEXT($I467,"0"),$I467))</f>
        <v/>
      </c>
    </row>
    <row r="468">
      <c r="B468" s="25" t="n"/>
      <c r="I468" s="25" t="n"/>
      <c r="U468" s="19">
        <f>IF($V468&lt;&gt;'設定'!$C$4,N(U467),IF(OR(NOT(COUNTIF('商品マスタ'!$B$6:$B$1005,$W468)=0),COUNTIFS('①在庫を貼る'!$V$6:$V$10005,$V468,'①在庫を貼る'!$W$6:$W$10005,$W468)&gt;0),N(U467),N(U467)+1))</f>
        <v/>
      </c>
      <c r="V468" s="19">
        <f>IF($B468="","",TEXT($B468,"0000"))</f>
        <v/>
      </c>
      <c r="W468" s="19">
        <f>IF($I468="","",IF(ISNUMBER($I468),TEXT($I468,"0"),$I468))</f>
        <v/>
      </c>
    </row>
    <row r="469">
      <c r="B469" s="25" t="n"/>
      <c r="I469" s="25" t="n"/>
      <c r="U469" s="19">
        <f>IF($V469&lt;&gt;'設定'!$C$4,N(U468),IF(OR(NOT(COUNTIF('商品マスタ'!$B$6:$B$1005,$W469)=0),COUNTIFS('①在庫を貼る'!$V$6:$V$10005,$V469,'①在庫を貼る'!$W$6:$W$10005,$W469)&gt;0),N(U468),N(U468)+1))</f>
        <v/>
      </c>
      <c r="V469" s="19">
        <f>IF($B469="","",TEXT($B469,"0000"))</f>
        <v/>
      </c>
      <c r="W469" s="19">
        <f>IF($I469="","",IF(ISNUMBER($I469),TEXT($I469,"0"),$I469))</f>
        <v/>
      </c>
    </row>
    <row r="470">
      <c r="B470" s="25" t="n"/>
      <c r="I470" s="25" t="n"/>
      <c r="U470" s="19">
        <f>IF($V470&lt;&gt;'設定'!$C$4,N(U469),IF(OR(NOT(COUNTIF('商品マスタ'!$B$6:$B$1005,$W470)=0),COUNTIFS('①在庫を貼る'!$V$6:$V$10005,$V470,'①在庫を貼る'!$W$6:$W$10005,$W470)&gt;0),N(U469),N(U469)+1))</f>
        <v/>
      </c>
      <c r="V470" s="19">
        <f>IF($B470="","",TEXT($B470,"0000"))</f>
        <v/>
      </c>
      <c r="W470" s="19">
        <f>IF($I470="","",IF(ISNUMBER($I470),TEXT($I470,"0"),$I470))</f>
        <v/>
      </c>
    </row>
    <row r="471">
      <c r="B471" s="25" t="n"/>
      <c r="I471" s="25" t="n"/>
      <c r="U471" s="19">
        <f>IF($V471&lt;&gt;'設定'!$C$4,N(U470),IF(OR(NOT(COUNTIF('商品マスタ'!$B$6:$B$1005,$W471)=0),COUNTIFS('①在庫を貼る'!$V$6:$V$10005,$V471,'①在庫を貼る'!$W$6:$W$10005,$W471)&gt;0),N(U470),N(U470)+1))</f>
        <v/>
      </c>
      <c r="V471" s="19">
        <f>IF($B471="","",TEXT($B471,"0000"))</f>
        <v/>
      </c>
      <c r="W471" s="19">
        <f>IF($I471="","",IF(ISNUMBER($I471),TEXT($I471,"0"),$I471))</f>
        <v/>
      </c>
    </row>
    <row r="472">
      <c r="B472" s="25" t="n"/>
      <c r="I472" s="25" t="n"/>
      <c r="U472" s="19">
        <f>IF($V472&lt;&gt;'設定'!$C$4,N(U471),IF(OR(NOT(COUNTIF('商品マスタ'!$B$6:$B$1005,$W472)=0),COUNTIFS('①在庫を貼る'!$V$6:$V$10005,$V472,'①在庫を貼る'!$W$6:$W$10005,$W472)&gt;0),N(U471),N(U471)+1))</f>
        <v/>
      </c>
      <c r="V472" s="19">
        <f>IF($B472="","",TEXT($B472,"0000"))</f>
        <v/>
      </c>
      <c r="W472" s="19">
        <f>IF($I472="","",IF(ISNUMBER($I472),TEXT($I472,"0"),$I472))</f>
        <v/>
      </c>
    </row>
    <row r="473">
      <c r="B473" s="25" t="n"/>
      <c r="I473" s="25" t="n"/>
      <c r="U473" s="19">
        <f>IF($V473&lt;&gt;'設定'!$C$4,N(U472),IF(OR(NOT(COUNTIF('商品マスタ'!$B$6:$B$1005,$W473)=0),COUNTIFS('①在庫を貼る'!$V$6:$V$10005,$V473,'①在庫を貼る'!$W$6:$W$10005,$W473)&gt;0),N(U472),N(U472)+1))</f>
        <v/>
      </c>
      <c r="V473" s="19">
        <f>IF($B473="","",TEXT($B473,"0000"))</f>
        <v/>
      </c>
      <c r="W473" s="19">
        <f>IF($I473="","",IF(ISNUMBER($I473),TEXT($I473,"0"),$I473))</f>
        <v/>
      </c>
    </row>
    <row r="474">
      <c r="B474" s="25" t="n"/>
      <c r="I474" s="25" t="n"/>
      <c r="U474" s="19">
        <f>IF($V474&lt;&gt;'設定'!$C$4,N(U473),IF(OR(NOT(COUNTIF('商品マスタ'!$B$6:$B$1005,$W474)=0),COUNTIFS('①在庫を貼る'!$V$6:$V$10005,$V474,'①在庫を貼る'!$W$6:$W$10005,$W474)&gt;0),N(U473),N(U473)+1))</f>
        <v/>
      </c>
      <c r="V474" s="19">
        <f>IF($B474="","",TEXT($B474,"0000"))</f>
        <v/>
      </c>
      <c r="W474" s="19">
        <f>IF($I474="","",IF(ISNUMBER($I474),TEXT($I474,"0"),$I474))</f>
        <v/>
      </c>
    </row>
    <row r="475">
      <c r="B475" s="25" t="n"/>
      <c r="I475" s="25" t="n"/>
      <c r="U475" s="19">
        <f>IF($V475&lt;&gt;'設定'!$C$4,N(U474),IF(OR(NOT(COUNTIF('商品マスタ'!$B$6:$B$1005,$W475)=0),COUNTIFS('①在庫を貼る'!$V$6:$V$10005,$V475,'①在庫を貼る'!$W$6:$W$10005,$W475)&gt;0),N(U474),N(U474)+1))</f>
        <v/>
      </c>
      <c r="V475" s="19">
        <f>IF($B475="","",TEXT($B475,"0000"))</f>
        <v/>
      </c>
      <c r="W475" s="19">
        <f>IF($I475="","",IF(ISNUMBER($I475),TEXT($I475,"0"),$I475))</f>
        <v/>
      </c>
    </row>
    <row r="476">
      <c r="B476" s="25" t="n"/>
      <c r="I476" s="25" t="n"/>
      <c r="U476" s="19">
        <f>IF($V476&lt;&gt;'設定'!$C$4,N(U475),IF(OR(NOT(COUNTIF('商品マスタ'!$B$6:$B$1005,$W476)=0),COUNTIFS('①在庫を貼る'!$V$6:$V$10005,$V476,'①在庫を貼る'!$W$6:$W$10005,$W476)&gt;0),N(U475),N(U475)+1))</f>
        <v/>
      </c>
      <c r="V476" s="19">
        <f>IF($B476="","",TEXT($B476,"0000"))</f>
        <v/>
      </c>
      <c r="W476" s="19">
        <f>IF($I476="","",IF(ISNUMBER($I476),TEXT($I476,"0"),$I476))</f>
        <v/>
      </c>
    </row>
    <row r="477">
      <c r="B477" s="25" t="n"/>
      <c r="I477" s="25" t="n"/>
      <c r="U477" s="19">
        <f>IF($V477&lt;&gt;'設定'!$C$4,N(U476),IF(OR(NOT(COUNTIF('商品マスタ'!$B$6:$B$1005,$W477)=0),COUNTIFS('①在庫を貼る'!$V$6:$V$10005,$V477,'①在庫を貼る'!$W$6:$W$10005,$W477)&gt;0),N(U476),N(U476)+1))</f>
        <v/>
      </c>
      <c r="V477" s="19">
        <f>IF($B477="","",TEXT($B477,"0000"))</f>
        <v/>
      </c>
      <c r="W477" s="19">
        <f>IF($I477="","",IF(ISNUMBER($I477),TEXT($I477,"0"),$I477))</f>
        <v/>
      </c>
    </row>
    <row r="478">
      <c r="B478" s="25" t="n"/>
      <c r="I478" s="25" t="n"/>
      <c r="U478" s="19">
        <f>IF($V478&lt;&gt;'設定'!$C$4,N(U477),IF(OR(NOT(COUNTIF('商品マスタ'!$B$6:$B$1005,$W478)=0),COUNTIFS('①在庫を貼る'!$V$6:$V$10005,$V478,'①在庫を貼る'!$W$6:$W$10005,$W478)&gt;0),N(U477),N(U477)+1))</f>
        <v/>
      </c>
      <c r="V478" s="19">
        <f>IF($B478="","",TEXT($B478,"0000"))</f>
        <v/>
      </c>
      <c r="W478" s="19">
        <f>IF($I478="","",IF(ISNUMBER($I478),TEXT($I478,"0"),$I478))</f>
        <v/>
      </c>
    </row>
    <row r="479">
      <c r="B479" s="25" t="n"/>
      <c r="I479" s="25" t="n"/>
      <c r="U479" s="19">
        <f>IF($V479&lt;&gt;'設定'!$C$4,N(U478),IF(OR(NOT(COUNTIF('商品マスタ'!$B$6:$B$1005,$W479)=0),COUNTIFS('①在庫を貼る'!$V$6:$V$10005,$V479,'①在庫を貼る'!$W$6:$W$10005,$W479)&gt;0),N(U478),N(U478)+1))</f>
        <v/>
      </c>
      <c r="V479" s="19">
        <f>IF($B479="","",TEXT($B479,"0000"))</f>
        <v/>
      </c>
      <c r="W479" s="19">
        <f>IF($I479="","",IF(ISNUMBER($I479),TEXT($I479,"0"),$I479))</f>
        <v/>
      </c>
    </row>
    <row r="480">
      <c r="B480" s="25" t="n"/>
      <c r="I480" s="25" t="n"/>
      <c r="U480" s="19">
        <f>IF($V480&lt;&gt;'設定'!$C$4,N(U479),IF(OR(NOT(COUNTIF('商品マスタ'!$B$6:$B$1005,$W480)=0),COUNTIFS('①在庫を貼る'!$V$6:$V$10005,$V480,'①在庫を貼る'!$W$6:$W$10005,$W480)&gt;0),N(U479),N(U479)+1))</f>
        <v/>
      </c>
      <c r="V480" s="19">
        <f>IF($B480="","",TEXT($B480,"0000"))</f>
        <v/>
      </c>
      <c r="W480" s="19">
        <f>IF($I480="","",IF(ISNUMBER($I480),TEXT($I480,"0"),$I480))</f>
        <v/>
      </c>
    </row>
    <row r="481">
      <c r="B481" s="25" t="n"/>
      <c r="I481" s="25" t="n"/>
      <c r="U481" s="19">
        <f>IF($V481&lt;&gt;'設定'!$C$4,N(U480),IF(OR(NOT(COUNTIF('商品マスタ'!$B$6:$B$1005,$W481)=0),COUNTIFS('①在庫を貼る'!$V$6:$V$10005,$V481,'①在庫を貼る'!$W$6:$W$10005,$W481)&gt;0),N(U480),N(U480)+1))</f>
        <v/>
      </c>
      <c r="V481" s="19">
        <f>IF($B481="","",TEXT($B481,"0000"))</f>
        <v/>
      </c>
      <c r="W481" s="19">
        <f>IF($I481="","",IF(ISNUMBER($I481),TEXT($I481,"0"),$I481))</f>
        <v/>
      </c>
    </row>
    <row r="482">
      <c r="B482" s="25" t="n"/>
      <c r="I482" s="25" t="n"/>
      <c r="U482" s="19">
        <f>IF($V482&lt;&gt;'設定'!$C$4,N(U481),IF(OR(NOT(COUNTIF('商品マスタ'!$B$6:$B$1005,$W482)=0),COUNTIFS('①在庫を貼る'!$V$6:$V$10005,$V482,'①在庫を貼る'!$W$6:$W$10005,$W482)&gt;0),N(U481),N(U481)+1))</f>
        <v/>
      </c>
      <c r="V482" s="19">
        <f>IF($B482="","",TEXT($B482,"0000"))</f>
        <v/>
      </c>
      <c r="W482" s="19">
        <f>IF($I482="","",IF(ISNUMBER($I482),TEXT($I482,"0"),$I482))</f>
        <v/>
      </c>
    </row>
    <row r="483">
      <c r="B483" s="25" t="n"/>
      <c r="I483" s="25" t="n"/>
      <c r="U483" s="19">
        <f>IF($V483&lt;&gt;'設定'!$C$4,N(U482),IF(OR(NOT(COUNTIF('商品マスタ'!$B$6:$B$1005,$W483)=0),COUNTIFS('①在庫を貼る'!$V$6:$V$10005,$V483,'①在庫を貼る'!$W$6:$W$10005,$W483)&gt;0),N(U482),N(U482)+1))</f>
        <v/>
      </c>
      <c r="V483" s="19">
        <f>IF($B483="","",TEXT($B483,"0000"))</f>
        <v/>
      </c>
      <c r="W483" s="19">
        <f>IF($I483="","",IF(ISNUMBER($I483),TEXT($I483,"0"),$I483))</f>
        <v/>
      </c>
    </row>
    <row r="484">
      <c r="B484" s="25" t="n"/>
      <c r="I484" s="25" t="n"/>
      <c r="U484" s="19">
        <f>IF($V484&lt;&gt;'設定'!$C$4,N(U483),IF(OR(NOT(COUNTIF('商品マスタ'!$B$6:$B$1005,$W484)=0),COUNTIFS('①在庫を貼る'!$V$6:$V$10005,$V484,'①在庫を貼る'!$W$6:$W$10005,$W484)&gt;0),N(U483),N(U483)+1))</f>
        <v/>
      </c>
      <c r="V484" s="19">
        <f>IF($B484="","",TEXT($B484,"0000"))</f>
        <v/>
      </c>
      <c r="W484" s="19">
        <f>IF($I484="","",IF(ISNUMBER($I484),TEXT($I484,"0"),$I484))</f>
        <v/>
      </c>
    </row>
    <row r="485">
      <c r="B485" s="25" t="n"/>
      <c r="I485" s="25" t="n"/>
      <c r="U485" s="19">
        <f>IF($V485&lt;&gt;'設定'!$C$4,N(U484),IF(OR(NOT(COUNTIF('商品マスタ'!$B$6:$B$1005,$W485)=0),COUNTIFS('①在庫を貼る'!$V$6:$V$10005,$V485,'①在庫を貼る'!$W$6:$W$10005,$W485)&gt;0),N(U484),N(U484)+1))</f>
        <v/>
      </c>
      <c r="V485" s="19">
        <f>IF($B485="","",TEXT($B485,"0000"))</f>
        <v/>
      </c>
      <c r="W485" s="19">
        <f>IF($I485="","",IF(ISNUMBER($I485),TEXT($I485,"0"),$I485))</f>
        <v/>
      </c>
    </row>
    <row r="486">
      <c r="B486" s="25" t="n"/>
      <c r="I486" s="25" t="n"/>
      <c r="U486" s="19">
        <f>IF($V486&lt;&gt;'設定'!$C$4,N(U485),IF(OR(NOT(COUNTIF('商品マスタ'!$B$6:$B$1005,$W486)=0),COUNTIFS('①在庫を貼る'!$V$6:$V$10005,$V486,'①在庫を貼る'!$W$6:$W$10005,$W486)&gt;0),N(U485),N(U485)+1))</f>
        <v/>
      </c>
      <c r="V486" s="19">
        <f>IF($B486="","",TEXT($B486,"0000"))</f>
        <v/>
      </c>
      <c r="W486" s="19">
        <f>IF($I486="","",IF(ISNUMBER($I486),TEXT($I486,"0"),$I486))</f>
        <v/>
      </c>
    </row>
    <row r="487">
      <c r="B487" s="25" t="n"/>
      <c r="I487" s="25" t="n"/>
      <c r="U487" s="19">
        <f>IF($V487&lt;&gt;'設定'!$C$4,N(U486),IF(OR(NOT(COUNTIF('商品マスタ'!$B$6:$B$1005,$W487)=0),COUNTIFS('①在庫を貼る'!$V$6:$V$10005,$V487,'①在庫を貼る'!$W$6:$W$10005,$W487)&gt;0),N(U486),N(U486)+1))</f>
        <v/>
      </c>
      <c r="V487" s="19">
        <f>IF($B487="","",TEXT($B487,"0000"))</f>
        <v/>
      </c>
      <c r="W487" s="19">
        <f>IF($I487="","",IF(ISNUMBER($I487),TEXT($I487,"0"),$I487))</f>
        <v/>
      </c>
    </row>
    <row r="488">
      <c r="B488" s="25" t="n"/>
      <c r="I488" s="25" t="n"/>
      <c r="U488" s="19">
        <f>IF($V488&lt;&gt;'設定'!$C$4,N(U487),IF(OR(NOT(COUNTIF('商品マスタ'!$B$6:$B$1005,$W488)=0),COUNTIFS('①在庫を貼る'!$V$6:$V$10005,$V488,'①在庫を貼る'!$W$6:$W$10005,$W488)&gt;0),N(U487),N(U487)+1))</f>
        <v/>
      </c>
      <c r="V488" s="19">
        <f>IF($B488="","",TEXT($B488,"0000"))</f>
        <v/>
      </c>
      <c r="W488" s="19">
        <f>IF($I488="","",IF(ISNUMBER($I488),TEXT($I488,"0"),$I488))</f>
        <v/>
      </c>
    </row>
    <row r="489">
      <c r="B489" s="25" t="n"/>
      <c r="I489" s="25" t="n"/>
      <c r="U489" s="19">
        <f>IF($V489&lt;&gt;'設定'!$C$4,N(U488),IF(OR(NOT(COUNTIF('商品マスタ'!$B$6:$B$1005,$W489)=0),COUNTIFS('①在庫を貼る'!$V$6:$V$10005,$V489,'①在庫を貼る'!$W$6:$W$10005,$W489)&gt;0),N(U488),N(U488)+1))</f>
        <v/>
      </c>
      <c r="V489" s="19">
        <f>IF($B489="","",TEXT($B489,"0000"))</f>
        <v/>
      </c>
      <c r="W489" s="19">
        <f>IF($I489="","",IF(ISNUMBER($I489),TEXT($I489,"0"),$I489))</f>
        <v/>
      </c>
    </row>
    <row r="490">
      <c r="B490" s="25" t="n"/>
      <c r="I490" s="25" t="n"/>
      <c r="U490" s="19">
        <f>IF($V490&lt;&gt;'設定'!$C$4,N(U489),IF(OR(NOT(COUNTIF('商品マスタ'!$B$6:$B$1005,$W490)=0),COUNTIFS('①在庫を貼る'!$V$6:$V$10005,$V490,'①在庫を貼る'!$W$6:$W$10005,$W490)&gt;0),N(U489),N(U489)+1))</f>
        <v/>
      </c>
      <c r="V490" s="19">
        <f>IF($B490="","",TEXT($B490,"0000"))</f>
        <v/>
      </c>
      <c r="W490" s="19">
        <f>IF($I490="","",IF(ISNUMBER($I490),TEXT($I490,"0"),$I490))</f>
        <v/>
      </c>
    </row>
    <row r="491">
      <c r="B491" s="25" t="n"/>
      <c r="I491" s="25" t="n"/>
      <c r="U491" s="19">
        <f>IF($V491&lt;&gt;'設定'!$C$4,N(U490),IF(OR(NOT(COUNTIF('商品マスタ'!$B$6:$B$1005,$W491)=0),COUNTIFS('①在庫を貼る'!$V$6:$V$10005,$V491,'①在庫を貼る'!$W$6:$W$10005,$W491)&gt;0),N(U490),N(U490)+1))</f>
        <v/>
      </c>
      <c r="V491" s="19">
        <f>IF($B491="","",TEXT($B491,"0000"))</f>
        <v/>
      </c>
      <c r="W491" s="19">
        <f>IF($I491="","",IF(ISNUMBER($I491),TEXT($I491,"0"),$I491))</f>
        <v/>
      </c>
    </row>
    <row r="492">
      <c r="B492" s="25" t="n"/>
      <c r="I492" s="25" t="n"/>
      <c r="U492" s="19">
        <f>IF($V492&lt;&gt;'設定'!$C$4,N(U491),IF(OR(NOT(COUNTIF('商品マスタ'!$B$6:$B$1005,$W492)=0),COUNTIFS('①在庫を貼る'!$V$6:$V$10005,$V492,'①在庫を貼る'!$W$6:$W$10005,$W492)&gt;0),N(U491),N(U491)+1))</f>
        <v/>
      </c>
      <c r="V492" s="19">
        <f>IF($B492="","",TEXT($B492,"0000"))</f>
        <v/>
      </c>
      <c r="W492" s="19">
        <f>IF($I492="","",IF(ISNUMBER($I492),TEXT($I492,"0"),$I492))</f>
        <v/>
      </c>
    </row>
    <row r="493">
      <c r="B493" s="25" t="n"/>
      <c r="I493" s="25" t="n"/>
      <c r="U493" s="19">
        <f>IF($V493&lt;&gt;'設定'!$C$4,N(U492),IF(OR(NOT(COUNTIF('商品マスタ'!$B$6:$B$1005,$W493)=0),COUNTIFS('①在庫を貼る'!$V$6:$V$10005,$V493,'①在庫を貼る'!$W$6:$W$10005,$W493)&gt;0),N(U492),N(U492)+1))</f>
        <v/>
      </c>
      <c r="V493" s="19">
        <f>IF($B493="","",TEXT($B493,"0000"))</f>
        <v/>
      </c>
      <c r="W493" s="19">
        <f>IF($I493="","",IF(ISNUMBER($I493),TEXT($I493,"0"),$I493))</f>
        <v/>
      </c>
    </row>
    <row r="494">
      <c r="B494" s="25" t="n"/>
      <c r="I494" s="25" t="n"/>
      <c r="U494" s="19">
        <f>IF($V494&lt;&gt;'設定'!$C$4,N(U493),IF(OR(NOT(COUNTIF('商品マスタ'!$B$6:$B$1005,$W494)=0),COUNTIFS('①在庫を貼る'!$V$6:$V$10005,$V494,'①在庫を貼る'!$W$6:$W$10005,$W494)&gt;0),N(U493),N(U493)+1))</f>
        <v/>
      </c>
      <c r="V494" s="19">
        <f>IF($B494="","",TEXT($B494,"0000"))</f>
        <v/>
      </c>
      <c r="W494" s="19">
        <f>IF($I494="","",IF(ISNUMBER($I494),TEXT($I494,"0"),$I494))</f>
        <v/>
      </c>
    </row>
    <row r="495">
      <c r="B495" s="25" t="n"/>
      <c r="I495" s="25" t="n"/>
      <c r="U495" s="19">
        <f>IF($V495&lt;&gt;'設定'!$C$4,N(U494),IF(OR(NOT(COUNTIF('商品マスタ'!$B$6:$B$1005,$W495)=0),COUNTIFS('①在庫を貼る'!$V$6:$V$10005,$V495,'①在庫を貼る'!$W$6:$W$10005,$W495)&gt;0),N(U494),N(U494)+1))</f>
        <v/>
      </c>
      <c r="V495" s="19">
        <f>IF($B495="","",TEXT($B495,"0000"))</f>
        <v/>
      </c>
      <c r="W495" s="19">
        <f>IF($I495="","",IF(ISNUMBER($I495),TEXT($I495,"0"),$I495))</f>
        <v/>
      </c>
    </row>
    <row r="496">
      <c r="B496" s="25" t="n"/>
      <c r="I496" s="25" t="n"/>
      <c r="U496" s="19">
        <f>IF($V496&lt;&gt;'設定'!$C$4,N(U495),IF(OR(NOT(COUNTIF('商品マスタ'!$B$6:$B$1005,$W496)=0),COUNTIFS('①在庫を貼る'!$V$6:$V$10005,$V496,'①在庫を貼る'!$W$6:$W$10005,$W496)&gt;0),N(U495),N(U495)+1))</f>
        <v/>
      </c>
      <c r="V496" s="19">
        <f>IF($B496="","",TEXT($B496,"0000"))</f>
        <v/>
      </c>
      <c r="W496" s="19">
        <f>IF($I496="","",IF(ISNUMBER($I496),TEXT($I496,"0"),$I496))</f>
        <v/>
      </c>
    </row>
    <row r="497">
      <c r="B497" s="25" t="n"/>
      <c r="I497" s="25" t="n"/>
      <c r="U497" s="19">
        <f>IF($V497&lt;&gt;'設定'!$C$4,N(U496),IF(OR(NOT(COUNTIF('商品マスタ'!$B$6:$B$1005,$W497)=0),COUNTIFS('①在庫を貼る'!$V$6:$V$10005,$V497,'①在庫を貼る'!$W$6:$W$10005,$W497)&gt;0),N(U496),N(U496)+1))</f>
        <v/>
      </c>
      <c r="V497" s="19">
        <f>IF($B497="","",TEXT($B497,"0000"))</f>
        <v/>
      </c>
      <c r="W497" s="19">
        <f>IF($I497="","",IF(ISNUMBER($I497),TEXT($I497,"0"),$I497))</f>
        <v/>
      </c>
    </row>
    <row r="498">
      <c r="B498" s="25" t="n"/>
      <c r="I498" s="25" t="n"/>
      <c r="U498" s="19">
        <f>IF($V498&lt;&gt;'設定'!$C$4,N(U497),IF(OR(NOT(COUNTIF('商品マスタ'!$B$6:$B$1005,$W498)=0),COUNTIFS('①在庫を貼る'!$V$6:$V$10005,$V498,'①在庫を貼る'!$W$6:$W$10005,$W498)&gt;0),N(U497),N(U497)+1))</f>
        <v/>
      </c>
      <c r="V498" s="19">
        <f>IF($B498="","",TEXT($B498,"0000"))</f>
        <v/>
      </c>
      <c r="W498" s="19">
        <f>IF($I498="","",IF(ISNUMBER($I498),TEXT($I498,"0"),$I498))</f>
        <v/>
      </c>
    </row>
    <row r="499">
      <c r="B499" s="25" t="n"/>
      <c r="I499" s="25" t="n"/>
      <c r="U499" s="19">
        <f>IF($V499&lt;&gt;'設定'!$C$4,N(U498),IF(OR(NOT(COUNTIF('商品マスタ'!$B$6:$B$1005,$W499)=0),COUNTIFS('①在庫を貼る'!$V$6:$V$10005,$V499,'①在庫を貼る'!$W$6:$W$10005,$W499)&gt;0),N(U498),N(U498)+1))</f>
        <v/>
      </c>
      <c r="V499" s="19">
        <f>IF($B499="","",TEXT($B499,"0000"))</f>
        <v/>
      </c>
      <c r="W499" s="19">
        <f>IF($I499="","",IF(ISNUMBER($I499),TEXT($I499,"0"),$I499))</f>
        <v/>
      </c>
    </row>
    <row r="500">
      <c r="B500" s="25" t="n"/>
      <c r="I500" s="25" t="n"/>
      <c r="U500" s="19">
        <f>IF($V500&lt;&gt;'設定'!$C$4,N(U499),IF(OR(NOT(COUNTIF('商品マスタ'!$B$6:$B$1005,$W500)=0),COUNTIFS('①在庫を貼る'!$V$6:$V$10005,$V500,'①在庫を貼る'!$W$6:$W$10005,$W500)&gt;0),N(U499),N(U499)+1))</f>
        <v/>
      </c>
      <c r="V500" s="19">
        <f>IF($B500="","",TEXT($B500,"0000"))</f>
        <v/>
      </c>
      <c r="W500" s="19">
        <f>IF($I500="","",IF(ISNUMBER($I500),TEXT($I500,"0"),$I500))</f>
        <v/>
      </c>
    </row>
    <row r="501">
      <c r="B501" s="25" t="n"/>
      <c r="I501" s="25" t="n"/>
      <c r="U501" s="19">
        <f>IF($V501&lt;&gt;'設定'!$C$4,N(U500),IF(OR(NOT(COUNTIF('商品マスタ'!$B$6:$B$1005,$W501)=0),COUNTIFS('①在庫を貼る'!$V$6:$V$10005,$V501,'①在庫を貼る'!$W$6:$W$10005,$W501)&gt;0),N(U500),N(U500)+1))</f>
        <v/>
      </c>
      <c r="V501" s="19">
        <f>IF($B501="","",TEXT($B501,"0000"))</f>
        <v/>
      </c>
      <c r="W501" s="19">
        <f>IF($I501="","",IF(ISNUMBER($I501),TEXT($I501,"0"),$I501))</f>
        <v/>
      </c>
    </row>
    <row r="502">
      <c r="B502" s="25" t="n"/>
      <c r="I502" s="25" t="n"/>
      <c r="U502" s="19">
        <f>IF($V502&lt;&gt;'設定'!$C$4,N(U501),IF(OR(NOT(COUNTIF('商品マスタ'!$B$6:$B$1005,$W502)=0),COUNTIFS('①在庫を貼る'!$V$6:$V$10005,$V502,'①在庫を貼る'!$W$6:$W$10005,$W502)&gt;0),N(U501),N(U501)+1))</f>
        <v/>
      </c>
      <c r="V502" s="19">
        <f>IF($B502="","",TEXT($B502,"0000"))</f>
        <v/>
      </c>
      <c r="W502" s="19">
        <f>IF($I502="","",IF(ISNUMBER($I502),TEXT($I502,"0"),$I502))</f>
        <v/>
      </c>
    </row>
    <row r="503">
      <c r="B503" s="25" t="n"/>
      <c r="I503" s="25" t="n"/>
      <c r="U503" s="19">
        <f>IF($V503&lt;&gt;'設定'!$C$4,N(U502),IF(OR(NOT(COUNTIF('商品マスタ'!$B$6:$B$1005,$W503)=0),COUNTIFS('①在庫を貼る'!$V$6:$V$10005,$V503,'①在庫を貼る'!$W$6:$W$10005,$W503)&gt;0),N(U502),N(U502)+1))</f>
        <v/>
      </c>
      <c r="V503" s="19">
        <f>IF($B503="","",TEXT($B503,"0000"))</f>
        <v/>
      </c>
      <c r="W503" s="19">
        <f>IF($I503="","",IF(ISNUMBER($I503),TEXT($I503,"0"),$I503))</f>
        <v/>
      </c>
    </row>
    <row r="504">
      <c r="B504" s="25" t="n"/>
      <c r="I504" s="25" t="n"/>
      <c r="U504" s="19">
        <f>IF($V504&lt;&gt;'設定'!$C$4,N(U503),IF(OR(NOT(COUNTIF('商品マスタ'!$B$6:$B$1005,$W504)=0),COUNTIFS('①在庫を貼る'!$V$6:$V$10005,$V504,'①在庫を貼る'!$W$6:$W$10005,$W504)&gt;0),N(U503),N(U503)+1))</f>
        <v/>
      </c>
      <c r="V504" s="19">
        <f>IF($B504="","",TEXT($B504,"0000"))</f>
        <v/>
      </c>
      <c r="W504" s="19">
        <f>IF($I504="","",IF(ISNUMBER($I504),TEXT($I504,"0"),$I504))</f>
        <v/>
      </c>
    </row>
    <row r="505">
      <c r="B505" s="25" t="n"/>
      <c r="I505" s="25" t="n"/>
      <c r="U505" s="19">
        <f>IF($V505&lt;&gt;'設定'!$C$4,N(U504),IF(OR(NOT(COUNTIF('商品マスタ'!$B$6:$B$1005,$W505)=0),COUNTIFS('①在庫を貼る'!$V$6:$V$10005,$V505,'①在庫を貼る'!$W$6:$W$10005,$W505)&gt;0),N(U504),N(U504)+1))</f>
        <v/>
      </c>
      <c r="V505" s="19">
        <f>IF($B505="","",TEXT($B505,"0000"))</f>
        <v/>
      </c>
      <c r="W505" s="19">
        <f>IF($I505="","",IF(ISNUMBER($I505),TEXT($I505,"0"),$I505))</f>
        <v/>
      </c>
    </row>
    <row r="506">
      <c r="B506" s="25" t="n"/>
      <c r="I506" s="25" t="n"/>
      <c r="U506" s="19">
        <f>IF($V506&lt;&gt;'設定'!$C$4,N(U505),IF(OR(NOT(COUNTIF('商品マスタ'!$B$6:$B$1005,$W506)=0),COUNTIFS('①在庫を貼る'!$V$6:$V$10005,$V506,'①在庫を貼る'!$W$6:$W$10005,$W506)&gt;0),N(U505),N(U505)+1))</f>
        <v/>
      </c>
      <c r="V506" s="19">
        <f>IF($B506="","",TEXT($B506,"0000"))</f>
        <v/>
      </c>
      <c r="W506" s="19">
        <f>IF($I506="","",IF(ISNUMBER($I506),TEXT($I506,"0"),$I506))</f>
        <v/>
      </c>
    </row>
    <row r="507">
      <c r="B507" s="25" t="n"/>
      <c r="I507" s="25" t="n"/>
      <c r="U507" s="19">
        <f>IF($V507&lt;&gt;'設定'!$C$4,N(U506),IF(OR(NOT(COUNTIF('商品マスタ'!$B$6:$B$1005,$W507)=0),COUNTIFS('①在庫を貼る'!$V$6:$V$10005,$V507,'①在庫を貼る'!$W$6:$W$10005,$W507)&gt;0),N(U506),N(U506)+1))</f>
        <v/>
      </c>
      <c r="V507" s="19">
        <f>IF($B507="","",TEXT($B507,"0000"))</f>
        <v/>
      </c>
      <c r="W507" s="19">
        <f>IF($I507="","",IF(ISNUMBER($I507),TEXT($I507,"0"),$I507))</f>
        <v/>
      </c>
    </row>
    <row r="508">
      <c r="B508" s="25" t="n"/>
      <c r="I508" s="25" t="n"/>
      <c r="U508" s="19">
        <f>IF($V508&lt;&gt;'設定'!$C$4,N(U507),IF(OR(NOT(COUNTIF('商品マスタ'!$B$6:$B$1005,$W508)=0),COUNTIFS('①在庫を貼る'!$V$6:$V$10005,$V508,'①在庫を貼る'!$W$6:$W$10005,$W508)&gt;0),N(U507),N(U507)+1))</f>
        <v/>
      </c>
      <c r="V508" s="19">
        <f>IF($B508="","",TEXT($B508,"0000"))</f>
        <v/>
      </c>
      <c r="W508" s="19">
        <f>IF($I508="","",IF(ISNUMBER($I508),TEXT($I508,"0"),$I508))</f>
        <v/>
      </c>
    </row>
    <row r="509">
      <c r="B509" s="25" t="n"/>
      <c r="I509" s="25" t="n"/>
      <c r="U509" s="19">
        <f>IF($V509&lt;&gt;'設定'!$C$4,N(U508),IF(OR(NOT(COUNTIF('商品マスタ'!$B$6:$B$1005,$W509)=0),COUNTIFS('①在庫を貼る'!$V$6:$V$10005,$V509,'①在庫を貼る'!$W$6:$W$10005,$W509)&gt;0),N(U508),N(U508)+1))</f>
        <v/>
      </c>
      <c r="V509" s="19">
        <f>IF($B509="","",TEXT($B509,"0000"))</f>
        <v/>
      </c>
      <c r="W509" s="19">
        <f>IF($I509="","",IF(ISNUMBER($I509),TEXT($I509,"0"),$I509))</f>
        <v/>
      </c>
    </row>
    <row r="510">
      <c r="B510" s="25" t="n"/>
      <c r="I510" s="25" t="n"/>
      <c r="U510" s="19">
        <f>IF($V510&lt;&gt;'設定'!$C$4,N(U509),IF(OR(NOT(COUNTIF('商品マスタ'!$B$6:$B$1005,$W510)=0),COUNTIFS('①在庫を貼る'!$V$6:$V$10005,$V510,'①在庫を貼る'!$W$6:$W$10005,$W510)&gt;0),N(U509),N(U509)+1))</f>
        <v/>
      </c>
      <c r="V510" s="19">
        <f>IF($B510="","",TEXT($B510,"0000"))</f>
        <v/>
      </c>
      <c r="W510" s="19">
        <f>IF($I510="","",IF(ISNUMBER($I510),TEXT($I510,"0"),$I510))</f>
        <v/>
      </c>
    </row>
    <row r="511">
      <c r="B511" s="25" t="n"/>
      <c r="I511" s="25" t="n"/>
      <c r="U511" s="19">
        <f>IF($V511&lt;&gt;'設定'!$C$4,N(U510),IF(OR(NOT(COUNTIF('商品マスタ'!$B$6:$B$1005,$W511)=0),COUNTIFS('①在庫を貼る'!$V$6:$V$10005,$V511,'①在庫を貼る'!$W$6:$W$10005,$W511)&gt;0),N(U510),N(U510)+1))</f>
        <v/>
      </c>
      <c r="V511" s="19">
        <f>IF($B511="","",TEXT($B511,"0000"))</f>
        <v/>
      </c>
      <c r="W511" s="19">
        <f>IF($I511="","",IF(ISNUMBER($I511),TEXT($I511,"0"),$I511))</f>
        <v/>
      </c>
    </row>
    <row r="512">
      <c r="B512" s="25" t="n"/>
      <c r="I512" s="25" t="n"/>
      <c r="U512" s="19">
        <f>IF($V512&lt;&gt;'設定'!$C$4,N(U511),IF(OR(NOT(COUNTIF('商品マスタ'!$B$6:$B$1005,$W512)=0),COUNTIFS('①在庫を貼る'!$V$6:$V$10005,$V512,'①在庫を貼る'!$W$6:$W$10005,$W512)&gt;0),N(U511),N(U511)+1))</f>
        <v/>
      </c>
      <c r="V512" s="19">
        <f>IF($B512="","",TEXT($B512,"0000"))</f>
        <v/>
      </c>
      <c r="W512" s="19">
        <f>IF($I512="","",IF(ISNUMBER($I512),TEXT($I512,"0"),$I512))</f>
        <v/>
      </c>
    </row>
    <row r="513">
      <c r="B513" s="25" t="n"/>
      <c r="I513" s="25" t="n"/>
      <c r="U513" s="19">
        <f>IF($V513&lt;&gt;'設定'!$C$4,N(U512),IF(OR(NOT(COUNTIF('商品マスタ'!$B$6:$B$1005,$W513)=0),COUNTIFS('①在庫を貼る'!$V$6:$V$10005,$V513,'①在庫を貼る'!$W$6:$W$10005,$W513)&gt;0),N(U512),N(U512)+1))</f>
        <v/>
      </c>
      <c r="V513" s="19">
        <f>IF($B513="","",TEXT($B513,"0000"))</f>
        <v/>
      </c>
      <c r="W513" s="19">
        <f>IF($I513="","",IF(ISNUMBER($I513),TEXT($I513,"0"),$I513))</f>
        <v/>
      </c>
    </row>
    <row r="514">
      <c r="B514" s="25" t="n"/>
      <c r="I514" s="25" t="n"/>
      <c r="U514" s="19">
        <f>IF($V514&lt;&gt;'設定'!$C$4,N(U513),IF(OR(NOT(COUNTIF('商品マスタ'!$B$6:$B$1005,$W514)=0),COUNTIFS('①在庫を貼る'!$V$6:$V$10005,$V514,'①在庫を貼る'!$W$6:$W$10005,$W514)&gt;0),N(U513),N(U513)+1))</f>
        <v/>
      </c>
      <c r="V514" s="19">
        <f>IF($B514="","",TEXT($B514,"0000"))</f>
        <v/>
      </c>
      <c r="W514" s="19">
        <f>IF($I514="","",IF(ISNUMBER($I514),TEXT($I514,"0"),$I514))</f>
        <v/>
      </c>
    </row>
    <row r="515">
      <c r="B515" s="25" t="n"/>
      <c r="I515" s="25" t="n"/>
      <c r="U515" s="19">
        <f>IF($V515&lt;&gt;'設定'!$C$4,N(U514),IF(OR(NOT(COUNTIF('商品マスタ'!$B$6:$B$1005,$W515)=0),COUNTIFS('①在庫を貼る'!$V$6:$V$10005,$V515,'①在庫を貼る'!$W$6:$W$10005,$W515)&gt;0),N(U514),N(U514)+1))</f>
        <v/>
      </c>
      <c r="V515" s="19">
        <f>IF($B515="","",TEXT($B515,"0000"))</f>
        <v/>
      </c>
      <c r="W515" s="19">
        <f>IF($I515="","",IF(ISNUMBER($I515),TEXT($I515,"0"),$I515))</f>
        <v/>
      </c>
    </row>
    <row r="516">
      <c r="B516" s="25" t="n"/>
      <c r="I516" s="25" t="n"/>
      <c r="U516" s="19">
        <f>IF($V516&lt;&gt;'設定'!$C$4,N(U515),IF(OR(NOT(COUNTIF('商品マスタ'!$B$6:$B$1005,$W516)=0),COUNTIFS('①在庫を貼る'!$V$6:$V$10005,$V516,'①在庫を貼る'!$W$6:$W$10005,$W516)&gt;0),N(U515),N(U515)+1))</f>
        <v/>
      </c>
      <c r="V516" s="19">
        <f>IF($B516="","",TEXT($B516,"0000"))</f>
        <v/>
      </c>
      <c r="W516" s="19">
        <f>IF($I516="","",IF(ISNUMBER($I516),TEXT($I516,"0"),$I516))</f>
        <v/>
      </c>
    </row>
    <row r="517">
      <c r="B517" s="25" t="n"/>
      <c r="I517" s="25" t="n"/>
      <c r="U517" s="19">
        <f>IF($V517&lt;&gt;'設定'!$C$4,N(U516),IF(OR(NOT(COUNTIF('商品マスタ'!$B$6:$B$1005,$W517)=0),COUNTIFS('①在庫を貼る'!$V$6:$V$10005,$V517,'①在庫を貼る'!$W$6:$W$10005,$W517)&gt;0),N(U516),N(U516)+1))</f>
        <v/>
      </c>
      <c r="V517" s="19">
        <f>IF($B517="","",TEXT($B517,"0000"))</f>
        <v/>
      </c>
      <c r="W517" s="19">
        <f>IF($I517="","",IF(ISNUMBER($I517),TEXT($I517,"0"),$I517))</f>
        <v/>
      </c>
    </row>
    <row r="518">
      <c r="B518" s="25" t="n"/>
      <c r="I518" s="25" t="n"/>
      <c r="U518" s="19">
        <f>IF($V518&lt;&gt;'設定'!$C$4,N(U517),IF(OR(NOT(COUNTIF('商品マスタ'!$B$6:$B$1005,$W518)=0),COUNTIFS('①在庫を貼る'!$V$6:$V$10005,$V518,'①在庫を貼る'!$W$6:$W$10005,$W518)&gt;0),N(U517),N(U517)+1))</f>
        <v/>
      </c>
      <c r="V518" s="19">
        <f>IF($B518="","",TEXT($B518,"0000"))</f>
        <v/>
      </c>
      <c r="W518" s="19">
        <f>IF($I518="","",IF(ISNUMBER($I518),TEXT($I518,"0"),$I518))</f>
        <v/>
      </c>
    </row>
    <row r="519">
      <c r="B519" s="25" t="n"/>
      <c r="I519" s="25" t="n"/>
      <c r="U519" s="19">
        <f>IF($V519&lt;&gt;'設定'!$C$4,N(U518),IF(OR(NOT(COUNTIF('商品マスタ'!$B$6:$B$1005,$W519)=0),COUNTIFS('①在庫を貼る'!$V$6:$V$10005,$V519,'①在庫を貼る'!$W$6:$W$10005,$W519)&gt;0),N(U518),N(U518)+1))</f>
        <v/>
      </c>
      <c r="V519" s="19">
        <f>IF($B519="","",TEXT($B519,"0000"))</f>
        <v/>
      </c>
      <c r="W519" s="19">
        <f>IF($I519="","",IF(ISNUMBER($I519),TEXT($I519,"0"),$I519))</f>
        <v/>
      </c>
    </row>
    <row r="520">
      <c r="B520" s="25" t="n"/>
      <c r="I520" s="25" t="n"/>
      <c r="U520" s="19">
        <f>IF($V520&lt;&gt;'設定'!$C$4,N(U519),IF(OR(NOT(COUNTIF('商品マスタ'!$B$6:$B$1005,$W520)=0),COUNTIFS('①在庫を貼る'!$V$6:$V$10005,$V520,'①在庫を貼る'!$W$6:$W$10005,$W520)&gt;0),N(U519),N(U519)+1))</f>
        <v/>
      </c>
      <c r="V520" s="19">
        <f>IF($B520="","",TEXT($B520,"0000"))</f>
        <v/>
      </c>
      <c r="W520" s="19">
        <f>IF($I520="","",IF(ISNUMBER($I520),TEXT($I520,"0"),$I520))</f>
        <v/>
      </c>
    </row>
    <row r="521">
      <c r="B521" s="25" t="n"/>
      <c r="I521" s="25" t="n"/>
      <c r="U521" s="19">
        <f>IF($V521&lt;&gt;'設定'!$C$4,N(U520),IF(OR(NOT(COUNTIF('商品マスタ'!$B$6:$B$1005,$W521)=0),COUNTIFS('①在庫を貼る'!$V$6:$V$10005,$V521,'①在庫を貼る'!$W$6:$W$10005,$W521)&gt;0),N(U520),N(U520)+1))</f>
        <v/>
      </c>
      <c r="V521" s="19">
        <f>IF($B521="","",TEXT($B521,"0000"))</f>
        <v/>
      </c>
      <c r="W521" s="19">
        <f>IF($I521="","",IF(ISNUMBER($I521),TEXT($I521,"0"),$I521))</f>
        <v/>
      </c>
    </row>
    <row r="522">
      <c r="B522" s="25" t="n"/>
      <c r="I522" s="25" t="n"/>
      <c r="U522" s="19">
        <f>IF($V522&lt;&gt;'設定'!$C$4,N(U521),IF(OR(NOT(COUNTIF('商品マスタ'!$B$6:$B$1005,$W522)=0),COUNTIFS('①在庫を貼る'!$V$6:$V$10005,$V522,'①在庫を貼る'!$W$6:$W$10005,$W522)&gt;0),N(U521),N(U521)+1))</f>
        <v/>
      </c>
      <c r="V522" s="19">
        <f>IF($B522="","",TEXT($B522,"0000"))</f>
        <v/>
      </c>
      <c r="W522" s="19">
        <f>IF($I522="","",IF(ISNUMBER($I522),TEXT($I522,"0"),$I522))</f>
        <v/>
      </c>
    </row>
    <row r="523">
      <c r="B523" s="25" t="n"/>
      <c r="I523" s="25" t="n"/>
      <c r="U523" s="19">
        <f>IF($V523&lt;&gt;'設定'!$C$4,N(U522),IF(OR(NOT(COUNTIF('商品マスタ'!$B$6:$B$1005,$W523)=0),COUNTIFS('①在庫を貼る'!$V$6:$V$10005,$V523,'①在庫を貼る'!$W$6:$W$10005,$W523)&gt;0),N(U522),N(U522)+1))</f>
        <v/>
      </c>
      <c r="V523" s="19">
        <f>IF($B523="","",TEXT($B523,"0000"))</f>
        <v/>
      </c>
      <c r="W523" s="19">
        <f>IF($I523="","",IF(ISNUMBER($I523),TEXT($I523,"0"),$I523))</f>
        <v/>
      </c>
    </row>
    <row r="524">
      <c r="B524" s="25" t="n"/>
      <c r="I524" s="25" t="n"/>
      <c r="U524" s="19">
        <f>IF($V524&lt;&gt;'設定'!$C$4,N(U523),IF(OR(NOT(COUNTIF('商品マスタ'!$B$6:$B$1005,$W524)=0),COUNTIFS('①在庫を貼る'!$V$6:$V$10005,$V524,'①在庫を貼る'!$W$6:$W$10005,$W524)&gt;0),N(U523),N(U523)+1))</f>
        <v/>
      </c>
      <c r="V524" s="19">
        <f>IF($B524="","",TEXT($B524,"0000"))</f>
        <v/>
      </c>
      <c r="W524" s="19">
        <f>IF($I524="","",IF(ISNUMBER($I524),TEXT($I524,"0"),$I524))</f>
        <v/>
      </c>
    </row>
    <row r="525">
      <c r="B525" s="25" t="n"/>
      <c r="I525" s="25" t="n"/>
      <c r="U525" s="19">
        <f>IF($V525&lt;&gt;'設定'!$C$4,N(U524),IF(OR(NOT(COUNTIF('商品マスタ'!$B$6:$B$1005,$W525)=0),COUNTIFS('①在庫を貼る'!$V$6:$V$10005,$V525,'①在庫を貼る'!$W$6:$W$10005,$W525)&gt;0),N(U524),N(U524)+1))</f>
        <v/>
      </c>
      <c r="V525" s="19">
        <f>IF($B525="","",TEXT($B525,"0000"))</f>
        <v/>
      </c>
      <c r="W525" s="19">
        <f>IF($I525="","",IF(ISNUMBER($I525),TEXT($I525,"0"),$I525))</f>
        <v/>
      </c>
    </row>
    <row r="526">
      <c r="B526" s="25" t="n"/>
      <c r="I526" s="25" t="n"/>
      <c r="U526" s="19">
        <f>IF($V526&lt;&gt;'設定'!$C$4,N(U525),IF(OR(NOT(COUNTIF('商品マスタ'!$B$6:$B$1005,$W526)=0),COUNTIFS('①在庫を貼る'!$V$6:$V$10005,$V526,'①在庫を貼る'!$W$6:$W$10005,$W526)&gt;0),N(U525),N(U525)+1))</f>
        <v/>
      </c>
      <c r="V526" s="19">
        <f>IF($B526="","",TEXT($B526,"0000"))</f>
        <v/>
      </c>
      <c r="W526" s="19">
        <f>IF($I526="","",IF(ISNUMBER($I526),TEXT($I526,"0"),$I526))</f>
        <v/>
      </c>
    </row>
    <row r="527">
      <c r="B527" s="25" t="n"/>
      <c r="I527" s="25" t="n"/>
      <c r="U527" s="19">
        <f>IF($V527&lt;&gt;'設定'!$C$4,N(U526),IF(OR(NOT(COUNTIF('商品マスタ'!$B$6:$B$1005,$W527)=0),COUNTIFS('①在庫を貼る'!$V$6:$V$10005,$V527,'①在庫を貼る'!$W$6:$W$10005,$W527)&gt;0),N(U526),N(U526)+1))</f>
        <v/>
      </c>
      <c r="V527" s="19">
        <f>IF($B527="","",TEXT($B527,"0000"))</f>
        <v/>
      </c>
      <c r="W527" s="19">
        <f>IF($I527="","",IF(ISNUMBER($I527),TEXT($I527,"0"),$I527))</f>
        <v/>
      </c>
    </row>
    <row r="528">
      <c r="B528" s="25" t="n"/>
      <c r="I528" s="25" t="n"/>
      <c r="U528" s="19">
        <f>IF($V528&lt;&gt;'設定'!$C$4,N(U527),IF(OR(NOT(COUNTIF('商品マスタ'!$B$6:$B$1005,$W528)=0),COUNTIFS('①在庫を貼る'!$V$6:$V$10005,$V528,'①在庫を貼る'!$W$6:$W$10005,$W528)&gt;0),N(U527),N(U527)+1))</f>
        <v/>
      </c>
      <c r="V528" s="19">
        <f>IF($B528="","",TEXT($B528,"0000"))</f>
        <v/>
      </c>
      <c r="W528" s="19">
        <f>IF($I528="","",IF(ISNUMBER($I528),TEXT($I528,"0"),$I528))</f>
        <v/>
      </c>
    </row>
    <row r="529">
      <c r="B529" s="25" t="n"/>
      <c r="I529" s="25" t="n"/>
      <c r="U529" s="19">
        <f>IF($V529&lt;&gt;'設定'!$C$4,N(U528),IF(OR(NOT(COUNTIF('商品マスタ'!$B$6:$B$1005,$W529)=0),COUNTIFS('①在庫を貼る'!$V$6:$V$10005,$V529,'①在庫を貼る'!$W$6:$W$10005,$W529)&gt;0),N(U528),N(U528)+1))</f>
        <v/>
      </c>
      <c r="V529" s="19">
        <f>IF($B529="","",TEXT($B529,"0000"))</f>
        <v/>
      </c>
      <c r="W529" s="19">
        <f>IF($I529="","",IF(ISNUMBER($I529),TEXT($I529,"0"),$I529))</f>
        <v/>
      </c>
    </row>
    <row r="530">
      <c r="B530" s="25" t="n"/>
      <c r="I530" s="25" t="n"/>
      <c r="U530" s="19">
        <f>IF($V530&lt;&gt;'設定'!$C$4,N(U529),IF(OR(NOT(COUNTIF('商品マスタ'!$B$6:$B$1005,$W530)=0),COUNTIFS('①在庫を貼る'!$V$6:$V$10005,$V530,'①在庫を貼る'!$W$6:$W$10005,$W530)&gt;0),N(U529),N(U529)+1))</f>
        <v/>
      </c>
      <c r="V530" s="19">
        <f>IF($B530="","",TEXT($B530,"0000"))</f>
        <v/>
      </c>
      <c r="W530" s="19">
        <f>IF($I530="","",IF(ISNUMBER($I530),TEXT($I530,"0"),$I530))</f>
        <v/>
      </c>
    </row>
    <row r="531">
      <c r="B531" s="25" t="n"/>
      <c r="I531" s="25" t="n"/>
      <c r="U531" s="19">
        <f>IF($V531&lt;&gt;'設定'!$C$4,N(U530),IF(OR(NOT(COUNTIF('商品マスタ'!$B$6:$B$1005,$W531)=0),COUNTIFS('①在庫を貼る'!$V$6:$V$10005,$V531,'①在庫を貼る'!$W$6:$W$10005,$W531)&gt;0),N(U530),N(U530)+1))</f>
        <v/>
      </c>
      <c r="V531" s="19">
        <f>IF($B531="","",TEXT($B531,"0000"))</f>
        <v/>
      </c>
      <c r="W531" s="19">
        <f>IF($I531="","",IF(ISNUMBER($I531),TEXT($I531,"0"),$I531))</f>
        <v/>
      </c>
    </row>
    <row r="532">
      <c r="B532" s="25" t="n"/>
      <c r="I532" s="25" t="n"/>
      <c r="U532" s="19">
        <f>IF($V532&lt;&gt;'設定'!$C$4,N(U531),IF(OR(NOT(COUNTIF('商品マスタ'!$B$6:$B$1005,$W532)=0),COUNTIFS('①在庫を貼る'!$V$6:$V$10005,$V532,'①在庫を貼る'!$W$6:$W$10005,$W532)&gt;0),N(U531),N(U531)+1))</f>
        <v/>
      </c>
      <c r="V532" s="19">
        <f>IF($B532="","",TEXT($B532,"0000"))</f>
        <v/>
      </c>
      <c r="W532" s="19">
        <f>IF($I532="","",IF(ISNUMBER($I532),TEXT($I532,"0"),$I532))</f>
        <v/>
      </c>
    </row>
    <row r="533">
      <c r="B533" s="25" t="n"/>
      <c r="I533" s="25" t="n"/>
      <c r="U533" s="19">
        <f>IF($V533&lt;&gt;'設定'!$C$4,N(U532),IF(OR(NOT(COUNTIF('商品マスタ'!$B$6:$B$1005,$W533)=0),COUNTIFS('①在庫を貼る'!$V$6:$V$10005,$V533,'①在庫を貼る'!$W$6:$W$10005,$W533)&gt;0),N(U532),N(U532)+1))</f>
        <v/>
      </c>
      <c r="V533" s="19">
        <f>IF($B533="","",TEXT($B533,"0000"))</f>
        <v/>
      </c>
      <c r="W533" s="19">
        <f>IF($I533="","",IF(ISNUMBER($I533),TEXT($I533,"0"),$I533))</f>
        <v/>
      </c>
    </row>
    <row r="534">
      <c r="B534" s="25" t="n"/>
      <c r="I534" s="25" t="n"/>
      <c r="U534" s="19">
        <f>IF($V534&lt;&gt;'設定'!$C$4,N(U533),IF(OR(NOT(COUNTIF('商品マスタ'!$B$6:$B$1005,$W534)=0),COUNTIFS('①在庫を貼る'!$V$6:$V$10005,$V534,'①在庫を貼る'!$W$6:$W$10005,$W534)&gt;0),N(U533),N(U533)+1))</f>
        <v/>
      </c>
      <c r="V534" s="19">
        <f>IF($B534="","",TEXT($B534,"0000"))</f>
        <v/>
      </c>
      <c r="W534" s="19">
        <f>IF($I534="","",IF(ISNUMBER($I534),TEXT($I534,"0"),$I534))</f>
        <v/>
      </c>
    </row>
    <row r="535">
      <c r="B535" s="25" t="n"/>
      <c r="I535" s="25" t="n"/>
      <c r="U535" s="19">
        <f>IF($V535&lt;&gt;'設定'!$C$4,N(U534),IF(OR(NOT(COUNTIF('商品マスタ'!$B$6:$B$1005,$W535)=0),COUNTIFS('①在庫を貼る'!$V$6:$V$10005,$V535,'①在庫を貼る'!$W$6:$W$10005,$W535)&gt;0),N(U534),N(U534)+1))</f>
        <v/>
      </c>
      <c r="V535" s="19">
        <f>IF($B535="","",TEXT($B535,"0000"))</f>
        <v/>
      </c>
      <c r="W535" s="19">
        <f>IF($I535="","",IF(ISNUMBER($I535),TEXT($I535,"0"),$I535))</f>
        <v/>
      </c>
    </row>
    <row r="536">
      <c r="B536" s="25" t="n"/>
      <c r="I536" s="25" t="n"/>
      <c r="U536" s="19">
        <f>IF($V536&lt;&gt;'設定'!$C$4,N(U535),IF(OR(NOT(COUNTIF('商品マスタ'!$B$6:$B$1005,$W536)=0),COUNTIFS('①在庫を貼る'!$V$6:$V$10005,$V536,'①在庫を貼る'!$W$6:$W$10005,$W536)&gt;0),N(U535),N(U535)+1))</f>
        <v/>
      </c>
      <c r="V536" s="19">
        <f>IF($B536="","",TEXT($B536,"0000"))</f>
        <v/>
      </c>
      <c r="W536" s="19">
        <f>IF($I536="","",IF(ISNUMBER($I536),TEXT($I536,"0"),$I536))</f>
        <v/>
      </c>
    </row>
    <row r="537">
      <c r="B537" s="25" t="n"/>
      <c r="I537" s="25" t="n"/>
      <c r="U537" s="19">
        <f>IF($V537&lt;&gt;'設定'!$C$4,N(U536),IF(OR(NOT(COUNTIF('商品マスタ'!$B$6:$B$1005,$W537)=0),COUNTIFS('①在庫を貼る'!$V$6:$V$10005,$V537,'①在庫を貼る'!$W$6:$W$10005,$W537)&gt;0),N(U536),N(U536)+1))</f>
        <v/>
      </c>
      <c r="V537" s="19">
        <f>IF($B537="","",TEXT($B537,"0000"))</f>
        <v/>
      </c>
      <c r="W537" s="19">
        <f>IF($I537="","",IF(ISNUMBER($I537),TEXT($I537,"0"),$I537))</f>
        <v/>
      </c>
    </row>
    <row r="538">
      <c r="B538" s="25" t="n"/>
      <c r="I538" s="25" t="n"/>
      <c r="U538" s="19">
        <f>IF($V538&lt;&gt;'設定'!$C$4,N(U537),IF(OR(NOT(COUNTIF('商品マスタ'!$B$6:$B$1005,$W538)=0),COUNTIFS('①在庫を貼る'!$V$6:$V$10005,$V538,'①在庫を貼る'!$W$6:$W$10005,$W538)&gt;0),N(U537),N(U537)+1))</f>
        <v/>
      </c>
      <c r="V538" s="19">
        <f>IF($B538="","",TEXT($B538,"0000"))</f>
        <v/>
      </c>
      <c r="W538" s="19">
        <f>IF($I538="","",IF(ISNUMBER($I538),TEXT($I538,"0"),$I538))</f>
        <v/>
      </c>
    </row>
    <row r="539">
      <c r="B539" s="25" t="n"/>
      <c r="I539" s="25" t="n"/>
      <c r="U539" s="19">
        <f>IF($V539&lt;&gt;'設定'!$C$4,N(U538),IF(OR(NOT(COUNTIF('商品マスタ'!$B$6:$B$1005,$W539)=0),COUNTIFS('①在庫を貼る'!$V$6:$V$10005,$V539,'①在庫を貼る'!$W$6:$W$10005,$W539)&gt;0),N(U538),N(U538)+1))</f>
        <v/>
      </c>
      <c r="V539" s="19">
        <f>IF($B539="","",TEXT($B539,"0000"))</f>
        <v/>
      </c>
      <c r="W539" s="19">
        <f>IF($I539="","",IF(ISNUMBER($I539),TEXT($I539,"0"),$I539))</f>
        <v/>
      </c>
    </row>
    <row r="540">
      <c r="B540" s="25" t="n"/>
      <c r="I540" s="25" t="n"/>
      <c r="U540" s="19">
        <f>IF($V540&lt;&gt;'設定'!$C$4,N(U539),IF(OR(NOT(COUNTIF('商品マスタ'!$B$6:$B$1005,$W540)=0),COUNTIFS('①在庫を貼る'!$V$6:$V$10005,$V540,'①在庫を貼る'!$W$6:$W$10005,$W540)&gt;0),N(U539),N(U539)+1))</f>
        <v/>
      </c>
      <c r="V540" s="19">
        <f>IF($B540="","",TEXT($B540,"0000"))</f>
        <v/>
      </c>
      <c r="W540" s="19">
        <f>IF($I540="","",IF(ISNUMBER($I540),TEXT($I540,"0"),$I540))</f>
        <v/>
      </c>
    </row>
    <row r="541">
      <c r="B541" s="25" t="n"/>
      <c r="I541" s="25" t="n"/>
      <c r="U541" s="19">
        <f>IF($V541&lt;&gt;'設定'!$C$4,N(U540),IF(OR(NOT(COUNTIF('商品マスタ'!$B$6:$B$1005,$W541)=0),COUNTIFS('①在庫を貼る'!$V$6:$V$10005,$V541,'①在庫を貼る'!$W$6:$W$10005,$W541)&gt;0),N(U540),N(U540)+1))</f>
        <v/>
      </c>
      <c r="V541" s="19">
        <f>IF($B541="","",TEXT($B541,"0000"))</f>
        <v/>
      </c>
      <c r="W541" s="19">
        <f>IF($I541="","",IF(ISNUMBER($I541),TEXT($I541,"0"),$I541))</f>
        <v/>
      </c>
    </row>
    <row r="542">
      <c r="B542" s="25" t="n"/>
      <c r="I542" s="25" t="n"/>
      <c r="U542" s="19">
        <f>IF($V542&lt;&gt;'設定'!$C$4,N(U541),IF(OR(NOT(COUNTIF('商品マスタ'!$B$6:$B$1005,$W542)=0),COUNTIFS('①在庫を貼る'!$V$6:$V$10005,$V542,'①在庫を貼る'!$W$6:$W$10005,$W542)&gt;0),N(U541),N(U541)+1))</f>
        <v/>
      </c>
      <c r="V542" s="19">
        <f>IF($B542="","",TEXT($B542,"0000"))</f>
        <v/>
      </c>
      <c r="W542" s="19">
        <f>IF($I542="","",IF(ISNUMBER($I542),TEXT($I542,"0"),$I542))</f>
        <v/>
      </c>
    </row>
    <row r="543">
      <c r="B543" s="25" t="n"/>
      <c r="I543" s="25" t="n"/>
      <c r="U543" s="19">
        <f>IF($V543&lt;&gt;'設定'!$C$4,N(U542),IF(OR(NOT(COUNTIF('商品マスタ'!$B$6:$B$1005,$W543)=0),COUNTIFS('①在庫を貼る'!$V$6:$V$10005,$V543,'①在庫を貼る'!$W$6:$W$10005,$W543)&gt;0),N(U542),N(U542)+1))</f>
        <v/>
      </c>
      <c r="V543" s="19">
        <f>IF($B543="","",TEXT($B543,"0000"))</f>
        <v/>
      </c>
      <c r="W543" s="19">
        <f>IF($I543="","",IF(ISNUMBER($I543),TEXT($I543,"0"),$I543))</f>
        <v/>
      </c>
    </row>
    <row r="544">
      <c r="B544" s="25" t="n"/>
      <c r="I544" s="25" t="n"/>
      <c r="U544" s="19">
        <f>IF($V544&lt;&gt;'設定'!$C$4,N(U543),IF(OR(NOT(COUNTIF('商品マスタ'!$B$6:$B$1005,$W544)=0),COUNTIFS('①在庫を貼る'!$V$6:$V$10005,$V544,'①在庫を貼る'!$W$6:$W$10005,$W544)&gt;0),N(U543),N(U543)+1))</f>
        <v/>
      </c>
      <c r="V544" s="19">
        <f>IF($B544="","",TEXT($B544,"0000"))</f>
        <v/>
      </c>
      <c r="W544" s="19">
        <f>IF($I544="","",IF(ISNUMBER($I544),TEXT($I544,"0"),$I544))</f>
        <v/>
      </c>
    </row>
    <row r="545">
      <c r="B545" s="25" t="n"/>
      <c r="I545" s="25" t="n"/>
      <c r="U545" s="19">
        <f>IF($V545&lt;&gt;'設定'!$C$4,N(U544),IF(OR(NOT(COUNTIF('商品マスタ'!$B$6:$B$1005,$W545)=0),COUNTIFS('①在庫を貼る'!$V$6:$V$10005,$V545,'①在庫を貼る'!$W$6:$W$10005,$W545)&gt;0),N(U544),N(U544)+1))</f>
        <v/>
      </c>
      <c r="V545" s="19">
        <f>IF($B545="","",TEXT($B545,"0000"))</f>
        <v/>
      </c>
      <c r="W545" s="19">
        <f>IF($I545="","",IF(ISNUMBER($I545),TEXT($I545,"0"),$I545))</f>
        <v/>
      </c>
    </row>
    <row r="546">
      <c r="B546" s="25" t="n"/>
      <c r="I546" s="25" t="n"/>
      <c r="U546" s="19">
        <f>IF($V546&lt;&gt;'設定'!$C$4,N(U545),IF(OR(NOT(COUNTIF('商品マスタ'!$B$6:$B$1005,$W546)=0),COUNTIFS('①在庫を貼る'!$V$6:$V$10005,$V546,'①在庫を貼る'!$W$6:$W$10005,$W546)&gt;0),N(U545),N(U545)+1))</f>
        <v/>
      </c>
      <c r="V546" s="19">
        <f>IF($B546="","",TEXT($B546,"0000"))</f>
        <v/>
      </c>
      <c r="W546" s="19">
        <f>IF($I546="","",IF(ISNUMBER($I546),TEXT($I546,"0"),$I546))</f>
        <v/>
      </c>
    </row>
    <row r="547">
      <c r="B547" s="25" t="n"/>
      <c r="I547" s="25" t="n"/>
      <c r="U547" s="19">
        <f>IF($V547&lt;&gt;'設定'!$C$4,N(U546),IF(OR(NOT(COUNTIF('商品マスタ'!$B$6:$B$1005,$W547)=0),COUNTIFS('①在庫を貼る'!$V$6:$V$10005,$V547,'①在庫を貼る'!$W$6:$W$10005,$W547)&gt;0),N(U546),N(U546)+1))</f>
        <v/>
      </c>
      <c r="V547" s="19">
        <f>IF($B547="","",TEXT($B547,"0000"))</f>
        <v/>
      </c>
      <c r="W547" s="19">
        <f>IF($I547="","",IF(ISNUMBER($I547),TEXT($I547,"0"),$I547))</f>
        <v/>
      </c>
    </row>
    <row r="548">
      <c r="B548" s="25" t="n"/>
      <c r="I548" s="25" t="n"/>
      <c r="U548" s="19">
        <f>IF($V548&lt;&gt;'設定'!$C$4,N(U547),IF(OR(NOT(COUNTIF('商品マスタ'!$B$6:$B$1005,$W548)=0),COUNTIFS('①在庫を貼る'!$V$6:$V$10005,$V548,'①在庫を貼る'!$W$6:$W$10005,$W548)&gt;0),N(U547),N(U547)+1))</f>
        <v/>
      </c>
      <c r="V548" s="19">
        <f>IF($B548="","",TEXT($B548,"0000"))</f>
        <v/>
      </c>
      <c r="W548" s="19">
        <f>IF($I548="","",IF(ISNUMBER($I548),TEXT($I548,"0"),$I548))</f>
        <v/>
      </c>
    </row>
    <row r="549">
      <c r="B549" s="25" t="n"/>
      <c r="I549" s="25" t="n"/>
      <c r="U549" s="19">
        <f>IF($V549&lt;&gt;'設定'!$C$4,N(U548),IF(OR(NOT(COUNTIF('商品マスタ'!$B$6:$B$1005,$W549)=0),COUNTIFS('①在庫を貼る'!$V$6:$V$10005,$V549,'①在庫を貼る'!$W$6:$W$10005,$W549)&gt;0),N(U548),N(U548)+1))</f>
        <v/>
      </c>
      <c r="V549" s="19">
        <f>IF($B549="","",TEXT($B549,"0000"))</f>
        <v/>
      </c>
      <c r="W549" s="19">
        <f>IF($I549="","",IF(ISNUMBER($I549),TEXT($I549,"0"),$I549))</f>
        <v/>
      </c>
    </row>
    <row r="550">
      <c r="B550" s="25" t="n"/>
      <c r="I550" s="25" t="n"/>
      <c r="U550" s="19">
        <f>IF($V550&lt;&gt;'設定'!$C$4,N(U549),IF(OR(NOT(COUNTIF('商品マスタ'!$B$6:$B$1005,$W550)=0),COUNTIFS('①在庫を貼る'!$V$6:$V$10005,$V550,'①在庫を貼る'!$W$6:$W$10005,$W550)&gt;0),N(U549),N(U549)+1))</f>
        <v/>
      </c>
      <c r="V550" s="19">
        <f>IF($B550="","",TEXT($B550,"0000"))</f>
        <v/>
      </c>
      <c r="W550" s="19">
        <f>IF($I550="","",IF(ISNUMBER($I550),TEXT($I550,"0"),$I550))</f>
        <v/>
      </c>
    </row>
    <row r="551">
      <c r="B551" s="25" t="n"/>
      <c r="I551" s="25" t="n"/>
      <c r="U551" s="19">
        <f>IF($V551&lt;&gt;'設定'!$C$4,N(U550),IF(OR(NOT(COUNTIF('商品マスタ'!$B$6:$B$1005,$W551)=0),COUNTIFS('①在庫を貼る'!$V$6:$V$10005,$V551,'①在庫を貼る'!$W$6:$W$10005,$W551)&gt;0),N(U550),N(U550)+1))</f>
        <v/>
      </c>
      <c r="V551" s="19">
        <f>IF($B551="","",TEXT($B551,"0000"))</f>
        <v/>
      </c>
      <c r="W551" s="19">
        <f>IF($I551="","",IF(ISNUMBER($I551),TEXT($I551,"0"),$I551))</f>
        <v/>
      </c>
    </row>
    <row r="552">
      <c r="B552" s="25" t="n"/>
      <c r="I552" s="25" t="n"/>
      <c r="U552" s="19">
        <f>IF($V552&lt;&gt;'設定'!$C$4,N(U551),IF(OR(NOT(COUNTIF('商品マスタ'!$B$6:$B$1005,$W552)=0),COUNTIFS('①在庫を貼る'!$V$6:$V$10005,$V552,'①在庫を貼る'!$W$6:$W$10005,$W552)&gt;0),N(U551),N(U551)+1))</f>
        <v/>
      </c>
      <c r="V552" s="19">
        <f>IF($B552="","",TEXT($B552,"0000"))</f>
        <v/>
      </c>
      <c r="W552" s="19">
        <f>IF($I552="","",IF(ISNUMBER($I552),TEXT($I552,"0"),$I552))</f>
        <v/>
      </c>
    </row>
    <row r="553">
      <c r="B553" s="25" t="n"/>
      <c r="I553" s="25" t="n"/>
      <c r="U553" s="19">
        <f>IF($V553&lt;&gt;'設定'!$C$4,N(U552),IF(OR(NOT(COUNTIF('商品マスタ'!$B$6:$B$1005,$W553)=0),COUNTIFS('①在庫を貼る'!$V$6:$V$10005,$V553,'①在庫を貼る'!$W$6:$W$10005,$W553)&gt;0),N(U552),N(U552)+1))</f>
        <v/>
      </c>
      <c r="V553" s="19">
        <f>IF($B553="","",TEXT($B553,"0000"))</f>
        <v/>
      </c>
      <c r="W553" s="19">
        <f>IF($I553="","",IF(ISNUMBER($I553),TEXT($I553,"0"),$I553))</f>
        <v/>
      </c>
    </row>
    <row r="554">
      <c r="B554" s="25" t="n"/>
      <c r="I554" s="25" t="n"/>
      <c r="U554" s="19">
        <f>IF($V554&lt;&gt;'設定'!$C$4,N(U553),IF(OR(NOT(COUNTIF('商品マスタ'!$B$6:$B$1005,$W554)=0),COUNTIFS('①在庫を貼る'!$V$6:$V$10005,$V554,'①在庫を貼る'!$W$6:$W$10005,$W554)&gt;0),N(U553),N(U553)+1))</f>
        <v/>
      </c>
      <c r="V554" s="19">
        <f>IF($B554="","",TEXT($B554,"0000"))</f>
        <v/>
      </c>
      <c r="W554" s="19">
        <f>IF($I554="","",IF(ISNUMBER($I554),TEXT($I554,"0"),$I554))</f>
        <v/>
      </c>
    </row>
    <row r="555">
      <c r="B555" s="25" t="n"/>
      <c r="I555" s="25" t="n"/>
      <c r="U555" s="19">
        <f>IF($V555&lt;&gt;'設定'!$C$4,N(U554),IF(OR(NOT(COUNTIF('商品マスタ'!$B$6:$B$1005,$W555)=0),COUNTIFS('①在庫を貼る'!$V$6:$V$10005,$V555,'①在庫を貼る'!$W$6:$W$10005,$W555)&gt;0),N(U554),N(U554)+1))</f>
        <v/>
      </c>
      <c r="V555" s="19">
        <f>IF($B555="","",TEXT($B555,"0000"))</f>
        <v/>
      </c>
      <c r="W555" s="19">
        <f>IF($I555="","",IF(ISNUMBER($I555),TEXT($I555,"0"),$I555))</f>
        <v/>
      </c>
    </row>
    <row r="556">
      <c r="B556" s="25" t="n"/>
      <c r="I556" s="25" t="n"/>
      <c r="U556" s="19">
        <f>IF($V556&lt;&gt;'設定'!$C$4,N(U555),IF(OR(NOT(COUNTIF('商品マスタ'!$B$6:$B$1005,$W556)=0),COUNTIFS('①在庫を貼る'!$V$6:$V$10005,$V556,'①在庫を貼る'!$W$6:$W$10005,$W556)&gt;0),N(U555),N(U555)+1))</f>
        <v/>
      </c>
      <c r="V556" s="19">
        <f>IF($B556="","",TEXT($B556,"0000"))</f>
        <v/>
      </c>
      <c r="W556" s="19">
        <f>IF($I556="","",IF(ISNUMBER($I556),TEXT($I556,"0"),$I556))</f>
        <v/>
      </c>
    </row>
    <row r="557">
      <c r="B557" s="25" t="n"/>
      <c r="I557" s="25" t="n"/>
      <c r="U557" s="19">
        <f>IF($V557&lt;&gt;'設定'!$C$4,N(U556),IF(OR(NOT(COUNTIF('商品マスタ'!$B$6:$B$1005,$W557)=0),COUNTIFS('①在庫を貼る'!$V$6:$V$10005,$V557,'①在庫を貼る'!$W$6:$W$10005,$W557)&gt;0),N(U556),N(U556)+1))</f>
        <v/>
      </c>
      <c r="V557" s="19">
        <f>IF($B557="","",TEXT($B557,"0000"))</f>
        <v/>
      </c>
      <c r="W557" s="19">
        <f>IF($I557="","",IF(ISNUMBER($I557),TEXT($I557,"0"),$I557))</f>
        <v/>
      </c>
    </row>
    <row r="558">
      <c r="B558" s="25" t="n"/>
      <c r="I558" s="25" t="n"/>
      <c r="U558" s="19">
        <f>IF($V558&lt;&gt;'設定'!$C$4,N(U557),IF(OR(NOT(COUNTIF('商品マスタ'!$B$6:$B$1005,$W558)=0),COUNTIFS('①在庫を貼る'!$V$6:$V$10005,$V558,'①在庫を貼る'!$W$6:$W$10005,$W558)&gt;0),N(U557),N(U557)+1))</f>
        <v/>
      </c>
      <c r="V558" s="19">
        <f>IF($B558="","",TEXT($B558,"0000"))</f>
        <v/>
      </c>
      <c r="W558" s="19">
        <f>IF($I558="","",IF(ISNUMBER($I558),TEXT($I558,"0"),$I558))</f>
        <v/>
      </c>
    </row>
    <row r="559">
      <c r="B559" s="25" t="n"/>
      <c r="I559" s="25" t="n"/>
      <c r="U559" s="19">
        <f>IF($V559&lt;&gt;'設定'!$C$4,N(U558),IF(OR(NOT(COUNTIF('商品マスタ'!$B$6:$B$1005,$W559)=0),COUNTIFS('①在庫を貼る'!$V$6:$V$10005,$V559,'①在庫を貼る'!$W$6:$W$10005,$W559)&gt;0),N(U558),N(U558)+1))</f>
        <v/>
      </c>
      <c r="V559" s="19">
        <f>IF($B559="","",TEXT($B559,"0000"))</f>
        <v/>
      </c>
      <c r="W559" s="19">
        <f>IF($I559="","",IF(ISNUMBER($I559),TEXT($I559,"0"),$I559))</f>
        <v/>
      </c>
    </row>
    <row r="560">
      <c r="B560" s="25" t="n"/>
      <c r="I560" s="25" t="n"/>
      <c r="U560" s="19">
        <f>IF($V560&lt;&gt;'設定'!$C$4,N(U559),IF(OR(NOT(COUNTIF('商品マスタ'!$B$6:$B$1005,$W560)=0),COUNTIFS('①在庫を貼る'!$V$6:$V$10005,$V560,'①在庫を貼る'!$W$6:$W$10005,$W560)&gt;0),N(U559),N(U559)+1))</f>
        <v/>
      </c>
      <c r="V560" s="19">
        <f>IF($B560="","",TEXT($B560,"0000"))</f>
        <v/>
      </c>
      <c r="W560" s="19">
        <f>IF($I560="","",IF(ISNUMBER($I560),TEXT($I560,"0"),$I560))</f>
        <v/>
      </c>
    </row>
    <row r="561">
      <c r="B561" s="25" t="n"/>
      <c r="I561" s="25" t="n"/>
      <c r="U561" s="19">
        <f>IF($V561&lt;&gt;'設定'!$C$4,N(U560),IF(OR(NOT(COUNTIF('商品マスタ'!$B$6:$B$1005,$W561)=0),COUNTIFS('①在庫を貼る'!$V$6:$V$10005,$V561,'①在庫を貼る'!$W$6:$W$10005,$W561)&gt;0),N(U560),N(U560)+1))</f>
        <v/>
      </c>
      <c r="V561" s="19">
        <f>IF($B561="","",TEXT($B561,"0000"))</f>
        <v/>
      </c>
      <c r="W561" s="19">
        <f>IF($I561="","",IF(ISNUMBER($I561),TEXT($I561,"0"),$I561))</f>
        <v/>
      </c>
    </row>
    <row r="562">
      <c r="B562" s="25" t="n"/>
      <c r="I562" s="25" t="n"/>
      <c r="U562" s="19">
        <f>IF($V562&lt;&gt;'設定'!$C$4,N(U561),IF(OR(NOT(COUNTIF('商品マスタ'!$B$6:$B$1005,$W562)=0),COUNTIFS('①在庫を貼る'!$V$6:$V$10005,$V562,'①在庫を貼る'!$W$6:$W$10005,$W562)&gt;0),N(U561),N(U561)+1))</f>
        <v/>
      </c>
      <c r="V562" s="19">
        <f>IF($B562="","",TEXT($B562,"0000"))</f>
        <v/>
      </c>
      <c r="W562" s="19">
        <f>IF($I562="","",IF(ISNUMBER($I562),TEXT($I562,"0"),$I562))</f>
        <v/>
      </c>
    </row>
    <row r="563">
      <c r="B563" s="25" t="n"/>
      <c r="I563" s="25" t="n"/>
      <c r="U563" s="19">
        <f>IF($V563&lt;&gt;'設定'!$C$4,N(U562),IF(OR(NOT(COUNTIF('商品マスタ'!$B$6:$B$1005,$W563)=0),COUNTIFS('①在庫を貼る'!$V$6:$V$10005,$V563,'①在庫を貼る'!$W$6:$W$10005,$W563)&gt;0),N(U562),N(U562)+1))</f>
        <v/>
      </c>
      <c r="V563" s="19">
        <f>IF($B563="","",TEXT($B563,"0000"))</f>
        <v/>
      </c>
      <c r="W563" s="19">
        <f>IF($I563="","",IF(ISNUMBER($I563),TEXT($I563,"0"),$I563))</f>
        <v/>
      </c>
    </row>
    <row r="564">
      <c r="B564" s="25" t="n"/>
      <c r="I564" s="25" t="n"/>
      <c r="U564" s="19">
        <f>IF($V564&lt;&gt;'設定'!$C$4,N(U563),IF(OR(NOT(COUNTIF('商品マスタ'!$B$6:$B$1005,$W564)=0),COUNTIFS('①在庫を貼る'!$V$6:$V$10005,$V564,'①在庫を貼る'!$W$6:$W$10005,$W564)&gt;0),N(U563),N(U563)+1))</f>
        <v/>
      </c>
      <c r="V564" s="19">
        <f>IF($B564="","",TEXT($B564,"0000"))</f>
        <v/>
      </c>
      <c r="W564" s="19">
        <f>IF($I564="","",IF(ISNUMBER($I564),TEXT($I564,"0"),$I564))</f>
        <v/>
      </c>
    </row>
    <row r="565">
      <c r="B565" s="25" t="n"/>
      <c r="I565" s="25" t="n"/>
      <c r="U565" s="19">
        <f>IF($V565&lt;&gt;'設定'!$C$4,N(U564),IF(OR(NOT(COUNTIF('商品マスタ'!$B$6:$B$1005,$W565)=0),COUNTIFS('①在庫を貼る'!$V$6:$V$10005,$V565,'①在庫を貼る'!$W$6:$W$10005,$W565)&gt;0),N(U564),N(U564)+1))</f>
        <v/>
      </c>
      <c r="V565" s="19">
        <f>IF($B565="","",TEXT($B565,"0000"))</f>
        <v/>
      </c>
      <c r="W565" s="19">
        <f>IF($I565="","",IF(ISNUMBER($I565),TEXT($I565,"0"),$I565))</f>
        <v/>
      </c>
    </row>
    <row r="566">
      <c r="B566" s="25" t="n"/>
      <c r="I566" s="25" t="n"/>
      <c r="U566" s="19">
        <f>IF($V566&lt;&gt;'設定'!$C$4,N(U565),IF(OR(NOT(COUNTIF('商品マスタ'!$B$6:$B$1005,$W566)=0),COUNTIFS('①在庫を貼る'!$V$6:$V$10005,$V566,'①在庫を貼る'!$W$6:$W$10005,$W566)&gt;0),N(U565),N(U565)+1))</f>
        <v/>
      </c>
      <c r="V566" s="19">
        <f>IF($B566="","",TEXT($B566,"0000"))</f>
        <v/>
      </c>
      <c r="W566" s="19">
        <f>IF($I566="","",IF(ISNUMBER($I566),TEXT($I566,"0"),$I566))</f>
        <v/>
      </c>
    </row>
    <row r="567">
      <c r="B567" s="25" t="n"/>
      <c r="I567" s="25" t="n"/>
      <c r="U567" s="19">
        <f>IF($V567&lt;&gt;'設定'!$C$4,N(U566),IF(OR(NOT(COUNTIF('商品マスタ'!$B$6:$B$1005,$W567)=0),COUNTIFS('①在庫を貼る'!$V$6:$V$10005,$V567,'①在庫を貼る'!$W$6:$W$10005,$W567)&gt;0),N(U566),N(U566)+1))</f>
        <v/>
      </c>
      <c r="V567" s="19">
        <f>IF($B567="","",TEXT($B567,"0000"))</f>
        <v/>
      </c>
      <c r="W567" s="19">
        <f>IF($I567="","",IF(ISNUMBER($I567),TEXT($I567,"0"),$I567))</f>
        <v/>
      </c>
    </row>
    <row r="568">
      <c r="B568" s="25" t="n"/>
      <c r="I568" s="25" t="n"/>
      <c r="U568" s="19">
        <f>IF($V568&lt;&gt;'設定'!$C$4,N(U567),IF(OR(NOT(COUNTIF('商品マスタ'!$B$6:$B$1005,$W568)=0),COUNTIFS('①在庫を貼る'!$V$6:$V$10005,$V568,'①在庫を貼る'!$W$6:$W$10005,$W568)&gt;0),N(U567),N(U567)+1))</f>
        <v/>
      </c>
      <c r="V568" s="19">
        <f>IF($B568="","",TEXT($B568,"0000"))</f>
        <v/>
      </c>
      <c r="W568" s="19">
        <f>IF($I568="","",IF(ISNUMBER($I568),TEXT($I568,"0"),$I568))</f>
        <v/>
      </c>
    </row>
    <row r="569">
      <c r="B569" s="25" t="n"/>
      <c r="I569" s="25" t="n"/>
      <c r="U569" s="19">
        <f>IF($V569&lt;&gt;'設定'!$C$4,N(U568),IF(OR(NOT(COUNTIF('商品マスタ'!$B$6:$B$1005,$W569)=0),COUNTIFS('①在庫を貼る'!$V$6:$V$10005,$V569,'①在庫を貼る'!$W$6:$W$10005,$W569)&gt;0),N(U568),N(U568)+1))</f>
        <v/>
      </c>
      <c r="V569" s="19">
        <f>IF($B569="","",TEXT($B569,"0000"))</f>
        <v/>
      </c>
      <c r="W569" s="19">
        <f>IF($I569="","",IF(ISNUMBER($I569),TEXT($I569,"0"),$I569))</f>
        <v/>
      </c>
    </row>
    <row r="570">
      <c r="B570" s="25" t="n"/>
      <c r="I570" s="25" t="n"/>
      <c r="U570" s="19">
        <f>IF($V570&lt;&gt;'設定'!$C$4,N(U569),IF(OR(NOT(COUNTIF('商品マスタ'!$B$6:$B$1005,$W570)=0),COUNTIFS('①在庫を貼る'!$V$6:$V$10005,$V570,'①在庫を貼る'!$W$6:$W$10005,$W570)&gt;0),N(U569),N(U569)+1))</f>
        <v/>
      </c>
      <c r="V570" s="19">
        <f>IF($B570="","",TEXT($B570,"0000"))</f>
        <v/>
      </c>
      <c r="W570" s="19">
        <f>IF($I570="","",IF(ISNUMBER($I570),TEXT($I570,"0"),$I570))</f>
        <v/>
      </c>
    </row>
    <row r="571">
      <c r="B571" s="25" t="n"/>
      <c r="I571" s="25" t="n"/>
      <c r="U571" s="19">
        <f>IF($V571&lt;&gt;'設定'!$C$4,N(U570),IF(OR(NOT(COUNTIF('商品マスタ'!$B$6:$B$1005,$W571)=0),COUNTIFS('①在庫を貼る'!$V$6:$V$10005,$V571,'①在庫を貼る'!$W$6:$W$10005,$W571)&gt;0),N(U570),N(U570)+1))</f>
        <v/>
      </c>
      <c r="V571" s="19">
        <f>IF($B571="","",TEXT($B571,"0000"))</f>
        <v/>
      </c>
      <c r="W571" s="19">
        <f>IF($I571="","",IF(ISNUMBER($I571),TEXT($I571,"0"),$I571))</f>
        <v/>
      </c>
    </row>
    <row r="572">
      <c r="B572" s="25" t="n"/>
      <c r="I572" s="25" t="n"/>
      <c r="U572" s="19">
        <f>IF($V572&lt;&gt;'設定'!$C$4,N(U571),IF(OR(NOT(COUNTIF('商品マスタ'!$B$6:$B$1005,$W572)=0),COUNTIFS('①在庫を貼る'!$V$6:$V$10005,$V572,'①在庫を貼る'!$W$6:$W$10005,$W572)&gt;0),N(U571),N(U571)+1))</f>
        <v/>
      </c>
      <c r="V572" s="19">
        <f>IF($B572="","",TEXT($B572,"0000"))</f>
        <v/>
      </c>
      <c r="W572" s="19">
        <f>IF($I572="","",IF(ISNUMBER($I572),TEXT($I572,"0"),$I572))</f>
        <v/>
      </c>
    </row>
    <row r="573">
      <c r="B573" s="25" t="n"/>
      <c r="I573" s="25" t="n"/>
      <c r="U573" s="19">
        <f>IF($V573&lt;&gt;'設定'!$C$4,N(U572),IF(OR(NOT(COUNTIF('商品マスタ'!$B$6:$B$1005,$W573)=0),COUNTIFS('①在庫を貼る'!$V$6:$V$10005,$V573,'①在庫を貼る'!$W$6:$W$10005,$W573)&gt;0),N(U572),N(U572)+1))</f>
        <v/>
      </c>
      <c r="V573" s="19">
        <f>IF($B573="","",TEXT($B573,"0000"))</f>
        <v/>
      </c>
      <c r="W573" s="19">
        <f>IF($I573="","",IF(ISNUMBER($I573),TEXT($I573,"0"),$I573))</f>
        <v/>
      </c>
    </row>
    <row r="574">
      <c r="B574" s="25" t="n"/>
      <c r="I574" s="25" t="n"/>
      <c r="U574" s="19">
        <f>IF($V574&lt;&gt;'設定'!$C$4,N(U573),IF(OR(NOT(COUNTIF('商品マスタ'!$B$6:$B$1005,$W574)=0),COUNTIFS('①在庫を貼る'!$V$6:$V$10005,$V574,'①在庫を貼る'!$W$6:$W$10005,$W574)&gt;0),N(U573),N(U573)+1))</f>
        <v/>
      </c>
      <c r="V574" s="19">
        <f>IF($B574="","",TEXT($B574,"0000"))</f>
        <v/>
      </c>
      <c r="W574" s="19">
        <f>IF($I574="","",IF(ISNUMBER($I574),TEXT($I574,"0"),$I574))</f>
        <v/>
      </c>
    </row>
    <row r="575">
      <c r="B575" s="25" t="n"/>
      <c r="I575" s="25" t="n"/>
      <c r="U575" s="19">
        <f>IF($V575&lt;&gt;'設定'!$C$4,N(U574),IF(OR(NOT(COUNTIF('商品マスタ'!$B$6:$B$1005,$W575)=0),COUNTIFS('①在庫を貼る'!$V$6:$V$10005,$V575,'①在庫を貼る'!$W$6:$W$10005,$W575)&gt;0),N(U574),N(U574)+1))</f>
        <v/>
      </c>
      <c r="V575" s="19">
        <f>IF($B575="","",TEXT($B575,"0000"))</f>
        <v/>
      </c>
      <c r="W575" s="19">
        <f>IF($I575="","",IF(ISNUMBER($I575),TEXT($I575,"0"),$I575))</f>
        <v/>
      </c>
    </row>
    <row r="576">
      <c r="B576" s="25" t="n"/>
      <c r="I576" s="25" t="n"/>
      <c r="U576" s="19">
        <f>IF($V576&lt;&gt;'設定'!$C$4,N(U575),IF(OR(NOT(COUNTIF('商品マスタ'!$B$6:$B$1005,$W576)=0),COUNTIFS('①在庫を貼る'!$V$6:$V$10005,$V576,'①在庫を貼る'!$W$6:$W$10005,$W576)&gt;0),N(U575),N(U575)+1))</f>
        <v/>
      </c>
      <c r="V576" s="19">
        <f>IF($B576="","",TEXT($B576,"0000"))</f>
        <v/>
      </c>
      <c r="W576" s="19">
        <f>IF($I576="","",IF(ISNUMBER($I576),TEXT($I576,"0"),$I576))</f>
        <v/>
      </c>
    </row>
    <row r="577">
      <c r="B577" s="25" t="n"/>
      <c r="I577" s="25" t="n"/>
      <c r="U577" s="19">
        <f>IF($V577&lt;&gt;'設定'!$C$4,N(U576),IF(OR(NOT(COUNTIF('商品マスタ'!$B$6:$B$1005,$W577)=0),COUNTIFS('①在庫を貼る'!$V$6:$V$10005,$V577,'①在庫を貼る'!$W$6:$W$10005,$W577)&gt;0),N(U576),N(U576)+1))</f>
        <v/>
      </c>
      <c r="V577" s="19">
        <f>IF($B577="","",TEXT($B577,"0000"))</f>
        <v/>
      </c>
      <c r="W577" s="19">
        <f>IF($I577="","",IF(ISNUMBER($I577),TEXT($I577,"0"),$I577))</f>
        <v/>
      </c>
    </row>
    <row r="578">
      <c r="B578" s="25" t="n"/>
      <c r="I578" s="25" t="n"/>
      <c r="U578" s="19">
        <f>IF($V578&lt;&gt;'設定'!$C$4,N(U577),IF(OR(NOT(COUNTIF('商品マスタ'!$B$6:$B$1005,$W578)=0),COUNTIFS('①在庫を貼る'!$V$6:$V$10005,$V578,'①在庫を貼る'!$W$6:$W$10005,$W578)&gt;0),N(U577),N(U577)+1))</f>
        <v/>
      </c>
      <c r="V578" s="19">
        <f>IF($B578="","",TEXT($B578,"0000"))</f>
        <v/>
      </c>
      <c r="W578" s="19">
        <f>IF($I578="","",IF(ISNUMBER($I578),TEXT($I578,"0"),$I578))</f>
        <v/>
      </c>
    </row>
    <row r="579">
      <c r="B579" s="25" t="n"/>
      <c r="I579" s="25" t="n"/>
      <c r="U579" s="19">
        <f>IF($V579&lt;&gt;'設定'!$C$4,N(U578),IF(OR(NOT(COUNTIF('商品マスタ'!$B$6:$B$1005,$W579)=0),COUNTIFS('①在庫を貼る'!$V$6:$V$10005,$V579,'①在庫を貼る'!$W$6:$W$10005,$W579)&gt;0),N(U578),N(U578)+1))</f>
        <v/>
      </c>
      <c r="V579" s="19">
        <f>IF($B579="","",TEXT($B579,"0000"))</f>
        <v/>
      </c>
      <c r="W579" s="19">
        <f>IF($I579="","",IF(ISNUMBER($I579),TEXT($I579,"0"),$I579))</f>
        <v/>
      </c>
    </row>
    <row r="580">
      <c r="B580" s="25" t="n"/>
      <c r="I580" s="25" t="n"/>
      <c r="U580" s="19">
        <f>IF($V580&lt;&gt;'設定'!$C$4,N(U579),IF(OR(NOT(COUNTIF('商品マスタ'!$B$6:$B$1005,$W580)=0),COUNTIFS('①在庫を貼る'!$V$6:$V$10005,$V580,'①在庫を貼る'!$W$6:$W$10005,$W580)&gt;0),N(U579),N(U579)+1))</f>
        <v/>
      </c>
      <c r="V580" s="19">
        <f>IF($B580="","",TEXT($B580,"0000"))</f>
        <v/>
      </c>
      <c r="W580" s="19">
        <f>IF($I580="","",IF(ISNUMBER($I580),TEXT($I580,"0"),$I580))</f>
        <v/>
      </c>
    </row>
    <row r="581">
      <c r="B581" s="25" t="n"/>
      <c r="I581" s="25" t="n"/>
      <c r="U581" s="19">
        <f>IF($V581&lt;&gt;'設定'!$C$4,N(U580),IF(OR(NOT(COUNTIF('商品マスタ'!$B$6:$B$1005,$W581)=0),COUNTIFS('①在庫を貼る'!$V$6:$V$10005,$V581,'①在庫を貼る'!$W$6:$W$10005,$W581)&gt;0),N(U580),N(U580)+1))</f>
        <v/>
      </c>
      <c r="V581" s="19">
        <f>IF($B581="","",TEXT($B581,"0000"))</f>
        <v/>
      </c>
      <c r="W581" s="19">
        <f>IF($I581="","",IF(ISNUMBER($I581),TEXT($I581,"0"),$I581))</f>
        <v/>
      </c>
    </row>
    <row r="582">
      <c r="B582" s="25" t="n"/>
      <c r="I582" s="25" t="n"/>
      <c r="U582" s="19">
        <f>IF($V582&lt;&gt;'設定'!$C$4,N(U581),IF(OR(NOT(COUNTIF('商品マスタ'!$B$6:$B$1005,$W582)=0),COUNTIFS('①在庫を貼る'!$V$6:$V$10005,$V582,'①在庫を貼る'!$W$6:$W$10005,$W582)&gt;0),N(U581),N(U581)+1))</f>
        <v/>
      </c>
      <c r="V582" s="19">
        <f>IF($B582="","",TEXT($B582,"0000"))</f>
        <v/>
      </c>
      <c r="W582" s="19">
        <f>IF($I582="","",IF(ISNUMBER($I582),TEXT($I582,"0"),$I582))</f>
        <v/>
      </c>
    </row>
    <row r="583">
      <c r="B583" s="25" t="n"/>
      <c r="I583" s="25" t="n"/>
      <c r="U583" s="19">
        <f>IF($V583&lt;&gt;'設定'!$C$4,N(U582),IF(OR(NOT(COUNTIF('商品マスタ'!$B$6:$B$1005,$W583)=0),COUNTIFS('①在庫を貼る'!$V$6:$V$10005,$V583,'①在庫を貼る'!$W$6:$W$10005,$W583)&gt;0),N(U582),N(U582)+1))</f>
        <v/>
      </c>
      <c r="V583" s="19">
        <f>IF($B583="","",TEXT($B583,"0000"))</f>
        <v/>
      </c>
      <c r="W583" s="19">
        <f>IF($I583="","",IF(ISNUMBER($I583),TEXT($I583,"0"),$I583))</f>
        <v/>
      </c>
    </row>
    <row r="584">
      <c r="B584" s="25" t="n"/>
      <c r="I584" s="25" t="n"/>
      <c r="U584" s="19">
        <f>IF($V584&lt;&gt;'設定'!$C$4,N(U583),IF(OR(NOT(COUNTIF('商品マスタ'!$B$6:$B$1005,$W584)=0),COUNTIFS('①在庫を貼る'!$V$6:$V$10005,$V584,'①在庫を貼る'!$W$6:$W$10005,$W584)&gt;0),N(U583),N(U583)+1))</f>
        <v/>
      </c>
      <c r="V584" s="19">
        <f>IF($B584="","",TEXT($B584,"0000"))</f>
        <v/>
      </c>
      <c r="W584" s="19">
        <f>IF($I584="","",IF(ISNUMBER($I584),TEXT($I584,"0"),$I584))</f>
        <v/>
      </c>
    </row>
    <row r="585">
      <c r="B585" s="25" t="n"/>
      <c r="I585" s="25" t="n"/>
      <c r="U585" s="19">
        <f>IF($V585&lt;&gt;'設定'!$C$4,N(U584),IF(OR(NOT(COUNTIF('商品マスタ'!$B$6:$B$1005,$W585)=0),COUNTIFS('①在庫を貼る'!$V$6:$V$10005,$V585,'①在庫を貼る'!$W$6:$W$10005,$W585)&gt;0),N(U584),N(U584)+1))</f>
        <v/>
      </c>
      <c r="V585" s="19">
        <f>IF($B585="","",TEXT($B585,"0000"))</f>
        <v/>
      </c>
      <c r="W585" s="19">
        <f>IF($I585="","",IF(ISNUMBER($I585),TEXT($I585,"0"),$I585))</f>
        <v/>
      </c>
    </row>
    <row r="586">
      <c r="B586" s="25" t="n"/>
      <c r="I586" s="25" t="n"/>
      <c r="U586" s="19">
        <f>IF($V586&lt;&gt;'設定'!$C$4,N(U585),IF(OR(NOT(COUNTIF('商品マスタ'!$B$6:$B$1005,$W586)=0),COUNTIFS('①在庫を貼る'!$V$6:$V$10005,$V586,'①在庫を貼る'!$W$6:$W$10005,$W586)&gt;0),N(U585),N(U585)+1))</f>
        <v/>
      </c>
      <c r="V586" s="19">
        <f>IF($B586="","",TEXT($B586,"0000"))</f>
        <v/>
      </c>
      <c r="W586" s="19">
        <f>IF($I586="","",IF(ISNUMBER($I586),TEXT($I586,"0"),$I586))</f>
        <v/>
      </c>
    </row>
    <row r="587">
      <c r="B587" s="25" t="n"/>
      <c r="I587" s="25" t="n"/>
      <c r="U587" s="19">
        <f>IF($V587&lt;&gt;'設定'!$C$4,N(U586),IF(OR(NOT(COUNTIF('商品マスタ'!$B$6:$B$1005,$W587)=0),COUNTIFS('①在庫を貼る'!$V$6:$V$10005,$V587,'①在庫を貼る'!$W$6:$W$10005,$W587)&gt;0),N(U586),N(U586)+1))</f>
        <v/>
      </c>
      <c r="V587" s="19">
        <f>IF($B587="","",TEXT($B587,"0000"))</f>
        <v/>
      </c>
      <c r="W587" s="19">
        <f>IF($I587="","",IF(ISNUMBER($I587),TEXT($I587,"0"),$I587))</f>
        <v/>
      </c>
    </row>
    <row r="588">
      <c r="B588" s="25" t="n"/>
      <c r="I588" s="25" t="n"/>
      <c r="U588" s="19">
        <f>IF($V588&lt;&gt;'設定'!$C$4,N(U587),IF(OR(NOT(COUNTIF('商品マスタ'!$B$6:$B$1005,$W588)=0),COUNTIFS('①在庫を貼る'!$V$6:$V$10005,$V588,'①在庫を貼る'!$W$6:$W$10005,$W588)&gt;0),N(U587),N(U587)+1))</f>
        <v/>
      </c>
      <c r="V588" s="19">
        <f>IF($B588="","",TEXT($B588,"0000"))</f>
        <v/>
      </c>
      <c r="W588" s="19">
        <f>IF($I588="","",IF(ISNUMBER($I588),TEXT($I588,"0"),$I588))</f>
        <v/>
      </c>
    </row>
    <row r="589">
      <c r="B589" s="25" t="n"/>
      <c r="I589" s="25" t="n"/>
      <c r="U589" s="19">
        <f>IF($V589&lt;&gt;'設定'!$C$4,N(U588),IF(OR(NOT(COUNTIF('商品マスタ'!$B$6:$B$1005,$W589)=0),COUNTIFS('①在庫を貼る'!$V$6:$V$10005,$V589,'①在庫を貼る'!$W$6:$W$10005,$W589)&gt;0),N(U588),N(U588)+1))</f>
        <v/>
      </c>
      <c r="V589" s="19">
        <f>IF($B589="","",TEXT($B589,"0000"))</f>
        <v/>
      </c>
      <c r="W589" s="19">
        <f>IF($I589="","",IF(ISNUMBER($I589),TEXT($I589,"0"),$I589))</f>
        <v/>
      </c>
    </row>
    <row r="590">
      <c r="B590" s="25" t="n"/>
      <c r="I590" s="25" t="n"/>
      <c r="U590" s="19">
        <f>IF($V590&lt;&gt;'設定'!$C$4,N(U589),IF(OR(NOT(COUNTIF('商品マスタ'!$B$6:$B$1005,$W590)=0),COUNTIFS('①在庫を貼る'!$V$6:$V$10005,$V590,'①在庫を貼る'!$W$6:$W$10005,$W590)&gt;0),N(U589),N(U589)+1))</f>
        <v/>
      </c>
      <c r="V590" s="19">
        <f>IF($B590="","",TEXT($B590,"0000"))</f>
        <v/>
      </c>
      <c r="W590" s="19">
        <f>IF($I590="","",IF(ISNUMBER($I590),TEXT($I590,"0"),$I590))</f>
        <v/>
      </c>
    </row>
    <row r="591">
      <c r="B591" s="25" t="n"/>
      <c r="I591" s="25" t="n"/>
      <c r="U591" s="19">
        <f>IF($V591&lt;&gt;'設定'!$C$4,N(U590),IF(OR(NOT(COUNTIF('商品マスタ'!$B$6:$B$1005,$W591)=0),COUNTIFS('①在庫を貼る'!$V$6:$V$10005,$V591,'①在庫を貼る'!$W$6:$W$10005,$W591)&gt;0),N(U590),N(U590)+1))</f>
        <v/>
      </c>
      <c r="V591" s="19">
        <f>IF($B591="","",TEXT($B591,"0000"))</f>
        <v/>
      </c>
      <c r="W591" s="19">
        <f>IF($I591="","",IF(ISNUMBER($I591),TEXT($I591,"0"),$I591))</f>
        <v/>
      </c>
    </row>
    <row r="592">
      <c r="B592" s="25" t="n"/>
      <c r="I592" s="25" t="n"/>
      <c r="U592" s="19">
        <f>IF($V592&lt;&gt;'設定'!$C$4,N(U591),IF(OR(NOT(COUNTIF('商品マスタ'!$B$6:$B$1005,$W592)=0),COUNTIFS('①在庫を貼る'!$V$6:$V$10005,$V592,'①在庫を貼る'!$W$6:$W$10005,$W592)&gt;0),N(U591),N(U591)+1))</f>
        <v/>
      </c>
      <c r="V592" s="19">
        <f>IF($B592="","",TEXT($B592,"0000"))</f>
        <v/>
      </c>
      <c r="W592" s="19">
        <f>IF($I592="","",IF(ISNUMBER($I592),TEXT($I592,"0"),$I592))</f>
        <v/>
      </c>
    </row>
    <row r="593">
      <c r="B593" s="25" t="n"/>
      <c r="I593" s="25" t="n"/>
      <c r="U593" s="19">
        <f>IF($V593&lt;&gt;'設定'!$C$4,N(U592),IF(OR(NOT(COUNTIF('商品マスタ'!$B$6:$B$1005,$W593)=0),COUNTIFS('①在庫を貼る'!$V$6:$V$10005,$V593,'①在庫を貼る'!$W$6:$W$10005,$W593)&gt;0),N(U592),N(U592)+1))</f>
        <v/>
      </c>
      <c r="V593" s="19">
        <f>IF($B593="","",TEXT($B593,"0000"))</f>
        <v/>
      </c>
      <c r="W593" s="19">
        <f>IF($I593="","",IF(ISNUMBER($I593),TEXT($I593,"0"),$I593))</f>
        <v/>
      </c>
    </row>
    <row r="594">
      <c r="B594" s="25" t="n"/>
      <c r="I594" s="25" t="n"/>
      <c r="U594" s="19">
        <f>IF($V594&lt;&gt;'設定'!$C$4,N(U593),IF(OR(NOT(COUNTIF('商品マスタ'!$B$6:$B$1005,$W594)=0),COUNTIFS('①在庫を貼る'!$V$6:$V$10005,$V594,'①在庫を貼る'!$W$6:$W$10005,$W594)&gt;0),N(U593),N(U593)+1))</f>
        <v/>
      </c>
      <c r="V594" s="19">
        <f>IF($B594="","",TEXT($B594,"0000"))</f>
        <v/>
      </c>
      <c r="W594" s="19">
        <f>IF($I594="","",IF(ISNUMBER($I594),TEXT($I594,"0"),$I594))</f>
        <v/>
      </c>
    </row>
    <row r="595">
      <c r="B595" s="25" t="n"/>
      <c r="I595" s="25" t="n"/>
      <c r="U595" s="19">
        <f>IF($V595&lt;&gt;'設定'!$C$4,N(U594),IF(OR(NOT(COUNTIF('商品マスタ'!$B$6:$B$1005,$W595)=0),COUNTIFS('①在庫を貼る'!$V$6:$V$10005,$V595,'①在庫を貼る'!$W$6:$W$10005,$W595)&gt;0),N(U594),N(U594)+1))</f>
        <v/>
      </c>
      <c r="V595" s="19">
        <f>IF($B595="","",TEXT($B595,"0000"))</f>
        <v/>
      </c>
      <c r="W595" s="19">
        <f>IF($I595="","",IF(ISNUMBER($I595),TEXT($I595,"0"),$I595))</f>
        <v/>
      </c>
    </row>
    <row r="596">
      <c r="B596" s="25" t="n"/>
      <c r="I596" s="25" t="n"/>
      <c r="U596" s="19">
        <f>IF($V596&lt;&gt;'設定'!$C$4,N(U595),IF(OR(NOT(COUNTIF('商品マスタ'!$B$6:$B$1005,$W596)=0),COUNTIFS('①在庫を貼る'!$V$6:$V$10005,$V596,'①在庫を貼る'!$W$6:$W$10005,$W596)&gt;0),N(U595),N(U595)+1))</f>
        <v/>
      </c>
      <c r="V596" s="19">
        <f>IF($B596="","",TEXT($B596,"0000"))</f>
        <v/>
      </c>
      <c r="W596" s="19">
        <f>IF($I596="","",IF(ISNUMBER($I596),TEXT($I596,"0"),$I596))</f>
        <v/>
      </c>
    </row>
    <row r="597">
      <c r="B597" s="25" t="n"/>
      <c r="I597" s="25" t="n"/>
      <c r="U597" s="19">
        <f>IF($V597&lt;&gt;'設定'!$C$4,N(U596),IF(OR(NOT(COUNTIF('商品マスタ'!$B$6:$B$1005,$W597)=0),COUNTIFS('①在庫を貼る'!$V$6:$V$10005,$V597,'①在庫を貼る'!$W$6:$W$10005,$W597)&gt;0),N(U596),N(U596)+1))</f>
        <v/>
      </c>
      <c r="V597" s="19">
        <f>IF($B597="","",TEXT($B597,"0000"))</f>
        <v/>
      </c>
      <c r="W597" s="19">
        <f>IF($I597="","",IF(ISNUMBER($I597),TEXT($I597,"0"),$I597))</f>
        <v/>
      </c>
    </row>
    <row r="598">
      <c r="B598" s="25" t="n"/>
      <c r="I598" s="25" t="n"/>
      <c r="U598" s="19">
        <f>IF($V598&lt;&gt;'設定'!$C$4,N(U597),IF(OR(NOT(COUNTIF('商品マスタ'!$B$6:$B$1005,$W598)=0),COUNTIFS('①在庫を貼る'!$V$6:$V$10005,$V598,'①在庫を貼る'!$W$6:$W$10005,$W598)&gt;0),N(U597),N(U597)+1))</f>
        <v/>
      </c>
      <c r="V598" s="19">
        <f>IF($B598="","",TEXT($B598,"0000"))</f>
        <v/>
      </c>
      <c r="W598" s="19">
        <f>IF($I598="","",IF(ISNUMBER($I598),TEXT($I598,"0"),$I598))</f>
        <v/>
      </c>
    </row>
    <row r="599">
      <c r="B599" s="25" t="n"/>
      <c r="I599" s="25" t="n"/>
      <c r="U599" s="19">
        <f>IF($V599&lt;&gt;'設定'!$C$4,N(U598),IF(OR(NOT(COUNTIF('商品マスタ'!$B$6:$B$1005,$W599)=0),COUNTIFS('①在庫を貼る'!$V$6:$V$10005,$V599,'①在庫を貼る'!$W$6:$W$10005,$W599)&gt;0),N(U598),N(U598)+1))</f>
        <v/>
      </c>
      <c r="V599" s="19">
        <f>IF($B599="","",TEXT($B599,"0000"))</f>
        <v/>
      </c>
      <c r="W599" s="19">
        <f>IF($I599="","",IF(ISNUMBER($I599),TEXT($I599,"0"),$I599))</f>
        <v/>
      </c>
    </row>
    <row r="600">
      <c r="B600" s="25" t="n"/>
      <c r="I600" s="25" t="n"/>
      <c r="U600" s="19">
        <f>IF($V600&lt;&gt;'設定'!$C$4,N(U599),IF(OR(NOT(COUNTIF('商品マスタ'!$B$6:$B$1005,$W600)=0),COUNTIFS('①在庫を貼る'!$V$6:$V$10005,$V600,'①在庫を貼る'!$W$6:$W$10005,$W600)&gt;0),N(U599),N(U599)+1))</f>
        <v/>
      </c>
      <c r="V600" s="19">
        <f>IF($B600="","",TEXT($B600,"0000"))</f>
        <v/>
      </c>
      <c r="W600" s="19">
        <f>IF($I600="","",IF(ISNUMBER($I600),TEXT($I600,"0"),$I600))</f>
        <v/>
      </c>
    </row>
    <row r="601">
      <c r="B601" s="25" t="n"/>
      <c r="I601" s="25" t="n"/>
      <c r="U601" s="19">
        <f>IF($V601&lt;&gt;'設定'!$C$4,N(U600),IF(OR(NOT(COUNTIF('商品マスタ'!$B$6:$B$1005,$W601)=0),COUNTIFS('①在庫を貼る'!$V$6:$V$10005,$V601,'①在庫を貼る'!$W$6:$W$10005,$W601)&gt;0),N(U600),N(U600)+1))</f>
        <v/>
      </c>
      <c r="V601" s="19">
        <f>IF($B601="","",TEXT($B601,"0000"))</f>
        <v/>
      </c>
      <c r="W601" s="19">
        <f>IF($I601="","",IF(ISNUMBER($I601),TEXT($I601,"0"),$I601))</f>
        <v/>
      </c>
    </row>
    <row r="602">
      <c r="B602" s="25" t="n"/>
      <c r="I602" s="25" t="n"/>
      <c r="U602" s="19">
        <f>IF($V602&lt;&gt;'設定'!$C$4,N(U601),IF(OR(NOT(COUNTIF('商品マスタ'!$B$6:$B$1005,$W602)=0),COUNTIFS('①在庫を貼る'!$V$6:$V$10005,$V602,'①在庫を貼る'!$W$6:$W$10005,$W602)&gt;0),N(U601),N(U601)+1))</f>
        <v/>
      </c>
      <c r="V602" s="19">
        <f>IF($B602="","",TEXT($B602,"0000"))</f>
        <v/>
      </c>
      <c r="W602" s="19">
        <f>IF($I602="","",IF(ISNUMBER($I602),TEXT($I602,"0"),$I602))</f>
        <v/>
      </c>
    </row>
    <row r="603">
      <c r="B603" s="25" t="n"/>
      <c r="I603" s="25" t="n"/>
      <c r="U603" s="19">
        <f>IF($V603&lt;&gt;'設定'!$C$4,N(U602),IF(OR(NOT(COUNTIF('商品マスタ'!$B$6:$B$1005,$W603)=0),COUNTIFS('①在庫を貼る'!$V$6:$V$10005,$V603,'①在庫を貼る'!$W$6:$W$10005,$W603)&gt;0),N(U602),N(U602)+1))</f>
        <v/>
      </c>
      <c r="V603" s="19">
        <f>IF($B603="","",TEXT($B603,"0000"))</f>
        <v/>
      </c>
      <c r="W603" s="19">
        <f>IF($I603="","",IF(ISNUMBER($I603),TEXT($I603,"0"),$I603))</f>
        <v/>
      </c>
    </row>
    <row r="604">
      <c r="B604" s="25" t="n"/>
      <c r="I604" s="25" t="n"/>
      <c r="U604" s="19">
        <f>IF($V604&lt;&gt;'設定'!$C$4,N(U603),IF(OR(NOT(COUNTIF('商品マスタ'!$B$6:$B$1005,$W604)=0),COUNTIFS('①在庫を貼る'!$V$6:$V$10005,$V604,'①在庫を貼る'!$W$6:$W$10005,$W604)&gt;0),N(U603),N(U603)+1))</f>
        <v/>
      </c>
      <c r="V604" s="19">
        <f>IF($B604="","",TEXT($B604,"0000"))</f>
        <v/>
      </c>
      <c r="W604" s="19">
        <f>IF($I604="","",IF(ISNUMBER($I604),TEXT($I604,"0"),$I604))</f>
        <v/>
      </c>
    </row>
    <row r="605">
      <c r="B605" s="25" t="n"/>
      <c r="I605" s="25" t="n"/>
      <c r="U605" s="19">
        <f>IF($V605&lt;&gt;'設定'!$C$4,N(U604),IF(OR(NOT(COUNTIF('商品マスタ'!$B$6:$B$1005,$W605)=0),COUNTIFS('①在庫を貼る'!$V$6:$V$10005,$V605,'①在庫を貼る'!$W$6:$W$10005,$W605)&gt;0),N(U604),N(U604)+1))</f>
        <v/>
      </c>
      <c r="V605" s="19">
        <f>IF($B605="","",TEXT($B605,"0000"))</f>
        <v/>
      </c>
      <c r="W605" s="19">
        <f>IF($I605="","",IF(ISNUMBER($I605),TEXT($I605,"0"),$I605))</f>
        <v/>
      </c>
    </row>
    <row r="606">
      <c r="B606" s="25" t="n"/>
      <c r="I606" s="25" t="n"/>
      <c r="U606" s="19">
        <f>IF($V606&lt;&gt;'設定'!$C$4,N(U605),IF(OR(NOT(COUNTIF('商品マスタ'!$B$6:$B$1005,$W606)=0),COUNTIFS('①在庫を貼る'!$V$6:$V$10005,$V606,'①在庫を貼る'!$W$6:$W$10005,$W606)&gt;0),N(U605),N(U605)+1))</f>
        <v/>
      </c>
      <c r="V606" s="19">
        <f>IF($B606="","",TEXT($B606,"0000"))</f>
        <v/>
      </c>
      <c r="W606" s="19">
        <f>IF($I606="","",IF(ISNUMBER($I606),TEXT($I606,"0"),$I606))</f>
        <v/>
      </c>
    </row>
    <row r="607">
      <c r="B607" s="25" t="n"/>
      <c r="I607" s="25" t="n"/>
      <c r="U607" s="19">
        <f>IF($V607&lt;&gt;'設定'!$C$4,N(U606),IF(OR(NOT(COUNTIF('商品マスタ'!$B$6:$B$1005,$W607)=0),COUNTIFS('①在庫を貼る'!$V$6:$V$10005,$V607,'①在庫を貼る'!$W$6:$W$10005,$W607)&gt;0),N(U606),N(U606)+1))</f>
        <v/>
      </c>
      <c r="V607" s="19">
        <f>IF($B607="","",TEXT($B607,"0000"))</f>
        <v/>
      </c>
      <c r="W607" s="19">
        <f>IF($I607="","",IF(ISNUMBER($I607),TEXT($I607,"0"),$I607))</f>
        <v/>
      </c>
    </row>
    <row r="608">
      <c r="B608" s="25" t="n"/>
      <c r="I608" s="25" t="n"/>
      <c r="U608" s="19">
        <f>IF($V608&lt;&gt;'設定'!$C$4,N(U607),IF(OR(NOT(COUNTIF('商品マスタ'!$B$6:$B$1005,$W608)=0),COUNTIFS('①在庫を貼る'!$V$6:$V$10005,$V608,'①在庫を貼る'!$W$6:$W$10005,$W608)&gt;0),N(U607),N(U607)+1))</f>
        <v/>
      </c>
      <c r="V608" s="19">
        <f>IF($B608="","",TEXT($B608,"0000"))</f>
        <v/>
      </c>
      <c r="W608" s="19">
        <f>IF($I608="","",IF(ISNUMBER($I608),TEXT($I608,"0"),$I608))</f>
        <v/>
      </c>
    </row>
    <row r="609">
      <c r="B609" s="25" t="n"/>
      <c r="I609" s="25" t="n"/>
      <c r="U609" s="19">
        <f>IF($V609&lt;&gt;'設定'!$C$4,N(U608),IF(OR(NOT(COUNTIF('商品マスタ'!$B$6:$B$1005,$W609)=0),COUNTIFS('①在庫を貼る'!$V$6:$V$10005,$V609,'①在庫を貼る'!$W$6:$W$10005,$W609)&gt;0),N(U608),N(U608)+1))</f>
        <v/>
      </c>
      <c r="V609" s="19">
        <f>IF($B609="","",TEXT($B609,"0000"))</f>
        <v/>
      </c>
      <c r="W609" s="19">
        <f>IF($I609="","",IF(ISNUMBER($I609),TEXT($I609,"0"),$I609))</f>
        <v/>
      </c>
    </row>
    <row r="610">
      <c r="B610" s="25" t="n"/>
      <c r="I610" s="25" t="n"/>
      <c r="U610" s="19">
        <f>IF($V610&lt;&gt;'設定'!$C$4,N(U609),IF(OR(NOT(COUNTIF('商品マスタ'!$B$6:$B$1005,$W610)=0),COUNTIFS('①在庫を貼る'!$V$6:$V$10005,$V610,'①在庫を貼る'!$W$6:$W$10005,$W610)&gt;0),N(U609),N(U609)+1))</f>
        <v/>
      </c>
      <c r="V610" s="19">
        <f>IF($B610="","",TEXT($B610,"0000"))</f>
        <v/>
      </c>
      <c r="W610" s="19">
        <f>IF($I610="","",IF(ISNUMBER($I610),TEXT($I610,"0"),$I610))</f>
        <v/>
      </c>
    </row>
    <row r="611">
      <c r="B611" s="25" t="n"/>
      <c r="I611" s="25" t="n"/>
      <c r="U611" s="19">
        <f>IF($V611&lt;&gt;'設定'!$C$4,N(U610),IF(OR(NOT(COUNTIF('商品マスタ'!$B$6:$B$1005,$W611)=0),COUNTIFS('①在庫を貼る'!$V$6:$V$10005,$V611,'①在庫を貼る'!$W$6:$W$10005,$W611)&gt;0),N(U610),N(U610)+1))</f>
        <v/>
      </c>
      <c r="V611" s="19">
        <f>IF($B611="","",TEXT($B611,"0000"))</f>
        <v/>
      </c>
      <c r="W611" s="19">
        <f>IF($I611="","",IF(ISNUMBER($I611),TEXT($I611,"0"),$I611))</f>
        <v/>
      </c>
    </row>
    <row r="612">
      <c r="B612" s="25" t="n"/>
      <c r="I612" s="25" t="n"/>
      <c r="U612" s="19">
        <f>IF($V612&lt;&gt;'設定'!$C$4,N(U611),IF(OR(NOT(COUNTIF('商品マスタ'!$B$6:$B$1005,$W612)=0),COUNTIFS('①在庫を貼る'!$V$6:$V$10005,$V612,'①在庫を貼る'!$W$6:$W$10005,$W612)&gt;0),N(U611),N(U611)+1))</f>
        <v/>
      </c>
      <c r="V612" s="19">
        <f>IF($B612="","",TEXT($B612,"0000"))</f>
        <v/>
      </c>
      <c r="W612" s="19">
        <f>IF($I612="","",IF(ISNUMBER($I612),TEXT($I612,"0"),$I612))</f>
        <v/>
      </c>
    </row>
    <row r="613">
      <c r="B613" s="25" t="n"/>
      <c r="I613" s="25" t="n"/>
      <c r="U613" s="19">
        <f>IF($V613&lt;&gt;'設定'!$C$4,N(U612),IF(OR(NOT(COUNTIF('商品マスタ'!$B$6:$B$1005,$W613)=0),COUNTIFS('①在庫を貼る'!$V$6:$V$10005,$V613,'①在庫を貼る'!$W$6:$W$10005,$W613)&gt;0),N(U612),N(U612)+1))</f>
        <v/>
      </c>
      <c r="V613" s="19">
        <f>IF($B613="","",TEXT($B613,"0000"))</f>
        <v/>
      </c>
      <c r="W613" s="19">
        <f>IF($I613="","",IF(ISNUMBER($I613),TEXT($I613,"0"),$I613))</f>
        <v/>
      </c>
    </row>
    <row r="614">
      <c r="B614" s="25" t="n"/>
      <c r="I614" s="25" t="n"/>
      <c r="U614" s="19">
        <f>IF($V614&lt;&gt;'設定'!$C$4,N(U613),IF(OR(NOT(COUNTIF('商品マスタ'!$B$6:$B$1005,$W614)=0),COUNTIFS('①在庫を貼る'!$V$6:$V$10005,$V614,'①在庫を貼る'!$W$6:$W$10005,$W614)&gt;0),N(U613),N(U613)+1))</f>
        <v/>
      </c>
      <c r="V614" s="19">
        <f>IF($B614="","",TEXT($B614,"0000"))</f>
        <v/>
      </c>
      <c r="W614" s="19">
        <f>IF($I614="","",IF(ISNUMBER($I614),TEXT($I614,"0"),$I614))</f>
        <v/>
      </c>
    </row>
    <row r="615">
      <c r="B615" s="25" t="n"/>
      <c r="I615" s="25" t="n"/>
      <c r="U615" s="19">
        <f>IF($V615&lt;&gt;'設定'!$C$4,N(U614),IF(OR(NOT(COUNTIF('商品マスタ'!$B$6:$B$1005,$W615)=0),COUNTIFS('①在庫を貼る'!$V$6:$V$10005,$V615,'①在庫を貼る'!$W$6:$W$10005,$W615)&gt;0),N(U614),N(U614)+1))</f>
        <v/>
      </c>
      <c r="V615" s="19">
        <f>IF($B615="","",TEXT($B615,"0000"))</f>
        <v/>
      </c>
      <c r="W615" s="19">
        <f>IF($I615="","",IF(ISNUMBER($I615),TEXT($I615,"0"),$I615))</f>
        <v/>
      </c>
    </row>
    <row r="616">
      <c r="B616" s="25" t="n"/>
      <c r="I616" s="25" t="n"/>
      <c r="U616" s="19">
        <f>IF($V616&lt;&gt;'設定'!$C$4,N(U615),IF(OR(NOT(COUNTIF('商品マスタ'!$B$6:$B$1005,$W616)=0),COUNTIFS('①在庫を貼る'!$V$6:$V$10005,$V616,'①在庫を貼る'!$W$6:$W$10005,$W616)&gt;0),N(U615),N(U615)+1))</f>
        <v/>
      </c>
      <c r="V616" s="19">
        <f>IF($B616="","",TEXT($B616,"0000"))</f>
        <v/>
      </c>
      <c r="W616" s="19">
        <f>IF($I616="","",IF(ISNUMBER($I616),TEXT($I616,"0"),$I616))</f>
        <v/>
      </c>
    </row>
    <row r="617">
      <c r="B617" s="25" t="n"/>
      <c r="I617" s="25" t="n"/>
      <c r="U617" s="19">
        <f>IF($V617&lt;&gt;'設定'!$C$4,N(U616),IF(OR(NOT(COUNTIF('商品マスタ'!$B$6:$B$1005,$W617)=0),COUNTIFS('①在庫を貼る'!$V$6:$V$10005,$V617,'①在庫を貼る'!$W$6:$W$10005,$W617)&gt;0),N(U616),N(U616)+1))</f>
        <v/>
      </c>
      <c r="V617" s="19">
        <f>IF($B617="","",TEXT($B617,"0000"))</f>
        <v/>
      </c>
      <c r="W617" s="19">
        <f>IF($I617="","",IF(ISNUMBER($I617),TEXT($I617,"0"),$I617))</f>
        <v/>
      </c>
    </row>
    <row r="618">
      <c r="B618" s="25" t="n"/>
      <c r="I618" s="25" t="n"/>
      <c r="U618" s="19">
        <f>IF($V618&lt;&gt;'設定'!$C$4,N(U617),IF(OR(NOT(COUNTIF('商品マスタ'!$B$6:$B$1005,$W618)=0),COUNTIFS('①在庫を貼る'!$V$6:$V$10005,$V618,'①在庫を貼る'!$W$6:$W$10005,$W618)&gt;0),N(U617),N(U617)+1))</f>
        <v/>
      </c>
      <c r="V618" s="19">
        <f>IF($B618="","",TEXT($B618,"0000"))</f>
        <v/>
      </c>
      <c r="W618" s="19">
        <f>IF($I618="","",IF(ISNUMBER($I618),TEXT($I618,"0"),$I618))</f>
        <v/>
      </c>
    </row>
    <row r="619">
      <c r="B619" s="25" t="n"/>
      <c r="I619" s="25" t="n"/>
      <c r="U619" s="19">
        <f>IF($V619&lt;&gt;'設定'!$C$4,N(U618),IF(OR(NOT(COUNTIF('商品マスタ'!$B$6:$B$1005,$W619)=0),COUNTIFS('①在庫を貼る'!$V$6:$V$10005,$V619,'①在庫を貼る'!$W$6:$W$10005,$W619)&gt;0),N(U618),N(U618)+1))</f>
        <v/>
      </c>
      <c r="V619" s="19">
        <f>IF($B619="","",TEXT($B619,"0000"))</f>
        <v/>
      </c>
      <c r="W619" s="19">
        <f>IF($I619="","",IF(ISNUMBER($I619),TEXT($I619,"0"),$I619))</f>
        <v/>
      </c>
    </row>
    <row r="620">
      <c r="B620" s="25" t="n"/>
      <c r="I620" s="25" t="n"/>
      <c r="U620" s="19">
        <f>IF($V620&lt;&gt;'設定'!$C$4,N(U619),IF(OR(NOT(COUNTIF('商品マスタ'!$B$6:$B$1005,$W620)=0),COUNTIFS('①在庫を貼る'!$V$6:$V$10005,$V620,'①在庫を貼る'!$W$6:$W$10005,$W620)&gt;0),N(U619),N(U619)+1))</f>
        <v/>
      </c>
      <c r="V620" s="19">
        <f>IF($B620="","",TEXT($B620,"0000"))</f>
        <v/>
      </c>
      <c r="W620" s="19">
        <f>IF($I620="","",IF(ISNUMBER($I620),TEXT($I620,"0"),$I620))</f>
        <v/>
      </c>
    </row>
    <row r="621">
      <c r="B621" s="25" t="n"/>
      <c r="I621" s="25" t="n"/>
      <c r="U621" s="19">
        <f>IF($V621&lt;&gt;'設定'!$C$4,N(U620),IF(OR(NOT(COUNTIF('商品マスタ'!$B$6:$B$1005,$W621)=0),COUNTIFS('①在庫を貼る'!$V$6:$V$10005,$V621,'①在庫を貼る'!$W$6:$W$10005,$W621)&gt;0),N(U620),N(U620)+1))</f>
        <v/>
      </c>
      <c r="V621" s="19">
        <f>IF($B621="","",TEXT($B621,"0000"))</f>
        <v/>
      </c>
      <c r="W621" s="19">
        <f>IF($I621="","",IF(ISNUMBER($I621),TEXT($I621,"0"),$I621))</f>
        <v/>
      </c>
    </row>
    <row r="622">
      <c r="B622" s="25" t="n"/>
      <c r="I622" s="25" t="n"/>
      <c r="U622" s="19">
        <f>IF($V622&lt;&gt;'設定'!$C$4,N(U621),IF(OR(NOT(COUNTIF('商品マスタ'!$B$6:$B$1005,$W622)=0),COUNTIFS('①在庫を貼る'!$V$6:$V$10005,$V622,'①在庫を貼る'!$W$6:$W$10005,$W622)&gt;0),N(U621),N(U621)+1))</f>
        <v/>
      </c>
      <c r="V622" s="19">
        <f>IF($B622="","",TEXT($B622,"0000"))</f>
        <v/>
      </c>
      <c r="W622" s="19">
        <f>IF($I622="","",IF(ISNUMBER($I622),TEXT($I622,"0"),$I622))</f>
        <v/>
      </c>
    </row>
    <row r="623">
      <c r="B623" s="25" t="n"/>
      <c r="I623" s="25" t="n"/>
      <c r="U623" s="19">
        <f>IF($V623&lt;&gt;'設定'!$C$4,N(U622),IF(OR(NOT(COUNTIF('商品マスタ'!$B$6:$B$1005,$W623)=0),COUNTIFS('①在庫を貼る'!$V$6:$V$10005,$V623,'①在庫を貼る'!$W$6:$W$10005,$W623)&gt;0),N(U622),N(U622)+1))</f>
        <v/>
      </c>
      <c r="V623" s="19">
        <f>IF($B623="","",TEXT($B623,"0000"))</f>
        <v/>
      </c>
      <c r="W623" s="19">
        <f>IF($I623="","",IF(ISNUMBER($I623),TEXT($I623,"0"),$I623))</f>
        <v/>
      </c>
    </row>
    <row r="624">
      <c r="B624" s="25" t="n"/>
      <c r="I624" s="25" t="n"/>
      <c r="U624" s="19">
        <f>IF($V624&lt;&gt;'設定'!$C$4,N(U623),IF(OR(NOT(COUNTIF('商品マスタ'!$B$6:$B$1005,$W624)=0),COUNTIFS('①在庫を貼る'!$V$6:$V$10005,$V624,'①在庫を貼る'!$W$6:$W$10005,$W624)&gt;0),N(U623),N(U623)+1))</f>
        <v/>
      </c>
      <c r="V624" s="19">
        <f>IF($B624="","",TEXT($B624,"0000"))</f>
        <v/>
      </c>
      <c r="W624" s="19">
        <f>IF($I624="","",IF(ISNUMBER($I624),TEXT($I624,"0"),$I624))</f>
        <v/>
      </c>
    </row>
    <row r="625">
      <c r="B625" s="25" t="n"/>
      <c r="I625" s="25" t="n"/>
      <c r="U625" s="19">
        <f>IF($V625&lt;&gt;'設定'!$C$4,N(U624),IF(OR(NOT(COUNTIF('商品マスタ'!$B$6:$B$1005,$W625)=0),COUNTIFS('①在庫を貼る'!$V$6:$V$10005,$V625,'①在庫を貼る'!$W$6:$W$10005,$W625)&gt;0),N(U624),N(U624)+1))</f>
        <v/>
      </c>
      <c r="V625" s="19">
        <f>IF($B625="","",TEXT($B625,"0000"))</f>
        <v/>
      </c>
      <c r="W625" s="19">
        <f>IF($I625="","",IF(ISNUMBER($I625),TEXT($I625,"0"),$I625))</f>
        <v/>
      </c>
    </row>
    <row r="626">
      <c r="B626" s="25" t="n"/>
      <c r="I626" s="25" t="n"/>
      <c r="U626" s="19">
        <f>IF($V626&lt;&gt;'設定'!$C$4,N(U625),IF(OR(NOT(COUNTIF('商品マスタ'!$B$6:$B$1005,$W626)=0),COUNTIFS('①在庫を貼る'!$V$6:$V$10005,$V626,'①在庫を貼る'!$W$6:$W$10005,$W626)&gt;0),N(U625),N(U625)+1))</f>
        <v/>
      </c>
      <c r="V626" s="19">
        <f>IF($B626="","",TEXT($B626,"0000"))</f>
        <v/>
      </c>
      <c r="W626" s="19">
        <f>IF($I626="","",IF(ISNUMBER($I626),TEXT($I626,"0"),$I626))</f>
        <v/>
      </c>
    </row>
    <row r="627">
      <c r="B627" s="25" t="n"/>
      <c r="I627" s="25" t="n"/>
      <c r="U627" s="19">
        <f>IF($V627&lt;&gt;'設定'!$C$4,N(U626),IF(OR(NOT(COUNTIF('商品マスタ'!$B$6:$B$1005,$W627)=0),COUNTIFS('①在庫を貼る'!$V$6:$V$10005,$V627,'①在庫を貼る'!$W$6:$W$10005,$W627)&gt;0),N(U626),N(U626)+1))</f>
        <v/>
      </c>
      <c r="V627" s="19">
        <f>IF($B627="","",TEXT($B627,"0000"))</f>
        <v/>
      </c>
      <c r="W627" s="19">
        <f>IF($I627="","",IF(ISNUMBER($I627),TEXT($I627,"0"),$I627))</f>
        <v/>
      </c>
    </row>
    <row r="628">
      <c r="B628" s="25" t="n"/>
      <c r="I628" s="25" t="n"/>
      <c r="U628" s="19">
        <f>IF($V628&lt;&gt;'設定'!$C$4,N(U627),IF(OR(NOT(COUNTIF('商品マスタ'!$B$6:$B$1005,$W628)=0),COUNTIFS('①在庫を貼る'!$V$6:$V$10005,$V628,'①在庫を貼る'!$W$6:$W$10005,$W628)&gt;0),N(U627),N(U627)+1))</f>
        <v/>
      </c>
      <c r="V628" s="19">
        <f>IF($B628="","",TEXT($B628,"0000"))</f>
        <v/>
      </c>
      <c r="W628" s="19">
        <f>IF($I628="","",IF(ISNUMBER($I628),TEXT($I628,"0"),$I628))</f>
        <v/>
      </c>
    </row>
    <row r="629">
      <c r="B629" s="25" t="n"/>
      <c r="I629" s="25" t="n"/>
      <c r="U629" s="19">
        <f>IF($V629&lt;&gt;'設定'!$C$4,N(U628),IF(OR(NOT(COUNTIF('商品マスタ'!$B$6:$B$1005,$W629)=0),COUNTIFS('①在庫を貼る'!$V$6:$V$10005,$V629,'①在庫を貼る'!$W$6:$W$10005,$W629)&gt;0),N(U628),N(U628)+1))</f>
        <v/>
      </c>
      <c r="V629" s="19">
        <f>IF($B629="","",TEXT($B629,"0000"))</f>
        <v/>
      </c>
      <c r="W629" s="19">
        <f>IF($I629="","",IF(ISNUMBER($I629),TEXT($I629,"0"),$I629))</f>
        <v/>
      </c>
    </row>
    <row r="630">
      <c r="B630" s="25" t="n"/>
      <c r="I630" s="25" t="n"/>
      <c r="U630" s="19">
        <f>IF($V630&lt;&gt;'設定'!$C$4,N(U629),IF(OR(NOT(COUNTIF('商品マスタ'!$B$6:$B$1005,$W630)=0),COUNTIFS('①在庫を貼る'!$V$6:$V$10005,$V630,'①在庫を貼る'!$W$6:$W$10005,$W630)&gt;0),N(U629),N(U629)+1))</f>
        <v/>
      </c>
      <c r="V630" s="19">
        <f>IF($B630="","",TEXT($B630,"0000"))</f>
        <v/>
      </c>
      <c r="W630" s="19">
        <f>IF($I630="","",IF(ISNUMBER($I630),TEXT($I630,"0"),$I630))</f>
        <v/>
      </c>
    </row>
    <row r="631">
      <c r="B631" s="25" t="n"/>
      <c r="I631" s="25" t="n"/>
      <c r="U631" s="19">
        <f>IF($V631&lt;&gt;'設定'!$C$4,N(U630),IF(OR(NOT(COUNTIF('商品マスタ'!$B$6:$B$1005,$W631)=0),COUNTIFS('①在庫を貼る'!$V$6:$V$10005,$V631,'①在庫を貼る'!$W$6:$W$10005,$W631)&gt;0),N(U630),N(U630)+1))</f>
        <v/>
      </c>
      <c r="V631" s="19">
        <f>IF($B631="","",TEXT($B631,"0000"))</f>
        <v/>
      </c>
      <c r="W631" s="19">
        <f>IF($I631="","",IF(ISNUMBER($I631),TEXT($I631,"0"),$I631))</f>
        <v/>
      </c>
    </row>
    <row r="632">
      <c r="B632" s="25" t="n"/>
      <c r="I632" s="25" t="n"/>
      <c r="U632" s="19">
        <f>IF($V632&lt;&gt;'設定'!$C$4,N(U631),IF(OR(NOT(COUNTIF('商品マスタ'!$B$6:$B$1005,$W632)=0),COUNTIFS('①在庫を貼る'!$V$6:$V$10005,$V632,'①在庫を貼る'!$W$6:$W$10005,$W632)&gt;0),N(U631),N(U631)+1))</f>
        <v/>
      </c>
      <c r="V632" s="19">
        <f>IF($B632="","",TEXT($B632,"0000"))</f>
        <v/>
      </c>
      <c r="W632" s="19">
        <f>IF($I632="","",IF(ISNUMBER($I632),TEXT($I632,"0"),$I632))</f>
        <v/>
      </c>
    </row>
    <row r="633">
      <c r="B633" s="25" t="n"/>
      <c r="I633" s="25" t="n"/>
      <c r="U633" s="19">
        <f>IF($V633&lt;&gt;'設定'!$C$4,N(U632),IF(OR(NOT(COUNTIF('商品マスタ'!$B$6:$B$1005,$W633)=0),COUNTIFS('①在庫を貼る'!$V$6:$V$10005,$V633,'①在庫を貼る'!$W$6:$W$10005,$W633)&gt;0),N(U632),N(U632)+1))</f>
        <v/>
      </c>
      <c r="V633" s="19">
        <f>IF($B633="","",TEXT($B633,"0000"))</f>
        <v/>
      </c>
      <c r="W633" s="19">
        <f>IF($I633="","",IF(ISNUMBER($I633),TEXT($I633,"0"),$I633))</f>
        <v/>
      </c>
    </row>
    <row r="634">
      <c r="B634" s="25" t="n"/>
      <c r="I634" s="25" t="n"/>
      <c r="U634" s="19">
        <f>IF($V634&lt;&gt;'設定'!$C$4,N(U633),IF(OR(NOT(COUNTIF('商品マスタ'!$B$6:$B$1005,$W634)=0),COUNTIFS('①在庫を貼る'!$V$6:$V$10005,$V634,'①在庫を貼る'!$W$6:$W$10005,$W634)&gt;0),N(U633),N(U633)+1))</f>
        <v/>
      </c>
      <c r="V634" s="19">
        <f>IF($B634="","",TEXT($B634,"0000"))</f>
        <v/>
      </c>
      <c r="W634" s="19">
        <f>IF($I634="","",IF(ISNUMBER($I634),TEXT($I634,"0"),$I634))</f>
        <v/>
      </c>
    </row>
    <row r="635">
      <c r="B635" s="25" t="n"/>
      <c r="I635" s="25" t="n"/>
      <c r="U635" s="19">
        <f>IF($V635&lt;&gt;'設定'!$C$4,N(U634),IF(OR(NOT(COUNTIF('商品マスタ'!$B$6:$B$1005,$W635)=0),COUNTIFS('①在庫を貼る'!$V$6:$V$10005,$V635,'①在庫を貼る'!$W$6:$W$10005,$W635)&gt;0),N(U634),N(U634)+1))</f>
        <v/>
      </c>
      <c r="V635" s="19">
        <f>IF($B635="","",TEXT($B635,"0000"))</f>
        <v/>
      </c>
      <c r="W635" s="19">
        <f>IF($I635="","",IF(ISNUMBER($I635),TEXT($I635,"0"),$I635))</f>
        <v/>
      </c>
    </row>
    <row r="636">
      <c r="B636" s="25" t="n"/>
      <c r="I636" s="25" t="n"/>
      <c r="U636" s="19">
        <f>IF($V636&lt;&gt;'設定'!$C$4,N(U635),IF(OR(NOT(COUNTIF('商品マスタ'!$B$6:$B$1005,$W636)=0),COUNTIFS('①在庫を貼る'!$V$6:$V$10005,$V636,'①在庫を貼る'!$W$6:$W$10005,$W636)&gt;0),N(U635),N(U635)+1))</f>
        <v/>
      </c>
      <c r="V636" s="19">
        <f>IF($B636="","",TEXT($B636,"0000"))</f>
        <v/>
      </c>
      <c r="W636" s="19">
        <f>IF($I636="","",IF(ISNUMBER($I636),TEXT($I636,"0"),$I636))</f>
        <v/>
      </c>
    </row>
    <row r="637">
      <c r="B637" s="25" t="n"/>
      <c r="I637" s="25" t="n"/>
      <c r="U637" s="19">
        <f>IF($V637&lt;&gt;'設定'!$C$4,N(U636),IF(OR(NOT(COUNTIF('商品マスタ'!$B$6:$B$1005,$W637)=0),COUNTIFS('①在庫を貼る'!$V$6:$V$10005,$V637,'①在庫を貼る'!$W$6:$W$10005,$W637)&gt;0),N(U636),N(U636)+1))</f>
        <v/>
      </c>
      <c r="V637" s="19">
        <f>IF($B637="","",TEXT($B637,"0000"))</f>
        <v/>
      </c>
      <c r="W637" s="19">
        <f>IF($I637="","",IF(ISNUMBER($I637),TEXT($I637,"0"),$I637))</f>
        <v/>
      </c>
    </row>
    <row r="638">
      <c r="B638" s="25" t="n"/>
      <c r="I638" s="25" t="n"/>
      <c r="U638" s="19">
        <f>IF($V638&lt;&gt;'設定'!$C$4,N(U637),IF(OR(NOT(COUNTIF('商品マスタ'!$B$6:$B$1005,$W638)=0),COUNTIFS('①在庫を貼る'!$V$6:$V$10005,$V638,'①在庫を貼る'!$W$6:$W$10005,$W638)&gt;0),N(U637),N(U637)+1))</f>
        <v/>
      </c>
      <c r="V638" s="19">
        <f>IF($B638="","",TEXT($B638,"0000"))</f>
        <v/>
      </c>
      <c r="W638" s="19">
        <f>IF($I638="","",IF(ISNUMBER($I638),TEXT($I638,"0"),$I638))</f>
        <v/>
      </c>
    </row>
    <row r="639">
      <c r="B639" s="25" t="n"/>
      <c r="I639" s="25" t="n"/>
      <c r="U639" s="19">
        <f>IF($V639&lt;&gt;'設定'!$C$4,N(U638),IF(OR(NOT(COUNTIF('商品マスタ'!$B$6:$B$1005,$W639)=0),COUNTIFS('①在庫を貼る'!$V$6:$V$10005,$V639,'①在庫を貼る'!$W$6:$W$10005,$W639)&gt;0),N(U638),N(U638)+1))</f>
        <v/>
      </c>
      <c r="V639" s="19">
        <f>IF($B639="","",TEXT($B639,"0000"))</f>
        <v/>
      </c>
      <c r="W639" s="19">
        <f>IF($I639="","",IF(ISNUMBER($I639),TEXT($I639,"0"),$I639))</f>
        <v/>
      </c>
    </row>
    <row r="640">
      <c r="B640" s="25" t="n"/>
      <c r="I640" s="25" t="n"/>
      <c r="U640" s="19">
        <f>IF($V640&lt;&gt;'設定'!$C$4,N(U639),IF(OR(NOT(COUNTIF('商品マスタ'!$B$6:$B$1005,$W640)=0),COUNTIFS('①在庫を貼る'!$V$6:$V$10005,$V640,'①在庫を貼る'!$W$6:$W$10005,$W640)&gt;0),N(U639),N(U639)+1))</f>
        <v/>
      </c>
      <c r="V640" s="19">
        <f>IF($B640="","",TEXT($B640,"0000"))</f>
        <v/>
      </c>
      <c r="W640" s="19">
        <f>IF($I640="","",IF(ISNUMBER($I640),TEXT($I640,"0"),$I640))</f>
        <v/>
      </c>
    </row>
    <row r="641">
      <c r="B641" s="25" t="n"/>
      <c r="I641" s="25" t="n"/>
      <c r="U641" s="19">
        <f>IF($V641&lt;&gt;'設定'!$C$4,N(U640),IF(OR(NOT(COUNTIF('商品マスタ'!$B$6:$B$1005,$W641)=0),COUNTIFS('①在庫を貼る'!$V$6:$V$10005,$V641,'①在庫を貼る'!$W$6:$W$10005,$W641)&gt;0),N(U640),N(U640)+1))</f>
        <v/>
      </c>
      <c r="V641" s="19">
        <f>IF($B641="","",TEXT($B641,"0000"))</f>
        <v/>
      </c>
      <c r="W641" s="19">
        <f>IF($I641="","",IF(ISNUMBER($I641),TEXT($I641,"0"),$I641))</f>
        <v/>
      </c>
    </row>
    <row r="642">
      <c r="B642" s="25" t="n"/>
      <c r="I642" s="25" t="n"/>
      <c r="U642" s="19">
        <f>IF($V642&lt;&gt;'設定'!$C$4,N(U641),IF(OR(NOT(COUNTIF('商品マスタ'!$B$6:$B$1005,$W642)=0),COUNTIFS('①在庫を貼る'!$V$6:$V$10005,$V642,'①在庫を貼る'!$W$6:$W$10005,$W642)&gt;0),N(U641),N(U641)+1))</f>
        <v/>
      </c>
      <c r="V642" s="19">
        <f>IF($B642="","",TEXT($B642,"0000"))</f>
        <v/>
      </c>
      <c r="W642" s="19">
        <f>IF($I642="","",IF(ISNUMBER($I642),TEXT($I642,"0"),$I642))</f>
        <v/>
      </c>
    </row>
    <row r="643">
      <c r="B643" s="25" t="n"/>
      <c r="I643" s="25" t="n"/>
      <c r="U643" s="19">
        <f>IF($V643&lt;&gt;'設定'!$C$4,N(U642),IF(OR(NOT(COUNTIF('商品マスタ'!$B$6:$B$1005,$W643)=0),COUNTIFS('①在庫を貼る'!$V$6:$V$10005,$V643,'①在庫を貼る'!$W$6:$W$10005,$W643)&gt;0),N(U642),N(U642)+1))</f>
        <v/>
      </c>
      <c r="V643" s="19">
        <f>IF($B643="","",TEXT($B643,"0000"))</f>
        <v/>
      </c>
      <c r="W643" s="19">
        <f>IF($I643="","",IF(ISNUMBER($I643),TEXT($I643,"0"),$I643))</f>
        <v/>
      </c>
    </row>
    <row r="644">
      <c r="B644" s="25" t="n"/>
      <c r="I644" s="25" t="n"/>
      <c r="U644" s="19">
        <f>IF($V644&lt;&gt;'設定'!$C$4,N(U643),IF(OR(NOT(COUNTIF('商品マスタ'!$B$6:$B$1005,$W644)=0),COUNTIFS('①在庫を貼る'!$V$6:$V$10005,$V644,'①在庫を貼る'!$W$6:$W$10005,$W644)&gt;0),N(U643),N(U643)+1))</f>
        <v/>
      </c>
      <c r="V644" s="19">
        <f>IF($B644="","",TEXT($B644,"0000"))</f>
        <v/>
      </c>
      <c r="W644" s="19">
        <f>IF($I644="","",IF(ISNUMBER($I644),TEXT($I644,"0"),$I644))</f>
        <v/>
      </c>
    </row>
    <row r="645">
      <c r="B645" s="25" t="n"/>
      <c r="I645" s="25" t="n"/>
      <c r="U645" s="19">
        <f>IF($V645&lt;&gt;'設定'!$C$4,N(U644),IF(OR(NOT(COUNTIF('商品マスタ'!$B$6:$B$1005,$W645)=0),COUNTIFS('①在庫を貼る'!$V$6:$V$10005,$V645,'①在庫を貼る'!$W$6:$W$10005,$W645)&gt;0),N(U644),N(U644)+1))</f>
        <v/>
      </c>
      <c r="V645" s="19">
        <f>IF($B645="","",TEXT($B645,"0000"))</f>
        <v/>
      </c>
      <c r="W645" s="19">
        <f>IF($I645="","",IF(ISNUMBER($I645),TEXT($I645,"0"),$I645))</f>
        <v/>
      </c>
    </row>
    <row r="646">
      <c r="B646" s="25" t="n"/>
      <c r="I646" s="25" t="n"/>
      <c r="U646" s="19">
        <f>IF($V646&lt;&gt;'設定'!$C$4,N(U645),IF(OR(NOT(COUNTIF('商品マスタ'!$B$6:$B$1005,$W646)=0),COUNTIFS('①在庫を貼る'!$V$6:$V$10005,$V646,'①在庫を貼る'!$W$6:$W$10005,$W646)&gt;0),N(U645),N(U645)+1))</f>
        <v/>
      </c>
      <c r="V646" s="19">
        <f>IF($B646="","",TEXT($B646,"0000"))</f>
        <v/>
      </c>
      <c r="W646" s="19">
        <f>IF($I646="","",IF(ISNUMBER($I646),TEXT($I646,"0"),$I646))</f>
        <v/>
      </c>
    </row>
    <row r="647">
      <c r="B647" s="25" t="n"/>
      <c r="I647" s="25" t="n"/>
      <c r="U647" s="19">
        <f>IF($V647&lt;&gt;'設定'!$C$4,N(U646),IF(OR(NOT(COUNTIF('商品マスタ'!$B$6:$B$1005,$W647)=0),COUNTIFS('①在庫を貼る'!$V$6:$V$10005,$V647,'①在庫を貼る'!$W$6:$W$10005,$W647)&gt;0),N(U646),N(U646)+1))</f>
        <v/>
      </c>
      <c r="V647" s="19">
        <f>IF($B647="","",TEXT($B647,"0000"))</f>
        <v/>
      </c>
      <c r="W647" s="19">
        <f>IF($I647="","",IF(ISNUMBER($I647),TEXT($I647,"0"),$I647))</f>
        <v/>
      </c>
    </row>
    <row r="648">
      <c r="B648" s="25" t="n"/>
      <c r="I648" s="25" t="n"/>
      <c r="U648" s="19">
        <f>IF($V648&lt;&gt;'設定'!$C$4,N(U647),IF(OR(NOT(COUNTIF('商品マスタ'!$B$6:$B$1005,$W648)=0),COUNTIFS('①在庫を貼る'!$V$6:$V$10005,$V648,'①在庫を貼る'!$W$6:$W$10005,$W648)&gt;0),N(U647),N(U647)+1))</f>
        <v/>
      </c>
      <c r="V648" s="19">
        <f>IF($B648="","",TEXT($B648,"0000"))</f>
        <v/>
      </c>
      <c r="W648" s="19">
        <f>IF($I648="","",IF(ISNUMBER($I648),TEXT($I648,"0"),$I648))</f>
        <v/>
      </c>
    </row>
    <row r="649">
      <c r="B649" s="25" t="n"/>
      <c r="I649" s="25" t="n"/>
      <c r="U649" s="19">
        <f>IF($V649&lt;&gt;'設定'!$C$4,N(U648),IF(OR(NOT(COUNTIF('商品マスタ'!$B$6:$B$1005,$W649)=0),COUNTIFS('①在庫を貼る'!$V$6:$V$10005,$V649,'①在庫を貼る'!$W$6:$W$10005,$W649)&gt;0),N(U648),N(U648)+1))</f>
        <v/>
      </c>
      <c r="V649" s="19">
        <f>IF($B649="","",TEXT($B649,"0000"))</f>
        <v/>
      </c>
      <c r="W649" s="19">
        <f>IF($I649="","",IF(ISNUMBER($I649),TEXT($I649,"0"),$I649))</f>
        <v/>
      </c>
    </row>
    <row r="650">
      <c r="B650" s="25" t="n"/>
      <c r="I650" s="25" t="n"/>
      <c r="U650" s="19">
        <f>IF($V650&lt;&gt;'設定'!$C$4,N(U649),IF(OR(NOT(COUNTIF('商品マスタ'!$B$6:$B$1005,$W650)=0),COUNTIFS('①在庫を貼る'!$V$6:$V$10005,$V650,'①在庫を貼る'!$W$6:$W$10005,$W650)&gt;0),N(U649),N(U649)+1))</f>
        <v/>
      </c>
      <c r="V650" s="19">
        <f>IF($B650="","",TEXT($B650,"0000"))</f>
        <v/>
      </c>
      <c r="W650" s="19">
        <f>IF($I650="","",IF(ISNUMBER($I650),TEXT($I650,"0"),$I650))</f>
        <v/>
      </c>
    </row>
    <row r="651">
      <c r="B651" s="25" t="n"/>
      <c r="I651" s="25" t="n"/>
      <c r="U651" s="19">
        <f>IF($V651&lt;&gt;'設定'!$C$4,N(U650),IF(OR(NOT(COUNTIF('商品マスタ'!$B$6:$B$1005,$W651)=0),COUNTIFS('①在庫を貼る'!$V$6:$V$10005,$V651,'①在庫を貼る'!$W$6:$W$10005,$W651)&gt;0),N(U650),N(U650)+1))</f>
        <v/>
      </c>
      <c r="V651" s="19">
        <f>IF($B651="","",TEXT($B651,"0000"))</f>
        <v/>
      </c>
      <c r="W651" s="19">
        <f>IF($I651="","",IF(ISNUMBER($I651),TEXT($I651,"0"),$I651))</f>
        <v/>
      </c>
    </row>
    <row r="652">
      <c r="B652" s="25" t="n"/>
      <c r="I652" s="25" t="n"/>
      <c r="U652" s="19">
        <f>IF($V652&lt;&gt;'設定'!$C$4,N(U651),IF(OR(NOT(COUNTIF('商品マスタ'!$B$6:$B$1005,$W652)=0),COUNTIFS('①在庫を貼る'!$V$6:$V$10005,$V652,'①在庫を貼る'!$W$6:$W$10005,$W652)&gt;0),N(U651),N(U651)+1))</f>
        <v/>
      </c>
      <c r="V652" s="19">
        <f>IF($B652="","",TEXT($B652,"0000"))</f>
        <v/>
      </c>
      <c r="W652" s="19">
        <f>IF($I652="","",IF(ISNUMBER($I652),TEXT($I652,"0"),$I652))</f>
        <v/>
      </c>
    </row>
    <row r="653">
      <c r="B653" s="25" t="n"/>
      <c r="I653" s="25" t="n"/>
      <c r="U653" s="19">
        <f>IF($V653&lt;&gt;'設定'!$C$4,N(U652),IF(OR(NOT(COUNTIF('商品マスタ'!$B$6:$B$1005,$W653)=0),COUNTIFS('①在庫を貼る'!$V$6:$V$10005,$V653,'①在庫を貼る'!$W$6:$W$10005,$W653)&gt;0),N(U652),N(U652)+1))</f>
        <v/>
      </c>
      <c r="V653" s="19">
        <f>IF($B653="","",TEXT($B653,"0000"))</f>
        <v/>
      </c>
      <c r="W653" s="19">
        <f>IF($I653="","",IF(ISNUMBER($I653),TEXT($I653,"0"),$I653))</f>
        <v/>
      </c>
    </row>
    <row r="654">
      <c r="B654" s="25" t="n"/>
      <c r="I654" s="25" t="n"/>
      <c r="U654" s="19">
        <f>IF($V654&lt;&gt;'設定'!$C$4,N(U653),IF(OR(NOT(COUNTIF('商品マスタ'!$B$6:$B$1005,$W654)=0),COUNTIFS('①在庫を貼る'!$V$6:$V$10005,$V654,'①在庫を貼る'!$W$6:$W$10005,$W654)&gt;0),N(U653),N(U653)+1))</f>
        <v/>
      </c>
      <c r="V654" s="19">
        <f>IF($B654="","",TEXT($B654,"0000"))</f>
        <v/>
      </c>
      <c r="W654" s="19">
        <f>IF($I654="","",IF(ISNUMBER($I654),TEXT($I654,"0"),$I654))</f>
        <v/>
      </c>
    </row>
    <row r="655">
      <c r="B655" s="25" t="n"/>
      <c r="I655" s="25" t="n"/>
      <c r="U655" s="19">
        <f>IF($V655&lt;&gt;'設定'!$C$4,N(U654),IF(OR(NOT(COUNTIF('商品マスタ'!$B$6:$B$1005,$W655)=0),COUNTIFS('①在庫を貼る'!$V$6:$V$10005,$V655,'①在庫を貼る'!$W$6:$W$10005,$W655)&gt;0),N(U654),N(U654)+1))</f>
        <v/>
      </c>
      <c r="V655" s="19">
        <f>IF($B655="","",TEXT($B655,"0000"))</f>
        <v/>
      </c>
      <c r="W655" s="19">
        <f>IF($I655="","",IF(ISNUMBER($I655),TEXT($I655,"0"),$I655))</f>
        <v/>
      </c>
    </row>
    <row r="656">
      <c r="B656" s="25" t="n"/>
      <c r="I656" s="25" t="n"/>
      <c r="U656" s="19">
        <f>IF($V656&lt;&gt;'設定'!$C$4,N(U655),IF(OR(NOT(COUNTIF('商品マスタ'!$B$6:$B$1005,$W656)=0),COUNTIFS('①在庫を貼る'!$V$6:$V$10005,$V656,'①在庫を貼る'!$W$6:$W$10005,$W656)&gt;0),N(U655),N(U655)+1))</f>
        <v/>
      </c>
      <c r="V656" s="19">
        <f>IF($B656="","",TEXT($B656,"0000"))</f>
        <v/>
      </c>
      <c r="W656" s="19">
        <f>IF($I656="","",IF(ISNUMBER($I656),TEXT($I656,"0"),$I656))</f>
        <v/>
      </c>
    </row>
    <row r="657">
      <c r="B657" s="25" t="n"/>
      <c r="I657" s="25" t="n"/>
      <c r="U657" s="19">
        <f>IF($V657&lt;&gt;'設定'!$C$4,N(U656),IF(OR(NOT(COUNTIF('商品マスタ'!$B$6:$B$1005,$W657)=0),COUNTIFS('①在庫を貼る'!$V$6:$V$10005,$V657,'①在庫を貼る'!$W$6:$W$10005,$W657)&gt;0),N(U656),N(U656)+1))</f>
        <v/>
      </c>
      <c r="V657" s="19">
        <f>IF($B657="","",TEXT($B657,"0000"))</f>
        <v/>
      </c>
      <c r="W657" s="19">
        <f>IF($I657="","",IF(ISNUMBER($I657),TEXT($I657,"0"),$I657))</f>
        <v/>
      </c>
    </row>
    <row r="658">
      <c r="B658" s="25" t="n"/>
      <c r="I658" s="25" t="n"/>
      <c r="U658" s="19">
        <f>IF($V658&lt;&gt;'設定'!$C$4,N(U657),IF(OR(NOT(COUNTIF('商品マスタ'!$B$6:$B$1005,$W658)=0),COUNTIFS('①在庫を貼る'!$V$6:$V$10005,$V658,'①在庫を貼る'!$W$6:$W$10005,$W658)&gt;0),N(U657),N(U657)+1))</f>
        <v/>
      </c>
      <c r="V658" s="19">
        <f>IF($B658="","",TEXT($B658,"0000"))</f>
        <v/>
      </c>
      <c r="W658" s="19">
        <f>IF($I658="","",IF(ISNUMBER($I658),TEXT($I658,"0"),$I658))</f>
        <v/>
      </c>
    </row>
    <row r="659">
      <c r="B659" s="25" t="n"/>
      <c r="I659" s="25" t="n"/>
      <c r="U659" s="19">
        <f>IF($V659&lt;&gt;'設定'!$C$4,N(U658),IF(OR(NOT(COUNTIF('商品マスタ'!$B$6:$B$1005,$W659)=0),COUNTIFS('①在庫を貼る'!$V$6:$V$10005,$V659,'①在庫を貼る'!$W$6:$W$10005,$W659)&gt;0),N(U658),N(U658)+1))</f>
        <v/>
      </c>
      <c r="V659" s="19">
        <f>IF($B659="","",TEXT($B659,"0000"))</f>
        <v/>
      </c>
      <c r="W659" s="19">
        <f>IF($I659="","",IF(ISNUMBER($I659),TEXT($I659,"0"),$I659))</f>
        <v/>
      </c>
    </row>
    <row r="660">
      <c r="B660" s="25" t="n"/>
      <c r="I660" s="25" t="n"/>
      <c r="U660" s="19">
        <f>IF($V660&lt;&gt;'設定'!$C$4,N(U659),IF(OR(NOT(COUNTIF('商品マスタ'!$B$6:$B$1005,$W660)=0),COUNTIFS('①在庫を貼る'!$V$6:$V$10005,$V660,'①在庫を貼る'!$W$6:$W$10005,$W660)&gt;0),N(U659),N(U659)+1))</f>
        <v/>
      </c>
      <c r="V660" s="19">
        <f>IF($B660="","",TEXT($B660,"0000"))</f>
        <v/>
      </c>
      <c r="W660" s="19">
        <f>IF($I660="","",IF(ISNUMBER($I660),TEXT($I660,"0"),$I660))</f>
        <v/>
      </c>
    </row>
    <row r="661">
      <c r="B661" s="25" t="n"/>
      <c r="I661" s="25" t="n"/>
      <c r="U661" s="19">
        <f>IF($V661&lt;&gt;'設定'!$C$4,N(U660),IF(OR(NOT(COUNTIF('商品マスタ'!$B$6:$B$1005,$W661)=0),COUNTIFS('①在庫を貼る'!$V$6:$V$10005,$V661,'①在庫を貼る'!$W$6:$W$10005,$W661)&gt;0),N(U660),N(U660)+1))</f>
        <v/>
      </c>
      <c r="V661" s="19">
        <f>IF($B661="","",TEXT($B661,"0000"))</f>
        <v/>
      </c>
      <c r="W661" s="19">
        <f>IF($I661="","",IF(ISNUMBER($I661),TEXT($I661,"0"),$I661))</f>
        <v/>
      </c>
    </row>
    <row r="662">
      <c r="B662" s="25" t="n"/>
      <c r="I662" s="25" t="n"/>
      <c r="U662" s="19">
        <f>IF($V662&lt;&gt;'設定'!$C$4,N(U661),IF(OR(NOT(COUNTIF('商品マスタ'!$B$6:$B$1005,$W662)=0),COUNTIFS('①在庫を貼る'!$V$6:$V$10005,$V662,'①在庫を貼る'!$W$6:$W$10005,$W662)&gt;0),N(U661),N(U661)+1))</f>
        <v/>
      </c>
      <c r="V662" s="19">
        <f>IF($B662="","",TEXT($B662,"0000"))</f>
        <v/>
      </c>
      <c r="W662" s="19">
        <f>IF($I662="","",IF(ISNUMBER($I662),TEXT($I662,"0"),$I662))</f>
        <v/>
      </c>
    </row>
    <row r="663">
      <c r="B663" s="25" t="n"/>
      <c r="I663" s="25" t="n"/>
      <c r="U663" s="19">
        <f>IF($V663&lt;&gt;'設定'!$C$4,N(U662),IF(OR(NOT(COUNTIF('商品マスタ'!$B$6:$B$1005,$W663)=0),COUNTIFS('①在庫を貼る'!$V$6:$V$10005,$V663,'①在庫を貼る'!$W$6:$W$10005,$W663)&gt;0),N(U662),N(U662)+1))</f>
        <v/>
      </c>
      <c r="V663" s="19">
        <f>IF($B663="","",TEXT($B663,"0000"))</f>
        <v/>
      </c>
      <c r="W663" s="19">
        <f>IF($I663="","",IF(ISNUMBER($I663),TEXT($I663,"0"),$I663))</f>
        <v/>
      </c>
    </row>
    <row r="664">
      <c r="B664" s="25" t="n"/>
      <c r="I664" s="25" t="n"/>
      <c r="U664" s="19">
        <f>IF($V664&lt;&gt;'設定'!$C$4,N(U663),IF(OR(NOT(COUNTIF('商品マスタ'!$B$6:$B$1005,$W664)=0),COUNTIFS('①在庫を貼る'!$V$6:$V$10005,$V664,'①在庫を貼る'!$W$6:$W$10005,$W664)&gt;0),N(U663),N(U663)+1))</f>
        <v/>
      </c>
      <c r="V664" s="19">
        <f>IF($B664="","",TEXT($B664,"0000"))</f>
        <v/>
      </c>
      <c r="W664" s="19">
        <f>IF($I664="","",IF(ISNUMBER($I664),TEXT($I664,"0"),$I664))</f>
        <v/>
      </c>
    </row>
    <row r="665">
      <c r="B665" s="25" t="n"/>
      <c r="I665" s="25" t="n"/>
      <c r="U665" s="19">
        <f>IF($V665&lt;&gt;'設定'!$C$4,N(U664),IF(OR(NOT(COUNTIF('商品マスタ'!$B$6:$B$1005,$W665)=0),COUNTIFS('①在庫を貼る'!$V$6:$V$10005,$V665,'①在庫を貼る'!$W$6:$W$10005,$W665)&gt;0),N(U664),N(U664)+1))</f>
        <v/>
      </c>
      <c r="V665" s="19">
        <f>IF($B665="","",TEXT($B665,"0000"))</f>
        <v/>
      </c>
      <c r="W665" s="19">
        <f>IF($I665="","",IF(ISNUMBER($I665),TEXT($I665,"0"),$I665))</f>
        <v/>
      </c>
    </row>
    <row r="666">
      <c r="B666" s="25" t="n"/>
      <c r="I666" s="25" t="n"/>
      <c r="U666" s="19">
        <f>IF($V666&lt;&gt;'設定'!$C$4,N(U665),IF(OR(NOT(COUNTIF('商品マスタ'!$B$6:$B$1005,$W666)=0),COUNTIFS('①在庫を貼る'!$V$6:$V$10005,$V666,'①在庫を貼る'!$W$6:$W$10005,$W666)&gt;0),N(U665),N(U665)+1))</f>
        <v/>
      </c>
      <c r="V666" s="19">
        <f>IF($B666="","",TEXT($B666,"0000"))</f>
        <v/>
      </c>
      <c r="W666" s="19">
        <f>IF($I666="","",IF(ISNUMBER($I666),TEXT($I666,"0"),$I666))</f>
        <v/>
      </c>
    </row>
    <row r="667">
      <c r="B667" s="25" t="n"/>
      <c r="I667" s="25" t="n"/>
      <c r="U667" s="19">
        <f>IF($V667&lt;&gt;'設定'!$C$4,N(U666),IF(OR(NOT(COUNTIF('商品マスタ'!$B$6:$B$1005,$W667)=0),COUNTIFS('①在庫を貼る'!$V$6:$V$10005,$V667,'①在庫を貼る'!$W$6:$W$10005,$W667)&gt;0),N(U666),N(U666)+1))</f>
        <v/>
      </c>
      <c r="V667" s="19">
        <f>IF($B667="","",TEXT($B667,"0000"))</f>
        <v/>
      </c>
      <c r="W667" s="19">
        <f>IF($I667="","",IF(ISNUMBER($I667),TEXT($I667,"0"),$I667))</f>
        <v/>
      </c>
    </row>
    <row r="668">
      <c r="B668" s="25" t="n"/>
      <c r="I668" s="25" t="n"/>
      <c r="U668" s="19">
        <f>IF($V668&lt;&gt;'設定'!$C$4,N(U667),IF(OR(NOT(COUNTIF('商品マスタ'!$B$6:$B$1005,$W668)=0),COUNTIFS('①在庫を貼る'!$V$6:$V$10005,$V668,'①在庫を貼る'!$W$6:$W$10005,$W668)&gt;0),N(U667),N(U667)+1))</f>
        <v/>
      </c>
      <c r="V668" s="19">
        <f>IF($B668="","",TEXT($B668,"0000"))</f>
        <v/>
      </c>
      <c r="W668" s="19">
        <f>IF($I668="","",IF(ISNUMBER($I668),TEXT($I668,"0"),$I668))</f>
        <v/>
      </c>
    </row>
    <row r="669">
      <c r="B669" s="25" t="n"/>
      <c r="I669" s="25" t="n"/>
      <c r="U669" s="19">
        <f>IF($V669&lt;&gt;'設定'!$C$4,N(U668),IF(OR(NOT(COUNTIF('商品マスタ'!$B$6:$B$1005,$W669)=0),COUNTIFS('①在庫を貼る'!$V$6:$V$10005,$V669,'①在庫を貼る'!$W$6:$W$10005,$W669)&gt;0),N(U668),N(U668)+1))</f>
        <v/>
      </c>
      <c r="V669" s="19">
        <f>IF($B669="","",TEXT($B669,"0000"))</f>
        <v/>
      </c>
      <c r="W669" s="19">
        <f>IF($I669="","",IF(ISNUMBER($I669),TEXT($I669,"0"),$I669))</f>
        <v/>
      </c>
    </row>
    <row r="670">
      <c r="B670" s="25" t="n"/>
      <c r="I670" s="25" t="n"/>
      <c r="U670" s="19">
        <f>IF($V670&lt;&gt;'設定'!$C$4,N(U669),IF(OR(NOT(COUNTIF('商品マスタ'!$B$6:$B$1005,$W670)=0),COUNTIFS('①在庫を貼る'!$V$6:$V$10005,$V670,'①在庫を貼る'!$W$6:$W$10005,$W670)&gt;0),N(U669),N(U669)+1))</f>
        <v/>
      </c>
      <c r="V670" s="19">
        <f>IF($B670="","",TEXT($B670,"0000"))</f>
        <v/>
      </c>
      <c r="W670" s="19">
        <f>IF($I670="","",IF(ISNUMBER($I670),TEXT($I670,"0"),$I670))</f>
        <v/>
      </c>
    </row>
    <row r="671">
      <c r="B671" s="25" t="n"/>
      <c r="I671" s="25" t="n"/>
      <c r="U671" s="19">
        <f>IF($V671&lt;&gt;'設定'!$C$4,N(U670),IF(OR(NOT(COUNTIF('商品マスタ'!$B$6:$B$1005,$W671)=0),COUNTIFS('①在庫を貼る'!$V$6:$V$10005,$V671,'①在庫を貼る'!$W$6:$W$10005,$W671)&gt;0),N(U670),N(U670)+1))</f>
        <v/>
      </c>
      <c r="V671" s="19">
        <f>IF($B671="","",TEXT($B671,"0000"))</f>
        <v/>
      </c>
      <c r="W671" s="19">
        <f>IF($I671="","",IF(ISNUMBER($I671),TEXT($I671,"0"),$I671))</f>
        <v/>
      </c>
    </row>
    <row r="672">
      <c r="B672" s="25" t="n"/>
      <c r="I672" s="25" t="n"/>
      <c r="U672" s="19">
        <f>IF($V672&lt;&gt;'設定'!$C$4,N(U671),IF(OR(NOT(COUNTIF('商品マスタ'!$B$6:$B$1005,$W672)=0),COUNTIFS('①在庫を貼る'!$V$6:$V$10005,$V672,'①在庫を貼る'!$W$6:$W$10005,$W672)&gt;0),N(U671),N(U671)+1))</f>
        <v/>
      </c>
      <c r="V672" s="19">
        <f>IF($B672="","",TEXT($B672,"0000"))</f>
        <v/>
      </c>
      <c r="W672" s="19">
        <f>IF($I672="","",IF(ISNUMBER($I672),TEXT($I672,"0"),$I672))</f>
        <v/>
      </c>
    </row>
    <row r="673">
      <c r="B673" s="25" t="n"/>
      <c r="I673" s="25" t="n"/>
      <c r="U673" s="19">
        <f>IF($V673&lt;&gt;'設定'!$C$4,N(U672),IF(OR(NOT(COUNTIF('商品マスタ'!$B$6:$B$1005,$W673)=0),COUNTIFS('①在庫を貼る'!$V$6:$V$10005,$V673,'①在庫を貼る'!$W$6:$W$10005,$W673)&gt;0),N(U672),N(U672)+1))</f>
        <v/>
      </c>
      <c r="V673" s="19">
        <f>IF($B673="","",TEXT($B673,"0000"))</f>
        <v/>
      </c>
      <c r="W673" s="19">
        <f>IF($I673="","",IF(ISNUMBER($I673),TEXT($I673,"0"),$I673))</f>
        <v/>
      </c>
    </row>
    <row r="674">
      <c r="B674" s="25" t="n"/>
      <c r="I674" s="25" t="n"/>
      <c r="U674" s="19">
        <f>IF($V674&lt;&gt;'設定'!$C$4,N(U673),IF(OR(NOT(COUNTIF('商品マスタ'!$B$6:$B$1005,$W674)=0),COUNTIFS('①在庫を貼る'!$V$6:$V$10005,$V674,'①在庫を貼る'!$W$6:$W$10005,$W674)&gt;0),N(U673),N(U673)+1))</f>
        <v/>
      </c>
      <c r="V674" s="19">
        <f>IF($B674="","",TEXT($B674,"0000"))</f>
        <v/>
      </c>
      <c r="W674" s="19">
        <f>IF($I674="","",IF(ISNUMBER($I674),TEXT($I674,"0"),$I674))</f>
        <v/>
      </c>
    </row>
    <row r="675">
      <c r="B675" s="25" t="n"/>
      <c r="I675" s="25" t="n"/>
      <c r="U675" s="19">
        <f>IF($V675&lt;&gt;'設定'!$C$4,N(U674),IF(OR(NOT(COUNTIF('商品マスタ'!$B$6:$B$1005,$W675)=0),COUNTIFS('①在庫を貼る'!$V$6:$V$10005,$V675,'①在庫を貼る'!$W$6:$W$10005,$W675)&gt;0),N(U674),N(U674)+1))</f>
        <v/>
      </c>
      <c r="V675" s="19">
        <f>IF($B675="","",TEXT($B675,"0000"))</f>
        <v/>
      </c>
      <c r="W675" s="19">
        <f>IF($I675="","",IF(ISNUMBER($I675),TEXT($I675,"0"),$I675))</f>
        <v/>
      </c>
    </row>
    <row r="676">
      <c r="B676" s="25" t="n"/>
      <c r="I676" s="25" t="n"/>
      <c r="U676" s="19">
        <f>IF($V676&lt;&gt;'設定'!$C$4,N(U675),IF(OR(NOT(COUNTIF('商品マスタ'!$B$6:$B$1005,$W676)=0),COUNTIFS('①在庫を貼る'!$V$6:$V$10005,$V676,'①在庫を貼る'!$W$6:$W$10005,$W676)&gt;0),N(U675),N(U675)+1))</f>
        <v/>
      </c>
      <c r="V676" s="19">
        <f>IF($B676="","",TEXT($B676,"0000"))</f>
        <v/>
      </c>
      <c r="W676" s="19">
        <f>IF($I676="","",IF(ISNUMBER($I676),TEXT($I676,"0"),$I676))</f>
        <v/>
      </c>
    </row>
    <row r="677">
      <c r="B677" s="25" t="n"/>
      <c r="I677" s="25" t="n"/>
      <c r="U677" s="19">
        <f>IF($V677&lt;&gt;'設定'!$C$4,N(U676),IF(OR(NOT(COUNTIF('商品マスタ'!$B$6:$B$1005,$W677)=0),COUNTIFS('①在庫を貼る'!$V$6:$V$10005,$V677,'①在庫を貼る'!$W$6:$W$10005,$W677)&gt;0),N(U676),N(U676)+1))</f>
        <v/>
      </c>
      <c r="V677" s="19">
        <f>IF($B677="","",TEXT($B677,"0000"))</f>
        <v/>
      </c>
      <c r="W677" s="19">
        <f>IF($I677="","",IF(ISNUMBER($I677),TEXT($I677,"0"),$I677))</f>
        <v/>
      </c>
    </row>
    <row r="678">
      <c r="B678" s="25" t="n"/>
      <c r="I678" s="25" t="n"/>
      <c r="U678" s="19">
        <f>IF($V678&lt;&gt;'設定'!$C$4,N(U677),IF(OR(NOT(COUNTIF('商品マスタ'!$B$6:$B$1005,$W678)=0),COUNTIFS('①在庫を貼る'!$V$6:$V$10005,$V678,'①在庫を貼る'!$W$6:$W$10005,$W678)&gt;0),N(U677),N(U677)+1))</f>
        <v/>
      </c>
      <c r="V678" s="19">
        <f>IF($B678="","",TEXT($B678,"0000"))</f>
        <v/>
      </c>
      <c r="W678" s="19">
        <f>IF($I678="","",IF(ISNUMBER($I678),TEXT($I678,"0"),$I678))</f>
        <v/>
      </c>
    </row>
    <row r="679">
      <c r="B679" s="25" t="n"/>
      <c r="I679" s="25" t="n"/>
      <c r="U679" s="19">
        <f>IF($V679&lt;&gt;'設定'!$C$4,N(U678),IF(OR(NOT(COUNTIF('商品マスタ'!$B$6:$B$1005,$W679)=0),COUNTIFS('①在庫を貼る'!$V$6:$V$10005,$V679,'①在庫を貼る'!$W$6:$W$10005,$W679)&gt;0),N(U678),N(U678)+1))</f>
        <v/>
      </c>
      <c r="V679" s="19">
        <f>IF($B679="","",TEXT($B679,"0000"))</f>
        <v/>
      </c>
      <c r="W679" s="19">
        <f>IF($I679="","",IF(ISNUMBER($I679),TEXT($I679,"0"),$I679))</f>
        <v/>
      </c>
    </row>
    <row r="680">
      <c r="B680" s="25" t="n"/>
      <c r="I680" s="25" t="n"/>
      <c r="U680" s="19">
        <f>IF($V680&lt;&gt;'設定'!$C$4,N(U679),IF(OR(NOT(COUNTIF('商品マスタ'!$B$6:$B$1005,$W680)=0),COUNTIFS('①在庫を貼る'!$V$6:$V$10005,$V680,'①在庫を貼る'!$W$6:$W$10005,$W680)&gt;0),N(U679),N(U679)+1))</f>
        <v/>
      </c>
      <c r="V680" s="19">
        <f>IF($B680="","",TEXT($B680,"0000"))</f>
        <v/>
      </c>
      <c r="W680" s="19">
        <f>IF($I680="","",IF(ISNUMBER($I680),TEXT($I680,"0"),$I680))</f>
        <v/>
      </c>
    </row>
    <row r="681">
      <c r="B681" s="25" t="n"/>
      <c r="I681" s="25" t="n"/>
      <c r="U681" s="19">
        <f>IF($V681&lt;&gt;'設定'!$C$4,N(U680),IF(OR(NOT(COUNTIF('商品マスタ'!$B$6:$B$1005,$W681)=0),COUNTIFS('①在庫を貼る'!$V$6:$V$10005,$V681,'①在庫を貼る'!$W$6:$W$10005,$W681)&gt;0),N(U680),N(U680)+1))</f>
        <v/>
      </c>
      <c r="V681" s="19">
        <f>IF($B681="","",TEXT($B681,"0000"))</f>
        <v/>
      </c>
      <c r="W681" s="19">
        <f>IF($I681="","",IF(ISNUMBER($I681),TEXT($I681,"0"),$I681))</f>
        <v/>
      </c>
    </row>
    <row r="682">
      <c r="B682" s="25" t="n"/>
      <c r="I682" s="25" t="n"/>
      <c r="U682" s="19">
        <f>IF($V682&lt;&gt;'設定'!$C$4,N(U681),IF(OR(NOT(COUNTIF('商品マスタ'!$B$6:$B$1005,$W682)=0),COUNTIFS('①在庫を貼る'!$V$6:$V$10005,$V682,'①在庫を貼る'!$W$6:$W$10005,$W682)&gt;0),N(U681),N(U681)+1))</f>
        <v/>
      </c>
      <c r="V682" s="19">
        <f>IF($B682="","",TEXT($B682,"0000"))</f>
        <v/>
      </c>
      <c r="W682" s="19">
        <f>IF($I682="","",IF(ISNUMBER($I682),TEXT($I682,"0"),$I682))</f>
        <v/>
      </c>
    </row>
    <row r="683">
      <c r="B683" s="25" t="n"/>
      <c r="I683" s="25" t="n"/>
      <c r="U683" s="19">
        <f>IF($V683&lt;&gt;'設定'!$C$4,N(U682),IF(OR(NOT(COUNTIF('商品マスタ'!$B$6:$B$1005,$W683)=0),COUNTIFS('①在庫を貼る'!$V$6:$V$10005,$V683,'①在庫を貼る'!$W$6:$W$10005,$W683)&gt;0),N(U682),N(U682)+1))</f>
        <v/>
      </c>
      <c r="V683" s="19">
        <f>IF($B683="","",TEXT($B683,"0000"))</f>
        <v/>
      </c>
      <c r="W683" s="19">
        <f>IF($I683="","",IF(ISNUMBER($I683),TEXT($I683,"0"),$I683))</f>
        <v/>
      </c>
    </row>
    <row r="684">
      <c r="B684" s="25" t="n"/>
      <c r="I684" s="25" t="n"/>
      <c r="U684" s="19">
        <f>IF($V684&lt;&gt;'設定'!$C$4,N(U683),IF(OR(NOT(COUNTIF('商品マスタ'!$B$6:$B$1005,$W684)=0),COUNTIFS('①在庫を貼る'!$V$6:$V$10005,$V684,'①在庫を貼る'!$W$6:$W$10005,$W684)&gt;0),N(U683),N(U683)+1))</f>
        <v/>
      </c>
      <c r="V684" s="19">
        <f>IF($B684="","",TEXT($B684,"0000"))</f>
        <v/>
      </c>
      <c r="W684" s="19">
        <f>IF($I684="","",IF(ISNUMBER($I684),TEXT($I684,"0"),$I684))</f>
        <v/>
      </c>
    </row>
    <row r="685">
      <c r="B685" s="25" t="n"/>
      <c r="I685" s="25" t="n"/>
      <c r="U685" s="19">
        <f>IF($V685&lt;&gt;'設定'!$C$4,N(U684),IF(OR(NOT(COUNTIF('商品マスタ'!$B$6:$B$1005,$W685)=0),COUNTIFS('①在庫を貼る'!$V$6:$V$10005,$V685,'①在庫を貼る'!$W$6:$W$10005,$W685)&gt;0),N(U684),N(U684)+1))</f>
        <v/>
      </c>
      <c r="V685" s="19">
        <f>IF($B685="","",TEXT($B685,"0000"))</f>
        <v/>
      </c>
      <c r="W685" s="19">
        <f>IF($I685="","",IF(ISNUMBER($I685),TEXT($I685,"0"),$I685))</f>
        <v/>
      </c>
    </row>
    <row r="686">
      <c r="B686" s="25" t="n"/>
      <c r="I686" s="25" t="n"/>
      <c r="U686" s="19">
        <f>IF($V686&lt;&gt;'設定'!$C$4,N(U685),IF(OR(NOT(COUNTIF('商品マスタ'!$B$6:$B$1005,$W686)=0),COUNTIFS('①在庫を貼る'!$V$6:$V$10005,$V686,'①在庫を貼る'!$W$6:$W$10005,$W686)&gt;0),N(U685),N(U685)+1))</f>
        <v/>
      </c>
      <c r="V686" s="19">
        <f>IF($B686="","",TEXT($B686,"0000"))</f>
        <v/>
      </c>
      <c r="W686" s="19">
        <f>IF($I686="","",IF(ISNUMBER($I686),TEXT($I686,"0"),$I686))</f>
        <v/>
      </c>
    </row>
    <row r="687">
      <c r="B687" s="25" t="n"/>
      <c r="I687" s="25" t="n"/>
      <c r="U687" s="19">
        <f>IF($V687&lt;&gt;'設定'!$C$4,N(U686),IF(OR(NOT(COUNTIF('商品マスタ'!$B$6:$B$1005,$W687)=0),COUNTIFS('①在庫を貼る'!$V$6:$V$10005,$V687,'①在庫を貼る'!$W$6:$W$10005,$W687)&gt;0),N(U686),N(U686)+1))</f>
        <v/>
      </c>
      <c r="V687" s="19">
        <f>IF($B687="","",TEXT($B687,"0000"))</f>
        <v/>
      </c>
      <c r="W687" s="19">
        <f>IF($I687="","",IF(ISNUMBER($I687),TEXT($I687,"0"),$I687))</f>
        <v/>
      </c>
    </row>
    <row r="688">
      <c r="B688" s="25" t="n"/>
      <c r="I688" s="25" t="n"/>
      <c r="U688" s="19">
        <f>IF($V688&lt;&gt;'設定'!$C$4,N(U687),IF(OR(NOT(COUNTIF('商品マスタ'!$B$6:$B$1005,$W688)=0),COUNTIFS('①在庫を貼る'!$V$6:$V$10005,$V688,'①在庫を貼る'!$W$6:$W$10005,$W688)&gt;0),N(U687),N(U687)+1))</f>
        <v/>
      </c>
      <c r="V688" s="19">
        <f>IF($B688="","",TEXT($B688,"0000"))</f>
        <v/>
      </c>
      <c r="W688" s="19">
        <f>IF($I688="","",IF(ISNUMBER($I688),TEXT($I688,"0"),$I688))</f>
        <v/>
      </c>
    </row>
    <row r="689">
      <c r="B689" s="25" t="n"/>
      <c r="I689" s="25" t="n"/>
      <c r="U689" s="19">
        <f>IF($V689&lt;&gt;'設定'!$C$4,N(U688),IF(OR(NOT(COUNTIF('商品マスタ'!$B$6:$B$1005,$W689)=0),COUNTIFS('①在庫を貼る'!$V$6:$V$10005,$V689,'①在庫を貼る'!$W$6:$W$10005,$W689)&gt;0),N(U688),N(U688)+1))</f>
        <v/>
      </c>
      <c r="V689" s="19">
        <f>IF($B689="","",TEXT($B689,"0000"))</f>
        <v/>
      </c>
      <c r="W689" s="19">
        <f>IF($I689="","",IF(ISNUMBER($I689),TEXT($I689,"0"),$I689))</f>
        <v/>
      </c>
    </row>
    <row r="690">
      <c r="B690" s="25" t="n"/>
      <c r="I690" s="25" t="n"/>
      <c r="U690" s="19">
        <f>IF($V690&lt;&gt;'設定'!$C$4,N(U689),IF(OR(NOT(COUNTIF('商品マスタ'!$B$6:$B$1005,$W690)=0),COUNTIFS('①在庫を貼る'!$V$6:$V$10005,$V690,'①在庫を貼る'!$W$6:$W$10005,$W690)&gt;0),N(U689),N(U689)+1))</f>
        <v/>
      </c>
      <c r="V690" s="19">
        <f>IF($B690="","",TEXT($B690,"0000"))</f>
        <v/>
      </c>
      <c r="W690" s="19">
        <f>IF($I690="","",IF(ISNUMBER($I690),TEXT($I690,"0"),$I690))</f>
        <v/>
      </c>
    </row>
    <row r="691">
      <c r="B691" s="25" t="n"/>
      <c r="I691" s="25" t="n"/>
      <c r="U691" s="19">
        <f>IF($V691&lt;&gt;'設定'!$C$4,N(U690),IF(OR(NOT(COUNTIF('商品マスタ'!$B$6:$B$1005,$W691)=0),COUNTIFS('①在庫を貼る'!$V$6:$V$10005,$V691,'①在庫を貼る'!$W$6:$W$10005,$W691)&gt;0),N(U690),N(U690)+1))</f>
        <v/>
      </c>
      <c r="V691" s="19">
        <f>IF($B691="","",TEXT($B691,"0000"))</f>
        <v/>
      </c>
      <c r="W691" s="19">
        <f>IF($I691="","",IF(ISNUMBER($I691),TEXT($I691,"0"),$I691))</f>
        <v/>
      </c>
    </row>
    <row r="692">
      <c r="B692" s="25" t="n"/>
      <c r="I692" s="25" t="n"/>
      <c r="U692" s="19">
        <f>IF($V692&lt;&gt;'設定'!$C$4,N(U691),IF(OR(NOT(COUNTIF('商品マスタ'!$B$6:$B$1005,$W692)=0),COUNTIFS('①在庫を貼る'!$V$6:$V$10005,$V692,'①在庫を貼る'!$W$6:$W$10005,$W692)&gt;0),N(U691),N(U691)+1))</f>
        <v/>
      </c>
      <c r="V692" s="19">
        <f>IF($B692="","",TEXT($B692,"0000"))</f>
        <v/>
      </c>
      <c r="W692" s="19">
        <f>IF($I692="","",IF(ISNUMBER($I692),TEXT($I692,"0"),$I692))</f>
        <v/>
      </c>
    </row>
    <row r="693">
      <c r="B693" s="25" t="n"/>
      <c r="I693" s="25" t="n"/>
      <c r="U693" s="19">
        <f>IF($V693&lt;&gt;'設定'!$C$4,N(U692),IF(OR(NOT(COUNTIF('商品マスタ'!$B$6:$B$1005,$W693)=0),COUNTIFS('①在庫を貼る'!$V$6:$V$10005,$V693,'①在庫を貼る'!$W$6:$W$10005,$W693)&gt;0),N(U692),N(U692)+1))</f>
        <v/>
      </c>
      <c r="V693" s="19">
        <f>IF($B693="","",TEXT($B693,"0000"))</f>
        <v/>
      </c>
      <c r="W693" s="19">
        <f>IF($I693="","",IF(ISNUMBER($I693),TEXT($I693,"0"),$I693))</f>
        <v/>
      </c>
    </row>
    <row r="694">
      <c r="B694" s="25" t="n"/>
      <c r="I694" s="25" t="n"/>
      <c r="U694" s="19">
        <f>IF($V694&lt;&gt;'設定'!$C$4,N(U693),IF(OR(NOT(COUNTIF('商品マスタ'!$B$6:$B$1005,$W694)=0),COUNTIFS('①在庫を貼る'!$V$6:$V$10005,$V694,'①在庫を貼る'!$W$6:$W$10005,$W694)&gt;0),N(U693),N(U693)+1))</f>
        <v/>
      </c>
      <c r="V694" s="19">
        <f>IF($B694="","",TEXT($B694,"0000"))</f>
        <v/>
      </c>
      <c r="W694" s="19">
        <f>IF($I694="","",IF(ISNUMBER($I694),TEXT($I694,"0"),$I694))</f>
        <v/>
      </c>
    </row>
    <row r="695">
      <c r="B695" s="25" t="n"/>
      <c r="I695" s="25" t="n"/>
      <c r="U695" s="19">
        <f>IF($V695&lt;&gt;'設定'!$C$4,N(U694),IF(OR(NOT(COUNTIF('商品マスタ'!$B$6:$B$1005,$W695)=0),COUNTIFS('①在庫を貼る'!$V$6:$V$10005,$V695,'①在庫を貼る'!$W$6:$W$10005,$W695)&gt;0),N(U694),N(U694)+1))</f>
        <v/>
      </c>
      <c r="V695" s="19">
        <f>IF($B695="","",TEXT($B695,"0000"))</f>
        <v/>
      </c>
      <c r="W695" s="19">
        <f>IF($I695="","",IF(ISNUMBER($I695),TEXT($I695,"0"),$I695))</f>
        <v/>
      </c>
    </row>
    <row r="696">
      <c r="B696" s="25" t="n"/>
      <c r="I696" s="25" t="n"/>
      <c r="U696" s="19">
        <f>IF($V696&lt;&gt;'設定'!$C$4,N(U695),IF(OR(NOT(COUNTIF('商品マスタ'!$B$6:$B$1005,$W696)=0),COUNTIFS('①在庫を貼る'!$V$6:$V$10005,$V696,'①在庫を貼る'!$W$6:$W$10005,$W696)&gt;0),N(U695),N(U695)+1))</f>
        <v/>
      </c>
      <c r="V696" s="19">
        <f>IF($B696="","",TEXT($B696,"0000"))</f>
        <v/>
      </c>
      <c r="W696" s="19">
        <f>IF($I696="","",IF(ISNUMBER($I696),TEXT($I696,"0"),$I696))</f>
        <v/>
      </c>
    </row>
    <row r="697">
      <c r="B697" s="25" t="n"/>
      <c r="I697" s="25" t="n"/>
      <c r="U697" s="19">
        <f>IF($V697&lt;&gt;'設定'!$C$4,N(U696),IF(OR(NOT(COUNTIF('商品マスタ'!$B$6:$B$1005,$W697)=0),COUNTIFS('①在庫を貼る'!$V$6:$V$10005,$V697,'①在庫を貼る'!$W$6:$W$10005,$W697)&gt;0),N(U696),N(U696)+1))</f>
        <v/>
      </c>
      <c r="V697" s="19">
        <f>IF($B697="","",TEXT($B697,"0000"))</f>
        <v/>
      </c>
      <c r="W697" s="19">
        <f>IF($I697="","",IF(ISNUMBER($I697),TEXT($I697,"0"),$I697))</f>
        <v/>
      </c>
    </row>
    <row r="698">
      <c r="B698" s="25" t="n"/>
      <c r="I698" s="25" t="n"/>
      <c r="U698" s="19">
        <f>IF($V698&lt;&gt;'設定'!$C$4,N(U697),IF(OR(NOT(COUNTIF('商品マスタ'!$B$6:$B$1005,$W698)=0),COUNTIFS('①在庫を貼る'!$V$6:$V$10005,$V698,'①在庫を貼る'!$W$6:$W$10005,$W698)&gt;0),N(U697),N(U697)+1))</f>
        <v/>
      </c>
      <c r="V698" s="19">
        <f>IF($B698="","",TEXT($B698,"0000"))</f>
        <v/>
      </c>
      <c r="W698" s="19">
        <f>IF($I698="","",IF(ISNUMBER($I698),TEXT($I698,"0"),$I698))</f>
        <v/>
      </c>
    </row>
    <row r="699">
      <c r="B699" s="25" t="n"/>
      <c r="I699" s="25" t="n"/>
      <c r="U699" s="19">
        <f>IF($V699&lt;&gt;'設定'!$C$4,N(U698),IF(OR(NOT(COUNTIF('商品マスタ'!$B$6:$B$1005,$W699)=0),COUNTIFS('①在庫を貼る'!$V$6:$V$10005,$V699,'①在庫を貼る'!$W$6:$W$10005,$W699)&gt;0),N(U698),N(U698)+1))</f>
        <v/>
      </c>
      <c r="V699" s="19">
        <f>IF($B699="","",TEXT($B699,"0000"))</f>
        <v/>
      </c>
      <c r="W699" s="19">
        <f>IF($I699="","",IF(ISNUMBER($I699),TEXT($I699,"0"),$I699))</f>
        <v/>
      </c>
    </row>
    <row r="700">
      <c r="B700" s="25" t="n"/>
      <c r="I700" s="25" t="n"/>
      <c r="U700" s="19">
        <f>IF($V700&lt;&gt;'設定'!$C$4,N(U699),IF(OR(NOT(COUNTIF('商品マスタ'!$B$6:$B$1005,$W700)=0),COUNTIFS('①在庫を貼る'!$V$6:$V$10005,$V700,'①在庫を貼る'!$W$6:$W$10005,$W700)&gt;0),N(U699),N(U699)+1))</f>
        <v/>
      </c>
      <c r="V700" s="19">
        <f>IF($B700="","",TEXT($B700,"0000"))</f>
        <v/>
      </c>
      <c r="W700" s="19">
        <f>IF($I700="","",IF(ISNUMBER($I700),TEXT($I700,"0"),$I700))</f>
        <v/>
      </c>
    </row>
    <row r="701">
      <c r="B701" s="25" t="n"/>
      <c r="I701" s="25" t="n"/>
      <c r="U701" s="19">
        <f>IF($V701&lt;&gt;'設定'!$C$4,N(U700),IF(OR(NOT(COUNTIF('商品マスタ'!$B$6:$B$1005,$W701)=0),COUNTIFS('①在庫を貼る'!$V$6:$V$10005,$V701,'①在庫を貼る'!$W$6:$W$10005,$W701)&gt;0),N(U700),N(U700)+1))</f>
        <v/>
      </c>
      <c r="V701" s="19">
        <f>IF($B701="","",TEXT($B701,"0000"))</f>
        <v/>
      </c>
      <c r="W701" s="19">
        <f>IF($I701="","",IF(ISNUMBER($I701),TEXT($I701,"0"),$I701))</f>
        <v/>
      </c>
    </row>
    <row r="702">
      <c r="B702" s="25" t="n"/>
      <c r="I702" s="25" t="n"/>
      <c r="U702" s="19">
        <f>IF($V702&lt;&gt;'設定'!$C$4,N(U701),IF(OR(NOT(COUNTIF('商品マスタ'!$B$6:$B$1005,$W702)=0),COUNTIFS('①在庫を貼る'!$V$6:$V$10005,$V702,'①在庫を貼る'!$W$6:$W$10005,$W702)&gt;0),N(U701),N(U701)+1))</f>
        <v/>
      </c>
      <c r="V702" s="19">
        <f>IF($B702="","",TEXT($B702,"0000"))</f>
        <v/>
      </c>
      <c r="W702" s="19">
        <f>IF($I702="","",IF(ISNUMBER($I702),TEXT($I702,"0"),$I702))</f>
        <v/>
      </c>
    </row>
    <row r="703">
      <c r="B703" s="25" t="n"/>
      <c r="I703" s="25" t="n"/>
      <c r="U703" s="19">
        <f>IF($V703&lt;&gt;'設定'!$C$4,N(U702),IF(OR(NOT(COUNTIF('商品マスタ'!$B$6:$B$1005,$W703)=0),COUNTIFS('①在庫を貼る'!$V$6:$V$10005,$V703,'①在庫を貼る'!$W$6:$W$10005,$W703)&gt;0),N(U702),N(U702)+1))</f>
        <v/>
      </c>
      <c r="V703" s="19">
        <f>IF($B703="","",TEXT($B703,"0000"))</f>
        <v/>
      </c>
      <c r="W703" s="19">
        <f>IF($I703="","",IF(ISNUMBER($I703),TEXT($I703,"0"),$I703))</f>
        <v/>
      </c>
    </row>
    <row r="704">
      <c r="B704" s="25" t="n"/>
      <c r="I704" s="25" t="n"/>
      <c r="U704" s="19">
        <f>IF($V704&lt;&gt;'設定'!$C$4,N(U703),IF(OR(NOT(COUNTIF('商品マスタ'!$B$6:$B$1005,$W704)=0),COUNTIFS('①在庫を貼る'!$V$6:$V$10005,$V704,'①在庫を貼る'!$W$6:$W$10005,$W704)&gt;0),N(U703),N(U703)+1))</f>
        <v/>
      </c>
      <c r="V704" s="19">
        <f>IF($B704="","",TEXT($B704,"0000"))</f>
        <v/>
      </c>
      <c r="W704" s="19">
        <f>IF($I704="","",IF(ISNUMBER($I704),TEXT($I704,"0"),$I704))</f>
        <v/>
      </c>
    </row>
    <row r="705">
      <c r="B705" s="25" t="n"/>
      <c r="I705" s="25" t="n"/>
      <c r="U705" s="19">
        <f>IF($V705&lt;&gt;'設定'!$C$4,N(U704),IF(OR(NOT(COUNTIF('商品マスタ'!$B$6:$B$1005,$W705)=0),COUNTIFS('①在庫を貼る'!$V$6:$V$10005,$V705,'①在庫を貼る'!$W$6:$W$10005,$W705)&gt;0),N(U704),N(U704)+1))</f>
        <v/>
      </c>
      <c r="V705" s="19">
        <f>IF($B705="","",TEXT($B705,"0000"))</f>
        <v/>
      </c>
      <c r="W705" s="19">
        <f>IF($I705="","",IF(ISNUMBER($I705),TEXT($I705,"0"),$I705))</f>
        <v/>
      </c>
    </row>
    <row r="706">
      <c r="B706" s="25" t="n"/>
      <c r="I706" s="25" t="n"/>
      <c r="U706" s="19">
        <f>IF($V706&lt;&gt;'設定'!$C$4,N(U705),IF(OR(NOT(COUNTIF('商品マスタ'!$B$6:$B$1005,$W706)=0),COUNTIFS('①在庫を貼る'!$V$6:$V$10005,$V706,'①在庫を貼る'!$W$6:$W$10005,$W706)&gt;0),N(U705),N(U705)+1))</f>
        <v/>
      </c>
      <c r="V706" s="19">
        <f>IF($B706="","",TEXT($B706,"0000"))</f>
        <v/>
      </c>
      <c r="W706" s="19">
        <f>IF($I706="","",IF(ISNUMBER($I706),TEXT($I706,"0"),$I706))</f>
        <v/>
      </c>
    </row>
    <row r="707">
      <c r="B707" s="25" t="n"/>
      <c r="I707" s="25" t="n"/>
      <c r="U707" s="19">
        <f>IF($V707&lt;&gt;'設定'!$C$4,N(U706),IF(OR(NOT(COUNTIF('商品マスタ'!$B$6:$B$1005,$W707)=0),COUNTIFS('①在庫を貼る'!$V$6:$V$10005,$V707,'①在庫を貼る'!$W$6:$W$10005,$W707)&gt;0),N(U706),N(U706)+1))</f>
        <v/>
      </c>
      <c r="V707" s="19">
        <f>IF($B707="","",TEXT($B707,"0000"))</f>
        <v/>
      </c>
      <c r="W707" s="19">
        <f>IF($I707="","",IF(ISNUMBER($I707),TEXT($I707,"0"),$I707))</f>
        <v/>
      </c>
    </row>
    <row r="708">
      <c r="B708" s="25" t="n"/>
      <c r="I708" s="25" t="n"/>
      <c r="U708" s="19">
        <f>IF($V708&lt;&gt;'設定'!$C$4,N(U707),IF(OR(NOT(COUNTIF('商品マスタ'!$B$6:$B$1005,$W708)=0),COUNTIFS('①在庫を貼る'!$V$6:$V$10005,$V708,'①在庫を貼る'!$W$6:$W$10005,$W708)&gt;0),N(U707),N(U707)+1))</f>
        <v/>
      </c>
      <c r="V708" s="19">
        <f>IF($B708="","",TEXT($B708,"0000"))</f>
        <v/>
      </c>
      <c r="W708" s="19">
        <f>IF($I708="","",IF(ISNUMBER($I708),TEXT($I708,"0"),$I708))</f>
        <v/>
      </c>
    </row>
    <row r="709">
      <c r="B709" s="25" t="n"/>
      <c r="I709" s="25" t="n"/>
      <c r="U709" s="19">
        <f>IF($V709&lt;&gt;'設定'!$C$4,N(U708),IF(OR(NOT(COUNTIF('商品マスタ'!$B$6:$B$1005,$W709)=0),COUNTIFS('①在庫を貼る'!$V$6:$V$10005,$V709,'①在庫を貼る'!$W$6:$W$10005,$W709)&gt;0),N(U708),N(U708)+1))</f>
        <v/>
      </c>
      <c r="V709" s="19">
        <f>IF($B709="","",TEXT($B709,"0000"))</f>
        <v/>
      </c>
      <c r="W709" s="19">
        <f>IF($I709="","",IF(ISNUMBER($I709),TEXT($I709,"0"),$I709))</f>
        <v/>
      </c>
    </row>
    <row r="710">
      <c r="B710" s="25" t="n"/>
      <c r="I710" s="25" t="n"/>
      <c r="U710" s="19">
        <f>IF($V710&lt;&gt;'設定'!$C$4,N(U709),IF(OR(NOT(COUNTIF('商品マスタ'!$B$6:$B$1005,$W710)=0),COUNTIFS('①在庫を貼る'!$V$6:$V$10005,$V710,'①在庫を貼る'!$W$6:$W$10005,$W710)&gt;0),N(U709),N(U709)+1))</f>
        <v/>
      </c>
      <c r="V710" s="19">
        <f>IF($B710="","",TEXT($B710,"0000"))</f>
        <v/>
      </c>
      <c r="W710" s="19">
        <f>IF($I710="","",IF(ISNUMBER($I710),TEXT($I710,"0"),$I710))</f>
        <v/>
      </c>
    </row>
    <row r="711">
      <c r="B711" s="25" t="n"/>
      <c r="I711" s="25" t="n"/>
      <c r="U711" s="19">
        <f>IF($V711&lt;&gt;'設定'!$C$4,N(U710),IF(OR(NOT(COUNTIF('商品マスタ'!$B$6:$B$1005,$W711)=0),COUNTIFS('①在庫を貼る'!$V$6:$V$10005,$V711,'①在庫を貼る'!$W$6:$W$10005,$W711)&gt;0),N(U710),N(U710)+1))</f>
        <v/>
      </c>
      <c r="V711" s="19">
        <f>IF($B711="","",TEXT($B711,"0000"))</f>
        <v/>
      </c>
      <c r="W711" s="19">
        <f>IF($I711="","",IF(ISNUMBER($I711),TEXT($I711,"0"),$I711))</f>
        <v/>
      </c>
    </row>
    <row r="712">
      <c r="B712" s="25" t="n"/>
      <c r="I712" s="25" t="n"/>
      <c r="U712" s="19">
        <f>IF($V712&lt;&gt;'設定'!$C$4,N(U711),IF(OR(NOT(COUNTIF('商品マスタ'!$B$6:$B$1005,$W712)=0),COUNTIFS('①在庫を貼る'!$V$6:$V$10005,$V712,'①在庫を貼る'!$W$6:$W$10005,$W712)&gt;0),N(U711),N(U711)+1))</f>
        <v/>
      </c>
      <c r="V712" s="19">
        <f>IF($B712="","",TEXT($B712,"0000"))</f>
        <v/>
      </c>
      <c r="W712" s="19">
        <f>IF($I712="","",IF(ISNUMBER($I712),TEXT($I712,"0"),$I712))</f>
        <v/>
      </c>
    </row>
    <row r="713">
      <c r="B713" s="25" t="n"/>
      <c r="I713" s="25" t="n"/>
      <c r="U713" s="19">
        <f>IF($V713&lt;&gt;'設定'!$C$4,N(U712),IF(OR(NOT(COUNTIF('商品マスタ'!$B$6:$B$1005,$W713)=0),COUNTIFS('①在庫を貼る'!$V$6:$V$10005,$V713,'①在庫を貼る'!$W$6:$W$10005,$W713)&gt;0),N(U712),N(U712)+1))</f>
        <v/>
      </c>
      <c r="V713" s="19">
        <f>IF($B713="","",TEXT($B713,"0000"))</f>
        <v/>
      </c>
      <c r="W713" s="19">
        <f>IF($I713="","",IF(ISNUMBER($I713),TEXT($I713,"0"),$I713))</f>
        <v/>
      </c>
    </row>
    <row r="714">
      <c r="B714" s="25" t="n"/>
      <c r="I714" s="25" t="n"/>
      <c r="U714" s="19">
        <f>IF($V714&lt;&gt;'設定'!$C$4,N(U713),IF(OR(NOT(COUNTIF('商品マスタ'!$B$6:$B$1005,$W714)=0),COUNTIFS('①在庫を貼る'!$V$6:$V$10005,$V714,'①在庫を貼る'!$W$6:$W$10005,$W714)&gt;0),N(U713),N(U713)+1))</f>
        <v/>
      </c>
      <c r="V714" s="19">
        <f>IF($B714="","",TEXT($B714,"0000"))</f>
        <v/>
      </c>
      <c r="W714" s="19">
        <f>IF($I714="","",IF(ISNUMBER($I714),TEXT($I714,"0"),$I714))</f>
        <v/>
      </c>
    </row>
    <row r="715">
      <c r="B715" s="25" t="n"/>
      <c r="I715" s="25" t="n"/>
      <c r="U715" s="19">
        <f>IF($V715&lt;&gt;'設定'!$C$4,N(U714),IF(OR(NOT(COUNTIF('商品マスタ'!$B$6:$B$1005,$W715)=0),COUNTIFS('①在庫を貼る'!$V$6:$V$10005,$V715,'①在庫を貼る'!$W$6:$W$10005,$W715)&gt;0),N(U714),N(U714)+1))</f>
        <v/>
      </c>
      <c r="V715" s="19">
        <f>IF($B715="","",TEXT($B715,"0000"))</f>
        <v/>
      </c>
      <c r="W715" s="19">
        <f>IF($I715="","",IF(ISNUMBER($I715),TEXT($I715,"0"),$I715))</f>
        <v/>
      </c>
    </row>
    <row r="716">
      <c r="B716" s="25" t="n"/>
      <c r="I716" s="25" t="n"/>
      <c r="U716" s="19">
        <f>IF($V716&lt;&gt;'設定'!$C$4,N(U715),IF(OR(NOT(COUNTIF('商品マスタ'!$B$6:$B$1005,$W716)=0),COUNTIFS('①在庫を貼る'!$V$6:$V$10005,$V716,'①在庫を貼る'!$W$6:$W$10005,$W716)&gt;0),N(U715),N(U715)+1))</f>
        <v/>
      </c>
      <c r="V716" s="19">
        <f>IF($B716="","",TEXT($B716,"0000"))</f>
        <v/>
      </c>
      <c r="W716" s="19">
        <f>IF($I716="","",IF(ISNUMBER($I716),TEXT($I716,"0"),$I716))</f>
        <v/>
      </c>
    </row>
    <row r="717">
      <c r="B717" s="25" t="n"/>
      <c r="I717" s="25" t="n"/>
      <c r="U717" s="19">
        <f>IF($V717&lt;&gt;'設定'!$C$4,N(U716),IF(OR(NOT(COUNTIF('商品マスタ'!$B$6:$B$1005,$W717)=0),COUNTIFS('①在庫を貼る'!$V$6:$V$10005,$V717,'①在庫を貼る'!$W$6:$W$10005,$W717)&gt;0),N(U716),N(U716)+1))</f>
        <v/>
      </c>
      <c r="V717" s="19">
        <f>IF($B717="","",TEXT($B717,"0000"))</f>
        <v/>
      </c>
      <c r="W717" s="19">
        <f>IF($I717="","",IF(ISNUMBER($I717),TEXT($I717,"0"),$I717))</f>
        <v/>
      </c>
    </row>
    <row r="718">
      <c r="B718" s="25" t="n"/>
      <c r="I718" s="25" t="n"/>
      <c r="U718" s="19">
        <f>IF($V718&lt;&gt;'設定'!$C$4,N(U717),IF(OR(NOT(COUNTIF('商品マスタ'!$B$6:$B$1005,$W718)=0),COUNTIFS('①在庫を貼る'!$V$6:$V$10005,$V718,'①在庫を貼る'!$W$6:$W$10005,$W718)&gt;0),N(U717),N(U717)+1))</f>
        <v/>
      </c>
      <c r="V718" s="19">
        <f>IF($B718="","",TEXT($B718,"0000"))</f>
        <v/>
      </c>
      <c r="W718" s="19">
        <f>IF($I718="","",IF(ISNUMBER($I718),TEXT($I718,"0"),$I718))</f>
        <v/>
      </c>
    </row>
    <row r="719">
      <c r="B719" s="25" t="n"/>
      <c r="I719" s="25" t="n"/>
      <c r="U719" s="19">
        <f>IF($V719&lt;&gt;'設定'!$C$4,N(U718),IF(OR(NOT(COUNTIF('商品マスタ'!$B$6:$B$1005,$W719)=0),COUNTIFS('①在庫を貼る'!$V$6:$V$10005,$V719,'①在庫を貼る'!$W$6:$W$10005,$W719)&gt;0),N(U718),N(U718)+1))</f>
        <v/>
      </c>
      <c r="V719" s="19">
        <f>IF($B719="","",TEXT($B719,"0000"))</f>
        <v/>
      </c>
      <c r="W719" s="19">
        <f>IF($I719="","",IF(ISNUMBER($I719),TEXT($I719,"0"),$I719))</f>
        <v/>
      </c>
    </row>
    <row r="720">
      <c r="B720" s="25" t="n"/>
      <c r="I720" s="25" t="n"/>
      <c r="U720" s="19">
        <f>IF($V720&lt;&gt;'設定'!$C$4,N(U719),IF(OR(NOT(COUNTIF('商品マスタ'!$B$6:$B$1005,$W720)=0),COUNTIFS('①在庫を貼る'!$V$6:$V$10005,$V720,'①在庫を貼る'!$W$6:$W$10005,$W720)&gt;0),N(U719),N(U719)+1))</f>
        <v/>
      </c>
      <c r="V720" s="19">
        <f>IF($B720="","",TEXT($B720,"0000"))</f>
        <v/>
      </c>
      <c r="W720" s="19">
        <f>IF($I720="","",IF(ISNUMBER($I720),TEXT($I720,"0"),$I720))</f>
        <v/>
      </c>
    </row>
    <row r="721">
      <c r="B721" s="25" t="n"/>
      <c r="I721" s="25" t="n"/>
      <c r="U721" s="19">
        <f>IF($V721&lt;&gt;'設定'!$C$4,N(U720),IF(OR(NOT(COUNTIF('商品マスタ'!$B$6:$B$1005,$W721)=0),COUNTIFS('①在庫を貼る'!$V$6:$V$10005,$V721,'①在庫を貼る'!$W$6:$W$10005,$W721)&gt;0),N(U720),N(U720)+1))</f>
        <v/>
      </c>
      <c r="V721" s="19">
        <f>IF($B721="","",TEXT($B721,"0000"))</f>
        <v/>
      </c>
      <c r="W721" s="19">
        <f>IF($I721="","",IF(ISNUMBER($I721),TEXT($I721,"0"),$I721))</f>
        <v/>
      </c>
    </row>
    <row r="722">
      <c r="B722" s="25" t="n"/>
      <c r="I722" s="25" t="n"/>
      <c r="U722" s="19">
        <f>IF($V722&lt;&gt;'設定'!$C$4,N(U721),IF(OR(NOT(COUNTIF('商品マスタ'!$B$6:$B$1005,$W722)=0),COUNTIFS('①在庫を貼る'!$V$6:$V$10005,$V722,'①在庫を貼る'!$W$6:$W$10005,$W722)&gt;0),N(U721),N(U721)+1))</f>
        <v/>
      </c>
      <c r="V722" s="19">
        <f>IF($B722="","",TEXT($B722,"0000"))</f>
        <v/>
      </c>
      <c r="W722" s="19">
        <f>IF($I722="","",IF(ISNUMBER($I722),TEXT($I722,"0"),$I722))</f>
        <v/>
      </c>
    </row>
    <row r="723">
      <c r="B723" s="25" t="n"/>
      <c r="I723" s="25" t="n"/>
      <c r="U723" s="19">
        <f>IF($V723&lt;&gt;'設定'!$C$4,N(U722),IF(OR(NOT(COUNTIF('商品マスタ'!$B$6:$B$1005,$W723)=0),COUNTIFS('①在庫を貼る'!$V$6:$V$10005,$V723,'①在庫を貼る'!$W$6:$W$10005,$W723)&gt;0),N(U722),N(U722)+1))</f>
        <v/>
      </c>
      <c r="V723" s="19">
        <f>IF($B723="","",TEXT($B723,"0000"))</f>
        <v/>
      </c>
      <c r="W723" s="19">
        <f>IF($I723="","",IF(ISNUMBER($I723),TEXT($I723,"0"),$I723))</f>
        <v/>
      </c>
    </row>
    <row r="724">
      <c r="B724" s="25" t="n"/>
      <c r="I724" s="25" t="n"/>
      <c r="U724" s="19">
        <f>IF($V724&lt;&gt;'設定'!$C$4,N(U723),IF(OR(NOT(COUNTIF('商品マスタ'!$B$6:$B$1005,$W724)=0),COUNTIFS('①在庫を貼る'!$V$6:$V$10005,$V724,'①在庫を貼る'!$W$6:$W$10005,$W724)&gt;0),N(U723),N(U723)+1))</f>
        <v/>
      </c>
      <c r="V724" s="19">
        <f>IF($B724="","",TEXT($B724,"0000"))</f>
        <v/>
      </c>
      <c r="W724" s="19">
        <f>IF($I724="","",IF(ISNUMBER($I724),TEXT($I724,"0"),$I724))</f>
        <v/>
      </c>
    </row>
    <row r="725">
      <c r="B725" s="25" t="n"/>
      <c r="I725" s="25" t="n"/>
      <c r="U725" s="19">
        <f>IF($V725&lt;&gt;'設定'!$C$4,N(U724),IF(OR(NOT(COUNTIF('商品マスタ'!$B$6:$B$1005,$W725)=0),COUNTIFS('①在庫を貼る'!$V$6:$V$10005,$V725,'①在庫を貼る'!$W$6:$W$10005,$W725)&gt;0),N(U724),N(U724)+1))</f>
        <v/>
      </c>
      <c r="V725" s="19">
        <f>IF($B725="","",TEXT($B725,"0000"))</f>
        <v/>
      </c>
      <c r="W725" s="19">
        <f>IF($I725="","",IF(ISNUMBER($I725),TEXT($I725,"0"),$I725))</f>
        <v/>
      </c>
    </row>
    <row r="726">
      <c r="B726" s="25" t="n"/>
      <c r="I726" s="25" t="n"/>
      <c r="U726" s="19">
        <f>IF($V726&lt;&gt;'設定'!$C$4,N(U725),IF(OR(NOT(COUNTIF('商品マスタ'!$B$6:$B$1005,$W726)=0),COUNTIFS('①在庫を貼る'!$V$6:$V$10005,$V726,'①在庫を貼る'!$W$6:$W$10005,$W726)&gt;0),N(U725),N(U725)+1))</f>
        <v/>
      </c>
      <c r="V726" s="19">
        <f>IF($B726="","",TEXT($B726,"0000"))</f>
        <v/>
      </c>
      <c r="W726" s="19">
        <f>IF($I726="","",IF(ISNUMBER($I726),TEXT($I726,"0"),$I726))</f>
        <v/>
      </c>
    </row>
    <row r="727">
      <c r="B727" s="25" t="n"/>
      <c r="I727" s="25" t="n"/>
      <c r="U727" s="19">
        <f>IF($V727&lt;&gt;'設定'!$C$4,N(U726),IF(OR(NOT(COUNTIF('商品マスタ'!$B$6:$B$1005,$W727)=0),COUNTIFS('①在庫を貼る'!$V$6:$V$10005,$V727,'①在庫を貼る'!$W$6:$W$10005,$W727)&gt;0),N(U726),N(U726)+1))</f>
        <v/>
      </c>
      <c r="V727" s="19">
        <f>IF($B727="","",TEXT($B727,"0000"))</f>
        <v/>
      </c>
      <c r="W727" s="19">
        <f>IF($I727="","",IF(ISNUMBER($I727),TEXT($I727,"0"),$I727))</f>
        <v/>
      </c>
    </row>
    <row r="728">
      <c r="B728" s="25" t="n"/>
      <c r="I728" s="25" t="n"/>
      <c r="U728" s="19">
        <f>IF($V728&lt;&gt;'設定'!$C$4,N(U727),IF(OR(NOT(COUNTIF('商品マスタ'!$B$6:$B$1005,$W728)=0),COUNTIFS('①在庫を貼る'!$V$6:$V$10005,$V728,'①在庫を貼る'!$W$6:$W$10005,$W728)&gt;0),N(U727),N(U727)+1))</f>
        <v/>
      </c>
      <c r="V728" s="19">
        <f>IF($B728="","",TEXT($B728,"0000"))</f>
        <v/>
      </c>
      <c r="W728" s="19">
        <f>IF($I728="","",IF(ISNUMBER($I728),TEXT($I728,"0"),$I728))</f>
        <v/>
      </c>
    </row>
    <row r="729">
      <c r="B729" s="25" t="n"/>
      <c r="I729" s="25" t="n"/>
      <c r="U729" s="19">
        <f>IF($V729&lt;&gt;'設定'!$C$4,N(U728),IF(OR(NOT(COUNTIF('商品マスタ'!$B$6:$B$1005,$W729)=0),COUNTIFS('①在庫を貼る'!$V$6:$V$10005,$V729,'①在庫を貼る'!$W$6:$W$10005,$W729)&gt;0),N(U728),N(U728)+1))</f>
        <v/>
      </c>
      <c r="V729" s="19">
        <f>IF($B729="","",TEXT($B729,"0000"))</f>
        <v/>
      </c>
      <c r="W729" s="19">
        <f>IF($I729="","",IF(ISNUMBER($I729),TEXT($I729,"0"),$I729))</f>
        <v/>
      </c>
    </row>
    <row r="730">
      <c r="B730" s="25" t="n"/>
      <c r="I730" s="25" t="n"/>
      <c r="U730" s="19">
        <f>IF($V730&lt;&gt;'設定'!$C$4,N(U729),IF(OR(NOT(COUNTIF('商品マスタ'!$B$6:$B$1005,$W730)=0),COUNTIFS('①在庫を貼る'!$V$6:$V$10005,$V730,'①在庫を貼る'!$W$6:$W$10005,$W730)&gt;0),N(U729),N(U729)+1))</f>
        <v/>
      </c>
      <c r="V730" s="19">
        <f>IF($B730="","",TEXT($B730,"0000"))</f>
        <v/>
      </c>
      <c r="W730" s="19">
        <f>IF($I730="","",IF(ISNUMBER($I730),TEXT($I730,"0"),$I730))</f>
        <v/>
      </c>
    </row>
    <row r="731">
      <c r="B731" s="25" t="n"/>
      <c r="I731" s="25" t="n"/>
      <c r="U731" s="19">
        <f>IF($V731&lt;&gt;'設定'!$C$4,N(U730),IF(OR(NOT(COUNTIF('商品マスタ'!$B$6:$B$1005,$W731)=0),COUNTIFS('①在庫を貼る'!$V$6:$V$10005,$V731,'①在庫を貼る'!$W$6:$W$10005,$W731)&gt;0),N(U730),N(U730)+1))</f>
        <v/>
      </c>
      <c r="V731" s="19">
        <f>IF($B731="","",TEXT($B731,"0000"))</f>
        <v/>
      </c>
      <c r="W731" s="19">
        <f>IF($I731="","",IF(ISNUMBER($I731),TEXT($I731,"0"),$I731))</f>
        <v/>
      </c>
    </row>
    <row r="732">
      <c r="B732" s="25" t="n"/>
      <c r="I732" s="25" t="n"/>
      <c r="U732" s="19">
        <f>IF($V732&lt;&gt;'設定'!$C$4,N(U731),IF(OR(NOT(COUNTIF('商品マスタ'!$B$6:$B$1005,$W732)=0),COUNTIFS('①在庫を貼る'!$V$6:$V$10005,$V732,'①在庫を貼る'!$W$6:$W$10005,$W732)&gt;0),N(U731),N(U731)+1))</f>
        <v/>
      </c>
      <c r="V732" s="19">
        <f>IF($B732="","",TEXT($B732,"0000"))</f>
        <v/>
      </c>
      <c r="W732" s="19">
        <f>IF($I732="","",IF(ISNUMBER($I732),TEXT($I732,"0"),$I732))</f>
        <v/>
      </c>
    </row>
    <row r="733">
      <c r="B733" s="25" t="n"/>
      <c r="I733" s="25" t="n"/>
      <c r="U733" s="19">
        <f>IF($V733&lt;&gt;'設定'!$C$4,N(U732),IF(OR(NOT(COUNTIF('商品マスタ'!$B$6:$B$1005,$W733)=0),COUNTIFS('①在庫を貼る'!$V$6:$V$10005,$V733,'①在庫を貼る'!$W$6:$W$10005,$W733)&gt;0),N(U732),N(U732)+1))</f>
        <v/>
      </c>
      <c r="V733" s="19">
        <f>IF($B733="","",TEXT($B733,"0000"))</f>
        <v/>
      </c>
      <c r="W733" s="19">
        <f>IF($I733="","",IF(ISNUMBER($I733),TEXT($I733,"0"),$I733))</f>
        <v/>
      </c>
    </row>
    <row r="734">
      <c r="B734" s="25" t="n"/>
      <c r="I734" s="25" t="n"/>
      <c r="U734" s="19">
        <f>IF($V734&lt;&gt;'設定'!$C$4,N(U733),IF(OR(NOT(COUNTIF('商品マスタ'!$B$6:$B$1005,$W734)=0),COUNTIFS('①在庫を貼る'!$V$6:$V$10005,$V734,'①在庫を貼る'!$W$6:$W$10005,$W734)&gt;0),N(U733),N(U733)+1))</f>
        <v/>
      </c>
      <c r="V734" s="19">
        <f>IF($B734="","",TEXT($B734,"0000"))</f>
        <v/>
      </c>
      <c r="W734" s="19">
        <f>IF($I734="","",IF(ISNUMBER($I734),TEXT($I734,"0"),$I734))</f>
        <v/>
      </c>
    </row>
    <row r="735">
      <c r="B735" s="25" t="n"/>
      <c r="I735" s="25" t="n"/>
      <c r="U735" s="19">
        <f>IF($V735&lt;&gt;'設定'!$C$4,N(U734),IF(OR(NOT(COUNTIF('商品マスタ'!$B$6:$B$1005,$W735)=0),COUNTIFS('①在庫を貼る'!$V$6:$V$10005,$V735,'①在庫を貼る'!$W$6:$W$10005,$W735)&gt;0),N(U734),N(U734)+1))</f>
        <v/>
      </c>
      <c r="V735" s="19">
        <f>IF($B735="","",TEXT($B735,"0000"))</f>
        <v/>
      </c>
      <c r="W735" s="19">
        <f>IF($I735="","",IF(ISNUMBER($I735),TEXT($I735,"0"),$I735))</f>
        <v/>
      </c>
    </row>
    <row r="736">
      <c r="B736" s="25" t="n"/>
      <c r="I736" s="25" t="n"/>
      <c r="U736" s="19">
        <f>IF($V736&lt;&gt;'設定'!$C$4,N(U735),IF(OR(NOT(COUNTIF('商品マスタ'!$B$6:$B$1005,$W736)=0),COUNTIFS('①在庫を貼る'!$V$6:$V$10005,$V736,'①在庫を貼る'!$W$6:$W$10005,$W736)&gt;0),N(U735),N(U735)+1))</f>
        <v/>
      </c>
      <c r="V736" s="19">
        <f>IF($B736="","",TEXT($B736,"0000"))</f>
        <v/>
      </c>
      <c r="W736" s="19">
        <f>IF($I736="","",IF(ISNUMBER($I736),TEXT($I736,"0"),$I736))</f>
        <v/>
      </c>
    </row>
    <row r="737">
      <c r="B737" s="25" t="n"/>
      <c r="I737" s="25" t="n"/>
      <c r="U737" s="19">
        <f>IF($V737&lt;&gt;'設定'!$C$4,N(U736),IF(OR(NOT(COUNTIF('商品マスタ'!$B$6:$B$1005,$W737)=0),COUNTIFS('①在庫を貼る'!$V$6:$V$10005,$V737,'①在庫を貼る'!$W$6:$W$10005,$W737)&gt;0),N(U736),N(U736)+1))</f>
        <v/>
      </c>
      <c r="V737" s="19">
        <f>IF($B737="","",TEXT($B737,"0000"))</f>
        <v/>
      </c>
      <c r="W737" s="19">
        <f>IF($I737="","",IF(ISNUMBER($I737),TEXT($I737,"0"),$I737))</f>
        <v/>
      </c>
    </row>
    <row r="738">
      <c r="B738" s="25" t="n"/>
      <c r="I738" s="25" t="n"/>
      <c r="U738" s="19">
        <f>IF($V738&lt;&gt;'設定'!$C$4,N(U737),IF(OR(NOT(COUNTIF('商品マスタ'!$B$6:$B$1005,$W738)=0),COUNTIFS('①在庫を貼る'!$V$6:$V$10005,$V738,'①在庫を貼る'!$W$6:$W$10005,$W738)&gt;0),N(U737),N(U737)+1))</f>
        <v/>
      </c>
      <c r="V738" s="19">
        <f>IF($B738="","",TEXT($B738,"0000"))</f>
        <v/>
      </c>
      <c r="W738" s="19">
        <f>IF($I738="","",IF(ISNUMBER($I738),TEXT($I738,"0"),$I738))</f>
        <v/>
      </c>
    </row>
    <row r="739">
      <c r="B739" s="25" t="n"/>
      <c r="I739" s="25" t="n"/>
      <c r="U739" s="19">
        <f>IF($V739&lt;&gt;'設定'!$C$4,N(U738),IF(OR(NOT(COUNTIF('商品マスタ'!$B$6:$B$1005,$W739)=0),COUNTIFS('①在庫を貼る'!$V$6:$V$10005,$V739,'①在庫を貼る'!$W$6:$W$10005,$W739)&gt;0),N(U738),N(U738)+1))</f>
        <v/>
      </c>
      <c r="V739" s="19">
        <f>IF($B739="","",TEXT($B739,"0000"))</f>
        <v/>
      </c>
      <c r="W739" s="19">
        <f>IF($I739="","",IF(ISNUMBER($I739),TEXT($I739,"0"),$I739))</f>
        <v/>
      </c>
    </row>
    <row r="740">
      <c r="B740" s="25" t="n"/>
      <c r="I740" s="25" t="n"/>
      <c r="U740" s="19">
        <f>IF($V740&lt;&gt;'設定'!$C$4,N(U739),IF(OR(NOT(COUNTIF('商品マスタ'!$B$6:$B$1005,$W740)=0),COUNTIFS('①在庫を貼る'!$V$6:$V$10005,$V740,'①在庫を貼る'!$W$6:$W$10005,$W740)&gt;0),N(U739),N(U739)+1))</f>
        <v/>
      </c>
      <c r="V740" s="19">
        <f>IF($B740="","",TEXT($B740,"0000"))</f>
        <v/>
      </c>
      <c r="W740" s="19">
        <f>IF($I740="","",IF(ISNUMBER($I740),TEXT($I740,"0"),$I740))</f>
        <v/>
      </c>
    </row>
    <row r="741">
      <c r="B741" s="25" t="n"/>
      <c r="I741" s="25" t="n"/>
      <c r="U741" s="19">
        <f>IF($V741&lt;&gt;'設定'!$C$4,N(U740),IF(OR(NOT(COUNTIF('商品マスタ'!$B$6:$B$1005,$W741)=0),COUNTIFS('①在庫を貼る'!$V$6:$V$10005,$V741,'①在庫を貼る'!$W$6:$W$10005,$W741)&gt;0),N(U740),N(U740)+1))</f>
        <v/>
      </c>
      <c r="V741" s="19">
        <f>IF($B741="","",TEXT($B741,"0000"))</f>
        <v/>
      </c>
      <c r="W741" s="19">
        <f>IF($I741="","",IF(ISNUMBER($I741),TEXT($I741,"0"),$I741))</f>
        <v/>
      </c>
    </row>
    <row r="742">
      <c r="B742" s="25" t="n"/>
      <c r="I742" s="25" t="n"/>
      <c r="U742" s="19">
        <f>IF($V742&lt;&gt;'設定'!$C$4,N(U741),IF(OR(NOT(COUNTIF('商品マスタ'!$B$6:$B$1005,$W742)=0),COUNTIFS('①在庫を貼る'!$V$6:$V$10005,$V742,'①在庫を貼る'!$W$6:$W$10005,$W742)&gt;0),N(U741),N(U741)+1))</f>
        <v/>
      </c>
      <c r="V742" s="19">
        <f>IF($B742="","",TEXT($B742,"0000"))</f>
        <v/>
      </c>
      <c r="W742" s="19">
        <f>IF($I742="","",IF(ISNUMBER($I742),TEXT($I742,"0"),$I742))</f>
        <v/>
      </c>
    </row>
    <row r="743">
      <c r="B743" s="25" t="n"/>
      <c r="I743" s="25" t="n"/>
      <c r="U743" s="19">
        <f>IF($V743&lt;&gt;'設定'!$C$4,N(U742),IF(OR(NOT(COUNTIF('商品マスタ'!$B$6:$B$1005,$W743)=0),COUNTIFS('①在庫を貼る'!$V$6:$V$10005,$V743,'①在庫を貼る'!$W$6:$W$10005,$W743)&gt;0),N(U742),N(U742)+1))</f>
        <v/>
      </c>
      <c r="V743" s="19">
        <f>IF($B743="","",TEXT($B743,"0000"))</f>
        <v/>
      </c>
      <c r="W743" s="19">
        <f>IF($I743="","",IF(ISNUMBER($I743),TEXT($I743,"0"),$I743))</f>
        <v/>
      </c>
    </row>
    <row r="744">
      <c r="B744" s="25" t="n"/>
      <c r="I744" s="25" t="n"/>
      <c r="U744" s="19">
        <f>IF($V744&lt;&gt;'設定'!$C$4,N(U743),IF(OR(NOT(COUNTIF('商品マスタ'!$B$6:$B$1005,$W744)=0),COUNTIFS('①在庫を貼る'!$V$6:$V$10005,$V744,'①在庫を貼る'!$W$6:$W$10005,$W744)&gt;0),N(U743),N(U743)+1))</f>
        <v/>
      </c>
      <c r="V744" s="19">
        <f>IF($B744="","",TEXT($B744,"0000"))</f>
        <v/>
      </c>
      <c r="W744" s="19">
        <f>IF($I744="","",IF(ISNUMBER($I744),TEXT($I744,"0"),$I744))</f>
        <v/>
      </c>
    </row>
    <row r="745">
      <c r="B745" s="25" t="n"/>
      <c r="I745" s="25" t="n"/>
      <c r="U745" s="19">
        <f>IF($V745&lt;&gt;'設定'!$C$4,N(U744),IF(OR(NOT(COUNTIF('商品マスタ'!$B$6:$B$1005,$W745)=0),COUNTIFS('①在庫を貼る'!$V$6:$V$10005,$V745,'①在庫を貼る'!$W$6:$W$10005,$W745)&gt;0),N(U744),N(U744)+1))</f>
        <v/>
      </c>
      <c r="V745" s="19">
        <f>IF($B745="","",TEXT($B745,"0000"))</f>
        <v/>
      </c>
      <c r="W745" s="19">
        <f>IF($I745="","",IF(ISNUMBER($I745),TEXT($I745,"0"),$I745))</f>
        <v/>
      </c>
    </row>
    <row r="746">
      <c r="B746" s="25" t="n"/>
      <c r="I746" s="25" t="n"/>
      <c r="U746" s="19">
        <f>IF($V746&lt;&gt;'設定'!$C$4,N(U745),IF(OR(NOT(COUNTIF('商品マスタ'!$B$6:$B$1005,$W746)=0),COUNTIFS('①在庫を貼る'!$V$6:$V$10005,$V746,'①在庫を貼る'!$W$6:$W$10005,$W746)&gt;0),N(U745),N(U745)+1))</f>
        <v/>
      </c>
      <c r="V746" s="19">
        <f>IF($B746="","",TEXT($B746,"0000"))</f>
        <v/>
      </c>
      <c r="W746" s="19">
        <f>IF($I746="","",IF(ISNUMBER($I746),TEXT($I746,"0"),$I746))</f>
        <v/>
      </c>
    </row>
    <row r="747">
      <c r="B747" s="25" t="n"/>
      <c r="I747" s="25" t="n"/>
      <c r="U747" s="19">
        <f>IF($V747&lt;&gt;'設定'!$C$4,N(U746),IF(OR(NOT(COUNTIF('商品マスタ'!$B$6:$B$1005,$W747)=0),COUNTIFS('①在庫を貼る'!$V$6:$V$10005,$V747,'①在庫を貼る'!$W$6:$W$10005,$W747)&gt;0),N(U746),N(U746)+1))</f>
        <v/>
      </c>
      <c r="V747" s="19">
        <f>IF($B747="","",TEXT($B747,"0000"))</f>
        <v/>
      </c>
      <c r="W747" s="19">
        <f>IF($I747="","",IF(ISNUMBER($I747),TEXT($I747,"0"),$I747))</f>
        <v/>
      </c>
    </row>
    <row r="748">
      <c r="B748" s="25" t="n"/>
      <c r="I748" s="25" t="n"/>
      <c r="U748" s="19">
        <f>IF($V748&lt;&gt;'設定'!$C$4,N(U747),IF(OR(NOT(COUNTIF('商品マスタ'!$B$6:$B$1005,$W748)=0),COUNTIFS('①在庫を貼る'!$V$6:$V$10005,$V748,'①在庫を貼る'!$W$6:$W$10005,$W748)&gt;0),N(U747),N(U747)+1))</f>
        <v/>
      </c>
      <c r="V748" s="19">
        <f>IF($B748="","",TEXT($B748,"0000"))</f>
        <v/>
      </c>
      <c r="W748" s="19">
        <f>IF($I748="","",IF(ISNUMBER($I748),TEXT($I748,"0"),$I748))</f>
        <v/>
      </c>
    </row>
    <row r="749">
      <c r="B749" s="25" t="n"/>
      <c r="I749" s="25" t="n"/>
      <c r="U749" s="19">
        <f>IF($V749&lt;&gt;'設定'!$C$4,N(U748),IF(OR(NOT(COUNTIF('商品マスタ'!$B$6:$B$1005,$W749)=0),COUNTIFS('①在庫を貼る'!$V$6:$V$10005,$V749,'①在庫を貼る'!$W$6:$W$10005,$W749)&gt;0),N(U748),N(U748)+1))</f>
        <v/>
      </c>
      <c r="V749" s="19">
        <f>IF($B749="","",TEXT($B749,"0000"))</f>
        <v/>
      </c>
      <c r="W749" s="19">
        <f>IF($I749="","",IF(ISNUMBER($I749),TEXT($I749,"0"),$I749))</f>
        <v/>
      </c>
    </row>
    <row r="750">
      <c r="B750" s="25" t="n"/>
      <c r="I750" s="25" t="n"/>
      <c r="U750" s="19">
        <f>IF($V750&lt;&gt;'設定'!$C$4,N(U749),IF(OR(NOT(COUNTIF('商品マスタ'!$B$6:$B$1005,$W750)=0),COUNTIFS('①在庫を貼る'!$V$6:$V$10005,$V750,'①在庫を貼る'!$W$6:$W$10005,$W750)&gt;0),N(U749),N(U749)+1))</f>
        <v/>
      </c>
      <c r="V750" s="19">
        <f>IF($B750="","",TEXT($B750,"0000"))</f>
        <v/>
      </c>
      <c r="W750" s="19">
        <f>IF($I750="","",IF(ISNUMBER($I750),TEXT($I750,"0"),$I750))</f>
        <v/>
      </c>
    </row>
    <row r="751">
      <c r="B751" s="25" t="n"/>
      <c r="I751" s="25" t="n"/>
      <c r="U751" s="19">
        <f>IF($V751&lt;&gt;'設定'!$C$4,N(U750),IF(OR(NOT(COUNTIF('商品マスタ'!$B$6:$B$1005,$W751)=0),COUNTIFS('①在庫を貼る'!$V$6:$V$10005,$V751,'①在庫を貼る'!$W$6:$W$10005,$W751)&gt;0),N(U750),N(U750)+1))</f>
        <v/>
      </c>
      <c r="V751" s="19">
        <f>IF($B751="","",TEXT($B751,"0000"))</f>
        <v/>
      </c>
      <c r="W751" s="19">
        <f>IF($I751="","",IF(ISNUMBER($I751),TEXT($I751,"0"),$I751))</f>
        <v/>
      </c>
    </row>
    <row r="752">
      <c r="B752" s="25" t="n"/>
      <c r="I752" s="25" t="n"/>
      <c r="U752" s="19">
        <f>IF($V752&lt;&gt;'設定'!$C$4,N(U751),IF(OR(NOT(COUNTIF('商品マスタ'!$B$6:$B$1005,$W752)=0),COUNTIFS('①在庫を貼る'!$V$6:$V$10005,$V752,'①在庫を貼る'!$W$6:$W$10005,$W752)&gt;0),N(U751),N(U751)+1))</f>
        <v/>
      </c>
      <c r="V752" s="19">
        <f>IF($B752="","",TEXT($B752,"0000"))</f>
        <v/>
      </c>
      <c r="W752" s="19">
        <f>IF($I752="","",IF(ISNUMBER($I752),TEXT($I752,"0"),$I752))</f>
        <v/>
      </c>
    </row>
    <row r="753">
      <c r="B753" s="25" t="n"/>
      <c r="I753" s="25" t="n"/>
      <c r="U753" s="19">
        <f>IF($V753&lt;&gt;'設定'!$C$4,N(U752),IF(OR(NOT(COUNTIF('商品マスタ'!$B$6:$B$1005,$W753)=0),COUNTIFS('①在庫を貼る'!$V$6:$V$10005,$V753,'①在庫を貼る'!$W$6:$W$10005,$W753)&gt;0),N(U752),N(U752)+1))</f>
        <v/>
      </c>
      <c r="V753" s="19">
        <f>IF($B753="","",TEXT($B753,"0000"))</f>
        <v/>
      </c>
      <c r="W753" s="19">
        <f>IF($I753="","",IF(ISNUMBER($I753),TEXT($I753,"0"),$I753))</f>
        <v/>
      </c>
    </row>
    <row r="754">
      <c r="B754" s="25" t="n"/>
      <c r="I754" s="25" t="n"/>
      <c r="U754" s="19">
        <f>IF($V754&lt;&gt;'設定'!$C$4,N(U753),IF(OR(NOT(COUNTIF('商品マスタ'!$B$6:$B$1005,$W754)=0),COUNTIFS('①在庫を貼る'!$V$6:$V$10005,$V754,'①在庫を貼る'!$W$6:$W$10005,$W754)&gt;0),N(U753),N(U753)+1))</f>
        <v/>
      </c>
      <c r="V754" s="19">
        <f>IF($B754="","",TEXT($B754,"0000"))</f>
        <v/>
      </c>
      <c r="W754" s="19">
        <f>IF($I754="","",IF(ISNUMBER($I754),TEXT($I754,"0"),$I754))</f>
        <v/>
      </c>
    </row>
    <row r="755">
      <c r="B755" s="25" t="n"/>
      <c r="I755" s="25" t="n"/>
      <c r="U755" s="19">
        <f>IF($V755&lt;&gt;'設定'!$C$4,N(U754),IF(OR(NOT(COUNTIF('商品マスタ'!$B$6:$B$1005,$W755)=0),COUNTIFS('①在庫を貼る'!$V$6:$V$10005,$V755,'①在庫を貼る'!$W$6:$W$10005,$W755)&gt;0),N(U754),N(U754)+1))</f>
        <v/>
      </c>
      <c r="V755" s="19">
        <f>IF($B755="","",TEXT($B755,"0000"))</f>
        <v/>
      </c>
      <c r="W755" s="19">
        <f>IF($I755="","",IF(ISNUMBER($I755),TEXT($I755,"0"),$I755))</f>
        <v/>
      </c>
    </row>
    <row r="756">
      <c r="B756" s="25" t="n"/>
      <c r="I756" s="25" t="n"/>
      <c r="U756" s="19">
        <f>IF($V756&lt;&gt;'設定'!$C$4,N(U755),IF(OR(NOT(COUNTIF('商品マスタ'!$B$6:$B$1005,$W756)=0),COUNTIFS('①在庫を貼る'!$V$6:$V$10005,$V756,'①在庫を貼る'!$W$6:$W$10005,$W756)&gt;0),N(U755),N(U755)+1))</f>
        <v/>
      </c>
      <c r="V756" s="19">
        <f>IF($B756="","",TEXT($B756,"0000"))</f>
        <v/>
      </c>
      <c r="W756" s="19">
        <f>IF($I756="","",IF(ISNUMBER($I756),TEXT($I756,"0"),$I756))</f>
        <v/>
      </c>
    </row>
    <row r="757">
      <c r="B757" s="25" t="n"/>
      <c r="I757" s="25" t="n"/>
      <c r="U757" s="19">
        <f>IF($V757&lt;&gt;'設定'!$C$4,N(U756),IF(OR(NOT(COUNTIF('商品マスタ'!$B$6:$B$1005,$W757)=0),COUNTIFS('①在庫を貼る'!$V$6:$V$10005,$V757,'①在庫を貼る'!$W$6:$W$10005,$W757)&gt;0),N(U756),N(U756)+1))</f>
        <v/>
      </c>
      <c r="V757" s="19">
        <f>IF($B757="","",TEXT($B757,"0000"))</f>
        <v/>
      </c>
      <c r="W757" s="19">
        <f>IF($I757="","",IF(ISNUMBER($I757),TEXT($I757,"0"),$I757))</f>
        <v/>
      </c>
    </row>
    <row r="758">
      <c r="B758" s="25" t="n"/>
      <c r="I758" s="25" t="n"/>
      <c r="U758" s="19">
        <f>IF($V758&lt;&gt;'設定'!$C$4,N(U757),IF(OR(NOT(COUNTIF('商品マスタ'!$B$6:$B$1005,$W758)=0),COUNTIFS('①在庫を貼る'!$V$6:$V$10005,$V758,'①在庫を貼る'!$W$6:$W$10005,$W758)&gt;0),N(U757),N(U757)+1))</f>
        <v/>
      </c>
      <c r="V758" s="19">
        <f>IF($B758="","",TEXT($B758,"0000"))</f>
        <v/>
      </c>
      <c r="W758" s="19">
        <f>IF($I758="","",IF(ISNUMBER($I758),TEXT($I758,"0"),$I758))</f>
        <v/>
      </c>
    </row>
    <row r="759">
      <c r="B759" s="25" t="n"/>
      <c r="I759" s="25" t="n"/>
      <c r="U759" s="19">
        <f>IF($V759&lt;&gt;'設定'!$C$4,N(U758),IF(OR(NOT(COUNTIF('商品マスタ'!$B$6:$B$1005,$W759)=0),COUNTIFS('①在庫を貼る'!$V$6:$V$10005,$V759,'①在庫を貼る'!$W$6:$W$10005,$W759)&gt;0),N(U758),N(U758)+1))</f>
        <v/>
      </c>
      <c r="V759" s="19">
        <f>IF($B759="","",TEXT($B759,"0000"))</f>
        <v/>
      </c>
      <c r="W759" s="19">
        <f>IF($I759="","",IF(ISNUMBER($I759),TEXT($I759,"0"),$I759))</f>
        <v/>
      </c>
    </row>
    <row r="760">
      <c r="B760" s="25" t="n"/>
      <c r="I760" s="25" t="n"/>
      <c r="U760" s="19">
        <f>IF($V760&lt;&gt;'設定'!$C$4,N(U759),IF(OR(NOT(COUNTIF('商品マスタ'!$B$6:$B$1005,$W760)=0),COUNTIFS('①在庫を貼る'!$V$6:$V$10005,$V760,'①在庫を貼る'!$W$6:$W$10005,$W760)&gt;0),N(U759),N(U759)+1))</f>
        <v/>
      </c>
      <c r="V760" s="19">
        <f>IF($B760="","",TEXT($B760,"0000"))</f>
        <v/>
      </c>
      <c r="W760" s="19">
        <f>IF($I760="","",IF(ISNUMBER($I760),TEXT($I760,"0"),$I760))</f>
        <v/>
      </c>
    </row>
    <row r="761">
      <c r="B761" s="25" t="n"/>
      <c r="I761" s="25" t="n"/>
      <c r="U761" s="19">
        <f>IF($V761&lt;&gt;'設定'!$C$4,N(U760),IF(OR(NOT(COUNTIF('商品マスタ'!$B$6:$B$1005,$W761)=0),COUNTIFS('①在庫を貼る'!$V$6:$V$10005,$V761,'①在庫を貼る'!$W$6:$W$10005,$W761)&gt;0),N(U760),N(U760)+1))</f>
        <v/>
      </c>
      <c r="V761" s="19">
        <f>IF($B761="","",TEXT($B761,"0000"))</f>
        <v/>
      </c>
      <c r="W761" s="19">
        <f>IF($I761="","",IF(ISNUMBER($I761),TEXT($I761,"0"),$I761))</f>
        <v/>
      </c>
    </row>
    <row r="762">
      <c r="B762" s="25" t="n"/>
      <c r="I762" s="25" t="n"/>
      <c r="U762" s="19">
        <f>IF($V762&lt;&gt;'設定'!$C$4,N(U761),IF(OR(NOT(COUNTIF('商品マスタ'!$B$6:$B$1005,$W762)=0),COUNTIFS('①在庫を貼る'!$V$6:$V$10005,$V762,'①在庫を貼る'!$W$6:$W$10005,$W762)&gt;0),N(U761),N(U761)+1))</f>
        <v/>
      </c>
      <c r="V762" s="19">
        <f>IF($B762="","",TEXT($B762,"0000"))</f>
        <v/>
      </c>
      <c r="W762" s="19">
        <f>IF($I762="","",IF(ISNUMBER($I762),TEXT($I762,"0"),$I762))</f>
        <v/>
      </c>
    </row>
    <row r="763">
      <c r="B763" s="25" t="n"/>
      <c r="I763" s="25" t="n"/>
      <c r="U763" s="19">
        <f>IF($V763&lt;&gt;'設定'!$C$4,N(U762),IF(OR(NOT(COUNTIF('商品マスタ'!$B$6:$B$1005,$W763)=0),COUNTIFS('①在庫を貼る'!$V$6:$V$10005,$V763,'①在庫を貼る'!$W$6:$W$10005,$W763)&gt;0),N(U762),N(U762)+1))</f>
        <v/>
      </c>
      <c r="V763" s="19">
        <f>IF($B763="","",TEXT($B763,"0000"))</f>
        <v/>
      </c>
      <c r="W763" s="19">
        <f>IF($I763="","",IF(ISNUMBER($I763),TEXT($I763,"0"),$I763))</f>
        <v/>
      </c>
    </row>
    <row r="764">
      <c r="B764" s="25" t="n"/>
      <c r="I764" s="25" t="n"/>
      <c r="U764" s="19">
        <f>IF($V764&lt;&gt;'設定'!$C$4,N(U763),IF(OR(NOT(COUNTIF('商品マスタ'!$B$6:$B$1005,$W764)=0),COUNTIFS('①在庫を貼る'!$V$6:$V$10005,$V764,'①在庫を貼る'!$W$6:$W$10005,$W764)&gt;0),N(U763),N(U763)+1))</f>
        <v/>
      </c>
      <c r="V764" s="19">
        <f>IF($B764="","",TEXT($B764,"0000"))</f>
        <v/>
      </c>
      <c r="W764" s="19">
        <f>IF($I764="","",IF(ISNUMBER($I764),TEXT($I764,"0"),$I764))</f>
        <v/>
      </c>
    </row>
    <row r="765">
      <c r="B765" s="25" t="n"/>
      <c r="I765" s="25" t="n"/>
      <c r="U765" s="19">
        <f>IF($V765&lt;&gt;'設定'!$C$4,N(U764),IF(OR(NOT(COUNTIF('商品マスタ'!$B$6:$B$1005,$W765)=0),COUNTIFS('①在庫を貼る'!$V$6:$V$10005,$V765,'①在庫を貼る'!$W$6:$W$10005,$W765)&gt;0),N(U764),N(U764)+1))</f>
        <v/>
      </c>
      <c r="V765" s="19">
        <f>IF($B765="","",TEXT($B765,"0000"))</f>
        <v/>
      </c>
      <c r="W765" s="19">
        <f>IF($I765="","",IF(ISNUMBER($I765),TEXT($I765,"0"),$I765))</f>
        <v/>
      </c>
    </row>
    <row r="766">
      <c r="B766" s="25" t="n"/>
      <c r="I766" s="25" t="n"/>
      <c r="U766" s="19">
        <f>IF($V766&lt;&gt;'設定'!$C$4,N(U765),IF(OR(NOT(COUNTIF('商品マスタ'!$B$6:$B$1005,$W766)=0),COUNTIFS('①在庫を貼る'!$V$6:$V$10005,$V766,'①在庫を貼る'!$W$6:$W$10005,$W766)&gt;0),N(U765),N(U765)+1))</f>
        <v/>
      </c>
      <c r="V766" s="19">
        <f>IF($B766="","",TEXT($B766,"0000"))</f>
        <v/>
      </c>
      <c r="W766" s="19">
        <f>IF($I766="","",IF(ISNUMBER($I766),TEXT($I766,"0"),$I766))</f>
        <v/>
      </c>
    </row>
    <row r="767">
      <c r="B767" s="25" t="n"/>
      <c r="I767" s="25" t="n"/>
      <c r="U767" s="19">
        <f>IF($V767&lt;&gt;'設定'!$C$4,N(U766),IF(OR(NOT(COUNTIF('商品マスタ'!$B$6:$B$1005,$W767)=0),COUNTIFS('①在庫を貼る'!$V$6:$V$10005,$V767,'①在庫を貼る'!$W$6:$W$10005,$W767)&gt;0),N(U766),N(U766)+1))</f>
        <v/>
      </c>
      <c r="V767" s="19">
        <f>IF($B767="","",TEXT($B767,"0000"))</f>
        <v/>
      </c>
      <c r="W767" s="19">
        <f>IF($I767="","",IF(ISNUMBER($I767),TEXT($I767,"0"),$I767))</f>
        <v/>
      </c>
    </row>
    <row r="768">
      <c r="B768" s="25" t="n"/>
      <c r="I768" s="25" t="n"/>
      <c r="U768" s="19">
        <f>IF($V768&lt;&gt;'設定'!$C$4,N(U767),IF(OR(NOT(COUNTIF('商品マスタ'!$B$6:$B$1005,$W768)=0),COUNTIFS('①在庫を貼る'!$V$6:$V$10005,$V768,'①在庫を貼る'!$W$6:$W$10005,$W768)&gt;0),N(U767),N(U767)+1))</f>
        <v/>
      </c>
      <c r="V768" s="19">
        <f>IF($B768="","",TEXT($B768,"0000"))</f>
        <v/>
      </c>
      <c r="W768" s="19">
        <f>IF($I768="","",IF(ISNUMBER($I768),TEXT($I768,"0"),$I768))</f>
        <v/>
      </c>
    </row>
    <row r="769">
      <c r="B769" s="25" t="n"/>
      <c r="I769" s="25" t="n"/>
      <c r="U769" s="19">
        <f>IF($V769&lt;&gt;'設定'!$C$4,N(U768),IF(OR(NOT(COUNTIF('商品マスタ'!$B$6:$B$1005,$W769)=0),COUNTIFS('①在庫を貼る'!$V$6:$V$10005,$V769,'①在庫を貼る'!$W$6:$W$10005,$W769)&gt;0),N(U768),N(U768)+1))</f>
        <v/>
      </c>
      <c r="V769" s="19">
        <f>IF($B769="","",TEXT($B769,"0000"))</f>
        <v/>
      </c>
      <c r="W769" s="19">
        <f>IF($I769="","",IF(ISNUMBER($I769),TEXT($I769,"0"),$I769))</f>
        <v/>
      </c>
    </row>
    <row r="770">
      <c r="B770" s="25" t="n"/>
      <c r="I770" s="25" t="n"/>
      <c r="U770" s="19">
        <f>IF($V770&lt;&gt;'設定'!$C$4,N(U769),IF(OR(NOT(COUNTIF('商品マスタ'!$B$6:$B$1005,$W770)=0),COUNTIFS('①在庫を貼る'!$V$6:$V$10005,$V770,'①在庫を貼る'!$W$6:$W$10005,$W770)&gt;0),N(U769),N(U769)+1))</f>
        <v/>
      </c>
      <c r="V770" s="19">
        <f>IF($B770="","",TEXT($B770,"0000"))</f>
        <v/>
      </c>
      <c r="W770" s="19">
        <f>IF($I770="","",IF(ISNUMBER($I770),TEXT($I770,"0"),$I770))</f>
        <v/>
      </c>
    </row>
    <row r="771">
      <c r="B771" s="25" t="n"/>
      <c r="I771" s="25" t="n"/>
      <c r="U771" s="19">
        <f>IF($V771&lt;&gt;'設定'!$C$4,N(U770),IF(OR(NOT(COUNTIF('商品マスタ'!$B$6:$B$1005,$W771)=0),COUNTIFS('①在庫を貼る'!$V$6:$V$10005,$V771,'①在庫を貼る'!$W$6:$W$10005,$W771)&gt;0),N(U770),N(U770)+1))</f>
        <v/>
      </c>
      <c r="V771" s="19">
        <f>IF($B771="","",TEXT($B771,"0000"))</f>
        <v/>
      </c>
      <c r="W771" s="19">
        <f>IF($I771="","",IF(ISNUMBER($I771),TEXT($I771,"0"),$I771))</f>
        <v/>
      </c>
    </row>
    <row r="772">
      <c r="B772" s="25" t="n"/>
      <c r="I772" s="25" t="n"/>
      <c r="U772" s="19">
        <f>IF($V772&lt;&gt;'設定'!$C$4,N(U771),IF(OR(NOT(COUNTIF('商品マスタ'!$B$6:$B$1005,$W772)=0),COUNTIFS('①在庫を貼る'!$V$6:$V$10005,$V772,'①在庫を貼る'!$W$6:$W$10005,$W772)&gt;0),N(U771),N(U771)+1))</f>
        <v/>
      </c>
      <c r="V772" s="19">
        <f>IF($B772="","",TEXT($B772,"0000"))</f>
        <v/>
      </c>
      <c r="W772" s="19">
        <f>IF($I772="","",IF(ISNUMBER($I772),TEXT($I772,"0"),$I772))</f>
        <v/>
      </c>
    </row>
    <row r="773">
      <c r="B773" s="25" t="n"/>
      <c r="I773" s="25" t="n"/>
      <c r="U773" s="19">
        <f>IF($V773&lt;&gt;'設定'!$C$4,N(U772),IF(OR(NOT(COUNTIF('商品マスタ'!$B$6:$B$1005,$W773)=0),COUNTIFS('①在庫を貼る'!$V$6:$V$10005,$V773,'①在庫を貼る'!$W$6:$W$10005,$W773)&gt;0),N(U772),N(U772)+1))</f>
        <v/>
      </c>
      <c r="V773" s="19">
        <f>IF($B773="","",TEXT($B773,"0000"))</f>
        <v/>
      </c>
      <c r="W773" s="19">
        <f>IF($I773="","",IF(ISNUMBER($I773),TEXT($I773,"0"),$I773))</f>
        <v/>
      </c>
    </row>
    <row r="774">
      <c r="B774" s="25" t="n"/>
      <c r="I774" s="25" t="n"/>
      <c r="U774" s="19">
        <f>IF($V774&lt;&gt;'設定'!$C$4,N(U773),IF(OR(NOT(COUNTIF('商品マスタ'!$B$6:$B$1005,$W774)=0),COUNTIFS('①在庫を貼る'!$V$6:$V$10005,$V774,'①在庫を貼る'!$W$6:$W$10005,$W774)&gt;0),N(U773),N(U773)+1))</f>
        <v/>
      </c>
      <c r="V774" s="19">
        <f>IF($B774="","",TEXT($B774,"0000"))</f>
        <v/>
      </c>
      <c r="W774" s="19">
        <f>IF($I774="","",IF(ISNUMBER($I774),TEXT($I774,"0"),$I774))</f>
        <v/>
      </c>
    </row>
    <row r="775">
      <c r="B775" s="25" t="n"/>
      <c r="I775" s="25" t="n"/>
      <c r="U775" s="19">
        <f>IF($V775&lt;&gt;'設定'!$C$4,N(U774),IF(OR(NOT(COUNTIF('商品マスタ'!$B$6:$B$1005,$W775)=0),COUNTIFS('①在庫を貼る'!$V$6:$V$10005,$V775,'①在庫を貼る'!$W$6:$W$10005,$W775)&gt;0),N(U774),N(U774)+1))</f>
        <v/>
      </c>
      <c r="V775" s="19">
        <f>IF($B775="","",TEXT($B775,"0000"))</f>
        <v/>
      </c>
      <c r="W775" s="19">
        <f>IF($I775="","",IF(ISNUMBER($I775),TEXT($I775,"0"),$I775))</f>
        <v/>
      </c>
    </row>
    <row r="776">
      <c r="B776" s="25" t="n"/>
      <c r="I776" s="25" t="n"/>
      <c r="U776" s="19">
        <f>IF($V776&lt;&gt;'設定'!$C$4,N(U775),IF(OR(NOT(COUNTIF('商品マスタ'!$B$6:$B$1005,$W776)=0),COUNTIFS('①在庫を貼る'!$V$6:$V$10005,$V776,'①在庫を貼る'!$W$6:$W$10005,$W776)&gt;0),N(U775),N(U775)+1))</f>
        <v/>
      </c>
      <c r="V776" s="19">
        <f>IF($B776="","",TEXT($B776,"0000"))</f>
        <v/>
      </c>
      <c r="W776" s="19">
        <f>IF($I776="","",IF(ISNUMBER($I776),TEXT($I776,"0"),$I776))</f>
        <v/>
      </c>
    </row>
    <row r="777">
      <c r="B777" s="25" t="n"/>
      <c r="I777" s="25" t="n"/>
      <c r="U777" s="19">
        <f>IF($V777&lt;&gt;'設定'!$C$4,N(U776),IF(OR(NOT(COUNTIF('商品マスタ'!$B$6:$B$1005,$W777)=0),COUNTIFS('①在庫を貼る'!$V$6:$V$10005,$V777,'①在庫を貼る'!$W$6:$W$10005,$W777)&gt;0),N(U776),N(U776)+1))</f>
        <v/>
      </c>
      <c r="V777" s="19">
        <f>IF($B777="","",TEXT($B777,"0000"))</f>
        <v/>
      </c>
      <c r="W777" s="19">
        <f>IF($I777="","",IF(ISNUMBER($I777),TEXT($I777,"0"),$I777))</f>
        <v/>
      </c>
    </row>
    <row r="778">
      <c r="B778" s="25" t="n"/>
      <c r="I778" s="25" t="n"/>
      <c r="U778" s="19">
        <f>IF($V778&lt;&gt;'設定'!$C$4,N(U777),IF(OR(NOT(COUNTIF('商品マスタ'!$B$6:$B$1005,$W778)=0),COUNTIFS('①在庫を貼る'!$V$6:$V$10005,$V778,'①在庫を貼る'!$W$6:$W$10005,$W778)&gt;0),N(U777),N(U777)+1))</f>
        <v/>
      </c>
      <c r="V778" s="19">
        <f>IF($B778="","",TEXT($B778,"0000"))</f>
        <v/>
      </c>
      <c r="W778" s="19">
        <f>IF($I778="","",IF(ISNUMBER($I778),TEXT($I778,"0"),$I778))</f>
        <v/>
      </c>
    </row>
    <row r="779">
      <c r="B779" s="25" t="n"/>
      <c r="I779" s="25" t="n"/>
      <c r="U779" s="19">
        <f>IF($V779&lt;&gt;'設定'!$C$4,N(U778),IF(OR(NOT(COUNTIF('商品マスタ'!$B$6:$B$1005,$W779)=0),COUNTIFS('①在庫を貼る'!$V$6:$V$10005,$V779,'①在庫を貼る'!$W$6:$W$10005,$W779)&gt;0),N(U778),N(U778)+1))</f>
        <v/>
      </c>
      <c r="V779" s="19">
        <f>IF($B779="","",TEXT($B779,"0000"))</f>
        <v/>
      </c>
      <c r="W779" s="19">
        <f>IF($I779="","",IF(ISNUMBER($I779),TEXT($I779,"0"),$I779))</f>
        <v/>
      </c>
    </row>
    <row r="780">
      <c r="B780" s="25" t="n"/>
      <c r="I780" s="25" t="n"/>
      <c r="U780" s="19">
        <f>IF($V780&lt;&gt;'設定'!$C$4,N(U779),IF(OR(NOT(COUNTIF('商品マスタ'!$B$6:$B$1005,$W780)=0),COUNTIFS('①在庫を貼る'!$V$6:$V$10005,$V780,'①在庫を貼る'!$W$6:$W$10005,$W780)&gt;0),N(U779),N(U779)+1))</f>
        <v/>
      </c>
      <c r="V780" s="19">
        <f>IF($B780="","",TEXT($B780,"0000"))</f>
        <v/>
      </c>
      <c r="W780" s="19">
        <f>IF($I780="","",IF(ISNUMBER($I780),TEXT($I780,"0"),$I780))</f>
        <v/>
      </c>
    </row>
    <row r="781">
      <c r="B781" s="25" t="n"/>
      <c r="I781" s="25" t="n"/>
      <c r="U781" s="19">
        <f>IF($V781&lt;&gt;'設定'!$C$4,N(U780),IF(OR(NOT(COUNTIF('商品マスタ'!$B$6:$B$1005,$W781)=0),COUNTIFS('①在庫を貼る'!$V$6:$V$10005,$V781,'①在庫を貼る'!$W$6:$W$10005,$W781)&gt;0),N(U780),N(U780)+1))</f>
        <v/>
      </c>
      <c r="V781" s="19">
        <f>IF($B781="","",TEXT($B781,"0000"))</f>
        <v/>
      </c>
      <c r="W781" s="19">
        <f>IF($I781="","",IF(ISNUMBER($I781),TEXT($I781,"0"),$I781))</f>
        <v/>
      </c>
    </row>
    <row r="782">
      <c r="B782" s="25" t="n"/>
      <c r="I782" s="25" t="n"/>
      <c r="U782" s="19">
        <f>IF($V782&lt;&gt;'設定'!$C$4,N(U781),IF(OR(NOT(COUNTIF('商品マスタ'!$B$6:$B$1005,$W782)=0),COUNTIFS('①在庫を貼る'!$V$6:$V$10005,$V782,'①在庫を貼る'!$W$6:$W$10005,$W782)&gt;0),N(U781),N(U781)+1))</f>
        <v/>
      </c>
      <c r="V782" s="19">
        <f>IF($B782="","",TEXT($B782,"0000"))</f>
        <v/>
      </c>
      <c r="W782" s="19">
        <f>IF($I782="","",IF(ISNUMBER($I782),TEXT($I782,"0"),$I782))</f>
        <v/>
      </c>
    </row>
    <row r="783">
      <c r="B783" s="25" t="n"/>
      <c r="I783" s="25" t="n"/>
      <c r="U783" s="19">
        <f>IF($V783&lt;&gt;'設定'!$C$4,N(U782),IF(OR(NOT(COUNTIF('商品マスタ'!$B$6:$B$1005,$W783)=0),COUNTIFS('①在庫を貼る'!$V$6:$V$10005,$V783,'①在庫を貼る'!$W$6:$W$10005,$W783)&gt;0),N(U782),N(U782)+1))</f>
        <v/>
      </c>
      <c r="V783" s="19">
        <f>IF($B783="","",TEXT($B783,"0000"))</f>
        <v/>
      </c>
      <c r="W783" s="19">
        <f>IF($I783="","",IF(ISNUMBER($I783),TEXT($I783,"0"),$I783))</f>
        <v/>
      </c>
    </row>
    <row r="784">
      <c r="B784" s="25" t="n"/>
      <c r="I784" s="25" t="n"/>
      <c r="U784" s="19">
        <f>IF($V784&lt;&gt;'設定'!$C$4,N(U783),IF(OR(NOT(COUNTIF('商品マスタ'!$B$6:$B$1005,$W784)=0),COUNTIFS('①在庫を貼る'!$V$6:$V$10005,$V784,'①在庫を貼る'!$W$6:$W$10005,$W784)&gt;0),N(U783),N(U783)+1))</f>
        <v/>
      </c>
      <c r="V784" s="19">
        <f>IF($B784="","",TEXT($B784,"0000"))</f>
        <v/>
      </c>
      <c r="W784" s="19">
        <f>IF($I784="","",IF(ISNUMBER($I784),TEXT($I784,"0"),$I784))</f>
        <v/>
      </c>
    </row>
    <row r="785">
      <c r="B785" s="25" t="n"/>
      <c r="I785" s="25" t="n"/>
      <c r="U785" s="19">
        <f>IF($V785&lt;&gt;'設定'!$C$4,N(U784),IF(OR(NOT(COUNTIF('商品マスタ'!$B$6:$B$1005,$W785)=0),COUNTIFS('①在庫を貼る'!$V$6:$V$10005,$V785,'①在庫を貼る'!$W$6:$W$10005,$W785)&gt;0),N(U784),N(U784)+1))</f>
        <v/>
      </c>
      <c r="V785" s="19">
        <f>IF($B785="","",TEXT($B785,"0000"))</f>
        <v/>
      </c>
      <c r="W785" s="19">
        <f>IF($I785="","",IF(ISNUMBER($I785),TEXT($I785,"0"),$I785))</f>
        <v/>
      </c>
    </row>
    <row r="786">
      <c r="B786" s="25" t="n"/>
      <c r="I786" s="25" t="n"/>
      <c r="U786" s="19">
        <f>IF($V786&lt;&gt;'設定'!$C$4,N(U785),IF(OR(NOT(COUNTIF('商品マスタ'!$B$6:$B$1005,$W786)=0),COUNTIFS('①在庫を貼る'!$V$6:$V$10005,$V786,'①在庫を貼る'!$W$6:$W$10005,$W786)&gt;0),N(U785),N(U785)+1))</f>
        <v/>
      </c>
      <c r="V786" s="19">
        <f>IF($B786="","",TEXT($B786,"0000"))</f>
        <v/>
      </c>
      <c r="W786" s="19">
        <f>IF($I786="","",IF(ISNUMBER($I786),TEXT($I786,"0"),$I786))</f>
        <v/>
      </c>
    </row>
    <row r="787">
      <c r="B787" s="25" t="n"/>
      <c r="I787" s="25" t="n"/>
      <c r="U787" s="19">
        <f>IF($V787&lt;&gt;'設定'!$C$4,N(U786),IF(OR(NOT(COUNTIF('商品マスタ'!$B$6:$B$1005,$W787)=0),COUNTIFS('①在庫を貼る'!$V$6:$V$10005,$V787,'①在庫を貼る'!$W$6:$W$10005,$W787)&gt;0),N(U786),N(U786)+1))</f>
        <v/>
      </c>
      <c r="V787" s="19">
        <f>IF($B787="","",TEXT($B787,"0000"))</f>
        <v/>
      </c>
      <c r="W787" s="19">
        <f>IF($I787="","",IF(ISNUMBER($I787),TEXT($I787,"0"),$I787))</f>
        <v/>
      </c>
    </row>
    <row r="788">
      <c r="B788" s="25" t="n"/>
      <c r="I788" s="25" t="n"/>
      <c r="U788" s="19">
        <f>IF($V788&lt;&gt;'設定'!$C$4,N(U787),IF(OR(NOT(COUNTIF('商品マスタ'!$B$6:$B$1005,$W788)=0),COUNTIFS('①在庫を貼る'!$V$6:$V$10005,$V788,'①在庫を貼る'!$W$6:$W$10005,$W788)&gt;0),N(U787),N(U787)+1))</f>
        <v/>
      </c>
      <c r="V788" s="19">
        <f>IF($B788="","",TEXT($B788,"0000"))</f>
        <v/>
      </c>
      <c r="W788" s="19">
        <f>IF($I788="","",IF(ISNUMBER($I788),TEXT($I788,"0"),$I788))</f>
        <v/>
      </c>
    </row>
    <row r="789">
      <c r="B789" s="25" t="n"/>
      <c r="I789" s="25" t="n"/>
      <c r="U789" s="19">
        <f>IF($V789&lt;&gt;'設定'!$C$4,N(U788),IF(OR(NOT(COUNTIF('商品マスタ'!$B$6:$B$1005,$W789)=0),COUNTIFS('①在庫を貼る'!$V$6:$V$10005,$V789,'①在庫を貼る'!$W$6:$W$10005,$W789)&gt;0),N(U788),N(U788)+1))</f>
        <v/>
      </c>
      <c r="V789" s="19">
        <f>IF($B789="","",TEXT($B789,"0000"))</f>
        <v/>
      </c>
      <c r="W789" s="19">
        <f>IF($I789="","",IF(ISNUMBER($I789),TEXT($I789,"0"),$I789))</f>
        <v/>
      </c>
    </row>
    <row r="790">
      <c r="B790" s="25" t="n"/>
      <c r="I790" s="25" t="n"/>
      <c r="U790" s="19">
        <f>IF($V790&lt;&gt;'設定'!$C$4,N(U789),IF(OR(NOT(COUNTIF('商品マスタ'!$B$6:$B$1005,$W790)=0),COUNTIFS('①在庫を貼る'!$V$6:$V$10005,$V790,'①在庫を貼る'!$W$6:$W$10005,$W790)&gt;0),N(U789),N(U789)+1))</f>
        <v/>
      </c>
      <c r="V790" s="19">
        <f>IF($B790="","",TEXT($B790,"0000"))</f>
        <v/>
      </c>
      <c r="W790" s="19">
        <f>IF($I790="","",IF(ISNUMBER($I790),TEXT($I790,"0"),$I790))</f>
        <v/>
      </c>
    </row>
    <row r="791">
      <c r="B791" s="25" t="n"/>
      <c r="I791" s="25" t="n"/>
      <c r="U791" s="19">
        <f>IF($V791&lt;&gt;'設定'!$C$4,N(U790),IF(OR(NOT(COUNTIF('商品マスタ'!$B$6:$B$1005,$W791)=0),COUNTIFS('①在庫を貼る'!$V$6:$V$10005,$V791,'①在庫を貼る'!$W$6:$W$10005,$W791)&gt;0),N(U790),N(U790)+1))</f>
        <v/>
      </c>
      <c r="V791" s="19">
        <f>IF($B791="","",TEXT($B791,"0000"))</f>
        <v/>
      </c>
      <c r="W791" s="19">
        <f>IF($I791="","",IF(ISNUMBER($I791),TEXT($I791,"0"),$I791))</f>
        <v/>
      </c>
    </row>
    <row r="792">
      <c r="B792" s="25" t="n"/>
      <c r="I792" s="25" t="n"/>
      <c r="U792" s="19">
        <f>IF($V792&lt;&gt;'設定'!$C$4,N(U791),IF(OR(NOT(COUNTIF('商品マスタ'!$B$6:$B$1005,$W792)=0),COUNTIFS('①在庫を貼る'!$V$6:$V$10005,$V792,'①在庫を貼る'!$W$6:$W$10005,$W792)&gt;0),N(U791),N(U791)+1))</f>
        <v/>
      </c>
      <c r="V792" s="19">
        <f>IF($B792="","",TEXT($B792,"0000"))</f>
        <v/>
      </c>
      <c r="W792" s="19">
        <f>IF($I792="","",IF(ISNUMBER($I792),TEXT($I792,"0"),$I792))</f>
        <v/>
      </c>
    </row>
    <row r="793">
      <c r="B793" s="25" t="n"/>
      <c r="I793" s="25" t="n"/>
      <c r="U793" s="19">
        <f>IF($V793&lt;&gt;'設定'!$C$4,N(U792),IF(OR(NOT(COUNTIF('商品マスタ'!$B$6:$B$1005,$W793)=0),COUNTIFS('①在庫を貼る'!$V$6:$V$10005,$V793,'①在庫を貼る'!$W$6:$W$10005,$W793)&gt;0),N(U792),N(U792)+1))</f>
        <v/>
      </c>
      <c r="V793" s="19">
        <f>IF($B793="","",TEXT($B793,"0000"))</f>
        <v/>
      </c>
      <c r="W793" s="19">
        <f>IF($I793="","",IF(ISNUMBER($I793),TEXT($I793,"0"),$I793))</f>
        <v/>
      </c>
    </row>
    <row r="794">
      <c r="B794" s="25" t="n"/>
      <c r="I794" s="25" t="n"/>
      <c r="U794" s="19">
        <f>IF($V794&lt;&gt;'設定'!$C$4,N(U793),IF(OR(NOT(COUNTIF('商品マスタ'!$B$6:$B$1005,$W794)=0),COUNTIFS('①在庫を貼る'!$V$6:$V$10005,$V794,'①在庫を貼る'!$W$6:$W$10005,$W794)&gt;0),N(U793),N(U793)+1))</f>
        <v/>
      </c>
      <c r="V794" s="19">
        <f>IF($B794="","",TEXT($B794,"0000"))</f>
        <v/>
      </c>
      <c r="W794" s="19">
        <f>IF($I794="","",IF(ISNUMBER($I794),TEXT($I794,"0"),$I794))</f>
        <v/>
      </c>
    </row>
    <row r="795">
      <c r="B795" s="25" t="n"/>
      <c r="I795" s="25" t="n"/>
      <c r="U795" s="19">
        <f>IF($V795&lt;&gt;'設定'!$C$4,N(U794),IF(OR(NOT(COUNTIF('商品マスタ'!$B$6:$B$1005,$W795)=0),COUNTIFS('①在庫を貼る'!$V$6:$V$10005,$V795,'①在庫を貼る'!$W$6:$W$10005,$W795)&gt;0),N(U794),N(U794)+1))</f>
        <v/>
      </c>
      <c r="V795" s="19">
        <f>IF($B795="","",TEXT($B795,"0000"))</f>
        <v/>
      </c>
      <c r="W795" s="19">
        <f>IF($I795="","",IF(ISNUMBER($I795),TEXT($I795,"0"),$I795))</f>
        <v/>
      </c>
    </row>
    <row r="796">
      <c r="B796" s="25" t="n"/>
      <c r="I796" s="25" t="n"/>
      <c r="U796" s="19">
        <f>IF($V796&lt;&gt;'設定'!$C$4,N(U795),IF(OR(NOT(COUNTIF('商品マスタ'!$B$6:$B$1005,$W796)=0),COUNTIFS('①在庫を貼る'!$V$6:$V$10005,$V796,'①在庫を貼る'!$W$6:$W$10005,$W796)&gt;0),N(U795),N(U795)+1))</f>
        <v/>
      </c>
      <c r="V796" s="19">
        <f>IF($B796="","",TEXT($B796,"0000"))</f>
        <v/>
      </c>
      <c r="W796" s="19">
        <f>IF($I796="","",IF(ISNUMBER($I796),TEXT($I796,"0"),$I796))</f>
        <v/>
      </c>
    </row>
    <row r="797">
      <c r="B797" s="25" t="n"/>
      <c r="I797" s="25" t="n"/>
      <c r="U797" s="19">
        <f>IF($V797&lt;&gt;'設定'!$C$4,N(U796),IF(OR(NOT(COUNTIF('商品マスタ'!$B$6:$B$1005,$W797)=0),COUNTIFS('①在庫を貼る'!$V$6:$V$10005,$V797,'①在庫を貼る'!$W$6:$W$10005,$W797)&gt;0),N(U796),N(U796)+1))</f>
        <v/>
      </c>
      <c r="V797" s="19">
        <f>IF($B797="","",TEXT($B797,"0000"))</f>
        <v/>
      </c>
      <c r="W797" s="19">
        <f>IF($I797="","",IF(ISNUMBER($I797),TEXT($I797,"0"),$I797))</f>
        <v/>
      </c>
    </row>
    <row r="798">
      <c r="B798" s="25" t="n"/>
      <c r="I798" s="25" t="n"/>
      <c r="U798" s="19">
        <f>IF($V798&lt;&gt;'設定'!$C$4,N(U797),IF(OR(NOT(COUNTIF('商品マスタ'!$B$6:$B$1005,$W798)=0),COUNTIFS('①在庫を貼る'!$V$6:$V$10005,$V798,'①在庫を貼る'!$W$6:$W$10005,$W798)&gt;0),N(U797),N(U797)+1))</f>
        <v/>
      </c>
      <c r="V798" s="19">
        <f>IF($B798="","",TEXT($B798,"0000"))</f>
        <v/>
      </c>
      <c r="W798" s="19">
        <f>IF($I798="","",IF(ISNUMBER($I798),TEXT($I798,"0"),$I798))</f>
        <v/>
      </c>
    </row>
    <row r="799">
      <c r="B799" s="25" t="n"/>
      <c r="I799" s="25" t="n"/>
      <c r="U799" s="19">
        <f>IF($V799&lt;&gt;'設定'!$C$4,N(U798),IF(OR(NOT(COUNTIF('商品マスタ'!$B$6:$B$1005,$W799)=0),COUNTIFS('①在庫を貼る'!$V$6:$V$10005,$V799,'①在庫を貼る'!$W$6:$W$10005,$W799)&gt;0),N(U798),N(U798)+1))</f>
        <v/>
      </c>
      <c r="V799" s="19">
        <f>IF($B799="","",TEXT($B799,"0000"))</f>
        <v/>
      </c>
      <c r="W799" s="19">
        <f>IF($I799="","",IF(ISNUMBER($I799),TEXT($I799,"0"),$I799))</f>
        <v/>
      </c>
    </row>
    <row r="800">
      <c r="B800" s="25" t="n"/>
      <c r="I800" s="25" t="n"/>
      <c r="U800" s="19">
        <f>IF($V800&lt;&gt;'設定'!$C$4,N(U799),IF(OR(NOT(COUNTIF('商品マスタ'!$B$6:$B$1005,$W800)=0),COUNTIFS('①在庫を貼る'!$V$6:$V$10005,$V800,'①在庫を貼る'!$W$6:$W$10005,$W800)&gt;0),N(U799),N(U799)+1))</f>
        <v/>
      </c>
      <c r="V800" s="19">
        <f>IF($B800="","",TEXT($B800,"0000"))</f>
        <v/>
      </c>
      <c r="W800" s="19">
        <f>IF($I800="","",IF(ISNUMBER($I800),TEXT($I800,"0"),$I800))</f>
        <v/>
      </c>
    </row>
    <row r="801">
      <c r="B801" s="25" t="n"/>
      <c r="I801" s="25" t="n"/>
      <c r="U801" s="19">
        <f>IF($V801&lt;&gt;'設定'!$C$4,N(U800),IF(OR(NOT(COUNTIF('商品マスタ'!$B$6:$B$1005,$W801)=0),COUNTIFS('①在庫を貼る'!$V$6:$V$10005,$V801,'①在庫を貼る'!$W$6:$W$10005,$W801)&gt;0),N(U800),N(U800)+1))</f>
        <v/>
      </c>
      <c r="V801" s="19">
        <f>IF($B801="","",TEXT($B801,"0000"))</f>
        <v/>
      </c>
      <c r="W801" s="19">
        <f>IF($I801="","",IF(ISNUMBER($I801),TEXT($I801,"0"),$I801))</f>
        <v/>
      </c>
    </row>
    <row r="802">
      <c r="B802" s="25" t="n"/>
      <c r="I802" s="25" t="n"/>
      <c r="U802" s="19">
        <f>IF($V802&lt;&gt;'設定'!$C$4,N(U801),IF(OR(NOT(COUNTIF('商品マスタ'!$B$6:$B$1005,$W802)=0),COUNTIFS('①在庫を貼る'!$V$6:$V$10005,$V802,'①在庫を貼る'!$W$6:$W$10005,$W802)&gt;0),N(U801),N(U801)+1))</f>
        <v/>
      </c>
      <c r="V802" s="19">
        <f>IF($B802="","",TEXT($B802,"0000"))</f>
        <v/>
      </c>
      <c r="W802" s="19">
        <f>IF($I802="","",IF(ISNUMBER($I802),TEXT($I802,"0"),$I802))</f>
        <v/>
      </c>
    </row>
    <row r="803">
      <c r="B803" s="25" t="n"/>
      <c r="I803" s="25" t="n"/>
      <c r="U803" s="19">
        <f>IF($V803&lt;&gt;'設定'!$C$4,N(U802),IF(OR(NOT(COUNTIF('商品マスタ'!$B$6:$B$1005,$W803)=0),COUNTIFS('①在庫を貼る'!$V$6:$V$10005,$V803,'①在庫を貼る'!$W$6:$W$10005,$W803)&gt;0),N(U802),N(U802)+1))</f>
        <v/>
      </c>
      <c r="V803" s="19">
        <f>IF($B803="","",TEXT($B803,"0000"))</f>
        <v/>
      </c>
      <c r="W803" s="19">
        <f>IF($I803="","",IF(ISNUMBER($I803),TEXT($I803,"0"),$I803))</f>
        <v/>
      </c>
    </row>
    <row r="804">
      <c r="B804" s="25" t="n"/>
      <c r="I804" s="25" t="n"/>
      <c r="U804" s="19">
        <f>IF($V804&lt;&gt;'設定'!$C$4,N(U803),IF(OR(NOT(COUNTIF('商品マスタ'!$B$6:$B$1005,$W804)=0),COUNTIFS('①在庫を貼る'!$V$6:$V$10005,$V804,'①在庫を貼る'!$W$6:$W$10005,$W804)&gt;0),N(U803),N(U803)+1))</f>
        <v/>
      </c>
      <c r="V804" s="19">
        <f>IF($B804="","",TEXT($B804,"0000"))</f>
        <v/>
      </c>
      <c r="W804" s="19">
        <f>IF($I804="","",IF(ISNUMBER($I804),TEXT($I804,"0"),$I804))</f>
        <v/>
      </c>
    </row>
    <row r="805">
      <c r="B805" s="25" t="n"/>
      <c r="I805" s="25" t="n"/>
      <c r="U805" s="19">
        <f>IF($V805&lt;&gt;'設定'!$C$4,N(U804),IF(OR(NOT(COUNTIF('商品マスタ'!$B$6:$B$1005,$W805)=0),COUNTIFS('①在庫を貼る'!$V$6:$V$10005,$V805,'①在庫を貼る'!$W$6:$W$10005,$W805)&gt;0),N(U804),N(U804)+1))</f>
        <v/>
      </c>
      <c r="V805" s="19">
        <f>IF($B805="","",TEXT($B805,"0000"))</f>
        <v/>
      </c>
      <c r="W805" s="19">
        <f>IF($I805="","",IF(ISNUMBER($I805),TEXT($I805,"0"),$I805))</f>
        <v/>
      </c>
    </row>
    <row r="806">
      <c r="B806" s="25" t="n"/>
      <c r="I806" s="25" t="n"/>
      <c r="U806" s="19">
        <f>IF($V806&lt;&gt;'設定'!$C$4,N(U805),IF(OR(NOT(COUNTIF('商品マスタ'!$B$6:$B$1005,$W806)=0),COUNTIFS('①在庫を貼る'!$V$6:$V$10005,$V806,'①在庫を貼る'!$W$6:$W$10005,$W806)&gt;0),N(U805),N(U805)+1))</f>
        <v/>
      </c>
      <c r="V806" s="19">
        <f>IF($B806="","",TEXT($B806,"0000"))</f>
        <v/>
      </c>
      <c r="W806" s="19">
        <f>IF($I806="","",IF(ISNUMBER($I806),TEXT($I806,"0"),$I806))</f>
        <v/>
      </c>
    </row>
    <row r="807">
      <c r="B807" s="25" t="n"/>
      <c r="I807" s="25" t="n"/>
      <c r="U807" s="19">
        <f>IF($V807&lt;&gt;'設定'!$C$4,N(U806),IF(OR(NOT(COUNTIF('商品マスタ'!$B$6:$B$1005,$W807)=0),COUNTIFS('①在庫を貼る'!$V$6:$V$10005,$V807,'①在庫を貼る'!$W$6:$W$10005,$W807)&gt;0),N(U806),N(U806)+1))</f>
        <v/>
      </c>
      <c r="V807" s="19">
        <f>IF($B807="","",TEXT($B807,"0000"))</f>
        <v/>
      </c>
      <c r="W807" s="19">
        <f>IF($I807="","",IF(ISNUMBER($I807),TEXT($I807,"0"),$I807))</f>
        <v/>
      </c>
    </row>
    <row r="808">
      <c r="B808" s="25" t="n"/>
      <c r="I808" s="25" t="n"/>
      <c r="U808" s="19">
        <f>IF($V808&lt;&gt;'設定'!$C$4,N(U807),IF(OR(NOT(COUNTIF('商品マスタ'!$B$6:$B$1005,$W808)=0),COUNTIFS('①在庫を貼る'!$V$6:$V$10005,$V808,'①在庫を貼る'!$W$6:$W$10005,$W808)&gt;0),N(U807),N(U807)+1))</f>
        <v/>
      </c>
      <c r="V808" s="19">
        <f>IF($B808="","",TEXT($B808,"0000"))</f>
        <v/>
      </c>
      <c r="W808" s="19">
        <f>IF($I808="","",IF(ISNUMBER($I808),TEXT($I808,"0"),$I808))</f>
        <v/>
      </c>
    </row>
    <row r="809">
      <c r="B809" s="25" t="n"/>
      <c r="I809" s="25" t="n"/>
      <c r="U809" s="19">
        <f>IF($V809&lt;&gt;'設定'!$C$4,N(U808),IF(OR(NOT(COUNTIF('商品マスタ'!$B$6:$B$1005,$W809)=0),COUNTIFS('①在庫を貼る'!$V$6:$V$10005,$V809,'①在庫を貼る'!$W$6:$W$10005,$W809)&gt;0),N(U808),N(U808)+1))</f>
        <v/>
      </c>
      <c r="V809" s="19">
        <f>IF($B809="","",TEXT($B809,"0000"))</f>
        <v/>
      </c>
      <c r="W809" s="19">
        <f>IF($I809="","",IF(ISNUMBER($I809),TEXT($I809,"0"),$I809))</f>
        <v/>
      </c>
    </row>
    <row r="810">
      <c r="B810" s="25" t="n"/>
      <c r="I810" s="25" t="n"/>
      <c r="U810" s="19">
        <f>IF($V810&lt;&gt;'設定'!$C$4,N(U809),IF(OR(NOT(COUNTIF('商品マスタ'!$B$6:$B$1005,$W810)=0),COUNTIFS('①在庫を貼る'!$V$6:$V$10005,$V810,'①在庫を貼る'!$W$6:$W$10005,$W810)&gt;0),N(U809),N(U809)+1))</f>
        <v/>
      </c>
      <c r="V810" s="19">
        <f>IF($B810="","",TEXT($B810,"0000"))</f>
        <v/>
      </c>
      <c r="W810" s="19">
        <f>IF($I810="","",IF(ISNUMBER($I810),TEXT($I810,"0"),$I810))</f>
        <v/>
      </c>
    </row>
    <row r="811">
      <c r="B811" s="25" t="n"/>
      <c r="I811" s="25" t="n"/>
      <c r="U811" s="19">
        <f>IF($V811&lt;&gt;'設定'!$C$4,N(U810),IF(OR(NOT(COUNTIF('商品マスタ'!$B$6:$B$1005,$W811)=0),COUNTIFS('①在庫を貼る'!$V$6:$V$10005,$V811,'①在庫を貼る'!$W$6:$W$10005,$W811)&gt;0),N(U810),N(U810)+1))</f>
        <v/>
      </c>
      <c r="V811" s="19">
        <f>IF($B811="","",TEXT($B811,"0000"))</f>
        <v/>
      </c>
      <c r="W811" s="19">
        <f>IF($I811="","",IF(ISNUMBER($I811),TEXT($I811,"0"),$I811))</f>
        <v/>
      </c>
    </row>
    <row r="812">
      <c r="B812" s="25" t="n"/>
      <c r="I812" s="25" t="n"/>
      <c r="U812" s="19">
        <f>IF($V812&lt;&gt;'設定'!$C$4,N(U811),IF(OR(NOT(COUNTIF('商品マスタ'!$B$6:$B$1005,$W812)=0),COUNTIFS('①在庫を貼る'!$V$6:$V$10005,$V812,'①在庫を貼る'!$W$6:$W$10005,$W812)&gt;0),N(U811),N(U811)+1))</f>
        <v/>
      </c>
      <c r="V812" s="19">
        <f>IF($B812="","",TEXT($B812,"0000"))</f>
        <v/>
      </c>
      <c r="W812" s="19">
        <f>IF($I812="","",IF(ISNUMBER($I812),TEXT($I812,"0"),$I812))</f>
        <v/>
      </c>
    </row>
    <row r="813">
      <c r="B813" s="25" t="n"/>
      <c r="I813" s="25" t="n"/>
      <c r="U813" s="19">
        <f>IF($V813&lt;&gt;'設定'!$C$4,N(U812),IF(OR(NOT(COUNTIF('商品マスタ'!$B$6:$B$1005,$W813)=0),COUNTIFS('①在庫を貼る'!$V$6:$V$10005,$V813,'①在庫を貼る'!$W$6:$W$10005,$W813)&gt;0),N(U812),N(U812)+1))</f>
        <v/>
      </c>
      <c r="V813" s="19">
        <f>IF($B813="","",TEXT($B813,"0000"))</f>
        <v/>
      </c>
      <c r="W813" s="19">
        <f>IF($I813="","",IF(ISNUMBER($I813),TEXT($I813,"0"),$I813))</f>
        <v/>
      </c>
    </row>
    <row r="814">
      <c r="B814" s="25" t="n"/>
      <c r="I814" s="25" t="n"/>
      <c r="U814" s="19">
        <f>IF($V814&lt;&gt;'設定'!$C$4,N(U813),IF(OR(NOT(COUNTIF('商品マスタ'!$B$6:$B$1005,$W814)=0),COUNTIFS('①在庫を貼る'!$V$6:$V$10005,$V814,'①在庫を貼る'!$W$6:$W$10005,$W814)&gt;0),N(U813),N(U813)+1))</f>
        <v/>
      </c>
      <c r="V814" s="19">
        <f>IF($B814="","",TEXT($B814,"0000"))</f>
        <v/>
      </c>
      <c r="W814" s="19">
        <f>IF($I814="","",IF(ISNUMBER($I814),TEXT($I814,"0"),$I814))</f>
        <v/>
      </c>
    </row>
    <row r="815">
      <c r="B815" s="25" t="n"/>
      <c r="I815" s="25" t="n"/>
      <c r="U815" s="19">
        <f>IF($V815&lt;&gt;'設定'!$C$4,N(U814),IF(OR(NOT(COUNTIF('商品マスタ'!$B$6:$B$1005,$W815)=0),COUNTIFS('①在庫を貼る'!$V$6:$V$10005,$V815,'①在庫を貼る'!$W$6:$W$10005,$W815)&gt;0),N(U814),N(U814)+1))</f>
        <v/>
      </c>
      <c r="V815" s="19">
        <f>IF($B815="","",TEXT($B815,"0000"))</f>
        <v/>
      </c>
      <c r="W815" s="19">
        <f>IF($I815="","",IF(ISNUMBER($I815),TEXT($I815,"0"),$I815))</f>
        <v/>
      </c>
    </row>
    <row r="816">
      <c r="B816" s="25" t="n"/>
      <c r="I816" s="25" t="n"/>
      <c r="U816" s="19">
        <f>IF($V816&lt;&gt;'設定'!$C$4,N(U815),IF(OR(NOT(COUNTIF('商品マスタ'!$B$6:$B$1005,$W816)=0),COUNTIFS('①在庫を貼る'!$V$6:$V$10005,$V816,'①在庫を貼る'!$W$6:$W$10005,$W816)&gt;0),N(U815),N(U815)+1))</f>
        <v/>
      </c>
      <c r="V816" s="19">
        <f>IF($B816="","",TEXT($B816,"0000"))</f>
        <v/>
      </c>
      <c r="W816" s="19">
        <f>IF($I816="","",IF(ISNUMBER($I816),TEXT($I816,"0"),$I816))</f>
        <v/>
      </c>
    </row>
    <row r="817">
      <c r="B817" s="25" t="n"/>
      <c r="I817" s="25" t="n"/>
      <c r="U817" s="19">
        <f>IF($V817&lt;&gt;'設定'!$C$4,N(U816),IF(OR(NOT(COUNTIF('商品マスタ'!$B$6:$B$1005,$W817)=0),COUNTIFS('①在庫を貼る'!$V$6:$V$10005,$V817,'①在庫を貼る'!$W$6:$W$10005,$W817)&gt;0),N(U816),N(U816)+1))</f>
        <v/>
      </c>
      <c r="V817" s="19">
        <f>IF($B817="","",TEXT($B817,"0000"))</f>
        <v/>
      </c>
      <c r="W817" s="19">
        <f>IF($I817="","",IF(ISNUMBER($I817),TEXT($I817,"0"),$I817))</f>
        <v/>
      </c>
    </row>
    <row r="818">
      <c r="B818" s="25" t="n"/>
      <c r="I818" s="25" t="n"/>
      <c r="U818" s="19">
        <f>IF($V818&lt;&gt;'設定'!$C$4,N(U817),IF(OR(NOT(COUNTIF('商品マスタ'!$B$6:$B$1005,$W818)=0),COUNTIFS('①在庫を貼る'!$V$6:$V$10005,$V818,'①在庫を貼る'!$W$6:$W$10005,$W818)&gt;0),N(U817),N(U817)+1))</f>
        <v/>
      </c>
      <c r="V818" s="19">
        <f>IF($B818="","",TEXT($B818,"0000"))</f>
        <v/>
      </c>
      <c r="W818" s="19">
        <f>IF($I818="","",IF(ISNUMBER($I818),TEXT($I818,"0"),$I818))</f>
        <v/>
      </c>
    </row>
    <row r="819">
      <c r="B819" s="25" t="n"/>
      <c r="I819" s="25" t="n"/>
      <c r="U819" s="19">
        <f>IF($V819&lt;&gt;'設定'!$C$4,N(U818),IF(OR(NOT(COUNTIF('商品マスタ'!$B$6:$B$1005,$W819)=0),COUNTIFS('①在庫を貼る'!$V$6:$V$10005,$V819,'①在庫を貼る'!$W$6:$W$10005,$W819)&gt;0),N(U818),N(U818)+1))</f>
        <v/>
      </c>
      <c r="V819" s="19">
        <f>IF($B819="","",TEXT($B819,"0000"))</f>
        <v/>
      </c>
      <c r="W819" s="19">
        <f>IF($I819="","",IF(ISNUMBER($I819),TEXT($I819,"0"),$I819))</f>
        <v/>
      </c>
    </row>
    <row r="820">
      <c r="B820" s="25" t="n"/>
      <c r="I820" s="25" t="n"/>
      <c r="U820" s="19">
        <f>IF($V820&lt;&gt;'設定'!$C$4,N(U819),IF(OR(NOT(COUNTIF('商品マスタ'!$B$6:$B$1005,$W820)=0),COUNTIFS('①在庫を貼る'!$V$6:$V$10005,$V820,'①在庫を貼る'!$W$6:$W$10005,$W820)&gt;0),N(U819),N(U819)+1))</f>
        <v/>
      </c>
      <c r="V820" s="19">
        <f>IF($B820="","",TEXT($B820,"0000"))</f>
        <v/>
      </c>
      <c r="W820" s="19">
        <f>IF($I820="","",IF(ISNUMBER($I820),TEXT($I820,"0"),$I820))</f>
        <v/>
      </c>
    </row>
    <row r="821">
      <c r="B821" s="25" t="n"/>
      <c r="I821" s="25" t="n"/>
      <c r="U821" s="19">
        <f>IF($V821&lt;&gt;'設定'!$C$4,N(U820),IF(OR(NOT(COUNTIF('商品マスタ'!$B$6:$B$1005,$W821)=0),COUNTIFS('①在庫を貼る'!$V$6:$V$10005,$V821,'①在庫を貼る'!$W$6:$W$10005,$W821)&gt;0),N(U820),N(U820)+1))</f>
        <v/>
      </c>
      <c r="V821" s="19">
        <f>IF($B821="","",TEXT($B821,"0000"))</f>
        <v/>
      </c>
      <c r="W821" s="19">
        <f>IF($I821="","",IF(ISNUMBER($I821),TEXT($I821,"0"),$I821))</f>
        <v/>
      </c>
    </row>
    <row r="822">
      <c r="B822" s="25" t="n"/>
      <c r="I822" s="25" t="n"/>
      <c r="U822" s="19">
        <f>IF($V822&lt;&gt;'設定'!$C$4,N(U821),IF(OR(NOT(COUNTIF('商品マスタ'!$B$6:$B$1005,$W822)=0),COUNTIFS('①在庫を貼る'!$V$6:$V$10005,$V822,'①在庫を貼る'!$W$6:$W$10005,$W822)&gt;0),N(U821),N(U821)+1))</f>
        <v/>
      </c>
      <c r="V822" s="19">
        <f>IF($B822="","",TEXT($B822,"0000"))</f>
        <v/>
      </c>
      <c r="W822" s="19">
        <f>IF($I822="","",IF(ISNUMBER($I822),TEXT($I822,"0"),$I822))</f>
        <v/>
      </c>
    </row>
    <row r="823">
      <c r="B823" s="25" t="n"/>
      <c r="I823" s="25" t="n"/>
      <c r="U823" s="19">
        <f>IF($V823&lt;&gt;'設定'!$C$4,N(U822),IF(OR(NOT(COUNTIF('商品マスタ'!$B$6:$B$1005,$W823)=0),COUNTIFS('①在庫を貼る'!$V$6:$V$10005,$V823,'①在庫を貼る'!$W$6:$W$10005,$W823)&gt;0),N(U822),N(U822)+1))</f>
        <v/>
      </c>
      <c r="V823" s="19">
        <f>IF($B823="","",TEXT($B823,"0000"))</f>
        <v/>
      </c>
      <c r="W823" s="19">
        <f>IF($I823="","",IF(ISNUMBER($I823),TEXT($I823,"0"),$I823))</f>
        <v/>
      </c>
    </row>
    <row r="824">
      <c r="B824" s="25" t="n"/>
      <c r="I824" s="25" t="n"/>
      <c r="U824" s="19">
        <f>IF($V824&lt;&gt;'設定'!$C$4,N(U823),IF(OR(NOT(COUNTIF('商品マスタ'!$B$6:$B$1005,$W824)=0),COUNTIFS('①在庫を貼る'!$V$6:$V$10005,$V824,'①在庫を貼る'!$W$6:$W$10005,$W824)&gt;0),N(U823),N(U823)+1))</f>
        <v/>
      </c>
      <c r="V824" s="19">
        <f>IF($B824="","",TEXT($B824,"0000"))</f>
        <v/>
      </c>
      <c r="W824" s="19">
        <f>IF($I824="","",IF(ISNUMBER($I824),TEXT($I824,"0"),$I824))</f>
        <v/>
      </c>
    </row>
    <row r="825">
      <c r="B825" s="25" t="n"/>
      <c r="I825" s="25" t="n"/>
      <c r="U825" s="19">
        <f>IF($V825&lt;&gt;'設定'!$C$4,N(U824),IF(OR(NOT(COUNTIF('商品マスタ'!$B$6:$B$1005,$W825)=0),COUNTIFS('①在庫を貼る'!$V$6:$V$10005,$V825,'①在庫を貼る'!$W$6:$W$10005,$W825)&gt;0),N(U824),N(U824)+1))</f>
        <v/>
      </c>
      <c r="V825" s="19">
        <f>IF($B825="","",TEXT($B825,"0000"))</f>
        <v/>
      </c>
      <c r="W825" s="19">
        <f>IF($I825="","",IF(ISNUMBER($I825),TEXT($I825,"0"),$I825))</f>
        <v/>
      </c>
    </row>
    <row r="826">
      <c r="B826" s="25" t="n"/>
      <c r="I826" s="25" t="n"/>
      <c r="U826" s="19">
        <f>IF($V826&lt;&gt;'設定'!$C$4,N(U825),IF(OR(NOT(COUNTIF('商品マスタ'!$B$6:$B$1005,$W826)=0),COUNTIFS('①在庫を貼る'!$V$6:$V$10005,$V826,'①在庫を貼る'!$W$6:$W$10005,$W826)&gt;0),N(U825),N(U825)+1))</f>
        <v/>
      </c>
      <c r="V826" s="19">
        <f>IF($B826="","",TEXT($B826,"0000"))</f>
        <v/>
      </c>
      <c r="W826" s="19">
        <f>IF($I826="","",IF(ISNUMBER($I826),TEXT($I826,"0"),$I826))</f>
        <v/>
      </c>
    </row>
    <row r="827">
      <c r="B827" s="25" t="n"/>
      <c r="I827" s="25" t="n"/>
      <c r="U827" s="19">
        <f>IF($V827&lt;&gt;'設定'!$C$4,N(U826),IF(OR(NOT(COUNTIF('商品マスタ'!$B$6:$B$1005,$W827)=0),COUNTIFS('①在庫を貼る'!$V$6:$V$10005,$V827,'①在庫を貼る'!$W$6:$W$10005,$W827)&gt;0),N(U826),N(U826)+1))</f>
        <v/>
      </c>
      <c r="V827" s="19">
        <f>IF($B827="","",TEXT($B827,"0000"))</f>
        <v/>
      </c>
      <c r="W827" s="19">
        <f>IF($I827="","",IF(ISNUMBER($I827),TEXT($I827,"0"),$I827))</f>
        <v/>
      </c>
    </row>
    <row r="828">
      <c r="B828" s="25" t="n"/>
      <c r="I828" s="25" t="n"/>
      <c r="U828" s="19">
        <f>IF($V828&lt;&gt;'設定'!$C$4,N(U827),IF(OR(NOT(COUNTIF('商品マスタ'!$B$6:$B$1005,$W828)=0),COUNTIFS('①在庫を貼る'!$V$6:$V$10005,$V828,'①在庫を貼る'!$W$6:$W$10005,$W828)&gt;0),N(U827),N(U827)+1))</f>
        <v/>
      </c>
      <c r="V828" s="19">
        <f>IF($B828="","",TEXT($B828,"0000"))</f>
        <v/>
      </c>
      <c r="W828" s="19">
        <f>IF($I828="","",IF(ISNUMBER($I828),TEXT($I828,"0"),$I828))</f>
        <v/>
      </c>
    </row>
    <row r="829">
      <c r="B829" s="25" t="n"/>
      <c r="I829" s="25" t="n"/>
      <c r="U829" s="19">
        <f>IF($V829&lt;&gt;'設定'!$C$4,N(U828),IF(OR(NOT(COUNTIF('商品マスタ'!$B$6:$B$1005,$W829)=0),COUNTIFS('①在庫を貼る'!$V$6:$V$10005,$V829,'①在庫を貼る'!$W$6:$W$10005,$W829)&gt;0),N(U828),N(U828)+1))</f>
        <v/>
      </c>
      <c r="V829" s="19">
        <f>IF($B829="","",TEXT($B829,"0000"))</f>
        <v/>
      </c>
      <c r="W829" s="19">
        <f>IF($I829="","",IF(ISNUMBER($I829),TEXT($I829,"0"),$I829))</f>
        <v/>
      </c>
    </row>
    <row r="830">
      <c r="B830" s="25" t="n"/>
      <c r="I830" s="25" t="n"/>
      <c r="U830" s="19">
        <f>IF($V830&lt;&gt;'設定'!$C$4,N(U829),IF(OR(NOT(COUNTIF('商品マスタ'!$B$6:$B$1005,$W830)=0),COUNTIFS('①在庫を貼る'!$V$6:$V$10005,$V830,'①在庫を貼る'!$W$6:$W$10005,$W830)&gt;0),N(U829),N(U829)+1))</f>
        <v/>
      </c>
      <c r="V830" s="19">
        <f>IF($B830="","",TEXT($B830,"0000"))</f>
        <v/>
      </c>
      <c r="W830" s="19">
        <f>IF($I830="","",IF(ISNUMBER($I830),TEXT($I830,"0"),$I830))</f>
        <v/>
      </c>
    </row>
    <row r="831">
      <c r="B831" s="25" t="n"/>
      <c r="I831" s="25" t="n"/>
      <c r="U831" s="19">
        <f>IF($V831&lt;&gt;'設定'!$C$4,N(U830),IF(OR(NOT(COUNTIF('商品マスタ'!$B$6:$B$1005,$W831)=0),COUNTIFS('①在庫を貼る'!$V$6:$V$10005,$V831,'①在庫を貼る'!$W$6:$W$10005,$W831)&gt;0),N(U830),N(U830)+1))</f>
        <v/>
      </c>
      <c r="V831" s="19">
        <f>IF($B831="","",TEXT($B831,"0000"))</f>
        <v/>
      </c>
      <c r="W831" s="19">
        <f>IF($I831="","",IF(ISNUMBER($I831),TEXT($I831,"0"),$I831))</f>
        <v/>
      </c>
    </row>
    <row r="832">
      <c r="B832" s="25" t="n"/>
      <c r="I832" s="25" t="n"/>
      <c r="U832" s="19">
        <f>IF($V832&lt;&gt;'設定'!$C$4,N(U831),IF(OR(NOT(COUNTIF('商品マスタ'!$B$6:$B$1005,$W832)=0),COUNTIFS('①在庫を貼る'!$V$6:$V$10005,$V832,'①在庫を貼る'!$W$6:$W$10005,$W832)&gt;0),N(U831),N(U831)+1))</f>
        <v/>
      </c>
      <c r="V832" s="19">
        <f>IF($B832="","",TEXT($B832,"0000"))</f>
        <v/>
      </c>
      <c r="W832" s="19">
        <f>IF($I832="","",IF(ISNUMBER($I832),TEXT($I832,"0"),$I832))</f>
        <v/>
      </c>
    </row>
    <row r="833">
      <c r="B833" s="25" t="n"/>
      <c r="I833" s="25" t="n"/>
      <c r="U833" s="19">
        <f>IF($V833&lt;&gt;'設定'!$C$4,N(U832),IF(OR(NOT(COUNTIF('商品マスタ'!$B$6:$B$1005,$W833)=0),COUNTIFS('①在庫を貼る'!$V$6:$V$10005,$V833,'①在庫を貼る'!$W$6:$W$10005,$W833)&gt;0),N(U832),N(U832)+1))</f>
        <v/>
      </c>
      <c r="V833" s="19">
        <f>IF($B833="","",TEXT($B833,"0000"))</f>
        <v/>
      </c>
      <c r="W833" s="19">
        <f>IF($I833="","",IF(ISNUMBER($I833),TEXT($I833,"0"),$I833))</f>
        <v/>
      </c>
    </row>
    <row r="834">
      <c r="B834" s="25" t="n"/>
      <c r="I834" s="25" t="n"/>
      <c r="U834" s="19">
        <f>IF($V834&lt;&gt;'設定'!$C$4,N(U833),IF(OR(NOT(COUNTIF('商品マスタ'!$B$6:$B$1005,$W834)=0),COUNTIFS('①在庫を貼る'!$V$6:$V$10005,$V834,'①在庫を貼る'!$W$6:$W$10005,$W834)&gt;0),N(U833),N(U833)+1))</f>
        <v/>
      </c>
      <c r="V834" s="19">
        <f>IF($B834="","",TEXT($B834,"0000"))</f>
        <v/>
      </c>
      <c r="W834" s="19">
        <f>IF($I834="","",IF(ISNUMBER($I834),TEXT($I834,"0"),$I834))</f>
        <v/>
      </c>
    </row>
    <row r="835">
      <c r="B835" s="25" t="n"/>
      <c r="I835" s="25" t="n"/>
      <c r="U835" s="19">
        <f>IF($V835&lt;&gt;'設定'!$C$4,N(U834),IF(OR(NOT(COUNTIF('商品マスタ'!$B$6:$B$1005,$W835)=0),COUNTIFS('①在庫を貼る'!$V$6:$V$10005,$V835,'①在庫を貼る'!$W$6:$W$10005,$W835)&gt;0),N(U834),N(U834)+1))</f>
        <v/>
      </c>
      <c r="V835" s="19">
        <f>IF($B835="","",TEXT($B835,"0000"))</f>
        <v/>
      </c>
      <c r="W835" s="19">
        <f>IF($I835="","",IF(ISNUMBER($I835),TEXT($I835,"0"),$I835))</f>
        <v/>
      </c>
    </row>
    <row r="836">
      <c r="B836" s="25" t="n"/>
      <c r="I836" s="25" t="n"/>
      <c r="U836" s="19">
        <f>IF($V836&lt;&gt;'設定'!$C$4,N(U835),IF(OR(NOT(COUNTIF('商品マスタ'!$B$6:$B$1005,$W836)=0),COUNTIFS('①在庫を貼る'!$V$6:$V$10005,$V836,'①在庫を貼る'!$W$6:$W$10005,$W836)&gt;0),N(U835),N(U835)+1))</f>
        <v/>
      </c>
      <c r="V836" s="19">
        <f>IF($B836="","",TEXT($B836,"0000"))</f>
        <v/>
      </c>
      <c r="W836" s="19">
        <f>IF($I836="","",IF(ISNUMBER($I836),TEXT($I836,"0"),$I836))</f>
        <v/>
      </c>
    </row>
    <row r="837">
      <c r="B837" s="25" t="n"/>
      <c r="I837" s="25" t="n"/>
      <c r="U837" s="19">
        <f>IF($V837&lt;&gt;'設定'!$C$4,N(U836),IF(OR(NOT(COUNTIF('商品マスタ'!$B$6:$B$1005,$W837)=0),COUNTIFS('①在庫を貼る'!$V$6:$V$10005,$V837,'①在庫を貼る'!$W$6:$W$10005,$W837)&gt;0),N(U836),N(U836)+1))</f>
        <v/>
      </c>
      <c r="V837" s="19">
        <f>IF($B837="","",TEXT($B837,"0000"))</f>
        <v/>
      </c>
      <c r="W837" s="19">
        <f>IF($I837="","",IF(ISNUMBER($I837),TEXT($I837,"0"),$I837))</f>
        <v/>
      </c>
    </row>
    <row r="838">
      <c r="B838" s="25" t="n"/>
      <c r="I838" s="25" t="n"/>
      <c r="U838" s="19">
        <f>IF($V838&lt;&gt;'設定'!$C$4,N(U837),IF(OR(NOT(COUNTIF('商品マスタ'!$B$6:$B$1005,$W838)=0),COUNTIFS('①在庫を貼る'!$V$6:$V$10005,$V838,'①在庫を貼る'!$W$6:$W$10005,$W838)&gt;0),N(U837),N(U837)+1))</f>
        <v/>
      </c>
      <c r="V838" s="19">
        <f>IF($B838="","",TEXT($B838,"0000"))</f>
        <v/>
      </c>
      <c r="W838" s="19">
        <f>IF($I838="","",IF(ISNUMBER($I838),TEXT($I838,"0"),$I838))</f>
        <v/>
      </c>
    </row>
    <row r="839">
      <c r="B839" s="25" t="n"/>
      <c r="I839" s="25" t="n"/>
      <c r="U839" s="19">
        <f>IF($V839&lt;&gt;'設定'!$C$4,N(U838),IF(OR(NOT(COUNTIF('商品マスタ'!$B$6:$B$1005,$W839)=0),COUNTIFS('①在庫を貼る'!$V$6:$V$10005,$V839,'①在庫を貼る'!$W$6:$W$10005,$W839)&gt;0),N(U838),N(U838)+1))</f>
        <v/>
      </c>
      <c r="V839" s="19">
        <f>IF($B839="","",TEXT($B839,"0000"))</f>
        <v/>
      </c>
      <c r="W839" s="19">
        <f>IF($I839="","",IF(ISNUMBER($I839),TEXT($I839,"0"),$I839))</f>
        <v/>
      </c>
    </row>
    <row r="840">
      <c r="B840" s="25" t="n"/>
      <c r="I840" s="25" t="n"/>
      <c r="U840" s="19">
        <f>IF($V840&lt;&gt;'設定'!$C$4,N(U839),IF(OR(NOT(COUNTIF('商品マスタ'!$B$6:$B$1005,$W840)=0),COUNTIFS('①在庫を貼る'!$V$6:$V$10005,$V840,'①在庫を貼る'!$W$6:$W$10005,$W840)&gt;0),N(U839),N(U839)+1))</f>
        <v/>
      </c>
      <c r="V840" s="19">
        <f>IF($B840="","",TEXT($B840,"0000"))</f>
        <v/>
      </c>
      <c r="W840" s="19">
        <f>IF($I840="","",IF(ISNUMBER($I840),TEXT($I840,"0"),$I840))</f>
        <v/>
      </c>
    </row>
    <row r="841">
      <c r="B841" s="25" t="n"/>
      <c r="I841" s="25" t="n"/>
      <c r="U841" s="19">
        <f>IF($V841&lt;&gt;'設定'!$C$4,N(U840),IF(OR(NOT(COUNTIF('商品マスタ'!$B$6:$B$1005,$W841)=0),COUNTIFS('①在庫を貼る'!$V$6:$V$10005,$V841,'①在庫を貼る'!$W$6:$W$10005,$W841)&gt;0),N(U840),N(U840)+1))</f>
        <v/>
      </c>
      <c r="V841" s="19">
        <f>IF($B841="","",TEXT($B841,"0000"))</f>
        <v/>
      </c>
      <c r="W841" s="19">
        <f>IF($I841="","",IF(ISNUMBER($I841),TEXT($I841,"0"),$I841))</f>
        <v/>
      </c>
    </row>
    <row r="842">
      <c r="B842" s="25" t="n"/>
      <c r="I842" s="25" t="n"/>
      <c r="U842" s="19">
        <f>IF($V842&lt;&gt;'設定'!$C$4,N(U841),IF(OR(NOT(COUNTIF('商品マスタ'!$B$6:$B$1005,$W842)=0),COUNTIFS('①在庫を貼る'!$V$6:$V$10005,$V842,'①在庫を貼る'!$W$6:$W$10005,$W842)&gt;0),N(U841),N(U841)+1))</f>
        <v/>
      </c>
      <c r="V842" s="19">
        <f>IF($B842="","",TEXT($B842,"0000"))</f>
        <v/>
      </c>
      <c r="W842" s="19">
        <f>IF($I842="","",IF(ISNUMBER($I842),TEXT($I842,"0"),$I842))</f>
        <v/>
      </c>
    </row>
    <row r="843">
      <c r="B843" s="25" t="n"/>
      <c r="I843" s="25" t="n"/>
      <c r="U843" s="19">
        <f>IF($V843&lt;&gt;'設定'!$C$4,N(U842),IF(OR(NOT(COUNTIF('商品マスタ'!$B$6:$B$1005,$W843)=0),COUNTIFS('①在庫を貼る'!$V$6:$V$10005,$V843,'①在庫を貼る'!$W$6:$W$10005,$W843)&gt;0),N(U842),N(U842)+1))</f>
        <v/>
      </c>
      <c r="V843" s="19">
        <f>IF($B843="","",TEXT($B843,"0000"))</f>
        <v/>
      </c>
      <c r="W843" s="19">
        <f>IF($I843="","",IF(ISNUMBER($I843),TEXT($I843,"0"),$I843))</f>
        <v/>
      </c>
    </row>
    <row r="844">
      <c r="B844" s="25" t="n"/>
      <c r="I844" s="25" t="n"/>
      <c r="U844" s="19">
        <f>IF($V844&lt;&gt;'設定'!$C$4,N(U843),IF(OR(NOT(COUNTIF('商品マスタ'!$B$6:$B$1005,$W844)=0),COUNTIFS('①在庫を貼る'!$V$6:$V$10005,$V844,'①在庫を貼る'!$W$6:$W$10005,$W844)&gt;0),N(U843),N(U843)+1))</f>
        <v/>
      </c>
      <c r="V844" s="19">
        <f>IF($B844="","",TEXT($B844,"0000"))</f>
        <v/>
      </c>
      <c r="W844" s="19">
        <f>IF($I844="","",IF(ISNUMBER($I844),TEXT($I844,"0"),$I844))</f>
        <v/>
      </c>
    </row>
    <row r="845">
      <c r="B845" s="25" t="n"/>
      <c r="I845" s="25" t="n"/>
      <c r="U845" s="19">
        <f>IF($V845&lt;&gt;'設定'!$C$4,N(U844),IF(OR(NOT(COUNTIF('商品マスタ'!$B$6:$B$1005,$W845)=0),COUNTIFS('①在庫を貼る'!$V$6:$V$10005,$V845,'①在庫を貼る'!$W$6:$W$10005,$W845)&gt;0),N(U844),N(U844)+1))</f>
        <v/>
      </c>
      <c r="V845" s="19">
        <f>IF($B845="","",TEXT($B845,"0000"))</f>
        <v/>
      </c>
      <c r="W845" s="19">
        <f>IF($I845="","",IF(ISNUMBER($I845),TEXT($I845,"0"),$I845))</f>
        <v/>
      </c>
    </row>
    <row r="846">
      <c r="B846" s="25" t="n"/>
      <c r="I846" s="25" t="n"/>
      <c r="U846" s="19">
        <f>IF($V846&lt;&gt;'設定'!$C$4,N(U845),IF(OR(NOT(COUNTIF('商品マスタ'!$B$6:$B$1005,$W846)=0),COUNTIFS('①在庫を貼る'!$V$6:$V$10005,$V846,'①在庫を貼る'!$W$6:$W$10005,$W846)&gt;0),N(U845),N(U845)+1))</f>
        <v/>
      </c>
      <c r="V846" s="19">
        <f>IF($B846="","",TEXT($B846,"0000"))</f>
        <v/>
      </c>
      <c r="W846" s="19">
        <f>IF($I846="","",IF(ISNUMBER($I846),TEXT($I846,"0"),$I846))</f>
        <v/>
      </c>
    </row>
    <row r="847">
      <c r="B847" s="25" t="n"/>
      <c r="I847" s="25" t="n"/>
      <c r="U847" s="19">
        <f>IF($V847&lt;&gt;'設定'!$C$4,N(U846),IF(OR(NOT(COUNTIF('商品マスタ'!$B$6:$B$1005,$W847)=0),COUNTIFS('①在庫を貼る'!$V$6:$V$10005,$V847,'①在庫を貼る'!$W$6:$W$10005,$W847)&gt;0),N(U846),N(U846)+1))</f>
        <v/>
      </c>
      <c r="V847" s="19">
        <f>IF($B847="","",TEXT($B847,"0000"))</f>
        <v/>
      </c>
      <c r="W847" s="19">
        <f>IF($I847="","",IF(ISNUMBER($I847),TEXT($I847,"0"),$I847))</f>
        <v/>
      </c>
    </row>
    <row r="848">
      <c r="B848" s="25" t="n"/>
      <c r="I848" s="25" t="n"/>
      <c r="U848" s="19">
        <f>IF($V848&lt;&gt;'設定'!$C$4,N(U847),IF(OR(NOT(COUNTIF('商品マスタ'!$B$6:$B$1005,$W848)=0),COUNTIFS('①在庫を貼る'!$V$6:$V$10005,$V848,'①在庫を貼る'!$W$6:$W$10005,$W848)&gt;0),N(U847),N(U847)+1))</f>
        <v/>
      </c>
      <c r="V848" s="19">
        <f>IF($B848="","",TEXT($B848,"0000"))</f>
        <v/>
      </c>
      <c r="W848" s="19">
        <f>IF($I848="","",IF(ISNUMBER($I848),TEXT($I848,"0"),$I848))</f>
        <v/>
      </c>
    </row>
    <row r="849">
      <c r="B849" s="25" t="n"/>
      <c r="I849" s="25" t="n"/>
      <c r="U849" s="19">
        <f>IF($V849&lt;&gt;'設定'!$C$4,N(U848),IF(OR(NOT(COUNTIF('商品マスタ'!$B$6:$B$1005,$W849)=0),COUNTIFS('①在庫を貼る'!$V$6:$V$10005,$V849,'①在庫を貼る'!$W$6:$W$10005,$W849)&gt;0),N(U848),N(U848)+1))</f>
        <v/>
      </c>
      <c r="V849" s="19">
        <f>IF($B849="","",TEXT($B849,"0000"))</f>
        <v/>
      </c>
      <c r="W849" s="19">
        <f>IF($I849="","",IF(ISNUMBER($I849),TEXT($I849,"0"),$I849))</f>
        <v/>
      </c>
    </row>
    <row r="850">
      <c r="B850" s="25" t="n"/>
      <c r="I850" s="25" t="n"/>
      <c r="U850" s="19">
        <f>IF($V850&lt;&gt;'設定'!$C$4,N(U849),IF(OR(NOT(COUNTIF('商品マスタ'!$B$6:$B$1005,$W850)=0),COUNTIFS('①在庫を貼る'!$V$6:$V$10005,$V850,'①在庫を貼る'!$W$6:$W$10005,$W850)&gt;0),N(U849),N(U849)+1))</f>
        <v/>
      </c>
      <c r="V850" s="19">
        <f>IF($B850="","",TEXT($B850,"0000"))</f>
        <v/>
      </c>
      <c r="W850" s="19">
        <f>IF($I850="","",IF(ISNUMBER($I850),TEXT($I850,"0"),$I850))</f>
        <v/>
      </c>
    </row>
    <row r="851">
      <c r="B851" s="25" t="n"/>
      <c r="I851" s="25" t="n"/>
      <c r="U851" s="19">
        <f>IF($V851&lt;&gt;'設定'!$C$4,N(U850),IF(OR(NOT(COUNTIF('商品マスタ'!$B$6:$B$1005,$W851)=0),COUNTIFS('①在庫を貼る'!$V$6:$V$10005,$V851,'①在庫を貼る'!$W$6:$W$10005,$W851)&gt;0),N(U850),N(U850)+1))</f>
        <v/>
      </c>
      <c r="V851" s="19">
        <f>IF($B851="","",TEXT($B851,"0000"))</f>
        <v/>
      </c>
      <c r="W851" s="19">
        <f>IF($I851="","",IF(ISNUMBER($I851),TEXT($I851,"0"),$I851))</f>
        <v/>
      </c>
    </row>
    <row r="852">
      <c r="B852" s="25" t="n"/>
      <c r="I852" s="25" t="n"/>
      <c r="U852" s="19">
        <f>IF($V852&lt;&gt;'設定'!$C$4,N(U851),IF(OR(NOT(COUNTIF('商品マスタ'!$B$6:$B$1005,$W852)=0),COUNTIFS('①在庫を貼る'!$V$6:$V$10005,$V852,'①在庫を貼る'!$W$6:$W$10005,$W852)&gt;0),N(U851),N(U851)+1))</f>
        <v/>
      </c>
      <c r="V852" s="19">
        <f>IF($B852="","",TEXT($B852,"0000"))</f>
        <v/>
      </c>
      <c r="W852" s="19">
        <f>IF($I852="","",IF(ISNUMBER($I852),TEXT($I852,"0"),$I852))</f>
        <v/>
      </c>
    </row>
    <row r="853">
      <c r="B853" s="25" t="n"/>
      <c r="I853" s="25" t="n"/>
      <c r="U853" s="19">
        <f>IF($V853&lt;&gt;'設定'!$C$4,N(U852),IF(OR(NOT(COUNTIF('商品マスタ'!$B$6:$B$1005,$W853)=0),COUNTIFS('①在庫を貼る'!$V$6:$V$10005,$V853,'①在庫を貼る'!$W$6:$W$10005,$W853)&gt;0),N(U852),N(U852)+1))</f>
        <v/>
      </c>
      <c r="V853" s="19">
        <f>IF($B853="","",TEXT($B853,"0000"))</f>
        <v/>
      </c>
      <c r="W853" s="19">
        <f>IF($I853="","",IF(ISNUMBER($I853),TEXT($I853,"0"),$I853))</f>
        <v/>
      </c>
    </row>
    <row r="854">
      <c r="B854" s="25" t="n"/>
      <c r="I854" s="25" t="n"/>
      <c r="U854" s="19">
        <f>IF($V854&lt;&gt;'設定'!$C$4,N(U853),IF(OR(NOT(COUNTIF('商品マスタ'!$B$6:$B$1005,$W854)=0),COUNTIFS('①在庫を貼る'!$V$6:$V$10005,$V854,'①在庫を貼る'!$W$6:$W$10005,$W854)&gt;0),N(U853),N(U853)+1))</f>
        <v/>
      </c>
      <c r="V854" s="19">
        <f>IF($B854="","",TEXT($B854,"0000"))</f>
        <v/>
      </c>
      <c r="W854" s="19">
        <f>IF($I854="","",IF(ISNUMBER($I854),TEXT($I854,"0"),$I854))</f>
        <v/>
      </c>
    </row>
    <row r="855">
      <c r="B855" s="25" t="n"/>
      <c r="I855" s="25" t="n"/>
      <c r="U855" s="19">
        <f>IF($V855&lt;&gt;'設定'!$C$4,N(U854),IF(OR(NOT(COUNTIF('商品マスタ'!$B$6:$B$1005,$W855)=0),COUNTIFS('①在庫を貼る'!$V$6:$V$10005,$V855,'①在庫を貼る'!$W$6:$W$10005,$W855)&gt;0),N(U854),N(U854)+1))</f>
        <v/>
      </c>
      <c r="V855" s="19">
        <f>IF($B855="","",TEXT($B855,"0000"))</f>
        <v/>
      </c>
      <c r="W855" s="19">
        <f>IF($I855="","",IF(ISNUMBER($I855),TEXT($I855,"0"),$I855))</f>
        <v/>
      </c>
    </row>
    <row r="856">
      <c r="B856" s="25" t="n"/>
      <c r="I856" s="25" t="n"/>
      <c r="U856" s="19">
        <f>IF($V856&lt;&gt;'設定'!$C$4,N(U855),IF(OR(NOT(COUNTIF('商品マスタ'!$B$6:$B$1005,$W856)=0),COUNTIFS('①在庫を貼る'!$V$6:$V$10005,$V856,'①在庫を貼る'!$W$6:$W$10005,$W856)&gt;0),N(U855),N(U855)+1))</f>
        <v/>
      </c>
      <c r="V856" s="19">
        <f>IF($B856="","",TEXT($B856,"0000"))</f>
        <v/>
      </c>
      <c r="W856" s="19">
        <f>IF($I856="","",IF(ISNUMBER($I856),TEXT($I856,"0"),$I856))</f>
        <v/>
      </c>
    </row>
    <row r="857">
      <c r="B857" s="25" t="n"/>
      <c r="I857" s="25" t="n"/>
      <c r="U857" s="19">
        <f>IF($V857&lt;&gt;'設定'!$C$4,N(U856),IF(OR(NOT(COUNTIF('商品マスタ'!$B$6:$B$1005,$W857)=0),COUNTIFS('①在庫を貼る'!$V$6:$V$10005,$V857,'①在庫を貼る'!$W$6:$W$10005,$W857)&gt;0),N(U856),N(U856)+1))</f>
        <v/>
      </c>
      <c r="V857" s="19">
        <f>IF($B857="","",TEXT($B857,"0000"))</f>
        <v/>
      </c>
      <c r="W857" s="19">
        <f>IF($I857="","",IF(ISNUMBER($I857),TEXT($I857,"0"),$I857))</f>
        <v/>
      </c>
    </row>
    <row r="858">
      <c r="B858" s="25" t="n"/>
      <c r="I858" s="25" t="n"/>
      <c r="U858" s="19">
        <f>IF($V858&lt;&gt;'設定'!$C$4,N(U857),IF(OR(NOT(COUNTIF('商品マスタ'!$B$6:$B$1005,$W858)=0),COUNTIFS('①在庫を貼る'!$V$6:$V$10005,$V858,'①在庫を貼る'!$W$6:$W$10005,$W858)&gt;0),N(U857),N(U857)+1))</f>
        <v/>
      </c>
      <c r="V858" s="19">
        <f>IF($B858="","",TEXT($B858,"0000"))</f>
        <v/>
      </c>
      <c r="W858" s="19">
        <f>IF($I858="","",IF(ISNUMBER($I858),TEXT($I858,"0"),$I858))</f>
        <v/>
      </c>
    </row>
    <row r="859">
      <c r="B859" s="25" t="n"/>
      <c r="I859" s="25" t="n"/>
      <c r="U859" s="19">
        <f>IF($V859&lt;&gt;'設定'!$C$4,N(U858),IF(OR(NOT(COUNTIF('商品マスタ'!$B$6:$B$1005,$W859)=0),COUNTIFS('①在庫を貼る'!$V$6:$V$10005,$V859,'①在庫を貼る'!$W$6:$W$10005,$W859)&gt;0),N(U858),N(U858)+1))</f>
        <v/>
      </c>
      <c r="V859" s="19">
        <f>IF($B859="","",TEXT($B859,"0000"))</f>
        <v/>
      </c>
      <c r="W859" s="19">
        <f>IF($I859="","",IF(ISNUMBER($I859),TEXT($I859,"0"),$I859))</f>
        <v/>
      </c>
    </row>
    <row r="860">
      <c r="B860" s="25" t="n"/>
      <c r="I860" s="25" t="n"/>
      <c r="U860" s="19">
        <f>IF($V860&lt;&gt;'設定'!$C$4,N(U859),IF(OR(NOT(COUNTIF('商品マスタ'!$B$6:$B$1005,$W860)=0),COUNTIFS('①在庫を貼る'!$V$6:$V$10005,$V860,'①在庫を貼る'!$W$6:$W$10005,$W860)&gt;0),N(U859),N(U859)+1))</f>
        <v/>
      </c>
      <c r="V860" s="19">
        <f>IF($B860="","",TEXT($B860,"0000"))</f>
        <v/>
      </c>
      <c r="W860" s="19">
        <f>IF($I860="","",IF(ISNUMBER($I860),TEXT($I860,"0"),$I860))</f>
        <v/>
      </c>
    </row>
    <row r="861">
      <c r="B861" s="25" t="n"/>
      <c r="I861" s="25" t="n"/>
      <c r="U861" s="19">
        <f>IF($V861&lt;&gt;'設定'!$C$4,N(U860),IF(OR(NOT(COUNTIF('商品マスタ'!$B$6:$B$1005,$W861)=0),COUNTIFS('①在庫を貼る'!$V$6:$V$10005,$V861,'①在庫を貼る'!$W$6:$W$10005,$W861)&gt;0),N(U860),N(U860)+1))</f>
        <v/>
      </c>
      <c r="V861" s="19">
        <f>IF($B861="","",TEXT($B861,"0000"))</f>
        <v/>
      </c>
      <c r="W861" s="19">
        <f>IF($I861="","",IF(ISNUMBER($I861),TEXT($I861,"0"),$I861))</f>
        <v/>
      </c>
    </row>
    <row r="862">
      <c r="B862" s="25" t="n"/>
      <c r="I862" s="25" t="n"/>
      <c r="U862" s="19">
        <f>IF($V862&lt;&gt;'設定'!$C$4,N(U861),IF(OR(NOT(COUNTIF('商品マスタ'!$B$6:$B$1005,$W862)=0),COUNTIFS('①在庫を貼る'!$V$6:$V$10005,$V862,'①在庫を貼る'!$W$6:$W$10005,$W862)&gt;0),N(U861),N(U861)+1))</f>
        <v/>
      </c>
      <c r="V862" s="19">
        <f>IF($B862="","",TEXT($B862,"0000"))</f>
        <v/>
      </c>
      <c r="W862" s="19">
        <f>IF($I862="","",IF(ISNUMBER($I862),TEXT($I862,"0"),$I862))</f>
        <v/>
      </c>
    </row>
    <row r="863">
      <c r="B863" s="25" t="n"/>
      <c r="I863" s="25" t="n"/>
      <c r="U863" s="19">
        <f>IF($V863&lt;&gt;'設定'!$C$4,N(U862),IF(OR(NOT(COUNTIF('商品マスタ'!$B$6:$B$1005,$W863)=0),COUNTIFS('①在庫を貼る'!$V$6:$V$10005,$V863,'①在庫を貼る'!$W$6:$W$10005,$W863)&gt;0),N(U862),N(U862)+1))</f>
        <v/>
      </c>
      <c r="V863" s="19">
        <f>IF($B863="","",TEXT($B863,"0000"))</f>
        <v/>
      </c>
      <c r="W863" s="19">
        <f>IF($I863="","",IF(ISNUMBER($I863),TEXT($I863,"0"),$I863))</f>
        <v/>
      </c>
    </row>
    <row r="864">
      <c r="B864" s="25" t="n"/>
      <c r="I864" s="25" t="n"/>
      <c r="U864" s="19">
        <f>IF($V864&lt;&gt;'設定'!$C$4,N(U863),IF(OR(NOT(COUNTIF('商品マスタ'!$B$6:$B$1005,$W864)=0),COUNTIFS('①在庫を貼る'!$V$6:$V$10005,$V864,'①在庫を貼る'!$W$6:$W$10005,$W864)&gt;0),N(U863),N(U863)+1))</f>
        <v/>
      </c>
      <c r="V864" s="19">
        <f>IF($B864="","",TEXT($B864,"0000"))</f>
        <v/>
      </c>
      <c r="W864" s="19">
        <f>IF($I864="","",IF(ISNUMBER($I864),TEXT($I864,"0"),$I864))</f>
        <v/>
      </c>
    </row>
    <row r="865">
      <c r="B865" s="25" t="n"/>
      <c r="I865" s="25" t="n"/>
      <c r="U865" s="19">
        <f>IF($V865&lt;&gt;'設定'!$C$4,N(U864),IF(OR(NOT(COUNTIF('商品マスタ'!$B$6:$B$1005,$W865)=0),COUNTIFS('①在庫を貼る'!$V$6:$V$10005,$V865,'①在庫を貼る'!$W$6:$W$10005,$W865)&gt;0),N(U864),N(U864)+1))</f>
        <v/>
      </c>
      <c r="V865" s="19">
        <f>IF($B865="","",TEXT($B865,"0000"))</f>
        <v/>
      </c>
      <c r="W865" s="19">
        <f>IF($I865="","",IF(ISNUMBER($I865),TEXT($I865,"0"),$I865))</f>
        <v/>
      </c>
    </row>
    <row r="866">
      <c r="B866" s="25" t="n"/>
      <c r="I866" s="25" t="n"/>
      <c r="U866" s="19">
        <f>IF($V866&lt;&gt;'設定'!$C$4,N(U865),IF(OR(NOT(COUNTIF('商品マスタ'!$B$6:$B$1005,$W866)=0),COUNTIFS('①在庫を貼る'!$V$6:$V$10005,$V866,'①在庫を貼る'!$W$6:$W$10005,$W866)&gt;0),N(U865),N(U865)+1))</f>
        <v/>
      </c>
      <c r="V866" s="19">
        <f>IF($B866="","",TEXT($B866,"0000"))</f>
        <v/>
      </c>
      <c r="W866" s="19">
        <f>IF($I866="","",IF(ISNUMBER($I866),TEXT($I866,"0"),$I866))</f>
        <v/>
      </c>
    </row>
    <row r="867">
      <c r="B867" s="25" t="n"/>
      <c r="I867" s="25" t="n"/>
      <c r="U867" s="19">
        <f>IF($V867&lt;&gt;'設定'!$C$4,N(U866),IF(OR(NOT(COUNTIF('商品マスタ'!$B$6:$B$1005,$W867)=0),COUNTIFS('①在庫を貼る'!$V$6:$V$10005,$V867,'①在庫を貼る'!$W$6:$W$10005,$W867)&gt;0),N(U866),N(U866)+1))</f>
        <v/>
      </c>
      <c r="V867" s="19">
        <f>IF($B867="","",TEXT($B867,"0000"))</f>
        <v/>
      </c>
      <c r="W867" s="19">
        <f>IF($I867="","",IF(ISNUMBER($I867),TEXT($I867,"0"),$I867))</f>
        <v/>
      </c>
    </row>
    <row r="868">
      <c r="B868" s="25" t="n"/>
      <c r="I868" s="25" t="n"/>
      <c r="U868" s="19">
        <f>IF($V868&lt;&gt;'設定'!$C$4,N(U867),IF(OR(NOT(COUNTIF('商品マスタ'!$B$6:$B$1005,$W868)=0),COUNTIFS('①在庫を貼る'!$V$6:$V$10005,$V868,'①在庫を貼る'!$W$6:$W$10005,$W868)&gt;0),N(U867),N(U867)+1))</f>
        <v/>
      </c>
      <c r="V868" s="19">
        <f>IF($B868="","",TEXT($B868,"0000"))</f>
        <v/>
      </c>
      <c r="W868" s="19">
        <f>IF($I868="","",IF(ISNUMBER($I868),TEXT($I868,"0"),$I868))</f>
        <v/>
      </c>
    </row>
    <row r="869">
      <c r="B869" s="25" t="n"/>
      <c r="I869" s="25" t="n"/>
      <c r="U869" s="19">
        <f>IF($V869&lt;&gt;'設定'!$C$4,N(U868),IF(OR(NOT(COUNTIF('商品マスタ'!$B$6:$B$1005,$W869)=0),COUNTIFS('①在庫を貼る'!$V$6:$V$10005,$V869,'①在庫を貼る'!$W$6:$W$10005,$W869)&gt;0),N(U868),N(U868)+1))</f>
        <v/>
      </c>
      <c r="V869" s="19">
        <f>IF($B869="","",TEXT($B869,"0000"))</f>
        <v/>
      </c>
      <c r="W869" s="19">
        <f>IF($I869="","",IF(ISNUMBER($I869),TEXT($I869,"0"),$I869))</f>
        <v/>
      </c>
    </row>
    <row r="870">
      <c r="B870" s="25" t="n"/>
      <c r="I870" s="25" t="n"/>
      <c r="U870" s="19">
        <f>IF($V870&lt;&gt;'設定'!$C$4,N(U869),IF(OR(NOT(COUNTIF('商品マスタ'!$B$6:$B$1005,$W870)=0),COUNTIFS('①在庫を貼る'!$V$6:$V$10005,$V870,'①在庫を貼る'!$W$6:$W$10005,$W870)&gt;0),N(U869),N(U869)+1))</f>
        <v/>
      </c>
      <c r="V870" s="19">
        <f>IF($B870="","",TEXT($B870,"0000"))</f>
        <v/>
      </c>
      <c r="W870" s="19">
        <f>IF($I870="","",IF(ISNUMBER($I870),TEXT($I870,"0"),$I870))</f>
        <v/>
      </c>
    </row>
    <row r="871">
      <c r="B871" s="25" t="n"/>
      <c r="I871" s="25" t="n"/>
      <c r="U871" s="19">
        <f>IF($V871&lt;&gt;'設定'!$C$4,N(U870),IF(OR(NOT(COUNTIF('商品マスタ'!$B$6:$B$1005,$W871)=0),COUNTIFS('①在庫を貼る'!$V$6:$V$10005,$V871,'①在庫を貼る'!$W$6:$W$10005,$W871)&gt;0),N(U870),N(U870)+1))</f>
        <v/>
      </c>
      <c r="V871" s="19">
        <f>IF($B871="","",TEXT($B871,"0000"))</f>
        <v/>
      </c>
      <c r="W871" s="19">
        <f>IF($I871="","",IF(ISNUMBER($I871),TEXT($I871,"0"),$I871))</f>
        <v/>
      </c>
    </row>
    <row r="872">
      <c r="B872" s="25" t="n"/>
      <c r="I872" s="25" t="n"/>
      <c r="U872" s="19">
        <f>IF($V872&lt;&gt;'設定'!$C$4,N(U871),IF(OR(NOT(COUNTIF('商品マスタ'!$B$6:$B$1005,$W872)=0),COUNTIFS('①在庫を貼る'!$V$6:$V$10005,$V872,'①在庫を貼る'!$W$6:$W$10005,$W872)&gt;0),N(U871),N(U871)+1))</f>
        <v/>
      </c>
      <c r="V872" s="19">
        <f>IF($B872="","",TEXT($B872,"0000"))</f>
        <v/>
      </c>
      <c r="W872" s="19">
        <f>IF($I872="","",IF(ISNUMBER($I872),TEXT($I872,"0"),$I872))</f>
        <v/>
      </c>
    </row>
    <row r="873">
      <c r="B873" s="25" t="n"/>
      <c r="I873" s="25" t="n"/>
      <c r="U873" s="19">
        <f>IF($V873&lt;&gt;'設定'!$C$4,N(U872),IF(OR(NOT(COUNTIF('商品マスタ'!$B$6:$B$1005,$W873)=0),COUNTIFS('①在庫を貼る'!$V$6:$V$10005,$V873,'①在庫を貼る'!$W$6:$W$10005,$W873)&gt;0),N(U872),N(U872)+1))</f>
        <v/>
      </c>
      <c r="V873" s="19">
        <f>IF($B873="","",TEXT($B873,"0000"))</f>
        <v/>
      </c>
      <c r="W873" s="19">
        <f>IF($I873="","",IF(ISNUMBER($I873),TEXT($I873,"0"),$I873))</f>
        <v/>
      </c>
    </row>
    <row r="874">
      <c r="B874" s="25" t="n"/>
      <c r="I874" s="25" t="n"/>
      <c r="U874" s="19">
        <f>IF($V874&lt;&gt;'設定'!$C$4,N(U873),IF(OR(NOT(COUNTIF('商品マスタ'!$B$6:$B$1005,$W874)=0),COUNTIFS('①在庫を貼る'!$V$6:$V$10005,$V874,'①在庫を貼る'!$W$6:$W$10005,$W874)&gt;0),N(U873),N(U873)+1))</f>
        <v/>
      </c>
      <c r="V874" s="19">
        <f>IF($B874="","",TEXT($B874,"0000"))</f>
        <v/>
      </c>
      <c r="W874" s="19">
        <f>IF($I874="","",IF(ISNUMBER($I874),TEXT($I874,"0"),$I874))</f>
        <v/>
      </c>
    </row>
    <row r="875">
      <c r="B875" s="25" t="n"/>
      <c r="I875" s="25" t="n"/>
      <c r="U875" s="19">
        <f>IF($V875&lt;&gt;'設定'!$C$4,N(U874),IF(OR(NOT(COUNTIF('商品マスタ'!$B$6:$B$1005,$W875)=0),COUNTIFS('①在庫を貼る'!$V$6:$V$10005,$V875,'①在庫を貼る'!$W$6:$W$10005,$W875)&gt;0),N(U874),N(U874)+1))</f>
        <v/>
      </c>
      <c r="V875" s="19">
        <f>IF($B875="","",TEXT($B875,"0000"))</f>
        <v/>
      </c>
      <c r="W875" s="19">
        <f>IF($I875="","",IF(ISNUMBER($I875),TEXT($I875,"0"),$I875))</f>
        <v/>
      </c>
    </row>
    <row r="876">
      <c r="B876" s="25" t="n"/>
      <c r="I876" s="25" t="n"/>
      <c r="U876" s="19">
        <f>IF($V876&lt;&gt;'設定'!$C$4,N(U875),IF(OR(NOT(COUNTIF('商品マスタ'!$B$6:$B$1005,$W876)=0),COUNTIFS('①在庫を貼る'!$V$6:$V$10005,$V876,'①在庫を貼る'!$W$6:$W$10005,$W876)&gt;0),N(U875),N(U875)+1))</f>
        <v/>
      </c>
      <c r="V876" s="19">
        <f>IF($B876="","",TEXT($B876,"0000"))</f>
        <v/>
      </c>
      <c r="W876" s="19">
        <f>IF($I876="","",IF(ISNUMBER($I876),TEXT($I876,"0"),$I876))</f>
        <v/>
      </c>
    </row>
    <row r="877">
      <c r="B877" s="25" t="n"/>
      <c r="I877" s="25" t="n"/>
      <c r="U877" s="19">
        <f>IF($V877&lt;&gt;'設定'!$C$4,N(U876),IF(OR(NOT(COUNTIF('商品マスタ'!$B$6:$B$1005,$W877)=0),COUNTIFS('①在庫を貼る'!$V$6:$V$10005,$V877,'①在庫を貼る'!$W$6:$W$10005,$W877)&gt;0),N(U876),N(U876)+1))</f>
        <v/>
      </c>
      <c r="V877" s="19">
        <f>IF($B877="","",TEXT($B877,"0000"))</f>
        <v/>
      </c>
      <c r="W877" s="19">
        <f>IF($I877="","",IF(ISNUMBER($I877),TEXT($I877,"0"),$I877))</f>
        <v/>
      </c>
    </row>
    <row r="878">
      <c r="B878" s="25" t="n"/>
      <c r="I878" s="25" t="n"/>
      <c r="U878" s="19">
        <f>IF($V878&lt;&gt;'設定'!$C$4,N(U877),IF(OR(NOT(COUNTIF('商品マスタ'!$B$6:$B$1005,$W878)=0),COUNTIFS('①在庫を貼る'!$V$6:$V$10005,$V878,'①在庫を貼る'!$W$6:$W$10005,$W878)&gt;0),N(U877),N(U877)+1))</f>
        <v/>
      </c>
      <c r="V878" s="19">
        <f>IF($B878="","",TEXT($B878,"0000"))</f>
        <v/>
      </c>
      <c r="W878" s="19">
        <f>IF($I878="","",IF(ISNUMBER($I878),TEXT($I878,"0"),$I878))</f>
        <v/>
      </c>
    </row>
    <row r="879">
      <c r="B879" s="25" t="n"/>
      <c r="I879" s="25" t="n"/>
      <c r="U879" s="19">
        <f>IF($V879&lt;&gt;'設定'!$C$4,N(U878),IF(OR(NOT(COUNTIF('商品マスタ'!$B$6:$B$1005,$W879)=0),COUNTIFS('①在庫を貼る'!$V$6:$V$10005,$V879,'①在庫を貼る'!$W$6:$W$10005,$W879)&gt;0),N(U878),N(U878)+1))</f>
        <v/>
      </c>
      <c r="V879" s="19">
        <f>IF($B879="","",TEXT($B879,"0000"))</f>
        <v/>
      </c>
      <c r="W879" s="19">
        <f>IF($I879="","",IF(ISNUMBER($I879),TEXT($I879,"0"),$I879))</f>
        <v/>
      </c>
    </row>
    <row r="880">
      <c r="B880" s="25" t="n"/>
      <c r="I880" s="25" t="n"/>
      <c r="U880" s="19">
        <f>IF($V880&lt;&gt;'設定'!$C$4,N(U879),IF(OR(NOT(COUNTIF('商品マスタ'!$B$6:$B$1005,$W880)=0),COUNTIFS('①在庫を貼る'!$V$6:$V$10005,$V880,'①在庫を貼る'!$W$6:$W$10005,$W880)&gt;0),N(U879),N(U879)+1))</f>
        <v/>
      </c>
      <c r="V880" s="19">
        <f>IF($B880="","",TEXT($B880,"0000"))</f>
        <v/>
      </c>
      <c r="W880" s="19">
        <f>IF($I880="","",IF(ISNUMBER($I880),TEXT($I880,"0"),$I880))</f>
        <v/>
      </c>
    </row>
    <row r="881">
      <c r="B881" s="25" t="n"/>
      <c r="I881" s="25" t="n"/>
      <c r="U881" s="19">
        <f>IF($V881&lt;&gt;'設定'!$C$4,N(U880),IF(OR(NOT(COUNTIF('商品マスタ'!$B$6:$B$1005,$W881)=0),COUNTIFS('①在庫を貼る'!$V$6:$V$10005,$V881,'①在庫を貼る'!$W$6:$W$10005,$W881)&gt;0),N(U880),N(U880)+1))</f>
        <v/>
      </c>
      <c r="V881" s="19">
        <f>IF($B881="","",TEXT($B881,"0000"))</f>
        <v/>
      </c>
      <c r="W881" s="19">
        <f>IF($I881="","",IF(ISNUMBER($I881),TEXT($I881,"0"),$I881))</f>
        <v/>
      </c>
    </row>
    <row r="882">
      <c r="B882" s="25" t="n"/>
      <c r="I882" s="25" t="n"/>
      <c r="U882" s="19">
        <f>IF($V882&lt;&gt;'設定'!$C$4,N(U881),IF(OR(NOT(COUNTIF('商品マスタ'!$B$6:$B$1005,$W882)=0),COUNTIFS('①在庫を貼る'!$V$6:$V$10005,$V882,'①在庫を貼る'!$W$6:$W$10005,$W882)&gt;0),N(U881),N(U881)+1))</f>
        <v/>
      </c>
      <c r="V882" s="19">
        <f>IF($B882="","",TEXT($B882,"0000"))</f>
        <v/>
      </c>
      <c r="W882" s="19">
        <f>IF($I882="","",IF(ISNUMBER($I882),TEXT($I882,"0"),$I882))</f>
        <v/>
      </c>
    </row>
    <row r="883">
      <c r="B883" s="25" t="n"/>
      <c r="I883" s="25" t="n"/>
      <c r="U883" s="19">
        <f>IF($V883&lt;&gt;'設定'!$C$4,N(U882),IF(OR(NOT(COUNTIF('商品マスタ'!$B$6:$B$1005,$W883)=0),COUNTIFS('①在庫を貼る'!$V$6:$V$10005,$V883,'①在庫を貼る'!$W$6:$W$10005,$W883)&gt;0),N(U882),N(U882)+1))</f>
        <v/>
      </c>
      <c r="V883" s="19">
        <f>IF($B883="","",TEXT($B883,"0000"))</f>
        <v/>
      </c>
      <c r="W883" s="19">
        <f>IF($I883="","",IF(ISNUMBER($I883),TEXT($I883,"0"),$I883))</f>
        <v/>
      </c>
    </row>
    <row r="884">
      <c r="B884" s="25" t="n"/>
      <c r="I884" s="25" t="n"/>
      <c r="U884" s="19">
        <f>IF($V884&lt;&gt;'設定'!$C$4,N(U883),IF(OR(NOT(COUNTIF('商品マスタ'!$B$6:$B$1005,$W884)=0),COUNTIFS('①在庫を貼る'!$V$6:$V$10005,$V884,'①在庫を貼る'!$W$6:$W$10005,$W884)&gt;0),N(U883),N(U883)+1))</f>
        <v/>
      </c>
      <c r="V884" s="19">
        <f>IF($B884="","",TEXT($B884,"0000"))</f>
        <v/>
      </c>
      <c r="W884" s="19">
        <f>IF($I884="","",IF(ISNUMBER($I884),TEXT($I884,"0"),$I884))</f>
        <v/>
      </c>
    </row>
    <row r="885">
      <c r="B885" s="25" t="n"/>
      <c r="I885" s="25" t="n"/>
      <c r="U885" s="19">
        <f>IF($V885&lt;&gt;'設定'!$C$4,N(U884),IF(OR(NOT(COUNTIF('商品マスタ'!$B$6:$B$1005,$W885)=0),COUNTIFS('①在庫を貼る'!$V$6:$V$10005,$V885,'①在庫を貼る'!$W$6:$W$10005,$W885)&gt;0),N(U884),N(U884)+1))</f>
        <v/>
      </c>
      <c r="V885" s="19">
        <f>IF($B885="","",TEXT($B885,"0000"))</f>
        <v/>
      </c>
      <c r="W885" s="19">
        <f>IF($I885="","",IF(ISNUMBER($I885),TEXT($I885,"0"),$I885))</f>
        <v/>
      </c>
    </row>
    <row r="886">
      <c r="B886" s="25" t="n"/>
      <c r="I886" s="25" t="n"/>
      <c r="U886" s="19">
        <f>IF($V886&lt;&gt;'設定'!$C$4,N(U885),IF(OR(NOT(COUNTIF('商品マスタ'!$B$6:$B$1005,$W886)=0),COUNTIFS('①在庫を貼る'!$V$6:$V$10005,$V886,'①在庫を貼る'!$W$6:$W$10005,$W886)&gt;0),N(U885),N(U885)+1))</f>
        <v/>
      </c>
      <c r="V886" s="19">
        <f>IF($B886="","",TEXT($B886,"0000"))</f>
        <v/>
      </c>
      <c r="W886" s="19">
        <f>IF($I886="","",IF(ISNUMBER($I886),TEXT($I886,"0"),$I886))</f>
        <v/>
      </c>
    </row>
    <row r="887">
      <c r="B887" s="25" t="n"/>
      <c r="I887" s="25" t="n"/>
      <c r="U887" s="19">
        <f>IF($V887&lt;&gt;'設定'!$C$4,N(U886),IF(OR(NOT(COUNTIF('商品マスタ'!$B$6:$B$1005,$W887)=0),COUNTIFS('①在庫を貼る'!$V$6:$V$10005,$V887,'①在庫を貼る'!$W$6:$W$10005,$W887)&gt;0),N(U886),N(U886)+1))</f>
        <v/>
      </c>
      <c r="V887" s="19">
        <f>IF($B887="","",TEXT($B887,"0000"))</f>
        <v/>
      </c>
      <c r="W887" s="19">
        <f>IF($I887="","",IF(ISNUMBER($I887),TEXT($I887,"0"),$I887))</f>
        <v/>
      </c>
    </row>
    <row r="888">
      <c r="B888" s="25" t="n"/>
      <c r="I888" s="25" t="n"/>
      <c r="U888" s="19">
        <f>IF($V888&lt;&gt;'設定'!$C$4,N(U887),IF(OR(NOT(COUNTIF('商品マスタ'!$B$6:$B$1005,$W888)=0),COUNTIFS('①在庫を貼る'!$V$6:$V$10005,$V888,'①在庫を貼る'!$W$6:$W$10005,$W888)&gt;0),N(U887),N(U887)+1))</f>
        <v/>
      </c>
      <c r="V888" s="19">
        <f>IF($B888="","",TEXT($B888,"0000"))</f>
        <v/>
      </c>
      <c r="W888" s="19">
        <f>IF($I888="","",IF(ISNUMBER($I888),TEXT($I888,"0"),$I888))</f>
        <v/>
      </c>
    </row>
    <row r="889">
      <c r="B889" s="25" t="n"/>
      <c r="I889" s="25" t="n"/>
      <c r="U889" s="19">
        <f>IF($V889&lt;&gt;'設定'!$C$4,N(U888),IF(OR(NOT(COUNTIF('商品マスタ'!$B$6:$B$1005,$W889)=0),COUNTIFS('①在庫を貼る'!$V$6:$V$10005,$V889,'①在庫を貼る'!$W$6:$W$10005,$W889)&gt;0),N(U888),N(U888)+1))</f>
        <v/>
      </c>
      <c r="V889" s="19">
        <f>IF($B889="","",TEXT($B889,"0000"))</f>
        <v/>
      </c>
      <c r="W889" s="19">
        <f>IF($I889="","",IF(ISNUMBER($I889),TEXT($I889,"0"),$I889))</f>
        <v/>
      </c>
    </row>
    <row r="890">
      <c r="B890" s="25" t="n"/>
      <c r="I890" s="25" t="n"/>
      <c r="U890" s="19">
        <f>IF($V890&lt;&gt;'設定'!$C$4,N(U889),IF(OR(NOT(COUNTIF('商品マスタ'!$B$6:$B$1005,$W890)=0),COUNTIFS('①在庫を貼る'!$V$6:$V$10005,$V890,'①在庫を貼る'!$W$6:$W$10005,$W890)&gt;0),N(U889),N(U889)+1))</f>
        <v/>
      </c>
      <c r="V890" s="19">
        <f>IF($B890="","",TEXT($B890,"0000"))</f>
        <v/>
      </c>
      <c r="W890" s="19">
        <f>IF($I890="","",IF(ISNUMBER($I890),TEXT($I890,"0"),$I890))</f>
        <v/>
      </c>
    </row>
    <row r="891">
      <c r="B891" s="25" t="n"/>
      <c r="I891" s="25" t="n"/>
      <c r="U891" s="19">
        <f>IF($V891&lt;&gt;'設定'!$C$4,N(U890),IF(OR(NOT(COUNTIF('商品マスタ'!$B$6:$B$1005,$W891)=0),COUNTIFS('①在庫を貼る'!$V$6:$V$10005,$V891,'①在庫を貼る'!$W$6:$W$10005,$W891)&gt;0),N(U890),N(U890)+1))</f>
        <v/>
      </c>
      <c r="V891" s="19">
        <f>IF($B891="","",TEXT($B891,"0000"))</f>
        <v/>
      </c>
      <c r="W891" s="19">
        <f>IF($I891="","",IF(ISNUMBER($I891),TEXT($I891,"0"),$I891))</f>
        <v/>
      </c>
    </row>
    <row r="892">
      <c r="B892" s="25" t="n"/>
      <c r="I892" s="25" t="n"/>
      <c r="U892" s="19">
        <f>IF($V892&lt;&gt;'設定'!$C$4,N(U891),IF(OR(NOT(COUNTIF('商品マスタ'!$B$6:$B$1005,$W892)=0),COUNTIFS('①在庫を貼る'!$V$6:$V$10005,$V892,'①在庫を貼る'!$W$6:$W$10005,$W892)&gt;0),N(U891),N(U891)+1))</f>
        <v/>
      </c>
      <c r="V892" s="19">
        <f>IF($B892="","",TEXT($B892,"0000"))</f>
        <v/>
      </c>
      <c r="W892" s="19">
        <f>IF($I892="","",IF(ISNUMBER($I892),TEXT($I892,"0"),$I892))</f>
        <v/>
      </c>
    </row>
    <row r="893">
      <c r="B893" s="25" t="n"/>
      <c r="I893" s="25" t="n"/>
      <c r="U893" s="19">
        <f>IF($V893&lt;&gt;'設定'!$C$4,N(U892),IF(OR(NOT(COUNTIF('商品マスタ'!$B$6:$B$1005,$W893)=0),COUNTIFS('①在庫を貼る'!$V$6:$V$10005,$V893,'①在庫を貼る'!$W$6:$W$10005,$W893)&gt;0),N(U892),N(U892)+1))</f>
        <v/>
      </c>
      <c r="V893" s="19">
        <f>IF($B893="","",TEXT($B893,"0000"))</f>
        <v/>
      </c>
      <c r="W893" s="19">
        <f>IF($I893="","",IF(ISNUMBER($I893),TEXT($I893,"0"),$I893))</f>
        <v/>
      </c>
    </row>
    <row r="894">
      <c r="B894" s="25" t="n"/>
      <c r="I894" s="25" t="n"/>
      <c r="U894" s="19">
        <f>IF($V894&lt;&gt;'設定'!$C$4,N(U893),IF(OR(NOT(COUNTIF('商品マスタ'!$B$6:$B$1005,$W894)=0),COUNTIFS('①在庫を貼る'!$V$6:$V$10005,$V894,'①在庫を貼る'!$W$6:$W$10005,$W894)&gt;0),N(U893),N(U893)+1))</f>
        <v/>
      </c>
      <c r="V894" s="19">
        <f>IF($B894="","",TEXT($B894,"0000"))</f>
        <v/>
      </c>
      <c r="W894" s="19">
        <f>IF($I894="","",IF(ISNUMBER($I894),TEXT($I894,"0"),$I894))</f>
        <v/>
      </c>
    </row>
    <row r="895">
      <c r="B895" s="25" t="n"/>
      <c r="I895" s="25" t="n"/>
      <c r="U895" s="19">
        <f>IF($V895&lt;&gt;'設定'!$C$4,N(U894),IF(OR(NOT(COUNTIF('商品マスタ'!$B$6:$B$1005,$W895)=0),COUNTIFS('①在庫を貼る'!$V$6:$V$10005,$V895,'①在庫を貼る'!$W$6:$W$10005,$W895)&gt;0),N(U894),N(U894)+1))</f>
        <v/>
      </c>
      <c r="V895" s="19">
        <f>IF($B895="","",TEXT($B895,"0000"))</f>
        <v/>
      </c>
      <c r="W895" s="19">
        <f>IF($I895="","",IF(ISNUMBER($I895),TEXT($I895,"0"),$I895))</f>
        <v/>
      </c>
    </row>
    <row r="896">
      <c r="B896" s="25" t="n"/>
      <c r="I896" s="25" t="n"/>
      <c r="U896" s="19">
        <f>IF($V896&lt;&gt;'設定'!$C$4,N(U895),IF(OR(NOT(COUNTIF('商品マスタ'!$B$6:$B$1005,$W896)=0),COUNTIFS('①在庫を貼る'!$V$6:$V$10005,$V896,'①在庫を貼る'!$W$6:$W$10005,$W896)&gt;0),N(U895),N(U895)+1))</f>
        <v/>
      </c>
      <c r="V896" s="19">
        <f>IF($B896="","",TEXT($B896,"0000"))</f>
        <v/>
      </c>
      <c r="W896" s="19">
        <f>IF($I896="","",IF(ISNUMBER($I896),TEXT($I896,"0"),$I896))</f>
        <v/>
      </c>
    </row>
    <row r="897">
      <c r="B897" s="25" t="n"/>
      <c r="I897" s="25" t="n"/>
      <c r="U897" s="19">
        <f>IF($V897&lt;&gt;'設定'!$C$4,N(U896),IF(OR(NOT(COUNTIF('商品マスタ'!$B$6:$B$1005,$W897)=0),COUNTIFS('①在庫を貼る'!$V$6:$V$10005,$V897,'①在庫を貼る'!$W$6:$W$10005,$W897)&gt;0),N(U896),N(U896)+1))</f>
        <v/>
      </c>
      <c r="V897" s="19">
        <f>IF($B897="","",TEXT($B897,"0000"))</f>
        <v/>
      </c>
      <c r="W897" s="19">
        <f>IF($I897="","",IF(ISNUMBER($I897),TEXT($I897,"0"),$I897))</f>
        <v/>
      </c>
    </row>
    <row r="898">
      <c r="B898" s="25" t="n"/>
      <c r="I898" s="25" t="n"/>
      <c r="U898" s="19">
        <f>IF($V898&lt;&gt;'設定'!$C$4,N(U897),IF(OR(NOT(COUNTIF('商品マスタ'!$B$6:$B$1005,$W898)=0),COUNTIFS('①在庫を貼る'!$V$6:$V$10005,$V898,'①在庫を貼る'!$W$6:$W$10005,$W898)&gt;0),N(U897),N(U897)+1))</f>
        <v/>
      </c>
      <c r="V898" s="19">
        <f>IF($B898="","",TEXT($B898,"0000"))</f>
        <v/>
      </c>
      <c r="W898" s="19">
        <f>IF($I898="","",IF(ISNUMBER($I898),TEXT($I898,"0"),$I898))</f>
        <v/>
      </c>
    </row>
    <row r="899">
      <c r="B899" s="25" t="n"/>
      <c r="I899" s="25" t="n"/>
      <c r="U899" s="19">
        <f>IF($V899&lt;&gt;'設定'!$C$4,N(U898),IF(OR(NOT(COUNTIF('商品マスタ'!$B$6:$B$1005,$W899)=0),COUNTIFS('①在庫を貼る'!$V$6:$V$10005,$V899,'①在庫を貼る'!$W$6:$W$10005,$W899)&gt;0),N(U898),N(U898)+1))</f>
        <v/>
      </c>
      <c r="V899" s="19">
        <f>IF($B899="","",TEXT($B899,"0000"))</f>
        <v/>
      </c>
      <c r="W899" s="19">
        <f>IF($I899="","",IF(ISNUMBER($I899),TEXT($I899,"0"),$I899))</f>
        <v/>
      </c>
    </row>
    <row r="900">
      <c r="B900" s="25" t="n"/>
      <c r="I900" s="25" t="n"/>
      <c r="U900" s="19">
        <f>IF($V900&lt;&gt;'設定'!$C$4,N(U899),IF(OR(NOT(COUNTIF('商品マスタ'!$B$6:$B$1005,$W900)=0),COUNTIFS('①在庫を貼る'!$V$6:$V$10005,$V900,'①在庫を貼る'!$W$6:$W$10005,$W900)&gt;0),N(U899),N(U899)+1))</f>
        <v/>
      </c>
      <c r="V900" s="19">
        <f>IF($B900="","",TEXT($B900,"0000"))</f>
        <v/>
      </c>
      <c r="W900" s="19">
        <f>IF($I900="","",IF(ISNUMBER($I900),TEXT($I900,"0"),$I900))</f>
        <v/>
      </c>
    </row>
    <row r="901">
      <c r="B901" s="25" t="n"/>
      <c r="I901" s="25" t="n"/>
      <c r="U901" s="19">
        <f>IF($V901&lt;&gt;'設定'!$C$4,N(U900),IF(OR(NOT(COUNTIF('商品マスタ'!$B$6:$B$1005,$W901)=0),COUNTIFS('①在庫を貼る'!$V$6:$V$10005,$V901,'①在庫を貼る'!$W$6:$W$10005,$W901)&gt;0),N(U900),N(U900)+1))</f>
        <v/>
      </c>
      <c r="V901" s="19">
        <f>IF($B901="","",TEXT($B901,"0000"))</f>
        <v/>
      </c>
      <c r="W901" s="19">
        <f>IF($I901="","",IF(ISNUMBER($I901),TEXT($I901,"0"),$I901))</f>
        <v/>
      </c>
    </row>
    <row r="902">
      <c r="B902" s="25" t="n"/>
      <c r="I902" s="25" t="n"/>
      <c r="U902" s="19">
        <f>IF($V902&lt;&gt;'設定'!$C$4,N(U901),IF(OR(NOT(COUNTIF('商品マスタ'!$B$6:$B$1005,$W902)=0),COUNTIFS('①在庫を貼る'!$V$6:$V$10005,$V902,'①在庫を貼る'!$W$6:$W$10005,$W902)&gt;0),N(U901),N(U901)+1))</f>
        <v/>
      </c>
      <c r="V902" s="19">
        <f>IF($B902="","",TEXT($B902,"0000"))</f>
        <v/>
      </c>
      <c r="W902" s="19">
        <f>IF($I902="","",IF(ISNUMBER($I902),TEXT($I902,"0"),$I902))</f>
        <v/>
      </c>
    </row>
    <row r="903">
      <c r="B903" s="25" t="n"/>
      <c r="I903" s="25" t="n"/>
      <c r="U903" s="19">
        <f>IF($V903&lt;&gt;'設定'!$C$4,N(U902),IF(OR(NOT(COUNTIF('商品マスタ'!$B$6:$B$1005,$W903)=0),COUNTIFS('①在庫を貼る'!$V$6:$V$10005,$V903,'①在庫を貼る'!$W$6:$W$10005,$W903)&gt;0),N(U902),N(U902)+1))</f>
        <v/>
      </c>
      <c r="V903" s="19">
        <f>IF($B903="","",TEXT($B903,"0000"))</f>
        <v/>
      </c>
      <c r="W903" s="19">
        <f>IF($I903="","",IF(ISNUMBER($I903),TEXT($I903,"0"),$I903))</f>
        <v/>
      </c>
    </row>
    <row r="904">
      <c r="B904" s="25" t="n"/>
      <c r="I904" s="25" t="n"/>
      <c r="U904" s="19">
        <f>IF($V904&lt;&gt;'設定'!$C$4,N(U903),IF(OR(NOT(COUNTIF('商品マスタ'!$B$6:$B$1005,$W904)=0),COUNTIFS('①在庫を貼る'!$V$6:$V$10005,$V904,'①在庫を貼る'!$W$6:$W$10005,$W904)&gt;0),N(U903),N(U903)+1))</f>
        <v/>
      </c>
      <c r="V904" s="19">
        <f>IF($B904="","",TEXT($B904,"0000"))</f>
        <v/>
      </c>
      <c r="W904" s="19">
        <f>IF($I904="","",IF(ISNUMBER($I904),TEXT($I904,"0"),$I904))</f>
        <v/>
      </c>
    </row>
    <row r="905">
      <c r="B905" s="25" t="n"/>
      <c r="I905" s="25" t="n"/>
      <c r="U905" s="19">
        <f>IF($V905&lt;&gt;'設定'!$C$4,N(U904),IF(OR(NOT(COUNTIF('商品マスタ'!$B$6:$B$1005,$W905)=0),COUNTIFS('①在庫を貼る'!$V$6:$V$10005,$V905,'①在庫を貼る'!$W$6:$W$10005,$W905)&gt;0),N(U904),N(U904)+1))</f>
        <v/>
      </c>
      <c r="V905" s="19">
        <f>IF($B905="","",TEXT($B905,"0000"))</f>
        <v/>
      </c>
      <c r="W905" s="19">
        <f>IF($I905="","",IF(ISNUMBER($I905),TEXT($I905,"0"),$I905))</f>
        <v/>
      </c>
    </row>
    <row r="906">
      <c r="B906" s="25" t="n"/>
      <c r="I906" s="25" t="n"/>
      <c r="U906" s="19">
        <f>IF($V906&lt;&gt;'設定'!$C$4,N(U905),IF(OR(NOT(COUNTIF('商品マスタ'!$B$6:$B$1005,$W906)=0),COUNTIFS('①在庫を貼る'!$V$6:$V$10005,$V906,'①在庫を貼る'!$W$6:$W$10005,$W906)&gt;0),N(U905),N(U905)+1))</f>
        <v/>
      </c>
      <c r="V906" s="19">
        <f>IF($B906="","",TEXT($B906,"0000"))</f>
        <v/>
      </c>
      <c r="W906" s="19">
        <f>IF($I906="","",IF(ISNUMBER($I906),TEXT($I906,"0"),$I906))</f>
        <v/>
      </c>
    </row>
    <row r="907">
      <c r="B907" s="25" t="n"/>
      <c r="I907" s="25" t="n"/>
      <c r="U907" s="19">
        <f>IF($V907&lt;&gt;'設定'!$C$4,N(U906),IF(OR(NOT(COUNTIF('商品マスタ'!$B$6:$B$1005,$W907)=0),COUNTIFS('①在庫を貼る'!$V$6:$V$10005,$V907,'①在庫を貼る'!$W$6:$W$10005,$W907)&gt;0),N(U906),N(U906)+1))</f>
        <v/>
      </c>
      <c r="V907" s="19">
        <f>IF($B907="","",TEXT($B907,"0000"))</f>
        <v/>
      </c>
      <c r="W907" s="19">
        <f>IF($I907="","",IF(ISNUMBER($I907),TEXT($I907,"0"),$I907))</f>
        <v/>
      </c>
    </row>
    <row r="908">
      <c r="B908" s="25" t="n"/>
      <c r="I908" s="25" t="n"/>
      <c r="U908" s="19">
        <f>IF($V908&lt;&gt;'設定'!$C$4,N(U907),IF(OR(NOT(COUNTIF('商品マスタ'!$B$6:$B$1005,$W908)=0),COUNTIFS('①在庫を貼る'!$V$6:$V$10005,$V908,'①在庫を貼る'!$W$6:$W$10005,$W908)&gt;0),N(U907),N(U907)+1))</f>
        <v/>
      </c>
      <c r="V908" s="19">
        <f>IF($B908="","",TEXT($B908,"0000"))</f>
        <v/>
      </c>
      <c r="W908" s="19">
        <f>IF($I908="","",IF(ISNUMBER($I908),TEXT($I908,"0"),$I908))</f>
        <v/>
      </c>
    </row>
    <row r="909">
      <c r="B909" s="25" t="n"/>
      <c r="I909" s="25" t="n"/>
      <c r="U909" s="19">
        <f>IF($V909&lt;&gt;'設定'!$C$4,N(U908),IF(OR(NOT(COUNTIF('商品マスタ'!$B$6:$B$1005,$W909)=0),COUNTIFS('①在庫を貼る'!$V$6:$V$10005,$V909,'①在庫を貼る'!$W$6:$W$10005,$W909)&gt;0),N(U908),N(U908)+1))</f>
        <v/>
      </c>
      <c r="V909" s="19">
        <f>IF($B909="","",TEXT($B909,"0000"))</f>
        <v/>
      </c>
      <c r="W909" s="19">
        <f>IF($I909="","",IF(ISNUMBER($I909),TEXT($I909,"0"),$I909))</f>
        <v/>
      </c>
    </row>
    <row r="910">
      <c r="B910" s="25" t="n"/>
      <c r="I910" s="25" t="n"/>
      <c r="U910" s="19">
        <f>IF($V910&lt;&gt;'設定'!$C$4,N(U909),IF(OR(NOT(COUNTIF('商品マスタ'!$B$6:$B$1005,$W910)=0),COUNTIFS('①在庫を貼る'!$V$6:$V$10005,$V910,'①在庫を貼る'!$W$6:$W$10005,$W910)&gt;0),N(U909),N(U909)+1))</f>
        <v/>
      </c>
      <c r="V910" s="19">
        <f>IF($B910="","",TEXT($B910,"0000"))</f>
        <v/>
      </c>
      <c r="W910" s="19">
        <f>IF($I910="","",IF(ISNUMBER($I910),TEXT($I910,"0"),$I910))</f>
        <v/>
      </c>
    </row>
    <row r="911">
      <c r="B911" s="25" t="n"/>
      <c r="I911" s="25" t="n"/>
      <c r="U911" s="19">
        <f>IF($V911&lt;&gt;'設定'!$C$4,N(U910),IF(OR(NOT(COUNTIF('商品マスタ'!$B$6:$B$1005,$W911)=0),COUNTIFS('①在庫を貼る'!$V$6:$V$10005,$V911,'①在庫を貼る'!$W$6:$W$10005,$W911)&gt;0),N(U910),N(U910)+1))</f>
        <v/>
      </c>
      <c r="V911" s="19">
        <f>IF($B911="","",TEXT($B911,"0000"))</f>
        <v/>
      </c>
      <c r="W911" s="19">
        <f>IF($I911="","",IF(ISNUMBER($I911),TEXT($I911,"0"),$I911))</f>
        <v/>
      </c>
    </row>
    <row r="912">
      <c r="B912" s="25" t="n"/>
      <c r="I912" s="25" t="n"/>
      <c r="U912" s="19">
        <f>IF($V912&lt;&gt;'設定'!$C$4,N(U911),IF(OR(NOT(COUNTIF('商品マスタ'!$B$6:$B$1005,$W912)=0),COUNTIFS('①在庫を貼る'!$V$6:$V$10005,$V912,'①在庫を貼る'!$W$6:$W$10005,$W912)&gt;0),N(U911),N(U911)+1))</f>
        <v/>
      </c>
      <c r="V912" s="19">
        <f>IF($B912="","",TEXT($B912,"0000"))</f>
        <v/>
      </c>
      <c r="W912" s="19">
        <f>IF($I912="","",IF(ISNUMBER($I912),TEXT($I912,"0"),$I912))</f>
        <v/>
      </c>
    </row>
    <row r="913">
      <c r="B913" s="25" t="n"/>
      <c r="I913" s="25" t="n"/>
      <c r="U913" s="19">
        <f>IF($V913&lt;&gt;'設定'!$C$4,N(U912),IF(OR(NOT(COUNTIF('商品マスタ'!$B$6:$B$1005,$W913)=0),COUNTIFS('①在庫を貼る'!$V$6:$V$10005,$V913,'①在庫を貼る'!$W$6:$W$10005,$W913)&gt;0),N(U912),N(U912)+1))</f>
        <v/>
      </c>
      <c r="V913" s="19">
        <f>IF($B913="","",TEXT($B913,"0000"))</f>
        <v/>
      </c>
      <c r="W913" s="19">
        <f>IF($I913="","",IF(ISNUMBER($I913),TEXT($I913,"0"),$I913))</f>
        <v/>
      </c>
    </row>
    <row r="914">
      <c r="B914" s="25" t="n"/>
      <c r="I914" s="25" t="n"/>
      <c r="U914" s="19">
        <f>IF($V914&lt;&gt;'設定'!$C$4,N(U913),IF(OR(NOT(COUNTIF('商品マスタ'!$B$6:$B$1005,$W914)=0),COUNTIFS('①在庫を貼る'!$V$6:$V$10005,$V914,'①在庫を貼る'!$W$6:$W$10005,$W914)&gt;0),N(U913),N(U913)+1))</f>
        <v/>
      </c>
      <c r="V914" s="19">
        <f>IF($B914="","",TEXT($B914,"0000"))</f>
        <v/>
      </c>
      <c r="W914" s="19">
        <f>IF($I914="","",IF(ISNUMBER($I914),TEXT($I914,"0"),$I914))</f>
        <v/>
      </c>
    </row>
    <row r="915">
      <c r="B915" s="25" t="n"/>
      <c r="I915" s="25" t="n"/>
      <c r="U915" s="19">
        <f>IF($V915&lt;&gt;'設定'!$C$4,N(U914),IF(OR(NOT(COUNTIF('商品マスタ'!$B$6:$B$1005,$W915)=0),COUNTIFS('①在庫を貼る'!$V$6:$V$10005,$V915,'①在庫を貼る'!$W$6:$W$10005,$W915)&gt;0),N(U914),N(U914)+1))</f>
        <v/>
      </c>
      <c r="V915" s="19">
        <f>IF($B915="","",TEXT($B915,"0000"))</f>
        <v/>
      </c>
      <c r="W915" s="19">
        <f>IF($I915="","",IF(ISNUMBER($I915),TEXT($I915,"0"),$I915))</f>
        <v/>
      </c>
    </row>
    <row r="916">
      <c r="B916" s="25" t="n"/>
      <c r="I916" s="25" t="n"/>
      <c r="U916" s="19">
        <f>IF($V916&lt;&gt;'設定'!$C$4,N(U915),IF(OR(NOT(COUNTIF('商品マスタ'!$B$6:$B$1005,$W916)=0),COUNTIFS('①在庫を貼る'!$V$6:$V$10005,$V916,'①在庫を貼る'!$W$6:$W$10005,$W916)&gt;0),N(U915),N(U915)+1))</f>
        <v/>
      </c>
      <c r="V916" s="19">
        <f>IF($B916="","",TEXT($B916,"0000"))</f>
        <v/>
      </c>
      <c r="W916" s="19">
        <f>IF($I916="","",IF(ISNUMBER($I916),TEXT($I916,"0"),$I916))</f>
        <v/>
      </c>
    </row>
    <row r="917">
      <c r="B917" s="25" t="n"/>
      <c r="I917" s="25" t="n"/>
      <c r="U917" s="19">
        <f>IF($V917&lt;&gt;'設定'!$C$4,N(U916),IF(OR(NOT(COUNTIF('商品マスタ'!$B$6:$B$1005,$W917)=0),COUNTIFS('①在庫を貼る'!$V$6:$V$10005,$V917,'①在庫を貼る'!$W$6:$W$10005,$W917)&gt;0),N(U916),N(U916)+1))</f>
        <v/>
      </c>
      <c r="V917" s="19">
        <f>IF($B917="","",TEXT($B917,"0000"))</f>
        <v/>
      </c>
      <c r="W917" s="19">
        <f>IF($I917="","",IF(ISNUMBER($I917),TEXT($I917,"0"),$I917))</f>
        <v/>
      </c>
    </row>
    <row r="918">
      <c r="B918" s="25" t="n"/>
      <c r="I918" s="25" t="n"/>
      <c r="U918" s="19">
        <f>IF($V918&lt;&gt;'設定'!$C$4,N(U917),IF(OR(NOT(COUNTIF('商品マスタ'!$B$6:$B$1005,$W918)=0),COUNTIFS('①在庫を貼る'!$V$6:$V$10005,$V918,'①在庫を貼る'!$W$6:$W$10005,$W918)&gt;0),N(U917),N(U917)+1))</f>
        <v/>
      </c>
      <c r="V918" s="19">
        <f>IF($B918="","",TEXT($B918,"0000"))</f>
        <v/>
      </c>
      <c r="W918" s="19">
        <f>IF($I918="","",IF(ISNUMBER($I918),TEXT($I918,"0"),$I918))</f>
        <v/>
      </c>
    </row>
    <row r="919">
      <c r="B919" s="25" t="n"/>
      <c r="I919" s="25" t="n"/>
      <c r="U919" s="19">
        <f>IF($V919&lt;&gt;'設定'!$C$4,N(U918),IF(OR(NOT(COUNTIF('商品マスタ'!$B$6:$B$1005,$W919)=0),COUNTIFS('①在庫を貼る'!$V$6:$V$10005,$V919,'①在庫を貼る'!$W$6:$W$10005,$W919)&gt;0),N(U918),N(U918)+1))</f>
        <v/>
      </c>
      <c r="V919" s="19">
        <f>IF($B919="","",TEXT($B919,"0000"))</f>
        <v/>
      </c>
      <c r="W919" s="19">
        <f>IF($I919="","",IF(ISNUMBER($I919),TEXT($I919,"0"),$I919))</f>
        <v/>
      </c>
    </row>
    <row r="920">
      <c r="B920" s="25" t="n"/>
      <c r="I920" s="25" t="n"/>
      <c r="U920" s="19">
        <f>IF($V920&lt;&gt;'設定'!$C$4,N(U919),IF(OR(NOT(COUNTIF('商品マスタ'!$B$6:$B$1005,$W920)=0),COUNTIFS('①在庫を貼る'!$V$6:$V$10005,$V920,'①在庫を貼る'!$W$6:$W$10005,$W920)&gt;0),N(U919),N(U919)+1))</f>
        <v/>
      </c>
      <c r="V920" s="19">
        <f>IF($B920="","",TEXT($B920,"0000"))</f>
        <v/>
      </c>
      <c r="W920" s="19">
        <f>IF($I920="","",IF(ISNUMBER($I920),TEXT($I920,"0"),$I920))</f>
        <v/>
      </c>
    </row>
    <row r="921">
      <c r="B921" s="25" t="n"/>
      <c r="I921" s="25" t="n"/>
      <c r="U921" s="19">
        <f>IF($V921&lt;&gt;'設定'!$C$4,N(U920),IF(OR(NOT(COUNTIF('商品マスタ'!$B$6:$B$1005,$W921)=0),COUNTIFS('①在庫を貼る'!$V$6:$V$10005,$V921,'①在庫を貼る'!$W$6:$W$10005,$W921)&gt;0),N(U920),N(U920)+1))</f>
        <v/>
      </c>
      <c r="V921" s="19">
        <f>IF($B921="","",TEXT($B921,"0000"))</f>
        <v/>
      </c>
      <c r="W921" s="19">
        <f>IF($I921="","",IF(ISNUMBER($I921),TEXT($I921,"0"),$I921))</f>
        <v/>
      </c>
    </row>
    <row r="922">
      <c r="B922" s="25" t="n"/>
      <c r="I922" s="25" t="n"/>
      <c r="U922" s="19">
        <f>IF($V922&lt;&gt;'設定'!$C$4,N(U921),IF(OR(NOT(COUNTIF('商品マスタ'!$B$6:$B$1005,$W922)=0),COUNTIFS('①在庫を貼る'!$V$6:$V$10005,$V922,'①在庫を貼る'!$W$6:$W$10005,$W922)&gt;0),N(U921),N(U921)+1))</f>
        <v/>
      </c>
      <c r="V922" s="19">
        <f>IF($B922="","",TEXT($B922,"0000"))</f>
        <v/>
      </c>
      <c r="W922" s="19">
        <f>IF($I922="","",IF(ISNUMBER($I922),TEXT($I922,"0"),$I922))</f>
        <v/>
      </c>
    </row>
    <row r="923">
      <c r="B923" s="25" t="n"/>
      <c r="I923" s="25" t="n"/>
      <c r="U923" s="19">
        <f>IF($V923&lt;&gt;'設定'!$C$4,N(U922),IF(OR(NOT(COUNTIF('商品マスタ'!$B$6:$B$1005,$W923)=0),COUNTIFS('①在庫を貼る'!$V$6:$V$10005,$V923,'①在庫を貼る'!$W$6:$W$10005,$W923)&gt;0),N(U922),N(U922)+1))</f>
        <v/>
      </c>
      <c r="V923" s="19">
        <f>IF($B923="","",TEXT($B923,"0000"))</f>
        <v/>
      </c>
      <c r="W923" s="19">
        <f>IF($I923="","",IF(ISNUMBER($I923),TEXT($I923,"0"),$I923))</f>
        <v/>
      </c>
    </row>
    <row r="924">
      <c r="B924" s="25" t="n"/>
      <c r="I924" s="25" t="n"/>
      <c r="U924" s="19">
        <f>IF($V924&lt;&gt;'設定'!$C$4,N(U923),IF(OR(NOT(COUNTIF('商品マスタ'!$B$6:$B$1005,$W924)=0),COUNTIFS('①在庫を貼る'!$V$6:$V$10005,$V924,'①在庫を貼る'!$W$6:$W$10005,$W924)&gt;0),N(U923),N(U923)+1))</f>
        <v/>
      </c>
      <c r="V924" s="19">
        <f>IF($B924="","",TEXT($B924,"0000"))</f>
        <v/>
      </c>
      <c r="W924" s="19">
        <f>IF($I924="","",IF(ISNUMBER($I924),TEXT($I924,"0"),$I924))</f>
        <v/>
      </c>
    </row>
    <row r="925">
      <c r="B925" s="25" t="n"/>
      <c r="I925" s="25" t="n"/>
      <c r="U925" s="19">
        <f>IF($V925&lt;&gt;'設定'!$C$4,N(U924),IF(OR(NOT(COUNTIF('商品マスタ'!$B$6:$B$1005,$W925)=0),COUNTIFS('①在庫を貼る'!$V$6:$V$10005,$V925,'①在庫を貼る'!$W$6:$W$10005,$W925)&gt;0),N(U924),N(U924)+1))</f>
        <v/>
      </c>
      <c r="V925" s="19">
        <f>IF($B925="","",TEXT($B925,"0000"))</f>
        <v/>
      </c>
      <c r="W925" s="19">
        <f>IF($I925="","",IF(ISNUMBER($I925),TEXT($I925,"0"),$I925))</f>
        <v/>
      </c>
    </row>
    <row r="926">
      <c r="B926" s="25" t="n"/>
      <c r="I926" s="25" t="n"/>
      <c r="U926" s="19">
        <f>IF($V926&lt;&gt;'設定'!$C$4,N(U925),IF(OR(NOT(COUNTIF('商品マスタ'!$B$6:$B$1005,$W926)=0),COUNTIFS('①在庫を貼る'!$V$6:$V$10005,$V926,'①在庫を貼る'!$W$6:$W$10005,$W926)&gt;0),N(U925),N(U925)+1))</f>
        <v/>
      </c>
      <c r="V926" s="19">
        <f>IF($B926="","",TEXT($B926,"0000"))</f>
        <v/>
      </c>
      <c r="W926" s="19">
        <f>IF($I926="","",IF(ISNUMBER($I926),TEXT($I926,"0"),$I926))</f>
        <v/>
      </c>
    </row>
    <row r="927">
      <c r="B927" s="25" t="n"/>
      <c r="I927" s="25" t="n"/>
      <c r="U927" s="19">
        <f>IF($V927&lt;&gt;'設定'!$C$4,N(U926),IF(OR(NOT(COUNTIF('商品マスタ'!$B$6:$B$1005,$W927)=0),COUNTIFS('①在庫を貼る'!$V$6:$V$10005,$V927,'①在庫を貼る'!$W$6:$W$10005,$W927)&gt;0),N(U926),N(U926)+1))</f>
        <v/>
      </c>
      <c r="V927" s="19">
        <f>IF($B927="","",TEXT($B927,"0000"))</f>
        <v/>
      </c>
      <c r="W927" s="19">
        <f>IF($I927="","",IF(ISNUMBER($I927),TEXT($I927,"0"),$I927))</f>
        <v/>
      </c>
    </row>
    <row r="928">
      <c r="B928" s="25" t="n"/>
      <c r="I928" s="25" t="n"/>
      <c r="U928" s="19">
        <f>IF($V928&lt;&gt;'設定'!$C$4,N(U927),IF(OR(NOT(COUNTIF('商品マスタ'!$B$6:$B$1005,$W928)=0),COUNTIFS('①在庫を貼る'!$V$6:$V$10005,$V928,'①在庫を貼る'!$W$6:$W$10005,$W928)&gt;0),N(U927),N(U927)+1))</f>
        <v/>
      </c>
      <c r="V928" s="19">
        <f>IF($B928="","",TEXT($B928,"0000"))</f>
        <v/>
      </c>
      <c r="W928" s="19">
        <f>IF($I928="","",IF(ISNUMBER($I928),TEXT($I928,"0"),$I928))</f>
        <v/>
      </c>
    </row>
    <row r="929">
      <c r="B929" s="25" t="n"/>
      <c r="I929" s="25" t="n"/>
      <c r="U929" s="19">
        <f>IF($V929&lt;&gt;'設定'!$C$4,N(U928),IF(OR(NOT(COUNTIF('商品マスタ'!$B$6:$B$1005,$W929)=0),COUNTIFS('①在庫を貼る'!$V$6:$V$10005,$V929,'①在庫を貼る'!$W$6:$W$10005,$W929)&gt;0),N(U928),N(U928)+1))</f>
        <v/>
      </c>
      <c r="V929" s="19">
        <f>IF($B929="","",TEXT($B929,"0000"))</f>
        <v/>
      </c>
      <c r="W929" s="19">
        <f>IF($I929="","",IF(ISNUMBER($I929),TEXT($I929,"0"),$I929))</f>
        <v/>
      </c>
    </row>
    <row r="930">
      <c r="B930" s="25" t="n"/>
      <c r="I930" s="25" t="n"/>
      <c r="U930" s="19">
        <f>IF($V930&lt;&gt;'設定'!$C$4,N(U929),IF(OR(NOT(COUNTIF('商品マスタ'!$B$6:$B$1005,$W930)=0),COUNTIFS('①在庫を貼る'!$V$6:$V$10005,$V930,'①在庫を貼る'!$W$6:$W$10005,$W930)&gt;0),N(U929),N(U929)+1))</f>
        <v/>
      </c>
      <c r="V930" s="19">
        <f>IF($B930="","",TEXT($B930,"0000"))</f>
        <v/>
      </c>
      <c r="W930" s="19">
        <f>IF($I930="","",IF(ISNUMBER($I930),TEXT($I930,"0"),$I930))</f>
        <v/>
      </c>
    </row>
    <row r="931">
      <c r="B931" s="25" t="n"/>
      <c r="I931" s="25" t="n"/>
      <c r="U931" s="19">
        <f>IF($V931&lt;&gt;'設定'!$C$4,N(U930),IF(OR(NOT(COUNTIF('商品マスタ'!$B$6:$B$1005,$W931)=0),COUNTIFS('①在庫を貼る'!$V$6:$V$10005,$V931,'①在庫を貼る'!$W$6:$W$10005,$W931)&gt;0),N(U930),N(U930)+1))</f>
        <v/>
      </c>
      <c r="V931" s="19">
        <f>IF($B931="","",TEXT($B931,"0000"))</f>
        <v/>
      </c>
      <c r="W931" s="19">
        <f>IF($I931="","",IF(ISNUMBER($I931),TEXT($I931,"0"),$I931))</f>
        <v/>
      </c>
    </row>
    <row r="932">
      <c r="B932" s="25" t="n"/>
      <c r="I932" s="25" t="n"/>
      <c r="U932" s="19">
        <f>IF($V932&lt;&gt;'設定'!$C$4,N(U931),IF(OR(NOT(COUNTIF('商品マスタ'!$B$6:$B$1005,$W932)=0),COUNTIFS('①在庫を貼る'!$V$6:$V$10005,$V932,'①在庫を貼る'!$W$6:$W$10005,$W932)&gt;0),N(U931),N(U931)+1))</f>
        <v/>
      </c>
      <c r="V932" s="19">
        <f>IF($B932="","",TEXT($B932,"0000"))</f>
        <v/>
      </c>
      <c r="W932" s="19">
        <f>IF($I932="","",IF(ISNUMBER($I932),TEXT($I932,"0"),$I932))</f>
        <v/>
      </c>
    </row>
    <row r="933">
      <c r="B933" s="25" t="n"/>
      <c r="I933" s="25" t="n"/>
      <c r="U933" s="19">
        <f>IF($V933&lt;&gt;'設定'!$C$4,N(U932),IF(OR(NOT(COUNTIF('商品マスタ'!$B$6:$B$1005,$W933)=0),COUNTIFS('①在庫を貼る'!$V$6:$V$10005,$V933,'①在庫を貼る'!$W$6:$W$10005,$W933)&gt;0),N(U932),N(U932)+1))</f>
        <v/>
      </c>
      <c r="V933" s="19">
        <f>IF($B933="","",TEXT($B933,"0000"))</f>
        <v/>
      </c>
      <c r="W933" s="19">
        <f>IF($I933="","",IF(ISNUMBER($I933),TEXT($I933,"0"),$I933))</f>
        <v/>
      </c>
    </row>
    <row r="934">
      <c r="B934" s="25" t="n"/>
      <c r="I934" s="25" t="n"/>
      <c r="U934" s="19">
        <f>IF($V934&lt;&gt;'設定'!$C$4,N(U933),IF(OR(NOT(COUNTIF('商品マスタ'!$B$6:$B$1005,$W934)=0),COUNTIFS('①在庫を貼る'!$V$6:$V$10005,$V934,'①在庫を貼る'!$W$6:$W$10005,$W934)&gt;0),N(U933),N(U933)+1))</f>
        <v/>
      </c>
      <c r="V934" s="19">
        <f>IF($B934="","",TEXT($B934,"0000"))</f>
        <v/>
      </c>
      <c r="W934" s="19">
        <f>IF($I934="","",IF(ISNUMBER($I934),TEXT($I934,"0"),$I934))</f>
        <v/>
      </c>
    </row>
    <row r="935">
      <c r="B935" s="25" t="n"/>
      <c r="I935" s="25" t="n"/>
      <c r="U935" s="19">
        <f>IF($V935&lt;&gt;'設定'!$C$4,N(U934),IF(OR(NOT(COUNTIF('商品マスタ'!$B$6:$B$1005,$W935)=0),COUNTIFS('①在庫を貼る'!$V$6:$V$10005,$V935,'①在庫を貼る'!$W$6:$W$10005,$W935)&gt;0),N(U934),N(U934)+1))</f>
        <v/>
      </c>
      <c r="V935" s="19">
        <f>IF($B935="","",TEXT($B935,"0000"))</f>
        <v/>
      </c>
      <c r="W935" s="19">
        <f>IF($I935="","",IF(ISNUMBER($I935),TEXT($I935,"0"),$I935))</f>
        <v/>
      </c>
    </row>
    <row r="936">
      <c r="B936" s="25" t="n"/>
      <c r="I936" s="25" t="n"/>
      <c r="U936" s="19">
        <f>IF($V936&lt;&gt;'設定'!$C$4,N(U935),IF(OR(NOT(COUNTIF('商品マスタ'!$B$6:$B$1005,$W936)=0),COUNTIFS('①在庫を貼る'!$V$6:$V$10005,$V936,'①在庫を貼る'!$W$6:$W$10005,$W936)&gt;0),N(U935),N(U935)+1))</f>
        <v/>
      </c>
      <c r="V936" s="19">
        <f>IF($B936="","",TEXT($B936,"0000"))</f>
        <v/>
      </c>
      <c r="W936" s="19">
        <f>IF($I936="","",IF(ISNUMBER($I936),TEXT($I936,"0"),$I936))</f>
        <v/>
      </c>
    </row>
    <row r="937">
      <c r="B937" s="25" t="n"/>
      <c r="I937" s="25" t="n"/>
      <c r="U937" s="19">
        <f>IF($V937&lt;&gt;'設定'!$C$4,N(U936),IF(OR(NOT(COUNTIF('商品マスタ'!$B$6:$B$1005,$W937)=0),COUNTIFS('①在庫を貼る'!$V$6:$V$10005,$V937,'①在庫を貼る'!$W$6:$W$10005,$W937)&gt;0),N(U936),N(U936)+1))</f>
        <v/>
      </c>
      <c r="V937" s="19">
        <f>IF($B937="","",TEXT($B937,"0000"))</f>
        <v/>
      </c>
      <c r="W937" s="19">
        <f>IF($I937="","",IF(ISNUMBER($I937),TEXT($I937,"0"),$I937))</f>
        <v/>
      </c>
    </row>
    <row r="938">
      <c r="B938" s="25" t="n"/>
      <c r="I938" s="25" t="n"/>
      <c r="U938" s="19">
        <f>IF($V938&lt;&gt;'設定'!$C$4,N(U937),IF(OR(NOT(COUNTIF('商品マスタ'!$B$6:$B$1005,$W938)=0),COUNTIFS('①在庫を貼る'!$V$6:$V$10005,$V938,'①在庫を貼る'!$W$6:$W$10005,$W938)&gt;0),N(U937),N(U937)+1))</f>
        <v/>
      </c>
      <c r="V938" s="19">
        <f>IF($B938="","",TEXT($B938,"0000"))</f>
        <v/>
      </c>
      <c r="W938" s="19">
        <f>IF($I938="","",IF(ISNUMBER($I938),TEXT($I938,"0"),$I938))</f>
        <v/>
      </c>
    </row>
    <row r="939">
      <c r="B939" s="25" t="n"/>
      <c r="I939" s="25" t="n"/>
      <c r="U939" s="19">
        <f>IF($V939&lt;&gt;'設定'!$C$4,N(U938),IF(OR(NOT(COUNTIF('商品マスタ'!$B$6:$B$1005,$W939)=0),COUNTIFS('①在庫を貼る'!$V$6:$V$10005,$V939,'①在庫を貼る'!$W$6:$W$10005,$W939)&gt;0),N(U938),N(U938)+1))</f>
        <v/>
      </c>
      <c r="V939" s="19">
        <f>IF($B939="","",TEXT($B939,"0000"))</f>
        <v/>
      </c>
      <c r="W939" s="19">
        <f>IF($I939="","",IF(ISNUMBER($I939),TEXT($I939,"0"),$I939))</f>
        <v/>
      </c>
    </row>
    <row r="940">
      <c r="B940" s="25" t="n"/>
      <c r="I940" s="25" t="n"/>
      <c r="U940" s="19">
        <f>IF($V940&lt;&gt;'設定'!$C$4,N(U939),IF(OR(NOT(COUNTIF('商品マスタ'!$B$6:$B$1005,$W940)=0),COUNTIFS('①在庫を貼る'!$V$6:$V$10005,$V940,'①在庫を貼る'!$W$6:$W$10005,$W940)&gt;0),N(U939),N(U939)+1))</f>
        <v/>
      </c>
      <c r="V940" s="19">
        <f>IF($B940="","",TEXT($B940,"0000"))</f>
        <v/>
      </c>
      <c r="W940" s="19">
        <f>IF($I940="","",IF(ISNUMBER($I940),TEXT($I940,"0"),$I940))</f>
        <v/>
      </c>
    </row>
    <row r="941">
      <c r="B941" s="25" t="n"/>
      <c r="I941" s="25" t="n"/>
      <c r="U941" s="19">
        <f>IF($V941&lt;&gt;'設定'!$C$4,N(U940),IF(OR(NOT(COUNTIF('商品マスタ'!$B$6:$B$1005,$W941)=0),COUNTIFS('①在庫を貼る'!$V$6:$V$10005,$V941,'①在庫を貼る'!$W$6:$W$10005,$W941)&gt;0),N(U940),N(U940)+1))</f>
        <v/>
      </c>
      <c r="V941" s="19">
        <f>IF($B941="","",TEXT($B941,"0000"))</f>
        <v/>
      </c>
      <c r="W941" s="19">
        <f>IF($I941="","",IF(ISNUMBER($I941),TEXT($I941,"0"),$I941))</f>
        <v/>
      </c>
    </row>
    <row r="942">
      <c r="B942" s="25" t="n"/>
      <c r="I942" s="25" t="n"/>
      <c r="U942" s="19">
        <f>IF($V942&lt;&gt;'設定'!$C$4,N(U941),IF(OR(NOT(COUNTIF('商品マスタ'!$B$6:$B$1005,$W942)=0),COUNTIFS('①在庫を貼る'!$V$6:$V$10005,$V942,'①在庫を貼る'!$W$6:$W$10005,$W942)&gt;0),N(U941),N(U941)+1))</f>
        <v/>
      </c>
      <c r="V942" s="19">
        <f>IF($B942="","",TEXT($B942,"0000"))</f>
        <v/>
      </c>
      <c r="W942" s="19">
        <f>IF($I942="","",IF(ISNUMBER($I942),TEXT($I942,"0"),$I942))</f>
        <v/>
      </c>
    </row>
    <row r="943">
      <c r="B943" s="25" t="n"/>
      <c r="I943" s="25" t="n"/>
      <c r="U943" s="19">
        <f>IF($V943&lt;&gt;'設定'!$C$4,N(U942),IF(OR(NOT(COUNTIF('商品マスタ'!$B$6:$B$1005,$W943)=0),COUNTIFS('①在庫を貼る'!$V$6:$V$10005,$V943,'①在庫を貼る'!$W$6:$W$10005,$W943)&gt;0),N(U942),N(U942)+1))</f>
        <v/>
      </c>
      <c r="V943" s="19">
        <f>IF($B943="","",TEXT($B943,"0000"))</f>
        <v/>
      </c>
      <c r="W943" s="19">
        <f>IF($I943="","",IF(ISNUMBER($I943),TEXT($I943,"0"),$I943))</f>
        <v/>
      </c>
    </row>
    <row r="944">
      <c r="B944" s="25" t="n"/>
      <c r="I944" s="25" t="n"/>
      <c r="U944" s="19">
        <f>IF($V944&lt;&gt;'設定'!$C$4,N(U943),IF(OR(NOT(COUNTIF('商品マスタ'!$B$6:$B$1005,$W944)=0),COUNTIFS('①在庫を貼る'!$V$6:$V$10005,$V944,'①在庫を貼る'!$W$6:$W$10005,$W944)&gt;0),N(U943),N(U943)+1))</f>
        <v/>
      </c>
      <c r="V944" s="19">
        <f>IF($B944="","",TEXT($B944,"0000"))</f>
        <v/>
      </c>
      <c r="W944" s="19">
        <f>IF($I944="","",IF(ISNUMBER($I944),TEXT($I944,"0"),$I944))</f>
        <v/>
      </c>
    </row>
    <row r="945">
      <c r="B945" s="25" t="n"/>
      <c r="I945" s="25" t="n"/>
      <c r="U945" s="19">
        <f>IF($V945&lt;&gt;'設定'!$C$4,N(U944),IF(OR(NOT(COUNTIF('商品マスタ'!$B$6:$B$1005,$W945)=0),COUNTIFS('①在庫を貼る'!$V$6:$V$10005,$V945,'①在庫を貼る'!$W$6:$W$10005,$W945)&gt;0),N(U944),N(U944)+1))</f>
        <v/>
      </c>
      <c r="V945" s="19">
        <f>IF($B945="","",TEXT($B945,"0000"))</f>
        <v/>
      </c>
      <c r="W945" s="19">
        <f>IF($I945="","",IF(ISNUMBER($I945),TEXT($I945,"0"),$I945))</f>
        <v/>
      </c>
    </row>
    <row r="946">
      <c r="B946" s="25" t="n"/>
      <c r="I946" s="25" t="n"/>
      <c r="U946" s="19">
        <f>IF($V946&lt;&gt;'設定'!$C$4,N(U945),IF(OR(NOT(COUNTIF('商品マスタ'!$B$6:$B$1005,$W946)=0),COUNTIFS('①在庫を貼る'!$V$6:$V$10005,$V946,'①在庫を貼る'!$W$6:$W$10005,$W946)&gt;0),N(U945),N(U945)+1))</f>
        <v/>
      </c>
      <c r="V946" s="19">
        <f>IF($B946="","",TEXT($B946,"0000"))</f>
        <v/>
      </c>
      <c r="W946" s="19">
        <f>IF($I946="","",IF(ISNUMBER($I946),TEXT($I946,"0"),$I946))</f>
        <v/>
      </c>
    </row>
    <row r="947">
      <c r="B947" s="25" t="n"/>
      <c r="I947" s="25" t="n"/>
      <c r="U947" s="19">
        <f>IF($V947&lt;&gt;'設定'!$C$4,N(U946),IF(OR(NOT(COUNTIF('商品マスタ'!$B$6:$B$1005,$W947)=0),COUNTIFS('①在庫を貼る'!$V$6:$V$10005,$V947,'①在庫を貼る'!$W$6:$W$10005,$W947)&gt;0),N(U946),N(U946)+1))</f>
        <v/>
      </c>
      <c r="V947" s="19">
        <f>IF($B947="","",TEXT($B947,"0000"))</f>
        <v/>
      </c>
      <c r="W947" s="19">
        <f>IF($I947="","",IF(ISNUMBER($I947),TEXT($I947,"0"),$I947))</f>
        <v/>
      </c>
    </row>
    <row r="948">
      <c r="B948" s="25" t="n"/>
      <c r="I948" s="25" t="n"/>
      <c r="U948" s="19">
        <f>IF($V948&lt;&gt;'設定'!$C$4,N(U947),IF(OR(NOT(COUNTIF('商品マスタ'!$B$6:$B$1005,$W948)=0),COUNTIFS('①在庫を貼る'!$V$6:$V$10005,$V948,'①在庫を貼る'!$W$6:$W$10005,$W948)&gt;0),N(U947),N(U947)+1))</f>
        <v/>
      </c>
      <c r="V948" s="19">
        <f>IF($B948="","",TEXT($B948,"0000"))</f>
        <v/>
      </c>
      <c r="W948" s="19">
        <f>IF($I948="","",IF(ISNUMBER($I948),TEXT($I948,"0"),$I948))</f>
        <v/>
      </c>
    </row>
    <row r="949">
      <c r="B949" s="25" t="n"/>
      <c r="I949" s="25" t="n"/>
      <c r="U949" s="19">
        <f>IF($V949&lt;&gt;'設定'!$C$4,N(U948),IF(OR(NOT(COUNTIF('商品マスタ'!$B$6:$B$1005,$W949)=0),COUNTIFS('①在庫を貼る'!$V$6:$V$10005,$V949,'①在庫を貼る'!$W$6:$W$10005,$W949)&gt;0),N(U948),N(U948)+1))</f>
        <v/>
      </c>
      <c r="V949" s="19">
        <f>IF($B949="","",TEXT($B949,"0000"))</f>
        <v/>
      </c>
      <c r="W949" s="19">
        <f>IF($I949="","",IF(ISNUMBER($I949),TEXT($I949,"0"),$I949))</f>
        <v/>
      </c>
    </row>
    <row r="950">
      <c r="B950" s="25" t="n"/>
      <c r="I950" s="25" t="n"/>
      <c r="U950" s="19">
        <f>IF($V950&lt;&gt;'設定'!$C$4,N(U949),IF(OR(NOT(COUNTIF('商品マスタ'!$B$6:$B$1005,$W950)=0),COUNTIFS('①在庫を貼る'!$V$6:$V$10005,$V950,'①在庫を貼る'!$W$6:$W$10005,$W950)&gt;0),N(U949),N(U949)+1))</f>
        <v/>
      </c>
      <c r="V950" s="19">
        <f>IF($B950="","",TEXT($B950,"0000"))</f>
        <v/>
      </c>
      <c r="W950" s="19">
        <f>IF($I950="","",IF(ISNUMBER($I950),TEXT($I950,"0"),$I950))</f>
        <v/>
      </c>
    </row>
    <row r="951">
      <c r="B951" s="25" t="n"/>
      <c r="I951" s="25" t="n"/>
      <c r="U951" s="19">
        <f>IF($V951&lt;&gt;'設定'!$C$4,N(U950),IF(OR(NOT(COUNTIF('商品マスタ'!$B$6:$B$1005,$W951)=0),COUNTIFS('①在庫を貼る'!$V$6:$V$10005,$V951,'①在庫を貼る'!$W$6:$W$10005,$W951)&gt;0),N(U950),N(U950)+1))</f>
        <v/>
      </c>
      <c r="V951" s="19">
        <f>IF($B951="","",TEXT($B951,"0000"))</f>
        <v/>
      </c>
      <c r="W951" s="19">
        <f>IF($I951="","",IF(ISNUMBER($I951),TEXT($I951,"0"),$I951))</f>
        <v/>
      </c>
    </row>
    <row r="952">
      <c r="B952" s="25" t="n"/>
      <c r="I952" s="25" t="n"/>
      <c r="U952" s="19">
        <f>IF($V952&lt;&gt;'設定'!$C$4,N(U951),IF(OR(NOT(COUNTIF('商品マスタ'!$B$6:$B$1005,$W952)=0),COUNTIFS('①在庫を貼る'!$V$6:$V$10005,$V952,'①在庫を貼る'!$W$6:$W$10005,$W952)&gt;0),N(U951),N(U951)+1))</f>
        <v/>
      </c>
      <c r="V952" s="19">
        <f>IF($B952="","",TEXT($B952,"0000"))</f>
        <v/>
      </c>
      <c r="W952" s="19">
        <f>IF($I952="","",IF(ISNUMBER($I952),TEXT($I952,"0"),$I952))</f>
        <v/>
      </c>
    </row>
    <row r="953">
      <c r="B953" s="25" t="n"/>
      <c r="I953" s="25" t="n"/>
      <c r="U953" s="19">
        <f>IF($V953&lt;&gt;'設定'!$C$4,N(U952),IF(OR(NOT(COUNTIF('商品マスタ'!$B$6:$B$1005,$W953)=0),COUNTIFS('①在庫を貼る'!$V$6:$V$10005,$V953,'①在庫を貼る'!$W$6:$W$10005,$W953)&gt;0),N(U952),N(U952)+1))</f>
        <v/>
      </c>
      <c r="V953" s="19">
        <f>IF($B953="","",TEXT($B953,"0000"))</f>
        <v/>
      </c>
      <c r="W953" s="19">
        <f>IF($I953="","",IF(ISNUMBER($I953),TEXT($I953,"0"),$I953))</f>
        <v/>
      </c>
    </row>
    <row r="954">
      <c r="B954" s="25" t="n"/>
      <c r="I954" s="25" t="n"/>
      <c r="U954" s="19">
        <f>IF($V954&lt;&gt;'設定'!$C$4,N(U953),IF(OR(NOT(COUNTIF('商品マスタ'!$B$6:$B$1005,$W954)=0),COUNTIFS('①在庫を貼る'!$V$6:$V$10005,$V954,'①在庫を貼る'!$W$6:$W$10005,$W954)&gt;0),N(U953),N(U953)+1))</f>
        <v/>
      </c>
      <c r="V954" s="19">
        <f>IF($B954="","",TEXT($B954,"0000"))</f>
        <v/>
      </c>
      <c r="W954" s="19">
        <f>IF($I954="","",IF(ISNUMBER($I954),TEXT($I954,"0"),$I954))</f>
        <v/>
      </c>
    </row>
    <row r="955">
      <c r="B955" s="25" t="n"/>
      <c r="I955" s="25" t="n"/>
      <c r="U955" s="19">
        <f>IF($V955&lt;&gt;'設定'!$C$4,N(U954),IF(OR(NOT(COUNTIF('商品マスタ'!$B$6:$B$1005,$W955)=0),COUNTIFS('①在庫を貼る'!$V$6:$V$10005,$V955,'①在庫を貼る'!$W$6:$W$10005,$W955)&gt;0),N(U954),N(U954)+1))</f>
        <v/>
      </c>
      <c r="V955" s="19">
        <f>IF($B955="","",TEXT($B955,"0000"))</f>
        <v/>
      </c>
      <c r="W955" s="19">
        <f>IF($I955="","",IF(ISNUMBER($I955),TEXT($I955,"0"),$I955))</f>
        <v/>
      </c>
    </row>
    <row r="956">
      <c r="B956" s="25" t="n"/>
      <c r="I956" s="25" t="n"/>
      <c r="U956" s="19">
        <f>IF($V956&lt;&gt;'設定'!$C$4,N(U955),IF(OR(NOT(COUNTIF('商品マスタ'!$B$6:$B$1005,$W956)=0),COUNTIFS('①在庫を貼る'!$V$6:$V$10005,$V956,'①在庫を貼る'!$W$6:$W$10005,$W956)&gt;0),N(U955),N(U955)+1))</f>
        <v/>
      </c>
      <c r="V956" s="19">
        <f>IF($B956="","",TEXT($B956,"0000"))</f>
        <v/>
      </c>
      <c r="W956" s="19">
        <f>IF($I956="","",IF(ISNUMBER($I956),TEXT($I956,"0"),$I956))</f>
        <v/>
      </c>
    </row>
    <row r="957">
      <c r="B957" s="25" t="n"/>
      <c r="I957" s="25" t="n"/>
      <c r="U957" s="19">
        <f>IF($V957&lt;&gt;'設定'!$C$4,N(U956),IF(OR(NOT(COUNTIF('商品マスタ'!$B$6:$B$1005,$W957)=0),COUNTIFS('①在庫を貼る'!$V$6:$V$10005,$V957,'①在庫を貼る'!$W$6:$W$10005,$W957)&gt;0),N(U956),N(U956)+1))</f>
        <v/>
      </c>
      <c r="V957" s="19">
        <f>IF($B957="","",TEXT($B957,"0000"))</f>
        <v/>
      </c>
      <c r="W957" s="19">
        <f>IF($I957="","",IF(ISNUMBER($I957),TEXT($I957,"0"),$I957))</f>
        <v/>
      </c>
    </row>
    <row r="958">
      <c r="B958" s="25" t="n"/>
      <c r="I958" s="25" t="n"/>
      <c r="U958" s="19">
        <f>IF($V958&lt;&gt;'設定'!$C$4,N(U957),IF(OR(NOT(COUNTIF('商品マスタ'!$B$6:$B$1005,$W958)=0),COUNTIFS('①在庫を貼る'!$V$6:$V$10005,$V958,'①在庫を貼る'!$W$6:$W$10005,$W958)&gt;0),N(U957),N(U957)+1))</f>
        <v/>
      </c>
      <c r="V958" s="19">
        <f>IF($B958="","",TEXT($B958,"0000"))</f>
        <v/>
      </c>
      <c r="W958" s="19">
        <f>IF($I958="","",IF(ISNUMBER($I958),TEXT($I958,"0"),$I958))</f>
        <v/>
      </c>
    </row>
    <row r="959">
      <c r="B959" s="25" t="n"/>
      <c r="I959" s="25" t="n"/>
      <c r="U959" s="19">
        <f>IF($V959&lt;&gt;'設定'!$C$4,N(U958),IF(OR(NOT(COUNTIF('商品マスタ'!$B$6:$B$1005,$W959)=0),COUNTIFS('①在庫を貼る'!$V$6:$V$10005,$V959,'①在庫を貼る'!$W$6:$W$10005,$W959)&gt;0),N(U958),N(U958)+1))</f>
        <v/>
      </c>
      <c r="V959" s="19">
        <f>IF($B959="","",TEXT($B959,"0000"))</f>
        <v/>
      </c>
      <c r="W959" s="19">
        <f>IF($I959="","",IF(ISNUMBER($I959),TEXT($I959,"0"),$I959))</f>
        <v/>
      </c>
    </row>
    <row r="960">
      <c r="B960" s="25" t="n"/>
      <c r="I960" s="25" t="n"/>
      <c r="U960" s="19">
        <f>IF($V960&lt;&gt;'設定'!$C$4,N(U959),IF(OR(NOT(COUNTIF('商品マスタ'!$B$6:$B$1005,$W960)=0),COUNTIFS('①在庫を貼る'!$V$6:$V$10005,$V960,'①在庫を貼る'!$W$6:$W$10005,$W960)&gt;0),N(U959),N(U959)+1))</f>
        <v/>
      </c>
      <c r="V960" s="19">
        <f>IF($B960="","",TEXT($B960,"0000"))</f>
        <v/>
      </c>
      <c r="W960" s="19">
        <f>IF($I960="","",IF(ISNUMBER($I960),TEXT($I960,"0"),$I960))</f>
        <v/>
      </c>
    </row>
    <row r="961">
      <c r="B961" s="25" t="n"/>
      <c r="I961" s="25" t="n"/>
      <c r="U961" s="19">
        <f>IF($V961&lt;&gt;'設定'!$C$4,N(U960),IF(OR(NOT(COUNTIF('商品マスタ'!$B$6:$B$1005,$W961)=0),COUNTIFS('①在庫を貼る'!$V$6:$V$10005,$V961,'①在庫を貼る'!$W$6:$W$10005,$W961)&gt;0),N(U960),N(U960)+1))</f>
        <v/>
      </c>
      <c r="V961" s="19">
        <f>IF($B961="","",TEXT($B961,"0000"))</f>
        <v/>
      </c>
      <c r="W961" s="19">
        <f>IF($I961="","",IF(ISNUMBER($I961),TEXT($I961,"0"),$I961))</f>
        <v/>
      </c>
    </row>
    <row r="962">
      <c r="B962" s="25" t="n"/>
      <c r="I962" s="25" t="n"/>
      <c r="U962" s="19">
        <f>IF($V962&lt;&gt;'設定'!$C$4,N(U961),IF(OR(NOT(COUNTIF('商品マスタ'!$B$6:$B$1005,$W962)=0),COUNTIFS('①在庫を貼る'!$V$6:$V$10005,$V962,'①在庫を貼る'!$W$6:$W$10005,$W962)&gt;0),N(U961),N(U961)+1))</f>
        <v/>
      </c>
      <c r="V962" s="19">
        <f>IF($B962="","",TEXT($B962,"0000"))</f>
        <v/>
      </c>
      <c r="W962" s="19">
        <f>IF($I962="","",IF(ISNUMBER($I962),TEXT($I962,"0"),$I962))</f>
        <v/>
      </c>
    </row>
    <row r="963">
      <c r="B963" s="25" t="n"/>
      <c r="I963" s="25" t="n"/>
      <c r="U963" s="19">
        <f>IF($V963&lt;&gt;'設定'!$C$4,N(U962),IF(OR(NOT(COUNTIF('商品マスタ'!$B$6:$B$1005,$W963)=0),COUNTIFS('①在庫を貼る'!$V$6:$V$10005,$V963,'①在庫を貼る'!$W$6:$W$10005,$W963)&gt;0),N(U962),N(U962)+1))</f>
        <v/>
      </c>
      <c r="V963" s="19">
        <f>IF($B963="","",TEXT($B963,"0000"))</f>
        <v/>
      </c>
      <c r="W963" s="19">
        <f>IF($I963="","",IF(ISNUMBER($I963),TEXT($I963,"0"),$I963))</f>
        <v/>
      </c>
    </row>
    <row r="964">
      <c r="B964" s="25" t="n"/>
      <c r="I964" s="25" t="n"/>
      <c r="U964" s="19">
        <f>IF($V964&lt;&gt;'設定'!$C$4,N(U963),IF(OR(NOT(COUNTIF('商品マスタ'!$B$6:$B$1005,$W964)=0),COUNTIFS('①在庫を貼る'!$V$6:$V$10005,$V964,'①在庫を貼る'!$W$6:$W$10005,$W964)&gt;0),N(U963),N(U963)+1))</f>
        <v/>
      </c>
      <c r="V964" s="19">
        <f>IF($B964="","",TEXT($B964,"0000"))</f>
        <v/>
      </c>
      <c r="W964" s="19">
        <f>IF($I964="","",IF(ISNUMBER($I964),TEXT($I964,"0"),$I964))</f>
        <v/>
      </c>
    </row>
    <row r="965">
      <c r="B965" s="25" t="n"/>
      <c r="I965" s="25" t="n"/>
      <c r="U965" s="19">
        <f>IF($V965&lt;&gt;'設定'!$C$4,N(U964),IF(OR(NOT(COUNTIF('商品マスタ'!$B$6:$B$1005,$W965)=0),COUNTIFS('①在庫を貼る'!$V$6:$V$10005,$V965,'①在庫を貼る'!$W$6:$W$10005,$W965)&gt;0),N(U964),N(U964)+1))</f>
        <v/>
      </c>
      <c r="V965" s="19">
        <f>IF($B965="","",TEXT($B965,"0000"))</f>
        <v/>
      </c>
      <c r="W965" s="19">
        <f>IF($I965="","",IF(ISNUMBER($I965),TEXT($I965,"0"),$I965))</f>
        <v/>
      </c>
    </row>
    <row r="966">
      <c r="B966" s="25" t="n"/>
      <c r="I966" s="25" t="n"/>
      <c r="U966" s="19">
        <f>IF($V966&lt;&gt;'設定'!$C$4,N(U965),IF(OR(NOT(COUNTIF('商品マスタ'!$B$6:$B$1005,$W966)=0),COUNTIFS('①在庫を貼る'!$V$6:$V$10005,$V966,'①在庫を貼る'!$W$6:$W$10005,$W966)&gt;0),N(U965),N(U965)+1))</f>
        <v/>
      </c>
      <c r="V966" s="19">
        <f>IF($B966="","",TEXT($B966,"0000"))</f>
        <v/>
      </c>
      <c r="W966" s="19">
        <f>IF($I966="","",IF(ISNUMBER($I966),TEXT($I966,"0"),$I966))</f>
        <v/>
      </c>
    </row>
    <row r="967">
      <c r="B967" s="25" t="n"/>
      <c r="I967" s="25" t="n"/>
      <c r="U967" s="19">
        <f>IF($V967&lt;&gt;'設定'!$C$4,N(U966),IF(OR(NOT(COUNTIF('商品マスタ'!$B$6:$B$1005,$W967)=0),COUNTIFS('①在庫を貼る'!$V$6:$V$10005,$V967,'①在庫を貼る'!$W$6:$W$10005,$W967)&gt;0),N(U966),N(U966)+1))</f>
        <v/>
      </c>
      <c r="V967" s="19">
        <f>IF($B967="","",TEXT($B967,"0000"))</f>
        <v/>
      </c>
      <c r="W967" s="19">
        <f>IF($I967="","",IF(ISNUMBER($I967),TEXT($I967,"0"),$I967))</f>
        <v/>
      </c>
    </row>
    <row r="968">
      <c r="B968" s="25" t="n"/>
      <c r="I968" s="25" t="n"/>
      <c r="U968" s="19">
        <f>IF($V968&lt;&gt;'設定'!$C$4,N(U967),IF(OR(NOT(COUNTIF('商品マスタ'!$B$6:$B$1005,$W968)=0),COUNTIFS('①在庫を貼る'!$V$6:$V$10005,$V968,'①在庫を貼る'!$W$6:$W$10005,$W968)&gt;0),N(U967),N(U967)+1))</f>
        <v/>
      </c>
      <c r="V968" s="19">
        <f>IF($B968="","",TEXT($B968,"0000"))</f>
        <v/>
      </c>
      <c r="W968" s="19">
        <f>IF($I968="","",IF(ISNUMBER($I968),TEXT($I968,"0"),$I968))</f>
        <v/>
      </c>
    </row>
    <row r="969">
      <c r="B969" s="25" t="n"/>
      <c r="I969" s="25" t="n"/>
      <c r="U969" s="19">
        <f>IF($V969&lt;&gt;'設定'!$C$4,N(U968),IF(OR(NOT(COUNTIF('商品マスタ'!$B$6:$B$1005,$W969)=0),COUNTIFS('①在庫を貼る'!$V$6:$V$10005,$V969,'①在庫を貼る'!$W$6:$W$10005,$W969)&gt;0),N(U968),N(U968)+1))</f>
        <v/>
      </c>
      <c r="V969" s="19">
        <f>IF($B969="","",TEXT($B969,"0000"))</f>
        <v/>
      </c>
      <c r="W969" s="19">
        <f>IF($I969="","",IF(ISNUMBER($I969),TEXT($I969,"0"),$I969))</f>
        <v/>
      </c>
    </row>
    <row r="970">
      <c r="B970" s="25" t="n"/>
      <c r="I970" s="25" t="n"/>
      <c r="U970" s="19">
        <f>IF($V970&lt;&gt;'設定'!$C$4,N(U969),IF(OR(NOT(COUNTIF('商品マスタ'!$B$6:$B$1005,$W970)=0),COUNTIFS('①在庫を貼る'!$V$6:$V$10005,$V970,'①在庫を貼る'!$W$6:$W$10005,$W970)&gt;0),N(U969),N(U969)+1))</f>
        <v/>
      </c>
      <c r="V970" s="19">
        <f>IF($B970="","",TEXT($B970,"0000"))</f>
        <v/>
      </c>
      <c r="W970" s="19">
        <f>IF($I970="","",IF(ISNUMBER($I970),TEXT($I970,"0"),$I970))</f>
        <v/>
      </c>
    </row>
    <row r="971">
      <c r="B971" s="25" t="n"/>
      <c r="I971" s="25" t="n"/>
      <c r="U971" s="19">
        <f>IF($V971&lt;&gt;'設定'!$C$4,N(U970),IF(OR(NOT(COUNTIF('商品マスタ'!$B$6:$B$1005,$W971)=0),COUNTIFS('①在庫を貼る'!$V$6:$V$10005,$V971,'①在庫を貼る'!$W$6:$W$10005,$W971)&gt;0),N(U970),N(U970)+1))</f>
        <v/>
      </c>
      <c r="V971" s="19">
        <f>IF($B971="","",TEXT($B971,"0000"))</f>
        <v/>
      </c>
      <c r="W971" s="19">
        <f>IF($I971="","",IF(ISNUMBER($I971),TEXT($I971,"0"),$I971))</f>
        <v/>
      </c>
    </row>
    <row r="972">
      <c r="B972" s="25" t="n"/>
      <c r="I972" s="25" t="n"/>
      <c r="U972" s="19">
        <f>IF($V972&lt;&gt;'設定'!$C$4,N(U971),IF(OR(NOT(COUNTIF('商品マスタ'!$B$6:$B$1005,$W972)=0),COUNTIFS('①在庫を貼る'!$V$6:$V$10005,$V972,'①在庫を貼る'!$W$6:$W$10005,$W972)&gt;0),N(U971),N(U971)+1))</f>
        <v/>
      </c>
      <c r="V972" s="19">
        <f>IF($B972="","",TEXT($B972,"0000"))</f>
        <v/>
      </c>
      <c r="W972" s="19">
        <f>IF($I972="","",IF(ISNUMBER($I972),TEXT($I972,"0"),$I972))</f>
        <v/>
      </c>
    </row>
    <row r="973">
      <c r="B973" s="25" t="n"/>
      <c r="I973" s="25" t="n"/>
      <c r="U973" s="19">
        <f>IF($V973&lt;&gt;'設定'!$C$4,N(U972),IF(OR(NOT(COUNTIF('商品マスタ'!$B$6:$B$1005,$W973)=0),COUNTIFS('①在庫を貼る'!$V$6:$V$10005,$V973,'①在庫を貼る'!$W$6:$W$10005,$W973)&gt;0),N(U972),N(U972)+1))</f>
        <v/>
      </c>
      <c r="V973" s="19">
        <f>IF($B973="","",TEXT($B973,"0000"))</f>
        <v/>
      </c>
      <c r="W973" s="19">
        <f>IF($I973="","",IF(ISNUMBER($I973),TEXT($I973,"0"),$I973))</f>
        <v/>
      </c>
    </row>
    <row r="974">
      <c r="B974" s="25" t="n"/>
      <c r="I974" s="25" t="n"/>
      <c r="U974" s="19">
        <f>IF($V974&lt;&gt;'設定'!$C$4,N(U973),IF(OR(NOT(COUNTIF('商品マスタ'!$B$6:$B$1005,$W974)=0),COUNTIFS('①在庫を貼る'!$V$6:$V$10005,$V974,'①在庫を貼る'!$W$6:$W$10005,$W974)&gt;0),N(U973),N(U973)+1))</f>
        <v/>
      </c>
      <c r="V974" s="19">
        <f>IF($B974="","",TEXT($B974,"0000"))</f>
        <v/>
      </c>
      <c r="W974" s="19">
        <f>IF($I974="","",IF(ISNUMBER($I974),TEXT($I974,"0"),$I974))</f>
        <v/>
      </c>
    </row>
    <row r="975">
      <c r="B975" s="25" t="n"/>
      <c r="I975" s="25" t="n"/>
      <c r="U975" s="19">
        <f>IF($V975&lt;&gt;'設定'!$C$4,N(U974),IF(OR(NOT(COUNTIF('商品マスタ'!$B$6:$B$1005,$W975)=0),COUNTIFS('①在庫を貼る'!$V$6:$V$10005,$V975,'①在庫を貼る'!$W$6:$W$10005,$W975)&gt;0),N(U974),N(U974)+1))</f>
        <v/>
      </c>
      <c r="V975" s="19">
        <f>IF($B975="","",TEXT($B975,"0000"))</f>
        <v/>
      </c>
      <c r="W975" s="19">
        <f>IF($I975="","",IF(ISNUMBER($I975),TEXT($I975,"0"),$I975))</f>
        <v/>
      </c>
    </row>
    <row r="976">
      <c r="B976" s="25" t="n"/>
      <c r="I976" s="25" t="n"/>
      <c r="U976" s="19">
        <f>IF($V976&lt;&gt;'設定'!$C$4,N(U975),IF(OR(NOT(COUNTIF('商品マスタ'!$B$6:$B$1005,$W976)=0),COUNTIFS('①在庫を貼る'!$V$6:$V$10005,$V976,'①在庫を貼る'!$W$6:$W$10005,$W976)&gt;0),N(U975),N(U975)+1))</f>
        <v/>
      </c>
      <c r="V976" s="19">
        <f>IF($B976="","",TEXT($B976,"0000"))</f>
        <v/>
      </c>
      <c r="W976" s="19">
        <f>IF($I976="","",IF(ISNUMBER($I976),TEXT($I976,"0"),$I976))</f>
        <v/>
      </c>
    </row>
    <row r="977">
      <c r="B977" s="25" t="n"/>
      <c r="I977" s="25" t="n"/>
      <c r="U977" s="19">
        <f>IF($V977&lt;&gt;'設定'!$C$4,N(U976),IF(OR(NOT(COUNTIF('商品マスタ'!$B$6:$B$1005,$W977)=0),COUNTIFS('①在庫を貼る'!$V$6:$V$10005,$V977,'①在庫を貼る'!$W$6:$W$10005,$W977)&gt;0),N(U976),N(U976)+1))</f>
        <v/>
      </c>
      <c r="V977" s="19">
        <f>IF($B977="","",TEXT($B977,"0000"))</f>
        <v/>
      </c>
      <c r="W977" s="19">
        <f>IF($I977="","",IF(ISNUMBER($I977),TEXT($I977,"0"),$I977))</f>
        <v/>
      </c>
    </row>
    <row r="978">
      <c r="B978" s="25" t="n"/>
      <c r="I978" s="25" t="n"/>
      <c r="U978" s="19">
        <f>IF($V978&lt;&gt;'設定'!$C$4,N(U977),IF(OR(NOT(COUNTIF('商品マスタ'!$B$6:$B$1005,$W978)=0),COUNTIFS('①在庫を貼る'!$V$6:$V$10005,$V978,'①在庫を貼る'!$W$6:$W$10005,$W978)&gt;0),N(U977),N(U977)+1))</f>
        <v/>
      </c>
      <c r="V978" s="19">
        <f>IF($B978="","",TEXT($B978,"0000"))</f>
        <v/>
      </c>
      <c r="W978" s="19">
        <f>IF($I978="","",IF(ISNUMBER($I978),TEXT($I978,"0"),$I978))</f>
        <v/>
      </c>
    </row>
    <row r="979">
      <c r="B979" s="25" t="n"/>
      <c r="I979" s="25" t="n"/>
      <c r="U979" s="19">
        <f>IF($V979&lt;&gt;'設定'!$C$4,N(U978),IF(OR(NOT(COUNTIF('商品マスタ'!$B$6:$B$1005,$W979)=0),COUNTIFS('①在庫を貼る'!$V$6:$V$10005,$V979,'①在庫を貼る'!$W$6:$W$10005,$W979)&gt;0),N(U978),N(U978)+1))</f>
        <v/>
      </c>
      <c r="V979" s="19">
        <f>IF($B979="","",TEXT($B979,"0000"))</f>
        <v/>
      </c>
      <c r="W979" s="19">
        <f>IF($I979="","",IF(ISNUMBER($I979),TEXT($I979,"0"),$I979))</f>
        <v/>
      </c>
    </row>
    <row r="980">
      <c r="B980" s="25" t="n"/>
      <c r="I980" s="25" t="n"/>
      <c r="U980" s="19">
        <f>IF($V980&lt;&gt;'設定'!$C$4,N(U979),IF(OR(NOT(COUNTIF('商品マスタ'!$B$6:$B$1005,$W980)=0),COUNTIFS('①在庫を貼る'!$V$6:$V$10005,$V980,'①在庫を貼る'!$W$6:$W$10005,$W980)&gt;0),N(U979),N(U979)+1))</f>
        <v/>
      </c>
      <c r="V980" s="19">
        <f>IF($B980="","",TEXT($B980,"0000"))</f>
        <v/>
      </c>
      <c r="W980" s="19">
        <f>IF($I980="","",IF(ISNUMBER($I980),TEXT($I980,"0"),$I980))</f>
        <v/>
      </c>
    </row>
    <row r="981">
      <c r="B981" s="25" t="n"/>
      <c r="I981" s="25" t="n"/>
      <c r="U981" s="19">
        <f>IF($V981&lt;&gt;'設定'!$C$4,N(U980),IF(OR(NOT(COUNTIF('商品マスタ'!$B$6:$B$1005,$W981)=0),COUNTIFS('①在庫を貼る'!$V$6:$V$10005,$V981,'①在庫を貼る'!$W$6:$W$10005,$W981)&gt;0),N(U980),N(U980)+1))</f>
        <v/>
      </c>
      <c r="V981" s="19">
        <f>IF($B981="","",TEXT($B981,"0000"))</f>
        <v/>
      </c>
      <c r="W981" s="19">
        <f>IF($I981="","",IF(ISNUMBER($I981),TEXT($I981,"0"),$I981))</f>
        <v/>
      </c>
    </row>
    <row r="982">
      <c r="B982" s="25" t="n"/>
      <c r="I982" s="25" t="n"/>
      <c r="U982" s="19">
        <f>IF($V982&lt;&gt;'設定'!$C$4,N(U981),IF(OR(NOT(COUNTIF('商品マスタ'!$B$6:$B$1005,$W982)=0),COUNTIFS('①在庫を貼る'!$V$6:$V$10005,$V982,'①在庫を貼る'!$W$6:$W$10005,$W982)&gt;0),N(U981),N(U981)+1))</f>
        <v/>
      </c>
      <c r="V982" s="19">
        <f>IF($B982="","",TEXT($B982,"0000"))</f>
        <v/>
      </c>
      <c r="W982" s="19">
        <f>IF($I982="","",IF(ISNUMBER($I982),TEXT($I982,"0"),$I982))</f>
        <v/>
      </c>
    </row>
    <row r="983">
      <c r="B983" s="25" t="n"/>
      <c r="I983" s="25" t="n"/>
      <c r="U983" s="19">
        <f>IF($V983&lt;&gt;'設定'!$C$4,N(U982),IF(OR(NOT(COUNTIF('商品マスタ'!$B$6:$B$1005,$W983)=0),COUNTIFS('①在庫を貼る'!$V$6:$V$10005,$V983,'①在庫を貼る'!$W$6:$W$10005,$W983)&gt;0),N(U982),N(U982)+1))</f>
        <v/>
      </c>
      <c r="V983" s="19">
        <f>IF($B983="","",TEXT($B983,"0000"))</f>
        <v/>
      </c>
      <c r="W983" s="19">
        <f>IF($I983="","",IF(ISNUMBER($I983),TEXT($I983,"0"),$I983))</f>
        <v/>
      </c>
    </row>
    <row r="984">
      <c r="B984" s="25" t="n"/>
      <c r="I984" s="25" t="n"/>
      <c r="U984" s="19">
        <f>IF($V984&lt;&gt;'設定'!$C$4,N(U983),IF(OR(NOT(COUNTIF('商品マスタ'!$B$6:$B$1005,$W984)=0),COUNTIFS('①在庫を貼る'!$V$6:$V$10005,$V984,'①在庫を貼る'!$W$6:$W$10005,$W984)&gt;0),N(U983),N(U983)+1))</f>
        <v/>
      </c>
      <c r="V984" s="19">
        <f>IF($B984="","",TEXT($B984,"0000"))</f>
        <v/>
      </c>
      <c r="W984" s="19">
        <f>IF($I984="","",IF(ISNUMBER($I984),TEXT($I984,"0"),$I984))</f>
        <v/>
      </c>
    </row>
    <row r="985">
      <c r="B985" s="25" t="n"/>
      <c r="I985" s="25" t="n"/>
      <c r="U985" s="19">
        <f>IF($V985&lt;&gt;'設定'!$C$4,N(U984),IF(OR(NOT(COUNTIF('商品マスタ'!$B$6:$B$1005,$W985)=0),COUNTIFS('①在庫を貼る'!$V$6:$V$10005,$V985,'①在庫を貼る'!$W$6:$W$10005,$W985)&gt;0),N(U984),N(U984)+1))</f>
        <v/>
      </c>
      <c r="V985" s="19">
        <f>IF($B985="","",TEXT($B985,"0000"))</f>
        <v/>
      </c>
      <c r="W985" s="19">
        <f>IF($I985="","",IF(ISNUMBER($I985),TEXT($I985,"0"),$I985))</f>
        <v/>
      </c>
    </row>
    <row r="986">
      <c r="B986" s="25" t="n"/>
      <c r="I986" s="25" t="n"/>
      <c r="U986" s="19">
        <f>IF($V986&lt;&gt;'設定'!$C$4,N(U985),IF(OR(NOT(COUNTIF('商品マスタ'!$B$6:$B$1005,$W986)=0),COUNTIFS('①在庫を貼る'!$V$6:$V$10005,$V986,'①在庫を貼る'!$W$6:$W$10005,$W986)&gt;0),N(U985),N(U985)+1))</f>
        <v/>
      </c>
      <c r="V986" s="19">
        <f>IF($B986="","",TEXT($B986,"0000"))</f>
        <v/>
      </c>
      <c r="W986" s="19">
        <f>IF($I986="","",IF(ISNUMBER($I986),TEXT($I986,"0"),$I986))</f>
        <v/>
      </c>
    </row>
    <row r="987">
      <c r="B987" s="25" t="n"/>
      <c r="I987" s="25" t="n"/>
      <c r="U987" s="19">
        <f>IF($V987&lt;&gt;'設定'!$C$4,N(U986),IF(OR(NOT(COUNTIF('商品マスタ'!$B$6:$B$1005,$W987)=0),COUNTIFS('①在庫を貼る'!$V$6:$V$10005,$V987,'①在庫を貼る'!$W$6:$W$10005,$W987)&gt;0),N(U986),N(U986)+1))</f>
        <v/>
      </c>
      <c r="V987" s="19">
        <f>IF($B987="","",TEXT($B987,"0000"))</f>
        <v/>
      </c>
      <c r="W987" s="19">
        <f>IF($I987="","",IF(ISNUMBER($I987),TEXT($I987,"0"),$I987))</f>
        <v/>
      </c>
    </row>
    <row r="988">
      <c r="B988" s="25" t="n"/>
      <c r="I988" s="25" t="n"/>
      <c r="U988" s="19">
        <f>IF($V988&lt;&gt;'設定'!$C$4,N(U987),IF(OR(NOT(COUNTIF('商品マスタ'!$B$6:$B$1005,$W988)=0),COUNTIFS('①在庫を貼る'!$V$6:$V$10005,$V988,'①在庫を貼る'!$W$6:$W$10005,$W988)&gt;0),N(U987),N(U987)+1))</f>
        <v/>
      </c>
      <c r="V988" s="19">
        <f>IF($B988="","",TEXT($B988,"0000"))</f>
        <v/>
      </c>
      <c r="W988" s="19">
        <f>IF($I988="","",IF(ISNUMBER($I988),TEXT($I988,"0"),$I988))</f>
        <v/>
      </c>
    </row>
    <row r="989">
      <c r="B989" s="25" t="n"/>
      <c r="I989" s="25" t="n"/>
      <c r="U989" s="19">
        <f>IF($V989&lt;&gt;'設定'!$C$4,N(U988),IF(OR(NOT(COUNTIF('商品マスタ'!$B$6:$B$1005,$W989)=0),COUNTIFS('①在庫を貼る'!$V$6:$V$10005,$V989,'①在庫を貼る'!$W$6:$W$10005,$W989)&gt;0),N(U988),N(U988)+1))</f>
        <v/>
      </c>
      <c r="V989" s="19">
        <f>IF($B989="","",TEXT($B989,"0000"))</f>
        <v/>
      </c>
      <c r="W989" s="19">
        <f>IF($I989="","",IF(ISNUMBER($I989),TEXT($I989,"0"),$I989))</f>
        <v/>
      </c>
    </row>
    <row r="990">
      <c r="B990" s="25" t="n"/>
      <c r="I990" s="25" t="n"/>
      <c r="U990" s="19">
        <f>IF($V990&lt;&gt;'設定'!$C$4,N(U989),IF(OR(NOT(COUNTIF('商品マスタ'!$B$6:$B$1005,$W990)=0),COUNTIFS('①在庫を貼る'!$V$6:$V$10005,$V990,'①在庫を貼る'!$W$6:$W$10005,$W990)&gt;0),N(U989),N(U989)+1))</f>
        <v/>
      </c>
      <c r="V990" s="19">
        <f>IF($B990="","",TEXT($B990,"0000"))</f>
        <v/>
      </c>
      <c r="W990" s="19">
        <f>IF($I990="","",IF(ISNUMBER($I990),TEXT($I990,"0"),$I990))</f>
        <v/>
      </c>
    </row>
    <row r="991">
      <c r="B991" s="25" t="n"/>
      <c r="I991" s="25" t="n"/>
      <c r="U991" s="19">
        <f>IF($V991&lt;&gt;'設定'!$C$4,N(U990),IF(OR(NOT(COUNTIF('商品マスタ'!$B$6:$B$1005,$W991)=0),COUNTIFS('①在庫を貼る'!$V$6:$V$10005,$V991,'①在庫を貼る'!$W$6:$W$10005,$W991)&gt;0),N(U990),N(U990)+1))</f>
        <v/>
      </c>
      <c r="V991" s="19">
        <f>IF($B991="","",TEXT($B991,"0000"))</f>
        <v/>
      </c>
      <c r="W991" s="19">
        <f>IF($I991="","",IF(ISNUMBER($I991),TEXT($I991,"0"),$I991))</f>
        <v/>
      </c>
    </row>
    <row r="992">
      <c r="B992" s="25" t="n"/>
      <c r="I992" s="25" t="n"/>
      <c r="U992" s="19">
        <f>IF($V992&lt;&gt;'設定'!$C$4,N(U991),IF(OR(NOT(COUNTIF('商品マスタ'!$B$6:$B$1005,$W992)=0),COUNTIFS('①在庫を貼る'!$V$6:$V$10005,$V992,'①在庫を貼る'!$W$6:$W$10005,$W992)&gt;0),N(U991),N(U991)+1))</f>
        <v/>
      </c>
      <c r="V992" s="19">
        <f>IF($B992="","",TEXT($B992,"0000"))</f>
        <v/>
      </c>
      <c r="W992" s="19">
        <f>IF($I992="","",IF(ISNUMBER($I992),TEXT($I992,"0"),$I992))</f>
        <v/>
      </c>
    </row>
    <row r="993">
      <c r="B993" s="25" t="n"/>
      <c r="I993" s="25" t="n"/>
      <c r="U993" s="19">
        <f>IF($V993&lt;&gt;'設定'!$C$4,N(U992),IF(OR(NOT(COUNTIF('商品マスタ'!$B$6:$B$1005,$W993)=0),COUNTIFS('①在庫を貼る'!$V$6:$V$10005,$V993,'①在庫を貼る'!$W$6:$W$10005,$W993)&gt;0),N(U992),N(U992)+1))</f>
        <v/>
      </c>
      <c r="V993" s="19">
        <f>IF($B993="","",TEXT($B993,"0000"))</f>
        <v/>
      </c>
      <c r="W993" s="19">
        <f>IF($I993="","",IF(ISNUMBER($I993),TEXT($I993,"0"),$I993))</f>
        <v/>
      </c>
    </row>
    <row r="994">
      <c r="B994" s="25" t="n"/>
      <c r="I994" s="25" t="n"/>
      <c r="U994" s="19">
        <f>IF($V994&lt;&gt;'設定'!$C$4,N(U993),IF(OR(NOT(COUNTIF('商品マスタ'!$B$6:$B$1005,$W994)=0),COUNTIFS('①在庫を貼る'!$V$6:$V$10005,$V994,'①在庫を貼る'!$W$6:$W$10005,$W994)&gt;0),N(U993),N(U993)+1))</f>
        <v/>
      </c>
      <c r="V994" s="19">
        <f>IF($B994="","",TEXT($B994,"0000"))</f>
        <v/>
      </c>
      <c r="W994" s="19">
        <f>IF($I994="","",IF(ISNUMBER($I994),TEXT($I994,"0"),$I994))</f>
        <v/>
      </c>
    </row>
    <row r="995">
      <c r="B995" s="25" t="n"/>
      <c r="I995" s="25" t="n"/>
      <c r="U995" s="19">
        <f>IF($V995&lt;&gt;'設定'!$C$4,N(U994),IF(OR(NOT(COUNTIF('商品マスタ'!$B$6:$B$1005,$W995)=0),COUNTIFS('①在庫を貼る'!$V$6:$V$10005,$V995,'①在庫を貼る'!$W$6:$W$10005,$W995)&gt;0),N(U994),N(U994)+1))</f>
        <v/>
      </c>
      <c r="V995" s="19">
        <f>IF($B995="","",TEXT($B995,"0000"))</f>
        <v/>
      </c>
      <c r="W995" s="19">
        <f>IF($I995="","",IF(ISNUMBER($I995),TEXT($I995,"0"),$I995))</f>
        <v/>
      </c>
    </row>
    <row r="996">
      <c r="B996" s="25" t="n"/>
      <c r="I996" s="25" t="n"/>
      <c r="U996" s="19">
        <f>IF($V996&lt;&gt;'設定'!$C$4,N(U995),IF(OR(NOT(COUNTIF('商品マスタ'!$B$6:$B$1005,$W996)=0),COUNTIFS('①在庫を貼る'!$V$6:$V$10005,$V996,'①在庫を貼る'!$W$6:$W$10005,$W996)&gt;0),N(U995),N(U995)+1))</f>
        <v/>
      </c>
      <c r="V996" s="19">
        <f>IF($B996="","",TEXT($B996,"0000"))</f>
        <v/>
      </c>
      <c r="W996" s="19">
        <f>IF($I996="","",IF(ISNUMBER($I996),TEXT($I996,"0"),$I996))</f>
        <v/>
      </c>
    </row>
    <row r="997">
      <c r="B997" s="25" t="n"/>
      <c r="I997" s="25" t="n"/>
      <c r="U997" s="19">
        <f>IF($V997&lt;&gt;'設定'!$C$4,N(U996),IF(OR(NOT(COUNTIF('商品マスタ'!$B$6:$B$1005,$W997)=0),COUNTIFS('①在庫を貼る'!$V$6:$V$10005,$V997,'①在庫を貼る'!$W$6:$W$10005,$W997)&gt;0),N(U996),N(U996)+1))</f>
        <v/>
      </c>
      <c r="V997" s="19">
        <f>IF($B997="","",TEXT($B997,"0000"))</f>
        <v/>
      </c>
      <c r="W997" s="19">
        <f>IF($I997="","",IF(ISNUMBER($I997),TEXT($I997,"0"),$I997))</f>
        <v/>
      </c>
    </row>
    <row r="998">
      <c r="B998" s="25" t="n"/>
      <c r="I998" s="25" t="n"/>
      <c r="U998" s="19">
        <f>IF($V998&lt;&gt;'設定'!$C$4,N(U997),IF(OR(NOT(COUNTIF('商品マスタ'!$B$6:$B$1005,$W998)=0),COUNTIFS('①在庫を貼る'!$V$6:$V$10005,$V998,'①在庫を貼る'!$W$6:$W$10005,$W998)&gt;0),N(U997),N(U997)+1))</f>
        <v/>
      </c>
      <c r="V998" s="19">
        <f>IF($B998="","",TEXT($B998,"0000"))</f>
        <v/>
      </c>
      <c r="W998" s="19">
        <f>IF($I998="","",IF(ISNUMBER($I998),TEXT($I998,"0"),$I998))</f>
        <v/>
      </c>
    </row>
    <row r="999">
      <c r="B999" s="25" t="n"/>
      <c r="I999" s="25" t="n"/>
      <c r="U999" s="19">
        <f>IF($V999&lt;&gt;'設定'!$C$4,N(U998),IF(OR(NOT(COUNTIF('商品マスタ'!$B$6:$B$1005,$W999)=0),COUNTIFS('①在庫を貼る'!$V$6:$V$10005,$V999,'①在庫を貼る'!$W$6:$W$10005,$W999)&gt;0),N(U998),N(U998)+1))</f>
        <v/>
      </c>
      <c r="V999" s="19">
        <f>IF($B999="","",TEXT($B999,"0000"))</f>
        <v/>
      </c>
      <c r="W999" s="19">
        <f>IF($I999="","",IF(ISNUMBER($I999),TEXT($I999,"0"),$I999))</f>
        <v/>
      </c>
    </row>
    <row r="1000">
      <c r="B1000" s="25" t="n"/>
      <c r="I1000" s="25" t="n"/>
      <c r="U1000" s="19">
        <f>IF($V1000&lt;&gt;'設定'!$C$4,N(U999),IF(OR(NOT(COUNTIF('商品マスタ'!$B$6:$B$1005,$W1000)=0),COUNTIFS('①在庫を貼る'!$V$6:$V$10005,$V1000,'①在庫を貼る'!$W$6:$W$10005,$W1000)&gt;0),N(U999),N(U999)+1))</f>
        <v/>
      </c>
      <c r="V1000" s="19">
        <f>IF($B1000="","",TEXT($B1000,"0000"))</f>
        <v/>
      </c>
      <c r="W1000" s="19">
        <f>IF($I1000="","",IF(ISNUMBER($I1000),TEXT($I1000,"0"),$I1000))</f>
        <v/>
      </c>
    </row>
    <row r="1001">
      <c r="B1001" s="25" t="n"/>
      <c r="I1001" s="25" t="n"/>
      <c r="U1001" s="19">
        <f>IF($V1001&lt;&gt;'設定'!$C$4,N(U1000),IF(OR(NOT(COUNTIF('商品マスタ'!$B$6:$B$1005,$W1001)=0),COUNTIFS('①在庫を貼る'!$V$6:$V$10005,$V1001,'①在庫を貼る'!$W$6:$W$10005,$W1001)&gt;0),N(U1000),N(U1000)+1))</f>
        <v/>
      </c>
      <c r="V1001" s="19">
        <f>IF($B1001="","",TEXT($B1001,"0000"))</f>
        <v/>
      </c>
      <c r="W1001" s="19">
        <f>IF($I1001="","",IF(ISNUMBER($I1001),TEXT($I1001,"0"),$I1001))</f>
        <v/>
      </c>
    </row>
    <row r="1002">
      <c r="B1002" s="25" t="n"/>
      <c r="I1002" s="25" t="n"/>
      <c r="U1002" s="19">
        <f>IF($V1002&lt;&gt;'設定'!$C$4,N(U1001),IF(OR(NOT(COUNTIF('商品マスタ'!$B$6:$B$1005,$W1002)=0),COUNTIFS('①在庫を貼る'!$V$6:$V$10005,$V1002,'①在庫を貼る'!$W$6:$W$10005,$W1002)&gt;0),N(U1001),N(U1001)+1))</f>
        <v/>
      </c>
      <c r="V1002" s="19">
        <f>IF($B1002="","",TEXT($B1002,"0000"))</f>
        <v/>
      </c>
      <c r="W1002" s="19">
        <f>IF($I1002="","",IF(ISNUMBER($I1002),TEXT($I1002,"0"),$I1002))</f>
        <v/>
      </c>
    </row>
    <row r="1003">
      <c r="B1003" s="25" t="n"/>
      <c r="I1003" s="25" t="n"/>
      <c r="U1003" s="19">
        <f>IF($V1003&lt;&gt;'設定'!$C$4,N(U1002),IF(OR(NOT(COUNTIF('商品マスタ'!$B$6:$B$1005,$W1003)=0),COUNTIFS('①在庫を貼る'!$V$6:$V$10005,$V1003,'①在庫を貼る'!$W$6:$W$10005,$W1003)&gt;0),N(U1002),N(U1002)+1))</f>
        <v/>
      </c>
      <c r="V1003" s="19">
        <f>IF($B1003="","",TEXT($B1003,"0000"))</f>
        <v/>
      </c>
      <c r="W1003" s="19">
        <f>IF($I1003="","",IF(ISNUMBER($I1003),TEXT($I1003,"0"),$I1003))</f>
        <v/>
      </c>
    </row>
    <row r="1004">
      <c r="B1004" s="25" t="n"/>
      <c r="I1004" s="25" t="n"/>
      <c r="U1004" s="19">
        <f>IF($V1004&lt;&gt;'設定'!$C$4,N(U1003),IF(OR(NOT(COUNTIF('商品マスタ'!$B$6:$B$1005,$W1004)=0),COUNTIFS('①在庫を貼る'!$V$6:$V$10005,$V1004,'①在庫を貼る'!$W$6:$W$10005,$W1004)&gt;0),N(U1003),N(U1003)+1))</f>
        <v/>
      </c>
      <c r="V1004" s="19">
        <f>IF($B1004="","",TEXT($B1004,"0000"))</f>
        <v/>
      </c>
      <c r="W1004" s="19">
        <f>IF($I1004="","",IF(ISNUMBER($I1004),TEXT($I1004,"0"),$I1004))</f>
        <v/>
      </c>
    </row>
    <row r="1005">
      <c r="B1005" s="25" t="n"/>
      <c r="I1005" s="25" t="n"/>
      <c r="U1005" s="19">
        <f>IF($V1005&lt;&gt;'設定'!$C$4,N(U1004),IF(OR(NOT(COUNTIF('商品マスタ'!$B$6:$B$1005,$W1005)=0),COUNTIFS('①在庫を貼る'!$V$6:$V$10005,$V1005,'①在庫を貼る'!$W$6:$W$10005,$W1005)&gt;0),N(U1004),N(U1004)+1))</f>
        <v/>
      </c>
      <c r="V1005" s="19">
        <f>IF($B1005="","",TEXT($B1005,"0000"))</f>
        <v/>
      </c>
      <c r="W1005" s="19">
        <f>IF($I1005="","",IF(ISNUMBER($I1005),TEXT($I1005,"0"),$I1005))</f>
        <v/>
      </c>
    </row>
    <row r="1006">
      <c r="B1006" s="25" t="n"/>
      <c r="I1006" s="25" t="n"/>
      <c r="U1006" s="19">
        <f>IF($V1006&lt;&gt;'設定'!$C$4,N(U1005),IF(OR(NOT(COUNTIF('商品マスタ'!$B$6:$B$1005,$W1006)=0),COUNTIFS('①在庫を貼る'!$V$6:$V$10005,$V1006,'①在庫を貼る'!$W$6:$W$10005,$W1006)&gt;0),N(U1005),N(U1005)+1))</f>
        <v/>
      </c>
      <c r="V1006" s="19">
        <f>IF($B1006="","",TEXT($B1006,"0000"))</f>
        <v/>
      </c>
      <c r="W1006" s="19">
        <f>IF($I1006="","",IF(ISNUMBER($I1006),TEXT($I1006,"0"),$I1006))</f>
        <v/>
      </c>
    </row>
    <row r="1007">
      <c r="B1007" s="25" t="n"/>
      <c r="I1007" s="25" t="n"/>
      <c r="U1007" s="19">
        <f>IF($V1007&lt;&gt;'設定'!$C$4,N(U1006),IF(OR(NOT(COUNTIF('商品マスタ'!$B$6:$B$1005,$W1007)=0),COUNTIFS('①在庫を貼る'!$V$6:$V$10005,$V1007,'①在庫を貼る'!$W$6:$W$10005,$W1007)&gt;0),N(U1006),N(U1006)+1))</f>
        <v/>
      </c>
      <c r="V1007" s="19">
        <f>IF($B1007="","",TEXT($B1007,"0000"))</f>
        <v/>
      </c>
      <c r="W1007" s="19">
        <f>IF($I1007="","",IF(ISNUMBER($I1007),TEXT($I1007,"0"),$I1007))</f>
        <v/>
      </c>
    </row>
    <row r="1008">
      <c r="B1008" s="25" t="n"/>
      <c r="I1008" s="25" t="n"/>
      <c r="U1008" s="19">
        <f>IF($V1008&lt;&gt;'設定'!$C$4,N(U1007),IF(OR(NOT(COUNTIF('商品マスタ'!$B$6:$B$1005,$W1008)=0),COUNTIFS('①在庫を貼る'!$V$6:$V$10005,$V1008,'①在庫を貼る'!$W$6:$W$10005,$W1008)&gt;0),N(U1007),N(U1007)+1))</f>
        <v/>
      </c>
      <c r="V1008" s="19">
        <f>IF($B1008="","",TEXT($B1008,"0000"))</f>
        <v/>
      </c>
      <c r="W1008" s="19">
        <f>IF($I1008="","",IF(ISNUMBER($I1008),TEXT($I1008,"0"),$I1008))</f>
        <v/>
      </c>
    </row>
    <row r="1009">
      <c r="B1009" s="25" t="n"/>
      <c r="I1009" s="25" t="n"/>
      <c r="U1009" s="19">
        <f>IF($V1009&lt;&gt;'設定'!$C$4,N(U1008),IF(OR(NOT(COUNTIF('商品マスタ'!$B$6:$B$1005,$W1009)=0),COUNTIFS('①在庫を貼る'!$V$6:$V$10005,$V1009,'①在庫を貼る'!$W$6:$W$10005,$W1009)&gt;0),N(U1008),N(U1008)+1))</f>
        <v/>
      </c>
      <c r="V1009" s="19">
        <f>IF($B1009="","",TEXT($B1009,"0000"))</f>
        <v/>
      </c>
      <c r="W1009" s="19">
        <f>IF($I1009="","",IF(ISNUMBER($I1009),TEXT($I1009,"0"),$I1009))</f>
        <v/>
      </c>
    </row>
    <row r="1010">
      <c r="B1010" s="25" t="n"/>
      <c r="I1010" s="25" t="n"/>
      <c r="U1010" s="19">
        <f>IF($V1010&lt;&gt;'設定'!$C$4,N(U1009),IF(OR(NOT(COUNTIF('商品マスタ'!$B$6:$B$1005,$W1010)=0),COUNTIFS('①在庫を貼る'!$V$6:$V$10005,$V1010,'①在庫を貼る'!$W$6:$W$10005,$W1010)&gt;0),N(U1009),N(U1009)+1))</f>
        <v/>
      </c>
      <c r="V1010" s="19">
        <f>IF($B1010="","",TEXT($B1010,"0000"))</f>
        <v/>
      </c>
      <c r="W1010" s="19">
        <f>IF($I1010="","",IF(ISNUMBER($I1010),TEXT($I1010,"0"),$I1010))</f>
        <v/>
      </c>
    </row>
    <row r="1011">
      <c r="B1011" s="25" t="n"/>
      <c r="I1011" s="25" t="n"/>
      <c r="U1011" s="19">
        <f>IF($V1011&lt;&gt;'設定'!$C$4,N(U1010),IF(OR(NOT(COUNTIF('商品マスタ'!$B$6:$B$1005,$W1011)=0),COUNTIFS('①在庫を貼る'!$V$6:$V$10005,$V1011,'①在庫を貼る'!$W$6:$W$10005,$W1011)&gt;0),N(U1010),N(U1010)+1))</f>
        <v/>
      </c>
      <c r="V1011" s="19">
        <f>IF($B1011="","",TEXT($B1011,"0000"))</f>
        <v/>
      </c>
      <c r="W1011" s="19">
        <f>IF($I1011="","",IF(ISNUMBER($I1011),TEXT($I1011,"0"),$I1011))</f>
        <v/>
      </c>
    </row>
    <row r="1012">
      <c r="B1012" s="25" t="n"/>
      <c r="I1012" s="25" t="n"/>
      <c r="U1012" s="19">
        <f>IF($V1012&lt;&gt;'設定'!$C$4,N(U1011),IF(OR(NOT(COUNTIF('商品マスタ'!$B$6:$B$1005,$W1012)=0),COUNTIFS('①在庫を貼る'!$V$6:$V$10005,$V1012,'①在庫を貼る'!$W$6:$W$10005,$W1012)&gt;0),N(U1011),N(U1011)+1))</f>
        <v/>
      </c>
      <c r="V1012" s="19">
        <f>IF($B1012="","",TEXT($B1012,"0000"))</f>
        <v/>
      </c>
      <c r="W1012" s="19">
        <f>IF($I1012="","",IF(ISNUMBER($I1012),TEXT($I1012,"0"),$I1012))</f>
        <v/>
      </c>
    </row>
    <row r="1013">
      <c r="B1013" s="25" t="n"/>
      <c r="I1013" s="25" t="n"/>
      <c r="U1013" s="19">
        <f>IF($V1013&lt;&gt;'設定'!$C$4,N(U1012),IF(OR(NOT(COUNTIF('商品マスタ'!$B$6:$B$1005,$W1013)=0),COUNTIFS('①在庫を貼る'!$V$6:$V$10005,$V1013,'①在庫を貼る'!$W$6:$W$10005,$W1013)&gt;0),N(U1012),N(U1012)+1))</f>
        <v/>
      </c>
      <c r="V1013" s="19">
        <f>IF($B1013="","",TEXT($B1013,"0000"))</f>
        <v/>
      </c>
      <c r="W1013" s="19">
        <f>IF($I1013="","",IF(ISNUMBER($I1013),TEXT($I1013,"0"),$I1013))</f>
        <v/>
      </c>
    </row>
    <row r="1014">
      <c r="B1014" s="25" t="n"/>
      <c r="I1014" s="25" t="n"/>
      <c r="U1014" s="19">
        <f>IF($V1014&lt;&gt;'設定'!$C$4,N(U1013),IF(OR(NOT(COUNTIF('商品マスタ'!$B$6:$B$1005,$W1014)=0),COUNTIFS('①在庫を貼る'!$V$6:$V$10005,$V1014,'①在庫を貼る'!$W$6:$W$10005,$W1014)&gt;0),N(U1013),N(U1013)+1))</f>
        <v/>
      </c>
      <c r="V1014" s="19">
        <f>IF($B1014="","",TEXT($B1014,"0000"))</f>
        <v/>
      </c>
      <c r="W1014" s="19">
        <f>IF($I1014="","",IF(ISNUMBER($I1014),TEXT($I1014,"0"),$I1014))</f>
        <v/>
      </c>
    </row>
    <row r="1015">
      <c r="B1015" s="25" t="n"/>
      <c r="I1015" s="25" t="n"/>
      <c r="U1015" s="19">
        <f>IF($V1015&lt;&gt;'設定'!$C$4,N(U1014),IF(OR(NOT(COUNTIF('商品マスタ'!$B$6:$B$1005,$W1015)=0),COUNTIFS('①在庫を貼る'!$V$6:$V$10005,$V1015,'①在庫を貼る'!$W$6:$W$10005,$W1015)&gt;0),N(U1014),N(U1014)+1))</f>
        <v/>
      </c>
      <c r="V1015" s="19">
        <f>IF($B1015="","",TEXT($B1015,"0000"))</f>
        <v/>
      </c>
      <c r="W1015" s="19">
        <f>IF($I1015="","",IF(ISNUMBER($I1015),TEXT($I1015,"0"),$I1015))</f>
        <v/>
      </c>
    </row>
    <row r="1016">
      <c r="B1016" s="25" t="n"/>
      <c r="I1016" s="25" t="n"/>
      <c r="U1016" s="19">
        <f>IF($V1016&lt;&gt;'設定'!$C$4,N(U1015),IF(OR(NOT(COUNTIF('商品マスタ'!$B$6:$B$1005,$W1016)=0),COUNTIFS('①在庫を貼る'!$V$6:$V$10005,$V1016,'①在庫を貼る'!$W$6:$W$10005,$W1016)&gt;0),N(U1015),N(U1015)+1))</f>
        <v/>
      </c>
      <c r="V1016" s="19">
        <f>IF($B1016="","",TEXT($B1016,"0000"))</f>
        <v/>
      </c>
      <c r="W1016" s="19">
        <f>IF($I1016="","",IF(ISNUMBER($I1016),TEXT($I1016,"0"),$I1016))</f>
        <v/>
      </c>
    </row>
    <row r="1017">
      <c r="B1017" s="25" t="n"/>
      <c r="I1017" s="25" t="n"/>
      <c r="U1017" s="19">
        <f>IF($V1017&lt;&gt;'設定'!$C$4,N(U1016),IF(OR(NOT(COUNTIF('商品マスタ'!$B$6:$B$1005,$W1017)=0),COUNTIFS('①在庫を貼る'!$V$6:$V$10005,$V1017,'①在庫を貼る'!$W$6:$W$10005,$W1017)&gt;0),N(U1016),N(U1016)+1))</f>
        <v/>
      </c>
      <c r="V1017" s="19">
        <f>IF($B1017="","",TEXT($B1017,"0000"))</f>
        <v/>
      </c>
      <c r="W1017" s="19">
        <f>IF($I1017="","",IF(ISNUMBER($I1017),TEXT($I1017,"0"),$I1017))</f>
        <v/>
      </c>
    </row>
    <row r="1018">
      <c r="B1018" s="25" t="n"/>
      <c r="I1018" s="25" t="n"/>
      <c r="U1018" s="19">
        <f>IF($V1018&lt;&gt;'設定'!$C$4,N(U1017),IF(OR(NOT(COUNTIF('商品マスタ'!$B$6:$B$1005,$W1018)=0),COUNTIFS('①在庫を貼る'!$V$6:$V$10005,$V1018,'①在庫を貼る'!$W$6:$W$10005,$W1018)&gt;0),N(U1017),N(U1017)+1))</f>
        <v/>
      </c>
      <c r="V1018" s="19">
        <f>IF($B1018="","",TEXT($B1018,"0000"))</f>
        <v/>
      </c>
      <c r="W1018" s="19">
        <f>IF($I1018="","",IF(ISNUMBER($I1018),TEXT($I1018,"0"),$I1018))</f>
        <v/>
      </c>
    </row>
    <row r="1019">
      <c r="B1019" s="25" t="n"/>
      <c r="I1019" s="25" t="n"/>
      <c r="U1019" s="19">
        <f>IF($V1019&lt;&gt;'設定'!$C$4,N(U1018),IF(OR(NOT(COUNTIF('商品マスタ'!$B$6:$B$1005,$W1019)=0),COUNTIFS('①在庫を貼る'!$V$6:$V$10005,$V1019,'①在庫を貼る'!$W$6:$W$10005,$W1019)&gt;0),N(U1018),N(U1018)+1))</f>
        <v/>
      </c>
      <c r="V1019" s="19">
        <f>IF($B1019="","",TEXT($B1019,"0000"))</f>
        <v/>
      </c>
      <c r="W1019" s="19">
        <f>IF($I1019="","",IF(ISNUMBER($I1019),TEXT($I1019,"0"),$I1019))</f>
        <v/>
      </c>
    </row>
    <row r="1020">
      <c r="B1020" s="25" t="n"/>
      <c r="I1020" s="25" t="n"/>
      <c r="U1020" s="19">
        <f>IF($V1020&lt;&gt;'設定'!$C$4,N(U1019),IF(OR(NOT(COUNTIF('商品マスタ'!$B$6:$B$1005,$W1020)=0),COUNTIFS('①在庫を貼る'!$V$6:$V$10005,$V1020,'①在庫を貼る'!$W$6:$W$10005,$W1020)&gt;0),N(U1019),N(U1019)+1))</f>
        <v/>
      </c>
      <c r="V1020" s="19">
        <f>IF($B1020="","",TEXT($B1020,"0000"))</f>
        <v/>
      </c>
      <c r="W1020" s="19">
        <f>IF($I1020="","",IF(ISNUMBER($I1020),TEXT($I1020,"0"),$I1020))</f>
        <v/>
      </c>
    </row>
    <row r="1021">
      <c r="B1021" s="25" t="n"/>
      <c r="I1021" s="25" t="n"/>
      <c r="U1021" s="19">
        <f>IF($V1021&lt;&gt;'設定'!$C$4,N(U1020),IF(OR(NOT(COUNTIF('商品マスタ'!$B$6:$B$1005,$W1021)=0),COUNTIFS('①在庫を貼る'!$V$6:$V$10005,$V1021,'①在庫を貼る'!$W$6:$W$10005,$W1021)&gt;0),N(U1020),N(U1020)+1))</f>
        <v/>
      </c>
      <c r="V1021" s="19">
        <f>IF($B1021="","",TEXT($B1021,"0000"))</f>
        <v/>
      </c>
      <c r="W1021" s="19">
        <f>IF($I1021="","",IF(ISNUMBER($I1021),TEXT($I1021,"0"),$I1021))</f>
        <v/>
      </c>
    </row>
    <row r="1022">
      <c r="B1022" s="25" t="n"/>
      <c r="I1022" s="25" t="n"/>
      <c r="U1022" s="19">
        <f>IF($V1022&lt;&gt;'設定'!$C$4,N(U1021),IF(OR(NOT(COUNTIF('商品マスタ'!$B$6:$B$1005,$W1022)=0),COUNTIFS('①在庫を貼る'!$V$6:$V$10005,$V1022,'①在庫を貼る'!$W$6:$W$10005,$W1022)&gt;0),N(U1021),N(U1021)+1))</f>
        <v/>
      </c>
      <c r="V1022" s="19">
        <f>IF($B1022="","",TEXT($B1022,"0000"))</f>
        <v/>
      </c>
      <c r="W1022" s="19">
        <f>IF($I1022="","",IF(ISNUMBER($I1022),TEXT($I1022,"0"),$I1022))</f>
        <v/>
      </c>
    </row>
    <row r="1023">
      <c r="B1023" s="25" t="n"/>
      <c r="I1023" s="25" t="n"/>
      <c r="U1023" s="19">
        <f>IF($V1023&lt;&gt;'設定'!$C$4,N(U1022),IF(OR(NOT(COUNTIF('商品マスタ'!$B$6:$B$1005,$W1023)=0),COUNTIFS('①在庫を貼る'!$V$6:$V$10005,$V1023,'①在庫を貼る'!$W$6:$W$10005,$W1023)&gt;0),N(U1022),N(U1022)+1))</f>
        <v/>
      </c>
      <c r="V1023" s="19">
        <f>IF($B1023="","",TEXT($B1023,"0000"))</f>
        <v/>
      </c>
      <c r="W1023" s="19">
        <f>IF($I1023="","",IF(ISNUMBER($I1023),TEXT($I1023,"0"),$I1023))</f>
        <v/>
      </c>
    </row>
    <row r="1024">
      <c r="B1024" s="25" t="n"/>
      <c r="I1024" s="25" t="n"/>
      <c r="U1024" s="19">
        <f>IF($V1024&lt;&gt;'設定'!$C$4,N(U1023),IF(OR(NOT(COUNTIF('商品マスタ'!$B$6:$B$1005,$W1024)=0),COUNTIFS('①在庫を貼る'!$V$6:$V$10005,$V1024,'①在庫を貼る'!$W$6:$W$10005,$W1024)&gt;0),N(U1023),N(U1023)+1))</f>
        <v/>
      </c>
      <c r="V1024" s="19">
        <f>IF($B1024="","",TEXT($B1024,"0000"))</f>
        <v/>
      </c>
      <c r="W1024" s="19">
        <f>IF($I1024="","",IF(ISNUMBER($I1024),TEXT($I1024,"0"),$I1024))</f>
        <v/>
      </c>
    </row>
    <row r="1025">
      <c r="B1025" s="25" t="n"/>
      <c r="I1025" s="25" t="n"/>
      <c r="U1025" s="19">
        <f>IF($V1025&lt;&gt;'設定'!$C$4,N(U1024),IF(OR(NOT(COUNTIF('商品マスタ'!$B$6:$B$1005,$W1025)=0),COUNTIFS('①在庫を貼る'!$V$6:$V$10005,$V1025,'①在庫を貼る'!$W$6:$W$10005,$W1025)&gt;0),N(U1024),N(U1024)+1))</f>
        <v/>
      </c>
      <c r="V1025" s="19">
        <f>IF($B1025="","",TEXT($B1025,"0000"))</f>
        <v/>
      </c>
      <c r="W1025" s="19">
        <f>IF($I1025="","",IF(ISNUMBER($I1025),TEXT($I1025,"0"),$I1025))</f>
        <v/>
      </c>
    </row>
    <row r="1026">
      <c r="B1026" s="25" t="n"/>
      <c r="I1026" s="25" t="n"/>
      <c r="U1026" s="19">
        <f>IF($V1026&lt;&gt;'設定'!$C$4,N(U1025),IF(OR(NOT(COUNTIF('商品マスタ'!$B$6:$B$1005,$W1026)=0),COUNTIFS('①在庫を貼る'!$V$6:$V$10005,$V1026,'①在庫を貼る'!$W$6:$W$10005,$W1026)&gt;0),N(U1025),N(U1025)+1))</f>
        <v/>
      </c>
      <c r="V1026" s="19">
        <f>IF($B1026="","",TEXT($B1026,"0000"))</f>
        <v/>
      </c>
      <c r="W1026" s="19">
        <f>IF($I1026="","",IF(ISNUMBER($I1026),TEXT($I1026,"0"),$I1026))</f>
        <v/>
      </c>
    </row>
    <row r="1027">
      <c r="B1027" s="25" t="n"/>
      <c r="I1027" s="25" t="n"/>
      <c r="U1027" s="19">
        <f>IF($V1027&lt;&gt;'設定'!$C$4,N(U1026),IF(OR(NOT(COUNTIF('商品マスタ'!$B$6:$B$1005,$W1027)=0),COUNTIFS('①在庫を貼る'!$V$6:$V$10005,$V1027,'①在庫を貼る'!$W$6:$W$10005,$W1027)&gt;0),N(U1026),N(U1026)+1))</f>
        <v/>
      </c>
      <c r="V1027" s="19">
        <f>IF($B1027="","",TEXT($B1027,"0000"))</f>
        <v/>
      </c>
      <c r="W1027" s="19">
        <f>IF($I1027="","",IF(ISNUMBER($I1027),TEXT($I1027,"0"),$I1027))</f>
        <v/>
      </c>
    </row>
    <row r="1028">
      <c r="B1028" s="25" t="n"/>
      <c r="I1028" s="25" t="n"/>
      <c r="U1028" s="19">
        <f>IF($V1028&lt;&gt;'設定'!$C$4,N(U1027),IF(OR(NOT(COUNTIF('商品マスタ'!$B$6:$B$1005,$W1028)=0),COUNTIFS('①在庫を貼る'!$V$6:$V$10005,$V1028,'①在庫を貼る'!$W$6:$W$10005,$W1028)&gt;0),N(U1027),N(U1027)+1))</f>
        <v/>
      </c>
      <c r="V1028" s="19">
        <f>IF($B1028="","",TEXT($B1028,"0000"))</f>
        <v/>
      </c>
      <c r="W1028" s="19">
        <f>IF($I1028="","",IF(ISNUMBER($I1028),TEXT($I1028,"0"),$I1028))</f>
        <v/>
      </c>
    </row>
    <row r="1029">
      <c r="B1029" s="25" t="n"/>
      <c r="I1029" s="25" t="n"/>
      <c r="U1029" s="19">
        <f>IF($V1029&lt;&gt;'設定'!$C$4,N(U1028),IF(OR(NOT(COUNTIF('商品マスタ'!$B$6:$B$1005,$W1029)=0),COUNTIFS('①在庫を貼る'!$V$6:$V$10005,$V1029,'①在庫を貼る'!$W$6:$W$10005,$W1029)&gt;0),N(U1028),N(U1028)+1))</f>
        <v/>
      </c>
      <c r="V1029" s="19">
        <f>IF($B1029="","",TEXT($B1029,"0000"))</f>
        <v/>
      </c>
      <c r="W1029" s="19">
        <f>IF($I1029="","",IF(ISNUMBER($I1029),TEXT($I1029,"0"),$I1029))</f>
        <v/>
      </c>
    </row>
    <row r="1030">
      <c r="B1030" s="25" t="n"/>
      <c r="I1030" s="25" t="n"/>
      <c r="U1030" s="19">
        <f>IF($V1030&lt;&gt;'設定'!$C$4,N(U1029),IF(OR(NOT(COUNTIF('商品マスタ'!$B$6:$B$1005,$W1030)=0),COUNTIFS('①在庫を貼る'!$V$6:$V$10005,$V1030,'①在庫を貼る'!$W$6:$W$10005,$W1030)&gt;0),N(U1029),N(U1029)+1))</f>
        <v/>
      </c>
      <c r="V1030" s="19">
        <f>IF($B1030="","",TEXT($B1030,"0000"))</f>
        <v/>
      </c>
      <c r="W1030" s="19">
        <f>IF($I1030="","",IF(ISNUMBER($I1030),TEXT($I1030,"0"),$I1030))</f>
        <v/>
      </c>
    </row>
    <row r="1031">
      <c r="B1031" s="25" t="n"/>
      <c r="I1031" s="25" t="n"/>
      <c r="U1031" s="19">
        <f>IF($V1031&lt;&gt;'設定'!$C$4,N(U1030),IF(OR(NOT(COUNTIF('商品マスタ'!$B$6:$B$1005,$W1031)=0),COUNTIFS('①在庫を貼る'!$V$6:$V$10005,$V1031,'①在庫を貼る'!$W$6:$W$10005,$W1031)&gt;0),N(U1030),N(U1030)+1))</f>
        <v/>
      </c>
      <c r="V1031" s="19">
        <f>IF($B1031="","",TEXT($B1031,"0000"))</f>
        <v/>
      </c>
      <c r="W1031" s="19">
        <f>IF($I1031="","",IF(ISNUMBER($I1031),TEXT($I1031,"0"),$I1031))</f>
        <v/>
      </c>
    </row>
    <row r="1032">
      <c r="B1032" s="25" t="n"/>
      <c r="I1032" s="25" t="n"/>
      <c r="U1032" s="19">
        <f>IF($V1032&lt;&gt;'設定'!$C$4,N(U1031),IF(OR(NOT(COUNTIF('商品マスタ'!$B$6:$B$1005,$W1032)=0),COUNTIFS('①在庫を貼る'!$V$6:$V$10005,$V1032,'①在庫を貼る'!$W$6:$W$10005,$W1032)&gt;0),N(U1031),N(U1031)+1))</f>
        <v/>
      </c>
      <c r="V1032" s="19">
        <f>IF($B1032="","",TEXT($B1032,"0000"))</f>
        <v/>
      </c>
      <c r="W1032" s="19">
        <f>IF($I1032="","",IF(ISNUMBER($I1032),TEXT($I1032,"0"),$I1032))</f>
        <v/>
      </c>
    </row>
    <row r="1033">
      <c r="B1033" s="25" t="n"/>
      <c r="I1033" s="25" t="n"/>
      <c r="U1033" s="19">
        <f>IF($V1033&lt;&gt;'設定'!$C$4,N(U1032),IF(OR(NOT(COUNTIF('商品マスタ'!$B$6:$B$1005,$W1033)=0),COUNTIFS('①在庫を貼る'!$V$6:$V$10005,$V1033,'①在庫を貼る'!$W$6:$W$10005,$W1033)&gt;0),N(U1032),N(U1032)+1))</f>
        <v/>
      </c>
      <c r="V1033" s="19">
        <f>IF($B1033="","",TEXT($B1033,"0000"))</f>
        <v/>
      </c>
      <c r="W1033" s="19">
        <f>IF($I1033="","",IF(ISNUMBER($I1033),TEXT($I1033,"0"),$I1033))</f>
        <v/>
      </c>
    </row>
    <row r="1034">
      <c r="B1034" s="25" t="n"/>
      <c r="I1034" s="25" t="n"/>
      <c r="U1034" s="19">
        <f>IF($V1034&lt;&gt;'設定'!$C$4,N(U1033),IF(OR(NOT(COUNTIF('商品マスタ'!$B$6:$B$1005,$W1034)=0),COUNTIFS('①在庫を貼る'!$V$6:$V$10005,$V1034,'①在庫を貼る'!$W$6:$W$10005,$W1034)&gt;0),N(U1033),N(U1033)+1))</f>
        <v/>
      </c>
      <c r="V1034" s="19">
        <f>IF($B1034="","",TEXT($B1034,"0000"))</f>
        <v/>
      </c>
      <c r="W1034" s="19">
        <f>IF($I1034="","",IF(ISNUMBER($I1034),TEXT($I1034,"0"),$I1034))</f>
        <v/>
      </c>
    </row>
    <row r="1035">
      <c r="B1035" s="25" t="n"/>
      <c r="I1035" s="25" t="n"/>
      <c r="U1035" s="19">
        <f>IF($V1035&lt;&gt;'設定'!$C$4,N(U1034),IF(OR(NOT(COUNTIF('商品マスタ'!$B$6:$B$1005,$W1035)=0),COUNTIFS('①在庫を貼る'!$V$6:$V$10005,$V1035,'①在庫を貼る'!$W$6:$W$10005,$W1035)&gt;0),N(U1034),N(U1034)+1))</f>
        <v/>
      </c>
      <c r="V1035" s="19">
        <f>IF($B1035="","",TEXT($B1035,"0000"))</f>
        <v/>
      </c>
      <c r="W1035" s="19">
        <f>IF($I1035="","",IF(ISNUMBER($I1035),TEXT($I1035,"0"),$I1035))</f>
        <v/>
      </c>
    </row>
    <row r="1036">
      <c r="B1036" s="25" t="n"/>
      <c r="I1036" s="25" t="n"/>
      <c r="U1036" s="19">
        <f>IF($V1036&lt;&gt;'設定'!$C$4,N(U1035),IF(OR(NOT(COUNTIF('商品マスタ'!$B$6:$B$1005,$W1036)=0),COUNTIFS('①在庫を貼る'!$V$6:$V$10005,$V1036,'①在庫を貼る'!$W$6:$W$10005,$W1036)&gt;0),N(U1035),N(U1035)+1))</f>
        <v/>
      </c>
      <c r="V1036" s="19">
        <f>IF($B1036="","",TEXT($B1036,"0000"))</f>
        <v/>
      </c>
      <c r="W1036" s="19">
        <f>IF($I1036="","",IF(ISNUMBER($I1036),TEXT($I1036,"0"),$I1036))</f>
        <v/>
      </c>
    </row>
    <row r="1037">
      <c r="B1037" s="25" t="n"/>
      <c r="I1037" s="25" t="n"/>
      <c r="U1037" s="19">
        <f>IF($V1037&lt;&gt;'設定'!$C$4,N(U1036),IF(OR(NOT(COUNTIF('商品マスタ'!$B$6:$B$1005,$W1037)=0),COUNTIFS('①在庫を貼る'!$V$6:$V$10005,$V1037,'①在庫を貼る'!$W$6:$W$10005,$W1037)&gt;0),N(U1036),N(U1036)+1))</f>
        <v/>
      </c>
      <c r="V1037" s="19">
        <f>IF($B1037="","",TEXT($B1037,"0000"))</f>
        <v/>
      </c>
      <c r="W1037" s="19">
        <f>IF($I1037="","",IF(ISNUMBER($I1037),TEXT($I1037,"0"),$I1037))</f>
        <v/>
      </c>
    </row>
    <row r="1038">
      <c r="B1038" s="25" t="n"/>
      <c r="I1038" s="25" t="n"/>
      <c r="U1038" s="19">
        <f>IF($V1038&lt;&gt;'設定'!$C$4,N(U1037),IF(OR(NOT(COUNTIF('商品マスタ'!$B$6:$B$1005,$W1038)=0),COUNTIFS('①在庫を貼る'!$V$6:$V$10005,$V1038,'①在庫を貼る'!$W$6:$W$10005,$W1038)&gt;0),N(U1037),N(U1037)+1))</f>
        <v/>
      </c>
      <c r="V1038" s="19">
        <f>IF($B1038="","",TEXT($B1038,"0000"))</f>
        <v/>
      </c>
      <c r="W1038" s="19">
        <f>IF($I1038="","",IF(ISNUMBER($I1038),TEXT($I1038,"0"),$I1038))</f>
        <v/>
      </c>
    </row>
    <row r="1039">
      <c r="B1039" s="25" t="n"/>
      <c r="I1039" s="25" t="n"/>
      <c r="U1039" s="19">
        <f>IF($V1039&lt;&gt;'設定'!$C$4,N(U1038),IF(OR(NOT(COUNTIF('商品マスタ'!$B$6:$B$1005,$W1039)=0),COUNTIFS('①在庫を貼る'!$V$6:$V$10005,$V1039,'①在庫を貼る'!$W$6:$W$10005,$W1039)&gt;0),N(U1038),N(U1038)+1))</f>
        <v/>
      </c>
      <c r="V1039" s="19">
        <f>IF($B1039="","",TEXT($B1039,"0000"))</f>
        <v/>
      </c>
      <c r="W1039" s="19">
        <f>IF($I1039="","",IF(ISNUMBER($I1039),TEXT($I1039,"0"),$I1039))</f>
        <v/>
      </c>
    </row>
    <row r="1040">
      <c r="B1040" s="25" t="n"/>
      <c r="I1040" s="25" t="n"/>
      <c r="U1040" s="19">
        <f>IF($V1040&lt;&gt;'設定'!$C$4,N(U1039),IF(OR(NOT(COUNTIF('商品マスタ'!$B$6:$B$1005,$W1040)=0),COUNTIFS('①在庫を貼る'!$V$6:$V$10005,$V1040,'①在庫を貼る'!$W$6:$W$10005,$W1040)&gt;0),N(U1039),N(U1039)+1))</f>
        <v/>
      </c>
      <c r="V1040" s="19">
        <f>IF($B1040="","",TEXT($B1040,"0000"))</f>
        <v/>
      </c>
      <c r="W1040" s="19">
        <f>IF($I1040="","",IF(ISNUMBER($I1040),TEXT($I1040,"0"),$I1040))</f>
        <v/>
      </c>
    </row>
    <row r="1041">
      <c r="B1041" s="25" t="n"/>
      <c r="I1041" s="25" t="n"/>
      <c r="U1041" s="19">
        <f>IF($V1041&lt;&gt;'設定'!$C$4,N(U1040),IF(OR(NOT(COUNTIF('商品マスタ'!$B$6:$B$1005,$W1041)=0),COUNTIFS('①在庫を貼る'!$V$6:$V$10005,$V1041,'①在庫を貼る'!$W$6:$W$10005,$W1041)&gt;0),N(U1040),N(U1040)+1))</f>
        <v/>
      </c>
      <c r="V1041" s="19">
        <f>IF($B1041="","",TEXT($B1041,"0000"))</f>
        <v/>
      </c>
      <c r="W1041" s="19">
        <f>IF($I1041="","",IF(ISNUMBER($I1041),TEXT($I1041,"0"),$I1041))</f>
        <v/>
      </c>
    </row>
    <row r="1042">
      <c r="B1042" s="25" t="n"/>
      <c r="I1042" s="25" t="n"/>
      <c r="U1042" s="19">
        <f>IF($V1042&lt;&gt;'設定'!$C$4,N(U1041),IF(OR(NOT(COUNTIF('商品マスタ'!$B$6:$B$1005,$W1042)=0),COUNTIFS('①在庫を貼る'!$V$6:$V$10005,$V1042,'①在庫を貼る'!$W$6:$W$10005,$W1042)&gt;0),N(U1041),N(U1041)+1))</f>
        <v/>
      </c>
      <c r="V1042" s="19">
        <f>IF($B1042="","",TEXT($B1042,"0000"))</f>
        <v/>
      </c>
      <c r="W1042" s="19">
        <f>IF($I1042="","",IF(ISNUMBER($I1042),TEXT($I1042,"0"),$I1042))</f>
        <v/>
      </c>
    </row>
    <row r="1043">
      <c r="B1043" s="25" t="n"/>
      <c r="I1043" s="25" t="n"/>
      <c r="U1043" s="19">
        <f>IF($V1043&lt;&gt;'設定'!$C$4,N(U1042),IF(OR(NOT(COUNTIF('商品マスタ'!$B$6:$B$1005,$W1043)=0),COUNTIFS('①在庫を貼る'!$V$6:$V$10005,$V1043,'①在庫を貼る'!$W$6:$W$10005,$W1043)&gt;0),N(U1042),N(U1042)+1))</f>
        <v/>
      </c>
      <c r="V1043" s="19">
        <f>IF($B1043="","",TEXT($B1043,"0000"))</f>
        <v/>
      </c>
      <c r="W1043" s="19">
        <f>IF($I1043="","",IF(ISNUMBER($I1043),TEXT($I1043,"0"),$I1043))</f>
        <v/>
      </c>
    </row>
    <row r="1044">
      <c r="B1044" s="25" t="n"/>
      <c r="I1044" s="25" t="n"/>
      <c r="U1044" s="19">
        <f>IF($V1044&lt;&gt;'設定'!$C$4,N(U1043),IF(OR(NOT(COUNTIF('商品マスタ'!$B$6:$B$1005,$W1044)=0),COUNTIFS('①在庫を貼る'!$V$6:$V$10005,$V1044,'①在庫を貼る'!$W$6:$W$10005,$W1044)&gt;0),N(U1043),N(U1043)+1))</f>
        <v/>
      </c>
      <c r="V1044" s="19">
        <f>IF($B1044="","",TEXT($B1044,"0000"))</f>
        <v/>
      </c>
      <c r="W1044" s="19">
        <f>IF($I1044="","",IF(ISNUMBER($I1044),TEXT($I1044,"0"),$I1044))</f>
        <v/>
      </c>
    </row>
    <row r="1045">
      <c r="B1045" s="25" t="n"/>
      <c r="I1045" s="25" t="n"/>
      <c r="U1045" s="19">
        <f>IF($V1045&lt;&gt;'設定'!$C$4,N(U1044),IF(OR(NOT(COUNTIF('商品マスタ'!$B$6:$B$1005,$W1045)=0),COUNTIFS('①在庫を貼る'!$V$6:$V$10005,$V1045,'①在庫を貼る'!$W$6:$W$10005,$W1045)&gt;0),N(U1044),N(U1044)+1))</f>
        <v/>
      </c>
      <c r="V1045" s="19">
        <f>IF($B1045="","",TEXT($B1045,"0000"))</f>
        <v/>
      </c>
      <c r="W1045" s="19">
        <f>IF($I1045="","",IF(ISNUMBER($I1045),TEXT($I1045,"0"),$I1045))</f>
        <v/>
      </c>
    </row>
    <row r="1046">
      <c r="B1046" s="25" t="n"/>
      <c r="I1046" s="25" t="n"/>
      <c r="U1046" s="19">
        <f>IF($V1046&lt;&gt;'設定'!$C$4,N(U1045),IF(OR(NOT(COUNTIF('商品マスタ'!$B$6:$B$1005,$W1046)=0),COUNTIFS('①在庫を貼る'!$V$6:$V$10005,$V1046,'①在庫を貼る'!$W$6:$W$10005,$W1046)&gt;0),N(U1045),N(U1045)+1))</f>
        <v/>
      </c>
      <c r="V1046" s="19">
        <f>IF($B1046="","",TEXT($B1046,"0000"))</f>
        <v/>
      </c>
      <c r="W1046" s="19">
        <f>IF($I1046="","",IF(ISNUMBER($I1046),TEXT($I1046,"0"),$I1046))</f>
        <v/>
      </c>
    </row>
    <row r="1047">
      <c r="B1047" s="25" t="n"/>
      <c r="I1047" s="25" t="n"/>
      <c r="U1047" s="19">
        <f>IF($V1047&lt;&gt;'設定'!$C$4,N(U1046),IF(OR(NOT(COUNTIF('商品マスタ'!$B$6:$B$1005,$W1047)=0),COUNTIFS('①在庫を貼る'!$V$6:$V$10005,$V1047,'①在庫を貼る'!$W$6:$W$10005,$W1047)&gt;0),N(U1046),N(U1046)+1))</f>
        <v/>
      </c>
      <c r="V1047" s="19">
        <f>IF($B1047="","",TEXT($B1047,"0000"))</f>
        <v/>
      </c>
      <c r="W1047" s="19">
        <f>IF($I1047="","",IF(ISNUMBER($I1047),TEXT($I1047,"0"),$I1047))</f>
        <v/>
      </c>
    </row>
    <row r="1048">
      <c r="B1048" s="25" t="n"/>
      <c r="I1048" s="25" t="n"/>
      <c r="U1048" s="19">
        <f>IF($V1048&lt;&gt;'設定'!$C$4,N(U1047),IF(OR(NOT(COUNTIF('商品マスタ'!$B$6:$B$1005,$W1048)=0),COUNTIFS('①在庫を貼る'!$V$6:$V$10005,$V1048,'①在庫を貼る'!$W$6:$W$10005,$W1048)&gt;0),N(U1047),N(U1047)+1))</f>
        <v/>
      </c>
      <c r="V1048" s="19">
        <f>IF($B1048="","",TEXT($B1048,"0000"))</f>
        <v/>
      </c>
      <c r="W1048" s="19">
        <f>IF($I1048="","",IF(ISNUMBER($I1048),TEXT($I1048,"0"),$I1048))</f>
        <v/>
      </c>
    </row>
    <row r="1049">
      <c r="B1049" s="25" t="n"/>
      <c r="I1049" s="25" t="n"/>
      <c r="U1049" s="19">
        <f>IF($V1049&lt;&gt;'設定'!$C$4,N(U1048),IF(OR(NOT(COUNTIF('商品マスタ'!$B$6:$B$1005,$W1049)=0),COUNTIFS('①在庫を貼る'!$V$6:$V$10005,$V1049,'①在庫を貼る'!$W$6:$W$10005,$W1049)&gt;0),N(U1048),N(U1048)+1))</f>
        <v/>
      </c>
      <c r="V1049" s="19">
        <f>IF($B1049="","",TEXT($B1049,"0000"))</f>
        <v/>
      </c>
      <c r="W1049" s="19">
        <f>IF($I1049="","",IF(ISNUMBER($I1049),TEXT($I1049,"0"),$I1049))</f>
        <v/>
      </c>
    </row>
    <row r="1050">
      <c r="B1050" s="25" t="n"/>
      <c r="I1050" s="25" t="n"/>
      <c r="U1050" s="19">
        <f>IF($V1050&lt;&gt;'設定'!$C$4,N(U1049),IF(OR(NOT(COUNTIF('商品マスタ'!$B$6:$B$1005,$W1050)=0),COUNTIFS('①在庫を貼る'!$V$6:$V$10005,$V1050,'①在庫を貼る'!$W$6:$W$10005,$W1050)&gt;0),N(U1049),N(U1049)+1))</f>
        <v/>
      </c>
      <c r="V1050" s="19">
        <f>IF($B1050="","",TEXT($B1050,"0000"))</f>
        <v/>
      </c>
      <c r="W1050" s="19">
        <f>IF($I1050="","",IF(ISNUMBER($I1050),TEXT($I1050,"0"),$I1050))</f>
        <v/>
      </c>
    </row>
    <row r="1051">
      <c r="B1051" s="25" t="n"/>
      <c r="I1051" s="25" t="n"/>
      <c r="U1051" s="19">
        <f>IF($V1051&lt;&gt;'設定'!$C$4,N(U1050),IF(OR(NOT(COUNTIF('商品マスタ'!$B$6:$B$1005,$W1051)=0),COUNTIFS('①在庫を貼る'!$V$6:$V$10005,$V1051,'①在庫を貼る'!$W$6:$W$10005,$W1051)&gt;0),N(U1050),N(U1050)+1))</f>
        <v/>
      </c>
      <c r="V1051" s="19">
        <f>IF($B1051="","",TEXT($B1051,"0000"))</f>
        <v/>
      </c>
      <c r="W1051" s="19">
        <f>IF($I1051="","",IF(ISNUMBER($I1051),TEXT($I1051,"0"),$I1051))</f>
        <v/>
      </c>
    </row>
    <row r="1052">
      <c r="B1052" s="25" t="n"/>
      <c r="I1052" s="25" t="n"/>
      <c r="U1052" s="19">
        <f>IF($V1052&lt;&gt;'設定'!$C$4,N(U1051),IF(OR(NOT(COUNTIF('商品マスタ'!$B$6:$B$1005,$W1052)=0),COUNTIFS('①在庫を貼る'!$V$6:$V$10005,$V1052,'①在庫を貼る'!$W$6:$W$10005,$W1052)&gt;0),N(U1051),N(U1051)+1))</f>
        <v/>
      </c>
      <c r="V1052" s="19">
        <f>IF($B1052="","",TEXT($B1052,"0000"))</f>
        <v/>
      </c>
      <c r="W1052" s="19">
        <f>IF($I1052="","",IF(ISNUMBER($I1052),TEXT($I1052,"0"),$I1052))</f>
        <v/>
      </c>
    </row>
    <row r="1053">
      <c r="B1053" s="25" t="n"/>
      <c r="I1053" s="25" t="n"/>
      <c r="U1053" s="19">
        <f>IF($V1053&lt;&gt;'設定'!$C$4,N(U1052),IF(OR(NOT(COUNTIF('商品マスタ'!$B$6:$B$1005,$W1053)=0),COUNTIFS('①在庫を貼る'!$V$6:$V$10005,$V1053,'①在庫を貼る'!$W$6:$W$10005,$W1053)&gt;0),N(U1052),N(U1052)+1))</f>
        <v/>
      </c>
      <c r="V1053" s="19">
        <f>IF($B1053="","",TEXT($B1053,"0000"))</f>
        <v/>
      </c>
      <c r="W1053" s="19">
        <f>IF($I1053="","",IF(ISNUMBER($I1053),TEXT($I1053,"0"),$I1053))</f>
        <v/>
      </c>
    </row>
    <row r="1054">
      <c r="B1054" s="25" t="n"/>
      <c r="I1054" s="25" t="n"/>
      <c r="U1054" s="19">
        <f>IF($V1054&lt;&gt;'設定'!$C$4,N(U1053),IF(OR(NOT(COUNTIF('商品マスタ'!$B$6:$B$1005,$W1054)=0),COUNTIFS('①在庫を貼る'!$V$6:$V$10005,$V1054,'①在庫を貼る'!$W$6:$W$10005,$W1054)&gt;0),N(U1053),N(U1053)+1))</f>
        <v/>
      </c>
      <c r="V1054" s="19">
        <f>IF($B1054="","",TEXT($B1054,"0000"))</f>
        <v/>
      </c>
      <c r="W1054" s="19">
        <f>IF($I1054="","",IF(ISNUMBER($I1054),TEXT($I1054,"0"),$I1054))</f>
        <v/>
      </c>
    </row>
    <row r="1055">
      <c r="B1055" s="25" t="n"/>
      <c r="I1055" s="25" t="n"/>
      <c r="U1055" s="19">
        <f>IF($V1055&lt;&gt;'設定'!$C$4,N(U1054),IF(OR(NOT(COUNTIF('商品マスタ'!$B$6:$B$1005,$W1055)=0),COUNTIFS('①在庫を貼る'!$V$6:$V$10005,$V1055,'①在庫を貼る'!$W$6:$W$10005,$W1055)&gt;0),N(U1054),N(U1054)+1))</f>
        <v/>
      </c>
      <c r="V1055" s="19">
        <f>IF($B1055="","",TEXT($B1055,"0000"))</f>
        <v/>
      </c>
      <c r="W1055" s="19">
        <f>IF($I1055="","",IF(ISNUMBER($I1055),TEXT($I1055,"0"),$I1055))</f>
        <v/>
      </c>
    </row>
    <row r="1056">
      <c r="B1056" s="25" t="n"/>
      <c r="I1056" s="25" t="n"/>
      <c r="U1056" s="19">
        <f>IF($V1056&lt;&gt;'設定'!$C$4,N(U1055),IF(OR(NOT(COUNTIF('商品マスタ'!$B$6:$B$1005,$W1056)=0),COUNTIFS('①在庫を貼る'!$V$6:$V$10005,$V1056,'①在庫を貼る'!$W$6:$W$10005,$W1056)&gt;0),N(U1055),N(U1055)+1))</f>
        <v/>
      </c>
      <c r="V1056" s="19">
        <f>IF($B1056="","",TEXT($B1056,"0000"))</f>
        <v/>
      </c>
      <c r="W1056" s="19">
        <f>IF($I1056="","",IF(ISNUMBER($I1056),TEXT($I1056,"0"),$I1056))</f>
        <v/>
      </c>
    </row>
    <row r="1057">
      <c r="B1057" s="25" t="n"/>
      <c r="I1057" s="25" t="n"/>
      <c r="U1057" s="19">
        <f>IF($V1057&lt;&gt;'設定'!$C$4,N(U1056),IF(OR(NOT(COUNTIF('商品マスタ'!$B$6:$B$1005,$W1057)=0),COUNTIFS('①在庫を貼る'!$V$6:$V$10005,$V1057,'①在庫を貼る'!$W$6:$W$10005,$W1057)&gt;0),N(U1056),N(U1056)+1))</f>
        <v/>
      </c>
      <c r="V1057" s="19">
        <f>IF($B1057="","",TEXT($B1057,"0000"))</f>
        <v/>
      </c>
      <c r="W1057" s="19">
        <f>IF($I1057="","",IF(ISNUMBER($I1057),TEXT($I1057,"0"),$I1057))</f>
        <v/>
      </c>
    </row>
    <row r="1058">
      <c r="B1058" s="25" t="n"/>
      <c r="I1058" s="25" t="n"/>
      <c r="U1058" s="19">
        <f>IF($V1058&lt;&gt;'設定'!$C$4,N(U1057),IF(OR(NOT(COUNTIF('商品マスタ'!$B$6:$B$1005,$W1058)=0),COUNTIFS('①在庫を貼る'!$V$6:$V$10005,$V1058,'①在庫を貼る'!$W$6:$W$10005,$W1058)&gt;0),N(U1057),N(U1057)+1))</f>
        <v/>
      </c>
      <c r="V1058" s="19">
        <f>IF($B1058="","",TEXT($B1058,"0000"))</f>
        <v/>
      </c>
      <c r="W1058" s="19">
        <f>IF($I1058="","",IF(ISNUMBER($I1058),TEXT($I1058,"0"),$I1058))</f>
        <v/>
      </c>
    </row>
    <row r="1059">
      <c r="B1059" s="25" t="n"/>
      <c r="I1059" s="25" t="n"/>
      <c r="U1059" s="19">
        <f>IF($V1059&lt;&gt;'設定'!$C$4,N(U1058),IF(OR(NOT(COUNTIF('商品マスタ'!$B$6:$B$1005,$W1059)=0),COUNTIFS('①在庫を貼る'!$V$6:$V$10005,$V1059,'①在庫を貼る'!$W$6:$W$10005,$W1059)&gt;0),N(U1058),N(U1058)+1))</f>
        <v/>
      </c>
      <c r="V1059" s="19">
        <f>IF($B1059="","",TEXT($B1059,"0000"))</f>
        <v/>
      </c>
      <c r="W1059" s="19">
        <f>IF($I1059="","",IF(ISNUMBER($I1059),TEXT($I1059,"0"),$I1059))</f>
        <v/>
      </c>
    </row>
    <row r="1060">
      <c r="B1060" s="25" t="n"/>
      <c r="I1060" s="25" t="n"/>
      <c r="U1060" s="19">
        <f>IF($V1060&lt;&gt;'設定'!$C$4,N(U1059),IF(OR(NOT(COUNTIF('商品マスタ'!$B$6:$B$1005,$W1060)=0),COUNTIFS('①在庫を貼る'!$V$6:$V$10005,$V1060,'①在庫を貼る'!$W$6:$W$10005,$W1060)&gt;0),N(U1059),N(U1059)+1))</f>
        <v/>
      </c>
      <c r="V1060" s="19">
        <f>IF($B1060="","",TEXT($B1060,"0000"))</f>
        <v/>
      </c>
      <c r="W1060" s="19">
        <f>IF($I1060="","",IF(ISNUMBER($I1060),TEXT($I1060,"0"),$I1060))</f>
        <v/>
      </c>
    </row>
    <row r="1061">
      <c r="B1061" s="25" t="n"/>
      <c r="I1061" s="25" t="n"/>
      <c r="U1061" s="19">
        <f>IF($V1061&lt;&gt;'設定'!$C$4,N(U1060),IF(OR(NOT(COUNTIF('商品マスタ'!$B$6:$B$1005,$W1061)=0),COUNTIFS('①在庫を貼る'!$V$6:$V$10005,$V1061,'①在庫を貼る'!$W$6:$W$10005,$W1061)&gt;0),N(U1060),N(U1060)+1))</f>
        <v/>
      </c>
      <c r="V1061" s="19">
        <f>IF($B1061="","",TEXT($B1061,"0000"))</f>
        <v/>
      </c>
      <c r="W1061" s="19">
        <f>IF($I1061="","",IF(ISNUMBER($I1061),TEXT($I1061,"0"),$I1061))</f>
        <v/>
      </c>
    </row>
    <row r="1062">
      <c r="B1062" s="25" t="n"/>
      <c r="I1062" s="25" t="n"/>
      <c r="U1062" s="19">
        <f>IF($V1062&lt;&gt;'設定'!$C$4,N(U1061),IF(OR(NOT(COUNTIF('商品マスタ'!$B$6:$B$1005,$W1062)=0),COUNTIFS('①在庫を貼る'!$V$6:$V$10005,$V1062,'①在庫を貼る'!$W$6:$W$10005,$W1062)&gt;0),N(U1061),N(U1061)+1))</f>
        <v/>
      </c>
      <c r="V1062" s="19">
        <f>IF($B1062="","",TEXT($B1062,"0000"))</f>
        <v/>
      </c>
      <c r="W1062" s="19">
        <f>IF($I1062="","",IF(ISNUMBER($I1062),TEXT($I1062,"0"),$I1062))</f>
        <v/>
      </c>
    </row>
    <row r="1063">
      <c r="B1063" s="25" t="n"/>
      <c r="I1063" s="25" t="n"/>
      <c r="U1063" s="19">
        <f>IF($V1063&lt;&gt;'設定'!$C$4,N(U1062),IF(OR(NOT(COUNTIF('商品マスタ'!$B$6:$B$1005,$W1063)=0),COUNTIFS('①在庫を貼る'!$V$6:$V$10005,$V1063,'①在庫を貼る'!$W$6:$W$10005,$W1063)&gt;0),N(U1062),N(U1062)+1))</f>
        <v/>
      </c>
      <c r="V1063" s="19">
        <f>IF($B1063="","",TEXT($B1063,"0000"))</f>
        <v/>
      </c>
      <c r="W1063" s="19">
        <f>IF($I1063="","",IF(ISNUMBER($I1063),TEXT($I1063,"0"),$I1063))</f>
        <v/>
      </c>
    </row>
    <row r="1064">
      <c r="B1064" s="25" t="n"/>
      <c r="I1064" s="25" t="n"/>
      <c r="U1064" s="19">
        <f>IF($V1064&lt;&gt;'設定'!$C$4,N(U1063),IF(OR(NOT(COUNTIF('商品マスタ'!$B$6:$B$1005,$W1064)=0),COUNTIFS('①在庫を貼る'!$V$6:$V$10005,$V1064,'①在庫を貼る'!$W$6:$W$10005,$W1064)&gt;0),N(U1063),N(U1063)+1))</f>
        <v/>
      </c>
      <c r="V1064" s="19">
        <f>IF($B1064="","",TEXT($B1064,"0000"))</f>
        <v/>
      </c>
      <c r="W1064" s="19">
        <f>IF($I1064="","",IF(ISNUMBER($I1064),TEXT($I1064,"0"),$I1064))</f>
        <v/>
      </c>
    </row>
    <row r="1065">
      <c r="B1065" s="25" t="n"/>
      <c r="I1065" s="25" t="n"/>
      <c r="U1065" s="19">
        <f>IF($V1065&lt;&gt;'設定'!$C$4,N(U1064),IF(OR(NOT(COUNTIF('商品マスタ'!$B$6:$B$1005,$W1065)=0),COUNTIFS('①在庫を貼る'!$V$6:$V$10005,$V1065,'①在庫を貼る'!$W$6:$W$10005,$W1065)&gt;0),N(U1064),N(U1064)+1))</f>
        <v/>
      </c>
      <c r="V1065" s="19">
        <f>IF($B1065="","",TEXT($B1065,"0000"))</f>
        <v/>
      </c>
      <c r="W1065" s="19">
        <f>IF($I1065="","",IF(ISNUMBER($I1065),TEXT($I1065,"0"),$I1065))</f>
        <v/>
      </c>
    </row>
    <row r="1066">
      <c r="B1066" s="25" t="n"/>
      <c r="I1066" s="25" t="n"/>
      <c r="U1066" s="19">
        <f>IF($V1066&lt;&gt;'設定'!$C$4,N(U1065),IF(OR(NOT(COUNTIF('商品マスタ'!$B$6:$B$1005,$W1066)=0),COUNTIFS('①在庫を貼る'!$V$6:$V$10005,$V1066,'①在庫を貼る'!$W$6:$W$10005,$W1066)&gt;0),N(U1065),N(U1065)+1))</f>
        <v/>
      </c>
      <c r="V1066" s="19">
        <f>IF($B1066="","",TEXT($B1066,"0000"))</f>
        <v/>
      </c>
      <c r="W1066" s="19">
        <f>IF($I1066="","",IF(ISNUMBER($I1066),TEXT($I1066,"0"),$I1066))</f>
        <v/>
      </c>
    </row>
    <row r="1067">
      <c r="B1067" s="25" t="n"/>
      <c r="I1067" s="25" t="n"/>
      <c r="U1067" s="19">
        <f>IF($V1067&lt;&gt;'設定'!$C$4,N(U1066),IF(OR(NOT(COUNTIF('商品マスタ'!$B$6:$B$1005,$W1067)=0),COUNTIFS('①在庫を貼る'!$V$6:$V$10005,$V1067,'①在庫を貼る'!$W$6:$W$10005,$W1067)&gt;0),N(U1066),N(U1066)+1))</f>
        <v/>
      </c>
      <c r="V1067" s="19">
        <f>IF($B1067="","",TEXT($B1067,"0000"))</f>
        <v/>
      </c>
      <c r="W1067" s="19">
        <f>IF($I1067="","",IF(ISNUMBER($I1067),TEXT($I1067,"0"),$I1067))</f>
        <v/>
      </c>
    </row>
    <row r="1068">
      <c r="B1068" s="25" t="n"/>
      <c r="I1068" s="25" t="n"/>
      <c r="U1068" s="19">
        <f>IF($V1068&lt;&gt;'設定'!$C$4,N(U1067),IF(OR(NOT(COUNTIF('商品マスタ'!$B$6:$B$1005,$W1068)=0),COUNTIFS('①在庫を貼る'!$V$6:$V$10005,$V1068,'①在庫を貼る'!$W$6:$W$10005,$W1068)&gt;0),N(U1067),N(U1067)+1))</f>
        <v/>
      </c>
      <c r="V1068" s="19">
        <f>IF($B1068="","",TEXT($B1068,"0000"))</f>
        <v/>
      </c>
      <c r="W1068" s="19">
        <f>IF($I1068="","",IF(ISNUMBER($I1068),TEXT($I1068,"0"),$I1068))</f>
        <v/>
      </c>
    </row>
    <row r="1069">
      <c r="B1069" s="25" t="n"/>
      <c r="I1069" s="25" t="n"/>
      <c r="U1069" s="19">
        <f>IF($V1069&lt;&gt;'設定'!$C$4,N(U1068),IF(OR(NOT(COUNTIF('商品マスタ'!$B$6:$B$1005,$W1069)=0),COUNTIFS('①在庫を貼る'!$V$6:$V$10005,$V1069,'①在庫を貼る'!$W$6:$W$10005,$W1069)&gt;0),N(U1068),N(U1068)+1))</f>
        <v/>
      </c>
      <c r="V1069" s="19">
        <f>IF($B1069="","",TEXT($B1069,"0000"))</f>
        <v/>
      </c>
      <c r="W1069" s="19">
        <f>IF($I1069="","",IF(ISNUMBER($I1069),TEXT($I1069,"0"),$I1069))</f>
        <v/>
      </c>
    </row>
    <row r="1070">
      <c r="B1070" s="25" t="n"/>
      <c r="I1070" s="25" t="n"/>
      <c r="U1070" s="19">
        <f>IF($V1070&lt;&gt;'設定'!$C$4,N(U1069),IF(OR(NOT(COUNTIF('商品マスタ'!$B$6:$B$1005,$W1070)=0),COUNTIFS('①在庫を貼る'!$V$6:$V$10005,$V1070,'①在庫を貼る'!$W$6:$W$10005,$W1070)&gt;0),N(U1069),N(U1069)+1))</f>
        <v/>
      </c>
      <c r="V1070" s="19">
        <f>IF($B1070="","",TEXT($B1070,"0000"))</f>
        <v/>
      </c>
      <c r="W1070" s="19">
        <f>IF($I1070="","",IF(ISNUMBER($I1070),TEXT($I1070,"0"),$I1070))</f>
        <v/>
      </c>
    </row>
    <row r="1071">
      <c r="B1071" s="25" t="n"/>
      <c r="I1071" s="25" t="n"/>
      <c r="U1071" s="19">
        <f>IF($V1071&lt;&gt;'設定'!$C$4,N(U1070),IF(OR(NOT(COUNTIF('商品マスタ'!$B$6:$B$1005,$W1071)=0),COUNTIFS('①在庫を貼る'!$V$6:$V$10005,$V1071,'①在庫を貼る'!$W$6:$W$10005,$W1071)&gt;0),N(U1070),N(U1070)+1))</f>
        <v/>
      </c>
      <c r="V1071" s="19">
        <f>IF($B1071="","",TEXT($B1071,"0000"))</f>
        <v/>
      </c>
      <c r="W1071" s="19">
        <f>IF($I1071="","",IF(ISNUMBER($I1071),TEXT($I1071,"0"),$I1071))</f>
        <v/>
      </c>
    </row>
    <row r="1072">
      <c r="B1072" s="25" t="n"/>
      <c r="I1072" s="25" t="n"/>
      <c r="U1072" s="19">
        <f>IF($V1072&lt;&gt;'設定'!$C$4,N(U1071),IF(OR(NOT(COUNTIF('商品マスタ'!$B$6:$B$1005,$W1072)=0),COUNTIFS('①在庫を貼る'!$V$6:$V$10005,$V1072,'①在庫を貼る'!$W$6:$W$10005,$W1072)&gt;0),N(U1071),N(U1071)+1))</f>
        <v/>
      </c>
      <c r="V1072" s="19">
        <f>IF($B1072="","",TEXT($B1072,"0000"))</f>
        <v/>
      </c>
      <c r="W1072" s="19">
        <f>IF($I1072="","",IF(ISNUMBER($I1072),TEXT($I1072,"0"),$I1072))</f>
        <v/>
      </c>
    </row>
    <row r="1073">
      <c r="B1073" s="25" t="n"/>
      <c r="I1073" s="25" t="n"/>
      <c r="U1073" s="19">
        <f>IF($V1073&lt;&gt;'設定'!$C$4,N(U1072),IF(OR(NOT(COUNTIF('商品マスタ'!$B$6:$B$1005,$W1073)=0),COUNTIFS('①在庫を貼る'!$V$6:$V$10005,$V1073,'①在庫を貼る'!$W$6:$W$10005,$W1073)&gt;0),N(U1072),N(U1072)+1))</f>
        <v/>
      </c>
      <c r="V1073" s="19">
        <f>IF($B1073="","",TEXT($B1073,"0000"))</f>
        <v/>
      </c>
      <c r="W1073" s="19">
        <f>IF($I1073="","",IF(ISNUMBER($I1073),TEXT($I1073,"0"),$I1073))</f>
        <v/>
      </c>
    </row>
    <row r="1074">
      <c r="B1074" s="25" t="n"/>
      <c r="I1074" s="25" t="n"/>
      <c r="U1074" s="19">
        <f>IF($V1074&lt;&gt;'設定'!$C$4,N(U1073),IF(OR(NOT(COUNTIF('商品マスタ'!$B$6:$B$1005,$W1074)=0),COUNTIFS('①在庫を貼る'!$V$6:$V$10005,$V1074,'①在庫を貼る'!$W$6:$W$10005,$W1074)&gt;0),N(U1073),N(U1073)+1))</f>
        <v/>
      </c>
      <c r="V1074" s="19">
        <f>IF($B1074="","",TEXT($B1074,"0000"))</f>
        <v/>
      </c>
      <c r="W1074" s="19">
        <f>IF($I1074="","",IF(ISNUMBER($I1074),TEXT($I1074,"0"),$I1074))</f>
        <v/>
      </c>
    </row>
    <row r="1075">
      <c r="B1075" s="25" t="n"/>
      <c r="I1075" s="25" t="n"/>
      <c r="U1075" s="19">
        <f>IF($V1075&lt;&gt;'設定'!$C$4,N(U1074),IF(OR(NOT(COUNTIF('商品マスタ'!$B$6:$B$1005,$W1075)=0),COUNTIFS('①在庫を貼る'!$V$6:$V$10005,$V1075,'①在庫を貼る'!$W$6:$W$10005,$W1075)&gt;0),N(U1074),N(U1074)+1))</f>
        <v/>
      </c>
      <c r="V1075" s="19">
        <f>IF($B1075="","",TEXT($B1075,"0000"))</f>
        <v/>
      </c>
      <c r="W1075" s="19">
        <f>IF($I1075="","",IF(ISNUMBER($I1075),TEXT($I1075,"0"),$I1075))</f>
        <v/>
      </c>
    </row>
    <row r="1076">
      <c r="B1076" s="25" t="n"/>
      <c r="I1076" s="25" t="n"/>
      <c r="U1076" s="19">
        <f>IF($V1076&lt;&gt;'設定'!$C$4,N(U1075),IF(OR(NOT(COUNTIF('商品マスタ'!$B$6:$B$1005,$W1076)=0),COUNTIFS('①在庫を貼る'!$V$6:$V$10005,$V1076,'①在庫を貼る'!$W$6:$W$10005,$W1076)&gt;0),N(U1075),N(U1075)+1))</f>
        <v/>
      </c>
      <c r="V1076" s="19">
        <f>IF($B1076="","",TEXT($B1076,"0000"))</f>
        <v/>
      </c>
      <c r="W1076" s="19">
        <f>IF($I1076="","",IF(ISNUMBER($I1076),TEXT($I1076,"0"),$I1076))</f>
        <v/>
      </c>
    </row>
    <row r="1077">
      <c r="B1077" s="25" t="n"/>
      <c r="I1077" s="25" t="n"/>
      <c r="U1077" s="19">
        <f>IF($V1077&lt;&gt;'設定'!$C$4,N(U1076),IF(OR(NOT(COUNTIF('商品マスタ'!$B$6:$B$1005,$W1077)=0),COUNTIFS('①在庫を貼る'!$V$6:$V$10005,$V1077,'①在庫を貼る'!$W$6:$W$10005,$W1077)&gt;0),N(U1076),N(U1076)+1))</f>
        <v/>
      </c>
      <c r="V1077" s="19">
        <f>IF($B1077="","",TEXT($B1077,"0000"))</f>
        <v/>
      </c>
      <c r="W1077" s="19">
        <f>IF($I1077="","",IF(ISNUMBER($I1077),TEXT($I1077,"0"),$I1077))</f>
        <v/>
      </c>
    </row>
    <row r="1078">
      <c r="B1078" s="25" t="n"/>
      <c r="I1078" s="25" t="n"/>
      <c r="U1078" s="19">
        <f>IF($V1078&lt;&gt;'設定'!$C$4,N(U1077),IF(OR(NOT(COUNTIF('商品マスタ'!$B$6:$B$1005,$W1078)=0),COUNTIFS('①在庫を貼る'!$V$6:$V$10005,$V1078,'①在庫を貼る'!$W$6:$W$10005,$W1078)&gt;0),N(U1077),N(U1077)+1))</f>
        <v/>
      </c>
      <c r="V1078" s="19">
        <f>IF($B1078="","",TEXT($B1078,"0000"))</f>
        <v/>
      </c>
      <c r="W1078" s="19">
        <f>IF($I1078="","",IF(ISNUMBER($I1078),TEXT($I1078,"0"),$I1078))</f>
        <v/>
      </c>
    </row>
    <row r="1079">
      <c r="B1079" s="25" t="n"/>
      <c r="I1079" s="25" t="n"/>
      <c r="U1079" s="19">
        <f>IF($V1079&lt;&gt;'設定'!$C$4,N(U1078),IF(OR(NOT(COUNTIF('商品マスタ'!$B$6:$B$1005,$W1079)=0),COUNTIFS('①在庫を貼る'!$V$6:$V$10005,$V1079,'①在庫を貼る'!$W$6:$W$10005,$W1079)&gt;0),N(U1078),N(U1078)+1))</f>
        <v/>
      </c>
      <c r="V1079" s="19">
        <f>IF($B1079="","",TEXT($B1079,"0000"))</f>
        <v/>
      </c>
      <c r="W1079" s="19">
        <f>IF($I1079="","",IF(ISNUMBER($I1079),TEXT($I1079,"0"),$I1079))</f>
        <v/>
      </c>
    </row>
    <row r="1080">
      <c r="B1080" s="25" t="n"/>
      <c r="I1080" s="25" t="n"/>
      <c r="U1080" s="19">
        <f>IF($V1080&lt;&gt;'設定'!$C$4,N(U1079),IF(OR(NOT(COUNTIF('商品マスタ'!$B$6:$B$1005,$W1080)=0),COUNTIFS('①在庫を貼る'!$V$6:$V$10005,$V1080,'①在庫を貼る'!$W$6:$W$10005,$W1080)&gt;0),N(U1079),N(U1079)+1))</f>
        <v/>
      </c>
      <c r="V1080" s="19">
        <f>IF($B1080="","",TEXT($B1080,"0000"))</f>
        <v/>
      </c>
      <c r="W1080" s="19">
        <f>IF($I1080="","",IF(ISNUMBER($I1080),TEXT($I1080,"0"),$I1080))</f>
        <v/>
      </c>
    </row>
    <row r="1081">
      <c r="B1081" s="25" t="n"/>
      <c r="I1081" s="25" t="n"/>
      <c r="U1081" s="19">
        <f>IF($V1081&lt;&gt;'設定'!$C$4,N(U1080),IF(OR(NOT(COUNTIF('商品マスタ'!$B$6:$B$1005,$W1081)=0),COUNTIFS('①在庫を貼る'!$V$6:$V$10005,$V1081,'①在庫を貼る'!$W$6:$W$10005,$W1081)&gt;0),N(U1080),N(U1080)+1))</f>
        <v/>
      </c>
      <c r="V1081" s="19">
        <f>IF($B1081="","",TEXT($B1081,"0000"))</f>
        <v/>
      </c>
      <c r="W1081" s="19">
        <f>IF($I1081="","",IF(ISNUMBER($I1081),TEXT($I1081,"0"),$I1081))</f>
        <v/>
      </c>
    </row>
    <row r="1082">
      <c r="B1082" s="25" t="n"/>
      <c r="I1082" s="25" t="n"/>
      <c r="U1082" s="19">
        <f>IF($V1082&lt;&gt;'設定'!$C$4,N(U1081),IF(OR(NOT(COUNTIF('商品マスタ'!$B$6:$B$1005,$W1082)=0),COUNTIFS('①在庫を貼る'!$V$6:$V$10005,$V1082,'①在庫を貼る'!$W$6:$W$10005,$W1082)&gt;0),N(U1081),N(U1081)+1))</f>
        <v/>
      </c>
      <c r="V1082" s="19">
        <f>IF($B1082="","",TEXT($B1082,"0000"))</f>
        <v/>
      </c>
      <c r="W1082" s="19">
        <f>IF($I1082="","",IF(ISNUMBER($I1082),TEXT($I1082,"0"),$I1082))</f>
        <v/>
      </c>
    </row>
    <row r="1083">
      <c r="B1083" s="25" t="n"/>
      <c r="I1083" s="25" t="n"/>
      <c r="U1083" s="19">
        <f>IF($V1083&lt;&gt;'設定'!$C$4,N(U1082),IF(OR(NOT(COUNTIF('商品マスタ'!$B$6:$B$1005,$W1083)=0),COUNTIFS('①在庫を貼る'!$V$6:$V$10005,$V1083,'①在庫を貼る'!$W$6:$W$10005,$W1083)&gt;0),N(U1082),N(U1082)+1))</f>
        <v/>
      </c>
      <c r="V1083" s="19">
        <f>IF($B1083="","",TEXT($B1083,"0000"))</f>
        <v/>
      </c>
      <c r="W1083" s="19">
        <f>IF($I1083="","",IF(ISNUMBER($I1083),TEXT($I1083,"0"),$I1083))</f>
        <v/>
      </c>
    </row>
    <row r="1084">
      <c r="B1084" s="25" t="n"/>
      <c r="I1084" s="25" t="n"/>
      <c r="U1084" s="19">
        <f>IF($V1084&lt;&gt;'設定'!$C$4,N(U1083),IF(OR(NOT(COUNTIF('商品マスタ'!$B$6:$B$1005,$W1084)=0),COUNTIFS('①在庫を貼る'!$V$6:$V$10005,$V1084,'①在庫を貼る'!$W$6:$W$10005,$W1084)&gt;0),N(U1083),N(U1083)+1))</f>
        <v/>
      </c>
      <c r="V1084" s="19">
        <f>IF($B1084="","",TEXT($B1084,"0000"))</f>
        <v/>
      </c>
      <c r="W1084" s="19">
        <f>IF($I1084="","",IF(ISNUMBER($I1084),TEXT($I1084,"0"),$I1084))</f>
        <v/>
      </c>
    </row>
    <row r="1085">
      <c r="B1085" s="25" t="n"/>
      <c r="I1085" s="25" t="n"/>
      <c r="U1085" s="19">
        <f>IF($V1085&lt;&gt;'設定'!$C$4,N(U1084),IF(OR(NOT(COUNTIF('商品マスタ'!$B$6:$B$1005,$W1085)=0),COUNTIFS('①在庫を貼る'!$V$6:$V$10005,$V1085,'①在庫を貼る'!$W$6:$W$10005,$W1085)&gt;0),N(U1084),N(U1084)+1))</f>
        <v/>
      </c>
      <c r="V1085" s="19">
        <f>IF($B1085="","",TEXT($B1085,"0000"))</f>
        <v/>
      </c>
      <c r="W1085" s="19">
        <f>IF($I1085="","",IF(ISNUMBER($I1085),TEXT($I1085,"0"),$I1085))</f>
        <v/>
      </c>
    </row>
    <row r="1086">
      <c r="B1086" s="25" t="n"/>
      <c r="I1086" s="25" t="n"/>
      <c r="U1086" s="19">
        <f>IF($V1086&lt;&gt;'設定'!$C$4,N(U1085),IF(OR(NOT(COUNTIF('商品マスタ'!$B$6:$B$1005,$W1086)=0),COUNTIFS('①在庫を貼る'!$V$6:$V$10005,$V1086,'①在庫を貼る'!$W$6:$W$10005,$W1086)&gt;0),N(U1085),N(U1085)+1))</f>
        <v/>
      </c>
      <c r="V1086" s="19">
        <f>IF($B1086="","",TEXT($B1086,"0000"))</f>
        <v/>
      </c>
      <c r="W1086" s="19">
        <f>IF($I1086="","",IF(ISNUMBER($I1086),TEXT($I1086,"0"),$I1086))</f>
        <v/>
      </c>
    </row>
    <row r="1087">
      <c r="B1087" s="25" t="n"/>
      <c r="I1087" s="25" t="n"/>
      <c r="U1087" s="19">
        <f>IF($V1087&lt;&gt;'設定'!$C$4,N(U1086),IF(OR(NOT(COUNTIF('商品マスタ'!$B$6:$B$1005,$W1087)=0),COUNTIFS('①在庫を貼る'!$V$6:$V$10005,$V1087,'①在庫を貼る'!$W$6:$W$10005,$W1087)&gt;0),N(U1086),N(U1086)+1))</f>
        <v/>
      </c>
      <c r="V1087" s="19">
        <f>IF($B1087="","",TEXT($B1087,"0000"))</f>
        <v/>
      </c>
      <c r="W1087" s="19">
        <f>IF($I1087="","",IF(ISNUMBER($I1087),TEXT($I1087,"0"),$I1087))</f>
        <v/>
      </c>
    </row>
    <row r="1088">
      <c r="B1088" s="25" t="n"/>
      <c r="I1088" s="25" t="n"/>
      <c r="U1088" s="19">
        <f>IF($V1088&lt;&gt;'設定'!$C$4,N(U1087),IF(OR(NOT(COUNTIF('商品マスタ'!$B$6:$B$1005,$W1088)=0),COUNTIFS('①在庫を貼る'!$V$6:$V$10005,$V1088,'①在庫を貼る'!$W$6:$W$10005,$W1088)&gt;0),N(U1087),N(U1087)+1))</f>
        <v/>
      </c>
      <c r="V1088" s="19">
        <f>IF($B1088="","",TEXT($B1088,"0000"))</f>
        <v/>
      </c>
      <c r="W1088" s="19">
        <f>IF($I1088="","",IF(ISNUMBER($I1088),TEXT($I1088,"0"),$I1088))</f>
        <v/>
      </c>
    </row>
    <row r="1089">
      <c r="B1089" s="25" t="n"/>
      <c r="I1089" s="25" t="n"/>
      <c r="U1089" s="19">
        <f>IF($V1089&lt;&gt;'設定'!$C$4,N(U1088),IF(OR(NOT(COUNTIF('商品マスタ'!$B$6:$B$1005,$W1089)=0),COUNTIFS('①在庫を貼る'!$V$6:$V$10005,$V1089,'①在庫を貼る'!$W$6:$W$10005,$W1089)&gt;0),N(U1088),N(U1088)+1))</f>
        <v/>
      </c>
      <c r="V1089" s="19">
        <f>IF($B1089="","",TEXT($B1089,"0000"))</f>
        <v/>
      </c>
      <c r="W1089" s="19">
        <f>IF($I1089="","",IF(ISNUMBER($I1089),TEXT($I1089,"0"),$I1089))</f>
        <v/>
      </c>
    </row>
    <row r="1090">
      <c r="B1090" s="25" t="n"/>
      <c r="I1090" s="25" t="n"/>
      <c r="U1090" s="19">
        <f>IF($V1090&lt;&gt;'設定'!$C$4,N(U1089),IF(OR(NOT(COUNTIF('商品マスタ'!$B$6:$B$1005,$W1090)=0),COUNTIFS('①在庫を貼る'!$V$6:$V$10005,$V1090,'①在庫を貼る'!$W$6:$W$10005,$W1090)&gt;0),N(U1089),N(U1089)+1))</f>
        <v/>
      </c>
      <c r="V1090" s="19">
        <f>IF($B1090="","",TEXT($B1090,"0000"))</f>
        <v/>
      </c>
      <c r="W1090" s="19">
        <f>IF($I1090="","",IF(ISNUMBER($I1090),TEXT($I1090,"0"),$I1090))</f>
        <v/>
      </c>
    </row>
    <row r="1091">
      <c r="B1091" s="25" t="n"/>
      <c r="I1091" s="25" t="n"/>
      <c r="U1091" s="19">
        <f>IF($V1091&lt;&gt;'設定'!$C$4,N(U1090),IF(OR(NOT(COUNTIF('商品マスタ'!$B$6:$B$1005,$W1091)=0),COUNTIFS('①在庫を貼る'!$V$6:$V$10005,$V1091,'①在庫を貼る'!$W$6:$W$10005,$W1091)&gt;0),N(U1090),N(U1090)+1))</f>
        <v/>
      </c>
      <c r="V1091" s="19">
        <f>IF($B1091="","",TEXT($B1091,"0000"))</f>
        <v/>
      </c>
      <c r="W1091" s="19">
        <f>IF($I1091="","",IF(ISNUMBER($I1091),TEXT($I1091,"0"),$I1091))</f>
        <v/>
      </c>
    </row>
    <row r="1092">
      <c r="B1092" s="25" t="n"/>
      <c r="I1092" s="25" t="n"/>
      <c r="U1092" s="19">
        <f>IF($V1092&lt;&gt;'設定'!$C$4,N(U1091),IF(OR(NOT(COUNTIF('商品マスタ'!$B$6:$B$1005,$W1092)=0),COUNTIFS('①在庫を貼る'!$V$6:$V$10005,$V1092,'①在庫を貼る'!$W$6:$W$10005,$W1092)&gt;0),N(U1091),N(U1091)+1))</f>
        <v/>
      </c>
      <c r="V1092" s="19">
        <f>IF($B1092="","",TEXT($B1092,"0000"))</f>
        <v/>
      </c>
      <c r="W1092" s="19">
        <f>IF($I1092="","",IF(ISNUMBER($I1092),TEXT($I1092,"0"),$I1092))</f>
        <v/>
      </c>
    </row>
    <row r="1093">
      <c r="B1093" s="25" t="n"/>
      <c r="I1093" s="25" t="n"/>
      <c r="U1093" s="19">
        <f>IF($V1093&lt;&gt;'設定'!$C$4,N(U1092),IF(OR(NOT(COUNTIF('商品マスタ'!$B$6:$B$1005,$W1093)=0),COUNTIFS('①在庫を貼る'!$V$6:$V$10005,$V1093,'①在庫を貼る'!$W$6:$W$10005,$W1093)&gt;0),N(U1092),N(U1092)+1))</f>
        <v/>
      </c>
      <c r="V1093" s="19">
        <f>IF($B1093="","",TEXT($B1093,"0000"))</f>
        <v/>
      </c>
      <c r="W1093" s="19">
        <f>IF($I1093="","",IF(ISNUMBER($I1093),TEXT($I1093,"0"),$I1093))</f>
        <v/>
      </c>
    </row>
    <row r="1094">
      <c r="B1094" s="25" t="n"/>
      <c r="I1094" s="25" t="n"/>
      <c r="U1094" s="19">
        <f>IF($V1094&lt;&gt;'設定'!$C$4,N(U1093),IF(OR(NOT(COUNTIF('商品マスタ'!$B$6:$B$1005,$W1094)=0),COUNTIFS('①在庫を貼る'!$V$6:$V$10005,$V1094,'①在庫を貼る'!$W$6:$W$10005,$W1094)&gt;0),N(U1093),N(U1093)+1))</f>
        <v/>
      </c>
      <c r="V1094" s="19">
        <f>IF($B1094="","",TEXT($B1094,"0000"))</f>
        <v/>
      </c>
      <c r="W1094" s="19">
        <f>IF($I1094="","",IF(ISNUMBER($I1094),TEXT($I1094,"0"),$I1094))</f>
        <v/>
      </c>
    </row>
    <row r="1095">
      <c r="B1095" s="25" t="n"/>
      <c r="I1095" s="25" t="n"/>
      <c r="U1095" s="19">
        <f>IF($V1095&lt;&gt;'設定'!$C$4,N(U1094),IF(OR(NOT(COUNTIF('商品マスタ'!$B$6:$B$1005,$W1095)=0),COUNTIFS('①在庫を貼る'!$V$6:$V$10005,$V1095,'①在庫を貼る'!$W$6:$W$10005,$W1095)&gt;0),N(U1094),N(U1094)+1))</f>
        <v/>
      </c>
      <c r="V1095" s="19">
        <f>IF($B1095="","",TEXT($B1095,"0000"))</f>
        <v/>
      </c>
      <c r="W1095" s="19">
        <f>IF($I1095="","",IF(ISNUMBER($I1095),TEXT($I1095,"0"),$I1095))</f>
        <v/>
      </c>
    </row>
    <row r="1096">
      <c r="B1096" s="25" t="n"/>
      <c r="I1096" s="25" t="n"/>
      <c r="U1096" s="19">
        <f>IF($V1096&lt;&gt;'設定'!$C$4,N(U1095),IF(OR(NOT(COUNTIF('商品マスタ'!$B$6:$B$1005,$W1096)=0),COUNTIFS('①在庫を貼る'!$V$6:$V$10005,$V1096,'①在庫を貼る'!$W$6:$W$10005,$W1096)&gt;0),N(U1095),N(U1095)+1))</f>
        <v/>
      </c>
      <c r="V1096" s="19">
        <f>IF($B1096="","",TEXT($B1096,"0000"))</f>
        <v/>
      </c>
      <c r="W1096" s="19">
        <f>IF($I1096="","",IF(ISNUMBER($I1096),TEXT($I1096,"0"),$I1096))</f>
        <v/>
      </c>
    </row>
    <row r="1097">
      <c r="B1097" s="25" t="n"/>
      <c r="I1097" s="25" t="n"/>
      <c r="U1097" s="19">
        <f>IF($V1097&lt;&gt;'設定'!$C$4,N(U1096),IF(OR(NOT(COUNTIF('商品マスタ'!$B$6:$B$1005,$W1097)=0),COUNTIFS('①在庫を貼る'!$V$6:$V$10005,$V1097,'①在庫を貼る'!$W$6:$W$10005,$W1097)&gt;0),N(U1096),N(U1096)+1))</f>
        <v/>
      </c>
      <c r="V1097" s="19">
        <f>IF($B1097="","",TEXT($B1097,"0000"))</f>
        <v/>
      </c>
      <c r="W1097" s="19">
        <f>IF($I1097="","",IF(ISNUMBER($I1097),TEXT($I1097,"0"),$I1097))</f>
        <v/>
      </c>
    </row>
    <row r="1098">
      <c r="B1098" s="25" t="n"/>
      <c r="I1098" s="25" t="n"/>
      <c r="U1098" s="19">
        <f>IF($V1098&lt;&gt;'設定'!$C$4,N(U1097),IF(OR(NOT(COUNTIF('商品マスタ'!$B$6:$B$1005,$W1098)=0),COUNTIFS('①在庫を貼る'!$V$6:$V$10005,$V1098,'①在庫を貼る'!$W$6:$W$10005,$W1098)&gt;0),N(U1097),N(U1097)+1))</f>
        <v/>
      </c>
      <c r="V1098" s="19">
        <f>IF($B1098="","",TEXT($B1098,"0000"))</f>
        <v/>
      </c>
      <c r="W1098" s="19">
        <f>IF($I1098="","",IF(ISNUMBER($I1098),TEXT($I1098,"0"),$I1098))</f>
        <v/>
      </c>
    </row>
    <row r="1099">
      <c r="B1099" s="25" t="n"/>
      <c r="I1099" s="25" t="n"/>
      <c r="U1099" s="19">
        <f>IF($V1099&lt;&gt;'設定'!$C$4,N(U1098),IF(OR(NOT(COUNTIF('商品マスタ'!$B$6:$B$1005,$W1099)=0),COUNTIFS('①在庫を貼る'!$V$6:$V$10005,$V1099,'①在庫を貼る'!$W$6:$W$10005,$W1099)&gt;0),N(U1098),N(U1098)+1))</f>
        <v/>
      </c>
      <c r="V1099" s="19">
        <f>IF($B1099="","",TEXT($B1099,"0000"))</f>
        <v/>
      </c>
      <c r="W1099" s="19">
        <f>IF($I1099="","",IF(ISNUMBER($I1099),TEXT($I1099,"0"),$I1099))</f>
        <v/>
      </c>
    </row>
    <row r="1100">
      <c r="B1100" s="25" t="n"/>
      <c r="I1100" s="25" t="n"/>
      <c r="U1100" s="19">
        <f>IF($V1100&lt;&gt;'設定'!$C$4,N(U1099),IF(OR(NOT(COUNTIF('商品マスタ'!$B$6:$B$1005,$W1100)=0),COUNTIFS('①在庫を貼る'!$V$6:$V$10005,$V1100,'①在庫を貼る'!$W$6:$W$10005,$W1100)&gt;0),N(U1099),N(U1099)+1))</f>
        <v/>
      </c>
      <c r="V1100" s="19">
        <f>IF($B1100="","",TEXT($B1100,"0000"))</f>
        <v/>
      </c>
      <c r="W1100" s="19">
        <f>IF($I1100="","",IF(ISNUMBER($I1100),TEXT($I1100,"0"),$I1100))</f>
        <v/>
      </c>
    </row>
    <row r="1101">
      <c r="B1101" s="25" t="n"/>
      <c r="I1101" s="25" t="n"/>
      <c r="U1101" s="19">
        <f>IF($V1101&lt;&gt;'設定'!$C$4,N(U1100),IF(OR(NOT(COUNTIF('商品マスタ'!$B$6:$B$1005,$W1101)=0),COUNTIFS('①在庫を貼る'!$V$6:$V$10005,$V1101,'①在庫を貼る'!$W$6:$W$10005,$W1101)&gt;0),N(U1100),N(U1100)+1))</f>
        <v/>
      </c>
      <c r="V1101" s="19">
        <f>IF($B1101="","",TEXT($B1101,"0000"))</f>
        <v/>
      </c>
      <c r="W1101" s="19">
        <f>IF($I1101="","",IF(ISNUMBER($I1101),TEXT($I1101,"0"),$I1101))</f>
        <v/>
      </c>
    </row>
    <row r="1102">
      <c r="B1102" s="25" t="n"/>
      <c r="I1102" s="25" t="n"/>
      <c r="U1102" s="19">
        <f>IF($V1102&lt;&gt;'設定'!$C$4,N(U1101),IF(OR(NOT(COUNTIF('商品マスタ'!$B$6:$B$1005,$W1102)=0),COUNTIFS('①在庫を貼る'!$V$6:$V$10005,$V1102,'①在庫を貼る'!$W$6:$W$10005,$W1102)&gt;0),N(U1101),N(U1101)+1))</f>
        <v/>
      </c>
      <c r="V1102" s="19">
        <f>IF($B1102="","",TEXT($B1102,"0000"))</f>
        <v/>
      </c>
      <c r="W1102" s="19">
        <f>IF($I1102="","",IF(ISNUMBER($I1102),TEXT($I1102,"0"),$I1102))</f>
        <v/>
      </c>
    </row>
    <row r="1103">
      <c r="B1103" s="25" t="n"/>
      <c r="I1103" s="25" t="n"/>
      <c r="U1103" s="19">
        <f>IF($V1103&lt;&gt;'設定'!$C$4,N(U1102),IF(OR(NOT(COUNTIF('商品マスタ'!$B$6:$B$1005,$W1103)=0),COUNTIFS('①在庫を貼る'!$V$6:$V$10005,$V1103,'①在庫を貼る'!$W$6:$W$10005,$W1103)&gt;0),N(U1102),N(U1102)+1))</f>
        <v/>
      </c>
      <c r="V1103" s="19">
        <f>IF($B1103="","",TEXT($B1103,"0000"))</f>
        <v/>
      </c>
      <c r="W1103" s="19">
        <f>IF($I1103="","",IF(ISNUMBER($I1103),TEXT($I1103,"0"),$I1103))</f>
        <v/>
      </c>
    </row>
    <row r="1104">
      <c r="B1104" s="25" t="n"/>
      <c r="I1104" s="25" t="n"/>
      <c r="U1104" s="19">
        <f>IF($V1104&lt;&gt;'設定'!$C$4,N(U1103),IF(OR(NOT(COUNTIF('商品マスタ'!$B$6:$B$1005,$W1104)=0),COUNTIFS('①在庫を貼る'!$V$6:$V$10005,$V1104,'①在庫を貼る'!$W$6:$W$10005,$W1104)&gt;0),N(U1103),N(U1103)+1))</f>
        <v/>
      </c>
      <c r="V1104" s="19">
        <f>IF($B1104="","",TEXT($B1104,"0000"))</f>
        <v/>
      </c>
      <c r="W1104" s="19">
        <f>IF($I1104="","",IF(ISNUMBER($I1104),TEXT($I1104,"0"),$I1104))</f>
        <v/>
      </c>
    </row>
    <row r="1105">
      <c r="B1105" s="25" t="n"/>
      <c r="I1105" s="25" t="n"/>
      <c r="U1105" s="19">
        <f>IF($V1105&lt;&gt;'設定'!$C$4,N(U1104),IF(OR(NOT(COUNTIF('商品マスタ'!$B$6:$B$1005,$W1105)=0),COUNTIFS('①在庫を貼る'!$V$6:$V$10005,$V1105,'①在庫を貼る'!$W$6:$W$10005,$W1105)&gt;0),N(U1104),N(U1104)+1))</f>
        <v/>
      </c>
      <c r="V1105" s="19">
        <f>IF($B1105="","",TEXT($B1105,"0000"))</f>
        <v/>
      </c>
      <c r="W1105" s="19">
        <f>IF($I1105="","",IF(ISNUMBER($I1105),TEXT($I1105,"0"),$I1105))</f>
        <v/>
      </c>
    </row>
    <row r="1106">
      <c r="B1106" s="25" t="n"/>
      <c r="I1106" s="25" t="n"/>
      <c r="U1106" s="19">
        <f>IF($V1106&lt;&gt;'設定'!$C$4,N(U1105),IF(OR(NOT(COUNTIF('商品マスタ'!$B$6:$B$1005,$W1106)=0),COUNTIFS('①在庫を貼る'!$V$6:$V$10005,$V1106,'①在庫を貼る'!$W$6:$W$10005,$W1106)&gt;0),N(U1105),N(U1105)+1))</f>
        <v/>
      </c>
      <c r="V1106" s="19">
        <f>IF($B1106="","",TEXT($B1106,"0000"))</f>
        <v/>
      </c>
      <c r="W1106" s="19">
        <f>IF($I1106="","",IF(ISNUMBER($I1106),TEXT($I1106,"0"),$I1106))</f>
        <v/>
      </c>
    </row>
    <row r="1107">
      <c r="B1107" s="25" t="n"/>
      <c r="I1107" s="25" t="n"/>
      <c r="U1107" s="19">
        <f>IF($V1107&lt;&gt;'設定'!$C$4,N(U1106),IF(OR(NOT(COUNTIF('商品マスタ'!$B$6:$B$1005,$W1107)=0),COUNTIFS('①在庫を貼る'!$V$6:$V$10005,$V1107,'①在庫を貼る'!$W$6:$W$10005,$W1107)&gt;0),N(U1106),N(U1106)+1))</f>
        <v/>
      </c>
      <c r="V1107" s="19">
        <f>IF($B1107="","",TEXT($B1107,"0000"))</f>
        <v/>
      </c>
      <c r="W1107" s="19">
        <f>IF($I1107="","",IF(ISNUMBER($I1107),TEXT($I1107,"0"),$I1107))</f>
        <v/>
      </c>
    </row>
    <row r="1108">
      <c r="B1108" s="25" t="n"/>
      <c r="I1108" s="25" t="n"/>
      <c r="U1108" s="19">
        <f>IF($V1108&lt;&gt;'設定'!$C$4,N(U1107),IF(OR(NOT(COUNTIF('商品マスタ'!$B$6:$B$1005,$W1108)=0),COUNTIFS('①在庫を貼る'!$V$6:$V$10005,$V1108,'①在庫を貼る'!$W$6:$W$10005,$W1108)&gt;0),N(U1107),N(U1107)+1))</f>
        <v/>
      </c>
      <c r="V1108" s="19">
        <f>IF($B1108="","",TEXT($B1108,"0000"))</f>
        <v/>
      </c>
      <c r="W1108" s="19">
        <f>IF($I1108="","",IF(ISNUMBER($I1108),TEXT($I1108,"0"),$I1108))</f>
        <v/>
      </c>
    </row>
    <row r="1109">
      <c r="B1109" s="25" t="n"/>
      <c r="I1109" s="25" t="n"/>
      <c r="U1109" s="19">
        <f>IF($V1109&lt;&gt;'設定'!$C$4,N(U1108),IF(OR(NOT(COUNTIF('商品マスタ'!$B$6:$B$1005,$W1109)=0),COUNTIFS('①在庫を貼る'!$V$6:$V$10005,$V1109,'①在庫を貼る'!$W$6:$W$10005,$W1109)&gt;0),N(U1108),N(U1108)+1))</f>
        <v/>
      </c>
      <c r="V1109" s="19">
        <f>IF($B1109="","",TEXT($B1109,"0000"))</f>
        <v/>
      </c>
      <c r="W1109" s="19">
        <f>IF($I1109="","",IF(ISNUMBER($I1109),TEXT($I1109,"0"),$I1109))</f>
        <v/>
      </c>
    </row>
    <row r="1110">
      <c r="B1110" s="25" t="n"/>
      <c r="I1110" s="25" t="n"/>
      <c r="U1110" s="19">
        <f>IF($V1110&lt;&gt;'設定'!$C$4,N(U1109),IF(OR(NOT(COUNTIF('商品マスタ'!$B$6:$B$1005,$W1110)=0),COUNTIFS('①在庫を貼る'!$V$6:$V$10005,$V1110,'①在庫を貼る'!$W$6:$W$10005,$W1110)&gt;0),N(U1109),N(U1109)+1))</f>
        <v/>
      </c>
      <c r="V1110" s="19">
        <f>IF($B1110="","",TEXT($B1110,"0000"))</f>
        <v/>
      </c>
      <c r="W1110" s="19">
        <f>IF($I1110="","",IF(ISNUMBER($I1110),TEXT($I1110,"0"),$I1110))</f>
        <v/>
      </c>
    </row>
    <row r="1111">
      <c r="B1111" s="25" t="n"/>
      <c r="I1111" s="25" t="n"/>
      <c r="U1111" s="19">
        <f>IF($V1111&lt;&gt;'設定'!$C$4,N(U1110),IF(OR(NOT(COUNTIF('商品マスタ'!$B$6:$B$1005,$W1111)=0),COUNTIFS('①在庫を貼る'!$V$6:$V$10005,$V1111,'①在庫を貼る'!$W$6:$W$10005,$W1111)&gt;0),N(U1110),N(U1110)+1))</f>
        <v/>
      </c>
      <c r="V1111" s="19">
        <f>IF($B1111="","",TEXT($B1111,"0000"))</f>
        <v/>
      </c>
      <c r="W1111" s="19">
        <f>IF($I1111="","",IF(ISNUMBER($I1111),TEXT($I1111,"0"),$I1111))</f>
        <v/>
      </c>
    </row>
    <row r="1112">
      <c r="B1112" s="25" t="n"/>
      <c r="I1112" s="25" t="n"/>
      <c r="U1112" s="19">
        <f>IF($V1112&lt;&gt;'設定'!$C$4,N(U1111),IF(OR(NOT(COUNTIF('商品マスタ'!$B$6:$B$1005,$W1112)=0),COUNTIFS('①在庫を貼る'!$V$6:$V$10005,$V1112,'①在庫を貼る'!$W$6:$W$10005,$W1112)&gt;0),N(U1111),N(U1111)+1))</f>
        <v/>
      </c>
      <c r="V1112" s="19">
        <f>IF($B1112="","",TEXT($B1112,"0000"))</f>
        <v/>
      </c>
      <c r="W1112" s="19">
        <f>IF($I1112="","",IF(ISNUMBER($I1112),TEXT($I1112,"0"),$I1112))</f>
        <v/>
      </c>
    </row>
    <row r="1113">
      <c r="B1113" s="25" t="n"/>
      <c r="I1113" s="25" t="n"/>
      <c r="U1113" s="19">
        <f>IF($V1113&lt;&gt;'設定'!$C$4,N(U1112),IF(OR(NOT(COUNTIF('商品マスタ'!$B$6:$B$1005,$W1113)=0),COUNTIFS('①在庫を貼る'!$V$6:$V$10005,$V1113,'①在庫を貼る'!$W$6:$W$10005,$W1113)&gt;0),N(U1112),N(U1112)+1))</f>
        <v/>
      </c>
      <c r="V1113" s="19">
        <f>IF($B1113="","",TEXT($B1113,"0000"))</f>
        <v/>
      </c>
      <c r="W1113" s="19">
        <f>IF($I1113="","",IF(ISNUMBER($I1113),TEXT($I1113,"0"),$I1113))</f>
        <v/>
      </c>
    </row>
    <row r="1114">
      <c r="B1114" s="25" t="n"/>
      <c r="I1114" s="25" t="n"/>
      <c r="U1114" s="19">
        <f>IF($V1114&lt;&gt;'設定'!$C$4,N(U1113),IF(OR(NOT(COUNTIF('商品マスタ'!$B$6:$B$1005,$W1114)=0),COUNTIFS('①在庫を貼る'!$V$6:$V$10005,$V1114,'①在庫を貼る'!$W$6:$W$10005,$W1114)&gt;0),N(U1113),N(U1113)+1))</f>
        <v/>
      </c>
      <c r="V1114" s="19">
        <f>IF($B1114="","",TEXT($B1114,"0000"))</f>
        <v/>
      </c>
      <c r="W1114" s="19">
        <f>IF($I1114="","",IF(ISNUMBER($I1114),TEXT($I1114,"0"),$I1114))</f>
        <v/>
      </c>
    </row>
    <row r="1115">
      <c r="B1115" s="25" t="n"/>
      <c r="I1115" s="25" t="n"/>
      <c r="U1115" s="19">
        <f>IF($V1115&lt;&gt;'設定'!$C$4,N(U1114),IF(OR(NOT(COUNTIF('商品マスタ'!$B$6:$B$1005,$W1115)=0),COUNTIFS('①在庫を貼る'!$V$6:$V$10005,$V1115,'①在庫を貼る'!$W$6:$W$10005,$W1115)&gt;0),N(U1114),N(U1114)+1))</f>
        <v/>
      </c>
      <c r="V1115" s="19">
        <f>IF($B1115="","",TEXT($B1115,"0000"))</f>
        <v/>
      </c>
      <c r="W1115" s="19">
        <f>IF($I1115="","",IF(ISNUMBER($I1115),TEXT($I1115,"0"),$I1115))</f>
        <v/>
      </c>
    </row>
    <row r="1116">
      <c r="B1116" s="25" t="n"/>
      <c r="I1116" s="25" t="n"/>
      <c r="U1116" s="19">
        <f>IF($V1116&lt;&gt;'設定'!$C$4,N(U1115),IF(OR(NOT(COUNTIF('商品マスタ'!$B$6:$B$1005,$W1116)=0),COUNTIFS('①在庫を貼る'!$V$6:$V$10005,$V1116,'①在庫を貼る'!$W$6:$W$10005,$W1116)&gt;0),N(U1115),N(U1115)+1))</f>
        <v/>
      </c>
      <c r="V1116" s="19">
        <f>IF($B1116="","",TEXT($B1116,"0000"))</f>
        <v/>
      </c>
      <c r="W1116" s="19">
        <f>IF($I1116="","",IF(ISNUMBER($I1116),TEXT($I1116,"0"),$I1116))</f>
        <v/>
      </c>
    </row>
    <row r="1117">
      <c r="B1117" s="25" t="n"/>
      <c r="I1117" s="25" t="n"/>
      <c r="U1117" s="19">
        <f>IF($V1117&lt;&gt;'設定'!$C$4,N(U1116),IF(OR(NOT(COUNTIF('商品マスタ'!$B$6:$B$1005,$W1117)=0),COUNTIFS('①在庫を貼る'!$V$6:$V$10005,$V1117,'①在庫を貼る'!$W$6:$W$10005,$W1117)&gt;0),N(U1116),N(U1116)+1))</f>
        <v/>
      </c>
      <c r="V1117" s="19">
        <f>IF($B1117="","",TEXT($B1117,"0000"))</f>
        <v/>
      </c>
      <c r="W1117" s="19">
        <f>IF($I1117="","",IF(ISNUMBER($I1117),TEXT($I1117,"0"),$I1117))</f>
        <v/>
      </c>
    </row>
    <row r="1118">
      <c r="B1118" s="25" t="n"/>
      <c r="I1118" s="25" t="n"/>
      <c r="U1118" s="19">
        <f>IF($V1118&lt;&gt;'設定'!$C$4,N(U1117),IF(OR(NOT(COUNTIF('商品マスタ'!$B$6:$B$1005,$W1118)=0),COUNTIFS('①在庫を貼る'!$V$6:$V$10005,$V1118,'①在庫を貼る'!$W$6:$W$10005,$W1118)&gt;0),N(U1117),N(U1117)+1))</f>
        <v/>
      </c>
      <c r="V1118" s="19">
        <f>IF($B1118="","",TEXT($B1118,"0000"))</f>
        <v/>
      </c>
      <c r="W1118" s="19">
        <f>IF($I1118="","",IF(ISNUMBER($I1118),TEXT($I1118,"0"),$I1118))</f>
        <v/>
      </c>
    </row>
    <row r="1119">
      <c r="B1119" s="25" t="n"/>
      <c r="I1119" s="25" t="n"/>
      <c r="U1119" s="19">
        <f>IF($V1119&lt;&gt;'設定'!$C$4,N(U1118),IF(OR(NOT(COUNTIF('商品マスタ'!$B$6:$B$1005,$W1119)=0),COUNTIFS('①在庫を貼る'!$V$6:$V$10005,$V1119,'①在庫を貼る'!$W$6:$W$10005,$W1119)&gt;0),N(U1118),N(U1118)+1))</f>
        <v/>
      </c>
      <c r="V1119" s="19">
        <f>IF($B1119="","",TEXT($B1119,"0000"))</f>
        <v/>
      </c>
      <c r="W1119" s="19">
        <f>IF($I1119="","",IF(ISNUMBER($I1119),TEXT($I1119,"0"),$I1119))</f>
        <v/>
      </c>
    </row>
    <row r="1120">
      <c r="B1120" s="25" t="n"/>
      <c r="I1120" s="25" t="n"/>
      <c r="U1120" s="19">
        <f>IF($V1120&lt;&gt;'設定'!$C$4,N(U1119),IF(OR(NOT(COUNTIF('商品マスタ'!$B$6:$B$1005,$W1120)=0),COUNTIFS('①在庫を貼る'!$V$6:$V$10005,$V1120,'①在庫を貼る'!$W$6:$W$10005,$W1120)&gt;0),N(U1119),N(U1119)+1))</f>
        <v/>
      </c>
      <c r="V1120" s="19">
        <f>IF($B1120="","",TEXT($B1120,"0000"))</f>
        <v/>
      </c>
      <c r="W1120" s="19">
        <f>IF($I1120="","",IF(ISNUMBER($I1120),TEXT($I1120,"0"),$I1120))</f>
        <v/>
      </c>
    </row>
    <row r="1121">
      <c r="B1121" s="25" t="n"/>
      <c r="I1121" s="25" t="n"/>
      <c r="U1121" s="19">
        <f>IF($V1121&lt;&gt;'設定'!$C$4,N(U1120),IF(OR(NOT(COUNTIF('商品マスタ'!$B$6:$B$1005,$W1121)=0),COUNTIFS('①在庫を貼る'!$V$6:$V$10005,$V1121,'①在庫を貼る'!$W$6:$W$10005,$W1121)&gt;0),N(U1120),N(U1120)+1))</f>
        <v/>
      </c>
      <c r="V1121" s="19">
        <f>IF($B1121="","",TEXT($B1121,"0000"))</f>
        <v/>
      </c>
      <c r="W1121" s="19">
        <f>IF($I1121="","",IF(ISNUMBER($I1121),TEXT($I1121,"0"),$I1121))</f>
        <v/>
      </c>
    </row>
    <row r="1122">
      <c r="B1122" s="25" t="n"/>
      <c r="I1122" s="25" t="n"/>
      <c r="U1122" s="19">
        <f>IF($V1122&lt;&gt;'設定'!$C$4,N(U1121),IF(OR(NOT(COUNTIF('商品マスタ'!$B$6:$B$1005,$W1122)=0),COUNTIFS('①在庫を貼る'!$V$6:$V$10005,$V1122,'①在庫を貼る'!$W$6:$W$10005,$W1122)&gt;0),N(U1121),N(U1121)+1))</f>
        <v/>
      </c>
      <c r="V1122" s="19">
        <f>IF($B1122="","",TEXT($B1122,"0000"))</f>
        <v/>
      </c>
      <c r="W1122" s="19">
        <f>IF($I1122="","",IF(ISNUMBER($I1122),TEXT($I1122,"0"),$I1122))</f>
        <v/>
      </c>
    </row>
    <row r="1123">
      <c r="B1123" s="25" t="n"/>
      <c r="I1123" s="25" t="n"/>
      <c r="U1123" s="19">
        <f>IF($V1123&lt;&gt;'設定'!$C$4,N(U1122),IF(OR(NOT(COUNTIF('商品マスタ'!$B$6:$B$1005,$W1123)=0),COUNTIFS('①在庫を貼る'!$V$6:$V$10005,$V1123,'①在庫を貼る'!$W$6:$W$10005,$W1123)&gt;0),N(U1122),N(U1122)+1))</f>
        <v/>
      </c>
      <c r="V1123" s="19">
        <f>IF($B1123="","",TEXT($B1123,"0000"))</f>
        <v/>
      </c>
      <c r="W1123" s="19">
        <f>IF($I1123="","",IF(ISNUMBER($I1123),TEXT($I1123,"0"),$I1123))</f>
        <v/>
      </c>
    </row>
    <row r="1124">
      <c r="B1124" s="25" t="n"/>
      <c r="I1124" s="25" t="n"/>
      <c r="U1124" s="19">
        <f>IF($V1124&lt;&gt;'設定'!$C$4,N(U1123),IF(OR(NOT(COUNTIF('商品マスタ'!$B$6:$B$1005,$W1124)=0),COUNTIFS('①在庫を貼る'!$V$6:$V$10005,$V1124,'①在庫を貼る'!$W$6:$W$10005,$W1124)&gt;0),N(U1123),N(U1123)+1))</f>
        <v/>
      </c>
      <c r="V1124" s="19">
        <f>IF($B1124="","",TEXT($B1124,"0000"))</f>
        <v/>
      </c>
      <c r="W1124" s="19">
        <f>IF($I1124="","",IF(ISNUMBER($I1124),TEXT($I1124,"0"),$I1124))</f>
        <v/>
      </c>
    </row>
    <row r="1125">
      <c r="B1125" s="25" t="n"/>
      <c r="I1125" s="25" t="n"/>
      <c r="U1125" s="19">
        <f>IF($V1125&lt;&gt;'設定'!$C$4,N(U1124),IF(OR(NOT(COUNTIF('商品マスタ'!$B$6:$B$1005,$W1125)=0),COUNTIFS('①在庫を貼る'!$V$6:$V$10005,$V1125,'①在庫を貼る'!$W$6:$W$10005,$W1125)&gt;0),N(U1124),N(U1124)+1))</f>
        <v/>
      </c>
      <c r="V1125" s="19">
        <f>IF($B1125="","",TEXT($B1125,"0000"))</f>
        <v/>
      </c>
      <c r="W1125" s="19">
        <f>IF($I1125="","",IF(ISNUMBER($I1125),TEXT($I1125,"0"),$I1125))</f>
        <v/>
      </c>
    </row>
    <row r="1126">
      <c r="B1126" s="25" t="n"/>
      <c r="I1126" s="25" t="n"/>
      <c r="U1126" s="19">
        <f>IF($V1126&lt;&gt;'設定'!$C$4,N(U1125),IF(OR(NOT(COUNTIF('商品マスタ'!$B$6:$B$1005,$W1126)=0),COUNTIFS('①在庫を貼る'!$V$6:$V$10005,$V1126,'①在庫を貼る'!$W$6:$W$10005,$W1126)&gt;0),N(U1125),N(U1125)+1))</f>
        <v/>
      </c>
      <c r="V1126" s="19">
        <f>IF($B1126="","",TEXT($B1126,"0000"))</f>
        <v/>
      </c>
      <c r="W1126" s="19">
        <f>IF($I1126="","",IF(ISNUMBER($I1126),TEXT($I1126,"0"),$I1126))</f>
        <v/>
      </c>
    </row>
    <row r="1127">
      <c r="B1127" s="25" t="n"/>
      <c r="I1127" s="25" t="n"/>
      <c r="U1127" s="19">
        <f>IF($V1127&lt;&gt;'設定'!$C$4,N(U1126),IF(OR(NOT(COUNTIF('商品マスタ'!$B$6:$B$1005,$W1127)=0),COUNTIFS('①在庫を貼る'!$V$6:$V$10005,$V1127,'①在庫を貼る'!$W$6:$W$10005,$W1127)&gt;0),N(U1126),N(U1126)+1))</f>
        <v/>
      </c>
      <c r="V1127" s="19">
        <f>IF($B1127="","",TEXT($B1127,"0000"))</f>
        <v/>
      </c>
      <c r="W1127" s="19">
        <f>IF($I1127="","",IF(ISNUMBER($I1127),TEXT($I1127,"0"),$I1127))</f>
        <v/>
      </c>
    </row>
    <row r="1128">
      <c r="B1128" s="25" t="n"/>
      <c r="I1128" s="25" t="n"/>
      <c r="U1128" s="19">
        <f>IF($V1128&lt;&gt;'設定'!$C$4,N(U1127),IF(OR(NOT(COUNTIF('商品マスタ'!$B$6:$B$1005,$W1128)=0),COUNTIFS('①在庫を貼る'!$V$6:$V$10005,$V1128,'①在庫を貼る'!$W$6:$W$10005,$W1128)&gt;0),N(U1127),N(U1127)+1))</f>
        <v/>
      </c>
      <c r="V1128" s="19">
        <f>IF($B1128="","",TEXT($B1128,"0000"))</f>
        <v/>
      </c>
      <c r="W1128" s="19">
        <f>IF($I1128="","",IF(ISNUMBER($I1128),TEXT($I1128,"0"),$I1128))</f>
        <v/>
      </c>
    </row>
    <row r="1129">
      <c r="B1129" s="25" t="n"/>
      <c r="I1129" s="25" t="n"/>
      <c r="U1129" s="19">
        <f>IF($V1129&lt;&gt;'設定'!$C$4,N(U1128),IF(OR(NOT(COUNTIF('商品マスタ'!$B$6:$B$1005,$W1129)=0),COUNTIFS('①在庫を貼る'!$V$6:$V$10005,$V1129,'①在庫を貼る'!$W$6:$W$10005,$W1129)&gt;0),N(U1128),N(U1128)+1))</f>
        <v/>
      </c>
      <c r="V1129" s="19">
        <f>IF($B1129="","",TEXT($B1129,"0000"))</f>
        <v/>
      </c>
      <c r="W1129" s="19">
        <f>IF($I1129="","",IF(ISNUMBER($I1129),TEXT($I1129,"0"),$I1129))</f>
        <v/>
      </c>
    </row>
    <row r="1130">
      <c r="B1130" s="25" t="n"/>
      <c r="I1130" s="25" t="n"/>
      <c r="U1130" s="19">
        <f>IF($V1130&lt;&gt;'設定'!$C$4,N(U1129),IF(OR(NOT(COUNTIF('商品マスタ'!$B$6:$B$1005,$W1130)=0),COUNTIFS('①在庫を貼る'!$V$6:$V$10005,$V1130,'①在庫を貼る'!$W$6:$W$10005,$W1130)&gt;0),N(U1129),N(U1129)+1))</f>
        <v/>
      </c>
      <c r="V1130" s="19">
        <f>IF($B1130="","",TEXT($B1130,"0000"))</f>
        <v/>
      </c>
      <c r="W1130" s="19">
        <f>IF($I1130="","",IF(ISNUMBER($I1130),TEXT($I1130,"0"),$I1130))</f>
        <v/>
      </c>
    </row>
    <row r="1131">
      <c r="B1131" s="25" t="n"/>
      <c r="I1131" s="25" t="n"/>
      <c r="U1131" s="19">
        <f>IF($V1131&lt;&gt;'設定'!$C$4,N(U1130),IF(OR(NOT(COUNTIF('商品マスタ'!$B$6:$B$1005,$W1131)=0),COUNTIFS('①在庫を貼る'!$V$6:$V$10005,$V1131,'①在庫を貼る'!$W$6:$W$10005,$W1131)&gt;0),N(U1130),N(U1130)+1))</f>
        <v/>
      </c>
      <c r="V1131" s="19">
        <f>IF($B1131="","",TEXT($B1131,"0000"))</f>
        <v/>
      </c>
      <c r="W1131" s="19">
        <f>IF($I1131="","",IF(ISNUMBER($I1131),TEXT($I1131,"0"),$I1131))</f>
        <v/>
      </c>
    </row>
    <row r="1132">
      <c r="B1132" s="25" t="n"/>
      <c r="I1132" s="25" t="n"/>
      <c r="U1132" s="19">
        <f>IF($V1132&lt;&gt;'設定'!$C$4,N(U1131),IF(OR(NOT(COUNTIF('商品マスタ'!$B$6:$B$1005,$W1132)=0),COUNTIFS('①在庫を貼る'!$V$6:$V$10005,$V1132,'①在庫を貼る'!$W$6:$W$10005,$W1132)&gt;0),N(U1131),N(U1131)+1))</f>
        <v/>
      </c>
      <c r="V1132" s="19">
        <f>IF($B1132="","",TEXT($B1132,"0000"))</f>
        <v/>
      </c>
      <c r="W1132" s="19">
        <f>IF($I1132="","",IF(ISNUMBER($I1132),TEXT($I1132,"0"),$I1132))</f>
        <v/>
      </c>
    </row>
    <row r="1133">
      <c r="B1133" s="25" t="n"/>
      <c r="I1133" s="25" t="n"/>
      <c r="U1133" s="19">
        <f>IF($V1133&lt;&gt;'設定'!$C$4,N(U1132),IF(OR(NOT(COUNTIF('商品マスタ'!$B$6:$B$1005,$W1133)=0),COUNTIFS('①在庫を貼る'!$V$6:$V$10005,$V1133,'①在庫を貼る'!$W$6:$W$10005,$W1133)&gt;0),N(U1132),N(U1132)+1))</f>
        <v/>
      </c>
      <c r="V1133" s="19">
        <f>IF($B1133="","",TEXT($B1133,"0000"))</f>
        <v/>
      </c>
      <c r="W1133" s="19">
        <f>IF($I1133="","",IF(ISNUMBER($I1133),TEXT($I1133,"0"),$I1133))</f>
        <v/>
      </c>
    </row>
    <row r="1134">
      <c r="B1134" s="25" t="n"/>
      <c r="I1134" s="25" t="n"/>
      <c r="U1134" s="19">
        <f>IF($V1134&lt;&gt;'設定'!$C$4,N(U1133),IF(OR(NOT(COUNTIF('商品マスタ'!$B$6:$B$1005,$W1134)=0),COUNTIFS('①在庫を貼る'!$V$6:$V$10005,$V1134,'①在庫を貼る'!$W$6:$W$10005,$W1134)&gt;0),N(U1133),N(U1133)+1))</f>
        <v/>
      </c>
      <c r="V1134" s="19">
        <f>IF($B1134="","",TEXT($B1134,"0000"))</f>
        <v/>
      </c>
      <c r="W1134" s="19">
        <f>IF($I1134="","",IF(ISNUMBER($I1134),TEXT($I1134,"0"),$I1134))</f>
        <v/>
      </c>
    </row>
    <row r="1135">
      <c r="B1135" s="25" t="n"/>
      <c r="I1135" s="25" t="n"/>
      <c r="U1135" s="19">
        <f>IF($V1135&lt;&gt;'設定'!$C$4,N(U1134),IF(OR(NOT(COUNTIF('商品マスタ'!$B$6:$B$1005,$W1135)=0),COUNTIFS('①在庫を貼る'!$V$6:$V$10005,$V1135,'①在庫を貼る'!$W$6:$W$10005,$W1135)&gt;0),N(U1134),N(U1134)+1))</f>
        <v/>
      </c>
      <c r="V1135" s="19">
        <f>IF($B1135="","",TEXT($B1135,"0000"))</f>
        <v/>
      </c>
      <c r="W1135" s="19">
        <f>IF($I1135="","",IF(ISNUMBER($I1135),TEXT($I1135,"0"),$I1135))</f>
        <v/>
      </c>
    </row>
    <row r="1136">
      <c r="B1136" s="25" t="n"/>
      <c r="I1136" s="25" t="n"/>
      <c r="U1136" s="19">
        <f>IF($V1136&lt;&gt;'設定'!$C$4,N(U1135),IF(OR(NOT(COUNTIF('商品マスタ'!$B$6:$B$1005,$W1136)=0),COUNTIFS('①在庫を貼る'!$V$6:$V$10005,$V1136,'①在庫を貼る'!$W$6:$W$10005,$W1136)&gt;0),N(U1135),N(U1135)+1))</f>
        <v/>
      </c>
      <c r="V1136" s="19">
        <f>IF($B1136="","",TEXT($B1136,"0000"))</f>
        <v/>
      </c>
      <c r="W1136" s="19">
        <f>IF($I1136="","",IF(ISNUMBER($I1136),TEXT($I1136,"0"),$I1136))</f>
        <v/>
      </c>
    </row>
    <row r="1137">
      <c r="B1137" s="25" t="n"/>
      <c r="I1137" s="25" t="n"/>
      <c r="U1137" s="19">
        <f>IF($V1137&lt;&gt;'設定'!$C$4,N(U1136),IF(OR(NOT(COUNTIF('商品マスタ'!$B$6:$B$1005,$W1137)=0),COUNTIFS('①在庫を貼る'!$V$6:$V$10005,$V1137,'①在庫を貼る'!$W$6:$W$10005,$W1137)&gt;0),N(U1136),N(U1136)+1))</f>
        <v/>
      </c>
      <c r="V1137" s="19">
        <f>IF($B1137="","",TEXT($B1137,"0000"))</f>
        <v/>
      </c>
      <c r="W1137" s="19">
        <f>IF($I1137="","",IF(ISNUMBER($I1137),TEXT($I1137,"0"),$I1137))</f>
        <v/>
      </c>
    </row>
    <row r="1138">
      <c r="B1138" s="25" t="n"/>
      <c r="I1138" s="25" t="n"/>
      <c r="U1138" s="19">
        <f>IF($V1138&lt;&gt;'設定'!$C$4,N(U1137),IF(OR(NOT(COUNTIF('商品マスタ'!$B$6:$B$1005,$W1138)=0),COUNTIFS('①在庫を貼る'!$V$6:$V$10005,$V1138,'①在庫を貼る'!$W$6:$W$10005,$W1138)&gt;0),N(U1137),N(U1137)+1))</f>
        <v/>
      </c>
      <c r="V1138" s="19">
        <f>IF($B1138="","",TEXT($B1138,"0000"))</f>
        <v/>
      </c>
      <c r="W1138" s="19">
        <f>IF($I1138="","",IF(ISNUMBER($I1138),TEXT($I1138,"0"),$I1138))</f>
        <v/>
      </c>
    </row>
    <row r="1139">
      <c r="B1139" s="25" t="n"/>
      <c r="I1139" s="25" t="n"/>
      <c r="U1139" s="19">
        <f>IF($V1139&lt;&gt;'設定'!$C$4,N(U1138),IF(OR(NOT(COUNTIF('商品マスタ'!$B$6:$B$1005,$W1139)=0),COUNTIFS('①在庫を貼る'!$V$6:$V$10005,$V1139,'①在庫を貼る'!$W$6:$W$10005,$W1139)&gt;0),N(U1138),N(U1138)+1))</f>
        <v/>
      </c>
      <c r="V1139" s="19">
        <f>IF($B1139="","",TEXT($B1139,"0000"))</f>
        <v/>
      </c>
      <c r="W1139" s="19">
        <f>IF($I1139="","",IF(ISNUMBER($I1139),TEXT($I1139,"0"),$I1139))</f>
        <v/>
      </c>
    </row>
    <row r="1140">
      <c r="B1140" s="25" t="n"/>
      <c r="I1140" s="25" t="n"/>
      <c r="U1140" s="19">
        <f>IF($V1140&lt;&gt;'設定'!$C$4,N(U1139),IF(OR(NOT(COUNTIF('商品マスタ'!$B$6:$B$1005,$W1140)=0),COUNTIFS('①在庫を貼る'!$V$6:$V$10005,$V1140,'①在庫を貼る'!$W$6:$W$10005,$W1140)&gt;0),N(U1139),N(U1139)+1))</f>
        <v/>
      </c>
      <c r="V1140" s="19">
        <f>IF($B1140="","",TEXT($B1140,"0000"))</f>
        <v/>
      </c>
      <c r="W1140" s="19">
        <f>IF($I1140="","",IF(ISNUMBER($I1140),TEXT($I1140,"0"),$I1140))</f>
        <v/>
      </c>
    </row>
    <row r="1141">
      <c r="B1141" s="25" t="n"/>
      <c r="I1141" s="25" t="n"/>
      <c r="U1141" s="19">
        <f>IF($V1141&lt;&gt;'設定'!$C$4,N(U1140),IF(OR(NOT(COUNTIF('商品マスタ'!$B$6:$B$1005,$W1141)=0),COUNTIFS('①在庫を貼る'!$V$6:$V$10005,$V1141,'①在庫を貼る'!$W$6:$W$10005,$W1141)&gt;0),N(U1140),N(U1140)+1))</f>
        <v/>
      </c>
      <c r="V1141" s="19">
        <f>IF($B1141="","",TEXT($B1141,"0000"))</f>
        <v/>
      </c>
      <c r="W1141" s="19">
        <f>IF($I1141="","",IF(ISNUMBER($I1141),TEXT($I1141,"0"),$I1141))</f>
        <v/>
      </c>
    </row>
    <row r="1142">
      <c r="B1142" s="25" t="n"/>
      <c r="I1142" s="25" t="n"/>
      <c r="U1142" s="19">
        <f>IF($V1142&lt;&gt;'設定'!$C$4,N(U1141),IF(OR(NOT(COUNTIF('商品マスタ'!$B$6:$B$1005,$W1142)=0),COUNTIFS('①在庫を貼る'!$V$6:$V$10005,$V1142,'①在庫を貼る'!$W$6:$W$10005,$W1142)&gt;0),N(U1141),N(U1141)+1))</f>
        <v/>
      </c>
      <c r="V1142" s="19">
        <f>IF($B1142="","",TEXT($B1142,"0000"))</f>
        <v/>
      </c>
      <c r="W1142" s="19">
        <f>IF($I1142="","",IF(ISNUMBER($I1142),TEXT($I1142,"0"),$I1142))</f>
        <v/>
      </c>
    </row>
    <row r="1143">
      <c r="B1143" s="25" t="n"/>
      <c r="I1143" s="25" t="n"/>
      <c r="U1143" s="19">
        <f>IF($V1143&lt;&gt;'設定'!$C$4,N(U1142),IF(OR(NOT(COUNTIF('商品マスタ'!$B$6:$B$1005,$W1143)=0),COUNTIFS('①在庫を貼る'!$V$6:$V$10005,$V1143,'①在庫を貼る'!$W$6:$W$10005,$W1143)&gt;0),N(U1142),N(U1142)+1))</f>
        <v/>
      </c>
      <c r="V1143" s="19">
        <f>IF($B1143="","",TEXT($B1143,"0000"))</f>
        <v/>
      </c>
      <c r="W1143" s="19">
        <f>IF($I1143="","",IF(ISNUMBER($I1143),TEXT($I1143,"0"),$I1143))</f>
        <v/>
      </c>
    </row>
    <row r="1144">
      <c r="B1144" s="25" t="n"/>
      <c r="I1144" s="25" t="n"/>
      <c r="U1144" s="19">
        <f>IF($V1144&lt;&gt;'設定'!$C$4,N(U1143),IF(OR(NOT(COUNTIF('商品マスタ'!$B$6:$B$1005,$W1144)=0),COUNTIFS('①在庫を貼る'!$V$6:$V$10005,$V1144,'①在庫を貼る'!$W$6:$W$10005,$W1144)&gt;0),N(U1143),N(U1143)+1))</f>
        <v/>
      </c>
      <c r="V1144" s="19">
        <f>IF($B1144="","",TEXT($B1144,"0000"))</f>
        <v/>
      </c>
      <c r="W1144" s="19">
        <f>IF($I1144="","",IF(ISNUMBER($I1144),TEXT($I1144,"0"),$I1144))</f>
        <v/>
      </c>
    </row>
    <row r="1145">
      <c r="B1145" s="25" t="n"/>
      <c r="I1145" s="25" t="n"/>
      <c r="U1145" s="19">
        <f>IF($V1145&lt;&gt;'設定'!$C$4,N(U1144),IF(OR(NOT(COUNTIF('商品マスタ'!$B$6:$B$1005,$W1145)=0),COUNTIFS('①在庫を貼る'!$V$6:$V$10005,$V1145,'①在庫を貼る'!$W$6:$W$10005,$W1145)&gt;0),N(U1144),N(U1144)+1))</f>
        <v/>
      </c>
      <c r="V1145" s="19">
        <f>IF($B1145="","",TEXT($B1145,"0000"))</f>
        <v/>
      </c>
      <c r="W1145" s="19">
        <f>IF($I1145="","",IF(ISNUMBER($I1145),TEXT($I1145,"0"),$I1145))</f>
        <v/>
      </c>
    </row>
    <row r="1146">
      <c r="B1146" s="25" t="n"/>
      <c r="I1146" s="25" t="n"/>
      <c r="U1146" s="19">
        <f>IF($V1146&lt;&gt;'設定'!$C$4,N(U1145),IF(OR(NOT(COUNTIF('商品マスタ'!$B$6:$B$1005,$W1146)=0),COUNTIFS('①在庫を貼る'!$V$6:$V$10005,$V1146,'①在庫を貼る'!$W$6:$W$10005,$W1146)&gt;0),N(U1145),N(U1145)+1))</f>
        <v/>
      </c>
      <c r="V1146" s="19">
        <f>IF($B1146="","",TEXT($B1146,"0000"))</f>
        <v/>
      </c>
      <c r="W1146" s="19">
        <f>IF($I1146="","",IF(ISNUMBER($I1146),TEXT($I1146,"0"),$I1146))</f>
        <v/>
      </c>
    </row>
    <row r="1147">
      <c r="B1147" s="25" t="n"/>
      <c r="I1147" s="25" t="n"/>
      <c r="U1147" s="19">
        <f>IF($V1147&lt;&gt;'設定'!$C$4,N(U1146),IF(OR(NOT(COUNTIF('商品マスタ'!$B$6:$B$1005,$W1147)=0),COUNTIFS('①在庫を貼る'!$V$6:$V$10005,$V1147,'①在庫を貼る'!$W$6:$W$10005,$W1147)&gt;0),N(U1146),N(U1146)+1))</f>
        <v/>
      </c>
      <c r="V1147" s="19">
        <f>IF($B1147="","",TEXT($B1147,"0000"))</f>
        <v/>
      </c>
      <c r="W1147" s="19">
        <f>IF($I1147="","",IF(ISNUMBER($I1147),TEXT($I1147,"0"),$I1147))</f>
        <v/>
      </c>
    </row>
    <row r="1148">
      <c r="B1148" s="25" t="n"/>
      <c r="I1148" s="25" t="n"/>
      <c r="U1148" s="19">
        <f>IF($V1148&lt;&gt;'設定'!$C$4,N(U1147),IF(OR(NOT(COUNTIF('商品マスタ'!$B$6:$B$1005,$W1148)=0),COUNTIFS('①在庫を貼る'!$V$6:$V$10005,$V1148,'①在庫を貼る'!$W$6:$W$10005,$W1148)&gt;0),N(U1147),N(U1147)+1))</f>
        <v/>
      </c>
      <c r="V1148" s="19">
        <f>IF($B1148="","",TEXT($B1148,"0000"))</f>
        <v/>
      </c>
      <c r="W1148" s="19">
        <f>IF($I1148="","",IF(ISNUMBER($I1148),TEXT($I1148,"0"),$I1148))</f>
        <v/>
      </c>
    </row>
    <row r="1149">
      <c r="B1149" s="25" t="n"/>
      <c r="I1149" s="25" t="n"/>
      <c r="U1149" s="19">
        <f>IF($V1149&lt;&gt;'設定'!$C$4,N(U1148),IF(OR(NOT(COUNTIF('商品マスタ'!$B$6:$B$1005,$W1149)=0),COUNTIFS('①在庫を貼る'!$V$6:$V$10005,$V1149,'①在庫を貼る'!$W$6:$W$10005,$W1149)&gt;0),N(U1148),N(U1148)+1))</f>
        <v/>
      </c>
      <c r="V1149" s="19">
        <f>IF($B1149="","",TEXT($B1149,"0000"))</f>
        <v/>
      </c>
      <c r="W1149" s="19">
        <f>IF($I1149="","",IF(ISNUMBER($I1149),TEXT($I1149,"0"),$I1149))</f>
        <v/>
      </c>
    </row>
    <row r="1150">
      <c r="B1150" s="25" t="n"/>
      <c r="I1150" s="25" t="n"/>
      <c r="U1150" s="19">
        <f>IF($V1150&lt;&gt;'設定'!$C$4,N(U1149),IF(OR(NOT(COUNTIF('商品マスタ'!$B$6:$B$1005,$W1150)=0),COUNTIFS('①在庫を貼る'!$V$6:$V$10005,$V1150,'①在庫を貼る'!$W$6:$W$10005,$W1150)&gt;0),N(U1149),N(U1149)+1))</f>
        <v/>
      </c>
      <c r="V1150" s="19">
        <f>IF($B1150="","",TEXT($B1150,"0000"))</f>
        <v/>
      </c>
      <c r="W1150" s="19">
        <f>IF($I1150="","",IF(ISNUMBER($I1150),TEXT($I1150,"0"),$I1150))</f>
        <v/>
      </c>
    </row>
    <row r="1151">
      <c r="B1151" s="25" t="n"/>
      <c r="I1151" s="25" t="n"/>
      <c r="U1151" s="19">
        <f>IF($V1151&lt;&gt;'設定'!$C$4,N(U1150),IF(OR(NOT(COUNTIF('商品マスタ'!$B$6:$B$1005,$W1151)=0),COUNTIFS('①在庫を貼る'!$V$6:$V$10005,$V1151,'①在庫を貼る'!$W$6:$W$10005,$W1151)&gt;0),N(U1150),N(U1150)+1))</f>
        <v/>
      </c>
      <c r="V1151" s="19">
        <f>IF($B1151="","",TEXT($B1151,"0000"))</f>
        <v/>
      </c>
      <c r="W1151" s="19">
        <f>IF($I1151="","",IF(ISNUMBER($I1151),TEXT($I1151,"0"),$I1151))</f>
        <v/>
      </c>
    </row>
    <row r="1152">
      <c r="B1152" s="25" t="n"/>
      <c r="I1152" s="25" t="n"/>
      <c r="U1152" s="19">
        <f>IF($V1152&lt;&gt;'設定'!$C$4,N(U1151),IF(OR(NOT(COUNTIF('商品マスタ'!$B$6:$B$1005,$W1152)=0),COUNTIFS('①在庫を貼る'!$V$6:$V$10005,$V1152,'①在庫を貼る'!$W$6:$W$10005,$W1152)&gt;0),N(U1151),N(U1151)+1))</f>
        <v/>
      </c>
      <c r="V1152" s="19">
        <f>IF($B1152="","",TEXT($B1152,"0000"))</f>
        <v/>
      </c>
      <c r="W1152" s="19">
        <f>IF($I1152="","",IF(ISNUMBER($I1152),TEXT($I1152,"0"),$I1152))</f>
        <v/>
      </c>
    </row>
    <row r="1153">
      <c r="B1153" s="25" t="n"/>
      <c r="I1153" s="25" t="n"/>
      <c r="U1153" s="19">
        <f>IF($V1153&lt;&gt;'設定'!$C$4,N(U1152),IF(OR(NOT(COUNTIF('商品マスタ'!$B$6:$B$1005,$W1153)=0),COUNTIFS('①在庫を貼る'!$V$6:$V$10005,$V1153,'①在庫を貼る'!$W$6:$W$10005,$W1153)&gt;0),N(U1152),N(U1152)+1))</f>
        <v/>
      </c>
      <c r="V1153" s="19">
        <f>IF($B1153="","",TEXT($B1153,"0000"))</f>
        <v/>
      </c>
      <c r="W1153" s="19">
        <f>IF($I1153="","",IF(ISNUMBER($I1153),TEXT($I1153,"0"),$I1153))</f>
        <v/>
      </c>
    </row>
    <row r="1154">
      <c r="B1154" s="25" t="n"/>
      <c r="I1154" s="25" t="n"/>
      <c r="U1154" s="19">
        <f>IF($V1154&lt;&gt;'設定'!$C$4,N(U1153),IF(OR(NOT(COUNTIF('商品マスタ'!$B$6:$B$1005,$W1154)=0),COUNTIFS('①在庫を貼る'!$V$6:$V$10005,$V1154,'①在庫を貼る'!$W$6:$W$10005,$W1154)&gt;0),N(U1153),N(U1153)+1))</f>
        <v/>
      </c>
      <c r="V1154" s="19">
        <f>IF($B1154="","",TEXT($B1154,"0000"))</f>
        <v/>
      </c>
      <c r="W1154" s="19">
        <f>IF($I1154="","",IF(ISNUMBER($I1154),TEXT($I1154,"0"),$I1154))</f>
        <v/>
      </c>
    </row>
    <row r="1155">
      <c r="B1155" s="25" t="n"/>
      <c r="I1155" s="25" t="n"/>
      <c r="U1155" s="19">
        <f>IF($V1155&lt;&gt;'設定'!$C$4,N(U1154),IF(OR(NOT(COUNTIF('商品マスタ'!$B$6:$B$1005,$W1155)=0),COUNTIFS('①在庫を貼る'!$V$6:$V$10005,$V1155,'①在庫を貼る'!$W$6:$W$10005,$W1155)&gt;0),N(U1154),N(U1154)+1))</f>
        <v/>
      </c>
      <c r="V1155" s="19">
        <f>IF($B1155="","",TEXT($B1155,"0000"))</f>
        <v/>
      </c>
      <c r="W1155" s="19">
        <f>IF($I1155="","",IF(ISNUMBER($I1155),TEXT($I1155,"0"),$I1155))</f>
        <v/>
      </c>
    </row>
    <row r="1156">
      <c r="B1156" s="25" t="n"/>
      <c r="I1156" s="25" t="n"/>
      <c r="U1156" s="19">
        <f>IF($V1156&lt;&gt;'設定'!$C$4,N(U1155),IF(OR(NOT(COUNTIF('商品マスタ'!$B$6:$B$1005,$W1156)=0),COUNTIFS('①在庫を貼る'!$V$6:$V$10005,$V1156,'①在庫を貼る'!$W$6:$W$10005,$W1156)&gt;0),N(U1155),N(U1155)+1))</f>
        <v/>
      </c>
      <c r="V1156" s="19">
        <f>IF($B1156="","",TEXT($B1156,"0000"))</f>
        <v/>
      </c>
      <c r="W1156" s="19">
        <f>IF($I1156="","",IF(ISNUMBER($I1156),TEXT($I1156,"0"),$I1156))</f>
        <v/>
      </c>
    </row>
    <row r="1157">
      <c r="B1157" s="25" t="n"/>
      <c r="I1157" s="25" t="n"/>
      <c r="U1157" s="19">
        <f>IF($V1157&lt;&gt;'設定'!$C$4,N(U1156),IF(OR(NOT(COUNTIF('商品マスタ'!$B$6:$B$1005,$W1157)=0),COUNTIFS('①在庫を貼る'!$V$6:$V$10005,$V1157,'①在庫を貼る'!$W$6:$W$10005,$W1157)&gt;0),N(U1156),N(U1156)+1))</f>
        <v/>
      </c>
      <c r="V1157" s="19">
        <f>IF($B1157="","",TEXT($B1157,"0000"))</f>
        <v/>
      </c>
      <c r="W1157" s="19">
        <f>IF($I1157="","",IF(ISNUMBER($I1157),TEXT($I1157,"0"),$I1157))</f>
        <v/>
      </c>
    </row>
    <row r="1158">
      <c r="B1158" s="25" t="n"/>
      <c r="I1158" s="25" t="n"/>
      <c r="U1158" s="19">
        <f>IF($V1158&lt;&gt;'設定'!$C$4,N(U1157),IF(OR(NOT(COUNTIF('商品マスタ'!$B$6:$B$1005,$W1158)=0),COUNTIFS('①在庫を貼る'!$V$6:$V$10005,$V1158,'①在庫を貼る'!$W$6:$W$10005,$W1158)&gt;0),N(U1157),N(U1157)+1))</f>
        <v/>
      </c>
      <c r="V1158" s="19">
        <f>IF($B1158="","",TEXT($B1158,"0000"))</f>
        <v/>
      </c>
      <c r="W1158" s="19">
        <f>IF($I1158="","",IF(ISNUMBER($I1158),TEXT($I1158,"0"),$I1158))</f>
        <v/>
      </c>
    </row>
    <row r="1159">
      <c r="B1159" s="25" t="n"/>
      <c r="I1159" s="25" t="n"/>
      <c r="U1159" s="19">
        <f>IF($V1159&lt;&gt;'設定'!$C$4,N(U1158),IF(OR(NOT(COUNTIF('商品マスタ'!$B$6:$B$1005,$W1159)=0),COUNTIFS('①在庫を貼る'!$V$6:$V$10005,$V1159,'①在庫を貼る'!$W$6:$W$10005,$W1159)&gt;0),N(U1158),N(U1158)+1))</f>
        <v/>
      </c>
      <c r="V1159" s="19">
        <f>IF($B1159="","",TEXT($B1159,"0000"))</f>
        <v/>
      </c>
      <c r="W1159" s="19">
        <f>IF($I1159="","",IF(ISNUMBER($I1159),TEXT($I1159,"0"),$I1159))</f>
        <v/>
      </c>
    </row>
    <row r="1160">
      <c r="B1160" s="25" t="n"/>
      <c r="I1160" s="25" t="n"/>
      <c r="U1160" s="19">
        <f>IF($V1160&lt;&gt;'設定'!$C$4,N(U1159),IF(OR(NOT(COUNTIF('商品マスタ'!$B$6:$B$1005,$W1160)=0),COUNTIFS('①在庫を貼る'!$V$6:$V$10005,$V1160,'①在庫を貼る'!$W$6:$W$10005,$W1160)&gt;0),N(U1159),N(U1159)+1))</f>
        <v/>
      </c>
      <c r="V1160" s="19">
        <f>IF($B1160="","",TEXT($B1160,"0000"))</f>
        <v/>
      </c>
      <c r="W1160" s="19">
        <f>IF($I1160="","",IF(ISNUMBER($I1160),TEXT($I1160,"0"),$I1160))</f>
        <v/>
      </c>
    </row>
    <row r="1161">
      <c r="B1161" s="25" t="n"/>
      <c r="I1161" s="25" t="n"/>
      <c r="U1161" s="19">
        <f>IF($V1161&lt;&gt;'設定'!$C$4,N(U1160),IF(OR(NOT(COUNTIF('商品マスタ'!$B$6:$B$1005,$W1161)=0),COUNTIFS('①在庫を貼る'!$V$6:$V$10005,$V1161,'①在庫を貼る'!$W$6:$W$10005,$W1161)&gt;0),N(U1160),N(U1160)+1))</f>
        <v/>
      </c>
      <c r="V1161" s="19">
        <f>IF($B1161="","",TEXT($B1161,"0000"))</f>
        <v/>
      </c>
      <c r="W1161" s="19">
        <f>IF($I1161="","",IF(ISNUMBER($I1161),TEXT($I1161,"0"),$I1161))</f>
        <v/>
      </c>
    </row>
    <row r="1162">
      <c r="B1162" s="25" t="n"/>
      <c r="I1162" s="25" t="n"/>
      <c r="U1162" s="19">
        <f>IF($V1162&lt;&gt;'設定'!$C$4,N(U1161),IF(OR(NOT(COUNTIF('商品マスタ'!$B$6:$B$1005,$W1162)=0),COUNTIFS('①在庫を貼る'!$V$6:$V$10005,$V1162,'①在庫を貼る'!$W$6:$W$10005,$W1162)&gt;0),N(U1161),N(U1161)+1))</f>
        <v/>
      </c>
      <c r="V1162" s="19">
        <f>IF($B1162="","",TEXT($B1162,"0000"))</f>
        <v/>
      </c>
      <c r="W1162" s="19">
        <f>IF($I1162="","",IF(ISNUMBER($I1162),TEXT($I1162,"0"),$I1162))</f>
        <v/>
      </c>
    </row>
    <row r="1163">
      <c r="B1163" s="25" t="n"/>
      <c r="I1163" s="25" t="n"/>
      <c r="U1163" s="19">
        <f>IF($V1163&lt;&gt;'設定'!$C$4,N(U1162),IF(OR(NOT(COUNTIF('商品マスタ'!$B$6:$B$1005,$W1163)=0),COUNTIFS('①在庫を貼る'!$V$6:$V$10005,$V1163,'①在庫を貼る'!$W$6:$W$10005,$W1163)&gt;0),N(U1162),N(U1162)+1))</f>
        <v/>
      </c>
      <c r="V1163" s="19">
        <f>IF($B1163="","",TEXT($B1163,"0000"))</f>
        <v/>
      </c>
      <c r="W1163" s="19">
        <f>IF($I1163="","",IF(ISNUMBER($I1163),TEXT($I1163,"0"),$I1163))</f>
        <v/>
      </c>
    </row>
    <row r="1164">
      <c r="B1164" s="25" t="n"/>
      <c r="I1164" s="25" t="n"/>
      <c r="U1164" s="19">
        <f>IF($V1164&lt;&gt;'設定'!$C$4,N(U1163),IF(OR(NOT(COUNTIF('商品マスタ'!$B$6:$B$1005,$W1164)=0),COUNTIFS('①在庫を貼る'!$V$6:$V$10005,$V1164,'①在庫を貼る'!$W$6:$W$10005,$W1164)&gt;0),N(U1163),N(U1163)+1))</f>
        <v/>
      </c>
      <c r="V1164" s="19">
        <f>IF($B1164="","",TEXT($B1164,"0000"))</f>
        <v/>
      </c>
      <c r="W1164" s="19">
        <f>IF($I1164="","",IF(ISNUMBER($I1164),TEXT($I1164,"0"),$I1164))</f>
        <v/>
      </c>
    </row>
    <row r="1165">
      <c r="B1165" s="25" t="n"/>
      <c r="I1165" s="25" t="n"/>
      <c r="U1165" s="19">
        <f>IF($V1165&lt;&gt;'設定'!$C$4,N(U1164),IF(OR(NOT(COUNTIF('商品マスタ'!$B$6:$B$1005,$W1165)=0),COUNTIFS('①在庫を貼る'!$V$6:$V$10005,$V1165,'①在庫を貼る'!$W$6:$W$10005,$W1165)&gt;0),N(U1164),N(U1164)+1))</f>
        <v/>
      </c>
      <c r="V1165" s="19">
        <f>IF($B1165="","",TEXT($B1165,"0000"))</f>
        <v/>
      </c>
      <c r="W1165" s="19">
        <f>IF($I1165="","",IF(ISNUMBER($I1165),TEXT($I1165,"0"),$I1165))</f>
        <v/>
      </c>
    </row>
    <row r="1166">
      <c r="B1166" s="25" t="n"/>
      <c r="I1166" s="25" t="n"/>
      <c r="U1166" s="19">
        <f>IF($V1166&lt;&gt;'設定'!$C$4,N(U1165),IF(OR(NOT(COUNTIF('商品マスタ'!$B$6:$B$1005,$W1166)=0),COUNTIFS('①在庫を貼る'!$V$6:$V$10005,$V1166,'①在庫を貼る'!$W$6:$W$10005,$W1166)&gt;0),N(U1165),N(U1165)+1))</f>
        <v/>
      </c>
      <c r="V1166" s="19">
        <f>IF($B1166="","",TEXT($B1166,"0000"))</f>
        <v/>
      </c>
      <c r="W1166" s="19">
        <f>IF($I1166="","",IF(ISNUMBER($I1166),TEXT($I1166,"0"),$I1166))</f>
        <v/>
      </c>
    </row>
    <row r="1167">
      <c r="B1167" s="25" t="n"/>
      <c r="I1167" s="25" t="n"/>
      <c r="U1167" s="19">
        <f>IF($V1167&lt;&gt;'設定'!$C$4,N(U1166),IF(OR(NOT(COUNTIF('商品マスタ'!$B$6:$B$1005,$W1167)=0),COUNTIFS('①在庫を貼る'!$V$6:$V$10005,$V1167,'①在庫を貼る'!$W$6:$W$10005,$W1167)&gt;0),N(U1166),N(U1166)+1))</f>
        <v/>
      </c>
      <c r="V1167" s="19">
        <f>IF($B1167="","",TEXT($B1167,"0000"))</f>
        <v/>
      </c>
      <c r="W1167" s="19">
        <f>IF($I1167="","",IF(ISNUMBER($I1167),TEXT($I1167,"0"),$I1167))</f>
        <v/>
      </c>
    </row>
    <row r="1168">
      <c r="B1168" s="25" t="n"/>
      <c r="I1168" s="25" t="n"/>
      <c r="U1168" s="19">
        <f>IF($V1168&lt;&gt;'設定'!$C$4,N(U1167),IF(OR(NOT(COUNTIF('商品マスタ'!$B$6:$B$1005,$W1168)=0),COUNTIFS('①在庫を貼る'!$V$6:$V$10005,$V1168,'①在庫を貼る'!$W$6:$W$10005,$W1168)&gt;0),N(U1167),N(U1167)+1))</f>
        <v/>
      </c>
      <c r="V1168" s="19">
        <f>IF($B1168="","",TEXT($B1168,"0000"))</f>
        <v/>
      </c>
      <c r="W1168" s="19">
        <f>IF($I1168="","",IF(ISNUMBER($I1168),TEXT($I1168,"0"),$I1168))</f>
        <v/>
      </c>
    </row>
    <row r="1169">
      <c r="B1169" s="25" t="n"/>
      <c r="I1169" s="25" t="n"/>
      <c r="U1169" s="19">
        <f>IF($V1169&lt;&gt;'設定'!$C$4,N(U1168),IF(OR(NOT(COUNTIF('商品マスタ'!$B$6:$B$1005,$W1169)=0),COUNTIFS('①在庫を貼る'!$V$6:$V$10005,$V1169,'①在庫を貼る'!$W$6:$W$10005,$W1169)&gt;0),N(U1168),N(U1168)+1))</f>
        <v/>
      </c>
      <c r="V1169" s="19">
        <f>IF($B1169="","",TEXT($B1169,"0000"))</f>
        <v/>
      </c>
      <c r="W1169" s="19">
        <f>IF($I1169="","",IF(ISNUMBER($I1169),TEXT($I1169,"0"),$I1169))</f>
        <v/>
      </c>
    </row>
    <row r="1170">
      <c r="B1170" s="25" t="n"/>
      <c r="I1170" s="25" t="n"/>
      <c r="U1170" s="19">
        <f>IF($V1170&lt;&gt;'設定'!$C$4,N(U1169),IF(OR(NOT(COUNTIF('商品マスタ'!$B$6:$B$1005,$W1170)=0),COUNTIFS('①在庫を貼る'!$V$6:$V$10005,$V1170,'①在庫を貼る'!$W$6:$W$10005,$W1170)&gt;0),N(U1169),N(U1169)+1))</f>
        <v/>
      </c>
      <c r="V1170" s="19">
        <f>IF($B1170="","",TEXT($B1170,"0000"))</f>
        <v/>
      </c>
      <c r="W1170" s="19">
        <f>IF($I1170="","",IF(ISNUMBER($I1170),TEXT($I1170,"0"),$I1170))</f>
        <v/>
      </c>
    </row>
    <row r="1171">
      <c r="B1171" s="25" t="n"/>
      <c r="I1171" s="25" t="n"/>
      <c r="U1171" s="19">
        <f>IF($V1171&lt;&gt;'設定'!$C$4,N(U1170),IF(OR(NOT(COUNTIF('商品マスタ'!$B$6:$B$1005,$W1171)=0),COUNTIFS('①在庫を貼る'!$V$6:$V$10005,$V1171,'①在庫を貼る'!$W$6:$W$10005,$W1171)&gt;0),N(U1170),N(U1170)+1))</f>
        <v/>
      </c>
      <c r="V1171" s="19">
        <f>IF($B1171="","",TEXT($B1171,"0000"))</f>
        <v/>
      </c>
      <c r="W1171" s="19">
        <f>IF($I1171="","",IF(ISNUMBER($I1171),TEXT($I1171,"0"),$I1171))</f>
        <v/>
      </c>
    </row>
    <row r="1172">
      <c r="B1172" s="25" t="n"/>
      <c r="I1172" s="25" t="n"/>
      <c r="U1172" s="19">
        <f>IF($V1172&lt;&gt;'設定'!$C$4,N(U1171),IF(OR(NOT(COUNTIF('商品マスタ'!$B$6:$B$1005,$W1172)=0),COUNTIFS('①在庫を貼る'!$V$6:$V$10005,$V1172,'①在庫を貼る'!$W$6:$W$10005,$W1172)&gt;0),N(U1171),N(U1171)+1))</f>
        <v/>
      </c>
      <c r="V1172" s="19">
        <f>IF($B1172="","",TEXT($B1172,"0000"))</f>
        <v/>
      </c>
      <c r="W1172" s="19">
        <f>IF($I1172="","",IF(ISNUMBER($I1172),TEXT($I1172,"0"),$I1172))</f>
        <v/>
      </c>
    </row>
    <row r="1173">
      <c r="B1173" s="25" t="n"/>
      <c r="I1173" s="25" t="n"/>
      <c r="U1173" s="19">
        <f>IF($V1173&lt;&gt;'設定'!$C$4,N(U1172),IF(OR(NOT(COUNTIF('商品マスタ'!$B$6:$B$1005,$W1173)=0),COUNTIFS('①在庫を貼る'!$V$6:$V$10005,$V1173,'①在庫を貼る'!$W$6:$W$10005,$W1173)&gt;0),N(U1172),N(U1172)+1))</f>
        <v/>
      </c>
      <c r="V1173" s="19">
        <f>IF($B1173="","",TEXT($B1173,"0000"))</f>
        <v/>
      </c>
      <c r="W1173" s="19">
        <f>IF($I1173="","",IF(ISNUMBER($I1173),TEXT($I1173,"0"),$I1173))</f>
        <v/>
      </c>
    </row>
    <row r="1174">
      <c r="B1174" s="25" t="n"/>
      <c r="I1174" s="25" t="n"/>
      <c r="U1174" s="19">
        <f>IF($V1174&lt;&gt;'設定'!$C$4,N(U1173),IF(OR(NOT(COUNTIF('商品マスタ'!$B$6:$B$1005,$W1174)=0),COUNTIFS('①在庫を貼る'!$V$6:$V$10005,$V1174,'①在庫を貼る'!$W$6:$W$10005,$W1174)&gt;0),N(U1173),N(U1173)+1))</f>
        <v/>
      </c>
      <c r="V1174" s="19">
        <f>IF($B1174="","",TEXT($B1174,"0000"))</f>
        <v/>
      </c>
      <c r="W1174" s="19">
        <f>IF($I1174="","",IF(ISNUMBER($I1174),TEXT($I1174,"0"),$I1174))</f>
        <v/>
      </c>
    </row>
    <row r="1175">
      <c r="B1175" s="25" t="n"/>
      <c r="I1175" s="25" t="n"/>
      <c r="U1175" s="19">
        <f>IF($V1175&lt;&gt;'設定'!$C$4,N(U1174),IF(OR(NOT(COUNTIF('商品マスタ'!$B$6:$B$1005,$W1175)=0),COUNTIFS('①在庫を貼る'!$V$6:$V$10005,$V1175,'①在庫を貼る'!$W$6:$W$10005,$W1175)&gt;0),N(U1174),N(U1174)+1))</f>
        <v/>
      </c>
      <c r="V1175" s="19">
        <f>IF($B1175="","",TEXT($B1175,"0000"))</f>
        <v/>
      </c>
      <c r="W1175" s="19">
        <f>IF($I1175="","",IF(ISNUMBER($I1175),TEXT($I1175,"0"),$I1175))</f>
        <v/>
      </c>
    </row>
    <row r="1176">
      <c r="B1176" s="25" t="n"/>
      <c r="I1176" s="25" t="n"/>
      <c r="U1176" s="19">
        <f>IF($V1176&lt;&gt;'設定'!$C$4,N(U1175),IF(OR(NOT(COUNTIF('商品マスタ'!$B$6:$B$1005,$W1176)=0),COUNTIFS('①在庫を貼る'!$V$6:$V$10005,$V1176,'①在庫を貼る'!$W$6:$W$10005,$W1176)&gt;0),N(U1175),N(U1175)+1))</f>
        <v/>
      </c>
      <c r="V1176" s="19">
        <f>IF($B1176="","",TEXT($B1176,"0000"))</f>
        <v/>
      </c>
      <c r="W1176" s="19">
        <f>IF($I1176="","",IF(ISNUMBER($I1176),TEXT($I1176,"0"),$I1176))</f>
        <v/>
      </c>
    </row>
    <row r="1177">
      <c r="B1177" s="25" t="n"/>
      <c r="I1177" s="25" t="n"/>
      <c r="U1177" s="19">
        <f>IF($V1177&lt;&gt;'設定'!$C$4,N(U1176),IF(OR(NOT(COUNTIF('商品マスタ'!$B$6:$B$1005,$W1177)=0),COUNTIFS('①在庫を貼る'!$V$6:$V$10005,$V1177,'①在庫を貼る'!$W$6:$W$10005,$W1177)&gt;0),N(U1176),N(U1176)+1))</f>
        <v/>
      </c>
      <c r="V1177" s="19">
        <f>IF($B1177="","",TEXT($B1177,"0000"))</f>
        <v/>
      </c>
      <c r="W1177" s="19">
        <f>IF($I1177="","",IF(ISNUMBER($I1177),TEXT($I1177,"0"),$I1177))</f>
        <v/>
      </c>
    </row>
    <row r="1178">
      <c r="B1178" s="25" t="n"/>
      <c r="I1178" s="25" t="n"/>
      <c r="U1178" s="19">
        <f>IF($V1178&lt;&gt;'設定'!$C$4,N(U1177),IF(OR(NOT(COUNTIF('商品マスタ'!$B$6:$B$1005,$W1178)=0),COUNTIFS('①在庫を貼る'!$V$6:$V$10005,$V1178,'①在庫を貼る'!$W$6:$W$10005,$W1178)&gt;0),N(U1177),N(U1177)+1))</f>
        <v/>
      </c>
      <c r="V1178" s="19">
        <f>IF($B1178="","",TEXT($B1178,"0000"))</f>
        <v/>
      </c>
      <c r="W1178" s="19">
        <f>IF($I1178="","",IF(ISNUMBER($I1178),TEXT($I1178,"0"),$I1178))</f>
        <v/>
      </c>
    </row>
    <row r="1179">
      <c r="B1179" s="25" t="n"/>
      <c r="I1179" s="25" t="n"/>
      <c r="U1179" s="19">
        <f>IF($V1179&lt;&gt;'設定'!$C$4,N(U1178),IF(OR(NOT(COUNTIF('商品マスタ'!$B$6:$B$1005,$W1179)=0),COUNTIFS('①在庫を貼る'!$V$6:$V$10005,$V1179,'①在庫を貼る'!$W$6:$W$10005,$W1179)&gt;0),N(U1178),N(U1178)+1))</f>
        <v/>
      </c>
      <c r="V1179" s="19">
        <f>IF($B1179="","",TEXT($B1179,"0000"))</f>
        <v/>
      </c>
      <c r="W1179" s="19">
        <f>IF($I1179="","",IF(ISNUMBER($I1179),TEXT($I1179,"0"),$I1179))</f>
        <v/>
      </c>
    </row>
    <row r="1180">
      <c r="B1180" s="25" t="n"/>
      <c r="I1180" s="25" t="n"/>
      <c r="U1180" s="19">
        <f>IF($V1180&lt;&gt;'設定'!$C$4,N(U1179),IF(OR(NOT(COUNTIF('商品マスタ'!$B$6:$B$1005,$W1180)=0),COUNTIFS('①在庫を貼る'!$V$6:$V$10005,$V1180,'①在庫を貼る'!$W$6:$W$10005,$W1180)&gt;0),N(U1179),N(U1179)+1))</f>
        <v/>
      </c>
      <c r="V1180" s="19">
        <f>IF($B1180="","",TEXT($B1180,"0000"))</f>
        <v/>
      </c>
      <c r="W1180" s="19">
        <f>IF($I1180="","",IF(ISNUMBER($I1180),TEXT($I1180,"0"),$I1180))</f>
        <v/>
      </c>
    </row>
    <row r="1181">
      <c r="B1181" s="25" t="n"/>
      <c r="I1181" s="25" t="n"/>
      <c r="U1181" s="19">
        <f>IF($V1181&lt;&gt;'設定'!$C$4,N(U1180),IF(OR(NOT(COUNTIF('商品マスタ'!$B$6:$B$1005,$W1181)=0),COUNTIFS('①在庫を貼る'!$V$6:$V$10005,$V1181,'①在庫を貼る'!$W$6:$W$10005,$W1181)&gt;0),N(U1180),N(U1180)+1))</f>
        <v/>
      </c>
      <c r="V1181" s="19">
        <f>IF($B1181="","",TEXT($B1181,"0000"))</f>
        <v/>
      </c>
      <c r="W1181" s="19">
        <f>IF($I1181="","",IF(ISNUMBER($I1181),TEXT($I1181,"0"),$I1181))</f>
        <v/>
      </c>
    </row>
    <row r="1182">
      <c r="B1182" s="25" t="n"/>
      <c r="I1182" s="25" t="n"/>
      <c r="U1182" s="19">
        <f>IF($V1182&lt;&gt;'設定'!$C$4,N(U1181),IF(OR(NOT(COUNTIF('商品マスタ'!$B$6:$B$1005,$W1182)=0),COUNTIFS('①在庫を貼る'!$V$6:$V$10005,$V1182,'①在庫を貼る'!$W$6:$W$10005,$W1182)&gt;0),N(U1181),N(U1181)+1))</f>
        <v/>
      </c>
      <c r="V1182" s="19">
        <f>IF($B1182="","",TEXT($B1182,"0000"))</f>
        <v/>
      </c>
      <c r="W1182" s="19">
        <f>IF($I1182="","",IF(ISNUMBER($I1182),TEXT($I1182,"0"),$I1182))</f>
        <v/>
      </c>
    </row>
    <row r="1183">
      <c r="B1183" s="25" t="n"/>
      <c r="I1183" s="25" t="n"/>
      <c r="U1183" s="19">
        <f>IF($V1183&lt;&gt;'設定'!$C$4,N(U1182),IF(OR(NOT(COUNTIF('商品マスタ'!$B$6:$B$1005,$W1183)=0),COUNTIFS('①在庫を貼る'!$V$6:$V$10005,$V1183,'①在庫を貼る'!$W$6:$W$10005,$W1183)&gt;0),N(U1182),N(U1182)+1))</f>
        <v/>
      </c>
      <c r="V1183" s="19">
        <f>IF($B1183="","",TEXT($B1183,"0000"))</f>
        <v/>
      </c>
      <c r="W1183" s="19">
        <f>IF($I1183="","",IF(ISNUMBER($I1183),TEXT($I1183,"0"),$I1183))</f>
        <v/>
      </c>
    </row>
    <row r="1184">
      <c r="B1184" s="25" t="n"/>
      <c r="I1184" s="25" t="n"/>
      <c r="U1184" s="19">
        <f>IF($V1184&lt;&gt;'設定'!$C$4,N(U1183),IF(OR(NOT(COUNTIF('商品マスタ'!$B$6:$B$1005,$W1184)=0),COUNTIFS('①在庫を貼る'!$V$6:$V$10005,$V1184,'①在庫を貼る'!$W$6:$W$10005,$W1184)&gt;0),N(U1183),N(U1183)+1))</f>
        <v/>
      </c>
      <c r="V1184" s="19">
        <f>IF($B1184="","",TEXT($B1184,"0000"))</f>
        <v/>
      </c>
      <c r="W1184" s="19">
        <f>IF($I1184="","",IF(ISNUMBER($I1184),TEXT($I1184,"0"),$I1184))</f>
        <v/>
      </c>
    </row>
    <row r="1185">
      <c r="B1185" s="25" t="n"/>
      <c r="I1185" s="25" t="n"/>
      <c r="U1185" s="19">
        <f>IF($V1185&lt;&gt;'設定'!$C$4,N(U1184),IF(OR(NOT(COUNTIF('商品マスタ'!$B$6:$B$1005,$W1185)=0),COUNTIFS('①在庫を貼る'!$V$6:$V$10005,$V1185,'①在庫を貼る'!$W$6:$W$10005,$W1185)&gt;0),N(U1184),N(U1184)+1))</f>
        <v/>
      </c>
      <c r="V1185" s="19">
        <f>IF($B1185="","",TEXT($B1185,"0000"))</f>
        <v/>
      </c>
      <c r="W1185" s="19">
        <f>IF($I1185="","",IF(ISNUMBER($I1185),TEXT($I1185,"0"),$I1185))</f>
        <v/>
      </c>
    </row>
    <row r="1186">
      <c r="B1186" s="25" t="n"/>
      <c r="I1186" s="25" t="n"/>
      <c r="U1186" s="19">
        <f>IF($V1186&lt;&gt;'設定'!$C$4,N(U1185),IF(OR(NOT(COUNTIF('商品マスタ'!$B$6:$B$1005,$W1186)=0),COUNTIFS('①在庫を貼る'!$V$6:$V$10005,$V1186,'①在庫を貼る'!$W$6:$W$10005,$W1186)&gt;0),N(U1185),N(U1185)+1))</f>
        <v/>
      </c>
      <c r="V1186" s="19">
        <f>IF($B1186="","",TEXT($B1186,"0000"))</f>
        <v/>
      </c>
      <c r="W1186" s="19">
        <f>IF($I1186="","",IF(ISNUMBER($I1186),TEXT($I1186,"0"),$I1186))</f>
        <v/>
      </c>
    </row>
    <row r="1187">
      <c r="B1187" s="25" t="n"/>
      <c r="I1187" s="25" t="n"/>
      <c r="U1187" s="19">
        <f>IF($V1187&lt;&gt;'設定'!$C$4,N(U1186),IF(OR(NOT(COUNTIF('商品マスタ'!$B$6:$B$1005,$W1187)=0),COUNTIFS('①在庫を貼る'!$V$6:$V$10005,$V1187,'①在庫を貼る'!$W$6:$W$10005,$W1187)&gt;0),N(U1186),N(U1186)+1))</f>
        <v/>
      </c>
      <c r="V1187" s="19">
        <f>IF($B1187="","",TEXT($B1187,"0000"))</f>
        <v/>
      </c>
      <c r="W1187" s="19">
        <f>IF($I1187="","",IF(ISNUMBER($I1187),TEXT($I1187,"0"),$I1187))</f>
        <v/>
      </c>
    </row>
    <row r="1188">
      <c r="B1188" s="25" t="n"/>
      <c r="I1188" s="25" t="n"/>
      <c r="U1188" s="19">
        <f>IF($V1188&lt;&gt;'設定'!$C$4,N(U1187),IF(OR(NOT(COUNTIF('商品マスタ'!$B$6:$B$1005,$W1188)=0),COUNTIFS('①在庫を貼る'!$V$6:$V$10005,$V1188,'①在庫を貼る'!$W$6:$W$10005,$W1188)&gt;0),N(U1187),N(U1187)+1))</f>
        <v/>
      </c>
      <c r="V1188" s="19">
        <f>IF($B1188="","",TEXT($B1188,"0000"))</f>
        <v/>
      </c>
      <c r="W1188" s="19">
        <f>IF($I1188="","",IF(ISNUMBER($I1188),TEXT($I1188,"0"),$I1188))</f>
        <v/>
      </c>
    </row>
    <row r="1189">
      <c r="B1189" s="25" t="n"/>
      <c r="I1189" s="25" t="n"/>
      <c r="U1189" s="19">
        <f>IF($V1189&lt;&gt;'設定'!$C$4,N(U1188),IF(OR(NOT(COUNTIF('商品マスタ'!$B$6:$B$1005,$W1189)=0),COUNTIFS('①在庫を貼る'!$V$6:$V$10005,$V1189,'①在庫を貼る'!$W$6:$W$10005,$W1189)&gt;0),N(U1188),N(U1188)+1))</f>
        <v/>
      </c>
      <c r="V1189" s="19">
        <f>IF($B1189="","",TEXT($B1189,"0000"))</f>
        <v/>
      </c>
      <c r="W1189" s="19">
        <f>IF($I1189="","",IF(ISNUMBER($I1189),TEXT($I1189,"0"),$I1189))</f>
        <v/>
      </c>
    </row>
    <row r="1190">
      <c r="B1190" s="25" t="n"/>
      <c r="I1190" s="25" t="n"/>
      <c r="U1190" s="19">
        <f>IF($V1190&lt;&gt;'設定'!$C$4,N(U1189),IF(OR(NOT(COUNTIF('商品マスタ'!$B$6:$B$1005,$W1190)=0),COUNTIFS('①在庫を貼る'!$V$6:$V$10005,$V1190,'①在庫を貼る'!$W$6:$W$10005,$W1190)&gt;0),N(U1189),N(U1189)+1))</f>
        <v/>
      </c>
      <c r="V1190" s="19">
        <f>IF($B1190="","",TEXT($B1190,"0000"))</f>
        <v/>
      </c>
      <c r="W1190" s="19">
        <f>IF($I1190="","",IF(ISNUMBER($I1190),TEXT($I1190,"0"),$I1190))</f>
        <v/>
      </c>
    </row>
    <row r="1191">
      <c r="B1191" s="25" t="n"/>
      <c r="I1191" s="25" t="n"/>
      <c r="U1191" s="19">
        <f>IF($V1191&lt;&gt;'設定'!$C$4,N(U1190),IF(OR(NOT(COUNTIF('商品マスタ'!$B$6:$B$1005,$W1191)=0),COUNTIFS('①在庫を貼る'!$V$6:$V$10005,$V1191,'①在庫を貼る'!$W$6:$W$10005,$W1191)&gt;0),N(U1190),N(U1190)+1))</f>
        <v/>
      </c>
      <c r="V1191" s="19">
        <f>IF($B1191="","",TEXT($B1191,"0000"))</f>
        <v/>
      </c>
      <c r="W1191" s="19">
        <f>IF($I1191="","",IF(ISNUMBER($I1191),TEXT($I1191,"0"),$I1191))</f>
        <v/>
      </c>
    </row>
    <row r="1192">
      <c r="B1192" s="25" t="n"/>
      <c r="I1192" s="25" t="n"/>
      <c r="U1192" s="19">
        <f>IF($V1192&lt;&gt;'設定'!$C$4,N(U1191),IF(OR(NOT(COUNTIF('商品マスタ'!$B$6:$B$1005,$W1192)=0),COUNTIFS('①在庫を貼る'!$V$6:$V$10005,$V1192,'①在庫を貼る'!$W$6:$W$10005,$W1192)&gt;0),N(U1191),N(U1191)+1))</f>
        <v/>
      </c>
      <c r="V1192" s="19">
        <f>IF($B1192="","",TEXT($B1192,"0000"))</f>
        <v/>
      </c>
      <c r="W1192" s="19">
        <f>IF($I1192="","",IF(ISNUMBER($I1192),TEXT($I1192,"0"),$I1192))</f>
        <v/>
      </c>
    </row>
    <row r="1193">
      <c r="B1193" s="25" t="n"/>
      <c r="I1193" s="25" t="n"/>
      <c r="U1193" s="19">
        <f>IF($V1193&lt;&gt;'設定'!$C$4,N(U1192),IF(OR(NOT(COUNTIF('商品マスタ'!$B$6:$B$1005,$W1193)=0),COUNTIFS('①在庫を貼る'!$V$6:$V$10005,$V1193,'①在庫を貼る'!$W$6:$W$10005,$W1193)&gt;0),N(U1192),N(U1192)+1))</f>
        <v/>
      </c>
      <c r="V1193" s="19">
        <f>IF($B1193="","",TEXT($B1193,"0000"))</f>
        <v/>
      </c>
      <c r="W1193" s="19">
        <f>IF($I1193="","",IF(ISNUMBER($I1193),TEXT($I1193,"0"),$I1193))</f>
        <v/>
      </c>
    </row>
    <row r="1194">
      <c r="B1194" s="25" t="n"/>
      <c r="I1194" s="25" t="n"/>
      <c r="U1194" s="19">
        <f>IF($V1194&lt;&gt;'設定'!$C$4,N(U1193),IF(OR(NOT(COUNTIF('商品マスタ'!$B$6:$B$1005,$W1194)=0),COUNTIFS('①在庫を貼る'!$V$6:$V$10005,$V1194,'①在庫を貼る'!$W$6:$W$10005,$W1194)&gt;0),N(U1193),N(U1193)+1))</f>
        <v/>
      </c>
      <c r="V1194" s="19">
        <f>IF($B1194="","",TEXT($B1194,"0000"))</f>
        <v/>
      </c>
      <c r="W1194" s="19">
        <f>IF($I1194="","",IF(ISNUMBER($I1194),TEXT($I1194,"0"),$I1194))</f>
        <v/>
      </c>
    </row>
    <row r="1195">
      <c r="B1195" s="25" t="n"/>
      <c r="I1195" s="25" t="n"/>
      <c r="U1195" s="19">
        <f>IF($V1195&lt;&gt;'設定'!$C$4,N(U1194),IF(OR(NOT(COUNTIF('商品マスタ'!$B$6:$B$1005,$W1195)=0),COUNTIFS('①在庫を貼る'!$V$6:$V$10005,$V1195,'①在庫を貼る'!$W$6:$W$10005,$W1195)&gt;0),N(U1194),N(U1194)+1))</f>
        <v/>
      </c>
      <c r="V1195" s="19">
        <f>IF($B1195="","",TEXT($B1195,"0000"))</f>
        <v/>
      </c>
      <c r="W1195" s="19">
        <f>IF($I1195="","",IF(ISNUMBER($I1195),TEXT($I1195,"0"),$I1195))</f>
        <v/>
      </c>
    </row>
    <row r="1196">
      <c r="B1196" s="25" t="n"/>
      <c r="I1196" s="25" t="n"/>
      <c r="U1196" s="19">
        <f>IF($V1196&lt;&gt;'設定'!$C$4,N(U1195),IF(OR(NOT(COUNTIF('商品マスタ'!$B$6:$B$1005,$W1196)=0),COUNTIFS('①在庫を貼る'!$V$6:$V$10005,$V1196,'①在庫を貼る'!$W$6:$W$10005,$W1196)&gt;0),N(U1195),N(U1195)+1))</f>
        <v/>
      </c>
      <c r="V1196" s="19">
        <f>IF($B1196="","",TEXT($B1196,"0000"))</f>
        <v/>
      </c>
      <c r="W1196" s="19">
        <f>IF($I1196="","",IF(ISNUMBER($I1196),TEXT($I1196,"0"),$I1196))</f>
        <v/>
      </c>
    </row>
    <row r="1197">
      <c r="B1197" s="25" t="n"/>
      <c r="I1197" s="25" t="n"/>
      <c r="U1197" s="19">
        <f>IF($V1197&lt;&gt;'設定'!$C$4,N(U1196),IF(OR(NOT(COUNTIF('商品マスタ'!$B$6:$B$1005,$W1197)=0),COUNTIFS('①在庫を貼る'!$V$6:$V$10005,$V1197,'①在庫を貼る'!$W$6:$W$10005,$W1197)&gt;0),N(U1196),N(U1196)+1))</f>
        <v/>
      </c>
      <c r="V1197" s="19">
        <f>IF($B1197="","",TEXT($B1197,"0000"))</f>
        <v/>
      </c>
      <c r="W1197" s="19">
        <f>IF($I1197="","",IF(ISNUMBER($I1197),TEXT($I1197,"0"),$I1197))</f>
        <v/>
      </c>
    </row>
    <row r="1198">
      <c r="B1198" s="25" t="n"/>
      <c r="I1198" s="25" t="n"/>
      <c r="U1198" s="19">
        <f>IF($V1198&lt;&gt;'設定'!$C$4,N(U1197),IF(OR(NOT(COUNTIF('商品マスタ'!$B$6:$B$1005,$W1198)=0),COUNTIFS('①在庫を貼る'!$V$6:$V$10005,$V1198,'①在庫を貼る'!$W$6:$W$10005,$W1198)&gt;0),N(U1197),N(U1197)+1))</f>
        <v/>
      </c>
      <c r="V1198" s="19">
        <f>IF($B1198="","",TEXT($B1198,"0000"))</f>
        <v/>
      </c>
      <c r="W1198" s="19">
        <f>IF($I1198="","",IF(ISNUMBER($I1198),TEXT($I1198,"0"),$I1198))</f>
        <v/>
      </c>
    </row>
    <row r="1199">
      <c r="B1199" s="25" t="n"/>
      <c r="I1199" s="25" t="n"/>
      <c r="U1199" s="19">
        <f>IF($V1199&lt;&gt;'設定'!$C$4,N(U1198),IF(OR(NOT(COUNTIF('商品マスタ'!$B$6:$B$1005,$W1199)=0),COUNTIFS('①在庫を貼る'!$V$6:$V$10005,$V1199,'①在庫を貼る'!$W$6:$W$10005,$W1199)&gt;0),N(U1198),N(U1198)+1))</f>
        <v/>
      </c>
      <c r="V1199" s="19">
        <f>IF($B1199="","",TEXT($B1199,"0000"))</f>
        <v/>
      </c>
      <c r="W1199" s="19">
        <f>IF($I1199="","",IF(ISNUMBER($I1199),TEXT($I1199,"0"),$I1199))</f>
        <v/>
      </c>
    </row>
    <row r="1200">
      <c r="B1200" s="25" t="n"/>
      <c r="I1200" s="25" t="n"/>
      <c r="U1200" s="19">
        <f>IF($V1200&lt;&gt;'設定'!$C$4,N(U1199),IF(OR(NOT(COUNTIF('商品マスタ'!$B$6:$B$1005,$W1200)=0),COUNTIFS('①在庫を貼る'!$V$6:$V$10005,$V1200,'①在庫を貼る'!$W$6:$W$10005,$W1200)&gt;0),N(U1199),N(U1199)+1))</f>
        <v/>
      </c>
      <c r="V1200" s="19">
        <f>IF($B1200="","",TEXT($B1200,"0000"))</f>
        <v/>
      </c>
      <c r="W1200" s="19">
        <f>IF($I1200="","",IF(ISNUMBER($I1200),TEXT($I1200,"0"),$I1200))</f>
        <v/>
      </c>
    </row>
    <row r="1201">
      <c r="B1201" s="25" t="n"/>
      <c r="I1201" s="25" t="n"/>
      <c r="U1201" s="19">
        <f>IF($V1201&lt;&gt;'設定'!$C$4,N(U1200),IF(OR(NOT(COUNTIF('商品マスタ'!$B$6:$B$1005,$W1201)=0),COUNTIFS('①在庫を貼る'!$V$6:$V$10005,$V1201,'①在庫を貼る'!$W$6:$W$10005,$W1201)&gt;0),N(U1200),N(U1200)+1))</f>
        <v/>
      </c>
      <c r="V1201" s="19">
        <f>IF($B1201="","",TEXT($B1201,"0000"))</f>
        <v/>
      </c>
      <c r="W1201" s="19">
        <f>IF($I1201="","",IF(ISNUMBER($I1201),TEXT($I1201,"0"),$I1201))</f>
        <v/>
      </c>
    </row>
    <row r="1202">
      <c r="B1202" s="25" t="n"/>
      <c r="I1202" s="25" t="n"/>
      <c r="U1202" s="19">
        <f>IF($V1202&lt;&gt;'設定'!$C$4,N(U1201),IF(OR(NOT(COUNTIF('商品マスタ'!$B$6:$B$1005,$W1202)=0),COUNTIFS('①在庫を貼る'!$V$6:$V$10005,$V1202,'①在庫を貼る'!$W$6:$W$10005,$W1202)&gt;0),N(U1201),N(U1201)+1))</f>
        <v/>
      </c>
      <c r="V1202" s="19">
        <f>IF($B1202="","",TEXT($B1202,"0000"))</f>
        <v/>
      </c>
      <c r="W1202" s="19">
        <f>IF($I1202="","",IF(ISNUMBER($I1202),TEXT($I1202,"0"),$I1202))</f>
        <v/>
      </c>
    </row>
    <row r="1203">
      <c r="B1203" s="25" t="n"/>
      <c r="I1203" s="25" t="n"/>
      <c r="U1203" s="19">
        <f>IF($V1203&lt;&gt;'設定'!$C$4,N(U1202),IF(OR(NOT(COUNTIF('商品マスタ'!$B$6:$B$1005,$W1203)=0),COUNTIFS('①在庫を貼る'!$V$6:$V$10005,$V1203,'①在庫を貼る'!$W$6:$W$10005,$W1203)&gt;0),N(U1202),N(U1202)+1))</f>
        <v/>
      </c>
      <c r="V1203" s="19">
        <f>IF($B1203="","",TEXT($B1203,"0000"))</f>
        <v/>
      </c>
      <c r="W1203" s="19">
        <f>IF($I1203="","",IF(ISNUMBER($I1203),TEXT($I1203,"0"),$I1203))</f>
        <v/>
      </c>
    </row>
    <row r="1204">
      <c r="B1204" s="25" t="n"/>
      <c r="I1204" s="25" t="n"/>
      <c r="U1204" s="19">
        <f>IF($V1204&lt;&gt;'設定'!$C$4,N(U1203),IF(OR(NOT(COUNTIF('商品マスタ'!$B$6:$B$1005,$W1204)=0),COUNTIFS('①在庫を貼る'!$V$6:$V$10005,$V1204,'①在庫を貼る'!$W$6:$W$10005,$W1204)&gt;0),N(U1203),N(U1203)+1))</f>
        <v/>
      </c>
      <c r="V1204" s="19">
        <f>IF($B1204="","",TEXT($B1204,"0000"))</f>
        <v/>
      </c>
      <c r="W1204" s="19">
        <f>IF($I1204="","",IF(ISNUMBER($I1204),TEXT($I1204,"0"),$I1204))</f>
        <v/>
      </c>
    </row>
    <row r="1205">
      <c r="B1205" s="25" t="n"/>
      <c r="I1205" s="25" t="n"/>
      <c r="U1205" s="19">
        <f>IF($V1205&lt;&gt;'設定'!$C$4,N(U1204),IF(OR(NOT(COUNTIF('商品マスタ'!$B$6:$B$1005,$W1205)=0),COUNTIFS('①在庫を貼る'!$V$6:$V$10005,$V1205,'①在庫を貼る'!$W$6:$W$10005,$W1205)&gt;0),N(U1204),N(U1204)+1))</f>
        <v/>
      </c>
      <c r="V1205" s="19">
        <f>IF($B1205="","",TEXT($B1205,"0000"))</f>
        <v/>
      </c>
      <c r="W1205" s="19">
        <f>IF($I1205="","",IF(ISNUMBER($I1205),TEXT($I1205,"0"),$I1205))</f>
        <v/>
      </c>
    </row>
    <row r="1206">
      <c r="B1206" s="25" t="n"/>
      <c r="I1206" s="25" t="n"/>
      <c r="U1206" s="19">
        <f>IF($V1206&lt;&gt;'設定'!$C$4,N(U1205),IF(OR(NOT(COUNTIF('商品マスタ'!$B$6:$B$1005,$W1206)=0),COUNTIFS('①在庫を貼る'!$V$6:$V$10005,$V1206,'①在庫を貼る'!$W$6:$W$10005,$W1206)&gt;0),N(U1205),N(U1205)+1))</f>
        <v/>
      </c>
      <c r="V1206" s="19">
        <f>IF($B1206="","",TEXT($B1206,"0000"))</f>
        <v/>
      </c>
      <c r="W1206" s="19">
        <f>IF($I1206="","",IF(ISNUMBER($I1206),TEXT($I1206,"0"),$I1206))</f>
        <v/>
      </c>
    </row>
    <row r="1207">
      <c r="B1207" s="25" t="n"/>
      <c r="I1207" s="25" t="n"/>
      <c r="U1207" s="19">
        <f>IF($V1207&lt;&gt;'設定'!$C$4,N(U1206),IF(OR(NOT(COUNTIF('商品マスタ'!$B$6:$B$1005,$W1207)=0),COUNTIFS('①在庫を貼る'!$V$6:$V$10005,$V1207,'①在庫を貼る'!$W$6:$W$10005,$W1207)&gt;0),N(U1206),N(U1206)+1))</f>
        <v/>
      </c>
      <c r="V1207" s="19">
        <f>IF($B1207="","",TEXT($B1207,"0000"))</f>
        <v/>
      </c>
      <c r="W1207" s="19">
        <f>IF($I1207="","",IF(ISNUMBER($I1207),TEXT($I1207,"0"),$I1207))</f>
        <v/>
      </c>
    </row>
    <row r="1208">
      <c r="B1208" s="25" t="n"/>
      <c r="I1208" s="25" t="n"/>
      <c r="U1208" s="19">
        <f>IF($V1208&lt;&gt;'設定'!$C$4,N(U1207),IF(OR(NOT(COUNTIF('商品マスタ'!$B$6:$B$1005,$W1208)=0),COUNTIFS('①在庫を貼る'!$V$6:$V$10005,$V1208,'①在庫を貼る'!$W$6:$W$10005,$W1208)&gt;0),N(U1207),N(U1207)+1))</f>
        <v/>
      </c>
      <c r="V1208" s="19">
        <f>IF($B1208="","",TEXT($B1208,"0000"))</f>
        <v/>
      </c>
      <c r="W1208" s="19">
        <f>IF($I1208="","",IF(ISNUMBER($I1208),TEXT($I1208,"0"),$I1208))</f>
        <v/>
      </c>
    </row>
    <row r="1209">
      <c r="B1209" s="25" t="n"/>
      <c r="I1209" s="25" t="n"/>
      <c r="U1209" s="19">
        <f>IF($V1209&lt;&gt;'設定'!$C$4,N(U1208),IF(OR(NOT(COUNTIF('商品マスタ'!$B$6:$B$1005,$W1209)=0),COUNTIFS('①在庫を貼る'!$V$6:$V$10005,$V1209,'①在庫を貼る'!$W$6:$W$10005,$W1209)&gt;0),N(U1208),N(U1208)+1))</f>
        <v/>
      </c>
      <c r="V1209" s="19">
        <f>IF($B1209="","",TEXT($B1209,"0000"))</f>
        <v/>
      </c>
      <c r="W1209" s="19">
        <f>IF($I1209="","",IF(ISNUMBER($I1209),TEXT($I1209,"0"),$I1209))</f>
        <v/>
      </c>
    </row>
    <row r="1210">
      <c r="B1210" s="25" t="n"/>
      <c r="I1210" s="25" t="n"/>
      <c r="U1210" s="19">
        <f>IF($V1210&lt;&gt;'設定'!$C$4,N(U1209),IF(OR(NOT(COUNTIF('商品マスタ'!$B$6:$B$1005,$W1210)=0),COUNTIFS('①在庫を貼る'!$V$6:$V$10005,$V1210,'①在庫を貼る'!$W$6:$W$10005,$W1210)&gt;0),N(U1209),N(U1209)+1))</f>
        <v/>
      </c>
      <c r="V1210" s="19">
        <f>IF($B1210="","",TEXT($B1210,"0000"))</f>
        <v/>
      </c>
      <c r="W1210" s="19">
        <f>IF($I1210="","",IF(ISNUMBER($I1210),TEXT($I1210,"0"),$I1210))</f>
        <v/>
      </c>
    </row>
    <row r="1211">
      <c r="B1211" s="25" t="n"/>
      <c r="I1211" s="25" t="n"/>
      <c r="U1211" s="19">
        <f>IF($V1211&lt;&gt;'設定'!$C$4,N(U1210),IF(OR(NOT(COUNTIF('商品マスタ'!$B$6:$B$1005,$W1211)=0),COUNTIFS('①在庫を貼る'!$V$6:$V$10005,$V1211,'①在庫を貼る'!$W$6:$W$10005,$W1211)&gt;0),N(U1210),N(U1210)+1))</f>
        <v/>
      </c>
      <c r="V1211" s="19">
        <f>IF($B1211="","",TEXT($B1211,"0000"))</f>
        <v/>
      </c>
      <c r="W1211" s="19">
        <f>IF($I1211="","",IF(ISNUMBER($I1211),TEXT($I1211,"0"),$I1211))</f>
        <v/>
      </c>
    </row>
    <row r="1212">
      <c r="B1212" s="25" t="n"/>
      <c r="I1212" s="25" t="n"/>
      <c r="U1212" s="19">
        <f>IF($V1212&lt;&gt;'設定'!$C$4,N(U1211),IF(OR(NOT(COUNTIF('商品マスタ'!$B$6:$B$1005,$W1212)=0),COUNTIFS('①在庫を貼る'!$V$6:$V$10005,$V1212,'①在庫を貼る'!$W$6:$W$10005,$W1212)&gt;0),N(U1211),N(U1211)+1))</f>
        <v/>
      </c>
      <c r="V1212" s="19">
        <f>IF($B1212="","",TEXT($B1212,"0000"))</f>
        <v/>
      </c>
      <c r="W1212" s="19">
        <f>IF($I1212="","",IF(ISNUMBER($I1212),TEXT($I1212,"0"),$I1212))</f>
        <v/>
      </c>
    </row>
    <row r="1213">
      <c r="B1213" s="25" t="n"/>
      <c r="I1213" s="25" t="n"/>
      <c r="U1213" s="19">
        <f>IF($V1213&lt;&gt;'設定'!$C$4,N(U1212),IF(OR(NOT(COUNTIF('商品マスタ'!$B$6:$B$1005,$W1213)=0),COUNTIFS('①在庫を貼る'!$V$6:$V$10005,$V1213,'①在庫を貼る'!$W$6:$W$10005,$W1213)&gt;0),N(U1212),N(U1212)+1))</f>
        <v/>
      </c>
      <c r="V1213" s="19">
        <f>IF($B1213="","",TEXT($B1213,"0000"))</f>
        <v/>
      </c>
      <c r="W1213" s="19">
        <f>IF($I1213="","",IF(ISNUMBER($I1213),TEXT($I1213,"0"),$I1213))</f>
        <v/>
      </c>
    </row>
    <row r="1214">
      <c r="B1214" s="25" t="n"/>
      <c r="I1214" s="25" t="n"/>
      <c r="U1214" s="19">
        <f>IF($V1214&lt;&gt;'設定'!$C$4,N(U1213),IF(OR(NOT(COUNTIF('商品マスタ'!$B$6:$B$1005,$W1214)=0),COUNTIFS('①在庫を貼る'!$V$6:$V$10005,$V1214,'①在庫を貼る'!$W$6:$W$10005,$W1214)&gt;0),N(U1213),N(U1213)+1))</f>
        <v/>
      </c>
      <c r="V1214" s="19">
        <f>IF($B1214="","",TEXT($B1214,"0000"))</f>
        <v/>
      </c>
      <c r="W1214" s="19">
        <f>IF($I1214="","",IF(ISNUMBER($I1214),TEXT($I1214,"0"),$I1214))</f>
        <v/>
      </c>
    </row>
    <row r="1215">
      <c r="B1215" s="25" t="n"/>
      <c r="I1215" s="25" t="n"/>
      <c r="U1215" s="19">
        <f>IF($V1215&lt;&gt;'設定'!$C$4,N(U1214),IF(OR(NOT(COUNTIF('商品マスタ'!$B$6:$B$1005,$W1215)=0),COUNTIFS('①在庫を貼る'!$V$6:$V$10005,$V1215,'①在庫を貼る'!$W$6:$W$10005,$W1215)&gt;0),N(U1214),N(U1214)+1))</f>
        <v/>
      </c>
      <c r="V1215" s="19">
        <f>IF($B1215="","",TEXT($B1215,"0000"))</f>
        <v/>
      </c>
      <c r="W1215" s="19">
        <f>IF($I1215="","",IF(ISNUMBER($I1215),TEXT($I1215,"0"),$I1215))</f>
        <v/>
      </c>
    </row>
    <row r="1216">
      <c r="B1216" s="25" t="n"/>
      <c r="I1216" s="25" t="n"/>
      <c r="U1216" s="19">
        <f>IF($V1216&lt;&gt;'設定'!$C$4,N(U1215),IF(OR(NOT(COUNTIF('商品マスタ'!$B$6:$B$1005,$W1216)=0),COUNTIFS('①在庫を貼る'!$V$6:$V$10005,$V1216,'①在庫を貼る'!$W$6:$W$10005,$W1216)&gt;0),N(U1215),N(U1215)+1))</f>
        <v/>
      </c>
      <c r="V1216" s="19">
        <f>IF($B1216="","",TEXT($B1216,"0000"))</f>
        <v/>
      </c>
      <c r="W1216" s="19">
        <f>IF($I1216="","",IF(ISNUMBER($I1216),TEXT($I1216,"0"),$I1216))</f>
        <v/>
      </c>
    </row>
    <row r="1217">
      <c r="B1217" s="25" t="n"/>
      <c r="I1217" s="25" t="n"/>
      <c r="U1217" s="19">
        <f>IF($V1217&lt;&gt;'設定'!$C$4,N(U1216),IF(OR(NOT(COUNTIF('商品マスタ'!$B$6:$B$1005,$W1217)=0),COUNTIFS('①在庫を貼る'!$V$6:$V$10005,$V1217,'①在庫を貼る'!$W$6:$W$10005,$W1217)&gt;0),N(U1216),N(U1216)+1))</f>
        <v/>
      </c>
      <c r="V1217" s="19">
        <f>IF($B1217="","",TEXT($B1217,"0000"))</f>
        <v/>
      </c>
      <c r="W1217" s="19">
        <f>IF($I1217="","",IF(ISNUMBER($I1217),TEXT($I1217,"0"),$I1217))</f>
        <v/>
      </c>
    </row>
    <row r="1218">
      <c r="B1218" s="25" t="n"/>
      <c r="I1218" s="25" t="n"/>
      <c r="U1218" s="19">
        <f>IF($V1218&lt;&gt;'設定'!$C$4,N(U1217),IF(OR(NOT(COUNTIF('商品マスタ'!$B$6:$B$1005,$W1218)=0),COUNTIFS('①在庫を貼る'!$V$6:$V$10005,$V1218,'①在庫を貼る'!$W$6:$W$10005,$W1218)&gt;0),N(U1217),N(U1217)+1))</f>
        <v/>
      </c>
      <c r="V1218" s="19">
        <f>IF($B1218="","",TEXT($B1218,"0000"))</f>
        <v/>
      </c>
      <c r="W1218" s="19">
        <f>IF($I1218="","",IF(ISNUMBER($I1218),TEXT($I1218,"0"),$I1218))</f>
        <v/>
      </c>
    </row>
    <row r="1219">
      <c r="B1219" s="25" t="n"/>
      <c r="I1219" s="25" t="n"/>
      <c r="U1219" s="19">
        <f>IF($V1219&lt;&gt;'設定'!$C$4,N(U1218),IF(OR(NOT(COUNTIF('商品マスタ'!$B$6:$B$1005,$W1219)=0),COUNTIFS('①在庫を貼る'!$V$6:$V$10005,$V1219,'①在庫を貼る'!$W$6:$W$10005,$W1219)&gt;0),N(U1218),N(U1218)+1))</f>
        <v/>
      </c>
      <c r="V1219" s="19">
        <f>IF($B1219="","",TEXT($B1219,"0000"))</f>
        <v/>
      </c>
      <c r="W1219" s="19">
        <f>IF($I1219="","",IF(ISNUMBER($I1219),TEXT($I1219,"0"),$I1219))</f>
        <v/>
      </c>
    </row>
    <row r="1220">
      <c r="B1220" s="25" t="n"/>
      <c r="I1220" s="25" t="n"/>
      <c r="U1220" s="19">
        <f>IF($V1220&lt;&gt;'設定'!$C$4,N(U1219),IF(OR(NOT(COUNTIF('商品マスタ'!$B$6:$B$1005,$W1220)=0),COUNTIFS('①在庫を貼る'!$V$6:$V$10005,$V1220,'①在庫を貼る'!$W$6:$W$10005,$W1220)&gt;0),N(U1219),N(U1219)+1))</f>
        <v/>
      </c>
      <c r="V1220" s="19">
        <f>IF($B1220="","",TEXT($B1220,"0000"))</f>
        <v/>
      </c>
      <c r="W1220" s="19">
        <f>IF($I1220="","",IF(ISNUMBER($I1220),TEXT($I1220,"0"),$I1220))</f>
        <v/>
      </c>
    </row>
    <row r="1221">
      <c r="B1221" s="25" t="n"/>
      <c r="I1221" s="25" t="n"/>
      <c r="U1221" s="19">
        <f>IF($V1221&lt;&gt;'設定'!$C$4,N(U1220),IF(OR(NOT(COUNTIF('商品マスタ'!$B$6:$B$1005,$W1221)=0),COUNTIFS('①在庫を貼る'!$V$6:$V$10005,$V1221,'①在庫を貼る'!$W$6:$W$10005,$W1221)&gt;0),N(U1220),N(U1220)+1))</f>
        <v/>
      </c>
      <c r="V1221" s="19">
        <f>IF($B1221="","",TEXT($B1221,"0000"))</f>
        <v/>
      </c>
      <c r="W1221" s="19">
        <f>IF($I1221="","",IF(ISNUMBER($I1221),TEXT($I1221,"0"),$I1221))</f>
        <v/>
      </c>
    </row>
    <row r="1222">
      <c r="B1222" s="25" t="n"/>
      <c r="I1222" s="25" t="n"/>
      <c r="U1222" s="19">
        <f>IF($V1222&lt;&gt;'設定'!$C$4,N(U1221),IF(OR(NOT(COUNTIF('商品マスタ'!$B$6:$B$1005,$W1222)=0),COUNTIFS('①在庫を貼る'!$V$6:$V$10005,$V1222,'①在庫を貼る'!$W$6:$W$10005,$W1222)&gt;0),N(U1221),N(U1221)+1))</f>
        <v/>
      </c>
      <c r="V1222" s="19">
        <f>IF($B1222="","",TEXT($B1222,"0000"))</f>
        <v/>
      </c>
      <c r="W1222" s="19">
        <f>IF($I1222="","",IF(ISNUMBER($I1222),TEXT($I1222,"0"),$I1222))</f>
        <v/>
      </c>
    </row>
    <row r="1223">
      <c r="B1223" s="25" t="n"/>
      <c r="I1223" s="25" t="n"/>
      <c r="U1223" s="19">
        <f>IF($V1223&lt;&gt;'設定'!$C$4,N(U1222),IF(OR(NOT(COUNTIF('商品マスタ'!$B$6:$B$1005,$W1223)=0),COUNTIFS('①在庫を貼る'!$V$6:$V$10005,$V1223,'①在庫を貼る'!$W$6:$W$10005,$W1223)&gt;0),N(U1222),N(U1222)+1))</f>
        <v/>
      </c>
      <c r="V1223" s="19">
        <f>IF($B1223="","",TEXT($B1223,"0000"))</f>
        <v/>
      </c>
      <c r="W1223" s="19">
        <f>IF($I1223="","",IF(ISNUMBER($I1223),TEXT($I1223,"0"),$I1223))</f>
        <v/>
      </c>
    </row>
    <row r="1224">
      <c r="B1224" s="25" t="n"/>
      <c r="I1224" s="25" t="n"/>
      <c r="U1224" s="19">
        <f>IF($V1224&lt;&gt;'設定'!$C$4,N(U1223),IF(OR(NOT(COUNTIF('商品マスタ'!$B$6:$B$1005,$W1224)=0),COUNTIFS('①在庫を貼る'!$V$6:$V$10005,$V1224,'①在庫を貼る'!$W$6:$W$10005,$W1224)&gt;0),N(U1223),N(U1223)+1))</f>
        <v/>
      </c>
      <c r="V1224" s="19">
        <f>IF($B1224="","",TEXT($B1224,"0000"))</f>
        <v/>
      </c>
      <c r="W1224" s="19">
        <f>IF($I1224="","",IF(ISNUMBER($I1224),TEXT($I1224,"0"),$I1224))</f>
        <v/>
      </c>
    </row>
    <row r="1225">
      <c r="B1225" s="25" t="n"/>
      <c r="I1225" s="25" t="n"/>
      <c r="U1225" s="19">
        <f>IF($V1225&lt;&gt;'設定'!$C$4,N(U1224),IF(OR(NOT(COUNTIF('商品マスタ'!$B$6:$B$1005,$W1225)=0),COUNTIFS('①在庫を貼る'!$V$6:$V$10005,$V1225,'①在庫を貼る'!$W$6:$W$10005,$W1225)&gt;0),N(U1224),N(U1224)+1))</f>
        <v/>
      </c>
      <c r="V1225" s="19">
        <f>IF($B1225="","",TEXT($B1225,"0000"))</f>
        <v/>
      </c>
      <c r="W1225" s="19">
        <f>IF($I1225="","",IF(ISNUMBER($I1225),TEXT($I1225,"0"),$I1225))</f>
        <v/>
      </c>
    </row>
    <row r="1226">
      <c r="B1226" s="25" t="n"/>
      <c r="I1226" s="25" t="n"/>
      <c r="U1226" s="19">
        <f>IF($V1226&lt;&gt;'設定'!$C$4,N(U1225),IF(OR(NOT(COUNTIF('商品マスタ'!$B$6:$B$1005,$W1226)=0),COUNTIFS('①在庫を貼る'!$V$6:$V$10005,$V1226,'①在庫を貼る'!$W$6:$W$10005,$W1226)&gt;0),N(U1225),N(U1225)+1))</f>
        <v/>
      </c>
      <c r="V1226" s="19">
        <f>IF($B1226="","",TEXT($B1226,"0000"))</f>
        <v/>
      </c>
      <c r="W1226" s="19">
        <f>IF($I1226="","",IF(ISNUMBER($I1226),TEXT($I1226,"0"),$I1226))</f>
        <v/>
      </c>
    </row>
    <row r="1227">
      <c r="B1227" s="25" t="n"/>
      <c r="I1227" s="25" t="n"/>
      <c r="U1227" s="19">
        <f>IF($V1227&lt;&gt;'設定'!$C$4,N(U1226),IF(OR(NOT(COUNTIF('商品マスタ'!$B$6:$B$1005,$W1227)=0),COUNTIFS('①在庫を貼る'!$V$6:$V$10005,$V1227,'①在庫を貼る'!$W$6:$W$10005,$W1227)&gt;0),N(U1226),N(U1226)+1))</f>
        <v/>
      </c>
      <c r="V1227" s="19">
        <f>IF($B1227="","",TEXT($B1227,"0000"))</f>
        <v/>
      </c>
      <c r="W1227" s="19">
        <f>IF($I1227="","",IF(ISNUMBER($I1227),TEXT($I1227,"0"),$I1227))</f>
        <v/>
      </c>
    </row>
    <row r="1228">
      <c r="B1228" s="25" t="n"/>
      <c r="I1228" s="25" t="n"/>
      <c r="U1228" s="19">
        <f>IF($V1228&lt;&gt;'設定'!$C$4,N(U1227),IF(OR(NOT(COUNTIF('商品マスタ'!$B$6:$B$1005,$W1228)=0),COUNTIFS('①在庫を貼る'!$V$6:$V$10005,$V1228,'①在庫を貼る'!$W$6:$W$10005,$W1228)&gt;0),N(U1227),N(U1227)+1))</f>
        <v/>
      </c>
      <c r="V1228" s="19">
        <f>IF($B1228="","",TEXT($B1228,"0000"))</f>
        <v/>
      </c>
      <c r="W1228" s="19">
        <f>IF($I1228="","",IF(ISNUMBER($I1228),TEXT($I1228,"0"),$I1228))</f>
        <v/>
      </c>
    </row>
    <row r="1229">
      <c r="B1229" s="25" t="n"/>
      <c r="I1229" s="25" t="n"/>
      <c r="U1229" s="19">
        <f>IF($V1229&lt;&gt;'設定'!$C$4,N(U1228),IF(OR(NOT(COUNTIF('商品マスタ'!$B$6:$B$1005,$W1229)=0),COUNTIFS('①在庫を貼る'!$V$6:$V$10005,$V1229,'①在庫を貼る'!$W$6:$W$10005,$W1229)&gt;0),N(U1228),N(U1228)+1))</f>
        <v/>
      </c>
      <c r="V1229" s="19">
        <f>IF($B1229="","",TEXT($B1229,"0000"))</f>
        <v/>
      </c>
      <c r="W1229" s="19">
        <f>IF($I1229="","",IF(ISNUMBER($I1229),TEXT($I1229,"0"),$I1229))</f>
        <v/>
      </c>
    </row>
    <row r="1230">
      <c r="B1230" s="25" t="n"/>
      <c r="I1230" s="25" t="n"/>
      <c r="U1230" s="19">
        <f>IF($V1230&lt;&gt;'設定'!$C$4,N(U1229),IF(OR(NOT(COUNTIF('商品マスタ'!$B$6:$B$1005,$W1230)=0),COUNTIFS('①在庫を貼る'!$V$6:$V$10005,$V1230,'①在庫を貼る'!$W$6:$W$10005,$W1230)&gt;0),N(U1229),N(U1229)+1))</f>
        <v/>
      </c>
      <c r="V1230" s="19">
        <f>IF($B1230="","",TEXT($B1230,"0000"))</f>
        <v/>
      </c>
      <c r="W1230" s="19">
        <f>IF($I1230="","",IF(ISNUMBER($I1230),TEXT($I1230,"0"),$I1230))</f>
        <v/>
      </c>
    </row>
    <row r="1231">
      <c r="B1231" s="25" t="n"/>
      <c r="I1231" s="25" t="n"/>
      <c r="U1231" s="19">
        <f>IF($V1231&lt;&gt;'設定'!$C$4,N(U1230),IF(OR(NOT(COUNTIF('商品マスタ'!$B$6:$B$1005,$W1231)=0),COUNTIFS('①在庫を貼る'!$V$6:$V$10005,$V1231,'①在庫を貼る'!$W$6:$W$10005,$W1231)&gt;0),N(U1230),N(U1230)+1))</f>
        <v/>
      </c>
      <c r="V1231" s="19">
        <f>IF($B1231="","",TEXT($B1231,"0000"))</f>
        <v/>
      </c>
      <c r="W1231" s="19">
        <f>IF($I1231="","",IF(ISNUMBER($I1231),TEXT($I1231,"0"),$I1231))</f>
        <v/>
      </c>
    </row>
    <row r="1232">
      <c r="B1232" s="25" t="n"/>
      <c r="I1232" s="25" t="n"/>
      <c r="U1232" s="19">
        <f>IF($V1232&lt;&gt;'設定'!$C$4,N(U1231),IF(OR(NOT(COUNTIF('商品マスタ'!$B$6:$B$1005,$W1232)=0),COUNTIFS('①在庫を貼る'!$V$6:$V$10005,$V1232,'①在庫を貼る'!$W$6:$W$10005,$W1232)&gt;0),N(U1231),N(U1231)+1))</f>
        <v/>
      </c>
      <c r="V1232" s="19">
        <f>IF($B1232="","",TEXT($B1232,"0000"))</f>
        <v/>
      </c>
      <c r="W1232" s="19">
        <f>IF($I1232="","",IF(ISNUMBER($I1232),TEXT($I1232,"0"),$I1232))</f>
        <v/>
      </c>
    </row>
    <row r="1233">
      <c r="B1233" s="25" t="n"/>
      <c r="I1233" s="25" t="n"/>
      <c r="U1233" s="19">
        <f>IF($V1233&lt;&gt;'設定'!$C$4,N(U1232),IF(OR(NOT(COUNTIF('商品マスタ'!$B$6:$B$1005,$W1233)=0),COUNTIFS('①在庫を貼る'!$V$6:$V$10005,$V1233,'①在庫を貼る'!$W$6:$W$10005,$W1233)&gt;0),N(U1232),N(U1232)+1))</f>
        <v/>
      </c>
      <c r="V1233" s="19">
        <f>IF($B1233="","",TEXT($B1233,"0000"))</f>
        <v/>
      </c>
      <c r="W1233" s="19">
        <f>IF($I1233="","",IF(ISNUMBER($I1233),TEXT($I1233,"0"),$I1233))</f>
        <v/>
      </c>
    </row>
    <row r="1234">
      <c r="B1234" s="25" t="n"/>
      <c r="I1234" s="25" t="n"/>
      <c r="U1234" s="19">
        <f>IF($V1234&lt;&gt;'設定'!$C$4,N(U1233),IF(OR(NOT(COUNTIF('商品マスタ'!$B$6:$B$1005,$W1234)=0),COUNTIFS('①在庫を貼る'!$V$6:$V$10005,$V1234,'①在庫を貼る'!$W$6:$W$10005,$W1234)&gt;0),N(U1233),N(U1233)+1))</f>
        <v/>
      </c>
      <c r="V1234" s="19">
        <f>IF($B1234="","",TEXT($B1234,"0000"))</f>
        <v/>
      </c>
      <c r="W1234" s="19">
        <f>IF($I1234="","",IF(ISNUMBER($I1234),TEXT($I1234,"0"),$I1234))</f>
        <v/>
      </c>
    </row>
    <row r="1235">
      <c r="B1235" s="25" t="n"/>
      <c r="I1235" s="25" t="n"/>
      <c r="U1235" s="19">
        <f>IF($V1235&lt;&gt;'設定'!$C$4,N(U1234),IF(OR(NOT(COUNTIF('商品マスタ'!$B$6:$B$1005,$W1235)=0),COUNTIFS('①在庫を貼る'!$V$6:$V$10005,$V1235,'①在庫を貼る'!$W$6:$W$10005,$W1235)&gt;0),N(U1234),N(U1234)+1))</f>
        <v/>
      </c>
      <c r="V1235" s="19">
        <f>IF($B1235="","",TEXT($B1235,"0000"))</f>
        <v/>
      </c>
      <c r="W1235" s="19">
        <f>IF($I1235="","",IF(ISNUMBER($I1235),TEXT($I1235,"0"),$I1235))</f>
        <v/>
      </c>
    </row>
    <row r="1236">
      <c r="B1236" s="25" t="n"/>
      <c r="I1236" s="25" t="n"/>
      <c r="U1236" s="19">
        <f>IF($V1236&lt;&gt;'設定'!$C$4,N(U1235),IF(OR(NOT(COUNTIF('商品マスタ'!$B$6:$B$1005,$W1236)=0),COUNTIFS('①在庫を貼る'!$V$6:$V$10005,$V1236,'①在庫を貼る'!$W$6:$W$10005,$W1236)&gt;0),N(U1235),N(U1235)+1))</f>
        <v/>
      </c>
      <c r="V1236" s="19">
        <f>IF($B1236="","",TEXT($B1236,"0000"))</f>
        <v/>
      </c>
      <c r="W1236" s="19">
        <f>IF($I1236="","",IF(ISNUMBER($I1236),TEXT($I1236,"0"),$I1236))</f>
        <v/>
      </c>
    </row>
    <row r="1237">
      <c r="B1237" s="25" t="n"/>
      <c r="I1237" s="25" t="n"/>
      <c r="U1237" s="19">
        <f>IF($V1237&lt;&gt;'設定'!$C$4,N(U1236),IF(OR(NOT(COUNTIF('商品マスタ'!$B$6:$B$1005,$W1237)=0),COUNTIFS('①在庫を貼る'!$V$6:$V$10005,$V1237,'①在庫を貼る'!$W$6:$W$10005,$W1237)&gt;0),N(U1236),N(U1236)+1))</f>
        <v/>
      </c>
      <c r="V1237" s="19">
        <f>IF($B1237="","",TEXT($B1237,"0000"))</f>
        <v/>
      </c>
      <c r="W1237" s="19">
        <f>IF($I1237="","",IF(ISNUMBER($I1237),TEXT($I1237,"0"),$I1237))</f>
        <v/>
      </c>
    </row>
    <row r="1238">
      <c r="B1238" s="25" t="n"/>
      <c r="I1238" s="25" t="n"/>
      <c r="U1238" s="19">
        <f>IF($V1238&lt;&gt;'設定'!$C$4,N(U1237),IF(OR(NOT(COUNTIF('商品マスタ'!$B$6:$B$1005,$W1238)=0),COUNTIFS('①在庫を貼る'!$V$6:$V$10005,$V1238,'①在庫を貼る'!$W$6:$W$10005,$W1238)&gt;0),N(U1237),N(U1237)+1))</f>
        <v/>
      </c>
      <c r="V1238" s="19">
        <f>IF($B1238="","",TEXT($B1238,"0000"))</f>
        <v/>
      </c>
      <c r="W1238" s="19">
        <f>IF($I1238="","",IF(ISNUMBER($I1238),TEXT($I1238,"0"),$I1238))</f>
        <v/>
      </c>
    </row>
    <row r="1239">
      <c r="B1239" s="25" t="n"/>
      <c r="I1239" s="25" t="n"/>
      <c r="U1239" s="19">
        <f>IF($V1239&lt;&gt;'設定'!$C$4,N(U1238),IF(OR(NOT(COUNTIF('商品マスタ'!$B$6:$B$1005,$W1239)=0),COUNTIFS('①在庫を貼る'!$V$6:$V$10005,$V1239,'①在庫を貼る'!$W$6:$W$10005,$W1239)&gt;0),N(U1238),N(U1238)+1))</f>
        <v/>
      </c>
      <c r="V1239" s="19">
        <f>IF($B1239="","",TEXT($B1239,"0000"))</f>
        <v/>
      </c>
      <c r="W1239" s="19">
        <f>IF($I1239="","",IF(ISNUMBER($I1239),TEXT($I1239,"0"),$I1239))</f>
        <v/>
      </c>
    </row>
    <row r="1240">
      <c r="B1240" s="25" t="n"/>
      <c r="I1240" s="25" t="n"/>
      <c r="U1240" s="19">
        <f>IF($V1240&lt;&gt;'設定'!$C$4,N(U1239),IF(OR(NOT(COUNTIF('商品マスタ'!$B$6:$B$1005,$W1240)=0),COUNTIFS('①在庫を貼る'!$V$6:$V$10005,$V1240,'①在庫を貼る'!$W$6:$W$10005,$W1240)&gt;0),N(U1239),N(U1239)+1))</f>
        <v/>
      </c>
      <c r="V1240" s="19">
        <f>IF($B1240="","",TEXT($B1240,"0000"))</f>
        <v/>
      </c>
      <c r="W1240" s="19">
        <f>IF($I1240="","",IF(ISNUMBER($I1240),TEXT($I1240,"0"),$I1240))</f>
        <v/>
      </c>
    </row>
    <row r="1241">
      <c r="B1241" s="25" t="n"/>
      <c r="I1241" s="25" t="n"/>
      <c r="U1241" s="19">
        <f>IF($V1241&lt;&gt;'設定'!$C$4,N(U1240),IF(OR(NOT(COUNTIF('商品マスタ'!$B$6:$B$1005,$W1241)=0),COUNTIFS('①在庫を貼る'!$V$6:$V$10005,$V1241,'①在庫を貼る'!$W$6:$W$10005,$W1241)&gt;0),N(U1240),N(U1240)+1))</f>
        <v/>
      </c>
      <c r="V1241" s="19">
        <f>IF($B1241="","",TEXT($B1241,"0000"))</f>
        <v/>
      </c>
      <c r="W1241" s="19">
        <f>IF($I1241="","",IF(ISNUMBER($I1241),TEXT($I1241,"0"),$I1241))</f>
        <v/>
      </c>
    </row>
    <row r="1242">
      <c r="B1242" s="25" t="n"/>
      <c r="I1242" s="25" t="n"/>
      <c r="U1242" s="19">
        <f>IF($V1242&lt;&gt;'設定'!$C$4,N(U1241),IF(OR(NOT(COUNTIF('商品マスタ'!$B$6:$B$1005,$W1242)=0),COUNTIFS('①在庫を貼る'!$V$6:$V$10005,$V1242,'①在庫を貼る'!$W$6:$W$10005,$W1242)&gt;0),N(U1241),N(U1241)+1))</f>
        <v/>
      </c>
      <c r="V1242" s="19">
        <f>IF($B1242="","",TEXT($B1242,"0000"))</f>
        <v/>
      </c>
      <c r="W1242" s="19">
        <f>IF($I1242="","",IF(ISNUMBER($I1242),TEXT($I1242,"0"),$I1242))</f>
        <v/>
      </c>
    </row>
    <row r="1243">
      <c r="B1243" s="25" t="n"/>
      <c r="I1243" s="25" t="n"/>
      <c r="U1243" s="19">
        <f>IF($V1243&lt;&gt;'設定'!$C$4,N(U1242),IF(OR(NOT(COUNTIF('商品マスタ'!$B$6:$B$1005,$W1243)=0),COUNTIFS('①在庫を貼る'!$V$6:$V$10005,$V1243,'①在庫を貼る'!$W$6:$W$10005,$W1243)&gt;0),N(U1242),N(U1242)+1))</f>
        <v/>
      </c>
      <c r="V1243" s="19">
        <f>IF($B1243="","",TEXT($B1243,"0000"))</f>
        <v/>
      </c>
      <c r="W1243" s="19">
        <f>IF($I1243="","",IF(ISNUMBER($I1243),TEXT($I1243,"0"),$I1243))</f>
        <v/>
      </c>
    </row>
    <row r="1244">
      <c r="B1244" s="25" t="n"/>
      <c r="I1244" s="25" t="n"/>
      <c r="U1244" s="19">
        <f>IF($V1244&lt;&gt;'設定'!$C$4,N(U1243),IF(OR(NOT(COUNTIF('商品マスタ'!$B$6:$B$1005,$W1244)=0),COUNTIFS('①在庫を貼る'!$V$6:$V$10005,$V1244,'①在庫を貼る'!$W$6:$W$10005,$W1244)&gt;0),N(U1243),N(U1243)+1))</f>
        <v/>
      </c>
      <c r="V1244" s="19">
        <f>IF($B1244="","",TEXT($B1244,"0000"))</f>
        <v/>
      </c>
      <c r="W1244" s="19">
        <f>IF($I1244="","",IF(ISNUMBER($I1244),TEXT($I1244,"0"),$I1244))</f>
        <v/>
      </c>
    </row>
    <row r="1245">
      <c r="B1245" s="25" t="n"/>
      <c r="I1245" s="25" t="n"/>
      <c r="U1245" s="19">
        <f>IF($V1245&lt;&gt;'設定'!$C$4,N(U1244),IF(OR(NOT(COUNTIF('商品マスタ'!$B$6:$B$1005,$W1245)=0),COUNTIFS('①在庫を貼る'!$V$6:$V$10005,$V1245,'①在庫を貼る'!$W$6:$W$10005,$W1245)&gt;0),N(U1244),N(U1244)+1))</f>
        <v/>
      </c>
      <c r="V1245" s="19">
        <f>IF($B1245="","",TEXT($B1245,"0000"))</f>
        <v/>
      </c>
      <c r="W1245" s="19">
        <f>IF($I1245="","",IF(ISNUMBER($I1245),TEXT($I1245,"0"),$I1245))</f>
        <v/>
      </c>
    </row>
    <row r="1246">
      <c r="B1246" s="25" t="n"/>
      <c r="I1246" s="25" t="n"/>
      <c r="U1246" s="19">
        <f>IF($V1246&lt;&gt;'設定'!$C$4,N(U1245),IF(OR(NOT(COUNTIF('商品マスタ'!$B$6:$B$1005,$W1246)=0),COUNTIFS('①在庫を貼る'!$V$6:$V$10005,$V1246,'①在庫を貼る'!$W$6:$W$10005,$W1246)&gt;0),N(U1245),N(U1245)+1))</f>
        <v/>
      </c>
      <c r="V1246" s="19">
        <f>IF($B1246="","",TEXT($B1246,"0000"))</f>
        <v/>
      </c>
      <c r="W1246" s="19">
        <f>IF($I1246="","",IF(ISNUMBER($I1246),TEXT($I1246,"0"),$I1246))</f>
        <v/>
      </c>
    </row>
    <row r="1247">
      <c r="B1247" s="25" t="n"/>
      <c r="I1247" s="25" t="n"/>
      <c r="U1247" s="19">
        <f>IF($V1247&lt;&gt;'設定'!$C$4,N(U1246),IF(OR(NOT(COUNTIF('商品マスタ'!$B$6:$B$1005,$W1247)=0),COUNTIFS('①在庫を貼る'!$V$6:$V$10005,$V1247,'①在庫を貼る'!$W$6:$W$10005,$W1247)&gt;0),N(U1246),N(U1246)+1))</f>
        <v/>
      </c>
      <c r="V1247" s="19">
        <f>IF($B1247="","",TEXT($B1247,"0000"))</f>
        <v/>
      </c>
      <c r="W1247" s="19">
        <f>IF($I1247="","",IF(ISNUMBER($I1247),TEXT($I1247,"0"),$I1247))</f>
        <v/>
      </c>
    </row>
    <row r="1248">
      <c r="B1248" s="25" t="n"/>
      <c r="I1248" s="25" t="n"/>
      <c r="U1248" s="19">
        <f>IF($V1248&lt;&gt;'設定'!$C$4,N(U1247),IF(OR(NOT(COUNTIF('商品マスタ'!$B$6:$B$1005,$W1248)=0),COUNTIFS('①在庫を貼る'!$V$6:$V$10005,$V1248,'①在庫を貼る'!$W$6:$W$10005,$W1248)&gt;0),N(U1247),N(U1247)+1))</f>
        <v/>
      </c>
      <c r="V1248" s="19">
        <f>IF($B1248="","",TEXT($B1248,"0000"))</f>
        <v/>
      </c>
      <c r="W1248" s="19">
        <f>IF($I1248="","",IF(ISNUMBER($I1248),TEXT($I1248,"0"),$I1248))</f>
        <v/>
      </c>
    </row>
    <row r="1249">
      <c r="B1249" s="25" t="n"/>
      <c r="I1249" s="25" t="n"/>
      <c r="U1249" s="19">
        <f>IF($V1249&lt;&gt;'設定'!$C$4,N(U1248),IF(OR(NOT(COUNTIF('商品マスタ'!$B$6:$B$1005,$W1249)=0),COUNTIFS('①在庫を貼る'!$V$6:$V$10005,$V1249,'①在庫を貼る'!$W$6:$W$10005,$W1249)&gt;0),N(U1248),N(U1248)+1))</f>
        <v/>
      </c>
      <c r="V1249" s="19">
        <f>IF($B1249="","",TEXT($B1249,"0000"))</f>
        <v/>
      </c>
      <c r="W1249" s="19">
        <f>IF($I1249="","",IF(ISNUMBER($I1249),TEXT($I1249,"0"),$I1249))</f>
        <v/>
      </c>
    </row>
    <row r="1250">
      <c r="B1250" s="25" t="n"/>
      <c r="I1250" s="25" t="n"/>
      <c r="U1250" s="19">
        <f>IF($V1250&lt;&gt;'設定'!$C$4,N(U1249),IF(OR(NOT(COUNTIF('商品マスタ'!$B$6:$B$1005,$W1250)=0),COUNTIFS('①在庫を貼る'!$V$6:$V$10005,$V1250,'①在庫を貼る'!$W$6:$W$10005,$W1250)&gt;0),N(U1249),N(U1249)+1))</f>
        <v/>
      </c>
      <c r="V1250" s="19">
        <f>IF($B1250="","",TEXT($B1250,"0000"))</f>
        <v/>
      </c>
      <c r="W1250" s="19">
        <f>IF($I1250="","",IF(ISNUMBER($I1250),TEXT($I1250,"0"),$I1250))</f>
        <v/>
      </c>
    </row>
    <row r="1251">
      <c r="B1251" s="25" t="n"/>
      <c r="I1251" s="25" t="n"/>
      <c r="U1251" s="19">
        <f>IF($V1251&lt;&gt;'設定'!$C$4,N(U1250),IF(OR(NOT(COUNTIF('商品マスタ'!$B$6:$B$1005,$W1251)=0),COUNTIFS('①在庫を貼る'!$V$6:$V$10005,$V1251,'①在庫を貼る'!$W$6:$W$10005,$W1251)&gt;0),N(U1250),N(U1250)+1))</f>
        <v/>
      </c>
      <c r="V1251" s="19">
        <f>IF($B1251="","",TEXT($B1251,"0000"))</f>
        <v/>
      </c>
      <c r="W1251" s="19">
        <f>IF($I1251="","",IF(ISNUMBER($I1251),TEXT($I1251,"0"),$I1251))</f>
        <v/>
      </c>
    </row>
    <row r="1252">
      <c r="B1252" s="25" t="n"/>
      <c r="I1252" s="25" t="n"/>
      <c r="U1252" s="19">
        <f>IF($V1252&lt;&gt;'設定'!$C$4,N(U1251),IF(OR(NOT(COUNTIF('商品マスタ'!$B$6:$B$1005,$W1252)=0),COUNTIFS('①在庫を貼る'!$V$6:$V$10005,$V1252,'①在庫を貼る'!$W$6:$W$10005,$W1252)&gt;0),N(U1251),N(U1251)+1))</f>
        <v/>
      </c>
      <c r="V1252" s="19">
        <f>IF($B1252="","",TEXT($B1252,"0000"))</f>
        <v/>
      </c>
      <c r="W1252" s="19">
        <f>IF($I1252="","",IF(ISNUMBER($I1252),TEXT($I1252,"0"),$I1252))</f>
        <v/>
      </c>
    </row>
    <row r="1253">
      <c r="B1253" s="25" t="n"/>
      <c r="I1253" s="25" t="n"/>
      <c r="U1253" s="19">
        <f>IF($V1253&lt;&gt;'設定'!$C$4,N(U1252),IF(OR(NOT(COUNTIF('商品マスタ'!$B$6:$B$1005,$W1253)=0),COUNTIFS('①在庫を貼る'!$V$6:$V$10005,$V1253,'①在庫を貼る'!$W$6:$W$10005,$W1253)&gt;0),N(U1252),N(U1252)+1))</f>
        <v/>
      </c>
      <c r="V1253" s="19">
        <f>IF($B1253="","",TEXT($B1253,"0000"))</f>
        <v/>
      </c>
      <c r="W1253" s="19">
        <f>IF($I1253="","",IF(ISNUMBER($I1253),TEXT($I1253,"0"),$I1253))</f>
        <v/>
      </c>
    </row>
    <row r="1254">
      <c r="B1254" s="25" t="n"/>
      <c r="I1254" s="25" t="n"/>
      <c r="U1254" s="19">
        <f>IF($V1254&lt;&gt;'設定'!$C$4,N(U1253),IF(OR(NOT(COUNTIF('商品マスタ'!$B$6:$B$1005,$W1254)=0),COUNTIFS('①在庫を貼る'!$V$6:$V$10005,$V1254,'①在庫を貼る'!$W$6:$W$10005,$W1254)&gt;0),N(U1253),N(U1253)+1))</f>
        <v/>
      </c>
      <c r="V1254" s="19">
        <f>IF($B1254="","",TEXT($B1254,"0000"))</f>
        <v/>
      </c>
      <c r="W1254" s="19">
        <f>IF($I1254="","",IF(ISNUMBER($I1254),TEXT($I1254,"0"),$I1254))</f>
        <v/>
      </c>
    </row>
    <row r="1255">
      <c r="B1255" s="25" t="n"/>
      <c r="I1255" s="25" t="n"/>
      <c r="U1255" s="19">
        <f>IF($V1255&lt;&gt;'設定'!$C$4,N(U1254),IF(OR(NOT(COUNTIF('商品マスタ'!$B$6:$B$1005,$W1255)=0),COUNTIFS('①在庫を貼る'!$V$6:$V$10005,$V1255,'①在庫を貼る'!$W$6:$W$10005,$W1255)&gt;0),N(U1254),N(U1254)+1))</f>
        <v/>
      </c>
      <c r="V1255" s="19">
        <f>IF($B1255="","",TEXT($B1255,"0000"))</f>
        <v/>
      </c>
      <c r="W1255" s="19">
        <f>IF($I1255="","",IF(ISNUMBER($I1255),TEXT($I1255,"0"),$I1255))</f>
        <v/>
      </c>
    </row>
    <row r="1256">
      <c r="B1256" s="25" t="n"/>
      <c r="I1256" s="25" t="n"/>
      <c r="U1256" s="19">
        <f>IF($V1256&lt;&gt;'設定'!$C$4,N(U1255),IF(OR(NOT(COUNTIF('商品マスタ'!$B$6:$B$1005,$W1256)=0),COUNTIFS('①在庫を貼る'!$V$6:$V$10005,$V1256,'①在庫を貼る'!$W$6:$W$10005,$W1256)&gt;0),N(U1255),N(U1255)+1))</f>
        <v/>
      </c>
      <c r="V1256" s="19">
        <f>IF($B1256="","",TEXT($B1256,"0000"))</f>
        <v/>
      </c>
      <c r="W1256" s="19">
        <f>IF($I1256="","",IF(ISNUMBER($I1256),TEXT($I1256,"0"),$I1256))</f>
        <v/>
      </c>
    </row>
    <row r="1257">
      <c r="B1257" s="25" t="n"/>
      <c r="I1257" s="25" t="n"/>
      <c r="U1257" s="19">
        <f>IF($V1257&lt;&gt;'設定'!$C$4,N(U1256),IF(OR(NOT(COUNTIF('商品マスタ'!$B$6:$B$1005,$W1257)=0),COUNTIFS('①在庫を貼る'!$V$6:$V$10005,$V1257,'①在庫を貼る'!$W$6:$W$10005,$W1257)&gt;0),N(U1256),N(U1256)+1))</f>
        <v/>
      </c>
      <c r="V1257" s="19">
        <f>IF($B1257="","",TEXT($B1257,"0000"))</f>
        <v/>
      </c>
      <c r="W1257" s="19">
        <f>IF($I1257="","",IF(ISNUMBER($I1257),TEXT($I1257,"0"),$I1257))</f>
        <v/>
      </c>
    </row>
    <row r="1258">
      <c r="B1258" s="25" t="n"/>
      <c r="I1258" s="25" t="n"/>
      <c r="U1258" s="19">
        <f>IF($V1258&lt;&gt;'設定'!$C$4,N(U1257),IF(OR(NOT(COUNTIF('商品マスタ'!$B$6:$B$1005,$W1258)=0),COUNTIFS('①在庫を貼る'!$V$6:$V$10005,$V1258,'①在庫を貼る'!$W$6:$W$10005,$W1258)&gt;0),N(U1257),N(U1257)+1))</f>
        <v/>
      </c>
      <c r="V1258" s="19">
        <f>IF($B1258="","",TEXT($B1258,"0000"))</f>
        <v/>
      </c>
      <c r="W1258" s="19">
        <f>IF($I1258="","",IF(ISNUMBER($I1258),TEXT($I1258,"0"),$I1258))</f>
        <v/>
      </c>
    </row>
    <row r="1259">
      <c r="B1259" s="25" t="n"/>
      <c r="I1259" s="25" t="n"/>
      <c r="U1259" s="19">
        <f>IF($V1259&lt;&gt;'設定'!$C$4,N(U1258),IF(OR(NOT(COUNTIF('商品マスタ'!$B$6:$B$1005,$W1259)=0),COUNTIFS('①在庫を貼る'!$V$6:$V$10005,$V1259,'①在庫を貼る'!$W$6:$W$10005,$W1259)&gt;0),N(U1258),N(U1258)+1))</f>
        <v/>
      </c>
      <c r="V1259" s="19">
        <f>IF($B1259="","",TEXT($B1259,"0000"))</f>
        <v/>
      </c>
      <c r="W1259" s="19">
        <f>IF($I1259="","",IF(ISNUMBER($I1259),TEXT($I1259,"0"),$I1259))</f>
        <v/>
      </c>
    </row>
    <row r="1260">
      <c r="B1260" s="25" t="n"/>
      <c r="I1260" s="25" t="n"/>
      <c r="U1260" s="19">
        <f>IF($V1260&lt;&gt;'設定'!$C$4,N(U1259),IF(OR(NOT(COUNTIF('商品マスタ'!$B$6:$B$1005,$W1260)=0),COUNTIFS('①在庫を貼る'!$V$6:$V$10005,$V1260,'①在庫を貼る'!$W$6:$W$10005,$W1260)&gt;0),N(U1259),N(U1259)+1))</f>
        <v/>
      </c>
      <c r="V1260" s="19">
        <f>IF($B1260="","",TEXT($B1260,"0000"))</f>
        <v/>
      </c>
      <c r="W1260" s="19">
        <f>IF($I1260="","",IF(ISNUMBER($I1260),TEXT($I1260,"0"),$I1260))</f>
        <v/>
      </c>
    </row>
    <row r="1261">
      <c r="B1261" s="25" t="n"/>
      <c r="I1261" s="25" t="n"/>
      <c r="U1261" s="19">
        <f>IF($V1261&lt;&gt;'設定'!$C$4,N(U1260),IF(OR(NOT(COUNTIF('商品マスタ'!$B$6:$B$1005,$W1261)=0),COUNTIFS('①在庫を貼る'!$V$6:$V$10005,$V1261,'①在庫を貼る'!$W$6:$W$10005,$W1261)&gt;0),N(U1260),N(U1260)+1))</f>
        <v/>
      </c>
      <c r="V1261" s="19">
        <f>IF($B1261="","",TEXT($B1261,"0000"))</f>
        <v/>
      </c>
      <c r="W1261" s="19">
        <f>IF($I1261="","",IF(ISNUMBER($I1261),TEXT($I1261,"0"),$I1261))</f>
        <v/>
      </c>
    </row>
    <row r="1262">
      <c r="B1262" s="25" t="n"/>
      <c r="I1262" s="25" t="n"/>
      <c r="U1262" s="19">
        <f>IF($V1262&lt;&gt;'設定'!$C$4,N(U1261),IF(OR(NOT(COUNTIF('商品マスタ'!$B$6:$B$1005,$W1262)=0),COUNTIFS('①在庫を貼る'!$V$6:$V$10005,$V1262,'①在庫を貼る'!$W$6:$W$10005,$W1262)&gt;0),N(U1261),N(U1261)+1))</f>
        <v/>
      </c>
      <c r="V1262" s="19">
        <f>IF($B1262="","",TEXT($B1262,"0000"))</f>
        <v/>
      </c>
      <c r="W1262" s="19">
        <f>IF($I1262="","",IF(ISNUMBER($I1262),TEXT($I1262,"0"),$I1262))</f>
        <v/>
      </c>
    </row>
    <row r="1263">
      <c r="B1263" s="25" t="n"/>
      <c r="I1263" s="25" t="n"/>
      <c r="U1263" s="19">
        <f>IF($V1263&lt;&gt;'設定'!$C$4,N(U1262),IF(OR(NOT(COUNTIF('商品マスタ'!$B$6:$B$1005,$W1263)=0),COUNTIFS('①在庫を貼る'!$V$6:$V$10005,$V1263,'①在庫を貼る'!$W$6:$W$10005,$W1263)&gt;0),N(U1262),N(U1262)+1))</f>
        <v/>
      </c>
      <c r="V1263" s="19">
        <f>IF($B1263="","",TEXT($B1263,"0000"))</f>
        <v/>
      </c>
      <c r="W1263" s="19">
        <f>IF($I1263="","",IF(ISNUMBER($I1263),TEXT($I1263,"0"),$I1263))</f>
        <v/>
      </c>
    </row>
    <row r="1264">
      <c r="B1264" s="25" t="n"/>
      <c r="I1264" s="25" t="n"/>
      <c r="U1264" s="19">
        <f>IF($V1264&lt;&gt;'設定'!$C$4,N(U1263),IF(OR(NOT(COUNTIF('商品マスタ'!$B$6:$B$1005,$W1264)=0),COUNTIFS('①在庫を貼る'!$V$6:$V$10005,$V1264,'①在庫を貼る'!$W$6:$W$10005,$W1264)&gt;0),N(U1263),N(U1263)+1))</f>
        <v/>
      </c>
      <c r="V1264" s="19">
        <f>IF($B1264="","",TEXT($B1264,"0000"))</f>
        <v/>
      </c>
      <c r="W1264" s="19">
        <f>IF($I1264="","",IF(ISNUMBER($I1264),TEXT($I1264,"0"),$I1264))</f>
        <v/>
      </c>
    </row>
    <row r="1265">
      <c r="B1265" s="25" t="n"/>
      <c r="I1265" s="25" t="n"/>
      <c r="U1265" s="19">
        <f>IF($V1265&lt;&gt;'設定'!$C$4,N(U1264),IF(OR(NOT(COUNTIF('商品マスタ'!$B$6:$B$1005,$W1265)=0),COUNTIFS('①在庫を貼る'!$V$6:$V$10005,$V1265,'①在庫を貼る'!$W$6:$W$10005,$W1265)&gt;0),N(U1264),N(U1264)+1))</f>
        <v/>
      </c>
      <c r="V1265" s="19">
        <f>IF($B1265="","",TEXT($B1265,"0000"))</f>
        <v/>
      </c>
      <c r="W1265" s="19">
        <f>IF($I1265="","",IF(ISNUMBER($I1265),TEXT($I1265,"0"),$I1265))</f>
        <v/>
      </c>
    </row>
    <row r="1266">
      <c r="B1266" s="25" t="n"/>
      <c r="I1266" s="25" t="n"/>
      <c r="U1266" s="19">
        <f>IF($V1266&lt;&gt;'設定'!$C$4,N(U1265),IF(OR(NOT(COUNTIF('商品マスタ'!$B$6:$B$1005,$W1266)=0),COUNTIFS('①在庫を貼る'!$V$6:$V$10005,$V1266,'①在庫を貼る'!$W$6:$W$10005,$W1266)&gt;0),N(U1265),N(U1265)+1))</f>
        <v/>
      </c>
      <c r="V1266" s="19">
        <f>IF($B1266="","",TEXT($B1266,"0000"))</f>
        <v/>
      </c>
      <c r="W1266" s="19">
        <f>IF($I1266="","",IF(ISNUMBER($I1266),TEXT($I1266,"0"),$I1266))</f>
        <v/>
      </c>
    </row>
    <row r="1267">
      <c r="B1267" s="25" t="n"/>
      <c r="I1267" s="25" t="n"/>
      <c r="U1267" s="19">
        <f>IF($V1267&lt;&gt;'設定'!$C$4,N(U1266),IF(OR(NOT(COUNTIF('商品マスタ'!$B$6:$B$1005,$W1267)=0),COUNTIFS('①在庫を貼る'!$V$6:$V$10005,$V1267,'①在庫を貼る'!$W$6:$W$10005,$W1267)&gt;0),N(U1266),N(U1266)+1))</f>
        <v/>
      </c>
      <c r="V1267" s="19">
        <f>IF($B1267="","",TEXT($B1267,"0000"))</f>
        <v/>
      </c>
      <c r="W1267" s="19">
        <f>IF($I1267="","",IF(ISNUMBER($I1267),TEXT($I1267,"0"),$I1267))</f>
        <v/>
      </c>
    </row>
    <row r="1268">
      <c r="B1268" s="25" t="n"/>
      <c r="I1268" s="25" t="n"/>
      <c r="U1268" s="19">
        <f>IF($V1268&lt;&gt;'設定'!$C$4,N(U1267),IF(OR(NOT(COUNTIF('商品マスタ'!$B$6:$B$1005,$W1268)=0),COUNTIFS('①在庫を貼る'!$V$6:$V$10005,$V1268,'①在庫を貼る'!$W$6:$W$10005,$W1268)&gt;0),N(U1267),N(U1267)+1))</f>
        <v/>
      </c>
      <c r="V1268" s="19">
        <f>IF($B1268="","",TEXT($B1268,"0000"))</f>
        <v/>
      </c>
      <c r="W1268" s="19">
        <f>IF($I1268="","",IF(ISNUMBER($I1268),TEXT($I1268,"0"),$I1268))</f>
        <v/>
      </c>
    </row>
    <row r="1269">
      <c r="B1269" s="25" t="n"/>
      <c r="I1269" s="25" t="n"/>
      <c r="U1269" s="19">
        <f>IF($V1269&lt;&gt;'設定'!$C$4,N(U1268),IF(OR(NOT(COUNTIF('商品マスタ'!$B$6:$B$1005,$W1269)=0),COUNTIFS('①在庫を貼る'!$V$6:$V$10005,$V1269,'①在庫を貼る'!$W$6:$W$10005,$W1269)&gt;0),N(U1268),N(U1268)+1))</f>
        <v/>
      </c>
      <c r="V1269" s="19">
        <f>IF($B1269="","",TEXT($B1269,"0000"))</f>
        <v/>
      </c>
      <c r="W1269" s="19">
        <f>IF($I1269="","",IF(ISNUMBER($I1269),TEXT($I1269,"0"),$I1269))</f>
        <v/>
      </c>
    </row>
    <row r="1270">
      <c r="B1270" s="25" t="n"/>
      <c r="I1270" s="25" t="n"/>
      <c r="U1270" s="19">
        <f>IF($V1270&lt;&gt;'設定'!$C$4,N(U1269),IF(OR(NOT(COUNTIF('商品マスタ'!$B$6:$B$1005,$W1270)=0),COUNTIFS('①在庫を貼る'!$V$6:$V$10005,$V1270,'①在庫を貼る'!$W$6:$W$10005,$W1270)&gt;0),N(U1269),N(U1269)+1))</f>
        <v/>
      </c>
      <c r="V1270" s="19">
        <f>IF($B1270="","",TEXT($B1270,"0000"))</f>
        <v/>
      </c>
      <c r="W1270" s="19">
        <f>IF($I1270="","",IF(ISNUMBER($I1270),TEXT($I1270,"0"),$I1270))</f>
        <v/>
      </c>
    </row>
    <row r="1271">
      <c r="B1271" s="25" t="n"/>
      <c r="I1271" s="25" t="n"/>
      <c r="U1271" s="19">
        <f>IF($V1271&lt;&gt;'設定'!$C$4,N(U1270),IF(OR(NOT(COUNTIF('商品マスタ'!$B$6:$B$1005,$W1271)=0),COUNTIFS('①在庫を貼る'!$V$6:$V$10005,$V1271,'①在庫を貼る'!$W$6:$W$10005,$W1271)&gt;0),N(U1270),N(U1270)+1))</f>
        <v/>
      </c>
      <c r="V1271" s="19">
        <f>IF($B1271="","",TEXT($B1271,"0000"))</f>
        <v/>
      </c>
      <c r="W1271" s="19">
        <f>IF($I1271="","",IF(ISNUMBER($I1271),TEXT($I1271,"0"),$I1271))</f>
        <v/>
      </c>
    </row>
    <row r="1272">
      <c r="B1272" s="25" t="n"/>
      <c r="I1272" s="25" t="n"/>
      <c r="U1272" s="19">
        <f>IF($V1272&lt;&gt;'設定'!$C$4,N(U1271),IF(OR(NOT(COUNTIF('商品マスタ'!$B$6:$B$1005,$W1272)=0),COUNTIFS('①在庫を貼る'!$V$6:$V$10005,$V1272,'①在庫を貼る'!$W$6:$W$10005,$W1272)&gt;0),N(U1271),N(U1271)+1))</f>
        <v/>
      </c>
      <c r="V1272" s="19">
        <f>IF($B1272="","",TEXT($B1272,"0000"))</f>
        <v/>
      </c>
      <c r="W1272" s="19">
        <f>IF($I1272="","",IF(ISNUMBER($I1272),TEXT($I1272,"0"),$I1272))</f>
        <v/>
      </c>
    </row>
    <row r="1273">
      <c r="B1273" s="25" t="n"/>
      <c r="I1273" s="25" t="n"/>
      <c r="U1273" s="19">
        <f>IF($V1273&lt;&gt;'設定'!$C$4,N(U1272),IF(OR(NOT(COUNTIF('商品マスタ'!$B$6:$B$1005,$W1273)=0),COUNTIFS('①在庫を貼る'!$V$6:$V$10005,$V1273,'①在庫を貼る'!$W$6:$W$10005,$W1273)&gt;0),N(U1272),N(U1272)+1))</f>
        <v/>
      </c>
      <c r="V1273" s="19">
        <f>IF($B1273="","",TEXT($B1273,"0000"))</f>
        <v/>
      </c>
      <c r="W1273" s="19">
        <f>IF($I1273="","",IF(ISNUMBER($I1273),TEXT($I1273,"0"),$I1273))</f>
        <v/>
      </c>
    </row>
    <row r="1274">
      <c r="B1274" s="25" t="n"/>
      <c r="I1274" s="25" t="n"/>
      <c r="U1274" s="19">
        <f>IF($V1274&lt;&gt;'設定'!$C$4,N(U1273),IF(OR(NOT(COUNTIF('商品マスタ'!$B$6:$B$1005,$W1274)=0),COUNTIFS('①在庫を貼る'!$V$6:$V$10005,$V1274,'①在庫を貼る'!$W$6:$W$10005,$W1274)&gt;0),N(U1273),N(U1273)+1))</f>
        <v/>
      </c>
      <c r="V1274" s="19">
        <f>IF($B1274="","",TEXT($B1274,"0000"))</f>
        <v/>
      </c>
      <c r="W1274" s="19">
        <f>IF($I1274="","",IF(ISNUMBER($I1274),TEXT($I1274,"0"),$I1274))</f>
        <v/>
      </c>
    </row>
    <row r="1275">
      <c r="B1275" s="25" t="n"/>
      <c r="I1275" s="25" t="n"/>
      <c r="U1275" s="19">
        <f>IF($V1275&lt;&gt;'設定'!$C$4,N(U1274),IF(OR(NOT(COUNTIF('商品マスタ'!$B$6:$B$1005,$W1275)=0),COUNTIFS('①在庫を貼る'!$V$6:$V$10005,$V1275,'①在庫を貼る'!$W$6:$W$10005,$W1275)&gt;0),N(U1274),N(U1274)+1))</f>
        <v/>
      </c>
      <c r="V1275" s="19">
        <f>IF($B1275="","",TEXT($B1275,"0000"))</f>
        <v/>
      </c>
      <c r="W1275" s="19">
        <f>IF($I1275="","",IF(ISNUMBER($I1275),TEXT($I1275,"0"),$I1275))</f>
        <v/>
      </c>
    </row>
    <row r="1276">
      <c r="B1276" s="25" t="n"/>
      <c r="I1276" s="25" t="n"/>
      <c r="U1276" s="19">
        <f>IF($V1276&lt;&gt;'設定'!$C$4,N(U1275),IF(OR(NOT(COUNTIF('商品マスタ'!$B$6:$B$1005,$W1276)=0),COUNTIFS('①在庫を貼る'!$V$6:$V$10005,$V1276,'①在庫を貼る'!$W$6:$W$10005,$W1276)&gt;0),N(U1275),N(U1275)+1))</f>
        <v/>
      </c>
      <c r="V1276" s="19">
        <f>IF($B1276="","",TEXT($B1276,"0000"))</f>
        <v/>
      </c>
      <c r="W1276" s="19">
        <f>IF($I1276="","",IF(ISNUMBER($I1276),TEXT($I1276,"0"),$I1276))</f>
        <v/>
      </c>
    </row>
    <row r="1277">
      <c r="B1277" s="25" t="n"/>
      <c r="I1277" s="25" t="n"/>
      <c r="U1277" s="19">
        <f>IF($V1277&lt;&gt;'設定'!$C$4,N(U1276),IF(OR(NOT(COUNTIF('商品マスタ'!$B$6:$B$1005,$W1277)=0),COUNTIFS('①在庫を貼る'!$V$6:$V$10005,$V1277,'①在庫を貼る'!$W$6:$W$10005,$W1277)&gt;0),N(U1276),N(U1276)+1))</f>
        <v/>
      </c>
      <c r="V1277" s="19">
        <f>IF($B1277="","",TEXT($B1277,"0000"))</f>
        <v/>
      </c>
      <c r="W1277" s="19">
        <f>IF($I1277="","",IF(ISNUMBER($I1277),TEXT($I1277,"0"),$I1277))</f>
        <v/>
      </c>
    </row>
    <row r="1278">
      <c r="B1278" s="25" t="n"/>
      <c r="I1278" s="25" t="n"/>
      <c r="U1278" s="19">
        <f>IF($V1278&lt;&gt;'設定'!$C$4,N(U1277),IF(OR(NOT(COUNTIF('商品マスタ'!$B$6:$B$1005,$W1278)=0),COUNTIFS('①在庫を貼る'!$V$6:$V$10005,$V1278,'①在庫を貼る'!$W$6:$W$10005,$W1278)&gt;0),N(U1277),N(U1277)+1))</f>
        <v/>
      </c>
      <c r="V1278" s="19">
        <f>IF($B1278="","",TEXT($B1278,"0000"))</f>
        <v/>
      </c>
      <c r="W1278" s="19">
        <f>IF($I1278="","",IF(ISNUMBER($I1278),TEXT($I1278,"0"),$I1278))</f>
        <v/>
      </c>
    </row>
    <row r="1279">
      <c r="B1279" s="25" t="n"/>
      <c r="I1279" s="25" t="n"/>
      <c r="U1279" s="19">
        <f>IF($V1279&lt;&gt;'設定'!$C$4,N(U1278),IF(OR(NOT(COUNTIF('商品マスタ'!$B$6:$B$1005,$W1279)=0),COUNTIFS('①在庫を貼る'!$V$6:$V$10005,$V1279,'①在庫を貼る'!$W$6:$W$10005,$W1279)&gt;0),N(U1278),N(U1278)+1))</f>
        <v/>
      </c>
      <c r="V1279" s="19">
        <f>IF($B1279="","",TEXT($B1279,"0000"))</f>
        <v/>
      </c>
      <c r="W1279" s="19">
        <f>IF($I1279="","",IF(ISNUMBER($I1279),TEXT($I1279,"0"),$I1279))</f>
        <v/>
      </c>
    </row>
    <row r="1280">
      <c r="B1280" s="25" t="n"/>
      <c r="I1280" s="25" t="n"/>
      <c r="U1280" s="19">
        <f>IF($V1280&lt;&gt;'設定'!$C$4,N(U1279),IF(OR(NOT(COUNTIF('商品マスタ'!$B$6:$B$1005,$W1280)=0),COUNTIFS('①在庫を貼る'!$V$6:$V$10005,$V1280,'①在庫を貼る'!$W$6:$W$10005,$W1280)&gt;0),N(U1279),N(U1279)+1))</f>
        <v/>
      </c>
      <c r="V1280" s="19">
        <f>IF($B1280="","",TEXT($B1280,"0000"))</f>
        <v/>
      </c>
      <c r="W1280" s="19">
        <f>IF($I1280="","",IF(ISNUMBER($I1280),TEXT($I1280,"0"),$I1280))</f>
        <v/>
      </c>
    </row>
    <row r="1281">
      <c r="B1281" s="25" t="n"/>
      <c r="I1281" s="25" t="n"/>
      <c r="U1281" s="19">
        <f>IF($V1281&lt;&gt;'設定'!$C$4,N(U1280),IF(OR(NOT(COUNTIF('商品マスタ'!$B$6:$B$1005,$W1281)=0),COUNTIFS('①在庫を貼る'!$V$6:$V$10005,$V1281,'①在庫を貼る'!$W$6:$W$10005,$W1281)&gt;0),N(U1280),N(U1280)+1))</f>
        <v/>
      </c>
      <c r="V1281" s="19">
        <f>IF($B1281="","",TEXT($B1281,"0000"))</f>
        <v/>
      </c>
      <c r="W1281" s="19">
        <f>IF($I1281="","",IF(ISNUMBER($I1281),TEXT($I1281,"0"),$I1281))</f>
        <v/>
      </c>
    </row>
    <row r="1282">
      <c r="B1282" s="25" t="n"/>
      <c r="I1282" s="25" t="n"/>
      <c r="U1282" s="19">
        <f>IF($V1282&lt;&gt;'設定'!$C$4,N(U1281),IF(OR(NOT(COUNTIF('商品マスタ'!$B$6:$B$1005,$W1282)=0),COUNTIFS('①在庫を貼る'!$V$6:$V$10005,$V1282,'①在庫を貼る'!$W$6:$W$10005,$W1282)&gt;0),N(U1281),N(U1281)+1))</f>
        <v/>
      </c>
      <c r="V1282" s="19">
        <f>IF($B1282="","",TEXT($B1282,"0000"))</f>
        <v/>
      </c>
      <c r="W1282" s="19">
        <f>IF($I1282="","",IF(ISNUMBER($I1282),TEXT($I1282,"0"),$I1282))</f>
        <v/>
      </c>
    </row>
    <row r="1283">
      <c r="B1283" s="25" t="n"/>
      <c r="I1283" s="25" t="n"/>
      <c r="U1283" s="19">
        <f>IF($V1283&lt;&gt;'設定'!$C$4,N(U1282),IF(OR(NOT(COUNTIF('商品マスタ'!$B$6:$B$1005,$W1283)=0),COUNTIFS('①在庫を貼る'!$V$6:$V$10005,$V1283,'①在庫を貼る'!$W$6:$W$10005,$W1283)&gt;0),N(U1282),N(U1282)+1))</f>
        <v/>
      </c>
      <c r="V1283" s="19">
        <f>IF($B1283="","",TEXT($B1283,"0000"))</f>
        <v/>
      </c>
      <c r="W1283" s="19">
        <f>IF($I1283="","",IF(ISNUMBER($I1283),TEXT($I1283,"0"),$I1283))</f>
        <v/>
      </c>
    </row>
    <row r="1284">
      <c r="B1284" s="25" t="n"/>
      <c r="I1284" s="25" t="n"/>
      <c r="U1284" s="19">
        <f>IF($V1284&lt;&gt;'設定'!$C$4,N(U1283),IF(OR(NOT(COUNTIF('商品マスタ'!$B$6:$B$1005,$W1284)=0),COUNTIFS('①在庫を貼る'!$V$6:$V$10005,$V1284,'①在庫を貼る'!$W$6:$W$10005,$W1284)&gt;0),N(U1283),N(U1283)+1))</f>
        <v/>
      </c>
      <c r="V1284" s="19">
        <f>IF($B1284="","",TEXT($B1284,"0000"))</f>
        <v/>
      </c>
      <c r="W1284" s="19">
        <f>IF($I1284="","",IF(ISNUMBER($I1284),TEXT($I1284,"0"),$I1284))</f>
        <v/>
      </c>
    </row>
    <row r="1285">
      <c r="B1285" s="25" t="n"/>
      <c r="I1285" s="25" t="n"/>
      <c r="U1285" s="19">
        <f>IF($V1285&lt;&gt;'設定'!$C$4,N(U1284),IF(OR(NOT(COUNTIF('商品マスタ'!$B$6:$B$1005,$W1285)=0),COUNTIFS('①在庫を貼る'!$V$6:$V$10005,$V1285,'①在庫を貼る'!$W$6:$W$10005,$W1285)&gt;0),N(U1284),N(U1284)+1))</f>
        <v/>
      </c>
      <c r="V1285" s="19">
        <f>IF($B1285="","",TEXT($B1285,"0000"))</f>
        <v/>
      </c>
      <c r="W1285" s="19">
        <f>IF($I1285="","",IF(ISNUMBER($I1285),TEXT($I1285,"0"),$I1285))</f>
        <v/>
      </c>
    </row>
    <row r="1286">
      <c r="B1286" s="25" t="n"/>
      <c r="I1286" s="25" t="n"/>
      <c r="U1286" s="19">
        <f>IF($V1286&lt;&gt;'設定'!$C$4,N(U1285),IF(OR(NOT(COUNTIF('商品マスタ'!$B$6:$B$1005,$W1286)=0),COUNTIFS('①在庫を貼る'!$V$6:$V$10005,$V1286,'①在庫を貼る'!$W$6:$W$10005,$W1286)&gt;0),N(U1285),N(U1285)+1))</f>
        <v/>
      </c>
      <c r="V1286" s="19">
        <f>IF($B1286="","",TEXT($B1286,"0000"))</f>
        <v/>
      </c>
      <c r="W1286" s="19">
        <f>IF($I1286="","",IF(ISNUMBER($I1286),TEXT($I1286,"0"),$I1286))</f>
        <v/>
      </c>
    </row>
    <row r="1287">
      <c r="B1287" s="25" t="n"/>
      <c r="I1287" s="25" t="n"/>
      <c r="U1287" s="19">
        <f>IF($V1287&lt;&gt;'設定'!$C$4,N(U1286),IF(OR(NOT(COUNTIF('商品マスタ'!$B$6:$B$1005,$W1287)=0),COUNTIFS('①在庫を貼る'!$V$6:$V$10005,$V1287,'①在庫を貼る'!$W$6:$W$10005,$W1287)&gt;0),N(U1286),N(U1286)+1))</f>
        <v/>
      </c>
      <c r="V1287" s="19">
        <f>IF($B1287="","",TEXT($B1287,"0000"))</f>
        <v/>
      </c>
      <c r="W1287" s="19">
        <f>IF($I1287="","",IF(ISNUMBER($I1287),TEXT($I1287,"0"),$I1287))</f>
        <v/>
      </c>
    </row>
    <row r="1288">
      <c r="B1288" s="25" t="n"/>
      <c r="I1288" s="25" t="n"/>
      <c r="U1288" s="19">
        <f>IF($V1288&lt;&gt;'設定'!$C$4,N(U1287),IF(OR(NOT(COUNTIF('商品マスタ'!$B$6:$B$1005,$W1288)=0),COUNTIFS('①在庫を貼る'!$V$6:$V$10005,$V1288,'①在庫を貼る'!$W$6:$W$10005,$W1288)&gt;0),N(U1287),N(U1287)+1))</f>
        <v/>
      </c>
      <c r="V1288" s="19">
        <f>IF($B1288="","",TEXT($B1288,"0000"))</f>
        <v/>
      </c>
      <c r="W1288" s="19">
        <f>IF($I1288="","",IF(ISNUMBER($I1288),TEXT($I1288,"0"),$I1288))</f>
        <v/>
      </c>
    </row>
    <row r="1289">
      <c r="B1289" s="25" t="n"/>
      <c r="I1289" s="25" t="n"/>
      <c r="U1289" s="19">
        <f>IF($V1289&lt;&gt;'設定'!$C$4,N(U1288),IF(OR(NOT(COUNTIF('商品マスタ'!$B$6:$B$1005,$W1289)=0),COUNTIFS('①在庫を貼る'!$V$6:$V$10005,$V1289,'①在庫を貼る'!$W$6:$W$10005,$W1289)&gt;0),N(U1288),N(U1288)+1))</f>
        <v/>
      </c>
      <c r="V1289" s="19">
        <f>IF($B1289="","",TEXT($B1289,"0000"))</f>
        <v/>
      </c>
      <c r="W1289" s="19">
        <f>IF($I1289="","",IF(ISNUMBER($I1289),TEXT($I1289,"0"),$I1289))</f>
        <v/>
      </c>
    </row>
    <row r="1290">
      <c r="B1290" s="25" t="n"/>
      <c r="I1290" s="25" t="n"/>
      <c r="U1290" s="19">
        <f>IF($V1290&lt;&gt;'設定'!$C$4,N(U1289),IF(OR(NOT(COUNTIF('商品マスタ'!$B$6:$B$1005,$W1290)=0),COUNTIFS('①在庫を貼る'!$V$6:$V$10005,$V1290,'①在庫を貼る'!$W$6:$W$10005,$W1290)&gt;0),N(U1289),N(U1289)+1))</f>
        <v/>
      </c>
      <c r="V1290" s="19">
        <f>IF($B1290="","",TEXT($B1290,"0000"))</f>
        <v/>
      </c>
      <c r="W1290" s="19">
        <f>IF($I1290="","",IF(ISNUMBER($I1290),TEXT($I1290,"0"),$I1290))</f>
        <v/>
      </c>
    </row>
    <row r="1291">
      <c r="B1291" s="25" t="n"/>
      <c r="I1291" s="25" t="n"/>
      <c r="U1291" s="19">
        <f>IF($V1291&lt;&gt;'設定'!$C$4,N(U1290),IF(OR(NOT(COUNTIF('商品マスタ'!$B$6:$B$1005,$W1291)=0),COUNTIFS('①在庫を貼る'!$V$6:$V$10005,$V1291,'①在庫を貼る'!$W$6:$W$10005,$W1291)&gt;0),N(U1290),N(U1290)+1))</f>
        <v/>
      </c>
      <c r="V1291" s="19">
        <f>IF($B1291="","",TEXT($B1291,"0000"))</f>
        <v/>
      </c>
      <c r="W1291" s="19">
        <f>IF($I1291="","",IF(ISNUMBER($I1291),TEXT($I1291,"0"),$I1291))</f>
        <v/>
      </c>
    </row>
    <row r="1292">
      <c r="B1292" s="25" t="n"/>
      <c r="I1292" s="25" t="n"/>
      <c r="U1292" s="19">
        <f>IF($V1292&lt;&gt;'設定'!$C$4,N(U1291),IF(OR(NOT(COUNTIF('商品マスタ'!$B$6:$B$1005,$W1292)=0),COUNTIFS('①在庫を貼る'!$V$6:$V$10005,$V1292,'①在庫を貼る'!$W$6:$W$10005,$W1292)&gt;0),N(U1291),N(U1291)+1))</f>
        <v/>
      </c>
      <c r="V1292" s="19">
        <f>IF($B1292="","",TEXT($B1292,"0000"))</f>
        <v/>
      </c>
      <c r="W1292" s="19">
        <f>IF($I1292="","",IF(ISNUMBER($I1292),TEXT($I1292,"0"),$I1292))</f>
        <v/>
      </c>
    </row>
    <row r="1293">
      <c r="B1293" s="25" t="n"/>
      <c r="I1293" s="25" t="n"/>
      <c r="U1293" s="19">
        <f>IF($V1293&lt;&gt;'設定'!$C$4,N(U1292),IF(OR(NOT(COUNTIF('商品マスタ'!$B$6:$B$1005,$W1293)=0),COUNTIFS('①在庫を貼る'!$V$6:$V$10005,$V1293,'①在庫を貼る'!$W$6:$W$10005,$W1293)&gt;0),N(U1292),N(U1292)+1))</f>
        <v/>
      </c>
      <c r="V1293" s="19">
        <f>IF($B1293="","",TEXT($B1293,"0000"))</f>
        <v/>
      </c>
      <c r="W1293" s="19">
        <f>IF($I1293="","",IF(ISNUMBER($I1293),TEXT($I1293,"0"),$I1293))</f>
        <v/>
      </c>
    </row>
    <row r="1294">
      <c r="B1294" s="25" t="n"/>
      <c r="I1294" s="25" t="n"/>
      <c r="U1294" s="19">
        <f>IF($V1294&lt;&gt;'設定'!$C$4,N(U1293),IF(OR(NOT(COUNTIF('商品マスタ'!$B$6:$B$1005,$W1294)=0),COUNTIFS('①在庫を貼る'!$V$6:$V$10005,$V1294,'①在庫を貼る'!$W$6:$W$10005,$W1294)&gt;0),N(U1293),N(U1293)+1))</f>
        <v/>
      </c>
      <c r="V1294" s="19">
        <f>IF($B1294="","",TEXT($B1294,"0000"))</f>
        <v/>
      </c>
      <c r="W1294" s="19">
        <f>IF($I1294="","",IF(ISNUMBER($I1294),TEXT($I1294,"0"),$I1294))</f>
        <v/>
      </c>
    </row>
    <row r="1295">
      <c r="B1295" s="25" t="n"/>
      <c r="I1295" s="25" t="n"/>
      <c r="U1295" s="19">
        <f>IF($V1295&lt;&gt;'設定'!$C$4,N(U1294),IF(OR(NOT(COUNTIF('商品マスタ'!$B$6:$B$1005,$W1295)=0),COUNTIFS('①在庫を貼る'!$V$6:$V$10005,$V1295,'①在庫を貼る'!$W$6:$W$10005,$W1295)&gt;0),N(U1294),N(U1294)+1))</f>
        <v/>
      </c>
      <c r="V1295" s="19">
        <f>IF($B1295="","",TEXT($B1295,"0000"))</f>
        <v/>
      </c>
      <c r="W1295" s="19">
        <f>IF($I1295="","",IF(ISNUMBER($I1295),TEXT($I1295,"0"),$I1295))</f>
        <v/>
      </c>
    </row>
    <row r="1296">
      <c r="B1296" s="25" t="n"/>
      <c r="I1296" s="25" t="n"/>
      <c r="U1296" s="19">
        <f>IF($V1296&lt;&gt;'設定'!$C$4,N(U1295),IF(OR(NOT(COUNTIF('商品マスタ'!$B$6:$B$1005,$W1296)=0),COUNTIFS('①在庫を貼る'!$V$6:$V$10005,$V1296,'①在庫を貼る'!$W$6:$W$10005,$W1296)&gt;0),N(U1295),N(U1295)+1))</f>
        <v/>
      </c>
      <c r="V1296" s="19">
        <f>IF($B1296="","",TEXT($B1296,"0000"))</f>
        <v/>
      </c>
      <c r="W1296" s="19">
        <f>IF($I1296="","",IF(ISNUMBER($I1296),TEXT($I1296,"0"),$I1296))</f>
        <v/>
      </c>
    </row>
    <row r="1297">
      <c r="B1297" s="25" t="n"/>
      <c r="I1297" s="25" t="n"/>
      <c r="U1297" s="19">
        <f>IF($V1297&lt;&gt;'設定'!$C$4,N(U1296),IF(OR(NOT(COUNTIF('商品マスタ'!$B$6:$B$1005,$W1297)=0),COUNTIFS('①在庫を貼る'!$V$6:$V$10005,$V1297,'①在庫を貼る'!$W$6:$W$10005,$W1297)&gt;0),N(U1296),N(U1296)+1))</f>
        <v/>
      </c>
      <c r="V1297" s="19">
        <f>IF($B1297="","",TEXT($B1297,"0000"))</f>
        <v/>
      </c>
      <c r="W1297" s="19">
        <f>IF($I1297="","",IF(ISNUMBER($I1297),TEXT($I1297,"0"),$I1297))</f>
        <v/>
      </c>
    </row>
    <row r="1298">
      <c r="B1298" s="25" t="n"/>
      <c r="I1298" s="25" t="n"/>
      <c r="U1298" s="19">
        <f>IF($V1298&lt;&gt;'設定'!$C$4,N(U1297),IF(OR(NOT(COUNTIF('商品マスタ'!$B$6:$B$1005,$W1298)=0),COUNTIFS('①在庫を貼る'!$V$6:$V$10005,$V1298,'①在庫を貼る'!$W$6:$W$10005,$W1298)&gt;0),N(U1297),N(U1297)+1))</f>
        <v/>
      </c>
      <c r="V1298" s="19">
        <f>IF($B1298="","",TEXT($B1298,"0000"))</f>
        <v/>
      </c>
      <c r="W1298" s="19">
        <f>IF($I1298="","",IF(ISNUMBER($I1298),TEXT($I1298,"0"),$I1298))</f>
        <v/>
      </c>
    </row>
    <row r="1299">
      <c r="B1299" s="25" t="n"/>
      <c r="I1299" s="25" t="n"/>
      <c r="U1299" s="19">
        <f>IF($V1299&lt;&gt;'設定'!$C$4,N(U1298),IF(OR(NOT(COUNTIF('商品マスタ'!$B$6:$B$1005,$W1299)=0),COUNTIFS('①在庫を貼る'!$V$6:$V$10005,$V1299,'①在庫を貼る'!$W$6:$W$10005,$W1299)&gt;0),N(U1298),N(U1298)+1))</f>
        <v/>
      </c>
      <c r="V1299" s="19">
        <f>IF($B1299="","",TEXT($B1299,"0000"))</f>
        <v/>
      </c>
      <c r="W1299" s="19">
        <f>IF($I1299="","",IF(ISNUMBER($I1299),TEXT($I1299,"0"),$I1299))</f>
        <v/>
      </c>
    </row>
    <row r="1300">
      <c r="B1300" s="25" t="n"/>
      <c r="I1300" s="25" t="n"/>
      <c r="U1300" s="19">
        <f>IF($V1300&lt;&gt;'設定'!$C$4,N(U1299),IF(OR(NOT(COUNTIF('商品マスタ'!$B$6:$B$1005,$W1300)=0),COUNTIFS('①在庫を貼る'!$V$6:$V$10005,$V1300,'①在庫を貼る'!$W$6:$W$10005,$W1300)&gt;0),N(U1299),N(U1299)+1))</f>
        <v/>
      </c>
      <c r="V1300" s="19">
        <f>IF($B1300="","",TEXT($B1300,"0000"))</f>
        <v/>
      </c>
      <c r="W1300" s="19">
        <f>IF($I1300="","",IF(ISNUMBER($I1300),TEXT($I1300,"0"),$I1300))</f>
        <v/>
      </c>
    </row>
    <row r="1301">
      <c r="B1301" s="25" t="n"/>
      <c r="I1301" s="25" t="n"/>
      <c r="U1301" s="19">
        <f>IF($V1301&lt;&gt;'設定'!$C$4,N(U1300),IF(OR(NOT(COUNTIF('商品マスタ'!$B$6:$B$1005,$W1301)=0),COUNTIFS('①在庫を貼る'!$V$6:$V$10005,$V1301,'①在庫を貼る'!$W$6:$W$10005,$W1301)&gt;0),N(U1300),N(U1300)+1))</f>
        <v/>
      </c>
      <c r="V1301" s="19">
        <f>IF($B1301="","",TEXT($B1301,"0000"))</f>
        <v/>
      </c>
      <c r="W1301" s="19">
        <f>IF($I1301="","",IF(ISNUMBER($I1301),TEXT($I1301,"0"),$I1301))</f>
        <v/>
      </c>
    </row>
    <row r="1302">
      <c r="B1302" s="25" t="n"/>
      <c r="I1302" s="25" t="n"/>
      <c r="U1302" s="19">
        <f>IF($V1302&lt;&gt;'設定'!$C$4,N(U1301),IF(OR(NOT(COUNTIF('商品マスタ'!$B$6:$B$1005,$W1302)=0),COUNTIFS('①在庫を貼る'!$V$6:$V$10005,$V1302,'①在庫を貼る'!$W$6:$W$10005,$W1302)&gt;0),N(U1301),N(U1301)+1))</f>
        <v/>
      </c>
      <c r="V1302" s="19">
        <f>IF($B1302="","",TEXT($B1302,"0000"))</f>
        <v/>
      </c>
      <c r="W1302" s="19">
        <f>IF($I1302="","",IF(ISNUMBER($I1302),TEXT($I1302,"0"),$I1302))</f>
        <v/>
      </c>
    </row>
    <row r="1303">
      <c r="B1303" s="25" t="n"/>
      <c r="I1303" s="25" t="n"/>
      <c r="U1303" s="19">
        <f>IF($V1303&lt;&gt;'設定'!$C$4,N(U1302),IF(OR(NOT(COUNTIF('商品マスタ'!$B$6:$B$1005,$W1303)=0),COUNTIFS('①在庫を貼る'!$V$6:$V$10005,$V1303,'①在庫を貼る'!$W$6:$W$10005,$W1303)&gt;0),N(U1302),N(U1302)+1))</f>
        <v/>
      </c>
      <c r="V1303" s="19">
        <f>IF($B1303="","",TEXT($B1303,"0000"))</f>
        <v/>
      </c>
      <c r="W1303" s="19">
        <f>IF($I1303="","",IF(ISNUMBER($I1303),TEXT($I1303,"0"),$I1303))</f>
        <v/>
      </c>
    </row>
    <row r="1304">
      <c r="B1304" s="25" t="n"/>
      <c r="I1304" s="25" t="n"/>
      <c r="U1304" s="19">
        <f>IF($V1304&lt;&gt;'設定'!$C$4,N(U1303),IF(OR(NOT(COUNTIF('商品マスタ'!$B$6:$B$1005,$W1304)=0),COUNTIFS('①在庫を貼る'!$V$6:$V$10005,$V1304,'①在庫を貼る'!$W$6:$W$10005,$W1304)&gt;0),N(U1303),N(U1303)+1))</f>
        <v/>
      </c>
      <c r="V1304" s="19">
        <f>IF($B1304="","",TEXT($B1304,"0000"))</f>
        <v/>
      </c>
      <c r="W1304" s="19">
        <f>IF($I1304="","",IF(ISNUMBER($I1304),TEXT($I1304,"0"),$I1304))</f>
        <v/>
      </c>
    </row>
    <row r="1305">
      <c r="B1305" s="25" t="n"/>
      <c r="I1305" s="25" t="n"/>
      <c r="U1305" s="19">
        <f>IF($V1305&lt;&gt;'設定'!$C$4,N(U1304),IF(OR(NOT(COUNTIF('商品マスタ'!$B$6:$B$1005,$W1305)=0),COUNTIFS('①在庫を貼る'!$V$6:$V$10005,$V1305,'①在庫を貼る'!$W$6:$W$10005,$W1305)&gt;0),N(U1304),N(U1304)+1))</f>
        <v/>
      </c>
      <c r="V1305" s="19">
        <f>IF($B1305="","",TEXT($B1305,"0000"))</f>
        <v/>
      </c>
      <c r="W1305" s="19">
        <f>IF($I1305="","",IF(ISNUMBER($I1305),TEXT($I1305,"0"),$I1305))</f>
        <v/>
      </c>
    </row>
    <row r="1306">
      <c r="B1306" s="25" t="n"/>
      <c r="I1306" s="25" t="n"/>
      <c r="U1306" s="19">
        <f>IF($V1306&lt;&gt;'設定'!$C$4,N(U1305),IF(OR(NOT(COUNTIF('商品マスタ'!$B$6:$B$1005,$W1306)=0),COUNTIFS('①在庫を貼る'!$V$6:$V$10005,$V1306,'①在庫を貼る'!$W$6:$W$10005,$W1306)&gt;0),N(U1305),N(U1305)+1))</f>
        <v/>
      </c>
      <c r="V1306" s="19">
        <f>IF($B1306="","",TEXT($B1306,"0000"))</f>
        <v/>
      </c>
      <c r="W1306" s="19">
        <f>IF($I1306="","",IF(ISNUMBER($I1306),TEXT($I1306,"0"),$I1306))</f>
        <v/>
      </c>
    </row>
    <row r="1307">
      <c r="B1307" s="25" t="n"/>
      <c r="I1307" s="25" t="n"/>
      <c r="U1307" s="19">
        <f>IF($V1307&lt;&gt;'設定'!$C$4,N(U1306),IF(OR(NOT(COUNTIF('商品マスタ'!$B$6:$B$1005,$W1307)=0),COUNTIFS('①在庫を貼る'!$V$6:$V$10005,$V1307,'①在庫を貼る'!$W$6:$W$10005,$W1307)&gt;0),N(U1306),N(U1306)+1))</f>
        <v/>
      </c>
      <c r="V1307" s="19">
        <f>IF($B1307="","",TEXT($B1307,"0000"))</f>
        <v/>
      </c>
      <c r="W1307" s="19">
        <f>IF($I1307="","",IF(ISNUMBER($I1307),TEXT($I1307,"0"),$I1307))</f>
        <v/>
      </c>
    </row>
    <row r="1308">
      <c r="B1308" s="25" t="n"/>
      <c r="I1308" s="25" t="n"/>
      <c r="U1308" s="19">
        <f>IF($V1308&lt;&gt;'設定'!$C$4,N(U1307),IF(OR(NOT(COUNTIF('商品マスタ'!$B$6:$B$1005,$W1308)=0),COUNTIFS('①在庫を貼る'!$V$6:$V$10005,$V1308,'①在庫を貼る'!$W$6:$W$10005,$W1308)&gt;0),N(U1307),N(U1307)+1))</f>
        <v/>
      </c>
      <c r="V1308" s="19">
        <f>IF($B1308="","",TEXT($B1308,"0000"))</f>
        <v/>
      </c>
      <c r="W1308" s="19">
        <f>IF($I1308="","",IF(ISNUMBER($I1308),TEXT($I1308,"0"),$I1308))</f>
        <v/>
      </c>
    </row>
    <row r="1309">
      <c r="B1309" s="25" t="n"/>
      <c r="I1309" s="25" t="n"/>
      <c r="U1309" s="19">
        <f>IF($V1309&lt;&gt;'設定'!$C$4,N(U1308),IF(OR(NOT(COUNTIF('商品マスタ'!$B$6:$B$1005,$W1309)=0),COUNTIFS('①在庫を貼る'!$V$6:$V$10005,$V1309,'①在庫を貼る'!$W$6:$W$10005,$W1309)&gt;0),N(U1308),N(U1308)+1))</f>
        <v/>
      </c>
      <c r="V1309" s="19">
        <f>IF($B1309="","",TEXT($B1309,"0000"))</f>
        <v/>
      </c>
      <c r="W1309" s="19">
        <f>IF($I1309="","",IF(ISNUMBER($I1309),TEXT($I1309,"0"),$I1309))</f>
        <v/>
      </c>
    </row>
    <row r="1310">
      <c r="B1310" s="25" t="n"/>
      <c r="I1310" s="25" t="n"/>
      <c r="U1310" s="19">
        <f>IF($V1310&lt;&gt;'設定'!$C$4,N(U1309),IF(OR(NOT(COUNTIF('商品マスタ'!$B$6:$B$1005,$W1310)=0),COUNTIFS('①在庫を貼る'!$V$6:$V$10005,$V1310,'①在庫を貼る'!$W$6:$W$10005,$W1310)&gt;0),N(U1309),N(U1309)+1))</f>
        <v/>
      </c>
      <c r="V1310" s="19">
        <f>IF($B1310="","",TEXT($B1310,"0000"))</f>
        <v/>
      </c>
      <c r="W1310" s="19">
        <f>IF($I1310="","",IF(ISNUMBER($I1310),TEXT($I1310,"0"),$I1310))</f>
        <v/>
      </c>
    </row>
    <row r="1311">
      <c r="B1311" s="25" t="n"/>
      <c r="I1311" s="25" t="n"/>
      <c r="U1311" s="19">
        <f>IF($V1311&lt;&gt;'設定'!$C$4,N(U1310),IF(OR(NOT(COUNTIF('商品マスタ'!$B$6:$B$1005,$W1311)=0),COUNTIFS('①在庫を貼る'!$V$6:$V$10005,$V1311,'①在庫を貼る'!$W$6:$W$10005,$W1311)&gt;0),N(U1310),N(U1310)+1))</f>
        <v/>
      </c>
      <c r="V1311" s="19">
        <f>IF($B1311="","",TEXT($B1311,"0000"))</f>
        <v/>
      </c>
      <c r="W1311" s="19">
        <f>IF($I1311="","",IF(ISNUMBER($I1311),TEXT($I1311,"0"),$I1311))</f>
        <v/>
      </c>
    </row>
    <row r="1312">
      <c r="B1312" s="25" t="n"/>
      <c r="I1312" s="25" t="n"/>
      <c r="U1312" s="19">
        <f>IF($V1312&lt;&gt;'設定'!$C$4,N(U1311),IF(OR(NOT(COUNTIF('商品マスタ'!$B$6:$B$1005,$W1312)=0),COUNTIFS('①在庫を貼る'!$V$6:$V$10005,$V1312,'①在庫を貼る'!$W$6:$W$10005,$W1312)&gt;0),N(U1311),N(U1311)+1))</f>
        <v/>
      </c>
      <c r="V1312" s="19">
        <f>IF($B1312="","",TEXT($B1312,"0000"))</f>
        <v/>
      </c>
      <c r="W1312" s="19">
        <f>IF($I1312="","",IF(ISNUMBER($I1312),TEXT($I1312,"0"),$I1312))</f>
        <v/>
      </c>
    </row>
    <row r="1313">
      <c r="B1313" s="25" t="n"/>
      <c r="I1313" s="25" t="n"/>
      <c r="U1313" s="19">
        <f>IF($V1313&lt;&gt;'設定'!$C$4,N(U1312),IF(OR(NOT(COUNTIF('商品マスタ'!$B$6:$B$1005,$W1313)=0),COUNTIFS('①在庫を貼る'!$V$6:$V$10005,$V1313,'①在庫を貼る'!$W$6:$W$10005,$W1313)&gt;0),N(U1312),N(U1312)+1))</f>
        <v/>
      </c>
      <c r="V1313" s="19">
        <f>IF($B1313="","",TEXT($B1313,"0000"))</f>
        <v/>
      </c>
      <c r="W1313" s="19">
        <f>IF($I1313="","",IF(ISNUMBER($I1313),TEXT($I1313,"0"),$I1313))</f>
        <v/>
      </c>
    </row>
    <row r="1314">
      <c r="B1314" s="25" t="n"/>
      <c r="I1314" s="25" t="n"/>
      <c r="U1314" s="19">
        <f>IF($V1314&lt;&gt;'設定'!$C$4,N(U1313),IF(OR(NOT(COUNTIF('商品マスタ'!$B$6:$B$1005,$W1314)=0),COUNTIFS('①在庫を貼る'!$V$6:$V$10005,$V1314,'①在庫を貼る'!$W$6:$W$10005,$W1314)&gt;0),N(U1313),N(U1313)+1))</f>
        <v/>
      </c>
      <c r="V1314" s="19">
        <f>IF($B1314="","",TEXT($B1314,"0000"))</f>
        <v/>
      </c>
      <c r="W1314" s="19">
        <f>IF($I1314="","",IF(ISNUMBER($I1314),TEXT($I1314,"0"),$I1314))</f>
        <v/>
      </c>
    </row>
    <row r="1315">
      <c r="B1315" s="25" t="n"/>
      <c r="I1315" s="25" t="n"/>
      <c r="U1315" s="19">
        <f>IF($V1315&lt;&gt;'設定'!$C$4,N(U1314),IF(OR(NOT(COUNTIF('商品マスタ'!$B$6:$B$1005,$W1315)=0),COUNTIFS('①在庫を貼る'!$V$6:$V$10005,$V1315,'①在庫を貼る'!$W$6:$W$10005,$W1315)&gt;0),N(U1314),N(U1314)+1))</f>
        <v/>
      </c>
      <c r="V1315" s="19">
        <f>IF($B1315="","",TEXT($B1315,"0000"))</f>
        <v/>
      </c>
      <c r="W1315" s="19">
        <f>IF($I1315="","",IF(ISNUMBER($I1315),TEXT($I1315,"0"),$I1315))</f>
        <v/>
      </c>
    </row>
    <row r="1316">
      <c r="B1316" s="25" t="n"/>
      <c r="I1316" s="25" t="n"/>
      <c r="U1316" s="19">
        <f>IF($V1316&lt;&gt;'設定'!$C$4,N(U1315),IF(OR(NOT(COUNTIF('商品マスタ'!$B$6:$B$1005,$W1316)=0),COUNTIFS('①在庫を貼る'!$V$6:$V$10005,$V1316,'①在庫を貼る'!$W$6:$W$10005,$W1316)&gt;0),N(U1315),N(U1315)+1))</f>
        <v/>
      </c>
      <c r="V1316" s="19">
        <f>IF($B1316="","",TEXT($B1316,"0000"))</f>
        <v/>
      </c>
      <c r="W1316" s="19">
        <f>IF($I1316="","",IF(ISNUMBER($I1316),TEXT($I1316,"0"),$I1316))</f>
        <v/>
      </c>
    </row>
    <row r="1317">
      <c r="B1317" s="25" t="n"/>
      <c r="I1317" s="25" t="n"/>
      <c r="U1317" s="19">
        <f>IF($V1317&lt;&gt;'設定'!$C$4,N(U1316),IF(OR(NOT(COUNTIF('商品マスタ'!$B$6:$B$1005,$W1317)=0),COUNTIFS('①在庫を貼る'!$V$6:$V$10005,$V1317,'①在庫を貼る'!$W$6:$W$10005,$W1317)&gt;0),N(U1316),N(U1316)+1))</f>
        <v/>
      </c>
      <c r="V1317" s="19">
        <f>IF($B1317="","",TEXT($B1317,"0000"))</f>
        <v/>
      </c>
      <c r="W1317" s="19">
        <f>IF($I1317="","",IF(ISNUMBER($I1317),TEXT($I1317,"0"),$I1317))</f>
        <v/>
      </c>
    </row>
    <row r="1318">
      <c r="B1318" s="25" t="n"/>
      <c r="I1318" s="25" t="n"/>
      <c r="U1318" s="19">
        <f>IF($V1318&lt;&gt;'設定'!$C$4,N(U1317),IF(OR(NOT(COUNTIF('商品マスタ'!$B$6:$B$1005,$W1318)=0),COUNTIFS('①在庫を貼る'!$V$6:$V$10005,$V1318,'①在庫を貼る'!$W$6:$W$10005,$W1318)&gt;0),N(U1317),N(U1317)+1))</f>
        <v/>
      </c>
      <c r="V1318" s="19">
        <f>IF($B1318="","",TEXT($B1318,"0000"))</f>
        <v/>
      </c>
      <c r="W1318" s="19">
        <f>IF($I1318="","",IF(ISNUMBER($I1318),TEXT($I1318,"0"),$I1318))</f>
        <v/>
      </c>
    </row>
    <row r="1319">
      <c r="B1319" s="25" t="n"/>
      <c r="I1319" s="25" t="n"/>
      <c r="U1319" s="19">
        <f>IF($V1319&lt;&gt;'設定'!$C$4,N(U1318),IF(OR(NOT(COUNTIF('商品マスタ'!$B$6:$B$1005,$W1319)=0),COUNTIFS('①在庫を貼る'!$V$6:$V$10005,$V1319,'①在庫を貼る'!$W$6:$W$10005,$W1319)&gt;0),N(U1318),N(U1318)+1))</f>
        <v/>
      </c>
      <c r="V1319" s="19">
        <f>IF($B1319="","",TEXT($B1319,"0000"))</f>
        <v/>
      </c>
      <c r="W1319" s="19">
        <f>IF($I1319="","",IF(ISNUMBER($I1319),TEXT($I1319,"0"),$I1319))</f>
        <v/>
      </c>
    </row>
    <row r="1320">
      <c r="B1320" s="25" t="n"/>
      <c r="I1320" s="25" t="n"/>
      <c r="U1320" s="19">
        <f>IF($V1320&lt;&gt;'設定'!$C$4,N(U1319),IF(OR(NOT(COUNTIF('商品マスタ'!$B$6:$B$1005,$W1320)=0),COUNTIFS('①在庫を貼る'!$V$6:$V$10005,$V1320,'①在庫を貼る'!$W$6:$W$10005,$W1320)&gt;0),N(U1319),N(U1319)+1))</f>
        <v/>
      </c>
      <c r="V1320" s="19">
        <f>IF($B1320="","",TEXT($B1320,"0000"))</f>
        <v/>
      </c>
      <c r="W1320" s="19">
        <f>IF($I1320="","",IF(ISNUMBER($I1320),TEXT($I1320,"0"),$I1320))</f>
        <v/>
      </c>
    </row>
    <row r="1321">
      <c r="B1321" s="25" t="n"/>
      <c r="I1321" s="25" t="n"/>
      <c r="U1321" s="19">
        <f>IF($V1321&lt;&gt;'設定'!$C$4,N(U1320),IF(OR(NOT(COUNTIF('商品マスタ'!$B$6:$B$1005,$W1321)=0),COUNTIFS('①在庫を貼る'!$V$6:$V$10005,$V1321,'①在庫を貼る'!$W$6:$W$10005,$W1321)&gt;0),N(U1320),N(U1320)+1))</f>
        <v/>
      </c>
      <c r="V1321" s="19">
        <f>IF($B1321="","",TEXT($B1321,"0000"))</f>
        <v/>
      </c>
      <c r="W1321" s="19">
        <f>IF($I1321="","",IF(ISNUMBER($I1321),TEXT($I1321,"0"),$I1321))</f>
        <v/>
      </c>
    </row>
    <row r="1322">
      <c r="B1322" s="25" t="n"/>
      <c r="I1322" s="25" t="n"/>
      <c r="U1322" s="19">
        <f>IF($V1322&lt;&gt;'設定'!$C$4,N(U1321),IF(OR(NOT(COUNTIF('商品マスタ'!$B$6:$B$1005,$W1322)=0),COUNTIFS('①在庫を貼る'!$V$6:$V$10005,$V1322,'①在庫を貼る'!$W$6:$W$10005,$W1322)&gt;0),N(U1321),N(U1321)+1))</f>
        <v/>
      </c>
      <c r="V1322" s="19">
        <f>IF($B1322="","",TEXT($B1322,"0000"))</f>
        <v/>
      </c>
      <c r="W1322" s="19">
        <f>IF($I1322="","",IF(ISNUMBER($I1322),TEXT($I1322,"0"),$I1322))</f>
        <v/>
      </c>
    </row>
    <row r="1323">
      <c r="B1323" s="25" t="n"/>
      <c r="I1323" s="25" t="n"/>
      <c r="U1323" s="19">
        <f>IF($V1323&lt;&gt;'設定'!$C$4,N(U1322),IF(OR(NOT(COUNTIF('商品マスタ'!$B$6:$B$1005,$W1323)=0),COUNTIFS('①在庫を貼る'!$V$6:$V$10005,$V1323,'①在庫を貼る'!$W$6:$W$10005,$W1323)&gt;0),N(U1322),N(U1322)+1))</f>
        <v/>
      </c>
      <c r="V1323" s="19">
        <f>IF($B1323="","",TEXT($B1323,"0000"))</f>
        <v/>
      </c>
      <c r="W1323" s="19">
        <f>IF($I1323="","",IF(ISNUMBER($I1323),TEXT($I1323,"0"),$I1323))</f>
        <v/>
      </c>
    </row>
    <row r="1324">
      <c r="B1324" s="25" t="n"/>
      <c r="I1324" s="25" t="n"/>
      <c r="U1324" s="19">
        <f>IF($V1324&lt;&gt;'設定'!$C$4,N(U1323),IF(OR(NOT(COUNTIF('商品マスタ'!$B$6:$B$1005,$W1324)=0),COUNTIFS('①在庫を貼る'!$V$6:$V$10005,$V1324,'①在庫を貼る'!$W$6:$W$10005,$W1324)&gt;0),N(U1323),N(U1323)+1))</f>
        <v/>
      </c>
      <c r="V1324" s="19">
        <f>IF($B1324="","",TEXT($B1324,"0000"))</f>
        <v/>
      </c>
      <c r="W1324" s="19">
        <f>IF($I1324="","",IF(ISNUMBER($I1324),TEXT($I1324,"0"),$I1324))</f>
        <v/>
      </c>
    </row>
    <row r="1325">
      <c r="B1325" s="25" t="n"/>
      <c r="I1325" s="25" t="n"/>
      <c r="U1325" s="19">
        <f>IF($V1325&lt;&gt;'設定'!$C$4,N(U1324),IF(OR(NOT(COUNTIF('商品マスタ'!$B$6:$B$1005,$W1325)=0),COUNTIFS('①在庫を貼る'!$V$6:$V$10005,$V1325,'①在庫を貼る'!$W$6:$W$10005,$W1325)&gt;0),N(U1324),N(U1324)+1))</f>
        <v/>
      </c>
      <c r="V1325" s="19">
        <f>IF($B1325="","",TEXT($B1325,"0000"))</f>
        <v/>
      </c>
      <c r="W1325" s="19">
        <f>IF($I1325="","",IF(ISNUMBER($I1325),TEXT($I1325,"0"),$I1325))</f>
        <v/>
      </c>
    </row>
    <row r="1326">
      <c r="B1326" s="25" t="n"/>
      <c r="I1326" s="25" t="n"/>
      <c r="U1326" s="19">
        <f>IF($V1326&lt;&gt;'設定'!$C$4,N(U1325),IF(OR(NOT(COUNTIF('商品マスタ'!$B$6:$B$1005,$W1326)=0),COUNTIFS('①在庫を貼る'!$V$6:$V$10005,$V1326,'①在庫を貼る'!$W$6:$W$10005,$W1326)&gt;0),N(U1325),N(U1325)+1))</f>
        <v/>
      </c>
      <c r="V1326" s="19">
        <f>IF($B1326="","",TEXT($B1326,"0000"))</f>
        <v/>
      </c>
      <c r="W1326" s="19">
        <f>IF($I1326="","",IF(ISNUMBER($I1326),TEXT($I1326,"0"),$I1326))</f>
        <v/>
      </c>
    </row>
    <row r="1327">
      <c r="B1327" s="25" t="n"/>
      <c r="I1327" s="25" t="n"/>
      <c r="U1327" s="19">
        <f>IF($V1327&lt;&gt;'設定'!$C$4,N(U1326),IF(OR(NOT(COUNTIF('商品マスタ'!$B$6:$B$1005,$W1327)=0),COUNTIFS('①在庫を貼る'!$V$6:$V$10005,$V1327,'①在庫を貼る'!$W$6:$W$10005,$W1327)&gt;0),N(U1326),N(U1326)+1))</f>
        <v/>
      </c>
      <c r="V1327" s="19">
        <f>IF($B1327="","",TEXT($B1327,"0000"))</f>
        <v/>
      </c>
      <c r="W1327" s="19">
        <f>IF($I1327="","",IF(ISNUMBER($I1327),TEXT($I1327,"0"),$I1327))</f>
        <v/>
      </c>
    </row>
    <row r="1328">
      <c r="B1328" s="25" t="n"/>
      <c r="I1328" s="25" t="n"/>
      <c r="U1328" s="19">
        <f>IF($V1328&lt;&gt;'設定'!$C$4,N(U1327),IF(OR(NOT(COUNTIF('商品マスタ'!$B$6:$B$1005,$W1328)=0),COUNTIFS('①在庫を貼る'!$V$6:$V$10005,$V1328,'①在庫を貼る'!$W$6:$W$10005,$W1328)&gt;0),N(U1327),N(U1327)+1))</f>
        <v/>
      </c>
      <c r="V1328" s="19">
        <f>IF($B1328="","",TEXT($B1328,"0000"))</f>
        <v/>
      </c>
      <c r="W1328" s="19">
        <f>IF($I1328="","",IF(ISNUMBER($I1328),TEXT($I1328,"0"),$I1328))</f>
        <v/>
      </c>
    </row>
    <row r="1329">
      <c r="B1329" s="25" t="n"/>
      <c r="I1329" s="25" t="n"/>
      <c r="U1329" s="19">
        <f>IF($V1329&lt;&gt;'設定'!$C$4,N(U1328),IF(OR(NOT(COUNTIF('商品マスタ'!$B$6:$B$1005,$W1329)=0),COUNTIFS('①在庫を貼る'!$V$6:$V$10005,$V1329,'①在庫を貼る'!$W$6:$W$10005,$W1329)&gt;0),N(U1328),N(U1328)+1))</f>
        <v/>
      </c>
      <c r="V1329" s="19">
        <f>IF($B1329="","",TEXT($B1329,"0000"))</f>
        <v/>
      </c>
      <c r="W1329" s="19">
        <f>IF($I1329="","",IF(ISNUMBER($I1329),TEXT($I1329,"0"),$I1329))</f>
        <v/>
      </c>
    </row>
    <row r="1330">
      <c r="B1330" s="25" t="n"/>
      <c r="I1330" s="25" t="n"/>
      <c r="U1330" s="19">
        <f>IF($V1330&lt;&gt;'設定'!$C$4,N(U1329),IF(OR(NOT(COUNTIF('商品マスタ'!$B$6:$B$1005,$W1330)=0),COUNTIFS('①在庫を貼る'!$V$6:$V$10005,$V1330,'①在庫を貼る'!$W$6:$W$10005,$W1330)&gt;0),N(U1329),N(U1329)+1))</f>
        <v/>
      </c>
      <c r="V1330" s="19">
        <f>IF($B1330="","",TEXT($B1330,"0000"))</f>
        <v/>
      </c>
      <c r="W1330" s="19">
        <f>IF($I1330="","",IF(ISNUMBER($I1330),TEXT($I1330,"0"),$I1330))</f>
        <v/>
      </c>
    </row>
    <row r="1331">
      <c r="B1331" s="25" t="n"/>
      <c r="I1331" s="25" t="n"/>
      <c r="U1331" s="19">
        <f>IF($V1331&lt;&gt;'設定'!$C$4,N(U1330),IF(OR(NOT(COUNTIF('商品マスタ'!$B$6:$B$1005,$W1331)=0),COUNTIFS('①在庫を貼る'!$V$6:$V$10005,$V1331,'①在庫を貼る'!$W$6:$W$10005,$W1331)&gt;0),N(U1330),N(U1330)+1))</f>
        <v/>
      </c>
      <c r="V1331" s="19">
        <f>IF($B1331="","",TEXT($B1331,"0000"))</f>
        <v/>
      </c>
      <c r="W1331" s="19">
        <f>IF($I1331="","",IF(ISNUMBER($I1331),TEXT($I1331,"0"),$I1331))</f>
        <v/>
      </c>
    </row>
    <row r="1332">
      <c r="B1332" s="25" t="n"/>
      <c r="I1332" s="25" t="n"/>
      <c r="U1332" s="19">
        <f>IF($V1332&lt;&gt;'設定'!$C$4,N(U1331),IF(OR(NOT(COUNTIF('商品マスタ'!$B$6:$B$1005,$W1332)=0),COUNTIFS('①在庫を貼る'!$V$6:$V$10005,$V1332,'①在庫を貼る'!$W$6:$W$10005,$W1332)&gt;0),N(U1331),N(U1331)+1))</f>
        <v/>
      </c>
      <c r="V1332" s="19">
        <f>IF($B1332="","",TEXT($B1332,"0000"))</f>
        <v/>
      </c>
      <c r="W1332" s="19">
        <f>IF($I1332="","",IF(ISNUMBER($I1332),TEXT($I1332,"0"),$I1332))</f>
        <v/>
      </c>
    </row>
    <row r="1333">
      <c r="B1333" s="25" t="n"/>
      <c r="I1333" s="25" t="n"/>
      <c r="U1333" s="19">
        <f>IF($V1333&lt;&gt;'設定'!$C$4,N(U1332),IF(OR(NOT(COUNTIF('商品マスタ'!$B$6:$B$1005,$W1333)=0),COUNTIFS('①在庫を貼る'!$V$6:$V$10005,$V1333,'①在庫を貼る'!$W$6:$W$10005,$W1333)&gt;0),N(U1332),N(U1332)+1))</f>
        <v/>
      </c>
      <c r="V1333" s="19">
        <f>IF($B1333="","",TEXT($B1333,"0000"))</f>
        <v/>
      </c>
      <c r="W1333" s="19">
        <f>IF($I1333="","",IF(ISNUMBER($I1333),TEXT($I1333,"0"),$I1333))</f>
        <v/>
      </c>
    </row>
    <row r="1334">
      <c r="B1334" s="25" t="n"/>
      <c r="I1334" s="25" t="n"/>
      <c r="U1334" s="19">
        <f>IF($V1334&lt;&gt;'設定'!$C$4,N(U1333),IF(OR(NOT(COUNTIF('商品マスタ'!$B$6:$B$1005,$W1334)=0),COUNTIFS('①在庫を貼る'!$V$6:$V$10005,$V1334,'①在庫を貼る'!$W$6:$W$10005,$W1334)&gt;0),N(U1333),N(U1333)+1))</f>
        <v/>
      </c>
      <c r="V1334" s="19">
        <f>IF($B1334="","",TEXT($B1334,"0000"))</f>
        <v/>
      </c>
      <c r="W1334" s="19">
        <f>IF($I1334="","",IF(ISNUMBER($I1334),TEXT($I1334,"0"),$I1334))</f>
        <v/>
      </c>
    </row>
    <row r="1335">
      <c r="B1335" s="25" t="n"/>
      <c r="I1335" s="25" t="n"/>
      <c r="U1335" s="19">
        <f>IF($V1335&lt;&gt;'設定'!$C$4,N(U1334),IF(OR(NOT(COUNTIF('商品マスタ'!$B$6:$B$1005,$W1335)=0),COUNTIFS('①在庫を貼る'!$V$6:$V$10005,$V1335,'①在庫を貼る'!$W$6:$W$10005,$W1335)&gt;0),N(U1334),N(U1334)+1))</f>
        <v/>
      </c>
      <c r="V1335" s="19">
        <f>IF($B1335="","",TEXT($B1335,"0000"))</f>
        <v/>
      </c>
      <c r="W1335" s="19">
        <f>IF($I1335="","",IF(ISNUMBER($I1335),TEXT($I1335,"0"),$I1335))</f>
        <v/>
      </c>
    </row>
    <row r="1336">
      <c r="B1336" s="25" t="n"/>
      <c r="I1336" s="25" t="n"/>
      <c r="U1336" s="19">
        <f>IF($V1336&lt;&gt;'設定'!$C$4,N(U1335),IF(OR(NOT(COUNTIF('商品マスタ'!$B$6:$B$1005,$W1336)=0),COUNTIFS('①在庫を貼る'!$V$6:$V$10005,$V1336,'①在庫を貼る'!$W$6:$W$10005,$W1336)&gt;0),N(U1335),N(U1335)+1))</f>
        <v/>
      </c>
      <c r="V1336" s="19">
        <f>IF($B1336="","",TEXT($B1336,"0000"))</f>
        <v/>
      </c>
      <c r="W1336" s="19">
        <f>IF($I1336="","",IF(ISNUMBER($I1336),TEXT($I1336,"0"),$I1336))</f>
        <v/>
      </c>
    </row>
    <row r="1337">
      <c r="B1337" s="25" t="n"/>
      <c r="I1337" s="25" t="n"/>
      <c r="U1337" s="19">
        <f>IF($V1337&lt;&gt;'設定'!$C$4,N(U1336),IF(OR(NOT(COUNTIF('商品マスタ'!$B$6:$B$1005,$W1337)=0),COUNTIFS('①在庫を貼る'!$V$6:$V$10005,$V1337,'①在庫を貼る'!$W$6:$W$10005,$W1337)&gt;0),N(U1336),N(U1336)+1))</f>
        <v/>
      </c>
      <c r="V1337" s="19">
        <f>IF($B1337="","",TEXT($B1337,"0000"))</f>
        <v/>
      </c>
      <c r="W1337" s="19">
        <f>IF($I1337="","",IF(ISNUMBER($I1337),TEXT($I1337,"0"),$I1337))</f>
        <v/>
      </c>
    </row>
    <row r="1338">
      <c r="B1338" s="25" t="n"/>
      <c r="I1338" s="25" t="n"/>
      <c r="U1338" s="19">
        <f>IF($V1338&lt;&gt;'設定'!$C$4,N(U1337),IF(OR(NOT(COUNTIF('商品マスタ'!$B$6:$B$1005,$W1338)=0),COUNTIFS('①在庫を貼る'!$V$6:$V$10005,$V1338,'①在庫を貼る'!$W$6:$W$10005,$W1338)&gt;0),N(U1337),N(U1337)+1))</f>
        <v/>
      </c>
      <c r="V1338" s="19">
        <f>IF($B1338="","",TEXT($B1338,"0000"))</f>
        <v/>
      </c>
      <c r="W1338" s="19">
        <f>IF($I1338="","",IF(ISNUMBER($I1338),TEXT($I1338,"0"),$I1338))</f>
        <v/>
      </c>
    </row>
    <row r="1339">
      <c r="B1339" s="25" t="n"/>
      <c r="I1339" s="25" t="n"/>
      <c r="U1339" s="19">
        <f>IF($V1339&lt;&gt;'設定'!$C$4,N(U1338),IF(OR(NOT(COUNTIF('商品マスタ'!$B$6:$B$1005,$W1339)=0),COUNTIFS('①在庫を貼る'!$V$6:$V$10005,$V1339,'①在庫を貼る'!$W$6:$W$10005,$W1339)&gt;0),N(U1338),N(U1338)+1))</f>
        <v/>
      </c>
      <c r="V1339" s="19">
        <f>IF($B1339="","",TEXT($B1339,"0000"))</f>
        <v/>
      </c>
      <c r="W1339" s="19">
        <f>IF($I1339="","",IF(ISNUMBER($I1339),TEXT($I1339,"0"),$I1339))</f>
        <v/>
      </c>
    </row>
    <row r="1340">
      <c r="B1340" s="25" t="n"/>
      <c r="I1340" s="25" t="n"/>
      <c r="U1340" s="19">
        <f>IF($V1340&lt;&gt;'設定'!$C$4,N(U1339),IF(OR(NOT(COUNTIF('商品マスタ'!$B$6:$B$1005,$W1340)=0),COUNTIFS('①在庫を貼る'!$V$6:$V$10005,$V1340,'①在庫を貼る'!$W$6:$W$10005,$W1340)&gt;0),N(U1339),N(U1339)+1))</f>
        <v/>
      </c>
      <c r="V1340" s="19">
        <f>IF($B1340="","",TEXT($B1340,"0000"))</f>
        <v/>
      </c>
      <c r="W1340" s="19">
        <f>IF($I1340="","",IF(ISNUMBER($I1340),TEXT($I1340,"0"),$I1340))</f>
        <v/>
      </c>
    </row>
    <row r="1341">
      <c r="B1341" s="25" t="n"/>
      <c r="I1341" s="25" t="n"/>
      <c r="U1341" s="19">
        <f>IF($V1341&lt;&gt;'設定'!$C$4,N(U1340),IF(OR(NOT(COUNTIF('商品マスタ'!$B$6:$B$1005,$W1341)=0),COUNTIFS('①在庫を貼る'!$V$6:$V$10005,$V1341,'①在庫を貼る'!$W$6:$W$10005,$W1341)&gt;0),N(U1340),N(U1340)+1))</f>
        <v/>
      </c>
      <c r="V1341" s="19">
        <f>IF($B1341="","",TEXT($B1341,"0000"))</f>
        <v/>
      </c>
      <c r="W1341" s="19">
        <f>IF($I1341="","",IF(ISNUMBER($I1341),TEXT($I1341,"0"),$I1341))</f>
        <v/>
      </c>
    </row>
    <row r="1342">
      <c r="B1342" s="25" t="n"/>
      <c r="I1342" s="25" t="n"/>
      <c r="U1342" s="19">
        <f>IF($V1342&lt;&gt;'設定'!$C$4,N(U1341),IF(OR(NOT(COUNTIF('商品マスタ'!$B$6:$B$1005,$W1342)=0),COUNTIFS('①在庫を貼る'!$V$6:$V$10005,$V1342,'①在庫を貼る'!$W$6:$W$10005,$W1342)&gt;0),N(U1341),N(U1341)+1))</f>
        <v/>
      </c>
      <c r="V1342" s="19">
        <f>IF($B1342="","",TEXT($B1342,"0000"))</f>
        <v/>
      </c>
      <c r="W1342" s="19">
        <f>IF($I1342="","",IF(ISNUMBER($I1342),TEXT($I1342,"0"),$I1342))</f>
        <v/>
      </c>
    </row>
    <row r="1343">
      <c r="B1343" s="25" t="n"/>
      <c r="I1343" s="25" t="n"/>
      <c r="U1343" s="19">
        <f>IF($V1343&lt;&gt;'設定'!$C$4,N(U1342),IF(OR(NOT(COUNTIF('商品マスタ'!$B$6:$B$1005,$W1343)=0),COUNTIFS('①在庫を貼る'!$V$6:$V$10005,$V1343,'①在庫を貼る'!$W$6:$W$10005,$W1343)&gt;0),N(U1342),N(U1342)+1))</f>
        <v/>
      </c>
      <c r="V1343" s="19">
        <f>IF($B1343="","",TEXT($B1343,"0000"))</f>
        <v/>
      </c>
      <c r="W1343" s="19">
        <f>IF($I1343="","",IF(ISNUMBER($I1343),TEXT($I1343,"0"),$I1343))</f>
        <v/>
      </c>
    </row>
    <row r="1344">
      <c r="B1344" s="25" t="n"/>
      <c r="I1344" s="25" t="n"/>
      <c r="U1344" s="19">
        <f>IF($V1344&lt;&gt;'設定'!$C$4,N(U1343),IF(OR(NOT(COUNTIF('商品マスタ'!$B$6:$B$1005,$W1344)=0),COUNTIFS('①在庫を貼る'!$V$6:$V$10005,$V1344,'①在庫を貼る'!$W$6:$W$10005,$W1344)&gt;0),N(U1343),N(U1343)+1))</f>
        <v/>
      </c>
      <c r="V1344" s="19">
        <f>IF($B1344="","",TEXT($B1344,"0000"))</f>
        <v/>
      </c>
      <c r="W1344" s="19">
        <f>IF($I1344="","",IF(ISNUMBER($I1344),TEXT($I1344,"0"),$I1344))</f>
        <v/>
      </c>
    </row>
    <row r="1345">
      <c r="B1345" s="25" t="n"/>
      <c r="I1345" s="25" t="n"/>
      <c r="U1345" s="19">
        <f>IF($V1345&lt;&gt;'設定'!$C$4,N(U1344),IF(OR(NOT(COUNTIF('商品マスタ'!$B$6:$B$1005,$W1345)=0),COUNTIFS('①在庫を貼る'!$V$6:$V$10005,$V1345,'①在庫を貼る'!$W$6:$W$10005,$W1345)&gt;0),N(U1344),N(U1344)+1))</f>
        <v/>
      </c>
      <c r="V1345" s="19">
        <f>IF($B1345="","",TEXT($B1345,"0000"))</f>
        <v/>
      </c>
      <c r="W1345" s="19">
        <f>IF($I1345="","",IF(ISNUMBER($I1345),TEXT($I1345,"0"),$I1345))</f>
        <v/>
      </c>
    </row>
    <row r="1346">
      <c r="B1346" s="25" t="n"/>
      <c r="I1346" s="25" t="n"/>
      <c r="U1346" s="19">
        <f>IF($V1346&lt;&gt;'設定'!$C$4,N(U1345),IF(OR(NOT(COUNTIF('商品マスタ'!$B$6:$B$1005,$W1346)=0),COUNTIFS('①在庫を貼る'!$V$6:$V$10005,$V1346,'①在庫を貼る'!$W$6:$W$10005,$W1346)&gt;0),N(U1345),N(U1345)+1))</f>
        <v/>
      </c>
      <c r="V1346" s="19">
        <f>IF($B1346="","",TEXT($B1346,"0000"))</f>
        <v/>
      </c>
      <c r="W1346" s="19">
        <f>IF($I1346="","",IF(ISNUMBER($I1346),TEXT($I1346,"0"),$I1346))</f>
        <v/>
      </c>
    </row>
    <row r="1347">
      <c r="B1347" s="25" t="n"/>
      <c r="I1347" s="25" t="n"/>
      <c r="U1347" s="19">
        <f>IF($V1347&lt;&gt;'設定'!$C$4,N(U1346),IF(OR(NOT(COUNTIF('商品マスタ'!$B$6:$B$1005,$W1347)=0),COUNTIFS('①在庫を貼る'!$V$6:$V$10005,$V1347,'①在庫を貼る'!$W$6:$W$10005,$W1347)&gt;0),N(U1346),N(U1346)+1))</f>
        <v/>
      </c>
      <c r="V1347" s="19">
        <f>IF($B1347="","",TEXT($B1347,"0000"))</f>
        <v/>
      </c>
      <c r="W1347" s="19">
        <f>IF($I1347="","",IF(ISNUMBER($I1347),TEXT($I1347,"0"),$I1347))</f>
        <v/>
      </c>
    </row>
    <row r="1348">
      <c r="B1348" s="25" t="n"/>
      <c r="I1348" s="25" t="n"/>
      <c r="U1348" s="19">
        <f>IF($V1348&lt;&gt;'設定'!$C$4,N(U1347),IF(OR(NOT(COUNTIF('商品マスタ'!$B$6:$B$1005,$W1348)=0),COUNTIFS('①在庫を貼る'!$V$6:$V$10005,$V1348,'①在庫を貼る'!$W$6:$W$10005,$W1348)&gt;0),N(U1347),N(U1347)+1))</f>
        <v/>
      </c>
      <c r="V1348" s="19">
        <f>IF($B1348="","",TEXT($B1348,"0000"))</f>
        <v/>
      </c>
      <c r="W1348" s="19">
        <f>IF($I1348="","",IF(ISNUMBER($I1348),TEXT($I1348,"0"),$I1348))</f>
        <v/>
      </c>
    </row>
    <row r="1349">
      <c r="B1349" s="25" t="n"/>
      <c r="I1349" s="25" t="n"/>
      <c r="U1349" s="19">
        <f>IF($V1349&lt;&gt;'設定'!$C$4,N(U1348),IF(OR(NOT(COUNTIF('商品マスタ'!$B$6:$B$1005,$W1349)=0),COUNTIFS('①在庫を貼る'!$V$6:$V$10005,$V1349,'①在庫を貼る'!$W$6:$W$10005,$W1349)&gt;0),N(U1348),N(U1348)+1))</f>
        <v/>
      </c>
      <c r="V1349" s="19">
        <f>IF($B1349="","",TEXT($B1349,"0000"))</f>
        <v/>
      </c>
      <c r="W1349" s="19">
        <f>IF($I1349="","",IF(ISNUMBER($I1349),TEXT($I1349,"0"),$I1349))</f>
        <v/>
      </c>
    </row>
    <row r="1350">
      <c r="B1350" s="25" t="n"/>
      <c r="I1350" s="25" t="n"/>
      <c r="U1350" s="19">
        <f>IF($V1350&lt;&gt;'設定'!$C$4,N(U1349),IF(OR(NOT(COUNTIF('商品マスタ'!$B$6:$B$1005,$W1350)=0),COUNTIFS('①在庫を貼る'!$V$6:$V$10005,$V1350,'①在庫を貼る'!$W$6:$W$10005,$W1350)&gt;0),N(U1349),N(U1349)+1))</f>
        <v/>
      </c>
      <c r="V1350" s="19">
        <f>IF($B1350="","",TEXT($B1350,"0000"))</f>
        <v/>
      </c>
      <c r="W1350" s="19">
        <f>IF($I1350="","",IF(ISNUMBER($I1350),TEXT($I1350,"0"),$I1350))</f>
        <v/>
      </c>
    </row>
    <row r="1351">
      <c r="B1351" s="25" t="n"/>
      <c r="I1351" s="25" t="n"/>
      <c r="U1351" s="19">
        <f>IF($V1351&lt;&gt;'設定'!$C$4,N(U1350),IF(OR(NOT(COUNTIF('商品マスタ'!$B$6:$B$1005,$W1351)=0),COUNTIFS('①在庫を貼る'!$V$6:$V$10005,$V1351,'①在庫を貼る'!$W$6:$W$10005,$W1351)&gt;0),N(U1350),N(U1350)+1))</f>
        <v/>
      </c>
      <c r="V1351" s="19">
        <f>IF($B1351="","",TEXT($B1351,"0000"))</f>
        <v/>
      </c>
      <c r="W1351" s="19">
        <f>IF($I1351="","",IF(ISNUMBER($I1351),TEXT($I1351,"0"),$I1351))</f>
        <v/>
      </c>
    </row>
    <row r="1352">
      <c r="B1352" s="25" t="n"/>
      <c r="I1352" s="25" t="n"/>
      <c r="U1352" s="19">
        <f>IF($V1352&lt;&gt;'設定'!$C$4,N(U1351),IF(OR(NOT(COUNTIF('商品マスタ'!$B$6:$B$1005,$W1352)=0),COUNTIFS('①在庫を貼る'!$V$6:$V$10005,$V1352,'①在庫を貼る'!$W$6:$W$10005,$W1352)&gt;0),N(U1351),N(U1351)+1))</f>
        <v/>
      </c>
      <c r="V1352" s="19">
        <f>IF($B1352="","",TEXT($B1352,"0000"))</f>
        <v/>
      </c>
      <c r="W1352" s="19">
        <f>IF($I1352="","",IF(ISNUMBER($I1352),TEXT($I1352,"0"),$I1352))</f>
        <v/>
      </c>
    </row>
    <row r="1353">
      <c r="B1353" s="25" t="n"/>
      <c r="I1353" s="25" t="n"/>
      <c r="U1353" s="19">
        <f>IF($V1353&lt;&gt;'設定'!$C$4,N(U1352),IF(OR(NOT(COUNTIF('商品マスタ'!$B$6:$B$1005,$W1353)=0),COUNTIFS('①在庫を貼る'!$V$6:$V$10005,$V1353,'①在庫を貼る'!$W$6:$W$10005,$W1353)&gt;0),N(U1352),N(U1352)+1))</f>
        <v/>
      </c>
      <c r="V1353" s="19">
        <f>IF($B1353="","",TEXT($B1353,"0000"))</f>
        <v/>
      </c>
      <c r="W1353" s="19">
        <f>IF($I1353="","",IF(ISNUMBER($I1353),TEXT($I1353,"0"),$I1353))</f>
        <v/>
      </c>
    </row>
    <row r="1354">
      <c r="B1354" s="25" t="n"/>
      <c r="I1354" s="25" t="n"/>
      <c r="U1354" s="19">
        <f>IF($V1354&lt;&gt;'設定'!$C$4,N(U1353),IF(OR(NOT(COUNTIF('商品マスタ'!$B$6:$B$1005,$W1354)=0),COUNTIFS('①在庫を貼る'!$V$6:$V$10005,$V1354,'①在庫を貼る'!$W$6:$W$10005,$W1354)&gt;0),N(U1353),N(U1353)+1))</f>
        <v/>
      </c>
      <c r="V1354" s="19">
        <f>IF($B1354="","",TEXT($B1354,"0000"))</f>
        <v/>
      </c>
      <c r="W1354" s="19">
        <f>IF($I1354="","",IF(ISNUMBER($I1354),TEXT($I1354,"0"),$I1354))</f>
        <v/>
      </c>
    </row>
    <row r="1355">
      <c r="B1355" s="25" t="n"/>
      <c r="I1355" s="25" t="n"/>
      <c r="U1355" s="19">
        <f>IF($V1355&lt;&gt;'設定'!$C$4,N(U1354),IF(OR(NOT(COUNTIF('商品マスタ'!$B$6:$B$1005,$W1355)=0),COUNTIFS('①在庫を貼る'!$V$6:$V$10005,$V1355,'①在庫を貼る'!$W$6:$W$10005,$W1355)&gt;0),N(U1354),N(U1354)+1))</f>
        <v/>
      </c>
      <c r="V1355" s="19">
        <f>IF($B1355="","",TEXT($B1355,"0000"))</f>
        <v/>
      </c>
      <c r="W1355" s="19">
        <f>IF($I1355="","",IF(ISNUMBER($I1355),TEXT($I1355,"0"),$I1355))</f>
        <v/>
      </c>
    </row>
    <row r="1356">
      <c r="B1356" s="25" t="n"/>
      <c r="I1356" s="25" t="n"/>
      <c r="U1356" s="19">
        <f>IF($V1356&lt;&gt;'設定'!$C$4,N(U1355),IF(OR(NOT(COUNTIF('商品マスタ'!$B$6:$B$1005,$W1356)=0),COUNTIFS('①在庫を貼る'!$V$6:$V$10005,$V1356,'①在庫を貼る'!$W$6:$W$10005,$W1356)&gt;0),N(U1355),N(U1355)+1))</f>
        <v/>
      </c>
      <c r="V1356" s="19">
        <f>IF($B1356="","",TEXT($B1356,"0000"))</f>
        <v/>
      </c>
      <c r="W1356" s="19">
        <f>IF($I1356="","",IF(ISNUMBER($I1356),TEXT($I1356,"0"),$I1356))</f>
        <v/>
      </c>
    </row>
    <row r="1357">
      <c r="B1357" s="25" t="n"/>
      <c r="I1357" s="25" t="n"/>
      <c r="U1357" s="19">
        <f>IF($V1357&lt;&gt;'設定'!$C$4,N(U1356),IF(OR(NOT(COUNTIF('商品マスタ'!$B$6:$B$1005,$W1357)=0),COUNTIFS('①在庫を貼る'!$V$6:$V$10005,$V1357,'①在庫を貼る'!$W$6:$W$10005,$W1357)&gt;0),N(U1356),N(U1356)+1))</f>
        <v/>
      </c>
      <c r="V1357" s="19">
        <f>IF($B1357="","",TEXT($B1357,"0000"))</f>
        <v/>
      </c>
      <c r="W1357" s="19">
        <f>IF($I1357="","",IF(ISNUMBER($I1357),TEXT($I1357,"0"),$I1357))</f>
        <v/>
      </c>
    </row>
    <row r="1358">
      <c r="B1358" s="25" t="n"/>
      <c r="I1358" s="25" t="n"/>
      <c r="U1358" s="19">
        <f>IF($V1358&lt;&gt;'設定'!$C$4,N(U1357),IF(OR(NOT(COUNTIF('商品マスタ'!$B$6:$B$1005,$W1358)=0),COUNTIFS('①在庫を貼る'!$V$6:$V$10005,$V1358,'①在庫を貼る'!$W$6:$W$10005,$W1358)&gt;0),N(U1357),N(U1357)+1))</f>
        <v/>
      </c>
      <c r="V1358" s="19">
        <f>IF($B1358="","",TEXT($B1358,"0000"))</f>
        <v/>
      </c>
      <c r="W1358" s="19">
        <f>IF($I1358="","",IF(ISNUMBER($I1358),TEXT($I1358,"0"),$I1358))</f>
        <v/>
      </c>
    </row>
    <row r="1359">
      <c r="B1359" s="25" t="n"/>
      <c r="I1359" s="25" t="n"/>
      <c r="U1359" s="19">
        <f>IF($V1359&lt;&gt;'設定'!$C$4,N(U1358),IF(OR(NOT(COUNTIF('商品マスタ'!$B$6:$B$1005,$W1359)=0),COUNTIFS('①在庫を貼る'!$V$6:$V$10005,$V1359,'①在庫を貼る'!$W$6:$W$10005,$W1359)&gt;0),N(U1358),N(U1358)+1))</f>
        <v/>
      </c>
      <c r="V1359" s="19">
        <f>IF($B1359="","",TEXT($B1359,"0000"))</f>
        <v/>
      </c>
      <c r="W1359" s="19">
        <f>IF($I1359="","",IF(ISNUMBER($I1359),TEXT($I1359,"0"),$I1359))</f>
        <v/>
      </c>
    </row>
    <row r="1360">
      <c r="B1360" s="25" t="n"/>
      <c r="I1360" s="25" t="n"/>
      <c r="U1360" s="19">
        <f>IF($V1360&lt;&gt;'設定'!$C$4,N(U1359),IF(OR(NOT(COUNTIF('商品マスタ'!$B$6:$B$1005,$W1360)=0),COUNTIFS('①在庫を貼る'!$V$6:$V$10005,$V1360,'①在庫を貼る'!$W$6:$W$10005,$W1360)&gt;0),N(U1359),N(U1359)+1))</f>
        <v/>
      </c>
      <c r="V1360" s="19">
        <f>IF($B1360="","",TEXT($B1360,"0000"))</f>
        <v/>
      </c>
      <c r="W1360" s="19">
        <f>IF($I1360="","",IF(ISNUMBER($I1360),TEXT($I1360,"0"),$I1360))</f>
        <v/>
      </c>
    </row>
    <row r="1361">
      <c r="B1361" s="25" t="n"/>
      <c r="I1361" s="25" t="n"/>
      <c r="U1361" s="19">
        <f>IF($V1361&lt;&gt;'設定'!$C$4,N(U1360),IF(OR(NOT(COUNTIF('商品マスタ'!$B$6:$B$1005,$W1361)=0),COUNTIFS('①在庫を貼る'!$V$6:$V$10005,$V1361,'①在庫を貼る'!$W$6:$W$10005,$W1361)&gt;0),N(U1360),N(U1360)+1))</f>
        <v/>
      </c>
      <c r="V1361" s="19">
        <f>IF($B1361="","",TEXT($B1361,"0000"))</f>
        <v/>
      </c>
      <c r="W1361" s="19">
        <f>IF($I1361="","",IF(ISNUMBER($I1361),TEXT($I1361,"0"),$I1361))</f>
        <v/>
      </c>
    </row>
    <row r="1362">
      <c r="B1362" s="25" t="n"/>
      <c r="I1362" s="25" t="n"/>
      <c r="U1362" s="19">
        <f>IF($V1362&lt;&gt;'設定'!$C$4,N(U1361),IF(OR(NOT(COUNTIF('商品マスタ'!$B$6:$B$1005,$W1362)=0),COUNTIFS('①在庫を貼る'!$V$6:$V$10005,$V1362,'①在庫を貼る'!$W$6:$W$10005,$W1362)&gt;0),N(U1361),N(U1361)+1))</f>
        <v/>
      </c>
      <c r="V1362" s="19">
        <f>IF($B1362="","",TEXT($B1362,"0000"))</f>
        <v/>
      </c>
      <c r="W1362" s="19">
        <f>IF($I1362="","",IF(ISNUMBER($I1362),TEXT($I1362,"0"),$I1362))</f>
        <v/>
      </c>
    </row>
    <row r="1363">
      <c r="B1363" s="25" t="n"/>
      <c r="I1363" s="25" t="n"/>
      <c r="U1363" s="19">
        <f>IF($V1363&lt;&gt;'設定'!$C$4,N(U1362),IF(OR(NOT(COUNTIF('商品マスタ'!$B$6:$B$1005,$W1363)=0),COUNTIFS('①在庫を貼る'!$V$6:$V$10005,$V1363,'①在庫を貼る'!$W$6:$W$10005,$W1363)&gt;0),N(U1362),N(U1362)+1))</f>
        <v/>
      </c>
      <c r="V1363" s="19">
        <f>IF($B1363="","",TEXT($B1363,"0000"))</f>
        <v/>
      </c>
      <c r="W1363" s="19">
        <f>IF($I1363="","",IF(ISNUMBER($I1363),TEXT($I1363,"0"),$I1363))</f>
        <v/>
      </c>
    </row>
    <row r="1364">
      <c r="B1364" s="25" t="n"/>
      <c r="I1364" s="25" t="n"/>
      <c r="U1364" s="19">
        <f>IF($V1364&lt;&gt;'設定'!$C$4,N(U1363),IF(OR(NOT(COUNTIF('商品マスタ'!$B$6:$B$1005,$W1364)=0),COUNTIFS('①在庫を貼る'!$V$6:$V$10005,$V1364,'①在庫を貼る'!$W$6:$W$10005,$W1364)&gt;0),N(U1363),N(U1363)+1))</f>
        <v/>
      </c>
      <c r="V1364" s="19">
        <f>IF($B1364="","",TEXT($B1364,"0000"))</f>
        <v/>
      </c>
      <c r="W1364" s="19">
        <f>IF($I1364="","",IF(ISNUMBER($I1364),TEXT($I1364,"0"),$I1364))</f>
        <v/>
      </c>
    </row>
    <row r="1365">
      <c r="B1365" s="25" t="n"/>
      <c r="I1365" s="25" t="n"/>
      <c r="U1365" s="19">
        <f>IF($V1365&lt;&gt;'設定'!$C$4,N(U1364),IF(OR(NOT(COUNTIF('商品マスタ'!$B$6:$B$1005,$W1365)=0),COUNTIFS('①在庫を貼る'!$V$6:$V$10005,$V1365,'①在庫を貼る'!$W$6:$W$10005,$W1365)&gt;0),N(U1364),N(U1364)+1))</f>
        <v/>
      </c>
      <c r="V1365" s="19">
        <f>IF($B1365="","",TEXT($B1365,"0000"))</f>
        <v/>
      </c>
      <c r="W1365" s="19">
        <f>IF($I1365="","",IF(ISNUMBER($I1365),TEXT($I1365,"0"),$I1365))</f>
        <v/>
      </c>
    </row>
    <row r="1366">
      <c r="B1366" s="25" t="n"/>
      <c r="I1366" s="25" t="n"/>
      <c r="U1366" s="19">
        <f>IF($V1366&lt;&gt;'設定'!$C$4,N(U1365),IF(OR(NOT(COUNTIF('商品マスタ'!$B$6:$B$1005,$W1366)=0),COUNTIFS('①在庫を貼る'!$V$6:$V$10005,$V1366,'①在庫を貼る'!$W$6:$W$10005,$W1366)&gt;0),N(U1365),N(U1365)+1))</f>
        <v/>
      </c>
      <c r="V1366" s="19">
        <f>IF($B1366="","",TEXT($B1366,"0000"))</f>
        <v/>
      </c>
      <c r="W1366" s="19">
        <f>IF($I1366="","",IF(ISNUMBER($I1366),TEXT($I1366,"0"),$I1366))</f>
        <v/>
      </c>
    </row>
    <row r="1367">
      <c r="B1367" s="25" t="n"/>
      <c r="I1367" s="25" t="n"/>
      <c r="U1367" s="19">
        <f>IF($V1367&lt;&gt;'設定'!$C$4,N(U1366),IF(OR(NOT(COUNTIF('商品マスタ'!$B$6:$B$1005,$W1367)=0),COUNTIFS('①在庫を貼る'!$V$6:$V$10005,$V1367,'①在庫を貼る'!$W$6:$W$10005,$W1367)&gt;0),N(U1366),N(U1366)+1))</f>
        <v/>
      </c>
      <c r="V1367" s="19">
        <f>IF($B1367="","",TEXT($B1367,"0000"))</f>
        <v/>
      </c>
      <c r="W1367" s="19">
        <f>IF($I1367="","",IF(ISNUMBER($I1367),TEXT($I1367,"0"),$I1367))</f>
        <v/>
      </c>
    </row>
    <row r="1368">
      <c r="B1368" s="25" t="n"/>
      <c r="I1368" s="25" t="n"/>
      <c r="U1368" s="19">
        <f>IF($V1368&lt;&gt;'設定'!$C$4,N(U1367),IF(OR(NOT(COUNTIF('商品マスタ'!$B$6:$B$1005,$W1368)=0),COUNTIFS('①在庫を貼る'!$V$6:$V$10005,$V1368,'①在庫を貼る'!$W$6:$W$10005,$W1368)&gt;0),N(U1367),N(U1367)+1))</f>
        <v/>
      </c>
      <c r="V1368" s="19">
        <f>IF($B1368="","",TEXT($B1368,"0000"))</f>
        <v/>
      </c>
      <c r="W1368" s="19">
        <f>IF($I1368="","",IF(ISNUMBER($I1368),TEXT($I1368,"0"),$I1368))</f>
        <v/>
      </c>
    </row>
    <row r="1369">
      <c r="B1369" s="25" t="n"/>
      <c r="I1369" s="25" t="n"/>
      <c r="U1369" s="19">
        <f>IF($V1369&lt;&gt;'設定'!$C$4,N(U1368),IF(OR(NOT(COUNTIF('商品マスタ'!$B$6:$B$1005,$W1369)=0),COUNTIFS('①在庫を貼る'!$V$6:$V$10005,$V1369,'①在庫を貼る'!$W$6:$W$10005,$W1369)&gt;0),N(U1368),N(U1368)+1))</f>
        <v/>
      </c>
      <c r="V1369" s="19">
        <f>IF($B1369="","",TEXT($B1369,"0000"))</f>
        <v/>
      </c>
      <c r="W1369" s="19">
        <f>IF($I1369="","",IF(ISNUMBER($I1369),TEXT($I1369,"0"),$I1369))</f>
        <v/>
      </c>
    </row>
    <row r="1370">
      <c r="B1370" s="25" t="n"/>
      <c r="I1370" s="25" t="n"/>
      <c r="U1370" s="19">
        <f>IF($V1370&lt;&gt;'設定'!$C$4,N(U1369),IF(OR(NOT(COUNTIF('商品マスタ'!$B$6:$B$1005,$W1370)=0),COUNTIFS('①在庫を貼る'!$V$6:$V$10005,$V1370,'①在庫を貼る'!$W$6:$W$10005,$W1370)&gt;0),N(U1369),N(U1369)+1))</f>
        <v/>
      </c>
      <c r="V1370" s="19">
        <f>IF($B1370="","",TEXT($B1370,"0000"))</f>
        <v/>
      </c>
      <c r="W1370" s="19">
        <f>IF($I1370="","",IF(ISNUMBER($I1370),TEXT($I1370,"0"),$I1370))</f>
        <v/>
      </c>
    </row>
    <row r="1371">
      <c r="B1371" s="25" t="n"/>
      <c r="I1371" s="25" t="n"/>
      <c r="U1371" s="19">
        <f>IF($V1371&lt;&gt;'設定'!$C$4,N(U1370),IF(OR(NOT(COUNTIF('商品マスタ'!$B$6:$B$1005,$W1371)=0),COUNTIFS('①在庫を貼る'!$V$6:$V$10005,$V1371,'①在庫を貼る'!$W$6:$W$10005,$W1371)&gt;0),N(U1370),N(U1370)+1))</f>
        <v/>
      </c>
      <c r="V1371" s="19">
        <f>IF($B1371="","",TEXT($B1371,"0000"))</f>
        <v/>
      </c>
      <c r="W1371" s="19">
        <f>IF($I1371="","",IF(ISNUMBER($I1371),TEXT($I1371,"0"),$I1371))</f>
        <v/>
      </c>
    </row>
    <row r="1372">
      <c r="B1372" s="25" t="n"/>
      <c r="I1372" s="25" t="n"/>
      <c r="U1372" s="19">
        <f>IF($V1372&lt;&gt;'設定'!$C$4,N(U1371),IF(OR(NOT(COUNTIF('商品マスタ'!$B$6:$B$1005,$W1372)=0),COUNTIFS('①在庫を貼る'!$V$6:$V$10005,$V1372,'①在庫を貼る'!$W$6:$W$10005,$W1372)&gt;0),N(U1371),N(U1371)+1))</f>
        <v/>
      </c>
      <c r="V1372" s="19">
        <f>IF($B1372="","",TEXT($B1372,"0000"))</f>
        <v/>
      </c>
      <c r="W1372" s="19">
        <f>IF($I1372="","",IF(ISNUMBER($I1372),TEXT($I1372,"0"),$I1372))</f>
        <v/>
      </c>
    </row>
    <row r="1373">
      <c r="B1373" s="25" t="n"/>
      <c r="I1373" s="25" t="n"/>
      <c r="U1373" s="19">
        <f>IF($V1373&lt;&gt;'設定'!$C$4,N(U1372),IF(OR(NOT(COUNTIF('商品マスタ'!$B$6:$B$1005,$W1373)=0),COUNTIFS('①在庫を貼る'!$V$6:$V$10005,$V1373,'①在庫を貼る'!$W$6:$W$10005,$W1373)&gt;0),N(U1372),N(U1372)+1))</f>
        <v/>
      </c>
      <c r="V1373" s="19">
        <f>IF($B1373="","",TEXT($B1373,"0000"))</f>
        <v/>
      </c>
      <c r="W1373" s="19">
        <f>IF($I1373="","",IF(ISNUMBER($I1373),TEXT($I1373,"0"),$I1373))</f>
        <v/>
      </c>
    </row>
    <row r="1374">
      <c r="B1374" s="25" t="n"/>
      <c r="I1374" s="25" t="n"/>
      <c r="U1374" s="19">
        <f>IF($V1374&lt;&gt;'設定'!$C$4,N(U1373),IF(OR(NOT(COUNTIF('商品マスタ'!$B$6:$B$1005,$W1374)=0),COUNTIFS('①在庫を貼る'!$V$6:$V$10005,$V1374,'①在庫を貼る'!$W$6:$W$10005,$W1374)&gt;0),N(U1373),N(U1373)+1))</f>
        <v/>
      </c>
      <c r="V1374" s="19">
        <f>IF($B1374="","",TEXT($B1374,"0000"))</f>
        <v/>
      </c>
      <c r="W1374" s="19">
        <f>IF($I1374="","",IF(ISNUMBER($I1374),TEXT($I1374,"0"),$I1374))</f>
        <v/>
      </c>
    </row>
    <row r="1375">
      <c r="B1375" s="25" t="n"/>
      <c r="I1375" s="25" t="n"/>
      <c r="U1375" s="19">
        <f>IF($V1375&lt;&gt;'設定'!$C$4,N(U1374),IF(OR(NOT(COUNTIF('商品マスタ'!$B$6:$B$1005,$W1375)=0),COUNTIFS('①在庫を貼る'!$V$6:$V$10005,$V1375,'①在庫を貼る'!$W$6:$W$10005,$W1375)&gt;0),N(U1374),N(U1374)+1))</f>
        <v/>
      </c>
      <c r="V1375" s="19">
        <f>IF($B1375="","",TEXT($B1375,"0000"))</f>
        <v/>
      </c>
      <c r="W1375" s="19">
        <f>IF($I1375="","",IF(ISNUMBER($I1375),TEXT($I1375,"0"),$I1375))</f>
        <v/>
      </c>
    </row>
    <row r="1376">
      <c r="B1376" s="25" t="n"/>
      <c r="I1376" s="25" t="n"/>
      <c r="U1376" s="19">
        <f>IF($V1376&lt;&gt;'設定'!$C$4,N(U1375),IF(OR(NOT(COUNTIF('商品マスタ'!$B$6:$B$1005,$W1376)=0),COUNTIFS('①在庫を貼る'!$V$6:$V$10005,$V1376,'①在庫を貼る'!$W$6:$W$10005,$W1376)&gt;0),N(U1375),N(U1375)+1))</f>
        <v/>
      </c>
      <c r="V1376" s="19">
        <f>IF($B1376="","",TEXT($B1376,"0000"))</f>
        <v/>
      </c>
      <c r="W1376" s="19">
        <f>IF($I1376="","",IF(ISNUMBER($I1376),TEXT($I1376,"0"),$I1376))</f>
        <v/>
      </c>
    </row>
    <row r="1377">
      <c r="B1377" s="25" t="n"/>
      <c r="I1377" s="25" t="n"/>
      <c r="U1377" s="19">
        <f>IF($V1377&lt;&gt;'設定'!$C$4,N(U1376),IF(OR(NOT(COUNTIF('商品マスタ'!$B$6:$B$1005,$W1377)=0),COUNTIFS('①在庫を貼る'!$V$6:$V$10005,$V1377,'①在庫を貼る'!$W$6:$W$10005,$W1377)&gt;0),N(U1376),N(U1376)+1))</f>
        <v/>
      </c>
      <c r="V1377" s="19">
        <f>IF($B1377="","",TEXT($B1377,"0000"))</f>
        <v/>
      </c>
      <c r="W1377" s="19">
        <f>IF($I1377="","",IF(ISNUMBER($I1377),TEXT($I1377,"0"),$I1377))</f>
        <v/>
      </c>
    </row>
    <row r="1378">
      <c r="B1378" s="25" t="n"/>
      <c r="I1378" s="25" t="n"/>
      <c r="U1378" s="19">
        <f>IF($V1378&lt;&gt;'設定'!$C$4,N(U1377),IF(OR(NOT(COUNTIF('商品マスタ'!$B$6:$B$1005,$W1378)=0),COUNTIFS('①在庫を貼る'!$V$6:$V$10005,$V1378,'①在庫を貼る'!$W$6:$W$10005,$W1378)&gt;0),N(U1377),N(U1377)+1))</f>
        <v/>
      </c>
      <c r="V1378" s="19">
        <f>IF($B1378="","",TEXT($B1378,"0000"))</f>
        <v/>
      </c>
      <c r="W1378" s="19">
        <f>IF($I1378="","",IF(ISNUMBER($I1378),TEXT($I1378,"0"),$I1378))</f>
        <v/>
      </c>
    </row>
    <row r="1379">
      <c r="B1379" s="25" t="n"/>
      <c r="I1379" s="25" t="n"/>
      <c r="U1379" s="19">
        <f>IF($V1379&lt;&gt;'設定'!$C$4,N(U1378),IF(OR(NOT(COUNTIF('商品マスタ'!$B$6:$B$1005,$W1379)=0),COUNTIFS('①在庫を貼る'!$V$6:$V$10005,$V1379,'①在庫を貼る'!$W$6:$W$10005,$W1379)&gt;0),N(U1378),N(U1378)+1))</f>
        <v/>
      </c>
      <c r="V1379" s="19">
        <f>IF($B1379="","",TEXT($B1379,"0000"))</f>
        <v/>
      </c>
      <c r="W1379" s="19">
        <f>IF($I1379="","",IF(ISNUMBER($I1379),TEXT($I1379,"0"),$I1379))</f>
        <v/>
      </c>
    </row>
    <row r="1380">
      <c r="B1380" s="25" t="n"/>
      <c r="I1380" s="25" t="n"/>
      <c r="U1380" s="19">
        <f>IF($V1380&lt;&gt;'設定'!$C$4,N(U1379),IF(OR(NOT(COUNTIF('商品マスタ'!$B$6:$B$1005,$W1380)=0),COUNTIFS('①在庫を貼る'!$V$6:$V$10005,$V1380,'①在庫を貼る'!$W$6:$W$10005,$W1380)&gt;0),N(U1379),N(U1379)+1))</f>
        <v/>
      </c>
      <c r="V1380" s="19">
        <f>IF($B1380="","",TEXT($B1380,"0000"))</f>
        <v/>
      </c>
      <c r="W1380" s="19">
        <f>IF($I1380="","",IF(ISNUMBER($I1380),TEXT($I1380,"0"),$I1380))</f>
        <v/>
      </c>
    </row>
    <row r="1381">
      <c r="B1381" s="25" t="n"/>
      <c r="I1381" s="25" t="n"/>
      <c r="U1381" s="19">
        <f>IF($V1381&lt;&gt;'設定'!$C$4,N(U1380),IF(OR(NOT(COUNTIF('商品マスタ'!$B$6:$B$1005,$W1381)=0),COUNTIFS('①在庫を貼る'!$V$6:$V$10005,$V1381,'①在庫を貼る'!$W$6:$W$10005,$W1381)&gt;0),N(U1380),N(U1380)+1))</f>
        <v/>
      </c>
      <c r="V1381" s="19">
        <f>IF($B1381="","",TEXT($B1381,"0000"))</f>
        <v/>
      </c>
      <c r="W1381" s="19">
        <f>IF($I1381="","",IF(ISNUMBER($I1381),TEXT($I1381,"0"),$I1381))</f>
        <v/>
      </c>
    </row>
    <row r="1382">
      <c r="B1382" s="25" t="n"/>
      <c r="I1382" s="25" t="n"/>
      <c r="U1382" s="19">
        <f>IF($V1382&lt;&gt;'設定'!$C$4,N(U1381),IF(OR(NOT(COUNTIF('商品マスタ'!$B$6:$B$1005,$W1382)=0),COUNTIFS('①在庫を貼る'!$V$6:$V$10005,$V1382,'①在庫を貼る'!$W$6:$W$10005,$W1382)&gt;0),N(U1381),N(U1381)+1))</f>
        <v/>
      </c>
      <c r="V1382" s="19">
        <f>IF($B1382="","",TEXT($B1382,"0000"))</f>
        <v/>
      </c>
      <c r="W1382" s="19">
        <f>IF($I1382="","",IF(ISNUMBER($I1382),TEXT($I1382,"0"),$I1382))</f>
        <v/>
      </c>
    </row>
    <row r="1383">
      <c r="B1383" s="25" t="n"/>
      <c r="I1383" s="25" t="n"/>
      <c r="U1383" s="19">
        <f>IF($V1383&lt;&gt;'設定'!$C$4,N(U1382),IF(OR(NOT(COUNTIF('商品マスタ'!$B$6:$B$1005,$W1383)=0),COUNTIFS('①在庫を貼る'!$V$6:$V$10005,$V1383,'①在庫を貼る'!$W$6:$W$10005,$W1383)&gt;0),N(U1382),N(U1382)+1))</f>
        <v/>
      </c>
      <c r="V1383" s="19">
        <f>IF($B1383="","",TEXT($B1383,"0000"))</f>
        <v/>
      </c>
      <c r="W1383" s="19">
        <f>IF($I1383="","",IF(ISNUMBER($I1383),TEXT($I1383,"0"),$I1383))</f>
        <v/>
      </c>
    </row>
    <row r="1384">
      <c r="B1384" s="25" t="n"/>
      <c r="I1384" s="25" t="n"/>
      <c r="U1384" s="19">
        <f>IF($V1384&lt;&gt;'設定'!$C$4,N(U1383),IF(OR(NOT(COUNTIF('商品マスタ'!$B$6:$B$1005,$W1384)=0),COUNTIFS('①在庫を貼る'!$V$6:$V$10005,$V1384,'①在庫を貼る'!$W$6:$W$10005,$W1384)&gt;0),N(U1383),N(U1383)+1))</f>
        <v/>
      </c>
      <c r="V1384" s="19">
        <f>IF($B1384="","",TEXT($B1384,"0000"))</f>
        <v/>
      </c>
      <c r="W1384" s="19">
        <f>IF($I1384="","",IF(ISNUMBER($I1384),TEXT($I1384,"0"),$I1384))</f>
        <v/>
      </c>
    </row>
    <row r="1385">
      <c r="B1385" s="25" t="n"/>
      <c r="I1385" s="25" t="n"/>
      <c r="U1385" s="19">
        <f>IF($V1385&lt;&gt;'設定'!$C$4,N(U1384),IF(OR(NOT(COUNTIF('商品マスタ'!$B$6:$B$1005,$W1385)=0),COUNTIFS('①在庫を貼る'!$V$6:$V$10005,$V1385,'①在庫を貼る'!$W$6:$W$10005,$W1385)&gt;0),N(U1384),N(U1384)+1))</f>
        <v/>
      </c>
      <c r="V1385" s="19">
        <f>IF($B1385="","",TEXT($B1385,"0000"))</f>
        <v/>
      </c>
      <c r="W1385" s="19">
        <f>IF($I1385="","",IF(ISNUMBER($I1385),TEXT($I1385,"0"),$I1385))</f>
        <v/>
      </c>
    </row>
    <row r="1386">
      <c r="B1386" s="25" t="n"/>
      <c r="I1386" s="25" t="n"/>
      <c r="U1386" s="19">
        <f>IF($V1386&lt;&gt;'設定'!$C$4,N(U1385),IF(OR(NOT(COUNTIF('商品マスタ'!$B$6:$B$1005,$W1386)=0),COUNTIFS('①在庫を貼る'!$V$6:$V$10005,$V1386,'①在庫を貼る'!$W$6:$W$10005,$W1386)&gt;0),N(U1385),N(U1385)+1))</f>
        <v/>
      </c>
      <c r="V1386" s="19">
        <f>IF($B1386="","",TEXT($B1386,"0000"))</f>
        <v/>
      </c>
      <c r="W1386" s="19">
        <f>IF($I1386="","",IF(ISNUMBER($I1386),TEXT($I1386,"0"),$I1386))</f>
        <v/>
      </c>
    </row>
    <row r="1387">
      <c r="B1387" s="25" t="n"/>
      <c r="I1387" s="25" t="n"/>
      <c r="U1387" s="19">
        <f>IF($V1387&lt;&gt;'設定'!$C$4,N(U1386),IF(OR(NOT(COUNTIF('商品マスタ'!$B$6:$B$1005,$W1387)=0),COUNTIFS('①在庫を貼る'!$V$6:$V$10005,$V1387,'①在庫を貼る'!$W$6:$W$10005,$W1387)&gt;0),N(U1386),N(U1386)+1))</f>
        <v/>
      </c>
      <c r="V1387" s="19">
        <f>IF($B1387="","",TEXT($B1387,"0000"))</f>
        <v/>
      </c>
      <c r="W1387" s="19">
        <f>IF($I1387="","",IF(ISNUMBER($I1387),TEXT($I1387,"0"),$I1387))</f>
        <v/>
      </c>
    </row>
    <row r="1388">
      <c r="B1388" s="25" t="n"/>
      <c r="I1388" s="25" t="n"/>
      <c r="U1388" s="19">
        <f>IF($V1388&lt;&gt;'設定'!$C$4,N(U1387),IF(OR(NOT(COUNTIF('商品マスタ'!$B$6:$B$1005,$W1388)=0),COUNTIFS('①在庫を貼る'!$V$6:$V$10005,$V1388,'①在庫を貼る'!$W$6:$W$10005,$W1388)&gt;0),N(U1387),N(U1387)+1))</f>
        <v/>
      </c>
      <c r="V1388" s="19">
        <f>IF($B1388="","",TEXT($B1388,"0000"))</f>
        <v/>
      </c>
      <c r="W1388" s="19">
        <f>IF($I1388="","",IF(ISNUMBER($I1388),TEXT($I1388,"0"),$I1388))</f>
        <v/>
      </c>
    </row>
    <row r="1389">
      <c r="B1389" s="25" t="n"/>
      <c r="I1389" s="25" t="n"/>
      <c r="U1389" s="19">
        <f>IF($V1389&lt;&gt;'設定'!$C$4,N(U1388),IF(OR(NOT(COUNTIF('商品マスタ'!$B$6:$B$1005,$W1389)=0),COUNTIFS('①在庫を貼る'!$V$6:$V$10005,$V1389,'①在庫を貼る'!$W$6:$W$10005,$W1389)&gt;0),N(U1388),N(U1388)+1))</f>
        <v/>
      </c>
      <c r="V1389" s="19">
        <f>IF($B1389="","",TEXT($B1389,"0000"))</f>
        <v/>
      </c>
      <c r="W1389" s="19">
        <f>IF($I1389="","",IF(ISNUMBER($I1389),TEXT($I1389,"0"),$I1389))</f>
        <v/>
      </c>
    </row>
    <row r="1390">
      <c r="B1390" s="25" t="n"/>
      <c r="I1390" s="25" t="n"/>
      <c r="U1390" s="19">
        <f>IF($V1390&lt;&gt;'設定'!$C$4,N(U1389),IF(OR(NOT(COUNTIF('商品マスタ'!$B$6:$B$1005,$W1390)=0),COUNTIFS('①在庫を貼る'!$V$6:$V$10005,$V1390,'①在庫を貼る'!$W$6:$W$10005,$W1390)&gt;0),N(U1389),N(U1389)+1))</f>
        <v/>
      </c>
      <c r="V1390" s="19">
        <f>IF($B1390="","",TEXT($B1390,"0000"))</f>
        <v/>
      </c>
      <c r="W1390" s="19">
        <f>IF($I1390="","",IF(ISNUMBER($I1390),TEXT($I1390,"0"),$I1390))</f>
        <v/>
      </c>
    </row>
    <row r="1391">
      <c r="B1391" s="25" t="n"/>
      <c r="I1391" s="25" t="n"/>
      <c r="U1391" s="19">
        <f>IF($V1391&lt;&gt;'設定'!$C$4,N(U1390),IF(OR(NOT(COUNTIF('商品マスタ'!$B$6:$B$1005,$W1391)=0),COUNTIFS('①在庫を貼る'!$V$6:$V$10005,$V1391,'①在庫を貼る'!$W$6:$W$10005,$W1391)&gt;0),N(U1390),N(U1390)+1))</f>
        <v/>
      </c>
      <c r="V1391" s="19">
        <f>IF($B1391="","",TEXT($B1391,"0000"))</f>
        <v/>
      </c>
      <c r="W1391" s="19">
        <f>IF($I1391="","",IF(ISNUMBER($I1391),TEXT($I1391,"0"),$I1391))</f>
        <v/>
      </c>
    </row>
    <row r="1392">
      <c r="B1392" s="25" t="n"/>
      <c r="I1392" s="25" t="n"/>
      <c r="U1392" s="19">
        <f>IF($V1392&lt;&gt;'設定'!$C$4,N(U1391),IF(OR(NOT(COUNTIF('商品マスタ'!$B$6:$B$1005,$W1392)=0),COUNTIFS('①在庫を貼る'!$V$6:$V$10005,$V1392,'①在庫を貼る'!$W$6:$W$10005,$W1392)&gt;0),N(U1391),N(U1391)+1))</f>
        <v/>
      </c>
      <c r="V1392" s="19">
        <f>IF($B1392="","",TEXT($B1392,"0000"))</f>
        <v/>
      </c>
      <c r="W1392" s="19">
        <f>IF($I1392="","",IF(ISNUMBER($I1392),TEXT($I1392,"0"),$I1392))</f>
        <v/>
      </c>
    </row>
    <row r="1393">
      <c r="B1393" s="25" t="n"/>
      <c r="I1393" s="25" t="n"/>
      <c r="U1393" s="19">
        <f>IF($V1393&lt;&gt;'設定'!$C$4,N(U1392),IF(OR(NOT(COUNTIF('商品マスタ'!$B$6:$B$1005,$W1393)=0),COUNTIFS('①在庫を貼る'!$V$6:$V$10005,$V1393,'①在庫を貼る'!$W$6:$W$10005,$W1393)&gt;0),N(U1392),N(U1392)+1))</f>
        <v/>
      </c>
      <c r="V1393" s="19">
        <f>IF($B1393="","",TEXT($B1393,"0000"))</f>
        <v/>
      </c>
      <c r="W1393" s="19">
        <f>IF($I1393="","",IF(ISNUMBER($I1393),TEXT($I1393,"0"),$I1393))</f>
        <v/>
      </c>
    </row>
    <row r="1394">
      <c r="B1394" s="25" t="n"/>
      <c r="I1394" s="25" t="n"/>
      <c r="U1394" s="19">
        <f>IF($V1394&lt;&gt;'設定'!$C$4,N(U1393),IF(OR(NOT(COUNTIF('商品マスタ'!$B$6:$B$1005,$W1394)=0),COUNTIFS('①在庫を貼る'!$V$6:$V$10005,$V1394,'①在庫を貼る'!$W$6:$W$10005,$W1394)&gt;0),N(U1393),N(U1393)+1))</f>
        <v/>
      </c>
      <c r="V1394" s="19">
        <f>IF($B1394="","",TEXT($B1394,"0000"))</f>
        <v/>
      </c>
      <c r="W1394" s="19">
        <f>IF($I1394="","",IF(ISNUMBER($I1394),TEXT($I1394,"0"),$I1394))</f>
        <v/>
      </c>
    </row>
    <row r="1395">
      <c r="B1395" s="25" t="n"/>
      <c r="I1395" s="25" t="n"/>
      <c r="U1395" s="19">
        <f>IF($V1395&lt;&gt;'設定'!$C$4,N(U1394),IF(OR(NOT(COUNTIF('商品マスタ'!$B$6:$B$1005,$W1395)=0),COUNTIFS('①在庫を貼る'!$V$6:$V$10005,$V1395,'①在庫を貼る'!$W$6:$W$10005,$W1395)&gt;0),N(U1394),N(U1394)+1))</f>
        <v/>
      </c>
      <c r="V1395" s="19">
        <f>IF($B1395="","",TEXT($B1395,"0000"))</f>
        <v/>
      </c>
      <c r="W1395" s="19">
        <f>IF($I1395="","",IF(ISNUMBER($I1395),TEXT($I1395,"0"),$I1395))</f>
        <v/>
      </c>
    </row>
    <row r="1396">
      <c r="B1396" s="25" t="n"/>
      <c r="I1396" s="25" t="n"/>
      <c r="U1396" s="19">
        <f>IF($V1396&lt;&gt;'設定'!$C$4,N(U1395),IF(OR(NOT(COUNTIF('商品マスタ'!$B$6:$B$1005,$W1396)=0),COUNTIFS('①在庫を貼る'!$V$6:$V$10005,$V1396,'①在庫を貼る'!$W$6:$W$10005,$W1396)&gt;0),N(U1395),N(U1395)+1))</f>
        <v/>
      </c>
      <c r="V1396" s="19">
        <f>IF($B1396="","",TEXT($B1396,"0000"))</f>
        <v/>
      </c>
      <c r="W1396" s="19">
        <f>IF($I1396="","",IF(ISNUMBER($I1396),TEXT($I1396,"0"),$I1396))</f>
        <v/>
      </c>
    </row>
    <row r="1397">
      <c r="B1397" s="25" t="n"/>
      <c r="I1397" s="25" t="n"/>
      <c r="U1397" s="19">
        <f>IF($V1397&lt;&gt;'設定'!$C$4,N(U1396),IF(OR(NOT(COUNTIF('商品マスタ'!$B$6:$B$1005,$W1397)=0),COUNTIFS('①在庫を貼る'!$V$6:$V$10005,$V1397,'①在庫を貼る'!$W$6:$W$10005,$W1397)&gt;0),N(U1396),N(U1396)+1))</f>
        <v/>
      </c>
      <c r="V1397" s="19">
        <f>IF($B1397="","",TEXT($B1397,"0000"))</f>
        <v/>
      </c>
      <c r="W1397" s="19">
        <f>IF($I1397="","",IF(ISNUMBER($I1397),TEXT($I1397,"0"),$I1397))</f>
        <v/>
      </c>
    </row>
    <row r="1398">
      <c r="B1398" s="25" t="n"/>
      <c r="I1398" s="25" t="n"/>
      <c r="U1398" s="19">
        <f>IF($V1398&lt;&gt;'設定'!$C$4,N(U1397),IF(OR(NOT(COUNTIF('商品マスタ'!$B$6:$B$1005,$W1398)=0),COUNTIFS('①在庫を貼る'!$V$6:$V$10005,$V1398,'①在庫を貼る'!$W$6:$W$10005,$W1398)&gt;0),N(U1397),N(U1397)+1))</f>
        <v/>
      </c>
      <c r="V1398" s="19">
        <f>IF($B1398="","",TEXT($B1398,"0000"))</f>
        <v/>
      </c>
      <c r="W1398" s="19">
        <f>IF($I1398="","",IF(ISNUMBER($I1398),TEXT($I1398,"0"),$I1398))</f>
        <v/>
      </c>
    </row>
    <row r="1399">
      <c r="B1399" s="25" t="n"/>
      <c r="I1399" s="25" t="n"/>
      <c r="U1399" s="19">
        <f>IF($V1399&lt;&gt;'設定'!$C$4,N(U1398),IF(OR(NOT(COUNTIF('商品マスタ'!$B$6:$B$1005,$W1399)=0),COUNTIFS('①在庫を貼る'!$V$6:$V$10005,$V1399,'①在庫を貼る'!$W$6:$W$10005,$W1399)&gt;0),N(U1398),N(U1398)+1))</f>
        <v/>
      </c>
      <c r="V1399" s="19">
        <f>IF($B1399="","",TEXT($B1399,"0000"))</f>
        <v/>
      </c>
      <c r="W1399" s="19">
        <f>IF($I1399="","",IF(ISNUMBER($I1399),TEXT($I1399,"0"),$I1399))</f>
        <v/>
      </c>
    </row>
    <row r="1400">
      <c r="B1400" s="25" t="n"/>
      <c r="I1400" s="25" t="n"/>
      <c r="U1400" s="19">
        <f>IF($V1400&lt;&gt;'設定'!$C$4,N(U1399),IF(OR(NOT(COUNTIF('商品マスタ'!$B$6:$B$1005,$W1400)=0),COUNTIFS('①在庫を貼る'!$V$6:$V$10005,$V1400,'①在庫を貼る'!$W$6:$W$10005,$W1400)&gt;0),N(U1399),N(U1399)+1))</f>
        <v/>
      </c>
      <c r="V1400" s="19">
        <f>IF($B1400="","",TEXT($B1400,"0000"))</f>
        <v/>
      </c>
      <c r="W1400" s="19">
        <f>IF($I1400="","",IF(ISNUMBER($I1400),TEXT($I1400,"0"),$I1400))</f>
        <v/>
      </c>
    </row>
    <row r="1401">
      <c r="B1401" s="25" t="n"/>
      <c r="I1401" s="25" t="n"/>
      <c r="U1401" s="19">
        <f>IF($V1401&lt;&gt;'設定'!$C$4,N(U1400),IF(OR(NOT(COUNTIF('商品マスタ'!$B$6:$B$1005,$W1401)=0),COUNTIFS('①在庫を貼る'!$V$6:$V$10005,$V1401,'①在庫を貼る'!$W$6:$W$10005,$W1401)&gt;0),N(U1400),N(U1400)+1))</f>
        <v/>
      </c>
      <c r="V1401" s="19">
        <f>IF($B1401="","",TEXT($B1401,"0000"))</f>
        <v/>
      </c>
      <c r="W1401" s="19">
        <f>IF($I1401="","",IF(ISNUMBER($I1401),TEXT($I1401,"0"),$I1401))</f>
        <v/>
      </c>
    </row>
    <row r="1402">
      <c r="B1402" s="25" t="n"/>
      <c r="I1402" s="25" t="n"/>
      <c r="U1402" s="19">
        <f>IF($V1402&lt;&gt;'設定'!$C$4,N(U1401),IF(OR(NOT(COUNTIF('商品マスタ'!$B$6:$B$1005,$W1402)=0),COUNTIFS('①在庫を貼る'!$V$6:$V$10005,$V1402,'①在庫を貼る'!$W$6:$W$10005,$W1402)&gt;0),N(U1401),N(U1401)+1))</f>
        <v/>
      </c>
      <c r="V1402" s="19">
        <f>IF($B1402="","",TEXT($B1402,"0000"))</f>
        <v/>
      </c>
      <c r="W1402" s="19">
        <f>IF($I1402="","",IF(ISNUMBER($I1402),TEXT($I1402,"0"),$I1402))</f>
        <v/>
      </c>
    </row>
    <row r="1403">
      <c r="B1403" s="25" t="n"/>
      <c r="I1403" s="25" t="n"/>
      <c r="U1403" s="19">
        <f>IF($V1403&lt;&gt;'設定'!$C$4,N(U1402),IF(OR(NOT(COUNTIF('商品マスタ'!$B$6:$B$1005,$W1403)=0),COUNTIFS('①在庫を貼る'!$V$6:$V$10005,$V1403,'①在庫を貼る'!$W$6:$W$10005,$W1403)&gt;0),N(U1402),N(U1402)+1))</f>
        <v/>
      </c>
      <c r="V1403" s="19">
        <f>IF($B1403="","",TEXT($B1403,"0000"))</f>
        <v/>
      </c>
      <c r="W1403" s="19">
        <f>IF($I1403="","",IF(ISNUMBER($I1403),TEXT($I1403,"0"),$I1403))</f>
        <v/>
      </c>
    </row>
    <row r="1404">
      <c r="B1404" s="25" t="n"/>
      <c r="I1404" s="25" t="n"/>
      <c r="U1404" s="19">
        <f>IF($V1404&lt;&gt;'設定'!$C$4,N(U1403),IF(OR(NOT(COUNTIF('商品マスタ'!$B$6:$B$1005,$W1404)=0),COUNTIFS('①在庫を貼る'!$V$6:$V$10005,$V1404,'①在庫を貼る'!$W$6:$W$10005,$W1404)&gt;0),N(U1403),N(U1403)+1))</f>
        <v/>
      </c>
      <c r="V1404" s="19">
        <f>IF($B1404="","",TEXT($B1404,"0000"))</f>
        <v/>
      </c>
      <c r="W1404" s="19">
        <f>IF($I1404="","",IF(ISNUMBER($I1404),TEXT($I1404,"0"),$I1404))</f>
        <v/>
      </c>
    </row>
    <row r="1405">
      <c r="B1405" s="25" t="n"/>
      <c r="I1405" s="25" t="n"/>
      <c r="U1405" s="19">
        <f>IF($V1405&lt;&gt;'設定'!$C$4,N(U1404),IF(OR(NOT(COUNTIF('商品マスタ'!$B$6:$B$1005,$W1405)=0),COUNTIFS('①在庫を貼る'!$V$6:$V$10005,$V1405,'①在庫を貼る'!$W$6:$W$10005,$W1405)&gt;0),N(U1404),N(U1404)+1))</f>
        <v/>
      </c>
      <c r="V1405" s="19">
        <f>IF($B1405="","",TEXT($B1405,"0000"))</f>
        <v/>
      </c>
      <c r="W1405" s="19">
        <f>IF($I1405="","",IF(ISNUMBER($I1405),TEXT($I1405,"0"),$I1405))</f>
        <v/>
      </c>
    </row>
    <row r="1406">
      <c r="B1406" s="25" t="n"/>
      <c r="I1406" s="25" t="n"/>
      <c r="U1406" s="19">
        <f>IF($V1406&lt;&gt;'設定'!$C$4,N(U1405),IF(OR(NOT(COUNTIF('商品マスタ'!$B$6:$B$1005,$W1406)=0),COUNTIFS('①在庫を貼る'!$V$6:$V$10005,$V1406,'①在庫を貼る'!$W$6:$W$10005,$W1406)&gt;0),N(U1405),N(U1405)+1))</f>
        <v/>
      </c>
      <c r="V1406" s="19">
        <f>IF($B1406="","",TEXT($B1406,"0000"))</f>
        <v/>
      </c>
      <c r="W1406" s="19">
        <f>IF($I1406="","",IF(ISNUMBER($I1406),TEXT($I1406,"0"),$I1406))</f>
        <v/>
      </c>
    </row>
    <row r="1407">
      <c r="B1407" s="25" t="n"/>
      <c r="I1407" s="25" t="n"/>
      <c r="U1407" s="19">
        <f>IF($V1407&lt;&gt;'設定'!$C$4,N(U1406),IF(OR(NOT(COUNTIF('商品マスタ'!$B$6:$B$1005,$W1407)=0),COUNTIFS('①在庫を貼る'!$V$6:$V$10005,$V1407,'①在庫を貼る'!$W$6:$W$10005,$W1407)&gt;0),N(U1406),N(U1406)+1))</f>
        <v/>
      </c>
      <c r="V1407" s="19">
        <f>IF($B1407="","",TEXT($B1407,"0000"))</f>
        <v/>
      </c>
      <c r="W1407" s="19">
        <f>IF($I1407="","",IF(ISNUMBER($I1407),TEXT($I1407,"0"),$I1407))</f>
        <v/>
      </c>
    </row>
    <row r="1408">
      <c r="B1408" s="25" t="n"/>
      <c r="I1408" s="25" t="n"/>
      <c r="U1408" s="19">
        <f>IF($V1408&lt;&gt;'設定'!$C$4,N(U1407),IF(OR(NOT(COUNTIF('商品マスタ'!$B$6:$B$1005,$W1408)=0),COUNTIFS('①在庫を貼る'!$V$6:$V$10005,$V1408,'①在庫を貼る'!$W$6:$W$10005,$W1408)&gt;0),N(U1407),N(U1407)+1))</f>
        <v/>
      </c>
      <c r="V1408" s="19">
        <f>IF($B1408="","",TEXT($B1408,"0000"))</f>
        <v/>
      </c>
      <c r="W1408" s="19">
        <f>IF($I1408="","",IF(ISNUMBER($I1408),TEXT($I1408,"0"),$I1408))</f>
        <v/>
      </c>
    </row>
    <row r="1409">
      <c r="B1409" s="25" t="n"/>
      <c r="I1409" s="25" t="n"/>
      <c r="U1409" s="19">
        <f>IF($V1409&lt;&gt;'設定'!$C$4,N(U1408),IF(OR(NOT(COUNTIF('商品マスタ'!$B$6:$B$1005,$W1409)=0),COUNTIFS('①在庫を貼る'!$V$6:$V$10005,$V1409,'①在庫を貼る'!$W$6:$W$10005,$W1409)&gt;0),N(U1408),N(U1408)+1))</f>
        <v/>
      </c>
      <c r="V1409" s="19">
        <f>IF($B1409="","",TEXT($B1409,"0000"))</f>
        <v/>
      </c>
      <c r="W1409" s="19">
        <f>IF($I1409="","",IF(ISNUMBER($I1409),TEXT($I1409,"0"),$I1409))</f>
        <v/>
      </c>
    </row>
    <row r="1410">
      <c r="B1410" s="25" t="n"/>
      <c r="I1410" s="25" t="n"/>
      <c r="U1410" s="19">
        <f>IF($V1410&lt;&gt;'設定'!$C$4,N(U1409),IF(OR(NOT(COUNTIF('商品マスタ'!$B$6:$B$1005,$W1410)=0),COUNTIFS('①在庫を貼る'!$V$6:$V$10005,$V1410,'①在庫を貼る'!$W$6:$W$10005,$W1410)&gt;0),N(U1409),N(U1409)+1))</f>
        <v/>
      </c>
      <c r="V1410" s="19">
        <f>IF($B1410="","",TEXT($B1410,"0000"))</f>
        <v/>
      </c>
      <c r="W1410" s="19">
        <f>IF($I1410="","",IF(ISNUMBER($I1410),TEXT($I1410,"0"),$I1410))</f>
        <v/>
      </c>
    </row>
    <row r="1411">
      <c r="B1411" s="25" t="n"/>
      <c r="I1411" s="25" t="n"/>
      <c r="U1411" s="19">
        <f>IF($V1411&lt;&gt;'設定'!$C$4,N(U1410),IF(OR(NOT(COUNTIF('商品マスタ'!$B$6:$B$1005,$W1411)=0),COUNTIFS('①在庫を貼る'!$V$6:$V$10005,$V1411,'①在庫を貼る'!$W$6:$W$10005,$W1411)&gt;0),N(U1410),N(U1410)+1))</f>
        <v/>
      </c>
      <c r="V1411" s="19">
        <f>IF($B1411="","",TEXT($B1411,"0000"))</f>
        <v/>
      </c>
      <c r="W1411" s="19">
        <f>IF($I1411="","",IF(ISNUMBER($I1411),TEXT($I1411,"0"),$I1411))</f>
        <v/>
      </c>
    </row>
    <row r="1412">
      <c r="B1412" s="25" t="n"/>
      <c r="I1412" s="25" t="n"/>
      <c r="U1412" s="19">
        <f>IF($V1412&lt;&gt;'設定'!$C$4,N(U1411),IF(OR(NOT(COUNTIF('商品マスタ'!$B$6:$B$1005,$W1412)=0),COUNTIFS('①在庫を貼る'!$V$6:$V$10005,$V1412,'①在庫を貼る'!$W$6:$W$10005,$W1412)&gt;0),N(U1411),N(U1411)+1))</f>
        <v/>
      </c>
      <c r="V1412" s="19">
        <f>IF($B1412="","",TEXT($B1412,"0000"))</f>
        <v/>
      </c>
      <c r="W1412" s="19">
        <f>IF($I1412="","",IF(ISNUMBER($I1412),TEXT($I1412,"0"),$I1412))</f>
        <v/>
      </c>
    </row>
    <row r="1413">
      <c r="B1413" s="25" t="n"/>
      <c r="I1413" s="25" t="n"/>
      <c r="U1413" s="19">
        <f>IF($V1413&lt;&gt;'設定'!$C$4,N(U1412),IF(OR(NOT(COUNTIF('商品マスタ'!$B$6:$B$1005,$W1413)=0),COUNTIFS('①在庫を貼る'!$V$6:$V$10005,$V1413,'①在庫を貼る'!$W$6:$W$10005,$W1413)&gt;0),N(U1412),N(U1412)+1))</f>
        <v/>
      </c>
      <c r="V1413" s="19">
        <f>IF($B1413="","",TEXT($B1413,"0000"))</f>
        <v/>
      </c>
      <c r="W1413" s="19">
        <f>IF($I1413="","",IF(ISNUMBER($I1413),TEXT($I1413,"0"),$I1413))</f>
        <v/>
      </c>
    </row>
    <row r="1414">
      <c r="B1414" s="25" t="n"/>
      <c r="I1414" s="25" t="n"/>
      <c r="U1414" s="19">
        <f>IF($V1414&lt;&gt;'設定'!$C$4,N(U1413),IF(OR(NOT(COUNTIF('商品マスタ'!$B$6:$B$1005,$W1414)=0),COUNTIFS('①在庫を貼る'!$V$6:$V$10005,$V1414,'①在庫を貼る'!$W$6:$W$10005,$W1414)&gt;0),N(U1413),N(U1413)+1))</f>
        <v/>
      </c>
      <c r="V1414" s="19">
        <f>IF($B1414="","",TEXT($B1414,"0000"))</f>
        <v/>
      </c>
      <c r="W1414" s="19">
        <f>IF($I1414="","",IF(ISNUMBER($I1414),TEXT($I1414,"0"),$I1414))</f>
        <v/>
      </c>
    </row>
    <row r="1415">
      <c r="B1415" s="25" t="n"/>
      <c r="I1415" s="25" t="n"/>
      <c r="U1415" s="19">
        <f>IF($V1415&lt;&gt;'設定'!$C$4,N(U1414),IF(OR(NOT(COUNTIF('商品マスタ'!$B$6:$B$1005,$W1415)=0),COUNTIFS('①在庫を貼る'!$V$6:$V$10005,$V1415,'①在庫を貼る'!$W$6:$W$10005,$W1415)&gt;0),N(U1414),N(U1414)+1))</f>
        <v/>
      </c>
      <c r="V1415" s="19">
        <f>IF($B1415="","",TEXT($B1415,"0000"))</f>
        <v/>
      </c>
      <c r="W1415" s="19">
        <f>IF($I1415="","",IF(ISNUMBER($I1415),TEXT($I1415,"0"),$I1415))</f>
        <v/>
      </c>
    </row>
    <row r="1416">
      <c r="B1416" s="25" t="n"/>
      <c r="I1416" s="25" t="n"/>
      <c r="U1416" s="19">
        <f>IF($V1416&lt;&gt;'設定'!$C$4,N(U1415),IF(OR(NOT(COUNTIF('商品マスタ'!$B$6:$B$1005,$W1416)=0),COUNTIFS('①在庫を貼る'!$V$6:$V$10005,$V1416,'①在庫を貼る'!$W$6:$W$10005,$W1416)&gt;0),N(U1415),N(U1415)+1))</f>
        <v/>
      </c>
      <c r="V1416" s="19">
        <f>IF($B1416="","",TEXT($B1416,"0000"))</f>
        <v/>
      </c>
      <c r="W1416" s="19">
        <f>IF($I1416="","",IF(ISNUMBER($I1416),TEXT($I1416,"0"),$I1416))</f>
        <v/>
      </c>
    </row>
    <row r="1417">
      <c r="B1417" s="25" t="n"/>
      <c r="I1417" s="25" t="n"/>
      <c r="U1417" s="19">
        <f>IF($V1417&lt;&gt;'設定'!$C$4,N(U1416),IF(OR(NOT(COUNTIF('商品マスタ'!$B$6:$B$1005,$W1417)=0),COUNTIFS('①在庫を貼る'!$V$6:$V$10005,$V1417,'①在庫を貼る'!$W$6:$W$10005,$W1417)&gt;0),N(U1416),N(U1416)+1))</f>
        <v/>
      </c>
      <c r="V1417" s="19">
        <f>IF($B1417="","",TEXT($B1417,"0000"))</f>
        <v/>
      </c>
      <c r="W1417" s="19">
        <f>IF($I1417="","",IF(ISNUMBER($I1417),TEXT($I1417,"0"),$I1417))</f>
        <v/>
      </c>
    </row>
    <row r="1418">
      <c r="B1418" s="25" t="n"/>
      <c r="I1418" s="25" t="n"/>
      <c r="U1418" s="19">
        <f>IF($V1418&lt;&gt;'設定'!$C$4,N(U1417),IF(OR(NOT(COUNTIF('商品マスタ'!$B$6:$B$1005,$W1418)=0),COUNTIFS('①在庫を貼る'!$V$6:$V$10005,$V1418,'①在庫を貼る'!$W$6:$W$10005,$W1418)&gt;0),N(U1417),N(U1417)+1))</f>
        <v/>
      </c>
      <c r="V1418" s="19">
        <f>IF($B1418="","",TEXT($B1418,"0000"))</f>
        <v/>
      </c>
      <c r="W1418" s="19">
        <f>IF($I1418="","",IF(ISNUMBER($I1418),TEXT($I1418,"0"),$I1418))</f>
        <v/>
      </c>
    </row>
    <row r="1419">
      <c r="B1419" s="25" t="n"/>
      <c r="I1419" s="25" t="n"/>
      <c r="U1419" s="19">
        <f>IF($V1419&lt;&gt;'設定'!$C$4,N(U1418),IF(OR(NOT(COUNTIF('商品マスタ'!$B$6:$B$1005,$W1419)=0),COUNTIFS('①在庫を貼る'!$V$6:$V$10005,$V1419,'①在庫を貼る'!$W$6:$W$10005,$W1419)&gt;0),N(U1418),N(U1418)+1))</f>
        <v/>
      </c>
      <c r="V1419" s="19">
        <f>IF($B1419="","",TEXT($B1419,"0000"))</f>
        <v/>
      </c>
      <c r="W1419" s="19">
        <f>IF($I1419="","",IF(ISNUMBER($I1419),TEXT($I1419,"0"),$I1419))</f>
        <v/>
      </c>
    </row>
    <row r="1420">
      <c r="B1420" s="25" t="n"/>
      <c r="I1420" s="25" t="n"/>
      <c r="U1420" s="19">
        <f>IF($V1420&lt;&gt;'設定'!$C$4,N(U1419),IF(OR(NOT(COUNTIF('商品マスタ'!$B$6:$B$1005,$W1420)=0),COUNTIFS('①在庫を貼る'!$V$6:$V$10005,$V1420,'①在庫を貼る'!$W$6:$W$10005,$W1420)&gt;0),N(U1419),N(U1419)+1))</f>
        <v/>
      </c>
      <c r="V1420" s="19">
        <f>IF($B1420="","",TEXT($B1420,"0000"))</f>
        <v/>
      </c>
      <c r="W1420" s="19">
        <f>IF($I1420="","",IF(ISNUMBER($I1420),TEXT($I1420,"0"),$I1420))</f>
        <v/>
      </c>
    </row>
    <row r="1421">
      <c r="B1421" s="25" t="n"/>
      <c r="I1421" s="25" t="n"/>
      <c r="U1421" s="19">
        <f>IF($V1421&lt;&gt;'設定'!$C$4,N(U1420),IF(OR(NOT(COUNTIF('商品マスタ'!$B$6:$B$1005,$W1421)=0),COUNTIFS('①在庫を貼る'!$V$6:$V$10005,$V1421,'①在庫を貼る'!$W$6:$W$10005,$W1421)&gt;0),N(U1420),N(U1420)+1))</f>
        <v/>
      </c>
      <c r="V1421" s="19">
        <f>IF($B1421="","",TEXT($B1421,"0000"))</f>
        <v/>
      </c>
      <c r="W1421" s="19">
        <f>IF($I1421="","",IF(ISNUMBER($I1421),TEXT($I1421,"0"),$I1421))</f>
        <v/>
      </c>
    </row>
    <row r="1422">
      <c r="B1422" s="25" t="n"/>
      <c r="I1422" s="25" t="n"/>
      <c r="U1422" s="19">
        <f>IF($V1422&lt;&gt;'設定'!$C$4,N(U1421),IF(OR(NOT(COUNTIF('商品マスタ'!$B$6:$B$1005,$W1422)=0),COUNTIFS('①在庫を貼る'!$V$6:$V$10005,$V1422,'①在庫を貼る'!$W$6:$W$10005,$W1422)&gt;0),N(U1421),N(U1421)+1))</f>
        <v/>
      </c>
      <c r="V1422" s="19">
        <f>IF($B1422="","",TEXT($B1422,"0000"))</f>
        <v/>
      </c>
      <c r="W1422" s="19">
        <f>IF($I1422="","",IF(ISNUMBER($I1422),TEXT($I1422,"0"),$I1422))</f>
        <v/>
      </c>
    </row>
    <row r="1423">
      <c r="B1423" s="25" t="n"/>
      <c r="I1423" s="25" t="n"/>
      <c r="U1423" s="19">
        <f>IF($V1423&lt;&gt;'設定'!$C$4,N(U1422),IF(OR(NOT(COUNTIF('商品マスタ'!$B$6:$B$1005,$W1423)=0),COUNTIFS('①在庫を貼る'!$V$6:$V$10005,$V1423,'①在庫を貼る'!$W$6:$W$10005,$W1423)&gt;0),N(U1422),N(U1422)+1))</f>
        <v/>
      </c>
      <c r="V1423" s="19">
        <f>IF($B1423="","",TEXT($B1423,"0000"))</f>
        <v/>
      </c>
      <c r="W1423" s="19">
        <f>IF($I1423="","",IF(ISNUMBER($I1423),TEXT($I1423,"0"),$I1423))</f>
        <v/>
      </c>
    </row>
    <row r="1424">
      <c r="B1424" s="25" t="n"/>
      <c r="I1424" s="25" t="n"/>
      <c r="U1424" s="19">
        <f>IF($V1424&lt;&gt;'設定'!$C$4,N(U1423),IF(OR(NOT(COUNTIF('商品マスタ'!$B$6:$B$1005,$W1424)=0),COUNTIFS('①在庫を貼る'!$V$6:$V$10005,$V1424,'①在庫を貼る'!$W$6:$W$10005,$W1424)&gt;0),N(U1423),N(U1423)+1))</f>
        <v/>
      </c>
      <c r="V1424" s="19">
        <f>IF($B1424="","",TEXT($B1424,"0000"))</f>
        <v/>
      </c>
      <c r="W1424" s="19">
        <f>IF($I1424="","",IF(ISNUMBER($I1424),TEXT($I1424,"0"),$I1424))</f>
        <v/>
      </c>
    </row>
    <row r="1425">
      <c r="B1425" s="25" t="n"/>
      <c r="I1425" s="25" t="n"/>
      <c r="U1425" s="19">
        <f>IF($V1425&lt;&gt;'設定'!$C$4,N(U1424),IF(OR(NOT(COUNTIF('商品マスタ'!$B$6:$B$1005,$W1425)=0),COUNTIFS('①在庫を貼る'!$V$6:$V$10005,$V1425,'①在庫を貼る'!$W$6:$W$10005,$W1425)&gt;0),N(U1424),N(U1424)+1))</f>
        <v/>
      </c>
      <c r="V1425" s="19">
        <f>IF($B1425="","",TEXT($B1425,"0000"))</f>
        <v/>
      </c>
      <c r="W1425" s="19">
        <f>IF($I1425="","",IF(ISNUMBER($I1425),TEXT($I1425,"0"),$I1425))</f>
        <v/>
      </c>
    </row>
    <row r="1426">
      <c r="B1426" s="25" t="n"/>
      <c r="I1426" s="25" t="n"/>
      <c r="U1426" s="19">
        <f>IF($V1426&lt;&gt;'設定'!$C$4,N(U1425),IF(OR(NOT(COUNTIF('商品マスタ'!$B$6:$B$1005,$W1426)=0),COUNTIFS('①在庫を貼る'!$V$6:$V$10005,$V1426,'①在庫を貼る'!$W$6:$W$10005,$W1426)&gt;0),N(U1425),N(U1425)+1))</f>
        <v/>
      </c>
      <c r="V1426" s="19">
        <f>IF($B1426="","",TEXT($B1426,"0000"))</f>
        <v/>
      </c>
      <c r="W1426" s="19">
        <f>IF($I1426="","",IF(ISNUMBER($I1426),TEXT($I1426,"0"),$I1426))</f>
        <v/>
      </c>
    </row>
    <row r="1427">
      <c r="B1427" s="25" t="n"/>
      <c r="I1427" s="25" t="n"/>
      <c r="U1427" s="19">
        <f>IF($V1427&lt;&gt;'設定'!$C$4,N(U1426),IF(OR(NOT(COUNTIF('商品マスタ'!$B$6:$B$1005,$W1427)=0),COUNTIFS('①在庫を貼る'!$V$6:$V$10005,$V1427,'①在庫を貼る'!$W$6:$W$10005,$W1427)&gt;0),N(U1426),N(U1426)+1))</f>
        <v/>
      </c>
      <c r="V1427" s="19">
        <f>IF($B1427="","",TEXT($B1427,"0000"))</f>
        <v/>
      </c>
      <c r="W1427" s="19">
        <f>IF($I1427="","",IF(ISNUMBER($I1427),TEXT($I1427,"0"),$I1427))</f>
        <v/>
      </c>
    </row>
    <row r="1428">
      <c r="B1428" s="25" t="n"/>
      <c r="I1428" s="25" t="n"/>
      <c r="U1428" s="19">
        <f>IF($V1428&lt;&gt;'設定'!$C$4,N(U1427),IF(OR(NOT(COUNTIF('商品マスタ'!$B$6:$B$1005,$W1428)=0),COUNTIFS('①在庫を貼る'!$V$6:$V$10005,$V1428,'①在庫を貼る'!$W$6:$W$10005,$W1428)&gt;0),N(U1427),N(U1427)+1))</f>
        <v/>
      </c>
      <c r="V1428" s="19">
        <f>IF($B1428="","",TEXT($B1428,"0000"))</f>
        <v/>
      </c>
      <c r="W1428" s="19">
        <f>IF($I1428="","",IF(ISNUMBER($I1428),TEXT($I1428,"0"),$I1428))</f>
        <v/>
      </c>
    </row>
    <row r="1429">
      <c r="B1429" s="25" t="n"/>
      <c r="I1429" s="25" t="n"/>
      <c r="U1429" s="19">
        <f>IF($V1429&lt;&gt;'設定'!$C$4,N(U1428),IF(OR(NOT(COUNTIF('商品マスタ'!$B$6:$B$1005,$W1429)=0),COUNTIFS('①在庫を貼る'!$V$6:$V$10005,$V1429,'①在庫を貼る'!$W$6:$W$10005,$W1429)&gt;0),N(U1428),N(U1428)+1))</f>
        <v/>
      </c>
      <c r="V1429" s="19">
        <f>IF($B1429="","",TEXT($B1429,"0000"))</f>
        <v/>
      </c>
      <c r="W1429" s="19">
        <f>IF($I1429="","",IF(ISNUMBER($I1429),TEXT($I1429,"0"),$I1429))</f>
        <v/>
      </c>
    </row>
    <row r="1430">
      <c r="B1430" s="25" t="n"/>
      <c r="I1430" s="25" t="n"/>
      <c r="U1430" s="19">
        <f>IF($V1430&lt;&gt;'設定'!$C$4,N(U1429),IF(OR(NOT(COUNTIF('商品マスタ'!$B$6:$B$1005,$W1430)=0),COUNTIFS('①在庫を貼る'!$V$6:$V$10005,$V1430,'①在庫を貼る'!$W$6:$W$10005,$W1430)&gt;0),N(U1429),N(U1429)+1))</f>
        <v/>
      </c>
      <c r="V1430" s="19">
        <f>IF($B1430="","",TEXT($B1430,"0000"))</f>
        <v/>
      </c>
      <c r="W1430" s="19">
        <f>IF($I1430="","",IF(ISNUMBER($I1430),TEXT($I1430,"0"),$I1430))</f>
        <v/>
      </c>
    </row>
    <row r="1431">
      <c r="B1431" s="25" t="n"/>
      <c r="I1431" s="25" t="n"/>
      <c r="U1431" s="19">
        <f>IF($V1431&lt;&gt;'設定'!$C$4,N(U1430),IF(OR(NOT(COUNTIF('商品マスタ'!$B$6:$B$1005,$W1431)=0),COUNTIFS('①在庫を貼る'!$V$6:$V$10005,$V1431,'①在庫を貼る'!$W$6:$W$10005,$W1431)&gt;0),N(U1430),N(U1430)+1))</f>
        <v/>
      </c>
      <c r="V1431" s="19">
        <f>IF($B1431="","",TEXT($B1431,"0000"))</f>
        <v/>
      </c>
      <c r="W1431" s="19">
        <f>IF($I1431="","",IF(ISNUMBER($I1431),TEXT($I1431,"0"),$I1431))</f>
        <v/>
      </c>
    </row>
    <row r="1432">
      <c r="B1432" s="25" t="n"/>
      <c r="I1432" s="25" t="n"/>
      <c r="U1432" s="19">
        <f>IF($V1432&lt;&gt;'設定'!$C$4,N(U1431),IF(OR(NOT(COUNTIF('商品マスタ'!$B$6:$B$1005,$W1432)=0),COUNTIFS('①在庫を貼る'!$V$6:$V$10005,$V1432,'①在庫を貼る'!$W$6:$W$10005,$W1432)&gt;0),N(U1431),N(U1431)+1))</f>
        <v/>
      </c>
      <c r="V1432" s="19">
        <f>IF($B1432="","",TEXT($B1432,"0000"))</f>
        <v/>
      </c>
      <c r="W1432" s="19">
        <f>IF($I1432="","",IF(ISNUMBER($I1432),TEXT($I1432,"0"),$I1432))</f>
        <v/>
      </c>
    </row>
    <row r="1433">
      <c r="B1433" s="25" t="n"/>
      <c r="I1433" s="25" t="n"/>
      <c r="U1433" s="19">
        <f>IF($V1433&lt;&gt;'設定'!$C$4,N(U1432),IF(OR(NOT(COUNTIF('商品マスタ'!$B$6:$B$1005,$W1433)=0),COUNTIFS('①在庫を貼る'!$V$6:$V$10005,$V1433,'①在庫を貼る'!$W$6:$W$10005,$W1433)&gt;0),N(U1432),N(U1432)+1))</f>
        <v/>
      </c>
      <c r="V1433" s="19">
        <f>IF($B1433="","",TEXT($B1433,"0000"))</f>
        <v/>
      </c>
      <c r="W1433" s="19">
        <f>IF($I1433="","",IF(ISNUMBER($I1433),TEXT($I1433,"0"),$I1433))</f>
        <v/>
      </c>
    </row>
    <row r="1434">
      <c r="B1434" s="25" t="n"/>
      <c r="I1434" s="25" t="n"/>
      <c r="U1434" s="19">
        <f>IF($V1434&lt;&gt;'設定'!$C$4,N(U1433),IF(OR(NOT(COUNTIF('商品マスタ'!$B$6:$B$1005,$W1434)=0),COUNTIFS('①在庫を貼る'!$V$6:$V$10005,$V1434,'①在庫を貼る'!$W$6:$W$10005,$W1434)&gt;0),N(U1433),N(U1433)+1))</f>
        <v/>
      </c>
      <c r="V1434" s="19">
        <f>IF($B1434="","",TEXT($B1434,"0000"))</f>
        <v/>
      </c>
      <c r="W1434" s="19">
        <f>IF($I1434="","",IF(ISNUMBER($I1434),TEXT($I1434,"0"),$I1434))</f>
        <v/>
      </c>
    </row>
    <row r="1435">
      <c r="B1435" s="25" t="n"/>
      <c r="I1435" s="25" t="n"/>
      <c r="U1435" s="19">
        <f>IF($V1435&lt;&gt;'設定'!$C$4,N(U1434),IF(OR(NOT(COUNTIF('商品マスタ'!$B$6:$B$1005,$W1435)=0),COUNTIFS('①在庫を貼る'!$V$6:$V$10005,$V1435,'①在庫を貼る'!$W$6:$W$10005,$W1435)&gt;0),N(U1434),N(U1434)+1))</f>
        <v/>
      </c>
      <c r="V1435" s="19">
        <f>IF($B1435="","",TEXT($B1435,"0000"))</f>
        <v/>
      </c>
      <c r="W1435" s="19">
        <f>IF($I1435="","",IF(ISNUMBER($I1435),TEXT($I1435,"0"),$I1435))</f>
        <v/>
      </c>
    </row>
    <row r="1436">
      <c r="B1436" s="25" t="n"/>
      <c r="I1436" s="25" t="n"/>
      <c r="U1436" s="19">
        <f>IF($V1436&lt;&gt;'設定'!$C$4,N(U1435),IF(OR(NOT(COUNTIF('商品マスタ'!$B$6:$B$1005,$W1436)=0),COUNTIFS('①在庫を貼る'!$V$6:$V$10005,$V1436,'①在庫を貼る'!$W$6:$W$10005,$W1436)&gt;0),N(U1435),N(U1435)+1))</f>
        <v/>
      </c>
      <c r="V1436" s="19">
        <f>IF($B1436="","",TEXT($B1436,"0000"))</f>
        <v/>
      </c>
      <c r="W1436" s="19">
        <f>IF($I1436="","",IF(ISNUMBER($I1436),TEXT($I1436,"0"),$I1436))</f>
        <v/>
      </c>
    </row>
    <row r="1437">
      <c r="B1437" s="25" t="n"/>
      <c r="I1437" s="25" t="n"/>
      <c r="U1437" s="19">
        <f>IF($V1437&lt;&gt;'設定'!$C$4,N(U1436),IF(OR(NOT(COUNTIF('商品マスタ'!$B$6:$B$1005,$W1437)=0),COUNTIFS('①在庫を貼る'!$V$6:$V$10005,$V1437,'①在庫を貼る'!$W$6:$W$10005,$W1437)&gt;0),N(U1436),N(U1436)+1))</f>
        <v/>
      </c>
      <c r="V1437" s="19">
        <f>IF($B1437="","",TEXT($B1437,"0000"))</f>
        <v/>
      </c>
      <c r="W1437" s="19">
        <f>IF($I1437="","",IF(ISNUMBER($I1437),TEXT($I1437,"0"),$I1437))</f>
        <v/>
      </c>
    </row>
    <row r="1438">
      <c r="B1438" s="25" t="n"/>
      <c r="I1438" s="25" t="n"/>
      <c r="U1438" s="19">
        <f>IF($V1438&lt;&gt;'設定'!$C$4,N(U1437),IF(OR(NOT(COUNTIF('商品マスタ'!$B$6:$B$1005,$W1438)=0),COUNTIFS('①在庫を貼る'!$V$6:$V$10005,$V1438,'①在庫を貼る'!$W$6:$W$10005,$W1438)&gt;0),N(U1437),N(U1437)+1))</f>
        <v/>
      </c>
      <c r="V1438" s="19">
        <f>IF($B1438="","",TEXT($B1438,"0000"))</f>
        <v/>
      </c>
      <c r="W1438" s="19">
        <f>IF($I1438="","",IF(ISNUMBER($I1438),TEXT($I1438,"0"),$I1438))</f>
        <v/>
      </c>
    </row>
    <row r="1439">
      <c r="B1439" s="25" t="n"/>
      <c r="I1439" s="25" t="n"/>
      <c r="U1439" s="19">
        <f>IF($V1439&lt;&gt;'設定'!$C$4,N(U1438),IF(OR(NOT(COUNTIF('商品マスタ'!$B$6:$B$1005,$W1439)=0),COUNTIFS('①在庫を貼る'!$V$6:$V$10005,$V1439,'①在庫を貼る'!$W$6:$W$10005,$W1439)&gt;0),N(U1438),N(U1438)+1))</f>
        <v/>
      </c>
      <c r="V1439" s="19">
        <f>IF($B1439="","",TEXT($B1439,"0000"))</f>
        <v/>
      </c>
      <c r="W1439" s="19">
        <f>IF($I1439="","",IF(ISNUMBER($I1439),TEXT($I1439,"0"),$I1439))</f>
        <v/>
      </c>
    </row>
    <row r="1440">
      <c r="B1440" s="25" t="n"/>
      <c r="I1440" s="25" t="n"/>
      <c r="U1440" s="19">
        <f>IF($V1440&lt;&gt;'設定'!$C$4,N(U1439),IF(OR(NOT(COUNTIF('商品マスタ'!$B$6:$B$1005,$W1440)=0),COUNTIFS('①在庫を貼る'!$V$6:$V$10005,$V1440,'①在庫を貼る'!$W$6:$W$10005,$W1440)&gt;0),N(U1439),N(U1439)+1))</f>
        <v/>
      </c>
      <c r="V1440" s="19">
        <f>IF($B1440="","",TEXT($B1440,"0000"))</f>
        <v/>
      </c>
      <c r="W1440" s="19">
        <f>IF($I1440="","",IF(ISNUMBER($I1440),TEXT($I1440,"0"),$I1440))</f>
        <v/>
      </c>
    </row>
    <row r="1441">
      <c r="B1441" s="25" t="n"/>
      <c r="I1441" s="25" t="n"/>
      <c r="U1441" s="19">
        <f>IF($V1441&lt;&gt;'設定'!$C$4,N(U1440),IF(OR(NOT(COUNTIF('商品マスタ'!$B$6:$B$1005,$W1441)=0),COUNTIFS('①在庫を貼る'!$V$6:$V$10005,$V1441,'①在庫を貼る'!$W$6:$W$10005,$W1441)&gt;0),N(U1440),N(U1440)+1))</f>
        <v/>
      </c>
      <c r="V1441" s="19">
        <f>IF($B1441="","",TEXT($B1441,"0000"))</f>
        <v/>
      </c>
      <c r="W1441" s="19">
        <f>IF($I1441="","",IF(ISNUMBER($I1441),TEXT($I1441,"0"),$I1441))</f>
        <v/>
      </c>
    </row>
    <row r="1442">
      <c r="B1442" s="25" t="n"/>
      <c r="I1442" s="25" t="n"/>
      <c r="U1442" s="19">
        <f>IF($V1442&lt;&gt;'設定'!$C$4,N(U1441),IF(OR(NOT(COUNTIF('商品マスタ'!$B$6:$B$1005,$W1442)=0),COUNTIFS('①在庫を貼る'!$V$6:$V$10005,$V1442,'①在庫を貼る'!$W$6:$W$10005,$W1442)&gt;0),N(U1441),N(U1441)+1))</f>
        <v/>
      </c>
      <c r="V1442" s="19">
        <f>IF($B1442="","",TEXT($B1442,"0000"))</f>
        <v/>
      </c>
      <c r="W1442" s="19">
        <f>IF($I1442="","",IF(ISNUMBER($I1442),TEXT($I1442,"0"),$I1442))</f>
        <v/>
      </c>
    </row>
    <row r="1443">
      <c r="B1443" s="25" t="n"/>
      <c r="I1443" s="25" t="n"/>
      <c r="U1443" s="19">
        <f>IF($V1443&lt;&gt;'設定'!$C$4,N(U1442),IF(OR(NOT(COUNTIF('商品マスタ'!$B$6:$B$1005,$W1443)=0),COUNTIFS('①在庫を貼る'!$V$6:$V$10005,$V1443,'①在庫を貼る'!$W$6:$W$10005,$W1443)&gt;0),N(U1442),N(U1442)+1))</f>
        <v/>
      </c>
      <c r="V1443" s="19">
        <f>IF($B1443="","",TEXT($B1443,"0000"))</f>
        <v/>
      </c>
      <c r="W1443" s="19">
        <f>IF($I1443="","",IF(ISNUMBER($I1443),TEXT($I1443,"0"),$I1443))</f>
        <v/>
      </c>
    </row>
    <row r="1444">
      <c r="B1444" s="25" t="n"/>
      <c r="I1444" s="25" t="n"/>
      <c r="U1444" s="19">
        <f>IF($V1444&lt;&gt;'設定'!$C$4,N(U1443),IF(OR(NOT(COUNTIF('商品マスタ'!$B$6:$B$1005,$W1444)=0),COUNTIFS('①在庫を貼る'!$V$6:$V$10005,$V1444,'①在庫を貼る'!$W$6:$W$10005,$W1444)&gt;0),N(U1443),N(U1443)+1))</f>
        <v/>
      </c>
      <c r="V1444" s="19">
        <f>IF($B1444="","",TEXT($B1444,"0000"))</f>
        <v/>
      </c>
      <c r="W1444" s="19">
        <f>IF($I1444="","",IF(ISNUMBER($I1444),TEXT($I1444,"0"),$I1444))</f>
        <v/>
      </c>
    </row>
    <row r="1445">
      <c r="B1445" s="25" t="n"/>
      <c r="I1445" s="25" t="n"/>
      <c r="U1445" s="19">
        <f>IF($V1445&lt;&gt;'設定'!$C$4,N(U1444),IF(OR(NOT(COUNTIF('商品マスタ'!$B$6:$B$1005,$W1445)=0),COUNTIFS('①在庫を貼る'!$V$6:$V$10005,$V1445,'①在庫を貼る'!$W$6:$W$10005,$W1445)&gt;0),N(U1444),N(U1444)+1))</f>
        <v/>
      </c>
      <c r="V1445" s="19">
        <f>IF($B1445="","",TEXT($B1445,"0000"))</f>
        <v/>
      </c>
      <c r="W1445" s="19">
        <f>IF($I1445="","",IF(ISNUMBER($I1445),TEXT($I1445,"0"),$I1445))</f>
        <v/>
      </c>
    </row>
    <row r="1446">
      <c r="B1446" s="25" t="n"/>
      <c r="I1446" s="25" t="n"/>
      <c r="U1446" s="19">
        <f>IF($V1446&lt;&gt;'設定'!$C$4,N(U1445),IF(OR(NOT(COUNTIF('商品マスタ'!$B$6:$B$1005,$W1446)=0),COUNTIFS('①在庫を貼る'!$V$6:$V$10005,$V1446,'①在庫を貼る'!$W$6:$W$10005,$W1446)&gt;0),N(U1445),N(U1445)+1))</f>
        <v/>
      </c>
      <c r="V1446" s="19">
        <f>IF($B1446="","",TEXT($B1446,"0000"))</f>
        <v/>
      </c>
      <c r="W1446" s="19">
        <f>IF($I1446="","",IF(ISNUMBER($I1446),TEXT($I1446,"0"),$I1446))</f>
        <v/>
      </c>
    </row>
    <row r="1447">
      <c r="B1447" s="25" t="n"/>
      <c r="I1447" s="25" t="n"/>
      <c r="U1447" s="19">
        <f>IF($V1447&lt;&gt;'設定'!$C$4,N(U1446),IF(OR(NOT(COUNTIF('商品マスタ'!$B$6:$B$1005,$W1447)=0),COUNTIFS('①在庫を貼る'!$V$6:$V$10005,$V1447,'①在庫を貼る'!$W$6:$W$10005,$W1447)&gt;0),N(U1446),N(U1446)+1))</f>
        <v/>
      </c>
      <c r="V1447" s="19">
        <f>IF($B1447="","",TEXT($B1447,"0000"))</f>
        <v/>
      </c>
      <c r="W1447" s="19">
        <f>IF($I1447="","",IF(ISNUMBER($I1447),TEXT($I1447,"0"),$I1447))</f>
        <v/>
      </c>
    </row>
    <row r="1448">
      <c r="B1448" s="25" t="n"/>
      <c r="I1448" s="25" t="n"/>
      <c r="U1448" s="19">
        <f>IF($V1448&lt;&gt;'設定'!$C$4,N(U1447),IF(OR(NOT(COUNTIF('商品マスタ'!$B$6:$B$1005,$W1448)=0),COUNTIFS('①在庫を貼る'!$V$6:$V$10005,$V1448,'①在庫を貼る'!$W$6:$W$10005,$W1448)&gt;0),N(U1447),N(U1447)+1))</f>
        <v/>
      </c>
      <c r="V1448" s="19">
        <f>IF($B1448="","",TEXT($B1448,"0000"))</f>
        <v/>
      </c>
      <c r="W1448" s="19">
        <f>IF($I1448="","",IF(ISNUMBER($I1448),TEXT($I1448,"0"),$I1448))</f>
        <v/>
      </c>
    </row>
    <row r="1449">
      <c r="B1449" s="25" t="n"/>
      <c r="I1449" s="25" t="n"/>
      <c r="U1449" s="19">
        <f>IF($V1449&lt;&gt;'設定'!$C$4,N(U1448),IF(OR(NOT(COUNTIF('商品マスタ'!$B$6:$B$1005,$W1449)=0),COUNTIFS('①在庫を貼る'!$V$6:$V$10005,$V1449,'①在庫を貼る'!$W$6:$W$10005,$W1449)&gt;0),N(U1448),N(U1448)+1))</f>
        <v/>
      </c>
      <c r="V1449" s="19">
        <f>IF($B1449="","",TEXT($B1449,"0000"))</f>
        <v/>
      </c>
      <c r="W1449" s="19">
        <f>IF($I1449="","",IF(ISNUMBER($I1449),TEXT($I1449,"0"),$I1449))</f>
        <v/>
      </c>
    </row>
    <row r="1450">
      <c r="B1450" s="25" t="n"/>
      <c r="I1450" s="25" t="n"/>
      <c r="U1450" s="19">
        <f>IF($V1450&lt;&gt;'設定'!$C$4,N(U1449),IF(OR(NOT(COUNTIF('商品マスタ'!$B$6:$B$1005,$W1450)=0),COUNTIFS('①在庫を貼る'!$V$6:$V$10005,$V1450,'①在庫を貼る'!$W$6:$W$10005,$W1450)&gt;0),N(U1449),N(U1449)+1))</f>
        <v/>
      </c>
      <c r="V1450" s="19">
        <f>IF($B1450="","",TEXT($B1450,"0000"))</f>
        <v/>
      </c>
      <c r="W1450" s="19">
        <f>IF($I1450="","",IF(ISNUMBER($I1450),TEXT($I1450,"0"),$I1450))</f>
        <v/>
      </c>
    </row>
    <row r="1451">
      <c r="B1451" s="25" t="n"/>
      <c r="I1451" s="25" t="n"/>
      <c r="U1451" s="19">
        <f>IF($V1451&lt;&gt;'設定'!$C$4,N(U1450),IF(OR(NOT(COUNTIF('商品マスタ'!$B$6:$B$1005,$W1451)=0),COUNTIFS('①在庫を貼る'!$V$6:$V$10005,$V1451,'①在庫を貼る'!$W$6:$W$10005,$W1451)&gt;0),N(U1450),N(U1450)+1))</f>
        <v/>
      </c>
      <c r="V1451" s="19">
        <f>IF($B1451="","",TEXT($B1451,"0000"))</f>
        <v/>
      </c>
      <c r="W1451" s="19">
        <f>IF($I1451="","",IF(ISNUMBER($I1451),TEXT($I1451,"0"),$I1451))</f>
        <v/>
      </c>
    </row>
    <row r="1452">
      <c r="B1452" s="25" t="n"/>
      <c r="I1452" s="25" t="n"/>
      <c r="U1452" s="19">
        <f>IF($V1452&lt;&gt;'設定'!$C$4,N(U1451),IF(OR(NOT(COUNTIF('商品マスタ'!$B$6:$B$1005,$W1452)=0),COUNTIFS('①在庫を貼る'!$V$6:$V$10005,$V1452,'①在庫を貼る'!$W$6:$W$10005,$W1452)&gt;0),N(U1451),N(U1451)+1))</f>
        <v/>
      </c>
      <c r="V1452" s="19">
        <f>IF($B1452="","",TEXT($B1452,"0000"))</f>
        <v/>
      </c>
      <c r="W1452" s="19">
        <f>IF($I1452="","",IF(ISNUMBER($I1452),TEXT($I1452,"0"),$I1452))</f>
        <v/>
      </c>
    </row>
    <row r="1453">
      <c r="B1453" s="25" t="n"/>
      <c r="I1453" s="25" t="n"/>
      <c r="U1453" s="19">
        <f>IF($V1453&lt;&gt;'設定'!$C$4,N(U1452),IF(OR(NOT(COUNTIF('商品マスタ'!$B$6:$B$1005,$W1453)=0),COUNTIFS('①在庫を貼る'!$V$6:$V$10005,$V1453,'①在庫を貼る'!$W$6:$W$10005,$W1453)&gt;0),N(U1452),N(U1452)+1))</f>
        <v/>
      </c>
      <c r="V1453" s="19">
        <f>IF($B1453="","",TEXT($B1453,"0000"))</f>
        <v/>
      </c>
      <c r="W1453" s="19">
        <f>IF($I1453="","",IF(ISNUMBER($I1453),TEXT($I1453,"0"),$I1453))</f>
        <v/>
      </c>
    </row>
    <row r="1454">
      <c r="B1454" s="25" t="n"/>
      <c r="I1454" s="25" t="n"/>
      <c r="U1454" s="19">
        <f>IF($V1454&lt;&gt;'設定'!$C$4,N(U1453),IF(OR(NOT(COUNTIF('商品マスタ'!$B$6:$B$1005,$W1454)=0),COUNTIFS('①在庫を貼る'!$V$6:$V$10005,$V1454,'①在庫を貼る'!$W$6:$W$10005,$W1454)&gt;0),N(U1453),N(U1453)+1))</f>
        <v/>
      </c>
      <c r="V1454" s="19">
        <f>IF($B1454="","",TEXT($B1454,"0000"))</f>
        <v/>
      </c>
      <c r="W1454" s="19">
        <f>IF($I1454="","",IF(ISNUMBER($I1454),TEXT($I1454,"0"),$I1454))</f>
        <v/>
      </c>
    </row>
    <row r="1455">
      <c r="B1455" s="25" t="n"/>
      <c r="I1455" s="25" t="n"/>
      <c r="U1455" s="19">
        <f>IF($V1455&lt;&gt;'設定'!$C$4,N(U1454),IF(OR(NOT(COUNTIF('商品マスタ'!$B$6:$B$1005,$W1455)=0),COUNTIFS('①在庫を貼る'!$V$6:$V$10005,$V1455,'①在庫を貼る'!$W$6:$W$10005,$W1455)&gt;0),N(U1454),N(U1454)+1))</f>
        <v/>
      </c>
      <c r="V1455" s="19">
        <f>IF($B1455="","",TEXT($B1455,"0000"))</f>
        <v/>
      </c>
      <c r="W1455" s="19">
        <f>IF($I1455="","",IF(ISNUMBER($I1455),TEXT($I1455,"0"),$I1455))</f>
        <v/>
      </c>
    </row>
    <row r="1456">
      <c r="B1456" s="25" t="n"/>
      <c r="I1456" s="25" t="n"/>
      <c r="U1456" s="19">
        <f>IF($V1456&lt;&gt;'設定'!$C$4,N(U1455),IF(OR(NOT(COUNTIF('商品マスタ'!$B$6:$B$1005,$W1456)=0),COUNTIFS('①在庫を貼る'!$V$6:$V$10005,$V1456,'①在庫を貼る'!$W$6:$W$10005,$W1456)&gt;0),N(U1455),N(U1455)+1))</f>
        <v/>
      </c>
      <c r="V1456" s="19">
        <f>IF($B1456="","",TEXT($B1456,"0000"))</f>
        <v/>
      </c>
      <c r="W1456" s="19">
        <f>IF($I1456="","",IF(ISNUMBER($I1456),TEXT($I1456,"0"),$I1456))</f>
        <v/>
      </c>
    </row>
    <row r="1457">
      <c r="B1457" s="25" t="n"/>
      <c r="I1457" s="25" t="n"/>
      <c r="U1457" s="19">
        <f>IF($V1457&lt;&gt;'設定'!$C$4,N(U1456),IF(OR(NOT(COUNTIF('商品マスタ'!$B$6:$B$1005,$W1457)=0),COUNTIFS('①在庫を貼る'!$V$6:$V$10005,$V1457,'①在庫を貼る'!$W$6:$W$10005,$W1457)&gt;0),N(U1456),N(U1456)+1))</f>
        <v/>
      </c>
      <c r="V1457" s="19">
        <f>IF($B1457="","",TEXT($B1457,"0000"))</f>
        <v/>
      </c>
      <c r="W1457" s="19">
        <f>IF($I1457="","",IF(ISNUMBER($I1457),TEXT($I1457,"0"),$I1457))</f>
        <v/>
      </c>
    </row>
    <row r="1458">
      <c r="B1458" s="25" t="n"/>
      <c r="I1458" s="25" t="n"/>
      <c r="U1458" s="19">
        <f>IF($V1458&lt;&gt;'設定'!$C$4,N(U1457),IF(OR(NOT(COUNTIF('商品マスタ'!$B$6:$B$1005,$W1458)=0),COUNTIFS('①在庫を貼る'!$V$6:$V$10005,$V1458,'①在庫を貼る'!$W$6:$W$10005,$W1458)&gt;0),N(U1457),N(U1457)+1))</f>
        <v/>
      </c>
      <c r="V1458" s="19">
        <f>IF($B1458="","",TEXT($B1458,"0000"))</f>
        <v/>
      </c>
      <c r="W1458" s="19">
        <f>IF($I1458="","",IF(ISNUMBER($I1458),TEXT($I1458,"0"),$I1458))</f>
        <v/>
      </c>
    </row>
    <row r="1459">
      <c r="B1459" s="25" t="n"/>
      <c r="I1459" s="25" t="n"/>
      <c r="U1459" s="19">
        <f>IF($V1459&lt;&gt;'設定'!$C$4,N(U1458),IF(OR(NOT(COUNTIF('商品マスタ'!$B$6:$B$1005,$W1459)=0),COUNTIFS('①在庫を貼る'!$V$6:$V$10005,$V1459,'①在庫を貼る'!$W$6:$W$10005,$W1459)&gt;0),N(U1458),N(U1458)+1))</f>
        <v/>
      </c>
      <c r="V1459" s="19">
        <f>IF($B1459="","",TEXT($B1459,"0000"))</f>
        <v/>
      </c>
      <c r="W1459" s="19">
        <f>IF($I1459="","",IF(ISNUMBER($I1459),TEXT($I1459,"0"),$I1459))</f>
        <v/>
      </c>
    </row>
    <row r="1460">
      <c r="B1460" s="25" t="n"/>
      <c r="I1460" s="25" t="n"/>
      <c r="U1460" s="19">
        <f>IF($V1460&lt;&gt;'設定'!$C$4,N(U1459),IF(OR(NOT(COUNTIF('商品マスタ'!$B$6:$B$1005,$W1460)=0),COUNTIFS('①在庫を貼る'!$V$6:$V$10005,$V1460,'①在庫を貼る'!$W$6:$W$10005,$W1460)&gt;0),N(U1459),N(U1459)+1))</f>
        <v/>
      </c>
      <c r="V1460" s="19">
        <f>IF($B1460="","",TEXT($B1460,"0000"))</f>
        <v/>
      </c>
      <c r="W1460" s="19">
        <f>IF($I1460="","",IF(ISNUMBER($I1460),TEXT($I1460,"0"),$I1460))</f>
        <v/>
      </c>
    </row>
    <row r="1461">
      <c r="B1461" s="25" t="n"/>
      <c r="I1461" s="25" t="n"/>
      <c r="U1461" s="19">
        <f>IF($V1461&lt;&gt;'設定'!$C$4,N(U1460),IF(OR(NOT(COUNTIF('商品マスタ'!$B$6:$B$1005,$W1461)=0),COUNTIFS('①在庫を貼る'!$V$6:$V$10005,$V1461,'①在庫を貼る'!$W$6:$W$10005,$W1461)&gt;0),N(U1460),N(U1460)+1))</f>
        <v/>
      </c>
      <c r="V1461" s="19">
        <f>IF($B1461="","",TEXT($B1461,"0000"))</f>
        <v/>
      </c>
      <c r="W1461" s="19">
        <f>IF($I1461="","",IF(ISNUMBER($I1461),TEXT($I1461,"0"),$I1461))</f>
        <v/>
      </c>
    </row>
    <row r="1462">
      <c r="B1462" s="25" t="n"/>
      <c r="I1462" s="25" t="n"/>
      <c r="U1462" s="19">
        <f>IF($V1462&lt;&gt;'設定'!$C$4,N(U1461),IF(OR(NOT(COUNTIF('商品マスタ'!$B$6:$B$1005,$W1462)=0),COUNTIFS('①在庫を貼る'!$V$6:$V$10005,$V1462,'①在庫を貼る'!$W$6:$W$10005,$W1462)&gt;0),N(U1461),N(U1461)+1))</f>
        <v/>
      </c>
      <c r="V1462" s="19">
        <f>IF($B1462="","",TEXT($B1462,"0000"))</f>
        <v/>
      </c>
      <c r="W1462" s="19">
        <f>IF($I1462="","",IF(ISNUMBER($I1462),TEXT($I1462,"0"),$I1462))</f>
        <v/>
      </c>
    </row>
    <row r="1463">
      <c r="B1463" s="25" t="n"/>
      <c r="I1463" s="25" t="n"/>
      <c r="U1463" s="19">
        <f>IF($V1463&lt;&gt;'設定'!$C$4,N(U1462),IF(OR(NOT(COUNTIF('商品マスタ'!$B$6:$B$1005,$W1463)=0),COUNTIFS('①在庫を貼る'!$V$6:$V$10005,$V1463,'①在庫を貼る'!$W$6:$W$10005,$W1463)&gt;0),N(U1462),N(U1462)+1))</f>
        <v/>
      </c>
      <c r="V1463" s="19">
        <f>IF($B1463="","",TEXT($B1463,"0000"))</f>
        <v/>
      </c>
      <c r="W1463" s="19">
        <f>IF($I1463="","",IF(ISNUMBER($I1463),TEXT($I1463,"0"),$I1463))</f>
        <v/>
      </c>
    </row>
    <row r="1464">
      <c r="B1464" s="25" t="n"/>
      <c r="I1464" s="25" t="n"/>
      <c r="U1464" s="19">
        <f>IF($V1464&lt;&gt;'設定'!$C$4,N(U1463),IF(OR(NOT(COUNTIF('商品マスタ'!$B$6:$B$1005,$W1464)=0),COUNTIFS('①在庫を貼る'!$V$6:$V$10005,$V1464,'①在庫を貼る'!$W$6:$W$10005,$W1464)&gt;0),N(U1463),N(U1463)+1))</f>
        <v/>
      </c>
      <c r="V1464" s="19">
        <f>IF($B1464="","",TEXT($B1464,"0000"))</f>
        <v/>
      </c>
      <c r="W1464" s="19">
        <f>IF($I1464="","",IF(ISNUMBER($I1464),TEXT($I1464,"0"),$I1464))</f>
        <v/>
      </c>
    </row>
    <row r="1465">
      <c r="B1465" s="25" t="n"/>
      <c r="I1465" s="25" t="n"/>
      <c r="U1465" s="19">
        <f>IF($V1465&lt;&gt;'設定'!$C$4,N(U1464),IF(OR(NOT(COUNTIF('商品マスタ'!$B$6:$B$1005,$W1465)=0),COUNTIFS('①在庫を貼る'!$V$6:$V$10005,$V1465,'①在庫を貼る'!$W$6:$W$10005,$W1465)&gt;0),N(U1464),N(U1464)+1))</f>
        <v/>
      </c>
      <c r="V1465" s="19">
        <f>IF($B1465="","",TEXT($B1465,"0000"))</f>
        <v/>
      </c>
      <c r="W1465" s="19">
        <f>IF($I1465="","",IF(ISNUMBER($I1465),TEXT($I1465,"0"),$I1465))</f>
        <v/>
      </c>
    </row>
    <row r="1466">
      <c r="B1466" s="25" t="n"/>
      <c r="I1466" s="25" t="n"/>
      <c r="U1466" s="19">
        <f>IF($V1466&lt;&gt;'設定'!$C$4,N(U1465),IF(OR(NOT(COUNTIF('商品マスタ'!$B$6:$B$1005,$W1466)=0),COUNTIFS('①在庫を貼る'!$V$6:$V$10005,$V1466,'①在庫を貼る'!$W$6:$W$10005,$W1466)&gt;0),N(U1465),N(U1465)+1))</f>
        <v/>
      </c>
      <c r="V1466" s="19">
        <f>IF($B1466="","",TEXT($B1466,"0000"))</f>
        <v/>
      </c>
      <c r="W1466" s="19">
        <f>IF($I1466="","",IF(ISNUMBER($I1466),TEXT($I1466,"0"),$I1466))</f>
        <v/>
      </c>
    </row>
    <row r="1467">
      <c r="B1467" s="25" t="n"/>
      <c r="I1467" s="25" t="n"/>
      <c r="U1467" s="19">
        <f>IF($V1467&lt;&gt;'設定'!$C$4,N(U1466),IF(OR(NOT(COUNTIF('商品マスタ'!$B$6:$B$1005,$W1467)=0),COUNTIFS('①在庫を貼る'!$V$6:$V$10005,$V1467,'①在庫を貼る'!$W$6:$W$10005,$W1467)&gt;0),N(U1466),N(U1466)+1))</f>
        <v/>
      </c>
      <c r="V1467" s="19">
        <f>IF($B1467="","",TEXT($B1467,"0000"))</f>
        <v/>
      </c>
      <c r="W1467" s="19">
        <f>IF($I1467="","",IF(ISNUMBER($I1467),TEXT($I1467,"0"),$I1467))</f>
        <v/>
      </c>
    </row>
    <row r="1468">
      <c r="B1468" s="25" t="n"/>
      <c r="I1468" s="25" t="n"/>
      <c r="U1468" s="19">
        <f>IF($V1468&lt;&gt;'設定'!$C$4,N(U1467),IF(OR(NOT(COUNTIF('商品マスタ'!$B$6:$B$1005,$W1468)=0),COUNTIFS('①在庫を貼る'!$V$6:$V$10005,$V1468,'①在庫を貼る'!$W$6:$W$10005,$W1468)&gt;0),N(U1467),N(U1467)+1))</f>
        <v/>
      </c>
      <c r="V1468" s="19">
        <f>IF($B1468="","",TEXT($B1468,"0000"))</f>
        <v/>
      </c>
      <c r="W1468" s="19">
        <f>IF($I1468="","",IF(ISNUMBER($I1468),TEXT($I1468,"0"),$I1468))</f>
        <v/>
      </c>
    </row>
    <row r="1469">
      <c r="B1469" s="25" t="n"/>
      <c r="I1469" s="25" t="n"/>
      <c r="U1469" s="19">
        <f>IF($V1469&lt;&gt;'設定'!$C$4,N(U1468),IF(OR(NOT(COUNTIF('商品マスタ'!$B$6:$B$1005,$W1469)=0),COUNTIFS('①在庫を貼る'!$V$6:$V$10005,$V1469,'①在庫を貼る'!$W$6:$W$10005,$W1469)&gt;0),N(U1468),N(U1468)+1))</f>
        <v/>
      </c>
      <c r="V1469" s="19">
        <f>IF($B1469="","",TEXT($B1469,"0000"))</f>
        <v/>
      </c>
      <c r="W1469" s="19">
        <f>IF($I1469="","",IF(ISNUMBER($I1469),TEXT($I1469,"0"),$I1469))</f>
        <v/>
      </c>
    </row>
    <row r="1470">
      <c r="B1470" s="25" t="n"/>
      <c r="I1470" s="25" t="n"/>
      <c r="U1470" s="19">
        <f>IF($V1470&lt;&gt;'設定'!$C$4,N(U1469),IF(OR(NOT(COUNTIF('商品マスタ'!$B$6:$B$1005,$W1470)=0),COUNTIFS('①在庫を貼る'!$V$6:$V$10005,$V1470,'①在庫を貼る'!$W$6:$W$10005,$W1470)&gt;0),N(U1469),N(U1469)+1))</f>
        <v/>
      </c>
      <c r="V1470" s="19">
        <f>IF($B1470="","",TEXT($B1470,"0000"))</f>
        <v/>
      </c>
      <c r="W1470" s="19">
        <f>IF($I1470="","",IF(ISNUMBER($I1470),TEXT($I1470,"0"),$I1470))</f>
        <v/>
      </c>
    </row>
    <row r="1471">
      <c r="B1471" s="25" t="n"/>
      <c r="I1471" s="25" t="n"/>
      <c r="U1471" s="19">
        <f>IF($V1471&lt;&gt;'設定'!$C$4,N(U1470),IF(OR(NOT(COUNTIF('商品マスタ'!$B$6:$B$1005,$W1471)=0),COUNTIFS('①在庫を貼る'!$V$6:$V$10005,$V1471,'①在庫を貼る'!$W$6:$W$10005,$W1471)&gt;0),N(U1470),N(U1470)+1))</f>
        <v/>
      </c>
      <c r="V1471" s="19">
        <f>IF($B1471="","",TEXT($B1471,"0000"))</f>
        <v/>
      </c>
      <c r="W1471" s="19">
        <f>IF($I1471="","",IF(ISNUMBER($I1471),TEXT($I1471,"0"),$I1471))</f>
        <v/>
      </c>
    </row>
    <row r="1472">
      <c r="B1472" s="25" t="n"/>
      <c r="I1472" s="25" t="n"/>
      <c r="U1472" s="19">
        <f>IF($V1472&lt;&gt;'設定'!$C$4,N(U1471),IF(OR(NOT(COUNTIF('商品マスタ'!$B$6:$B$1005,$W1472)=0),COUNTIFS('①在庫を貼る'!$V$6:$V$10005,$V1472,'①在庫を貼る'!$W$6:$W$10005,$W1472)&gt;0),N(U1471),N(U1471)+1))</f>
        <v/>
      </c>
      <c r="V1472" s="19">
        <f>IF($B1472="","",TEXT($B1472,"0000"))</f>
        <v/>
      </c>
      <c r="W1472" s="19">
        <f>IF($I1472="","",IF(ISNUMBER($I1472),TEXT($I1472,"0"),$I1472))</f>
        <v/>
      </c>
    </row>
    <row r="1473">
      <c r="B1473" s="25" t="n"/>
      <c r="I1473" s="25" t="n"/>
      <c r="U1473" s="19">
        <f>IF($V1473&lt;&gt;'設定'!$C$4,N(U1472),IF(OR(NOT(COUNTIF('商品マスタ'!$B$6:$B$1005,$W1473)=0),COUNTIFS('①在庫を貼る'!$V$6:$V$10005,$V1473,'①在庫を貼る'!$W$6:$W$10005,$W1473)&gt;0),N(U1472),N(U1472)+1))</f>
        <v/>
      </c>
      <c r="V1473" s="19">
        <f>IF($B1473="","",TEXT($B1473,"0000"))</f>
        <v/>
      </c>
      <c r="W1473" s="19">
        <f>IF($I1473="","",IF(ISNUMBER($I1473),TEXT($I1473,"0"),$I1473))</f>
        <v/>
      </c>
    </row>
    <row r="1474">
      <c r="B1474" s="25" t="n"/>
      <c r="I1474" s="25" t="n"/>
      <c r="U1474" s="19">
        <f>IF($V1474&lt;&gt;'設定'!$C$4,N(U1473),IF(OR(NOT(COUNTIF('商品マスタ'!$B$6:$B$1005,$W1474)=0),COUNTIFS('①在庫を貼る'!$V$6:$V$10005,$V1474,'①在庫を貼る'!$W$6:$W$10005,$W1474)&gt;0),N(U1473),N(U1473)+1))</f>
        <v/>
      </c>
      <c r="V1474" s="19">
        <f>IF($B1474="","",TEXT($B1474,"0000"))</f>
        <v/>
      </c>
      <c r="W1474" s="19">
        <f>IF($I1474="","",IF(ISNUMBER($I1474),TEXT($I1474,"0"),$I1474))</f>
        <v/>
      </c>
    </row>
    <row r="1475">
      <c r="B1475" s="25" t="n"/>
      <c r="I1475" s="25" t="n"/>
      <c r="U1475" s="19">
        <f>IF($V1475&lt;&gt;'設定'!$C$4,N(U1474),IF(OR(NOT(COUNTIF('商品マスタ'!$B$6:$B$1005,$W1475)=0),COUNTIFS('①在庫を貼る'!$V$6:$V$10005,$V1475,'①在庫を貼る'!$W$6:$W$10005,$W1475)&gt;0),N(U1474),N(U1474)+1))</f>
        <v/>
      </c>
      <c r="V1475" s="19">
        <f>IF($B1475="","",TEXT($B1475,"0000"))</f>
        <v/>
      </c>
      <c r="W1475" s="19">
        <f>IF($I1475="","",IF(ISNUMBER($I1475),TEXT($I1475,"0"),$I1475))</f>
        <v/>
      </c>
    </row>
    <row r="1476">
      <c r="B1476" s="25" t="n"/>
      <c r="I1476" s="25" t="n"/>
      <c r="U1476" s="19">
        <f>IF($V1476&lt;&gt;'設定'!$C$4,N(U1475),IF(OR(NOT(COUNTIF('商品マスタ'!$B$6:$B$1005,$W1476)=0),COUNTIFS('①在庫を貼る'!$V$6:$V$10005,$V1476,'①在庫を貼る'!$W$6:$W$10005,$W1476)&gt;0),N(U1475),N(U1475)+1))</f>
        <v/>
      </c>
      <c r="V1476" s="19">
        <f>IF($B1476="","",TEXT($B1476,"0000"))</f>
        <v/>
      </c>
      <c r="W1476" s="19">
        <f>IF($I1476="","",IF(ISNUMBER($I1476),TEXT($I1476,"0"),$I1476))</f>
        <v/>
      </c>
    </row>
    <row r="1477">
      <c r="B1477" s="25" t="n"/>
      <c r="I1477" s="25" t="n"/>
      <c r="U1477" s="19">
        <f>IF($V1477&lt;&gt;'設定'!$C$4,N(U1476),IF(OR(NOT(COUNTIF('商品マスタ'!$B$6:$B$1005,$W1477)=0),COUNTIFS('①在庫を貼る'!$V$6:$V$10005,$V1477,'①在庫を貼る'!$W$6:$W$10005,$W1477)&gt;0),N(U1476),N(U1476)+1))</f>
        <v/>
      </c>
      <c r="V1477" s="19">
        <f>IF($B1477="","",TEXT($B1477,"0000"))</f>
        <v/>
      </c>
      <c r="W1477" s="19">
        <f>IF($I1477="","",IF(ISNUMBER($I1477),TEXT($I1477,"0"),$I1477))</f>
        <v/>
      </c>
    </row>
    <row r="1478">
      <c r="B1478" s="25" t="n"/>
      <c r="I1478" s="25" t="n"/>
      <c r="U1478" s="19">
        <f>IF($V1478&lt;&gt;'設定'!$C$4,N(U1477),IF(OR(NOT(COUNTIF('商品マスタ'!$B$6:$B$1005,$W1478)=0),COUNTIFS('①在庫を貼る'!$V$6:$V$10005,$V1478,'①在庫を貼る'!$W$6:$W$10005,$W1478)&gt;0),N(U1477),N(U1477)+1))</f>
        <v/>
      </c>
      <c r="V1478" s="19">
        <f>IF($B1478="","",TEXT($B1478,"0000"))</f>
        <v/>
      </c>
      <c r="W1478" s="19">
        <f>IF($I1478="","",IF(ISNUMBER($I1478),TEXT($I1478,"0"),$I1478))</f>
        <v/>
      </c>
    </row>
    <row r="1479">
      <c r="B1479" s="25" t="n"/>
      <c r="I1479" s="25" t="n"/>
      <c r="U1479" s="19">
        <f>IF($V1479&lt;&gt;'設定'!$C$4,N(U1478),IF(OR(NOT(COUNTIF('商品マスタ'!$B$6:$B$1005,$W1479)=0),COUNTIFS('①在庫を貼る'!$V$6:$V$10005,$V1479,'①在庫を貼る'!$W$6:$W$10005,$W1479)&gt;0),N(U1478),N(U1478)+1))</f>
        <v/>
      </c>
      <c r="V1479" s="19">
        <f>IF($B1479="","",TEXT($B1479,"0000"))</f>
        <v/>
      </c>
      <c r="W1479" s="19">
        <f>IF($I1479="","",IF(ISNUMBER($I1479),TEXT($I1479,"0"),$I1479))</f>
        <v/>
      </c>
    </row>
    <row r="1480">
      <c r="B1480" s="25" t="n"/>
      <c r="I1480" s="25" t="n"/>
      <c r="U1480" s="19">
        <f>IF($V1480&lt;&gt;'設定'!$C$4,N(U1479),IF(OR(NOT(COUNTIF('商品マスタ'!$B$6:$B$1005,$W1480)=0),COUNTIFS('①在庫を貼る'!$V$6:$V$10005,$V1480,'①在庫を貼る'!$W$6:$W$10005,$W1480)&gt;0),N(U1479),N(U1479)+1))</f>
        <v/>
      </c>
      <c r="V1480" s="19">
        <f>IF($B1480="","",TEXT($B1480,"0000"))</f>
        <v/>
      </c>
      <c r="W1480" s="19">
        <f>IF($I1480="","",IF(ISNUMBER($I1480),TEXT($I1480,"0"),$I1480))</f>
        <v/>
      </c>
    </row>
    <row r="1481">
      <c r="B1481" s="25" t="n"/>
      <c r="I1481" s="25" t="n"/>
      <c r="U1481" s="19">
        <f>IF($V1481&lt;&gt;'設定'!$C$4,N(U1480),IF(OR(NOT(COUNTIF('商品マスタ'!$B$6:$B$1005,$W1481)=0),COUNTIFS('①在庫を貼る'!$V$6:$V$10005,$V1481,'①在庫を貼る'!$W$6:$W$10005,$W1481)&gt;0),N(U1480),N(U1480)+1))</f>
        <v/>
      </c>
      <c r="V1481" s="19">
        <f>IF($B1481="","",TEXT($B1481,"0000"))</f>
        <v/>
      </c>
      <c r="W1481" s="19">
        <f>IF($I1481="","",IF(ISNUMBER($I1481),TEXT($I1481,"0"),$I1481))</f>
        <v/>
      </c>
    </row>
    <row r="1482">
      <c r="B1482" s="25" t="n"/>
      <c r="I1482" s="25" t="n"/>
      <c r="U1482" s="19">
        <f>IF($V1482&lt;&gt;'設定'!$C$4,N(U1481),IF(OR(NOT(COUNTIF('商品マスタ'!$B$6:$B$1005,$W1482)=0),COUNTIFS('①在庫を貼る'!$V$6:$V$10005,$V1482,'①在庫を貼る'!$W$6:$W$10005,$W1482)&gt;0),N(U1481),N(U1481)+1))</f>
        <v/>
      </c>
      <c r="V1482" s="19">
        <f>IF($B1482="","",TEXT($B1482,"0000"))</f>
        <v/>
      </c>
      <c r="W1482" s="19">
        <f>IF($I1482="","",IF(ISNUMBER($I1482),TEXT($I1482,"0"),$I1482))</f>
        <v/>
      </c>
    </row>
    <row r="1483">
      <c r="B1483" s="25" t="n"/>
      <c r="I1483" s="25" t="n"/>
      <c r="U1483" s="19">
        <f>IF($V1483&lt;&gt;'設定'!$C$4,N(U1482),IF(OR(NOT(COUNTIF('商品マスタ'!$B$6:$B$1005,$W1483)=0),COUNTIFS('①在庫を貼る'!$V$6:$V$10005,$V1483,'①在庫を貼る'!$W$6:$W$10005,$W1483)&gt;0),N(U1482),N(U1482)+1))</f>
        <v/>
      </c>
      <c r="V1483" s="19">
        <f>IF($B1483="","",TEXT($B1483,"0000"))</f>
        <v/>
      </c>
      <c r="W1483" s="19">
        <f>IF($I1483="","",IF(ISNUMBER($I1483),TEXT($I1483,"0"),$I1483))</f>
        <v/>
      </c>
    </row>
    <row r="1484">
      <c r="B1484" s="25" t="n"/>
      <c r="I1484" s="25" t="n"/>
      <c r="U1484" s="19">
        <f>IF($V1484&lt;&gt;'設定'!$C$4,N(U1483),IF(OR(NOT(COUNTIF('商品マスタ'!$B$6:$B$1005,$W1484)=0),COUNTIFS('①在庫を貼る'!$V$6:$V$10005,$V1484,'①在庫を貼る'!$W$6:$W$10005,$W1484)&gt;0),N(U1483),N(U1483)+1))</f>
        <v/>
      </c>
      <c r="V1484" s="19">
        <f>IF($B1484="","",TEXT($B1484,"0000"))</f>
        <v/>
      </c>
      <c r="W1484" s="19">
        <f>IF($I1484="","",IF(ISNUMBER($I1484),TEXT($I1484,"0"),$I1484))</f>
        <v/>
      </c>
    </row>
    <row r="1485">
      <c r="B1485" s="25" t="n"/>
      <c r="I1485" s="25" t="n"/>
      <c r="U1485" s="19">
        <f>IF($V1485&lt;&gt;'設定'!$C$4,N(U1484),IF(OR(NOT(COUNTIF('商品マスタ'!$B$6:$B$1005,$W1485)=0),COUNTIFS('①在庫を貼る'!$V$6:$V$10005,$V1485,'①在庫を貼る'!$W$6:$W$10005,$W1485)&gt;0),N(U1484),N(U1484)+1))</f>
        <v/>
      </c>
      <c r="V1485" s="19">
        <f>IF($B1485="","",TEXT($B1485,"0000"))</f>
        <v/>
      </c>
      <c r="W1485" s="19">
        <f>IF($I1485="","",IF(ISNUMBER($I1485),TEXT($I1485,"0"),$I1485))</f>
        <v/>
      </c>
    </row>
    <row r="1486">
      <c r="B1486" s="25" t="n"/>
      <c r="I1486" s="25" t="n"/>
      <c r="U1486" s="19">
        <f>IF($V1486&lt;&gt;'設定'!$C$4,N(U1485),IF(OR(NOT(COUNTIF('商品マスタ'!$B$6:$B$1005,$W1486)=0),COUNTIFS('①在庫を貼る'!$V$6:$V$10005,$V1486,'①在庫を貼る'!$W$6:$W$10005,$W1486)&gt;0),N(U1485),N(U1485)+1))</f>
        <v/>
      </c>
      <c r="V1486" s="19">
        <f>IF($B1486="","",TEXT($B1486,"0000"))</f>
        <v/>
      </c>
      <c r="W1486" s="19">
        <f>IF($I1486="","",IF(ISNUMBER($I1486),TEXT($I1486,"0"),$I1486))</f>
        <v/>
      </c>
    </row>
    <row r="1487">
      <c r="B1487" s="25" t="n"/>
      <c r="I1487" s="25" t="n"/>
      <c r="U1487" s="19">
        <f>IF($V1487&lt;&gt;'設定'!$C$4,N(U1486),IF(OR(NOT(COUNTIF('商品マスタ'!$B$6:$B$1005,$W1487)=0),COUNTIFS('①在庫を貼る'!$V$6:$V$10005,$V1487,'①在庫を貼る'!$W$6:$W$10005,$W1487)&gt;0),N(U1486),N(U1486)+1))</f>
        <v/>
      </c>
      <c r="V1487" s="19">
        <f>IF($B1487="","",TEXT($B1487,"0000"))</f>
        <v/>
      </c>
      <c r="W1487" s="19">
        <f>IF($I1487="","",IF(ISNUMBER($I1487),TEXT($I1487,"0"),$I1487))</f>
        <v/>
      </c>
    </row>
    <row r="1488">
      <c r="B1488" s="25" t="n"/>
      <c r="I1488" s="25" t="n"/>
      <c r="U1488" s="19">
        <f>IF($V1488&lt;&gt;'設定'!$C$4,N(U1487),IF(OR(NOT(COUNTIF('商品マスタ'!$B$6:$B$1005,$W1488)=0),COUNTIFS('①在庫を貼る'!$V$6:$V$10005,$V1488,'①在庫を貼る'!$W$6:$W$10005,$W1488)&gt;0),N(U1487),N(U1487)+1))</f>
        <v/>
      </c>
      <c r="V1488" s="19">
        <f>IF($B1488="","",TEXT($B1488,"0000"))</f>
        <v/>
      </c>
      <c r="W1488" s="19">
        <f>IF($I1488="","",IF(ISNUMBER($I1488),TEXT($I1488,"0"),$I1488))</f>
        <v/>
      </c>
    </row>
    <row r="1489">
      <c r="B1489" s="25" t="n"/>
      <c r="I1489" s="25" t="n"/>
      <c r="U1489" s="19">
        <f>IF($V1489&lt;&gt;'設定'!$C$4,N(U1488),IF(OR(NOT(COUNTIF('商品マスタ'!$B$6:$B$1005,$W1489)=0),COUNTIFS('①在庫を貼る'!$V$6:$V$10005,$V1489,'①在庫を貼る'!$W$6:$W$10005,$W1489)&gt;0),N(U1488),N(U1488)+1))</f>
        <v/>
      </c>
      <c r="V1489" s="19">
        <f>IF($B1489="","",TEXT($B1489,"0000"))</f>
        <v/>
      </c>
      <c r="W1489" s="19">
        <f>IF($I1489="","",IF(ISNUMBER($I1489),TEXT($I1489,"0"),$I1489))</f>
        <v/>
      </c>
    </row>
    <row r="1490">
      <c r="B1490" s="25" t="n"/>
      <c r="I1490" s="25" t="n"/>
      <c r="U1490" s="19">
        <f>IF($V1490&lt;&gt;'設定'!$C$4,N(U1489),IF(OR(NOT(COUNTIF('商品マスタ'!$B$6:$B$1005,$W1490)=0),COUNTIFS('①在庫を貼る'!$V$6:$V$10005,$V1490,'①在庫を貼る'!$W$6:$W$10005,$W1490)&gt;0),N(U1489),N(U1489)+1))</f>
        <v/>
      </c>
      <c r="V1490" s="19">
        <f>IF($B1490="","",TEXT($B1490,"0000"))</f>
        <v/>
      </c>
      <c r="W1490" s="19">
        <f>IF($I1490="","",IF(ISNUMBER($I1490),TEXT($I1490,"0"),$I1490))</f>
        <v/>
      </c>
    </row>
    <row r="1491">
      <c r="B1491" s="25" t="n"/>
      <c r="I1491" s="25" t="n"/>
      <c r="U1491" s="19">
        <f>IF($V1491&lt;&gt;'設定'!$C$4,N(U1490),IF(OR(NOT(COUNTIF('商品マスタ'!$B$6:$B$1005,$W1491)=0),COUNTIFS('①在庫を貼る'!$V$6:$V$10005,$V1491,'①在庫を貼る'!$W$6:$W$10005,$W1491)&gt;0),N(U1490),N(U1490)+1))</f>
        <v/>
      </c>
      <c r="V1491" s="19">
        <f>IF($B1491="","",TEXT($B1491,"0000"))</f>
        <v/>
      </c>
      <c r="W1491" s="19">
        <f>IF($I1491="","",IF(ISNUMBER($I1491),TEXT($I1491,"0"),$I1491))</f>
        <v/>
      </c>
    </row>
    <row r="1492">
      <c r="B1492" s="25" t="n"/>
      <c r="I1492" s="25" t="n"/>
      <c r="U1492" s="19">
        <f>IF($V1492&lt;&gt;'設定'!$C$4,N(U1491),IF(OR(NOT(COUNTIF('商品マスタ'!$B$6:$B$1005,$W1492)=0),COUNTIFS('①在庫を貼る'!$V$6:$V$10005,$V1492,'①在庫を貼る'!$W$6:$W$10005,$W1492)&gt;0),N(U1491),N(U1491)+1))</f>
        <v/>
      </c>
      <c r="V1492" s="19">
        <f>IF($B1492="","",TEXT($B1492,"0000"))</f>
        <v/>
      </c>
      <c r="W1492" s="19">
        <f>IF($I1492="","",IF(ISNUMBER($I1492),TEXT($I1492,"0"),$I1492))</f>
        <v/>
      </c>
    </row>
    <row r="1493">
      <c r="B1493" s="25" t="n"/>
      <c r="I1493" s="25" t="n"/>
      <c r="U1493" s="19">
        <f>IF($V1493&lt;&gt;'設定'!$C$4,N(U1492),IF(OR(NOT(COUNTIF('商品マスタ'!$B$6:$B$1005,$W1493)=0),COUNTIFS('①在庫を貼る'!$V$6:$V$10005,$V1493,'①在庫を貼る'!$W$6:$W$10005,$W1493)&gt;0),N(U1492),N(U1492)+1))</f>
        <v/>
      </c>
      <c r="V1493" s="19">
        <f>IF($B1493="","",TEXT($B1493,"0000"))</f>
        <v/>
      </c>
      <c r="W1493" s="19">
        <f>IF($I1493="","",IF(ISNUMBER($I1493),TEXT($I1493,"0"),$I1493))</f>
        <v/>
      </c>
    </row>
    <row r="1494">
      <c r="B1494" s="25" t="n"/>
      <c r="I1494" s="25" t="n"/>
      <c r="U1494" s="19">
        <f>IF($V1494&lt;&gt;'設定'!$C$4,N(U1493),IF(OR(NOT(COUNTIF('商品マスタ'!$B$6:$B$1005,$W1494)=0),COUNTIFS('①在庫を貼る'!$V$6:$V$10005,$V1494,'①在庫を貼る'!$W$6:$W$10005,$W1494)&gt;0),N(U1493),N(U1493)+1))</f>
        <v/>
      </c>
      <c r="V1494" s="19">
        <f>IF($B1494="","",TEXT($B1494,"0000"))</f>
        <v/>
      </c>
      <c r="W1494" s="19">
        <f>IF($I1494="","",IF(ISNUMBER($I1494),TEXT($I1494,"0"),$I1494))</f>
        <v/>
      </c>
    </row>
    <row r="1495">
      <c r="B1495" s="25" t="n"/>
      <c r="I1495" s="25" t="n"/>
      <c r="U1495" s="19">
        <f>IF($V1495&lt;&gt;'設定'!$C$4,N(U1494),IF(OR(NOT(COUNTIF('商品マスタ'!$B$6:$B$1005,$W1495)=0),COUNTIFS('①在庫を貼る'!$V$6:$V$10005,$V1495,'①在庫を貼る'!$W$6:$W$10005,$W1495)&gt;0),N(U1494),N(U1494)+1))</f>
        <v/>
      </c>
      <c r="V1495" s="19">
        <f>IF($B1495="","",TEXT($B1495,"0000"))</f>
        <v/>
      </c>
      <c r="W1495" s="19">
        <f>IF($I1495="","",IF(ISNUMBER($I1495),TEXT($I1495,"0"),$I1495))</f>
        <v/>
      </c>
    </row>
    <row r="1496">
      <c r="B1496" s="25" t="n"/>
      <c r="I1496" s="25" t="n"/>
      <c r="U1496" s="19">
        <f>IF($V1496&lt;&gt;'設定'!$C$4,N(U1495),IF(OR(NOT(COUNTIF('商品マスタ'!$B$6:$B$1005,$W1496)=0),COUNTIFS('①在庫を貼る'!$V$6:$V$10005,$V1496,'①在庫を貼る'!$W$6:$W$10005,$W1496)&gt;0),N(U1495),N(U1495)+1))</f>
        <v/>
      </c>
      <c r="V1496" s="19">
        <f>IF($B1496="","",TEXT($B1496,"0000"))</f>
        <v/>
      </c>
      <c r="W1496" s="19">
        <f>IF($I1496="","",IF(ISNUMBER($I1496),TEXT($I1496,"0"),$I1496))</f>
        <v/>
      </c>
    </row>
    <row r="1497">
      <c r="B1497" s="25" t="n"/>
      <c r="I1497" s="25" t="n"/>
      <c r="U1497" s="19">
        <f>IF($V1497&lt;&gt;'設定'!$C$4,N(U1496),IF(OR(NOT(COUNTIF('商品マスタ'!$B$6:$B$1005,$W1497)=0),COUNTIFS('①在庫を貼る'!$V$6:$V$10005,$V1497,'①在庫を貼る'!$W$6:$W$10005,$W1497)&gt;0),N(U1496),N(U1496)+1))</f>
        <v/>
      </c>
      <c r="V1497" s="19">
        <f>IF($B1497="","",TEXT($B1497,"0000"))</f>
        <v/>
      </c>
      <c r="W1497" s="19">
        <f>IF($I1497="","",IF(ISNUMBER($I1497),TEXT($I1497,"0"),$I1497))</f>
        <v/>
      </c>
    </row>
    <row r="1498">
      <c r="B1498" s="25" t="n"/>
      <c r="I1498" s="25" t="n"/>
      <c r="U1498" s="19">
        <f>IF($V1498&lt;&gt;'設定'!$C$4,N(U1497),IF(OR(NOT(COUNTIF('商品マスタ'!$B$6:$B$1005,$W1498)=0),COUNTIFS('①在庫を貼る'!$V$6:$V$10005,$V1498,'①在庫を貼る'!$W$6:$W$10005,$W1498)&gt;0),N(U1497),N(U1497)+1))</f>
        <v/>
      </c>
      <c r="V1498" s="19">
        <f>IF($B1498="","",TEXT($B1498,"0000"))</f>
        <v/>
      </c>
      <c r="W1498" s="19">
        <f>IF($I1498="","",IF(ISNUMBER($I1498),TEXT($I1498,"0"),$I1498))</f>
        <v/>
      </c>
    </row>
    <row r="1499">
      <c r="B1499" s="25" t="n"/>
      <c r="I1499" s="25" t="n"/>
      <c r="U1499" s="19">
        <f>IF($V1499&lt;&gt;'設定'!$C$4,N(U1498),IF(OR(NOT(COUNTIF('商品マスタ'!$B$6:$B$1005,$W1499)=0),COUNTIFS('①在庫を貼る'!$V$6:$V$10005,$V1499,'①在庫を貼る'!$W$6:$W$10005,$W1499)&gt;0),N(U1498),N(U1498)+1))</f>
        <v/>
      </c>
      <c r="V1499" s="19">
        <f>IF($B1499="","",TEXT($B1499,"0000"))</f>
        <v/>
      </c>
      <c r="W1499" s="19">
        <f>IF($I1499="","",IF(ISNUMBER($I1499),TEXT($I1499,"0"),$I1499))</f>
        <v/>
      </c>
    </row>
    <row r="1500">
      <c r="B1500" s="25" t="n"/>
      <c r="I1500" s="25" t="n"/>
      <c r="U1500" s="19">
        <f>IF($V1500&lt;&gt;'設定'!$C$4,N(U1499),IF(OR(NOT(COUNTIF('商品マスタ'!$B$6:$B$1005,$W1500)=0),COUNTIFS('①在庫を貼る'!$V$6:$V$10005,$V1500,'①在庫を貼る'!$W$6:$W$10005,$W1500)&gt;0),N(U1499),N(U1499)+1))</f>
        <v/>
      </c>
      <c r="V1500" s="19">
        <f>IF($B1500="","",TEXT($B1500,"0000"))</f>
        <v/>
      </c>
      <c r="W1500" s="19">
        <f>IF($I1500="","",IF(ISNUMBER($I1500),TEXT($I1500,"0"),$I1500))</f>
        <v/>
      </c>
    </row>
    <row r="1501">
      <c r="B1501" s="25" t="n"/>
      <c r="I1501" s="25" t="n"/>
      <c r="U1501" s="19">
        <f>IF($V1501&lt;&gt;'設定'!$C$4,N(U1500),IF(OR(NOT(COUNTIF('商品マスタ'!$B$6:$B$1005,$W1501)=0),COUNTIFS('①在庫を貼る'!$V$6:$V$10005,$V1501,'①在庫を貼る'!$W$6:$W$10005,$W1501)&gt;0),N(U1500),N(U1500)+1))</f>
        <v/>
      </c>
      <c r="V1501" s="19">
        <f>IF($B1501="","",TEXT($B1501,"0000"))</f>
        <v/>
      </c>
      <c r="W1501" s="19">
        <f>IF($I1501="","",IF(ISNUMBER($I1501),TEXT($I1501,"0"),$I1501))</f>
        <v/>
      </c>
    </row>
    <row r="1502">
      <c r="B1502" s="25" t="n"/>
      <c r="I1502" s="25" t="n"/>
      <c r="U1502" s="19">
        <f>IF($V1502&lt;&gt;'設定'!$C$4,N(U1501),IF(OR(NOT(COUNTIF('商品マスタ'!$B$6:$B$1005,$W1502)=0),COUNTIFS('①在庫を貼る'!$V$6:$V$10005,$V1502,'①在庫を貼る'!$W$6:$W$10005,$W1502)&gt;0),N(U1501),N(U1501)+1))</f>
        <v/>
      </c>
      <c r="V1502" s="19">
        <f>IF($B1502="","",TEXT($B1502,"0000"))</f>
        <v/>
      </c>
      <c r="W1502" s="19">
        <f>IF($I1502="","",IF(ISNUMBER($I1502),TEXT($I1502,"0"),$I1502))</f>
        <v/>
      </c>
    </row>
    <row r="1503">
      <c r="B1503" s="25" t="n"/>
      <c r="I1503" s="25" t="n"/>
      <c r="U1503" s="19">
        <f>IF($V1503&lt;&gt;'設定'!$C$4,N(U1502),IF(OR(NOT(COUNTIF('商品マスタ'!$B$6:$B$1005,$W1503)=0),COUNTIFS('①在庫を貼る'!$V$6:$V$10005,$V1503,'①在庫を貼る'!$W$6:$W$10005,$W1503)&gt;0),N(U1502),N(U1502)+1))</f>
        <v/>
      </c>
      <c r="V1503" s="19">
        <f>IF($B1503="","",TEXT($B1503,"0000"))</f>
        <v/>
      </c>
      <c r="W1503" s="19">
        <f>IF($I1503="","",IF(ISNUMBER($I1503),TEXT($I1503,"0"),$I1503))</f>
        <v/>
      </c>
    </row>
    <row r="1504">
      <c r="B1504" s="25" t="n"/>
      <c r="I1504" s="25" t="n"/>
      <c r="U1504" s="19">
        <f>IF($V1504&lt;&gt;'設定'!$C$4,N(U1503),IF(OR(NOT(COUNTIF('商品マスタ'!$B$6:$B$1005,$W1504)=0),COUNTIFS('①在庫を貼る'!$V$6:$V$10005,$V1504,'①在庫を貼る'!$W$6:$W$10005,$W1504)&gt;0),N(U1503),N(U1503)+1))</f>
        <v/>
      </c>
      <c r="V1504" s="19">
        <f>IF($B1504="","",TEXT($B1504,"0000"))</f>
        <v/>
      </c>
      <c r="W1504" s="19">
        <f>IF($I1504="","",IF(ISNUMBER($I1504),TEXT($I1504,"0"),$I1504))</f>
        <v/>
      </c>
    </row>
    <row r="1505">
      <c r="B1505" s="25" t="n"/>
      <c r="I1505" s="25" t="n"/>
      <c r="U1505" s="19">
        <f>IF($V1505&lt;&gt;'設定'!$C$4,N(U1504),IF(OR(NOT(COUNTIF('商品マスタ'!$B$6:$B$1005,$W1505)=0),COUNTIFS('①在庫を貼る'!$V$6:$V$10005,$V1505,'①在庫を貼る'!$W$6:$W$10005,$W1505)&gt;0),N(U1504),N(U1504)+1))</f>
        <v/>
      </c>
      <c r="V1505" s="19">
        <f>IF($B1505="","",TEXT($B1505,"0000"))</f>
        <v/>
      </c>
      <c r="W1505" s="19">
        <f>IF($I1505="","",IF(ISNUMBER($I1505),TEXT($I1505,"0"),$I1505))</f>
        <v/>
      </c>
    </row>
    <row r="1506">
      <c r="B1506" s="25" t="n"/>
      <c r="I1506" s="25" t="n"/>
      <c r="U1506" s="19">
        <f>IF($V1506&lt;&gt;'設定'!$C$4,N(U1505),IF(OR(NOT(COUNTIF('商品マスタ'!$B$6:$B$1005,$W1506)=0),COUNTIFS('①在庫を貼る'!$V$6:$V$10005,$V1506,'①在庫を貼る'!$W$6:$W$10005,$W1506)&gt;0),N(U1505),N(U1505)+1))</f>
        <v/>
      </c>
      <c r="V1506" s="19">
        <f>IF($B1506="","",TEXT($B1506,"0000"))</f>
        <v/>
      </c>
      <c r="W1506" s="19">
        <f>IF($I1506="","",IF(ISNUMBER($I1506),TEXT($I1506,"0"),$I1506))</f>
        <v/>
      </c>
    </row>
    <row r="1507">
      <c r="B1507" s="25" t="n"/>
      <c r="I1507" s="25" t="n"/>
      <c r="U1507" s="19">
        <f>IF($V1507&lt;&gt;'設定'!$C$4,N(U1506),IF(OR(NOT(COUNTIF('商品マスタ'!$B$6:$B$1005,$W1507)=0),COUNTIFS('①在庫を貼る'!$V$6:$V$10005,$V1507,'①在庫を貼る'!$W$6:$W$10005,$W1507)&gt;0),N(U1506),N(U1506)+1))</f>
        <v/>
      </c>
      <c r="V1507" s="19">
        <f>IF($B1507="","",TEXT($B1507,"0000"))</f>
        <v/>
      </c>
      <c r="W1507" s="19">
        <f>IF($I1507="","",IF(ISNUMBER($I1507),TEXT($I1507,"0"),$I1507))</f>
        <v/>
      </c>
    </row>
    <row r="1508">
      <c r="B1508" s="25" t="n"/>
      <c r="I1508" s="25" t="n"/>
      <c r="U1508" s="19">
        <f>IF($V1508&lt;&gt;'設定'!$C$4,N(U1507),IF(OR(NOT(COUNTIF('商品マスタ'!$B$6:$B$1005,$W1508)=0),COUNTIFS('①在庫を貼る'!$V$6:$V$10005,$V1508,'①在庫を貼る'!$W$6:$W$10005,$W1508)&gt;0),N(U1507),N(U1507)+1))</f>
        <v/>
      </c>
      <c r="V1508" s="19">
        <f>IF($B1508="","",TEXT($B1508,"0000"))</f>
        <v/>
      </c>
      <c r="W1508" s="19">
        <f>IF($I1508="","",IF(ISNUMBER($I1508),TEXT($I1508,"0"),$I1508))</f>
        <v/>
      </c>
    </row>
    <row r="1509">
      <c r="B1509" s="25" t="n"/>
      <c r="I1509" s="25" t="n"/>
      <c r="U1509" s="19">
        <f>IF($V1509&lt;&gt;'設定'!$C$4,N(U1508),IF(OR(NOT(COUNTIF('商品マスタ'!$B$6:$B$1005,$W1509)=0),COUNTIFS('①在庫を貼る'!$V$6:$V$10005,$V1509,'①在庫を貼る'!$W$6:$W$10005,$W1509)&gt;0),N(U1508),N(U1508)+1))</f>
        <v/>
      </c>
      <c r="V1509" s="19">
        <f>IF($B1509="","",TEXT($B1509,"0000"))</f>
        <v/>
      </c>
      <c r="W1509" s="19">
        <f>IF($I1509="","",IF(ISNUMBER($I1509),TEXT($I1509,"0"),$I1509))</f>
        <v/>
      </c>
    </row>
    <row r="1510">
      <c r="B1510" s="25" t="n"/>
      <c r="I1510" s="25" t="n"/>
      <c r="U1510" s="19">
        <f>IF($V1510&lt;&gt;'設定'!$C$4,N(U1509),IF(OR(NOT(COUNTIF('商品マスタ'!$B$6:$B$1005,$W1510)=0),COUNTIFS('①在庫を貼る'!$V$6:$V$10005,$V1510,'①在庫を貼る'!$W$6:$W$10005,$W1510)&gt;0),N(U1509),N(U1509)+1))</f>
        <v/>
      </c>
      <c r="V1510" s="19">
        <f>IF($B1510="","",TEXT($B1510,"0000"))</f>
        <v/>
      </c>
      <c r="W1510" s="19">
        <f>IF($I1510="","",IF(ISNUMBER($I1510),TEXT($I1510,"0"),$I1510))</f>
        <v/>
      </c>
    </row>
    <row r="1511">
      <c r="B1511" s="25" t="n"/>
      <c r="I1511" s="25" t="n"/>
      <c r="U1511" s="19">
        <f>IF($V1511&lt;&gt;'設定'!$C$4,N(U1510),IF(OR(NOT(COUNTIF('商品マスタ'!$B$6:$B$1005,$W1511)=0),COUNTIFS('①在庫を貼る'!$V$6:$V$10005,$V1511,'①在庫を貼る'!$W$6:$W$10005,$W1511)&gt;0),N(U1510),N(U1510)+1))</f>
        <v/>
      </c>
      <c r="V1511" s="19">
        <f>IF($B1511="","",TEXT($B1511,"0000"))</f>
        <v/>
      </c>
      <c r="W1511" s="19">
        <f>IF($I1511="","",IF(ISNUMBER($I1511),TEXT($I1511,"0"),$I1511))</f>
        <v/>
      </c>
    </row>
    <row r="1512">
      <c r="B1512" s="25" t="n"/>
      <c r="I1512" s="25" t="n"/>
      <c r="U1512" s="19">
        <f>IF($V1512&lt;&gt;'設定'!$C$4,N(U1511),IF(OR(NOT(COUNTIF('商品マスタ'!$B$6:$B$1005,$W1512)=0),COUNTIFS('①在庫を貼る'!$V$6:$V$10005,$V1512,'①在庫を貼る'!$W$6:$W$10005,$W1512)&gt;0),N(U1511),N(U1511)+1))</f>
        <v/>
      </c>
      <c r="V1512" s="19">
        <f>IF($B1512="","",TEXT($B1512,"0000"))</f>
        <v/>
      </c>
      <c r="W1512" s="19">
        <f>IF($I1512="","",IF(ISNUMBER($I1512),TEXT($I1512,"0"),$I1512))</f>
        <v/>
      </c>
    </row>
    <row r="1513">
      <c r="B1513" s="25" t="n"/>
      <c r="I1513" s="25" t="n"/>
      <c r="U1513" s="19">
        <f>IF($V1513&lt;&gt;'設定'!$C$4,N(U1512),IF(OR(NOT(COUNTIF('商品マスタ'!$B$6:$B$1005,$W1513)=0),COUNTIFS('①在庫を貼る'!$V$6:$V$10005,$V1513,'①在庫を貼る'!$W$6:$W$10005,$W1513)&gt;0),N(U1512),N(U1512)+1))</f>
        <v/>
      </c>
      <c r="V1513" s="19">
        <f>IF($B1513="","",TEXT($B1513,"0000"))</f>
        <v/>
      </c>
      <c r="W1513" s="19">
        <f>IF($I1513="","",IF(ISNUMBER($I1513),TEXT($I1513,"0"),$I1513))</f>
        <v/>
      </c>
    </row>
    <row r="1514">
      <c r="B1514" s="25" t="n"/>
      <c r="I1514" s="25" t="n"/>
      <c r="U1514" s="19">
        <f>IF($V1514&lt;&gt;'設定'!$C$4,N(U1513),IF(OR(NOT(COUNTIF('商品マスタ'!$B$6:$B$1005,$W1514)=0),COUNTIFS('①在庫を貼る'!$V$6:$V$10005,$V1514,'①在庫を貼る'!$W$6:$W$10005,$W1514)&gt;0),N(U1513),N(U1513)+1))</f>
        <v/>
      </c>
      <c r="V1514" s="19">
        <f>IF($B1514="","",TEXT($B1514,"0000"))</f>
        <v/>
      </c>
      <c r="W1514" s="19">
        <f>IF($I1514="","",IF(ISNUMBER($I1514),TEXT($I1514,"0"),$I1514))</f>
        <v/>
      </c>
    </row>
    <row r="1515">
      <c r="B1515" s="25" t="n"/>
      <c r="I1515" s="25" t="n"/>
      <c r="U1515" s="19">
        <f>IF($V1515&lt;&gt;'設定'!$C$4,N(U1514),IF(OR(NOT(COUNTIF('商品マスタ'!$B$6:$B$1005,$W1515)=0),COUNTIFS('①在庫を貼る'!$V$6:$V$10005,$V1515,'①在庫を貼る'!$W$6:$W$10005,$W1515)&gt;0),N(U1514),N(U1514)+1))</f>
        <v/>
      </c>
      <c r="V1515" s="19">
        <f>IF($B1515="","",TEXT($B1515,"0000"))</f>
        <v/>
      </c>
      <c r="W1515" s="19">
        <f>IF($I1515="","",IF(ISNUMBER($I1515),TEXT($I1515,"0"),$I1515))</f>
        <v/>
      </c>
    </row>
    <row r="1516">
      <c r="B1516" s="25" t="n"/>
      <c r="I1516" s="25" t="n"/>
      <c r="U1516" s="19">
        <f>IF($V1516&lt;&gt;'設定'!$C$4,N(U1515),IF(OR(NOT(COUNTIF('商品マスタ'!$B$6:$B$1005,$W1516)=0),COUNTIFS('①在庫を貼る'!$V$6:$V$10005,$V1516,'①在庫を貼る'!$W$6:$W$10005,$W1516)&gt;0),N(U1515),N(U1515)+1))</f>
        <v/>
      </c>
      <c r="V1516" s="19">
        <f>IF($B1516="","",TEXT($B1516,"0000"))</f>
        <v/>
      </c>
      <c r="W1516" s="19">
        <f>IF($I1516="","",IF(ISNUMBER($I1516),TEXT($I1516,"0"),$I1516))</f>
        <v/>
      </c>
    </row>
    <row r="1517">
      <c r="B1517" s="25" t="n"/>
      <c r="I1517" s="25" t="n"/>
      <c r="U1517" s="19">
        <f>IF($V1517&lt;&gt;'設定'!$C$4,N(U1516),IF(OR(NOT(COUNTIF('商品マスタ'!$B$6:$B$1005,$W1517)=0),COUNTIFS('①在庫を貼る'!$V$6:$V$10005,$V1517,'①在庫を貼る'!$W$6:$W$10005,$W1517)&gt;0),N(U1516),N(U1516)+1))</f>
        <v/>
      </c>
      <c r="V1517" s="19">
        <f>IF($B1517="","",TEXT($B1517,"0000"))</f>
        <v/>
      </c>
      <c r="W1517" s="19">
        <f>IF($I1517="","",IF(ISNUMBER($I1517),TEXT($I1517,"0"),$I1517))</f>
        <v/>
      </c>
    </row>
    <row r="1518">
      <c r="B1518" s="25" t="n"/>
      <c r="I1518" s="25" t="n"/>
      <c r="U1518" s="19">
        <f>IF($V1518&lt;&gt;'設定'!$C$4,N(U1517),IF(OR(NOT(COUNTIF('商品マスタ'!$B$6:$B$1005,$W1518)=0),COUNTIFS('①在庫を貼る'!$V$6:$V$10005,$V1518,'①在庫を貼る'!$W$6:$W$10005,$W1518)&gt;0),N(U1517),N(U1517)+1))</f>
        <v/>
      </c>
      <c r="V1518" s="19">
        <f>IF($B1518="","",TEXT($B1518,"0000"))</f>
        <v/>
      </c>
      <c r="W1518" s="19">
        <f>IF($I1518="","",IF(ISNUMBER($I1518),TEXT($I1518,"0"),$I1518))</f>
        <v/>
      </c>
    </row>
    <row r="1519">
      <c r="B1519" s="25" t="n"/>
      <c r="I1519" s="25" t="n"/>
      <c r="U1519" s="19">
        <f>IF($V1519&lt;&gt;'設定'!$C$4,N(U1518),IF(OR(NOT(COUNTIF('商品マスタ'!$B$6:$B$1005,$W1519)=0),COUNTIFS('①在庫を貼る'!$V$6:$V$10005,$V1519,'①在庫を貼る'!$W$6:$W$10005,$W1519)&gt;0),N(U1518),N(U1518)+1))</f>
        <v/>
      </c>
      <c r="V1519" s="19">
        <f>IF($B1519="","",TEXT($B1519,"0000"))</f>
        <v/>
      </c>
      <c r="W1519" s="19">
        <f>IF($I1519="","",IF(ISNUMBER($I1519),TEXT($I1519,"0"),$I1519))</f>
        <v/>
      </c>
    </row>
    <row r="1520">
      <c r="B1520" s="25" t="n"/>
      <c r="I1520" s="25" t="n"/>
      <c r="U1520" s="19">
        <f>IF($V1520&lt;&gt;'設定'!$C$4,N(U1519),IF(OR(NOT(COUNTIF('商品マスタ'!$B$6:$B$1005,$W1520)=0),COUNTIFS('①在庫を貼る'!$V$6:$V$10005,$V1520,'①在庫を貼る'!$W$6:$W$10005,$W1520)&gt;0),N(U1519),N(U1519)+1))</f>
        <v/>
      </c>
      <c r="V1520" s="19">
        <f>IF($B1520="","",TEXT($B1520,"0000"))</f>
        <v/>
      </c>
      <c r="W1520" s="19">
        <f>IF($I1520="","",IF(ISNUMBER($I1520),TEXT($I1520,"0"),$I1520))</f>
        <v/>
      </c>
    </row>
    <row r="1521">
      <c r="B1521" s="25" t="n"/>
      <c r="I1521" s="25" t="n"/>
      <c r="U1521" s="19">
        <f>IF($V1521&lt;&gt;'設定'!$C$4,N(U1520),IF(OR(NOT(COUNTIF('商品マスタ'!$B$6:$B$1005,$W1521)=0),COUNTIFS('①在庫を貼る'!$V$6:$V$10005,$V1521,'①在庫を貼る'!$W$6:$W$10005,$W1521)&gt;0),N(U1520),N(U1520)+1))</f>
        <v/>
      </c>
      <c r="V1521" s="19">
        <f>IF($B1521="","",TEXT($B1521,"0000"))</f>
        <v/>
      </c>
      <c r="W1521" s="19">
        <f>IF($I1521="","",IF(ISNUMBER($I1521),TEXT($I1521,"0"),$I1521))</f>
        <v/>
      </c>
    </row>
    <row r="1522">
      <c r="B1522" s="25" t="n"/>
      <c r="I1522" s="25" t="n"/>
      <c r="U1522" s="19">
        <f>IF($V1522&lt;&gt;'設定'!$C$4,N(U1521),IF(OR(NOT(COUNTIF('商品マスタ'!$B$6:$B$1005,$W1522)=0),COUNTIFS('①在庫を貼る'!$V$6:$V$10005,$V1522,'①在庫を貼る'!$W$6:$W$10005,$W1522)&gt;0),N(U1521),N(U1521)+1))</f>
        <v/>
      </c>
      <c r="V1522" s="19">
        <f>IF($B1522="","",TEXT($B1522,"0000"))</f>
        <v/>
      </c>
      <c r="W1522" s="19">
        <f>IF($I1522="","",IF(ISNUMBER($I1522),TEXT($I1522,"0"),$I1522))</f>
        <v/>
      </c>
    </row>
    <row r="1523">
      <c r="B1523" s="25" t="n"/>
      <c r="I1523" s="25" t="n"/>
      <c r="U1523" s="19">
        <f>IF($V1523&lt;&gt;'設定'!$C$4,N(U1522),IF(OR(NOT(COUNTIF('商品マスタ'!$B$6:$B$1005,$W1523)=0),COUNTIFS('①在庫を貼る'!$V$6:$V$10005,$V1523,'①在庫を貼る'!$W$6:$W$10005,$W1523)&gt;0),N(U1522),N(U1522)+1))</f>
        <v/>
      </c>
      <c r="V1523" s="19">
        <f>IF($B1523="","",TEXT($B1523,"0000"))</f>
        <v/>
      </c>
      <c r="W1523" s="19">
        <f>IF($I1523="","",IF(ISNUMBER($I1523),TEXT($I1523,"0"),$I1523))</f>
        <v/>
      </c>
    </row>
    <row r="1524">
      <c r="B1524" s="25" t="n"/>
      <c r="I1524" s="25" t="n"/>
      <c r="U1524" s="19">
        <f>IF($V1524&lt;&gt;'設定'!$C$4,N(U1523),IF(OR(NOT(COUNTIF('商品マスタ'!$B$6:$B$1005,$W1524)=0),COUNTIFS('①在庫を貼る'!$V$6:$V$10005,$V1524,'①在庫を貼る'!$W$6:$W$10005,$W1524)&gt;0),N(U1523),N(U1523)+1))</f>
        <v/>
      </c>
      <c r="V1524" s="19">
        <f>IF($B1524="","",TEXT($B1524,"0000"))</f>
        <v/>
      </c>
      <c r="W1524" s="19">
        <f>IF($I1524="","",IF(ISNUMBER($I1524),TEXT($I1524,"0"),$I1524))</f>
        <v/>
      </c>
    </row>
    <row r="1525">
      <c r="B1525" s="25" t="n"/>
      <c r="I1525" s="25" t="n"/>
      <c r="U1525" s="19">
        <f>IF($V1525&lt;&gt;'設定'!$C$4,N(U1524),IF(OR(NOT(COUNTIF('商品マスタ'!$B$6:$B$1005,$W1525)=0),COUNTIFS('①在庫を貼る'!$V$6:$V$10005,$V1525,'①在庫を貼る'!$W$6:$W$10005,$W1525)&gt;0),N(U1524),N(U1524)+1))</f>
        <v/>
      </c>
      <c r="V1525" s="19">
        <f>IF($B1525="","",TEXT($B1525,"0000"))</f>
        <v/>
      </c>
      <c r="W1525" s="19">
        <f>IF($I1525="","",IF(ISNUMBER($I1525),TEXT($I1525,"0"),$I1525))</f>
        <v/>
      </c>
    </row>
    <row r="1526">
      <c r="B1526" s="25" t="n"/>
      <c r="I1526" s="25" t="n"/>
      <c r="U1526" s="19">
        <f>IF($V1526&lt;&gt;'設定'!$C$4,N(U1525),IF(OR(NOT(COUNTIF('商品マスタ'!$B$6:$B$1005,$W1526)=0),COUNTIFS('①在庫を貼る'!$V$6:$V$10005,$V1526,'①在庫を貼る'!$W$6:$W$10005,$W1526)&gt;0),N(U1525),N(U1525)+1))</f>
        <v/>
      </c>
      <c r="V1526" s="19">
        <f>IF($B1526="","",TEXT($B1526,"0000"))</f>
        <v/>
      </c>
      <c r="W1526" s="19">
        <f>IF($I1526="","",IF(ISNUMBER($I1526),TEXT($I1526,"0"),$I1526))</f>
        <v/>
      </c>
    </row>
    <row r="1527">
      <c r="B1527" s="25" t="n"/>
      <c r="I1527" s="25" t="n"/>
      <c r="U1527" s="19">
        <f>IF($V1527&lt;&gt;'設定'!$C$4,N(U1526),IF(OR(NOT(COUNTIF('商品マスタ'!$B$6:$B$1005,$W1527)=0),COUNTIFS('①在庫を貼る'!$V$6:$V$10005,$V1527,'①在庫を貼る'!$W$6:$W$10005,$W1527)&gt;0),N(U1526),N(U1526)+1))</f>
        <v/>
      </c>
      <c r="V1527" s="19">
        <f>IF($B1527="","",TEXT($B1527,"0000"))</f>
        <v/>
      </c>
      <c r="W1527" s="19">
        <f>IF($I1527="","",IF(ISNUMBER($I1527),TEXT($I1527,"0"),$I1527))</f>
        <v/>
      </c>
    </row>
    <row r="1528">
      <c r="B1528" s="25" t="n"/>
      <c r="I1528" s="25" t="n"/>
      <c r="U1528" s="19">
        <f>IF($V1528&lt;&gt;'設定'!$C$4,N(U1527),IF(OR(NOT(COUNTIF('商品マスタ'!$B$6:$B$1005,$W1528)=0),COUNTIFS('①在庫を貼る'!$V$6:$V$10005,$V1528,'①在庫を貼る'!$W$6:$W$10005,$W1528)&gt;0),N(U1527),N(U1527)+1))</f>
        <v/>
      </c>
      <c r="V1528" s="19">
        <f>IF($B1528="","",TEXT($B1528,"0000"))</f>
        <v/>
      </c>
      <c r="W1528" s="19">
        <f>IF($I1528="","",IF(ISNUMBER($I1528),TEXT($I1528,"0"),$I1528))</f>
        <v/>
      </c>
    </row>
    <row r="1529">
      <c r="B1529" s="25" t="n"/>
      <c r="I1529" s="25" t="n"/>
      <c r="U1529" s="19">
        <f>IF($V1529&lt;&gt;'設定'!$C$4,N(U1528),IF(OR(NOT(COUNTIF('商品マスタ'!$B$6:$B$1005,$W1529)=0),COUNTIFS('①在庫を貼る'!$V$6:$V$10005,$V1529,'①在庫を貼る'!$W$6:$W$10005,$W1529)&gt;0),N(U1528),N(U1528)+1))</f>
        <v/>
      </c>
      <c r="V1529" s="19">
        <f>IF($B1529="","",TEXT($B1529,"0000"))</f>
        <v/>
      </c>
      <c r="W1529" s="19">
        <f>IF($I1529="","",IF(ISNUMBER($I1529),TEXT($I1529,"0"),$I1529))</f>
        <v/>
      </c>
    </row>
    <row r="1530">
      <c r="B1530" s="25" t="n"/>
      <c r="I1530" s="25" t="n"/>
      <c r="U1530" s="19">
        <f>IF($V1530&lt;&gt;'設定'!$C$4,N(U1529),IF(OR(NOT(COUNTIF('商品マスタ'!$B$6:$B$1005,$W1530)=0),COUNTIFS('①在庫を貼る'!$V$6:$V$10005,$V1530,'①在庫を貼る'!$W$6:$W$10005,$W1530)&gt;0),N(U1529),N(U1529)+1))</f>
        <v/>
      </c>
      <c r="V1530" s="19">
        <f>IF($B1530="","",TEXT($B1530,"0000"))</f>
        <v/>
      </c>
      <c r="W1530" s="19">
        <f>IF($I1530="","",IF(ISNUMBER($I1530),TEXT($I1530,"0"),$I1530))</f>
        <v/>
      </c>
    </row>
    <row r="1531">
      <c r="B1531" s="25" t="n"/>
      <c r="I1531" s="25" t="n"/>
      <c r="U1531" s="19">
        <f>IF($V1531&lt;&gt;'設定'!$C$4,N(U1530),IF(OR(NOT(COUNTIF('商品マスタ'!$B$6:$B$1005,$W1531)=0),COUNTIFS('①在庫を貼る'!$V$6:$V$10005,$V1531,'①在庫を貼る'!$W$6:$W$10005,$W1531)&gt;0),N(U1530),N(U1530)+1))</f>
        <v/>
      </c>
      <c r="V1531" s="19">
        <f>IF($B1531="","",TEXT($B1531,"0000"))</f>
        <v/>
      </c>
      <c r="W1531" s="19">
        <f>IF($I1531="","",IF(ISNUMBER($I1531),TEXT($I1531,"0"),$I1531))</f>
        <v/>
      </c>
    </row>
    <row r="1532">
      <c r="B1532" s="25" t="n"/>
      <c r="I1532" s="25" t="n"/>
      <c r="U1532" s="19">
        <f>IF($V1532&lt;&gt;'設定'!$C$4,N(U1531),IF(OR(NOT(COUNTIF('商品マスタ'!$B$6:$B$1005,$W1532)=0),COUNTIFS('①在庫を貼る'!$V$6:$V$10005,$V1532,'①在庫を貼る'!$W$6:$W$10005,$W1532)&gt;0),N(U1531),N(U1531)+1))</f>
        <v/>
      </c>
      <c r="V1532" s="19">
        <f>IF($B1532="","",TEXT($B1532,"0000"))</f>
        <v/>
      </c>
      <c r="W1532" s="19">
        <f>IF($I1532="","",IF(ISNUMBER($I1532),TEXT($I1532,"0"),$I1532))</f>
        <v/>
      </c>
    </row>
    <row r="1533">
      <c r="B1533" s="25" t="n"/>
      <c r="I1533" s="25" t="n"/>
      <c r="U1533" s="19">
        <f>IF($V1533&lt;&gt;'設定'!$C$4,N(U1532),IF(OR(NOT(COUNTIF('商品マスタ'!$B$6:$B$1005,$W1533)=0),COUNTIFS('①在庫を貼る'!$V$6:$V$10005,$V1533,'①在庫を貼る'!$W$6:$W$10005,$W1533)&gt;0),N(U1532),N(U1532)+1))</f>
        <v/>
      </c>
      <c r="V1533" s="19">
        <f>IF($B1533="","",TEXT($B1533,"0000"))</f>
        <v/>
      </c>
      <c r="W1533" s="19">
        <f>IF($I1533="","",IF(ISNUMBER($I1533),TEXT($I1533,"0"),$I1533))</f>
        <v/>
      </c>
    </row>
    <row r="1534">
      <c r="B1534" s="25" t="n"/>
      <c r="I1534" s="25" t="n"/>
      <c r="U1534" s="19">
        <f>IF($V1534&lt;&gt;'設定'!$C$4,N(U1533),IF(OR(NOT(COUNTIF('商品マスタ'!$B$6:$B$1005,$W1534)=0),COUNTIFS('①在庫を貼る'!$V$6:$V$10005,$V1534,'①在庫を貼る'!$W$6:$W$10005,$W1534)&gt;0),N(U1533),N(U1533)+1))</f>
        <v/>
      </c>
      <c r="V1534" s="19">
        <f>IF($B1534="","",TEXT($B1534,"0000"))</f>
        <v/>
      </c>
      <c r="W1534" s="19">
        <f>IF($I1534="","",IF(ISNUMBER($I1534),TEXT($I1534,"0"),$I1534))</f>
        <v/>
      </c>
    </row>
    <row r="1535">
      <c r="B1535" s="25" t="n"/>
      <c r="I1535" s="25" t="n"/>
      <c r="U1535" s="19">
        <f>IF($V1535&lt;&gt;'設定'!$C$4,N(U1534),IF(OR(NOT(COUNTIF('商品マスタ'!$B$6:$B$1005,$W1535)=0),COUNTIFS('①在庫を貼る'!$V$6:$V$10005,$V1535,'①在庫を貼る'!$W$6:$W$10005,$W1535)&gt;0),N(U1534),N(U1534)+1))</f>
        <v/>
      </c>
      <c r="V1535" s="19">
        <f>IF($B1535="","",TEXT($B1535,"0000"))</f>
        <v/>
      </c>
      <c r="W1535" s="19">
        <f>IF($I1535="","",IF(ISNUMBER($I1535),TEXT($I1535,"0"),$I1535))</f>
        <v/>
      </c>
    </row>
    <row r="1536">
      <c r="B1536" s="25" t="n"/>
      <c r="I1536" s="25" t="n"/>
      <c r="U1536" s="19">
        <f>IF($V1536&lt;&gt;'設定'!$C$4,N(U1535),IF(OR(NOT(COUNTIF('商品マスタ'!$B$6:$B$1005,$W1536)=0),COUNTIFS('①在庫を貼る'!$V$6:$V$10005,$V1536,'①在庫を貼る'!$W$6:$W$10005,$W1536)&gt;0),N(U1535),N(U1535)+1))</f>
        <v/>
      </c>
      <c r="V1536" s="19">
        <f>IF($B1536="","",TEXT($B1536,"0000"))</f>
        <v/>
      </c>
      <c r="W1536" s="19">
        <f>IF($I1536="","",IF(ISNUMBER($I1536),TEXT($I1536,"0"),$I1536))</f>
        <v/>
      </c>
    </row>
    <row r="1537">
      <c r="B1537" s="25" t="n"/>
      <c r="I1537" s="25" t="n"/>
      <c r="U1537" s="19">
        <f>IF($V1537&lt;&gt;'設定'!$C$4,N(U1536),IF(OR(NOT(COUNTIF('商品マスタ'!$B$6:$B$1005,$W1537)=0),COUNTIFS('①在庫を貼る'!$V$6:$V$10005,$V1537,'①在庫を貼る'!$W$6:$W$10005,$W1537)&gt;0),N(U1536),N(U1536)+1))</f>
        <v/>
      </c>
      <c r="V1537" s="19">
        <f>IF($B1537="","",TEXT($B1537,"0000"))</f>
        <v/>
      </c>
      <c r="W1537" s="19">
        <f>IF($I1537="","",IF(ISNUMBER($I1537),TEXT($I1537,"0"),$I1537))</f>
        <v/>
      </c>
    </row>
    <row r="1538">
      <c r="B1538" s="25" t="n"/>
      <c r="I1538" s="25" t="n"/>
      <c r="U1538" s="19">
        <f>IF($V1538&lt;&gt;'設定'!$C$4,N(U1537),IF(OR(NOT(COUNTIF('商品マスタ'!$B$6:$B$1005,$W1538)=0),COUNTIFS('①在庫を貼る'!$V$6:$V$10005,$V1538,'①在庫を貼る'!$W$6:$W$10005,$W1538)&gt;0),N(U1537),N(U1537)+1))</f>
        <v/>
      </c>
      <c r="V1538" s="19">
        <f>IF($B1538="","",TEXT($B1538,"0000"))</f>
        <v/>
      </c>
      <c r="W1538" s="19">
        <f>IF($I1538="","",IF(ISNUMBER($I1538),TEXT($I1538,"0"),$I1538))</f>
        <v/>
      </c>
    </row>
    <row r="1539">
      <c r="B1539" s="25" t="n"/>
      <c r="I1539" s="25" t="n"/>
      <c r="U1539" s="19">
        <f>IF($V1539&lt;&gt;'設定'!$C$4,N(U1538),IF(OR(NOT(COUNTIF('商品マスタ'!$B$6:$B$1005,$W1539)=0),COUNTIFS('①在庫を貼る'!$V$6:$V$10005,$V1539,'①在庫を貼る'!$W$6:$W$10005,$W1539)&gt;0),N(U1538),N(U1538)+1))</f>
        <v/>
      </c>
      <c r="V1539" s="19">
        <f>IF($B1539="","",TEXT($B1539,"0000"))</f>
        <v/>
      </c>
      <c r="W1539" s="19">
        <f>IF($I1539="","",IF(ISNUMBER($I1539),TEXT($I1539,"0"),$I1539))</f>
        <v/>
      </c>
    </row>
    <row r="1540">
      <c r="B1540" s="25" t="n"/>
      <c r="I1540" s="25" t="n"/>
      <c r="U1540" s="19">
        <f>IF($V1540&lt;&gt;'設定'!$C$4,N(U1539),IF(OR(NOT(COUNTIF('商品マスタ'!$B$6:$B$1005,$W1540)=0),COUNTIFS('①在庫を貼る'!$V$6:$V$10005,$V1540,'①在庫を貼る'!$W$6:$W$10005,$W1540)&gt;0),N(U1539),N(U1539)+1))</f>
        <v/>
      </c>
      <c r="V1540" s="19">
        <f>IF($B1540="","",TEXT($B1540,"0000"))</f>
        <v/>
      </c>
      <c r="W1540" s="19">
        <f>IF($I1540="","",IF(ISNUMBER($I1540),TEXT($I1540,"0"),$I1540))</f>
        <v/>
      </c>
    </row>
    <row r="1541">
      <c r="B1541" s="25" t="n"/>
      <c r="I1541" s="25" t="n"/>
      <c r="U1541" s="19">
        <f>IF($V1541&lt;&gt;'設定'!$C$4,N(U1540),IF(OR(NOT(COUNTIF('商品マスタ'!$B$6:$B$1005,$W1541)=0),COUNTIFS('①在庫を貼る'!$V$6:$V$10005,$V1541,'①在庫を貼る'!$W$6:$W$10005,$W1541)&gt;0),N(U1540),N(U1540)+1))</f>
        <v/>
      </c>
      <c r="V1541" s="19">
        <f>IF($B1541="","",TEXT($B1541,"0000"))</f>
        <v/>
      </c>
      <c r="W1541" s="19">
        <f>IF($I1541="","",IF(ISNUMBER($I1541),TEXT($I1541,"0"),$I1541))</f>
        <v/>
      </c>
    </row>
    <row r="1542">
      <c r="B1542" s="25" t="n"/>
      <c r="I1542" s="25" t="n"/>
      <c r="U1542" s="19">
        <f>IF($V1542&lt;&gt;'設定'!$C$4,N(U1541),IF(OR(NOT(COUNTIF('商品マスタ'!$B$6:$B$1005,$W1542)=0),COUNTIFS('①在庫を貼る'!$V$6:$V$10005,$V1542,'①在庫を貼る'!$W$6:$W$10005,$W1542)&gt;0),N(U1541),N(U1541)+1))</f>
        <v/>
      </c>
      <c r="V1542" s="19">
        <f>IF($B1542="","",TEXT($B1542,"0000"))</f>
        <v/>
      </c>
      <c r="W1542" s="19">
        <f>IF($I1542="","",IF(ISNUMBER($I1542),TEXT($I1542,"0"),$I1542))</f>
        <v/>
      </c>
    </row>
    <row r="1543">
      <c r="B1543" s="25" t="n"/>
      <c r="I1543" s="25" t="n"/>
      <c r="U1543" s="19">
        <f>IF($V1543&lt;&gt;'設定'!$C$4,N(U1542),IF(OR(NOT(COUNTIF('商品マスタ'!$B$6:$B$1005,$W1543)=0),COUNTIFS('①在庫を貼る'!$V$6:$V$10005,$V1543,'①在庫を貼る'!$W$6:$W$10005,$W1543)&gt;0),N(U1542),N(U1542)+1))</f>
        <v/>
      </c>
      <c r="V1543" s="19">
        <f>IF($B1543="","",TEXT($B1543,"0000"))</f>
        <v/>
      </c>
      <c r="W1543" s="19">
        <f>IF($I1543="","",IF(ISNUMBER($I1543),TEXT($I1543,"0"),$I1543))</f>
        <v/>
      </c>
    </row>
    <row r="1544">
      <c r="B1544" s="25" t="n"/>
      <c r="I1544" s="25" t="n"/>
      <c r="U1544" s="19">
        <f>IF($V1544&lt;&gt;'設定'!$C$4,N(U1543),IF(OR(NOT(COUNTIF('商品マスタ'!$B$6:$B$1005,$W1544)=0),COUNTIFS('①在庫を貼る'!$V$6:$V$10005,$V1544,'①在庫を貼る'!$W$6:$W$10005,$W1544)&gt;0),N(U1543),N(U1543)+1))</f>
        <v/>
      </c>
      <c r="V1544" s="19">
        <f>IF($B1544="","",TEXT($B1544,"0000"))</f>
        <v/>
      </c>
      <c r="W1544" s="19">
        <f>IF($I1544="","",IF(ISNUMBER($I1544),TEXT($I1544,"0"),$I1544))</f>
        <v/>
      </c>
    </row>
    <row r="1545">
      <c r="B1545" s="25" t="n"/>
      <c r="I1545" s="25" t="n"/>
      <c r="U1545" s="19">
        <f>IF($V1545&lt;&gt;'設定'!$C$4,N(U1544),IF(OR(NOT(COUNTIF('商品マスタ'!$B$6:$B$1005,$W1545)=0),COUNTIFS('①在庫を貼る'!$V$6:$V$10005,$V1545,'①在庫を貼る'!$W$6:$W$10005,$W1545)&gt;0),N(U1544),N(U1544)+1))</f>
        <v/>
      </c>
      <c r="V1545" s="19">
        <f>IF($B1545="","",TEXT($B1545,"0000"))</f>
        <v/>
      </c>
      <c r="W1545" s="19">
        <f>IF($I1545="","",IF(ISNUMBER($I1545),TEXT($I1545,"0"),$I1545))</f>
        <v/>
      </c>
    </row>
    <row r="1546">
      <c r="B1546" s="25" t="n"/>
      <c r="I1546" s="25" t="n"/>
      <c r="U1546" s="19">
        <f>IF($V1546&lt;&gt;'設定'!$C$4,N(U1545),IF(OR(NOT(COUNTIF('商品マスタ'!$B$6:$B$1005,$W1546)=0),COUNTIFS('①在庫を貼る'!$V$6:$V$10005,$V1546,'①在庫を貼る'!$W$6:$W$10005,$W1546)&gt;0),N(U1545),N(U1545)+1))</f>
        <v/>
      </c>
      <c r="V1546" s="19">
        <f>IF($B1546="","",TEXT($B1546,"0000"))</f>
        <v/>
      </c>
      <c r="W1546" s="19">
        <f>IF($I1546="","",IF(ISNUMBER($I1546),TEXT($I1546,"0"),$I1546))</f>
        <v/>
      </c>
    </row>
    <row r="1547">
      <c r="B1547" s="25" t="n"/>
      <c r="I1547" s="25" t="n"/>
      <c r="U1547" s="19">
        <f>IF($V1547&lt;&gt;'設定'!$C$4,N(U1546),IF(OR(NOT(COUNTIF('商品マスタ'!$B$6:$B$1005,$W1547)=0),COUNTIFS('①在庫を貼る'!$V$6:$V$10005,$V1547,'①在庫を貼る'!$W$6:$W$10005,$W1547)&gt;0),N(U1546),N(U1546)+1))</f>
        <v/>
      </c>
      <c r="V1547" s="19">
        <f>IF($B1547="","",TEXT($B1547,"0000"))</f>
        <v/>
      </c>
      <c r="W1547" s="19">
        <f>IF($I1547="","",IF(ISNUMBER($I1547),TEXT($I1547,"0"),$I1547))</f>
        <v/>
      </c>
    </row>
    <row r="1548">
      <c r="B1548" s="25" t="n"/>
      <c r="I1548" s="25" t="n"/>
      <c r="U1548" s="19">
        <f>IF($V1548&lt;&gt;'設定'!$C$4,N(U1547),IF(OR(NOT(COUNTIF('商品マスタ'!$B$6:$B$1005,$W1548)=0),COUNTIFS('①在庫を貼る'!$V$6:$V$10005,$V1548,'①在庫を貼る'!$W$6:$W$10005,$W1548)&gt;0),N(U1547),N(U1547)+1))</f>
        <v/>
      </c>
      <c r="V1548" s="19">
        <f>IF($B1548="","",TEXT($B1548,"0000"))</f>
        <v/>
      </c>
      <c r="W1548" s="19">
        <f>IF($I1548="","",IF(ISNUMBER($I1548),TEXT($I1548,"0"),$I1548))</f>
        <v/>
      </c>
    </row>
    <row r="1549">
      <c r="B1549" s="25" t="n"/>
      <c r="I1549" s="25" t="n"/>
      <c r="U1549" s="19">
        <f>IF($V1549&lt;&gt;'設定'!$C$4,N(U1548),IF(OR(NOT(COUNTIF('商品マスタ'!$B$6:$B$1005,$W1549)=0),COUNTIFS('①在庫を貼る'!$V$6:$V$10005,$V1549,'①在庫を貼る'!$W$6:$W$10005,$W1549)&gt;0),N(U1548),N(U1548)+1))</f>
        <v/>
      </c>
      <c r="V1549" s="19">
        <f>IF($B1549="","",TEXT($B1549,"0000"))</f>
        <v/>
      </c>
      <c r="W1549" s="19">
        <f>IF($I1549="","",IF(ISNUMBER($I1549),TEXT($I1549,"0"),$I1549))</f>
        <v/>
      </c>
    </row>
    <row r="1550">
      <c r="B1550" s="25" t="n"/>
      <c r="I1550" s="25" t="n"/>
      <c r="U1550" s="19">
        <f>IF($V1550&lt;&gt;'設定'!$C$4,N(U1549),IF(OR(NOT(COUNTIF('商品マスタ'!$B$6:$B$1005,$W1550)=0),COUNTIFS('①在庫を貼る'!$V$6:$V$10005,$V1550,'①在庫を貼る'!$W$6:$W$10005,$W1550)&gt;0),N(U1549),N(U1549)+1))</f>
        <v/>
      </c>
      <c r="V1550" s="19">
        <f>IF($B1550="","",TEXT($B1550,"0000"))</f>
        <v/>
      </c>
      <c r="W1550" s="19">
        <f>IF($I1550="","",IF(ISNUMBER($I1550),TEXT($I1550,"0"),$I1550))</f>
        <v/>
      </c>
    </row>
    <row r="1551">
      <c r="B1551" s="25" t="n"/>
      <c r="I1551" s="25" t="n"/>
      <c r="U1551" s="19">
        <f>IF($V1551&lt;&gt;'設定'!$C$4,N(U1550),IF(OR(NOT(COUNTIF('商品マスタ'!$B$6:$B$1005,$W1551)=0),COUNTIFS('①在庫を貼る'!$V$6:$V$10005,$V1551,'①在庫を貼る'!$W$6:$W$10005,$W1551)&gt;0),N(U1550),N(U1550)+1))</f>
        <v/>
      </c>
      <c r="V1551" s="19">
        <f>IF($B1551="","",TEXT($B1551,"0000"))</f>
        <v/>
      </c>
      <c r="W1551" s="19">
        <f>IF($I1551="","",IF(ISNUMBER($I1551),TEXT($I1551,"0"),$I1551))</f>
        <v/>
      </c>
    </row>
    <row r="1552">
      <c r="B1552" s="25" t="n"/>
      <c r="I1552" s="25" t="n"/>
      <c r="U1552" s="19">
        <f>IF($V1552&lt;&gt;'設定'!$C$4,N(U1551),IF(OR(NOT(COUNTIF('商品マスタ'!$B$6:$B$1005,$W1552)=0),COUNTIFS('①在庫を貼る'!$V$6:$V$10005,$V1552,'①在庫を貼る'!$W$6:$W$10005,$W1552)&gt;0),N(U1551),N(U1551)+1))</f>
        <v/>
      </c>
      <c r="V1552" s="19">
        <f>IF($B1552="","",TEXT($B1552,"0000"))</f>
        <v/>
      </c>
      <c r="W1552" s="19">
        <f>IF($I1552="","",IF(ISNUMBER($I1552),TEXT($I1552,"0"),$I1552))</f>
        <v/>
      </c>
    </row>
    <row r="1553">
      <c r="B1553" s="25" t="n"/>
      <c r="I1553" s="25" t="n"/>
      <c r="U1553" s="19">
        <f>IF($V1553&lt;&gt;'設定'!$C$4,N(U1552),IF(OR(NOT(COUNTIF('商品マスタ'!$B$6:$B$1005,$W1553)=0),COUNTIFS('①在庫を貼る'!$V$6:$V$10005,$V1553,'①在庫を貼る'!$W$6:$W$10005,$W1553)&gt;0),N(U1552),N(U1552)+1))</f>
        <v/>
      </c>
      <c r="V1553" s="19">
        <f>IF($B1553="","",TEXT($B1553,"0000"))</f>
        <v/>
      </c>
      <c r="W1553" s="19">
        <f>IF($I1553="","",IF(ISNUMBER($I1553),TEXT($I1553,"0"),$I1553))</f>
        <v/>
      </c>
    </row>
    <row r="1554">
      <c r="B1554" s="25" t="n"/>
      <c r="I1554" s="25" t="n"/>
      <c r="U1554" s="19">
        <f>IF($V1554&lt;&gt;'設定'!$C$4,N(U1553),IF(OR(NOT(COUNTIF('商品マスタ'!$B$6:$B$1005,$W1554)=0),COUNTIFS('①在庫を貼る'!$V$6:$V$10005,$V1554,'①在庫を貼る'!$W$6:$W$10005,$W1554)&gt;0),N(U1553),N(U1553)+1))</f>
        <v/>
      </c>
      <c r="V1554" s="19">
        <f>IF($B1554="","",TEXT($B1554,"0000"))</f>
        <v/>
      </c>
      <c r="W1554" s="19">
        <f>IF($I1554="","",IF(ISNUMBER($I1554),TEXT($I1554,"0"),$I1554))</f>
        <v/>
      </c>
    </row>
    <row r="1555">
      <c r="B1555" s="25" t="n"/>
      <c r="I1555" s="25" t="n"/>
      <c r="U1555" s="19">
        <f>IF($V1555&lt;&gt;'設定'!$C$4,N(U1554),IF(OR(NOT(COUNTIF('商品マスタ'!$B$6:$B$1005,$W1555)=0),COUNTIFS('①在庫を貼る'!$V$6:$V$10005,$V1555,'①在庫を貼る'!$W$6:$W$10005,$W1555)&gt;0),N(U1554),N(U1554)+1))</f>
        <v/>
      </c>
      <c r="V1555" s="19">
        <f>IF($B1555="","",TEXT($B1555,"0000"))</f>
        <v/>
      </c>
      <c r="W1555" s="19">
        <f>IF($I1555="","",IF(ISNUMBER($I1555),TEXT($I1555,"0"),$I1555))</f>
        <v/>
      </c>
    </row>
    <row r="1556">
      <c r="B1556" s="25" t="n"/>
      <c r="I1556" s="25" t="n"/>
      <c r="U1556" s="19">
        <f>IF($V1556&lt;&gt;'設定'!$C$4,N(U1555),IF(OR(NOT(COUNTIF('商品マスタ'!$B$6:$B$1005,$W1556)=0),COUNTIFS('①在庫を貼る'!$V$6:$V$10005,$V1556,'①在庫を貼る'!$W$6:$W$10005,$W1556)&gt;0),N(U1555),N(U1555)+1))</f>
        <v/>
      </c>
      <c r="V1556" s="19">
        <f>IF($B1556="","",TEXT($B1556,"0000"))</f>
        <v/>
      </c>
      <c r="W1556" s="19">
        <f>IF($I1556="","",IF(ISNUMBER($I1556),TEXT($I1556,"0"),$I1556))</f>
        <v/>
      </c>
    </row>
    <row r="1557">
      <c r="B1557" s="25" t="n"/>
      <c r="I1557" s="25" t="n"/>
      <c r="U1557" s="19">
        <f>IF($V1557&lt;&gt;'設定'!$C$4,N(U1556),IF(OR(NOT(COUNTIF('商品マスタ'!$B$6:$B$1005,$W1557)=0),COUNTIFS('①在庫を貼る'!$V$6:$V$10005,$V1557,'①在庫を貼る'!$W$6:$W$10005,$W1557)&gt;0),N(U1556),N(U1556)+1))</f>
        <v/>
      </c>
      <c r="V1557" s="19">
        <f>IF($B1557="","",TEXT($B1557,"0000"))</f>
        <v/>
      </c>
      <c r="W1557" s="19">
        <f>IF($I1557="","",IF(ISNUMBER($I1557),TEXT($I1557,"0"),$I1557))</f>
        <v/>
      </c>
    </row>
    <row r="1558">
      <c r="B1558" s="25" t="n"/>
      <c r="I1558" s="25" t="n"/>
      <c r="U1558" s="19">
        <f>IF($V1558&lt;&gt;'設定'!$C$4,N(U1557),IF(OR(NOT(COUNTIF('商品マスタ'!$B$6:$B$1005,$W1558)=0),COUNTIFS('①在庫を貼る'!$V$6:$V$10005,$V1558,'①在庫を貼る'!$W$6:$W$10005,$W1558)&gt;0),N(U1557),N(U1557)+1))</f>
        <v/>
      </c>
      <c r="V1558" s="19">
        <f>IF($B1558="","",TEXT($B1558,"0000"))</f>
        <v/>
      </c>
      <c r="W1558" s="19">
        <f>IF($I1558="","",IF(ISNUMBER($I1558),TEXT($I1558,"0"),$I1558))</f>
        <v/>
      </c>
    </row>
    <row r="1559">
      <c r="B1559" s="25" t="n"/>
      <c r="I1559" s="25" t="n"/>
      <c r="U1559" s="19">
        <f>IF($V1559&lt;&gt;'設定'!$C$4,N(U1558),IF(OR(NOT(COUNTIF('商品マスタ'!$B$6:$B$1005,$W1559)=0),COUNTIFS('①在庫を貼る'!$V$6:$V$10005,$V1559,'①在庫を貼る'!$W$6:$W$10005,$W1559)&gt;0),N(U1558),N(U1558)+1))</f>
        <v/>
      </c>
      <c r="V1559" s="19">
        <f>IF($B1559="","",TEXT($B1559,"0000"))</f>
        <v/>
      </c>
      <c r="W1559" s="19">
        <f>IF($I1559="","",IF(ISNUMBER($I1559),TEXT($I1559,"0"),$I1559))</f>
        <v/>
      </c>
    </row>
    <row r="1560">
      <c r="B1560" s="25" t="n"/>
      <c r="I1560" s="25" t="n"/>
      <c r="U1560" s="19">
        <f>IF($V1560&lt;&gt;'設定'!$C$4,N(U1559),IF(OR(NOT(COUNTIF('商品マスタ'!$B$6:$B$1005,$W1560)=0),COUNTIFS('①在庫を貼る'!$V$6:$V$10005,$V1560,'①在庫を貼る'!$W$6:$W$10005,$W1560)&gt;0),N(U1559),N(U1559)+1))</f>
        <v/>
      </c>
      <c r="V1560" s="19">
        <f>IF($B1560="","",TEXT($B1560,"0000"))</f>
        <v/>
      </c>
      <c r="W1560" s="19">
        <f>IF($I1560="","",IF(ISNUMBER($I1560),TEXT($I1560,"0"),$I1560))</f>
        <v/>
      </c>
    </row>
    <row r="1561">
      <c r="B1561" s="25" t="n"/>
      <c r="I1561" s="25" t="n"/>
      <c r="U1561" s="19">
        <f>IF($V1561&lt;&gt;'設定'!$C$4,N(U1560),IF(OR(NOT(COUNTIF('商品マスタ'!$B$6:$B$1005,$W1561)=0),COUNTIFS('①在庫を貼る'!$V$6:$V$10005,$V1561,'①在庫を貼る'!$W$6:$W$10005,$W1561)&gt;0),N(U1560),N(U1560)+1))</f>
        <v/>
      </c>
      <c r="V1561" s="19">
        <f>IF($B1561="","",TEXT($B1561,"0000"))</f>
        <v/>
      </c>
      <c r="W1561" s="19">
        <f>IF($I1561="","",IF(ISNUMBER($I1561),TEXT($I1561,"0"),$I1561))</f>
        <v/>
      </c>
    </row>
    <row r="1562">
      <c r="B1562" s="25" t="n"/>
      <c r="I1562" s="25" t="n"/>
      <c r="U1562" s="19">
        <f>IF($V1562&lt;&gt;'設定'!$C$4,N(U1561),IF(OR(NOT(COUNTIF('商品マスタ'!$B$6:$B$1005,$W1562)=0),COUNTIFS('①在庫を貼る'!$V$6:$V$10005,$V1562,'①在庫を貼る'!$W$6:$W$10005,$W1562)&gt;0),N(U1561),N(U1561)+1))</f>
        <v/>
      </c>
      <c r="V1562" s="19">
        <f>IF($B1562="","",TEXT($B1562,"0000"))</f>
        <v/>
      </c>
      <c r="W1562" s="19">
        <f>IF($I1562="","",IF(ISNUMBER($I1562),TEXT($I1562,"0"),$I1562))</f>
        <v/>
      </c>
    </row>
    <row r="1563">
      <c r="B1563" s="25" t="n"/>
      <c r="I1563" s="25" t="n"/>
      <c r="U1563" s="19">
        <f>IF($V1563&lt;&gt;'設定'!$C$4,N(U1562),IF(OR(NOT(COUNTIF('商品マスタ'!$B$6:$B$1005,$W1563)=0),COUNTIFS('①在庫を貼る'!$V$6:$V$10005,$V1563,'①在庫を貼る'!$W$6:$W$10005,$W1563)&gt;0),N(U1562),N(U1562)+1))</f>
        <v/>
      </c>
      <c r="V1563" s="19">
        <f>IF($B1563="","",TEXT($B1563,"0000"))</f>
        <v/>
      </c>
      <c r="W1563" s="19">
        <f>IF($I1563="","",IF(ISNUMBER($I1563),TEXT($I1563,"0"),$I1563))</f>
        <v/>
      </c>
    </row>
    <row r="1564">
      <c r="B1564" s="25" t="n"/>
      <c r="I1564" s="25" t="n"/>
      <c r="U1564" s="19">
        <f>IF($V1564&lt;&gt;'設定'!$C$4,N(U1563),IF(OR(NOT(COUNTIF('商品マスタ'!$B$6:$B$1005,$W1564)=0),COUNTIFS('①在庫を貼る'!$V$6:$V$10005,$V1564,'①在庫を貼る'!$W$6:$W$10005,$W1564)&gt;0),N(U1563),N(U1563)+1))</f>
        <v/>
      </c>
      <c r="V1564" s="19">
        <f>IF($B1564="","",TEXT($B1564,"0000"))</f>
        <v/>
      </c>
      <c r="W1564" s="19">
        <f>IF($I1564="","",IF(ISNUMBER($I1564),TEXT($I1564,"0"),$I1564))</f>
        <v/>
      </c>
    </row>
    <row r="1565">
      <c r="B1565" s="25" t="n"/>
      <c r="I1565" s="25" t="n"/>
      <c r="U1565" s="19">
        <f>IF($V1565&lt;&gt;'設定'!$C$4,N(U1564),IF(OR(NOT(COUNTIF('商品マスタ'!$B$6:$B$1005,$W1565)=0),COUNTIFS('①在庫を貼る'!$V$6:$V$10005,$V1565,'①在庫を貼る'!$W$6:$W$10005,$W1565)&gt;0),N(U1564),N(U1564)+1))</f>
        <v/>
      </c>
      <c r="V1565" s="19">
        <f>IF($B1565="","",TEXT($B1565,"0000"))</f>
        <v/>
      </c>
      <c r="W1565" s="19">
        <f>IF($I1565="","",IF(ISNUMBER($I1565),TEXT($I1565,"0"),$I1565))</f>
        <v/>
      </c>
    </row>
    <row r="1566">
      <c r="B1566" s="25" t="n"/>
      <c r="I1566" s="25" t="n"/>
      <c r="U1566" s="19">
        <f>IF($V1566&lt;&gt;'設定'!$C$4,N(U1565),IF(OR(NOT(COUNTIF('商品マスタ'!$B$6:$B$1005,$W1566)=0),COUNTIFS('①在庫を貼る'!$V$6:$V$10005,$V1566,'①在庫を貼る'!$W$6:$W$10005,$W1566)&gt;0),N(U1565),N(U1565)+1))</f>
        <v/>
      </c>
      <c r="V1566" s="19">
        <f>IF($B1566="","",TEXT($B1566,"0000"))</f>
        <v/>
      </c>
      <c r="W1566" s="19">
        <f>IF($I1566="","",IF(ISNUMBER($I1566),TEXT($I1566,"0"),$I1566))</f>
        <v/>
      </c>
    </row>
    <row r="1567">
      <c r="B1567" s="25" t="n"/>
      <c r="I1567" s="25" t="n"/>
      <c r="U1567" s="19">
        <f>IF($V1567&lt;&gt;'設定'!$C$4,N(U1566),IF(OR(NOT(COUNTIF('商品マスタ'!$B$6:$B$1005,$W1567)=0),COUNTIFS('①在庫を貼る'!$V$6:$V$10005,$V1567,'①在庫を貼る'!$W$6:$W$10005,$W1567)&gt;0),N(U1566),N(U1566)+1))</f>
        <v/>
      </c>
      <c r="V1567" s="19">
        <f>IF($B1567="","",TEXT($B1567,"0000"))</f>
        <v/>
      </c>
      <c r="W1567" s="19">
        <f>IF($I1567="","",IF(ISNUMBER($I1567),TEXT($I1567,"0"),$I1567))</f>
        <v/>
      </c>
    </row>
    <row r="1568">
      <c r="B1568" s="25" t="n"/>
      <c r="I1568" s="25" t="n"/>
      <c r="U1568" s="19">
        <f>IF($V1568&lt;&gt;'設定'!$C$4,N(U1567),IF(OR(NOT(COUNTIF('商品マスタ'!$B$6:$B$1005,$W1568)=0),COUNTIFS('①在庫を貼る'!$V$6:$V$10005,$V1568,'①在庫を貼る'!$W$6:$W$10005,$W1568)&gt;0),N(U1567),N(U1567)+1))</f>
        <v/>
      </c>
      <c r="V1568" s="19">
        <f>IF($B1568="","",TEXT($B1568,"0000"))</f>
        <v/>
      </c>
      <c r="W1568" s="19">
        <f>IF($I1568="","",IF(ISNUMBER($I1568),TEXT($I1568,"0"),$I1568))</f>
        <v/>
      </c>
    </row>
    <row r="1569">
      <c r="B1569" s="25" t="n"/>
      <c r="I1569" s="25" t="n"/>
      <c r="U1569" s="19">
        <f>IF($V1569&lt;&gt;'設定'!$C$4,N(U1568),IF(OR(NOT(COUNTIF('商品マスタ'!$B$6:$B$1005,$W1569)=0),COUNTIFS('①在庫を貼る'!$V$6:$V$10005,$V1569,'①在庫を貼る'!$W$6:$W$10005,$W1569)&gt;0),N(U1568),N(U1568)+1))</f>
        <v/>
      </c>
      <c r="V1569" s="19">
        <f>IF($B1569="","",TEXT($B1569,"0000"))</f>
        <v/>
      </c>
      <c r="W1569" s="19">
        <f>IF($I1569="","",IF(ISNUMBER($I1569),TEXT($I1569,"0"),$I1569))</f>
        <v/>
      </c>
    </row>
    <row r="1570">
      <c r="B1570" s="25" t="n"/>
      <c r="I1570" s="25" t="n"/>
      <c r="U1570" s="19">
        <f>IF($V1570&lt;&gt;'設定'!$C$4,N(U1569),IF(OR(NOT(COUNTIF('商品マスタ'!$B$6:$B$1005,$W1570)=0),COUNTIFS('①在庫を貼る'!$V$6:$V$10005,$V1570,'①在庫を貼る'!$W$6:$W$10005,$W1570)&gt;0),N(U1569),N(U1569)+1))</f>
        <v/>
      </c>
      <c r="V1570" s="19">
        <f>IF($B1570="","",TEXT($B1570,"0000"))</f>
        <v/>
      </c>
      <c r="W1570" s="19">
        <f>IF($I1570="","",IF(ISNUMBER($I1570),TEXT($I1570,"0"),$I1570))</f>
        <v/>
      </c>
    </row>
    <row r="1571">
      <c r="B1571" s="25" t="n"/>
      <c r="I1571" s="25" t="n"/>
      <c r="U1571" s="19">
        <f>IF($V1571&lt;&gt;'設定'!$C$4,N(U1570),IF(OR(NOT(COUNTIF('商品マスタ'!$B$6:$B$1005,$W1571)=0),COUNTIFS('①在庫を貼る'!$V$6:$V$10005,$V1571,'①在庫を貼る'!$W$6:$W$10005,$W1571)&gt;0),N(U1570),N(U1570)+1))</f>
        <v/>
      </c>
      <c r="V1571" s="19">
        <f>IF($B1571="","",TEXT($B1571,"0000"))</f>
        <v/>
      </c>
      <c r="W1571" s="19">
        <f>IF($I1571="","",IF(ISNUMBER($I1571),TEXT($I1571,"0"),$I1571))</f>
        <v/>
      </c>
    </row>
    <row r="1572">
      <c r="B1572" s="25" t="n"/>
      <c r="I1572" s="25" t="n"/>
      <c r="U1572" s="19">
        <f>IF($V1572&lt;&gt;'設定'!$C$4,N(U1571),IF(OR(NOT(COUNTIF('商品マスタ'!$B$6:$B$1005,$W1572)=0),COUNTIFS('①在庫を貼る'!$V$6:$V$10005,$V1572,'①在庫を貼る'!$W$6:$W$10005,$W1572)&gt;0),N(U1571),N(U1571)+1))</f>
        <v/>
      </c>
      <c r="V1572" s="19">
        <f>IF($B1572="","",TEXT($B1572,"0000"))</f>
        <v/>
      </c>
      <c r="W1572" s="19">
        <f>IF($I1572="","",IF(ISNUMBER($I1572),TEXT($I1572,"0"),$I1572))</f>
        <v/>
      </c>
    </row>
    <row r="1573">
      <c r="B1573" s="25" t="n"/>
      <c r="I1573" s="25" t="n"/>
      <c r="U1573" s="19">
        <f>IF($V1573&lt;&gt;'設定'!$C$4,N(U1572),IF(OR(NOT(COUNTIF('商品マスタ'!$B$6:$B$1005,$W1573)=0),COUNTIFS('①在庫を貼る'!$V$6:$V$10005,$V1573,'①在庫を貼る'!$W$6:$W$10005,$W1573)&gt;0),N(U1572),N(U1572)+1))</f>
        <v/>
      </c>
      <c r="V1573" s="19">
        <f>IF($B1573="","",TEXT($B1573,"0000"))</f>
        <v/>
      </c>
      <c r="W1573" s="19">
        <f>IF($I1573="","",IF(ISNUMBER($I1573),TEXT($I1573,"0"),$I1573))</f>
        <v/>
      </c>
    </row>
    <row r="1574">
      <c r="B1574" s="25" t="n"/>
      <c r="I1574" s="25" t="n"/>
      <c r="U1574" s="19">
        <f>IF($V1574&lt;&gt;'設定'!$C$4,N(U1573),IF(OR(NOT(COUNTIF('商品マスタ'!$B$6:$B$1005,$W1574)=0),COUNTIFS('①在庫を貼る'!$V$6:$V$10005,$V1574,'①在庫を貼る'!$W$6:$W$10005,$W1574)&gt;0),N(U1573),N(U1573)+1))</f>
        <v/>
      </c>
      <c r="V1574" s="19">
        <f>IF($B1574="","",TEXT($B1574,"0000"))</f>
        <v/>
      </c>
      <c r="W1574" s="19">
        <f>IF($I1574="","",IF(ISNUMBER($I1574),TEXT($I1574,"0"),$I1574))</f>
        <v/>
      </c>
    </row>
    <row r="1575">
      <c r="B1575" s="25" t="n"/>
      <c r="I1575" s="25" t="n"/>
      <c r="U1575" s="19">
        <f>IF($V1575&lt;&gt;'設定'!$C$4,N(U1574),IF(OR(NOT(COUNTIF('商品マスタ'!$B$6:$B$1005,$W1575)=0),COUNTIFS('①在庫を貼る'!$V$6:$V$10005,$V1575,'①在庫を貼る'!$W$6:$W$10005,$W1575)&gt;0),N(U1574),N(U1574)+1))</f>
        <v/>
      </c>
      <c r="V1575" s="19">
        <f>IF($B1575="","",TEXT($B1575,"0000"))</f>
        <v/>
      </c>
      <c r="W1575" s="19">
        <f>IF($I1575="","",IF(ISNUMBER($I1575),TEXT($I1575,"0"),$I1575))</f>
        <v/>
      </c>
    </row>
    <row r="1576">
      <c r="B1576" s="25" t="n"/>
      <c r="I1576" s="25" t="n"/>
      <c r="U1576" s="19">
        <f>IF($V1576&lt;&gt;'設定'!$C$4,N(U1575),IF(OR(NOT(COUNTIF('商品マスタ'!$B$6:$B$1005,$W1576)=0),COUNTIFS('①在庫を貼る'!$V$6:$V$10005,$V1576,'①在庫を貼る'!$W$6:$W$10005,$W1576)&gt;0),N(U1575),N(U1575)+1))</f>
        <v/>
      </c>
      <c r="V1576" s="19">
        <f>IF($B1576="","",TEXT($B1576,"0000"))</f>
        <v/>
      </c>
      <c r="W1576" s="19">
        <f>IF($I1576="","",IF(ISNUMBER($I1576),TEXT($I1576,"0"),$I1576))</f>
        <v/>
      </c>
    </row>
    <row r="1577">
      <c r="B1577" s="25" t="n"/>
      <c r="I1577" s="25" t="n"/>
      <c r="U1577" s="19">
        <f>IF($V1577&lt;&gt;'設定'!$C$4,N(U1576),IF(OR(NOT(COUNTIF('商品マスタ'!$B$6:$B$1005,$W1577)=0),COUNTIFS('①在庫を貼る'!$V$6:$V$10005,$V1577,'①在庫を貼る'!$W$6:$W$10005,$W1577)&gt;0),N(U1576),N(U1576)+1))</f>
        <v/>
      </c>
      <c r="V1577" s="19">
        <f>IF($B1577="","",TEXT($B1577,"0000"))</f>
        <v/>
      </c>
      <c r="W1577" s="19">
        <f>IF($I1577="","",IF(ISNUMBER($I1577),TEXT($I1577,"0"),$I1577))</f>
        <v/>
      </c>
    </row>
    <row r="1578">
      <c r="B1578" s="25" t="n"/>
      <c r="I1578" s="25" t="n"/>
      <c r="U1578" s="19">
        <f>IF($V1578&lt;&gt;'設定'!$C$4,N(U1577),IF(OR(NOT(COUNTIF('商品マスタ'!$B$6:$B$1005,$W1578)=0),COUNTIFS('①在庫を貼る'!$V$6:$V$10005,$V1578,'①在庫を貼る'!$W$6:$W$10005,$W1578)&gt;0),N(U1577),N(U1577)+1))</f>
        <v/>
      </c>
      <c r="V1578" s="19">
        <f>IF($B1578="","",TEXT($B1578,"0000"))</f>
        <v/>
      </c>
      <c r="W1578" s="19">
        <f>IF($I1578="","",IF(ISNUMBER($I1578),TEXT($I1578,"0"),$I1578))</f>
        <v/>
      </c>
    </row>
    <row r="1579">
      <c r="B1579" s="25" t="n"/>
      <c r="I1579" s="25" t="n"/>
      <c r="U1579" s="19">
        <f>IF($V1579&lt;&gt;'設定'!$C$4,N(U1578),IF(OR(NOT(COUNTIF('商品マスタ'!$B$6:$B$1005,$W1579)=0),COUNTIFS('①在庫を貼る'!$V$6:$V$10005,$V1579,'①在庫を貼る'!$W$6:$W$10005,$W1579)&gt;0),N(U1578),N(U1578)+1))</f>
        <v/>
      </c>
      <c r="V1579" s="19">
        <f>IF($B1579="","",TEXT($B1579,"0000"))</f>
        <v/>
      </c>
      <c r="W1579" s="19">
        <f>IF($I1579="","",IF(ISNUMBER($I1579),TEXT($I1579,"0"),$I1579))</f>
        <v/>
      </c>
    </row>
    <row r="1580">
      <c r="B1580" s="25" t="n"/>
      <c r="I1580" s="25" t="n"/>
      <c r="U1580" s="19">
        <f>IF($V1580&lt;&gt;'設定'!$C$4,N(U1579),IF(OR(NOT(COUNTIF('商品マスタ'!$B$6:$B$1005,$W1580)=0),COUNTIFS('①在庫を貼る'!$V$6:$V$10005,$V1580,'①在庫を貼る'!$W$6:$W$10005,$W1580)&gt;0),N(U1579),N(U1579)+1))</f>
        <v/>
      </c>
      <c r="V1580" s="19">
        <f>IF($B1580="","",TEXT($B1580,"0000"))</f>
        <v/>
      </c>
      <c r="W1580" s="19">
        <f>IF($I1580="","",IF(ISNUMBER($I1580),TEXT($I1580,"0"),$I1580))</f>
        <v/>
      </c>
    </row>
    <row r="1581">
      <c r="B1581" s="25" t="n"/>
      <c r="I1581" s="25" t="n"/>
      <c r="U1581" s="19">
        <f>IF($V1581&lt;&gt;'設定'!$C$4,N(U1580),IF(OR(NOT(COUNTIF('商品マスタ'!$B$6:$B$1005,$W1581)=0),COUNTIFS('①在庫を貼る'!$V$6:$V$10005,$V1581,'①在庫を貼る'!$W$6:$W$10005,$W1581)&gt;0),N(U1580),N(U1580)+1))</f>
        <v/>
      </c>
      <c r="V1581" s="19">
        <f>IF($B1581="","",TEXT($B1581,"0000"))</f>
        <v/>
      </c>
      <c r="W1581" s="19">
        <f>IF($I1581="","",IF(ISNUMBER($I1581),TEXT($I1581,"0"),$I1581))</f>
        <v/>
      </c>
    </row>
    <row r="1582">
      <c r="B1582" s="25" t="n"/>
      <c r="I1582" s="25" t="n"/>
      <c r="U1582" s="19">
        <f>IF($V1582&lt;&gt;'設定'!$C$4,N(U1581),IF(OR(NOT(COUNTIF('商品マスタ'!$B$6:$B$1005,$W1582)=0),COUNTIFS('①在庫を貼る'!$V$6:$V$10005,$V1582,'①在庫を貼る'!$W$6:$W$10005,$W1582)&gt;0),N(U1581),N(U1581)+1))</f>
        <v/>
      </c>
      <c r="V1582" s="19">
        <f>IF($B1582="","",TEXT($B1582,"0000"))</f>
        <v/>
      </c>
      <c r="W1582" s="19">
        <f>IF($I1582="","",IF(ISNUMBER($I1582),TEXT($I1582,"0"),$I1582))</f>
        <v/>
      </c>
    </row>
    <row r="1583">
      <c r="B1583" s="25" t="n"/>
      <c r="I1583" s="25" t="n"/>
      <c r="U1583" s="19">
        <f>IF($V1583&lt;&gt;'設定'!$C$4,N(U1582),IF(OR(NOT(COUNTIF('商品マスタ'!$B$6:$B$1005,$W1583)=0),COUNTIFS('①在庫を貼る'!$V$6:$V$10005,$V1583,'①在庫を貼る'!$W$6:$W$10005,$W1583)&gt;0),N(U1582),N(U1582)+1))</f>
        <v/>
      </c>
      <c r="V1583" s="19">
        <f>IF($B1583="","",TEXT($B1583,"0000"))</f>
        <v/>
      </c>
      <c r="W1583" s="19">
        <f>IF($I1583="","",IF(ISNUMBER($I1583),TEXT($I1583,"0"),$I1583))</f>
        <v/>
      </c>
    </row>
    <row r="1584">
      <c r="B1584" s="25" t="n"/>
      <c r="I1584" s="25" t="n"/>
      <c r="U1584" s="19">
        <f>IF($V1584&lt;&gt;'設定'!$C$4,N(U1583),IF(OR(NOT(COUNTIF('商品マスタ'!$B$6:$B$1005,$W1584)=0),COUNTIFS('①在庫を貼る'!$V$6:$V$10005,$V1584,'①在庫を貼る'!$W$6:$W$10005,$W1584)&gt;0),N(U1583),N(U1583)+1))</f>
        <v/>
      </c>
      <c r="V1584" s="19">
        <f>IF($B1584="","",TEXT($B1584,"0000"))</f>
        <v/>
      </c>
      <c r="W1584" s="19">
        <f>IF($I1584="","",IF(ISNUMBER($I1584),TEXT($I1584,"0"),$I1584))</f>
        <v/>
      </c>
    </row>
    <row r="1585">
      <c r="B1585" s="25" t="n"/>
      <c r="I1585" s="25" t="n"/>
      <c r="U1585" s="19">
        <f>IF($V1585&lt;&gt;'設定'!$C$4,N(U1584),IF(OR(NOT(COUNTIF('商品マスタ'!$B$6:$B$1005,$W1585)=0),COUNTIFS('①在庫を貼る'!$V$6:$V$10005,$V1585,'①在庫を貼る'!$W$6:$W$10005,$W1585)&gt;0),N(U1584),N(U1584)+1))</f>
        <v/>
      </c>
      <c r="V1585" s="19">
        <f>IF($B1585="","",TEXT($B1585,"0000"))</f>
        <v/>
      </c>
      <c r="W1585" s="19">
        <f>IF($I1585="","",IF(ISNUMBER($I1585),TEXT($I1585,"0"),$I1585))</f>
        <v/>
      </c>
    </row>
    <row r="1586">
      <c r="B1586" s="25" t="n"/>
      <c r="I1586" s="25" t="n"/>
      <c r="U1586" s="19">
        <f>IF($V1586&lt;&gt;'設定'!$C$4,N(U1585),IF(OR(NOT(COUNTIF('商品マスタ'!$B$6:$B$1005,$W1586)=0),COUNTIFS('①在庫を貼る'!$V$6:$V$10005,$V1586,'①在庫を貼る'!$W$6:$W$10005,$W1586)&gt;0),N(U1585),N(U1585)+1))</f>
        <v/>
      </c>
      <c r="V1586" s="19">
        <f>IF($B1586="","",TEXT($B1586,"0000"))</f>
        <v/>
      </c>
      <c r="W1586" s="19">
        <f>IF($I1586="","",IF(ISNUMBER($I1586),TEXT($I1586,"0"),$I1586))</f>
        <v/>
      </c>
    </row>
    <row r="1587">
      <c r="B1587" s="25" t="n"/>
      <c r="I1587" s="25" t="n"/>
      <c r="U1587" s="19">
        <f>IF($V1587&lt;&gt;'設定'!$C$4,N(U1586),IF(OR(NOT(COUNTIF('商品マスタ'!$B$6:$B$1005,$W1587)=0),COUNTIFS('①在庫を貼る'!$V$6:$V$10005,$V1587,'①在庫を貼る'!$W$6:$W$10005,$W1587)&gt;0),N(U1586),N(U1586)+1))</f>
        <v/>
      </c>
      <c r="V1587" s="19">
        <f>IF($B1587="","",TEXT($B1587,"0000"))</f>
        <v/>
      </c>
      <c r="W1587" s="19">
        <f>IF($I1587="","",IF(ISNUMBER($I1587),TEXT($I1587,"0"),$I1587))</f>
        <v/>
      </c>
    </row>
    <row r="1588">
      <c r="B1588" s="25" t="n"/>
      <c r="I1588" s="25" t="n"/>
      <c r="U1588" s="19">
        <f>IF($V1588&lt;&gt;'設定'!$C$4,N(U1587),IF(OR(NOT(COUNTIF('商品マスタ'!$B$6:$B$1005,$W1588)=0),COUNTIFS('①在庫を貼る'!$V$6:$V$10005,$V1588,'①在庫を貼る'!$W$6:$W$10005,$W1588)&gt;0),N(U1587),N(U1587)+1))</f>
        <v/>
      </c>
      <c r="V1588" s="19">
        <f>IF($B1588="","",TEXT($B1588,"0000"))</f>
        <v/>
      </c>
      <c r="W1588" s="19">
        <f>IF($I1588="","",IF(ISNUMBER($I1588),TEXT($I1588,"0"),$I1588))</f>
        <v/>
      </c>
    </row>
    <row r="1589">
      <c r="B1589" s="25" t="n"/>
      <c r="I1589" s="25" t="n"/>
      <c r="U1589" s="19">
        <f>IF($V1589&lt;&gt;'設定'!$C$4,N(U1588),IF(OR(NOT(COUNTIF('商品マスタ'!$B$6:$B$1005,$W1589)=0),COUNTIFS('①在庫を貼る'!$V$6:$V$10005,$V1589,'①在庫を貼る'!$W$6:$W$10005,$W1589)&gt;0),N(U1588),N(U1588)+1))</f>
        <v/>
      </c>
      <c r="V1589" s="19">
        <f>IF($B1589="","",TEXT($B1589,"0000"))</f>
        <v/>
      </c>
      <c r="W1589" s="19">
        <f>IF($I1589="","",IF(ISNUMBER($I1589),TEXT($I1589,"0"),$I1589))</f>
        <v/>
      </c>
    </row>
    <row r="1590">
      <c r="B1590" s="25" t="n"/>
      <c r="I1590" s="25" t="n"/>
      <c r="U1590" s="19">
        <f>IF($V1590&lt;&gt;'設定'!$C$4,N(U1589),IF(OR(NOT(COUNTIF('商品マスタ'!$B$6:$B$1005,$W1590)=0),COUNTIFS('①在庫を貼る'!$V$6:$V$10005,$V1590,'①在庫を貼る'!$W$6:$W$10005,$W1590)&gt;0),N(U1589),N(U1589)+1))</f>
        <v/>
      </c>
      <c r="V1590" s="19">
        <f>IF($B1590="","",TEXT($B1590,"0000"))</f>
        <v/>
      </c>
      <c r="W1590" s="19">
        <f>IF($I1590="","",IF(ISNUMBER($I1590),TEXT($I1590,"0"),$I1590))</f>
        <v/>
      </c>
    </row>
    <row r="1591">
      <c r="B1591" s="25" t="n"/>
      <c r="I1591" s="25" t="n"/>
      <c r="U1591" s="19">
        <f>IF($V1591&lt;&gt;'設定'!$C$4,N(U1590),IF(OR(NOT(COUNTIF('商品マスタ'!$B$6:$B$1005,$W1591)=0),COUNTIFS('①在庫を貼る'!$V$6:$V$10005,$V1591,'①在庫を貼る'!$W$6:$W$10005,$W1591)&gt;0),N(U1590),N(U1590)+1))</f>
        <v/>
      </c>
      <c r="V1591" s="19">
        <f>IF($B1591="","",TEXT($B1591,"0000"))</f>
        <v/>
      </c>
      <c r="W1591" s="19">
        <f>IF($I1591="","",IF(ISNUMBER($I1591),TEXT($I1591,"0"),$I1591))</f>
        <v/>
      </c>
    </row>
    <row r="1592">
      <c r="B1592" s="25" t="n"/>
      <c r="I1592" s="25" t="n"/>
      <c r="U1592" s="19">
        <f>IF($V1592&lt;&gt;'設定'!$C$4,N(U1591),IF(OR(NOT(COUNTIF('商品マスタ'!$B$6:$B$1005,$W1592)=0),COUNTIFS('①在庫を貼る'!$V$6:$V$10005,$V1592,'①在庫を貼る'!$W$6:$W$10005,$W1592)&gt;0),N(U1591),N(U1591)+1))</f>
        <v/>
      </c>
      <c r="V1592" s="19">
        <f>IF($B1592="","",TEXT($B1592,"0000"))</f>
        <v/>
      </c>
      <c r="W1592" s="19">
        <f>IF($I1592="","",IF(ISNUMBER($I1592),TEXT($I1592,"0"),$I1592))</f>
        <v/>
      </c>
    </row>
    <row r="1593">
      <c r="B1593" s="25" t="n"/>
      <c r="I1593" s="25" t="n"/>
      <c r="U1593" s="19">
        <f>IF($V1593&lt;&gt;'設定'!$C$4,N(U1592),IF(OR(NOT(COUNTIF('商品マスタ'!$B$6:$B$1005,$W1593)=0),COUNTIFS('①在庫を貼る'!$V$6:$V$10005,$V1593,'①在庫を貼る'!$W$6:$W$10005,$W1593)&gt;0),N(U1592),N(U1592)+1))</f>
        <v/>
      </c>
      <c r="V1593" s="19">
        <f>IF($B1593="","",TEXT($B1593,"0000"))</f>
        <v/>
      </c>
      <c r="W1593" s="19">
        <f>IF($I1593="","",IF(ISNUMBER($I1593),TEXT($I1593,"0"),$I1593))</f>
        <v/>
      </c>
    </row>
    <row r="1594">
      <c r="B1594" s="25" t="n"/>
      <c r="I1594" s="25" t="n"/>
      <c r="U1594" s="19">
        <f>IF($V1594&lt;&gt;'設定'!$C$4,N(U1593),IF(OR(NOT(COUNTIF('商品マスタ'!$B$6:$B$1005,$W1594)=0),COUNTIFS('①在庫を貼る'!$V$6:$V$10005,$V1594,'①在庫を貼る'!$W$6:$W$10005,$W1594)&gt;0),N(U1593),N(U1593)+1))</f>
        <v/>
      </c>
      <c r="V1594" s="19">
        <f>IF($B1594="","",TEXT($B1594,"0000"))</f>
        <v/>
      </c>
      <c r="W1594" s="19">
        <f>IF($I1594="","",IF(ISNUMBER($I1594),TEXT($I1594,"0"),$I1594))</f>
        <v/>
      </c>
    </row>
    <row r="1595">
      <c r="B1595" s="25" t="n"/>
      <c r="I1595" s="25" t="n"/>
      <c r="U1595" s="19">
        <f>IF($V1595&lt;&gt;'設定'!$C$4,N(U1594),IF(OR(NOT(COUNTIF('商品マスタ'!$B$6:$B$1005,$W1595)=0),COUNTIFS('①在庫を貼る'!$V$6:$V$10005,$V1595,'①在庫を貼る'!$W$6:$W$10005,$W1595)&gt;0),N(U1594),N(U1594)+1))</f>
        <v/>
      </c>
      <c r="V1595" s="19">
        <f>IF($B1595="","",TEXT($B1595,"0000"))</f>
        <v/>
      </c>
      <c r="W1595" s="19">
        <f>IF($I1595="","",IF(ISNUMBER($I1595),TEXT($I1595,"0"),$I1595))</f>
        <v/>
      </c>
    </row>
    <row r="1596">
      <c r="B1596" s="25" t="n"/>
      <c r="I1596" s="25" t="n"/>
      <c r="U1596" s="19">
        <f>IF($V1596&lt;&gt;'設定'!$C$4,N(U1595),IF(OR(NOT(COUNTIF('商品マスタ'!$B$6:$B$1005,$W1596)=0),COUNTIFS('①在庫を貼る'!$V$6:$V$10005,$V1596,'①在庫を貼る'!$W$6:$W$10005,$W1596)&gt;0),N(U1595),N(U1595)+1))</f>
        <v/>
      </c>
      <c r="V1596" s="19">
        <f>IF($B1596="","",TEXT($B1596,"0000"))</f>
        <v/>
      </c>
      <c r="W1596" s="19">
        <f>IF($I1596="","",IF(ISNUMBER($I1596),TEXT($I1596,"0"),$I1596))</f>
        <v/>
      </c>
    </row>
    <row r="1597">
      <c r="B1597" s="25" t="n"/>
      <c r="I1597" s="25" t="n"/>
      <c r="U1597" s="19">
        <f>IF($V1597&lt;&gt;'設定'!$C$4,N(U1596),IF(OR(NOT(COUNTIF('商品マスタ'!$B$6:$B$1005,$W1597)=0),COUNTIFS('①在庫を貼る'!$V$6:$V$10005,$V1597,'①在庫を貼る'!$W$6:$W$10005,$W1597)&gt;0),N(U1596),N(U1596)+1))</f>
        <v/>
      </c>
      <c r="V1597" s="19">
        <f>IF($B1597="","",TEXT($B1597,"0000"))</f>
        <v/>
      </c>
      <c r="W1597" s="19">
        <f>IF($I1597="","",IF(ISNUMBER($I1597),TEXT($I1597,"0"),$I1597))</f>
        <v/>
      </c>
    </row>
    <row r="1598">
      <c r="B1598" s="25" t="n"/>
      <c r="I1598" s="25" t="n"/>
      <c r="U1598" s="19">
        <f>IF($V1598&lt;&gt;'設定'!$C$4,N(U1597),IF(OR(NOT(COUNTIF('商品マスタ'!$B$6:$B$1005,$W1598)=0),COUNTIFS('①在庫を貼る'!$V$6:$V$10005,$V1598,'①在庫を貼る'!$W$6:$W$10005,$W1598)&gt;0),N(U1597),N(U1597)+1))</f>
        <v/>
      </c>
      <c r="V1598" s="19">
        <f>IF($B1598="","",TEXT($B1598,"0000"))</f>
        <v/>
      </c>
      <c r="W1598" s="19">
        <f>IF($I1598="","",IF(ISNUMBER($I1598),TEXT($I1598,"0"),$I1598))</f>
        <v/>
      </c>
    </row>
    <row r="1599">
      <c r="B1599" s="25" t="n"/>
      <c r="I1599" s="25" t="n"/>
      <c r="U1599" s="19">
        <f>IF($V1599&lt;&gt;'設定'!$C$4,N(U1598),IF(OR(NOT(COUNTIF('商品マスタ'!$B$6:$B$1005,$W1599)=0),COUNTIFS('①在庫を貼る'!$V$6:$V$10005,$V1599,'①在庫を貼る'!$W$6:$W$10005,$W1599)&gt;0),N(U1598),N(U1598)+1))</f>
        <v/>
      </c>
      <c r="V1599" s="19">
        <f>IF($B1599="","",TEXT($B1599,"0000"))</f>
        <v/>
      </c>
      <c r="W1599" s="19">
        <f>IF($I1599="","",IF(ISNUMBER($I1599),TEXT($I1599,"0"),$I1599))</f>
        <v/>
      </c>
    </row>
    <row r="1600">
      <c r="B1600" s="25" t="n"/>
      <c r="I1600" s="25" t="n"/>
      <c r="U1600" s="19">
        <f>IF($V1600&lt;&gt;'設定'!$C$4,N(U1599),IF(OR(NOT(COUNTIF('商品マスタ'!$B$6:$B$1005,$W1600)=0),COUNTIFS('①在庫を貼る'!$V$6:$V$10005,$V1600,'①在庫を貼る'!$W$6:$W$10005,$W1600)&gt;0),N(U1599),N(U1599)+1))</f>
        <v/>
      </c>
      <c r="V1600" s="19">
        <f>IF($B1600="","",TEXT($B1600,"0000"))</f>
        <v/>
      </c>
      <c r="W1600" s="19">
        <f>IF($I1600="","",IF(ISNUMBER($I1600),TEXT($I1600,"0"),$I1600))</f>
        <v/>
      </c>
    </row>
    <row r="1601">
      <c r="B1601" s="25" t="n"/>
      <c r="I1601" s="25" t="n"/>
      <c r="U1601" s="19">
        <f>IF($V1601&lt;&gt;'設定'!$C$4,N(U1600),IF(OR(NOT(COUNTIF('商品マスタ'!$B$6:$B$1005,$W1601)=0),COUNTIFS('①在庫を貼る'!$V$6:$V$10005,$V1601,'①在庫を貼る'!$W$6:$W$10005,$W1601)&gt;0),N(U1600),N(U1600)+1))</f>
        <v/>
      </c>
      <c r="V1601" s="19">
        <f>IF($B1601="","",TEXT($B1601,"0000"))</f>
        <v/>
      </c>
      <c r="W1601" s="19">
        <f>IF($I1601="","",IF(ISNUMBER($I1601),TEXT($I1601,"0"),$I1601))</f>
        <v/>
      </c>
    </row>
    <row r="1602">
      <c r="B1602" s="25" t="n"/>
      <c r="I1602" s="25" t="n"/>
      <c r="U1602" s="19">
        <f>IF($V1602&lt;&gt;'設定'!$C$4,N(U1601),IF(OR(NOT(COUNTIF('商品マスタ'!$B$6:$B$1005,$W1602)=0),COUNTIFS('①在庫を貼る'!$V$6:$V$10005,$V1602,'①在庫を貼る'!$W$6:$W$10005,$W1602)&gt;0),N(U1601),N(U1601)+1))</f>
        <v/>
      </c>
      <c r="V1602" s="19">
        <f>IF($B1602="","",TEXT($B1602,"0000"))</f>
        <v/>
      </c>
      <c r="W1602" s="19">
        <f>IF($I1602="","",IF(ISNUMBER($I1602),TEXT($I1602,"0"),$I1602))</f>
        <v/>
      </c>
    </row>
    <row r="1603">
      <c r="B1603" s="25" t="n"/>
      <c r="I1603" s="25" t="n"/>
      <c r="U1603" s="19">
        <f>IF($V1603&lt;&gt;'設定'!$C$4,N(U1602),IF(OR(NOT(COUNTIF('商品マスタ'!$B$6:$B$1005,$W1603)=0),COUNTIFS('①在庫を貼る'!$V$6:$V$10005,$V1603,'①在庫を貼る'!$W$6:$W$10005,$W1603)&gt;0),N(U1602),N(U1602)+1))</f>
        <v/>
      </c>
      <c r="V1603" s="19">
        <f>IF($B1603="","",TEXT($B1603,"0000"))</f>
        <v/>
      </c>
      <c r="W1603" s="19">
        <f>IF($I1603="","",IF(ISNUMBER($I1603),TEXT($I1603,"0"),$I1603))</f>
        <v/>
      </c>
    </row>
    <row r="1604">
      <c r="B1604" s="25" t="n"/>
      <c r="I1604" s="25" t="n"/>
      <c r="U1604" s="19">
        <f>IF($V1604&lt;&gt;'設定'!$C$4,N(U1603),IF(OR(NOT(COUNTIF('商品マスタ'!$B$6:$B$1005,$W1604)=0),COUNTIFS('①在庫を貼る'!$V$6:$V$10005,$V1604,'①在庫を貼る'!$W$6:$W$10005,$W1604)&gt;0),N(U1603),N(U1603)+1))</f>
        <v/>
      </c>
      <c r="V1604" s="19">
        <f>IF($B1604="","",TEXT($B1604,"0000"))</f>
        <v/>
      </c>
      <c r="W1604" s="19">
        <f>IF($I1604="","",IF(ISNUMBER($I1604),TEXT($I1604,"0"),$I1604))</f>
        <v/>
      </c>
    </row>
    <row r="1605">
      <c r="B1605" s="25" t="n"/>
      <c r="I1605" s="25" t="n"/>
      <c r="U1605" s="19">
        <f>IF($V1605&lt;&gt;'設定'!$C$4,N(U1604),IF(OR(NOT(COUNTIF('商品マスタ'!$B$6:$B$1005,$W1605)=0),COUNTIFS('①在庫を貼る'!$V$6:$V$10005,$V1605,'①在庫を貼る'!$W$6:$W$10005,$W1605)&gt;0),N(U1604),N(U1604)+1))</f>
        <v/>
      </c>
      <c r="V1605" s="19">
        <f>IF($B1605="","",TEXT($B1605,"0000"))</f>
        <v/>
      </c>
      <c r="W1605" s="19">
        <f>IF($I1605="","",IF(ISNUMBER($I1605),TEXT($I1605,"0"),$I1605))</f>
        <v/>
      </c>
    </row>
    <row r="1606">
      <c r="B1606" s="25" t="n"/>
      <c r="I1606" s="25" t="n"/>
      <c r="U1606" s="19">
        <f>IF($V1606&lt;&gt;'設定'!$C$4,N(U1605),IF(OR(NOT(COUNTIF('商品マスタ'!$B$6:$B$1005,$W1606)=0),COUNTIFS('①在庫を貼る'!$V$6:$V$10005,$V1606,'①在庫を貼る'!$W$6:$W$10005,$W1606)&gt;0),N(U1605),N(U1605)+1))</f>
        <v/>
      </c>
      <c r="V1606" s="19">
        <f>IF($B1606="","",TEXT($B1606,"0000"))</f>
        <v/>
      </c>
      <c r="W1606" s="19">
        <f>IF($I1606="","",IF(ISNUMBER($I1606),TEXT($I1606,"0"),$I1606))</f>
        <v/>
      </c>
    </row>
    <row r="1607">
      <c r="B1607" s="25" t="n"/>
      <c r="I1607" s="25" t="n"/>
      <c r="U1607" s="19">
        <f>IF($V1607&lt;&gt;'設定'!$C$4,N(U1606),IF(OR(NOT(COUNTIF('商品マスタ'!$B$6:$B$1005,$W1607)=0),COUNTIFS('①在庫を貼る'!$V$6:$V$10005,$V1607,'①在庫を貼る'!$W$6:$W$10005,$W1607)&gt;0),N(U1606),N(U1606)+1))</f>
        <v/>
      </c>
      <c r="V1607" s="19">
        <f>IF($B1607="","",TEXT($B1607,"0000"))</f>
        <v/>
      </c>
      <c r="W1607" s="19">
        <f>IF($I1607="","",IF(ISNUMBER($I1607),TEXT($I1607,"0"),$I1607))</f>
        <v/>
      </c>
    </row>
    <row r="1608">
      <c r="B1608" s="25" t="n"/>
      <c r="I1608" s="25" t="n"/>
      <c r="U1608" s="19">
        <f>IF($V1608&lt;&gt;'設定'!$C$4,N(U1607),IF(OR(NOT(COUNTIF('商品マスタ'!$B$6:$B$1005,$W1608)=0),COUNTIFS('①在庫を貼る'!$V$6:$V$10005,$V1608,'①在庫を貼る'!$W$6:$W$10005,$W1608)&gt;0),N(U1607),N(U1607)+1))</f>
        <v/>
      </c>
      <c r="V1608" s="19">
        <f>IF($B1608="","",TEXT($B1608,"0000"))</f>
        <v/>
      </c>
      <c r="W1608" s="19">
        <f>IF($I1608="","",IF(ISNUMBER($I1608),TEXT($I1608,"0"),$I1608))</f>
        <v/>
      </c>
    </row>
    <row r="1609">
      <c r="B1609" s="25" t="n"/>
      <c r="I1609" s="25" t="n"/>
      <c r="U1609" s="19">
        <f>IF($V1609&lt;&gt;'設定'!$C$4,N(U1608),IF(OR(NOT(COUNTIF('商品マスタ'!$B$6:$B$1005,$W1609)=0),COUNTIFS('①在庫を貼る'!$V$6:$V$10005,$V1609,'①在庫を貼る'!$W$6:$W$10005,$W1609)&gt;0),N(U1608),N(U1608)+1))</f>
        <v/>
      </c>
      <c r="V1609" s="19">
        <f>IF($B1609="","",TEXT($B1609,"0000"))</f>
        <v/>
      </c>
      <c r="W1609" s="19">
        <f>IF($I1609="","",IF(ISNUMBER($I1609),TEXT($I1609,"0"),$I1609))</f>
        <v/>
      </c>
    </row>
    <row r="1610">
      <c r="B1610" s="25" t="n"/>
      <c r="I1610" s="25" t="n"/>
      <c r="U1610" s="19">
        <f>IF($V1610&lt;&gt;'設定'!$C$4,N(U1609),IF(OR(NOT(COUNTIF('商品マスタ'!$B$6:$B$1005,$W1610)=0),COUNTIFS('①在庫を貼る'!$V$6:$V$10005,$V1610,'①在庫を貼る'!$W$6:$W$10005,$W1610)&gt;0),N(U1609),N(U1609)+1))</f>
        <v/>
      </c>
      <c r="V1610" s="19">
        <f>IF($B1610="","",TEXT($B1610,"0000"))</f>
        <v/>
      </c>
      <c r="W1610" s="19">
        <f>IF($I1610="","",IF(ISNUMBER($I1610),TEXT($I1610,"0"),$I1610))</f>
        <v/>
      </c>
    </row>
    <row r="1611">
      <c r="B1611" s="25" t="n"/>
      <c r="I1611" s="25" t="n"/>
      <c r="U1611" s="19">
        <f>IF($V1611&lt;&gt;'設定'!$C$4,N(U1610),IF(OR(NOT(COUNTIF('商品マスタ'!$B$6:$B$1005,$W1611)=0),COUNTIFS('①在庫を貼る'!$V$6:$V$10005,$V1611,'①在庫を貼る'!$W$6:$W$10005,$W1611)&gt;0),N(U1610),N(U1610)+1))</f>
        <v/>
      </c>
      <c r="V1611" s="19">
        <f>IF($B1611="","",TEXT($B1611,"0000"))</f>
        <v/>
      </c>
      <c r="W1611" s="19">
        <f>IF($I1611="","",IF(ISNUMBER($I1611),TEXT($I1611,"0"),$I1611))</f>
        <v/>
      </c>
    </row>
    <row r="1612">
      <c r="B1612" s="25" t="n"/>
      <c r="I1612" s="25" t="n"/>
      <c r="U1612" s="19">
        <f>IF($V1612&lt;&gt;'設定'!$C$4,N(U1611),IF(OR(NOT(COUNTIF('商品マスタ'!$B$6:$B$1005,$W1612)=0),COUNTIFS('①在庫を貼る'!$V$6:$V$10005,$V1612,'①在庫を貼る'!$W$6:$W$10005,$W1612)&gt;0),N(U1611),N(U1611)+1))</f>
        <v/>
      </c>
      <c r="V1612" s="19">
        <f>IF($B1612="","",TEXT($B1612,"0000"))</f>
        <v/>
      </c>
      <c r="W1612" s="19">
        <f>IF($I1612="","",IF(ISNUMBER($I1612),TEXT($I1612,"0"),$I1612))</f>
        <v/>
      </c>
    </row>
    <row r="1613">
      <c r="B1613" s="25" t="n"/>
      <c r="I1613" s="25" t="n"/>
      <c r="U1613" s="19">
        <f>IF($V1613&lt;&gt;'設定'!$C$4,N(U1612),IF(OR(NOT(COUNTIF('商品マスタ'!$B$6:$B$1005,$W1613)=0),COUNTIFS('①在庫を貼る'!$V$6:$V$10005,$V1613,'①在庫を貼る'!$W$6:$W$10005,$W1613)&gt;0),N(U1612),N(U1612)+1))</f>
        <v/>
      </c>
      <c r="V1613" s="19">
        <f>IF($B1613="","",TEXT($B1613,"0000"))</f>
        <v/>
      </c>
      <c r="W1613" s="19">
        <f>IF($I1613="","",IF(ISNUMBER($I1613),TEXT($I1613,"0"),$I1613))</f>
        <v/>
      </c>
    </row>
    <row r="1614">
      <c r="B1614" s="25" t="n"/>
      <c r="I1614" s="25" t="n"/>
      <c r="U1614" s="19">
        <f>IF($V1614&lt;&gt;'設定'!$C$4,N(U1613),IF(OR(NOT(COUNTIF('商品マスタ'!$B$6:$B$1005,$W1614)=0),COUNTIFS('①在庫を貼る'!$V$6:$V$10005,$V1614,'①在庫を貼る'!$W$6:$W$10005,$W1614)&gt;0),N(U1613),N(U1613)+1))</f>
        <v/>
      </c>
      <c r="V1614" s="19">
        <f>IF($B1614="","",TEXT($B1614,"0000"))</f>
        <v/>
      </c>
      <c r="W1614" s="19">
        <f>IF($I1614="","",IF(ISNUMBER($I1614),TEXT($I1614,"0"),$I1614))</f>
        <v/>
      </c>
    </row>
    <row r="1615">
      <c r="B1615" s="25" t="n"/>
      <c r="I1615" s="25" t="n"/>
      <c r="U1615" s="19">
        <f>IF($V1615&lt;&gt;'設定'!$C$4,N(U1614),IF(OR(NOT(COUNTIF('商品マスタ'!$B$6:$B$1005,$W1615)=0),COUNTIFS('①在庫を貼る'!$V$6:$V$10005,$V1615,'①在庫を貼る'!$W$6:$W$10005,$W1615)&gt;0),N(U1614),N(U1614)+1))</f>
        <v/>
      </c>
      <c r="V1615" s="19">
        <f>IF($B1615="","",TEXT($B1615,"0000"))</f>
        <v/>
      </c>
      <c r="W1615" s="19">
        <f>IF($I1615="","",IF(ISNUMBER($I1615),TEXT($I1615,"0"),$I1615))</f>
        <v/>
      </c>
    </row>
    <row r="1616">
      <c r="B1616" s="25" t="n"/>
      <c r="I1616" s="25" t="n"/>
      <c r="U1616" s="19">
        <f>IF($V1616&lt;&gt;'設定'!$C$4,N(U1615),IF(OR(NOT(COUNTIF('商品マスタ'!$B$6:$B$1005,$W1616)=0),COUNTIFS('①在庫を貼る'!$V$6:$V$10005,$V1616,'①在庫を貼る'!$W$6:$W$10005,$W1616)&gt;0),N(U1615),N(U1615)+1))</f>
        <v/>
      </c>
      <c r="V1616" s="19">
        <f>IF($B1616="","",TEXT($B1616,"0000"))</f>
        <v/>
      </c>
      <c r="W1616" s="19">
        <f>IF($I1616="","",IF(ISNUMBER($I1616),TEXT($I1616,"0"),$I1616))</f>
        <v/>
      </c>
    </row>
    <row r="1617">
      <c r="B1617" s="25" t="n"/>
      <c r="I1617" s="25" t="n"/>
      <c r="U1617" s="19">
        <f>IF($V1617&lt;&gt;'設定'!$C$4,N(U1616),IF(OR(NOT(COUNTIF('商品マスタ'!$B$6:$B$1005,$W1617)=0),COUNTIFS('①在庫を貼る'!$V$6:$V$10005,$V1617,'①在庫を貼る'!$W$6:$W$10005,$W1617)&gt;0),N(U1616),N(U1616)+1))</f>
        <v/>
      </c>
      <c r="V1617" s="19">
        <f>IF($B1617="","",TEXT($B1617,"0000"))</f>
        <v/>
      </c>
      <c r="W1617" s="19">
        <f>IF($I1617="","",IF(ISNUMBER($I1617),TEXT($I1617,"0"),$I1617))</f>
        <v/>
      </c>
    </row>
    <row r="1618">
      <c r="B1618" s="25" t="n"/>
      <c r="I1618" s="25" t="n"/>
      <c r="U1618" s="19">
        <f>IF($V1618&lt;&gt;'設定'!$C$4,N(U1617),IF(OR(NOT(COUNTIF('商品マスタ'!$B$6:$B$1005,$W1618)=0),COUNTIFS('①在庫を貼る'!$V$6:$V$10005,$V1618,'①在庫を貼る'!$W$6:$W$10005,$W1618)&gt;0),N(U1617),N(U1617)+1))</f>
        <v/>
      </c>
      <c r="V1618" s="19">
        <f>IF($B1618="","",TEXT($B1618,"0000"))</f>
        <v/>
      </c>
      <c r="W1618" s="19">
        <f>IF($I1618="","",IF(ISNUMBER($I1618),TEXT($I1618,"0"),$I1618))</f>
        <v/>
      </c>
    </row>
    <row r="1619">
      <c r="B1619" s="25" t="n"/>
      <c r="I1619" s="25" t="n"/>
      <c r="U1619" s="19">
        <f>IF($V1619&lt;&gt;'設定'!$C$4,N(U1618),IF(OR(NOT(COUNTIF('商品マスタ'!$B$6:$B$1005,$W1619)=0),COUNTIFS('①在庫を貼る'!$V$6:$V$10005,$V1619,'①在庫を貼る'!$W$6:$W$10005,$W1619)&gt;0),N(U1618),N(U1618)+1))</f>
        <v/>
      </c>
      <c r="V1619" s="19">
        <f>IF($B1619="","",TEXT($B1619,"0000"))</f>
        <v/>
      </c>
      <c r="W1619" s="19">
        <f>IF($I1619="","",IF(ISNUMBER($I1619),TEXT($I1619,"0"),$I1619))</f>
        <v/>
      </c>
    </row>
    <row r="1620">
      <c r="B1620" s="25" t="n"/>
      <c r="I1620" s="25" t="n"/>
      <c r="U1620" s="19">
        <f>IF($V1620&lt;&gt;'設定'!$C$4,N(U1619),IF(OR(NOT(COUNTIF('商品マスタ'!$B$6:$B$1005,$W1620)=0),COUNTIFS('①在庫を貼る'!$V$6:$V$10005,$V1620,'①在庫を貼る'!$W$6:$W$10005,$W1620)&gt;0),N(U1619),N(U1619)+1))</f>
        <v/>
      </c>
      <c r="V1620" s="19">
        <f>IF($B1620="","",TEXT($B1620,"0000"))</f>
        <v/>
      </c>
      <c r="W1620" s="19">
        <f>IF($I1620="","",IF(ISNUMBER($I1620),TEXT($I1620,"0"),$I1620))</f>
        <v/>
      </c>
    </row>
    <row r="1621">
      <c r="B1621" s="25" t="n"/>
      <c r="I1621" s="25" t="n"/>
      <c r="U1621" s="19">
        <f>IF($V1621&lt;&gt;'設定'!$C$4,N(U1620),IF(OR(NOT(COUNTIF('商品マスタ'!$B$6:$B$1005,$W1621)=0),COUNTIFS('①在庫を貼る'!$V$6:$V$10005,$V1621,'①在庫を貼る'!$W$6:$W$10005,$W1621)&gt;0),N(U1620),N(U1620)+1))</f>
        <v/>
      </c>
      <c r="V1621" s="19">
        <f>IF($B1621="","",TEXT($B1621,"0000"))</f>
        <v/>
      </c>
      <c r="W1621" s="19">
        <f>IF($I1621="","",IF(ISNUMBER($I1621),TEXT($I1621,"0"),$I1621))</f>
        <v/>
      </c>
    </row>
    <row r="1622">
      <c r="B1622" s="25" t="n"/>
      <c r="I1622" s="25" t="n"/>
      <c r="U1622" s="19">
        <f>IF($V1622&lt;&gt;'設定'!$C$4,N(U1621),IF(OR(NOT(COUNTIF('商品マスタ'!$B$6:$B$1005,$W1622)=0),COUNTIFS('①在庫を貼る'!$V$6:$V$10005,$V1622,'①在庫を貼る'!$W$6:$W$10005,$W1622)&gt;0),N(U1621),N(U1621)+1))</f>
        <v/>
      </c>
      <c r="V1622" s="19">
        <f>IF($B1622="","",TEXT($B1622,"0000"))</f>
        <v/>
      </c>
      <c r="W1622" s="19">
        <f>IF($I1622="","",IF(ISNUMBER($I1622),TEXT($I1622,"0"),$I1622))</f>
        <v/>
      </c>
    </row>
    <row r="1623">
      <c r="B1623" s="25" t="n"/>
      <c r="I1623" s="25" t="n"/>
      <c r="U1623" s="19">
        <f>IF($V1623&lt;&gt;'設定'!$C$4,N(U1622),IF(OR(NOT(COUNTIF('商品マスタ'!$B$6:$B$1005,$W1623)=0),COUNTIFS('①在庫を貼る'!$V$6:$V$10005,$V1623,'①在庫を貼る'!$W$6:$W$10005,$W1623)&gt;0),N(U1622),N(U1622)+1))</f>
        <v/>
      </c>
      <c r="V1623" s="19">
        <f>IF($B1623="","",TEXT($B1623,"0000"))</f>
        <v/>
      </c>
      <c r="W1623" s="19">
        <f>IF($I1623="","",IF(ISNUMBER($I1623),TEXT($I1623,"0"),$I1623))</f>
        <v/>
      </c>
    </row>
    <row r="1624">
      <c r="B1624" s="25" t="n"/>
      <c r="I1624" s="25" t="n"/>
      <c r="U1624" s="19">
        <f>IF($V1624&lt;&gt;'設定'!$C$4,N(U1623),IF(OR(NOT(COUNTIF('商品マスタ'!$B$6:$B$1005,$W1624)=0),COUNTIFS('①在庫を貼る'!$V$6:$V$10005,$V1624,'①在庫を貼る'!$W$6:$W$10005,$W1624)&gt;0),N(U1623),N(U1623)+1))</f>
        <v/>
      </c>
      <c r="V1624" s="19">
        <f>IF($B1624="","",TEXT($B1624,"0000"))</f>
        <v/>
      </c>
      <c r="W1624" s="19">
        <f>IF($I1624="","",IF(ISNUMBER($I1624),TEXT($I1624,"0"),$I1624))</f>
        <v/>
      </c>
    </row>
    <row r="1625">
      <c r="B1625" s="25" t="n"/>
      <c r="I1625" s="25" t="n"/>
      <c r="U1625" s="19">
        <f>IF($V1625&lt;&gt;'設定'!$C$4,N(U1624),IF(OR(NOT(COUNTIF('商品マスタ'!$B$6:$B$1005,$W1625)=0),COUNTIFS('①在庫を貼る'!$V$6:$V$10005,$V1625,'①在庫を貼る'!$W$6:$W$10005,$W1625)&gt;0),N(U1624),N(U1624)+1))</f>
        <v/>
      </c>
      <c r="V1625" s="19">
        <f>IF($B1625="","",TEXT($B1625,"0000"))</f>
        <v/>
      </c>
      <c r="W1625" s="19">
        <f>IF($I1625="","",IF(ISNUMBER($I1625),TEXT($I1625,"0"),$I1625))</f>
        <v/>
      </c>
    </row>
    <row r="1626">
      <c r="B1626" s="25" t="n"/>
      <c r="I1626" s="25" t="n"/>
      <c r="U1626" s="19">
        <f>IF($V1626&lt;&gt;'設定'!$C$4,N(U1625),IF(OR(NOT(COUNTIF('商品マスタ'!$B$6:$B$1005,$W1626)=0),COUNTIFS('①在庫を貼る'!$V$6:$V$10005,$V1626,'①在庫を貼る'!$W$6:$W$10005,$W1626)&gt;0),N(U1625),N(U1625)+1))</f>
        <v/>
      </c>
      <c r="V1626" s="19">
        <f>IF($B1626="","",TEXT($B1626,"0000"))</f>
        <v/>
      </c>
      <c r="W1626" s="19">
        <f>IF($I1626="","",IF(ISNUMBER($I1626),TEXT($I1626,"0"),$I1626))</f>
        <v/>
      </c>
    </row>
    <row r="1627">
      <c r="B1627" s="25" t="n"/>
      <c r="I1627" s="25" t="n"/>
      <c r="U1627" s="19">
        <f>IF($V1627&lt;&gt;'設定'!$C$4,N(U1626),IF(OR(NOT(COUNTIF('商品マスタ'!$B$6:$B$1005,$W1627)=0),COUNTIFS('①在庫を貼る'!$V$6:$V$10005,$V1627,'①在庫を貼る'!$W$6:$W$10005,$W1627)&gt;0),N(U1626),N(U1626)+1))</f>
        <v/>
      </c>
      <c r="V1627" s="19">
        <f>IF($B1627="","",TEXT($B1627,"0000"))</f>
        <v/>
      </c>
      <c r="W1627" s="19">
        <f>IF($I1627="","",IF(ISNUMBER($I1627),TEXT($I1627,"0"),$I1627))</f>
        <v/>
      </c>
    </row>
    <row r="1628">
      <c r="B1628" s="25" t="n"/>
      <c r="I1628" s="25" t="n"/>
      <c r="U1628" s="19">
        <f>IF($V1628&lt;&gt;'設定'!$C$4,N(U1627),IF(OR(NOT(COUNTIF('商品マスタ'!$B$6:$B$1005,$W1628)=0),COUNTIFS('①在庫を貼る'!$V$6:$V$10005,$V1628,'①在庫を貼る'!$W$6:$W$10005,$W1628)&gt;0),N(U1627),N(U1627)+1))</f>
        <v/>
      </c>
      <c r="V1628" s="19">
        <f>IF($B1628="","",TEXT($B1628,"0000"))</f>
        <v/>
      </c>
      <c r="W1628" s="19">
        <f>IF($I1628="","",IF(ISNUMBER($I1628),TEXT($I1628,"0"),$I1628))</f>
        <v/>
      </c>
    </row>
    <row r="1629">
      <c r="B1629" s="25" t="n"/>
      <c r="I1629" s="25" t="n"/>
      <c r="U1629" s="19">
        <f>IF($V1629&lt;&gt;'設定'!$C$4,N(U1628),IF(OR(NOT(COUNTIF('商品マスタ'!$B$6:$B$1005,$W1629)=0),COUNTIFS('①在庫を貼る'!$V$6:$V$10005,$V1629,'①在庫を貼る'!$W$6:$W$10005,$W1629)&gt;0),N(U1628),N(U1628)+1))</f>
        <v/>
      </c>
      <c r="V1629" s="19">
        <f>IF($B1629="","",TEXT($B1629,"0000"))</f>
        <v/>
      </c>
      <c r="W1629" s="19">
        <f>IF($I1629="","",IF(ISNUMBER($I1629),TEXT($I1629,"0"),$I1629))</f>
        <v/>
      </c>
    </row>
    <row r="1630">
      <c r="B1630" s="25" t="n"/>
      <c r="I1630" s="25" t="n"/>
      <c r="U1630" s="19">
        <f>IF($V1630&lt;&gt;'設定'!$C$4,N(U1629),IF(OR(NOT(COUNTIF('商品マスタ'!$B$6:$B$1005,$W1630)=0),COUNTIFS('①在庫を貼る'!$V$6:$V$10005,$V1630,'①在庫を貼る'!$W$6:$W$10005,$W1630)&gt;0),N(U1629),N(U1629)+1))</f>
        <v/>
      </c>
      <c r="V1630" s="19">
        <f>IF($B1630="","",TEXT($B1630,"0000"))</f>
        <v/>
      </c>
      <c r="W1630" s="19">
        <f>IF($I1630="","",IF(ISNUMBER($I1630),TEXT($I1630,"0"),$I1630))</f>
        <v/>
      </c>
    </row>
    <row r="1631">
      <c r="B1631" s="25" t="n"/>
      <c r="I1631" s="25" t="n"/>
      <c r="U1631" s="19">
        <f>IF($V1631&lt;&gt;'設定'!$C$4,N(U1630),IF(OR(NOT(COUNTIF('商品マスタ'!$B$6:$B$1005,$W1631)=0),COUNTIFS('①在庫を貼る'!$V$6:$V$10005,$V1631,'①在庫を貼る'!$W$6:$W$10005,$W1631)&gt;0),N(U1630),N(U1630)+1))</f>
        <v/>
      </c>
      <c r="V1631" s="19">
        <f>IF($B1631="","",TEXT($B1631,"0000"))</f>
        <v/>
      </c>
      <c r="W1631" s="19">
        <f>IF($I1631="","",IF(ISNUMBER($I1631),TEXT($I1631,"0"),$I1631))</f>
        <v/>
      </c>
    </row>
    <row r="1632">
      <c r="B1632" s="25" t="n"/>
      <c r="I1632" s="25" t="n"/>
      <c r="U1632" s="19">
        <f>IF($V1632&lt;&gt;'設定'!$C$4,N(U1631),IF(OR(NOT(COUNTIF('商品マスタ'!$B$6:$B$1005,$W1632)=0),COUNTIFS('①在庫を貼る'!$V$6:$V$10005,$V1632,'①在庫を貼る'!$W$6:$W$10005,$W1632)&gt;0),N(U1631),N(U1631)+1))</f>
        <v/>
      </c>
      <c r="V1632" s="19">
        <f>IF($B1632="","",TEXT($B1632,"0000"))</f>
        <v/>
      </c>
      <c r="W1632" s="19">
        <f>IF($I1632="","",IF(ISNUMBER($I1632),TEXT($I1632,"0"),$I1632))</f>
        <v/>
      </c>
    </row>
    <row r="1633">
      <c r="B1633" s="25" t="n"/>
      <c r="I1633" s="25" t="n"/>
      <c r="U1633" s="19">
        <f>IF($V1633&lt;&gt;'設定'!$C$4,N(U1632),IF(OR(NOT(COUNTIF('商品マスタ'!$B$6:$B$1005,$W1633)=0),COUNTIFS('①在庫を貼る'!$V$6:$V$10005,$V1633,'①在庫を貼る'!$W$6:$W$10005,$W1633)&gt;0),N(U1632),N(U1632)+1))</f>
        <v/>
      </c>
      <c r="V1633" s="19">
        <f>IF($B1633="","",TEXT($B1633,"0000"))</f>
        <v/>
      </c>
      <c r="W1633" s="19">
        <f>IF($I1633="","",IF(ISNUMBER($I1633),TEXT($I1633,"0"),$I1633))</f>
        <v/>
      </c>
    </row>
    <row r="1634">
      <c r="B1634" s="25" t="n"/>
      <c r="I1634" s="25" t="n"/>
      <c r="U1634" s="19">
        <f>IF($V1634&lt;&gt;'設定'!$C$4,N(U1633),IF(OR(NOT(COUNTIF('商品マスタ'!$B$6:$B$1005,$W1634)=0),COUNTIFS('①在庫を貼る'!$V$6:$V$10005,$V1634,'①在庫を貼る'!$W$6:$W$10005,$W1634)&gt;0),N(U1633),N(U1633)+1))</f>
        <v/>
      </c>
      <c r="V1634" s="19">
        <f>IF($B1634="","",TEXT($B1634,"0000"))</f>
        <v/>
      </c>
      <c r="W1634" s="19">
        <f>IF($I1634="","",IF(ISNUMBER($I1634),TEXT($I1634,"0"),$I1634))</f>
        <v/>
      </c>
    </row>
    <row r="1635">
      <c r="B1635" s="25" t="n"/>
      <c r="I1635" s="25" t="n"/>
      <c r="U1635" s="19">
        <f>IF($V1635&lt;&gt;'設定'!$C$4,N(U1634),IF(OR(NOT(COUNTIF('商品マスタ'!$B$6:$B$1005,$W1635)=0),COUNTIFS('①在庫を貼る'!$V$6:$V$10005,$V1635,'①在庫を貼る'!$W$6:$W$10005,$W1635)&gt;0),N(U1634),N(U1634)+1))</f>
        <v/>
      </c>
      <c r="V1635" s="19">
        <f>IF($B1635="","",TEXT($B1635,"0000"))</f>
        <v/>
      </c>
      <c r="W1635" s="19">
        <f>IF($I1635="","",IF(ISNUMBER($I1635),TEXT($I1635,"0"),$I1635))</f>
        <v/>
      </c>
    </row>
    <row r="1636">
      <c r="B1636" s="25" t="n"/>
      <c r="I1636" s="25" t="n"/>
      <c r="U1636" s="19">
        <f>IF($V1636&lt;&gt;'設定'!$C$4,N(U1635),IF(OR(NOT(COUNTIF('商品マスタ'!$B$6:$B$1005,$W1636)=0),COUNTIFS('①在庫を貼る'!$V$6:$V$10005,$V1636,'①在庫を貼る'!$W$6:$W$10005,$W1636)&gt;0),N(U1635),N(U1635)+1))</f>
        <v/>
      </c>
      <c r="V1636" s="19">
        <f>IF($B1636="","",TEXT($B1636,"0000"))</f>
        <v/>
      </c>
      <c r="W1636" s="19">
        <f>IF($I1636="","",IF(ISNUMBER($I1636),TEXT($I1636,"0"),$I1636))</f>
        <v/>
      </c>
    </row>
    <row r="1637">
      <c r="B1637" s="25" t="n"/>
      <c r="I1637" s="25" t="n"/>
      <c r="U1637" s="19">
        <f>IF($V1637&lt;&gt;'設定'!$C$4,N(U1636),IF(OR(NOT(COUNTIF('商品マスタ'!$B$6:$B$1005,$W1637)=0),COUNTIFS('①在庫を貼る'!$V$6:$V$10005,$V1637,'①在庫を貼る'!$W$6:$W$10005,$W1637)&gt;0),N(U1636),N(U1636)+1))</f>
        <v/>
      </c>
      <c r="V1637" s="19">
        <f>IF($B1637="","",TEXT($B1637,"0000"))</f>
        <v/>
      </c>
      <c r="W1637" s="19">
        <f>IF($I1637="","",IF(ISNUMBER($I1637),TEXT($I1637,"0"),$I1637))</f>
        <v/>
      </c>
    </row>
    <row r="1638">
      <c r="B1638" s="25" t="n"/>
      <c r="I1638" s="25" t="n"/>
      <c r="U1638" s="19">
        <f>IF($V1638&lt;&gt;'設定'!$C$4,N(U1637),IF(OR(NOT(COUNTIF('商品マスタ'!$B$6:$B$1005,$W1638)=0),COUNTIFS('①在庫を貼る'!$V$6:$V$10005,$V1638,'①在庫を貼る'!$W$6:$W$10005,$W1638)&gt;0),N(U1637),N(U1637)+1))</f>
        <v/>
      </c>
      <c r="V1638" s="19">
        <f>IF($B1638="","",TEXT($B1638,"0000"))</f>
        <v/>
      </c>
      <c r="W1638" s="19">
        <f>IF($I1638="","",IF(ISNUMBER($I1638),TEXT($I1638,"0"),$I1638))</f>
        <v/>
      </c>
    </row>
    <row r="1639">
      <c r="B1639" s="25" t="n"/>
      <c r="I1639" s="25" t="n"/>
      <c r="U1639" s="19">
        <f>IF($V1639&lt;&gt;'設定'!$C$4,N(U1638),IF(OR(NOT(COUNTIF('商品マスタ'!$B$6:$B$1005,$W1639)=0),COUNTIFS('①在庫を貼る'!$V$6:$V$10005,$V1639,'①在庫を貼る'!$W$6:$W$10005,$W1639)&gt;0),N(U1638),N(U1638)+1))</f>
        <v/>
      </c>
      <c r="V1639" s="19">
        <f>IF($B1639="","",TEXT($B1639,"0000"))</f>
        <v/>
      </c>
      <c r="W1639" s="19">
        <f>IF($I1639="","",IF(ISNUMBER($I1639),TEXT($I1639,"0"),$I1639))</f>
        <v/>
      </c>
    </row>
    <row r="1640">
      <c r="B1640" s="25" t="n"/>
      <c r="I1640" s="25" t="n"/>
      <c r="U1640" s="19">
        <f>IF($V1640&lt;&gt;'設定'!$C$4,N(U1639),IF(OR(NOT(COUNTIF('商品マスタ'!$B$6:$B$1005,$W1640)=0),COUNTIFS('①在庫を貼る'!$V$6:$V$10005,$V1640,'①在庫を貼る'!$W$6:$W$10005,$W1640)&gt;0),N(U1639),N(U1639)+1))</f>
        <v/>
      </c>
      <c r="V1640" s="19">
        <f>IF($B1640="","",TEXT($B1640,"0000"))</f>
        <v/>
      </c>
      <c r="W1640" s="19">
        <f>IF($I1640="","",IF(ISNUMBER($I1640),TEXT($I1640,"0"),$I1640))</f>
        <v/>
      </c>
    </row>
    <row r="1641">
      <c r="B1641" s="25" t="n"/>
      <c r="I1641" s="25" t="n"/>
      <c r="U1641" s="19">
        <f>IF($V1641&lt;&gt;'設定'!$C$4,N(U1640),IF(OR(NOT(COUNTIF('商品マスタ'!$B$6:$B$1005,$W1641)=0),COUNTIFS('①在庫を貼る'!$V$6:$V$10005,$V1641,'①在庫を貼る'!$W$6:$W$10005,$W1641)&gt;0),N(U1640),N(U1640)+1))</f>
        <v/>
      </c>
      <c r="V1641" s="19">
        <f>IF($B1641="","",TEXT($B1641,"0000"))</f>
        <v/>
      </c>
      <c r="W1641" s="19">
        <f>IF($I1641="","",IF(ISNUMBER($I1641),TEXT($I1641,"0"),$I1641))</f>
        <v/>
      </c>
    </row>
    <row r="1642">
      <c r="B1642" s="25" t="n"/>
      <c r="I1642" s="25" t="n"/>
      <c r="U1642" s="19">
        <f>IF($V1642&lt;&gt;'設定'!$C$4,N(U1641),IF(OR(NOT(COUNTIF('商品マスタ'!$B$6:$B$1005,$W1642)=0),COUNTIFS('①在庫を貼る'!$V$6:$V$10005,$V1642,'①在庫を貼る'!$W$6:$W$10005,$W1642)&gt;0),N(U1641),N(U1641)+1))</f>
        <v/>
      </c>
      <c r="V1642" s="19">
        <f>IF($B1642="","",TEXT($B1642,"0000"))</f>
        <v/>
      </c>
      <c r="W1642" s="19">
        <f>IF($I1642="","",IF(ISNUMBER($I1642),TEXT($I1642,"0"),$I1642))</f>
        <v/>
      </c>
    </row>
    <row r="1643">
      <c r="B1643" s="25" t="n"/>
      <c r="I1643" s="25" t="n"/>
      <c r="U1643" s="19">
        <f>IF($V1643&lt;&gt;'設定'!$C$4,N(U1642),IF(OR(NOT(COUNTIF('商品マスタ'!$B$6:$B$1005,$W1643)=0),COUNTIFS('①在庫を貼る'!$V$6:$V$10005,$V1643,'①在庫を貼る'!$W$6:$W$10005,$W1643)&gt;0),N(U1642),N(U1642)+1))</f>
        <v/>
      </c>
      <c r="V1643" s="19">
        <f>IF($B1643="","",TEXT($B1643,"0000"))</f>
        <v/>
      </c>
      <c r="W1643" s="19">
        <f>IF($I1643="","",IF(ISNUMBER($I1643),TEXT($I1643,"0"),$I1643))</f>
        <v/>
      </c>
    </row>
    <row r="1644">
      <c r="B1644" s="25" t="n"/>
      <c r="I1644" s="25" t="n"/>
      <c r="U1644" s="19">
        <f>IF($V1644&lt;&gt;'設定'!$C$4,N(U1643),IF(OR(NOT(COUNTIF('商品マスタ'!$B$6:$B$1005,$W1644)=0),COUNTIFS('①在庫を貼る'!$V$6:$V$10005,$V1644,'①在庫を貼る'!$W$6:$W$10005,$W1644)&gt;0),N(U1643),N(U1643)+1))</f>
        <v/>
      </c>
      <c r="V1644" s="19">
        <f>IF($B1644="","",TEXT($B1644,"0000"))</f>
        <v/>
      </c>
      <c r="W1644" s="19">
        <f>IF($I1644="","",IF(ISNUMBER($I1644),TEXT($I1644,"0"),$I1644))</f>
        <v/>
      </c>
    </row>
    <row r="1645">
      <c r="B1645" s="25" t="n"/>
      <c r="I1645" s="25" t="n"/>
      <c r="U1645" s="19">
        <f>IF($V1645&lt;&gt;'設定'!$C$4,N(U1644),IF(OR(NOT(COUNTIF('商品マスタ'!$B$6:$B$1005,$W1645)=0),COUNTIFS('①在庫を貼る'!$V$6:$V$10005,$V1645,'①在庫を貼る'!$W$6:$W$10005,$W1645)&gt;0),N(U1644),N(U1644)+1))</f>
        <v/>
      </c>
      <c r="V1645" s="19">
        <f>IF($B1645="","",TEXT($B1645,"0000"))</f>
        <v/>
      </c>
      <c r="W1645" s="19">
        <f>IF($I1645="","",IF(ISNUMBER($I1645),TEXT($I1645,"0"),$I1645))</f>
        <v/>
      </c>
    </row>
    <row r="1646">
      <c r="B1646" s="25" t="n"/>
      <c r="I1646" s="25" t="n"/>
      <c r="U1646" s="19">
        <f>IF($V1646&lt;&gt;'設定'!$C$4,N(U1645),IF(OR(NOT(COUNTIF('商品マスタ'!$B$6:$B$1005,$W1646)=0),COUNTIFS('①在庫を貼る'!$V$6:$V$10005,$V1646,'①在庫を貼る'!$W$6:$W$10005,$W1646)&gt;0),N(U1645),N(U1645)+1))</f>
        <v/>
      </c>
      <c r="V1646" s="19">
        <f>IF($B1646="","",TEXT($B1646,"0000"))</f>
        <v/>
      </c>
      <c r="W1646" s="19">
        <f>IF($I1646="","",IF(ISNUMBER($I1646),TEXT($I1646,"0"),$I1646))</f>
        <v/>
      </c>
    </row>
    <row r="1647">
      <c r="B1647" s="25" t="n"/>
      <c r="I1647" s="25" t="n"/>
      <c r="U1647" s="19">
        <f>IF($V1647&lt;&gt;'設定'!$C$4,N(U1646),IF(OR(NOT(COUNTIF('商品マスタ'!$B$6:$B$1005,$W1647)=0),COUNTIFS('①在庫を貼る'!$V$6:$V$10005,$V1647,'①在庫を貼る'!$W$6:$W$10005,$W1647)&gt;0),N(U1646),N(U1646)+1))</f>
        <v/>
      </c>
      <c r="V1647" s="19">
        <f>IF($B1647="","",TEXT($B1647,"0000"))</f>
        <v/>
      </c>
      <c r="W1647" s="19">
        <f>IF($I1647="","",IF(ISNUMBER($I1647),TEXT($I1647,"0"),$I1647))</f>
        <v/>
      </c>
    </row>
    <row r="1648">
      <c r="B1648" s="25" t="n"/>
      <c r="I1648" s="25" t="n"/>
      <c r="U1648" s="19">
        <f>IF($V1648&lt;&gt;'設定'!$C$4,N(U1647),IF(OR(NOT(COUNTIF('商品マスタ'!$B$6:$B$1005,$W1648)=0),COUNTIFS('①在庫を貼る'!$V$6:$V$10005,$V1648,'①在庫を貼る'!$W$6:$W$10005,$W1648)&gt;0),N(U1647),N(U1647)+1))</f>
        <v/>
      </c>
      <c r="V1648" s="19">
        <f>IF($B1648="","",TEXT($B1648,"0000"))</f>
        <v/>
      </c>
      <c r="W1648" s="19">
        <f>IF($I1648="","",IF(ISNUMBER($I1648),TEXT($I1648,"0"),$I1648))</f>
        <v/>
      </c>
    </row>
    <row r="1649">
      <c r="B1649" s="25" t="n"/>
      <c r="I1649" s="25" t="n"/>
      <c r="U1649" s="19">
        <f>IF($V1649&lt;&gt;'設定'!$C$4,N(U1648),IF(OR(NOT(COUNTIF('商品マスタ'!$B$6:$B$1005,$W1649)=0),COUNTIFS('①在庫を貼る'!$V$6:$V$10005,$V1649,'①在庫を貼る'!$W$6:$W$10005,$W1649)&gt;0),N(U1648),N(U1648)+1))</f>
        <v/>
      </c>
      <c r="V1649" s="19">
        <f>IF($B1649="","",TEXT($B1649,"0000"))</f>
        <v/>
      </c>
      <c r="W1649" s="19">
        <f>IF($I1649="","",IF(ISNUMBER($I1649),TEXT($I1649,"0"),$I1649))</f>
        <v/>
      </c>
    </row>
    <row r="1650">
      <c r="B1650" s="25" t="n"/>
      <c r="I1650" s="25" t="n"/>
      <c r="U1650" s="19">
        <f>IF($V1650&lt;&gt;'設定'!$C$4,N(U1649),IF(OR(NOT(COUNTIF('商品マスタ'!$B$6:$B$1005,$W1650)=0),COUNTIFS('①在庫を貼る'!$V$6:$V$10005,$V1650,'①在庫を貼る'!$W$6:$W$10005,$W1650)&gt;0),N(U1649),N(U1649)+1))</f>
        <v/>
      </c>
      <c r="V1650" s="19">
        <f>IF($B1650="","",TEXT($B1650,"0000"))</f>
        <v/>
      </c>
      <c r="W1650" s="19">
        <f>IF($I1650="","",IF(ISNUMBER($I1650),TEXT($I1650,"0"),$I1650))</f>
        <v/>
      </c>
    </row>
    <row r="1651">
      <c r="B1651" s="25" t="n"/>
      <c r="I1651" s="25" t="n"/>
      <c r="U1651" s="19">
        <f>IF($V1651&lt;&gt;'設定'!$C$4,N(U1650),IF(OR(NOT(COUNTIF('商品マスタ'!$B$6:$B$1005,$W1651)=0),COUNTIFS('①在庫を貼る'!$V$6:$V$10005,$V1651,'①在庫を貼る'!$W$6:$W$10005,$W1651)&gt;0),N(U1650),N(U1650)+1))</f>
        <v/>
      </c>
      <c r="V1651" s="19">
        <f>IF($B1651="","",TEXT($B1651,"0000"))</f>
        <v/>
      </c>
      <c r="W1651" s="19">
        <f>IF($I1651="","",IF(ISNUMBER($I1651),TEXT($I1651,"0"),$I1651))</f>
        <v/>
      </c>
    </row>
    <row r="1652">
      <c r="B1652" s="25" t="n"/>
      <c r="I1652" s="25" t="n"/>
      <c r="U1652" s="19">
        <f>IF($V1652&lt;&gt;'設定'!$C$4,N(U1651),IF(OR(NOT(COUNTIF('商品マスタ'!$B$6:$B$1005,$W1652)=0),COUNTIFS('①在庫を貼る'!$V$6:$V$10005,$V1652,'①在庫を貼る'!$W$6:$W$10005,$W1652)&gt;0),N(U1651),N(U1651)+1))</f>
        <v/>
      </c>
      <c r="V1652" s="19">
        <f>IF($B1652="","",TEXT($B1652,"0000"))</f>
        <v/>
      </c>
      <c r="W1652" s="19">
        <f>IF($I1652="","",IF(ISNUMBER($I1652),TEXT($I1652,"0"),$I1652))</f>
        <v/>
      </c>
    </row>
    <row r="1653">
      <c r="B1653" s="25" t="n"/>
      <c r="I1653" s="25" t="n"/>
      <c r="U1653" s="19">
        <f>IF($V1653&lt;&gt;'設定'!$C$4,N(U1652),IF(OR(NOT(COUNTIF('商品マスタ'!$B$6:$B$1005,$W1653)=0),COUNTIFS('①在庫を貼る'!$V$6:$V$10005,$V1653,'①在庫を貼る'!$W$6:$W$10005,$W1653)&gt;0),N(U1652),N(U1652)+1))</f>
        <v/>
      </c>
      <c r="V1653" s="19">
        <f>IF($B1653="","",TEXT($B1653,"0000"))</f>
        <v/>
      </c>
      <c r="W1653" s="19">
        <f>IF($I1653="","",IF(ISNUMBER($I1653),TEXT($I1653,"0"),$I1653))</f>
        <v/>
      </c>
    </row>
    <row r="1654">
      <c r="B1654" s="25" t="n"/>
      <c r="I1654" s="25" t="n"/>
      <c r="U1654" s="19">
        <f>IF($V1654&lt;&gt;'設定'!$C$4,N(U1653),IF(OR(NOT(COUNTIF('商品マスタ'!$B$6:$B$1005,$W1654)=0),COUNTIFS('①在庫を貼る'!$V$6:$V$10005,$V1654,'①在庫を貼る'!$W$6:$W$10005,$W1654)&gt;0),N(U1653),N(U1653)+1))</f>
        <v/>
      </c>
      <c r="V1654" s="19">
        <f>IF($B1654="","",TEXT($B1654,"0000"))</f>
        <v/>
      </c>
      <c r="W1654" s="19">
        <f>IF($I1654="","",IF(ISNUMBER($I1654),TEXT($I1654,"0"),$I1654))</f>
        <v/>
      </c>
    </row>
    <row r="1655">
      <c r="B1655" s="25" t="n"/>
      <c r="I1655" s="25" t="n"/>
      <c r="U1655" s="19">
        <f>IF($V1655&lt;&gt;'設定'!$C$4,N(U1654),IF(OR(NOT(COUNTIF('商品マスタ'!$B$6:$B$1005,$W1655)=0),COUNTIFS('①在庫を貼る'!$V$6:$V$10005,$V1655,'①在庫を貼る'!$W$6:$W$10005,$W1655)&gt;0),N(U1654),N(U1654)+1))</f>
        <v/>
      </c>
      <c r="V1655" s="19">
        <f>IF($B1655="","",TEXT($B1655,"0000"))</f>
        <v/>
      </c>
      <c r="W1655" s="19">
        <f>IF($I1655="","",IF(ISNUMBER($I1655),TEXT($I1655,"0"),$I1655))</f>
        <v/>
      </c>
    </row>
    <row r="1656">
      <c r="B1656" s="25" t="n"/>
      <c r="I1656" s="25" t="n"/>
      <c r="U1656" s="19">
        <f>IF($V1656&lt;&gt;'設定'!$C$4,N(U1655),IF(OR(NOT(COUNTIF('商品マスタ'!$B$6:$B$1005,$W1656)=0),COUNTIFS('①在庫を貼る'!$V$6:$V$10005,$V1656,'①在庫を貼る'!$W$6:$W$10005,$W1656)&gt;0),N(U1655),N(U1655)+1))</f>
        <v/>
      </c>
      <c r="V1656" s="19">
        <f>IF($B1656="","",TEXT($B1656,"0000"))</f>
        <v/>
      </c>
      <c r="W1656" s="19">
        <f>IF($I1656="","",IF(ISNUMBER($I1656),TEXT($I1656,"0"),$I1656))</f>
        <v/>
      </c>
    </row>
    <row r="1657">
      <c r="B1657" s="25" t="n"/>
      <c r="I1657" s="25" t="n"/>
      <c r="U1657" s="19">
        <f>IF($V1657&lt;&gt;'設定'!$C$4,N(U1656),IF(OR(NOT(COUNTIF('商品マスタ'!$B$6:$B$1005,$W1657)=0),COUNTIFS('①在庫を貼る'!$V$6:$V$10005,$V1657,'①在庫を貼る'!$W$6:$W$10005,$W1657)&gt;0),N(U1656),N(U1656)+1))</f>
        <v/>
      </c>
      <c r="V1657" s="19">
        <f>IF($B1657="","",TEXT($B1657,"0000"))</f>
        <v/>
      </c>
      <c r="W1657" s="19">
        <f>IF($I1657="","",IF(ISNUMBER($I1657),TEXT($I1657,"0"),$I1657))</f>
        <v/>
      </c>
    </row>
    <row r="1658">
      <c r="B1658" s="25" t="n"/>
      <c r="I1658" s="25" t="n"/>
      <c r="U1658" s="19">
        <f>IF($V1658&lt;&gt;'設定'!$C$4,N(U1657),IF(OR(NOT(COUNTIF('商品マスタ'!$B$6:$B$1005,$W1658)=0),COUNTIFS('①在庫を貼る'!$V$6:$V$10005,$V1658,'①在庫を貼る'!$W$6:$W$10005,$W1658)&gt;0),N(U1657),N(U1657)+1))</f>
        <v/>
      </c>
      <c r="V1658" s="19">
        <f>IF($B1658="","",TEXT($B1658,"0000"))</f>
        <v/>
      </c>
      <c r="W1658" s="19">
        <f>IF($I1658="","",IF(ISNUMBER($I1658),TEXT($I1658,"0"),$I1658))</f>
        <v/>
      </c>
    </row>
    <row r="1659">
      <c r="B1659" s="25" t="n"/>
      <c r="I1659" s="25" t="n"/>
      <c r="U1659" s="19">
        <f>IF($V1659&lt;&gt;'設定'!$C$4,N(U1658),IF(OR(NOT(COUNTIF('商品マスタ'!$B$6:$B$1005,$W1659)=0),COUNTIFS('①在庫を貼る'!$V$6:$V$10005,$V1659,'①在庫を貼る'!$W$6:$W$10005,$W1659)&gt;0),N(U1658),N(U1658)+1))</f>
        <v/>
      </c>
      <c r="V1659" s="19">
        <f>IF($B1659="","",TEXT($B1659,"0000"))</f>
        <v/>
      </c>
      <c r="W1659" s="19">
        <f>IF($I1659="","",IF(ISNUMBER($I1659),TEXT($I1659,"0"),$I1659))</f>
        <v/>
      </c>
    </row>
    <row r="1660">
      <c r="B1660" s="25" t="n"/>
      <c r="I1660" s="25" t="n"/>
      <c r="U1660" s="19">
        <f>IF($V1660&lt;&gt;'設定'!$C$4,N(U1659),IF(OR(NOT(COUNTIF('商品マスタ'!$B$6:$B$1005,$W1660)=0),COUNTIFS('①在庫を貼る'!$V$6:$V$10005,$V1660,'①在庫を貼る'!$W$6:$W$10005,$W1660)&gt;0),N(U1659),N(U1659)+1))</f>
        <v/>
      </c>
      <c r="V1660" s="19">
        <f>IF($B1660="","",TEXT($B1660,"0000"))</f>
        <v/>
      </c>
      <c r="W1660" s="19">
        <f>IF($I1660="","",IF(ISNUMBER($I1660),TEXT($I1660,"0"),$I1660))</f>
        <v/>
      </c>
    </row>
    <row r="1661">
      <c r="B1661" s="25" t="n"/>
      <c r="I1661" s="25" t="n"/>
      <c r="U1661" s="19">
        <f>IF($V1661&lt;&gt;'設定'!$C$4,N(U1660),IF(OR(NOT(COUNTIF('商品マスタ'!$B$6:$B$1005,$W1661)=0),COUNTIFS('①在庫を貼る'!$V$6:$V$10005,$V1661,'①在庫を貼る'!$W$6:$W$10005,$W1661)&gt;0),N(U1660),N(U1660)+1))</f>
        <v/>
      </c>
      <c r="V1661" s="19">
        <f>IF($B1661="","",TEXT($B1661,"0000"))</f>
        <v/>
      </c>
      <c r="W1661" s="19">
        <f>IF($I1661="","",IF(ISNUMBER($I1661),TEXT($I1661,"0"),$I1661))</f>
        <v/>
      </c>
    </row>
    <row r="1662">
      <c r="B1662" s="25" t="n"/>
      <c r="I1662" s="25" t="n"/>
      <c r="U1662" s="19">
        <f>IF($V1662&lt;&gt;'設定'!$C$4,N(U1661),IF(OR(NOT(COUNTIF('商品マスタ'!$B$6:$B$1005,$W1662)=0),COUNTIFS('①在庫を貼る'!$V$6:$V$10005,$V1662,'①在庫を貼る'!$W$6:$W$10005,$W1662)&gt;0),N(U1661),N(U1661)+1))</f>
        <v/>
      </c>
      <c r="V1662" s="19">
        <f>IF($B1662="","",TEXT($B1662,"0000"))</f>
        <v/>
      </c>
      <c r="W1662" s="19">
        <f>IF($I1662="","",IF(ISNUMBER($I1662),TEXT($I1662,"0"),$I1662))</f>
        <v/>
      </c>
    </row>
    <row r="1663">
      <c r="B1663" s="25" t="n"/>
      <c r="I1663" s="25" t="n"/>
      <c r="U1663" s="19">
        <f>IF($V1663&lt;&gt;'設定'!$C$4,N(U1662),IF(OR(NOT(COUNTIF('商品マスタ'!$B$6:$B$1005,$W1663)=0),COUNTIFS('①在庫を貼る'!$V$6:$V$10005,$V1663,'①在庫を貼る'!$W$6:$W$10005,$W1663)&gt;0),N(U1662),N(U1662)+1))</f>
        <v/>
      </c>
      <c r="V1663" s="19">
        <f>IF($B1663="","",TEXT($B1663,"0000"))</f>
        <v/>
      </c>
      <c r="W1663" s="19">
        <f>IF($I1663="","",IF(ISNUMBER($I1663),TEXT($I1663,"0"),$I1663))</f>
        <v/>
      </c>
    </row>
    <row r="1664">
      <c r="B1664" s="25" t="n"/>
      <c r="I1664" s="25" t="n"/>
      <c r="U1664" s="19">
        <f>IF($V1664&lt;&gt;'設定'!$C$4,N(U1663),IF(OR(NOT(COUNTIF('商品マスタ'!$B$6:$B$1005,$W1664)=0),COUNTIFS('①在庫を貼る'!$V$6:$V$10005,$V1664,'①在庫を貼る'!$W$6:$W$10005,$W1664)&gt;0),N(U1663),N(U1663)+1))</f>
        <v/>
      </c>
      <c r="V1664" s="19">
        <f>IF($B1664="","",TEXT($B1664,"0000"))</f>
        <v/>
      </c>
      <c r="W1664" s="19">
        <f>IF($I1664="","",IF(ISNUMBER($I1664),TEXT($I1664,"0"),$I1664))</f>
        <v/>
      </c>
    </row>
    <row r="1665">
      <c r="B1665" s="25" t="n"/>
      <c r="I1665" s="25" t="n"/>
      <c r="U1665" s="19">
        <f>IF($V1665&lt;&gt;'設定'!$C$4,N(U1664),IF(OR(NOT(COUNTIF('商品マスタ'!$B$6:$B$1005,$W1665)=0),COUNTIFS('①在庫を貼る'!$V$6:$V$10005,$V1665,'①在庫を貼る'!$W$6:$W$10005,$W1665)&gt;0),N(U1664),N(U1664)+1))</f>
        <v/>
      </c>
      <c r="V1665" s="19">
        <f>IF($B1665="","",TEXT($B1665,"0000"))</f>
        <v/>
      </c>
      <c r="W1665" s="19">
        <f>IF($I1665="","",IF(ISNUMBER($I1665),TEXT($I1665,"0"),$I1665))</f>
        <v/>
      </c>
    </row>
    <row r="1666">
      <c r="B1666" s="25" t="n"/>
      <c r="I1666" s="25" t="n"/>
      <c r="U1666" s="19">
        <f>IF($V1666&lt;&gt;'設定'!$C$4,N(U1665),IF(OR(NOT(COUNTIF('商品マスタ'!$B$6:$B$1005,$W1666)=0),COUNTIFS('①在庫を貼る'!$V$6:$V$10005,$V1666,'①在庫を貼る'!$W$6:$W$10005,$W1666)&gt;0),N(U1665),N(U1665)+1))</f>
        <v/>
      </c>
      <c r="V1666" s="19">
        <f>IF($B1666="","",TEXT($B1666,"0000"))</f>
        <v/>
      </c>
      <c r="W1666" s="19">
        <f>IF($I1666="","",IF(ISNUMBER($I1666),TEXT($I1666,"0"),$I1666))</f>
        <v/>
      </c>
    </row>
    <row r="1667">
      <c r="B1667" s="25" t="n"/>
      <c r="I1667" s="25" t="n"/>
      <c r="U1667" s="19">
        <f>IF($V1667&lt;&gt;'設定'!$C$4,N(U1666),IF(OR(NOT(COUNTIF('商品マスタ'!$B$6:$B$1005,$W1667)=0),COUNTIFS('①在庫を貼る'!$V$6:$V$10005,$V1667,'①在庫を貼る'!$W$6:$W$10005,$W1667)&gt;0),N(U1666),N(U1666)+1))</f>
        <v/>
      </c>
      <c r="V1667" s="19">
        <f>IF($B1667="","",TEXT($B1667,"0000"))</f>
        <v/>
      </c>
      <c r="W1667" s="19">
        <f>IF($I1667="","",IF(ISNUMBER($I1667),TEXT($I1667,"0"),$I1667))</f>
        <v/>
      </c>
    </row>
    <row r="1668">
      <c r="B1668" s="25" t="n"/>
      <c r="I1668" s="25" t="n"/>
      <c r="U1668" s="19">
        <f>IF($V1668&lt;&gt;'設定'!$C$4,N(U1667),IF(OR(NOT(COUNTIF('商品マスタ'!$B$6:$B$1005,$W1668)=0),COUNTIFS('①在庫を貼る'!$V$6:$V$10005,$V1668,'①在庫を貼る'!$W$6:$W$10005,$W1668)&gt;0),N(U1667),N(U1667)+1))</f>
        <v/>
      </c>
      <c r="V1668" s="19">
        <f>IF($B1668="","",TEXT($B1668,"0000"))</f>
        <v/>
      </c>
      <c r="W1668" s="19">
        <f>IF($I1668="","",IF(ISNUMBER($I1668),TEXT($I1668,"0"),$I1668))</f>
        <v/>
      </c>
    </row>
    <row r="1669">
      <c r="B1669" s="25" t="n"/>
      <c r="I1669" s="25" t="n"/>
      <c r="U1669" s="19">
        <f>IF($V1669&lt;&gt;'設定'!$C$4,N(U1668),IF(OR(NOT(COUNTIF('商品マスタ'!$B$6:$B$1005,$W1669)=0),COUNTIFS('①在庫を貼る'!$V$6:$V$10005,$V1669,'①在庫を貼る'!$W$6:$W$10005,$W1669)&gt;0),N(U1668),N(U1668)+1))</f>
        <v/>
      </c>
      <c r="V1669" s="19">
        <f>IF($B1669="","",TEXT($B1669,"0000"))</f>
        <v/>
      </c>
      <c r="W1669" s="19">
        <f>IF($I1669="","",IF(ISNUMBER($I1669),TEXT($I1669,"0"),$I1669))</f>
        <v/>
      </c>
    </row>
    <row r="1670">
      <c r="B1670" s="25" t="n"/>
      <c r="I1670" s="25" t="n"/>
      <c r="U1670" s="19">
        <f>IF($V1670&lt;&gt;'設定'!$C$4,N(U1669),IF(OR(NOT(COUNTIF('商品マスタ'!$B$6:$B$1005,$W1670)=0),COUNTIFS('①在庫を貼る'!$V$6:$V$10005,$V1670,'①在庫を貼る'!$W$6:$W$10005,$W1670)&gt;0),N(U1669),N(U1669)+1))</f>
        <v/>
      </c>
      <c r="V1670" s="19">
        <f>IF($B1670="","",TEXT($B1670,"0000"))</f>
        <v/>
      </c>
      <c r="W1670" s="19">
        <f>IF($I1670="","",IF(ISNUMBER($I1670),TEXT($I1670,"0"),$I1670))</f>
        <v/>
      </c>
    </row>
    <row r="1671">
      <c r="B1671" s="25" t="n"/>
      <c r="I1671" s="25" t="n"/>
      <c r="U1671" s="19">
        <f>IF($V1671&lt;&gt;'設定'!$C$4,N(U1670),IF(OR(NOT(COUNTIF('商品マスタ'!$B$6:$B$1005,$W1671)=0),COUNTIFS('①在庫を貼る'!$V$6:$V$10005,$V1671,'①在庫を貼る'!$W$6:$W$10005,$W1671)&gt;0),N(U1670),N(U1670)+1))</f>
        <v/>
      </c>
      <c r="V1671" s="19">
        <f>IF($B1671="","",TEXT($B1671,"0000"))</f>
        <v/>
      </c>
      <c r="W1671" s="19">
        <f>IF($I1671="","",IF(ISNUMBER($I1671),TEXT($I1671,"0"),$I1671))</f>
        <v/>
      </c>
    </row>
    <row r="1672">
      <c r="B1672" s="25" t="n"/>
      <c r="I1672" s="25" t="n"/>
      <c r="U1672" s="19">
        <f>IF($V1672&lt;&gt;'設定'!$C$4,N(U1671),IF(OR(NOT(COUNTIF('商品マスタ'!$B$6:$B$1005,$W1672)=0),COUNTIFS('①在庫を貼る'!$V$6:$V$10005,$V1672,'①在庫を貼る'!$W$6:$W$10005,$W1672)&gt;0),N(U1671),N(U1671)+1))</f>
        <v/>
      </c>
      <c r="V1672" s="19">
        <f>IF($B1672="","",TEXT($B1672,"0000"))</f>
        <v/>
      </c>
      <c r="W1672" s="19">
        <f>IF($I1672="","",IF(ISNUMBER($I1672),TEXT($I1672,"0"),$I1672))</f>
        <v/>
      </c>
    </row>
    <row r="1673">
      <c r="B1673" s="25" t="n"/>
      <c r="I1673" s="25" t="n"/>
      <c r="U1673" s="19">
        <f>IF($V1673&lt;&gt;'設定'!$C$4,N(U1672),IF(OR(NOT(COUNTIF('商品マスタ'!$B$6:$B$1005,$W1673)=0),COUNTIFS('①在庫を貼る'!$V$6:$V$10005,$V1673,'①在庫を貼る'!$W$6:$W$10005,$W1673)&gt;0),N(U1672),N(U1672)+1))</f>
        <v/>
      </c>
      <c r="V1673" s="19">
        <f>IF($B1673="","",TEXT($B1673,"0000"))</f>
        <v/>
      </c>
      <c r="W1673" s="19">
        <f>IF($I1673="","",IF(ISNUMBER($I1673),TEXT($I1673,"0"),$I1673))</f>
        <v/>
      </c>
    </row>
    <row r="1674">
      <c r="B1674" s="25" t="n"/>
      <c r="I1674" s="25" t="n"/>
      <c r="U1674" s="19">
        <f>IF($V1674&lt;&gt;'設定'!$C$4,N(U1673),IF(OR(NOT(COUNTIF('商品マスタ'!$B$6:$B$1005,$W1674)=0),COUNTIFS('①在庫を貼る'!$V$6:$V$10005,$V1674,'①在庫を貼る'!$W$6:$W$10005,$W1674)&gt;0),N(U1673),N(U1673)+1))</f>
        <v/>
      </c>
      <c r="V1674" s="19">
        <f>IF($B1674="","",TEXT($B1674,"0000"))</f>
        <v/>
      </c>
      <c r="W1674" s="19">
        <f>IF($I1674="","",IF(ISNUMBER($I1674),TEXT($I1674,"0"),$I1674))</f>
        <v/>
      </c>
    </row>
    <row r="1675">
      <c r="B1675" s="25" t="n"/>
      <c r="I1675" s="25" t="n"/>
      <c r="U1675" s="19">
        <f>IF($V1675&lt;&gt;'設定'!$C$4,N(U1674),IF(OR(NOT(COUNTIF('商品マスタ'!$B$6:$B$1005,$W1675)=0),COUNTIFS('①在庫を貼る'!$V$6:$V$10005,$V1675,'①在庫を貼る'!$W$6:$W$10005,$W1675)&gt;0),N(U1674),N(U1674)+1))</f>
        <v/>
      </c>
      <c r="V1675" s="19">
        <f>IF($B1675="","",TEXT($B1675,"0000"))</f>
        <v/>
      </c>
      <c r="W1675" s="19">
        <f>IF($I1675="","",IF(ISNUMBER($I1675),TEXT($I1675,"0"),$I1675))</f>
        <v/>
      </c>
    </row>
    <row r="1676">
      <c r="B1676" s="25" t="n"/>
      <c r="I1676" s="25" t="n"/>
      <c r="U1676" s="19">
        <f>IF($V1676&lt;&gt;'設定'!$C$4,N(U1675),IF(OR(NOT(COUNTIF('商品マスタ'!$B$6:$B$1005,$W1676)=0),COUNTIFS('①在庫を貼る'!$V$6:$V$10005,$V1676,'①在庫を貼る'!$W$6:$W$10005,$W1676)&gt;0),N(U1675),N(U1675)+1))</f>
        <v/>
      </c>
      <c r="V1676" s="19">
        <f>IF($B1676="","",TEXT($B1676,"0000"))</f>
        <v/>
      </c>
      <c r="W1676" s="19">
        <f>IF($I1676="","",IF(ISNUMBER($I1676),TEXT($I1676,"0"),$I1676))</f>
        <v/>
      </c>
    </row>
    <row r="1677">
      <c r="B1677" s="25" t="n"/>
      <c r="I1677" s="25" t="n"/>
      <c r="U1677" s="19">
        <f>IF($V1677&lt;&gt;'設定'!$C$4,N(U1676),IF(OR(NOT(COUNTIF('商品マスタ'!$B$6:$B$1005,$W1677)=0),COUNTIFS('①在庫を貼る'!$V$6:$V$10005,$V1677,'①在庫を貼る'!$W$6:$W$10005,$W1677)&gt;0),N(U1676),N(U1676)+1))</f>
        <v/>
      </c>
      <c r="V1677" s="19">
        <f>IF($B1677="","",TEXT($B1677,"0000"))</f>
        <v/>
      </c>
      <c r="W1677" s="19">
        <f>IF($I1677="","",IF(ISNUMBER($I1677),TEXT($I1677,"0"),$I1677))</f>
        <v/>
      </c>
    </row>
    <row r="1678">
      <c r="B1678" s="25" t="n"/>
      <c r="I1678" s="25" t="n"/>
      <c r="U1678" s="19">
        <f>IF($V1678&lt;&gt;'設定'!$C$4,N(U1677),IF(OR(NOT(COUNTIF('商品マスタ'!$B$6:$B$1005,$W1678)=0),COUNTIFS('①在庫を貼る'!$V$6:$V$10005,$V1678,'①在庫を貼る'!$W$6:$W$10005,$W1678)&gt;0),N(U1677),N(U1677)+1))</f>
        <v/>
      </c>
      <c r="V1678" s="19">
        <f>IF($B1678="","",TEXT($B1678,"0000"))</f>
        <v/>
      </c>
      <c r="W1678" s="19">
        <f>IF($I1678="","",IF(ISNUMBER($I1678),TEXT($I1678,"0"),$I1678))</f>
        <v/>
      </c>
    </row>
    <row r="1679">
      <c r="B1679" s="25" t="n"/>
      <c r="I1679" s="25" t="n"/>
      <c r="U1679" s="19">
        <f>IF($V1679&lt;&gt;'設定'!$C$4,N(U1678),IF(OR(NOT(COUNTIF('商品マスタ'!$B$6:$B$1005,$W1679)=0),COUNTIFS('①在庫を貼る'!$V$6:$V$10005,$V1679,'①在庫を貼る'!$W$6:$W$10005,$W1679)&gt;0),N(U1678),N(U1678)+1))</f>
        <v/>
      </c>
      <c r="V1679" s="19">
        <f>IF($B1679="","",TEXT($B1679,"0000"))</f>
        <v/>
      </c>
      <c r="W1679" s="19">
        <f>IF($I1679="","",IF(ISNUMBER($I1679),TEXT($I1679,"0"),$I1679))</f>
        <v/>
      </c>
    </row>
    <row r="1680">
      <c r="B1680" s="25" t="n"/>
      <c r="I1680" s="25" t="n"/>
      <c r="U1680" s="19">
        <f>IF($V1680&lt;&gt;'設定'!$C$4,N(U1679),IF(OR(NOT(COUNTIF('商品マスタ'!$B$6:$B$1005,$W1680)=0),COUNTIFS('①在庫を貼る'!$V$6:$V$10005,$V1680,'①在庫を貼る'!$W$6:$W$10005,$W1680)&gt;0),N(U1679),N(U1679)+1))</f>
        <v/>
      </c>
      <c r="V1680" s="19">
        <f>IF($B1680="","",TEXT($B1680,"0000"))</f>
        <v/>
      </c>
      <c r="W1680" s="19">
        <f>IF($I1680="","",IF(ISNUMBER($I1680),TEXT($I1680,"0"),$I1680))</f>
        <v/>
      </c>
    </row>
    <row r="1681">
      <c r="B1681" s="25" t="n"/>
      <c r="I1681" s="25" t="n"/>
      <c r="U1681" s="19">
        <f>IF($V1681&lt;&gt;'設定'!$C$4,N(U1680),IF(OR(NOT(COUNTIF('商品マスタ'!$B$6:$B$1005,$W1681)=0),COUNTIFS('①在庫を貼る'!$V$6:$V$10005,$V1681,'①在庫を貼る'!$W$6:$W$10005,$W1681)&gt;0),N(U1680),N(U1680)+1))</f>
        <v/>
      </c>
      <c r="V1681" s="19">
        <f>IF($B1681="","",TEXT($B1681,"0000"))</f>
        <v/>
      </c>
      <c r="W1681" s="19">
        <f>IF($I1681="","",IF(ISNUMBER($I1681),TEXT($I1681,"0"),$I1681))</f>
        <v/>
      </c>
    </row>
    <row r="1682">
      <c r="B1682" s="25" t="n"/>
      <c r="I1682" s="25" t="n"/>
      <c r="U1682" s="19">
        <f>IF($V1682&lt;&gt;'設定'!$C$4,N(U1681),IF(OR(NOT(COUNTIF('商品マスタ'!$B$6:$B$1005,$W1682)=0),COUNTIFS('①在庫を貼る'!$V$6:$V$10005,$V1682,'①在庫を貼る'!$W$6:$W$10005,$W1682)&gt;0),N(U1681),N(U1681)+1))</f>
        <v/>
      </c>
      <c r="V1682" s="19">
        <f>IF($B1682="","",TEXT($B1682,"0000"))</f>
        <v/>
      </c>
      <c r="W1682" s="19">
        <f>IF($I1682="","",IF(ISNUMBER($I1682),TEXT($I1682,"0"),$I1682))</f>
        <v/>
      </c>
    </row>
    <row r="1683">
      <c r="B1683" s="25" t="n"/>
      <c r="I1683" s="25" t="n"/>
      <c r="U1683" s="19">
        <f>IF($V1683&lt;&gt;'設定'!$C$4,N(U1682),IF(OR(NOT(COUNTIF('商品マスタ'!$B$6:$B$1005,$W1683)=0),COUNTIFS('①在庫を貼る'!$V$6:$V$10005,$V1683,'①在庫を貼る'!$W$6:$W$10005,$W1683)&gt;0),N(U1682),N(U1682)+1))</f>
        <v/>
      </c>
      <c r="V1683" s="19">
        <f>IF($B1683="","",TEXT($B1683,"0000"))</f>
        <v/>
      </c>
      <c r="W1683" s="19">
        <f>IF($I1683="","",IF(ISNUMBER($I1683),TEXT($I1683,"0"),$I1683))</f>
        <v/>
      </c>
    </row>
    <row r="1684">
      <c r="B1684" s="25" t="n"/>
      <c r="I1684" s="25" t="n"/>
      <c r="U1684" s="19">
        <f>IF($V1684&lt;&gt;'設定'!$C$4,N(U1683),IF(OR(NOT(COUNTIF('商品マスタ'!$B$6:$B$1005,$W1684)=0),COUNTIFS('①在庫を貼る'!$V$6:$V$10005,$V1684,'①在庫を貼る'!$W$6:$W$10005,$W1684)&gt;0),N(U1683),N(U1683)+1))</f>
        <v/>
      </c>
      <c r="V1684" s="19">
        <f>IF($B1684="","",TEXT($B1684,"0000"))</f>
        <v/>
      </c>
      <c r="W1684" s="19">
        <f>IF($I1684="","",IF(ISNUMBER($I1684),TEXT($I1684,"0"),$I1684))</f>
        <v/>
      </c>
    </row>
    <row r="1685">
      <c r="B1685" s="25" t="n"/>
      <c r="I1685" s="25" t="n"/>
      <c r="U1685" s="19">
        <f>IF($V1685&lt;&gt;'設定'!$C$4,N(U1684),IF(OR(NOT(COUNTIF('商品マスタ'!$B$6:$B$1005,$W1685)=0),COUNTIFS('①在庫を貼る'!$V$6:$V$10005,$V1685,'①在庫を貼る'!$W$6:$W$10005,$W1685)&gt;0),N(U1684),N(U1684)+1))</f>
        <v/>
      </c>
      <c r="V1685" s="19">
        <f>IF($B1685="","",TEXT($B1685,"0000"))</f>
        <v/>
      </c>
      <c r="W1685" s="19">
        <f>IF($I1685="","",IF(ISNUMBER($I1685),TEXT($I1685,"0"),$I1685))</f>
        <v/>
      </c>
    </row>
    <row r="1686">
      <c r="B1686" s="25" t="n"/>
      <c r="I1686" s="25" t="n"/>
      <c r="U1686" s="19">
        <f>IF($V1686&lt;&gt;'設定'!$C$4,N(U1685),IF(OR(NOT(COUNTIF('商品マスタ'!$B$6:$B$1005,$W1686)=0),COUNTIFS('①在庫を貼る'!$V$6:$V$10005,$V1686,'①在庫を貼る'!$W$6:$W$10005,$W1686)&gt;0),N(U1685),N(U1685)+1))</f>
        <v/>
      </c>
      <c r="V1686" s="19">
        <f>IF($B1686="","",TEXT($B1686,"0000"))</f>
        <v/>
      </c>
      <c r="W1686" s="19">
        <f>IF($I1686="","",IF(ISNUMBER($I1686),TEXT($I1686,"0"),$I1686))</f>
        <v/>
      </c>
    </row>
    <row r="1687">
      <c r="B1687" s="25" t="n"/>
      <c r="I1687" s="25" t="n"/>
      <c r="U1687" s="19">
        <f>IF($V1687&lt;&gt;'設定'!$C$4,N(U1686),IF(OR(NOT(COUNTIF('商品マスタ'!$B$6:$B$1005,$W1687)=0),COUNTIFS('①在庫を貼る'!$V$6:$V$10005,$V1687,'①在庫を貼る'!$W$6:$W$10005,$W1687)&gt;0),N(U1686),N(U1686)+1))</f>
        <v/>
      </c>
      <c r="V1687" s="19">
        <f>IF($B1687="","",TEXT($B1687,"0000"))</f>
        <v/>
      </c>
      <c r="W1687" s="19">
        <f>IF($I1687="","",IF(ISNUMBER($I1687),TEXT($I1687,"0"),$I1687))</f>
        <v/>
      </c>
    </row>
    <row r="1688">
      <c r="B1688" s="25" t="n"/>
      <c r="I1688" s="25" t="n"/>
      <c r="U1688" s="19">
        <f>IF($V1688&lt;&gt;'設定'!$C$4,N(U1687),IF(OR(NOT(COUNTIF('商品マスタ'!$B$6:$B$1005,$W1688)=0),COUNTIFS('①在庫を貼る'!$V$6:$V$10005,$V1688,'①在庫を貼る'!$W$6:$W$10005,$W1688)&gt;0),N(U1687),N(U1687)+1))</f>
        <v/>
      </c>
      <c r="V1688" s="19">
        <f>IF($B1688="","",TEXT($B1688,"0000"))</f>
        <v/>
      </c>
      <c r="W1688" s="19">
        <f>IF($I1688="","",IF(ISNUMBER($I1688),TEXT($I1688,"0"),$I1688))</f>
        <v/>
      </c>
    </row>
    <row r="1689">
      <c r="B1689" s="25" t="n"/>
      <c r="I1689" s="25" t="n"/>
      <c r="U1689" s="19">
        <f>IF($V1689&lt;&gt;'設定'!$C$4,N(U1688),IF(OR(NOT(COUNTIF('商品マスタ'!$B$6:$B$1005,$W1689)=0),COUNTIFS('①在庫を貼る'!$V$6:$V$10005,$V1689,'①在庫を貼る'!$W$6:$W$10005,$W1689)&gt;0),N(U1688),N(U1688)+1))</f>
        <v/>
      </c>
      <c r="V1689" s="19">
        <f>IF($B1689="","",TEXT($B1689,"0000"))</f>
        <v/>
      </c>
      <c r="W1689" s="19">
        <f>IF($I1689="","",IF(ISNUMBER($I1689),TEXT($I1689,"0"),$I1689))</f>
        <v/>
      </c>
    </row>
    <row r="1690">
      <c r="B1690" s="25" t="n"/>
      <c r="I1690" s="25" t="n"/>
      <c r="U1690" s="19">
        <f>IF($V1690&lt;&gt;'設定'!$C$4,N(U1689),IF(OR(NOT(COUNTIF('商品マスタ'!$B$6:$B$1005,$W1690)=0),COUNTIFS('①在庫を貼る'!$V$6:$V$10005,$V1690,'①在庫を貼る'!$W$6:$W$10005,$W1690)&gt;0),N(U1689),N(U1689)+1))</f>
        <v/>
      </c>
      <c r="V1690" s="19">
        <f>IF($B1690="","",TEXT($B1690,"0000"))</f>
        <v/>
      </c>
      <c r="W1690" s="19">
        <f>IF($I1690="","",IF(ISNUMBER($I1690),TEXT($I1690,"0"),$I1690))</f>
        <v/>
      </c>
    </row>
    <row r="1691">
      <c r="B1691" s="25" t="n"/>
      <c r="I1691" s="25" t="n"/>
      <c r="U1691" s="19">
        <f>IF($V1691&lt;&gt;'設定'!$C$4,N(U1690),IF(OR(NOT(COUNTIF('商品マスタ'!$B$6:$B$1005,$W1691)=0),COUNTIFS('①在庫を貼る'!$V$6:$V$10005,$V1691,'①在庫を貼る'!$W$6:$W$10005,$W1691)&gt;0),N(U1690),N(U1690)+1))</f>
        <v/>
      </c>
      <c r="V1691" s="19">
        <f>IF($B1691="","",TEXT($B1691,"0000"))</f>
        <v/>
      </c>
      <c r="W1691" s="19">
        <f>IF($I1691="","",IF(ISNUMBER($I1691),TEXT($I1691,"0"),$I1691))</f>
        <v/>
      </c>
    </row>
    <row r="1692">
      <c r="B1692" s="25" t="n"/>
      <c r="I1692" s="25" t="n"/>
      <c r="U1692" s="19">
        <f>IF($V1692&lt;&gt;'設定'!$C$4,N(U1691),IF(OR(NOT(COUNTIF('商品マスタ'!$B$6:$B$1005,$W1692)=0),COUNTIFS('①在庫を貼る'!$V$6:$V$10005,$V1692,'①在庫を貼る'!$W$6:$W$10005,$W1692)&gt;0),N(U1691),N(U1691)+1))</f>
        <v/>
      </c>
      <c r="V1692" s="19">
        <f>IF($B1692="","",TEXT($B1692,"0000"))</f>
        <v/>
      </c>
      <c r="W1692" s="19">
        <f>IF($I1692="","",IF(ISNUMBER($I1692),TEXT($I1692,"0"),$I1692))</f>
        <v/>
      </c>
    </row>
    <row r="1693">
      <c r="B1693" s="25" t="n"/>
      <c r="I1693" s="25" t="n"/>
      <c r="U1693" s="19">
        <f>IF($V1693&lt;&gt;'設定'!$C$4,N(U1692),IF(OR(NOT(COUNTIF('商品マスタ'!$B$6:$B$1005,$W1693)=0),COUNTIFS('①在庫を貼る'!$V$6:$V$10005,$V1693,'①在庫を貼る'!$W$6:$W$10005,$W1693)&gt;0),N(U1692),N(U1692)+1))</f>
        <v/>
      </c>
      <c r="V1693" s="19">
        <f>IF($B1693="","",TEXT($B1693,"0000"))</f>
        <v/>
      </c>
      <c r="W1693" s="19">
        <f>IF($I1693="","",IF(ISNUMBER($I1693),TEXT($I1693,"0"),$I1693))</f>
        <v/>
      </c>
    </row>
    <row r="1694">
      <c r="B1694" s="25" t="n"/>
      <c r="I1694" s="25" t="n"/>
      <c r="U1694" s="19">
        <f>IF($V1694&lt;&gt;'設定'!$C$4,N(U1693),IF(OR(NOT(COUNTIF('商品マスタ'!$B$6:$B$1005,$W1694)=0),COUNTIFS('①在庫を貼る'!$V$6:$V$10005,$V1694,'①在庫を貼る'!$W$6:$W$10005,$W1694)&gt;0),N(U1693),N(U1693)+1))</f>
        <v/>
      </c>
      <c r="V1694" s="19">
        <f>IF($B1694="","",TEXT($B1694,"0000"))</f>
        <v/>
      </c>
      <c r="W1694" s="19">
        <f>IF($I1694="","",IF(ISNUMBER($I1694),TEXT($I1694,"0"),$I1694))</f>
        <v/>
      </c>
    </row>
    <row r="1695">
      <c r="B1695" s="25" t="n"/>
      <c r="I1695" s="25" t="n"/>
      <c r="U1695" s="19">
        <f>IF($V1695&lt;&gt;'設定'!$C$4,N(U1694),IF(OR(NOT(COUNTIF('商品マスタ'!$B$6:$B$1005,$W1695)=0),COUNTIFS('①在庫を貼る'!$V$6:$V$10005,$V1695,'①在庫を貼る'!$W$6:$W$10005,$W1695)&gt;0),N(U1694),N(U1694)+1))</f>
        <v/>
      </c>
      <c r="V1695" s="19">
        <f>IF($B1695="","",TEXT($B1695,"0000"))</f>
        <v/>
      </c>
      <c r="W1695" s="19">
        <f>IF($I1695="","",IF(ISNUMBER($I1695),TEXT($I1695,"0"),$I1695))</f>
        <v/>
      </c>
    </row>
    <row r="1696">
      <c r="B1696" s="25" t="n"/>
      <c r="I1696" s="25" t="n"/>
      <c r="U1696" s="19">
        <f>IF($V1696&lt;&gt;'設定'!$C$4,N(U1695),IF(OR(NOT(COUNTIF('商品マスタ'!$B$6:$B$1005,$W1696)=0),COUNTIFS('①在庫を貼る'!$V$6:$V$10005,$V1696,'①在庫を貼る'!$W$6:$W$10005,$W1696)&gt;0),N(U1695),N(U1695)+1))</f>
        <v/>
      </c>
      <c r="V1696" s="19">
        <f>IF($B1696="","",TEXT($B1696,"0000"))</f>
        <v/>
      </c>
      <c r="W1696" s="19">
        <f>IF($I1696="","",IF(ISNUMBER($I1696),TEXT($I1696,"0"),$I1696))</f>
        <v/>
      </c>
    </row>
    <row r="1697">
      <c r="B1697" s="25" t="n"/>
      <c r="I1697" s="25" t="n"/>
      <c r="U1697" s="19">
        <f>IF($V1697&lt;&gt;'設定'!$C$4,N(U1696),IF(OR(NOT(COUNTIF('商品マスタ'!$B$6:$B$1005,$W1697)=0),COUNTIFS('①在庫を貼る'!$V$6:$V$10005,$V1697,'①在庫を貼る'!$W$6:$W$10005,$W1697)&gt;0),N(U1696),N(U1696)+1))</f>
        <v/>
      </c>
      <c r="V1697" s="19">
        <f>IF($B1697="","",TEXT($B1697,"0000"))</f>
        <v/>
      </c>
      <c r="W1697" s="19">
        <f>IF($I1697="","",IF(ISNUMBER($I1697),TEXT($I1697,"0"),$I1697))</f>
        <v/>
      </c>
    </row>
    <row r="1698">
      <c r="B1698" s="25" t="n"/>
      <c r="I1698" s="25" t="n"/>
      <c r="U1698" s="19">
        <f>IF($V1698&lt;&gt;'設定'!$C$4,N(U1697),IF(OR(NOT(COUNTIF('商品マスタ'!$B$6:$B$1005,$W1698)=0),COUNTIFS('①在庫を貼る'!$V$6:$V$10005,$V1698,'①在庫を貼る'!$W$6:$W$10005,$W1698)&gt;0),N(U1697),N(U1697)+1))</f>
        <v/>
      </c>
      <c r="V1698" s="19">
        <f>IF($B1698="","",TEXT($B1698,"0000"))</f>
        <v/>
      </c>
      <c r="W1698" s="19">
        <f>IF($I1698="","",IF(ISNUMBER($I1698),TEXT($I1698,"0"),$I1698))</f>
        <v/>
      </c>
    </row>
    <row r="1699">
      <c r="B1699" s="25" t="n"/>
      <c r="I1699" s="25" t="n"/>
      <c r="U1699" s="19">
        <f>IF($V1699&lt;&gt;'設定'!$C$4,N(U1698),IF(OR(NOT(COUNTIF('商品マスタ'!$B$6:$B$1005,$W1699)=0),COUNTIFS('①在庫を貼る'!$V$6:$V$10005,$V1699,'①在庫を貼る'!$W$6:$W$10005,$W1699)&gt;0),N(U1698),N(U1698)+1))</f>
        <v/>
      </c>
      <c r="V1699" s="19">
        <f>IF($B1699="","",TEXT($B1699,"0000"))</f>
        <v/>
      </c>
      <c r="W1699" s="19">
        <f>IF($I1699="","",IF(ISNUMBER($I1699),TEXT($I1699,"0"),$I1699))</f>
        <v/>
      </c>
    </row>
    <row r="1700">
      <c r="B1700" s="25" t="n"/>
      <c r="I1700" s="25" t="n"/>
      <c r="U1700" s="19">
        <f>IF($V1700&lt;&gt;'設定'!$C$4,N(U1699),IF(OR(NOT(COUNTIF('商品マスタ'!$B$6:$B$1005,$W1700)=0),COUNTIFS('①在庫を貼る'!$V$6:$V$10005,$V1700,'①在庫を貼る'!$W$6:$W$10005,$W1700)&gt;0),N(U1699),N(U1699)+1))</f>
        <v/>
      </c>
      <c r="V1700" s="19">
        <f>IF($B1700="","",TEXT($B1700,"0000"))</f>
        <v/>
      </c>
      <c r="W1700" s="19">
        <f>IF($I1700="","",IF(ISNUMBER($I1700),TEXT($I1700,"0"),$I1700))</f>
        <v/>
      </c>
    </row>
    <row r="1701">
      <c r="B1701" s="25" t="n"/>
      <c r="I1701" s="25" t="n"/>
      <c r="U1701" s="19">
        <f>IF($V1701&lt;&gt;'設定'!$C$4,N(U1700),IF(OR(NOT(COUNTIF('商品マスタ'!$B$6:$B$1005,$W1701)=0),COUNTIFS('①在庫を貼る'!$V$6:$V$10005,$V1701,'①在庫を貼る'!$W$6:$W$10005,$W1701)&gt;0),N(U1700),N(U1700)+1))</f>
        <v/>
      </c>
      <c r="V1701" s="19">
        <f>IF($B1701="","",TEXT($B1701,"0000"))</f>
        <v/>
      </c>
      <c r="W1701" s="19">
        <f>IF($I1701="","",IF(ISNUMBER($I1701),TEXT($I1701,"0"),$I1701))</f>
        <v/>
      </c>
    </row>
    <row r="1702">
      <c r="B1702" s="25" t="n"/>
      <c r="I1702" s="25" t="n"/>
      <c r="U1702" s="19">
        <f>IF($V1702&lt;&gt;'設定'!$C$4,N(U1701),IF(OR(NOT(COUNTIF('商品マスタ'!$B$6:$B$1005,$W1702)=0),COUNTIFS('①在庫を貼る'!$V$6:$V$10005,$V1702,'①在庫を貼る'!$W$6:$W$10005,$W1702)&gt;0),N(U1701),N(U1701)+1))</f>
        <v/>
      </c>
      <c r="V1702" s="19">
        <f>IF($B1702="","",TEXT($B1702,"0000"))</f>
        <v/>
      </c>
      <c r="W1702" s="19">
        <f>IF($I1702="","",IF(ISNUMBER($I1702),TEXT($I1702,"0"),$I1702))</f>
        <v/>
      </c>
    </row>
    <row r="1703">
      <c r="B1703" s="25" t="n"/>
      <c r="I1703" s="25" t="n"/>
      <c r="U1703" s="19">
        <f>IF($V1703&lt;&gt;'設定'!$C$4,N(U1702),IF(OR(NOT(COUNTIF('商品マスタ'!$B$6:$B$1005,$W1703)=0),COUNTIFS('①在庫を貼る'!$V$6:$V$10005,$V1703,'①在庫を貼る'!$W$6:$W$10005,$W1703)&gt;0),N(U1702),N(U1702)+1))</f>
        <v/>
      </c>
      <c r="V1703" s="19">
        <f>IF($B1703="","",TEXT($B1703,"0000"))</f>
        <v/>
      </c>
      <c r="W1703" s="19">
        <f>IF($I1703="","",IF(ISNUMBER($I1703),TEXT($I1703,"0"),$I1703))</f>
        <v/>
      </c>
    </row>
    <row r="1704">
      <c r="B1704" s="25" t="n"/>
      <c r="I1704" s="25" t="n"/>
      <c r="U1704" s="19">
        <f>IF($V1704&lt;&gt;'設定'!$C$4,N(U1703),IF(OR(NOT(COUNTIF('商品マスタ'!$B$6:$B$1005,$W1704)=0),COUNTIFS('①在庫を貼る'!$V$6:$V$10005,$V1704,'①在庫を貼る'!$W$6:$W$10005,$W1704)&gt;0),N(U1703),N(U1703)+1))</f>
        <v/>
      </c>
      <c r="V1704" s="19">
        <f>IF($B1704="","",TEXT($B1704,"0000"))</f>
        <v/>
      </c>
      <c r="W1704" s="19">
        <f>IF($I1704="","",IF(ISNUMBER($I1704),TEXT($I1704,"0"),$I1704))</f>
        <v/>
      </c>
    </row>
    <row r="1705">
      <c r="B1705" s="25" t="n"/>
      <c r="I1705" s="25" t="n"/>
      <c r="U1705" s="19">
        <f>IF($V1705&lt;&gt;'設定'!$C$4,N(U1704),IF(OR(NOT(COUNTIF('商品マスタ'!$B$6:$B$1005,$W1705)=0),COUNTIFS('①在庫を貼る'!$V$6:$V$10005,$V1705,'①在庫を貼る'!$W$6:$W$10005,$W1705)&gt;0),N(U1704),N(U1704)+1))</f>
        <v/>
      </c>
      <c r="V1705" s="19">
        <f>IF($B1705="","",TEXT($B1705,"0000"))</f>
        <v/>
      </c>
      <c r="W1705" s="19">
        <f>IF($I1705="","",IF(ISNUMBER($I1705),TEXT($I1705,"0"),$I1705))</f>
        <v/>
      </c>
    </row>
    <row r="1706">
      <c r="B1706" s="25" t="n"/>
      <c r="I1706" s="25" t="n"/>
      <c r="U1706" s="19">
        <f>IF($V1706&lt;&gt;'設定'!$C$4,N(U1705),IF(OR(NOT(COUNTIF('商品マスタ'!$B$6:$B$1005,$W1706)=0),COUNTIFS('①在庫を貼る'!$V$6:$V$10005,$V1706,'①在庫を貼る'!$W$6:$W$10005,$W1706)&gt;0),N(U1705),N(U1705)+1))</f>
        <v/>
      </c>
      <c r="V1706" s="19">
        <f>IF($B1706="","",TEXT($B1706,"0000"))</f>
        <v/>
      </c>
      <c r="W1706" s="19">
        <f>IF($I1706="","",IF(ISNUMBER($I1706),TEXT($I1706,"0"),$I1706))</f>
        <v/>
      </c>
    </row>
    <row r="1707">
      <c r="B1707" s="25" t="n"/>
      <c r="I1707" s="25" t="n"/>
      <c r="U1707" s="19">
        <f>IF($V1707&lt;&gt;'設定'!$C$4,N(U1706),IF(OR(NOT(COUNTIF('商品マスタ'!$B$6:$B$1005,$W1707)=0),COUNTIFS('①在庫を貼る'!$V$6:$V$10005,$V1707,'①在庫を貼る'!$W$6:$W$10005,$W1707)&gt;0),N(U1706),N(U1706)+1))</f>
        <v/>
      </c>
      <c r="V1707" s="19">
        <f>IF($B1707="","",TEXT($B1707,"0000"))</f>
        <v/>
      </c>
      <c r="W1707" s="19">
        <f>IF($I1707="","",IF(ISNUMBER($I1707),TEXT($I1707,"0"),$I1707))</f>
        <v/>
      </c>
    </row>
    <row r="1708">
      <c r="B1708" s="25" t="n"/>
      <c r="I1708" s="25" t="n"/>
      <c r="U1708" s="19">
        <f>IF($V1708&lt;&gt;'設定'!$C$4,N(U1707),IF(OR(NOT(COUNTIF('商品マスタ'!$B$6:$B$1005,$W1708)=0),COUNTIFS('①在庫を貼る'!$V$6:$V$10005,$V1708,'①在庫を貼る'!$W$6:$W$10005,$W1708)&gt;0),N(U1707),N(U1707)+1))</f>
        <v/>
      </c>
      <c r="V1708" s="19">
        <f>IF($B1708="","",TEXT($B1708,"0000"))</f>
        <v/>
      </c>
      <c r="W1708" s="19">
        <f>IF($I1708="","",IF(ISNUMBER($I1708),TEXT($I1708,"0"),$I1708))</f>
        <v/>
      </c>
    </row>
    <row r="1709">
      <c r="B1709" s="25" t="n"/>
      <c r="I1709" s="25" t="n"/>
      <c r="U1709" s="19">
        <f>IF($V1709&lt;&gt;'設定'!$C$4,N(U1708),IF(OR(NOT(COUNTIF('商品マスタ'!$B$6:$B$1005,$W1709)=0),COUNTIFS('①在庫を貼る'!$V$6:$V$10005,$V1709,'①在庫を貼る'!$W$6:$W$10005,$W1709)&gt;0),N(U1708),N(U1708)+1))</f>
        <v/>
      </c>
      <c r="V1709" s="19">
        <f>IF($B1709="","",TEXT($B1709,"0000"))</f>
        <v/>
      </c>
      <c r="W1709" s="19">
        <f>IF($I1709="","",IF(ISNUMBER($I1709),TEXT($I1709,"0"),$I1709))</f>
        <v/>
      </c>
    </row>
    <row r="1710">
      <c r="B1710" s="25" t="n"/>
      <c r="I1710" s="25" t="n"/>
      <c r="U1710" s="19">
        <f>IF($V1710&lt;&gt;'設定'!$C$4,N(U1709),IF(OR(NOT(COUNTIF('商品マスタ'!$B$6:$B$1005,$W1710)=0),COUNTIFS('①在庫を貼る'!$V$6:$V$10005,$V1710,'①在庫を貼る'!$W$6:$W$10005,$W1710)&gt;0),N(U1709),N(U1709)+1))</f>
        <v/>
      </c>
      <c r="V1710" s="19">
        <f>IF($B1710="","",TEXT($B1710,"0000"))</f>
        <v/>
      </c>
      <c r="W1710" s="19">
        <f>IF($I1710="","",IF(ISNUMBER($I1710),TEXT($I1710,"0"),$I1710))</f>
        <v/>
      </c>
    </row>
    <row r="1711">
      <c r="B1711" s="25" t="n"/>
      <c r="I1711" s="25" t="n"/>
      <c r="U1711" s="19">
        <f>IF($V1711&lt;&gt;'設定'!$C$4,N(U1710),IF(OR(NOT(COUNTIF('商品マスタ'!$B$6:$B$1005,$W1711)=0),COUNTIFS('①在庫を貼る'!$V$6:$V$10005,$V1711,'①在庫を貼る'!$W$6:$W$10005,$W1711)&gt;0),N(U1710),N(U1710)+1))</f>
        <v/>
      </c>
      <c r="V1711" s="19">
        <f>IF($B1711="","",TEXT($B1711,"0000"))</f>
        <v/>
      </c>
      <c r="W1711" s="19">
        <f>IF($I1711="","",IF(ISNUMBER($I1711),TEXT($I1711,"0"),$I1711))</f>
        <v/>
      </c>
    </row>
    <row r="1712">
      <c r="B1712" s="25" t="n"/>
      <c r="I1712" s="25" t="n"/>
      <c r="U1712" s="19">
        <f>IF($V1712&lt;&gt;'設定'!$C$4,N(U1711),IF(OR(NOT(COUNTIF('商品マスタ'!$B$6:$B$1005,$W1712)=0),COUNTIFS('①在庫を貼る'!$V$6:$V$10005,$V1712,'①在庫を貼る'!$W$6:$W$10005,$W1712)&gt;0),N(U1711),N(U1711)+1))</f>
        <v/>
      </c>
      <c r="V1712" s="19">
        <f>IF($B1712="","",TEXT($B1712,"0000"))</f>
        <v/>
      </c>
      <c r="W1712" s="19">
        <f>IF($I1712="","",IF(ISNUMBER($I1712),TEXT($I1712,"0"),$I1712))</f>
        <v/>
      </c>
    </row>
    <row r="1713">
      <c r="B1713" s="25" t="n"/>
      <c r="I1713" s="25" t="n"/>
      <c r="U1713" s="19">
        <f>IF($V1713&lt;&gt;'設定'!$C$4,N(U1712),IF(OR(NOT(COUNTIF('商品マスタ'!$B$6:$B$1005,$W1713)=0),COUNTIFS('①在庫を貼る'!$V$6:$V$10005,$V1713,'①在庫を貼る'!$W$6:$W$10005,$W1713)&gt;0),N(U1712),N(U1712)+1))</f>
        <v/>
      </c>
      <c r="V1713" s="19">
        <f>IF($B1713="","",TEXT($B1713,"0000"))</f>
        <v/>
      </c>
      <c r="W1713" s="19">
        <f>IF($I1713="","",IF(ISNUMBER($I1713),TEXT($I1713,"0"),$I1713))</f>
        <v/>
      </c>
    </row>
    <row r="1714">
      <c r="B1714" s="25" t="n"/>
      <c r="I1714" s="25" t="n"/>
      <c r="U1714" s="19">
        <f>IF($V1714&lt;&gt;'設定'!$C$4,N(U1713),IF(OR(NOT(COUNTIF('商品マスタ'!$B$6:$B$1005,$W1714)=0),COUNTIFS('①在庫を貼る'!$V$6:$V$10005,$V1714,'①在庫を貼る'!$W$6:$W$10005,$W1714)&gt;0),N(U1713),N(U1713)+1))</f>
        <v/>
      </c>
      <c r="V1714" s="19">
        <f>IF($B1714="","",TEXT($B1714,"0000"))</f>
        <v/>
      </c>
      <c r="W1714" s="19">
        <f>IF($I1714="","",IF(ISNUMBER($I1714),TEXT($I1714,"0"),$I1714))</f>
        <v/>
      </c>
    </row>
    <row r="1715">
      <c r="B1715" s="25" t="n"/>
      <c r="I1715" s="25" t="n"/>
      <c r="U1715" s="19">
        <f>IF($V1715&lt;&gt;'設定'!$C$4,N(U1714),IF(OR(NOT(COUNTIF('商品マスタ'!$B$6:$B$1005,$W1715)=0),COUNTIFS('①在庫を貼る'!$V$6:$V$10005,$V1715,'①在庫を貼る'!$W$6:$W$10005,$W1715)&gt;0),N(U1714),N(U1714)+1))</f>
        <v/>
      </c>
      <c r="V1715" s="19">
        <f>IF($B1715="","",TEXT($B1715,"0000"))</f>
        <v/>
      </c>
      <c r="W1715" s="19">
        <f>IF($I1715="","",IF(ISNUMBER($I1715),TEXT($I1715,"0"),$I1715))</f>
        <v/>
      </c>
    </row>
    <row r="1716">
      <c r="B1716" s="25" t="n"/>
      <c r="I1716" s="25" t="n"/>
      <c r="U1716" s="19">
        <f>IF($V1716&lt;&gt;'設定'!$C$4,N(U1715),IF(OR(NOT(COUNTIF('商品マスタ'!$B$6:$B$1005,$W1716)=0),COUNTIFS('①在庫を貼る'!$V$6:$V$10005,$V1716,'①在庫を貼る'!$W$6:$W$10005,$W1716)&gt;0),N(U1715),N(U1715)+1))</f>
        <v/>
      </c>
      <c r="V1716" s="19">
        <f>IF($B1716="","",TEXT($B1716,"0000"))</f>
        <v/>
      </c>
      <c r="W1716" s="19">
        <f>IF($I1716="","",IF(ISNUMBER($I1716),TEXT($I1716,"0"),$I1716))</f>
        <v/>
      </c>
    </row>
    <row r="1717">
      <c r="B1717" s="25" t="n"/>
      <c r="I1717" s="25" t="n"/>
      <c r="U1717" s="19">
        <f>IF($V1717&lt;&gt;'設定'!$C$4,N(U1716),IF(OR(NOT(COUNTIF('商品マスタ'!$B$6:$B$1005,$W1717)=0),COUNTIFS('①在庫を貼る'!$V$6:$V$10005,$V1717,'①在庫を貼る'!$W$6:$W$10005,$W1717)&gt;0),N(U1716),N(U1716)+1))</f>
        <v/>
      </c>
      <c r="V1717" s="19">
        <f>IF($B1717="","",TEXT($B1717,"0000"))</f>
        <v/>
      </c>
      <c r="W1717" s="19">
        <f>IF($I1717="","",IF(ISNUMBER($I1717),TEXT($I1717,"0"),$I1717))</f>
        <v/>
      </c>
    </row>
    <row r="1718">
      <c r="B1718" s="25" t="n"/>
      <c r="I1718" s="25" t="n"/>
      <c r="U1718" s="19">
        <f>IF($V1718&lt;&gt;'設定'!$C$4,N(U1717),IF(OR(NOT(COUNTIF('商品マスタ'!$B$6:$B$1005,$W1718)=0),COUNTIFS('①在庫を貼る'!$V$6:$V$10005,$V1718,'①在庫を貼る'!$W$6:$W$10005,$W1718)&gt;0),N(U1717),N(U1717)+1))</f>
        <v/>
      </c>
      <c r="V1718" s="19">
        <f>IF($B1718="","",TEXT($B1718,"0000"))</f>
        <v/>
      </c>
      <c r="W1718" s="19">
        <f>IF($I1718="","",IF(ISNUMBER($I1718),TEXT($I1718,"0"),$I1718))</f>
        <v/>
      </c>
    </row>
    <row r="1719">
      <c r="B1719" s="25" t="n"/>
      <c r="I1719" s="25" t="n"/>
      <c r="U1719" s="19">
        <f>IF($V1719&lt;&gt;'設定'!$C$4,N(U1718),IF(OR(NOT(COUNTIF('商品マスタ'!$B$6:$B$1005,$W1719)=0),COUNTIFS('①在庫を貼る'!$V$6:$V$10005,$V1719,'①在庫を貼る'!$W$6:$W$10005,$W1719)&gt;0),N(U1718),N(U1718)+1))</f>
        <v/>
      </c>
      <c r="V1719" s="19">
        <f>IF($B1719="","",TEXT($B1719,"0000"))</f>
        <v/>
      </c>
      <c r="W1719" s="19">
        <f>IF($I1719="","",IF(ISNUMBER($I1719),TEXT($I1719,"0"),$I1719))</f>
        <v/>
      </c>
    </row>
    <row r="1720">
      <c r="B1720" s="25" t="n"/>
      <c r="I1720" s="25" t="n"/>
      <c r="U1720" s="19">
        <f>IF($V1720&lt;&gt;'設定'!$C$4,N(U1719),IF(OR(NOT(COUNTIF('商品マスタ'!$B$6:$B$1005,$W1720)=0),COUNTIFS('①在庫を貼る'!$V$6:$V$10005,$V1720,'①在庫を貼る'!$W$6:$W$10005,$W1720)&gt;0),N(U1719),N(U1719)+1))</f>
        <v/>
      </c>
      <c r="V1720" s="19">
        <f>IF($B1720="","",TEXT($B1720,"0000"))</f>
        <v/>
      </c>
      <c r="W1720" s="19">
        <f>IF($I1720="","",IF(ISNUMBER($I1720),TEXT($I1720,"0"),$I1720))</f>
        <v/>
      </c>
    </row>
    <row r="1721">
      <c r="B1721" s="25" t="n"/>
      <c r="I1721" s="25" t="n"/>
      <c r="U1721" s="19">
        <f>IF($V1721&lt;&gt;'設定'!$C$4,N(U1720),IF(OR(NOT(COUNTIF('商品マスタ'!$B$6:$B$1005,$W1721)=0),COUNTIFS('①在庫を貼る'!$V$6:$V$10005,$V1721,'①在庫を貼る'!$W$6:$W$10005,$W1721)&gt;0),N(U1720),N(U1720)+1))</f>
        <v/>
      </c>
      <c r="V1721" s="19">
        <f>IF($B1721="","",TEXT($B1721,"0000"))</f>
        <v/>
      </c>
      <c r="W1721" s="19">
        <f>IF($I1721="","",IF(ISNUMBER($I1721),TEXT($I1721,"0"),$I1721))</f>
        <v/>
      </c>
    </row>
    <row r="1722">
      <c r="B1722" s="25" t="n"/>
      <c r="I1722" s="25" t="n"/>
      <c r="U1722" s="19">
        <f>IF($V1722&lt;&gt;'設定'!$C$4,N(U1721),IF(OR(NOT(COUNTIF('商品マスタ'!$B$6:$B$1005,$W1722)=0),COUNTIFS('①在庫を貼る'!$V$6:$V$10005,$V1722,'①在庫を貼る'!$W$6:$W$10005,$W1722)&gt;0),N(U1721),N(U1721)+1))</f>
        <v/>
      </c>
      <c r="V1722" s="19">
        <f>IF($B1722="","",TEXT($B1722,"0000"))</f>
        <v/>
      </c>
      <c r="W1722" s="19">
        <f>IF($I1722="","",IF(ISNUMBER($I1722),TEXT($I1722,"0"),$I1722))</f>
        <v/>
      </c>
    </row>
    <row r="1723">
      <c r="B1723" s="25" t="n"/>
      <c r="I1723" s="25" t="n"/>
      <c r="U1723" s="19">
        <f>IF($V1723&lt;&gt;'設定'!$C$4,N(U1722),IF(OR(NOT(COUNTIF('商品マスタ'!$B$6:$B$1005,$W1723)=0),COUNTIFS('①在庫を貼る'!$V$6:$V$10005,$V1723,'①在庫を貼る'!$W$6:$W$10005,$W1723)&gt;0),N(U1722),N(U1722)+1))</f>
        <v/>
      </c>
      <c r="V1723" s="19">
        <f>IF($B1723="","",TEXT($B1723,"0000"))</f>
        <v/>
      </c>
      <c r="W1723" s="19">
        <f>IF($I1723="","",IF(ISNUMBER($I1723),TEXT($I1723,"0"),$I1723))</f>
        <v/>
      </c>
    </row>
    <row r="1724">
      <c r="B1724" s="25" t="n"/>
      <c r="I1724" s="25" t="n"/>
      <c r="U1724" s="19">
        <f>IF($V1724&lt;&gt;'設定'!$C$4,N(U1723),IF(OR(NOT(COUNTIF('商品マスタ'!$B$6:$B$1005,$W1724)=0),COUNTIFS('①在庫を貼る'!$V$6:$V$10005,$V1724,'①在庫を貼る'!$W$6:$W$10005,$W1724)&gt;0),N(U1723),N(U1723)+1))</f>
        <v/>
      </c>
      <c r="V1724" s="19">
        <f>IF($B1724="","",TEXT($B1724,"0000"))</f>
        <v/>
      </c>
      <c r="W1724" s="19">
        <f>IF($I1724="","",IF(ISNUMBER($I1724),TEXT($I1724,"0"),$I1724))</f>
        <v/>
      </c>
    </row>
    <row r="1725">
      <c r="B1725" s="25" t="n"/>
      <c r="I1725" s="25" t="n"/>
      <c r="U1725" s="19">
        <f>IF($V1725&lt;&gt;'設定'!$C$4,N(U1724),IF(OR(NOT(COUNTIF('商品マスタ'!$B$6:$B$1005,$W1725)=0),COUNTIFS('①在庫を貼る'!$V$6:$V$10005,$V1725,'①在庫を貼る'!$W$6:$W$10005,$W1725)&gt;0),N(U1724),N(U1724)+1))</f>
        <v/>
      </c>
      <c r="V1725" s="19">
        <f>IF($B1725="","",TEXT($B1725,"0000"))</f>
        <v/>
      </c>
      <c r="W1725" s="19">
        <f>IF($I1725="","",IF(ISNUMBER($I1725),TEXT($I1725,"0"),$I1725))</f>
        <v/>
      </c>
    </row>
    <row r="1726">
      <c r="B1726" s="25" t="n"/>
      <c r="I1726" s="25" t="n"/>
      <c r="U1726" s="19">
        <f>IF($V1726&lt;&gt;'設定'!$C$4,N(U1725),IF(OR(NOT(COUNTIF('商品マスタ'!$B$6:$B$1005,$W1726)=0),COUNTIFS('①在庫を貼る'!$V$6:$V$10005,$V1726,'①在庫を貼る'!$W$6:$W$10005,$W1726)&gt;0),N(U1725),N(U1725)+1))</f>
        <v/>
      </c>
      <c r="V1726" s="19">
        <f>IF($B1726="","",TEXT($B1726,"0000"))</f>
        <v/>
      </c>
      <c r="W1726" s="19">
        <f>IF($I1726="","",IF(ISNUMBER($I1726),TEXT($I1726,"0"),$I1726))</f>
        <v/>
      </c>
    </row>
    <row r="1727">
      <c r="B1727" s="25" t="n"/>
      <c r="I1727" s="25" t="n"/>
      <c r="U1727" s="19">
        <f>IF($V1727&lt;&gt;'設定'!$C$4,N(U1726),IF(OR(NOT(COUNTIF('商品マスタ'!$B$6:$B$1005,$W1727)=0),COUNTIFS('①在庫を貼る'!$V$6:$V$10005,$V1727,'①在庫を貼る'!$W$6:$W$10005,$W1727)&gt;0),N(U1726),N(U1726)+1))</f>
        <v/>
      </c>
      <c r="V1727" s="19">
        <f>IF($B1727="","",TEXT($B1727,"0000"))</f>
        <v/>
      </c>
      <c r="W1727" s="19">
        <f>IF($I1727="","",IF(ISNUMBER($I1727),TEXT($I1727,"0"),$I1727))</f>
        <v/>
      </c>
    </row>
    <row r="1728">
      <c r="B1728" s="25" t="n"/>
      <c r="I1728" s="25" t="n"/>
      <c r="U1728" s="19">
        <f>IF($V1728&lt;&gt;'設定'!$C$4,N(U1727),IF(OR(NOT(COUNTIF('商品マスタ'!$B$6:$B$1005,$W1728)=0),COUNTIFS('①在庫を貼る'!$V$6:$V$10005,$V1728,'①在庫を貼る'!$W$6:$W$10005,$W1728)&gt;0),N(U1727),N(U1727)+1))</f>
        <v/>
      </c>
      <c r="V1728" s="19">
        <f>IF($B1728="","",TEXT($B1728,"0000"))</f>
        <v/>
      </c>
      <c r="W1728" s="19">
        <f>IF($I1728="","",IF(ISNUMBER($I1728),TEXT($I1728,"0"),$I1728))</f>
        <v/>
      </c>
    </row>
    <row r="1729">
      <c r="B1729" s="25" t="n"/>
      <c r="I1729" s="25" t="n"/>
      <c r="U1729" s="19">
        <f>IF($V1729&lt;&gt;'設定'!$C$4,N(U1728),IF(OR(NOT(COUNTIF('商品マスタ'!$B$6:$B$1005,$W1729)=0),COUNTIFS('①在庫を貼る'!$V$6:$V$10005,$V1729,'①在庫を貼る'!$W$6:$W$10005,$W1729)&gt;0),N(U1728),N(U1728)+1))</f>
        <v/>
      </c>
      <c r="V1729" s="19">
        <f>IF($B1729="","",TEXT($B1729,"0000"))</f>
        <v/>
      </c>
      <c r="W1729" s="19">
        <f>IF($I1729="","",IF(ISNUMBER($I1729),TEXT($I1729,"0"),$I1729))</f>
        <v/>
      </c>
    </row>
    <row r="1730">
      <c r="B1730" s="25" t="n"/>
      <c r="I1730" s="25" t="n"/>
      <c r="U1730" s="19">
        <f>IF($V1730&lt;&gt;'設定'!$C$4,N(U1729),IF(OR(NOT(COUNTIF('商品マスタ'!$B$6:$B$1005,$W1730)=0),COUNTIFS('①在庫を貼る'!$V$6:$V$10005,$V1730,'①在庫を貼る'!$W$6:$W$10005,$W1730)&gt;0),N(U1729),N(U1729)+1))</f>
        <v/>
      </c>
      <c r="V1730" s="19">
        <f>IF($B1730="","",TEXT($B1730,"0000"))</f>
        <v/>
      </c>
      <c r="W1730" s="19">
        <f>IF($I1730="","",IF(ISNUMBER($I1730),TEXT($I1730,"0"),$I1730))</f>
        <v/>
      </c>
    </row>
    <row r="1731">
      <c r="B1731" s="25" t="n"/>
      <c r="I1731" s="25" t="n"/>
      <c r="U1731" s="19">
        <f>IF($V1731&lt;&gt;'設定'!$C$4,N(U1730),IF(OR(NOT(COUNTIF('商品マスタ'!$B$6:$B$1005,$W1731)=0),COUNTIFS('①在庫を貼る'!$V$6:$V$10005,$V1731,'①在庫を貼る'!$W$6:$W$10005,$W1731)&gt;0),N(U1730),N(U1730)+1))</f>
        <v/>
      </c>
      <c r="V1731" s="19">
        <f>IF($B1731="","",TEXT($B1731,"0000"))</f>
        <v/>
      </c>
      <c r="W1731" s="19">
        <f>IF($I1731="","",IF(ISNUMBER($I1731),TEXT($I1731,"0"),$I1731))</f>
        <v/>
      </c>
    </row>
    <row r="1732">
      <c r="B1732" s="25" t="n"/>
      <c r="I1732" s="25" t="n"/>
      <c r="U1732" s="19">
        <f>IF($V1732&lt;&gt;'設定'!$C$4,N(U1731),IF(OR(NOT(COUNTIF('商品マスタ'!$B$6:$B$1005,$W1732)=0),COUNTIFS('①在庫を貼る'!$V$6:$V$10005,$V1732,'①在庫を貼る'!$W$6:$W$10005,$W1732)&gt;0),N(U1731),N(U1731)+1))</f>
        <v/>
      </c>
      <c r="V1732" s="19">
        <f>IF($B1732="","",TEXT($B1732,"0000"))</f>
        <v/>
      </c>
      <c r="W1732" s="19">
        <f>IF($I1732="","",IF(ISNUMBER($I1732),TEXT($I1732,"0"),$I1732))</f>
        <v/>
      </c>
    </row>
    <row r="1733">
      <c r="B1733" s="25" t="n"/>
      <c r="I1733" s="25" t="n"/>
      <c r="U1733" s="19">
        <f>IF($V1733&lt;&gt;'設定'!$C$4,N(U1732),IF(OR(NOT(COUNTIF('商品マスタ'!$B$6:$B$1005,$W1733)=0),COUNTIFS('①在庫を貼る'!$V$6:$V$10005,$V1733,'①在庫を貼る'!$W$6:$W$10005,$W1733)&gt;0),N(U1732),N(U1732)+1))</f>
        <v/>
      </c>
      <c r="V1733" s="19">
        <f>IF($B1733="","",TEXT($B1733,"0000"))</f>
        <v/>
      </c>
      <c r="W1733" s="19">
        <f>IF($I1733="","",IF(ISNUMBER($I1733),TEXT($I1733,"0"),$I1733))</f>
        <v/>
      </c>
    </row>
    <row r="1734">
      <c r="B1734" s="25" t="n"/>
      <c r="I1734" s="25" t="n"/>
      <c r="U1734" s="19">
        <f>IF($V1734&lt;&gt;'設定'!$C$4,N(U1733),IF(OR(NOT(COUNTIF('商品マスタ'!$B$6:$B$1005,$W1734)=0),COUNTIFS('①在庫を貼る'!$V$6:$V$10005,$V1734,'①在庫を貼る'!$W$6:$W$10005,$W1734)&gt;0),N(U1733),N(U1733)+1))</f>
        <v/>
      </c>
      <c r="V1734" s="19">
        <f>IF($B1734="","",TEXT($B1734,"0000"))</f>
        <v/>
      </c>
      <c r="W1734" s="19">
        <f>IF($I1734="","",IF(ISNUMBER($I1734),TEXT($I1734,"0"),$I1734))</f>
        <v/>
      </c>
    </row>
    <row r="1735">
      <c r="B1735" s="25" t="n"/>
      <c r="I1735" s="25" t="n"/>
      <c r="U1735" s="19">
        <f>IF($V1735&lt;&gt;'設定'!$C$4,N(U1734),IF(OR(NOT(COUNTIF('商品マスタ'!$B$6:$B$1005,$W1735)=0),COUNTIFS('①在庫を貼る'!$V$6:$V$10005,$V1735,'①在庫を貼る'!$W$6:$W$10005,$W1735)&gt;0),N(U1734),N(U1734)+1))</f>
        <v/>
      </c>
      <c r="V1735" s="19">
        <f>IF($B1735="","",TEXT($B1735,"0000"))</f>
        <v/>
      </c>
      <c r="W1735" s="19">
        <f>IF($I1735="","",IF(ISNUMBER($I1735),TEXT($I1735,"0"),$I1735))</f>
        <v/>
      </c>
    </row>
    <row r="1736">
      <c r="B1736" s="25" t="n"/>
      <c r="I1736" s="25" t="n"/>
      <c r="U1736" s="19">
        <f>IF($V1736&lt;&gt;'設定'!$C$4,N(U1735),IF(OR(NOT(COUNTIF('商品マスタ'!$B$6:$B$1005,$W1736)=0),COUNTIFS('①在庫を貼る'!$V$6:$V$10005,$V1736,'①在庫を貼る'!$W$6:$W$10005,$W1736)&gt;0),N(U1735),N(U1735)+1))</f>
        <v/>
      </c>
      <c r="V1736" s="19">
        <f>IF($B1736="","",TEXT($B1736,"0000"))</f>
        <v/>
      </c>
      <c r="W1736" s="19">
        <f>IF($I1736="","",IF(ISNUMBER($I1736),TEXT($I1736,"0"),$I1736))</f>
        <v/>
      </c>
    </row>
    <row r="1737">
      <c r="B1737" s="25" t="n"/>
      <c r="I1737" s="25" t="n"/>
      <c r="U1737" s="19">
        <f>IF($V1737&lt;&gt;'設定'!$C$4,N(U1736),IF(OR(NOT(COUNTIF('商品マスタ'!$B$6:$B$1005,$W1737)=0),COUNTIFS('①在庫を貼る'!$V$6:$V$10005,$V1737,'①在庫を貼る'!$W$6:$W$10005,$W1737)&gt;0),N(U1736),N(U1736)+1))</f>
        <v/>
      </c>
      <c r="V1737" s="19">
        <f>IF($B1737="","",TEXT($B1737,"0000"))</f>
        <v/>
      </c>
      <c r="W1737" s="19">
        <f>IF($I1737="","",IF(ISNUMBER($I1737),TEXT($I1737,"0"),$I1737))</f>
        <v/>
      </c>
    </row>
    <row r="1738">
      <c r="B1738" s="25" t="n"/>
      <c r="I1738" s="25" t="n"/>
      <c r="U1738" s="19">
        <f>IF($V1738&lt;&gt;'設定'!$C$4,N(U1737),IF(OR(NOT(COUNTIF('商品マスタ'!$B$6:$B$1005,$W1738)=0),COUNTIFS('①在庫を貼る'!$V$6:$V$10005,$V1738,'①在庫を貼る'!$W$6:$W$10005,$W1738)&gt;0),N(U1737),N(U1737)+1))</f>
        <v/>
      </c>
      <c r="V1738" s="19">
        <f>IF($B1738="","",TEXT($B1738,"0000"))</f>
        <v/>
      </c>
      <c r="W1738" s="19">
        <f>IF($I1738="","",IF(ISNUMBER($I1738),TEXT($I1738,"0"),$I1738))</f>
        <v/>
      </c>
    </row>
    <row r="1739">
      <c r="B1739" s="25" t="n"/>
      <c r="I1739" s="25" t="n"/>
      <c r="U1739" s="19">
        <f>IF($V1739&lt;&gt;'設定'!$C$4,N(U1738),IF(OR(NOT(COUNTIF('商品マスタ'!$B$6:$B$1005,$W1739)=0),COUNTIFS('①在庫を貼る'!$V$6:$V$10005,$V1739,'①在庫を貼る'!$W$6:$W$10005,$W1739)&gt;0),N(U1738),N(U1738)+1))</f>
        <v/>
      </c>
      <c r="V1739" s="19">
        <f>IF($B1739="","",TEXT($B1739,"0000"))</f>
        <v/>
      </c>
      <c r="W1739" s="19">
        <f>IF($I1739="","",IF(ISNUMBER($I1739),TEXT($I1739,"0"),$I1739))</f>
        <v/>
      </c>
    </row>
    <row r="1740">
      <c r="B1740" s="25" t="n"/>
      <c r="I1740" s="25" t="n"/>
      <c r="U1740" s="19">
        <f>IF($V1740&lt;&gt;'設定'!$C$4,N(U1739),IF(OR(NOT(COUNTIF('商品マスタ'!$B$6:$B$1005,$W1740)=0),COUNTIFS('①在庫を貼る'!$V$6:$V$10005,$V1740,'①在庫を貼る'!$W$6:$W$10005,$W1740)&gt;0),N(U1739),N(U1739)+1))</f>
        <v/>
      </c>
      <c r="V1740" s="19">
        <f>IF($B1740="","",TEXT($B1740,"0000"))</f>
        <v/>
      </c>
      <c r="W1740" s="19">
        <f>IF($I1740="","",IF(ISNUMBER($I1740),TEXT($I1740,"0"),$I1740))</f>
        <v/>
      </c>
    </row>
    <row r="1741">
      <c r="B1741" s="25" t="n"/>
      <c r="I1741" s="25" t="n"/>
      <c r="U1741" s="19">
        <f>IF($V1741&lt;&gt;'設定'!$C$4,N(U1740),IF(OR(NOT(COUNTIF('商品マスタ'!$B$6:$B$1005,$W1741)=0),COUNTIFS('①在庫を貼る'!$V$6:$V$10005,$V1741,'①在庫を貼る'!$W$6:$W$10005,$W1741)&gt;0),N(U1740),N(U1740)+1))</f>
        <v/>
      </c>
      <c r="V1741" s="19">
        <f>IF($B1741="","",TEXT($B1741,"0000"))</f>
        <v/>
      </c>
      <c r="W1741" s="19">
        <f>IF($I1741="","",IF(ISNUMBER($I1741),TEXT($I1741,"0"),$I1741))</f>
        <v/>
      </c>
    </row>
    <row r="1742">
      <c r="B1742" s="25" t="n"/>
      <c r="I1742" s="25" t="n"/>
      <c r="U1742" s="19">
        <f>IF($V1742&lt;&gt;'設定'!$C$4,N(U1741),IF(OR(NOT(COUNTIF('商品マスタ'!$B$6:$B$1005,$W1742)=0),COUNTIFS('①在庫を貼る'!$V$6:$V$10005,$V1742,'①在庫を貼る'!$W$6:$W$10005,$W1742)&gt;0),N(U1741),N(U1741)+1))</f>
        <v/>
      </c>
      <c r="V1742" s="19">
        <f>IF($B1742="","",TEXT($B1742,"0000"))</f>
        <v/>
      </c>
      <c r="W1742" s="19">
        <f>IF($I1742="","",IF(ISNUMBER($I1742),TEXT($I1742,"0"),$I1742))</f>
        <v/>
      </c>
    </row>
    <row r="1743">
      <c r="B1743" s="25" t="n"/>
      <c r="I1743" s="25" t="n"/>
      <c r="U1743" s="19">
        <f>IF($V1743&lt;&gt;'設定'!$C$4,N(U1742),IF(OR(NOT(COUNTIF('商品マスタ'!$B$6:$B$1005,$W1743)=0),COUNTIFS('①在庫を貼る'!$V$6:$V$10005,$V1743,'①在庫を貼る'!$W$6:$W$10005,$W1743)&gt;0),N(U1742),N(U1742)+1))</f>
        <v/>
      </c>
      <c r="V1743" s="19">
        <f>IF($B1743="","",TEXT($B1743,"0000"))</f>
        <v/>
      </c>
      <c r="W1743" s="19">
        <f>IF($I1743="","",IF(ISNUMBER($I1743),TEXT($I1743,"0"),$I1743))</f>
        <v/>
      </c>
    </row>
    <row r="1744">
      <c r="B1744" s="25" t="n"/>
      <c r="I1744" s="25" t="n"/>
      <c r="U1744" s="19">
        <f>IF($V1744&lt;&gt;'設定'!$C$4,N(U1743),IF(OR(NOT(COUNTIF('商品マスタ'!$B$6:$B$1005,$W1744)=0),COUNTIFS('①在庫を貼る'!$V$6:$V$10005,$V1744,'①在庫を貼る'!$W$6:$W$10005,$W1744)&gt;0),N(U1743),N(U1743)+1))</f>
        <v/>
      </c>
      <c r="V1744" s="19">
        <f>IF($B1744="","",TEXT($B1744,"0000"))</f>
        <v/>
      </c>
      <c r="W1744" s="19">
        <f>IF($I1744="","",IF(ISNUMBER($I1744),TEXT($I1744,"0"),$I1744))</f>
        <v/>
      </c>
    </row>
    <row r="1745">
      <c r="B1745" s="25" t="n"/>
      <c r="I1745" s="25" t="n"/>
      <c r="U1745" s="19">
        <f>IF($V1745&lt;&gt;'設定'!$C$4,N(U1744),IF(OR(NOT(COUNTIF('商品マスタ'!$B$6:$B$1005,$W1745)=0),COUNTIFS('①在庫を貼る'!$V$6:$V$10005,$V1745,'①在庫を貼る'!$W$6:$W$10005,$W1745)&gt;0),N(U1744),N(U1744)+1))</f>
        <v/>
      </c>
      <c r="V1745" s="19">
        <f>IF($B1745="","",TEXT($B1745,"0000"))</f>
        <v/>
      </c>
      <c r="W1745" s="19">
        <f>IF($I1745="","",IF(ISNUMBER($I1745),TEXT($I1745,"0"),$I1745))</f>
        <v/>
      </c>
    </row>
    <row r="1746">
      <c r="B1746" s="25" t="n"/>
      <c r="I1746" s="25" t="n"/>
      <c r="U1746" s="19">
        <f>IF($V1746&lt;&gt;'設定'!$C$4,N(U1745),IF(OR(NOT(COUNTIF('商品マスタ'!$B$6:$B$1005,$W1746)=0),COUNTIFS('①在庫を貼る'!$V$6:$V$10005,$V1746,'①在庫を貼る'!$W$6:$W$10005,$W1746)&gt;0),N(U1745),N(U1745)+1))</f>
        <v/>
      </c>
      <c r="V1746" s="19">
        <f>IF($B1746="","",TEXT($B1746,"0000"))</f>
        <v/>
      </c>
      <c r="W1746" s="19">
        <f>IF($I1746="","",IF(ISNUMBER($I1746),TEXT($I1746,"0"),$I1746))</f>
        <v/>
      </c>
    </row>
    <row r="1747">
      <c r="B1747" s="25" t="n"/>
      <c r="I1747" s="25" t="n"/>
      <c r="U1747" s="19">
        <f>IF($V1747&lt;&gt;'設定'!$C$4,N(U1746),IF(OR(NOT(COUNTIF('商品マスタ'!$B$6:$B$1005,$W1747)=0),COUNTIFS('①在庫を貼る'!$V$6:$V$10005,$V1747,'①在庫を貼る'!$W$6:$W$10005,$W1747)&gt;0),N(U1746),N(U1746)+1))</f>
        <v/>
      </c>
      <c r="V1747" s="19">
        <f>IF($B1747="","",TEXT($B1747,"0000"))</f>
        <v/>
      </c>
      <c r="W1747" s="19">
        <f>IF($I1747="","",IF(ISNUMBER($I1747),TEXT($I1747,"0"),$I1747))</f>
        <v/>
      </c>
    </row>
    <row r="1748">
      <c r="B1748" s="25" t="n"/>
      <c r="I1748" s="25" t="n"/>
      <c r="U1748" s="19">
        <f>IF($V1748&lt;&gt;'設定'!$C$4,N(U1747),IF(OR(NOT(COUNTIF('商品マスタ'!$B$6:$B$1005,$W1748)=0),COUNTIFS('①在庫を貼る'!$V$6:$V$10005,$V1748,'①在庫を貼る'!$W$6:$W$10005,$W1748)&gt;0),N(U1747),N(U1747)+1))</f>
        <v/>
      </c>
      <c r="V1748" s="19">
        <f>IF($B1748="","",TEXT($B1748,"0000"))</f>
        <v/>
      </c>
      <c r="W1748" s="19">
        <f>IF($I1748="","",IF(ISNUMBER($I1748),TEXT($I1748,"0"),$I1748))</f>
        <v/>
      </c>
    </row>
    <row r="1749">
      <c r="B1749" s="25" t="n"/>
      <c r="I1749" s="25" t="n"/>
      <c r="U1749" s="19">
        <f>IF($V1749&lt;&gt;'設定'!$C$4,N(U1748),IF(OR(NOT(COUNTIF('商品マスタ'!$B$6:$B$1005,$W1749)=0),COUNTIFS('①在庫を貼る'!$V$6:$V$10005,$V1749,'①在庫を貼る'!$W$6:$W$10005,$W1749)&gt;0),N(U1748),N(U1748)+1))</f>
        <v/>
      </c>
      <c r="V1749" s="19">
        <f>IF($B1749="","",TEXT($B1749,"0000"))</f>
        <v/>
      </c>
      <c r="W1749" s="19">
        <f>IF($I1749="","",IF(ISNUMBER($I1749),TEXT($I1749,"0"),$I1749))</f>
        <v/>
      </c>
    </row>
    <row r="1750">
      <c r="B1750" s="25" t="n"/>
      <c r="I1750" s="25" t="n"/>
      <c r="U1750" s="19">
        <f>IF($V1750&lt;&gt;'設定'!$C$4,N(U1749),IF(OR(NOT(COUNTIF('商品マスタ'!$B$6:$B$1005,$W1750)=0),COUNTIFS('①在庫を貼る'!$V$6:$V$10005,$V1750,'①在庫を貼る'!$W$6:$W$10005,$W1750)&gt;0),N(U1749),N(U1749)+1))</f>
        <v/>
      </c>
      <c r="V1750" s="19">
        <f>IF($B1750="","",TEXT($B1750,"0000"))</f>
        <v/>
      </c>
      <c r="W1750" s="19">
        <f>IF($I1750="","",IF(ISNUMBER($I1750),TEXT($I1750,"0"),$I1750))</f>
        <v/>
      </c>
    </row>
    <row r="1751">
      <c r="B1751" s="25" t="n"/>
      <c r="I1751" s="25" t="n"/>
      <c r="U1751" s="19">
        <f>IF($V1751&lt;&gt;'設定'!$C$4,N(U1750),IF(OR(NOT(COUNTIF('商品マスタ'!$B$6:$B$1005,$W1751)=0),COUNTIFS('①在庫を貼る'!$V$6:$V$10005,$V1751,'①在庫を貼る'!$W$6:$W$10005,$W1751)&gt;0),N(U1750),N(U1750)+1))</f>
        <v/>
      </c>
      <c r="V1751" s="19">
        <f>IF($B1751="","",TEXT($B1751,"0000"))</f>
        <v/>
      </c>
      <c r="W1751" s="19">
        <f>IF($I1751="","",IF(ISNUMBER($I1751),TEXT($I1751,"0"),$I1751))</f>
        <v/>
      </c>
    </row>
    <row r="1752">
      <c r="B1752" s="25" t="n"/>
      <c r="I1752" s="25" t="n"/>
      <c r="U1752" s="19">
        <f>IF($V1752&lt;&gt;'設定'!$C$4,N(U1751),IF(OR(NOT(COUNTIF('商品マスタ'!$B$6:$B$1005,$W1752)=0),COUNTIFS('①在庫を貼る'!$V$6:$V$10005,$V1752,'①在庫を貼る'!$W$6:$W$10005,$W1752)&gt;0),N(U1751),N(U1751)+1))</f>
        <v/>
      </c>
      <c r="V1752" s="19">
        <f>IF($B1752="","",TEXT($B1752,"0000"))</f>
        <v/>
      </c>
      <c r="W1752" s="19">
        <f>IF($I1752="","",IF(ISNUMBER($I1752),TEXT($I1752,"0"),$I1752))</f>
        <v/>
      </c>
    </row>
    <row r="1753">
      <c r="B1753" s="25" t="n"/>
      <c r="I1753" s="25" t="n"/>
      <c r="U1753" s="19">
        <f>IF($V1753&lt;&gt;'設定'!$C$4,N(U1752),IF(OR(NOT(COUNTIF('商品マスタ'!$B$6:$B$1005,$W1753)=0),COUNTIFS('①在庫を貼る'!$V$6:$V$10005,$V1753,'①在庫を貼る'!$W$6:$W$10005,$W1753)&gt;0),N(U1752),N(U1752)+1))</f>
        <v/>
      </c>
      <c r="V1753" s="19">
        <f>IF($B1753="","",TEXT($B1753,"0000"))</f>
        <v/>
      </c>
      <c r="W1753" s="19">
        <f>IF($I1753="","",IF(ISNUMBER($I1753),TEXT($I1753,"0"),$I1753))</f>
        <v/>
      </c>
    </row>
    <row r="1754">
      <c r="B1754" s="25" t="n"/>
      <c r="I1754" s="25" t="n"/>
      <c r="U1754" s="19">
        <f>IF($V1754&lt;&gt;'設定'!$C$4,N(U1753),IF(OR(NOT(COUNTIF('商品マスタ'!$B$6:$B$1005,$W1754)=0),COUNTIFS('①在庫を貼る'!$V$6:$V$10005,$V1754,'①在庫を貼る'!$W$6:$W$10005,$W1754)&gt;0),N(U1753),N(U1753)+1))</f>
        <v/>
      </c>
      <c r="V1754" s="19">
        <f>IF($B1754="","",TEXT($B1754,"0000"))</f>
        <v/>
      </c>
      <c r="W1754" s="19">
        <f>IF($I1754="","",IF(ISNUMBER($I1754),TEXT($I1754,"0"),$I1754))</f>
        <v/>
      </c>
    </row>
    <row r="1755">
      <c r="B1755" s="25" t="n"/>
      <c r="I1755" s="25" t="n"/>
      <c r="U1755" s="19">
        <f>IF($V1755&lt;&gt;'設定'!$C$4,N(U1754),IF(OR(NOT(COUNTIF('商品マスタ'!$B$6:$B$1005,$W1755)=0),COUNTIFS('①在庫を貼る'!$V$6:$V$10005,$V1755,'①在庫を貼る'!$W$6:$W$10005,$W1755)&gt;0),N(U1754),N(U1754)+1))</f>
        <v/>
      </c>
      <c r="V1755" s="19">
        <f>IF($B1755="","",TEXT($B1755,"0000"))</f>
        <v/>
      </c>
      <c r="W1755" s="19">
        <f>IF($I1755="","",IF(ISNUMBER($I1755),TEXT($I1755,"0"),$I1755))</f>
        <v/>
      </c>
    </row>
    <row r="1756">
      <c r="B1756" s="25" t="n"/>
      <c r="I1756" s="25" t="n"/>
      <c r="U1756" s="19">
        <f>IF($V1756&lt;&gt;'設定'!$C$4,N(U1755),IF(OR(NOT(COUNTIF('商品マスタ'!$B$6:$B$1005,$W1756)=0),COUNTIFS('①在庫を貼る'!$V$6:$V$10005,$V1756,'①在庫を貼る'!$W$6:$W$10005,$W1756)&gt;0),N(U1755),N(U1755)+1))</f>
        <v/>
      </c>
      <c r="V1756" s="19">
        <f>IF($B1756="","",TEXT($B1756,"0000"))</f>
        <v/>
      </c>
      <c r="W1756" s="19">
        <f>IF($I1756="","",IF(ISNUMBER($I1756),TEXT($I1756,"0"),$I1756))</f>
        <v/>
      </c>
    </row>
    <row r="1757">
      <c r="B1757" s="25" t="n"/>
      <c r="I1757" s="25" t="n"/>
      <c r="U1757" s="19">
        <f>IF($V1757&lt;&gt;'設定'!$C$4,N(U1756),IF(OR(NOT(COUNTIF('商品マスタ'!$B$6:$B$1005,$W1757)=0),COUNTIFS('①在庫を貼る'!$V$6:$V$10005,$V1757,'①在庫を貼る'!$W$6:$W$10005,$W1757)&gt;0),N(U1756),N(U1756)+1))</f>
        <v/>
      </c>
      <c r="V1757" s="19">
        <f>IF($B1757="","",TEXT($B1757,"0000"))</f>
        <v/>
      </c>
      <c r="W1757" s="19">
        <f>IF($I1757="","",IF(ISNUMBER($I1757),TEXT($I1757,"0"),$I1757))</f>
        <v/>
      </c>
    </row>
    <row r="1758">
      <c r="B1758" s="25" t="n"/>
      <c r="I1758" s="25" t="n"/>
      <c r="U1758" s="19">
        <f>IF($V1758&lt;&gt;'設定'!$C$4,N(U1757),IF(OR(NOT(COUNTIF('商品マスタ'!$B$6:$B$1005,$W1758)=0),COUNTIFS('①在庫を貼る'!$V$6:$V$10005,$V1758,'①在庫を貼る'!$W$6:$W$10005,$W1758)&gt;0),N(U1757),N(U1757)+1))</f>
        <v/>
      </c>
      <c r="V1758" s="19">
        <f>IF($B1758="","",TEXT($B1758,"0000"))</f>
        <v/>
      </c>
      <c r="W1758" s="19">
        <f>IF($I1758="","",IF(ISNUMBER($I1758),TEXT($I1758,"0"),$I1758))</f>
        <v/>
      </c>
    </row>
    <row r="1759">
      <c r="B1759" s="25" t="n"/>
      <c r="I1759" s="25" t="n"/>
      <c r="U1759" s="19">
        <f>IF($V1759&lt;&gt;'設定'!$C$4,N(U1758),IF(OR(NOT(COUNTIF('商品マスタ'!$B$6:$B$1005,$W1759)=0),COUNTIFS('①在庫を貼る'!$V$6:$V$10005,$V1759,'①在庫を貼る'!$W$6:$W$10005,$W1759)&gt;0),N(U1758),N(U1758)+1))</f>
        <v/>
      </c>
      <c r="V1759" s="19">
        <f>IF($B1759="","",TEXT($B1759,"0000"))</f>
        <v/>
      </c>
      <c r="W1759" s="19">
        <f>IF($I1759="","",IF(ISNUMBER($I1759),TEXT($I1759,"0"),$I1759))</f>
        <v/>
      </c>
    </row>
    <row r="1760">
      <c r="B1760" s="25" t="n"/>
      <c r="I1760" s="25" t="n"/>
      <c r="U1760" s="19">
        <f>IF($V1760&lt;&gt;'設定'!$C$4,N(U1759),IF(OR(NOT(COUNTIF('商品マスタ'!$B$6:$B$1005,$W1760)=0),COUNTIFS('①在庫を貼る'!$V$6:$V$10005,$V1760,'①在庫を貼る'!$W$6:$W$10005,$W1760)&gt;0),N(U1759),N(U1759)+1))</f>
        <v/>
      </c>
      <c r="V1760" s="19">
        <f>IF($B1760="","",TEXT($B1760,"0000"))</f>
        <v/>
      </c>
      <c r="W1760" s="19">
        <f>IF($I1760="","",IF(ISNUMBER($I1760),TEXT($I1760,"0"),$I1760))</f>
        <v/>
      </c>
    </row>
    <row r="1761">
      <c r="B1761" s="25" t="n"/>
      <c r="I1761" s="25" t="n"/>
      <c r="U1761" s="19">
        <f>IF($V1761&lt;&gt;'設定'!$C$4,N(U1760),IF(OR(NOT(COUNTIF('商品マスタ'!$B$6:$B$1005,$W1761)=0),COUNTIFS('①在庫を貼る'!$V$6:$V$10005,$V1761,'①在庫を貼る'!$W$6:$W$10005,$W1761)&gt;0),N(U1760),N(U1760)+1))</f>
        <v/>
      </c>
      <c r="V1761" s="19">
        <f>IF($B1761="","",TEXT($B1761,"0000"))</f>
        <v/>
      </c>
      <c r="W1761" s="19">
        <f>IF($I1761="","",IF(ISNUMBER($I1761),TEXT($I1761,"0"),$I1761))</f>
        <v/>
      </c>
    </row>
    <row r="1762">
      <c r="B1762" s="25" t="n"/>
      <c r="I1762" s="25" t="n"/>
      <c r="U1762" s="19">
        <f>IF($V1762&lt;&gt;'設定'!$C$4,N(U1761),IF(OR(NOT(COUNTIF('商品マスタ'!$B$6:$B$1005,$W1762)=0),COUNTIFS('①在庫を貼る'!$V$6:$V$10005,$V1762,'①在庫を貼る'!$W$6:$W$10005,$W1762)&gt;0),N(U1761),N(U1761)+1))</f>
        <v/>
      </c>
      <c r="V1762" s="19">
        <f>IF($B1762="","",TEXT($B1762,"0000"))</f>
        <v/>
      </c>
      <c r="W1762" s="19">
        <f>IF($I1762="","",IF(ISNUMBER($I1762),TEXT($I1762,"0"),$I1762))</f>
        <v/>
      </c>
    </row>
    <row r="1763">
      <c r="B1763" s="25" t="n"/>
      <c r="I1763" s="25" t="n"/>
      <c r="U1763" s="19">
        <f>IF($V1763&lt;&gt;'設定'!$C$4,N(U1762),IF(OR(NOT(COUNTIF('商品マスタ'!$B$6:$B$1005,$W1763)=0),COUNTIFS('①在庫を貼る'!$V$6:$V$10005,$V1763,'①在庫を貼る'!$W$6:$W$10005,$W1763)&gt;0),N(U1762),N(U1762)+1))</f>
        <v/>
      </c>
      <c r="V1763" s="19">
        <f>IF($B1763="","",TEXT($B1763,"0000"))</f>
        <v/>
      </c>
      <c r="W1763" s="19">
        <f>IF($I1763="","",IF(ISNUMBER($I1763),TEXT($I1763,"0"),$I1763))</f>
        <v/>
      </c>
    </row>
    <row r="1764">
      <c r="B1764" s="25" t="n"/>
      <c r="I1764" s="25" t="n"/>
      <c r="U1764" s="19">
        <f>IF($V1764&lt;&gt;'設定'!$C$4,N(U1763),IF(OR(NOT(COUNTIF('商品マスタ'!$B$6:$B$1005,$W1764)=0),COUNTIFS('①在庫を貼る'!$V$6:$V$10005,$V1764,'①在庫を貼る'!$W$6:$W$10005,$W1764)&gt;0),N(U1763),N(U1763)+1))</f>
        <v/>
      </c>
      <c r="V1764" s="19">
        <f>IF($B1764="","",TEXT($B1764,"0000"))</f>
        <v/>
      </c>
      <c r="W1764" s="19">
        <f>IF($I1764="","",IF(ISNUMBER($I1764),TEXT($I1764,"0"),$I1764))</f>
        <v/>
      </c>
    </row>
    <row r="1765">
      <c r="B1765" s="25" t="n"/>
      <c r="I1765" s="25" t="n"/>
      <c r="U1765" s="19">
        <f>IF($V1765&lt;&gt;'設定'!$C$4,N(U1764),IF(OR(NOT(COUNTIF('商品マスタ'!$B$6:$B$1005,$W1765)=0),COUNTIFS('①在庫を貼る'!$V$6:$V$10005,$V1765,'①在庫を貼る'!$W$6:$W$10005,$W1765)&gt;0),N(U1764),N(U1764)+1))</f>
        <v/>
      </c>
      <c r="V1765" s="19">
        <f>IF($B1765="","",TEXT($B1765,"0000"))</f>
        <v/>
      </c>
      <c r="W1765" s="19">
        <f>IF($I1765="","",IF(ISNUMBER($I1765),TEXT($I1765,"0"),$I1765))</f>
        <v/>
      </c>
    </row>
    <row r="1766">
      <c r="B1766" s="25" t="n"/>
      <c r="I1766" s="25" t="n"/>
      <c r="U1766" s="19">
        <f>IF($V1766&lt;&gt;'設定'!$C$4,N(U1765),IF(OR(NOT(COUNTIF('商品マスタ'!$B$6:$B$1005,$W1766)=0),COUNTIFS('①在庫を貼る'!$V$6:$V$10005,$V1766,'①在庫を貼る'!$W$6:$W$10005,$W1766)&gt;0),N(U1765),N(U1765)+1))</f>
        <v/>
      </c>
      <c r="V1766" s="19">
        <f>IF($B1766="","",TEXT($B1766,"0000"))</f>
        <v/>
      </c>
      <c r="W1766" s="19">
        <f>IF($I1766="","",IF(ISNUMBER($I1766),TEXT($I1766,"0"),$I1766))</f>
        <v/>
      </c>
    </row>
    <row r="1767">
      <c r="B1767" s="25" t="n"/>
      <c r="I1767" s="25" t="n"/>
      <c r="U1767" s="19">
        <f>IF($V1767&lt;&gt;'設定'!$C$4,N(U1766),IF(OR(NOT(COUNTIF('商品マスタ'!$B$6:$B$1005,$W1767)=0),COUNTIFS('①在庫を貼る'!$V$6:$V$10005,$V1767,'①在庫を貼る'!$W$6:$W$10005,$W1767)&gt;0),N(U1766),N(U1766)+1))</f>
        <v/>
      </c>
      <c r="V1767" s="19">
        <f>IF($B1767="","",TEXT($B1767,"0000"))</f>
        <v/>
      </c>
      <c r="W1767" s="19">
        <f>IF($I1767="","",IF(ISNUMBER($I1767),TEXT($I1767,"0"),$I1767))</f>
        <v/>
      </c>
    </row>
    <row r="1768">
      <c r="B1768" s="25" t="n"/>
      <c r="I1768" s="25" t="n"/>
      <c r="U1768" s="19">
        <f>IF($V1768&lt;&gt;'設定'!$C$4,N(U1767),IF(OR(NOT(COUNTIF('商品マスタ'!$B$6:$B$1005,$W1768)=0),COUNTIFS('①在庫を貼る'!$V$6:$V$10005,$V1768,'①在庫を貼る'!$W$6:$W$10005,$W1768)&gt;0),N(U1767),N(U1767)+1))</f>
        <v/>
      </c>
      <c r="V1768" s="19">
        <f>IF($B1768="","",TEXT($B1768,"0000"))</f>
        <v/>
      </c>
      <c r="W1768" s="19">
        <f>IF($I1768="","",IF(ISNUMBER($I1768),TEXT($I1768,"0"),$I1768))</f>
        <v/>
      </c>
    </row>
    <row r="1769">
      <c r="B1769" s="25" t="n"/>
      <c r="I1769" s="25" t="n"/>
      <c r="U1769" s="19">
        <f>IF($V1769&lt;&gt;'設定'!$C$4,N(U1768),IF(OR(NOT(COUNTIF('商品マスタ'!$B$6:$B$1005,$W1769)=0),COUNTIFS('①在庫を貼る'!$V$6:$V$10005,$V1769,'①在庫を貼る'!$W$6:$W$10005,$W1769)&gt;0),N(U1768),N(U1768)+1))</f>
        <v/>
      </c>
      <c r="V1769" s="19">
        <f>IF($B1769="","",TEXT($B1769,"0000"))</f>
        <v/>
      </c>
      <c r="W1769" s="19">
        <f>IF($I1769="","",IF(ISNUMBER($I1769),TEXT($I1769,"0"),$I1769))</f>
        <v/>
      </c>
    </row>
    <row r="1770">
      <c r="B1770" s="25" t="n"/>
      <c r="I1770" s="25" t="n"/>
      <c r="U1770" s="19">
        <f>IF($V1770&lt;&gt;'設定'!$C$4,N(U1769),IF(OR(NOT(COUNTIF('商品マスタ'!$B$6:$B$1005,$W1770)=0),COUNTIFS('①在庫を貼る'!$V$6:$V$10005,$V1770,'①在庫を貼る'!$W$6:$W$10005,$W1770)&gt;0),N(U1769),N(U1769)+1))</f>
        <v/>
      </c>
      <c r="V1770" s="19">
        <f>IF($B1770="","",TEXT($B1770,"0000"))</f>
        <v/>
      </c>
      <c r="W1770" s="19">
        <f>IF($I1770="","",IF(ISNUMBER($I1770),TEXT($I1770,"0"),$I1770))</f>
        <v/>
      </c>
    </row>
    <row r="1771">
      <c r="B1771" s="25" t="n"/>
      <c r="I1771" s="25" t="n"/>
      <c r="U1771" s="19">
        <f>IF($V1771&lt;&gt;'設定'!$C$4,N(U1770),IF(OR(NOT(COUNTIF('商品マスタ'!$B$6:$B$1005,$W1771)=0),COUNTIFS('①在庫を貼る'!$V$6:$V$10005,$V1771,'①在庫を貼る'!$W$6:$W$10005,$W1771)&gt;0),N(U1770),N(U1770)+1))</f>
        <v/>
      </c>
      <c r="V1771" s="19">
        <f>IF($B1771="","",TEXT($B1771,"0000"))</f>
        <v/>
      </c>
      <c r="W1771" s="19">
        <f>IF($I1771="","",IF(ISNUMBER($I1771),TEXT($I1771,"0"),$I1771))</f>
        <v/>
      </c>
    </row>
    <row r="1772">
      <c r="B1772" s="25" t="n"/>
      <c r="I1772" s="25" t="n"/>
      <c r="U1772" s="19">
        <f>IF($V1772&lt;&gt;'設定'!$C$4,N(U1771),IF(OR(NOT(COUNTIF('商品マスタ'!$B$6:$B$1005,$W1772)=0),COUNTIFS('①在庫を貼る'!$V$6:$V$10005,$V1772,'①在庫を貼る'!$W$6:$W$10005,$W1772)&gt;0),N(U1771),N(U1771)+1))</f>
        <v/>
      </c>
      <c r="V1772" s="19">
        <f>IF($B1772="","",TEXT($B1772,"0000"))</f>
        <v/>
      </c>
      <c r="W1772" s="19">
        <f>IF($I1772="","",IF(ISNUMBER($I1772),TEXT($I1772,"0"),$I1772))</f>
        <v/>
      </c>
    </row>
    <row r="1773">
      <c r="B1773" s="25" t="n"/>
      <c r="I1773" s="25" t="n"/>
      <c r="U1773" s="19">
        <f>IF($V1773&lt;&gt;'設定'!$C$4,N(U1772),IF(OR(NOT(COUNTIF('商品マスタ'!$B$6:$B$1005,$W1773)=0),COUNTIFS('①在庫を貼る'!$V$6:$V$10005,$V1773,'①在庫を貼る'!$W$6:$W$10005,$W1773)&gt;0),N(U1772),N(U1772)+1))</f>
        <v/>
      </c>
      <c r="V1773" s="19">
        <f>IF($B1773="","",TEXT($B1773,"0000"))</f>
        <v/>
      </c>
      <c r="W1773" s="19">
        <f>IF($I1773="","",IF(ISNUMBER($I1773),TEXT($I1773,"0"),$I1773))</f>
        <v/>
      </c>
    </row>
    <row r="1774">
      <c r="B1774" s="25" t="n"/>
      <c r="I1774" s="25" t="n"/>
      <c r="U1774" s="19">
        <f>IF($V1774&lt;&gt;'設定'!$C$4,N(U1773),IF(OR(NOT(COUNTIF('商品マスタ'!$B$6:$B$1005,$W1774)=0),COUNTIFS('①在庫を貼る'!$V$6:$V$10005,$V1774,'①在庫を貼る'!$W$6:$W$10005,$W1774)&gt;0),N(U1773),N(U1773)+1))</f>
        <v/>
      </c>
      <c r="V1774" s="19">
        <f>IF($B1774="","",TEXT($B1774,"0000"))</f>
        <v/>
      </c>
      <c r="W1774" s="19">
        <f>IF($I1774="","",IF(ISNUMBER($I1774),TEXT($I1774,"0"),$I1774))</f>
        <v/>
      </c>
    </row>
    <row r="1775">
      <c r="B1775" s="25" t="n"/>
      <c r="I1775" s="25" t="n"/>
      <c r="U1775" s="19">
        <f>IF($V1775&lt;&gt;'設定'!$C$4,N(U1774),IF(OR(NOT(COUNTIF('商品マスタ'!$B$6:$B$1005,$W1775)=0),COUNTIFS('①在庫を貼る'!$V$6:$V$10005,$V1775,'①在庫を貼る'!$W$6:$W$10005,$W1775)&gt;0),N(U1774),N(U1774)+1))</f>
        <v/>
      </c>
      <c r="V1775" s="19">
        <f>IF($B1775="","",TEXT($B1775,"0000"))</f>
        <v/>
      </c>
      <c r="W1775" s="19">
        <f>IF($I1775="","",IF(ISNUMBER($I1775),TEXT($I1775,"0"),$I1775))</f>
        <v/>
      </c>
    </row>
    <row r="1776">
      <c r="B1776" s="25" t="n"/>
      <c r="I1776" s="25" t="n"/>
      <c r="U1776" s="19">
        <f>IF($V1776&lt;&gt;'設定'!$C$4,N(U1775),IF(OR(NOT(COUNTIF('商品マスタ'!$B$6:$B$1005,$W1776)=0),COUNTIFS('①在庫を貼る'!$V$6:$V$10005,$V1776,'①在庫を貼る'!$W$6:$W$10005,$W1776)&gt;0),N(U1775),N(U1775)+1))</f>
        <v/>
      </c>
      <c r="V1776" s="19">
        <f>IF($B1776="","",TEXT($B1776,"0000"))</f>
        <v/>
      </c>
      <c r="W1776" s="19">
        <f>IF($I1776="","",IF(ISNUMBER($I1776),TEXT($I1776,"0"),$I1776))</f>
        <v/>
      </c>
    </row>
    <row r="1777">
      <c r="B1777" s="25" t="n"/>
      <c r="I1777" s="25" t="n"/>
      <c r="U1777" s="19">
        <f>IF($V1777&lt;&gt;'設定'!$C$4,N(U1776),IF(OR(NOT(COUNTIF('商品マスタ'!$B$6:$B$1005,$W1777)=0),COUNTIFS('①在庫を貼る'!$V$6:$V$10005,$V1777,'①在庫を貼る'!$W$6:$W$10005,$W1777)&gt;0),N(U1776),N(U1776)+1))</f>
        <v/>
      </c>
      <c r="V1777" s="19">
        <f>IF($B1777="","",TEXT($B1777,"0000"))</f>
        <v/>
      </c>
      <c r="W1777" s="19">
        <f>IF($I1777="","",IF(ISNUMBER($I1777),TEXT($I1777,"0"),$I1777))</f>
        <v/>
      </c>
    </row>
    <row r="1778">
      <c r="B1778" s="25" t="n"/>
      <c r="I1778" s="25" t="n"/>
      <c r="U1778" s="19">
        <f>IF($V1778&lt;&gt;'設定'!$C$4,N(U1777),IF(OR(NOT(COUNTIF('商品マスタ'!$B$6:$B$1005,$W1778)=0),COUNTIFS('①在庫を貼る'!$V$6:$V$10005,$V1778,'①在庫を貼る'!$W$6:$W$10005,$W1778)&gt;0),N(U1777),N(U1777)+1))</f>
        <v/>
      </c>
      <c r="V1778" s="19">
        <f>IF($B1778="","",TEXT($B1778,"0000"))</f>
        <v/>
      </c>
      <c r="W1778" s="19">
        <f>IF($I1778="","",IF(ISNUMBER($I1778),TEXT($I1778,"0"),$I1778))</f>
        <v/>
      </c>
    </row>
    <row r="1779">
      <c r="B1779" s="25" t="n"/>
      <c r="I1779" s="25" t="n"/>
      <c r="U1779" s="19">
        <f>IF($V1779&lt;&gt;'設定'!$C$4,N(U1778),IF(OR(NOT(COUNTIF('商品マスタ'!$B$6:$B$1005,$W1779)=0),COUNTIFS('①在庫を貼る'!$V$6:$V$10005,$V1779,'①在庫を貼る'!$W$6:$W$10005,$W1779)&gt;0),N(U1778),N(U1778)+1))</f>
        <v/>
      </c>
      <c r="V1779" s="19">
        <f>IF($B1779="","",TEXT($B1779,"0000"))</f>
        <v/>
      </c>
      <c r="W1779" s="19">
        <f>IF($I1779="","",IF(ISNUMBER($I1779),TEXT($I1779,"0"),$I1779))</f>
        <v/>
      </c>
    </row>
    <row r="1780">
      <c r="B1780" s="25" t="n"/>
      <c r="I1780" s="25" t="n"/>
      <c r="U1780" s="19">
        <f>IF($V1780&lt;&gt;'設定'!$C$4,N(U1779),IF(OR(NOT(COUNTIF('商品マスタ'!$B$6:$B$1005,$W1780)=0),COUNTIFS('①在庫を貼る'!$V$6:$V$10005,$V1780,'①在庫を貼る'!$W$6:$W$10005,$W1780)&gt;0),N(U1779),N(U1779)+1))</f>
        <v/>
      </c>
      <c r="V1780" s="19">
        <f>IF($B1780="","",TEXT($B1780,"0000"))</f>
        <v/>
      </c>
      <c r="W1780" s="19">
        <f>IF($I1780="","",IF(ISNUMBER($I1780),TEXT($I1780,"0"),$I1780))</f>
        <v/>
      </c>
    </row>
    <row r="1781">
      <c r="B1781" s="25" t="n"/>
      <c r="I1781" s="25" t="n"/>
      <c r="U1781" s="19">
        <f>IF($V1781&lt;&gt;'設定'!$C$4,N(U1780),IF(OR(NOT(COUNTIF('商品マスタ'!$B$6:$B$1005,$W1781)=0),COUNTIFS('①在庫を貼る'!$V$6:$V$10005,$V1781,'①在庫を貼る'!$W$6:$W$10005,$W1781)&gt;0),N(U1780),N(U1780)+1))</f>
        <v/>
      </c>
      <c r="V1781" s="19">
        <f>IF($B1781="","",TEXT($B1781,"0000"))</f>
        <v/>
      </c>
      <c r="W1781" s="19">
        <f>IF($I1781="","",IF(ISNUMBER($I1781),TEXT($I1781,"0"),$I1781))</f>
        <v/>
      </c>
    </row>
    <row r="1782">
      <c r="B1782" s="25" t="n"/>
      <c r="I1782" s="25" t="n"/>
      <c r="U1782" s="19">
        <f>IF($V1782&lt;&gt;'設定'!$C$4,N(U1781),IF(OR(NOT(COUNTIF('商品マスタ'!$B$6:$B$1005,$W1782)=0),COUNTIFS('①在庫を貼る'!$V$6:$V$10005,$V1782,'①在庫を貼る'!$W$6:$W$10005,$W1782)&gt;0),N(U1781),N(U1781)+1))</f>
        <v/>
      </c>
      <c r="V1782" s="19">
        <f>IF($B1782="","",TEXT($B1782,"0000"))</f>
        <v/>
      </c>
      <c r="W1782" s="19">
        <f>IF($I1782="","",IF(ISNUMBER($I1782),TEXT($I1782,"0"),$I1782))</f>
        <v/>
      </c>
    </row>
    <row r="1783">
      <c r="B1783" s="25" t="n"/>
      <c r="I1783" s="25" t="n"/>
      <c r="U1783" s="19">
        <f>IF($V1783&lt;&gt;'設定'!$C$4,N(U1782),IF(OR(NOT(COUNTIF('商品マスタ'!$B$6:$B$1005,$W1783)=0),COUNTIFS('①在庫を貼る'!$V$6:$V$10005,$V1783,'①在庫を貼る'!$W$6:$W$10005,$W1783)&gt;0),N(U1782),N(U1782)+1))</f>
        <v/>
      </c>
      <c r="V1783" s="19">
        <f>IF($B1783="","",TEXT($B1783,"0000"))</f>
        <v/>
      </c>
      <c r="W1783" s="19">
        <f>IF($I1783="","",IF(ISNUMBER($I1783),TEXT($I1783,"0"),$I1783))</f>
        <v/>
      </c>
    </row>
    <row r="1784">
      <c r="B1784" s="25" t="n"/>
      <c r="I1784" s="25" t="n"/>
      <c r="U1784" s="19">
        <f>IF($V1784&lt;&gt;'設定'!$C$4,N(U1783),IF(OR(NOT(COUNTIF('商品マスタ'!$B$6:$B$1005,$W1784)=0),COUNTIFS('①在庫を貼る'!$V$6:$V$10005,$V1784,'①在庫を貼る'!$W$6:$W$10005,$W1784)&gt;0),N(U1783),N(U1783)+1))</f>
        <v/>
      </c>
      <c r="V1784" s="19">
        <f>IF($B1784="","",TEXT($B1784,"0000"))</f>
        <v/>
      </c>
      <c r="W1784" s="19">
        <f>IF($I1784="","",IF(ISNUMBER($I1784),TEXT($I1784,"0"),$I1784))</f>
        <v/>
      </c>
    </row>
    <row r="1785">
      <c r="B1785" s="25" t="n"/>
      <c r="I1785" s="25" t="n"/>
      <c r="U1785" s="19">
        <f>IF($V1785&lt;&gt;'設定'!$C$4,N(U1784),IF(OR(NOT(COUNTIF('商品マスタ'!$B$6:$B$1005,$W1785)=0),COUNTIFS('①在庫を貼る'!$V$6:$V$10005,$V1785,'①在庫を貼る'!$W$6:$W$10005,$W1785)&gt;0),N(U1784),N(U1784)+1))</f>
        <v/>
      </c>
      <c r="V1785" s="19">
        <f>IF($B1785="","",TEXT($B1785,"0000"))</f>
        <v/>
      </c>
      <c r="W1785" s="19">
        <f>IF($I1785="","",IF(ISNUMBER($I1785),TEXT($I1785,"0"),$I1785))</f>
        <v/>
      </c>
    </row>
    <row r="1786">
      <c r="B1786" s="25" t="n"/>
      <c r="I1786" s="25" t="n"/>
      <c r="U1786" s="19">
        <f>IF($V1786&lt;&gt;'設定'!$C$4,N(U1785),IF(OR(NOT(COUNTIF('商品マスタ'!$B$6:$B$1005,$W1786)=0),COUNTIFS('①在庫を貼る'!$V$6:$V$10005,$V1786,'①在庫を貼る'!$W$6:$W$10005,$W1786)&gt;0),N(U1785),N(U1785)+1))</f>
        <v/>
      </c>
      <c r="V1786" s="19">
        <f>IF($B1786="","",TEXT($B1786,"0000"))</f>
        <v/>
      </c>
      <c r="W1786" s="19">
        <f>IF($I1786="","",IF(ISNUMBER($I1786),TEXT($I1786,"0"),$I1786))</f>
        <v/>
      </c>
    </row>
    <row r="1787">
      <c r="B1787" s="25" t="n"/>
      <c r="I1787" s="25" t="n"/>
      <c r="U1787" s="19">
        <f>IF($V1787&lt;&gt;'設定'!$C$4,N(U1786),IF(OR(NOT(COUNTIF('商品マスタ'!$B$6:$B$1005,$W1787)=0),COUNTIFS('①在庫を貼る'!$V$6:$V$10005,$V1787,'①在庫を貼る'!$W$6:$W$10005,$W1787)&gt;0),N(U1786),N(U1786)+1))</f>
        <v/>
      </c>
      <c r="V1787" s="19">
        <f>IF($B1787="","",TEXT($B1787,"0000"))</f>
        <v/>
      </c>
      <c r="W1787" s="19">
        <f>IF($I1787="","",IF(ISNUMBER($I1787),TEXT($I1787,"0"),$I1787))</f>
        <v/>
      </c>
    </row>
    <row r="1788">
      <c r="B1788" s="25" t="n"/>
      <c r="I1788" s="25" t="n"/>
      <c r="U1788" s="19">
        <f>IF($V1788&lt;&gt;'設定'!$C$4,N(U1787),IF(OR(NOT(COUNTIF('商品マスタ'!$B$6:$B$1005,$W1788)=0),COUNTIFS('①在庫を貼る'!$V$6:$V$10005,$V1788,'①在庫を貼る'!$W$6:$W$10005,$W1788)&gt;0),N(U1787),N(U1787)+1))</f>
        <v/>
      </c>
      <c r="V1788" s="19">
        <f>IF($B1788="","",TEXT($B1788,"0000"))</f>
        <v/>
      </c>
      <c r="W1788" s="19">
        <f>IF($I1788="","",IF(ISNUMBER($I1788),TEXT($I1788,"0"),$I1788))</f>
        <v/>
      </c>
    </row>
    <row r="1789">
      <c r="B1789" s="25" t="n"/>
      <c r="I1789" s="25" t="n"/>
      <c r="U1789" s="19">
        <f>IF($V1789&lt;&gt;'設定'!$C$4,N(U1788),IF(OR(NOT(COUNTIF('商品マスタ'!$B$6:$B$1005,$W1789)=0),COUNTIFS('①在庫を貼る'!$V$6:$V$10005,$V1789,'①在庫を貼る'!$W$6:$W$10005,$W1789)&gt;0),N(U1788),N(U1788)+1))</f>
        <v/>
      </c>
      <c r="V1789" s="19">
        <f>IF($B1789="","",TEXT($B1789,"0000"))</f>
        <v/>
      </c>
      <c r="W1789" s="19">
        <f>IF($I1789="","",IF(ISNUMBER($I1789),TEXT($I1789,"0"),$I1789))</f>
        <v/>
      </c>
    </row>
    <row r="1790">
      <c r="B1790" s="25" t="n"/>
      <c r="I1790" s="25" t="n"/>
      <c r="U1790" s="19">
        <f>IF($V1790&lt;&gt;'設定'!$C$4,N(U1789),IF(OR(NOT(COUNTIF('商品マスタ'!$B$6:$B$1005,$W1790)=0),COUNTIFS('①在庫を貼る'!$V$6:$V$10005,$V1790,'①在庫を貼る'!$W$6:$W$10005,$W1790)&gt;0),N(U1789),N(U1789)+1))</f>
        <v/>
      </c>
      <c r="V1790" s="19">
        <f>IF($B1790="","",TEXT($B1790,"0000"))</f>
        <v/>
      </c>
      <c r="W1790" s="19">
        <f>IF($I1790="","",IF(ISNUMBER($I1790),TEXT($I1790,"0"),$I1790))</f>
        <v/>
      </c>
    </row>
    <row r="1791">
      <c r="B1791" s="25" t="n"/>
      <c r="I1791" s="25" t="n"/>
      <c r="U1791" s="19">
        <f>IF($V1791&lt;&gt;'設定'!$C$4,N(U1790),IF(OR(NOT(COUNTIF('商品マスタ'!$B$6:$B$1005,$W1791)=0),COUNTIFS('①在庫を貼る'!$V$6:$V$10005,$V1791,'①在庫を貼る'!$W$6:$W$10005,$W1791)&gt;0),N(U1790),N(U1790)+1))</f>
        <v/>
      </c>
      <c r="V1791" s="19">
        <f>IF($B1791="","",TEXT($B1791,"0000"))</f>
        <v/>
      </c>
      <c r="W1791" s="19">
        <f>IF($I1791="","",IF(ISNUMBER($I1791),TEXT($I1791,"0"),$I1791))</f>
        <v/>
      </c>
    </row>
    <row r="1792">
      <c r="B1792" s="25" t="n"/>
      <c r="I1792" s="25" t="n"/>
      <c r="U1792" s="19">
        <f>IF($V1792&lt;&gt;'設定'!$C$4,N(U1791),IF(OR(NOT(COUNTIF('商品マスタ'!$B$6:$B$1005,$W1792)=0),COUNTIFS('①在庫を貼る'!$V$6:$V$10005,$V1792,'①在庫を貼る'!$W$6:$W$10005,$W1792)&gt;0),N(U1791),N(U1791)+1))</f>
        <v/>
      </c>
      <c r="V1792" s="19">
        <f>IF($B1792="","",TEXT($B1792,"0000"))</f>
        <v/>
      </c>
      <c r="W1792" s="19">
        <f>IF($I1792="","",IF(ISNUMBER($I1792),TEXT($I1792,"0"),$I1792))</f>
        <v/>
      </c>
    </row>
    <row r="1793">
      <c r="B1793" s="25" t="n"/>
      <c r="I1793" s="25" t="n"/>
      <c r="U1793" s="19">
        <f>IF($V1793&lt;&gt;'設定'!$C$4,N(U1792),IF(OR(NOT(COUNTIF('商品マスタ'!$B$6:$B$1005,$W1793)=0),COUNTIFS('①在庫を貼る'!$V$6:$V$10005,$V1793,'①在庫を貼る'!$W$6:$W$10005,$W1793)&gt;0),N(U1792),N(U1792)+1))</f>
        <v/>
      </c>
      <c r="V1793" s="19">
        <f>IF($B1793="","",TEXT($B1793,"0000"))</f>
        <v/>
      </c>
      <c r="W1793" s="19">
        <f>IF($I1793="","",IF(ISNUMBER($I1793),TEXT($I1793,"0"),$I1793))</f>
        <v/>
      </c>
    </row>
    <row r="1794">
      <c r="B1794" s="25" t="n"/>
      <c r="I1794" s="25" t="n"/>
      <c r="U1794" s="19">
        <f>IF($V1794&lt;&gt;'設定'!$C$4,N(U1793),IF(OR(NOT(COUNTIF('商品マスタ'!$B$6:$B$1005,$W1794)=0),COUNTIFS('①在庫を貼る'!$V$6:$V$10005,$V1794,'①在庫を貼る'!$W$6:$W$10005,$W1794)&gt;0),N(U1793),N(U1793)+1))</f>
        <v/>
      </c>
      <c r="V1794" s="19">
        <f>IF($B1794="","",TEXT($B1794,"0000"))</f>
        <v/>
      </c>
      <c r="W1794" s="19">
        <f>IF($I1794="","",IF(ISNUMBER($I1794),TEXT($I1794,"0"),$I1794))</f>
        <v/>
      </c>
    </row>
    <row r="1795">
      <c r="B1795" s="25" t="n"/>
      <c r="I1795" s="25" t="n"/>
      <c r="U1795" s="19">
        <f>IF($V1795&lt;&gt;'設定'!$C$4,N(U1794),IF(OR(NOT(COUNTIF('商品マスタ'!$B$6:$B$1005,$W1795)=0),COUNTIFS('①在庫を貼る'!$V$6:$V$10005,$V1795,'①在庫を貼る'!$W$6:$W$10005,$W1795)&gt;0),N(U1794),N(U1794)+1))</f>
        <v/>
      </c>
      <c r="V1795" s="19">
        <f>IF($B1795="","",TEXT($B1795,"0000"))</f>
        <v/>
      </c>
      <c r="W1795" s="19">
        <f>IF($I1795="","",IF(ISNUMBER($I1795),TEXT($I1795,"0"),$I1795))</f>
        <v/>
      </c>
    </row>
    <row r="1796">
      <c r="B1796" s="25" t="n"/>
      <c r="I1796" s="25" t="n"/>
      <c r="U1796" s="19">
        <f>IF($V1796&lt;&gt;'設定'!$C$4,N(U1795),IF(OR(NOT(COUNTIF('商品マスタ'!$B$6:$B$1005,$W1796)=0),COUNTIFS('①在庫を貼る'!$V$6:$V$10005,$V1796,'①在庫を貼る'!$W$6:$W$10005,$W1796)&gt;0),N(U1795),N(U1795)+1))</f>
        <v/>
      </c>
      <c r="V1796" s="19">
        <f>IF($B1796="","",TEXT($B1796,"0000"))</f>
        <v/>
      </c>
      <c r="W1796" s="19">
        <f>IF($I1796="","",IF(ISNUMBER($I1796),TEXT($I1796,"0"),$I1796))</f>
        <v/>
      </c>
    </row>
    <row r="1797">
      <c r="B1797" s="25" t="n"/>
      <c r="I1797" s="25" t="n"/>
      <c r="U1797" s="19">
        <f>IF($V1797&lt;&gt;'設定'!$C$4,N(U1796),IF(OR(NOT(COUNTIF('商品マスタ'!$B$6:$B$1005,$W1797)=0),COUNTIFS('①在庫を貼る'!$V$6:$V$10005,$V1797,'①在庫を貼る'!$W$6:$W$10005,$W1797)&gt;0),N(U1796),N(U1796)+1))</f>
        <v/>
      </c>
      <c r="V1797" s="19">
        <f>IF($B1797="","",TEXT($B1797,"0000"))</f>
        <v/>
      </c>
      <c r="W1797" s="19">
        <f>IF($I1797="","",IF(ISNUMBER($I1797),TEXT($I1797,"0"),$I1797))</f>
        <v/>
      </c>
    </row>
    <row r="1798">
      <c r="B1798" s="25" t="n"/>
      <c r="I1798" s="25" t="n"/>
      <c r="U1798" s="19">
        <f>IF($V1798&lt;&gt;'設定'!$C$4,N(U1797),IF(OR(NOT(COUNTIF('商品マスタ'!$B$6:$B$1005,$W1798)=0),COUNTIFS('①在庫を貼る'!$V$6:$V$10005,$V1798,'①在庫を貼る'!$W$6:$W$10005,$W1798)&gt;0),N(U1797),N(U1797)+1))</f>
        <v/>
      </c>
      <c r="V1798" s="19">
        <f>IF($B1798="","",TEXT($B1798,"0000"))</f>
        <v/>
      </c>
      <c r="W1798" s="19">
        <f>IF($I1798="","",IF(ISNUMBER($I1798),TEXT($I1798,"0"),$I1798))</f>
        <v/>
      </c>
    </row>
    <row r="1799">
      <c r="B1799" s="25" t="n"/>
      <c r="I1799" s="25" t="n"/>
      <c r="U1799" s="19">
        <f>IF($V1799&lt;&gt;'設定'!$C$4,N(U1798),IF(OR(NOT(COUNTIF('商品マスタ'!$B$6:$B$1005,$W1799)=0),COUNTIFS('①在庫を貼る'!$V$6:$V$10005,$V1799,'①在庫を貼る'!$W$6:$W$10005,$W1799)&gt;0),N(U1798),N(U1798)+1))</f>
        <v/>
      </c>
      <c r="V1799" s="19">
        <f>IF($B1799="","",TEXT($B1799,"0000"))</f>
        <v/>
      </c>
      <c r="W1799" s="19">
        <f>IF($I1799="","",IF(ISNUMBER($I1799),TEXT($I1799,"0"),$I1799))</f>
        <v/>
      </c>
    </row>
    <row r="1800">
      <c r="B1800" s="25" t="n"/>
      <c r="I1800" s="25" t="n"/>
      <c r="U1800" s="19">
        <f>IF($V1800&lt;&gt;'設定'!$C$4,N(U1799),IF(OR(NOT(COUNTIF('商品マスタ'!$B$6:$B$1005,$W1800)=0),COUNTIFS('①在庫を貼る'!$V$6:$V$10005,$V1800,'①在庫を貼る'!$W$6:$W$10005,$W1800)&gt;0),N(U1799),N(U1799)+1))</f>
        <v/>
      </c>
      <c r="V1800" s="19">
        <f>IF($B1800="","",TEXT($B1800,"0000"))</f>
        <v/>
      </c>
      <c r="W1800" s="19">
        <f>IF($I1800="","",IF(ISNUMBER($I1800),TEXT($I1800,"0"),$I1800))</f>
        <v/>
      </c>
    </row>
    <row r="1801">
      <c r="B1801" s="25" t="n"/>
      <c r="I1801" s="25" t="n"/>
      <c r="U1801" s="19">
        <f>IF($V1801&lt;&gt;'設定'!$C$4,N(U1800),IF(OR(NOT(COUNTIF('商品マスタ'!$B$6:$B$1005,$W1801)=0),COUNTIFS('①在庫を貼る'!$V$6:$V$10005,$V1801,'①在庫を貼る'!$W$6:$W$10005,$W1801)&gt;0),N(U1800),N(U1800)+1))</f>
        <v/>
      </c>
      <c r="V1801" s="19">
        <f>IF($B1801="","",TEXT($B1801,"0000"))</f>
        <v/>
      </c>
      <c r="W1801" s="19">
        <f>IF($I1801="","",IF(ISNUMBER($I1801),TEXT($I1801,"0"),$I1801))</f>
        <v/>
      </c>
    </row>
    <row r="1802">
      <c r="B1802" s="25" t="n"/>
      <c r="I1802" s="25" t="n"/>
      <c r="U1802" s="19">
        <f>IF($V1802&lt;&gt;'設定'!$C$4,N(U1801),IF(OR(NOT(COUNTIF('商品マスタ'!$B$6:$B$1005,$W1802)=0),COUNTIFS('①在庫を貼る'!$V$6:$V$10005,$V1802,'①在庫を貼る'!$W$6:$W$10005,$W1802)&gt;0),N(U1801),N(U1801)+1))</f>
        <v/>
      </c>
      <c r="V1802" s="19">
        <f>IF($B1802="","",TEXT($B1802,"0000"))</f>
        <v/>
      </c>
      <c r="W1802" s="19">
        <f>IF($I1802="","",IF(ISNUMBER($I1802),TEXT($I1802,"0"),$I1802))</f>
        <v/>
      </c>
    </row>
    <row r="1803">
      <c r="B1803" s="25" t="n"/>
      <c r="I1803" s="25" t="n"/>
      <c r="U1803" s="19">
        <f>IF($V1803&lt;&gt;'設定'!$C$4,N(U1802),IF(OR(NOT(COUNTIF('商品マスタ'!$B$6:$B$1005,$W1803)=0),COUNTIFS('①在庫を貼る'!$V$6:$V$10005,$V1803,'①在庫を貼る'!$W$6:$W$10005,$W1803)&gt;0),N(U1802),N(U1802)+1))</f>
        <v/>
      </c>
      <c r="V1803" s="19">
        <f>IF($B1803="","",TEXT($B1803,"0000"))</f>
        <v/>
      </c>
      <c r="W1803" s="19">
        <f>IF($I1803="","",IF(ISNUMBER($I1803),TEXT($I1803,"0"),$I1803))</f>
        <v/>
      </c>
    </row>
    <row r="1804">
      <c r="B1804" s="25" t="n"/>
      <c r="I1804" s="25" t="n"/>
      <c r="U1804" s="19">
        <f>IF($V1804&lt;&gt;'設定'!$C$4,N(U1803),IF(OR(NOT(COUNTIF('商品マスタ'!$B$6:$B$1005,$W1804)=0),COUNTIFS('①在庫を貼る'!$V$6:$V$10005,$V1804,'①在庫を貼る'!$W$6:$W$10005,$W1804)&gt;0),N(U1803),N(U1803)+1))</f>
        <v/>
      </c>
      <c r="V1804" s="19">
        <f>IF($B1804="","",TEXT($B1804,"0000"))</f>
        <v/>
      </c>
      <c r="W1804" s="19">
        <f>IF($I1804="","",IF(ISNUMBER($I1804),TEXT($I1804,"0"),$I1804))</f>
        <v/>
      </c>
    </row>
    <row r="1805">
      <c r="B1805" s="25" t="n"/>
      <c r="I1805" s="25" t="n"/>
      <c r="U1805" s="19">
        <f>IF($V1805&lt;&gt;'設定'!$C$4,N(U1804),IF(OR(NOT(COUNTIF('商品マスタ'!$B$6:$B$1005,$W1805)=0),COUNTIFS('①在庫を貼る'!$V$6:$V$10005,$V1805,'①在庫を貼る'!$W$6:$W$10005,$W1805)&gt;0),N(U1804),N(U1804)+1))</f>
        <v/>
      </c>
      <c r="V1805" s="19">
        <f>IF($B1805="","",TEXT($B1805,"0000"))</f>
        <v/>
      </c>
      <c r="W1805" s="19">
        <f>IF($I1805="","",IF(ISNUMBER($I1805),TEXT($I1805,"0"),$I1805))</f>
        <v/>
      </c>
    </row>
    <row r="1806">
      <c r="B1806" s="25" t="n"/>
      <c r="I1806" s="25" t="n"/>
      <c r="U1806" s="19">
        <f>IF($V1806&lt;&gt;'設定'!$C$4,N(U1805),IF(OR(NOT(COUNTIF('商品マスタ'!$B$6:$B$1005,$W1806)=0),COUNTIFS('①在庫を貼る'!$V$6:$V$10005,$V1806,'①在庫を貼る'!$W$6:$W$10005,$W1806)&gt;0),N(U1805),N(U1805)+1))</f>
        <v/>
      </c>
      <c r="V1806" s="19">
        <f>IF($B1806="","",TEXT($B1806,"0000"))</f>
        <v/>
      </c>
      <c r="W1806" s="19">
        <f>IF($I1806="","",IF(ISNUMBER($I1806),TEXT($I1806,"0"),$I1806))</f>
        <v/>
      </c>
    </row>
    <row r="1807">
      <c r="B1807" s="25" t="n"/>
      <c r="I1807" s="25" t="n"/>
      <c r="U1807" s="19">
        <f>IF($V1807&lt;&gt;'設定'!$C$4,N(U1806),IF(OR(NOT(COUNTIF('商品マスタ'!$B$6:$B$1005,$W1807)=0),COUNTIFS('①在庫を貼る'!$V$6:$V$10005,$V1807,'①在庫を貼る'!$W$6:$W$10005,$W1807)&gt;0),N(U1806),N(U1806)+1))</f>
        <v/>
      </c>
      <c r="V1807" s="19">
        <f>IF($B1807="","",TEXT($B1807,"0000"))</f>
        <v/>
      </c>
      <c r="W1807" s="19">
        <f>IF($I1807="","",IF(ISNUMBER($I1807),TEXT($I1807,"0"),$I1807))</f>
        <v/>
      </c>
    </row>
    <row r="1808">
      <c r="B1808" s="25" t="n"/>
      <c r="I1808" s="25" t="n"/>
      <c r="U1808" s="19">
        <f>IF($V1808&lt;&gt;'設定'!$C$4,N(U1807),IF(OR(NOT(COUNTIF('商品マスタ'!$B$6:$B$1005,$W1808)=0),COUNTIFS('①在庫を貼る'!$V$6:$V$10005,$V1808,'①在庫を貼る'!$W$6:$W$10005,$W1808)&gt;0),N(U1807),N(U1807)+1))</f>
        <v/>
      </c>
      <c r="V1808" s="19">
        <f>IF($B1808="","",TEXT($B1808,"0000"))</f>
        <v/>
      </c>
      <c r="W1808" s="19">
        <f>IF($I1808="","",IF(ISNUMBER($I1808),TEXT($I1808,"0"),$I1808))</f>
        <v/>
      </c>
    </row>
    <row r="1809">
      <c r="B1809" s="25" t="n"/>
      <c r="I1809" s="25" t="n"/>
      <c r="U1809" s="19">
        <f>IF($V1809&lt;&gt;'設定'!$C$4,N(U1808),IF(OR(NOT(COUNTIF('商品マスタ'!$B$6:$B$1005,$W1809)=0),COUNTIFS('①在庫を貼る'!$V$6:$V$10005,$V1809,'①在庫を貼る'!$W$6:$W$10005,$W1809)&gt;0),N(U1808),N(U1808)+1))</f>
        <v/>
      </c>
      <c r="V1809" s="19">
        <f>IF($B1809="","",TEXT($B1809,"0000"))</f>
        <v/>
      </c>
      <c r="W1809" s="19">
        <f>IF($I1809="","",IF(ISNUMBER($I1809),TEXT($I1809,"0"),$I1809))</f>
        <v/>
      </c>
    </row>
    <row r="1810">
      <c r="B1810" s="25" t="n"/>
      <c r="I1810" s="25" t="n"/>
      <c r="U1810" s="19">
        <f>IF($V1810&lt;&gt;'設定'!$C$4,N(U1809),IF(OR(NOT(COUNTIF('商品マスタ'!$B$6:$B$1005,$W1810)=0),COUNTIFS('①在庫を貼る'!$V$6:$V$10005,$V1810,'①在庫を貼る'!$W$6:$W$10005,$W1810)&gt;0),N(U1809),N(U1809)+1))</f>
        <v/>
      </c>
      <c r="V1810" s="19">
        <f>IF($B1810="","",TEXT($B1810,"0000"))</f>
        <v/>
      </c>
      <c r="W1810" s="19">
        <f>IF($I1810="","",IF(ISNUMBER($I1810),TEXT($I1810,"0"),$I1810))</f>
        <v/>
      </c>
    </row>
    <row r="1811">
      <c r="B1811" s="25" t="n"/>
      <c r="I1811" s="25" t="n"/>
      <c r="U1811" s="19">
        <f>IF($V1811&lt;&gt;'設定'!$C$4,N(U1810),IF(OR(NOT(COUNTIF('商品マスタ'!$B$6:$B$1005,$W1811)=0),COUNTIFS('①在庫を貼る'!$V$6:$V$10005,$V1811,'①在庫を貼る'!$W$6:$W$10005,$W1811)&gt;0),N(U1810),N(U1810)+1))</f>
        <v/>
      </c>
      <c r="V1811" s="19">
        <f>IF($B1811="","",TEXT($B1811,"0000"))</f>
        <v/>
      </c>
      <c r="W1811" s="19">
        <f>IF($I1811="","",IF(ISNUMBER($I1811),TEXT($I1811,"0"),$I1811))</f>
        <v/>
      </c>
    </row>
    <row r="1812">
      <c r="B1812" s="25" t="n"/>
      <c r="I1812" s="25" t="n"/>
      <c r="U1812" s="19">
        <f>IF($V1812&lt;&gt;'設定'!$C$4,N(U1811),IF(OR(NOT(COUNTIF('商品マスタ'!$B$6:$B$1005,$W1812)=0),COUNTIFS('①在庫を貼る'!$V$6:$V$10005,$V1812,'①在庫を貼る'!$W$6:$W$10005,$W1812)&gt;0),N(U1811),N(U1811)+1))</f>
        <v/>
      </c>
      <c r="V1812" s="19">
        <f>IF($B1812="","",TEXT($B1812,"0000"))</f>
        <v/>
      </c>
      <c r="W1812" s="19">
        <f>IF($I1812="","",IF(ISNUMBER($I1812),TEXT($I1812,"0"),$I1812))</f>
        <v/>
      </c>
    </row>
    <row r="1813">
      <c r="B1813" s="25" t="n"/>
      <c r="I1813" s="25" t="n"/>
      <c r="U1813" s="19">
        <f>IF($V1813&lt;&gt;'設定'!$C$4,N(U1812),IF(OR(NOT(COUNTIF('商品マスタ'!$B$6:$B$1005,$W1813)=0),COUNTIFS('①在庫を貼る'!$V$6:$V$10005,$V1813,'①在庫を貼る'!$W$6:$W$10005,$W1813)&gt;0),N(U1812),N(U1812)+1))</f>
        <v/>
      </c>
      <c r="V1813" s="19">
        <f>IF($B1813="","",TEXT($B1813,"0000"))</f>
        <v/>
      </c>
      <c r="W1813" s="19">
        <f>IF($I1813="","",IF(ISNUMBER($I1813),TEXT($I1813,"0"),$I1813))</f>
        <v/>
      </c>
    </row>
    <row r="1814">
      <c r="B1814" s="25" t="n"/>
      <c r="I1814" s="25" t="n"/>
      <c r="U1814" s="19">
        <f>IF($V1814&lt;&gt;'設定'!$C$4,N(U1813),IF(OR(NOT(COUNTIF('商品マスタ'!$B$6:$B$1005,$W1814)=0),COUNTIFS('①在庫を貼る'!$V$6:$V$10005,$V1814,'①在庫を貼る'!$W$6:$W$10005,$W1814)&gt;0),N(U1813),N(U1813)+1))</f>
        <v/>
      </c>
      <c r="V1814" s="19">
        <f>IF($B1814="","",TEXT($B1814,"0000"))</f>
        <v/>
      </c>
      <c r="W1814" s="19">
        <f>IF($I1814="","",IF(ISNUMBER($I1814),TEXT($I1814,"0"),$I1814))</f>
        <v/>
      </c>
    </row>
    <row r="1815">
      <c r="B1815" s="25" t="n"/>
      <c r="I1815" s="25" t="n"/>
      <c r="U1815" s="19">
        <f>IF($V1815&lt;&gt;'設定'!$C$4,N(U1814),IF(OR(NOT(COUNTIF('商品マスタ'!$B$6:$B$1005,$W1815)=0),COUNTIFS('①在庫を貼る'!$V$6:$V$10005,$V1815,'①在庫を貼る'!$W$6:$W$10005,$W1815)&gt;0),N(U1814),N(U1814)+1))</f>
        <v/>
      </c>
      <c r="V1815" s="19">
        <f>IF($B1815="","",TEXT($B1815,"0000"))</f>
        <v/>
      </c>
      <c r="W1815" s="19">
        <f>IF($I1815="","",IF(ISNUMBER($I1815),TEXT($I1815,"0"),$I1815))</f>
        <v/>
      </c>
    </row>
    <row r="1816">
      <c r="B1816" s="25" t="n"/>
      <c r="I1816" s="25" t="n"/>
      <c r="U1816" s="19">
        <f>IF($V1816&lt;&gt;'設定'!$C$4,N(U1815),IF(OR(NOT(COUNTIF('商品マスタ'!$B$6:$B$1005,$W1816)=0),COUNTIFS('①在庫を貼る'!$V$6:$V$10005,$V1816,'①在庫を貼る'!$W$6:$W$10005,$W1816)&gt;0),N(U1815),N(U1815)+1))</f>
        <v/>
      </c>
      <c r="V1816" s="19">
        <f>IF($B1816="","",TEXT($B1816,"0000"))</f>
        <v/>
      </c>
      <c r="W1816" s="19">
        <f>IF($I1816="","",IF(ISNUMBER($I1816),TEXT($I1816,"0"),$I1816))</f>
        <v/>
      </c>
    </row>
    <row r="1817">
      <c r="B1817" s="25" t="n"/>
      <c r="I1817" s="25" t="n"/>
      <c r="U1817" s="19">
        <f>IF($V1817&lt;&gt;'設定'!$C$4,N(U1816),IF(OR(NOT(COUNTIF('商品マスタ'!$B$6:$B$1005,$W1817)=0),COUNTIFS('①在庫を貼る'!$V$6:$V$10005,$V1817,'①在庫を貼る'!$W$6:$W$10005,$W1817)&gt;0),N(U1816),N(U1816)+1))</f>
        <v/>
      </c>
      <c r="V1817" s="19">
        <f>IF($B1817="","",TEXT($B1817,"0000"))</f>
        <v/>
      </c>
      <c r="W1817" s="19">
        <f>IF($I1817="","",IF(ISNUMBER($I1817),TEXT($I1817,"0"),$I1817))</f>
        <v/>
      </c>
    </row>
    <row r="1818">
      <c r="B1818" s="25" t="n"/>
      <c r="I1818" s="25" t="n"/>
      <c r="U1818" s="19">
        <f>IF($V1818&lt;&gt;'設定'!$C$4,N(U1817),IF(OR(NOT(COUNTIF('商品マスタ'!$B$6:$B$1005,$W1818)=0),COUNTIFS('①在庫を貼る'!$V$6:$V$10005,$V1818,'①在庫を貼る'!$W$6:$W$10005,$W1818)&gt;0),N(U1817),N(U1817)+1))</f>
        <v/>
      </c>
      <c r="V1818" s="19">
        <f>IF($B1818="","",TEXT($B1818,"0000"))</f>
        <v/>
      </c>
      <c r="W1818" s="19">
        <f>IF($I1818="","",IF(ISNUMBER($I1818),TEXT($I1818,"0"),$I1818))</f>
        <v/>
      </c>
    </row>
    <row r="1819">
      <c r="B1819" s="25" t="n"/>
      <c r="I1819" s="25" t="n"/>
      <c r="U1819" s="19">
        <f>IF($V1819&lt;&gt;'設定'!$C$4,N(U1818),IF(OR(NOT(COUNTIF('商品マスタ'!$B$6:$B$1005,$W1819)=0),COUNTIFS('①在庫を貼る'!$V$6:$V$10005,$V1819,'①在庫を貼る'!$W$6:$W$10005,$W1819)&gt;0),N(U1818),N(U1818)+1))</f>
        <v/>
      </c>
      <c r="V1819" s="19">
        <f>IF($B1819="","",TEXT($B1819,"0000"))</f>
        <v/>
      </c>
      <c r="W1819" s="19">
        <f>IF($I1819="","",IF(ISNUMBER($I1819),TEXT($I1819,"0"),$I1819))</f>
        <v/>
      </c>
    </row>
    <row r="1820">
      <c r="B1820" s="25" t="n"/>
      <c r="I1820" s="25" t="n"/>
      <c r="U1820" s="19">
        <f>IF($V1820&lt;&gt;'設定'!$C$4,N(U1819),IF(OR(NOT(COUNTIF('商品マスタ'!$B$6:$B$1005,$W1820)=0),COUNTIFS('①在庫を貼る'!$V$6:$V$10005,$V1820,'①在庫を貼る'!$W$6:$W$10005,$W1820)&gt;0),N(U1819),N(U1819)+1))</f>
        <v/>
      </c>
      <c r="V1820" s="19">
        <f>IF($B1820="","",TEXT($B1820,"0000"))</f>
        <v/>
      </c>
      <c r="W1820" s="19">
        <f>IF($I1820="","",IF(ISNUMBER($I1820),TEXT($I1820,"0"),$I1820))</f>
        <v/>
      </c>
    </row>
    <row r="1821">
      <c r="B1821" s="25" t="n"/>
      <c r="I1821" s="25" t="n"/>
      <c r="U1821" s="19">
        <f>IF($V1821&lt;&gt;'設定'!$C$4,N(U1820),IF(OR(NOT(COUNTIF('商品マスタ'!$B$6:$B$1005,$W1821)=0),COUNTIFS('①在庫を貼る'!$V$6:$V$10005,$V1821,'①在庫を貼る'!$W$6:$W$10005,$W1821)&gt;0),N(U1820),N(U1820)+1))</f>
        <v/>
      </c>
      <c r="V1821" s="19">
        <f>IF($B1821="","",TEXT($B1821,"0000"))</f>
        <v/>
      </c>
      <c r="W1821" s="19">
        <f>IF($I1821="","",IF(ISNUMBER($I1821),TEXT($I1821,"0"),$I1821))</f>
        <v/>
      </c>
    </row>
    <row r="1822">
      <c r="B1822" s="25" t="n"/>
      <c r="I1822" s="25" t="n"/>
      <c r="U1822" s="19">
        <f>IF($V1822&lt;&gt;'設定'!$C$4,N(U1821),IF(OR(NOT(COUNTIF('商品マスタ'!$B$6:$B$1005,$W1822)=0),COUNTIFS('①在庫を貼る'!$V$6:$V$10005,$V1822,'①在庫を貼る'!$W$6:$W$10005,$W1822)&gt;0),N(U1821),N(U1821)+1))</f>
        <v/>
      </c>
      <c r="V1822" s="19">
        <f>IF($B1822="","",TEXT($B1822,"0000"))</f>
        <v/>
      </c>
      <c r="W1822" s="19">
        <f>IF($I1822="","",IF(ISNUMBER($I1822),TEXT($I1822,"0"),$I1822))</f>
        <v/>
      </c>
    </row>
    <row r="1823">
      <c r="B1823" s="25" t="n"/>
      <c r="I1823" s="25" t="n"/>
      <c r="U1823" s="19">
        <f>IF($V1823&lt;&gt;'設定'!$C$4,N(U1822),IF(OR(NOT(COUNTIF('商品マスタ'!$B$6:$B$1005,$W1823)=0),COUNTIFS('①在庫を貼る'!$V$6:$V$10005,$V1823,'①在庫を貼る'!$W$6:$W$10005,$W1823)&gt;0),N(U1822),N(U1822)+1))</f>
        <v/>
      </c>
      <c r="V1823" s="19">
        <f>IF($B1823="","",TEXT($B1823,"0000"))</f>
        <v/>
      </c>
      <c r="W1823" s="19">
        <f>IF($I1823="","",IF(ISNUMBER($I1823),TEXT($I1823,"0"),$I1823))</f>
        <v/>
      </c>
    </row>
    <row r="1824">
      <c r="B1824" s="25" t="n"/>
      <c r="I1824" s="25" t="n"/>
      <c r="U1824" s="19">
        <f>IF($V1824&lt;&gt;'設定'!$C$4,N(U1823),IF(OR(NOT(COUNTIF('商品マスタ'!$B$6:$B$1005,$W1824)=0),COUNTIFS('①在庫を貼る'!$V$6:$V$10005,$V1824,'①在庫を貼る'!$W$6:$W$10005,$W1824)&gt;0),N(U1823),N(U1823)+1))</f>
        <v/>
      </c>
      <c r="V1824" s="19">
        <f>IF($B1824="","",TEXT($B1824,"0000"))</f>
        <v/>
      </c>
      <c r="W1824" s="19">
        <f>IF($I1824="","",IF(ISNUMBER($I1824),TEXT($I1824,"0"),$I1824))</f>
        <v/>
      </c>
    </row>
    <row r="1825">
      <c r="B1825" s="25" t="n"/>
      <c r="I1825" s="25" t="n"/>
      <c r="U1825" s="19">
        <f>IF($V1825&lt;&gt;'設定'!$C$4,N(U1824),IF(OR(NOT(COUNTIF('商品マスタ'!$B$6:$B$1005,$W1825)=0),COUNTIFS('①在庫を貼る'!$V$6:$V$10005,$V1825,'①在庫を貼る'!$W$6:$W$10005,$W1825)&gt;0),N(U1824),N(U1824)+1))</f>
        <v/>
      </c>
      <c r="V1825" s="19">
        <f>IF($B1825="","",TEXT($B1825,"0000"))</f>
        <v/>
      </c>
      <c r="W1825" s="19">
        <f>IF($I1825="","",IF(ISNUMBER($I1825),TEXT($I1825,"0"),$I1825))</f>
        <v/>
      </c>
    </row>
    <row r="1826">
      <c r="B1826" s="25" t="n"/>
      <c r="I1826" s="25" t="n"/>
      <c r="U1826" s="19">
        <f>IF($V1826&lt;&gt;'設定'!$C$4,N(U1825),IF(OR(NOT(COUNTIF('商品マスタ'!$B$6:$B$1005,$W1826)=0),COUNTIFS('①在庫を貼る'!$V$6:$V$10005,$V1826,'①在庫を貼る'!$W$6:$W$10005,$W1826)&gt;0),N(U1825),N(U1825)+1))</f>
        <v/>
      </c>
      <c r="V1826" s="19">
        <f>IF($B1826="","",TEXT($B1826,"0000"))</f>
        <v/>
      </c>
      <c r="W1826" s="19">
        <f>IF($I1826="","",IF(ISNUMBER($I1826),TEXT($I1826,"0"),$I1826))</f>
        <v/>
      </c>
    </row>
    <row r="1827">
      <c r="B1827" s="25" t="n"/>
      <c r="I1827" s="25" t="n"/>
      <c r="U1827" s="19">
        <f>IF($V1827&lt;&gt;'設定'!$C$4,N(U1826),IF(OR(NOT(COUNTIF('商品マスタ'!$B$6:$B$1005,$W1827)=0),COUNTIFS('①在庫を貼る'!$V$6:$V$10005,$V1827,'①在庫を貼る'!$W$6:$W$10005,$W1827)&gt;0),N(U1826),N(U1826)+1))</f>
        <v/>
      </c>
      <c r="V1827" s="19">
        <f>IF($B1827="","",TEXT($B1827,"0000"))</f>
        <v/>
      </c>
      <c r="W1827" s="19">
        <f>IF($I1827="","",IF(ISNUMBER($I1827),TEXT($I1827,"0"),$I1827))</f>
        <v/>
      </c>
    </row>
    <row r="1828">
      <c r="B1828" s="25" t="n"/>
      <c r="I1828" s="25" t="n"/>
      <c r="U1828" s="19">
        <f>IF($V1828&lt;&gt;'設定'!$C$4,N(U1827),IF(OR(NOT(COUNTIF('商品マスタ'!$B$6:$B$1005,$W1828)=0),COUNTIFS('①在庫を貼る'!$V$6:$V$10005,$V1828,'①在庫を貼る'!$W$6:$W$10005,$W1828)&gt;0),N(U1827),N(U1827)+1))</f>
        <v/>
      </c>
      <c r="V1828" s="19">
        <f>IF($B1828="","",TEXT($B1828,"0000"))</f>
        <v/>
      </c>
      <c r="W1828" s="19">
        <f>IF($I1828="","",IF(ISNUMBER($I1828),TEXT($I1828,"0"),$I1828))</f>
        <v/>
      </c>
    </row>
    <row r="1829">
      <c r="B1829" s="25" t="n"/>
      <c r="I1829" s="25" t="n"/>
      <c r="U1829" s="19">
        <f>IF($V1829&lt;&gt;'設定'!$C$4,N(U1828),IF(OR(NOT(COUNTIF('商品マスタ'!$B$6:$B$1005,$W1829)=0),COUNTIFS('①在庫を貼る'!$V$6:$V$10005,$V1829,'①在庫を貼る'!$W$6:$W$10005,$W1829)&gt;0),N(U1828),N(U1828)+1))</f>
        <v/>
      </c>
      <c r="V1829" s="19">
        <f>IF($B1829="","",TEXT($B1829,"0000"))</f>
        <v/>
      </c>
      <c r="W1829" s="19">
        <f>IF($I1829="","",IF(ISNUMBER($I1829),TEXT($I1829,"0"),$I1829))</f>
        <v/>
      </c>
    </row>
    <row r="1830">
      <c r="B1830" s="25" t="n"/>
      <c r="I1830" s="25" t="n"/>
      <c r="U1830" s="19">
        <f>IF($V1830&lt;&gt;'設定'!$C$4,N(U1829),IF(OR(NOT(COUNTIF('商品マスタ'!$B$6:$B$1005,$W1830)=0),COUNTIFS('①在庫を貼る'!$V$6:$V$10005,$V1830,'①在庫を貼る'!$W$6:$W$10005,$W1830)&gt;0),N(U1829),N(U1829)+1))</f>
        <v/>
      </c>
      <c r="V1830" s="19">
        <f>IF($B1830="","",TEXT($B1830,"0000"))</f>
        <v/>
      </c>
      <c r="W1830" s="19">
        <f>IF($I1830="","",IF(ISNUMBER($I1830),TEXT($I1830,"0"),$I1830))</f>
        <v/>
      </c>
    </row>
    <row r="1831">
      <c r="B1831" s="25" t="n"/>
      <c r="I1831" s="25" t="n"/>
      <c r="U1831" s="19">
        <f>IF($V1831&lt;&gt;'設定'!$C$4,N(U1830),IF(OR(NOT(COUNTIF('商品マスタ'!$B$6:$B$1005,$W1831)=0),COUNTIFS('①在庫を貼る'!$V$6:$V$10005,$V1831,'①在庫を貼る'!$W$6:$W$10005,$W1831)&gt;0),N(U1830),N(U1830)+1))</f>
        <v/>
      </c>
      <c r="V1831" s="19">
        <f>IF($B1831="","",TEXT($B1831,"0000"))</f>
        <v/>
      </c>
      <c r="W1831" s="19">
        <f>IF($I1831="","",IF(ISNUMBER($I1831),TEXT($I1831,"0"),$I1831))</f>
        <v/>
      </c>
    </row>
    <row r="1832">
      <c r="B1832" s="25" t="n"/>
      <c r="I1832" s="25" t="n"/>
      <c r="U1832" s="19">
        <f>IF($V1832&lt;&gt;'設定'!$C$4,N(U1831),IF(OR(NOT(COUNTIF('商品マスタ'!$B$6:$B$1005,$W1832)=0),COUNTIFS('①在庫を貼る'!$V$6:$V$10005,$V1832,'①在庫を貼る'!$W$6:$W$10005,$W1832)&gt;0),N(U1831),N(U1831)+1))</f>
        <v/>
      </c>
      <c r="V1832" s="19">
        <f>IF($B1832="","",TEXT($B1832,"0000"))</f>
        <v/>
      </c>
      <c r="W1832" s="19">
        <f>IF($I1832="","",IF(ISNUMBER($I1832),TEXT($I1832,"0"),$I1832))</f>
        <v/>
      </c>
    </row>
    <row r="1833">
      <c r="B1833" s="25" t="n"/>
      <c r="I1833" s="25" t="n"/>
      <c r="U1833" s="19">
        <f>IF($V1833&lt;&gt;'設定'!$C$4,N(U1832),IF(OR(NOT(COUNTIF('商品マスタ'!$B$6:$B$1005,$W1833)=0),COUNTIFS('①在庫を貼る'!$V$6:$V$10005,$V1833,'①在庫を貼る'!$W$6:$W$10005,$W1833)&gt;0),N(U1832),N(U1832)+1))</f>
        <v/>
      </c>
      <c r="V1833" s="19">
        <f>IF($B1833="","",TEXT($B1833,"0000"))</f>
        <v/>
      </c>
      <c r="W1833" s="19">
        <f>IF($I1833="","",IF(ISNUMBER($I1833),TEXT($I1833,"0"),$I1833))</f>
        <v/>
      </c>
    </row>
    <row r="1834">
      <c r="B1834" s="25" t="n"/>
      <c r="I1834" s="25" t="n"/>
      <c r="U1834" s="19">
        <f>IF($V1834&lt;&gt;'設定'!$C$4,N(U1833),IF(OR(NOT(COUNTIF('商品マスタ'!$B$6:$B$1005,$W1834)=0),COUNTIFS('①在庫を貼る'!$V$6:$V$10005,$V1834,'①在庫を貼る'!$W$6:$W$10005,$W1834)&gt;0),N(U1833),N(U1833)+1))</f>
        <v/>
      </c>
      <c r="V1834" s="19">
        <f>IF($B1834="","",TEXT($B1834,"0000"))</f>
        <v/>
      </c>
      <c r="W1834" s="19">
        <f>IF($I1834="","",IF(ISNUMBER($I1834),TEXT($I1834,"0"),$I1834))</f>
        <v/>
      </c>
    </row>
    <row r="1835">
      <c r="B1835" s="25" t="n"/>
      <c r="I1835" s="25" t="n"/>
      <c r="U1835" s="19">
        <f>IF($V1835&lt;&gt;'設定'!$C$4,N(U1834),IF(OR(NOT(COUNTIF('商品マスタ'!$B$6:$B$1005,$W1835)=0),COUNTIFS('①在庫を貼る'!$V$6:$V$10005,$V1835,'①在庫を貼る'!$W$6:$W$10005,$W1835)&gt;0),N(U1834),N(U1834)+1))</f>
        <v/>
      </c>
      <c r="V1835" s="19">
        <f>IF($B1835="","",TEXT($B1835,"0000"))</f>
        <v/>
      </c>
      <c r="W1835" s="19">
        <f>IF($I1835="","",IF(ISNUMBER($I1835),TEXT($I1835,"0"),$I1835))</f>
        <v/>
      </c>
    </row>
    <row r="1836">
      <c r="B1836" s="25" t="n"/>
      <c r="I1836" s="25" t="n"/>
      <c r="U1836" s="19">
        <f>IF($V1836&lt;&gt;'設定'!$C$4,N(U1835),IF(OR(NOT(COUNTIF('商品マスタ'!$B$6:$B$1005,$W1836)=0),COUNTIFS('①在庫を貼る'!$V$6:$V$10005,$V1836,'①在庫を貼る'!$W$6:$W$10005,$W1836)&gt;0),N(U1835),N(U1835)+1))</f>
        <v/>
      </c>
      <c r="V1836" s="19">
        <f>IF($B1836="","",TEXT($B1836,"0000"))</f>
        <v/>
      </c>
      <c r="W1836" s="19">
        <f>IF($I1836="","",IF(ISNUMBER($I1836),TEXT($I1836,"0"),$I1836))</f>
        <v/>
      </c>
    </row>
    <row r="1837">
      <c r="B1837" s="25" t="n"/>
      <c r="I1837" s="25" t="n"/>
      <c r="U1837" s="19">
        <f>IF($V1837&lt;&gt;'設定'!$C$4,N(U1836),IF(OR(NOT(COUNTIF('商品マスタ'!$B$6:$B$1005,$W1837)=0),COUNTIFS('①在庫を貼る'!$V$6:$V$10005,$V1837,'①在庫を貼る'!$W$6:$W$10005,$W1837)&gt;0),N(U1836),N(U1836)+1))</f>
        <v/>
      </c>
      <c r="V1837" s="19">
        <f>IF($B1837="","",TEXT($B1837,"0000"))</f>
        <v/>
      </c>
      <c r="W1837" s="19">
        <f>IF($I1837="","",IF(ISNUMBER($I1837),TEXT($I1837,"0"),$I1837))</f>
        <v/>
      </c>
    </row>
    <row r="1838">
      <c r="B1838" s="25" t="n"/>
      <c r="I1838" s="25" t="n"/>
      <c r="U1838" s="19">
        <f>IF($V1838&lt;&gt;'設定'!$C$4,N(U1837),IF(OR(NOT(COUNTIF('商品マスタ'!$B$6:$B$1005,$W1838)=0),COUNTIFS('①在庫を貼る'!$V$6:$V$10005,$V1838,'①在庫を貼る'!$W$6:$W$10005,$W1838)&gt;0),N(U1837),N(U1837)+1))</f>
        <v/>
      </c>
      <c r="V1838" s="19">
        <f>IF($B1838="","",TEXT($B1838,"0000"))</f>
        <v/>
      </c>
      <c r="W1838" s="19">
        <f>IF($I1838="","",IF(ISNUMBER($I1838),TEXT($I1838,"0"),$I1838))</f>
        <v/>
      </c>
    </row>
    <row r="1839">
      <c r="B1839" s="25" t="n"/>
      <c r="I1839" s="25" t="n"/>
      <c r="U1839" s="19">
        <f>IF($V1839&lt;&gt;'設定'!$C$4,N(U1838),IF(OR(NOT(COUNTIF('商品マスタ'!$B$6:$B$1005,$W1839)=0),COUNTIFS('①在庫を貼る'!$V$6:$V$10005,$V1839,'①在庫を貼る'!$W$6:$W$10005,$W1839)&gt;0),N(U1838),N(U1838)+1))</f>
        <v/>
      </c>
      <c r="V1839" s="19">
        <f>IF($B1839="","",TEXT($B1839,"0000"))</f>
        <v/>
      </c>
      <c r="W1839" s="19">
        <f>IF($I1839="","",IF(ISNUMBER($I1839),TEXT($I1839,"0"),$I1839))</f>
        <v/>
      </c>
    </row>
    <row r="1840">
      <c r="B1840" s="25" t="n"/>
      <c r="I1840" s="25" t="n"/>
      <c r="U1840" s="19">
        <f>IF($V1840&lt;&gt;'設定'!$C$4,N(U1839),IF(OR(NOT(COUNTIF('商品マスタ'!$B$6:$B$1005,$W1840)=0),COUNTIFS('①在庫を貼る'!$V$6:$V$10005,$V1840,'①在庫を貼る'!$W$6:$W$10005,$W1840)&gt;0),N(U1839),N(U1839)+1))</f>
        <v/>
      </c>
      <c r="V1840" s="19">
        <f>IF($B1840="","",TEXT($B1840,"0000"))</f>
        <v/>
      </c>
      <c r="W1840" s="19">
        <f>IF($I1840="","",IF(ISNUMBER($I1840),TEXT($I1840,"0"),$I1840))</f>
        <v/>
      </c>
    </row>
    <row r="1841">
      <c r="B1841" s="25" t="n"/>
      <c r="I1841" s="25" t="n"/>
      <c r="U1841" s="19">
        <f>IF($V1841&lt;&gt;'設定'!$C$4,N(U1840),IF(OR(NOT(COUNTIF('商品マスタ'!$B$6:$B$1005,$W1841)=0),COUNTIFS('①在庫を貼る'!$V$6:$V$10005,$V1841,'①在庫を貼る'!$W$6:$W$10005,$W1841)&gt;0),N(U1840),N(U1840)+1))</f>
        <v/>
      </c>
      <c r="V1841" s="19">
        <f>IF($B1841="","",TEXT($B1841,"0000"))</f>
        <v/>
      </c>
      <c r="W1841" s="19">
        <f>IF($I1841="","",IF(ISNUMBER($I1841),TEXT($I1841,"0"),$I1841))</f>
        <v/>
      </c>
    </row>
    <row r="1842">
      <c r="B1842" s="25" t="n"/>
      <c r="I1842" s="25" t="n"/>
      <c r="U1842" s="19">
        <f>IF($V1842&lt;&gt;'設定'!$C$4,N(U1841),IF(OR(NOT(COUNTIF('商品マスタ'!$B$6:$B$1005,$W1842)=0),COUNTIFS('①在庫を貼る'!$V$6:$V$10005,$V1842,'①在庫を貼る'!$W$6:$W$10005,$W1842)&gt;0),N(U1841),N(U1841)+1))</f>
        <v/>
      </c>
      <c r="V1842" s="19">
        <f>IF($B1842="","",TEXT($B1842,"0000"))</f>
        <v/>
      </c>
      <c r="W1842" s="19">
        <f>IF($I1842="","",IF(ISNUMBER($I1842),TEXT($I1842,"0"),$I1842))</f>
        <v/>
      </c>
    </row>
    <row r="1843">
      <c r="B1843" s="25" t="n"/>
      <c r="I1843" s="25" t="n"/>
      <c r="U1843" s="19">
        <f>IF($V1843&lt;&gt;'設定'!$C$4,N(U1842),IF(OR(NOT(COUNTIF('商品マスタ'!$B$6:$B$1005,$W1843)=0),COUNTIFS('①在庫を貼る'!$V$6:$V$10005,$V1843,'①在庫を貼る'!$W$6:$W$10005,$W1843)&gt;0),N(U1842),N(U1842)+1))</f>
        <v/>
      </c>
      <c r="V1843" s="19">
        <f>IF($B1843="","",TEXT($B1843,"0000"))</f>
        <v/>
      </c>
      <c r="W1843" s="19">
        <f>IF($I1843="","",IF(ISNUMBER($I1843),TEXT($I1843,"0"),$I1843))</f>
        <v/>
      </c>
    </row>
    <row r="1844">
      <c r="B1844" s="25" t="n"/>
      <c r="I1844" s="25" t="n"/>
      <c r="U1844" s="19">
        <f>IF($V1844&lt;&gt;'設定'!$C$4,N(U1843),IF(OR(NOT(COUNTIF('商品マスタ'!$B$6:$B$1005,$W1844)=0),COUNTIFS('①在庫を貼る'!$V$6:$V$10005,$V1844,'①在庫を貼る'!$W$6:$W$10005,$W1844)&gt;0),N(U1843),N(U1843)+1))</f>
        <v/>
      </c>
      <c r="V1844" s="19">
        <f>IF($B1844="","",TEXT($B1844,"0000"))</f>
        <v/>
      </c>
      <c r="W1844" s="19">
        <f>IF($I1844="","",IF(ISNUMBER($I1844),TEXT($I1844,"0"),$I1844))</f>
        <v/>
      </c>
    </row>
    <row r="1845">
      <c r="B1845" s="25" t="n"/>
      <c r="I1845" s="25" t="n"/>
      <c r="U1845" s="19">
        <f>IF($V1845&lt;&gt;'設定'!$C$4,N(U1844),IF(OR(NOT(COUNTIF('商品マスタ'!$B$6:$B$1005,$W1845)=0),COUNTIFS('①在庫を貼る'!$V$6:$V$10005,$V1845,'①在庫を貼る'!$W$6:$W$10005,$W1845)&gt;0),N(U1844),N(U1844)+1))</f>
        <v/>
      </c>
      <c r="V1845" s="19">
        <f>IF($B1845="","",TEXT($B1845,"0000"))</f>
        <v/>
      </c>
      <c r="W1845" s="19">
        <f>IF($I1845="","",IF(ISNUMBER($I1845),TEXT($I1845,"0"),$I1845))</f>
        <v/>
      </c>
    </row>
    <row r="1846">
      <c r="B1846" s="25" t="n"/>
      <c r="I1846" s="25" t="n"/>
      <c r="U1846" s="19">
        <f>IF($V1846&lt;&gt;'設定'!$C$4,N(U1845),IF(OR(NOT(COUNTIF('商品マスタ'!$B$6:$B$1005,$W1846)=0),COUNTIFS('①在庫を貼る'!$V$6:$V$10005,$V1846,'①在庫を貼る'!$W$6:$W$10005,$W1846)&gt;0),N(U1845),N(U1845)+1))</f>
        <v/>
      </c>
      <c r="V1846" s="19">
        <f>IF($B1846="","",TEXT($B1846,"0000"))</f>
        <v/>
      </c>
      <c r="W1846" s="19">
        <f>IF($I1846="","",IF(ISNUMBER($I1846),TEXT($I1846,"0"),$I1846))</f>
        <v/>
      </c>
    </row>
    <row r="1847">
      <c r="B1847" s="25" t="n"/>
      <c r="I1847" s="25" t="n"/>
      <c r="U1847" s="19">
        <f>IF($V1847&lt;&gt;'設定'!$C$4,N(U1846),IF(OR(NOT(COUNTIF('商品マスタ'!$B$6:$B$1005,$W1847)=0),COUNTIFS('①在庫を貼る'!$V$6:$V$10005,$V1847,'①在庫を貼る'!$W$6:$W$10005,$W1847)&gt;0),N(U1846),N(U1846)+1))</f>
        <v/>
      </c>
      <c r="V1847" s="19">
        <f>IF($B1847="","",TEXT($B1847,"0000"))</f>
        <v/>
      </c>
      <c r="W1847" s="19">
        <f>IF($I1847="","",IF(ISNUMBER($I1847),TEXT($I1847,"0"),$I1847))</f>
        <v/>
      </c>
    </row>
    <row r="1848">
      <c r="B1848" s="25" t="n"/>
      <c r="I1848" s="25" t="n"/>
      <c r="U1848" s="19">
        <f>IF($V1848&lt;&gt;'設定'!$C$4,N(U1847),IF(OR(NOT(COUNTIF('商品マスタ'!$B$6:$B$1005,$W1848)=0),COUNTIFS('①在庫を貼る'!$V$6:$V$10005,$V1848,'①在庫を貼る'!$W$6:$W$10005,$W1848)&gt;0),N(U1847),N(U1847)+1))</f>
        <v/>
      </c>
      <c r="V1848" s="19">
        <f>IF($B1848="","",TEXT($B1848,"0000"))</f>
        <v/>
      </c>
      <c r="W1848" s="19">
        <f>IF($I1848="","",IF(ISNUMBER($I1848),TEXT($I1848,"0"),$I1848))</f>
        <v/>
      </c>
    </row>
    <row r="1849">
      <c r="B1849" s="25" t="n"/>
      <c r="I1849" s="25" t="n"/>
      <c r="U1849" s="19">
        <f>IF($V1849&lt;&gt;'設定'!$C$4,N(U1848),IF(OR(NOT(COUNTIF('商品マスタ'!$B$6:$B$1005,$W1849)=0),COUNTIFS('①在庫を貼る'!$V$6:$V$10005,$V1849,'①在庫を貼る'!$W$6:$W$10005,$W1849)&gt;0),N(U1848),N(U1848)+1))</f>
        <v/>
      </c>
      <c r="V1849" s="19">
        <f>IF($B1849="","",TEXT($B1849,"0000"))</f>
        <v/>
      </c>
      <c r="W1849" s="19">
        <f>IF($I1849="","",IF(ISNUMBER($I1849),TEXT($I1849,"0"),$I1849))</f>
        <v/>
      </c>
    </row>
    <row r="1850">
      <c r="B1850" s="25" t="n"/>
      <c r="I1850" s="25" t="n"/>
      <c r="U1850" s="19">
        <f>IF($V1850&lt;&gt;'設定'!$C$4,N(U1849),IF(OR(NOT(COUNTIF('商品マスタ'!$B$6:$B$1005,$W1850)=0),COUNTIFS('①在庫を貼る'!$V$6:$V$10005,$V1850,'①在庫を貼る'!$W$6:$W$10005,$W1850)&gt;0),N(U1849),N(U1849)+1))</f>
        <v/>
      </c>
      <c r="V1850" s="19">
        <f>IF($B1850="","",TEXT($B1850,"0000"))</f>
        <v/>
      </c>
      <c r="W1850" s="19">
        <f>IF($I1850="","",IF(ISNUMBER($I1850),TEXT($I1850,"0"),$I1850))</f>
        <v/>
      </c>
    </row>
    <row r="1851">
      <c r="B1851" s="25" t="n"/>
      <c r="I1851" s="25" t="n"/>
      <c r="U1851" s="19">
        <f>IF($V1851&lt;&gt;'設定'!$C$4,N(U1850),IF(OR(NOT(COUNTIF('商品マスタ'!$B$6:$B$1005,$W1851)=0),COUNTIFS('①在庫を貼る'!$V$6:$V$10005,$V1851,'①在庫を貼る'!$W$6:$W$10005,$W1851)&gt;0),N(U1850),N(U1850)+1))</f>
        <v/>
      </c>
      <c r="V1851" s="19">
        <f>IF($B1851="","",TEXT($B1851,"0000"))</f>
        <v/>
      </c>
      <c r="W1851" s="19">
        <f>IF($I1851="","",IF(ISNUMBER($I1851),TEXT($I1851,"0"),$I1851))</f>
        <v/>
      </c>
    </row>
    <row r="1852">
      <c r="B1852" s="25" t="n"/>
      <c r="I1852" s="25" t="n"/>
      <c r="U1852" s="19">
        <f>IF($V1852&lt;&gt;'設定'!$C$4,N(U1851),IF(OR(NOT(COUNTIF('商品マスタ'!$B$6:$B$1005,$W1852)=0),COUNTIFS('①在庫を貼る'!$V$6:$V$10005,$V1852,'①在庫を貼る'!$W$6:$W$10005,$W1852)&gt;0),N(U1851),N(U1851)+1))</f>
        <v/>
      </c>
      <c r="V1852" s="19">
        <f>IF($B1852="","",TEXT($B1852,"0000"))</f>
        <v/>
      </c>
      <c r="W1852" s="19">
        <f>IF($I1852="","",IF(ISNUMBER($I1852),TEXT($I1852,"0"),$I1852))</f>
        <v/>
      </c>
    </row>
    <row r="1853">
      <c r="B1853" s="25" t="n"/>
      <c r="I1853" s="25" t="n"/>
      <c r="U1853" s="19">
        <f>IF($V1853&lt;&gt;'設定'!$C$4,N(U1852),IF(OR(NOT(COUNTIF('商品マスタ'!$B$6:$B$1005,$W1853)=0),COUNTIFS('①在庫を貼る'!$V$6:$V$10005,$V1853,'①在庫を貼る'!$W$6:$W$10005,$W1853)&gt;0),N(U1852),N(U1852)+1))</f>
        <v/>
      </c>
      <c r="V1853" s="19">
        <f>IF($B1853="","",TEXT($B1853,"0000"))</f>
        <v/>
      </c>
      <c r="W1853" s="19">
        <f>IF($I1853="","",IF(ISNUMBER($I1853),TEXT($I1853,"0"),$I1853))</f>
        <v/>
      </c>
    </row>
    <row r="1854">
      <c r="B1854" s="25" t="n"/>
      <c r="I1854" s="25" t="n"/>
      <c r="U1854" s="19">
        <f>IF($V1854&lt;&gt;'設定'!$C$4,N(U1853),IF(OR(NOT(COUNTIF('商品マスタ'!$B$6:$B$1005,$W1854)=0),COUNTIFS('①在庫を貼る'!$V$6:$V$10005,$V1854,'①在庫を貼る'!$W$6:$W$10005,$W1854)&gt;0),N(U1853),N(U1853)+1))</f>
        <v/>
      </c>
      <c r="V1854" s="19">
        <f>IF($B1854="","",TEXT($B1854,"0000"))</f>
        <v/>
      </c>
      <c r="W1854" s="19">
        <f>IF($I1854="","",IF(ISNUMBER($I1854),TEXT($I1854,"0"),$I1854))</f>
        <v/>
      </c>
    </row>
    <row r="1855">
      <c r="B1855" s="25" t="n"/>
      <c r="I1855" s="25" t="n"/>
      <c r="U1855" s="19">
        <f>IF($V1855&lt;&gt;'設定'!$C$4,N(U1854),IF(OR(NOT(COUNTIF('商品マスタ'!$B$6:$B$1005,$W1855)=0),COUNTIFS('①在庫を貼る'!$V$6:$V$10005,$V1855,'①在庫を貼る'!$W$6:$W$10005,$W1855)&gt;0),N(U1854),N(U1854)+1))</f>
        <v/>
      </c>
      <c r="V1855" s="19">
        <f>IF($B1855="","",TEXT($B1855,"0000"))</f>
        <v/>
      </c>
      <c r="W1855" s="19">
        <f>IF($I1855="","",IF(ISNUMBER($I1855),TEXT($I1855,"0"),$I1855))</f>
        <v/>
      </c>
    </row>
    <row r="1856">
      <c r="B1856" s="25" t="n"/>
      <c r="I1856" s="25" t="n"/>
      <c r="U1856" s="19">
        <f>IF($V1856&lt;&gt;'設定'!$C$4,N(U1855),IF(OR(NOT(COUNTIF('商品マスタ'!$B$6:$B$1005,$W1856)=0),COUNTIFS('①在庫を貼る'!$V$6:$V$10005,$V1856,'①在庫を貼る'!$W$6:$W$10005,$W1856)&gt;0),N(U1855),N(U1855)+1))</f>
        <v/>
      </c>
      <c r="V1856" s="19">
        <f>IF($B1856="","",TEXT($B1856,"0000"))</f>
        <v/>
      </c>
      <c r="W1856" s="19">
        <f>IF($I1856="","",IF(ISNUMBER($I1856),TEXT($I1856,"0"),$I1856))</f>
        <v/>
      </c>
    </row>
    <row r="1857">
      <c r="B1857" s="25" t="n"/>
      <c r="I1857" s="25" t="n"/>
      <c r="U1857" s="19">
        <f>IF($V1857&lt;&gt;'設定'!$C$4,N(U1856),IF(OR(NOT(COUNTIF('商品マスタ'!$B$6:$B$1005,$W1857)=0),COUNTIFS('①在庫を貼る'!$V$6:$V$10005,$V1857,'①在庫を貼る'!$W$6:$W$10005,$W1857)&gt;0),N(U1856),N(U1856)+1))</f>
        <v/>
      </c>
      <c r="V1857" s="19">
        <f>IF($B1857="","",TEXT($B1857,"0000"))</f>
        <v/>
      </c>
      <c r="W1857" s="19">
        <f>IF($I1857="","",IF(ISNUMBER($I1857),TEXT($I1857,"0"),$I1857))</f>
        <v/>
      </c>
    </row>
    <row r="1858">
      <c r="B1858" s="25" t="n"/>
      <c r="I1858" s="25" t="n"/>
      <c r="U1858" s="19">
        <f>IF($V1858&lt;&gt;'設定'!$C$4,N(U1857),IF(OR(NOT(COUNTIF('商品マスタ'!$B$6:$B$1005,$W1858)=0),COUNTIFS('①在庫を貼る'!$V$6:$V$10005,$V1858,'①在庫を貼る'!$W$6:$W$10005,$W1858)&gt;0),N(U1857),N(U1857)+1))</f>
        <v/>
      </c>
      <c r="V1858" s="19">
        <f>IF($B1858="","",TEXT($B1858,"0000"))</f>
        <v/>
      </c>
      <c r="W1858" s="19">
        <f>IF($I1858="","",IF(ISNUMBER($I1858),TEXT($I1858,"0"),$I1858))</f>
        <v/>
      </c>
    </row>
    <row r="1859">
      <c r="B1859" s="25" t="n"/>
      <c r="I1859" s="25" t="n"/>
      <c r="U1859" s="19">
        <f>IF($V1859&lt;&gt;'設定'!$C$4,N(U1858),IF(OR(NOT(COUNTIF('商品マスタ'!$B$6:$B$1005,$W1859)=0),COUNTIFS('①在庫を貼る'!$V$6:$V$10005,$V1859,'①在庫を貼る'!$W$6:$W$10005,$W1859)&gt;0),N(U1858),N(U1858)+1))</f>
        <v/>
      </c>
      <c r="V1859" s="19">
        <f>IF($B1859="","",TEXT($B1859,"0000"))</f>
        <v/>
      </c>
      <c r="W1859" s="19">
        <f>IF($I1859="","",IF(ISNUMBER($I1859),TEXT($I1859,"0"),$I1859))</f>
        <v/>
      </c>
    </row>
    <row r="1860">
      <c r="B1860" s="25" t="n"/>
      <c r="I1860" s="25" t="n"/>
      <c r="U1860" s="19">
        <f>IF($V1860&lt;&gt;'設定'!$C$4,N(U1859),IF(OR(NOT(COUNTIF('商品マスタ'!$B$6:$B$1005,$W1860)=0),COUNTIFS('①在庫を貼る'!$V$6:$V$10005,$V1860,'①在庫を貼る'!$W$6:$W$10005,$W1860)&gt;0),N(U1859),N(U1859)+1))</f>
        <v/>
      </c>
      <c r="V1860" s="19">
        <f>IF($B1860="","",TEXT($B1860,"0000"))</f>
        <v/>
      </c>
      <c r="W1860" s="19">
        <f>IF($I1860="","",IF(ISNUMBER($I1860),TEXT($I1860,"0"),$I1860))</f>
        <v/>
      </c>
    </row>
    <row r="1861">
      <c r="B1861" s="25" t="n"/>
      <c r="I1861" s="25" t="n"/>
      <c r="U1861" s="19">
        <f>IF($V1861&lt;&gt;'設定'!$C$4,N(U1860),IF(OR(NOT(COUNTIF('商品マスタ'!$B$6:$B$1005,$W1861)=0),COUNTIFS('①在庫を貼る'!$V$6:$V$10005,$V1861,'①在庫を貼る'!$W$6:$W$10005,$W1861)&gt;0),N(U1860),N(U1860)+1))</f>
        <v/>
      </c>
      <c r="V1861" s="19">
        <f>IF($B1861="","",TEXT($B1861,"0000"))</f>
        <v/>
      </c>
      <c r="W1861" s="19">
        <f>IF($I1861="","",IF(ISNUMBER($I1861),TEXT($I1861,"0"),$I1861))</f>
        <v/>
      </c>
    </row>
    <row r="1862">
      <c r="B1862" s="25" t="n"/>
      <c r="I1862" s="25" t="n"/>
      <c r="U1862" s="19">
        <f>IF($V1862&lt;&gt;'設定'!$C$4,N(U1861),IF(OR(NOT(COUNTIF('商品マスタ'!$B$6:$B$1005,$W1862)=0),COUNTIFS('①在庫を貼る'!$V$6:$V$10005,$V1862,'①在庫を貼る'!$W$6:$W$10005,$W1862)&gt;0),N(U1861),N(U1861)+1))</f>
        <v/>
      </c>
      <c r="V1862" s="19">
        <f>IF($B1862="","",TEXT($B1862,"0000"))</f>
        <v/>
      </c>
      <c r="W1862" s="19">
        <f>IF($I1862="","",IF(ISNUMBER($I1862),TEXT($I1862,"0"),$I1862))</f>
        <v/>
      </c>
    </row>
    <row r="1863">
      <c r="B1863" s="25" t="n"/>
      <c r="I1863" s="25" t="n"/>
      <c r="U1863" s="19">
        <f>IF($V1863&lt;&gt;'設定'!$C$4,N(U1862),IF(OR(NOT(COUNTIF('商品マスタ'!$B$6:$B$1005,$W1863)=0),COUNTIFS('①在庫を貼る'!$V$6:$V$10005,$V1863,'①在庫を貼る'!$W$6:$W$10005,$W1863)&gt;0),N(U1862),N(U1862)+1))</f>
        <v/>
      </c>
      <c r="V1863" s="19">
        <f>IF($B1863="","",TEXT($B1863,"0000"))</f>
        <v/>
      </c>
      <c r="W1863" s="19">
        <f>IF($I1863="","",IF(ISNUMBER($I1863),TEXT($I1863,"0"),$I1863))</f>
        <v/>
      </c>
    </row>
    <row r="1864">
      <c r="B1864" s="25" t="n"/>
      <c r="I1864" s="25" t="n"/>
      <c r="U1864" s="19">
        <f>IF($V1864&lt;&gt;'設定'!$C$4,N(U1863),IF(OR(NOT(COUNTIF('商品マスタ'!$B$6:$B$1005,$W1864)=0),COUNTIFS('①在庫を貼る'!$V$6:$V$10005,$V1864,'①在庫を貼る'!$W$6:$W$10005,$W1864)&gt;0),N(U1863),N(U1863)+1))</f>
        <v/>
      </c>
      <c r="V1864" s="19">
        <f>IF($B1864="","",TEXT($B1864,"0000"))</f>
        <v/>
      </c>
      <c r="W1864" s="19">
        <f>IF($I1864="","",IF(ISNUMBER($I1864),TEXT($I1864,"0"),$I1864))</f>
        <v/>
      </c>
    </row>
    <row r="1865">
      <c r="B1865" s="25" t="n"/>
      <c r="I1865" s="25" t="n"/>
      <c r="U1865" s="19">
        <f>IF($V1865&lt;&gt;'設定'!$C$4,N(U1864),IF(OR(NOT(COUNTIF('商品マスタ'!$B$6:$B$1005,$W1865)=0),COUNTIFS('①在庫を貼る'!$V$6:$V$10005,$V1865,'①在庫を貼る'!$W$6:$W$10005,$W1865)&gt;0),N(U1864),N(U1864)+1))</f>
        <v/>
      </c>
      <c r="V1865" s="19">
        <f>IF($B1865="","",TEXT($B1865,"0000"))</f>
        <v/>
      </c>
      <c r="W1865" s="19">
        <f>IF($I1865="","",IF(ISNUMBER($I1865),TEXT($I1865,"0"),$I1865))</f>
        <v/>
      </c>
    </row>
    <row r="1866">
      <c r="B1866" s="25" t="n"/>
      <c r="I1866" s="25" t="n"/>
      <c r="U1866" s="19">
        <f>IF($V1866&lt;&gt;'設定'!$C$4,N(U1865),IF(OR(NOT(COUNTIF('商品マスタ'!$B$6:$B$1005,$W1866)=0),COUNTIFS('①在庫を貼る'!$V$6:$V$10005,$V1866,'①在庫を貼る'!$W$6:$W$10005,$W1866)&gt;0),N(U1865),N(U1865)+1))</f>
        <v/>
      </c>
      <c r="V1866" s="19">
        <f>IF($B1866="","",TEXT($B1866,"0000"))</f>
        <v/>
      </c>
      <c r="W1866" s="19">
        <f>IF($I1866="","",IF(ISNUMBER($I1866),TEXT($I1866,"0"),$I1866))</f>
        <v/>
      </c>
    </row>
    <row r="1867">
      <c r="B1867" s="25" t="n"/>
      <c r="I1867" s="25" t="n"/>
      <c r="U1867" s="19">
        <f>IF($V1867&lt;&gt;'設定'!$C$4,N(U1866),IF(OR(NOT(COUNTIF('商品マスタ'!$B$6:$B$1005,$W1867)=0),COUNTIFS('①在庫を貼る'!$V$6:$V$10005,$V1867,'①在庫を貼る'!$W$6:$W$10005,$W1867)&gt;0),N(U1866),N(U1866)+1))</f>
        <v/>
      </c>
      <c r="V1867" s="19">
        <f>IF($B1867="","",TEXT($B1867,"0000"))</f>
        <v/>
      </c>
      <c r="W1867" s="19">
        <f>IF($I1867="","",IF(ISNUMBER($I1867),TEXT($I1867,"0"),$I1867))</f>
        <v/>
      </c>
    </row>
    <row r="1868">
      <c r="B1868" s="25" t="n"/>
      <c r="I1868" s="25" t="n"/>
      <c r="U1868" s="19">
        <f>IF($V1868&lt;&gt;'設定'!$C$4,N(U1867),IF(OR(NOT(COUNTIF('商品マスタ'!$B$6:$B$1005,$W1868)=0),COUNTIFS('①在庫を貼る'!$V$6:$V$10005,$V1868,'①在庫を貼る'!$W$6:$W$10005,$W1868)&gt;0),N(U1867),N(U1867)+1))</f>
        <v/>
      </c>
      <c r="V1868" s="19">
        <f>IF($B1868="","",TEXT($B1868,"0000"))</f>
        <v/>
      </c>
      <c r="W1868" s="19">
        <f>IF($I1868="","",IF(ISNUMBER($I1868),TEXT($I1868,"0"),$I1868))</f>
        <v/>
      </c>
    </row>
    <row r="1869">
      <c r="B1869" s="25" t="n"/>
      <c r="I1869" s="25" t="n"/>
      <c r="U1869" s="19">
        <f>IF($V1869&lt;&gt;'設定'!$C$4,N(U1868),IF(OR(NOT(COUNTIF('商品マスタ'!$B$6:$B$1005,$W1869)=0),COUNTIFS('①在庫を貼る'!$V$6:$V$10005,$V1869,'①在庫を貼る'!$W$6:$W$10005,$W1869)&gt;0),N(U1868),N(U1868)+1))</f>
        <v/>
      </c>
      <c r="V1869" s="19">
        <f>IF($B1869="","",TEXT($B1869,"0000"))</f>
        <v/>
      </c>
      <c r="W1869" s="19">
        <f>IF($I1869="","",IF(ISNUMBER($I1869),TEXT($I1869,"0"),$I1869))</f>
        <v/>
      </c>
    </row>
    <row r="1870">
      <c r="B1870" s="25" t="n"/>
      <c r="I1870" s="25" t="n"/>
      <c r="U1870" s="19">
        <f>IF($V1870&lt;&gt;'設定'!$C$4,N(U1869),IF(OR(NOT(COUNTIF('商品マスタ'!$B$6:$B$1005,$W1870)=0),COUNTIFS('①在庫を貼る'!$V$6:$V$10005,$V1870,'①在庫を貼る'!$W$6:$W$10005,$W1870)&gt;0),N(U1869),N(U1869)+1))</f>
        <v/>
      </c>
      <c r="V1870" s="19">
        <f>IF($B1870="","",TEXT($B1870,"0000"))</f>
        <v/>
      </c>
      <c r="W1870" s="19">
        <f>IF($I1870="","",IF(ISNUMBER($I1870),TEXT($I1870,"0"),$I1870))</f>
        <v/>
      </c>
    </row>
    <row r="1871">
      <c r="B1871" s="25" t="n"/>
      <c r="I1871" s="25" t="n"/>
      <c r="U1871" s="19">
        <f>IF($V1871&lt;&gt;'設定'!$C$4,N(U1870),IF(OR(NOT(COUNTIF('商品マスタ'!$B$6:$B$1005,$W1871)=0),COUNTIFS('①在庫を貼る'!$V$6:$V$10005,$V1871,'①在庫を貼る'!$W$6:$W$10005,$W1871)&gt;0),N(U1870),N(U1870)+1))</f>
        <v/>
      </c>
      <c r="V1871" s="19">
        <f>IF($B1871="","",TEXT($B1871,"0000"))</f>
        <v/>
      </c>
      <c r="W1871" s="19">
        <f>IF($I1871="","",IF(ISNUMBER($I1871),TEXT($I1871,"0"),$I1871))</f>
        <v/>
      </c>
    </row>
    <row r="1872">
      <c r="B1872" s="25" t="n"/>
      <c r="I1872" s="25" t="n"/>
      <c r="U1872" s="19">
        <f>IF($V1872&lt;&gt;'設定'!$C$4,N(U1871),IF(OR(NOT(COUNTIF('商品マスタ'!$B$6:$B$1005,$W1872)=0),COUNTIFS('①在庫を貼る'!$V$6:$V$10005,$V1872,'①在庫を貼る'!$W$6:$W$10005,$W1872)&gt;0),N(U1871),N(U1871)+1))</f>
        <v/>
      </c>
      <c r="V1872" s="19">
        <f>IF($B1872="","",TEXT($B1872,"0000"))</f>
        <v/>
      </c>
      <c r="W1872" s="19">
        <f>IF($I1872="","",IF(ISNUMBER($I1872),TEXT($I1872,"0"),$I1872))</f>
        <v/>
      </c>
    </row>
    <row r="1873">
      <c r="B1873" s="25" t="n"/>
      <c r="I1873" s="25" t="n"/>
      <c r="U1873" s="19">
        <f>IF($V1873&lt;&gt;'設定'!$C$4,N(U1872),IF(OR(NOT(COUNTIF('商品マスタ'!$B$6:$B$1005,$W1873)=0),COUNTIFS('①在庫を貼る'!$V$6:$V$10005,$V1873,'①在庫を貼る'!$W$6:$W$10005,$W1873)&gt;0),N(U1872),N(U1872)+1))</f>
        <v/>
      </c>
      <c r="V1873" s="19">
        <f>IF($B1873="","",TEXT($B1873,"0000"))</f>
        <v/>
      </c>
      <c r="W1873" s="19">
        <f>IF($I1873="","",IF(ISNUMBER($I1873),TEXT($I1873,"0"),$I1873))</f>
        <v/>
      </c>
    </row>
    <row r="1874">
      <c r="B1874" s="25" t="n"/>
      <c r="I1874" s="25" t="n"/>
      <c r="U1874" s="19">
        <f>IF($V1874&lt;&gt;'設定'!$C$4,N(U1873),IF(OR(NOT(COUNTIF('商品マスタ'!$B$6:$B$1005,$W1874)=0),COUNTIFS('①在庫を貼る'!$V$6:$V$10005,$V1874,'①在庫を貼る'!$W$6:$W$10005,$W1874)&gt;0),N(U1873),N(U1873)+1))</f>
        <v/>
      </c>
      <c r="V1874" s="19">
        <f>IF($B1874="","",TEXT($B1874,"0000"))</f>
        <v/>
      </c>
      <c r="W1874" s="19">
        <f>IF($I1874="","",IF(ISNUMBER($I1874),TEXT($I1874,"0"),$I1874))</f>
        <v/>
      </c>
    </row>
    <row r="1875">
      <c r="B1875" s="25" t="n"/>
      <c r="I1875" s="25" t="n"/>
      <c r="U1875" s="19">
        <f>IF($V1875&lt;&gt;'設定'!$C$4,N(U1874),IF(OR(NOT(COUNTIF('商品マスタ'!$B$6:$B$1005,$W1875)=0),COUNTIFS('①在庫を貼る'!$V$6:$V$10005,$V1875,'①在庫を貼る'!$W$6:$W$10005,$W1875)&gt;0),N(U1874),N(U1874)+1))</f>
        <v/>
      </c>
      <c r="V1875" s="19">
        <f>IF($B1875="","",TEXT($B1875,"0000"))</f>
        <v/>
      </c>
      <c r="W1875" s="19">
        <f>IF($I1875="","",IF(ISNUMBER($I1875),TEXT($I1875,"0"),$I1875))</f>
        <v/>
      </c>
    </row>
    <row r="1876">
      <c r="B1876" s="25" t="n"/>
      <c r="I1876" s="25" t="n"/>
      <c r="U1876" s="19">
        <f>IF($V1876&lt;&gt;'設定'!$C$4,N(U1875),IF(OR(NOT(COUNTIF('商品マスタ'!$B$6:$B$1005,$W1876)=0),COUNTIFS('①在庫を貼る'!$V$6:$V$10005,$V1876,'①在庫を貼る'!$W$6:$W$10005,$W1876)&gt;0),N(U1875),N(U1875)+1))</f>
        <v/>
      </c>
      <c r="V1876" s="19">
        <f>IF($B1876="","",TEXT($B1876,"0000"))</f>
        <v/>
      </c>
      <c r="W1876" s="19">
        <f>IF($I1876="","",IF(ISNUMBER($I1876),TEXT($I1876,"0"),$I1876))</f>
        <v/>
      </c>
    </row>
    <row r="1877">
      <c r="B1877" s="25" t="n"/>
      <c r="I1877" s="25" t="n"/>
      <c r="U1877" s="19">
        <f>IF($V1877&lt;&gt;'設定'!$C$4,N(U1876),IF(OR(NOT(COUNTIF('商品マスタ'!$B$6:$B$1005,$W1877)=0),COUNTIFS('①在庫を貼る'!$V$6:$V$10005,$V1877,'①在庫を貼る'!$W$6:$W$10005,$W1877)&gt;0),N(U1876),N(U1876)+1))</f>
        <v/>
      </c>
      <c r="V1877" s="19">
        <f>IF($B1877="","",TEXT($B1877,"0000"))</f>
        <v/>
      </c>
      <c r="W1877" s="19">
        <f>IF($I1877="","",IF(ISNUMBER($I1877),TEXT($I1877,"0"),$I1877))</f>
        <v/>
      </c>
    </row>
    <row r="1878">
      <c r="B1878" s="25" t="n"/>
      <c r="I1878" s="25" t="n"/>
      <c r="U1878" s="19">
        <f>IF($V1878&lt;&gt;'設定'!$C$4,N(U1877),IF(OR(NOT(COUNTIF('商品マスタ'!$B$6:$B$1005,$W1878)=0),COUNTIFS('①在庫を貼る'!$V$6:$V$10005,$V1878,'①在庫を貼る'!$W$6:$W$10005,$W1878)&gt;0),N(U1877),N(U1877)+1))</f>
        <v/>
      </c>
      <c r="V1878" s="19">
        <f>IF($B1878="","",TEXT($B1878,"0000"))</f>
        <v/>
      </c>
      <c r="W1878" s="19">
        <f>IF($I1878="","",IF(ISNUMBER($I1878),TEXT($I1878,"0"),$I1878))</f>
        <v/>
      </c>
    </row>
    <row r="1879">
      <c r="B1879" s="25" t="n"/>
      <c r="I1879" s="25" t="n"/>
      <c r="U1879" s="19">
        <f>IF($V1879&lt;&gt;'設定'!$C$4,N(U1878),IF(OR(NOT(COUNTIF('商品マスタ'!$B$6:$B$1005,$W1879)=0),COUNTIFS('①在庫を貼る'!$V$6:$V$10005,$V1879,'①在庫を貼る'!$W$6:$W$10005,$W1879)&gt;0),N(U1878),N(U1878)+1))</f>
        <v/>
      </c>
      <c r="V1879" s="19">
        <f>IF($B1879="","",TEXT($B1879,"0000"))</f>
        <v/>
      </c>
      <c r="W1879" s="19">
        <f>IF($I1879="","",IF(ISNUMBER($I1879),TEXT($I1879,"0"),$I1879))</f>
        <v/>
      </c>
    </row>
    <row r="1880">
      <c r="B1880" s="25" t="n"/>
      <c r="I1880" s="25" t="n"/>
      <c r="U1880" s="19">
        <f>IF($V1880&lt;&gt;'設定'!$C$4,N(U1879),IF(OR(NOT(COUNTIF('商品マスタ'!$B$6:$B$1005,$W1880)=0),COUNTIFS('①在庫を貼る'!$V$6:$V$10005,$V1880,'①在庫を貼る'!$W$6:$W$10005,$W1880)&gt;0),N(U1879),N(U1879)+1))</f>
        <v/>
      </c>
      <c r="V1880" s="19">
        <f>IF($B1880="","",TEXT($B1880,"0000"))</f>
        <v/>
      </c>
      <c r="W1880" s="19">
        <f>IF($I1880="","",IF(ISNUMBER($I1880),TEXT($I1880,"0"),$I1880))</f>
        <v/>
      </c>
    </row>
    <row r="1881">
      <c r="B1881" s="25" t="n"/>
      <c r="I1881" s="25" t="n"/>
      <c r="U1881" s="19">
        <f>IF($V1881&lt;&gt;'設定'!$C$4,N(U1880),IF(OR(NOT(COUNTIF('商品マスタ'!$B$6:$B$1005,$W1881)=0),COUNTIFS('①在庫を貼る'!$V$6:$V$10005,$V1881,'①在庫を貼る'!$W$6:$W$10005,$W1881)&gt;0),N(U1880),N(U1880)+1))</f>
        <v/>
      </c>
      <c r="V1881" s="19">
        <f>IF($B1881="","",TEXT($B1881,"0000"))</f>
        <v/>
      </c>
      <c r="W1881" s="19">
        <f>IF($I1881="","",IF(ISNUMBER($I1881),TEXT($I1881,"0"),$I1881))</f>
        <v/>
      </c>
    </row>
    <row r="1882">
      <c r="B1882" s="25" t="n"/>
      <c r="I1882" s="25" t="n"/>
      <c r="U1882" s="19">
        <f>IF($V1882&lt;&gt;'設定'!$C$4,N(U1881),IF(OR(NOT(COUNTIF('商品マスタ'!$B$6:$B$1005,$W1882)=0),COUNTIFS('①在庫を貼る'!$V$6:$V$10005,$V1882,'①在庫を貼る'!$W$6:$W$10005,$W1882)&gt;0),N(U1881),N(U1881)+1))</f>
        <v/>
      </c>
      <c r="V1882" s="19">
        <f>IF($B1882="","",TEXT($B1882,"0000"))</f>
        <v/>
      </c>
      <c r="W1882" s="19">
        <f>IF($I1882="","",IF(ISNUMBER($I1882),TEXT($I1882,"0"),$I1882))</f>
        <v/>
      </c>
    </row>
    <row r="1883">
      <c r="B1883" s="25" t="n"/>
      <c r="I1883" s="25" t="n"/>
      <c r="U1883" s="19">
        <f>IF($V1883&lt;&gt;'設定'!$C$4,N(U1882),IF(OR(NOT(COUNTIF('商品マスタ'!$B$6:$B$1005,$W1883)=0),COUNTIFS('①在庫を貼る'!$V$6:$V$10005,$V1883,'①在庫を貼る'!$W$6:$W$10005,$W1883)&gt;0),N(U1882),N(U1882)+1))</f>
        <v/>
      </c>
      <c r="V1883" s="19">
        <f>IF($B1883="","",TEXT($B1883,"0000"))</f>
        <v/>
      </c>
      <c r="W1883" s="19">
        <f>IF($I1883="","",IF(ISNUMBER($I1883),TEXT($I1883,"0"),$I1883))</f>
        <v/>
      </c>
    </row>
    <row r="1884">
      <c r="B1884" s="25" t="n"/>
      <c r="I1884" s="25" t="n"/>
      <c r="U1884" s="19">
        <f>IF($V1884&lt;&gt;'設定'!$C$4,N(U1883),IF(OR(NOT(COUNTIF('商品マスタ'!$B$6:$B$1005,$W1884)=0),COUNTIFS('①在庫を貼る'!$V$6:$V$10005,$V1884,'①在庫を貼る'!$W$6:$W$10005,$W1884)&gt;0),N(U1883),N(U1883)+1))</f>
        <v/>
      </c>
      <c r="V1884" s="19">
        <f>IF($B1884="","",TEXT($B1884,"0000"))</f>
        <v/>
      </c>
      <c r="W1884" s="19">
        <f>IF($I1884="","",IF(ISNUMBER($I1884),TEXT($I1884,"0"),$I1884))</f>
        <v/>
      </c>
    </row>
    <row r="1885">
      <c r="B1885" s="25" t="n"/>
      <c r="I1885" s="25" t="n"/>
      <c r="U1885" s="19">
        <f>IF($V1885&lt;&gt;'設定'!$C$4,N(U1884),IF(OR(NOT(COUNTIF('商品マスタ'!$B$6:$B$1005,$W1885)=0),COUNTIFS('①在庫を貼る'!$V$6:$V$10005,$V1885,'①在庫を貼る'!$W$6:$W$10005,$W1885)&gt;0),N(U1884),N(U1884)+1))</f>
        <v/>
      </c>
      <c r="V1885" s="19">
        <f>IF($B1885="","",TEXT($B1885,"0000"))</f>
        <v/>
      </c>
      <c r="W1885" s="19">
        <f>IF($I1885="","",IF(ISNUMBER($I1885),TEXT($I1885,"0"),$I1885))</f>
        <v/>
      </c>
    </row>
    <row r="1886">
      <c r="B1886" s="25" t="n"/>
      <c r="I1886" s="25" t="n"/>
      <c r="U1886" s="19">
        <f>IF($V1886&lt;&gt;'設定'!$C$4,N(U1885),IF(OR(NOT(COUNTIF('商品マスタ'!$B$6:$B$1005,$W1886)=0),COUNTIFS('①在庫を貼る'!$V$6:$V$10005,$V1886,'①在庫を貼る'!$W$6:$W$10005,$W1886)&gt;0),N(U1885),N(U1885)+1))</f>
        <v/>
      </c>
      <c r="V1886" s="19">
        <f>IF($B1886="","",TEXT($B1886,"0000"))</f>
        <v/>
      </c>
      <c r="W1886" s="19">
        <f>IF($I1886="","",IF(ISNUMBER($I1886),TEXT($I1886,"0"),$I1886))</f>
        <v/>
      </c>
    </row>
    <row r="1887">
      <c r="B1887" s="25" t="n"/>
      <c r="I1887" s="25" t="n"/>
      <c r="U1887" s="19">
        <f>IF($V1887&lt;&gt;'設定'!$C$4,N(U1886),IF(OR(NOT(COUNTIF('商品マスタ'!$B$6:$B$1005,$W1887)=0),COUNTIFS('①在庫を貼る'!$V$6:$V$10005,$V1887,'①在庫を貼る'!$W$6:$W$10005,$W1887)&gt;0),N(U1886),N(U1886)+1))</f>
        <v/>
      </c>
      <c r="V1887" s="19">
        <f>IF($B1887="","",TEXT($B1887,"0000"))</f>
        <v/>
      </c>
      <c r="W1887" s="19">
        <f>IF($I1887="","",IF(ISNUMBER($I1887),TEXT($I1887,"0"),$I1887))</f>
        <v/>
      </c>
    </row>
    <row r="1888">
      <c r="B1888" s="25" t="n"/>
      <c r="I1888" s="25" t="n"/>
      <c r="U1888" s="19">
        <f>IF($V1888&lt;&gt;'設定'!$C$4,N(U1887),IF(OR(NOT(COUNTIF('商品マスタ'!$B$6:$B$1005,$W1888)=0),COUNTIFS('①在庫を貼る'!$V$6:$V$10005,$V1888,'①在庫を貼る'!$W$6:$W$10005,$W1888)&gt;0),N(U1887),N(U1887)+1))</f>
        <v/>
      </c>
      <c r="V1888" s="19">
        <f>IF($B1888="","",TEXT($B1888,"0000"))</f>
        <v/>
      </c>
      <c r="W1888" s="19">
        <f>IF($I1888="","",IF(ISNUMBER($I1888),TEXT($I1888,"0"),$I1888))</f>
        <v/>
      </c>
    </row>
    <row r="1889">
      <c r="B1889" s="25" t="n"/>
      <c r="I1889" s="25" t="n"/>
      <c r="U1889" s="19">
        <f>IF($V1889&lt;&gt;'設定'!$C$4,N(U1888),IF(OR(NOT(COUNTIF('商品マスタ'!$B$6:$B$1005,$W1889)=0),COUNTIFS('①在庫を貼る'!$V$6:$V$10005,$V1889,'①在庫を貼る'!$W$6:$W$10005,$W1889)&gt;0),N(U1888),N(U1888)+1))</f>
        <v/>
      </c>
      <c r="V1889" s="19">
        <f>IF($B1889="","",TEXT($B1889,"0000"))</f>
        <v/>
      </c>
      <c r="W1889" s="19">
        <f>IF($I1889="","",IF(ISNUMBER($I1889),TEXT($I1889,"0"),$I1889))</f>
        <v/>
      </c>
    </row>
    <row r="1890">
      <c r="B1890" s="25" t="n"/>
      <c r="I1890" s="25" t="n"/>
      <c r="U1890" s="19">
        <f>IF($V1890&lt;&gt;'設定'!$C$4,N(U1889),IF(OR(NOT(COUNTIF('商品マスタ'!$B$6:$B$1005,$W1890)=0),COUNTIFS('①在庫を貼る'!$V$6:$V$10005,$V1890,'①在庫を貼る'!$W$6:$W$10005,$W1890)&gt;0),N(U1889),N(U1889)+1))</f>
        <v/>
      </c>
      <c r="V1890" s="19">
        <f>IF($B1890="","",TEXT($B1890,"0000"))</f>
        <v/>
      </c>
      <c r="W1890" s="19">
        <f>IF($I1890="","",IF(ISNUMBER($I1890),TEXT($I1890,"0"),$I1890))</f>
        <v/>
      </c>
    </row>
    <row r="1891">
      <c r="B1891" s="25" t="n"/>
      <c r="I1891" s="25" t="n"/>
      <c r="U1891" s="19">
        <f>IF($V1891&lt;&gt;'設定'!$C$4,N(U1890),IF(OR(NOT(COUNTIF('商品マスタ'!$B$6:$B$1005,$W1891)=0),COUNTIFS('①在庫を貼る'!$V$6:$V$10005,$V1891,'①在庫を貼る'!$W$6:$W$10005,$W1891)&gt;0),N(U1890),N(U1890)+1))</f>
        <v/>
      </c>
      <c r="V1891" s="19">
        <f>IF($B1891="","",TEXT($B1891,"0000"))</f>
        <v/>
      </c>
      <c r="W1891" s="19">
        <f>IF($I1891="","",IF(ISNUMBER($I1891),TEXT($I1891,"0"),$I1891))</f>
        <v/>
      </c>
    </row>
    <row r="1892">
      <c r="B1892" s="25" t="n"/>
      <c r="I1892" s="25" t="n"/>
      <c r="U1892" s="19">
        <f>IF($V1892&lt;&gt;'設定'!$C$4,N(U1891),IF(OR(NOT(COUNTIF('商品マスタ'!$B$6:$B$1005,$W1892)=0),COUNTIFS('①在庫を貼る'!$V$6:$V$10005,$V1892,'①在庫を貼る'!$W$6:$W$10005,$W1892)&gt;0),N(U1891),N(U1891)+1))</f>
        <v/>
      </c>
      <c r="V1892" s="19">
        <f>IF($B1892="","",TEXT($B1892,"0000"))</f>
        <v/>
      </c>
      <c r="W1892" s="19">
        <f>IF($I1892="","",IF(ISNUMBER($I1892),TEXT($I1892,"0"),$I1892))</f>
        <v/>
      </c>
    </row>
    <row r="1893">
      <c r="B1893" s="25" t="n"/>
      <c r="I1893" s="25" t="n"/>
      <c r="U1893" s="19">
        <f>IF($V1893&lt;&gt;'設定'!$C$4,N(U1892),IF(OR(NOT(COUNTIF('商品マスタ'!$B$6:$B$1005,$W1893)=0),COUNTIFS('①在庫を貼る'!$V$6:$V$10005,$V1893,'①在庫を貼る'!$W$6:$W$10005,$W1893)&gt;0),N(U1892),N(U1892)+1))</f>
        <v/>
      </c>
      <c r="V1893" s="19">
        <f>IF($B1893="","",TEXT($B1893,"0000"))</f>
        <v/>
      </c>
      <c r="W1893" s="19">
        <f>IF($I1893="","",IF(ISNUMBER($I1893),TEXT($I1893,"0"),$I1893))</f>
        <v/>
      </c>
    </row>
    <row r="1894">
      <c r="B1894" s="25" t="n"/>
      <c r="I1894" s="25" t="n"/>
      <c r="U1894" s="19">
        <f>IF($V1894&lt;&gt;'設定'!$C$4,N(U1893),IF(OR(NOT(COUNTIF('商品マスタ'!$B$6:$B$1005,$W1894)=0),COUNTIFS('①在庫を貼る'!$V$6:$V$10005,$V1894,'①在庫を貼る'!$W$6:$W$10005,$W1894)&gt;0),N(U1893),N(U1893)+1))</f>
        <v/>
      </c>
      <c r="V1894" s="19">
        <f>IF($B1894="","",TEXT($B1894,"0000"))</f>
        <v/>
      </c>
      <c r="W1894" s="19">
        <f>IF($I1894="","",IF(ISNUMBER($I1894),TEXT($I1894,"0"),$I1894))</f>
        <v/>
      </c>
    </row>
    <row r="1895">
      <c r="B1895" s="25" t="n"/>
      <c r="I1895" s="25" t="n"/>
      <c r="U1895" s="19">
        <f>IF($V1895&lt;&gt;'設定'!$C$4,N(U1894),IF(OR(NOT(COUNTIF('商品マスタ'!$B$6:$B$1005,$W1895)=0),COUNTIFS('①在庫を貼る'!$V$6:$V$10005,$V1895,'①在庫を貼る'!$W$6:$W$10005,$W1895)&gt;0),N(U1894),N(U1894)+1))</f>
        <v/>
      </c>
      <c r="V1895" s="19">
        <f>IF($B1895="","",TEXT($B1895,"0000"))</f>
        <v/>
      </c>
      <c r="W1895" s="19">
        <f>IF($I1895="","",IF(ISNUMBER($I1895),TEXT($I1895,"0"),$I1895))</f>
        <v/>
      </c>
    </row>
    <row r="1896">
      <c r="B1896" s="25" t="n"/>
      <c r="I1896" s="25" t="n"/>
      <c r="U1896" s="19">
        <f>IF($V1896&lt;&gt;'設定'!$C$4,N(U1895),IF(OR(NOT(COUNTIF('商品マスタ'!$B$6:$B$1005,$W1896)=0),COUNTIFS('①在庫を貼る'!$V$6:$V$10005,$V1896,'①在庫を貼る'!$W$6:$W$10005,$W1896)&gt;0),N(U1895),N(U1895)+1))</f>
        <v/>
      </c>
      <c r="V1896" s="19">
        <f>IF($B1896="","",TEXT($B1896,"0000"))</f>
        <v/>
      </c>
      <c r="W1896" s="19">
        <f>IF($I1896="","",IF(ISNUMBER($I1896),TEXT($I1896,"0"),$I1896))</f>
        <v/>
      </c>
    </row>
    <row r="1897">
      <c r="B1897" s="25" t="n"/>
      <c r="I1897" s="25" t="n"/>
      <c r="U1897" s="19">
        <f>IF($V1897&lt;&gt;'設定'!$C$4,N(U1896),IF(OR(NOT(COUNTIF('商品マスタ'!$B$6:$B$1005,$W1897)=0),COUNTIFS('①在庫を貼る'!$V$6:$V$10005,$V1897,'①在庫を貼る'!$W$6:$W$10005,$W1897)&gt;0),N(U1896),N(U1896)+1))</f>
        <v/>
      </c>
      <c r="V1897" s="19">
        <f>IF($B1897="","",TEXT($B1897,"0000"))</f>
        <v/>
      </c>
      <c r="W1897" s="19">
        <f>IF($I1897="","",IF(ISNUMBER($I1897),TEXT($I1897,"0"),$I1897))</f>
        <v/>
      </c>
    </row>
    <row r="1898">
      <c r="B1898" s="25" t="n"/>
      <c r="I1898" s="25" t="n"/>
      <c r="U1898" s="19">
        <f>IF($V1898&lt;&gt;'設定'!$C$4,N(U1897),IF(OR(NOT(COUNTIF('商品マスタ'!$B$6:$B$1005,$W1898)=0),COUNTIFS('①在庫を貼る'!$V$6:$V$10005,$V1898,'①在庫を貼る'!$W$6:$W$10005,$W1898)&gt;0),N(U1897),N(U1897)+1))</f>
        <v/>
      </c>
      <c r="V1898" s="19">
        <f>IF($B1898="","",TEXT($B1898,"0000"))</f>
        <v/>
      </c>
      <c r="W1898" s="19">
        <f>IF($I1898="","",IF(ISNUMBER($I1898),TEXT($I1898,"0"),$I1898))</f>
        <v/>
      </c>
    </row>
    <row r="1899">
      <c r="B1899" s="25" t="n"/>
      <c r="I1899" s="25" t="n"/>
      <c r="U1899" s="19">
        <f>IF($V1899&lt;&gt;'設定'!$C$4,N(U1898),IF(OR(NOT(COUNTIF('商品マスタ'!$B$6:$B$1005,$W1899)=0),COUNTIFS('①在庫を貼る'!$V$6:$V$10005,$V1899,'①在庫を貼る'!$W$6:$W$10005,$W1899)&gt;0),N(U1898),N(U1898)+1))</f>
        <v/>
      </c>
      <c r="V1899" s="19">
        <f>IF($B1899="","",TEXT($B1899,"0000"))</f>
        <v/>
      </c>
      <c r="W1899" s="19">
        <f>IF($I1899="","",IF(ISNUMBER($I1899),TEXT($I1899,"0"),$I1899))</f>
        <v/>
      </c>
    </row>
    <row r="1900">
      <c r="B1900" s="25" t="n"/>
      <c r="I1900" s="25" t="n"/>
      <c r="U1900" s="19">
        <f>IF($V1900&lt;&gt;'設定'!$C$4,N(U1899),IF(OR(NOT(COUNTIF('商品マスタ'!$B$6:$B$1005,$W1900)=0),COUNTIFS('①在庫を貼る'!$V$6:$V$10005,$V1900,'①在庫を貼る'!$W$6:$W$10005,$W1900)&gt;0),N(U1899),N(U1899)+1))</f>
        <v/>
      </c>
      <c r="V1900" s="19">
        <f>IF($B1900="","",TEXT($B1900,"0000"))</f>
        <v/>
      </c>
      <c r="W1900" s="19">
        <f>IF($I1900="","",IF(ISNUMBER($I1900),TEXT($I1900,"0"),$I1900))</f>
        <v/>
      </c>
    </row>
    <row r="1901">
      <c r="B1901" s="25" t="n"/>
      <c r="I1901" s="25" t="n"/>
      <c r="U1901" s="19">
        <f>IF($V1901&lt;&gt;'設定'!$C$4,N(U1900),IF(OR(NOT(COUNTIF('商品マスタ'!$B$6:$B$1005,$W1901)=0),COUNTIFS('①在庫を貼る'!$V$6:$V$10005,$V1901,'①在庫を貼る'!$W$6:$W$10005,$W1901)&gt;0),N(U1900),N(U1900)+1))</f>
        <v/>
      </c>
      <c r="V1901" s="19">
        <f>IF($B1901="","",TEXT($B1901,"0000"))</f>
        <v/>
      </c>
      <c r="W1901" s="19">
        <f>IF($I1901="","",IF(ISNUMBER($I1901),TEXT($I1901,"0"),$I1901))</f>
        <v/>
      </c>
    </row>
    <row r="1902">
      <c r="B1902" s="25" t="n"/>
      <c r="I1902" s="25" t="n"/>
      <c r="U1902" s="19">
        <f>IF($V1902&lt;&gt;'設定'!$C$4,N(U1901),IF(OR(NOT(COUNTIF('商品マスタ'!$B$6:$B$1005,$W1902)=0),COUNTIFS('①在庫を貼る'!$V$6:$V$10005,$V1902,'①在庫を貼る'!$W$6:$W$10005,$W1902)&gt;0),N(U1901),N(U1901)+1))</f>
        <v/>
      </c>
      <c r="V1902" s="19">
        <f>IF($B1902="","",TEXT($B1902,"0000"))</f>
        <v/>
      </c>
      <c r="W1902" s="19">
        <f>IF($I1902="","",IF(ISNUMBER($I1902),TEXT($I1902,"0"),$I1902))</f>
        <v/>
      </c>
    </row>
    <row r="1903">
      <c r="B1903" s="25" t="n"/>
      <c r="I1903" s="25" t="n"/>
      <c r="U1903" s="19">
        <f>IF($V1903&lt;&gt;'設定'!$C$4,N(U1902),IF(OR(NOT(COUNTIF('商品マスタ'!$B$6:$B$1005,$W1903)=0),COUNTIFS('①在庫を貼る'!$V$6:$V$10005,$V1903,'①在庫を貼る'!$W$6:$W$10005,$W1903)&gt;0),N(U1902),N(U1902)+1))</f>
        <v/>
      </c>
      <c r="V1903" s="19">
        <f>IF($B1903="","",TEXT($B1903,"0000"))</f>
        <v/>
      </c>
      <c r="W1903" s="19">
        <f>IF($I1903="","",IF(ISNUMBER($I1903),TEXT($I1903,"0"),$I1903))</f>
        <v/>
      </c>
    </row>
    <row r="1904">
      <c r="B1904" s="25" t="n"/>
      <c r="I1904" s="25" t="n"/>
      <c r="U1904" s="19">
        <f>IF($V1904&lt;&gt;'設定'!$C$4,N(U1903),IF(OR(NOT(COUNTIF('商品マスタ'!$B$6:$B$1005,$W1904)=0),COUNTIFS('①在庫を貼る'!$V$6:$V$10005,$V1904,'①在庫を貼る'!$W$6:$W$10005,$W1904)&gt;0),N(U1903),N(U1903)+1))</f>
        <v/>
      </c>
      <c r="V1904" s="19">
        <f>IF($B1904="","",TEXT($B1904,"0000"))</f>
        <v/>
      </c>
      <c r="W1904" s="19">
        <f>IF($I1904="","",IF(ISNUMBER($I1904),TEXT($I1904,"0"),$I1904))</f>
        <v/>
      </c>
    </row>
    <row r="1905">
      <c r="B1905" s="25" t="n"/>
      <c r="I1905" s="25" t="n"/>
      <c r="U1905" s="19">
        <f>IF($V1905&lt;&gt;'設定'!$C$4,N(U1904),IF(OR(NOT(COUNTIF('商品マスタ'!$B$6:$B$1005,$W1905)=0),COUNTIFS('①在庫を貼る'!$V$6:$V$10005,$V1905,'①在庫を貼る'!$W$6:$W$10005,$W1905)&gt;0),N(U1904),N(U1904)+1))</f>
        <v/>
      </c>
      <c r="V1905" s="19">
        <f>IF($B1905="","",TEXT($B1905,"0000"))</f>
        <v/>
      </c>
      <c r="W1905" s="19">
        <f>IF($I1905="","",IF(ISNUMBER($I1905),TEXT($I1905,"0"),$I1905))</f>
        <v/>
      </c>
    </row>
    <row r="1906">
      <c r="B1906" s="25" t="n"/>
      <c r="I1906" s="25" t="n"/>
      <c r="U1906" s="19">
        <f>IF($V1906&lt;&gt;'設定'!$C$4,N(U1905),IF(OR(NOT(COUNTIF('商品マスタ'!$B$6:$B$1005,$W1906)=0),COUNTIFS('①在庫を貼る'!$V$6:$V$10005,$V1906,'①在庫を貼る'!$W$6:$W$10005,$W1906)&gt;0),N(U1905),N(U1905)+1))</f>
        <v/>
      </c>
      <c r="V1906" s="19">
        <f>IF($B1906="","",TEXT($B1906,"0000"))</f>
        <v/>
      </c>
      <c r="W1906" s="19">
        <f>IF($I1906="","",IF(ISNUMBER($I1906),TEXT($I1906,"0"),$I1906))</f>
        <v/>
      </c>
    </row>
    <row r="1907">
      <c r="B1907" s="25" t="n"/>
      <c r="I1907" s="25" t="n"/>
      <c r="U1907" s="19">
        <f>IF($V1907&lt;&gt;'設定'!$C$4,N(U1906),IF(OR(NOT(COUNTIF('商品マスタ'!$B$6:$B$1005,$W1907)=0),COUNTIFS('①在庫を貼る'!$V$6:$V$10005,$V1907,'①在庫を貼る'!$W$6:$W$10005,$W1907)&gt;0),N(U1906),N(U1906)+1))</f>
        <v/>
      </c>
      <c r="V1907" s="19">
        <f>IF($B1907="","",TEXT($B1907,"0000"))</f>
        <v/>
      </c>
      <c r="W1907" s="19">
        <f>IF($I1907="","",IF(ISNUMBER($I1907),TEXT($I1907,"0"),$I1907))</f>
        <v/>
      </c>
    </row>
    <row r="1908">
      <c r="B1908" s="25" t="n"/>
      <c r="I1908" s="25" t="n"/>
      <c r="U1908" s="19">
        <f>IF($V1908&lt;&gt;'設定'!$C$4,N(U1907),IF(OR(NOT(COUNTIF('商品マスタ'!$B$6:$B$1005,$W1908)=0),COUNTIFS('①在庫を貼る'!$V$6:$V$10005,$V1908,'①在庫を貼る'!$W$6:$W$10005,$W1908)&gt;0),N(U1907),N(U1907)+1))</f>
        <v/>
      </c>
      <c r="V1908" s="19">
        <f>IF($B1908="","",TEXT($B1908,"0000"))</f>
        <v/>
      </c>
      <c r="W1908" s="19">
        <f>IF($I1908="","",IF(ISNUMBER($I1908),TEXT($I1908,"0"),$I1908))</f>
        <v/>
      </c>
    </row>
    <row r="1909">
      <c r="B1909" s="25" t="n"/>
      <c r="I1909" s="25" t="n"/>
      <c r="U1909" s="19">
        <f>IF($V1909&lt;&gt;'設定'!$C$4,N(U1908),IF(OR(NOT(COUNTIF('商品マスタ'!$B$6:$B$1005,$W1909)=0),COUNTIFS('①在庫を貼る'!$V$6:$V$10005,$V1909,'①在庫を貼る'!$W$6:$W$10005,$W1909)&gt;0),N(U1908),N(U1908)+1))</f>
        <v/>
      </c>
      <c r="V1909" s="19">
        <f>IF($B1909="","",TEXT($B1909,"0000"))</f>
        <v/>
      </c>
      <c r="W1909" s="19">
        <f>IF($I1909="","",IF(ISNUMBER($I1909),TEXT($I1909,"0"),$I1909))</f>
        <v/>
      </c>
    </row>
    <row r="1910">
      <c r="B1910" s="25" t="n"/>
      <c r="I1910" s="25" t="n"/>
      <c r="U1910" s="19">
        <f>IF($V1910&lt;&gt;'設定'!$C$4,N(U1909),IF(OR(NOT(COUNTIF('商品マスタ'!$B$6:$B$1005,$W1910)=0),COUNTIFS('①在庫を貼る'!$V$6:$V$10005,$V1910,'①在庫を貼る'!$W$6:$W$10005,$W1910)&gt;0),N(U1909),N(U1909)+1))</f>
        <v/>
      </c>
      <c r="V1910" s="19">
        <f>IF($B1910="","",TEXT($B1910,"0000"))</f>
        <v/>
      </c>
      <c r="W1910" s="19">
        <f>IF($I1910="","",IF(ISNUMBER($I1910),TEXT($I1910,"0"),$I1910))</f>
        <v/>
      </c>
    </row>
    <row r="1911">
      <c r="B1911" s="25" t="n"/>
      <c r="I1911" s="25" t="n"/>
      <c r="U1911" s="19">
        <f>IF($V1911&lt;&gt;'設定'!$C$4,N(U1910),IF(OR(NOT(COUNTIF('商品マスタ'!$B$6:$B$1005,$W1911)=0),COUNTIFS('①在庫を貼る'!$V$6:$V$10005,$V1911,'①在庫を貼る'!$W$6:$W$10005,$W1911)&gt;0),N(U1910),N(U1910)+1))</f>
        <v/>
      </c>
      <c r="V1911" s="19">
        <f>IF($B1911="","",TEXT($B1911,"0000"))</f>
        <v/>
      </c>
      <c r="W1911" s="19">
        <f>IF($I1911="","",IF(ISNUMBER($I1911),TEXT($I1911,"0"),$I1911))</f>
        <v/>
      </c>
    </row>
    <row r="1912">
      <c r="B1912" s="25" t="n"/>
      <c r="I1912" s="25" t="n"/>
      <c r="U1912" s="19">
        <f>IF($V1912&lt;&gt;'設定'!$C$4,N(U1911),IF(OR(NOT(COUNTIF('商品マスタ'!$B$6:$B$1005,$W1912)=0),COUNTIFS('①在庫を貼る'!$V$6:$V$10005,$V1912,'①在庫を貼る'!$W$6:$W$10005,$W1912)&gt;0),N(U1911),N(U1911)+1))</f>
        <v/>
      </c>
      <c r="V1912" s="19">
        <f>IF($B1912="","",TEXT($B1912,"0000"))</f>
        <v/>
      </c>
      <c r="W1912" s="19">
        <f>IF($I1912="","",IF(ISNUMBER($I1912),TEXT($I1912,"0"),$I1912))</f>
        <v/>
      </c>
    </row>
    <row r="1913">
      <c r="B1913" s="25" t="n"/>
      <c r="I1913" s="25" t="n"/>
      <c r="U1913" s="19">
        <f>IF($V1913&lt;&gt;'設定'!$C$4,N(U1912),IF(OR(NOT(COUNTIF('商品マスタ'!$B$6:$B$1005,$W1913)=0),COUNTIFS('①在庫を貼る'!$V$6:$V$10005,$V1913,'①在庫を貼る'!$W$6:$W$10005,$W1913)&gt;0),N(U1912),N(U1912)+1))</f>
        <v/>
      </c>
      <c r="V1913" s="19">
        <f>IF($B1913="","",TEXT($B1913,"0000"))</f>
        <v/>
      </c>
      <c r="W1913" s="19">
        <f>IF($I1913="","",IF(ISNUMBER($I1913),TEXT($I1913,"0"),$I1913))</f>
        <v/>
      </c>
    </row>
    <row r="1914">
      <c r="B1914" s="25" t="n"/>
      <c r="I1914" s="25" t="n"/>
      <c r="U1914" s="19">
        <f>IF($V1914&lt;&gt;'設定'!$C$4,N(U1913),IF(OR(NOT(COUNTIF('商品マスタ'!$B$6:$B$1005,$W1914)=0),COUNTIFS('①在庫を貼る'!$V$6:$V$10005,$V1914,'①在庫を貼る'!$W$6:$W$10005,$W1914)&gt;0),N(U1913),N(U1913)+1))</f>
        <v/>
      </c>
      <c r="V1914" s="19">
        <f>IF($B1914="","",TEXT($B1914,"0000"))</f>
        <v/>
      </c>
      <c r="W1914" s="19">
        <f>IF($I1914="","",IF(ISNUMBER($I1914),TEXT($I1914,"0"),$I1914))</f>
        <v/>
      </c>
    </row>
    <row r="1915">
      <c r="B1915" s="25" t="n"/>
      <c r="I1915" s="25" t="n"/>
      <c r="U1915" s="19">
        <f>IF($V1915&lt;&gt;'設定'!$C$4,N(U1914),IF(OR(NOT(COUNTIF('商品マスタ'!$B$6:$B$1005,$W1915)=0),COUNTIFS('①在庫を貼る'!$V$6:$V$10005,$V1915,'①在庫を貼る'!$W$6:$W$10005,$W1915)&gt;0),N(U1914),N(U1914)+1))</f>
        <v/>
      </c>
      <c r="V1915" s="19">
        <f>IF($B1915="","",TEXT($B1915,"0000"))</f>
        <v/>
      </c>
      <c r="W1915" s="19">
        <f>IF($I1915="","",IF(ISNUMBER($I1915),TEXT($I1915,"0"),$I1915))</f>
        <v/>
      </c>
    </row>
    <row r="1916">
      <c r="B1916" s="25" t="n"/>
      <c r="I1916" s="25" t="n"/>
      <c r="U1916" s="19">
        <f>IF($V1916&lt;&gt;'設定'!$C$4,N(U1915),IF(OR(NOT(COUNTIF('商品マスタ'!$B$6:$B$1005,$W1916)=0),COUNTIFS('①在庫を貼る'!$V$6:$V$10005,$V1916,'①在庫を貼る'!$W$6:$W$10005,$W1916)&gt;0),N(U1915),N(U1915)+1))</f>
        <v/>
      </c>
      <c r="V1916" s="19">
        <f>IF($B1916="","",TEXT($B1916,"0000"))</f>
        <v/>
      </c>
      <c r="W1916" s="19">
        <f>IF($I1916="","",IF(ISNUMBER($I1916),TEXT($I1916,"0"),$I1916))</f>
        <v/>
      </c>
    </row>
    <row r="1917">
      <c r="B1917" s="25" t="n"/>
      <c r="I1917" s="25" t="n"/>
      <c r="U1917" s="19">
        <f>IF($V1917&lt;&gt;'設定'!$C$4,N(U1916),IF(OR(NOT(COUNTIF('商品マスタ'!$B$6:$B$1005,$W1917)=0),COUNTIFS('①在庫を貼る'!$V$6:$V$10005,$V1917,'①在庫を貼る'!$W$6:$W$10005,$W1917)&gt;0),N(U1916),N(U1916)+1))</f>
        <v/>
      </c>
      <c r="V1917" s="19">
        <f>IF($B1917="","",TEXT($B1917,"0000"))</f>
        <v/>
      </c>
      <c r="W1917" s="19">
        <f>IF($I1917="","",IF(ISNUMBER($I1917),TEXT($I1917,"0"),$I1917))</f>
        <v/>
      </c>
    </row>
    <row r="1918">
      <c r="B1918" s="25" t="n"/>
      <c r="I1918" s="25" t="n"/>
      <c r="U1918" s="19">
        <f>IF($V1918&lt;&gt;'設定'!$C$4,N(U1917),IF(OR(NOT(COUNTIF('商品マスタ'!$B$6:$B$1005,$W1918)=0),COUNTIFS('①在庫を貼る'!$V$6:$V$10005,$V1918,'①在庫を貼る'!$W$6:$W$10005,$W1918)&gt;0),N(U1917),N(U1917)+1))</f>
        <v/>
      </c>
      <c r="V1918" s="19">
        <f>IF($B1918="","",TEXT($B1918,"0000"))</f>
        <v/>
      </c>
      <c r="W1918" s="19">
        <f>IF($I1918="","",IF(ISNUMBER($I1918),TEXT($I1918,"0"),$I1918))</f>
        <v/>
      </c>
    </row>
    <row r="1919">
      <c r="B1919" s="25" t="n"/>
      <c r="I1919" s="25" t="n"/>
      <c r="U1919" s="19">
        <f>IF($V1919&lt;&gt;'設定'!$C$4,N(U1918),IF(OR(NOT(COUNTIF('商品マスタ'!$B$6:$B$1005,$W1919)=0),COUNTIFS('①在庫を貼る'!$V$6:$V$10005,$V1919,'①在庫を貼る'!$W$6:$W$10005,$W1919)&gt;0),N(U1918),N(U1918)+1))</f>
        <v/>
      </c>
      <c r="V1919" s="19">
        <f>IF($B1919="","",TEXT($B1919,"0000"))</f>
        <v/>
      </c>
      <c r="W1919" s="19">
        <f>IF($I1919="","",IF(ISNUMBER($I1919),TEXT($I1919,"0"),$I1919))</f>
        <v/>
      </c>
    </row>
    <row r="1920">
      <c r="B1920" s="25" t="n"/>
      <c r="I1920" s="25" t="n"/>
      <c r="U1920" s="19">
        <f>IF($V1920&lt;&gt;'設定'!$C$4,N(U1919),IF(OR(NOT(COUNTIF('商品マスタ'!$B$6:$B$1005,$W1920)=0),COUNTIFS('①在庫を貼る'!$V$6:$V$10005,$V1920,'①在庫を貼る'!$W$6:$W$10005,$W1920)&gt;0),N(U1919),N(U1919)+1))</f>
        <v/>
      </c>
      <c r="V1920" s="19">
        <f>IF($B1920="","",TEXT($B1920,"0000"))</f>
        <v/>
      </c>
      <c r="W1920" s="19">
        <f>IF($I1920="","",IF(ISNUMBER($I1920),TEXT($I1920,"0"),$I1920))</f>
        <v/>
      </c>
    </row>
    <row r="1921">
      <c r="B1921" s="25" t="n"/>
      <c r="I1921" s="25" t="n"/>
      <c r="U1921" s="19">
        <f>IF($V1921&lt;&gt;'設定'!$C$4,N(U1920),IF(OR(NOT(COUNTIF('商品マスタ'!$B$6:$B$1005,$W1921)=0),COUNTIFS('①在庫を貼る'!$V$6:$V$10005,$V1921,'①在庫を貼る'!$W$6:$W$10005,$W1921)&gt;0),N(U1920),N(U1920)+1))</f>
        <v/>
      </c>
      <c r="V1921" s="19">
        <f>IF($B1921="","",TEXT($B1921,"0000"))</f>
        <v/>
      </c>
      <c r="W1921" s="19">
        <f>IF($I1921="","",IF(ISNUMBER($I1921),TEXT($I1921,"0"),$I1921))</f>
        <v/>
      </c>
    </row>
    <row r="1922">
      <c r="B1922" s="25" t="n"/>
      <c r="I1922" s="25" t="n"/>
      <c r="U1922" s="19">
        <f>IF($V1922&lt;&gt;'設定'!$C$4,N(U1921),IF(OR(NOT(COUNTIF('商品マスタ'!$B$6:$B$1005,$W1922)=0),COUNTIFS('①在庫を貼る'!$V$6:$V$10005,$V1922,'①在庫を貼る'!$W$6:$W$10005,$W1922)&gt;0),N(U1921),N(U1921)+1))</f>
        <v/>
      </c>
      <c r="V1922" s="19">
        <f>IF($B1922="","",TEXT($B1922,"0000"))</f>
        <v/>
      </c>
      <c r="W1922" s="19">
        <f>IF($I1922="","",IF(ISNUMBER($I1922),TEXT($I1922,"0"),$I1922))</f>
        <v/>
      </c>
    </row>
    <row r="1923">
      <c r="B1923" s="25" t="n"/>
      <c r="I1923" s="25" t="n"/>
      <c r="U1923" s="19">
        <f>IF($V1923&lt;&gt;'設定'!$C$4,N(U1922),IF(OR(NOT(COUNTIF('商品マスタ'!$B$6:$B$1005,$W1923)=0),COUNTIFS('①在庫を貼る'!$V$6:$V$10005,$V1923,'①在庫を貼る'!$W$6:$W$10005,$W1923)&gt;0),N(U1922),N(U1922)+1))</f>
        <v/>
      </c>
      <c r="V1923" s="19">
        <f>IF($B1923="","",TEXT($B1923,"0000"))</f>
        <v/>
      </c>
      <c r="W1923" s="19">
        <f>IF($I1923="","",IF(ISNUMBER($I1923),TEXT($I1923,"0"),$I1923))</f>
        <v/>
      </c>
    </row>
    <row r="1924">
      <c r="B1924" s="25" t="n"/>
      <c r="I1924" s="25" t="n"/>
      <c r="U1924" s="19">
        <f>IF($V1924&lt;&gt;'設定'!$C$4,N(U1923),IF(OR(NOT(COUNTIF('商品マスタ'!$B$6:$B$1005,$W1924)=0),COUNTIFS('①在庫を貼る'!$V$6:$V$10005,$V1924,'①在庫を貼る'!$W$6:$W$10005,$W1924)&gt;0),N(U1923),N(U1923)+1))</f>
        <v/>
      </c>
      <c r="V1924" s="19">
        <f>IF($B1924="","",TEXT($B1924,"0000"))</f>
        <v/>
      </c>
      <c r="W1924" s="19">
        <f>IF($I1924="","",IF(ISNUMBER($I1924),TEXT($I1924,"0"),$I1924))</f>
        <v/>
      </c>
    </row>
    <row r="1925">
      <c r="B1925" s="25" t="n"/>
      <c r="I1925" s="25" t="n"/>
      <c r="U1925" s="19">
        <f>IF($V1925&lt;&gt;'設定'!$C$4,N(U1924),IF(OR(NOT(COUNTIF('商品マスタ'!$B$6:$B$1005,$W1925)=0),COUNTIFS('①在庫を貼る'!$V$6:$V$10005,$V1925,'①在庫を貼る'!$W$6:$W$10005,$W1925)&gt;0),N(U1924),N(U1924)+1))</f>
        <v/>
      </c>
      <c r="V1925" s="19">
        <f>IF($B1925="","",TEXT($B1925,"0000"))</f>
        <v/>
      </c>
      <c r="W1925" s="19">
        <f>IF($I1925="","",IF(ISNUMBER($I1925),TEXT($I1925,"0"),$I1925))</f>
        <v/>
      </c>
    </row>
    <row r="1926">
      <c r="B1926" s="25" t="n"/>
      <c r="I1926" s="25" t="n"/>
      <c r="U1926" s="19">
        <f>IF($V1926&lt;&gt;'設定'!$C$4,N(U1925),IF(OR(NOT(COUNTIF('商品マスタ'!$B$6:$B$1005,$W1926)=0),COUNTIFS('①在庫を貼る'!$V$6:$V$10005,$V1926,'①在庫を貼る'!$W$6:$W$10005,$W1926)&gt;0),N(U1925),N(U1925)+1))</f>
        <v/>
      </c>
      <c r="V1926" s="19">
        <f>IF($B1926="","",TEXT($B1926,"0000"))</f>
        <v/>
      </c>
      <c r="W1926" s="19">
        <f>IF($I1926="","",IF(ISNUMBER($I1926),TEXT($I1926,"0"),$I1926))</f>
        <v/>
      </c>
    </row>
    <row r="1927">
      <c r="B1927" s="25" t="n"/>
      <c r="I1927" s="25" t="n"/>
      <c r="U1927" s="19">
        <f>IF($V1927&lt;&gt;'設定'!$C$4,N(U1926),IF(OR(NOT(COUNTIF('商品マスタ'!$B$6:$B$1005,$W1927)=0),COUNTIFS('①在庫を貼る'!$V$6:$V$10005,$V1927,'①在庫を貼る'!$W$6:$W$10005,$W1927)&gt;0),N(U1926),N(U1926)+1))</f>
        <v/>
      </c>
      <c r="V1927" s="19">
        <f>IF($B1927="","",TEXT($B1927,"0000"))</f>
        <v/>
      </c>
      <c r="W1927" s="19">
        <f>IF($I1927="","",IF(ISNUMBER($I1927),TEXT($I1927,"0"),$I1927))</f>
        <v/>
      </c>
    </row>
    <row r="1928">
      <c r="B1928" s="25" t="n"/>
      <c r="I1928" s="25" t="n"/>
      <c r="U1928" s="19">
        <f>IF($V1928&lt;&gt;'設定'!$C$4,N(U1927),IF(OR(NOT(COUNTIF('商品マスタ'!$B$6:$B$1005,$W1928)=0),COUNTIFS('①在庫を貼る'!$V$6:$V$10005,$V1928,'①在庫を貼る'!$W$6:$W$10005,$W1928)&gt;0),N(U1927),N(U1927)+1))</f>
        <v/>
      </c>
      <c r="V1928" s="19">
        <f>IF($B1928="","",TEXT($B1928,"0000"))</f>
        <v/>
      </c>
      <c r="W1928" s="19">
        <f>IF($I1928="","",IF(ISNUMBER($I1928),TEXT($I1928,"0"),$I1928))</f>
        <v/>
      </c>
    </row>
    <row r="1929">
      <c r="B1929" s="25" t="n"/>
      <c r="I1929" s="25" t="n"/>
      <c r="U1929" s="19">
        <f>IF($V1929&lt;&gt;'設定'!$C$4,N(U1928),IF(OR(NOT(COUNTIF('商品マスタ'!$B$6:$B$1005,$W1929)=0),COUNTIFS('①在庫を貼る'!$V$6:$V$10005,$V1929,'①在庫を貼る'!$W$6:$W$10005,$W1929)&gt;0),N(U1928),N(U1928)+1))</f>
        <v/>
      </c>
      <c r="V1929" s="19">
        <f>IF($B1929="","",TEXT($B1929,"0000"))</f>
        <v/>
      </c>
      <c r="W1929" s="19">
        <f>IF($I1929="","",IF(ISNUMBER($I1929),TEXT($I1929,"0"),$I1929))</f>
        <v/>
      </c>
    </row>
    <row r="1930">
      <c r="B1930" s="25" t="n"/>
      <c r="I1930" s="25" t="n"/>
      <c r="U1930" s="19">
        <f>IF($V1930&lt;&gt;'設定'!$C$4,N(U1929),IF(OR(NOT(COUNTIF('商品マスタ'!$B$6:$B$1005,$W1930)=0),COUNTIFS('①在庫を貼る'!$V$6:$V$10005,$V1930,'①在庫を貼る'!$W$6:$W$10005,$W1930)&gt;0),N(U1929),N(U1929)+1))</f>
        <v/>
      </c>
      <c r="V1930" s="19">
        <f>IF($B1930="","",TEXT($B1930,"0000"))</f>
        <v/>
      </c>
      <c r="W1930" s="19">
        <f>IF($I1930="","",IF(ISNUMBER($I1930),TEXT($I1930,"0"),$I1930))</f>
        <v/>
      </c>
    </row>
    <row r="1931">
      <c r="B1931" s="25" t="n"/>
      <c r="I1931" s="25" t="n"/>
      <c r="U1931" s="19">
        <f>IF($V1931&lt;&gt;'設定'!$C$4,N(U1930),IF(OR(NOT(COUNTIF('商品マスタ'!$B$6:$B$1005,$W1931)=0),COUNTIFS('①在庫を貼る'!$V$6:$V$10005,$V1931,'①在庫を貼る'!$W$6:$W$10005,$W1931)&gt;0),N(U1930),N(U1930)+1))</f>
        <v/>
      </c>
      <c r="V1931" s="19">
        <f>IF($B1931="","",TEXT($B1931,"0000"))</f>
        <v/>
      </c>
      <c r="W1931" s="19">
        <f>IF($I1931="","",IF(ISNUMBER($I1931),TEXT($I1931,"0"),$I1931))</f>
        <v/>
      </c>
    </row>
    <row r="1932">
      <c r="B1932" s="25" t="n"/>
      <c r="I1932" s="25" t="n"/>
      <c r="U1932" s="19">
        <f>IF($V1932&lt;&gt;'設定'!$C$4,N(U1931),IF(OR(NOT(COUNTIF('商品マスタ'!$B$6:$B$1005,$W1932)=0),COUNTIFS('①在庫を貼る'!$V$6:$V$10005,$V1932,'①在庫を貼る'!$W$6:$W$10005,$W1932)&gt;0),N(U1931),N(U1931)+1))</f>
        <v/>
      </c>
      <c r="V1932" s="19">
        <f>IF($B1932="","",TEXT($B1932,"0000"))</f>
        <v/>
      </c>
      <c r="W1932" s="19">
        <f>IF($I1932="","",IF(ISNUMBER($I1932),TEXT($I1932,"0"),$I1932))</f>
        <v/>
      </c>
    </row>
    <row r="1933">
      <c r="B1933" s="25" t="n"/>
      <c r="I1933" s="25" t="n"/>
      <c r="U1933" s="19">
        <f>IF($V1933&lt;&gt;'設定'!$C$4,N(U1932),IF(OR(NOT(COUNTIF('商品マスタ'!$B$6:$B$1005,$W1933)=0),COUNTIFS('①在庫を貼る'!$V$6:$V$10005,$V1933,'①在庫を貼る'!$W$6:$W$10005,$W1933)&gt;0),N(U1932),N(U1932)+1))</f>
        <v/>
      </c>
      <c r="V1933" s="19">
        <f>IF($B1933="","",TEXT($B1933,"0000"))</f>
        <v/>
      </c>
      <c r="W1933" s="19">
        <f>IF($I1933="","",IF(ISNUMBER($I1933),TEXT($I1933,"0"),$I1933))</f>
        <v/>
      </c>
    </row>
    <row r="1934">
      <c r="B1934" s="25" t="n"/>
      <c r="I1934" s="25" t="n"/>
      <c r="U1934" s="19">
        <f>IF($V1934&lt;&gt;'設定'!$C$4,N(U1933),IF(OR(NOT(COUNTIF('商品マスタ'!$B$6:$B$1005,$W1934)=0),COUNTIFS('①在庫を貼る'!$V$6:$V$10005,$V1934,'①在庫を貼る'!$W$6:$W$10005,$W1934)&gt;0),N(U1933),N(U1933)+1))</f>
        <v/>
      </c>
      <c r="V1934" s="19">
        <f>IF($B1934="","",TEXT($B1934,"0000"))</f>
        <v/>
      </c>
      <c r="W1934" s="19">
        <f>IF($I1934="","",IF(ISNUMBER($I1934),TEXT($I1934,"0"),$I1934))</f>
        <v/>
      </c>
    </row>
    <row r="1935">
      <c r="B1935" s="25" t="n"/>
      <c r="I1935" s="25" t="n"/>
      <c r="U1935" s="19">
        <f>IF($V1935&lt;&gt;'設定'!$C$4,N(U1934),IF(OR(NOT(COUNTIF('商品マスタ'!$B$6:$B$1005,$W1935)=0),COUNTIFS('①在庫を貼る'!$V$6:$V$10005,$V1935,'①在庫を貼る'!$W$6:$W$10005,$W1935)&gt;0),N(U1934),N(U1934)+1))</f>
        <v/>
      </c>
      <c r="V1935" s="19">
        <f>IF($B1935="","",TEXT($B1935,"0000"))</f>
        <v/>
      </c>
      <c r="W1935" s="19">
        <f>IF($I1935="","",IF(ISNUMBER($I1935),TEXT($I1935,"0"),$I1935))</f>
        <v/>
      </c>
    </row>
    <row r="1936">
      <c r="B1936" s="25" t="n"/>
      <c r="I1936" s="25" t="n"/>
      <c r="U1936" s="19">
        <f>IF($V1936&lt;&gt;'設定'!$C$4,N(U1935),IF(OR(NOT(COUNTIF('商品マスタ'!$B$6:$B$1005,$W1936)=0),COUNTIFS('①在庫を貼る'!$V$6:$V$10005,$V1936,'①在庫を貼る'!$W$6:$W$10005,$W1936)&gt;0),N(U1935),N(U1935)+1))</f>
        <v/>
      </c>
      <c r="V1936" s="19">
        <f>IF($B1936="","",TEXT($B1936,"0000"))</f>
        <v/>
      </c>
      <c r="W1936" s="19">
        <f>IF($I1936="","",IF(ISNUMBER($I1936),TEXT($I1936,"0"),$I1936))</f>
        <v/>
      </c>
    </row>
    <row r="1937">
      <c r="B1937" s="25" t="n"/>
      <c r="I1937" s="25" t="n"/>
      <c r="U1937" s="19">
        <f>IF($V1937&lt;&gt;'設定'!$C$4,N(U1936),IF(OR(NOT(COUNTIF('商品マスタ'!$B$6:$B$1005,$W1937)=0),COUNTIFS('①在庫を貼る'!$V$6:$V$10005,$V1937,'①在庫を貼る'!$W$6:$W$10005,$W1937)&gt;0),N(U1936),N(U1936)+1))</f>
        <v/>
      </c>
      <c r="V1937" s="19">
        <f>IF($B1937="","",TEXT($B1937,"0000"))</f>
        <v/>
      </c>
      <c r="W1937" s="19">
        <f>IF($I1937="","",IF(ISNUMBER($I1937),TEXT($I1937,"0"),$I1937))</f>
        <v/>
      </c>
    </row>
    <row r="1938">
      <c r="B1938" s="25" t="n"/>
      <c r="I1938" s="25" t="n"/>
      <c r="U1938" s="19">
        <f>IF($V1938&lt;&gt;'設定'!$C$4,N(U1937),IF(OR(NOT(COUNTIF('商品マスタ'!$B$6:$B$1005,$W1938)=0),COUNTIFS('①在庫を貼る'!$V$6:$V$10005,$V1938,'①在庫を貼る'!$W$6:$W$10005,$W1938)&gt;0),N(U1937),N(U1937)+1))</f>
        <v/>
      </c>
      <c r="V1938" s="19">
        <f>IF($B1938="","",TEXT($B1938,"0000"))</f>
        <v/>
      </c>
      <c r="W1938" s="19">
        <f>IF($I1938="","",IF(ISNUMBER($I1938),TEXT($I1938,"0"),$I1938))</f>
        <v/>
      </c>
    </row>
    <row r="1939">
      <c r="B1939" s="25" t="n"/>
      <c r="I1939" s="25" t="n"/>
      <c r="U1939" s="19">
        <f>IF($V1939&lt;&gt;'設定'!$C$4,N(U1938),IF(OR(NOT(COUNTIF('商品マスタ'!$B$6:$B$1005,$W1939)=0),COUNTIFS('①在庫を貼る'!$V$6:$V$10005,$V1939,'①在庫を貼る'!$W$6:$W$10005,$W1939)&gt;0),N(U1938),N(U1938)+1))</f>
        <v/>
      </c>
      <c r="V1939" s="19">
        <f>IF($B1939="","",TEXT($B1939,"0000"))</f>
        <v/>
      </c>
      <c r="W1939" s="19">
        <f>IF($I1939="","",IF(ISNUMBER($I1939),TEXT($I1939,"0"),$I1939))</f>
        <v/>
      </c>
    </row>
    <row r="1940">
      <c r="B1940" s="25" t="n"/>
      <c r="I1940" s="25" t="n"/>
      <c r="U1940" s="19">
        <f>IF($V1940&lt;&gt;'設定'!$C$4,N(U1939),IF(OR(NOT(COUNTIF('商品マスタ'!$B$6:$B$1005,$W1940)=0),COUNTIFS('①在庫を貼る'!$V$6:$V$10005,$V1940,'①在庫を貼る'!$W$6:$W$10005,$W1940)&gt;0),N(U1939),N(U1939)+1))</f>
        <v/>
      </c>
      <c r="V1940" s="19">
        <f>IF($B1940="","",TEXT($B1940,"0000"))</f>
        <v/>
      </c>
      <c r="W1940" s="19">
        <f>IF($I1940="","",IF(ISNUMBER($I1940),TEXT($I1940,"0"),$I1940))</f>
        <v/>
      </c>
    </row>
    <row r="1941">
      <c r="B1941" s="25" t="n"/>
      <c r="I1941" s="25" t="n"/>
      <c r="U1941" s="19">
        <f>IF($V1941&lt;&gt;'設定'!$C$4,N(U1940),IF(OR(NOT(COUNTIF('商品マスタ'!$B$6:$B$1005,$W1941)=0),COUNTIFS('①在庫を貼る'!$V$6:$V$10005,$V1941,'①在庫を貼る'!$W$6:$W$10005,$W1941)&gt;0),N(U1940),N(U1940)+1))</f>
        <v/>
      </c>
      <c r="V1941" s="19">
        <f>IF($B1941="","",TEXT($B1941,"0000"))</f>
        <v/>
      </c>
      <c r="W1941" s="19">
        <f>IF($I1941="","",IF(ISNUMBER($I1941),TEXT($I1941,"0"),$I1941))</f>
        <v/>
      </c>
    </row>
    <row r="1942">
      <c r="B1942" s="25" t="n"/>
      <c r="I1942" s="25" t="n"/>
      <c r="U1942" s="19">
        <f>IF($V1942&lt;&gt;'設定'!$C$4,N(U1941),IF(OR(NOT(COUNTIF('商品マスタ'!$B$6:$B$1005,$W1942)=0),COUNTIFS('①在庫を貼る'!$V$6:$V$10005,$V1942,'①在庫を貼る'!$W$6:$W$10005,$W1942)&gt;0),N(U1941),N(U1941)+1))</f>
        <v/>
      </c>
      <c r="V1942" s="19">
        <f>IF($B1942="","",TEXT($B1942,"0000"))</f>
        <v/>
      </c>
      <c r="W1942" s="19">
        <f>IF($I1942="","",IF(ISNUMBER($I1942),TEXT($I1942,"0"),$I1942))</f>
        <v/>
      </c>
    </row>
    <row r="1943">
      <c r="B1943" s="25" t="n"/>
      <c r="I1943" s="25" t="n"/>
      <c r="U1943" s="19">
        <f>IF($V1943&lt;&gt;'設定'!$C$4,N(U1942),IF(OR(NOT(COUNTIF('商品マスタ'!$B$6:$B$1005,$W1943)=0),COUNTIFS('①在庫を貼る'!$V$6:$V$10005,$V1943,'①在庫を貼る'!$W$6:$W$10005,$W1943)&gt;0),N(U1942),N(U1942)+1))</f>
        <v/>
      </c>
      <c r="V1943" s="19">
        <f>IF($B1943="","",TEXT($B1943,"0000"))</f>
        <v/>
      </c>
      <c r="W1943" s="19">
        <f>IF($I1943="","",IF(ISNUMBER($I1943),TEXT($I1943,"0"),$I1943))</f>
        <v/>
      </c>
    </row>
    <row r="1944">
      <c r="B1944" s="25" t="n"/>
      <c r="I1944" s="25" t="n"/>
      <c r="U1944" s="19">
        <f>IF($V1944&lt;&gt;'設定'!$C$4,N(U1943),IF(OR(NOT(COUNTIF('商品マスタ'!$B$6:$B$1005,$W1944)=0),COUNTIFS('①在庫を貼る'!$V$6:$V$10005,$V1944,'①在庫を貼る'!$W$6:$W$10005,$W1944)&gt;0),N(U1943),N(U1943)+1))</f>
        <v/>
      </c>
      <c r="V1944" s="19">
        <f>IF($B1944="","",TEXT($B1944,"0000"))</f>
        <v/>
      </c>
      <c r="W1944" s="19">
        <f>IF($I1944="","",IF(ISNUMBER($I1944),TEXT($I1944,"0"),$I1944))</f>
        <v/>
      </c>
    </row>
    <row r="1945">
      <c r="B1945" s="25" t="n"/>
      <c r="I1945" s="25" t="n"/>
      <c r="U1945" s="19">
        <f>IF($V1945&lt;&gt;'設定'!$C$4,N(U1944),IF(OR(NOT(COUNTIF('商品マスタ'!$B$6:$B$1005,$W1945)=0),COUNTIFS('①在庫を貼る'!$V$6:$V$10005,$V1945,'①在庫を貼る'!$W$6:$W$10005,$W1945)&gt;0),N(U1944),N(U1944)+1))</f>
        <v/>
      </c>
      <c r="V1945" s="19">
        <f>IF($B1945="","",TEXT($B1945,"0000"))</f>
        <v/>
      </c>
      <c r="W1945" s="19">
        <f>IF($I1945="","",IF(ISNUMBER($I1945),TEXT($I1945,"0"),$I1945))</f>
        <v/>
      </c>
    </row>
    <row r="1946">
      <c r="B1946" s="25" t="n"/>
      <c r="I1946" s="25" t="n"/>
      <c r="U1946" s="19">
        <f>IF($V1946&lt;&gt;'設定'!$C$4,N(U1945),IF(OR(NOT(COUNTIF('商品マスタ'!$B$6:$B$1005,$W1946)=0),COUNTIFS('①在庫を貼る'!$V$6:$V$10005,$V1946,'①在庫を貼る'!$W$6:$W$10005,$W1946)&gt;0),N(U1945),N(U1945)+1))</f>
        <v/>
      </c>
      <c r="V1946" s="19">
        <f>IF($B1946="","",TEXT($B1946,"0000"))</f>
        <v/>
      </c>
      <c r="W1946" s="19">
        <f>IF($I1946="","",IF(ISNUMBER($I1946),TEXT($I1946,"0"),$I1946))</f>
        <v/>
      </c>
    </row>
    <row r="1947">
      <c r="B1947" s="25" t="n"/>
      <c r="I1947" s="25" t="n"/>
      <c r="U1947" s="19">
        <f>IF($V1947&lt;&gt;'設定'!$C$4,N(U1946),IF(OR(NOT(COUNTIF('商品マスタ'!$B$6:$B$1005,$W1947)=0),COUNTIFS('①在庫を貼る'!$V$6:$V$10005,$V1947,'①在庫を貼る'!$W$6:$W$10005,$W1947)&gt;0),N(U1946),N(U1946)+1))</f>
        <v/>
      </c>
      <c r="V1947" s="19">
        <f>IF($B1947="","",TEXT($B1947,"0000"))</f>
        <v/>
      </c>
      <c r="W1947" s="19">
        <f>IF($I1947="","",IF(ISNUMBER($I1947),TEXT($I1947,"0"),$I1947))</f>
        <v/>
      </c>
    </row>
    <row r="1948">
      <c r="B1948" s="25" t="n"/>
      <c r="I1948" s="25" t="n"/>
      <c r="U1948" s="19">
        <f>IF($V1948&lt;&gt;'設定'!$C$4,N(U1947),IF(OR(NOT(COUNTIF('商品マスタ'!$B$6:$B$1005,$W1948)=0),COUNTIFS('①在庫を貼る'!$V$6:$V$10005,$V1948,'①在庫を貼る'!$W$6:$W$10005,$W1948)&gt;0),N(U1947),N(U1947)+1))</f>
        <v/>
      </c>
      <c r="V1948" s="19">
        <f>IF($B1948="","",TEXT($B1948,"0000"))</f>
        <v/>
      </c>
      <c r="W1948" s="19">
        <f>IF($I1948="","",IF(ISNUMBER($I1948),TEXT($I1948,"0"),$I1948))</f>
        <v/>
      </c>
    </row>
    <row r="1949">
      <c r="B1949" s="25" t="n"/>
      <c r="I1949" s="25" t="n"/>
      <c r="U1949" s="19">
        <f>IF($V1949&lt;&gt;'設定'!$C$4,N(U1948),IF(OR(NOT(COUNTIF('商品マスタ'!$B$6:$B$1005,$W1949)=0),COUNTIFS('①在庫を貼る'!$V$6:$V$10005,$V1949,'①在庫を貼る'!$W$6:$W$10005,$W1949)&gt;0),N(U1948),N(U1948)+1))</f>
        <v/>
      </c>
      <c r="V1949" s="19">
        <f>IF($B1949="","",TEXT($B1949,"0000"))</f>
        <v/>
      </c>
      <c r="W1949" s="19">
        <f>IF($I1949="","",IF(ISNUMBER($I1949),TEXT($I1949,"0"),$I1949))</f>
        <v/>
      </c>
    </row>
    <row r="1950">
      <c r="B1950" s="25" t="n"/>
      <c r="I1950" s="25" t="n"/>
      <c r="U1950" s="19">
        <f>IF($V1950&lt;&gt;'設定'!$C$4,N(U1949),IF(OR(NOT(COUNTIF('商品マスタ'!$B$6:$B$1005,$W1950)=0),COUNTIFS('①在庫を貼る'!$V$6:$V$10005,$V1950,'①在庫を貼る'!$W$6:$W$10005,$W1950)&gt;0),N(U1949),N(U1949)+1))</f>
        <v/>
      </c>
      <c r="V1950" s="19">
        <f>IF($B1950="","",TEXT($B1950,"0000"))</f>
        <v/>
      </c>
      <c r="W1950" s="19">
        <f>IF($I1950="","",IF(ISNUMBER($I1950),TEXT($I1950,"0"),$I1950))</f>
        <v/>
      </c>
    </row>
    <row r="1951">
      <c r="B1951" s="25" t="n"/>
      <c r="I1951" s="25" t="n"/>
      <c r="U1951" s="19">
        <f>IF($V1951&lt;&gt;'設定'!$C$4,N(U1950),IF(OR(NOT(COUNTIF('商品マスタ'!$B$6:$B$1005,$W1951)=0),COUNTIFS('①在庫を貼る'!$V$6:$V$10005,$V1951,'①在庫を貼る'!$W$6:$W$10005,$W1951)&gt;0),N(U1950),N(U1950)+1))</f>
        <v/>
      </c>
      <c r="V1951" s="19">
        <f>IF($B1951="","",TEXT($B1951,"0000"))</f>
        <v/>
      </c>
      <c r="W1951" s="19">
        <f>IF($I1951="","",IF(ISNUMBER($I1951),TEXT($I1951,"0"),$I1951))</f>
        <v/>
      </c>
    </row>
    <row r="1952">
      <c r="B1952" s="25" t="n"/>
      <c r="I1952" s="25" t="n"/>
      <c r="U1952" s="19">
        <f>IF($V1952&lt;&gt;'設定'!$C$4,N(U1951),IF(OR(NOT(COUNTIF('商品マスタ'!$B$6:$B$1005,$W1952)=0),COUNTIFS('①在庫を貼る'!$V$6:$V$10005,$V1952,'①在庫を貼る'!$W$6:$W$10005,$W1952)&gt;0),N(U1951),N(U1951)+1))</f>
        <v/>
      </c>
      <c r="V1952" s="19">
        <f>IF($B1952="","",TEXT($B1952,"0000"))</f>
        <v/>
      </c>
      <c r="W1952" s="19">
        <f>IF($I1952="","",IF(ISNUMBER($I1952),TEXT($I1952,"0"),$I1952))</f>
        <v/>
      </c>
    </row>
    <row r="1953">
      <c r="B1953" s="25" t="n"/>
      <c r="I1953" s="25" t="n"/>
      <c r="U1953" s="19">
        <f>IF($V1953&lt;&gt;'設定'!$C$4,N(U1952),IF(OR(NOT(COUNTIF('商品マスタ'!$B$6:$B$1005,$W1953)=0),COUNTIFS('①在庫を貼る'!$V$6:$V$10005,$V1953,'①在庫を貼る'!$W$6:$W$10005,$W1953)&gt;0),N(U1952),N(U1952)+1))</f>
        <v/>
      </c>
      <c r="V1953" s="19">
        <f>IF($B1953="","",TEXT($B1953,"0000"))</f>
        <v/>
      </c>
      <c r="W1953" s="19">
        <f>IF($I1953="","",IF(ISNUMBER($I1953),TEXT($I1953,"0"),$I1953))</f>
        <v/>
      </c>
    </row>
    <row r="1954">
      <c r="B1954" s="25" t="n"/>
      <c r="I1954" s="25" t="n"/>
      <c r="U1954" s="19">
        <f>IF($V1954&lt;&gt;'設定'!$C$4,N(U1953),IF(OR(NOT(COUNTIF('商品マスタ'!$B$6:$B$1005,$W1954)=0),COUNTIFS('①在庫を貼る'!$V$6:$V$10005,$V1954,'①在庫を貼る'!$W$6:$W$10005,$W1954)&gt;0),N(U1953),N(U1953)+1))</f>
        <v/>
      </c>
      <c r="V1954" s="19">
        <f>IF($B1954="","",TEXT($B1954,"0000"))</f>
        <v/>
      </c>
      <c r="W1954" s="19">
        <f>IF($I1954="","",IF(ISNUMBER($I1954),TEXT($I1954,"0"),$I1954))</f>
        <v/>
      </c>
    </row>
    <row r="1955">
      <c r="B1955" s="25" t="n"/>
      <c r="I1955" s="25" t="n"/>
      <c r="U1955" s="19">
        <f>IF($V1955&lt;&gt;'設定'!$C$4,N(U1954),IF(OR(NOT(COUNTIF('商品マスタ'!$B$6:$B$1005,$W1955)=0),COUNTIFS('①在庫を貼る'!$V$6:$V$10005,$V1955,'①在庫を貼る'!$W$6:$W$10005,$W1955)&gt;0),N(U1954),N(U1954)+1))</f>
        <v/>
      </c>
      <c r="V1955" s="19">
        <f>IF($B1955="","",TEXT($B1955,"0000"))</f>
        <v/>
      </c>
      <c r="W1955" s="19">
        <f>IF($I1955="","",IF(ISNUMBER($I1955),TEXT($I1955,"0"),$I1955))</f>
        <v/>
      </c>
    </row>
    <row r="1956">
      <c r="B1956" s="25" t="n"/>
      <c r="I1956" s="25" t="n"/>
      <c r="U1956" s="19">
        <f>IF($V1956&lt;&gt;'設定'!$C$4,N(U1955),IF(OR(NOT(COUNTIF('商品マスタ'!$B$6:$B$1005,$W1956)=0),COUNTIFS('①在庫を貼る'!$V$6:$V$10005,$V1956,'①在庫を貼る'!$W$6:$W$10005,$W1956)&gt;0),N(U1955),N(U1955)+1))</f>
        <v/>
      </c>
      <c r="V1956" s="19">
        <f>IF($B1956="","",TEXT($B1956,"0000"))</f>
        <v/>
      </c>
      <c r="W1956" s="19">
        <f>IF($I1956="","",IF(ISNUMBER($I1956),TEXT($I1956,"0"),$I1956))</f>
        <v/>
      </c>
    </row>
    <row r="1957">
      <c r="B1957" s="25" t="n"/>
      <c r="I1957" s="25" t="n"/>
      <c r="U1957" s="19">
        <f>IF($V1957&lt;&gt;'設定'!$C$4,N(U1956),IF(OR(NOT(COUNTIF('商品マスタ'!$B$6:$B$1005,$W1957)=0),COUNTIFS('①在庫を貼る'!$V$6:$V$10005,$V1957,'①在庫を貼る'!$W$6:$W$10005,$W1957)&gt;0),N(U1956),N(U1956)+1))</f>
        <v/>
      </c>
      <c r="V1957" s="19">
        <f>IF($B1957="","",TEXT($B1957,"0000"))</f>
        <v/>
      </c>
      <c r="W1957" s="19">
        <f>IF($I1957="","",IF(ISNUMBER($I1957),TEXT($I1957,"0"),$I1957))</f>
        <v/>
      </c>
    </row>
    <row r="1958">
      <c r="B1958" s="25" t="n"/>
      <c r="I1958" s="25" t="n"/>
      <c r="U1958" s="19">
        <f>IF($V1958&lt;&gt;'設定'!$C$4,N(U1957),IF(OR(NOT(COUNTIF('商品マスタ'!$B$6:$B$1005,$W1958)=0),COUNTIFS('①在庫を貼る'!$V$6:$V$10005,$V1958,'①在庫を貼る'!$W$6:$W$10005,$W1958)&gt;0),N(U1957),N(U1957)+1))</f>
        <v/>
      </c>
      <c r="V1958" s="19">
        <f>IF($B1958="","",TEXT($B1958,"0000"))</f>
        <v/>
      </c>
      <c r="W1958" s="19">
        <f>IF($I1958="","",IF(ISNUMBER($I1958),TEXT($I1958,"0"),$I1958))</f>
        <v/>
      </c>
    </row>
    <row r="1959">
      <c r="B1959" s="25" t="n"/>
      <c r="I1959" s="25" t="n"/>
      <c r="U1959" s="19">
        <f>IF($V1959&lt;&gt;'設定'!$C$4,N(U1958),IF(OR(NOT(COUNTIF('商品マスタ'!$B$6:$B$1005,$W1959)=0),COUNTIFS('①在庫を貼る'!$V$6:$V$10005,$V1959,'①在庫を貼る'!$W$6:$W$10005,$W1959)&gt;0),N(U1958),N(U1958)+1))</f>
        <v/>
      </c>
      <c r="V1959" s="19">
        <f>IF($B1959="","",TEXT($B1959,"0000"))</f>
        <v/>
      </c>
      <c r="W1959" s="19">
        <f>IF($I1959="","",IF(ISNUMBER($I1959),TEXT($I1959,"0"),$I1959))</f>
        <v/>
      </c>
    </row>
    <row r="1960">
      <c r="B1960" s="25" t="n"/>
      <c r="I1960" s="25" t="n"/>
      <c r="U1960" s="19">
        <f>IF($V1960&lt;&gt;'設定'!$C$4,N(U1959),IF(OR(NOT(COUNTIF('商品マスタ'!$B$6:$B$1005,$W1960)=0),COUNTIFS('①在庫を貼る'!$V$6:$V$10005,$V1960,'①在庫を貼る'!$W$6:$W$10005,$W1960)&gt;0),N(U1959),N(U1959)+1))</f>
        <v/>
      </c>
      <c r="V1960" s="19">
        <f>IF($B1960="","",TEXT($B1960,"0000"))</f>
        <v/>
      </c>
      <c r="W1960" s="19">
        <f>IF($I1960="","",IF(ISNUMBER($I1960),TEXT($I1960,"0"),$I1960))</f>
        <v/>
      </c>
    </row>
    <row r="1961">
      <c r="B1961" s="25" t="n"/>
      <c r="I1961" s="25" t="n"/>
      <c r="U1961" s="19">
        <f>IF($V1961&lt;&gt;'設定'!$C$4,N(U1960),IF(OR(NOT(COUNTIF('商品マスタ'!$B$6:$B$1005,$W1961)=0),COUNTIFS('①在庫を貼る'!$V$6:$V$10005,$V1961,'①在庫を貼る'!$W$6:$W$10005,$W1961)&gt;0),N(U1960),N(U1960)+1))</f>
        <v/>
      </c>
      <c r="V1961" s="19">
        <f>IF($B1961="","",TEXT($B1961,"0000"))</f>
        <v/>
      </c>
      <c r="W1961" s="19">
        <f>IF($I1961="","",IF(ISNUMBER($I1961),TEXT($I1961,"0"),$I1961))</f>
        <v/>
      </c>
    </row>
    <row r="1962">
      <c r="B1962" s="25" t="n"/>
      <c r="I1962" s="25" t="n"/>
      <c r="U1962" s="19">
        <f>IF($V1962&lt;&gt;'設定'!$C$4,N(U1961),IF(OR(NOT(COUNTIF('商品マスタ'!$B$6:$B$1005,$W1962)=0),COUNTIFS('①在庫を貼る'!$V$6:$V$10005,$V1962,'①在庫を貼る'!$W$6:$W$10005,$W1962)&gt;0),N(U1961),N(U1961)+1))</f>
        <v/>
      </c>
      <c r="V1962" s="19">
        <f>IF($B1962="","",TEXT($B1962,"0000"))</f>
        <v/>
      </c>
      <c r="W1962" s="19">
        <f>IF($I1962="","",IF(ISNUMBER($I1962),TEXT($I1962,"0"),$I1962))</f>
        <v/>
      </c>
    </row>
    <row r="1963">
      <c r="B1963" s="25" t="n"/>
      <c r="I1963" s="25" t="n"/>
      <c r="U1963" s="19">
        <f>IF($V1963&lt;&gt;'設定'!$C$4,N(U1962),IF(OR(NOT(COUNTIF('商品マスタ'!$B$6:$B$1005,$W1963)=0),COUNTIFS('①在庫を貼る'!$V$6:$V$10005,$V1963,'①在庫を貼る'!$W$6:$W$10005,$W1963)&gt;0),N(U1962),N(U1962)+1))</f>
        <v/>
      </c>
      <c r="V1963" s="19">
        <f>IF($B1963="","",TEXT($B1963,"0000"))</f>
        <v/>
      </c>
      <c r="W1963" s="19">
        <f>IF($I1963="","",IF(ISNUMBER($I1963),TEXT($I1963,"0"),$I1963))</f>
        <v/>
      </c>
    </row>
    <row r="1964">
      <c r="B1964" s="25" t="n"/>
      <c r="I1964" s="25" t="n"/>
      <c r="U1964" s="19">
        <f>IF($V1964&lt;&gt;'設定'!$C$4,N(U1963),IF(OR(NOT(COUNTIF('商品マスタ'!$B$6:$B$1005,$W1964)=0),COUNTIFS('①在庫を貼る'!$V$6:$V$10005,$V1964,'①在庫を貼る'!$W$6:$W$10005,$W1964)&gt;0),N(U1963),N(U1963)+1))</f>
        <v/>
      </c>
      <c r="V1964" s="19">
        <f>IF($B1964="","",TEXT($B1964,"0000"))</f>
        <v/>
      </c>
      <c r="W1964" s="19">
        <f>IF($I1964="","",IF(ISNUMBER($I1964),TEXT($I1964,"0"),$I1964))</f>
        <v/>
      </c>
    </row>
    <row r="1965">
      <c r="B1965" s="25" t="n"/>
      <c r="I1965" s="25" t="n"/>
      <c r="U1965" s="19">
        <f>IF($V1965&lt;&gt;'設定'!$C$4,N(U1964),IF(OR(NOT(COUNTIF('商品マスタ'!$B$6:$B$1005,$W1965)=0),COUNTIFS('①在庫を貼る'!$V$6:$V$10005,$V1965,'①在庫を貼る'!$W$6:$W$10005,$W1965)&gt;0),N(U1964),N(U1964)+1))</f>
        <v/>
      </c>
      <c r="V1965" s="19">
        <f>IF($B1965="","",TEXT($B1965,"0000"))</f>
        <v/>
      </c>
      <c r="W1965" s="19">
        <f>IF($I1965="","",IF(ISNUMBER($I1965),TEXT($I1965,"0"),$I1965))</f>
        <v/>
      </c>
    </row>
    <row r="1966">
      <c r="B1966" s="25" t="n"/>
      <c r="I1966" s="25" t="n"/>
      <c r="U1966" s="19">
        <f>IF($V1966&lt;&gt;'設定'!$C$4,N(U1965),IF(OR(NOT(COUNTIF('商品マスタ'!$B$6:$B$1005,$W1966)=0),COUNTIFS('①在庫を貼る'!$V$6:$V$10005,$V1966,'①在庫を貼る'!$W$6:$W$10005,$W1966)&gt;0),N(U1965),N(U1965)+1))</f>
        <v/>
      </c>
      <c r="V1966" s="19">
        <f>IF($B1966="","",TEXT($B1966,"0000"))</f>
        <v/>
      </c>
      <c r="W1966" s="19">
        <f>IF($I1966="","",IF(ISNUMBER($I1966),TEXT($I1966,"0"),$I1966))</f>
        <v/>
      </c>
    </row>
    <row r="1967">
      <c r="B1967" s="25" t="n"/>
      <c r="I1967" s="25" t="n"/>
      <c r="U1967" s="19">
        <f>IF($V1967&lt;&gt;'設定'!$C$4,N(U1966),IF(OR(NOT(COUNTIF('商品マスタ'!$B$6:$B$1005,$W1967)=0),COUNTIFS('①在庫を貼る'!$V$6:$V$10005,$V1967,'①在庫を貼る'!$W$6:$W$10005,$W1967)&gt;0),N(U1966),N(U1966)+1))</f>
        <v/>
      </c>
      <c r="V1967" s="19">
        <f>IF($B1967="","",TEXT($B1967,"0000"))</f>
        <v/>
      </c>
      <c r="W1967" s="19">
        <f>IF($I1967="","",IF(ISNUMBER($I1967),TEXT($I1967,"0"),$I1967))</f>
        <v/>
      </c>
    </row>
    <row r="1968">
      <c r="B1968" s="25" t="n"/>
      <c r="I1968" s="25" t="n"/>
      <c r="U1968" s="19">
        <f>IF($V1968&lt;&gt;'設定'!$C$4,N(U1967),IF(OR(NOT(COUNTIF('商品マスタ'!$B$6:$B$1005,$W1968)=0),COUNTIFS('①在庫を貼る'!$V$6:$V$10005,$V1968,'①在庫を貼る'!$W$6:$W$10005,$W1968)&gt;0),N(U1967),N(U1967)+1))</f>
        <v/>
      </c>
      <c r="V1968" s="19">
        <f>IF($B1968="","",TEXT($B1968,"0000"))</f>
        <v/>
      </c>
      <c r="W1968" s="19">
        <f>IF($I1968="","",IF(ISNUMBER($I1968),TEXT($I1968,"0"),$I1968))</f>
        <v/>
      </c>
    </row>
    <row r="1969">
      <c r="B1969" s="25" t="n"/>
      <c r="I1969" s="25" t="n"/>
      <c r="U1969" s="19">
        <f>IF($V1969&lt;&gt;'設定'!$C$4,N(U1968),IF(OR(NOT(COUNTIF('商品マスタ'!$B$6:$B$1005,$W1969)=0),COUNTIFS('①在庫を貼る'!$V$6:$V$10005,$V1969,'①在庫を貼る'!$W$6:$W$10005,$W1969)&gt;0),N(U1968),N(U1968)+1))</f>
        <v/>
      </c>
      <c r="V1969" s="19">
        <f>IF($B1969="","",TEXT($B1969,"0000"))</f>
        <v/>
      </c>
      <c r="W1969" s="19">
        <f>IF($I1969="","",IF(ISNUMBER($I1969),TEXT($I1969,"0"),$I1969))</f>
        <v/>
      </c>
    </row>
    <row r="1970">
      <c r="B1970" s="25" t="n"/>
      <c r="I1970" s="25" t="n"/>
      <c r="U1970" s="19">
        <f>IF($V1970&lt;&gt;'設定'!$C$4,N(U1969),IF(OR(NOT(COUNTIF('商品マスタ'!$B$6:$B$1005,$W1970)=0),COUNTIFS('①在庫を貼る'!$V$6:$V$10005,$V1970,'①在庫を貼る'!$W$6:$W$10005,$W1970)&gt;0),N(U1969),N(U1969)+1))</f>
        <v/>
      </c>
      <c r="V1970" s="19">
        <f>IF($B1970="","",TEXT($B1970,"0000"))</f>
        <v/>
      </c>
      <c r="W1970" s="19">
        <f>IF($I1970="","",IF(ISNUMBER($I1970),TEXT($I1970,"0"),$I1970))</f>
        <v/>
      </c>
    </row>
    <row r="1971">
      <c r="B1971" s="25" t="n"/>
      <c r="I1971" s="25" t="n"/>
      <c r="U1971" s="19">
        <f>IF($V1971&lt;&gt;'設定'!$C$4,N(U1970),IF(OR(NOT(COUNTIF('商品マスタ'!$B$6:$B$1005,$W1971)=0),COUNTIFS('①在庫を貼る'!$V$6:$V$10005,$V1971,'①在庫を貼る'!$W$6:$W$10005,$W1971)&gt;0),N(U1970),N(U1970)+1))</f>
        <v/>
      </c>
      <c r="V1971" s="19">
        <f>IF($B1971="","",TEXT($B1971,"0000"))</f>
        <v/>
      </c>
      <c r="W1971" s="19">
        <f>IF($I1971="","",IF(ISNUMBER($I1971),TEXT($I1971,"0"),$I1971))</f>
        <v/>
      </c>
    </row>
    <row r="1972">
      <c r="B1972" s="25" t="n"/>
      <c r="I1972" s="25" t="n"/>
      <c r="U1972" s="19">
        <f>IF($V1972&lt;&gt;'設定'!$C$4,N(U1971),IF(OR(NOT(COUNTIF('商品マスタ'!$B$6:$B$1005,$W1972)=0),COUNTIFS('①在庫を貼る'!$V$6:$V$10005,$V1972,'①在庫を貼る'!$W$6:$W$10005,$W1972)&gt;0),N(U1971),N(U1971)+1))</f>
        <v/>
      </c>
      <c r="V1972" s="19">
        <f>IF($B1972="","",TEXT($B1972,"0000"))</f>
        <v/>
      </c>
      <c r="W1972" s="19">
        <f>IF($I1972="","",IF(ISNUMBER($I1972),TEXT($I1972,"0"),$I1972))</f>
        <v/>
      </c>
    </row>
    <row r="1973">
      <c r="B1973" s="25" t="n"/>
      <c r="I1973" s="25" t="n"/>
      <c r="U1973" s="19">
        <f>IF($V1973&lt;&gt;'設定'!$C$4,N(U1972),IF(OR(NOT(COUNTIF('商品マスタ'!$B$6:$B$1005,$W1973)=0),COUNTIFS('①在庫を貼る'!$V$6:$V$10005,$V1973,'①在庫を貼る'!$W$6:$W$10005,$W1973)&gt;0),N(U1972),N(U1972)+1))</f>
        <v/>
      </c>
      <c r="V1973" s="19">
        <f>IF($B1973="","",TEXT($B1973,"0000"))</f>
        <v/>
      </c>
      <c r="W1973" s="19">
        <f>IF($I1973="","",IF(ISNUMBER($I1973),TEXT($I1973,"0"),$I1973))</f>
        <v/>
      </c>
    </row>
    <row r="1974">
      <c r="B1974" s="25" t="n"/>
      <c r="I1974" s="25" t="n"/>
      <c r="U1974" s="19">
        <f>IF($V1974&lt;&gt;'設定'!$C$4,N(U1973),IF(OR(NOT(COUNTIF('商品マスタ'!$B$6:$B$1005,$W1974)=0),COUNTIFS('①在庫を貼る'!$V$6:$V$10005,$V1974,'①在庫を貼る'!$W$6:$W$10005,$W1974)&gt;0),N(U1973),N(U1973)+1))</f>
        <v/>
      </c>
      <c r="V1974" s="19">
        <f>IF($B1974="","",TEXT($B1974,"0000"))</f>
        <v/>
      </c>
      <c r="W1974" s="19">
        <f>IF($I1974="","",IF(ISNUMBER($I1974),TEXT($I1974,"0"),$I1974))</f>
        <v/>
      </c>
    </row>
    <row r="1975">
      <c r="B1975" s="25" t="n"/>
      <c r="I1975" s="25" t="n"/>
      <c r="U1975" s="19">
        <f>IF($V1975&lt;&gt;'設定'!$C$4,N(U1974),IF(OR(NOT(COUNTIF('商品マスタ'!$B$6:$B$1005,$W1975)=0),COUNTIFS('①在庫を貼る'!$V$6:$V$10005,$V1975,'①在庫を貼る'!$W$6:$W$10005,$W1975)&gt;0),N(U1974),N(U1974)+1))</f>
        <v/>
      </c>
      <c r="V1975" s="19">
        <f>IF($B1975="","",TEXT($B1975,"0000"))</f>
        <v/>
      </c>
      <c r="W1975" s="19">
        <f>IF($I1975="","",IF(ISNUMBER($I1975),TEXT($I1975,"0"),$I1975))</f>
        <v/>
      </c>
    </row>
    <row r="1976">
      <c r="B1976" s="25" t="n"/>
      <c r="I1976" s="25" t="n"/>
      <c r="U1976" s="19">
        <f>IF($V1976&lt;&gt;'設定'!$C$4,N(U1975),IF(OR(NOT(COUNTIF('商品マスタ'!$B$6:$B$1005,$W1976)=0),COUNTIFS('①在庫を貼る'!$V$6:$V$10005,$V1976,'①在庫を貼る'!$W$6:$W$10005,$W1976)&gt;0),N(U1975),N(U1975)+1))</f>
        <v/>
      </c>
      <c r="V1976" s="19">
        <f>IF($B1976="","",TEXT($B1976,"0000"))</f>
        <v/>
      </c>
      <c r="W1976" s="19">
        <f>IF($I1976="","",IF(ISNUMBER($I1976),TEXT($I1976,"0"),$I1976))</f>
        <v/>
      </c>
    </row>
    <row r="1977">
      <c r="B1977" s="25" t="n"/>
      <c r="I1977" s="25" t="n"/>
      <c r="U1977" s="19">
        <f>IF($V1977&lt;&gt;'設定'!$C$4,N(U1976),IF(OR(NOT(COUNTIF('商品マスタ'!$B$6:$B$1005,$W1977)=0),COUNTIFS('①在庫を貼る'!$V$6:$V$10005,$V1977,'①在庫を貼る'!$W$6:$W$10005,$W1977)&gt;0),N(U1976),N(U1976)+1))</f>
        <v/>
      </c>
      <c r="V1977" s="19">
        <f>IF($B1977="","",TEXT($B1977,"0000"))</f>
        <v/>
      </c>
      <c r="W1977" s="19">
        <f>IF($I1977="","",IF(ISNUMBER($I1977),TEXT($I1977,"0"),$I1977))</f>
        <v/>
      </c>
    </row>
    <row r="1978">
      <c r="B1978" s="25" t="n"/>
      <c r="I1978" s="25" t="n"/>
      <c r="U1978" s="19">
        <f>IF($V1978&lt;&gt;'設定'!$C$4,N(U1977),IF(OR(NOT(COUNTIF('商品マスタ'!$B$6:$B$1005,$W1978)=0),COUNTIFS('①在庫を貼る'!$V$6:$V$10005,$V1978,'①在庫を貼る'!$W$6:$W$10005,$W1978)&gt;0),N(U1977),N(U1977)+1))</f>
        <v/>
      </c>
      <c r="V1978" s="19">
        <f>IF($B1978="","",TEXT($B1978,"0000"))</f>
        <v/>
      </c>
      <c r="W1978" s="19">
        <f>IF($I1978="","",IF(ISNUMBER($I1978),TEXT($I1978,"0"),$I1978))</f>
        <v/>
      </c>
    </row>
    <row r="1979">
      <c r="B1979" s="25" t="n"/>
      <c r="I1979" s="25" t="n"/>
      <c r="U1979" s="19">
        <f>IF($V1979&lt;&gt;'設定'!$C$4,N(U1978),IF(OR(NOT(COUNTIF('商品マスタ'!$B$6:$B$1005,$W1979)=0),COUNTIFS('①在庫を貼る'!$V$6:$V$10005,$V1979,'①在庫を貼る'!$W$6:$W$10005,$W1979)&gt;0),N(U1978),N(U1978)+1))</f>
        <v/>
      </c>
      <c r="V1979" s="19">
        <f>IF($B1979="","",TEXT($B1979,"0000"))</f>
        <v/>
      </c>
      <c r="W1979" s="19">
        <f>IF($I1979="","",IF(ISNUMBER($I1979),TEXT($I1979,"0"),$I1979))</f>
        <v/>
      </c>
    </row>
    <row r="1980">
      <c r="B1980" s="25" t="n"/>
      <c r="I1980" s="25" t="n"/>
      <c r="U1980" s="19">
        <f>IF($V1980&lt;&gt;'設定'!$C$4,N(U1979),IF(OR(NOT(COUNTIF('商品マスタ'!$B$6:$B$1005,$W1980)=0),COUNTIFS('①在庫を貼る'!$V$6:$V$10005,$V1980,'①在庫を貼る'!$W$6:$W$10005,$W1980)&gt;0),N(U1979),N(U1979)+1))</f>
        <v/>
      </c>
      <c r="V1980" s="19">
        <f>IF($B1980="","",TEXT($B1980,"0000"))</f>
        <v/>
      </c>
      <c r="W1980" s="19">
        <f>IF($I1980="","",IF(ISNUMBER($I1980),TEXT($I1980,"0"),$I1980))</f>
        <v/>
      </c>
    </row>
    <row r="1981">
      <c r="B1981" s="25" t="n"/>
      <c r="I1981" s="25" t="n"/>
      <c r="U1981" s="19">
        <f>IF($V1981&lt;&gt;'設定'!$C$4,N(U1980),IF(OR(NOT(COUNTIF('商品マスタ'!$B$6:$B$1005,$W1981)=0),COUNTIFS('①在庫を貼る'!$V$6:$V$10005,$V1981,'①在庫を貼る'!$W$6:$W$10005,$W1981)&gt;0),N(U1980),N(U1980)+1))</f>
        <v/>
      </c>
      <c r="V1981" s="19">
        <f>IF($B1981="","",TEXT($B1981,"0000"))</f>
        <v/>
      </c>
      <c r="W1981" s="19">
        <f>IF($I1981="","",IF(ISNUMBER($I1981),TEXT($I1981,"0"),$I1981))</f>
        <v/>
      </c>
    </row>
    <row r="1982">
      <c r="B1982" s="25" t="n"/>
      <c r="I1982" s="25" t="n"/>
      <c r="U1982" s="19">
        <f>IF($V1982&lt;&gt;'設定'!$C$4,N(U1981),IF(OR(NOT(COUNTIF('商品マスタ'!$B$6:$B$1005,$W1982)=0),COUNTIFS('①在庫を貼る'!$V$6:$V$10005,$V1982,'①在庫を貼る'!$W$6:$W$10005,$W1982)&gt;0),N(U1981),N(U1981)+1))</f>
        <v/>
      </c>
      <c r="V1982" s="19">
        <f>IF($B1982="","",TEXT($B1982,"0000"))</f>
        <v/>
      </c>
      <c r="W1982" s="19">
        <f>IF($I1982="","",IF(ISNUMBER($I1982),TEXT($I1982,"0"),$I1982))</f>
        <v/>
      </c>
    </row>
    <row r="1983">
      <c r="B1983" s="25" t="n"/>
      <c r="I1983" s="25" t="n"/>
      <c r="U1983" s="19">
        <f>IF($V1983&lt;&gt;'設定'!$C$4,N(U1982),IF(OR(NOT(COUNTIF('商品マスタ'!$B$6:$B$1005,$W1983)=0),COUNTIFS('①在庫を貼る'!$V$6:$V$10005,$V1983,'①在庫を貼る'!$W$6:$W$10005,$W1983)&gt;0),N(U1982),N(U1982)+1))</f>
        <v/>
      </c>
      <c r="V1983" s="19">
        <f>IF($B1983="","",TEXT($B1983,"0000"))</f>
        <v/>
      </c>
      <c r="W1983" s="19">
        <f>IF($I1983="","",IF(ISNUMBER($I1983),TEXT($I1983,"0"),$I1983))</f>
        <v/>
      </c>
    </row>
    <row r="1984">
      <c r="B1984" s="25" t="n"/>
      <c r="I1984" s="25" t="n"/>
      <c r="U1984" s="19">
        <f>IF($V1984&lt;&gt;'設定'!$C$4,N(U1983),IF(OR(NOT(COUNTIF('商品マスタ'!$B$6:$B$1005,$W1984)=0),COUNTIFS('①在庫を貼る'!$V$6:$V$10005,$V1984,'①在庫を貼る'!$W$6:$W$10005,$W1984)&gt;0),N(U1983),N(U1983)+1))</f>
        <v/>
      </c>
      <c r="V1984" s="19">
        <f>IF($B1984="","",TEXT($B1984,"0000"))</f>
        <v/>
      </c>
      <c r="W1984" s="19">
        <f>IF($I1984="","",IF(ISNUMBER($I1984),TEXT($I1984,"0"),$I1984))</f>
        <v/>
      </c>
    </row>
    <row r="1985">
      <c r="B1985" s="25" t="n"/>
      <c r="I1985" s="25" t="n"/>
      <c r="U1985" s="19">
        <f>IF($V1985&lt;&gt;'設定'!$C$4,N(U1984),IF(OR(NOT(COUNTIF('商品マスタ'!$B$6:$B$1005,$W1985)=0),COUNTIFS('①在庫を貼る'!$V$6:$V$10005,$V1985,'①在庫を貼る'!$W$6:$W$10005,$W1985)&gt;0),N(U1984),N(U1984)+1))</f>
        <v/>
      </c>
      <c r="V1985" s="19">
        <f>IF($B1985="","",TEXT($B1985,"0000"))</f>
        <v/>
      </c>
      <c r="W1985" s="19">
        <f>IF($I1985="","",IF(ISNUMBER($I1985),TEXT($I1985,"0"),$I1985))</f>
        <v/>
      </c>
    </row>
    <row r="1986">
      <c r="B1986" s="25" t="n"/>
      <c r="I1986" s="25" t="n"/>
      <c r="U1986" s="19">
        <f>IF($V1986&lt;&gt;'設定'!$C$4,N(U1985),IF(OR(NOT(COUNTIF('商品マスタ'!$B$6:$B$1005,$W1986)=0),COUNTIFS('①在庫を貼る'!$V$6:$V$10005,$V1986,'①在庫を貼る'!$W$6:$W$10005,$W1986)&gt;0),N(U1985),N(U1985)+1))</f>
        <v/>
      </c>
      <c r="V1986" s="19">
        <f>IF($B1986="","",TEXT($B1986,"0000"))</f>
        <v/>
      </c>
      <c r="W1986" s="19">
        <f>IF($I1986="","",IF(ISNUMBER($I1986),TEXT($I1986,"0"),$I1986))</f>
        <v/>
      </c>
    </row>
    <row r="1987">
      <c r="B1987" s="25" t="n"/>
      <c r="I1987" s="25" t="n"/>
      <c r="U1987" s="19">
        <f>IF($V1987&lt;&gt;'設定'!$C$4,N(U1986),IF(OR(NOT(COUNTIF('商品マスタ'!$B$6:$B$1005,$W1987)=0),COUNTIFS('①在庫を貼る'!$V$6:$V$10005,$V1987,'①在庫を貼る'!$W$6:$W$10005,$W1987)&gt;0),N(U1986),N(U1986)+1))</f>
        <v/>
      </c>
      <c r="V1987" s="19">
        <f>IF($B1987="","",TEXT($B1987,"0000"))</f>
        <v/>
      </c>
      <c r="W1987" s="19">
        <f>IF($I1987="","",IF(ISNUMBER($I1987),TEXT($I1987,"0"),$I1987))</f>
        <v/>
      </c>
    </row>
    <row r="1988">
      <c r="B1988" s="25" t="n"/>
      <c r="I1988" s="25" t="n"/>
      <c r="U1988" s="19">
        <f>IF($V1988&lt;&gt;'設定'!$C$4,N(U1987),IF(OR(NOT(COUNTIF('商品マスタ'!$B$6:$B$1005,$W1988)=0),COUNTIFS('①在庫を貼る'!$V$6:$V$10005,$V1988,'①在庫を貼る'!$W$6:$W$10005,$W1988)&gt;0),N(U1987),N(U1987)+1))</f>
        <v/>
      </c>
      <c r="V1988" s="19">
        <f>IF($B1988="","",TEXT($B1988,"0000"))</f>
        <v/>
      </c>
      <c r="W1988" s="19">
        <f>IF($I1988="","",IF(ISNUMBER($I1988),TEXT($I1988,"0"),$I1988))</f>
        <v/>
      </c>
    </row>
    <row r="1989">
      <c r="B1989" s="25" t="n"/>
      <c r="I1989" s="25" t="n"/>
      <c r="U1989" s="19">
        <f>IF($V1989&lt;&gt;'設定'!$C$4,N(U1988),IF(OR(NOT(COUNTIF('商品マスタ'!$B$6:$B$1005,$W1989)=0),COUNTIFS('①在庫を貼る'!$V$6:$V$10005,$V1989,'①在庫を貼る'!$W$6:$W$10005,$W1989)&gt;0),N(U1988),N(U1988)+1))</f>
        <v/>
      </c>
      <c r="V1989" s="19">
        <f>IF($B1989="","",TEXT($B1989,"0000"))</f>
        <v/>
      </c>
      <c r="W1989" s="19">
        <f>IF($I1989="","",IF(ISNUMBER($I1989),TEXT($I1989,"0"),$I1989))</f>
        <v/>
      </c>
    </row>
    <row r="1990">
      <c r="B1990" s="25" t="n"/>
      <c r="I1990" s="25" t="n"/>
      <c r="U1990" s="19">
        <f>IF($V1990&lt;&gt;'設定'!$C$4,N(U1989),IF(OR(NOT(COUNTIF('商品マスタ'!$B$6:$B$1005,$W1990)=0),COUNTIFS('①在庫を貼る'!$V$6:$V$10005,$V1990,'①在庫を貼る'!$W$6:$W$10005,$W1990)&gt;0),N(U1989),N(U1989)+1))</f>
        <v/>
      </c>
      <c r="V1990" s="19">
        <f>IF($B1990="","",TEXT($B1990,"0000"))</f>
        <v/>
      </c>
      <c r="W1990" s="19">
        <f>IF($I1990="","",IF(ISNUMBER($I1990),TEXT($I1990,"0"),$I1990))</f>
        <v/>
      </c>
    </row>
    <row r="1991">
      <c r="B1991" s="25" t="n"/>
      <c r="I1991" s="25" t="n"/>
      <c r="U1991" s="19">
        <f>IF($V1991&lt;&gt;'設定'!$C$4,N(U1990),IF(OR(NOT(COUNTIF('商品マスタ'!$B$6:$B$1005,$W1991)=0),COUNTIFS('①在庫を貼る'!$V$6:$V$10005,$V1991,'①在庫を貼る'!$W$6:$W$10005,$W1991)&gt;0),N(U1990),N(U1990)+1))</f>
        <v/>
      </c>
      <c r="V1991" s="19">
        <f>IF($B1991="","",TEXT($B1991,"0000"))</f>
        <v/>
      </c>
      <c r="W1991" s="19">
        <f>IF($I1991="","",IF(ISNUMBER($I1991),TEXT($I1991,"0"),$I1991))</f>
        <v/>
      </c>
    </row>
    <row r="1992">
      <c r="B1992" s="25" t="n"/>
      <c r="I1992" s="25" t="n"/>
      <c r="U1992" s="19">
        <f>IF($V1992&lt;&gt;'設定'!$C$4,N(U1991),IF(OR(NOT(COUNTIF('商品マスタ'!$B$6:$B$1005,$W1992)=0),COUNTIFS('①在庫を貼る'!$V$6:$V$10005,$V1992,'①在庫を貼る'!$W$6:$W$10005,$W1992)&gt;0),N(U1991),N(U1991)+1))</f>
        <v/>
      </c>
      <c r="V1992" s="19">
        <f>IF($B1992="","",TEXT($B1992,"0000"))</f>
        <v/>
      </c>
      <c r="W1992" s="19">
        <f>IF($I1992="","",IF(ISNUMBER($I1992),TEXT($I1992,"0"),$I1992))</f>
        <v/>
      </c>
    </row>
    <row r="1993">
      <c r="B1993" s="25" t="n"/>
      <c r="I1993" s="25" t="n"/>
      <c r="U1993" s="19">
        <f>IF($V1993&lt;&gt;'設定'!$C$4,N(U1992),IF(OR(NOT(COUNTIF('商品マスタ'!$B$6:$B$1005,$W1993)=0),COUNTIFS('①在庫を貼る'!$V$6:$V$10005,$V1993,'①在庫を貼る'!$W$6:$W$10005,$W1993)&gt;0),N(U1992),N(U1992)+1))</f>
        <v/>
      </c>
      <c r="V1993" s="19">
        <f>IF($B1993="","",TEXT($B1993,"0000"))</f>
        <v/>
      </c>
      <c r="W1993" s="19">
        <f>IF($I1993="","",IF(ISNUMBER($I1993),TEXT($I1993,"0"),$I1993))</f>
        <v/>
      </c>
    </row>
    <row r="1994">
      <c r="B1994" s="25" t="n"/>
      <c r="I1994" s="25" t="n"/>
      <c r="U1994" s="19">
        <f>IF($V1994&lt;&gt;'設定'!$C$4,N(U1993),IF(OR(NOT(COUNTIF('商品マスタ'!$B$6:$B$1005,$W1994)=0),COUNTIFS('①在庫を貼る'!$V$6:$V$10005,$V1994,'①在庫を貼る'!$W$6:$W$10005,$W1994)&gt;0),N(U1993),N(U1993)+1))</f>
        <v/>
      </c>
      <c r="V1994" s="19">
        <f>IF($B1994="","",TEXT($B1994,"0000"))</f>
        <v/>
      </c>
      <c r="W1994" s="19">
        <f>IF($I1994="","",IF(ISNUMBER($I1994),TEXT($I1994,"0"),$I1994))</f>
        <v/>
      </c>
    </row>
    <row r="1995">
      <c r="B1995" s="25" t="n"/>
      <c r="I1995" s="25" t="n"/>
      <c r="U1995" s="19">
        <f>IF($V1995&lt;&gt;'設定'!$C$4,N(U1994),IF(OR(NOT(COUNTIF('商品マスタ'!$B$6:$B$1005,$W1995)=0),COUNTIFS('①在庫を貼る'!$V$6:$V$10005,$V1995,'①在庫を貼る'!$W$6:$W$10005,$W1995)&gt;0),N(U1994),N(U1994)+1))</f>
        <v/>
      </c>
      <c r="V1995" s="19">
        <f>IF($B1995="","",TEXT($B1995,"0000"))</f>
        <v/>
      </c>
      <c r="W1995" s="19">
        <f>IF($I1995="","",IF(ISNUMBER($I1995),TEXT($I1995,"0"),$I1995))</f>
        <v/>
      </c>
    </row>
    <row r="1996">
      <c r="B1996" s="25" t="n"/>
      <c r="I1996" s="25" t="n"/>
      <c r="U1996" s="19">
        <f>IF($V1996&lt;&gt;'設定'!$C$4,N(U1995),IF(OR(NOT(COUNTIF('商品マスタ'!$B$6:$B$1005,$W1996)=0),COUNTIFS('①在庫を貼る'!$V$6:$V$10005,$V1996,'①在庫を貼る'!$W$6:$W$10005,$W1996)&gt;0),N(U1995),N(U1995)+1))</f>
        <v/>
      </c>
      <c r="V1996" s="19">
        <f>IF($B1996="","",TEXT($B1996,"0000"))</f>
        <v/>
      </c>
      <c r="W1996" s="19">
        <f>IF($I1996="","",IF(ISNUMBER($I1996),TEXT($I1996,"0"),$I1996))</f>
        <v/>
      </c>
    </row>
    <row r="1997">
      <c r="B1997" s="25" t="n"/>
      <c r="I1997" s="25" t="n"/>
      <c r="U1997" s="19">
        <f>IF($V1997&lt;&gt;'設定'!$C$4,N(U1996),IF(OR(NOT(COUNTIF('商品マスタ'!$B$6:$B$1005,$W1997)=0),COUNTIFS('①在庫を貼る'!$V$6:$V$10005,$V1997,'①在庫を貼る'!$W$6:$W$10005,$W1997)&gt;0),N(U1996),N(U1996)+1))</f>
        <v/>
      </c>
      <c r="V1997" s="19">
        <f>IF($B1997="","",TEXT($B1997,"0000"))</f>
        <v/>
      </c>
      <c r="W1997" s="19">
        <f>IF($I1997="","",IF(ISNUMBER($I1997),TEXT($I1997,"0"),$I1997))</f>
        <v/>
      </c>
    </row>
    <row r="1998">
      <c r="B1998" s="25" t="n"/>
      <c r="I1998" s="25" t="n"/>
      <c r="U1998" s="19">
        <f>IF($V1998&lt;&gt;'設定'!$C$4,N(U1997),IF(OR(NOT(COUNTIF('商品マスタ'!$B$6:$B$1005,$W1998)=0),COUNTIFS('①在庫を貼る'!$V$6:$V$10005,$V1998,'①在庫を貼る'!$W$6:$W$10005,$W1998)&gt;0),N(U1997),N(U1997)+1))</f>
        <v/>
      </c>
      <c r="V1998" s="19">
        <f>IF($B1998="","",TEXT($B1998,"0000"))</f>
        <v/>
      </c>
      <c r="W1998" s="19">
        <f>IF($I1998="","",IF(ISNUMBER($I1998),TEXT($I1998,"0"),$I1998))</f>
        <v/>
      </c>
    </row>
    <row r="1999">
      <c r="B1999" s="25" t="n"/>
      <c r="I1999" s="25" t="n"/>
      <c r="U1999" s="19">
        <f>IF($V1999&lt;&gt;'設定'!$C$4,N(U1998),IF(OR(NOT(COUNTIF('商品マスタ'!$B$6:$B$1005,$W1999)=0),COUNTIFS('①在庫を貼る'!$V$6:$V$10005,$V1999,'①在庫を貼る'!$W$6:$W$10005,$W1999)&gt;0),N(U1998),N(U1998)+1))</f>
        <v/>
      </c>
      <c r="V1999" s="19">
        <f>IF($B1999="","",TEXT($B1999,"0000"))</f>
        <v/>
      </c>
      <c r="W1999" s="19">
        <f>IF($I1999="","",IF(ISNUMBER($I1999),TEXT($I1999,"0"),$I1999))</f>
        <v/>
      </c>
    </row>
    <row r="2000">
      <c r="B2000" s="25" t="n"/>
      <c r="I2000" s="25" t="n"/>
      <c r="U2000" s="19">
        <f>IF($V2000&lt;&gt;'設定'!$C$4,N(U1999),IF(OR(NOT(COUNTIF('商品マスタ'!$B$6:$B$1005,$W2000)=0),COUNTIFS('①在庫を貼る'!$V$6:$V$10005,$V2000,'①在庫を貼る'!$W$6:$W$10005,$W2000)&gt;0),N(U1999),N(U1999)+1))</f>
        <v/>
      </c>
      <c r="V2000" s="19">
        <f>IF($B2000="","",TEXT($B2000,"0000"))</f>
        <v/>
      </c>
      <c r="W2000" s="19">
        <f>IF($I2000="","",IF(ISNUMBER($I2000),TEXT($I2000,"0"),$I2000))</f>
        <v/>
      </c>
    </row>
    <row r="2001">
      <c r="B2001" s="25" t="n"/>
      <c r="I2001" s="25" t="n"/>
      <c r="U2001" s="19">
        <f>IF($V2001&lt;&gt;'設定'!$C$4,N(U2000),IF(OR(NOT(COUNTIF('商品マスタ'!$B$6:$B$1005,$W2001)=0),COUNTIFS('①在庫を貼る'!$V$6:$V$10005,$V2001,'①在庫を貼る'!$W$6:$W$10005,$W2001)&gt;0),N(U2000),N(U2000)+1))</f>
        <v/>
      </c>
      <c r="V2001" s="19">
        <f>IF($B2001="","",TEXT($B2001,"0000"))</f>
        <v/>
      </c>
      <c r="W2001" s="19">
        <f>IF($I2001="","",IF(ISNUMBER($I2001),TEXT($I2001,"0"),$I2001))</f>
        <v/>
      </c>
    </row>
    <row r="2002">
      <c r="B2002" s="25" t="n"/>
      <c r="I2002" s="25" t="n"/>
      <c r="U2002" s="19">
        <f>IF($V2002&lt;&gt;'設定'!$C$4,N(U2001),IF(OR(NOT(COUNTIF('商品マスタ'!$B$6:$B$1005,$W2002)=0),COUNTIFS('①在庫を貼る'!$V$6:$V$10005,$V2002,'①在庫を貼る'!$W$6:$W$10005,$W2002)&gt;0),N(U2001),N(U2001)+1))</f>
        <v/>
      </c>
      <c r="V2002" s="19">
        <f>IF($B2002="","",TEXT($B2002,"0000"))</f>
        <v/>
      </c>
      <c r="W2002" s="19">
        <f>IF($I2002="","",IF(ISNUMBER($I2002),TEXT($I2002,"0"),$I2002))</f>
        <v/>
      </c>
    </row>
    <row r="2003">
      <c r="B2003" s="25" t="n"/>
      <c r="I2003" s="25" t="n"/>
      <c r="U2003" s="19">
        <f>IF($V2003&lt;&gt;'設定'!$C$4,N(U2002),IF(OR(NOT(COUNTIF('商品マスタ'!$B$6:$B$1005,$W2003)=0),COUNTIFS('①在庫を貼る'!$V$6:$V$10005,$V2003,'①在庫を貼る'!$W$6:$W$10005,$W2003)&gt;0),N(U2002),N(U2002)+1))</f>
        <v/>
      </c>
      <c r="V2003" s="19">
        <f>IF($B2003="","",TEXT($B2003,"0000"))</f>
        <v/>
      </c>
      <c r="W2003" s="19">
        <f>IF($I2003="","",IF(ISNUMBER($I2003),TEXT($I2003,"0"),$I2003))</f>
        <v/>
      </c>
    </row>
    <row r="2004">
      <c r="B2004" s="25" t="n"/>
      <c r="I2004" s="25" t="n"/>
      <c r="U2004" s="19">
        <f>IF($V2004&lt;&gt;'設定'!$C$4,N(U2003),IF(OR(NOT(COUNTIF('商品マスタ'!$B$6:$B$1005,$W2004)=0),COUNTIFS('①在庫を貼る'!$V$6:$V$10005,$V2004,'①在庫を貼る'!$W$6:$W$10005,$W2004)&gt;0),N(U2003),N(U2003)+1))</f>
        <v/>
      </c>
      <c r="V2004" s="19">
        <f>IF($B2004="","",TEXT($B2004,"0000"))</f>
        <v/>
      </c>
      <c r="W2004" s="19">
        <f>IF($I2004="","",IF(ISNUMBER($I2004),TEXT($I2004,"0"),$I2004))</f>
        <v/>
      </c>
    </row>
    <row r="2005">
      <c r="B2005" s="25" t="n"/>
      <c r="I2005" s="25" t="n"/>
      <c r="U2005" s="19">
        <f>IF($V2005&lt;&gt;'設定'!$C$4,N(U2004),IF(OR(NOT(COUNTIF('商品マスタ'!$B$6:$B$1005,$W2005)=0),COUNTIFS('①在庫を貼る'!$V$6:$V$10005,$V2005,'①在庫を貼る'!$W$6:$W$10005,$W2005)&gt;0),N(U2004),N(U2004)+1))</f>
        <v/>
      </c>
      <c r="V2005" s="19">
        <f>IF($B2005="","",TEXT($B2005,"0000"))</f>
        <v/>
      </c>
      <c r="W2005" s="19">
        <f>IF($I2005="","",IF(ISNUMBER($I2005),TEXT($I2005,"0"),$I2005))</f>
        <v/>
      </c>
    </row>
    <row r="2006">
      <c r="B2006" s="25" t="n"/>
      <c r="I2006" s="25" t="n"/>
      <c r="U2006" s="19">
        <f>IF($V2006&lt;&gt;'設定'!$C$4,N(U2005),IF(OR(NOT(COUNTIF('商品マスタ'!$B$6:$B$1005,$W2006)=0),COUNTIFS('①在庫を貼る'!$V$6:$V$10005,$V2006,'①在庫を貼る'!$W$6:$W$10005,$W2006)&gt;0),N(U2005),N(U2005)+1))</f>
        <v/>
      </c>
      <c r="V2006" s="19">
        <f>IF($B2006="","",TEXT($B2006,"0000"))</f>
        <v/>
      </c>
      <c r="W2006" s="19">
        <f>IF($I2006="","",IF(ISNUMBER($I2006),TEXT($I2006,"0"),$I2006))</f>
        <v/>
      </c>
    </row>
    <row r="2007">
      <c r="B2007" s="25" t="n"/>
      <c r="I2007" s="25" t="n"/>
      <c r="U2007" s="19">
        <f>IF($V2007&lt;&gt;'設定'!$C$4,N(U2006),IF(OR(NOT(COUNTIF('商品マスタ'!$B$6:$B$1005,$W2007)=0),COUNTIFS('①在庫を貼る'!$V$6:$V$10005,$V2007,'①在庫を貼る'!$W$6:$W$10005,$W2007)&gt;0),N(U2006),N(U2006)+1))</f>
        <v/>
      </c>
      <c r="V2007" s="19">
        <f>IF($B2007="","",TEXT($B2007,"0000"))</f>
        <v/>
      </c>
      <c r="W2007" s="19">
        <f>IF($I2007="","",IF(ISNUMBER($I2007),TEXT($I2007,"0"),$I2007))</f>
        <v/>
      </c>
    </row>
    <row r="2008">
      <c r="B2008" s="25" t="n"/>
      <c r="I2008" s="25" t="n"/>
      <c r="U2008" s="19">
        <f>IF($V2008&lt;&gt;'設定'!$C$4,N(U2007),IF(OR(NOT(COUNTIF('商品マスタ'!$B$6:$B$1005,$W2008)=0),COUNTIFS('①在庫を貼る'!$V$6:$V$10005,$V2008,'①在庫を貼る'!$W$6:$W$10005,$W2008)&gt;0),N(U2007),N(U2007)+1))</f>
        <v/>
      </c>
      <c r="V2008" s="19">
        <f>IF($B2008="","",TEXT($B2008,"0000"))</f>
        <v/>
      </c>
      <c r="W2008" s="19">
        <f>IF($I2008="","",IF(ISNUMBER($I2008),TEXT($I2008,"0"),$I2008))</f>
        <v/>
      </c>
    </row>
    <row r="2009">
      <c r="B2009" s="25" t="n"/>
      <c r="I2009" s="25" t="n"/>
      <c r="U2009" s="19">
        <f>IF($V2009&lt;&gt;'設定'!$C$4,N(U2008),IF(OR(NOT(COUNTIF('商品マスタ'!$B$6:$B$1005,$W2009)=0),COUNTIFS('①在庫を貼る'!$V$6:$V$10005,$V2009,'①在庫を貼る'!$W$6:$W$10005,$W2009)&gt;0),N(U2008),N(U2008)+1))</f>
        <v/>
      </c>
      <c r="V2009" s="19">
        <f>IF($B2009="","",TEXT($B2009,"0000"))</f>
        <v/>
      </c>
      <c r="W2009" s="19">
        <f>IF($I2009="","",IF(ISNUMBER($I2009),TEXT($I2009,"0"),$I2009))</f>
        <v/>
      </c>
    </row>
    <row r="2010">
      <c r="B2010" s="25" t="n"/>
      <c r="I2010" s="25" t="n"/>
      <c r="U2010" s="19">
        <f>IF($V2010&lt;&gt;'設定'!$C$4,N(U2009),IF(OR(NOT(COUNTIF('商品マスタ'!$B$6:$B$1005,$W2010)=0),COUNTIFS('①在庫を貼る'!$V$6:$V$10005,$V2010,'①在庫を貼る'!$W$6:$W$10005,$W2010)&gt;0),N(U2009),N(U2009)+1))</f>
        <v/>
      </c>
      <c r="V2010" s="19">
        <f>IF($B2010="","",TEXT($B2010,"0000"))</f>
        <v/>
      </c>
      <c r="W2010" s="19">
        <f>IF($I2010="","",IF(ISNUMBER($I2010),TEXT($I2010,"0"),$I2010))</f>
        <v/>
      </c>
    </row>
    <row r="2011">
      <c r="B2011" s="25" t="n"/>
      <c r="I2011" s="25" t="n"/>
      <c r="U2011" s="19">
        <f>IF($V2011&lt;&gt;'設定'!$C$4,N(U2010),IF(OR(NOT(COUNTIF('商品マスタ'!$B$6:$B$1005,$W2011)=0),COUNTIFS('①在庫を貼る'!$V$6:$V$10005,$V2011,'①在庫を貼る'!$W$6:$W$10005,$W2011)&gt;0),N(U2010),N(U2010)+1))</f>
        <v/>
      </c>
      <c r="V2011" s="19">
        <f>IF($B2011="","",TEXT($B2011,"0000"))</f>
        <v/>
      </c>
      <c r="W2011" s="19">
        <f>IF($I2011="","",IF(ISNUMBER($I2011),TEXT($I2011,"0"),$I2011))</f>
        <v/>
      </c>
    </row>
    <row r="2012">
      <c r="B2012" s="25" t="n"/>
      <c r="I2012" s="25" t="n"/>
      <c r="U2012" s="19">
        <f>IF($V2012&lt;&gt;'設定'!$C$4,N(U2011),IF(OR(NOT(COUNTIF('商品マスタ'!$B$6:$B$1005,$W2012)=0),COUNTIFS('①在庫を貼る'!$V$6:$V$10005,$V2012,'①在庫を貼る'!$W$6:$W$10005,$W2012)&gt;0),N(U2011),N(U2011)+1))</f>
        <v/>
      </c>
      <c r="V2012" s="19">
        <f>IF($B2012="","",TEXT($B2012,"0000"))</f>
        <v/>
      </c>
      <c r="W2012" s="19">
        <f>IF($I2012="","",IF(ISNUMBER($I2012),TEXT($I2012,"0"),$I2012))</f>
        <v/>
      </c>
    </row>
    <row r="2013">
      <c r="B2013" s="25" t="n"/>
      <c r="I2013" s="25" t="n"/>
      <c r="U2013" s="19">
        <f>IF($V2013&lt;&gt;'設定'!$C$4,N(U2012),IF(OR(NOT(COUNTIF('商品マスタ'!$B$6:$B$1005,$W2013)=0),COUNTIFS('①在庫を貼る'!$V$6:$V$10005,$V2013,'①在庫を貼る'!$W$6:$W$10005,$W2013)&gt;0),N(U2012),N(U2012)+1))</f>
        <v/>
      </c>
      <c r="V2013" s="19">
        <f>IF($B2013="","",TEXT($B2013,"0000"))</f>
        <v/>
      </c>
      <c r="W2013" s="19">
        <f>IF($I2013="","",IF(ISNUMBER($I2013),TEXT($I2013,"0"),$I2013))</f>
        <v/>
      </c>
    </row>
    <row r="2014">
      <c r="B2014" s="25" t="n"/>
      <c r="I2014" s="25" t="n"/>
      <c r="U2014" s="19">
        <f>IF($V2014&lt;&gt;'設定'!$C$4,N(U2013),IF(OR(NOT(COUNTIF('商品マスタ'!$B$6:$B$1005,$W2014)=0),COUNTIFS('①在庫を貼る'!$V$6:$V$10005,$V2014,'①在庫を貼る'!$W$6:$W$10005,$W2014)&gt;0),N(U2013),N(U2013)+1))</f>
        <v/>
      </c>
      <c r="V2014" s="19">
        <f>IF($B2014="","",TEXT($B2014,"0000"))</f>
        <v/>
      </c>
      <c r="W2014" s="19">
        <f>IF($I2014="","",IF(ISNUMBER($I2014),TEXT($I2014,"0"),$I2014))</f>
        <v/>
      </c>
    </row>
    <row r="2015">
      <c r="B2015" s="25" t="n"/>
      <c r="I2015" s="25" t="n"/>
      <c r="U2015" s="19">
        <f>IF($V2015&lt;&gt;'設定'!$C$4,N(U2014),IF(OR(NOT(COUNTIF('商品マスタ'!$B$6:$B$1005,$W2015)=0),COUNTIFS('①在庫を貼る'!$V$6:$V$10005,$V2015,'①在庫を貼る'!$W$6:$W$10005,$W2015)&gt;0),N(U2014),N(U2014)+1))</f>
        <v/>
      </c>
      <c r="V2015" s="19">
        <f>IF($B2015="","",TEXT($B2015,"0000"))</f>
        <v/>
      </c>
      <c r="W2015" s="19">
        <f>IF($I2015="","",IF(ISNUMBER($I2015),TEXT($I2015,"0"),$I2015))</f>
        <v/>
      </c>
    </row>
    <row r="2016">
      <c r="B2016" s="25" t="n"/>
      <c r="I2016" s="25" t="n"/>
      <c r="U2016" s="19">
        <f>IF($V2016&lt;&gt;'設定'!$C$4,N(U2015),IF(OR(NOT(COUNTIF('商品マスタ'!$B$6:$B$1005,$W2016)=0),COUNTIFS('①在庫を貼る'!$V$6:$V$10005,$V2016,'①在庫を貼る'!$W$6:$W$10005,$W2016)&gt;0),N(U2015),N(U2015)+1))</f>
        <v/>
      </c>
      <c r="V2016" s="19">
        <f>IF($B2016="","",TEXT($B2016,"0000"))</f>
        <v/>
      </c>
      <c r="W2016" s="19">
        <f>IF($I2016="","",IF(ISNUMBER($I2016),TEXT($I2016,"0"),$I2016))</f>
        <v/>
      </c>
    </row>
    <row r="2017">
      <c r="B2017" s="25" t="n"/>
      <c r="I2017" s="25" t="n"/>
      <c r="U2017" s="19">
        <f>IF($V2017&lt;&gt;'設定'!$C$4,N(U2016),IF(OR(NOT(COUNTIF('商品マスタ'!$B$6:$B$1005,$W2017)=0),COUNTIFS('①在庫を貼る'!$V$6:$V$10005,$V2017,'①在庫を貼る'!$W$6:$W$10005,$W2017)&gt;0),N(U2016),N(U2016)+1))</f>
        <v/>
      </c>
      <c r="V2017" s="19">
        <f>IF($B2017="","",TEXT($B2017,"0000"))</f>
        <v/>
      </c>
      <c r="W2017" s="19">
        <f>IF($I2017="","",IF(ISNUMBER($I2017),TEXT($I2017,"0"),$I2017))</f>
        <v/>
      </c>
    </row>
    <row r="2018">
      <c r="B2018" s="25" t="n"/>
      <c r="I2018" s="25" t="n"/>
      <c r="U2018" s="19">
        <f>IF($V2018&lt;&gt;'設定'!$C$4,N(U2017),IF(OR(NOT(COUNTIF('商品マスタ'!$B$6:$B$1005,$W2018)=0),COUNTIFS('①在庫を貼る'!$V$6:$V$10005,$V2018,'①在庫を貼る'!$W$6:$W$10005,$W2018)&gt;0),N(U2017),N(U2017)+1))</f>
        <v/>
      </c>
      <c r="V2018" s="19">
        <f>IF($B2018="","",TEXT($B2018,"0000"))</f>
        <v/>
      </c>
      <c r="W2018" s="19">
        <f>IF($I2018="","",IF(ISNUMBER($I2018),TEXT($I2018,"0"),$I2018))</f>
        <v/>
      </c>
    </row>
    <row r="2019">
      <c r="B2019" s="25" t="n"/>
      <c r="I2019" s="25" t="n"/>
      <c r="U2019" s="19">
        <f>IF($V2019&lt;&gt;'設定'!$C$4,N(U2018),IF(OR(NOT(COUNTIF('商品マスタ'!$B$6:$B$1005,$W2019)=0),COUNTIFS('①在庫を貼る'!$V$6:$V$10005,$V2019,'①在庫を貼る'!$W$6:$W$10005,$W2019)&gt;0),N(U2018),N(U2018)+1))</f>
        <v/>
      </c>
      <c r="V2019" s="19">
        <f>IF($B2019="","",TEXT($B2019,"0000"))</f>
        <v/>
      </c>
      <c r="W2019" s="19">
        <f>IF($I2019="","",IF(ISNUMBER($I2019),TEXT($I2019,"0"),$I2019))</f>
        <v/>
      </c>
    </row>
    <row r="2020">
      <c r="B2020" s="25" t="n"/>
      <c r="I2020" s="25" t="n"/>
      <c r="U2020" s="19">
        <f>IF($V2020&lt;&gt;'設定'!$C$4,N(U2019),IF(OR(NOT(COUNTIF('商品マスタ'!$B$6:$B$1005,$W2020)=0),COUNTIFS('①在庫を貼る'!$V$6:$V$10005,$V2020,'①在庫を貼る'!$W$6:$W$10005,$W2020)&gt;0),N(U2019),N(U2019)+1))</f>
        <v/>
      </c>
      <c r="V2020" s="19">
        <f>IF($B2020="","",TEXT($B2020,"0000"))</f>
        <v/>
      </c>
      <c r="W2020" s="19">
        <f>IF($I2020="","",IF(ISNUMBER($I2020),TEXT($I2020,"0"),$I2020))</f>
        <v/>
      </c>
    </row>
    <row r="2021">
      <c r="B2021" s="25" t="n"/>
      <c r="I2021" s="25" t="n"/>
      <c r="U2021" s="19">
        <f>IF($V2021&lt;&gt;'設定'!$C$4,N(U2020),IF(OR(NOT(COUNTIF('商品マスタ'!$B$6:$B$1005,$W2021)=0),COUNTIFS('①在庫を貼る'!$V$6:$V$10005,$V2021,'①在庫を貼る'!$W$6:$W$10005,$W2021)&gt;0),N(U2020),N(U2020)+1))</f>
        <v/>
      </c>
      <c r="V2021" s="19">
        <f>IF($B2021="","",TEXT($B2021,"0000"))</f>
        <v/>
      </c>
      <c r="W2021" s="19">
        <f>IF($I2021="","",IF(ISNUMBER($I2021),TEXT($I2021,"0"),$I2021))</f>
        <v/>
      </c>
    </row>
    <row r="2022">
      <c r="B2022" s="25" t="n"/>
      <c r="I2022" s="25" t="n"/>
      <c r="U2022" s="19">
        <f>IF($V2022&lt;&gt;'設定'!$C$4,N(U2021),IF(OR(NOT(COUNTIF('商品マスタ'!$B$6:$B$1005,$W2022)=0),COUNTIFS('①在庫を貼る'!$V$6:$V$10005,$V2022,'①在庫を貼る'!$W$6:$W$10005,$W2022)&gt;0),N(U2021),N(U2021)+1))</f>
        <v/>
      </c>
      <c r="V2022" s="19">
        <f>IF($B2022="","",TEXT($B2022,"0000"))</f>
        <v/>
      </c>
      <c r="W2022" s="19">
        <f>IF($I2022="","",IF(ISNUMBER($I2022),TEXT($I2022,"0"),$I2022))</f>
        <v/>
      </c>
    </row>
    <row r="2023">
      <c r="B2023" s="25" t="n"/>
      <c r="I2023" s="25" t="n"/>
      <c r="U2023" s="19">
        <f>IF($V2023&lt;&gt;'設定'!$C$4,N(U2022),IF(OR(NOT(COUNTIF('商品マスタ'!$B$6:$B$1005,$W2023)=0),COUNTIFS('①在庫を貼る'!$V$6:$V$10005,$V2023,'①在庫を貼る'!$W$6:$W$10005,$W2023)&gt;0),N(U2022),N(U2022)+1))</f>
        <v/>
      </c>
      <c r="V2023" s="19">
        <f>IF($B2023="","",TEXT($B2023,"0000"))</f>
        <v/>
      </c>
      <c r="W2023" s="19">
        <f>IF($I2023="","",IF(ISNUMBER($I2023),TEXT($I2023,"0"),$I2023))</f>
        <v/>
      </c>
    </row>
    <row r="2024">
      <c r="B2024" s="25" t="n"/>
      <c r="I2024" s="25" t="n"/>
      <c r="U2024" s="19">
        <f>IF($V2024&lt;&gt;'設定'!$C$4,N(U2023),IF(OR(NOT(COUNTIF('商品マスタ'!$B$6:$B$1005,$W2024)=0),COUNTIFS('①在庫を貼る'!$V$6:$V$10005,$V2024,'①在庫を貼る'!$W$6:$W$10005,$W2024)&gt;0),N(U2023),N(U2023)+1))</f>
        <v/>
      </c>
      <c r="V2024" s="19">
        <f>IF($B2024="","",TEXT($B2024,"0000"))</f>
        <v/>
      </c>
      <c r="W2024" s="19">
        <f>IF($I2024="","",IF(ISNUMBER($I2024),TEXT($I2024,"0"),$I2024))</f>
        <v/>
      </c>
    </row>
    <row r="2025">
      <c r="B2025" s="25" t="n"/>
      <c r="I2025" s="25" t="n"/>
      <c r="U2025" s="19">
        <f>IF($V2025&lt;&gt;'設定'!$C$4,N(U2024),IF(OR(NOT(COUNTIF('商品マスタ'!$B$6:$B$1005,$W2025)=0),COUNTIFS('①在庫を貼る'!$V$6:$V$10005,$V2025,'①在庫を貼る'!$W$6:$W$10005,$W2025)&gt;0),N(U2024),N(U2024)+1))</f>
        <v/>
      </c>
      <c r="V2025" s="19">
        <f>IF($B2025="","",TEXT($B2025,"0000"))</f>
        <v/>
      </c>
      <c r="W2025" s="19">
        <f>IF($I2025="","",IF(ISNUMBER($I2025),TEXT($I2025,"0"),$I2025))</f>
        <v/>
      </c>
    </row>
    <row r="2026">
      <c r="B2026" s="25" t="n"/>
      <c r="I2026" s="25" t="n"/>
      <c r="U2026" s="19">
        <f>IF($V2026&lt;&gt;'設定'!$C$4,N(U2025),IF(OR(NOT(COUNTIF('商品マスタ'!$B$6:$B$1005,$W2026)=0),COUNTIFS('①在庫を貼る'!$V$6:$V$10005,$V2026,'①在庫を貼る'!$W$6:$W$10005,$W2026)&gt;0),N(U2025),N(U2025)+1))</f>
        <v/>
      </c>
      <c r="V2026" s="19">
        <f>IF($B2026="","",TEXT($B2026,"0000"))</f>
        <v/>
      </c>
      <c r="W2026" s="19">
        <f>IF($I2026="","",IF(ISNUMBER($I2026),TEXT($I2026,"0"),$I2026))</f>
        <v/>
      </c>
    </row>
    <row r="2027">
      <c r="B2027" s="25" t="n"/>
      <c r="I2027" s="25" t="n"/>
      <c r="U2027" s="19">
        <f>IF($V2027&lt;&gt;'設定'!$C$4,N(U2026),IF(OR(NOT(COUNTIF('商品マスタ'!$B$6:$B$1005,$W2027)=0),COUNTIFS('①在庫を貼る'!$V$6:$V$10005,$V2027,'①在庫を貼る'!$W$6:$W$10005,$W2027)&gt;0),N(U2026),N(U2026)+1))</f>
        <v/>
      </c>
      <c r="V2027" s="19">
        <f>IF($B2027="","",TEXT($B2027,"0000"))</f>
        <v/>
      </c>
      <c r="W2027" s="19">
        <f>IF($I2027="","",IF(ISNUMBER($I2027),TEXT($I2027,"0"),$I2027))</f>
        <v/>
      </c>
    </row>
    <row r="2028">
      <c r="B2028" s="25" t="n"/>
      <c r="I2028" s="25" t="n"/>
      <c r="U2028" s="19">
        <f>IF($V2028&lt;&gt;'設定'!$C$4,N(U2027),IF(OR(NOT(COUNTIF('商品マスタ'!$B$6:$B$1005,$W2028)=0),COUNTIFS('①在庫を貼る'!$V$6:$V$10005,$V2028,'①在庫を貼る'!$W$6:$W$10005,$W2028)&gt;0),N(U2027),N(U2027)+1))</f>
        <v/>
      </c>
      <c r="V2028" s="19">
        <f>IF($B2028="","",TEXT($B2028,"0000"))</f>
        <v/>
      </c>
      <c r="W2028" s="19">
        <f>IF($I2028="","",IF(ISNUMBER($I2028),TEXT($I2028,"0"),$I2028))</f>
        <v/>
      </c>
    </row>
    <row r="2029">
      <c r="B2029" s="25" t="n"/>
      <c r="I2029" s="25" t="n"/>
      <c r="U2029" s="19">
        <f>IF($V2029&lt;&gt;'設定'!$C$4,N(U2028),IF(OR(NOT(COUNTIF('商品マスタ'!$B$6:$B$1005,$W2029)=0),COUNTIFS('①在庫を貼る'!$V$6:$V$10005,$V2029,'①在庫を貼る'!$W$6:$W$10005,$W2029)&gt;0),N(U2028),N(U2028)+1))</f>
        <v/>
      </c>
      <c r="V2029" s="19">
        <f>IF($B2029="","",TEXT($B2029,"0000"))</f>
        <v/>
      </c>
      <c r="W2029" s="19">
        <f>IF($I2029="","",IF(ISNUMBER($I2029),TEXT($I2029,"0"),$I2029))</f>
        <v/>
      </c>
    </row>
    <row r="2030">
      <c r="B2030" s="25" t="n"/>
      <c r="I2030" s="25" t="n"/>
      <c r="U2030" s="19">
        <f>IF($V2030&lt;&gt;'設定'!$C$4,N(U2029),IF(OR(NOT(COUNTIF('商品マスタ'!$B$6:$B$1005,$W2030)=0),COUNTIFS('①在庫を貼る'!$V$6:$V$10005,$V2030,'①在庫を貼る'!$W$6:$W$10005,$W2030)&gt;0),N(U2029),N(U2029)+1))</f>
        <v/>
      </c>
      <c r="V2030" s="19">
        <f>IF($B2030="","",TEXT($B2030,"0000"))</f>
        <v/>
      </c>
      <c r="W2030" s="19">
        <f>IF($I2030="","",IF(ISNUMBER($I2030),TEXT($I2030,"0"),$I2030))</f>
        <v/>
      </c>
    </row>
    <row r="2031">
      <c r="B2031" s="25" t="n"/>
      <c r="I2031" s="25" t="n"/>
      <c r="U2031" s="19">
        <f>IF($V2031&lt;&gt;'設定'!$C$4,N(U2030),IF(OR(NOT(COUNTIF('商品マスタ'!$B$6:$B$1005,$W2031)=0),COUNTIFS('①在庫を貼る'!$V$6:$V$10005,$V2031,'①在庫を貼る'!$W$6:$W$10005,$W2031)&gt;0),N(U2030),N(U2030)+1))</f>
        <v/>
      </c>
      <c r="V2031" s="19">
        <f>IF($B2031="","",TEXT($B2031,"0000"))</f>
        <v/>
      </c>
      <c r="W2031" s="19">
        <f>IF($I2031="","",IF(ISNUMBER($I2031),TEXT($I2031,"0"),$I2031))</f>
        <v/>
      </c>
    </row>
    <row r="2032">
      <c r="B2032" s="25" t="n"/>
      <c r="I2032" s="25" t="n"/>
      <c r="U2032" s="19">
        <f>IF($V2032&lt;&gt;'設定'!$C$4,N(U2031),IF(OR(NOT(COUNTIF('商品マスタ'!$B$6:$B$1005,$W2032)=0),COUNTIFS('①在庫を貼る'!$V$6:$V$10005,$V2032,'①在庫を貼る'!$W$6:$W$10005,$W2032)&gt;0),N(U2031),N(U2031)+1))</f>
        <v/>
      </c>
      <c r="V2032" s="19">
        <f>IF($B2032="","",TEXT($B2032,"0000"))</f>
        <v/>
      </c>
      <c r="W2032" s="19">
        <f>IF($I2032="","",IF(ISNUMBER($I2032),TEXT($I2032,"0"),$I2032))</f>
        <v/>
      </c>
    </row>
    <row r="2033">
      <c r="B2033" s="25" t="n"/>
      <c r="I2033" s="25" t="n"/>
      <c r="U2033" s="19">
        <f>IF($V2033&lt;&gt;'設定'!$C$4,N(U2032),IF(OR(NOT(COUNTIF('商品マスタ'!$B$6:$B$1005,$W2033)=0),COUNTIFS('①在庫を貼る'!$V$6:$V$10005,$V2033,'①在庫を貼る'!$W$6:$W$10005,$W2033)&gt;0),N(U2032),N(U2032)+1))</f>
        <v/>
      </c>
      <c r="V2033" s="19">
        <f>IF($B2033="","",TEXT($B2033,"0000"))</f>
        <v/>
      </c>
      <c r="W2033" s="19">
        <f>IF($I2033="","",IF(ISNUMBER($I2033),TEXT($I2033,"0"),$I2033))</f>
        <v/>
      </c>
    </row>
    <row r="2034">
      <c r="B2034" s="25" t="n"/>
      <c r="I2034" s="25" t="n"/>
      <c r="U2034" s="19">
        <f>IF($V2034&lt;&gt;'設定'!$C$4,N(U2033),IF(OR(NOT(COUNTIF('商品マスタ'!$B$6:$B$1005,$W2034)=0),COUNTIFS('①在庫を貼る'!$V$6:$V$10005,$V2034,'①在庫を貼る'!$W$6:$W$10005,$W2034)&gt;0),N(U2033),N(U2033)+1))</f>
        <v/>
      </c>
      <c r="V2034" s="19">
        <f>IF($B2034="","",TEXT($B2034,"0000"))</f>
        <v/>
      </c>
      <c r="W2034" s="19">
        <f>IF($I2034="","",IF(ISNUMBER($I2034),TEXT($I2034,"0"),$I2034))</f>
        <v/>
      </c>
    </row>
    <row r="2035">
      <c r="B2035" s="25" t="n"/>
      <c r="I2035" s="25" t="n"/>
      <c r="U2035" s="19">
        <f>IF($V2035&lt;&gt;'設定'!$C$4,N(U2034),IF(OR(NOT(COUNTIF('商品マスタ'!$B$6:$B$1005,$W2035)=0),COUNTIFS('①在庫を貼る'!$V$6:$V$10005,$V2035,'①在庫を貼る'!$W$6:$W$10005,$W2035)&gt;0),N(U2034),N(U2034)+1))</f>
        <v/>
      </c>
      <c r="V2035" s="19">
        <f>IF($B2035="","",TEXT($B2035,"0000"))</f>
        <v/>
      </c>
      <c r="W2035" s="19">
        <f>IF($I2035="","",IF(ISNUMBER($I2035),TEXT($I2035,"0"),$I2035))</f>
        <v/>
      </c>
    </row>
    <row r="2036">
      <c r="B2036" s="25" t="n"/>
      <c r="I2036" s="25" t="n"/>
      <c r="U2036" s="19">
        <f>IF($V2036&lt;&gt;'設定'!$C$4,N(U2035),IF(OR(NOT(COUNTIF('商品マスタ'!$B$6:$B$1005,$W2036)=0),COUNTIFS('①在庫を貼る'!$V$6:$V$10005,$V2036,'①在庫を貼る'!$W$6:$W$10005,$W2036)&gt;0),N(U2035),N(U2035)+1))</f>
        <v/>
      </c>
      <c r="V2036" s="19">
        <f>IF($B2036="","",TEXT($B2036,"0000"))</f>
        <v/>
      </c>
      <c r="W2036" s="19">
        <f>IF($I2036="","",IF(ISNUMBER($I2036),TEXT($I2036,"0"),$I2036))</f>
        <v/>
      </c>
    </row>
    <row r="2037">
      <c r="B2037" s="25" t="n"/>
      <c r="I2037" s="25" t="n"/>
      <c r="U2037" s="19">
        <f>IF($V2037&lt;&gt;'設定'!$C$4,N(U2036),IF(OR(NOT(COUNTIF('商品マスタ'!$B$6:$B$1005,$W2037)=0),COUNTIFS('①在庫を貼る'!$V$6:$V$10005,$V2037,'①在庫を貼る'!$W$6:$W$10005,$W2037)&gt;0),N(U2036),N(U2036)+1))</f>
        <v/>
      </c>
      <c r="V2037" s="19">
        <f>IF($B2037="","",TEXT($B2037,"0000"))</f>
        <v/>
      </c>
      <c r="W2037" s="19">
        <f>IF($I2037="","",IF(ISNUMBER($I2037),TEXT($I2037,"0"),$I2037))</f>
        <v/>
      </c>
    </row>
    <row r="2038">
      <c r="B2038" s="25" t="n"/>
      <c r="I2038" s="25" t="n"/>
      <c r="U2038" s="19">
        <f>IF($V2038&lt;&gt;'設定'!$C$4,N(U2037),IF(OR(NOT(COUNTIF('商品マスタ'!$B$6:$B$1005,$W2038)=0),COUNTIFS('①在庫を貼る'!$V$6:$V$10005,$V2038,'①在庫を貼る'!$W$6:$W$10005,$W2038)&gt;0),N(U2037),N(U2037)+1))</f>
        <v/>
      </c>
      <c r="V2038" s="19">
        <f>IF($B2038="","",TEXT($B2038,"0000"))</f>
        <v/>
      </c>
      <c r="W2038" s="19">
        <f>IF($I2038="","",IF(ISNUMBER($I2038),TEXT($I2038,"0"),$I2038))</f>
        <v/>
      </c>
    </row>
    <row r="2039">
      <c r="B2039" s="25" t="n"/>
      <c r="I2039" s="25" t="n"/>
      <c r="U2039" s="19">
        <f>IF($V2039&lt;&gt;'設定'!$C$4,N(U2038),IF(OR(NOT(COUNTIF('商品マスタ'!$B$6:$B$1005,$W2039)=0),COUNTIFS('①在庫を貼る'!$V$6:$V$10005,$V2039,'①在庫を貼る'!$W$6:$W$10005,$W2039)&gt;0),N(U2038),N(U2038)+1))</f>
        <v/>
      </c>
      <c r="V2039" s="19">
        <f>IF($B2039="","",TEXT($B2039,"0000"))</f>
        <v/>
      </c>
      <c r="W2039" s="19">
        <f>IF($I2039="","",IF(ISNUMBER($I2039),TEXT($I2039,"0"),$I2039))</f>
        <v/>
      </c>
    </row>
    <row r="2040">
      <c r="B2040" s="25" t="n"/>
      <c r="I2040" s="25" t="n"/>
      <c r="U2040" s="19">
        <f>IF($V2040&lt;&gt;'設定'!$C$4,N(U2039),IF(OR(NOT(COUNTIF('商品マスタ'!$B$6:$B$1005,$W2040)=0),COUNTIFS('①在庫を貼る'!$V$6:$V$10005,$V2040,'①在庫を貼る'!$W$6:$W$10005,$W2040)&gt;0),N(U2039),N(U2039)+1))</f>
        <v/>
      </c>
      <c r="V2040" s="19">
        <f>IF($B2040="","",TEXT($B2040,"0000"))</f>
        <v/>
      </c>
      <c r="W2040" s="19">
        <f>IF($I2040="","",IF(ISNUMBER($I2040),TEXT($I2040,"0"),$I2040))</f>
        <v/>
      </c>
    </row>
    <row r="2041">
      <c r="B2041" s="25" t="n"/>
      <c r="I2041" s="25" t="n"/>
      <c r="U2041" s="19">
        <f>IF($V2041&lt;&gt;'設定'!$C$4,N(U2040),IF(OR(NOT(COUNTIF('商品マスタ'!$B$6:$B$1005,$W2041)=0),COUNTIFS('①在庫を貼る'!$V$6:$V$10005,$V2041,'①在庫を貼る'!$W$6:$W$10005,$W2041)&gt;0),N(U2040),N(U2040)+1))</f>
        <v/>
      </c>
      <c r="V2041" s="19">
        <f>IF($B2041="","",TEXT($B2041,"0000"))</f>
        <v/>
      </c>
      <c r="W2041" s="19">
        <f>IF($I2041="","",IF(ISNUMBER($I2041),TEXT($I2041,"0"),$I2041))</f>
        <v/>
      </c>
    </row>
    <row r="2042">
      <c r="B2042" s="25" t="n"/>
      <c r="I2042" s="25" t="n"/>
      <c r="U2042" s="19">
        <f>IF($V2042&lt;&gt;'設定'!$C$4,N(U2041),IF(OR(NOT(COUNTIF('商品マスタ'!$B$6:$B$1005,$W2042)=0),COUNTIFS('①在庫を貼る'!$V$6:$V$10005,$V2042,'①在庫を貼る'!$W$6:$W$10005,$W2042)&gt;0),N(U2041),N(U2041)+1))</f>
        <v/>
      </c>
      <c r="V2042" s="19">
        <f>IF($B2042="","",TEXT($B2042,"0000"))</f>
        <v/>
      </c>
      <c r="W2042" s="19">
        <f>IF($I2042="","",IF(ISNUMBER($I2042),TEXT($I2042,"0"),$I2042))</f>
        <v/>
      </c>
    </row>
    <row r="2043">
      <c r="B2043" s="25" t="n"/>
      <c r="I2043" s="25" t="n"/>
      <c r="U2043" s="19">
        <f>IF($V2043&lt;&gt;'設定'!$C$4,N(U2042),IF(OR(NOT(COUNTIF('商品マスタ'!$B$6:$B$1005,$W2043)=0),COUNTIFS('①在庫を貼る'!$V$6:$V$10005,$V2043,'①在庫を貼る'!$W$6:$W$10005,$W2043)&gt;0),N(U2042),N(U2042)+1))</f>
        <v/>
      </c>
      <c r="V2043" s="19">
        <f>IF($B2043="","",TEXT($B2043,"0000"))</f>
        <v/>
      </c>
      <c r="W2043" s="19">
        <f>IF($I2043="","",IF(ISNUMBER($I2043),TEXT($I2043,"0"),$I2043))</f>
        <v/>
      </c>
    </row>
    <row r="2044">
      <c r="B2044" s="25" t="n"/>
      <c r="I2044" s="25" t="n"/>
      <c r="U2044" s="19">
        <f>IF($V2044&lt;&gt;'設定'!$C$4,N(U2043),IF(OR(NOT(COUNTIF('商品マスタ'!$B$6:$B$1005,$W2044)=0),COUNTIFS('①在庫を貼る'!$V$6:$V$10005,$V2044,'①在庫を貼る'!$W$6:$W$10005,$W2044)&gt;0),N(U2043),N(U2043)+1))</f>
        <v/>
      </c>
      <c r="V2044" s="19">
        <f>IF($B2044="","",TEXT($B2044,"0000"))</f>
        <v/>
      </c>
      <c r="W2044" s="19">
        <f>IF($I2044="","",IF(ISNUMBER($I2044),TEXT($I2044,"0"),$I2044))</f>
        <v/>
      </c>
    </row>
    <row r="2045">
      <c r="B2045" s="25" t="n"/>
      <c r="I2045" s="25" t="n"/>
      <c r="U2045" s="19">
        <f>IF($V2045&lt;&gt;'設定'!$C$4,N(U2044),IF(OR(NOT(COUNTIF('商品マスタ'!$B$6:$B$1005,$W2045)=0),COUNTIFS('①在庫を貼る'!$V$6:$V$10005,$V2045,'①在庫を貼る'!$W$6:$W$10005,$W2045)&gt;0),N(U2044),N(U2044)+1))</f>
        <v/>
      </c>
      <c r="V2045" s="19">
        <f>IF($B2045="","",TEXT($B2045,"0000"))</f>
        <v/>
      </c>
      <c r="W2045" s="19">
        <f>IF($I2045="","",IF(ISNUMBER($I2045),TEXT($I2045,"0"),$I2045))</f>
        <v/>
      </c>
    </row>
    <row r="2046">
      <c r="B2046" s="25" t="n"/>
      <c r="I2046" s="25" t="n"/>
      <c r="U2046" s="19">
        <f>IF($V2046&lt;&gt;'設定'!$C$4,N(U2045),IF(OR(NOT(COUNTIF('商品マスタ'!$B$6:$B$1005,$W2046)=0),COUNTIFS('①在庫を貼る'!$V$6:$V$10005,$V2046,'①在庫を貼る'!$W$6:$W$10005,$W2046)&gt;0),N(U2045),N(U2045)+1))</f>
        <v/>
      </c>
      <c r="V2046" s="19">
        <f>IF($B2046="","",TEXT($B2046,"0000"))</f>
        <v/>
      </c>
      <c r="W2046" s="19">
        <f>IF($I2046="","",IF(ISNUMBER($I2046),TEXT($I2046,"0"),$I2046))</f>
        <v/>
      </c>
    </row>
    <row r="2047">
      <c r="B2047" s="25" t="n"/>
      <c r="I2047" s="25" t="n"/>
      <c r="U2047" s="19">
        <f>IF($V2047&lt;&gt;'設定'!$C$4,N(U2046),IF(OR(NOT(COUNTIF('商品マスタ'!$B$6:$B$1005,$W2047)=0),COUNTIFS('①在庫を貼る'!$V$6:$V$10005,$V2047,'①在庫を貼る'!$W$6:$W$10005,$W2047)&gt;0),N(U2046),N(U2046)+1))</f>
        <v/>
      </c>
      <c r="V2047" s="19">
        <f>IF($B2047="","",TEXT($B2047,"0000"))</f>
        <v/>
      </c>
      <c r="W2047" s="19">
        <f>IF($I2047="","",IF(ISNUMBER($I2047),TEXT($I2047,"0"),$I2047))</f>
        <v/>
      </c>
    </row>
    <row r="2048">
      <c r="B2048" s="25" t="n"/>
      <c r="I2048" s="25" t="n"/>
      <c r="U2048" s="19">
        <f>IF($V2048&lt;&gt;'設定'!$C$4,N(U2047),IF(OR(NOT(COUNTIF('商品マスタ'!$B$6:$B$1005,$W2048)=0),COUNTIFS('①在庫を貼る'!$V$6:$V$10005,$V2048,'①在庫を貼る'!$W$6:$W$10005,$W2048)&gt;0),N(U2047),N(U2047)+1))</f>
        <v/>
      </c>
      <c r="V2048" s="19">
        <f>IF($B2048="","",TEXT($B2048,"0000"))</f>
        <v/>
      </c>
      <c r="W2048" s="19">
        <f>IF($I2048="","",IF(ISNUMBER($I2048),TEXT($I2048,"0"),$I2048))</f>
        <v/>
      </c>
    </row>
    <row r="2049">
      <c r="B2049" s="25" t="n"/>
      <c r="I2049" s="25" t="n"/>
      <c r="U2049" s="19">
        <f>IF($V2049&lt;&gt;'設定'!$C$4,N(U2048),IF(OR(NOT(COUNTIF('商品マスタ'!$B$6:$B$1005,$W2049)=0),COUNTIFS('①在庫を貼る'!$V$6:$V$10005,$V2049,'①在庫を貼る'!$W$6:$W$10005,$W2049)&gt;0),N(U2048),N(U2048)+1))</f>
        <v/>
      </c>
      <c r="V2049" s="19">
        <f>IF($B2049="","",TEXT($B2049,"0000"))</f>
        <v/>
      </c>
      <c r="W2049" s="19">
        <f>IF($I2049="","",IF(ISNUMBER($I2049),TEXT($I2049,"0"),$I2049))</f>
        <v/>
      </c>
    </row>
    <row r="2050">
      <c r="B2050" s="25" t="n"/>
      <c r="I2050" s="25" t="n"/>
      <c r="U2050" s="19">
        <f>IF($V2050&lt;&gt;'設定'!$C$4,N(U2049),IF(OR(NOT(COUNTIF('商品マスタ'!$B$6:$B$1005,$W2050)=0),COUNTIFS('①在庫を貼る'!$V$6:$V$10005,$V2050,'①在庫を貼る'!$W$6:$W$10005,$W2050)&gt;0),N(U2049),N(U2049)+1))</f>
        <v/>
      </c>
      <c r="V2050" s="19">
        <f>IF($B2050="","",TEXT($B2050,"0000"))</f>
        <v/>
      </c>
      <c r="W2050" s="19">
        <f>IF($I2050="","",IF(ISNUMBER($I2050),TEXT($I2050,"0"),$I2050))</f>
        <v/>
      </c>
    </row>
    <row r="2051">
      <c r="B2051" s="25" t="n"/>
      <c r="I2051" s="25" t="n"/>
      <c r="U2051" s="19">
        <f>IF($V2051&lt;&gt;'設定'!$C$4,N(U2050),IF(OR(NOT(COUNTIF('商品マスタ'!$B$6:$B$1005,$W2051)=0),COUNTIFS('①在庫を貼る'!$V$6:$V$10005,$V2051,'①在庫を貼る'!$W$6:$W$10005,$W2051)&gt;0),N(U2050),N(U2050)+1))</f>
        <v/>
      </c>
      <c r="V2051" s="19">
        <f>IF($B2051="","",TEXT($B2051,"0000"))</f>
        <v/>
      </c>
      <c r="W2051" s="19">
        <f>IF($I2051="","",IF(ISNUMBER($I2051),TEXT($I2051,"0"),$I2051))</f>
        <v/>
      </c>
    </row>
    <row r="2052">
      <c r="B2052" s="25" t="n"/>
      <c r="I2052" s="25" t="n"/>
      <c r="U2052" s="19">
        <f>IF($V2052&lt;&gt;'設定'!$C$4,N(U2051),IF(OR(NOT(COUNTIF('商品マスタ'!$B$6:$B$1005,$W2052)=0),COUNTIFS('①在庫を貼る'!$V$6:$V$10005,$V2052,'①在庫を貼る'!$W$6:$W$10005,$W2052)&gt;0),N(U2051),N(U2051)+1))</f>
        <v/>
      </c>
      <c r="V2052" s="19">
        <f>IF($B2052="","",TEXT($B2052,"0000"))</f>
        <v/>
      </c>
      <c r="W2052" s="19">
        <f>IF($I2052="","",IF(ISNUMBER($I2052),TEXT($I2052,"0"),$I2052))</f>
        <v/>
      </c>
    </row>
    <row r="2053">
      <c r="B2053" s="25" t="n"/>
      <c r="I2053" s="25" t="n"/>
      <c r="U2053" s="19">
        <f>IF($V2053&lt;&gt;'設定'!$C$4,N(U2052),IF(OR(NOT(COUNTIF('商品マスタ'!$B$6:$B$1005,$W2053)=0),COUNTIFS('①在庫を貼る'!$V$6:$V$10005,$V2053,'①在庫を貼る'!$W$6:$W$10005,$W2053)&gt;0),N(U2052),N(U2052)+1))</f>
        <v/>
      </c>
      <c r="V2053" s="19">
        <f>IF($B2053="","",TEXT($B2053,"0000"))</f>
        <v/>
      </c>
      <c r="W2053" s="19">
        <f>IF($I2053="","",IF(ISNUMBER($I2053),TEXT($I2053,"0"),$I2053))</f>
        <v/>
      </c>
    </row>
    <row r="2054">
      <c r="B2054" s="25" t="n"/>
      <c r="I2054" s="25" t="n"/>
      <c r="U2054" s="19">
        <f>IF($V2054&lt;&gt;'設定'!$C$4,N(U2053),IF(OR(NOT(COUNTIF('商品マスタ'!$B$6:$B$1005,$W2054)=0),COUNTIFS('①在庫を貼る'!$V$6:$V$10005,$V2054,'①在庫を貼る'!$W$6:$W$10005,$W2054)&gt;0),N(U2053),N(U2053)+1))</f>
        <v/>
      </c>
      <c r="V2054" s="19">
        <f>IF($B2054="","",TEXT($B2054,"0000"))</f>
        <v/>
      </c>
      <c r="W2054" s="19">
        <f>IF($I2054="","",IF(ISNUMBER($I2054),TEXT($I2054,"0"),$I2054))</f>
        <v/>
      </c>
    </row>
    <row r="2055">
      <c r="B2055" s="25" t="n"/>
      <c r="I2055" s="25" t="n"/>
      <c r="U2055" s="19">
        <f>IF($V2055&lt;&gt;'設定'!$C$4,N(U2054),IF(OR(NOT(COUNTIF('商品マスタ'!$B$6:$B$1005,$W2055)=0),COUNTIFS('①在庫を貼る'!$V$6:$V$10005,$V2055,'①在庫を貼る'!$W$6:$W$10005,$W2055)&gt;0),N(U2054),N(U2054)+1))</f>
        <v/>
      </c>
      <c r="V2055" s="19">
        <f>IF($B2055="","",TEXT($B2055,"0000"))</f>
        <v/>
      </c>
      <c r="W2055" s="19">
        <f>IF($I2055="","",IF(ISNUMBER($I2055),TEXT($I2055,"0"),$I2055))</f>
        <v/>
      </c>
    </row>
    <row r="2056">
      <c r="B2056" s="25" t="n"/>
      <c r="I2056" s="25" t="n"/>
      <c r="U2056" s="19">
        <f>IF($V2056&lt;&gt;'設定'!$C$4,N(U2055),IF(OR(NOT(COUNTIF('商品マスタ'!$B$6:$B$1005,$W2056)=0),COUNTIFS('①在庫を貼る'!$V$6:$V$10005,$V2056,'①在庫を貼る'!$W$6:$W$10005,$W2056)&gt;0),N(U2055),N(U2055)+1))</f>
        <v/>
      </c>
      <c r="V2056" s="19">
        <f>IF($B2056="","",TEXT($B2056,"0000"))</f>
        <v/>
      </c>
      <c r="W2056" s="19">
        <f>IF($I2056="","",IF(ISNUMBER($I2056),TEXT($I2056,"0"),$I2056))</f>
        <v/>
      </c>
    </row>
    <row r="2057">
      <c r="B2057" s="25" t="n"/>
      <c r="I2057" s="25" t="n"/>
      <c r="U2057" s="19">
        <f>IF($V2057&lt;&gt;'設定'!$C$4,N(U2056),IF(OR(NOT(COUNTIF('商品マスタ'!$B$6:$B$1005,$W2057)=0),COUNTIFS('①在庫を貼る'!$V$6:$V$10005,$V2057,'①在庫を貼る'!$W$6:$W$10005,$W2057)&gt;0),N(U2056),N(U2056)+1))</f>
        <v/>
      </c>
      <c r="V2057" s="19">
        <f>IF($B2057="","",TEXT($B2057,"0000"))</f>
        <v/>
      </c>
      <c r="W2057" s="19">
        <f>IF($I2057="","",IF(ISNUMBER($I2057),TEXT($I2057,"0"),$I2057))</f>
        <v/>
      </c>
    </row>
    <row r="2058">
      <c r="B2058" s="25" t="n"/>
      <c r="I2058" s="25" t="n"/>
      <c r="U2058" s="19">
        <f>IF($V2058&lt;&gt;'設定'!$C$4,N(U2057),IF(OR(NOT(COUNTIF('商品マスタ'!$B$6:$B$1005,$W2058)=0),COUNTIFS('①在庫を貼る'!$V$6:$V$10005,$V2058,'①在庫を貼る'!$W$6:$W$10005,$W2058)&gt;0),N(U2057),N(U2057)+1))</f>
        <v/>
      </c>
      <c r="V2058" s="19">
        <f>IF($B2058="","",TEXT($B2058,"0000"))</f>
        <v/>
      </c>
      <c r="W2058" s="19">
        <f>IF($I2058="","",IF(ISNUMBER($I2058),TEXT($I2058,"0"),$I2058))</f>
        <v/>
      </c>
    </row>
    <row r="2059">
      <c r="B2059" s="25" t="n"/>
      <c r="I2059" s="25" t="n"/>
      <c r="U2059" s="19">
        <f>IF($V2059&lt;&gt;'設定'!$C$4,N(U2058),IF(OR(NOT(COUNTIF('商品マスタ'!$B$6:$B$1005,$W2059)=0),COUNTIFS('①在庫を貼る'!$V$6:$V$10005,$V2059,'①在庫を貼る'!$W$6:$W$10005,$W2059)&gt;0),N(U2058),N(U2058)+1))</f>
        <v/>
      </c>
      <c r="V2059" s="19">
        <f>IF($B2059="","",TEXT($B2059,"0000"))</f>
        <v/>
      </c>
      <c r="W2059" s="19">
        <f>IF($I2059="","",IF(ISNUMBER($I2059),TEXT($I2059,"0"),$I2059))</f>
        <v/>
      </c>
    </row>
    <row r="2060">
      <c r="B2060" s="25" t="n"/>
      <c r="I2060" s="25" t="n"/>
      <c r="U2060" s="19">
        <f>IF($V2060&lt;&gt;'設定'!$C$4,N(U2059),IF(OR(NOT(COUNTIF('商品マスタ'!$B$6:$B$1005,$W2060)=0),COUNTIFS('①在庫を貼る'!$V$6:$V$10005,$V2060,'①在庫を貼る'!$W$6:$W$10005,$W2060)&gt;0),N(U2059),N(U2059)+1))</f>
        <v/>
      </c>
      <c r="V2060" s="19">
        <f>IF($B2060="","",TEXT($B2060,"0000"))</f>
        <v/>
      </c>
      <c r="W2060" s="19">
        <f>IF($I2060="","",IF(ISNUMBER($I2060),TEXT($I2060,"0"),$I2060))</f>
        <v/>
      </c>
    </row>
    <row r="2061">
      <c r="B2061" s="25" t="n"/>
      <c r="I2061" s="25" t="n"/>
      <c r="U2061" s="19">
        <f>IF($V2061&lt;&gt;'設定'!$C$4,N(U2060),IF(OR(NOT(COUNTIF('商品マスタ'!$B$6:$B$1005,$W2061)=0),COUNTIFS('①在庫を貼る'!$V$6:$V$10005,$V2061,'①在庫を貼る'!$W$6:$W$10005,$W2061)&gt;0),N(U2060),N(U2060)+1))</f>
        <v/>
      </c>
      <c r="V2061" s="19">
        <f>IF($B2061="","",TEXT($B2061,"0000"))</f>
        <v/>
      </c>
      <c r="W2061" s="19">
        <f>IF($I2061="","",IF(ISNUMBER($I2061),TEXT($I2061,"0"),$I2061))</f>
        <v/>
      </c>
    </row>
    <row r="2062">
      <c r="B2062" s="25" t="n"/>
      <c r="I2062" s="25" t="n"/>
      <c r="U2062" s="19">
        <f>IF($V2062&lt;&gt;'設定'!$C$4,N(U2061),IF(OR(NOT(COUNTIF('商品マスタ'!$B$6:$B$1005,$W2062)=0),COUNTIFS('①在庫を貼る'!$V$6:$V$10005,$V2062,'①在庫を貼る'!$W$6:$W$10005,$W2062)&gt;0),N(U2061),N(U2061)+1))</f>
        <v/>
      </c>
      <c r="V2062" s="19">
        <f>IF($B2062="","",TEXT($B2062,"0000"))</f>
        <v/>
      </c>
      <c r="W2062" s="19">
        <f>IF($I2062="","",IF(ISNUMBER($I2062),TEXT($I2062,"0"),$I2062))</f>
        <v/>
      </c>
    </row>
    <row r="2063">
      <c r="B2063" s="25" t="n"/>
      <c r="I2063" s="25" t="n"/>
      <c r="U2063" s="19">
        <f>IF($V2063&lt;&gt;'設定'!$C$4,N(U2062),IF(OR(NOT(COUNTIF('商品マスタ'!$B$6:$B$1005,$W2063)=0),COUNTIFS('①在庫を貼る'!$V$6:$V$10005,$V2063,'①在庫を貼る'!$W$6:$W$10005,$W2063)&gt;0),N(U2062),N(U2062)+1))</f>
        <v/>
      </c>
      <c r="V2063" s="19">
        <f>IF($B2063="","",TEXT($B2063,"0000"))</f>
        <v/>
      </c>
      <c r="W2063" s="19">
        <f>IF($I2063="","",IF(ISNUMBER($I2063),TEXT($I2063,"0"),$I2063))</f>
        <v/>
      </c>
    </row>
    <row r="2064">
      <c r="B2064" s="25" t="n"/>
      <c r="I2064" s="25" t="n"/>
      <c r="U2064" s="19">
        <f>IF($V2064&lt;&gt;'設定'!$C$4,N(U2063),IF(OR(NOT(COUNTIF('商品マスタ'!$B$6:$B$1005,$W2064)=0),COUNTIFS('①在庫を貼る'!$V$6:$V$10005,$V2064,'①在庫を貼る'!$W$6:$W$10005,$W2064)&gt;0),N(U2063),N(U2063)+1))</f>
        <v/>
      </c>
      <c r="V2064" s="19">
        <f>IF($B2064="","",TEXT($B2064,"0000"))</f>
        <v/>
      </c>
      <c r="W2064" s="19">
        <f>IF($I2064="","",IF(ISNUMBER($I2064),TEXT($I2064,"0"),$I2064))</f>
        <v/>
      </c>
    </row>
    <row r="2065">
      <c r="B2065" s="25" t="n"/>
      <c r="I2065" s="25" t="n"/>
      <c r="U2065" s="19">
        <f>IF($V2065&lt;&gt;'設定'!$C$4,N(U2064),IF(OR(NOT(COUNTIF('商品マスタ'!$B$6:$B$1005,$W2065)=0),COUNTIFS('①在庫を貼る'!$V$6:$V$10005,$V2065,'①在庫を貼る'!$W$6:$W$10005,$W2065)&gt;0),N(U2064),N(U2064)+1))</f>
        <v/>
      </c>
      <c r="V2065" s="19">
        <f>IF($B2065="","",TEXT($B2065,"0000"))</f>
        <v/>
      </c>
      <c r="W2065" s="19">
        <f>IF($I2065="","",IF(ISNUMBER($I2065),TEXT($I2065,"0"),$I2065))</f>
        <v/>
      </c>
    </row>
    <row r="2066">
      <c r="B2066" s="25" t="n"/>
      <c r="I2066" s="25" t="n"/>
      <c r="U2066" s="19">
        <f>IF($V2066&lt;&gt;'設定'!$C$4,N(U2065),IF(OR(NOT(COUNTIF('商品マスタ'!$B$6:$B$1005,$W2066)=0),COUNTIFS('①在庫を貼る'!$V$6:$V$10005,$V2066,'①在庫を貼る'!$W$6:$W$10005,$W2066)&gt;0),N(U2065),N(U2065)+1))</f>
        <v/>
      </c>
      <c r="V2066" s="19">
        <f>IF($B2066="","",TEXT($B2066,"0000"))</f>
        <v/>
      </c>
      <c r="W2066" s="19">
        <f>IF($I2066="","",IF(ISNUMBER($I2066),TEXT($I2066,"0"),$I2066))</f>
        <v/>
      </c>
    </row>
    <row r="2067">
      <c r="B2067" s="25" t="n"/>
      <c r="I2067" s="25" t="n"/>
      <c r="U2067" s="19">
        <f>IF($V2067&lt;&gt;'設定'!$C$4,N(U2066),IF(OR(NOT(COUNTIF('商品マスタ'!$B$6:$B$1005,$W2067)=0),COUNTIFS('①在庫を貼る'!$V$6:$V$10005,$V2067,'①在庫を貼る'!$W$6:$W$10005,$W2067)&gt;0),N(U2066),N(U2066)+1))</f>
        <v/>
      </c>
      <c r="V2067" s="19">
        <f>IF($B2067="","",TEXT($B2067,"0000"))</f>
        <v/>
      </c>
      <c r="W2067" s="19">
        <f>IF($I2067="","",IF(ISNUMBER($I2067),TEXT($I2067,"0"),$I2067))</f>
        <v/>
      </c>
    </row>
    <row r="2068">
      <c r="B2068" s="25" t="n"/>
      <c r="I2068" s="25" t="n"/>
      <c r="U2068" s="19">
        <f>IF($V2068&lt;&gt;'設定'!$C$4,N(U2067),IF(OR(NOT(COUNTIF('商品マスタ'!$B$6:$B$1005,$W2068)=0),COUNTIFS('①在庫を貼る'!$V$6:$V$10005,$V2068,'①在庫を貼る'!$W$6:$W$10005,$W2068)&gt;0),N(U2067),N(U2067)+1))</f>
        <v/>
      </c>
      <c r="V2068" s="19">
        <f>IF($B2068="","",TEXT($B2068,"0000"))</f>
        <v/>
      </c>
      <c r="W2068" s="19">
        <f>IF($I2068="","",IF(ISNUMBER($I2068),TEXT($I2068,"0"),$I2068))</f>
        <v/>
      </c>
    </row>
    <row r="2069">
      <c r="B2069" s="25" t="n"/>
      <c r="I2069" s="25" t="n"/>
      <c r="U2069" s="19">
        <f>IF($V2069&lt;&gt;'設定'!$C$4,N(U2068),IF(OR(NOT(COUNTIF('商品マスタ'!$B$6:$B$1005,$W2069)=0),COUNTIFS('①在庫を貼る'!$V$6:$V$10005,$V2069,'①在庫を貼る'!$W$6:$W$10005,$W2069)&gt;0),N(U2068),N(U2068)+1))</f>
        <v/>
      </c>
      <c r="V2069" s="19">
        <f>IF($B2069="","",TEXT($B2069,"0000"))</f>
        <v/>
      </c>
      <c r="W2069" s="19">
        <f>IF($I2069="","",IF(ISNUMBER($I2069),TEXT($I2069,"0"),$I2069))</f>
        <v/>
      </c>
    </row>
    <row r="2070">
      <c r="B2070" s="25" t="n"/>
      <c r="I2070" s="25" t="n"/>
      <c r="U2070" s="19">
        <f>IF($V2070&lt;&gt;'設定'!$C$4,N(U2069),IF(OR(NOT(COUNTIF('商品マスタ'!$B$6:$B$1005,$W2070)=0),COUNTIFS('①在庫を貼る'!$V$6:$V$10005,$V2070,'①在庫を貼る'!$W$6:$W$10005,$W2070)&gt;0),N(U2069),N(U2069)+1))</f>
        <v/>
      </c>
      <c r="V2070" s="19">
        <f>IF($B2070="","",TEXT($B2070,"0000"))</f>
        <v/>
      </c>
      <c r="W2070" s="19">
        <f>IF($I2070="","",IF(ISNUMBER($I2070),TEXT($I2070,"0"),$I2070))</f>
        <v/>
      </c>
    </row>
    <row r="2071">
      <c r="B2071" s="25" t="n"/>
      <c r="I2071" s="25" t="n"/>
      <c r="U2071" s="19">
        <f>IF($V2071&lt;&gt;'設定'!$C$4,N(U2070),IF(OR(NOT(COUNTIF('商品マスタ'!$B$6:$B$1005,$W2071)=0),COUNTIFS('①在庫を貼る'!$V$6:$V$10005,$V2071,'①在庫を貼る'!$W$6:$W$10005,$W2071)&gt;0),N(U2070),N(U2070)+1))</f>
        <v/>
      </c>
      <c r="V2071" s="19">
        <f>IF($B2071="","",TEXT($B2071,"0000"))</f>
        <v/>
      </c>
      <c r="W2071" s="19">
        <f>IF($I2071="","",IF(ISNUMBER($I2071),TEXT($I2071,"0"),$I2071))</f>
        <v/>
      </c>
    </row>
    <row r="2072">
      <c r="B2072" s="25" t="n"/>
      <c r="I2072" s="25" t="n"/>
      <c r="U2072" s="19">
        <f>IF($V2072&lt;&gt;'設定'!$C$4,N(U2071),IF(OR(NOT(COUNTIF('商品マスタ'!$B$6:$B$1005,$W2072)=0),COUNTIFS('①在庫を貼る'!$V$6:$V$10005,$V2072,'①在庫を貼る'!$W$6:$W$10005,$W2072)&gt;0),N(U2071),N(U2071)+1))</f>
        <v/>
      </c>
      <c r="V2072" s="19">
        <f>IF($B2072="","",TEXT($B2072,"0000"))</f>
        <v/>
      </c>
      <c r="W2072" s="19">
        <f>IF($I2072="","",IF(ISNUMBER($I2072),TEXT($I2072,"0"),$I2072))</f>
        <v/>
      </c>
    </row>
    <row r="2073">
      <c r="B2073" s="25" t="n"/>
      <c r="I2073" s="25" t="n"/>
      <c r="U2073" s="19">
        <f>IF($V2073&lt;&gt;'設定'!$C$4,N(U2072),IF(OR(NOT(COUNTIF('商品マスタ'!$B$6:$B$1005,$W2073)=0),COUNTIFS('①在庫を貼る'!$V$6:$V$10005,$V2073,'①在庫を貼る'!$W$6:$W$10005,$W2073)&gt;0),N(U2072),N(U2072)+1))</f>
        <v/>
      </c>
      <c r="V2073" s="19">
        <f>IF($B2073="","",TEXT($B2073,"0000"))</f>
        <v/>
      </c>
      <c r="W2073" s="19">
        <f>IF($I2073="","",IF(ISNUMBER($I2073),TEXT($I2073,"0"),$I2073))</f>
        <v/>
      </c>
    </row>
    <row r="2074">
      <c r="B2074" s="25" t="n"/>
      <c r="I2074" s="25" t="n"/>
      <c r="U2074" s="19">
        <f>IF($V2074&lt;&gt;'設定'!$C$4,N(U2073),IF(OR(NOT(COUNTIF('商品マスタ'!$B$6:$B$1005,$W2074)=0),COUNTIFS('①在庫を貼る'!$V$6:$V$10005,$V2074,'①在庫を貼る'!$W$6:$W$10005,$W2074)&gt;0),N(U2073),N(U2073)+1))</f>
        <v/>
      </c>
      <c r="V2074" s="19">
        <f>IF($B2074="","",TEXT($B2074,"0000"))</f>
        <v/>
      </c>
      <c r="W2074" s="19">
        <f>IF($I2074="","",IF(ISNUMBER($I2074),TEXT($I2074,"0"),$I2074))</f>
        <v/>
      </c>
    </row>
    <row r="2075">
      <c r="B2075" s="25" t="n"/>
      <c r="I2075" s="25" t="n"/>
      <c r="U2075" s="19">
        <f>IF($V2075&lt;&gt;'設定'!$C$4,N(U2074),IF(OR(NOT(COUNTIF('商品マスタ'!$B$6:$B$1005,$W2075)=0),COUNTIFS('①在庫を貼る'!$V$6:$V$10005,$V2075,'①在庫を貼る'!$W$6:$W$10005,$W2075)&gt;0),N(U2074),N(U2074)+1))</f>
        <v/>
      </c>
      <c r="V2075" s="19">
        <f>IF($B2075="","",TEXT($B2075,"0000"))</f>
        <v/>
      </c>
      <c r="W2075" s="19">
        <f>IF($I2075="","",IF(ISNUMBER($I2075),TEXT($I2075,"0"),$I2075))</f>
        <v/>
      </c>
    </row>
    <row r="2076">
      <c r="B2076" s="25" t="n"/>
      <c r="I2076" s="25" t="n"/>
      <c r="U2076" s="19">
        <f>IF($V2076&lt;&gt;'設定'!$C$4,N(U2075),IF(OR(NOT(COUNTIF('商品マスタ'!$B$6:$B$1005,$W2076)=0),COUNTIFS('①在庫を貼る'!$V$6:$V$10005,$V2076,'①在庫を貼る'!$W$6:$W$10005,$W2076)&gt;0),N(U2075),N(U2075)+1))</f>
        <v/>
      </c>
      <c r="V2076" s="19">
        <f>IF($B2076="","",TEXT($B2076,"0000"))</f>
        <v/>
      </c>
      <c r="W2076" s="19">
        <f>IF($I2076="","",IF(ISNUMBER($I2076),TEXT($I2076,"0"),$I2076))</f>
        <v/>
      </c>
    </row>
    <row r="2077">
      <c r="B2077" s="25" t="n"/>
      <c r="I2077" s="25" t="n"/>
      <c r="U2077" s="19">
        <f>IF($V2077&lt;&gt;'設定'!$C$4,N(U2076),IF(OR(NOT(COUNTIF('商品マスタ'!$B$6:$B$1005,$W2077)=0),COUNTIFS('①在庫を貼る'!$V$6:$V$10005,$V2077,'①在庫を貼る'!$W$6:$W$10005,$W2077)&gt;0),N(U2076),N(U2076)+1))</f>
        <v/>
      </c>
      <c r="V2077" s="19">
        <f>IF($B2077="","",TEXT($B2077,"0000"))</f>
        <v/>
      </c>
      <c r="W2077" s="19">
        <f>IF($I2077="","",IF(ISNUMBER($I2077),TEXT($I2077,"0"),$I2077))</f>
        <v/>
      </c>
    </row>
    <row r="2078">
      <c r="B2078" s="25" t="n"/>
      <c r="I2078" s="25" t="n"/>
      <c r="U2078" s="19">
        <f>IF($V2078&lt;&gt;'設定'!$C$4,N(U2077),IF(OR(NOT(COUNTIF('商品マスタ'!$B$6:$B$1005,$W2078)=0),COUNTIFS('①在庫を貼る'!$V$6:$V$10005,$V2078,'①在庫を貼る'!$W$6:$W$10005,$W2078)&gt;0),N(U2077),N(U2077)+1))</f>
        <v/>
      </c>
      <c r="V2078" s="19">
        <f>IF($B2078="","",TEXT($B2078,"0000"))</f>
        <v/>
      </c>
      <c r="W2078" s="19">
        <f>IF($I2078="","",IF(ISNUMBER($I2078),TEXT($I2078,"0"),$I2078))</f>
        <v/>
      </c>
    </row>
    <row r="2079">
      <c r="B2079" s="25" t="n"/>
      <c r="I2079" s="25" t="n"/>
      <c r="U2079" s="19">
        <f>IF($V2079&lt;&gt;'設定'!$C$4,N(U2078),IF(OR(NOT(COUNTIF('商品マスタ'!$B$6:$B$1005,$W2079)=0),COUNTIFS('①在庫を貼る'!$V$6:$V$10005,$V2079,'①在庫を貼る'!$W$6:$W$10005,$W2079)&gt;0),N(U2078),N(U2078)+1))</f>
        <v/>
      </c>
      <c r="V2079" s="19">
        <f>IF($B2079="","",TEXT($B2079,"0000"))</f>
        <v/>
      </c>
      <c r="W2079" s="19">
        <f>IF($I2079="","",IF(ISNUMBER($I2079),TEXT($I2079,"0"),$I2079))</f>
        <v/>
      </c>
    </row>
    <row r="2080">
      <c r="B2080" s="25" t="n"/>
      <c r="I2080" s="25" t="n"/>
      <c r="U2080" s="19">
        <f>IF($V2080&lt;&gt;'設定'!$C$4,N(U2079),IF(OR(NOT(COUNTIF('商品マスタ'!$B$6:$B$1005,$W2080)=0),COUNTIFS('①在庫を貼る'!$V$6:$V$10005,$V2080,'①在庫を貼る'!$W$6:$W$10005,$W2080)&gt;0),N(U2079),N(U2079)+1))</f>
        <v/>
      </c>
      <c r="V2080" s="19">
        <f>IF($B2080="","",TEXT($B2080,"0000"))</f>
        <v/>
      </c>
      <c r="W2080" s="19">
        <f>IF($I2080="","",IF(ISNUMBER($I2080),TEXT($I2080,"0"),$I2080))</f>
        <v/>
      </c>
    </row>
    <row r="2081">
      <c r="B2081" s="25" t="n"/>
      <c r="I2081" s="25" t="n"/>
      <c r="U2081" s="19">
        <f>IF($V2081&lt;&gt;'設定'!$C$4,N(U2080),IF(OR(NOT(COUNTIF('商品マスタ'!$B$6:$B$1005,$W2081)=0),COUNTIFS('①在庫を貼る'!$V$6:$V$10005,$V2081,'①在庫を貼る'!$W$6:$W$10005,$W2081)&gt;0),N(U2080),N(U2080)+1))</f>
        <v/>
      </c>
      <c r="V2081" s="19">
        <f>IF($B2081="","",TEXT($B2081,"0000"))</f>
        <v/>
      </c>
      <c r="W2081" s="19">
        <f>IF($I2081="","",IF(ISNUMBER($I2081),TEXT($I2081,"0"),$I2081))</f>
        <v/>
      </c>
    </row>
    <row r="2082">
      <c r="B2082" s="25" t="n"/>
      <c r="I2082" s="25" t="n"/>
      <c r="U2082" s="19">
        <f>IF($V2082&lt;&gt;'設定'!$C$4,N(U2081),IF(OR(NOT(COUNTIF('商品マスタ'!$B$6:$B$1005,$W2082)=0),COUNTIFS('①在庫を貼る'!$V$6:$V$10005,$V2082,'①在庫を貼る'!$W$6:$W$10005,$W2082)&gt;0),N(U2081),N(U2081)+1))</f>
        <v/>
      </c>
      <c r="V2082" s="19">
        <f>IF($B2082="","",TEXT($B2082,"0000"))</f>
        <v/>
      </c>
      <c r="W2082" s="19">
        <f>IF($I2082="","",IF(ISNUMBER($I2082),TEXT($I2082,"0"),$I2082))</f>
        <v/>
      </c>
    </row>
    <row r="2083">
      <c r="B2083" s="25" t="n"/>
      <c r="I2083" s="25" t="n"/>
      <c r="U2083" s="19">
        <f>IF($V2083&lt;&gt;'設定'!$C$4,N(U2082),IF(OR(NOT(COUNTIF('商品マスタ'!$B$6:$B$1005,$W2083)=0),COUNTIFS('①在庫を貼る'!$V$6:$V$10005,$V2083,'①在庫を貼る'!$W$6:$W$10005,$W2083)&gt;0),N(U2082),N(U2082)+1))</f>
        <v/>
      </c>
      <c r="V2083" s="19">
        <f>IF($B2083="","",TEXT($B2083,"0000"))</f>
        <v/>
      </c>
      <c r="W2083" s="19">
        <f>IF($I2083="","",IF(ISNUMBER($I2083),TEXT($I2083,"0"),$I2083))</f>
        <v/>
      </c>
    </row>
    <row r="2084">
      <c r="B2084" s="25" t="n"/>
      <c r="I2084" s="25" t="n"/>
      <c r="U2084" s="19">
        <f>IF($V2084&lt;&gt;'設定'!$C$4,N(U2083),IF(OR(NOT(COUNTIF('商品マスタ'!$B$6:$B$1005,$W2084)=0),COUNTIFS('①在庫を貼る'!$V$6:$V$10005,$V2084,'①在庫を貼る'!$W$6:$W$10005,$W2084)&gt;0),N(U2083),N(U2083)+1))</f>
        <v/>
      </c>
      <c r="V2084" s="19">
        <f>IF($B2084="","",TEXT($B2084,"0000"))</f>
        <v/>
      </c>
      <c r="W2084" s="19">
        <f>IF($I2084="","",IF(ISNUMBER($I2084),TEXT($I2084,"0"),$I2084))</f>
        <v/>
      </c>
    </row>
    <row r="2085">
      <c r="B2085" s="25" t="n"/>
      <c r="I2085" s="25" t="n"/>
      <c r="U2085" s="19">
        <f>IF($V2085&lt;&gt;'設定'!$C$4,N(U2084),IF(OR(NOT(COUNTIF('商品マスタ'!$B$6:$B$1005,$W2085)=0),COUNTIFS('①在庫を貼る'!$V$6:$V$10005,$V2085,'①在庫を貼る'!$W$6:$W$10005,$W2085)&gt;0),N(U2084),N(U2084)+1))</f>
        <v/>
      </c>
      <c r="V2085" s="19">
        <f>IF($B2085="","",TEXT($B2085,"0000"))</f>
        <v/>
      </c>
      <c r="W2085" s="19">
        <f>IF($I2085="","",IF(ISNUMBER($I2085),TEXT($I2085,"0"),$I2085))</f>
        <v/>
      </c>
    </row>
    <row r="2086">
      <c r="B2086" s="25" t="n"/>
      <c r="I2086" s="25" t="n"/>
      <c r="U2086" s="19">
        <f>IF($V2086&lt;&gt;'設定'!$C$4,N(U2085),IF(OR(NOT(COUNTIF('商品マスタ'!$B$6:$B$1005,$W2086)=0),COUNTIFS('①在庫を貼る'!$V$6:$V$10005,$V2086,'①在庫を貼る'!$W$6:$W$10005,$W2086)&gt;0),N(U2085),N(U2085)+1))</f>
        <v/>
      </c>
      <c r="V2086" s="19">
        <f>IF($B2086="","",TEXT($B2086,"0000"))</f>
        <v/>
      </c>
      <c r="W2086" s="19">
        <f>IF($I2086="","",IF(ISNUMBER($I2086),TEXT($I2086,"0"),$I2086))</f>
        <v/>
      </c>
    </row>
    <row r="2087">
      <c r="B2087" s="25" t="n"/>
      <c r="I2087" s="25" t="n"/>
      <c r="U2087" s="19">
        <f>IF($V2087&lt;&gt;'設定'!$C$4,N(U2086),IF(OR(NOT(COUNTIF('商品マスタ'!$B$6:$B$1005,$W2087)=0),COUNTIFS('①在庫を貼る'!$V$6:$V$10005,$V2087,'①在庫を貼る'!$W$6:$W$10005,$W2087)&gt;0),N(U2086),N(U2086)+1))</f>
        <v/>
      </c>
      <c r="V2087" s="19">
        <f>IF($B2087="","",TEXT($B2087,"0000"))</f>
        <v/>
      </c>
      <c r="W2087" s="19">
        <f>IF($I2087="","",IF(ISNUMBER($I2087),TEXT($I2087,"0"),$I2087))</f>
        <v/>
      </c>
    </row>
    <row r="2088">
      <c r="B2088" s="25" t="n"/>
      <c r="I2088" s="25" t="n"/>
      <c r="U2088" s="19">
        <f>IF($V2088&lt;&gt;'設定'!$C$4,N(U2087),IF(OR(NOT(COUNTIF('商品マスタ'!$B$6:$B$1005,$W2088)=0),COUNTIFS('①在庫を貼る'!$V$6:$V$10005,$V2088,'①在庫を貼る'!$W$6:$W$10005,$W2088)&gt;0),N(U2087),N(U2087)+1))</f>
        <v/>
      </c>
      <c r="V2088" s="19">
        <f>IF($B2088="","",TEXT($B2088,"0000"))</f>
        <v/>
      </c>
      <c r="W2088" s="19">
        <f>IF($I2088="","",IF(ISNUMBER($I2088),TEXT($I2088,"0"),$I2088))</f>
        <v/>
      </c>
    </row>
    <row r="2089">
      <c r="B2089" s="25" t="n"/>
      <c r="I2089" s="25" t="n"/>
      <c r="U2089" s="19">
        <f>IF($V2089&lt;&gt;'設定'!$C$4,N(U2088),IF(OR(NOT(COUNTIF('商品マスタ'!$B$6:$B$1005,$W2089)=0),COUNTIFS('①在庫を貼る'!$V$6:$V$10005,$V2089,'①在庫を貼る'!$W$6:$W$10005,$W2089)&gt;0),N(U2088),N(U2088)+1))</f>
        <v/>
      </c>
      <c r="V2089" s="19">
        <f>IF($B2089="","",TEXT($B2089,"0000"))</f>
        <v/>
      </c>
      <c r="W2089" s="19">
        <f>IF($I2089="","",IF(ISNUMBER($I2089),TEXT($I2089,"0"),$I2089))</f>
        <v/>
      </c>
    </row>
    <row r="2090">
      <c r="B2090" s="25" t="n"/>
      <c r="I2090" s="25" t="n"/>
      <c r="U2090" s="19">
        <f>IF($V2090&lt;&gt;'設定'!$C$4,N(U2089),IF(OR(NOT(COUNTIF('商品マスタ'!$B$6:$B$1005,$W2090)=0),COUNTIFS('①在庫を貼る'!$V$6:$V$10005,$V2090,'①在庫を貼る'!$W$6:$W$10005,$W2090)&gt;0),N(U2089),N(U2089)+1))</f>
        <v/>
      </c>
      <c r="V2090" s="19">
        <f>IF($B2090="","",TEXT($B2090,"0000"))</f>
        <v/>
      </c>
      <c r="W2090" s="19">
        <f>IF($I2090="","",IF(ISNUMBER($I2090),TEXT($I2090,"0"),$I2090))</f>
        <v/>
      </c>
    </row>
    <row r="2091">
      <c r="B2091" s="25" t="n"/>
      <c r="I2091" s="25" t="n"/>
      <c r="U2091" s="19">
        <f>IF($V2091&lt;&gt;'設定'!$C$4,N(U2090),IF(OR(NOT(COUNTIF('商品マスタ'!$B$6:$B$1005,$W2091)=0),COUNTIFS('①在庫を貼る'!$V$6:$V$10005,$V2091,'①在庫を貼る'!$W$6:$W$10005,$W2091)&gt;0),N(U2090),N(U2090)+1))</f>
        <v/>
      </c>
      <c r="V2091" s="19">
        <f>IF($B2091="","",TEXT($B2091,"0000"))</f>
        <v/>
      </c>
      <c r="W2091" s="19">
        <f>IF($I2091="","",IF(ISNUMBER($I2091),TEXT($I2091,"0"),$I2091))</f>
        <v/>
      </c>
    </row>
    <row r="2092">
      <c r="B2092" s="25" t="n"/>
      <c r="I2092" s="25" t="n"/>
      <c r="U2092" s="19">
        <f>IF($V2092&lt;&gt;'設定'!$C$4,N(U2091),IF(OR(NOT(COUNTIF('商品マスタ'!$B$6:$B$1005,$W2092)=0),COUNTIFS('①在庫を貼る'!$V$6:$V$10005,$V2092,'①在庫を貼る'!$W$6:$W$10005,$W2092)&gt;0),N(U2091),N(U2091)+1))</f>
        <v/>
      </c>
      <c r="V2092" s="19">
        <f>IF($B2092="","",TEXT($B2092,"0000"))</f>
        <v/>
      </c>
      <c r="W2092" s="19">
        <f>IF($I2092="","",IF(ISNUMBER($I2092),TEXT($I2092,"0"),$I2092))</f>
        <v/>
      </c>
    </row>
    <row r="2093">
      <c r="B2093" s="25" t="n"/>
      <c r="I2093" s="25" t="n"/>
      <c r="U2093" s="19">
        <f>IF($V2093&lt;&gt;'設定'!$C$4,N(U2092),IF(OR(NOT(COUNTIF('商品マスタ'!$B$6:$B$1005,$W2093)=0),COUNTIFS('①在庫を貼る'!$V$6:$V$10005,$V2093,'①在庫を貼る'!$W$6:$W$10005,$W2093)&gt;0),N(U2092),N(U2092)+1))</f>
        <v/>
      </c>
      <c r="V2093" s="19">
        <f>IF($B2093="","",TEXT($B2093,"0000"))</f>
        <v/>
      </c>
      <c r="W2093" s="19">
        <f>IF($I2093="","",IF(ISNUMBER($I2093),TEXT($I2093,"0"),$I2093))</f>
        <v/>
      </c>
    </row>
    <row r="2094">
      <c r="B2094" s="25" t="n"/>
      <c r="I2094" s="25" t="n"/>
      <c r="U2094" s="19">
        <f>IF($V2094&lt;&gt;'設定'!$C$4,N(U2093),IF(OR(NOT(COUNTIF('商品マスタ'!$B$6:$B$1005,$W2094)=0),COUNTIFS('①在庫を貼る'!$V$6:$V$10005,$V2094,'①在庫を貼る'!$W$6:$W$10005,$W2094)&gt;0),N(U2093),N(U2093)+1))</f>
        <v/>
      </c>
      <c r="V2094" s="19">
        <f>IF($B2094="","",TEXT($B2094,"0000"))</f>
        <v/>
      </c>
      <c r="W2094" s="19">
        <f>IF($I2094="","",IF(ISNUMBER($I2094),TEXT($I2094,"0"),$I2094))</f>
        <v/>
      </c>
    </row>
    <row r="2095">
      <c r="B2095" s="25" t="n"/>
      <c r="I2095" s="25" t="n"/>
      <c r="U2095" s="19">
        <f>IF($V2095&lt;&gt;'設定'!$C$4,N(U2094),IF(OR(NOT(COUNTIF('商品マスタ'!$B$6:$B$1005,$W2095)=0),COUNTIFS('①在庫を貼る'!$V$6:$V$10005,$V2095,'①在庫を貼る'!$W$6:$W$10005,$W2095)&gt;0),N(U2094),N(U2094)+1))</f>
        <v/>
      </c>
      <c r="V2095" s="19">
        <f>IF($B2095="","",TEXT($B2095,"0000"))</f>
        <v/>
      </c>
      <c r="W2095" s="19">
        <f>IF($I2095="","",IF(ISNUMBER($I2095),TEXT($I2095,"0"),$I2095))</f>
        <v/>
      </c>
    </row>
    <row r="2096">
      <c r="B2096" s="25" t="n"/>
      <c r="I2096" s="25" t="n"/>
      <c r="U2096" s="19">
        <f>IF($V2096&lt;&gt;'設定'!$C$4,N(U2095),IF(OR(NOT(COUNTIF('商品マスタ'!$B$6:$B$1005,$W2096)=0),COUNTIFS('①在庫を貼る'!$V$6:$V$10005,$V2096,'①在庫を貼る'!$W$6:$W$10005,$W2096)&gt;0),N(U2095),N(U2095)+1))</f>
        <v/>
      </c>
      <c r="V2096" s="19">
        <f>IF($B2096="","",TEXT($B2096,"0000"))</f>
        <v/>
      </c>
      <c r="W2096" s="19">
        <f>IF($I2096="","",IF(ISNUMBER($I2096),TEXT($I2096,"0"),$I2096))</f>
        <v/>
      </c>
    </row>
    <row r="2097">
      <c r="B2097" s="25" t="n"/>
      <c r="I2097" s="25" t="n"/>
      <c r="U2097" s="19">
        <f>IF($V2097&lt;&gt;'設定'!$C$4,N(U2096),IF(OR(NOT(COUNTIF('商品マスタ'!$B$6:$B$1005,$W2097)=0),COUNTIFS('①在庫を貼る'!$V$6:$V$10005,$V2097,'①在庫を貼る'!$W$6:$W$10005,$W2097)&gt;0),N(U2096),N(U2096)+1))</f>
        <v/>
      </c>
      <c r="V2097" s="19">
        <f>IF($B2097="","",TEXT($B2097,"0000"))</f>
        <v/>
      </c>
      <c r="W2097" s="19">
        <f>IF($I2097="","",IF(ISNUMBER($I2097),TEXT($I2097,"0"),$I2097))</f>
        <v/>
      </c>
    </row>
    <row r="2098">
      <c r="B2098" s="25" t="n"/>
      <c r="I2098" s="25" t="n"/>
      <c r="U2098" s="19">
        <f>IF($V2098&lt;&gt;'設定'!$C$4,N(U2097),IF(OR(NOT(COUNTIF('商品マスタ'!$B$6:$B$1005,$W2098)=0),COUNTIFS('①在庫を貼る'!$V$6:$V$10005,$V2098,'①在庫を貼る'!$W$6:$W$10005,$W2098)&gt;0),N(U2097),N(U2097)+1))</f>
        <v/>
      </c>
      <c r="V2098" s="19">
        <f>IF($B2098="","",TEXT($B2098,"0000"))</f>
        <v/>
      </c>
      <c r="W2098" s="19">
        <f>IF($I2098="","",IF(ISNUMBER($I2098),TEXT($I2098,"0"),$I2098))</f>
        <v/>
      </c>
    </row>
    <row r="2099">
      <c r="B2099" s="25" t="n"/>
      <c r="I2099" s="25" t="n"/>
      <c r="U2099" s="19">
        <f>IF($V2099&lt;&gt;'設定'!$C$4,N(U2098),IF(OR(NOT(COUNTIF('商品マスタ'!$B$6:$B$1005,$W2099)=0),COUNTIFS('①在庫を貼る'!$V$6:$V$10005,$V2099,'①在庫を貼る'!$W$6:$W$10005,$W2099)&gt;0),N(U2098),N(U2098)+1))</f>
        <v/>
      </c>
      <c r="V2099" s="19">
        <f>IF($B2099="","",TEXT($B2099,"0000"))</f>
        <v/>
      </c>
      <c r="W2099" s="19">
        <f>IF($I2099="","",IF(ISNUMBER($I2099),TEXT($I2099,"0"),$I2099))</f>
        <v/>
      </c>
    </row>
    <row r="2100">
      <c r="B2100" s="25" t="n"/>
      <c r="I2100" s="25" t="n"/>
      <c r="U2100" s="19">
        <f>IF($V2100&lt;&gt;'設定'!$C$4,N(U2099),IF(OR(NOT(COUNTIF('商品マスタ'!$B$6:$B$1005,$W2100)=0),COUNTIFS('①在庫を貼る'!$V$6:$V$10005,$V2100,'①在庫を貼る'!$W$6:$W$10005,$W2100)&gt;0),N(U2099),N(U2099)+1))</f>
        <v/>
      </c>
      <c r="V2100" s="19">
        <f>IF($B2100="","",TEXT($B2100,"0000"))</f>
        <v/>
      </c>
      <c r="W2100" s="19">
        <f>IF($I2100="","",IF(ISNUMBER($I2100),TEXT($I2100,"0"),$I2100))</f>
        <v/>
      </c>
    </row>
    <row r="2101">
      <c r="B2101" s="25" t="n"/>
      <c r="I2101" s="25" t="n"/>
      <c r="U2101" s="19">
        <f>IF($V2101&lt;&gt;'設定'!$C$4,N(U2100),IF(OR(NOT(COUNTIF('商品マスタ'!$B$6:$B$1005,$W2101)=0),COUNTIFS('①在庫を貼る'!$V$6:$V$10005,$V2101,'①在庫を貼る'!$W$6:$W$10005,$W2101)&gt;0),N(U2100),N(U2100)+1))</f>
        <v/>
      </c>
      <c r="V2101" s="19">
        <f>IF($B2101="","",TEXT($B2101,"0000"))</f>
        <v/>
      </c>
      <c r="W2101" s="19">
        <f>IF($I2101="","",IF(ISNUMBER($I2101),TEXT($I2101,"0"),$I2101))</f>
        <v/>
      </c>
    </row>
    <row r="2102">
      <c r="B2102" s="25" t="n"/>
      <c r="I2102" s="25" t="n"/>
      <c r="U2102" s="19">
        <f>IF($V2102&lt;&gt;'設定'!$C$4,N(U2101),IF(OR(NOT(COUNTIF('商品マスタ'!$B$6:$B$1005,$W2102)=0),COUNTIFS('①在庫を貼る'!$V$6:$V$10005,$V2102,'①在庫を貼る'!$W$6:$W$10005,$W2102)&gt;0),N(U2101),N(U2101)+1))</f>
        <v/>
      </c>
      <c r="V2102" s="19">
        <f>IF($B2102="","",TEXT($B2102,"0000"))</f>
        <v/>
      </c>
      <c r="W2102" s="19">
        <f>IF($I2102="","",IF(ISNUMBER($I2102),TEXT($I2102,"0"),$I2102))</f>
        <v/>
      </c>
    </row>
    <row r="2103">
      <c r="B2103" s="25" t="n"/>
      <c r="I2103" s="25" t="n"/>
      <c r="U2103" s="19">
        <f>IF($V2103&lt;&gt;'設定'!$C$4,N(U2102),IF(OR(NOT(COUNTIF('商品マスタ'!$B$6:$B$1005,$W2103)=0),COUNTIFS('①在庫を貼る'!$V$6:$V$10005,$V2103,'①在庫を貼る'!$W$6:$W$10005,$W2103)&gt;0),N(U2102),N(U2102)+1))</f>
        <v/>
      </c>
      <c r="V2103" s="19">
        <f>IF($B2103="","",TEXT($B2103,"0000"))</f>
        <v/>
      </c>
      <c r="W2103" s="19">
        <f>IF($I2103="","",IF(ISNUMBER($I2103),TEXT($I2103,"0"),$I2103))</f>
        <v/>
      </c>
    </row>
    <row r="2104">
      <c r="B2104" s="25" t="n"/>
      <c r="I2104" s="25" t="n"/>
      <c r="U2104" s="19">
        <f>IF($V2104&lt;&gt;'設定'!$C$4,N(U2103),IF(OR(NOT(COUNTIF('商品マスタ'!$B$6:$B$1005,$W2104)=0),COUNTIFS('①在庫を貼る'!$V$6:$V$10005,$V2104,'①在庫を貼る'!$W$6:$W$10005,$W2104)&gt;0),N(U2103),N(U2103)+1))</f>
        <v/>
      </c>
      <c r="V2104" s="19">
        <f>IF($B2104="","",TEXT($B2104,"0000"))</f>
        <v/>
      </c>
      <c r="W2104" s="19">
        <f>IF($I2104="","",IF(ISNUMBER($I2104),TEXT($I2104,"0"),$I2104))</f>
        <v/>
      </c>
    </row>
    <row r="2105">
      <c r="B2105" s="25" t="n"/>
      <c r="I2105" s="25" t="n"/>
      <c r="U2105" s="19">
        <f>IF($V2105&lt;&gt;'設定'!$C$4,N(U2104),IF(OR(NOT(COUNTIF('商品マスタ'!$B$6:$B$1005,$W2105)=0),COUNTIFS('①在庫を貼る'!$V$6:$V$10005,$V2105,'①在庫を貼る'!$W$6:$W$10005,$W2105)&gt;0),N(U2104),N(U2104)+1))</f>
        <v/>
      </c>
      <c r="V2105" s="19">
        <f>IF($B2105="","",TEXT($B2105,"0000"))</f>
        <v/>
      </c>
      <c r="W2105" s="19">
        <f>IF($I2105="","",IF(ISNUMBER($I2105),TEXT($I2105,"0"),$I2105))</f>
        <v/>
      </c>
    </row>
    <row r="2106">
      <c r="B2106" s="25" t="n"/>
      <c r="I2106" s="25" t="n"/>
      <c r="U2106" s="19">
        <f>IF($V2106&lt;&gt;'設定'!$C$4,N(U2105),IF(OR(NOT(COUNTIF('商品マスタ'!$B$6:$B$1005,$W2106)=0),COUNTIFS('①在庫を貼る'!$V$6:$V$10005,$V2106,'①在庫を貼る'!$W$6:$W$10005,$W2106)&gt;0),N(U2105),N(U2105)+1))</f>
        <v/>
      </c>
      <c r="V2106" s="19">
        <f>IF($B2106="","",TEXT($B2106,"0000"))</f>
        <v/>
      </c>
      <c r="W2106" s="19">
        <f>IF($I2106="","",IF(ISNUMBER($I2106),TEXT($I2106,"0"),$I2106))</f>
        <v/>
      </c>
    </row>
    <row r="2107">
      <c r="B2107" s="25" t="n"/>
      <c r="I2107" s="25" t="n"/>
      <c r="U2107" s="19">
        <f>IF($V2107&lt;&gt;'設定'!$C$4,N(U2106),IF(OR(NOT(COUNTIF('商品マスタ'!$B$6:$B$1005,$W2107)=0),COUNTIFS('①在庫を貼る'!$V$6:$V$10005,$V2107,'①在庫を貼る'!$W$6:$W$10005,$W2107)&gt;0),N(U2106),N(U2106)+1))</f>
        <v/>
      </c>
      <c r="V2107" s="19">
        <f>IF($B2107="","",TEXT($B2107,"0000"))</f>
        <v/>
      </c>
      <c r="W2107" s="19">
        <f>IF($I2107="","",IF(ISNUMBER($I2107),TEXT($I2107,"0"),$I2107))</f>
        <v/>
      </c>
    </row>
    <row r="2108">
      <c r="B2108" s="25" t="n"/>
      <c r="I2108" s="25" t="n"/>
      <c r="U2108" s="19">
        <f>IF($V2108&lt;&gt;'設定'!$C$4,N(U2107),IF(OR(NOT(COUNTIF('商品マスタ'!$B$6:$B$1005,$W2108)=0),COUNTIFS('①在庫を貼る'!$V$6:$V$10005,$V2108,'①在庫を貼る'!$W$6:$W$10005,$W2108)&gt;0),N(U2107),N(U2107)+1))</f>
        <v/>
      </c>
      <c r="V2108" s="19">
        <f>IF($B2108="","",TEXT($B2108,"0000"))</f>
        <v/>
      </c>
      <c r="W2108" s="19">
        <f>IF($I2108="","",IF(ISNUMBER($I2108),TEXT($I2108,"0"),$I2108))</f>
        <v/>
      </c>
    </row>
    <row r="2109">
      <c r="B2109" s="25" t="n"/>
      <c r="I2109" s="25" t="n"/>
      <c r="U2109" s="19">
        <f>IF($V2109&lt;&gt;'設定'!$C$4,N(U2108),IF(OR(NOT(COUNTIF('商品マスタ'!$B$6:$B$1005,$W2109)=0),COUNTIFS('①在庫を貼る'!$V$6:$V$10005,$V2109,'①在庫を貼る'!$W$6:$W$10005,$W2109)&gt;0),N(U2108),N(U2108)+1))</f>
        <v/>
      </c>
      <c r="V2109" s="19">
        <f>IF($B2109="","",TEXT($B2109,"0000"))</f>
        <v/>
      </c>
      <c r="W2109" s="19">
        <f>IF($I2109="","",IF(ISNUMBER($I2109),TEXT($I2109,"0"),$I2109))</f>
        <v/>
      </c>
    </row>
    <row r="2110">
      <c r="B2110" s="25" t="n"/>
      <c r="I2110" s="25" t="n"/>
      <c r="U2110" s="19">
        <f>IF($V2110&lt;&gt;'設定'!$C$4,N(U2109),IF(OR(NOT(COUNTIF('商品マスタ'!$B$6:$B$1005,$W2110)=0),COUNTIFS('①在庫を貼る'!$V$6:$V$10005,$V2110,'①在庫を貼る'!$W$6:$W$10005,$W2110)&gt;0),N(U2109),N(U2109)+1))</f>
        <v/>
      </c>
      <c r="V2110" s="19">
        <f>IF($B2110="","",TEXT($B2110,"0000"))</f>
        <v/>
      </c>
      <c r="W2110" s="19">
        <f>IF($I2110="","",IF(ISNUMBER($I2110),TEXT($I2110,"0"),$I2110))</f>
        <v/>
      </c>
    </row>
    <row r="2111">
      <c r="B2111" s="25" t="n"/>
      <c r="I2111" s="25" t="n"/>
      <c r="U2111" s="19">
        <f>IF($V2111&lt;&gt;'設定'!$C$4,N(U2110),IF(OR(NOT(COUNTIF('商品マスタ'!$B$6:$B$1005,$W2111)=0),COUNTIFS('①在庫を貼る'!$V$6:$V$10005,$V2111,'①在庫を貼る'!$W$6:$W$10005,$W2111)&gt;0),N(U2110),N(U2110)+1))</f>
        <v/>
      </c>
      <c r="V2111" s="19">
        <f>IF($B2111="","",TEXT($B2111,"0000"))</f>
        <v/>
      </c>
      <c r="W2111" s="19">
        <f>IF($I2111="","",IF(ISNUMBER($I2111),TEXT($I2111,"0"),$I2111))</f>
        <v/>
      </c>
    </row>
    <row r="2112">
      <c r="B2112" s="25" t="n"/>
      <c r="I2112" s="25" t="n"/>
      <c r="U2112" s="19">
        <f>IF($V2112&lt;&gt;'設定'!$C$4,N(U2111),IF(OR(NOT(COUNTIF('商品マスタ'!$B$6:$B$1005,$W2112)=0),COUNTIFS('①在庫を貼る'!$V$6:$V$10005,$V2112,'①在庫を貼る'!$W$6:$W$10005,$W2112)&gt;0),N(U2111),N(U2111)+1))</f>
        <v/>
      </c>
      <c r="V2112" s="19">
        <f>IF($B2112="","",TEXT($B2112,"0000"))</f>
        <v/>
      </c>
      <c r="W2112" s="19">
        <f>IF($I2112="","",IF(ISNUMBER($I2112),TEXT($I2112,"0"),$I2112))</f>
        <v/>
      </c>
    </row>
    <row r="2113">
      <c r="B2113" s="25" t="n"/>
      <c r="I2113" s="25" t="n"/>
      <c r="U2113" s="19">
        <f>IF($V2113&lt;&gt;'設定'!$C$4,N(U2112),IF(OR(NOT(COUNTIF('商品マスタ'!$B$6:$B$1005,$W2113)=0),COUNTIFS('①在庫を貼る'!$V$6:$V$10005,$V2113,'①在庫を貼る'!$W$6:$W$10005,$W2113)&gt;0),N(U2112),N(U2112)+1))</f>
        <v/>
      </c>
      <c r="V2113" s="19">
        <f>IF($B2113="","",TEXT($B2113,"0000"))</f>
        <v/>
      </c>
      <c r="W2113" s="19">
        <f>IF($I2113="","",IF(ISNUMBER($I2113),TEXT($I2113,"0"),$I2113))</f>
        <v/>
      </c>
    </row>
    <row r="2114">
      <c r="B2114" s="25" t="n"/>
      <c r="I2114" s="25" t="n"/>
      <c r="U2114" s="19">
        <f>IF($V2114&lt;&gt;'設定'!$C$4,N(U2113),IF(OR(NOT(COUNTIF('商品マスタ'!$B$6:$B$1005,$W2114)=0),COUNTIFS('①在庫を貼る'!$V$6:$V$10005,$V2114,'①在庫を貼る'!$W$6:$W$10005,$W2114)&gt;0),N(U2113),N(U2113)+1))</f>
        <v/>
      </c>
      <c r="V2114" s="19">
        <f>IF($B2114="","",TEXT($B2114,"0000"))</f>
        <v/>
      </c>
      <c r="W2114" s="19">
        <f>IF($I2114="","",IF(ISNUMBER($I2114),TEXT($I2114,"0"),$I2114))</f>
        <v/>
      </c>
    </row>
    <row r="2115">
      <c r="B2115" s="25" t="n"/>
      <c r="I2115" s="25" t="n"/>
      <c r="U2115" s="19">
        <f>IF($V2115&lt;&gt;'設定'!$C$4,N(U2114),IF(OR(NOT(COUNTIF('商品マスタ'!$B$6:$B$1005,$W2115)=0),COUNTIFS('①在庫を貼る'!$V$6:$V$10005,$V2115,'①在庫を貼る'!$W$6:$W$10005,$W2115)&gt;0),N(U2114),N(U2114)+1))</f>
        <v/>
      </c>
      <c r="V2115" s="19">
        <f>IF($B2115="","",TEXT($B2115,"0000"))</f>
        <v/>
      </c>
      <c r="W2115" s="19">
        <f>IF($I2115="","",IF(ISNUMBER($I2115),TEXT($I2115,"0"),$I2115))</f>
        <v/>
      </c>
    </row>
    <row r="2116">
      <c r="B2116" s="25" t="n"/>
      <c r="I2116" s="25" t="n"/>
      <c r="U2116" s="19">
        <f>IF($V2116&lt;&gt;'設定'!$C$4,N(U2115),IF(OR(NOT(COUNTIF('商品マスタ'!$B$6:$B$1005,$W2116)=0),COUNTIFS('①在庫を貼る'!$V$6:$V$10005,$V2116,'①在庫を貼る'!$W$6:$W$10005,$W2116)&gt;0),N(U2115),N(U2115)+1))</f>
        <v/>
      </c>
      <c r="V2116" s="19">
        <f>IF($B2116="","",TEXT($B2116,"0000"))</f>
        <v/>
      </c>
      <c r="W2116" s="19">
        <f>IF($I2116="","",IF(ISNUMBER($I2116),TEXT($I2116,"0"),$I2116))</f>
        <v/>
      </c>
    </row>
    <row r="2117">
      <c r="B2117" s="25" t="n"/>
      <c r="I2117" s="25" t="n"/>
      <c r="U2117" s="19">
        <f>IF($V2117&lt;&gt;'設定'!$C$4,N(U2116),IF(OR(NOT(COUNTIF('商品マスタ'!$B$6:$B$1005,$W2117)=0),COUNTIFS('①在庫を貼る'!$V$6:$V$10005,$V2117,'①在庫を貼る'!$W$6:$W$10005,$W2117)&gt;0),N(U2116),N(U2116)+1))</f>
        <v/>
      </c>
      <c r="V2117" s="19">
        <f>IF($B2117="","",TEXT($B2117,"0000"))</f>
        <v/>
      </c>
      <c r="W2117" s="19">
        <f>IF($I2117="","",IF(ISNUMBER($I2117),TEXT($I2117,"0"),$I2117))</f>
        <v/>
      </c>
    </row>
    <row r="2118">
      <c r="B2118" s="25" t="n"/>
      <c r="I2118" s="25" t="n"/>
      <c r="U2118" s="19">
        <f>IF($V2118&lt;&gt;'設定'!$C$4,N(U2117),IF(OR(NOT(COUNTIF('商品マスタ'!$B$6:$B$1005,$W2118)=0),COUNTIFS('①在庫を貼る'!$V$6:$V$10005,$V2118,'①在庫を貼る'!$W$6:$W$10005,$W2118)&gt;0),N(U2117),N(U2117)+1))</f>
        <v/>
      </c>
      <c r="V2118" s="19">
        <f>IF($B2118="","",TEXT($B2118,"0000"))</f>
        <v/>
      </c>
      <c r="W2118" s="19">
        <f>IF($I2118="","",IF(ISNUMBER($I2118),TEXT($I2118,"0"),$I2118))</f>
        <v/>
      </c>
    </row>
    <row r="2119">
      <c r="B2119" s="25" t="n"/>
      <c r="I2119" s="25" t="n"/>
      <c r="U2119" s="19">
        <f>IF($V2119&lt;&gt;'設定'!$C$4,N(U2118),IF(OR(NOT(COUNTIF('商品マスタ'!$B$6:$B$1005,$W2119)=0),COUNTIFS('①在庫を貼る'!$V$6:$V$10005,$V2119,'①在庫を貼る'!$W$6:$W$10005,$W2119)&gt;0),N(U2118),N(U2118)+1))</f>
        <v/>
      </c>
      <c r="V2119" s="19">
        <f>IF($B2119="","",TEXT($B2119,"0000"))</f>
        <v/>
      </c>
      <c r="W2119" s="19">
        <f>IF($I2119="","",IF(ISNUMBER($I2119),TEXT($I2119,"0"),$I2119))</f>
        <v/>
      </c>
    </row>
    <row r="2120">
      <c r="B2120" s="25" t="n"/>
      <c r="I2120" s="25" t="n"/>
      <c r="U2120" s="19">
        <f>IF($V2120&lt;&gt;'設定'!$C$4,N(U2119),IF(OR(NOT(COUNTIF('商品マスタ'!$B$6:$B$1005,$W2120)=0),COUNTIFS('①在庫を貼る'!$V$6:$V$10005,$V2120,'①在庫を貼る'!$W$6:$W$10005,$W2120)&gt;0),N(U2119),N(U2119)+1))</f>
        <v/>
      </c>
      <c r="V2120" s="19">
        <f>IF($B2120="","",TEXT($B2120,"0000"))</f>
        <v/>
      </c>
      <c r="W2120" s="19">
        <f>IF($I2120="","",IF(ISNUMBER($I2120),TEXT($I2120,"0"),$I2120))</f>
        <v/>
      </c>
    </row>
    <row r="2121">
      <c r="B2121" s="25" t="n"/>
      <c r="I2121" s="25" t="n"/>
      <c r="U2121" s="19">
        <f>IF($V2121&lt;&gt;'設定'!$C$4,N(U2120),IF(OR(NOT(COUNTIF('商品マスタ'!$B$6:$B$1005,$W2121)=0),COUNTIFS('①在庫を貼る'!$V$6:$V$10005,$V2121,'①在庫を貼る'!$W$6:$W$10005,$W2121)&gt;0),N(U2120),N(U2120)+1))</f>
        <v/>
      </c>
      <c r="V2121" s="19">
        <f>IF($B2121="","",TEXT($B2121,"0000"))</f>
        <v/>
      </c>
      <c r="W2121" s="19">
        <f>IF($I2121="","",IF(ISNUMBER($I2121),TEXT($I2121,"0"),$I2121))</f>
        <v/>
      </c>
    </row>
    <row r="2122">
      <c r="B2122" s="25" t="n"/>
      <c r="I2122" s="25" t="n"/>
      <c r="U2122" s="19">
        <f>IF($V2122&lt;&gt;'設定'!$C$4,N(U2121),IF(OR(NOT(COUNTIF('商品マスタ'!$B$6:$B$1005,$W2122)=0),COUNTIFS('①在庫を貼る'!$V$6:$V$10005,$V2122,'①在庫を貼る'!$W$6:$W$10005,$W2122)&gt;0),N(U2121),N(U2121)+1))</f>
        <v/>
      </c>
      <c r="V2122" s="19">
        <f>IF($B2122="","",TEXT($B2122,"0000"))</f>
        <v/>
      </c>
      <c r="W2122" s="19">
        <f>IF($I2122="","",IF(ISNUMBER($I2122),TEXT($I2122,"0"),$I2122))</f>
        <v/>
      </c>
    </row>
    <row r="2123">
      <c r="B2123" s="25" t="n"/>
      <c r="I2123" s="25" t="n"/>
      <c r="U2123" s="19">
        <f>IF($V2123&lt;&gt;'設定'!$C$4,N(U2122),IF(OR(NOT(COUNTIF('商品マスタ'!$B$6:$B$1005,$W2123)=0),COUNTIFS('①在庫を貼る'!$V$6:$V$10005,$V2123,'①在庫を貼る'!$W$6:$W$10005,$W2123)&gt;0),N(U2122),N(U2122)+1))</f>
        <v/>
      </c>
      <c r="V2123" s="19">
        <f>IF($B2123="","",TEXT($B2123,"0000"))</f>
        <v/>
      </c>
      <c r="W2123" s="19">
        <f>IF($I2123="","",IF(ISNUMBER($I2123),TEXT($I2123,"0"),$I2123))</f>
        <v/>
      </c>
    </row>
    <row r="2124">
      <c r="B2124" s="25" t="n"/>
      <c r="I2124" s="25" t="n"/>
      <c r="U2124" s="19">
        <f>IF($V2124&lt;&gt;'設定'!$C$4,N(U2123),IF(OR(NOT(COUNTIF('商品マスタ'!$B$6:$B$1005,$W2124)=0),COUNTIFS('①在庫を貼る'!$V$6:$V$10005,$V2124,'①在庫を貼る'!$W$6:$W$10005,$W2124)&gt;0),N(U2123),N(U2123)+1))</f>
        <v/>
      </c>
      <c r="V2124" s="19">
        <f>IF($B2124="","",TEXT($B2124,"0000"))</f>
        <v/>
      </c>
      <c r="W2124" s="19">
        <f>IF($I2124="","",IF(ISNUMBER($I2124),TEXT($I2124,"0"),$I2124))</f>
        <v/>
      </c>
    </row>
    <row r="2125">
      <c r="B2125" s="25" t="n"/>
      <c r="I2125" s="25" t="n"/>
      <c r="U2125" s="19">
        <f>IF($V2125&lt;&gt;'設定'!$C$4,N(U2124),IF(OR(NOT(COUNTIF('商品マスタ'!$B$6:$B$1005,$W2125)=0),COUNTIFS('①在庫を貼る'!$V$6:$V$10005,$V2125,'①在庫を貼る'!$W$6:$W$10005,$W2125)&gt;0),N(U2124),N(U2124)+1))</f>
        <v/>
      </c>
      <c r="V2125" s="19">
        <f>IF($B2125="","",TEXT($B2125,"0000"))</f>
        <v/>
      </c>
      <c r="W2125" s="19">
        <f>IF($I2125="","",IF(ISNUMBER($I2125),TEXT($I2125,"0"),$I2125))</f>
        <v/>
      </c>
    </row>
    <row r="2126">
      <c r="B2126" s="25" t="n"/>
      <c r="I2126" s="25" t="n"/>
      <c r="U2126" s="19">
        <f>IF($V2126&lt;&gt;'設定'!$C$4,N(U2125),IF(OR(NOT(COUNTIF('商品マスタ'!$B$6:$B$1005,$W2126)=0),COUNTIFS('①在庫を貼る'!$V$6:$V$10005,$V2126,'①在庫を貼る'!$W$6:$W$10005,$W2126)&gt;0),N(U2125),N(U2125)+1))</f>
        <v/>
      </c>
      <c r="V2126" s="19">
        <f>IF($B2126="","",TEXT($B2126,"0000"))</f>
        <v/>
      </c>
      <c r="W2126" s="19">
        <f>IF($I2126="","",IF(ISNUMBER($I2126),TEXT($I2126,"0"),$I2126))</f>
        <v/>
      </c>
    </row>
    <row r="2127">
      <c r="B2127" s="25" t="n"/>
      <c r="I2127" s="25" t="n"/>
      <c r="U2127" s="19">
        <f>IF($V2127&lt;&gt;'設定'!$C$4,N(U2126),IF(OR(NOT(COUNTIF('商品マスタ'!$B$6:$B$1005,$W2127)=0),COUNTIFS('①在庫を貼る'!$V$6:$V$10005,$V2127,'①在庫を貼る'!$W$6:$W$10005,$W2127)&gt;0),N(U2126),N(U2126)+1))</f>
        <v/>
      </c>
      <c r="V2127" s="19">
        <f>IF($B2127="","",TEXT($B2127,"0000"))</f>
        <v/>
      </c>
      <c r="W2127" s="19">
        <f>IF($I2127="","",IF(ISNUMBER($I2127),TEXT($I2127,"0"),$I2127))</f>
        <v/>
      </c>
    </row>
    <row r="2128">
      <c r="B2128" s="25" t="n"/>
      <c r="I2128" s="25" t="n"/>
      <c r="U2128" s="19">
        <f>IF($V2128&lt;&gt;'設定'!$C$4,N(U2127),IF(OR(NOT(COUNTIF('商品マスタ'!$B$6:$B$1005,$W2128)=0),COUNTIFS('①在庫を貼る'!$V$6:$V$10005,$V2128,'①在庫を貼る'!$W$6:$W$10005,$W2128)&gt;0),N(U2127),N(U2127)+1))</f>
        <v/>
      </c>
      <c r="V2128" s="19">
        <f>IF($B2128="","",TEXT($B2128,"0000"))</f>
        <v/>
      </c>
      <c r="W2128" s="19">
        <f>IF($I2128="","",IF(ISNUMBER($I2128),TEXT($I2128,"0"),$I2128))</f>
        <v/>
      </c>
    </row>
    <row r="2129">
      <c r="B2129" s="25" t="n"/>
      <c r="I2129" s="25" t="n"/>
      <c r="U2129" s="19">
        <f>IF($V2129&lt;&gt;'設定'!$C$4,N(U2128),IF(OR(NOT(COUNTIF('商品マスタ'!$B$6:$B$1005,$W2129)=0),COUNTIFS('①在庫を貼る'!$V$6:$V$10005,$V2129,'①在庫を貼る'!$W$6:$W$10005,$W2129)&gt;0),N(U2128),N(U2128)+1))</f>
        <v/>
      </c>
      <c r="V2129" s="19">
        <f>IF($B2129="","",TEXT($B2129,"0000"))</f>
        <v/>
      </c>
      <c r="W2129" s="19">
        <f>IF($I2129="","",IF(ISNUMBER($I2129),TEXT($I2129,"0"),$I2129))</f>
        <v/>
      </c>
    </row>
    <row r="2130">
      <c r="B2130" s="25" t="n"/>
      <c r="I2130" s="25" t="n"/>
      <c r="U2130" s="19">
        <f>IF($V2130&lt;&gt;'設定'!$C$4,N(U2129),IF(OR(NOT(COUNTIF('商品マスタ'!$B$6:$B$1005,$W2130)=0),COUNTIFS('①在庫を貼る'!$V$6:$V$10005,$V2130,'①在庫を貼る'!$W$6:$W$10005,$W2130)&gt;0),N(U2129),N(U2129)+1))</f>
        <v/>
      </c>
      <c r="V2130" s="19">
        <f>IF($B2130="","",TEXT($B2130,"0000"))</f>
        <v/>
      </c>
      <c r="W2130" s="19">
        <f>IF($I2130="","",IF(ISNUMBER($I2130),TEXT($I2130,"0"),$I2130))</f>
        <v/>
      </c>
    </row>
    <row r="2131">
      <c r="B2131" s="25" t="n"/>
      <c r="I2131" s="25" t="n"/>
      <c r="U2131" s="19">
        <f>IF($V2131&lt;&gt;'設定'!$C$4,N(U2130),IF(OR(NOT(COUNTIF('商品マスタ'!$B$6:$B$1005,$W2131)=0),COUNTIFS('①在庫を貼る'!$V$6:$V$10005,$V2131,'①在庫を貼る'!$W$6:$W$10005,$W2131)&gt;0),N(U2130),N(U2130)+1))</f>
        <v/>
      </c>
      <c r="V2131" s="19">
        <f>IF($B2131="","",TEXT($B2131,"0000"))</f>
        <v/>
      </c>
      <c r="W2131" s="19">
        <f>IF($I2131="","",IF(ISNUMBER($I2131),TEXT($I2131,"0"),$I2131))</f>
        <v/>
      </c>
    </row>
    <row r="2132">
      <c r="B2132" s="25" t="n"/>
      <c r="I2132" s="25" t="n"/>
      <c r="U2132" s="19">
        <f>IF($V2132&lt;&gt;'設定'!$C$4,N(U2131),IF(OR(NOT(COUNTIF('商品マスタ'!$B$6:$B$1005,$W2132)=0),COUNTIFS('①在庫を貼る'!$V$6:$V$10005,$V2132,'①在庫を貼る'!$W$6:$W$10005,$W2132)&gt;0),N(U2131),N(U2131)+1))</f>
        <v/>
      </c>
      <c r="V2132" s="19">
        <f>IF($B2132="","",TEXT($B2132,"0000"))</f>
        <v/>
      </c>
      <c r="W2132" s="19">
        <f>IF($I2132="","",IF(ISNUMBER($I2132),TEXT($I2132,"0"),$I2132))</f>
        <v/>
      </c>
    </row>
    <row r="2133">
      <c r="B2133" s="25" t="n"/>
      <c r="I2133" s="25" t="n"/>
      <c r="U2133" s="19">
        <f>IF($V2133&lt;&gt;'設定'!$C$4,N(U2132),IF(OR(NOT(COUNTIF('商品マスタ'!$B$6:$B$1005,$W2133)=0),COUNTIFS('①在庫を貼る'!$V$6:$V$10005,$V2133,'①在庫を貼る'!$W$6:$W$10005,$W2133)&gt;0),N(U2132),N(U2132)+1))</f>
        <v/>
      </c>
      <c r="V2133" s="19">
        <f>IF($B2133="","",TEXT($B2133,"0000"))</f>
        <v/>
      </c>
      <c r="W2133" s="19">
        <f>IF($I2133="","",IF(ISNUMBER($I2133),TEXT($I2133,"0"),$I2133))</f>
        <v/>
      </c>
    </row>
    <row r="2134">
      <c r="B2134" s="25" t="n"/>
      <c r="I2134" s="25" t="n"/>
      <c r="U2134" s="19">
        <f>IF($V2134&lt;&gt;'設定'!$C$4,N(U2133),IF(OR(NOT(COUNTIF('商品マスタ'!$B$6:$B$1005,$W2134)=0),COUNTIFS('①在庫を貼る'!$V$6:$V$10005,$V2134,'①在庫を貼る'!$W$6:$W$10005,$W2134)&gt;0),N(U2133),N(U2133)+1))</f>
        <v/>
      </c>
      <c r="V2134" s="19">
        <f>IF($B2134="","",TEXT($B2134,"0000"))</f>
        <v/>
      </c>
      <c r="W2134" s="19">
        <f>IF($I2134="","",IF(ISNUMBER($I2134),TEXT($I2134,"0"),$I2134))</f>
        <v/>
      </c>
    </row>
    <row r="2135">
      <c r="B2135" s="25" t="n"/>
      <c r="I2135" s="25" t="n"/>
      <c r="U2135" s="19">
        <f>IF($V2135&lt;&gt;'設定'!$C$4,N(U2134),IF(OR(NOT(COUNTIF('商品マスタ'!$B$6:$B$1005,$W2135)=0),COUNTIFS('①在庫を貼る'!$V$6:$V$10005,$V2135,'①在庫を貼る'!$W$6:$W$10005,$W2135)&gt;0),N(U2134),N(U2134)+1))</f>
        <v/>
      </c>
      <c r="V2135" s="19">
        <f>IF($B2135="","",TEXT($B2135,"0000"))</f>
        <v/>
      </c>
      <c r="W2135" s="19">
        <f>IF($I2135="","",IF(ISNUMBER($I2135),TEXT($I2135,"0"),$I2135))</f>
        <v/>
      </c>
    </row>
    <row r="2136">
      <c r="B2136" s="25" t="n"/>
      <c r="I2136" s="25" t="n"/>
      <c r="U2136" s="19">
        <f>IF($V2136&lt;&gt;'設定'!$C$4,N(U2135),IF(OR(NOT(COUNTIF('商品マスタ'!$B$6:$B$1005,$W2136)=0),COUNTIFS('①在庫を貼る'!$V$6:$V$10005,$V2136,'①在庫を貼る'!$W$6:$W$10005,$W2136)&gt;0),N(U2135),N(U2135)+1))</f>
        <v/>
      </c>
      <c r="V2136" s="19">
        <f>IF($B2136="","",TEXT($B2136,"0000"))</f>
        <v/>
      </c>
      <c r="W2136" s="19">
        <f>IF($I2136="","",IF(ISNUMBER($I2136),TEXT($I2136,"0"),$I2136))</f>
        <v/>
      </c>
    </row>
    <row r="2137">
      <c r="B2137" s="25" t="n"/>
      <c r="I2137" s="25" t="n"/>
      <c r="U2137" s="19">
        <f>IF($V2137&lt;&gt;'設定'!$C$4,N(U2136),IF(OR(NOT(COUNTIF('商品マスタ'!$B$6:$B$1005,$W2137)=0),COUNTIFS('①在庫を貼る'!$V$6:$V$10005,$V2137,'①在庫を貼る'!$W$6:$W$10005,$W2137)&gt;0),N(U2136),N(U2136)+1))</f>
        <v/>
      </c>
      <c r="V2137" s="19">
        <f>IF($B2137="","",TEXT($B2137,"0000"))</f>
        <v/>
      </c>
      <c r="W2137" s="19">
        <f>IF($I2137="","",IF(ISNUMBER($I2137),TEXT($I2137,"0"),$I2137))</f>
        <v/>
      </c>
    </row>
    <row r="2138">
      <c r="B2138" s="25" t="n"/>
      <c r="I2138" s="25" t="n"/>
      <c r="U2138" s="19">
        <f>IF($V2138&lt;&gt;'設定'!$C$4,N(U2137),IF(OR(NOT(COUNTIF('商品マスタ'!$B$6:$B$1005,$W2138)=0),COUNTIFS('①在庫を貼る'!$V$6:$V$10005,$V2138,'①在庫を貼る'!$W$6:$W$10005,$W2138)&gt;0),N(U2137),N(U2137)+1))</f>
        <v/>
      </c>
      <c r="V2138" s="19">
        <f>IF($B2138="","",TEXT($B2138,"0000"))</f>
        <v/>
      </c>
      <c r="W2138" s="19">
        <f>IF($I2138="","",IF(ISNUMBER($I2138),TEXT($I2138,"0"),$I2138))</f>
        <v/>
      </c>
    </row>
    <row r="2139">
      <c r="B2139" s="25" t="n"/>
      <c r="I2139" s="25" t="n"/>
      <c r="U2139" s="19">
        <f>IF($V2139&lt;&gt;'設定'!$C$4,N(U2138),IF(OR(NOT(COUNTIF('商品マスタ'!$B$6:$B$1005,$W2139)=0),COUNTIFS('①在庫を貼る'!$V$6:$V$10005,$V2139,'①在庫を貼る'!$W$6:$W$10005,$W2139)&gt;0),N(U2138),N(U2138)+1))</f>
        <v/>
      </c>
      <c r="V2139" s="19">
        <f>IF($B2139="","",TEXT($B2139,"0000"))</f>
        <v/>
      </c>
      <c r="W2139" s="19">
        <f>IF($I2139="","",IF(ISNUMBER($I2139),TEXT($I2139,"0"),$I2139))</f>
        <v/>
      </c>
    </row>
    <row r="2140">
      <c r="B2140" s="25" t="n"/>
      <c r="I2140" s="25" t="n"/>
      <c r="U2140" s="19">
        <f>IF($V2140&lt;&gt;'設定'!$C$4,N(U2139),IF(OR(NOT(COUNTIF('商品マスタ'!$B$6:$B$1005,$W2140)=0),COUNTIFS('①在庫を貼る'!$V$6:$V$10005,$V2140,'①在庫を貼る'!$W$6:$W$10005,$W2140)&gt;0),N(U2139),N(U2139)+1))</f>
        <v/>
      </c>
      <c r="V2140" s="19">
        <f>IF($B2140="","",TEXT($B2140,"0000"))</f>
        <v/>
      </c>
      <c r="W2140" s="19">
        <f>IF($I2140="","",IF(ISNUMBER($I2140),TEXT($I2140,"0"),$I2140))</f>
        <v/>
      </c>
    </row>
    <row r="2141">
      <c r="B2141" s="25" t="n"/>
      <c r="I2141" s="25" t="n"/>
      <c r="U2141" s="19">
        <f>IF($V2141&lt;&gt;'設定'!$C$4,N(U2140),IF(OR(NOT(COUNTIF('商品マスタ'!$B$6:$B$1005,$W2141)=0),COUNTIFS('①在庫を貼る'!$V$6:$V$10005,$V2141,'①在庫を貼る'!$W$6:$W$10005,$W2141)&gt;0),N(U2140),N(U2140)+1))</f>
        <v/>
      </c>
      <c r="V2141" s="19">
        <f>IF($B2141="","",TEXT($B2141,"0000"))</f>
        <v/>
      </c>
      <c r="W2141" s="19">
        <f>IF($I2141="","",IF(ISNUMBER($I2141),TEXT($I2141,"0"),$I2141))</f>
        <v/>
      </c>
    </row>
    <row r="2142">
      <c r="B2142" s="25" t="n"/>
      <c r="I2142" s="25" t="n"/>
      <c r="U2142" s="19">
        <f>IF($V2142&lt;&gt;'設定'!$C$4,N(U2141),IF(OR(NOT(COUNTIF('商品マスタ'!$B$6:$B$1005,$W2142)=0),COUNTIFS('①在庫を貼る'!$V$6:$V$10005,$V2142,'①在庫を貼る'!$W$6:$W$10005,$W2142)&gt;0),N(U2141),N(U2141)+1))</f>
        <v/>
      </c>
      <c r="V2142" s="19">
        <f>IF($B2142="","",TEXT($B2142,"0000"))</f>
        <v/>
      </c>
      <c r="W2142" s="19">
        <f>IF($I2142="","",IF(ISNUMBER($I2142),TEXT($I2142,"0"),$I2142))</f>
        <v/>
      </c>
    </row>
    <row r="2143">
      <c r="B2143" s="25" t="n"/>
      <c r="I2143" s="25" t="n"/>
      <c r="U2143" s="19">
        <f>IF($V2143&lt;&gt;'設定'!$C$4,N(U2142),IF(OR(NOT(COUNTIF('商品マスタ'!$B$6:$B$1005,$W2143)=0),COUNTIFS('①在庫を貼る'!$V$6:$V$10005,$V2143,'①在庫を貼る'!$W$6:$W$10005,$W2143)&gt;0),N(U2142),N(U2142)+1))</f>
        <v/>
      </c>
      <c r="V2143" s="19">
        <f>IF($B2143="","",TEXT($B2143,"0000"))</f>
        <v/>
      </c>
      <c r="W2143" s="19">
        <f>IF($I2143="","",IF(ISNUMBER($I2143),TEXT($I2143,"0"),$I2143))</f>
        <v/>
      </c>
    </row>
    <row r="2144">
      <c r="B2144" s="25" t="n"/>
      <c r="I2144" s="25" t="n"/>
      <c r="U2144" s="19">
        <f>IF($V2144&lt;&gt;'設定'!$C$4,N(U2143),IF(OR(NOT(COUNTIF('商品マスタ'!$B$6:$B$1005,$W2144)=0),COUNTIFS('①在庫を貼る'!$V$6:$V$10005,$V2144,'①在庫を貼る'!$W$6:$W$10005,$W2144)&gt;0),N(U2143),N(U2143)+1))</f>
        <v/>
      </c>
      <c r="V2144" s="19">
        <f>IF($B2144="","",TEXT($B2144,"0000"))</f>
        <v/>
      </c>
      <c r="W2144" s="19">
        <f>IF($I2144="","",IF(ISNUMBER($I2144),TEXT($I2144,"0"),$I2144))</f>
        <v/>
      </c>
    </row>
    <row r="2145">
      <c r="B2145" s="25" t="n"/>
      <c r="I2145" s="25" t="n"/>
      <c r="U2145" s="19">
        <f>IF($V2145&lt;&gt;'設定'!$C$4,N(U2144),IF(OR(NOT(COUNTIF('商品マスタ'!$B$6:$B$1005,$W2145)=0),COUNTIFS('①在庫を貼る'!$V$6:$V$10005,$V2145,'①在庫を貼る'!$W$6:$W$10005,$W2145)&gt;0),N(U2144),N(U2144)+1))</f>
        <v/>
      </c>
      <c r="V2145" s="19">
        <f>IF($B2145="","",TEXT($B2145,"0000"))</f>
        <v/>
      </c>
      <c r="W2145" s="19">
        <f>IF($I2145="","",IF(ISNUMBER($I2145),TEXT($I2145,"0"),$I2145))</f>
        <v/>
      </c>
    </row>
    <row r="2146">
      <c r="B2146" s="25" t="n"/>
      <c r="I2146" s="25" t="n"/>
      <c r="U2146" s="19">
        <f>IF($V2146&lt;&gt;'設定'!$C$4,N(U2145),IF(OR(NOT(COUNTIF('商品マスタ'!$B$6:$B$1005,$W2146)=0),COUNTIFS('①在庫を貼る'!$V$6:$V$10005,$V2146,'①在庫を貼る'!$W$6:$W$10005,$W2146)&gt;0),N(U2145),N(U2145)+1))</f>
        <v/>
      </c>
      <c r="V2146" s="19">
        <f>IF($B2146="","",TEXT($B2146,"0000"))</f>
        <v/>
      </c>
      <c r="W2146" s="19">
        <f>IF($I2146="","",IF(ISNUMBER($I2146),TEXT($I2146,"0"),$I2146))</f>
        <v/>
      </c>
    </row>
    <row r="2147">
      <c r="B2147" s="25" t="n"/>
      <c r="I2147" s="25" t="n"/>
      <c r="U2147" s="19">
        <f>IF($V2147&lt;&gt;'設定'!$C$4,N(U2146),IF(OR(NOT(COUNTIF('商品マスタ'!$B$6:$B$1005,$W2147)=0),COUNTIFS('①在庫を貼る'!$V$6:$V$10005,$V2147,'①在庫を貼る'!$W$6:$W$10005,$W2147)&gt;0),N(U2146),N(U2146)+1))</f>
        <v/>
      </c>
      <c r="V2147" s="19">
        <f>IF($B2147="","",TEXT($B2147,"0000"))</f>
        <v/>
      </c>
      <c r="W2147" s="19">
        <f>IF($I2147="","",IF(ISNUMBER($I2147),TEXT($I2147,"0"),$I2147))</f>
        <v/>
      </c>
    </row>
    <row r="2148">
      <c r="B2148" s="25" t="n"/>
      <c r="I2148" s="25" t="n"/>
      <c r="U2148" s="19">
        <f>IF($V2148&lt;&gt;'設定'!$C$4,N(U2147),IF(OR(NOT(COUNTIF('商品マスタ'!$B$6:$B$1005,$W2148)=0),COUNTIFS('①在庫を貼る'!$V$6:$V$10005,$V2148,'①在庫を貼る'!$W$6:$W$10005,$W2148)&gt;0),N(U2147),N(U2147)+1))</f>
        <v/>
      </c>
      <c r="V2148" s="19">
        <f>IF($B2148="","",TEXT($B2148,"0000"))</f>
        <v/>
      </c>
      <c r="W2148" s="19">
        <f>IF($I2148="","",IF(ISNUMBER($I2148),TEXT($I2148,"0"),$I2148))</f>
        <v/>
      </c>
    </row>
    <row r="2149">
      <c r="B2149" s="25" t="n"/>
      <c r="I2149" s="25" t="n"/>
      <c r="U2149" s="19">
        <f>IF($V2149&lt;&gt;'設定'!$C$4,N(U2148),IF(OR(NOT(COUNTIF('商品マスタ'!$B$6:$B$1005,$W2149)=0),COUNTIFS('①在庫を貼る'!$V$6:$V$10005,$V2149,'①在庫を貼る'!$W$6:$W$10005,$W2149)&gt;0),N(U2148),N(U2148)+1))</f>
        <v/>
      </c>
      <c r="V2149" s="19">
        <f>IF($B2149="","",TEXT($B2149,"0000"))</f>
        <v/>
      </c>
      <c r="W2149" s="19">
        <f>IF($I2149="","",IF(ISNUMBER($I2149),TEXT($I2149,"0"),$I2149))</f>
        <v/>
      </c>
    </row>
    <row r="2150">
      <c r="B2150" s="25" t="n"/>
      <c r="I2150" s="25" t="n"/>
      <c r="U2150" s="19">
        <f>IF($V2150&lt;&gt;'設定'!$C$4,N(U2149),IF(OR(NOT(COUNTIF('商品マスタ'!$B$6:$B$1005,$W2150)=0),COUNTIFS('①在庫を貼る'!$V$6:$V$10005,$V2150,'①在庫を貼る'!$W$6:$W$10005,$W2150)&gt;0),N(U2149),N(U2149)+1))</f>
        <v/>
      </c>
      <c r="V2150" s="19">
        <f>IF($B2150="","",TEXT($B2150,"0000"))</f>
        <v/>
      </c>
      <c r="W2150" s="19">
        <f>IF($I2150="","",IF(ISNUMBER($I2150),TEXT($I2150,"0"),$I2150))</f>
        <v/>
      </c>
    </row>
    <row r="2151">
      <c r="B2151" s="25" t="n"/>
      <c r="I2151" s="25" t="n"/>
      <c r="U2151" s="19">
        <f>IF($V2151&lt;&gt;'設定'!$C$4,N(U2150),IF(OR(NOT(COUNTIF('商品マスタ'!$B$6:$B$1005,$W2151)=0),COUNTIFS('①在庫を貼る'!$V$6:$V$10005,$V2151,'①在庫を貼る'!$W$6:$W$10005,$W2151)&gt;0),N(U2150),N(U2150)+1))</f>
        <v/>
      </c>
      <c r="V2151" s="19">
        <f>IF($B2151="","",TEXT($B2151,"0000"))</f>
        <v/>
      </c>
      <c r="W2151" s="19">
        <f>IF($I2151="","",IF(ISNUMBER($I2151),TEXT($I2151,"0"),$I2151))</f>
        <v/>
      </c>
    </row>
    <row r="2152">
      <c r="B2152" s="25" t="n"/>
      <c r="I2152" s="25" t="n"/>
      <c r="U2152" s="19">
        <f>IF($V2152&lt;&gt;'設定'!$C$4,N(U2151),IF(OR(NOT(COUNTIF('商品マスタ'!$B$6:$B$1005,$W2152)=0),COUNTIFS('①在庫を貼る'!$V$6:$V$10005,$V2152,'①在庫を貼る'!$W$6:$W$10005,$W2152)&gt;0),N(U2151),N(U2151)+1))</f>
        <v/>
      </c>
      <c r="V2152" s="19">
        <f>IF($B2152="","",TEXT($B2152,"0000"))</f>
        <v/>
      </c>
      <c r="W2152" s="19">
        <f>IF($I2152="","",IF(ISNUMBER($I2152),TEXT($I2152,"0"),$I2152))</f>
        <v/>
      </c>
    </row>
    <row r="2153">
      <c r="B2153" s="25" t="n"/>
      <c r="I2153" s="25" t="n"/>
      <c r="U2153" s="19">
        <f>IF($V2153&lt;&gt;'設定'!$C$4,N(U2152),IF(OR(NOT(COUNTIF('商品マスタ'!$B$6:$B$1005,$W2153)=0),COUNTIFS('①在庫を貼る'!$V$6:$V$10005,$V2153,'①在庫を貼る'!$W$6:$W$10005,$W2153)&gt;0),N(U2152),N(U2152)+1))</f>
        <v/>
      </c>
      <c r="V2153" s="19">
        <f>IF($B2153="","",TEXT($B2153,"0000"))</f>
        <v/>
      </c>
      <c r="W2153" s="19">
        <f>IF($I2153="","",IF(ISNUMBER($I2153),TEXT($I2153,"0"),$I2153))</f>
        <v/>
      </c>
    </row>
    <row r="2154">
      <c r="B2154" s="25" t="n"/>
      <c r="I2154" s="25" t="n"/>
      <c r="U2154" s="19">
        <f>IF($V2154&lt;&gt;'設定'!$C$4,N(U2153),IF(OR(NOT(COUNTIF('商品マスタ'!$B$6:$B$1005,$W2154)=0),COUNTIFS('①在庫を貼る'!$V$6:$V$10005,$V2154,'①在庫を貼る'!$W$6:$W$10005,$W2154)&gt;0),N(U2153),N(U2153)+1))</f>
        <v/>
      </c>
      <c r="V2154" s="19">
        <f>IF($B2154="","",TEXT($B2154,"0000"))</f>
        <v/>
      </c>
      <c r="W2154" s="19">
        <f>IF($I2154="","",IF(ISNUMBER($I2154),TEXT($I2154,"0"),$I2154))</f>
        <v/>
      </c>
    </row>
    <row r="2155">
      <c r="B2155" s="25" t="n"/>
      <c r="I2155" s="25" t="n"/>
      <c r="U2155" s="19">
        <f>IF($V2155&lt;&gt;'設定'!$C$4,N(U2154),IF(OR(NOT(COUNTIF('商品マスタ'!$B$6:$B$1005,$W2155)=0),COUNTIFS('①在庫を貼る'!$V$6:$V$10005,$V2155,'①在庫を貼る'!$W$6:$W$10005,$W2155)&gt;0),N(U2154),N(U2154)+1))</f>
        <v/>
      </c>
      <c r="V2155" s="19">
        <f>IF($B2155="","",TEXT($B2155,"0000"))</f>
        <v/>
      </c>
      <c r="W2155" s="19">
        <f>IF($I2155="","",IF(ISNUMBER($I2155),TEXT($I2155,"0"),$I2155))</f>
        <v/>
      </c>
    </row>
    <row r="2156">
      <c r="B2156" s="25" t="n"/>
      <c r="I2156" s="25" t="n"/>
      <c r="U2156" s="19">
        <f>IF($V2156&lt;&gt;'設定'!$C$4,N(U2155),IF(OR(NOT(COUNTIF('商品マスタ'!$B$6:$B$1005,$W2156)=0),COUNTIFS('①在庫を貼る'!$V$6:$V$10005,$V2156,'①在庫を貼る'!$W$6:$W$10005,$W2156)&gt;0),N(U2155),N(U2155)+1))</f>
        <v/>
      </c>
      <c r="V2156" s="19">
        <f>IF($B2156="","",TEXT($B2156,"0000"))</f>
        <v/>
      </c>
      <c r="W2156" s="19">
        <f>IF($I2156="","",IF(ISNUMBER($I2156),TEXT($I2156,"0"),$I2156))</f>
        <v/>
      </c>
    </row>
    <row r="2157">
      <c r="B2157" s="25" t="n"/>
      <c r="I2157" s="25" t="n"/>
      <c r="U2157" s="19">
        <f>IF($V2157&lt;&gt;'設定'!$C$4,N(U2156),IF(OR(NOT(COUNTIF('商品マスタ'!$B$6:$B$1005,$W2157)=0),COUNTIFS('①在庫を貼る'!$V$6:$V$10005,$V2157,'①在庫を貼る'!$W$6:$W$10005,$W2157)&gt;0),N(U2156),N(U2156)+1))</f>
        <v/>
      </c>
      <c r="V2157" s="19">
        <f>IF($B2157="","",TEXT($B2157,"0000"))</f>
        <v/>
      </c>
      <c r="W2157" s="19">
        <f>IF($I2157="","",IF(ISNUMBER($I2157),TEXT($I2157,"0"),$I2157))</f>
        <v/>
      </c>
    </row>
    <row r="2158">
      <c r="B2158" s="25" t="n"/>
      <c r="I2158" s="25" t="n"/>
      <c r="U2158" s="19">
        <f>IF($V2158&lt;&gt;'設定'!$C$4,N(U2157),IF(OR(NOT(COUNTIF('商品マスタ'!$B$6:$B$1005,$W2158)=0),COUNTIFS('①在庫を貼る'!$V$6:$V$10005,$V2158,'①在庫を貼る'!$W$6:$W$10005,$W2158)&gt;0),N(U2157),N(U2157)+1))</f>
        <v/>
      </c>
      <c r="V2158" s="19">
        <f>IF($B2158="","",TEXT($B2158,"0000"))</f>
        <v/>
      </c>
      <c r="W2158" s="19">
        <f>IF($I2158="","",IF(ISNUMBER($I2158),TEXT($I2158,"0"),$I2158))</f>
        <v/>
      </c>
    </row>
    <row r="2159">
      <c r="B2159" s="25" t="n"/>
      <c r="I2159" s="25" t="n"/>
      <c r="U2159" s="19">
        <f>IF($V2159&lt;&gt;'設定'!$C$4,N(U2158),IF(OR(NOT(COUNTIF('商品マスタ'!$B$6:$B$1005,$W2159)=0),COUNTIFS('①在庫を貼る'!$V$6:$V$10005,$V2159,'①在庫を貼る'!$W$6:$W$10005,$W2159)&gt;0),N(U2158),N(U2158)+1))</f>
        <v/>
      </c>
      <c r="V2159" s="19">
        <f>IF($B2159="","",TEXT($B2159,"0000"))</f>
        <v/>
      </c>
      <c r="W2159" s="19">
        <f>IF($I2159="","",IF(ISNUMBER($I2159),TEXT($I2159,"0"),$I2159))</f>
        <v/>
      </c>
    </row>
    <row r="2160">
      <c r="B2160" s="25" t="n"/>
      <c r="I2160" s="25" t="n"/>
      <c r="U2160" s="19">
        <f>IF($V2160&lt;&gt;'設定'!$C$4,N(U2159),IF(OR(NOT(COUNTIF('商品マスタ'!$B$6:$B$1005,$W2160)=0),COUNTIFS('①在庫を貼る'!$V$6:$V$10005,$V2160,'①在庫を貼る'!$W$6:$W$10005,$W2160)&gt;0),N(U2159),N(U2159)+1))</f>
        <v/>
      </c>
      <c r="V2160" s="19">
        <f>IF($B2160="","",TEXT($B2160,"0000"))</f>
        <v/>
      </c>
      <c r="W2160" s="19">
        <f>IF($I2160="","",IF(ISNUMBER($I2160),TEXT($I2160,"0"),$I2160))</f>
        <v/>
      </c>
    </row>
    <row r="2161">
      <c r="B2161" s="25" t="n"/>
      <c r="I2161" s="25" t="n"/>
      <c r="U2161" s="19">
        <f>IF($V2161&lt;&gt;'設定'!$C$4,N(U2160),IF(OR(NOT(COUNTIF('商品マスタ'!$B$6:$B$1005,$W2161)=0),COUNTIFS('①在庫を貼る'!$V$6:$V$10005,$V2161,'①在庫を貼る'!$W$6:$W$10005,$W2161)&gt;0),N(U2160),N(U2160)+1))</f>
        <v/>
      </c>
      <c r="V2161" s="19">
        <f>IF($B2161="","",TEXT($B2161,"0000"))</f>
        <v/>
      </c>
      <c r="W2161" s="19">
        <f>IF($I2161="","",IF(ISNUMBER($I2161),TEXT($I2161,"0"),$I2161))</f>
        <v/>
      </c>
    </row>
    <row r="2162">
      <c r="B2162" s="25" t="n"/>
      <c r="I2162" s="25" t="n"/>
      <c r="U2162" s="19">
        <f>IF($V2162&lt;&gt;'設定'!$C$4,N(U2161),IF(OR(NOT(COUNTIF('商品マスタ'!$B$6:$B$1005,$W2162)=0),COUNTIFS('①在庫を貼る'!$V$6:$V$10005,$V2162,'①在庫を貼る'!$W$6:$W$10005,$W2162)&gt;0),N(U2161),N(U2161)+1))</f>
        <v/>
      </c>
      <c r="V2162" s="19">
        <f>IF($B2162="","",TEXT($B2162,"0000"))</f>
        <v/>
      </c>
      <c r="W2162" s="19">
        <f>IF($I2162="","",IF(ISNUMBER($I2162),TEXT($I2162,"0"),$I2162))</f>
        <v/>
      </c>
    </row>
    <row r="2163">
      <c r="B2163" s="25" t="n"/>
      <c r="I2163" s="25" t="n"/>
      <c r="U2163" s="19">
        <f>IF($V2163&lt;&gt;'設定'!$C$4,N(U2162),IF(OR(NOT(COUNTIF('商品マスタ'!$B$6:$B$1005,$W2163)=0),COUNTIFS('①在庫を貼る'!$V$6:$V$10005,$V2163,'①在庫を貼る'!$W$6:$W$10005,$W2163)&gt;0),N(U2162),N(U2162)+1))</f>
        <v/>
      </c>
      <c r="V2163" s="19">
        <f>IF($B2163="","",TEXT($B2163,"0000"))</f>
        <v/>
      </c>
      <c r="W2163" s="19">
        <f>IF($I2163="","",IF(ISNUMBER($I2163),TEXT($I2163,"0"),$I2163))</f>
        <v/>
      </c>
    </row>
    <row r="2164">
      <c r="B2164" s="25" t="n"/>
      <c r="I2164" s="25" t="n"/>
      <c r="U2164" s="19">
        <f>IF($V2164&lt;&gt;'設定'!$C$4,N(U2163),IF(OR(NOT(COUNTIF('商品マスタ'!$B$6:$B$1005,$W2164)=0),COUNTIFS('①在庫を貼る'!$V$6:$V$10005,$V2164,'①在庫を貼る'!$W$6:$W$10005,$W2164)&gt;0),N(U2163),N(U2163)+1))</f>
        <v/>
      </c>
      <c r="V2164" s="19">
        <f>IF($B2164="","",TEXT($B2164,"0000"))</f>
        <v/>
      </c>
      <c r="W2164" s="19">
        <f>IF($I2164="","",IF(ISNUMBER($I2164),TEXT($I2164,"0"),$I2164))</f>
        <v/>
      </c>
    </row>
    <row r="2165">
      <c r="B2165" s="25" t="n"/>
      <c r="I2165" s="25" t="n"/>
      <c r="U2165" s="19">
        <f>IF($V2165&lt;&gt;'設定'!$C$4,N(U2164),IF(OR(NOT(COUNTIF('商品マスタ'!$B$6:$B$1005,$W2165)=0),COUNTIFS('①在庫を貼る'!$V$6:$V$10005,$V2165,'①在庫を貼る'!$W$6:$W$10005,$W2165)&gt;0),N(U2164),N(U2164)+1))</f>
        <v/>
      </c>
      <c r="V2165" s="19">
        <f>IF($B2165="","",TEXT($B2165,"0000"))</f>
        <v/>
      </c>
      <c r="W2165" s="19">
        <f>IF($I2165="","",IF(ISNUMBER($I2165),TEXT($I2165,"0"),$I2165))</f>
        <v/>
      </c>
    </row>
    <row r="2166">
      <c r="B2166" s="25" t="n"/>
      <c r="I2166" s="25" t="n"/>
      <c r="U2166" s="19">
        <f>IF($V2166&lt;&gt;'設定'!$C$4,N(U2165),IF(OR(NOT(COUNTIF('商品マスタ'!$B$6:$B$1005,$W2166)=0),COUNTIFS('①在庫を貼る'!$V$6:$V$10005,$V2166,'①在庫を貼る'!$W$6:$W$10005,$W2166)&gt;0),N(U2165),N(U2165)+1))</f>
        <v/>
      </c>
      <c r="V2166" s="19">
        <f>IF($B2166="","",TEXT($B2166,"0000"))</f>
        <v/>
      </c>
      <c r="W2166" s="19">
        <f>IF($I2166="","",IF(ISNUMBER($I2166),TEXT($I2166,"0"),$I2166))</f>
        <v/>
      </c>
    </row>
    <row r="2167">
      <c r="B2167" s="25" t="n"/>
      <c r="I2167" s="25" t="n"/>
      <c r="U2167" s="19">
        <f>IF($V2167&lt;&gt;'設定'!$C$4,N(U2166),IF(OR(NOT(COUNTIF('商品マスタ'!$B$6:$B$1005,$W2167)=0),COUNTIFS('①在庫を貼る'!$V$6:$V$10005,$V2167,'①在庫を貼る'!$W$6:$W$10005,$W2167)&gt;0),N(U2166),N(U2166)+1))</f>
        <v/>
      </c>
      <c r="V2167" s="19">
        <f>IF($B2167="","",TEXT($B2167,"0000"))</f>
        <v/>
      </c>
      <c r="W2167" s="19">
        <f>IF($I2167="","",IF(ISNUMBER($I2167),TEXT($I2167,"0"),$I2167))</f>
        <v/>
      </c>
    </row>
    <row r="2168">
      <c r="B2168" s="25" t="n"/>
      <c r="I2168" s="25" t="n"/>
      <c r="U2168" s="19">
        <f>IF($V2168&lt;&gt;'設定'!$C$4,N(U2167),IF(OR(NOT(COUNTIF('商品マスタ'!$B$6:$B$1005,$W2168)=0),COUNTIFS('①在庫を貼る'!$V$6:$V$10005,$V2168,'①在庫を貼る'!$W$6:$W$10005,$W2168)&gt;0),N(U2167),N(U2167)+1))</f>
        <v/>
      </c>
      <c r="V2168" s="19">
        <f>IF($B2168="","",TEXT($B2168,"0000"))</f>
        <v/>
      </c>
      <c r="W2168" s="19">
        <f>IF($I2168="","",IF(ISNUMBER($I2168),TEXT($I2168,"0"),$I2168))</f>
        <v/>
      </c>
    </row>
    <row r="2169">
      <c r="B2169" s="25" t="n"/>
      <c r="I2169" s="25" t="n"/>
      <c r="U2169" s="19">
        <f>IF($V2169&lt;&gt;'設定'!$C$4,N(U2168),IF(OR(NOT(COUNTIF('商品マスタ'!$B$6:$B$1005,$W2169)=0),COUNTIFS('①在庫を貼る'!$V$6:$V$10005,$V2169,'①在庫を貼る'!$W$6:$W$10005,$W2169)&gt;0),N(U2168),N(U2168)+1))</f>
        <v/>
      </c>
      <c r="V2169" s="19">
        <f>IF($B2169="","",TEXT($B2169,"0000"))</f>
        <v/>
      </c>
      <c r="W2169" s="19">
        <f>IF($I2169="","",IF(ISNUMBER($I2169),TEXT($I2169,"0"),$I2169))</f>
        <v/>
      </c>
    </row>
    <row r="2170">
      <c r="B2170" s="25" t="n"/>
      <c r="I2170" s="25" t="n"/>
      <c r="U2170" s="19">
        <f>IF($V2170&lt;&gt;'設定'!$C$4,N(U2169),IF(OR(NOT(COUNTIF('商品マスタ'!$B$6:$B$1005,$W2170)=0),COUNTIFS('①在庫を貼る'!$V$6:$V$10005,$V2170,'①在庫を貼る'!$W$6:$W$10005,$W2170)&gt;0),N(U2169),N(U2169)+1))</f>
        <v/>
      </c>
      <c r="V2170" s="19">
        <f>IF($B2170="","",TEXT($B2170,"0000"))</f>
        <v/>
      </c>
      <c r="W2170" s="19">
        <f>IF($I2170="","",IF(ISNUMBER($I2170),TEXT($I2170,"0"),$I2170))</f>
        <v/>
      </c>
    </row>
    <row r="2171">
      <c r="B2171" s="25" t="n"/>
      <c r="I2171" s="25" t="n"/>
      <c r="U2171" s="19">
        <f>IF($V2171&lt;&gt;'設定'!$C$4,N(U2170),IF(OR(NOT(COUNTIF('商品マスタ'!$B$6:$B$1005,$W2171)=0),COUNTIFS('①在庫を貼る'!$V$6:$V$10005,$V2171,'①在庫を貼る'!$W$6:$W$10005,$W2171)&gt;0),N(U2170),N(U2170)+1))</f>
        <v/>
      </c>
      <c r="V2171" s="19">
        <f>IF($B2171="","",TEXT($B2171,"0000"))</f>
        <v/>
      </c>
      <c r="W2171" s="19">
        <f>IF($I2171="","",IF(ISNUMBER($I2171),TEXT($I2171,"0"),$I2171))</f>
        <v/>
      </c>
    </row>
    <row r="2172">
      <c r="B2172" s="25" t="n"/>
      <c r="I2172" s="25" t="n"/>
      <c r="U2172" s="19">
        <f>IF($V2172&lt;&gt;'設定'!$C$4,N(U2171),IF(OR(NOT(COUNTIF('商品マスタ'!$B$6:$B$1005,$W2172)=0),COUNTIFS('①在庫を貼る'!$V$6:$V$10005,$V2172,'①在庫を貼る'!$W$6:$W$10005,$W2172)&gt;0),N(U2171),N(U2171)+1))</f>
        <v/>
      </c>
      <c r="V2172" s="19">
        <f>IF($B2172="","",TEXT($B2172,"0000"))</f>
        <v/>
      </c>
      <c r="W2172" s="19">
        <f>IF($I2172="","",IF(ISNUMBER($I2172),TEXT($I2172,"0"),$I2172))</f>
        <v/>
      </c>
    </row>
    <row r="2173">
      <c r="B2173" s="25" t="n"/>
      <c r="I2173" s="25" t="n"/>
      <c r="U2173" s="19">
        <f>IF($V2173&lt;&gt;'設定'!$C$4,N(U2172),IF(OR(NOT(COUNTIF('商品マスタ'!$B$6:$B$1005,$W2173)=0),COUNTIFS('①在庫を貼る'!$V$6:$V$10005,$V2173,'①在庫を貼る'!$W$6:$W$10005,$W2173)&gt;0),N(U2172),N(U2172)+1))</f>
        <v/>
      </c>
      <c r="V2173" s="19">
        <f>IF($B2173="","",TEXT($B2173,"0000"))</f>
        <v/>
      </c>
      <c r="W2173" s="19">
        <f>IF($I2173="","",IF(ISNUMBER($I2173),TEXT($I2173,"0"),$I2173))</f>
        <v/>
      </c>
    </row>
    <row r="2174">
      <c r="B2174" s="25" t="n"/>
      <c r="I2174" s="25" t="n"/>
      <c r="U2174" s="19">
        <f>IF($V2174&lt;&gt;'設定'!$C$4,N(U2173),IF(OR(NOT(COUNTIF('商品マスタ'!$B$6:$B$1005,$W2174)=0),COUNTIFS('①在庫を貼る'!$V$6:$V$10005,$V2174,'①在庫を貼る'!$W$6:$W$10005,$W2174)&gt;0),N(U2173),N(U2173)+1))</f>
        <v/>
      </c>
      <c r="V2174" s="19">
        <f>IF($B2174="","",TEXT($B2174,"0000"))</f>
        <v/>
      </c>
      <c r="W2174" s="19">
        <f>IF($I2174="","",IF(ISNUMBER($I2174),TEXT($I2174,"0"),$I2174))</f>
        <v/>
      </c>
    </row>
    <row r="2175">
      <c r="B2175" s="25" t="n"/>
      <c r="I2175" s="25" t="n"/>
      <c r="U2175" s="19">
        <f>IF($V2175&lt;&gt;'設定'!$C$4,N(U2174),IF(OR(NOT(COUNTIF('商品マスタ'!$B$6:$B$1005,$W2175)=0),COUNTIFS('①在庫を貼る'!$V$6:$V$10005,$V2175,'①在庫を貼る'!$W$6:$W$10005,$W2175)&gt;0),N(U2174),N(U2174)+1))</f>
        <v/>
      </c>
      <c r="V2175" s="19">
        <f>IF($B2175="","",TEXT($B2175,"0000"))</f>
        <v/>
      </c>
      <c r="W2175" s="19">
        <f>IF($I2175="","",IF(ISNUMBER($I2175),TEXT($I2175,"0"),$I2175))</f>
        <v/>
      </c>
    </row>
    <row r="2176">
      <c r="B2176" s="25" t="n"/>
      <c r="I2176" s="25" t="n"/>
      <c r="U2176" s="19">
        <f>IF($V2176&lt;&gt;'設定'!$C$4,N(U2175),IF(OR(NOT(COUNTIF('商品マスタ'!$B$6:$B$1005,$W2176)=0),COUNTIFS('①在庫を貼る'!$V$6:$V$10005,$V2176,'①在庫を貼る'!$W$6:$W$10005,$W2176)&gt;0),N(U2175),N(U2175)+1))</f>
        <v/>
      </c>
      <c r="V2176" s="19">
        <f>IF($B2176="","",TEXT($B2176,"0000"))</f>
        <v/>
      </c>
      <c r="W2176" s="19">
        <f>IF($I2176="","",IF(ISNUMBER($I2176),TEXT($I2176,"0"),$I2176))</f>
        <v/>
      </c>
    </row>
    <row r="2177">
      <c r="B2177" s="25" t="n"/>
      <c r="I2177" s="25" t="n"/>
      <c r="U2177" s="19">
        <f>IF($V2177&lt;&gt;'設定'!$C$4,N(U2176),IF(OR(NOT(COUNTIF('商品マスタ'!$B$6:$B$1005,$W2177)=0),COUNTIFS('①在庫を貼る'!$V$6:$V$10005,$V2177,'①在庫を貼る'!$W$6:$W$10005,$W2177)&gt;0),N(U2176),N(U2176)+1))</f>
        <v/>
      </c>
      <c r="V2177" s="19">
        <f>IF($B2177="","",TEXT($B2177,"0000"))</f>
        <v/>
      </c>
      <c r="W2177" s="19">
        <f>IF($I2177="","",IF(ISNUMBER($I2177),TEXT($I2177,"0"),$I2177))</f>
        <v/>
      </c>
    </row>
    <row r="2178">
      <c r="B2178" s="25" t="n"/>
      <c r="I2178" s="25" t="n"/>
      <c r="U2178" s="19">
        <f>IF($V2178&lt;&gt;'設定'!$C$4,N(U2177),IF(OR(NOT(COUNTIF('商品マスタ'!$B$6:$B$1005,$W2178)=0),COUNTIFS('①在庫を貼る'!$V$6:$V$10005,$V2178,'①在庫を貼る'!$W$6:$W$10005,$W2178)&gt;0),N(U2177),N(U2177)+1))</f>
        <v/>
      </c>
      <c r="V2178" s="19">
        <f>IF($B2178="","",TEXT($B2178,"0000"))</f>
        <v/>
      </c>
      <c r="W2178" s="19">
        <f>IF($I2178="","",IF(ISNUMBER($I2178),TEXT($I2178,"0"),$I2178))</f>
        <v/>
      </c>
    </row>
    <row r="2179">
      <c r="B2179" s="25" t="n"/>
      <c r="I2179" s="25" t="n"/>
      <c r="U2179" s="19">
        <f>IF($V2179&lt;&gt;'設定'!$C$4,N(U2178),IF(OR(NOT(COUNTIF('商品マスタ'!$B$6:$B$1005,$W2179)=0),COUNTIFS('①在庫を貼る'!$V$6:$V$10005,$V2179,'①在庫を貼る'!$W$6:$W$10005,$W2179)&gt;0),N(U2178),N(U2178)+1))</f>
        <v/>
      </c>
      <c r="V2179" s="19">
        <f>IF($B2179="","",TEXT($B2179,"0000"))</f>
        <v/>
      </c>
      <c r="W2179" s="19">
        <f>IF($I2179="","",IF(ISNUMBER($I2179),TEXT($I2179,"0"),$I2179))</f>
        <v/>
      </c>
    </row>
    <row r="2180">
      <c r="B2180" s="25" t="n"/>
      <c r="I2180" s="25" t="n"/>
      <c r="U2180" s="19">
        <f>IF($V2180&lt;&gt;'設定'!$C$4,N(U2179),IF(OR(NOT(COUNTIF('商品マスタ'!$B$6:$B$1005,$W2180)=0),COUNTIFS('①在庫を貼る'!$V$6:$V$10005,$V2180,'①在庫を貼る'!$W$6:$W$10005,$W2180)&gt;0),N(U2179),N(U2179)+1))</f>
        <v/>
      </c>
      <c r="V2180" s="19">
        <f>IF($B2180="","",TEXT($B2180,"0000"))</f>
        <v/>
      </c>
      <c r="W2180" s="19">
        <f>IF($I2180="","",IF(ISNUMBER($I2180),TEXT($I2180,"0"),$I2180))</f>
        <v/>
      </c>
    </row>
    <row r="2181">
      <c r="B2181" s="25" t="n"/>
      <c r="I2181" s="25" t="n"/>
      <c r="U2181" s="19">
        <f>IF($V2181&lt;&gt;'設定'!$C$4,N(U2180),IF(OR(NOT(COUNTIF('商品マスタ'!$B$6:$B$1005,$W2181)=0),COUNTIFS('①在庫を貼る'!$V$6:$V$10005,$V2181,'①在庫を貼る'!$W$6:$W$10005,$W2181)&gt;0),N(U2180),N(U2180)+1))</f>
        <v/>
      </c>
      <c r="V2181" s="19">
        <f>IF($B2181="","",TEXT($B2181,"0000"))</f>
        <v/>
      </c>
      <c r="W2181" s="19">
        <f>IF($I2181="","",IF(ISNUMBER($I2181),TEXT($I2181,"0"),$I2181))</f>
        <v/>
      </c>
    </row>
    <row r="2182">
      <c r="B2182" s="25" t="n"/>
      <c r="I2182" s="25" t="n"/>
      <c r="U2182" s="19">
        <f>IF($V2182&lt;&gt;'設定'!$C$4,N(U2181),IF(OR(NOT(COUNTIF('商品マスタ'!$B$6:$B$1005,$W2182)=0),COUNTIFS('①在庫を貼る'!$V$6:$V$10005,$V2182,'①在庫を貼る'!$W$6:$W$10005,$W2182)&gt;0),N(U2181),N(U2181)+1))</f>
        <v/>
      </c>
      <c r="V2182" s="19">
        <f>IF($B2182="","",TEXT($B2182,"0000"))</f>
        <v/>
      </c>
      <c r="W2182" s="19">
        <f>IF($I2182="","",IF(ISNUMBER($I2182),TEXT($I2182,"0"),$I2182))</f>
        <v/>
      </c>
    </row>
    <row r="2183">
      <c r="B2183" s="25" t="n"/>
      <c r="I2183" s="25" t="n"/>
      <c r="U2183" s="19">
        <f>IF($V2183&lt;&gt;'設定'!$C$4,N(U2182),IF(OR(NOT(COUNTIF('商品マスタ'!$B$6:$B$1005,$W2183)=0),COUNTIFS('①在庫を貼る'!$V$6:$V$10005,$V2183,'①在庫を貼る'!$W$6:$W$10005,$W2183)&gt;0),N(U2182),N(U2182)+1))</f>
        <v/>
      </c>
      <c r="V2183" s="19">
        <f>IF($B2183="","",TEXT($B2183,"0000"))</f>
        <v/>
      </c>
      <c r="W2183" s="19">
        <f>IF($I2183="","",IF(ISNUMBER($I2183),TEXT($I2183,"0"),$I2183))</f>
        <v/>
      </c>
    </row>
    <row r="2184">
      <c r="B2184" s="25" t="n"/>
      <c r="I2184" s="25" t="n"/>
      <c r="U2184" s="19">
        <f>IF($V2184&lt;&gt;'設定'!$C$4,N(U2183),IF(OR(NOT(COUNTIF('商品マスタ'!$B$6:$B$1005,$W2184)=0),COUNTIFS('①在庫を貼る'!$V$6:$V$10005,$V2184,'①在庫を貼る'!$W$6:$W$10005,$W2184)&gt;0),N(U2183),N(U2183)+1))</f>
        <v/>
      </c>
      <c r="V2184" s="19">
        <f>IF($B2184="","",TEXT($B2184,"0000"))</f>
        <v/>
      </c>
      <c r="W2184" s="19">
        <f>IF($I2184="","",IF(ISNUMBER($I2184),TEXT($I2184,"0"),$I2184))</f>
        <v/>
      </c>
    </row>
    <row r="2185">
      <c r="B2185" s="25" t="n"/>
      <c r="I2185" s="25" t="n"/>
      <c r="U2185" s="19">
        <f>IF($V2185&lt;&gt;'設定'!$C$4,N(U2184),IF(OR(NOT(COUNTIF('商品マスタ'!$B$6:$B$1005,$W2185)=0),COUNTIFS('①在庫を貼る'!$V$6:$V$10005,$V2185,'①在庫を貼る'!$W$6:$W$10005,$W2185)&gt;0),N(U2184),N(U2184)+1))</f>
        <v/>
      </c>
      <c r="V2185" s="19">
        <f>IF($B2185="","",TEXT($B2185,"0000"))</f>
        <v/>
      </c>
      <c r="W2185" s="19">
        <f>IF($I2185="","",IF(ISNUMBER($I2185),TEXT($I2185,"0"),$I2185))</f>
        <v/>
      </c>
    </row>
    <row r="2186">
      <c r="B2186" s="25" t="n"/>
      <c r="I2186" s="25" t="n"/>
      <c r="U2186" s="19">
        <f>IF($V2186&lt;&gt;'設定'!$C$4,N(U2185),IF(OR(NOT(COUNTIF('商品マスタ'!$B$6:$B$1005,$W2186)=0),COUNTIFS('①在庫を貼る'!$V$6:$V$10005,$V2186,'①在庫を貼る'!$W$6:$W$10005,$W2186)&gt;0),N(U2185),N(U2185)+1))</f>
        <v/>
      </c>
      <c r="V2186" s="19">
        <f>IF($B2186="","",TEXT($B2186,"0000"))</f>
        <v/>
      </c>
      <c r="W2186" s="19">
        <f>IF($I2186="","",IF(ISNUMBER($I2186),TEXT($I2186,"0"),$I2186))</f>
        <v/>
      </c>
    </row>
    <row r="2187">
      <c r="B2187" s="25" t="n"/>
      <c r="I2187" s="25" t="n"/>
      <c r="U2187" s="19">
        <f>IF($V2187&lt;&gt;'設定'!$C$4,N(U2186),IF(OR(NOT(COUNTIF('商品マスタ'!$B$6:$B$1005,$W2187)=0),COUNTIFS('①在庫を貼る'!$V$6:$V$10005,$V2187,'①在庫を貼る'!$W$6:$W$10005,$W2187)&gt;0),N(U2186),N(U2186)+1))</f>
        <v/>
      </c>
      <c r="V2187" s="19">
        <f>IF($B2187="","",TEXT($B2187,"0000"))</f>
        <v/>
      </c>
      <c r="W2187" s="19">
        <f>IF($I2187="","",IF(ISNUMBER($I2187),TEXT($I2187,"0"),$I2187))</f>
        <v/>
      </c>
    </row>
    <row r="2188">
      <c r="B2188" s="25" t="n"/>
      <c r="I2188" s="25" t="n"/>
      <c r="U2188" s="19">
        <f>IF($V2188&lt;&gt;'設定'!$C$4,N(U2187),IF(OR(NOT(COUNTIF('商品マスタ'!$B$6:$B$1005,$W2188)=0),COUNTIFS('①在庫を貼る'!$V$6:$V$10005,$V2188,'①在庫を貼る'!$W$6:$W$10005,$W2188)&gt;0),N(U2187),N(U2187)+1))</f>
        <v/>
      </c>
      <c r="V2188" s="19">
        <f>IF($B2188="","",TEXT($B2188,"0000"))</f>
        <v/>
      </c>
      <c r="W2188" s="19">
        <f>IF($I2188="","",IF(ISNUMBER($I2188),TEXT($I2188,"0"),$I2188))</f>
        <v/>
      </c>
    </row>
    <row r="2189">
      <c r="B2189" s="25" t="n"/>
      <c r="I2189" s="25" t="n"/>
      <c r="U2189" s="19">
        <f>IF($V2189&lt;&gt;'設定'!$C$4,N(U2188),IF(OR(NOT(COUNTIF('商品マスタ'!$B$6:$B$1005,$W2189)=0),COUNTIFS('①在庫を貼る'!$V$6:$V$10005,$V2189,'①在庫を貼る'!$W$6:$W$10005,$W2189)&gt;0),N(U2188),N(U2188)+1))</f>
        <v/>
      </c>
      <c r="V2189" s="19">
        <f>IF($B2189="","",TEXT($B2189,"0000"))</f>
        <v/>
      </c>
      <c r="W2189" s="19">
        <f>IF($I2189="","",IF(ISNUMBER($I2189),TEXT($I2189,"0"),$I2189))</f>
        <v/>
      </c>
    </row>
    <row r="2190">
      <c r="B2190" s="25" t="n"/>
      <c r="I2190" s="25" t="n"/>
      <c r="U2190" s="19">
        <f>IF($V2190&lt;&gt;'設定'!$C$4,N(U2189),IF(OR(NOT(COUNTIF('商品マスタ'!$B$6:$B$1005,$W2190)=0),COUNTIFS('①在庫を貼る'!$V$6:$V$10005,$V2190,'①在庫を貼る'!$W$6:$W$10005,$W2190)&gt;0),N(U2189),N(U2189)+1))</f>
        <v/>
      </c>
      <c r="V2190" s="19">
        <f>IF($B2190="","",TEXT($B2190,"0000"))</f>
        <v/>
      </c>
      <c r="W2190" s="19">
        <f>IF($I2190="","",IF(ISNUMBER($I2190),TEXT($I2190,"0"),$I2190))</f>
        <v/>
      </c>
    </row>
    <row r="2191">
      <c r="B2191" s="25" t="n"/>
      <c r="I2191" s="25" t="n"/>
      <c r="U2191" s="19">
        <f>IF($V2191&lt;&gt;'設定'!$C$4,N(U2190),IF(OR(NOT(COUNTIF('商品マスタ'!$B$6:$B$1005,$W2191)=0),COUNTIFS('①在庫を貼る'!$V$6:$V$10005,$V2191,'①在庫を貼る'!$W$6:$W$10005,$W2191)&gt;0),N(U2190),N(U2190)+1))</f>
        <v/>
      </c>
      <c r="V2191" s="19">
        <f>IF($B2191="","",TEXT($B2191,"0000"))</f>
        <v/>
      </c>
      <c r="W2191" s="19">
        <f>IF($I2191="","",IF(ISNUMBER($I2191),TEXT($I2191,"0"),$I2191))</f>
        <v/>
      </c>
    </row>
    <row r="2192">
      <c r="B2192" s="25" t="n"/>
      <c r="I2192" s="25" t="n"/>
      <c r="U2192" s="19">
        <f>IF($V2192&lt;&gt;'設定'!$C$4,N(U2191),IF(OR(NOT(COUNTIF('商品マスタ'!$B$6:$B$1005,$W2192)=0),COUNTIFS('①在庫を貼る'!$V$6:$V$10005,$V2192,'①在庫を貼る'!$W$6:$W$10005,$W2192)&gt;0),N(U2191),N(U2191)+1))</f>
        <v/>
      </c>
      <c r="V2192" s="19">
        <f>IF($B2192="","",TEXT($B2192,"0000"))</f>
        <v/>
      </c>
      <c r="W2192" s="19">
        <f>IF($I2192="","",IF(ISNUMBER($I2192),TEXT($I2192,"0"),$I2192))</f>
        <v/>
      </c>
    </row>
    <row r="2193">
      <c r="B2193" s="25" t="n"/>
      <c r="I2193" s="25" t="n"/>
      <c r="U2193" s="19">
        <f>IF($V2193&lt;&gt;'設定'!$C$4,N(U2192),IF(OR(NOT(COUNTIF('商品マスタ'!$B$6:$B$1005,$W2193)=0),COUNTIFS('①在庫を貼る'!$V$6:$V$10005,$V2193,'①在庫を貼る'!$W$6:$W$10005,$W2193)&gt;0),N(U2192),N(U2192)+1))</f>
        <v/>
      </c>
      <c r="V2193" s="19">
        <f>IF($B2193="","",TEXT($B2193,"0000"))</f>
        <v/>
      </c>
      <c r="W2193" s="19">
        <f>IF($I2193="","",IF(ISNUMBER($I2193),TEXT($I2193,"0"),$I2193))</f>
        <v/>
      </c>
    </row>
    <row r="2194">
      <c r="B2194" s="25" t="n"/>
      <c r="I2194" s="25" t="n"/>
      <c r="U2194" s="19">
        <f>IF($V2194&lt;&gt;'設定'!$C$4,N(U2193),IF(OR(NOT(COUNTIF('商品マスタ'!$B$6:$B$1005,$W2194)=0),COUNTIFS('①在庫を貼る'!$V$6:$V$10005,$V2194,'①在庫を貼る'!$W$6:$W$10005,$W2194)&gt;0),N(U2193),N(U2193)+1))</f>
        <v/>
      </c>
      <c r="V2194" s="19">
        <f>IF($B2194="","",TEXT($B2194,"0000"))</f>
        <v/>
      </c>
      <c r="W2194" s="19">
        <f>IF($I2194="","",IF(ISNUMBER($I2194),TEXT($I2194,"0"),$I2194))</f>
        <v/>
      </c>
    </row>
    <row r="2195">
      <c r="B2195" s="25" t="n"/>
      <c r="I2195" s="25" t="n"/>
      <c r="U2195" s="19">
        <f>IF($V2195&lt;&gt;'設定'!$C$4,N(U2194),IF(OR(NOT(COUNTIF('商品マスタ'!$B$6:$B$1005,$W2195)=0),COUNTIFS('①在庫を貼る'!$V$6:$V$10005,$V2195,'①在庫を貼る'!$W$6:$W$10005,$W2195)&gt;0),N(U2194),N(U2194)+1))</f>
        <v/>
      </c>
      <c r="V2195" s="19">
        <f>IF($B2195="","",TEXT($B2195,"0000"))</f>
        <v/>
      </c>
      <c r="W2195" s="19">
        <f>IF($I2195="","",IF(ISNUMBER($I2195),TEXT($I2195,"0"),$I2195))</f>
        <v/>
      </c>
    </row>
    <row r="2196">
      <c r="B2196" s="25" t="n"/>
      <c r="I2196" s="25" t="n"/>
      <c r="U2196" s="19">
        <f>IF($V2196&lt;&gt;'設定'!$C$4,N(U2195),IF(OR(NOT(COUNTIF('商品マスタ'!$B$6:$B$1005,$W2196)=0),COUNTIFS('①在庫を貼る'!$V$6:$V$10005,$V2196,'①在庫を貼る'!$W$6:$W$10005,$W2196)&gt;0),N(U2195),N(U2195)+1))</f>
        <v/>
      </c>
      <c r="V2196" s="19">
        <f>IF($B2196="","",TEXT($B2196,"0000"))</f>
        <v/>
      </c>
      <c r="W2196" s="19">
        <f>IF($I2196="","",IF(ISNUMBER($I2196),TEXT($I2196,"0"),$I2196))</f>
        <v/>
      </c>
    </row>
    <row r="2197">
      <c r="B2197" s="25" t="n"/>
      <c r="I2197" s="25" t="n"/>
      <c r="U2197" s="19">
        <f>IF($V2197&lt;&gt;'設定'!$C$4,N(U2196),IF(OR(NOT(COUNTIF('商品マスタ'!$B$6:$B$1005,$W2197)=0),COUNTIFS('①在庫を貼る'!$V$6:$V$10005,$V2197,'①在庫を貼る'!$W$6:$W$10005,$W2197)&gt;0),N(U2196),N(U2196)+1))</f>
        <v/>
      </c>
      <c r="V2197" s="19">
        <f>IF($B2197="","",TEXT($B2197,"0000"))</f>
        <v/>
      </c>
      <c r="W2197" s="19">
        <f>IF($I2197="","",IF(ISNUMBER($I2197),TEXT($I2197,"0"),$I2197))</f>
        <v/>
      </c>
    </row>
    <row r="2198">
      <c r="B2198" s="25" t="n"/>
      <c r="I2198" s="25" t="n"/>
      <c r="U2198" s="19">
        <f>IF($V2198&lt;&gt;'設定'!$C$4,N(U2197),IF(OR(NOT(COUNTIF('商品マスタ'!$B$6:$B$1005,$W2198)=0),COUNTIFS('①在庫を貼る'!$V$6:$V$10005,$V2198,'①在庫を貼る'!$W$6:$W$10005,$W2198)&gt;0),N(U2197),N(U2197)+1))</f>
        <v/>
      </c>
      <c r="V2198" s="19">
        <f>IF($B2198="","",TEXT($B2198,"0000"))</f>
        <v/>
      </c>
      <c r="W2198" s="19">
        <f>IF($I2198="","",IF(ISNUMBER($I2198),TEXT($I2198,"0"),$I2198))</f>
        <v/>
      </c>
    </row>
    <row r="2199">
      <c r="B2199" s="25" t="n"/>
      <c r="I2199" s="25" t="n"/>
      <c r="U2199" s="19">
        <f>IF($V2199&lt;&gt;'設定'!$C$4,N(U2198),IF(OR(NOT(COUNTIF('商品マスタ'!$B$6:$B$1005,$W2199)=0),COUNTIFS('①在庫を貼る'!$V$6:$V$10005,$V2199,'①在庫を貼る'!$W$6:$W$10005,$W2199)&gt;0),N(U2198),N(U2198)+1))</f>
        <v/>
      </c>
      <c r="V2199" s="19">
        <f>IF($B2199="","",TEXT($B2199,"0000"))</f>
        <v/>
      </c>
      <c r="W2199" s="19">
        <f>IF($I2199="","",IF(ISNUMBER($I2199),TEXT($I2199,"0"),$I2199))</f>
        <v/>
      </c>
    </row>
    <row r="2200">
      <c r="B2200" s="25" t="n"/>
      <c r="I2200" s="25" t="n"/>
      <c r="U2200" s="19">
        <f>IF($V2200&lt;&gt;'設定'!$C$4,N(U2199),IF(OR(NOT(COUNTIF('商品マスタ'!$B$6:$B$1005,$W2200)=0),COUNTIFS('①在庫を貼る'!$V$6:$V$10005,$V2200,'①在庫を貼る'!$W$6:$W$10005,$W2200)&gt;0),N(U2199),N(U2199)+1))</f>
        <v/>
      </c>
      <c r="V2200" s="19">
        <f>IF($B2200="","",TEXT($B2200,"0000"))</f>
        <v/>
      </c>
      <c r="W2200" s="19">
        <f>IF($I2200="","",IF(ISNUMBER($I2200),TEXT($I2200,"0"),$I2200))</f>
        <v/>
      </c>
    </row>
    <row r="2201">
      <c r="B2201" s="25" t="n"/>
      <c r="I2201" s="25" t="n"/>
      <c r="U2201" s="19">
        <f>IF($V2201&lt;&gt;'設定'!$C$4,N(U2200),IF(OR(NOT(COUNTIF('商品マスタ'!$B$6:$B$1005,$W2201)=0),COUNTIFS('①在庫を貼る'!$V$6:$V$10005,$V2201,'①在庫を貼る'!$W$6:$W$10005,$W2201)&gt;0),N(U2200),N(U2200)+1))</f>
        <v/>
      </c>
      <c r="V2201" s="19">
        <f>IF($B2201="","",TEXT($B2201,"0000"))</f>
        <v/>
      </c>
      <c r="W2201" s="19">
        <f>IF($I2201="","",IF(ISNUMBER($I2201),TEXT($I2201,"0"),$I2201))</f>
        <v/>
      </c>
    </row>
    <row r="2202">
      <c r="B2202" s="25" t="n"/>
      <c r="I2202" s="25" t="n"/>
      <c r="U2202" s="19">
        <f>IF($V2202&lt;&gt;'設定'!$C$4,N(U2201),IF(OR(NOT(COUNTIF('商品マスタ'!$B$6:$B$1005,$W2202)=0),COUNTIFS('①在庫を貼る'!$V$6:$V$10005,$V2202,'①在庫を貼る'!$W$6:$W$10005,$W2202)&gt;0),N(U2201),N(U2201)+1))</f>
        <v/>
      </c>
      <c r="V2202" s="19">
        <f>IF($B2202="","",TEXT($B2202,"0000"))</f>
        <v/>
      </c>
      <c r="W2202" s="19">
        <f>IF($I2202="","",IF(ISNUMBER($I2202),TEXT($I2202,"0"),$I2202))</f>
        <v/>
      </c>
    </row>
    <row r="2203">
      <c r="B2203" s="25" t="n"/>
      <c r="I2203" s="25" t="n"/>
      <c r="U2203" s="19">
        <f>IF($V2203&lt;&gt;'設定'!$C$4,N(U2202),IF(OR(NOT(COUNTIF('商品マスタ'!$B$6:$B$1005,$W2203)=0),COUNTIFS('①在庫を貼る'!$V$6:$V$10005,$V2203,'①在庫を貼る'!$W$6:$W$10005,$W2203)&gt;0),N(U2202),N(U2202)+1))</f>
        <v/>
      </c>
      <c r="V2203" s="19">
        <f>IF($B2203="","",TEXT($B2203,"0000"))</f>
        <v/>
      </c>
      <c r="W2203" s="19">
        <f>IF($I2203="","",IF(ISNUMBER($I2203),TEXT($I2203,"0"),$I2203))</f>
        <v/>
      </c>
    </row>
    <row r="2204">
      <c r="B2204" s="25" t="n"/>
      <c r="I2204" s="25" t="n"/>
      <c r="U2204" s="19">
        <f>IF($V2204&lt;&gt;'設定'!$C$4,N(U2203),IF(OR(NOT(COUNTIF('商品マスタ'!$B$6:$B$1005,$W2204)=0),COUNTIFS('①在庫を貼る'!$V$6:$V$10005,$V2204,'①在庫を貼る'!$W$6:$W$10005,$W2204)&gt;0),N(U2203),N(U2203)+1))</f>
        <v/>
      </c>
      <c r="V2204" s="19">
        <f>IF($B2204="","",TEXT($B2204,"0000"))</f>
        <v/>
      </c>
      <c r="W2204" s="19">
        <f>IF($I2204="","",IF(ISNUMBER($I2204),TEXT($I2204,"0"),$I2204))</f>
        <v/>
      </c>
    </row>
    <row r="2205">
      <c r="B2205" s="25" t="n"/>
      <c r="I2205" s="25" t="n"/>
      <c r="U2205" s="19">
        <f>IF($V2205&lt;&gt;'設定'!$C$4,N(U2204),IF(OR(NOT(COUNTIF('商品マスタ'!$B$6:$B$1005,$W2205)=0),COUNTIFS('①在庫を貼る'!$V$6:$V$10005,$V2205,'①在庫を貼る'!$W$6:$W$10005,$W2205)&gt;0),N(U2204),N(U2204)+1))</f>
        <v/>
      </c>
      <c r="V2205" s="19">
        <f>IF($B2205="","",TEXT($B2205,"0000"))</f>
        <v/>
      </c>
      <c r="W2205" s="19">
        <f>IF($I2205="","",IF(ISNUMBER($I2205),TEXT($I2205,"0"),$I2205))</f>
        <v/>
      </c>
    </row>
    <row r="2206">
      <c r="B2206" s="25" t="n"/>
      <c r="I2206" s="25" t="n"/>
      <c r="U2206" s="19">
        <f>IF($V2206&lt;&gt;'設定'!$C$4,N(U2205),IF(OR(NOT(COUNTIF('商品マスタ'!$B$6:$B$1005,$W2206)=0),COUNTIFS('①在庫を貼る'!$V$6:$V$10005,$V2206,'①在庫を貼る'!$W$6:$W$10005,$W2206)&gt;0),N(U2205),N(U2205)+1))</f>
        <v/>
      </c>
      <c r="V2206" s="19">
        <f>IF($B2206="","",TEXT($B2206,"0000"))</f>
        <v/>
      </c>
      <c r="W2206" s="19">
        <f>IF($I2206="","",IF(ISNUMBER($I2206),TEXT($I2206,"0"),$I2206))</f>
        <v/>
      </c>
    </row>
    <row r="2207">
      <c r="B2207" s="25" t="n"/>
      <c r="I2207" s="25" t="n"/>
      <c r="U2207" s="19">
        <f>IF($V2207&lt;&gt;'設定'!$C$4,N(U2206),IF(OR(NOT(COUNTIF('商品マスタ'!$B$6:$B$1005,$W2207)=0),COUNTIFS('①在庫を貼る'!$V$6:$V$10005,$V2207,'①在庫を貼る'!$W$6:$W$10005,$W2207)&gt;0),N(U2206),N(U2206)+1))</f>
        <v/>
      </c>
      <c r="V2207" s="19">
        <f>IF($B2207="","",TEXT($B2207,"0000"))</f>
        <v/>
      </c>
      <c r="W2207" s="19">
        <f>IF($I2207="","",IF(ISNUMBER($I2207),TEXT($I2207,"0"),$I2207))</f>
        <v/>
      </c>
    </row>
    <row r="2208">
      <c r="B2208" s="25" t="n"/>
      <c r="I2208" s="25" t="n"/>
      <c r="U2208" s="19">
        <f>IF($V2208&lt;&gt;'設定'!$C$4,N(U2207),IF(OR(NOT(COUNTIF('商品マスタ'!$B$6:$B$1005,$W2208)=0),COUNTIFS('①在庫を貼る'!$V$6:$V$10005,$V2208,'①在庫を貼る'!$W$6:$W$10005,$W2208)&gt;0),N(U2207),N(U2207)+1))</f>
        <v/>
      </c>
      <c r="V2208" s="19">
        <f>IF($B2208="","",TEXT($B2208,"0000"))</f>
        <v/>
      </c>
      <c r="W2208" s="19">
        <f>IF($I2208="","",IF(ISNUMBER($I2208),TEXT($I2208,"0"),$I2208))</f>
        <v/>
      </c>
    </row>
    <row r="2209">
      <c r="B2209" s="25" t="n"/>
      <c r="I2209" s="25" t="n"/>
      <c r="U2209" s="19">
        <f>IF($V2209&lt;&gt;'設定'!$C$4,N(U2208),IF(OR(NOT(COUNTIF('商品マスタ'!$B$6:$B$1005,$W2209)=0),COUNTIFS('①在庫を貼る'!$V$6:$V$10005,$V2209,'①在庫を貼る'!$W$6:$W$10005,$W2209)&gt;0),N(U2208),N(U2208)+1))</f>
        <v/>
      </c>
      <c r="V2209" s="19">
        <f>IF($B2209="","",TEXT($B2209,"0000"))</f>
        <v/>
      </c>
      <c r="W2209" s="19">
        <f>IF($I2209="","",IF(ISNUMBER($I2209),TEXT($I2209,"0"),$I2209))</f>
        <v/>
      </c>
    </row>
    <row r="2210">
      <c r="B2210" s="25" t="n"/>
      <c r="I2210" s="25" t="n"/>
      <c r="U2210" s="19">
        <f>IF($V2210&lt;&gt;'設定'!$C$4,N(U2209),IF(OR(NOT(COUNTIF('商品マスタ'!$B$6:$B$1005,$W2210)=0),COUNTIFS('①在庫を貼る'!$V$6:$V$10005,$V2210,'①在庫を貼る'!$W$6:$W$10005,$W2210)&gt;0),N(U2209),N(U2209)+1))</f>
        <v/>
      </c>
      <c r="V2210" s="19">
        <f>IF($B2210="","",TEXT($B2210,"0000"))</f>
        <v/>
      </c>
      <c r="W2210" s="19">
        <f>IF($I2210="","",IF(ISNUMBER($I2210),TEXT($I2210,"0"),$I2210))</f>
        <v/>
      </c>
    </row>
    <row r="2211">
      <c r="B2211" s="25" t="n"/>
      <c r="I2211" s="25" t="n"/>
      <c r="U2211" s="19">
        <f>IF($V2211&lt;&gt;'設定'!$C$4,N(U2210),IF(OR(NOT(COUNTIF('商品マスタ'!$B$6:$B$1005,$W2211)=0),COUNTIFS('①在庫を貼る'!$V$6:$V$10005,$V2211,'①在庫を貼る'!$W$6:$W$10005,$W2211)&gt;0),N(U2210),N(U2210)+1))</f>
        <v/>
      </c>
      <c r="V2211" s="19">
        <f>IF($B2211="","",TEXT($B2211,"0000"))</f>
        <v/>
      </c>
      <c r="W2211" s="19">
        <f>IF($I2211="","",IF(ISNUMBER($I2211),TEXT($I2211,"0"),$I2211))</f>
        <v/>
      </c>
    </row>
    <row r="2212">
      <c r="B2212" s="25" t="n"/>
      <c r="I2212" s="25" t="n"/>
      <c r="U2212" s="19">
        <f>IF($V2212&lt;&gt;'設定'!$C$4,N(U2211),IF(OR(NOT(COUNTIF('商品マスタ'!$B$6:$B$1005,$W2212)=0),COUNTIFS('①在庫を貼る'!$V$6:$V$10005,$V2212,'①在庫を貼る'!$W$6:$W$10005,$W2212)&gt;0),N(U2211),N(U2211)+1))</f>
        <v/>
      </c>
      <c r="V2212" s="19">
        <f>IF($B2212="","",TEXT($B2212,"0000"))</f>
        <v/>
      </c>
      <c r="W2212" s="19">
        <f>IF($I2212="","",IF(ISNUMBER($I2212),TEXT($I2212,"0"),$I2212))</f>
        <v/>
      </c>
    </row>
    <row r="2213">
      <c r="B2213" s="25" t="n"/>
      <c r="I2213" s="25" t="n"/>
      <c r="U2213" s="19">
        <f>IF($V2213&lt;&gt;'設定'!$C$4,N(U2212),IF(OR(NOT(COUNTIF('商品マスタ'!$B$6:$B$1005,$W2213)=0),COUNTIFS('①在庫を貼る'!$V$6:$V$10005,$V2213,'①在庫を貼る'!$W$6:$W$10005,$W2213)&gt;0),N(U2212),N(U2212)+1))</f>
        <v/>
      </c>
      <c r="V2213" s="19">
        <f>IF($B2213="","",TEXT($B2213,"0000"))</f>
        <v/>
      </c>
      <c r="W2213" s="19">
        <f>IF($I2213="","",IF(ISNUMBER($I2213),TEXT($I2213,"0"),$I2213))</f>
        <v/>
      </c>
    </row>
    <row r="2214">
      <c r="B2214" s="25" t="n"/>
      <c r="I2214" s="25" t="n"/>
      <c r="U2214" s="19">
        <f>IF($V2214&lt;&gt;'設定'!$C$4,N(U2213),IF(OR(NOT(COUNTIF('商品マスタ'!$B$6:$B$1005,$W2214)=0),COUNTIFS('①在庫を貼る'!$V$6:$V$10005,$V2214,'①在庫を貼る'!$W$6:$W$10005,$W2214)&gt;0),N(U2213),N(U2213)+1))</f>
        <v/>
      </c>
      <c r="V2214" s="19">
        <f>IF($B2214="","",TEXT($B2214,"0000"))</f>
        <v/>
      </c>
      <c r="W2214" s="19">
        <f>IF($I2214="","",IF(ISNUMBER($I2214),TEXT($I2214,"0"),$I2214))</f>
        <v/>
      </c>
    </row>
    <row r="2215">
      <c r="B2215" s="25" t="n"/>
      <c r="I2215" s="25" t="n"/>
      <c r="U2215" s="19">
        <f>IF($V2215&lt;&gt;'設定'!$C$4,N(U2214),IF(OR(NOT(COUNTIF('商品マスタ'!$B$6:$B$1005,$W2215)=0),COUNTIFS('①在庫を貼る'!$V$6:$V$10005,$V2215,'①在庫を貼る'!$W$6:$W$10005,$W2215)&gt;0),N(U2214),N(U2214)+1))</f>
        <v/>
      </c>
      <c r="V2215" s="19">
        <f>IF($B2215="","",TEXT($B2215,"0000"))</f>
        <v/>
      </c>
      <c r="W2215" s="19">
        <f>IF($I2215="","",IF(ISNUMBER($I2215),TEXT($I2215,"0"),$I2215))</f>
        <v/>
      </c>
    </row>
    <row r="2216">
      <c r="B2216" s="25" t="n"/>
      <c r="I2216" s="25" t="n"/>
      <c r="U2216" s="19">
        <f>IF($V2216&lt;&gt;'設定'!$C$4,N(U2215),IF(OR(NOT(COUNTIF('商品マスタ'!$B$6:$B$1005,$W2216)=0),COUNTIFS('①在庫を貼る'!$V$6:$V$10005,$V2216,'①在庫を貼る'!$W$6:$W$10005,$W2216)&gt;0),N(U2215),N(U2215)+1))</f>
        <v/>
      </c>
      <c r="V2216" s="19">
        <f>IF($B2216="","",TEXT($B2216,"0000"))</f>
        <v/>
      </c>
      <c r="W2216" s="19">
        <f>IF($I2216="","",IF(ISNUMBER($I2216),TEXT($I2216,"0"),$I2216))</f>
        <v/>
      </c>
    </row>
    <row r="2217">
      <c r="B2217" s="25" t="n"/>
      <c r="I2217" s="25" t="n"/>
      <c r="U2217" s="19">
        <f>IF($V2217&lt;&gt;'設定'!$C$4,N(U2216),IF(OR(NOT(COUNTIF('商品マスタ'!$B$6:$B$1005,$W2217)=0),COUNTIFS('①在庫を貼る'!$V$6:$V$10005,$V2217,'①在庫を貼る'!$W$6:$W$10005,$W2217)&gt;0),N(U2216),N(U2216)+1))</f>
        <v/>
      </c>
      <c r="V2217" s="19">
        <f>IF($B2217="","",TEXT($B2217,"0000"))</f>
        <v/>
      </c>
      <c r="W2217" s="19">
        <f>IF($I2217="","",IF(ISNUMBER($I2217),TEXT($I2217,"0"),$I2217))</f>
        <v/>
      </c>
    </row>
    <row r="2218">
      <c r="B2218" s="25" t="n"/>
      <c r="I2218" s="25" t="n"/>
      <c r="U2218" s="19">
        <f>IF($V2218&lt;&gt;'設定'!$C$4,N(U2217),IF(OR(NOT(COUNTIF('商品マスタ'!$B$6:$B$1005,$W2218)=0),COUNTIFS('①在庫を貼る'!$V$6:$V$10005,$V2218,'①在庫を貼る'!$W$6:$W$10005,$W2218)&gt;0),N(U2217),N(U2217)+1))</f>
        <v/>
      </c>
      <c r="V2218" s="19">
        <f>IF($B2218="","",TEXT($B2218,"0000"))</f>
        <v/>
      </c>
      <c r="W2218" s="19">
        <f>IF($I2218="","",IF(ISNUMBER($I2218),TEXT($I2218,"0"),$I2218))</f>
        <v/>
      </c>
    </row>
    <row r="2219">
      <c r="B2219" s="25" t="n"/>
      <c r="I2219" s="25" t="n"/>
      <c r="U2219" s="19">
        <f>IF($V2219&lt;&gt;'設定'!$C$4,N(U2218),IF(OR(NOT(COUNTIF('商品マスタ'!$B$6:$B$1005,$W2219)=0),COUNTIFS('①在庫を貼る'!$V$6:$V$10005,$V2219,'①在庫を貼る'!$W$6:$W$10005,$W2219)&gt;0),N(U2218),N(U2218)+1))</f>
        <v/>
      </c>
      <c r="V2219" s="19">
        <f>IF($B2219="","",TEXT($B2219,"0000"))</f>
        <v/>
      </c>
      <c r="W2219" s="19">
        <f>IF($I2219="","",IF(ISNUMBER($I2219),TEXT($I2219,"0"),$I2219))</f>
        <v/>
      </c>
    </row>
    <row r="2220">
      <c r="B2220" s="25" t="n"/>
      <c r="I2220" s="25" t="n"/>
      <c r="U2220" s="19">
        <f>IF($V2220&lt;&gt;'設定'!$C$4,N(U2219),IF(OR(NOT(COUNTIF('商品マスタ'!$B$6:$B$1005,$W2220)=0),COUNTIFS('①在庫を貼る'!$V$6:$V$10005,$V2220,'①在庫を貼る'!$W$6:$W$10005,$W2220)&gt;0),N(U2219),N(U2219)+1))</f>
        <v/>
      </c>
      <c r="V2220" s="19">
        <f>IF($B2220="","",TEXT($B2220,"0000"))</f>
        <v/>
      </c>
      <c r="W2220" s="19">
        <f>IF($I2220="","",IF(ISNUMBER($I2220),TEXT($I2220,"0"),$I2220))</f>
        <v/>
      </c>
    </row>
    <row r="2221">
      <c r="B2221" s="25" t="n"/>
      <c r="I2221" s="25" t="n"/>
      <c r="U2221" s="19">
        <f>IF($V2221&lt;&gt;'設定'!$C$4,N(U2220),IF(OR(NOT(COUNTIF('商品マスタ'!$B$6:$B$1005,$W2221)=0),COUNTIFS('①在庫を貼る'!$V$6:$V$10005,$V2221,'①在庫を貼る'!$W$6:$W$10005,$W2221)&gt;0),N(U2220),N(U2220)+1))</f>
        <v/>
      </c>
      <c r="V2221" s="19">
        <f>IF($B2221="","",TEXT($B2221,"0000"))</f>
        <v/>
      </c>
      <c r="W2221" s="19">
        <f>IF($I2221="","",IF(ISNUMBER($I2221),TEXT($I2221,"0"),$I2221))</f>
        <v/>
      </c>
    </row>
    <row r="2222">
      <c r="B2222" s="25" t="n"/>
      <c r="I2222" s="25" t="n"/>
      <c r="U2222" s="19">
        <f>IF($V2222&lt;&gt;'設定'!$C$4,N(U2221),IF(OR(NOT(COUNTIF('商品マスタ'!$B$6:$B$1005,$W2222)=0),COUNTIFS('①在庫を貼る'!$V$6:$V$10005,$V2222,'①在庫を貼る'!$W$6:$W$10005,$W2222)&gt;0),N(U2221),N(U2221)+1))</f>
        <v/>
      </c>
      <c r="V2222" s="19">
        <f>IF($B2222="","",TEXT($B2222,"0000"))</f>
        <v/>
      </c>
      <c r="W2222" s="19">
        <f>IF($I2222="","",IF(ISNUMBER($I2222),TEXT($I2222,"0"),$I2222))</f>
        <v/>
      </c>
    </row>
    <row r="2223">
      <c r="B2223" s="25" t="n"/>
      <c r="I2223" s="25" t="n"/>
      <c r="U2223" s="19">
        <f>IF($V2223&lt;&gt;'設定'!$C$4,N(U2222),IF(OR(NOT(COUNTIF('商品マスタ'!$B$6:$B$1005,$W2223)=0),COUNTIFS('①在庫を貼る'!$V$6:$V$10005,$V2223,'①在庫を貼る'!$W$6:$W$10005,$W2223)&gt;0),N(U2222),N(U2222)+1))</f>
        <v/>
      </c>
      <c r="V2223" s="19">
        <f>IF($B2223="","",TEXT($B2223,"0000"))</f>
        <v/>
      </c>
      <c r="W2223" s="19">
        <f>IF($I2223="","",IF(ISNUMBER($I2223),TEXT($I2223,"0"),$I2223))</f>
        <v/>
      </c>
    </row>
    <row r="2224">
      <c r="B2224" s="25" t="n"/>
      <c r="I2224" s="25" t="n"/>
      <c r="U2224" s="19">
        <f>IF($V2224&lt;&gt;'設定'!$C$4,N(U2223),IF(OR(NOT(COUNTIF('商品マスタ'!$B$6:$B$1005,$W2224)=0),COUNTIFS('①在庫を貼る'!$V$6:$V$10005,$V2224,'①在庫を貼る'!$W$6:$W$10005,$W2224)&gt;0),N(U2223),N(U2223)+1))</f>
        <v/>
      </c>
      <c r="V2224" s="19">
        <f>IF($B2224="","",TEXT($B2224,"0000"))</f>
        <v/>
      </c>
      <c r="W2224" s="19">
        <f>IF($I2224="","",IF(ISNUMBER($I2224),TEXT($I2224,"0"),$I2224))</f>
        <v/>
      </c>
    </row>
    <row r="2225">
      <c r="B2225" s="25" t="n"/>
      <c r="I2225" s="25" t="n"/>
      <c r="U2225" s="19">
        <f>IF($V2225&lt;&gt;'設定'!$C$4,N(U2224),IF(OR(NOT(COUNTIF('商品マスタ'!$B$6:$B$1005,$W2225)=0),COUNTIFS('①在庫を貼る'!$V$6:$V$10005,$V2225,'①在庫を貼る'!$W$6:$W$10005,$W2225)&gt;0),N(U2224),N(U2224)+1))</f>
        <v/>
      </c>
      <c r="V2225" s="19">
        <f>IF($B2225="","",TEXT($B2225,"0000"))</f>
        <v/>
      </c>
      <c r="W2225" s="19">
        <f>IF($I2225="","",IF(ISNUMBER($I2225),TEXT($I2225,"0"),$I2225))</f>
        <v/>
      </c>
    </row>
    <row r="2226">
      <c r="B2226" s="25" t="n"/>
      <c r="I2226" s="25" t="n"/>
      <c r="U2226" s="19">
        <f>IF($V2226&lt;&gt;'設定'!$C$4,N(U2225),IF(OR(NOT(COUNTIF('商品マスタ'!$B$6:$B$1005,$W2226)=0),COUNTIFS('①在庫を貼る'!$V$6:$V$10005,$V2226,'①在庫を貼る'!$W$6:$W$10005,$W2226)&gt;0),N(U2225),N(U2225)+1))</f>
        <v/>
      </c>
      <c r="V2226" s="19">
        <f>IF($B2226="","",TEXT($B2226,"0000"))</f>
        <v/>
      </c>
      <c r="W2226" s="19">
        <f>IF($I2226="","",IF(ISNUMBER($I2226),TEXT($I2226,"0"),$I2226))</f>
        <v/>
      </c>
    </row>
    <row r="2227">
      <c r="B2227" s="25" t="n"/>
      <c r="I2227" s="25" t="n"/>
      <c r="U2227" s="19">
        <f>IF($V2227&lt;&gt;'設定'!$C$4,N(U2226),IF(OR(NOT(COUNTIF('商品マスタ'!$B$6:$B$1005,$W2227)=0),COUNTIFS('①在庫を貼る'!$V$6:$V$10005,$V2227,'①在庫を貼る'!$W$6:$W$10005,$W2227)&gt;0),N(U2226),N(U2226)+1))</f>
        <v/>
      </c>
      <c r="V2227" s="19">
        <f>IF($B2227="","",TEXT($B2227,"0000"))</f>
        <v/>
      </c>
      <c r="W2227" s="19">
        <f>IF($I2227="","",IF(ISNUMBER($I2227),TEXT($I2227,"0"),$I2227))</f>
        <v/>
      </c>
    </row>
    <row r="2228">
      <c r="B2228" s="25" t="n"/>
      <c r="I2228" s="25" t="n"/>
      <c r="U2228" s="19">
        <f>IF($V2228&lt;&gt;'設定'!$C$4,N(U2227),IF(OR(NOT(COUNTIF('商品マスタ'!$B$6:$B$1005,$W2228)=0),COUNTIFS('①在庫を貼る'!$V$6:$V$10005,$V2228,'①在庫を貼る'!$W$6:$W$10005,$W2228)&gt;0),N(U2227),N(U2227)+1))</f>
        <v/>
      </c>
      <c r="V2228" s="19">
        <f>IF($B2228="","",TEXT($B2228,"0000"))</f>
        <v/>
      </c>
      <c r="W2228" s="19">
        <f>IF($I2228="","",IF(ISNUMBER($I2228),TEXT($I2228,"0"),$I2228))</f>
        <v/>
      </c>
    </row>
    <row r="2229">
      <c r="B2229" s="25" t="n"/>
      <c r="I2229" s="25" t="n"/>
      <c r="U2229" s="19">
        <f>IF($V2229&lt;&gt;'設定'!$C$4,N(U2228),IF(OR(NOT(COUNTIF('商品マスタ'!$B$6:$B$1005,$W2229)=0),COUNTIFS('①在庫を貼る'!$V$6:$V$10005,$V2229,'①在庫を貼る'!$W$6:$W$10005,$W2229)&gt;0),N(U2228),N(U2228)+1))</f>
        <v/>
      </c>
      <c r="V2229" s="19">
        <f>IF($B2229="","",TEXT($B2229,"0000"))</f>
        <v/>
      </c>
      <c r="W2229" s="19">
        <f>IF($I2229="","",IF(ISNUMBER($I2229),TEXT($I2229,"0"),$I2229))</f>
        <v/>
      </c>
    </row>
    <row r="2230">
      <c r="B2230" s="25" t="n"/>
      <c r="I2230" s="25" t="n"/>
      <c r="U2230" s="19">
        <f>IF($V2230&lt;&gt;'設定'!$C$4,N(U2229),IF(OR(NOT(COUNTIF('商品マスタ'!$B$6:$B$1005,$W2230)=0),COUNTIFS('①在庫を貼る'!$V$6:$V$10005,$V2230,'①在庫を貼る'!$W$6:$W$10005,$W2230)&gt;0),N(U2229),N(U2229)+1))</f>
        <v/>
      </c>
      <c r="V2230" s="19">
        <f>IF($B2230="","",TEXT($B2230,"0000"))</f>
        <v/>
      </c>
      <c r="W2230" s="19">
        <f>IF($I2230="","",IF(ISNUMBER($I2230),TEXT($I2230,"0"),$I2230))</f>
        <v/>
      </c>
    </row>
    <row r="2231">
      <c r="B2231" s="25" t="n"/>
      <c r="I2231" s="25" t="n"/>
      <c r="U2231" s="19">
        <f>IF($V2231&lt;&gt;'設定'!$C$4,N(U2230),IF(OR(NOT(COUNTIF('商品マスタ'!$B$6:$B$1005,$W2231)=0),COUNTIFS('①在庫を貼る'!$V$6:$V$10005,$V2231,'①在庫を貼る'!$W$6:$W$10005,$W2231)&gt;0),N(U2230),N(U2230)+1))</f>
        <v/>
      </c>
      <c r="V2231" s="19">
        <f>IF($B2231="","",TEXT($B2231,"0000"))</f>
        <v/>
      </c>
      <c r="W2231" s="19">
        <f>IF($I2231="","",IF(ISNUMBER($I2231),TEXT($I2231,"0"),$I2231))</f>
        <v/>
      </c>
    </row>
    <row r="2232">
      <c r="B2232" s="25" t="n"/>
      <c r="I2232" s="25" t="n"/>
      <c r="U2232" s="19">
        <f>IF($V2232&lt;&gt;'設定'!$C$4,N(U2231),IF(OR(NOT(COUNTIF('商品マスタ'!$B$6:$B$1005,$W2232)=0),COUNTIFS('①在庫を貼る'!$V$6:$V$10005,$V2232,'①在庫を貼る'!$W$6:$W$10005,$W2232)&gt;0),N(U2231),N(U2231)+1))</f>
        <v/>
      </c>
      <c r="V2232" s="19">
        <f>IF($B2232="","",TEXT($B2232,"0000"))</f>
        <v/>
      </c>
      <c r="W2232" s="19">
        <f>IF($I2232="","",IF(ISNUMBER($I2232),TEXT($I2232,"0"),$I2232))</f>
        <v/>
      </c>
    </row>
    <row r="2233">
      <c r="B2233" s="25" t="n"/>
      <c r="I2233" s="25" t="n"/>
      <c r="U2233" s="19">
        <f>IF($V2233&lt;&gt;'設定'!$C$4,N(U2232),IF(OR(NOT(COUNTIF('商品マスタ'!$B$6:$B$1005,$W2233)=0),COUNTIFS('①在庫を貼る'!$V$6:$V$10005,$V2233,'①在庫を貼る'!$W$6:$W$10005,$W2233)&gt;0),N(U2232),N(U2232)+1))</f>
        <v/>
      </c>
      <c r="V2233" s="19">
        <f>IF($B2233="","",TEXT($B2233,"0000"))</f>
        <v/>
      </c>
      <c r="W2233" s="19">
        <f>IF($I2233="","",IF(ISNUMBER($I2233),TEXT($I2233,"0"),$I2233))</f>
        <v/>
      </c>
    </row>
    <row r="2234">
      <c r="B2234" s="25" t="n"/>
      <c r="I2234" s="25" t="n"/>
      <c r="U2234" s="19">
        <f>IF($V2234&lt;&gt;'設定'!$C$4,N(U2233),IF(OR(NOT(COUNTIF('商品マスタ'!$B$6:$B$1005,$W2234)=0),COUNTIFS('①在庫を貼る'!$V$6:$V$10005,$V2234,'①在庫を貼る'!$W$6:$W$10005,$W2234)&gt;0),N(U2233),N(U2233)+1))</f>
        <v/>
      </c>
      <c r="V2234" s="19">
        <f>IF($B2234="","",TEXT($B2234,"0000"))</f>
        <v/>
      </c>
      <c r="W2234" s="19">
        <f>IF($I2234="","",IF(ISNUMBER($I2234),TEXT($I2234,"0"),$I2234))</f>
        <v/>
      </c>
    </row>
    <row r="2235">
      <c r="B2235" s="25" t="n"/>
      <c r="I2235" s="25" t="n"/>
      <c r="U2235" s="19">
        <f>IF($V2235&lt;&gt;'設定'!$C$4,N(U2234),IF(OR(NOT(COUNTIF('商品マスタ'!$B$6:$B$1005,$W2235)=0),COUNTIFS('①在庫を貼る'!$V$6:$V$10005,$V2235,'①在庫を貼る'!$W$6:$W$10005,$W2235)&gt;0),N(U2234),N(U2234)+1))</f>
        <v/>
      </c>
      <c r="V2235" s="19">
        <f>IF($B2235="","",TEXT($B2235,"0000"))</f>
        <v/>
      </c>
      <c r="W2235" s="19">
        <f>IF($I2235="","",IF(ISNUMBER($I2235),TEXT($I2235,"0"),$I2235))</f>
        <v/>
      </c>
    </row>
    <row r="2236">
      <c r="B2236" s="25" t="n"/>
      <c r="I2236" s="25" t="n"/>
      <c r="U2236" s="19">
        <f>IF($V2236&lt;&gt;'設定'!$C$4,N(U2235),IF(OR(NOT(COUNTIF('商品マスタ'!$B$6:$B$1005,$W2236)=0),COUNTIFS('①在庫を貼る'!$V$6:$V$10005,$V2236,'①在庫を貼る'!$W$6:$W$10005,$W2236)&gt;0),N(U2235),N(U2235)+1))</f>
        <v/>
      </c>
      <c r="V2236" s="19">
        <f>IF($B2236="","",TEXT($B2236,"0000"))</f>
        <v/>
      </c>
      <c r="W2236" s="19">
        <f>IF($I2236="","",IF(ISNUMBER($I2236),TEXT($I2236,"0"),$I2236))</f>
        <v/>
      </c>
    </row>
    <row r="2237">
      <c r="B2237" s="25" t="n"/>
      <c r="I2237" s="25" t="n"/>
      <c r="U2237" s="19">
        <f>IF($V2237&lt;&gt;'設定'!$C$4,N(U2236),IF(OR(NOT(COUNTIF('商品マスタ'!$B$6:$B$1005,$W2237)=0),COUNTIFS('①在庫を貼る'!$V$6:$V$10005,$V2237,'①在庫を貼る'!$W$6:$W$10005,$W2237)&gt;0),N(U2236),N(U2236)+1))</f>
        <v/>
      </c>
      <c r="V2237" s="19">
        <f>IF($B2237="","",TEXT($B2237,"0000"))</f>
        <v/>
      </c>
      <c r="W2237" s="19">
        <f>IF($I2237="","",IF(ISNUMBER($I2237),TEXT($I2237,"0"),$I2237))</f>
        <v/>
      </c>
    </row>
    <row r="2238">
      <c r="B2238" s="25" t="n"/>
      <c r="I2238" s="25" t="n"/>
      <c r="U2238" s="19">
        <f>IF($V2238&lt;&gt;'設定'!$C$4,N(U2237),IF(OR(NOT(COUNTIF('商品マスタ'!$B$6:$B$1005,$W2238)=0),COUNTIFS('①在庫を貼る'!$V$6:$V$10005,$V2238,'①在庫を貼る'!$W$6:$W$10005,$W2238)&gt;0),N(U2237),N(U2237)+1))</f>
        <v/>
      </c>
      <c r="V2238" s="19">
        <f>IF($B2238="","",TEXT($B2238,"0000"))</f>
        <v/>
      </c>
      <c r="W2238" s="19">
        <f>IF($I2238="","",IF(ISNUMBER($I2238),TEXT($I2238,"0"),$I2238))</f>
        <v/>
      </c>
    </row>
    <row r="2239">
      <c r="B2239" s="25" t="n"/>
      <c r="I2239" s="25" t="n"/>
      <c r="U2239" s="19">
        <f>IF($V2239&lt;&gt;'設定'!$C$4,N(U2238),IF(OR(NOT(COUNTIF('商品マスタ'!$B$6:$B$1005,$W2239)=0),COUNTIFS('①在庫を貼る'!$V$6:$V$10005,$V2239,'①在庫を貼る'!$W$6:$W$10005,$W2239)&gt;0),N(U2238),N(U2238)+1))</f>
        <v/>
      </c>
      <c r="V2239" s="19">
        <f>IF($B2239="","",TEXT($B2239,"0000"))</f>
        <v/>
      </c>
      <c r="W2239" s="19">
        <f>IF($I2239="","",IF(ISNUMBER($I2239),TEXT($I2239,"0"),$I2239))</f>
        <v/>
      </c>
    </row>
    <row r="2240">
      <c r="B2240" s="25" t="n"/>
      <c r="I2240" s="25" t="n"/>
      <c r="U2240" s="19">
        <f>IF($V2240&lt;&gt;'設定'!$C$4,N(U2239),IF(OR(NOT(COUNTIF('商品マスタ'!$B$6:$B$1005,$W2240)=0),COUNTIFS('①在庫を貼る'!$V$6:$V$10005,$V2240,'①在庫を貼る'!$W$6:$W$10005,$W2240)&gt;0),N(U2239),N(U2239)+1))</f>
        <v/>
      </c>
      <c r="V2240" s="19">
        <f>IF($B2240="","",TEXT($B2240,"0000"))</f>
        <v/>
      </c>
      <c r="W2240" s="19">
        <f>IF($I2240="","",IF(ISNUMBER($I2240),TEXT($I2240,"0"),$I2240))</f>
        <v/>
      </c>
    </row>
    <row r="2241">
      <c r="B2241" s="25" t="n"/>
      <c r="I2241" s="25" t="n"/>
      <c r="U2241" s="19">
        <f>IF($V2241&lt;&gt;'設定'!$C$4,N(U2240),IF(OR(NOT(COUNTIF('商品マスタ'!$B$6:$B$1005,$W2241)=0),COUNTIFS('①在庫を貼る'!$V$6:$V$10005,$V2241,'①在庫を貼る'!$W$6:$W$10005,$W2241)&gt;0),N(U2240),N(U2240)+1))</f>
        <v/>
      </c>
      <c r="V2241" s="19">
        <f>IF($B2241="","",TEXT($B2241,"0000"))</f>
        <v/>
      </c>
      <c r="W2241" s="19">
        <f>IF($I2241="","",IF(ISNUMBER($I2241),TEXT($I2241,"0"),$I2241))</f>
        <v/>
      </c>
    </row>
    <row r="2242">
      <c r="B2242" s="25" t="n"/>
      <c r="I2242" s="25" t="n"/>
      <c r="U2242" s="19">
        <f>IF($V2242&lt;&gt;'設定'!$C$4,N(U2241),IF(OR(NOT(COUNTIF('商品マスタ'!$B$6:$B$1005,$W2242)=0),COUNTIFS('①在庫を貼る'!$V$6:$V$10005,$V2242,'①在庫を貼る'!$W$6:$W$10005,$W2242)&gt;0),N(U2241),N(U2241)+1))</f>
        <v/>
      </c>
      <c r="V2242" s="19">
        <f>IF($B2242="","",TEXT($B2242,"0000"))</f>
        <v/>
      </c>
      <c r="W2242" s="19">
        <f>IF($I2242="","",IF(ISNUMBER($I2242),TEXT($I2242,"0"),$I2242))</f>
        <v/>
      </c>
    </row>
    <row r="2243">
      <c r="B2243" s="25" t="n"/>
      <c r="I2243" s="25" t="n"/>
      <c r="U2243" s="19">
        <f>IF($V2243&lt;&gt;'設定'!$C$4,N(U2242),IF(OR(NOT(COUNTIF('商品マスタ'!$B$6:$B$1005,$W2243)=0),COUNTIFS('①在庫を貼る'!$V$6:$V$10005,$V2243,'①在庫を貼る'!$W$6:$W$10005,$W2243)&gt;0),N(U2242),N(U2242)+1))</f>
        <v/>
      </c>
      <c r="V2243" s="19">
        <f>IF($B2243="","",TEXT($B2243,"0000"))</f>
        <v/>
      </c>
      <c r="W2243" s="19">
        <f>IF($I2243="","",IF(ISNUMBER($I2243),TEXT($I2243,"0"),$I2243))</f>
        <v/>
      </c>
    </row>
    <row r="2244">
      <c r="B2244" s="25" t="n"/>
      <c r="I2244" s="25" t="n"/>
      <c r="U2244" s="19">
        <f>IF($V2244&lt;&gt;'設定'!$C$4,N(U2243),IF(OR(NOT(COUNTIF('商品マスタ'!$B$6:$B$1005,$W2244)=0),COUNTIFS('①在庫を貼る'!$V$6:$V$10005,$V2244,'①在庫を貼る'!$W$6:$W$10005,$W2244)&gt;0),N(U2243),N(U2243)+1))</f>
        <v/>
      </c>
      <c r="V2244" s="19">
        <f>IF($B2244="","",TEXT($B2244,"0000"))</f>
        <v/>
      </c>
      <c r="W2244" s="19">
        <f>IF($I2244="","",IF(ISNUMBER($I2244),TEXT($I2244,"0"),$I2244))</f>
        <v/>
      </c>
    </row>
    <row r="2245">
      <c r="B2245" s="25" t="n"/>
      <c r="I2245" s="25" t="n"/>
      <c r="U2245" s="19">
        <f>IF($V2245&lt;&gt;'設定'!$C$4,N(U2244),IF(OR(NOT(COUNTIF('商品マスタ'!$B$6:$B$1005,$W2245)=0),COUNTIFS('①在庫を貼る'!$V$6:$V$10005,$V2245,'①在庫を貼る'!$W$6:$W$10005,$W2245)&gt;0),N(U2244),N(U2244)+1))</f>
        <v/>
      </c>
      <c r="V2245" s="19">
        <f>IF($B2245="","",TEXT($B2245,"0000"))</f>
        <v/>
      </c>
      <c r="W2245" s="19">
        <f>IF($I2245="","",IF(ISNUMBER($I2245),TEXT($I2245,"0"),$I2245))</f>
        <v/>
      </c>
    </row>
    <row r="2246">
      <c r="B2246" s="25" t="n"/>
      <c r="I2246" s="25" t="n"/>
      <c r="U2246" s="19">
        <f>IF($V2246&lt;&gt;'設定'!$C$4,N(U2245),IF(OR(NOT(COUNTIF('商品マスタ'!$B$6:$B$1005,$W2246)=0),COUNTIFS('①在庫を貼る'!$V$6:$V$10005,$V2246,'①在庫を貼る'!$W$6:$W$10005,$W2246)&gt;0),N(U2245),N(U2245)+1))</f>
        <v/>
      </c>
      <c r="V2246" s="19">
        <f>IF($B2246="","",TEXT($B2246,"0000"))</f>
        <v/>
      </c>
      <c r="W2246" s="19">
        <f>IF($I2246="","",IF(ISNUMBER($I2246),TEXT($I2246,"0"),$I2246))</f>
        <v/>
      </c>
    </row>
    <row r="2247">
      <c r="B2247" s="25" t="n"/>
      <c r="I2247" s="25" t="n"/>
      <c r="U2247" s="19">
        <f>IF($V2247&lt;&gt;'設定'!$C$4,N(U2246),IF(OR(NOT(COUNTIF('商品マスタ'!$B$6:$B$1005,$W2247)=0),COUNTIFS('①在庫を貼る'!$V$6:$V$10005,$V2247,'①在庫を貼る'!$W$6:$W$10005,$W2247)&gt;0),N(U2246),N(U2246)+1))</f>
        <v/>
      </c>
      <c r="V2247" s="19">
        <f>IF($B2247="","",TEXT($B2247,"0000"))</f>
        <v/>
      </c>
      <c r="W2247" s="19">
        <f>IF($I2247="","",IF(ISNUMBER($I2247),TEXT($I2247,"0"),$I2247))</f>
        <v/>
      </c>
    </row>
    <row r="2248">
      <c r="B2248" s="25" t="n"/>
      <c r="I2248" s="25" t="n"/>
      <c r="U2248" s="19">
        <f>IF($V2248&lt;&gt;'設定'!$C$4,N(U2247),IF(OR(NOT(COUNTIF('商品マスタ'!$B$6:$B$1005,$W2248)=0),COUNTIFS('①在庫を貼る'!$V$6:$V$10005,$V2248,'①在庫を貼る'!$W$6:$W$10005,$W2248)&gt;0),N(U2247),N(U2247)+1))</f>
        <v/>
      </c>
      <c r="V2248" s="19">
        <f>IF($B2248="","",TEXT($B2248,"0000"))</f>
        <v/>
      </c>
      <c r="W2248" s="19">
        <f>IF($I2248="","",IF(ISNUMBER($I2248),TEXT($I2248,"0"),$I2248))</f>
        <v/>
      </c>
    </row>
    <row r="2249">
      <c r="B2249" s="25" t="n"/>
      <c r="I2249" s="25" t="n"/>
      <c r="U2249" s="19">
        <f>IF($V2249&lt;&gt;'設定'!$C$4,N(U2248),IF(OR(NOT(COUNTIF('商品マスタ'!$B$6:$B$1005,$W2249)=0),COUNTIFS('①在庫を貼る'!$V$6:$V$10005,$V2249,'①在庫を貼る'!$W$6:$W$10005,$W2249)&gt;0),N(U2248),N(U2248)+1))</f>
        <v/>
      </c>
      <c r="V2249" s="19">
        <f>IF($B2249="","",TEXT($B2249,"0000"))</f>
        <v/>
      </c>
      <c r="W2249" s="19">
        <f>IF($I2249="","",IF(ISNUMBER($I2249),TEXT($I2249,"0"),$I2249))</f>
        <v/>
      </c>
    </row>
    <row r="2250">
      <c r="B2250" s="25" t="n"/>
      <c r="I2250" s="25" t="n"/>
      <c r="U2250" s="19">
        <f>IF($V2250&lt;&gt;'設定'!$C$4,N(U2249),IF(OR(NOT(COUNTIF('商品マスタ'!$B$6:$B$1005,$W2250)=0),COUNTIFS('①在庫を貼る'!$V$6:$V$10005,$V2250,'①在庫を貼る'!$W$6:$W$10005,$W2250)&gt;0),N(U2249),N(U2249)+1))</f>
        <v/>
      </c>
      <c r="V2250" s="19">
        <f>IF($B2250="","",TEXT($B2250,"0000"))</f>
        <v/>
      </c>
      <c r="W2250" s="19">
        <f>IF($I2250="","",IF(ISNUMBER($I2250),TEXT($I2250,"0"),$I2250))</f>
        <v/>
      </c>
    </row>
    <row r="2251">
      <c r="B2251" s="25" t="n"/>
      <c r="I2251" s="25" t="n"/>
      <c r="U2251" s="19">
        <f>IF($V2251&lt;&gt;'設定'!$C$4,N(U2250),IF(OR(NOT(COUNTIF('商品マスタ'!$B$6:$B$1005,$W2251)=0),COUNTIFS('①在庫を貼る'!$V$6:$V$10005,$V2251,'①在庫を貼る'!$W$6:$W$10005,$W2251)&gt;0),N(U2250),N(U2250)+1))</f>
        <v/>
      </c>
      <c r="V2251" s="19">
        <f>IF($B2251="","",TEXT($B2251,"0000"))</f>
        <v/>
      </c>
      <c r="W2251" s="19">
        <f>IF($I2251="","",IF(ISNUMBER($I2251),TEXT($I2251,"0"),$I2251))</f>
        <v/>
      </c>
    </row>
    <row r="2252">
      <c r="B2252" s="25" t="n"/>
      <c r="I2252" s="25" t="n"/>
      <c r="U2252" s="19">
        <f>IF($V2252&lt;&gt;'設定'!$C$4,N(U2251),IF(OR(NOT(COUNTIF('商品マスタ'!$B$6:$B$1005,$W2252)=0),COUNTIFS('①在庫を貼る'!$V$6:$V$10005,$V2252,'①在庫を貼る'!$W$6:$W$10005,$W2252)&gt;0),N(U2251),N(U2251)+1))</f>
        <v/>
      </c>
      <c r="V2252" s="19">
        <f>IF($B2252="","",TEXT($B2252,"0000"))</f>
        <v/>
      </c>
      <c r="W2252" s="19">
        <f>IF($I2252="","",IF(ISNUMBER($I2252),TEXT($I2252,"0"),$I2252))</f>
        <v/>
      </c>
    </row>
    <row r="2253">
      <c r="B2253" s="25" t="n"/>
      <c r="I2253" s="25" t="n"/>
      <c r="U2253" s="19">
        <f>IF($V2253&lt;&gt;'設定'!$C$4,N(U2252),IF(OR(NOT(COUNTIF('商品マスタ'!$B$6:$B$1005,$W2253)=0),COUNTIFS('①在庫を貼る'!$V$6:$V$10005,$V2253,'①在庫を貼る'!$W$6:$W$10005,$W2253)&gt;0),N(U2252),N(U2252)+1))</f>
        <v/>
      </c>
      <c r="V2253" s="19">
        <f>IF($B2253="","",TEXT($B2253,"0000"))</f>
        <v/>
      </c>
      <c r="W2253" s="19">
        <f>IF($I2253="","",IF(ISNUMBER($I2253),TEXT($I2253,"0"),$I2253))</f>
        <v/>
      </c>
    </row>
    <row r="2254">
      <c r="B2254" s="25" t="n"/>
      <c r="I2254" s="25" t="n"/>
      <c r="U2254" s="19">
        <f>IF($V2254&lt;&gt;'設定'!$C$4,N(U2253),IF(OR(NOT(COUNTIF('商品マスタ'!$B$6:$B$1005,$W2254)=0),COUNTIFS('①在庫を貼る'!$V$6:$V$10005,$V2254,'①在庫を貼る'!$W$6:$W$10005,$W2254)&gt;0),N(U2253),N(U2253)+1))</f>
        <v/>
      </c>
      <c r="V2254" s="19">
        <f>IF($B2254="","",TEXT($B2254,"0000"))</f>
        <v/>
      </c>
      <c r="W2254" s="19">
        <f>IF($I2254="","",IF(ISNUMBER($I2254),TEXT($I2254,"0"),$I2254))</f>
        <v/>
      </c>
    </row>
    <row r="2255">
      <c r="B2255" s="25" t="n"/>
      <c r="I2255" s="25" t="n"/>
      <c r="U2255" s="19">
        <f>IF($V2255&lt;&gt;'設定'!$C$4,N(U2254),IF(OR(NOT(COUNTIF('商品マスタ'!$B$6:$B$1005,$W2255)=0),COUNTIFS('①在庫を貼る'!$V$6:$V$10005,$V2255,'①在庫を貼る'!$W$6:$W$10005,$W2255)&gt;0),N(U2254),N(U2254)+1))</f>
        <v/>
      </c>
      <c r="V2255" s="19">
        <f>IF($B2255="","",TEXT($B2255,"0000"))</f>
        <v/>
      </c>
      <c r="W2255" s="19">
        <f>IF($I2255="","",IF(ISNUMBER($I2255),TEXT($I2255,"0"),$I2255))</f>
        <v/>
      </c>
    </row>
    <row r="2256">
      <c r="B2256" s="25" t="n"/>
      <c r="I2256" s="25" t="n"/>
      <c r="U2256" s="19">
        <f>IF($V2256&lt;&gt;'設定'!$C$4,N(U2255),IF(OR(NOT(COUNTIF('商品マスタ'!$B$6:$B$1005,$W2256)=0),COUNTIFS('①在庫を貼る'!$V$6:$V$10005,$V2256,'①在庫を貼る'!$W$6:$W$10005,$W2256)&gt;0),N(U2255),N(U2255)+1))</f>
        <v/>
      </c>
      <c r="V2256" s="19">
        <f>IF($B2256="","",TEXT($B2256,"0000"))</f>
        <v/>
      </c>
      <c r="W2256" s="19">
        <f>IF($I2256="","",IF(ISNUMBER($I2256),TEXT($I2256,"0"),$I2256))</f>
        <v/>
      </c>
    </row>
    <row r="2257">
      <c r="B2257" s="25" t="n"/>
      <c r="I2257" s="25" t="n"/>
      <c r="U2257" s="19">
        <f>IF($V2257&lt;&gt;'設定'!$C$4,N(U2256),IF(OR(NOT(COUNTIF('商品マスタ'!$B$6:$B$1005,$W2257)=0),COUNTIFS('①在庫を貼る'!$V$6:$V$10005,$V2257,'①在庫を貼る'!$W$6:$W$10005,$W2257)&gt;0),N(U2256),N(U2256)+1))</f>
        <v/>
      </c>
      <c r="V2257" s="19">
        <f>IF($B2257="","",TEXT($B2257,"0000"))</f>
        <v/>
      </c>
      <c r="W2257" s="19">
        <f>IF($I2257="","",IF(ISNUMBER($I2257),TEXT($I2257,"0"),$I2257))</f>
        <v/>
      </c>
    </row>
    <row r="2258">
      <c r="B2258" s="25" t="n"/>
      <c r="I2258" s="25" t="n"/>
      <c r="U2258" s="19">
        <f>IF($V2258&lt;&gt;'設定'!$C$4,N(U2257),IF(OR(NOT(COUNTIF('商品マスタ'!$B$6:$B$1005,$W2258)=0),COUNTIFS('①在庫を貼る'!$V$6:$V$10005,$V2258,'①在庫を貼る'!$W$6:$W$10005,$W2258)&gt;0),N(U2257),N(U2257)+1))</f>
        <v/>
      </c>
      <c r="V2258" s="19">
        <f>IF($B2258="","",TEXT($B2258,"0000"))</f>
        <v/>
      </c>
      <c r="W2258" s="19">
        <f>IF($I2258="","",IF(ISNUMBER($I2258),TEXT($I2258,"0"),$I2258))</f>
        <v/>
      </c>
    </row>
    <row r="2259">
      <c r="B2259" s="25" t="n"/>
      <c r="I2259" s="25" t="n"/>
      <c r="U2259" s="19">
        <f>IF($V2259&lt;&gt;'設定'!$C$4,N(U2258),IF(OR(NOT(COUNTIF('商品マスタ'!$B$6:$B$1005,$W2259)=0),COUNTIFS('①在庫を貼る'!$V$6:$V$10005,$V2259,'①在庫を貼る'!$W$6:$W$10005,$W2259)&gt;0),N(U2258),N(U2258)+1))</f>
        <v/>
      </c>
      <c r="V2259" s="19">
        <f>IF($B2259="","",TEXT($B2259,"0000"))</f>
        <v/>
      </c>
      <c r="W2259" s="19">
        <f>IF($I2259="","",IF(ISNUMBER($I2259),TEXT($I2259,"0"),$I2259))</f>
        <v/>
      </c>
    </row>
    <row r="2260">
      <c r="B2260" s="25" t="n"/>
      <c r="I2260" s="25" t="n"/>
      <c r="U2260" s="19">
        <f>IF($V2260&lt;&gt;'設定'!$C$4,N(U2259),IF(OR(NOT(COUNTIF('商品マスタ'!$B$6:$B$1005,$W2260)=0),COUNTIFS('①在庫を貼る'!$V$6:$V$10005,$V2260,'①在庫を貼る'!$W$6:$W$10005,$W2260)&gt;0),N(U2259),N(U2259)+1))</f>
        <v/>
      </c>
      <c r="V2260" s="19">
        <f>IF($B2260="","",TEXT($B2260,"0000"))</f>
        <v/>
      </c>
      <c r="W2260" s="19">
        <f>IF($I2260="","",IF(ISNUMBER($I2260),TEXT($I2260,"0"),$I2260))</f>
        <v/>
      </c>
    </row>
    <row r="2261">
      <c r="B2261" s="25" t="n"/>
      <c r="I2261" s="25" t="n"/>
      <c r="U2261" s="19">
        <f>IF($V2261&lt;&gt;'設定'!$C$4,N(U2260),IF(OR(NOT(COUNTIF('商品マスタ'!$B$6:$B$1005,$W2261)=0),COUNTIFS('①在庫を貼る'!$V$6:$V$10005,$V2261,'①在庫を貼る'!$W$6:$W$10005,$W2261)&gt;0),N(U2260),N(U2260)+1))</f>
        <v/>
      </c>
      <c r="V2261" s="19">
        <f>IF($B2261="","",TEXT($B2261,"0000"))</f>
        <v/>
      </c>
      <c r="W2261" s="19">
        <f>IF($I2261="","",IF(ISNUMBER($I2261),TEXT($I2261,"0"),$I2261))</f>
        <v/>
      </c>
    </row>
    <row r="2262">
      <c r="B2262" s="25" t="n"/>
      <c r="I2262" s="25" t="n"/>
      <c r="U2262" s="19">
        <f>IF($V2262&lt;&gt;'設定'!$C$4,N(U2261),IF(OR(NOT(COUNTIF('商品マスタ'!$B$6:$B$1005,$W2262)=0),COUNTIFS('①在庫を貼る'!$V$6:$V$10005,$V2262,'①在庫を貼る'!$W$6:$W$10005,$W2262)&gt;0),N(U2261),N(U2261)+1))</f>
        <v/>
      </c>
      <c r="V2262" s="19">
        <f>IF($B2262="","",TEXT($B2262,"0000"))</f>
        <v/>
      </c>
      <c r="W2262" s="19">
        <f>IF($I2262="","",IF(ISNUMBER($I2262),TEXT($I2262,"0"),$I2262))</f>
        <v/>
      </c>
    </row>
    <row r="2263">
      <c r="B2263" s="25" t="n"/>
      <c r="I2263" s="25" t="n"/>
      <c r="U2263" s="19">
        <f>IF($V2263&lt;&gt;'設定'!$C$4,N(U2262),IF(OR(NOT(COUNTIF('商品マスタ'!$B$6:$B$1005,$W2263)=0),COUNTIFS('①在庫を貼る'!$V$6:$V$10005,$V2263,'①在庫を貼る'!$W$6:$W$10005,$W2263)&gt;0),N(U2262),N(U2262)+1))</f>
        <v/>
      </c>
      <c r="V2263" s="19">
        <f>IF($B2263="","",TEXT($B2263,"0000"))</f>
        <v/>
      </c>
      <c r="W2263" s="19">
        <f>IF($I2263="","",IF(ISNUMBER($I2263),TEXT($I2263,"0"),$I2263))</f>
        <v/>
      </c>
    </row>
    <row r="2264">
      <c r="B2264" s="25" t="n"/>
      <c r="I2264" s="25" t="n"/>
      <c r="U2264" s="19">
        <f>IF($V2264&lt;&gt;'設定'!$C$4,N(U2263),IF(OR(NOT(COUNTIF('商品マスタ'!$B$6:$B$1005,$W2264)=0),COUNTIFS('①在庫を貼る'!$V$6:$V$10005,$V2264,'①在庫を貼る'!$W$6:$W$10005,$W2264)&gt;0),N(U2263),N(U2263)+1))</f>
        <v/>
      </c>
      <c r="V2264" s="19">
        <f>IF($B2264="","",TEXT($B2264,"0000"))</f>
        <v/>
      </c>
      <c r="W2264" s="19">
        <f>IF($I2264="","",IF(ISNUMBER($I2264),TEXT($I2264,"0"),$I2264))</f>
        <v/>
      </c>
    </row>
    <row r="2265">
      <c r="B2265" s="25" t="n"/>
      <c r="I2265" s="25" t="n"/>
      <c r="U2265" s="19">
        <f>IF($V2265&lt;&gt;'設定'!$C$4,N(U2264),IF(OR(NOT(COUNTIF('商品マスタ'!$B$6:$B$1005,$W2265)=0),COUNTIFS('①在庫を貼る'!$V$6:$V$10005,$V2265,'①在庫を貼る'!$W$6:$W$10005,$W2265)&gt;0),N(U2264),N(U2264)+1))</f>
        <v/>
      </c>
      <c r="V2265" s="19">
        <f>IF($B2265="","",TEXT($B2265,"0000"))</f>
        <v/>
      </c>
      <c r="W2265" s="19">
        <f>IF($I2265="","",IF(ISNUMBER($I2265),TEXT($I2265,"0"),$I2265))</f>
        <v/>
      </c>
    </row>
    <row r="2266">
      <c r="B2266" s="25" t="n"/>
      <c r="I2266" s="25" t="n"/>
      <c r="U2266" s="19">
        <f>IF($V2266&lt;&gt;'設定'!$C$4,N(U2265),IF(OR(NOT(COUNTIF('商品マスタ'!$B$6:$B$1005,$W2266)=0),COUNTIFS('①在庫を貼る'!$V$6:$V$10005,$V2266,'①在庫を貼る'!$W$6:$W$10005,$W2266)&gt;0),N(U2265),N(U2265)+1))</f>
        <v/>
      </c>
      <c r="V2266" s="19">
        <f>IF($B2266="","",TEXT($B2266,"0000"))</f>
        <v/>
      </c>
      <c r="W2266" s="19">
        <f>IF($I2266="","",IF(ISNUMBER($I2266),TEXT($I2266,"0"),$I2266))</f>
        <v/>
      </c>
    </row>
    <row r="2267">
      <c r="B2267" s="25" t="n"/>
      <c r="I2267" s="25" t="n"/>
      <c r="U2267" s="19">
        <f>IF($V2267&lt;&gt;'設定'!$C$4,N(U2266),IF(OR(NOT(COUNTIF('商品マスタ'!$B$6:$B$1005,$W2267)=0),COUNTIFS('①在庫を貼る'!$V$6:$V$10005,$V2267,'①在庫を貼る'!$W$6:$W$10005,$W2267)&gt;0),N(U2266),N(U2266)+1))</f>
        <v/>
      </c>
      <c r="V2267" s="19">
        <f>IF($B2267="","",TEXT($B2267,"0000"))</f>
        <v/>
      </c>
      <c r="W2267" s="19">
        <f>IF($I2267="","",IF(ISNUMBER($I2267),TEXT($I2267,"0"),$I2267))</f>
        <v/>
      </c>
    </row>
    <row r="2268">
      <c r="B2268" s="25" t="n"/>
      <c r="I2268" s="25" t="n"/>
      <c r="U2268" s="19">
        <f>IF($V2268&lt;&gt;'設定'!$C$4,N(U2267),IF(OR(NOT(COUNTIF('商品マスタ'!$B$6:$B$1005,$W2268)=0),COUNTIFS('①在庫を貼る'!$V$6:$V$10005,$V2268,'①在庫を貼る'!$W$6:$W$10005,$W2268)&gt;0),N(U2267),N(U2267)+1))</f>
        <v/>
      </c>
      <c r="V2268" s="19">
        <f>IF($B2268="","",TEXT($B2268,"0000"))</f>
        <v/>
      </c>
      <c r="W2268" s="19">
        <f>IF($I2268="","",IF(ISNUMBER($I2268),TEXT($I2268,"0"),$I2268))</f>
        <v/>
      </c>
    </row>
    <row r="2269">
      <c r="B2269" s="25" t="n"/>
      <c r="I2269" s="25" t="n"/>
      <c r="U2269" s="19">
        <f>IF($V2269&lt;&gt;'設定'!$C$4,N(U2268),IF(OR(NOT(COUNTIF('商品マスタ'!$B$6:$B$1005,$W2269)=0),COUNTIFS('①在庫を貼る'!$V$6:$V$10005,$V2269,'①在庫を貼る'!$W$6:$W$10005,$W2269)&gt;0),N(U2268),N(U2268)+1))</f>
        <v/>
      </c>
      <c r="V2269" s="19">
        <f>IF($B2269="","",TEXT($B2269,"0000"))</f>
        <v/>
      </c>
      <c r="W2269" s="19">
        <f>IF($I2269="","",IF(ISNUMBER($I2269),TEXT($I2269,"0"),$I2269))</f>
        <v/>
      </c>
    </row>
    <row r="2270">
      <c r="B2270" s="25" t="n"/>
      <c r="I2270" s="25" t="n"/>
      <c r="U2270" s="19">
        <f>IF($V2270&lt;&gt;'設定'!$C$4,N(U2269),IF(OR(NOT(COUNTIF('商品マスタ'!$B$6:$B$1005,$W2270)=0),COUNTIFS('①在庫を貼る'!$V$6:$V$10005,$V2270,'①在庫を貼る'!$W$6:$W$10005,$W2270)&gt;0),N(U2269),N(U2269)+1))</f>
        <v/>
      </c>
      <c r="V2270" s="19">
        <f>IF($B2270="","",TEXT($B2270,"0000"))</f>
        <v/>
      </c>
      <c r="W2270" s="19">
        <f>IF($I2270="","",IF(ISNUMBER($I2270),TEXT($I2270,"0"),$I2270))</f>
        <v/>
      </c>
    </row>
    <row r="2271">
      <c r="B2271" s="25" t="n"/>
      <c r="I2271" s="25" t="n"/>
      <c r="U2271" s="19">
        <f>IF($V2271&lt;&gt;'設定'!$C$4,N(U2270),IF(OR(NOT(COUNTIF('商品マスタ'!$B$6:$B$1005,$W2271)=0),COUNTIFS('①在庫を貼る'!$V$6:$V$10005,$V2271,'①在庫を貼る'!$W$6:$W$10005,$W2271)&gt;0),N(U2270),N(U2270)+1))</f>
        <v/>
      </c>
      <c r="V2271" s="19">
        <f>IF($B2271="","",TEXT($B2271,"0000"))</f>
        <v/>
      </c>
      <c r="W2271" s="19">
        <f>IF($I2271="","",IF(ISNUMBER($I2271),TEXT($I2271,"0"),$I2271))</f>
        <v/>
      </c>
    </row>
    <row r="2272">
      <c r="B2272" s="25" t="n"/>
      <c r="I2272" s="25" t="n"/>
      <c r="U2272" s="19">
        <f>IF($V2272&lt;&gt;'設定'!$C$4,N(U2271),IF(OR(NOT(COUNTIF('商品マスタ'!$B$6:$B$1005,$W2272)=0),COUNTIFS('①在庫を貼る'!$V$6:$V$10005,$V2272,'①在庫を貼る'!$W$6:$W$10005,$W2272)&gt;0),N(U2271),N(U2271)+1))</f>
        <v/>
      </c>
      <c r="V2272" s="19">
        <f>IF($B2272="","",TEXT($B2272,"0000"))</f>
        <v/>
      </c>
      <c r="W2272" s="19">
        <f>IF($I2272="","",IF(ISNUMBER($I2272),TEXT($I2272,"0"),$I2272))</f>
        <v/>
      </c>
    </row>
    <row r="2273">
      <c r="B2273" s="25" t="n"/>
      <c r="I2273" s="25" t="n"/>
      <c r="U2273" s="19">
        <f>IF($V2273&lt;&gt;'設定'!$C$4,N(U2272),IF(OR(NOT(COUNTIF('商品マスタ'!$B$6:$B$1005,$W2273)=0),COUNTIFS('①在庫を貼る'!$V$6:$V$10005,$V2273,'①在庫を貼る'!$W$6:$W$10005,$W2273)&gt;0),N(U2272),N(U2272)+1))</f>
        <v/>
      </c>
      <c r="V2273" s="19">
        <f>IF($B2273="","",TEXT($B2273,"0000"))</f>
        <v/>
      </c>
      <c r="W2273" s="19">
        <f>IF($I2273="","",IF(ISNUMBER($I2273),TEXT($I2273,"0"),$I2273))</f>
        <v/>
      </c>
    </row>
    <row r="2274">
      <c r="B2274" s="25" t="n"/>
      <c r="I2274" s="25" t="n"/>
      <c r="U2274" s="19">
        <f>IF($V2274&lt;&gt;'設定'!$C$4,N(U2273),IF(OR(NOT(COUNTIF('商品マスタ'!$B$6:$B$1005,$W2274)=0),COUNTIFS('①在庫を貼る'!$V$6:$V$10005,$V2274,'①在庫を貼る'!$W$6:$W$10005,$W2274)&gt;0),N(U2273),N(U2273)+1))</f>
        <v/>
      </c>
      <c r="V2274" s="19">
        <f>IF($B2274="","",TEXT($B2274,"0000"))</f>
        <v/>
      </c>
      <c r="W2274" s="19">
        <f>IF($I2274="","",IF(ISNUMBER($I2274),TEXT($I2274,"0"),$I2274))</f>
        <v/>
      </c>
    </row>
    <row r="2275">
      <c r="B2275" s="25" t="n"/>
      <c r="I2275" s="25" t="n"/>
      <c r="U2275" s="19">
        <f>IF($V2275&lt;&gt;'設定'!$C$4,N(U2274),IF(OR(NOT(COUNTIF('商品マスタ'!$B$6:$B$1005,$W2275)=0),COUNTIFS('①在庫を貼る'!$V$6:$V$10005,$V2275,'①在庫を貼る'!$W$6:$W$10005,$W2275)&gt;0),N(U2274),N(U2274)+1))</f>
        <v/>
      </c>
      <c r="V2275" s="19">
        <f>IF($B2275="","",TEXT($B2275,"0000"))</f>
        <v/>
      </c>
      <c r="W2275" s="19">
        <f>IF($I2275="","",IF(ISNUMBER($I2275),TEXT($I2275,"0"),$I2275))</f>
        <v/>
      </c>
    </row>
    <row r="2276">
      <c r="B2276" s="25" t="n"/>
      <c r="I2276" s="25" t="n"/>
      <c r="U2276" s="19">
        <f>IF($V2276&lt;&gt;'設定'!$C$4,N(U2275),IF(OR(NOT(COUNTIF('商品マスタ'!$B$6:$B$1005,$W2276)=0),COUNTIFS('①在庫を貼る'!$V$6:$V$10005,$V2276,'①在庫を貼る'!$W$6:$W$10005,$W2276)&gt;0),N(U2275),N(U2275)+1))</f>
        <v/>
      </c>
      <c r="V2276" s="19">
        <f>IF($B2276="","",TEXT($B2276,"0000"))</f>
        <v/>
      </c>
      <c r="W2276" s="19">
        <f>IF($I2276="","",IF(ISNUMBER($I2276),TEXT($I2276,"0"),$I2276))</f>
        <v/>
      </c>
    </row>
    <row r="2277">
      <c r="B2277" s="25" t="n"/>
      <c r="I2277" s="25" t="n"/>
      <c r="U2277" s="19">
        <f>IF($V2277&lt;&gt;'設定'!$C$4,N(U2276),IF(OR(NOT(COUNTIF('商品マスタ'!$B$6:$B$1005,$W2277)=0),COUNTIFS('①在庫を貼る'!$V$6:$V$10005,$V2277,'①在庫を貼る'!$W$6:$W$10005,$W2277)&gt;0),N(U2276),N(U2276)+1))</f>
        <v/>
      </c>
      <c r="V2277" s="19">
        <f>IF($B2277="","",TEXT($B2277,"0000"))</f>
        <v/>
      </c>
      <c r="W2277" s="19">
        <f>IF($I2277="","",IF(ISNUMBER($I2277),TEXT($I2277,"0"),$I2277))</f>
        <v/>
      </c>
    </row>
    <row r="2278">
      <c r="B2278" s="25" t="n"/>
      <c r="I2278" s="25" t="n"/>
      <c r="U2278" s="19">
        <f>IF($V2278&lt;&gt;'設定'!$C$4,N(U2277),IF(OR(NOT(COUNTIF('商品マスタ'!$B$6:$B$1005,$W2278)=0),COUNTIFS('①在庫を貼る'!$V$6:$V$10005,$V2278,'①在庫を貼る'!$W$6:$W$10005,$W2278)&gt;0),N(U2277),N(U2277)+1))</f>
        <v/>
      </c>
      <c r="V2278" s="19">
        <f>IF($B2278="","",TEXT($B2278,"0000"))</f>
        <v/>
      </c>
      <c r="W2278" s="19">
        <f>IF($I2278="","",IF(ISNUMBER($I2278),TEXT($I2278,"0"),$I2278))</f>
        <v/>
      </c>
    </row>
    <row r="2279">
      <c r="B2279" s="25" t="n"/>
      <c r="I2279" s="25" t="n"/>
      <c r="U2279" s="19">
        <f>IF($V2279&lt;&gt;'設定'!$C$4,N(U2278),IF(OR(NOT(COUNTIF('商品マスタ'!$B$6:$B$1005,$W2279)=0),COUNTIFS('①在庫を貼る'!$V$6:$V$10005,$V2279,'①在庫を貼る'!$W$6:$W$10005,$W2279)&gt;0),N(U2278),N(U2278)+1))</f>
        <v/>
      </c>
      <c r="V2279" s="19">
        <f>IF($B2279="","",TEXT($B2279,"0000"))</f>
        <v/>
      </c>
      <c r="W2279" s="19">
        <f>IF($I2279="","",IF(ISNUMBER($I2279),TEXT($I2279,"0"),$I2279))</f>
        <v/>
      </c>
    </row>
    <row r="2280">
      <c r="B2280" s="25" t="n"/>
      <c r="I2280" s="25" t="n"/>
      <c r="U2280" s="19">
        <f>IF($V2280&lt;&gt;'設定'!$C$4,N(U2279),IF(OR(NOT(COUNTIF('商品マスタ'!$B$6:$B$1005,$W2280)=0),COUNTIFS('①在庫を貼る'!$V$6:$V$10005,$V2280,'①在庫を貼る'!$W$6:$W$10005,$W2280)&gt;0),N(U2279),N(U2279)+1))</f>
        <v/>
      </c>
      <c r="V2280" s="19">
        <f>IF($B2280="","",TEXT($B2280,"0000"))</f>
        <v/>
      </c>
      <c r="W2280" s="19">
        <f>IF($I2280="","",IF(ISNUMBER($I2280),TEXT($I2280,"0"),$I2280))</f>
        <v/>
      </c>
    </row>
    <row r="2281">
      <c r="B2281" s="25" t="n"/>
      <c r="I2281" s="25" t="n"/>
      <c r="U2281" s="19">
        <f>IF($V2281&lt;&gt;'設定'!$C$4,N(U2280),IF(OR(NOT(COUNTIF('商品マスタ'!$B$6:$B$1005,$W2281)=0),COUNTIFS('①在庫を貼る'!$V$6:$V$10005,$V2281,'①在庫を貼る'!$W$6:$W$10005,$W2281)&gt;0),N(U2280),N(U2280)+1))</f>
        <v/>
      </c>
      <c r="V2281" s="19">
        <f>IF($B2281="","",TEXT($B2281,"0000"))</f>
        <v/>
      </c>
      <c r="W2281" s="19">
        <f>IF($I2281="","",IF(ISNUMBER($I2281),TEXT($I2281,"0"),$I2281))</f>
        <v/>
      </c>
    </row>
    <row r="2282">
      <c r="B2282" s="25" t="n"/>
      <c r="I2282" s="25" t="n"/>
      <c r="U2282" s="19">
        <f>IF($V2282&lt;&gt;'設定'!$C$4,N(U2281),IF(OR(NOT(COUNTIF('商品マスタ'!$B$6:$B$1005,$W2282)=0),COUNTIFS('①在庫を貼る'!$V$6:$V$10005,$V2282,'①在庫を貼る'!$W$6:$W$10005,$W2282)&gt;0),N(U2281),N(U2281)+1))</f>
        <v/>
      </c>
      <c r="V2282" s="19">
        <f>IF($B2282="","",TEXT($B2282,"0000"))</f>
        <v/>
      </c>
      <c r="W2282" s="19">
        <f>IF($I2282="","",IF(ISNUMBER($I2282),TEXT($I2282,"0"),$I2282))</f>
        <v/>
      </c>
    </row>
    <row r="2283">
      <c r="B2283" s="25" t="n"/>
      <c r="I2283" s="25" t="n"/>
      <c r="U2283" s="19">
        <f>IF($V2283&lt;&gt;'設定'!$C$4,N(U2282),IF(OR(NOT(COUNTIF('商品マスタ'!$B$6:$B$1005,$W2283)=0),COUNTIFS('①在庫を貼る'!$V$6:$V$10005,$V2283,'①在庫を貼る'!$W$6:$W$10005,$W2283)&gt;0),N(U2282),N(U2282)+1))</f>
        <v/>
      </c>
      <c r="V2283" s="19">
        <f>IF($B2283="","",TEXT($B2283,"0000"))</f>
        <v/>
      </c>
      <c r="W2283" s="19">
        <f>IF($I2283="","",IF(ISNUMBER($I2283),TEXT($I2283,"0"),$I2283))</f>
        <v/>
      </c>
    </row>
    <row r="2284">
      <c r="B2284" s="25" t="n"/>
      <c r="I2284" s="25" t="n"/>
      <c r="U2284" s="19">
        <f>IF($V2284&lt;&gt;'設定'!$C$4,N(U2283),IF(OR(NOT(COUNTIF('商品マスタ'!$B$6:$B$1005,$W2284)=0),COUNTIFS('①在庫を貼る'!$V$6:$V$10005,$V2284,'①在庫を貼る'!$W$6:$W$10005,$W2284)&gt;0),N(U2283),N(U2283)+1))</f>
        <v/>
      </c>
      <c r="V2284" s="19">
        <f>IF($B2284="","",TEXT($B2284,"0000"))</f>
        <v/>
      </c>
      <c r="W2284" s="19">
        <f>IF($I2284="","",IF(ISNUMBER($I2284),TEXT($I2284,"0"),$I2284))</f>
        <v/>
      </c>
    </row>
    <row r="2285">
      <c r="B2285" s="25" t="n"/>
      <c r="I2285" s="25" t="n"/>
      <c r="U2285" s="19">
        <f>IF($V2285&lt;&gt;'設定'!$C$4,N(U2284),IF(OR(NOT(COUNTIF('商品マスタ'!$B$6:$B$1005,$W2285)=0),COUNTIFS('①在庫を貼る'!$V$6:$V$10005,$V2285,'①在庫を貼る'!$W$6:$W$10005,$W2285)&gt;0),N(U2284),N(U2284)+1))</f>
        <v/>
      </c>
      <c r="V2285" s="19">
        <f>IF($B2285="","",TEXT($B2285,"0000"))</f>
        <v/>
      </c>
      <c r="W2285" s="19">
        <f>IF($I2285="","",IF(ISNUMBER($I2285),TEXT($I2285,"0"),$I2285))</f>
        <v/>
      </c>
    </row>
    <row r="2286">
      <c r="B2286" s="25" t="n"/>
      <c r="I2286" s="25" t="n"/>
      <c r="U2286" s="19">
        <f>IF($V2286&lt;&gt;'設定'!$C$4,N(U2285),IF(OR(NOT(COUNTIF('商品マスタ'!$B$6:$B$1005,$W2286)=0),COUNTIFS('①在庫を貼る'!$V$6:$V$10005,$V2286,'①在庫を貼る'!$W$6:$W$10005,$W2286)&gt;0),N(U2285),N(U2285)+1))</f>
        <v/>
      </c>
      <c r="V2286" s="19">
        <f>IF($B2286="","",TEXT($B2286,"0000"))</f>
        <v/>
      </c>
      <c r="W2286" s="19">
        <f>IF($I2286="","",IF(ISNUMBER($I2286),TEXT($I2286,"0"),$I2286))</f>
        <v/>
      </c>
    </row>
    <row r="2287">
      <c r="B2287" s="25" t="n"/>
      <c r="I2287" s="25" t="n"/>
      <c r="U2287" s="19">
        <f>IF($V2287&lt;&gt;'設定'!$C$4,N(U2286),IF(OR(NOT(COUNTIF('商品マスタ'!$B$6:$B$1005,$W2287)=0),COUNTIFS('①在庫を貼る'!$V$6:$V$10005,$V2287,'①在庫を貼る'!$W$6:$W$10005,$W2287)&gt;0),N(U2286),N(U2286)+1))</f>
        <v/>
      </c>
      <c r="V2287" s="19">
        <f>IF($B2287="","",TEXT($B2287,"0000"))</f>
        <v/>
      </c>
      <c r="W2287" s="19">
        <f>IF($I2287="","",IF(ISNUMBER($I2287),TEXT($I2287,"0"),$I2287))</f>
        <v/>
      </c>
    </row>
    <row r="2288">
      <c r="B2288" s="25" t="n"/>
      <c r="I2288" s="25" t="n"/>
      <c r="U2288" s="19">
        <f>IF($V2288&lt;&gt;'設定'!$C$4,N(U2287),IF(OR(NOT(COUNTIF('商品マスタ'!$B$6:$B$1005,$W2288)=0),COUNTIFS('①在庫を貼る'!$V$6:$V$10005,$V2288,'①在庫を貼る'!$W$6:$W$10005,$W2288)&gt;0),N(U2287),N(U2287)+1))</f>
        <v/>
      </c>
      <c r="V2288" s="19">
        <f>IF($B2288="","",TEXT($B2288,"0000"))</f>
        <v/>
      </c>
      <c r="W2288" s="19">
        <f>IF($I2288="","",IF(ISNUMBER($I2288),TEXT($I2288,"0"),$I2288))</f>
        <v/>
      </c>
    </row>
    <row r="2289">
      <c r="B2289" s="25" t="n"/>
      <c r="I2289" s="25" t="n"/>
      <c r="U2289" s="19">
        <f>IF($V2289&lt;&gt;'設定'!$C$4,N(U2288),IF(OR(NOT(COUNTIF('商品マスタ'!$B$6:$B$1005,$W2289)=0),COUNTIFS('①在庫を貼る'!$V$6:$V$10005,$V2289,'①在庫を貼る'!$W$6:$W$10005,$W2289)&gt;0),N(U2288),N(U2288)+1))</f>
        <v/>
      </c>
      <c r="V2289" s="19">
        <f>IF($B2289="","",TEXT($B2289,"0000"))</f>
        <v/>
      </c>
      <c r="W2289" s="19">
        <f>IF($I2289="","",IF(ISNUMBER($I2289),TEXT($I2289,"0"),$I2289))</f>
        <v/>
      </c>
    </row>
    <row r="2290">
      <c r="B2290" s="25" t="n"/>
      <c r="I2290" s="25" t="n"/>
      <c r="U2290" s="19">
        <f>IF($V2290&lt;&gt;'設定'!$C$4,N(U2289),IF(OR(NOT(COUNTIF('商品マスタ'!$B$6:$B$1005,$W2290)=0),COUNTIFS('①在庫を貼る'!$V$6:$V$10005,$V2290,'①在庫を貼る'!$W$6:$W$10005,$W2290)&gt;0),N(U2289),N(U2289)+1))</f>
        <v/>
      </c>
      <c r="V2290" s="19">
        <f>IF($B2290="","",TEXT($B2290,"0000"))</f>
        <v/>
      </c>
      <c r="W2290" s="19">
        <f>IF($I2290="","",IF(ISNUMBER($I2290),TEXT($I2290,"0"),$I2290))</f>
        <v/>
      </c>
    </row>
    <row r="2291">
      <c r="B2291" s="25" t="n"/>
      <c r="I2291" s="25" t="n"/>
      <c r="U2291" s="19">
        <f>IF($V2291&lt;&gt;'設定'!$C$4,N(U2290),IF(OR(NOT(COUNTIF('商品マスタ'!$B$6:$B$1005,$W2291)=0),COUNTIFS('①在庫を貼る'!$V$6:$V$10005,$V2291,'①在庫を貼る'!$W$6:$W$10005,$W2291)&gt;0),N(U2290),N(U2290)+1))</f>
        <v/>
      </c>
      <c r="V2291" s="19">
        <f>IF($B2291="","",TEXT($B2291,"0000"))</f>
        <v/>
      </c>
      <c r="W2291" s="19">
        <f>IF($I2291="","",IF(ISNUMBER($I2291),TEXT($I2291,"0"),$I2291))</f>
        <v/>
      </c>
    </row>
    <row r="2292">
      <c r="B2292" s="25" t="n"/>
      <c r="I2292" s="25" t="n"/>
      <c r="U2292" s="19">
        <f>IF($V2292&lt;&gt;'設定'!$C$4,N(U2291),IF(OR(NOT(COUNTIF('商品マスタ'!$B$6:$B$1005,$W2292)=0),COUNTIFS('①在庫を貼る'!$V$6:$V$10005,$V2292,'①在庫を貼る'!$W$6:$W$10005,$W2292)&gt;0),N(U2291),N(U2291)+1))</f>
        <v/>
      </c>
      <c r="V2292" s="19">
        <f>IF($B2292="","",TEXT($B2292,"0000"))</f>
        <v/>
      </c>
      <c r="W2292" s="19">
        <f>IF($I2292="","",IF(ISNUMBER($I2292),TEXT($I2292,"0"),$I2292))</f>
        <v/>
      </c>
    </row>
    <row r="2293">
      <c r="B2293" s="25" t="n"/>
      <c r="I2293" s="25" t="n"/>
      <c r="U2293" s="19">
        <f>IF($V2293&lt;&gt;'設定'!$C$4,N(U2292),IF(OR(NOT(COUNTIF('商品マスタ'!$B$6:$B$1005,$W2293)=0),COUNTIFS('①在庫を貼る'!$V$6:$V$10005,$V2293,'①在庫を貼る'!$W$6:$W$10005,$W2293)&gt;0),N(U2292),N(U2292)+1))</f>
        <v/>
      </c>
      <c r="V2293" s="19">
        <f>IF($B2293="","",TEXT($B2293,"0000"))</f>
        <v/>
      </c>
      <c r="W2293" s="19">
        <f>IF($I2293="","",IF(ISNUMBER($I2293),TEXT($I2293,"0"),$I2293))</f>
        <v/>
      </c>
    </row>
    <row r="2294">
      <c r="B2294" s="25" t="n"/>
      <c r="I2294" s="25" t="n"/>
      <c r="U2294" s="19">
        <f>IF($V2294&lt;&gt;'設定'!$C$4,N(U2293),IF(OR(NOT(COUNTIF('商品マスタ'!$B$6:$B$1005,$W2294)=0),COUNTIFS('①在庫を貼る'!$V$6:$V$10005,$V2294,'①在庫を貼る'!$W$6:$W$10005,$W2294)&gt;0),N(U2293),N(U2293)+1))</f>
        <v/>
      </c>
      <c r="V2294" s="19">
        <f>IF($B2294="","",TEXT($B2294,"0000"))</f>
        <v/>
      </c>
      <c r="W2294" s="19">
        <f>IF($I2294="","",IF(ISNUMBER($I2294),TEXT($I2294,"0"),$I2294))</f>
        <v/>
      </c>
    </row>
    <row r="2295">
      <c r="B2295" s="25" t="n"/>
      <c r="I2295" s="25" t="n"/>
      <c r="U2295" s="19">
        <f>IF($V2295&lt;&gt;'設定'!$C$4,N(U2294),IF(OR(NOT(COUNTIF('商品マスタ'!$B$6:$B$1005,$W2295)=0),COUNTIFS('①在庫を貼る'!$V$6:$V$10005,$V2295,'①在庫を貼る'!$W$6:$W$10005,$W2295)&gt;0),N(U2294),N(U2294)+1))</f>
        <v/>
      </c>
      <c r="V2295" s="19">
        <f>IF($B2295="","",TEXT($B2295,"0000"))</f>
        <v/>
      </c>
      <c r="W2295" s="19">
        <f>IF($I2295="","",IF(ISNUMBER($I2295),TEXT($I2295,"0"),$I2295))</f>
        <v/>
      </c>
    </row>
    <row r="2296">
      <c r="B2296" s="25" t="n"/>
      <c r="I2296" s="25" t="n"/>
      <c r="U2296" s="19">
        <f>IF($V2296&lt;&gt;'設定'!$C$4,N(U2295),IF(OR(NOT(COUNTIF('商品マスタ'!$B$6:$B$1005,$W2296)=0),COUNTIFS('①在庫を貼る'!$V$6:$V$10005,$V2296,'①在庫を貼る'!$W$6:$W$10005,$W2296)&gt;0),N(U2295),N(U2295)+1))</f>
        <v/>
      </c>
      <c r="V2296" s="19">
        <f>IF($B2296="","",TEXT($B2296,"0000"))</f>
        <v/>
      </c>
      <c r="W2296" s="19">
        <f>IF($I2296="","",IF(ISNUMBER($I2296),TEXT($I2296,"0"),$I2296))</f>
        <v/>
      </c>
    </row>
    <row r="2297">
      <c r="B2297" s="25" t="n"/>
      <c r="I2297" s="25" t="n"/>
      <c r="U2297" s="19">
        <f>IF($V2297&lt;&gt;'設定'!$C$4,N(U2296),IF(OR(NOT(COUNTIF('商品マスタ'!$B$6:$B$1005,$W2297)=0),COUNTIFS('①在庫を貼る'!$V$6:$V$10005,$V2297,'①在庫を貼る'!$W$6:$W$10005,$W2297)&gt;0),N(U2296),N(U2296)+1))</f>
        <v/>
      </c>
      <c r="V2297" s="19">
        <f>IF($B2297="","",TEXT($B2297,"0000"))</f>
        <v/>
      </c>
      <c r="W2297" s="19">
        <f>IF($I2297="","",IF(ISNUMBER($I2297),TEXT($I2297,"0"),$I2297))</f>
        <v/>
      </c>
    </row>
    <row r="2298">
      <c r="B2298" s="25" t="n"/>
      <c r="I2298" s="25" t="n"/>
      <c r="U2298" s="19">
        <f>IF($V2298&lt;&gt;'設定'!$C$4,N(U2297),IF(OR(NOT(COUNTIF('商品マスタ'!$B$6:$B$1005,$W2298)=0),COUNTIFS('①在庫を貼る'!$V$6:$V$10005,$V2298,'①在庫を貼る'!$W$6:$W$10005,$W2298)&gt;0),N(U2297),N(U2297)+1))</f>
        <v/>
      </c>
      <c r="V2298" s="19">
        <f>IF($B2298="","",TEXT($B2298,"0000"))</f>
        <v/>
      </c>
      <c r="W2298" s="19">
        <f>IF($I2298="","",IF(ISNUMBER($I2298),TEXT($I2298,"0"),$I2298))</f>
        <v/>
      </c>
    </row>
    <row r="2299">
      <c r="B2299" s="25" t="n"/>
      <c r="I2299" s="25" t="n"/>
      <c r="U2299" s="19">
        <f>IF($V2299&lt;&gt;'設定'!$C$4,N(U2298),IF(OR(NOT(COUNTIF('商品マスタ'!$B$6:$B$1005,$W2299)=0),COUNTIFS('①在庫を貼る'!$V$6:$V$10005,$V2299,'①在庫を貼る'!$W$6:$W$10005,$W2299)&gt;0),N(U2298),N(U2298)+1))</f>
        <v/>
      </c>
      <c r="V2299" s="19">
        <f>IF($B2299="","",TEXT($B2299,"0000"))</f>
        <v/>
      </c>
      <c r="W2299" s="19">
        <f>IF($I2299="","",IF(ISNUMBER($I2299),TEXT($I2299,"0"),$I2299))</f>
        <v/>
      </c>
    </row>
    <row r="2300">
      <c r="B2300" s="25" t="n"/>
      <c r="I2300" s="25" t="n"/>
      <c r="U2300" s="19">
        <f>IF($V2300&lt;&gt;'設定'!$C$4,N(U2299),IF(OR(NOT(COUNTIF('商品マスタ'!$B$6:$B$1005,$W2300)=0),COUNTIFS('①在庫を貼る'!$V$6:$V$10005,$V2300,'①在庫を貼る'!$W$6:$W$10005,$W2300)&gt;0),N(U2299),N(U2299)+1))</f>
        <v/>
      </c>
      <c r="V2300" s="19">
        <f>IF($B2300="","",TEXT($B2300,"0000"))</f>
        <v/>
      </c>
      <c r="W2300" s="19">
        <f>IF($I2300="","",IF(ISNUMBER($I2300),TEXT($I2300,"0"),$I2300))</f>
        <v/>
      </c>
    </row>
    <row r="2301">
      <c r="B2301" s="25" t="n"/>
      <c r="I2301" s="25" t="n"/>
      <c r="U2301" s="19">
        <f>IF($V2301&lt;&gt;'設定'!$C$4,N(U2300),IF(OR(NOT(COUNTIF('商品マスタ'!$B$6:$B$1005,$W2301)=0),COUNTIFS('①在庫を貼る'!$V$6:$V$10005,$V2301,'①在庫を貼る'!$W$6:$W$10005,$W2301)&gt;0),N(U2300),N(U2300)+1))</f>
        <v/>
      </c>
      <c r="V2301" s="19">
        <f>IF($B2301="","",TEXT($B2301,"0000"))</f>
        <v/>
      </c>
      <c r="W2301" s="19">
        <f>IF($I2301="","",IF(ISNUMBER($I2301),TEXT($I2301,"0"),$I2301))</f>
        <v/>
      </c>
    </row>
    <row r="2302">
      <c r="B2302" s="25" t="n"/>
      <c r="I2302" s="25" t="n"/>
      <c r="U2302" s="19">
        <f>IF($V2302&lt;&gt;'設定'!$C$4,N(U2301),IF(OR(NOT(COUNTIF('商品マスタ'!$B$6:$B$1005,$W2302)=0),COUNTIFS('①在庫を貼る'!$V$6:$V$10005,$V2302,'①在庫を貼る'!$W$6:$W$10005,$W2302)&gt;0),N(U2301),N(U2301)+1))</f>
        <v/>
      </c>
      <c r="V2302" s="19">
        <f>IF($B2302="","",TEXT($B2302,"0000"))</f>
        <v/>
      </c>
      <c r="W2302" s="19">
        <f>IF($I2302="","",IF(ISNUMBER($I2302),TEXT($I2302,"0"),$I2302))</f>
        <v/>
      </c>
    </row>
    <row r="2303">
      <c r="B2303" s="25" t="n"/>
      <c r="I2303" s="25" t="n"/>
      <c r="U2303" s="19">
        <f>IF($V2303&lt;&gt;'設定'!$C$4,N(U2302),IF(OR(NOT(COUNTIF('商品マスタ'!$B$6:$B$1005,$W2303)=0),COUNTIFS('①在庫を貼る'!$V$6:$V$10005,$V2303,'①在庫を貼る'!$W$6:$W$10005,$W2303)&gt;0),N(U2302),N(U2302)+1))</f>
        <v/>
      </c>
      <c r="V2303" s="19">
        <f>IF($B2303="","",TEXT($B2303,"0000"))</f>
        <v/>
      </c>
      <c r="W2303" s="19">
        <f>IF($I2303="","",IF(ISNUMBER($I2303),TEXT($I2303,"0"),$I2303))</f>
        <v/>
      </c>
    </row>
    <row r="2304">
      <c r="B2304" s="25" t="n"/>
      <c r="I2304" s="25" t="n"/>
      <c r="U2304" s="19">
        <f>IF($V2304&lt;&gt;'設定'!$C$4,N(U2303),IF(OR(NOT(COUNTIF('商品マスタ'!$B$6:$B$1005,$W2304)=0),COUNTIFS('①在庫を貼る'!$V$6:$V$10005,$V2304,'①在庫を貼る'!$W$6:$W$10005,$W2304)&gt;0),N(U2303),N(U2303)+1))</f>
        <v/>
      </c>
      <c r="V2304" s="19">
        <f>IF($B2304="","",TEXT($B2304,"0000"))</f>
        <v/>
      </c>
      <c r="W2304" s="19">
        <f>IF($I2304="","",IF(ISNUMBER($I2304),TEXT($I2304,"0"),$I2304))</f>
        <v/>
      </c>
    </row>
    <row r="2305">
      <c r="B2305" s="25" t="n"/>
      <c r="I2305" s="25" t="n"/>
      <c r="U2305" s="19">
        <f>IF($V2305&lt;&gt;'設定'!$C$4,N(U2304),IF(OR(NOT(COUNTIF('商品マスタ'!$B$6:$B$1005,$W2305)=0),COUNTIFS('①在庫を貼る'!$V$6:$V$10005,$V2305,'①在庫を貼る'!$W$6:$W$10005,$W2305)&gt;0),N(U2304),N(U2304)+1))</f>
        <v/>
      </c>
      <c r="V2305" s="19">
        <f>IF($B2305="","",TEXT($B2305,"0000"))</f>
        <v/>
      </c>
      <c r="W2305" s="19">
        <f>IF($I2305="","",IF(ISNUMBER($I2305),TEXT($I2305,"0"),$I2305))</f>
        <v/>
      </c>
    </row>
    <row r="2306">
      <c r="B2306" s="25" t="n"/>
      <c r="I2306" s="25" t="n"/>
      <c r="U2306" s="19">
        <f>IF($V2306&lt;&gt;'設定'!$C$4,N(U2305),IF(OR(NOT(COUNTIF('商品マスタ'!$B$6:$B$1005,$W2306)=0),COUNTIFS('①在庫を貼る'!$V$6:$V$10005,$V2306,'①在庫を貼る'!$W$6:$W$10005,$W2306)&gt;0),N(U2305),N(U2305)+1))</f>
        <v/>
      </c>
      <c r="V2306" s="19">
        <f>IF($B2306="","",TEXT($B2306,"0000"))</f>
        <v/>
      </c>
      <c r="W2306" s="19">
        <f>IF($I2306="","",IF(ISNUMBER($I2306),TEXT($I2306,"0"),$I2306))</f>
        <v/>
      </c>
    </row>
    <row r="2307">
      <c r="B2307" s="25" t="n"/>
      <c r="I2307" s="25" t="n"/>
      <c r="U2307" s="19">
        <f>IF($V2307&lt;&gt;'設定'!$C$4,N(U2306),IF(OR(NOT(COUNTIF('商品マスタ'!$B$6:$B$1005,$W2307)=0),COUNTIFS('①在庫を貼る'!$V$6:$V$10005,$V2307,'①在庫を貼る'!$W$6:$W$10005,$W2307)&gt;0),N(U2306),N(U2306)+1))</f>
        <v/>
      </c>
      <c r="V2307" s="19">
        <f>IF($B2307="","",TEXT($B2307,"0000"))</f>
        <v/>
      </c>
      <c r="W2307" s="19">
        <f>IF($I2307="","",IF(ISNUMBER($I2307),TEXT($I2307,"0"),$I2307))</f>
        <v/>
      </c>
    </row>
    <row r="2308">
      <c r="B2308" s="25" t="n"/>
      <c r="I2308" s="25" t="n"/>
      <c r="U2308" s="19">
        <f>IF($V2308&lt;&gt;'設定'!$C$4,N(U2307),IF(OR(NOT(COUNTIF('商品マスタ'!$B$6:$B$1005,$W2308)=0),COUNTIFS('①在庫を貼る'!$V$6:$V$10005,$V2308,'①在庫を貼る'!$W$6:$W$10005,$W2308)&gt;0),N(U2307),N(U2307)+1))</f>
        <v/>
      </c>
      <c r="V2308" s="19">
        <f>IF($B2308="","",TEXT($B2308,"0000"))</f>
        <v/>
      </c>
      <c r="W2308" s="19">
        <f>IF($I2308="","",IF(ISNUMBER($I2308),TEXT($I2308,"0"),$I2308))</f>
        <v/>
      </c>
    </row>
    <row r="2309">
      <c r="B2309" s="25" t="n"/>
      <c r="I2309" s="25" t="n"/>
      <c r="U2309" s="19">
        <f>IF($V2309&lt;&gt;'設定'!$C$4,N(U2308),IF(OR(NOT(COUNTIF('商品マスタ'!$B$6:$B$1005,$W2309)=0),COUNTIFS('①在庫を貼る'!$V$6:$V$10005,$V2309,'①在庫を貼る'!$W$6:$W$10005,$W2309)&gt;0),N(U2308),N(U2308)+1))</f>
        <v/>
      </c>
      <c r="V2309" s="19">
        <f>IF($B2309="","",TEXT($B2309,"0000"))</f>
        <v/>
      </c>
      <c r="W2309" s="19">
        <f>IF($I2309="","",IF(ISNUMBER($I2309),TEXT($I2309,"0"),$I2309))</f>
        <v/>
      </c>
    </row>
    <row r="2310">
      <c r="B2310" s="25" t="n"/>
      <c r="I2310" s="25" t="n"/>
      <c r="U2310" s="19">
        <f>IF($V2310&lt;&gt;'設定'!$C$4,N(U2309),IF(OR(NOT(COUNTIF('商品マスタ'!$B$6:$B$1005,$W2310)=0),COUNTIFS('①在庫を貼る'!$V$6:$V$10005,$V2310,'①在庫を貼る'!$W$6:$W$10005,$W2310)&gt;0),N(U2309),N(U2309)+1))</f>
        <v/>
      </c>
      <c r="V2310" s="19">
        <f>IF($B2310="","",TEXT($B2310,"0000"))</f>
        <v/>
      </c>
      <c r="W2310" s="19">
        <f>IF($I2310="","",IF(ISNUMBER($I2310),TEXT($I2310,"0"),$I2310))</f>
        <v/>
      </c>
    </row>
    <row r="2311">
      <c r="B2311" s="25" t="n"/>
      <c r="I2311" s="25" t="n"/>
      <c r="U2311" s="19">
        <f>IF($V2311&lt;&gt;'設定'!$C$4,N(U2310),IF(OR(NOT(COUNTIF('商品マスタ'!$B$6:$B$1005,$W2311)=0),COUNTIFS('①在庫を貼る'!$V$6:$V$10005,$V2311,'①在庫を貼る'!$W$6:$W$10005,$W2311)&gt;0),N(U2310),N(U2310)+1))</f>
        <v/>
      </c>
      <c r="V2311" s="19">
        <f>IF($B2311="","",TEXT($B2311,"0000"))</f>
        <v/>
      </c>
      <c r="W2311" s="19">
        <f>IF($I2311="","",IF(ISNUMBER($I2311),TEXT($I2311,"0"),$I2311))</f>
        <v/>
      </c>
    </row>
    <row r="2312">
      <c r="B2312" s="25" t="n"/>
      <c r="I2312" s="25" t="n"/>
      <c r="U2312" s="19">
        <f>IF($V2312&lt;&gt;'設定'!$C$4,N(U2311),IF(OR(NOT(COUNTIF('商品マスタ'!$B$6:$B$1005,$W2312)=0),COUNTIFS('①在庫を貼る'!$V$6:$V$10005,$V2312,'①在庫を貼る'!$W$6:$W$10005,$W2312)&gt;0),N(U2311),N(U2311)+1))</f>
        <v/>
      </c>
      <c r="V2312" s="19">
        <f>IF($B2312="","",TEXT($B2312,"0000"))</f>
        <v/>
      </c>
      <c r="W2312" s="19">
        <f>IF($I2312="","",IF(ISNUMBER($I2312),TEXT($I2312,"0"),$I2312))</f>
        <v/>
      </c>
    </row>
    <row r="2313">
      <c r="B2313" s="25" t="n"/>
      <c r="I2313" s="25" t="n"/>
      <c r="U2313" s="19">
        <f>IF($V2313&lt;&gt;'設定'!$C$4,N(U2312),IF(OR(NOT(COUNTIF('商品マスタ'!$B$6:$B$1005,$W2313)=0),COUNTIFS('①在庫を貼る'!$V$6:$V$10005,$V2313,'①在庫を貼る'!$W$6:$W$10005,$W2313)&gt;0),N(U2312),N(U2312)+1))</f>
        <v/>
      </c>
      <c r="V2313" s="19">
        <f>IF($B2313="","",TEXT($B2313,"0000"))</f>
        <v/>
      </c>
      <c r="W2313" s="19">
        <f>IF($I2313="","",IF(ISNUMBER($I2313),TEXT($I2313,"0"),$I2313))</f>
        <v/>
      </c>
    </row>
    <row r="2314">
      <c r="B2314" s="25" t="n"/>
      <c r="I2314" s="25" t="n"/>
      <c r="U2314" s="19">
        <f>IF($V2314&lt;&gt;'設定'!$C$4,N(U2313),IF(OR(NOT(COUNTIF('商品マスタ'!$B$6:$B$1005,$W2314)=0),COUNTIFS('①在庫を貼る'!$V$6:$V$10005,$V2314,'①在庫を貼る'!$W$6:$W$10005,$W2314)&gt;0),N(U2313),N(U2313)+1))</f>
        <v/>
      </c>
      <c r="V2314" s="19">
        <f>IF($B2314="","",TEXT($B2314,"0000"))</f>
        <v/>
      </c>
      <c r="W2314" s="19">
        <f>IF($I2314="","",IF(ISNUMBER($I2314),TEXT($I2314,"0"),$I2314))</f>
        <v/>
      </c>
    </row>
    <row r="2315">
      <c r="B2315" s="25" t="n"/>
      <c r="I2315" s="25" t="n"/>
      <c r="U2315" s="19">
        <f>IF($V2315&lt;&gt;'設定'!$C$4,N(U2314),IF(OR(NOT(COUNTIF('商品マスタ'!$B$6:$B$1005,$W2315)=0),COUNTIFS('①在庫を貼る'!$V$6:$V$10005,$V2315,'①在庫を貼る'!$W$6:$W$10005,$W2315)&gt;0),N(U2314),N(U2314)+1))</f>
        <v/>
      </c>
      <c r="V2315" s="19">
        <f>IF($B2315="","",TEXT($B2315,"0000"))</f>
        <v/>
      </c>
      <c r="W2315" s="19">
        <f>IF($I2315="","",IF(ISNUMBER($I2315),TEXT($I2315,"0"),$I2315))</f>
        <v/>
      </c>
    </row>
    <row r="2316">
      <c r="B2316" s="25" t="n"/>
      <c r="I2316" s="25" t="n"/>
      <c r="U2316" s="19">
        <f>IF($V2316&lt;&gt;'設定'!$C$4,N(U2315),IF(OR(NOT(COUNTIF('商品マスタ'!$B$6:$B$1005,$W2316)=0),COUNTIFS('①在庫を貼る'!$V$6:$V$10005,$V2316,'①在庫を貼る'!$W$6:$W$10005,$W2316)&gt;0),N(U2315),N(U2315)+1))</f>
        <v/>
      </c>
      <c r="V2316" s="19">
        <f>IF($B2316="","",TEXT($B2316,"0000"))</f>
        <v/>
      </c>
      <c r="W2316" s="19">
        <f>IF($I2316="","",IF(ISNUMBER($I2316),TEXT($I2316,"0"),$I2316))</f>
        <v/>
      </c>
    </row>
    <row r="2317">
      <c r="B2317" s="25" t="n"/>
      <c r="I2317" s="25" t="n"/>
      <c r="U2317" s="19">
        <f>IF($V2317&lt;&gt;'設定'!$C$4,N(U2316),IF(OR(NOT(COUNTIF('商品マスタ'!$B$6:$B$1005,$W2317)=0),COUNTIFS('①在庫を貼る'!$V$6:$V$10005,$V2317,'①在庫を貼る'!$W$6:$W$10005,$W2317)&gt;0),N(U2316),N(U2316)+1))</f>
        <v/>
      </c>
      <c r="V2317" s="19">
        <f>IF($B2317="","",TEXT($B2317,"0000"))</f>
        <v/>
      </c>
      <c r="W2317" s="19">
        <f>IF($I2317="","",IF(ISNUMBER($I2317),TEXT($I2317,"0"),$I2317))</f>
        <v/>
      </c>
    </row>
    <row r="2318">
      <c r="B2318" s="25" t="n"/>
      <c r="I2318" s="25" t="n"/>
      <c r="U2318" s="19">
        <f>IF($V2318&lt;&gt;'設定'!$C$4,N(U2317),IF(OR(NOT(COUNTIF('商品マスタ'!$B$6:$B$1005,$W2318)=0),COUNTIFS('①在庫を貼る'!$V$6:$V$10005,$V2318,'①在庫を貼る'!$W$6:$W$10005,$W2318)&gt;0),N(U2317),N(U2317)+1))</f>
        <v/>
      </c>
      <c r="V2318" s="19">
        <f>IF($B2318="","",TEXT($B2318,"0000"))</f>
        <v/>
      </c>
      <c r="W2318" s="19">
        <f>IF($I2318="","",IF(ISNUMBER($I2318),TEXT($I2318,"0"),$I2318))</f>
        <v/>
      </c>
    </row>
    <row r="2319">
      <c r="B2319" s="25" t="n"/>
      <c r="I2319" s="25" t="n"/>
      <c r="U2319" s="19">
        <f>IF($V2319&lt;&gt;'設定'!$C$4,N(U2318),IF(OR(NOT(COUNTIF('商品マスタ'!$B$6:$B$1005,$W2319)=0),COUNTIFS('①在庫を貼る'!$V$6:$V$10005,$V2319,'①在庫を貼る'!$W$6:$W$10005,$W2319)&gt;0),N(U2318),N(U2318)+1))</f>
        <v/>
      </c>
      <c r="V2319" s="19">
        <f>IF($B2319="","",TEXT($B2319,"0000"))</f>
        <v/>
      </c>
      <c r="W2319" s="19">
        <f>IF($I2319="","",IF(ISNUMBER($I2319),TEXT($I2319,"0"),$I2319))</f>
        <v/>
      </c>
    </row>
    <row r="2320">
      <c r="B2320" s="25" t="n"/>
      <c r="I2320" s="25" t="n"/>
      <c r="U2320" s="19">
        <f>IF($V2320&lt;&gt;'設定'!$C$4,N(U2319),IF(OR(NOT(COUNTIF('商品マスタ'!$B$6:$B$1005,$W2320)=0),COUNTIFS('①在庫を貼る'!$V$6:$V$10005,$V2320,'①在庫を貼る'!$W$6:$W$10005,$W2320)&gt;0),N(U2319),N(U2319)+1))</f>
        <v/>
      </c>
      <c r="V2320" s="19">
        <f>IF($B2320="","",TEXT($B2320,"0000"))</f>
        <v/>
      </c>
      <c r="W2320" s="19">
        <f>IF($I2320="","",IF(ISNUMBER($I2320),TEXT($I2320,"0"),$I2320))</f>
        <v/>
      </c>
    </row>
    <row r="2321">
      <c r="B2321" s="25" t="n"/>
      <c r="I2321" s="25" t="n"/>
      <c r="U2321" s="19">
        <f>IF($V2321&lt;&gt;'設定'!$C$4,N(U2320),IF(OR(NOT(COUNTIF('商品マスタ'!$B$6:$B$1005,$W2321)=0),COUNTIFS('①在庫を貼る'!$V$6:$V$10005,$V2321,'①在庫を貼る'!$W$6:$W$10005,$W2321)&gt;0),N(U2320),N(U2320)+1))</f>
        <v/>
      </c>
      <c r="V2321" s="19">
        <f>IF($B2321="","",TEXT($B2321,"0000"))</f>
        <v/>
      </c>
      <c r="W2321" s="19">
        <f>IF($I2321="","",IF(ISNUMBER($I2321),TEXT($I2321,"0"),$I2321))</f>
        <v/>
      </c>
    </row>
    <row r="2322">
      <c r="B2322" s="25" t="n"/>
      <c r="I2322" s="25" t="n"/>
      <c r="U2322" s="19">
        <f>IF($V2322&lt;&gt;'設定'!$C$4,N(U2321),IF(OR(NOT(COUNTIF('商品マスタ'!$B$6:$B$1005,$W2322)=0),COUNTIFS('①在庫を貼る'!$V$6:$V$10005,$V2322,'①在庫を貼る'!$W$6:$W$10005,$W2322)&gt;0),N(U2321),N(U2321)+1))</f>
        <v/>
      </c>
      <c r="V2322" s="19">
        <f>IF($B2322="","",TEXT($B2322,"0000"))</f>
        <v/>
      </c>
      <c r="W2322" s="19">
        <f>IF($I2322="","",IF(ISNUMBER($I2322),TEXT($I2322,"0"),$I2322))</f>
        <v/>
      </c>
    </row>
    <row r="2323">
      <c r="B2323" s="25" t="n"/>
      <c r="I2323" s="25" t="n"/>
      <c r="U2323" s="19">
        <f>IF($V2323&lt;&gt;'設定'!$C$4,N(U2322),IF(OR(NOT(COUNTIF('商品マスタ'!$B$6:$B$1005,$W2323)=0),COUNTIFS('①在庫を貼る'!$V$6:$V$10005,$V2323,'①在庫を貼る'!$W$6:$W$10005,$W2323)&gt;0),N(U2322),N(U2322)+1))</f>
        <v/>
      </c>
      <c r="V2323" s="19">
        <f>IF($B2323="","",TEXT($B2323,"0000"))</f>
        <v/>
      </c>
      <c r="W2323" s="19">
        <f>IF($I2323="","",IF(ISNUMBER($I2323),TEXT($I2323,"0"),$I2323))</f>
        <v/>
      </c>
    </row>
    <row r="2324">
      <c r="B2324" s="25" t="n"/>
      <c r="I2324" s="25" t="n"/>
      <c r="U2324" s="19">
        <f>IF($V2324&lt;&gt;'設定'!$C$4,N(U2323),IF(OR(NOT(COUNTIF('商品マスタ'!$B$6:$B$1005,$W2324)=0),COUNTIFS('①在庫を貼る'!$V$6:$V$10005,$V2324,'①在庫を貼る'!$W$6:$W$10005,$W2324)&gt;0),N(U2323),N(U2323)+1))</f>
        <v/>
      </c>
      <c r="V2324" s="19">
        <f>IF($B2324="","",TEXT($B2324,"0000"))</f>
        <v/>
      </c>
      <c r="W2324" s="19">
        <f>IF($I2324="","",IF(ISNUMBER($I2324),TEXT($I2324,"0"),$I2324))</f>
        <v/>
      </c>
    </row>
    <row r="2325">
      <c r="B2325" s="25" t="n"/>
      <c r="I2325" s="25" t="n"/>
      <c r="U2325" s="19">
        <f>IF($V2325&lt;&gt;'設定'!$C$4,N(U2324),IF(OR(NOT(COUNTIF('商品マスタ'!$B$6:$B$1005,$W2325)=0),COUNTIFS('①在庫を貼る'!$V$6:$V$10005,$V2325,'①在庫を貼る'!$W$6:$W$10005,$W2325)&gt;0),N(U2324),N(U2324)+1))</f>
        <v/>
      </c>
      <c r="V2325" s="19">
        <f>IF($B2325="","",TEXT($B2325,"0000"))</f>
        <v/>
      </c>
      <c r="W2325" s="19">
        <f>IF($I2325="","",IF(ISNUMBER($I2325),TEXT($I2325,"0"),$I2325))</f>
        <v/>
      </c>
    </row>
    <row r="2326">
      <c r="B2326" s="25" t="n"/>
      <c r="I2326" s="25" t="n"/>
      <c r="U2326" s="19">
        <f>IF($V2326&lt;&gt;'設定'!$C$4,N(U2325),IF(OR(NOT(COUNTIF('商品マスタ'!$B$6:$B$1005,$W2326)=0),COUNTIFS('①在庫を貼る'!$V$6:$V$10005,$V2326,'①在庫を貼る'!$W$6:$W$10005,$W2326)&gt;0),N(U2325),N(U2325)+1))</f>
        <v/>
      </c>
      <c r="V2326" s="19">
        <f>IF($B2326="","",TEXT($B2326,"0000"))</f>
        <v/>
      </c>
      <c r="W2326" s="19">
        <f>IF($I2326="","",IF(ISNUMBER($I2326),TEXT($I2326,"0"),$I2326))</f>
        <v/>
      </c>
    </row>
    <row r="2327">
      <c r="B2327" s="25" t="n"/>
      <c r="I2327" s="25" t="n"/>
      <c r="U2327" s="19">
        <f>IF($V2327&lt;&gt;'設定'!$C$4,N(U2326),IF(OR(NOT(COUNTIF('商品マスタ'!$B$6:$B$1005,$W2327)=0),COUNTIFS('①在庫を貼る'!$V$6:$V$10005,$V2327,'①在庫を貼る'!$W$6:$W$10005,$W2327)&gt;0),N(U2326),N(U2326)+1))</f>
        <v/>
      </c>
      <c r="V2327" s="19">
        <f>IF($B2327="","",TEXT($B2327,"0000"))</f>
        <v/>
      </c>
      <c r="W2327" s="19">
        <f>IF($I2327="","",IF(ISNUMBER($I2327),TEXT($I2327,"0"),$I2327))</f>
        <v/>
      </c>
    </row>
    <row r="2328">
      <c r="B2328" s="25" t="n"/>
      <c r="I2328" s="25" t="n"/>
      <c r="U2328" s="19">
        <f>IF($V2328&lt;&gt;'設定'!$C$4,N(U2327),IF(OR(NOT(COUNTIF('商品マスタ'!$B$6:$B$1005,$W2328)=0),COUNTIFS('①在庫を貼る'!$V$6:$V$10005,$V2328,'①在庫を貼る'!$W$6:$W$10005,$W2328)&gt;0),N(U2327),N(U2327)+1))</f>
        <v/>
      </c>
      <c r="V2328" s="19">
        <f>IF($B2328="","",TEXT($B2328,"0000"))</f>
        <v/>
      </c>
      <c r="W2328" s="19">
        <f>IF($I2328="","",IF(ISNUMBER($I2328),TEXT($I2328,"0"),$I2328))</f>
        <v/>
      </c>
    </row>
    <row r="2329">
      <c r="B2329" s="25" t="n"/>
      <c r="I2329" s="25" t="n"/>
      <c r="U2329" s="19">
        <f>IF($V2329&lt;&gt;'設定'!$C$4,N(U2328),IF(OR(NOT(COUNTIF('商品マスタ'!$B$6:$B$1005,$W2329)=0),COUNTIFS('①在庫を貼る'!$V$6:$V$10005,$V2329,'①在庫を貼る'!$W$6:$W$10005,$W2329)&gt;0),N(U2328),N(U2328)+1))</f>
        <v/>
      </c>
      <c r="V2329" s="19">
        <f>IF($B2329="","",TEXT($B2329,"0000"))</f>
        <v/>
      </c>
      <c r="W2329" s="19">
        <f>IF($I2329="","",IF(ISNUMBER($I2329),TEXT($I2329,"0"),$I2329))</f>
        <v/>
      </c>
    </row>
    <row r="2330">
      <c r="B2330" s="25" t="n"/>
      <c r="I2330" s="25" t="n"/>
      <c r="U2330" s="19">
        <f>IF($V2330&lt;&gt;'設定'!$C$4,N(U2329),IF(OR(NOT(COUNTIF('商品マスタ'!$B$6:$B$1005,$W2330)=0),COUNTIFS('①在庫を貼る'!$V$6:$V$10005,$V2330,'①在庫を貼る'!$W$6:$W$10005,$W2330)&gt;0),N(U2329),N(U2329)+1))</f>
        <v/>
      </c>
      <c r="V2330" s="19">
        <f>IF($B2330="","",TEXT($B2330,"0000"))</f>
        <v/>
      </c>
      <c r="W2330" s="19">
        <f>IF($I2330="","",IF(ISNUMBER($I2330),TEXT($I2330,"0"),$I2330))</f>
        <v/>
      </c>
    </row>
    <row r="2331">
      <c r="B2331" s="25" t="n"/>
      <c r="I2331" s="25" t="n"/>
      <c r="U2331" s="19">
        <f>IF($V2331&lt;&gt;'設定'!$C$4,N(U2330),IF(OR(NOT(COUNTIF('商品マスタ'!$B$6:$B$1005,$W2331)=0),COUNTIFS('①在庫を貼る'!$V$6:$V$10005,$V2331,'①在庫を貼る'!$W$6:$W$10005,$W2331)&gt;0),N(U2330),N(U2330)+1))</f>
        <v/>
      </c>
      <c r="V2331" s="19">
        <f>IF($B2331="","",TEXT($B2331,"0000"))</f>
        <v/>
      </c>
      <c r="W2331" s="19">
        <f>IF($I2331="","",IF(ISNUMBER($I2331),TEXT($I2331,"0"),$I2331))</f>
        <v/>
      </c>
    </row>
    <row r="2332">
      <c r="B2332" s="25" t="n"/>
      <c r="I2332" s="25" t="n"/>
      <c r="U2332" s="19">
        <f>IF($V2332&lt;&gt;'設定'!$C$4,N(U2331),IF(OR(NOT(COUNTIF('商品マスタ'!$B$6:$B$1005,$W2332)=0),COUNTIFS('①在庫を貼る'!$V$6:$V$10005,$V2332,'①在庫を貼る'!$W$6:$W$10005,$W2332)&gt;0),N(U2331),N(U2331)+1))</f>
        <v/>
      </c>
      <c r="V2332" s="19">
        <f>IF($B2332="","",TEXT($B2332,"0000"))</f>
        <v/>
      </c>
      <c r="W2332" s="19">
        <f>IF($I2332="","",IF(ISNUMBER($I2332),TEXT($I2332,"0"),$I2332))</f>
        <v/>
      </c>
    </row>
    <row r="2333">
      <c r="B2333" s="25" t="n"/>
      <c r="I2333" s="25" t="n"/>
      <c r="U2333" s="19">
        <f>IF($V2333&lt;&gt;'設定'!$C$4,N(U2332),IF(OR(NOT(COUNTIF('商品マスタ'!$B$6:$B$1005,$W2333)=0),COUNTIFS('①在庫を貼る'!$V$6:$V$10005,$V2333,'①在庫を貼る'!$W$6:$W$10005,$W2333)&gt;0),N(U2332),N(U2332)+1))</f>
        <v/>
      </c>
      <c r="V2333" s="19">
        <f>IF($B2333="","",TEXT($B2333,"0000"))</f>
        <v/>
      </c>
      <c r="W2333" s="19">
        <f>IF($I2333="","",IF(ISNUMBER($I2333),TEXT($I2333,"0"),$I2333))</f>
        <v/>
      </c>
    </row>
    <row r="2334">
      <c r="B2334" s="25" t="n"/>
      <c r="I2334" s="25" t="n"/>
      <c r="U2334" s="19">
        <f>IF($V2334&lt;&gt;'設定'!$C$4,N(U2333),IF(OR(NOT(COUNTIF('商品マスタ'!$B$6:$B$1005,$W2334)=0),COUNTIFS('①在庫を貼る'!$V$6:$V$10005,$V2334,'①在庫を貼る'!$W$6:$W$10005,$W2334)&gt;0),N(U2333),N(U2333)+1))</f>
        <v/>
      </c>
      <c r="V2334" s="19">
        <f>IF($B2334="","",TEXT($B2334,"0000"))</f>
        <v/>
      </c>
      <c r="W2334" s="19">
        <f>IF($I2334="","",IF(ISNUMBER($I2334),TEXT($I2334,"0"),$I2334))</f>
        <v/>
      </c>
    </row>
    <row r="2335">
      <c r="B2335" s="25" t="n"/>
      <c r="I2335" s="25" t="n"/>
      <c r="U2335" s="19">
        <f>IF($V2335&lt;&gt;'設定'!$C$4,N(U2334),IF(OR(NOT(COUNTIF('商品マスタ'!$B$6:$B$1005,$W2335)=0),COUNTIFS('①在庫を貼る'!$V$6:$V$10005,$V2335,'①在庫を貼る'!$W$6:$W$10005,$W2335)&gt;0),N(U2334),N(U2334)+1))</f>
        <v/>
      </c>
      <c r="V2335" s="19">
        <f>IF($B2335="","",TEXT($B2335,"0000"))</f>
        <v/>
      </c>
      <c r="W2335" s="19">
        <f>IF($I2335="","",IF(ISNUMBER($I2335),TEXT($I2335,"0"),$I2335))</f>
        <v/>
      </c>
    </row>
    <row r="2336">
      <c r="B2336" s="25" t="n"/>
      <c r="I2336" s="25" t="n"/>
      <c r="U2336" s="19">
        <f>IF($V2336&lt;&gt;'設定'!$C$4,N(U2335),IF(OR(NOT(COUNTIF('商品マスタ'!$B$6:$B$1005,$W2336)=0),COUNTIFS('①在庫を貼る'!$V$6:$V$10005,$V2336,'①在庫を貼る'!$W$6:$W$10005,$W2336)&gt;0),N(U2335),N(U2335)+1))</f>
        <v/>
      </c>
      <c r="V2336" s="19">
        <f>IF($B2336="","",TEXT($B2336,"0000"))</f>
        <v/>
      </c>
      <c r="W2336" s="19">
        <f>IF($I2336="","",IF(ISNUMBER($I2336),TEXT($I2336,"0"),$I2336))</f>
        <v/>
      </c>
    </row>
    <row r="2337">
      <c r="B2337" s="25" t="n"/>
      <c r="I2337" s="25" t="n"/>
      <c r="U2337" s="19">
        <f>IF($V2337&lt;&gt;'設定'!$C$4,N(U2336),IF(OR(NOT(COUNTIF('商品マスタ'!$B$6:$B$1005,$W2337)=0),COUNTIFS('①在庫を貼る'!$V$6:$V$10005,$V2337,'①在庫を貼る'!$W$6:$W$10005,$W2337)&gt;0),N(U2336),N(U2336)+1))</f>
        <v/>
      </c>
      <c r="V2337" s="19">
        <f>IF($B2337="","",TEXT($B2337,"0000"))</f>
        <v/>
      </c>
      <c r="W2337" s="19">
        <f>IF($I2337="","",IF(ISNUMBER($I2337),TEXT($I2337,"0"),$I2337))</f>
        <v/>
      </c>
    </row>
    <row r="2338">
      <c r="B2338" s="25" t="n"/>
      <c r="I2338" s="25" t="n"/>
      <c r="U2338" s="19">
        <f>IF($V2338&lt;&gt;'設定'!$C$4,N(U2337),IF(OR(NOT(COUNTIF('商品マスタ'!$B$6:$B$1005,$W2338)=0),COUNTIFS('①在庫を貼る'!$V$6:$V$10005,$V2338,'①在庫を貼る'!$W$6:$W$10005,$W2338)&gt;0),N(U2337),N(U2337)+1))</f>
        <v/>
      </c>
      <c r="V2338" s="19">
        <f>IF($B2338="","",TEXT($B2338,"0000"))</f>
        <v/>
      </c>
      <c r="W2338" s="19">
        <f>IF($I2338="","",IF(ISNUMBER($I2338),TEXT($I2338,"0"),$I2338))</f>
        <v/>
      </c>
    </row>
    <row r="2339">
      <c r="B2339" s="25" t="n"/>
      <c r="I2339" s="25" t="n"/>
      <c r="U2339" s="19">
        <f>IF($V2339&lt;&gt;'設定'!$C$4,N(U2338),IF(OR(NOT(COUNTIF('商品マスタ'!$B$6:$B$1005,$W2339)=0),COUNTIFS('①在庫を貼る'!$V$6:$V$10005,$V2339,'①在庫を貼る'!$W$6:$W$10005,$W2339)&gt;0),N(U2338),N(U2338)+1))</f>
        <v/>
      </c>
      <c r="V2339" s="19">
        <f>IF($B2339="","",TEXT($B2339,"0000"))</f>
        <v/>
      </c>
      <c r="W2339" s="19">
        <f>IF($I2339="","",IF(ISNUMBER($I2339),TEXT($I2339,"0"),$I2339))</f>
        <v/>
      </c>
    </row>
    <row r="2340">
      <c r="B2340" s="25" t="n"/>
      <c r="I2340" s="25" t="n"/>
      <c r="U2340" s="19">
        <f>IF($V2340&lt;&gt;'設定'!$C$4,N(U2339),IF(OR(NOT(COUNTIF('商品マスタ'!$B$6:$B$1005,$W2340)=0),COUNTIFS('①在庫を貼る'!$V$6:$V$10005,$V2340,'①在庫を貼る'!$W$6:$W$10005,$W2340)&gt;0),N(U2339),N(U2339)+1))</f>
        <v/>
      </c>
      <c r="V2340" s="19">
        <f>IF($B2340="","",TEXT($B2340,"0000"))</f>
        <v/>
      </c>
      <c r="W2340" s="19">
        <f>IF($I2340="","",IF(ISNUMBER($I2340),TEXT($I2340,"0"),$I2340))</f>
        <v/>
      </c>
    </row>
    <row r="2341">
      <c r="B2341" s="25" t="n"/>
      <c r="I2341" s="25" t="n"/>
      <c r="U2341" s="19">
        <f>IF($V2341&lt;&gt;'設定'!$C$4,N(U2340),IF(OR(NOT(COUNTIF('商品マスタ'!$B$6:$B$1005,$W2341)=0),COUNTIFS('①在庫を貼る'!$V$6:$V$10005,$V2341,'①在庫を貼る'!$W$6:$W$10005,$W2341)&gt;0),N(U2340),N(U2340)+1))</f>
        <v/>
      </c>
      <c r="V2341" s="19">
        <f>IF($B2341="","",TEXT($B2341,"0000"))</f>
        <v/>
      </c>
      <c r="W2341" s="19">
        <f>IF($I2341="","",IF(ISNUMBER($I2341),TEXT($I2341,"0"),$I2341))</f>
        <v/>
      </c>
    </row>
    <row r="2342">
      <c r="B2342" s="25" t="n"/>
      <c r="I2342" s="25" t="n"/>
      <c r="U2342" s="19">
        <f>IF($V2342&lt;&gt;'設定'!$C$4,N(U2341),IF(OR(NOT(COUNTIF('商品マスタ'!$B$6:$B$1005,$W2342)=0),COUNTIFS('①在庫を貼る'!$V$6:$V$10005,$V2342,'①在庫を貼る'!$W$6:$W$10005,$W2342)&gt;0),N(U2341),N(U2341)+1))</f>
        <v/>
      </c>
      <c r="V2342" s="19">
        <f>IF($B2342="","",TEXT($B2342,"0000"))</f>
        <v/>
      </c>
      <c r="W2342" s="19">
        <f>IF($I2342="","",IF(ISNUMBER($I2342),TEXT($I2342,"0"),$I2342))</f>
        <v/>
      </c>
    </row>
    <row r="2343">
      <c r="B2343" s="25" t="n"/>
      <c r="I2343" s="25" t="n"/>
      <c r="U2343" s="19">
        <f>IF($V2343&lt;&gt;'設定'!$C$4,N(U2342),IF(OR(NOT(COUNTIF('商品マスタ'!$B$6:$B$1005,$W2343)=0),COUNTIFS('①在庫を貼る'!$V$6:$V$10005,$V2343,'①在庫を貼る'!$W$6:$W$10005,$W2343)&gt;0),N(U2342),N(U2342)+1))</f>
        <v/>
      </c>
      <c r="V2343" s="19">
        <f>IF($B2343="","",TEXT($B2343,"0000"))</f>
        <v/>
      </c>
      <c r="W2343" s="19">
        <f>IF($I2343="","",IF(ISNUMBER($I2343),TEXT($I2343,"0"),$I2343))</f>
        <v/>
      </c>
    </row>
    <row r="2344">
      <c r="B2344" s="25" t="n"/>
      <c r="I2344" s="25" t="n"/>
      <c r="U2344" s="19">
        <f>IF($V2344&lt;&gt;'設定'!$C$4,N(U2343),IF(OR(NOT(COUNTIF('商品マスタ'!$B$6:$B$1005,$W2344)=0),COUNTIFS('①在庫を貼る'!$V$6:$V$10005,$V2344,'①在庫を貼る'!$W$6:$W$10005,$W2344)&gt;0),N(U2343),N(U2343)+1))</f>
        <v/>
      </c>
      <c r="V2344" s="19">
        <f>IF($B2344="","",TEXT($B2344,"0000"))</f>
        <v/>
      </c>
      <c r="W2344" s="19">
        <f>IF($I2344="","",IF(ISNUMBER($I2344),TEXT($I2344,"0"),$I2344))</f>
        <v/>
      </c>
    </row>
    <row r="2345">
      <c r="B2345" s="25" t="n"/>
      <c r="I2345" s="25" t="n"/>
      <c r="U2345" s="19">
        <f>IF($V2345&lt;&gt;'設定'!$C$4,N(U2344),IF(OR(NOT(COUNTIF('商品マスタ'!$B$6:$B$1005,$W2345)=0),COUNTIFS('①在庫を貼る'!$V$6:$V$10005,$V2345,'①在庫を貼る'!$W$6:$W$10005,$W2345)&gt;0),N(U2344),N(U2344)+1))</f>
        <v/>
      </c>
      <c r="V2345" s="19">
        <f>IF($B2345="","",TEXT($B2345,"0000"))</f>
        <v/>
      </c>
      <c r="W2345" s="19">
        <f>IF($I2345="","",IF(ISNUMBER($I2345),TEXT($I2345,"0"),$I2345))</f>
        <v/>
      </c>
    </row>
    <row r="2346">
      <c r="B2346" s="25" t="n"/>
      <c r="I2346" s="25" t="n"/>
      <c r="U2346" s="19">
        <f>IF($V2346&lt;&gt;'設定'!$C$4,N(U2345),IF(OR(NOT(COUNTIF('商品マスタ'!$B$6:$B$1005,$W2346)=0),COUNTIFS('①在庫を貼る'!$V$6:$V$10005,$V2346,'①在庫を貼る'!$W$6:$W$10005,$W2346)&gt;0),N(U2345),N(U2345)+1))</f>
        <v/>
      </c>
      <c r="V2346" s="19">
        <f>IF($B2346="","",TEXT($B2346,"0000"))</f>
        <v/>
      </c>
      <c r="W2346" s="19">
        <f>IF($I2346="","",IF(ISNUMBER($I2346),TEXT($I2346,"0"),$I2346))</f>
        <v/>
      </c>
    </row>
    <row r="2347">
      <c r="B2347" s="25" t="n"/>
      <c r="I2347" s="25" t="n"/>
      <c r="U2347" s="19">
        <f>IF($V2347&lt;&gt;'設定'!$C$4,N(U2346),IF(OR(NOT(COUNTIF('商品マスタ'!$B$6:$B$1005,$W2347)=0),COUNTIFS('①在庫を貼る'!$V$6:$V$10005,$V2347,'①在庫を貼る'!$W$6:$W$10005,$W2347)&gt;0),N(U2346),N(U2346)+1))</f>
        <v/>
      </c>
      <c r="V2347" s="19">
        <f>IF($B2347="","",TEXT($B2347,"0000"))</f>
        <v/>
      </c>
      <c r="W2347" s="19">
        <f>IF($I2347="","",IF(ISNUMBER($I2347),TEXT($I2347,"0"),$I2347))</f>
        <v/>
      </c>
    </row>
    <row r="2348">
      <c r="B2348" s="25" t="n"/>
      <c r="I2348" s="25" t="n"/>
      <c r="U2348" s="19">
        <f>IF($V2348&lt;&gt;'設定'!$C$4,N(U2347),IF(OR(NOT(COUNTIF('商品マスタ'!$B$6:$B$1005,$W2348)=0),COUNTIFS('①在庫を貼る'!$V$6:$V$10005,$V2348,'①在庫を貼る'!$W$6:$W$10005,$W2348)&gt;0),N(U2347),N(U2347)+1))</f>
        <v/>
      </c>
      <c r="V2348" s="19">
        <f>IF($B2348="","",TEXT($B2348,"0000"))</f>
        <v/>
      </c>
      <c r="W2348" s="19">
        <f>IF($I2348="","",IF(ISNUMBER($I2348),TEXT($I2348,"0"),$I2348))</f>
        <v/>
      </c>
    </row>
    <row r="2349">
      <c r="B2349" s="25" t="n"/>
      <c r="I2349" s="25" t="n"/>
      <c r="U2349" s="19">
        <f>IF($V2349&lt;&gt;'設定'!$C$4,N(U2348),IF(OR(NOT(COUNTIF('商品マスタ'!$B$6:$B$1005,$W2349)=0),COUNTIFS('①在庫を貼る'!$V$6:$V$10005,$V2349,'①在庫を貼る'!$W$6:$W$10005,$W2349)&gt;0),N(U2348),N(U2348)+1))</f>
        <v/>
      </c>
      <c r="V2349" s="19">
        <f>IF($B2349="","",TEXT($B2349,"0000"))</f>
        <v/>
      </c>
      <c r="W2349" s="19">
        <f>IF($I2349="","",IF(ISNUMBER($I2349),TEXT($I2349,"0"),$I2349))</f>
        <v/>
      </c>
    </row>
    <row r="2350">
      <c r="B2350" s="25" t="n"/>
      <c r="I2350" s="25" t="n"/>
      <c r="U2350" s="19">
        <f>IF($V2350&lt;&gt;'設定'!$C$4,N(U2349),IF(OR(NOT(COUNTIF('商品マスタ'!$B$6:$B$1005,$W2350)=0),COUNTIFS('①在庫を貼る'!$V$6:$V$10005,$V2350,'①在庫を貼る'!$W$6:$W$10005,$W2350)&gt;0),N(U2349),N(U2349)+1))</f>
        <v/>
      </c>
      <c r="V2350" s="19">
        <f>IF($B2350="","",TEXT($B2350,"0000"))</f>
        <v/>
      </c>
      <c r="W2350" s="19">
        <f>IF($I2350="","",IF(ISNUMBER($I2350),TEXT($I2350,"0"),$I2350))</f>
        <v/>
      </c>
    </row>
    <row r="2351">
      <c r="B2351" s="25" t="n"/>
      <c r="I2351" s="25" t="n"/>
      <c r="U2351" s="19">
        <f>IF($V2351&lt;&gt;'設定'!$C$4,N(U2350),IF(OR(NOT(COUNTIF('商品マスタ'!$B$6:$B$1005,$W2351)=0),COUNTIFS('①在庫を貼る'!$V$6:$V$10005,$V2351,'①在庫を貼る'!$W$6:$W$10005,$W2351)&gt;0),N(U2350),N(U2350)+1))</f>
        <v/>
      </c>
      <c r="V2351" s="19">
        <f>IF($B2351="","",TEXT($B2351,"0000"))</f>
        <v/>
      </c>
      <c r="W2351" s="19">
        <f>IF($I2351="","",IF(ISNUMBER($I2351),TEXT($I2351,"0"),$I2351))</f>
        <v/>
      </c>
    </row>
    <row r="2352">
      <c r="B2352" s="25" t="n"/>
      <c r="I2352" s="25" t="n"/>
      <c r="U2352" s="19">
        <f>IF($V2352&lt;&gt;'設定'!$C$4,N(U2351),IF(OR(NOT(COUNTIF('商品マスタ'!$B$6:$B$1005,$W2352)=0),COUNTIFS('①在庫を貼る'!$V$6:$V$10005,$V2352,'①在庫を貼る'!$W$6:$W$10005,$W2352)&gt;0),N(U2351),N(U2351)+1))</f>
        <v/>
      </c>
      <c r="V2352" s="19">
        <f>IF($B2352="","",TEXT($B2352,"0000"))</f>
        <v/>
      </c>
      <c r="W2352" s="19">
        <f>IF($I2352="","",IF(ISNUMBER($I2352),TEXT($I2352,"0"),$I2352))</f>
        <v/>
      </c>
    </row>
    <row r="2353">
      <c r="B2353" s="25" t="n"/>
      <c r="I2353" s="25" t="n"/>
      <c r="U2353" s="19">
        <f>IF($V2353&lt;&gt;'設定'!$C$4,N(U2352),IF(OR(NOT(COUNTIF('商品マスタ'!$B$6:$B$1005,$W2353)=0),COUNTIFS('①在庫を貼る'!$V$6:$V$10005,$V2353,'①在庫を貼る'!$W$6:$W$10005,$W2353)&gt;0),N(U2352),N(U2352)+1))</f>
        <v/>
      </c>
      <c r="V2353" s="19">
        <f>IF($B2353="","",TEXT($B2353,"0000"))</f>
        <v/>
      </c>
      <c r="W2353" s="19">
        <f>IF($I2353="","",IF(ISNUMBER($I2353),TEXT($I2353,"0"),$I2353))</f>
        <v/>
      </c>
    </row>
    <row r="2354">
      <c r="B2354" s="25" t="n"/>
      <c r="I2354" s="25" t="n"/>
      <c r="U2354" s="19">
        <f>IF($V2354&lt;&gt;'設定'!$C$4,N(U2353),IF(OR(NOT(COUNTIF('商品マスタ'!$B$6:$B$1005,$W2354)=0),COUNTIFS('①在庫を貼る'!$V$6:$V$10005,$V2354,'①在庫を貼る'!$W$6:$W$10005,$W2354)&gt;0),N(U2353),N(U2353)+1))</f>
        <v/>
      </c>
      <c r="V2354" s="19">
        <f>IF($B2354="","",TEXT($B2354,"0000"))</f>
        <v/>
      </c>
      <c r="W2354" s="19">
        <f>IF($I2354="","",IF(ISNUMBER($I2354),TEXT($I2354,"0"),$I2354))</f>
        <v/>
      </c>
    </row>
    <row r="2355">
      <c r="B2355" s="25" t="n"/>
      <c r="I2355" s="25" t="n"/>
      <c r="U2355" s="19">
        <f>IF($V2355&lt;&gt;'設定'!$C$4,N(U2354),IF(OR(NOT(COUNTIF('商品マスタ'!$B$6:$B$1005,$W2355)=0),COUNTIFS('①在庫を貼る'!$V$6:$V$10005,$V2355,'①在庫を貼る'!$W$6:$W$10005,$W2355)&gt;0),N(U2354),N(U2354)+1))</f>
        <v/>
      </c>
      <c r="V2355" s="19">
        <f>IF($B2355="","",TEXT($B2355,"0000"))</f>
        <v/>
      </c>
      <c r="W2355" s="19">
        <f>IF($I2355="","",IF(ISNUMBER($I2355),TEXT($I2355,"0"),$I2355))</f>
        <v/>
      </c>
    </row>
    <row r="2356">
      <c r="B2356" s="25" t="n"/>
      <c r="I2356" s="25" t="n"/>
      <c r="U2356" s="19">
        <f>IF($V2356&lt;&gt;'設定'!$C$4,N(U2355),IF(OR(NOT(COUNTIF('商品マスタ'!$B$6:$B$1005,$W2356)=0),COUNTIFS('①在庫を貼る'!$V$6:$V$10005,$V2356,'①在庫を貼る'!$W$6:$W$10005,$W2356)&gt;0),N(U2355),N(U2355)+1))</f>
        <v/>
      </c>
      <c r="V2356" s="19">
        <f>IF($B2356="","",TEXT($B2356,"0000"))</f>
        <v/>
      </c>
      <c r="W2356" s="19">
        <f>IF($I2356="","",IF(ISNUMBER($I2356),TEXT($I2356,"0"),$I2356))</f>
        <v/>
      </c>
    </row>
    <row r="2357">
      <c r="B2357" s="25" t="n"/>
      <c r="I2357" s="25" t="n"/>
      <c r="U2357" s="19">
        <f>IF($V2357&lt;&gt;'設定'!$C$4,N(U2356),IF(OR(NOT(COUNTIF('商品マスタ'!$B$6:$B$1005,$W2357)=0),COUNTIFS('①在庫を貼る'!$V$6:$V$10005,$V2357,'①在庫を貼る'!$W$6:$W$10005,$W2357)&gt;0),N(U2356),N(U2356)+1))</f>
        <v/>
      </c>
      <c r="V2357" s="19">
        <f>IF($B2357="","",TEXT($B2357,"0000"))</f>
        <v/>
      </c>
      <c r="W2357" s="19">
        <f>IF($I2357="","",IF(ISNUMBER($I2357),TEXT($I2357,"0"),$I2357))</f>
        <v/>
      </c>
    </row>
    <row r="2358">
      <c r="B2358" s="25" t="n"/>
      <c r="I2358" s="25" t="n"/>
      <c r="U2358" s="19">
        <f>IF($V2358&lt;&gt;'設定'!$C$4,N(U2357),IF(OR(NOT(COUNTIF('商品マスタ'!$B$6:$B$1005,$W2358)=0),COUNTIFS('①在庫を貼る'!$V$6:$V$10005,$V2358,'①在庫を貼る'!$W$6:$W$10005,$W2358)&gt;0),N(U2357),N(U2357)+1))</f>
        <v/>
      </c>
      <c r="V2358" s="19">
        <f>IF($B2358="","",TEXT($B2358,"0000"))</f>
        <v/>
      </c>
      <c r="W2358" s="19">
        <f>IF($I2358="","",IF(ISNUMBER($I2358),TEXT($I2358,"0"),$I2358))</f>
        <v/>
      </c>
    </row>
    <row r="2359">
      <c r="B2359" s="25" t="n"/>
      <c r="I2359" s="25" t="n"/>
      <c r="U2359" s="19">
        <f>IF($V2359&lt;&gt;'設定'!$C$4,N(U2358),IF(OR(NOT(COUNTIF('商品マスタ'!$B$6:$B$1005,$W2359)=0),COUNTIFS('①在庫を貼る'!$V$6:$V$10005,$V2359,'①在庫を貼る'!$W$6:$W$10005,$W2359)&gt;0),N(U2358),N(U2358)+1))</f>
        <v/>
      </c>
      <c r="V2359" s="19">
        <f>IF($B2359="","",TEXT($B2359,"0000"))</f>
        <v/>
      </c>
      <c r="W2359" s="19">
        <f>IF($I2359="","",IF(ISNUMBER($I2359),TEXT($I2359,"0"),$I2359))</f>
        <v/>
      </c>
    </row>
    <row r="2360">
      <c r="B2360" s="25" t="n"/>
      <c r="I2360" s="25" t="n"/>
      <c r="U2360" s="19">
        <f>IF($V2360&lt;&gt;'設定'!$C$4,N(U2359),IF(OR(NOT(COUNTIF('商品マスタ'!$B$6:$B$1005,$W2360)=0),COUNTIFS('①在庫を貼る'!$V$6:$V$10005,$V2360,'①在庫を貼る'!$W$6:$W$10005,$W2360)&gt;0),N(U2359),N(U2359)+1))</f>
        <v/>
      </c>
      <c r="V2360" s="19">
        <f>IF($B2360="","",TEXT($B2360,"0000"))</f>
        <v/>
      </c>
      <c r="W2360" s="19">
        <f>IF($I2360="","",IF(ISNUMBER($I2360),TEXT($I2360,"0"),$I2360))</f>
        <v/>
      </c>
    </row>
    <row r="2361">
      <c r="B2361" s="25" t="n"/>
      <c r="I2361" s="25" t="n"/>
      <c r="U2361" s="19">
        <f>IF($V2361&lt;&gt;'設定'!$C$4,N(U2360),IF(OR(NOT(COUNTIF('商品マスタ'!$B$6:$B$1005,$W2361)=0),COUNTIFS('①在庫を貼る'!$V$6:$V$10005,$V2361,'①在庫を貼る'!$W$6:$W$10005,$W2361)&gt;0),N(U2360),N(U2360)+1))</f>
        <v/>
      </c>
      <c r="V2361" s="19">
        <f>IF($B2361="","",TEXT($B2361,"0000"))</f>
        <v/>
      </c>
      <c r="W2361" s="19">
        <f>IF($I2361="","",IF(ISNUMBER($I2361),TEXT($I2361,"0"),$I2361))</f>
        <v/>
      </c>
    </row>
    <row r="2362">
      <c r="B2362" s="25" t="n"/>
      <c r="I2362" s="25" t="n"/>
      <c r="U2362" s="19">
        <f>IF($V2362&lt;&gt;'設定'!$C$4,N(U2361),IF(OR(NOT(COUNTIF('商品マスタ'!$B$6:$B$1005,$W2362)=0),COUNTIFS('①在庫を貼る'!$V$6:$V$10005,$V2362,'①在庫を貼る'!$W$6:$W$10005,$W2362)&gt;0),N(U2361),N(U2361)+1))</f>
        <v/>
      </c>
      <c r="V2362" s="19">
        <f>IF($B2362="","",TEXT($B2362,"0000"))</f>
        <v/>
      </c>
      <c r="W2362" s="19">
        <f>IF($I2362="","",IF(ISNUMBER($I2362),TEXT($I2362,"0"),$I2362))</f>
        <v/>
      </c>
    </row>
    <row r="2363">
      <c r="B2363" s="25" t="n"/>
      <c r="I2363" s="25" t="n"/>
      <c r="U2363" s="19">
        <f>IF($V2363&lt;&gt;'設定'!$C$4,N(U2362),IF(OR(NOT(COUNTIF('商品マスタ'!$B$6:$B$1005,$W2363)=0),COUNTIFS('①在庫を貼る'!$V$6:$V$10005,$V2363,'①在庫を貼る'!$W$6:$W$10005,$W2363)&gt;0),N(U2362),N(U2362)+1))</f>
        <v/>
      </c>
      <c r="V2363" s="19">
        <f>IF($B2363="","",TEXT($B2363,"0000"))</f>
        <v/>
      </c>
      <c r="W2363" s="19">
        <f>IF($I2363="","",IF(ISNUMBER($I2363),TEXT($I2363,"0"),$I2363))</f>
        <v/>
      </c>
    </row>
    <row r="2364">
      <c r="B2364" s="25" t="n"/>
      <c r="I2364" s="25" t="n"/>
      <c r="U2364" s="19">
        <f>IF($V2364&lt;&gt;'設定'!$C$4,N(U2363),IF(OR(NOT(COUNTIF('商品マスタ'!$B$6:$B$1005,$W2364)=0),COUNTIFS('①在庫を貼る'!$V$6:$V$10005,$V2364,'①在庫を貼る'!$W$6:$W$10005,$W2364)&gt;0),N(U2363),N(U2363)+1))</f>
        <v/>
      </c>
      <c r="V2364" s="19">
        <f>IF($B2364="","",TEXT($B2364,"0000"))</f>
        <v/>
      </c>
      <c r="W2364" s="19">
        <f>IF($I2364="","",IF(ISNUMBER($I2364),TEXT($I2364,"0"),$I2364))</f>
        <v/>
      </c>
    </row>
    <row r="2365">
      <c r="B2365" s="25" t="n"/>
      <c r="I2365" s="25" t="n"/>
      <c r="U2365" s="19">
        <f>IF($V2365&lt;&gt;'設定'!$C$4,N(U2364),IF(OR(NOT(COUNTIF('商品マスタ'!$B$6:$B$1005,$W2365)=0),COUNTIFS('①在庫を貼る'!$V$6:$V$10005,$V2365,'①在庫を貼る'!$W$6:$W$10005,$W2365)&gt;0),N(U2364),N(U2364)+1))</f>
        <v/>
      </c>
      <c r="V2365" s="19">
        <f>IF($B2365="","",TEXT($B2365,"0000"))</f>
        <v/>
      </c>
      <c r="W2365" s="19">
        <f>IF($I2365="","",IF(ISNUMBER($I2365),TEXT($I2365,"0"),$I2365))</f>
        <v/>
      </c>
    </row>
    <row r="2366">
      <c r="B2366" s="25" t="n"/>
      <c r="I2366" s="25" t="n"/>
      <c r="U2366" s="19">
        <f>IF($V2366&lt;&gt;'設定'!$C$4,N(U2365),IF(OR(NOT(COUNTIF('商品マスタ'!$B$6:$B$1005,$W2366)=0),COUNTIFS('①在庫を貼る'!$V$6:$V$10005,$V2366,'①在庫を貼る'!$W$6:$W$10005,$W2366)&gt;0),N(U2365),N(U2365)+1))</f>
        <v/>
      </c>
      <c r="V2366" s="19">
        <f>IF($B2366="","",TEXT($B2366,"0000"))</f>
        <v/>
      </c>
      <c r="W2366" s="19">
        <f>IF($I2366="","",IF(ISNUMBER($I2366),TEXT($I2366,"0"),$I2366))</f>
        <v/>
      </c>
    </row>
    <row r="2367">
      <c r="B2367" s="25" t="n"/>
      <c r="I2367" s="25" t="n"/>
      <c r="U2367" s="19">
        <f>IF($V2367&lt;&gt;'設定'!$C$4,N(U2366),IF(OR(NOT(COUNTIF('商品マスタ'!$B$6:$B$1005,$W2367)=0),COUNTIFS('①在庫を貼る'!$V$6:$V$10005,$V2367,'①在庫を貼る'!$W$6:$W$10005,$W2367)&gt;0),N(U2366),N(U2366)+1))</f>
        <v/>
      </c>
      <c r="V2367" s="19">
        <f>IF($B2367="","",TEXT($B2367,"0000"))</f>
        <v/>
      </c>
      <c r="W2367" s="19">
        <f>IF($I2367="","",IF(ISNUMBER($I2367),TEXT($I2367,"0"),$I2367))</f>
        <v/>
      </c>
    </row>
    <row r="2368">
      <c r="B2368" s="25" t="n"/>
      <c r="I2368" s="25" t="n"/>
      <c r="U2368" s="19">
        <f>IF($V2368&lt;&gt;'設定'!$C$4,N(U2367),IF(OR(NOT(COUNTIF('商品マスタ'!$B$6:$B$1005,$W2368)=0),COUNTIFS('①在庫を貼る'!$V$6:$V$10005,$V2368,'①在庫を貼る'!$W$6:$W$10005,$W2368)&gt;0),N(U2367),N(U2367)+1))</f>
        <v/>
      </c>
      <c r="V2368" s="19">
        <f>IF($B2368="","",TEXT($B2368,"0000"))</f>
        <v/>
      </c>
      <c r="W2368" s="19">
        <f>IF($I2368="","",IF(ISNUMBER($I2368),TEXT($I2368,"0"),$I2368))</f>
        <v/>
      </c>
    </row>
    <row r="2369">
      <c r="B2369" s="25" t="n"/>
      <c r="I2369" s="25" t="n"/>
      <c r="U2369" s="19">
        <f>IF($V2369&lt;&gt;'設定'!$C$4,N(U2368),IF(OR(NOT(COUNTIF('商品マスタ'!$B$6:$B$1005,$W2369)=0),COUNTIFS('①在庫を貼る'!$V$6:$V$10005,$V2369,'①在庫を貼る'!$W$6:$W$10005,$W2369)&gt;0),N(U2368),N(U2368)+1))</f>
        <v/>
      </c>
      <c r="V2369" s="19">
        <f>IF($B2369="","",TEXT($B2369,"0000"))</f>
        <v/>
      </c>
      <c r="W2369" s="19">
        <f>IF($I2369="","",IF(ISNUMBER($I2369),TEXT($I2369,"0"),$I2369))</f>
        <v/>
      </c>
    </row>
    <row r="2370">
      <c r="B2370" s="25" t="n"/>
      <c r="I2370" s="25" t="n"/>
      <c r="U2370" s="19">
        <f>IF($V2370&lt;&gt;'設定'!$C$4,N(U2369),IF(OR(NOT(COUNTIF('商品マスタ'!$B$6:$B$1005,$W2370)=0),COUNTIFS('①在庫を貼る'!$V$6:$V$10005,$V2370,'①在庫を貼る'!$W$6:$W$10005,$W2370)&gt;0),N(U2369),N(U2369)+1))</f>
        <v/>
      </c>
      <c r="V2370" s="19">
        <f>IF($B2370="","",TEXT($B2370,"0000"))</f>
        <v/>
      </c>
      <c r="W2370" s="19">
        <f>IF($I2370="","",IF(ISNUMBER($I2370),TEXT($I2370,"0"),$I2370))</f>
        <v/>
      </c>
    </row>
    <row r="2371">
      <c r="B2371" s="25" t="n"/>
      <c r="I2371" s="25" t="n"/>
      <c r="U2371" s="19">
        <f>IF($V2371&lt;&gt;'設定'!$C$4,N(U2370),IF(OR(NOT(COUNTIF('商品マスタ'!$B$6:$B$1005,$W2371)=0),COUNTIFS('①在庫を貼る'!$V$6:$V$10005,$V2371,'①在庫を貼る'!$W$6:$W$10005,$W2371)&gt;0),N(U2370),N(U2370)+1))</f>
        <v/>
      </c>
      <c r="V2371" s="19">
        <f>IF($B2371="","",TEXT($B2371,"0000"))</f>
        <v/>
      </c>
      <c r="W2371" s="19">
        <f>IF($I2371="","",IF(ISNUMBER($I2371),TEXT($I2371,"0"),$I2371))</f>
        <v/>
      </c>
    </row>
    <row r="2372">
      <c r="B2372" s="25" t="n"/>
      <c r="I2372" s="25" t="n"/>
      <c r="U2372" s="19">
        <f>IF($V2372&lt;&gt;'設定'!$C$4,N(U2371),IF(OR(NOT(COUNTIF('商品マスタ'!$B$6:$B$1005,$W2372)=0),COUNTIFS('①在庫を貼る'!$V$6:$V$10005,$V2372,'①在庫を貼る'!$W$6:$W$10005,$W2372)&gt;0),N(U2371),N(U2371)+1))</f>
        <v/>
      </c>
      <c r="V2372" s="19">
        <f>IF($B2372="","",TEXT($B2372,"0000"))</f>
        <v/>
      </c>
      <c r="W2372" s="19">
        <f>IF($I2372="","",IF(ISNUMBER($I2372),TEXT($I2372,"0"),$I2372))</f>
        <v/>
      </c>
    </row>
    <row r="2373">
      <c r="B2373" s="25" t="n"/>
      <c r="I2373" s="25" t="n"/>
      <c r="U2373" s="19">
        <f>IF($V2373&lt;&gt;'設定'!$C$4,N(U2372),IF(OR(NOT(COUNTIF('商品マスタ'!$B$6:$B$1005,$W2373)=0),COUNTIFS('①在庫を貼る'!$V$6:$V$10005,$V2373,'①在庫を貼る'!$W$6:$W$10005,$W2373)&gt;0),N(U2372),N(U2372)+1))</f>
        <v/>
      </c>
      <c r="V2373" s="19">
        <f>IF($B2373="","",TEXT($B2373,"0000"))</f>
        <v/>
      </c>
      <c r="W2373" s="19">
        <f>IF($I2373="","",IF(ISNUMBER($I2373),TEXT($I2373,"0"),$I2373))</f>
        <v/>
      </c>
    </row>
    <row r="2374">
      <c r="B2374" s="25" t="n"/>
      <c r="I2374" s="25" t="n"/>
      <c r="U2374" s="19">
        <f>IF($V2374&lt;&gt;'設定'!$C$4,N(U2373),IF(OR(NOT(COUNTIF('商品マスタ'!$B$6:$B$1005,$W2374)=0),COUNTIFS('①在庫を貼る'!$V$6:$V$10005,$V2374,'①在庫を貼る'!$W$6:$W$10005,$W2374)&gt;0),N(U2373),N(U2373)+1))</f>
        <v/>
      </c>
      <c r="V2374" s="19">
        <f>IF($B2374="","",TEXT($B2374,"0000"))</f>
        <v/>
      </c>
      <c r="W2374" s="19">
        <f>IF($I2374="","",IF(ISNUMBER($I2374),TEXT($I2374,"0"),$I2374))</f>
        <v/>
      </c>
    </row>
    <row r="2375">
      <c r="B2375" s="25" t="n"/>
      <c r="I2375" s="25" t="n"/>
      <c r="U2375" s="19">
        <f>IF($V2375&lt;&gt;'設定'!$C$4,N(U2374),IF(OR(NOT(COUNTIF('商品マスタ'!$B$6:$B$1005,$W2375)=0),COUNTIFS('①在庫を貼る'!$V$6:$V$10005,$V2375,'①在庫を貼る'!$W$6:$W$10005,$W2375)&gt;0),N(U2374),N(U2374)+1))</f>
        <v/>
      </c>
      <c r="V2375" s="19">
        <f>IF($B2375="","",TEXT($B2375,"0000"))</f>
        <v/>
      </c>
      <c r="W2375" s="19">
        <f>IF($I2375="","",IF(ISNUMBER($I2375),TEXT($I2375,"0"),$I2375))</f>
        <v/>
      </c>
    </row>
    <row r="2376">
      <c r="B2376" s="25" t="n"/>
      <c r="I2376" s="25" t="n"/>
      <c r="U2376" s="19">
        <f>IF($V2376&lt;&gt;'設定'!$C$4,N(U2375),IF(OR(NOT(COUNTIF('商品マスタ'!$B$6:$B$1005,$W2376)=0),COUNTIFS('①在庫を貼る'!$V$6:$V$10005,$V2376,'①在庫を貼る'!$W$6:$W$10005,$W2376)&gt;0),N(U2375),N(U2375)+1))</f>
        <v/>
      </c>
      <c r="V2376" s="19">
        <f>IF($B2376="","",TEXT($B2376,"0000"))</f>
        <v/>
      </c>
      <c r="W2376" s="19">
        <f>IF($I2376="","",IF(ISNUMBER($I2376),TEXT($I2376,"0"),$I2376))</f>
        <v/>
      </c>
    </row>
    <row r="2377">
      <c r="B2377" s="25" t="n"/>
      <c r="I2377" s="25" t="n"/>
      <c r="U2377" s="19">
        <f>IF($V2377&lt;&gt;'設定'!$C$4,N(U2376),IF(OR(NOT(COUNTIF('商品マスタ'!$B$6:$B$1005,$W2377)=0),COUNTIFS('①在庫を貼る'!$V$6:$V$10005,$V2377,'①在庫を貼る'!$W$6:$W$10005,$W2377)&gt;0),N(U2376),N(U2376)+1))</f>
        <v/>
      </c>
      <c r="V2377" s="19">
        <f>IF($B2377="","",TEXT($B2377,"0000"))</f>
        <v/>
      </c>
      <c r="W2377" s="19">
        <f>IF($I2377="","",IF(ISNUMBER($I2377),TEXT($I2377,"0"),$I2377))</f>
        <v/>
      </c>
    </row>
    <row r="2378">
      <c r="B2378" s="25" t="n"/>
      <c r="I2378" s="25" t="n"/>
      <c r="U2378" s="19">
        <f>IF($V2378&lt;&gt;'設定'!$C$4,N(U2377),IF(OR(NOT(COUNTIF('商品マスタ'!$B$6:$B$1005,$W2378)=0),COUNTIFS('①在庫を貼る'!$V$6:$V$10005,$V2378,'①在庫を貼る'!$W$6:$W$10005,$W2378)&gt;0),N(U2377),N(U2377)+1))</f>
        <v/>
      </c>
      <c r="V2378" s="19">
        <f>IF($B2378="","",TEXT($B2378,"0000"))</f>
        <v/>
      </c>
      <c r="W2378" s="19">
        <f>IF($I2378="","",IF(ISNUMBER($I2378),TEXT($I2378,"0"),$I2378))</f>
        <v/>
      </c>
    </row>
    <row r="2379">
      <c r="B2379" s="25" t="n"/>
      <c r="I2379" s="25" t="n"/>
      <c r="U2379" s="19">
        <f>IF($V2379&lt;&gt;'設定'!$C$4,N(U2378),IF(OR(NOT(COUNTIF('商品マスタ'!$B$6:$B$1005,$W2379)=0),COUNTIFS('①在庫を貼る'!$V$6:$V$10005,$V2379,'①在庫を貼る'!$W$6:$W$10005,$W2379)&gt;0),N(U2378),N(U2378)+1))</f>
        <v/>
      </c>
      <c r="V2379" s="19">
        <f>IF($B2379="","",TEXT($B2379,"0000"))</f>
        <v/>
      </c>
      <c r="W2379" s="19">
        <f>IF($I2379="","",IF(ISNUMBER($I2379),TEXT($I2379,"0"),$I2379))</f>
        <v/>
      </c>
    </row>
    <row r="2380">
      <c r="B2380" s="25" t="n"/>
      <c r="I2380" s="25" t="n"/>
      <c r="U2380" s="19">
        <f>IF($V2380&lt;&gt;'設定'!$C$4,N(U2379),IF(OR(NOT(COUNTIF('商品マスタ'!$B$6:$B$1005,$W2380)=0),COUNTIFS('①在庫を貼る'!$V$6:$V$10005,$V2380,'①在庫を貼る'!$W$6:$W$10005,$W2380)&gt;0),N(U2379),N(U2379)+1))</f>
        <v/>
      </c>
      <c r="V2380" s="19">
        <f>IF($B2380="","",TEXT($B2380,"0000"))</f>
        <v/>
      </c>
      <c r="W2380" s="19">
        <f>IF($I2380="","",IF(ISNUMBER($I2380),TEXT($I2380,"0"),$I2380))</f>
        <v/>
      </c>
    </row>
    <row r="2381">
      <c r="B2381" s="25" t="n"/>
      <c r="I2381" s="25" t="n"/>
      <c r="U2381" s="19">
        <f>IF($V2381&lt;&gt;'設定'!$C$4,N(U2380),IF(OR(NOT(COUNTIF('商品マスタ'!$B$6:$B$1005,$W2381)=0),COUNTIFS('①在庫を貼る'!$V$6:$V$10005,$V2381,'①在庫を貼る'!$W$6:$W$10005,$W2381)&gt;0),N(U2380),N(U2380)+1))</f>
        <v/>
      </c>
      <c r="V2381" s="19">
        <f>IF($B2381="","",TEXT($B2381,"0000"))</f>
        <v/>
      </c>
      <c r="W2381" s="19">
        <f>IF($I2381="","",IF(ISNUMBER($I2381),TEXT($I2381,"0"),$I2381))</f>
        <v/>
      </c>
    </row>
    <row r="2382">
      <c r="B2382" s="25" t="n"/>
      <c r="I2382" s="25" t="n"/>
      <c r="U2382" s="19">
        <f>IF($V2382&lt;&gt;'設定'!$C$4,N(U2381),IF(OR(NOT(COUNTIF('商品マスタ'!$B$6:$B$1005,$W2382)=0),COUNTIFS('①在庫を貼る'!$V$6:$V$10005,$V2382,'①在庫を貼る'!$W$6:$W$10005,$W2382)&gt;0),N(U2381),N(U2381)+1))</f>
        <v/>
      </c>
      <c r="V2382" s="19">
        <f>IF($B2382="","",TEXT($B2382,"0000"))</f>
        <v/>
      </c>
      <c r="W2382" s="19">
        <f>IF($I2382="","",IF(ISNUMBER($I2382),TEXT($I2382,"0"),$I2382))</f>
        <v/>
      </c>
    </row>
    <row r="2383">
      <c r="B2383" s="25" t="n"/>
      <c r="I2383" s="25" t="n"/>
      <c r="U2383" s="19">
        <f>IF($V2383&lt;&gt;'設定'!$C$4,N(U2382),IF(OR(NOT(COUNTIF('商品マスタ'!$B$6:$B$1005,$W2383)=0),COUNTIFS('①在庫を貼る'!$V$6:$V$10005,$V2383,'①在庫を貼る'!$W$6:$W$10005,$W2383)&gt;0),N(U2382),N(U2382)+1))</f>
        <v/>
      </c>
      <c r="V2383" s="19">
        <f>IF($B2383="","",TEXT($B2383,"0000"))</f>
        <v/>
      </c>
      <c r="W2383" s="19">
        <f>IF($I2383="","",IF(ISNUMBER($I2383),TEXT($I2383,"0"),$I2383))</f>
        <v/>
      </c>
    </row>
    <row r="2384">
      <c r="B2384" s="25" t="n"/>
      <c r="I2384" s="25" t="n"/>
      <c r="U2384" s="19">
        <f>IF($V2384&lt;&gt;'設定'!$C$4,N(U2383),IF(OR(NOT(COUNTIF('商品マスタ'!$B$6:$B$1005,$W2384)=0),COUNTIFS('①在庫を貼る'!$V$6:$V$10005,$V2384,'①在庫を貼る'!$W$6:$W$10005,$W2384)&gt;0),N(U2383),N(U2383)+1))</f>
        <v/>
      </c>
      <c r="V2384" s="19">
        <f>IF($B2384="","",TEXT($B2384,"0000"))</f>
        <v/>
      </c>
      <c r="W2384" s="19">
        <f>IF($I2384="","",IF(ISNUMBER($I2384),TEXT($I2384,"0"),$I2384))</f>
        <v/>
      </c>
    </row>
    <row r="2385">
      <c r="B2385" s="25" t="n"/>
      <c r="I2385" s="25" t="n"/>
      <c r="U2385" s="19">
        <f>IF($V2385&lt;&gt;'設定'!$C$4,N(U2384),IF(OR(NOT(COUNTIF('商品マスタ'!$B$6:$B$1005,$W2385)=0),COUNTIFS('①在庫を貼る'!$V$6:$V$10005,$V2385,'①在庫を貼る'!$W$6:$W$10005,$W2385)&gt;0),N(U2384),N(U2384)+1))</f>
        <v/>
      </c>
      <c r="V2385" s="19">
        <f>IF($B2385="","",TEXT($B2385,"0000"))</f>
        <v/>
      </c>
      <c r="W2385" s="19">
        <f>IF($I2385="","",IF(ISNUMBER($I2385),TEXT($I2385,"0"),$I2385))</f>
        <v/>
      </c>
    </row>
    <row r="2386">
      <c r="B2386" s="25" t="n"/>
      <c r="I2386" s="25" t="n"/>
      <c r="U2386" s="19">
        <f>IF($V2386&lt;&gt;'設定'!$C$4,N(U2385),IF(OR(NOT(COUNTIF('商品マスタ'!$B$6:$B$1005,$W2386)=0),COUNTIFS('①在庫を貼る'!$V$6:$V$10005,$V2386,'①在庫を貼る'!$W$6:$W$10005,$W2386)&gt;0),N(U2385),N(U2385)+1))</f>
        <v/>
      </c>
      <c r="V2386" s="19">
        <f>IF($B2386="","",TEXT($B2386,"0000"))</f>
        <v/>
      </c>
      <c r="W2386" s="19">
        <f>IF($I2386="","",IF(ISNUMBER($I2386),TEXT($I2386,"0"),$I2386))</f>
        <v/>
      </c>
    </row>
    <row r="2387">
      <c r="B2387" s="25" t="n"/>
      <c r="I2387" s="25" t="n"/>
      <c r="U2387" s="19">
        <f>IF($V2387&lt;&gt;'設定'!$C$4,N(U2386),IF(OR(NOT(COUNTIF('商品マスタ'!$B$6:$B$1005,$W2387)=0),COUNTIFS('①在庫を貼る'!$V$6:$V$10005,$V2387,'①在庫を貼る'!$W$6:$W$10005,$W2387)&gt;0),N(U2386),N(U2386)+1))</f>
        <v/>
      </c>
      <c r="V2387" s="19">
        <f>IF($B2387="","",TEXT($B2387,"0000"))</f>
        <v/>
      </c>
      <c r="W2387" s="19">
        <f>IF($I2387="","",IF(ISNUMBER($I2387),TEXT($I2387,"0"),$I2387))</f>
        <v/>
      </c>
    </row>
    <row r="2388">
      <c r="B2388" s="25" t="n"/>
      <c r="I2388" s="25" t="n"/>
      <c r="U2388" s="19">
        <f>IF($V2388&lt;&gt;'設定'!$C$4,N(U2387),IF(OR(NOT(COUNTIF('商品マスタ'!$B$6:$B$1005,$W2388)=0),COUNTIFS('①在庫を貼る'!$V$6:$V$10005,$V2388,'①在庫を貼る'!$W$6:$W$10005,$W2388)&gt;0),N(U2387),N(U2387)+1))</f>
        <v/>
      </c>
      <c r="V2388" s="19">
        <f>IF($B2388="","",TEXT($B2388,"0000"))</f>
        <v/>
      </c>
      <c r="W2388" s="19">
        <f>IF($I2388="","",IF(ISNUMBER($I2388),TEXT($I2388,"0"),$I2388))</f>
        <v/>
      </c>
    </row>
    <row r="2389">
      <c r="B2389" s="25" t="n"/>
      <c r="I2389" s="25" t="n"/>
      <c r="U2389" s="19">
        <f>IF($V2389&lt;&gt;'設定'!$C$4,N(U2388),IF(OR(NOT(COUNTIF('商品マスタ'!$B$6:$B$1005,$W2389)=0),COUNTIFS('①在庫を貼る'!$V$6:$V$10005,$V2389,'①在庫を貼る'!$W$6:$W$10005,$W2389)&gt;0),N(U2388),N(U2388)+1))</f>
        <v/>
      </c>
      <c r="V2389" s="19">
        <f>IF($B2389="","",TEXT($B2389,"0000"))</f>
        <v/>
      </c>
      <c r="W2389" s="19">
        <f>IF($I2389="","",IF(ISNUMBER($I2389),TEXT($I2389,"0"),$I2389))</f>
        <v/>
      </c>
    </row>
    <row r="2390">
      <c r="B2390" s="25" t="n"/>
      <c r="I2390" s="25" t="n"/>
      <c r="U2390" s="19">
        <f>IF($V2390&lt;&gt;'設定'!$C$4,N(U2389),IF(OR(NOT(COUNTIF('商品マスタ'!$B$6:$B$1005,$W2390)=0),COUNTIFS('①在庫を貼る'!$V$6:$V$10005,$V2390,'①在庫を貼る'!$W$6:$W$10005,$W2390)&gt;0),N(U2389),N(U2389)+1))</f>
        <v/>
      </c>
      <c r="V2390" s="19">
        <f>IF($B2390="","",TEXT($B2390,"0000"))</f>
        <v/>
      </c>
      <c r="W2390" s="19">
        <f>IF($I2390="","",IF(ISNUMBER($I2390),TEXT($I2390,"0"),$I2390))</f>
        <v/>
      </c>
    </row>
    <row r="2391">
      <c r="B2391" s="25" t="n"/>
      <c r="I2391" s="25" t="n"/>
      <c r="U2391" s="19">
        <f>IF($V2391&lt;&gt;'設定'!$C$4,N(U2390),IF(OR(NOT(COUNTIF('商品マスタ'!$B$6:$B$1005,$W2391)=0),COUNTIFS('①在庫を貼る'!$V$6:$V$10005,$V2391,'①在庫を貼る'!$W$6:$W$10005,$W2391)&gt;0),N(U2390),N(U2390)+1))</f>
        <v/>
      </c>
      <c r="V2391" s="19">
        <f>IF($B2391="","",TEXT($B2391,"0000"))</f>
        <v/>
      </c>
      <c r="W2391" s="19">
        <f>IF($I2391="","",IF(ISNUMBER($I2391),TEXT($I2391,"0"),$I2391))</f>
        <v/>
      </c>
    </row>
    <row r="2392">
      <c r="B2392" s="25" t="n"/>
      <c r="I2392" s="25" t="n"/>
      <c r="U2392" s="19">
        <f>IF($V2392&lt;&gt;'設定'!$C$4,N(U2391),IF(OR(NOT(COUNTIF('商品マスタ'!$B$6:$B$1005,$W2392)=0),COUNTIFS('①在庫を貼る'!$V$6:$V$10005,$V2392,'①在庫を貼る'!$W$6:$W$10005,$W2392)&gt;0),N(U2391),N(U2391)+1))</f>
        <v/>
      </c>
      <c r="V2392" s="19">
        <f>IF($B2392="","",TEXT($B2392,"0000"))</f>
        <v/>
      </c>
      <c r="W2392" s="19">
        <f>IF($I2392="","",IF(ISNUMBER($I2392),TEXT($I2392,"0"),$I2392))</f>
        <v/>
      </c>
    </row>
    <row r="2393">
      <c r="B2393" s="25" t="n"/>
      <c r="I2393" s="25" t="n"/>
      <c r="U2393" s="19">
        <f>IF($V2393&lt;&gt;'設定'!$C$4,N(U2392),IF(OR(NOT(COUNTIF('商品マスタ'!$B$6:$B$1005,$W2393)=0),COUNTIFS('①在庫を貼る'!$V$6:$V$10005,$V2393,'①在庫を貼る'!$W$6:$W$10005,$W2393)&gt;0),N(U2392),N(U2392)+1))</f>
        <v/>
      </c>
      <c r="V2393" s="19">
        <f>IF($B2393="","",TEXT($B2393,"0000"))</f>
        <v/>
      </c>
      <c r="W2393" s="19">
        <f>IF($I2393="","",IF(ISNUMBER($I2393),TEXT($I2393,"0"),$I2393))</f>
        <v/>
      </c>
    </row>
    <row r="2394">
      <c r="B2394" s="25" t="n"/>
      <c r="I2394" s="25" t="n"/>
      <c r="U2394" s="19">
        <f>IF($V2394&lt;&gt;'設定'!$C$4,N(U2393),IF(OR(NOT(COUNTIF('商品マスタ'!$B$6:$B$1005,$W2394)=0),COUNTIFS('①在庫を貼る'!$V$6:$V$10005,$V2394,'①在庫を貼る'!$W$6:$W$10005,$W2394)&gt;0),N(U2393),N(U2393)+1))</f>
        <v/>
      </c>
      <c r="V2394" s="19">
        <f>IF($B2394="","",TEXT($B2394,"0000"))</f>
        <v/>
      </c>
      <c r="W2394" s="19">
        <f>IF($I2394="","",IF(ISNUMBER($I2394),TEXT($I2394,"0"),$I2394))</f>
        <v/>
      </c>
    </row>
    <row r="2395">
      <c r="B2395" s="25" t="n"/>
      <c r="I2395" s="25" t="n"/>
      <c r="U2395" s="19">
        <f>IF($V2395&lt;&gt;'設定'!$C$4,N(U2394),IF(OR(NOT(COUNTIF('商品マスタ'!$B$6:$B$1005,$W2395)=0),COUNTIFS('①在庫を貼る'!$V$6:$V$10005,$V2395,'①在庫を貼る'!$W$6:$W$10005,$W2395)&gt;0),N(U2394),N(U2394)+1))</f>
        <v/>
      </c>
      <c r="V2395" s="19">
        <f>IF($B2395="","",TEXT($B2395,"0000"))</f>
        <v/>
      </c>
      <c r="W2395" s="19">
        <f>IF($I2395="","",IF(ISNUMBER($I2395),TEXT($I2395,"0"),$I2395))</f>
        <v/>
      </c>
    </row>
    <row r="2396">
      <c r="B2396" s="25" t="n"/>
      <c r="I2396" s="25" t="n"/>
      <c r="U2396" s="19">
        <f>IF($V2396&lt;&gt;'設定'!$C$4,N(U2395),IF(OR(NOT(COUNTIF('商品マスタ'!$B$6:$B$1005,$W2396)=0),COUNTIFS('①在庫を貼る'!$V$6:$V$10005,$V2396,'①在庫を貼る'!$W$6:$W$10005,$W2396)&gt;0),N(U2395),N(U2395)+1))</f>
        <v/>
      </c>
      <c r="V2396" s="19">
        <f>IF($B2396="","",TEXT($B2396,"0000"))</f>
        <v/>
      </c>
      <c r="W2396" s="19">
        <f>IF($I2396="","",IF(ISNUMBER($I2396),TEXT($I2396,"0"),$I2396))</f>
        <v/>
      </c>
    </row>
    <row r="2397">
      <c r="B2397" s="25" t="n"/>
      <c r="I2397" s="25" t="n"/>
      <c r="U2397" s="19">
        <f>IF($V2397&lt;&gt;'設定'!$C$4,N(U2396),IF(OR(NOT(COUNTIF('商品マスタ'!$B$6:$B$1005,$W2397)=0),COUNTIFS('①在庫を貼る'!$V$6:$V$10005,$V2397,'①在庫を貼る'!$W$6:$W$10005,$W2397)&gt;0),N(U2396),N(U2396)+1))</f>
        <v/>
      </c>
      <c r="V2397" s="19">
        <f>IF($B2397="","",TEXT($B2397,"0000"))</f>
        <v/>
      </c>
      <c r="W2397" s="19">
        <f>IF($I2397="","",IF(ISNUMBER($I2397),TEXT($I2397,"0"),$I2397))</f>
        <v/>
      </c>
    </row>
    <row r="2398">
      <c r="B2398" s="25" t="n"/>
      <c r="I2398" s="25" t="n"/>
      <c r="U2398" s="19">
        <f>IF($V2398&lt;&gt;'設定'!$C$4,N(U2397),IF(OR(NOT(COUNTIF('商品マスタ'!$B$6:$B$1005,$W2398)=0),COUNTIFS('①在庫を貼る'!$V$6:$V$10005,$V2398,'①在庫を貼る'!$W$6:$W$10005,$W2398)&gt;0),N(U2397),N(U2397)+1))</f>
        <v/>
      </c>
      <c r="V2398" s="19">
        <f>IF($B2398="","",TEXT($B2398,"0000"))</f>
        <v/>
      </c>
      <c r="W2398" s="19">
        <f>IF($I2398="","",IF(ISNUMBER($I2398),TEXT($I2398,"0"),$I2398))</f>
        <v/>
      </c>
    </row>
    <row r="2399">
      <c r="B2399" s="25" t="n"/>
      <c r="I2399" s="25" t="n"/>
      <c r="U2399" s="19">
        <f>IF($V2399&lt;&gt;'設定'!$C$4,N(U2398),IF(OR(NOT(COUNTIF('商品マスタ'!$B$6:$B$1005,$W2399)=0),COUNTIFS('①在庫を貼る'!$V$6:$V$10005,$V2399,'①在庫を貼る'!$W$6:$W$10005,$W2399)&gt;0),N(U2398),N(U2398)+1))</f>
        <v/>
      </c>
      <c r="V2399" s="19">
        <f>IF($B2399="","",TEXT($B2399,"0000"))</f>
        <v/>
      </c>
      <c r="W2399" s="19">
        <f>IF($I2399="","",IF(ISNUMBER($I2399),TEXT($I2399,"0"),$I2399))</f>
        <v/>
      </c>
    </row>
    <row r="2400">
      <c r="B2400" s="25" t="n"/>
      <c r="I2400" s="25" t="n"/>
      <c r="U2400" s="19">
        <f>IF($V2400&lt;&gt;'設定'!$C$4,N(U2399),IF(OR(NOT(COUNTIF('商品マスタ'!$B$6:$B$1005,$W2400)=0),COUNTIFS('①在庫を貼る'!$V$6:$V$10005,$V2400,'①在庫を貼る'!$W$6:$W$10005,$W2400)&gt;0),N(U2399),N(U2399)+1))</f>
        <v/>
      </c>
      <c r="V2400" s="19">
        <f>IF($B2400="","",TEXT($B2400,"0000"))</f>
        <v/>
      </c>
      <c r="W2400" s="19">
        <f>IF($I2400="","",IF(ISNUMBER($I2400),TEXT($I2400,"0"),$I2400))</f>
        <v/>
      </c>
    </row>
    <row r="2401">
      <c r="B2401" s="25" t="n"/>
      <c r="I2401" s="25" t="n"/>
      <c r="U2401" s="19">
        <f>IF($V2401&lt;&gt;'設定'!$C$4,N(U2400),IF(OR(NOT(COUNTIF('商品マスタ'!$B$6:$B$1005,$W2401)=0),COUNTIFS('①在庫を貼る'!$V$6:$V$10005,$V2401,'①在庫を貼る'!$W$6:$W$10005,$W2401)&gt;0),N(U2400),N(U2400)+1))</f>
        <v/>
      </c>
      <c r="V2401" s="19">
        <f>IF($B2401="","",TEXT($B2401,"0000"))</f>
        <v/>
      </c>
      <c r="W2401" s="19">
        <f>IF($I2401="","",IF(ISNUMBER($I2401),TEXT($I2401,"0"),$I2401))</f>
        <v/>
      </c>
    </row>
    <row r="2402">
      <c r="B2402" s="25" t="n"/>
      <c r="I2402" s="25" t="n"/>
      <c r="U2402" s="19">
        <f>IF($V2402&lt;&gt;'設定'!$C$4,N(U2401),IF(OR(NOT(COUNTIF('商品マスタ'!$B$6:$B$1005,$W2402)=0),COUNTIFS('①在庫を貼る'!$V$6:$V$10005,$V2402,'①在庫を貼る'!$W$6:$W$10005,$W2402)&gt;0),N(U2401),N(U2401)+1))</f>
        <v/>
      </c>
      <c r="V2402" s="19">
        <f>IF($B2402="","",TEXT($B2402,"0000"))</f>
        <v/>
      </c>
      <c r="W2402" s="19">
        <f>IF($I2402="","",IF(ISNUMBER($I2402),TEXT($I2402,"0"),$I2402))</f>
        <v/>
      </c>
    </row>
    <row r="2403">
      <c r="B2403" s="25" t="n"/>
      <c r="I2403" s="25" t="n"/>
      <c r="U2403" s="19">
        <f>IF($V2403&lt;&gt;'設定'!$C$4,N(U2402),IF(OR(NOT(COUNTIF('商品マスタ'!$B$6:$B$1005,$W2403)=0),COUNTIFS('①在庫を貼る'!$V$6:$V$10005,$V2403,'①在庫を貼る'!$W$6:$W$10005,$W2403)&gt;0),N(U2402),N(U2402)+1))</f>
        <v/>
      </c>
      <c r="V2403" s="19">
        <f>IF($B2403="","",TEXT($B2403,"0000"))</f>
        <v/>
      </c>
      <c r="W2403" s="19">
        <f>IF($I2403="","",IF(ISNUMBER($I2403),TEXT($I2403,"0"),$I2403))</f>
        <v/>
      </c>
    </row>
    <row r="2404">
      <c r="B2404" s="25" t="n"/>
      <c r="I2404" s="25" t="n"/>
      <c r="U2404" s="19">
        <f>IF($V2404&lt;&gt;'設定'!$C$4,N(U2403),IF(OR(NOT(COUNTIF('商品マスタ'!$B$6:$B$1005,$W2404)=0),COUNTIFS('①在庫を貼る'!$V$6:$V$10005,$V2404,'①在庫を貼る'!$W$6:$W$10005,$W2404)&gt;0),N(U2403),N(U2403)+1))</f>
        <v/>
      </c>
      <c r="V2404" s="19">
        <f>IF($B2404="","",TEXT($B2404,"0000"))</f>
        <v/>
      </c>
      <c r="W2404" s="19">
        <f>IF($I2404="","",IF(ISNUMBER($I2404),TEXT($I2404,"0"),$I2404))</f>
        <v/>
      </c>
    </row>
    <row r="2405">
      <c r="B2405" s="25" t="n"/>
      <c r="I2405" s="25" t="n"/>
      <c r="U2405" s="19">
        <f>IF($V2405&lt;&gt;'設定'!$C$4,N(U2404),IF(OR(NOT(COUNTIF('商品マスタ'!$B$6:$B$1005,$W2405)=0),COUNTIFS('①在庫を貼る'!$V$6:$V$10005,$V2405,'①在庫を貼る'!$W$6:$W$10005,$W2405)&gt;0),N(U2404),N(U2404)+1))</f>
        <v/>
      </c>
      <c r="V2405" s="19">
        <f>IF($B2405="","",TEXT($B2405,"0000"))</f>
        <v/>
      </c>
      <c r="W2405" s="19">
        <f>IF($I2405="","",IF(ISNUMBER($I2405),TEXT($I2405,"0"),$I2405))</f>
        <v/>
      </c>
    </row>
    <row r="2406">
      <c r="B2406" s="25" t="n"/>
      <c r="I2406" s="25" t="n"/>
      <c r="U2406" s="19">
        <f>IF($V2406&lt;&gt;'設定'!$C$4,N(U2405),IF(OR(NOT(COUNTIF('商品マスタ'!$B$6:$B$1005,$W2406)=0),COUNTIFS('①在庫を貼る'!$V$6:$V$10005,$V2406,'①在庫を貼る'!$W$6:$W$10005,$W2406)&gt;0),N(U2405),N(U2405)+1))</f>
        <v/>
      </c>
      <c r="V2406" s="19">
        <f>IF($B2406="","",TEXT($B2406,"0000"))</f>
        <v/>
      </c>
      <c r="W2406" s="19">
        <f>IF($I2406="","",IF(ISNUMBER($I2406),TEXT($I2406,"0"),$I2406))</f>
        <v/>
      </c>
    </row>
    <row r="2407">
      <c r="B2407" s="25" t="n"/>
      <c r="I2407" s="25" t="n"/>
      <c r="U2407" s="19">
        <f>IF($V2407&lt;&gt;'設定'!$C$4,N(U2406),IF(OR(NOT(COUNTIF('商品マスタ'!$B$6:$B$1005,$W2407)=0),COUNTIFS('①在庫を貼る'!$V$6:$V$10005,$V2407,'①在庫を貼る'!$W$6:$W$10005,$W2407)&gt;0),N(U2406),N(U2406)+1))</f>
        <v/>
      </c>
      <c r="V2407" s="19">
        <f>IF($B2407="","",TEXT($B2407,"0000"))</f>
        <v/>
      </c>
      <c r="W2407" s="19">
        <f>IF($I2407="","",IF(ISNUMBER($I2407),TEXT($I2407,"0"),$I2407))</f>
        <v/>
      </c>
    </row>
    <row r="2408">
      <c r="B2408" s="25" t="n"/>
      <c r="I2408" s="25" t="n"/>
      <c r="U2408" s="19">
        <f>IF($V2408&lt;&gt;'設定'!$C$4,N(U2407),IF(OR(NOT(COUNTIF('商品マスタ'!$B$6:$B$1005,$W2408)=0),COUNTIFS('①在庫を貼る'!$V$6:$V$10005,$V2408,'①在庫を貼る'!$W$6:$W$10005,$W2408)&gt;0),N(U2407),N(U2407)+1))</f>
        <v/>
      </c>
      <c r="V2408" s="19">
        <f>IF($B2408="","",TEXT($B2408,"0000"))</f>
        <v/>
      </c>
      <c r="W2408" s="19">
        <f>IF($I2408="","",IF(ISNUMBER($I2408),TEXT($I2408,"0"),$I2408))</f>
        <v/>
      </c>
    </row>
    <row r="2409">
      <c r="B2409" s="25" t="n"/>
      <c r="I2409" s="25" t="n"/>
      <c r="U2409" s="19">
        <f>IF($V2409&lt;&gt;'設定'!$C$4,N(U2408),IF(OR(NOT(COUNTIF('商品マスタ'!$B$6:$B$1005,$W2409)=0),COUNTIFS('①在庫を貼る'!$V$6:$V$10005,$V2409,'①在庫を貼る'!$W$6:$W$10005,$W2409)&gt;0),N(U2408),N(U2408)+1))</f>
        <v/>
      </c>
      <c r="V2409" s="19">
        <f>IF($B2409="","",TEXT($B2409,"0000"))</f>
        <v/>
      </c>
      <c r="W2409" s="19">
        <f>IF($I2409="","",IF(ISNUMBER($I2409),TEXT($I2409,"0"),$I2409))</f>
        <v/>
      </c>
    </row>
    <row r="2410">
      <c r="B2410" s="25" t="n"/>
      <c r="I2410" s="25" t="n"/>
      <c r="U2410" s="19">
        <f>IF($V2410&lt;&gt;'設定'!$C$4,N(U2409),IF(OR(NOT(COUNTIF('商品マスタ'!$B$6:$B$1005,$W2410)=0),COUNTIFS('①在庫を貼る'!$V$6:$V$10005,$V2410,'①在庫を貼る'!$W$6:$W$10005,$W2410)&gt;0),N(U2409),N(U2409)+1))</f>
        <v/>
      </c>
      <c r="V2410" s="19">
        <f>IF($B2410="","",TEXT($B2410,"0000"))</f>
        <v/>
      </c>
      <c r="W2410" s="19">
        <f>IF($I2410="","",IF(ISNUMBER($I2410),TEXT($I2410,"0"),$I2410))</f>
        <v/>
      </c>
    </row>
    <row r="2411">
      <c r="B2411" s="25" t="n"/>
      <c r="I2411" s="25" t="n"/>
      <c r="U2411" s="19">
        <f>IF($V2411&lt;&gt;'設定'!$C$4,N(U2410),IF(OR(NOT(COUNTIF('商品マスタ'!$B$6:$B$1005,$W2411)=0),COUNTIFS('①在庫を貼る'!$V$6:$V$10005,$V2411,'①在庫を貼る'!$W$6:$W$10005,$W2411)&gt;0),N(U2410),N(U2410)+1))</f>
        <v/>
      </c>
      <c r="V2411" s="19">
        <f>IF($B2411="","",TEXT($B2411,"0000"))</f>
        <v/>
      </c>
      <c r="W2411" s="19">
        <f>IF($I2411="","",IF(ISNUMBER($I2411),TEXT($I2411,"0"),$I2411))</f>
        <v/>
      </c>
    </row>
    <row r="2412">
      <c r="B2412" s="25" t="n"/>
      <c r="I2412" s="25" t="n"/>
      <c r="U2412" s="19">
        <f>IF($V2412&lt;&gt;'設定'!$C$4,N(U2411),IF(OR(NOT(COUNTIF('商品マスタ'!$B$6:$B$1005,$W2412)=0),COUNTIFS('①在庫を貼る'!$V$6:$V$10005,$V2412,'①在庫を貼る'!$W$6:$W$10005,$W2412)&gt;0),N(U2411),N(U2411)+1))</f>
        <v/>
      </c>
      <c r="V2412" s="19">
        <f>IF($B2412="","",TEXT($B2412,"0000"))</f>
        <v/>
      </c>
      <c r="W2412" s="19">
        <f>IF($I2412="","",IF(ISNUMBER($I2412),TEXT($I2412,"0"),$I2412))</f>
        <v/>
      </c>
    </row>
    <row r="2413">
      <c r="B2413" s="25" t="n"/>
      <c r="I2413" s="25" t="n"/>
      <c r="U2413" s="19">
        <f>IF($V2413&lt;&gt;'設定'!$C$4,N(U2412),IF(OR(NOT(COUNTIF('商品マスタ'!$B$6:$B$1005,$W2413)=0),COUNTIFS('①在庫を貼る'!$V$6:$V$10005,$V2413,'①在庫を貼る'!$W$6:$W$10005,$W2413)&gt;0),N(U2412),N(U2412)+1))</f>
        <v/>
      </c>
      <c r="V2413" s="19">
        <f>IF($B2413="","",TEXT($B2413,"0000"))</f>
        <v/>
      </c>
      <c r="W2413" s="19">
        <f>IF($I2413="","",IF(ISNUMBER($I2413),TEXT($I2413,"0"),$I2413))</f>
        <v/>
      </c>
    </row>
    <row r="2414">
      <c r="B2414" s="25" t="n"/>
      <c r="I2414" s="25" t="n"/>
      <c r="U2414" s="19">
        <f>IF($V2414&lt;&gt;'設定'!$C$4,N(U2413),IF(OR(NOT(COUNTIF('商品マスタ'!$B$6:$B$1005,$W2414)=0),COUNTIFS('①在庫を貼る'!$V$6:$V$10005,$V2414,'①在庫を貼る'!$W$6:$W$10005,$W2414)&gt;0),N(U2413),N(U2413)+1))</f>
        <v/>
      </c>
      <c r="V2414" s="19">
        <f>IF($B2414="","",TEXT($B2414,"0000"))</f>
        <v/>
      </c>
      <c r="W2414" s="19">
        <f>IF($I2414="","",IF(ISNUMBER($I2414),TEXT($I2414,"0"),$I2414))</f>
        <v/>
      </c>
    </row>
    <row r="2415">
      <c r="B2415" s="25" t="n"/>
      <c r="I2415" s="25" t="n"/>
      <c r="U2415" s="19">
        <f>IF($V2415&lt;&gt;'設定'!$C$4,N(U2414),IF(OR(NOT(COUNTIF('商品マスタ'!$B$6:$B$1005,$W2415)=0),COUNTIFS('①在庫を貼る'!$V$6:$V$10005,$V2415,'①在庫を貼る'!$W$6:$W$10005,$W2415)&gt;0),N(U2414),N(U2414)+1))</f>
        <v/>
      </c>
      <c r="V2415" s="19">
        <f>IF($B2415="","",TEXT($B2415,"0000"))</f>
        <v/>
      </c>
      <c r="W2415" s="19">
        <f>IF($I2415="","",IF(ISNUMBER($I2415),TEXT($I2415,"0"),$I2415))</f>
        <v/>
      </c>
    </row>
    <row r="2416">
      <c r="B2416" s="25" t="n"/>
      <c r="I2416" s="25" t="n"/>
      <c r="U2416" s="19">
        <f>IF($V2416&lt;&gt;'設定'!$C$4,N(U2415),IF(OR(NOT(COUNTIF('商品マスタ'!$B$6:$B$1005,$W2416)=0),COUNTIFS('①在庫を貼る'!$V$6:$V$10005,$V2416,'①在庫を貼る'!$W$6:$W$10005,$W2416)&gt;0),N(U2415),N(U2415)+1))</f>
        <v/>
      </c>
      <c r="V2416" s="19">
        <f>IF($B2416="","",TEXT($B2416,"0000"))</f>
        <v/>
      </c>
      <c r="W2416" s="19">
        <f>IF($I2416="","",IF(ISNUMBER($I2416),TEXT($I2416,"0"),$I2416))</f>
        <v/>
      </c>
    </row>
    <row r="2417">
      <c r="B2417" s="25" t="n"/>
      <c r="I2417" s="25" t="n"/>
      <c r="U2417" s="19">
        <f>IF($V2417&lt;&gt;'設定'!$C$4,N(U2416),IF(OR(NOT(COUNTIF('商品マスタ'!$B$6:$B$1005,$W2417)=0),COUNTIFS('①在庫を貼る'!$V$6:$V$10005,$V2417,'①在庫を貼る'!$W$6:$W$10005,$W2417)&gt;0),N(U2416),N(U2416)+1))</f>
        <v/>
      </c>
      <c r="V2417" s="19">
        <f>IF($B2417="","",TEXT($B2417,"0000"))</f>
        <v/>
      </c>
      <c r="W2417" s="19">
        <f>IF($I2417="","",IF(ISNUMBER($I2417),TEXT($I2417,"0"),$I2417))</f>
        <v/>
      </c>
    </row>
    <row r="2418">
      <c r="B2418" s="25" t="n"/>
      <c r="I2418" s="25" t="n"/>
      <c r="U2418" s="19">
        <f>IF($V2418&lt;&gt;'設定'!$C$4,N(U2417),IF(OR(NOT(COUNTIF('商品マスタ'!$B$6:$B$1005,$W2418)=0),COUNTIFS('①在庫を貼る'!$V$6:$V$10005,$V2418,'①在庫を貼る'!$W$6:$W$10005,$W2418)&gt;0),N(U2417),N(U2417)+1))</f>
        <v/>
      </c>
      <c r="V2418" s="19">
        <f>IF($B2418="","",TEXT($B2418,"0000"))</f>
        <v/>
      </c>
      <c r="W2418" s="19">
        <f>IF($I2418="","",IF(ISNUMBER($I2418),TEXT($I2418,"0"),$I2418))</f>
        <v/>
      </c>
    </row>
    <row r="2419">
      <c r="B2419" s="25" t="n"/>
      <c r="I2419" s="25" t="n"/>
      <c r="U2419" s="19">
        <f>IF($V2419&lt;&gt;'設定'!$C$4,N(U2418),IF(OR(NOT(COUNTIF('商品マスタ'!$B$6:$B$1005,$W2419)=0),COUNTIFS('①在庫を貼る'!$V$6:$V$10005,$V2419,'①在庫を貼る'!$W$6:$W$10005,$W2419)&gt;0),N(U2418),N(U2418)+1))</f>
        <v/>
      </c>
      <c r="V2419" s="19">
        <f>IF($B2419="","",TEXT($B2419,"0000"))</f>
        <v/>
      </c>
      <c r="W2419" s="19">
        <f>IF($I2419="","",IF(ISNUMBER($I2419),TEXT($I2419,"0"),$I2419))</f>
        <v/>
      </c>
    </row>
    <row r="2420">
      <c r="B2420" s="25" t="n"/>
      <c r="I2420" s="25" t="n"/>
      <c r="U2420" s="19">
        <f>IF($V2420&lt;&gt;'設定'!$C$4,N(U2419),IF(OR(NOT(COUNTIF('商品マスタ'!$B$6:$B$1005,$W2420)=0),COUNTIFS('①在庫を貼る'!$V$6:$V$10005,$V2420,'①在庫を貼る'!$W$6:$W$10005,$W2420)&gt;0),N(U2419),N(U2419)+1))</f>
        <v/>
      </c>
      <c r="V2420" s="19">
        <f>IF($B2420="","",TEXT($B2420,"0000"))</f>
        <v/>
      </c>
      <c r="W2420" s="19">
        <f>IF($I2420="","",IF(ISNUMBER($I2420),TEXT($I2420,"0"),$I2420))</f>
        <v/>
      </c>
    </row>
    <row r="2421">
      <c r="B2421" s="25" t="n"/>
      <c r="I2421" s="25" t="n"/>
      <c r="U2421" s="19">
        <f>IF($V2421&lt;&gt;'設定'!$C$4,N(U2420),IF(OR(NOT(COUNTIF('商品マスタ'!$B$6:$B$1005,$W2421)=0),COUNTIFS('①在庫を貼る'!$V$6:$V$10005,$V2421,'①在庫を貼る'!$W$6:$W$10005,$W2421)&gt;0),N(U2420),N(U2420)+1))</f>
        <v/>
      </c>
      <c r="V2421" s="19">
        <f>IF($B2421="","",TEXT($B2421,"0000"))</f>
        <v/>
      </c>
      <c r="W2421" s="19">
        <f>IF($I2421="","",IF(ISNUMBER($I2421),TEXT($I2421,"0"),$I2421))</f>
        <v/>
      </c>
    </row>
    <row r="2422">
      <c r="B2422" s="25" t="n"/>
      <c r="I2422" s="25" t="n"/>
      <c r="U2422" s="19">
        <f>IF($V2422&lt;&gt;'設定'!$C$4,N(U2421),IF(OR(NOT(COUNTIF('商品マスタ'!$B$6:$B$1005,$W2422)=0),COUNTIFS('①在庫を貼る'!$V$6:$V$10005,$V2422,'①在庫を貼る'!$W$6:$W$10005,$W2422)&gt;0),N(U2421),N(U2421)+1))</f>
        <v/>
      </c>
      <c r="V2422" s="19">
        <f>IF($B2422="","",TEXT($B2422,"0000"))</f>
        <v/>
      </c>
      <c r="W2422" s="19">
        <f>IF($I2422="","",IF(ISNUMBER($I2422),TEXT($I2422,"0"),$I2422))</f>
        <v/>
      </c>
    </row>
    <row r="2423">
      <c r="B2423" s="25" t="n"/>
      <c r="I2423" s="25" t="n"/>
      <c r="U2423" s="19">
        <f>IF($V2423&lt;&gt;'設定'!$C$4,N(U2422),IF(OR(NOT(COUNTIF('商品マスタ'!$B$6:$B$1005,$W2423)=0),COUNTIFS('①在庫を貼る'!$V$6:$V$10005,$V2423,'①在庫を貼る'!$W$6:$W$10005,$W2423)&gt;0),N(U2422),N(U2422)+1))</f>
        <v/>
      </c>
      <c r="V2423" s="19">
        <f>IF($B2423="","",TEXT($B2423,"0000"))</f>
        <v/>
      </c>
      <c r="W2423" s="19">
        <f>IF($I2423="","",IF(ISNUMBER($I2423),TEXT($I2423,"0"),$I2423))</f>
        <v/>
      </c>
    </row>
    <row r="2424">
      <c r="B2424" s="25" t="n"/>
      <c r="I2424" s="25" t="n"/>
      <c r="U2424" s="19">
        <f>IF($V2424&lt;&gt;'設定'!$C$4,N(U2423),IF(OR(NOT(COUNTIF('商品マスタ'!$B$6:$B$1005,$W2424)=0),COUNTIFS('①在庫を貼る'!$V$6:$V$10005,$V2424,'①在庫を貼る'!$W$6:$W$10005,$W2424)&gt;0),N(U2423),N(U2423)+1))</f>
        <v/>
      </c>
      <c r="V2424" s="19">
        <f>IF($B2424="","",TEXT($B2424,"0000"))</f>
        <v/>
      </c>
      <c r="W2424" s="19">
        <f>IF($I2424="","",IF(ISNUMBER($I2424),TEXT($I2424,"0"),$I2424))</f>
        <v/>
      </c>
    </row>
    <row r="2425">
      <c r="B2425" s="25" t="n"/>
      <c r="I2425" s="25" t="n"/>
      <c r="U2425" s="19">
        <f>IF($V2425&lt;&gt;'設定'!$C$4,N(U2424),IF(OR(NOT(COUNTIF('商品マスタ'!$B$6:$B$1005,$W2425)=0),COUNTIFS('①在庫を貼る'!$V$6:$V$10005,$V2425,'①在庫を貼る'!$W$6:$W$10005,$W2425)&gt;0),N(U2424),N(U2424)+1))</f>
        <v/>
      </c>
      <c r="V2425" s="19">
        <f>IF($B2425="","",TEXT($B2425,"0000"))</f>
        <v/>
      </c>
      <c r="W2425" s="19">
        <f>IF($I2425="","",IF(ISNUMBER($I2425),TEXT($I2425,"0"),$I2425))</f>
        <v/>
      </c>
    </row>
    <row r="2426">
      <c r="B2426" s="25" t="n"/>
      <c r="I2426" s="25" t="n"/>
      <c r="U2426" s="19">
        <f>IF($V2426&lt;&gt;'設定'!$C$4,N(U2425),IF(OR(NOT(COUNTIF('商品マスタ'!$B$6:$B$1005,$W2426)=0),COUNTIFS('①在庫を貼る'!$V$6:$V$10005,$V2426,'①在庫を貼る'!$W$6:$W$10005,$W2426)&gt;0),N(U2425),N(U2425)+1))</f>
        <v/>
      </c>
      <c r="V2426" s="19">
        <f>IF($B2426="","",TEXT($B2426,"0000"))</f>
        <v/>
      </c>
      <c r="W2426" s="19">
        <f>IF($I2426="","",IF(ISNUMBER($I2426),TEXT($I2426,"0"),$I2426))</f>
        <v/>
      </c>
    </row>
    <row r="2427">
      <c r="B2427" s="25" t="n"/>
      <c r="I2427" s="25" t="n"/>
      <c r="U2427" s="19">
        <f>IF($V2427&lt;&gt;'設定'!$C$4,N(U2426),IF(OR(NOT(COUNTIF('商品マスタ'!$B$6:$B$1005,$W2427)=0),COUNTIFS('①在庫を貼る'!$V$6:$V$10005,$V2427,'①在庫を貼る'!$W$6:$W$10005,$W2427)&gt;0),N(U2426),N(U2426)+1))</f>
        <v/>
      </c>
      <c r="V2427" s="19">
        <f>IF($B2427="","",TEXT($B2427,"0000"))</f>
        <v/>
      </c>
      <c r="W2427" s="19">
        <f>IF($I2427="","",IF(ISNUMBER($I2427),TEXT($I2427,"0"),$I2427))</f>
        <v/>
      </c>
    </row>
    <row r="2428">
      <c r="B2428" s="25" t="n"/>
      <c r="I2428" s="25" t="n"/>
      <c r="U2428" s="19">
        <f>IF($V2428&lt;&gt;'設定'!$C$4,N(U2427),IF(OR(NOT(COUNTIF('商品マスタ'!$B$6:$B$1005,$W2428)=0),COUNTIFS('①在庫を貼る'!$V$6:$V$10005,$V2428,'①在庫を貼る'!$W$6:$W$10005,$W2428)&gt;0),N(U2427),N(U2427)+1))</f>
        <v/>
      </c>
      <c r="V2428" s="19">
        <f>IF($B2428="","",TEXT($B2428,"0000"))</f>
        <v/>
      </c>
      <c r="W2428" s="19">
        <f>IF($I2428="","",IF(ISNUMBER($I2428),TEXT($I2428,"0"),$I2428))</f>
        <v/>
      </c>
    </row>
    <row r="2429">
      <c r="B2429" s="25" t="n"/>
      <c r="I2429" s="25" t="n"/>
      <c r="U2429" s="19">
        <f>IF($V2429&lt;&gt;'設定'!$C$4,N(U2428),IF(OR(NOT(COUNTIF('商品マスタ'!$B$6:$B$1005,$W2429)=0),COUNTIFS('①在庫を貼る'!$V$6:$V$10005,$V2429,'①在庫を貼る'!$W$6:$W$10005,$W2429)&gt;0),N(U2428),N(U2428)+1))</f>
        <v/>
      </c>
      <c r="V2429" s="19">
        <f>IF($B2429="","",TEXT($B2429,"0000"))</f>
        <v/>
      </c>
      <c r="W2429" s="19">
        <f>IF($I2429="","",IF(ISNUMBER($I2429),TEXT($I2429,"0"),$I2429))</f>
        <v/>
      </c>
    </row>
    <row r="2430">
      <c r="B2430" s="25" t="n"/>
      <c r="I2430" s="25" t="n"/>
      <c r="U2430" s="19">
        <f>IF($V2430&lt;&gt;'設定'!$C$4,N(U2429),IF(OR(NOT(COUNTIF('商品マスタ'!$B$6:$B$1005,$W2430)=0),COUNTIFS('①在庫を貼る'!$V$6:$V$10005,$V2430,'①在庫を貼る'!$W$6:$W$10005,$W2430)&gt;0),N(U2429),N(U2429)+1))</f>
        <v/>
      </c>
      <c r="V2430" s="19">
        <f>IF($B2430="","",TEXT($B2430,"0000"))</f>
        <v/>
      </c>
      <c r="W2430" s="19">
        <f>IF($I2430="","",IF(ISNUMBER($I2430),TEXT($I2430,"0"),$I2430))</f>
        <v/>
      </c>
    </row>
    <row r="2431">
      <c r="B2431" s="25" t="n"/>
      <c r="I2431" s="25" t="n"/>
      <c r="U2431" s="19">
        <f>IF($V2431&lt;&gt;'設定'!$C$4,N(U2430),IF(OR(NOT(COUNTIF('商品マスタ'!$B$6:$B$1005,$W2431)=0),COUNTIFS('①在庫を貼る'!$V$6:$V$10005,$V2431,'①在庫を貼る'!$W$6:$W$10005,$W2431)&gt;0),N(U2430),N(U2430)+1))</f>
        <v/>
      </c>
      <c r="V2431" s="19">
        <f>IF($B2431="","",TEXT($B2431,"0000"))</f>
        <v/>
      </c>
      <c r="W2431" s="19">
        <f>IF($I2431="","",IF(ISNUMBER($I2431),TEXT($I2431,"0"),$I2431))</f>
        <v/>
      </c>
    </row>
    <row r="2432">
      <c r="B2432" s="25" t="n"/>
      <c r="I2432" s="25" t="n"/>
      <c r="U2432" s="19">
        <f>IF($V2432&lt;&gt;'設定'!$C$4,N(U2431),IF(OR(NOT(COUNTIF('商品マスタ'!$B$6:$B$1005,$W2432)=0),COUNTIFS('①在庫を貼る'!$V$6:$V$10005,$V2432,'①在庫を貼る'!$W$6:$W$10005,$W2432)&gt;0),N(U2431),N(U2431)+1))</f>
        <v/>
      </c>
      <c r="V2432" s="19">
        <f>IF($B2432="","",TEXT($B2432,"0000"))</f>
        <v/>
      </c>
      <c r="W2432" s="19">
        <f>IF($I2432="","",IF(ISNUMBER($I2432),TEXT($I2432,"0"),$I2432))</f>
        <v/>
      </c>
    </row>
    <row r="2433">
      <c r="B2433" s="25" t="n"/>
      <c r="I2433" s="25" t="n"/>
      <c r="U2433" s="19">
        <f>IF($V2433&lt;&gt;'設定'!$C$4,N(U2432),IF(OR(NOT(COUNTIF('商品マスタ'!$B$6:$B$1005,$W2433)=0),COUNTIFS('①在庫を貼る'!$V$6:$V$10005,$V2433,'①在庫を貼る'!$W$6:$W$10005,$W2433)&gt;0),N(U2432),N(U2432)+1))</f>
        <v/>
      </c>
      <c r="V2433" s="19">
        <f>IF($B2433="","",TEXT($B2433,"0000"))</f>
        <v/>
      </c>
      <c r="W2433" s="19">
        <f>IF($I2433="","",IF(ISNUMBER($I2433),TEXT($I2433,"0"),$I2433))</f>
        <v/>
      </c>
    </row>
    <row r="2434">
      <c r="B2434" s="25" t="n"/>
      <c r="I2434" s="25" t="n"/>
      <c r="U2434" s="19">
        <f>IF($V2434&lt;&gt;'設定'!$C$4,N(U2433),IF(OR(NOT(COUNTIF('商品マスタ'!$B$6:$B$1005,$W2434)=0),COUNTIFS('①在庫を貼る'!$V$6:$V$10005,$V2434,'①在庫を貼る'!$W$6:$W$10005,$W2434)&gt;0),N(U2433),N(U2433)+1))</f>
        <v/>
      </c>
      <c r="V2434" s="19">
        <f>IF($B2434="","",TEXT($B2434,"0000"))</f>
        <v/>
      </c>
      <c r="W2434" s="19">
        <f>IF($I2434="","",IF(ISNUMBER($I2434),TEXT($I2434,"0"),$I2434))</f>
        <v/>
      </c>
    </row>
    <row r="2435">
      <c r="B2435" s="25" t="n"/>
      <c r="I2435" s="25" t="n"/>
      <c r="U2435" s="19">
        <f>IF($V2435&lt;&gt;'設定'!$C$4,N(U2434),IF(OR(NOT(COUNTIF('商品マスタ'!$B$6:$B$1005,$W2435)=0),COUNTIFS('①在庫を貼る'!$V$6:$V$10005,$V2435,'①在庫を貼る'!$W$6:$W$10005,$W2435)&gt;0),N(U2434),N(U2434)+1))</f>
        <v/>
      </c>
      <c r="V2435" s="19">
        <f>IF($B2435="","",TEXT($B2435,"0000"))</f>
        <v/>
      </c>
      <c r="W2435" s="19">
        <f>IF($I2435="","",IF(ISNUMBER($I2435),TEXT($I2435,"0"),$I2435))</f>
        <v/>
      </c>
    </row>
    <row r="2436">
      <c r="B2436" s="25" t="n"/>
      <c r="I2436" s="25" t="n"/>
      <c r="U2436" s="19">
        <f>IF($V2436&lt;&gt;'設定'!$C$4,N(U2435),IF(OR(NOT(COUNTIF('商品マスタ'!$B$6:$B$1005,$W2436)=0),COUNTIFS('①在庫を貼る'!$V$6:$V$10005,$V2436,'①在庫を貼る'!$W$6:$W$10005,$W2436)&gt;0),N(U2435),N(U2435)+1))</f>
        <v/>
      </c>
      <c r="V2436" s="19">
        <f>IF($B2436="","",TEXT($B2436,"0000"))</f>
        <v/>
      </c>
      <c r="W2436" s="19">
        <f>IF($I2436="","",IF(ISNUMBER($I2436),TEXT($I2436,"0"),$I2436))</f>
        <v/>
      </c>
    </row>
    <row r="2437">
      <c r="B2437" s="25" t="n"/>
      <c r="I2437" s="25" t="n"/>
      <c r="U2437" s="19">
        <f>IF($V2437&lt;&gt;'設定'!$C$4,N(U2436),IF(OR(NOT(COUNTIF('商品マスタ'!$B$6:$B$1005,$W2437)=0),COUNTIFS('①在庫を貼る'!$V$6:$V$10005,$V2437,'①在庫を貼る'!$W$6:$W$10005,$W2437)&gt;0),N(U2436),N(U2436)+1))</f>
        <v/>
      </c>
      <c r="V2437" s="19">
        <f>IF($B2437="","",TEXT($B2437,"0000"))</f>
        <v/>
      </c>
      <c r="W2437" s="19">
        <f>IF($I2437="","",IF(ISNUMBER($I2437),TEXT($I2437,"0"),$I2437))</f>
        <v/>
      </c>
    </row>
    <row r="2438">
      <c r="B2438" s="25" t="n"/>
      <c r="I2438" s="25" t="n"/>
      <c r="U2438" s="19">
        <f>IF($V2438&lt;&gt;'設定'!$C$4,N(U2437),IF(OR(NOT(COUNTIF('商品マスタ'!$B$6:$B$1005,$W2438)=0),COUNTIFS('①在庫を貼る'!$V$6:$V$10005,$V2438,'①在庫を貼る'!$W$6:$W$10005,$W2438)&gt;0),N(U2437),N(U2437)+1))</f>
        <v/>
      </c>
      <c r="V2438" s="19">
        <f>IF($B2438="","",TEXT($B2438,"0000"))</f>
        <v/>
      </c>
      <c r="W2438" s="19">
        <f>IF($I2438="","",IF(ISNUMBER($I2438),TEXT($I2438,"0"),$I2438))</f>
        <v/>
      </c>
    </row>
    <row r="2439">
      <c r="B2439" s="25" t="n"/>
      <c r="I2439" s="25" t="n"/>
      <c r="U2439" s="19">
        <f>IF($V2439&lt;&gt;'設定'!$C$4,N(U2438),IF(OR(NOT(COUNTIF('商品マスタ'!$B$6:$B$1005,$W2439)=0),COUNTIFS('①在庫を貼る'!$V$6:$V$10005,$V2439,'①在庫を貼る'!$W$6:$W$10005,$W2439)&gt;0),N(U2438),N(U2438)+1))</f>
        <v/>
      </c>
      <c r="V2439" s="19">
        <f>IF($B2439="","",TEXT($B2439,"0000"))</f>
        <v/>
      </c>
      <c r="W2439" s="19">
        <f>IF($I2439="","",IF(ISNUMBER($I2439),TEXT($I2439,"0"),$I2439))</f>
        <v/>
      </c>
    </row>
    <row r="2440">
      <c r="B2440" s="25" t="n"/>
      <c r="I2440" s="25" t="n"/>
      <c r="U2440" s="19">
        <f>IF($V2440&lt;&gt;'設定'!$C$4,N(U2439),IF(OR(NOT(COUNTIF('商品マスタ'!$B$6:$B$1005,$W2440)=0),COUNTIFS('①在庫を貼る'!$V$6:$V$10005,$V2440,'①在庫を貼る'!$W$6:$W$10005,$W2440)&gt;0),N(U2439),N(U2439)+1))</f>
        <v/>
      </c>
      <c r="V2440" s="19">
        <f>IF($B2440="","",TEXT($B2440,"0000"))</f>
        <v/>
      </c>
      <c r="W2440" s="19">
        <f>IF($I2440="","",IF(ISNUMBER($I2440),TEXT($I2440,"0"),$I2440))</f>
        <v/>
      </c>
    </row>
    <row r="2441">
      <c r="B2441" s="25" t="n"/>
      <c r="I2441" s="25" t="n"/>
      <c r="U2441" s="19">
        <f>IF($V2441&lt;&gt;'設定'!$C$4,N(U2440),IF(OR(NOT(COUNTIF('商品マスタ'!$B$6:$B$1005,$W2441)=0),COUNTIFS('①在庫を貼る'!$V$6:$V$10005,$V2441,'①在庫を貼る'!$W$6:$W$10005,$W2441)&gt;0),N(U2440),N(U2440)+1))</f>
        <v/>
      </c>
      <c r="V2441" s="19">
        <f>IF($B2441="","",TEXT($B2441,"0000"))</f>
        <v/>
      </c>
      <c r="W2441" s="19">
        <f>IF($I2441="","",IF(ISNUMBER($I2441),TEXT($I2441,"0"),$I2441))</f>
        <v/>
      </c>
    </row>
    <row r="2442">
      <c r="B2442" s="25" t="n"/>
      <c r="I2442" s="25" t="n"/>
      <c r="U2442" s="19">
        <f>IF($V2442&lt;&gt;'設定'!$C$4,N(U2441),IF(OR(NOT(COUNTIF('商品マスタ'!$B$6:$B$1005,$W2442)=0),COUNTIFS('①在庫を貼る'!$V$6:$V$10005,$V2442,'①在庫を貼る'!$W$6:$W$10005,$W2442)&gt;0),N(U2441),N(U2441)+1))</f>
        <v/>
      </c>
      <c r="V2442" s="19">
        <f>IF($B2442="","",TEXT($B2442,"0000"))</f>
        <v/>
      </c>
      <c r="W2442" s="19">
        <f>IF($I2442="","",IF(ISNUMBER($I2442),TEXT($I2442,"0"),$I2442))</f>
        <v/>
      </c>
    </row>
    <row r="2443">
      <c r="B2443" s="25" t="n"/>
      <c r="I2443" s="25" t="n"/>
      <c r="U2443" s="19">
        <f>IF($V2443&lt;&gt;'設定'!$C$4,N(U2442),IF(OR(NOT(COUNTIF('商品マスタ'!$B$6:$B$1005,$W2443)=0),COUNTIFS('①在庫を貼る'!$V$6:$V$10005,$V2443,'①在庫を貼る'!$W$6:$W$10005,$W2443)&gt;0),N(U2442),N(U2442)+1))</f>
        <v/>
      </c>
      <c r="V2443" s="19">
        <f>IF($B2443="","",TEXT($B2443,"0000"))</f>
        <v/>
      </c>
      <c r="W2443" s="19">
        <f>IF($I2443="","",IF(ISNUMBER($I2443),TEXT($I2443,"0"),$I2443))</f>
        <v/>
      </c>
    </row>
    <row r="2444">
      <c r="B2444" s="25" t="n"/>
      <c r="I2444" s="25" t="n"/>
      <c r="U2444" s="19">
        <f>IF($V2444&lt;&gt;'設定'!$C$4,N(U2443),IF(OR(NOT(COUNTIF('商品マスタ'!$B$6:$B$1005,$W2444)=0),COUNTIFS('①在庫を貼る'!$V$6:$V$10005,$V2444,'①在庫を貼る'!$W$6:$W$10005,$W2444)&gt;0),N(U2443),N(U2443)+1))</f>
        <v/>
      </c>
      <c r="V2444" s="19">
        <f>IF($B2444="","",TEXT($B2444,"0000"))</f>
        <v/>
      </c>
      <c r="W2444" s="19">
        <f>IF($I2444="","",IF(ISNUMBER($I2444),TEXT($I2444,"0"),$I2444))</f>
        <v/>
      </c>
    </row>
    <row r="2445">
      <c r="B2445" s="25" t="n"/>
      <c r="I2445" s="25" t="n"/>
      <c r="U2445" s="19">
        <f>IF($V2445&lt;&gt;'設定'!$C$4,N(U2444),IF(OR(NOT(COUNTIF('商品マスタ'!$B$6:$B$1005,$W2445)=0),COUNTIFS('①在庫を貼る'!$V$6:$V$10005,$V2445,'①在庫を貼る'!$W$6:$W$10005,$W2445)&gt;0),N(U2444),N(U2444)+1))</f>
        <v/>
      </c>
      <c r="V2445" s="19">
        <f>IF($B2445="","",TEXT($B2445,"0000"))</f>
        <v/>
      </c>
      <c r="W2445" s="19">
        <f>IF($I2445="","",IF(ISNUMBER($I2445),TEXT($I2445,"0"),$I2445))</f>
        <v/>
      </c>
    </row>
    <row r="2446">
      <c r="B2446" s="25" t="n"/>
      <c r="I2446" s="25" t="n"/>
      <c r="U2446" s="19">
        <f>IF($V2446&lt;&gt;'設定'!$C$4,N(U2445),IF(OR(NOT(COUNTIF('商品マスタ'!$B$6:$B$1005,$W2446)=0),COUNTIFS('①在庫を貼る'!$V$6:$V$10005,$V2446,'①在庫を貼る'!$W$6:$W$10005,$W2446)&gt;0),N(U2445),N(U2445)+1))</f>
        <v/>
      </c>
      <c r="V2446" s="19">
        <f>IF($B2446="","",TEXT($B2446,"0000"))</f>
        <v/>
      </c>
      <c r="W2446" s="19">
        <f>IF($I2446="","",IF(ISNUMBER($I2446),TEXT($I2446,"0"),$I2446))</f>
        <v/>
      </c>
    </row>
    <row r="2447">
      <c r="B2447" s="25" t="n"/>
      <c r="I2447" s="25" t="n"/>
      <c r="U2447" s="19">
        <f>IF($V2447&lt;&gt;'設定'!$C$4,N(U2446),IF(OR(NOT(COUNTIF('商品マスタ'!$B$6:$B$1005,$W2447)=0),COUNTIFS('①在庫を貼る'!$V$6:$V$10005,$V2447,'①在庫を貼る'!$W$6:$W$10005,$W2447)&gt;0),N(U2446),N(U2446)+1))</f>
        <v/>
      </c>
      <c r="V2447" s="19">
        <f>IF($B2447="","",TEXT($B2447,"0000"))</f>
        <v/>
      </c>
      <c r="W2447" s="19">
        <f>IF($I2447="","",IF(ISNUMBER($I2447),TEXT($I2447,"0"),$I2447))</f>
        <v/>
      </c>
    </row>
    <row r="2448">
      <c r="B2448" s="25" t="n"/>
      <c r="I2448" s="25" t="n"/>
      <c r="U2448" s="19">
        <f>IF($V2448&lt;&gt;'設定'!$C$4,N(U2447),IF(OR(NOT(COUNTIF('商品マスタ'!$B$6:$B$1005,$W2448)=0),COUNTIFS('①在庫を貼る'!$V$6:$V$10005,$V2448,'①在庫を貼る'!$W$6:$W$10005,$W2448)&gt;0),N(U2447),N(U2447)+1))</f>
        <v/>
      </c>
      <c r="V2448" s="19">
        <f>IF($B2448="","",TEXT($B2448,"0000"))</f>
        <v/>
      </c>
      <c r="W2448" s="19">
        <f>IF($I2448="","",IF(ISNUMBER($I2448),TEXT($I2448,"0"),$I2448))</f>
        <v/>
      </c>
    </row>
    <row r="2449">
      <c r="B2449" s="25" t="n"/>
      <c r="I2449" s="25" t="n"/>
      <c r="U2449" s="19">
        <f>IF($V2449&lt;&gt;'設定'!$C$4,N(U2448),IF(OR(NOT(COUNTIF('商品マスタ'!$B$6:$B$1005,$W2449)=0),COUNTIFS('①在庫を貼る'!$V$6:$V$10005,$V2449,'①在庫を貼る'!$W$6:$W$10005,$W2449)&gt;0),N(U2448),N(U2448)+1))</f>
        <v/>
      </c>
      <c r="V2449" s="19">
        <f>IF($B2449="","",TEXT($B2449,"0000"))</f>
        <v/>
      </c>
      <c r="W2449" s="19">
        <f>IF($I2449="","",IF(ISNUMBER($I2449),TEXT($I2449,"0"),$I2449))</f>
        <v/>
      </c>
    </row>
    <row r="2450">
      <c r="B2450" s="25" t="n"/>
      <c r="I2450" s="25" t="n"/>
      <c r="U2450" s="19">
        <f>IF($V2450&lt;&gt;'設定'!$C$4,N(U2449),IF(OR(NOT(COUNTIF('商品マスタ'!$B$6:$B$1005,$W2450)=0),COUNTIFS('①在庫を貼る'!$V$6:$V$10005,$V2450,'①在庫を貼る'!$W$6:$W$10005,$W2450)&gt;0),N(U2449),N(U2449)+1))</f>
        <v/>
      </c>
      <c r="V2450" s="19">
        <f>IF($B2450="","",TEXT($B2450,"0000"))</f>
        <v/>
      </c>
      <c r="W2450" s="19">
        <f>IF($I2450="","",IF(ISNUMBER($I2450),TEXT($I2450,"0"),$I2450))</f>
        <v/>
      </c>
    </row>
    <row r="2451">
      <c r="B2451" s="25" t="n"/>
      <c r="I2451" s="25" t="n"/>
      <c r="U2451" s="19">
        <f>IF($V2451&lt;&gt;'設定'!$C$4,N(U2450),IF(OR(NOT(COUNTIF('商品マスタ'!$B$6:$B$1005,$W2451)=0),COUNTIFS('①在庫を貼る'!$V$6:$V$10005,$V2451,'①在庫を貼る'!$W$6:$W$10005,$W2451)&gt;0),N(U2450),N(U2450)+1))</f>
        <v/>
      </c>
      <c r="V2451" s="19">
        <f>IF($B2451="","",TEXT($B2451,"0000"))</f>
        <v/>
      </c>
      <c r="W2451" s="19">
        <f>IF($I2451="","",IF(ISNUMBER($I2451),TEXT($I2451,"0"),$I2451))</f>
        <v/>
      </c>
    </row>
    <row r="2452">
      <c r="B2452" s="25" t="n"/>
      <c r="I2452" s="25" t="n"/>
      <c r="U2452" s="19">
        <f>IF($V2452&lt;&gt;'設定'!$C$4,N(U2451),IF(OR(NOT(COUNTIF('商品マスタ'!$B$6:$B$1005,$W2452)=0),COUNTIFS('①在庫を貼る'!$V$6:$V$10005,$V2452,'①在庫を貼る'!$W$6:$W$10005,$W2452)&gt;0),N(U2451),N(U2451)+1))</f>
        <v/>
      </c>
      <c r="V2452" s="19">
        <f>IF($B2452="","",TEXT($B2452,"0000"))</f>
        <v/>
      </c>
      <c r="W2452" s="19">
        <f>IF($I2452="","",IF(ISNUMBER($I2452),TEXT($I2452,"0"),$I2452))</f>
        <v/>
      </c>
    </row>
    <row r="2453">
      <c r="B2453" s="25" t="n"/>
      <c r="I2453" s="25" t="n"/>
      <c r="U2453" s="19">
        <f>IF($V2453&lt;&gt;'設定'!$C$4,N(U2452),IF(OR(NOT(COUNTIF('商品マスタ'!$B$6:$B$1005,$W2453)=0),COUNTIFS('①在庫を貼る'!$V$6:$V$10005,$V2453,'①在庫を貼る'!$W$6:$W$10005,$W2453)&gt;0),N(U2452),N(U2452)+1))</f>
        <v/>
      </c>
      <c r="V2453" s="19">
        <f>IF($B2453="","",TEXT($B2453,"0000"))</f>
        <v/>
      </c>
      <c r="W2453" s="19">
        <f>IF($I2453="","",IF(ISNUMBER($I2453),TEXT($I2453,"0"),$I2453))</f>
        <v/>
      </c>
    </row>
    <row r="2454">
      <c r="B2454" s="25" t="n"/>
      <c r="I2454" s="25" t="n"/>
      <c r="U2454" s="19">
        <f>IF($V2454&lt;&gt;'設定'!$C$4,N(U2453),IF(OR(NOT(COUNTIF('商品マスタ'!$B$6:$B$1005,$W2454)=0),COUNTIFS('①在庫を貼る'!$V$6:$V$10005,$V2454,'①在庫を貼る'!$W$6:$W$10005,$W2454)&gt;0),N(U2453),N(U2453)+1))</f>
        <v/>
      </c>
      <c r="V2454" s="19">
        <f>IF($B2454="","",TEXT($B2454,"0000"))</f>
        <v/>
      </c>
      <c r="W2454" s="19">
        <f>IF($I2454="","",IF(ISNUMBER($I2454),TEXT($I2454,"0"),$I2454))</f>
        <v/>
      </c>
    </row>
    <row r="2455">
      <c r="B2455" s="25" t="n"/>
      <c r="I2455" s="25" t="n"/>
      <c r="U2455" s="19">
        <f>IF($V2455&lt;&gt;'設定'!$C$4,N(U2454),IF(OR(NOT(COUNTIF('商品マスタ'!$B$6:$B$1005,$W2455)=0),COUNTIFS('①在庫を貼る'!$V$6:$V$10005,$V2455,'①在庫を貼る'!$W$6:$W$10005,$W2455)&gt;0),N(U2454),N(U2454)+1))</f>
        <v/>
      </c>
      <c r="V2455" s="19">
        <f>IF($B2455="","",TEXT($B2455,"0000"))</f>
        <v/>
      </c>
      <c r="W2455" s="19">
        <f>IF($I2455="","",IF(ISNUMBER($I2455),TEXT($I2455,"0"),$I2455))</f>
        <v/>
      </c>
    </row>
    <row r="2456">
      <c r="B2456" s="25" t="n"/>
      <c r="I2456" s="25" t="n"/>
      <c r="U2456" s="19">
        <f>IF($V2456&lt;&gt;'設定'!$C$4,N(U2455),IF(OR(NOT(COUNTIF('商品マスタ'!$B$6:$B$1005,$W2456)=0),COUNTIFS('①在庫を貼る'!$V$6:$V$10005,$V2456,'①在庫を貼る'!$W$6:$W$10005,$W2456)&gt;0),N(U2455),N(U2455)+1))</f>
        <v/>
      </c>
      <c r="V2456" s="19">
        <f>IF($B2456="","",TEXT($B2456,"0000"))</f>
        <v/>
      </c>
      <c r="W2456" s="19">
        <f>IF($I2456="","",IF(ISNUMBER($I2456),TEXT($I2456,"0"),$I2456))</f>
        <v/>
      </c>
    </row>
    <row r="2457">
      <c r="B2457" s="25" t="n"/>
      <c r="I2457" s="25" t="n"/>
      <c r="U2457" s="19">
        <f>IF($V2457&lt;&gt;'設定'!$C$4,N(U2456),IF(OR(NOT(COUNTIF('商品マスタ'!$B$6:$B$1005,$W2457)=0),COUNTIFS('①在庫を貼る'!$V$6:$V$10005,$V2457,'①在庫を貼る'!$W$6:$W$10005,$W2457)&gt;0),N(U2456),N(U2456)+1))</f>
        <v/>
      </c>
      <c r="V2457" s="19">
        <f>IF($B2457="","",TEXT($B2457,"0000"))</f>
        <v/>
      </c>
      <c r="W2457" s="19">
        <f>IF($I2457="","",IF(ISNUMBER($I2457),TEXT($I2457,"0"),$I2457))</f>
        <v/>
      </c>
    </row>
    <row r="2458">
      <c r="B2458" s="25" t="n"/>
      <c r="I2458" s="25" t="n"/>
      <c r="U2458" s="19">
        <f>IF($V2458&lt;&gt;'設定'!$C$4,N(U2457),IF(OR(NOT(COUNTIF('商品マスタ'!$B$6:$B$1005,$W2458)=0),COUNTIFS('①在庫を貼る'!$V$6:$V$10005,$V2458,'①在庫を貼る'!$W$6:$W$10005,$W2458)&gt;0),N(U2457),N(U2457)+1))</f>
        <v/>
      </c>
      <c r="V2458" s="19">
        <f>IF($B2458="","",TEXT($B2458,"0000"))</f>
        <v/>
      </c>
      <c r="W2458" s="19">
        <f>IF($I2458="","",IF(ISNUMBER($I2458),TEXT($I2458,"0"),$I2458))</f>
        <v/>
      </c>
    </row>
    <row r="2459">
      <c r="B2459" s="25" t="n"/>
      <c r="I2459" s="25" t="n"/>
      <c r="U2459" s="19">
        <f>IF($V2459&lt;&gt;'設定'!$C$4,N(U2458),IF(OR(NOT(COUNTIF('商品マスタ'!$B$6:$B$1005,$W2459)=0),COUNTIFS('①在庫を貼る'!$V$6:$V$10005,$V2459,'①在庫を貼る'!$W$6:$W$10005,$W2459)&gt;0),N(U2458),N(U2458)+1))</f>
        <v/>
      </c>
      <c r="V2459" s="19">
        <f>IF($B2459="","",TEXT($B2459,"0000"))</f>
        <v/>
      </c>
      <c r="W2459" s="19">
        <f>IF($I2459="","",IF(ISNUMBER($I2459),TEXT($I2459,"0"),$I2459))</f>
        <v/>
      </c>
    </row>
    <row r="2460">
      <c r="B2460" s="25" t="n"/>
      <c r="I2460" s="25" t="n"/>
      <c r="U2460" s="19">
        <f>IF($V2460&lt;&gt;'設定'!$C$4,N(U2459),IF(OR(NOT(COUNTIF('商品マスタ'!$B$6:$B$1005,$W2460)=0),COUNTIFS('①在庫を貼る'!$V$6:$V$10005,$V2460,'①在庫を貼る'!$W$6:$W$10005,$W2460)&gt;0),N(U2459),N(U2459)+1))</f>
        <v/>
      </c>
      <c r="V2460" s="19">
        <f>IF($B2460="","",TEXT($B2460,"0000"))</f>
        <v/>
      </c>
      <c r="W2460" s="19">
        <f>IF($I2460="","",IF(ISNUMBER($I2460),TEXT($I2460,"0"),$I2460))</f>
        <v/>
      </c>
    </row>
    <row r="2461">
      <c r="B2461" s="25" t="n"/>
      <c r="I2461" s="25" t="n"/>
      <c r="U2461" s="19">
        <f>IF($V2461&lt;&gt;'設定'!$C$4,N(U2460),IF(OR(NOT(COUNTIF('商品マスタ'!$B$6:$B$1005,$W2461)=0),COUNTIFS('①在庫を貼る'!$V$6:$V$10005,$V2461,'①在庫を貼る'!$W$6:$W$10005,$W2461)&gt;0),N(U2460),N(U2460)+1))</f>
        <v/>
      </c>
      <c r="V2461" s="19">
        <f>IF($B2461="","",TEXT($B2461,"0000"))</f>
        <v/>
      </c>
      <c r="W2461" s="19">
        <f>IF($I2461="","",IF(ISNUMBER($I2461),TEXT($I2461,"0"),$I2461))</f>
        <v/>
      </c>
    </row>
    <row r="2462">
      <c r="B2462" s="25" t="n"/>
      <c r="I2462" s="25" t="n"/>
      <c r="U2462" s="19">
        <f>IF($V2462&lt;&gt;'設定'!$C$4,N(U2461),IF(OR(NOT(COUNTIF('商品マスタ'!$B$6:$B$1005,$W2462)=0),COUNTIFS('①在庫を貼る'!$V$6:$V$10005,$V2462,'①在庫を貼る'!$W$6:$W$10005,$W2462)&gt;0),N(U2461),N(U2461)+1))</f>
        <v/>
      </c>
      <c r="V2462" s="19">
        <f>IF($B2462="","",TEXT($B2462,"0000"))</f>
        <v/>
      </c>
      <c r="W2462" s="19">
        <f>IF($I2462="","",IF(ISNUMBER($I2462),TEXT($I2462,"0"),$I2462))</f>
        <v/>
      </c>
    </row>
    <row r="2463">
      <c r="B2463" s="25" t="n"/>
      <c r="I2463" s="25" t="n"/>
      <c r="U2463" s="19">
        <f>IF($V2463&lt;&gt;'設定'!$C$4,N(U2462),IF(OR(NOT(COUNTIF('商品マスタ'!$B$6:$B$1005,$W2463)=0),COUNTIFS('①在庫を貼る'!$V$6:$V$10005,$V2463,'①在庫を貼る'!$W$6:$W$10005,$W2463)&gt;0),N(U2462),N(U2462)+1))</f>
        <v/>
      </c>
      <c r="V2463" s="19">
        <f>IF($B2463="","",TEXT($B2463,"0000"))</f>
        <v/>
      </c>
      <c r="W2463" s="19">
        <f>IF($I2463="","",IF(ISNUMBER($I2463),TEXT($I2463,"0"),$I2463))</f>
        <v/>
      </c>
    </row>
    <row r="2464">
      <c r="B2464" s="25" t="n"/>
      <c r="I2464" s="25" t="n"/>
      <c r="U2464" s="19">
        <f>IF($V2464&lt;&gt;'設定'!$C$4,N(U2463),IF(OR(NOT(COUNTIF('商品マスタ'!$B$6:$B$1005,$W2464)=0),COUNTIFS('①在庫を貼る'!$V$6:$V$10005,$V2464,'①在庫を貼る'!$W$6:$W$10005,$W2464)&gt;0),N(U2463),N(U2463)+1))</f>
        <v/>
      </c>
      <c r="V2464" s="19">
        <f>IF($B2464="","",TEXT($B2464,"0000"))</f>
        <v/>
      </c>
      <c r="W2464" s="19">
        <f>IF($I2464="","",IF(ISNUMBER($I2464),TEXT($I2464,"0"),$I2464))</f>
        <v/>
      </c>
    </row>
    <row r="2465">
      <c r="B2465" s="25" t="n"/>
      <c r="I2465" s="25" t="n"/>
      <c r="U2465" s="19">
        <f>IF($V2465&lt;&gt;'設定'!$C$4,N(U2464),IF(OR(NOT(COUNTIF('商品マスタ'!$B$6:$B$1005,$W2465)=0),COUNTIFS('①在庫を貼る'!$V$6:$V$10005,$V2465,'①在庫を貼る'!$W$6:$W$10005,$W2465)&gt;0),N(U2464),N(U2464)+1))</f>
        <v/>
      </c>
      <c r="V2465" s="19">
        <f>IF($B2465="","",TEXT($B2465,"0000"))</f>
        <v/>
      </c>
      <c r="W2465" s="19">
        <f>IF($I2465="","",IF(ISNUMBER($I2465),TEXT($I2465,"0"),$I2465))</f>
        <v/>
      </c>
    </row>
    <row r="2466">
      <c r="B2466" s="25" t="n"/>
      <c r="I2466" s="25" t="n"/>
      <c r="U2466" s="19">
        <f>IF($V2466&lt;&gt;'設定'!$C$4,N(U2465),IF(OR(NOT(COUNTIF('商品マスタ'!$B$6:$B$1005,$W2466)=0),COUNTIFS('①在庫を貼る'!$V$6:$V$10005,$V2466,'①在庫を貼る'!$W$6:$W$10005,$W2466)&gt;0),N(U2465),N(U2465)+1))</f>
        <v/>
      </c>
      <c r="V2466" s="19">
        <f>IF($B2466="","",TEXT($B2466,"0000"))</f>
        <v/>
      </c>
      <c r="W2466" s="19">
        <f>IF($I2466="","",IF(ISNUMBER($I2466),TEXT($I2466,"0"),$I2466))</f>
        <v/>
      </c>
    </row>
    <row r="2467">
      <c r="B2467" s="25" t="n"/>
      <c r="I2467" s="25" t="n"/>
      <c r="U2467" s="19">
        <f>IF($V2467&lt;&gt;'設定'!$C$4,N(U2466),IF(OR(NOT(COUNTIF('商品マスタ'!$B$6:$B$1005,$W2467)=0),COUNTIFS('①在庫を貼る'!$V$6:$V$10005,$V2467,'①在庫を貼る'!$W$6:$W$10005,$W2467)&gt;0),N(U2466),N(U2466)+1))</f>
        <v/>
      </c>
      <c r="V2467" s="19">
        <f>IF($B2467="","",TEXT($B2467,"0000"))</f>
        <v/>
      </c>
      <c r="W2467" s="19">
        <f>IF($I2467="","",IF(ISNUMBER($I2467),TEXT($I2467,"0"),$I2467))</f>
        <v/>
      </c>
    </row>
    <row r="2468">
      <c r="B2468" s="25" t="n"/>
      <c r="I2468" s="25" t="n"/>
      <c r="U2468" s="19">
        <f>IF($V2468&lt;&gt;'設定'!$C$4,N(U2467),IF(OR(NOT(COUNTIF('商品マスタ'!$B$6:$B$1005,$W2468)=0),COUNTIFS('①在庫を貼る'!$V$6:$V$10005,$V2468,'①在庫を貼る'!$W$6:$W$10005,$W2468)&gt;0),N(U2467),N(U2467)+1))</f>
        <v/>
      </c>
      <c r="V2468" s="19">
        <f>IF($B2468="","",TEXT($B2468,"0000"))</f>
        <v/>
      </c>
      <c r="W2468" s="19">
        <f>IF($I2468="","",IF(ISNUMBER($I2468),TEXT($I2468,"0"),$I2468))</f>
        <v/>
      </c>
    </row>
    <row r="2469">
      <c r="B2469" s="25" t="n"/>
      <c r="I2469" s="25" t="n"/>
      <c r="U2469" s="19">
        <f>IF($V2469&lt;&gt;'設定'!$C$4,N(U2468),IF(OR(NOT(COUNTIF('商品マスタ'!$B$6:$B$1005,$W2469)=0),COUNTIFS('①在庫を貼る'!$V$6:$V$10005,$V2469,'①在庫を貼る'!$W$6:$W$10005,$W2469)&gt;0),N(U2468),N(U2468)+1))</f>
        <v/>
      </c>
      <c r="V2469" s="19">
        <f>IF($B2469="","",TEXT($B2469,"0000"))</f>
        <v/>
      </c>
      <c r="W2469" s="19">
        <f>IF($I2469="","",IF(ISNUMBER($I2469),TEXT($I2469,"0"),$I2469))</f>
        <v/>
      </c>
    </row>
    <row r="2470">
      <c r="B2470" s="25" t="n"/>
      <c r="I2470" s="25" t="n"/>
      <c r="U2470" s="19">
        <f>IF($V2470&lt;&gt;'設定'!$C$4,N(U2469),IF(OR(NOT(COUNTIF('商品マスタ'!$B$6:$B$1005,$W2470)=0),COUNTIFS('①在庫を貼る'!$V$6:$V$10005,$V2470,'①在庫を貼る'!$W$6:$W$10005,$W2470)&gt;0),N(U2469),N(U2469)+1))</f>
        <v/>
      </c>
      <c r="V2470" s="19">
        <f>IF($B2470="","",TEXT($B2470,"0000"))</f>
        <v/>
      </c>
      <c r="W2470" s="19">
        <f>IF($I2470="","",IF(ISNUMBER($I2470),TEXT($I2470,"0"),$I2470))</f>
        <v/>
      </c>
    </row>
    <row r="2471">
      <c r="B2471" s="25" t="n"/>
      <c r="I2471" s="25" t="n"/>
      <c r="U2471" s="19">
        <f>IF($V2471&lt;&gt;'設定'!$C$4,N(U2470),IF(OR(NOT(COUNTIF('商品マスタ'!$B$6:$B$1005,$W2471)=0),COUNTIFS('①在庫を貼る'!$V$6:$V$10005,$V2471,'①在庫を貼る'!$W$6:$W$10005,$W2471)&gt;0),N(U2470),N(U2470)+1))</f>
        <v/>
      </c>
      <c r="V2471" s="19">
        <f>IF($B2471="","",TEXT($B2471,"0000"))</f>
        <v/>
      </c>
      <c r="W2471" s="19">
        <f>IF($I2471="","",IF(ISNUMBER($I2471),TEXT($I2471,"0"),$I2471))</f>
        <v/>
      </c>
    </row>
    <row r="2472">
      <c r="B2472" s="25" t="n"/>
      <c r="I2472" s="25" t="n"/>
      <c r="U2472" s="19">
        <f>IF($V2472&lt;&gt;'設定'!$C$4,N(U2471),IF(OR(NOT(COUNTIF('商品マスタ'!$B$6:$B$1005,$W2472)=0),COUNTIFS('①在庫を貼る'!$V$6:$V$10005,$V2472,'①在庫を貼る'!$W$6:$W$10005,$W2472)&gt;0),N(U2471),N(U2471)+1))</f>
        <v/>
      </c>
      <c r="V2472" s="19">
        <f>IF($B2472="","",TEXT($B2472,"0000"))</f>
        <v/>
      </c>
      <c r="W2472" s="19">
        <f>IF($I2472="","",IF(ISNUMBER($I2472),TEXT($I2472,"0"),$I2472))</f>
        <v/>
      </c>
    </row>
    <row r="2473">
      <c r="B2473" s="25" t="n"/>
      <c r="I2473" s="25" t="n"/>
      <c r="U2473" s="19">
        <f>IF($V2473&lt;&gt;'設定'!$C$4,N(U2472),IF(OR(NOT(COUNTIF('商品マスタ'!$B$6:$B$1005,$W2473)=0),COUNTIFS('①在庫を貼る'!$V$6:$V$10005,$V2473,'①在庫を貼る'!$W$6:$W$10005,$W2473)&gt;0),N(U2472),N(U2472)+1))</f>
        <v/>
      </c>
      <c r="V2473" s="19">
        <f>IF($B2473="","",TEXT($B2473,"0000"))</f>
        <v/>
      </c>
      <c r="W2473" s="19">
        <f>IF($I2473="","",IF(ISNUMBER($I2473),TEXT($I2473,"0"),$I2473))</f>
        <v/>
      </c>
    </row>
    <row r="2474">
      <c r="B2474" s="25" t="n"/>
      <c r="I2474" s="25" t="n"/>
      <c r="U2474" s="19">
        <f>IF($V2474&lt;&gt;'設定'!$C$4,N(U2473),IF(OR(NOT(COUNTIF('商品マスタ'!$B$6:$B$1005,$W2474)=0),COUNTIFS('①在庫を貼る'!$V$6:$V$10005,$V2474,'①在庫を貼る'!$W$6:$W$10005,$W2474)&gt;0),N(U2473),N(U2473)+1))</f>
        <v/>
      </c>
      <c r="V2474" s="19">
        <f>IF($B2474="","",TEXT($B2474,"0000"))</f>
        <v/>
      </c>
      <c r="W2474" s="19">
        <f>IF($I2474="","",IF(ISNUMBER($I2474),TEXT($I2474,"0"),$I2474))</f>
        <v/>
      </c>
    </row>
    <row r="2475">
      <c r="B2475" s="25" t="n"/>
      <c r="I2475" s="25" t="n"/>
      <c r="U2475" s="19">
        <f>IF($V2475&lt;&gt;'設定'!$C$4,N(U2474),IF(OR(NOT(COUNTIF('商品マスタ'!$B$6:$B$1005,$W2475)=0),COUNTIFS('①在庫を貼る'!$V$6:$V$10005,$V2475,'①在庫を貼る'!$W$6:$W$10005,$W2475)&gt;0),N(U2474),N(U2474)+1))</f>
        <v/>
      </c>
      <c r="V2475" s="19">
        <f>IF($B2475="","",TEXT($B2475,"0000"))</f>
        <v/>
      </c>
      <c r="W2475" s="19">
        <f>IF($I2475="","",IF(ISNUMBER($I2475),TEXT($I2475,"0"),$I2475))</f>
        <v/>
      </c>
    </row>
    <row r="2476">
      <c r="B2476" s="25" t="n"/>
      <c r="I2476" s="25" t="n"/>
      <c r="U2476" s="19">
        <f>IF($V2476&lt;&gt;'設定'!$C$4,N(U2475),IF(OR(NOT(COUNTIF('商品マスタ'!$B$6:$B$1005,$W2476)=0),COUNTIFS('①在庫を貼る'!$V$6:$V$10005,$V2476,'①在庫を貼る'!$W$6:$W$10005,$W2476)&gt;0),N(U2475),N(U2475)+1))</f>
        <v/>
      </c>
      <c r="V2476" s="19">
        <f>IF($B2476="","",TEXT($B2476,"0000"))</f>
        <v/>
      </c>
      <c r="W2476" s="19">
        <f>IF($I2476="","",IF(ISNUMBER($I2476),TEXT($I2476,"0"),$I2476))</f>
        <v/>
      </c>
    </row>
    <row r="2477">
      <c r="B2477" s="25" t="n"/>
      <c r="I2477" s="25" t="n"/>
      <c r="U2477" s="19">
        <f>IF($V2477&lt;&gt;'設定'!$C$4,N(U2476),IF(OR(NOT(COUNTIF('商品マスタ'!$B$6:$B$1005,$W2477)=0),COUNTIFS('①在庫を貼る'!$V$6:$V$10005,$V2477,'①在庫を貼る'!$W$6:$W$10005,$W2477)&gt;0),N(U2476),N(U2476)+1))</f>
        <v/>
      </c>
      <c r="V2477" s="19">
        <f>IF($B2477="","",TEXT($B2477,"0000"))</f>
        <v/>
      </c>
      <c r="W2477" s="19">
        <f>IF($I2477="","",IF(ISNUMBER($I2477),TEXT($I2477,"0"),$I2477))</f>
        <v/>
      </c>
    </row>
    <row r="2478">
      <c r="B2478" s="25" t="n"/>
      <c r="I2478" s="25" t="n"/>
      <c r="U2478" s="19">
        <f>IF($V2478&lt;&gt;'設定'!$C$4,N(U2477),IF(OR(NOT(COUNTIF('商品マスタ'!$B$6:$B$1005,$W2478)=0),COUNTIFS('①在庫を貼る'!$V$6:$V$10005,$V2478,'①在庫を貼る'!$W$6:$W$10005,$W2478)&gt;0),N(U2477),N(U2477)+1))</f>
        <v/>
      </c>
      <c r="V2478" s="19">
        <f>IF($B2478="","",TEXT($B2478,"0000"))</f>
        <v/>
      </c>
      <c r="W2478" s="19">
        <f>IF($I2478="","",IF(ISNUMBER($I2478),TEXT($I2478,"0"),$I2478))</f>
        <v/>
      </c>
    </row>
    <row r="2479">
      <c r="B2479" s="25" t="n"/>
      <c r="I2479" s="25" t="n"/>
      <c r="U2479" s="19">
        <f>IF($V2479&lt;&gt;'設定'!$C$4,N(U2478),IF(OR(NOT(COUNTIF('商品マスタ'!$B$6:$B$1005,$W2479)=0),COUNTIFS('①在庫を貼る'!$V$6:$V$10005,$V2479,'①在庫を貼る'!$W$6:$W$10005,$W2479)&gt;0),N(U2478),N(U2478)+1))</f>
        <v/>
      </c>
      <c r="V2479" s="19">
        <f>IF($B2479="","",TEXT($B2479,"0000"))</f>
        <v/>
      </c>
      <c r="W2479" s="19">
        <f>IF($I2479="","",IF(ISNUMBER($I2479),TEXT($I2479,"0"),$I2479))</f>
        <v/>
      </c>
    </row>
    <row r="2480">
      <c r="B2480" s="25" t="n"/>
      <c r="I2480" s="25" t="n"/>
      <c r="U2480" s="19">
        <f>IF($V2480&lt;&gt;'設定'!$C$4,N(U2479),IF(OR(NOT(COUNTIF('商品マスタ'!$B$6:$B$1005,$W2480)=0),COUNTIFS('①在庫を貼る'!$V$6:$V$10005,$V2480,'①在庫を貼る'!$W$6:$W$10005,$W2480)&gt;0),N(U2479),N(U2479)+1))</f>
        <v/>
      </c>
      <c r="V2480" s="19">
        <f>IF($B2480="","",TEXT($B2480,"0000"))</f>
        <v/>
      </c>
      <c r="W2480" s="19">
        <f>IF($I2480="","",IF(ISNUMBER($I2480),TEXT($I2480,"0"),$I2480))</f>
        <v/>
      </c>
    </row>
    <row r="2481">
      <c r="B2481" s="25" t="n"/>
      <c r="I2481" s="25" t="n"/>
      <c r="U2481" s="19">
        <f>IF($V2481&lt;&gt;'設定'!$C$4,N(U2480),IF(OR(NOT(COUNTIF('商品マスタ'!$B$6:$B$1005,$W2481)=0),COUNTIFS('①在庫を貼る'!$V$6:$V$10005,$V2481,'①在庫を貼る'!$W$6:$W$10005,$W2481)&gt;0),N(U2480),N(U2480)+1))</f>
        <v/>
      </c>
      <c r="V2481" s="19">
        <f>IF($B2481="","",TEXT($B2481,"0000"))</f>
        <v/>
      </c>
      <c r="W2481" s="19">
        <f>IF($I2481="","",IF(ISNUMBER($I2481),TEXT($I2481,"0"),$I2481))</f>
        <v/>
      </c>
    </row>
    <row r="2482">
      <c r="B2482" s="25" t="n"/>
      <c r="I2482" s="25" t="n"/>
      <c r="U2482" s="19">
        <f>IF($V2482&lt;&gt;'設定'!$C$4,N(U2481),IF(OR(NOT(COUNTIF('商品マスタ'!$B$6:$B$1005,$W2482)=0),COUNTIFS('①在庫を貼る'!$V$6:$V$10005,$V2482,'①在庫を貼る'!$W$6:$W$10005,$W2482)&gt;0),N(U2481),N(U2481)+1))</f>
        <v/>
      </c>
      <c r="V2482" s="19">
        <f>IF($B2482="","",TEXT($B2482,"0000"))</f>
        <v/>
      </c>
      <c r="W2482" s="19">
        <f>IF($I2482="","",IF(ISNUMBER($I2482),TEXT($I2482,"0"),$I2482))</f>
        <v/>
      </c>
    </row>
    <row r="2483">
      <c r="B2483" s="25" t="n"/>
      <c r="I2483" s="25" t="n"/>
      <c r="U2483" s="19">
        <f>IF($V2483&lt;&gt;'設定'!$C$4,N(U2482),IF(OR(NOT(COUNTIF('商品マスタ'!$B$6:$B$1005,$W2483)=0),COUNTIFS('①在庫を貼る'!$V$6:$V$10005,$V2483,'①在庫を貼る'!$W$6:$W$10005,$W2483)&gt;0),N(U2482),N(U2482)+1))</f>
        <v/>
      </c>
      <c r="V2483" s="19">
        <f>IF($B2483="","",TEXT($B2483,"0000"))</f>
        <v/>
      </c>
      <c r="W2483" s="19">
        <f>IF($I2483="","",IF(ISNUMBER($I2483),TEXT($I2483,"0"),$I2483))</f>
        <v/>
      </c>
    </row>
    <row r="2484">
      <c r="B2484" s="25" t="n"/>
      <c r="I2484" s="25" t="n"/>
      <c r="U2484" s="19">
        <f>IF($V2484&lt;&gt;'設定'!$C$4,N(U2483),IF(OR(NOT(COUNTIF('商品マスタ'!$B$6:$B$1005,$W2484)=0),COUNTIFS('①在庫を貼る'!$V$6:$V$10005,$V2484,'①在庫を貼る'!$W$6:$W$10005,$W2484)&gt;0),N(U2483),N(U2483)+1))</f>
        <v/>
      </c>
      <c r="V2484" s="19">
        <f>IF($B2484="","",TEXT($B2484,"0000"))</f>
        <v/>
      </c>
      <c r="W2484" s="19">
        <f>IF($I2484="","",IF(ISNUMBER($I2484),TEXT($I2484,"0"),$I2484))</f>
        <v/>
      </c>
    </row>
    <row r="2485">
      <c r="B2485" s="25" t="n"/>
      <c r="I2485" s="25" t="n"/>
      <c r="U2485" s="19">
        <f>IF($V2485&lt;&gt;'設定'!$C$4,N(U2484),IF(OR(NOT(COUNTIF('商品マスタ'!$B$6:$B$1005,$W2485)=0),COUNTIFS('①在庫を貼る'!$V$6:$V$10005,$V2485,'①在庫を貼る'!$W$6:$W$10005,$W2485)&gt;0),N(U2484),N(U2484)+1))</f>
        <v/>
      </c>
      <c r="V2485" s="19">
        <f>IF($B2485="","",TEXT($B2485,"0000"))</f>
        <v/>
      </c>
      <c r="W2485" s="19">
        <f>IF($I2485="","",IF(ISNUMBER($I2485),TEXT($I2485,"0"),$I2485))</f>
        <v/>
      </c>
    </row>
    <row r="2486">
      <c r="B2486" s="25" t="n"/>
      <c r="I2486" s="25" t="n"/>
      <c r="U2486" s="19">
        <f>IF($V2486&lt;&gt;'設定'!$C$4,N(U2485),IF(OR(NOT(COUNTIF('商品マスタ'!$B$6:$B$1005,$W2486)=0),COUNTIFS('①在庫を貼る'!$V$6:$V$10005,$V2486,'①在庫を貼る'!$W$6:$W$10005,$W2486)&gt;0),N(U2485),N(U2485)+1))</f>
        <v/>
      </c>
      <c r="V2486" s="19">
        <f>IF($B2486="","",TEXT($B2486,"0000"))</f>
        <v/>
      </c>
      <c r="W2486" s="19">
        <f>IF($I2486="","",IF(ISNUMBER($I2486),TEXT($I2486,"0"),$I2486))</f>
        <v/>
      </c>
    </row>
    <row r="2487">
      <c r="B2487" s="25" t="n"/>
      <c r="I2487" s="25" t="n"/>
      <c r="U2487" s="19">
        <f>IF($V2487&lt;&gt;'設定'!$C$4,N(U2486),IF(OR(NOT(COUNTIF('商品マスタ'!$B$6:$B$1005,$W2487)=0),COUNTIFS('①在庫を貼る'!$V$6:$V$10005,$V2487,'①在庫を貼る'!$W$6:$W$10005,$W2487)&gt;0),N(U2486),N(U2486)+1))</f>
        <v/>
      </c>
      <c r="V2487" s="19">
        <f>IF($B2487="","",TEXT($B2487,"0000"))</f>
        <v/>
      </c>
      <c r="W2487" s="19">
        <f>IF($I2487="","",IF(ISNUMBER($I2487),TEXT($I2487,"0"),$I2487))</f>
        <v/>
      </c>
    </row>
    <row r="2488">
      <c r="B2488" s="25" t="n"/>
      <c r="I2488" s="25" t="n"/>
      <c r="U2488" s="19">
        <f>IF($V2488&lt;&gt;'設定'!$C$4,N(U2487),IF(OR(NOT(COUNTIF('商品マスタ'!$B$6:$B$1005,$W2488)=0),COUNTIFS('①在庫を貼る'!$V$6:$V$10005,$V2488,'①在庫を貼る'!$W$6:$W$10005,$W2488)&gt;0),N(U2487),N(U2487)+1))</f>
        <v/>
      </c>
      <c r="V2488" s="19">
        <f>IF($B2488="","",TEXT($B2488,"0000"))</f>
        <v/>
      </c>
      <c r="W2488" s="19">
        <f>IF($I2488="","",IF(ISNUMBER($I2488),TEXT($I2488,"0"),$I2488))</f>
        <v/>
      </c>
    </row>
    <row r="2489">
      <c r="B2489" s="25" t="n"/>
      <c r="I2489" s="25" t="n"/>
      <c r="U2489" s="19">
        <f>IF($V2489&lt;&gt;'設定'!$C$4,N(U2488),IF(OR(NOT(COUNTIF('商品マスタ'!$B$6:$B$1005,$W2489)=0),COUNTIFS('①在庫を貼る'!$V$6:$V$10005,$V2489,'①在庫を貼る'!$W$6:$W$10005,$W2489)&gt;0),N(U2488),N(U2488)+1))</f>
        <v/>
      </c>
      <c r="V2489" s="19">
        <f>IF($B2489="","",TEXT($B2489,"0000"))</f>
        <v/>
      </c>
      <c r="W2489" s="19">
        <f>IF($I2489="","",IF(ISNUMBER($I2489),TEXT($I2489,"0"),$I2489))</f>
        <v/>
      </c>
    </row>
    <row r="2490">
      <c r="B2490" s="25" t="n"/>
      <c r="I2490" s="25" t="n"/>
      <c r="U2490" s="19">
        <f>IF($V2490&lt;&gt;'設定'!$C$4,N(U2489),IF(OR(NOT(COUNTIF('商品マスタ'!$B$6:$B$1005,$W2490)=0),COUNTIFS('①在庫を貼る'!$V$6:$V$10005,$V2490,'①在庫を貼る'!$W$6:$W$10005,$W2490)&gt;0),N(U2489),N(U2489)+1))</f>
        <v/>
      </c>
      <c r="V2490" s="19">
        <f>IF($B2490="","",TEXT($B2490,"0000"))</f>
        <v/>
      </c>
      <c r="W2490" s="19">
        <f>IF($I2490="","",IF(ISNUMBER($I2490),TEXT($I2490,"0"),$I2490))</f>
        <v/>
      </c>
    </row>
    <row r="2491">
      <c r="B2491" s="25" t="n"/>
      <c r="I2491" s="25" t="n"/>
      <c r="U2491" s="19">
        <f>IF($V2491&lt;&gt;'設定'!$C$4,N(U2490),IF(OR(NOT(COUNTIF('商品マスタ'!$B$6:$B$1005,$W2491)=0),COUNTIFS('①在庫を貼る'!$V$6:$V$10005,$V2491,'①在庫を貼る'!$W$6:$W$10005,$W2491)&gt;0),N(U2490),N(U2490)+1))</f>
        <v/>
      </c>
      <c r="V2491" s="19">
        <f>IF($B2491="","",TEXT($B2491,"0000"))</f>
        <v/>
      </c>
      <c r="W2491" s="19">
        <f>IF($I2491="","",IF(ISNUMBER($I2491),TEXT($I2491,"0"),$I2491))</f>
        <v/>
      </c>
    </row>
    <row r="2492">
      <c r="B2492" s="25" t="n"/>
      <c r="I2492" s="25" t="n"/>
      <c r="U2492" s="19">
        <f>IF($V2492&lt;&gt;'設定'!$C$4,N(U2491),IF(OR(NOT(COUNTIF('商品マスタ'!$B$6:$B$1005,$W2492)=0),COUNTIFS('①在庫を貼る'!$V$6:$V$10005,$V2492,'①在庫を貼る'!$W$6:$W$10005,$W2492)&gt;0),N(U2491),N(U2491)+1))</f>
        <v/>
      </c>
      <c r="V2492" s="19">
        <f>IF($B2492="","",TEXT($B2492,"0000"))</f>
        <v/>
      </c>
      <c r="W2492" s="19">
        <f>IF($I2492="","",IF(ISNUMBER($I2492),TEXT($I2492,"0"),$I2492))</f>
        <v/>
      </c>
    </row>
    <row r="2493">
      <c r="B2493" s="25" t="n"/>
      <c r="I2493" s="25" t="n"/>
      <c r="U2493" s="19">
        <f>IF($V2493&lt;&gt;'設定'!$C$4,N(U2492),IF(OR(NOT(COUNTIF('商品マスタ'!$B$6:$B$1005,$W2493)=0),COUNTIFS('①在庫を貼る'!$V$6:$V$10005,$V2493,'①在庫を貼る'!$W$6:$W$10005,$W2493)&gt;0),N(U2492),N(U2492)+1))</f>
        <v/>
      </c>
      <c r="V2493" s="19">
        <f>IF($B2493="","",TEXT($B2493,"0000"))</f>
        <v/>
      </c>
      <c r="W2493" s="19">
        <f>IF($I2493="","",IF(ISNUMBER($I2493),TEXT($I2493,"0"),$I2493))</f>
        <v/>
      </c>
    </row>
    <row r="2494">
      <c r="B2494" s="25" t="n"/>
      <c r="I2494" s="25" t="n"/>
      <c r="U2494" s="19">
        <f>IF($V2494&lt;&gt;'設定'!$C$4,N(U2493),IF(OR(NOT(COUNTIF('商品マスタ'!$B$6:$B$1005,$W2494)=0),COUNTIFS('①在庫を貼る'!$V$6:$V$10005,$V2494,'①在庫を貼る'!$W$6:$W$10005,$W2494)&gt;0),N(U2493),N(U2493)+1))</f>
        <v/>
      </c>
      <c r="V2494" s="19">
        <f>IF($B2494="","",TEXT($B2494,"0000"))</f>
        <v/>
      </c>
      <c r="W2494" s="19">
        <f>IF($I2494="","",IF(ISNUMBER($I2494),TEXT($I2494,"0"),$I2494))</f>
        <v/>
      </c>
    </row>
    <row r="2495">
      <c r="B2495" s="25" t="n"/>
      <c r="I2495" s="25" t="n"/>
      <c r="U2495" s="19">
        <f>IF($V2495&lt;&gt;'設定'!$C$4,N(U2494),IF(OR(NOT(COUNTIF('商品マスタ'!$B$6:$B$1005,$W2495)=0),COUNTIFS('①在庫を貼る'!$V$6:$V$10005,$V2495,'①在庫を貼る'!$W$6:$W$10005,$W2495)&gt;0),N(U2494),N(U2494)+1))</f>
        <v/>
      </c>
      <c r="V2495" s="19">
        <f>IF($B2495="","",TEXT($B2495,"0000"))</f>
        <v/>
      </c>
      <c r="W2495" s="19">
        <f>IF($I2495="","",IF(ISNUMBER($I2495),TEXT($I2495,"0"),$I2495))</f>
        <v/>
      </c>
    </row>
    <row r="2496">
      <c r="B2496" s="25" t="n"/>
      <c r="I2496" s="25" t="n"/>
      <c r="U2496" s="19">
        <f>IF($V2496&lt;&gt;'設定'!$C$4,N(U2495),IF(OR(NOT(COUNTIF('商品マスタ'!$B$6:$B$1005,$W2496)=0),COUNTIFS('①在庫を貼る'!$V$6:$V$10005,$V2496,'①在庫を貼る'!$W$6:$W$10005,$W2496)&gt;0),N(U2495),N(U2495)+1))</f>
        <v/>
      </c>
      <c r="V2496" s="19">
        <f>IF($B2496="","",TEXT($B2496,"0000"))</f>
        <v/>
      </c>
      <c r="W2496" s="19">
        <f>IF($I2496="","",IF(ISNUMBER($I2496),TEXT($I2496,"0"),$I2496))</f>
        <v/>
      </c>
    </row>
    <row r="2497">
      <c r="B2497" s="25" t="n"/>
      <c r="I2497" s="25" t="n"/>
      <c r="U2497" s="19">
        <f>IF($V2497&lt;&gt;'設定'!$C$4,N(U2496),IF(OR(NOT(COUNTIF('商品マスタ'!$B$6:$B$1005,$W2497)=0),COUNTIFS('①在庫を貼る'!$V$6:$V$10005,$V2497,'①在庫を貼る'!$W$6:$W$10005,$W2497)&gt;0),N(U2496),N(U2496)+1))</f>
        <v/>
      </c>
      <c r="V2497" s="19">
        <f>IF($B2497="","",TEXT($B2497,"0000"))</f>
        <v/>
      </c>
      <c r="W2497" s="19">
        <f>IF($I2497="","",IF(ISNUMBER($I2497),TEXT($I2497,"0"),$I2497))</f>
        <v/>
      </c>
    </row>
    <row r="2498">
      <c r="B2498" s="25" t="n"/>
      <c r="I2498" s="25" t="n"/>
      <c r="U2498" s="19">
        <f>IF($V2498&lt;&gt;'設定'!$C$4,N(U2497),IF(OR(NOT(COUNTIF('商品マスタ'!$B$6:$B$1005,$W2498)=0),COUNTIFS('①在庫を貼る'!$V$6:$V$10005,$V2498,'①在庫を貼る'!$W$6:$W$10005,$W2498)&gt;0),N(U2497),N(U2497)+1))</f>
        <v/>
      </c>
      <c r="V2498" s="19">
        <f>IF($B2498="","",TEXT($B2498,"0000"))</f>
        <v/>
      </c>
      <c r="W2498" s="19">
        <f>IF($I2498="","",IF(ISNUMBER($I2498),TEXT($I2498,"0"),$I2498))</f>
        <v/>
      </c>
    </row>
    <row r="2499">
      <c r="B2499" s="25" t="n"/>
      <c r="I2499" s="25" t="n"/>
      <c r="U2499" s="19">
        <f>IF($V2499&lt;&gt;'設定'!$C$4,N(U2498),IF(OR(NOT(COUNTIF('商品マスタ'!$B$6:$B$1005,$W2499)=0),COUNTIFS('①在庫を貼る'!$V$6:$V$10005,$V2499,'①在庫を貼る'!$W$6:$W$10005,$W2499)&gt;0),N(U2498),N(U2498)+1))</f>
        <v/>
      </c>
      <c r="V2499" s="19">
        <f>IF($B2499="","",TEXT($B2499,"0000"))</f>
        <v/>
      </c>
      <c r="W2499" s="19">
        <f>IF($I2499="","",IF(ISNUMBER($I2499),TEXT($I2499,"0"),$I2499))</f>
        <v/>
      </c>
    </row>
    <row r="2500">
      <c r="B2500" s="25" t="n"/>
      <c r="I2500" s="25" t="n"/>
      <c r="U2500" s="19">
        <f>IF($V2500&lt;&gt;'設定'!$C$4,N(U2499),IF(OR(NOT(COUNTIF('商品マスタ'!$B$6:$B$1005,$W2500)=0),COUNTIFS('①在庫を貼る'!$V$6:$V$10005,$V2500,'①在庫を貼る'!$W$6:$W$10005,$W2500)&gt;0),N(U2499),N(U2499)+1))</f>
        <v/>
      </c>
      <c r="V2500" s="19">
        <f>IF($B2500="","",TEXT($B2500,"0000"))</f>
        <v/>
      </c>
      <c r="W2500" s="19">
        <f>IF($I2500="","",IF(ISNUMBER($I2500),TEXT($I2500,"0"),$I2500))</f>
        <v/>
      </c>
    </row>
    <row r="2501">
      <c r="B2501" s="25" t="n"/>
      <c r="I2501" s="25" t="n"/>
      <c r="U2501" s="19">
        <f>IF($V2501&lt;&gt;'設定'!$C$4,N(U2500),IF(OR(NOT(COUNTIF('商品マスタ'!$B$6:$B$1005,$W2501)=0),COUNTIFS('①在庫を貼る'!$V$6:$V$10005,$V2501,'①在庫を貼る'!$W$6:$W$10005,$W2501)&gt;0),N(U2500),N(U2500)+1))</f>
        <v/>
      </c>
      <c r="V2501" s="19">
        <f>IF($B2501="","",TEXT($B2501,"0000"))</f>
        <v/>
      </c>
      <c r="W2501" s="19">
        <f>IF($I2501="","",IF(ISNUMBER($I2501),TEXT($I2501,"0"),$I2501))</f>
        <v/>
      </c>
    </row>
    <row r="2502">
      <c r="B2502" s="25" t="n"/>
      <c r="I2502" s="25" t="n"/>
      <c r="U2502" s="19">
        <f>IF($V2502&lt;&gt;'設定'!$C$4,N(U2501),IF(OR(NOT(COUNTIF('商品マスタ'!$B$6:$B$1005,$W2502)=0),COUNTIFS('①在庫を貼る'!$V$6:$V$10005,$V2502,'①在庫を貼る'!$W$6:$W$10005,$W2502)&gt;0),N(U2501),N(U2501)+1))</f>
        <v/>
      </c>
      <c r="V2502" s="19">
        <f>IF($B2502="","",TEXT($B2502,"0000"))</f>
        <v/>
      </c>
      <c r="W2502" s="19">
        <f>IF($I2502="","",IF(ISNUMBER($I2502),TEXT($I2502,"0"),$I2502))</f>
        <v/>
      </c>
    </row>
    <row r="2503">
      <c r="B2503" s="25" t="n"/>
      <c r="I2503" s="25" t="n"/>
      <c r="U2503" s="19">
        <f>IF($V2503&lt;&gt;'設定'!$C$4,N(U2502),IF(OR(NOT(COUNTIF('商品マスタ'!$B$6:$B$1005,$W2503)=0),COUNTIFS('①在庫を貼る'!$V$6:$V$10005,$V2503,'①在庫を貼る'!$W$6:$W$10005,$W2503)&gt;0),N(U2502),N(U2502)+1))</f>
        <v/>
      </c>
      <c r="V2503" s="19">
        <f>IF($B2503="","",TEXT($B2503,"0000"))</f>
        <v/>
      </c>
      <c r="W2503" s="19">
        <f>IF($I2503="","",IF(ISNUMBER($I2503),TEXT($I2503,"0"),$I2503))</f>
        <v/>
      </c>
    </row>
    <row r="2504">
      <c r="B2504" s="25" t="n"/>
      <c r="I2504" s="25" t="n"/>
      <c r="U2504" s="19">
        <f>IF($V2504&lt;&gt;'設定'!$C$4,N(U2503),IF(OR(NOT(COUNTIF('商品マスタ'!$B$6:$B$1005,$W2504)=0),COUNTIFS('①在庫を貼る'!$V$6:$V$10005,$V2504,'①在庫を貼る'!$W$6:$W$10005,$W2504)&gt;0),N(U2503),N(U2503)+1))</f>
        <v/>
      </c>
      <c r="V2504" s="19">
        <f>IF($B2504="","",TEXT($B2504,"0000"))</f>
        <v/>
      </c>
      <c r="W2504" s="19">
        <f>IF($I2504="","",IF(ISNUMBER($I2504),TEXT($I2504,"0"),$I2504))</f>
        <v/>
      </c>
    </row>
    <row r="2505">
      <c r="B2505" s="25" t="n"/>
      <c r="I2505" s="25" t="n"/>
      <c r="U2505" s="19">
        <f>IF($V2505&lt;&gt;'設定'!$C$4,N(U2504),IF(OR(NOT(COUNTIF('商品マスタ'!$B$6:$B$1005,$W2505)=0),COUNTIFS('①在庫を貼る'!$V$6:$V$10005,$V2505,'①在庫を貼る'!$W$6:$W$10005,$W2505)&gt;0),N(U2504),N(U2504)+1))</f>
        <v/>
      </c>
      <c r="V2505" s="19">
        <f>IF($B2505="","",TEXT($B2505,"0000"))</f>
        <v/>
      </c>
      <c r="W2505" s="19">
        <f>IF($I2505="","",IF(ISNUMBER($I2505),TEXT($I2505,"0"),$I2505))</f>
        <v/>
      </c>
    </row>
    <row r="2506">
      <c r="B2506" s="25" t="n"/>
      <c r="I2506" s="25" t="n"/>
      <c r="U2506" s="19">
        <f>IF($V2506&lt;&gt;'設定'!$C$4,N(U2505),IF(OR(NOT(COUNTIF('商品マスタ'!$B$6:$B$1005,$W2506)=0),COUNTIFS('①在庫を貼る'!$V$6:$V$10005,$V2506,'①在庫を貼る'!$W$6:$W$10005,$W2506)&gt;0),N(U2505),N(U2505)+1))</f>
        <v/>
      </c>
      <c r="V2506" s="19">
        <f>IF($B2506="","",TEXT($B2506,"0000"))</f>
        <v/>
      </c>
      <c r="W2506" s="19">
        <f>IF($I2506="","",IF(ISNUMBER($I2506),TEXT($I2506,"0"),$I2506))</f>
        <v/>
      </c>
    </row>
    <row r="2507">
      <c r="B2507" s="25" t="n"/>
      <c r="I2507" s="25" t="n"/>
      <c r="U2507" s="19">
        <f>IF($V2507&lt;&gt;'設定'!$C$4,N(U2506),IF(OR(NOT(COUNTIF('商品マスタ'!$B$6:$B$1005,$W2507)=0),COUNTIFS('①在庫を貼る'!$V$6:$V$10005,$V2507,'①在庫を貼る'!$W$6:$W$10005,$W2507)&gt;0),N(U2506),N(U2506)+1))</f>
        <v/>
      </c>
      <c r="V2507" s="19">
        <f>IF($B2507="","",TEXT($B2507,"0000"))</f>
        <v/>
      </c>
      <c r="W2507" s="19">
        <f>IF($I2507="","",IF(ISNUMBER($I2507),TEXT($I2507,"0"),$I2507))</f>
        <v/>
      </c>
    </row>
    <row r="2508">
      <c r="B2508" s="25" t="n"/>
      <c r="I2508" s="25" t="n"/>
      <c r="U2508" s="19">
        <f>IF($V2508&lt;&gt;'設定'!$C$4,N(U2507),IF(OR(NOT(COUNTIF('商品マスタ'!$B$6:$B$1005,$W2508)=0),COUNTIFS('①在庫を貼る'!$V$6:$V$10005,$V2508,'①在庫を貼る'!$W$6:$W$10005,$W2508)&gt;0),N(U2507),N(U2507)+1))</f>
        <v/>
      </c>
      <c r="V2508" s="19">
        <f>IF($B2508="","",TEXT($B2508,"0000"))</f>
        <v/>
      </c>
      <c r="W2508" s="19">
        <f>IF($I2508="","",IF(ISNUMBER($I2508),TEXT($I2508,"0"),$I2508))</f>
        <v/>
      </c>
    </row>
    <row r="2509">
      <c r="B2509" s="25" t="n"/>
      <c r="I2509" s="25" t="n"/>
      <c r="U2509" s="19">
        <f>IF($V2509&lt;&gt;'設定'!$C$4,N(U2508),IF(OR(NOT(COUNTIF('商品マスタ'!$B$6:$B$1005,$W2509)=0),COUNTIFS('①在庫を貼る'!$V$6:$V$10005,$V2509,'①在庫を貼る'!$W$6:$W$10005,$W2509)&gt;0),N(U2508),N(U2508)+1))</f>
        <v/>
      </c>
      <c r="V2509" s="19">
        <f>IF($B2509="","",TEXT($B2509,"0000"))</f>
        <v/>
      </c>
      <c r="W2509" s="19">
        <f>IF($I2509="","",IF(ISNUMBER($I2509),TEXT($I2509,"0"),$I2509))</f>
        <v/>
      </c>
    </row>
    <row r="2510">
      <c r="B2510" s="25" t="n"/>
      <c r="I2510" s="25" t="n"/>
      <c r="U2510" s="19">
        <f>IF($V2510&lt;&gt;'設定'!$C$4,N(U2509),IF(OR(NOT(COUNTIF('商品マスタ'!$B$6:$B$1005,$W2510)=0),COUNTIFS('①在庫を貼る'!$V$6:$V$10005,$V2510,'①在庫を貼る'!$W$6:$W$10005,$W2510)&gt;0),N(U2509),N(U2509)+1))</f>
        <v/>
      </c>
      <c r="V2510" s="19">
        <f>IF($B2510="","",TEXT($B2510,"0000"))</f>
        <v/>
      </c>
      <c r="W2510" s="19">
        <f>IF($I2510="","",IF(ISNUMBER($I2510),TEXT($I2510,"0"),$I2510))</f>
        <v/>
      </c>
    </row>
    <row r="2511">
      <c r="B2511" s="25" t="n"/>
      <c r="I2511" s="25" t="n"/>
      <c r="U2511" s="19">
        <f>IF($V2511&lt;&gt;'設定'!$C$4,N(U2510),IF(OR(NOT(COUNTIF('商品マスタ'!$B$6:$B$1005,$W2511)=0),COUNTIFS('①在庫を貼る'!$V$6:$V$10005,$V2511,'①在庫を貼る'!$W$6:$W$10005,$W2511)&gt;0),N(U2510),N(U2510)+1))</f>
        <v/>
      </c>
      <c r="V2511" s="19">
        <f>IF($B2511="","",TEXT($B2511,"0000"))</f>
        <v/>
      </c>
      <c r="W2511" s="19">
        <f>IF($I2511="","",IF(ISNUMBER($I2511),TEXT($I2511,"0"),$I2511))</f>
        <v/>
      </c>
    </row>
    <row r="2512">
      <c r="B2512" s="25" t="n"/>
      <c r="I2512" s="25" t="n"/>
      <c r="U2512" s="19">
        <f>IF($V2512&lt;&gt;'設定'!$C$4,N(U2511),IF(OR(NOT(COUNTIF('商品マスタ'!$B$6:$B$1005,$W2512)=0),COUNTIFS('①在庫を貼る'!$V$6:$V$10005,$V2512,'①在庫を貼る'!$W$6:$W$10005,$W2512)&gt;0),N(U2511),N(U2511)+1))</f>
        <v/>
      </c>
      <c r="V2512" s="19">
        <f>IF($B2512="","",TEXT($B2512,"0000"))</f>
        <v/>
      </c>
      <c r="W2512" s="19">
        <f>IF($I2512="","",IF(ISNUMBER($I2512),TEXT($I2512,"0"),$I2512))</f>
        <v/>
      </c>
    </row>
    <row r="2513">
      <c r="B2513" s="25" t="n"/>
      <c r="I2513" s="25" t="n"/>
      <c r="U2513" s="19">
        <f>IF($V2513&lt;&gt;'設定'!$C$4,N(U2512),IF(OR(NOT(COUNTIF('商品マスタ'!$B$6:$B$1005,$W2513)=0),COUNTIFS('①在庫を貼る'!$V$6:$V$10005,$V2513,'①在庫を貼る'!$W$6:$W$10005,$W2513)&gt;0),N(U2512),N(U2512)+1))</f>
        <v/>
      </c>
      <c r="V2513" s="19">
        <f>IF($B2513="","",TEXT($B2513,"0000"))</f>
        <v/>
      </c>
      <c r="W2513" s="19">
        <f>IF($I2513="","",IF(ISNUMBER($I2513),TEXT($I2513,"0"),$I2513))</f>
        <v/>
      </c>
    </row>
    <row r="2514">
      <c r="B2514" s="25" t="n"/>
      <c r="I2514" s="25" t="n"/>
      <c r="U2514" s="19">
        <f>IF($V2514&lt;&gt;'設定'!$C$4,N(U2513),IF(OR(NOT(COUNTIF('商品マスタ'!$B$6:$B$1005,$W2514)=0),COUNTIFS('①在庫を貼る'!$V$6:$V$10005,$V2514,'①在庫を貼る'!$W$6:$W$10005,$W2514)&gt;0),N(U2513),N(U2513)+1))</f>
        <v/>
      </c>
      <c r="V2514" s="19">
        <f>IF($B2514="","",TEXT($B2514,"0000"))</f>
        <v/>
      </c>
      <c r="W2514" s="19">
        <f>IF($I2514="","",IF(ISNUMBER($I2514),TEXT($I2514,"0"),$I2514))</f>
        <v/>
      </c>
    </row>
    <row r="2515">
      <c r="B2515" s="25" t="n"/>
      <c r="I2515" s="25" t="n"/>
      <c r="U2515" s="19">
        <f>IF($V2515&lt;&gt;'設定'!$C$4,N(U2514),IF(OR(NOT(COUNTIF('商品マスタ'!$B$6:$B$1005,$W2515)=0),COUNTIFS('①在庫を貼る'!$V$6:$V$10005,$V2515,'①在庫を貼る'!$W$6:$W$10005,$W2515)&gt;0),N(U2514),N(U2514)+1))</f>
        <v/>
      </c>
      <c r="V2515" s="19">
        <f>IF($B2515="","",TEXT($B2515,"0000"))</f>
        <v/>
      </c>
      <c r="W2515" s="19">
        <f>IF($I2515="","",IF(ISNUMBER($I2515),TEXT($I2515,"0"),$I2515))</f>
        <v/>
      </c>
    </row>
    <row r="2516">
      <c r="B2516" s="25" t="n"/>
      <c r="I2516" s="25" t="n"/>
      <c r="U2516" s="19">
        <f>IF($V2516&lt;&gt;'設定'!$C$4,N(U2515),IF(OR(NOT(COUNTIF('商品マスタ'!$B$6:$B$1005,$W2516)=0),COUNTIFS('①在庫を貼る'!$V$6:$V$10005,$V2516,'①在庫を貼る'!$W$6:$W$10005,$W2516)&gt;0),N(U2515),N(U2515)+1))</f>
        <v/>
      </c>
      <c r="V2516" s="19">
        <f>IF($B2516="","",TEXT($B2516,"0000"))</f>
        <v/>
      </c>
      <c r="W2516" s="19">
        <f>IF($I2516="","",IF(ISNUMBER($I2516),TEXT($I2516,"0"),$I2516))</f>
        <v/>
      </c>
    </row>
    <row r="2517">
      <c r="B2517" s="25" t="n"/>
      <c r="I2517" s="25" t="n"/>
      <c r="U2517" s="19">
        <f>IF($V2517&lt;&gt;'設定'!$C$4,N(U2516),IF(OR(NOT(COUNTIF('商品マスタ'!$B$6:$B$1005,$W2517)=0),COUNTIFS('①在庫を貼る'!$V$6:$V$10005,$V2517,'①在庫を貼る'!$W$6:$W$10005,$W2517)&gt;0),N(U2516),N(U2516)+1))</f>
        <v/>
      </c>
      <c r="V2517" s="19">
        <f>IF($B2517="","",TEXT($B2517,"0000"))</f>
        <v/>
      </c>
      <c r="W2517" s="19">
        <f>IF($I2517="","",IF(ISNUMBER($I2517),TEXT($I2517,"0"),$I2517))</f>
        <v/>
      </c>
    </row>
    <row r="2518">
      <c r="B2518" s="25" t="n"/>
      <c r="I2518" s="25" t="n"/>
      <c r="U2518" s="19">
        <f>IF($V2518&lt;&gt;'設定'!$C$4,N(U2517),IF(OR(NOT(COUNTIF('商品マスタ'!$B$6:$B$1005,$W2518)=0),COUNTIFS('①在庫を貼る'!$V$6:$V$10005,$V2518,'①在庫を貼る'!$W$6:$W$10005,$W2518)&gt;0),N(U2517),N(U2517)+1))</f>
        <v/>
      </c>
      <c r="V2518" s="19">
        <f>IF($B2518="","",TEXT($B2518,"0000"))</f>
        <v/>
      </c>
      <c r="W2518" s="19">
        <f>IF($I2518="","",IF(ISNUMBER($I2518),TEXT($I2518,"0"),$I2518))</f>
        <v/>
      </c>
    </row>
    <row r="2519">
      <c r="B2519" s="25" t="n"/>
      <c r="I2519" s="25" t="n"/>
      <c r="U2519" s="19">
        <f>IF($V2519&lt;&gt;'設定'!$C$4,N(U2518),IF(OR(NOT(COUNTIF('商品マスタ'!$B$6:$B$1005,$W2519)=0),COUNTIFS('①在庫を貼る'!$V$6:$V$10005,$V2519,'①在庫を貼る'!$W$6:$W$10005,$W2519)&gt;0),N(U2518),N(U2518)+1))</f>
        <v/>
      </c>
      <c r="V2519" s="19">
        <f>IF($B2519="","",TEXT($B2519,"0000"))</f>
        <v/>
      </c>
      <c r="W2519" s="19">
        <f>IF($I2519="","",IF(ISNUMBER($I2519),TEXT($I2519,"0"),$I2519))</f>
        <v/>
      </c>
    </row>
    <row r="2520">
      <c r="B2520" s="25" t="n"/>
      <c r="I2520" s="25" t="n"/>
      <c r="U2520" s="19">
        <f>IF($V2520&lt;&gt;'設定'!$C$4,N(U2519),IF(OR(NOT(COUNTIF('商品マスタ'!$B$6:$B$1005,$W2520)=0),COUNTIFS('①在庫を貼る'!$V$6:$V$10005,$V2520,'①在庫を貼る'!$W$6:$W$10005,$W2520)&gt;0),N(U2519),N(U2519)+1))</f>
        <v/>
      </c>
      <c r="V2520" s="19">
        <f>IF($B2520="","",TEXT($B2520,"0000"))</f>
        <v/>
      </c>
      <c r="W2520" s="19">
        <f>IF($I2520="","",IF(ISNUMBER($I2520),TEXT($I2520,"0"),$I2520))</f>
        <v/>
      </c>
    </row>
    <row r="2521">
      <c r="B2521" s="25" t="n"/>
      <c r="I2521" s="25" t="n"/>
      <c r="U2521" s="19">
        <f>IF($V2521&lt;&gt;'設定'!$C$4,N(U2520),IF(OR(NOT(COUNTIF('商品マスタ'!$B$6:$B$1005,$W2521)=0),COUNTIFS('①在庫を貼る'!$V$6:$V$10005,$V2521,'①在庫を貼る'!$W$6:$W$10005,$W2521)&gt;0),N(U2520),N(U2520)+1))</f>
        <v/>
      </c>
      <c r="V2521" s="19">
        <f>IF($B2521="","",TEXT($B2521,"0000"))</f>
        <v/>
      </c>
      <c r="W2521" s="19">
        <f>IF($I2521="","",IF(ISNUMBER($I2521),TEXT($I2521,"0"),$I2521))</f>
        <v/>
      </c>
    </row>
    <row r="2522">
      <c r="B2522" s="25" t="n"/>
      <c r="I2522" s="25" t="n"/>
      <c r="U2522" s="19">
        <f>IF($V2522&lt;&gt;'設定'!$C$4,N(U2521),IF(OR(NOT(COUNTIF('商品マスタ'!$B$6:$B$1005,$W2522)=0),COUNTIFS('①在庫を貼る'!$V$6:$V$10005,$V2522,'①在庫を貼る'!$W$6:$W$10005,$W2522)&gt;0),N(U2521),N(U2521)+1))</f>
        <v/>
      </c>
      <c r="V2522" s="19">
        <f>IF($B2522="","",TEXT($B2522,"0000"))</f>
        <v/>
      </c>
      <c r="W2522" s="19">
        <f>IF($I2522="","",IF(ISNUMBER($I2522),TEXT($I2522,"0"),$I2522))</f>
        <v/>
      </c>
    </row>
    <row r="2523">
      <c r="B2523" s="25" t="n"/>
      <c r="I2523" s="25" t="n"/>
      <c r="U2523" s="19">
        <f>IF($V2523&lt;&gt;'設定'!$C$4,N(U2522),IF(OR(NOT(COUNTIF('商品マスタ'!$B$6:$B$1005,$W2523)=0),COUNTIFS('①在庫を貼る'!$V$6:$V$10005,$V2523,'①在庫を貼る'!$W$6:$W$10005,$W2523)&gt;0),N(U2522),N(U2522)+1))</f>
        <v/>
      </c>
      <c r="V2523" s="19">
        <f>IF($B2523="","",TEXT($B2523,"0000"))</f>
        <v/>
      </c>
      <c r="W2523" s="19">
        <f>IF($I2523="","",IF(ISNUMBER($I2523),TEXT($I2523,"0"),$I2523))</f>
        <v/>
      </c>
    </row>
    <row r="2524">
      <c r="B2524" s="25" t="n"/>
      <c r="I2524" s="25" t="n"/>
      <c r="U2524" s="19">
        <f>IF($V2524&lt;&gt;'設定'!$C$4,N(U2523),IF(OR(NOT(COUNTIF('商品マスタ'!$B$6:$B$1005,$W2524)=0),COUNTIFS('①在庫を貼る'!$V$6:$V$10005,$V2524,'①在庫を貼る'!$W$6:$W$10005,$W2524)&gt;0),N(U2523),N(U2523)+1))</f>
        <v/>
      </c>
      <c r="V2524" s="19">
        <f>IF($B2524="","",TEXT($B2524,"0000"))</f>
        <v/>
      </c>
      <c r="W2524" s="19">
        <f>IF($I2524="","",IF(ISNUMBER($I2524),TEXT($I2524,"0"),$I2524))</f>
        <v/>
      </c>
    </row>
    <row r="2525">
      <c r="B2525" s="25" t="n"/>
      <c r="I2525" s="25" t="n"/>
      <c r="U2525" s="19">
        <f>IF($V2525&lt;&gt;'設定'!$C$4,N(U2524),IF(OR(NOT(COUNTIF('商品マスタ'!$B$6:$B$1005,$W2525)=0),COUNTIFS('①在庫を貼る'!$V$6:$V$10005,$V2525,'①在庫を貼る'!$W$6:$W$10005,$W2525)&gt;0),N(U2524),N(U2524)+1))</f>
        <v/>
      </c>
      <c r="V2525" s="19">
        <f>IF($B2525="","",TEXT($B2525,"0000"))</f>
        <v/>
      </c>
      <c r="W2525" s="19">
        <f>IF($I2525="","",IF(ISNUMBER($I2525),TEXT($I2525,"0"),$I2525))</f>
        <v/>
      </c>
    </row>
    <row r="2526">
      <c r="B2526" s="25" t="n"/>
      <c r="I2526" s="25" t="n"/>
      <c r="U2526" s="19">
        <f>IF($V2526&lt;&gt;'設定'!$C$4,N(U2525),IF(OR(NOT(COUNTIF('商品マスタ'!$B$6:$B$1005,$W2526)=0),COUNTIFS('①在庫を貼る'!$V$6:$V$10005,$V2526,'①在庫を貼る'!$W$6:$W$10005,$W2526)&gt;0),N(U2525),N(U2525)+1))</f>
        <v/>
      </c>
      <c r="V2526" s="19">
        <f>IF($B2526="","",TEXT($B2526,"0000"))</f>
        <v/>
      </c>
      <c r="W2526" s="19">
        <f>IF($I2526="","",IF(ISNUMBER($I2526),TEXT($I2526,"0"),$I2526))</f>
        <v/>
      </c>
    </row>
    <row r="2527">
      <c r="B2527" s="25" t="n"/>
      <c r="I2527" s="25" t="n"/>
      <c r="U2527" s="19">
        <f>IF($V2527&lt;&gt;'設定'!$C$4,N(U2526),IF(OR(NOT(COUNTIF('商品マスタ'!$B$6:$B$1005,$W2527)=0),COUNTIFS('①在庫を貼る'!$V$6:$V$10005,$V2527,'①在庫を貼る'!$W$6:$W$10005,$W2527)&gt;0),N(U2526),N(U2526)+1))</f>
        <v/>
      </c>
      <c r="V2527" s="19">
        <f>IF($B2527="","",TEXT($B2527,"0000"))</f>
        <v/>
      </c>
      <c r="W2527" s="19">
        <f>IF($I2527="","",IF(ISNUMBER($I2527),TEXT($I2527,"0"),$I2527))</f>
        <v/>
      </c>
    </row>
    <row r="2528">
      <c r="B2528" s="25" t="n"/>
      <c r="I2528" s="25" t="n"/>
      <c r="U2528" s="19">
        <f>IF($V2528&lt;&gt;'設定'!$C$4,N(U2527),IF(OR(NOT(COUNTIF('商品マスタ'!$B$6:$B$1005,$W2528)=0),COUNTIFS('①在庫を貼る'!$V$6:$V$10005,$V2528,'①在庫を貼る'!$W$6:$W$10005,$W2528)&gt;0),N(U2527),N(U2527)+1))</f>
        <v/>
      </c>
      <c r="V2528" s="19">
        <f>IF($B2528="","",TEXT($B2528,"0000"))</f>
        <v/>
      </c>
      <c r="W2528" s="19">
        <f>IF($I2528="","",IF(ISNUMBER($I2528),TEXT($I2528,"0"),$I2528))</f>
        <v/>
      </c>
    </row>
    <row r="2529">
      <c r="B2529" s="25" t="n"/>
      <c r="I2529" s="25" t="n"/>
      <c r="U2529" s="19">
        <f>IF($V2529&lt;&gt;'設定'!$C$4,N(U2528),IF(OR(NOT(COUNTIF('商品マスタ'!$B$6:$B$1005,$W2529)=0),COUNTIFS('①在庫を貼る'!$V$6:$V$10005,$V2529,'①在庫を貼る'!$W$6:$W$10005,$W2529)&gt;0),N(U2528),N(U2528)+1))</f>
        <v/>
      </c>
      <c r="V2529" s="19">
        <f>IF($B2529="","",TEXT($B2529,"0000"))</f>
        <v/>
      </c>
      <c r="W2529" s="19">
        <f>IF($I2529="","",IF(ISNUMBER($I2529),TEXT($I2529,"0"),$I2529))</f>
        <v/>
      </c>
    </row>
    <row r="2530">
      <c r="B2530" s="25" t="n"/>
      <c r="I2530" s="25" t="n"/>
      <c r="U2530" s="19">
        <f>IF($V2530&lt;&gt;'設定'!$C$4,N(U2529),IF(OR(NOT(COUNTIF('商品マスタ'!$B$6:$B$1005,$W2530)=0),COUNTIFS('①在庫を貼る'!$V$6:$V$10005,$V2530,'①在庫を貼る'!$W$6:$W$10005,$W2530)&gt;0),N(U2529),N(U2529)+1))</f>
        <v/>
      </c>
      <c r="V2530" s="19">
        <f>IF($B2530="","",TEXT($B2530,"0000"))</f>
        <v/>
      </c>
      <c r="W2530" s="19">
        <f>IF($I2530="","",IF(ISNUMBER($I2530),TEXT($I2530,"0"),$I2530))</f>
        <v/>
      </c>
    </row>
    <row r="2531">
      <c r="B2531" s="25" t="n"/>
      <c r="I2531" s="25" t="n"/>
      <c r="U2531" s="19">
        <f>IF($V2531&lt;&gt;'設定'!$C$4,N(U2530),IF(OR(NOT(COUNTIF('商品マスタ'!$B$6:$B$1005,$W2531)=0),COUNTIFS('①在庫を貼る'!$V$6:$V$10005,$V2531,'①在庫を貼る'!$W$6:$W$10005,$W2531)&gt;0),N(U2530),N(U2530)+1))</f>
        <v/>
      </c>
      <c r="V2531" s="19">
        <f>IF($B2531="","",TEXT($B2531,"0000"))</f>
        <v/>
      </c>
      <c r="W2531" s="19">
        <f>IF($I2531="","",IF(ISNUMBER($I2531),TEXT($I2531,"0"),$I2531))</f>
        <v/>
      </c>
    </row>
    <row r="2532">
      <c r="B2532" s="25" t="n"/>
      <c r="I2532" s="25" t="n"/>
      <c r="U2532" s="19">
        <f>IF($V2532&lt;&gt;'設定'!$C$4,N(U2531),IF(OR(NOT(COUNTIF('商品マスタ'!$B$6:$B$1005,$W2532)=0),COUNTIFS('①在庫を貼る'!$V$6:$V$10005,$V2532,'①在庫を貼る'!$W$6:$W$10005,$W2532)&gt;0),N(U2531),N(U2531)+1))</f>
        <v/>
      </c>
      <c r="V2532" s="19">
        <f>IF($B2532="","",TEXT($B2532,"0000"))</f>
        <v/>
      </c>
      <c r="W2532" s="19">
        <f>IF($I2532="","",IF(ISNUMBER($I2532),TEXT($I2532,"0"),$I2532))</f>
        <v/>
      </c>
    </row>
    <row r="2533">
      <c r="B2533" s="25" t="n"/>
      <c r="I2533" s="25" t="n"/>
      <c r="U2533" s="19">
        <f>IF($V2533&lt;&gt;'設定'!$C$4,N(U2532),IF(OR(NOT(COUNTIF('商品マスタ'!$B$6:$B$1005,$W2533)=0),COUNTIFS('①在庫を貼る'!$V$6:$V$10005,$V2533,'①在庫を貼る'!$W$6:$W$10005,$W2533)&gt;0),N(U2532),N(U2532)+1))</f>
        <v/>
      </c>
      <c r="V2533" s="19">
        <f>IF($B2533="","",TEXT($B2533,"0000"))</f>
        <v/>
      </c>
      <c r="W2533" s="19">
        <f>IF($I2533="","",IF(ISNUMBER($I2533),TEXT($I2533,"0"),$I2533))</f>
        <v/>
      </c>
    </row>
    <row r="2534">
      <c r="B2534" s="25" t="n"/>
      <c r="I2534" s="25" t="n"/>
      <c r="U2534" s="19">
        <f>IF($V2534&lt;&gt;'設定'!$C$4,N(U2533),IF(OR(NOT(COUNTIF('商品マスタ'!$B$6:$B$1005,$W2534)=0),COUNTIFS('①在庫を貼る'!$V$6:$V$10005,$V2534,'①在庫を貼る'!$W$6:$W$10005,$W2534)&gt;0),N(U2533),N(U2533)+1))</f>
        <v/>
      </c>
      <c r="V2534" s="19">
        <f>IF($B2534="","",TEXT($B2534,"0000"))</f>
        <v/>
      </c>
      <c r="W2534" s="19">
        <f>IF($I2534="","",IF(ISNUMBER($I2534),TEXT($I2534,"0"),$I2534))</f>
        <v/>
      </c>
    </row>
    <row r="2535">
      <c r="B2535" s="25" t="n"/>
      <c r="I2535" s="25" t="n"/>
      <c r="U2535" s="19">
        <f>IF($V2535&lt;&gt;'設定'!$C$4,N(U2534),IF(OR(NOT(COUNTIF('商品マスタ'!$B$6:$B$1005,$W2535)=0),COUNTIFS('①在庫を貼る'!$V$6:$V$10005,$V2535,'①在庫を貼る'!$W$6:$W$10005,$W2535)&gt;0),N(U2534),N(U2534)+1))</f>
        <v/>
      </c>
      <c r="V2535" s="19">
        <f>IF($B2535="","",TEXT($B2535,"0000"))</f>
        <v/>
      </c>
      <c r="W2535" s="19">
        <f>IF($I2535="","",IF(ISNUMBER($I2535),TEXT($I2535,"0"),$I2535))</f>
        <v/>
      </c>
    </row>
    <row r="2536">
      <c r="B2536" s="25" t="n"/>
      <c r="I2536" s="25" t="n"/>
      <c r="U2536" s="19">
        <f>IF($V2536&lt;&gt;'設定'!$C$4,N(U2535),IF(OR(NOT(COUNTIF('商品マスタ'!$B$6:$B$1005,$W2536)=0),COUNTIFS('①在庫を貼る'!$V$6:$V$10005,$V2536,'①在庫を貼る'!$W$6:$W$10005,$W2536)&gt;0),N(U2535),N(U2535)+1))</f>
        <v/>
      </c>
      <c r="V2536" s="19">
        <f>IF($B2536="","",TEXT($B2536,"0000"))</f>
        <v/>
      </c>
      <c r="W2536" s="19">
        <f>IF($I2536="","",IF(ISNUMBER($I2536),TEXT($I2536,"0"),$I2536))</f>
        <v/>
      </c>
    </row>
    <row r="2537">
      <c r="B2537" s="25" t="n"/>
      <c r="I2537" s="25" t="n"/>
      <c r="U2537" s="19">
        <f>IF($V2537&lt;&gt;'設定'!$C$4,N(U2536),IF(OR(NOT(COUNTIF('商品マスタ'!$B$6:$B$1005,$W2537)=0),COUNTIFS('①在庫を貼る'!$V$6:$V$10005,$V2537,'①在庫を貼る'!$W$6:$W$10005,$W2537)&gt;0),N(U2536),N(U2536)+1))</f>
        <v/>
      </c>
      <c r="V2537" s="19">
        <f>IF($B2537="","",TEXT($B2537,"0000"))</f>
        <v/>
      </c>
      <c r="W2537" s="19">
        <f>IF($I2537="","",IF(ISNUMBER($I2537),TEXT($I2537,"0"),$I2537))</f>
        <v/>
      </c>
    </row>
    <row r="2538">
      <c r="B2538" s="25" t="n"/>
      <c r="I2538" s="25" t="n"/>
      <c r="U2538" s="19">
        <f>IF($V2538&lt;&gt;'設定'!$C$4,N(U2537),IF(OR(NOT(COUNTIF('商品マスタ'!$B$6:$B$1005,$W2538)=0),COUNTIFS('①在庫を貼る'!$V$6:$V$10005,$V2538,'①在庫を貼る'!$W$6:$W$10005,$W2538)&gt;0),N(U2537),N(U2537)+1))</f>
        <v/>
      </c>
      <c r="V2538" s="19">
        <f>IF($B2538="","",TEXT($B2538,"0000"))</f>
        <v/>
      </c>
      <c r="W2538" s="19">
        <f>IF($I2538="","",IF(ISNUMBER($I2538),TEXT($I2538,"0"),$I2538))</f>
        <v/>
      </c>
    </row>
    <row r="2539">
      <c r="B2539" s="25" t="n"/>
      <c r="I2539" s="25" t="n"/>
      <c r="U2539" s="19">
        <f>IF($V2539&lt;&gt;'設定'!$C$4,N(U2538),IF(OR(NOT(COUNTIF('商品マスタ'!$B$6:$B$1005,$W2539)=0),COUNTIFS('①在庫を貼る'!$V$6:$V$10005,$V2539,'①在庫を貼る'!$W$6:$W$10005,$W2539)&gt;0),N(U2538),N(U2538)+1))</f>
        <v/>
      </c>
      <c r="V2539" s="19">
        <f>IF($B2539="","",TEXT($B2539,"0000"))</f>
        <v/>
      </c>
      <c r="W2539" s="19">
        <f>IF($I2539="","",IF(ISNUMBER($I2539),TEXT($I2539,"0"),$I2539))</f>
        <v/>
      </c>
    </row>
    <row r="2540">
      <c r="B2540" s="25" t="n"/>
      <c r="I2540" s="25" t="n"/>
      <c r="U2540" s="19">
        <f>IF($V2540&lt;&gt;'設定'!$C$4,N(U2539),IF(OR(NOT(COUNTIF('商品マスタ'!$B$6:$B$1005,$W2540)=0),COUNTIFS('①在庫を貼る'!$V$6:$V$10005,$V2540,'①在庫を貼る'!$W$6:$W$10005,$W2540)&gt;0),N(U2539),N(U2539)+1))</f>
        <v/>
      </c>
      <c r="V2540" s="19">
        <f>IF($B2540="","",TEXT($B2540,"0000"))</f>
        <v/>
      </c>
      <c r="W2540" s="19">
        <f>IF($I2540="","",IF(ISNUMBER($I2540),TEXT($I2540,"0"),$I2540))</f>
        <v/>
      </c>
    </row>
    <row r="2541">
      <c r="B2541" s="25" t="n"/>
      <c r="I2541" s="25" t="n"/>
      <c r="U2541" s="19">
        <f>IF($V2541&lt;&gt;'設定'!$C$4,N(U2540),IF(OR(NOT(COUNTIF('商品マスタ'!$B$6:$B$1005,$W2541)=0),COUNTIFS('①在庫を貼る'!$V$6:$V$10005,$V2541,'①在庫を貼る'!$W$6:$W$10005,$W2541)&gt;0),N(U2540),N(U2540)+1))</f>
        <v/>
      </c>
      <c r="V2541" s="19">
        <f>IF($B2541="","",TEXT($B2541,"0000"))</f>
        <v/>
      </c>
      <c r="W2541" s="19">
        <f>IF($I2541="","",IF(ISNUMBER($I2541),TEXT($I2541,"0"),$I2541))</f>
        <v/>
      </c>
    </row>
    <row r="2542">
      <c r="B2542" s="25" t="n"/>
      <c r="I2542" s="25" t="n"/>
      <c r="U2542" s="19">
        <f>IF($V2542&lt;&gt;'設定'!$C$4,N(U2541),IF(OR(NOT(COUNTIF('商品マスタ'!$B$6:$B$1005,$W2542)=0),COUNTIFS('①在庫を貼る'!$V$6:$V$10005,$V2542,'①在庫を貼る'!$W$6:$W$10005,$W2542)&gt;0),N(U2541),N(U2541)+1))</f>
        <v/>
      </c>
      <c r="V2542" s="19">
        <f>IF($B2542="","",TEXT($B2542,"0000"))</f>
        <v/>
      </c>
      <c r="W2542" s="19">
        <f>IF($I2542="","",IF(ISNUMBER($I2542),TEXT($I2542,"0"),$I2542))</f>
        <v/>
      </c>
    </row>
    <row r="2543">
      <c r="B2543" s="25" t="n"/>
      <c r="I2543" s="25" t="n"/>
      <c r="U2543" s="19">
        <f>IF($V2543&lt;&gt;'設定'!$C$4,N(U2542),IF(OR(NOT(COUNTIF('商品マスタ'!$B$6:$B$1005,$W2543)=0),COUNTIFS('①在庫を貼る'!$V$6:$V$10005,$V2543,'①在庫を貼る'!$W$6:$W$10005,$W2543)&gt;0),N(U2542),N(U2542)+1))</f>
        <v/>
      </c>
      <c r="V2543" s="19">
        <f>IF($B2543="","",TEXT($B2543,"0000"))</f>
        <v/>
      </c>
      <c r="W2543" s="19">
        <f>IF($I2543="","",IF(ISNUMBER($I2543),TEXT($I2543,"0"),$I2543))</f>
        <v/>
      </c>
    </row>
    <row r="2544">
      <c r="B2544" s="25" t="n"/>
      <c r="I2544" s="25" t="n"/>
      <c r="U2544" s="19">
        <f>IF($V2544&lt;&gt;'設定'!$C$4,N(U2543),IF(OR(NOT(COUNTIF('商品マスタ'!$B$6:$B$1005,$W2544)=0),COUNTIFS('①在庫を貼る'!$V$6:$V$10005,$V2544,'①在庫を貼る'!$W$6:$W$10005,$W2544)&gt;0),N(U2543),N(U2543)+1))</f>
        <v/>
      </c>
      <c r="V2544" s="19">
        <f>IF($B2544="","",TEXT($B2544,"0000"))</f>
        <v/>
      </c>
      <c r="W2544" s="19">
        <f>IF($I2544="","",IF(ISNUMBER($I2544),TEXT($I2544,"0"),$I2544))</f>
        <v/>
      </c>
    </row>
    <row r="2545">
      <c r="B2545" s="25" t="n"/>
      <c r="I2545" s="25" t="n"/>
      <c r="U2545" s="19">
        <f>IF($V2545&lt;&gt;'設定'!$C$4,N(U2544),IF(OR(NOT(COUNTIF('商品マスタ'!$B$6:$B$1005,$W2545)=0),COUNTIFS('①在庫を貼る'!$V$6:$V$10005,$V2545,'①在庫を貼る'!$W$6:$W$10005,$W2545)&gt;0),N(U2544),N(U2544)+1))</f>
        <v/>
      </c>
      <c r="V2545" s="19">
        <f>IF($B2545="","",TEXT($B2545,"0000"))</f>
        <v/>
      </c>
      <c r="W2545" s="19">
        <f>IF($I2545="","",IF(ISNUMBER($I2545),TEXT($I2545,"0"),$I2545))</f>
        <v/>
      </c>
    </row>
    <row r="2546">
      <c r="B2546" s="25" t="n"/>
      <c r="I2546" s="25" t="n"/>
      <c r="U2546" s="19">
        <f>IF($V2546&lt;&gt;'設定'!$C$4,N(U2545),IF(OR(NOT(COUNTIF('商品マスタ'!$B$6:$B$1005,$W2546)=0),COUNTIFS('①在庫を貼る'!$V$6:$V$10005,$V2546,'①在庫を貼る'!$W$6:$W$10005,$W2546)&gt;0),N(U2545),N(U2545)+1))</f>
        <v/>
      </c>
      <c r="V2546" s="19">
        <f>IF($B2546="","",TEXT($B2546,"0000"))</f>
        <v/>
      </c>
      <c r="W2546" s="19">
        <f>IF($I2546="","",IF(ISNUMBER($I2546),TEXT($I2546,"0"),$I2546))</f>
        <v/>
      </c>
    </row>
    <row r="2547">
      <c r="B2547" s="25" t="n"/>
      <c r="I2547" s="25" t="n"/>
      <c r="U2547" s="19">
        <f>IF($V2547&lt;&gt;'設定'!$C$4,N(U2546),IF(OR(NOT(COUNTIF('商品マスタ'!$B$6:$B$1005,$W2547)=0),COUNTIFS('①在庫を貼る'!$V$6:$V$10005,$V2547,'①在庫を貼る'!$W$6:$W$10005,$W2547)&gt;0),N(U2546),N(U2546)+1))</f>
        <v/>
      </c>
      <c r="V2547" s="19">
        <f>IF($B2547="","",TEXT($B2547,"0000"))</f>
        <v/>
      </c>
      <c r="W2547" s="19">
        <f>IF($I2547="","",IF(ISNUMBER($I2547),TEXT($I2547,"0"),$I2547))</f>
        <v/>
      </c>
    </row>
    <row r="2548">
      <c r="B2548" s="25" t="n"/>
      <c r="I2548" s="25" t="n"/>
      <c r="U2548" s="19">
        <f>IF($V2548&lt;&gt;'設定'!$C$4,N(U2547),IF(OR(NOT(COUNTIF('商品マスタ'!$B$6:$B$1005,$W2548)=0),COUNTIFS('①在庫を貼る'!$V$6:$V$10005,$V2548,'①在庫を貼る'!$W$6:$W$10005,$W2548)&gt;0),N(U2547),N(U2547)+1))</f>
        <v/>
      </c>
      <c r="V2548" s="19">
        <f>IF($B2548="","",TEXT($B2548,"0000"))</f>
        <v/>
      </c>
      <c r="W2548" s="19">
        <f>IF($I2548="","",IF(ISNUMBER($I2548),TEXT($I2548,"0"),$I2548))</f>
        <v/>
      </c>
    </row>
    <row r="2549">
      <c r="B2549" s="25" t="n"/>
      <c r="I2549" s="25" t="n"/>
      <c r="U2549" s="19">
        <f>IF($V2549&lt;&gt;'設定'!$C$4,N(U2548),IF(OR(NOT(COUNTIF('商品マスタ'!$B$6:$B$1005,$W2549)=0),COUNTIFS('①在庫を貼る'!$V$6:$V$10005,$V2549,'①在庫を貼る'!$W$6:$W$10005,$W2549)&gt;0),N(U2548),N(U2548)+1))</f>
        <v/>
      </c>
      <c r="V2549" s="19">
        <f>IF($B2549="","",TEXT($B2549,"0000"))</f>
        <v/>
      </c>
      <c r="W2549" s="19">
        <f>IF($I2549="","",IF(ISNUMBER($I2549),TEXT($I2549,"0"),$I2549))</f>
        <v/>
      </c>
    </row>
    <row r="2550">
      <c r="B2550" s="25" t="n"/>
      <c r="I2550" s="25" t="n"/>
      <c r="U2550" s="19">
        <f>IF($V2550&lt;&gt;'設定'!$C$4,N(U2549),IF(OR(NOT(COUNTIF('商品マスタ'!$B$6:$B$1005,$W2550)=0),COUNTIFS('①在庫を貼る'!$V$6:$V$10005,$V2550,'①在庫を貼る'!$W$6:$W$10005,$W2550)&gt;0),N(U2549),N(U2549)+1))</f>
        <v/>
      </c>
      <c r="V2550" s="19">
        <f>IF($B2550="","",TEXT($B2550,"0000"))</f>
        <v/>
      </c>
      <c r="W2550" s="19">
        <f>IF($I2550="","",IF(ISNUMBER($I2550),TEXT($I2550,"0"),$I2550))</f>
        <v/>
      </c>
    </row>
    <row r="2551">
      <c r="B2551" s="25" t="n"/>
      <c r="I2551" s="25" t="n"/>
      <c r="U2551" s="19">
        <f>IF($V2551&lt;&gt;'設定'!$C$4,N(U2550),IF(OR(NOT(COUNTIF('商品マスタ'!$B$6:$B$1005,$W2551)=0),COUNTIFS('①在庫を貼る'!$V$6:$V$10005,$V2551,'①在庫を貼る'!$W$6:$W$10005,$W2551)&gt;0),N(U2550),N(U2550)+1))</f>
        <v/>
      </c>
      <c r="V2551" s="19">
        <f>IF($B2551="","",TEXT($B2551,"0000"))</f>
        <v/>
      </c>
      <c r="W2551" s="19">
        <f>IF($I2551="","",IF(ISNUMBER($I2551),TEXT($I2551,"0"),$I2551))</f>
        <v/>
      </c>
    </row>
    <row r="2552">
      <c r="B2552" s="25" t="n"/>
      <c r="I2552" s="25" t="n"/>
      <c r="U2552" s="19">
        <f>IF($V2552&lt;&gt;'設定'!$C$4,N(U2551),IF(OR(NOT(COUNTIF('商品マスタ'!$B$6:$B$1005,$W2552)=0),COUNTIFS('①在庫を貼る'!$V$6:$V$10005,$V2552,'①在庫を貼る'!$W$6:$W$10005,$W2552)&gt;0),N(U2551),N(U2551)+1))</f>
        <v/>
      </c>
      <c r="V2552" s="19">
        <f>IF($B2552="","",TEXT($B2552,"0000"))</f>
        <v/>
      </c>
      <c r="W2552" s="19">
        <f>IF($I2552="","",IF(ISNUMBER($I2552),TEXT($I2552,"0"),$I2552))</f>
        <v/>
      </c>
    </row>
    <row r="2553">
      <c r="B2553" s="25" t="n"/>
      <c r="I2553" s="25" t="n"/>
      <c r="U2553" s="19">
        <f>IF($V2553&lt;&gt;'設定'!$C$4,N(U2552),IF(OR(NOT(COUNTIF('商品マスタ'!$B$6:$B$1005,$W2553)=0),COUNTIFS('①在庫を貼る'!$V$6:$V$10005,$V2553,'①在庫を貼る'!$W$6:$W$10005,$W2553)&gt;0),N(U2552),N(U2552)+1))</f>
        <v/>
      </c>
      <c r="V2553" s="19">
        <f>IF($B2553="","",TEXT($B2553,"0000"))</f>
        <v/>
      </c>
      <c r="W2553" s="19">
        <f>IF($I2553="","",IF(ISNUMBER($I2553),TEXT($I2553,"0"),$I2553))</f>
        <v/>
      </c>
    </row>
    <row r="2554">
      <c r="B2554" s="25" t="n"/>
      <c r="I2554" s="25" t="n"/>
      <c r="U2554" s="19">
        <f>IF($V2554&lt;&gt;'設定'!$C$4,N(U2553),IF(OR(NOT(COUNTIF('商品マスタ'!$B$6:$B$1005,$W2554)=0),COUNTIFS('①在庫を貼る'!$V$6:$V$10005,$V2554,'①在庫を貼る'!$W$6:$W$10005,$W2554)&gt;0),N(U2553),N(U2553)+1))</f>
        <v/>
      </c>
      <c r="V2554" s="19">
        <f>IF($B2554="","",TEXT($B2554,"0000"))</f>
        <v/>
      </c>
      <c r="W2554" s="19">
        <f>IF($I2554="","",IF(ISNUMBER($I2554),TEXT($I2554,"0"),$I2554))</f>
        <v/>
      </c>
    </row>
    <row r="2555">
      <c r="B2555" s="25" t="n"/>
      <c r="I2555" s="25" t="n"/>
      <c r="U2555" s="19">
        <f>IF($V2555&lt;&gt;'設定'!$C$4,N(U2554),IF(OR(NOT(COUNTIF('商品マスタ'!$B$6:$B$1005,$W2555)=0),COUNTIFS('①在庫を貼る'!$V$6:$V$10005,$V2555,'①在庫を貼る'!$W$6:$W$10005,$W2555)&gt;0),N(U2554),N(U2554)+1))</f>
        <v/>
      </c>
      <c r="V2555" s="19">
        <f>IF($B2555="","",TEXT($B2555,"0000"))</f>
        <v/>
      </c>
      <c r="W2555" s="19">
        <f>IF($I2555="","",IF(ISNUMBER($I2555),TEXT($I2555,"0"),$I2555))</f>
        <v/>
      </c>
    </row>
    <row r="2556">
      <c r="B2556" s="25" t="n"/>
      <c r="I2556" s="25" t="n"/>
      <c r="U2556" s="19">
        <f>IF($V2556&lt;&gt;'設定'!$C$4,N(U2555),IF(OR(NOT(COUNTIF('商品マスタ'!$B$6:$B$1005,$W2556)=0),COUNTIFS('①在庫を貼る'!$V$6:$V$10005,$V2556,'①在庫を貼る'!$W$6:$W$10005,$W2556)&gt;0),N(U2555),N(U2555)+1))</f>
        <v/>
      </c>
      <c r="V2556" s="19">
        <f>IF($B2556="","",TEXT($B2556,"0000"))</f>
        <v/>
      </c>
      <c r="W2556" s="19">
        <f>IF($I2556="","",IF(ISNUMBER($I2556),TEXT($I2556,"0"),$I2556))</f>
        <v/>
      </c>
    </row>
    <row r="2557">
      <c r="B2557" s="25" t="n"/>
      <c r="I2557" s="25" t="n"/>
      <c r="U2557" s="19">
        <f>IF($V2557&lt;&gt;'設定'!$C$4,N(U2556),IF(OR(NOT(COUNTIF('商品マスタ'!$B$6:$B$1005,$W2557)=0),COUNTIFS('①在庫を貼る'!$V$6:$V$10005,$V2557,'①在庫を貼る'!$W$6:$W$10005,$W2557)&gt;0),N(U2556),N(U2556)+1))</f>
        <v/>
      </c>
      <c r="V2557" s="19">
        <f>IF($B2557="","",TEXT($B2557,"0000"))</f>
        <v/>
      </c>
      <c r="W2557" s="19">
        <f>IF($I2557="","",IF(ISNUMBER($I2557),TEXT($I2557,"0"),$I2557))</f>
        <v/>
      </c>
    </row>
    <row r="2558">
      <c r="B2558" s="25" t="n"/>
      <c r="I2558" s="25" t="n"/>
      <c r="U2558" s="19">
        <f>IF($V2558&lt;&gt;'設定'!$C$4,N(U2557),IF(OR(NOT(COUNTIF('商品マスタ'!$B$6:$B$1005,$W2558)=0),COUNTIFS('①在庫を貼る'!$V$6:$V$10005,$V2558,'①在庫を貼る'!$W$6:$W$10005,$W2558)&gt;0),N(U2557),N(U2557)+1))</f>
        <v/>
      </c>
      <c r="V2558" s="19">
        <f>IF($B2558="","",TEXT($B2558,"0000"))</f>
        <v/>
      </c>
      <c r="W2558" s="19">
        <f>IF($I2558="","",IF(ISNUMBER($I2558),TEXT($I2558,"0"),$I2558))</f>
        <v/>
      </c>
    </row>
    <row r="2559">
      <c r="B2559" s="25" t="n"/>
      <c r="I2559" s="25" t="n"/>
      <c r="U2559" s="19">
        <f>IF($V2559&lt;&gt;'設定'!$C$4,N(U2558),IF(OR(NOT(COUNTIF('商品マスタ'!$B$6:$B$1005,$W2559)=0),COUNTIFS('①在庫を貼る'!$V$6:$V$10005,$V2559,'①在庫を貼る'!$W$6:$W$10005,$W2559)&gt;0),N(U2558),N(U2558)+1))</f>
        <v/>
      </c>
      <c r="V2559" s="19">
        <f>IF($B2559="","",TEXT($B2559,"0000"))</f>
        <v/>
      </c>
      <c r="W2559" s="19">
        <f>IF($I2559="","",IF(ISNUMBER($I2559),TEXT($I2559,"0"),$I2559))</f>
        <v/>
      </c>
    </row>
    <row r="2560">
      <c r="B2560" s="25" t="n"/>
      <c r="I2560" s="25" t="n"/>
      <c r="U2560" s="19">
        <f>IF($V2560&lt;&gt;'設定'!$C$4,N(U2559),IF(OR(NOT(COUNTIF('商品マスタ'!$B$6:$B$1005,$W2560)=0),COUNTIFS('①在庫を貼る'!$V$6:$V$10005,$V2560,'①在庫を貼る'!$W$6:$W$10005,$W2560)&gt;0),N(U2559),N(U2559)+1))</f>
        <v/>
      </c>
      <c r="V2560" s="19">
        <f>IF($B2560="","",TEXT($B2560,"0000"))</f>
        <v/>
      </c>
      <c r="W2560" s="19">
        <f>IF($I2560="","",IF(ISNUMBER($I2560),TEXT($I2560,"0"),$I2560))</f>
        <v/>
      </c>
    </row>
    <row r="2561">
      <c r="B2561" s="25" t="n"/>
      <c r="I2561" s="25" t="n"/>
      <c r="U2561" s="19">
        <f>IF($V2561&lt;&gt;'設定'!$C$4,N(U2560),IF(OR(NOT(COUNTIF('商品マスタ'!$B$6:$B$1005,$W2561)=0),COUNTIFS('①在庫を貼る'!$V$6:$V$10005,$V2561,'①在庫を貼る'!$W$6:$W$10005,$W2561)&gt;0),N(U2560),N(U2560)+1))</f>
        <v/>
      </c>
      <c r="V2561" s="19">
        <f>IF($B2561="","",TEXT($B2561,"0000"))</f>
        <v/>
      </c>
      <c r="W2561" s="19">
        <f>IF($I2561="","",IF(ISNUMBER($I2561),TEXT($I2561,"0"),$I2561))</f>
        <v/>
      </c>
    </row>
    <row r="2562">
      <c r="B2562" s="25" t="n"/>
      <c r="I2562" s="25" t="n"/>
      <c r="U2562" s="19">
        <f>IF($V2562&lt;&gt;'設定'!$C$4,N(U2561),IF(OR(NOT(COUNTIF('商品マスタ'!$B$6:$B$1005,$W2562)=0),COUNTIFS('①在庫を貼る'!$V$6:$V$10005,$V2562,'①在庫を貼る'!$W$6:$W$10005,$W2562)&gt;0),N(U2561),N(U2561)+1))</f>
        <v/>
      </c>
      <c r="V2562" s="19">
        <f>IF($B2562="","",TEXT($B2562,"0000"))</f>
        <v/>
      </c>
      <c r="W2562" s="19">
        <f>IF($I2562="","",IF(ISNUMBER($I2562),TEXT($I2562,"0"),$I2562))</f>
        <v/>
      </c>
    </row>
    <row r="2563">
      <c r="B2563" s="25" t="n"/>
      <c r="I2563" s="25" t="n"/>
      <c r="U2563" s="19">
        <f>IF($V2563&lt;&gt;'設定'!$C$4,N(U2562),IF(OR(NOT(COUNTIF('商品マスタ'!$B$6:$B$1005,$W2563)=0),COUNTIFS('①在庫を貼る'!$V$6:$V$10005,$V2563,'①在庫を貼る'!$W$6:$W$10005,$W2563)&gt;0),N(U2562),N(U2562)+1))</f>
        <v/>
      </c>
      <c r="V2563" s="19">
        <f>IF($B2563="","",TEXT($B2563,"0000"))</f>
        <v/>
      </c>
      <c r="W2563" s="19">
        <f>IF($I2563="","",IF(ISNUMBER($I2563),TEXT($I2563,"0"),$I2563))</f>
        <v/>
      </c>
    </row>
    <row r="2564">
      <c r="B2564" s="25" t="n"/>
      <c r="I2564" s="25" t="n"/>
      <c r="U2564" s="19">
        <f>IF($V2564&lt;&gt;'設定'!$C$4,N(U2563),IF(OR(NOT(COUNTIF('商品マスタ'!$B$6:$B$1005,$W2564)=0),COUNTIFS('①在庫を貼る'!$V$6:$V$10005,$V2564,'①在庫を貼る'!$W$6:$W$10005,$W2564)&gt;0),N(U2563),N(U2563)+1))</f>
        <v/>
      </c>
      <c r="V2564" s="19">
        <f>IF($B2564="","",TEXT($B2564,"0000"))</f>
        <v/>
      </c>
      <c r="W2564" s="19">
        <f>IF($I2564="","",IF(ISNUMBER($I2564),TEXT($I2564,"0"),$I2564))</f>
        <v/>
      </c>
    </row>
    <row r="2565">
      <c r="B2565" s="25" t="n"/>
      <c r="I2565" s="25" t="n"/>
      <c r="U2565" s="19">
        <f>IF($V2565&lt;&gt;'設定'!$C$4,N(U2564),IF(OR(NOT(COUNTIF('商品マスタ'!$B$6:$B$1005,$W2565)=0),COUNTIFS('①在庫を貼る'!$V$6:$V$10005,$V2565,'①在庫を貼る'!$W$6:$W$10005,$W2565)&gt;0),N(U2564),N(U2564)+1))</f>
        <v/>
      </c>
      <c r="V2565" s="19">
        <f>IF($B2565="","",TEXT($B2565,"0000"))</f>
        <v/>
      </c>
      <c r="W2565" s="19">
        <f>IF($I2565="","",IF(ISNUMBER($I2565),TEXT($I2565,"0"),$I2565))</f>
        <v/>
      </c>
    </row>
    <row r="2566">
      <c r="B2566" s="25" t="n"/>
      <c r="I2566" s="25" t="n"/>
      <c r="U2566" s="19">
        <f>IF($V2566&lt;&gt;'設定'!$C$4,N(U2565),IF(OR(NOT(COUNTIF('商品マスタ'!$B$6:$B$1005,$W2566)=0),COUNTIFS('①在庫を貼る'!$V$6:$V$10005,$V2566,'①在庫を貼る'!$W$6:$W$10005,$W2566)&gt;0),N(U2565),N(U2565)+1))</f>
        <v/>
      </c>
      <c r="V2566" s="19">
        <f>IF($B2566="","",TEXT($B2566,"0000"))</f>
        <v/>
      </c>
      <c r="W2566" s="19">
        <f>IF($I2566="","",IF(ISNUMBER($I2566),TEXT($I2566,"0"),$I2566))</f>
        <v/>
      </c>
    </row>
    <row r="2567">
      <c r="B2567" s="25" t="n"/>
      <c r="I2567" s="25" t="n"/>
      <c r="U2567" s="19">
        <f>IF($V2567&lt;&gt;'設定'!$C$4,N(U2566),IF(OR(NOT(COUNTIF('商品マスタ'!$B$6:$B$1005,$W2567)=0),COUNTIFS('①在庫を貼る'!$V$6:$V$10005,$V2567,'①在庫を貼る'!$W$6:$W$10005,$W2567)&gt;0),N(U2566),N(U2566)+1))</f>
        <v/>
      </c>
      <c r="V2567" s="19">
        <f>IF($B2567="","",TEXT($B2567,"0000"))</f>
        <v/>
      </c>
      <c r="W2567" s="19">
        <f>IF($I2567="","",IF(ISNUMBER($I2567),TEXT($I2567,"0"),$I2567))</f>
        <v/>
      </c>
    </row>
    <row r="2568">
      <c r="B2568" s="25" t="n"/>
      <c r="I2568" s="25" t="n"/>
      <c r="U2568" s="19">
        <f>IF($V2568&lt;&gt;'設定'!$C$4,N(U2567),IF(OR(NOT(COUNTIF('商品マスタ'!$B$6:$B$1005,$W2568)=0),COUNTIFS('①在庫を貼る'!$V$6:$V$10005,$V2568,'①在庫を貼る'!$W$6:$W$10005,$W2568)&gt;0),N(U2567),N(U2567)+1))</f>
        <v/>
      </c>
      <c r="V2568" s="19">
        <f>IF($B2568="","",TEXT($B2568,"0000"))</f>
        <v/>
      </c>
      <c r="W2568" s="19">
        <f>IF($I2568="","",IF(ISNUMBER($I2568),TEXT($I2568,"0"),$I2568))</f>
        <v/>
      </c>
    </row>
    <row r="2569">
      <c r="B2569" s="25" t="n"/>
      <c r="I2569" s="25" t="n"/>
      <c r="U2569" s="19">
        <f>IF($V2569&lt;&gt;'設定'!$C$4,N(U2568),IF(OR(NOT(COUNTIF('商品マスタ'!$B$6:$B$1005,$W2569)=0),COUNTIFS('①在庫を貼る'!$V$6:$V$10005,$V2569,'①在庫を貼る'!$W$6:$W$10005,$W2569)&gt;0),N(U2568),N(U2568)+1))</f>
        <v/>
      </c>
      <c r="V2569" s="19">
        <f>IF($B2569="","",TEXT($B2569,"0000"))</f>
        <v/>
      </c>
      <c r="W2569" s="19">
        <f>IF($I2569="","",IF(ISNUMBER($I2569),TEXT($I2569,"0"),$I2569))</f>
        <v/>
      </c>
    </row>
    <row r="2570">
      <c r="B2570" s="25" t="n"/>
      <c r="I2570" s="25" t="n"/>
      <c r="U2570" s="19">
        <f>IF($V2570&lt;&gt;'設定'!$C$4,N(U2569),IF(OR(NOT(COUNTIF('商品マスタ'!$B$6:$B$1005,$W2570)=0),COUNTIFS('①在庫を貼る'!$V$6:$V$10005,$V2570,'①在庫を貼る'!$W$6:$W$10005,$W2570)&gt;0),N(U2569),N(U2569)+1))</f>
        <v/>
      </c>
      <c r="V2570" s="19">
        <f>IF($B2570="","",TEXT($B2570,"0000"))</f>
        <v/>
      </c>
      <c r="W2570" s="19">
        <f>IF($I2570="","",IF(ISNUMBER($I2570),TEXT($I2570,"0"),$I2570))</f>
        <v/>
      </c>
    </row>
    <row r="2571">
      <c r="B2571" s="25" t="n"/>
      <c r="I2571" s="25" t="n"/>
      <c r="U2571" s="19">
        <f>IF($V2571&lt;&gt;'設定'!$C$4,N(U2570),IF(OR(NOT(COUNTIF('商品マスタ'!$B$6:$B$1005,$W2571)=0),COUNTIFS('①在庫を貼る'!$V$6:$V$10005,$V2571,'①在庫を貼る'!$W$6:$W$10005,$W2571)&gt;0),N(U2570),N(U2570)+1))</f>
        <v/>
      </c>
      <c r="V2571" s="19">
        <f>IF($B2571="","",TEXT($B2571,"0000"))</f>
        <v/>
      </c>
      <c r="W2571" s="19">
        <f>IF($I2571="","",IF(ISNUMBER($I2571),TEXT($I2571,"0"),$I2571))</f>
        <v/>
      </c>
    </row>
    <row r="2572">
      <c r="B2572" s="25" t="n"/>
      <c r="I2572" s="25" t="n"/>
      <c r="U2572" s="19">
        <f>IF($V2572&lt;&gt;'設定'!$C$4,N(U2571),IF(OR(NOT(COUNTIF('商品マスタ'!$B$6:$B$1005,$W2572)=0),COUNTIFS('①在庫を貼る'!$V$6:$V$10005,$V2572,'①在庫を貼る'!$W$6:$W$10005,$W2572)&gt;0),N(U2571),N(U2571)+1))</f>
        <v/>
      </c>
      <c r="V2572" s="19">
        <f>IF($B2572="","",TEXT($B2572,"0000"))</f>
        <v/>
      </c>
      <c r="W2572" s="19">
        <f>IF($I2572="","",IF(ISNUMBER($I2572),TEXT($I2572,"0"),$I2572))</f>
        <v/>
      </c>
    </row>
    <row r="2573">
      <c r="B2573" s="25" t="n"/>
      <c r="I2573" s="25" t="n"/>
      <c r="U2573" s="19">
        <f>IF($V2573&lt;&gt;'設定'!$C$4,N(U2572),IF(OR(NOT(COUNTIF('商品マスタ'!$B$6:$B$1005,$W2573)=0),COUNTIFS('①在庫を貼る'!$V$6:$V$10005,$V2573,'①在庫を貼る'!$W$6:$W$10005,$W2573)&gt;0),N(U2572),N(U2572)+1))</f>
        <v/>
      </c>
      <c r="V2573" s="19">
        <f>IF($B2573="","",TEXT($B2573,"0000"))</f>
        <v/>
      </c>
      <c r="W2573" s="19">
        <f>IF($I2573="","",IF(ISNUMBER($I2573),TEXT($I2573,"0"),$I2573))</f>
        <v/>
      </c>
    </row>
    <row r="2574">
      <c r="B2574" s="25" t="n"/>
      <c r="I2574" s="25" t="n"/>
      <c r="U2574" s="19">
        <f>IF($V2574&lt;&gt;'設定'!$C$4,N(U2573),IF(OR(NOT(COUNTIF('商品マスタ'!$B$6:$B$1005,$W2574)=0),COUNTIFS('①在庫を貼る'!$V$6:$V$10005,$V2574,'①在庫を貼る'!$W$6:$W$10005,$W2574)&gt;0),N(U2573),N(U2573)+1))</f>
        <v/>
      </c>
      <c r="V2574" s="19">
        <f>IF($B2574="","",TEXT($B2574,"0000"))</f>
        <v/>
      </c>
      <c r="W2574" s="19">
        <f>IF($I2574="","",IF(ISNUMBER($I2574),TEXT($I2574,"0"),$I2574))</f>
        <v/>
      </c>
    </row>
    <row r="2575">
      <c r="B2575" s="25" t="n"/>
      <c r="I2575" s="25" t="n"/>
      <c r="U2575" s="19">
        <f>IF($V2575&lt;&gt;'設定'!$C$4,N(U2574),IF(OR(NOT(COUNTIF('商品マスタ'!$B$6:$B$1005,$W2575)=0),COUNTIFS('①在庫を貼る'!$V$6:$V$10005,$V2575,'①在庫を貼る'!$W$6:$W$10005,$W2575)&gt;0),N(U2574),N(U2574)+1))</f>
        <v/>
      </c>
      <c r="V2575" s="19">
        <f>IF($B2575="","",TEXT($B2575,"0000"))</f>
        <v/>
      </c>
      <c r="W2575" s="19">
        <f>IF($I2575="","",IF(ISNUMBER($I2575),TEXT($I2575,"0"),$I2575))</f>
        <v/>
      </c>
    </row>
    <row r="2576">
      <c r="B2576" s="25" t="n"/>
      <c r="I2576" s="25" t="n"/>
      <c r="U2576" s="19">
        <f>IF($V2576&lt;&gt;'設定'!$C$4,N(U2575),IF(OR(NOT(COUNTIF('商品マスタ'!$B$6:$B$1005,$W2576)=0),COUNTIFS('①在庫を貼る'!$V$6:$V$10005,$V2576,'①在庫を貼る'!$W$6:$W$10005,$W2576)&gt;0),N(U2575),N(U2575)+1))</f>
        <v/>
      </c>
      <c r="V2576" s="19">
        <f>IF($B2576="","",TEXT($B2576,"0000"))</f>
        <v/>
      </c>
      <c r="W2576" s="19">
        <f>IF($I2576="","",IF(ISNUMBER($I2576),TEXT($I2576,"0"),$I2576))</f>
        <v/>
      </c>
    </row>
    <row r="2577">
      <c r="B2577" s="25" t="n"/>
      <c r="I2577" s="25" t="n"/>
      <c r="U2577" s="19">
        <f>IF($V2577&lt;&gt;'設定'!$C$4,N(U2576),IF(OR(NOT(COUNTIF('商品マスタ'!$B$6:$B$1005,$W2577)=0),COUNTIFS('①在庫を貼る'!$V$6:$V$10005,$V2577,'①在庫を貼る'!$W$6:$W$10005,$W2577)&gt;0),N(U2576),N(U2576)+1))</f>
        <v/>
      </c>
      <c r="V2577" s="19">
        <f>IF($B2577="","",TEXT($B2577,"0000"))</f>
        <v/>
      </c>
      <c r="W2577" s="19">
        <f>IF($I2577="","",IF(ISNUMBER($I2577),TEXT($I2577,"0"),$I2577))</f>
        <v/>
      </c>
    </row>
    <row r="2578">
      <c r="B2578" s="25" t="n"/>
      <c r="I2578" s="25" t="n"/>
      <c r="U2578" s="19">
        <f>IF($V2578&lt;&gt;'設定'!$C$4,N(U2577),IF(OR(NOT(COUNTIF('商品マスタ'!$B$6:$B$1005,$W2578)=0),COUNTIFS('①在庫を貼る'!$V$6:$V$10005,$V2578,'①在庫を貼る'!$W$6:$W$10005,$W2578)&gt;0),N(U2577),N(U2577)+1))</f>
        <v/>
      </c>
      <c r="V2578" s="19">
        <f>IF($B2578="","",TEXT($B2578,"0000"))</f>
        <v/>
      </c>
      <c r="W2578" s="19">
        <f>IF($I2578="","",IF(ISNUMBER($I2578),TEXT($I2578,"0"),$I2578))</f>
        <v/>
      </c>
    </row>
    <row r="2579">
      <c r="B2579" s="25" t="n"/>
      <c r="I2579" s="25" t="n"/>
      <c r="U2579" s="19">
        <f>IF($V2579&lt;&gt;'設定'!$C$4,N(U2578),IF(OR(NOT(COUNTIF('商品マスタ'!$B$6:$B$1005,$W2579)=0),COUNTIFS('①在庫を貼る'!$V$6:$V$10005,$V2579,'①在庫を貼る'!$W$6:$W$10005,$W2579)&gt;0),N(U2578),N(U2578)+1))</f>
        <v/>
      </c>
      <c r="V2579" s="19">
        <f>IF($B2579="","",TEXT($B2579,"0000"))</f>
        <v/>
      </c>
      <c r="W2579" s="19">
        <f>IF($I2579="","",IF(ISNUMBER($I2579),TEXT($I2579,"0"),$I2579))</f>
        <v/>
      </c>
    </row>
    <row r="2580">
      <c r="B2580" s="25" t="n"/>
      <c r="I2580" s="25" t="n"/>
      <c r="U2580" s="19">
        <f>IF($V2580&lt;&gt;'設定'!$C$4,N(U2579),IF(OR(NOT(COUNTIF('商品マスタ'!$B$6:$B$1005,$W2580)=0),COUNTIFS('①在庫を貼る'!$V$6:$V$10005,$V2580,'①在庫を貼る'!$W$6:$W$10005,$W2580)&gt;0),N(U2579),N(U2579)+1))</f>
        <v/>
      </c>
      <c r="V2580" s="19">
        <f>IF($B2580="","",TEXT($B2580,"0000"))</f>
        <v/>
      </c>
      <c r="W2580" s="19">
        <f>IF($I2580="","",IF(ISNUMBER($I2580),TEXT($I2580,"0"),$I2580))</f>
        <v/>
      </c>
    </row>
    <row r="2581">
      <c r="B2581" s="25" t="n"/>
      <c r="I2581" s="25" t="n"/>
      <c r="U2581" s="19">
        <f>IF($V2581&lt;&gt;'設定'!$C$4,N(U2580),IF(OR(NOT(COUNTIF('商品マスタ'!$B$6:$B$1005,$W2581)=0),COUNTIFS('①在庫を貼る'!$V$6:$V$10005,$V2581,'①在庫を貼る'!$W$6:$W$10005,$W2581)&gt;0),N(U2580),N(U2580)+1))</f>
        <v/>
      </c>
      <c r="V2581" s="19">
        <f>IF($B2581="","",TEXT($B2581,"0000"))</f>
        <v/>
      </c>
      <c r="W2581" s="19">
        <f>IF($I2581="","",IF(ISNUMBER($I2581),TEXT($I2581,"0"),$I2581))</f>
        <v/>
      </c>
    </row>
    <row r="2582">
      <c r="B2582" s="25" t="n"/>
      <c r="I2582" s="25" t="n"/>
      <c r="U2582" s="19">
        <f>IF($V2582&lt;&gt;'設定'!$C$4,N(U2581),IF(OR(NOT(COUNTIF('商品マスタ'!$B$6:$B$1005,$W2582)=0),COUNTIFS('①在庫を貼る'!$V$6:$V$10005,$V2582,'①在庫を貼る'!$W$6:$W$10005,$W2582)&gt;0),N(U2581),N(U2581)+1))</f>
        <v/>
      </c>
      <c r="V2582" s="19">
        <f>IF($B2582="","",TEXT($B2582,"0000"))</f>
        <v/>
      </c>
      <c r="W2582" s="19">
        <f>IF($I2582="","",IF(ISNUMBER($I2582),TEXT($I2582,"0"),$I2582))</f>
        <v/>
      </c>
    </row>
    <row r="2583">
      <c r="B2583" s="25" t="n"/>
      <c r="I2583" s="25" t="n"/>
      <c r="U2583" s="19">
        <f>IF($V2583&lt;&gt;'設定'!$C$4,N(U2582),IF(OR(NOT(COUNTIF('商品マスタ'!$B$6:$B$1005,$W2583)=0),COUNTIFS('①在庫を貼る'!$V$6:$V$10005,$V2583,'①在庫を貼る'!$W$6:$W$10005,$W2583)&gt;0),N(U2582),N(U2582)+1))</f>
        <v/>
      </c>
      <c r="V2583" s="19">
        <f>IF($B2583="","",TEXT($B2583,"0000"))</f>
        <v/>
      </c>
      <c r="W2583" s="19">
        <f>IF($I2583="","",IF(ISNUMBER($I2583),TEXT($I2583,"0"),$I2583))</f>
        <v/>
      </c>
    </row>
    <row r="2584">
      <c r="B2584" s="25" t="n"/>
      <c r="I2584" s="25" t="n"/>
      <c r="U2584" s="19">
        <f>IF($V2584&lt;&gt;'設定'!$C$4,N(U2583),IF(OR(NOT(COUNTIF('商品マスタ'!$B$6:$B$1005,$W2584)=0),COUNTIFS('①在庫を貼る'!$V$6:$V$10005,$V2584,'①在庫を貼る'!$W$6:$W$10005,$W2584)&gt;0),N(U2583),N(U2583)+1))</f>
        <v/>
      </c>
      <c r="V2584" s="19">
        <f>IF($B2584="","",TEXT($B2584,"0000"))</f>
        <v/>
      </c>
      <c r="W2584" s="19">
        <f>IF($I2584="","",IF(ISNUMBER($I2584),TEXT($I2584,"0"),$I2584))</f>
        <v/>
      </c>
    </row>
    <row r="2585">
      <c r="B2585" s="25" t="n"/>
      <c r="I2585" s="25" t="n"/>
      <c r="U2585" s="19">
        <f>IF($V2585&lt;&gt;'設定'!$C$4,N(U2584),IF(OR(NOT(COUNTIF('商品マスタ'!$B$6:$B$1005,$W2585)=0),COUNTIFS('①在庫を貼る'!$V$6:$V$10005,$V2585,'①在庫を貼る'!$W$6:$W$10005,$W2585)&gt;0),N(U2584),N(U2584)+1))</f>
        <v/>
      </c>
      <c r="V2585" s="19">
        <f>IF($B2585="","",TEXT($B2585,"0000"))</f>
        <v/>
      </c>
      <c r="W2585" s="19">
        <f>IF($I2585="","",IF(ISNUMBER($I2585),TEXT($I2585,"0"),$I2585))</f>
        <v/>
      </c>
    </row>
    <row r="2586">
      <c r="B2586" s="25" t="n"/>
      <c r="I2586" s="25" t="n"/>
      <c r="U2586" s="19">
        <f>IF($V2586&lt;&gt;'設定'!$C$4,N(U2585),IF(OR(NOT(COUNTIF('商品マスタ'!$B$6:$B$1005,$W2586)=0),COUNTIFS('①在庫を貼る'!$V$6:$V$10005,$V2586,'①在庫を貼る'!$W$6:$W$10005,$W2586)&gt;0),N(U2585),N(U2585)+1))</f>
        <v/>
      </c>
      <c r="V2586" s="19">
        <f>IF($B2586="","",TEXT($B2586,"0000"))</f>
        <v/>
      </c>
      <c r="W2586" s="19">
        <f>IF($I2586="","",IF(ISNUMBER($I2586),TEXT($I2586,"0"),$I2586))</f>
        <v/>
      </c>
    </row>
    <row r="2587">
      <c r="B2587" s="25" t="n"/>
      <c r="I2587" s="25" t="n"/>
      <c r="U2587" s="19">
        <f>IF($V2587&lt;&gt;'設定'!$C$4,N(U2586),IF(OR(NOT(COUNTIF('商品マスタ'!$B$6:$B$1005,$W2587)=0),COUNTIFS('①在庫を貼る'!$V$6:$V$10005,$V2587,'①在庫を貼る'!$W$6:$W$10005,$W2587)&gt;0),N(U2586),N(U2586)+1))</f>
        <v/>
      </c>
      <c r="V2587" s="19">
        <f>IF($B2587="","",TEXT($B2587,"0000"))</f>
        <v/>
      </c>
      <c r="W2587" s="19">
        <f>IF($I2587="","",IF(ISNUMBER($I2587),TEXT($I2587,"0"),$I2587))</f>
        <v/>
      </c>
    </row>
    <row r="2588">
      <c r="B2588" s="25" t="n"/>
      <c r="I2588" s="25" t="n"/>
      <c r="U2588" s="19">
        <f>IF($V2588&lt;&gt;'設定'!$C$4,N(U2587),IF(OR(NOT(COUNTIF('商品マスタ'!$B$6:$B$1005,$W2588)=0),COUNTIFS('①在庫を貼る'!$V$6:$V$10005,$V2588,'①在庫を貼る'!$W$6:$W$10005,$W2588)&gt;0),N(U2587),N(U2587)+1))</f>
        <v/>
      </c>
      <c r="V2588" s="19">
        <f>IF($B2588="","",TEXT($B2588,"0000"))</f>
        <v/>
      </c>
      <c r="W2588" s="19">
        <f>IF($I2588="","",IF(ISNUMBER($I2588),TEXT($I2588,"0"),$I2588))</f>
        <v/>
      </c>
    </row>
    <row r="2589">
      <c r="B2589" s="25" t="n"/>
      <c r="I2589" s="25" t="n"/>
      <c r="U2589" s="19">
        <f>IF($V2589&lt;&gt;'設定'!$C$4,N(U2588),IF(OR(NOT(COUNTIF('商品マスタ'!$B$6:$B$1005,$W2589)=0),COUNTIFS('①在庫を貼る'!$V$6:$V$10005,$V2589,'①在庫を貼る'!$W$6:$W$10005,$W2589)&gt;0),N(U2588),N(U2588)+1))</f>
        <v/>
      </c>
      <c r="V2589" s="19">
        <f>IF($B2589="","",TEXT($B2589,"0000"))</f>
        <v/>
      </c>
      <c r="W2589" s="19">
        <f>IF($I2589="","",IF(ISNUMBER($I2589),TEXT($I2589,"0"),$I2589))</f>
        <v/>
      </c>
    </row>
    <row r="2590">
      <c r="B2590" s="25" t="n"/>
      <c r="I2590" s="25" t="n"/>
      <c r="U2590" s="19">
        <f>IF($V2590&lt;&gt;'設定'!$C$4,N(U2589),IF(OR(NOT(COUNTIF('商品マスタ'!$B$6:$B$1005,$W2590)=0),COUNTIFS('①在庫を貼る'!$V$6:$V$10005,$V2590,'①在庫を貼る'!$W$6:$W$10005,$W2590)&gt;0),N(U2589),N(U2589)+1))</f>
        <v/>
      </c>
      <c r="V2590" s="19">
        <f>IF($B2590="","",TEXT($B2590,"0000"))</f>
        <v/>
      </c>
      <c r="W2590" s="19">
        <f>IF($I2590="","",IF(ISNUMBER($I2590),TEXT($I2590,"0"),$I2590))</f>
        <v/>
      </c>
    </row>
    <row r="2591">
      <c r="B2591" s="25" t="n"/>
      <c r="I2591" s="25" t="n"/>
      <c r="U2591" s="19">
        <f>IF($V2591&lt;&gt;'設定'!$C$4,N(U2590),IF(OR(NOT(COUNTIF('商品マスタ'!$B$6:$B$1005,$W2591)=0),COUNTIFS('①在庫を貼る'!$V$6:$V$10005,$V2591,'①在庫を貼る'!$W$6:$W$10005,$W2591)&gt;0),N(U2590),N(U2590)+1))</f>
        <v/>
      </c>
      <c r="V2591" s="19">
        <f>IF($B2591="","",TEXT($B2591,"0000"))</f>
        <v/>
      </c>
      <c r="W2591" s="19">
        <f>IF($I2591="","",IF(ISNUMBER($I2591),TEXT($I2591,"0"),$I2591))</f>
        <v/>
      </c>
    </row>
    <row r="2592">
      <c r="B2592" s="25" t="n"/>
      <c r="I2592" s="25" t="n"/>
      <c r="U2592" s="19">
        <f>IF($V2592&lt;&gt;'設定'!$C$4,N(U2591),IF(OR(NOT(COUNTIF('商品マスタ'!$B$6:$B$1005,$W2592)=0),COUNTIFS('①在庫を貼る'!$V$6:$V$10005,$V2592,'①在庫を貼る'!$W$6:$W$10005,$W2592)&gt;0),N(U2591),N(U2591)+1))</f>
        <v/>
      </c>
      <c r="V2592" s="19">
        <f>IF($B2592="","",TEXT($B2592,"0000"))</f>
        <v/>
      </c>
      <c r="W2592" s="19">
        <f>IF($I2592="","",IF(ISNUMBER($I2592),TEXT($I2592,"0"),$I2592))</f>
        <v/>
      </c>
    </row>
    <row r="2593">
      <c r="B2593" s="25" t="n"/>
      <c r="I2593" s="25" t="n"/>
      <c r="U2593" s="19">
        <f>IF($V2593&lt;&gt;'設定'!$C$4,N(U2592),IF(OR(NOT(COUNTIF('商品マスタ'!$B$6:$B$1005,$W2593)=0),COUNTIFS('①在庫を貼る'!$V$6:$V$10005,$V2593,'①在庫を貼る'!$W$6:$W$10005,$W2593)&gt;0),N(U2592),N(U2592)+1))</f>
        <v/>
      </c>
      <c r="V2593" s="19">
        <f>IF($B2593="","",TEXT($B2593,"0000"))</f>
        <v/>
      </c>
      <c r="W2593" s="19">
        <f>IF($I2593="","",IF(ISNUMBER($I2593),TEXT($I2593,"0"),$I2593))</f>
        <v/>
      </c>
    </row>
    <row r="2594">
      <c r="B2594" s="25" t="n"/>
      <c r="I2594" s="25" t="n"/>
      <c r="U2594" s="19">
        <f>IF($V2594&lt;&gt;'設定'!$C$4,N(U2593),IF(OR(NOT(COUNTIF('商品マスタ'!$B$6:$B$1005,$W2594)=0),COUNTIFS('①在庫を貼る'!$V$6:$V$10005,$V2594,'①在庫を貼る'!$W$6:$W$10005,$W2594)&gt;0),N(U2593),N(U2593)+1))</f>
        <v/>
      </c>
      <c r="V2594" s="19">
        <f>IF($B2594="","",TEXT($B2594,"0000"))</f>
        <v/>
      </c>
      <c r="W2594" s="19">
        <f>IF($I2594="","",IF(ISNUMBER($I2594),TEXT($I2594,"0"),$I2594))</f>
        <v/>
      </c>
    </row>
    <row r="2595">
      <c r="B2595" s="25" t="n"/>
      <c r="I2595" s="25" t="n"/>
      <c r="U2595" s="19">
        <f>IF($V2595&lt;&gt;'設定'!$C$4,N(U2594),IF(OR(NOT(COUNTIF('商品マスタ'!$B$6:$B$1005,$W2595)=0),COUNTIFS('①在庫を貼る'!$V$6:$V$10005,$V2595,'①在庫を貼る'!$W$6:$W$10005,$W2595)&gt;0),N(U2594),N(U2594)+1))</f>
        <v/>
      </c>
      <c r="V2595" s="19">
        <f>IF($B2595="","",TEXT($B2595,"0000"))</f>
        <v/>
      </c>
      <c r="W2595" s="19">
        <f>IF($I2595="","",IF(ISNUMBER($I2595),TEXT($I2595,"0"),$I2595))</f>
        <v/>
      </c>
    </row>
    <row r="2596">
      <c r="B2596" s="25" t="n"/>
      <c r="I2596" s="25" t="n"/>
      <c r="U2596" s="19">
        <f>IF($V2596&lt;&gt;'設定'!$C$4,N(U2595),IF(OR(NOT(COUNTIF('商品マスタ'!$B$6:$B$1005,$W2596)=0),COUNTIFS('①在庫を貼る'!$V$6:$V$10005,$V2596,'①在庫を貼る'!$W$6:$W$10005,$W2596)&gt;0),N(U2595),N(U2595)+1))</f>
        <v/>
      </c>
      <c r="V2596" s="19">
        <f>IF($B2596="","",TEXT($B2596,"0000"))</f>
        <v/>
      </c>
      <c r="W2596" s="19">
        <f>IF($I2596="","",IF(ISNUMBER($I2596),TEXT($I2596,"0"),$I2596))</f>
        <v/>
      </c>
    </row>
    <row r="2597">
      <c r="B2597" s="25" t="n"/>
      <c r="I2597" s="25" t="n"/>
      <c r="U2597" s="19">
        <f>IF($V2597&lt;&gt;'設定'!$C$4,N(U2596),IF(OR(NOT(COUNTIF('商品マスタ'!$B$6:$B$1005,$W2597)=0),COUNTIFS('①在庫を貼る'!$V$6:$V$10005,$V2597,'①在庫を貼る'!$W$6:$W$10005,$W2597)&gt;0),N(U2596),N(U2596)+1))</f>
        <v/>
      </c>
      <c r="V2597" s="19">
        <f>IF($B2597="","",TEXT($B2597,"0000"))</f>
        <v/>
      </c>
      <c r="W2597" s="19">
        <f>IF($I2597="","",IF(ISNUMBER($I2597),TEXT($I2597,"0"),$I2597))</f>
        <v/>
      </c>
    </row>
    <row r="2598">
      <c r="B2598" s="25" t="n"/>
      <c r="I2598" s="25" t="n"/>
      <c r="U2598" s="19">
        <f>IF($V2598&lt;&gt;'設定'!$C$4,N(U2597),IF(OR(NOT(COUNTIF('商品マスタ'!$B$6:$B$1005,$W2598)=0),COUNTIFS('①在庫を貼る'!$V$6:$V$10005,$V2598,'①在庫を貼る'!$W$6:$W$10005,$W2598)&gt;0),N(U2597),N(U2597)+1))</f>
        <v/>
      </c>
      <c r="V2598" s="19">
        <f>IF($B2598="","",TEXT($B2598,"0000"))</f>
        <v/>
      </c>
      <c r="W2598" s="19">
        <f>IF($I2598="","",IF(ISNUMBER($I2598),TEXT($I2598,"0"),$I2598))</f>
        <v/>
      </c>
    </row>
    <row r="2599">
      <c r="B2599" s="25" t="n"/>
      <c r="I2599" s="25" t="n"/>
      <c r="U2599" s="19">
        <f>IF($V2599&lt;&gt;'設定'!$C$4,N(U2598),IF(OR(NOT(COUNTIF('商品マスタ'!$B$6:$B$1005,$W2599)=0),COUNTIFS('①在庫を貼る'!$V$6:$V$10005,$V2599,'①在庫を貼る'!$W$6:$W$10005,$W2599)&gt;0),N(U2598),N(U2598)+1))</f>
        <v/>
      </c>
      <c r="V2599" s="19">
        <f>IF($B2599="","",TEXT($B2599,"0000"))</f>
        <v/>
      </c>
      <c r="W2599" s="19">
        <f>IF($I2599="","",IF(ISNUMBER($I2599),TEXT($I2599,"0"),$I2599))</f>
        <v/>
      </c>
    </row>
    <row r="2600">
      <c r="B2600" s="25" t="n"/>
      <c r="I2600" s="25" t="n"/>
      <c r="U2600" s="19">
        <f>IF($V2600&lt;&gt;'設定'!$C$4,N(U2599),IF(OR(NOT(COUNTIF('商品マスタ'!$B$6:$B$1005,$W2600)=0),COUNTIFS('①在庫を貼る'!$V$6:$V$10005,$V2600,'①在庫を貼る'!$W$6:$W$10005,$W2600)&gt;0),N(U2599),N(U2599)+1))</f>
        <v/>
      </c>
      <c r="V2600" s="19">
        <f>IF($B2600="","",TEXT($B2600,"0000"))</f>
        <v/>
      </c>
      <c r="W2600" s="19">
        <f>IF($I2600="","",IF(ISNUMBER($I2600),TEXT($I2600,"0"),$I2600))</f>
        <v/>
      </c>
    </row>
    <row r="2601">
      <c r="B2601" s="25" t="n"/>
      <c r="I2601" s="25" t="n"/>
      <c r="U2601" s="19">
        <f>IF($V2601&lt;&gt;'設定'!$C$4,N(U2600),IF(OR(NOT(COUNTIF('商品マスタ'!$B$6:$B$1005,$W2601)=0),COUNTIFS('①在庫を貼る'!$V$6:$V$10005,$V2601,'①在庫を貼る'!$W$6:$W$10005,$W2601)&gt;0),N(U2600),N(U2600)+1))</f>
        <v/>
      </c>
      <c r="V2601" s="19">
        <f>IF($B2601="","",TEXT($B2601,"0000"))</f>
        <v/>
      </c>
      <c r="W2601" s="19">
        <f>IF($I2601="","",IF(ISNUMBER($I2601),TEXT($I2601,"0"),$I2601))</f>
        <v/>
      </c>
    </row>
    <row r="2602">
      <c r="B2602" s="25" t="n"/>
      <c r="I2602" s="25" t="n"/>
      <c r="U2602" s="19">
        <f>IF($V2602&lt;&gt;'設定'!$C$4,N(U2601),IF(OR(NOT(COUNTIF('商品マスタ'!$B$6:$B$1005,$W2602)=0),COUNTIFS('①在庫を貼る'!$V$6:$V$10005,$V2602,'①在庫を貼る'!$W$6:$W$10005,$W2602)&gt;0),N(U2601),N(U2601)+1))</f>
        <v/>
      </c>
      <c r="V2602" s="19">
        <f>IF($B2602="","",TEXT($B2602,"0000"))</f>
        <v/>
      </c>
      <c r="W2602" s="19">
        <f>IF($I2602="","",IF(ISNUMBER($I2602),TEXT($I2602,"0"),$I2602))</f>
        <v/>
      </c>
    </row>
    <row r="2603">
      <c r="B2603" s="25" t="n"/>
      <c r="I2603" s="25" t="n"/>
      <c r="U2603" s="19">
        <f>IF($V2603&lt;&gt;'設定'!$C$4,N(U2602),IF(OR(NOT(COUNTIF('商品マスタ'!$B$6:$B$1005,$W2603)=0),COUNTIFS('①在庫を貼る'!$V$6:$V$10005,$V2603,'①在庫を貼る'!$W$6:$W$10005,$W2603)&gt;0),N(U2602),N(U2602)+1))</f>
        <v/>
      </c>
      <c r="V2603" s="19">
        <f>IF($B2603="","",TEXT($B2603,"0000"))</f>
        <v/>
      </c>
      <c r="W2603" s="19">
        <f>IF($I2603="","",IF(ISNUMBER($I2603),TEXT($I2603,"0"),$I2603))</f>
        <v/>
      </c>
    </row>
    <row r="2604">
      <c r="B2604" s="25" t="n"/>
      <c r="I2604" s="25" t="n"/>
      <c r="U2604" s="19">
        <f>IF($V2604&lt;&gt;'設定'!$C$4,N(U2603),IF(OR(NOT(COUNTIF('商品マスタ'!$B$6:$B$1005,$W2604)=0),COUNTIFS('①在庫を貼る'!$V$6:$V$10005,$V2604,'①在庫を貼る'!$W$6:$W$10005,$W2604)&gt;0),N(U2603),N(U2603)+1))</f>
        <v/>
      </c>
      <c r="V2604" s="19">
        <f>IF($B2604="","",TEXT($B2604,"0000"))</f>
        <v/>
      </c>
      <c r="W2604" s="19">
        <f>IF($I2604="","",IF(ISNUMBER($I2604),TEXT($I2604,"0"),$I2604))</f>
        <v/>
      </c>
    </row>
    <row r="2605">
      <c r="B2605" s="25" t="n"/>
      <c r="I2605" s="25" t="n"/>
      <c r="U2605" s="19">
        <f>IF($V2605&lt;&gt;'設定'!$C$4,N(U2604),IF(OR(NOT(COUNTIF('商品マスタ'!$B$6:$B$1005,$W2605)=0),COUNTIFS('①在庫を貼る'!$V$6:$V$10005,$V2605,'①在庫を貼る'!$W$6:$W$10005,$W2605)&gt;0),N(U2604),N(U2604)+1))</f>
        <v/>
      </c>
      <c r="V2605" s="19">
        <f>IF($B2605="","",TEXT($B2605,"0000"))</f>
        <v/>
      </c>
      <c r="W2605" s="19">
        <f>IF($I2605="","",IF(ISNUMBER($I2605),TEXT($I2605,"0"),$I2605))</f>
        <v/>
      </c>
    </row>
    <row r="2606">
      <c r="B2606" s="25" t="n"/>
      <c r="I2606" s="25" t="n"/>
      <c r="U2606" s="19">
        <f>IF($V2606&lt;&gt;'設定'!$C$4,N(U2605),IF(OR(NOT(COUNTIF('商品マスタ'!$B$6:$B$1005,$W2606)=0),COUNTIFS('①在庫を貼る'!$V$6:$V$10005,$V2606,'①在庫を貼る'!$W$6:$W$10005,$W2606)&gt;0),N(U2605),N(U2605)+1))</f>
        <v/>
      </c>
      <c r="V2606" s="19">
        <f>IF($B2606="","",TEXT($B2606,"0000"))</f>
        <v/>
      </c>
      <c r="W2606" s="19">
        <f>IF($I2606="","",IF(ISNUMBER($I2606),TEXT($I2606,"0"),$I2606))</f>
        <v/>
      </c>
    </row>
    <row r="2607">
      <c r="B2607" s="25" t="n"/>
      <c r="I2607" s="25" t="n"/>
      <c r="U2607" s="19">
        <f>IF($V2607&lt;&gt;'設定'!$C$4,N(U2606),IF(OR(NOT(COUNTIF('商品マスタ'!$B$6:$B$1005,$W2607)=0),COUNTIFS('①在庫を貼る'!$V$6:$V$10005,$V2607,'①在庫を貼る'!$W$6:$W$10005,$W2607)&gt;0),N(U2606),N(U2606)+1))</f>
        <v/>
      </c>
      <c r="V2607" s="19">
        <f>IF($B2607="","",TEXT($B2607,"0000"))</f>
        <v/>
      </c>
      <c r="W2607" s="19">
        <f>IF($I2607="","",IF(ISNUMBER($I2607),TEXT($I2607,"0"),$I2607))</f>
        <v/>
      </c>
    </row>
    <row r="2608">
      <c r="B2608" s="25" t="n"/>
      <c r="I2608" s="25" t="n"/>
      <c r="U2608" s="19">
        <f>IF($V2608&lt;&gt;'設定'!$C$4,N(U2607),IF(OR(NOT(COUNTIF('商品マスタ'!$B$6:$B$1005,$W2608)=0),COUNTIFS('①在庫を貼る'!$V$6:$V$10005,$V2608,'①在庫を貼る'!$W$6:$W$10005,$W2608)&gt;0),N(U2607),N(U2607)+1))</f>
        <v/>
      </c>
      <c r="V2608" s="19">
        <f>IF($B2608="","",TEXT($B2608,"0000"))</f>
        <v/>
      </c>
      <c r="W2608" s="19">
        <f>IF($I2608="","",IF(ISNUMBER($I2608),TEXT($I2608,"0"),$I2608))</f>
        <v/>
      </c>
    </row>
    <row r="2609">
      <c r="B2609" s="25" t="n"/>
      <c r="I2609" s="25" t="n"/>
      <c r="U2609" s="19">
        <f>IF($V2609&lt;&gt;'設定'!$C$4,N(U2608),IF(OR(NOT(COUNTIF('商品マスタ'!$B$6:$B$1005,$W2609)=0),COUNTIFS('①在庫を貼る'!$V$6:$V$10005,$V2609,'①在庫を貼る'!$W$6:$W$10005,$W2609)&gt;0),N(U2608),N(U2608)+1))</f>
        <v/>
      </c>
      <c r="V2609" s="19">
        <f>IF($B2609="","",TEXT($B2609,"0000"))</f>
        <v/>
      </c>
      <c r="W2609" s="19">
        <f>IF($I2609="","",IF(ISNUMBER($I2609),TEXT($I2609,"0"),$I2609))</f>
        <v/>
      </c>
    </row>
    <row r="2610">
      <c r="B2610" s="25" t="n"/>
      <c r="I2610" s="25" t="n"/>
      <c r="U2610" s="19">
        <f>IF($V2610&lt;&gt;'設定'!$C$4,N(U2609),IF(OR(NOT(COUNTIF('商品マスタ'!$B$6:$B$1005,$W2610)=0),COUNTIFS('①在庫を貼る'!$V$6:$V$10005,$V2610,'①在庫を貼る'!$W$6:$W$10005,$W2610)&gt;0),N(U2609),N(U2609)+1))</f>
        <v/>
      </c>
      <c r="V2610" s="19">
        <f>IF($B2610="","",TEXT($B2610,"0000"))</f>
        <v/>
      </c>
      <c r="W2610" s="19">
        <f>IF($I2610="","",IF(ISNUMBER($I2610),TEXT($I2610,"0"),$I2610))</f>
        <v/>
      </c>
    </row>
    <row r="2611">
      <c r="B2611" s="25" t="n"/>
      <c r="I2611" s="25" t="n"/>
      <c r="U2611" s="19">
        <f>IF($V2611&lt;&gt;'設定'!$C$4,N(U2610),IF(OR(NOT(COUNTIF('商品マスタ'!$B$6:$B$1005,$W2611)=0),COUNTIFS('①在庫を貼る'!$V$6:$V$10005,$V2611,'①在庫を貼る'!$W$6:$W$10005,$W2611)&gt;0),N(U2610),N(U2610)+1))</f>
        <v/>
      </c>
      <c r="V2611" s="19">
        <f>IF($B2611="","",TEXT($B2611,"0000"))</f>
        <v/>
      </c>
      <c r="W2611" s="19">
        <f>IF($I2611="","",IF(ISNUMBER($I2611),TEXT($I2611,"0"),$I2611))</f>
        <v/>
      </c>
    </row>
    <row r="2612">
      <c r="B2612" s="25" t="n"/>
      <c r="I2612" s="25" t="n"/>
      <c r="U2612" s="19">
        <f>IF($V2612&lt;&gt;'設定'!$C$4,N(U2611),IF(OR(NOT(COUNTIF('商品マスタ'!$B$6:$B$1005,$W2612)=0),COUNTIFS('①在庫を貼る'!$V$6:$V$10005,$V2612,'①在庫を貼る'!$W$6:$W$10005,$W2612)&gt;0),N(U2611),N(U2611)+1))</f>
        <v/>
      </c>
      <c r="V2612" s="19">
        <f>IF($B2612="","",TEXT($B2612,"0000"))</f>
        <v/>
      </c>
      <c r="W2612" s="19">
        <f>IF($I2612="","",IF(ISNUMBER($I2612),TEXT($I2612,"0"),$I2612))</f>
        <v/>
      </c>
    </row>
    <row r="2613">
      <c r="B2613" s="25" t="n"/>
      <c r="I2613" s="25" t="n"/>
      <c r="U2613" s="19">
        <f>IF($V2613&lt;&gt;'設定'!$C$4,N(U2612),IF(OR(NOT(COUNTIF('商品マスタ'!$B$6:$B$1005,$W2613)=0),COUNTIFS('①在庫を貼る'!$V$6:$V$10005,$V2613,'①在庫を貼る'!$W$6:$W$10005,$W2613)&gt;0),N(U2612),N(U2612)+1))</f>
        <v/>
      </c>
      <c r="V2613" s="19">
        <f>IF($B2613="","",TEXT($B2613,"0000"))</f>
        <v/>
      </c>
      <c r="W2613" s="19">
        <f>IF($I2613="","",IF(ISNUMBER($I2613),TEXT($I2613,"0"),$I2613))</f>
        <v/>
      </c>
    </row>
    <row r="2614">
      <c r="B2614" s="25" t="n"/>
      <c r="I2614" s="25" t="n"/>
      <c r="U2614" s="19">
        <f>IF($V2614&lt;&gt;'設定'!$C$4,N(U2613),IF(OR(NOT(COUNTIF('商品マスタ'!$B$6:$B$1005,$W2614)=0),COUNTIFS('①在庫を貼る'!$V$6:$V$10005,$V2614,'①在庫を貼る'!$W$6:$W$10005,$W2614)&gt;0),N(U2613),N(U2613)+1))</f>
        <v/>
      </c>
      <c r="V2614" s="19">
        <f>IF($B2614="","",TEXT($B2614,"0000"))</f>
        <v/>
      </c>
      <c r="W2614" s="19">
        <f>IF($I2614="","",IF(ISNUMBER($I2614),TEXT($I2614,"0"),$I2614))</f>
        <v/>
      </c>
    </row>
    <row r="2615">
      <c r="B2615" s="25" t="n"/>
      <c r="I2615" s="25" t="n"/>
      <c r="U2615" s="19">
        <f>IF($V2615&lt;&gt;'設定'!$C$4,N(U2614),IF(OR(NOT(COUNTIF('商品マスタ'!$B$6:$B$1005,$W2615)=0),COUNTIFS('①在庫を貼る'!$V$6:$V$10005,$V2615,'①在庫を貼る'!$W$6:$W$10005,$W2615)&gt;0),N(U2614),N(U2614)+1))</f>
        <v/>
      </c>
      <c r="V2615" s="19">
        <f>IF($B2615="","",TEXT($B2615,"0000"))</f>
        <v/>
      </c>
      <c r="W2615" s="19">
        <f>IF($I2615="","",IF(ISNUMBER($I2615),TEXT($I2615,"0"),$I2615))</f>
        <v/>
      </c>
    </row>
    <row r="2616">
      <c r="B2616" s="25" t="n"/>
      <c r="I2616" s="25" t="n"/>
      <c r="U2616" s="19">
        <f>IF($V2616&lt;&gt;'設定'!$C$4,N(U2615),IF(OR(NOT(COUNTIF('商品マスタ'!$B$6:$B$1005,$W2616)=0),COUNTIFS('①在庫を貼る'!$V$6:$V$10005,$V2616,'①在庫を貼る'!$W$6:$W$10005,$W2616)&gt;0),N(U2615),N(U2615)+1))</f>
        <v/>
      </c>
      <c r="V2616" s="19">
        <f>IF($B2616="","",TEXT($B2616,"0000"))</f>
        <v/>
      </c>
      <c r="W2616" s="19">
        <f>IF($I2616="","",IF(ISNUMBER($I2616),TEXT($I2616,"0"),$I2616))</f>
        <v/>
      </c>
    </row>
    <row r="2617">
      <c r="B2617" s="25" t="n"/>
      <c r="I2617" s="25" t="n"/>
      <c r="U2617" s="19">
        <f>IF($V2617&lt;&gt;'設定'!$C$4,N(U2616),IF(OR(NOT(COUNTIF('商品マスタ'!$B$6:$B$1005,$W2617)=0),COUNTIFS('①在庫を貼る'!$V$6:$V$10005,$V2617,'①在庫を貼る'!$W$6:$W$10005,$W2617)&gt;0),N(U2616),N(U2616)+1))</f>
        <v/>
      </c>
      <c r="V2617" s="19">
        <f>IF($B2617="","",TEXT($B2617,"0000"))</f>
        <v/>
      </c>
      <c r="W2617" s="19">
        <f>IF($I2617="","",IF(ISNUMBER($I2617),TEXT($I2617,"0"),$I2617))</f>
        <v/>
      </c>
    </row>
    <row r="2618">
      <c r="B2618" s="25" t="n"/>
      <c r="I2618" s="25" t="n"/>
      <c r="U2618" s="19">
        <f>IF($V2618&lt;&gt;'設定'!$C$4,N(U2617),IF(OR(NOT(COUNTIF('商品マスタ'!$B$6:$B$1005,$W2618)=0),COUNTIFS('①在庫を貼る'!$V$6:$V$10005,$V2618,'①在庫を貼る'!$W$6:$W$10005,$W2618)&gt;0),N(U2617),N(U2617)+1))</f>
        <v/>
      </c>
      <c r="V2618" s="19">
        <f>IF($B2618="","",TEXT($B2618,"0000"))</f>
        <v/>
      </c>
      <c r="W2618" s="19">
        <f>IF($I2618="","",IF(ISNUMBER($I2618),TEXT($I2618,"0"),$I2618))</f>
        <v/>
      </c>
    </row>
    <row r="2619">
      <c r="B2619" s="25" t="n"/>
      <c r="I2619" s="25" t="n"/>
      <c r="U2619" s="19">
        <f>IF($V2619&lt;&gt;'設定'!$C$4,N(U2618),IF(OR(NOT(COUNTIF('商品マスタ'!$B$6:$B$1005,$W2619)=0),COUNTIFS('①在庫を貼る'!$V$6:$V$10005,$V2619,'①在庫を貼る'!$W$6:$W$10005,$W2619)&gt;0),N(U2618),N(U2618)+1))</f>
        <v/>
      </c>
      <c r="V2619" s="19">
        <f>IF($B2619="","",TEXT($B2619,"0000"))</f>
        <v/>
      </c>
      <c r="W2619" s="19">
        <f>IF($I2619="","",IF(ISNUMBER($I2619),TEXT($I2619,"0"),$I2619))</f>
        <v/>
      </c>
    </row>
    <row r="2620">
      <c r="B2620" s="25" t="n"/>
      <c r="I2620" s="25" t="n"/>
      <c r="U2620" s="19">
        <f>IF($V2620&lt;&gt;'設定'!$C$4,N(U2619),IF(OR(NOT(COUNTIF('商品マスタ'!$B$6:$B$1005,$W2620)=0),COUNTIFS('①在庫を貼る'!$V$6:$V$10005,$V2620,'①在庫を貼る'!$W$6:$W$10005,$W2620)&gt;0),N(U2619),N(U2619)+1))</f>
        <v/>
      </c>
      <c r="V2620" s="19">
        <f>IF($B2620="","",TEXT($B2620,"0000"))</f>
        <v/>
      </c>
      <c r="W2620" s="19">
        <f>IF($I2620="","",IF(ISNUMBER($I2620),TEXT($I2620,"0"),$I2620))</f>
        <v/>
      </c>
    </row>
    <row r="2621">
      <c r="B2621" s="25" t="n"/>
      <c r="I2621" s="25" t="n"/>
      <c r="U2621" s="19">
        <f>IF($V2621&lt;&gt;'設定'!$C$4,N(U2620),IF(OR(NOT(COUNTIF('商品マスタ'!$B$6:$B$1005,$W2621)=0),COUNTIFS('①在庫を貼る'!$V$6:$V$10005,$V2621,'①在庫を貼る'!$W$6:$W$10005,$W2621)&gt;0),N(U2620),N(U2620)+1))</f>
        <v/>
      </c>
      <c r="V2621" s="19">
        <f>IF($B2621="","",TEXT($B2621,"0000"))</f>
        <v/>
      </c>
      <c r="W2621" s="19">
        <f>IF($I2621="","",IF(ISNUMBER($I2621),TEXT($I2621,"0"),$I2621))</f>
        <v/>
      </c>
    </row>
    <row r="2622">
      <c r="B2622" s="25" t="n"/>
      <c r="I2622" s="25" t="n"/>
      <c r="U2622" s="19">
        <f>IF($V2622&lt;&gt;'設定'!$C$4,N(U2621),IF(OR(NOT(COUNTIF('商品マスタ'!$B$6:$B$1005,$W2622)=0),COUNTIFS('①在庫を貼る'!$V$6:$V$10005,$V2622,'①在庫を貼る'!$W$6:$W$10005,$W2622)&gt;0),N(U2621),N(U2621)+1))</f>
        <v/>
      </c>
      <c r="V2622" s="19">
        <f>IF($B2622="","",TEXT($B2622,"0000"))</f>
        <v/>
      </c>
      <c r="W2622" s="19">
        <f>IF($I2622="","",IF(ISNUMBER($I2622),TEXT($I2622,"0"),$I2622))</f>
        <v/>
      </c>
    </row>
    <row r="2623">
      <c r="B2623" s="25" t="n"/>
      <c r="I2623" s="25" t="n"/>
      <c r="U2623" s="19">
        <f>IF($V2623&lt;&gt;'設定'!$C$4,N(U2622),IF(OR(NOT(COUNTIF('商品マスタ'!$B$6:$B$1005,$W2623)=0),COUNTIFS('①在庫を貼る'!$V$6:$V$10005,$V2623,'①在庫を貼る'!$W$6:$W$10005,$W2623)&gt;0),N(U2622),N(U2622)+1))</f>
        <v/>
      </c>
      <c r="V2623" s="19">
        <f>IF($B2623="","",TEXT($B2623,"0000"))</f>
        <v/>
      </c>
      <c r="W2623" s="19">
        <f>IF($I2623="","",IF(ISNUMBER($I2623),TEXT($I2623,"0"),$I2623))</f>
        <v/>
      </c>
    </row>
    <row r="2624">
      <c r="B2624" s="25" t="n"/>
      <c r="I2624" s="25" t="n"/>
      <c r="U2624" s="19">
        <f>IF($V2624&lt;&gt;'設定'!$C$4,N(U2623),IF(OR(NOT(COUNTIF('商品マスタ'!$B$6:$B$1005,$W2624)=0),COUNTIFS('①在庫を貼る'!$V$6:$V$10005,$V2624,'①在庫を貼る'!$W$6:$W$10005,$W2624)&gt;0),N(U2623),N(U2623)+1))</f>
        <v/>
      </c>
      <c r="V2624" s="19">
        <f>IF($B2624="","",TEXT($B2624,"0000"))</f>
        <v/>
      </c>
      <c r="W2624" s="19">
        <f>IF($I2624="","",IF(ISNUMBER($I2624),TEXT($I2624,"0"),$I2624))</f>
        <v/>
      </c>
    </row>
    <row r="2625">
      <c r="B2625" s="25" t="n"/>
      <c r="I2625" s="25" t="n"/>
      <c r="U2625" s="19">
        <f>IF($V2625&lt;&gt;'設定'!$C$4,N(U2624),IF(OR(NOT(COUNTIF('商品マスタ'!$B$6:$B$1005,$W2625)=0),COUNTIFS('①在庫を貼る'!$V$6:$V$10005,$V2625,'①在庫を貼る'!$W$6:$W$10005,$W2625)&gt;0),N(U2624),N(U2624)+1))</f>
        <v/>
      </c>
      <c r="V2625" s="19">
        <f>IF($B2625="","",TEXT($B2625,"0000"))</f>
        <v/>
      </c>
      <c r="W2625" s="19">
        <f>IF($I2625="","",IF(ISNUMBER($I2625),TEXT($I2625,"0"),$I2625))</f>
        <v/>
      </c>
    </row>
    <row r="2626">
      <c r="B2626" s="25" t="n"/>
      <c r="I2626" s="25" t="n"/>
      <c r="U2626" s="19">
        <f>IF($V2626&lt;&gt;'設定'!$C$4,N(U2625),IF(OR(NOT(COUNTIF('商品マスタ'!$B$6:$B$1005,$W2626)=0),COUNTIFS('①在庫を貼る'!$V$6:$V$10005,$V2626,'①在庫を貼る'!$W$6:$W$10005,$W2626)&gt;0),N(U2625),N(U2625)+1))</f>
        <v/>
      </c>
      <c r="V2626" s="19">
        <f>IF($B2626="","",TEXT($B2626,"0000"))</f>
        <v/>
      </c>
      <c r="W2626" s="19">
        <f>IF($I2626="","",IF(ISNUMBER($I2626),TEXT($I2626,"0"),$I2626))</f>
        <v/>
      </c>
    </row>
    <row r="2627">
      <c r="B2627" s="25" t="n"/>
      <c r="I2627" s="25" t="n"/>
      <c r="U2627" s="19">
        <f>IF($V2627&lt;&gt;'設定'!$C$4,N(U2626),IF(OR(NOT(COUNTIF('商品マスタ'!$B$6:$B$1005,$W2627)=0),COUNTIFS('①在庫を貼る'!$V$6:$V$10005,$V2627,'①在庫を貼る'!$W$6:$W$10005,$W2627)&gt;0),N(U2626),N(U2626)+1))</f>
        <v/>
      </c>
      <c r="V2627" s="19">
        <f>IF($B2627="","",TEXT($B2627,"0000"))</f>
        <v/>
      </c>
      <c r="W2627" s="19">
        <f>IF($I2627="","",IF(ISNUMBER($I2627),TEXT($I2627,"0"),$I2627))</f>
        <v/>
      </c>
    </row>
    <row r="2628">
      <c r="B2628" s="25" t="n"/>
      <c r="I2628" s="25" t="n"/>
      <c r="U2628" s="19">
        <f>IF($V2628&lt;&gt;'設定'!$C$4,N(U2627),IF(OR(NOT(COUNTIF('商品マスタ'!$B$6:$B$1005,$W2628)=0),COUNTIFS('①在庫を貼る'!$V$6:$V$10005,$V2628,'①在庫を貼る'!$W$6:$W$10005,$W2628)&gt;0),N(U2627),N(U2627)+1))</f>
        <v/>
      </c>
      <c r="V2628" s="19">
        <f>IF($B2628="","",TEXT($B2628,"0000"))</f>
        <v/>
      </c>
      <c r="W2628" s="19">
        <f>IF($I2628="","",IF(ISNUMBER($I2628),TEXT($I2628,"0"),$I2628))</f>
        <v/>
      </c>
    </row>
    <row r="2629">
      <c r="B2629" s="25" t="n"/>
      <c r="I2629" s="25" t="n"/>
      <c r="U2629" s="19">
        <f>IF($V2629&lt;&gt;'設定'!$C$4,N(U2628),IF(OR(NOT(COUNTIF('商品マスタ'!$B$6:$B$1005,$W2629)=0),COUNTIFS('①在庫を貼る'!$V$6:$V$10005,$V2629,'①在庫を貼る'!$W$6:$W$10005,$W2629)&gt;0),N(U2628),N(U2628)+1))</f>
        <v/>
      </c>
      <c r="V2629" s="19">
        <f>IF($B2629="","",TEXT($B2629,"0000"))</f>
        <v/>
      </c>
      <c r="W2629" s="19">
        <f>IF($I2629="","",IF(ISNUMBER($I2629),TEXT($I2629,"0"),$I2629))</f>
        <v/>
      </c>
    </row>
    <row r="2630">
      <c r="B2630" s="25" t="n"/>
      <c r="I2630" s="25" t="n"/>
      <c r="U2630" s="19">
        <f>IF($V2630&lt;&gt;'設定'!$C$4,N(U2629),IF(OR(NOT(COUNTIF('商品マスタ'!$B$6:$B$1005,$W2630)=0),COUNTIFS('①在庫を貼る'!$V$6:$V$10005,$V2630,'①在庫を貼る'!$W$6:$W$10005,$W2630)&gt;0),N(U2629),N(U2629)+1))</f>
        <v/>
      </c>
      <c r="V2630" s="19">
        <f>IF($B2630="","",TEXT($B2630,"0000"))</f>
        <v/>
      </c>
      <c r="W2630" s="19">
        <f>IF($I2630="","",IF(ISNUMBER($I2630),TEXT($I2630,"0"),$I2630))</f>
        <v/>
      </c>
    </row>
    <row r="2631">
      <c r="B2631" s="25" t="n"/>
      <c r="I2631" s="25" t="n"/>
      <c r="U2631" s="19">
        <f>IF($V2631&lt;&gt;'設定'!$C$4,N(U2630),IF(OR(NOT(COUNTIF('商品マスタ'!$B$6:$B$1005,$W2631)=0),COUNTIFS('①在庫を貼る'!$V$6:$V$10005,$V2631,'①在庫を貼る'!$W$6:$W$10005,$W2631)&gt;0),N(U2630),N(U2630)+1))</f>
        <v/>
      </c>
      <c r="V2631" s="19">
        <f>IF($B2631="","",TEXT($B2631,"0000"))</f>
        <v/>
      </c>
      <c r="W2631" s="19">
        <f>IF($I2631="","",IF(ISNUMBER($I2631),TEXT($I2631,"0"),$I2631))</f>
        <v/>
      </c>
    </row>
    <row r="2632">
      <c r="B2632" s="25" t="n"/>
      <c r="I2632" s="25" t="n"/>
      <c r="U2632" s="19">
        <f>IF($V2632&lt;&gt;'設定'!$C$4,N(U2631),IF(OR(NOT(COUNTIF('商品マスタ'!$B$6:$B$1005,$W2632)=0),COUNTIFS('①在庫を貼る'!$V$6:$V$10005,$V2632,'①在庫を貼る'!$W$6:$W$10005,$W2632)&gt;0),N(U2631),N(U2631)+1))</f>
        <v/>
      </c>
      <c r="V2632" s="19">
        <f>IF($B2632="","",TEXT($B2632,"0000"))</f>
        <v/>
      </c>
      <c r="W2632" s="19">
        <f>IF($I2632="","",IF(ISNUMBER($I2632),TEXT($I2632,"0"),$I2632))</f>
        <v/>
      </c>
    </row>
    <row r="2633">
      <c r="B2633" s="25" t="n"/>
      <c r="I2633" s="25" t="n"/>
      <c r="U2633" s="19">
        <f>IF($V2633&lt;&gt;'設定'!$C$4,N(U2632),IF(OR(NOT(COUNTIF('商品マスタ'!$B$6:$B$1005,$W2633)=0),COUNTIFS('①在庫を貼る'!$V$6:$V$10005,$V2633,'①在庫を貼る'!$W$6:$W$10005,$W2633)&gt;0),N(U2632),N(U2632)+1))</f>
        <v/>
      </c>
      <c r="V2633" s="19">
        <f>IF($B2633="","",TEXT($B2633,"0000"))</f>
        <v/>
      </c>
      <c r="W2633" s="19">
        <f>IF($I2633="","",IF(ISNUMBER($I2633),TEXT($I2633,"0"),$I2633))</f>
        <v/>
      </c>
    </row>
    <row r="2634">
      <c r="B2634" s="25" t="n"/>
      <c r="I2634" s="25" t="n"/>
      <c r="U2634" s="19">
        <f>IF($V2634&lt;&gt;'設定'!$C$4,N(U2633),IF(OR(NOT(COUNTIF('商品マスタ'!$B$6:$B$1005,$W2634)=0),COUNTIFS('①在庫を貼る'!$V$6:$V$10005,$V2634,'①在庫を貼る'!$W$6:$W$10005,$W2634)&gt;0),N(U2633),N(U2633)+1))</f>
        <v/>
      </c>
      <c r="V2634" s="19">
        <f>IF($B2634="","",TEXT($B2634,"0000"))</f>
        <v/>
      </c>
      <c r="W2634" s="19">
        <f>IF($I2634="","",IF(ISNUMBER($I2634),TEXT($I2634,"0"),$I2634))</f>
        <v/>
      </c>
    </row>
    <row r="2635">
      <c r="B2635" s="25" t="n"/>
      <c r="I2635" s="25" t="n"/>
      <c r="U2635" s="19">
        <f>IF($V2635&lt;&gt;'設定'!$C$4,N(U2634),IF(OR(NOT(COUNTIF('商品マスタ'!$B$6:$B$1005,$W2635)=0),COUNTIFS('①在庫を貼る'!$V$6:$V$10005,$V2635,'①在庫を貼る'!$W$6:$W$10005,$W2635)&gt;0),N(U2634),N(U2634)+1))</f>
        <v/>
      </c>
      <c r="V2635" s="19">
        <f>IF($B2635="","",TEXT($B2635,"0000"))</f>
        <v/>
      </c>
      <c r="W2635" s="19">
        <f>IF($I2635="","",IF(ISNUMBER($I2635),TEXT($I2635,"0"),$I2635))</f>
        <v/>
      </c>
    </row>
    <row r="2636">
      <c r="B2636" s="25" t="n"/>
      <c r="I2636" s="25" t="n"/>
      <c r="U2636" s="19">
        <f>IF($V2636&lt;&gt;'設定'!$C$4,N(U2635),IF(OR(NOT(COUNTIF('商品マスタ'!$B$6:$B$1005,$W2636)=0),COUNTIFS('①在庫を貼る'!$V$6:$V$10005,$V2636,'①在庫を貼る'!$W$6:$W$10005,$W2636)&gt;0),N(U2635),N(U2635)+1))</f>
        <v/>
      </c>
      <c r="V2636" s="19">
        <f>IF($B2636="","",TEXT($B2636,"0000"))</f>
        <v/>
      </c>
      <c r="W2636" s="19">
        <f>IF($I2636="","",IF(ISNUMBER($I2636),TEXT($I2636,"0"),$I2636))</f>
        <v/>
      </c>
    </row>
    <row r="2637">
      <c r="B2637" s="25" t="n"/>
      <c r="I2637" s="25" t="n"/>
      <c r="U2637" s="19">
        <f>IF($V2637&lt;&gt;'設定'!$C$4,N(U2636),IF(OR(NOT(COUNTIF('商品マスタ'!$B$6:$B$1005,$W2637)=0),COUNTIFS('①在庫を貼る'!$V$6:$V$10005,$V2637,'①在庫を貼る'!$W$6:$W$10005,$W2637)&gt;0),N(U2636),N(U2636)+1))</f>
        <v/>
      </c>
      <c r="V2637" s="19">
        <f>IF($B2637="","",TEXT($B2637,"0000"))</f>
        <v/>
      </c>
      <c r="W2637" s="19">
        <f>IF($I2637="","",IF(ISNUMBER($I2637),TEXT($I2637,"0"),$I2637))</f>
        <v/>
      </c>
    </row>
    <row r="2638">
      <c r="B2638" s="25" t="n"/>
      <c r="I2638" s="25" t="n"/>
      <c r="U2638" s="19">
        <f>IF($V2638&lt;&gt;'設定'!$C$4,N(U2637),IF(OR(NOT(COUNTIF('商品マスタ'!$B$6:$B$1005,$W2638)=0),COUNTIFS('①在庫を貼る'!$V$6:$V$10005,$V2638,'①在庫を貼る'!$W$6:$W$10005,$W2638)&gt;0),N(U2637),N(U2637)+1))</f>
        <v/>
      </c>
      <c r="V2638" s="19">
        <f>IF($B2638="","",TEXT($B2638,"0000"))</f>
        <v/>
      </c>
      <c r="W2638" s="19">
        <f>IF($I2638="","",IF(ISNUMBER($I2638),TEXT($I2638,"0"),$I2638))</f>
        <v/>
      </c>
    </row>
    <row r="2639">
      <c r="B2639" s="25" t="n"/>
      <c r="I2639" s="25" t="n"/>
      <c r="U2639" s="19">
        <f>IF($V2639&lt;&gt;'設定'!$C$4,N(U2638),IF(OR(NOT(COUNTIF('商品マスタ'!$B$6:$B$1005,$W2639)=0),COUNTIFS('①在庫を貼る'!$V$6:$V$10005,$V2639,'①在庫を貼る'!$W$6:$W$10005,$W2639)&gt;0),N(U2638),N(U2638)+1))</f>
        <v/>
      </c>
      <c r="V2639" s="19">
        <f>IF($B2639="","",TEXT($B2639,"0000"))</f>
        <v/>
      </c>
      <c r="W2639" s="19">
        <f>IF($I2639="","",IF(ISNUMBER($I2639),TEXT($I2639,"0"),$I2639))</f>
        <v/>
      </c>
    </row>
    <row r="2640">
      <c r="B2640" s="25" t="n"/>
      <c r="I2640" s="25" t="n"/>
      <c r="U2640" s="19">
        <f>IF($V2640&lt;&gt;'設定'!$C$4,N(U2639),IF(OR(NOT(COUNTIF('商品マスタ'!$B$6:$B$1005,$W2640)=0),COUNTIFS('①在庫を貼る'!$V$6:$V$10005,$V2640,'①在庫を貼る'!$W$6:$W$10005,$W2640)&gt;0),N(U2639),N(U2639)+1))</f>
        <v/>
      </c>
      <c r="V2640" s="19">
        <f>IF($B2640="","",TEXT($B2640,"0000"))</f>
        <v/>
      </c>
      <c r="W2640" s="19">
        <f>IF($I2640="","",IF(ISNUMBER($I2640),TEXT($I2640,"0"),$I2640))</f>
        <v/>
      </c>
    </row>
    <row r="2641">
      <c r="B2641" s="25" t="n"/>
      <c r="I2641" s="25" t="n"/>
      <c r="U2641" s="19">
        <f>IF($V2641&lt;&gt;'設定'!$C$4,N(U2640),IF(OR(NOT(COUNTIF('商品マスタ'!$B$6:$B$1005,$W2641)=0),COUNTIFS('①在庫を貼る'!$V$6:$V$10005,$V2641,'①在庫を貼る'!$W$6:$W$10005,$W2641)&gt;0),N(U2640),N(U2640)+1))</f>
        <v/>
      </c>
      <c r="V2641" s="19">
        <f>IF($B2641="","",TEXT($B2641,"0000"))</f>
        <v/>
      </c>
      <c r="W2641" s="19">
        <f>IF($I2641="","",IF(ISNUMBER($I2641),TEXT($I2641,"0"),$I2641))</f>
        <v/>
      </c>
    </row>
    <row r="2642">
      <c r="B2642" s="25" t="n"/>
      <c r="I2642" s="25" t="n"/>
      <c r="U2642" s="19">
        <f>IF($V2642&lt;&gt;'設定'!$C$4,N(U2641),IF(OR(NOT(COUNTIF('商品マスタ'!$B$6:$B$1005,$W2642)=0),COUNTIFS('①在庫を貼る'!$V$6:$V$10005,$V2642,'①在庫を貼る'!$W$6:$W$10005,$W2642)&gt;0),N(U2641),N(U2641)+1))</f>
        <v/>
      </c>
      <c r="V2642" s="19">
        <f>IF($B2642="","",TEXT($B2642,"0000"))</f>
        <v/>
      </c>
      <c r="W2642" s="19">
        <f>IF($I2642="","",IF(ISNUMBER($I2642),TEXT($I2642,"0"),$I2642))</f>
        <v/>
      </c>
    </row>
    <row r="2643">
      <c r="B2643" s="25" t="n"/>
      <c r="I2643" s="25" t="n"/>
      <c r="U2643" s="19">
        <f>IF($V2643&lt;&gt;'設定'!$C$4,N(U2642),IF(OR(NOT(COUNTIF('商品マスタ'!$B$6:$B$1005,$W2643)=0),COUNTIFS('①在庫を貼る'!$V$6:$V$10005,$V2643,'①在庫を貼る'!$W$6:$W$10005,$W2643)&gt;0),N(U2642),N(U2642)+1))</f>
        <v/>
      </c>
      <c r="V2643" s="19">
        <f>IF($B2643="","",TEXT($B2643,"0000"))</f>
        <v/>
      </c>
      <c r="W2643" s="19">
        <f>IF($I2643="","",IF(ISNUMBER($I2643),TEXT($I2643,"0"),$I2643))</f>
        <v/>
      </c>
    </row>
    <row r="2644">
      <c r="B2644" s="25" t="n"/>
      <c r="I2644" s="25" t="n"/>
      <c r="U2644" s="19">
        <f>IF($V2644&lt;&gt;'設定'!$C$4,N(U2643),IF(OR(NOT(COUNTIF('商品マスタ'!$B$6:$B$1005,$W2644)=0),COUNTIFS('①在庫を貼る'!$V$6:$V$10005,$V2644,'①在庫を貼る'!$W$6:$W$10005,$W2644)&gt;0),N(U2643),N(U2643)+1))</f>
        <v/>
      </c>
      <c r="V2644" s="19">
        <f>IF($B2644="","",TEXT($B2644,"0000"))</f>
        <v/>
      </c>
      <c r="W2644" s="19">
        <f>IF($I2644="","",IF(ISNUMBER($I2644),TEXT($I2644,"0"),$I2644))</f>
        <v/>
      </c>
    </row>
    <row r="2645">
      <c r="B2645" s="25" t="n"/>
      <c r="I2645" s="25" t="n"/>
      <c r="U2645" s="19">
        <f>IF($V2645&lt;&gt;'設定'!$C$4,N(U2644),IF(OR(NOT(COUNTIF('商品マスタ'!$B$6:$B$1005,$W2645)=0),COUNTIFS('①在庫を貼る'!$V$6:$V$10005,$V2645,'①在庫を貼る'!$W$6:$W$10005,$W2645)&gt;0),N(U2644),N(U2644)+1))</f>
        <v/>
      </c>
      <c r="V2645" s="19">
        <f>IF($B2645="","",TEXT($B2645,"0000"))</f>
        <v/>
      </c>
      <c r="W2645" s="19">
        <f>IF($I2645="","",IF(ISNUMBER($I2645),TEXT($I2645,"0"),$I2645))</f>
        <v/>
      </c>
    </row>
    <row r="2646">
      <c r="B2646" s="25" t="n"/>
      <c r="I2646" s="25" t="n"/>
      <c r="U2646" s="19">
        <f>IF($V2646&lt;&gt;'設定'!$C$4,N(U2645),IF(OR(NOT(COUNTIF('商品マスタ'!$B$6:$B$1005,$W2646)=0),COUNTIFS('①在庫を貼る'!$V$6:$V$10005,$V2646,'①在庫を貼る'!$W$6:$W$10005,$W2646)&gt;0),N(U2645),N(U2645)+1))</f>
        <v/>
      </c>
      <c r="V2646" s="19">
        <f>IF($B2646="","",TEXT($B2646,"0000"))</f>
        <v/>
      </c>
      <c r="W2646" s="19">
        <f>IF($I2646="","",IF(ISNUMBER($I2646),TEXT($I2646,"0"),$I2646))</f>
        <v/>
      </c>
    </row>
    <row r="2647">
      <c r="B2647" s="25" t="n"/>
      <c r="I2647" s="25" t="n"/>
      <c r="U2647" s="19">
        <f>IF($V2647&lt;&gt;'設定'!$C$4,N(U2646),IF(OR(NOT(COUNTIF('商品マスタ'!$B$6:$B$1005,$W2647)=0),COUNTIFS('①在庫を貼る'!$V$6:$V$10005,$V2647,'①在庫を貼る'!$W$6:$W$10005,$W2647)&gt;0),N(U2646),N(U2646)+1))</f>
        <v/>
      </c>
      <c r="V2647" s="19">
        <f>IF($B2647="","",TEXT($B2647,"0000"))</f>
        <v/>
      </c>
      <c r="W2647" s="19">
        <f>IF($I2647="","",IF(ISNUMBER($I2647),TEXT($I2647,"0"),$I2647))</f>
        <v/>
      </c>
    </row>
    <row r="2648">
      <c r="B2648" s="25" t="n"/>
      <c r="I2648" s="25" t="n"/>
      <c r="U2648" s="19">
        <f>IF($V2648&lt;&gt;'設定'!$C$4,N(U2647),IF(OR(NOT(COUNTIF('商品マスタ'!$B$6:$B$1005,$W2648)=0),COUNTIFS('①在庫を貼る'!$V$6:$V$10005,$V2648,'①在庫を貼る'!$W$6:$W$10005,$W2648)&gt;0),N(U2647),N(U2647)+1))</f>
        <v/>
      </c>
      <c r="V2648" s="19">
        <f>IF($B2648="","",TEXT($B2648,"0000"))</f>
        <v/>
      </c>
      <c r="W2648" s="19">
        <f>IF($I2648="","",IF(ISNUMBER($I2648),TEXT($I2648,"0"),$I2648))</f>
        <v/>
      </c>
    </row>
    <row r="2649">
      <c r="B2649" s="25" t="n"/>
      <c r="I2649" s="25" t="n"/>
      <c r="U2649" s="19">
        <f>IF($V2649&lt;&gt;'設定'!$C$4,N(U2648),IF(OR(NOT(COUNTIF('商品マスタ'!$B$6:$B$1005,$W2649)=0),COUNTIFS('①在庫を貼る'!$V$6:$V$10005,$V2649,'①在庫を貼る'!$W$6:$W$10005,$W2649)&gt;0),N(U2648),N(U2648)+1))</f>
        <v/>
      </c>
      <c r="V2649" s="19">
        <f>IF($B2649="","",TEXT($B2649,"0000"))</f>
        <v/>
      </c>
      <c r="W2649" s="19">
        <f>IF($I2649="","",IF(ISNUMBER($I2649),TEXT($I2649,"0"),$I2649))</f>
        <v/>
      </c>
    </row>
    <row r="2650">
      <c r="B2650" s="25" t="n"/>
      <c r="I2650" s="25" t="n"/>
      <c r="U2650" s="19">
        <f>IF($V2650&lt;&gt;'設定'!$C$4,N(U2649),IF(OR(NOT(COUNTIF('商品マスタ'!$B$6:$B$1005,$W2650)=0),COUNTIFS('①在庫を貼る'!$V$6:$V$10005,$V2650,'①在庫を貼る'!$W$6:$W$10005,$W2650)&gt;0),N(U2649),N(U2649)+1))</f>
        <v/>
      </c>
      <c r="V2650" s="19">
        <f>IF($B2650="","",TEXT($B2650,"0000"))</f>
        <v/>
      </c>
      <c r="W2650" s="19">
        <f>IF($I2650="","",IF(ISNUMBER($I2650),TEXT($I2650,"0"),$I2650))</f>
        <v/>
      </c>
    </row>
    <row r="2651">
      <c r="B2651" s="25" t="n"/>
      <c r="I2651" s="25" t="n"/>
      <c r="U2651" s="19">
        <f>IF($V2651&lt;&gt;'設定'!$C$4,N(U2650),IF(OR(NOT(COUNTIF('商品マスタ'!$B$6:$B$1005,$W2651)=0),COUNTIFS('①在庫を貼る'!$V$6:$V$10005,$V2651,'①在庫を貼る'!$W$6:$W$10005,$W2651)&gt;0),N(U2650),N(U2650)+1))</f>
        <v/>
      </c>
      <c r="V2651" s="19">
        <f>IF($B2651="","",TEXT($B2651,"0000"))</f>
        <v/>
      </c>
      <c r="W2651" s="19">
        <f>IF($I2651="","",IF(ISNUMBER($I2651),TEXT($I2651,"0"),$I2651))</f>
        <v/>
      </c>
    </row>
    <row r="2652">
      <c r="B2652" s="25" t="n"/>
      <c r="I2652" s="25" t="n"/>
      <c r="U2652" s="19">
        <f>IF($V2652&lt;&gt;'設定'!$C$4,N(U2651),IF(OR(NOT(COUNTIF('商品マスタ'!$B$6:$B$1005,$W2652)=0),COUNTIFS('①在庫を貼る'!$V$6:$V$10005,$V2652,'①在庫を貼る'!$W$6:$W$10005,$W2652)&gt;0),N(U2651),N(U2651)+1))</f>
        <v/>
      </c>
      <c r="V2652" s="19">
        <f>IF($B2652="","",TEXT($B2652,"0000"))</f>
        <v/>
      </c>
      <c r="W2652" s="19">
        <f>IF($I2652="","",IF(ISNUMBER($I2652),TEXT($I2652,"0"),$I2652))</f>
        <v/>
      </c>
    </row>
    <row r="2653">
      <c r="B2653" s="25" t="n"/>
      <c r="I2653" s="25" t="n"/>
      <c r="U2653" s="19">
        <f>IF($V2653&lt;&gt;'設定'!$C$4,N(U2652),IF(OR(NOT(COUNTIF('商品マスタ'!$B$6:$B$1005,$W2653)=0),COUNTIFS('①在庫を貼る'!$V$6:$V$10005,$V2653,'①在庫を貼る'!$W$6:$W$10005,$W2653)&gt;0),N(U2652),N(U2652)+1))</f>
        <v/>
      </c>
      <c r="V2653" s="19">
        <f>IF($B2653="","",TEXT($B2653,"0000"))</f>
        <v/>
      </c>
      <c r="W2653" s="19">
        <f>IF($I2653="","",IF(ISNUMBER($I2653),TEXT($I2653,"0"),$I2653))</f>
        <v/>
      </c>
    </row>
    <row r="2654">
      <c r="B2654" s="25" t="n"/>
      <c r="I2654" s="25" t="n"/>
      <c r="U2654" s="19">
        <f>IF($V2654&lt;&gt;'設定'!$C$4,N(U2653),IF(OR(NOT(COUNTIF('商品マスタ'!$B$6:$B$1005,$W2654)=0),COUNTIFS('①在庫を貼る'!$V$6:$V$10005,$V2654,'①在庫を貼る'!$W$6:$W$10005,$W2654)&gt;0),N(U2653),N(U2653)+1))</f>
        <v/>
      </c>
      <c r="V2654" s="19">
        <f>IF($B2654="","",TEXT($B2654,"0000"))</f>
        <v/>
      </c>
      <c r="W2654" s="19">
        <f>IF($I2654="","",IF(ISNUMBER($I2654),TEXT($I2654,"0"),$I2654))</f>
        <v/>
      </c>
    </row>
    <row r="2655">
      <c r="B2655" s="25" t="n"/>
      <c r="I2655" s="25" t="n"/>
      <c r="U2655" s="19">
        <f>IF($V2655&lt;&gt;'設定'!$C$4,N(U2654),IF(OR(NOT(COUNTIF('商品マスタ'!$B$6:$B$1005,$W2655)=0),COUNTIFS('①在庫を貼る'!$V$6:$V$10005,$V2655,'①在庫を貼る'!$W$6:$W$10005,$W2655)&gt;0),N(U2654),N(U2654)+1))</f>
        <v/>
      </c>
      <c r="V2655" s="19">
        <f>IF($B2655="","",TEXT($B2655,"0000"))</f>
        <v/>
      </c>
      <c r="W2655" s="19">
        <f>IF($I2655="","",IF(ISNUMBER($I2655),TEXT($I2655,"0"),$I2655))</f>
        <v/>
      </c>
    </row>
    <row r="2656">
      <c r="B2656" s="25" t="n"/>
      <c r="I2656" s="25" t="n"/>
      <c r="U2656" s="19">
        <f>IF($V2656&lt;&gt;'設定'!$C$4,N(U2655),IF(OR(NOT(COUNTIF('商品マスタ'!$B$6:$B$1005,$W2656)=0),COUNTIFS('①在庫を貼る'!$V$6:$V$10005,$V2656,'①在庫を貼る'!$W$6:$W$10005,$W2656)&gt;0),N(U2655),N(U2655)+1))</f>
        <v/>
      </c>
      <c r="V2656" s="19">
        <f>IF($B2656="","",TEXT($B2656,"0000"))</f>
        <v/>
      </c>
      <c r="W2656" s="19">
        <f>IF($I2656="","",IF(ISNUMBER($I2656),TEXT($I2656,"0"),$I2656))</f>
        <v/>
      </c>
    </row>
    <row r="2657">
      <c r="B2657" s="25" t="n"/>
      <c r="I2657" s="25" t="n"/>
      <c r="U2657" s="19">
        <f>IF($V2657&lt;&gt;'設定'!$C$4,N(U2656),IF(OR(NOT(COUNTIF('商品マスタ'!$B$6:$B$1005,$W2657)=0),COUNTIFS('①在庫を貼る'!$V$6:$V$10005,$V2657,'①在庫を貼る'!$W$6:$W$10005,$W2657)&gt;0),N(U2656),N(U2656)+1))</f>
        <v/>
      </c>
      <c r="V2657" s="19">
        <f>IF($B2657="","",TEXT($B2657,"0000"))</f>
        <v/>
      </c>
      <c r="W2657" s="19">
        <f>IF($I2657="","",IF(ISNUMBER($I2657),TEXT($I2657,"0"),$I2657))</f>
        <v/>
      </c>
    </row>
    <row r="2658">
      <c r="B2658" s="25" t="n"/>
      <c r="I2658" s="25" t="n"/>
      <c r="U2658" s="19">
        <f>IF($V2658&lt;&gt;'設定'!$C$4,N(U2657),IF(OR(NOT(COUNTIF('商品マスタ'!$B$6:$B$1005,$W2658)=0),COUNTIFS('①在庫を貼る'!$V$6:$V$10005,$V2658,'①在庫を貼る'!$W$6:$W$10005,$W2658)&gt;0),N(U2657),N(U2657)+1))</f>
        <v/>
      </c>
      <c r="V2658" s="19">
        <f>IF($B2658="","",TEXT($B2658,"0000"))</f>
        <v/>
      </c>
      <c r="W2658" s="19">
        <f>IF($I2658="","",IF(ISNUMBER($I2658),TEXT($I2658,"0"),$I2658))</f>
        <v/>
      </c>
    </row>
    <row r="2659">
      <c r="B2659" s="25" t="n"/>
      <c r="I2659" s="25" t="n"/>
      <c r="U2659" s="19">
        <f>IF($V2659&lt;&gt;'設定'!$C$4,N(U2658),IF(OR(NOT(COUNTIF('商品マスタ'!$B$6:$B$1005,$W2659)=0),COUNTIFS('①在庫を貼る'!$V$6:$V$10005,$V2659,'①在庫を貼る'!$W$6:$W$10005,$W2659)&gt;0),N(U2658),N(U2658)+1))</f>
        <v/>
      </c>
      <c r="V2659" s="19">
        <f>IF($B2659="","",TEXT($B2659,"0000"))</f>
        <v/>
      </c>
      <c r="W2659" s="19">
        <f>IF($I2659="","",IF(ISNUMBER($I2659),TEXT($I2659,"0"),$I2659))</f>
        <v/>
      </c>
    </row>
    <row r="2660">
      <c r="B2660" s="25" t="n"/>
      <c r="I2660" s="25" t="n"/>
      <c r="U2660" s="19">
        <f>IF($V2660&lt;&gt;'設定'!$C$4,N(U2659),IF(OR(NOT(COUNTIF('商品マスタ'!$B$6:$B$1005,$W2660)=0),COUNTIFS('①在庫を貼る'!$V$6:$V$10005,$V2660,'①在庫を貼る'!$W$6:$W$10005,$W2660)&gt;0),N(U2659),N(U2659)+1))</f>
        <v/>
      </c>
      <c r="V2660" s="19">
        <f>IF($B2660="","",TEXT($B2660,"0000"))</f>
        <v/>
      </c>
      <c r="W2660" s="19">
        <f>IF($I2660="","",IF(ISNUMBER($I2660),TEXT($I2660,"0"),$I2660))</f>
        <v/>
      </c>
    </row>
    <row r="2661">
      <c r="B2661" s="25" t="n"/>
      <c r="I2661" s="25" t="n"/>
      <c r="U2661" s="19">
        <f>IF($V2661&lt;&gt;'設定'!$C$4,N(U2660),IF(OR(NOT(COUNTIF('商品マスタ'!$B$6:$B$1005,$W2661)=0),COUNTIFS('①在庫を貼る'!$V$6:$V$10005,$V2661,'①在庫を貼る'!$W$6:$W$10005,$W2661)&gt;0),N(U2660),N(U2660)+1))</f>
        <v/>
      </c>
      <c r="V2661" s="19">
        <f>IF($B2661="","",TEXT($B2661,"0000"))</f>
        <v/>
      </c>
      <c r="W2661" s="19">
        <f>IF($I2661="","",IF(ISNUMBER($I2661),TEXT($I2661,"0"),$I2661))</f>
        <v/>
      </c>
    </row>
    <row r="2662">
      <c r="B2662" s="25" t="n"/>
      <c r="I2662" s="25" t="n"/>
      <c r="U2662" s="19">
        <f>IF($V2662&lt;&gt;'設定'!$C$4,N(U2661),IF(OR(NOT(COUNTIF('商品マスタ'!$B$6:$B$1005,$W2662)=0),COUNTIFS('①在庫を貼る'!$V$6:$V$10005,$V2662,'①在庫を貼る'!$W$6:$W$10005,$W2662)&gt;0),N(U2661),N(U2661)+1))</f>
        <v/>
      </c>
      <c r="V2662" s="19">
        <f>IF($B2662="","",TEXT($B2662,"0000"))</f>
        <v/>
      </c>
      <c r="W2662" s="19">
        <f>IF($I2662="","",IF(ISNUMBER($I2662),TEXT($I2662,"0"),$I2662))</f>
        <v/>
      </c>
    </row>
    <row r="2663">
      <c r="B2663" s="25" t="n"/>
      <c r="I2663" s="25" t="n"/>
      <c r="U2663" s="19">
        <f>IF($V2663&lt;&gt;'設定'!$C$4,N(U2662),IF(OR(NOT(COUNTIF('商品マスタ'!$B$6:$B$1005,$W2663)=0),COUNTIFS('①在庫を貼る'!$V$6:$V$10005,$V2663,'①在庫を貼る'!$W$6:$W$10005,$W2663)&gt;0),N(U2662),N(U2662)+1))</f>
        <v/>
      </c>
      <c r="V2663" s="19">
        <f>IF($B2663="","",TEXT($B2663,"0000"))</f>
        <v/>
      </c>
      <c r="W2663" s="19">
        <f>IF($I2663="","",IF(ISNUMBER($I2663),TEXT($I2663,"0"),$I2663))</f>
        <v/>
      </c>
    </row>
    <row r="2664">
      <c r="B2664" s="25" t="n"/>
      <c r="I2664" s="25" t="n"/>
      <c r="U2664" s="19">
        <f>IF($V2664&lt;&gt;'設定'!$C$4,N(U2663),IF(OR(NOT(COUNTIF('商品マスタ'!$B$6:$B$1005,$W2664)=0),COUNTIFS('①在庫を貼る'!$V$6:$V$10005,$V2664,'①在庫を貼る'!$W$6:$W$10005,$W2664)&gt;0),N(U2663),N(U2663)+1))</f>
        <v/>
      </c>
      <c r="V2664" s="19">
        <f>IF($B2664="","",TEXT($B2664,"0000"))</f>
        <v/>
      </c>
      <c r="W2664" s="19">
        <f>IF($I2664="","",IF(ISNUMBER($I2664),TEXT($I2664,"0"),$I2664))</f>
        <v/>
      </c>
    </row>
    <row r="2665">
      <c r="B2665" s="25" t="n"/>
      <c r="I2665" s="25" t="n"/>
      <c r="U2665" s="19">
        <f>IF($V2665&lt;&gt;'設定'!$C$4,N(U2664),IF(OR(NOT(COUNTIF('商品マスタ'!$B$6:$B$1005,$W2665)=0),COUNTIFS('①在庫を貼る'!$V$6:$V$10005,$V2665,'①在庫を貼る'!$W$6:$W$10005,$W2665)&gt;0),N(U2664),N(U2664)+1))</f>
        <v/>
      </c>
      <c r="V2665" s="19">
        <f>IF($B2665="","",TEXT($B2665,"0000"))</f>
        <v/>
      </c>
      <c r="W2665" s="19">
        <f>IF($I2665="","",IF(ISNUMBER($I2665),TEXT($I2665,"0"),$I2665))</f>
        <v/>
      </c>
    </row>
    <row r="2666">
      <c r="B2666" s="25" t="n"/>
      <c r="I2666" s="25" t="n"/>
      <c r="U2666" s="19">
        <f>IF($V2666&lt;&gt;'設定'!$C$4,N(U2665),IF(OR(NOT(COUNTIF('商品マスタ'!$B$6:$B$1005,$W2666)=0),COUNTIFS('①在庫を貼る'!$V$6:$V$10005,$V2666,'①在庫を貼る'!$W$6:$W$10005,$W2666)&gt;0),N(U2665),N(U2665)+1))</f>
        <v/>
      </c>
      <c r="V2666" s="19">
        <f>IF($B2666="","",TEXT($B2666,"0000"))</f>
        <v/>
      </c>
      <c r="W2666" s="19">
        <f>IF($I2666="","",IF(ISNUMBER($I2666),TEXT($I2666,"0"),$I2666))</f>
        <v/>
      </c>
    </row>
    <row r="2667">
      <c r="B2667" s="25" t="n"/>
      <c r="I2667" s="25" t="n"/>
      <c r="U2667" s="19">
        <f>IF($V2667&lt;&gt;'設定'!$C$4,N(U2666),IF(OR(NOT(COUNTIF('商品マスタ'!$B$6:$B$1005,$W2667)=0),COUNTIFS('①在庫を貼る'!$V$6:$V$10005,$V2667,'①在庫を貼る'!$W$6:$W$10005,$W2667)&gt;0),N(U2666),N(U2666)+1))</f>
        <v/>
      </c>
      <c r="V2667" s="19">
        <f>IF($B2667="","",TEXT($B2667,"0000"))</f>
        <v/>
      </c>
      <c r="W2667" s="19">
        <f>IF($I2667="","",IF(ISNUMBER($I2667),TEXT($I2667,"0"),$I2667))</f>
        <v/>
      </c>
    </row>
    <row r="2668">
      <c r="B2668" s="25" t="n"/>
      <c r="I2668" s="25" t="n"/>
      <c r="U2668" s="19">
        <f>IF($V2668&lt;&gt;'設定'!$C$4,N(U2667),IF(OR(NOT(COUNTIF('商品マスタ'!$B$6:$B$1005,$W2668)=0),COUNTIFS('①在庫を貼る'!$V$6:$V$10005,$V2668,'①在庫を貼る'!$W$6:$W$10005,$W2668)&gt;0),N(U2667),N(U2667)+1))</f>
        <v/>
      </c>
      <c r="V2668" s="19">
        <f>IF($B2668="","",TEXT($B2668,"0000"))</f>
        <v/>
      </c>
      <c r="W2668" s="19">
        <f>IF($I2668="","",IF(ISNUMBER($I2668),TEXT($I2668,"0"),$I2668))</f>
        <v/>
      </c>
    </row>
    <row r="2669">
      <c r="B2669" s="25" t="n"/>
      <c r="I2669" s="25" t="n"/>
      <c r="U2669" s="19">
        <f>IF($V2669&lt;&gt;'設定'!$C$4,N(U2668),IF(OR(NOT(COUNTIF('商品マスタ'!$B$6:$B$1005,$W2669)=0),COUNTIFS('①在庫を貼る'!$V$6:$V$10005,$V2669,'①在庫を貼る'!$W$6:$W$10005,$W2669)&gt;0),N(U2668),N(U2668)+1))</f>
        <v/>
      </c>
      <c r="V2669" s="19">
        <f>IF($B2669="","",TEXT($B2669,"0000"))</f>
        <v/>
      </c>
      <c r="W2669" s="19">
        <f>IF($I2669="","",IF(ISNUMBER($I2669),TEXT($I2669,"0"),$I2669))</f>
        <v/>
      </c>
    </row>
    <row r="2670">
      <c r="B2670" s="25" t="n"/>
      <c r="I2670" s="25" t="n"/>
      <c r="U2670" s="19">
        <f>IF($V2670&lt;&gt;'設定'!$C$4,N(U2669),IF(OR(NOT(COUNTIF('商品マスタ'!$B$6:$B$1005,$W2670)=0),COUNTIFS('①在庫を貼る'!$V$6:$V$10005,$V2670,'①在庫を貼る'!$W$6:$W$10005,$W2670)&gt;0),N(U2669),N(U2669)+1))</f>
        <v/>
      </c>
      <c r="V2670" s="19">
        <f>IF($B2670="","",TEXT($B2670,"0000"))</f>
        <v/>
      </c>
      <c r="W2670" s="19">
        <f>IF($I2670="","",IF(ISNUMBER($I2670),TEXT($I2670,"0"),$I2670))</f>
        <v/>
      </c>
    </row>
    <row r="2671">
      <c r="B2671" s="25" t="n"/>
      <c r="I2671" s="25" t="n"/>
      <c r="U2671" s="19">
        <f>IF($V2671&lt;&gt;'設定'!$C$4,N(U2670),IF(OR(NOT(COUNTIF('商品マスタ'!$B$6:$B$1005,$W2671)=0),COUNTIFS('①在庫を貼る'!$V$6:$V$10005,$V2671,'①在庫を貼る'!$W$6:$W$10005,$W2671)&gt;0),N(U2670),N(U2670)+1))</f>
        <v/>
      </c>
      <c r="V2671" s="19">
        <f>IF($B2671="","",TEXT($B2671,"0000"))</f>
        <v/>
      </c>
      <c r="W2671" s="19">
        <f>IF($I2671="","",IF(ISNUMBER($I2671),TEXT($I2671,"0"),$I2671))</f>
        <v/>
      </c>
    </row>
    <row r="2672">
      <c r="B2672" s="25" t="n"/>
      <c r="I2672" s="25" t="n"/>
      <c r="U2672" s="19">
        <f>IF($V2672&lt;&gt;'設定'!$C$4,N(U2671),IF(OR(NOT(COUNTIF('商品マスタ'!$B$6:$B$1005,$W2672)=0),COUNTIFS('①在庫を貼る'!$V$6:$V$10005,$V2672,'①在庫を貼る'!$W$6:$W$10005,$W2672)&gt;0),N(U2671),N(U2671)+1))</f>
        <v/>
      </c>
      <c r="V2672" s="19">
        <f>IF($B2672="","",TEXT($B2672,"0000"))</f>
        <v/>
      </c>
      <c r="W2672" s="19">
        <f>IF($I2672="","",IF(ISNUMBER($I2672),TEXT($I2672,"0"),$I2672))</f>
        <v/>
      </c>
    </row>
    <row r="2673">
      <c r="B2673" s="25" t="n"/>
      <c r="I2673" s="25" t="n"/>
      <c r="U2673" s="19">
        <f>IF($V2673&lt;&gt;'設定'!$C$4,N(U2672),IF(OR(NOT(COUNTIF('商品マスタ'!$B$6:$B$1005,$W2673)=0),COUNTIFS('①在庫を貼る'!$V$6:$V$10005,$V2673,'①在庫を貼る'!$W$6:$W$10005,$W2673)&gt;0),N(U2672),N(U2672)+1))</f>
        <v/>
      </c>
      <c r="V2673" s="19">
        <f>IF($B2673="","",TEXT($B2673,"0000"))</f>
        <v/>
      </c>
      <c r="W2673" s="19">
        <f>IF($I2673="","",IF(ISNUMBER($I2673),TEXT($I2673,"0"),$I2673))</f>
        <v/>
      </c>
    </row>
    <row r="2674">
      <c r="B2674" s="25" t="n"/>
      <c r="I2674" s="25" t="n"/>
      <c r="U2674" s="19">
        <f>IF($V2674&lt;&gt;'設定'!$C$4,N(U2673),IF(OR(NOT(COUNTIF('商品マスタ'!$B$6:$B$1005,$W2674)=0),COUNTIFS('①在庫を貼る'!$V$6:$V$10005,$V2674,'①在庫を貼る'!$W$6:$W$10005,$W2674)&gt;0),N(U2673),N(U2673)+1))</f>
        <v/>
      </c>
      <c r="V2674" s="19">
        <f>IF($B2674="","",TEXT($B2674,"0000"))</f>
        <v/>
      </c>
      <c r="W2674" s="19">
        <f>IF($I2674="","",IF(ISNUMBER($I2674),TEXT($I2674,"0"),$I2674))</f>
        <v/>
      </c>
    </row>
    <row r="2675">
      <c r="B2675" s="25" t="n"/>
      <c r="I2675" s="25" t="n"/>
      <c r="U2675" s="19">
        <f>IF($V2675&lt;&gt;'設定'!$C$4,N(U2674),IF(OR(NOT(COUNTIF('商品マスタ'!$B$6:$B$1005,$W2675)=0),COUNTIFS('①在庫を貼る'!$V$6:$V$10005,$V2675,'①在庫を貼る'!$W$6:$W$10005,$W2675)&gt;0),N(U2674),N(U2674)+1))</f>
        <v/>
      </c>
      <c r="V2675" s="19">
        <f>IF($B2675="","",TEXT($B2675,"0000"))</f>
        <v/>
      </c>
      <c r="W2675" s="19">
        <f>IF($I2675="","",IF(ISNUMBER($I2675),TEXT($I2675,"0"),$I2675))</f>
        <v/>
      </c>
    </row>
    <row r="2676">
      <c r="B2676" s="25" t="n"/>
      <c r="I2676" s="25" t="n"/>
      <c r="U2676" s="19">
        <f>IF($V2676&lt;&gt;'設定'!$C$4,N(U2675),IF(OR(NOT(COUNTIF('商品マスタ'!$B$6:$B$1005,$W2676)=0),COUNTIFS('①在庫を貼る'!$V$6:$V$10005,$V2676,'①在庫を貼る'!$W$6:$W$10005,$W2676)&gt;0),N(U2675),N(U2675)+1))</f>
        <v/>
      </c>
      <c r="V2676" s="19">
        <f>IF($B2676="","",TEXT($B2676,"0000"))</f>
        <v/>
      </c>
      <c r="W2676" s="19">
        <f>IF($I2676="","",IF(ISNUMBER($I2676),TEXT($I2676,"0"),$I2676))</f>
        <v/>
      </c>
    </row>
    <row r="2677">
      <c r="B2677" s="25" t="n"/>
      <c r="I2677" s="25" t="n"/>
      <c r="U2677" s="19">
        <f>IF($V2677&lt;&gt;'設定'!$C$4,N(U2676),IF(OR(NOT(COUNTIF('商品マスタ'!$B$6:$B$1005,$W2677)=0),COUNTIFS('①在庫を貼る'!$V$6:$V$10005,$V2677,'①在庫を貼る'!$W$6:$W$10005,$W2677)&gt;0),N(U2676),N(U2676)+1))</f>
        <v/>
      </c>
      <c r="V2677" s="19">
        <f>IF($B2677="","",TEXT($B2677,"0000"))</f>
        <v/>
      </c>
      <c r="W2677" s="19">
        <f>IF($I2677="","",IF(ISNUMBER($I2677),TEXT($I2677,"0"),$I2677))</f>
        <v/>
      </c>
    </row>
    <row r="2678">
      <c r="B2678" s="25" t="n"/>
      <c r="I2678" s="25" t="n"/>
      <c r="U2678" s="19">
        <f>IF($V2678&lt;&gt;'設定'!$C$4,N(U2677),IF(OR(NOT(COUNTIF('商品マスタ'!$B$6:$B$1005,$W2678)=0),COUNTIFS('①在庫を貼る'!$V$6:$V$10005,$V2678,'①在庫を貼る'!$W$6:$W$10005,$W2678)&gt;0),N(U2677),N(U2677)+1))</f>
        <v/>
      </c>
      <c r="V2678" s="19">
        <f>IF($B2678="","",TEXT($B2678,"0000"))</f>
        <v/>
      </c>
      <c r="W2678" s="19">
        <f>IF($I2678="","",IF(ISNUMBER($I2678),TEXT($I2678,"0"),$I2678))</f>
        <v/>
      </c>
    </row>
    <row r="2679">
      <c r="B2679" s="25" t="n"/>
      <c r="I2679" s="25" t="n"/>
      <c r="U2679" s="19">
        <f>IF($V2679&lt;&gt;'設定'!$C$4,N(U2678),IF(OR(NOT(COUNTIF('商品マスタ'!$B$6:$B$1005,$W2679)=0),COUNTIFS('①在庫を貼る'!$V$6:$V$10005,$V2679,'①在庫を貼る'!$W$6:$W$10005,$W2679)&gt;0),N(U2678),N(U2678)+1))</f>
        <v/>
      </c>
      <c r="V2679" s="19">
        <f>IF($B2679="","",TEXT($B2679,"0000"))</f>
        <v/>
      </c>
      <c r="W2679" s="19">
        <f>IF($I2679="","",IF(ISNUMBER($I2679),TEXT($I2679,"0"),$I2679))</f>
        <v/>
      </c>
    </row>
    <row r="2680">
      <c r="B2680" s="25" t="n"/>
      <c r="I2680" s="25" t="n"/>
      <c r="U2680" s="19">
        <f>IF($V2680&lt;&gt;'設定'!$C$4,N(U2679),IF(OR(NOT(COUNTIF('商品マスタ'!$B$6:$B$1005,$W2680)=0),COUNTIFS('①在庫を貼る'!$V$6:$V$10005,$V2680,'①在庫を貼る'!$W$6:$W$10005,$W2680)&gt;0),N(U2679),N(U2679)+1))</f>
        <v/>
      </c>
      <c r="V2680" s="19">
        <f>IF($B2680="","",TEXT($B2680,"0000"))</f>
        <v/>
      </c>
      <c r="W2680" s="19">
        <f>IF($I2680="","",IF(ISNUMBER($I2680),TEXT($I2680,"0"),$I2680))</f>
        <v/>
      </c>
    </row>
    <row r="2681">
      <c r="B2681" s="25" t="n"/>
      <c r="I2681" s="25" t="n"/>
      <c r="U2681" s="19">
        <f>IF($V2681&lt;&gt;'設定'!$C$4,N(U2680),IF(OR(NOT(COUNTIF('商品マスタ'!$B$6:$B$1005,$W2681)=0),COUNTIFS('①在庫を貼る'!$V$6:$V$10005,$V2681,'①在庫を貼る'!$W$6:$W$10005,$W2681)&gt;0),N(U2680),N(U2680)+1))</f>
        <v/>
      </c>
      <c r="V2681" s="19">
        <f>IF($B2681="","",TEXT($B2681,"0000"))</f>
        <v/>
      </c>
      <c r="W2681" s="19">
        <f>IF($I2681="","",IF(ISNUMBER($I2681),TEXT($I2681,"0"),$I2681))</f>
        <v/>
      </c>
    </row>
    <row r="2682">
      <c r="B2682" s="25" t="n"/>
      <c r="I2682" s="25" t="n"/>
      <c r="U2682" s="19">
        <f>IF($V2682&lt;&gt;'設定'!$C$4,N(U2681),IF(OR(NOT(COUNTIF('商品マスタ'!$B$6:$B$1005,$W2682)=0),COUNTIFS('①在庫を貼る'!$V$6:$V$10005,$V2682,'①在庫を貼る'!$W$6:$W$10005,$W2682)&gt;0),N(U2681),N(U2681)+1))</f>
        <v/>
      </c>
      <c r="V2682" s="19">
        <f>IF($B2682="","",TEXT($B2682,"0000"))</f>
        <v/>
      </c>
      <c r="W2682" s="19">
        <f>IF($I2682="","",IF(ISNUMBER($I2682),TEXT($I2682,"0"),$I2682))</f>
        <v/>
      </c>
    </row>
    <row r="2683">
      <c r="B2683" s="25" t="n"/>
      <c r="I2683" s="25" t="n"/>
      <c r="U2683" s="19">
        <f>IF($V2683&lt;&gt;'設定'!$C$4,N(U2682),IF(OR(NOT(COUNTIF('商品マスタ'!$B$6:$B$1005,$W2683)=0),COUNTIFS('①在庫を貼る'!$V$6:$V$10005,$V2683,'①在庫を貼る'!$W$6:$W$10005,$W2683)&gt;0),N(U2682),N(U2682)+1))</f>
        <v/>
      </c>
      <c r="V2683" s="19">
        <f>IF($B2683="","",TEXT($B2683,"0000"))</f>
        <v/>
      </c>
      <c r="W2683" s="19">
        <f>IF($I2683="","",IF(ISNUMBER($I2683),TEXT($I2683,"0"),$I2683))</f>
        <v/>
      </c>
    </row>
    <row r="2684">
      <c r="B2684" s="25" t="n"/>
      <c r="I2684" s="25" t="n"/>
      <c r="U2684" s="19">
        <f>IF($V2684&lt;&gt;'設定'!$C$4,N(U2683),IF(OR(NOT(COUNTIF('商品マスタ'!$B$6:$B$1005,$W2684)=0),COUNTIFS('①在庫を貼る'!$V$6:$V$10005,$V2684,'①在庫を貼る'!$W$6:$W$10005,$W2684)&gt;0),N(U2683),N(U2683)+1))</f>
        <v/>
      </c>
      <c r="V2684" s="19">
        <f>IF($B2684="","",TEXT($B2684,"0000"))</f>
        <v/>
      </c>
      <c r="W2684" s="19">
        <f>IF($I2684="","",IF(ISNUMBER($I2684),TEXT($I2684,"0"),$I2684))</f>
        <v/>
      </c>
    </row>
    <row r="2685">
      <c r="B2685" s="25" t="n"/>
      <c r="I2685" s="25" t="n"/>
      <c r="U2685" s="19">
        <f>IF($V2685&lt;&gt;'設定'!$C$4,N(U2684),IF(OR(NOT(COUNTIF('商品マスタ'!$B$6:$B$1005,$W2685)=0),COUNTIFS('①在庫を貼る'!$V$6:$V$10005,$V2685,'①在庫を貼る'!$W$6:$W$10005,$W2685)&gt;0),N(U2684),N(U2684)+1))</f>
        <v/>
      </c>
      <c r="V2685" s="19">
        <f>IF($B2685="","",TEXT($B2685,"0000"))</f>
        <v/>
      </c>
      <c r="W2685" s="19">
        <f>IF($I2685="","",IF(ISNUMBER($I2685),TEXT($I2685,"0"),$I2685))</f>
        <v/>
      </c>
    </row>
    <row r="2686">
      <c r="B2686" s="25" t="n"/>
      <c r="I2686" s="25" t="n"/>
      <c r="U2686" s="19">
        <f>IF($V2686&lt;&gt;'設定'!$C$4,N(U2685),IF(OR(NOT(COUNTIF('商品マスタ'!$B$6:$B$1005,$W2686)=0),COUNTIFS('①在庫を貼る'!$V$6:$V$10005,$V2686,'①在庫を貼る'!$W$6:$W$10005,$W2686)&gt;0),N(U2685),N(U2685)+1))</f>
        <v/>
      </c>
      <c r="V2686" s="19">
        <f>IF($B2686="","",TEXT($B2686,"0000"))</f>
        <v/>
      </c>
      <c r="W2686" s="19">
        <f>IF($I2686="","",IF(ISNUMBER($I2686),TEXT($I2686,"0"),$I2686))</f>
        <v/>
      </c>
    </row>
    <row r="2687">
      <c r="B2687" s="25" t="n"/>
      <c r="I2687" s="25" t="n"/>
      <c r="U2687" s="19">
        <f>IF($V2687&lt;&gt;'設定'!$C$4,N(U2686),IF(OR(NOT(COUNTIF('商品マスタ'!$B$6:$B$1005,$W2687)=0),COUNTIFS('①在庫を貼る'!$V$6:$V$10005,$V2687,'①在庫を貼る'!$W$6:$W$10005,$W2687)&gt;0),N(U2686),N(U2686)+1))</f>
        <v/>
      </c>
      <c r="V2687" s="19">
        <f>IF($B2687="","",TEXT($B2687,"0000"))</f>
        <v/>
      </c>
      <c r="W2687" s="19">
        <f>IF($I2687="","",IF(ISNUMBER($I2687),TEXT($I2687,"0"),$I2687))</f>
        <v/>
      </c>
    </row>
    <row r="2688">
      <c r="B2688" s="25" t="n"/>
      <c r="I2688" s="25" t="n"/>
      <c r="U2688" s="19">
        <f>IF($V2688&lt;&gt;'設定'!$C$4,N(U2687),IF(OR(NOT(COUNTIF('商品マスタ'!$B$6:$B$1005,$W2688)=0),COUNTIFS('①在庫を貼る'!$V$6:$V$10005,$V2688,'①在庫を貼る'!$W$6:$W$10005,$W2688)&gt;0),N(U2687),N(U2687)+1))</f>
        <v/>
      </c>
      <c r="V2688" s="19">
        <f>IF($B2688="","",TEXT($B2688,"0000"))</f>
        <v/>
      </c>
      <c r="W2688" s="19">
        <f>IF($I2688="","",IF(ISNUMBER($I2688),TEXT($I2688,"0"),$I2688))</f>
        <v/>
      </c>
    </row>
    <row r="2689">
      <c r="B2689" s="25" t="n"/>
      <c r="I2689" s="25" t="n"/>
      <c r="U2689" s="19">
        <f>IF($V2689&lt;&gt;'設定'!$C$4,N(U2688),IF(OR(NOT(COUNTIF('商品マスタ'!$B$6:$B$1005,$W2689)=0),COUNTIFS('①在庫を貼る'!$V$6:$V$10005,$V2689,'①在庫を貼る'!$W$6:$W$10005,$W2689)&gt;0),N(U2688),N(U2688)+1))</f>
        <v/>
      </c>
      <c r="V2689" s="19">
        <f>IF($B2689="","",TEXT($B2689,"0000"))</f>
        <v/>
      </c>
      <c r="W2689" s="19">
        <f>IF($I2689="","",IF(ISNUMBER($I2689),TEXT($I2689,"0"),$I2689))</f>
        <v/>
      </c>
    </row>
    <row r="2690">
      <c r="B2690" s="25" t="n"/>
      <c r="I2690" s="25" t="n"/>
      <c r="U2690" s="19">
        <f>IF($V2690&lt;&gt;'設定'!$C$4,N(U2689),IF(OR(NOT(COUNTIF('商品マスタ'!$B$6:$B$1005,$W2690)=0),COUNTIFS('①在庫を貼る'!$V$6:$V$10005,$V2690,'①在庫を貼る'!$W$6:$W$10005,$W2690)&gt;0),N(U2689),N(U2689)+1))</f>
        <v/>
      </c>
      <c r="V2690" s="19">
        <f>IF($B2690="","",TEXT($B2690,"0000"))</f>
        <v/>
      </c>
      <c r="W2690" s="19">
        <f>IF($I2690="","",IF(ISNUMBER($I2690),TEXT($I2690,"0"),$I2690))</f>
        <v/>
      </c>
    </row>
    <row r="2691">
      <c r="B2691" s="25" t="n"/>
      <c r="I2691" s="25" t="n"/>
      <c r="U2691" s="19">
        <f>IF($V2691&lt;&gt;'設定'!$C$4,N(U2690),IF(OR(NOT(COUNTIF('商品マスタ'!$B$6:$B$1005,$W2691)=0),COUNTIFS('①在庫を貼る'!$V$6:$V$10005,$V2691,'①在庫を貼る'!$W$6:$W$10005,$W2691)&gt;0),N(U2690),N(U2690)+1))</f>
        <v/>
      </c>
      <c r="V2691" s="19">
        <f>IF($B2691="","",TEXT($B2691,"0000"))</f>
        <v/>
      </c>
      <c r="W2691" s="19">
        <f>IF($I2691="","",IF(ISNUMBER($I2691),TEXT($I2691,"0"),$I2691))</f>
        <v/>
      </c>
    </row>
    <row r="2692">
      <c r="B2692" s="25" t="n"/>
      <c r="I2692" s="25" t="n"/>
      <c r="U2692" s="19">
        <f>IF($V2692&lt;&gt;'設定'!$C$4,N(U2691),IF(OR(NOT(COUNTIF('商品マスタ'!$B$6:$B$1005,$W2692)=0),COUNTIFS('①在庫を貼る'!$V$6:$V$10005,$V2692,'①在庫を貼る'!$W$6:$W$10005,$W2692)&gt;0),N(U2691),N(U2691)+1))</f>
        <v/>
      </c>
      <c r="V2692" s="19">
        <f>IF($B2692="","",TEXT($B2692,"0000"))</f>
        <v/>
      </c>
      <c r="W2692" s="19">
        <f>IF($I2692="","",IF(ISNUMBER($I2692),TEXT($I2692,"0"),$I2692))</f>
        <v/>
      </c>
    </row>
    <row r="2693">
      <c r="B2693" s="25" t="n"/>
      <c r="I2693" s="25" t="n"/>
      <c r="U2693" s="19">
        <f>IF($V2693&lt;&gt;'設定'!$C$4,N(U2692),IF(OR(NOT(COUNTIF('商品マスタ'!$B$6:$B$1005,$W2693)=0),COUNTIFS('①在庫を貼る'!$V$6:$V$10005,$V2693,'①在庫を貼る'!$W$6:$W$10005,$W2693)&gt;0),N(U2692),N(U2692)+1))</f>
        <v/>
      </c>
      <c r="V2693" s="19">
        <f>IF($B2693="","",TEXT($B2693,"0000"))</f>
        <v/>
      </c>
      <c r="W2693" s="19">
        <f>IF($I2693="","",IF(ISNUMBER($I2693),TEXT($I2693,"0"),$I2693))</f>
        <v/>
      </c>
    </row>
    <row r="2694">
      <c r="B2694" s="25" t="n"/>
      <c r="I2694" s="25" t="n"/>
      <c r="U2694" s="19">
        <f>IF($V2694&lt;&gt;'設定'!$C$4,N(U2693),IF(OR(NOT(COUNTIF('商品マスタ'!$B$6:$B$1005,$W2694)=0),COUNTIFS('①在庫を貼る'!$V$6:$V$10005,$V2694,'①在庫を貼る'!$W$6:$W$10005,$W2694)&gt;0),N(U2693),N(U2693)+1))</f>
        <v/>
      </c>
      <c r="V2694" s="19">
        <f>IF($B2694="","",TEXT($B2694,"0000"))</f>
        <v/>
      </c>
      <c r="W2694" s="19">
        <f>IF($I2694="","",IF(ISNUMBER($I2694),TEXT($I2694,"0"),$I2694))</f>
        <v/>
      </c>
    </row>
    <row r="2695">
      <c r="B2695" s="25" t="n"/>
      <c r="I2695" s="25" t="n"/>
      <c r="U2695" s="19">
        <f>IF($V2695&lt;&gt;'設定'!$C$4,N(U2694),IF(OR(NOT(COUNTIF('商品マスタ'!$B$6:$B$1005,$W2695)=0),COUNTIFS('①在庫を貼る'!$V$6:$V$10005,$V2695,'①在庫を貼る'!$W$6:$W$10005,$W2695)&gt;0),N(U2694),N(U2694)+1))</f>
        <v/>
      </c>
      <c r="V2695" s="19">
        <f>IF($B2695="","",TEXT($B2695,"0000"))</f>
        <v/>
      </c>
      <c r="W2695" s="19">
        <f>IF($I2695="","",IF(ISNUMBER($I2695),TEXT($I2695,"0"),$I2695))</f>
        <v/>
      </c>
    </row>
    <row r="2696">
      <c r="B2696" s="25" t="n"/>
      <c r="I2696" s="25" t="n"/>
      <c r="U2696" s="19">
        <f>IF($V2696&lt;&gt;'設定'!$C$4,N(U2695),IF(OR(NOT(COUNTIF('商品マスタ'!$B$6:$B$1005,$W2696)=0),COUNTIFS('①在庫を貼る'!$V$6:$V$10005,$V2696,'①在庫を貼る'!$W$6:$W$10005,$W2696)&gt;0),N(U2695),N(U2695)+1))</f>
        <v/>
      </c>
      <c r="V2696" s="19">
        <f>IF($B2696="","",TEXT($B2696,"0000"))</f>
        <v/>
      </c>
      <c r="W2696" s="19">
        <f>IF($I2696="","",IF(ISNUMBER($I2696),TEXT($I2696,"0"),$I2696))</f>
        <v/>
      </c>
    </row>
    <row r="2697">
      <c r="B2697" s="25" t="n"/>
      <c r="I2697" s="25" t="n"/>
      <c r="U2697" s="19">
        <f>IF($V2697&lt;&gt;'設定'!$C$4,N(U2696),IF(OR(NOT(COUNTIF('商品マスタ'!$B$6:$B$1005,$W2697)=0),COUNTIFS('①在庫を貼る'!$V$6:$V$10005,$V2697,'①在庫を貼る'!$W$6:$W$10005,$W2697)&gt;0),N(U2696),N(U2696)+1))</f>
        <v/>
      </c>
      <c r="V2697" s="19">
        <f>IF($B2697="","",TEXT($B2697,"0000"))</f>
        <v/>
      </c>
      <c r="W2697" s="19">
        <f>IF($I2697="","",IF(ISNUMBER($I2697),TEXT($I2697,"0"),$I2697))</f>
        <v/>
      </c>
    </row>
    <row r="2698">
      <c r="B2698" s="25" t="n"/>
      <c r="I2698" s="25" t="n"/>
      <c r="U2698" s="19">
        <f>IF($V2698&lt;&gt;'設定'!$C$4,N(U2697),IF(OR(NOT(COUNTIF('商品マスタ'!$B$6:$B$1005,$W2698)=0),COUNTIFS('①在庫を貼る'!$V$6:$V$10005,$V2698,'①在庫を貼る'!$W$6:$W$10005,$W2698)&gt;0),N(U2697),N(U2697)+1))</f>
        <v/>
      </c>
      <c r="V2698" s="19">
        <f>IF($B2698="","",TEXT($B2698,"0000"))</f>
        <v/>
      </c>
      <c r="W2698" s="19">
        <f>IF($I2698="","",IF(ISNUMBER($I2698),TEXT($I2698,"0"),$I2698))</f>
        <v/>
      </c>
    </row>
    <row r="2699">
      <c r="B2699" s="25" t="n"/>
      <c r="I2699" s="25" t="n"/>
      <c r="U2699" s="19">
        <f>IF($V2699&lt;&gt;'設定'!$C$4,N(U2698),IF(OR(NOT(COUNTIF('商品マスタ'!$B$6:$B$1005,$W2699)=0),COUNTIFS('①在庫を貼る'!$V$6:$V$10005,$V2699,'①在庫を貼る'!$W$6:$W$10005,$W2699)&gt;0),N(U2698),N(U2698)+1))</f>
        <v/>
      </c>
      <c r="V2699" s="19">
        <f>IF($B2699="","",TEXT($B2699,"0000"))</f>
        <v/>
      </c>
      <c r="W2699" s="19">
        <f>IF($I2699="","",IF(ISNUMBER($I2699),TEXT($I2699,"0"),$I2699))</f>
        <v/>
      </c>
    </row>
    <row r="2700">
      <c r="B2700" s="25" t="n"/>
      <c r="I2700" s="25" t="n"/>
      <c r="U2700" s="19">
        <f>IF($V2700&lt;&gt;'設定'!$C$4,N(U2699),IF(OR(NOT(COUNTIF('商品マスタ'!$B$6:$B$1005,$W2700)=0),COUNTIFS('①在庫を貼る'!$V$6:$V$10005,$V2700,'①在庫を貼る'!$W$6:$W$10005,$W2700)&gt;0),N(U2699),N(U2699)+1))</f>
        <v/>
      </c>
      <c r="V2700" s="19">
        <f>IF($B2700="","",TEXT($B2700,"0000"))</f>
        <v/>
      </c>
      <c r="W2700" s="19">
        <f>IF($I2700="","",IF(ISNUMBER($I2700),TEXT($I2700,"0"),$I2700))</f>
        <v/>
      </c>
    </row>
    <row r="2701">
      <c r="B2701" s="25" t="n"/>
      <c r="I2701" s="25" t="n"/>
      <c r="U2701" s="19">
        <f>IF($V2701&lt;&gt;'設定'!$C$4,N(U2700),IF(OR(NOT(COUNTIF('商品マスタ'!$B$6:$B$1005,$W2701)=0),COUNTIFS('①在庫を貼る'!$V$6:$V$10005,$V2701,'①在庫を貼る'!$W$6:$W$10005,$W2701)&gt;0),N(U2700),N(U2700)+1))</f>
        <v/>
      </c>
      <c r="V2701" s="19">
        <f>IF($B2701="","",TEXT($B2701,"0000"))</f>
        <v/>
      </c>
      <c r="W2701" s="19">
        <f>IF($I2701="","",IF(ISNUMBER($I2701),TEXT($I2701,"0"),$I2701))</f>
        <v/>
      </c>
    </row>
    <row r="2702">
      <c r="B2702" s="25" t="n"/>
      <c r="I2702" s="25" t="n"/>
      <c r="U2702" s="19">
        <f>IF($V2702&lt;&gt;'設定'!$C$4,N(U2701),IF(OR(NOT(COUNTIF('商品マスタ'!$B$6:$B$1005,$W2702)=0),COUNTIFS('①在庫を貼る'!$V$6:$V$10005,$V2702,'①在庫を貼る'!$W$6:$W$10005,$W2702)&gt;0),N(U2701),N(U2701)+1))</f>
        <v/>
      </c>
      <c r="V2702" s="19">
        <f>IF($B2702="","",TEXT($B2702,"0000"))</f>
        <v/>
      </c>
      <c r="W2702" s="19">
        <f>IF($I2702="","",IF(ISNUMBER($I2702),TEXT($I2702,"0"),$I2702))</f>
        <v/>
      </c>
    </row>
    <row r="2703">
      <c r="B2703" s="25" t="n"/>
      <c r="I2703" s="25" t="n"/>
      <c r="U2703" s="19">
        <f>IF($V2703&lt;&gt;'設定'!$C$4,N(U2702),IF(OR(NOT(COUNTIF('商品マスタ'!$B$6:$B$1005,$W2703)=0),COUNTIFS('①在庫を貼る'!$V$6:$V$10005,$V2703,'①在庫を貼る'!$W$6:$W$10005,$W2703)&gt;0),N(U2702),N(U2702)+1))</f>
        <v/>
      </c>
      <c r="V2703" s="19">
        <f>IF($B2703="","",TEXT($B2703,"0000"))</f>
        <v/>
      </c>
      <c r="W2703" s="19">
        <f>IF($I2703="","",IF(ISNUMBER($I2703),TEXT($I2703,"0"),$I2703))</f>
        <v/>
      </c>
    </row>
    <row r="2704">
      <c r="B2704" s="25" t="n"/>
      <c r="I2704" s="25" t="n"/>
      <c r="U2704" s="19">
        <f>IF($V2704&lt;&gt;'設定'!$C$4,N(U2703),IF(OR(NOT(COUNTIF('商品マスタ'!$B$6:$B$1005,$W2704)=0),COUNTIFS('①在庫を貼る'!$V$6:$V$10005,$V2704,'①在庫を貼る'!$W$6:$W$10005,$W2704)&gt;0),N(U2703),N(U2703)+1))</f>
        <v/>
      </c>
      <c r="V2704" s="19">
        <f>IF($B2704="","",TEXT($B2704,"0000"))</f>
        <v/>
      </c>
      <c r="W2704" s="19">
        <f>IF($I2704="","",IF(ISNUMBER($I2704),TEXT($I2704,"0"),$I2704))</f>
        <v/>
      </c>
    </row>
    <row r="2705">
      <c r="B2705" s="25" t="n"/>
      <c r="I2705" s="25" t="n"/>
      <c r="U2705" s="19">
        <f>IF($V2705&lt;&gt;'設定'!$C$4,N(U2704),IF(OR(NOT(COUNTIF('商品マスタ'!$B$6:$B$1005,$W2705)=0),COUNTIFS('①在庫を貼る'!$V$6:$V$10005,$V2705,'①在庫を貼る'!$W$6:$W$10005,$W2705)&gt;0),N(U2704),N(U2704)+1))</f>
        <v/>
      </c>
      <c r="V2705" s="19">
        <f>IF($B2705="","",TEXT($B2705,"0000"))</f>
        <v/>
      </c>
      <c r="W2705" s="19">
        <f>IF($I2705="","",IF(ISNUMBER($I2705),TEXT($I2705,"0"),$I2705))</f>
        <v/>
      </c>
    </row>
    <row r="2706">
      <c r="B2706" s="25" t="n"/>
      <c r="I2706" s="25" t="n"/>
      <c r="U2706" s="19">
        <f>IF($V2706&lt;&gt;'設定'!$C$4,N(U2705),IF(OR(NOT(COUNTIF('商品マスタ'!$B$6:$B$1005,$W2706)=0),COUNTIFS('①在庫を貼る'!$V$6:$V$10005,$V2706,'①在庫を貼る'!$W$6:$W$10005,$W2706)&gt;0),N(U2705),N(U2705)+1))</f>
        <v/>
      </c>
      <c r="V2706" s="19">
        <f>IF($B2706="","",TEXT($B2706,"0000"))</f>
        <v/>
      </c>
      <c r="W2706" s="19">
        <f>IF($I2706="","",IF(ISNUMBER($I2706),TEXT($I2706,"0"),$I2706))</f>
        <v/>
      </c>
    </row>
    <row r="2707">
      <c r="B2707" s="25" t="n"/>
      <c r="I2707" s="25" t="n"/>
      <c r="U2707" s="19">
        <f>IF($V2707&lt;&gt;'設定'!$C$4,N(U2706),IF(OR(NOT(COUNTIF('商品マスタ'!$B$6:$B$1005,$W2707)=0),COUNTIFS('①在庫を貼る'!$V$6:$V$10005,$V2707,'①在庫を貼る'!$W$6:$W$10005,$W2707)&gt;0),N(U2706),N(U2706)+1))</f>
        <v/>
      </c>
      <c r="V2707" s="19">
        <f>IF($B2707="","",TEXT($B2707,"0000"))</f>
        <v/>
      </c>
      <c r="W2707" s="19">
        <f>IF($I2707="","",IF(ISNUMBER($I2707),TEXT($I2707,"0"),$I2707))</f>
        <v/>
      </c>
    </row>
    <row r="2708">
      <c r="B2708" s="25" t="n"/>
      <c r="I2708" s="25" t="n"/>
      <c r="U2708" s="19">
        <f>IF($V2708&lt;&gt;'設定'!$C$4,N(U2707),IF(OR(NOT(COUNTIF('商品マスタ'!$B$6:$B$1005,$W2708)=0),COUNTIFS('①在庫を貼る'!$V$6:$V$10005,$V2708,'①在庫を貼る'!$W$6:$W$10005,$W2708)&gt;0),N(U2707),N(U2707)+1))</f>
        <v/>
      </c>
      <c r="V2708" s="19">
        <f>IF($B2708="","",TEXT($B2708,"0000"))</f>
        <v/>
      </c>
      <c r="W2708" s="19">
        <f>IF($I2708="","",IF(ISNUMBER($I2708),TEXT($I2708,"0"),$I2708))</f>
        <v/>
      </c>
    </row>
    <row r="2709">
      <c r="B2709" s="25" t="n"/>
      <c r="I2709" s="25" t="n"/>
      <c r="U2709" s="19">
        <f>IF($V2709&lt;&gt;'設定'!$C$4,N(U2708),IF(OR(NOT(COUNTIF('商品マスタ'!$B$6:$B$1005,$W2709)=0),COUNTIFS('①在庫を貼る'!$V$6:$V$10005,$V2709,'①在庫を貼る'!$W$6:$W$10005,$W2709)&gt;0),N(U2708),N(U2708)+1))</f>
        <v/>
      </c>
      <c r="V2709" s="19">
        <f>IF($B2709="","",TEXT($B2709,"0000"))</f>
        <v/>
      </c>
      <c r="W2709" s="19">
        <f>IF($I2709="","",IF(ISNUMBER($I2709),TEXT($I2709,"0"),$I2709))</f>
        <v/>
      </c>
    </row>
    <row r="2710">
      <c r="B2710" s="25" t="n"/>
      <c r="I2710" s="25" t="n"/>
      <c r="U2710" s="19">
        <f>IF($V2710&lt;&gt;'設定'!$C$4,N(U2709),IF(OR(NOT(COUNTIF('商品マスタ'!$B$6:$B$1005,$W2710)=0),COUNTIFS('①在庫を貼る'!$V$6:$V$10005,$V2710,'①在庫を貼る'!$W$6:$W$10005,$W2710)&gt;0),N(U2709),N(U2709)+1))</f>
        <v/>
      </c>
      <c r="V2710" s="19">
        <f>IF($B2710="","",TEXT($B2710,"0000"))</f>
        <v/>
      </c>
      <c r="W2710" s="19">
        <f>IF($I2710="","",IF(ISNUMBER($I2710),TEXT($I2710,"0"),$I2710))</f>
        <v/>
      </c>
    </row>
    <row r="2711">
      <c r="B2711" s="25" t="n"/>
      <c r="I2711" s="25" t="n"/>
      <c r="U2711" s="19">
        <f>IF($V2711&lt;&gt;'設定'!$C$4,N(U2710),IF(OR(NOT(COUNTIF('商品マスタ'!$B$6:$B$1005,$W2711)=0),COUNTIFS('①在庫を貼る'!$V$6:$V$10005,$V2711,'①在庫を貼る'!$W$6:$W$10005,$W2711)&gt;0),N(U2710),N(U2710)+1))</f>
        <v/>
      </c>
      <c r="V2711" s="19">
        <f>IF($B2711="","",TEXT($B2711,"0000"))</f>
        <v/>
      </c>
      <c r="W2711" s="19">
        <f>IF($I2711="","",IF(ISNUMBER($I2711),TEXT($I2711,"0"),$I2711))</f>
        <v/>
      </c>
    </row>
    <row r="2712">
      <c r="B2712" s="25" t="n"/>
      <c r="I2712" s="25" t="n"/>
      <c r="U2712" s="19">
        <f>IF($V2712&lt;&gt;'設定'!$C$4,N(U2711),IF(OR(NOT(COUNTIF('商品マスタ'!$B$6:$B$1005,$W2712)=0),COUNTIFS('①在庫を貼る'!$V$6:$V$10005,$V2712,'①在庫を貼る'!$W$6:$W$10005,$W2712)&gt;0),N(U2711),N(U2711)+1))</f>
        <v/>
      </c>
      <c r="V2712" s="19">
        <f>IF($B2712="","",TEXT($B2712,"0000"))</f>
        <v/>
      </c>
      <c r="W2712" s="19">
        <f>IF($I2712="","",IF(ISNUMBER($I2712),TEXT($I2712,"0"),$I2712))</f>
        <v/>
      </c>
    </row>
    <row r="2713">
      <c r="B2713" s="25" t="n"/>
      <c r="I2713" s="25" t="n"/>
      <c r="U2713" s="19">
        <f>IF($V2713&lt;&gt;'設定'!$C$4,N(U2712),IF(OR(NOT(COUNTIF('商品マスタ'!$B$6:$B$1005,$W2713)=0),COUNTIFS('①在庫を貼る'!$V$6:$V$10005,$V2713,'①在庫を貼る'!$W$6:$W$10005,$W2713)&gt;0),N(U2712),N(U2712)+1))</f>
        <v/>
      </c>
      <c r="V2713" s="19">
        <f>IF($B2713="","",TEXT($B2713,"0000"))</f>
        <v/>
      </c>
      <c r="W2713" s="19">
        <f>IF($I2713="","",IF(ISNUMBER($I2713),TEXT($I2713,"0"),$I2713))</f>
        <v/>
      </c>
    </row>
    <row r="2714">
      <c r="B2714" s="25" t="n"/>
      <c r="I2714" s="25" t="n"/>
      <c r="U2714" s="19">
        <f>IF($V2714&lt;&gt;'設定'!$C$4,N(U2713),IF(OR(NOT(COUNTIF('商品マスタ'!$B$6:$B$1005,$W2714)=0),COUNTIFS('①在庫を貼る'!$V$6:$V$10005,$V2714,'①在庫を貼る'!$W$6:$W$10005,$W2714)&gt;0),N(U2713),N(U2713)+1))</f>
        <v/>
      </c>
      <c r="V2714" s="19">
        <f>IF($B2714="","",TEXT($B2714,"0000"))</f>
        <v/>
      </c>
      <c r="W2714" s="19">
        <f>IF($I2714="","",IF(ISNUMBER($I2714),TEXT($I2714,"0"),$I2714))</f>
        <v/>
      </c>
    </row>
    <row r="2715">
      <c r="B2715" s="25" t="n"/>
      <c r="I2715" s="25" t="n"/>
      <c r="U2715" s="19">
        <f>IF($V2715&lt;&gt;'設定'!$C$4,N(U2714),IF(OR(NOT(COUNTIF('商品マスタ'!$B$6:$B$1005,$W2715)=0),COUNTIFS('①在庫を貼る'!$V$6:$V$10005,$V2715,'①在庫を貼る'!$W$6:$W$10005,$W2715)&gt;0),N(U2714),N(U2714)+1))</f>
        <v/>
      </c>
      <c r="V2715" s="19">
        <f>IF($B2715="","",TEXT($B2715,"0000"))</f>
        <v/>
      </c>
      <c r="W2715" s="19">
        <f>IF($I2715="","",IF(ISNUMBER($I2715),TEXT($I2715,"0"),$I2715))</f>
        <v/>
      </c>
    </row>
    <row r="2716">
      <c r="B2716" s="25" t="n"/>
      <c r="I2716" s="25" t="n"/>
      <c r="U2716" s="19">
        <f>IF($V2716&lt;&gt;'設定'!$C$4,N(U2715),IF(OR(NOT(COUNTIF('商品マスタ'!$B$6:$B$1005,$W2716)=0),COUNTIFS('①在庫を貼る'!$V$6:$V$10005,$V2716,'①在庫を貼る'!$W$6:$W$10005,$W2716)&gt;0),N(U2715),N(U2715)+1))</f>
        <v/>
      </c>
      <c r="V2716" s="19">
        <f>IF($B2716="","",TEXT($B2716,"0000"))</f>
        <v/>
      </c>
      <c r="W2716" s="19">
        <f>IF($I2716="","",IF(ISNUMBER($I2716),TEXT($I2716,"0"),$I2716))</f>
        <v/>
      </c>
    </row>
    <row r="2717">
      <c r="B2717" s="25" t="n"/>
      <c r="I2717" s="25" t="n"/>
      <c r="U2717" s="19">
        <f>IF($V2717&lt;&gt;'設定'!$C$4,N(U2716),IF(OR(NOT(COUNTIF('商品マスタ'!$B$6:$B$1005,$W2717)=0),COUNTIFS('①在庫を貼る'!$V$6:$V$10005,$V2717,'①在庫を貼る'!$W$6:$W$10005,$W2717)&gt;0),N(U2716),N(U2716)+1))</f>
        <v/>
      </c>
      <c r="V2717" s="19">
        <f>IF($B2717="","",TEXT($B2717,"0000"))</f>
        <v/>
      </c>
      <c r="W2717" s="19">
        <f>IF($I2717="","",IF(ISNUMBER($I2717),TEXT($I2717,"0"),$I2717))</f>
        <v/>
      </c>
    </row>
    <row r="2718">
      <c r="B2718" s="25" t="n"/>
      <c r="I2718" s="25" t="n"/>
      <c r="U2718" s="19">
        <f>IF($V2718&lt;&gt;'設定'!$C$4,N(U2717),IF(OR(NOT(COUNTIF('商品マスタ'!$B$6:$B$1005,$W2718)=0),COUNTIFS('①在庫を貼る'!$V$6:$V$10005,$V2718,'①在庫を貼る'!$W$6:$W$10005,$W2718)&gt;0),N(U2717),N(U2717)+1))</f>
        <v/>
      </c>
      <c r="V2718" s="19">
        <f>IF($B2718="","",TEXT($B2718,"0000"))</f>
        <v/>
      </c>
      <c r="W2718" s="19">
        <f>IF($I2718="","",IF(ISNUMBER($I2718),TEXT($I2718,"0"),$I2718))</f>
        <v/>
      </c>
    </row>
    <row r="2719">
      <c r="B2719" s="25" t="n"/>
      <c r="I2719" s="25" t="n"/>
      <c r="U2719" s="19">
        <f>IF($V2719&lt;&gt;'設定'!$C$4,N(U2718),IF(OR(NOT(COUNTIF('商品マスタ'!$B$6:$B$1005,$W2719)=0),COUNTIFS('①在庫を貼る'!$V$6:$V$10005,$V2719,'①在庫を貼る'!$W$6:$W$10005,$W2719)&gt;0),N(U2718),N(U2718)+1))</f>
        <v/>
      </c>
      <c r="V2719" s="19">
        <f>IF($B2719="","",TEXT($B2719,"0000"))</f>
        <v/>
      </c>
      <c r="W2719" s="19">
        <f>IF($I2719="","",IF(ISNUMBER($I2719),TEXT($I2719,"0"),$I2719))</f>
        <v/>
      </c>
    </row>
    <row r="2720">
      <c r="B2720" s="25" t="n"/>
      <c r="I2720" s="25" t="n"/>
      <c r="U2720" s="19">
        <f>IF($V2720&lt;&gt;'設定'!$C$4,N(U2719),IF(OR(NOT(COUNTIF('商品マスタ'!$B$6:$B$1005,$W2720)=0),COUNTIFS('①在庫を貼る'!$V$6:$V$10005,$V2720,'①在庫を貼る'!$W$6:$W$10005,$W2720)&gt;0),N(U2719),N(U2719)+1))</f>
        <v/>
      </c>
      <c r="V2720" s="19">
        <f>IF($B2720="","",TEXT($B2720,"0000"))</f>
        <v/>
      </c>
      <c r="W2720" s="19">
        <f>IF($I2720="","",IF(ISNUMBER($I2720),TEXT($I2720,"0"),$I2720))</f>
        <v/>
      </c>
    </row>
    <row r="2721">
      <c r="B2721" s="25" t="n"/>
      <c r="I2721" s="25" t="n"/>
      <c r="U2721" s="19">
        <f>IF($V2721&lt;&gt;'設定'!$C$4,N(U2720),IF(OR(NOT(COUNTIF('商品マスタ'!$B$6:$B$1005,$W2721)=0),COUNTIFS('①在庫を貼る'!$V$6:$V$10005,$V2721,'①在庫を貼る'!$W$6:$W$10005,$W2721)&gt;0),N(U2720),N(U2720)+1))</f>
        <v/>
      </c>
      <c r="V2721" s="19">
        <f>IF($B2721="","",TEXT($B2721,"0000"))</f>
        <v/>
      </c>
      <c r="W2721" s="19">
        <f>IF($I2721="","",IF(ISNUMBER($I2721),TEXT($I2721,"0"),$I2721))</f>
        <v/>
      </c>
    </row>
    <row r="2722">
      <c r="B2722" s="25" t="n"/>
      <c r="I2722" s="25" t="n"/>
      <c r="U2722" s="19">
        <f>IF($V2722&lt;&gt;'設定'!$C$4,N(U2721),IF(OR(NOT(COUNTIF('商品マスタ'!$B$6:$B$1005,$W2722)=0),COUNTIFS('①在庫を貼る'!$V$6:$V$10005,$V2722,'①在庫を貼る'!$W$6:$W$10005,$W2722)&gt;0),N(U2721),N(U2721)+1))</f>
        <v/>
      </c>
      <c r="V2722" s="19">
        <f>IF($B2722="","",TEXT($B2722,"0000"))</f>
        <v/>
      </c>
      <c r="W2722" s="19">
        <f>IF($I2722="","",IF(ISNUMBER($I2722),TEXT($I2722,"0"),$I2722))</f>
        <v/>
      </c>
    </row>
    <row r="2723">
      <c r="B2723" s="25" t="n"/>
      <c r="I2723" s="25" t="n"/>
      <c r="U2723" s="19">
        <f>IF($V2723&lt;&gt;'設定'!$C$4,N(U2722),IF(OR(NOT(COUNTIF('商品マスタ'!$B$6:$B$1005,$W2723)=0),COUNTIFS('①在庫を貼る'!$V$6:$V$10005,$V2723,'①在庫を貼る'!$W$6:$W$10005,$W2723)&gt;0),N(U2722),N(U2722)+1))</f>
        <v/>
      </c>
      <c r="V2723" s="19">
        <f>IF($B2723="","",TEXT($B2723,"0000"))</f>
        <v/>
      </c>
      <c r="W2723" s="19">
        <f>IF($I2723="","",IF(ISNUMBER($I2723),TEXT($I2723,"0"),$I2723))</f>
        <v/>
      </c>
    </row>
    <row r="2724">
      <c r="B2724" s="25" t="n"/>
      <c r="I2724" s="25" t="n"/>
      <c r="U2724" s="19">
        <f>IF($V2724&lt;&gt;'設定'!$C$4,N(U2723),IF(OR(NOT(COUNTIF('商品マスタ'!$B$6:$B$1005,$W2724)=0),COUNTIFS('①在庫を貼る'!$V$6:$V$10005,$V2724,'①在庫を貼る'!$W$6:$W$10005,$W2724)&gt;0),N(U2723),N(U2723)+1))</f>
        <v/>
      </c>
      <c r="V2724" s="19">
        <f>IF($B2724="","",TEXT($B2724,"0000"))</f>
        <v/>
      </c>
      <c r="W2724" s="19">
        <f>IF($I2724="","",IF(ISNUMBER($I2724),TEXT($I2724,"0"),$I2724))</f>
        <v/>
      </c>
    </row>
    <row r="2725">
      <c r="B2725" s="25" t="n"/>
      <c r="I2725" s="25" t="n"/>
      <c r="U2725" s="19">
        <f>IF($V2725&lt;&gt;'設定'!$C$4,N(U2724),IF(OR(NOT(COUNTIF('商品マスタ'!$B$6:$B$1005,$W2725)=0),COUNTIFS('①在庫を貼る'!$V$6:$V$10005,$V2725,'①在庫を貼る'!$W$6:$W$10005,$W2725)&gt;0),N(U2724),N(U2724)+1))</f>
        <v/>
      </c>
      <c r="V2725" s="19">
        <f>IF($B2725="","",TEXT($B2725,"0000"))</f>
        <v/>
      </c>
      <c r="W2725" s="19">
        <f>IF($I2725="","",IF(ISNUMBER($I2725),TEXT($I2725,"0"),$I2725))</f>
        <v/>
      </c>
    </row>
    <row r="2726">
      <c r="B2726" s="25" t="n"/>
      <c r="I2726" s="25" t="n"/>
      <c r="U2726" s="19">
        <f>IF($V2726&lt;&gt;'設定'!$C$4,N(U2725),IF(OR(NOT(COUNTIF('商品マスタ'!$B$6:$B$1005,$W2726)=0),COUNTIFS('①在庫を貼る'!$V$6:$V$10005,$V2726,'①在庫を貼る'!$W$6:$W$10005,$W2726)&gt;0),N(U2725),N(U2725)+1))</f>
        <v/>
      </c>
      <c r="V2726" s="19">
        <f>IF($B2726="","",TEXT($B2726,"0000"))</f>
        <v/>
      </c>
      <c r="W2726" s="19">
        <f>IF($I2726="","",IF(ISNUMBER($I2726),TEXT($I2726,"0"),$I2726))</f>
        <v/>
      </c>
    </row>
    <row r="2727">
      <c r="B2727" s="25" t="n"/>
      <c r="I2727" s="25" t="n"/>
      <c r="U2727" s="19">
        <f>IF($V2727&lt;&gt;'設定'!$C$4,N(U2726),IF(OR(NOT(COUNTIF('商品マスタ'!$B$6:$B$1005,$W2727)=0),COUNTIFS('①在庫を貼る'!$V$6:$V$10005,$V2727,'①在庫を貼る'!$W$6:$W$10005,$W2727)&gt;0),N(U2726),N(U2726)+1))</f>
        <v/>
      </c>
      <c r="V2727" s="19">
        <f>IF($B2727="","",TEXT($B2727,"0000"))</f>
        <v/>
      </c>
      <c r="W2727" s="19">
        <f>IF($I2727="","",IF(ISNUMBER($I2727),TEXT($I2727,"0"),$I2727))</f>
        <v/>
      </c>
    </row>
    <row r="2728">
      <c r="B2728" s="25" t="n"/>
      <c r="I2728" s="25" t="n"/>
      <c r="U2728" s="19">
        <f>IF($V2728&lt;&gt;'設定'!$C$4,N(U2727),IF(OR(NOT(COUNTIF('商品マスタ'!$B$6:$B$1005,$W2728)=0),COUNTIFS('①在庫を貼る'!$V$6:$V$10005,$V2728,'①在庫を貼る'!$W$6:$W$10005,$W2728)&gt;0),N(U2727),N(U2727)+1))</f>
        <v/>
      </c>
      <c r="V2728" s="19">
        <f>IF($B2728="","",TEXT($B2728,"0000"))</f>
        <v/>
      </c>
      <c r="W2728" s="19">
        <f>IF($I2728="","",IF(ISNUMBER($I2728),TEXT($I2728,"0"),$I2728))</f>
        <v/>
      </c>
    </row>
    <row r="2729">
      <c r="B2729" s="25" t="n"/>
      <c r="I2729" s="25" t="n"/>
      <c r="U2729" s="19">
        <f>IF($V2729&lt;&gt;'設定'!$C$4,N(U2728),IF(OR(NOT(COUNTIF('商品マスタ'!$B$6:$B$1005,$W2729)=0),COUNTIFS('①在庫を貼る'!$V$6:$V$10005,$V2729,'①在庫を貼る'!$W$6:$W$10005,$W2729)&gt;0),N(U2728),N(U2728)+1))</f>
        <v/>
      </c>
      <c r="V2729" s="19">
        <f>IF($B2729="","",TEXT($B2729,"0000"))</f>
        <v/>
      </c>
      <c r="W2729" s="19">
        <f>IF($I2729="","",IF(ISNUMBER($I2729),TEXT($I2729,"0"),$I2729))</f>
        <v/>
      </c>
    </row>
    <row r="2730">
      <c r="B2730" s="25" t="n"/>
      <c r="I2730" s="25" t="n"/>
      <c r="U2730" s="19">
        <f>IF($V2730&lt;&gt;'設定'!$C$4,N(U2729),IF(OR(NOT(COUNTIF('商品マスタ'!$B$6:$B$1005,$W2730)=0),COUNTIFS('①在庫を貼る'!$V$6:$V$10005,$V2730,'①在庫を貼る'!$W$6:$W$10005,$W2730)&gt;0),N(U2729),N(U2729)+1))</f>
        <v/>
      </c>
      <c r="V2730" s="19">
        <f>IF($B2730="","",TEXT($B2730,"0000"))</f>
        <v/>
      </c>
      <c r="W2730" s="19">
        <f>IF($I2730="","",IF(ISNUMBER($I2730),TEXT($I2730,"0"),$I2730))</f>
        <v/>
      </c>
    </row>
    <row r="2731">
      <c r="B2731" s="25" t="n"/>
      <c r="I2731" s="25" t="n"/>
      <c r="U2731" s="19">
        <f>IF($V2731&lt;&gt;'設定'!$C$4,N(U2730),IF(OR(NOT(COUNTIF('商品マスタ'!$B$6:$B$1005,$W2731)=0),COUNTIFS('①在庫を貼る'!$V$6:$V$10005,$V2731,'①在庫を貼る'!$W$6:$W$10005,$W2731)&gt;0),N(U2730),N(U2730)+1))</f>
        <v/>
      </c>
      <c r="V2731" s="19">
        <f>IF($B2731="","",TEXT($B2731,"0000"))</f>
        <v/>
      </c>
      <c r="W2731" s="19">
        <f>IF($I2731="","",IF(ISNUMBER($I2731),TEXT($I2731,"0"),$I2731))</f>
        <v/>
      </c>
    </row>
    <row r="2732">
      <c r="B2732" s="25" t="n"/>
      <c r="I2732" s="25" t="n"/>
      <c r="U2732" s="19">
        <f>IF($V2732&lt;&gt;'設定'!$C$4,N(U2731),IF(OR(NOT(COUNTIF('商品マスタ'!$B$6:$B$1005,$W2732)=0),COUNTIFS('①在庫を貼る'!$V$6:$V$10005,$V2732,'①在庫を貼る'!$W$6:$W$10005,$W2732)&gt;0),N(U2731),N(U2731)+1))</f>
        <v/>
      </c>
      <c r="V2732" s="19">
        <f>IF($B2732="","",TEXT($B2732,"0000"))</f>
        <v/>
      </c>
      <c r="W2732" s="19">
        <f>IF($I2732="","",IF(ISNUMBER($I2732),TEXT($I2732,"0"),$I2732))</f>
        <v/>
      </c>
    </row>
    <row r="2733">
      <c r="B2733" s="25" t="n"/>
      <c r="I2733" s="25" t="n"/>
      <c r="U2733" s="19">
        <f>IF($V2733&lt;&gt;'設定'!$C$4,N(U2732),IF(OR(NOT(COUNTIF('商品マスタ'!$B$6:$B$1005,$W2733)=0),COUNTIFS('①在庫を貼る'!$V$6:$V$10005,$V2733,'①在庫を貼る'!$W$6:$W$10005,$W2733)&gt;0),N(U2732),N(U2732)+1))</f>
        <v/>
      </c>
      <c r="V2733" s="19">
        <f>IF($B2733="","",TEXT($B2733,"0000"))</f>
        <v/>
      </c>
      <c r="W2733" s="19">
        <f>IF($I2733="","",IF(ISNUMBER($I2733),TEXT($I2733,"0"),$I2733))</f>
        <v/>
      </c>
    </row>
    <row r="2734">
      <c r="B2734" s="25" t="n"/>
      <c r="I2734" s="25" t="n"/>
      <c r="U2734" s="19">
        <f>IF($V2734&lt;&gt;'設定'!$C$4,N(U2733),IF(OR(NOT(COUNTIF('商品マスタ'!$B$6:$B$1005,$W2734)=0),COUNTIFS('①在庫を貼る'!$V$6:$V$10005,$V2734,'①在庫を貼る'!$W$6:$W$10005,$W2734)&gt;0),N(U2733),N(U2733)+1))</f>
        <v/>
      </c>
      <c r="V2734" s="19">
        <f>IF($B2734="","",TEXT($B2734,"0000"))</f>
        <v/>
      </c>
      <c r="W2734" s="19">
        <f>IF($I2734="","",IF(ISNUMBER($I2734),TEXT($I2734,"0"),$I2734))</f>
        <v/>
      </c>
    </row>
    <row r="2735">
      <c r="B2735" s="25" t="n"/>
      <c r="I2735" s="25" t="n"/>
      <c r="U2735" s="19">
        <f>IF($V2735&lt;&gt;'設定'!$C$4,N(U2734),IF(OR(NOT(COUNTIF('商品マスタ'!$B$6:$B$1005,$W2735)=0),COUNTIFS('①在庫を貼る'!$V$6:$V$10005,$V2735,'①在庫を貼る'!$W$6:$W$10005,$W2735)&gt;0),N(U2734),N(U2734)+1))</f>
        <v/>
      </c>
      <c r="V2735" s="19">
        <f>IF($B2735="","",TEXT($B2735,"0000"))</f>
        <v/>
      </c>
      <c r="W2735" s="19">
        <f>IF($I2735="","",IF(ISNUMBER($I2735),TEXT($I2735,"0"),$I2735))</f>
        <v/>
      </c>
    </row>
    <row r="2736">
      <c r="B2736" s="25" t="n"/>
      <c r="I2736" s="25" t="n"/>
      <c r="U2736" s="19">
        <f>IF($V2736&lt;&gt;'設定'!$C$4,N(U2735),IF(OR(NOT(COUNTIF('商品マスタ'!$B$6:$B$1005,$W2736)=0),COUNTIFS('①在庫を貼る'!$V$6:$V$10005,$V2736,'①在庫を貼る'!$W$6:$W$10005,$W2736)&gt;0),N(U2735),N(U2735)+1))</f>
        <v/>
      </c>
      <c r="V2736" s="19">
        <f>IF($B2736="","",TEXT($B2736,"0000"))</f>
        <v/>
      </c>
      <c r="W2736" s="19">
        <f>IF($I2736="","",IF(ISNUMBER($I2736),TEXT($I2736,"0"),$I2736))</f>
        <v/>
      </c>
    </row>
    <row r="2737">
      <c r="B2737" s="25" t="n"/>
      <c r="I2737" s="25" t="n"/>
      <c r="U2737" s="19">
        <f>IF($V2737&lt;&gt;'設定'!$C$4,N(U2736),IF(OR(NOT(COUNTIF('商品マスタ'!$B$6:$B$1005,$W2737)=0),COUNTIFS('①在庫を貼る'!$V$6:$V$10005,$V2737,'①在庫を貼る'!$W$6:$W$10005,$W2737)&gt;0),N(U2736),N(U2736)+1))</f>
        <v/>
      </c>
      <c r="V2737" s="19">
        <f>IF($B2737="","",TEXT($B2737,"0000"))</f>
        <v/>
      </c>
      <c r="W2737" s="19">
        <f>IF($I2737="","",IF(ISNUMBER($I2737),TEXT($I2737,"0"),$I2737))</f>
        <v/>
      </c>
    </row>
    <row r="2738">
      <c r="B2738" s="25" t="n"/>
      <c r="I2738" s="25" t="n"/>
      <c r="U2738" s="19">
        <f>IF($V2738&lt;&gt;'設定'!$C$4,N(U2737),IF(OR(NOT(COUNTIF('商品マスタ'!$B$6:$B$1005,$W2738)=0),COUNTIFS('①在庫を貼る'!$V$6:$V$10005,$V2738,'①在庫を貼る'!$W$6:$W$10005,$W2738)&gt;0),N(U2737),N(U2737)+1))</f>
        <v/>
      </c>
      <c r="V2738" s="19">
        <f>IF($B2738="","",TEXT($B2738,"0000"))</f>
        <v/>
      </c>
      <c r="W2738" s="19">
        <f>IF($I2738="","",IF(ISNUMBER($I2738),TEXT($I2738,"0"),$I2738))</f>
        <v/>
      </c>
    </row>
    <row r="2739">
      <c r="B2739" s="25" t="n"/>
      <c r="I2739" s="25" t="n"/>
      <c r="U2739" s="19">
        <f>IF($V2739&lt;&gt;'設定'!$C$4,N(U2738),IF(OR(NOT(COUNTIF('商品マスタ'!$B$6:$B$1005,$W2739)=0),COUNTIFS('①在庫を貼る'!$V$6:$V$10005,$V2739,'①在庫を貼る'!$W$6:$W$10005,$W2739)&gt;0),N(U2738),N(U2738)+1))</f>
        <v/>
      </c>
      <c r="V2739" s="19">
        <f>IF($B2739="","",TEXT($B2739,"0000"))</f>
        <v/>
      </c>
      <c r="W2739" s="19">
        <f>IF($I2739="","",IF(ISNUMBER($I2739),TEXT($I2739,"0"),$I2739))</f>
        <v/>
      </c>
    </row>
    <row r="2740">
      <c r="B2740" s="25" t="n"/>
      <c r="I2740" s="25" t="n"/>
      <c r="U2740" s="19">
        <f>IF($V2740&lt;&gt;'設定'!$C$4,N(U2739),IF(OR(NOT(COUNTIF('商品マスタ'!$B$6:$B$1005,$W2740)=0),COUNTIFS('①在庫を貼る'!$V$6:$V$10005,$V2740,'①在庫を貼る'!$W$6:$W$10005,$W2740)&gt;0),N(U2739),N(U2739)+1))</f>
        <v/>
      </c>
      <c r="V2740" s="19">
        <f>IF($B2740="","",TEXT($B2740,"0000"))</f>
        <v/>
      </c>
      <c r="W2740" s="19">
        <f>IF($I2740="","",IF(ISNUMBER($I2740),TEXT($I2740,"0"),$I2740))</f>
        <v/>
      </c>
    </row>
    <row r="2741">
      <c r="B2741" s="25" t="n"/>
      <c r="I2741" s="25" t="n"/>
      <c r="U2741" s="19">
        <f>IF($V2741&lt;&gt;'設定'!$C$4,N(U2740),IF(OR(NOT(COUNTIF('商品マスタ'!$B$6:$B$1005,$W2741)=0),COUNTIFS('①在庫を貼る'!$V$6:$V$10005,$V2741,'①在庫を貼る'!$W$6:$W$10005,$W2741)&gt;0),N(U2740),N(U2740)+1))</f>
        <v/>
      </c>
      <c r="V2741" s="19">
        <f>IF($B2741="","",TEXT($B2741,"0000"))</f>
        <v/>
      </c>
      <c r="W2741" s="19">
        <f>IF($I2741="","",IF(ISNUMBER($I2741),TEXT($I2741,"0"),$I2741))</f>
        <v/>
      </c>
    </row>
    <row r="2742">
      <c r="B2742" s="25" t="n"/>
      <c r="I2742" s="25" t="n"/>
      <c r="U2742" s="19">
        <f>IF($V2742&lt;&gt;'設定'!$C$4,N(U2741),IF(OR(NOT(COUNTIF('商品マスタ'!$B$6:$B$1005,$W2742)=0),COUNTIFS('①在庫を貼る'!$V$6:$V$10005,$V2742,'①在庫を貼る'!$W$6:$W$10005,$W2742)&gt;0),N(U2741),N(U2741)+1))</f>
        <v/>
      </c>
      <c r="V2742" s="19">
        <f>IF($B2742="","",TEXT($B2742,"0000"))</f>
        <v/>
      </c>
      <c r="W2742" s="19">
        <f>IF($I2742="","",IF(ISNUMBER($I2742),TEXT($I2742,"0"),$I2742))</f>
        <v/>
      </c>
    </row>
    <row r="2743">
      <c r="B2743" s="25" t="n"/>
      <c r="I2743" s="25" t="n"/>
      <c r="U2743" s="19">
        <f>IF($V2743&lt;&gt;'設定'!$C$4,N(U2742),IF(OR(NOT(COUNTIF('商品マスタ'!$B$6:$B$1005,$W2743)=0),COUNTIFS('①在庫を貼る'!$V$6:$V$10005,$V2743,'①在庫を貼る'!$W$6:$W$10005,$W2743)&gt;0),N(U2742),N(U2742)+1))</f>
        <v/>
      </c>
      <c r="V2743" s="19">
        <f>IF($B2743="","",TEXT($B2743,"0000"))</f>
        <v/>
      </c>
      <c r="W2743" s="19">
        <f>IF($I2743="","",IF(ISNUMBER($I2743),TEXT($I2743,"0"),$I2743))</f>
        <v/>
      </c>
    </row>
    <row r="2744">
      <c r="B2744" s="25" t="n"/>
      <c r="I2744" s="25" t="n"/>
      <c r="U2744" s="19">
        <f>IF($V2744&lt;&gt;'設定'!$C$4,N(U2743),IF(OR(NOT(COUNTIF('商品マスタ'!$B$6:$B$1005,$W2744)=0),COUNTIFS('①在庫を貼る'!$V$6:$V$10005,$V2744,'①在庫を貼る'!$W$6:$W$10005,$W2744)&gt;0),N(U2743),N(U2743)+1))</f>
        <v/>
      </c>
      <c r="V2744" s="19">
        <f>IF($B2744="","",TEXT($B2744,"0000"))</f>
        <v/>
      </c>
      <c r="W2744" s="19">
        <f>IF($I2744="","",IF(ISNUMBER($I2744),TEXT($I2744,"0"),$I2744))</f>
        <v/>
      </c>
    </row>
    <row r="2745">
      <c r="B2745" s="25" t="n"/>
      <c r="I2745" s="25" t="n"/>
      <c r="U2745" s="19">
        <f>IF($V2745&lt;&gt;'設定'!$C$4,N(U2744),IF(OR(NOT(COUNTIF('商品マスタ'!$B$6:$B$1005,$W2745)=0),COUNTIFS('①在庫を貼る'!$V$6:$V$10005,$V2745,'①在庫を貼る'!$W$6:$W$10005,$W2745)&gt;0),N(U2744),N(U2744)+1))</f>
        <v/>
      </c>
      <c r="V2745" s="19">
        <f>IF($B2745="","",TEXT($B2745,"0000"))</f>
        <v/>
      </c>
      <c r="W2745" s="19">
        <f>IF($I2745="","",IF(ISNUMBER($I2745),TEXT($I2745,"0"),$I2745))</f>
        <v/>
      </c>
    </row>
    <row r="2746">
      <c r="B2746" s="25" t="n"/>
      <c r="I2746" s="25" t="n"/>
      <c r="U2746" s="19">
        <f>IF($V2746&lt;&gt;'設定'!$C$4,N(U2745),IF(OR(NOT(COUNTIF('商品マスタ'!$B$6:$B$1005,$W2746)=0),COUNTIFS('①在庫を貼る'!$V$6:$V$10005,$V2746,'①在庫を貼る'!$W$6:$W$10005,$W2746)&gt;0),N(U2745),N(U2745)+1))</f>
        <v/>
      </c>
      <c r="V2746" s="19">
        <f>IF($B2746="","",TEXT($B2746,"0000"))</f>
        <v/>
      </c>
      <c r="W2746" s="19">
        <f>IF($I2746="","",IF(ISNUMBER($I2746),TEXT($I2746,"0"),$I2746))</f>
        <v/>
      </c>
    </row>
    <row r="2747">
      <c r="B2747" s="25" t="n"/>
      <c r="I2747" s="25" t="n"/>
      <c r="U2747" s="19">
        <f>IF($V2747&lt;&gt;'設定'!$C$4,N(U2746),IF(OR(NOT(COUNTIF('商品マスタ'!$B$6:$B$1005,$W2747)=0),COUNTIFS('①在庫を貼る'!$V$6:$V$10005,$V2747,'①在庫を貼る'!$W$6:$W$10005,$W2747)&gt;0),N(U2746),N(U2746)+1))</f>
        <v/>
      </c>
      <c r="V2747" s="19">
        <f>IF($B2747="","",TEXT($B2747,"0000"))</f>
        <v/>
      </c>
      <c r="W2747" s="19">
        <f>IF($I2747="","",IF(ISNUMBER($I2747),TEXT($I2747,"0"),$I2747))</f>
        <v/>
      </c>
    </row>
    <row r="2748">
      <c r="B2748" s="25" t="n"/>
      <c r="I2748" s="25" t="n"/>
      <c r="U2748" s="19">
        <f>IF($V2748&lt;&gt;'設定'!$C$4,N(U2747),IF(OR(NOT(COUNTIF('商品マスタ'!$B$6:$B$1005,$W2748)=0),COUNTIFS('①在庫を貼る'!$V$6:$V$10005,$V2748,'①在庫を貼る'!$W$6:$W$10005,$W2748)&gt;0),N(U2747),N(U2747)+1))</f>
        <v/>
      </c>
      <c r="V2748" s="19">
        <f>IF($B2748="","",TEXT($B2748,"0000"))</f>
        <v/>
      </c>
      <c r="W2748" s="19">
        <f>IF($I2748="","",IF(ISNUMBER($I2748),TEXT($I2748,"0"),$I2748))</f>
        <v/>
      </c>
    </row>
    <row r="2749">
      <c r="B2749" s="25" t="n"/>
      <c r="I2749" s="25" t="n"/>
      <c r="U2749" s="19">
        <f>IF($V2749&lt;&gt;'設定'!$C$4,N(U2748),IF(OR(NOT(COUNTIF('商品マスタ'!$B$6:$B$1005,$W2749)=0),COUNTIFS('①在庫を貼る'!$V$6:$V$10005,$V2749,'①在庫を貼る'!$W$6:$W$10005,$W2749)&gt;0),N(U2748),N(U2748)+1))</f>
        <v/>
      </c>
      <c r="V2749" s="19">
        <f>IF($B2749="","",TEXT($B2749,"0000"))</f>
        <v/>
      </c>
      <c r="W2749" s="19">
        <f>IF($I2749="","",IF(ISNUMBER($I2749),TEXT($I2749,"0"),$I2749))</f>
        <v/>
      </c>
    </row>
    <row r="2750">
      <c r="B2750" s="25" t="n"/>
      <c r="I2750" s="25" t="n"/>
      <c r="U2750" s="19">
        <f>IF($V2750&lt;&gt;'設定'!$C$4,N(U2749),IF(OR(NOT(COUNTIF('商品マスタ'!$B$6:$B$1005,$W2750)=0),COUNTIFS('①在庫を貼る'!$V$6:$V$10005,$V2750,'①在庫を貼る'!$W$6:$W$10005,$W2750)&gt;0),N(U2749),N(U2749)+1))</f>
        <v/>
      </c>
      <c r="V2750" s="19">
        <f>IF($B2750="","",TEXT($B2750,"0000"))</f>
        <v/>
      </c>
      <c r="W2750" s="19">
        <f>IF($I2750="","",IF(ISNUMBER($I2750),TEXT($I2750,"0"),$I2750))</f>
        <v/>
      </c>
    </row>
    <row r="2751">
      <c r="B2751" s="25" t="n"/>
      <c r="I2751" s="25" t="n"/>
      <c r="U2751" s="19">
        <f>IF($V2751&lt;&gt;'設定'!$C$4,N(U2750),IF(OR(NOT(COUNTIF('商品マスタ'!$B$6:$B$1005,$W2751)=0),COUNTIFS('①在庫を貼る'!$V$6:$V$10005,$V2751,'①在庫を貼る'!$W$6:$W$10005,$W2751)&gt;0),N(U2750),N(U2750)+1))</f>
        <v/>
      </c>
      <c r="V2751" s="19">
        <f>IF($B2751="","",TEXT($B2751,"0000"))</f>
        <v/>
      </c>
      <c r="W2751" s="19">
        <f>IF($I2751="","",IF(ISNUMBER($I2751),TEXT($I2751,"0"),$I2751))</f>
        <v/>
      </c>
    </row>
    <row r="2752">
      <c r="B2752" s="25" t="n"/>
      <c r="I2752" s="25" t="n"/>
      <c r="U2752" s="19">
        <f>IF($V2752&lt;&gt;'設定'!$C$4,N(U2751),IF(OR(NOT(COUNTIF('商品マスタ'!$B$6:$B$1005,$W2752)=0),COUNTIFS('①在庫を貼る'!$V$6:$V$10005,$V2752,'①在庫を貼る'!$W$6:$W$10005,$W2752)&gt;0),N(U2751),N(U2751)+1))</f>
        <v/>
      </c>
      <c r="V2752" s="19">
        <f>IF($B2752="","",TEXT($B2752,"0000"))</f>
        <v/>
      </c>
      <c r="W2752" s="19">
        <f>IF($I2752="","",IF(ISNUMBER($I2752),TEXT($I2752,"0"),$I2752))</f>
        <v/>
      </c>
    </row>
    <row r="2753">
      <c r="B2753" s="25" t="n"/>
      <c r="I2753" s="25" t="n"/>
      <c r="U2753" s="19">
        <f>IF($V2753&lt;&gt;'設定'!$C$4,N(U2752),IF(OR(NOT(COUNTIF('商品マスタ'!$B$6:$B$1005,$W2753)=0),COUNTIFS('①在庫を貼る'!$V$6:$V$10005,$V2753,'①在庫を貼る'!$W$6:$W$10005,$W2753)&gt;0),N(U2752),N(U2752)+1))</f>
        <v/>
      </c>
      <c r="V2753" s="19">
        <f>IF($B2753="","",TEXT($B2753,"0000"))</f>
        <v/>
      </c>
      <c r="W2753" s="19">
        <f>IF($I2753="","",IF(ISNUMBER($I2753),TEXT($I2753,"0"),$I2753))</f>
        <v/>
      </c>
    </row>
    <row r="2754">
      <c r="B2754" s="25" t="n"/>
      <c r="I2754" s="25" t="n"/>
      <c r="U2754" s="19">
        <f>IF($V2754&lt;&gt;'設定'!$C$4,N(U2753),IF(OR(NOT(COUNTIF('商品マスタ'!$B$6:$B$1005,$W2754)=0),COUNTIFS('①在庫を貼る'!$V$6:$V$10005,$V2754,'①在庫を貼る'!$W$6:$W$10005,$W2754)&gt;0),N(U2753),N(U2753)+1))</f>
        <v/>
      </c>
      <c r="V2754" s="19">
        <f>IF($B2754="","",TEXT($B2754,"0000"))</f>
        <v/>
      </c>
      <c r="W2754" s="19">
        <f>IF($I2754="","",IF(ISNUMBER($I2754),TEXT($I2754,"0"),$I2754))</f>
        <v/>
      </c>
    </row>
    <row r="2755">
      <c r="B2755" s="25" t="n"/>
      <c r="I2755" s="25" t="n"/>
      <c r="U2755" s="19">
        <f>IF($V2755&lt;&gt;'設定'!$C$4,N(U2754),IF(OR(NOT(COUNTIF('商品マスタ'!$B$6:$B$1005,$W2755)=0),COUNTIFS('①在庫を貼る'!$V$6:$V$10005,$V2755,'①在庫を貼る'!$W$6:$W$10005,$W2755)&gt;0),N(U2754),N(U2754)+1))</f>
        <v/>
      </c>
      <c r="V2755" s="19">
        <f>IF($B2755="","",TEXT($B2755,"0000"))</f>
        <v/>
      </c>
      <c r="W2755" s="19">
        <f>IF($I2755="","",IF(ISNUMBER($I2755),TEXT($I2755,"0"),$I2755))</f>
        <v/>
      </c>
    </row>
    <row r="2756">
      <c r="B2756" s="25" t="n"/>
      <c r="I2756" s="25" t="n"/>
      <c r="U2756" s="19">
        <f>IF($V2756&lt;&gt;'設定'!$C$4,N(U2755),IF(OR(NOT(COUNTIF('商品マスタ'!$B$6:$B$1005,$W2756)=0),COUNTIFS('①在庫を貼る'!$V$6:$V$10005,$V2756,'①在庫を貼る'!$W$6:$W$10005,$W2756)&gt;0),N(U2755),N(U2755)+1))</f>
        <v/>
      </c>
      <c r="V2756" s="19">
        <f>IF($B2756="","",TEXT($B2756,"0000"))</f>
        <v/>
      </c>
      <c r="W2756" s="19">
        <f>IF($I2756="","",IF(ISNUMBER($I2756),TEXT($I2756,"0"),$I2756))</f>
        <v/>
      </c>
    </row>
    <row r="2757">
      <c r="B2757" s="25" t="n"/>
      <c r="I2757" s="25" t="n"/>
      <c r="U2757" s="19">
        <f>IF($V2757&lt;&gt;'設定'!$C$4,N(U2756),IF(OR(NOT(COUNTIF('商品マスタ'!$B$6:$B$1005,$W2757)=0),COUNTIFS('①在庫を貼る'!$V$6:$V$10005,$V2757,'①在庫を貼る'!$W$6:$W$10005,$W2757)&gt;0),N(U2756),N(U2756)+1))</f>
        <v/>
      </c>
      <c r="V2757" s="19">
        <f>IF($B2757="","",TEXT($B2757,"0000"))</f>
        <v/>
      </c>
      <c r="W2757" s="19">
        <f>IF($I2757="","",IF(ISNUMBER($I2757),TEXT($I2757,"0"),$I2757))</f>
        <v/>
      </c>
    </row>
    <row r="2758">
      <c r="B2758" s="25" t="n"/>
      <c r="I2758" s="25" t="n"/>
      <c r="U2758" s="19">
        <f>IF($V2758&lt;&gt;'設定'!$C$4,N(U2757),IF(OR(NOT(COUNTIF('商品マスタ'!$B$6:$B$1005,$W2758)=0),COUNTIFS('①在庫を貼る'!$V$6:$V$10005,$V2758,'①在庫を貼る'!$W$6:$W$10005,$W2758)&gt;0),N(U2757),N(U2757)+1))</f>
        <v/>
      </c>
      <c r="V2758" s="19">
        <f>IF($B2758="","",TEXT($B2758,"0000"))</f>
        <v/>
      </c>
      <c r="W2758" s="19">
        <f>IF($I2758="","",IF(ISNUMBER($I2758),TEXT($I2758,"0"),$I2758))</f>
        <v/>
      </c>
    </row>
    <row r="2759">
      <c r="B2759" s="25" t="n"/>
      <c r="I2759" s="25" t="n"/>
      <c r="U2759" s="19">
        <f>IF($V2759&lt;&gt;'設定'!$C$4,N(U2758),IF(OR(NOT(COUNTIF('商品マスタ'!$B$6:$B$1005,$W2759)=0),COUNTIFS('①在庫を貼る'!$V$6:$V$10005,$V2759,'①在庫を貼る'!$W$6:$W$10005,$W2759)&gt;0),N(U2758),N(U2758)+1))</f>
        <v/>
      </c>
      <c r="V2759" s="19">
        <f>IF($B2759="","",TEXT($B2759,"0000"))</f>
        <v/>
      </c>
      <c r="W2759" s="19">
        <f>IF($I2759="","",IF(ISNUMBER($I2759),TEXT($I2759,"0"),$I2759))</f>
        <v/>
      </c>
    </row>
    <row r="2760">
      <c r="B2760" s="25" t="n"/>
      <c r="I2760" s="25" t="n"/>
      <c r="U2760" s="19">
        <f>IF($V2760&lt;&gt;'設定'!$C$4,N(U2759),IF(OR(NOT(COUNTIF('商品マスタ'!$B$6:$B$1005,$W2760)=0),COUNTIFS('①在庫を貼る'!$V$6:$V$10005,$V2760,'①在庫を貼る'!$W$6:$W$10005,$W2760)&gt;0),N(U2759),N(U2759)+1))</f>
        <v/>
      </c>
      <c r="V2760" s="19">
        <f>IF($B2760="","",TEXT($B2760,"0000"))</f>
        <v/>
      </c>
      <c r="W2760" s="19">
        <f>IF($I2760="","",IF(ISNUMBER($I2760),TEXT($I2760,"0"),$I2760))</f>
        <v/>
      </c>
    </row>
    <row r="2761">
      <c r="B2761" s="25" t="n"/>
      <c r="I2761" s="25" t="n"/>
      <c r="U2761" s="19">
        <f>IF($V2761&lt;&gt;'設定'!$C$4,N(U2760),IF(OR(NOT(COUNTIF('商品マスタ'!$B$6:$B$1005,$W2761)=0),COUNTIFS('①在庫を貼る'!$V$6:$V$10005,$V2761,'①在庫を貼る'!$W$6:$W$10005,$W2761)&gt;0),N(U2760),N(U2760)+1))</f>
        <v/>
      </c>
      <c r="V2761" s="19">
        <f>IF($B2761="","",TEXT($B2761,"0000"))</f>
        <v/>
      </c>
      <c r="W2761" s="19">
        <f>IF($I2761="","",IF(ISNUMBER($I2761),TEXT($I2761,"0"),$I2761))</f>
        <v/>
      </c>
    </row>
    <row r="2762">
      <c r="B2762" s="25" t="n"/>
      <c r="I2762" s="25" t="n"/>
      <c r="U2762" s="19">
        <f>IF($V2762&lt;&gt;'設定'!$C$4,N(U2761),IF(OR(NOT(COUNTIF('商品マスタ'!$B$6:$B$1005,$W2762)=0),COUNTIFS('①在庫を貼る'!$V$6:$V$10005,$V2762,'①在庫を貼る'!$W$6:$W$10005,$W2762)&gt;0),N(U2761),N(U2761)+1))</f>
        <v/>
      </c>
      <c r="V2762" s="19">
        <f>IF($B2762="","",TEXT($B2762,"0000"))</f>
        <v/>
      </c>
      <c r="W2762" s="19">
        <f>IF($I2762="","",IF(ISNUMBER($I2762),TEXT($I2762,"0"),$I2762))</f>
        <v/>
      </c>
    </row>
    <row r="2763">
      <c r="B2763" s="25" t="n"/>
      <c r="I2763" s="25" t="n"/>
      <c r="U2763" s="19">
        <f>IF($V2763&lt;&gt;'設定'!$C$4,N(U2762),IF(OR(NOT(COUNTIF('商品マスタ'!$B$6:$B$1005,$W2763)=0),COUNTIFS('①在庫を貼る'!$V$6:$V$10005,$V2763,'①在庫を貼る'!$W$6:$W$10005,$W2763)&gt;0),N(U2762),N(U2762)+1))</f>
        <v/>
      </c>
      <c r="V2763" s="19">
        <f>IF($B2763="","",TEXT($B2763,"0000"))</f>
        <v/>
      </c>
      <c r="W2763" s="19">
        <f>IF($I2763="","",IF(ISNUMBER($I2763),TEXT($I2763,"0"),$I2763))</f>
        <v/>
      </c>
    </row>
    <row r="2764">
      <c r="B2764" s="25" t="n"/>
      <c r="I2764" s="25" t="n"/>
      <c r="U2764" s="19">
        <f>IF($V2764&lt;&gt;'設定'!$C$4,N(U2763),IF(OR(NOT(COUNTIF('商品マスタ'!$B$6:$B$1005,$W2764)=0),COUNTIFS('①在庫を貼る'!$V$6:$V$10005,$V2764,'①在庫を貼る'!$W$6:$W$10005,$W2764)&gt;0),N(U2763),N(U2763)+1))</f>
        <v/>
      </c>
      <c r="V2764" s="19">
        <f>IF($B2764="","",TEXT($B2764,"0000"))</f>
        <v/>
      </c>
      <c r="W2764" s="19">
        <f>IF($I2764="","",IF(ISNUMBER($I2764),TEXT($I2764,"0"),$I2764))</f>
        <v/>
      </c>
    </row>
    <row r="2765">
      <c r="B2765" s="25" t="n"/>
      <c r="I2765" s="25" t="n"/>
      <c r="U2765" s="19">
        <f>IF($V2765&lt;&gt;'設定'!$C$4,N(U2764),IF(OR(NOT(COUNTIF('商品マスタ'!$B$6:$B$1005,$W2765)=0),COUNTIFS('①在庫を貼る'!$V$6:$V$10005,$V2765,'①在庫を貼る'!$W$6:$W$10005,$W2765)&gt;0),N(U2764),N(U2764)+1))</f>
        <v/>
      </c>
      <c r="V2765" s="19">
        <f>IF($B2765="","",TEXT($B2765,"0000"))</f>
        <v/>
      </c>
      <c r="W2765" s="19">
        <f>IF($I2765="","",IF(ISNUMBER($I2765),TEXT($I2765,"0"),$I2765))</f>
        <v/>
      </c>
    </row>
    <row r="2766">
      <c r="B2766" s="25" t="n"/>
      <c r="I2766" s="25" t="n"/>
      <c r="U2766" s="19">
        <f>IF($V2766&lt;&gt;'設定'!$C$4,N(U2765),IF(OR(NOT(COUNTIF('商品マスタ'!$B$6:$B$1005,$W2766)=0),COUNTIFS('①在庫を貼る'!$V$6:$V$10005,$V2766,'①在庫を貼る'!$W$6:$W$10005,$W2766)&gt;0),N(U2765),N(U2765)+1))</f>
        <v/>
      </c>
      <c r="V2766" s="19">
        <f>IF($B2766="","",TEXT($B2766,"0000"))</f>
        <v/>
      </c>
      <c r="W2766" s="19">
        <f>IF($I2766="","",IF(ISNUMBER($I2766),TEXT($I2766,"0"),$I2766))</f>
        <v/>
      </c>
    </row>
    <row r="2767">
      <c r="B2767" s="25" t="n"/>
      <c r="I2767" s="25" t="n"/>
      <c r="U2767" s="19">
        <f>IF($V2767&lt;&gt;'設定'!$C$4,N(U2766),IF(OR(NOT(COUNTIF('商品マスタ'!$B$6:$B$1005,$W2767)=0),COUNTIFS('①在庫を貼る'!$V$6:$V$10005,$V2767,'①在庫を貼る'!$W$6:$W$10005,$W2767)&gt;0),N(U2766),N(U2766)+1))</f>
        <v/>
      </c>
      <c r="V2767" s="19">
        <f>IF($B2767="","",TEXT($B2767,"0000"))</f>
        <v/>
      </c>
      <c r="W2767" s="19">
        <f>IF($I2767="","",IF(ISNUMBER($I2767),TEXT($I2767,"0"),$I2767))</f>
        <v/>
      </c>
    </row>
    <row r="2768">
      <c r="B2768" s="25" t="n"/>
      <c r="I2768" s="25" t="n"/>
      <c r="U2768" s="19">
        <f>IF($V2768&lt;&gt;'設定'!$C$4,N(U2767),IF(OR(NOT(COUNTIF('商品マスタ'!$B$6:$B$1005,$W2768)=0),COUNTIFS('①在庫を貼る'!$V$6:$V$10005,$V2768,'①在庫を貼る'!$W$6:$W$10005,$W2768)&gt;0),N(U2767),N(U2767)+1))</f>
        <v/>
      </c>
      <c r="V2768" s="19">
        <f>IF($B2768="","",TEXT($B2768,"0000"))</f>
        <v/>
      </c>
      <c r="W2768" s="19">
        <f>IF($I2768="","",IF(ISNUMBER($I2768),TEXT($I2768,"0"),$I2768))</f>
        <v/>
      </c>
    </row>
    <row r="2769">
      <c r="B2769" s="25" t="n"/>
      <c r="I2769" s="25" t="n"/>
      <c r="U2769" s="19">
        <f>IF($V2769&lt;&gt;'設定'!$C$4,N(U2768),IF(OR(NOT(COUNTIF('商品マスタ'!$B$6:$B$1005,$W2769)=0),COUNTIFS('①在庫を貼る'!$V$6:$V$10005,$V2769,'①在庫を貼る'!$W$6:$W$10005,$W2769)&gt;0),N(U2768),N(U2768)+1))</f>
        <v/>
      </c>
      <c r="V2769" s="19">
        <f>IF($B2769="","",TEXT($B2769,"0000"))</f>
        <v/>
      </c>
      <c r="W2769" s="19">
        <f>IF($I2769="","",IF(ISNUMBER($I2769),TEXT($I2769,"0"),$I2769))</f>
        <v/>
      </c>
    </row>
    <row r="2770">
      <c r="B2770" s="25" t="n"/>
      <c r="I2770" s="25" t="n"/>
      <c r="U2770" s="19">
        <f>IF($V2770&lt;&gt;'設定'!$C$4,N(U2769),IF(OR(NOT(COUNTIF('商品マスタ'!$B$6:$B$1005,$W2770)=0),COUNTIFS('①在庫を貼る'!$V$6:$V$10005,$V2770,'①在庫を貼る'!$W$6:$W$10005,$W2770)&gt;0),N(U2769),N(U2769)+1))</f>
        <v/>
      </c>
      <c r="V2770" s="19">
        <f>IF($B2770="","",TEXT($B2770,"0000"))</f>
        <v/>
      </c>
      <c r="W2770" s="19">
        <f>IF($I2770="","",IF(ISNUMBER($I2770),TEXT($I2770,"0"),$I2770))</f>
        <v/>
      </c>
    </row>
    <row r="2771">
      <c r="B2771" s="25" t="n"/>
      <c r="I2771" s="25" t="n"/>
      <c r="U2771" s="19">
        <f>IF($V2771&lt;&gt;'設定'!$C$4,N(U2770),IF(OR(NOT(COUNTIF('商品マスタ'!$B$6:$B$1005,$W2771)=0),COUNTIFS('①在庫を貼る'!$V$6:$V$10005,$V2771,'①在庫を貼る'!$W$6:$W$10005,$W2771)&gt;0),N(U2770),N(U2770)+1))</f>
        <v/>
      </c>
      <c r="V2771" s="19">
        <f>IF($B2771="","",TEXT($B2771,"0000"))</f>
        <v/>
      </c>
      <c r="W2771" s="19">
        <f>IF($I2771="","",IF(ISNUMBER($I2771),TEXT($I2771,"0"),$I2771))</f>
        <v/>
      </c>
    </row>
    <row r="2772">
      <c r="B2772" s="25" t="n"/>
      <c r="I2772" s="25" t="n"/>
      <c r="U2772" s="19">
        <f>IF($V2772&lt;&gt;'設定'!$C$4,N(U2771),IF(OR(NOT(COUNTIF('商品マスタ'!$B$6:$B$1005,$W2772)=0),COUNTIFS('①在庫を貼る'!$V$6:$V$10005,$V2772,'①在庫を貼る'!$W$6:$W$10005,$W2772)&gt;0),N(U2771),N(U2771)+1))</f>
        <v/>
      </c>
      <c r="V2772" s="19">
        <f>IF($B2772="","",TEXT($B2772,"0000"))</f>
        <v/>
      </c>
      <c r="W2772" s="19">
        <f>IF($I2772="","",IF(ISNUMBER($I2772),TEXT($I2772,"0"),$I2772))</f>
        <v/>
      </c>
    </row>
    <row r="2773">
      <c r="B2773" s="25" t="n"/>
      <c r="I2773" s="25" t="n"/>
      <c r="U2773" s="19">
        <f>IF($V2773&lt;&gt;'設定'!$C$4,N(U2772),IF(OR(NOT(COUNTIF('商品マスタ'!$B$6:$B$1005,$W2773)=0),COUNTIFS('①在庫を貼る'!$V$6:$V$10005,$V2773,'①在庫を貼る'!$W$6:$W$10005,$W2773)&gt;0),N(U2772),N(U2772)+1))</f>
        <v/>
      </c>
      <c r="V2773" s="19">
        <f>IF($B2773="","",TEXT($B2773,"0000"))</f>
        <v/>
      </c>
      <c r="W2773" s="19">
        <f>IF($I2773="","",IF(ISNUMBER($I2773),TEXT($I2773,"0"),$I2773))</f>
        <v/>
      </c>
    </row>
    <row r="2774">
      <c r="B2774" s="25" t="n"/>
      <c r="I2774" s="25" t="n"/>
      <c r="U2774" s="19">
        <f>IF($V2774&lt;&gt;'設定'!$C$4,N(U2773),IF(OR(NOT(COUNTIF('商品マスタ'!$B$6:$B$1005,$W2774)=0),COUNTIFS('①在庫を貼る'!$V$6:$V$10005,$V2774,'①在庫を貼る'!$W$6:$W$10005,$W2774)&gt;0),N(U2773),N(U2773)+1))</f>
        <v/>
      </c>
      <c r="V2774" s="19">
        <f>IF($B2774="","",TEXT($B2774,"0000"))</f>
        <v/>
      </c>
      <c r="W2774" s="19">
        <f>IF($I2774="","",IF(ISNUMBER($I2774),TEXT($I2774,"0"),$I2774))</f>
        <v/>
      </c>
    </row>
    <row r="2775">
      <c r="B2775" s="25" t="n"/>
      <c r="I2775" s="25" t="n"/>
      <c r="U2775" s="19">
        <f>IF($V2775&lt;&gt;'設定'!$C$4,N(U2774),IF(OR(NOT(COUNTIF('商品マスタ'!$B$6:$B$1005,$W2775)=0),COUNTIFS('①在庫を貼る'!$V$6:$V$10005,$V2775,'①在庫を貼る'!$W$6:$W$10005,$W2775)&gt;0),N(U2774),N(U2774)+1))</f>
        <v/>
      </c>
      <c r="V2775" s="19">
        <f>IF($B2775="","",TEXT($B2775,"0000"))</f>
        <v/>
      </c>
      <c r="W2775" s="19">
        <f>IF($I2775="","",IF(ISNUMBER($I2775),TEXT($I2775,"0"),$I2775))</f>
        <v/>
      </c>
    </row>
    <row r="2776">
      <c r="B2776" s="25" t="n"/>
      <c r="I2776" s="25" t="n"/>
      <c r="U2776" s="19">
        <f>IF($V2776&lt;&gt;'設定'!$C$4,N(U2775),IF(OR(NOT(COUNTIF('商品マスタ'!$B$6:$B$1005,$W2776)=0),COUNTIFS('①在庫を貼る'!$V$6:$V$10005,$V2776,'①在庫を貼る'!$W$6:$W$10005,$W2776)&gt;0),N(U2775),N(U2775)+1))</f>
        <v/>
      </c>
      <c r="V2776" s="19">
        <f>IF($B2776="","",TEXT($B2776,"0000"))</f>
        <v/>
      </c>
      <c r="W2776" s="19">
        <f>IF($I2776="","",IF(ISNUMBER($I2776),TEXT($I2776,"0"),$I2776))</f>
        <v/>
      </c>
    </row>
    <row r="2777">
      <c r="B2777" s="25" t="n"/>
      <c r="I2777" s="25" t="n"/>
      <c r="U2777" s="19">
        <f>IF($V2777&lt;&gt;'設定'!$C$4,N(U2776),IF(OR(NOT(COUNTIF('商品マスタ'!$B$6:$B$1005,$W2777)=0),COUNTIFS('①在庫を貼る'!$V$6:$V$10005,$V2777,'①在庫を貼る'!$W$6:$W$10005,$W2777)&gt;0),N(U2776),N(U2776)+1))</f>
        <v/>
      </c>
      <c r="V2777" s="19">
        <f>IF($B2777="","",TEXT($B2777,"0000"))</f>
        <v/>
      </c>
      <c r="W2777" s="19">
        <f>IF($I2777="","",IF(ISNUMBER($I2777),TEXT($I2777,"0"),$I2777))</f>
        <v/>
      </c>
    </row>
    <row r="2778">
      <c r="B2778" s="25" t="n"/>
      <c r="I2778" s="25" t="n"/>
      <c r="U2778" s="19">
        <f>IF($V2778&lt;&gt;'設定'!$C$4,N(U2777),IF(OR(NOT(COUNTIF('商品マスタ'!$B$6:$B$1005,$W2778)=0),COUNTIFS('①在庫を貼る'!$V$6:$V$10005,$V2778,'①在庫を貼る'!$W$6:$W$10005,$W2778)&gt;0),N(U2777),N(U2777)+1))</f>
        <v/>
      </c>
      <c r="V2778" s="19">
        <f>IF($B2778="","",TEXT($B2778,"0000"))</f>
        <v/>
      </c>
      <c r="W2778" s="19">
        <f>IF($I2778="","",IF(ISNUMBER($I2778),TEXT($I2778,"0"),$I2778))</f>
        <v/>
      </c>
    </row>
    <row r="2779">
      <c r="B2779" s="25" t="n"/>
      <c r="I2779" s="25" t="n"/>
      <c r="U2779" s="19">
        <f>IF($V2779&lt;&gt;'設定'!$C$4,N(U2778),IF(OR(NOT(COUNTIF('商品マスタ'!$B$6:$B$1005,$W2779)=0),COUNTIFS('①在庫を貼る'!$V$6:$V$10005,$V2779,'①在庫を貼る'!$W$6:$W$10005,$W2779)&gt;0),N(U2778),N(U2778)+1))</f>
        <v/>
      </c>
      <c r="V2779" s="19">
        <f>IF($B2779="","",TEXT($B2779,"0000"))</f>
        <v/>
      </c>
      <c r="W2779" s="19">
        <f>IF($I2779="","",IF(ISNUMBER($I2779),TEXT($I2779,"0"),$I2779))</f>
        <v/>
      </c>
    </row>
    <row r="2780">
      <c r="B2780" s="25" t="n"/>
      <c r="I2780" s="25" t="n"/>
      <c r="U2780" s="19">
        <f>IF($V2780&lt;&gt;'設定'!$C$4,N(U2779),IF(OR(NOT(COUNTIF('商品マスタ'!$B$6:$B$1005,$W2780)=0),COUNTIFS('①在庫を貼る'!$V$6:$V$10005,$V2780,'①在庫を貼る'!$W$6:$W$10005,$W2780)&gt;0),N(U2779),N(U2779)+1))</f>
        <v/>
      </c>
      <c r="V2780" s="19">
        <f>IF($B2780="","",TEXT($B2780,"0000"))</f>
        <v/>
      </c>
      <c r="W2780" s="19">
        <f>IF($I2780="","",IF(ISNUMBER($I2780),TEXT($I2780,"0"),$I2780))</f>
        <v/>
      </c>
    </row>
    <row r="2781">
      <c r="B2781" s="25" t="n"/>
      <c r="I2781" s="25" t="n"/>
      <c r="U2781" s="19">
        <f>IF($V2781&lt;&gt;'設定'!$C$4,N(U2780),IF(OR(NOT(COUNTIF('商品マスタ'!$B$6:$B$1005,$W2781)=0),COUNTIFS('①在庫を貼る'!$V$6:$V$10005,$V2781,'①在庫を貼る'!$W$6:$W$10005,$W2781)&gt;0),N(U2780),N(U2780)+1))</f>
        <v/>
      </c>
      <c r="V2781" s="19">
        <f>IF($B2781="","",TEXT($B2781,"0000"))</f>
        <v/>
      </c>
      <c r="W2781" s="19">
        <f>IF($I2781="","",IF(ISNUMBER($I2781),TEXT($I2781,"0"),$I2781))</f>
        <v/>
      </c>
    </row>
    <row r="2782">
      <c r="B2782" s="25" t="n"/>
      <c r="I2782" s="25" t="n"/>
      <c r="U2782" s="19">
        <f>IF($V2782&lt;&gt;'設定'!$C$4,N(U2781),IF(OR(NOT(COUNTIF('商品マスタ'!$B$6:$B$1005,$W2782)=0),COUNTIFS('①在庫を貼る'!$V$6:$V$10005,$V2782,'①在庫を貼る'!$W$6:$W$10005,$W2782)&gt;0),N(U2781),N(U2781)+1))</f>
        <v/>
      </c>
      <c r="V2782" s="19">
        <f>IF($B2782="","",TEXT($B2782,"0000"))</f>
        <v/>
      </c>
      <c r="W2782" s="19">
        <f>IF($I2782="","",IF(ISNUMBER($I2782),TEXT($I2782,"0"),$I2782))</f>
        <v/>
      </c>
    </row>
    <row r="2783">
      <c r="B2783" s="25" t="n"/>
      <c r="I2783" s="25" t="n"/>
      <c r="U2783" s="19">
        <f>IF($V2783&lt;&gt;'設定'!$C$4,N(U2782),IF(OR(NOT(COUNTIF('商品マスタ'!$B$6:$B$1005,$W2783)=0),COUNTIFS('①在庫を貼る'!$V$6:$V$10005,$V2783,'①在庫を貼る'!$W$6:$W$10005,$W2783)&gt;0),N(U2782),N(U2782)+1))</f>
        <v/>
      </c>
      <c r="V2783" s="19">
        <f>IF($B2783="","",TEXT($B2783,"0000"))</f>
        <v/>
      </c>
      <c r="W2783" s="19">
        <f>IF($I2783="","",IF(ISNUMBER($I2783),TEXT($I2783,"0"),$I2783))</f>
        <v/>
      </c>
    </row>
    <row r="2784">
      <c r="B2784" s="25" t="n"/>
      <c r="I2784" s="25" t="n"/>
      <c r="U2784" s="19">
        <f>IF($V2784&lt;&gt;'設定'!$C$4,N(U2783),IF(OR(NOT(COUNTIF('商品マスタ'!$B$6:$B$1005,$W2784)=0),COUNTIFS('①在庫を貼る'!$V$6:$V$10005,$V2784,'①在庫を貼る'!$W$6:$W$10005,$W2784)&gt;0),N(U2783),N(U2783)+1))</f>
        <v/>
      </c>
      <c r="V2784" s="19">
        <f>IF($B2784="","",TEXT($B2784,"0000"))</f>
        <v/>
      </c>
      <c r="W2784" s="19">
        <f>IF($I2784="","",IF(ISNUMBER($I2784),TEXT($I2784,"0"),$I2784))</f>
        <v/>
      </c>
    </row>
    <row r="2785">
      <c r="B2785" s="25" t="n"/>
      <c r="I2785" s="25" t="n"/>
      <c r="U2785" s="19">
        <f>IF($V2785&lt;&gt;'設定'!$C$4,N(U2784),IF(OR(NOT(COUNTIF('商品マスタ'!$B$6:$B$1005,$W2785)=0),COUNTIFS('①在庫を貼る'!$V$6:$V$10005,$V2785,'①在庫を貼る'!$W$6:$W$10005,$W2785)&gt;0),N(U2784),N(U2784)+1))</f>
        <v/>
      </c>
      <c r="V2785" s="19">
        <f>IF($B2785="","",TEXT($B2785,"0000"))</f>
        <v/>
      </c>
      <c r="W2785" s="19">
        <f>IF($I2785="","",IF(ISNUMBER($I2785),TEXT($I2785,"0"),$I2785))</f>
        <v/>
      </c>
    </row>
    <row r="2786">
      <c r="B2786" s="25" t="n"/>
      <c r="I2786" s="25" t="n"/>
      <c r="U2786" s="19">
        <f>IF($V2786&lt;&gt;'設定'!$C$4,N(U2785),IF(OR(NOT(COUNTIF('商品マスタ'!$B$6:$B$1005,$W2786)=0),COUNTIFS('①在庫を貼る'!$V$6:$V$10005,$V2786,'①在庫を貼る'!$W$6:$W$10005,$W2786)&gt;0),N(U2785),N(U2785)+1))</f>
        <v/>
      </c>
      <c r="V2786" s="19">
        <f>IF($B2786="","",TEXT($B2786,"0000"))</f>
        <v/>
      </c>
      <c r="W2786" s="19">
        <f>IF($I2786="","",IF(ISNUMBER($I2786),TEXT($I2786,"0"),$I2786))</f>
        <v/>
      </c>
    </row>
    <row r="2787">
      <c r="B2787" s="25" t="n"/>
      <c r="I2787" s="25" t="n"/>
      <c r="U2787" s="19">
        <f>IF($V2787&lt;&gt;'設定'!$C$4,N(U2786),IF(OR(NOT(COUNTIF('商品マスタ'!$B$6:$B$1005,$W2787)=0),COUNTIFS('①在庫を貼る'!$V$6:$V$10005,$V2787,'①在庫を貼る'!$W$6:$W$10005,$W2787)&gt;0),N(U2786),N(U2786)+1))</f>
        <v/>
      </c>
      <c r="V2787" s="19">
        <f>IF($B2787="","",TEXT($B2787,"0000"))</f>
        <v/>
      </c>
      <c r="W2787" s="19">
        <f>IF($I2787="","",IF(ISNUMBER($I2787),TEXT($I2787,"0"),$I2787))</f>
        <v/>
      </c>
    </row>
    <row r="2788">
      <c r="B2788" s="25" t="n"/>
      <c r="I2788" s="25" t="n"/>
      <c r="U2788" s="19">
        <f>IF($V2788&lt;&gt;'設定'!$C$4,N(U2787),IF(OR(NOT(COUNTIF('商品マスタ'!$B$6:$B$1005,$W2788)=0),COUNTIFS('①在庫を貼る'!$V$6:$V$10005,$V2788,'①在庫を貼る'!$W$6:$W$10005,$W2788)&gt;0),N(U2787),N(U2787)+1))</f>
        <v/>
      </c>
      <c r="V2788" s="19">
        <f>IF($B2788="","",TEXT($B2788,"0000"))</f>
        <v/>
      </c>
      <c r="W2788" s="19">
        <f>IF($I2788="","",IF(ISNUMBER($I2788),TEXT($I2788,"0"),$I2788))</f>
        <v/>
      </c>
    </row>
    <row r="2789">
      <c r="B2789" s="25" t="n"/>
      <c r="I2789" s="25" t="n"/>
      <c r="U2789" s="19">
        <f>IF($V2789&lt;&gt;'設定'!$C$4,N(U2788),IF(OR(NOT(COUNTIF('商品マスタ'!$B$6:$B$1005,$W2789)=0),COUNTIFS('①在庫を貼る'!$V$6:$V$10005,$V2789,'①在庫を貼る'!$W$6:$W$10005,$W2789)&gt;0),N(U2788),N(U2788)+1))</f>
        <v/>
      </c>
      <c r="V2789" s="19">
        <f>IF($B2789="","",TEXT($B2789,"0000"))</f>
        <v/>
      </c>
      <c r="W2789" s="19">
        <f>IF($I2789="","",IF(ISNUMBER($I2789),TEXT($I2789,"0"),$I2789))</f>
        <v/>
      </c>
    </row>
    <row r="2790">
      <c r="B2790" s="25" t="n"/>
      <c r="I2790" s="25" t="n"/>
      <c r="U2790" s="19">
        <f>IF($V2790&lt;&gt;'設定'!$C$4,N(U2789),IF(OR(NOT(COUNTIF('商品マスタ'!$B$6:$B$1005,$W2790)=0),COUNTIFS('①在庫を貼る'!$V$6:$V$10005,$V2790,'①在庫を貼る'!$W$6:$W$10005,$W2790)&gt;0),N(U2789),N(U2789)+1))</f>
        <v/>
      </c>
      <c r="V2790" s="19">
        <f>IF($B2790="","",TEXT($B2790,"0000"))</f>
        <v/>
      </c>
      <c r="W2790" s="19">
        <f>IF($I2790="","",IF(ISNUMBER($I2790),TEXT($I2790,"0"),$I2790))</f>
        <v/>
      </c>
    </row>
    <row r="2791">
      <c r="B2791" s="25" t="n"/>
      <c r="I2791" s="25" t="n"/>
      <c r="U2791" s="19">
        <f>IF($V2791&lt;&gt;'設定'!$C$4,N(U2790),IF(OR(NOT(COUNTIF('商品マスタ'!$B$6:$B$1005,$W2791)=0),COUNTIFS('①在庫を貼る'!$V$6:$V$10005,$V2791,'①在庫を貼る'!$W$6:$W$10005,$W2791)&gt;0),N(U2790),N(U2790)+1))</f>
        <v/>
      </c>
      <c r="V2791" s="19">
        <f>IF($B2791="","",TEXT($B2791,"0000"))</f>
        <v/>
      </c>
      <c r="W2791" s="19">
        <f>IF($I2791="","",IF(ISNUMBER($I2791),TEXT($I2791,"0"),$I2791))</f>
        <v/>
      </c>
    </row>
    <row r="2792">
      <c r="B2792" s="25" t="n"/>
      <c r="I2792" s="25" t="n"/>
      <c r="U2792" s="19">
        <f>IF($V2792&lt;&gt;'設定'!$C$4,N(U2791),IF(OR(NOT(COUNTIF('商品マスタ'!$B$6:$B$1005,$W2792)=0),COUNTIFS('①在庫を貼る'!$V$6:$V$10005,$V2792,'①在庫を貼る'!$W$6:$W$10005,$W2792)&gt;0),N(U2791),N(U2791)+1))</f>
        <v/>
      </c>
      <c r="V2792" s="19">
        <f>IF($B2792="","",TEXT($B2792,"0000"))</f>
        <v/>
      </c>
      <c r="W2792" s="19">
        <f>IF($I2792="","",IF(ISNUMBER($I2792),TEXT($I2792,"0"),$I2792))</f>
        <v/>
      </c>
    </row>
    <row r="2793">
      <c r="B2793" s="25" t="n"/>
      <c r="I2793" s="25" t="n"/>
      <c r="U2793" s="19">
        <f>IF($V2793&lt;&gt;'設定'!$C$4,N(U2792),IF(OR(NOT(COUNTIF('商品マスタ'!$B$6:$B$1005,$W2793)=0),COUNTIFS('①在庫を貼る'!$V$6:$V$10005,$V2793,'①在庫を貼る'!$W$6:$W$10005,$W2793)&gt;0),N(U2792),N(U2792)+1))</f>
        <v/>
      </c>
      <c r="V2793" s="19">
        <f>IF($B2793="","",TEXT($B2793,"0000"))</f>
        <v/>
      </c>
      <c r="W2793" s="19">
        <f>IF($I2793="","",IF(ISNUMBER($I2793),TEXT($I2793,"0"),$I2793))</f>
        <v/>
      </c>
    </row>
    <row r="2794">
      <c r="B2794" s="25" t="n"/>
      <c r="I2794" s="25" t="n"/>
      <c r="U2794" s="19">
        <f>IF($V2794&lt;&gt;'設定'!$C$4,N(U2793),IF(OR(NOT(COUNTIF('商品マスタ'!$B$6:$B$1005,$W2794)=0),COUNTIFS('①在庫を貼る'!$V$6:$V$10005,$V2794,'①在庫を貼る'!$W$6:$W$10005,$W2794)&gt;0),N(U2793),N(U2793)+1))</f>
        <v/>
      </c>
      <c r="V2794" s="19">
        <f>IF($B2794="","",TEXT($B2794,"0000"))</f>
        <v/>
      </c>
      <c r="W2794" s="19">
        <f>IF($I2794="","",IF(ISNUMBER($I2794),TEXT($I2794,"0"),$I2794))</f>
        <v/>
      </c>
    </row>
    <row r="2795">
      <c r="B2795" s="25" t="n"/>
      <c r="I2795" s="25" t="n"/>
      <c r="U2795" s="19">
        <f>IF($V2795&lt;&gt;'設定'!$C$4,N(U2794),IF(OR(NOT(COUNTIF('商品マスタ'!$B$6:$B$1005,$W2795)=0),COUNTIFS('①在庫を貼る'!$V$6:$V$10005,$V2795,'①在庫を貼る'!$W$6:$W$10005,$W2795)&gt;0),N(U2794),N(U2794)+1))</f>
        <v/>
      </c>
      <c r="V2795" s="19">
        <f>IF($B2795="","",TEXT($B2795,"0000"))</f>
        <v/>
      </c>
      <c r="W2795" s="19">
        <f>IF($I2795="","",IF(ISNUMBER($I2795),TEXT($I2795,"0"),$I2795))</f>
        <v/>
      </c>
    </row>
    <row r="2796">
      <c r="B2796" s="25" t="n"/>
      <c r="I2796" s="25" t="n"/>
      <c r="U2796" s="19">
        <f>IF($V2796&lt;&gt;'設定'!$C$4,N(U2795),IF(OR(NOT(COUNTIF('商品マスタ'!$B$6:$B$1005,$W2796)=0),COUNTIFS('①在庫を貼る'!$V$6:$V$10005,$V2796,'①在庫を貼る'!$W$6:$W$10005,$W2796)&gt;0),N(U2795),N(U2795)+1))</f>
        <v/>
      </c>
      <c r="V2796" s="19">
        <f>IF($B2796="","",TEXT($B2796,"0000"))</f>
        <v/>
      </c>
      <c r="W2796" s="19">
        <f>IF($I2796="","",IF(ISNUMBER($I2796),TEXT($I2796,"0"),$I2796))</f>
        <v/>
      </c>
    </row>
    <row r="2797">
      <c r="B2797" s="25" t="n"/>
      <c r="I2797" s="25" t="n"/>
      <c r="U2797" s="19">
        <f>IF($V2797&lt;&gt;'設定'!$C$4,N(U2796),IF(OR(NOT(COUNTIF('商品マスタ'!$B$6:$B$1005,$W2797)=0),COUNTIFS('①在庫を貼る'!$V$6:$V$10005,$V2797,'①在庫を貼る'!$W$6:$W$10005,$W2797)&gt;0),N(U2796),N(U2796)+1))</f>
        <v/>
      </c>
      <c r="V2797" s="19">
        <f>IF($B2797="","",TEXT($B2797,"0000"))</f>
        <v/>
      </c>
      <c r="W2797" s="19">
        <f>IF($I2797="","",IF(ISNUMBER($I2797),TEXT($I2797,"0"),$I2797))</f>
        <v/>
      </c>
    </row>
    <row r="2798">
      <c r="B2798" s="25" t="n"/>
      <c r="I2798" s="25" t="n"/>
      <c r="U2798" s="19">
        <f>IF($V2798&lt;&gt;'設定'!$C$4,N(U2797),IF(OR(NOT(COUNTIF('商品マスタ'!$B$6:$B$1005,$W2798)=0),COUNTIFS('①在庫を貼る'!$V$6:$V$10005,$V2798,'①在庫を貼る'!$W$6:$W$10005,$W2798)&gt;0),N(U2797),N(U2797)+1))</f>
        <v/>
      </c>
      <c r="V2798" s="19">
        <f>IF($B2798="","",TEXT($B2798,"0000"))</f>
        <v/>
      </c>
      <c r="W2798" s="19">
        <f>IF($I2798="","",IF(ISNUMBER($I2798),TEXT($I2798,"0"),$I2798))</f>
        <v/>
      </c>
    </row>
    <row r="2799">
      <c r="B2799" s="25" t="n"/>
      <c r="I2799" s="25" t="n"/>
      <c r="U2799" s="19">
        <f>IF($V2799&lt;&gt;'設定'!$C$4,N(U2798),IF(OR(NOT(COUNTIF('商品マスタ'!$B$6:$B$1005,$W2799)=0),COUNTIFS('①在庫を貼る'!$V$6:$V$10005,$V2799,'①在庫を貼る'!$W$6:$W$10005,$W2799)&gt;0),N(U2798),N(U2798)+1))</f>
        <v/>
      </c>
      <c r="V2799" s="19">
        <f>IF($B2799="","",TEXT($B2799,"0000"))</f>
        <v/>
      </c>
      <c r="W2799" s="19">
        <f>IF($I2799="","",IF(ISNUMBER($I2799),TEXT($I2799,"0"),$I2799))</f>
        <v/>
      </c>
    </row>
    <row r="2800">
      <c r="B2800" s="25" t="n"/>
      <c r="I2800" s="25" t="n"/>
      <c r="U2800" s="19">
        <f>IF($V2800&lt;&gt;'設定'!$C$4,N(U2799),IF(OR(NOT(COUNTIF('商品マスタ'!$B$6:$B$1005,$W2800)=0),COUNTIFS('①在庫を貼る'!$V$6:$V$10005,$V2800,'①在庫を貼る'!$W$6:$W$10005,$W2800)&gt;0),N(U2799),N(U2799)+1))</f>
        <v/>
      </c>
      <c r="V2800" s="19">
        <f>IF($B2800="","",TEXT($B2800,"0000"))</f>
        <v/>
      </c>
      <c r="W2800" s="19">
        <f>IF($I2800="","",IF(ISNUMBER($I2800),TEXT($I2800,"0"),$I2800))</f>
        <v/>
      </c>
    </row>
    <row r="2801">
      <c r="B2801" s="25" t="n"/>
      <c r="I2801" s="25" t="n"/>
      <c r="U2801" s="19">
        <f>IF($V2801&lt;&gt;'設定'!$C$4,N(U2800),IF(OR(NOT(COUNTIF('商品マスタ'!$B$6:$B$1005,$W2801)=0),COUNTIFS('①在庫を貼る'!$V$6:$V$10005,$V2801,'①在庫を貼る'!$W$6:$W$10005,$W2801)&gt;0),N(U2800),N(U2800)+1))</f>
        <v/>
      </c>
      <c r="V2801" s="19">
        <f>IF($B2801="","",TEXT($B2801,"0000"))</f>
        <v/>
      </c>
      <c r="W2801" s="19">
        <f>IF($I2801="","",IF(ISNUMBER($I2801),TEXT($I2801,"0"),$I2801))</f>
        <v/>
      </c>
    </row>
    <row r="2802">
      <c r="B2802" s="25" t="n"/>
      <c r="I2802" s="25" t="n"/>
      <c r="U2802" s="19">
        <f>IF($V2802&lt;&gt;'設定'!$C$4,N(U2801),IF(OR(NOT(COUNTIF('商品マスタ'!$B$6:$B$1005,$W2802)=0),COUNTIFS('①在庫を貼る'!$V$6:$V$10005,$V2802,'①在庫を貼る'!$W$6:$W$10005,$W2802)&gt;0),N(U2801),N(U2801)+1))</f>
        <v/>
      </c>
      <c r="V2802" s="19">
        <f>IF($B2802="","",TEXT($B2802,"0000"))</f>
        <v/>
      </c>
      <c r="W2802" s="19">
        <f>IF($I2802="","",IF(ISNUMBER($I2802),TEXT($I2802,"0"),$I2802))</f>
        <v/>
      </c>
    </row>
    <row r="2803">
      <c r="B2803" s="25" t="n"/>
      <c r="I2803" s="25" t="n"/>
      <c r="U2803" s="19">
        <f>IF($V2803&lt;&gt;'設定'!$C$4,N(U2802),IF(OR(NOT(COUNTIF('商品マスタ'!$B$6:$B$1005,$W2803)=0),COUNTIFS('①在庫を貼る'!$V$6:$V$10005,$V2803,'①在庫を貼る'!$W$6:$W$10005,$W2803)&gt;0),N(U2802),N(U2802)+1))</f>
        <v/>
      </c>
      <c r="V2803" s="19">
        <f>IF($B2803="","",TEXT($B2803,"0000"))</f>
        <v/>
      </c>
      <c r="W2803" s="19">
        <f>IF($I2803="","",IF(ISNUMBER($I2803),TEXT($I2803,"0"),$I2803))</f>
        <v/>
      </c>
    </row>
    <row r="2804">
      <c r="B2804" s="25" t="n"/>
      <c r="I2804" s="25" t="n"/>
      <c r="U2804" s="19">
        <f>IF($V2804&lt;&gt;'設定'!$C$4,N(U2803),IF(OR(NOT(COUNTIF('商品マスタ'!$B$6:$B$1005,$W2804)=0),COUNTIFS('①在庫を貼る'!$V$6:$V$10005,$V2804,'①在庫を貼る'!$W$6:$W$10005,$W2804)&gt;0),N(U2803),N(U2803)+1))</f>
        <v/>
      </c>
      <c r="V2804" s="19">
        <f>IF($B2804="","",TEXT($B2804,"0000"))</f>
        <v/>
      </c>
      <c r="W2804" s="19">
        <f>IF($I2804="","",IF(ISNUMBER($I2804),TEXT($I2804,"0"),$I2804))</f>
        <v/>
      </c>
    </row>
    <row r="2805">
      <c r="B2805" s="25" t="n"/>
      <c r="I2805" s="25" t="n"/>
      <c r="U2805" s="19">
        <f>IF($V2805&lt;&gt;'設定'!$C$4,N(U2804),IF(OR(NOT(COUNTIF('商品マスタ'!$B$6:$B$1005,$W2805)=0),COUNTIFS('①在庫を貼る'!$V$6:$V$10005,$V2805,'①在庫を貼る'!$W$6:$W$10005,$W2805)&gt;0),N(U2804),N(U2804)+1))</f>
        <v/>
      </c>
      <c r="V2805" s="19">
        <f>IF($B2805="","",TEXT($B2805,"0000"))</f>
        <v/>
      </c>
      <c r="W2805" s="19">
        <f>IF($I2805="","",IF(ISNUMBER($I2805),TEXT($I2805,"0"),$I2805))</f>
        <v/>
      </c>
    </row>
    <row r="2806">
      <c r="B2806" s="25" t="n"/>
      <c r="I2806" s="25" t="n"/>
      <c r="U2806" s="19">
        <f>IF($V2806&lt;&gt;'設定'!$C$4,N(U2805),IF(OR(NOT(COUNTIF('商品マスタ'!$B$6:$B$1005,$W2806)=0),COUNTIFS('①在庫を貼る'!$V$6:$V$10005,$V2806,'①在庫を貼る'!$W$6:$W$10005,$W2806)&gt;0),N(U2805),N(U2805)+1))</f>
        <v/>
      </c>
      <c r="V2806" s="19">
        <f>IF($B2806="","",TEXT($B2806,"0000"))</f>
        <v/>
      </c>
      <c r="W2806" s="19">
        <f>IF($I2806="","",IF(ISNUMBER($I2806),TEXT($I2806,"0"),$I2806))</f>
        <v/>
      </c>
    </row>
    <row r="2807">
      <c r="B2807" s="25" t="n"/>
      <c r="I2807" s="25" t="n"/>
      <c r="U2807" s="19">
        <f>IF($V2807&lt;&gt;'設定'!$C$4,N(U2806),IF(OR(NOT(COUNTIF('商品マスタ'!$B$6:$B$1005,$W2807)=0),COUNTIFS('①在庫を貼る'!$V$6:$V$10005,$V2807,'①在庫を貼る'!$W$6:$W$10005,$W2807)&gt;0),N(U2806),N(U2806)+1))</f>
        <v/>
      </c>
      <c r="V2807" s="19">
        <f>IF($B2807="","",TEXT($B2807,"0000"))</f>
        <v/>
      </c>
      <c r="W2807" s="19">
        <f>IF($I2807="","",IF(ISNUMBER($I2807),TEXT($I2807,"0"),$I2807))</f>
        <v/>
      </c>
    </row>
    <row r="2808">
      <c r="B2808" s="25" t="n"/>
      <c r="I2808" s="25" t="n"/>
      <c r="U2808" s="19">
        <f>IF($V2808&lt;&gt;'設定'!$C$4,N(U2807),IF(OR(NOT(COUNTIF('商品マスタ'!$B$6:$B$1005,$W2808)=0),COUNTIFS('①在庫を貼る'!$V$6:$V$10005,$V2808,'①在庫を貼る'!$W$6:$W$10005,$W2808)&gt;0),N(U2807),N(U2807)+1))</f>
        <v/>
      </c>
      <c r="V2808" s="19">
        <f>IF($B2808="","",TEXT($B2808,"0000"))</f>
        <v/>
      </c>
      <c r="W2808" s="19">
        <f>IF($I2808="","",IF(ISNUMBER($I2808),TEXT($I2808,"0"),$I2808))</f>
        <v/>
      </c>
    </row>
    <row r="2809">
      <c r="B2809" s="25" t="n"/>
      <c r="I2809" s="25" t="n"/>
      <c r="U2809" s="19">
        <f>IF($V2809&lt;&gt;'設定'!$C$4,N(U2808),IF(OR(NOT(COUNTIF('商品マスタ'!$B$6:$B$1005,$W2809)=0),COUNTIFS('①在庫を貼る'!$V$6:$V$10005,$V2809,'①在庫を貼る'!$W$6:$W$10005,$W2809)&gt;0),N(U2808),N(U2808)+1))</f>
        <v/>
      </c>
      <c r="V2809" s="19">
        <f>IF($B2809="","",TEXT($B2809,"0000"))</f>
        <v/>
      </c>
      <c r="W2809" s="19">
        <f>IF($I2809="","",IF(ISNUMBER($I2809),TEXT($I2809,"0"),$I2809))</f>
        <v/>
      </c>
    </row>
    <row r="2810">
      <c r="B2810" s="25" t="n"/>
      <c r="I2810" s="25" t="n"/>
      <c r="U2810" s="19">
        <f>IF($V2810&lt;&gt;'設定'!$C$4,N(U2809),IF(OR(NOT(COUNTIF('商品マスタ'!$B$6:$B$1005,$W2810)=0),COUNTIFS('①在庫を貼る'!$V$6:$V$10005,$V2810,'①在庫を貼る'!$W$6:$W$10005,$W2810)&gt;0),N(U2809),N(U2809)+1))</f>
        <v/>
      </c>
      <c r="V2810" s="19">
        <f>IF($B2810="","",TEXT($B2810,"0000"))</f>
        <v/>
      </c>
      <c r="W2810" s="19">
        <f>IF($I2810="","",IF(ISNUMBER($I2810),TEXT($I2810,"0"),$I2810))</f>
        <v/>
      </c>
    </row>
    <row r="2811">
      <c r="B2811" s="25" t="n"/>
      <c r="I2811" s="25" t="n"/>
      <c r="U2811" s="19">
        <f>IF($V2811&lt;&gt;'設定'!$C$4,N(U2810),IF(OR(NOT(COUNTIF('商品マスタ'!$B$6:$B$1005,$W2811)=0),COUNTIFS('①在庫を貼る'!$V$6:$V$10005,$V2811,'①在庫を貼る'!$W$6:$W$10005,$W2811)&gt;0),N(U2810),N(U2810)+1))</f>
        <v/>
      </c>
      <c r="V2811" s="19">
        <f>IF($B2811="","",TEXT($B2811,"0000"))</f>
        <v/>
      </c>
      <c r="W2811" s="19">
        <f>IF($I2811="","",IF(ISNUMBER($I2811),TEXT($I2811,"0"),$I2811))</f>
        <v/>
      </c>
    </row>
    <row r="2812">
      <c r="B2812" s="25" t="n"/>
      <c r="I2812" s="25" t="n"/>
      <c r="U2812" s="19">
        <f>IF($V2812&lt;&gt;'設定'!$C$4,N(U2811),IF(OR(NOT(COUNTIF('商品マスタ'!$B$6:$B$1005,$W2812)=0),COUNTIFS('①在庫を貼る'!$V$6:$V$10005,$V2812,'①在庫を貼る'!$W$6:$W$10005,$W2812)&gt;0),N(U2811),N(U2811)+1))</f>
        <v/>
      </c>
      <c r="V2812" s="19">
        <f>IF($B2812="","",TEXT($B2812,"0000"))</f>
        <v/>
      </c>
      <c r="W2812" s="19">
        <f>IF($I2812="","",IF(ISNUMBER($I2812),TEXT($I2812,"0"),$I2812))</f>
        <v/>
      </c>
    </row>
    <row r="2813">
      <c r="B2813" s="25" t="n"/>
      <c r="I2813" s="25" t="n"/>
      <c r="U2813" s="19">
        <f>IF($V2813&lt;&gt;'設定'!$C$4,N(U2812),IF(OR(NOT(COUNTIF('商品マスタ'!$B$6:$B$1005,$W2813)=0),COUNTIFS('①在庫を貼る'!$V$6:$V$10005,$V2813,'①在庫を貼る'!$W$6:$W$10005,$W2813)&gt;0),N(U2812),N(U2812)+1))</f>
        <v/>
      </c>
      <c r="V2813" s="19">
        <f>IF($B2813="","",TEXT($B2813,"0000"))</f>
        <v/>
      </c>
      <c r="W2813" s="19">
        <f>IF($I2813="","",IF(ISNUMBER($I2813),TEXT($I2813,"0"),$I2813))</f>
        <v/>
      </c>
    </row>
    <row r="2814">
      <c r="B2814" s="25" t="n"/>
      <c r="I2814" s="25" t="n"/>
      <c r="U2814" s="19">
        <f>IF($V2814&lt;&gt;'設定'!$C$4,N(U2813),IF(OR(NOT(COUNTIF('商品マスタ'!$B$6:$B$1005,$W2814)=0),COUNTIFS('①在庫を貼る'!$V$6:$V$10005,$V2814,'①在庫を貼る'!$W$6:$W$10005,$W2814)&gt;0),N(U2813),N(U2813)+1))</f>
        <v/>
      </c>
      <c r="V2814" s="19">
        <f>IF($B2814="","",TEXT($B2814,"0000"))</f>
        <v/>
      </c>
      <c r="W2814" s="19">
        <f>IF($I2814="","",IF(ISNUMBER($I2814),TEXT($I2814,"0"),$I2814))</f>
        <v/>
      </c>
    </row>
    <row r="2815">
      <c r="B2815" s="25" t="n"/>
      <c r="I2815" s="25" t="n"/>
      <c r="U2815" s="19">
        <f>IF($V2815&lt;&gt;'設定'!$C$4,N(U2814),IF(OR(NOT(COUNTIF('商品マスタ'!$B$6:$B$1005,$W2815)=0),COUNTIFS('①在庫を貼る'!$V$6:$V$10005,$V2815,'①在庫を貼る'!$W$6:$W$10005,$W2815)&gt;0),N(U2814),N(U2814)+1))</f>
        <v/>
      </c>
      <c r="V2815" s="19">
        <f>IF($B2815="","",TEXT($B2815,"0000"))</f>
        <v/>
      </c>
      <c r="W2815" s="19">
        <f>IF($I2815="","",IF(ISNUMBER($I2815),TEXT($I2815,"0"),$I2815))</f>
        <v/>
      </c>
    </row>
    <row r="2816">
      <c r="B2816" s="25" t="n"/>
      <c r="I2816" s="25" t="n"/>
      <c r="U2816" s="19">
        <f>IF($V2816&lt;&gt;'設定'!$C$4,N(U2815),IF(OR(NOT(COUNTIF('商品マスタ'!$B$6:$B$1005,$W2816)=0),COUNTIFS('①在庫を貼る'!$V$6:$V$10005,$V2816,'①在庫を貼る'!$W$6:$W$10005,$W2816)&gt;0),N(U2815),N(U2815)+1))</f>
        <v/>
      </c>
      <c r="V2816" s="19">
        <f>IF($B2816="","",TEXT($B2816,"0000"))</f>
        <v/>
      </c>
      <c r="W2816" s="19">
        <f>IF($I2816="","",IF(ISNUMBER($I2816),TEXT($I2816,"0"),$I2816))</f>
        <v/>
      </c>
    </row>
    <row r="2817">
      <c r="B2817" s="25" t="n"/>
      <c r="I2817" s="25" t="n"/>
      <c r="U2817" s="19">
        <f>IF($V2817&lt;&gt;'設定'!$C$4,N(U2816),IF(OR(NOT(COUNTIF('商品マスタ'!$B$6:$B$1005,$W2817)=0),COUNTIFS('①在庫を貼る'!$V$6:$V$10005,$V2817,'①在庫を貼る'!$W$6:$W$10005,$W2817)&gt;0),N(U2816),N(U2816)+1))</f>
        <v/>
      </c>
      <c r="V2817" s="19">
        <f>IF($B2817="","",TEXT($B2817,"0000"))</f>
        <v/>
      </c>
      <c r="W2817" s="19">
        <f>IF($I2817="","",IF(ISNUMBER($I2817),TEXT($I2817,"0"),$I2817))</f>
        <v/>
      </c>
    </row>
    <row r="2818">
      <c r="B2818" s="25" t="n"/>
      <c r="I2818" s="25" t="n"/>
      <c r="U2818" s="19">
        <f>IF($V2818&lt;&gt;'設定'!$C$4,N(U2817),IF(OR(NOT(COUNTIF('商品マスタ'!$B$6:$B$1005,$W2818)=0),COUNTIFS('①在庫を貼る'!$V$6:$V$10005,$V2818,'①在庫を貼る'!$W$6:$W$10005,$W2818)&gt;0),N(U2817),N(U2817)+1))</f>
        <v/>
      </c>
      <c r="V2818" s="19">
        <f>IF($B2818="","",TEXT($B2818,"0000"))</f>
        <v/>
      </c>
      <c r="W2818" s="19">
        <f>IF($I2818="","",IF(ISNUMBER($I2818),TEXT($I2818,"0"),$I2818))</f>
        <v/>
      </c>
    </row>
    <row r="2819">
      <c r="B2819" s="25" t="n"/>
      <c r="I2819" s="25" t="n"/>
      <c r="U2819" s="19">
        <f>IF($V2819&lt;&gt;'設定'!$C$4,N(U2818),IF(OR(NOT(COUNTIF('商品マスタ'!$B$6:$B$1005,$W2819)=0),COUNTIFS('①在庫を貼る'!$V$6:$V$10005,$V2819,'①在庫を貼る'!$W$6:$W$10005,$W2819)&gt;0),N(U2818),N(U2818)+1))</f>
        <v/>
      </c>
      <c r="V2819" s="19">
        <f>IF($B2819="","",TEXT($B2819,"0000"))</f>
        <v/>
      </c>
      <c r="W2819" s="19">
        <f>IF($I2819="","",IF(ISNUMBER($I2819),TEXT($I2819,"0"),$I2819))</f>
        <v/>
      </c>
    </row>
    <row r="2820">
      <c r="B2820" s="25" t="n"/>
      <c r="I2820" s="25" t="n"/>
      <c r="U2820" s="19">
        <f>IF($V2820&lt;&gt;'設定'!$C$4,N(U2819),IF(OR(NOT(COUNTIF('商品マスタ'!$B$6:$B$1005,$W2820)=0),COUNTIFS('①在庫を貼る'!$V$6:$V$10005,$V2820,'①在庫を貼る'!$W$6:$W$10005,$W2820)&gt;0),N(U2819),N(U2819)+1))</f>
        <v/>
      </c>
      <c r="V2820" s="19">
        <f>IF($B2820="","",TEXT($B2820,"0000"))</f>
        <v/>
      </c>
      <c r="W2820" s="19">
        <f>IF($I2820="","",IF(ISNUMBER($I2820),TEXT($I2820,"0"),$I2820))</f>
        <v/>
      </c>
    </row>
    <row r="2821">
      <c r="B2821" s="25" t="n"/>
      <c r="I2821" s="25" t="n"/>
      <c r="U2821" s="19">
        <f>IF($V2821&lt;&gt;'設定'!$C$4,N(U2820),IF(OR(NOT(COUNTIF('商品マスタ'!$B$6:$B$1005,$W2821)=0),COUNTIFS('①在庫を貼る'!$V$6:$V$10005,$V2821,'①在庫を貼る'!$W$6:$W$10005,$W2821)&gt;0),N(U2820),N(U2820)+1))</f>
        <v/>
      </c>
      <c r="V2821" s="19">
        <f>IF($B2821="","",TEXT($B2821,"0000"))</f>
        <v/>
      </c>
      <c r="W2821" s="19">
        <f>IF($I2821="","",IF(ISNUMBER($I2821),TEXT($I2821,"0"),$I2821))</f>
        <v/>
      </c>
    </row>
    <row r="2822">
      <c r="B2822" s="25" t="n"/>
      <c r="I2822" s="25" t="n"/>
      <c r="U2822" s="19">
        <f>IF($V2822&lt;&gt;'設定'!$C$4,N(U2821),IF(OR(NOT(COUNTIF('商品マスタ'!$B$6:$B$1005,$W2822)=0),COUNTIFS('①在庫を貼る'!$V$6:$V$10005,$V2822,'①在庫を貼る'!$W$6:$W$10005,$W2822)&gt;0),N(U2821),N(U2821)+1))</f>
        <v/>
      </c>
      <c r="V2822" s="19">
        <f>IF($B2822="","",TEXT($B2822,"0000"))</f>
        <v/>
      </c>
      <c r="W2822" s="19">
        <f>IF($I2822="","",IF(ISNUMBER($I2822),TEXT($I2822,"0"),$I2822))</f>
        <v/>
      </c>
    </row>
    <row r="2823">
      <c r="B2823" s="25" t="n"/>
      <c r="I2823" s="25" t="n"/>
      <c r="U2823" s="19">
        <f>IF($V2823&lt;&gt;'設定'!$C$4,N(U2822),IF(OR(NOT(COUNTIF('商品マスタ'!$B$6:$B$1005,$W2823)=0),COUNTIFS('①在庫を貼る'!$V$6:$V$10005,$V2823,'①在庫を貼る'!$W$6:$W$10005,$W2823)&gt;0),N(U2822),N(U2822)+1))</f>
        <v/>
      </c>
      <c r="V2823" s="19">
        <f>IF($B2823="","",TEXT($B2823,"0000"))</f>
        <v/>
      </c>
      <c r="W2823" s="19">
        <f>IF($I2823="","",IF(ISNUMBER($I2823),TEXT($I2823,"0"),$I2823))</f>
        <v/>
      </c>
    </row>
    <row r="2824">
      <c r="B2824" s="25" t="n"/>
      <c r="I2824" s="25" t="n"/>
      <c r="U2824" s="19">
        <f>IF($V2824&lt;&gt;'設定'!$C$4,N(U2823),IF(OR(NOT(COUNTIF('商品マスタ'!$B$6:$B$1005,$W2824)=0),COUNTIFS('①在庫を貼る'!$V$6:$V$10005,$V2824,'①在庫を貼る'!$W$6:$W$10005,$W2824)&gt;0),N(U2823),N(U2823)+1))</f>
        <v/>
      </c>
      <c r="V2824" s="19">
        <f>IF($B2824="","",TEXT($B2824,"0000"))</f>
        <v/>
      </c>
      <c r="W2824" s="19">
        <f>IF($I2824="","",IF(ISNUMBER($I2824),TEXT($I2824,"0"),$I2824))</f>
        <v/>
      </c>
    </row>
    <row r="2825">
      <c r="B2825" s="25" t="n"/>
      <c r="I2825" s="25" t="n"/>
      <c r="U2825" s="19">
        <f>IF($V2825&lt;&gt;'設定'!$C$4,N(U2824),IF(OR(NOT(COUNTIF('商品マスタ'!$B$6:$B$1005,$W2825)=0),COUNTIFS('①在庫を貼る'!$V$6:$V$10005,$V2825,'①在庫を貼る'!$W$6:$W$10005,$W2825)&gt;0),N(U2824),N(U2824)+1))</f>
        <v/>
      </c>
      <c r="V2825" s="19">
        <f>IF($B2825="","",TEXT($B2825,"0000"))</f>
        <v/>
      </c>
      <c r="W2825" s="19">
        <f>IF($I2825="","",IF(ISNUMBER($I2825),TEXT($I2825,"0"),$I2825))</f>
        <v/>
      </c>
    </row>
    <row r="2826">
      <c r="B2826" s="25" t="n"/>
      <c r="I2826" s="25" t="n"/>
      <c r="U2826" s="19">
        <f>IF($V2826&lt;&gt;'設定'!$C$4,N(U2825),IF(OR(NOT(COUNTIF('商品マスタ'!$B$6:$B$1005,$W2826)=0),COUNTIFS('①在庫を貼る'!$V$6:$V$10005,$V2826,'①在庫を貼る'!$W$6:$W$10005,$W2826)&gt;0),N(U2825),N(U2825)+1))</f>
        <v/>
      </c>
      <c r="V2826" s="19">
        <f>IF($B2826="","",TEXT($B2826,"0000"))</f>
        <v/>
      </c>
      <c r="W2826" s="19">
        <f>IF($I2826="","",IF(ISNUMBER($I2826),TEXT($I2826,"0"),$I2826))</f>
        <v/>
      </c>
    </row>
    <row r="2827">
      <c r="B2827" s="25" t="n"/>
      <c r="I2827" s="25" t="n"/>
      <c r="U2827" s="19">
        <f>IF($V2827&lt;&gt;'設定'!$C$4,N(U2826),IF(OR(NOT(COUNTIF('商品マスタ'!$B$6:$B$1005,$W2827)=0),COUNTIFS('①在庫を貼る'!$V$6:$V$10005,$V2827,'①在庫を貼る'!$W$6:$W$10005,$W2827)&gt;0),N(U2826),N(U2826)+1))</f>
        <v/>
      </c>
      <c r="V2827" s="19">
        <f>IF($B2827="","",TEXT($B2827,"0000"))</f>
        <v/>
      </c>
      <c r="W2827" s="19">
        <f>IF($I2827="","",IF(ISNUMBER($I2827),TEXT($I2827,"0"),$I2827))</f>
        <v/>
      </c>
    </row>
    <row r="2828">
      <c r="B2828" s="25" t="n"/>
      <c r="I2828" s="25" t="n"/>
      <c r="U2828" s="19">
        <f>IF($V2828&lt;&gt;'設定'!$C$4,N(U2827),IF(OR(NOT(COUNTIF('商品マスタ'!$B$6:$B$1005,$W2828)=0),COUNTIFS('①在庫を貼る'!$V$6:$V$10005,$V2828,'①在庫を貼る'!$W$6:$W$10005,$W2828)&gt;0),N(U2827),N(U2827)+1))</f>
        <v/>
      </c>
      <c r="V2828" s="19">
        <f>IF($B2828="","",TEXT($B2828,"0000"))</f>
        <v/>
      </c>
      <c r="W2828" s="19">
        <f>IF($I2828="","",IF(ISNUMBER($I2828),TEXT($I2828,"0"),$I2828))</f>
        <v/>
      </c>
    </row>
    <row r="2829">
      <c r="B2829" s="25" t="n"/>
      <c r="I2829" s="25" t="n"/>
      <c r="U2829" s="19">
        <f>IF($V2829&lt;&gt;'設定'!$C$4,N(U2828),IF(OR(NOT(COUNTIF('商品マスタ'!$B$6:$B$1005,$W2829)=0),COUNTIFS('①在庫を貼る'!$V$6:$V$10005,$V2829,'①在庫を貼る'!$W$6:$W$10005,$W2829)&gt;0),N(U2828),N(U2828)+1))</f>
        <v/>
      </c>
      <c r="V2829" s="19">
        <f>IF($B2829="","",TEXT($B2829,"0000"))</f>
        <v/>
      </c>
      <c r="W2829" s="19">
        <f>IF($I2829="","",IF(ISNUMBER($I2829),TEXT($I2829,"0"),$I2829))</f>
        <v/>
      </c>
    </row>
    <row r="2830">
      <c r="B2830" s="25" t="n"/>
      <c r="I2830" s="25" t="n"/>
      <c r="U2830" s="19">
        <f>IF($V2830&lt;&gt;'設定'!$C$4,N(U2829),IF(OR(NOT(COUNTIF('商品マスタ'!$B$6:$B$1005,$W2830)=0),COUNTIFS('①在庫を貼る'!$V$6:$V$10005,$V2830,'①在庫を貼る'!$W$6:$W$10005,$W2830)&gt;0),N(U2829),N(U2829)+1))</f>
        <v/>
      </c>
      <c r="V2830" s="19">
        <f>IF($B2830="","",TEXT($B2830,"0000"))</f>
        <v/>
      </c>
      <c r="W2830" s="19">
        <f>IF($I2830="","",IF(ISNUMBER($I2830),TEXT($I2830,"0"),$I2830))</f>
        <v/>
      </c>
    </row>
    <row r="2831">
      <c r="B2831" s="25" t="n"/>
      <c r="I2831" s="25" t="n"/>
      <c r="U2831" s="19">
        <f>IF($V2831&lt;&gt;'設定'!$C$4,N(U2830),IF(OR(NOT(COUNTIF('商品マスタ'!$B$6:$B$1005,$W2831)=0),COUNTIFS('①在庫を貼る'!$V$6:$V$10005,$V2831,'①在庫を貼る'!$W$6:$W$10005,$W2831)&gt;0),N(U2830),N(U2830)+1))</f>
        <v/>
      </c>
      <c r="V2831" s="19">
        <f>IF($B2831="","",TEXT($B2831,"0000"))</f>
        <v/>
      </c>
      <c r="W2831" s="19">
        <f>IF($I2831="","",IF(ISNUMBER($I2831),TEXT($I2831,"0"),$I2831))</f>
        <v/>
      </c>
    </row>
    <row r="2832">
      <c r="B2832" s="25" t="n"/>
      <c r="I2832" s="25" t="n"/>
      <c r="U2832" s="19">
        <f>IF($V2832&lt;&gt;'設定'!$C$4,N(U2831),IF(OR(NOT(COUNTIF('商品マスタ'!$B$6:$B$1005,$W2832)=0),COUNTIFS('①在庫を貼る'!$V$6:$V$10005,$V2832,'①在庫を貼る'!$W$6:$W$10005,$W2832)&gt;0),N(U2831),N(U2831)+1))</f>
        <v/>
      </c>
      <c r="V2832" s="19">
        <f>IF($B2832="","",TEXT($B2832,"0000"))</f>
        <v/>
      </c>
      <c r="W2832" s="19">
        <f>IF($I2832="","",IF(ISNUMBER($I2832),TEXT($I2832,"0"),$I2832))</f>
        <v/>
      </c>
    </row>
    <row r="2833">
      <c r="B2833" s="25" t="n"/>
      <c r="I2833" s="25" t="n"/>
      <c r="U2833" s="19">
        <f>IF($V2833&lt;&gt;'設定'!$C$4,N(U2832),IF(OR(NOT(COUNTIF('商品マスタ'!$B$6:$B$1005,$W2833)=0),COUNTIFS('①在庫を貼る'!$V$6:$V$10005,$V2833,'①在庫を貼る'!$W$6:$W$10005,$W2833)&gt;0),N(U2832),N(U2832)+1))</f>
        <v/>
      </c>
      <c r="V2833" s="19">
        <f>IF($B2833="","",TEXT($B2833,"0000"))</f>
        <v/>
      </c>
      <c r="W2833" s="19">
        <f>IF($I2833="","",IF(ISNUMBER($I2833),TEXT($I2833,"0"),$I2833))</f>
        <v/>
      </c>
    </row>
    <row r="2834">
      <c r="B2834" s="25" t="n"/>
      <c r="I2834" s="25" t="n"/>
      <c r="U2834" s="19">
        <f>IF($V2834&lt;&gt;'設定'!$C$4,N(U2833),IF(OR(NOT(COUNTIF('商品マスタ'!$B$6:$B$1005,$W2834)=0),COUNTIFS('①在庫を貼る'!$V$6:$V$10005,$V2834,'①在庫を貼る'!$W$6:$W$10005,$W2834)&gt;0),N(U2833),N(U2833)+1))</f>
        <v/>
      </c>
      <c r="V2834" s="19">
        <f>IF($B2834="","",TEXT($B2834,"0000"))</f>
        <v/>
      </c>
      <c r="W2834" s="19">
        <f>IF($I2834="","",IF(ISNUMBER($I2834),TEXT($I2834,"0"),$I2834))</f>
        <v/>
      </c>
    </row>
    <row r="2835">
      <c r="B2835" s="25" t="n"/>
      <c r="I2835" s="25" t="n"/>
      <c r="U2835" s="19">
        <f>IF($V2835&lt;&gt;'設定'!$C$4,N(U2834),IF(OR(NOT(COUNTIF('商品マスタ'!$B$6:$B$1005,$W2835)=0),COUNTIFS('①在庫を貼る'!$V$6:$V$10005,$V2835,'①在庫を貼る'!$W$6:$W$10005,$W2835)&gt;0),N(U2834),N(U2834)+1))</f>
        <v/>
      </c>
      <c r="V2835" s="19">
        <f>IF($B2835="","",TEXT($B2835,"0000"))</f>
        <v/>
      </c>
      <c r="W2835" s="19">
        <f>IF($I2835="","",IF(ISNUMBER($I2835),TEXT($I2835,"0"),$I2835))</f>
        <v/>
      </c>
    </row>
    <row r="2836">
      <c r="B2836" s="25" t="n"/>
      <c r="I2836" s="25" t="n"/>
      <c r="U2836" s="19">
        <f>IF($V2836&lt;&gt;'設定'!$C$4,N(U2835),IF(OR(NOT(COUNTIF('商品マスタ'!$B$6:$B$1005,$W2836)=0),COUNTIFS('①在庫を貼る'!$V$6:$V$10005,$V2836,'①在庫を貼る'!$W$6:$W$10005,$W2836)&gt;0),N(U2835),N(U2835)+1))</f>
        <v/>
      </c>
      <c r="V2836" s="19">
        <f>IF($B2836="","",TEXT($B2836,"0000"))</f>
        <v/>
      </c>
      <c r="W2836" s="19">
        <f>IF($I2836="","",IF(ISNUMBER($I2836),TEXT($I2836,"0"),$I2836))</f>
        <v/>
      </c>
    </row>
    <row r="2837">
      <c r="B2837" s="25" t="n"/>
      <c r="I2837" s="25" t="n"/>
      <c r="U2837" s="19">
        <f>IF($V2837&lt;&gt;'設定'!$C$4,N(U2836),IF(OR(NOT(COUNTIF('商品マスタ'!$B$6:$B$1005,$W2837)=0),COUNTIFS('①在庫を貼る'!$V$6:$V$10005,$V2837,'①在庫を貼る'!$W$6:$W$10005,$W2837)&gt;0),N(U2836),N(U2836)+1))</f>
        <v/>
      </c>
      <c r="V2837" s="19">
        <f>IF($B2837="","",TEXT($B2837,"0000"))</f>
        <v/>
      </c>
      <c r="W2837" s="19">
        <f>IF($I2837="","",IF(ISNUMBER($I2837),TEXT($I2837,"0"),$I2837))</f>
        <v/>
      </c>
    </row>
    <row r="2838">
      <c r="B2838" s="25" t="n"/>
      <c r="I2838" s="25" t="n"/>
      <c r="U2838" s="19">
        <f>IF($V2838&lt;&gt;'設定'!$C$4,N(U2837),IF(OR(NOT(COUNTIF('商品マスタ'!$B$6:$B$1005,$W2838)=0),COUNTIFS('①在庫を貼る'!$V$6:$V$10005,$V2838,'①在庫を貼る'!$W$6:$W$10005,$W2838)&gt;0),N(U2837),N(U2837)+1))</f>
        <v/>
      </c>
      <c r="V2838" s="19">
        <f>IF($B2838="","",TEXT($B2838,"0000"))</f>
        <v/>
      </c>
      <c r="W2838" s="19">
        <f>IF($I2838="","",IF(ISNUMBER($I2838),TEXT($I2838,"0"),$I2838))</f>
        <v/>
      </c>
    </row>
    <row r="2839">
      <c r="B2839" s="25" t="n"/>
      <c r="I2839" s="25" t="n"/>
      <c r="U2839" s="19">
        <f>IF($V2839&lt;&gt;'設定'!$C$4,N(U2838),IF(OR(NOT(COUNTIF('商品マスタ'!$B$6:$B$1005,$W2839)=0),COUNTIFS('①在庫を貼る'!$V$6:$V$10005,$V2839,'①在庫を貼る'!$W$6:$W$10005,$W2839)&gt;0),N(U2838),N(U2838)+1))</f>
        <v/>
      </c>
      <c r="V2839" s="19">
        <f>IF($B2839="","",TEXT($B2839,"0000"))</f>
        <v/>
      </c>
      <c r="W2839" s="19">
        <f>IF($I2839="","",IF(ISNUMBER($I2839),TEXT($I2839,"0"),$I2839))</f>
        <v/>
      </c>
    </row>
    <row r="2840">
      <c r="B2840" s="25" t="n"/>
      <c r="I2840" s="25" t="n"/>
      <c r="U2840" s="19">
        <f>IF($V2840&lt;&gt;'設定'!$C$4,N(U2839),IF(OR(NOT(COUNTIF('商品マスタ'!$B$6:$B$1005,$W2840)=0),COUNTIFS('①在庫を貼る'!$V$6:$V$10005,$V2840,'①在庫を貼る'!$W$6:$W$10005,$W2840)&gt;0),N(U2839),N(U2839)+1))</f>
        <v/>
      </c>
      <c r="V2840" s="19">
        <f>IF($B2840="","",TEXT($B2840,"0000"))</f>
        <v/>
      </c>
      <c r="W2840" s="19">
        <f>IF($I2840="","",IF(ISNUMBER($I2840),TEXT($I2840,"0"),$I2840))</f>
        <v/>
      </c>
    </row>
    <row r="2841">
      <c r="B2841" s="25" t="n"/>
      <c r="I2841" s="25" t="n"/>
      <c r="U2841" s="19">
        <f>IF($V2841&lt;&gt;'設定'!$C$4,N(U2840),IF(OR(NOT(COUNTIF('商品マスタ'!$B$6:$B$1005,$W2841)=0),COUNTIFS('①在庫を貼る'!$V$6:$V$10005,$V2841,'①在庫を貼る'!$W$6:$W$10005,$W2841)&gt;0),N(U2840),N(U2840)+1))</f>
        <v/>
      </c>
      <c r="V2841" s="19">
        <f>IF($B2841="","",TEXT($B2841,"0000"))</f>
        <v/>
      </c>
      <c r="W2841" s="19">
        <f>IF($I2841="","",IF(ISNUMBER($I2841),TEXT($I2841,"0"),$I2841))</f>
        <v/>
      </c>
    </row>
    <row r="2842">
      <c r="B2842" s="25" t="n"/>
      <c r="I2842" s="25" t="n"/>
      <c r="U2842" s="19">
        <f>IF($V2842&lt;&gt;'設定'!$C$4,N(U2841),IF(OR(NOT(COUNTIF('商品マスタ'!$B$6:$B$1005,$W2842)=0),COUNTIFS('①在庫を貼る'!$V$6:$V$10005,$V2842,'①在庫を貼る'!$W$6:$W$10005,$W2842)&gt;0),N(U2841),N(U2841)+1))</f>
        <v/>
      </c>
      <c r="V2842" s="19">
        <f>IF($B2842="","",TEXT($B2842,"0000"))</f>
        <v/>
      </c>
      <c r="W2842" s="19">
        <f>IF($I2842="","",IF(ISNUMBER($I2842),TEXT($I2842,"0"),$I2842))</f>
        <v/>
      </c>
    </row>
    <row r="2843">
      <c r="B2843" s="25" t="n"/>
      <c r="I2843" s="25" t="n"/>
      <c r="U2843" s="19">
        <f>IF($V2843&lt;&gt;'設定'!$C$4,N(U2842),IF(OR(NOT(COUNTIF('商品マスタ'!$B$6:$B$1005,$W2843)=0),COUNTIFS('①在庫を貼る'!$V$6:$V$10005,$V2843,'①在庫を貼る'!$W$6:$W$10005,$W2843)&gt;0),N(U2842),N(U2842)+1))</f>
        <v/>
      </c>
      <c r="V2843" s="19">
        <f>IF($B2843="","",TEXT($B2843,"0000"))</f>
        <v/>
      </c>
      <c r="W2843" s="19">
        <f>IF($I2843="","",IF(ISNUMBER($I2843),TEXT($I2843,"0"),$I2843))</f>
        <v/>
      </c>
    </row>
    <row r="2844">
      <c r="B2844" s="25" t="n"/>
      <c r="I2844" s="25" t="n"/>
      <c r="U2844" s="19">
        <f>IF($V2844&lt;&gt;'設定'!$C$4,N(U2843),IF(OR(NOT(COUNTIF('商品マスタ'!$B$6:$B$1005,$W2844)=0),COUNTIFS('①在庫を貼る'!$V$6:$V$10005,$V2844,'①在庫を貼る'!$W$6:$W$10005,$W2844)&gt;0),N(U2843),N(U2843)+1))</f>
        <v/>
      </c>
      <c r="V2844" s="19">
        <f>IF($B2844="","",TEXT($B2844,"0000"))</f>
        <v/>
      </c>
      <c r="W2844" s="19">
        <f>IF($I2844="","",IF(ISNUMBER($I2844),TEXT($I2844,"0"),$I2844))</f>
        <v/>
      </c>
    </row>
    <row r="2845">
      <c r="B2845" s="25" t="n"/>
      <c r="I2845" s="25" t="n"/>
      <c r="U2845" s="19">
        <f>IF($V2845&lt;&gt;'設定'!$C$4,N(U2844),IF(OR(NOT(COUNTIF('商品マスタ'!$B$6:$B$1005,$W2845)=0),COUNTIFS('①在庫を貼る'!$V$6:$V$10005,$V2845,'①在庫を貼る'!$W$6:$W$10005,$W2845)&gt;0),N(U2844),N(U2844)+1))</f>
        <v/>
      </c>
      <c r="V2845" s="19">
        <f>IF($B2845="","",TEXT($B2845,"0000"))</f>
        <v/>
      </c>
      <c r="W2845" s="19">
        <f>IF($I2845="","",IF(ISNUMBER($I2845),TEXT($I2845,"0"),$I2845))</f>
        <v/>
      </c>
    </row>
    <row r="2846">
      <c r="B2846" s="25" t="n"/>
      <c r="I2846" s="25" t="n"/>
      <c r="U2846" s="19">
        <f>IF($V2846&lt;&gt;'設定'!$C$4,N(U2845),IF(OR(NOT(COUNTIF('商品マスタ'!$B$6:$B$1005,$W2846)=0),COUNTIFS('①在庫を貼る'!$V$6:$V$10005,$V2846,'①在庫を貼る'!$W$6:$W$10005,$W2846)&gt;0),N(U2845),N(U2845)+1))</f>
        <v/>
      </c>
      <c r="V2846" s="19">
        <f>IF($B2846="","",TEXT($B2846,"0000"))</f>
        <v/>
      </c>
      <c r="W2846" s="19">
        <f>IF($I2846="","",IF(ISNUMBER($I2846),TEXT($I2846,"0"),$I2846))</f>
        <v/>
      </c>
    </row>
    <row r="2847">
      <c r="B2847" s="25" t="n"/>
      <c r="I2847" s="25" t="n"/>
      <c r="U2847" s="19">
        <f>IF($V2847&lt;&gt;'設定'!$C$4,N(U2846),IF(OR(NOT(COUNTIF('商品マスタ'!$B$6:$B$1005,$W2847)=0),COUNTIFS('①在庫を貼る'!$V$6:$V$10005,$V2847,'①在庫を貼る'!$W$6:$W$10005,$W2847)&gt;0),N(U2846),N(U2846)+1))</f>
        <v/>
      </c>
      <c r="V2847" s="19">
        <f>IF($B2847="","",TEXT($B2847,"0000"))</f>
        <v/>
      </c>
      <c r="W2847" s="19">
        <f>IF($I2847="","",IF(ISNUMBER($I2847),TEXT($I2847,"0"),$I2847))</f>
        <v/>
      </c>
    </row>
    <row r="2848">
      <c r="B2848" s="25" t="n"/>
      <c r="I2848" s="25" t="n"/>
      <c r="U2848" s="19">
        <f>IF($V2848&lt;&gt;'設定'!$C$4,N(U2847),IF(OR(NOT(COUNTIF('商品マスタ'!$B$6:$B$1005,$W2848)=0),COUNTIFS('①在庫を貼る'!$V$6:$V$10005,$V2848,'①在庫を貼る'!$W$6:$W$10005,$W2848)&gt;0),N(U2847),N(U2847)+1))</f>
        <v/>
      </c>
      <c r="V2848" s="19">
        <f>IF($B2848="","",TEXT($B2848,"0000"))</f>
        <v/>
      </c>
      <c r="W2848" s="19">
        <f>IF($I2848="","",IF(ISNUMBER($I2848),TEXT($I2848,"0"),$I2848))</f>
        <v/>
      </c>
    </row>
    <row r="2849">
      <c r="B2849" s="25" t="n"/>
      <c r="I2849" s="25" t="n"/>
      <c r="U2849" s="19">
        <f>IF($V2849&lt;&gt;'設定'!$C$4,N(U2848),IF(OR(NOT(COUNTIF('商品マスタ'!$B$6:$B$1005,$W2849)=0),COUNTIFS('①在庫を貼る'!$V$6:$V$10005,$V2849,'①在庫を貼る'!$W$6:$W$10005,$W2849)&gt;0),N(U2848),N(U2848)+1))</f>
        <v/>
      </c>
      <c r="V2849" s="19">
        <f>IF($B2849="","",TEXT($B2849,"0000"))</f>
        <v/>
      </c>
      <c r="W2849" s="19">
        <f>IF($I2849="","",IF(ISNUMBER($I2849),TEXT($I2849,"0"),$I2849))</f>
        <v/>
      </c>
    </row>
    <row r="2850">
      <c r="B2850" s="25" t="n"/>
      <c r="I2850" s="25" t="n"/>
      <c r="U2850" s="19">
        <f>IF($V2850&lt;&gt;'設定'!$C$4,N(U2849),IF(OR(NOT(COUNTIF('商品マスタ'!$B$6:$B$1005,$W2850)=0),COUNTIFS('①在庫を貼る'!$V$6:$V$10005,$V2850,'①在庫を貼る'!$W$6:$W$10005,$W2850)&gt;0),N(U2849),N(U2849)+1))</f>
        <v/>
      </c>
      <c r="V2850" s="19">
        <f>IF($B2850="","",TEXT($B2850,"0000"))</f>
        <v/>
      </c>
      <c r="W2850" s="19">
        <f>IF($I2850="","",IF(ISNUMBER($I2850),TEXT($I2850,"0"),$I2850))</f>
        <v/>
      </c>
    </row>
    <row r="2851">
      <c r="B2851" s="25" t="n"/>
      <c r="I2851" s="25" t="n"/>
      <c r="U2851" s="19">
        <f>IF($V2851&lt;&gt;'設定'!$C$4,N(U2850),IF(OR(NOT(COUNTIF('商品マスタ'!$B$6:$B$1005,$W2851)=0),COUNTIFS('①在庫を貼る'!$V$6:$V$10005,$V2851,'①在庫を貼る'!$W$6:$W$10005,$W2851)&gt;0),N(U2850),N(U2850)+1))</f>
        <v/>
      </c>
      <c r="V2851" s="19">
        <f>IF($B2851="","",TEXT($B2851,"0000"))</f>
        <v/>
      </c>
      <c r="W2851" s="19">
        <f>IF($I2851="","",IF(ISNUMBER($I2851),TEXT($I2851,"0"),$I2851))</f>
        <v/>
      </c>
    </row>
    <row r="2852">
      <c r="B2852" s="25" t="n"/>
      <c r="I2852" s="25" t="n"/>
      <c r="U2852" s="19">
        <f>IF($V2852&lt;&gt;'設定'!$C$4,N(U2851),IF(OR(NOT(COUNTIF('商品マスタ'!$B$6:$B$1005,$W2852)=0),COUNTIFS('①在庫を貼る'!$V$6:$V$10005,$V2852,'①在庫を貼る'!$W$6:$W$10005,$W2852)&gt;0),N(U2851),N(U2851)+1))</f>
        <v/>
      </c>
      <c r="V2852" s="19">
        <f>IF($B2852="","",TEXT($B2852,"0000"))</f>
        <v/>
      </c>
      <c r="W2852" s="19">
        <f>IF($I2852="","",IF(ISNUMBER($I2852),TEXT($I2852,"0"),$I2852))</f>
        <v/>
      </c>
    </row>
    <row r="2853">
      <c r="B2853" s="25" t="n"/>
      <c r="I2853" s="25" t="n"/>
      <c r="U2853" s="19">
        <f>IF($V2853&lt;&gt;'設定'!$C$4,N(U2852),IF(OR(NOT(COUNTIF('商品マスタ'!$B$6:$B$1005,$W2853)=0),COUNTIFS('①在庫を貼る'!$V$6:$V$10005,$V2853,'①在庫を貼る'!$W$6:$W$10005,$W2853)&gt;0),N(U2852),N(U2852)+1))</f>
        <v/>
      </c>
      <c r="V2853" s="19">
        <f>IF($B2853="","",TEXT($B2853,"0000"))</f>
        <v/>
      </c>
      <c r="W2853" s="19">
        <f>IF($I2853="","",IF(ISNUMBER($I2853),TEXT($I2853,"0"),$I2853))</f>
        <v/>
      </c>
    </row>
    <row r="2854">
      <c r="B2854" s="25" t="n"/>
      <c r="I2854" s="25" t="n"/>
      <c r="U2854" s="19">
        <f>IF($V2854&lt;&gt;'設定'!$C$4,N(U2853),IF(OR(NOT(COUNTIF('商品マスタ'!$B$6:$B$1005,$W2854)=0),COUNTIFS('①在庫を貼る'!$V$6:$V$10005,$V2854,'①在庫を貼る'!$W$6:$W$10005,$W2854)&gt;0),N(U2853),N(U2853)+1))</f>
        <v/>
      </c>
      <c r="V2854" s="19">
        <f>IF($B2854="","",TEXT($B2854,"0000"))</f>
        <v/>
      </c>
      <c r="W2854" s="19">
        <f>IF($I2854="","",IF(ISNUMBER($I2854),TEXT($I2854,"0"),$I2854))</f>
        <v/>
      </c>
    </row>
    <row r="2855">
      <c r="B2855" s="25" t="n"/>
      <c r="I2855" s="25" t="n"/>
      <c r="U2855" s="19">
        <f>IF($V2855&lt;&gt;'設定'!$C$4,N(U2854),IF(OR(NOT(COUNTIF('商品マスタ'!$B$6:$B$1005,$W2855)=0),COUNTIFS('①在庫を貼る'!$V$6:$V$10005,$V2855,'①在庫を貼る'!$W$6:$W$10005,$W2855)&gt;0),N(U2854),N(U2854)+1))</f>
        <v/>
      </c>
      <c r="V2855" s="19">
        <f>IF($B2855="","",TEXT($B2855,"0000"))</f>
        <v/>
      </c>
      <c r="W2855" s="19">
        <f>IF($I2855="","",IF(ISNUMBER($I2855),TEXT($I2855,"0"),$I2855))</f>
        <v/>
      </c>
    </row>
    <row r="2856">
      <c r="B2856" s="25" t="n"/>
      <c r="I2856" s="25" t="n"/>
      <c r="U2856" s="19">
        <f>IF($V2856&lt;&gt;'設定'!$C$4,N(U2855),IF(OR(NOT(COUNTIF('商品マスタ'!$B$6:$B$1005,$W2856)=0),COUNTIFS('①在庫を貼る'!$V$6:$V$10005,$V2856,'①在庫を貼る'!$W$6:$W$10005,$W2856)&gt;0),N(U2855),N(U2855)+1))</f>
        <v/>
      </c>
      <c r="V2856" s="19">
        <f>IF($B2856="","",TEXT($B2856,"0000"))</f>
        <v/>
      </c>
      <c r="W2856" s="19">
        <f>IF($I2856="","",IF(ISNUMBER($I2856),TEXT($I2856,"0"),$I2856))</f>
        <v/>
      </c>
    </row>
    <row r="2857">
      <c r="B2857" s="25" t="n"/>
      <c r="I2857" s="25" t="n"/>
      <c r="U2857" s="19">
        <f>IF($V2857&lt;&gt;'設定'!$C$4,N(U2856),IF(OR(NOT(COUNTIF('商品マスタ'!$B$6:$B$1005,$W2857)=0),COUNTIFS('①在庫を貼る'!$V$6:$V$10005,$V2857,'①在庫を貼る'!$W$6:$W$10005,$W2857)&gt;0),N(U2856),N(U2856)+1))</f>
        <v/>
      </c>
      <c r="V2857" s="19">
        <f>IF($B2857="","",TEXT($B2857,"0000"))</f>
        <v/>
      </c>
      <c r="W2857" s="19">
        <f>IF($I2857="","",IF(ISNUMBER($I2857),TEXT($I2857,"0"),$I2857))</f>
        <v/>
      </c>
    </row>
    <row r="2858">
      <c r="B2858" s="25" t="n"/>
      <c r="I2858" s="25" t="n"/>
      <c r="U2858" s="19">
        <f>IF($V2858&lt;&gt;'設定'!$C$4,N(U2857),IF(OR(NOT(COUNTIF('商品マスタ'!$B$6:$B$1005,$W2858)=0),COUNTIFS('①在庫を貼る'!$V$6:$V$10005,$V2858,'①在庫を貼る'!$W$6:$W$10005,$W2858)&gt;0),N(U2857),N(U2857)+1))</f>
        <v/>
      </c>
      <c r="V2858" s="19">
        <f>IF($B2858="","",TEXT($B2858,"0000"))</f>
        <v/>
      </c>
      <c r="W2858" s="19">
        <f>IF($I2858="","",IF(ISNUMBER($I2858),TEXT($I2858,"0"),$I2858))</f>
        <v/>
      </c>
    </row>
    <row r="2859">
      <c r="B2859" s="25" t="n"/>
      <c r="I2859" s="25" t="n"/>
      <c r="U2859" s="19">
        <f>IF($V2859&lt;&gt;'設定'!$C$4,N(U2858),IF(OR(NOT(COUNTIF('商品マスタ'!$B$6:$B$1005,$W2859)=0),COUNTIFS('①在庫を貼る'!$V$6:$V$10005,$V2859,'①在庫を貼る'!$W$6:$W$10005,$W2859)&gt;0),N(U2858),N(U2858)+1))</f>
        <v/>
      </c>
      <c r="V2859" s="19">
        <f>IF($B2859="","",TEXT($B2859,"0000"))</f>
        <v/>
      </c>
      <c r="W2859" s="19">
        <f>IF($I2859="","",IF(ISNUMBER($I2859),TEXT($I2859,"0"),$I2859))</f>
        <v/>
      </c>
    </row>
    <row r="2860">
      <c r="B2860" s="25" t="n"/>
      <c r="I2860" s="25" t="n"/>
      <c r="U2860" s="19">
        <f>IF($V2860&lt;&gt;'設定'!$C$4,N(U2859),IF(OR(NOT(COUNTIF('商品マスタ'!$B$6:$B$1005,$W2860)=0),COUNTIFS('①在庫を貼る'!$V$6:$V$10005,$V2860,'①在庫を貼る'!$W$6:$W$10005,$W2860)&gt;0),N(U2859),N(U2859)+1))</f>
        <v/>
      </c>
      <c r="V2860" s="19">
        <f>IF($B2860="","",TEXT($B2860,"0000"))</f>
        <v/>
      </c>
      <c r="W2860" s="19">
        <f>IF($I2860="","",IF(ISNUMBER($I2860),TEXT($I2860,"0"),$I2860))</f>
        <v/>
      </c>
    </row>
    <row r="2861">
      <c r="B2861" s="25" t="n"/>
      <c r="I2861" s="25" t="n"/>
      <c r="U2861" s="19">
        <f>IF($V2861&lt;&gt;'設定'!$C$4,N(U2860),IF(OR(NOT(COUNTIF('商品マスタ'!$B$6:$B$1005,$W2861)=0),COUNTIFS('①在庫を貼る'!$V$6:$V$10005,$V2861,'①在庫を貼る'!$W$6:$W$10005,$W2861)&gt;0),N(U2860),N(U2860)+1))</f>
        <v/>
      </c>
      <c r="V2861" s="19">
        <f>IF($B2861="","",TEXT($B2861,"0000"))</f>
        <v/>
      </c>
      <c r="W2861" s="19">
        <f>IF($I2861="","",IF(ISNUMBER($I2861),TEXT($I2861,"0"),$I2861))</f>
        <v/>
      </c>
    </row>
    <row r="2862">
      <c r="B2862" s="25" t="n"/>
      <c r="I2862" s="25" t="n"/>
      <c r="U2862" s="19">
        <f>IF($V2862&lt;&gt;'設定'!$C$4,N(U2861),IF(OR(NOT(COUNTIF('商品マスタ'!$B$6:$B$1005,$W2862)=0),COUNTIFS('①在庫を貼る'!$V$6:$V$10005,$V2862,'①在庫を貼る'!$W$6:$W$10005,$W2862)&gt;0),N(U2861),N(U2861)+1))</f>
        <v/>
      </c>
      <c r="V2862" s="19">
        <f>IF($B2862="","",TEXT($B2862,"0000"))</f>
        <v/>
      </c>
      <c r="W2862" s="19">
        <f>IF($I2862="","",IF(ISNUMBER($I2862),TEXT($I2862,"0"),$I2862))</f>
        <v/>
      </c>
    </row>
    <row r="2863">
      <c r="B2863" s="25" t="n"/>
      <c r="I2863" s="25" t="n"/>
      <c r="U2863" s="19">
        <f>IF($V2863&lt;&gt;'設定'!$C$4,N(U2862),IF(OR(NOT(COUNTIF('商品マスタ'!$B$6:$B$1005,$W2863)=0),COUNTIFS('①在庫を貼る'!$V$6:$V$10005,$V2863,'①在庫を貼る'!$W$6:$W$10005,$W2863)&gt;0),N(U2862),N(U2862)+1))</f>
        <v/>
      </c>
      <c r="V2863" s="19">
        <f>IF($B2863="","",TEXT($B2863,"0000"))</f>
        <v/>
      </c>
      <c r="W2863" s="19">
        <f>IF($I2863="","",IF(ISNUMBER($I2863),TEXT($I2863,"0"),$I2863))</f>
        <v/>
      </c>
    </row>
    <row r="2864">
      <c r="B2864" s="25" t="n"/>
      <c r="I2864" s="25" t="n"/>
      <c r="U2864" s="19">
        <f>IF($V2864&lt;&gt;'設定'!$C$4,N(U2863),IF(OR(NOT(COUNTIF('商品マスタ'!$B$6:$B$1005,$W2864)=0),COUNTIFS('①在庫を貼る'!$V$6:$V$10005,$V2864,'①在庫を貼る'!$W$6:$W$10005,$W2864)&gt;0),N(U2863),N(U2863)+1))</f>
        <v/>
      </c>
      <c r="V2864" s="19">
        <f>IF($B2864="","",TEXT($B2864,"0000"))</f>
        <v/>
      </c>
      <c r="W2864" s="19">
        <f>IF($I2864="","",IF(ISNUMBER($I2864),TEXT($I2864,"0"),$I2864))</f>
        <v/>
      </c>
    </row>
    <row r="2865">
      <c r="B2865" s="25" t="n"/>
      <c r="I2865" s="25" t="n"/>
      <c r="U2865" s="19">
        <f>IF($V2865&lt;&gt;'設定'!$C$4,N(U2864),IF(OR(NOT(COUNTIF('商品マスタ'!$B$6:$B$1005,$W2865)=0),COUNTIFS('①在庫を貼る'!$V$6:$V$10005,$V2865,'①在庫を貼る'!$W$6:$W$10005,$W2865)&gt;0),N(U2864),N(U2864)+1))</f>
        <v/>
      </c>
      <c r="V2865" s="19">
        <f>IF($B2865="","",TEXT($B2865,"0000"))</f>
        <v/>
      </c>
      <c r="W2865" s="19">
        <f>IF($I2865="","",IF(ISNUMBER($I2865),TEXT($I2865,"0"),$I2865))</f>
        <v/>
      </c>
    </row>
    <row r="2866">
      <c r="B2866" s="25" t="n"/>
      <c r="I2866" s="25" t="n"/>
      <c r="U2866" s="19">
        <f>IF($V2866&lt;&gt;'設定'!$C$4,N(U2865),IF(OR(NOT(COUNTIF('商品マスタ'!$B$6:$B$1005,$W2866)=0),COUNTIFS('①在庫を貼る'!$V$6:$V$10005,$V2866,'①在庫を貼る'!$W$6:$W$10005,$W2866)&gt;0),N(U2865),N(U2865)+1))</f>
        <v/>
      </c>
      <c r="V2866" s="19">
        <f>IF($B2866="","",TEXT($B2866,"0000"))</f>
        <v/>
      </c>
      <c r="W2866" s="19">
        <f>IF($I2866="","",IF(ISNUMBER($I2866),TEXT($I2866,"0"),$I2866))</f>
        <v/>
      </c>
    </row>
    <row r="2867">
      <c r="B2867" s="25" t="n"/>
      <c r="I2867" s="25" t="n"/>
      <c r="U2867" s="19">
        <f>IF($V2867&lt;&gt;'設定'!$C$4,N(U2866),IF(OR(NOT(COUNTIF('商品マスタ'!$B$6:$B$1005,$W2867)=0),COUNTIFS('①在庫を貼る'!$V$6:$V$10005,$V2867,'①在庫を貼る'!$W$6:$W$10005,$W2867)&gt;0),N(U2866),N(U2866)+1))</f>
        <v/>
      </c>
      <c r="V2867" s="19">
        <f>IF($B2867="","",TEXT($B2867,"0000"))</f>
        <v/>
      </c>
      <c r="W2867" s="19">
        <f>IF($I2867="","",IF(ISNUMBER($I2867),TEXT($I2867,"0"),$I2867))</f>
        <v/>
      </c>
    </row>
    <row r="2868">
      <c r="B2868" s="25" t="n"/>
      <c r="I2868" s="25" t="n"/>
      <c r="U2868" s="19">
        <f>IF($V2868&lt;&gt;'設定'!$C$4,N(U2867),IF(OR(NOT(COUNTIF('商品マスタ'!$B$6:$B$1005,$W2868)=0),COUNTIFS('①在庫を貼る'!$V$6:$V$10005,$V2868,'①在庫を貼る'!$W$6:$W$10005,$W2868)&gt;0),N(U2867),N(U2867)+1))</f>
        <v/>
      </c>
      <c r="V2868" s="19">
        <f>IF($B2868="","",TEXT($B2868,"0000"))</f>
        <v/>
      </c>
      <c r="W2868" s="19">
        <f>IF($I2868="","",IF(ISNUMBER($I2868),TEXT($I2868,"0"),$I2868))</f>
        <v/>
      </c>
    </row>
    <row r="2869">
      <c r="B2869" s="25" t="n"/>
      <c r="I2869" s="25" t="n"/>
      <c r="U2869" s="19">
        <f>IF($V2869&lt;&gt;'設定'!$C$4,N(U2868),IF(OR(NOT(COUNTIF('商品マスタ'!$B$6:$B$1005,$W2869)=0),COUNTIFS('①在庫を貼る'!$V$6:$V$10005,$V2869,'①在庫を貼る'!$W$6:$W$10005,$W2869)&gt;0),N(U2868),N(U2868)+1))</f>
        <v/>
      </c>
      <c r="V2869" s="19">
        <f>IF($B2869="","",TEXT($B2869,"0000"))</f>
        <v/>
      </c>
      <c r="W2869" s="19">
        <f>IF($I2869="","",IF(ISNUMBER($I2869),TEXT($I2869,"0"),$I2869))</f>
        <v/>
      </c>
    </row>
    <row r="2870">
      <c r="B2870" s="25" t="n"/>
      <c r="I2870" s="25" t="n"/>
      <c r="U2870" s="19">
        <f>IF($V2870&lt;&gt;'設定'!$C$4,N(U2869),IF(OR(NOT(COUNTIF('商品マスタ'!$B$6:$B$1005,$W2870)=0),COUNTIFS('①在庫を貼る'!$V$6:$V$10005,$V2870,'①在庫を貼る'!$W$6:$W$10005,$W2870)&gt;0),N(U2869),N(U2869)+1))</f>
        <v/>
      </c>
      <c r="V2870" s="19">
        <f>IF($B2870="","",TEXT($B2870,"0000"))</f>
        <v/>
      </c>
      <c r="W2870" s="19">
        <f>IF($I2870="","",IF(ISNUMBER($I2870),TEXT($I2870,"0"),$I2870))</f>
        <v/>
      </c>
    </row>
    <row r="2871">
      <c r="B2871" s="25" t="n"/>
      <c r="I2871" s="25" t="n"/>
      <c r="U2871" s="19">
        <f>IF($V2871&lt;&gt;'設定'!$C$4,N(U2870),IF(OR(NOT(COUNTIF('商品マスタ'!$B$6:$B$1005,$W2871)=0),COUNTIFS('①在庫を貼る'!$V$6:$V$10005,$V2871,'①在庫を貼る'!$W$6:$W$10005,$W2871)&gt;0),N(U2870),N(U2870)+1))</f>
        <v/>
      </c>
      <c r="V2871" s="19">
        <f>IF($B2871="","",TEXT($B2871,"0000"))</f>
        <v/>
      </c>
      <c r="W2871" s="19">
        <f>IF($I2871="","",IF(ISNUMBER($I2871),TEXT($I2871,"0"),$I2871))</f>
        <v/>
      </c>
    </row>
    <row r="2872">
      <c r="B2872" s="25" t="n"/>
      <c r="I2872" s="25" t="n"/>
      <c r="U2872" s="19">
        <f>IF($V2872&lt;&gt;'設定'!$C$4,N(U2871),IF(OR(NOT(COUNTIF('商品マスタ'!$B$6:$B$1005,$W2872)=0),COUNTIFS('①在庫を貼る'!$V$6:$V$10005,$V2872,'①在庫を貼る'!$W$6:$W$10005,$W2872)&gt;0),N(U2871),N(U2871)+1))</f>
        <v/>
      </c>
      <c r="V2872" s="19">
        <f>IF($B2872="","",TEXT($B2872,"0000"))</f>
        <v/>
      </c>
      <c r="W2872" s="19">
        <f>IF($I2872="","",IF(ISNUMBER($I2872),TEXT($I2872,"0"),$I2872))</f>
        <v/>
      </c>
    </row>
    <row r="2873">
      <c r="B2873" s="25" t="n"/>
      <c r="I2873" s="25" t="n"/>
      <c r="U2873" s="19">
        <f>IF($V2873&lt;&gt;'設定'!$C$4,N(U2872),IF(OR(NOT(COUNTIF('商品マスタ'!$B$6:$B$1005,$W2873)=0),COUNTIFS('①在庫を貼る'!$V$6:$V$10005,$V2873,'①在庫を貼る'!$W$6:$W$10005,$W2873)&gt;0),N(U2872),N(U2872)+1))</f>
        <v/>
      </c>
      <c r="V2873" s="19">
        <f>IF($B2873="","",TEXT($B2873,"0000"))</f>
        <v/>
      </c>
      <c r="W2873" s="19">
        <f>IF($I2873="","",IF(ISNUMBER($I2873),TEXT($I2873,"0"),$I2873))</f>
        <v/>
      </c>
    </row>
    <row r="2874">
      <c r="B2874" s="25" t="n"/>
      <c r="I2874" s="25" t="n"/>
      <c r="U2874" s="19">
        <f>IF($V2874&lt;&gt;'設定'!$C$4,N(U2873),IF(OR(NOT(COUNTIF('商品マスタ'!$B$6:$B$1005,$W2874)=0),COUNTIFS('①在庫を貼る'!$V$6:$V$10005,$V2874,'①在庫を貼る'!$W$6:$W$10005,$W2874)&gt;0),N(U2873),N(U2873)+1))</f>
        <v/>
      </c>
      <c r="V2874" s="19">
        <f>IF($B2874="","",TEXT($B2874,"0000"))</f>
        <v/>
      </c>
      <c r="W2874" s="19">
        <f>IF($I2874="","",IF(ISNUMBER($I2874),TEXT($I2874,"0"),$I2874))</f>
        <v/>
      </c>
    </row>
    <row r="2875">
      <c r="B2875" s="25" t="n"/>
      <c r="I2875" s="25" t="n"/>
      <c r="U2875" s="19">
        <f>IF($V2875&lt;&gt;'設定'!$C$4,N(U2874),IF(OR(NOT(COUNTIF('商品マスタ'!$B$6:$B$1005,$W2875)=0),COUNTIFS('①在庫を貼る'!$V$6:$V$10005,$V2875,'①在庫を貼る'!$W$6:$W$10005,$W2875)&gt;0),N(U2874),N(U2874)+1))</f>
        <v/>
      </c>
      <c r="V2875" s="19">
        <f>IF($B2875="","",TEXT($B2875,"0000"))</f>
        <v/>
      </c>
      <c r="W2875" s="19">
        <f>IF($I2875="","",IF(ISNUMBER($I2875),TEXT($I2875,"0"),$I2875))</f>
        <v/>
      </c>
    </row>
    <row r="2876">
      <c r="B2876" s="25" t="n"/>
      <c r="I2876" s="25" t="n"/>
      <c r="U2876" s="19">
        <f>IF($V2876&lt;&gt;'設定'!$C$4,N(U2875),IF(OR(NOT(COUNTIF('商品マスタ'!$B$6:$B$1005,$W2876)=0),COUNTIFS('①在庫を貼る'!$V$6:$V$10005,$V2876,'①在庫を貼る'!$W$6:$W$10005,$W2876)&gt;0),N(U2875),N(U2875)+1))</f>
        <v/>
      </c>
      <c r="V2876" s="19">
        <f>IF($B2876="","",TEXT($B2876,"0000"))</f>
        <v/>
      </c>
      <c r="W2876" s="19">
        <f>IF($I2876="","",IF(ISNUMBER($I2876),TEXT($I2876,"0"),$I2876))</f>
        <v/>
      </c>
    </row>
    <row r="2877">
      <c r="B2877" s="25" t="n"/>
      <c r="I2877" s="25" t="n"/>
      <c r="U2877" s="19">
        <f>IF($V2877&lt;&gt;'設定'!$C$4,N(U2876),IF(OR(NOT(COUNTIF('商品マスタ'!$B$6:$B$1005,$W2877)=0),COUNTIFS('①在庫を貼る'!$V$6:$V$10005,$V2877,'①在庫を貼る'!$W$6:$W$10005,$W2877)&gt;0),N(U2876),N(U2876)+1))</f>
        <v/>
      </c>
      <c r="V2877" s="19">
        <f>IF($B2877="","",TEXT($B2877,"0000"))</f>
        <v/>
      </c>
      <c r="W2877" s="19">
        <f>IF($I2877="","",IF(ISNUMBER($I2877),TEXT($I2877,"0"),$I2877))</f>
        <v/>
      </c>
    </row>
    <row r="2878">
      <c r="B2878" s="25" t="n"/>
      <c r="I2878" s="25" t="n"/>
      <c r="U2878" s="19">
        <f>IF($V2878&lt;&gt;'設定'!$C$4,N(U2877),IF(OR(NOT(COUNTIF('商品マスタ'!$B$6:$B$1005,$W2878)=0),COUNTIFS('①在庫を貼る'!$V$6:$V$10005,$V2878,'①在庫を貼る'!$W$6:$W$10005,$W2878)&gt;0),N(U2877),N(U2877)+1))</f>
        <v/>
      </c>
      <c r="V2878" s="19">
        <f>IF($B2878="","",TEXT($B2878,"0000"))</f>
        <v/>
      </c>
      <c r="W2878" s="19">
        <f>IF($I2878="","",IF(ISNUMBER($I2878),TEXT($I2878,"0"),$I2878))</f>
        <v/>
      </c>
    </row>
    <row r="2879">
      <c r="B2879" s="25" t="n"/>
      <c r="I2879" s="25" t="n"/>
      <c r="U2879" s="19">
        <f>IF($V2879&lt;&gt;'設定'!$C$4,N(U2878),IF(OR(NOT(COUNTIF('商品マスタ'!$B$6:$B$1005,$W2879)=0),COUNTIFS('①在庫を貼る'!$V$6:$V$10005,$V2879,'①在庫を貼る'!$W$6:$W$10005,$W2879)&gt;0),N(U2878),N(U2878)+1))</f>
        <v/>
      </c>
      <c r="V2879" s="19">
        <f>IF($B2879="","",TEXT($B2879,"0000"))</f>
        <v/>
      </c>
      <c r="W2879" s="19">
        <f>IF($I2879="","",IF(ISNUMBER($I2879),TEXT($I2879,"0"),$I2879))</f>
        <v/>
      </c>
    </row>
    <row r="2880">
      <c r="B2880" s="25" t="n"/>
      <c r="I2880" s="25" t="n"/>
      <c r="U2880" s="19">
        <f>IF($V2880&lt;&gt;'設定'!$C$4,N(U2879),IF(OR(NOT(COUNTIF('商品マスタ'!$B$6:$B$1005,$W2880)=0),COUNTIFS('①在庫を貼る'!$V$6:$V$10005,$V2880,'①在庫を貼る'!$W$6:$W$10005,$W2880)&gt;0),N(U2879),N(U2879)+1))</f>
        <v/>
      </c>
      <c r="V2880" s="19">
        <f>IF($B2880="","",TEXT($B2880,"0000"))</f>
        <v/>
      </c>
      <c r="W2880" s="19">
        <f>IF($I2880="","",IF(ISNUMBER($I2880),TEXT($I2880,"0"),$I2880))</f>
        <v/>
      </c>
    </row>
    <row r="2881">
      <c r="B2881" s="25" t="n"/>
      <c r="I2881" s="25" t="n"/>
      <c r="U2881" s="19">
        <f>IF($V2881&lt;&gt;'設定'!$C$4,N(U2880),IF(OR(NOT(COUNTIF('商品マスタ'!$B$6:$B$1005,$W2881)=0),COUNTIFS('①在庫を貼る'!$V$6:$V$10005,$V2881,'①在庫を貼る'!$W$6:$W$10005,$W2881)&gt;0),N(U2880),N(U2880)+1))</f>
        <v/>
      </c>
      <c r="V2881" s="19">
        <f>IF($B2881="","",TEXT($B2881,"0000"))</f>
        <v/>
      </c>
      <c r="W2881" s="19">
        <f>IF($I2881="","",IF(ISNUMBER($I2881),TEXT($I2881,"0"),$I2881))</f>
        <v/>
      </c>
    </row>
    <row r="2882">
      <c r="B2882" s="25" t="n"/>
      <c r="I2882" s="25" t="n"/>
      <c r="U2882" s="19">
        <f>IF($V2882&lt;&gt;'設定'!$C$4,N(U2881),IF(OR(NOT(COUNTIF('商品マスタ'!$B$6:$B$1005,$W2882)=0),COUNTIFS('①在庫を貼る'!$V$6:$V$10005,$V2882,'①在庫を貼る'!$W$6:$W$10005,$W2882)&gt;0),N(U2881),N(U2881)+1))</f>
        <v/>
      </c>
      <c r="V2882" s="19">
        <f>IF($B2882="","",TEXT($B2882,"0000"))</f>
        <v/>
      </c>
      <c r="W2882" s="19">
        <f>IF($I2882="","",IF(ISNUMBER($I2882),TEXT($I2882,"0"),$I2882))</f>
        <v/>
      </c>
    </row>
    <row r="2883">
      <c r="B2883" s="25" t="n"/>
      <c r="I2883" s="25" t="n"/>
      <c r="U2883" s="19">
        <f>IF($V2883&lt;&gt;'設定'!$C$4,N(U2882),IF(OR(NOT(COUNTIF('商品マスタ'!$B$6:$B$1005,$W2883)=0),COUNTIFS('①在庫を貼る'!$V$6:$V$10005,$V2883,'①在庫を貼る'!$W$6:$W$10005,$W2883)&gt;0),N(U2882),N(U2882)+1))</f>
        <v/>
      </c>
      <c r="V2883" s="19">
        <f>IF($B2883="","",TEXT($B2883,"0000"))</f>
        <v/>
      </c>
      <c r="W2883" s="19">
        <f>IF($I2883="","",IF(ISNUMBER($I2883),TEXT($I2883,"0"),$I2883))</f>
        <v/>
      </c>
    </row>
    <row r="2884">
      <c r="B2884" s="25" t="n"/>
      <c r="I2884" s="25" t="n"/>
      <c r="U2884" s="19">
        <f>IF($V2884&lt;&gt;'設定'!$C$4,N(U2883),IF(OR(NOT(COUNTIF('商品マスタ'!$B$6:$B$1005,$W2884)=0),COUNTIFS('①在庫を貼る'!$V$6:$V$10005,$V2884,'①在庫を貼る'!$W$6:$W$10005,$W2884)&gt;0),N(U2883),N(U2883)+1))</f>
        <v/>
      </c>
      <c r="V2884" s="19">
        <f>IF($B2884="","",TEXT($B2884,"0000"))</f>
        <v/>
      </c>
      <c r="W2884" s="19">
        <f>IF($I2884="","",IF(ISNUMBER($I2884),TEXT($I2884,"0"),$I2884))</f>
        <v/>
      </c>
    </row>
    <row r="2885">
      <c r="B2885" s="25" t="n"/>
      <c r="I2885" s="25" t="n"/>
      <c r="U2885" s="19">
        <f>IF($V2885&lt;&gt;'設定'!$C$4,N(U2884),IF(OR(NOT(COUNTIF('商品マスタ'!$B$6:$B$1005,$W2885)=0),COUNTIFS('①在庫を貼る'!$V$6:$V$10005,$V2885,'①在庫を貼る'!$W$6:$W$10005,$W2885)&gt;0),N(U2884),N(U2884)+1))</f>
        <v/>
      </c>
      <c r="V2885" s="19">
        <f>IF($B2885="","",TEXT($B2885,"0000"))</f>
        <v/>
      </c>
      <c r="W2885" s="19">
        <f>IF($I2885="","",IF(ISNUMBER($I2885),TEXT($I2885,"0"),$I2885))</f>
        <v/>
      </c>
    </row>
    <row r="2886">
      <c r="B2886" s="25" t="n"/>
      <c r="I2886" s="25" t="n"/>
      <c r="U2886" s="19">
        <f>IF($V2886&lt;&gt;'設定'!$C$4,N(U2885),IF(OR(NOT(COUNTIF('商品マスタ'!$B$6:$B$1005,$W2886)=0),COUNTIFS('①在庫を貼る'!$V$6:$V$10005,$V2886,'①在庫を貼る'!$W$6:$W$10005,$W2886)&gt;0),N(U2885),N(U2885)+1))</f>
        <v/>
      </c>
      <c r="V2886" s="19">
        <f>IF($B2886="","",TEXT($B2886,"0000"))</f>
        <v/>
      </c>
      <c r="W2886" s="19">
        <f>IF($I2886="","",IF(ISNUMBER($I2886),TEXT($I2886,"0"),$I2886))</f>
        <v/>
      </c>
    </row>
    <row r="2887">
      <c r="B2887" s="25" t="n"/>
      <c r="I2887" s="25" t="n"/>
      <c r="U2887" s="19">
        <f>IF($V2887&lt;&gt;'設定'!$C$4,N(U2886),IF(OR(NOT(COUNTIF('商品マスタ'!$B$6:$B$1005,$W2887)=0),COUNTIFS('①在庫を貼る'!$V$6:$V$10005,$V2887,'①在庫を貼る'!$W$6:$W$10005,$W2887)&gt;0),N(U2886),N(U2886)+1))</f>
        <v/>
      </c>
      <c r="V2887" s="19">
        <f>IF($B2887="","",TEXT($B2887,"0000"))</f>
        <v/>
      </c>
      <c r="W2887" s="19">
        <f>IF($I2887="","",IF(ISNUMBER($I2887),TEXT($I2887,"0"),$I2887))</f>
        <v/>
      </c>
    </row>
    <row r="2888">
      <c r="B2888" s="25" t="n"/>
      <c r="I2888" s="25" t="n"/>
      <c r="U2888" s="19">
        <f>IF($V2888&lt;&gt;'設定'!$C$4,N(U2887),IF(OR(NOT(COUNTIF('商品マスタ'!$B$6:$B$1005,$W2888)=0),COUNTIFS('①在庫を貼る'!$V$6:$V$10005,$V2888,'①在庫を貼る'!$W$6:$W$10005,$W2888)&gt;0),N(U2887),N(U2887)+1))</f>
        <v/>
      </c>
      <c r="V2888" s="19">
        <f>IF($B2888="","",TEXT($B2888,"0000"))</f>
        <v/>
      </c>
      <c r="W2888" s="19">
        <f>IF($I2888="","",IF(ISNUMBER($I2888),TEXT($I2888,"0"),$I2888))</f>
        <v/>
      </c>
    </row>
    <row r="2889">
      <c r="B2889" s="25" t="n"/>
      <c r="I2889" s="25" t="n"/>
      <c r="U2889" s="19">
        <f>IF($V2889&lt;&gt;'設定'!$C$4,N(U2888),IF(OR(NOT(COUNTIF('商品マスタ'!$B$6:$B$1005,$W2889)=0),COUNTIFS('①在庫を貼る'!$V$6:$V$10005,$V2889,'①在庫を貼る'!$W$6:$W$10005,$W2889)&gt;0),N(U2888),N(U2888)+1))</f>
        <v/>
      </c>
      <c r="V2889" s="19">
        <f>IF($B2889="","",TEXT($B2889,"0000"))</f>
        <v/>
      </c>
      <c r="W2889" s="19">
        <f>IF($I2889="","",IF(ISNUMBER($I2889),TEXT($I2889,"0"),$I2889))</f>
        <v/>
      </c>
    </row>
    <row r="2890">
      <c r="B2890" s="25" t="n"/>
      <c r="I2890" s="25" t="n"/>
      <c r="U2890" s="19">
        <f>IF($V2890&lt;&gt;'設定'!$C$4,N(U2889),IF(OR(NOT(COUNTIF('商品マスタ'!$B$6:$B$1005,$W2890)=0),COUNTIFS('①在庫を貼る'!$V$6:$V$10005,$V2890,'①在庫を貼る'!$W$6:$W$10005,$W2890)&gt;0),N(U2889),N(U2889)+1))</f>
        <v/>
      </c>
      <c r="V2890" s="19">
        <f>IF($B2890="","",TEXT($B2890,"0000"))</f>
        <v/>
      </c>
      <c r="W2890" s="19">
        <f>IF($I2890="","",IF(ISNUMBER($I2890),TEXT($I2890,"0"),$I2890))</f>
        <v/>
      </c>
    </row>
    <row r="2891">
      <c r="B2891" s="25" t="n"/>
      <c r="I2891" s="25" t="n"/>
      <c r="U2891" s="19">
        <f>IF($V2891&lt;&gt;'設定'!$C$4,N(U2890),IF(OR(NOT(COUNTIF('商品マスタ'!$B$6:$B$1005,$W2891)=0),COUNTIFS('①在庫を貼る'!$V$6:$V$10005,$V2891,'①在庫を貼る'!$W$6:$W$10005,$W2891)&gt;0),N(U2890),N(U2890)+1))</f>
        <v/>
      </c>
      <c r="V2891" s="19">
        <f>IF($B2891="","",TEXT($B2891,"0000"))</f>
        <v/>
      </c>
      <c r="W2891" s="19">
        <f>IF($I2891="","",IF(ISNUMBER($I2891),TEXT($I2891,"0"),$I2891))</f>
        <v/>
      </c>
    </row>
    <row r="2892">
      <c r="B2892" s="25" t="n"/>
      <c r="I2892" s="25" t="n"/>
      <c r="U2892" s="19">
        <f>IF($V2892&lt;&gt;'設定'!$C$4,N(U2891),IF(OR(NOT(COUNTIF('商品マスタ'!$B$6:$B$1005,$W2892)=0),COUNTIFS('①在庫を貼る'!$V$6:$V$10005,$V2892,'①在庫を貼る'!$W$6:$W$10005,$W2892)&gt;0),N(U2891),N(U2891)+1))</f>
        <v/>
      </c>
      <c r="V2892" s="19">
        <f>IF($B2892="","",TEXT($B2892,"0000"))</f>
        <v/>
      </c>
      <c r="W2892" s="19">
        <f>IF($I2892="","",IF(ISNUMBER($I2892),TEXT($I2892,"0"),$I2892))</f>
        <v/>
      </c>
    </row>
    <row r="2893">
      <c r="B2893" s="25" t="n"/>
      <c r="I2893" s="25" t="n"/>
      <c r="U2893" s="19">
        <f>IF($V2893&lt;&gt;'設定'!$C$4,N(U2892),IF(OR(NOT(COUNTIF('商品マスタ'!$B$6:$B$1005,$W2893)=0),COUNTIFS('①在庫を貼る'!$V$6:$V$10005,$V2893,'①在庫を貼る'!$W$6:$W$10005,$W2893)&gt;0),N(U2892),N(U2892)+1))</f>
        <v/>
      </c>
      <c r="V2893" s="19">
        <f>IF($B2893="","",TEXT($B2893,"0000"))</f>
        <v/>
      </c>
      <c r="W2893" s="19">
        <f>IF($I2893="","",IF(ISNUMBER($I2893),TEXT($I2893,"0"),$I2893))</f>
        <v/>
      </c>
    </row>
    <row r="2894">
      <c r="B2894" s="25" t="n"/>
      <c r="I2894" s="25" t="n"/>
      <c r="U2894" s="19">
        <f>IF($V2894&lt;&gt;'設定'!$C$4,N(U2893),IF(OR(NOT(COUNTIF('商品マスタ'!$B$6:$B$1005,$W2894)=0),COUNTIFS('①在庫を貼る'!$V$6:$V$10005,$V2894,'①在庫を貼る'!$W$6:$W$10005,$W2894)&gt;0),N(U2893),N(U2893)+1))</f>
        <v/>
      </c>
      <c r="V2894" s="19">
        <f>IF($B2894="","",TEXT($B2894,"0000"))</f>
        <v/>
      </c>
      <c r="W2894" s="19">
        <f>IF($I2894="","",IF(ISNUMBER($I2894),TEXT($I2894,"0"),$I2894))</f>
        <v/>
      </c>
    </row>
    <row r="2895">
      <c r="B2895" s="25" t="n"/>
      <c r="I2895" s="25" t="n"/>
      <c r="U2895" s="19">
        <f>IF($V2895&lt;&gt;'設定'!$C$4,N(U2894),IF(OR(NOT(COUNTIF('商品マスタ'!$B$6:$B$1005,$W2895)=0),COUNTIFS('①在庫を貼る'!$V$6:$V$10005,$V2895,'①在庫を貼る'!$W$6:$W$10005,$W2895)&gt;0),N(U2894),N(U2894)+1))</f>
        <v/>
      </c>
      <c r="V2895" s="19">
        <f>IF($B2895="","",TEXT($B2895,"0000"))</f>
        <v/>
      </c>
      <c r="W2895" s="19">
        <f>IF($I2895="","",IF(ISNUMBER($I2895),TEXT($I2895,"0"),$I2895))</f>
        <v/>
      </c>
    </row>
    <row r="2896">
      <c r="B2896" s="25" t="n"/>
      <c r="I2896" s="25" t="n"/>
      <c r="U2896" s="19">
        <f>IF($V2896&lt;&gt;'設定'!$C$4,N(U2895),IF(OR(NOT(COUNTIF('商品マスタ'!$B$6:$B$1005,$W2896)=0),COUNTIFS('①在庫を貼る'!$V$6:$V$10005,$V2896,'①在庫を貼る'!$W$6:$W$10005,$W2896)&gt;0),N(U2895),N(U2895)+1))</f>
        <v/>
      </c>
      <c r="V2896" s="19">
        <f>IF($B2896="","",TEXT($B2896,"0000"))</f>
        <v/>
      </c>
      <c r="W2896" s="19">
        <f>IF($I2896="","",IF(ISNUMBER($I2896),TEXT($I2896,"0"),$I2896))</f>
        <v/>
      </c>
    </row>
    <row r="2897">
      <c r="B2897" s="25" t="n"/>
      <c r="I2897" s="25" t="n"/>
      <c r="U2897" s="19">
        <f>IF($V2897&lt;&gt;'設定'!$C$4,N(U2896),IF(OR(NOT(COUNTIF('商品マスタ'!$B$6:$B$1005,$W2897)=0),COUNTIFS('①在庫を貼る'!$V$6:$V$10005,$V2897,'①在庫を貼る'!$W$6:$W$10005,$W2897)&gt;0),N(U2896),N(U2896)+1))</f>
        <v/>
      </c>
      <c r="V2897" s="19">
        <f>IF($B2897="","",TEXT($B2897,"0000"))</f>
        <v/>
      </c>
      <c r="W2897" s="19">
        <f>IF($I2897="","",IF(ISNUMBER($I2897),TEXT($I2897,"0"),$I2897))</f>
        <v/>
      </c>
    </row>
    <row r="2898">
      <c r="B2898" s="25" t="n"/>
      <c r="I2898" s="25" t="n"/>
      <c r="U2898" s="19">
        <f>IF($V2898&lt;&gt;'設定'!$C$4,N(U2897),IF(OR(NOT(COUNTIF('商品マスタ'!$B$6:$B$1005,$W2898)=0),COUNTIFS('①在庫を貼る'!$V$6:$V$10005,$V2898,'①在庫を貼る'!$W$6:$W$10005,$W2898)&gt;0),N(U2897),N(U2897)+1))</f>
        <v/>
      </c>
      <c r="V2898" s="19">
        <f>IF($B2898="","",TEXT($B2898,"0000"))</f>
        <v/>
      </c>
      <c r="W2898" s="19">
        <f>IF($I2898="","",IF(ISNUMBER($I2898),TEXT($I2898,"0"),$I2898))</f>
        <v/>
      </c>
    </row>
    <row r="2899">
      <c r="B2899" s="25" t="n"/>
      <c r="I2899" s="25" t="n"/>
      <c r="U2899" s="19">
        <f>IF($V2899&lt;&gt;'設定'!$C$4,N(U2898),IF(OR(NOT(COUNTIF('商品マスタ'!$B$6:$B$1005,$W2899)=0),COUNTIFS('①在庫を貼る'!$V$6:$V$10005,$V2899,'①在庫を貼る'!$W$6:$W$10005,$W2899)&gt;0),N(U2898),N(U2898)+1))</f>
        <v/>
      </c>
      <c r="V2899" s="19">
        <f>IF($B2899="","",TEXT($B2899,"0000"))</f>
        <v/>
      </c>
      <c r="W2899" s="19">
        <f>IF($I2899="","",IF(ISNUMBER($I2899),TEXT($I2899,"0"),$I2899))</f>
        <v/>
      </c>
    </row>
    <row r="2900">
      <c r="B2900" s="25" t="n"/>
      <c r="I2900" s="25" t="n"/>
      <c r="U2900" s="19">
        <f>IF($V2900&lt;&gt;'設定'!$C$4,N(U2899),IF(OR(NOT(COUNTIF('商品マスタ'!$B$6:$B$1005,$W2900)=0),COUNTIFS('①在庫を貼る'!$V$6:$V$10005,$V2900,'①在庫を貼る'!$W$6:$W$10005,$W2900)&gt;0),N(U2899),N(U2899)+1))</f>
        <v/>
      </c>
      <c r="V2900" s="19">
        <f>IF($B2900="","",TEXT($B2900,"0000"))</f>
        <v/>
      </c>
      <c r="W2900" s="19">
        <f>IF($I2900="","",IF(ISNUMBER($I2900),TEXT($I2900,"0"),$I2900))</f>
        <v/>
      </c>
    </row>
    <row r="2901">
      <c r="B2901" s="25" t="n"/>
      <c r="I2901" s="25" t="n"/>
      <c r="U2901" s="19">
        <f>IF($V2901&lt;&gt;'設定'!$C$4,N(U2900),IF(OR(NOT(COUNTIF('商品マスタ'!$B$6:$B$1005,$W2901)=0),COUNTIFS('①在庫を貼る'!$V$6:$V$10005,$V2901,'①在庫を貼る'!$W$6:$W$10005,$W2901)&gt;0),N(U2900),N(U2900)+1))</f>
        <v/>
      </c>
      <c r="V2901" s="19">
        <f>IF($B2901="","",TEXT($B2901,"0000"))</f>
        <v/>
      </c>
      <c r="W2901" s="19">
        <f>IF($I2901="","",IF(ISNUMBER($I2901),TEXT($I2901,"0"),$I2901))</f>
        <v/>
      </c>
    </row>
    <row r="2902">
      <c r="B2902" s="25" t="n"/>
      <c r="I2902" s="25" t="n"/>
      <c r="U2902" s="19">
        <f>IF($V2902&lt;&gt;'設定'!$C$4,N(U2901),IF(OR(NOT(COUNTIF('商品マスタ'!$B$6:$B$1005,$W2902)=0),COUNTIFS('①在庫を貼る'!$V$6:$V$10005,$V2902,'①在庫を貼る'!$W$6:$W$10005,$W2902)&gt;0),N(U2901),N(U2901)+1))</f>
        <v/>
      </c>
      <c r="V2902" s="19">
        <f>IF($B2902="","",TEXT($B2902,"0000"))</f>
        <v/>
      </c>
      <c r="W2902" s="19">
        <f>IF($I2902="","",IF(ISNUMBER($I2902),TEXT($I2902,"0"),$I2902))</f>
        <v/>
      </c>
    </row>
    <row r="2903">
      <c r="B2903" s="25" t="n"/>
      <c r="I2903" s="25" t="n"/>
      <c r="U2903" s="19">
        <f>IF($V2903&lt;&gt;'設定'!$C$4,N(U2902),IF(OR(NOT(COUNTIF('商品マスタ'!$B$6:$B$1005,$W2903)=0),COUNTIFS('①在庫を貼る'!$V$6:$V$10005,$V2903,'①在庫を貼る'!$W$6:$W$10005,$W2903)&gt;0),N(U2902),N(U2902)+1))</f>
        <v/>
      </c>
      <c r="V2903" s="19">
        <f>IF($B2903="","",TEXT($B2903,"0000"))</f>
        <v/>
      </c>
      <c r="W2903" s="19">
        <f>IF($I2903="","",IF(ISNUMBER($I2903),TEXT($I2903,"0"),$I2903))</f>
        <v/>
      </c>
    </row>
    <row r="2904">
      <c r="B2904" s="25" t="n"/>
      <c r="I2904" s="25" t="n"/>
      <c r="U2904" s="19">
        <f>IF($V2904&lt;&gt;'設定'!$C$4,N(U2903),IF(OR(NOT(COUNTIF('商品マスタ'!$B$6:$B$1005,$W2904)=0),COUNTIFS('①在庫を貼る'!$V$6:$V$10005,$V2904,'①在庫を貼る'!$W$6:$W$10005,$W2904)&gt;0),N(U2903),N(U2903)+1))</f>
        <v/>
      </c>
      <c r="V2904" s="19">
        <f>IF($B2904="","",TEXT($B2904,"0000"))</f>
        <v/>
      </c>
      <c r="W2904" s="19">
        <f>IF($I2904="","",IF(ISNUMBER($I2904),TEXT($I2904,"0"),$I2904))</f>
        <v/>
      </c>
    </row>
    <row r="2905">
      <c r="B2905" s="25" t="n"/>
      <c r="I2905" s="25" t="n"/>
      <c r="U2905" s="19">
        <f>IF($V2905&lt;&gt;'設定'!$C$4,N(U2904),IF(OR(NOT(COUNTIF('商品マスタ'!$B$6:$B$1005,$W2905)=0),COUNTIFS('①在庫を貼る'!$V$6:$V$10005,$V2905,'①在庫を貼る'!$W$6:$W$10005,$W2905)&gt;0),N(U2904),N(U2904)+1))</f>
        <v/>
      </c>
      <c r="V2905" s="19">
        <f>IF($B2905="","",TEXT($B2905,"0000"))</f>
        <v/>
      </c>
      <c r="W2905" s="19">
        <f>IF($I2905="","",IF(ISNUMBER($I2905),TEXT($I2905,"0"),$I2905))</f>
        <v/>
      </c>
    </row>
    <row r="2906">
      <c r="B2906" s="25" t="n"/>
      <c r="I2906" s="25" t="n"/>
      <c r="U2906" s="19">
        <f>IF($V2906&lt;&gt;'設定'!$C$4,N(U2905),IF(OR(NOT(COUNTIF('商品マスタ'!$B$6:$B$1005,$W2906)=0),COUNTIFS('①在庫を貼る'!$V$6:$V$10005,$V2906,'①在庫を貼る'!$W$6:$W$10005,$W2906)&gt;0),N(U2905),N(U2905)+1))</f>
        <v/>
      </c>
      <c r="V2906" s="19">
        <f>IF($B2906="","",TEXT($B2906,"0000"))</f>
        <v/>
      </c>
      <c r="W2906" s="19">
        <f>IF($I2906="","",IF(ISNUMBER($I2906),TEXT($I2906,"0"),$I2906))</f>
        <v/>
      </c>
    </row>
    <row r="2907">
      <c r="B2907" s="25" t="n"/>
      <c r="I2907" s="25" t="n"/>
      <c r="U2907" s="19">
        <f>IF($V2907&lt;&gt;'設定'!$C$4,N(U2906),IF(OR(NOT(COUNTIF('商品マスタ'!$B$6:$B$1005,$W2907)=0),COUNTIFS('①在庫を貼る'!$V$6:$V$10005,$V2907,'①在庫を貼る'!$W$6:$W$10005,$W2907)&gt;0),N(U2906),N(U2906)+1))</f>
        <v/>
      </c>
      <c r="V2907" s="19">
        <f>IF($B2907="","",TEXT($B2907,"0000"))</f>
        <v/>
      </c>
      <c r="W2907" s="19">
        <f>IF($I2907="","",IF(ISNUMBER($I2907),TEXT($I2907,"0"),$I2907))</f>
        <v/>
      </c>
    </row>
    <row r="2908">
      <c r="B2908" s="25" t="n"/>
      <c r="I2908" s="25" t="n"/>
      <c r="U2908" s="19">
        <f>IF($V2908&lt;&gt;'設定'!$C$4,N(U2907),IF(OR(NOT(COUNTIF('商品マスタ'!$B$6:$B$1005,$W2908)=0),COUNTIFS('①在庫を貼る'!$V$6:$V$10005,$V2908,'①在庫を貼る'!$W$6:$W$10005,$W2908)&gt;0),N(U2907),N(U2907)+1))</f>
        <v/>
      </c>
      <c r="V2908" s="19">
        <f>IF($B2908="","",TEXT($B2908,"0000"))</f>
        <v/>
      </c>
      <c r="W2908" s="19">
        <f>IF($I2908="","",IF(ISNUMBER($I2908),TEXT($I2908,"0"),$I2908))</f>
        <v/>
      </c>
    </row>
    <row r="2909">
      <c r="B2909" s="25" t="n"/>
      <c r="I2909" s="25" t="n"/>
      <c r="U2909" s="19">
        <f>IF($V2909&lt;&gt;'設定'!$C$4,N(U2908),IF(OR(NOT(COUNTIF('商品マスタ'!$B$6:$B$1005,$W2909)=0),COUNTIFS('①在庫を貼る'!$V$6:$V$10005,$V2909,'①在庫を貼る'!$W$6:$W$10005,$W2909)&gt;0),N(U2908),N(U2908)+1))</f>
        <v/>
      </c>
      <c r="V2909" s="19">
        <f>IF($B2909="","",TEXT($B2909,"0000"))</f>
        <v/>
      </c>
      <c r="W2909" s="19">
        <f>IF($I2909="","",IF(ISNUMBER($I2909),TEXT($I2909,"0"),$I2909))</f>
        <v/>
      </c>
    </row>
    <row r="2910">
      <c r="B2910" s="25" t="n"/>
      <c r="I2910" s="25" t="n"/>
      <c r="U2910" s="19">
        <f>IF($V2910&lt;&gt;'設定'!$C$4,N(U2909),IF(OR(NOT(COUNTIF('商品マスタ'!$B$6:$B$1005,$W2910)=0),COUNTIFS('①在庫を貼る'!$V$6:$V$10005,$V2910,'①在庫を貼る'!$W$6:$W$10005,$W2910)&gt;0),N(U2909),N(U2909)+1))</f>
        <v/>
      </c>
      <c r="V2910" s="19">
        <f>IF($B2910="","",TEXT($B2910,"0000"))</f>
        <v/>
      </c>
      <c r="W2910" s="19">
        <f>IF($I2910="","",IF(ISNUMBER($I2910),TEXT($I2910,"0"),$I2910))</f>
        <v/>
      </c>
    </row>
    <row r="2911">
      <c r="B2911" s="25" t="n"/>
      <c r="I2911" s="25" t="n"/>
      <c r="U2911" s="19">
        <f>IF($V2911&lt;&gt;'設定'!$C$4,N(U2910),IF(OR(NOT(COUNTIF('商品マスタ'!$B$6:$B$1005,$W2911)=0),COUNTIFS('①在庫を貼る'!$V$6:$V$10005,$V2911,'①在庫を貼る'!$W$6:$W$10005,$W2911)&gt;0),N(U2910),N(U2910)+1))</f>
        <v/>
      </c>
      <c r="V2911" s="19">
        <f>IF($B2911="","",TEXT($B2911,"0000"))</f>
        <v/>
      </c>
      <c r="W2911" s="19">
        <f>IF($I2911="","",IF(ISNUMBER($I2911),TEXT($I2911,"0"),$I2911))</f>
        <v/>
      </c>
    </row>
    <row r="2912">
      <c r="B2912" s="25" t="n"/>
      <c r="I2912" s="25" t="n"/>
      <c r="U2912" s="19">
        <f>IF($V2912&lt;&gt;'設定'!$C$4,N(U2911),IF(OR(NOT(COUNTIF('商品マスタ'!$B$6:$B$1005,$W2912)=0),COUNTIFS('①在庫を貼る'!$V$6:$V$10005,$V2912,'①在庫を貼る'!$W$6:$W$10005,$W2912)&gt;0),N(U2911),N(U2911)+1))</f>
        <v/>
      </c>
      <c r="V2912" s="19">
        <f>IF($B2912="","",TEXT($B2912,"0000"))</f>
        <v/>
      </c>
      <c r="W2912" s="19">
        <f>IF($I2912="","",IF(ISNUMBER($I2912),TEXT($I2912,"0"),$I2912))</f>
        <v/>
      </c>
    </row>
    <row r="2913">
      <c r="B2913" s="25" t="n"/>
      <c r="I2913" s="25" t="n"/>
      <c r="U2913" s="19">
        <f>IF($V2913&lt;&gt;'設定'!$C$4,N(U2912),IF(OR(NOT(COUNTIF('商品マスタ'!$B$6:$B$1005,$W2913)=0),COUNTIFS('①在庫を貼る'!$V$6:$V$10005,$V2913,'①在庫を貼る'!$W$6:$W$10005,$W2913)&gt;0),N(U2912),N(U2912)+1))</f>
        <v/>
      </c>
      <c r="V2913" s="19">
        <f>IF($B2913="","",TEXT($B2913,"0000"))</f>
        <v/>
      </c>
      <c r="W2913" s="19">
        <f>IF($I2913="","",IF(ISNUMBER($I2913),TEXT($I2913,"0"),$I2913))</f>
        <v/>
      </c>
    </row>
    <row r="2914">
      <c r="B2914" s="25" t="n"/>
      <c r="I2914" s="25" t="n"/>
      <c r="U2914" s="19">
        <f>IF($V2914&lt;&gt;'設定'!$C$4,N(U2913),IF(OR(NOT(COUNTIF('商品マスタ'!$B$6:$B$1005,$W2914)=0),COUNTIFS('①在庫を貼る'!$V$6:$V$10005,$V2914,'①在庫を貼る'!$W$6:$W$10005,$W2914)&gt;0),N(U2913),N(U2913)+1))</f>
        <v/>
      </c>
      <c r="V2914" s="19">
        <f>IF($B2914="","",TEXT($B2914,"0000"))</f>
        <v/>
      </c>
      <c r="W2914" s="19">
        <f>IF($I2914="","",IF(ISNUMBER($I2914),TEXT($I2914,"0"),$I2914))</f>
        <v/>
      </c>
    </row>
    <row r="2915">
      <c r="B2915" s="25" t="n"/>
      <c r="I2915" s="25" t="n"/>
      <c r="U2915" s="19">
        <f>IF($V2915&lt;&gt;'設定'!$C$4,N(U2914),IF(OR(NOT(COUNTIF('商品マスタ'!$B$6:$B$1005,$W2915)=0),COUNTIFS('①在庫を貼る'!$V$6:$V$10005,$V2915,'①在庫を貼る'!$W$6:$W$10005,$W2915)&gt;0),N(U2914),N(U2914)+1))</f>
        <v/>
      </c>
      <c r="V2915" s="19">
        <f>IF($B2915="","",TEXT($B2915,"0000"))</f>
        <v/>
      </c>
      <c r="W2915" s="19">
        <f>IF($I2915="","",IF(ISNUMBER($I2915),TEXT($I2915,"0"),$I2915))</f>
        <v/>
      </c>
    </row>
    <row r="2916">
      <c r="B2916" s="25" t="n"/>
      <c r="I2916" s="25" t="n"/>
      <c r="U2916" s="19">
        <f>IF($V2916&lt;&gt;'設定'!$C$4,N(U2915),IF(OR(NOT(COUNTIF('商品マスタ'!$B$6:$B$1005,$W2916)=0),COUNTIFS('①在庫を貼る'!$V$6:$V$10005,$V2916,'①在庫を貼る'!$W$6:$W$10005,$W2916)&gt;0),N(U2915),N(U2915)+1))</f>
        <v/>
      </c>
      <c r="V2916" s="19">
        <f>IF($B2916="","",TEXT($B2916,"0000"))</f>
        <v/>
      </c>
      <c r="W2916" s="19">
        <f>IF($I2916="","",IF(ISNUMBER($I2916),TEXT($I2916,"0"),$I2916))</f>
        <v/>
      </c>
    </row>
    <row r="2917">
      <c r="B2917" s="25" t="n"/>
      <c r="I2917" s="25" t="n"/>
      <c r="U2917" s="19">
        <f>IF($V2917&lt;&gt;'設定'!$C$4,N(U2916),IF(OR(NOT(COUNTIF('商品マスタ'!$B$6:$B$1005,$W2917)=0),COUNTIFS('①在庫を貼る'!$V$6:$V$10005,$V2917,'①在庫を貼る'!$W$6:$W$10005,$W2917)&gt;0),N(U2916),N(U2916)+1))</f>
        <v/>
      </c>
      <c r="V2917" s="19">
        <f>IF($B2917="","",TEXT($B2917,"0000"))</f>
        <v/>
      </c>
      <c r="W2917" s="19">
        <f>IF($I2917="","",IF(ISNUMBER($I2917),TEXT($I2917,"0"),$I2917))</f>
        <v/>
      </c>
    </row>
    <row r="2918">
      <c r="B2918" s="25" t="n"/>
      <c r="I2918" s="25" t="n"/>
      <c r="U2918" s="19">
        <f>IF($V2918&lt;&gt;'設定'!$C$4,N(U2917),IF(OR(NOT(COUNTIF('商品マスタ'!$B$6:$B$1005,$W2918)=0),COUNTIFS('①在庫を貼る'!$V$6:$V$10005,$V2918,'①在庫を貼る'!$W$6:$W$10005,$W2918)&gt;0),N(U2917),N(U2917)+1))</f>
        <v/>
      </c>
      <c r="V2918" s="19">
        <f>IF($B2918="","",TEXT($B2918,"0000"))</f>
        <v/>
      </c>
      <c r="W2918" s="19">
        <f>IF($I2918="","",IF(ISNUMBER($I2918),TEXT($I2918,"0"),$I2918))</f>
        <v/>
      </c>
    </row>
    <row r="2919">
      <c r="B2919" s="25" t="n"/>
      <c r="I2919" s="25" t="n"/>
      <c r="U2919" s="19">
        <f>IF($V2919&lt;&gt;'設定'!$C$4,N(U2918),IF(OR(NOT(COUNTIF('商品マスタ'!$B$6:$B$1005,$W2919)=0),COUNTIFS('①在庫を貼る'!$V$6:$V$10005,$V2919,'①在庫を貼る'!$W$6:$W$10005,$W2919)&gt;0),N(U2918),N(U2918)+1))</f>
        <v/>
      </c>
      <c r="V2919" s="19">
        <f>IF($B2919="","",TEXT($B2919,"0000"))</f>
        <v/>
      </c>
      <c r="W2919" s="19">
        <f>IF($I2919="","",IF(ISNUMBER($I2919),TEXT($I2919,"0"),$I2919))</f>
        <v/>
      </c>
    </row>
    <row r="2920">
      <c r="B2920" s="25" t="n"/>
      <c r="I2920" s="25" t="n"/>
      <c r="U2920" s="19">
        <f>IF($V2920&lt;&gt;'設定'!$C$4,N(U2919),IF(OR(NOT(COUNTIF('商品マスタ'!$B$6:$B$1005,$W2920)=0),COUNTIFS('①在庫を貼る'!$V$6:$V$10005,$V2920,'①在庫を貼る'!$W$6:$W$10005,$W2920)&gt;0),N(U2919),N(U2919)+1))</f>
        <v/>
      </c>
      <c r="V2920" s="19">
        <f>IF($B2920="","",TEXT($B2920,"0000"))</f>
        <v/>
      </c>
      <c r="W2920" s="19">
        <f>IF($I2920="","",IF(ISNUMBER($I2920),TEXT($I2920,"0"),$I2920))</f>
        <v/>
      </c>
    </row>
    <row r="2921">
      <c r="B2921" s="25" t="n"/>
      <c r="I2921" s="25" t="n"/>
      <c r="U2921" s="19">
        <f>IF($V2921&lt;&gt;'設定'!$C$4,N(U2920),IF(OR(NOT(COUNTIF('商品マスタ'!$B$6:$B$1005,$W2921)=0),COUNTIFS('①在庫を貼る'!$V$6:$V$10005,$V2921,'①在庫を貼る'!$W$6:$W$10005,$W2921)&gt;0),N(U2920),N(U2920)+1))</f>
        <v/>
      </c>
      <c r="V2921" s="19">
        <f>IF($B2921="","",TEXT($B2921,"0000"))</f>
        <v/>
      </c>
      <c r="W2921" s="19">
        <f>IF($I2921="","",IF(ISNUMBER($I2921),TEXT($I2921,"0"),$I2921))</f>
        <v/>
      </c>
    </row>
    <row r="2922">
      <c r="B2922" s="25" t="n"/>
      <c r="I2922" s="25" t="n"/>
      <c r="U2922" s="19">
        <f>IF($V2922&lt;&gt;'設定'!$C$4,N(U2921),IF(OR(NOT(COUNTIF('商品マスタ'!$B$6:$B$1005,$W2922)=0),COUNTIFS('①在庫を貼る'!$V$6:$V$10005,$V2922,'①在庫を貼る'!$W$6:$W$10005,$W2922)&gt;0),N(U2921),N(U2921)+1))</f>
        <v/>
      </c>
      <c r="V2922" s="19">
        <f>IF($B2922="","",TEXT($B2922,"0000"))</f>
        <v/>
      </c>
      <c r="W2922" s="19">
        <f>IF($I2922="","",IF(ISNUMBER($I2922),TEXT($I2922,"0"),$I2922))</f>
        <v/>
      </c>
    </row>
    <row r="2923">
      <c r="B2923" s="25" t="n"/>
      <c r="I2923" s="25" t="n"/>
      <c r="U2923" s="19">
        <f>IF($V2923&lt;&gt;'設定'!$C$4,N(U2922),IF(OR(NOT(COUNTIF('商品マスタ'!$B$6:$B$1005,$W2923)=0),COUNTIFS('①在庫を貼る'!$V$6:$V$10005,$V2923,'①在庫を貼る'!$W$6:$W$10005,$W2923)&gt;0),N(U2922),N(U2922)+1))</f>
        <v/>
      </c>
      <c r="V2923" s="19">
        <f>IF($B2923="","",TEXT($B2923,"0000"))</f>
        <v/>
      </c>
      <c r="W2923" s="19">
        <f>IF($I2923="","",IF(ISNUMBER($I2923),TEXT($I2923,"0"),$I2923))</f>
        <v/>
      </c>
    </row>
    <row r="2924">
      <c r="B2924" s="25" t="n"/>
      <c r="I2924" s="25" t="n"/>
      <c r="U2924" s="19">
        <f>IF($V2924&lt;&gt;'設定'!$C$4,N(U2923),IF(OR(NOT(COUNTIF('商品マスタ'!$B$6:$B$1005,$W2924)=0),COUNTIFS('①在庫を貼る'!$V$6:$V$10005,$V2924,'①在庫を貼る'!$W$6:$W$10005,$W2924)&gt;0),N(U2923),N(U2923)+1))</f>
        <v/>
      </c>
      <c r="V2924" s="19">
        <f>IF($B2924="","",TEXT($B2924,"0000"))</f>
        <v/>
      </c>
      <c r="W2924" s="19">
        <f>IF($I2924="","",IF(ISNUMBER($I2924),TEXT($I2924,"0"),$I2924))</f>
        <v/>
      </c>
    </row>
    <row r="2925">
      <c r="B2925" s="25" t="n"/>
      <c r="I2925" s="25" t="n"/>
      <c r="U2925" s="19">
        <f>IF($V2925&lt;&gt;'設定'!$C$4,N(U2924),IF(OR(NOT(COUNTIF('商品マスタ'!$B$6:$B$1005,$W2925)=0),COUNTIFS('①在庫を貼る'!$V$6:$V$10005,$V2925,'①在庫を貼る'!$W$6:$W$10005,$W2925)&gt;0),N(U2924),N(U2924)+1))</f>
        <v/>
      </c>
      <c r="V2925" s="19">
        <f>IF($B2925="","",TEXT($B2925,"0000"))</f>
        <v/>
      </c>
      <c r="W2925" s="19">
        <f>IF($I2925="","",IF(ISNUMBER($I2925),TEXT($I2925,"0"),$I2925))</f>
        <v/>
      </c>
    </row>
    <row r="2926">
      <c r="B2926" s="25" t="n"/>
      <c r="I2926" s="25" t="n"/>
      <c r="U2926" s="19">
        <f>IF($V2926&lt;&gt;'設定'!$C$4,N(U2925),IF(OR(NOT(COUNTIF('商品マスタ'!$B$6:$B$1005,$W2926)=0),COUNTIFS('①在庫を貼る'!$V$6:$V$10005,$V2926,'①在庫を貼る'!$W$6:$W$10005,$W2926)&gt;0),N(U2925),N(U2925)+1))</f>
        <v/>
      </c>
      <c r="V2926" s="19">
        <f>IF($B2926="","",TEXT($B2926,"0000"))</f>
        <v/>
      </c>
      <c r="W2926" s="19">
        <f>IF($I2926="","",IF(ISNUMBER($I2926),TEXT($I2926,"0"),$I2926))</f>
        <v/>
      </c>
    </row>
    <row r="2927">
      <c r="B2927" s="25" t="n"/>
      <c r="I2927" s="25" t="n"/>
      <c r="U2927" s="19">
        <f>IF($V2927&lt;&gt;'設定'!$C$4,N(U2926),IF(OR(NOT(COUNTIF('商品マスタ'!$B$6:$B$1005,$W2927)=0),COUNTIFS('①在庫を貼る'!$V$6:$V$10005,$V2927,'①在庫を貼る'!$W$6:$W$10005,$W2927)&gt;0),N(U2926),N(U2926)+1))</f>
        <v/>
      </c>
      <c r="V2927" s="19">
        <f>IF($B2927="","",TEXT($B2927,"0000"))</f>
        <v/>
      </c>
      <c r="W2927" s="19">
        <f>IF($I2927="","",IF(ISNUMBER($I2927),TEXT($I2927,"0"),$I2927))</f>
        <v/>
      </c>
    </row>
    <row r="2928">
      <c r="B2928" s="25" t="n"/>
      <c r="I2928" s="25" t="n"/>
      <c r="U2928" s="19">
        <f>IF($V2928&lt;&gt;'設定'!$C$4,N(U2927),IF(OR(NOT(COUNTIF('商品マスタ'!$B$6:$B$1005,$W2928)=0),COUNTIFS('①在庫を貼る'!$V$6:$V$10005,$V2928,'①在庫を貼る'!$W$6:$W$10005,$W2928)&gt;0),N(U2927),N(U2927)+1))</f>
        <v/>
      </c>
      <c r="V2928" s="19">
        <f>IF($B2928="","",TEXT($B2928,"0000"))</f>
        <v/>
      </c>
      <c r="W2928" s="19">
        <f>IF($I2928="","",IF(ISNUMBER($I2928),TEXT($I2928,"0"),$I2928))</f>
        <v/>
      </c>
    </row>
    <row r="2929">
      <c r="B2929" s="25" t="n"/>
      <c r="I2929" s="25" t="n"/>
      <c r="U2929" s="19">
        <f>IF($V2929&lt;&gt;'設定'!$C$4,N(U2928),IF(OR(NOT(COUNTIF('商品マスタ'!$B$6:$B$1005,$W2929)=0),COUNTIFS('①在庫を貼る'!$V$6:$V$10005,$V2929,'①在庫を貼る'!$W$6:$W$10005,$W2929)&gt;0),N(U2928),N(U2928)+1))</f>
        <v/>
      </c>
      <c r="V2929" s="19">
        <f>IF($B2929="","",TEXT($B2929,"0000"))</f>
        <v/>
      </c>
      <c r="W2929" s="19">
        <f>IF($I2929="","",IF(ISNUMBER($I2929),TEXT($I2929,"0"),$I2929))</f>
        <v/>
      </c>
    </row>
    <row r="2930">
      <c r="B2930" s="25" t="n"/>
      <c r="I2930" s="25" t="n"/>
      <c r="U2930" s="19">
        <f>IF($V2930&lt;&gt;'設定'!$C$4,N(U2929),IF(OR(NOT(COUNTIF('商品マスタ'!$B$6:$B$1005,$W2930)=0),COUNTIFS('①在庫を貼る'!$V$6:$V$10005,$V2930,'①在庫を貼る'!$W$6:$W$10005,$W2930)&gt;0),N(U2929),N(U2929)+1))</f>
        <v/>
      </c>
      <c r="V2930" s="19">
        <f>IF($B2930="","",TEXT($B2930,"0000"))</f>
        <v/>
      </c>
      <c r="W2930" s="19">
        <f>IF($I2930="","",IF(ISNUMBER($I2930),TEXT($I2930,"0"),$I2930))</f>
        <v/>
      </c>
    </row>
    <row r="2931">
      <c r="B2931" s="25" t="n"/>
      <c r="I2931" s="25" t="n"/>
      <c r="U2931" s="19">
        <f>IF($V2931&lt;&gt;'設定'!$C$4,N(U2930),IF(OR(NOT(COUNTIF('商品マスタ'!$B$6:$B$1005,$W2931)=0),COUNTIFS('①在庫を貼る'!$V$6:$V$10005,$V2931,'①在庫を貼る'!$W$6:$W$10005,$W2931)&gt;0),N(U2930),N(U2930)+1))</f>
        <v/>
      </c>
      <c r="V2931" s="19">
        <f>IF($B2931="","",TEXT($B2931,"0000"))</f>
        <v/>
      </c>
      <c r="W2931" s="19">
        <f>IF($I2931="","",IF(ISNUMBER($I2931),TEXT($I2931,"0"),$I2931))</f>
        <v/>
      </c>
    </row>
    <row r="2932">
      <c r="B2932" s="25" t="n"/>
      <c r="I2932" s="25" t="n"/>
      <c r="U2932" s="19">
        <f>IF($V2932&lt;&gt;'設定'!$C$4,N(U2931),IF(OR(NOT(COUNTIF('商品マスタ'!$B$6:$B$1005,$W2932)=0),COUNTIFS('①在庫を貼る'!$V$6:$V$10005,$V2932,'①在庫を貼る'!$W$6:$W$10005,$W2932)&gt;0),N(U2931),N(U2931)+1))</f>
        <v/>
      </c>
      <c r="V2932" s="19">
        <f>IF($B2932="","",TEXT($B2932,"0000"))</f>
        <v/>
      </c>
      <c r="W2932" s="19">
        <f>IF($I2932="","",IF(ISNUMBER($I2932),TEXT($I2932,"0"),$I2932))</f>
        <v/>
      </c>
    </row>
    <row r="2933">
      <c r="B2933" s="25" t="n"/>
      <c r="I2933" s="25" t="n"/>
      <c r="U2933" s="19">
        <f>IF($V2933&lt;&gt;'設定'!$C$4,N(U2932),IF(OR(NOT(COUNTIF('商品マスタ'!$B$6:$B$1005,$W2933)=0),COUNTIFS('①在庫を貼る'!$V$6:$V$10005,$V2933,'①在庫を貼る'!$W$6:$W$10005,$W2933)&gt;0),N(U2932),N(U2932)+1))</f>
        <v/>
      </c>
      <c r="V2933" s="19">
        <f>IF($B2933="","",TEXT($B2933,"0000"))</f>
        <v/>
      </c>
      <c r="W2933" s="19">
        <f>IF($I2933="","",IF(ISNUMBER($I2933),TEXT($I2933,"0"),$I2933))</f>
        <v/>
      </c>
    </row>
    <row r="2934">
      <c r="B2934" s="25" t="n"/>
      <c r="I2934" s="25" t="n"/>
      <c r="U2934" s="19">
        <f>IF($V2934&lt;&gt;'設定'!$C$4,N(U2933),IF(OR(NOT(COUNTIF('商品マスタ'!$B$6:$B$1005,$W2934)=0),COUNTIFS('①在庫を貼る'!$V$6:$V$10005,$V2934,'①在庫を貼る'!$W$6:$W$10005,$W2934)&gt;0),N(U2933),N(U2933)+1))</f>
        <v/>
      </c>
      <c r="V2934" s="19">
        <f>IF($B2934="","",TEXT($B2934,"0000"))</f>
        <v/>
      </c>
      <c r="W2934" s="19">
        <f>IF($I2934="","",IF(ISNUMBER($I2934),TEXT($I2934,"0"),$I2934))</f>
        <v/>
      </c>
    </row>
    <row r="2935">
      <c r="B2935" s="25" t="n"/>
      <c r="I2935" s="25" t="n"/>
      <c r="U2935" s="19">
        <f>IF($V2935&lt;&gt;'設定'!$C$4,N(U2934),IF(OR(NOT(COUNTIF('商品マスタ'!$B$6:$B$1005,$W2935)=0),COUNTIFS('①在庫を貼る'!$V$6:$V$10005,$V2935,'①在庫を貼る'!$W$6:$W$10005,$W2935)&gt;0),N(U2934),N(U2934)+1))</f>
        <v/>
      </c>
      <c r="V2935" s="19">
        <f>IF($B2935="","",TEXT($B2935,"0000"))</f>
        <v/>
      </c>
      <c r="W2935" s="19">
        <f>IF($I2935="","",IF(ISNUMBER($I2935),TEXT($I2935,"0"),$I2935))</f>
        <v/>
      </c>
    </row>
    <row r="2936">
      <c r="B2936" s="25" t="n"/>
      <c r="I2936" s="25" t="n"/>
      <c r="U2936" s="19">
        <f>IF($V2936&lt;&gt;'設定'!$C$4,N(U2935),IF(OR(NOT(COUNTIF('商品マスタ'!$B$6:$B$1005,$W2936)=0),COUNTIFS('①在庫を貼る'!$V$6:$V$10005,$V2936,'①在庫を貼る'!$W$6:$W$10005,$W2936)&gt;0),N(U2935),N(U2935)+1))</f>
        <v/>
      </c>
      <c r="V2936" s="19">
        <f>IF($B2936="","",TEXT($B2936,"0000"))</f>
        <v/>
      </c>
      <c r="W2936" s="19">
        <f>IF($I2936="","",IF(ISNUMBER($I2936),TEXT($I2936,"0"),$I2936))</f>
        <v/>
      </c>
    </row>
    <row r="2937">
      <c r="B2937" s="25" t="n"/>
      <c r="I2937" s="25" t="n"/>
      <c r="U2937" s="19">
        <f>IF($V2937&lt;&gt;'設定'!$C$4,N(U2936),IF(OR(NOT(COUNTIF('商品マスタ'!$B$6:$B$1005,$W2937)=0),COUNTIFS('①在庫を貼る'!$V$6:$V$10005,$V2937,'①在庫を貼る'!$W$6:$W$10005,$W2937)&gt;0),N(U2936),N(U2936)+1))</f>
        <v/>
      </c>
      <c r="V2937" s="19">
        <f>IF($B2937="","",TEXT($B2937,"0000"))</f>
        <v/>
      </c>
      <c r="W2937" s="19">
        <f>IF($I2937="","",IF(ISNUMBER($I2937),TEXT($I2937,"0"),$I2937))</f>
        <v/>
      </c>
    </row>
    <row r="2938">
      <c r="B2938" s="25" t="n"/>
      <c r="I2938" s="25" t="n"/>
      <c r="U2938" s="19">
        <f>IF($V2938&lt;&gt;'設定'!$C$4,N(U2937),IF(OR(NOT(COUNTIF('商品マスタ'!$B$6:$B$1005,$W2938)=0),COUNTIFS('①在庫を貼る'!$V$6:$V$10005,$V2938,'①在庫を貼る'!$W$6:$W$10005,$W2938)&gt;0),N(U2937),N(U2937)+1))</f>
        <v/>
      </c>
      <c r="V2938" s="19">
        <f>IF($B2938="","",TEXT($B2938,"0000"))</f>
        <v/>
      </c>
      <c r="W2938" s="19">
        <f>IF($I2938="","",IF(ISNUMBER($I2938),TEXT($I2938,"0"),$I2938))</f>
        <v/>
      </c>
    </row>
    <row r="2939">
      <c r="B2939" s="25" t="n"/>
      <c r="I2939" s="25" t="n"/>
      <c r="U2939" s="19">
        <f>IF($V2939&lt;&gt;'設定'!$C$4,N(U2938),IF(OR(NOT(COUNTIF('商品マスタ'!$B$6:$B$1005,$W2939)=0),COUNTIFS('①在庫を貼る'!$V$6:$V$10005,$V2939,'①在庫を貼る'!$W$6:$W$10005,$W2939)&gt;0),N(U2938),N(U2938)+1))</f>
        <v/>
      </c>
      <c r="V2939" s="19">
        <f>IF($B2939="","",TEXT($B2939,"0000"))</f>
        <v/>
      </c>
      <c r="W2939" s="19">
        <f>IF($I2939="","",IF(ISNUMBER($I2939),TEXT($I2939,"0"),$I2939))</f>
        <v/>
      </c>
    </row>
    <row r="2940">
      <c r="B2940" s="25" t="n"/>
      <c r="I2940" s="25" t="n"/>
      <c r="U2940" s="19">
        <f>IF($V2940&lt;&gt;'設定'!$C$4,N(U2939),IF(OR(NOT(COUNTIF('商品マスタ'!$B$6:$B$1005,$W2940)=0),COUNTIFS('①在庫を貼る'!$V$6:$V$10005,$V2940,'①在庫を貼る'!$W$6:$W$10005,$W2940)&gt;0),N(U2939),N(U2939)+1))</f>
        <v/>
      </c>
      <c r="V2940" s="19">
        <f>IF($B2940="","",TEXT($B2940,"0000"))</f>
        <v/>
      </c>
      <c r="W2940" s="19">
        <f>IF($I2940="","",IF(ISNUMBER($I2940),TEXT($I2940,"0"),$I2940))</f>
        <v/>
      </c>
    </row>
    <row r="2941">
      <c r="B2941" s="25" t="n"/>
      <c r="I2941" s="25" t="n"/>
      <c r="U2941" s="19">
        <f>IF($V2941&lt;&gt;'設定'!$C$4,N(U2940),IF(OR(NOT(COUNTIF('商品マスタ'!$B$6:$B$1005,$W2941)=0),COUNTIFS('①在庫を貼る'!$V$6:$V$10005,$V2941,'①在庫を貼る'!$W$6:$W$10005,$W2941)&gt;0),N(U2940),N(U2940)+1))</f>
        <v/>
      </c>
      <c r="V2941" s="19">
        <f>IF($B2941="","",TEXT($B2941,"0000"))</f>
        <v/>
      </c>
      <c r="W2941" s="19">
        <f>IF($I2941="","",IF(ISNUMBER($I2941),TEXT($I2941,"0"),$I2941))</f>
        <v/>
      </c>
    </row>
    <row r="2942">
      <c r="B2942" s="25" t="n"/>
      <c r="I2942" s="25" t="n"/>
      <c r="U2942" s="19">
        <f>IF($V2942&lt;&gt;'設定'!$C$4,N(U2941),IF(OR(NOT(COUNTIF('商品マスタ'!$B$6:$B$1005,$W2942)=0),COUNTIFS('①在庫を貼る'!$V$6:$V$10005,$V2942,'①在庫を貼る'!$W$6:$W$10005,$W2942)&gt;0),N(U2941),N(U2941)+1))</f>
        <v/>
      </c>
      <c r="V2942" s="19">
        <f>IF($B2942="","",TEXT($B2942,"0000"))</f>
        <v/>
      </c>
      <c r="W2942" s="19">
        <f>IF($I2942="","",IF(ISNUMBER($I2942),TEXT($I2942,"0"),$I2942))</f>
        <v/>
      </c>
    </row>
    <row r="2943">
      <c r="B2943" s="25" t="n"/>
      <c r="I2943" s="25" t="n"/>
      <c r="U2943" s="19">
        <f>IF($V2943&lt;&gt;'設定'!$C$4,N(U2942),IF(OR(NOT(COUNTIF('商品マスタ'!$B$6:$B$1005,$W2943)=0),COUNTIFS('①在庫を貼る'!$V$6:$V$10005,$V2943,'①在庫を貼る'!$W$6:$W$10005,$W2943)&gt;0),N(U2942),N(U2942)+1))</f>
        <v/>
      </c>
      <c r="V2943" s="19">
        <f>IF($B2943="","",TEXT($B2943,"0000"))</f>
        <v/>
      </c>
      <c r="W2943" s="19">
        <f>IF($I2943="","",IF(ISNUMBER($I2943),TEXT($I2943,"0"),$I2943))</f>
        <v/>
      </c>
    </row>
    <row r="2944">
      <c r="B2944" s="25" t="n"/>
      <c r="I2944" s="25" t="n"/>
      <c r="U2944" s="19">
        <f>IF($V2944&lt;&gt;'設定'!$C$4,N(U2943),IF(OR(NOT(COUNTIF('商品マスタ'!$B$6:$B$1005,$W2944)=0),COUNTIFS('①在庫を貼る'!$V$6:$V$10005,$V2944,'①在庫を貼る'!$W$6:$W$10005,$W2944)&gt;0),N(U2943),N(U2943)+1))</f>
        <v/>
      </c>
      <c r="V2944" s="19">
        <f>IF($B2944="","",TEXT($B2944,"0000"))</f>
        <v/>
      </c>
      <c r="W2944" s="19">
        <f>IF($I2944="","",IF(ISNUMBER($I2944),TEXT($I2944,"0"),$I2944))</f>
        <v/>
      </c>
    </row>
    <row r="2945">
      <c r="B2945" s="25" t="n"/>
      <c r="I2945" s="25" t="n"/>
      <c r="U2945" s="19">
        <f>IF($V2945&lt;&gt;'設定'!$C$4,N(U2944),IF(OR(NOT(COUNTIF('商品マスタ'!$B$6:$B$1005,$W2945)=0),COUNTIFS('①在庫を貼る'!$V$6:$V$10005,$V2945,'①在庫を貼る'!$W$6:$W$10005,$W2945)&gt;0),N(U2944),N(U2944)+1))</f>
        <v/>
      </c>
      <c r="V2945" s="19">
        <f>IF($B2945="","",TEXT($B2945,"0000"))</f>
        <v/>
      </c>
      <c r="W2945" s="19">
        <f>IF($I2945="","",IF(ISNUMBER($I2945),TEXT($I2945,"0"),$I2945))</f>
        <v/>
      </c>
    </row>
    <row r="2946">
      <c r="B2946" s="25" t="n"/>
      <c r="I2946" s="25" t="n"/>
      <c r="U2946" s="19">
        <f>IF($V2946&lt;&gt;'設定'!$C$4,N(U2945),IF(OR(NOT(COUNTIF('商品マスタ'!$B$6:$B$1005,$W2946)=0),COUNTIFS('①在庫を貼る'!$V$6:$V$10005,$V2946,'①在庫を貼る'!$W$6:$W$10005,$W2946)&gt;0),N(U2945),N(U2945)+1))</f>
        <v/>
      </c>
      <c r="V2946" s="19">
        <f>IF($B2946="","",TEXT($B2946,"0000"))</f>
        <v/>
      </c>
      <c r="W2946" s="19">
        <f>IF($I2946="","",IF(ISNUMBER($I2946),TEXT($I2946,"0"),$I2946))</f>
        <v/>
      </c>
    </row>
    <row r="2947">
      <c r="B2947" s="25" t="n"/>
      <c r="I2947" s="25" t="n"/>
      <c r="U2947" s="19">
        <f>IF($V2947&lt;&gt;'設定'!$C$4,N(U2946),IF(OR(NOT(COUNTIF('商品マスタ'!$B$6:$B$1005,$W2947)=0),COUNTIFS('①在庫を貼る'!$V$6:$V$10005,$V2947,'①在庫を貼る'!$W$6:$W$10005,$W2947)&gt;0),N(U2946),N(U2946)+1))</f>
        <v/>
      </c>
      <c r="V2947" s="19">
        <f>IF($B2947="","",TEXT($B2947,"0000"))</f>
        <v/>
      </c>
      <c r="W2947" s="19">
        <f>IF($I2947="","",IF(ISNUMBER($I2947),TEXT($I2947,"0"),$I2947))</f>
        <v/>
      </c>
    </row>
    <row r="2948">
      <c r="B2948" s="25" t="n"/>
      <c r="I2948" s="25" t="n"/>
      <c r="U2948" s="19">
        <f>IF($V2948&lt;&gt;'設定'!$C$4,N(U2947),IF(OR(NOT(COUNTIF('商品マスタ'!$B$6:$B$1005,$W2948)=0),COUNTIFS('①在庫を貼る'!$V$6:$V$10005,$V2948,'①在庫を貼る'!$W$6:$W$10005,$W2948)&gt;0),N(U2947),N(U2947)+1))</f>
        <v/>
      </c>
      <c r="V2948" s="19">
        <f>IF($B2948="","",TEXT($B2948,"0000"))</f>
        <v/>
      </c>
      <c r="W2948" s="19">
        <f>IF($I2948="","",IF(ISNUMBER($I2948),TEXT($I2948,"0"),$I2948))</f>
        <v/>
      </c>
    </row>
    <row r="2949">
      <c r="B2949" s="25" t="n"/>
      <c r="I2949" s="25" t="n"/>
      <c r="U2949" s="19">
        <f>IF($V2949&lt;&gt;'設定'!$C$4,N(U2948),IF(OR(NOT(COUNTIF('商品マスタ'!$B$6:$B$1005,$W2949)=0),COUNTIFS('①在庫を貼る'!$V$6:$V$10005,$V2949,'①在庫を貼る'!$W$6:$W$10005,$W2949)&gt;0),N(U2948),N(U2948)+1))</f>
        <v/>
      </c>
      <c r="V2949" s="19">
        <f>IF($B2949="","",TEXT($B2949,"0000"))</f>
        <v/>
      </c>
      <c r="W2949" s="19">
        <f>IF($I2949="","",IF(ISNUMBER($I2949),TEXT($I2949,"0"),$I2949))</f>
        <v/>
      </c>
    </row>
    <row r="2950">
      <c r="B2950" s="25" t="n"/>
      <c r="I2950" s="25" t="n"/>
      <c r="U2950" s="19">
        <f>IF($V2950&lt;&gt;'設定'!$C$4,N(U2949),IF(OR(NOT(COUNTIF('商品マスタ'!$B$6:$B$1005,$W2950)=0),COUNTIFS('①在庫を貼る'!$V$6:$V$10005,$V2950,'①在庫を貼る'!$W$6:$W$10005,$W2950)&gt;0),N(U2949),N(U2949)+1))</f>
        <v/>
      </c>
      <c r="V2950" s="19">
        <f>IF($B2950="","",TEXT($B2950,"0000"))</f>
        <v/>
      </c>
      <c r="W2950" s="19">
        <f>IF($I2950="","",IF(ISNUMBER($I2950),TEXT($I2950,"0"),$I2950))</f>
        <v/>
      </c>
    </row>
    <row r="2951">
      <c r="B2951" s="25" t="n"/>
      <c r="I2951" s="25" t="n"/>
      <c r="U2951" s="19">
        <f>IF($V2951&lt;&gt;'設定'!$C$4,N(U2950),IF(OR(NOT(COUNTIF('商品マスタ'!$B$6:$B$1005,$W2951)=0),COUNTIFS('①在庫を貼る'!$V$6:$V$10005,$V2951,'①在庫を貼る'!$W$6:$W$10005,$W2951)&gt;0),N(U2950),N(U2950)+1))</f>
        <v/>
      </c>
      <c r="V2951" s="19">
        <f>IF($B2951="","",TEXT($B2951,"0000"))</f>
        <v/>
      </c>
      <c r="W2951" s="19">
        <f>IF($I2951="","",IF(ISNUMBER($I2951),TEXT($I2951,"0"),$I2951))</f>
        <v/>
      </c>
    </row>
    <row r="2952">
      <c r="B2952" s="25" t="n"/>
      <c r="I2952" s="25" t="n"/>
      <c r="U2952" s="19">
        <f>IF($V2952&lt;&gt;'設定'!$C$4,N(U2951),IF(OR(NOT(COUNTIF('商品マスタ'!$B$6:$B$1005,$W2952)=0),COUNTIFS('①在庫を貼る'!$V$6:$V$10005,$V2952,'①在庫を貼る'!$W$6:$W$10005,$W2952)&gt;0),N(U2951),N(U2951)+1))</f>
        <v/>
      </c>
      <c r="V2952" s="19">
        <f>IF($B2952="","",TEXT($B2952,"0000"))</f>
        <v/>
      </c>
      <c r="W2952" s="19">
        <f>IF($I2952="","",IF(ISNUMBER($I2952),TEXT($I2952,"0"),$I2952))</f>
        <v/>
      </c>
    </row>
    <row r="2953">
      <c r="B2953" s="25" t="n"/>
      <c r="I2953" s="25" t="n"/>
      <c r="U2953" s="19">
        <f>IF($V2953&lt;&gt;'設定'!$C$4,N(U2952),IF(OR(NOT(COUNTIF('商品マスタ'!$B$6:$B$1005,$W2953)=0),COUNTIFS('①在庫を貼る'!$V$6:$V$10005,$V2953,'①在庫を貼る'!$W$6:$W$10005,$W2953)&gt;0),N(U2952),N(U2952)+1))</f>
        <v/>
      </c>
      <c r="V2953" s="19">
        <f>IF($B2953="","",TEXT($B2953,"0000"))</f>
        <v/>
      </c>
      <c r="W2953" s="19">
        <f>IF($I2953="","",IF(ISNUMBER($I2953),TEXT($I2953,"0"),$I2953))</f>
        <v/>
      </c>
    </row>
    <row r="2954">
      <c r="B2954" s="25" t="n"/>
      <c r="I2954" s="25" t="n"/>
      <c r="U2954" s="19">
        <f>IF($V2954&lt;&gt;'設定'!$C$4,N(U2953),IF(OR(NOT(COUNTIF('商品マスタ'!$B$6:$B$1005,$W2954)=0),COUNTIFS('①在庫を貼る'!$V$6:$V$10005,$V2954,'①在庫を貼る'!$W$6:$W$10005,$W2954)&gt;0),N(U2953),N(U2953)+1))</f>
        <v/>
      </c>
      <c r="V2954" s="19">
        <f>IF($B2954="","",TEXT($B2954,"0000"))</f>
        <v/>
      </c>
      <c r="W2954" s="19">
        <f>IF($I2954="","",IF(ISNUMBER($I2954),TEXT($I2954,"0"),$I2954))</f>
        <v/>
      </c>
    </row>
    <row r="2955">
      <c r="B2955" s="25" t="n"/>
      <c r="I2955" s="25" t="n"/>
      <c r="U2955" s="19">
        <f>IF($V2955&lt;&gt;'設定'!$C$4,N(U2954),IF(OR(NOT(COUNTIF('商品マスタ'!$B$6:$B$1005,$W2955)=0),COUNTIFS('①在庫を貼る'!$V$6:$V$10005,$V2955,'①在庫を貼る'!$W$6:$W$10005,$W2955)&gt;0),N(U2954),N(U2954)+1))</f>
        <v/>
      </c>
      <c r="V2955" s="19">
        <f>IF($B2955="","",TEXT($B2955,"0000"))</f>
        <v/>
      </c>
      <c r="W2955" s="19">
        <f>IF($I2955="","",IF(ISNUMBER($I2955),TEXT($I2955,"0"),$I2955))</f>
        <v/>
      </c>
    </row>
    <row r="2956">
      <c r="B2956" s="25" t="n"/>
      <c r="I2956" s="25" t="n"/>
      <c r="U2956" s="19">
        <f>IF($V2956&lt;&gt;'設定'!$C$4,N(U2955),IF(OR(NOT(COUNTIF('商品マスタ'!$B$6:$B$1005,$W2956)=0),COUNTIFS('①在庫を貼る'!$V$6:$V$10005,$V2956,'①在庫を貼る'!$W$6:$W$10005,$W2956)&gt;0),N(U2955),N(U2955)+1))</f>
        <v/>
      </c>
      <c r="V2956" s="19">
        <f>IF($B2956="","",TEXT($B2956,"0000"))</f>
        <v/>
      </c>
      <c r="W2956" s="19">
        <f>IF($I2956="","",IF(ISNUMBER($I2956),TEXT($I2956,"0"),$I2956))</f>
        <v/>
      </c>
    </row>
    <row r="2957">
      <c r="B2957" s="25" t="n"/>
      <c r="I2957" s="25" t="n"/>
      <c r="U2957" s="19">
        <f>IF($V2957&lt;&gt;'設定'!$C$4,N(U2956),IF(OR(NOT(COUNTIF('商品マスタ'!$B$6:$B$1005,$W2957)=0),COUNTIFS('①在庫を貼る'!$V$6:$V$10005,$V2957,'①在庫を貼る'!$W$6:$W$10005,$W2957)&gt;0),N(U2956),N(U2956)+1))</f>
        <v/>
      </c>
      <c r="V2957" s="19">
        <f>IF($B2957="","",TEXT($B2957,"0000"))</f>
        <v/>
      </c>
      <c r="W2957" s="19">
        <f>IF($I2957="","",IF(ISNUMBER($I2957),TEXT($I2957,"0"),$I2957))</f>
        <v/>
      </c>
    </row>
    <row r="2958">
      <c r="B2958" s="25" t="n"/>
      <c r="I2958" s="25" t="n"/>
      <c r="U2958" s="19">
        <f>IF($V2958&lt;&gt;'設定'!$C$4,N(U2957),IF(OR(NOT(COUNTIF('商品マスタ'!$B$6:$B$1005,$W2958)=0),COUNTIFS('①在庫を貼る'!$V$6:$V$10005,$V2958,'①在庫を貼る'!$W$6:$W$10005,$W2958)&gt;0),N(U2957),N(U2957)+1))</f>
        <v/>
      </c>
      <c r="V2958" s="19">
        <f>IF($B2958="","",TEXT($B2958,"0000"))</f>
        <v/>
      </c>
      <c r="W2958" s="19">
        <f>IF($I2958="","",IF(ISNUMBER($I2958),TEXT($I2958,"0"),$I2958))</f>
        <v/>
      </c>
    </row>
    <row r="2959">
      <c r="B2959" s="25" t="n"/>
      <c r="I2959" s="25" t="n"/>
      <c r="U2959" s="19">
        <f>IF($V2959&lt;&gt;'設定'!$C$4,N(U2958),IF(OR(NOT(COUNTIF('商品マスタ'!$B$6:$B$1005,$W2959)=0),COUNTIFS('①在庫を貼る'!$V$6:$V$10005,$V2959,'①在庫を貼る'!$W$6:$W$10005,$W2959)&gt;0),N(U2958),N(U2958)+1))</f>
        <v/>
      </c>
      <c r="V2959" s="19">
        <f>IF($B2959="","",TEXT($B2959,"0000"))</f>
        <v/>
      </c>
      <c r="W2959" s="19">
        <f>IF($I2959="","",IF(ISNUMBER($I2959),TEXT($I2959,"0"),$I2959))</f>
        <v/>
      </c>
    </row>
    <row r="2960">
      <c r="B2960" s="25" t="n"/>
      <c r="I2960" s="25" t="n"/>
      <c r="U2960" s="19">
        <f>IF($V2960&lt;&gt;'設定'!$C$4,N(U2959),IF(OR(NOT(COUNTIF('商品マスタ'!$B$6:$B$1005,$W2960)=0),COUNTIFS('①在庫を貼る'!$V$6:$V$10005,$V2960,'①在庫を貼る'!$W$6:$W$10005,$W2960)&gt;0),N(U2959),N(U2959)+1))</f>
        <v/>
      </c>
      <c r="V2960" s="19">
        <f>IF($B2960="","",TEXT($B2960,"0000"))</f>
        <v/>
      </c>
      <c r="W2960" s="19">
        <f>IF($I2960="","",IF(ISNUMBER($I2960),TEXT($I2960,"0"),$I2960))</f>
        <v/>
      </c>
    </row>
    <row r="2961">
      <c r="B2961" s="25" t="n"/>
      <c r="I2961" s="25" t="n"/>
      <c r="U2961" s="19">
        <f>IF($V2961&lt;&gt;'設定'!$C$4,N(U2960),IF(OR(NOT(COUNTIF('商品マスタ'!$B$6:$B$1005,$W2961)=0),COUNTIFS('①在庫を貼る'!$V$6:$V$10005,$V2961,'①在庫を貼る'!$W$6:$W$10005,$W2961)&gt;0),N(U2960),N(U2960)+1))</f>
        <v/>
      </c>
      <c r="V2961" s="19">
        <f>IF($B2961="","",TEXT($B2961,"0000"))</f>
        <v/>
      </c>
      <c r="W2961" s="19">
        <f>IF($I2961="","",IF(ISNUMBER($I2961),TEXT($I2961,"0"),$I2961))</f>
        <v/>
      </c>
    </row>
    <row r="2962">
      <c r="B2962" s="25" t="n"/>
      <c r="I2962" s="25" t="n"/>
      <c r="U2962" s="19">
        <f>IF($V2962&lt;&gt;'設定'!$C$4,N(U2961),IF(OR(NOT(COUNTIF('商品マスタ'!$B$6:$B$1005,$W2962)=0),COUNTIFS('①在庫を貼る'!$V$6:$V$10005,$V2962,'①在庫を貼る'!$W$6:$W$10005,$W2962)&gt;0),N(U2961),N(U2961)+1))</f>
        <v/>
      </c>
      <c r="V2962" s="19">
        <f>IF($B2962="","",TEXT($B2962,"0000"))</f>
        <v/>
      </c>
      <c r="W2962" s="19">
        <f>IF($I2962="","",IF(ISNUMBER($I2962),TEXT($I2962,"0"),$I2962))</f>
        <v/>
      </c>
    </row>
    <row r="2963">
      <c r="B2963" s="25" t="n"/>
      <c r="I2963" s="25" t="n"/>
      <c r="U2963" s="19">
        <f>IF($V2963&lt;&gt;'設定'!$C$4,N(U2962),IF(OR(NOT(COUNTIF('商品マスタ'!$B$6:$B$1005,$W2963)=0),COUNTIFS('①在庫を貼る'!$V$6:$V$10005,$V2963,'①在庫を貼る'!$W$6:$W$10005,$W2963)&gt;0),N(U2962),N(U2962)+1))</f>
        <v/>
      </c>
      <c r="V2963" s="19">
        <f>IF($B2963="","",TEXT($B2963,"0000"))</f>
        <v/>
      </c>
      <c r="W2963" s="19">
        <f>IF($I2963="","",IF(ISNUMBER($I2963),TEXT($I2963,"0"),$I2963))</f>
        <v/>
      </c>
    </row>
    <row r="2964">
      <c r="B2964" s="25" t="n"/>
      <c r="I2964" s="25" t="n"/>
      <c r="U2964" s="19">
        <f>IF($V2964&lt;&gt;'設定'!$C$4,N(U2963),IF(OR(NOT(COUNTIF('商品マスタ'!$B$6:$B$1005,$W2964)=0),COUNTIFS('①在庫を貼る'!$V$6:$V$10005,$V2964,'①在庫を貼る'!$W$6:$W$10005,$W2964)&gt;0),N(U2963),N(U2963)+1))</f>
        <v/>
      </c>
      <c r="V2964" s="19">
        <f>IF($B2964="","",TEXT($B2964,"0000"))</f>
        <v/>
      </c>
      <c r="W2964" s="19">
        <f>IF($I2964="","",IF(ISNUMBER($I2964),TEXT($I2964,"0"),$I2964))</f>
        <v/>
      </c>
    </row>
    <row r="2965">
      <c r="B2965" s="25" t="n"/>
      <c r="I2965" s="25" t="n"/>
      <c r="U2965" s="19">
        <f>IF($V2965&lt;&gt;'設定'!$C$4,N(U2964),IF(OR(NOT(COUNTIF('商品マスタ'!$B$6:$B$1005,$W2965)=0),COUNTIFS('①在庫を貼る'!$V$6:$V$10005,$V2965,'①在庫を貼る'!$W$6:$W$10005,$W2965)&gt;0),N(U2964),N(U2964)+1))</f>
        <v/>
      </c>
      <c r="V2965" s="19">
        <f>IF($B2965="","",TEXT($B2965,"0000"))</f>
        <v/>
      </c>
      <c r="W2965" s="19">
        <f>IF($I2965="","",IF(ISNUMBER($I2965),TEXT($I2965,"0"),$I2965))</f>
        <v/>
      </c>
    </row>
    <row r="2966">
      <c r="B2966" s="25" t="n"/>
      <c r="I2966" s="25" t="n"/>
      <c r="U2966" s="19">
        <f>IF($V2966&lt;&gt;'設定'!$C$4,N(U2965),IF(OR(NOT(COUNTIF('商品マスタ'!$B$6:$B$1005,$W2966)=0),COUNTIFS('①在庫を貼る'!$V$6:$V$10005,$V2966,'①在庫を貼る'!$W$6:$W$10005,$W2966)&gt;0),N(U2965),N(U2965)+1))</f>
        <v/>
      </c>
      <c r="V2966" s="19">
        <f>IF($B2966="","",TEXT($B2966,"0000"))</f>
        <v/>
      </c>
      <c r="W2966" s="19">
        <f>IF($I2966="","",IF(ISNUMBER($I2966),TEXT($I2966,"0"),$I2966))</f>
        <v/>
      </c>
    </row>
    <row r="2967">
      <c r="B2967" s="25" t="n"/>
      <c r="I2967" s="25" t="n"/>
      <c r="U2967" s="19">
        <f>IF($V2967&lt;&gt;'設定'!$C$4,N(U2966),IF(OR(NOT(COUNTIF('商品マスタ'!$B$6:$B$1005,$W2967)=0),COUNTIFS('①在庫を貼る'!$V$6:$V$10005,$V2967,'①在庫を貼る'!$W$6:$W$10005,$W2967)&gt;0),N(U2966),N(U2966)+1))</f>
        <v/>
      </c>
      <c r="V2967" s="19">
        <f>IF($B2967="","",TEXT($B2967,"0000"))</f>
        <v/>
      </c>
      <c r="W2967" s="19">
        <f>IF($I2967="","",IF(ISNUMBER($I2967),TEXT($I2967,"0"),$I2967))</f>
        <v/>
      </c>
    </row>
    <row r="2968">
      <c r="B2968" s="25" t="n"/>
      <c r="I2968" s="25" t="n"/>
      <c r="U2968" s="19">
        <f>IF($V2968&lt;&gt;'設定'!$C$4,N(U2967),IF(OR(NOT(COUNTIF('商品マスタ'!$B$6:$B$1005,$W2968)=0),COUNTIFS('①在庫を貼る'!$V$6:$V$10005,$V2968,'①在庫を貼る'!$W$6:$W$10005,$W2968)&gt;0),N(U2967),N(U2967)+1))</f>
        <v/>
      </c>
      <c r="V2968" s="19">
        <f>IF($B2968="","",TEXT($B2968,"0000"))</f>
        <v/>
      </c>
      <c r="W2968" s="19">
        <f>IF($I2968="","",IF(ISNUMBER($I2968),TEXT($I2968,"0"),$I2968))</f>
        <v/>
      </c>
    </row>
    <row r="2969">
      <c r="B2969" s="25" t="n"/>
      <c r="I2969" s="25" t="n"/>
      <c r="U2969" s="19">
        <f>IF($V2969&lt;&gt;'設定'!$C$4,N(U2968),IF(OR(NOT(COUNTIF('商品マスタ'!$B$6:$B$1005,$W2969)=0),COUNTIFS('①在庫を貼る'!$V$6:$V$10005,$V2969,'①在庫を貼る'!$W$6:$W$10005,$W2969)&gt;0),N(U2968),N(U2968)+1))</f>
        <v/>
      </c>
      <c r="V2969" s="19">
        <f>IF($B2969="","",TEXT($B2969,"0000"))</f>
        <v/>
      </c>
      <c r="W2969" s="19">
        <f>IF($I2969="","",IF(ISNUMBER($I2969),TEXT($I2969,"0"),$I2969))</f>
        <v/>
      </c>
    </row>
    <row r="2970">
      <c r="B2970" s="25" t="n"/>
      <c r="I2970" s="25" t="n"/>
      <c r="U2970" s="19">
        <f>IF($V2970&lt;&gt;'設定'!$C$4,N(U2969),IF(OR(NOT(COUNTIF('商品マスタ'!$B$6:$B$1005,$W2970)=0),COUNTIFS('①在庫を貼る'!$V$6:$V$10005,$V2970,'①在庫を貼る'!$W$6:$W$10005,$W2970)&gt;0),N(U2969),N(U2969)+1))</f>
        <v/>
      </c>
      <c r="V2970" s="19">
        <f>IF($B2970="","",TEXT($B2970,"0000"))</f>
        <v/>
      </c>
      <c r="W2970" s="19">
        <f>IF($I2970="","",IF(ISNUMBER($I2970),TEXT($I2970,"0"),$I2970))</f>
        <v/>
      </c>
    </row>
    <row r="2971">
      <c r="B2971" s="25" t="n"/>
      <c r="I2971" s="25" t="n"/>
      <c r="U2971" s="19">
        <f>IF($V2971&lt;&gt;'設定'!$C$4,N(U2970),IF(OR(NOT(COUNTIF('商品マスタ'!$B$6:$B$1005,$W2971)=0),COUNTIFS('①在庫を貼る'!$V$6:$V$10005,$V2971,'①在庫を貼る'!$W$6:$W$10005,$W2971)&gt;0),N(U2970),N(U2970)+1))</f>
        <v/>
      </c>
      <c r="V2971" s="19">
        <f>IF($B2971="","",TEXT($B2971,"0000"))</f>
        <v/>
      </c>
      <c r="W2971" s="19">
        <f>IF($I2971="","",IF(ISNUMBER($I2971),TEXT($I2971,"0"),$I2971))</f>
        <v/>
      </c>
    </row>
    <row r="2972">
      <c r="B2972" s="25" t="n"/>
      <c r="I2972" s="25" t="n"/>
      <c r="U2972" s="19">
        <f>IF($V2972&lt;&gt;'設定'!$C$4,N(U2971),IF(OR(NOT(COUNTIF('商品マスタ'!$B$6:$B$1005,$W2972)=0),COUNTIFS('①在庫を貼る'!$V$6:$V$10005,$V2972,'①在庫を貼る'!$W$6:$W$10005,$W2972)&gt;0),N(U2971),N(U2971)+1))</f>
        <v/>
      </c>
      <c r="V2972" s="19">
        <f>IF($B2972="","",TEXT($B2972,"0000"))</f>
        <v/>
      </c>
      <c r="W2972" s="19">
        <f>IF($I2972="","",IF(ISNUMBER($I2972),TEXT($I2972,"0"),$I2972))</f>
        <v/>
      </c>
    </row>
    <row r="2973">
      <c r="B2973" s="25" t="n"/>
      <c r="I2973" s="25" t="n"/>
      <c r="U2973" s="19">
        <f>IF($V2973&lt;&gt;'設定'!$C$4,N(U2972),IF(OR(NOT(COUNTIF('商品マスタ'!$B$6:$B$1005,$W2973)=0),COUNTIFS('①在庫を貼る'!$V$6:$V$10005,$V2973,'①在庫を貼る'!$W$6:$W$10005,$W2973)&gt;0),N(U2972),N(U2972)+1))</f>
        <v/>
      </c>
      <c r="V2973" s="19">
        <f>IF($B2973="","",TEXT($B2973,"0000"))</f>
        <v/>
      </c>
      <c r="W2973" s="19">
        <f>IF($I2973="","",IF(ISNUMBER($I2973),TEXT($I2973,"0"),$I2973))</f>
        <v/>
      </c>
    </row>
    <row r="2974">
      <c r="B2974" s="25" t="n"/>
      <c r="I2974" s="25" t="n"/>
      <c r="U2974" s="19">
        <f>IF($V2974&lt;&gt;'設定'!$C$4,N(U2973),IF(OR(NOT(COUNTIF('商品マスタ'!$B$6:$B$1005,$W2974)=0),COUNTIFS('①在庫を貼る'!$V$6:$V$10005,$V2974,'①在庫を貼る'!$W$6:$W$10005,$W2974)&gt;0),N(U2973),N(U2973)+1))</f>
        <v/>
      </c>
      <c r="V2974" s="19">
        <f>IF($B2974="","",TEXT($B2974,"0000"))</f>
        <v/>
      </c>
      <c r="W2974" s="19">
        <f>IF($I2974="","",IF(ISNUMBER($I2974),TEXT($I2974,"0"),$I2974))</f>
        <v/>
      </c>
    </row>
    <row r="2975">
      <c r="B2975" s="25" t="n"/>
      <c r="I2975" s="25" t="n"/>
      <c r="U2975" s="19">
        <f>IF($V2975&lt;&gt;'設定'!$C$4,N(U2974),IF(OR(NOT(COUNTIF('商品マスタ'!$B$6:$B$1005,$W2975)=0),COUNTIFS('①在庫を貼る'!$V$6:$V$10005,$V2975,'①在庫を貼る'!$W$6:$W$10005,$W2975)&gt;0),N(U2974),N(U2974)+1))</f>
        <v/>
      </c>
      <c r="V2975" s="19">
        <f>IF($B2975="","",TEXT($B2975,"0000"))</f>
        <v/>
      </c>
      <c r="W2975" s="19">
        <f>IF($I2975="","",IF(ISNUMBER($I2975),TEXT($I2975,"0"),$I2975))</f>
        <v/>
      </c>
    </row>
    <row r="2976">
      <c r="B2976" s="25" t="n"/>
      <c r="I2976" s="25" t="n"/>
      <c r="U2976" s="19">
        <f>IF($V2976&lt;&gt;'設定'!$C$4,N(U2975),IF(OR(NOT(COUNTIF('商品マスタ'!$B$6:$B$1005,$W2976)=0),COUNTIFS('①在庫を貼る'!$V$6:$V$10005,$V2976,'①在庫を貼る'!$W$6:$W$10005,$W2976)&gt;0),N(U2975),N(U2975)+1))</f>
        <v/>
      </c>
      <c r="V2976" s="19">
        <f>IF($B2976="","",TEXT($B2976,"0000"))</f>
        <v/>
      </c>
      <c r="W2976" s="19">
        <f>IF($I2976="","",IF(ISNUMBER($I2976),TEXT($I2976,"0"),$I2976))</f>
        <v/>
      </c>
    </row>
    <row r="2977">
      <c r="B2977" s="25" t="n"/>
      <c r="I2977" s="25" t="n"/>
      <c r="U2977" s="19">
        <f>IF($V2977&lt;&gt;'設定'!$C$4,N(U2976),IF(OR(NOT(COUNTIF('商品マスタ'!$B$6:$B$1005,$W2977)=0),COUNTIFS('①在庫を貼る'!$V$6:$V$10005,$V2977,'①在庫を貼る'!$W$6:$W$10005,$W2977)&gt;0),N(U2976),N(U2976)+1))</f>
        <v/>
      </c>
      <c r="V2977" s="19">
        <f>IF($B2977="","",TEXT($B2977,"0000"))</f>
        <v/>
      </c>
      <c r="W2977" s="19">
        <f>IF($I2977="","",IF(ISNUMBER($I2977),TEXT($I2977,"0"),$I2977))</f>
        <v/>
      </c>
    </row>
    <row r="2978">
      <c r="B2978" s="25" t="n"/>
      <c r="I2978" s="25" t="n"/>
      <c r="U2978" s="19">
        <f>IF($V2978&lt;&gt;'設定'!$C$4,N(U2977),IF(OR(NOT(COUNTIF('商品マスタ'!$B$6:$B$1005,$W2978)=0),COUNTIFS('①在庫を貼る'!$V$6:$V$10005,$V2978,'①在庫を貼る'!$W$6:$W$10005,$W2978)&gt;0),N(U2977),N(U2977)+1))</f>
        <v/>
      </c>
      <c r="V2978" s="19">
        <f>IF($B2978="","",TEXT($B2978,"0000"))</f>
        <v/>
      </c>
      <c r="W2978" s="19">
        <f>IF($I2978="","",IF(ISNUMBER($I2978),TEXT($I2978,"0"),$I2978))</f>
        <v/>
      </c>
    </row>
    <row r="2979">
      <c r="B2979" s="25" t="n"/>
      <c r="I2979" s="25" t="n"/>
      <c r="U2979" s="19">
        <f>IF($V2979&lt;&gt;'設定'!$C$4,N(U2978),IF(OR(NOT(COUNTIF('商品マスタ'!$B$6:$B$1005,$W2979)=0),COUNTIFS('①在庫を貼る'!$V$6:$V$10005,$V2979,'①在庫を貼る'!$W$6:$W$10005,$W2979)&gt;0),N(U2978),N(U2978)+1))</f>
        <v/>
      </c>
      <c r="V2979" s="19">
        <f>IF($B2979="","",TEXT($B2979,"0000"))</f>
        <v/>
      </c>
      <c r="W2979" s="19">
        <f>IF($I2979="","",IF(ISNUMBER($I2979),TEXT($I2979,"0"),$I2979))</f>
        <v/>
      </c>
    </row>
    <row r="2980">
      <c r="B2980" s="25" t="n"/>
      <c r="I2980" s="25" t="n"/>
      <c r="U2980" s="19">
        <f>IF($V2980&lt;&gt;'設定'!$C$4,N(U2979),IF(OR(NOT(COUNTIF('商品マスタ'!$B$6:$B$1005,$W2980)=0),COUNTIFS('①在庫を貼る'!$V$6:$V$10005,$V2980,'①在庫を貼る'!$W$6:$W$10005,$W2980)&gt;0),N(U2979),N(U2979)+1))</f>
        <v/>
      </c>
      <c r="V2980" s="19">
        <f>IF($B2980="","",TEXT($B2980,"0000"))</f>
        <v/>
      </c>
      <c r="W2980" s="19">
        <f>IF($I2980="","",IF(ISNUMBER($I2980),TEXT($I2980,"0"),$I2980))</f>
        <v/>
      </c>
    </row>
    <row r="2981">
      <c r="B2981" s="25" t="n"/>
      <c r="I2981" s="25" t="n"/>
      <c r="U2981" s="19">
        <f>IF($V2981&lt;&gt;'設定'!$C$4,N(U2980),IF(OR(NOT(COUNTIF('商品マスタ'!$B$6:$B$1005,$W2981)=0),COUNTIFS('①在庫を貼る'!$V$6:$V$10005,$V2981,'①在庫を貼る'!$W$6:$W$10005,$W2981)&gt;0),N(U2980),N(U2980)+1))</f>
        <v/>
      </c>
      <c r="V2981" s="19">
        <f>IF($B2981="","",TEXT($B2981,"0000"))</f>
        <v/>
      </c>
      <c r="W2981" s="19">
        <f>IF($I2981="","",IF(ISNUMBER($I2981),TEXT($I2981,"0"),$I2981))</f>
        <v/>
      </c>
    </row>
    <row r="2982">
      <c r="B2982" s="25" t="n"/>
      <c r="I2982" s="25" t="n"/>
      <c r="U2982" s="19">
        <f>IF($V2982&lt;&gt;'設定'!$C$4,N(U2981),IF(OR(NOT(COUNTIF('商品マスタ'!$B$6:$B$1005,$W2982)=0),COUNTIFS('①在庫を貼る'!$V$6:$V$10005,$V2982,'①在庫を貼る'!$W$6:$W$10005,$W2982)&gt;0),N(U2981),N(U2981)+1))</f>
        <v/>
      </c>
      <c r="V2982" s="19">
        <f>IF($B2982="","",TEXT($B2982,"0000"))</f>
        <v/>
      </c>
      <c r="W2982" s="19">
        <f>IF($I2982="","",IF(ISNUMBER($I2982),TEXT($I2982,"0"),$I2982))</f>
        <v/>
      </c>
    </row>
    <row r="2983">
      <c r="B2983" s="25" t="n"/>
      <c r="I2983" s="25" t="n"/>
      <c r="U2983" s="19">
        <f>IF($V2983&lt;&gt;'設定'!$C$4,N(U2982),IF(OR(NOT(COUNTIF('商品マスタ'!$B$6:$B$1005,$W2983)=0),COUNTIFS('①在庫を貼る'!$V$6:$V$10005,$V2983,'①在庫を貼る'!$W$6:$W$10005,$W2983)&gt;0),N(U2982),N(U2982)+1))</f>
        <v/>
      </c>
      <c r="V2983" s="19">
        <f>IF($B2983="","",TEXT($B2983,"0000"))</f>
        <v/>
      </c>
      <c r="W2983" s="19">
        <f>IF($I2983="","",IF(ISNUMBER($I2983),TEXT($I2983,"0"),$I2983))</f>
        <v/>
      </c>
    </row>
    <row r="2984">
      <c r="B2984" s="25" t="n"/>
      <c r="I2984" s="25" t="n"/>
      <c r="U2984" s="19">
        <f>IF($V2984&lt;&gt;'設定'!$C$4,N(U2983),IF(OR(NOT(COUNTIF('商品マスタ'!$B$6:$B$1005,$W2984)=0),COUNTIFS('①在庫を貼る'!$V$6:$V$10005,$V2984,'①在庫を貼る'!$W$6:$W$10005,$W2984)&gt;0),N(U2983),N(U2983)+1))</f>
        <v/>
      </c>
      <c r="V2984" s="19">
        <f>IF($B2984="","",TEXT($B2984,"0000"))</f>
        <v/>
      </c>
      <c r="W2984" s="19">
        <f>IF($I2984="","",IF(ISNUMBER($I2984),TEXT($I2984,"0"),$I2984))</f>
        <v/>
      </c>
    </row>
    <row r="2985">
      <c r="B2985" s="25" t="n"/>
      <c r="I2985" s="25" t="n"/>
      <c r="U2985" s="19">
        <f>IF($V2985&lt;&gt;'設定'!$C$4,N(U2984),IF(OR(NOT(COUNTIF('商品マスタ'!$B$6:$B$1005,$W2985)=0),COUNTIFS('①在庫を貼る'!$V$6:$V$10005,$V2985,'①在庫を貼る'!$W$6:$W$10005,$W2985)&gt;0),N(U2984),N(U2984)+1))</f>
        <v/>
      </c>
      <c r="V2985" s="19">
        <f>IF($B2985="","",TEXT($B2985,"0000"))</f>
        <v/>
      </c>
      <c r="W2985" s="19">
        <f>IF($I2985="","",IF(ISNUMBER($I2985),TEXT($I2985,"0"),$I2985))</f>
        <v/>
      </c>
    </row>
    <row r="2986">
      <c r="B2986" s="25" t="n"/>
      <c r="I2986" s="25" t="n"/>
      <c r="U2986" s="19">
        <f>IF($V2986&lt;&gt;'設定'!$C$4,N(U2985),IF(OR(NOT(COUNTIF('商品マスタ'!$B$6:$B$1005,$W2986)=0),COUNTIFS('①在庫を貼る'!$V$6:$V$10005,$V2986,'①在庫を貼る'!$W$6:$W$10005,$W2986)&gt;0),N(U2985),N(U2985)+1))</f>
        <v/>
      </c>
      <c r="V2986" s="19">
        <f>IF($B2986="","",TEXT($B2986,"0000"))</f>
        <v/>
      </c>
      <c r="W2986" s="19">
        <f>IF($I2986="","",IF(ISNUMBER($I2986),TEXT($I2986,"0"),$I2986))</f>
        <v/>
      </c>
    </row>
    <row r="2987">
      <c r="B2987" s="25" t="n"/>
      <c r="I2987" s="25" t="n"/>
      <c r="U2987" s="19">
        <f>IF($V2987&lt;&gt;'設定'!$C$4,N(U2986),IF(OR(NOT(COUNTIF('商品マスタ'!$B$6:$B$1005,$W2987)=0),COUNTIFS('①在庫を貼る'!$V$6:$V$10005,$V2987,'①在庫を貼る'!$W$6:$W$10005,$W2987)&gt;0),N(U2986),N(U2986)+1))</f>
        <v/>
      </c>
      <c r="V2987" s="19">
        <f>IF($B2987="","",TEXT($B2987,"0000"))</f>
        <v/>
      </c>
      <c r="W2987" s="19">
        <f>IF($I2987="","",IF(ISNUMBER($I2987),TEXT($I2987,"0"),$I2987))</f>
        <v/>
      </c>
    </row>
    <row r="2988">
      <c r="B2988" s="25" t="n"/>
      <c r="I2988" s="25" t="n"/>
      <c r="U2988" s="19">
        <f>IF($V2988&lt;&gt;'設定'!$C$4,N(U2987),IF(OR(NOT(COUNTIF('商品マスタ'!$B$6:$B$1005,$W2988)=0),COUNTIFS('①在庫を貼る'!$V$6:$V$10005,$V2988,'①在庫を貼る'!$W$6:$W$10005,$W2988)&gt;0),N(U2987),N(U2987)+1))</f>
        <v/>
      </c>
      <c r="V2988" s="19">
        <f>IF($B2988="","",TEXT($B2988,"0000"))</f>
        <v/>
      </c>
      <c r="W2988" s="19">
        <f>IF($I2988="","",IF(ISNUMBER($I2988),TEXT($I2988,"0"),$I2988))</f>
        <v/>
      </c>
    </row>
    <row r="2989">
      <c r="B2989" s="25" t="n"/>
      <c r="I2989" s="25" t="n"/>
      <c r="U2989" s="19">
        <f>IF($V2989&lt;&gt;'設定'!$C$4,N(U2988),IF(OR(NOT(COUNTIF('商品マスタ'!$B$6:$B$1005,$W2989)=0),COUNTIFS('①在庫を貼る'!$V$6:$V$10005,$V2989,'①在庫を貼る'!$W$6:$W$10005,$W2989)&gt;0),N(U2988),N(U2988)+1))</f>
        <v/>
      </c>
      <c r="V2989" s="19">
        <f>IF($B2989="","",TEXT($B2989,"0000"))</f>
        <v/>
      </c>
      <c r="W2989" s="19">
        <f>IF($I2989="","",IF(ISNUMBER($I2989),TEXT($I2989,"0"),$I2989))</f>
        <v/>
      </c>
    </row>
    <row r="2990">
      <c r="B2990" s="25" t="n"/>
      <c r="I2990" s="25" t="n"/>
      <c r="U2990" s="19">
        <f>IF($V2990&lt;&gt;'設定'!$C$4,N(U2989),IF(OR(NOT(COUNTIF('商品マスタ'!$B$6:$B$1005,$W2990)=0),COUNTIFS('①在庫を貼る'!$V$6:$V$10005,$V2990,'①在庫を貼る'!$W$6:$W$10005,$W2990)&gt;0),N(U2989),N(U2989)+1))</f>
        <v/>
      </c>
      <c r="V2990" s="19">
        <f>IF($B2990="","",TEXT($B2990,"0000"))</f>
        <v/>
      </c>
      <c r="W2990" s="19">
        <f>IF($I2990="","",IF(ISNUMBER($I2990),TEXT($I2990,"0"),$I2990))</f>
        <v/>
      </c>
    </row>
    <row r="2991">
      <c r="B2991" s="25" t="n"/>
      <c r="I2991" s="25" t="n"/>
      <c r="U2991" s="19">
        <f>IF($V2991&lt;&gt;'設定'!$C$4,N(U2990),IF(OR(NOT(COUNTIF('商品マスタ'!$B$6:$B$1005,$W2991)=0),COUNTIFS('①在庫を貼る'!$V$6:$V$10005,$V2991,'①在庫を貼る'!$W$6:$W$10005,$W2991)&gt;0),N(U2990),N(U2990)+1))</f>
        <v/>
      </c>
      <c r="V2991" s="19">
        <f>IF($B2991="","",TEXT($B2991,"0000"))</f>
        <v/>
      </c>
      <c r="W2991" s="19">
        <f>IF($I2991="","",IF(ISNUMBER($I2991),TEXT($I2991,"0"),$I2991))</f>
        <v/>
      </c>
    </row>
    <row r="2992">
      <c r="B2992" s="25" t="n"/>
      <c r="I2992" s="25" t="n"/>
      <c r="U2992" s="19">
        <f>IF($V2992&lt;&gt;'設定'!$C$4,N(U2991),IF(OR(NOT(COUNTIF('商品マスタ'!$B$6:$B$1005,$W2992)=0),COUNTIFS('①在庫を貼る'!$V$6:$V$10005,$V2992,'①在庫を貼る'!$W$6:$W$10005,$W2992)&gt;0),N(U2991),N(U2991)+1))</f>
        <v/>
      </c>
      <c r="V2992" s="19">
        <f>IF($B2992="","",TEXT($B2992,"0000"))</f>
        <v/>
      </c>
      <c r="W2992" s="19">
        <f>IF($I2992="","",IF(ISNUMBER($I2992),TEXT($I2992,"0"),$I2992))</f>
        <v/>
      </c>
    </row>
    <row r="2993">
      <c r="B2993" s="25" t="n"/>
      <c r="I2993" s="25" t="n"/>
      <c r="U2993" s="19">
        <f>IF($V2993&lt;&gt;'設定'!$C$4,N(U2992),IF(OR(NOT(COUNTIF('商品マスタ'!$B$6:$B$1005,$W2993)=0),COUNTIFS('①在庫を貼る'!$V$6:$V$10005,$V2993,'①在庫を貼る'!$W$6:$W$10005,$W2993)&gt;0),N(U2992),N(U2992)+1))</f>
        <v/>
      </c>
      <c r="V2993" s="19">
        <f>IF($B2993="","",TEXT($B2993,"0000"))</f>
        <v/>
      </c>
      <c r="W2993" s="19">
        <f>IF($I2993="","",IF(ISNUMBER($I2993),TEXT($I2993,"0"),$I2993))</f>
        <v/>
      </c>
    </row>
    <row r="2994">
      <c r="B2994" s="25" t="n"/>
      <c r="I2994" s="25" t="n"/>
      <c r="U2994" s="19">
        <f>IF($V2994&lt;&gt;'設定'!$C$4,N(U2993),IF(OR(NOT(COUNTIF('商品マスタ'!$B$6:$B$1005,$W2994)=0),COUNTIFS('①在庫を貼る'!$V$6:$V$10005,$V2994,'①在庫を貼る'!$W$6:$W$10005,$W2994)&gt;0),N(U2993),N(U2993)+1))</f>
        <v/>
      </c>
      <c r="V2994" s="19">
        <f>IF($B2994="","",TEXT($B2994,"0000"))</f>
        <v/>
      </c>
      <c r="W2994" s="19">
        <f>IF($I2994="","",IF(ISNUMBER($I2994),TEXT($I2994,"0"),$I2994))</f>
        <v/>
      </c>
    </row>
    <row r="2995">
      <c r="B2995" s="25" t="n"/>
      <c r="I2995" s="25" t="n"/>
      <c r="U2995" s="19">
        <f>IF($V2995&lt;&gt;'設定'!$C$4,N(U2994),IF(OR(NOT(COUNTIF('商品マスタ'!$B$6:$B$1005,$W2995)=0),COUNTIFS('①在庫を貼る'!$V$6:$V$10005,$V2995,'①在庫を貼る'!$W$6:$W$10005,$W2995)&gt;0),N(U2994),N(U2994)+1))</f>
        <v/>
      </c>
      <c r="V2995" s="19">
        <f>IF($B2995="","",TEXT($B2995,"0000"))</f>
        <v/>
      </c>
      <c r="W2995" s="19">
        <f>IF($I2995="","",IF(ISNUMBER($I2995),TEXT($I2995,"0"),$I2995))</f>
        <v/>
      </c>
    </row>
    <row r="2996">
      <c r="B2996" s="25" t="n"/>
      <c r="I2996" s="25" t="n"/>
      <c r="U2996" s="19">
        <f>IF($V2996&lt;&gt;'設定'!$C$4,N(U2995),IF(OR(NOT(COUNTIF('商品マスタ'!$B$6:$B$1005,$W2996)=0),COUNTIFS('①在庫を貼る'!$V$6:$V$10005,$V2996,'①在庫を貼る'!$W$6:$W$10005,$W2996)&gt;0),N(U2995),N(U2995)+1))</f>
        <v/>
      </c>
      <c r="V2996" s="19">
        <f>IF($B2996="","",TEXT($B2996,"0000"))</f>
        <v/>
      </c>
      <c r="W2996" s="19">
        <f>IF($I2996="","",IF(ISNUMBER($I2996),TEXT($I2996,"0"),$I2996))</f>
        <v/>
      </c>
    </row>
    <row r="2997">
      <c r="B2997" s="25" t="n"/>
      <c r="I2997" s="25" t="n"/>
      <c r="U2997" s="19">
        <f>IF($V2997&lt;&gt;'設定'!$C$4,N(U2996),IF(OR(NOT(COUNTIF('商品マスタ'!$B$6:$B$1005,$W2997)=0),COUNTIFS('①在庫を貼る'!$V$6:$V$10005,$V2997,'①在庫を貼る'!$W$6:$W$10005,$W2997)&gt;0),N(U2996),N(U2996)+1))</f>
        <v/>
      </c>
      <c r="V2997" s="19">
        <f>IF($B2997="","",TEXT($B2997,"0000"))</f>
        <v/>
      </c>
      <c r="W2997" s="19">
        <f>IF($I2997="","",IF(ISNUMBER($I2997),TEXT($I2997,"0"),$I2997))</f>
        <v/>
      </c>
    </row>
    <row r="2998">
      <c r="B2998" s="25" t="n"/>
      <c r="I2998" s="25" t="n"/>
      <c r="U2998" s="19">
        <f>IF($V2998&lt;&gt;'設定'!$C$4,N(U2997),IF(OR(NOT(COUNTIF('商品マスタ'!$B$6:$B$1005,$W2998)=0),COUNTIFS('①在庫を貼る'!$V$6:$V$10005,$V2998,'①在庫を貼る'!$W$6:$W$10005,$W2998)&gt;0),N(U2997),N(U2997)+1))</f>
        <v/>
      </c>
      <c r="V2998" s="19">
        <f>IF($B2998="","",TEXT($B2998,"0000"))</f>
        <v/>
      </c>
      <c r="W2998" s="19">
        <f>IF($I2998="","",IF(ISNUMBER($I2998),TEXT($I2998,"0"),$I2998))</f>
        <v/>
      </c>
    </row>
    <row r="2999">
      <c r="B2999" s="25" t="n"/>
      <c r="I2999" s="25" t="n"/>
      <c r="U2999" s="19">
        <f>IF($V2999&lt;&gt;'設定'!$C$4,N(U2998),IF(OR(NOT(COUNTIF('商品マスタ'!$B$6:$B$1005,$W2999)=0),COUNTIFS('①在庫を貼る'!$V$6:$V$10005,$V2999,'①在庫を貼る'!$W$6:$W$10005,$W2999)&gt;0),N(U2998),N(U2998)+1))</f>
        <v/>
      </c>
      <c r="V2999" s="19">
        <f>IF($B2999="","",TEXT($B2999,"0000"))</f>
        <v/>
      </c>
      <c r="W2999" s="19">
        <f>IF($I2999="","",IF(ISNUMBER($I2999),TEXT($I2999,"0"),$I2999))</f>
        <v/>
      </c>
    </row>
    <row r="3000">
      <c r="B3000" s="25" t="n"/>
      <c r="I3000" s="25" t="n"/>
      <c r="U3000" s="19">
        <f>IF($V3000&lt;&gt;'設定'!$C$4,N(U2999),IF(OR(NOT(COUNTIF('商品マスタ'!$B$6:$B$1005,$W3000)=0),COUNTIFS('①在庫を貼る'!$V$6:$V$10005,$V3000,'①在庫を貼る'!$W$6:$W$10005,$W3000)&gt;0),N(U2999),N(U2999)+1))</f>
        <v/>
      </c>
      <c r="V3000" s="19">
        <f>IF($B3000="","",TEXT($B3000,"0000"))</f>
        <v/>
      </c>
      <c r="W3000" s="19">
        <f>IF($I3000="","",IF(ISNUMBER($I3000),TEXT($I3000,"0"),$I3000))</f>
        <v/>
      </c>
    </row>
    <row r="3001">
      <c r="B3001" s="25" t="n"/>
      <c r="I3001" s="25" t="n"/>
      <c r="U3001" s="19">
        <f>IF($V3001&lt;&gt;'設定'!$C$4,N(U3000),IF(OR(NOT(COUNTIF('商品マスタ'!$B$6:$B$1005,$W3001)=0),COUNTIFS('①在庫を貼る'!$V$6:$V$10005,$V3001,'①在庫を貼る'!$W$6:$W$10005,$W3001)&gt;0),N(U3000),N(U3000)+1))</f>
        <v/>
      </c>
      <c r="V3001" s="19">
        <f>IF($B3001="","",TEXT($B3001,"0000"))</f>
        <v/>
      </c>
      <c r="W3001" s="19">
        <f>IF($I3001="","",IF(ISNUMBER($I3001),TEXT($I3001,"0"),$I3001))</f>
        <v/>
      </c>
    </row>
    <row r="3002">
      <c r="B3002" s="25" t="n"/>
      <c r="I3002" s="25" t="n"/>
      <c r="U3002" s="19">
        <f>IF($V3002&lt;&gt;'設定'!$C$4,N(U3001),IF(OR(NOT(COUNTIF('商品マスタ'!$B$6:$B$1005,$W3002)=0),COUNTIFS('①在庫を貼る'!$V$6:$V$10005,$V3002,'①在庫を貼る'!$W$6:$W$10005,$W3002)&gt;0),N(U3001),N(U3001)+1))</f>
        <v/>
      </c>
      <c r="V3002" s="19">
        <f>IF($B3002="","",TEXT($B3002,"0000"))</f>
        <v/>
      </c>
      <c r="W3002" s="19">
        <f>IF($I3002="","",IF(ISNUMBER($I3002),TEXT($I3002,"0"),$I3002))</f>
        <v/>
      </c>
    </row>
    <row r="3003">
      <c r="B3003" s="25" t="n"/>
      <c r="I3003" s="25" t="n"/>
      <c r="U3003" s="19">
        <f>IF($V3003&lt;&gt;'設定'!$C$4,N(U3002),IF(OR(NOT(COUNTIF('商品マスタ'!$B$6:$B$1005,$W3003)=0),COUNTIFS('①在庫を貼る'!$V$6:$V$10005,$V3003,'①在庫を貼る'!$W$6:$W$10005,$W3003)&gt;0),N(U3002),N(U3002)+1))</f>
        <v/>
      </c>
      <c r="V3003" s="19">
        <f>IF($B3003="","",TEXT($B3003,"0000"))</f>
        <v/>
      </c>
      <c r="W3003" s="19">
        <f>IF($I3003="","",IF(ISNUMBER($I3003),TEXT($I3003,"0"),$I3003))</f>
        <v/>
      </c>
    </row>
    <row r="3004">
      <c r="B3004" s="25" t="n"/>
      <c r="I3004" s="25" t="n"/>
      <c r="U3004" s="19">
        <f>IF($V3004&lt;&gt;'設定'!$C$4,N(U3003),IF(OR(NOT(COUNTIF('商品マスタ'!$B$6:$B$1005,$W3004)=0),COUNTIFS('①在庫を貼る'!$V$6:$V$10005,$V3004,'①在庫を貼る'!$W$6:$W$10005,$W3004)&gt;0),N(U3003),N(U3003)+1))</f>
        <v/>
      </c>
      <c r="V3004" s="19">
        <f>IF($B3004="","",TEXT($B3004,"0000"))</f>
        <v/>
      </c>
      <c r="W3004" s="19">
        <f>IF($I3004="","",IF(ISNUMBER($I3004),TEXT($I3004,"0"),$I3004))</f>
        <v/>
      </c>
    </row>
    <row r="3005">
      <c r="B3005" s="25" t="n"/>
      <c r="I3005" s="25" t="n"/>
      <c r="U3005" s="19">
        <f>IF($V3005&lt;&gt;'設定'!$C$4,N(U3004),IF(OR(NOT(COUNTIF('商品マスタ'!$B$6:$B$1005,$W3005)=0),COUNTIFS('①在庫を貼る'!$V$6:$V$10005,$V3005,'①在庫を貼る'!$W$6:$W$10005,$W3005)&gt;0),N(U3004),N(U3004)+1))</f>
        <v/>
      </c>
      <c r="V3005" s="19">
        <f>IF($B3005="","",TEXT($B3005,"0000"))</f>
        <v/>
      </c>
      <c r="W3005" s="19">
        <f>IF($I3005="","",IF(ISNUMBER($I3005),TEXT($I3005,"0"),$I3005))</f>
        <v/>
      </c>
    </row>
    <row r="3006">
      <c r="B3006" s="25" t="n"/>
      <c r="I3006" s="25" t="n"/>
      <c r="U3006" s="19">
        <f>IF($V3006&lt;&gt;'設定'!$C$4,N(U3005),IF(OR(NOT(COUNTIF('商品マスタ'!$B$6:$B$1005,$W3006)=0),COUNTIFS('①在庫を貼る'!$V$6:$V$10005,$V3006,'①在庫を貼る'!$W$6:$W$10005,$W3006)&gt;0),N(U3005),N(U3005)+1))</f>
        <v/>
      </c>
      <c r="V3006" s="19">
        <f>IF($B3006="","",TEXT($B3006,"0000"))</f>
        <v/>
      </c>
      <c r="W3006" s="19">
        <f>IF($I3006="","",IF(ISNUMBER($I3006),TEXT($I3006,"0"),$I3006))</f>
        <v/>
      </c>
    </row>
    <row r="3007">
      <c r="B3007" s="25" t="n"/>
      <c r="I3007" s="25" t="n"/>
      <c r="U3007" s="19">
        <f>IF($V3007&lt;&gt;'設定'!$C$4,N(U3006),IF(OR(NOT(COUNTIF('商品マスタ'!$B$6:$B$1005,$W3007)=0),COUNTIFS('①在庫を貼る'!$V$6:$V$10005,$V3007,'①在庫を貼る'!$W$6:$W$10005,$W3007)&gt;0),N(U3006),N(U3006)+1))</f>
        <v/>
      </c>
      <c r="V3007" s="19">
        <f>IF($B3007="","",TEXT($B3007,"0000"))</f>
        <v/>
      </c>
      <c r="W3007" s="19">
        <f>IF($I3007="","",IF(ISNUMBER($I3007),TEXT($I3007,"0"),$I3007))</f>
        <v/>
      </c>
    </row>
    <row r="3008">
      <c r="B3008" s="25" t="n"/>
      <c r="I3008" s="25" t="n"/>
      <c r="U3008" s="19">
        <f>IF($V3008&lt;&gt;'設定'!$C$4,N(U3007),IF(OR(NOT(COUNTIF('商品マスタ'!$B$6:$B$1005,$W3008)=0),COUNTIFS('①在庫を貼る'!$V$6:$V$10005,$V3008,'①在庫を貼る'!$W$6:$W$10005,$W3008)&gt;0),N(U3007),N(U3007)+1))</f>
        <v/>
      </c>
      <c r="V3008" s="19">
        <f>IF($B3008="","",TEXT($B3008,"0000"))</f>
        <v/>
      </c>
      <c r="W3008" s="19">
        <f>IF($I3008="","",IF(ISNUMBER($I3008),TEXT($I3008,"0"),$I3008))</f>
        <v/>
      </c>
    </row>
    <row r="3009">
      <c r="B3009" s="25" t="n"/>
      <c r="I3009" s="25" t="n"/>
      <c r="U3009" s="19">
        <f>IF($V3009&lt;&gt;'設定'!$C$4,N(U3008),IF(OR(NOT(COUNTIF('商品マスタ'!$B$6:$B$1005,$W3009)=0),COUNTIFS('①在庫を貼る'!$V$6:$V$10005,$V3009,'①在庫を貼る'!$W$6:$W$10005,$W3009)&gt;0),N(U3008),N(U3008)+1))</f>
        <v/>
      </c>
      <c r="V3009" s="19">
        <f>IF($B3009="","",TEXT($B3009,"0000"))</f>
        <v/>
      </c>
      <c r="W3009" s="19">
        <f>IF($I3009="","",IF(ISNUMBER($I3009),TEXT($I3009,"0"),$I3009))</f>
        <v/>
      </c>
    </row>
    <row r="3010">
      <c r="B3010" s="25" t="n"/>
      <c r="I3010" s="25" t="n"/>
      <c r="U3010" s="19">
        <f>IF($V3010&lt;&gt;'設定'!$C$4,N(U3009),IF(OR(NOT(COUNTIF('商品マスタ'!$B$6:$B$1005,$W3010)=0),COUNTIFS('①在庫を貼る'!$V$6:$V$10005,$V3010,'①在庫を貼る'!$W$6:$W$10005,$W3010)&gt;0),N(U3009),N(U3009)+1))</f>
        <v/>
      </c>
      <c r="V3010" s="19">
        <f>IF($B3010="","",TEXT($B3010,"0000"))</f>
        <v/>
      </c>
      <c r="W3010" s="19">
        <f>IF($I3010="","",IF(ISNUMBER($I3010),TEXT($I3010,"0"),$I3010))</f>
        <v/>
      </c>
    </row>
    <row r="3011">
      <c r="B3011" s="25" t="n"/>
      <c r="I3011" s="25" t="n"/>
      <c r="U3011" s="19">
        <f>IF($V3011&lt;&gt;'設定'!$C$4,N(U3010),IF(OR(NOT(COUNTIF('商品マスタ'!$B$6:$B$1005,$W3011)=0),COUNTIFS('①在庫を貼る'!$V$6:$V$10005,$V3011,'①在庫を貼る'!$W$6:$W$10005,$W3011)&gt;0),N(U3010),N(U3010)+1))</f>
        <v/>
      </c>
      <c r="V3011" s="19">
        <f>IF($B3011="","",TEXT($B3011,"0000"))</f>
        <v/>
      </c>
      <c r="W3011" s="19">
        <f>IF($I3011="","",IF(ISNUMBER($I3011),TEXT($I3011,"0"),$I3011))</f>
        <v/>
      </c>
    </row>
    <row r="3012">
      <c r="B3012" s="25" t="n"/>
      <c r="I3012" s="25" t="n"/>
      <c r="U3012" s="19">
        <f>IF($V3012&lt;&gt;'設定'!$C$4,N(U3011),IF(OR(NOT(COUNTIF('商品マスタ'!$B$6:$B$1005,$W3012)=0),COUNTIFS('①在庫を貼る'!$V$6:$V$10005,$V3012,'①在庫を貼る'!$W$6:$W$10005,$W3012)&gt;0),N(U3011),N(U3011)+1))</f>
        <v/>
      </c>
      <c r="V3012" s="19">
        <f>IF($B3012="","",TEXT($B3012,"0000"))</f>
        <v/>
      </c>
      <c r="W3012" s="19">
        <f>IF($I3012="","",IF(ISNUMBER($I3012),TEXT($I3012,"0"),$I3012))</f>
        <v/>
      </c>
    </row>
    <row r="3013">
      <c r="B3013" s="25" t="n"/>
      <c r="I3013" s="25" t="n"/>
      <c r="U3013" s="19">
        <f>IF($V3013&lt;&gt;'設定'!$C$4,N(U3012),IF(OR(NOT(COUNTIF('商品マスタ'!$B$6:$B$1005,$W3013)=0),COUNTIFS('①在庫を貼る'!$V$6:$V$10005,$V3013,'①在庫を貼る'!$W$6:$W$10005,$W3013)&gt;0),N(U3012),N(U3012)+1))</f>
        <v/>
      </c>
      <c r="V3013" s="19">
        <f>IF($B3013="","",TEXT($B3013,"0000"))</f>
        <v/>
      </c>
      <c r="W3013" s="19">
        <f>IF($I3013="","",IF(ISNUMBER($I3013),TEXT($I3013,"0"),$I3013))</f>
        <v/>
      </c>
    </row>
    <row r="3014">
      <c r="B3014" s="25" t="n"/>
      <c r="I3014" s="25" t="n"/>
      <c r="U3014" s="19">
        <f>IF($V3014&lt;&gt;'設定'!$C$4,N(U3013),IF(OR(NOT(COUNTIF('商品マスタ'!$B$6:$B$1005,$W3014)=0),COUNTIFS('①在庫を貼る'!$V$6:$V$10005,$V3014,'①在庫を貼る'!$W$6:$W$10005,$W3014)&gt;0),N(U3013),N(U3013)+1))</f>
        <v/>
      </c>
      <c r="V3014" s="19">
        <f>IF($B3014="","",TEXT($B3014,"0000"))</f>
        <v/>
      </c>
      <c r="W3014" s="19">
        <f>IF($I3014="","",IF(ISNUMBER($I3014),TEXT($I3014,"0"),$I3014))</f>
        <v/>
      </c>
    </row>
    <row r="3015">
      <c r="B3015" s="25" t="n"/>
      <c r="I3015" s="25" t="n"/>
      <c r="U3015" s="19">
        <f>IF($V3015&lt;&gt;'設定'!$C$4,N(U3014),IF(OR(NOT(COUNTIF('商品マスタ'!$B$6:$B$1005,$W3015)=0),COUNTIFS('①在庫を貼る'!$V$6:$V$10005,$V3015,'①在庫を貼る'!$W$6:$W$10005,$W3015)&gt;0),N(U3014),N(U3014)+1))</f>
        <v/>
      </c>
      <c r="V3015" s="19">
        <f>IF($B3015="","",TEXT($B3015,"0000"))</f>
        <v/>
      </c>
      <c r="W3015" s="19">
        <f>IF($I3015="","",IF(ISNUMBER($I3015),TEXT($I3015,"0"),$I3015))</f>
        <v/>
      </c>
    </row>
    <row r="3016">
      <c r="B3016" s="25" t="n"/>
      <c r="I3016" s="25" t="n"/>
      <c r="U3016" s="19">
        <f>IF($V3016&lt;&gt;'設定'!$C$4,N(U3015),IF(OR(NOT(COUNTIF('商品マスタ'!$B$6:$B$1005,$W3016)=0),COUNTIFS('①在庫を貼る'!$V$6:$V$10005,$V3016,'①在庫を貼る'!$W$6:$W$10005,$W3016)&gt;0),N(U3015),N(U3015)+1))</f>
        <v/>
      </c>
      <c r="V3016" s="19">
        <f>IF($B3016="","",TEXT($B3016,"0000"))</f>
        <v/>
      </c>
      <c r="W3016" s="19">
        <f>IF($I3016="","",IF(ISNUMBER($I3016),TEXT($I3016,"0"),$I3016))</f>
        <v/>
      </c>
    </row>
    <row r="3017">
      <c r="B3017" s="25" t="n"/>
      <c r="I3017" s="25" t="n"/>
      <c r="U3017" s="19">
        <f>IF($V3017&lt;&gt;'設定'!$C$4,N(U3016),IF(OR(NOT(COUNTIF('商品マスタ'!$B$6:$B$1005,$W3017)=0),COUNTIFS('①在庫を貼る'!$V$6:$V$10005,$V3017,'①在庫を貼る'!$W$6:$W$10005,$W3017)&gt;0),N(U3016),N(U3016)+1))</f>
        <v/>
      </c>
      <c r="V3017" s="19">
        <f>IF($B3017="","",TEXT($B3017,"0000"))</f>
        <v/>
      </c>
      <c r="W3017" s="19">
        <f>IF($I3017="","",IF(ISNUMBER($I3017),TEXT($I3017,"0"),$I3017))</f>
        <v/>
      </c>
    </row>
    <row r="3018">
      <c r="B3018" s="25" t="n"/>
      <c r="I3018" s="25" t="n"/>
      <c r="U3018" s="19">
        <f>IF($V3018&lt;&gt;'設定'!$C$4,N(U3017),IF(OR(NOT(COUNTIF('商品マスタ'!$B$6:$B$1005,$W3018)=0),COUNTIFS('①在庫を貼る'!$V$6:$V$10005,$V3018,'①在庫を貼る'!$W$6:$W$10005,$W3018)&gt;0),N(U3017),N(U3017)+1))</f>
        <v/>
      </c>
      <c r="V3018" s="19">
        <f>IF($B3018="","",TEXT($B3018,"0000"))</f>
        <v/>
      </c>
      <c r="W3018" s="19">
        <f>IF($I3018="","",IF(ISNUMBER($I3018),TEXT($I3018,"0"),$I3018))</f>
        <v/>
      </c>
    </row>
    <row r="3019">
      <c r="B3019" s="25" t="n"/>
      <c r="I3019" s="25" t="n"/>
      <c r="U3019" s="19">
        <f>IF($V3019&lt;&gt;'設定'!$C$4,N(U3018),IF(OR(NOT(COUNTIF('商品マスタ'!$B$6:$B$1005,$W3019)=0),COUNTIFS('①在庫を貼る'!$V$6:$V$10005,$V3019,'①在庫を貼る'!$W$6:$W$10005,$W3019)&gt;0),N(U3018),N(U3018)+1))</f>
        <v/>
      </c>
      <c r="V3019" s="19">
        <f>IF($B3019="","",TEXT($B3019,"0000"))</f>
        <v/>
      </c>
      <c r="W3019" s="19">
        <f>IF($I3019="","",IF(ISNUMBER($I3019),TEXT($I3019,"0"),$I3019))</f>
        <v/>
      </c>
    </row>
    <row r="3020">
      <c r="B3020" s="25" t="n"/>
      <c r="I3020" s="25" t="n"/>
      <c r="U3020" s="19">
        <f>IF($V3020&lt;&gt;'設定'!$C$4,N(U3019),IF(OR(NOT(COUNTIF('商品マスタ'!$B$6:$B$1005,$W3020)=0),COUNTIFS('①在庫を貼る'!$V$6:$V$10005,$V3020,'①在庫を貼る'!$W$6:$W$10005,$W3020)&gt;0),N(U3019),N(U3019)+1))</f>
        <v/>
      </c>
      <c r="V3020" s="19">
        <f>IF($B3020="","",TEXT($B3020,"0000"))</f>
        <v/>
      </c>
      <c r="W3020" s="19">
        <f>IF($I3020="","",IF(ISNUMBER($I3020),TEXT($I3020,"0"),$I3020))</f>
        <v/>
      </c>
    </row>
    <row r="3021">
      <c r="B3021" s="25" t="n"/>
      <c r="I3021" s="25" t="n"/>
      <c r="U3021" s="19">
        <f>IF($V3021&lt;&gt;'設定'!$C$4,N(U3020),IF(OR(NOT(COUNTIF('商品マスタ'!$B$6:$B$1005,$W3021)=0),COUNTIFS('①在庫を貼る'!$V$6:$V$10005,$V3021,'①在庫を貼る'!$W$6:$W$10005,$W3021)&gt;0),N(U3020),N(U3020)+1))</f>
        <v/>
      </c>
      <c r="V3021" s="19">
        <f>IF($B3021="","",TEXT($B3021,"0000"))</f>
        <v/>
      </c>
      <c r="W3021" s="19">
        <f>IF($I3021="","",IF(ISNUMBER($I3021),TEXT($I3021,"0"),$I3021))</f>
        <v/>
      </c>
    </row>
    <row r="3022">
      <c r="B3022" s="25" t="n"/>
      <c r="I3022" s="25" t="n"/>
      <c r="U3022" s="19">
        <f>IF($V3022&lt;&gt;'設定'!$C$4,N(U3021),IF(OR(NOT(COUNTIF('商品マスタ'!$B$6:$B$1005,$W3022)=0),COUNTIFS('①在庫を貼る'!$V$6:$V$10005,$V3022,'①在庫を貼る'!$W$6:$W$10005,$W3022)&gt;0),N(U3021),N(U3021)+1))</f>
        <v/>
      </c>
      <c r="V3022" s="19">
        <f>IF($B3022="","",TEXT($B3022,"0000"))</f>
        <v/>
      </c>
      <c r="W3022" s="19">
        <f>IF($I3022="","",IF(ISNUMBER($I3022),TEXT($I3022,"0"),$I3022))</f>
        <v/>
      </c>
    </row>
    <row r="3023">
      <c r="B3023" s="25" t="n"/>
      <c r="I3023" s="25" t="n"/>
      <c r="U3023" s="19">
        <f>IF($V3023&lt;&gt;'設定'!$C$4,N(U3022),IF(OR(NOT(COUNTIF('商品マスタ'!$B$6:$B$1005,$W3023)=0),COUNTIFS('①在庫を貼る'!$V$6:$V$10005,$V3023,'①在庫を貼る'!$W$6:$W$10005,$W3023)&gt;0),N(U3022),N(U3022)+1))</f>
        <v/>
      </c>
      <c r="V3023" s="19">
        <f>IF($B3023="","",TEXT($B3023,"0000"))</f>
        <v/>
      </c>
      <c r="W3023" s="19">
        <f>IF($I3023="","",IF(ISNUMBER($I3023),TEXT($I3023,"0"),$I3023))</f>
        <v/>
      </c>
    </row>
    <row r="3024">
      <c r="B3024" s="25" t="n"/>
      <c r="I3024" s="25" t="n"/>
      <c r="U3024" s="19">
        <f>IF($V3024&lt;&gt;'設定'!$C$4,N(U3023),IF(OR(NOT(COUNTIF('商品マスタ'!$B$6:$B$1005,$W3024)=0),COUNTIFS('①在庫を貼る'!$V$6:$V$10005,$V3024,'①在庫を貼る'!$W$6:$W$10005,$W3024)&gt;0),N(U3023),N(U3023)+1))</f>
        <v/>
      </c>
      <c r="V3024" s="19">
        <f>IF($B3024="","",TEXT($B3024,"0000"))</f>
        <v/>
      </c>
      <c r="W3024" s="19">
        <f>IF($I3024="","",IF(ISNUMBER($I3024),TEXT($I3024,"0"),$I3024))</f>
        <v/>
      </c>
    </row>
    <row r="3025">
      <c r="B3025" s="25" t="n"/>
      <c r="I3025" s="25" t="n"/>
      <c r="U3025" s="19">
        <f>IF($V3025&lt;&gt;'設定'!$C$4,N(U3024),IF(OR(NOT(COUNTIF('商品マスタ'!$B$6:$B$1005,$W3025)=0),COUNTIFS('①在庫を貼る'!$V$6:$V$10005,$V3025,'①在庫を貼る'!$W$6:$W$10005,$W3025)&gt;0),N(U3024),N(U3024)+1))</f>
        <v/>
      </c>
      <c r="V3025" s="19">
        <f>IF($B3025="","",TEXT($B3025,"0000"))</f>
        <v/>
      </c>
      <c r="W3025" s="19">
        <f>IF($I3025="","",IF(ISNUMBER($I3025),TEXT($I3025,"0"),$I3025))</f>
        <v/>
      </c>
    </row>
    <row r="3026">
      <c r="B3026" s="25" t="n"/>
      <c r="I3026" s="25" t="n"/>
      <c r="U3026" s="19">
        <f>IF($V3026&lt;&gt;'設定'!$C$4,N(U3025),IF(OR(NOT(COUNTIF('商品マスタ'!$B$6:$B$1005,$W3026)=0),COUNTIFS('①在庫を貼る'!$V$6:$V$10005,$V3026,'①在庫を貼る'!$W$6:$W$10005,$W3026)&gt;0),N(U3025),N(U3025)+1))</f>
        <v/>
      </c>
      <c r="V3026" s="19">
        <f>IF($B3026="","",TEXT($B3026,"0000"))</f>
        <v/>
      </c>
      <c r="W3026" s="19">
        <f>IF($I3026="","",IF(ISNUMBER($I3026),TEXT($I3026,"0"),$I3026))</f>
        <v/>
      </c>
    </row>
    <row r="3027">
      <c r="B3027" s="25" t="n"/>
      <c r="I3027" s="25" t="n"/>
      <c r="U3027" s="19">
        <f>IF($V3027&lt;&gt;'設定'!$C$4,N(U3026),IF(OR(NOT(COUNTIF('商品マスタ'!$B$6:$B$1005,$W3027)=0),COUNTIFS('①在庫を貼る'!$V$6:$V$10005,$V3027,'①在庫を貼る'!$W$6:$W$10005,$W3027)&gt;0),N(U3026),N(U3026)+1))</f>
        <v/>
      </c>
      <c r="V3027" s="19">
        <f>IF($B3027="","",TEXT($B3027,"0000"))</f>
        <v/>
      </c>
      <c r="W3027" s="19">
        <f>IF($I3027="","",IF(ISNUMBER($I3027),TEXT($I3027,"0"),$I3027))</f>
        <v/>
      </c>
    </row>
    <row r="3028">
      <c r="B3028" s="25" t="n"/>
      <c r="I3028" s="25" t="n"/>
      <c r="U3028" s="19">
        <f>IF($V3028&lt;&gt;'設定'!$C$4,N(U3027),IF(OR(NOT(COUNTIF('商品マスタ'!$B$6:$B$1005,$W3028)=0),COUNTIFS('①在庫を貼る'!$V$6:$V$10005,$V3028,'①在庫を貼る'!$W$6:$W$10005,$W3028)&gt;0),N(U3027),N(U3027)+1))</f>
        <v/>
      </c>
      <c r="V3028" s="19">
        <f>IF($B3028="","",TEXT($B3028,"0000"))</f>
        <v/>
      </c>
      <c r="W3028" s="19">
        <f>IF($I3028="","",IF(ISNUMBER($I3028),TEXT($I3028,"0"),$I3028))</f>
        <v/>
      </c>
    </row>
    <row r="3029">
      <c r="B3029" s="25" t="n"/>
      <c r="I3029" s="25" t="n"/>
      <c r="U3029" s="19">
        <f>IF($V3029&lt;&gt;'設定'!$C$4,N(U3028),IF(OR(NOT(COUNTIF('商品マスタ'!$B$6:$B$1005,$W3029)=0),COUNTIFS('①在庫を貼る'!$V$6:$V$10005,$V3029,'①在庫を貼る'!$W$6:$W$10005,$W3029)&gt;0),N(U3028),N(U3028)+1))</f>
        <v/>
      </c>
      <c r="V3029" s="19">
        <f>IF($B3029="","",TEXT($B3029,"0000"))</f>
        <v/>
      </c>
      <c r="W3029" s="19">
        <f>IF($I3029="","",IF(ISNUMBER($I3029),TEXT($I3029,"0"),$I3029))</f>
        <v/>
      </c>
    </row>
    <row r="3030">
      <c r="B3030" s="25" t="n"/>
      <c r="I3030" s="25" t="n"/>
      <c r="U3030" s="19">
        <f>IF($V3030&lt;&gt;'設定'!$C$4,N(U3029),IF(OR(NOT(COUNTIF('商品マスタ'!$B$6:$B$1005,$W3030)=0),COUNTIFS('①在庫を貼る'!$V$6:$V$10005,$V3030,'①在庫を貼る'!$W$6:$W$10005,$W3030)&gt;0),N(U3029),N(U3029)+1))</f>
        <v/>
      </c>
      <c r="V3030" s="19">
        <f>IF($B3030="","",TEXT($B3030,"0000"))</f>
        <v/>
      </c>
      <c r="W3030" s="19">
        <f>IF($I3030="","",IF(ISNUMBER($I3030),TEXT($I3030,"0"),$I3030))</f>
        <v/>
      </c>
    </row>
    <row r="3031">
      <c r="B3031" s="25" t="n"/>
      <c r="I3031" s="25" t="n"/>
      <c r="U3031" s="19">
        <f>IF($V3031&lt;&gt;'設定'!$C$4,N(U3030),IF(OR(NOT(COUNTIF('商品マスタ'!$B$6:$B$1005,$W3031)=0),COUNTIFS('①在庫を貼る'!$V$6:$V$10005,$V3031,'①在庫を貼る'!$W$6:$W$10005,$W3031)&gt;0),N(U3030),N(U3030)+1))</f>
        <v/>
      </c>
      <c r="V3031" s="19">
        <f>IF($B3031="","",TEXT($B3031,"0000"))</f>
        <v/>
      </c>
      <c r="W3031" s="19">
        <f>IF($I3031="","",IF(ISNUMBER($I3031),TEXT($I3031,"0"),$I3031))</f>
        <v/>
      </c>
    </row>
    <row r="3032">
      <c r="B3032" s="25" t="n"/>
      <c r="I3032" s="25" t="n"/>
      <c r="U3032" s="19">
        <f>IF($V3032&lt;&gt;'設定'!$C$4,N(U3031),IF(OR(NOT(COUNTIF('商品マスタ'!$B$6:$B$1005,$W3032)=0),COUNTIFS('①在庫を貼る'!$V$6:$V$10005,$V3032,'①在庫を貼る'!$W$6:$W$10005,$W3032)&gt;0),N(U3031),N(U3031)+1))</f>
        <v/>
      </c>
      <c r="V3032" s="19">
        <f>IF($B3032="","",TEXT($B3032,"0000"))</f>
        <v/>
      </c>
      <c r="W3032" s="19">
        <f>IF($I3032="","",IF(ISNUMBER($I3032),TEXT($I3032,"0"),$I3032))</f>
        <v/>
      </c>
    </row>
    <row r="3033">
      <c r="B3033" s="25" t="n"/>
      <c r="I3033" s="25" t="n"/>
      <c r="U3033" s="19">
        <f>IF($V3033&lt;&gt;'設定'!$C$4,N(U3032),IF(OR(NOT(COUNTIF('商品マスタ'!$B$6:$B$1005,$W3033)=0),COUNTIFS('①在庫を貼る'!$V$6:$V$10005,$V3033,'①在庫を貼る'!$W$6:$W$10005,$W3033)&gt;0),N(U3032),N(U3032)+1))</f>
        <v/>
      </c>
      <c r="V3033" s="19">
        <f>IF($B3033="","",TEXT($B3033,"0000"))</f>
        <v/>
      </c>
      <c r="W3033" s="19">
        <f>IF($I3033="","",IF(ISNUMBER($I3033),TEXT($I3033,"0"),$I3033))</f>
        <v/>
      </c>
    </row>
    <row r="3034">
      <c r="B3034" s="25" t="n"/>
      <c r="I3034" s="25" t="n"/>
      <c r="U3034" s="19">
        <f>IF($V3034&lt;&gt;'設定'!$C$4,N(U3033),IF(OR(NOT(COUNTIF('商品マスタ'!$B$6:$B$1005,$W3034)=0),COUNTIFS('①在庫を貼る'!$V$6:$V$10005,$V3034,'①在庫を貼る'!$W$6:$W$10005,$W3034)&gt;0),N(U3033),N(U3033)+1))</f>
        <v/>
      </c>
      <c r="V3034" s="19">
        <f>IF($B3034="","",TEXT($B3034,"0000"))</f>
        <v/>
      </c>
      <c r="W3034" s="19">
        <f>IF($I3034="","",IF(ISNUMBER($I3034),TEXT($I3034,"0"),$I3034))</f>
        <v/>
      </c>
    </row>
    <row r="3035">
      <c r="B3035" s="25" t="n"/>
      <c r="I3035" s="25" t="n"/>
      <c r="U3035" s="19">
        <f>IF($V3035&lt;&gt;'設定'!$C$4,N(U3034),IF(OR(NOT(COUNTIF('商品マスタ'!$B$6:$B$1005,$W3035)=0),COUNTIFS('①在庫を貼る'!$V$6:$V$10005,$V3035,'①在庫を貼る'!$W$6:$W$10005,$W3035)&gt;0),N(U3034),N(U3034)+1))</f>
        <v/>
      </c>
      <c r="V3035" s="19">
        <f>IF($B3035="","",TEXT($B3035,"0000"))</f>
        <v/>
      </c>
      <c r="W3035" s="19">
        <f>IF($I3035="","",IF(ISNUMBER($I3035),TEXT($I3035,"0"),$I3035))</f>
        <v/>
      </c>
    </row>
    <row r="3036">
      <c r="B3036" s="25" t="n"/>
      <c r="I3036" s="25" t="n"/>
      <c r="U3036" s="19">
        <f>IF($V3036&lt;&gt;'設定'!$C$4,N(U3035),IF(OR(NOT(COUNTIF('商品マスタ'!$B$6:$B$1005,$W3036)=0),COUNTIFS('①在庫を貼る'!$V$6:$V$10005,$V3036,'①在庫を貼る'!$W$6:$W$10005,$W3036)&gt;0),N(U3035),N(U3035)+1))</f>
        <v/>
      </c>
      <c r="V3036" s="19">
        <f>IF($B3036="","",TEXT($B3036,"0000"))</f>
        <v/>
      </c>
      <c r="W3036" s="19">
        <f>IF($I3036="","",IF(ISNUMBER($I3036),TEXT($I3036,"0"),$I3036))</f>
        <v/>
      </c>
    </row>
    <row r="3037">
      <c r="B3037" s="25" t="n"/>
      <c r="I3037" s="25" t="n"/>
      <c r="U3037" s="19">
        <f>IF($V3037&lt;&gt;'設定'!$C$4,N(U3036),IF(OR(NOT(COUNTIF('商品マスタ'!$B$6:$B$1005,$W3037)=0),COUNTIFS('①在庫を貼る'!$V$6:$V$10005,$V3037,'①在庫を貼る'!$W$6:$W$10005,$W3037)&gt;0),N(U3036),N(U3036)+1))</f>
        <v/>
      </c>
      <c r="V3037" s="19">
        <f>IF($B3037="","",TEXT($B3037,"0000"))</f>
        <v/>
      </c>
      <c r="W3037" s="19">
        <f>IF($I3037="","",IF(ISNUMBER($I3037),TEXT($I3037,"0"),$I3037))</f>
        <v/>
      </c>
    </row>
    <row r="3038">
      <c r="B3038" s="25" t="n"/>
      <c r="I3038" s="25" t="n"/>
      <c r="U3038" s="19">
        <f>IF($V3038&lt;&gt;'設定'!$C$4,N(U3037),IF(OR(NOT(COUNTIF('商品マスタ'!$B$6:$B$1005,$W3038)=0),COUNTIFS('①在庫を貼る'!$V$6:$V$10005,$V3038,'①在庫を貼る'!$W$6:$W$10005,$W3038)&gt;0),N(U3037),N(U3037)+1))</f>
        <v/>
      </c>
      <c r="V3038" s="19">
        <f>IF($B3038="","",TEXT($B3038,"0000"))</f>
        <v/>
      </c>
      <c r="W3038" s="19">
        <f>IF($I3038="","",IF(ISNUMBER($I3038),TEXT($I3038,"0"),$I3038))</f>
        <v/>
      </c>
    </row>
    <row r="3039">
      <c r="B3039" s="25" t="n"/>
      <c r="I3039" s="25" t="n"/>
      <c r="U3039" s="19">
        <f>IF($V3039&lt;&gt;'設定'!$C$4,N(U3038),IF(OR(NOT(COUNTIF('商品マスタ'!$B$6:$B$1005,$W3039)=0),COUNTIFS('①在庫を貼る'!$V$6:$V$10005,$V3039,'①在庫を貼る'!$W$6:$W$10005,$W3039)&gt;0),N(U3038),N(U3038)+1))</f>
        <v/>
      </c>
      <c r="V3039" s="19">
        <f>IF($B3039="","",TEXT($B3039,"0000"))</f>
        <v/>
      </c>
      <c r="W3039" s="19">
        <f>IF($I3039="","",IF(ISNUMBER($I3039),TEXT($I3039,"0"),$I3039))</f>
        <v/>
      </c>
    </row>
    <row r="3040">
      <c r="B3040" s="25" t="n"/>
      <c r="I3040" s="25" t="n"/>
      <c r="U3040" s="19">
        <f>IF($V3040&lt;&gt;'設定'!$C$4,N(U3039),IF(OR(NOT(COUNTIF('商品マスタ'!$B$6:$B$1005,$W3040)=0),COUNTIFS('①在庫を貼る'!$V$6:$V$10005,$V3040,'①在庫を貼る'!$W$6:$W$10005,$W3040)&gt;0),N(U3039),N(U3039)+1))</f>
        <v/>
      </c>
      <c r="V3040" s="19">
        <f>IF($B3040="","",TEXT($B3040,"0000"))</f>
        <v/>
      </c>
      <c r="W3040" s="19">
        <f>IF($I3040="","",IF(ISNUMBER($I3040),TEXT($I3040,"0"),$I3040))</f>
        <v/>
      </c>
    </row>
    <row r="3041">
      <c r="B3041" s="25" t="n"/>
      <c r="I3041" s="25" t="n"/>
      <c r="U3041" s="19">
        <f>IF($V3041&lt;&gt;'設定'!$C$4,N(U3040),IF(OR(NOT(COUNTIF('商品マスタ'!$B$6:$B$1005,$W3041)=0),COUNTIFS('①在庫を貼る'!$V$6:$V$10005,$V3041,'①在庫を貼る'!$W$6:$W$10005,$W3041)&gt;0),N(U3040),N(U3040)+1))</f>
        <v/>
      </c>
      <c r="V3041" s="19">
        <f>IF($B3041="","",TEXT($B3041,"0000"))</f>
        <v/>
      </c>
      <c r="W3041" s="19">
        <f>IF($I3041="","",IF(ISNUMBER($I3041),TEXT($I3041,"0"),$I3041))</f>
        <v/>
      </c>
    </row>
    <row r="3042">
      <c r="B3042" s="25" t="n"/>
      <c r="I3042" s="25" t="n"/>
      <c r="U3042" s="19">
        <f>IF($V3042&lt;&gt;'設定'!$C$4,N(U3041),IF(OR(NOT(COUNTIF('商品マスタ'!$B$6:$B$1005,$W3042)=0),COUNTIFS('①在庫を貼る'!$V$6:$V$10005,$V3042,'①在庫を貼る'!$W$6:$W$10005,$W3042)&gt;0),N(U3041),N(U3041)+1))</f>
        <v/>
      </c>
      <c r="V3042" s="19">
        <f>IF($B3042="","",TEXT($B3042,"0000"))</f>
        <v/>
      </c>
      <c r="W3042" s="19">
        <f>IF($I3042="","",IF(ISNUMBER($I3042),TEXT($I3042,"0"),$I3042))</f>
        <v/>
      </c>
    </row>
    <row r="3043">
      <c r="B3043" s="25" t="n"/>
      <c r="I3043" s="25" t="n"/>
      <c r="U3043" s="19">
        <f>IF($V3043&lt;&gt;'設定'!$C$4,N(U3042),IF(OR(NOT(COUNTIF('商品マスタ'!$B$6:$B$1005,$W3043)=0),COUNTIFS('①在庫を貼る'!$V$6:$V$10005,$V3043,'①在庫を貼る'!$W$6:$W$10005,$W3043)&gt;0),N(U3042),N(U3042)+1))</f>
        <v/>
      </c>
      <c r="V3043" s="19">
        <f>IF($B3043="","",TEXT($B3043,"0000"))</f>
        <v/>
      </c>
      <c r="W3043" s="19">
        <f>IF($I3043="","",IF(ISNUMBER($I3043),TEXT($I3043,"0"),$I3043))</f>
        <v/>
      </c>
    </row>
    <row r="3044">
      <c r="B3044" s="25" t="n"/>
      <c r="I3044" s="25" t="n"/>
      <c r="U3044" s="19">
        <f>IF($V3044&lt;&gt;'設定'!$C$4,N(U3043),IF(OR(NOT(COUNTIF('商品マスタ'!$B$6:$B$1005,$W3044)=0),COUNTIFS('①在庫を貼る'!$V$6:$V$10005,$V3044,'①在庫を貼る'!$W$6:$W$10005,$W3044)&gt;0),N(U3043),N(U3043)+1))</f>
        <v/>
      </c>
      <c r="V3044" s="19">
        <f>IF($B3044="","",TEXT($B3044,"0000"))</f>
        <v/>
      </c>
      <c r="W3044" s="19">
        <f>IF($I3044="","",IF(ISNUMBER($I3044),TEXT($I3044,"0"),$I3044))</f>
        <v/>
      </c>
    </row>
    <row r="3045">
      <c r="B3045" s="25" t="n"/>
      <c r="I3045" s="25" t="n"/>
      <c r="U3045" s="19">
        <f>IF($V3045&lt;&gt;'設定'!$C$4,N(U3044),IF(OR(NOT(COUNTIF('商品マスタ'!$B$6:$B$1005,$W3045)=0),COUNTIFS('①在庫を貼る'!$V$6:$V$10005,$V3045,'①在庫を貼る'!$W$6:$W$10005,$W3045)&gt;0),N(U3044),N(U3044)+1))</f>
        <v/>
      </c>
      <c r="V3045" s="19">
        <f>IF($B3045="","",TEXT($B3045,"0000"))</f>
        <v/>
      </c>
      <c r="W3045" s="19">
        <f>IF($I3045="","",IF(ISNUMBER($I3045),TEXT($I3045,"0"),$I3045))</f>
        <v/>
      </c>
    </row>
    <row r="3046">
      <c r="B3046" s="25" t="n"/>
      <c r="I3046" s="25" t="n"/>
      <c r="U3046" s="19">
        <f>IF($V3046&lt;&gt;'設定'!$C$4,N(U3045),IF(OR(NOT(COUNTIF('商品マスタ'!$B$6:$B$1005,$W3046)=0),COUNTIFS('①在庫を貼る'!$V$6:$V$10005,$V3046,'①在庫を貼る'!$W$6:$W$10005,$W3046)&gt;0),N(U3045),N(U3045)+1))</f>
        <v/>
      </c>
      <c r="V3046" s="19">
        <f>IF($B3046="","",TEXT($B3046,"0000"))</f>
        <v/>
      </c>
      <c r="W3046" s="19">
        <f>IF($I3046="","",IF(ISNUMBER($I3046),TEXT($I3046,"0"),$I3046))</f>
        <v/>
      </c>
    </row>
    <row r="3047">
      <c r="B3047" s="25" t="n"/>
      <c r="I3047" s="25" t="n"/>
      <c r="U3047" s="19">
        <f>IF($V3047&lt;&gt;'設定'!$C$4,N(U3046),IF(OR(NOT(COUNTIF('商品マスタ'!$B$6:$B$1005,$W3047)=0),COUNTIFS('①在庫を貼る'!$V$6:$V$10005,$V3047,'①在庫を貼る'!$W$6:$W$10005,$W3047)&gt;0),N(U3046),N(U3046)+1))</f>
        <v/>
      </c>
      <c r="V3047" s="19">
        <f>IF($B3047="","",TEXT($B3047,"0000"))</f>
        <v/>
      </c>
      <c r="W3047" s="19">
        <f>IF($I3047="","",IF(ISNUMBER($I3047),TEXT($I3047,"0"),$I3047))</f>
        <v/>
      </c>
    </row>
    <row r="3048">
      <c r="B3048" s="25" t="n"/>
      <c r="I3048" s="25" t="n"/>
      <c r="U3048" s="19">
        <f>IF($V3048&lt;&gt;'設定'!$C$4,N(U3047),IF(OR(NOT(COUNTIF('商品マスタ'!$B$6:$B$1005,$W3048)=0),COUNTIFS('①在庫を貼る'!$V$6:$V$10005,$V3048,'①在庫を貼る'!$W$6:$W$10005,$W3048)&gt;0),N(U3047),N(U3047)+1))</f>
        <v/>
      </c>
      <c r="V3048" s="19">
        <f>IF($B3048="","",TEXT($B3048,"0000"))</f>
        <v/>
      </c>
      <c r="W3048" s="19">
        <f>IF($I3048="","",IF(ISNUMBER($I3048),TEXT($I3048,"0"),$I3048))</f>
        <v/>
      </c>
    </row>
    <row r="3049">
      <c r="B3049" s="25" t="n"/>
      <c r="I3049" s="25" t="n"/>
      <c r="U3049" s="19">
        <f>IF($V3049&lt;&gt;'設定'!$C$4,N(U3048),IF(OR(NOT(COUNTIF('商品マスタ'!$B$6:$B$1005,$W3049)=0),COUNTIFS('①在庫を貼る'!$V$6:$V$10005,$V3049,'①在庫を貼る'!$W$6:$W$10005,$W3049)&gt;0),N(U3048),N(U3048)+1))</f>
        <v/>
      </c>
      <c r="V3049" s="19">
        <f>IF($B3049="","",TEXT($B3049,"0000"))</f>
        <v/>
      </c>
      <c r="W3049" s="19">
        <f>IF($I3049="","",IF(ISNUMBER($I3049),TEXT($I3049,"0"),$I3049))</f>
        <v/>
      </c>
    </row>
    <row r="3050">
      <c r="B3050" s="25" t="n"/>
      <c r="I3050" s="25" t="n"/>
      <c r="U3050" s="19">
        <f>IF($V3050&lt;&gt;'設定'!$C$4,N(U3049),IF(OR(NOT(COUNTIF('商品マスタ'!$B$6:$B$1005,$W3050)=0),COUNTIFS('①在庫を貼る'!$V$6:$V$10005,$V3050,'①在庫を貼る'!$W$6:$W$10005,$W3050)&gt;0),N(U3049),N(U3049)+1))</f>
        <v/>
      </c>
      <c r="V3050" s="19">
        <f>IF($B3050="","",TEXT($B3050,"0000"))</f>
        <v/>
      </c>
      <c r="W3050" s="19">
        <f>IF($I3050="","",IF(ISNUMBER($I3050),TEXT($I3050,"0"),$I3050))</f>
        <v/>
      </c>
    </row>
    <row r="3051">
      <c r="B3051" s="25" t="n"/>
      <c r="I3051" s="25" t="n"/>
      <c r="U3051" s="19">
        <f>IF($V3051&lt;&gt;'設定'!$C$4,N(U3050),IF(OR(NOT(COUNTIF('商品マスタ'!$B$6:$B$1005,$W3051)=0),COUNTIFS('①在庫を貼る'!$V$6:$V$10005,$V3051,'①在庫を貼る'!$W$6:$W$10005,$W3051)&gt;0),N(U3050),N(U3050)+1))</f>
        <v/>
      </c>
      <c r="V3051" s="19">
        <f>IF($B3051="","",TEXT($B3051,"0000"))</f>
        <v/>
      </c>
      <c r="W3051" s="19">
        <f>IF($I3051="","",IF(ISNUMBER($I3051),TEXT($I3051,"0"),$I3051))</f>
        <v/>
      </c>
    </row>
    <row r="3052">
      <c r="B3052" s="25" t="n"/>
      <c r="I3052" s="25" t="n"/>
      <c r="U3052" s="19">
        <f>IF($V3052&lt;&gt;'設定'!$C$4,N(U3051),IF(OR(NOT(COUNTIF('商品マスタ'!$B$6:$B$1005,$W3052)=0),COUNTIFS('①在庫を貼る'!$V$6:$V$10005,$V3052,'①在庫を貼る'!$W$6:$W$10005,$W3052)&gt;0),N(U3051),N(U3051)+1))</f>
        <v/>
      </c>
      <c r="V3052" s="19">
        <f>IF($B3052="","",TEXT($B3052,"0000"))</f>
        <v/>
      </c>
      <c r="W3052" s="19">
        <f>IF($I3052="","",IF(ISNUMBER($I3052),TEXT($I3052,"0"),$I3052))</f>
        <v/>
      </c>
    </row>
    <row r="3053">
      <c r="B3053" s="25" t="n"/>
      <c r="I3053" s="25" t="n"/>
      <c r="U3053" s="19">
        <f>IF($V3053&lt;&gt;'設定'!$C$4,N(U3052),IF(OR(NOT(COUNTIF('商品マスタ'!$B$6:$B$1005,$W3053)=0),COUNTIFS('①在庫を貼る'!$V$6:$V$10005,$V3053,'①在庫を貼る'!$W$6:$W$10005,$W3053)&gt;0),N(U3052),N(U3052)+1))</f>
        <v/>
      </c>
      <c r="V3053" s="19">
        <f>IF($B3053="","",TEXT($B3053,"0000"))</f>
        <v/>
      </c>
      <c r="W3053" s="19">
        <f>IF($I3053="","",IF(ISNUMBER($I3053),TEXT($I3053,"0"),$I3053))</f>
        <v/>
      </c>
    </row>
    <row r="3054">
      <c r="B3054" s="25" t="n"/>
      <c r="I3054" s="25" t="n"/>
      <c r="U3054" s="19">
        <f>IF($V3054&lt;&gt;'設定'!$C$4,N(U3053),IF(OR(NOT(COUNTIF('商品マスタ'!$B$6:$B$1005,$W3054)=0),COUNTIFS('①在庫を貼る'!$V$6:$V$10005,$V3054,'①在庫を貼る'!$W$6:$W$10005,$W3054)&gt;0),N(U3053),N(U3053)+1))</f>
        <v/>
      </c>
      <c r="V3054" s="19">
        <f>IF($B3054="","",TEXT($B3054,"0000"))</f>
        <v/>
      </c>
      <c r="W3054" s="19">
        <f>IF($I3054="","",IF(ISNUMBER($I3054),TEXT($I3054,"0"),$I3054))</f>
        <v/>
      </c>
    </row>
    <row r="3055">
      <c r="B3055" s="25" t="n"/>
      <c r="I3055" s="25" t="n"/>
      <c r="U3055" s="19">
        <f>IF($V3055&lt;&gt;'設定'!$C$4,N(U3054),IF(OR(NOT(COUNTIF('商品マスタ'!$B$6:$B$1005,$W3055)=0),COUNTIFS('①在庫を貼る'!$V$6:$V$10005,$V3055,'①在庫を貼る'!$W$6:$W$10005,$W3055)&gt;0),N(U3054),N(U3054)+1))</f>
        <v/>
      </c>
      <c r="V3055" s="19">
        <f>IF($B3055="","",TEXT($B3055,"0000"))</f>
        <v/>
      </c>
      <c r="W3055" s="19">
        <f>IF($I3055="","",IF(ISNUMBER($I3055),TEXT($I3055,"0"),$I3055))</f>
        <v/>
      </c>
    </row>
    <row r="3056">
      <c r="B3056" s="25" t="n"/>
      <c r="I3056" s="25" t="n"/>
      <c r="U3056" s="19">
        <f>IF($V3056&lt;&gt;'設定'!$C$4,N(U3055),IF(OR(NOT(COUNTIF('商品マスタ'!$B$6:$B$1005,$W3056)=0),COUNTIFS('①在庫を貼る'!$V$6:$V$10005,$V3056,'①在庫を貼る'!$W$6:$W$10005,$W3056)&gt;0),N(U3055),N(U3055)+1))</f>
        <v/>
      </c>
      <c r="V3056" s="19">
        <f>IF($B3056="","",TEXT($B3056,"0000"))</f>
        <v/>
      </c>
      <c r="W3056" s="19">
        <f>IF($I3056="","",IF(ISNUMBER($I3056),TEXT($I3056,"0"),$I3056))</f>
        <v/>
      </c>
    </row>
    <row r="3057">
      <c r="B3057" s="25" t="n"/>
      <c r="I3057" s="25" t="n"/>
      <c r="U3057" s="19">
        <f>IF($V3057&lt;&gt;'設定'!$C$4,N(U3056),IF(OR(NOT(COUNTIF('商品マスタ'!$B$6:$B$1005,$W3057)=0),COUNTIFS('①在庫を貼る'!$V$6:$V$10005,$V3057,'①在庫を貼る'!$W$6:$W$10005,$W3057)&gt;0),N(U3056),N(U3056)+1))</f>
        <v/>
      </c>
      <c r="V3057" s="19">
        <f>IF($B3057="","",TEXT($B3057,"0000"))</f>
        <v/>
      </c>
      <c r="W3057" s="19">
        <f>IF($I3057="","",IF(ISNUMBER($I3057),TEXT($I3057,"0"),$I3057))</f>
        <v/>
      </c>
    </row>
    <row r="3058">
      <c r="B3058" s="25" t="n"/>
      <c r="I3058" s="25" t="n"/>
      <c r="U3058" s="19">
        <f>IF($V3058&lt;&gt;'設定'!$C$4,N(U3057),IF(OR(NOT(COUNTIF('商品マスタ'!$B$6:$B$1005,$W3058)=0),COUNTIFS('①在庫を貼る'!$V$6:$V$10005,$V3058,'①在庫を貼る'!$W$6:$W$10005,$W3058)&gt;0),N(U3057),N(U3057)+1))</f>
        <v/>
      </c>
      <c r="V3058" s="19">
        <f>IF($B3058="","",TEXT($B3058,"0000"))</f>
        <v/>
      </c>
      <c r="W3058" s="19">
        <f>IF($I3058="","",IF(ISNUMBER($I3058),TEXT($I3058,"0"),$I3058))</f>
        <v/>
      </c>
    </row>
    <row r="3059">
      <c r="B3059" s="25" t="n"/>
      <c r="I3059" s="25" t="n"/>
      <c r="U3059" s="19">
        <f>IF($V3059&lt;&gt;'設定'!$C$4,N(U3058),IF(OR(NOT(COUNTIF('商品マスタ'!$B$6:$B$1005,$W3059)=0),COUNTIFS('①在庫を貼る'!$V$6:$V$10005,$V3059,'①在庫を貼る'!$W$6:$W$10005,$W3059)&gt;0),N(U3058),N(U3058)+1))</f>
        <v/>
      </c>
      <c r="V3059" s="19">
        <f>IF($B3059="","",TEXT($B3059,"0000"))</f>
        <v/>
      </c>
      <c r="W3059" s="19">
        <f>IF($I3059="","",IF(ISNUMBER($I3059),TEXT($I3059,"0"),$I3059))</f>
        <v/>
      </c>
    </row>
    <row r="3060">
      <c r="B3060" s="25" t="n"/>
      <c r="I3060" s="25" t="n"/>
      <c r="U3060" s="19">
        <f>IF($V3060&lt;&gt;'設定'!$C$4,N(U3059),IF(OR(NOT(COUNTIF('商品マスタ'!$B$6:$B$1005,$W3060)=0),COUNTIFS('①在庫を貼る'!$V$6:$V$10005,$V3060,'①在庫を貼る'!$W$6:$W$10005,$W3060)&gt;0),N(U3059),N(U3059)+1))</f>
        <v/>
      </c>
      <c r="V3060" s="19">
        <f>IF($B3060="","",TEXT($B3060,"0000"))</f>
        <v/>
      </c>
      <c r="W3060" s="19">
        <f>IF($I3060="","",IF(ISNUMBER($I3060),TEXT($I3060,"0"),$I3060))</f>
        <v/>
      </c>
    </row>
    <row r="3061">
      <c r="B3061" s="25" t="n"/>
      <c r="I3061" s="25" t="n"/>
      <c r="U3061" s="19">
        <f>IF($V3061&lt;&gt;'設定'!$C$4,N(U3060),IF(OR(NOT(COUNTIF('商品マスタ'!$B$6:$B$1005,$W3061)=0),COUNTIFS('①在庫を貼る'!$V$6:$V$10005,$V3061,'①在庫を貼る'!$W$6:$W$10005,$W3061)&gt;0),N(U3060),N(U3060)+1))</f>
        <v/>
      </c>
      <c r="V3061" s="19">
        <f>IF($B3061="","",TEXT($B3061,"0000"))</f>
        <v/>
      </c>
      <c r="W3061" s="19">
        <f>IF($I3061="","",IF(ISNUMBER($I3061),TEXT($I3061,"0"),$I3061))</f>
        <v/>
      </c>
    </row>
    <row r="3062">
      <c r="B3062" s="25" t="n"/>
      <c r="I3062" s="25" t="n"/>
      <c r="U3062" s="19">
        <f>IF($V3062&lt;&gt;'設定'!$C$4,N(U3061),IF(OR(NOT(COUNTIF('商品マスタ'!$B$6:$B$1005,$W3062)=0),COUNTIFS('①在庫を貼る'!$V$6:$V$10005,$V3062,'①在庫を貼る'!$W$6:$W$10005,$W3062)&gt;0),N(U3061),N(U3061)+1))</f>
        <v/>
      </c>
      <c r="V3062" s="19">
        <f>IF($B3062="","",TEXT($B3062,"0000"))</f>
        <v/>
      </c>
      <c r="W3062" s="19">
        <f>IF($I3062="","",IF(ISNUMBER($I3062),TEXT($I3062,"0"),$I3062))</f>
        <v/>
      </c>
    </row>
    <row r="3063">
      <c r="B3063" s="25" t="n"/>
      <c r="I3063" s="25" t="n"/>
      <c r="U3063" s="19">
        <f>IF($V3063&lt;&gt;'設定'!$C$4,N(U3062),IF(OR(NOT(COUNTIF('商品マスタ'!$B$6:$B$1005,$W3063)=0),COUNTIFS('①在庫を貼る'!$V$6:$V$10005,$V3063,'①在庫を貼る'!$W$6:$W$10005,$W3063)&gt;0),N(U3062),N(U3062)+1))</f>
        <v/>
      </c>
      <c r="V3063" s="19">
        <f>IF($B3063="","",TEXT($B3063,"0000"))</f>
        <v/>
      </c>
      <c r="W3063" s="19">
        <f>IF($I3063="","",IF(ISNUMBER($I3063),TEXT($I3063,"0"),$I3063))</f>
        <v/>
      </c>
    </row>
    <row r="3064">
      <c r="B3064" s="25" t="n"/>
      <c r="I3064" s="25" t="n"/>
      <c r="U3064" s="19">
        <f>IF($V3064&lt;&gt;'設定'!$C$4,N(U3063),IF(OR(NOT(COUNTIF('商品マスタ'!$B$6:$B$1005,$W3064)=0),COUNTIFS('①在庫を貼る'!$V$6:$V$10005,$V3064,'①在庫を貼る'!$W$6:$W$10005,$W3064)&gt;0),N(U3063),N(U3063)+1))</f>
        <v/>
      </c>
      <c r="V3064" s="19">
        <f>IF($B3064="","",TEXT($B3064,"0000"))</f>
        <v/>
      </c>
      <c r="W3064" s="19">
        <f>IF($I3064="","",IF(ISNUMBER($I3064),TEXT($I3064,"0"),$I3064))</f>
        <v/>
      </c>
    </row>
    <row r="3065">
      <c r="B3065" s="25" t="n"/>
      <c r="I3065" s="25" t="n"/>
      <c r="U3065" s="19">
        <f>IF($V3065&lt;&gt;'設定'!$C$4,N(U3064),IF(OR(NOT(COUNTIF('商品マスタ'!$B$6:$B$1005,$W3065)=0),COUNTIFS('①在庫を貼る'!$V$6:$V$10005,$V3065,'①在庫を貼る'!$W$6:$W$10005,$W3065)&gt;0),N(U3064),N(U3064)+1))</f>
        <v/>
      </c>
      <c r="V3065" s="19">
        <f>IF($B3065="","",TEXT($B3065,"0000"))</f>
        <v/>
      </c>
      <c r="W3065" s="19">
        <f>IF($I3065="","",IF(ISNUMBER($I3065),TEXT($I3065,"0"),$I3065))</f>
        <v/>
      </c>
    </row>
    <row r="3066">
      <c r="B3066" s="25" t="n"/>
      <c r="I3066" s="25" t="n"/>
      <c r="U3066" s="19">
        <f>IF($V3066&lt;&gt;'設定'!$C$4,N(U3065),IF(OR(NOT(COUNTIF('商品マスタ'!$B$6:$B$1005,$W3066)=0),COUNTIFS('①在庫を貼る'!$V$6:$V$10005,$V3066,'①在庫を貼る'!$W$6:$W$10005,$W3066)&gt;0),N(U3065),N(U3065)+1))</f>
        <v/>
      </c>
      <c r="V3066" s="19">
        <f>IF($B3066="","",TEXT($B3066,"0000"))</f>
        <v/>
      </c>
      <c r="W3066" s="19">
        <f>IF($I3066="","",IF(ISNUMBER($I3066),TEXT($I3066,"0"),$I3066))</f>
        <v/>
      </c>
    </row>
    <row r="3067">
      <c r="B3067" s="25" t="n"/>
      <c r="I3067" s="25" t="n"/>
      <c r="U3067" s="19">
        <f>IF($V3067&lt;&gt;'設定'!$C$4,N(U3066),IF(OR(NOT(COUNTIF('商品マスタ'!$B$6:$B$1005,$W3067)=0),COUNTIFS('①在庫を貼る'!$V$6:$V$10005,$V3067,'①在庫を貼る'!$W$6:$W$10005,$W3067)&gt;0),N(U3066),N(U3066)+1))</f>
        <v/>
      </c>
      <c r="V3067" s="19">
        <f>IF($B3067="","",TEXT($B3067,"0000"))</f>
        <v/>
      </c>
      <c r="W3067" s="19">
        <f>IF($I3067="","",IF(ISNUMBER($I3067),TEXT($I3067,"0"),$I3067))</f>
        <v/>
      </c>
    </row>
    <row r="3068">
      <c r="B3068" s="25" t="n"/>
      <c r="I3068" s="25" t="n"/>
      <c r="U3068" s="19">
        <f>IF($V3068&lt;&gt;'設定'!$C$4,N(U3067),IF(OR(NOT(COUNTIF('商品マスタ'!$B$6:$B$1005,$W3068)=0),COUNTIFS('①在庫を貼る'!$V$6:$V$10005,$V3068,'①在庫を貼る'!$W$6:$W$10005,$W3068)&gt;0),N(U3067),N(U3067)+1))</f>
        <v/>
      </c>
      <c r="V3068" s="19">
        <f>IF($B3068="","",TEXT($B3068,"0000"))</f>
        <v/>
      </c>
      <c r="W3068" s="19">
        <f>IF($I3068="","",IF(ISNUMBER($I3068),TEXT($I3068,"0"),$I3068))</f>
        <v/>
      </c>
    </row>
    <row r="3069">
      <c r="B3069" s="25" t="n"/>
      <c r="I3069" s="25" t="n"/>
      <c r="U3069" s="19">
        <f>IF($V3069&lt;&gt;'設定'!$C$4,N(U3068),IF(OR(NOT(COUNTIF('商品マスタ'!$B$6:$B$1005,$W3069)=0),COUNTIFS('①在庫を貼る'!$V$6:$V$10005,$V3069,'①在庫を貼る'!$W$6:$W$10005,$W3069)&gt;0),N(U3068),N(U3068)+1))</f>
        <v/>
      </c>
      <c r="V3069" s="19">
        <f>IF($B3069="","",TEXT($B3069,"0000"))</f>
        <v/>
      </c>
      <c r="W3069" s="19">
        <f>IF($I3069="","",IF(ISNUMBER($I3069),TEXT($I3069,"0"),$I3069))</f>
        <v/>
      </c>
    </row>
    <row r="3070">
      <c r="B3070" s="25" t="n"/>
      <c r="I3070" s="25" t="n"/>
      <c r="U3070" s="19">
        <f>IF($V3070&lt;&gt;'設定'!$C$4,N(U3069),IF(OR(NOT(COUNTIF('商品マスタ'!$B$6:$B$1005,$W3070)=0),COUNTIFS('①在庫を貼る'!$V$6:$V$10005,$V3070,'①在庫を貼る'!$W$6:$W$10005,$W3070)&gt;0),N(U3069),N(U3069)+1))</f>
        <v/>
      </c>
      <c r="V3070" s="19">
        <f>IF($B3070="","",TEXT($B3070,"0000"))</f>
        <v/>
      </c>
      <c r="W3070" s="19">
        <f>IF($I3070="","",IF(ISNUMBER($I3070),TEXT($I3070,"0"),$I3070))</f>
        <v/>
      </c>
    </row>
    <row r="3071">
      <c r="B3071" s="25" t="n"/>
      <c r="I3071" s="25" t="n"/>
      <c r="U3071" s="19">
        <f>IF($V3071&lt;&gt;'設定'!$C$4,N(U3070),IF(OR(NOT(COUNTIF('商品マスタ'!$B$6:$B$1005,$W3071)=0),COUNTIFS('①在庫を貼る'!$V$6:$V$10005,$V3071,'①在庫を貼る'!$W$6:$W$10005,$W3071)&gt;0),N(U3070),N(U3070)+1))</f>
        <v/>
      </c>
      <c r="V3071" s="19">
        <f>IF($B3071="","",TEXT($B3071,"0000"))</f>
        <v/>
      </c>
      <c r="W3071" s="19">
        <f>IF($I3071="","",IF(ISNUMBER($I3071),TEXT($I3071,"0"),$I3071))</f>
        <v/>
      </c>
    </row>
    <row r="3072">
      <c r="B3072" s="25" t="n"/>
      <c r="I3072" s="25" t="n"/>
      <c r="U3072" s="19">
        <f>IF($V3072&lt;&gt;'設定'!$C$4,N(U3071),IF(OR(NOT(COUNTIF('商品マスタ'!$B$6:$B$1005,$W3072)=0),COUNTIFS('①在庫を貼る'!$V$6:$V$10005,$V3072,'①在庫を貼る'!$W$6:$W$10005,$W3072)&gt;0),N(U3071),N(U3071)+1))</f>
        <v/>
      </c>
      <c r="V3072" s="19">
        <f>IF($B3072="","",TEXT($B3072,"0000"))</f>
        <v/>
      </c>
      <c r="W3072" s="19">
        <f>IF($I3072="","",IF(ISNUMBER($I3072),TEXT($I3072,"0"),$I3072))</f>
        <v/>
      </c>
    </row>
    <row r="3073">
      <c r="B3073" s="25" t="n"/>
      <c r="I3073" s="25" t="n"/>
      <c r="U3073" s="19">
        <f>IF($V3073&lt;&gt;'設定'!$C$4,N(U3072),IF(OR(NOT(COUNTIF('商品マスタ'!$B$6:$B$1005,$W3073)=0),COUNTIFS('①在庫を貼る'!$V$6:$V$10005,$V3073,'①在庫を貼る'!$W$6:$W$10005,$W3073)&gt;0),N(U3072),N(U3072)+1))</f>
        <v/>
      </c>
      <c r="V3073" s="19">
        <f>IF($B3073="","",TEXT($B3073,"0000"))</f>
        <v/>
      </c>
      <c r="W3073" s="19">
        <f>IF($I3073="","",IF(ISNUMBER($I3073),TEXT($I3073,"0"),$I3073))</f>
        <v/>
      </c>
    </row>
    <row r="3074">
      <c r="B3074" s="25" t="n"/>
      <c r="I3074" s="25" t="n"/>
      <c r="U3074" s="19">
        <f>IF($V3074&lt;&gt;'設定'!$C$4,N(U3073),IF(OR(NOT(COUNTIF('商品マスタ'!$B$6:$B$1005,$W3074)=0),COUNTIFS('①在庫を貼る'!$V$6:$V$10005,$V3074,'①在庫を貼る'!$W$6:$W$10005,$W3074)&gt;0),N(U3073),N(U3073)+1))</f>
        <v/>
      </c>
      <c r="V3074" s="19">
        <f>IF($B3074="","",TEXT($B3074,"0000"))</f>
        <v/>
      </c>
      <c r="W3074" s="19">
        <f>IF($I3074="","",IF(ISNUMBER($I3074),TEXT($I3074,"0"),$I3074))</f>
        <v/>
      </c>
    </row>
    <row r="3075">
      <c r="B3075" s="25" t="n"/>
      <c r="I3075" s="25" t="n"/>
      <c r="U3075" s="19">
        <f>IF($V3075&lt;&gt;'設定'!$C$4,N(U3074),IF(OR(NOT(COUNTIF('商品マスタ'!$B$6:$B$1005,$W3075)=0),COUNTIFS('①在庫を貼る'!$V$6:$V$10005,$V3075,'①在庫を貼る'!$W$6:$W$10005,$W3075)&gt;0),N(U3074),N(U3074)+1))</f>
        <v/>
      </c>
      <c r="V3075" s="19">
        <f>IF($B3075="","",TEXT($B3075,"0000"))</f>
        <v/>
      </c>
      <c r="W3075" s="19">
        <f>IF($I3075="","",IF(ISNUMBER($I3075),TEXT($I3075,"0"),$I3075))</f>
        <v/>
      </c>
    </row>
    <row r="3076">
      <c r="B3076" s="25" t="n"/>
      <c r="I3076" s="25" t="n"/>
      <c r="U3076" s="19">
        <f>IF($V3076&lt;&gt;'設定'!$C$4,N(U3075),IF(OR(NOT(COUNTIF('商品マスタ'!$B$6:$B$1005,$W3076)=0),COUNTIFS('①在庫を貼る'!$V$6:$V$10005,$V3076,'①在庫を貼る'!$W$6:$W$10005,$W3076)&gt;0),N(U3075),N(U3075)+1))</f>
        <v/>
      </c>
      <c r="V3076" s="19">
        <f>IF($B3076="","",TEXT($B3076,"0000"))</f>
        <v/>
      </c>
      <c r="W3076" s="19">
        <f>IF($I3076="","",IF(ISNUMBER($I3076),TEXT($I3076,"0"),$I3076))</f>
        <v/>
      </c>
    </row>
    <row r="3077">
      <c r="B3077" s="25" t="n"/>
      <c r="I3077" s="25" t="n"/>
      <c r="U3077" s="19">
        <f>IF($V3077&lt;&gt;'設定'!$C$4,N(U3076),IF(OR(NOT(COUNTIF('商品マスタ'!$B$6:$B$1005,$W3077)=0),COUNTIFS('①在庫を貼る'!$V$6:$V$10005,$V3077,'①在庫を貼る'!$W$6:$W$10005,$W3077)&gt;0),N(U3076),N(U3076)+1))</f>
        <v/>
      </c>
      <c r="V3077" s="19">
        <f>IF($B3077="","",TEXT($B3077,"0000"))</f>
        <v/>
      </c>
      <c r="W3077" s="19">
        <f>IF($I3077="","",IF(ISNUMBER($I3077),TEXT($I3077,"0"),$I3077))</f>
        <v/>
      </c>
    </row>
    <row r="3078">
      <c r="B3078" s="25" t="n"/>
      <c r="I3078" s="25" t="n"/>
      <c r="U3078" s="19">
        <f>IF($V3078&lt;&gt;'設定'!$C$4,N(U3077),IF(OR(NOT(COUNTIF('商品マスタ'!$B$6:$B$1005,$W3078)=0),COUNTIFS('①在庫を貼る'!$V$6:$V$10005,$V3078,'①在庫を貼る'!$W$6:$W$10005,$W3078)&gt;0),N(U3077),N(U3077)+1))</f>
        <v/>
      </c>
      <c r="V3078" s="19">
        <f>IF($B3078="","",TEXT($B3078,"0000"))</f>
        <v/>
      </c>
      <c r="W3078" s="19">
        <f>IF($I3078="","",IF(ISNUMBER($I3078),TEXT($I3078,"0"),$I3078))</f>
        <v/>
      </c>
    </row>
    <row r="3079">
      <c r="B3079" s="25" t="n"/>
      <c r="I3079" s="25" t="n"/>
      <c r="U3079" s="19">
        <f>IF($V3079&lt;&gt;'設定'!$C$4,N(U3078),IF(OR(NOT(COUNTIF('商品マスタ'!$B$6:$B$1005,$W3079)=0),COUNTIFS('①在庫を貼る'!$V$6:$V$10005,$V3079,'①在庫を貼る'!$W$6:$W$10005,$W3079)&gt;0),N(U3078),N(U3078)+1))</f>
        <v/>
      </c>
      <c r="V3079" s="19">
        <f>IF($B3079="","",TEXT($B3079,"0000"))</f>
        <v/>
      </c>
      <c r="W3079" s="19">
        <f>IF($I3079="","",IF(ISNUMBER($I3079),TEXT($I3079,"0"),$I3079))</f>
        <v/>
      </c>
    </row>
    <row r="3080">
      <c r="B3080" s="25" t="n"/>
      <c r="I3080" s="25" t="n"/>
      <c r="U3080" s="19">
        <f>IF($V3080&lt;&gt;'設定'!$C$4,N(U3079),IF(OR(NOT(COUNTIF('商品マスタ'!$B$6:$B$1005,$W3080)=0),COUNTIFS('①在庫を貼る'!$V$6:$V$10005,$V3080,'①在庫を貼る'!$W$6:$W$10005,$W3080)&gt;0),N(U3079),N(U3079)+1))</f>
        <v/>
      </c>
      <c r="V3080" s="19">
        <f>IF($B3080="","",TEXT($B3080,"0000"))</f>
        <v/>
      </c>
      <c r="W3080" s="19">
        <f>IF($I3080="","",IF(ISNUMBER($I3080),TEXT($I3080,"0"),$I3080))</f>
        <v/>
      </c>
    </row>
    <row r="3081">
      <c r="B3081" s="25" t="n"/>
      <c r="I3081" s="25" t="n"/>
      <c r="U3081" s="19">
        <f>IF($V3081&lt;&gt;'設定'!$C$4,N(U3080),IF(OR(NOT(COUNTIF('商品マスタ'!$B$6:$B$1005,$W3081)=0),COUNTIFS('①在庫を貼る'!$V$6:$V$10005,$V3081,'①在庫を貼る'!$W$6:$W$10005,$W3081)&gt;0),N(U3080),N(U3080)+1))</f>
        <v/>
      </c>
      <c r="V3081" s="19">
        <f>IF($B3081="","",TEXT($B3081,"0000"))</f>
        <v/>
      </c>
      <c r="W3081" s="19">
        <f>IF($I3081="","",IF(ISNUMBER($I3081),TEXT($I3081,"0"),$I3081))</f>
        <v/>
      </c>
    </row>
    <row r="3082">
      <c r="B3082" s="25" t="n"/>
      <c r="I3082" s="25" t="n"/>
      <c r="U3082" s="19">
        <f>IF($V3082&lt;&gt;'設定'!$C$4,N(U3081),IF(OR(NOT(COUNTIF('商品マスタ'!$B$6:$B$1005,$W3082)=0),COUNTIFS('①在庫を貼る'!$V$6:$V$10005,$V3082,'①在庫を貼る'!$W$6:$W$10005,$W3082)&gt;0),N(U3081),N(U3081)+1))</f>
        <v/>
      </c>
      <c r="V3082" s="19">
        <f>IF($B3082="","",TEXT($B3082,"0000"))</f>
        <v/>
      </c>
      <c r="W3082" s="19">
        <f>IF($I3082="","",IF(ISNUMBER($I3082),TEXT($I3082,"0"),$I3082))</f>
        <v/>
      </c>
    </row>
    <row r="3083">
      <c r="B3083" s="25" t="n"/>
      <c r="I3083" s="25" t="n"/>
      <c r="U3083" s="19">
        <f>IF($V3083&lt;&gt;'設定'!$C$4,N(U3082),IF(OR(NOT(COUNTIF('商品マスタ'!$B$6:$B$1005,$W3083)=0),COUNTIFS('①在庫を貼る'!$V$6:$V$10005,$V3083,'①在庫を貼る'!$W$6:$W$10005,$W3083)&gt;0),N(U3082),N(U3082)+1))</f>
        <v/>
      </c>
      <c r="V3083" s="19">
        <f>IF($B3083="","",TEXT($B3083,"0000"))</f>
        <v/>
      </c>
      <c r="W3083" s="19">
        <f>IF($I3083="","",IF(ISNUMBER($I3083),TEXT($I3083,"0"),$I3083))</f>
        <v/>
      </c>
    </row>
    <row r="3084">
      <c r="B3084" s="25" t="n"/>
      <c r="I3084" s="25" t="n"/>
      <c r="U3084" s="19">
        <f>IF($V3084&lt;&gt;'設定'!$C$4,N(U3083),IF(OR(NOT(COUNTIF('商品マスタ'!$B$6:$B$1005,$W3084)=0),COUNTIFS('①在庫を貼る'!$V$6:$V$10005,$V3084,'①在庫を貼る'!$W$6:$W$10005,$W3084)&gt;0),N(U3083),N(U3083)+1))</f>
        <v/>
      </c>
      <c r="V3084" s="19">
        <f>IF($B3084="","",TEXT($B3084,"0000"))</f>
        <v/>
      </c>
      <c r="W3084" s="19">
        <f>IF($I3084="","",IF(ISNUMBER($I3084),TEXT($I3084,"0"),$I3084))</f>
        <v/>
      </c>
    </row>
    <row r="3085">
      <c r="B3085" s="25" t="n"/>
      <c r="I3085" s="25" t="n"/>
      <c r="U3085" s="19">
        <f>IF($V3085&lt;&gt;'設定'!$C$4,N(U3084),IF(OR(NOT(COUNTIF('商品マスタ'!$B$6:$B$1005,$W3085)=0),COUNTIFS('①在庫を貼る'!$V$6:$V$10005,$V3085,'①在庫を貼る'!$W$6:$W$10005,$W3085)&gt;0),N(U3084),N(U3084)+1))</f>
        <v/>
      </c>
      <c r="V3085" s="19">
        <f>IF($B3085="","",TEXT($B3085,"0000"))</f>
        <v/>
      </c>
      <c r="W3085" s="19">
        <f>IF($I3085="","",IF(ISNUMBER($I3085),TEXT($I3085,"0"),$I3085))</f>
        <v/>
      </c>
    </row>
    <row r="3086">
      <c r="B3086" s="25" t="n"/>
      <c r="I3086" s="25" t="n"/>
      <c r="U3086" s="19">
        <f>IF($V3086&lt;&gt;'設定'!$C$4,N(U3085),IF(OR(NOT(COUNTIF('商品マスタ'!$B$6:$B$1005,$W3086)=0),COUNTIFS('①在庫を貼る'!$V$6:$V$10005,$V3086,'①在庫を貼る'!$W$6:$W$10005,$W3086)&gt;0),N(U3085),N(U3085)+1))</f>
        <v/>
      </c>
      <c r="V3086" s="19">
        <f>IF($B3086="","",TEXT($B3086,"0000"))</f>
        <v/>
      </c>
      <c r="W3086" s="19">
        <f>IF($I3086="","",IF(ISNUMBER($I3086),TEXT($I3086,"0"),$I3086))</f>
        <v/>
      </c>
    </row>
    <row r="3087">
      <c r="B3087" s="25" t="n"/>
      <c r="I3087" s="25" t="n"/>
      <c r="U3087" s="19">
        <f>IF($V3087&lt;&gt;'設定'!$C$4,N(U3086),IF(OR(NOT(COUNTIF('商品マスタ'!$B$6:$B$1005,$W3087)=0),COUNTIFS('①在庫を貼る'!$V$6:$V$10005,$V3087,'①在庫を貼る'!$W$6:$W$10005,$W3087)&gt;0),N(U3086),N(U3086)+1))</f>
        <v/>
      </c>
      <c r="V3087" s="19">
        <f>IF($B3087="","",TEXT($B3087,"0000"))</f>
        <v/>
      </c>
      <c r="W3087" s="19">
        <f>IF($I3087="","",IF(ISNUMBER($I3087),TEXT($I3087,"0"),$I3087))</f>
        <v/>
      </c>
    </row>
    <row r="3088">
      <c r="B3088" s="25" t="n"/>
      <c r="I3088" s="25" t="n"/>
      <c r="U3088" s="19">
        <f>IF($V3088&lt;&gt;'設定'!$C$4,N(U3087),IF(OR(NOT(COUNTIF('商品マスタ'!$B$6:$B$1005,$W3088)=0),COUNTIFS('①在庫を貼る'!$V$6:$V$10005,$V3088,'①在庫を貼る'!$W$6:$W$10005,$W3088)&gt;0),N(U3087),N(U3087)+1))</f>
        <v/>
      </c>
      <c r="V3088" s="19">
        <f>IF($B3088="","",TEXT($B3088,"0000"))</f>
        <v/>
      </c>
      <c r="W3088" s="19">
        <f>IF($I3088="","",IF(ISNUMBER($I3088),TEXT($I3088,"0"),$I3088))</f>
        <v/>
      </c>
    </row>
    <row r="3089">
      <c r="B3089" s="25" t="n"/>
      <c r="I3089" s="25" t="n"/>
      <c r="U3089" s="19">
        <f>IF($V3089&lt;&gt;'設定'!$C$4,N(U3088),IF(OR(NOT(COUNTIF('商品マスタ'!$B$6:$B$1005,$W3089)=0),COUNTIFS('①在庫を貼る'!$V$6:$V$10005,$V3089,'①在庫を貼る'!$W$6:$W$10005,$W3089)&gt;0),N(U3088),N(U3088)+1))</f>
        <v/>
      </c>
      <c r="V3089" s="19">
        <f>IF($B3089="","",TEXT($B3089,"0000"))</f>
        <v/>
      </c>
      <c r="W3089" s="19">
        <f>IF($I3089="","",IF(ISNUMBER($I3089),TEXT($I3089,"0"),$I3089))</f>
        <v/>
      </c>
    </row>
    <row r="3090">
      <c r="B3090" s="25" t="n"/>
      <c r="I3090" s="25" t="n"/>
      <c r="U3090" s="19">
        <f>IF($V3090&lt;&gt;'設定'!$C$4,N(U3089),IF(OR(NOT(COUNTIF('商品マスタ'!$B$6:$B$1005,$W3090)=0),COUNTIFS('①在庫を貼る'!$V$6:$V$10005,$V3090,'①在庫を貼る'!$W$6:$W$10005,$W3090)&gt;0),N(U3089),N(U3089)+1))</f>
        <v/>
      </c>
      <c r="V3090" s="19">
        <f>IF($B3090="","",TEXT($B3090,"0000"))</f>
        <v/>
      </c>
      <c r="W3090" s="19">
        <f>IF($I3090="","",IF(ISNUMBER($I3090),TEXT($I3090,"0"),$I3090))</f>
        <v/>
      </c>
    </row>
    <row r="3091">
      <c r="B3091" s="25" t="n"/>
      <c r="I3091" s="25" t="n"/>
      <c r="U3091" s="19">
        <f>IF($V3091&lt;&gt;'設定'!$C$4,N(U3090),IF(OR(NOT(COUNTIF('商品マスタ'!$B$6:$B$1005,$W3091)=0),COUNTIFS('①在庫を貼る'!$V$6:$V$10005,$V3091,'①在庫を貼る'!$W$6:$W$10005,$W3091)&gt;0),N(U3090),N(U3090)+1))</f>
        <v/>
      </c>
      <c r="V3091" s="19">
        <f>IF($B3091="","",TEXT($B3091,"0000"))</f>
        <v/>
      </c>
      <c r="W3091" s="19">
        <f>IF($I3091="","",IF(ISNUMBER($I3091),TEXT($I3091,"0"),$I3091))</f>
        <v/>
      </c>
    </row>
    <row r="3092">
      <c r="B3092" s="25" t="n"/>
      <c r="I3092" s="25" t="n"/>
      <c r="U3092" s="19">
        <f>IF($V3092&lt;&gt;'設定'!$C$4,N(U3091),IF(OR(NOT(COUNTIF('商品マスタ'!$B$6:$B$1005,$W3092)=0),COUNTIFS('①在庫を貼る'!$V$6:$V$10005,$V3092,'①在庫を貼る'!$W$6:$W$10005,$W3092)&gt;0),N(U3091),N(U3091)+1))</f>
        <v/>
      </c>
      <c r="V3092" s="19">
        <f>IF($B3092="","",TEXT($B3092,"0000"))</f>
        <v/>
      </c>
      <c r="W3092" s="19">
        <f>IF($I3092="","",IF(ISNUMBER($I3092),TEXT($I3092,"0"),$I3092))</f>
        <v/>
      </c>
    </row>
    <row r="3093">
      <c r="B3093" s="25" t="n"/>
      <c r="I3093" s="25" t="n"/>
      <c r="U3093" s="19">
        <f>IF($V3093&lt;&gt;'設定'!$C$4,N(U3092),IF(OR(NOT(COUNTIF('商品マスタ'!$B$6:$B$1005,$W3093)=0),COUNTIFS('①在庫を貼る'!$V$6:$V$10005,$V3093,'①在庫を貼る'!$W$6:$W$10005,$W3093)&gt;0),N(U3092),N(U3092)+1))</f>
        <v/>
      </c>
      <c r="V3093" s="19">
        <f>IF($B3093="","",TEXT($B3093,"0000"))</f>
        <v/>
      </c>
      <c r="W3093" s="19">
        <f>IF($I3093="","",IF(ISNUMBER($I3093),TEXT($I3093,"0"),$I3093))</f>
        <v/>
      </c>
    </row>
    <row r="3094">
      <c r="B3094" s="25" t="n"/>
      <c r="I3094" s="25" t="n"/>
      <c r="U3094" s="19">
        <f>IF($V3094&lt;&gt;'設定'!$C$4,N(U3093),IF(OR(NOT(COUNTIF('商品マスタ'!$B$6:$B$1005,$W3094)=0),COUNTIFS('①在庫を貼る'!$V$6:$V$10005,$V3094,'①在庫を貼る'!$W$6:$W$10005,$W3094)&gt;0),N(U3093),N(U3093)+1))</f>
        <v/>
      </c>
      <c r="V3094" s="19">
        <f>IF($B3094="","",TEXT($B3094,"0000"))</f>
        <v/>
      </c>
      <c r="W3094" s="19">
        <f>IF($I3094="","",IF(ISNUMBER($I3094),TEXT($I3094,"0"),$I3094))</f>
        <v/>
      </c>
    </row>
    <row r="3095">
      <c r="B3095" s="25" t="n"/>
      <c r="I3095" s="25" t="n"/>
      <c r="U3095" s="19">
        <f>IF($V3095&lt;&gt;'設定'!$C$4,N(U3094),IF(OR(NOT(COUNTIF('商品マスタ'!$B$6:$B$1005,$W3095)=0),COUNTIFS('①在庫を貼る'!$V$6:$V$10005,$V3095,'①在庫を貼る'!$W$6:$W$10005,$W3095)&gt;0),N(U3094),N(U3094)+1))</f>
        <v/>
      </c>
      <c r="V3095" s="19">
        <f>IF($B3095="","",TEXT($B3095,"0000"))</f>
        <v/>
      </c>
      <c r="W3095" s="19">
        <f>IF($I3095="","",IF(ISNUMBER($I3095),TEXT($I3095,"0"),$I3095))</f>
        <v/>
      </c>
    </row>
    <row r="3096">
      <c r="B3096" s="25" t="n"/>
      <c r="I3096" s="25" t="n"/>
      <c r="U3096" s="19">
        <f>IF($V3096&lt;&gt;'設定'!$C$4,N(U3095),IF(OR(NOT(COUNTIF('商品マスタ'!$B$6:$B$1005,$W3096)=0),COUNTIFS('①在庫を貼る'!$V$6:$V$10005,$V3096,'①在庫を貼る'!$W$6:$W$10005,$W3096)&gt;0),N(U3095),N(U3095)+1))</f>
        <v/>
      </c>
      <c r="V3096" s="19">
        <f>IF($B3096="","",TEXT($B3096,"0000"))</f>
        <v/>
      </c>
      <c r="W3096" s="19">
        <f>IF($I3096="","",IF(ISNUMBER($I3096),TEXT($I3096,"0"),$I3096))</f>
        <v/>
      </c>
    </row>
    <row r="3097">
      <c r="B3097" s="25" t="n"/>
      <c r="I3097" s="25" t="n"/>
      <c r="U3097" s="19">
        <f>IF($V3097&lt;&gt;'設定'!$C$4,N(U3096),IF(OR(NOT(COUNTIF('商品マスタ'!$B$6:$B$1005,$W3097)=0),COUNTIFS('①在庫を貼る'!$V$6:$V$10005,$V3097,'①在庫を貼る'!$W$6:$W$10005,$W3097)&gt;0),N(U3096),N(U3096)+1))</f>
        <v/>
      </c>
      <c r="V3097" s="19">
        <f>IF($B3097="","",TEXT($B3097,"0000"))</f>
        <v/>
      </c>
      <c r="W3097" s="19">
        <f>IF($I3097="","",IF(ISNUMBER($I3097),TEXT($I3097,"0"),$I3097))</f>
        <v/>
      </c>
    </row>
    <row r="3098">
      <c r="B3098" s="25" t="n"/>
      <c r="I3098" s="25" t="n"/>
      <c r="U3098" s="19">
        <f>IF($V3098&lt;&gt;'設定'!$C$4,N(U3097),IF(OR(NOT(COUNTIF('商品マスタ'!$B$6:$B$1005,$W3098)=0),COUNTIFS('①在庫を貼る'!$V$6:$V$10005,$V3098,'①在庫を貼る'!$W$6:$W$10005,$W3098)&gt;0),N(U3097),N(U3097)+1))</f>
        <v/>
      </c>
      <c r="V3098" s="19">
        <f>IF($B3098="","",TEXT($B3098,"0000"))</f>
        <v/>
      </c>
      <c r="W3098" s="19">
        <f>IF($I3098="","",IF(ISNUMBER($I3098),TEXT($I3098,"0"),$I3098))</f>
        <v/>
      </c>
    </row>
    <row r="3099">
      <c r="B3099" s="25" t="n"/>
      <c r="I3099" s="25" t="n"/>
      <c r="U3099" s="19">
        <f>IF($V3099&lt;&gt;'設定'!$C$4,N(U3098),IF(OR(NOT(COUNTIF('商品マスタ'!$B$6:$B$1005,$W3099)=0),COUNTIFS('①在庫を貼る'!$V$6:$V$10005,$V3099,'①在庫を貼る'!$W$6:$W$10005,$W3099)&gt;0),N(U3098),N(U3098)+1))</f>
        <v/>
      </c>
      <c r="V3099" s="19">
        <f>IF($B3099="","",TEXT($B3099,"0000"))</f>
        <v/>
      </c>
      <c r="W3099" s="19">
        <f>IF($I3099="","",IF(ISNUMBER($I3099),TEXT($I3099,"0"),$I3099))</f>
        <v/>
      </c>
    </row>
    <row r="3100">
      <c r="B3100" s="25" t="n"/>
      <c r="I3100" s="25" t="n"/>
      <c r="U3100" s="19">
        <f>IF($V3100&lt;&gt;'設定'!$C$4,N(U3099),IF(OR(NOT(COUNTIF('商品マスタ'!$B$6:$B$1005,$W3100)=0),COUNTIFS('①在庫を貼る'!$V$6:$V$10005,$V3100,'①在庫を貼る'!$W$6:$W$10005,$W3100)&gt;0),N(U3099),N(U3099)+1))</f>
        <v/>
      </c>
      <c r="V3100" s="19">
        <f>IF($B3100="","",TEXT($B3100,"0000"))</f>
        <v/>
      </c>
      <c r="W3100" s="19">
        <f>IF($I3100="","",IF(ISNUMBER($I3100),TEXT($I3100,"0"),$I3100))</f>
        <v/>
      </c>
    </row>
    <row r="3101">
      <c r="B3101" s="25" t="n"/>
      <c r="I3101" s="25" t="n"/>
      <c r="U3101" s="19">
        <f>IF($V3101&lt;&gt;'設定'!$C$4,N(U3100),IF(OR(NOT(COUNTIF('商品マスタ'!$B$6:$B$1005,$W3101)=0),COUNTIFS('①在庫を貼る'!$V$6:$V$10005,$V3101,'①在庫を貼る'!$W$6:$W$10005,$W3101)&gt;0),N(U3100),N(U3100)+1))</f>
        <v/>
      </c>
      <c r="V3101" s="19">
        <f>IF($B3101="","",TEXT($B3101,"0000"))</f>
        <v/>
      </c>
      <c r="W3101" s="19">
        <f>IF($I3101="","",IF(ISNUMBER($I3101),TEXT($I3101,"0"),$I3101))</f>
        <v/>
      </c>
    </row>
    <row r="3102">
      <c r="B3102" s="25" t="n"/>
      <c r="I3102" s="25" t="n"/>
      <c r="U3102" s="19">
        <f>IF($V3102&lt;&gt;'設定'!$C$4,N(U3101),IF(OR(NOT(COUNTIF('商品マスタ'!$B$6:$B$1005,$W3102)=0),COUNTIFS('①在庫を貼る'!$V$6:$V$10005,$V3102,'①在庫を貼る'!$W$6:$W$10005,$W3102)&gt;0),N(U3101),N(U3101)+1))</f>
        <v/>
      </c>
      <c r="V3102" s="19">
        <f>IF($B3102="","",TEXT($B3102,"0000"))</f>
        <v/>
      </c>
      <c r="W3102" s="19">
        <f>IF($I3102="","",IF(ISNUMBER($I3102),TEXT($I3102,"0"),$I3102))</f>
        <v/>
      </c>
    </row>
    <row r="3103">
      <c r="B3103" s="25" t="n"/>
      <c r="I3103" s="25" t="n"/>
      <c r="U3103" s="19">
        <f>IF($V3103&lt;&gt;'設定'!$C$4,N(U3102),IF(OR(NOT(COUNTIF('商品マスタ'!$B$6:$B$1005,$W3103)=0),COUNTIFS('①在庫を貼る'!$V$6:$V$10005,$V3103,'①在庫を貼る'!$W$6:$W$10005,$W3103)&gt;0),N(U3102),N(U3102)+1))</f>
        <v/>
      </c>
      <c r="V3103" s="19">
        <f>IF($B3103="","",TEXT($B3103,"0000"))</f>
        <v/>
      </c>
      <c r="W3103" s="19">
        <f>IF($I3103="","",IF(ISNUMBER($I3103),TEXT($I3103,"0"),$I3103))</f>
        <v/>
      </c>
    </row>
    <row r="3104">
      <c r="B3104" s="25" t="n"/>
      <c r="I3104" s="25" t="n"/>
      <c r="U3104" s="19">
        <f>IF($V3104&lt;&gt;'設定'!$C$4,N(U3103),IF(OR(NOT(COUNTIF('商品マスタ'!$B$6:$B$1005,$W3104)=0),COUNTIFS('①在庫を貼る'!$V$6:$V$10005,$V3104,'①在庫を貼る'!$W$6:$W$10005,$W3104)&gt;0),N(U3103),N(U3103)+1))</f>
        <v/>
      </c>
      <c r="V3104" s="19">
        <f>IF($B3104="","",TEXT($B3104,"0000"))</f>
        <v/>
      </c>
      <c r="W3104" s="19">
        <f>IF($I3104="","",IF(ISNUMBER($I3104),TEXT($I3104,"0"),$I3104))</f>
        <v/>
      </c>
    </row>
    <row r="3105">
      <c r="B3105" s="25" t="n"/>
      <c r="I3105" s="25" t="n"/>
      <c r="U3105" s="19">
        <f>IF($V3105&lt;&gt;'設定'!$C$4,N(U3104),IF(OR(NOT(COUNTIF('商品マスタ'!$B$6:$B$1005,$W3105)=0),COUNTIFS('①在庫を貼る'!$V$6:$V$10005,$V3105,'①在庫を貼る'!$W$6:$W$10005,$W3105)&gt;0),N(U3104),N(U3104)+1))</f>
        <v/>
      </c>
      <c r="V3105" s="19">
        <f>IF($B3105="","",TEXT($B3105,"0000"))</f>
        <v/>
      </c>
      <c r="W3105" s="19">
        <f>IF($I3105="","",IF(ISNUMBER($I3105),TEXT($I3105,"0"),$I3105))</f>
        <v/>
      </c>
    </row>
    <row r="3106">
      <c r="B3106" s="25" t="n"/>
      <c r="I3106" s="25" t="n"/>
      <c r="U3106" s="19">
        <f>IF($V3106&lt;&gt;'設定'!$C$4,N(U3105),IF(OR(NOT(COUNTIF('商品マスタ'!$B$6:$B$1005,$W3106)=0),COUNTIFS('①在庫を貼る'!$V$6:$V$10005,$V3106,'①在庫を貼る'!$W$6:$W$10005,$W3106)&gt;0),N(U3105),N(U3105)+1))</f>
        <v/>
      </c>
      <c r="V3106" s="19">
        <f>IF($B3106="","",TEXT($B3106,"0000"))</f>
        <v/>
      </c>
      <c r="W3106" s="19">
        <f>IF($I3106="","",IF(ISNUMBER($I3106),TEXT($I3106,"0"),$I3106))</f>
        <v/>
      </c>
    </row>
    <row r="3107">
      <c r="B3107" s="25" t="n"/>
      <c r="I3107" s="25" t="n"/>
      <c r="U3107" s="19">
        <f>IF($V3107&lt;&gt;'設定'!$C$4,N(U3106),IF(OR(NOT(COUNTIF('商品マスタ'!$B$6:$B$1005,$W3107)=0),COUNTIFS('①在庫を貼る'!$V$6:$V$10005,$V3107,'①在庫を貼る'!$W$6:$W$10005,$W3107)&gt;0),N(U3106),N(U3106)+1))</f>
        <v/>
      </c>
      <c r="V3107" s="19">
        <f>IF($B3107="","",TEXT($B3107,"0000"))</f>
        <v/>
      </c>
      <c r="W3107" s="19">
        <f>IF($I3107="","",IF(ISNUMBER($I3107),TEXT($I3107,"0"),$I3107))</f>
        <v/>
      </c>
    </row>
    <row r="3108">
      <c r="B3108" s="25" t="n"/>
      <c r="I3108" s="25" t="n"/>
      <c r="U3108" s="19">
        <f>IF($V3108&lt;&gt;'設定'!$C$4,N(U3107),IF(OR(NOT(COUNTIF('商品マスタ'!$B$6:$B$1005,$W3108)=0),COUNTIFS('①在庫を貼る'!$V$6:$V$10005,$V3108,'①在庫を貼る'!$W$6:$W$10005,$W3108)&gt;0),N(U3107),N(U3107)+1))</f>
        <v/>
      </c>
      <c r="V3108" s="19">
        <f>IF($B3108="","",TEXT($B3108,"0000"))</f>
        <v/>
      </c>
      <c r="W3108" s="19">
        <f>IF($I3108="","",IF(ISNUMBER($I3108),TEXT($I3108,"0"),$I3108))</f>
        <v/>
      </c>
    </row>
    <row r="3109">
      <c r="B3109" s="25" t="n"/>
      <c r="I3109" s="25" t="n"/>
      <c r="U3109" s="19">
        <f>IF($V3109&lt;&gt;'設定'!$C$4,N(U3108),IF(OR(NOT(COUNTIF('商品マスタ'!$B$6:$B$1005,$W3109)=0),COUNTIFS('①在庫を貼る'!$V$6:$V$10005,$V3109,'①在庫を貼る'!$W$6:$W$10005,$W3109)&gt;0),N(U3108),N(U3108)+1))</f>
        <v/>
      </c>
      <c r="V3109" s="19">
        <f>IF($B3109="","",TEXT($B3109,"0000"))</f>
        <v/>
      </c>
      <c r="W3109" s="19">
        <f>IF($I3109="","",IF(ISNUMBER($I3109),TEXT($I3109,"0"),$I3109))</f>
        <v/>
      </c>
    </row>
    <row r="3110">
      <c r="B3110" s="25" t="n"/>
      <c r="I3110" s="25" t="n"/>
      <c r="U3110" s="19">
        <f>IF($V3110&lt;&gt;'設定'!$C$4,N(U3109),IF(OR(NOT(COUNTIF('商品マスタ'!$B$6:$B$1005,$W3110)=0),COUNTIFS('①在庫を貼る'!$V$6:$V$10005,$V3110,'①在庫を貼る'!$W$6:$W$10005,$W3110)&gt;0),N(U3109),N(U3109)+1))</f>
        <v/>
      </c>
      <c r="V3110" s="19">
        <f>IF($B3110="","",TEXT($B3110,"0000"))</f>
        <v/>
      </c>
      <c r="W3110" s="19">
        <f>IF($I3110="","",IF(ISNUMBER($I3110),TEXT($I3110,"0"),$I3110))</f>
        <v/>
      </c>
    </row>
    <row r="3111">
      <c r="B3111" s="25" t="n"/>
      <c r="I3111" s="25" t="n"/>
      <c r="U3111" s="19">
        <f>IF($V3111&lt;&gt;'設定'!$C$4,N(U3110),IF(OR(NOT(COUNTIF('商品マスタ'!$B$6:$B$1005,$W3111)=0),COUNTIFS('①在庫を貼る'!$V$6:$V$10005,$V3111,'①在庫を貼る'!$W$6:$W$10005,$W3111)&gt;0),N(U3110),N(U3110)+1))</f>
        <v/>
      </c>
      <c r="V3111" s="19">
        <f>IF($B3111="","",TEXT($B3111,"0000"))</f>
        <v/>
      </c>
      <c r="W3111" s="19">
        <f>IF($I3111="","",IF(ISNUMBER($I3111),TEXT($I3111,"0"),$I3111))</f>
        <v/>
      </c>
    </row>
    <row r="3112">
      <c r="B3112" s="25" t="n"/>
      <c r="I3112" s="25" t="n"/>
      <c r="U3112" s="19">
        <f>IF($V3112&lt;&gt;'設定'!$C$4,N(U3111),IF(OR(NOT(COUNTIF('商品マスタ'!$B$6:$B$1005,$W3112)=0),COUNTIFS('①在庫を貼る'!$V$6:$V$10005,$V3112,'①在庫を貼る'!$W$6:$W$10005,$W3112)&gt;0),N(U3111),N(U3111)+1))</f>
        <v/>
      </c>
      <c r="V3112" s="19">
        <f>IF($B3112="","",TEXT($B3112,"0000"))</f>
        <v/>
      </c>
      <c r="W3112" s="19">
        <f>IF($I3112="","",IF(ISNUMBER($I3112),TEXT($I3112,"0"),$I3112))</f>
        <v/>
      </c>
    </row>
    <row r="3113">
      <c r="B3113" s="25" t="n"/>
      <c r="I3113" s="25" t="n"/>
      <c r="U3113" s="19">
        <f>IF($V3113&lt;&gt;'設定'!$C$4,N(U3112),IF(OR(NOT(COUNTIF('商品マスタ'!$B$6:$B$1005,$W3113)=0),COUNTIFS('①在庫を貼る'!$V$6:$V$10005,$V3113,'①在庫を貼る'!$W$6:$W$10005,$W3113)&gt;0),N(U3112),N(U3112)+1))</f>
        <v/>
      </c>
      <c r="V3113" s="19">
        <f>IF($B3113="","",TEXT($B3113,"0000"))</f>
        <v/>
      </c>
      <c r="W3113" s="19">
        <f>IF($I3113="","",IF(ISNUMBER($I3113),TEXT($I3113,"0"),$I3113))</f>
        <v/>
      </c>
    </row>
    <row r="3114">
      <c r="B3114" s="25" t="n"/>
      <c r="I3114" s="25" t="n"/>
      <c r="U3114" s="19">
        <f>IF($V3114&lt;&gt;'設定'!$C$4,N(U3113),IF(OR(NOT(COUNTIF('商品マスタ'!$B$6:$B$1005,$W3114)=0),COUNTIFS('①在庫を貼る'!$V$6:$V$10005,$V3114,'①在庫を貼る'!$W$6:$W$10005,$W3114)&gt;0),N(U3113),N(U3113)+1))</f>
        <v/>
      </c>
      <c r="V3114" s="19">
        <f>IF($B3114="","",TEXT($B3114,"0000"))</f>
        <v/>
      </c>
      <c r="W3114" s="19">
        <f>IF($I3114="","",IF(ISNUMBER($I3114),TEXT($I3114,"0"),$I3114))</f>
        <v/>
      </c>
    </row>
    <row r="3115">
      <c r="B3115" s="25" t="n"/>
      <c r="I3115" s="25" t="n"/>
      <c r="U3115" s="19">
        <f>IF($V3115&lt;&gt;'設定'!$C$4,N(U3114),IF(OR(NOT(COUNTIF('商品マスタ'!$B$6:$B$1005,$W3115)=0),COUNTIFS('①在庫を貼る'!$V$6:$V$10005,$V3115,'①在庫を貼る'!$W$6:$W$10005,$W3115)&gt;0),N(U3114),N(U3114)+1))</f>
        <v/>
      </c>
      <c r="V3115" s="19">
        <f>IF($B3115="","",TEXT($B3115,"0000"))</f>
        <v/>
      </c>
      <c r="W3115" s="19">
        <f>IF($I3115="","",IF(ISNUMBER($I3115),TEXT($I3115,"0"),$I3115))</f>
        <v/>
      </c>
    </row>
    <row r="3116">
      <c r="B3116" s="25" t="n"/>
      <c r="I3116" s="25" t="n"/>
      <c r="U3116" s="19">
        <f>IF($V3116&lt;&gt;'設定'!$C$4,N(U3115),IF(OR(NOT(COUNTIF('商品マスタ'!$B$6:$B$1005,$W3116)=0),COUNTIFS('①在庫を貼る'!$V$6:$V$10005,$V3116,'①在庫を貼る'!$W$6:$W$10005,$W3116)&gt;0),N(U3115),N(U3115)+1))</f>
        <v/>
      </c>
      <c r="V3116" s="19">
        <f>IF($B3116="","",TEXT($B3116,"0000"))</f>
        <v/>
      </c>
      <c r="W3116" s="19">
        <f>IF($I3116="","",IF(ISNUMBER($I3116),TEXT($I3116,"0"),$I3116))</f>
        <v/>
      </c>
    </row>
    <row r="3117">
      <c r="B3117" s="25" t="n"/>
      <c r="I3117" s="25" t="n"/>
      <c r="U3117" s="19">
        <f>IF($V3117&lt;&gt;'設定'!$C$4,N(U3116),IF(OR(NOT(COUNTIF('商品マスタ'!$B$6:$B$1005,$W3117)=0),COUNTIFS('①在庫を貼る'!$V$6:$V$10005,$V3117,'①在庫を貼る'!$W$6:$W$10005,$W3117)&gt;0),N(U3116),N(U3116)+1))</f>
        <v/>
      </c>
      <c r="V3117" s="19">
        <f>IF($B3117="","",TEXT($B3117,"0000"))</f>
        <v/>
      </c>
      <c r="W3117" s="19">
        <f>IF($I3117="","",IF(ISNUMBER($I3117),TEXT($I3117,"0"),$I3117))</f>
        <v/>
      </c>
    </row>
    <row r="3118">
      <c r="B3118" s="25" t="n"/>
      <c r="I3118" s="25" t="n"/>
      <c r="U3118" s="19">
        <f>IF($V3118&lt;&gt;'設定'!$C$4,N(U3117),IF(OR(NOT(COUNTIF('商品マスタ'!$B$6:$B$1005,$W3118)=0),COUNTIFS('①在庫を貼る'!$V$6:$V$10005,$V3118,'①在庫を貼る'!$W$6:$W$10005,$W3118)&gt;0),N(U3117),N(U3117)+1))</f>
        <v/>
      </c>
      <c r="V3118" s="19">
        <f>IF($B3118="","",TEXT($B3118,"0000"))</f>
        <v/>
      </c>
      <c r="W3118" s="19">
        <f>IF($I3118="","",IF(ISNUMBER($I3118),TEXT($I3118,"0"),$I3118))</f>
        <v/>
      </c>
    </row>
    <row r="3119">
      <c r="B3119" s="25" t="n"/>
      <c r="I3119" s="25" t="n"/>
      <c r="U3119" s="19">
        <f>IF($V3119&lt;&gt;'設定'!$C$4,N(U3118),IF(OR(NOT(COUNTIF('商品マスタ'!$B$6:$B$1005,$W3119)=0),COUNTIFS('①在庫を貼る'!$V$6:$V$10005,$V3119,'①在庫を貼る'!$W$6:$W$10005,$W3119)&gt;0),N(U3118),N(U3118)+1))</f>
        <v/>
      </c>
      <c r="V3119" s="19">
        <f>IF($B3119="","",TEXT($B3119,"0000"))</f>
        <v/>
      </c>
      <c r="W3119" s="19">
        <f>IF($I3119="","",IF(ISNUMBER($I3119),TEXT($I3119,"0"),$I3119))</f>
        <v/>
      </c>
    </row>
    <row r="3120">
      <c r="B3120" s="25" t="n"/>
      <c r="I3120" s="25" t="n"/>
      <c r="U3120" s="19">
        <f>IF($V3120&lt;&gt;'設定'!$C$4,N(U3119),IF(OR(NOT(COUNTIF('商品マスタ'!$B$6:$B$1005,$W3120)=0),COUNTIFS('①在庫を貼る'!$V$6:$V$10005,$V3120,'①在庫を貼る'!$W$6:$W$10005,$W3120)&gt;0),N(U3119),N(U3119)+1))</f>
        <v/>
      </c>
      <c r="V3120" s="19">
        <f>IF($B3120="","",TEXT($B3120,"0000"))</f>
        <v/>
      </c>
      <c r="W3120" s="19">
        <f>IF($I3120="","",IF(ISNUMBER($I3120),TEXT($I3120,"0"),$I3120))</f>
        <v/>
      </c>
    </row>
    <row r="3121">
      <c r="B3121" s="25" t="n"/>
      <c r="I3121" s="25" t="n"/>
      <c r="U3121" s="19">
        <f>IF($V3121&lt;&gt;'設定'!$C$4,N(U3120),IF(OR(NOT(COUNTIF('商品マスタ'!$B$6:$B$1005,$W3121)=0),COUNTIFS('①在庫を貼る'!$V$6:$V$10005,$V3121,'①在庫を貼る'!$W$6:$W$10005,$W3121)&gt;0),N(U3120),N(U3120)+1))</f>
        <v/>
      </c>
      <c r="V3121" s="19">
        <f>IF($B3121="","",TEXT($B3121,"0000"))</f>
        <v/>
      </c>
      <c r="W3121" s="19">
        <f>IF($I3121="","",IF(ISNUMBER($I3121),TEXT($I3121,"0"),$I3121))</f>
        <v/>
      </c>
    </row>
    <row r="3122">
      <c r="B3122" s="25" t="n"/>
      <c r="I3122" s="25" t="n"/>
      <c r="U3122" s="19">
        <f>IF($V3122&lt;&gt;'設定'!$C$4,N(U3121),IF(OR(NOT(COUNTIF('商品マスタ'!$B$6:$B$1005,$W3122)=0),COUNTIFS('①在庫を貼る'!$V$6:$V$10005,$V3122,'①在庫を貼る'!$W$6:$W$10005,$W3122)&gt;0),N(U3121),N(U3121)+1))</f>
        <v/>
      </c>
      <c r="V3122" s="19">
        <f>IF($B3122="","",TEXT($B3122,"0000"))</f>
        <v/>
      </c>
      <c r="W3122" s="19">
        <f>IF($I3122="","",IF(ISNUMBER($I3122),TEXT($I3122,"0"),$I3122))</f>
        <v/>
      </c>
    </row>
    <row r="3123">
      <c r="B3123" s="25" t="n"/>
      <c r="I3123" s="25" t="n"/>
      <c r="U3123" s="19">
        <f>IF($V3123&lt;&gt;'設定'!$C$4,N(U3122),IF(OR(NOT(COUNTIF('商品マスタ'!$B$6:$B$1005,$W3123)=0),COUNTIFS('①在庫を貼る'!$V$6:$V$10005,$V3123,'①在庫を貼る'!$W$6:$W$10005,$W3123)&gt;0),N(U3122),N(U3122)+1))</f>
        <v/>
      </c>
      <c r="V3123" s="19">
        <f>IF($B3123="","",TEXT($B3123,"0000"))</f>
        <v/>
      </c>
      <c r="W3123" s="19">
        <f>IF($I3123="","",IF(ISNUMBER($I3123),TEXT($I3123,"0"),$I3123))</f>
        <v/>
      </c>
    </row>
    <row r="3124">
      <c r="B3124" s="25" t="n"/>
      <c r="I3124" s="25" t="n"/>
      <c r="U3124" s="19">
        <f>IF($V3124&lt;&gt;'設定'!$C$4,N(U3123),IF(OR(NOT(COUNTIF('商品マスタ'!$B$6:$B$1005,$W3124)=0),COUNTIFS('①在庫を貼る'!$V$6:$V$10005,$V3124,'①在庫を貼る'!$W$6:$W$10005,$W3124)&gt;0),N(U3123),N(U3123)+1))</f>
        <v/>
      </c>
      <c r="V3124" s="19">
        <f>IF($B3124="","",TEXT($B3124,"0000"))</f>
        <v/>
      </c>
      <c r="W3124" s="19">
        <f>IF($I3124="","",IF(ISNUMBER($I3124),TEXT($I3124,"0"),$I3124))</f>
        <v/>
      </c>
    </row>
    <row r="3125">
      <c r="B3125" s="25" t="n"/>
      <c r="I3125" s="25" t="n"/>
      <c r="U3125" s="19">
        <f>IF($V3125&lt;&gt;'設定'!$C$4,N(U3124),IF(OR(NOT(COUNTIF('商品マスタ'!$B$6:$B$1005,$W3125)=0),COUNTIFS('①在庫を貼る'!$V$6:$V$10005,$V3125,'①在庫を貼る'!$W$6:$W$10005,$W3125)&gt;0),N(U3124),N(U3124)+1))</f>
        <v/>
      </c>
      <c r="V3125" s="19">
        <f>IF($B3125="","",TEXT($B3125,"0000"))</f>
        <v/>
      </c>
      <c r="W3125" s="19">
        <f>IF($I3125="","",IF(ISNUMBER($I3125),TEXT($I3125,"0"),$I3125))</f>
        <v/>
      </c>
    </row>
    <row r="3126">
      <c r="B3126" s="25" t="n"/>
      <c r="I3126" s="25" t="n"/>
      <c r="U3126" s="19">
        <f>IF($V3126&lt;&gt;'設定'!$C$4,N(U3125),IF(OR(NOT(COUNTIF('商品マスタ'!$B$6:$B$1005,$W3126)=0),COUNTIFS('①在庫を貼る'!$V$6:$V$10005,$V3126,'①在庫を貼る'!$W$6:$W$10005,$W3126)&gt;0),N(U3125),N(U3125)+1))</f>
        <v/>
      </c>
      <c r="V3126" s="19">
        <f>IF($B3126="","",TEXT($B3126,"0000"))</f>
        <v/>
      </c>
      <c r="W3126" s="19">
        <f>IF($I3126="","",IF(ISNUMBER($I3126),TEXT($I3126,"0"),$I3126))</f>
        <v/>
      </c>
    </row>
    <row r="3127">
      <c r="B3127" s="25" t="n"/>
      <c r="I3127" s="25" t="n"/>
      <c r="U3127" s="19">
        <f>IF($V3127&lt;&gt;'設定'!$C$4,N(U3126),IF(OR(NOT(COUNTIF('商品マスタ'!$B$6:$B$1005,$W3127)=0),COUNTIFS('①在庫を貼る'!$V$6:$V$10005,$V3127,'①在庫を貼る'!$W$6:$W$10005,$W3127)&gt;0),N(U3126),N(U3126)+1))</f>
        <v/>
      </c>
      <c r="V3127" s="19">
        <f>IF($B3127="","",TEXT($B3127,"0000"))</f>
        <v/>
      </c>
      <c r="W3127" s="19">
        <f>IF($I3127="","",IF(ISNUMBER($I3127),TEXT($I3127,"0"),$I3127))</f>
        <v/>
      </c>
    </row>
    <row r="3128">
      <c r="B3128" s="25" t="n"/>
      <c r="I3128" s="25" t="n"/>
      <c r="U3128" s="19">
        <f>IF($V3128&lt;&gt;'設定'!$C$4,N(U3127),IF(OR(NOT(COUNTIF('商品マスタ'!$B$6:$B$1005,$W3128)=0),COUNTIFS('①在庫を貼る'!$V$6:$V$10005,$V3128,'①在庫を貼る'!$W$6:$W$10005,$W3128)&gt;0),N(U3127),N(U3127)+1))</f>
        <v/>
      </c>
      <c r="V3128" s="19">
        <f>IF($B3128="","",TEXT($B3128,"0000"))</f>
        <v/>
      </c>
      <c r="W3128" s="19">
        <f>IF($I3128="","",IF(ISNUMBER($I3128),TEXT($I3128,"0"),$I3128))</f>
        <v/>
      </c>
    </row>
    <row r="3129">
      <c r="B3129" s="25" t="n"/>
      <c r="I3129" s="25" t="n"/>
      <c r="U3129" s="19">
        <f>IF($V3129&lt;&gt;'設定'!$C$4,N(U3128),IF(OR(NOT(COUNTIF('商品マスタ'!$B$6:$B$1005,$W3129)=0),COUNTIFS('①在庫を貼る'!$V$6:$V$10005,$V3129,'①在庫を貼る'!$W$6:$W$10005,$W3129)&gt;0),N(U3128),N(U3128)+1))</f>
        <v/>
      </c>
      <c r="V3129" s="19">
        <f>IF($B3129="","",TEXT($B3129,"0000"))</f>
        <v/>
      </c>
      <c r="W3129" s="19">
        <f>IF($I3129="","",IF(ISNUMBER($I3129),TEXT($I3129,"0"),$I3129))</f>
        <v/>
      </c>
    </row>
    <row r="3130">
      <c r="B3130" s="25" t="n"/>
      <c r="I3130" s="25" t="n"/>
      <c r="U3130" s="19">
        <f>IF($V3130&lt;&gt;'設定'!$C$4,N(U3129),IF(OR(NOT(COUNTIF('商品マスタ'!$B$6:$B$1005,$W3130)=0),COUNTIFS('①在庫を貼る'!$V$6:$V$10005,$V3130,'①在庫を貼る'!$W$6:$W$10005,$W3130)&gt;0),N(U3129),N(U3129)+1))</f>
        <v/>
      </c>
      <c r="V3130" s="19">
        <f>IF($B3130="","",TEXT($B3130,"0000"))</f>
        <v/>
      </c>
      <c r="W3130" s="19">
        <f>IF($I3130="","",IF(ISNUMBER($I3130),TEXT($I3130,"0"),$I3130))</f>
        <v/>
      </c>
    </row>
    <row r="3131">
      <c r="B3131" s="25" t="n"/>
      <c r="I3131" s="25" t="n"/>
      <c r="U3131" s="19">
        <f>IF($V3131&lt;&gt;'設定'!$C$4,N(U3130),IF(OR(NOT(COUNTIF('商品マスタ'!$B$6:$B$1005,$W3131)=0),COUNTIFS('①在庫を貼る'!$V$6:$V$10005,$V3131,'①在庫を貼る'!$W$6:$W$10005,$W3131)&gt;0),N(U3130),N(U3130)+1))</f>
        <v/>
      </c>
      <c r="V3131" s="19">
        <f>IF($B3131="","",TEXT($B3131,"0000"))</f>
        <v/>
      </c>
      <c r="W3131" s="19">
        <f>IF($I3131="","",IF(ISNUMBER($I3131),TEXT($I3131,"0"),$I3131))</f>
        <v/>
      </c>
    </row>
    <row r="3132">
      <c r="B3132" s="25" t="n"/>
      <c r="I3132" s="25" t="n"/>
      <c r="U3132" s="19">
        <f>IF($V3132&lt;&gt;'設定'!$C$4,N(U3131),IF(OR(NOT(COUNTIF('商品マスタ'!$B$6:$B$1005,$W3132)=0),COUNTIFS('①在庫を貼る'!$V$6:$V$10005,$V3132,'①在庫を貼る'!$W$6:$W$10005,$W3132)&gt;0),N(U3131),N(U3131)+1))</f>
        <v/>
      </c>
      <c r="V3132" s="19">
        <f>IF($B3132="","",TEXT($B3132,"0000"))</f>
        <v/>
      </c>
      <c r="W3132" s="19">
        <f>IF($I3132="","",IF(ISNUMBER($I3132),TEXT($I3132,"0"),$I3132))</f>
        <v/>
      </c>
    </row>
    <row r="3133">
      <c r="B3133" s="25" t="n"/>
      <c r="I3133" s="25" t="n"/>
      <c r="U3133" s="19">
        <f>IF($V3133&lt;&gt;'設定'!$C$4,N(U3132),IF(OR(NOT(COUNTIF('商品マスタ'!$B$6:$B$1005,$W3133)=0),COUNTIFS('①在庫を貼る'!$V$6:$V$10005,$V3133,'①在庫を貼る'!$W$6:$W$10005,$W3133)&gt;0),N(U3132),N(U3132)+1))</f>
        <v/>
      </c>
      <c r="V3133" s="19">
        <f>IF($B3133="","",TEXT($B3133,"0000"))</f>
        <v/>
      </c>
      <c r="W3133" s="19">
        <f>IF($I3133="","",IF(ISNUMBER($I3133),TEXT($I3133,"0"),$I3133))</f>
        <v/>
      </c>
    </row>
    <row r="3134">
      <c r="B3134" s="25" t="n"/>
      <c r="I3134" s="25" t="n"/>
      <c r="U3134" s="19">
        <f>IF($V3134&lt;&gt;'設定'!$C$4,N(U3133),IF(OR(NOT(COUNTIF('商品マスタ'!$B$6:$B$1005,$W3134)=0),COUNTIFS('①在庫を貼る'!$V$6:$V$10005,$V3134,'①在庫を貼る'!$W$6:$W$10005,$W3134)&gt;0),N(U3133),N(U3133)+1))</f>
        <v/>
      </c>
      <c r="V3134" s="19">
        <f>IF($B3134="","",TEXT($B3134,"0000"))</f>
        <v/>
      </c>
      <c r="W3134" s="19">
        <f>IF($I3134="","",IF(ISNUMBER($I3134),TEXT($I3134,"0"),$I3134))</f>
        <v/>
      </c>
    </row>
    <row r="3135">
      <c r="B3135" s="25" t="n"/>
      <c r="I3135" s="25" t="n"/>
      <c r="U3135" s="19">
        <f>IF($V3135&lt;&gt;'設定'!$C$4,N(U3134),IF(OR(NOT(COUNTIF('商品マスタ'!$B$6:$B$1005,$W3135)=0),COUNTIFS('①在庫を貼る'!$V$6:$V$10005,$V3135,'①在庫を貼る'!$W$6:$W$10005,$W3135)&gt;0),N(U3134),N(U3134)+1))</f>
        <v/>
      </c>
      <c r="V3135" s="19">
        <f>IF($B3135="","",TEXT($B3135,"0000"))</f>
        <v/>
      </c>
      <c r="W3135" s="19">
        <f>IF($I3135="","",IF(ISNUMBER($I3135),TEXT($I3135,"0"),$I3135))</f>
        <v/>
      </c>
    </row>
    <row r="3136">
      <c r="B3136" s="25" t="n"/>
      <c r="I3136" s="25" t="n"/>
      <c r="U3136" s="19">
        <f>IF($V3136&lt;&gt;'設定'!$C$4,N(U3135),IF(OR(NOT(COUNTIF('商品マスタ'!$B$6:$B$1005,$W3136)=0),COUNTIFS('①在庫を貼る'!$V$6:$V$10005,$V3136,'①在庫を貼る'!$W$6:$W$10005,$W3136)&gt;0),N(U3135),N(U3135)+1))</f>
        <v/>
      </c>
      <c r="V3136" s="19">
        <f>IF($B3136="","",TEXT($B3136,"0000"))</f>
        <v/>
      </c>
      <c r="W3136" s="19">
        <f>IF($I3136="","",IF(ISNUMBER($I3136),TEXT($I3136,"0"),$I3136))</f>
        <v/>
      </c>
    </row>
    <row r="3137">
      <c r="B3137" s="25" t="n"/>
      <c r="I3137" s="25" t="n"/>
      <c r="U3137" s="19">
        <f>IF($V3137&lt;&gt;'設定'!$C$4,N(U3136),IF(OR(NOT(COUNTIF('商品マスタ'!$B$6:$B$1005,$W3137)=0),COUNTIFS('①在庫を貼る'!$V$6:$V$10005,$V3137,'①在庫を貼る'!$W$6:$W$10005,$W3137)&gt;0),N(U3136),N(U3136)+1))</f>
        <v/>
      </c>
      <c r="V3137" s="19">
        <f>IF($B3137="","",TEXT($B3137,"0000"))</f>
        <v/>
      </c>
      <c r="W3137" s="19">
        <f>IF($I3137="","",IF(ISNUMBER($I3137),TEXT($I3137,"0"),$I3137))</f>
        <v/>
      </c>
    </row>
    <row r="3138">
      <c r="B3138" s="25" t="n"/>
      <c r="I3138" s="25" t="n"/>
      <c r="U3138" s="19">
        <f>IF($V3138&lt;&gt;'設定'!$C$4,N(U3137),IF(OR(NOT(COUNTIF('商品マスタ'!$B$6:$B$1005,$W3138)=0),COUNTIFS('①在庫を貼る'!$V$6:$V$10005,$V3138,'①在庫を貼る'!$W$6:$W$10005,$W3138)&gt;0),N(U3137),N(U3137)+1))</f>
        <v/>
      </c>
      <c r="V3138" s="19">
        <f>IF($B3138="","",TEXT($B3138,"0000"))</f>
        <v/>
      </c>
      <c r="W3138" s="19">
        <f>IF($I3138="","",IF(ISNUMBER($I3138),TEXT($I3138,"0"),$I3138))</f>
        <v/>
      </c>
    </row>
    <row r="3139">
      <c r="B3139" s="25" t="n"/>
      <c r="I3139" s="25" t="n"/>
      <c r="U3139" s="19">
        <f>IF($V3139&lt;&gt;'設定'!$C$4,N(U3138),IF(OR(NOT(COUNTIF('商品マスタ'!$B$6:$B$1005,$W3139)=0),COUNTIFS('①在庫を貼る'!$V$6:$V$10005,$V3139,'①在庫を貼る'!$W$6:$W$10005,$W3139)&gt;0),N(U3138),N(U3138)+1))</f>
        <v/>
      </c>
      <c r="V3139" s="19">
        <f>IF($B3139="","",TEXT($B3139,"0000"))</f>
        <v/>
      </c>
      <c r="W3139" s="19">
        <f>IF($I3139="","",IF(ISNUMBER($I3139),TEXT($I3139,"0"),$I3139))</f>
        <v/>
      </c>
    </row>
    <row r="3140">
      <c r="B3140" s="25" t="n"/>
      <c r="I3140" s="25" t="n"/>
      <c r="U3140" s="19">
        <f>IF($V3140&lt;&gt;'設定'!$C$4,N(U3139),IF(OR(NOT(COUNTIF('商品マスタ'!$B$6:$B$1005,$W3140)=0),COUNTIFS('①在庫を貼る'!$V$6:$V$10005,$V3140,'①在庫を貼る'!$W$6:$W$10005,$W3140)&gt;0),N(U3139),N(U3139)+1))</f>
        <v/>
      </c>
      <c r="V3140" s="19">
        <f>IF($B3140="","",TEXT($B3140,"0000"))</f>
        <v/>
      </c>
      <c r="W3140" s="19">
        <f>IF($I3140="","",IF(ISNUMBER($I3140),TEXT($I3140,"0"),$I3140))</f>
        <v/>
      </c>
    </row>
    <row r="3141">
      <c r="B3141" s="25" t="n"/>
      <c r="I3141" s="25" t="n"/>
      <c r="U3141" s="19">
        <f>IF($V3141&lt;&gt;'設定'!$C$4,N(U3140),IF(OR(NOT(COUNTIF('商品マスタ'!$B$6:$B$1005,$W3141)=0),COUNTIFS('①在庫を貼る'!$V$6:$V$10005,$V3141,'①在庫を貼る'!$W$6:$W$10005,$W3141)&gt;0),N(U3140),N(U3140)+1))</f>
        <v/>
      </c>
      <c r="V3141" s="19">
        <f>IF($B3141="","",TEXT($B3141,"0000"))</f>
        <v/>
      </c>
      <c r="W3141" s="19">
        <f>IF($I3141="","",IF(ISNUMBER($I3141),TEXT($I3141,"0"),$I3141))</f>
        <v/>
      </c>
    </row>
    <row r="3142">
      <c r="B3142" s="25" t="n"/>
      <c r="I3142" s="25" t="n"/>
      <c r="U3142" s="19">
        <f>IF($V3142&lt;&gt;'設定'!$C$4,N(U3141),IF(OR(NOT(COUNTIF('商品マスタ'!$B$6:$B$1005,$W3142)=0),COUNTIFS('①在庫を貼る'!$V$6:$V$10005,$V3142,'①在庫を貼る'!$W$6:$W$10005,$W3142)&gt;0),N(U3141),N(U3141)+1))</f>
        <v/>
      </c>
      <c r="V3142" s="19">
        <f>IF($B3142="","",TEXT($B3142,"0000"))</f>
        <v/>
      </c>
      <c r="W3142" s="19">
        <f>IF($I3142="","",IF(ISNUMBER($I3142),TEXT($I3142,"0"),$I3142))</f>
        <v/>
      </c>
    </row>
    <row r="3143">
      <c r="B3143" s="25" t="n"/>
      <c r="I3143" s="25" t="n"/>
      <c r="U3143" s="19">
        <f>IF($V3143&lt;&gt;'設定'!$C$4,N(U3142),IF(OR(NOT(COUNTIF('商品マスタ'!$B$6:$B$1005,$W3143)=0),COUNTIFS('①在庫を貼る'!$V$6:$V$10005,$V3143,'①在庫を貼る'!$W$6:$W$10005,$W3143)&gt;0),N(U3142),N(U3142)+1))</f>
        <v/>
      </c>
      <c r="V3143" s="19">
        <f>IF($B3143="","",TEXT($B3143,"0000"))</f>
        <v/>
      </c>
      <c r="W3143" s="19">
        <f>IF($I3143="","",IF(ISNUMBER($I3143),TEXT($I3143,"0"),$I3143))</f>
        <v/>
      </c>
    </row>
    <row r="3144">
      <c r="B3144" s="25" t="n"/>
      <c r="I3144" s="25" t="n"/>
      <c r="U3144" s="19">
        <f>IF($V3144&lt;&gt;'設定'!$C$4,N(U3143),IF(OR(NOT(COUNTIF('商品マスタ'!$B$6:$B$1005,$W3144)=0),COUNTIFS('①在庫を貼る'!$V$6:$V$10005,$V3144,'①在庫を貼る'!$W$6:$W$10005,$W3144)&gt;0),N(U3143),N(U3143)+1))</f>
        <v/>
      </c>
      <c r="V3144" s="19">
        <f>IF($B3144="","",TEXT($B3144,"0000"))</f>
        <v/>
      </c>
      <c r="W3144" s="19">
        <f>IF($I3144="","",IF(ISNUMBER($I3144),TEXT($I3144,"0"),$I3144))</f>
        <v/>
      </c>
    </row>
    <row r="3145">
      <c r="B3145" s="25" t="n"/>
      <c r="I3145" s="25" t="n"/>
      <c r="U3145" s="19">
        <f>IF($V3145&lt;&gt;'設定'!$C$4,N(U3144),IF(OR(NOT(COUNTIF('商品マスタ'!$B$6:$B$1005,$W3145)=0),COUNTIFS('①在庫を貼る'!$V$6:$V$10005,$V3145,'①在庫を貼る'!$W$6:$W$10005,$W3145)&gt;0),N(U3144),N(U3144)+1))</f>
        <v/>
      </c>
      <c r="V3145" s="19">
        <f>IF($B3145="","",TEXT($B3145,"0000"))</f>
        <v/>
      </c>
      <c r="W3145" s="19">
        <f>IF($I3145="","",IF(ISNUMBER($I3145),TEXT($I3145,"0"),$I3145))</f>
        <v/>
      </c>
    </row>
    <row r="3146">
      <c r="B3146" s="25" t="n"/>
      <c r="I3146" s="25" t="n"/>
      <c r="U3146" s="19">
        <f>IF($V3146&lt;&gt;'設定'!$C$4,N(U3145),IF(OR(NOT(COUNTIF('商品マスタ'!$B$6:$B$1005,$W3146)=0),COUNTIFS('①在庫を貼る'!$V$6:$V$10005,$V3146,'①在庫を貼る'!$W$6:$W$10005,$W3146)&gt;0),N(U3145),N(U3145)+1))</f>
        <v/>
      </c>
      <c r="V3146" s="19">
        <f>IF($B3146="","",TEXT($B3146,"0000"))</f>
        <v/>
      </c>
      <c r="W3146" s="19">
        <f>IF($I3146="","",IF(ISNUMBER($I3146),TEXT($I3146,"0"),$I3146))</f>
        <v/>
      </c>
    </row>
    <row r="3147">
      <c r="B3147" s="25" t="n"/>
      <c r="I3147" s="25" t="n"/>
      <c r="U3147" s="19">
        <f>IF($V3147&lt;&gt;'設定'!$C$4,N(U3146),IF(OR(NOT(COUNTIF('商品マスタ'!$B$6:$B$1005,$W3147)=0),COUNTIFS('①在庫を貼る'!$V$6:$V$10005,$V3147,'①在庫を貼る'!$W$6:$W$10005,$W3147)&gt;0),N(U3146),N(U3146)+1))</f>
        <v/>
      </c>
      <c r="V3147" s="19">
        <f>IF($B3147="","",TEXT($B3147,"0000"))</f>
        <v/>
      </c>
      <c r="W3147" s="19">
        <f>IF($I3147="","",IF(ISNUMBER($I3147),TEXT($I3147,"0"),$I3147))</f>
        <v/>
      </c>
    </row>
    <row r="3148">
      <c r="B3148" s="25" t="n"/>
      <c r="I3148" s="25" t="n"/>
      <c r="U3148" s="19">
        <f>IF($V3148&lt;&gt;'設定'!$C$4,N(U3147),IF(OR(NOT(COUNTIF('商品マスタ'!$B$6:$B$1005,$W3148)=0),COUNTIFS('①在庫を貼る'!$V$6:$V$10005,$V3148,'①在庫を貼る'!$W$6:$W$10005,$W3148)&gt;0),N(U3147),N(U3147)+1))</f>
        <v/>
      </c>
      <c r="V3148" s="19">
        <f>IF($B3148="","",TEXT($B3148,"0000"))</f>
        <v/>
      </c>
      <c r="W3148" s="19">
        <f>IF($I3148="","",IF(ISNUMBER($I3148),TEXT($I3148,"0"),$I3148))</f>
        <v/>
      </c>
    </row>
    <row r="3149">
      <c r="B3149" s="25" t="n"/>
      <c r="I3149" s="25" t="n"/>
      <c r="U3149" s="19">
        <f>IF($V3149&lt;&gt;'設定'!$C$4,N(U3148),IF(OR(NOT(COUNTIF('商品マスタ'!$B$6:$B$1005,$W3149)=0),COUNTIFS('①在庫を貼る'!$V$6:$V$10005,$V3149,'①在庫を貼る'!$W$6:$W$10005,$W3149)&gt;0),N(U3148),N(U3148)+1))</f>
        <v/>
      </c>
      <c r="V3149" s="19">
        <f>IF($B3149="","",TEXT($B3149,"0000"))</f>
        <v/>
      </c>
      <c r="W3149" s="19">
        <f>IF($I3149="","",IF(ISNUMBER($I3149),TEXT($I3149,"0"),$I3149))</f>
        <v/>
      </c>
    </row>
    <row r="3150">
      <c r="B3150" s="25" t="n"/>
      <c r="I3150" s="25" t="n"/>
      <c r="U3150" s="19">
        <f>IF($V3150&lt;&gt;'設定'!$C$4,N(U3149),IF(OR(NOT(COUNTIF('商品マスタ'!$B$6:$B$1005,$W3150)=0),COUNTIFS('①在庫を貼る'!$V$6:$V$10005,$V3150,'①在庫を貼る'!$W$6:$W$10005,$W3150)&gt;0),N(U3149),N(U3149)+1))</f>
        <v/>
      </c>
      <c r="V3150" s="19">
        <f>IF($B3150="","",TEXT($B3150,"0000"))</f>
        <v/>
      </c>
      <c r="W3150" s="19">
        <f>IF($I3150="","",IF(ISNUMBER($I3150),TEXT($I3150,"0"),$I3150))</f>
        <v/>
      </c>
    </row>
    <row r="3151">
      <c r="B3151" s="25" t="n"/>
      <c r="I3151" s="25" t="n"/>
      <c r="U3151" s="19">
        <f>IF($V3151&lt;&gt;'設定'!$C$4,N(U3150),IF(OR(NOT(COUNTIF('商品マスタ'!$B$6:$B$1005,$W3151)=0),COUNTIFS('①在庫を貼る'!$V$6:$V$10005,$V3151,'①在庫を貼る'!$W$6:$W$10005,$W3151)&gt;0),N(U3150),N(U3150)+1))</f>
        <v/>
      </c>
      <c r="V3151" s="19">
        <f>IF($B3151="","",TEXT($B3151,"0000"))</f>
        <v/>
      </c>
      <c r="W3151" s="19">
        <f>IF($I3151="","",IF(ISNUMBER($I3151),TEXT($I3151,"0"),$I3151))</f>
        <v/>
      </c>
    </row>
    <row r="3152">
      <c r="B3152" s="25" t="n"/>
      <c r="I3152" s="25" t="n"/>
      <c r="U3152" s="19">
        <f>IF($V3152&lt;&gt;'設定'!$C$4,N(U3151),IF(OR(NOT(COUNTIF('商品マスタ'!$B$6:$B$1005,$W3152)=0),COUNTIFS('①在庫を貼る'!$V$6:$V$10005,$V3152,'①在庫を貼る'!$W$6:$W$10005,$W3152)&gt;0),N(U3151),N(U3151)+1))</f>
        <v/>
      </c>
      <c r="V3152" s="19">
        <f>IF($B3152="","",TEXT($B3152,"0000"))</f>
        <v/>
      </c>
      <c r="W3152" s="19">
        <f>IF($I3152="","",IF(ISNUMBER($I3152),TEXT($I3152,"0"),$I3152))</f>
        <v/>
      </c>
    </row>
    <row r="3153">
      <c r="B3153" s="25" t="n"/>
      <c r="I3153" s="25" t="n"/>
      <c r="U3153" s="19">
        <f>IF($V3153&lt;&gt;'設定'!$C$4,N(U3152),IF(OR(NOT(COUNTIF('商品マスタ'!$B$6:$B$1005,$W3153)=0),COUNTIFS('①在庫を貼る'!$V$6:$V$10005,$V3153,'①在庫を貼る'!$W$6:$W$10005,$W3153)&gt;0),N(U3152),N(U3152)+1))</f>
        <v/>
      </c>
      <c r="V3153" s="19">
        <f>IF($B3153="","",TEXT($B3153,"0000"))</f>
        <v/>
      </c>
      <c r="W3153" s="19">
        <f>IF($I3153="","",IF(ISNUMBER($I3153),TEXT($I3153,"0"),$I3153))</f>
        <v/>
      </c>
    </row>
    <row r="3154">
      <c r="B3154" s="25" t="n"/>
      <c r="I3154" s="25" t="n"/>
      <c r="U3154" s="19">
        <f>IF($V3154&lt;&gt;'設定'!$C$4,N(U3153),IF(OR(NOT(COUNTIF('商品マスタ'!$B$6:$B$1005,$W3154)=0),COUNTIFS('①在庫を貼る'!$V$6:$V$10005,$V3154,'①在庫を貼る'!$W$6:$W$10005,$W3154)&gt;0),N(U3153),N(U3153)+1))</f>
        <v/>
      </c>
      <c r="V3154" s="19">
        <f>IF($B3154="","",TEXT($B3154,"0000"))</f>
        <v/>
      </c>
      <c r="W3154" s="19">
        <f>IF($I3154="","",IF(ISNUMBER($I3154),TEXT($I3154,"0"),$I3154))</f>
        <v/>
      </c>
    </row>
    <row r="3155">
      <c r="B3155" s="25" t="n"/>
      <c r="I3155" s="25" t="n"/>
      <c r="U3155" s="19">
        <f>IF($V3155&lt;&gt;'設定'!$C$4,N(U3154),IF(OR(NOT(COUNTIF('商品マスタ'!$B$6:$B$1005,$W3155)=0),COUNTIFS('①在庫を貼る'!$V$6:$V$10005,$V3155,'①在庫を貼る'!$W$6:$W$10005,$W3155)&gt;0),N(U3154),N(U3154)+1))</f>
        <v/>
      </c>
      <c r="V3155" s="19">
        <f>IF($B3155="","",TEXT($B3155,"0000"))</f>
        <v/>
      </c>
      <c r="W3155" s="19">
        <f>IF($I3155="","",IF(ISNUMBER($I3155),TEXT($I3155,"0"),$I3155))</f>
        <v/>
      </c>
    </row>
    <row r="3156">
      <c r="B3156" s="25" t="n"/>
      <c r="I3156" s="25" t="n"/>
      <c r="U3156" s="19">
        <f>IF($V3156&lt;&gt;'設定'!$C$4,N(U3155),IF(OR(NOT(COUNTIF('商品マスタ'!$B$6:$B$1005,$W3156)=0),COUNTIFS('①在庫を貼る'!$V$6:$V$10005,$V3156,'①在庫を貼る'!$W$6:$W$10005,$W3156)&gt;0),N(U3155),N(U3155)+1))</f>
        <v/>
      </c>
      <c r="V3156" s="19">
        <f>IF($B3156="","",TEXT($B3156,"0000"))</f>
        <v/>
      </c>
      <c r="W3156" s="19">
        <f>IF($I3156="","",IF(ISNUMBER($I3156),TEXT($I3156,"0"),$I3156))</f>
        <v/>
      </c>
    </row>
    <row r="3157">
      <c r="B3157" s="25" t="n"/>
      <c r="I3157" s="25" t="n"/>
      <c r="U3157" s="19">
        <f>IF($V3157&lt;&gt;'設定'!$C$4,N(U3156),IF(OR(NOT(COUNTIF('商品マスタ'!$B$6:$B$1005,$W3157)=0),COUNTIFS('①在庫を貼る'!$V$6:$V$10005,$V3157,'①在庫を貼る'!$W$6:$W$10005,$W3157)&gt;0),N(U3156),N(U3156)+1))</f>
        <v/>
      </c>
      <c r="V3157" s="19">
        <f>IF($B3157="","",TEXT($B3157,"0000"))</f>
        <v/>
      </c>
      <c r="W3157" s="19">
        <f>IF($I3157="","",IF(ISNUMBER($I3157),TEXT($I3157,"0"),$I3157))</f>
        <v/>
      </c>
    </row>
    <row r="3158">
      <c r="B3158" s="25" t="n"/>
      <c r="I3158" s="25" t="n"/>
      <c r="U3158" s="19">
        <f>IF($V3158&lt;&gt;'設定'!$C$4,N(U3157),IF(OR(NOT(COUNTIF('商品マスタ'!$B$6:$B$1005,$W3158)=0),COUNTIFS('①在庫を貼る'!$V$6:$V$10005,$V3158,'①在庫を貼る'!$W$6:$W$10005,$W3158)&gt;0),N(U3157),N(U3157)+1))</f>
        <v/>
      </c>
      <c r="V3158" s="19">
        <f>IF($B3158="","",TEXT($B3158,"0000"))</f>
        <v/>
      </c>
      <c r="W3158" s="19">
        <f>IF($I3158="","",IF(ISNUMBER($I3158),TEXT($I3158,"0"),$I3158))</f>
        <v/>
      </c>
    </row>
    <row r="3159">
      <c r="B3159" s="25" t="n"/>
      <c r="I3159" s="25" t="n"/>
      <c r="U3159" s="19">
        <f>IF($V3159&lt;&gt;'設定'!$C$4,N(U3158),IF(OR(NOT(COUNTIF('商品マスタ'!$B$6:$B$1005,$W3159)=0),COUNTIFS('①在庫を貼る'!$V$6:$V$10005,$V3159,'①在庫を貼る'!$W$6:$W$10005,$W3159)&gt;0),N(U3158),N(U3158)+1))</f>
        <v/>
      </c>
      <c r="V3159" s="19">
        <f>IF($B3159="","",TEXT($B3159,"0000"))</f>
        <v/>
      </c>
      <c r="W3159" s="19">
        <f>IF($I3159="","",IF(ISNUMBER($I3159),TEXT($I3159,"0"),$I3159))</f>
        <v/>
      </c>
    </row>
    <row r="3160">
      <c r="B3160" s="25" t="n"/>
      <c r="I3160" s="25" t="n"/>
      <c r="U3160" s="19">
        <f>IF($V3160&lt;&gt;'設定'!$C$4,N(U3159),IF(OR(NOT(COUNTIF('商品マスタ'!$B$6:$B$1005,$W3160)=0),COUNTIFS('①在庫を貼る'!$V$6:$V$10005,$V3160,'①在庫を貼る'!$W$6:$W$10005,$W3160)&gt;0),N(U3159),N(U3159)+1))</f>
        <v/>
      </c>
      <c r="V3160" s="19">
        <f>IF($B3160="","",TEXT($B3160,"0000"))</f>
        <v/>
      </c>
      <c r="W3160" s="19">
        <f>IF($I3160="","",IF(ISNUMBER($I3160),TEXT($I3160,"0"),$I3160))</f>
        <v/>
      </c>
    </row>
    <row r="3161">
      <c r="B3161" s="25" t="n"/>
      <c r="I3161" s="25" t="n"/>
      <c r="U3161" s="19">
        <f>IF($V3161&lt;&gt;'設定'!$C$4,N(U3160),IF(OR(NOT(COUNTIF('商品マスタ'!$B$6:$B$1005,$W3161)=0),COUNTIFS('①在庫を貼る'!$V$6:$V$10005,$V3161,'①在庫を貼る'!$W$6:$W$10005,$W3161)&gt;0),N(U3160),N(U3160)+1))</f>
        <v/>
      </c>
      <c r="V3161" s="19">
        <f>IF($B3161="","",TEXT($B3161,"0000"))</f>
        <v/>
      </c>
      <c r="W3161" s="19">
        <f>IF($I3161="","",IF(ISNUMBER($I3161),TEXT($I3161,"0"),$I3161))</f>
        <v/>
      </c>
    </row>
    <row r="3162">
      <c r="B3162" s="25" t="n"/>
      <c r="I3162" s="25" t="n"/>
      <c r="U3162" s="19">
        <f>IF($V3162&lt;&gt;'設定'!$C$4,N(U3161),IF(OR(NOT(COUNTIF('商品マスタ'!$B$6:$B$1005,$W3162)=0),COUNTIFS('①在庫を貼る'!$V$6:$V$10005,$V3162,'①在庫を貼る'!$W$6:$W$10005,$W3162)&gt;0),N(U3161),N(U3161)+1))</f>
        <v/>
      </c>
      <c r="V3162" s="19">
        <f>IF($B3162="","",TEXT($B3162,"0000"))</f>
        <v/>
      </c>
      <c r="W3162" s="19">
        <f>IF($I3162="","",IF(ISNUMBER($I3162),TEXT($I3162,"0"),$I3162))</f>
        <v/>
      </c>
    </row>
    <row r="3163">
      <c r="B3163" s="25" t="n"/>
      <c r="I3163" s="25" t="n"/>
      <c r="U3163" s="19">
        <f>IF($V3163&lt;&gt;'設定'!$C$4,N(U3162),IF(OR(NOT(COUNTIF('商品マスタ'!$B$6:$B$1005,$W3163)=0),COUNTIFS('①在庫を貼る'!$V$6:$V$10005,$V3163,'①在庫を貼る'!$W$6:$W$10005,$W3163)&gt;0),N(U3162),N(U3162)+1))</f>
        <v/>
      </c>
      <c r="V3163" s="19">
        <f>IF($B3163="","",TEXT($B3163,"0000"))</f>
        <v/>
      </c>
      <c r="W3163" s="19">
        <f>IF($I3163="","",IF(ISNUMBER($I3163),TEXT($I3163,"0"),$I3163))</f>
        <v/>
      </c>
    </row>
    <row r="3164">
      <c r="B3164" s="25" t="n"/>
      <c r="I3164" s="25" t="n"/>
      <c r="U3164" s="19">
        <f>IF($V3164&lt;&gt;'設定'!$C$4,N(U3163),IF(OR(NOT(COUNTIF('商品マスタ'!$B$6:$B$1005,$W3164)=0),COUNTIFS('①在庫を貼る'!$V$6:$V$10005,$V3164,'①在庫を貼る'!$W$6:$W$10005,$W3164)&gt;0),N(U3163),N(U3163)+1))</f>
        <v/>
      </c>
      <c r="V3164" s="19">
        <f>IF($B3164="","",TEXT($B3164,"0000"))</f>
        <v/>
      </c>
      <c r="W3164" s="19">
        <f>IF($I3164="","",IF(ISNUMBER($I3164),TEXT($I3164,"0"),$I3164))</f>
        <v/>
      </c>
    </row>
    <row r="3165">
      <c r="B3165" s="25" t="n"/>
      <c r="I3165" s="25" t="n"/>
      <c r="U3165" s="19">
        <f>IF($V3165&lt;&gt;'設定'!$C$4,N(U3164),IF(OR(NOT(COUNTIF('商品マスタ'!$B$6:$B$1005,$W3165)=0),COUNTIFS('①在庫を貼る'!$V$6:$V$10005,$V3165,'①在庫を貼る'!$W$6:$W$10005,$W3165)&gt;0),N(U3164),N(U3164)+1))</f>
        <v/>
      </c>
      <c r="V3165" s="19">
        <f>IF($B3165="","",TEXT($B3165,"0000"))</f>
        <v/>
      </c>
      <c r="W3165" s="19">
        <f>IF($I3165="","",IF(ISNUMBER($I3165),TEXT($I3165,"0"),$I3165))</f>
        <v/>
      </c>
    </row>
    <row r="3166">
      <c r="B3166" s="25" t="n"/>
      <c r="I3166" s="25" t="n"/>
      <c r="U3166" s="19">
        <f>IF($V3166&lt;&gt;'設定'!$C$4,N(U3165),IF(OR(NOT(COUNTIF('商品マスタ'!$B$6:$B$1005,$W3166)=0),COUNTIFS('①在庫を貼る'!$V$6:$V$10005,$V3166,'①在庫を貼る'!$W$6:$W$10005,$W3166)&gt;0),N(U3165),N(U3165)+1))</f>
        <v/>
      </c>
      <c r="V3166" s="19">
        <f>IF($B3166="","",TEXT($B3166,"0000"))</f>
        <v/>
      </c>
      <c r="W3166" s="19">
        <f>IF($I3166="","",IF(ISNUMBER($I3166),TEXT($I3166,"0"),$I3166))</f>
        <v/>
      </c>
    </row>
    <row r="3167">
      <c r="B3167" s="25" t="n"/>
      <c r="I3167" s="25" t="n"/>
      <c r="U3167" s="19">
        <f>IF($V3167&lt;&gt;'設定'!$C$4,N(U3166),IF(OR(NOT(COUNTIF('商品マスタ'!$B$6:$B$1005,$W3167)=0),COUNTIFS('①在庫を貼る'!$V$6:$V$10005,$V3167,'①在庫を貼る'!$W$6:$W$10005,$W3167)&gt;0),N(U3166),N(U3166)+1))</f>
        <v/>
      </c>
      <c r="V3167" s="19">
        <f>IF($B3167="","",TEXT($B3167,"0000"))</f>
        <v/>
      </c>
      <c r="W3167" s="19">
        <f>IF($I3167="","",IF(ISNUMBER($I3167),TEXT($I3167,"0"),$I3167))</f>
        <v/>
      </c>
    </row>
    <row r="3168">
      <c r="B3168" s="25" t="n"/>
      <c r="I3168" s="25" t="n"/>
      <c r="U3168" s="19">
        <f>IF($V3168&lt;&gt;'設定'!$C$4,N(U3167),IF(OR(NOT(COUNTIF('商品マスタ'!$B$6:$B$1005,$W3168)=0),COUNTIFS('①在庫を貼る'!$V$6:$V$10005,$V3168,'①在庫を貼る'!$W$6:$W$10005,$W3168)&gt;0),N(U3167),N(U3167)+1))</f>
        <v/>
      </c>
      <c r="V3168" s="19">
        <f>IF($B3168="","",TEXT($B3168,"0000"))</f>
        <v/>
      </c>
      <c r="W3168" s="19">
        <f>IF($I3168="","",IF(ISNUMBER($I3168),TEXT($I3168,"0"),$I3168))</f>
        <v/>
      </c>
    </row>
    <row r="3169">
      <c r="B3169" s="25" t="n"/>
      <c r="I3169" s="25" t="n"/>
      <c r="U3169" s="19">
        <f>IF($V3169&lt;&gt;'設定'!$C$4,N(U3168),IF(OR(NOT(COUNTIF('商品マスタ'!$B$6:$B$1005,$W3169)=0),COUNTIFS('①在庫を貼る'!$V$6:$V$10005,$V3169,'①在庫を貼る'!$W$6:$W$10005,$W3169)&gt;0),N(U3168),N(U3168)+1))</f>
        <v/>
      </c>
      <c r="V3169" s="19">
        <f>IF($B3169="","",TEXT($B3169,"0000"))</f>
        <v/>
      </c>
      <c r="W3169" s="19">
        <f>IF($I3169="","",IF(ISNUMBER($I3169),TEXT($I3169,"0"),$I3169))</f>
        <v/>
      </c>
    </row>
    <row r="3170">
      <c r="B3170" s="25" t="n"/>
      <c r="I3170" s="25" t="n"/>
      <c r="U3170" s="19">
        <f>IF($V3170&lt;&gt;'設定'!$C$4,N(U3169),IF(OR(NOT(COUNTIF('商品マスタ'!$B$6:$B$1005,$W3170)=0),COUNTIFS('①在庫を貼る'!$V$6:$V$10005,$V3170,'①在庫を貼る'!$W$6:$W$10005,$W3170)&gt;0),N(U3169),N(U3169)+1))</f>
        <v/>
      </c>
      <c r="V3170" s="19">
        <f>IF($B3170="","",TEXT($B3170,"0000"))</f>
        <v/>
      </c>
      <c r="W3170" s="19">
        <f>IF($I3170="","",IF(ISNUMBER($I3170),TEXT($I3170,"0"),$I3170))</f>
        <v/>
      </c>
    </row>
    <row r="3171">
      <c r="B3171" s="25" t="n"/>
      <c r="I3171" s="25" t="n"/>
      <c r="U3171" s="19">
        <f>IF($V3171&lt;&gt;'設定'!$C$4,N(U3170),IF(OR(NOT(COUNTIF('商品マスタ'!$B$6:$B$1005,$W3171)=0),COUNTIFS('①在庫を貼る'!$V$6:$V$10005,$V3171,'①在庫を貼る'!$W$6:$W$10005,$W3171)&gt;0),N(U3170),N(U3170)+1))</f>
        <v/>
      </c>
      <c r="V3171" s="19">
        <f>IF($B3171="","",TEXT($B3171,"0000"))</f>
        <v/>
      </c>
      <c r="W3171" s="19">
        <f>IF($I3171="","",IF(ISNUMBER($I3171),TEXT($I3171,"0"),$I3171))</f>
        <v/>
      </c>
    </row>
    <row r="3172">
      <c r="B3172" s="25" t="n"/>
      <c r="I3172" s="25" t="n"/>
      <c r="U3172" s="19">
        <f>IF($V3172&lt;&gt;'設定'!$C$4,N(U3171),IF(OR(NOT(COUNTIF('商品マスタ'!$B$6:$B$1005,$W3172)=0),COUNTIFS('①在庫を貼る'!$V$6:$V$10005,$V3172,'①在庫を貼る'!$W$6:$W$10005,$W3172)&gt;0),N(U3171),N(U3171)+1))</f>
        <v/>
      </c>
      <c r="V3172" s="19">
        <f>IF($B3172="","",TEXT($B3172,"0000"))</f>
        <v/>
      </c>
      <c r="W3172" s="19">
        <f>IF($I3172="","",IF(ISNUMBER($I3172),TEXT($I3172,"0"),$I3172))</f>
        <v/>
      </c>
    </row>
    <row r="3173">
      <c r="B3173" s="25" t="n"/>
      <c r="I3173" s="25" t="n"/>
      <c r="U3173" s="19">
        <f>IF($V3173&lt;&gt;'設定'!$C$4,N(U3172),IF(OR(NOT(COUNTIF('商品マスタ'!$B$6:$B$1005,$W3173)=0),COUNTIFS('①在庫を貼る'!$V$6:$V$10005,$V3173,'①在庫を貼る'!$W$6:$W$10005,$W3173)&gt;0),N(U3172),N(U3172)+1))</f>
        <v/>
      </c>
      <c r="V3173" s="19">
        <f>IF($B3173="","",TEXT($B3173,"0000"))</f>
        <v/>
      </c>
      <c r="W3173" s="19">
        <f>IF($I3173="","",IF(ISNUMBER($I3173),TEXT($I3173,"0"),$I3173))</f>
        <v/>
      </c>
    </row>
    <row r="3174">
      <c r="B3174" s="25" t="n"/>
      <c r="I3174" s="25" t="n"/>
      <c r="U3174" s="19">
        <f>IF($V3174&lt;&gt;'設定'!$C$4,N(U3173),IF(OR(NOT(COUNTIF('商品マスタ'!$B$6:$B$1005,$W3174)=0),COUNTIFS('①在庫を貼る'!$V$6:$V$10005,$V3174,'①在庫を貼る'!$W$6:$W$10005,$W3174)&gt;0),N(U3173),N(U3173)+1))</f>
        <v/>
      </c>
      <c r="V3174" s="19">
        <f>IF($B3174="","",TEXT($B3174,"0000"))</f>
        <v/>
      </c>
      <c r="W3174" s="19">
        <f>IF($I3174="","",IF(ISNUMBER($I3174),TEXT($I3174,"0"),$I3174))</f>
        <v/>
      </c>
    </row>
    <row r="3175">
      <c r="B3175" s="25" t="n"/>
      <c r="I3175" s="25" t="n"/>
      <c r="U3175" s="19">
        <f>IF($V3175&lt;&gt;'設定'!$C$4,N(U3174),IF(OR(NOT(COUNTIF('商品マスタ'!$B$6:$B$1005,$W3175)=0),COUNTIFS('①在庫を貼る'!$V$6:$V$10005,$V3175,'①在庫を貼る'!$W$6:$W$10005,$W3175)&gt;0),N(U3174),N(U3174)+1))</f>
        <v/>
      </c>
      <c r="V3175" s="19">
        <f>IF($B3175="","",TEXT($B3175,"0000"))</f>
        <v/>
      </c>
      <c r="W3175" s="19">
        <f>IF($I3175="","",IF(ISNUMBER($I3175),TEXT($I3175,"0"),$I3175))</f>
        <v/>
      </c>
    </row>
    <row r="3176">
      <c r="B3176" s="25" t="n"/>
      <c r="I3176" s="25" t="n"/>
      <c r="U3176" s="19">
        <f>IF($V3176&lt;&gt;'設定'!$C$4,N(U3175),IF(OR(NOT(COUNTIF('商品マスタ'!$B$6:$B$1005,$W3176)=0),COUNTIFS('①在庫を貼る'!$V$6:$V$10005,$V3176,'①在庫を貼る'!$W$6:$W$10005,$W3176)&gt;0),N(U3175),N(U3175)+1))</f>
        <v/>
      </c>
      <c r="V3176" s="19">
        <f>IF($B3176="","",TEXT($B3176,"0000"))</f>
        <v/>
      </c>
      <c r="W3176" s="19">
        <f>IF($I3176="","",IF(ISNUMBER($I3176),TEXT($I3176,"0"),$I3176))</f>
        <v/>
      </c>
    </row>
    <row r="3177">
      <c r="B3177" s="25" t="n"/>
      <c r="I3177" s="25" t="n"/>
      <c r="U3177" s="19">
        <f>IF($V3177&lt;&gt;'設定'!$C$4,N(U3176),IF(OR(NOT(COUNTIF('商品マスタ'!$B$6:$B$1005,$W3177)=0),COUNTIFS('①在庫を貼る'!$V$6:$V$10005,$V3177,'①在庫を貼る'!$W$6:$W$10005,$W3177)&gt;0),N(U3176),N(U3176)+1))</f>
        <v/>
      </c>
      <c r="V3177" s="19">
        <f>IF($B3177="","",TEXT($B3177,"0000"))</f>
        <v/>
      </c>
      <c r="W3177" s="19">
        <f>IF($I3177="","",IF(ISNUMBER($I3177),TEXT($I3177,"0"),$I3177))</f>
        <v/>
      </c>
    </row>
    <row r="3178">
      <c r="B3178" s="25" t="n"/>
      <c r="I3178" s="25" t="n"/>
      <c r="U3178" s="19">
        <f>IF($V3178&lt;&gt;'設定'!$C$4,N(U3177),IF(OR(NOT(COUNTIF('商品マスタ'!$B$6:$B$1005,$W3178)=0),COUNTIFS('①在庫を貼る'!$V$6:$V$10005,$V3178,'①在庫を貼る'!$W$6:$W$10005,$W3178)&gt;0),N(U3177),N(U3177)+1))</f>
        <v/>
      </c>
      <c r="V3178" s="19">
        <f>IF($B3178="","",TEXT($B3178,"0000"))</f>
        <v/>
      </c>
      <c r="W3178" s="19">
        <f>IF($I3178="","",IF(ISNUMBER($I3178),TEXT($I3178,"0"),$I3178))</f>
        <v/>
      </c>
    </row>
    <row r="3179">
      <c r="B3179" s="25" t="n"/>
      <c r="I3179" s="25" t="n"/>
      <c r="U3179" s="19">
        <f>IF($V3179&lt;&gt;'設定'!$C$4,N(U3178),IF(OR(NOT(COUNTIF('商品マスタ'!$B$6:$B$1005,$W3179)=0),COUNTIFS('①在庫を貼る'!$V$6:$V$10005,$V3179,'①在庫を貼る'!$W$6:$W$10005,$W3179)&gt;0),N(U3178),N(U3178)+1))</f>
        <v/>
      </c>
      <c r="V3179" s="19">
        <f>IF($B3179="","",TEXT($B3179,"0000"))</f>
        <v/>
      </c>
      <c r="W3179" s="19">
        <f>IF($I3179="","",IF(ISNUMBER($I3179),TEXT($I3179,"0"),$I3179))</f>
        <v/>
      </c>
    </row>
    <row r="3180">
      <c r="B3180" s="25" t="n"/>
      <c r="I3180" s="25" t="n"/>
      <c r="U3180" s="19">
        <f>IF($V3180&lt;&gt;'設定'!$C$4,N(U3179),IF(OR(NOT(COUNTIF('商品マスタ'!$B$6:$B$1005,$W3180)=0),COUNTIFS('①在庫を貼る'!$V$6:$V$10005,$V3180,'①在庫を貼る'!$W$6:$W$10005,$W3180)&gt;0),N(U3179),N(U3179)+1))</f>
        <v/>
      </c>
      <c r="V3180" s="19">
        <f>IF($B3180="","",TEXT($B3180,"0000"))</f>
        <v/>
      </c>
      <c r="W3180" s="19">
        <f>IF($I3180="","",IF(ISNUMBER($I3180),TEXT($I3180,"0"),$I3180))</f>
        <v/>
      </c>
    </row>
    <row r="3181">
      <c r="B3181" s="25" t="n"/>
      <c r="I3181" s="25" t="n"/>
      <c r="U3181" s="19">
        <f>IF($V3181&lt;&gt;'設定'!$C$4,N(U3180),IF(OR(NOT(COUNTIF('商品マスタ'!$B$6:$B$1005,$W3181)=0),COUNTIFS('①在庫を貼る'!$V$6:$V$10005,$V3181,'①在庫を貼る'!$W$6:$W$10005,$W3181)&gt;0),N(U3180),N(U3180)+1))</f>
        <v/>
      </c>
      <c r="V3181" s="19">
        <f>IF($B3181="","",TEXT($B3181,"0000"))</f>
        <v/>
      </c>
      <c r="W3181" s="19">
        <f>IF($I3181="","",IF(ISNUMBER($I3181),TEXT($I3181,"0"),$I3181))</f>
        <v/>
      </c>
    </row>
    <row r="3182">
      <c r="B3182" s="25" t="n"/>
      <c r="I3182" s="25" t="n"/>
      <c r="U3182" s="19">
        <f>IF($V3182&lt;&gt;'設定'!$C$4,N(U3181),IF(OR(NOT(COUNTIF('商品マスタ'!$B$6:$B$1005,$W3182)=0),COUNTIFS('①在庫を貼る'!$V$6:$V$10005,$V3182,'①在庫を貼る'!$W$6:$W$10005,$W3182)&gt;0),N(U3181),N(U3181)+1))</f>
        <v/>
      </c>
      <c r="V3182" s="19">
        <f>IF($B3182="","",TEXT($B3182,"0000"))</f>
        <v/>
      </c>
      <c r="W3182" s="19">
        <f>IF($I3182="","",IF(ISNUMBER($I3182),TEXT($I3182,"0"),$I3182))</f>
        <v/>
      </c>
    </row>
    <row r="3183">
      <c r="B3183" s="25" t="n"/>
      <c r="I3183" s="25" t="n"/>
      <c r="U3183" s="19">
        <f>IF($V3183&lt;&gt;'設定'!$C$4,N(U3182),IF(OR(NOT(COUNTIF('商品マスタ'!$B$6:$B$1005,$W3183)=0),COUNTIFS('①在庫を貼る'!$V$6:$V$10005,$V3183,'①在庫を貼る'!$W$6:$W$10005,$W3183)&gt;0),N(U3182),N(U3182)+1))</f>
        <v/>
      </c>
      <c r="V3183" s="19">
        <f>IF($B3183="","",TEXT($B3183,"0000"))</f>
        <v/>
      </c>
      <c r="W3183" s="19">
        <f>IF($I3183="","",IF(ISNUMBER($I3183),TEXT($I3183,"0"),$I3183))</f>
        <v/>
      </c>
    </row>
    <row r="3184">
      <c r="B3184" s="25" t="n"/>
      <c r="I3184" s="25" t="n"/>
      <c r="U3184" s="19">
        <f>IF($V3184&lt;&gt;'設定'!$C$4,N(U3183),IF(OR(NOT(COUNTIF('商品マスタ'!$B$6:$B$1005,$W3184)=0),COUNTIFS('①在庫を貼る'!$V$6:$V$10005,$V3184,'①在庫を貼る'!$W$6:$W$10005,$W3184)&gt;0),N(U3183),N(U3183)+1))</f>
        <v/>
      </c>
      <c r="V3184" s="19">
        <f>IF($B3184="","",TEXT($B3184,"0000"))</f>
        <v/>
      </c>
      <c r="W3184" s="19">
        <f>IF($I3184="","",IF(ISNUMBER($I3184),TEXT($I3184,"0"),$I3184))</f>
        <v/>
      </c>
    </row>
    <row r="3185">
      <c r="B3185" s="25" t="n"/>
      <c r="I3185" s="25" t="n"/>
      <c r="U3185" s="19">
        <f>IF($V3185&lt;&gt;'設定'!$C$4,N(U3184),IF(OR(NOT(COUNTIF('商品マスタ'!$B$6:$B$1005,$W3185)=0),COUNTIFS('①在庫を貼る'!$V$6:$V$10005,$V3185,'①在庫を貼る'!$W$6:$W$10005,$W3185)&gt;0),N(U3184),N(U3184)+1))</f>
        <v/>
      </c>
      <c r="V3185" s="19">
        <f>IF($B3185="","",TEXT($B3185,"0000"))</f>
        <v/>
      </c>
      <c r="W3185" s="19">
        <f>IF($I3185="","",IF(ISNUMBER($I3185),TEXT($I3185,"0"),$I3185))</f>
        <v/>
      </c>
    </row>
    <row r="3186">
      <c r="B3186" s="25" t="n"/>
      <c r="I3186" s="25" t="n"/>
      <c r="U3186" s="19">
        <f>IF($V3186&lt;&gt;'設定'!$C$4,N(U3185),IF(OR(NOT(COUNTIF('商品マスタ'!$B$6:$B$1005,$W3186)=0),COUNTIFS('①在庫を貼る'!$V$6:$V$10005,$V3186,'①在庫を貼る'!$W$6:$W$10005,$W3186)&gt;0),N(U3185),N(U3185)+1))</f>
        <v/>
      </c>
      <c r="V3186" s="19">
        <f>IF($B3186="","",TEXT($B3186,"0000"))</f>
        <v/>
      </c>
      <c r="W3186" s="19">
        <f>IF($I3186="","",IF(ISNUMBER($I3186),TEXT($I3186,"0"),$I3186))</f>
        <v/>
      </c>
    </row>
    <row r="3187">
      <c r="B3187" s="25" t="n"/>
      <c r="I3187" s="25" t="n"/>
      <c r="U3187" s="19">
        <f>IF($V3187&lt;&gt;'設定'!$C$4,N(U3186),IF(OR(NOT(COUNTIF('商品マスタ'!$B$6:$B$1005,$W3187)=0),COUNTIFS('①在庫を貼る'!$V$6:$V$10005,$V3187,'①在庫を貼る'!$W$6:$W$10005,$W3187)&gt;0),N(U3186),N(U3186)+1))</f>
        <v/>
      </c>
      <c r="V3187" s="19">
        <f>IF($B3187="","",TEXT($B3187,"0000"))</f>
        <v/>
      </c>
      <c r="W3187" s="19">
        <f>IF($I3187="","",IF(ISNUMBER($I3187),TEXT($I3187,"0"),$I3187))</f>
        <v/>
      </c>
    </row>
    <row r="3188">
      <c r="B3188" s="25" t="n"/>
      <c r="I3188" s="25" t="n"/>
      <c r="U3188" s="19">
        <f>IF($V3188&lt;&gt;'設定'!$C$4,N(U3187),IF(OR(NOT(COUNTIF('商品マスタ'!$B$6:$B$1005,$W3188)=0),COUNTIFS('①在庫を貼る'!$V$6:$V$10005,$V3188,'①在庫を貼る'!$W$6:$W$10005,$W3188)&gt;0),N(U3187),N(U3187)+1))</f>
        <v/>
      </c>
      <c r="V3188" s="19">
        <f>IF($B3188="","",TEXT($B3188,"0000"))</f>
        <v/>
      </c>
      <c r="W3188" s="19">
        <f>IF($I3188="","",IF(ISNUMBER($I3188),TEXT($I3188,"0"),$I3188))</f>
        <v/>
      </c>
    </row>
    <row r="3189">
      <c r="B3189" s="25" t="n"/>
      <c r="I3189" s="25" t="n"/>
      <c r="U3189" s="19">
        <f>IF($V3189&lt;&gt;'設定'!$C$4,N(U3188),IF(OR(NOT(COUNTIF('商品マスタ'!$B$6:$B$1005,$W3189)=0),COUNTIFS('①在庫を貼る'!$V$6:$V$10005,$V3189,'①在庫を貼る'!$W$6:$W$10005,$W3189)&gt;0),N(U3188),N(U3188)+1))</f>
        <v/>
      </c>
      <c r="V3189" s="19">
        <f>IF($B3189="","",TEXT($B3189,"0000"))</f>
        <v/>
      </c>
      <c r="W3189" s="19">
        <f>IF($I3189="","",IF(ISNUMBER($I3189),TEXT($I3189,"0"),$I3189))</f>
        <v/>
      </c>
    </row>
    <row r="3190">
      <c r="B3190" s="25" t="n"/>
      <c r="I3190" s="25" t="n"/>
      <c r="U3190" s="19">
        <f>IF($V3190&lt;&gt;'設定'!$C$4,N(U3189),IF(OR(NOT(COUNTIF('商品マスタ'!$B$6:$B$1005,$W3190)=0),COUNTIFS('①在庫を貼る'!$V$6:$V$10005,$V3190,'①在庫を貼る'!$W$6:$W$10005,$W3190)&gt;0),N(U3189),N(U3189)+1))</f>
        <v/>
      </c>
      <c r="V3190" s="19">
        <f>IF($B3190="","",TEXT($B3190,"0000"))</f>
        <v/>
      </c>
      <c r="W3190" s="19">
        <f>IF($I3190="","",IF(ISNUMBER($I3190),TEXT($I3190,"0"),$I3190))</f>
        <v/>
      </c>
    </row>
    <row r="3191">
      <c r="B3191" s="25" t="n"/>
      <c r="I3191" s="25" t="n"/>
      <c r="U3191" s="19">
        <f>IF($V3191&lt;&gt;'設定'!$C$4,N(U3190),IF(OR(NOT(COUNTIF('商品マスタ'!$B$6:$B$1005,$W3191)=0),COUNTIFS('①在庫を貼る'!$V$6:$V$10005,$V3191,'①在庫を貼る'!$W$6:$W$10005,$W3191)&gt;0),N(U3190),N(U3190)+1))</f>
        <v/>
      </c>
      <c r="V3191" s="19">
        <f>IF($B3191="","",TEXT($B3191,"0000"))</f>
        <v/>
      </c>
      <c r="W3191" s="19">
        <f>IF($I3191="","",IF(ISNUMBER($I3191),TEXT($I3191,"0"),$I3191))</f>
        <v/>
      </c>
    </row>
    <row r="3192">
      <c r="B3192" s="25" t="n"/>
      <c r="I3192" s="25" t="n"/>
      <c r="U3192" s="19">
        <f>IF($V3192&lt;&gt;'設定'!$C$4,N(U3191),IF(OR(NOT(COUNTIF('商品マスタ'!$B$6:$B$1005,$W3192)=0),COUNTIFS('①在庫を貼る'!$V$6:$V$10005,$V3192,'①在庫を貼る'!$W$6:$W$10005,$W3192)&gt;0),N(U3191),N(U3191)+1))</f>
        <v/>
      </c>
      <c r="V3192" s="19">
        <f>IF($B3192="","",TEXT($B3192,"0000"))</f>
        <v/>
      </c>
      <c r="W3192" s="19">
        <f>IF($I3192="","",IF(ISNUMBER($I3192),TEXT($I3192,"0"),$I3192))</f>
        <v/>
      </c>
    </row>
    <row r="3193">
      <c r="B3193" s="25" t="n"/>
      <c r="I3193" s="25" t="n"/>
      <c r="U3193" s="19">
        <f>IF($V3193&lt;&gt;'設定'!$C$4,N(U3192),IF(OR(NOT(COUNTIF('商品マスタ'!$B$6:$B$1005,$W3193)=0),COUNTIFS('①在庫を貼る'!$V$6:$V$10005,$V3193,'①在庫を貼る'!$W$6:$W$10005,$W3193)&gt;0),N(U3192),N(U3192)+1))</f>
        <v/>
      </c>
      <c r="V3193" s="19">
        <f>IF($B3193="","",TEXT($B3193,"0000"))</f>
        <v/>
      </c>
      <c r="W3193" s="19">
        <f>IF($I3193="","",IF(ISNUMBER($I3193),TEXT($I3193,"0"),$I3193))</f>
        <v/>
      </c>
    </row>
    <row r="3194">
      <c r="B3194" s="25" t="n"/>
      <c r="I3194" s="25" t="n"/>
      <c r="U3194" s="19">
        <f>IF($V3194&lt;&gt;'設定'!$C$4,N(U3193),IF(OR(NOT(COUNTIF('商品マスタ'!$B$6:$B$1005,$W3194)=0),COUNTIFS('①在庫を貼る'!$V$6:$V$10005,$V3194,'①在庫を貼る'!$W$6:$W$10005,$W3194)&gt;0),N(U3193),N(U3193)+1))</f>
        <v/>
      </c>
      <c r="V3194" s="19">
        <f>IF($B3194="","",TEXT($B3194,"0000"))</f>
        <v/>
      </c>
      <c r="W3194" s="19">
        <f>IF($I3194="","",IF(ISNUMBER($I3194),TEXT($I3194,"0"),$I3194))</f>
        <v/>
      </c>
    </row>
    <row r="3195">
      <c r="B3195" s="25" t="n"/>
      <c r="I3195" s="25" t="n"/>
      <c r="U3195" s="19">
        <f>IF($V3195&lt;&gt;'設定'!$C$4,N(U3194),IF(OR(NOT(COUNTIF('商品マスタ'!$B$6:$B$1005,$W3195)=0),COUNTIFS('①在庫を貼る'!$V$6:$V$10005,$V3195,'①在庫を貼る'!$W$6:$W$10005,$W3195)&gt;0),N(U3194),N(U3194)+1))</f>
        <v/>
      </c>
      <c r="V3195" s="19">
        <f>IF($B3195="","",TEXT($B3195,"0000"))</f>
        <v/>
      </c>
      <c r="W3195" s="19">
        <f>IF($I3195="","",IF(ISNUMBER($I3195),TEXT($I3195,"0"),$I3195))</f>
        <v/>
      </c>
    </row>
    <row r="3196">
      <c r="B3196" s="25" t="n"/>
      <c r="I3196" s="25" t="n"/>
      <c r="U3196" s="19">
        <f>IF($V3196&lt;&gt;'設定'!$C$4,N(U3195),IF(OR(NOT(COUNTIF('商品マスタ'!$B$6:$B$1005,$W3196)=0),COUNTIFS('①在庫を貼る'!$V$6:$V$10005,$V3196,'①在庫を貼る'!$W$6:$W$10005,$W3196)&gt;0),N(U3195),N(U3195)+1))</f>
        <v/>
      </c>
      <c r="V3196" s="19">
        <f>IF($B3196="","",TEXT($B3196,"0000"))</f>
        <v/>
      </c>
      <c r="W3196" s="19">
        <f>IF($I3196="","",IF(ISNUMBER($I3196),TEXT($I3196,"0"),$I3196))</f>
        <v/>
      </c>
    </row>
    <row r="3197">
      <c r="B3197" s="25" t="n"/>
      <c r="I3197" s="25" t="n"/>
      <c r="U3197" s="19">
        <f>IF($V3197&lt;&gt;'設定'!$C$4,N(U3196),IF(OR(NOT(COUNTIF('商品マスタ'!$B$6:$B$1005,$W3197)=0),COUNTIFS('①在庫を貼る'!$V$6:$V$10005,$V3197,'①在庫を貼る'!$W$6:$W$10005,$W3197)&gt;0),N(U3196),N(U3196)+1))</f>
        <v/>
      </c>
      <c r="V3197" s="19">
        <f>IF($B3197="","",TEXT($B3197,"0000"))</f>
        <v/>
      </c>
      <c r="W3197" s="19">
        <f>IF($I3197="","",IF(ISNUMBER($I3197),TEXT($I3197,"0"),$I3197))</f>
        <v/>
      </c>
    </row>
    <row r="3198">
      <c r="B3198" s="25" t="n"/>
      <c r="I3198" s="25" t="n"/>
      <c r="U3198" s="19">
        <f>IF($V3198&lt;&gt;'設定'!$C$4,N(U3197),IF(OR(NOT(COUNTIF('商品マスタ'!$B$6:$B$1005,$W3198)=0),COUNTIFS('①在庫を貼る'!$V$6:$V$10005,$V3198,'①在庫を貼る'!$W$6:$W$10005,$W3198)&gt;0),N(U3197),N(U3197)+1))</f>
        <v/>
      </c>
      <c r="V3198" s="19">
        <f>IF($B3198="","",TEXT($B3198,"0000"))</f>
        <v/>
      </c>
      <c r="W3198" s="19">
        <f>IF($I3198="","",IF(ISNUMBER($I3198),TEXT($I3198,"0"),$I3198))</f>
        <v/>
      </c>
    </row>
    <row r="3199">
      <c r="B3199" s="25" t="n"/>
      <c r="I3199" s="25" t="n"/>
      <c r="U3199" s="19">
        <f>IF($V3199&lt;&gt;'設定'!$C$4,N(U3198),IF(OR(NOT(COUNTIF('商品マスタ'!$B$6:$B$1005,$W3199)=0),COUNTIFS('①在庫を貼る'!$V$6:$V$10005,$V3199,'①在庫を貼る'!$W$6:$W$10005,$W3199)&gt;0),N(U3198),N(U3198)+1))</f>
        <v/>
      </c>
      <c r="V3199" s="19">
        <f>IF($B3199="","",TEXT($B3199,"0000"))</f>
        <v/>
      </c>
      <c r="W3199" s="19">
        <f>IF($I3199="","",IF(ISNUMBER($I3199),TEXT($I3199,"0"),$I3199))</f>
        <v/>
      </c>
    </row>
    <row r="3200">
      <c r="B3200" s="25" t="n"/>
      <c r="I3200" s="25" t="n"/>
      <c r="U3200" s="19">
        <f>IF($V3200&lt;&gt;'設定'!$C$4,N(U3199),IF(OR(NOT(COUNTIF('商品マスタ'!$B$6:$B$1005,$W3200)=0),COUNTIFS('①在庫を貼る'!$V$6:$V$10005,$V3200,'①在庫を貼る'!$W$6:$W$10005,$W3200)&gt;0),N(U3199),N(U3199)+1))</f>
        <v/>
      </c>
      <c r="V3200" s="19">
        <f>IF($B3200="","",TEXT($B3200,"0000"))</f>
        <v/>
      </c>
      <c r="W3200" s="19">
        <f>IF($I3200="","",IF(ISNUMBER($I3200),TEXT($I3200,"0"),$I3200))</f>
        <v/>
      </c>
    </row>
    <row r="3201">
      <c r="B3201" s="25" t="n"/>
      <c r="I3201" s="25" t="n"/>
      <c r="U3201" s="19">
        <f>IF($V3201&lt;&gt;'設定'!$C$4,N(U3200),IF(OR(NOT(COUNTIF('商品マスタ'!$B$6:$B$1005,$W3201)=0),COUNTIFS('①在庫を貼る'!$V$6:$V$10005,$V3201,'①在庫を貼る'!$W$6:$W$10005,$W3201)&gt;0),N(U3200),N(U3200)+1))</f>
        <v/>
      </c>
      <c r="V3201" s="19">
        <f>IF($B3201="","",TEXT($B3201,"0000"))</f>
        <v/>
      </c>
      <c r="W3201" s="19">
        <f>IF($I3201="","",IF(ISNUMBER($I3201),TEXT($I3201,"0"),$I3201))</f>
        <v/>
      </c>
    </row>
    <row r="3202">
      <c r="B3202" s="25" t="n"/>
      <c r="I3202" s="25" t="n"/>
      <c r="U3202" s="19">
        <f>IF($V3202&lt;&gt;'設定'!$C$4,N(U3201),IF(OR(NOT(COUNTIF('商品マスタ'!$B$6:$B$1005,$W3202)=0),COUNTIFS('①在庫を貼る'!$V$6:$V$10005,$V3202,'①在庫を貼る'!$W$6:$W$10005,$W3202)&gt;0),N(U3201),N(U3201)+1))</f>
        <v/>
      </c>
      <c r="V3202" s="19">
        <f>IF($B3202="","",TEXT($B3202,"0000"))</f>
        <v/>
      </c>
      <c r="W3202" s="19">
        <f>IF($I3202="","",IF(ISNUMBER($I3202),TEXT($I3202,"0"),$I3202))</f>
        <v/>
      </c>
    </row>
    <row r="3203">
      <c r="B3203" s="25" t="n"/>
      <c r="I3203" s="25" t="n"/>
      <c r="U3203" s="19">
        <f>IF($V3203&lt;&gt;'設定'!$C$4,N(U3202),IF(OR(NOT(COUNTIF('商品マスタ'!$B$6:$B$1005,$W3203)=0),COUNTIFS('①在庫を貼る'!$V$6:$V$10005,$V3203,'①在庫を貼る'!$W$6:$W$10005,$W3203)&gt;0),N(U3202),N(U3202)+1))</f>
        <v/>
      </c>
      <c r="V3203" s="19">
        <f>IF($B3203="","",TEXT($B3203,"0000"))</f>
        <v/>
      </c>
      <c r="W3203" s="19">
        <f>IF($I3203="","",IF(ISNUMBER($I3203),TEXT($I3203,"0"),$I3203))</f>
        <v/>
      </c>
    </row>
    <row r="3204">
      <c r="B3204" s="25" t="n"/>
      <c r="I3204" s="25" t="n"/>
      <c r="U3204" s="19">
        <f>IF($V3204&lt;&gt;'設定'!$C$4,N(U3203),IF(OR(NOT(COUNTIF('商品マスタ'!$B$6:$B$1005,$W3204)=0),COUNTIFS('①在庫を貼る'!$V$6:$V$10005,$V3204,'①在庫を貼る'!$W$6:$W$10005,$W3204)&gt;0),N(U3203),N(U3203)+1))</f>
        <v/>
      </c>
      <c r="V3204" s="19">
        <f>IF($B3204="","",TEXT($B3204,"0000"))</f>
        <v/>
      </c>
      <c r="W3204" s="19">
        <f>IF($I3204="","",IF(ISNUMBER($I3204),TEXT($I3204,"0"),$I3204))</f>
        <v/>
      </c>
    </row>
    <row r="3205">
      <c r="B3205" s="25" t="n"/>
      <c r="I3205" s="25" t="n"/>
      <c r="U3205" s="19">
        <f>IF($V3205&lt;&gt;'設定'!$C$4,N(U3204),IF(OR(NOT(COUNTIF('商品マスタ'!$B$6:$B$1005,$W3205)=0),COUNTIFS('①在庫を貼る'!$V$6:$V$10005,$V3205,'①在庫を貼る'!$W$6:$W$10005,$W3205)&gt;0),N(U3204),N(U3204)+1))</f>
        <v/>
      </c>
      <c r="V3205" s="19">
        <f>IF($B3205="","",TEXT($B3205,"0000"))</f>
        <v/>
      </c>
      <c r="W3205" s="19">
        <f>IF($I3205="","",IF(ISNUMBER($I3205),TEXT($I3205,"0"),$I3205))</f>
        <v/>
      </c>
    </row>
    <row r="3206">
      <c r="B3206" s="25" t="n"/>
      <c r="I3206" s="25" t="n"/>
      <c r="U3206" s="19">
        <f>IF($V3206&lt;&gt;'設定'!$C$4,N(U3205),IF(OR(NOT(COUNTIF('商品マスタ'!$B$6:$B$1005,$W3206)=0),COUNTIFS('①在庫を貼る'!$V$6:$V$10005,$V3206,'①在庫を貼る'!$W$6:$W$10005,$W3206)&gt;0),N(U3205),N(U3205)+1))</f>
        <v/>
      </c>
      <c r="V3206" s="19">
        <f>IF($B3206="","",TEXT($B3206,"0000"))</f>
        <v/>
      </c>
      <c r="W3206" s="19">
        <f>IF($I3206="","",IF(ISNUMBER($I3206),TEXT($I3206,"0"),$I3206))</f>
        <v/>
      </c>
    </row>
    <row r="3207">
      <c r="B3207" s="25" t="n"/>
      <c r="I3207" s="25" t="n"/>
      <c r="U3207" s="19">
        <f>IF($V3207&lt;&gt;'設定'!$C$4,N(U3206),IF(OR(NOT(COUNTIF('商品マスタ'!$B$6:$B$1005,$W3207)=0),COUNTIFS('①在庫を貼る'!$V$6:$V$10005,$V3207,'①在庫を貼る'!$W$6:$W$10005,$W3207)&gt;0),N(U3206),N(U3206)+1))</f>
        <v/>
      </c>
      <c r="V3207" s="19">
        <f>IF($B3207="","",TEXT($B3207,"0000"))</f>
        <v/>
      </c>
      <c r="W3207" s="19">
        <f>IF($I3207="","",IF(ISNUMBER($I3207),TEXT($I3207,"0"),$I3207))</f>
        <v/>
      </c>
    </row>
    <row r="3208">
      <c r="B3208" s="25" t="n"/>
      <c r="I3208" s="25" t="n"/>
      <c r="U3208" s="19">
        <f>IF($V3208&lt;&gt;'設定'!$C$4,N(U3207),IF(OR(NOT(COUNTIF('商品マスタ'!$B$6:$B$1005,$W3208)=0),COUNTIFS('①在庫を貼る'!$V$6:$V$10005,$V3208,'①在庫を貼る'!$W$6:$W$10005,$W3208)&gt;0),N(U3207),N(U3207)+1))</f>
        <v/>
      </c>
      <c r="V3208" s="19">
        <f>IF($B3208="","",TEXT($B3208,"0000"))</f>
        <v/>
      </c>
      <c r="W3208" s="19">
        <f>IF($I3208="","",IF(ISNUMBER($I3208),TEXT($I3208,"0"),$I3208))</f>
        <v/>
      </c>
    </row>
    <row r="3209">
      <c r="B3209" s="25" t="n"/>
      <c r="I3209" s="25" t="n"/>
      <c r="U3209" s="19">
        <f>IF($V3209&lt;&gt;'設定'!$C$4,N(U3208),IF(OR(NOT(COUNTIF('商品マスタ'!$B$6:$B$1005,$W3209)=0),COUNTIFS('①在庫を貼る'!$V$6:$V$10005,$V3209,'①在庫を貼る'!$W$6:$W$10005,$W3209)&gt;0),N(U3208),N(U3208)+1))</f>
        <v/>
      </c>
      <c r="V3209" s="19">
        <f>IF($B3209="","",TEXT($B3209,"0000"))</f>
        <v/>
      </c>
      <c r="W3209" s="19">
        <f>IF($I3209="","",IF(ISNUMBER($I3209),TEXT($I3209,"0"),$I3209))</f>
        <v/>
      </c>
    </row>
    <row r="3210">
      <c r="B3210" s="25" t="n"/>
      <c r="I3210" s="25" t="n"/>
      <c r="U3210" s="19">
        <f>IF($V3210&lt;&gt;'設定'!$C$4,N(U3209),IF(OR(NOT(COUNTIF('商品マスタ'!$B$6:$B$1005,$W3210)=0),COUNTIFS('①在庫を貼る'!$V$6:$V$10005,$V3210,'①在庫を貼る'!$W$6:$W$10005,$W3210)&gt;0),N(U3209),N(U3209)+1))</f>
        <v/>
      </c>
      <c r="V3210" s="19">
        <f>IF($B3210="","",TEXT($B3210,"0000"))</f>
        <v/>
      </c>
      <c r="W3210" s="19">
        <f>IF($I3210="","",IF(ISNUMBER($I3210),TEXT($I3210,"0"),$I3210))</f>
        <v/>
      </c>
    </row>
    <row r="3211">
      <c r="B3211" s="25" t="n"/>
      <c r="I3211" s="25" t="n"/>
      <c r="U3211" s="19">
        <f>IF($V3211&lt;&gt;'設定'!$C$4,N(U3210),IF(OR(NOT(COUNTIF('商品マスタ'!$B$6:$B$1005,$W3211)=0),COUNTIFS('①在庫を貼る'!$V$6:$V$10005,$V3211,'①在庫を貼る'!$W$6:$W$10005,$W3211)&gt;0),N(U3210),N(U3210)+1))</f>
        <v/>
      </c>
      <c r="V3211" s="19">
        <f>IF($B3211="","",TEXT($B3211,"0000"))</f>
        <v/>
      </c>
      <c r="W3211" s="19">
        <f>IF($I3211="","",IF(ISNUMBER($I3211),TEXT($I3211,"0"),$I3211))</f>
        <v/>
      </c>
    </row>
    <row r="3212">
      <c r="B3212" s="25" t="n"/>
      <c r="I3212" s="25" t="n"/>
      <c r="U3212" s="19">
        <f>IF($V3212&lt;&gt;'設定'!$C$4,N(U3211),IF(OR(NOT(COUNTIF('商品マスタ'!$B$6:$B$1005,$W3212)=0),COUNTIFS('①在庫を貼る'!$V$6:$V$10005,$V3212,'①在庫を貼る'!$W$6:$W$10005,$W3212)&gt;0),N(U3211),N(U3211)+1))</f>
        <v/>
      </c>
      <c r="V3212" s="19">
        <f>IF($B3212="","",TEXT($B3212,"0000"))</f>
        <v/>
      </c>
      <c r="W3212" s="19">
        <f>IF($I3212="","",IF(ISNUMBER($I3212),TEXT($I3212,"0"),$I3212))</f>
        <v/>
      </c>
    </row>
    <row r="3213">
      <c r="B3213" s="25" t="n"/>
      <c r="I3213" s="25" t="n"/>
      <c r="U3213" s="19">
        <f>IF($V3213&lt;&gt;'設定'!$C$4,N(U3212),IF(OR(NOT(COUNTIF('商品マスタ'!$B$6:$B$1005,$W3213)=0),COUNTIFS('①在庫を貼る'!$V$6:$V$10005,$V3213,'①在庫を貼る'!$W$6:$W$10005,$W3213)&gt;0),N(U3212),N(U3212)+1))</f>
        <v/>
      </c>
      <c r="V3213" s="19">
        <f>IF($B3213="","",TEXT($B3213,"0000"))</f>
        <v/>
      </c>
      <c r="W3213" s="19">
        <f>IF($I3213="","",IF(ISNUMBER($I3213),TEXT($I3213,"0"),$I3213))</f>
        <v/>
      </c>
    </row>
    <row r="3214">
      <c r="B3214" s="25" t="n"/>
      <c r="I3214" s="25" t="n"/>
      <c r="U3214" s="19">
        <f>IF($V3214&lt;&gt;'設定'!$C$4,N(U3213),IF(OR(NOT(COUNTIF('商品マスタ'!$B$6:$B$1005,$W3214)=0),COUNTIFS('①在庫を貼る'!$V$6:$V$10005,$V3214,'①在庫を貼る'!$W$6:$W$10005,$W3214)&gt;0),N(U3213),N(U3213)+1))</f>
        <v/>
      </c>
      <c r="V3214" s="19">
        <f>IF($B3214="","",TEXT($B3214,"0000"))</f>
        <v/>
      </c>
      <c r="W3214" s="19">
        <f>IF($I3214="","",IF(ISNUMBER($I3214),TEXT($I3214,"0"),$I3214))</f>
        <v/>
      </c>
    </row>
    <row r="3215">
      <c r="B3215" s="25" t="n"/>
      <c r="I3215" s="25" t="n"/>
      <c r="U3215" s="19">
        <f>IF($V3215&lt;&gt;'設定'!$C$4,N(U3214),IF(OR(NOT(COUNTIF('商品マスタ'!$B$6:$B$1005,$W3215)=0),COUNTIFS('①在庫を貼る'!$V$6:$V$10005,$V3215,'①在庫を貼る'!$W$6:$W$10005,$W3215)&gt;0),N(U3214),N(U3214)+1))</f>
        <v/>
      </c>
      <c r="V3215" s="19">
        <f>IF($B3215="","",TEXT($B3215,"0000"))</f>
        <v/>
      </c>
      <c r="W3215" s="19">
        <f>IF($I3215="","",IF(ISNUMBER($I3215),TEXT($I3215,"0"),$I3215))</f>
        <v/>
      </c>
    </row>
    <row r="3216">
      <c r="B3216" s="25" t="n"/>
      <c r="I3216" s="25" t="n"/>
      <c r="U3216" s="19">
        <f>IF($V3216&lt;&gt;'設定'!$C$4,N(U3215),IF(OR(NOT(COUNTIF('商品マスタ'!$B$6:$B$1005,$W3216)=0),COUNTIFS('①在庫を貼る'!$V$6:$V$10005,$V3216,'①在庫を貼る'!$W$6:$W$10005,$W3216)&gt;0),N(U3215),N(U3215)+1))</f>
        <v/>
      </c>
      <c r="V3216" s="19">
        <f>IF($B3216="","",TEXT($B3216,"0000"))</f>
        <v/>
      </c>
      <c r="W3216" s="19">
        <f>IF($I3216="","",IF(ISNUMBER($I3216),TEXT($I3216,"0"),$I3216))</f>
        <v/>
      </c>
    </row>
    <row r="3217">
      <c r="B3217" s="25" t="n"/>
      <c r="I3217" s="25" t="n"/>
      <c r="U3217" s="19">
        <f>IF($V3217&lt;&gt;'設定'!$C$4,N(U3216),IF(OR(NOT(COUNTIF('商品マスタ'!$B$6:$B$1005,$W3217)=0),COUNTIFS('①在庫を貼る'!$V$6:$V$10005,$V3217,'①在庫を貼る'!$W$6:$W$10005,$W3217)&gt;0),N(U3216),N(U3216)+1))</f>
        <v/>
      </c>
      <c r="V3217" s="19">
        <f>IF($B3217="","",TEXT($B3217,"0000"))</f>
        <v/>
      </c>
      <c r="W3217" s="19">
        <f>IF($I3217="","",IF(ISNUMBER($I3217),TEXT($I3217,"0"),$I3217))</f>
        <v/>
      </c>
    </row>
    <row r="3218">
      <c r="B3218" s="25" t="n"/>
      <c r="I3218" s="25" t="n"/>
      <c r="U3218" s="19">
        <f>IF($V3218&lt;&gt;'設定'!$C$4,N(U3217),IF(OR(NOT(COUNTIF('商品マスタ'!$B$6:$B$1005,$W3218)=0),COUNTIFS('①在庫を貼る'!$V$6:$V$10005,$V3218,'①在庫を貼る'!$W$6:$W$10005,$W3218)&gt;0),N(U3217),N(U3217)+1))</f>
        <v/>
      </c>
      <c r="V3218" s="19">
        <f>IF($B3218="","",TEXT($B3218,"0000"))</f>
        <v/>
      </c>
      <c r="W3218" s="19">
        <f>IF($I3218="","",IF(ISNUMBER($I3218),TEXT($I3218,"0"),$I3218))</f>
        <v/>
      </c>
    </row>
    <row r="3219">
      <c r="B3219" s="25" t="n"/>
      <c r="I3219" s="25" t="n"/>
      <c r="U3219" s="19">
        <f>IF($V3219&lt;&gt;'設定'!$C$4,N(U3218),IF(OR(NOT(COUNTIF('商品マスタ'!$B$6:$B$1005,$W3219)=0),COUNTIFS('①在庫を貼る'!$V$6:$V$10005,$V3219,'①在庫を貼る'!$W$6:$W$10005,$W3219)&gt;0),N(U3218),N(U3218)+1))</f>
        <v/>
      </c>
      <c r="V3219" s="19">
        <f>IF($B3219="","",TEXT($B3219,"0000"))</f>
        <v/>
      </c>
      <c r="W3219" s="19">
        <f>IF($I3219="","",IF(ISNUMBER($I3219),TEXT($I3219,"0"),$I3219))</f>
        <v/>
      </c>
    </row>
    <row r="3220">
      <c r="B3220" s="25" t="n"/>
      <c r="I3220" s="25" t="n"/>
      <c r="U3220" s="19">
        <f>IF($V3220&lt;&gt;'設定'!$C$4,N(U3219),IF(OR(NOT(COUNTIF('商品マスタ'!$B$6:$B$1005,$W3220)=0),COUNTIFS('①在庫を貼る'!$V$6:$V$10005,$V3220,'①在庫を貼る'!$W$6:$W$10005,$W3220)&gt;0),N(U3219),N(U3219)+1))</f>
        <v/>
      </c>
      <c r="V3220" s="19">
        <f>IF($B3220="","",TEXT($B3220,"0000"))</f>
        <v/>
      </c>
      <c r="W3220" s="19">
        <f>IF($I3220="","",IF(ISNUMBER($I3220),TEXT($I3220,"0"),$I3220))</f>
        <v/>
      </c>
    </row>
    <row r="3221">
      <c r="B3221" s="25" t="n"/>
      <c r="I3221" s="25" t="n"/>
      <c r="U3221" s="19">
        <f>IF($V3221&lt;&gt;'設定'!$C$4,N(U3220),IF(OR(NOT(COUNTIF('商品マスタ'!$B$6:$B$1005,$W3221)=0),COUNTIFS('①在庫を貼る'!$V$6:$V$10005,$V3221,'①在庫を貼る'!$W$6:$W$10005,$W3221)&gt;0),N(U3220),N(U3220)+1))</f>
        <v/>
      </c>
      <c r="V3221" s="19">
        <f>IF($B3221="","",TEXT($B3221,"0000"))</f>
        <v/>
      </c>
      <c r="W3221" s="19">
        <f>IF($I3221="","",IF(ISNUMBER($I3221),TEXT($I3221,"0"),$I3221))</f>
        <v/>
      </c>
    </row>
    <row r="3222">
      <c r="B3222" s="25" t="n"/>
      <c r="I3222" s="25" t="n"/>
      <c r="U3222" s="19">
        <f>IF($V3222&lt;&gt;'設定'!$C$4,N(U3221),IF(OR(NOT(COUNTIF('商品マスタ'!$B$6:$B$1005,$W3222)=0),COUNTIFS('①在庫を貼る'!$V$6:$V$10005,$V3222,'①在庫を貼る'!$W$6:$W$10005,$W3222)&gt;0),N(U3221),N(U3221)+1))</f>
        <v/>
      </c>
      <c r="V3222" s="19">
        <f>IF($B3222="","",TEXT($B3222,"0000"))</f>
        <v/>
      </c>
      <c r="W3222" s="19">
        <f>IF($I3222="","",IF(ISNUMBER($I3222),TEXT($I3222,"0"),$I3222))</f>
        <v/>
      </c>
    </row>
    <row r="3223">
      <c r="B3223" s="25" t="n"/>
      <c r="I3223" s="25" t="n"/>
      <c r="U3223" s="19">
        <f>IF($V3223&lt;&gt;'設定'!$C$4,N(U3222),IF(OR(NOT(COUNTIF('商品マスタ'!$B$6:$B$1005,$W3223)=0),COUNTIFS('①在庫を貼る'!$V$6:$V$10005,$V3223,'①在庫を貼る'!$W$6:$W$10005,$W3223)&gt;0),N(U3222),N(U3222)+1))</f>
        <v/>
      </c>
      <c r="V3223" s="19">
        <f>IF($B3223="","",TEXT($B3223,"0000"))</f>
        <v/>
      </c>
      <c r="W3223" s="19">
        <f>IF($I3223="","",IF(ISNUMBER($I3223),TEXT($I3223,"0"),$I3223))</f>
        <v/>
      </c>
    </row>
    <row r="3224">
      <c r="B3224" s="25" t="n"/>
      <c r="I3224" s="25" t="n"/>
      <c r="U3224" s="19">
        <f>IF($V3224&lt;&gt;'設定'!$C$4,N(U3223),IF(OR(NOT(COUNTIF('商品マスタ'!$B$6:$B$1005,$W3224)=0),COUNTIFS('①在庫を貼る'!$V$6:$V$10005,$V3224,'①在庫を貼る'!$W$6:$W$10005,$W3224)&gt;0),N(U3223),N(U3223)+1))</f>
        <v/>
      </c>
      <c r="V3224" s="19">
        <f>IF($B3224="","",TEXT($B3224,"0000"))</f>
        <v/>
      </c>
      <c r="W3224" s="19">
        <f>IF($I3224="","",IF(ISNUMBER($I3224),TEXT($I3224,"0"),$I3224))</f>
        <v/>
      </c>
    </row>
    <row r="3225">
      <c r="B3225" s="25" t="n"/>
      <c r="I3225" s="25" t="n"/>
      <c r="U3225" s="19">
        <f>IF($V3225&lt;&gt;'設定'!$C$4,N(U3224),IF(OR(NOT(COUNTIF('商品マスタ'!$B$6:$B$1005,$W3225)=0),COUNTIFS('①在庫を貼る'!$V$6:$V$10005,$V3225,'①在庫を貼る'!$W$6:$W$10005,$W3225)&gt;0),N(U3224),N(U3224)+1))</f>
        <v/>
      </c>
      <c r="V3225" s="19">
        <f>IF($B3225="","",TEXT($B3225,"0000"))</f>
        <v/>
      </c>
      <c r="W3225" s="19">
        <f>IF($I3225="","",IF(ISNUMBER($I3225),TEXT($I3225,"0"),$I3225))</f>
        <v/>
      </c>
    </row>
    <row r="3226">
      <c r="B3226" s="25" t="n"/>
      <c r="I3226" s="25" t="n"/>
      <c r="U3226" s="19">
        <f>IF($V3226&lt;&gt;'設定'!$C$4,N(U3225),IF(OR(NOT(COUNTIF('商品マスタ'!$B$6:$B$1005,$W3226)=0),COUNTIFS('①在庫を貼る'!$V$6:$V$10005,$V3226,'①在庫を貼る'!$W$6:$W$10005,$W3226)&gt;0),N(U3225),N(U3225)+1))</f>
        <v/>
      </c>
      <c r="V3226" s="19">
        <f>IF($B3226="","",TEXT($B3226,"0000"))</f>
        <v/>
      </c>
      <c r="W3226" s="19">
        <f>IF($I3226="","",IF(ISNUMBER($I3226),TEXT($I3226,"0"),$I3226))</f>
        <v/>
      </c>
    </row>
    <row r="3227">
      <c r="B3227" s="25" t="n"/>
      <c r="I3227" s="25" t="n"/>
      <c r="U3227" s="19">
        <f>IF($V3227&lt;&gt;'設定'!$C$4,N(U3226),IF(OR(NOT(COUNTIF('商品マスタ'!$B$6:$B$1005,$W3227)=0),COUNTIFS('①在庫を貼る'!$V$6:$V$10005,$V3227,'①在庫を貼る'!$W$6:$W$10005,$W3227)&gt;0),N(U3226),N(U3226)+1))</f>
        <v/>
      </c>
      <c r="V3227" s="19">
        <f>IF($B3227="","",TEXT($B3227,"0000"))</f>
        <v/>
      </c>
      <c r="W3227" s="19">
        <f>IF($I3227="","",IF(ISNUMBER($I3227),TEXT($I3227,"0"),$I3227))</f>
        <v/>
      </c>
    </row>
    <row r="3228">
      <c r="B3228" s="25" t="n"/>
      <c r="I3228" s="25" t="n"/>
      <c r="U3228" s="19">
        <f>IF($V3228&lt;&gt;'設定'!$C$4,N(U3227),IF(OR(NOT(COUNTIF('商品マスタ'!$B$6:$B$1005,$W3228)=0),COUNTIFS('①在庫を貼る'!$V$6:$V$10005,$V3228,'①在庫を貼る'!$W$6:$W$10005,$W3228)&gt;0),N(U3227),N(U3227)+1))</f>
        <v/>
      </c>
      <c r="V3228" s="19">
        <f>IF($B3228="","",TEXT($B3228,"0000"))</f>
        <v/>
      </c>
      <c r="W3228" s="19">
        <f>IF($I3228="","",IF(ISNUMBER($I3228),TEXT($I3228,"0"),$I3228))</f>
        <v/>
      </c>
    </row>
    <row r="3229">
      <c r="B3229" s="25" t="n"/>
      <c r="I3229" s="25" t="n"/>
      <c r="U3229" s="19">
        <f>IF($V3229&lt;&gt;'設定'!$C$4,N(U3228),IF(OR(NOT(COUNTIF('商品マスタ'!$B$6:$B$1005,$W3229)=0),COUNTIFS('①在庫を貼る'!$V$6:$V$10005,$V3229,'①在庫を貼る'!$W$6:$W$10005,$W3229)&gt;0),N(U3228),N(U3228)+1))</f>
        <v/>
      </c>
      <c r="V3229" s="19">
        <f>IF($B3229="","",TEXT($B3229,"0000"))</f>
        <v/>
      </c>
      <c r="W3229" s="19">
        <f>IF($I3229="","",IF(ISNUMBER($I3229),TEXT($I3229,"0"),$I3229))</f>
        <v/>
      </c>
    </row>
    <row r="3230">
      <c r="B3230" s="25" t="n"/>
      <c r="I3230" s="25" t="n"/>
      <c r="U3230" s="19">
        <f>IF($V3230&lt;&gt;'設定'!$C$4,N(U3229),IF(OR(NOT(COUNTIF('商品マスタ'!$B$6:$B$1005,$W3230)=0),COUNTIFS('①在庫を貼る'!$V$6:$V$10005,$V3230,'①在庫を貼る'!$W$6:$W$10005,$W3230)&gt;0),N(U3229),N(U3229)+1))</f>
        <v/>
      </c>
      <c r="V3230" s="19">
        <f>IF($B3230="","",TEXT($B3230,"0000"))</f>
        <v/>
      </c>
      <c r="W3230" s="19">
        <f>IF($I3230="","",IF(ISNUMBER($I3230),TEXT($I3230,"0"),$I3230))</f>
        <v/>
      </c>
    </row>
    <row r="3231">
      <c r="B3231" s="25" t="n"/>
      <c r="I3231" s="25" t="n"/>
      <c r="U3231" s="19">
        <f>IF($V3231&lt;&gt;'設定'!$C$4,N(U3230),IF(OR(NOT(COUNTIF('商品マスタ'!$B$6:$B$1005,$W3231)=0),COUNTIFS('①在庫を貼る'!$V$6:$V$10005,$V3231,'①在庫を貼る'!$W$6:$W$10005,$W3231)&gt;0),N(U3230),N(U3230)+1))</f>
        <v/>
      </c>
      <c r="V3231" s="19">
        <f>IF($B3231="","",TEXT($B3231,"0000"))</f>
        <v/>
      </c>
      <c r="W3231" s="19">
        <f>IF($I3231="","",IF(ISNUMBER($I3231),TEXT($I3231,"0"),$I3231))</f>
        <v/>
      </c>
    </row>
    <row r="3232">
      <c r="B3232" s="25" t="n"/>
      <c r="I3232" s="25" t="n"/>
      <c r="U3232" s="19">
        <f>IF($V3232&lt;&gt;'設定'!$C$4,N(U3231),IF(OR(NOT(COUNTIF('商品マスタ'!$B$6:$B$1005,$W3232)=0),COUNTIFS('①在庫を貼る'!$V$6:$V$10005,$V3232,'①在庫を貼る'!$W$6:$W$10005,$W3232)&gt;0),N(U3231),N(U3231)+1))</f>
        <v/>
      </c>
      <c r="V3232" s="19">
        <f>IF($B3232="","",TEXT($B3232,"0000"))</f>
        <v/>
      </c>
      <c r="W3232" s="19">
        <f>IF($I3232="","",IF(ISNUMBER($I3232),TEXT($I3232,"0"),$I3232))</f>
        <v/>
      </c>
    </row>
    <row r="3233">
      <c r="B3233" s="25" t="n"/>
      <c r="I3233" s="25" t="n"/>
      <c r="U3233" s="19">
        <f>IF($V3233&lt;&gt;'設定'!$C$4,N(U3232),IF(OR(NOT(COUNTIF('商品マスタ'!$B$6:$B$1005,$W3233)=0),COUNTIFS('①在庫を貼る'!$V$6:$V$10005,$V3233,'①在庫を貼る'!$W$6:$W$10005,$W3233)&gt;0),N(U3232),N(U3232)+1))</f>
        <v/>
      </c>
      <c r="V3233" s="19">
        <f>IF($B3233="","",TEXT($B3233,"0000"))</f>
        <v/>
      </c>
      <c r="W3233" s="19">
        <f>IF($I3233="","",IF(ISNUMBER($I3233),TEXT($I3233,"0"),$I3233))</f>
        <v/>
      </c>
    </row>
    <row r="3234">
      <c r="B3234" s="25" t="n"/>
      <c r="I3234" s="25" t="n"/>
      <c r="U3234" s="19">
        <f>IF($V3234&lt;&gt;'設定'!$C$4,N(U3233),IF(OR(NOT(COUNTIF('商品マスタ'!$B$6:$B$1005,$W3234)=0),COUNTIFS('①在庫を貼る'!$V$6:$V$10005,$V3234,'①在庫を貼る'!$W$6:$W$10005,$W3234)&gt;0),N(U3233),N(U3233)+1))</f>
        <v/>
      </c>
      <c r="V3234" s="19">
        <f>IF($B3234="","",TEXT($B3234,"0000"))</f>
        <v/>
      </c>
      <c r="W3234" s="19">
        <f>IF($I3234="","",IF(ISNUMBER($I3234),TEXT($I3234,"0"),$I3234))</f>
        <v/>
      </c>
    </row>
    <row r="3235">
      <c r="B3235" s="25" t="n"/>
      <c r="I3235" s="25" t="n"/>
      <c r="U3235" s="19">
        <f>IF($V3235&lt;&gt;'設定'!$C$4,N(U3234),IF(OR(NOT(COUNTIF('商品マスタ'!$B$6:$B$1005,$W3235)=0),COUNTIFS('①在庫を貼る'!$V$6:$V$10005,$V3235,'①在庫を貼る'!$W$6:$W$10005,$W3235)&gt;0),N(U3234),N(U3234)+1))</f>
        <v/>
      </c>
      <c r="V3235" s="19">
        <f>IF($B3235="","",TEXT($B3235,"0000"))</f>
        <v/>
      </c>
      <c r="W3235" s="19">
        <f>IF($I3235="","",IF(ISNUMBER($I3235),TEXT($I3235,"0"),$I3235))</f>
        <v/>
      </c>
    </row>
    <row r="3236">
      <c r="B3236" s="25" t="n"/>
      <c r="I3236" s="25" t="n"/>
      <c r="U3236" s="19">
        <f>IF($V3236&lt;&gt;'設定'!$C$4,N(U3235),IF(OR(NOT(COUNTIF('商品マスタ'!$B$6:$B$1005,$W3236)=0),COUNTIFS('①在庫を貼る'!$V$6:$V$10005,$V3236,'①在庫を貼る'!$W$6:$W$10005,$W3236)&gt;0),N(U3235),N(U3235)+1))</f>
        <v/>
      </c>
      <c r="V3236" s="19">
        <f>IF($B3236="","",TEXT($B3236,"0000"))</f>
        <v/>
      </c>
      <c r="W3236" s="19">
        <f>IF($I3236="","",IF(ISNUMBER($I3236),TEXT($I3236,"0"),$I3236))</f>
        <v/>
      </c>
    </row>
    <row r="3237">
      <c r="B3237" s="25" t="n"/>
      <c r="I3237" s="25" t="n"/>
      <c r="U3237" s="19">
        <f>IF($V3237&lt;&gt;'設定'!$C$4,N(U3236),IF(OR(NOT(COUNTIF('商品マスタ'!$B$6:$B$1005,$W3237)=0),COUNTIFS('①在庫を貼る'!$V$6:$V$10005,$V3237,'①在庫を貼る'!$W$6:$W$10005,$W3237)&gt;0),N(U3236),N(U3236)+1))</f>
        <v/>
      </c>
      <c r="V3237" s="19">
        <f>IF($B3237="","",TEXT($B3237,"0000"))</f>
        <v/>
      </c>
      <c r="W3237" s="19">
        <f>IF($I3237="","",IF(ISNUMBER($I3237),TEXT($I3237,"0"),$I3237))</f>
        <v/>
      </c>
    </row>
    <row r="3238">
      <c r="B3238" s="25" t="n"/>
      <c r="I3238" s="25" t="n"/>
      <c r="U3238" s="19">
        <f>IF($V3238&lt;&gt;'設定'!$C$4,N(U3237),IF(OR(NOT(COUNTIF('商品マスタ'!$B$6:$B$1005,$W3238)=0),COUNTIFS('①在庫を貼る'!$V$6:$V$10005,$V3238,'①在庫を貼る'!$W$6:$W$10005,$W3238)&gt;0),N(U3237),N(U3237)+1))</f>
        <v/>
      </c>
      <c r="V3238" s="19">
        <f>IF($B3238="","",TEXT($B3238,"0000"))</f>
        <v/>
      </c>
      <c r="W3238" s="19">
        <f>IF($I3238="","",IF(ISNUMBER($I3238),TEXT($I3238,"0"),$I3238))</f>
        <v/>
      </c>
    </row>
    <row r="3239">
      <c r="B3239" s="25" t="n"/>
      <c r="I3239" s="25" t="n"/>
      <c r="U3239" s="19">
        <f>IF($V3239&lt;&gt;'設定'!$C$4,N(U3238),IF(OR(NOT(COUNTIF('商品マスタ'!$B$6:$B$1005,$W3239)=0),COUNTIFS('①在庫を貼る'!$V$6:$V$10005,$V3239,'①在庫を貼る'!$W$6:$W$10005,$W3239)&gt;0),N(U3238),N(U3238)+1))</f>
        <v/>
      </c>
      <c r="V3239" s="19">
        <f>IF($B3239="","",TEXT($B3239,"0000"))</f>
        <v/>
      </c>
      <c r="W3239" s="19">
        <f>IF($I3239="","",IF(ISNUMBER($I3239),TEXT($I3239,"0"),$I3239))</f>
        <v/>
      </c>
    </row>
    <row r="3240">
      <c r="B3240" s="25" t="n"/>
      <c r="I3240" s="25" t="n"/>
      <c r="U3240" s="19">
        <f>IF($V3240&lt;&gt;'設定'!$C$4,N(U3239),IF(OR(NOT(COUNTIF('商品マスタ'!$B$6:$B$1005,$W3240)=0),COUNTIFS('①在庫を貼る'!$V$6:$V$10005,$V3240,'①在庫を貼る'!$W$6:$W$10005,$W3240)&gt;0),N(U3239),N(U3239)+1))</f>
        <v/>
      </c>
      <c r="V3240" s="19">
        <f>IF($B3240="","",TEXT($B3240,"0000"))</f>
        <v/>
      </c>
      <c r="W3240" s="19">
        <f>IF($I3240="","",IF(ISNUMBER($I3240),TEXT($I3240,"0"),$I3240))</f>
        <v/>
      </c>
    </row>
    <row r="3241">
      <c r="B3241" s="25" t="n"/>
      <c r="I3241" s="25" t="n"/>
      <c r="U3241" s="19">
        <f>IF($V3241&lt;&gt;'設定'!$C$4,N(U3240),IF(OR(NOT(COUNTIF('商品マスタ'!$B$6:$B$1005,$W3241)=0),COUNTIFS('①在庫を貼る'!$V$6:$V$10005,$V3241,'①在庫を貼る'!$W$6:$W$10005,$W3241)&gt;0),N(U3240),N(U3240)+1))</f>
        <v/>
      </c>
      <c r="V3241" s="19">
        <f>IF($B3241="","",TEXT($B3241,"0000"))</f>
        <v/>
      </c>
      <c r="W3241" s="19">
        <f>IF($I3241="","",IF(ISNUMBER($I3241),TEXT($I3241,"0"),$I3241))</f>
        <v/>
      </c>
    </row>
    <row r="3242">
      <c r="B3242" s="25" t="n"/>
      <c r="I3242" s="25" t="n"/>
      <c r="U3242" s="19">
        <f>IF($V3242&lt;&gt;'設定'!$C$4,N(U3241),IF(OR(NOT(COUNTIF('商品マスタ'!$B$6:$B$1005,$W3242)=0),COUNTIFS('①在庫を貼る'!$V$6:$V$10005,$V3242,'①在庫を貼る'!$W$6:$W$10005,$W3242)&gt;0),N(U3241),N(U3241)+1))</f>
        <v/>
      </c>
      <c r="V3242" s="19">
        <f>IF($B3242="","",TEXT($B3242,"0000"))</f>
        <v/>
      </c>
      <c r="W3242" s="19">
        <f>IF($I3242="","",IF(ISNUMBER($I3242),TEXT($I3242,"0"),$I3242))</f>
        <v/>
      </c>
    </row>
    <row r="3243">
      <c r="B3243" s="25" t="n"/>
      <c r="I3243" s="25" t="n"/>
      <c r="U3243" s="19">
        <f>IF($V3243&lt;&gt;'設定'!$C$4,N(U3242),IF(OR(NOT(COUNTIF('商品マスタ'!$B$6:$B$1005,$W3243)=0),COUNTIFS('①在庫を貼る'!$V$6:$V$10005,$V3243,'①在庫を貼る'!$W$6:$W$10005,$W3243)&gt;0),N(U3242),N(U3242)+1))</f>
        <v/>
      </c>
      <c r="V3243" s="19">
        <f>IF($B3243="","",TEXT($B3243,"0000"))</f>
        <v/>
      </c>
      <c r="W3243" s="19">
        <f>IF($I3243="","",IF(ISNUMBER($I3243),TEXT($I3243,"0"),$I3243))</f>
        <v/>
      </c>
    </row>
    <row r="3244">
      <c r="B3244" s="25" t="n"/>
      <c r="I3244" s="25" t="n"/>
      <c r="U3244" s="19">
        <f>IF($V3244&lt;&gt;'設定'!$C$4,N(U3243),IF(OR(NOT(COUNTIF('商品マスタ'!$B$6:$B$1005,$W3244)=0),COUNTIFS('①在庫を貼る'!$V$6:$V$10005,$V3244,'①在庫を貼る'!$W$6:$W$10005,$W3244)&gt;0),N(U3243),N(U3243)+1))</f>
        <v/>
      </c>
      <c r="V3244" s="19">
        <f>IF($B3244="","",TEXT($B3244,"0000"))</f>
        <v/>
      </c>
      <c r="W3244" s="19">
        <f>IF($I3244="","",IF(ISNUMBER($I3244),TEXT($I3244,"0"),$I3244))</f>
        <v/>
      </c>
    </row>
    <row r="3245">
      <c r="B3245" s="25" t="n"/>
      <c r="I3245" s="25" t="n"/>
      <c r="U3245" s="19">
        <f>IF($V3245&lt;&gt;'設定'!$C$4,N(U3244),IF(OR(NOT(COUNTIF('商品マスタ'!$B$6:$B$1005,$W3245)=0),COUNTIFS('①在庫を貼る'!$V$6:$V$10005,$V3245,'①在庫を貼る'!$W$6:$W$10005,$W3245)&gt;0),N(U3244),N(U3244)+1))</f>
        <v/>
      </c>
      <c r="V3245" s="19">
        <f>IF($B3245="","",TEXT($B3245,"0000"))</f>
        <v/>
      </c>
      <c r="W3245" s="19">
        <f>IF($I3245="","",IF(ISNUMBER($I3245),TEXT($I3245,"0"),$I3245))</f>
        <v/>
      </c>
    </row>
    <row r="3246">
      <c r="B3246" s="25" t="n"/>
      <c r="I3246" s="25" t="n"/>
      <c r="U3246" s="19">
        <f>IF($V3246&lt;&gt;'設定'!$C$4,N(U3245),IF(OR(NOT(COUNTIF('商品マスタ'!$B$6:$B$1005,$W3246)=0),COUNTIFS('①在庫を貼る'!$V$6:$V$10005,$V3246,'①在庫を貼る'!$W$6:$W$10005,$W3246)&gt;0),N(U3245),N(U3245)+1))</f>
        <v/>
      </c>
      <c r="V3246" s="19">
        <f>IF($B3246="","",TEXT($B3246,"0000"))</f>
        <v/>
      </c>
      <c r="W3246" s="19">
        <f>IF($I3246="","",IF(ISNUMBER($I3246),TEXT($I3246,"0"),$I3246))</f>
        <v/>
      </c>
    </row>
    <row r="3247">
      <c r="B3247" s="25" t="n"/>
      <c r="I3247" s="25" t="n"/>
      <c r="U3247" s="19">
        <f>IF($V3247&lt;&gt;'設定'!$C$4,N(U3246),IF(OR(NOT(COUNTIF('商品マスタ'!$B$6:$B$1005,$W3247)=0),COUNTIFS('①在庫を貼る'!$V$6:$V$10005,$V3247,'①在庫を貼る'!$W$6:$W$10005,$W3247)&gt;0),N(U3246),N(U3246)+1))</f>
        <v/>
      </c>
      <c r="V3247" s="19">
        <f>IF($B3247="","",TEXT($B3247,"0000"))</f>
        <v/>
      </c>
      <c r="W3247" s="19">
        <f>IF($I3247="","",IF(ISNUMBER($I3247),TEXT($I3247,"0"),$I3247))</f>
        <v/>
      </c>
    </row>
    <row r="3248">
      <c r="B3248" s="25" t="n"/>
      <c r="I3248" s="25" t="n"/>
      <c r="U3248" s="19">
        <f>IF($V3248&lt;&gt;'設定'!$C$4,N(U3247),IF(OR(NOT(COUNTIF('商品マスタ'!$B$6:$B$1005,$W3248)=0),COUNTIFS('①在庫を貼る'!$V$6:$V$10005,$V3248,'①在庫を貼る'!$W$6:$W$10005,$W3248)&gt;0),N(U3247),N(U3247)+1))</f>
        <v/>
      </c>
      <c r="V3248" s="19">
        <f>IF($B3248="","",TEXT($B3248,"0000"))</f>
        <v/>
      </c>
      <c r="W3248" s="19">
        <f>IF($I3248="","",IF(ISNUMBER($I3248),TEXT($I3248,"0"),$I3248))</f>
        <v/>
      </c>
    </row>
    <row r="3249">
      <c r="B3249" s="25" t="n"/>
      <c r="I3249" s="25" t="n"/>
      <c r="U3249" s="19">
        <f>IF($V3249&lt;&gt;'設定'!$C$4,N(U3248),IF(OR(NOT(COUNTIF('商品マスタ'!$B$6:$B$1005,$W3249)=0),COUNTIFS('①在庫を貼る'!$V$6:$V$10005,$V3249,'①在庫を貼る'!$W$6:$W$10005,$W3249)&gt;0),N(U3248),N(U3248)+1))</f>
        <v/>
      </c>
      <c r="V3249" s="19">
        <f>IF($B3249="","",TEXT($B3249,"0000"))</f>
        <v/>
      </c>
      <c r="W3249" s="19">
        <f>IF($I3249="","",IF(ISNUMBER($I3249),TEXT($I3249,"0"),$I3249))</f>
        <v/>
      </c>
    </row>
    <row r="3250">
      <c r="B3250" s="25" t="n"/>
      <c r="I3250" s="25" t="n"/>
      <c r="U3250" s="19">
        <f>IF($V3250&lt;&gt;'設定'!$C$4,N(U3249),IF(OR(NOT(COUNTIF('商品マスタ'!$B$6:$B$1005,$W3250)=0),COUNTIFS('①在庫を貼る'!$V$6:$V$10005,$V3250,'①在庫を貼る'!$W$6:$W$10005,$W3250)&gt;0),N(U3249),N(U3249)+1))</f>
        <v/>
      </c>
      <c r="V3250" s="19">
        <f>IF($B3250="","",TEXT($B3250,"0000"))</f>
        <v/>
      </c>
      <c r="W3250" s="19">
        <f>IF($I3250="","",IF(ISNUMBER($I3250),TEXT($I3250,"0"),$I3250))</f>
        <v/>
      </c>
    </row>
    <row r="3251">
      <c r="B3251" s="25" t="n"/>
      <c r="I3251" s="25" t="n"/>
      <c r="U3251" s="19">
        <f>IF($V3251&lt;&gt;'設定'!$C$4,N(U3250),IF(OR(NOT(COUNTIF('商品マスタ'!$B$6:$B$1005,$W3251)=0),COUNTIFS('①在庫を貼る'!$V$6:$V$10005,$V3251,'①在庫を貼る'!$W$6:$W$10005,$W3251)&gt;0),N(U3250),N(U3250)+1))</f>
        <v/>
      </c>
      <c r="V3251" s="19">
        <f>IF($B3251="","",TEXT($B3251,"0000"))</f>
        <v/>
      </c>
      <c r="W3251" s="19">
        <f>IF($I3251="","",IF(ISNUMBER($I3251),TEXT($I3251,"0"),$I3251))</f>
        <v/>
      </c>
    </row>
    <row r="3252">
      <c r="B3252" s="25" t="n"/>
      <c r="I3252" s="25" t="n"/>
      <c r="U3252" s="19">
        <f>IF($V3252&lt;&gt;'設定'!$C$4,N(U3251),IF(OR(NOT(COUNTIF('商品マスタ'!$B$6:$B$1005,$W3252)=0),COUNTIFS('①在庫を貼る'!$V$6:$V$10005,$V3252,'①在庫を貼る'!$W$6:$W$10005,$W3252)&gt;0),N(U3251),N(U3251)+1))</f>
        <v/>
      </c>
      <c r="V3252" s="19">
        <f>IF($B3252="","",TEXT($B3252,"0000"))</f>
        <v/>
      </c>
      <c r="W3252" s="19">
        <f>IF($I3252="","",IF(ISNUMBER($I3252),TEXT($I3252,"0"),$I3252))</f>
        <v/>
      </c>
    </row>
    <row r="3253">
      <c r="B3253" s="25" t="n"/>
      <c r="I3253" s="25" t="n"/>
      <c r="U3253" s="19">
        <f>IF($V3253&lt;&gt;'設定'!$C$4,N(U3252),IF(OR(NOT(COUNTIF('商品マスタ'!$B$6:$B$1005,$W3253)=0),COUNTIFS('①在庫を貼る'!$V$6:$V$10005,$V3253,'①在庫を貼る'!$W$6:$W$10005,$W3253)&gt;0),N(U3252),N(U3252)+1))</f>
        <v/>
      </c>
      <c r="V3253" s="19">
        <f>IF($B3253="","",TEXT($B3253,"0000"))</f>
        <v/>
      </c>
      <c r="W3253" s="19">
        <f>IF($I3253="","",IF(ISNUMBER($I3253),TEXT($I3253,"0"),$I3253))</f>
        <v/>
      </c>
    </row>
    <row r="3254">
      <c r="B3254" s="25" t="n"/>
      <c r="I3254" s="25" t="n"/>
      <c r="U3254" s="19">
        <f>IF($V3254&lt;&gt;'設定'!$C$4,N(U3253),IF(OR(NOT(COUNTIF('商品マスタ'!$B$6:$B$1005,$W3254)=0),COUNTIFS('①在庫を貼る'!$V$6:$V$10005,$V3254,'①在庫を貼る'!$W$6:$W$10005,$W3254)&gt;0),N(U3253),N(U3253)+1))</f>
        <v/>
      </c>
      <c r="V3254" s="19">
        <f>IF($B3254="","",TEXT($B3254,"0000"))</f>
        <v/>
      </c>
      <c r="W3254" s="19">
        <f>IF($I3254="","",IF(ISNUMBER($I3254),TEXT($I3254,"0"),$I3254))</f>
        <v/>
      </c>
    </row>
    <row r="3255">
      <c r="B3255" s="25" t="n"/>
      <c r="I3255" s="25" t="n"/>
      <c r="U3255" s="19">
        <f>IF($V3255&lt;&gt;'設定'!$C$4,N(U3254),IF(OR(NOT(COUNTIF('商品マスタ'!$B$6:$B$1005,$W3255)=0),COUNTIFS('①在庫を貼る'!$V$6:$V$10005,$V3255,'①在庫を貼る'!$W$6:$W$10005,$W3255)&gt;0),N(U3254),N(U3254)+1))</f>
        <v/>
      </c>
      <c r="V3255" s="19">
        <f>IF($B3255="","",TEXT($B3255,"0000"))</f>
        <v/>
      </c>
      <c r="W3255" s="19">
        <f>IF($I3255="","",IF(ISNUMBER($I3255),TEXT($I3255,"0"),$I3255))</f>
        <v/>
      </c>
    </row>
    <row r="3256">
      <c r="B3256" s="25" t="n"/>
      <c r="I3256" s="25" t="n"/>
      <c r="U3256" s="19">
        <f>IF($V3256&lt;&gt;'設定'!$C$4,N(U3255),IF(OR(NOT(COUNTIF('商品マスタ'!$B$6:$B$1005,$W3256)=0),COUNTIFS('①在庫を貼る'!$V$6:$V$10005,$V3256,'①在庫を貼る'!$W$6:$W$10005,$W3256)&gt;0),N(U3255),N(U3255)+1))</f>
        <v/>
      </c>
      <c r="V3256" s="19">
        <f>IF($B3256="","",TEXT($B3256,"0000"))</f>
        <v/>
      </c>
      <c r="W3256" s="19">
        <f>IF($I3256="","",IF(ISNUMBER($I3256),TEXT($I3256,"0"),$I3256))</f>
        <v/>
      </c>
    </row>
    <row r="3257">
      <c r="B3257" s="25" t="n"/>
      <c r="I3257" s="25" t="n"/>
      <c r="U3257" s="19">
        <f>IF($V3257&lt;&gt;'設定'!$C$4,N(U3256),IF(OR(NOT(COUNTIF('商品マスタ'!$B$6:$B$1005,$W3257)=0),COUNTIFS('①在庫を貼る'!$V$6:$V$10005,$V3257,'①在庫を貼る'!$W$6:$W$10005,$W3257)&gt;0),N(U3256),N(U3256)+1))</f>
        <v/>
      </c>
      <c r="V3257" s="19">
        <f>IF($B3257="","",TEXT($B3257,"0000"))</f>
        <v/>
      </c>
      <c r="W3257" s="19">
        <f>IF($I3257="","",IF(ISNUMBER($I3257),TEXT($I3257,"0"),$I3257))</f>
        <v/>
      </c>
    </row>
    <row r="3258">
      <c r="B3258" s="25" t="n"/>
      <c r="I3258" s="25" t="n"/>
      <c r="U3258" s="19">
        <f>IF($V3258&lt;&gt;'設定'!$C$4,N(U3257),IF(OR(NOT(COUNTIF('商品マスタ'!$B$6:$B$1005,$W3258)=0),COUNTIFS('①在庫を貼る'!$V$6:$V$10005,$V3258,'①在庫を貼る'!$W$6:$W$10005,$W3258)&gt;0),N(U3257),N(U3257)+1))</f>
        <v/>
      </c>
      <c r="V3258" s="19">
        <f>IF($B3258="","",TEXT($B3258,"0000"))</f>
        <v/>
      </c>
      <c r="W3258" s="19">
        <f>IF($I3258="","",IF(ISNUMBER($I3258),TEXT($I3258,"0"),$I3258))</f>
        <v/>
      </c>
    </row>
    <row r="3259">
      <c r="B3259" s="25" t="n"/>
      <c r="I3259" s="25" t="n"/>
      <c r="U3259" s="19">
        <f>IF($V3259&lt;&gt;'設定'!$C$4,N(U3258),IF(OR(NOT(COUNTIF('商品マスタ'!$B$6:$B$1005,$W3259)=0),COUNTIFS('①在庫を貼る'!$V$6:$V$10005,$V3259,'①在庫を貼る'!$W$6:$W$10005,$W3259)&gt;0),N(U3258),N(U3258)+1))</f>
        <v/>
      </c>
      <c r="V3259" s="19">
        <f>IF($B3259="","",TEXT($B3259,"0000"))</f>
        <v/>
      </c>
      <c r="W3259" s="19">
        <f>IF($I3259="","",IF(ISNUMBER($I3259),TEXT($I3259,"0"),$I3259))</f>
        <v/>
      </c>
    </row>
    <row r="3260">
      <c r="B3260" s="25" t="n"/>
      <c r="I3260" s="25" t="n"/>
      <c r="U3260" s="19">
        <f>IF($V3260&lt;&gt;'設定'!$C$4,N(U3259),IF(OR(NOT(COUNTIF('商品マスタ'!$B$6:$B$1005,$W3260)=0),COUNTIFS('①在庫を貼る'!$V$6:$V$10005,$V3260,'①在庫を貼る'!$W$6:$W$10005,$W3260)&gt;0),N(U3259),N(U3259)+1))</f>
        <v/>
      </c>
      <c r="V3260" s="19">
        <f>IF($B3260="","",TEXT($B3260,"0000"))</f>
        <v/>
      </c>
      <c r="W3260" s="19">
        <f>IF($I3260="","",IF(ISNUMBER($I3260),TEXT($I3260,"0"),$I3260))</f>
        <v/>
      </c>
    </row>
    <row r="3261">
      <c r="B3261" s="25" t="n"/>
      <c r="I3261" s="25" t="n"/>
      <c r="U3261" s="19">
        <f>IF($V3261&lt;&gt;'設定'!$C$4,N(U3260),IF(OR(NOT(COUNTIF('商品マスタ'!$B$6:$B$1005,$W3261)=0),COUNTIFS('①在庫を貼る'!$V$6:$V$10005,$V3261,'①在庫を貼る'!$W$6:$W$10005,$W3261)&gt;0),N(U3260),N(U3260)+1))</f>
        <v/>
      </c>
      <c r="V3261" s="19">
        <f>IF($B3261="","",TEXT($B3261,"0000"))</f>
        <v/>
      </c>
      <c r="W3261" s="19">
        <f>IF($I3261="","",IF(ISNUMBER($I3261),TEXT($I3261,"0"),$I3261))</f>
        <v/>
      </c>
    </row>
    <row r="3262">
      <c r="B3262" s="25" t="n"/>
      <c r="I3262" s="25" t="n"/>
      <c r="U3262" s="19">
        <f>IF($V3262&lt;&gt;'設定'!$C$4,N(U3261),IF(OR(NOT(COUNTIF('商品マスタ'!$B$6:$B$1005,$W3262)=0),COUNTIFS('①在庫を貼る'!$V$6:$V$10005,$V3262,'①在庫を貼る'!$W$6:$W$10005,$W3262)&gt;0),N(U3261),N(U3261)+1))</f>
        <v/>
      </c>
      <c r="V3262" s="19">
        <f>IF($B3262="","",TEXT($B3262,"0000"))</f>
        <v/>
      </c>
      <c r="W3262" s="19">
        <f>IF($I3262="","",IF(ISNUMBER($I3262),TEXT($I3262,"0"),$I3262))</f>
        <v/>
      </c>
    </row>
    <row r="3263">
      <c r="B3263" s="25" t="n"/>
      <c r="I3263" s="25" t="n"/>
      <c r="U3263" s="19">
        <f>IF($V3263&lt;&gt;'設定'!$C$4,N(U3262),IF(OR(NOT(COUNTIF('商品マスタ'!$B$6:$B$1005,$W3263)=0),COUNTIFS('①在庫を貼る'!$V$6:$V$10005,$V3263,'①在庫を貼る'!$W$6:$W$10005,$W3263)&gt;0),N(U3262),N(U3262)+1))</f>
        <v/>
      </c>
      <c r="V3263" s="19">
        <f>IF($B3263="","",TEXT($B3263,"0000"))</f>
        <v/>
      </c>
      <c r="W3263" s="19">
        <f>IF($I3263="","",IF(ISNUMBER($I3263),TEXT($I3263,"0"),$I3263))</f>
        <v/>
      </c>
    </row>
    <row r="3264">
      <c r="B3264" s="25" t="n"/>
      <c r="I3264" s="25" t="n"/>
      <c r="U3264" s="19">
        <f>IF($V3264&lt;&gt;'設定'!$C$4,N(U3263),IF(OR(NOT(COUNTIF('商品マスタ'!$B$6:$B$1005,$W3264)=0),COUNTIFS('①在庫を貼る'!$V$6:$V$10005,$V3264,'①在庫を貼る'!$W$6:$W$10005,$W3264)&gt;0),N(U3263),N(U3263)+1))</f>
        <v/>
      </c>
      <c r="V3264" s="19">
        <f>IF($B3264="","",TEXT($B3264,"0000"))</f>
        <v/>
      </c>
      <c r="W3264" s="19">
        <f>IF($I3264="","",IF(ISNUMBER($I3264),TEXT($I3264,"0"),$I3264))</f>
        <v/>
      </c>
    </row>
    <row r="3265">
      <c r="B3265" s="25" t="n"/>
      <c r="I3265" s="25" t="n"/>
      <c r="U3265" s="19">
        <f>IF($V3265&lt;&gt;'設定'!$C$4,N(U3264),IF(OR(NOT(COUNTIF('商品マスタ'!$B$6:$B$1005,$W3265)=0),COUNTIFS('①在庫を貼る'!$V$6:$V$10005,$V3265,'①在庫を貼る'!$W$6:$W$10005,$W3265)&gt;0),N(U3264),N(U3264)+1))</f>
        <v/>
      </c>
      <c r="V3265" s="19">
        <f>IF($B3265="","",TEXT($B3265,"0000"))</f>
        <v/>
      </c>
      <c r="W3265" s="19">
        <f>IF($I3265="","",IF(ISNUMBER($I3265),TEXT($I3265,"0"),$I3265))</f>
        <v/>
      </c>
    </row>
    <row r="3266">
      <c r="B3266" s="25" t="n"/>
      <c r="I3266" s="25" t="n"/>
      <c r="U3266" s="19">
        <f>IF($V3266&lt;&gt;'設定'!$C$4,N(U3265),IF(OR(NOT(COUNTIF('商品マスタ'!$B$6:$B$1005,$W3266)=0),COUNTIFS('①在庫を貼る'!$V$6:$V$10005,$V3266,'①在庫を貼る'!$W$6:$W$10005,$W3266)&gt;0),N(U3265),N(U3265)+1))</f>
        <v/>
      </c>
      <c r="V3266" s="19">
        <f>IF($B3266="","",TEXT($B3266,"0000"))</f>
        <v/>
      </c>
      <c r="W3266" s="19">
        <f>IF($I3266="","",IF(ISNUMBER($I3266),TEXT($I3266,"0"),$I3266))</f>
        <v/>
      </c>
    </row>
    <row r="3267">
      <c r="B3267" s="25" t="n"/>
      <c r="I3267" s="25" t="n"/>
      <c r="U3267" s="19">
        <f>IF($V3267&lt;&gt;'設定'!$C$4,N(U3266),IF(OR(NOT(COUNTIF('商品マスタ'!$B$6:$B$1005,$W3267)=0),COUNTIFS('①在庫を貼る'!$V$6:$V$10005,$V3267,'①在庫を貼る'!$W$6:$W$10005,$W3267)&gt;0),N(U3266),N(U3266)+1))</f>
        <v/>
      </c>
      <c r="V3267" s="19">
        <f>IF($B3267="","",TEXT($B3267,"0000"))</f>
        <v/>
      </c>
      <c r="W3267" s="19">
        <f>IF($I3267="","",IF(ISNUMBER($I3267),TEXT($I3267,"0"),$I3267))</f>
        <v/>
      </c>
    </row>
    <row r="3268">
      <c r="B3268" s="25" t="n"/>
      <c r="I3268" s="25" t="n"/>
      <c r="U3268" s="19">
        <f>IF($V3268&lt;&gt;'設定'!$C$4,N(U3267),IF(OR(NOT(COUNTIF('商品マスタ'!$B$6:$B$1005,$W3268)=0),COUNTIFS('①在庫を貼る'!$V$6:$V$10005,$V3268,'①在庫を貼る'!$W$6:$W$10005,$W3268)&gt;0),N(U3267),N(U3267)+1))</f>
        <v/>
      </c>
      <c r="V3268" s="19">
        <f>IF($B3268="","",TEXT($B3268,"0000"))</f>
        <v/>
      </c>
      <c r="W3268" s="19">
        <f>IF($I3268="","",IF(ISNUMBER($I3268),TEXT($I3268,"0"),$I3268))</f>
        <v/>
      </c>
    </row>
    <row r="3269">
      <c r="B3269" s="25" t="n"/>
      <c r="I3269" s="25" t="n"/>
      <c r="U3269" s="19">
        <f>IF($V3269&lt;&gt;'設定'!$C$4,N(U3268),IF(OR(NOT(COUNTIF('商品マスタ'!$B$6:$B$1005,$W3269)=0),COUNTIFS('①在庫を貼る'!$V$6:$V$10005,$V3269,'①在庫を貼る'!$W$6:$W$10005,$W3269)&gt;0),N(U3268),N(U3268)+1))</f>
        <v/>
      </c>
      <c r="V3269" s="19">
        <f>IF($B3269="","",TEXT($B3269,"0000"))</f>
        <v/>
      </c>
      <c r="W3269" s="19">
        <f>IF($I3269="","",IF(ISNUMBER($I3269),TEXT($I3269,"0"),$I3269))</f>
        <v/>
      </c>
    </row>
    <row r="3270">
      <c r="B3270" s="25" t="n"/>
      <c r="I3270" s="25" t="n"/>
      <c r="U3270" s="19">
        <f>IF($V3270&lt;&gt;'設定'!$C$4,N(U3269),IF(OR(NOT(COUNTIF('商品マスタ'!$B$6:$B$1005,$W3270)=0),COUNTIFS('①在庫を貼る'!$V$6:$V$10005,$V3270,'①在庫を貼る'!$W$6:$W$10005,$W3270)&gt;0),N(U3269),N(U3269)+1))</f>
        <v/>
      </c>
      <c r="V3270" s="19">
        <f>IF($B3270="","",TEXT($B3270,"0000"))</f>
        <v/>
      </c>
      <c r="W3270" s="19">
        <f>IF($I3270="","",IF(ISNUMBER($I3270),TEXT($I3270,"0"),$I3270))</f>
        <v/>
      </c>
    </row>
    <row r="3271">
      <c r="B3271" s="25" t="n"/>
      <c r="I3271" s="25" t="n"/>
      <c r="U3271" s="19">
        <f>IF($V3271&lt;&gt;'設定'!$C$4,N(U3270),IF(OR(NOT(COUNTIF('商品マスタ'!$B$6:$B$1005,$W3271)=0),COUNTIFS('①在庫を貼る'!$V$6:$V$10005,$V3271,'①在庫を貼る'!$W$6:$W$10005,$W3271)&gt;0),N(U3270),N(U3270)+1))</f>
        <v/>
      </c>
      <c r="V3271" s="19">
        <f>IF($B3271="","",TEXT($B3271,"0000"))</f>
        <v/>
      </c>
      <c r="W3271" s="19">
        <f>IF($I3271="","",IF(ISNUMBER($I3271),TEXT($I3271,"0"),$I3271))</f>
        <v/>
      </c>
    </row>
    <row r="3272">
      <c r="B3272" s="25" t="n"/>
      <c r="I3272" s="25" t="n"/>
      <c r="U3272" s="19">
        <f>IF($V3272&lt;&gt;'設定'!$C$4,N(U3271),IF(OR(NOT(COUNTIF('商品マスタ'!$B$6:$B$1005,$W3272)=0),COUNTIFS('①在庫を貼る'!$V$6:$V$10005,$V3272,'①在庫を貼る'!$W$6:$W$10005,$W3272)&gt;0),N(U3271),N(U3271)+1))</f>
        <v/>
      </c>
      <c r="V3272" s="19">
        <f>IF($B3272="","",TEXT($B3272,"0000"))</f>
        <v/>
      </c>
      <c r="W3272" s="19">
        <f>IF($I3272="","",IF(ISNUMBER($I3272),TEXT($I3272,"0"),$I3272))</f>
        <v/>
      </c>
    </row>
    <row r="3273">
      <c r="B3273" s="25" t="n"/>
      <c r="I3273" s="25" t="n"/>
      <c r="U3273" s="19">
        <f>IF($V3273&lt;&gt;'設定'!$C$4,N(U3272),IF(OR(NOT(COUNTIF('商品マスタ'!$B$6:$B$1005,$W3273)=0),COUNTIFS('①在庫を貼る'!$V$6:$V$10005,$V3273,'①在庫を貼る'!$W$6:$W$10005,$W3273)&gt;0),N(U3272),N(U3272)+1))</f>
        <v/>
      </c>
      <c r="V3273" s="19">
        <f>IF($B3273="","",TEXT($B3273,"0000"))</f>
        <v/>
      </c>
      <c r="W3273" s="19">
        <f>IF($I3273="","",IF(ISNUMBER($I3273),TEXT($I3273,"0"),$I3273))</f>
        <v/>
      </c>
    </row>
    <row r="3274">
      <c r="B3274" s="25" t="n"/>
      <c r="I3274" s="25" t="n"/>
      <c r="U3274" s="19">
        <f>IF($V3274&lt;&gt;'設定'!$C$4,N(U3273),IF(OR(NOT(COUNTIF('商品マスタ'!$B$6:$B$1005,$W3274)=0),COUNTIFS('①在庫を貼る'!$V$6:$V$10005,$V3274,'①在庫を貼る'!$W$6:$W$10005,$W3274)&gt;0),N(U3273),N(U3273)+1))</f>
        <v/>
      </c>
      <c r="V3274" s="19">
        <f>IF($B3274="","",TEXT($B3274,"0000"))</f>
        <v/>
      </c>
      <c r="W3274" s="19">
        <f>IF($I3274="","",IF(ISNUMBER($I3274),TEXT($I3274,"0"),$I3274))</f>
        <v/>
      </c>
    </row>
    <row r="3275">
      <c r="B3275" s="25" t="n"/>
      <c r="I3275" s="25" t="n"/>
      <c r="U3275" s="19">
        <f>IF($V3275&lt;&gt;'設定'!$C$4,N(U3274),IF(OR(NOT(COUNTIF('商品マスタ'!$B$6:$B$1005,$W3275)=0),COUNTIFS('①在庫を貼る'!$V$6:$V$10005,$V3275,'①在庫を貼る'!$W$6:$W$10005,$W3275)&gt;0),N(U3274),N(U3274)+1))</f>
        <v/>
      </c>
      <c r="V3275" s="19">
        <f>IF($B3275="","",TEXT($B3275,"0000"))</f>
        <v/>
      </c>
      <c r="W3275" s="19">
        <f>IF($I3275="","",IF(ISNUMBER($I3275),TEXT($I3275,"0"),$I3275))</f>
        <v/>
      </c>
    </row>
    <row r="3276">
      <c r="B3276" s="25" t="n"/>
      <c r="I3276" s="25" t="n"/>
      <c r="U3276" s="19">
        <f>IF($V3276&lt;&gt;'設定'!$C$4,N(U3275),IF(OR(NOT(COUNTIF('商品マスタ'!$B$6:$B$1005,$W3276)=0),COUNTIFS('①在庫を貼る'!$V$6:$V$10005,$V3276,'①在庫を貼る'!$W$6:$W$10005,$W3276)&gt;0),N(U3275),N(U3275)+1))</f>
        <v/>
      </c>
      <c r="V3276" s="19">
        <f>IF($B3276="","",TEXT($B3276,"0000"))</f>
        <v/>
      </c>
      <c r="W3276" s="19">
        <f>IF($I3276="","",IF(ISNUMBER($I3276),TEXT($I3276,"0"),$I3276))</f>
        <v/>
      </c>
    </row>
    <row r="3277">
      <c r="B3277" s="25" t="n"/>
      <c r="I3277" s="25" t="n"/>
      <c r="U3277" s="19">
        <f>IF($V3277&lt;&gt;'設定'!$C$4,N(U3276),IF(OR(NOT(COUNTIF('商品マスタ'!$B$6:$B$1005,$W3277)=0),COUNTIFS('①在庫を貼る'!$V$6:$V$10005,$V3277,'①在庫を貼る'!$W$6:$W$10005,$W3277)&gt;0),N(U3276),N(U3276)+1))</f>
        <v/>
      </c>
      <c r="V3277" s="19">
        <f>IF($B3277="","",TEXT($B3277,"0000"))</f>
        <v/>
      </c>
      <c r="W3277" s="19">
        <f>IF($I3277="","",IF(ISNUMBER($I3277),TEXT($I3277,"0"),$I3277))</f>
        <v/>
      </c>
    </row>
    <row r="3278">
      <c r="B3278" s="25" t="n"/>
      <c r="I3278" s="25" t="n"/>
      <c r="U3278" s="19">
        <f>IF($V3278&lt;&gt;'設定'!$C$4,N(U3277),IF(OR(NOT(COUNTIF('商品マスタ'!$B$6:$B$1005,$W3278)=0),COUNTIFS('①在庫を貼る'!$V$6:$V$10005,$V3278,'①在庫を貼る'!$W$6:$W$10005,$W3278)&gt;0),N(U3277),N(U3277)+1))</f>
        <v/>
      </c>
      <c r="V3278" s="19">
        <f>IF($B3278="","",TEXT($B3278,"0000"))</f>
        <v/>
      </c>
      <c r="W3278" s="19">
        <f>IF($I3278="","",IF(ISNUMBER($I3278),TEXT($I3278,"0"),$I3278))</f>
        <v/>
      </c>
    </row>
    <row r="3279">
      <c r="B3279" s="25" t="n"/>
      <c r="I3279" s="25" t="n"/>
      <c r="U3279" s="19">
        <f>IF($V3279&lt;&gt;'設定'!$C$4,N(U3278),IF(OR(NOT(COUNTIF('商品マスタ'!$B$6:$B$1005,$W3279)=0),COUNTIFS('①在庫を貼る'!$V$6:$V$10005,$V3279,'①在庫を貼る'!$W$6:$W$10005,$W3279)&gt;0),N(U3278),N(U3278)+1))</f>
        <v/>
      </c>
      <c r="V3279" s="19">
        <f>IF($B3279="","",TEXT($B3279,"0000"))</f>
        <v/>
      </c>
      <c r="W3279" s="19">
        <f>IF($I3279="","",IF(ISNUMBER($I3279),TEXT($I3279,"0"),$I3279))</f>
        <v/>
      </c>
    </row>
    <row r="3280">
      <c r="B3280" s="25" t="n"/>
      <c r="I3280" s="25" t="n"/>
      <c r="U3280" s="19">
        <f>IF($V3280&lt;&gt;'設定'!$C$4,N(U3279),IF(OR(NOT(COUNTIF('商品マスタ'!$B$6:$B$1005,$W3280)=0),COUNTIFS('①在庫を貼る'!$V$6:$V$10005,$V3280,'①在庫を貼る'!$W$6:$W$10005,$W3280)&gt;0),N(U3279),N(U3279)+1))</f>
        <v/>
      </c>
      <c r="V3280" s="19">
        <f>IF($B3280="","",TEXT($B3280,"0000"))</f>
        <v/>
      </c>
      <c r="W3280" s="19">
        <f>IF($I3280="","",IF(ISNUMBER($I3280),TEXT($I3280,"0"),$I3280))</f>
        <v/>
      </c>
    </row>
    <row r="3281">
      <c r="B3281" s="25" t="n"/>
      <c r="I3281" s="25" t="n"/>
      <c r="U3281" s="19">
        <f>IF($V3281&lt;&gt;'設定'!$C$4,N(U3280),IF(OR(NOT(COUNTIF('商品マスタ'!$B$6:$B$1005,$W3281)=0),COUNTIFS('①在庫を貼る'!$V$6:$V$10005,$V3281,'①在庫を貼る'!$W$6:$W$10005,$W3281)&gt;0),N(U3280),N(U3280)+1))</f>
        <v/>
      </c>
      <c r="V3281" s="19">
        <f>IF($B3281="","",TEXT($B3281,"0000"))</f>
        <v/>
      </c>
      <c r="W3281" s="19">
        <f>IF($I3281="","",IF(ISNUMBER($I3281),TEXT($I3281,"0"),$I3281))</f>
        <v/>
      </c>
    </row>
    <row r="3282">
      <c r="B3282" s="25" t="n"/>
      <c r="I3282" s="25" t="n"/>
      <c r="U3282" s="19">
        <f>IF($V3282&lt;&gt;'設定'!$C$4,N(U3281),IF(OR(NOT(COUNTIF('商品マスタ'!$B$6:$B$1005,$W3282)=0),COUNTIFS('①在庫を貼る'!$V$6:$V$10005,$V3282,'①在庫を貼る'!$W$6:$W$10005,$W3282)&gt;0),N(U3281),N(U3281)+1))</f>
        <v/>
      </c>
      <c r="V3282" s="19">
        <f>IF($B3282="","",TEXT($B3282,"0000"))</f>
        <v/>
      </c>
      <c r="W3282" s="19">
        <f>IF($I3282="","",IF(ISNUMBER($I3282),TEXT($I3282,"0"),$I3282))</f>
        <v/>
      </c>
    </row>
    <row r="3283">
      <c r="B3283" s="25" t="n"/>
      <c r="I3283" s="25" t="n"/>
      <c r="U3283" s="19">
        <f>IF($V3283&lt;&gt;'設定'!$C$4,N(U3282),IF(OR(NOT(COUNTIF('商品マスタ'!$B$6:$B$1005,$W3283)=0),COUNTIFS('①在庫を貼る'!$V$6:$V$10005,$V3283,'①在庫を貼る'!$W$6:$W$10005,$W3283)&gt;0),N(U3282),N(U3282)+1))</f>
        <v/>
      </c>
      <c r="V3283" s="19">
        <f>IF($B3283="","",TEXT($B3283,"0000"))</f>
        <v/>
      </c>
      <c r="W3283" s="19">
        <f>IF($I3283="","",IF(ISNUMBER($I3283),TEXT($I3283,"0"),$I3283))</f>
        <v/>
      </c>
    </row>
    <row r="3284">
      <c r="B3284" s="25" t="n"/>
      <c r="I3284" s="25" t="n"/>
      <c r="U3284" s="19">
        <f>IF($V3284&lt;&gt;'設定'!$C$4,N(U3283),IF(OR(NOT(COUNTIF('商品マスタ'!$B$6:$B$1005,$W3284)=0),COUNTIFS('①在庫を貼る'!$V$6:$V$10005,$V3284,'①在庫を貼る'!$W$6:$W$10005,$W3284)&gt;0),N(U3283),N(U3283)+1))</f>
        <v/>
      </c>
      <c r="V3284" s="19">
        <f>IF($B3284="","",TEXT($B3284,"0000"))</f>
        <v/>
      </c>
      <c r="W3284" s="19">
        <f>IF($I3284="","",IF(ISNUMBER($I3284),TEXT($I3284,"0"),$I3284))</f>
        <v/>
      </c>
    </row>
    <row r="3285">
      <c r="B3285" s="25" t="n"/>
      <c r="I3285" s="25" t="n"/>
      <c r="U3285" s="19">
        <f>IF($V3285&lt;&gt;'設定'!$C$4,N(U3284),IF(OR(NOT(COUNTIF('商品マスタ'!$B$6:$B$1005,$W3285)=0),COUNTIFS('①在庫を貼る'!$V$6:$V$10005,$V3285,'①在庫を貼る'!$W$6:$W$10005,$W3285)&gt;0),N(U3284),N(U3284)+1))</f>
        <v/>
      </c>
      <c r="V3285" s="19">
        <f>IF($B3285="","",TEXT($B3285,"0000"))</f>
        <v/>
      </c>
      <c r="W3285" s="19">
        <f>IF($I3285="","",IF(ISNUMBER($I3285),TEXT($I3285,"0"),$I3285))</f>
        <v/>
      </c>
    </row>
    <row r="3286">
      <c r="B3286" s="25" t="n"/>
      <c r="I3286" s="25" t="n"/>
      <c r="U3286" s="19">
        <f>IF($V3286&lt;&gt;'設定'!$C$4,N(U3285),IF(OR(NOT(COUNTIF('商品マスタ'!$B$6:$B$1005,$W3286)=0),COUNTIFS('①在庫を貼る'!$V$6:$V$10005,$V3286,'①在庫を貼る'!$W$6:$W$10005,$W3286)&gt;0),N(U3285),N(U3285)+1))</f>
        <v/>
      </c>
      <c r="V3286" s="19">
        <f>IF($B3286="","",TEXT($B3286,"0000"))</f>
        <v/>
      </c>
      <c r="W3286" s="19">
        <f>IF($I3286="","",IF(ISNUMBER($I3286),TEXT($I3286,"0"),$I3286))</f>
        <v/>
      </c>
    </row>
    <row r="3287">
      <c r="B3287" s="25" t="n"/>
      <c r="I3287" s="25" t="n"/>
      <c r="U3287" s="19">
        <f>IF($V3287&lt;&gt;'設定'!$C$4,N(U3286),IF(OR(NOT(COUNTIF('商品マスタ'!$B$6:$B$1005,$W3287)=0),COUNTIFS('①在庫を貼る'!$V$6:$V$10005,$V3287,'①在庫を貼る'!$W$6:$W$10005,$W3287)&gt;0),N(U3286),N(U3286)+1))</f>
        <v/>
      </c>
      <c r="V3287" s="19">
        <f>IF($B3287="","",TEXT($B3287,"0000"))</f>
        <v/>
      </c>
      <c r="W3287" s="19">
        <f>IF($I3287="","",IF(ISNUMBER($I3287),TEXT($I3287,"0"),$I3287))</f>
        <v/>
      </c>
    </row>
    <row r="3288">
      <c r="B3288" s="25" t="n"/>
      <c r="I3288" s="25" t="n"/>
      <c r="U3288" s="19">
        <f>IF($V3288&lt;&gt;'設定'!$C$4,N(U3287),IF(OR(NOT(COUNTIF('商品マスタ'!$B$6:$B$1005,$W3288)=0),COUNTIFS('①在庫を貼る'!$V$6:$V$10005,$V3288,'①在庫を貼る'!$W$6:$W$10005,$W3288)&gt;0),N(U3287),N(U3287)+1))</f>
        <v/>
      </c>
      <c r="V3288" s="19">
        <f>IF($B3288="","",TEXT($B3288,"0000"))</f>
        <v/>
      </c>
      <c r="W3288" s="19">
        <f>IF($I3288="","",IF(ISNUMBER($I3288),TEXT($I3288,"0"),$I3288))</f>
        <v/>
      </c>
    </row>
    <row r="3289">
      <c r="B3289" s="25" t="n"/>
      <c r="I3289" s="25" t="n"/>
      <c r="U3289" s="19">
        <f>IF($V3289&lt;&gt;'設定'!$C$4,N(U3288),IF(OR(NOT(COUNTIF('商品マスタ'!$B$6:$B$1005,$W3289)=0),COUNTIFS('①在庫を貼る'!$V$6:$V$10005,$V3289,'①在庫を貼る'!$W$6:$W$10005,$W3289)&gt;0),N(U3288),N(U3288)+1))</f>
        <v/>
      </c>
      <c r="V3289" s="19">
        <f>IF($B3289="","",TEXT($B3289,"0000"))</f>
        <v/>
      </c>
      <c r="W3289" s="19">
        <f>IF($I3289="","",IF(ISNUMBER($I3289),TEXT($I3289,"0"),$I3289))</f>
        <v/>
      </c>
    </row>
    <row r="3290">
      <c r="B3290" s="25" t="n"/>
      <c r="I3290" s="25" t="n"/>
      <c r="U3290" s="19">
        <f>IF($V3290&lt;&gt;'設定'!$C$4,N(U3289),IF(OR(NOT(COUNTIF('商品マスタ'!$B$6:$B$1005,$W3290)=0),COUNTIFS('①在庫を貼る'!$V$6:$V$10005,$V3290,'①在庫を貼る'!$W$6:$W$10005,$W3290)&gt;0),N(U3289),N(U3289)+1))</f>
        <v/>
      </c>
      <c r="V3290" s="19">
        <f>IF($B3290="","",TEXT($B3290,"0000"))</f>
        <v/>
      </c>
      <c r="W3290" s="19">
        <f>IF($I3290="","",IF(ISNUMBER($I3290),TEXT($I3290,"0"),$I3290))</f>
        <v/>
      </c>
    </row>
    <row r="3291">
      <c r="B3291" s="25" t="n"/>
      <c r="I3291" s="25" t="n"/>
      <c r="U3291" s="19">
        <f>IF($V3291&lt;&gt;'設定'!$C$4,N(U3290),IF(OR(NOT(COUNTIF('商品マスタ'!$B$6:$B$1005,$W3291)=0),COUNTIFS('①在庫を貼る'!$V$6:$V$10005,$V3291,'①在庫を貼る'!$W$6:$W$10005,$W3291)&gt;0),N(U3290),N(U3290)+1))</f>
        <v/>
      </c>
      <c r="V3291" s="19">
        <f>IF($B3291="","",TEXT($B3291,"0000"))</f>
        <v/>
      </c>
      <c r="W3291" s="19">
        <f>IF($I3291="","",IF(ISNUMBER($I3291),TEXT($I3291,"0"),$I3291))</f>
        <v/>
      </c>
    </row>
    <row r="3292">
      <c r="B3292" s="25" t="n"/>
      <c r="I3292" s="25" t="n"/>
      <c r="U3292" s="19">
        <f>IF($V3292&lt;&gt;'設定'!$C$4,N(U3291),IF(OR(NOT(COUNTIF('商品マスタ'!$B$6:$B$1005,$W3292)=0),COUNTIFS('①在庫を貼る'!$V$6:$V$10005,$V3292,'①在庫を貼る'!$W$6:$W$10005,$W3292)&gt;0),N(U3291),N(U3291)+1))</f>
        <v/>
      </c>
      <c r="V3292" s="19">
        <f>IF($B3292="","",TEXT($B3292,"0000"))</f>
        <v/>
      </c>
      <c r="W3292" s="19">
        <f>IF($I3292="","",IF(ISNUMBER($I3292),TEXT($I3292,"0"),$I3292))</f>
        <v/>
      </c>
    </row>
    <row r="3293">
      <c r="B3293" s="25" t="n"/>
      <c r="I3293" s="25" t="n"/>
      <c r="U3293" s="19">
        <f>IF($V3293&lt;&gt;'設定'!$C$4,N(U3292),IF(OR(NOT(COUNTIF('商品マスタ'!$B$6:$B$1005,$W3293)=0),COUNTIFS('①在庫を貼る'!$V$6:$V$10005,$V3293,'①在庫を貼る'!$W$6:$W$10005,$W3293)&gt;0),N(U3292),N(U3292)+1))</f>
        <v/>
      </c>
      <c r="V3293" s="19">
        <f>IF($B3293="","",TEXT($B3293,"0000"))</f>
        <v/>
      </c>
      <c r="W3293" s="19">
        <f>IF($I3293="","",IF(ISNUMBER($I3293),TEXT($I3293,"0"),$I3293))</f>
        <v/>
      </c>
    </row>
    <row r="3294">
      <c r="B3294" s="25" t="n"/>
      <c r="I3294" s="25" t="n"/>
      <c r="U3294" s="19">
        <f>IF($V3294&lt;&gt;'設定'!$C$4,N(U3293),IF(OR(NOT(COUNTIF('商品マスタ'!$B$6:$B$1005,$W3294)=0),COUNTIFS('①在庫を貼る'!$V$6:$V$10005,$V3294,'①在庫を貼る'!$W$6:$W$10005,$W3294)&gt;0),N(U3293),N(U3293)+1))</f>
        <v/>
      </c>
      <c r="V3294" s="19">
        <f>IF($B3294="","",TEXT($B3294,"0000"))</f>
        <v/>
      </c>
      <c r="W3294" s="19">
        <f>IF($I3294="","",IF(ISNUMBER($I3294),TEXT($I3294,"0"),$I3294))</f>
        <v/>
      </c>
    </row>
    <row r="3295">
      <c r="B3295" s="25" t="n"/>
      <c r="I3295" s="25" t="n"/>
      <c r="U3295" s="19">
        <f>IF($V3295&lt;&gt;'設定'!$C$4,N(U3294),IF(OR(NOT(COUNTIF('商品マスタ'!$B$6:$B$1005,$W3295)=0),COUNTIFS('①在庫を貼る'!$V$6:$V$10005,$V3295,'①在庫を貼る'!$W$6:$W$10005,$W3295)&gt;0),N(U3294),N(U3294)+1))</f>
        <v/>
      </c>
      <c r="V3295" s="19">
        <f>IF($B3295="","",TEXT($B3295,"0000"))</f>
        <v/>
      </c>
      <c r="W3295" s="19">
        <f>IF($I3295="","",IF(ISNUMBER($I3295),TEXT($I3295,"0"),$I3295))</f>
        <v/>
      </c>
    </row>
    <row r="3296">
      <c r="B3296" s="25" t="n"/>
      <c r="I3296" s="25" t="n"/>
      <c r="U3296" s="19">
        <f>IF($V3296&lt;&gt;'設定'!$C$4,N(U3295),IF(OR(NOT(COUNTIF('商品マスタ'!$B$6:$B$1005,$W3296)=0),COUNTIFS('①在庫を貼る'!$V$6:$V$10005,$V3296,'①在庫を貼る'!$W$6:$W$10005,$W3296)&gt;0),N(U3295),N(U3295)+1))</f>
        <v/>
      </c>
      <c r="V3296" s="19">
        <f>IF($B3296="","",TEXT($B3296,"0000"))</f>
        <v/>
      </c>
      <c r="W3296" s="19">
        <f>IF($I3296="","",IF(ISNUMBER($I3296),TEXT($I3296,"0"),$I3296))</f>
        <v/>
      </c>
    </row>
    <row r="3297">
      <c r="B3297" s="25" t="n"/>
      <c r="I3297" s="25" t="n"/>
      <c r="U3297" s="19">
        <f>IF($V3297&lt;&gt;'設定'!$C$4,N(U3296),IF(OR(NOT(COUNTIF('商品マスタ'!$B$6:$B$1005,$W3297)=0),COUNTIFS('①在庫を貼る'!$V$6:$V$10005,$V3297,'①在庫を貼る'!$W$6:$W$10005,$W3297)&gt;0),N(U3296),N(U3296)+1))</f>
        <v/>
      </c>
      <c r="V3297" s="19">
        <f>IF($B3297="","",TEXT($B3297,"0000"))</f>
        <v/>
      </c>
      <c r="W3297" s="19">
        <f>IF($I3297="","",IF(ISNUMBER($I3297),TEXT($I3297,"0"),$I3297))</f>
        <v/>
      </c>
    </row>
    <row r="3298">
      <c r="B3298" s="25" t="n"/>
      <c r="I3298" s="25" t="n"/>
      <c r="U3298" s="19">
        <f>IF($V3298&lt;&gt;'設定'!$C$4,N(U3297),IF(OR(NOT(COUNTIF('商品マスタ'!$B$6:$B$1005,$W3298)=0),COUNTIFS('①在庫を貼る'!$V$6:$V$10005,$V3298,'①在庫を貼る'!$W$6:$W$10005,$W3298)&gt;0),N(U3297),N(U3297)+1))</f>
        <v/>
      </c>
      <c r="V3298" s="19">
        <f>IF($B3298="","",TEXT($B3298,"0000"))</f>
        <v/>
      </c>
      <c r="W3298" s="19">
        <f>IF($I3298="","",IF(ISNUMBER($I3298),TEXT($I3298,"0"),$I3298))</f>
        <v/>
      </c>
    </row>
    <row r="3299">
      <c r="B3299" s="25" t="n"/>
      <c r="I3299" s="25" t="n"/>
      <c r="U3299" s="19">
        <f>IF($V3299&lt;&gt;'設定'!$C$4,N(U3298),IF(OR(NOT(COUNTIF('商品マスタ'!$B$6:$B$1005,$W3299)=0),COUNTIFS('①在庫を貼る'!$V$6:$V$10005,$V3299,'①在庫を貼る'!$W$6:$W$10005,$W3299)&gt;0),N(U3298),N(U3298)+1))</f>
        <v/>
      </c>
      <c r="V3299" s="19">
        <f>IF($B3299="","",TEXT($B3299,"0000"))</f>
        <v/>
      </c>
      <c r="W3299" s="19">
        <f>IF($I3299="","",IF(ISNUMBER($I3299),TEXT($I3299,"0"),$I3299))</f>
        <v/>
      </c>
    </row>
    <row r="3300">
      <c r="B3300" s="25" t="n"/>
      <c r="I3300" s="25" t="n"/>
      <c r="U3300" s="19">
        <f>IF($V3300&lt;&gt;'設定'!$C$4,N(U3299),IF(OR(NOT(COUNTIF('商品マスタ'!$B$6:$B$1005,$W3300)=0),COUNTIFS('①在庫を貼る'!$V$6:$V$10005,$V3300,'①在庫を貼る'!$W$6:$W$10005,$W3300)&gt;0),N(U3299),N(U3299)+1))</f>
        <v/>
      </c>
      <c r="V3300" s="19">
        <f>IF($B3300="","",TEXT($B3300,"0000"))</f>
        <v/>
      </c>
      <c r="W3300" s="19">
        <f>IF($I3300="","",IF(ISNUMBER($I3300),TEXT($I3300,"0"),$I3300))</f>
        <v/>
      </c>
    </row>
    <row r="3301">
      <c r="B3301" s="25" t="n"/>
      <c r="I3301" s="25" t="n"/>
      <c r="U3301" s="19">
        <f>IF($V3301&lt;&gt;'設定'!$C$4,N(U3300),IF(OR(NOT(COUNTIF('商品マスタ'!$B$6:$B$1005,$W3301)=0),COUNTIFS('①在庫を貼る'!$V$6:$V$10005,$V3301,'①在庫を貼る'!$W$6:$W$10005,$W3301)&gt;0),N(U3300),N(U3300)+1))</f>
        <v/>
      </c>
      <c r="V3301" s="19">
        <f>IF($B3301="","",TEXT($B3301,"0000"))</f>
        <v/>
      </c>
      <c r="W3301" s="19">
        <f>IF($I3301="","",IF(ISNUMBER($I3301),TEXT($I3301,"0"),$I3301))</f>
        <v/>
      </c>
    </row>
    <row r="3302">
      <c r="B3302" s="25" t="n"/>
      <c r="I3302" s="25" t="n"/>
      <c r="U3302" s="19">
        <f>IF($V3302&lt;&gt;'設定'!$C$4,N(U3301),IF(OR(NOT(COUNTIF('商品マスタ'!$B$6:$B$1005,$W3302)=0),COUNTIFS('①在庫を貼る'!$V$6:$V$10005,$V3302,'①在庫を貼る'!$W$6:$W$10005,$W3302)&gt;0),N(U3301),N(U3301)+1))</f>
        <v/>
      </c>
      <c r="V3302" s="19">
        <f>IF($B3302="","",TEXT($B3302,"0000"))</f>
        <v/>
      </c>
      <c r="W3302" s="19">
        <f>IF($I3302="","",IF(ISNUMBER($I3302),TEXT($I3302,"0"),$I3302))</f>
        <v/>
      </c>
    </row>
    <row r="3303">
      <c r="B3303" s="25" t="n"/>
      <c r="I3303" s="25" t="n"/>
      <c r="U3303" s="19">
        <f>IF($V3303&lt;&gt;'設定'!$C$4,N(U3302),IF(OR(NOT(COUNTIF('商品マスタ'!$B$6:$B$1005,$W3303)=0),COUNTIFS('①在庫を貼る'!$V$6:$V$10005,$V3303,'①在庫を貼る'!$W$6:$W$10005,$W3303)&gt;0),N(U3302),N(U3302)+1))</f>
        <v/>
      </c>
      <c r="V3303" s="19">
        <f>IF($B3303="","",TEXT($B3303,"0000"))</f>
        <v/>
      </c>
      <c r="W3303" s="19">
        <f>IF($I3303="","",IF(ISNUMBER($I3303),TEXT($I3303,"0"),$I3303))</f>
        <v/>
      </c>
    </row>
    <row r="3304">
      <c r="B3304" s="25" t="n"/>
      <c r="I3304" s="25" t="n"/>
      <c r="U3304" s="19">
        <f>IF($V3304&lt;&gt;'設定'!$C$4,N(U3303),IF(OR(NOT(COUNTIF('商品マスタ'!$B$6:$B$1005,$W3304)=0),COUNTIFS('①在庫を貼る'!$V$6:$V$10005,$V3304,'①在庫を貼る'!$W$6:$W$10005,$W3304)&gt;0),N(U3303),N(U3303)+1))</f>
        <v/>
      </c>
      <c r="V3304" s="19">
        <f>IF($B3304="","",TEXT($B3304,"0000"))</f>
        <v/>
      </c>
      <c r="W3304" s="19">
        <f>IF($I3304="","",IF(ISNUMBER($I3304),TEXT($I3304,"0"),$I3304))</f>
        <v/>
      </c>
    </row>
    <row r="3305">
      <c r="B3305" s="25" t="n"/>
      <c r="I3305" s="25" t="n"/>
      <c r="U3305" s="19">
        <f>IF($V3305&lt;&gt;'設定'!$C$4,N(U3304),IF(OR(NOT(COUNTIF('商品マスタ'!$B$6:$B$1005,$W3305)=0),COUNTIFS('①在庫を貼る'!$V$6:$V$10005,$V3305,'①在庫を貼る'!$W$6:$W$10005,$W3305)&gt;0),N(U3304),N(U3304)+1))</f>
        <v/>
      </c>
      <c r="V3305" s="19">
        <f>IF($B3305="","",TEXT($B3305,"0000"))</f>
        <v/>
      </c>
      <c r="W3305" s="19">
        <f>IF($I3305="","",IF(ISNUMBER($I3305),TEXT($I3305,"0"),$I3305))</f>
        <v/>
      </c>
    </row>
    <row r="3306">
      <c r="B3306" s="25" t="n"/>
      <c r="I3306" s="25" t="n"/>
      <c r="U3306" s="19">
        <f>IF($V3306&lt;&gt;'設定'!$C$4,N(U3305),IF(OR(NOT(COUNTIF('商品マスタ'!$B$6:$B$1005,$W3306)=0),COUNTIFS('①在庫を貼る'!$V$6:$V$10005,$V3306,'①在庫を貼る'!$W$6:$W$10005,$W3306)&gt;0),N(U3305),N(U3305)+1))</f>
        <v/>
      </c>
      <c r="V3306" s="19">
        <f>IF($B3306="","",TEXT($B3306,"0000"))</f>
        <v/>
      </c>
      <c r="W3306" s="19">
        <f>IF($I3306="","",IF(ISNUMBER($I3306),TEXT($I3306,"0"),$I3306))</f>
        <v/>
      </c>
    </row>
    <row r="3307">
      <c r="B3307" s="25" t="n"/>
      <c r="I3307" s="25" t="n"/>
      <c r="U3307" s="19">
        <f>IF($V3307&lt;&gt;'設定'!$C$4,N(U3306),IF(OR(NOT(COUNTIF('商品マスタ'!$B$6:$B$1005,$W3307)=0),COUNTIFS('①在庫を貼る'!$V$6:$V$10005,$V3307,'①在庫を貼る'!$W$6:$W$10005,$W3307)&gt;0),N(U3306),N(U3306)+1))</f>
        <v/>
      </c>
      <c r="V3307" s="19">
        <f>IF($B3307="","",TEXT($B3307,"0000"))</f>
        <v/>
      </c>
      <c r="W3307" s="19">
        <f>IF($I3307="","",IF(ISNUMBER($I3307),TEXT($I3307,"0"),$I3307))</f>
        <v/>
      </c>
    </row>
    <row r="3308">
      <c r="B3308" s="25" t="n"/>
      <c r="I3308" s="25" t="n"/>
      <c r="U3308" s="19">
        <f>IF($V3308&lt;&gt;'設定'!$C$4,N(U3307),IF(OR(NOT(COUNTIF('商品マスタ'!$B$6:$B$1005,$W3308)=0),COUNTIFS('①在庫を貼る'!$V$6:$V$10005,$V3308,'①在庫を貼る'!$W$6:$W$10005,$W3308)&gt;0),N(U3307),N(U3307)+1))</f>
        <v/>
      </c>
      <c r="V3308" s="19">
        <f>IF($B3308="","",TEXT($B3308,"0000"))</f>
        <v/>
      </c>
      <c r="W3308" s="19">
        <f>IF($I3308="","",IF(ISNUMBER($I3308),TEXT($I3308,"0"),$I3308))</f>
        <v/>
      </c>
    </row>
    <row r="3309">
      <c r="B3309" s="25" t="n"/>
      <c r="I3309" s="25" t="n"/>
      <c r="U3309" s="19">
        <f>IF($V3309&lt;&gt;'設定'!$C$4,N(U3308),IF(OR(NOT(COUNTIF('商品マスタ'!$B$6:$B$1005,$W3309)=0),COUNTIFS('①在庫を貼る'!$V$6:$V$10005,$V3309,'①在庫を貼る'!$W$6:$W$10005,$W3309)&gt;0),N(U3308),N(U3308)+1))</f>
        <v/>
      </c>
      <c r="V3309" s="19">
        <f>IF($B3309="","",TEXT($B3309,"0000"))</f>
        <v/>
      </c>
      <c r="W3309" s="19">
        <f>IF($I3309="","",IF(ISNUMBER($I3309),TEXT($I3309,"0"),$I3309))</f>
        <v/>
      </c>
    </row>
    <row r="3310">
      <c r="B3310" s="25" t="n"/>
      <c r="I3310" s="25" t="n"/>
      <c r="U3310" s="19">
        <f>IF($V3310&lt;&gt;'設定'!$C$4,N(U3309),IF(OR(NOT(COUNTIF('商品マスタ'!$B$6:$B$1005,$W3310)=0),COUNTIFS('①在庫を貼る'!$V$6:$V$10005,$V3310,'①在庫を貼る'!$W$6:$W$10005,$W3310)&gt;0),N(U3309),N(U3309)+1))</f>
        <v/>
      </c>
      <c r="V3310" s="19">
        <f>IF($B3310="","",TEXT($B3310,"0000"))</f>
        <v/>
      </c>
      <c r="W3310" s="19">
        <f>IF($I3310="","",IF(ISNUMBER($I3310),TEXT($I3310,"0"),$I3310))</f>
        <v/>
      </c>
    </row>
    <row r="3311">
      <c r="B3311" s="25" t="n"/>
      <c r="I3311" s="25" t="n"/>
      <c r="U3311" s="19">
        <f>IF($V3311&lt;&gt;'設定'!$C$4,N(U3310),IF(OR(NOT(COUNTIF('商品マスタ'!$B$6:$B$1005,$W3311)=0),COUNTIFS('①在庫を貼る'!$V$6:$V$10005,$V3311,'①在庫を貼る'!$W$6:$W$10005,$W3311)&gt;0),N(U3310),N(U3310)+1))</f>
        <v/>
      </c>
      <c r="V3311" s="19">
        <f>IF($B3311="","",TEXT($B3311,"0000"))</f>
        <v/>
      </c>
      <c r="W3311" s="19">
        <f>IF($I3311="","",IF(ISNUMBER($I3311),TEXT($I3311,"0"),$I3311))</f>
        <v/>
      </c>
    </row>
    <row r="3312">
      <c r="B3312" s="25" t="n"/>
      <c r="I3312" s="25" t="n"/>
      <c r="U3312" s="19">
        <f>IF($V3312&lt;&gt;'設定'!$C$4,N(U3311),IF(OR(NOT(COUNTIF('商品マスタ'!$B$6:$B$1005,$W3312)=0),COUNTIFS('①在庫を貼る'!$V$6:$V$10005,$V3312,'①在庫を貼る'!$W$6:$W$10005,$W3312)&gt;0),N(U3311),N(U3311)+1))</f>
        <v/>
      </c>
      <c r="V3312" s="19">
        <f>IF($B3312="","",TEXT($B3312,"0000"))</f>
        <v/>
      </c>
      <c r="W3312" s="19">
        <f>IF($I3312="","",IF(ISNUMBER($I3312),TEXT($I3312,"0"),$I3312))</f>
        <v/>
      </c>
    </row>
    <row r="3313">
      <c r="B3313" s="25" t="n"/>
      <c r="I3313" s="25" t="n"/>
      <c r="U3313" s="19">
        <f>IF($V3313&lt;&gt;'設定'!$C$4,N(U3312),IF(OR(NOT(COUNTIF('商品マスタ'!$B$6:$B$1005,$W3313)=0),COUNTIFS('①在庫を貼る'!$V$6:$V$10005,$V3313,'①在庫を貼る'!$W$6:$W$10005,$W3313)&gt;0),N(U3312),N(U3312)+1))</f>
        <v/>
      </c>
      <c r="V3313" s="19">
        <f>IF($B3313="","",TEXT($B3313,"0000"))</f>
        <v/>
      </c>
      <c r="W3313" s="19">
        <f>IF($I3313="","",IF(ISNUMBER($I3313),TEXT($I3313,"0"),$I3313))</f>
        <v/>
      </c>
    </row>
    <row r="3314">
      <c r="B3314" s="25" t="n"/>
      <c r="I3314" s="25" t="n"/>
      <c r="U3314" s="19">
        <f>IF($V3314&lt;&gt;'設定'!$C$4,N(U3313),IF(OR(NOT(COUNTIF('商品マスタ'!$B$6:$B$1005,$W3314)=0),COUNTIFS('①在庫を貼る'!$V$6:$V$10005,$V3314,'①在庫を貼る'!$W$6:$W$10005,$W3314)&gt;0),N(U3313),N(U3313)+1))</f>
        <v/>
      </c>
      <c r="V3314" s="19">
        <f>IF($B3314="","",TEXT($B3314,"0000"))</f>
        <v/>
      </c>
      <c r="W3314" s="19">
        <f>IF($I3314="","",IF(ISNUMBER($I3314),TEXT($I3314,"0"),$I3314))</f>
        <v/>
      </c>
    </row>
    <row r="3315">
      <c r="B3315" s="25" t="n"/>
      <c r="I3315" s="25" t="n"/>
      <c r="U3315" s="19">
        <f>IF($V3315&lt;&gt;'設定'!$C$4,N(U3314),IF(OR(NOT(COUNTIF('商品マスタ'!$B$6:$B$1005,$W3315)=0),COUNTIFS('①在庫を貼る'!$V$6:$V$10005,$V3315,'①在庫を貼る'!$W$6:$W$10005,$W3315)&gt;0),N(U3314),N(U3314)+1))</f>
        <v/>
      </c>
      <c r="V3315" s="19">
        <f>IF($B3315="","",TEXT($B3315,"0000"))</f>
        <v/>
      </c>
      <c r="W3315" s="19">
        <f>IF($I3315="","",IF(ISNUMBER($I3315),TEXT($I3315,"0"),$I3315))</f>
        <v/>
      </c>
    </row>
    <row r="3316">
      <c r="B3316" s="25" t="n"/>
      <c r="I3316" s="25" t="n"/>
      <c r="U3316" s="19">
        <f>IF($V3316&lt;&gt;'設定'!$C$4,N(U3315),IF(OR(NOT(COUNTIF('商品マスタ'!$B$6:$B$1005,$W3316)=0),COUNTIFS('①在庫を貼る'!$V$6:$V$10005,$V3316,'①在庫を貼る'!$W$6:$W$10005,$W3316)&gt;0),N(U3315),N(U3315)+1))</f>
        <v/>
      </c>
      <c r="V3316" s="19">
        <f>IF($B3316="","",TEXT($B3316,"0000"))</f>
        <v/>
      </c>
      <c r="W3316" s="19">
        <f>IF($I3316="","",IF(ISNUMBER($I3316),TEXT($I3316,"0"),$I3316))</f>
        <v/>
      </c>
    </row>
    <row r="3317">
      <c r="B3317" s="25" t="n"/>
      <c r="I3317" s="25" t="n"/>
      <c r="U3317" s="19">
        <f>IF($V3317&lt;&gt;'設定'!$C$4,N(U3316),IF(OR(NOT(COUNTIF('商品マスタ'!$B$6:$B$1005,$W3317)=0),COUNTIFS('①在庫を貼る'!$V$6:$V$10005,$V3317,'①在庫を貼る'!$W$6:$W$10005,$W3317)&gt;0),N(U3316),N(U3316)+1))</f>
        <v/>
      </c>
      <c r="V3317" s="19">
        <f>IF($B3317="","",TEXT($B3317,"0000"))</f>
        <v/>
      </c>
      <c r="W3317" s="19">
        <f>IF($I3317="","",IF(ISNUMBER($I3317),TEXT($I3317,"0"),$I3317))</f>
        <v/>
      </c>
    </row>
    <row r="3318">
      <c r="B3318" s="25" t="n"/>
      <c r="I3318" s="25" t="n"/>
      <c r="U3318" s="19">
        <f>IF($V3318&lt;&gt;'設定'!$C$4,N(U3317),IF(OR(NOT(COUNTIF('商品マスタ'!$B$6:$B$1005,$W3318)=0),COUNTIFS('①在庫を貼る'!$V$6:$V$10005,$V3318,'①在庫を貼る'!$W$6:$W$10005,$W3318)&gt;0),N(U3317),N(U3317)+1))</f>
        <v/>
      </c>
      <c r="V3318" s="19">
        <f>IF($B3318="","",TEXT($B3318,"0000"))</f>
        <v/>
      </c>
      <c r="W3318" s="19">
        <f>IF($I3318="","",IF(ISNUMBER($I3318),TEXT($I3318,"0"),$I3318))</f>
        <v/>
      </c>
    </row>
    <row r="3319">
      <c r="B3319" s="25" t="n"/>
      <c r="I3319" s="25" t="n"/>
      <c r="U3319" s="19">
        <f>IF($V3319&lt;&gt;'設定'!$C$4,N(U3318),IF(OR(NOT(COUNTIF('商品マスタ'!$B$6:$B$1005,$W3319)=0),COUNTIFS('①在庫を貼る'!$V$6:$V$10005,$V3319,'①在庫を貼る'!$W$6:$W$10005,$W3319)&gt;0),N(U3318),N(U3318)+1))</f>
        <v/>
      </c>
      <c r="V3319" s="19">
        <f>IF($B3319="","",TEXT($B3319,"0000"))</f>
        <v/>
      </c>
      <c r="W3319" s="19">
        <f>IF($I3319="","",IF(ISNUMBER($I3319),TEXT($I3319,"0"),$I3319))</f>
        <v/>
      </c>
    </row>
    <row r="3320">
      <c r="B3320" s="25" t="n"/>
      <c r="I3320" s="25" t="n"/>
      <c r="U3320" s="19">
        <f>IF($V3320&lt;&gt;'設定'!$C$4,N(U3319),IF(OR(NOT(COUNTIF('商品マスタ'!$B$6:$B$1005,$W3320)=0),COUNTIFS('①在庫を貼る'!$V$6:$V$10005,$V3320,'①在庫を貼る'!$W$6:$W$10005,$W3320)&gt;0),N(U3319),N(U3319)+1))</f>
        <v/>
      </c>
      <c r="V3320" s="19">
        <f>IF($B3320="","",TEXT($B3320,"0000"))</f>
        <v/>
      </c>
      <c r="W3320" s="19">
        <f>IF($I3320="","",IF(ISNUMBER($I3320),TEXT($I3320,"0"),$I3320))</f>
        <v/>
      </c>
    </row>
    <row r="3321">
      <c r="B3321" s="25" t="n"/>
      <c r="I3321" s="25" t="n"/>
      <c r="U3321" s="19">
        <f>IF($V3321&lt;&gt;'設定'!$C$4,N(U3320),IF(OR(NOT(COUNTIF('商品マスタ'!$B$6:$B$1005,$W3321)=0),COUNTIFS('①在庫を貼る'!$V$6:$V$10005,$V3321,'①在庫を貼る'!$W$6:$W$10005,$W3321)&gt;0),N(U3320),N(U3320)+1))</f>
        <v/>
      </c>
      <c r="V3321" s="19">
        <f>IF($B3321="","",TEXT($B3321,"0000"))</f>
        <v/>
      </c>
      <c r="W3321" s="19">
        <f>IF($I3321="","",IF(ISNUMBER($I3321),TEXT($I3321,"0"),$I3321))</f>
        <v/>
      </c>
    </row>
    <row r="3322">
      <c r="B3322" s="25" t="n"/>
      <c r="I3322" s="25" t="n"/>
      <c r="U3322" s="19">
        <f>IF($V3322&lt;&gt;'設定'!$C$4,N(U3321),IF(OR(NOT(COUNTIF('商品マスタ'!$B$6:$B$1005,$W3322)=0),COUNTIFS('①在庫を貼る'!$V$6:$V$10005,$V3322,'①在庫を貼る'!$W$6:$W$10005,$W3322)&gt;0),N(U3321),N(U3321)+1))</f>
        <v/>
      </c>
      <c r="V3322" s="19">
        <f>IF($B3322="","",TEXT($B3322,"0000"))</f>
        <v/>
      </c>
      <c r="W3322" s="19">
        <f>IF($I3322="","",IF(ISNUMBER($I3322),TEXT($I3322,"0"),$I3322))</f>
        <v/>
      </c>
    </row>
    <row r="3323">
      <c r="B3323" s="25" t="n"/>
      <c r="I3323" s="25" t="n"/>
      <c r="U3323" s="19">
        <f>IF($V3323&lt;&gt;'設定'!$C$4,N(U3322),IF(OR(NOT(COUNTIF('商品マスタ'!$B$6:$B$1005,$W3323)=0),COUNTIFS('①在庫を貼る'!$V$6:$V$10005,$V3323,'①在庫を貼る'!$W$6:$W$10005,$W3323)&gt;0),N(U3322),N(U3322)+1))</f>
        <v/>
      </c>
      <c r="V3323" s="19">
        <f>IF($B3323="","",TEXT($B3323,"0000"))</f>
        <v/>
      </c>
      <c r="W3323" s="19">
        <f>IF($I3323="","",IF(ISNUMBER($I3323),TEXT($I3323,"0"),$I3323))</f>
        <v/>
      </c>
    </row>
    <row r="3324">
      <c r="B3324" s="25" t="n"/>
      <c r="I3324" s="25" t="n"/>
      <c r="U3324" s="19">
        <f>IF($V3324&lt;&gt;'設定'!$C$4,N(U3323),IF(OR(NOT(COUNTIF('商品マスタ'!$B$6:$B$1005,$W3324)=0),COUNTIFS('①在庫を貼る'!$V$6:$V$10005,$V3324,'①在庫を貼る'!$W$6:$W$10005,$W3324)&gt;0),N(U3323),N(U3323)+1))</f>
        <v/>
      </c>
      <c r="V3324" s="19">
        <f>IF($B3324="","",TEXT($B3324,"0000"))</f>
        <v/>
      </c>
      <c r="W3324" s="19">
        <f>IF($I3324="","",IF(ISNUMBER($I3324),TEXT($I3324,"0"),$I3324))</f>
        <v/>
      </c>
    </row>
    <row r="3325">
      <c r="B3325" s="25" t="n"/>
      <c r="I3325" s="25" t="n"/>
      <c r="U3325" s="19">
        <f>IF($V3325&lt;&gt;'設定'!$C$4,N(U3324),IF(OR(NOT(COUNTIF('商品マスタ'!$B$6:$B$1005,$W3325)=0),COUNTIFS('①在庫を貼る'!$V$6:$V$10005,$V3325,'①在庫を貼る'!$W$6:$W$10005,$W3325)&gt;0),N(U3324),N(U3324)+1))</f>
        <v/>
      </c>
      <c r="V3325" s="19">
        <f>IF($B3325="","",TEXT($B3325,"0000"))</f>
        <v/>
      </c>
      <c r="W3325" s="19">
        <f>IF($I3325="","",IF(ISNUMBER($I3325),TEXT($I3325,"0"),$I3325))</f>
        <v/>
      </c>
    </row>
    <row r="3326">
      <c r="B3326" s="25" t="n"/>
      <c r="I3326" s="25" t="n"/>
      <c r="U3326" s="19">
        <f>IF($V3326&lt;&gt;'設定'!$C$4,N(U3325),IF(OR(NOT(COUNTIF('商品マスタ'!$B$6:$B$1005,$W3326)=0),COUNTIFS('①在庫を貼る'!$V$6:$V$10005,$V3326,'①在庫を貼る'!$W$6:$W$10005,$W3326)&gt;0),N(U3325),N(U3325)+1))</f>
        <v/>
      </c>
      <c r="V3326" s="19">
        <f>IF($B3326="","",TEXT($B3326,"0000"))</f>
        <v/>
      </c>
      <c r="W3326" s="19">
        <f>IF($I3326="","",IF(ISNUMBER($I3326),TEXT($I3326,"0"),$I3326))</f>
        <v/>
      </c>
    </row>
    <row r="3327">
      <c r="B3327" s="25" t="n"/>
      <c r="I3327" s="25" t="n"/>
      <c r="U3327" s="19">
        <f>IF($V3327&lt;&gt;'設定'!$C$4,N(U3326),IF(OR(NOT(COUNTIF('商品マスタ'!$B$6:$B$1005,$W3327)=0),COUNTIFS('①在庫を貼る'!$V$6:$V$10005,$V3327,'①在庫を貼る'!$W$6:$W$10005,$W3327)&gt;0),N(U3326),N(U3326)+1))</f>
        <v/>
      </c>
      <c r="V3327" s="19">
        <f>IF($B3327="","",TEXT($B3327,"0000"))</f>
        <v/>
      </c>
      <c r="W3327" s="19">
        <f>IF($I3327="","",IF(ISNUMBER($I3327),TEXT($I3327,"0"),$I3327))</f>
        <v/>
      </c>
    </row>
    <row r="3328">
      <c r="B3328" s="25" t="n"/>
      <c r="I3328" s="25" t="n"/>
      <c r="U3328" s="19">
        <f>IF($V3328&lt;&gt;'設定'!$C$4,N(U3327),IF(OR(NOT(COUNTIF('商品マスタ'!$B$6:$B$1005,$W3328)=0),COUNTIFS('①在庫を貼る'!$V$6:$V$10005,$V3328,'①在庫を貼る'!$W$6:$W$10005,$W3328)&gt;0),N(U3327),N(U3327)+1))</f>
        <v/>
      </c>
      <c r="V3328" s="19">
        <f>IF($B3328="","",TEXT($B3328,"0000"))</f>
        <v/>
      </c>
      <c r="W3328" s="19">
        <f>IF($I3328="","",IF(ISNUMBER($I3328),TEXT($I3328,"0"),$I3328))</f>
        <v/>
      </c>
    </row>
    <row r="3329">
      <c r="B3329" s="25" t="n"/>
      <c r="I3329" s="25" t="n"/>
      <c r="U3329" s="19">
        <f>IF($V3329&lt;&gt;'設定'!$C$4,N(U3328),IF(OR(NOT(COUNTIF('商品マスタ'!$B$6:$B$1005,$W3329)=0),COUNTIFS('①在庫を貼る'!$V$6:$V$10005,$V3329,'①在庫を貼る'!$W$6:$W$10005,$W3329)&gt;0),N(U3328),N(U3328)+1))</f>
        <v/>
      </c>
      <c r="V3329" s="19">
        <f>IF($B3329="","",TEXT($B3329,"0000"))</f>
        <v/>
      </c>
      <c r="W3329" s="19">
        <f>IF($I3329="","",IF(ISNUMBER($I3329),TEXT($I3329,"0"),$I3329))</f>
        <v/>
      </c>
    </row>
    <row r="3330">
      <c r="B3330" s="25" t="n"/>
      <c r="I3330" s="25" t="n"/>
      <c r="U3330" s="19">
        <f>IF($V3330&lt;&gt;'設定'!$C$4,N(U3329),IF(OR(NOT(COUNTIF('商品マスタ'!$B$6:$B$1005,$W3330)=0),COUNTIFS('①在庫を貼る'!$V$6:$V$10005,$V3330,'①在庫を貼る'!$W$6:$W$10005,$W3330)&gt;0),N(U3329),N(U3329)+1))</f>
        <v/>
      </c>
      <c r="V3330" s="19">
        <f>IF($B3330="","",TEXT($B3330,"0000"))</f>
        <v/>
      </c>
      <c r="W3330" s="19">
        <f>IF($I3330="","",IF(ISNUMBER($I3330),TEXT($I3330,"0"),$I3330))</f>
        <v/>
      </c>
    </row>
    <row r="3331">
      <c r="B3331" s="25" t="n"/>
      <c r="I3331" s="25" t="n"/>
      <c r="U3331" s="19">
        <f>IF($V3331&lt;&gt;'設定'!$C$4,N(U3330),IF(OR(NOT(COUNTIF('商品マスタ'!$B$6:$B$1005,$W3331)=0),COUNTIFS('①在庫を貼る'!$V$6:$V$10005,$V3331,'①在庫を貼る'!$W$6:$W$10005,$W3331)&gt;0),N(U3330),N(U3330)+1))</f>
        <v/>
      </c>
      <c r="V3331" s="19">
        <f>IF($B3331="","",TEXT($B3331,"0000"))</f>
        <v/>
      </c>
      <c r="W3331" s="19">
        <f>IF($I3331="","",IF(ISNUMBER($I3331),TEXT($I3331,"0"),$I3331))</f>
        <v/>
      </c>
    </row>
    <row r="3332">
      <c r="B3332" s="25" t="n"/>
      <c r="I3332" s="25" t="n"/>
      <c r="U3332" s="19">
        <f>IF($V3332&lt;&gt;'設定'!$C$4,N(U3331),IF(OR(NOT(COUNTIF('商品マスタ'!$B$6:$B$1005,$W3332)=0),COUNTIFS('①在庫を貼る'!$V$6:$V$10005,$V3332,'①在庫を貼る'!$W$6:$W$10005,$W3332)&gt;0),N(U3331),N(U3331)+1))</f>
        <v/>
      </c>
      <c r="V3332" s="19">
        <f>IF($B3332="","",TEXT($B3332,"0000"))</f>
        <v/>
      </c>
      <c r="W3332" s="19">
        <f>IF($I3332="","",IF(ISNUMBER($I3332),TEXT($I3332,"0"),$I3332))</f>
        <v/>
      </c>
    </row>
    <row r="3333">
      <c r="B3333" s="25" t="n"/>
      <c r="I3333" s="25" t="n"/>
      <c r="U3333" s="19">
        <f>IF($V3333&lt;&gt;'設定'!$C$4,N(U3332),IF(OR(NOT(COUNTIF('商品マスタ'!$B$6:$B$1005,$W3333)=0),COUNTIFS('①在庫を貼る'!$V$6:$V$10005,$V3333,'①在庫を貼る'!$W$6:$W$10005,$W3333)&gt;0),N(U3332),N(U3332)+1))</f>
        <v/>
      </c>
      <c r="V3333" s="19">
        <f>IF($B3333="","",TEXT($B3333,"0000"))</f>
        <v/>
      </c>
      <c r="W3333" s="19">
        <f>IF($I3333="","",IF(ISNUMBER($I3333),TEXT($I3333,"0"),$I3333))</f>
        <v/>
      </c>
    </row>
    <row r="3334">
      <c r="B3334" s="25" t="n"/>
      <c r="I3334" s="25" t="n"/>
      <c r="U3334" s="19">
        <f>IF($V3334&lt;&gt;'設定'!$C$4,N(U3333),IF(OR(NOT(COUNTIF('商品マスタ'!$B$6:$B$1005,$W3334)=0),COUNTIFS('①在庫を貼る'!$V$6:$V$10005,$V3334,'①在庫を貼る'!$W$6:$W$10005,$W3334)&gt;0),N(U3333),N(U3333)+1))</f>
        <v/>
      </c>
      <c r="V3334" s="19">
        <f>IF($B3334="","",TEXT($B3334,"0000"))</f>
        <v/>
      </c>
      <c r="W3334" s="19">
        <f>IF($I3334="","",IF(ISNUMBER($I3334),TEXT($I3334,"0"),$I3334))</f>
        <v/>
      </c>
    </row>
    <row r="3335">
      <c r="B3335" s="25" t="n"/>
      <c r="I3335" s="25" t="n"/>
      <c r="U3335" s="19">
        <f>IF($V3335&lt;&gt;'設定'!$C$4,N(U3334),IF(OR(NOT(COUNTIF('商品マスタ'!$B$6:$B$1005,$W3335)=0),COUNTIFS('①在庫を貼る'!$V$6:$V$10005,$V3335,'①在庫を貼る'!$W$6:$W$10005,$W3335)&gt;0),N(U3334),N(U3334)+1))</f>
        <v/>
      </c>
      <c r="V3335" s="19">
        <f>IF($B3335="","",TEXT($B3335,"0000"))</f>
        <v/>
      </c>
      <c r="W3335" s="19">
        <f>IF($I3335="","",IF(ISNUMBER($I3335),TEXT($I3335,"0"),$I3335))</f>
        <v/>
      </c>
    </row>
    <row r="3336">
      <c r="B3336" s="25" t="n"/>
      <c r="I3336" s="25" t="n"/>
      <c r="U3336" s="19">
        <f>IF($V3336&lt;&gt;'設定'!$C$4,N(U3335),IF(OR(NOT(COUNTIF('商品マスタ'!$B$6:$B$1005,$W3336)=0),COUNTIFS('①在庫を貼る'!$V$6:$V$10005,$V3336,'①在庫を貼る'!$W$6:$W$10005,$W3336)&gt;0),N(U3335),N(U3335)+1))</f>
        <v/>
      </c>
      <c r="V3336" s="19">
        <f>IF($B3336="","",TEXT($B3336,"0000"))</f>
        <v/>
      </c>
      <c r="W3336" s="19">
        <f>IF($I3336="","",IF(ISNUMBER($I3336),TEXT($I3336,"0"),$I3336))</f>
        <v/>
      </c>
    </row>
    <row r="3337">
      <c r="B3337" s="25" t="n"/>
      <c r="I3337" s="25" t="n"/>
      <c r="U3337" s="19">
        <f>IF($V3337&lt;&gt;'設定'!$C$4,N(U3336),IF(OR(NOT(COUNTIF('商品マスタ'!$B$6:$B$1005,$W3337)=0),COUNTIFS('①在庫を貼る'!$V$6:$V$10005,$V3337,'①在庫を貼る'!$W$6:$W$10005,$W3337)&gt;0),N(U3336),N(U3336)+1))</f>
        <v/>
      </c>
      <c r="V3337" s="19">
        <f>IF($B3337="","",TEXT($B3337,"0000"))</f>
        <v/>
      </c>
      <c r="W3337" s="19">
        <f>IF($I3337="","",IF(ISNUMBER($I3337),TEXT($I3337,"0"),$I3337))</f>
        <v/>
      </c>
    </row>
    <row r="3338">
      <c r="B3338" s="25" t="n"/>
      <c r="I3338" s="25" t="n"/>
      <c r="U3338" s="19">
        <f>IF($V3338&lt;&gt;'設定'!$C$4,N(U3337),IF(OR(NOT(COUNTIF('商品マスタ'!$B$6:$B$1005,$W3338)=0),COUNTIFS('①在庫を貼る'!$V$6:$V$10005,$V3338,'①在庫を貼る'!$W$6:$W$10005,$W3338)&gt;0),N(U3337),N(U3337)+1))</f>
        <v/>
      </c>
      <c r="V3338" s="19">
        <f>IF($B3338="","",TEXT($B3338,"0000"))</f>
        <v/>
      </c>
      <c r="W3338" s="19">
        <f>IF($I3338="","",IF(ISNUMBER($I3338),TEXT($I3338,"0"),$I3338))</f>
        <v/>
      </c>
    </row>
    <row r="3339">
      <c r="B3339" s="25" t="n"/>
      <c r="I3339" s="25" t="n"/>
      <c r="U3339" s="19">
        <f>IF($V3339&lt;&gt;'設定'!$C$4,N(U3338),IF(OR(NOT(COUNTIF('商品マスタ'!$B$6:$B$1005,$W3339)=0),COUNTIFS('①在庫を貼る'!$V$6:$V$10005,$V3339,'①在庫を貼る'!$W$6:$W$10005,$W3339)&gt;0),N(U3338),N(U3338)+1))</f>
        <v/>
      </c>
      <c r="V3339" s="19">
        <f>IF($B3339="","",TEXT($B3339,"0000"))</f>
        <v/>
      </c>
      <c r="W3339" s="19">
        <f>IF($I3339="","",IF(ISNUMBER($I3339),TEXT($I3339,"0"),$I3339))</f>
        <v/>
      </c>
    </row>
    <row r="3340">
      <c r="B3340" s="25" t="n"/>
      <c r="I3340" s="25" t="n"/>
      <c r="U3340" s="19">
        <f>IF($V3340&lt;&gt;'設定'!$C$4,N(U3339),IF(OR(NOT(COUNTIF('商品マスタ'!$B$6:$B$1005,$W3340)=0),COUNTIFS('①在庫を貼る'!$V$6:$V$10005,$V3340,'①在庫を貼る'!$W$6:$W$10005,$W3340)&gt;0),N(U3339),N(U3339)+1))</f>
        <v/>
      </c>
      <c r="V3340" s="19">
        <f>IF($B3340="","",TEXT($B3340,"0000"))</f>
        <v/>
      </c>
      <c r="W3340" s="19">
        <f>IF($I3340="","",IF(ISNUMBER($I3340),TEXT($I3340,"0"),$I3340))</f>
        <v/>
      </c>
    </row>
    <row r="3341">
      <c r="B3341" s="25" t="n"/>
      <c r="I3341" s="25" t="n"/>
      <c r="U3341" s="19">
        <f>IF($V3341&lt;&gt;'設定'!$C$4,N(U3340),IF(OR(NOT(COUNTIF('商品マスタ'!$B$6:$B$1005,$W3341)=0),COUNTIFS('①在庫を貼る'!$V$6:$V$10005,$V3341,'①在庫を貼る'!$W$6:$W$10005,$W3341)&gt;0),N(U3340),N(U3340)+1))</f>
        <v/>
      </c>
      <c r="V3341" s="19">
        <f>IF($B3341="","",TEXT($B3341,"0000"))</f>
        <v/>
      </c>
      <c r="W3341" s="19">
        <f>IF($I3341="","",IF(ISNUMBER($I3341),TEXT($I3341,"0"),$I3341))</f>
        <v/>
      </c>
    </row>
    <row r="3342">
      <c r="B3342" s="25" t="n"/>
      <c r="I3342" s="25" t="n"/>
      <c r="U3342" s="19">
        <f>IF($V3342&lt;&gt;'設定'!$C$4,N(U3341),IF(OR(NOT(COUNTIF('商品マスタ'!$B$6:$B$1005,$W3342)=0),COUNTIFS('①在庫を貼る'!$V$6:$V$10005,$V3342,'①在庫を貼る'!$W$6:$W$10005,$W3342)&gt;0),N(U3341),N(U3341)+1))</f>
        <v/>
      </c>
      <c r="V3342" s="19">
        <f>IF($B3342="","",TEXT($B3342,"0000"))</f>
        <v/>
      </c>
      <c r="W3342" s="19">
        <f>IF($I3342="","",IF(ISNUMBER($I3342),TEXT($I3342,"0"),$I3342))</f>
        <v/>
      </c>
    </row>
    <row r="3343">
      <c r="B3343" s="25" t="n"/>
      <c r="I3343" s="25" t="n"/>
      <c r="U3343" s="19">
        <f>IF($V3343&lt;&gt;'設定'!$C$4,N(U3342),IF(OR(NOT(COUNTIF('商品マスタ'!$B$6:$B$1005,$W3343)=0),COUNTIFS('①在庫を貼る'!$V$6:$V$10005,$V3343,'①在庫を貼る'!$W$6:$W$10005,$W3343)&gt;0),N(U3342),N(U3342)+1))</f>
        <v/>
      </c>
      <c r="V3343" s="19">
        <f>IF($B3343="","",TEXT($B3343,"0000"))</f>
        <v/>
      </c>
      <c r="W3343" s="19">
        <f>IF($I3343="","",IF(ISNUMBER($I3343),TEXT($I3343,"0"),$I3343))</f>
        <v/>
      </c>
    </row>
    <row r="3344">
      <c r="B3344" s="25" t="n"/>
      <c r="I3344" s="25" t="n"/>
      <c r="U3344" s="19">
        <f>IF($V3344&lt;&gt;'設定'!$C$4,N(U3343),IF(OR(NOT(COUNTIF('商品マスタ'!$B$6:$B$1005,$W3344)=0),COUNTIFS('①在庫を貼る'!$V$6:$V$10005,$V3344,'①在庫を貼る'!$W$6:$W$10005,$W3344)&gt;0),N(U3343),N(U3343)+1))</f>
        <v/>
      </c>
      <c r="V3344" s="19">
        <f>IF($B3344="","",TEXT($B3344,"0000"))</f>
        <v/>
      </c>
      <c r="W3344" s="19">
        <f>IF($I3344="","",IF(ISNUMBER($I3344),TEXT($I3344,"0"),$I3344))</f>
        <v/>
      </c>
    </row>
    <row r="3345">
      <c r="B3345" s="25" t="n"/>
      <c r="I3345" s="25" t="n"/>
      <c r="U3345" s="19">
        <f>IF($V3345&lt;&gt;'設定'!$C$4,N(U3344),IF(OR(NOT(COUNTIF('商品マスタ'!$B$6:$B$1005,$W3345)=0),COUNTIFS('①在庫を貼る'!$V$6:$V$10005,$V3345,'①在庫を貼る'!$W$6:$W$10005,$W3345)&gt;0),N(U3344),N(U3344)+1))</f>
        <v/>
      </c>
      <c r="V3345" s="19">
        <f>IF($B3345="","",TEXT($B3345,"0000"))</f>
        <v/>
      </c>
      <c r="W3345" s="19">
        <f>IF($I3345="","",IF(ISNUMBER($I3345),TEXT($I3345,"0"),$I3345))</f>
        <v/>
      </c>
    </row>
    <row r="3346">
      <c r="B3346" s="25" t="n"/>
      <c r="I3346" s="25" t="n"/>
      <c r="U3346" s="19">
        <f>IF($V3346&lt;&gt;'設定'!$C$4,N(U3345),IF(OR(NOT(COUNTIF('商品マスタ'!$B$6:$B$1005,$W3346)=0),COUNTIFS('①在庫を貼る'!$V$6:$V$10005,$V3346,'①在庫を貼る'!$W$6:$W$10005,$W3346)&gt;0),N(U3345),N(U3345)+1))</f>
        <v/>
      </c>
      <c r="V3346" s="19">
        <f>IF($B3346="","",TEXT($B3346,"0000"))</f>
        <v/>
      </c>
      <c r="W3346" s="19">
        <f>IF($I3346="","",IF(ISNUMBER($I3346),TEXT($I3346,"0"),$I3346))</f>
        <v/>
      </c>
    </row>
    <row r="3347">
      <c r="B3347" s="25" t="n"/>
      <c r="I3347" s="25" t="n"/>
      <c r="U3347" s="19">
        <f>IF($V3347&lt;&gt;'設定'!$C$4,N(U3346),IF(OR(NOT(COUNTIF('商品マスタ'!$B$6:$B$1005,$W3347)=0),COUNTIFS('①在庫を貼る'!$V$6:$V$10005,$V3347,'①在庫を貼る'!$W$6:$W$10005,$W3347)&gt;0),N(U3346),N(U3346)+1))</f>
        <v/>
      </c>
      <c r="V3347" s="19">
        <f>IF($B3347="","",TEXT($B3347,"0000"))</f>
        <v/>
      </c>
      <c r="W3347" s="19">
        <f>IF($I3347="","",IF(ISNUMBER($I3347),TEXT($I3347,"0"),$I3347))</f>
        <v/>
      </c>
    </row>
    <row r="3348">
      <c r="B3348" s="25" t="n"/>
      <c r="I3348" s="25" t="n"/>
      <c r="U3348" s="19">
        <f>IF($V3348&lt;&gt;'設定'!$C$4,N(U3347),IF(OR(NOT(COUNTIF('商品マスタ'!$B$6:$B$1005,$W3348)=0),COUNTIFS('①在庫を貼る'!$V$6:$V$10005,$V3348,'①在庫を貼る'!$W$6:$W$10005,$W3348)&gt;0),N(U3347),N(U3347)+1))</f>
        <v/>
      </c>
      <c r="V3348" s="19">
        <f>IF($B3348="","",TEXT($B3348,"0000"))</f>
        <v/>
      </c>
      <c r="W3348" s="19">
        <f>IF($I3348="","",IF(ISNUMBER($I3348),TEXT($I3348,"0"),$I3348))</f>
        <v/>
      </c>
    </row>
    <row r="3349">
      <c r="B3349" s="25" t="n"/>
      <c r="I3349" s="25" t="n"/>
      <c r="U3349" s="19">
        <f>IF($V3349&lt;&gt;'設定'!$C$4,N(U3348),IF(OR(NOT(COUNTIF('商品マスタ'!$B$6:$B$1005,$W3349)=0),COUNTIFS('①在庫を貼る'!$V$6:$V$10005,$V3349,'①在庫を貼る'!$W$6:$W$10005,$W3349)&gt;0),N(U3348),N(U3348)+1))</f>
        <v/>
      </c>
      <c r="V3349" s="19">
        <f>IF($B3349="","",TEXT($B3349,"0000"))</f>
        <v/>
      </c>
      <c r="W3349" s="19">
        <f>IF($I3349="","",IF(ISNUMBER($I3349),TEXT($I3349,"0"),$I3349))</f>
        <v/>
      </c>
    </row>
    <row r="3350">
      <c r="B3350" s="25" t="n"/>
      <c r="I3350" s="25" t="n"/>
      <c r="U3350" s="19">
        <f>IF($V3350&lt;&gt;'設定'!$C$4,N(U3349),IF(OR(NOT(COUNTIF('商品マスタ'!$B$6:$B$1005,$W3350)=0),COUNTIFS('①在庫を貼る'!$V$6:$V$10005,$V3350,'①在庫を貼る'!$W$6:$W$10005,$W3350)&gt;0),N(U3349),N(U3349)+1))</f>
        <v/>
      </c>
      <c r="V3350" s="19">
        <f>IF($B3350="","",TEXT($B3350,"0000"))</f>
        <v/>
      </c>
      <c r="W3350" s="19">
        <f>IF($I3350="","",IF(ISNUMBER($I3350),TEXT($I3350,"0"),$I3350))</f>
        <v/>
      </c>
    </row>
    <row r="3351">
      <c r="B3351" s="25" t="n"/>
      <c r="I3351" s="25" t="n"/>
      <c r="U3351" s="19">
        <f>IF($V3351&lt;&gt;'設定'!$C$4,N(U3350),IF(OR(NOT(COUNTIF('商品マスタ'!$B$6:$B$1005,$W3351)=0),COUNTIFS('①在庫を貼る'!$V$6:$V$10005,$V3351,'①在庫を貼る'!$W$6:$W$10005,$W3351)&gt;0),N(U3350),N(U3350)+1))</f>
        <v/>
      </c>
      <c r="V3351" s="19">
        <f>IF($B3351="","",TEXT($B3351,"0000"))</f>
        <v/>
      </c>
      <c r="W3351" s="19">
        <f>IF($I3351="","",IF(ISNUMBER($I3351),TEXT($I3351,"0"),$I3351))</f>
        <v/>
      </c>
    </row>
    <row r="3352">
      <c r="B3352" s="25" t="n"/>
      <c r="I3352" s="25" t="n"/>
      <c r="U3352" s="19">
        <f>IF($V3352&lt;&gt;'設定'!$C$4,N(U3351),IF(OR(NOT(COUNTIF('商品マスタ'!$B$6:$B$1005,$W3352)=0),COUNTIFS('①在庫を貼る'!$V$6:$V$10005,$V3352,'①在庫を貼る'!$W$6:$W$10005,$W3352)&gt;0),N(U3351),N(U3351)+1))</f>
        <v/>
      </c>
      <c r="V3352" s="19">
        <f>IF($B3352="","",TEXT($B3352,"0000"))</f>
        <v/>
      </c>
      <c r="W3352" s="19">
        <f>IF($I3352="","",IF(ISNUMBER($I3352),TEXT($I3352,"0"),$I3352))</f>
        <v/>
      </c>
    </row>
    <row r="3353">
      <c r="B3353" s="25" t="n"/>
      <c r="I3353" s="25" t="n"/>
      <c r="U3353" s="19">
        <f>IF($V3353&lt;&gt;'設定'!$C$4,N(U3352),IF(OR(NOT(COUNTIF('商品マスタ'!$B$6:$B$1005,$W3353)=0),COUNTIFS('①在庫を貼る'!$V$6:$V$10005,$V3353,'①在庫を貼る'!$W$6:$W$10005,$W3353)&gt;0),N(U3352),N(U3352)+1))</f>
        <v/>
      </c>
      <c r="V3353" s="19">
        <f>IF($B3353="","",TEXT($B3353,"0000"))</f>
        <v/>
      </c>
      <c r="W3353" s="19">
        <f>IF($I3353="","",IF(ISNUMBER($I3353),TEXT($I3353,"0"),$I3353))</f>
        <v/>
      </c>
    </row>
    <row r="3354">
      <c r="B3354" s="25" t="n"/>
      <c r="I3354" s="25" t="n"/>
      <c r="U3354" s="19">
        <f>IF($V3354&lt;&gt;'設定'!$C$4,N(U3353),IF(OR(NOT(COUNTIF('商品マスタ'!$B$6:$B$1005,$W3354)=0),COUNTIFS('①在庫を貼る'!$V$6:$V$10005,$V3354,'①在庫を貼る'!$W$6:$W$10005,$W3354)&gt;0),N(U3353),N(U3353)+1))</f>
        <v/>
      </c>
      <c r="V3354" s="19">
        <f>IF($B3354="","",TEXT($B3354,"0000"))</f>
        <v/>
      </c>
      <c r="W3354" s="19">
        <f>IF($I3354="","",IF(ISNUMBER($I3354),TEXT($I3354,"0"),$I3354))</f>
        <v/>
      </c>
    </row>
    <row r="3355">
      <c r="B3355" s="25" t="n"/>
      <c r="I3355" s="25" t="n"/>
      <c r="U3355" s="19">
        <f>IF($V3355&lt;&gt;'設定'!$C$4,N(U3354),IF(OR(NOT(COUNTIF('商品マスタ'!$B$6:$B$1005,$W3355)=0),COUNTIFS('①在庫を貼る'!$V$6:$V$10005,$V3355,'①在庫を貼る'!$W$6:$W$10005,$W3355)&gt;0),N(U3354),N(U3354)+1))</f>
        <v/>
      </c>
      <c r="V3355" s="19">
        <f>IF($B3355="","",TEXT($B3355,"0000"))</f>
        <v/>
      </c>
      <c r="W3355" s="19">
        <f>IF($I3355="","",IF(ISNUMBER($I3355),TEXT($I3355,"0"),$I3355))</f>
        <v/>
      </c>
    </row>
    <row r="3356">
      <c r="B3356" s="25" t="n"/>
      <c r="I3356" s="25" t="n"/>
      <c r="U3356" s="19">
        <f>IF($V3356&lt;&gt;'設定'!$C$4,N(U3355),IF(OR(NOT(COUNTIF('商品マスタ'!$B$6:$B$1005,$W3356)=0),COUNTIFS('①在庫を貼る'!$V$6:$V$10005,$V3356,'①在庫を貼る'!$W$6:$W$10005,$W3356)&gt;0),N(U3355),N(U3355)+1))</f>
        <v/>
      </c>
      <c r="V3356" s="19">
        <f>IF($B3356="","",TEXT($B3356,"0000"))</f>
        <v/>
      </c>
      <c r="W3356" s="19">
        <f>IF($I3356="","",IF(ISNUMBER($I3356),TEXT($I3356,"0"),$I3356))</f>
        <v/>
      </c>
    </row>
    <row r="3357">
      <c r="B3357" s="25" t="n"/>
      <c r="I3357" s="25" t="n"/>
      <c r="U3357" s="19">
        <f>IF($V3357&lt;&gt;'設定'!$C$4,N(U3356),IF(OR(NOT(COUNTIF('商品マスタ'!$B$6:$B$1005,$W3357)=0),COUNTIFS('①在庫を貼る'!$V$6:$V$10005,$V3357,'①在庫を貼る'!$W$6:$W$10005,$W3357)&gt;0),N(U3356),N(U3356)+1))</f>
        <v/>
      </c>
      <c r="V3357" s="19">
        <f>IF($B3357="","",TEXT($B3357,"0000"))</f>
        <v/>
      </c>
      <c r="W3357" s="19">
        <f>IF($I3357="","",IF(ISNUMBER($I3357),TEXT($I3357,"0"),$I3357))</f>
        <v/>
      </c>
    </row>
    <row r="3358">
      <c r="B3358" s="25" t="n"/>
      <c r="I3358" s="25" t="n"/>
      <c r="U3358" s="19">
        <f>IF($V3358&lt;&gt;'設定'!$C$4,N(U3357),IF(OR(NOT(COUNTIF('商品マスタ'!$B$6:$B$1005,$W3358)=0),COUNTIFS('①在庫を貼る'!$V$6:$V$10005,$V3358,'①在庫を貼る'!$W$6:$W$10005,$W3358)&gt;0),N(U3357),N(U3357)+1))</f>
        <v/>
      </c>
      <c r="V3358" s="19">
        <f>IF($B3358="","",TEXT($B3358,"0000"))</f>
        <v/>
      </c>
      <c r="W3358" s="19">
        <f>IF($I3358="","",IF(ISNUMBER($I3358),TEXT($I3358,"0"),$I3358))</f>
        <v/>
      </c>
    </row>
    <row r="3359">
      <c r="B3359" s="25" t="n"/>
      <c r="I3359" s="25" t="n"/>
      <c r="U3359" s="19">
        <f>IF($V3359&lt;&gt;'設定'!$C$4,N(U3358),IF(OR(NOT(COUNTIF('商品マスタ'!$B$6:$B$1005,$W3359)=0),COUNTIFS('①在庫を貼る'!$V$6:$V$10005,$V3359,'①在庫を貼る'!$W$6:$W$10005,$W3359)&gt;0),N(U3358),N(U3358)+1))</f>
        <v/>
      </c>
      <c r="V3359" s="19">
        <f>IF($B3359="","",TEXT($B3359,"0000"))</f>
        <v/>
      </c>
      <c r="W3359" s="19">
        <f>IF($I3359="","",IF(ISNUMBER($I3359),TEXT($I3359,"0"),$I3359))</f>
        <v/>
      </c>
    </row>
    <row r="3360">
      <c r="B3360" s="25" t="n"/>
      <c r="I3360" s="25" t="n"/>
      <c r="U3360" s="19">
        <f>IF($V3360&lt;&gt;'設定'!$C$4,N(U3359),IF(OR(NOT(COUNTIF('商品マスタ'!$B$6:$B$1005,$W3360)=0),COUNTIFS('①在庫を貼る'!$V$6:$V$10005,$V3360,'①在庫を貼る'!$W$6:$W$10005,$W3360)&gt;0),N(U3359),N(U3359)+1))</f>
        <v/>
      </c>
      <c r="V3360" s="19">
        <f>IF($B3360="","",TEXT($B3360,"0000"))</f>
        <v/>
      </c>
      <c r="W3360" s="19">
        <f>IF($I3360="","",IF(ISNUMBER($I3360),TEXT($I3360,"0"),$I3360))</f>
        <v/>
      </c>
    </row>
    <row r="3361">
      <c r="B3361" s="25" t="n"/>
      <c r="I3361" s="25" t="n"/>
      <c r="U3361" s="19">
        <f>IF($V3361&lt;&gt;'設定'!$C$4,N(U3360),IF(OR(NOT(COUNTIF('商品マスタ'!$B$6:$B$1005,$W3361)=0),COUNTIFS('①在庫を貼る'!$V$6:$V$10005,$V3361,'①在庫を貼る'!$W$6:$W$10005,$W3361)&gt;0),N(U3360),N(U3360)+1))</f>
        <v/>
      </c>
      <c r="V3361" s="19">
        <f>IF($B3361="","",TEXT($B3361,"0000"))</f>
        <v/>
      </c>
      <c r="W3361" s="19">
        <f>IF($I3361="","",IF(ISNUMBER($I3361),TEXT($I3361,"0"),$I3361))</f>
        <v/>
      </c>
    </row>
    <row r="3362">
      <c r="B3362" s="25" t="n"/>
      <c r="I3362" s="25" t="n"/>
      <c r="U3362" s="19">
        <f>IF($V3362&lt;&gt;'設定'!$C$4,N(U3361),IF(OR(NOT(COUNTIF('商品マスタ'!$B$6:$B$1005,$W3362)=0),COUNTIFS('①在庫を貼る'!$V$6:$V$10005,$V3362,'①在庫を貼る'!$W$6:$W$10005,$W3362)&gt;0),N(U3361),N(U3361)+1))</f>
        <v/>
      </c>
      <c r="V3362" s="19">
        <f>IF($B3362="","",TEXT($B3362,"0000"))</f>
        <v/>
      </c>
      <c r="W3362" s="19">
        <f>IF($I3362="","",IF(ISNUMBER($I3362),TEXT($I3362,"0"),$I3362))</f>
        <v/>
      </c>
    </row>
    <row r="3363">
      <c r="B3363" s="25" t="n"/>
      <c r="I3363" s="25" t="n"/>
      <c r="U3363" s="19">
        <f>IF($V3363&lt;&gt;'設定'!$C$4,N(U3362),IF(OR(NOT(COUNTIF('商品マスタ'!$B$6:$B$1005,$W3363)=0),COUNTIFS('①在庫を貼る'!$V$6:$V$10005,$V3363,'①在庫を貼る'!$W$6:$W$10005,$W3363)&gt;0),N(U3362),N(U3362)+1))</f>
        <v/>
      </c>
      <c r="V3363" s="19">
        <f>IF($B3363="","",TEXT($B3363,"0000"))</f>
        <v/>
      </c>
      <c r="W3363" s="19">
        <f>IF($I3363="","",IF(ISNUMBER($I3363),TEXT($I3363,"0"),$I3363))</f>
        <v/>
      </c>
    </row>
    <row r="3364">
      <c r="B3364" s="25" t="n"/>
      <c r="I3364" s="25" t="n"/>
      <c r="U3364" s="19">
        <f>IF($V3364&lt;&gt;'設定'!$C$4,N(U3363),IF(OR(NOT(COUNTIF('商品マスタ'!$B$6:$B$1005,$W3364)=0),COUNTIFS('①在庫を貼る'!$V$6:$V$10005,$V3364,'①在庫を貼る'!$W$6:$W$10005,$W3364)&gt;0),N(U3363),N(U3363)+1))</f>
        <v/>
      </c>
      <c r="V3364" s="19">
        <f>IF($B3364="","",TEXT($B3364,"0000"))</f>
        <v/>
      </c>
      <c r="W3364" s="19">
        <f>IF($I3364="","",IF(ISNUMBER($I3364),TEXT($I3364,"0"),$I3364))</f>
        <v/>
      </c>
    </row>
    <row r="3365">
      <c r="B3365" s="25" t="n"/>
      <c r="I3365" s="25" t="n"/>
      <c r="U3365" s="19">
        <f>IF($V3365&lt;&gt;'設定'!$C$4,N(U3364),IF(OR(NOT(COUNTIF('商品マスタ'!$B$6:$B$1005,$W3365)=0),COUNTIFS('①在庫を貼る'!$V$6:$V$10005,$V3365,'①在庫を貼る'!$W$6:$W$10005,$W3365)&gt;0),N(U3364),N(U3364)+1))</f>
        <v/>
      </c>
      <c r="V3365" s="19">
        <f>IF($B3365="","",TEXT($B3365,"0000"))</f>
        <v/>
      </c>
      <c r="W3365" s="19">
        <f>IF($I3365="","",IF(ISNUMBER($I3365),TEXT($I3365,"0"),$I3365))</f>
        <v/>
      </c>
    </row>
    <row r="3366">
      <c r="B3366" s="25" t="n"/>
      <c r="I3366" s="25" t="n"/>
      <c r="U3366" s="19">
        <f>IF($V3366&lt;&gt;'設定'!$C$4,N(U3365),IF(OR(NOT(COUNTIF('商品マスタ'!$B$6:$B$1005,$W3366)=0),COUNTIFS('①在庫を貼る'!$V$6:$V$10005,$V3366,'①在庫を貼る'!$W$6:$W$10005,$W3366)&gt;0),N(U3365),N(U3365)+1))</f>
        <v/>
      </c>
      <c r="V3366" s="19">
        <f>IF($B3366="","",TEXT($B3366,"0000"))</f>
        <v/>
      </c>
      <c r="W3366" s="19">
        <f>IF($I3366="","",IF(ISNUMBER($I3366),TEXT($I3366,"0"),$I3366))</f>
        <v/>
      </c>
    </row>
    <row r="3367">
      <c r="B3367" s="25" t="n"/>
      <c r="I3367" s="25" t="n"/>
      <c r="U3367" s="19">
        <f>IF($V3367&lt;&gt;'設定'!$C$4,N(U3366),IF(OR(NOT(COUNTIF('商品マスタ'!$B$6:$B$1005,$W3367)=0),COUNTIFS('①在庫を貼る'!$V$6:$V$10005,$V3367,'①在庫を貼る'!$W$6:$W$10005,$W3367)&gt;0),N(U3366),N(U3366)+1))</f>
        <v/>
      </c>
      <c r="V3367" s="19">
        <f>IF($B3367="","",TEXT($B3367,"0000"))</f>
        <v/>
      </c>
      <c r="W3367" s="19">
        <f>IF($I3367="","",IF(ISNUMBER($I3367),TEXT($I3367,"0"),$I3367))</f>
        <v/>
      </c>
    </row>
    <row r="3368">
      <c r="B3368" s="25" t="n"/>
      <c r="I3368" s="25" t="n"/>
      <c r="U3368" s="19">
        <f>IF($V3368&lt;&gt;'設定'!$C$4,N(U3367),IF(OR(NOT(COUNTIF('商品マスタ'!$B$6:$B$1005,$W3368)=0),COUNTIFS('①在庫を貼る'!$V$6:$V$10005,$V3368,'①在庫を貼る'!$W$6:$W$10005,$W3368)&gt;0),N(U3367),N(U3367)+1))</f>
        <v/>
      </c>
      <c r="V3368" s="19">
        <f>IF($B3368="","",TEXT($B3368,"0000"))</f>
        <v/>
      </c>
      <c r="W3368" s="19">
        <f>IF($I3368="","",IF(ISNUMBER($I3368),TEXT($I3368,"0"),$I3368))</f>
        <v/>
      </c>
    </row>
    <row r="3369">
      <c r="B3369" s="25" t="n"/>
      <c r="I3369" s="25" t="n"/>
      <c r="U3369" s="19">
        <f>IF($V3369&lt;&gt;'設定'!$C$4,N(U3368),IF(OR(NOT(COUNTIF('商品マスタ'!$B$6:$B$1005,$W3369)=0),COUNTIFS('①在庫を貼る'!$V$6:$V$10005,$V3369,'①在庫を貼る'!$W$6:$W$10005,$W3369)&gt;0),N(U3368),N(U3368)+1))</f>
        <v/>
      </c>
      <c r="V3369" s="19">
        <f>IF($B3369="","",TEXT($B3369,"0000"))</f>
        <v/>
      </c>
      <c r="W3369" s="19">
        <f>IF($I3369="","",IF(ISNUMBER($I3369),TEXT($I3369,"0"),$I3369))</f>
        <v/>
      </c>
    </row>
    <row r="3370">
      <c r="B3370" s="25" t="n"/>
      <c r="I3370" s="25" t="n"/>
      <c r="U3370" s="19">
        <f>IF($V3370&lt;&gt;'設定'!$C$4,N(U3369),IF(OR(NOT(COUNTIF('商品マスタ'!$B$6:$B$1005,$W3370)=0),COUNTIFS('①在庫を貼る'!$V$6:$V$10005,$V3370,'①在庫を貼る'!$W$6:$W$10005,$W3370)&gt;0),N(U3369),N(U3369)+1))</f>
        <v/>
      </c>
      <c r="V3370" s="19">
        <f>IF($B3370="","",TEXT($B3370,"0000"))</f>
        <v/>
      </c>
      <c r="W3370" s="19">
        <f>IF($I3370="","",IF(ISNUMBER($I3370),TEXT($I3370,"0"),$I3370))</f>
        <v/>
      </c>
    </row>
    <row r="3371">
      <c r="B3371" s="25" t="n"/>
      <c r="I3371" s="25" t="n"/>
      <c r="U3371" s="19">
        <f>IF($V3371&lt;&gt;'設定'!$C$4,N(U3370),IF(OR(NOT(COUNTIF('商品マスタ'!$B$6:$B$1005,$W3371)=0),COUNTIFS('①在庫を貼る'!$V$6:$V$10005,$V3371,'①在庫を貼る'!$W$6:$W$10005,$W3371)&gt;0),N(U3370),N(U3370)+1))</f>
        <v/>
      </c>
      <c r="V3371" s="19">
        <f>IF($B3371="","",TEXT($B3371,"0000"))</f>
        <v/>
      </c>
      <c r="W3371" s="19">
        <f>IF($I3371="","",IF(ISNUMBER($I3371),TEXT($I3371,"0"),$I3371))</f>
        <v/>
      </c>
    </row>
    <row r="3372">
      <c r="B3372" s="25" t="n"/>
      <c r="I3372" s="25" t="n"/>
      <c r="U3372" s="19">
        <f>IF($V3372&lt;&gt;'設定'!$C$4,N(U3371),IF(OR(NOT(COUNTIF('商品マスタ'!$B$6:$B$1005,$W3372)=0),COUNTIFS('①在庫を貼る'!$V$6:$V$10005,$V3372,'①在庫を貼る'!$W$6:$W$10005,$W3372)&gt;0),N(U3371),N(U3371)+1))</f>
        <v/>
      </c>
      <c r="V3372" s="19">
        <f>IF($B3372="","",TEXT($B3372,"0000"))</f>
        <v/>
      </c>
      <c r="W3372" s="19">
        <f>IF($I3372="","",IF(ISNUMBER($I3372),TEXT($I3372,"0"),$I3372))</f>
        <v/>
      </c>
    </row>
    <row r="3373">
      <c r="B3373" s="25" t="n"/>
      <c r="I3373" s="25" t="n"/>
      <c r="U3373" s="19">
        <f>IF($V3373&lt;&gt;'設定'!$C$4,N(U3372),IF(OR(NOT(COUNTIF('商品マスタ'!$B$6:$B$1005,$W3373)=0),COUNTIFS('①在庫を貼る'!$V$6:$V$10005,$V3373,'①在庫を貼る'!$W$6:$W$10005,$W3373)&gt;0),N(U3372),N(U3372)+1))</f>
        <v/>
      </c>
      <c r="V3373" s="19">
        <f>IF($B3373="","",TEXT($B3373,"0000"))</f>
        <v/>
      </c>
      <c r="W3373" s="19">
        <f>IF($I3373="","",IF(ISNUMBER($I3373),TEXT($I3373,"0"),$I3373))</f>
        <v/>
      </c>
    </row>
    <row r="3374">
      <c r="B3374" s="25" t="n"/>
      <c r="I3374" s="25" t="n"/>
      <c r="U3374" s="19">
        <f>IF($V3374&lt;&gt;'設定'!$C$4,N(U3373),IF(OR(NOT(COUNTIF('商品マスタ'!$B$6:$B$1005,$W3374)=0),COUNTIFS('①在庫を貼る'!$V$6:$V$10005,$V3374,'①在庫を貼る'!$W$6:$W$10005,$W3374)&gt;0),N(U3373),N(U3373)+1))</f>
        <v/>
      </c>
      <c r="V3374" s="19">
        <f>IF($B3374="","",TEXT($B3374,"0000"))</f>
        <v/>
      </c>
      <c r="W3374" s="19">
        <f>IF($I3374="","",IF(ISNUMBER($I3374),TEXT($I3374,"0"),$I3374))</f>
        <v/>
      </c>
    </row>
    <row r="3375">
      <c r="B3375" s="25" t="n"/>
      <c r="I3375" s="25" t="n"/>
      <c r="U3375" s="19">
        <f>IF($V3375&lt;&gt;'設定'!$C$4,N(U3374),IF(OR(NOT(COUNTIF('商品マスタ'!$B$6:$B$1005,$W3375)=0),COUNTIFS('①在庫を貼る'!$V$6:$V$10005,$V3375,'①在庫を貼る'!$W$6:$W$10005,$W3375)&gt;0),N(U3374),N(U3374)+1))</f>
        <v/>
      </c>
      <c r="V3375" s="19">
        <f>IF($B3375="","",TEXT($B3375,"0000"))</f>
        <v/>
      </c>
      <c r="W3375" s="19">
        <f>IF($I3375="","",IF(ISNUMBER($I3375),TEXT($I3375,"0"),$I3375))</f>
        <v/>
      </c>
    </row>
    <row r="3376">
      <c r="B3376" s="25" t="n"/>
      <c r="I3376" s="25" t="n"/>
      <c r="U3376" s="19">
        <f>IF($V3376&lt;&gt;'設定'!$C$4,N(U3375),IF(OR(NOT(COUNTIF('商品マスタ'!$B$6:$B$1005,$W3376)=0),COUNTIFS('①在庫を貼る'!$V$6:$V$10005,$V3376,'①在庫を貼る'!$W$6:$W$10005,$W3376)&gt;0),N(U3375),N(U3375)+1))</f>
        <v/>
      </c>
      <c r="V3376" s="19">
        <f>IF($B3376="","",TEXT($B3376,"0000"))</f>
        <v/>
      </c>
      <c r="W3376" s="19">
        <f>IF($I3376="","",IF(ISNUMBER($I3376),TEXT($I3376,"0"),$I3376))</f>
        <v/>
      </c>
    </row>
    <row r="3377">
      <c r="B3377" s="25" t="n"/>
      <c r="I3377" s="25" t="n"/>
      <c r="U3377" s="19">
        <f>IF($V3377&lt;&gt;'設定'!$C$4,N(U3376),IF(OR(NOT(COUNTIF('商品マスタ'!$B$6:$B$1005,$W3377)=0),COUNTIFS('①在庫を貼る'!$V$6:$V$10005,$V3377,'①在庫を貼る'!$W$6:$W$10005,$W3377)&gt;0),N(U3376),N(U3376)+1))</f>
        <v/>
      </c>
      <c r="V3377" s="19">
        <f>IF($B3377="","",TEXT($B3377,"0000"))</f>
        <v/>
      </c>
      <c r="W3377" s="19">
        <f>IF($I3377="","",IF(ISNUMBER($I3377),TEXT($I3377,"0"),$I3377))</f>
        <v/>
      </c>
    </row>
    <row r="3378">
      <c r="B3378" s="25" t="n"/>
      <c r="I3378" s="25" t="n"/>
      <c r="U3378" s="19">
        <f>IF($V3378&lt;&gt;'設定'!$C$4,N(U3377),IF(OR(NOT(COUNTIF('商品マスタ'!$B$6:$B$1005,$W3378)=0),COUNTIFS('①在庫を貼る'!$V$6:$V$10005,$V3378,'①在庫を貼る'!$W$6:$W$10005,$W3378)&gt;0),N(U3377),N(U3377)+1))</f>
        <v/>
      </c>
      <c r="V3378" s="19">
        <f>IF($B3378="","",TEXT($B3378,"0000"))</f>
        <v/>
      </c>
      <c r="W3378" s="19">
        <f>IF($I3378="","",IF(ISNUMBER($I3378),TEXT($I3378,"0"),$I3378))</f>
        <v/>
      </c>
    </row>
    <row r="3379">
      <c r="B3379" s="25" t="n"/>
      <c r="I3379" s="25" t="n"/>
      <c r="U3379" s="19">
        <f>IF($V3379&lt;&gt;'設定'!$C$4,N(U3378),IF(OR(NOT(COUNTIF('商品マスタ'!$B$6:$B$1005,$W3379)=0),COUNTIFS('①在庫を貼る'!$V$6:$V$10005,$V3379,'①在庫を貼る'!$W$6:$W$10005,$W3379)&gt;0),N(U3378),N(U3378)+1))</f>
        <v/>
      </c>
      <c r="V3379" s="19">
        <f>IF($B3379="","",TEXT($B3379,"0000"))</f>
        <v/>
      </c>
      <c r="W3379" s="19">
        <f>IF($I3379="","",IF(ISNUMBER($I3379),TEXT($I3379,"0"),$I3379))</f>
        <v/>
      </c>
    </row>
    <row r="3380">
      <c r="B3380" s="25" t="n"/>
      <c r="I3380" s="25" t="n"/>
      <c r="U3380" s="19">
        <f>IF($V3380&lt;&gt;'設定'!$C$4,N(U3379),IF(OR(NOT(COUNTIF('商品マスタ'!$B$6:$B$1005,$W3380)=0),COUNTIFS('①在庫を貼る'!$V$6:$V$10005,$V3380,'①在庫を貼る'!$W$6:$W$10005,$W3380)&gt;0),N(U3379),N(U3379)+1))</f>
        <v/>
      </c>
      <c r="V3380" s="19">
        <f>IF($B3380="","",TEXT($B3380,"0000"))</f>
        <v/>
      </c>
      <c r="W3380" s="19">
        <f>IF($I3380="","",IF(ISNUMBER($I3380),TEXT($I3380,"0"),$I3380))</f>
        <v/>
      </c>
    </row>
    <row r="3381">
      <c r="B3381" s="25" t="n"/>
      <c r="I3381" s="25" t="n"/>
      <c r="U3381" s="19">
        <f>IF($V3381&lt;&gt;'設定'!$C$4,N(U3380),IF(OR(NOT(COUNTIF('商品マスタ'!$B$6:$B$1005,$W3381)=0),COUNTIFS('①在庫を貼る'!$V$6:$V$10005,$V3381,'①在庫を貼る'!$W$6:$W$10005,$W3381)&gt;0),N(U3380),N(U3380)+1))</f>
        <v/>
      </c>
      <c r="V3381" s="19">
        <f>IF($B3381="","",TEXT($B3381,"0000"))</f>
        <v/>
      </c>
      <c r="W3381" s="19">
        <f>IF($I3381="","",IF(ISNUMBER($I3381),TEXT($I3381,"0"),$I3381))</f>
        <v/>
      </c>
    </row>
    <row r="3382">
      <c r="B3382" s="25" t="n"/>
      <c r="I3382" s="25" t="n"/>
      <c r="U3382" s="19">
        <f>IF($V3382&lt;&gt;'設定'!$C$4,N(U3381),IF(OR(NOT(COUNTIF('商品マスタ'!$B$6:$B$1005,$W3382)=0),COUNTIFS('①在庫を貼る'!$V$6:$V$10005,$V3382,'①在庫を貼る'!$W$6:$W$10005,$W3382)&gt;0),N(U3381),N(U3381)+1))</f>
        <v/>
      </c>
      <c r="V3382" s="19">
        <f>IF($B3382="","",TEXT($B3382,"0000"))</f>
        <v/>
      </c>
      <c r="W3382" s="19">
        <f>IF($I3382="","",IF(ISNUMBER($I3382),TEXT($I3382,"0"),$I3382))</f>
        <v/>
      </c>
    </row>
    <row r="3383">
      <c r="B3383" s="25" t="n"/>
      <c r="I3383" s="25" t="n"/>
      <c r="U3383" s="19">
        <f>IF($V3383&lt;&gt;'設定'!$C$4,N(U3382),IF(OR(NOT(COUNTIF('商品マスタ'!$B$6:$B$1005,$W3383)=0),COUNTIFS('①在庫を貼る'!$V$6:$V$10005,$V3383,'①在庫を貼る'!$W$6:$W$10005,$W3383)&gt;0),N(U3382),N(U3382)+1))</f>
        <v/>
      </c>
      <c r="V3383" s="19">
        <f>IF($B3383="","",TEXT($B3383,"0000"))</f>
        <v/>
      </c>
      <c r="W3383" s="19">
        <f>IF($I3383="","",IF(ISNUMBER($I3383),TEXT($I3383,"0"),$I3383))</f>
        <v/>
      </c>
    </row>
    <row r="3384">
      <c r="B3384" s="25" t="n"/>
      <c r="I3384" s="25" t="n"/>
      <c r="U3384" s="19">
        <f>IF($V3384&lt;&gt;'設定'!$C$4,N(U3383),IF(OR(NOT(COUNTIF('商品マスタ'!$B$6:$B$1005,$W3384)=0),COUNTIFS('①在庫を貼る'!$V$6:$V$10005,$V3384,'①在庫を貼る'!$W$6:$W$10005,$W3384)&gt;0),N(U3383),N(U3383)+1))</f>
        <v/>
      </c>
      <c r="V3384" s="19">
        <f>IF($B3384="","",TEXT($B3384,"0000"))</f>
        <v/>
      </c>
      <c r="W3384" s="19">
        <f>IF($I3384="","",IF(ISNUMBER($I3384),TEXT($I3384,"0"),$I3384))</f>
        <v/>
      </c>
    </row>
    <row r="3385">
      <c r="B3385" s="25" t="n"/>
      <c r="I3385" s="25" t="n"/>
      <c r="U3385" s="19">
        <f>IF($V3385&lt;&gt;'設定'!$C$4,N(U3384),IF(OR(NOT(COUNTIF('商品マスタ'!$B$6:$B$1005,$W3385)=0),COUNTIFS('①在庫を貼る'!$V$6:$V$10005,$V3385,'①在庫を貼る'!$W$6:$W$10005,$W3385)&gt;0),N(U3384),N(U3384)+1))</f>
        <v/>
      </c>
      <c r="V3385" s="19">
        <f>IF($B3385="","",TEXT($B3385,"0000"))</f>
        <v/>
      </c>
      <c r="W3385" s="19">
        <f>IF($I3385="","",IF(ISNUMBER($I3385),TEXT($I3385,"0"),$I3385))</f>
        <v/>
      </c>
    </row>
    <row r="3386">
      <c r="B3386" s="25" t="n"/>
      <c r="I3386" s="25" t="n"/>
      <c r="U3386" s="19">
        <f>IF($V3386&lt;&gt;'設定'!$C$4,N(U3385),IF(OR(NOT(COUNTIF('商品マスタ'!$B$6:$B$1005,$W3386)=0),COUNTIFS('①在庫を貼る'!$V$6:$V$10005,$V3386,'①在庫を貼る'!$W$6:$W$10005,$W3386)&gt;0),N(U3385),N(U3385)+1))</f>
        <v/>
      </c>
      <c r="V3386" s="19">
        <f>IF($B3386="","",TEXT($B3386,"0000"))</f>
        <v/>
      </c>
      <c r="W3386" s="19">
        <f>IF($I3386="","",IF(ISNUMBER($I3386),TEXT($I3386,"0"),$I3386))</f>
        <v/>
      </c>
    </row>
    <row r="3387">
      <c r="B3387" s="25" t="n"/>
      <c r="I3387" s="25" t="n"/>
      <c r="U3387" s="19">
        <f>IF($V3387&lt;&gt;'設定'!$C$4,N(U3386),IF(OR(NOT(COUNTIF('商品マスタ'!$B$6:$B$1005,$W3387)=0),COUNTIFS('①在庫を貼る'!$V$6:$V$10005,$V3387,'①在庫を貼る'!$W$6:$W$10005,$W3387)&gt;0),N(U3386),N(U3386)+1))</f>
        <v/>
      </c>
      <c r="V3387" s="19">
        <f>IF($B3387="","",TEXT($B3387,"0000"))</f>
        <v/>
      </c>
      <c r="W3387" s="19">
        <f>IF($I3387="","",IF(ISNUMBER($I3387),TEXT($I3387,"0"),$I3387))</f>
        <v/>
      </c>
    </row>
    <row r="3388">
      <c r="B3388" s="25" t="n"/>
      <c r="I3388" s="25" t="n"/>
      <c r="U3388" s="19">
        <f>IF($V3388&lt;&gt;'設定'!$C$4,N(U3387),IF(OR(NOT(COUNTIF('商品マスタ'!$B$6:$B$1005,$W3388)=0),COUNTIFS('①在庫を貼る'!$V$6:$V$10005,$V3388,'①在庫を貼る'!$W$6:$W$10005,$W3388)&gt;0),N(U3387),N(U3387)+1))</f>
        <v/>
      </c>
      <c r="V3388" s="19">
        <f>IF($B3388="","",TEXT($B3388,"0000"))</f>
        <v/>
      </c>
      <c r="W3388" s="19">
        <f>IF($I3388="","",IF(ISNUMBER($I3388),TEXT($I3388,"0"),$I3388))</f>
        <v/>
      </c>
    </row>
    <row r="3389">
      <c r="B3389" s="25" t="n"/>
      <c r="I3389" s="25" t="n"/>
      <c r="U3389" s="19">
        <f>IF($V3389&lt;&gt;'設定'!$C$4,N(U3388),IF(OR(NOT(COUNTIF('商品マスタ'!$B$6:$B$1005,$W3389)=0),COUNTIFS('①在庫を貼る'!$V$6:$V$10005,$V3389,'①在庫を貼る'!$W$6:$W$10005,$W3389)&gt;0),N(U3388),N(U3388)+1))</f>
        <v/>
      </c>
      <c r="V3389" s="19">
        <f>IF($B3389="","",TEXT($B3389,"0000"))</f>
        <v/>
      </c>
      <c r="W3389" s="19">
        <f>IF($I3389="","",IF(ISNUMBER($I3389),TEXT($I3389,"0"),$I3389))</f>
        <v/>
      </c>
    </row>
    <row r="3390">
      <c r="B3390" s="25" t="n"/>
      <c r="I3390" s="25" t="n"/>
      <c r="U3390" s="19">
        <f>IF($V3390&lt;&gt;'設定'!$C$4,N(U3389),IF(OR(NOT(COUNTIF('商品マスタ'!$B$6:$B$1005,$W3390)=0),COUNTIFS('①在庫を貼る'!$V$6:$V$10005,$V3390,'①在庫を貼る'!$W$6:$W$10005,$W3390)&gt;0),N(U3389),N(U3389)+1))</f>
        <v/>
      </c>
      <c r="V3390" s="19">
        <f>IF($B3390="","",TEXT($B3390,"0000"))</f>
        <v/>
      </c>
      <c r="W3390" s="19">
        <f>IF($I3390="","",IF(ISNUMBER($I3390),TEXT($I3390,"0"),$I3390))</f>
        <v/>
      </c>
    </row>
    <row r="3391">
      <c r="B3391" s="25" t="n"/>
      <c r="I3391" s="25" t="n"/>
      <c r="U3391" s="19">
        <f>IF($V3391&lt;&gt;'設定'!$C$4,N(U3390),IF(OR(NOT(COUNTIF('商品マスタ'!$B$6:$B$1005,$W3391)=0),COUNTIFS('①在庫を貼る'!$V$6:$V$10005,$V3391,'①在庫を貼る'!$W$6:$W$10005,$W3391)&gt;0),N(U3390),N(U3390)+1))</f>
        <v/>
      </c>
      <c r="V3391" s="19">
        <f>IF($B3391="","",TEXT($B3391,"0000"))</f>
        <v/>
      </c>
      <c r="W3391" s="19">
        <f>IF($I3391="","",IF(ISNUMBER($I3391),TEXT($I3391,"0"),$I3391))</f>
        <v/>
      </c>
    </row>
    <row r="3392">
      <c r="B3392" s="25" t="n"/>
      <c r="I3392" s="25" t="n"/>
      <c r="U3392" s="19">
        <f>IF($V3392&lt;&gt;'設定'!$C$4,N(U3391),IF(OR(NOT(COUNTIF('商品マスタ'!$B$6:$B$1005,$W3392)=0),COUNTIFS('①在庫を貼る'!$V$6:$V$10005,$V3392,'①在庫を貼る'!$W$6:$W$10005,$W3392)&gt;0),N(U3391),N(U3391)+1))</f>
        <v/>
      </c>
      <c r="V3392" s="19">
        <f>IF($B3392="","",TEXT($B3392,"0000"))</f>
        <v/>
      </c>
      <c r="W3392" s="19">
        <f>IF($I3392="","",IF(ISNUMBER($I3392),TEXT($I3392,"0"),$I3392))</f>
        <v/>
      </c>
    </row>
    <row r="3393">
      <c r="B3393" s="25" t="n"/>
      <c r="I3393" s="25" t="n"/>
      <c r="U3393" s="19">
        <f>IF($V3393&lt;&gt;'設定'!$C$4,N(U3392),IF(OR(NOT(COUNTIF('商品マスタ'!$B$6:$B$1005,$W3393)=0),COUNTIFS('①在庫を貼る'!$V$6:$V$10005,$V3393,'①在庫を貼る'!$W$6:$W$10005,$W3393)&gt;0),N(U3392),N(U3392)+1))</f>
        <v/>
      </c>
      <c r="V3393" s="19">
        <f>IF($B3393="","",TEXT($B3393,"0000"))</f>
        <v/>
      </c>
      <c r="W3393" s="19">
        <f>IF($I3393="","",IF(ISNUMBER($I3393),TEXT($I3393,"0"),$I3393))</f>
        <v/>
      </c>
    </row>
    <row r="3394">
      <c r="B3394" s="25" t="n"/>
      <c r="I3394" s="25" t="n"/>
      <c r="U3394" s="19">
        <f>IF($V3394&lt;&gt;'設定'!$C$4,N(U3393),IF(OR(NOT(COUNTIF('商品マスタ'!$B$6:$B$1005,$W3394)=0),COUNTIFS('①在庫を貼る'!$V$6:$V$10005,$V3394,'①在庫を貼る'!$W$6:$W$10005,$W3394)&gt;0),N(U3393),N(U3393)+1))</f>
        <v/>
      </c>
      <c r="V3394" s="19">
        <f>IF($B3394="","",TEXT($B3394,"0000"))</f>
        <v/>
      </c>
      <c r="W3394" s="19">
        <f>IF($I3394="","",IF(ISNUMBER($I3394),TEXT($I3394,"0"),$I3394))</f>
        <v/>
      </c>
    </row>
    <row r="3395">
      <c r="B3395" s="25" t="n"/>
      <c r="I3395" s="25" t="n"/>
      <c r="U3395" s="19">
        <f>IF($V3395&lt;&gt;'設定'!$C$4,N(U3394),IF(OR(NOT(COUNTIF('商品マスタ'!$B$6:$B$1005,$W3395)=0),COUNTIFS('①在庫を貼る'!$V$6:$V$10005,$V3395,'①在庫を貼る'!$W$6:$W$10005,$W3395)&gt;0),N(U3394),N(U3394)+1))</f>
        <v/>
      </c>
      <c r="V3395" s="19">
        <f>IF($B3395="","",TEXT($B3395,"0000"))</f>
        <v/>
      </c>
      <c r="W3395" s="19">
        <f>IF($I3395="","",IF(ISNUMBER($I3395),TEXT($I3395,"0"),$I3395))</f>
        <v/>
      </c>
    </row>
    <row r="3396">
      <c r="B3396" s="25" t="n"/>
      <c r="I3396" s="25" t="n"/>
      <c r="U3396" s="19">
        <f>IF($V3396&lt;&gt;'設定'!$C$4,N(U3395),IF(OR(NOT(COUNTIF('商品マスタ'!$B$6:$B$1005,$W3396)=0),COUNTIFS('①在庫を貼る'!$V$6:$V$10005,$V3396,'①在庫を貼る'!$W$6:$W$10005,$W3396)&gt;0),N(U3395),N(U3395)+1))</f>
        <v/>
      </c>
      <c r="V3396" s="19">
        <f>IF($B3396="","",TEXT($B3396,"0000"))</f>
        <v/>
      </c>
      <c r="W3396" s="19">
        <f>IF($I3396="","",IF(ISNUMBER($I3396),TEXT($I3396,"0"),$I3396))</f>
        <v/>
      </c>
    </row>
    <row r="3397">
      <c r="B3397" s="25" t="n"/>
      <c r="I3397" s="25" t="n"/>
      <c r="U3397" s="19">
        <f>IF($V3397&lt;&gt;'設定'!$C$4,N(U3396),IF(OR(NOT(COUNTIF('商品マスタ'!$B$6:$B$1005,$W3397)=0),COUNTIFS('①在庫を貼る'!$V$6:$V$10005,$V3397,'①在庫を貼る'!$W$6:$W$10005,$W3397)&gt;0),N(U3396),N(U3396)+1))</f>
        <v/>
      </c>
      <c r="V3397" s="19">
        <f>IF($B3397="","",TEXT($B3397,"0000"))</f>
        <v/>
      </c>
      <c r="W3397" s="19">
        <f>IF($I3397="","",IF(ISNUMBER($I3397),TEXT($I3397,"0"),$I3397))</f>
        <v/>
      </c>
    </row>
    <row r="3398">
      <c r="B3398" s="25" t="n"/>
      <c r="I3398" s="25" t="n"/>
      <c r="U3398" s="19">
        <f>IF($V3398&lt;&gt;'設定'!$C$4,N(U3397),IF(OR(NOT(COUNTIF('商品マスタ'!$B$6:$B$1005,$W3398)=0),COUNTIFS('①在庫を貼る'!$V$6:$V$10005,$V3398,'①在庫を貼る'!$W$6:$W$10005,$W3398)&gt;0),N(U3397),N(U3397)+1))</f>
        <v/>
      </c>
      <c r="V3398" s="19">
        <f>IF($B3398="","",TEXT($B3398,"0000"))</f>
        <v/>
      </c>
      <c r="W3398" s="19">
        <f>IF($I3398="","",IF(ISNUMBER($I3398),TEXT($I3398,"0"),$I3398))</f>
        <v/>
      </c>
    </row>
    <row r="3399">
      <c r="B3399" s="25" t="n"/>
      <c r="I3399" s="25" t="n"/>
      <c r="U3399" s="19">
        <f>IF($V3399&lt;&gt;'設定'!$C$4,N(U3398),IF(OR(NOT(COUNTIF('商品マスタ'!$B$6:$B$1005,$W3399)=0),COUNTIFS('①在庫を貼る'!$V$6:$V$10005,$V3399,'①在庫を貼る'!$W$6:$W$10005,$W3399)&gt;0),N(U3398),N(U3398)+1))</f>
        <v/>
      </c>
      <c r="V3399" s="19">
        <f>IF($B3399="","",TEXT($B3399,"0000"))</f>
        <v/>
      </c>
      <c r="W3399" s="19">
        <f>IF($I3399="","",IF(ISNUMBER($I3399),TEXT($I3399,"0"),$I3399))</f>
        <v/>
      </c>
    </row>
    <row r="3400">
      <c r="B3400" s="25" t="n"/>
      <c r="I3400" s="25" t="n"/>
      <c r="U3400" s="19">
        <f>IF($V3400&lt;&gt;'設定'!$C$4,N(U3399),IF(OR(NOT(COUNTIF('商品マスタ'!$B$6:$B$1005,$W3400)=0),COUNTIFS('①在庫を貼る'!$V$6:$V$10005,$V3400,'①在庫を貼る'!$W$6:$W$10005,$W3400)&gt;0),N(U3399),N(U3399)+1))</f>
        <v/>
      </c>
      <c r="V3400" s="19">
        <f>IF($B3400="","",TEXT($B3400,"0000"))</f>
        <v/>
      </c>
      <c r="W3400" s="19">
        <f>IF($I3400="","",IF(ISNUMBER($I3400),TEXT($I3400,"0"),$I3400))</f>
        <v/>
      </c>
    </row>
    <row r="3401">
      <c r="B3401" s="25" t="n"/>
      <c r="I3401" s="25" t="n"/>
      <c r="U3401" s="19">
        <f>IF($V3401&lt;&gt;'設定'!$C$4,N(U3400),IF(OR(NOT(COUNTIF('商品マスタ'!$B$6:$B$1005,$W3401)=0),COUNTIFS('①在庫を貼る'!$V$6:$V$10005,$V3401,'①在庫を貼る'!$W$6:$W$10005,$W3401)&gt;0),N(U3400),N(U3400)+1))</f>
        <v/>
      </c>
      <c r="V3401" s="19">
        <f>IF($B3401="","",TEXT($B3401,"0000"))</f>
        <v/>
      </c>
      <c r="W3401" s="19">
        <f>IF($I3401="","",IF(ISNUMBER($I3401),TEXT($I3401,"0"),$I3401))</f>
        <v/>
      </c>
    </row>
    <row r="3402">
      <c r="B3402" s="25" t="n"/>
      <c r="I3402" s="25" t="n"/>
      <c r="U3402" s="19">
        <f>IF($V3402&lt;&gt;'設定'!$C$4,N(U3401),IF(OR(NOT(COUNTIF('商品マスタ'!$B$6:$B$1005,$W3402)=0),COUNTIFS('①在庫を貼る'!$V$6:$V$10005,$V3402,'①在庫を貼る'!$W$6:$W$10005,$W3402)&gt;0),N(U3401),N(U3401)+1))</f>
        <v/>
      </c>
      <c r="V3402" s="19">
        <f>IF($B3402="","",TEXT($B3402,"0000"))</f>
        <v/>
      </c>
      <c r="W3402" s="19">
        <f>IF($I3402="","",IF(ISNUMBER($I3402),TEXT($I3402,"0"),$I3402))</f>
        <v/>
      </c>
    </row>
    <row r="3403">
      <c r="B3403" s="25" t="n"/>
      <c r="I3403" s="25" t="n"/>
      <c r="U3403" s="19">
        <f>IF($V3403&lt;&gt;'設定'!$C$4,N(U3402),IF(OR(NOT(COUNTIF('商品マスタ'!$B$6:$B$1005,$W3403)=0),COUNTIFS('①在庫を貼る'!$V$6:$V$10005,$V3403,'①在庫を貼る'!$W$6:$W$10005,$W3403)&gt;0),N(U3402),N(U3402)+1))</f>
        <v/>
      </c>
      <c r="V3403" s="19">
        <f>IF($B3403="","",TEXT($B3403,"0000"))</f>
        <v/>
      </c>
      <c r="W3403" s="19">
        <f>IF($I3403="","",IF(ISNUMBER($I3403),TEXT($I3403,"0"),$I3403))</f>
        <v/>
      </c>
    </row>
    <row r="3404">
      <c r="B3404" s="25" t="n"/>
      <c r="I3404" s="25" t="n"/>
      <c r="U3404" s="19">
        <f>IF($V3404&lt;&gt;'設定'!$C$4,N(U3403),IF(OR(NOT(COUNTIF('商品マスタ'!$B$6:$B$1005,$W3404)=0),COUNTIFS('①在庫を貼る'!$V$6:$V$10005,$V3404,'①在庫を貼る'!$W$6:$W$10005,$W3404)&gt;0),N(U3403),N(U3403)+1))</f>
        <v/>
      </c>
      <c r="V3404" s="19">
        <f>IF($B3404="","",TEXT($B3404,"0000"))</f>
        <v/>
      </c>
      <c r="W3404" s="19">
        <f>IF($I3404="","",IF(ISNUMBER($I3404),TEXT($I3404,"0"),$I3404))</f>
        <v/>
      </c>
    </row>
    <row r="3405">
      <c r="B3405" s="25" t="n"/>
      <c r="I3405" s="25" t="n"/>
      <c r="U3405" s="19">
        <f>IF($V3405&lt;&gt;'設定'!$C$4,N(U3404),IF(OR(NOT(COUNTIF('商品マスタ'!$B$6:$B$1005,$W3405)=0),COUNTIFS('①在庫を貼る'!$V$6:$V$10005,$V3405,'①在庫を貼る'!$W$6:$W$10005,$W3405)&gt;0),N(U3404),N(U3404)+1))</f>
        <v/>
      </c>
      <c r="V3405" s="19">
        <f>IF($B3405="","",TEXT($B3405,"0000"))</f>
        <v/>
      </c>
      <c r="W3405" s="19">
        <f>IF($I3405="","",IF(ISNUMBER($I3405),TEXT($I3405,"0"),$I3405))</f>
        <v/>
      </c>
    </row>
    <row r="3406">
      <c r="B3406" s="25" t="n"/>
      <c r="I3406" s="25" t="n"/>
      <c r="U3406" s="19">
        <f>IF($V3406&lt;&gt;'設定'!$C$4,N(U3405),IF(OR(NOT(COUNTIF('商品マスタ'!$B$6:$B$1005,$W3406)=0),COUNTIFS('①在庫を貼る'!$V$6:$V$10005,$V3406,'①在庫を貼る'!$W$6:$W$10005,$W3406)&gt;0),N(U3405),N(U3405)+1))</f>
        <v/>
      </c>
      <c r="V3406" s="19">
        <f>IF($B3406="","",TEXT($B3406,"0000"))</f>
        <v/>
      </c>
      <c r="W3406" s="19">
        <f>IF($I3406="","",IF(ISNUMBER($I3406),TEXT($I3406,"0"),$I3406))</f>
        <v/>
      </c>
    </row>
    <row r="3407">
      <c r="B3407" s="25" t="n"/>
      <c r="I3407" s="25" t="n"/>
      <c r="U3407" s="19">
        <f>IF($V3407&lt;&gt;'設定'!$C$4,N(U3406),IF(OR(NOT(COUNTIF('商品マスタ'!$B$6:$B$1005,$W3407)=0),COUNTIFS('①在庫を貼る'!$V$6:$V$10005,$V3407,'①在庫を貼る'!$W$6:$W$10005,$W3407)&gt;0),N(U3406),N(U3406)+1))</f>
        <v/>
      </c>
      <c r="V3407" s="19">
        <f>IF($B3407="","",TEXT($B3407,"0000"))</f>
        <v/>
      </c>
      <c r="W3407" s="19">
        <f>IF($I3407="","",IF(ISNUMBER($I3407),TEXT($I3407,"0"),$I3407))</f>
        <v/>
      </c>
    </row>
    <row r="3408">
      <c r="B3408" s="25" t="n"/>
      <c r="I3408" s="25" t="n"/>
      <c r="U3408" s="19">
        <f>IF($V3408&lt;&gt;'設定'!$C$4,N(U3407),IF(OR(NOT(COUNTIF('商品マスタ'!$B$6:$B$1005,$W3408)=0),COUNTIFS('①在庫を貼る'!$V$6:$V$10005,$V3408,'①在庫を貼る'!$W$6:$W$10005,$W3408)&gt;0),N(U3407),N(U3407)+1))</f>
        <v/>
      </c>
      <c r="V3408" s="19">
        <f>IF($B3408="","",TEXT($B3408,"0000"))</f>
        <v/>
      </c>
      <c r="W3408" s="19">
        <f>IF($I3408="","",IF(ISNUMBER($I3408),TEXT($I3408,"0"),$I3408))</f>
        <v/>
      </c>
    </row>
    <row r="3409">
      <c r="B3409" s="25" t="n"/>
      <c r="I3409" s="25" t="n"/>
      <c r="U3409" s="19">
        <f>IF($V3409&lt;&gt;'設定'!$C$4,N(U3408),IF(OR(NOT(COUNTIF('商品マスタ'!$B$6:$B$1005,$W3409)=0),COUNTIFS('①在庫を貼る'!$V$6:$V$10005,$V3409,'①在庫を貼る'!$W$6:$W$10005,$W3409)&gt;0),N(U3408),N(U3408)+1))</f>
        <v/>
      </c>
      <c r="V3409" s="19">
        <f>IF($B3409="","",TEXT($B3409,"0000"))</f>
        <v/>
      </c>
      <c r="W3409" s="19">
        <f>IF($I3409="","",IF(ISNUMBER($I3409),TEXT($I3409,"0"),$I3409))</f>
        <v/>
      </c>
    </row>
    <row r="3410">
      <c r="B3410" s="25" t="n"/>
      <c r="I3410" s="25" t="n"/>
      <c r="U3410" s="19">
        <f>IF($V3410&lt;&gt;'設定'!$C$4,N(U3409),IF(OR(NOT(COUNTIF('商品マスタ'!$B$6:$B$1005,$W3410)=0),COUNTIFS('①在庫を貼る'!$V$6:$V$10005,$V3410,'①在庫を貼る'!$W$6:$W$10005,$W3410)&gt;0),N(U3409),N(U3409)+1))</f>
        <v/>
      </c>
      <c r="V3410" s="19">
        <f>IF($B3410="","",TEXT($B3410,"0000"))</f>
        <v/>
      </c>
      <c r="W3410" s="19">
        <f>IF($I3410="","",IF(ISNUMBER($I3410),TEXT($I3410,"0"),$I3410))</f>
        <v/>
      </c>
    </row>
    <row r="3411">
      <c r="B3411" s="25" t="n"/>
      <c r="I3411" s="25" t="n"/>
      <c r="U3411" s="19">
        <f>IF($V3411&lt;&gt;'設定'!$C$4,N(U3410),IF(OR(NOT(COUNTIF('商品マスタ'!$B$6:$B$1005,$W3411)=0),COUNTIFS('①在庫を貼る'!$V$6:$V$10005,$V3411,'①在庫を貼る'!$W$6:$W$10005,$W3411)&gt;0),N(U3410),N(U3410)+1))</f>
        <v/>
      </c>
      <c r="V3411" s="19">
        <f>IF($B3411="","",TEXT($B3411,"0000"))</f>
        <v/>
      </c>
      <c r="W3411" s="19">
        <f>IF($I3411="","",IF(ISNUMBER($I3411),TEXT($I3411,"0"),$I3411))</f>
        <v/>
      </c>
    </row>
    <row r="3412">
      <c r="B3412" s="25" t="n"/>
      <c r="I3412" s="25" t="n"/>
      <c r="U3412" s="19">
        <f>IF($V3412&lt;&gt;'設定'!$C$4,N(U3411),IF(OR(NOT(COUNTIF('商品マスタ'!$B$6:$B$1005,$W3412)=0),COUNTIFS('①在庫を貼る'!$V$6:$V$10005,$V3412,'①在庫を貼る'!$W$6:$W$10005,$W3412)&gt;0),N(U3411),N(U3411)+1))</f>
        <v/>
      </c>
      <c r="V3412" s="19">
        <f>IF($B3412="","",TEXT($B3412,"0000"))</f>
        <v/>
      </c>
      <c r="W3412" s="19">
        <f>IF($I3412="","",IF(ISNUMBER($I3412),TEXT($I3412,"0"),$I3412))</f>
        <v/>
      </c>
    </row>
    <row r="3413">
      <c r="B3413" s="25" t="n"/>
      <c r="I3413" s="25" t="n"/>
      <c r="U3413" s="19">
        <f>IF($V3413&lt;&gt;'設定'!$C$4,N(U3412),IF(OR(NOT(COUNTIF('商品マスタ'!$B$6:$B$1005,$W3413)=0),COUNTIFS('①在庫を貼る'!$V$6:$V$10005,$V3413,'①在庫を貼る'!$W$6:$W$10005,$W3413)&gt;0),N(U3412),N(U3412)+1))</f>
        <v/>
      </c>
      <c r="V3413" s="19">
        <f>IF($B3413="","",TEXT($B3413,"0000"))</f>
        <v/>
      </c>
      <c r="W3413" s="19">
        <f>IF($I3413="","",IF(ISNUMBER($I3413),TEXT($I3413,"0"),$I3413))</f>
        <v/>
      </c>
    </row>
    <row r="3414">
      <c r="B3414" s="25" t="n"/>
      <c r="I3414" s="25" t="n"/>
      <c r="U3414" s="19">
        <f>IF($V3414&lt;&gt;'設定'!$C$4,N(U3413),IF(OR(NOT(COUNTIF('商品マスタ'!$B$6:$B$1005,$W3414)=0),COUNTIFS('①在庫を貼る'!$V$6:$V$10005,$V3414,'①在庫を貼る'!$W$6:$W$10005,$W3414)&gt;0),N(U3413),N(U3413)+1))</f>
        <v/>
      </c>
      <c r="V3414" s="19">
        <f>IF($B3414="","",TEXT($B3414,"0000"))</f>
        <v/>
      </c>
      <c r="W3414" s="19">
        <f>IF($I3414="","",IF(ISNUMBER($I3414),TEXT($I3414,"0"),$I3414))</f>
        <v/>
      </c>
    </row>
    <row r="3415">
      <c r="B3415" s="25" t="n"/>
      <c r="I3415" s="25" t="n"/>
      <c r="U3415" s="19">
        <f>IF($V3415&lt;&gt;'設定'!$C$4,N(U3414),IF(OR(NOT(COUNTIF('商品マスタ'!$B$6:$B$1005,$W3415)=0),COUNTIFS('①在庫を貼る'!$V$6:$V$10005,$V3415,'①在庫を貼る'!$W$6:$W$10005,$W3415)&gt;0),N(U3414),N(U3414)+1))</f>
        <v/>
      </c>
      <c r="V3415" s="19">
        <f>IF($B3415="","",TEXT($B3415,"0000"))</f>
        <v/>
      </c>
      <c r="W3415" s="19">
        <f>IF($I3415="","",IF(ISNUMBER($I3415),TEXT($I3415,"0"),$I3415))</f>
        <v/>
      </c>
    </row>
    <row r="3416">
      <c r="B3416" s="25" t="n"/>
      <c r="I3416" s="25" t="n"/>
      <c r="U3416" s="19">
        <f>IF($V3416&lt;&gt;'設定'!$C$4,N(U3415),IF(OR(NOT(COUNTIF('商品マスタ'!$B$6:$B$1005,$W3416)=0),COUNTIFS('①在庫を貼る'!$V$6:$V$10005,$V3416,'①在庫を貼る'!$W$6:$W$10005,$W3416)&gt;0),N(U3415),N(U3415)+1))</f>
        <v/>
      </c>
      <c r="V3416" s="19">
        <f>IF($B3416="","",TEXT($B3416,"0000"))</f>
        <v/>
      </c>
      <c r="W3416" s="19">
        <f>IF($I3416="","",IF(ISNUMBER($I3416),TEXT($I3416,"0"),$I3416))</f>
        <v/>
      </c>
    </row>
    <row r="3417">
      <c r="B3417" s="25" t="n"/>
      <c r="I3417" s="25" t="n"/>
      <c r="U3417" s="19">
        <f>IF($V3417&lt;&gt;'設定'!$C$4,N(U3416),IF(OR(NOT(COUNTIF('商品マスタ'!$B$6:$B$1005,$W3417)=0),COUNTIFS('①在庫を貼る'!$V$6:$V$10005,$V3417,'①在庫を貼る'!$W$6:$W$10005,$W3417)&gt;0),N(U3416),N(U3416)+1))</f>
        <v/>
      </c>
      <c r="V3417" s="19">
        <f>IF($B3417="","",TEXT($B3417,"0000"))</f>
        <v/>
      </c>
      <c r="W3417" s="19">
        <f>IF($I3417="","",IF(ISNUMBER($I3417),TEXT($I3417,"0"),$I3417))</f>
        <v/>
      </c>
    </row>
    <row r="3418">
      <c r="B3418" s="25" t="n"/>
      <c r="I3418" s="25" t="n"/>
      <c r="U3418" s="19">
        <f>IF($V3418&lt;&gt;'設定'!$C$4,N(U3417),IF(OR(NOT(COUNTIF('商品マスタ'!$B$6:$B$1005,$W3418)=0),COUNTIFS('①在庫を貼る'!$V$6:$V$10005,$V3418,'①在庫を貼る'!$W$6:$W$10005,$W3418)&gt;0),N(U3417),N(U3417)+1))</f>
        <v/>
      </c>
      <c r="V3418" s="19">
        <f>IF($B3418="","",TEXT($B3418,"0000"))</f>
        <v/>
      </c>
      <c r="W3418" s="19">
        <f>IF($I3418="","",IF(ISNUMBER($I3418),TEXT($I3418,"0"),$I3418))</f>
        <v/>
      </c>
    </row>
    <row r="3419">
      <c r="B3419" s="25" t="n"/>
      <c r="I3419" s="25" t="n"/>
      <c r="U3419" s="19">
        <f>IF($V3419&lt;&gt;'設定'!$C$4,N(U3418),IF(OR(NOT(COUNTIF('商品マスタ'!$B$6:$B$1005,$W3419)=0),COUNTIFS('①在庫を貼る'!$V$6:$V$10005,$V3419,'①在庫を貼る'!$W$6:$W$10005,$W3419)&gt;0),N(U3418),N(U3418)+1))</f>
        <v/>
      </c>
      <c r="V3419" s="19">
        <f>IF($B3419="","",TEXT($B3419,"0000"))</f>
        <v/>
      </c>
      <c r="W3419" s="19">
        <f>IF($I3419="","",IF(ISNUMBER($I3419),TEXT($I3419,"0"),$I3419))</f>
        <v/>
      </c>
    </row>
    <row r="3420">
      <c r="B3420" s="25" t="n"/>
      <c r="I3420" s="25" t="n"/>
      <c r="U3420" s="19">
        <f>IF($V3420&lt;&gt;'設定'!$C$4,N(U3419),IF(OR(NOT(COUNTIF('商品マスタ'!$B$6:$B$1005,$W3420)=0),COUNTIFS('①在庫を貼る'!$V$6:$V$10005,$V3420,'①在庫を貼る'!$W$6:$W$10005,$W3420)&gt;0),N(U3419),N(U3419)+1))</f>
        <v/>
      </c>
      <c r="V3420" s="19">
        <f>IF($B3420="","",TEXT($B3420,"0000"))</f>
        <v/>
      </c>
      <c r="W3420" s="19">
        <f>IF($I3420="","",IF(ISNUMBER($I3420),TEXT($I3420,"0"),$I3420))</f>
        <v/>
      </c>
    </row>
    <row r="3421">
      <c r="B3421" s="25" t="n"/>
      <c r="I3421" s="25" t="n"/>
      <c r="U3421" s="19">
        <f>IF($V3421&lt;&gt;'設定'!$C$4,N(U3420),IF(OR(NOT(COUNTIF('商品マスタ'!$B$6:$B$1005,$W3421)=0),COUNTIFS('①在庫を貼る'!$V$6:$V$10005,$V3421,'①在庫を貼る'!$W$6:$W$10005,$W3421)&gt;0),N(U3420),N(U3420)+1))</f>
        <v/>
      </c>
      <c r="V3421" s="19">
        <f>IF($B3421="","",TEXT($B3421,"0000"))</f>
        <v/>
      </c>
      <c r="W3421" s="19">
        <f>IF($I3421="","",IF(ISNUMBER($I3421),TEXT($I3421,"0"),$I3421))</f>
        <v/>
      </c>
    </row>
    <row r="3422">
      <c r="B3422" s="25" t="n"/>
      <c r="I3422" s="25" t="n"/>
      <c r="U3422" s="19">
        <f>IF($V3422&lt;&gt;'設定'!$C$4,N(U3421),IF(OR(NOT(COUNTIF('商品マスタ'!$B$6:$B$1005,$W3422)=0),COUNTIFS('①在庫を貼る'!$V$6:$V$10005,$V3422,'①在庫を貼る'!$W$6:$W$10005,$W3422)&gt;0),N(U3421),N(U3421)+1))</f>
        <v/>
      </c>
      <c r="V3422" s="19">
        <f>IF($B3422="","",TEXT($B3422,"0000"))</f>
        <v/>
      </c>
      <c r="W3422" s="19">
        <f>IF($I3422="","",IF(ISNUMBER($I3422),TEXT($I3422,"0"),$I3422))</f>
        <v/>
      </c>
    </row>
    <row r="3423">
      <c r="B3423" s="25" t="n"/>
      <c r="I3423" s="25" t="n"/>
      <c r="U3423" s="19">
        <f>IF($V3423&lt;&gt;'設定'!$C$4,N(U3422),IF(OR(NOT(COUNTIF('商品マスタ'!$B$6:$B$1005,$W3423)=0),COUNTIFS('①在庫を貼る'!$V$6:$V$10005,$V3423,'①在庫を貼る'!$W$6:$W$10005,$W3423)&gt;0),N(U3422),N(U3422)+1))</f>
        <v/>
      </c>
      <c r="V3423" s="19">
        <f>IF($B3423="","",TEXT($B3423,"0000"))</f>
        <v/>
      </c>
      <c r="W3423" s="19">
        <f>IF($I3423="","",IF(ISNUMBER($I3423),TEXT($I3423,"0"),$I3423))</f>
        <v/>
      </c>
    </row>
    <row r="3424">
      <c r="B3424" s="25" t="n"/>
      <c r="I3424" s="25" t="n"/>
      <c r="U3424" s="19">
        <f>IF($V3424&lt;&gt;'設定'!$C$4,N(U3423),IF(OR(NOT(COUNTIF('商品マスタ'!$B$6:$B$1005,$W3424)=0),COUNTIFS('①在庫を貼る'!$V$6:$V$10005,$V3424,'①在庫を貼る'!$W$6:$W$10005,$W3424)&gt;0),N(U3423),N(U3423)+1))</f>
        <v/>
      </c>
      <c r="V3424" s="19">
        <f>IF($B3424="","",TEXT($B3424,"0000"))</f>
        <v/>
      </c>
      <c r="W3424" s="19">
        <f>IF($I3424="","",IF(ISNUMBER($I3424),TEXT($I3424,"0"),$I3424))</f>
        <v/>
      </c>
    </row>
    <row r="3425">
      <c r="B3425" s="25" t="n"/>
      <c r="I3425" s="25" t="n"/>
      <c r="U3425" s="19">
        <f>IF($V3425&lt;&gt;'設定'!$C$4,N(U3424),IF(OR(NOT(COUNTIF('商品マスタ'!$B$6:$B$1005,$W3425)=0),COUNTIFS('①在庫を貼る'!$V$6:$V$10005,$V3425,'①在庫を貼る'!$W$6:$W$10005,$W3425)&gt;0),N(U3424),N(U3424)+1))</f>
        <v/>
      </c>
      <c r="V3425" s="19">
        <f>IF($B3425="","",TEXT($B3425,"0000"))</f>
        <v/>
      </c>
      <c r="W3425" s="19">
        <f>IF($I3425="","",IF(ISNUMBER($I3425),TEXT($I3425,"0"),$I3425))</f>
        <v/>
      </c>
    </row>
    <row r="3426">
      <c r="B3426" s="25" t="n"/>
      <c r="I3426" s="25" t="n"/>
      <c r="U3426" s="19">
        <f>IF($V3426&lt;&gt;'設定'!$C$4,N(U3425),IF(OR(NOT(COUNTIF('商品マスタ'!$B$6:$B$1005,$W3426)=0),COUNTIFS('①在庫を貼る'!$V$6:$V$10005,$V3426,'①在庫を貼る'!$W$6:$W$10005,$W3426)&gt;0),N(U3425),N(U3425)+1))</f>
        <v/>
      </c>
      <c r="V3426" s="19">
        <f>IF($B3426="","",TEXT($B3426,"0000"))</f>
        <v/>
      </c>
      <c r="W3426" s="19">
        <f>IF($I3426="","",IF(ISNUMBER($I3426),TEXT($I3426,"0"),$I3426))</f>
        <v/>
      </c>
    </row>
    <row r="3427">
      <c r="B3427" s="25" t="n"/>
      <c r="I3427" s="25" t="n"/>
      <c r="U3427" s="19">
        <f>IF($V3427&lt;&gt;'設定'!$C$4,N(U3426),IF(OR(NOT(COUNTIF('商品マスタ'!$B$6:$B$1005,$W3427)=0),COUNTIFS('①在庫を貼る'!$V$6:$V$10005,$V3427,'①在庫を貼る'!$W$6:$W$10005,$W3427)&gt;0),N(U3426),N(U3426)+1))</f>
        <v/>
      </c>
      <c r="V3427" s="19">
        <f>IF($B3427="","",TEXT($B3427,"0000"))</f>
        <v/>
      </c>
      <c r="W3427" s="19">
        <f>IF($I3427="","",IF(ISNUMBER($I3427),TEXT($I3427,"0"),$I3427))</f>
        <v/>
      </c>
    </row>
    <row r="3428">
      <c r="B3428" s="25" t="n"/>
      <c r="I3428" s="25" t="n"/>
      <c r="U3428" s="19">
        <f>IF($V3428&lt;&gt;'設定'!$C$4,N(U3427),IF(OR(NOT(COUNTIF('商品マスタ'!$B$6:$B$1005,$W3428)=0),COUNTIFS('①在庫を貼る'!$V$6:$V$10005,$V3428,'①在庫を貼る'!$W$6:$W$10005,$W3428)&gt;0),N(U3427),N(U3427)+1))</f>
        <v/>
      </c>
      <c r="V3428" s="19">
        <f>IF($B3428="","",TEXT($B3428,"0000"))</f>
        <v/>
      </c>
      <c r="W3428" s="19">
        <f>IF($I3428="","",IF(ISNUMBER($I3428),TEXT($I3428,"0"),$I3428))</f>
        <v/>
      </c>
    </row>
    <row r="3429">
      <c r="B3429" s="25" t="n"/>
      <c r="I3429" s="25" t="n"/>
      <c r="U3429" s="19">
        <f>IF($V3429&lt;&gt;'設定'!$C$4,N(U3428),IF(OR(NOT(COUNTIF('商品マスタ'!$B$6:$B$1005,$W3429)=0),COUNTIFS('①在庫を貼る'!$V$6:$V$10005,$V3429,'①在庫を貼る'!$W$6:$W$10005,$W3429)&gt;0),N(U3428),N(U3428)+1))</f>
        <v/>
      </c>
      <c r="V3429" s="19">
        <f>IF($B3429="","",TEXT($B3429,"0000"))</f>
        <v/>
      </c>
      <c r="W3429" s="19">
        <f>IF($I3429="","",IF(ISNUMBER($I3429),TEXT($I3429,"0"),$I3429))</f>
        <v/>
      </c>
    </row>
    <row r="3430">
      <c r="B3430" s="25" t="n"/>
      <c r="I3430" s="25" t="n"/>
      <c r="U3430" s="19">
        <f>IF($V3430&lt;&gt;'設定'!$C$4,N(U3429),IF(OR(NOT(COUNTIF('商品マスタ'!$B$6:$B$1005,$W3430)=0),COUNTIFS('①在庫を貼る'!$V$6:$V$10005,$V3430,'①在庫を貼る'!$W$6:$W$10005,$W3430)&gt;0),N(U3429),N(U3429)+1))</f>
        <v/>
      </c>
      <c r="V3430" s="19">
        <f>IF($B3430="","",TEXT($B3430,"0000"))</f>
        <v/>
      </c>
      <c r="W3430" s="19">
        <f>IF($I3430="","",IF(ISNUMBER($I3430),TEXT($I3430,"0"),$I3430))</f>
        <v/>
      </c>
    </row>
    <row r="3431">
      <c r="B3431" s="25" t="n"/>
      <c r="I3431" s="25" t="n"/>
      <c r="U3431" s="19">
        <f>IF($V3431&lt;&gt;'設定'!$C$4,N(U3430),IF(OR(NOT(COUNTIF('商品マスタ'!$B$6:$B$1005,$W3431)=0),COUNTIFS('①在庫を貼る'!$V$6:$V$10005,$V3431,'①在庫を貼る'!$W$6:$W$10005,$W3431)&gt;0),N(U3430),N(U3430)+1))</f>
        <v/>
      </c>
      <c r="V3431" s="19">
        <f>IF($B3431="","",TEXT($B3431,"0000"))</f>
        <v/>
      </c>
      <c r="W3431" s="19">
        <f>IF($I3431="","",IF(ISNUMBER($I3431),TEXT($I3431,"0"),$I3431))</f>
        <v/>
      </c>
    </row>
    <row r="3432">
      <c r="B3432" s="25" t="n"/>
      <c r="I3432" s="25" t="n"/>
      <c r="U3432" s="19">
        <f>IF($V3432&lt;&gt;'設定'!$C$4,N(U3431),IF(OR(NOT(COUNTIF('商品マスタ'!$B$6:$B$1005,$W3432)=0),COUNTIFS('①在庫を貼る'!$V$6:$V$10005,$V3432,'①在庫を貼る'!$W$6:$W$10005,$W3432)&gt;0),N(U3431),N(U3431)+1))</f>
        <v/>
      </c>
      <c r="V3432" s="19">
        <f>IF($B3432="","",TEXT($B3432,"0000"))</f>
        <v/>
      </c>
      <c r="W3432" s="19">
        <f>IF($I3432="","",IF(ISNUMBER($I3432),TEXT($I3432,"0"),$I3432))</f>
        <v/>
      </c>
    </row>
    <row r="3433">
      <c r="B3433" s="25" t="n"/>
      <c r="I3433" s="25" t="n"/>
      <c r="U3433" s="19">
        <f>IF($V3433&lt;&gt;'設定'!$C$4,N(U3432),IF(OR(NOT(COUNTIF('商品マスタ'!$B$6:$B$1005,$W3433)=0),COUNTIFS('①在庫を貼る'!$V$6:$V$10005,$V3433,'①在庫を貼る'!$W$6:$W$10005,$W3433)&gt;0),N(U3432),N(U3432)+1))</f>
        <v/>
      </c>
      <c r="V3433" s="19">
        <f>IF($B3433="","",TEXT($B3433,"0000"))</f>
        <v/>
      </c>
      <c r="W3433" s="19">
        <f>IF($I3433="","",IF(ISNUMBER($I3433),TEXT($I3433,"0"),$I3433))</f>
        <v/>
      </c>
    </row>
    <row r="3434">
      <c r="B3434" s="25" t="n"/>
      <c r="I3434" s="25" t="n"/>
      <c r="U3434" s="19">
        <f>IF($V3434&lt;&gt;'設定'!$C$4,N(U3433),IF(OR(NOT(COUNTIF('商品マスタ'!$B$6:$B$1005,$W3434)=0),COUNTIFS('①在庫を貼る'!$V$6:$V$10005,$V3434,'①在庫を貼る'!$W$6:$W$10005,$W3434)&gt;0),N(U3433),N(U3433)+1))</f>
        <v/>
      </c>
      <c r="V3434" s="19">
        <f>IF($B3434="","",TEXT($B3434,"0000"))</f>
        <v/>
      </c>
      <c r="W3434" s="19">
        <f>IF($I3434="","",IF(ISNUMBER($I3434),TEXT($I3434,"0"),$I3434))</f>
        <v/>
      </c>
    </row>
    <row r="3435">
      <c r="B3435" s="25" t="n"/>
      <c r="I3435" s="25" t="n"/>
      <c r="U3435" s="19">
        <f>IF($V3435&lt;&gt;'設定'!$C$4,N(U3434),IF(OR(NOT(COUNTIF('商品マスタ'!$B$6:$B$1005,$W3435)=0),COUNTIFS('①在庫を貼る'!$V$6:$V$10005,$V3435,'①在庫を貼る'!$W$6:$W$10005,$W3435)&gt;0),N(U3434),N(U3434)+1))</f>
        <v/>
      </c>
      <c r="V3435" s="19">
        <f>IF($B3435="","",TEXT($B3435,"0000"))</f>
        <v/>
      </c>
      <c r="W3435" s="19">
        <f>IF($I3435="","",IF(ISNUMBER($I3435),TEXT($I3435,"0"),$I3435))</f>
        <v/>
      </c>
    </row>
    <row r="3436">
      <c r="B3436" s="25" t="n"/>
      <c r="I3436" s="25" t="n"/>
      <c r="U3436" s="19">
        <f>IF($V3436&lt;&gt;'設定'!$C$4,N(U3435),IF(OR(NOT(COUNTIF('商品マスタ'!$B$6:$B$1005,$W3436)=0),COUNTIFS('①在庫を貼る'!$V$6:$V$10005,$V3436,'①在庫を貼る'!$W$6:$W$10005,$W3436)&gt;0),N(U3435),N(U3435)+1))</f>
        <v/>
      </c>
      <c r="V3436" s="19">
        <f>IF($B3436="","",TEXT($B3436,"0000"))</f>
        <v/>
      </c>
      <c r="W3436" s="19">
        <f>IF($I3436="","",IF(ISNUMBER($I3436),TEXT($I3436,"0"),$I3436))</f>
        <v/>
      </c>
    </row>
    <row r="3437">
      <c r="B3437" s="25" t="n"/>
      <c r="I3437" s="25" t="n"/>
      <c r="U3437" s="19">
        <f>IF($V3437&lt;&gt;'設定'!$C$4,N(U3436),IF(OR(NOT(COUNTIF('商品マスタ'!$B$6:$B$1005,$W3437)=0),COUNTIFS('①在庫を貼る'!$V$6:$V$10005,$V3437,'①在庫を貼る'!$W$6:$W$10005,$W3437)&gt;0),N(U3436),N(U3436)+1))</f>
        <v/>
      </c>
      <c r="V3437" s="19">
        <f>IF($B3437="","",TEXT($B3437,"0000"))</f>
        <v/>
      </c>
      <c r="W3437" s="19">
        <f>IF($I3437="","",IF(ISNUMBER($I3437),TEXT($I3437,"0"),$I3437))</f>
        <v/>
      </c>
    </row>
    <row r="3438">
      <c r="B3438" s="25" t="n"/>
      <c r="I3438" s="25" t="n"/>
      <c r="U3438" s="19">
        <f>IF($V3438&lt;&gt;'設定'!$C$4,N(U3437),IF(OR(NOT(COUNTIF('商品マスタ'!$B$6:$B$1005,$W3438)=0),COUNTIFS('①在庫を貼る'!$V$6:$V$10005,$V3438,'①在庫を貼る'!$W$6:$W$10005,$W3438)&gt;0),N(U3437),N(U3437)+1))</f>
        <v/>
      </c>
      <c r="V3438" s="19">
        <f>IF($B3438="","",TEXT($B3438,"0000"))</f>
        <v/>
      </c>
      <c r="W3438" s="19">
        <f>IF($I3438="","",IF(ISNUMBER($I3438),TEXT($I3438,"0"),$I3438))</f>
        <v/>
      </c>
    </row>
    <row r="3439">
      <c r="B3439" s="25" t="n"/>
      <c r="I3439" s="25" t="n"/>
      <c r="U3439" s="19">
        <f>IF($V3439&lt;&gt;'設定'!$C$4,N(U3438),IF(OR(NOT(COUNTIF('商品マスタ'!$B$6:$B$1005,$W3439)=0),COUNTIFS('①在庫を貼る'!$V$6:$V$10005,$V3439,'①在庫を貼る'!$W$6:$W$10005,$W3439)&gt;0),N(U3438),N(U3438)+1))</f>
        <v/>
      </c>
      <c r="V3439" s="19">
        <f>IF($B3439="","",TEXT($B3439,"0000"))</f>
        <v/>
      </c>
      <c r="W3439" s="19">
        <f>IF($I3439="","",IF(ISNUMBER($I3439),TEXT($I3439,"0"),$I3439))</f>
        <v/>
      </c>
    </row>
    <row r="3440">
      <c r="B3440" s="25" t="n"/>
      <c r="I3440" s="25" t="n"/>
      <c r="U3440" s="19">
        <f>IF($V3440&lt;&gt;'設定'!$C$4,N(U3439),IF(OR(NOT(COUNTIF('商品マスタ'!$B$6:$B$1005,$W3440)=0),COUNTIFS('①在庫を貼る'!$V$6:$V$10005,$V3440,'①在庫を貼る'!$W$6:$W$10005,$W3440)&gt;0),N(U3439),N(U3439)+1))</f>
        <v/>
      </c>
      <c r="V3440" s="19">
        <f>IF($B3440="","",TEXT($B3440,"0000"))</f>
        <v/>
      </c>
      <c r="W3440" s="19">
        <f>IF($I3440="","",IF(ISNUMBER($I3440),TEXT($I3440,"0"),$I3440))</f>
        <v/>
      </c>
    </row>
    <row r="3441">
      <c r="B3441" s="25" t="n"/>
      <c r="I3441" s="25" t="n"/>
      <c r="U3441" s="19">
        <f>IF($V3441&lt;&gt;'設定'!$C$4,N(U3440),IF(OR(NOT(COUNTIF('商品マスタ'!$B$6:$B$1005,$W3441)=0),COUNTIFS('①在庫を貼る'!$V$6:$V$10005,$V3441,'①在庫を貼る'!$W$6:$W$10005,$W3441)&gt;0),N(U3440),N(U3440)+1))</f>
        <v/>
      </c>
      <c r="V3441" s="19">
        <f>IF($B3441="","",TEXT($B3441,"0000"))</f>
        <v/>
      </c>
      <c r="W3441" s="19">
        <f>IF($I3441="","",IF(ISNUMBER($I3441),TEXT($I3441,"0"),$I3441))</f>
        <v/>
      </c>
    </row>
    <row r="3442">
      <c r="B3442" s="25" t="n"/>
      <c r="I3442" s="25" t="n"/>
      <c r="U3442" s="19">
        <f>IF($V3442&lt;&gt;'設定'!$C$4,N(U3441),IF(OR(NOT(COUNTIF('商品マスタ'!$B$6:$B$1005,$W3442)=0),COUNTIFS('①在庫を貼る'!$V$6:$V$10005,$V3442,'①在庫を貼る'!$W$6:$W$10005,$W3442)&gt;0),N(U3441),N(U3441)+1))</f>
        <v/>
      </c>
      <c r="V3442" s="19">
        <f>IF($B3442="","",TEXT($B3442,"0000"))</f>
        <v/>
      </c>
      <c r="W3442" s="19">
        <f>IF($I3442="","",IF(ISNUMBER($I3442),TEXT($I3442,"0"),$I3442))</f>
        <v/>
      </c>
    </row>
    <row r="3443">
      <c r="B3443" s="25" t="n"/>
      <c r="I3443" s="25" t="n"/>
      <c r="U3443" s="19">
        <f>IF($V3443&lt;&gt;'設定'!$C$4,N(U3442),IF(OR(NOT(COUNTIF('商品マスタ'!$B$6:$B$1005,$W3443)=0),COUNTIFS('①在庫を貼る'!$V$6:$V$10005,$V3443,'①在庫を貼る'!$W$6:$W$10005,$W3443)&gt;0),N(U3442),N(U3442)+1))</f>
        <v/>
      </c>
      <c r="V3443" s="19">
        <f>IF($B3443="","",TEXT($B3443,"0000"))</f>
        <v/>
      </c>
      <c r="W3443" s="19">
        <f>IF($I3443="","",IF(ISNUMBER($I3443),TEXT($I3443,"0"),$I3443))</f>
        <v/>
      </c>
    </row>
    <row r="3444">
      <c r="B3444" s="25" t="n"/>
      <c r="I3444" s="25" t="n"/>
      <c r="U3444" s="19">
        <f>IF($V3444&lt;&gt;'設定'!$C$4,N(U3443),IF(OR(NOT(COUNTIF('商品マスタ'!$B$6:$B$1005,$W3444)=0),COUNTIFS('①在庫を貼る'!$V$6:$V$10005,$V3444,'①在庫を貼る'!$W$6:$W$10005,$W3444)&gt;0),N(U3443),N(U3443)+1))</f>
        <v/>
      </c>
      <c r="V3444" s="19">
        <f>IF($B3444="","",TEXT($B3444,"0000"))</f>
        <v/>
      </c>
      <c r="W3444" s="19">
        <f>IF($I3444="","",IF(ISNUMBER($I3444),TEXT($I3444,"0"),$I3444))</f>
        <v/>
      </c>
    </row>
    <row r="3445">
      <c r="B3445" s="25" t="n"/>
      <c r="I3445" s="25" t="n"/>
      <c r="U3445" s="19">
        <f>IF($V3445&lt;&gt;'設定'!$C$4,N(U3444),IF(OR(NOT(COUNTIF('商品マスタ'!$B$6:$B$1005,$W3445)=0),COUNTIFS('①在庫を貼る'!$V$6:$V$10005,$V3445,'①在庫を貼る'!$W$6:$W$10005,$W3445)&gt;0),N(U3444),N(U3444)+1))</f>
        <v/>
      </c>
      <c r="V3445" s="19">
        <f>IF($B3445="","",TEXT($B3445,"0000"))</f>
        <v/>
      </c>
      <c r="W3445" s="19">
        <f>IF($I3445="","",IF(ISNUMBER($I3445),TEXT($I3445,"0"),$I3445))</f>
        <v/>
      </c>
    </row>
    <row r="3446">
      <c r="B3446" s="25" t="n"/>
      <c r="I3446" s="25" t="n"/>
      <c r="U3446" s="19">
        <f>IF($V3446&lt;&gt;'設定'!$C$4,N(U3445),IF(OR(NOT(COUNTIF('商品マスタ'!$B$6:$B$1005,$W3446)=0),COUNTIFS('①在庫を貼る'!$V$6:$V$10005,$V3446,'①在庫を貼る'!$W$6:$W$10005,$W3446)&gt;0),N(U3445),N(U3445)+1))</f>
        <v/>
      </c>
      <c r="V3446" s="19">
        <f>IF($B3446="","",TEXT($B3446,"0000"))</f>
        <v/>
      </c>
      <c r="W3446" s="19">
        <f>IF($I3446="","",IF(ISNUMBER($I3446),TEXT($I3446,"0"),$I3446))</f>
        <v/>
      </c>
    </row>
    <row r="3447">
      <c r="B3447" s="25" t="n"/>
      <c r="I3447" s="25" t="n"/>
      <c r="U3447" s="19">
        <f>IF($V3447&lt;&gt;'設定'!$C$4,N(U3446),IF(OR(NOT(COUNTIF('商品マスタ'!$B$6:$B$1005,$W3447)=0),COUNTIFS('①在庫を貼る'!$V$6:$V$10005,$V3447,'①在庫を貼る'!$W$6:$W$10005,$W3447)&gt;0),N(U3446),N(U3446)+1))</f>
        <v/>
      </c>
      <c r="V3447" s="19">
        <f>IF($B3447="","",TEXT($B3447,"0000"))</f>
        <v/>
      </c>
      <c r="W3447" s="19">
        <f>IF($I3447="","",IF(ISNUMBER($I3447),TEXT($I3447,"0"),$I3447))</f>
        <v/>
      </c>
    </row>
    <row r="3448">
      <c r="B3448" s="25" t="n"/>
      <c r="I3448" s="25" t="n"/>
      <c r="U3448" s="19">
        <f>IF($V3448&lt;&gt;'設定'!$C$4,N(U3447),IF(OR(NOT(COUNTIF('商品マスタ'!$B$6:$B$1005,$W3448)=0),COUNTIFS('①在庫を貼る'!$V$6:$V$10005,$V3448,'①在庫を貼る'!$W$6:$W$10005,$W3448)&gt;0),N(U3447),N(U3447)+1))</f>
        <v/>
      </c>
      <c r="V3448" s="19">
        <f>IF($B3448="","",TEXT($B3448,"0000"))</f>
        <v/>
      </c>
      <c r="W3448" s="19">
        <f>IF($I3448="","",IF(ISNUMBER($I3448),TEXT($I3448,"0"),$I3448))</f>
        <v/>
      </c>
    </row>
    <row r="3449">
      <c r="B3449" s="25" t="n"/>
      <c r="I3449" s="25" t="n"/>
      <c r="U3449" s="19">
        <f>IF($V3449&lt;&gt;'設定'!$C$4,N(U3448),IF(OR(NOT(COUNTIF('商品マスタ'!$B$6:$B$1005,$W3449)=0),COUNTIFS('①在庫を貼る'!$V$6:$V$10005,$V3449,'①在庫を貼る'!$W$6:$W$10005,$W3449)&gt;0),N(U3448),N(U3448)+1))</f>
        <v/>
      </c>
      <c r="V3449" s="19">
        <f>IF($B3449="","",TEXT($B3449,"0000"))</f>
        <v/>
      </c>
      <c r="W3449" s="19">
        <f>IF($I3449="","",IF(ISNUMBER($I3449),TEXT($I3449,"0"),$I3449))</f>
        <v/>
      </c>
    </row>
    <row r="3450">
      <c r="B3450" s="25" t="n"/>
      <c r="I3450" s="25" t="n"/>
      <c r="U3450" s="19">
        <f>IF($V3450&lt;&gt;'設定'!$C$4,N(U3449),IF(OR(NOT(COUNTIF('商品マスタ'!$B$6:$B$1005,$W3450)=0),COUNTIFS('①在庫を貼る'!$V$6:$V$10005,$V3450,'①在庫を貼る'!$W$6:$W$10005,$W3450)&gt;0),N(U3449),N(U3449)+1))</f>
        <v/>
      </c>
      <c r="V3450" s="19">
        <f>IF($B3450="","",TEXT($B3450,"0000"))</f>
        <v/>
      </c>
      <c r="W3450" s="19">
        <f>IF($I3450="","",IF(ISNUMBER($I3450),TEXT($I3450,"0"),$I3450))</f>
        <v/>
      </c>
    </row>
    <row r="3451">
      <c r="B3451" s="25" t="n"/>
      <c r="I3451" s="25" t="n"/>
      <c r="U3451" s="19">
        <f>IF($V3451&lt;&gt;'設定'!$C$4,N(U3450),IF(OR(NOT(COUNTIF('商品マスタ'!$B$6:$B$1005,$W3451)=0),COUNTIFS('①在庫を貼る'!$V$6:$V$10005,$V3451,'①在庫を貼る'!$W$6:$W$10005,$W3451)&gt;0),N(U3450),N(U3450)+1))</f>
        <v/>
      </c>
      <c r="V3451" s="19">
        <f>IF($B3451="","",TEXT($B3451,"0000"))</f>
        <v/>
      </c>
      <c r="W3451" s="19">
        <f>IF($I3451="","",IF(ISNUMBER($I3451),TEXT($I3451,"0"),$I3451))</f>
        <v/>
      </c>
    </row>
    <row r="3452">
      <c r="B3452" s="25" t="n"/>
      <c r="I3452" s="25" t="n"/>
      <c r="U3452" s="19">
        <f>IF($V3452&lt;&gt;'設定'!$C$4,N(U3451),IF(OR(NOT(COUNTIF('商品マスタ'!$B$6:$B$1005,$W3452)=0),COUNTIFS('①在庫を貼る'!$V$6:$V$10005,$V3452,'①在庫を貼る'!$W$6:$W$10005,$W3452)&gt;0),N(U3451),N(U3451)+1))</f>
        <v/>
      </c>
      <c r="V3452" s="19">
        <f>IF($B3452="","",TEXT($B3452,"0000"))</f>
        <v/>
      </c>
      <c r="W3452" s="19">
        <f>IF($I3452="","",IF(ISNUMBER($I3452),TEXT($I3452,"0"),$I3452))</f>
        <v/>
      </c>
    </row>
    <row r="3453">
      <c r="B3453" s="25" t="n"/>
      <c r="I3453" s="25" t="n"/>
      <c r="U3453" s="19">
        <f>IF($V3453&lt;&gt;'設定'!$C$4,N(U3452),IF(OR(NOT(COUNTIF('商品マスタ'!$B$6:$B$1005,$W3453)=0),COUNTIFS('①在庫を貼る'!$V$6:$V$10005,$V3453,'①在庫を貼る'!$W$6:$W$10005,$W3453)&gt;0),N(U3452),N(U3452)+1))</f>
        <v/>
      </c>
      <c r="V3453" s="19">
        <f>IF($B3453="","",TEXT($B3453,"0000"))</f>
        <v/>
      </c>
      <c r="W3453" s="19">
        <f>IF($I3453="","",IF(ISNUMBER($I3453),TEXT($I3453,"0"),$I3453))</f>
        <v/>
      </c>
    </row>
    <row r="3454">
      <c r="B3454" s="25" t="n"/>
      <c r="I3454" s="25" t="n"/>
      <c r="U3454" s="19">
        <f>IF($V3454&lt;&gt;'設定'!$C$4,N(U3453),IF(OR(NOT(COUNTIF('商品マスタ'!$B$6:$B$1005,$W3454)=0),COUNTIFS('①在庫を貼る'!$V$6:$V$10005,$V3454,'①在庫を貼る'!$W$6:$W$10005,$W3454)&gt;0),N(U3453),N(U3453)+1))</f>
        <v/>
      </c>
      <c r="V3454" s="19">
        <f>IF($B3454="","",TEXT($B3454,"0000"))</f>
        <v/>
      </c>
      <c r="W3454" s="19">
        <f>IF($I3454="","",IF(ISNUMBER($I3454),TEXT($I3454,"0"),$I3454))</f>
        <v/>
      </c>
    </row>
    <row r="3455">
      <c r="B3455" s="25" t="n"/>
      <c r="I3455" s="25" t="n"/>
      <c r="U3455" s="19">
        <f>IF($V3455&lt;&gt;'設定'!$C$4,N(U3454),IF(OR(NOT(COUNTIF('商品マスタ'!$B$6:$B$1005,$W3455)=0),COUNTIFS('①在庫を貼る'!$V$6:$V$10005,$V3455,'①在庫を貼る'!$W$6:$W$10005,$W3455)&gt;0),N(U3454),N(U3454)+1))</f>
        <v/>
      </c>
      <c r="V3455" s="19">
        <f>IF($B3455="","",TEXT($B3455,"0000"))</f>
        <v/>
      </c>
      <c r="W3455" s="19">
        <f>IF($I3455="","",IF(ISNUMBER($I3455),TEXT($I3455,"0"),$I3455))</f>
        <v/>
      </c>
    </row>
    <row r="3456">
      <c r="B3456" s="25" t="n"/>
      <c r="I3456" s="25" t="n"/>
      <c r="U3456" s="19">
        <f>IF($V3456&lt;&gt;'設定'!$C$4,N(U3455),IF(OR(NOT(COUNTIF('商品マスタ'!$B$6:$B$1005,$W3456)=0),COUNTIFS('①在庫を貼る'!$V$6:$V$10005,$V3456,'①在庫を貼る'!$W$6:$W$10005,$W3456)&gt;0),N(U3455),N(U3455)+1))</f>
        <v/>
      </c>
      <c r="V3456" s="19">
        <f>IF($B3456="","",TEXT($B3456,"0000"))</f>
        <v/>
      </c>
      <c r="W3456" s="19">
        <f>IF($I3456="","",IF(ISNUMBER($I3456),TEXT($I3456,"0"),$I3456))</f>
        <v/>
      </c>
    </row>
    <row r="3457">
      <c r="B3457" s="25" t="n"/>
      <c r="I3457" s="25" t="n"/>
      <c r="U3457" s="19">
        <f>IF($V3457&lt;&gt;'設定'!$C$4,N(U3456),IF(OR(NOT(COUNTIF('商品マスタ'!$B$6:$B$1005,$W3457)=0),COUNTIFS('①在庫を貼る'!$V$6:$V$10005,$V3457,'①在庫を貼る'!$W$6:$W$10005,$W3457)&gt;0),N(U3456),N(U3456)+1))</f>
        <v/>
      </c>
      <c r="V3457" s="19">
        <f>IF($B3457="","",TEXT($B3457,"0000"))</f>
        <v/>
      </c>
      <c r="W3457" s="19">
        <f>IF($I3457="","",IF(ISNUMBER($I3457),TEXT($I3457,"0"),$I3457))</f>
        <v/>
      </c>
    </row>
    <row r="3458">
      <c r="B3458" s="25" t="n"/>
      <c r="I3458" s="25" t="n"/>
      <c r="U3458" s="19">
        <f>IF($V3458&lt;&gt;'設定'!$C$4,N(U3457),IF(OR(NOT(COUNTIF('商品マスタ'!$B$6:$B$1005,$W3458)=0),COUNTIFS('①在庫を貼る'!$V$6:$V$10005,$V3458,'①在庫を貼る'!$W$6:$W$10005,$W3458)&gt;0),N(U3457),N(U3457)+1))</f>
        <v/>
      </c>
      <c r="V3458" s="19">
        <f>IF($B3458="","",TEXT($B3458,"0000"))</f>
        <v/>
      </c>
      <c r="W3458" s="19">
        <f>IF($I3458="","",IF(ISNUMBER($I3458),TEXT($I3458,"0"),$I3458))</f>
        <v/>
      </c>
    </row>
    <row r="3459">
      <c r="B3459" s="25" t="n"/>
      <c r="I3459" s="25" t="n"/>
      <c r="U3459" s="19">
        <f>IF($V3459&lt;&gt;'設定'!$C$4,N(U3458),IF(OR(NOT(COUNTIF('商品マスタ'!$B$6:$B$1005,$W3459)=0),COUNTIFS('①在庫を貼る'!$V$6:$V$10005,$V3459,'①在庫を貼る'!$W$6:$W$10005,$W3459)&gt;0),N(U3458),N(U3458)+1))</f>
        <v/>
      </c>
      <c r="V3459" s="19">
        <f>IF($B3459="","",TEXT($B3459,"0000"))</f>
        <v/>
      </c>
      <c r="W3459" s="19">
        <f>IF($I3459="","",IF(ISNUMBER($I3459),TEXT($I3459,"0"),$I3459))</f>
        <v/>
      </c>
    </row>
    <row r="3460">
      <c r="B3460" s="25" t="n"/>
      <c r="I3460" s="25" t="n"/>
      <c r="U3460" s="19">
        <f>IF($V3460&lt;&gt;'設定'!$C$4,N(U3459),IF(OR(NOT(COUNTIF('商品マスタ'!$B$6:$B$1005,$W3460)=0),COUNTIFS('①在庫を貼る'!$V$6:$V$10005,$V3460,'①在庫を貼る'!$W$6:$W$10005,$W3460)&gt;0),N(U3459),N(U3459)+1))</f>
        <v/>
      </c>
      <c r="V3460" s="19">
        <f>IF($B3460="","",TEXT($B3460,"0000"))</f>
        <v/>
      </c>
      <c r="W3460" s="19">
        <f>IF($I3460="","",IF(ISNUMBER($I3460),TEXT($I3460,"0"),$I3460))</f>
        <v/>
      </c>
    </row>
    <row r="3461">
      <c r="B3461" s="25" t="n"/>
      <c r="I3461" s="25" t="n"/>
      <c r="U3461" s="19">
        <f>IF($V3461&lt;&gt;'設定'!$C$4,N(U3460),IF(OR(NOT(COUNTIF('商品マスタ'!$B$6:$B$1005,$W3461)=0),COUNTIFS('①在庫を貼る'!$V$6:$V$10005,$V3461,'①在庫を貼る'!$W$6:$W$10005,$W3461)&gt;0),N(U3460),N(U3460)+1))</f>
        <v/>
      </c>
      <c r="V3461" s="19">
        <f>IF($B3461="","",TEXT($B3461,"0000"))</f>
        <v/>
      </c>
      <c r="W3461" s="19">
        <f>IF($I3461="","",IF(ISNUMBER($I3461),TEXT($I3461,"0"),$I3461))</f>
        <v/>
      </c>
    </row>
    <row r="3462">
      <c r="B3462" s="25" t="n"/>
      <c r="I3462" s="25" t="n"/>
      <c r="U3462" s="19">
        <f>IF($V3462&lt;&gt;'設定'!$C$4,N(U3461),IF(OR(NOT(COUNTIF('商品マスタ'!$B$6:$B$1005,$W3462)=0),COUNTIFS('①在庫を貼る'!$V$6:$V$10005,$V3462,'①在庫を貼る'!$W$6:$W$10005,$W3462)&gt;0),N(U3461),N(U3461)+1))</f>
        <v/>
      </c>
      <c r="V3462" s="19">
        <f>IF($B3462="","",TEXT($B3462,"0000"))</f>
        <v/>
      </c>
      <c r="W3462" s="19">
        <f>IF($I3462="","",IF(ISNUMBER($I3462),TEXT($I3462,"0"),$I3462))</f>
        <v/>
      </c>
    </row>
    <row r="3463">
      <c r="B3463" s="25" t="n"/>
      <c r="I3463" s="25" t="n"/>
      <c r="U3463" s="19">
        <f>IF($V3463&lt;&gt;'設定'!$C$4,N(U3462),IF(OR(NOT(COUNTIF('商品マスタ'!$B$6:$B$1005,$W3463)=0),COUNTIFS('①在庫を貼る'!$V$6:$V$10005,$V3463,'①在庫を貼る'!$W$6:$W$10005,$W3463)&gt;0),N(U3462),N(U3462)+1))</f>
        <v/>
      </c>
      <c r="V3463" s="19">
        <f>IF($B3463="","",TEXT($B3463,"0000"))</f>
        <v/>
      </c>
      <c r="W3463" s="19">
        <f>IF($I3463="","",IF(ISNUMBER($I3463),TEXT($I3463,"0"),$I3463))</f>
        <v/>
      </c>
    </row>
    <row r="3464">
      <c r="B3464" s="25" t="n"/>
      <c r="I3464" s="25" t="n"/>
      <c r="U3464" s="19">
        <f>IF($V3464&lt;&gt;'設定'!$C$4,N(U3463),IF(OR(NOT(COUNTIF('商品マスタ'!$B$6:$B$1005,$W3464)=0),COUNTIFS('①在庫を貼る'!$V$6:$V$10005,$V3464,'①在庫を貼る'!$W$6:$W$10005,$W3464)&gt;0),N(U3463),N(U3463)+1))</f>
        <v/>
      </c>
      <c r="V3464" s="19">
        <f>IF($B3464="","",TEXT($B3464,"0000"))</f>
        <v/>
      </c>
      <c r="W3464" s="19">
        <f>IF($I3464="","",IF(ISNUMBER($I3464),TEXT($I3464,"0"),$I3464))</f>
        <v/>
      </c>
    </row>
    <row r="3465">
      <c r="B3465" s="25" t="n"/>
      <c r="I3465" s="25" t="n"/>
      <c r="U3465" s="19">
        <f>IF($V3465&lt;&gt;'設定'!$C$4,N(U3464),IF(OR(NOT(COUNTIF('商品マスタ'!$B$6:$B$1005,$W3465)=0),COUNTIFS('①在庫を貼る'!$V$6:$V$10005,$V3465,'①在庫を貼る'!$W$6:$W$10005,$W3465)&gt;0),N(U3464),N(U3464)+1))</f>
        <v/>
      </c>
      <c r="V3465" s="19">
        <f>IF($B3465="","",TEXT($B3465,"0000"))</f>
        <v/>
      </c>
      <c r="W3465" s="19">
        <f>IF($I3465="","",IF(ISNUMBER($I3465),TEXT($I3465,"0"),$I3465))</f>
        <v/>
      </c>
    </row>
    <row r="3466">
      <c r="B3466" s="25" t="n"/>
      <c r="I3466" s="25" t="n"/>
      <c r="U3466" s="19">
        <f>IF($V3466&lt;&gt;'設定'!$C$4,N(U3465),IF(OR(NOT(COUNTIF('商品マスタ'!$B$6:$B$1005,$W3466)=0),COUNTIFS('①在庫を貼る'!$V$6:$V$10005,$V3466,'①在庫を貼る'!$W$6:$W$10005,$W3466)&gt;0),N(U3465),N(U3465)+1))</f>
        <v/>
      </c>
      <c r="V3466" s="19">
        <f>IF($B3466="","",TEXT($B3466,"0000"))</f>
        <v/>
      </c>
      <c r="W3466" s="19">
        <f>IF($I3466="","",IF(ISNUMBER($I3466),TEXT($I3466,"0"),$I3466))</f>
        <v/>
      </c>
    </row>
    <row r="3467">
      <c r="B3467" s="25" t="n"/>
      <c r="I3467" s="25" t="n"/>
      <c r="U3467" s="19">
        <f>IF($V3467&lt;&gt;'設定'!$C$4,N(U3466),IF(OR(NOT(COUNTIF('商品マスタ'!$B$6:$B$1005,$W3467)=0),COUNTIFS('①在庫を貼る'!$V$6:$V$10005,$V3467,'①在庫を貼る'!$W$6:$W$10005,$W3467)&gt;0),N(U3466),N(U3466)+1))</f>
        <v/>
      </c>
      <c r="V3467" s="19">
        <f>IF($B3467="","",TEXT($B3467,"0000"))</f>
        <v/>
      </c>
      <c r="W3467" s="19">
        <f>IF($I3467="","",IF(ISNUMBER($I3467),TEXT($I3467,"0"),$I3467))</f>
        <v/>
      </c>
    </row>
    <row r="3468">
      <c r="B3468" s="25" t="n"/>
      <c r="I3468" s="25" t="n"/>
      <c r="U3468" s="19">
        <f>IF($V3468&lt;&gt;'設定'!$C$4,N(U3467),IF(OR(NOT(COUNTIF('商品マスタ'!$B$6:$B$1005,$W3468)=0),COUNTIFS('①在庫を貼る'!$V$6:$V$10005,$V3468,'①在庫を貼る'!$W$6:$W$10005,$W3468)&gt;0),N(U3467),N(U3467)+1))</f>
        <v/>
      </c>
      <c r="V3468" s="19">
        <f>IF($B3468="","",TEXT($B3468,"0000"))</f>
        <v/>
      </c>
      <c r="W3468" s="19">
        <f>IF($I3468="","",IF(ISNUMBER($I3468),TEXT($I3468,"0"),$I3468))</f>
        <v/>
      </c>
    </row>
    <row r="3469">
      <c r="B3469" s="25" t="n"/>
      <c r="I3469" s="25" t="n"/>
      <c r="U3469" s="19">
        <f>IF($V3469&lt;&gt;'設定'!$C$4,N(U3468),IF(OR(NOT(COUNTIF('商品マスタ'!$B$6:$B$1005,$W3469)=0),COUNTIFS('①在庫を貼る'!$V$6:$V$10005,$V3469,'①在庫を貼る'!$W$6:$W$10005,$W3469)&gt;0),N(U3468),N(U3468)+1))</f>
        <v/>
      </c>
      <c r="V3469" s="19">
        <f>IF($B3469="","",TEXT($B3469,"0000"))</f>
        <v/>
      </c>
      <c r="W3469" s="19">
        <f>IF($I3469="","",IF(ISNUMBER($I3469),TEXT($I3469,"0"),$I3469))</f>
        <v/>
      </c>
    </row>
    <row r="3470">
      <c r="B3470" s="25" t="n"/>
      <c r="I3470" s="25" t="n"/>
      <c r="U3470" s="19">
        <f>IF($V3470&lt;&gt;'設定'!$C$4,N(U3469),IF(OR(NOT(COUNTIF('商品マスタ'!$B$6:$B$1005,$W3470)=0),COUNTIFS('①在庫を貼る'!$V$6:$V$10005,$V3470,'①在庫を貼る'!$W$6:$W$10005,$W3470)&gt;0),N(U3469),N(U3469)+1))</f>
        <v/>
      </c>
      <c r="V3470" s="19">
        <f>IF($B3470="","",TEXT($B3470,"0000"))</f>
        <v/>
      </c>
      <c r="W3470" s="19">
        <f>IF($I3470="","",IF(ISNUMBER($I3470),TEXT($I3470,"0"),$I3470))</f>
        <v/>
      </c>
    </row>
    <row r="3471">
      <c r="B3471" s="25" t="n"/>
      <c r="I3471" s="25" t="n"/>
      <c r="U3471" s="19">
        <f>IF($V3471&lt;&gt;'設定'!$C$4,N(U3470),IF(OR(NOT(COUNTIF('商品マスタ'!$B$6:$B$1005,$W3471)=0),COUNTIFS('①在庫を貼る'!$V$6:$V$10005,$V3471,'①在庫を貼る'!$W$6:$W$10005,$W3471)&gt;0),N(U3470),N(U3470)+1))</f>
        <v/>
      </c>
      <c r="V3471" s="19">
        <f>IF($B3471="","",TEXT($B3471,"0000"))</f>
        <v/>
      </c>
      <c r="W3471" s="19">
        <f>IF($I3471="","",IF(ISNUMBER($I3471),TEXT($I3471,"0"),$I3471))</f>
        <v/>
      </c>
    </row>
    <row r="3472">
      <c r="B3472" s="25" t="n"/>
      <c r="I3472" s="25" t="n"/>
      <c r="U3472" s="19">
        <f>IF($V3472&lt;&gt;'設定'!$C$4,N(U3471),IF(OR(NOT(COUNTIF('商品マスタ'!$B$6:$B$1005,$W3472)=0),COUNTIFS('①在庫を貼る'!$V$6:$V$10005,$V3472,'①在庫を貼る'!$W$6:$W$10005,$W3472)&gt;0),N(U3471),N(U3471)+1))</f>
        <v/>
      </c>
      <c r="V3472" s="19">
        <f>IF($B3472="","",TEXT($B3472,"0000"))</f>
        <v/>
      </c>
      <c r="W3472" s="19">
        <f>IF($I3472="","",IF(ISNUMBER($I3472),TEXT($I3472,"0"),$I3472))</f>
        <v/>
      </c>
    </row>
    <row r="3473">
      <c r="B3473" s="25" t="n"/>
      <c r="I3473" s="25" t="n"/>
      <c r="U3473" s="19">
        <f>IF($V3473&lt;&gt;'設定'!$C$4,N(U3472),IF(OR(NOT(COUNTIF('商品マスタ'!$B$6:$B$1005,$W3473)=0),COUNTIFS('①在庫を貼る'!$V$6:$V$10005,$V3473,'①在庫を貼る'!$W$6:$W$10005,$W3473)&gt;0),N(U3472),N(U3472)+1))</f>
        <v/>
      </c>
      <c r="V3473" s="19">
        <f>IF($B3473="","",TEXT($B3473,"0000"))</f>
        <v/>
      </c>
      <c r="W3473" s="19">
        <f>IF($I3473="","",IF(ISNUMBER($I3473),TEXT($I3473,"0"),$I3473))</f>
        <v/>
      </c>
    </row>
    <row r="3474">
      <c r="B3474" s="25" t="n"/>
      <c r="I3474" s="25" t="n"/>
      <c r="U3474" s="19">
        <f>IF($V3474&lt;&gt;'設定'!$C$4,N(U3473),IF(OR(NOT(COUNTIF('商品マスタ'!$B$6:$B$1005,$W3474)=0),COUNTIFS('①在庫を貼る'!$V$6:$V$10005,$V3474,'①在庫を貼る'!$W$6:$W$10005,$W3474)&gt;0),N(U3473),N(U3473)+1))</f>
        <v/>
      </c>
      <c r="V3474" s="19">
        <f>IF($B3474="","",TEXT($B3474,"0000"))</f>
        <v/>
      </c>
      <c r="W3474" s="19">
        <f>IF($I3474="","",IF(ISNUMBER($I3474),TEXT($I3474,"0"),$I3474))</f>
        <v/>
      </c>
    </row>
    <row r="3475">
      <c r="B3475" s="25" t="n"/>
      <c r="I3475" s="25" t="n"/>
      <c r="U3475" s="19">
        <f>IF($V3475&lt;&gt;'設定'!$C$4,N(U3474),IF(OR(NOT(COUNTIF('商品マスタ'!$B$6:$B$1005,$W3475)=0),COUNTIFS('①在庫を貼る'!$V$6:$V$10005,$V3475,'①在庫を貼る'!$W$6:$W$10005,$W3475)&gt;0),N(U3474),N(U3474)+1))</f>
        <v/>
      </c>
      <c r="V3475" s="19">
        <f>IF($B3475="","",TEXT($B3475,"0000"))</f>
        <v/>
      </c>
      <c r="W3475" s="19">
        <f>IF($I3475="","",IF(ISNUMBER($I3475),TEXT($I3475,"0"),$I3475))</f>
        <v/>
      </c>
    </row>
    <row r="3476">
      <c r="B3476" s="25" t="n"/>
      <c r="I3476" s="25" t="n"/>
      <c r="U3476" s="19">
        <f>IF($V3476&lt;&gt;'設定'!$C$4,N(U3475),IF(OR(NOT(COUNTIF('商品マスタ'!$B$6:$B$1005,$W3476)=0),COUNTIFS('①在庫を貼る'!$V$6:$V$10005,$V3476,'①在庫を貼る'!$W$6:$W$10005,$W3476)&gt;0),N(U3475),N(U3475)+1))</f>
        <v/>
      </c>
      <c r="V3476" s="19">
        <f>IF($B3476="","",TEXT($B3476,"0000"))</f>
        <v/>
      </c>
      <c r="W3476" s="19">
        <f>IF($I3476="","",IF(ISNUMBER($I3476),TEXT($I3476,"0"),$I3476))</f>
        <v/>
      </c>
    </row>
    <row r="3477">
      <c r="B3477" s="25" t="n"/>
      <c r="I3477" s="25" t="n"/>
      <c r="U3477" s="19">
        <f>IF($V3477&lt;&gt;'設定'!$C$4,N(U3476),IF(OR(NOT(COUNTIF('商品マスタ'!$B$6:$B$1005,$W3477)=0),COUNTIFS('①在庫を貼る'!$V$6:$V$10005,$V3477,'①在庫を貼る'!$W$6:$W$10005,$W3477)&gt;0),N(U3476),N(U3476)+1))</f>
        <v/>
      </c>
      <c r="V3477" s="19">
        <f>IF($B3477="","",TEXT($B3477,"0000"))</f>
        <v/>
      </c>
      <c r="W3477" s="19">
        <f>IF($I3477="","",IF(ISNUMBER($I3477),TEXT($I3477,"0"),$I3477))</f>
        <v/>
      </c>
    </row>
    <row r="3478">
      <c r="B3478" s="25" t="n"/>
      <c r="I3478" s="25" t="n"/>
      <c r="U3478" s="19">
        <f>IF($V3478&lt;&gt;'設定'!$C$4,N(U3477),IF(OR(NOT(COUNTIF('商品マスタ'!$B$6:$B$1005,$W3478)=0),COUNTIFS('①在庫を貼る'!$V$6:$V$10005,$V3478,'①在庫を貼る'!$W$6:$W$10005,$W3478)&gt;0),N(U3477),N(U3477)+1))</f>
        <v/>
      </c>
      <c r="V3478" s="19">
        <f>IF($B3478="","",TEXT($B3478,"0000"))</f>
        <v/>
      </c>
      <c r="W3478" s="19">
        <f>IF($I3478="","",IF(ISNUMBER($I3478),TEXT($I3478,"0"),$I3478))</f>
        <v/>
      </c>
    </row>
    <row r="3479">
      <c r="B3479" s="25" t="n"/>
      <c r="I3479" s="25" t="n"/>
      <c r="U3479" s="19">
        <f>IF($V3479&lt;&gt;'設定'!$C$4,N(U3478),IF(OR(NOT(COUNTIF('商品マスタ'!$B$6:$B$1005,$W3479)=0),COUNTIFS('①在庫を貼る'!$V$6:$V$10005,$V3479,'①在庫を貼る'!$W$6:$W$10005,$W3479)&gt;0),N(U3478),N(U3478)+1))</f>
        <v/>
      </c>
      <c r="V3479" s="19">
        <f>IF($B3479="","",TEXT($B3479,"0000"))</f>
        <v/>
      </c>
      <c r="W3479" s="19">
        <f>IF($I3479="","",IF(ISNUMBER($I3479),TEXT($I3479,"0"),$I3479))</f>
        <v/>
      </c>
    </row>
    <row r="3480">
      <c r="B3480" s="25" t="n"/>
      <c r="I3480" s="25" t="n"/>
      <c r="U3480" s="19">
        <f>IF($V3480&lt;&gt;'設定'!$C$4,N(U3479),IF(OR(NOT(COUNTIF('商品マスタ'!$B$6:$B$1005,$W3480)=0),COUNTIFS('①在庫を貼る'!$V$6:$V$10005,$V3480,'①在庫を貼る'!$W$6:$W$10005,$W3480)&gt;0),N(U3479),N(U3479)+1))</f>
        <v/>
      </c>
      <c r="V3480" s="19">
        <f>IF($B3480="","",TEXT($B3480,"0000"))</f>
        <v/>
      </c>
      <c r="W3480" s="19">
        <f>IF($I3480="","",IF(ISNUMBER($I3480),TEXT($I3480,"0"),$I3480))</f>
        <v/>
      </c>
    </row>
    <row r="3481">
      <c r="B3481" s="25" t="n"/>
      <c r="I3481" s="25" t="n"/>
      <c r="U3481" s="19">
        <f>IF($V3481&lt;&gt;'設定'!$C$4,N(U3480),IF(OR(NOT(COUNTIF('商品マスタ'!$B$6:$B$1005,$W3481)=0),COUNTIFS('①在庫を貼る'!$V$6:$V$10005,$V3481,'①在庫を貼る'!$W$6:$W$10005,$W3481)&gt;0),N(U3480),N(U3480)+1))</f>
        <v/>
      </c>
      <c r="V3481" s="19">
        <f>IF($B3481="","",TEXT($B3481,"0000"))</f>
        <v/>
      </c>
      <c r="W3481" s="19">
        <f>IF($I3481="","",IF(ISNUMBER($I3481),TEXT($I3481,"0"),$I3481))</f>
        <v/>
      </c>
    </row>
    <row r="3482">
      <c r="B3482" s="25" t="n"/>
      <c r="I3482" s="25" t="n"/>
      <c r="U3482" s="19">
        <f>IF($V3482&lt;&gt;'設定'!$C$4,N(U3481),IF(OR(NOT(COUNTIF('商品マスタ'!$B$6:$B$1005,$W3482)=0),COUNTIFS('①在庫を貼る'!$V$6:$V$10005,$V3482,'①在庫を貼る'!$W$6:$W$10005,$W3482)&gt;0),N(U3481),N(U3481)+1))</f>
        <v/>
      </c>
      <c r="V3482" s="19">
        <f>IF($B3482="","",TEXT($B3482,"0000"))</f>
        <v/>
      </c>
      <c r="W3482" s="19">
        <f>IF($I3482="","",IF(ISNUMBER($I3482),TEXT($I3482,"0"),$I3482))</f>
        <v/>
      </c>
    </row>
    <row r="3483">
      <c r="B3483" s="25" t="n"/>
      <c r="I3483" s="25" t="n"/>
      <c r="U3483" s="19">
        <f>IF($V3483&lt;&gt;'設定'!$C$4,N(U3482),IF(OR(NOT(COUNTIF('商品マスタ'!$B$6:$B$1005,$W3483)=0),COUNTIFS('①在庫を貼る'!$V$6:$V$10005,$V3483,'①在庫を貼る'!$W$6:$W$10005,$W3483)&gt;0),N(U3482),N(U3482)+1))</f>
        <v/>
      </c>
      <c r="V3483" s="19">
        <f>IF($B3483="","",TEXT($B3483,"0000"))</f>
        <v/>
      </c>
      <c r="W3483" s="19">
        <f>IF($I3483="","",IF(ISNUMBER($I3483),TEXT($I3483,"0"),$I3483))</f>
        <v/>
      </c>
    </row>
    <row r="3484">
      <c r="B3484" s="25" t="n"/>
      <c r="I3484" s="25" t="n"/>
      <c r="U3484" s="19">
        <f>IF($V3484&lt;&gt;'設定'!$C$4,N(U3483),IF(OR(NOT(COUNTIF('商品マスタ'!$B$6:$B$1005,$W3484)=0),COUNTIFS('①在庫を貼る'!$V$6:$V$10005,$V3484,'①在庫を貼る'!$W$6:$W$10005,$W3484)&gt;0),N(U3483),N(U3483)+1))</f>
        <v/>
      </c>
      <c r="V3484" s="19">
        <f>IF($B3484="","",TEXT($B3484,"0000"))</f>
        <v/>
      </c>
      <c r="W3484" s="19">
        <f>IF($I3484="","",IF(ISNUMBER($I3484),TEXT($I3484,"0"),$I3484))</f>
        <v/>
      </c>
    </row>
    <row r="3485">
      <c r="B3485" s="25" t="n"/>
      <c r="I3485" s="25" t="n"/>
      <c r="U3485" s="19">
        <f>IF($V3485&lt;&gt;'設定'!$C$4,N(U3484),IF(OR(NOT(COUNTIF('商品マスタ'!$B$6:$B$1005,$W3485)=0),COUNTIFS('①在庫を貼る'!$V$6:$V$10005,$V3485,'①在庫を貼る'!$W$6:$W$10005,$W3485)&gt;0),N(U3484),N(U3484)+1))</f>
        <v/>
      </c>
      <c r="V3485" s="19">
        <f>IF($B3485="","",TEXT($B3485,"0000"))</f>
        <v/>
      </c>
      <c r="W3485" s="19">
        <f>IF($I3485="","",IF(ISNUMBER($I3485),TEXT($I3485,"0"),$I3485))</f>
        <v/>
      </c>
    </row>
    <row r="3486">
      <c r="B3486" s="25" t="n"/>
      <c r="I3486" s="25" t="n"/>
      <c r="U3486" s="19">
        <f>IF($V3486&lt;&gt;'設定'!$C$4,N(U3485),IF(OR(NOT(COUNTIF('商品マスタ'!$B$6:$B$1005,$W3486)=0),COUNTIFS('①在庫を貼る'!$V$6:$V$10005,$V3486,'①在庫を貼る'!$W$6:$W$10005,$W3486)&gt;0),N(U3485),N(U3485)+1))</f>
        <v/>
      </c>
      <c r="V3486" s="19">
        <f>IF($B3486="","",TEXT($B3486,"0000"))</f>
        <v/>
      </c>
      <c r="W3486" s="19">
        <f>IF($I3486="","",IF(ISNUMBER($I3486),TEXT($I3486,"0"),$I3486))</f>
        <v/>
      </c>
    </row>
    <row r="3487">
      <c r="B3487" s="25" t="n"/>
      <c r="I3487" s="25" t="n"/>
      <c r="U3487" s="19">
        <f>IF($V3487&lt;&gt;'設定'!$C$4,N(U3486),IF(OR(NOT(COUNTIF('商品マスタ'!$B$6:$B$1005,$W3487)=0),COUNTIFS('①在庫を貼る'!$V$6:$V$10005,$V3487,'①在庫を貼る'!$W$6:$W$10005,$W3487)&gt;0),N(U3486),N(U3486)+1))</f>
        <v/>
      </c>
      <c r="V3487" s="19">
        <f>IF($B3487="","",TEXT($B3487,"0000"))</f>
        <v/>
      </c>
      <c r="W3487" s="19">
        <f>IF($I3487="","",IF(ISNUMBER($I3487),TEXT($I3487,"0"),$I3487))</f>
        <v/>
      </c>
    </row>
    <row r="3488">
      <c r="B3488" s="25" t="n"/>
      <c r="I3488" s="25" t="n"/>
      <c r="U3488" s="19">
        <f>IF($V3488&lt;&gt;'設定'!$C$4,N(U3487),IF(OR(NOT(COUNTIF('商品マスタ'!$B$6:$B$1005,$W3488)=0),COUNTIFS('①在庫を貼る'!$V$6:$V$10005,$V3488,'①在庫を貼る'!$W$6:$W$10005,$W3488)&gt;0),N(U3487),N(U3487)+1))</f>
        <v/>
      </c>
      <c r="V3488" s="19">
        <f>IF($B3488="","",TEXT($B3488,"0000"))</f>
        <v/>
      </c>
      <c r="W3488" s="19">
        <f>IF($I3488="","",IF(ISNUMBER($I3488),TEXT($I3488,"0"),$I3488))</f>
        <v/>
      </c>
    </row>
    <row r="3489">
      <c r="B3489" s="25" t="n"/>
      <c r="I3489" s="25" t="n"/>
      <c r="U3489" s="19">
        <f>IF($V3489&lt;&gt;'設定'!$C$4,N(U3488),IF(OR(NOT(COUNTIF('商品マスタ'!$B$6:$B$1005,$W3489)=0),COUNTIFS('①在庫を貼る'!$V$6:$V$10005,$V3489,'①在庫を貼る'!$W$6:$W$10005,$W3489)&gt;0),N(U3488),N(U3488)+1))</f>
        <v/>
      </c>
      <c r="V3489" s="19">
        <f>IF($B3489="","",TEXT($B3489,"0000"))</f>
        <v/>
      </c>
      <c r="W3489" s="19">
        <f>IF($I3489="","",IF(ISNUMBER($I3489),TEXT($I3489,"0"),$I3489))</f>
        <v/>
      </c>
    </row>
    <row r="3490">
      <c r="B3490" s="25" t="n"/>
      <c r="I3490" s="25" t="n"/>
      <c r="U3490" s="19">
        <f>IF($V3490&lt;&gt;'設定'!$C$4,N(U3489),IF(OR(NOT(COUNTIF('商品マスタ'!$B$6:$B$1005,$W3490)=0),COUNTIFS('①在庫を貼る'!$V$6:$V$10005,$V3490,'①在庫を貼る'!$W$6:$W$10005,$W3490)&gt;0),N(U3489),N(U3489)+1))</f>
        <v/>
      </c>
      <c r="V3490" s="19">
        <f>IF($B3490="","",TEXT($B3490,"0000"))</f>
        <v/>
      </c>
      <c r="W3490" s="19">
        <f>IF($I3490="","",IF(ISNUMBER($I3490),TEXT($I3490,"0"),$I3490))</f>
        <v/>
      </c>
    </row>
    <row r="3491">
      <c r="B3491" s="25" t="n"/>
      <c r="I3491" s="25" t="n"/>
      <c r="U3491" s="19">
        <f>IF($V3491&lt;&gt;'設定'!$C$4,N(U3490),IF(OR(NOT(COUNTIF('商品マスタ'!$B$6:$B$1005,$W3491)=0),COUNTIFS('①在庫を貼る'!$V$6:$V$10005,$V3491,'①在庫を貼る'!$W$6:$W$10005,$W3491)&gt;0),N(U3490),N(U3490)+1))</f>
        <v/>
      </c>
      <c r="V3491" s="19">
        <f>IF($B3491="","",TEXT($B3491,"0000"))</f>
        <v/>
      </c>
      <c r="W3491" s="19">
        <f>IF($I3491="","",IF(ISNUMBER($I3491),TEXT($I3491,"0"),$I3491))</f>
        <v/>
      </c>
    </row>
    <row r="3492">
      <c r="B3492" s="25" t="n"/>
      <c r="I3492" s="25" t="n"/>
      <c r="U3492" s="19">
        <f>IF($V3492&lt;&gt;'設定'!$C$4,N(U3491),IF(OR(NOT(COUNTIF('商品マスタ'!$B$6:$B$1005,$W3492)=0),COUNTIFS('①在庫を貼る'!$V$6:$V$10005,$V3492,'①在庫を貼る'!$W$6:$W$10005,$W3492)&gt;0),N(U3491),N(U3491)+1))</f>
        <v/>
      </c>
      <c r="V3492" s="19">
        <f>IF($B3492="","",TEXT($B3492,"0000"))</f>
        <v/>
      </c>
      <c r="W3492" s="19">
        <f>IF($I3492="","",IF(ISNUMBER($I3492),TEXT($I3492,"0"),$I3492))</f>
        <v/>
      </c>
    </row>
    <row r="3493">
      <c r="B3493" s="25" t="n"/>
      <c r="I3493" s="25" t="n"/>
      <c r="U3493" s="19">
        <f>IF($V3493&lt;&gt;'設定'!$C$4,N(U3492),IF(OR(NOT(COUNTIF('商品マスタ'!$B$6:$B$1005,$W3493)=0),COUNTIFS('①在庫を貼る'!$V$6:$V$10005,$V3493,'①在庫を貼る'!$W$6:$W$10005,$W3493)&gt;0),N(U3492),N(U3492)+1))</f>
        <v/>
      </c>
      <c r="V3493" s="19">
        <f>IF($B3493="","",TEXT($B3493,"0000"))</f>
        <v/>
      </c>
      <c r="W3493" s="19">
        <f>IF($I3493="","",IF(ISNUMBER($I3493),TEXT($I3493,"0"),$I3493))</f>
        <v/>
      </c>
    </row>
    <row r="3494">
      <c r="B3494" s="25" t="n"/>
      <c r="I3494" s="25" t="n"/>
      <c r="U3494" s="19">
        <f>IF($V3494&lt;&gt;'設定'!$C$4,N(U3493),IF(OR(NOT(COUNTIF('商品マスタ'!$B$6:$B$1005,$W3494)=0),COUNTIFS('①在庫を貼る'!$V$6:$V$10005,$V3494,'①在庫を貼る'!$W$6:$W$10005,$W3494)&gt;0),N(U3493),N(U3493)+1))</f>
        <v/>
      </c>
      <c r="V3494" s="19">
        <f>IF($B3494="","",TEXT($B3494,"0000"))</f>
        <v/>
      </c>
      <c r="W3494" s="19">
        <f>IF($I3494="","",IF(ISNUMBER($I3494),TEXT($I3494,"0"),$I3494))</f>
        <v/>
      </c>
    </row>
    <row r="3495">
      <c r="B3495" s="25" t="n"/>
      <c r="I3495" s="25" t="n"/>
      <c r="U3495" s="19">
        <f>IF($V3495&lt;&gt;'設定'!$C$4,N(U3494),IF(OR(NOT(COUNTIF('商品マスタ'!$B$6:$B$1005,$W3495)=0),COUNTIFS('①在庫を貼る'!$V$6:$V$10005,$V3495,'①在庫を貼る'!$W$6:$W$10005,$W3495)&gt;0),N(U3494),N(U3494)+1))</f>
        <v/>
      </c>
      <c r="V3495" s="19">
        <f>IF($B3495="","",TEXT($B3495,"0000"))</f>
        <v/>
      </c>
      <c r="W3495" s="19">
        <f>IF($I3495="","",IF(ISNUMBER($I3495),TEXT($I3495,"0"),$I3495))</f>
        <v/>
      </c>
    </row>
    <row r="3496">
      <c r="B3496" s="25" t="n"/>
      <c r="I3496" s="25" t="n"/>
      <c r="U3496" s="19">
        <f>IF($V3496&lt;&gt;'設定'!$C$4,N(U3495),IF(OR(NOT(COUNTIF('商品マスタ'!$B$6:$B$1005,$W3496)=0),COUNTIFS('①在庫を貼る'!$V$6:$V$10005,$V3496,'①在庫を貼る'!$W$6:$W$10005,$W3496)&gt;0),N(U3495),N(U3495)+1))</f>
        <v/>
      </c>
      <c r="V3496" s="19">
        <f>IF($B3496="","",TEXT($B3496,"0000"))</f>
        <v/>
      </c>
      <c r="W3496" s="19">
        <f>IF($I3496="","",IF(ISNUMBER($I3496),TEXT($I3496,"0"),$I3496))</f>
        <v/>
      </c>
    </row>
    <row r="3497">
      <c r="B3497" s="25" t="n"/>
      <c r="I3497" s="25" t="n"/>
      <c r="U3497" s="19">
        <f>IF($V3497&lt;&gt;'設定'!$C$4,N(U3496),IF(OR(NOT(COUNTIF('商品マスタ'!$B$6:$B$1005,$W3497)=0),COUNTIFS('①在庫を貼る'!$V$6:$V$10005,$V3497,'①在庫を貼る'!$W$6:$W$10005,$W3497)&gt;0),N(U3496),N(U3496)+1))</f>
        <v/>
      </c>
      <c r="V3497" s="19">
        <f>IF($B3497="","",TEXT($B3497,"0000"))</f>
        <v/>
      </c>
      <c r="W3497" s="19">
        <f>IF($I3497="","",IF(ISNUMBER($I3497),TEXT($I3497,"0"),$I3497))</f>
        <v/>
      </c>
    </row>
    <row r="3498">
      <c r="B3498" s="25" t="n"/>
      <c r="I3498" s="25" t="n"/>
      <c r="U3498" s="19">
        <f>IF($V3498&lt;&gt;'設定'!$C$4,N(U3497),IF(OR(NOT(COUNTIF('商品マスタ'!$B$6:$B$1005,$W3498)=0),COUNTIFS('①在庫を貼る'!$V$6:$V$10005,$V3498,'①在庫を貼る'!$W$6:$W$10005,$W3498)&gt;0),N(U3497),N(U3497)+1))</f>
        <v/>
      </c>
      <c r="V3498" s="19">
        <f>IF($B3498="","",TEXT($B3498,"0000"))</f>
        <v/>
      </c>
      <c r="W3498" s="19">
        <f>IF($I3498="","",IF(ISNUMBER($I3498),TEXT($I3498,"0"),$I3498))</f>
        <v/>
      </c>
    </row>
    <row r="3499">
      <c r="B3499" s="25" t="n"/>
      <c r="I3499" s="25" t="n"/>
      <c r="U3499" s="19">
        <f>IF($V3499&lt;&gt;'設定'!$C$4,N(U3498),IF(OR(NOT(COUNTIF('商品マスタ'!$B$6:$B$1005,$W3499)=0),COUNTIFS('①在庫を貼る'!$V$6:$V$10005,$V3499,'①在庫を貼る'!$W$6:$W$10005,$W3499)&gt;0),N(U3498),N(U3498)+1))</f>
        <v/>
      </c>
      <c r="V3499" s="19">
        <f>IF($B3499="","",TEXT($B3499,"0000"))</f>
        <v/>
      </c>
      <c r="W3499" s="19">
        <f>IF($I3499="","",IF(ISNUMBER($I3499),TEXT($I3499,"0"),$I3499))</f>
        <v/>
      </c>
    </row>
    <row r="3500">
      <c r="B3500" s="25" t="n"/>
      <c r="I3500" s="25" t="n"/>
      <c r="U3500" s="19">
        <f>IF($V3500&lt;&gt;'設定'!$C$4,N(U3499),IF(OR(NOT(COUNTIF('商品マスタ'!$B$6:$B$1005,$W3500)=0),COUNTIFS('①在庫を貼る'!$V$6:$V$10005,$V3500,'①在庫を貼る'!$W$6:$W$10005,$W3500)&gt;0),N(U3499),N(U3499)+1))</f>
        <v/>
      </c>
      <c r="V3500" s="19">
        <f>IF($B3500="","",TEXT($B3500,"0000"))</f>
        <v/>
      </c>
      <c r="W3500" s="19">
        <f>IF($I3500="","",IF(ISNUMBER($I3500),TEXT($I3500,"0"),$I3500))</f>
        <v/>
      </c>
    </row>
    <row r="3501">
      <c r="B3501" s="25" t="n"/>
      <c r="I3501" s="25" t="n"/>
      <c r="U3501" s="19">
        <f>IF($V3501&lt;&gt;'設定'!$C$4,N(U3500),IF(OR(NOT(COUNTIF('商品マスタ'!$B$6:$B$1005,$W3501)=0),COUNTIFS('①在庫を貼る'!$V$6:$V$10005,$V3501,'①在庫を貼る'!$W$6:$W$10005,$W3501)&gt;0),N(U3500),N(U3500)+1))</f>
        <v/>
      </c>
      <c r="V3501" s="19">
        <f>IF($B3501="","",TEXT($B3501,"0000"))</f>
        <v/>
      </c>
      <c r="W3501" s="19">
        <f>IF($I3501="","",IF(ISNUMBER($I3501),TEXT($I3501,"0"),$I3501))</f>
        <v/>
      </c>
    </row>
    <row r="3502">
      <c r="B3502" s="25" t="n"/>
      <c r="I3502" s="25" t="n"/>
      <c r="U3502" s="19">
        <f>IF($V3502&lt;&gt;'設定'!$C$4,N(U3501),IF(OR(NOT(COUNTIF('商品マスタ'!$B$6:$B$1005,$W3502)=0),COUNTIFS('①在庫を貼る'!$V$6:$V$10005,$V3502,'①在庫を貼る'!$W$6:$W$10005,$W3502)&gt;0),N(U3501),N(U3501)+1))</f>
        <v/>
      </c>
      <c r="V3502" s="19">
        <f>IF($B3502="","",TEXT($B3502,"0000"))</f>
        <v/>
      </c>
      <c r="W3502" s="19">
        <f>IF($I3502="","",IF(ISNUMBER($I3502),TEXT($I3502,"0"),$I3502))</f>
        <v/>
      </c>
    </row>
    <row r="3503">
      <c r="B3503" s="25" t="n"/>
      <c r="I3503" s="25" t="n"/>
      <c r="U3503" s="19">
        <f>IF($V3503&lt;&gt;'設定'!$C$4,N(U3502),IF(OR(NOT(COUNTIF('商品マスタ'!$B$6:$B$1005,$W3503)=0),COUNTIFS('①在庫を貼る'!$V$6:$V$10005,$V3503,'①在庫を貼る'!$W$6:$W$10005,$W3503)&gt;0),N(U3502),N(U3502)+1))</f>
        <v/>
      </c>
      <c r="V3503" s="19">
        <f>IF($B3503="","",TEXT($B3503,"0000"))</f>
        <v/>
      </c>
      <c r="W3503" s="19">
        <f>IF($I3503="","",IF(ISNUMBER($I3503),TEXT($I3503,"0"),$I3503))</f>
        <v/>
      </c>
    </row>
    <row r="3504">
      <c r="B3504" s="25" t="n"/>
      <c r="I3504" s="25" t="n"/>
      <c r="U3504" s="19">
        <f>IF($V3504&lt;&gt;'設定'!$C$4,N(U3503),IF(OR(NOT(COUNTIF('商品マスタ'!$B$6:$B$1005,$W3504)=0),COUNTIFS('①在庫を貼る'!$V$6:$V$10005,$V3504,'①在庫を貼る'!$W$6:$W$10005,$W3504)&gt;0),N(U3503),N(U3503)+1))</f>
        <v/>
      </c>
      <c r="V3504" s="19">
        <f>IF($B3504="","",TEXT($B3504,"0000"))</f>
        <v/>
      </c>
      <c r="W3504" s="19">
        <f>IF($I3504="","",IF(ISNUMBER($I3504),TEXT($I3504,"0"),$I3504))</f>
        <v/>
      </c>
    </row>
    <row r="3505">
      <c r="B3505" s="25" t="n"/>
      <c r="I3505" s="25" t="n"/>
      <c r="U3505" s="19">
        <f>IF($V3505&lt;&gt;'設定'!$C$4,N(U3504),IF(OR(NOT(COUNTIF('商品マスタ'!$B$6:$B$1005,$W3505)=0),COUNTIFS('①在庫を貼る'!$V$6:$V$10005,$V3505,'①在庫を貼る'!$W$6:$W$10005,$W3505)&gt;0),N(U3504),N(U3504)+1))</f>
        <v/>
      </c>
      <c r="V3505" s="19">
        <f>IF($B3505="","",TEXT($B3505,"0000"))</f>
        <v/>
      </c>
      <c r="W3505" s="19">
        <f>IF($I3505="","",IF(ISNUMBER($I3505),TEXT($I3505,"0"),$I3505))</f>
        <v/>
      </c>
    </row>
    <row r="3506">
      <c r="B3506" s="25" t="n"/>
      <c r="I3506" s="25" t="n"/>
      <c r="U3506" s="19">
        <f>IF($V3506&lt;&gt;'設定'!$C$4,N(U3505),IF(OR(NOT(COUNTIF('商品マスタ'!$B$6:$B$1005,$W3506)=0),COUNTIFS('①在庫を貼る'!$V$6:$V$10005,$V3506,'①在庫を貼る'!$W$6:$W$10005,$W3506)&gt;0),N(U3505),N(U3505)+1))</f>
        <v/>
      </c>
      <c r="V3506" s="19">
        <f>IF($B3506="","",TEXT($B3506,"0000"))</f>
        <v/>
      </c>
      <c r="W3506" s="19">
        <f>IF($I3506="","",IF(ISNUMBER($I3506),TEXT($I3506,"0"),$I3506))</f>
        <v/>
      </c>
    </row>
    <row r="3507">
      <c r="B3507" s="25" t="n"/>
      <c r="I3507" s="25" t="n"/>
      <c r="U3507" s="19">
        <f>IF($V3507&lt;&gt;'設定'!$C$4,N(U3506),IF(OR(NOT(COUNTIF('商品マスタ'!$B$6:$B$1005,$W3507)=0),COUNTIFS('①在庫を貼る'!$V$6:$V$10005,$V3507,'①在庫を貼る'!$W$6:$W$10005,$W3507)&gt;0),N(U3506),N(U3506)+1))</f>
        <v/>
      </c>
      <c r="V3507" s="19">
        <f>IF($B3507="","",TEXT($B3507,"0000"))</f>
        <v/>
      </c>
      <c r="W3507" s="19">
        <f>IF($I3507="","",IF(ISNUMBER($I3507),TEXT($I3507,"0"),$I3507))</f>
        <v/>
      </c>
    </row>
    <row r="3508">
      <c r="B3508" s="25" t="n"/>
      <c r="I3508" s="25" t="n"/>
      <c r="U3508" s="19">
        <f>IF($V3508&lt;&gt;'設定'!$C$4,N(U3507),IF(OR(NOT(COUNTIF('商品マスタ'!$B$6:$B$1005,$W3508)=0),COUNTIFS('①在庫を貼る'!$V$6:$V$10005,$V3508,'①在庫を貼る'!$W$6:$W$10005,$W3508)&gt;0),N(U3507),N(U3507)+1))</f>
        <v/>
      </c>
      <c r="V3508" s="19">
        <f>IF($B3508="","",TEXT($B3508,"0000"))</f>
        <v/>
      </c>
      <c r="W3508" s="19">
        <f>IF($I3508="","",IF(ISNUMBER($I3508),TEXT($I3508,"0"),$I3508))</f>
        <v/>
      </c>
    </row>
    <row r="3509">
      <c r="B3509" s="25" t="n"/>
      <c r="I3509" s="25" t="n"/>
      <c r="U3509" s="19">
        <f>IF($V3509&lt;&gt;'設定'!$C$4,N(U3508),IF(OR(NOT(COUNTIF('商品マスタ'!$B$6:$B$1005,$W3509)=0),COUNTIFS('①在庫を貼る'!$V$6:$V$10005,$V3509,'①在庫を貼る'!$W$6:$W$10005,$W3509)&gt;0),N(U3508),N(U3508)+1))</f>
        <v/>
      </c>
      <c r="V3509" s="19">
        <f>IF($B3509="","",TEXT($B3509,"0000"))</f>
        <v/>
      </c>
      <c r="W3509" s="19">
        <f>IF($I3509="","",IF(ISNUMBER($I3509),TEXT($I3509,"0"),$I3509))</f>
        <v/>
      </c>
    </row>
    <row r="3510">
      <c r="B3510" s="25" t="n"/>
      <c r="I3510" s="25" t="n"/>
      <c r="U3510" s="19">
        <f>IF($V3510&lt;&gt;'設定'!$C$4,N(U3509),IF(OR(NOT(COUNTIF('商品マスタ'!$B$6:$B$1005,$W3510)=0),COUNTIFS('①在庫を貼る'!$V$6:$V$10005,$V3510,'①在庫を貼る'!$W$6:$W$10005,$W3510)&gt;0),N(U3509),N(U3509)+1))</f>
        <v/>
      </c>
      <c r="V3510" s="19">
        <f>IF($B3510="","",TEXT($B3510,"0000"))</f>
        <v/>
      </c>
      <c r="W3510" s="19">
        <f>IF($I3510="","",IF(ISNUMBER($I3510),TEXT($I3510,"0"),$I3510))</f>
        <v/>
      </c>
    </row>
    <row r="3511">
      <c r="B3511" s="25" t="n"/>
      <c r="I3511" s="25" t="n"/>
      <c r="U3511" s="19">
        <f>IF($V3511&lt;&gt;'設定'!$C$4,N(U3510),IF(OR(NOT(COUNTIF('商品マスタ'!$B$6:$B$1005,$W3511)=0),COUNTIFS('①在庫を貼る'!$V$6:$V$10005,$V3511,'①在庫を貼る'!$W$6:$W$10005,$W3511)&gt;0),N(U3510),N(U3510)+1))</f>
        <v/>
      </c>
      <c r="V3511" s="19">
        <f>IF($B3511="","",TEXT($B3511,"0000"))</f>
        <v/>
      </c>
      <c r="W3511" s="19">
        <f>IF($I3511="","",IF(ISNUMBER($I3511),TEXT($I3511,"0"),$I3511))</f>
        <v/>
      </c>
    </row>
    <row r="3512">
      <c r="B3512" s="25" t="n"/>
      <c r="I3512" s="25" t="n"/>
      <c r="U3512" s="19">
        <f>IF($V3512&lt;&gt;'設定'!$C$4,N(U3511),IF(OR(NOT(COUNTIF('商品マスタ'!$B$6:$B$1005,$W3512)=0),COUNTIFS('①在庫を貼る'!$V$6:$V$10005,$V3512,'①在庫を貼る'!$W$6:$W$10005,$W3512)&gt;0),N(U3511),N(U3511)+1))</f>
        <v/>
      </c>
      <c r="V3512" s="19">
        <f>IF($B3512="","",TEXT($B3512,"0000"))</f>
        <v/>
      </c>
      <c r="W3512" s="19">
        <f>IF($I3512="","",IF(ISNUMBER($I3512),TEXT($I3512,"0"),$I3512))</f>
        <v/>
      </c>
    </row>
    <row r="3513">
      <c r="B3513" s="25" t="n"/>
      <c r="I3513" s="25" t="n"/>
      <c r="U3513" s="19">
        <f>IF($V3513&lt;&gt;'設定'!$C$4,N(U3512),IF(OR(NOT(COUNTIF('商品マスタ'!$B$6:$B$1005,$W3513)=0),COUNTIFS('①在庫を貼る'!$V$6:$V$10005,$V3513,'①在庫を貼る'!$W$6:$W$10005,$W3513)&gt;0),N(U3512),N(U3512)+1))</f>
        <v/>
      </c>
      <c r="V3513" s="19">
        <f>IF($B3513="","",TEXT($B3513,"0000"))</f>
        <v/>
      </c>
      <c r="W3513" s="19">
        <f>IF($I3513="","",IF(ISNUMBER($I3513),TEXT($I3513,"0"),$I3513))</f>
        <v/>
      </c>
    </row>
    <row r="3514">
      <c r="B3514" s="25" t="n"/>
      <c r="I3514" s="25" t="n"/>
      <c r="U3514" s="19">
        <f>IF($V3514&lt;&gt;'設定'!$C$4,N(U3513),IF(OR(NOT(COUNTIF('商品マスタ'!$B$6:$B$1005,$W3514)=0),COUNTIFS('①在庫を貼る'!$V$6:$V$10005,$V3514,'①在庫を貼る'!$W$6:$W$10005,$W3514)&gt;0),N(U3513),N(U3513)+1))</f>
        <v/>
      </c>
      <c r="V3514" s="19">
        <f>IF($B3514="","",TEXT($B3514,"0000"))</f>
        <v/>
      </c>
      <c r="W3514" s="19">
        <f>IF($I3514="","",IF(ISNUMBER($I3514),TEXT($I3514,"0"),$I3514))</f>
        <v/>
      </c>
    </row>
    <row r="3515">
      <c r="B3515" s="25" t="n"/>
      <c r="I3515" s="25" t="n"/>
      <c r="U3515" s="19">
        <f>IF($V3515&lt;&gt;'設定'!$C$4,N(U3514),IF(OR(NOT(COUNTIF('商品マスタ'!$B$6:$B$1005,$W3515)=0),COUNTIFS('①在庫を貼る'!$V$6:$V$10005,$V3515,'①在庫を貼る'!$W$6:$W$10005,$W3515)&gt;0),N(U3514),N(U3514)+1))</f>
        <v/>
      </c>
      <c r="V3515" s="19">
        <f>IF($B3515="","",TEXT($B3515,"0000"))</f>
        <v/>
      </c>
      <c r="W3515" s="19">
        <f>IF($I3515="","",IF(ISNUMBER($I3515),TEXT($I3515,"0"),$I3515))</f>
        <v/>
      </c>
    </row>
    <row r="3516">
      <c r="B3516" s="25" t="n"/>
      <c r="I3516" s="25" t="n"/>
      <c r="U3516" s="19">
        <f>IF($V3516&lt;&gt;'設定'!$C$4,N(U3515),IF(OR(NOT(COUNTIF('商品マスタ'!$B$6:$B$1005,$W3516)=0),COUNTIFS('①在庫を貼る'!$V$6:$V$10005,$V3516,'①在庫を貼る'!$W$6:$W$10005,$W3516)&gt;0),N(U3515),N(U3515)+1))</f>
        <v/>
      </c>
      <c r="V3516" s="19">
        <f>IF($B3516="","",TEXT($B3516,"0000"))</f>
        <v/>
      </c>
      <c r="W3516" s="19">
        <f>IF($I3516="","",IF(ISNUMBER($I3516),TEXT($I3516,"0"),$I3516))</f>
        <v/>
      </c>
    </row>
    <row r="3517">
      <c r="B3517" s="25" t="n"/>
      <c r="I3517" s="25" t="n"/>
      <c r="U3517" s="19">
        <f>IF($V3517&lt;&gt;'設定'!$C$4,N(U3516),IF(OR(NOT(COUNTIF('商品マスタ'!$B$6:$B$1005,$W3517)=0),COUNTIFS('①在庫を貼る'!$V$6:$V$10005,$V3517,'①在庫を貼る'!$W$6:$W$10005,$W3517)&gt;0),N(U3516),N(U3516)+1))</f>
        <v/>
      </c>
      <c r="V3517" s="19">
        <f>IF($B3517="","",TEXT($B3517,"0000"))</f>
        <v/>
      </c>
      <c r="W3517" s="19">
        <f>IF($I3517="","",IF(ISNUMBER($I3517),TEXT($I3517,"0"),$I3517))</f>
        <v/>
      </c>
    </row>
    <row r="3518">
      <c r="B3518" s="25" t="n"/>
      <c r="I3518" s="25" t="n"/>
      <c r="U3518" s="19">
        <f>IF($V3518&lt;&gt;'設定'!$C$4,N(U3517),IF(OR(NOT(COUNTIF('商品マスタ'!$B$6:$B$1005,$W3518)=0),COUNTIFS('①在庫を貼る'!$V$6:$V$10005,$V3518,'①在庫を貼る'!$W$6:$W$10005,$W3518)&gt;0),N(U3517),N(U3517)+1))</f>
        <v/>
      </c>
      <c r="V3518" s="19">
        <f>IF($B3518="","",TEXT($B3518,"0000"))</f>
        <v/>
      </c>
      <c r="W3518" s="19">
        <f>IF($I3518="","",IF(ISNUMBER($I3518),TEXT($I3518,"0"),$I3518))</f>
        <v/>
      </c>
    </row>
    <row r="3519">
      <c r="B3519" s="25" t="n"/>
      <c r="I3519" s="25" t="n"/>
      <c r="U3519" s="19">
        <f>IF($V3519&lt;&gt;'設定'!$C$4,N(U3518),IF(OR(NOT(COUNTIF('商品マスタ'!$B$6:$B$1005,$W3519)=0),COUNTIFS('①在庫を貼る'!$V$6:$V$10005,$V3519,'①在庫を貼る'!$W$6:$W$10005,$W3519)&gt;0),N(U3518),N(U3518)+1))</f>
        <v/>
      </c>
      <c r="V3519" s="19">
        <f>IF($B3519="","",TEXT($B3519,"0000"))</f>
        <v/>
      </c>
      <c r="W3519" s="19">
        <f>IF($I3519="","",IF(ISNUMBER($I3519),TEXT($I3519,"0"),$I3519))</f>
        <v/>
      </c>
    </row>
    <row r="3520">
      <c r="B3520" s="25" t="n"/>
      <c r="I3520" s="25" t="n"/>
      <c r="U3520" s="19">
        <f>IF($V3520&lt;&gt;'設定'!$C$4,N(U3519),IF(OR(NOT(COUNTIF('商品マスタ'!$B$6:$B$1005,$W3520)=0),COUNTIFS('①在庫を貼る'!$V$6:$V$10005,$V3520,'①在庫を貼る'!$W$6:$W$10005,$W3520)&gt;0),N(U3519),N(U3519)+1))</f>
        <v/>
      </c>
      <c r="V3520" s="19">
        <f>IF($B3520="","",TEXT($B3520,"0000"))</f>
        <v/>
      </c>
      <c r="W3520" s="19">
        <f>IF($I3520="","",IF(ISNUMBER($I3520),TEXT($I3520,"0"),$I3520))</f>
        <v/>
      </c>
    </row>
    <row r="3521">
      <c r="B3521" s="25" t="n"/>
      <c r="I3521" s="25" t="n"/>
      <c r="U3521" s="19">
        <f>IF($V3521&lt;&gt;'設定'!$C$4,N(U3520),IF(OR(NOT(COUNTIF('商品マスタ'!$B$6:$B$1005,$W3521)=0),COUNTIFS('①在庫を貼る'!$V$6:$V$10005,$V3521,'①在庫を貼る'!$W$6:$W$10005,$W3521)&gt;0),N(U3520),N(U3520)+1))</f>
        <v/>
      </c>
      <c r="V3521" s="19">
        <f>IF($B3521="","",TEXT($B3521,"0000"))</f>
        <v/>
      </c>
      <c r="W3521" s="19">
        <f>IF($I3521="","",IF(ISNUMBER($I3521),TEXT($I3521,"0"),$I3521))</f>
        <v/>
      </c>
    </row>
    <row r="3522">
      <c r="B3522" s="25" t="n"/>
      <c r="I3522" s="25" t="n"/>
      <c r="U3522" s="19">
        <f>IF($V3522&lt;&gt;'設定'!$C$4,N(U3521),IF(OR(NOT(COUNTIF('商品マスタ'!$B$6:$B$1005,$W3522)=0),COUNTIFS('①在庫を貼る'!$V$6:$V$10005,$V3522,'①在庫を貼る'!$W$6:$W$10005,$W3522)&gt;0),N(U3521),N(U3521)+1))</f>
        <v/>
      </c>
      <c r="V3522" s="19">
        <f>IF($B3522="","",TEXT($B3522,"0000"))</f>
        <v/>
      </c>
      <c r="W3522" s="19">
        <f>IF($I3522="","",IF(ISNUMBER($I3522),TEXT($I3522,"0"),$I3522))</f>
        <v/>
      </c>
    </row>
    <row r="3523">
      <c r="B3523" s="25" t="n"/>
      <c r="I3523" s="25" t="n"/>
      <c r="U3523" s="19">
        <f>IF($V3523&lt;&gt;'設定'!$C$4,N(U3522),IF(OR(NOT(COUNTIF('商品マスタ'!$B$6:$B$1005,$W3523)=0),COUNTIFS('①在庫を貼る'!$V$6:$V$10005,$V3523,'①在庫を貼る'!$W$6:$W$10005,$W3523)&gt;0),N(U3522),N(U3522)+1))</f>
        <v/>
      </c>
      <c r="V3523" s="19">
        <f>IF($B3523="","",TEXT($B3523,"0000"))</f>
        <v/>
      </c>
      <c r="W3523" s="19">
        <f>IF($I3523="","",IF(ISNUMBER($I3523),TEXT($I3523,"0"),$I3523))</f>
        <v/>
      </c>
    </row>
    <row r="3524">
      <c r="B3524" s="25" t="n"/>
      <c r="I3524" s="25" t="n"/>
      <c r="U3524" s="19">
        <f>IF($V3524&lt;&gt;'設定'!$C$4,N(U3523),IF(OR(NOT(COUNTIF('商品マスタ'!$B$6:$B$1005,$W3524)=0),COUNTIFS('①在庫を貼る'!$V$6:$V$10005,$V3524,'①在庫を貼る'!$W$6:$W$10005,$W3524)&gt;0),N(U3523),N(U3523)+1))</f>
        <v/>
      </c>
      <c r="V3524" s="19">
        <f>IF($B3524="","",TEXT($B3524,"0000"))</f>
        <v/>
      </c>
      <c r="W3524" s="19">
        <f>IF($I3524="","",IF(ISNUMBER($I3524),TEXT($I3524,"0"),$I3524))</f>
        <v/>
      </c>
    </row>
    <row r="3525">
      <c r="B3525" s="25" t="n"/>
      <c r="I3525" s="25" t="n"/>
      <c r="U3525" s="19">
        <f>IF($V3525&lt;&gt;'設定'!$C$4,N(U3524),IF(OR(NOT(COUNTIF('商品マスタ'!$B$6:$B$1005,$W3525)=0),COUNTIFS('①在庫を貼る'!$V$6:$V$10005,$V3525,'①在庫を貼る'!$W$6:$W$10005,$W3525)&gt;0),N(U3524),N(U3524)+1))</f>
        <v/>
      </c>
      <c r="V3525" s="19">
        <f>IF($B3525="","",TEXT($B3525,"0000"))</f>
        <v/>
      </c>
      <c r="W3525" s="19">
        <f>IF($I3525="","",IF(ISNUMBER($I3525),TEXT($I3525,"0"),$I3525))</f>
        <v/>
      </c>
    </row>
    <row r="3526">
      <c r="B3526" s="25" t="n"/>
      <c r="I3526" s="25" t="n"/>
      <c r="U3526" s="19">
        <f>IF($V3526&lt;&gt;'設定'!$C$4,N(U3525),IF(OR(NOT(COUNTIF('商品マスタ'!$B$6:$B$1005,$W3526)=0),COUNTIFS('①在庫を貼る'!$V$6:$V$10005,$V3526,'①在庫を貼る'!$W$6:$W$10005,$W3526)&gt;0),N(U3525),N(U3525)+1))</f>
        <v/>
      </c>
      <c r="V3526" s="19">
        <f>IF($B3526="","",TEXT($B3526,"0000"))</f>
        <v/>
      </c>
      <c r="W3526" s="19">
        <f>IF($I3526="","",IF(ISNUMBER($I3526),TEXT($I3526,"0"),$I3526))</f>
        <v/>
      </c>
    </row>
    <row r="3527">
      <c r="B3527" s="25" t="n"/>
      <c r="I3527" s="25" t="n"/>
      <c r="U3527" s="19">
        <f>IF($V3527&lt;&gt;'設定'!$C$4,N(U3526),IF(OR(NOT(COUNTIF('商品マスタ'!$B$6:$B$1005,$W3527)=0),COUNTIFS('①在庫を貼る'!$V$6:$V$10005,$V3527,'①在庫を貼る'!$W$6:$W$10005,$W3527)&gt;0),N(U3526),N(U3526)+1))</f>
        <v/>
      </c>
      <c r="V3527" s="19">
        <f>IF($B3527="","",TEXT($B3527,"0000"))</f>
        <v/>
      </c>
      <c r="W3527" s="19">
        <f>IF($I3527="","",IF(ISNUMBER($I3527),TEXT($I3527,"0"),$I3527))</f>
        <v/>
      </c>
    </row>
    <row r="3528">
      <c r="B3528" s="25" t="n"/>
      <c r="I3528" s="25" t="n"/>
      <c r="U3528" s="19">
        <f>IF($V3528&lt;&gt;'設定'!$C$4,N(U3527),IF(OR(NOT(COUNTIF('商品マスタ'!$B$6:$B$1005,$W3528)=0),COUNTIFS('①在庫を貼る'!$V$6:$V$10005,$V3528,'①在庫を貼る'!$W$6:$W$10005,$W3528)&gt;0),N(U3527),N(U3527)+1))</f>
        <v/>
      </c>
      <c r="V3528" s="19">
        <f>IF($B3528="","",TEXT($B3528,"0000"))</f>
        <v/>
      </c>
      <c r="W3528" s="19">
        <f>IF($I3528="","",IF(ISNUMBER($I3528),TEXT($I3528,"0"),$I3528))</f>
        <v/>
      </c>
    </row>
    <row r="3529">
      <c r="B3529" s="25" t="n"/>
      <c r="I3529" s="25" t="n"/>
      <c r="U3529" s="19">
        <f>IF($V3529&lt;&gt;'設定'!$C$4,N(U3528),IF(OR(NOT(COUNTIF('商品マスタ'!$B$6:$B$1005,$W3529)=0),COUNTIFS('①在庫を貼る'!$V$6:$V$10005,$V3529,'①在庫を貼る'!$W$6:$W$10005,$W3529)&gt;0),N(U3528),N(U3528)+1))</f>
        <v/>
      </c>
      <c r="V3529" s="19">
        <f>IF($B3529="","",TEXT($B3529,"0000"))</f>
        <v/>
      </c>
      <c r="W3529" s="19">
        <f>IF($I3529="","",IF(ISNUMBER($I3529),TEXT($I3529,"0"),$I3529))</f>
        <v/>
      </c>
    </row>
    <row r="3530">
      <c r="B3530" s="25" t="n"/>
      <c r="I3530" s="25" t="n"/>
      <c r="U3530" s="19">
        <f>IF($V3530&lt;&gt;'設定'!$C$4,N(U3529),IF(OR(NOT(COUNTIF('商品マスタ'!$B$6:$B$1005,$W3530)=0),COUNTIFS('①在庫を貼る'!$V$6:$V$10005,$V3530,'①在庫を貼る'!$W$6:$W$10005,$W3530)&gt;0),N(U3529),N(U3529)+1))</f>
        <v/>
      </c>
      <c r="V3530" s="19">
        <f>IF($B3530="","",TEXT($B3530,"0000"))</f>
        <v/>
      </c>
      <c r="W3530" s="19">
        <f>IF($I3530="","",IF(ISNUMBER($I3530),TEXT($I3530,"0"),$I3530))</f>
        <v/>
      </c>
    </row>
    <row r="3531">
      <c r="B3531" s="25" t="n"/>
      <c r="I3531" s="25" t="n"/>
      <c r="U3531" s="19">
        <f>IF($V3531&lt;&gt;'設定'!$C$4,N(U3530),IF(OR(NOT(COUNTIF('商品マスタ'!$B$6:$B$1005,$W3531)=0),COUNTIFS('①在庫を貼る'!$V$6:$V$10005,$V3531,'①在庫を貼る'!$W$6:$W$10005,$W3531)&gt;0),N(U3530),N(U3530)+1))</f>
        <v/>
      </c>
      <c r="V3531" s="19">
        <f>IF($B3531="","",TEXT($B3531,"0000"))</f>
        <v/>
      </c>
      <c r="W3531" s="19">
        <f>IF($I3531="","",IF(ISNUMBER($I3531),TEXT($I3531,"0"),$I3531))</f>
        <v/>
      </c>
    </row>
    <row r="3532">
      <c r="B3532" s="25" t="n"/>
      <c r="I3532" s="25" t="n"/>
      <c r="U3532" s="19">
        <f>IF($V3532&lt;&gt;'設定'!$C$4,N(U3531),IF(OR(NOT(COUNTIF('商品マスタ'!$B$6:$B$1005,$W3532)=0),COUNTIFS('①在庫を貼る'!$V$6:$V$10005,$V3532,'①在庫を貼る'!$W$6:$W$10005,$W3532)&gt;0),N(U3531),N(U3531)+1))</f>
        <v/>
      </c>
      <c r="V3532" s="19">
        <f>IF($B3532="","",TEXT($B3532,"0000"))</f>
        <v/>
      </c>
      <c r="W3532" s="19">
        <f>IF($I3532="","",IF(ISNUMBER($I3532),TEXT($I3532,"0"),$I3532))</f>
        <v/>
      </c>
    </row>
    <row r="3533">
      <c r="B3533" s="25" t="n"/>
      <c r="I3533" s="25" t="n"/>
      <c r="U3533" s="19">
        <f>IF($V3533&lt;&gt;'設定'!$C$4,N(U3532),IF(OR(NOT(COUNTIF('商品マスタ'!$B$6:$B$1005,$W3533)=0),COUNTIFS('①在庫を貼る'!$V$6:$V$10005,$V3533,'①在庫を貼る'!$W$6:$W$10005,$W3533)&gt;0),N(U3532),N(U3532)+1))</f>
        <v/>
      </c>
      <c r="V3533" s="19">
        <f>IF($B3533="","",TEXT($B3533,"0000"))</f>
        <v/>
      </c>
      <c r="W3533" s="19">
        <f>IF($I3533="","",IF(ISNUMBER($I3533),TEXT($I3533,"0"),$I3533))</f>
        <v/>
      </c>
    </row>
    <row r="3534">
      <c r="B3534" s="25" t="n"/>
      <c r="I3534" s="25" t="n"/>
      <c r="U3534" s="19">
        <f>IF($V3534&lt;&gt;'設定'!$C$4,N(U3533),IF(OR(NOT(COUNTIF('商品マスタ'!$B$6:$B$1005,$W3534)=0),COUNTIFS('①在庫を貼る'!$V$6:$V$10005,$V3534,'①在庫を貼る'!$W$6:$W$10005,$W3534)&gt;0),N(U3533),N(U3533)+1))</f>
        <v/>
      </c>
      <c r="V3534" s="19">
        <f>IF($B3534="","",TEXT($B3534,"0000"))</f>
        <v/>
      </c>
      <c r="W3534" s="19">
        <f>IF($I3534="","",IF(ISNUMBER($I3534),TEXT($I3534,"0"),$I3534))</f>
        <v/>
      </c>
    </row>
    <row r="3535">
      <c r="B3535" s="25" t="n"/>
      <c r="I3535" s="25" t="n"/>
      <c r="U3535" s="19">
        <f>IF($V3535&lt;&gt;'設定'!$C$4,N(U3534),IF(OR(NOT(COUNTIF('商品マスタ'!$B$6:$B$1005,$W3535)=0),COUNTIFS('①在庫を貼る'!$V$6:$V$10005,$V3535,'①在庫を貼る'!$W$6:$W$10005,$W3535)&gt;0),N(U3534),N(U3534)+1))</f>
        <v/>
      </c>
      <c r="V3535" s="19">
        <f>IF($B3535="","",TEXT($B3535,"0000"))</f>
        <v/>
      </c>
      <c r="W3535" s="19">
        <f>IF($I3535="","",IF(ISNUMBER($I3535),TEXT($I3535,"0"),$I3535))</f>
        <v/>
      </c>
    </row>
    <row r="3536">
      <c r="B3536" s="25" t="n"/>
      <c r="I3536" s="25" t="n"/>
      <c r="U3536" s="19">
        <f>IF($V3536&lt;&gt;'設定'!$C$4,N(U3535),IF(OR(NOT(COUNTIF('商品マスタ'!$B$6:$B$1005,$W3536)=0),COUNTIFS('①在庫を貼る'!$V$6:$V$10005,$V3536,'①在庫を貼る'!$W$6:$W$10005,$W3536)&gt;0),N(U3535),N(U3535)+1))</f>
        <v/>
      </c>
      <c r="V3536" s="19">
        <f>IF($B3536="","",TEXT($B3536,"0000"))</f>
        <v/>
      </c>
      <c r="W3536" s="19">
        <f>IF($I3536="","",IF(ISNUMBER($I3536),TEXT($I3536,"0"),$I3536))</f>
        <v/>
      </c>
    </row>
    <row r="3537">
      <c r="B3537" s="25" t="n"/>
      <c r="I3537" s="25" t="n"/>
      <c r="U3537" s="19">
        <f>IF($V3537&lt;&gt;'設定'!$C$4,N(U3536),IF(OR(NOT(COUNTIF('商品マスタ'!$B$6:$B$1005,$W3537)=0),COUNTIFS('①在庫を貼る'!$V$6:$V$10005,$V3537,'①在庫を貼る'!$W$6:$W$10005,$W3537)&gt;0),N(U3536),N(U3536)+1))</f>
        <v/>
      </c>
      <c r="V3537" s="19">
        <f>IF($B3537="","",TEXT($B3537,"0000"))</f>
        <v/>
      </c>
      <c r="W3537" s="19">
        <f>IF($I3537="","",IF(ISNUMBER($I3537),TEXT($I3537,"0"),$I3537))</f>
        <v/>
      </c>
    </row>
    <row r="3538">
      <c r="B3538" s="25" t="n"/>
      <c r="I3538" s="25" t="n"/>
      <c r="U3538" s="19">
        <f>IF($V3538&lt;&gt;'設定'!$C$4,N(U3537),IF(OR(NOT(COUNTIF('商品マスタ'!$B$6:$B$1005,$W3538)=0),COUNTIFS('①在庫を貼る'!$V$6:$V$10005,$V3538,'①在庫を貼る'!$W$6:$W$10005,$W3538)&gt;0),N(U3537),N(U3537)+1))</f>
        <v/>
      </c>
      <c r="V3538" s="19">
        <f>IF($B3538="","",TEXT($B3538,"0000"))</f>
        <v/>
      </c>
      <c r="W3538" s="19">
        <f>IF($I3538="","",IF(ISNUMBER($I3538),TEXT($I3538,"0"),$I3538))</f>
        <v/>
      </c>
    </row>
    <row r="3539">
      <c r="B3539" s="25" t="n"/>
      <c r="I3539" s="25" t="n"/>
      <c r="U3539" s="19">
        <f>IF($V3539&lt;&gt;'設定'!$C$4,N(U3538),IF(OR(NOT(COUNTIF('商品マスタ'!$B$6:$B$1005,$W3539)=0),COUNTIFS('①在庫を貼る'!$V$6:$V$10005,$V3539,'①在庫を貼る'!$W$6:$W$10005,$W3539)&gt;0),N(U3538),N(U3538)+1))</f>
        <v/>
      </c>
      <c r="V3539" s="19">
        <f>IF($B3539="","",TEXT($B3539,"0000"))</f>
        <v/>
      </c>
      <c r="W3539" s="19">
        <f>IF($I3539="","",IF(ISNUMBER($I3539),TEXT($I3539,"0"),$I3539))</f>
        <v/>
      </c>
    </row>
    <row r="3540">
      <c r="B3540" s="25" t="n"/>
      <c r="I3540" s="25" t="n"/>
      <c r="U3540" s="19">
        <f>IF($V3540&lt;&gt;'設定'!$C$4,N(U3539),IF(OR(NOT(COUNTIF('商品マスタ'!$B$6:$B$1005,$W3540)=0),COUNTIFS('①在庫を貼る'!$V$6:$V$10005,$V3540,'①在庫を貼る'!$W$6:$W$10005,$W3540)&gt;0),N(U3539),N(U3539)+1))</f>
        <v/>
      </c>
      <c r="V3540" s="19">
        <f>IF($B3540="","",TEXT($B3540,"0000"))</f>
        <v/>
      </c>
      <c r="W3540" s="19">
        <f>IF($I3540="","",IF(ISNUMBER($I3540),TEXT($I3540,"0"),$I3540))</f>
        <v/>
      </c>
    </row>
    <row r="3541">
      <c r="B3541" s="25" t="n"/>
      <c r="I3541" s="25" t="n"/>
      <c r="U3541" s="19">
        <f>IF($V3541&lt;&gt;'設定'!$C$4,N(U3540),IF(OR(NOT(COUNTIF('商品マスタ'!$B$6:$B$1005,$W3541)=0),COUNTIFS('①在庫を貼る'!$V$6:$V$10005,$V3541,'①在庫を貼る'!$W$6:$W$10005,$W3541)&gt;0),N(U3540),N(U3540)+1))</f>
        <v/>
      </c>
      <c r="V3541" s="19">
        <f>IF($B3541="","",TEXT($B3541,"0000"))</f>
        <v/>
      </c>
      <c r="W3541" s="19">
        <f>IF($I3541="","",IF(ISNUMBER($I3541),TEXT($I3541,"0"),$I3541))</f>
        <v/>
      </c>
    </row>
    <row r="3542">
      <c r="B3542" s="25" t="n"/>
      <c r="I3542" s="25" t="n"/>
      <c r="U3542" s="19">
        <f>IF($V3542&lt;&gt;'設定'!$C$4,N(U3541),IF(OR(NOT(COUNTIF('商品マスタ'!$B$6:$B$1005,$W3542)=0),COUNTIFS('①在庫を貼る'!$V$6:$V$10005,$V3542,'①在庫を貼る'!$W$6:$W$10005,$W3542)&gt;0),N(U3541),N(U3541)+1))</f>
        <v/>
      </c>
      <c r="V3542" s="19">
        <f>IF($B3542="","",TEXT($B3542,"0000"))</f>
        <v/>
      </c>
      <c r="W3542" s="19">
        <f>IF($I3542="","",IF(ISNUMBER($I3542),TEXT($I3542,"0"),$I3542))</f>
        <v/>
      </c>
    </row>
    <row r="3543">
      <c r="B3543" s="25" t="n"/>
      <c r="I3543" s="25" t="n"/>
      <c r="U3543" s="19">
        <f>IF($V3543&lt;&gt;'設定'!$C$4,N(U3542),IF(OR(NOT(COUNTIF('商品マスタ'!$B$6:$B$1005,$W3543)=0),COUNTIFS('①在庫を貼る'!$V$6:$V$10005,$V3543,'①在庫を貼る'!$W$6:$W$10005,$W3543)&gt;0),N(U3542),N(U3542)+1))</f>
        <v/>
      </c>
      <c r="V3543" s="19">
        <f>IF($B3543="","",TEXT($B3543,"0000"))</f>
        <v/>
      </c>
      <c r="W3543" s="19">
        <f>IF($I3543="","",IF(ISNUMBER($I3543),TEXT($I3543,"0"),$I3543))</f>
        <v/>
      </c>
    </row>
    <row r="3544">
      <c r="B3544" s="25" t="n"/>
      <c r="I3544" s="25" t="n"/>
      <c r="U3544" s="19">
        <f>IF($V3544&lt;&gt;'設定'!$C$4,N(U3543),IF(OR(NOT(COUNTIF('商品マスタ'!$B$6:$B$1005,$W3544)=0),COUNTIFS('①在庫を貼る'!$V$6:$V$10005,$V3544,'①在庫を貼る'!$W$6:$W$10005,$W3544)&gt;0),N(U3543),N(U3543)+1))</f>
        <v/>
      </c>
      <c r="V3544" s="19">
        <f>IF($B3544="","",TEXT($B3544,"0000"))</f>
        <v/>
      </c>
      <c r="W3544" s="19">
        <f>IF($I3544="","",IF(ISNUMBER($I3544),TEXT($I3544,"0"),$I3544))</f>
        <v/>
      </c>
    </row>
    <row r="3545">
      <c r="B3545" s="25" t="n"/>
      <c r="I3545" s="25" t="n"/>
      <c r="U3545" s="19">
        <f>IF($V3545&lt;&gt;'設定'!$C$4,N(U3544),IF(OR(NOT(COUNTIF('商品マスタ'!$B$6:$B$1005,$W3545)=0),COUNTIFS('①在庫を貼る'!$V$6:$V$10005,$V3545,'①在庫を貼る'!$W$6:$W$10005,$W3545)&gt;0),N(U3544),N(U3544)+1))</f>
        <v/>
      </c>
      <c r="V3545" s="19">
        <f>IF($B3545="","",TEXT($B3545,"0000"))</f>
        <v/>
      </c>
      <c r="W3545" s="19">
        <f>IF($I3545="","",IF(ISNUMBER($I3545),TEXT($I3545,"0"),$I3545))</f>
        <v/>
      </c>
    </row>
    <row r="3546">
      <c r="B3546" s="25" t="n"/>
      <c r="I3546" s="25" t="n"/>
      <c r="U3546" s="19">
        <f>IF($V3546&lt;&gt;'設定'!$C$4,N(U3545),IF(OR(NOT(COUNTIF('商品マスタ'!$B$6:$B$1005,$W3546)=0),COUNTIFS('①在庫を貼る'!$V$6:$V$10005,$V3546,'①在庫を貼る'!$W$6:$W$10005,$W3546)&gt;0),N(U3545),N(U3545)+1))</f>
        <v/>
      </c>
      <c r="V3546" s="19">
        <f>IF($B3546="","",TEXT($B3546,"0000"))</f>
        <v/>
      </c>
      <c r="W3546" s="19">
        <f>IF($I3546="","",IF(ISNUMBER($I3546),TEXT($I3546,"0"),$I3546))</f>
        <v/>
      </c>
    </row>
    <row r="3547">
      <c r="B3547" s="25" t="n"/>
      <c r="I3547" s="25" t="n"/>
      <c r="U3547" s="19">
        <f>IF($V3547&lt;&gt;'設定'!$C$4,N(U3546),IF(OR(NOT(COUNTIF('商品マスタ'!$B$6:$B$1005,$W3547)=0),COUNTIFS('①在庫を貼る'!$V$6:$V$10005,$V3547,'①在庫を貼る'!$W$6:$W$10005,$W3547)&gt;0),N(U3546),N(U3546)+1))</f>
        <v/>
      </c>
      <c r="V3547" s="19">
        <f>IF($B3547="","",TEXT($B3547,"0000"))</f>
        <v/>
      </c>
      <c r="W3547" s="19">
        <f>IF($I3547="","",IF(ISNUMBER($I3547),TEXT($I3547,"0"),$I3547))</f>
        <v/>
      </c>
    </row>
    <row r="3548">
      <c r="B3548" s="25" t="n"/>
      <c r="I3548" s="25" t="n"/>
      <c r="U3548" s="19">
        <f>IF($V3548&lt;&gt;'設定'!$C$4,N(U3547),IF(OR(NOT(COUNTIF('商品マスタ'!$B$6:$B$1005,$W3548)=0),COUNTIFS('①在庫を貼る'!$V$6:$V$10005,$V3548,'①在庫を貼る'!$W$6:$W$10005,$W3548)&gt;0),N(U3547),N(U3547)+1))</f>
        <v/>
      </c>
      <c r="V3548" s="19">
        <f>IF($B3548="","",TEXT($B3548,"0000"))</f>
        <v/>
      </c>
      <c r="W3548" s="19">
        <f>IF($I3548="","",IF(ISNUMBER($I3548),TEXT($I3548,"0"),$I3548))</f>
        <v/>
      </c>
    </row>
    <row r="3549">
      <c r="B3549" s="25" t="n"/>
      <c r="I3549" s="25" t="n"/>
      <c r="U3549" s="19">
        <f>IF($V3549&lt;&gt;'設定'!$C$4,N(U3548),IF(OR(NOT(COUNTIF('商品マスタ'!$B$6:$B$1005,$W3549)=0),COUNTIFS('①在庫を貼る'!$V$6:$V$10005,$V3549,'①在庫を貼る'!$W$6:$W$10005,$W3549)&gt;0),N(U3548),N(U3548)+1))</f>
        <v/>
      </c>
      <c r="V3549" s="19">
        <f>IF($B3549="","",TEXT($B3549,"0000"))</f>
        <v/>
      </c>
      <c r="W3549" s="19">
        <f>IF($I3549="","",IF(ISNUMBER($I3549),TEXT($I3549,"0"),$I3549))</f>
        <v/>
      </c>
    </row>
    <row r="3550">
      <c r="B3550" s="25" t="n"/>
      <c r="I3550" s="25" t="n"/>
      <c r="U3550" s="19">
        <f>IF($V3550&lt;&gt;'設定'!$C$4,N(U3549),IF(OR(NOT(COUNTIF('商品マスタ'!$B$6:$B$1005,$W3550)=0),COUNTIFS('①在庫を貼る'!$V$6:$V$10005,$V3550,'①在庫を貼る'!$W$6:$W$10005,$W3550)&gt;0),N(U3549),N(U3549)+1))</f>
        <v/>
      </c>
      <c r="V3550" s="19">
        <f>IF($B3550="","",TEXT($B3550,"0000"))</f>
        <v/>
      </c>
      <c r="W3550" s="19">
        <f>IF($I3550="","",IF(ISNUMBER($I3550),TEXT($I3550,"0"),$I3550))</f>
        <v/>
      </c>
    </row>
    <row r="3551">
      <c r="B3551" s="25" t="n"/>
      <c r="I3551" s="25" t="n"/>
      <c r="U3551" s="19">
        <f>IF($V3551&lt;&gt;'設定'!$C$4,N(U3550),IF(OR(NOT(COUNTIF('商品マスタ'!$B$6:$B$1005,$W3551)=0),COUNTIFS('①在庫を貼る'!$V$6:$V$10005,$V3551,'①在庫を貼る'!$W$6:$W$10005,$W3551)&gt;0),N(U3550),N(U3550)+1))</f>
        <v/>
      </c>
      <c r="V3551" s="19">
        <f>IF($B3551="","",TEXT($B3551,"0000"))</f>
        <v/>
      </c>
      <c r="W3551" s="19">
        <f>IF($I3551="","",IF(ISNUMBER($I3551),TEXT($I3551,"0"),$I3551))</f>
        <v/>
      </c>
    </row>
    <row r="3552">
      <c r="B3552" s="25" t="n"/>
      <c r="I3552" s="25" t="n"/>
      <c r="U3552" s="19">
        <f>IF($V3552&lt;&gt;'設定'!$C$4,N(U3551),IF(OR(NOT(COUNTIF('商品マスタ'!$B$6:$B$1005,$W3552)=0),COUNTIFS('①在庫を貼る'!$V$6:$V$10005,$V3552,'①在庫を貼る'!$W$6:$W$10005,$W3552)&gt;0),N(U3551),N(U3551)+1))</f>
        <v/>
      </c>
      <c r="V3552" s="19">
        <f>IF($B3552="","",TEXT($B3552,"0000"))</f>
        <v/>
      </c>
      <c r="W3552" s="19">
        <f>IF($I3552="","",IF(ISNUMBER($I3552),TEXT($I3552,"0"),$I3552))</f>
        <v/>
      </c>
    </row>
    <row r="3553">
      <c r="B3553" s="25" t="n"/>
      <c r="I3553" s="25" t="n"/>
      <c r="U3553" s="19">
        <f>IF($V3553&lt;&gt;'設定'!$C$4,N(U3552),IF(OR(NOT(COUNTIF('商品マスタ'!$B$6:$B$1005,$W3553)=0),COUNTIFS('①在庫を貼る'!$V$6:$V$10005,$V3553,'①在庫を貼る'!$W$6:$W$10005,$W3553)&gt;0),N(U3552),N(U3552)+1))</f>
        <v/>
      </c>
      <c r="V3553" s="19">
        <f>IF($B3553="","",TEXT($B3553,"0000"))</f>
        <v/>
      </c>
      <c r="W3553" s="19">
        <f>IF($I3553="","",IF(ISNUMBER($I3553),TEXT($I3553,"0"),$I3553))</f>
        <v/>
      </c>
    </row>
    <row r="3554">
      <c r="B3554" s="25" t="n"/>
      <c r="I3554" s="25" t="n"/>
      <c r="U3554" s="19">
        <f>IF($V3554&lt;&gt;'設定'!$C$4,N(U3553),IF(OR(NOT(COUNTIF('商品マスタ'!$B$6:$B$1005,$W3554)=0),COUNTIFS('①在庫を貼る'!$V$6:$V$10005,$V3554,'①在庫を貼る'!$W$6:$W$10005,$W3554)&gt;0),N(U3553),N(U3553)+1))</f>
        <v/>
      </c>
      <c r="V3554" s="19">
        <f>IF($B3554="","",TEXT($B3554,"0000"))</f>
        <v/>
      </c>
      <c r="W3554" s="19">
        <f>IF($I3554="","",IF(ISNUMBER($I3554),TEXT($I3554,"0"),$I3554))</f>
        <v/>
      </c>
    </row>
    <row r="3555">
      <c r="B3555" s="25" t="n"/>
      <c r="I3555" s="25" t="n"/>
      <c r="U3555" s="19">
        <f>IF($V3555&lt;&gt;'設定'!$C$4,N(U3554),IF(OR(NOT(COUNTIF('商品マスタ'!$B$6:$B$1005,$W3555)=0),COUNTIFS('①在庫を貼る'!$V$6:$V$10005,$V3555,'①在庫を貼る'!$W$6:$W$10005,$W3555)&gt;0),N(U3554),N(U3554)+1))</f>
        <v/>
      </c>
      <c r="V3555" s="19">
        <f>IF($B3555="","",TEXT($B3555,"0000"))</f>
        <v/>
      </c>
      <c r="W3555" s="19">
        <f>IF($I3555="","",IF(ISNUMBER($I3555),TEXT($I3555,"0"),$I3555))</f>
        <v/>
      </c>
    </row>
    <row r="3556">
      <c r="B3556" s="25" t="n"/>
      <c r="I3556" s="25" t="n"/>
      <c r="U3556" s="19">
        <f>IF($V3556&lt;&gt;'設定'!$C$4,N(U3555),IF(OR(NOT(COUNTIF('商品マスタ'!$B$6:$B$1005,$W3556)=0),COUNTIFS('①在庫を貼る'!$V$6:$V$10005,$V3556,'①在庫を貼る'!$W$6:$W$10005,$W3556)&gt;0),N(U3555),N(U3555)+1))</f>
        <v/>
      </c>
      <c r="V3556" s="19">
        <f>IF($B3556="","",TEXT($B3556,"0000"))</f>
        <v/>
      </c>
      <c r="W3556" s="19">
        <f>IF($I3556="","",IF(ISNUMBER($I3556),TEXT($I3556,"0"),$I3556))</f>
        <v/>
      </c>
    </row>
    <row r="3557">
      <c r="B3557" s="25" t="n"/>
      <c r="I3557" s="25" t="n"/>
      <c r="U3557" s="19">
        <f>IF($V3557&lt;&gt;'設定'!$C$4,N(U3556),IF(OR(NOT(COUNTIF('商品マスタ'!$B$6:$B$1005,$W3557)=0),COUNTIFS('①在庫を貼る'!$V$6:$V$10005,$V3557,'①在庫を貼る'!$W$6:$W$10005,$W3557)&gt;0),N(U3556),N(U3556)+1))</f>
        <v/>
      </c>
      <c r="V3557" s="19">
        <f>IF($B3557="","",TEXT($B3557,"0000"))</f>
        <v/>
      </c>
      <c r="W3557" s="19">
        <f>IF($I3557="","",IF(ISNUMBER($I3557),TEXT($I3557,"0"),$I3557))</f>
        <v/>
      </c>
    </row>
    <row r="3558">
      <c r="B3558" s="25" t="n"/>
      <c r="I3558" s="25" t="n"/>
      <c r="U3558" s="19">
        <f>IF($V3558&lt;&gt;'設定'!$C$4,N(U3557),IF(OR(NOT(COUNTIF('商品マスタ'!$B$6:$B$1005,$W3558)=0),COUNTIFS('①在庫を貼る'!$V$6:$V$10005,$V3558,'①在庫を貼る'!$W$6:$W$10005,$W3558)&gt;0),N(U3557),N(U3557)+1))</f>
        <v/>
      </c>
      <c r="V3558" s="19">
        <f>IF($B3558="","",TEXT($B3558,"0000"))</f>
        <v/>
      </c>
      <c r="W3558" s="19">
        <f>IF($I3558="","",IF(ISNUMBER($I3558),TEXT($I3558,"0"),$I3558))</f>
        <v/>
      </c>
    </row>
    <row r="3559">
      <c r="B3559" s="25" t="n"/>
      <c r="I3559" s="25" t="n"/>
      <c r="U3559" s="19">
        <f>IF($V3559&lt;&gt;'設定'!$C$4,N(U3558),IF(OR(NOT(COUNTIF('商品マスタ'!$B$6:$B$1005,$W3559)=0),COUNTIFS('①在庫を貼る'!$V$6:$V$10005,$V3559,'①在庫を貼る'!$W$6:$W$10005,$W3559)&gt;0),N(U3558),N(U3558)+1))</f>
        <v/>
      </c>
      <c r="V3559" s="19">
        <f>IF($B3559="","",TEXT($B3559,"0000"))</f>
        <v/>
      </c>
      <c r="W3559" s="19">
        <f>IF($I3559="","",IF(ISNUMBER($I3559),TEXT($I3559,"0"),$I3559))</f>
        <v/>
      </c>
    </row>
    <row r="3560">
      <c r="B3560" s="25" t="n"/>
      <c r="I3560" s="25" t="n"/>
      <c r="U3560" s="19">
        <f>IF($V3560&lt;&gt;'設定'!$C$4,N(U3559),IF(OR(NOT(COUNTIF('商品マスタ'!$B$6:$B$1005,$W3560)=0),COUNTIFS('①在庫を貼る'!$V$6:$V$10005,$V3560,'①在庫を貼る'!$W$6:$W$10005,$W3560)&gt;0),N(U3559),N(U3559)+1))</f>
        <v/>
      </c>
      <c r="V3560" s="19">
        <f>IF($B3560="","",TEXT($B3560,"0000"))</f>
        <v/>
      </c>
      <c r="W3560" s="19">
        <f>IF($I3560="","",IF(ISNUMBER($I3560),TEXT($I3560,"0"),$I3560))</f>
        <v/>
      </c>
    </row>
    <row r="3561">
      <c r="B3561" s="25" t="n"/>
      <c r="I3561" s="25" t="n"/>
      <c r="U3561" s="19">
        <f>IF($V3561&lt;&gt;'設定'!$C$4,N(U3560),IF(OR(NOT(COUNTIF('商品マスタ'!$B$6:$B$1005,$W3561)=0),COUNTIFS('①在庫を貼る'!$V$6:$V$10005,$V3561,'①在庫を貼る'!$W$6:$W$10005,$W3561)&gt;0),N(U3560),N(U3560)+1))</f>
        <v/>
      </c>
      <c r="V3561" s="19">
        <f>IF($B3561="","",TEXT($B3561,"0000"))</f>
        <v/>
      </c>
      <c r="W3561" s="19">
        <f>IF($I3561="","",IF(ISNUMBER($I3561),TEXT($I3561,"0"),$I3561))</f>
        <v/>
      </c>
    </row>
    <row r="3562">
      <c r="B3562" s="25" t="n"/>
      <c r="I3562" s="25" t="n"/>
      <c r="U3562" s="19">
        <f>IF($V3562&lt;&gt;'設定'!$C$4,N(U3561),IF(OR(NOT(COUNTIF('商品マスタ'!$B$6:$B$1005,$W3562)=0),COUNTIFS('①在庫を貼る'!$V$6:$V$10005,$V3562,'①在庫を貼る'!$W$6:$W$10005,$W3562)&gt;0),N(U3561),N(U3561)+1))</f>
        <v/>
      </c>
      <c r="V3562" s="19">
        <f>IF($B3562="","",TEXT($B3562,"0000"))</f>
        <v/>
      </c>
      <c r="W3562" s="19">
        <f>IF($I3562="","",IF(ISNUMBER($I3562),TEXT($I3562,"0"),$I3562))</f>
        <v/>
      </c>
    </row>
    <row r="3563">
      <c r="B3563" s="25" t="n"/>
      <c r="I3563" s="25" t="n"/>
      <c r="U3563" s="19">
        <f>IF($V3563&lt;&gt;'設定'!$C$4,N(U3562),IF(OR(NOT(COUNTIF('商品マスタ'!$B$6:$B$1005,$W3563)=0),COUNTIFS('①在庫を貼る'!$V$6:$V$10005,$V3563,'①在庫を貼る'!$W$6:$W$10005,$W3563)&gt;0),N(U3562),N(U3562)+1))</f>
        <v/>
      </c>
      <c r="V3563" s="19">
        <f>IF($B3563="","",TEXT($B3563,"0000"))</f>
        <v/>
      </c>
      <c r="W3563" s="19">
        <f>IF($I3563="","",IF(ISNUMBER($I3563),TEXT($I3563,"0"),$I3563))</f>
        <v/>
      </c>
    </row>
    <row r="3564">
      <c r="B3564" s="25" t="n"/>
      <c r="I3564" s="25" t="n"/>
      <c r="U3564" s="19">
        <f>IF($V3564&lt;&gt;'設定'!$C$4,N(U3563),IF(OR(NOT(COUNTIF('商品マスタ'!$B$6:$B$1005,$W3564)=0),COUNTIFS('①在庫を貼る'!$V$6:$V$10005,$V3564,'①在庫を貼る'!$W$6:$W$10005,$W3564)&gt;0),N(U3563),N(U3563)+1))</f>
        <v/>
      </c>
      <c r="V3564" s="19">
        <f>IF($B3564="","",TEXT($B3564,"0000"))</f>
        <v/>
      </c>
      <c r="W3564" s="19">
        <f>IF($I3564="","",IF(ISNUMBER($I3564),TEXT($I3564,"0"),$I3564))</f>
        <v/>
      </c>
    </row>
    <row r="3565">
      <c r="B3565" s="25" t="n"/>
      <c r="I3565" s="25" t="n"/>
      <c r="U3565" s="19">
        <f>IF($V3565&lt;&gt;'設定'!$C$4,N(U3564),IF(OR(NOT(COUNTIF('商品マスタ'!$B$6:$B$1005,$W3565)=0),COUNTIFS('①在庫を貼る'!$V$6:$V$10005,$V3565,'①在庫を貼る'!$W$6:$W$10005,$W3565)&gt;0),N(U3564),N(U3564)+1))</f>
        <v/>
      </c>
      <c r="V3565" s="19">
        <f>IF($B3565="","",TEXT($B3565,"0000"))</f>
        <v/>
      </c>
      <c r="W3565" s="19">
        <f>IF($I3565="","",IF(ISNUMBER($I3565),TEXT($I3565,"0"),$I3565))</f>
        <v/>
      </c>
    </row>
    <row r="3566">
      <c r="B3566" s="25" t="n"/>
      <c r="I3566" s="25" t="n"/>
      <c r="U3566" s="19">
        <f>IF($V3566&lt;&gt;'設定'!$C$4,N(U3565),IF(OR(NOT(COUNTIF('商品マスタ'!$B$6:$B$1005,$W3566)=0),COUNTIFS('①在庫を貼る'!$V$6:$V$10005,$V3566,'①在庫を貼る'!$W$6:$W$10005,$W3566)&gt;0),N(U3565),N(U3565)+1))</f>
        <v/>
      </c>
      <c r="V3566" s="19">
        <f>IF($B3566="","",TEXT($B3566,"0000"))</f>
        <v/>
      </c>
      <c r="W3566" s="19">
        <f>IF($I3566="","",IF(ISNUMBER($I3566),TEXT($I3566,"0"),$I3566))</f>
        <v/>
      </c>
    </row>
    <row r="3567">
      <c r="B3567" s="25" t="n"/>
      <c r="I3567" s="25" t="n"/>
      <c r="U3567" s="19">
        <f>IF($V3567&lt;&gt;'設定'!$C$4,N(U3566),IF(OR(NOT(COUNTIF('商品マスタ'!$B$6:$B$1005,$W3567)=0),COUNTIFS('①在庫を貼る'!$V$6:$V$10005,$V3567,'①在庫を貼る'!$W$6:$W$10005,$W3567)&gt;0),N(U3566),N(U3566)+1))</f>
        <v/>
      </c>
      <c r="V3567" s="19">
        <f>IF($B3567="","",TEXT($B3567,"0000"))</f>
        <v/>
      </c>
      <c r="W3567" s="19">
        <f>IF($I3567="","",IF(ISNUMBER($I3567),TEXT($I3567,"0"),$I3567))</f>
        <v/>
      </c>
    </row>
    <row r="3568">
      <c r="B3568" s="25" t="n"/>
      <c r="I3568" s="25" t="n"/>
      <c r="U3568" s="19">
        <f>IF($V3568&lt;&gt;'設定'!$C$4,N(U3567),IF(OR(NOT(COUNTIF('商品マスタ'!$B$6:$B$1005,$W3568)=0),COUNTIFS('①在庫を貼る'!$V$6:$V$10005,$V3568,'①在庫を貼る'!$W$6:$W$10005,$W3568)&gt;0),N(U3567),N(U3567)+1))</f>
        <v/>
      </c>
      <c r="V3568" s="19">
        <f>IF($B3568="","",TEXT($B3568,"0000"))</f>
        <v/>
      </c>
      <c r="W3568" s="19">
        <f>IF($I3568="","",IF(ISNUMBER($I3568),TEXT($I3568,"0"),$I3568))</f>
        <v/>
      </c>
    </row>
    <row r="3569">
      <c r="B3569" s="25" t="n"/>
      <c r="I3569" s="25" t="n"/>
      <c r="U3569" s="19">
        <f>IF($V3569&lt;&gt;'設定'!$C$4,N(U3568),IF(OR(NOT(COUNTIF('商品マスタ'!$B$6:$B$1005,$W3569)=0),COUNTIFS('①在庫を貼る'!$V$6:$V$10005,$V3569,'①在庫を貼る'!$W$6:$W$10005,$W3569)&gt;0),N(U3568),N(U3568)+1))</f>
        <v/>
      </c>
      <c r="V3569" s="19">
        <f>IF($B3569="","",TEXT($B3569,"0000"))</f>
        <v/>
      </c>
      <c r="W3569" s="19">
        <f>IF($I3569="","",IF(ISNUMBER($I3569),TEXT($I3569,"0"),$I3569))</f>
        <v/>
      </c>
    </row>
    <row r="3570">
      <c r="B3570" s="25" t="n"/>
      <c r="I3570" s="25" t="n"/>
      <c r="U3570" s="19">
        <f>IF($V3570&lt;&gt;'設定'!$C$4,N(U3569),IF(OR(NOT(COUNTIF('商品マスタ'!$B$6:$B$1005,$W3570)=0),COUNTIFS('①在庫を貼る'!$V$6:$V$10005,$V3570,'①在庫を貼る'!$W$6:$W$10005,$W3570)&gt;0),N(U3569),N(U3569)+1))</f>
        <v/>
      </c>
      <c r="V3570" s="19">
        <f>IF($B3570="","",TEXT($B3570,"0000"))</f>
        <v/>
      </c>
      <c r="W3570" s="19">
        <f>IF($I3570="","",IF(ISNUMBER($I3570),TEXT($I3570,"0"),$I3570))</f>
        <v/>
      </c>
    </row>
    <row r="3571">
      <c r="B3571" s="25" t="n"/>
      <c r="I3571" s="25" t="n"/>
      <c r="U3571" s="19">
        <f>IF($V3571&lt;&gt;'設定'!$C$4,N(U3570),IF(OR(NOT(COUNTIF('商品マスタ'!$B$6:$B$1005,$W3571)=0),COUNTIFS('①在庫を貼る'!$V$6:$V$10005,$V3571,'①在庫を貼る'!$W$6:$W$10005,$W3571)&gt;0),N(U3570),N(U3570)+1))</f>
        <v/>
      </c>
      <c r="V3571" s="19">
        <f>IF($B3571="","",TEXT($B3571,"0000"))</f>
        <v/>
      </c>
      <c r="W3571" s="19">
        <f>IF($I3571="","",IF(ISNUMBER($I3571),TEXT($I3571,"0"),$I3571))</f>
        <v/>
      </c>
    </row>
    <row r="3572">
      <c r="B3572" s="25" t="n"/>
      <c r="I3572" s="25" t="n"/>
      <c r="U3572" s="19">
        <f>IF($V3572&lt;&gt;'設定'!$C$4,N(U3571),IF(OR(NOT(COUNTIF('商品マスタ'!$B$6:$B$1005,$W3572)=0),COUNTIFS('①在庫を貼る'!$V$6:$V$10005,$V3572,'①在庫を貼る'!$W$6:$W$10005,$W3572)&gt;0),N(U3571),N(U3571)+1))</f>
        <v/>
      </c>
      <c r="V3572" s="19">
        <f>IF($B3572="","",TEXT($B3572,"0000"))</f>
        <v/>
      </c>
      <c r="W3572" s="19">
        <f>IF($I3572="","",IF(ISNUMBER($I3572),TEXT($I3572,"0"),$I3572))</f>
        <v/>
      </c>
    </row>
    <row r="3573">
      <c r="B3573" s="25" t="n"/>
      <c r="I3573" s="25" t="n"/>
      <c r="U3573" s="19">
        <f>IF($V3573&lt;&gt;'設定'!$C$4,N(U3572),IF(OR(NOT(COUNTIF('商品マスタ'!$B$6:$B$1005,$W3573)=0),COUNTIFS('①在庫を貼る'!$V$6:$V$10005,$V3573,'①在庫を貼る'!$W$6:$W$10005,$W3573)&gt;0),N(U3572),N(U3572)+1))</f>
        <v/>
      </c>
      <c r="V3573" s="19">
        <f>IF($B3573="","",TEXT($B3573,"0000"))</f>
        <v/>
      </c>
      <c r="W3573" s="19">
        <f>IF($I3573="","",IF(ISNUMBER($I3573),TEXT($I3573,"0"),$I3573))</f>
        <v/>
      </c>
    </row>
    <row r="3574">
      <c r="B3574" s="25" t="n"/>
      <c r="I3574" s="25" t="n"/>
      <c r="U3574" s="19">
        <f>IF($V3574&lt;&gt;'設定'!$C$4,N(U3573),IF(OR(NOT(COUNTIF('商品マスタ'!$B$6:$B$1005,$W3574)=0),COUNTIFS('①在庫を貼る'!$V$6:$V$10005,$V3574,'①在庫を貼る'!$W$6:$W$10005,$W3574)&gt;0),N(U3573),N(U3573)+1))</f>
        <v/>
      </c>
      <c r="V3574" s="19">
        <f>IF($B3574="","",TEXT($B3574,"0000"))</f>
        <v/>
      </c>
      <c r="W3574" s="19">
        <f>IF($I3574="","",IF(ISNUMBER($I3574),TEXT($I3574,"0"),$I3574))</f>
        <v/>
      </c>
    </row>
    <row r="3575">
      <c r="B3575" s="25" t="n"/>
      <c r="I3575" s="25" t="n"/>
      <c r="U3575" s="19">
        <f>IF($V3575&lt;&gt;'設定'!$C$4,N(U3574),IF(OR(NOT(COUNTIF('商品マスタ'!$B$6:$B$1005,$W3575)=0),COUNTIFS('①在庫を貼る'!$V$6:$V$10005,$V3575,'①在庫を貼る'!$W$6:$W$10005,$W3575)&gt;0),N(U3574),N(U3574)+1))</f>
        <v/>
      </c>
      <c r="V3575" s="19">
        <f>IF($B3575="","",TEXT($B3575,"0000"))</f>
        <v/>
      </c>
      <c r="W3575" s="19">
        <f>IF($I3575="","",IF(ISNUMBER($I3575),TEXT($I3575,"0"),$I3575))</f>
        <v/>
      </c>
    </row>
    <row r="3576">
      <c r="B3576" s="25" t="n"/>
      <c r="I3576" s="25" t="n"/>
      <c r="U3576" s="19">
        <f>IF($V3576&lt;&gt;'設定'!$C$4,N(U3575),IF(OR(NOT(COUNTIF('商品マスタ'!$B$6:$B$1005,$W3576)=0),COUNTIFS('①在庫を貼る'!$V$6:$V$10005,$V3576,'①在庫を貼る'!$W$6:$W$10005,$W3576)&gt;0),N(U3575),N(U3575)+1))</f>
        <v/>
      </c>
      <c r="V3576" s="19">
        <f>IF($B3576="","",TEXT($B3576,"0000"))</f>
        <v/>
      </c>
      <c r="W3576" s="19">
        <f>IF($I3576="","",IF(ISNUMBER($I3576),TEXT($I3576,"0"),$I3576))</f>
        <v/>
      </c>
    </row>
    <row r="3577">
      <c r="B3577" s="25" t="n"/>
      <c r="I3577" s="25" t="n"/>
      <c r="U3577" s="19">
        <f>IF($V3577&lt;&gt;'設定'!$C$4,N(U3576),IF(OR(NOT(COUNTIF('商品マスタ'!$B$6:$B$1005,$W3577)=0),COUNTIFS('①在庫を貼る'!$V$6:$V$10005,$V3577,'①在庫を貼る'!$W$6:$W$10005,$W3577)&gt;0),N(U3576),N(U3576)+1))</f>
        <v/>
      </c>
      <c r="V3577" s="19">
        <f>IF($B3577="","",TEXT($B3577,"0000"))</f>
        <v/>
      </c>
      <c r="W3577" s="19">
        <f>IF($I3577="","",IF(ISNUMBER($I3577),TEXT($I3577,"0"),$I3577))</f>
        <v/>
      </c>
    </row>
    <row r="3578">
      <c r="B3578" s="25" t="n"/>
      <c r="I3578" s="25" t="n"/>
      <c r="U3578" s="19">
        <f>IF($V3578&lt;&gt;'設定'!$C$4,N(U3577),IF(OR(NOT(COUNTIF('商品マスタ'!$B$6:$B$1005,$W3578)=0),COUNTIFS('①在庫を貼る'!$V$6:$V$10005,$V3578,'①在庫を貼る'!$W$6:$W$10005,$W3578)&gt;0),N(U3577),N(U3577)+1))</f>
        <v/>
      </c>
      <c r="V3578" s="19">
        <f>IF($B3578="","",TEXT($B3578,"0000"))</f>
        <v/>
      </c>
      <c r="W3578" s="19">
        <f>IF($I3578="","",IF(ISNUMBER($I3578),TEXT($I3578,"0"),$I3578))</f>
        <v/>
      </c>
    </row>
    <row r="3579">
      <c r="B3579" s="25" t="n"/>
      <c r="I3579" s="25" t="n"/>
      <c r="U3579" s="19">
        <f>IF($V3579&lt;&gt;'設定'!$C$4,N(U3578),IF(OR(NOT(COUNTIF('商品マスタ'!$B$6:$B$1005,$W3579)=0),COUNTIFS('①在庫を貼る'!$V$6:$V$10005,$V3579,'①在庫を貼る'!$W$6:$W$10005,$W3579)&gt;0),N(U3578),N(U3578)+1))</f>
        <v/>
      </c>
      <c r="V3579" s="19">
        <f>IF($B3579="","",TEXT($B3579,"0000"))</f>
        <v/>
      </c>
      <c r="W3579" s="19">
        <f>IF($I3579="","",IF(ISNUMBER($I3579),TEXT($I3579,"0"),$I3579))</f>
        <v/>
      </c>
    </row>
    <row r="3580">
      <c r="B3580" s="25" t="n"/>
      <c r="I3580" s="25" t="n"/>
      <c r="U3580" s="19">
        <f>IF($V3580&lt;&gt;'設定'!$C$4,N(U3579),IF(OR(NOT(COUNTIF('商品マスタ'!$B$6:$B$1005,$W3580)=0),COUNTIFS('①在庫を貼る'!$V$6:$V$10005,$V3580,'①在庫を貼る'!$W$6:$W$10005,$W3580)&gt;0),N(U3579),N(U3579)+1))</f>
        <v/>
      </c>
      <c r="V3580" s="19">
        <f>IF($B3580="","",TEXT($B3580,"0000"))</f>
        <v/>
      </c>
      <c r="W3580" s="19">
        <f>IF($I3580="","",IF(ISNUMBER($I3580),TEXT($I3580,"0"),$I3580))</f>
        <v/>
      </c>
    </row>
    <row r="3581">
      <c r="B3581" s="25" t="n"/>
      <c r="I3581" s="25" t="n"/>
      <c r="U3581" s="19">
        <f>IF($V3581&lt;&gt;'設定'!$C$4,N(U3580),IF(OR(NOT(COUNTIF('商品マスタ'!$B$6:$B$1005,$W3581)=0),COUNTIFS('①在庫を貼る'!$V$6:$V$10005,$V3581,'①在庫を貼る'!$W$6:$W$10005,$W3581)&gt;0),N(U3580),N(U3580)+1))</f>
        <v/>
      </c>
      <c r="V3581" s="19">
        <f>IF($B3581="","",TEXT($B3581,"0000"))</f>
        <v/>
      </c>
      <c r="W3581" s="19">
        <f>IF($I3581="","",IF(ISNUMBER($I3581),TEXT($I3581,"0"),$I3581))</f>
        <v/>
      </c>
    </row>
    <row r="3582">
      <c r="B3582" s="25" t="n"/>
      <c r="I3582" s="25" t="n"/>
      <c r="U3582" s="19">
        <f>IF($V3582&lt;&gt;'設定'!$C$4,N(U3581),IF(OR(NOT(COUNTIF('商品マスタ'!$B$6:$B$1005,$W3582)=0),COUNTIFS('①在庫を貼る'!$V$6:$V$10005,$V3582,'①在庫を貼る'!$W$6:$W$10005,$W3582)&gt;0),N(U3581),N(U3581)+1))</f>
        <v/>
      </c>
      <c r="V3582" s="19">
        <f>IF($B3582="","",TEXT($B3582,"0000"))</f>
        <v/>
      </c>
      <c r="W3582" s="19">
        <f>IF($I3582="","",IF(ISNUMBER($I3582),TEXT($I3582,"0"),$I3582))</f>
        <v/>
      </c>
    </row>
    <row r="3583">
      <c r="B3583" s="25" t="n"/>
      <c r="I3583" s="25" t="n"/>
      <c r="U3583" s="19">
        <f>IF($V3583&lt;&gt;'設定'!$C$4,N(U3582),IF(OR(NOT(COUNTIF('商品マスタ'!$B$6:$B$1005,$W3583)=0),COUNTIFS('①在庫を貼る'!$V$6:$V$10005,$V3583,'①在庫を貼る'!$W$6:$W$10005,$W3583)&gt;0),N(U3582),N(U3582)+1))</f>
        <v/>
      </c>
      <c r="V3583" s="19">
        <f>IF($B3583="","",TEXT($B3583,"0000"))</f>
        <v/>
      </c>
      <c r="W3583" s="19">
        <f>IF($I3583="","",IF(ISNUMBER($I3583),TEXT($I3583,"0"),$I3583))</f>
        <v/>
      </c>
    </row>
    <row r="3584">
      <c r="B3584" s="25" t="n"/>
      <c r="I3584" s="25" t="n"/>
      <c r="U3584" s="19">
        <f>IF($V3584&lt;&gt;'設定'!$C$4,N(U3583),IF(OR(NOT(COUNTIF('商品マスタ'!$B$6:$B$1005,$W3584)=0),COUNTIFS('①在庫を貼る'!$V$6:$V$10005,$V3584,'①在庫を貼る'!$W$6:$W$10005,$W3584)&gt;0),N(U3583),N(U3583)+1))</f>
        <v/>
      </c>
      <c r="V3584" s="19">
        <f>IF($B3584="","",TEXT($B3584,"0000"))</f>
        <v/>
      </c>
      <c r="W3584" s="19">
        <f>IF($I3584="","",IF(ISNUMBER($I3584),TEXT($I3584,"0"),$I3584))</f>
        <v/>
      </c>
    </row>
    <row r="3585">
      <c r="B3585" s="25" t="n"/>
      <c r="I3585" s="25" t="n"/>
      <c r="U3585" s="19">
        <f>IF($V3585&lt;&gt;'設定'!$C$4,N(U3584),IF(OR(NOT(COUNTIF('商品マスタ'!$B$6:$B$1005,$W3585)=0),COUNTIFS('①在庫を貼る'!$V$6:$V$10005,$V3585,'①在庫を貼る'!$W$6:$W$10005,$W3585)&gt;0),N(U3584),N(U3584)+1))</f>
        <v/>
      </c>
      <c r="V3585" s="19">
        <f>IF($B3585="","",TEXT($B3585,"0000"))</f>
        <v/>
      </c>
      <c r="W3585" s="19">
        <f>IF($I3585="","",IF(ISNUMBER($I3585),TEXT($I3585,"0"),$I3585))</f>
        <v/>
      </c>
    </row>
    <row r="3586">
      <c r="B3586" s="25" t="n"/>
      <c r="I3586" s="25" t="n"/>
      <c r="U3586" s="19">
        <f>IF($V3586&lt;&gt;'設定'!$C$4,N(U3585),IF(OR(NOT(COUNTIF('商品マスタ'!$B$6:$B$1005,$W3586)=0),COUNTIFS('①在庫を貼る'!$V$6:$V$10005,$V3586,'①在庫を貼る'!$W$6:$W$10005,$W3586)&gt;0),N(U3585),N(U3585)+1))</f>
        <v/>
      </c>
      <c r="V3586" s="19">
        <f>IF($B3586="","",TEXT($B3586,"0000"))</f>
        <v/>
      </c>
      <c r="W3586" s="19">
        <f>IF($I3586="","",IF(ISNUMBER($I3586),TEXT($I3586,"0"),$I3586))</f>
        <v/>
      </c>
    </row>
    <row r="3587">
      <c r="B3587" s="25" t="n"/>
      <c r="I3587" s="25" t="n"/>
      <c r="U3587" s="19">
        <f>IF($V3587&lt;&gt;'設定'!$C$4,N(U3586),IF(OR(NOT(COUNTIF('商品マスタ'!$B$6:$B$1005,$W3587)=0),COUNTIFS('①在庫を貼る'!$V$6:$V$10005,$V3587,'①在庫を貼る'!$W$6:$W$10005,$W3587)&gt;0),N(U3586),N(U3586)+1))</f>
        <v/>
      </c>
      <c r="V3587" s="19">
        <f>IF($B3587="","",TEXT($B3587,"0000"))</f>
        <v/>
      </c>
      <c r="W3587" s="19">
        <f>IF($I3587="","",IF(ISNUMBER($I3587),TEXT($I3587,"0"),$I3587))</f>
        <v/>
      </c>
    </row>
    <row r="3588">
      <c r="B3588" s="25" t="n"/>
      <c r="I3588" s="25" t="n"/>
      <c r="U3588" s="19">
        <f>IF($V3588&lt;&gt;'設定'!$C$4,N(U3587),IF(OR(NOT(COUNTIF('商品マスタ'!$B$6:$B$1005,$W3588)=0),COUNTIFS('①在庫を貼る'!$V$6:$V$10005,$V3588,'①在庫を貼る'!$W$6:$W$10005,$W3588)&gt;0),N(U3587),N(U3587)+1))</f>
        <v/>
      </c>
      <c r="V3588" s="19">
        <f>IF($B3588="","",TEXT($B3588,"0000"))</f>
        <v/>
      </c>
      <c r="W3588" s="19">
        <f>IF($I3588="","",IF(ISNUMBER($I3588),TEXT($I3588,"0"),$I3588))</f>
        <v/>
      </c>
    </row>
    <row r="3589">
      <c r="B3589" s="25" t="n"/>
      <c r="I3589" s="25" t="n"/>
      <c r="U3589" s="19">
        <f>IF($V3589&lt;&gt;'設定'!$C$4,N(U3588),IF(OR(NOT(COUNTIF('商品マスタ'!$B$6:$B$1005,$W3589)=0),COUNTIFS('①在庫を貼る'!$V$6:$V$10005,$V3589,'①在庫を貼る'!$W$6:$W$10005,$W3589)&gt;0),N(U3588),N(U3588)+1))</f>
        <v/>
      </c>
      <c r="V3589" s="19">
        <f>IF($B3589="","",TEXT($B3589,"0000"))</f>
        <v/>
      </c>
      <c r="W3589" s="19">
        <f>IF($I3589="","",IF(ISNUMBER($I3589),TEXT($I3589,"0"),$I3589))</f>
        <v/>
      </c>
    </row>
    <row r="3590">
      <c r="B3590" s="25" t="n"/>
      <c r="I3590" s="25" t="n"/>
      <c r="U3590" s="19">
        <f>IF($V3590&lt;&gt;'設定'!$C$4,N(U3589),IF(OR(NOT(COUNTIF('商品マスタ'!$B$6:$B$1005,$W3590)=0),COUNTIFS('①在庫を貼る'!$V$6:$V$10005,$V3590,'①在庫を貼る'!$W$6:$W$10005,$W3590)&gt;0),N(U3589),N(U3589)+1))</f>
        <v/>
      </c>
      <c r="V3590" s="19">
        <f>IF($B3590="","",TEXT($B3590,"0000"))</f>
        <v/>
      </c>
      <c r="W3590" s="19">
        <f>IF($I3590="","",IF(ISNUMBER($I3590),TEXT($I3590,"0"),$I3590))</f>
        <v/>
      </c>
    </row>
    <row r="3591">
      <c r="B3591" s="25" t="n"/>
      <c r="I3591" s="25" t="n"/>
      <c r="U3591" s="19">
        <f>IF($V3591&lt;&gt;'設定'!$C$4,N(U3590),IF(OR(NOT(COUNTIF('商品マスタ'!$B$6:$B$1005,$W3591)=0),COUNTIFS('①在庫を貼る'!$V$6:$V$10005,$V3591,'①在庫を貼る'!$W$6:$W$10005,$W3591)&gt;0),N(U3590),N(U3590)+1))</f>
        <v/>
      </c>
      <c r="V3591" s="19">
        <f>IF($B3591="","",TEXT($B3591,"0000"))</f>
        <v/>
      </c>
      <c r="W3591" s="19">
        <f>IF($I3591="","",IF(ISNUMBER($I3591),TEXT($I3591,"0"),$I3591))</f>
        <v/>
      </c>
    </row>
    <row r="3592">
      <c r="B3592" s="25" t="n"/>
      <c r="I3592" s="25" t="n"/>
      <c r="U3592" s="19">
        <f>IF($V3592&lt;&gt;'設定'!$C$4,N(U3591),IF(OR(NOT(COUNTIF('商品マスタ'!$B$6:$B$1005,$W3592)=0),COUNTIFS('①在庫を貼る'!$V$6:$V$10005,$V3592,'①在庫を貼る'!$W$6:$W$10005,$W3592)&gt;0),N(U3591),N(U3591)+1))</f>
        <v/>
      </c>
      <c r="V3592" s="19">
        <f>IF($B3592="","",TEXT($B3592,"0000"))</f>
        <v/>
      </c>
      <c r="W3592" s="19">
        <f>IF($I3592="","",IF(ISNUMBER($I3592),TEXT($I3592,"0"),$I3592))</f>
        <v/>
      </c>
    </row>
    <row r="3593">
      <c r="B3593" s="25" t="n"/>
      <c r="I3593" s="25" t="n"/>
      <c r="U3593" s="19">
        <f>IF($V3593&lt;&gt;'設定'!$C$4,N(U3592),IF(OR(NOT(COUNTIF('商品マスタ'!$B$6:$B$1005,$W3593)=0),COUNTIFS('①在庫を貼る'!$V$6:$V$10005,$V3593,'①在庫を貼る'!$W$6:$W$10005,$W3593)&gt;0),N(U3592),N(U3592)+1))</f>
        <v/>
      </c>
      <c r="V3593" s="19">
        <f>IF($B3593="","",TEXT($B3593,"0000"))</f>
        <v/>
      </c>
      <c r="W3593" s="19">
        <f>IF($I3593="","",IF(ISNUMBER($I3593),TEXT($I3593,"0"),$I3593))</f>
        <v/>
      </c>
    </row>
    <row r="3594">
      <c r="B3594" s="25" t="n"/>
      <c r="I3594" s="25" t="n"/>
      <c r="U3594" s="19">
        <f>IF($V3594&lt;&gt;'設定'!$C$4,N(U3593),IF(OR(NOT(COUNTIF('商品マスタ'!$B$6:$B$1005,$W3594)=0),COUNTIFS('①在庫を貼る'!$V$6:$V$10005,$V3594,'①在庫を貼る'!$W$6:$W$10005,$W3594)&gt;0),N(U3593),N(U3593)+1))</f>
        <v/>
      </c>
      <c r="V3594" s="19">
        <f>IF($B3594="","",TEXT($B3594,"0000"))</f>
        <v/>
      </c>
      <c r="W3594" s="19">
        <f>IF($I3594="","",IF(ISNUMBER($I3594),TEXT($I3594,"0"),$I3594))</f>
        <v/>
      </c>
    </row>
    <row r="3595">
      <c r="B3595" s="25" t="n"/>
      <c r="I3595" s="25" t="n"/>
      <c r="U3595" s="19">
        <f>IF($V3595&lt;&gt;'設定'!$C$4,N(U3594),IF(OR(NOT(COUNTIF('商品マスタ'!$B$6:$B$1005,$W3595)=0),COUNTIFS('①在庫を貼る'!$V$6:$V$10005,$V3595,'①在庫を貼る'!$W$6:$W$10005,$W3595)&gt;0),N(U3594),N(U3594)+1))</f>
        <v/>
      </c>
      <c r="V3595" s="19">
        <f>IF($B3595="","",TEXT($B3595,"0000"))</f>
        <v/>
      </c>
      <c r="W3595" s="19">
        <f>IF($I3595="","",IF(ISNUMBER($I3595),TEXT($I3595,"0"),$I3595))</f>
        <v/>
      </c>
    </row>
    <row r="3596">
      <c r="B3596" s="25" t="n"/>
      <c r="I3596" s="25" t="n"/>
      <c r="U3596" s="19">
        <f>IF($V3596&lt;&gt;'設定'!$C$4,N(U3595),IF(OR(NOT(COUNTIF('商品マスタ'!$B$6:$B$1005,$W3596)=0),COUNTIFS('①在庫を貼る'!$V$6:$V$10005,$V3596,'①在庫を貼る'!$W$6:$W$10005,$W3596)&gt;0),N(U3595),N(U3595)+1))</f>
        <v/>
      </c>
      <c r="V3596" s="19">
        <f>IF($B3596="","",TEXT($B3596,"0000"))</f>
        <v/>
      </c>
      <c r="W3596" s="19">
        <f>IF($I3596="","",IF(ISNUMBER($I3596),TEXT($I3596,"0"),$I3596))</f>
        <v/>
      </c>
    </row>
    <row r="3597">
      <c r="B3597" s="25" t="n"/>
      <c r="I3597" s="25" t="n"/>
      <c r="U3597" s="19">
        <f>IF($V3597&lt;&gt;'設定'!$C$4,N(U3596),IF(OR(NOT(COUNTIF('商品マスタ'!$B$6:$B$1005,$W3597)=0),COUNTIFS('①在庫を貼る'!$V$6:$V$10005,$V3597,'①在庫を貼る'!$W$6:$W$10005,$W3597)&gt;0),N(U3596),N(U3596)+1))</f>
        <v/>
      </c>
      <c r="V3597" s="19">
        <f>IF($B3597="","",TEXT($B3597,"0000"))</f>
        <v/>
      </c>
      <c r="W3597" s="19">
        <f>IF($I3597="","",IF(ISNUMBER($I3597),TEXT($I3597,"0"),$I3597))</f>
        <v/>
      </c>
    </row>
    <row r="3598">
      <c r="B3598" s="25" t="n"/>
      <c r="I3598" s="25" t="n"/>
      <c r="U3598" s="19">
        <f>IF($V3598&lt;&gt;'設定'!$C$4,N(U3597),IF(OR(NOT(COUNTIF('商品マスタ'!$B$6:$B$1005,$W3598)=0),COUNTIFS('①在庫を貼る'!$V$6:$V$10005,$V3598,'①在庫を貼る'!$W$6:$W$10005,$W3598)&gt;0),N(U3597),N(U3597)+1))</f>
        <v/>
      </c>
      <c r="V3598" s="19">
        <f>IF($B3598="","",TEXT($B3598,"0000"))</f>
        <v/>
      </c>
      <c r="W3598" s="19">
        <f>IF($I3598="","",IF(ISNUMBER($I3598),TEXT($I3598,"0"),$I3598))</f>
        <v/>
      </c>
    </row>
    <row r="3599">
      <c r="B3599" s="25" t="n"/>
      <c r="I3599" s="25" t="n"/>
      <c r="U3599" s="19">
        <f>IF($V3599&lt;&gt;'設定'!$C$4,N(U3598),IF(OR(NOT(COUNTIF('商品マスタ'!$B$6:$B$1005,$W3599)=0),COUNTIFS('①在庫を貼る'!$V$6:$V$10005,$V3599,'①在庫を貼る'!$W$6:$W$10005,$W3599)&gt;0),N(U3598),N(U3598)+1))</f>
        <v/>
      </c>
      <c r="V3599" s="19">
        <f>IF($B3599="","",TEXT($B3599,"0000"))</f>
        <v/>
      </c>
      <c r="W3599" s="19">
        <f>IF($I3599="","",IF(ISNUMBER($I3599),TEXT($I3599,"0"),$I3599))</f>
        <v/>
      </c>
    </row>
    <row r="3600">
      <c r="B3600" s="25" t="n"/>
      <c r="I3600" s="25" t="n"/>
      <c r="U3600" s="19">
        <f>IF($V3600&lt;&gt;'設定'!$C$4,N(U3599),IF(OR(NOT(COUNTIF('商品マスタ'!$B$6:$B$1005,$W3600)=0),COUNTIFS('①在庫を貼る'!$V$6:$V$10005,$V3600,'①在庫を貼る'!$W$6:$W$10005,$W3600)&gt;0),N(U3599),N(U3599)+1))</f>
        <v/>
      </c>
      <c r="V3600" s="19">
        <f>IF($B3600="","",TEXT($B3600,"0000"))</f>
        <v/>
      </c>
      <c r="W3600" s="19">
        <f>IF($I3600="","",IF(ISNUMBER($I3600),TEXT($I3600,"0"),$I3600))</f>
        <v/>
      </c>
    </row>
    <row r="3601">
      <c r="B3601" s="25" t="n"/>
      <c r="I3601" s="25" t="n"/>
      <c r="U3601" s="19">
        <f>IF($V3601&lt;&gt;'設定'!$C$4,N(U3600),IF(OR(NOT(COUNTIF('商品マスタ'!$B$6:$B$1005,$W3601)=0),COUNTIFS('①在庫を貼る'!$V$6:$V$10005,$V3601,'①在庫を貼る'!$W$6:$W$10005,$W3601)&gt;0),N(U3600),N(U3600)+1))</f>
        <v/>
      </c>
      <c r="V3601" s="19">
        <f>IF($B3601="","",TEXT($B3601,"0000"))</f>
        <v/>
      </c>
      <c r="W3601" s="19">
        <f>IF($I3601="","",IF(ISNUMBER($I3601),TEXT($I3601,"0"),$I3601))</f>
        <v/>
      </c>
    </row>
    <row r="3602">
      <c r="B3602" s="25" t="n"/>
      <c r="I3602" s="25" t="n"/>
      <c r="U3602" s="19">
        <f>IF($V3602&lt;&gt;'設定'!$C$4,N(U3601),IF(OR(NOT(COUNTIF('商品マスタ'!$B$6:$B$1005,$W3602)=0),COUNTIFS('①在庫を貼る'!$V$6:$V$10005,$V3602,'①在庫を貼る'!$W$6:$W$10005,$W3602)&gt;0),N(U3601),N(U3601)+1))</f>
        <v/>
      </c>
      <c r="V3602" s="19">
        <f>IF($B3602="","",TEXT($B3602,"0000"))</f>
        <v/>
      </c>
      <c r="W3602" s="19">
        <f>IF($I3602="","",IF(ISNUMBER($I3602),TEXT($I3602,"0"),$I3602))</f>
        <v/>
      </c>
    </row>
    <row r="3603">
      <c r="B3603" s="25" t="n"/>
      <c r="I3603" s="25" t="n"/>
      <c r="U3603" s="19">
        <f>IF($V3603&lt;&gt;'設定'!$C$4,N(U3602),IF(OR(NOT(COUNTIF('商品マスタ'!$B$6:$B$1005,$W3603)=0),COUNTIFS('①在庫を貼る'!$V$6:$V$10005,$V3603,'①在庫を貼る'!$W$6:$W$10005,$W3603)&gt;0),N(U3602),N(U3602)+1))</f>
        <v/>
      </c>
      <c r="V3603" s="19">
        <f>IF($B3603="","",TEXT($B3603,"0000"))</f>
        <v/>
      </c>
      <c r="W3603" s="19">
        <f>IF($I3603="","",IF(ISNUMBER($I3603),TEXT($I3603,"0"),$I3603))</f>
        <v/>
      </c>
    </row>
    <row r="3604">
      <c r="B3604" s="25" t="n"/>
      <c r="I3604" s="25" t="n"/>
      <c r="U3604" s="19">
        <f>IF($V3604&lt;&gt;'設定'!$C$4,N(U3603),IF(OR(NOT(COUNTIF('商品マスタ'!$B$6:$B$1005,$W3604)=0),COUNTIFS('①在庫を貼る'!$V$6:$V$10005,$V3604,'①在庫を貼る'!$W$6:$W$10005,$W3604)&gt;0),N(U3603),N(U3603)+1))</f>
        <v/>
      </c>
      <c r="V3604" s="19">
        <f>IF($B3604="","",TEXT($B3604,"0000"))</f>
        <v/>
      </c>
      <c r="W3604" s="19">
        <f>IF($I3604="","",IF(ISNUMBER($I3604),TEXT($I3604,"0"),$I3604))</f>
        <v/>
      </c>
    </row>
    <row r="3605">
      <c r="B3605" s="25" t="n"/>
      <c r="I3605" s="25" t="n"/>
      <c r="U3605" s="19">
        <f>IF($V3605&lt;&gt;'設定'!$C$4,N(U3604),IF(OR(NOT(COUNTIF('商品マスタ'!$B$6:$B$1005,$W3605)=0),COUNTIFS('①在庫を貼る'!$V$6:$V$10005,$V3605,'①在庫を貼る'!$W$6:$W$10005,$W3605)&gt;0),N(U3604),N(U3604)+1))</f>
        <v/>
      </c>
      <c r="V3605" s="19">
        <f>IF($B3605="","",TEXT($B3605,"0000"))</f>
        <v/>
      </c>
      <c r="W3605" s="19">
        <f>IF($I3605="","",IF(ISNUMBER($I3605),TEXT($I3605,"0"),$I3605))</f>
        <v/>
      </c>
    </row>
    <row r="3606">
      <c r="B3606" s="25" t="n"/>
      <c r="I3606" s="25" t="n"/>
      <c r="U3606" s="19">
        <f>IF($V3606&lt;&gt;'設定'!$C$4,N(U3605),IF(OR(NOT(COUNTIF('商品マスタ'!$B$6:$B$1005,$W3606)=0),COUNTIFS('①在庫を貼る'!$V$6:$V$10005,$V3606,'①在庫を貼る'!$W$6:$W$10005,$W3606)&gt;0),N(U3605),N(U3605)+1))</f>
        <v/>
      </c>
      <c r="V3606" s="19">
        <f>IF($B3606="","",TEXT($B3606,"0000"))</f>
        <v/>
      </c>
      <c r="W3606" s="19">
        <f>IF($I3606="","",IF(ISNUMBER($I3606),TEXT($I3606,"0"),$I3606))</f>
        <v/>
      </c>
    </row>
    <row r="3607">
      <c r="B3607" s="25" t="n"/>
      <c r="I3607" s="25" t="n"/>
      <c r="U3607" s="19">
        <f>IF($V3607&lt;&gt;'設定'!$C$4,N(U3606),IF(OR(NOT(COUNTIF('商品マスタ'!$B$6:$B$1005,$W3607)=0),COUNTIFS('①在庫を貼る'!$V$6:$V$10005,$V3607,'①在庫を貼る'!$W$6:$W$10005,$W3607)&gt;0),N(U3606),N(U3606)+1))</f>
        <v/>
      </c>
      <c r="V3607" s="19">
        <f>IF($B3607="","",TEXT($B3607,"0000"))</f>
        <v/>
      </c>
      <c r="W3607" s="19">
        <f>IF($I3607="","",IF(ISNUMBER($I3607),TEXT($I3607,"0"),$I3607))</f>
        <v/>
      </c>
    </row>
    <row r="3608">
      <c r="B3608" s="25" t="n"/>
      <c r="I3608" s="25" t="n"/>
      <c r="U3608" s="19">
        <f>IF($V3608&lt;&gt;'設定'!$C$4,N(U3607),IF(OR(NOT(COUNTIF('商品マスタ'!$B$6:$B$1005,$W3608)=0),COUNTIFS('①在庫を貼る'!$V$6:$V$10005,$V3608,'①在庫を貼る'!$W$6:$W$10005,$W3608)&gt;0),N(U3607),N(U3607)+1))</f>
        <v/>
      </c>
      <c r="V3608" s="19">
        <f>IF($B3608="","",TEXT($B3608,"0000"))</f>
        <v/>
      </c>
      <c r="W3608" s="19">
        <f>IF($I3608="","",IF(ISNUMBER($I3608),TEXT($I3608,"0"),$I3608))</f>
        <v/>
      </c>
    </row>
    <row r="3609">
      <c r="B3609" s="25" t="n"/>
      <c r="I3609" s="25" t="n"/>
      <c r="U3609" s="19">
        <f>IF($V3609&lt;&gt;'設定'!$C$4,N(U3608),IF(OR(NOT(COUNTIF('商品マスタ'!$B$6:$B$1005,$W3609)=0),COUNTIFS('①在庫を貼る'!$V$6:$V$10005,$V3609,'①在庫を貼る'!$W$6:$W$10005,$W3609)&gt;0),N(U3608),N(U3608)+1))</f>
        <v/>
      </c>
      <c r="V3609" s="19">
        <f>IF($B3609="","",TEXT($B3609,"0000"))</f>
        <v/>
      </c>
      <c r="W3609" s="19">
        <f>IF($I3609="","",IF(ISNUMBER($I3609),TEXT($I3609,"0"),$I3609))</f>
        <v/>
      </c>
    </row>
    <row r="3610">
      <c r="B3610" s="25" t="n"/>
      <c r="I3610" s="25" t="n"/>
      <c r="U3610" s="19">
        <f>IF($V3610&lt;&gt;'設定'!$C$4,N(U3609),IF(OR(NOT(COUNTIF('商品マスタ'!$B$6:$B$1005,$W3610)=0),COUNTIFS('①在庫を貼る'!$V$6:$V$10005,$V3610,'①在庫を貼る'!$W$6:$W$10005,$W3610)&gt;0),N(U3609),N(U3609)+1))</f>
        <v/>
      </c>
      <c r="V3610" s="19">
        <f>IF($B3610="","",TEXT($B3610,"0000"))</f>
        <v/>
      </c>
      <c r="W3610" s="19">
        <f>IF($I3610="","",IF(ISNUMBER($I3610),TEXT($I3610,"0"),$I3610))</f>
        <v/>
      </c>
    </row>
    <row r="3611">
      <c r="B3611" s="25" t="n"/>
      <c r="I3611" s="25" t="n"/>
      <c r="U3611" s="19">
        <f>IF($V3611&lt;&gt;'設定'!$C$4,N(U3610),IF(OR(NOT(COUNTIF('商品マスタ'!$B$6:$B$1005,$W3611)=0),COUNTIFS('①在庫を貼る'!$V$6:$V$10005,$V3611,'①在庫を貼る'!$W$6:$W$10005,$W3611)&gt;0),N(U3610),N(U3610)+1))</f>
        <v/>
      </c>
      <c r="V3611" s="19">
        <f>IF($B3611="","",TEXT($B3611,"0000"))</f>
        <v/>
      </c>
      <c r="W3611" s="19">
        <f>IF($I3611="","",IF(ISNUMBER($I3611),TEXT($I3611,"0"),$I3611))</f>
        <v/>
      </c>
    </row>
    <row r="3612">
      <c r="B3612" s="25" t="n"/>
      <c r="I3612" s="25" t="n"/>
      <c r="U3612" s="19">
        <f>IF($V3612&lt;&gt;'設定'!$C$4,N(U3611),IF(OR(NOT(COUNTIF('商品マスタ'!$B$6:$B$1005,$W3612)=0),COUNTIFS('①在庫を貼る'!$V$6:$V$10005,$V3612,'①在庫を貼る'!$W$6:$W$10005,$W3612)&gt;0),N(U3611),N(U3611)+1))</f>
        <v/>
      </c>
      <c r="V3612" s="19">
        <f>IF($B3612="","",TEXT($B3612,"0000"))</f>
        <v/>
      </c>
      <c r="W3612" s="19">
        <f>IF($I3612="","",IF(ISNUMBER($I3612),TEXT($I3612,"0"),$I3612))</f>
        <v/>
      </c>
    </row>
    <row r="3613">
      <c r="B3613" s="25" t="n"/>
      <c r="I3613" s="25" t="n"/>
      <c r="U3613" s="19">
        <f>IF($V3613&lt;&gt;'設定'!$C$4,N(U3612),IF(OR(NOT(COUNTIF('商品マスタ'!$B$6:$B$1005,$W3613)=0),COUNTIFS('①在庫を貼る'!$V$6:$V$10005,$V3613,'①在庫を貼る'!$W$6:$W$10005,$W3613)&gt;0),N(U3612),N(U3612)+1))</f>
        <v/>
      </c>
      <c r="V3613" s="19">
        <f>IF($B3613="","",TEXT($B3613,"0000"))</f>
        <v/>
      </c>
      <c r="W3613" s="19">
        <f>IF($I3613="","",IF(ISNUMBER($I3613),TEXT($I3613,"0"),$I3613))</f>
        <v/>
      </c>
    </row>
    <row r="3614">
      <c r="B3614" s="25" t="n"/>
      <c r="I3614" s="25" t="n"/>
      <c r="U3614" s="19">
        <f>IF($V3614&lt;&gt;'設定'!$C$4,N(U3613),IF(OR(NOT(COUNTIF('商品マスタ'!$B$6:$B$1005,$W3614)=0),COUNTIFS('①在庫を貼る'!$V$6:$V$10005,$V3614,'①在庫を貼る'!$W$6:$W$10005,$W3614)&gt;0),N(U3613),N(U3613)+1))</f>
        <v/>
      </c>
      <c r="V3614" s="19">
        <f>IF($B3614="","",TEXT($B3614,"0000"))</f>
        <v/>
      </c>
      <c r="W3614" s="19">
        <f>IF($I3614="","",IF(ISNUMBER($I3614),TEXT($I3614,"0"),$I3614))</f>
        <v/>
      </c>
    </row>
    <row r="3615">
      <c r="B3615" s="25" t="n"/>
      <c r="I3615" s="25" t="n"/>
      <c r="U3615" s="19">
        <f>IF($V3615&lt;&gt;'設定'!$C$4,N(U3614),IF(OR(NOT(COUNTIF('商品マスタ'!$B$6:$B$1005,$W3615)=0),COUNTIFS('①在庫を貼る'!$V$6:$V$10005,$V3615,'①在庫を貼る'!$W$6:$W$10005,$W3615)&gt;0),N(U3614),N(U3614)+1))</f>
        <v/>
      </c>
      <c r="V3615" s="19">
        <f>IF($B3615="","",TEXT($B3615,"0000"))</f>
        <v/>
      </c>
      <c r="W3615" s="19">
        <f>IF($I3615="","",IF(ISNUMBER($I3615),TEXT($I3615,"0"),$I3615))</f>
        <v/>
      </c>
    </row>
    <row r="3616">
      <c r="B3616" s="25" t="n"/>
      <c r="I3616" s="25" t="n"/>
      <c r="U3616" s="19">
        <f>IF($V3616&lt;&gt;'設定'!$C$4,N(U3615),IF(OR(NOT(COUNTIF('商品マスタ'!$B$6:$B$1005,$W3616)=0),COUNTIFS('①在庫を貼る'!$V$6:$V$10005,$V3616,'①在庫を貼る'!$W$6:$W$10005,$W3616)&gt;0),N(U3615),N(U3615)+1))</f>
        <v/>
      </c>
      <c r="V3616" s="19">
        <f>IF($B3616="","",TEXT($B3616,"0000"))</f>
        <v/>
      </c>
      <c r="W3616" s="19">
        <f>IF($I3616="","",IF(ISNUMBER($I3616),TEXT($I3616,"0"),$I3616))</f>
        <v/>
      </c>
    </row>
    <row r="3617">
      <c r="B3617" s="25" t="n"/>
      <c r="I3617" s="25" t="n"/>
      <c r="U3617" s="19">
        <f>IF($V3617&lt;&gt;'設定'!$C$4,N(U3616),IF(OR(NOT(COUNTIF('商品マスタ'!$B$6:$B$1005,$W3617)=0),COUNTIFS('①在庫を貼る'!$V$6:$V$10005,$V3617,'①在庫を貼る'!$W$6:$W$10005,$W3617)&gt;0),N(U3616),N(U3616)+1))</f>
        <v/>
      </c>
      <c r="V3617" s="19">
        <f>IF($B3617="","",TEXT($B3617,"0000"))</f>
        <v/>
      </c>
      <c r="W3617" s="19">
        <f>IF($I3617="","",IF(ISNUMBER($I3617),TEXT($I3617,"0"),$I3617))</f>
        <v/>
      </c>
    </row>
    <row r="3618">
      <c r="B3618" s="25" t="n"/>
      <c r="I3618" s="25" t="n"/>
      <c r="U3618" s="19">
        <f>IF($V3618&lt;&gt;'設定'!$C$4,N(U3617),IF(OR(NOT(COUNTIF('商品マスタ'!$B$6:$B$1005,$W3618)=0),COUNTIFS('①在庫を貼る'!$V$6:$V$10005,$V3618,'①在庫を貼る'!$W$6:$W$10005,$W3618)&gt;0),N(U3617),N(U3617)+1))</f>
        <v/>
      </c>
      <c r="V3618" s="19">
        <f>IF($B3618="","",TEXT($B3618,"0000"))</f>
        <v/>
      </c>
      <c r="W3618" s="19">
        <f>IF($I3618="","",IF(ISNUMBER($I3618),TEXT($I3618,"0"),$I3618))</f>
        <v/>
      </c>
    </row>
    <row r="3619">
      <c r="B3619" s="25" t="n"/>
      <c r="I3619" s="25" t="n"/>
      <c r="U3619" s="19">
        <f>IF($V3619&lt;&gt;'設定'!$C$4,N(U3618),IF(OR(NOT(COUNTIF('商品マスタ'!$B$6:$B$1005,$W3619)=0),COUNTIFS('①在庫を貼る'!$V$6:$V$10005,$V3619,'①在庫を貼る'!$W$6:$W$10005,$W3619)&gt;0),N(U3618),N(U3618)+1))</f>
        <v/>
      </c>
      <c r="V3619" s="19">
        <f>IF($B3619="","",TEXT($B3619,"0000"))</f>
        <v/>
      </c>
      <c r="W3619" s="19">
        <f>IF($I3619="","",IF(ISNUMBER($I3619),TEXT($I3619,"0"),$I3619))</f>
        <v/>
      </c>
    </row>
    <row r="3620">
      <c r="B3620" s="25" t="n"/>
      <c r="I3620" s="25" t="n"/>
      <c r="U3620" s="19">
        <f>IF($V3620&lt;&gt;'設定'!$C$4,N(U3619),IF(OR(NOT(COUNTIF('商品マスタ'!$B$6:$B$1005,$W3620)=0),COUNTIFS('①在庫を貼る'!$V$6:$V$10005,$V3620,'①在庫を貼る'!$W$6:$W$10005,$W3620)&gt;0),N(U3619),N(U3619)+1))</f>
        <v/>
      </c>
      <c r="V3620" s="19">
        <f>IF($B3620="","",TEXT($B3620,"0000"))</f>
        <v/>
      </c>
      <c r="W3620" s="19">
        <f>IF($I3620="","",IF(ISNUMBER($I3620),TEXT($I3620,"0"),$I3620))</f>
        <v/>
      </c>
    </row>
    <row r="3621">
      <c r="B3621" s="25" t="n"/>
      <c r="I3621" s="25" t="n"/>
      <c r="U3621" s="19">
        <f>IF($V3621&lt;&gt;'設定'!$C$4,N(U3620),IF(OR(NOT(COUNTIF('商品マスタ'!$B$6:$B$1005,$W3621)=0),COUNTIFS('①在庫を貼る'!$V$6:$V$10005,$V3621,'①在庫を貼る'!$W$6:$W$10005,$W3621)&gt;0),N(U3620),N(U3620)+1))</f>
        <v/>
      </c>
      <c r="V3621" s="19">
        <f>IF($B3621="","",TEXT($B3621,"0000"))</f>
        <v/>
      </c>
      <c r="W3621" s="19">
        <f>IF($I3621="","",IF(ISNUMBER($I3621),TEXT($I3621,"0"),$I3621))</f>
        <v/>
      </c>
    </row>
    <row r="3622">
      <c r="B3622" s="25" t="n"/>
      <c r="I3622" s="25" t="n"/>
      <c r="U3622" s="19">
        <f>IF($V3622&lt;&gt;'設定'!$C$4,N(U3621),IF(OR(NOT(COUNTIF('商品マスタ'!$B$6:$B$1005,$W3622)=0),COUNTIFS('①在庫を貼る'!$V$6:$V$10005,$V3622,'①在庫を貼る'!$W$6:$W$10005,$W3622)&gt;0),N(U3621),N(U3621)+1))</f>
        <v/>
      </c>
      <c r="V3622" s="19">
        <f>IF($B3622="","",TEXT($B3622,"0000"))</f>
        <v/>
      </c>
      <c r="W3622" s="19">
        <f>IF($I3622="","",IF(ISNUMBER($I3622),TEXT($I3622,"0"),$I3622))</f>
        <v/>
      </c>
    </row>
    <row r="3623">
      <c r="B3623" s="25" t="n"/>
      <c r="I3623" s="25" t="n"/>
      <c r="U3623" s="19">
        <f>IF($V3623&lt;&gt;'設定'!$C$4,N(U3622),IF(OR(NOT(COUNTIF('商品マスタ'!$B$6:$B$1005,$W3623)=0),COUNTIFS('①在庫を貼る'!$V$6:$V$10005,$V3623,'①在庫を貼る'!$W$6:$W$10005,$W3623)&gt;0),N(U3622),N(U3622)+1))</f>
        <v/>
      </c>
      <c r="V3623" s="19">
        <f>IF($B3623="","",TEXT($B3623,"0000"))</f>
        <v/>
      </c>
      <c r="W3623" s="19">
        <f>IF($I3623="","",IF(ISNUMBER($I3623),TEXT($I3623,"0"),$I3623))</f>
        <v/>
      </c>
    </row>
    <row r="3624">
      <c r="B3624" s="25" t="n"/>
      <c r="I3624" s="25" t="n"/>
      <c r="U3624" s="19">
        <f>IF($V3624&lt;&gt;'設定'!$C$4,N(U3623),IF(OR(NOT(COUNTIF('商品マスタ'!$B$6:$B$1005,$W3624)=0),COUNTIFS('①在庫を貼る'!$V$6:$V$10005,$V3624,'①在庫を貼る'!$W$6:$W$10005,$W3624)&gt;0),N(U3623),N(U3623)+1))</f>
        <v/>
      </c>
      <c r="V3624" s="19">
        <f>IF($B3624="","",TEXT($B3624,"0000"))</f>
        <v/>
      </c>
      <c r="W3624" s="19">
        <f>IF($I3624="","",IF(ISNUMBER($I3624),TEXT($I3624,"0"),$I3624))</f>
        <v/>
      </c>
    </row>
    <row r="3625">
      <c r="B3625" s="25" t="n"/>
      <c r="I3625" s="25" t="n"/>
      <c r="U3625" s="19">
        <f>IF($V3625&lt;&gt;'設定'!$C$4,N(U3624),IF(OR(NOT(COUNTIF('商品マスタ'!$B$6:$B$1005,$W3625)=0),COUNTIFS('①在庫を貼る'!$V$6:$V$10005,$V3625,'①在庫を貼る'!$W$6:$W$10005,$W3625)&gt;0),N(U3624),N(U3624)+1))</f>
        <v/>
      </c>
      <c r="V3625" s="19">
        <f>IF($B3625="","",TEXT($B3625,"0000"))</f>
        <v/>
      </c>
      <c r="W3625" s="19">
        <f>IF($I3625="","",IF(ISNUMBER($I3625),TEXT($I3625,"0"),$I3625))</f>
        <v/>
      </c>
    </row>
    <row r="3626">
      <c r="B3626" s="25" t="n"/>
      <c r="I3626" s="25" t="n"/>
      <c r="U3626" s="19">
        <f>IF($V3626&lt;&gt;'設定'!$C$4,N(U3625),IF(OR(NOT(COUNTIF('商品マスタ'!$B$6:$B$1005,$W3626)=0),COUNTIFS('①在庫を貼る'!$V$6:$V$10005,$V3626,'①在庫を貼る'!$W$6:$W$10005,$W3626)&gt;0),N(U3625),N(U3625)+1))</f>
        <v/>
      </c>
      <c r="V3626" s="19">
        <f>IF($B3626="","",TEXT($B3626,"0000"))</f>
        <v/>
      </c>
      <c r="W3626" s="19">
        <f>IF($I3626="","",IF(ISNUMBER($I3626),TEXT($I3626,"0"),$I3626))</f>
        <v/>
      </c>
    </row>
    <row r="3627">
      <c r="B3627" s="25" t="n"/>
      <c r="I3627" s="25" t="n"/>
      <c r="U3627" s="19">
        <f>IF($V3627&lt;&gt;'設定'!$C$4,N(U3626),IF(OR(NOT(COUNTIF('商品マスタ'!$B$6:$B$1005,$W3627)=0),COUNTIFS('①在庫を貼る'!$V$6:$V$10005,$V3627,'①在庫を貼る'!$W$6:$W$10005,$W3627)&gt;0),N(U3626),N(U3626)+1))</f>
        <v/>
      </c>
      <c r="V3627" s="19">
        <f>IF($B3627="","",TEXT($B3627,"0000"))</f>
        <v/>
      </c>
      <c r="W3627" s="19">
        <f>IF($I3627="","",IF(ISNUMBER($I3627),TEXT($I3627,"0"),$I3627))</f>
        <v/>
      </c>
    </row>
    <row r="3628">
      <c r="B3628" s="25" t="n"/>
      <c r="I3628" s="25" t="n"/>
      <c r="U3628" s="19">
        <f>IF($V3628&lt;&gt;'設定'!$C$4,N(U3627),IF(OR(NOT(COUNTIF('商品マスタ'!$B$6:$B$1005,$W3628)=0),COUNTIFS('①在庫を貼る'!$V$6:$V$10005,$V3628,'①在庫を貼る'!$W$6:$W$10005,$W3628)&gt;0),N(U3627),N(U3627)+1))</f>
        <v/>
      </c>
      <c r="V3628" s="19">
        <f>IF($B3628="","",TEXT($B3628,"0000"))</f>
        <v/>
      </c>
      <c r="W3628" s="19">
        <f>IF($I3628="","",IF(ISNUMBER($I3628),TEXT($I3628,"0"),$I3628))</f>
        <v/>
      </c>
    </row>
    <row r="3629">
      <c r="B3629" s="25" t="n"/>
      <c r="I3629" s="25" t="n"/>
      <c r="U3629" s="19">
        <f>IF($V3629&lt;&gt;'設定'!$C$4,N(U3628),IF(OR(NOT(COUNTIF('商品マスタ'!$B$6:$B$1005,$W3629)=0),COUNTIFS('①在庫を貼る'!$V$6:$V$10005,$V3629,'①在庫を貼る'!$W$6:$W$10005,$W3629)&gt;0),N(U3628),N(U3628)+1))</f>
        <v/>
      </c>
      <c r="V3629" s="19">
        <f>IF($B3629="","",TEXT($B3629,"0000"))</f>
        <v/>
      </c>
      <c r="W3629" s="19">
        <f>IF($I3629="","",IF(ISNUMBER($I3629),TEXT($I3629,"0"),$I3629))</f>
        <v/>
      </c>
    </row>
    <row r="3630">
      <c r="B3630" s="25" t="n"/>
      <c r="I3630" s="25" t="n"/>
      <c r="U3630" s="19">
        <f>IF($V3630&lt;&gt;'設定'!$C$4,N(U3629),IF(OR(NOT(COUNTIF('商品マスタ'!$B$6:$B$1005,$W3630)=0),COUNTIFS('①在庫を貼る'!$V$6:$V$10005,$V3630,'①在庫を貼る'!$W$6:$W$10005,$W3630)&gt;0),N(U3629),N(U3629)+1))</f>
        <v/>
      </c>
      <c r="V3630" s="19">
        <f>IF($B3630="","",TEXT($B3630,"0000"))</f>
        <v/>
      </c>
      <c r="W3630" s="19">
        <f>IF($I3630="","",IF(ISNUMBER($I3630),TEXT($I3630,"0"),$I3630))</f>
        <v/>
      </c>
    </row>
    <row r="3631">
      <c r="B3631" s="25" t="n"/>
      <c r="I3631" s="25" t="n"/>
      <c r="U3631" s="19">
        <f>IF($V3631&lt;&gt;'設定'!$C$4,N(U3630),IF(OR(NOT(COUNTIF('商品マスタ'!$B$6:$B$1005,$W3631)=0),COUNTIFS('①在庫を貼る'!$V$6:$V$10005,$V3631,'①在庫を貼る'!$W$6:$W$10005,$W3631)&gt;0),N(U3630),N(U3630)+1))</f>
        <v/>
      </c>
      <c r="V3631" s="19">
        <f>IF($B3631="","",TEXT($B3631,"0000"))</f>
        <v/>
      </c>
      <c r="W3631" s="19">
        <f>IF($I3631="","",IF(ISNUMBER($I3631),TEXT($I3631,"0"),$I3631))</f>
        <v/>
      </c>
    </row>
    <row r="3632">
      <c r="B3632" s="25" t="n"/>
      <c r="I3632" s="25" t="n"/>
      <c r="U3632" s="19">
        <f>IF($V3632&lt;&gt;'設定'!$C$4,N(U3631),IF(OR(NOT(COUNTIF('商品マスタ'!$B$6:$B$1005,$W3632)=0),COUNTIFS('①在庫を貼る'!$V$6:$V$10005,$V3632,'①在庫を貼る'!$W$6:$W$10005,$W3632)&gt;0),N(U3631),N(U3631)+1))</f>
        <v/>
      </c>
      <c r="V3632" s="19">
        <f>IF($B3632="","",TEXT($B3632,"0000"))</f>
        <v/>
      </c>
      <c r="W3632" s="19">
        <f>IF($I3632="","",IF(ISNUMBER($I3632),TEXT($I3632,"0"),$I3632))</f>
        <v/>
      </c>
    </row>
    <row r="3633">
      <c r="B3633" s="25" t="n"/>
      <c r="I3633" s="25" t="n"/>
      <c r="U3633" s="19">
        <f>IF($V3633&lt;&gt;'設定'!$C$4,N(U3632),IF(OR(NOT(COUNTIF('商品マスタ'!$B$6:$B$1005,$W3633)=0),COUNTIFS('①在庫を貼る'!$V$6:$V$10005,$V3633,'①在庫を貼る'!$W$6:$W$10005,$W3633)&gt;0),N(U3632),N(U3632)+1))</f>
        <v/>
      </c>
      <c r="V3633" s="19">
        <f>IF($B3633="","",TEXT($B3633,"0000"))</f>
        <v/>
      </c>
      <c r="W3633" s="19">
        <f>IF($I3633="","",IF(ISNUMBER($I3633),TEXT($I3633,"0"),$I3633))</f>
        <v/>
      </c>
    </row>
    <row r="3634">
      <c r="B3634" s="25" t="n"/>
      <c r="I3634" s="25" t="n"/>
      <c r="U3634" s="19">
        <f>IF($V3634&lt;&gt;'設定'!$C$4,N(U3633),IF(OR(NOT(COUNTIF('商品マスタ'!$B$6:$B$1005,$W3634)=0),COUNTIFS('①在庫を貼る'!$V$6:$V$10005,$V3634,'①在庫を貼る'!$W$6:$W$10005,$W3634)&gt;0),N(U3633),N(U3633)+1))</f>
        <v/>
      </c>
      <c r="V3634" s="19">
        <f>IF($B3634="","",TEXT($B3634,"0000"))</f>
        <v/>
      </c>
      <c r="W3634" s="19">
        <f>IF($I3634="","",IF(ISNUMBER($I3634),TEXT($I3634,"0"),$I3634))</f>
        <v/>
      </c>
    </row>
    <row r="3635">
      <c r="B3635" s="25" t="n"/>
      <c r="I3635" s="25" t="n"/>
      <c r="U3635" s="19">
        <f>IF($V3635&lt;&gt;'設定'!$C$4,N(U3634),IF(OR(NOT(COUNTIF('商品マスタ'!$B$6:$B$1005,$W3635)=0),COUNTIFS('①在庫を貼る'!$V$6:$V$10005,$V3635,'①在庫を貼る'!$W$6:$W$10005,$W3635)&gt;0),N(U3634),N(U3634)+1))</f>
        <v/>
      </c>
      <c r="V3635" s="19">
        <f>IF($B3635="","",TEXT($B3635,"0000"))</f>
        <v/>
      </c>
      <c r="W3635" s="19">
        <f>IF($I3635="","",IF(ISNUMBER($I3635),TEXT($I3635,"0"),$I3635))</f>
        <v/>
      </c>
    </row>
    <row r="3636">
      <c r="B3636" s="25" t="n"/>
      <c r="I3636" s="25" t="n"/>
      <c r="U3636" s="19">
        <f>IF($V3636&lt;&gt;'設定'!$C$4,N(U3635),IF(OR(NOT(COUNTIF('商品マスタ'!$B$6:$B$1005,$W3636)=0),COUNTIFS('①在庫を貼る'!$V$6:$V$10005,$V3636,'①在庫を貼る'!$W$6:$W$10005,$W3636)&gt;0),N(U3635),N(U3635)+1))</f>
        <v/>
      </c>
      <c r="V3636" s="19">
        <f>IF($B3636="","",TEXT($B3636,"0000"))</f>
        <v/>
      </c>
      <c r="W3636" s="19">
        <f>IF($I3636="","",IF(ISNUMBER($I3636),TEXT($I3636,"0"),$I3636))</f>
        <v/>
      </c>
    </row>
    <row r="3637">
      <c r="B3637" s="25" t="n"/>
      <c r="I3637" s="25" t="n"/>
      <c r="U3637" s="19">
        <f>IF($V3637&lt;&gt;'設定'!$C$4,N(U3636),IF(OR(NOT(COUNTIF('商品マスタ'!$B$6:$B$1005,$W3637)=0),COUNTIFS('①在庫を貼る'!$V$6:$V$10005,$V3637,'①在庫を貼る'!$W$6:$W$10005,$W3637)&gt;0),N(U3636),N(U3636)+1))</f>
        <v/>
      </c>
      <c r="V3637" s="19">
        <f>IF($B3637="","",TEXT($B3637,"0000"))</f>
        <v/>
      </c>
      <c r="W3637" s="19">
        <f>IF($I3637="","",IF(ISNUMBER($I3637),TEXT($I3637,"0"),$I3637))</f>
        <v/>
      </c>
    </row>
    <row r="3638">
      <c r="B3638" s="25" t="n"/>
      <c r="I3638" s="25" t="n"/>
      <c r="U3638" s="19">
        <f>IF($V3638&lt;&gt;'設定'!$C$4,N(U3637),IF(OR(NOT(COUNTIF('商品マスタ'!$B$6:$B$1005,$W3638)=0),COUNTIFS('①在庫を貼る'!$V$6:$V$10005,$V3638,'①在庫を貼る'!$W$6:$W$10005,$W3638)&gt;0),N(U3637),N(U3637)+1))</f>
        <v/>
      </c>
      <c r="V3638" s="19">
        <f>IF($B3638="","",TEXT($B3638,"0000"))</f>
        <v/>
      </c>
      <c r="W3638" s="19">
        <f>IF($I3638="","",IF(ISNUMBER($I3638),TEXT($I3638,"0"),$I3638))</f>
        <v/>
      </c>
    </row>
    <row r="3639">
      <c r="B3639" s="25" t="n"/>
      <c r="I3639" s="25" t="n"/>
      <c r="U3639" s="19">
        <f>IF($V3639&lt;&gt;'設定'!$C$4,N(U3638),IF(OR(NOT(COUNTIF('商品マスタ'!$B$6:$B$1005,$W3639)=0),COUNTIFS('①在庫を貼る'!$V$6:$V$10005,$V3639,'①在庫を貼る'!$W$6:$W$10005,$W3639)&gt;0),N(U3638),N(U3638)+1))</f>
        <v/>
      </c>
      <c r="V3639" s="19">
        <f>IF($B3639="","",TEXT($B3639,"0000"))</f>
        <v/>
      </c>
      <c r="W3639" s="19">
        <f>IF($I3639="","",IF(ISNUMBER($I3639),TEXT($I3639,"0"),$I3639))</f>
        <v/>
      </c>
    </row>
    <row r="3640">
      <c r="B3640" s="25" t="n"/>
      <c r="I3640" s="25" t="n"/>
      <c r="U3640" s="19">
        <f>IF($V3640&lt;&gt;'設定'!$C$4,N(U3639),IF(OR(NOT(COUNTIF('商品マスタ'!$B$6:$B$1005,$W3640)=0),COUNTIFS('①在庫を貼る'!$V$6:$V$10005,$V3640,'①在庫を貼る'!$W$6:$W$10005,$W3640)&gt;0),N(U3639),N(U3639)+1))</f>
        <v/>
      </c>
      <c r="V3640" s="19">
        <f>IF($B3640="","",TEXT($B3640,"0000"))</f>
        <v/>
      </c>
      <c r="W3640" s="19">
        <f>IF($I3640="","",IF(ISNUMBER($I3640),TEXT($I3640,"0"),$I3640))</f>
        <v/>
      </c>
    </row>
    <row r="3641">
      <c r="B3641" s="25" t="n"/>
      <c r="I3641" s="25" t="n"/>
      <c r="U3641" s="19">
        <f>IF($V3641&lt;&gt;'設定'!$C$4,N(U3640),IF(OR(NOT(COUNTIF('商品マスタ'!$B$6:$B$1005,$W3641)=0),COUNTIFS('①在庫を貼る'!$V$6:$V$10005,$V3641,'①在庫を貼る'!$W$6:$W$10005,$W3641)&gt;0),N(U3640),N(U3640)+1))</f>
        <v/>
      </c>
      <c r="V3641" s="19">
        <f>IF($B3641="","",TEXT($B3641,"0000"))</f>
        <v/>
      </c>
      <c r="W3641" s="19">
        <f>IF($I3641="","",IF(ISNUMBER($I3641),TEXT($I3641,"0"),$I3641))</f>
        <v/>
      </c>
    </row>
    <row r="3642">
      <c r="B3642" s="25" t="n"/>
      <c r="I3642" s="25" t="n"/>
      <c r="U3642" s="19">
        <f>IF($V3642&lt;&gt;'設定'!$C$4,N(U3641),IF(OR(NOT(COUNTIF('商品マスタ'!$B$6:$B$1005,$W3642)=0),COUNTIFS('①在庫を貼る'!$V$6:$V$10005,$V3642,'①在庫を貼る'!$W$6:$W$10005,$W3642)&gt;0),N(U3641),N(U3641)+1))</f>
        <v/>
      </c>
      <c r="V3642" s="19">
        <f>IF($B3642="","",TEXT($B3642,"0000"))</f>
        <v/>
      </c>
      <c r="W3642" s="19">
        <f>IF($I3642="","",IF(ISNUMBER($I3642),TEXT($I3642,"0"),$I3642))</f>
        <v/>
      </c>
    </row>
    <row r="3643">
      <c r="B3643" s="25" t="n"/>
      <c r="I3643" s="25" t="n"/>
      <c r="U3643" s="19">
        <f>IF($V3643&lt;&gt;'設定'!$C$4,N(U3642),IF(OR(NOT(COUNTIF('商品マスタ'!$B$6:$B$1005,$W3643)=0),COUNTIFS('①在庫を貼る'!$V$6:$V$10005,$V3643,'①在庫を貼る'!$W$6:$W$10005,$W3643)&gt;0),N(U3642),N(U3642)+1))</f>
        <v/>
      </c>
      <c r="V3643" s="19">
        <f>IF($B3643="","",TEXT($B3643,"0000"))</f>
        <v/>
      </c>
      <c r="W3643" s="19">
        <f>IF($I3643="","",IF(ISNUMBER($I3643),TEXT($I3643,"0"),$I3643))</f>
        <v/>
      </c>
    </row>
    <row r="3644">
      <c r="B3644" s="25" t="n"/>
      <c r="I3644" s="25" t="n"/>
      <c r="U3644" s="19">
        <f>IF($V3644&lt;&gt;'設定'!$C$4,N(U3643),IF(OR(NOT(COUNTIF('商品マスタ'!$B$6:$B$1005,$W3644)=0),COUNTIFS('①在庫を貼る'!$V$6:$V$10005,$V3644,'①在庫を貼る'!$W$6:$W$10005,$W3644)&gt;0),N(U3643),N(U3643)+1))</f>
        <v/>
      </c>
      <c r="V3644" s="19">
        <f>IF($B3644="","",TEXT($B3644,"0000"))</f>
        <v/>
      </c>
      <c r="W3644" s="19">
        <f>IF($I3644="","",IF(ISNUMBER($I3644),TEXT($I3644,"0"),$I3644))</f>
        <v/>
      </c>
    </row>
    <row r="3645">
      <c r="B3645" s="25" t="n"/>
      <c r="I3645" s="25" t="n"/>
      <c r="U3645" s="19">
        <f>IF($V3645&lt;&gt;'設定'!$C$4,N(U3644),IF(OR(NOT(COUNTIF('商品マスタ'!$B$6:$B$1005,$W3645)=0),COUNTIFS('①在庫を貼る'!$V$6:$V$10005,$V3645,'①在庫を貼る'!$W$6:$W$10005,$W3645)&gt;0),N(U3644),N(U3644)+1))</f>
        <v/>
      </c>
      <c r="V3645" s="19">
        <f>IF($B3645="","",TEXT($B3645,"0000"))</f>
        <v/>
      </c>
      <c r="W3645" s="19">
        <f>IF($I3645="","",IF(ISNUMBER($I3645),TEXT($I3645,"0"),$I3645))</f>
        <v/>
      </c>
    </row>
    <row r="3646">
      <c r="B3646" s="25" t="n"/>
      <c r="I3646" s="25" t="n"/>
      <c r="U3646" s="19">
        <f>IF($V3646&lt;&gt;'設定'!$C$4,N(U3645),IF(OR(NOT(COUNTIF('商品マスタ'!$B$6:$B$1005,$W3646)=0),COUNTIFS('①在庫を貼る'!$V$6:$V$10005,$V3646,'①在庫を貼る'!$W$6:$W$10005,$W3646)&gt;0),N(U3645),N(U3645)+1))</f>
        <v/>
      </c>
      <c r="V3646" s="19">
        <f>IF($B3646="","",TEXT($B3646,"0000"))</f>
        <v/>
      </c>
      <c r="W3646" s="19">
        <f>IF($I3646="","",IF(ISNUMBER($I3646),TEXT($I3646,"0"),$I3646))</f>
        <v/>
      </c>
    </row>
    <row r="3647">
      <c r="B3647" s="25" t="n"/>
      <c r="I3647" s="25" t="n"/>
      <c r="U3647" s="19">
        <f>IF($V3647&lt;&gt;'設定'!$C$4,N(U3646),IF(OR(NOT(COUNTIF('商品マスタ'!$B$6:$B$1005,$W3647)=0),COUNTIFS('①在庫を貼る'!$V$6:$V$10005,$V3647,'①在庫を貼る'!$W$6:$W$10005,$W3647)&gt;0),N(U3646),N(U3646)+1))</f>
        <v/>
      </c>
      <c r="V3647" s="19">
        <f>IF($B3647="","",TEXT($B3647,"0000"))</f>
        <v/>
      </c>
      <c r="W3647" s="19">
        <f>IF($I3647="","",IF(ISNUMBER($I3647),TEXT($I3647,"0"),$I3647))</f>
        <v/>
      </c>
    </row>
    <row r="3648">
      <c r="B3648" s="25" t="n"/>
      <c r="I3648" s="25" t="n"/>
      <c r="U3648" s="19">
        <f>IF($V3648&lt;&gt;'設定'!$C$4,N(U3647),IF(OR(NOT(COUNTIF('商品マスタ'!$B$6:$B$1005,$W3648)=0),COUNTIFS('①在庫を貼る'!$V$6:$V$10005,$V3648,'①在庫を貼る'!$W$6:$W$10005,$W3648)&gt;0),N(U3647),N(U3647)+1))</f>
        <v/>
      </c>
      <c r="V3648" s="19">
        <f>IF($B3648="","",TEXT($B3648,"0000"))</f>
        <v/>
      </c>
      <c r="W3648" s="19">
        <f>IF($I3648="","",IF(ISNUMBER($I3648),TEXT($I3648,"0"),$I3648))</f>
        <v/>
      </c>
    </row>
    <row r="3649">
      <c r="B3649" s="25" t="n"/>
      <c r="I3649" s="25" t="n"/>
      <c r="U3649" s="19">
        <f>IF($V3649&lt;&gt;'設定'!$C$4,N(U3648),IF(OR(NOT(COUNTIF('商品マスタ'!$B$6:$B$1005,$W3649)=0),COUNTIFS('①在庫を貼る'!$V$6:$V$10005,$V3649,'①在庫を貼る'!$W$6:$W$10005,$W3649)&gt;0),N(U3648),N(U3648)+1))</f>
        <v/>
      </c>
      <c r="V3649" s="19">
        <f>IF($B3649="","",TEXT($B3649,"0000"))</f>
        <v/>
      </c>
      <c r="W3649" s="19">
        <f>IF($I3649="","",IF(ISNUMBER($I3649),TEXT($I3649,"0"),$I3649))</f>
        <v/>
      </c>
    </row>
    <row r="3650">
      <c r="B3650" s="25" t="n"/>
      <c r="I3650" s="25" t="n"/>
      <c r="U3650" s="19">
        <f>IF($V3650&lt;&gt;'設定'!$C$4,N(U3649),IF(OR(NOT(COUNTIF('商品マスタ'!$B$6:$B$1005,$W3650)=0),COUNTIFS('①在庫を貼る'!$V$6:$V$10005,$V3650,'①在庫を貼る'!$W$6:$W$10005,$W3650)&gt;0),N(U3649),N(U3649)+1))</f>
        <v/>
      </c>
      <c r="V3650" s="19">
        <f>IF($B3650="","",TEXT($B3650,"0000"))</f>
        <v/>
      </c>
      <c r="W3650" s="19">
        <f>IF($I3650="","",IF(ISNUMBER($I3650),TEXT($I3650,"0"),$I3650))</f>
        <v/>
      </c>
    </row>
    <row r="3651">
      <c r="B3651" s="25" t="n"/>
      <c r="I3651" s="25" t="n"/>
      <c r="U3651" s="19">
        <f>IF($V3651&lt;&gt;'設定'!$C$4,N(U3650),IF(OR(NOT(COUNTIF('商品マスタ'!$B$6:$B$1005,$W3651)=0),COUNTIFS('①在庫を貼る'!$V$6:$V$10005,$V3651,'①在庫を貼る'!$W$6:$W$10005,$W3651)&gt;0),N(U3650),N(U3650)+1))</f>
        <v/>
      </c>
      <c r="V3651" s="19">
        <f>IF($B3651="","",TEXT($B3651,"0000"))</f>
        <v/>
      </c>
      <c r="W3651" s="19">
        <f>IF($I3651="","",IF(ISNUMBER($I3651),TEXT($I3651,"0"),$I3651))</f>
        <v/>
      </c>
    </row>
    <row r="3652">
      <c r="B3652" s="25" t="n"/>
      <c r="I3652" s="25" t="n"/>
      <c r="U3652" s="19">
        <f>IF($V3652&lt;&gt;'設定'!$C$4,N(U3651),IF(OR(NOT(COUNTIF('商品マスタ'!$B$6:$B$1005,$W3652)=0),COUNTIFS('①在庫を貼る'!$V$6:$V$10005,$V3652,'①在庫を貼る'!$W$6:$W$10005,$W3652)&gt;0),N(U3651),N(U3651)+1))</f>
        <v/>
      </c>
      <c r="V3652" s="19">
        <f>IF($B3652="","",TEXT($B3652,"0000"))</f>
        <v/>
      </c>
      <c r="W3652" s="19">
        <f>IF($I3652="","",IF(ISNUMBER($I3652),TEXT($I3652,"0"),$I3652))</f>
        <v/>
      </c>
    </row>
    <row r="3653">
      <c r="B3653" s="25" t="n"/>
      <c r="I3653" s="25" t="n"/>
      <c r="U3653" s="19">
        <f>IF($V3653&lt;&gt;'設定'!$C$4,N(U3652),IF(OR(NOT(COUNTIF('商品マスタ'!$B$6:$B$1005,$W3653)=0),COUNTIFS('①在庫を貼る'!$V$6:$V$10005,$V3653,'①在庫を貼る'!$W$6:$W$10005,$W3653)&gt;0),N(U3652),N(U3652)+1))</f>
        <v/>
      </c>
      <c r="V3653" s="19">
        <f>IF($B3653="","",TEXT($B3653,"0000"))</f>
        <v/>
      </c>
      <c r="W3653" s="19">
        <f>IF($I3653="","",IF(ISNUMBER($I3653),TEXT($I3653,"0"),$I3653))</f>
        <v/>
      </c>
    </row>
    <row r="3654">
      <c r="B3654" s="25" t="n"/>
      <c r="I3654" s="25" t="n"/>
      <c r="U3654" s="19">
        <f>IF($V3654&lt;&gt;'設定'!$C$4,N(U3653),IF(OR(NOT(COUNTIF('商品マスタ'!$B$6:$B$1005,$W3654)=0),COUNTIFS('①在庫を貼る'!$V$6:$V$10005,$V3654,'①在庫を貼る'!$W$6:$W$10005,$W3654)&gt;0),N(U3653),N(U3653)+1))</f>
        <v/>
      </c>
      <c r="V3654" s="19">
        <f>IF($B3654="","",TEXT($B3654,"0000"))</f>
        <v/>
      </c>
      <c r="W3654" s="19">
        <f>IF($I3654="","",IF(ISNUMBER($I3654),TEXT($I3654,"0"),$I3654))</f>
        <v/>
      </c>
    </row>
    <row r="3655">
      <c r="B3655" s="25" t="n"/>
      <c r="I3655" s="25" t="n"/>
      <c r="U3655" s="19">
        <f>IF($V3655&lt;&gt;'設定'!$C$4,N(U3654),IF(OR(NOT(COUNTIF('商品マスタ'!$B$6:$B$1005,$W3655)=0),COUNTIFS('①在庫を貼る'!$V$6:$V$10005,$V3655,'①在庫を貼る'!$W$6:$W$10005,$W3655)&gt;0),N(U3654),N(U3654)+1))</f>
        <v/>
      </c>
      <c r="V3655" s="19">
        <f>IF($B3655="","",TEXT($B3655,"0000"))</f>
        <v/>
      </c>
      <c r="W3655" s="19">
        <f>IF($I3655="","",IF(ISNUMBER($I3655),TEXT($I3655,"0"),$I3655))</f>
        <v/>
      </c>
    </row>
    <row r="3656">
      <c r="B3656" s="25" t="n"/>
      <c r="I3656" s="25" t="n"/>
      <c r="U3656" s="19">
        <f>IF($V3656&lt;&gt;'設定'!$C$4,N(U3655),IF(OR(NOT(COUNTIF('商品マスタ'!$B$6:$B$1005,$W3656)=0),COUNTIFS('①在庫を貼る'!$V$6:$V$10005,$V3656,'①在庫を貼る'!$W$6:$W$10005,$W3656)&gt;0),N(U3655),N(U3655)+1))</f>
        <v/>
      </c>
      <c r="V3656" s="19">
        <f>IF($B3656="","",TEXT($B3656,"0000"))</f>
        <v/>
      </c>
      <c r="W3656" s="19">
        <f>IF($I3656="","",IF(ISNUMBER($I3656),TEXT($I3656,"0"),$I3656))</f>
        <v/>
      </c>
    </row>
    <row r="3657">
      <c r="B3657" s="25" t="n"/>
      <c r="I3657" s="25" t="n"/>
      <c r="U3657" s="19">
        <f>IF($V3657&lt;&gt;'設定'!$C$4,N(U3656),IF(OR(NOT(COUNTIF('商品マスタ'!$B$6:$B$1005,$W3657)=0),COUNTIFS('①在庫を貼る'!$V$6:$V$10005,$V3657,'①在庫を貼る'!$W$6:$W$10005,$W3657)&gt;0),N(U3656),N(U3656)+1))</f>
        <v/>
      </c>
      <c r="V3657" s="19">
        <f>IF($B3657="","",TEXT($B3657,"0000"))</f>
        <v/>
      </c>
      <c r="W3657" s="19">
        <f>IF($I3657="","",IF(ISNUMBER($I3657),TEXT($I3657,"0"),$I3657))</f>
        <v/>
      </c>
    </row>
    <row r="3658">
      <c r="B3658" s="25" t="n"/>
      <c r="I3658" s="25" t="n"/>
      <c r="U3658" s="19">
        <f>IF($V3658&lt;&gt;'設定'!$C$4,N(U3657),IF(OR(NOT(COUNTIF('商品マスタ'!$B$6:$B$1005,$W3658)=0),COUNTIFS('①在庫を貼る'!$V$6:$V$10005,$V3658,'①在庫を貼る'!$W$6:$W$10005,$W3658)&gt;0),N(U3657),N(U3657)+1))</f>
        <v/>
      </c>
      <c r="V3658" s="19">
        <f>IF($B3658="","",TEXT($B3658,"0000"))</f>
        <v/>
      </c>
      <c r="W3658" s="19">
        <f>IF($I3658="","",IF(ISNUMBER($I3658),TEXT($I3658,"0"),$I3658))</f>
        <v/>
      </c>
    </row>
    <row r="3659">
      <c r="B3659" s="25" t="n"/>
      <c r="I3659" s="25" t="n"/>
      <c r="U3659" s="19">
        <f>IF($V3659&lt;&gt;'設定'!$C$4,N(U3658),IF(OR(NOT(COUNTIF('商品マスタ'!$B$6:$B$1005,$W3659)=0),COUNTIFS('①在庫を貼る'!$V$6:$V$10005,$V3659,'①在庫を貼る'!$W$6:$W$10005,$W3659)&gt;0),N(U3658),N(U3658)+1))</f>
        <v/>
      </c>
      <c r="V3659" s="19">
        <f>IF($B3659="","",TEXT($B3659,"0000"))</f>
        <v/>
      </c>
      <c r="W3659" s="19">
        <f>IF($I3659="","",IF(ISNUMBER($I3659),TEXT($I3659,"0"),$I3659))</f>
        <v/>
      </c>
    </row>
    <row r="3660">
      <c r="B3660" s="25" t="n"/>
      <c r="I3660" s="25" t="n"/>
      <c r="U3660" s="19">
        <f>IF($V3660&lt;&gt;'設定'!$C$4,N(U3659),IF(OR(NOT(COUNTIF('商品マスタ'!$B$6:$B$1005,$W3660)=0),COUNTIFS('①在庫を貼る'!$V$6:$V$10005,$V3660,'①在庫を貼る'!$W$6:$W$10005,$W3660)&gt;0),N(U3659),N(U3659)+1))</f>
        <v/>
      </c>
      <c r="V3660" s="19">
        <f>IF($B3660="","",TEXT($B3660,"0000"))</f>
        <v/>
      </c>
      <c r="W3660" s="19">
        <f>IF($I3660="","",IF(ISNUMBER($I3660),TEXT($I3660,"0"),$I3660))</f>
        <v/>
      </c>
    </row>
    <row r="3661">
      <c r="B3661" s="25" t="n"/>
      <c r="I3661" s="25" t="n"/>
      <c r="U3661" s="19">
        <f>IF($V3661&lt;&gt;'設定'!$C$4,N(U3660),IF(OR(NOT(COUNTIF('商品マスタ'!$B$6:$B$1005,$W3661)=0),COUNTIFS('①在庫を貼る'!$V$6:$V$10005,$V3661,'①在庫を貼る'!$W$6:$W$10005,$W3661)&gt;0),N(U3660),N(U3660)+1))</f>
        <v/>
      </c>
      <c r="V3661" s="19">
        <f>IF($B3661="","",TEXT($B3661,"0000"))</f>
        <v/>
      </c>
      <c r="W3661" s="19">
        <f>IF($I3661="","",IF(ISNUMBER($I3661),TEXT($I3661,"0"),$I3661))</f>
        <v/>
      </c>
    </row>
    <row r="3662">
      <c r="B3662" s="25" t="n"/>
      <c r="I3662" s="25" t="n"/>
      <c r="U3662" s="19">
        <f>IF($V3662&lt;&gt;'設定'!$C$4,N(U3661),IF(OR(NOT(COUNTIF('商品マスタ'!$B$6:$B$1005,$W3662)=0),COUNTIFS('①在庫を貼る'!$V$6:$V$10005,$V3662,'①在庫を貼る'!$W$6:$W$10005,$W3662)&gt;0),N(U3661),N(U3661)+1))</f>
        <v/>
      </c>
      <c r="V3662" s="19">
        <f>IF($B3662="","",TEXT($B3662,"0000"))</f>
        <v/>
      </c>
      <c r="W3662" s="19">
        <f>IF($I3662="","",IF(ISNUMBER($I3662),TEXT($I3662,"0"),$I3662))</f>
        <v/>
      </c>
    </row>
    <row r="3663">
      <c r="B3663" s="25" t="n"/>
      <c r="I3663" s="25" t="n"/>
      <c r="U3663" s="19">
        <f>IF($V3663&lt;&gt;'設定'!$C$4,N(U3662),IF(OR(NOT(COUNTIF('商品マスタ'!$B$6:$B$1005,$W3663)=0),COUNTIFS('①在庫を貼る'!$V$6:$V$10005,$V3663,'①在庫を貼る'!$W$6:$W$10005,$W3663)&gt;0),N(U3662),N(U3662)+1))</f>
        <v/>
      </c>
      <c r="V3663" s="19">
        <f>IF($B3663="","",TEXT($B3663,"0000"))</f>
        <v/>
      </c>
      <c r="W3663" s="19">
        <f>IF($I3663="","",IF(ISNUMBER($I3663),TEXT($I3663,"0"),$I3663))</f>
        <v/>
      </c>
    </row>
    <row r="3664">
      <c r="B3664" s="25" t="n"/>
      <c r="I3664" s="25" t="n"/>
      <c r="U3664" s="19">
        <f>IF($V3664&lt;&gt;'設定'!$C$4,N(U3663),IF(OR(NOT(COUNTIF('商品マスタ'!$B$6:$B$1005,$W3664)=0),COUNTIFS('①在庫を貼る'!$V$6:$V$10005,$V3664,'①在庫を貼る'!$W$6:$W$10005,$W3664)&gt;0),N(U3663),N(U3663)+1))</f>
        <v/>
      </c>
      <c r="V3664" s="19">
        <f>IF($B3664="","",TEXT($B3664,"0000"))</f>
        <v/>
      </c>
      <c r="W3664" s="19">
        <f>IF($I3664="","",IF(ISNUMBER($I3664),TEXT($I3664,"0"),$I3664))</f>
        <v/>
      </c>
    </row>
    <row r="3665">
      <c r="B3665" s="25" t="n"/>
      <c r="I3665" s="25" t="n"/>
      <c r="U3665" s="19">
        <f>IF($V3665&lt;&gt;'設定'!$C$4,N(U3664),IF(OR(NOT(COUNTIF('商品マスタ'!$B$6:$B$1005,$W3665)=0),COUNTIFS('①在庫を貼る'!$V$6:$V$10005,$V3665,'①在庫を貼る'!$W$6:$W$10005,$W3665)&gt;0),N(U3664),N(U3664)+1))</f>
        <v/>
      </c>
      <c r="V3665" s="19">
        <f>IF($B3665="","",TEXT($B3665,"0000"))</f>
        <v/>
      </c>
      <c r="W3665" s="19">
        <f>IF($I3665="","",IF(ISNUMBER($I3665),TEXT($I3665,"0"),$I3665))</f>
        <v/>
      </c>
    </row>
    <row r="3666">
      <c r="B3666" s="25" t="n"/>
      <c r="I3666" s="25" t="n"/>
      <c r="U3666" s="19">
        <f>IF($V3666&lt;&gt;'設定'!$C$4,N(U3665),IF(OR(NOT(COUNTIF('商品マスタ'!$B$6:$B$1005,$W3666)=0),COUNTIFS('①在庫を貼る'!$V$6:$V$10005,$V3666,'①在庫を貼る'!$W$6:$W$10005,$W3666)&gt;0),N(U3665),N(U3665)+1))</f>
        <v/>
      </c>
      <c r="V3666" s="19">
        <f>IF($B3666="","",TEXT($B3666,"0000"))</f>
        <v/>
      </c>
      <c r="W3666" s="19">
        <f>IF($I3666="","",IF(ISNUMBER($I3666),TEXT($I3666,"0"),$I3666))</f>
        <v/>
      </c>
    </row>
    <row r="3667">
      <c r="B3667" s="25" t="n"/>
      <c r="I3667" s="25" t="n"/>
      <c r="U3667" s="19">
        <f>IF($V3667&lt;&gt;'設定'!$C$4,N(U3666),IF(OR(NOT(COUNTIF('商品マスタ'!$B$6:$B$1005,$W3667)=0),COUNTIFS('①在庫を貼る'!$V$6:$V$10005,$V3667,'①在庫を貼る'!$W$6:$W$10005,$W3667)&gt;0),N(U3666),N(U3666)+1))</f>
        <v/>
      </c>
      <c r="V3667" s="19">
        <f>IF($B3667="","",TEXT($B3667,"0000"))</f>
        <v/>
      </c>
      <c r="W3667" s="19">
        <f>IF($I3667="","",IF(ISNUMBER($I3667),TEXT($I3667,"0"),$I3667))</f>
        <v/>
      </c>
    </row>
    <row r="3668">
      <c r="B3668" s="25" t="n"/>
      <c r="I3668" s="25" t="n"/>
      <c r="U3668" s="19">
        <f>IF($V3668&lt;&gt;'設定'!$C$4,N(U3667),IF(OR(NOT(COUNTIF('商品マスタ'!$B$6:$B$1005,$W3668)=0),COUNTIFS('①在庫を貼る'!$V$6:$V$10005,$V3668,'①在庫を貼る'!$W$6:$W$10005,$W3668)&gt;0),N(U3667),N(U3667)+1))</f>
        <v/>
      </c>
      <c r="V3668" s="19">
        <f>IF($B3668="","",TEXT($B3668,"0000"))</f>
        <v/>
      </c>
      <c r="W3668" s="19">
        <f>IF($I3668="","",IF(ISNUMBER($I3668),TEXT($I3668,"0"),$I3668))</f>
        <v/>
      </c>
    </row>
    <row r="3669">
      <c r="B3669" s="25" t="n"/>
      <c r="I3669" s="25" t="n"/>
      <c r="U3669" s="19">
        <f>IF($V3669&lt;&gt;'設定'!$C$4,N(U3668),IF(OR(NOT(COUNTIF('商品マスタ'!$B$6:$B$1005,$W3669)=0),COUNTIFS('①在庫を貼る'!$V$6:$V$10005,$V3669,'①在庫を貼る'!$W$6:$W$10005,$W3669)&gt;0),N(U3668),N(U3668)+1))</f>
        <v/>
      </c>
      <c r="V3669" s="19">
        <f>IF($B3669="","",TEXT($B3669,"0000"))</f>
        <v/>
      </c>
      <c r="W3669" s="19">
        <f>IF($I3669="","",IF(ISNUMBER($I3669),TEXT($I3669,"0"),$I3669))</f>
        <v/>
      </c>
    </row>
    <row r="3670">
      <c r="B3670" s="25" t="n"/>
      <c r="I3670" s="25" t="n"/>
      <c r="U3670" s="19">
        <f>IF($V3670&lt;&gt;'設定'!$C$4,N(U3669),IF(OR(NOT(COUNTIF('商品マスタ'!$B$6:$B$1005,$W3670)=0),COUNTIFS('①在庫を貼る'!$V$6:$V$10005,$V3670,'①在庫を貼る'!$W$6:$W$10005,$W3670)&gt;0),N(U3669),N(U3669)+1))</f>
        <v/>
      </c>
      <c r="V3670" s="19">
        <f>IF($B3670="","",TEXT($B3670,"0000"))</f>
        <v/>
      </c>
      <c r="W3670" s="19">
        <f>IF($I3670="","",IF(ISNUMBER($I3670),TEXT($I3670,"0"),$I3670))</f>
        <v/>
      </c>
    </row>
    <row r="3671">
      <c r="B3671" s="25" t="n"/>
      <c r="I3671" s="25" t="n"/>
      <c r="U3671" s="19">
        <f>IF($V3671&lt;&gt;'設定'!$C$4,N(U3670),IF(OR(NOT(COUNTIF('商品マスタ'!$B$6:$B$1005,$W3671)=0),COUNTIFS('①在庫を貼る'!$V$6:$V$10005,$V3671,'①在庫を貼る'!$W$6:$W$10005,$W3671)&gt;0),N(U3670),N(U3670)+1))</f>
        <v/>
      </c>
      <c r="V3671" s="19">
        <f>IF($B3671="","",TEXT($B3671,"0000"))</f>
        <v/>
      </c>
      <c r="W3671" s="19">
        <f>IF($I3671="","",IF(ISNUMBER($I3671),TEXT($I3671,"0"),$I3671))</f>
        <v/>
      </c>
    </row>
    <row r="3672">
      <c r="B3672" s="25" t="n"/>
      <c r="I3672" s="25" t="n"/>
      <c r="U3672" s="19">
        <f>IF($V3672&lt;&gt;'設定'!$C$4,N(U3671),IF(OR(NOT(COUNTIF('商品マスタ'!$B$6:$B$1005,$W3672)=0),COUNTIFS('①在庫を貼る'!$V$6:$V$10005,$V3672,'①在庫を貼る'!$W$6:$W$10005,$W3672)&gt;0),N(U3671),N(U3671)+1))</f>
        <v/>
      </c>
      <c r="V3672" s="19">
        <f>IF($B3672="","",TEXT($B3672,"0000"))</f>
        <v/>
      </c>
      <c r="W3672" s="19">
        <f>IF($I3672="","",IF(ISNUMBER($I3672),TEXT($I3672,"0"),$I3672))</f>
        <v/>
      </c>
    </row>
    <row r="3673">
      <c r="B3673" s="25" t="n"/>
      <c r="I3673" s="25" t="n"/>
      <c r="U3673" s="19">
        <f>IF($V3673&lt;&gt;'設定'!$C$4,N(U3672),IF(OR(NOT(COUNTIF('商品マスタ'!$B$6:$B$1005,$W3673)=0),COUNTIFS('①在庫を貼る'!$V$6:$V$10005,$V3673,'①在庫を貼る'!$W$6:$W$10005,$W3673)&gt;0),N(U3672),N(U3672)+1))</f>
        <v/>
      </c>
      <c r="V3673" s="19">
        <f>IF($B3673="","",TEXT($B3673,"0000"))</f>
        <v/>
      </c>
      <c r="W3673" s="19">
        <f>IF($I3673="","",IF(ISNUMBER($I3673),TEXT($I3673,"0"),$I3673))</f>
        <v/>
      </c>
    </row>
    <row r="3674">
      <c r="B3674" s="25" t="n"/>
      <c r="I3674" s="25" t="n"/>
      <c r="U3674" s="19">
        <f>IF($V3674&lt;&gt;'設定'!$C$4,N(U3673),IF(OR(NOT(COUNTIF('商品マスタ'!$B$6:$B$1005,$W3674)=0),COUNTIFS('①在庫を貼る'!$V$6:$V$10005,$V3674,'①在庫を貼る'!$W$6:$W$10005,$W3674)&gt;0),N(U3673),N(U3673)+1))</f>
        <v/>
      </c>
      <c r="V3674" s="19">
        <f>IF($B3674="","",TEXT($B3674,"0000"))</f>
        <v/>
      </c>
      <c r="W3674" s="19">
        <f>IF($I3674="","",IF(ISNUMBER($I3674),TEXT($I3674,"0"),$I3674))</f>
        <v/>
      </c>
    </row>
    <row r="3675">
      <c r="B3675" s="25" t="n"/>
      <c r="I3675" s="25" t="n"/>
      <c r="U3675" s="19">
        <f>IF($V3675&lt;&gt;'設定'!$C$4,N(U3674),IF(OR(NOT(COUNTIF('商品マスタ'!$B$6:$B$1005,$W3675)=0),COUNTIFS('①在庫を貼る'!$V$6:$V$10005,$V3675,'①在庫を貼る'!$W$6:$W$10005,$W3675)&gt;0),N(U3674),N(U3674)+1))</f>
        <v/>
      </c>
      <c r="V3675" s="19">
        <f>IF($B3675="","",TEXT($B3675,"0000"))</f>
        <v/>
      </c>
      <c r="W3675" s="19">
        <f>IF($I3675="","",IF(ISNUMBER($I3675),TEXT($I3675,"0"),$I3675))</f>
        <v/>
      </c>
    </row>
    <row r="3676">
      <c r="B3676" s="25" t="n"/>
      <c r="I3676" s="25" t="n"/>
      <c r="U3676" s="19">
        <f>IF($V3676&lt;&gt;'設定'!$C$4,N(U3675),IF(OR(NOT(COUNTIF('商品マスタ'!$B$6:$B$1005,$W3676)=0),COUNTIFS('①在庫を貼る'!$V$6:$V$10005,$V3676,'①在庫を貼る'!$W$6:$W$10005,$W3676)&gt;0),N(U3675),N(U3675)+1))</f>
        <v/>
      </c>
      <c r="V3676" s="19">
        <f>IF($B3676="","",TEXT($B3676,"0000"))</f>
        <v/>
      </c>
      <c r="W3676" s="19">
        <f>IF($I3676="","",IF(ISNUMBER($I3676),TEXT($I3676,"0"),$I3676))</f>
        <v/>
      </c>
    </row>
    <row r="3677">
      <c r="B3677" s="25" t="n"/>
      <c r="I3677" s="25" t="n"/>
      <c r="U3677" s="19">
        <f>IF($V3677&lt;&gt;'設定'!$C$4,N(U3676),IF(OR(NOT(COUNTIF('商品マスタ'!$B$6:$B$1005,$W3677)=0),COUNTIFS('①在庫を貼る'!$V$6:$V$10005,$V3677,'①在庫を貼る'!$W$6:$W$10005,$W3677)&gt;0),N(U3676),N(U3676)+1))</f>
        <v/>
      </c>
      <c r="V3677" s="19">
        <f>IF($B3677="","",TEXT($B3677,"0000"))</f>
        <v/>
      </c>
      <c r="W3677" s="19">
        <f>IF($I3677="","",IF(ISNUMBER($I3677),TEXT($I3677,"0"),$I3677))</f>
        <v/>
      </c>
    </row>
    <row r="3678">
      <c r="B3678" s="25" t="n"/>
      <c r="I3678" s="25" t="n"/>
      <c r="U3678" s="19">
        <f>IF($V3678&lt;&gt;'設定'!$C$4,N(U3677),IF(OR(NOT(COUNTIF('商品マスタ'!$B$6:$B$1005,$W3678)=0),COUNTIFS('①在庫を貼る'!$V$6:$V$10005,$V3678,'①在庫を貼る'!$W$6:$W$10005,$W3678)&gt;0),N(U3677),N(U3677)+1))</f>
        <v/>
      </c>
      <c r="V3678" s="19">
        <f>IF($B3678="","",TEXT($B3678,"0000"))</f>
        <v/>
      </c>
      <c r="W3678" s="19">
        <f>IF($I3678="","",IF(ISNUMBER($I3678),TEXT($I3678,"0"),$I3678))</f>
        <v/>
      </c>
    </row>
    <row r="3679">
      <c r="B3679" s="25" t="n"/>
      <c r="I3679" s="25" t="n"/>
      <c r="U3679" s="19">
        <f>IF($V3679&lt;&gt;'設定'!$C$4,N(U3678),IF(OR(NOT(COUNTIF('商品マスタ'!$B$6:$B$1005,$W3679)=0),COUNTIFS('①在庫を貼る'!$V$6:$V$10005,$V3679,'①在庫を貼る'!$W$6:$W$10005,$W3679)&gt;0),N(U3678),N(U3678)+1))</f>
        <v/>
      </c>
      <c r="V3679" s="19">
        <f>IF($B3679="","",TEXT($B3679,"0000"))</f>
        <v/>
      </c>
      <c r="W3679" s="19">
        <f>IF($I3679="","",IF(ISNUMBER($I3679),TEXT($I3679,"0"),$I3679))</f>
        <v/>
      </c>
    </row>
    <row r="3680">
      <c r="B3680" s="25" t="n"/>
      <c r="I3680" s="25" t="n"/>
      <c r="U3680" s="19">
        <f>IF($V3680&lt;&gt;'設定'!$C$4,N(U3679),IF(OR(NOT(COUNTIF('商品マスタ'!$B$6:$B$1005,$W3680)=0),COUNTIFS('①在庫を貼る'!$V$6:$V$10005,$V3680,'①在庫を貼る'!$W$6:$W$10005,$W3680)&gt;0),N(U3679),N(U3679)+1))</f>
        <v/>
      </c>
      <c r="V3680" s="19">
        <f>IF($B3680="","",TEXT($B3680,"0000"))</f>
        <v/>
      </c>
      <c r="W3680" s="19">
        <f>IF($I3680="","",IF(ISNUMBER($I3680),TEXT($I3680,"0"),$I3680))</f>
        <v/>
      </c>
    </row>
    <row r="3681">
      <c r="B3681" s="25" t="n"/>
      <c r="I3681" s="25" t="n"/>
      <c r="U3681" s="19">
        <f>IF($V3681&lt;&gt;'設定'!$C$4,N(U3680),IF(OR(NOT(COUNTIF('商品マスタ'!$B$6:$B$1005,$W3681)=0),COUNTIFS('①在庫を貼る'!$V$6:$V$10005,$V3681,'①在庫を貼る'!$W$6:$W$10005,$W3681)&gt;0),N(U3680),N(U3680)+1))</f>
        <v/>
      </c>
      <c r="V3681" s="19">
        <f>IF($B3681="","",TEXT($B3681,"0000"))</f>
        <v/>
      </c>
      <c r="W3681" s="19">
        <f>IF($I3681="","",IF(ISNUMBER($I3681),TEXT($I3681,"0"),$I3681))</f>
        <v/>
      </c>
    </row>
    <row r="3682">
      <c r="B3682" s="25" t="n"/>
      <c r="I3682" s="25" t="n"/>
      <c r="U3682" s="19">
        <f>IF($V3682&lt;&gt;'設定'!$C$4,N(U3681),IF(OR(NOT(COUNTIF('商品マスタ'!$B$6:$B$1005,$W3682)=0),COUNTIFS('①在庫を貼る'!$V$6:$V$10005,$V3682,'①在庫を貼る'!$W$6:$W$10005,$W3682)&gt;0),N(U3681),N(U3681)+1))</f>
        <v/>
      </c>
      <c r="V3682" s="19">
        <f>IF($B3682="","",TEXT($B3682,"0000"))</f>
        <v/>
      </c>
      <c r="W3682" s="19">
        <f>IF($I3682="","",IF(ISNUMBER($I3682),TEXT($I3682,"0"),$I3682))</f>
        <v/>
      </c>
    </row>
    <row r="3683">
      <c r="B3683" s="25" t="n"/>
      <c r="I3683" s="25" t="n"/>
      <c r="U3683" s="19">
        <f>IF($V3683&lt;&gt;'設定'!$C$4,N(U3682),IF(OR(NOT(COUNTIF('商品マスタ'!$B$6:$B$1005,$W3683)=0),COUNTIFS('①在庫を貼る'!$V$6:$V$10005,$V3683,'①在庫を貼る'!$W$6:$W$10005,$W3683)&gt;0),N(U3682),N(U3682)+1))</f>
        <v/>
      </c>
      <c r="V3683" s="19">
        <f>IF($B3683="","",TEXT($B3683,"0000"))</f>
        <v/>
      </c>
      <c r="W3683" s="19">
        <f>IF($I3683="","",IF(ISNUMBER($I3683),TEXT($I3683,"0"),$I3683))</f>
        <v/>
      </c>
    </row>
    <row r="3684">
      <c r="B3684" s="25" t="n"/>
      <c r="I3684" s="25" t="n"/>
      <c r="U3684" s="19">
        <f>IF($V3684&lt;&gt;'設定'!$C$4,N(U3683),IF(OR(NOT(COUNTIF('商品マスタ'!$B$6:$B$1005,$W3684)=0),COUNTIFS('①在庫を貼る'!$V$6:$V$10005,$V3684,'①在庫を貼る'!$W$6:$W$10005,$W3684)&gt;0),N(U3683),N(U3683)+1))</f>
        <v/>
      </c>
      <c r="V3684" s="19">
        <f>IF($B3684="","",TEXT($B3684,"0000"))</f>
        <v/>
      </c>
      <c r="W3684" s="19">
        <f>IF($I3684="","",IF(ISNUMBER($I3684),TEXT($I3684,"0"),$I3684))</f>
        <v/>
      </c>
    </row>
    <row r="3685">
      <c r="B3685" s="25" t="n"/>
      <c r="I3685" s="25" t="n"/>
      <c r="U3685" s="19">
        <f>IF($V3685&lt;&gt;'設定'!$C$4,N(U3684),IF(OR(NOT(COUNTIF('商品マスタ'!$B$6:$B$1005,$W3685)=0),COUNTIFS('①在庫を貼る'!$V$6:$V$10005,$V3685,'①在庫を貼る'!$W$6:$W$10005,$W3685)&gt;0),N(U3684),N(U3684)+1))</f>
        <v/>
      </c>
      <c r="V3685" s="19">
        <f>IF($B3685="","",TEXT($B3685,"0000"))</f>
        <v/>
      </c>
      <c r="W3685" s="19">
        <f>IF($I3685="","",IF(ISNUMBER($I3685),TEXT($I3685,"0"),$I3685))</f>
        <v/>
      </c>
    </row>
    <row r="3686">
      <c r="B3686" s="25" t="n"/>
      <c r="I3686" s="25" t="n"/>
      <c r="U3686" s="19">
        <f>IF($V3686&lt;&gt;'設定'!$C$4,N(U3685),IF(OR(NOT(COUNTIF('商品マスタ'!$B$6:$B$1005,$W3686)=0),COUNTIFS('①在庫を貼る'!$V$6:$V$10005,$V3686,'①在庫を貼る'!$W$6:$W$10005,$W3686)&gt;0),N(U3685),N(U3685)+1))</f>
        <v/>
      </c>
      <c r="V3686" s="19">
        <f>IF($B3686="","",TEXT($B3686,"0000"))</f>
        <v/>
      </c>
      <c r="W3686" s="19">
        <f>IF($I3686="","",IF(ISNUMBER($I3686),TEXT($I3686,"0"),$I3686))</f>
        <v/>
      </c>
    </row>
    <row r="3687">
      <c r="B3687" s="25" t="n"/>
      <c r="I3687" s="25" t="n"/>
      <c r="U3687" s="19">
        <f>IF($V3687&lt;&gt;'設定'!$C$4,N(U3686),IF(OR(NOT(COUNTIF('商品マスタ'!$B$6:$B$1005,$W3687)=0),COUNTIFS('①在庫を貼る'!$V$6:$V$10005,$V3687,'①在庫を貼る'!$W$6:$W$10005,$W3687)&gt;0),N(U3686),N(U3686)+1))</f>
        <v/>
      </c>
      <c r="V3687" s="19">
        <f>IF($B3687="","",TEXT($B3687,"0000"))</f>
        <v/>
      </c>
      <c r="W3687" s="19">
        <f>IF($I3687="","",IF(ISNUMBER($I3687),TEXT($I3687,"0"),$I3687))</f>
        <v/>
      </c>
    </row>
    <row r="3688">
      <c r="B3688" s="25" t="n"/>
      <c r="I3688" s="25" t="n"/>
      <c r="U3688" s="19">
        <f>IF($V3688&lt;&gt;'設定'!$C$4,N(U3687),IF(OR(NOT(COUNTIF('商品マスタ'!$B$6:$B$1005,$W3688)=0),COUNTIFS('①在庫を貼る'!$V$6:$V$10005,$V3688,'①在庫を貼る'!$W$6:$W$10005,$W3688)&gt;0),N(U3687),N(U3687)+1))</f>
        <v/>
      </c>
      <c r="V3688" s="19">
        <f>IF($B3688="","",TEXT($B3688,"0000"))</f>
        <v/>
      </c>
      <c r="W3688" s="19">
        <f>IF($I3688="","",IF(ISNUMBER($I3688),TEXT($I3688,"0"),$I3688))</f>
        <v/>
      </c>
    </row>
    <row r="3689">
      <c r="B3689" s="25" t="n"/>
      <c r="I3689" s="25" t="n"/>
      <c r="U3689" s="19">
        <f>IF($V3689&lt;&gt;'設定'!$C$4,N(U3688),IF(OR(NOT(COUNTIF('商品マスタ'!$B$6:$B$1005,$W3689)=0),COUNTIFS('①在庫を貼る'!$V$6:$V$10005,$V3689,'①在庫を貼る'!$W$6:$W$10005,$W3689)&gt;0),N(U3688),N(U3688)+1))</f>
        <v/>
      </c>
      <c r="V3689" s="19">
        <f>IF($B3689="","",TEXT($B3689,"0000"))</f>
        <v/>
      </c>
      <c r="W3689" s="19">
        <f>IF($I3689="","",IF(ISNUMBER($I3689),TEXT($I3689,"0"),$I3689))</f>
        <v/>
      </c>
    </row>
    <row r="3690">
      <c r="B3690" s="25" t="n"/>
      <c r="I3690" s="25" t="n"/>
      <c r="U3690" s="19">
        <f>IF($V3690&lt;&gt;'設定'!$C$4,N(U3689),IF(OR(NOT(COUNTIF('商品マスタ'!$B$6:$B$1005,$W3690)=0),COUNTIFS('①在庫を貼る'!$V$6:$V$10005,$V3690,'①在庫を貼る'!$W$6:$W$10005,$W3690)&gt;0),N(U3689),N(U3689)+1))</f>
        <v/>
      </c>
      <c r="V3690" s="19">
        <f>IF($B3690="","",TEXT($B3690,"0000"))</f>
        <v/>
      </c>
      <c r="W3690" s="19">
        <f>IF($I3690="","",IF(ISNUMBER($I3690),TEXT($I3690,"0"),$I3690))</f>
        <v/>
      </c>
    </row>
    <row r="3691">
      <c r="B3691" s="25" t="n"/>
      <c r="I3691" s="25" t="n"/>
      <c r="U3691" s="19">
        <f>IF($V3691&lt;&gt;'設定'!$C$4,N(U3690),IF(OR(NOT(COUNTIF('商品マスタ'!$B$6:$B$1005,$W3691)=0),COUNTIFS('①在庫を貼る'!$V$6:$V$10005,$V3691,'①在庫を貼る'!$W$6:$W$10005,$W3691)&gt;0),N(U3690),N(U3690)+1))</f>
        <v/>
      </c>
      <c r="V3691" s="19">
        <f>IF($B3691="","",TEXT($B3691,"0000"))</f>
        <v/>
      </c>
      <c r="W3691" s="19">
        <f>IF($I3691="","",IF(ISNUMBER($I3691),TEXT($I3691,"0"),$I3691))</f>
        <v/>
      </c>
    </row>
    <row r="3692">
      <c r="B3692" s="25" t="n"/>
      <c r="I3692" s="25" t="n"/>
      <c r="U3692" s="19">
        <f>IF($V3692&lt;&gt;'設定'!$C$4,N(U3691),IF(OR(NOT(COUNTIF('商品マスタ'!$B$6:$B$1005,$W3692)=0),COUNTIFS('①在庫を貼る'!$V$6:$V$10005,$V3692,'①在庫を貼る'!$W$6:$W$10005,$W3692)&gt;0),N(U3691),N(U3691)+1))</f>
        <v/>
      </c>
      <c r="V3692" s="19">
        <f>IF($B3692="","",TEXT($B3692,"0000"))</f>
        <v/>
      </c>
      <c r="W3692" s="19">
        <f>IF($I3692="","",IF(ISNUMBER($I3692),TEXT($I3692,"0"),$I3692))</f>
        <v/>
      </c>
    </row>
    <row r="3693">
      <c r="B3693" s="25" t="n"/>
      <c r="I3693" s="25" t="n"/>
      <c r="U3693" s="19">
        <f>IF($V3693&lt;&gt;'設定'!$C$4,N(U3692),IF(OR(NOT(COUNTIF('商品マスタ'!$B$6:$B$1005,$W3693)=0),COUNTIFS('①在庫を貼る'!$V$6:$V$10005,$V3693,'①在庫を貼る'!$W$6:$W$10005,$W3693)&gt;0),N(U3692),N(U3692)+1))</f>
        <v/>
      </c>
      <c r="V3693" s="19">
        <f>IF($B3693="","",TEXT($B3693,"0000"))</f>
        <v/>
      </c>
      <c r="W3693" s="19">
        <f>IF($I3693="","",IF(ISNUMBER($I3693),TEXT($I3693,"0"),$I3693))</f>
        <v/>
      </c>
    </row>
    <row r="3694">
      <c r="B3694" s="25" t="n"/>
      <c r="I3694" s="25" t="n"/>
      <c r="U3694" s="19">
        <f>IF($V3694&lt;&gt;'設定'!$C$4,N(U3693),IF(OR(NOT(COUNTIF('商品マスタ'!$B$6:$B$1005,$W3694)=0),COUNTIFS('①在庫を貼る'!$V$6:$V$10005,$V3694,'①在庫を貼る'!$W$6:$W$10005,$W3694)&gt;0),N(U3693),N(U3693)+1))</f>
        <v/>
      </c>
      <c r="V3694" s="19">
        <f>IF($B3694="","",TEXT($B3694,"0000"))</f>
        <v/>
      </c>
      <c r="W3694" s="19">
        <f>IF($I3694="","",IF(ISNUMBER($I3694),TEXT($I3694,"0"),$I3694))</f>
        <v/>
      </c>
    </row>
    <row r="3695">
      <c r="B3695" s="25" t="n"/>
      <c r="I3695" s="25" t="n"/>
      <c r="U3695" s="19">
        <f>IF($V3695&lt;&gt;'設定'!$C$4,N(U3694),IF(OR(NOT(COUNTIF('商品マスタ'!$B$6:$B$1005,$W3695)=0),COUNTIFS('①在庫を貼る'!$V$6:$V$10005,$V3695,'①在庫を貼る'!$W$6:$W$10005,$W3695)&gt;0),N(U3694),N(U3694)+1))</f>
        <v/>
      </c>
      <c r="V3695" s="19">
        <f>IF($B3695="","",TEXT($B3695,"0000"))</f>
        <v/>
      </c>
      <c r="W3695" s="19">
        <f>IF($I3695="","",IF(ISNUMBER($I3695),TEXT($I3695,"0"),$I3695))</f>
        <v/>
      </c>
    </row>
    <row r="3696">
      <c r="B3696" s="25" t="n"/>
      <c r="I3696" s="25" t="n"/>
      <c r="U3696" s="19">
        <f>IF($V3696&lt;&gt;'設定'!$C$4,N(U3695),IF(OR(NOT(COUNTIF('商品マスタ'!$B$6:$B$1005,$W3696)=0),COUNTIFS('①在庫を貼る'!$V$6:$V$10005,$V3696,'①在庫を貼る'!$W$6:$W$10005,$W3696)&gt;0),N(U3695),N(U3695)+1))</f>
        <v/>
      </c>
      <c r="V3696" s="19">
        <f>IF($B3696="","",TEXT($B3696,"0000"))</f>
        <v/>
      </c>
      <c r="W3696" s="19">
        <f>IF($I3696="","",IF(ISNUMBER($I3696),TEXT($I3696,"0"),$I3696))</f>
        <v/>
      </c>
    </row>
    <row r="3697">
      <c r="B3697" s="25" t="n"/>
      <c r="I3697" s="25" t="n"/>
      <c r="U3697" s="19">
        <f>IF($V3697&lt;&gt;'設定'!$C$4,N(U3696),IF(OR(NOT(COUNTIF('商品マスタ'!$B$6:$B$1005,$W3697)=0),COUNTIFS('①在庫を貼る'!$V$6:$V$10005,$V3697,'①在庫を貼る'!$W$6:$W$10005,$W3697)&gt;0),N(U3696),N(U3696)+1))</f>
        <v/>
      </c>
      <c r="V3697" s="19">
        <f>IF($B3697="","",TEXT($B3697,"0000"))</f>
        <v/>
      </c>
      <c r="W3697" s="19">
        <f>IF($I3697="","",IF(ISNUMBER($I3697),TEXT($I3697,"0"),$I3697))</f>
        <v/>
      </c>
    </row>
    <row r="3698">
      <c r="B3698" s="25" t="n"/>
      <c r="I3698" s="25" t="n"/>
      <c r="U3698" s="19">
        <f>IF($V3698&lt;&gt;'設定'!$C$4,N(U3697),IF(OR(NOT(COUNTIF('商品マスタ'!$B$6:$B$1005,$W3698)=0),COUNTIFS('①在庫を貼る'!$V$6:$V$10005,$V3698,'①在庫を貼る'!$W$6:$W$10005,$W3698)&gt;0),N(U3697),N(U3697)+1))</f>
        <v/>
      </c>
      <c r="V3698" s="19">
        <f>IF($B3698="","",TEXT($B3698,"0000"))</f>
        <v/>
      </c>
      <c r="W3698" s="19">
        <f>IF($I3698="","",IF(ISNUMBER($I3698),TEXT($I3698,"0"),$I3698))</f>
        <v/>
      </c>
    </row>
    <row r="3699">
      <c r="B3699" s="25" t="n"/>
      <c r="I3699" s="25" t="n"/>
      <c r="U3699" s="19">
        <f>IF($V3699&lt;&gt;'設定'!$C$4,N(U3698),IF(OR(NOT(COUNTIF('商品マスタ'!$B$6:$B$1005,$W3699)=0),COUNTIFS('①在庫を貼る'!$V$6:$V$10005,$V3699,'①在庫を貼る'!$W$6:$W$10005,$W3699)&gt;0),N(U3698),N(U3698)+1))</f>
        <v/>
      </c>
      <c r="V3699" s="19">
        <f>IF($B3699="","",TEXT($B3699,"0000"))</f>
        <v/>
      </c>
      <c r="W3699" s="19">
        <f>IF($I3699="","",IF(ISNUMBER($I3699),TEXT($I3699,"0"),$I3699))</f>
        <v/>
      </c>
    </row>
    <row r="3700">
      <c r="B3700" s="25" t="n"/>
      <c r="I3700" s="25" t="n"/>
      <c r="U3700" s="19">
        <f>IF($V3700&lt;&gt;'設定'!$C$4,N(U3699),IF(OR(NOT(COUNTIF('商品マスタ'!$B$6:$B$1005,$W3700)=0),COUNTIFS('①在庫を貼る'!$V$6:$V$10005,$V3700,'①在庫を貼る'!$W$6:$W$10005,$W3700)&gt;0),N(U3699),N(U3699)+1))</f>
        <v/>
      </c>
      <c r="V3700" s="19">
        <f>IF($B3700="","",TEXT($B3700,"0000"))</f>
        <v/>
      </c>
      <c r="W3700" s="19">
        <f>IF($I3700="","",IF(ISNUMBER($I3700),TEXT($I3700,"0"),$I3700))</f>
        <v/>
      </c>
    </row>
    <row r="3701">
      <c r="B3701" s="25" t="n"/>
      <c r="I3701" s="25" t="n"/>
      <c r="U3701" s="19">
        <f>IF($V3701&lt;&gt;'設定'!$C$4,N(U3700),IF(OR(NOT(COUNTIF('商品マスタ'!$B$6:$B$1005,$W3701)=0),COUNTIFS('①在庫を貼る'!$V$6:$V$10005,$V3701,'①在庫を貼る'!$W$6:$W$10005,$W3701)&gt;0),N(U3700),N(U3700)+1))</f>
        <v/>
      </c>
      <c r="V3701" s="19">
        <f>IF($B3701="","",TEXT($B3701,"0000"))</f>
        <v/>
      </c>
      <c r="W3701" s="19">
        <f>IF($I3701="","",IF(ISNUMBER($I3701),TEXT($I3701,"0"),$I3701))</f>
        <v/>
      </c>
    </row>
    <row r="3702">
      <c r="B3702" s="25" t="n"/>
      <c r="I3702" s="25" t="n"/>
      <c r="U3702" s="19">
        <f>IF($V3702&lt;&gt;'設定'!$C$4,N(U3701),IF(OR(NOT(COUNTIF('商品マスタ'!$B$6:$B$1005,$W3702)=0),COUNTIFS('①在庫を貼る'!$V$6:$V$10005,$V3702,'①在庫を貼る'!$W$6:$W$10005,$W3702)&gt;0),N(U3701),N(U3701)+1))</f>
        <v/>
      </c>
      <c r="V3702" s="19">
        <f>IF($B3702="","",TEXT($B3702,"0000"))</f>
        <v/>
      </c>
      <c r="W3702" s="19">
        <f>IF($I3702="","",IF(ISNUMBER($I3702),TEXT($I3702,"0"),$I3702))</f>
        <v/>
      </c>
    </row>
    <row r="3703">
      <c r="B3703" s="25" t="n"/>
      <c r="I3703" s="25" t="n"/>
      <c r="U3703" s="19">
        <f>IF($V3703&lt;&gt;'設定'!$C$4,N(U3702),IF(OR(NOT(COUNTIF('商品マスタ'!$B$6:$B$1005,$W3703)=0),COUNTIFS('①在庫を貼る'!$V$6:$V$10005,$V3703,'①在庫を貼る'!$W$6:$W$10005,$W3703)&gt;0),N(U3702),N(U3702)+1))</f>
        <v/>
      </c>
      <c r="V3703" s="19">
        <f>IF($B3703="","",TEXT($B3703,"0000"))</f>
        <v/>
      </c>
      <c r="W3703" s="19">
        <f>IF($I3703="","",IF(ISNUMBER($I3703),TEXT($I3703,"0"),$I3703))</f>
        <v/>
      </c>
    </row>
    <row r="3704">
      <c r="B3704" s="25" t="n"/>
      <c r="I3704" s="25" t="n"/>
      <c r="U3704" s="19">
        <f>IF($V3704&lt;&gt;'設定'!$C$4,N(U3703),IF(OR(NOT(COUNTIF('商品マスタ'!$B$6:$B$1005,$W3704)=0),COUNTIFS('①在庫を貼る'!$V$6:$V$10005,$V3704,'①在庫を貼る'!$W$6:$W$10005,$W3704)&gt;0),N(U3703),N(U3703)+1))</f>
        <v/>
      </c>
      <c r="V3704" s="19">
        <f>IF($B3704="","",TEXT($B3704,"0000"))</f>
        <v/>
      </c>
      <c r="W3704" s="19">
        <f>IF($I3704="","",IF(ISNUMBER($I3704),TEXT($I3704,"0"),$I3704))</f>
        <v/>
      </c>
    </row>
    <row r="3705">
      <c r="B3705" s="25" t="n"/>
      <c r="I3705" s="25" t="n"/>
      <c r="U3705" s="19">
        <f>IF($V3705&lt;&gt;'設定'!$C$4,N(U3704),IF(OR(NOT(COUNTIF('商品マスタ'!$B$6:$B$1005,$W3705)=0),COUNTIFS('①在庫を貼る'!$V$6:$V$10005,$V3705,'①在庫を貼る'!$W$6:$W$10005,$W3705)&gt;0),N(U3704),N(U3704)+1))</f>
        <v/>
      </c>
      <c r="V3705" s="19">
        <f>IF($B3705="","",TEXT($B3705,"0000"))</f>
        <v/>
      </c>
      <c r="W3705" s="19">
        <f>IF($I3705="","",IF(ISNUMBER($I3705),TEXT($I3705,"0"),$I3705))</f>
        <v/>
      </c>
    </row>
    <row r="3706">
      <c r="B3706" s="25" t="n"/>
      <c r="I3706" s="25" t="n"/>
      <c r="U3706" s="19">
        <f>IF($V3706&lt;&gt;'設定'!$C$4,N(U3705),IF(OR(NOT(COUNTIF('商品マスタ'!$B$6:$B$1005,$W3706)=0),COUNTIFS('①在庫を貼る'!$V$6:$V$10005,$V3706,'①在庫を貼る'!$W$6:$W$10005,$W3706)&gt;0),N(U3705),N(U3705)+1))</f>
        <v/>
      </c>
      <c r="V3706" s="19">
        <f>IF($B3706="","",TEXT($B3706,"0000"))</f>
        <v/>
      </c>
      <c r="W3706" s="19">
        <f>IF($I3706="","",IF(ISNUMBER($I3706),TEXT($I3706,"0"),$I3706))</f>
        <v/>
      </c>
    </row>
    <row r="3707">
      <c r="B3707" s="25" t="n"/>
      <c r="I3707" s="25" t="n"/>
      <c r="U3707" s="19">
        <f>IF($V3707&lt;&gt;'設定'!$C$4,N(U3706),IF(OR(NOT(COUNTIF('商品マスタ'!$B$6:$B$1005,$W3707)=0),COUNTIFS('①在庫を貼る'!$V$6:$V$10005,$V3707,'①在庫を貼る'!$W$6:$W$10005,$W3707)&gt;0),N(U3706),N(U3706)+1))</f>
        <v/>
      </c>
      <c r="V3707" s="19">
        <f>IF($B3707="","",TEXT($B3707,"0000"))</f>
        <v/>
      </c>
      <c r="W3707" s="19">
        <f>IF($I3707="","",IF(ISNUMBER($I3707),TEXT($I3707,"0"),$I3707))</f>
        <v/>
      </c>
    </row>
    <row r="3708">
      <c r="B3708" s="25" t="n"/>
      <c r="I3708" s="25" t="n"/>
      <c r="U3708" s="19">
        <f>IF($V3708&lt;&gt;'設定'!$C$4,N(U3707),IF(OR(NOT(COUNTIF('商品マスタ'!$B$6:$B$1005,$W3708)=0),COUNTIFS('①在庫を貼る'!$V$6:$V$10005,$V3708,'①在庫を貼る'!$W$6:$W$10005,$W3708)&gt;0),N(U3707),N(U3707)+1))</f>
        <v/>
      </c>
      <c r="V3708" s="19">
        <f>IF($B3708="","",TEXT($B3708,"0000"))</f>
        <v/>
      </c>
      <c r="W3708" s="19">
        <f>IF($I3708="","",IF(ISNUMBER($I3708),TEXT($I3708,"0"),$I3708))</f>
        <v/>
      </c>
    </row>
    <row r="3709">
      <c r="B3709" s="25" t="n"/>
      <c r="I3709" s="25" t="n"/>
      <c r="U3709" s="19">
        <f>IF($V3709&lt;&gt;'設定'!$C$4,N(U3708),IF(OR(NOT(COUNTIF('商品マスタ'!$B$6:$B$1005,$W3709)=0),COUNTIFS('①在庫を貼る'!$V$6:$V$10005,$V3709,'①在庫を貼る'!$W$6:$W$10005,$W3709)&gt;0),N(U3708),N(U3708)+1))</f>
        <v/>
      </c>
      <c r="V3709" s="19">
        <f>IF($B3709="","",TEXT($B3709,"0000"))</f>
        <v/>
      </c>
      <c r="W3709" s="19">
        <f>IF($I3709="","",IF(ISNUMBER($I3709),TEXT($I3709,"0"),$I3709))</f>
        <v/>
      </c>
    </row>
    <row r="3710">
      <c r="B3710" s="25" t="n"/>
      <c r="I3710" s="25" t="n"/>
      <c r="U3710" s="19">
        <f>IF($V3710&lt;&gt;'設定'!$C$4,N(U3709),IF(OR(NOT(COUNTIF('商品マスタ'!$B$6:$B$1005,$W3710)=0),COUNTIFS('①在庫を貼る'!$V$6:$V$10005,$V3710,'①在庫を貼る'!$W$6:$W$10005,$W3710)&gt;0),N(U3709),N(U3709)+1))</f>
        <v/>
      </c>
      <c r="V3710" s="19">
        <f>IF($B3710="","",TEXT($B3710,"0000"))</f>
        <v/>
      </c>
      <c r="W3710" s="19">
        <f>IF($I3710="","",IF(ISNUMBER($I3710),TEXT($I3710,"0"),$I3710))</f>
        <v/>
      </c>
    </row>
    <row r="3711">
      <c r="B3711" s="25" t="n"/>
      <c r="I3711" s="25" t="n"/>
      <c r="U3711" s="19">
        <f>IF($V3711&lt;&gt;'設定'!$C$4,N(U3710),IF(OR(NOT(COUNTIF('商品マスタ'!$B$6:$B$1005,$W3711)=0),COUNTIFS('①在庫を貼る'!$V$6:$V$10005,$V3711,'①在庫を貼る'!$W$6:$W$10005,$W3711)&gt;0),N(U3710),N(U3710)+1))</f>
        <v/>
      </c>
      <c r="V3711" s="19">
        <f>IF($B3711="","",TEXT($B3711,"0000"))</f>
        <v/>
      </c>
      <c r="W3711" s="19">
        <f>IF($I3711="","",IF(ISNUMBER($I3711),TEXT($I3711,"0"),$I3711))</f>
        <v/>
      </c>
    </row>
    <row r="3712">
      <c r="B3712" s="25" t="n"/>
      <c r="I3712" s="25" t="n"/>
      <c r="U3712" s="19">
        <f>IF($V3712&lt;&gt;'設定'!$C$4,N(U3711),IF(OR(NOT(COUNTIF('商品マスタ'!$B$6:$B$1005,$W3712)=0),COUNTIFS('①在庫を貼る'!$V$6:$V$10005,$V3712,'①在庫を貼る'!$W$6:$W$10005,$W3712)&gt;0),N(U3711),N(U3711)+1))</f>
        <v/>
      </c>
      <c r="V3712" s="19">
        <f>IF($B3712="","",TEXT($B3712,"0000"))</f>
        <v/>
      </c>
      <c r="W3712" s="19">
        <f>IF($I3712="","",IF(ISNUMBER($I3712),TEXT($I3712,"0"),$I3712))</f>
        <v/>
      </c>
    </row>
    <row r="3713">
      <c r="B3713" s="25" t="n"/>
      <c r="I3713" s="25" t="n"/>
      <c r="U3713" s="19">
        <f>IF($V3713&lt;&gt;'設定'!$C$4,N(U3712),IF(OR(NOT(COUNTIF('商品マスタ'!$B$6:$B$1005,$W3713)=0),COUNTIFS('①在庫を貼る'!$V$6:$V$10005,$V3713,'①在庫を貼る'!$W$6:$W$10005,$W3713)&gt;0),N(U3712),N(U3712)+1))</f>
        <v/>
      </c>
      <c r="V3713" s="19">
        <f>IF($B3713="","",TEXT($B3713,"0000"))</f>
        <v/>
      </c>
      <c r="W3713" s="19">
        <f>IF($I3713="","",IF(ISNUMBER($I3713),TEXT($I3713,"0"),$I3713))</f>
        <v/>
      </c>
    </row>
    <row r="3714">
      <c r="B3714" s="25" t="n"/>
      <c r="I3714" s="25" t="n"/>
      <c r="U3714" s="19">
        <f>IF($V3714&lt;&gt;'設定'!$C$4,N(U3713),IF(OR(NOT(COUNTIF('商品マスタ'!$B$6:$B$1005,$W3714)=0),COUNTIFS('①在庫を貼る'!$V$6:$V$10005,$V3714,'①在庫を貼る'!$W$6:$W$10005,$W3714)&gt;0),N(U3713),N(U3713)+1))</f>
        <v/>
      </c>
      <c r="V3714" s="19">
        <f>IF($B3714="","",TEXT($B3714,"0000"))</f>
        <v/>
      </c>
      <c r="W3714" s="19">
        <f>IF($I3714="","",IF(ISNUMBER($I3714),TEXT($I3714,"0"),$I3714))</f>
        <v/>
      </c>
    </row>
    <row r="3715">
      <c r="B3715" s="25" t="n"/>
      <c r="I3715" s="25" t="n"/>
      <c r="U3715" s="19">
        <f>IF($V3715&lt;&gt;'設定'!$C$4,N(U3714),IF(OR(NOT(COUNTIF('商品マスタ'!$B$6:$B$1005,$W3715)=0),COUNTIFS('①在庫を貼る'!$V$6:$V$10005,$V3715,'①在庫を貼る'!$W$6:$W$10005,$W3715)&gt;0),N(U3714),N(U3714)+1))</f>
        <v/>
      </c>
      <c r="V3715" s="19">
        <f>IF($B3715="","",TEXT($B3715,"0000"))</f>
        <v/>
      </c>
      <c r="W3715" s="19">
        <f>IF($I3715="","",IF(ISNUMBER($I3715),TEXT($I3715,"0"),$I3715))</f>
        <v/>
      </c>
    </row>
    <row r="3716">
      <c r="B3716" s="25" t="n"/>
      <c r="I3716" s="25" t="n"/>
      <c r="U3716" s="19">
        <f>IF($V3716&lt;&gt;'設定'!$C$4,N(U3715),IF(OR(NOT(COUNTIF('商品マスタ'!$B$6:$B$1005,$W3716)=0),COUNTIFS('①在庫を貼る'!$V$6:$V$10005,$V3716,'①在庫を貼る'!$W$6:$W$10005,$W3716)&gt;0),N(U3715),N(U3715)+1))</f>
        <v/>
      </c>
      <c r="V3716" s="19">
        <f>IF($B3716="","",TEXT($B3716,"0000"))</f>
        <v/>
      </c>
      <c r="W3716" s="19">
        <f>IF($I3716="","",IF(ISNUMBER($I3716),TEXT($I3716,"0"),$I3716))</f>
        <v/>
      </c>
    </row>
    <row r="3717">
      <c r="B3717" s="25" t="n"/>
      <c r="I3717" s="25" t="n"/>
      <c r="U3717" s="19">
        <f>IF($V3717&lt;&gt;'設定'!$C$4,N(U3716),IF(OR(NOT(COUNTIF('商品マスタ'!$B$6:$B$1005,$W3717)=0),COUNTIFS('①在庫を貼る'!$V$6:$V$10005,$V3717,'①在庫を貼る'!$W$6:$W$10005,$W3717)&gt;0),N(U3716),N(U3716)+1))</f>
        <v/>
      </c>
      <c r="V3717" s="19">
        <f>IF($B3717="","",TEXT($B3717,"0000"))</f>
        <v/>
      </c>
      <c r="W3717" s="19">
        <f>IF($I3717="","",IF(ISNUMBER($I3717),TEXT($I3717,"0"),$I3717))</f>
        <v/>
      </c>
    </row>
    <row r="3718">
      <c r="B3718" s="25" t="n"/>
      <c r="I3718" s="25" t="n"/>
      <c r="U3718" s="19">
        <f>IF($V3718&lt;&gt;'設定'!$C$4,N(U3717),IF(OR(NOT(COUNTIF('商品マスタ'!$B$6:$B$1005,$W3718)=0),COUNTIFS('①在庫を貼る'!$V$6:$V$10005,$V3718,'①在庫を貼る'!$W$6:$W$10005,$W3718)&gt;0),N(U3717),N(U3717)+1))</f>
        <v/>
      </c>
      <c r="V3718" s="19">
        <f>IF($B3718="","",TEXT($B3718,"0000"))</f>
        <v/>
      </c>
      <c r="W3718" s="19">
        <f>IF($I3718="","",IF(ISNUMBER($I3718),TEXT($I3718,"0"),$I3718))</f>
        <v/>
      </c>
    </row>
    <row r="3719">
      <c r="B3719" s="25" t="n"/>
      <c r="I3719" s="25" t="n"/>
      <c r="U3719" s="19">
        <f>IF($V3719&lt;&gt;'設定'!$C$4,N(U3718),IF(OR(NOT(COUNTIF('商品マスタ'!$B$6:$B$1005,$W3719)=0),COUNTIFS('①在庫を貼る'!$V$6:$V$10005,$V3719,'①在庫を貼る'!$W$6:$W$10005,$W3719)&gt;0),N(U3718),N(U3718)+1))</f>
        <v/>
      </c>
      <c r="V3719" s="19">
        <f>IF($B3719="","",TEXT($B3719,"0000"))</f>
        <v/>
      </c>
      <c r="W3719" s="19">
        <f>IF($I3719="","",IF(ISNUMBER($I3719),TEXT($I3719,"0"),$I3719))</f>
        <v/>
      </c>
    </row>
    <row r="3720">
      <c r="B3720" s="25" t="n"/>
      <c r="I3720" s="25" t="n"/>
      <c r="U3720" s="19">
        <f>IF($V3720&lt;&gt;'設定'!$C$4,N(U3719),IF(OR(NOT(COUNTIF('商品マスタ'!$B$6:$B$1005,$W3720)=0),COUNTIFS('①在庫を貼る'!$V$6:$V$10005,$V3720,'①在庫を貼る'!$W$6:$W$10005,$W3720)&gt;0),N(U3719),N(U3719)+1))</f>
        <v/>
      </c>
      <c r="V3720" s="19">
        <f>IF($B3720="","",TEXT($B3720,"0000"))</f>
        <v/>
      </c>
      <c r="W3720" s="19">
        <f>IF($I3720="","",IF(ISNUMBER($I3720),TEXT($I3720,"0"),$I3720))</f>
        <v/>
      </c>
    </row>
    <row r="3721">
      <c r="B3721" s="25" t="n"/>
      <c r="I3721" s="25" t="n"/>
      <c r="U3721" s="19">
        <f>IF($V3721&lt;&gt;'設定'!$C$4,N(U3720),IF(OR(NOT(COUNTIF('商品マスタ'!$B$6:$B$1005,$W3721)=0),COUNTIFS('①在庫を貼る'!$V$6:$V$10005,$V3721,'①在庫を貼る'!$W$6:$W$10005,$W3721)&gt;0),N(U3720),N(U3720)+1))</f>
        <v/>
      </c>
      <c r="V3721" s="19">
        <f>IF($B3721="","",TEXT($B3721,"0000"))</f>
        <v/>
      </c>
      <c r="W3721" s="19">
        <f>IF($I3721="","",IF(ISNUMBER($I3721),TEXT($I3721,"0"),$I3721))</f>
        <v/>
      </c>
    </row>
    <row r="3722">
      <c r="B3722" s="25" t="n"/>
      <c r="I3722" s="25" t="n"/>
      <c r="U3722" s="19">
        <f>IF($V3722&lt;&gt;'設定'!$C$4,N(U3721),IF(OR(NOT(COUNTIF('商品マスタ'!$B$6:$B$1005,$W3722)=0),COUNTIFS('①在庫を貼る'!$V$6:$V$10005,$V3722,'①在庫を貼る'!$W$6:$W$10005,$W3722)&gt;0),N(U3721),N(U3721)+1))</f>
        <v/>
      </c>
      <c r="V3722" s="19">
        <f>IF($B3722="","",TEXT($B3722,"0000"))</f>
        <v/>
      </c>
      <c r="W3722" s="19">
        <f>IF($I3722="","",IF(ISNUMBER($I3722),TEXT($I3722,"0"),$I3722))</f>
        <v/>
      </c>
    </row>
    <row r="3723">
      <c r="B3723" s="25" t="n"/>
      <c r="I3723" s="25" t="n"/>
      <c r="U3723" s="19">
        <f>IF($V3723&lt;&gt;'設定'!$C$4,N(U3722),IF(OR(NOT(COUNTIF('商品マスタ'!$B$6:$B$1005,$W3723)=0),COUNTIFS('①在庫を貼る'!$V$6:$V$10005,$V3723,'①在庫を貼る'!$W$6:$W$10005,$W3723)&gt;0),N(U3722),N(U3722)+1))</f>
        <v/>
      </c>
      <c r="V3723" s="19">
        <f>IF($B3723="","",TEXT($B3723,"0000"))</f>
        <v/>
      </c>
      <c r="W3723" s="19">
        <f>IF($I3723="","",IF(ISNUMBER($I3723),TEXT($I3723,"0"),$I3723))</f>
        <v/>
      </c>
    </row>
    <row r="3724">
      <c r="B3724" s="25" t="n"/>
      <c r="I3724" s="25" t="n"/>
      <c r="U3724" s="19">
        <f>IF($V3724&lt;&gt;'設定'!$C$4,N(U3723),IF(OR(NOT(COUNTIF('商品マスタ'!$B$6:$B$1005,$W3724)=0),COUNTIFS('①在庫を貼る'!$V$6:$V$10005,$V3724,'①在庫を貼る'!$W$6:$W$10005,$W3724)&gt;0),N(U3723),N(U3723)+1))</f>
        <v/>
      </c>
      <c r="V3724" s="19">
        <f>IF($B3724="","",TEXT($B3724,"0000"))</f>
        <v/>
      </c>
      <c r="W3724" s="19">
        <f>IF($I3724="","",IF(ISNUMBER($I3724),TEXT($I3724,"0"),$I3724))</f>
        <v/>
      </c>
    </row>
    <row r="3725">
      <c r="B3725" s="25" t="n"/>
      <c r="I3725" s="25" t="n"/>
      <c r="U3725" s="19">
        <f>IF($V3725&lt;&gt;'設定'!$C$4,N(U3724),IF(OR(NOT(COUNTIF('商品マスタ'!$B$6:$B$1005,$W3725)=0),COUNTIFS('①在庫を貼る'!$V$6:$V$10005,$V3725,'①在庫を貼る'!$W$6:$W$10005,$W3725)&gt;0),N(U3724),N(U3724)+1))</f>
        <v/>
      </c>
      <c r="V3725" s="19">
        <f>IF($B3725="","",TEXT($B3725,"0000"))</f>
        <v/>
      </c>
      <c r="W3725" s="19">
        <f>IF($I3725="","",IF(ISNUMBER($I3725),TEXT($I3725,"0"),$I3725))</f>
        <v/>
      </c>
    </row>
    <row r="3726">
      <c r="B3726" s="25" t="n"/>
      <c r="I3726" s="25" t="n"/>
      <c r="U3726" s="19">
        <f>IF($V3726&lt;&gt;'設定'!$C$4,N(U3725),IF(OR(NOT(COUNTIF('商品マスタ'!$B$6:$B$1005,$W3726)=0),COUNTIFS('①在庫を貼る'!$V$6:$V$10005,$V3726,'①在庫を貼る'!$W$6:$W$10005,$W3726)&gt;0),N(U3725),N(U3725)+1))</f>
        <v/>
      </c>
      <c r="V3726" s="19">
        <f>IF($B3726="","",TEXT($B3726,"0000"))</f>
        <v/>
      </c>
      <c r="W3726" s="19">
        <f>IF($I3726="","",IF(ISNUMBER($I3726),TEXT($I3726,"0"),$I3726))</f>
        <v/>
      </c>
    </row>
    <row r="3727">
      <c r="B3727" s="25" t="n"/>
      <c r="I3727" s="25" t="n"/>
      <c r="U3727" s="19">
        <f>IF($V3727&lt;&gt;'設定'!$C$4,N(U3726),IF(OR(NOT(COUNTIF('商品マスタ'!$B$6:$B$1005,$W3727)=0),COUNTIFS('①在庫を貼る'!$V$6:$V$10005,$V3727,'①在庫を貼る'!$W$6:$W$10005,$W3727)&gt;0),N(U3726),N(U3726)+1))</f>
        <v/>
      </c>
      <c r="V3727" s="19">
        <f>IF($B3727="","",TEXT($B3727,"0000"))</f>
        <v/>
      </c>
      <c r="W3727" s="19">
        <f>IF($I3727="","",IF(ISNUMBER($I3727),TEXT($I3727,"0"),$I3727))</f>
        <v/>
      </c>
    </row>
    <row r="3728">
      <c r="B3728" s="25" t="n"/>
      <c r="I3728" s="25" t="n"/>
      <c r="U3728" s="19">
        <f>IF($V3728&lt;&gt;'設定'!$C$4,N(U3727),IF(OR(NOT(COUNTIF('商品マスタ'!$B$6:$B$1005,$W3728)=0),COUNTIFS('①在庫を貼る'!$V$6:$V$10005,$V3728,'①在庫を貼る'!$W$6:$W$10005,$W3728)&gt;0),N(U3727),N(U3727)+1))</f>
        <v/>
      </c>
      <c r="V3728" s="19">
        <f>IF($B3728="","",TEXT($B3728,"0000"))</f>
        <v/>
      </c>
      <c r="W3728" s="19">
        <f>IF($I3728="","",IF(ISNUMBER($I3728),TEXT($I3728,"0"),$I3728))</f>
        <v/>
      </c>
    </row>
    <row r="3729">
      <c r="B3729" s="25" t="n"/>
      <c r="I3729" s="25" t="n"/>
      <c r="U3729" s="19">
        <f>IF($V3729&lt;&gt;'設定'!$C$4,N(U3728),IF(OR(NOT(COUNTIF('商品マスタ'!$B$6:$B$1005,$W3729)=0),COUNTIFS('①在庫を貼る'!$V$6:$V$10005,$V3729,'①在庫を貼る'!$W$6:$W$10005,$W3729)&gt;0),N(U3728),N(U3728)+1))</f>
        <v/>
      </c>
      <c r="V3729" s="19">
        <f>IF($B3729="","",TEXT($B3729,"0000"))</f>
        <v/>
      </c>
      <c r="W3729" s="19">
        <f>IF($I3729="","",IF(ISNUMBER($I3729),TEXT($I3729,"0"),$I3729))</f>
        <v/>
      </c>
    </row>
    <row r="3730">
      <c r="B3730" s="25" t="n"/>
      <c r="I3730" s="25" t="n"/>
      <c r="U3730" s="19">
        <f>IF($V3730&lt;&gt;'設定'!$C$4,N(U3729),IF(OR(NOT(COUNTIF('商品マスタ'!$B$6:$B$1005,$W3730)=0),COUNTIFS('①在庫を貼る'!$V$6:$V$10005,$V3730,'①在庫を貼る'!$W$6:$W$10005,$W3730)&gt;0),N(U3729),N(U3729)+1))</f>
        <v/>
      </c>
      <c r="V3730" s="19">
        <f>IF($B3730="","",TEXT($B3730,"0000"))</f>
        <v/>
      </c>
      <c r="W3730" s="19">
        <f>IF($I3730="","",IF(ISNUMBER($I3730),TEXT($I3730,"0"),$I3730))</f>
        <v/>
      </c>
    </row>
    <row r="3731">
      <c r="B3731" s="25" t="n"/>
      <c r="I3731" s="25" t="n"/>
      <c r="U3731" s="19">
        <f>IF($V3731&lt;&gt;'設定'!$C$4,N(U3730),IF(OR(NOT(COUNTIF('商品マスタ'!$B$6:$B$1005,$W3731)=0),COUNTIFS('①在庫を貼る'!$V$6:$V$10005,$V3731,'①在庫を貼る'!$W$6:$W$10005,$W3731)&gt;0),N(U3730),N(U3730)+1))</f>
        <v/>
      </c>
      <c r="V3731" s="19">
        <f>IF($B3731="","",TEXT($B3731,"0000"))</f>
        <v/>
      </c>
      <c r="W3731" s="19">
        <f>IF($I3731="","",IF(ISNUMBER($I3731),TEXT($I3731,"0"),$I3731))</f>
        <v/>
      </c>
    </row>
    <row r="3732">
      <c r="B3732" s="25" t="n"/>
      <c r="I3732" s="25" t="n"/>
      <c r="U3732" s="19">
        <f>IF($V3732&lt;&gt;'設定'!$C$4,N(U3731),IF(OR(NOT(COUNTIF('商品マスタ'!$B$6:$B$1005,$W3732)=0),COUNTIFS('①在庫を貼る'!$V$6:$V$10005,$V3732,'①在庫を貼る'!$W$6:$W$10005,$W3732)&gt;0),N(U3731),N(U3731)+1))</f>
        <v/>
      </c>
      <c r="V3732" s="19">
        <f>IF($B3732="","",TEXT($B3732,"0000"))</f>
        <v/>
      </c>
      <c r="W3732" s="19">
        <f>IF($I3732="","",IF(ISNUMBER($I3732),TEXT($I3732,"0"),$I3732))</f>
        <v/>
      </c>
    </row>
    <row r="3733">
      <c r="B3733" s="25" t="n"/>
      <c r="I3733" s="25" t="n"/>
      <c r="U3733" s="19">
        <f>IF($V3733&lt;&gt;'設定'!$C$4,N(U3732),IF(OR(NOT(COUNTIF('商品マスタ'!$B$6:$B$1005,$W3733)=0),COUNTIFS('①在庫を貼る'!$V$6:$V$10005,$V3733,'①在庫を貼る'!$W$6:$W$10005,$W3733)&gt;0),N(U3732),N(U3732)+1))</f>
        <v/>
      </c>
      <c r="V3733" s="19">
        <f>IF($B3733="","",TEXT($B3733,"0000"))</f>
        <v/>
      </c>
      <c r="W3733" s="19">
        <f>IF($I3733="","",IF(ISNUMBER($I3733),TEXT($I3733,"0"),$I3733))</f>
        <v/>
      </c>
    </row>
    <row r="3734">
      <c r="B3734" s="25" t="n"/>
      <c r="I3734" s="25" t="n"/>
      <c r="U3734" s="19">
        <f>IF($V3734&lt;&gt;'設定'!$C$4,N(U3733),IF(OR(NOT(COUNTIF('商品マスタ'!$B$6:$B$1005,$W3734)=0),COUNTIFS('①在庫を貼る'!$V$6:$V$10005,$V3734,'①在庫を貼る'!$W$6:$W$10005,$W3734)&gt;0),N(U3733),N(U3733)+1))</f>
        <v/>
      </c>
      <c r="V3734" s="19">
        <f>IF($B3734="","",TEXT($B3734,"0000"))</f>
        <v/>
      </c>
      <c r="W3734" s="19">
        <f>IF($I3734="","",IF(ISNUMBER($I3734),TEXT($I3734,"0"),$I3734))</f>
        <v/>
      </c>
    </row>
    <row r="3735">
      <c r="B3735" s="25" t="n"/>
      <c r="I3735" s="25" t="n"/>
      <c r="U3735" s="19">
        <f>IF($V3735&lt;&gt;'設定'!$C$4,N(U3734),IF(OR(NOT(COUNTIF('商品マスタ'!$B$6:$B$1005,$W3735)=0),COUNTIFS('①在庫を貼る'!$V$6:$V$10005,$V3735,'①在庫を貼る'!$W$6:$W$10005,$W3735)&gt;0),N(U3734),N(U3734)+1))</f>
        <v/>
      </c>
      <c r="V3735" s="19">
        <f>IF($B3735="","",TEXT($B3735,"0000"))</f>
        <v/>
      </c>
      <c r="W3735" s="19">
        <f>IF($I3735="","",IF(ISNUMBER($I3735),TEXT($I3735,"0"),$I3735))</f>
        <v/>
      </c>
    </row>
    <row r="3736">
      <c r="B3736" s="25" t="n"/>
      <c r="I3736" s="25" t="n"/>
      <c r="U3736" s="19">
        <f>IF($V3736&lt;&gt;'設定'!$C$4,N(U3735),IF(OR(NOT(COUNTIF('商品マスタ'!$B$6:$B$1005,$W3736)=0),COUNTIFS('①在庫を貼る'!$V$6:$V$10005,$V3736,'①在庫を貼る'!$W$6:$W$10005,$W3736)&gt;0),N(U3735),N(U3735)+1))</f>
        <v/>
      </c>
      <c r="V3736" s="19">
        <f>IF($B3736="","",TEXT($B3736,"0000"))</f>
        <v/>
      </c>
      <c r="W3736" s="19">
        <f>IF($I3736="","",IF(ISNUMBER($I3736),TEXT($I3736,"0"),$I3736))</f>
        <v/>
      </c>
    </row>
    <row r="3737">
      <c r="B3737" s="25" t="n"/>
      <c r="I3737" s="25" t="n"/>
      <c r="U3737" s="19">
        <f>IF($V3737&lt;&gt;'設定'!$C$4,N(U3736),IF(OR(NOT(COUNTIF('商品マスタ'!$B$6:$B$1005,$W3737)=0),COUNTIFS('①在庫を貼る'!$V$6:$V$10005,$V3737,'①在庫を貼る'!$W$6:$W$10005,$W3737)&gt;0),N(U3736),N(U3736)+1))</f>
        <v/>
      </c>
      <c r="V3737" s="19">
        <f>IF($B3737="","",TEXT($B3737,"0000"))</f>
        <v/>
      </c>
      <c r="W3737" s="19">
        <f>IF($I3737="","",IF(ISNUMBER($I3737),TEXT($I3737,"0"),$I3737))</f>
        <v/>
      </c>
    </row>
    <row r="3738">
      <c r="B3738" s="25" t="n"/>
      <c r="I3738" s="25" t="n"/>
      <c r="U3738" s="19">
        <f>IF($V3738&lt;&gt;'設定'!$C$4,N(U3737),IF(OR(NOT(COUNTIF('商品マスタ'!$B$6:$B$1005,$W3738)=0),COUNTIFS('①在庫を貼る'!$V$6:$V$10005,$V3738,'①在庫を貼る'!$W$6:$W$10005,$W3738)&gt;0),N(U3737),N(U3737)+1))</f>
        <v/>
      </c>
      <c r="V3738" s="19">
        <f>IF($B3738="","",TEXT($B3738,"0000"))</f>
        <v/>
      </c>
      <c r="W3738" s="19">
        <f>IF($I3738="","",IF(ISNUMBER($I3738),TEXT($I3738,"0"),$I3738))</f>
        <v/>
      </c>
    </row>
    <row r="3739">
      <c r="B3739" s="25" t="n"/>
      <c r="I3739" s="25" t="n"/>
      <c r="U3739" s="19">
        <f>IF($V3739&lt;&gt;'設定'!$C$4,N(U3738),IF(OR(NOT(COUNTIF('商品マスタ'!$B$6:$B$1005,$W3739)=0),COUNTIFS('①在庫を貼る'!$V$6:$V$10005,$V3739,'①在庫を貼る'!$W$6:$W$10005,$W3739)&gt;0),N(U3738),N(U3738)+1))</f>
        <v/>
      </c>
      <c r="V3739" s="19">
        <f>IF($B3739="","",TEXT($B3739,"0000"))</f>
        <v/>
      </c>
      <c r="W3739" s="19">
        <f>IF($I3739="","",IF(ISNUMBER($I3739),TEXT($I3739,"0"),$I3739))</f>
        <v/>
      </c>
    </row>
    <row r="3740">
      <c r="B3740" s="25" t="n"/>
      <c r="I3740" s="25" t="n"/>
      <c r="U3740" s="19">
        <f>IF($V3740&lt;&gt;'設定'!$C$4,N(U3739),IF(OR(NOT(COUNTIF('商品マスタ'!$B$6:$B$1005,$W3740)=0),COUNTIFS('①在庫を貼る'!$V$6:$V$10005,$V3740,'①在庫を貼る'!$W$6:$W$10005,$W3740)&gt;0),N(U3739),N(U3739)+1))</f>
        <v/>
      </c>
      <c r="V3740" s="19">
        <f>IF($B3740="","",TEXT($B3740,"0000"))</f>
        <v/>
      </c>
      <c r="W3740" s="19">
        <f>IF($I3740="","",IF(ISNUMBER($I3740),TEXT($I3740,"0"),$I3740))</f>
        <v/>
      </c>
    </row>
    <row r="3741">
      <c r="B3741" s="25" t="n"/>
      <c r="I3741" s="25" t="n"/>
      <c r="U3741" s="19">
        <f>IF($V3741&lt;&gt;'設定'!$C$4,N(U3740),IF(OR(NOT(COUNTIF('商品マスタ'!$B$6:$B$1005,$W3741)=0),COUNTIFS('①在庫を貼る'!$V$6:$V$10005,$V3741,'①在庫を貼る'!$W$6:$W$10005,$W3741)&gt;0),N(U3740),N(U3740)+1))</f>
        <v/>
      </c>
      <c r="V3741" s="19">
        <f>IF($B3741="","",TEXT($B3741,"0000"))</f>
        <v/>
      </c>
      <c r="W3741" s="19">
        <f>IF($I3741="","",IF(ISNUMBER($I3741),TEXT($I3741,"0"),$I3741))</f>
        <v/>
      </c>
    </row>
    <row r="3742">
      <c r="B3742" s="25" t="n"/>
      <c r="I3742" s="25" t="n"/>
      <c r="U3742" s="19">
        <f>IF($V3742&lt;&gt;'設定'!$C$4,N(U3741),IF(OR(NOT(COUNTIF('商品マスタ'!$B$6:$B$1005,$W3742)=0),COUNTIFS('①在庫を貼る'!$V$6:$V$10005,$V3742,'①在庫を貼る'!$W$6:$W$10005,$W3742)&gt;0),N(U3741),N(U3741)+1))</f>
        <v/>
      </c>
      <c r="V3742" s="19">
        <f>IF($B3742="","",TEXT($B3742,"0000"))</f>
        <v/>
      </c>
      <c r="W3742" s="19">
        <f>IF($I3742="","",IF(ISNUMBER($I3742),TEXT($I3742,"0"),$I3742))</f>
        <v/>
      </c>
    </row>
    <row r="3743">
      <c r="B3743" s="25" t="n"/>
      <c r="I3743" s="25" t="n"/>
      <c r="U3743" s="19">
        <f>IF($V3743&lt;&gt;'設定'!$C$4,N(U3742),IF(OR(NOT(COUNTIF('商品マスタ'!$B$6:$B$1005,$W3743)=0),COUNTIFS('①在庫を貼る'!$V$6:$V$10005,$V3743,'①在庫を貼る'!$W$6:$W$10005,$W3743)&gt;0),N(U3742),N(U3742)+1))</f>
        <v/>
      </c>
      <c r="V3743" s="19">
        <f>IF($B3743="","",TEXT($B3743,"0000"))</f>
        <v/>
      </c>
      <c r="W3743" s="19">
        <f>IF($I3743="","",IF(ISNUMBER($I3743),TEXT($I3743,"0"),$I3743))</f>
        <v/>
      </c>
    </row>
    <row r="3744">
      <c r="B3744" s="25" t="n"/>
      <c r="I3744" s="25" t="n"/>
      <c r="U3744" s="19">
        <f>IF($V3744&lt;&gt;'設定'!$C$4,N(U3743),IF(OR(NOT(COUNTIF('商品マスタ'!$B$6:$B$1005,$W3744)=0),COUNTIFS('①在庫を貼る'!$V$6:$V$10005,$V3744,'①在庫を貼る'!$W$6:$W$10005,$W3744)&gt;0),N(U3743),N(U3743)+1))</f>
        <v/>
      </c>
      <c r="V3744" s="19">
        <f>IF($B3744="","",TEXT($B3744,"0000"))</f>
        <v/>
      </c>
      <c r="W3744" s="19">
        <f>IF($I3744="","",IF(ISNUMBER($I3744),TEXT($I3744,"0"),$I3744))</f>
        <v/>
      </c>
    </row>
    <row r="3745">
      <c r="B3745" s="25" t="n"/>
      <c r="I3745" s="25" t="n"/>
      <c r="U3745" s="19">
        <f>IF($V3745&lt;&gt;'設定'!$C$4,N(U3744),IF(OR(NOT(COUNTIF('商品マスタ'!$B$6:$B$1005,$W3745)=0),COUNTIFS('①在庫を貼る'!$V$6:$V$10005,$V3745,'①在庫を貼る'!$W$6:$W$10005,$W3745)&gt;0),N(U3744),N(U3744)+1))</f>
        <v/>
      </c>
      <c r="V3745" s="19">
        <f>IF($B3745="","",TEXT($B3745,"0000"))</f>
        <v/>
      </c>
      <c r="W3745" s="19">
        <f>IF($I3745="","",IF(ISNUMBER($I3745),TEXT($I3745,"0"),$I3745))</f>
        <v/>
      </c>
    </row>
    <row r="3746">
      <c r="B3746" s="25" t="n"/>
      <c r="I3746" s="25" t="n"/>
      <c r="U3746" s="19">
        <f>IF($V3746&lt;&gt;'設定'!$C$4,N(U3745),IF(OR(NOT(COUNTIF('商品マスタ'!$B$6:$B$1005,$W3746)=0),COUNTIFS('①在庫を貼る'!$V$6:$V$10005,$V3746,'①在庫を貼る'!$W$6:$W$10005,$W3746)&gt;0),N(U3745),N(U3745)+1))</f>
        <v/>
      </c>
      <c r="V3746" s="19">
        <f>IF($B3746="","",TEXT($B3746,"0000"))</f>
        <v/>
      </c>
      <c r="W3746" s="19">
        <f>IF($I3746="","",IF(ISNUMBER($I3746),TEXT($I3746,"0"),$I3746))</f>
        <v/>
      </c>
    </row>
    <row r="3747">
      <c r="B3747" s="25" t="n"/>
      <c r="I3747" s="25" t="n"/>
      <c r="U3747" s="19">
        <f>IF($V3747&lt;&gt;'設定'!$C$4,N(U3746),IF(OR(NOT(COUNTIF('商品マスタ'!$B$6:$B$1005,$W3747)=0),COUNTIFS('①在庫を貼る'!$V$6:$V$10005,$V3747,'①在庫を貼る'!$W$6:$W$10005,$W3747)&gt;0),N(U3746),N(U3746)+1))</f>
        <v/>
      </c>
      <c r="V3747" s="19">
        <f>IF($B3747="","",TEXT($B3747,"0000"))</f>
        <v/>
      </c>
      <c r="W3747" s="19">
        <f>IF($I3747="","",IF(ISNUMBER($I3747),TEXT($I3747,"0"),$I3747))</f>
        <v/>
      </c>
    </row>
    <row r="3748">
      <c r="B3748" s="25" t="n"/>
      <c r="I3748" s="25" t="n"/>
      <c r="U3748" s="19">
        <f>IF($V3748&lt;&gt;'設定'!$C$4,N(U3747),IF(OR(NOT(COUNTIF('商品マスタ'!$B$6:$B$1005,$W3748)=0),COUNTIFS('①在庫を貼る'!$V$6:$V$10005,$V3748,'①在庫を貼る'!$W$6:$W$10005,$W3748)&gt;0),N(U3747),N(U3747)+1))</f>
        <v/>
      </c>
      <c r="V3748" s="19">
        <f>IF($B3748="","",TEXT($B3748,"0000"))</f>
        <v/>
      </c>
      <c r="W3748" s="19">
        <f>IF($I3748="","",IF(ISNUMBER($I3748),TEXT($I3748,"0"),$I3748))</f>
        <v/>
      </c>
    </row>
    <row r="3749">
      <c r="B3749" s="25" t="n"/>
      <c r="I3749" s="25" t="n"/>
      <c r="U3749" s="19">
        <f>IF($V3749&lt;&gt;'設定'!$C$4,N(U3748),IF(OR(NOT(COUNTIF('商品マスタ'!$B$6:$B$1005,$W3749)=0),COUNTIFS('①在庫を貼る'!$V$6:$V$10005,$V3749,'①在庫を貼る'!$W$6:$W$10005,$W3749)&gt;0),N(U3748),N(U3748)+1))</f>
        <v/>
      </c>
      <c r="V3749" s="19">
        <f>IF($B3749="","",TEXT($B3749,"0000"))</f>
        <v/>
      </c>
      <c r="W3749" s="19">
        <f>IF($I3749="","",IF(ISNUMBER($I3749),TEXT($I3749,"0"),$I3749))</f>
        <v/>
      </c>
    </row>
    <row r="3750">
      <c r="B3750" s="25" t="n"/>
      <c r="I3750" s="25" t="n"/>
      <c r="U3750" s="19">
        <f>IF($V3750&lt;&gt;'設定'!$C$4,N(U3749),IF(OR(NOT(COUNTIF('商品マスタ'!$B$6:$B$1005,$W3750)=0),COUNTIFS('①在庫を貼る'!$V$6:$V$10005,$V3750,'①在庫を貼る'!$W$6:$W$10005,$W3750)&gt;0),N(U3749),N(U3749)+1))</f>
        <v/>
      </c>
      <c r="V3750" s="19">
        <f>IF($B3750="","",TEXT($B3750,"0000"))</f>
        <v/>
      </c>
      <c r="W3750" s="19">
        <f>IF($I3750="","",IF(ISNUMBER($I3750),TEXT($I3750,"0"),$I3750))</f>
        <v/>
      </c>
    </row>
    <row r="3751">
      <c r="B3751" s="25" t="n"/>
      <c r="I3751" s="25" t="n"/>
      <c r="U3751" s="19">
        <f>IF($V3751&lt;&gt;'設定'!$C$4,N(U3750),IF(OR(NOT(COUNTIF('商品マスタ'!$B$6:$B$1005,$W3751)=0),COUNTIFS('①在庫を貼る'!$V$6:$V$10005,$V3751,'①在庫を貼る'!$W$6:$W$10005,$W3751)&gt;0),N(U3750),N(U3750)+1))</f>
        <v/>
      </c>
      <c r="V3751" s="19">
        <f>IF($B3751="","",TEXT($B3751,"0000"))</f>
        <v/>
      </c>
      <c r="W3751" s="19">
        <f>IF($I3751="","",IF(ISNUMBER($I3751),TEXT($I3751,"0"),$I3751))</f>
        <v/>
      </c>
    </row>
    <row r="3752">
      <c r="B3752" s="25" t="n"/>
      <c r="I3752" s="25" t="n"/>
      <c r="U3752" s="19">
        <f>IF($V3752&lt;&gt;'設定'!$C$4,N(U3751),IF(OR(NOT(COUNTIF('商品マスタ'!$B$6:$B$1005,$W3752)=0),COUNTIFS('①在庫を貼る'!$V$6:$V$10005,$V3752,'①在庫を貼る'!$W$6:$W$10005,$W3752)&gt;0),N(U3751),N(U3751)+1))</f>
        <v/>
      </c>
      <c r="V3752" s="19">
        <f>IF($B3752="","",TEXT($B3752,"0000"))</f>
        <v/>
      </c>
      <c r="W3752" s="19">
        <f>IF($I3752="","",IF(ISNUMBER($I3752),TEXT($I3752,"0"),$I3752))</f>
        <v/>
      </c>
    </row>
    <row r="3753">
      <c r="B3753" s="25" t="n"/>
      <c r="I3753" s="25" t="n"/>
      <c r="U3753" s="19">
        <f>IF($V3753&lt;&gt;'設定'!$C$4,N(U3752),IF(OR(NOT(COUNTIF('商品マスタ'!$B$6:$B$1005,$W3753)=0),COUNTIFS('①在庫を貼る'!$V$6:$V$10005,$V3753,'①在庫を貼る'!$W$6:$W$10005,$W3753)&gt;0),N(U3752),N(U3752)+1))</f>
        <v/>
      </c>
      <c r="V3753" s="19">
        <f>IF($B3753="","",TEXT($B3753,"0000"))</f>
        <v/>
      </c>
      <c r="W3753" s="19">
        <f>IF($I3753="","",IF(ISNUMBER($I3753),TEXT($I3753,"0"),$I3753))</f>
        <v/>
      </c>
    </row>
    <row r="3754">
      <c r="B3754" s="25" t="n"/>
      <c r="I3754" s="25" t="n"/>
      <c r="U3754" s="19">
        <f>IF($V3754&lt;&gt;'設定'!$C$4,N(U3753),IF(OR(NOT(COUNTIF('商品マスタ'!$B$6:$B$1005,$W3754)=0),COUNTIFS('①在庫を貼る'!$V$6:$V$10005,$V3754,'①在庫を貼る'!$W$6:$W$10005,$W3754)&gt;0),N(U3753),N(U3753)+1))</f>
        <v/>
      </c>
      <c r="V3754" s="19">
        <f>IF($B3754="","",TEXT($B3754,"0000"))</f>
        <v/>
      </c>
      <c r="W3754" s="19">
        <f>IF($I3754="","",IF(ISNUMBER($I3754),TEXT($I3754,"0"),$I3754))</f>
        <v/>
      </c>
    </row>
    <row r="3755">
      <c r="B3755" s="25" t="n"/>
      <c r="I3755" s="25" t="n"/>
      <c r="U3755" s="19">
        <f>IF($V3755&lt;&gt;'設定'!$C$4,N(U3754),IF(OR(NOT(COUNTIF('商品マスタ'!$B$6:$B$1005,$W3755)=0),COUNTIFS('①在庫を貼る'!$V$6:$V$10005,$V3755,'①在庫を貼る'!$W$6:$W$10005,$W3755)&gt;0),N(U3754),N(U3754)+1))</f>
        <v/>
      </c>
      <c r="V3755" s="19">
        <f>IF($B3755="","",TEXT($B3755,"0000"))</f>
        <v/>
      </c>
      <c r="W3755" s="19">
        <f>IF($I3755="","",IF(ISNUMBER($I3755),TEXT($I3755,"0"),$I3755))</f>
        <v/>
      </c>
    </row>
    <row r="3756">
      <c r="B3756" s="25" t="n"/>
      <c r="I3756" s="25" t="n"/>
      <c r="U3756" s="19">
        <f>IF($V3756&lt;&gt;'設定'!$C$4,N(U3755),IF(OR(NOT(COUNTIF('商品マスタ'!$B$6:$B$1005,$W3756)=0),COUNTIFS('①在庫を貼る'!$V$6:$V$10005,$V3756,'①在庫を貼る'!$W$6:$W$10005,$W3756)&gt;0),N(U3755),N(U3755)+1))</f>
        <v/>
      </c>
      <c r="V3756" s="19">
        <f>IF($B3756="","",TEXT($B3756,"0000"))</f>
        <v/>
      </c>
      <c r="W3756" s="19">
        <f>IF($I3756="","",IF(ISNUMBER($I3756),TEXT($I3756,"0"),$I3756))</f>
        <v/>
      </c>
    </row>
    <row r="3757">
      <c r="B3757" s="25" t="n"/>
      <c r="I3757" s="25" t="n"/>
      <c r="U3757" s="19">
        <f>IF($V3757&lt;&gt;'設定'!$C$4,N(U3756),IF(OR(NOT(COUNTIF('商品マスタ'!$B$6:$B$1005,$W3757)=0),COUNTIFS('①在庫を貼る'!$V$6:$V$10005,$V3757,'①在庫を貼る'!$W$6:$W$10005,$W3757)&gt;0),N(U3756),N(U3756)+1))</f>
        <v/>
      </c>
      <c r="V3757" s="19">
        <f>IF($B3757="","",TEXT($B3757,"0000"))</f>
        <v/>
      </c>
      <c r="W3757" s="19">
        <f>IF($I3757="","",IF(ISNUMBER($I3757),TEXT($I3757,"0"),$I3757))</f>
        <v/>
      </c>
    </row>
    <row r="3758">
      <c r="B3758" s="25" t="n"/>
      <c r="I3758" s="25" t="n"/>
      <c r="U3758" s="19">
        <f>IF($V3758&lt;&gt;'設定'!$C$4,N(U3757),IF(OR(NOT(COUNTIF('商品マスタ'!$B$6:$B$1005,$W3758)=0),COUNTIFS('①在庫を貼る'!$V$6:$V$10005,$V3758,'①在庫を貼る'!$W$6:$W$10005,$W3758)&gt;0),N(U3757),N(U3757)+1))</f>
        <v/>
      </c>
      <c r="V3758" s="19">
        <f>IF($B3758="","",TEXT($B3758,"0000"))</f>
        <v/>
      </c>
      <c r="W3758" s="19">
        <f>IF($I3758="","",IF(ISNUMBER($I3758),TEXT($I3758,"0"),$I3758))</f>
        <v/>
      </c>
    </row>
    <row r="3759">
      <c r="B3759" s="25" t="n"/>
      <c r="I3759" s="25" t="n"/>
      <c r="U3759" s="19">
        <f>IF($V3759&lt;&gt;'設定'!$C$4,N(U3758),IF(OR(NOT(COUNTIF('商品マスタ'!$B$6:$B$1005,$W3759)=0),COUNTIFS('①在庫を貼る'!$V$6:$V$10005,$V3759,'①在庫を貼る'!$W$6:$W$10005,$W3759)&gt;0),N(U3758),N(U3758)+1))</f>
        <v/>
      </c>
      <c r="V3759" s="19">
        <f>IF($B3759="","",TEXT($B3759,"0000"))</f>
        <v/>
      </c>
      <c r="W3759" s="19">
        <f>IF($I3759="","",IF(ISNUMBER($I3759),TEXT($I3759,"0"),$I3759))</f>
        <v/>
      </c>
    </row>
    <row r="3760">
      <c r="B3760" s="25" t="n"/>
      <c r="I3760" s="25" t="n"/>
      <c r="U3760" s="19">
        <f>IF($V3760&lt;&gt;'設定'!$C$4,N(U3759),IF(OR(NOT(COUNTIF('商品マスタ'!$B$6:$B$1005,$W3760)=0),COUNTIFS('①在庫を貼る'!$V$6:$V$10005,$V3760,'①在庫を貼る'!$W$6:$W$10005,$W3760)&gt;0),N(U3759),N(U3759)+1))</f>
        <v/>
      </c>
      <c r="V3760" s="19">
        <f>IF($B3760="","",TEXT($B3760,"0000"))</f>
        <v/>
      </c>
      <c r="W3760" s="19">
        <f>IF($I3760="","",IF(ISNUMBER($I3760),TEXT($I3760,"0"),$I3760))</f>
        <v/>
      </c>
    </row>
    <row r="3761">
      <c r="B3761" s="25" t="n"/>
      <c r="I3761" s="25" t="n"/>
      <c r="U3761" s="19">
        <f>IF($V3761&lt;&gt;'設定'!$C$4,N(U3760),IF(OR(NOT(COUNTIF('商品マスタ'!$B$6:$B$1005,$W3761)=0),COUNTIFS('①在庫を貼る'!$V$6:$V$10005,$V3761,'①在庫を貼る'!$W$6:$W$10005,$W3761)&gt;0),N(U3760),N(U3760)+1))</f>
        <v/>
      </c>
      <c r="V3761" s="19">
        <f>IF($B3761="","",TEXT($B3761,"0000"))</f>
        <v/>
      </c>
      <c r="W3761" s="19">
        <f>IF($I3761="","",IF(ISNUMBER($I3761),TEXT($I3761,"0"),$I3761))</f>
        <v/>
      </c>
    </row>
    <row r="3762">
      <c r="B3762" s="25" t="n"/>
      <c r="I3762" s="25" t="n"/>
      <c r="U3762" s="19">
        <f>IF($V3762&lt;&gt;'設定'!$C$4,N(U3761),IF(OR(NOT(COUNTIF('商品マスタ'!$B$6:$B$1005,$W3762)=0),COUNTIFS('①在庫を貼る'!$V$6:$V$10005,$V3762,'①在庫を貼る'!$W$6:$W$10005,$W3762)&gt;0),N(U3761),N(U3761)+1))</f>
        <v/>
      </c>
      <c r="V3762" s="19">
        <f>IF($B3762="","",TEXT($B3762,"0000"))</f>
        <v/>
      </c>
      <c r="W3762" s="19">
        <f>IF($I3762="","",IF(ISNUMBER($I3762),TEXT($I3762,"0"),$I3762))</f>
        <v/>
      </c>
    </row>
    <row r="3763">
      <c r="B3763" s="25" t="n"/>
      <c r="I3763" s="25" t="n"/>
      <c r="U3763" s="19">
        <f>IF($V3763&lt;&gt;'設定'!$C$4,N(U3762),IF(OR(NOT(COUNTIF('商品マスタ'!$B$6:$B$1005,$W3763)=0),COUNTIFS('①在庫を貼る'!$V$6:$V$10005,$V3763,'①在庫を貼る'!$W$6:$W$10005,$W3763)&gt;0),N(U3762),N(U3762)+1))</f>
        <v/>
      </c>
      <c r="V3763" s="19">
        <f>IF($B3763="","",TEXT($B3763,"0000"))</f>
        <v/>
      </c>
      <c r="W3763" s="19">
        <f>IF($I3763="","",IF(ISNUMBER($I3763),TEXT($I3763,"0"),$I3763))</f>
        <v/>
      </c>
    </row>
    <row r="3764">
      <c r="B3764" s="25" t="n"/>
      <c r="I3764" s="25" t="n"/>
      <c r="U3764" s="19">
        <f>IF($V3764&lt;&gt;'設定'!$C$4,N(U3763),IF(OR(NOT(COUNTIF('商品マスタ'!$B$6:$B$1005,$W3764)=0),COUNTIFS('①在庫を貼る'!$V$6:$V$10005,$V3764,'①在庫を貼る'!$W$6:$W$10005,$W3764)&gt;0),N(U3763),N(U3763)+1))</f>
        <v/>
      </c>
      <c r="V3764" s="19">
        <f>IF($B3764="","",TEXT($B3764,"0000"))</f>
        <v/>
      </c>
      <c r="W3764" s="19">
        <f>IF($I3764="","",IF(ISNUMBER($I3764),TEXT($I3764,"0"),$I3764))</f>
        <v/>
      </c>
    </row>
    <row r="3765">
      <c r="B3765" s="25" t="n"/>
      <c r="I3765" s="25" t="n"/>
      <c r="U3765" s="19">
        <f>IF($V3765&lt;&gt;'設定'!$C$4,N(U3764),IF(OR(NOT(COUNTIF('商品マスタ'!$B$6:$B$1005,$W3765)=0),COUNTIFS('①在庫を貼る'!$V$6:$V$10005,$V3765,'①在庫を貼る'!$W$6:$W$10005,$W3765)&gt;0),N(U3764),N(U3764)+1))</f>
        <v/>
      </c>
      <c r="V3765" s="19">
        <f>IF($B3765="","",TEXT($B3765,"0000"))</f>
        <v/>
      </c>
      <c r="W3765" s="19">
        <f>IF($I3765="","",IF(ISNUMBER($I3765),TEXT($I3765,"0"),$I3765))</f>
        <v/>
      </c>
    </row>
    <row r="3766">
      <c r="B3766" s="25" t="n"/>
      <c r="I3766" s="25" t="n"/>
      <c r="U3766" s="19">
        <f>IF($V3766&lt;&gt;'設定'!$C$4,N(U3765),IF(OR(NOT(COUNTIF('商品マスタ'!$B$6:$B$1005,$W3766)=0),COUNTIFS('①在庫を貼る'!$V$6:$V$10005,$V3766,'①在庫を貼る'!$W$6:$W$10005,$W3766)&gt;0),N(U3765),N(U3765)+1))</f>
        <v/>
      </c>
      <c r="V3766" s="19">
        <f>IF($B3766="","",TEXT($B3766,"0000"))</f>
        <v/>
      </c>
      <c r="W3766" s="19">
        <f>IF($I3766="","",IF(ISNUMBER($I3766),TEXT($I3766,"0"),$I3766))</f>
        <v/>
      </c>
    </row>
    <row r="3767">
      <c r="B3767" s="25" t="n"/>
      <c r="I3767" s="25" t="n"/>
      <c r="U3767" s="19">
        <f>IF($V3767&lt;&gt;'設定'!$C$4,N(U3766),IF(OR(NOT(COUNTIF('商品マスタ'!$B$6:$B$1005,$W3767)=0),COUNTIFS('①在庫を貼る'!$V$6:$V$10005,$V3767,'①在庫を貼る'!$W$6:$W$10005,$W3767)&gt;0),N(U3766),N(U3766)+1))</f>
        <v/>
      </c>
      <c r="V3767" s="19">
        <f>IF($B3767="","",TEXT($B3767,"0000"))</f>
        <v/>
      </c>
      <c r="W3767" s="19">
        <f>IF($I3767="","",IF(ISNUMBER($I3767),TEXT($I3767,"0"),$I3767))</f>
        <v/>
      </c>
    </row>
    <row r="3768">
      <c r="B3768" s="25" t="n"/>
      <c r="I3768" s="25" t="n"/>
      <c r="U3768" s="19">
        <f>IF($V3768&lt;&gt;'設定'!$C$4,N(U3767),IF(OR(NOT(COUNTIF('商品マスタ'!$B$6:$B$1005,$W3768)=0),COUNTIFS('①在庫を貼る'!$V$6:$V$10005,$V3768,'①在庫を貼る'!$W$6:$W$10005,$W3768)&gt;0),N(U3767),N(U3767)+1))</f>
        <v/>
      </c>
      <c r="V3768" s="19">
        <f>IF($B3768="","",TEXT($B3768,"0000"))</f>
        <v/>
      </c>
      <c r="W3768" s="19">
        <f>IF($I3768="","",IF(ISNUMBER($I3768),TEXT($I3768,"0"),$I3768))</f>
        <v/>
      </c>
    </row>
    <row r="3769">
      <c r="B3769" s="25" t="n"/>
      <c r="I3769" s="25" t="n"/>
      <c r="U3769" s="19">
        <f>IF($V3769&lt;&gt;'設定'!$C$4,N(U3768),IF(OR(NOT(COUNTIF('商品マスタ'!$B$6:$B$1005,$W3769)=0),COUNTIFS('①在庫を貼る'!$V$6:$V$10005,$V3769,'①在庫を貼る'!$W$6:$W$10005,$W3769)&gt;0),N(U3768),N(U3768)+1))</f>
        <v/>
      </c>
      <c r="V3769" s="19">
        <f>IF($B3769="","",TEXT($B3769,"0000"))</f>
        <v/>
      </c>
      <c r="W3769" s="19">
        <f>IF($I3769="","",IF(ISNUMBER($I3769),TEXT($I3769,"0"),$I3769))</f>
        <v/>
      </c>
    </row>
    <row r="3770">
      <c r="B3770" s="25" t="n"/>
      <c r="I3770" s="25" t="n"/>
      <c r="U3770" s="19">
        <f>IF($V3770&lt;&gt;'設定'!$C$4,N(U3769),IF(OR(NOT(COUNTIF('商品マスタ'!$B$6:$B$1005,$W3770)=0),COUNTIFS('①在庫を貼る'!$V$6:$V$10005,$V3770,'①在庫を貼る'!$W$6:$W$10005,$W3770)&gt;0),N(U3769),N(U3769)+1))</f>
        <v/>
      </c>
      <c r="V3770" s="19">
        <f>IF($B3770="","",TEXT($B3770,"0000"))</f>
        <v/>
      </c>
      <c r="W3770" s="19">
        <f>IF($I3770="","",IF(ISNUMBER($I3770),TEXT($I3770,"0"),$I3770))</f>
        <v/>
      </c>
    </row>
    <row r="3771">
      <c r="B3771" s="25" t="n"/>
      <c r="I3771" s="25" t="n"/>
      <c r="U3771" s="19">
        <f>IF($V3771&lt;&gt;'設定'!$C$4,N(U3770),IF(OR(NOT(COUNTIF('商品マスタ'!$B$6:$B$1005,$W3771)=0),COUNTIFS('①在庫を貼る'!$V$6:$V$10005,$V3771,'①在庫を貼る'!$W$6:$W$10005,$W3771)&gt;0),N(U3770),N(U3770)+1))</f>
        <v/>
      </c>
      <c r="V3771" s="19">
        <f>IF($B3771="","",TEXT($B3771,"0000"))</f>
        <v/>
      </c>
      <c r="W3771" s="19">
        <f>IF($I3771="","",IF(ISNUMBER($I3771),TEXT($I3771,"0"),$I3771))</f>
        <v/>
      </c>
    </row>
    <row r="3772">
      <c r="B3772" s="25" t="n"/>
      <c r="I3772" s="25" t="n"/>
      <c r="U3772" s="19">
        <f>IF($V3772&lt;&gt;'設定'!$C$4,N(U3771),IF(OR(NOT(COUNTIF('商品マスタ'!$B$6:$B$1005,$W3772)=0),COUNTIFS('①在庫を貼る'!$V$6:$V$10005,$V3772,'①在庫を貼る'!$W$6:$W$10005,$W3772)&gt;0),N(U3771),N(U3771)+1))</f>
        <v/>
      </c>
      <c r="V3772" s="19">
        <f>IF($B3772="","",TEXT($B3772,"0000"))</f>
        <v/>
      </c>
      <c r="W3772" s="19">
        <f>IF($I3772="","",IF(ISNUMBER($I3772),TEXT($I3772,"0"),$I3772))</f>
        <v/>
      </c>
    </row>
    <row r="3773">
      <c r="B3773" s="25" t="n"/>
      <c r="I3773" s="25" t="n"/>
      <c r="U3773" s="19">
        <f>IF($V3773&lt;&gt;'設定'!$C$4,N(U3772),IF(OR(NOT(COUNTIF('商品マスタ'!$B$6:$B$1005,$W3773)=0),COUNTIFS('①在庫を貼る'!$V$6:$V$10005,$V3773,'①在庫を貼る'!$W$6:$W$10005,$W3773)&gt;0),N(U3772),N(U3772)+1))</f>
        <v/>
      </c>
      <c r="V3773" s="19">
        <f>IF($B3773="","",TEXT($B3773,"0000"))</f>
        <v/>
      </c>
      <c r="W3773" s="19">
        <f>IF($I3773="","",IF(ISNUMBER($I3773),TEXT($I3773,"0"),$I3773))</f>
        <v/>
      </c>
    </row>
    <row r="3774">
      <c r="B3774" s="25" t="n"/>
      <c r="I3774" s="25" t="n"/>
      <c r="U3774" s="19">
        <f>IF($V3774&lt;&gt;'設定'!$C$4,N(U3773),IF(OR(NOT(COUNTIF('商品マスタ'!$B$6:$B$1005,$W3774)=0),COUNTIFS('①在庫を貼る'!$V$6:$V$10005,$V3774,'①在庫を貼る'!$W$6:$W$10005,$W3774)&gt;0),N(U3773),N(U3773)+1))</f>
        <v/>
      </c>
      <c r="V3774" s="19">
        <f>IF($B3774="","",TEXT($B3774,"0000"))</f>
        <v/>
      </c>
      <c r="W3774" s="19">
        <f>IF($I3774="","",IF(ISNUMBER($I3774),TEXT($I3774,"0"),$I3774))</f>
        <v/>
      </c>
    </row>
    <row r="3775">
      <c r="B3775" s="25" t="n"/>
      <c r="I3775" s="25" t="n"/>
      <c r="U3775" s="19">
        <f>IF($V3775&lt;&gt;'設定'!$C$4,N(U3774),IF(OR(NOT(COUNTIF('商品マスタ'!$B$6:$B$1005,$W3775)=0),COUNTIFS('①在庫を貼る'!$V$6:$V$10005,$V3775,'①在庫を貼る'!$W$6:$W$10005,$W3775)&gt;0),N(U3774),N(U3774)+1))</f>
        <v/>
      </c>
      <c r="V3775" s="19">
        <f>IF($B3775="","",TEXT($B3775,"0000"))</f>
        <v/>
      </c>
      <c r="W3775" s="19">
        <f>IF($I3775="","",IF(ISNUMBER($I3775),TEXT($I3775,"0"),$I3775))</f>
        <v/>
      </c>
    </row>
    <row r="3776">
      <c r="B3776" s="25" t="n"/>
      <c r="I3776" s="25" t="n"/>
      <c r="U3776" s="19">
        <f>IF($V3776&lt;&gt;'設定'!$C$4,N(U3775),IF(OR(NOT(COUNTIF('商品マスタ'!$B$6:$B$1005,$W3776)=0),COUNTIFS('①在庫を貼る'!$V$6:$V$10005,$V3776,'①在庫を貼る'!$W$6:$W$10005,$W3776)&gt;0),N(U3775),N(U3775)+1))</f>
        <v/>
      </c>
      <c r="V3776" s="19">
        <f>IF($B3776="","",TEXT($B3776,"0000"))</f>
        <v/>
      </c>
      <c r="W3776" s="19">
        <f>IF($I3776="","",IF(ISNUMBER($I3776),TEXT($I3776,"0"),$I3776))</f>
        <v/>
      </c>
    </row>
    <row r="3777">
      <c r="B3777" s="25" t="n"/>
      <c r="I3777" s="25" t="n"/>
      <c r="U3777" s="19">
        <f>IF($V3777&lt;&gt;'設定'!$C$4,N(U3776),IF(OR(NOT(COUNTIF('商品マスタ'!$B$6:$B$1005,$W3777)=0),COUNTIFS('①在庫を貼る'!$V$6:$V$10005,$V3777,'①在庫を貼る'!$W$6:$W$10005,$W3777)&gt;0),N(U3776),N(U3776)+1))</f>
        <v/>
      </c>
      <c r="V3777" s="19">
        <f>IF($B3777="","",TEXT($B3777,"0000"))</f>
        <v/>
      </c>
      <c r="W3777" s="19">
        <f>IF($I3777="","",IF(ISNUMBER($I3777),TEXT($I3777,"0"),$I3777))</f>
        <v/>
      </c>
    </row>
    <row r="3778">
      <c r="B3778" s="25" t="n"/>
      <c r="I3778" s="25" t="n"/>
      <c r="U3778" s="19">
        <f>IF($V3778&lt;&gt;'設定'!$C$4,N(U3777),IF(OR(NOT(COUNTIF('商品マスタ'!$B$6:$B$1005,$W3778)=0),COUNTIFS('①在庫を貼る'!$V$6:$V$10005,$V3778,'①在庫を貼る'!$W$6:$W$10005,$W3778)&gt;0),N(U3777),N(U3777)+1))</f>
        <v/>
      </c>
      <c r="V3778" s="19">
        <f>IF($B3778="","",TEXT($B3778,"0000"))</f>
        <v/>
      </c>
      <c r="W3778" s="19">
        <f>IF($I3778="","",IF(ISNUMBER($I3778),TEXT($I3778,"0"),$I3778))</f>
        <v/>
      </c>
    </row>
    <row r="3779">
      <c r="B3779" s="25" t="n"/>
      <c r="I3779" s="25" t="n"/>
      <c r="U3779" s="19">
        <f>IF($V3779&lt;&gt;'設定'!$C$4,N(U3778),IF(OR(NOT(COUNTIF('商品マスタ'!$B$6:$B$1005,$W3779)=0),COUNTIFS('①在庫を貼る'!$V$6:$V$10005,$V3779,'①在庫を貼る'!$W$6:$W$10005,$W3779)&gt;0),N(U3778),N(U3778)+1))</f>
        <v/>
      </c>
      <c r="V3779" s="19">
        <f>IF($B3779="","",TEXT($B3779,"0000"))</f>
        <v/>
      </c>
      <c r="W3779" s="19">
        <f>IF($I3779="","",IF(ISNUMBER($I3779),TEXT($I3779,"0"),$I3779))</f>
        <v/>
      </c>
    </row>
    <row r="3780">
      <c r="B3780" s="25" t="n"/>
      <c r="I3780" s="25" t="n"/>
      <c r="U3780" s="19">
        <f>IF($V3780&lt;&gt;'設定'!$C$4,N(U3779),IF(OR(NOT(COUNTIF('商品マスタ'!$B$6:$B$1005,$W3780)=0),COUNTIFS('①在庫を貼る'!$V$6:$V$10005,$V3780,'①在庫を貼る'!$W$6:$W$10005,$W3780)&gt;0),N(U3779),N(U3779)+1))</f>
        <v/>
      </c>
      <c r="V3780" s="19">
        <f>IF($B3780="","",TEXT($B3780,"0000"))</f>
        <v/>
      </c>
      <c r="W3780" s="19">
        <f>IF($I3780="","",IF(ISNUMBER($I3780),TEXT($I3780,"0"),$I3780))</f>
        <v/>
      </c>
    </row>
    <row r="3781">
      <c r="B3781" s="25" t="n"/>
      <c r="I3781" s="25" t="n"/>
      <c r="U3781" s="19">
        <f>IF($V3781&lt;&gt;'設定'!$C$4,N(U3780),IF(OR(NOT(COUNTIF('商品マスタ'!$B$6:$B$1005,$W3781)=0),COUNTIFS('①在庫を貼る'!$V$6:$V$10005,$V3781,'①在庫を貼る'!$W$6:$W$10005,$W3781)&gt;0),N(U3780),N(U3780)+1))</f>
        <v/>
      </c>
      <c r="V3781" s="19">
        <f>IF($B3781="","",TEXT($B3781,"0000"))</f>
        <v/>
      </c>
      <c r="W3781" s="19">
        <f>IF($I3781="","",IF(ISNUMBER($I3781),TEXT($I3781,"0"),$I3781))</f>
        <v/>
      </c>
    </row>
    <row r="3782">
      <c r="B3782" s="25" t="n"/>
      <c r="I3782" s="25" t="n"/>
      <c r="U3782" s="19">
        <f>IF($V3782&lt;&gt;'設定'!$C$4,N(U3781),IF(OR(NOT(COUNTIF('商品マスタ'!$B$6:$B$1005,$W3782)=0),COUNTIFS('①在庫を貼る'!$V$6:$V$10005,$V3782,'①在庫を貼る'!$W$6:$W$10005,$W3782)&gt;0),N(U3781),N(U3781)+1))</f>
        <v/>
      </c>
      <c r="V3782" s="19">
        <f>IF($B3782="","",TEXT($B3782,"0000"))</f>
        <v/>
      </c>
      <c r="W3782" s="19">
        <f>IF($I3782="","",IF(ISNUMBER($I3782),TEXT($I3782,"0"),$I3782))</f>
        <v/>
      </c>
    </row>
    <row r="3783">
      <c r="B3783" s="25" t="n"/>
      <c r="I3783" s="25" t="n"/>
      <c r="U3783" s="19">
        <f>IF($V3783&lt;&gt;'設定'!$C$4,N(U3782),IF(OR(NOT(COUNTIF('商品マスタ'!$B$6:$B$1005,$W3783)=0),COUNTIFS('①在庫を貼る'!$V$6:$V$10005,$V3783,'①在庫を貼る'!$W$6:$W$10005,$W3783)&gt;0),N(U3782),N(U3782)+1))</f>
        <v/>
      </c>
      <c r="V3783" s="19">
        <f>IF($B3783="","",TEXT($B3783,"0000"))</f>
        <v/>
      </c>
      <c r="W3783" s="19">
        <f>IF($I3783="","",IF(ISNUMBER($I3783),TEXT($I3783,"0"),$I3783))</f>
        <v/>
      </c>
    </row>
    <row r="3784">
      <c r="B3784" s="25" t="n"/>
      <c r="I3784" s="25" t="n"/>
      <c r="U3784" s="19">
        <f>IF($V3784&lt;&gt;'設定'!$C$4,N(U3783),IF(OR(NOT(COUNTIF('商品マスタ'!$B$6:$B$1005,$W3784)=0),COUNTIFS('①在庫を貼る'!$V$6:$V$10005,$V3784,'①在庫を貼る'!$W$6:$W$10005,$W3784)&gt;0),N(U3783),N(U3783)+1))</f>
        <v/>
      </c>
      <c r="V3784" s="19">
        <f>IF($B3784="","",TEXT($B3784,"0000"))</f>
        <v/>
      </c>
      <c r="W3784" s="19">
        <f>IF($I3784="","",IF(ISNUMBER($I3784),TEXT($I3784,"0"),$I3784))</f>
        <v/>
      </c>
    </row>
    <row r="3785">
      <c r="B3785" s="25" t="n"/>
      <c r="I3785" s="25" t="n"/>
      <c r="U3785" s="19">
        <f>IF($V3785&lt;&gt;'設定'!$C$4,N(U3784),IF(OR(NOT(COUNTIF('商品マスタ'!$B$6:$B$1005,$W3785)=0),COUNTIFS('①在庫を貼る'!$V$6:$V$10005,$V3785,'①在庫を貼る'!$W$6:$W$10005,$W3785)&gt;0),N(U3784),N(U3784)+1))</f>
        <v/>
      </c>
      <c r="V3785" s="19">
        <f>IF($B3785="","",TEXT($B3785,"0000"))</f>
        <v/>
      </c>
      <c r="W3785" s="19">
        <f>IF($I3785="","",IF(ISNUMBER($I3785),TEXT($I3785,"0"),$I3785))</f>
        <v/>
      </c>
    </row>
    <row r="3786">
      <c r="B3786" s="25" t="n"/>
      <c r="I3786" s="25" t="n"/>
      <c r="U3786" s="19">
        <f>IF($V3786&lt;&gt;'設定'!$C$4,N(U3785),IF(OR(NOT(COUNTIF('商品マスタ'!$B$6:$B$1005,$W3786)=0),COUNTIFS('①在庫を貼る'!$V$6:$V$10005,$V3786,'①在庫を貼る'!$W$6:$W$10005,$W3786)&gt;0),N(U3785),N(U3785)+1))</f>
        <v/>
      </c>
      <c r="V3786" s="19">
        <f>IF($B3786="","",TEXT($B3786,"0000"))</f>
        <v/>
      </c>
      <c r="W3786" s="19">
        <f>IF($I3786="","",IF(ISNUMBER($I3786),TEXT($I3786,"0"),$I3786))</f>
        <v/>
      </c>
    </row>
    <row r="3787">
      <c r="B3787" s="25" t="n"/>
      <c r="I3787" s="25" t="n"/>
      <c r="U3787" s="19">
        <f>IF($V3787&lt;&gt;'設定'!$C$4,N(U3786),IF(OR(NOT(COUNTIF('商品マスタ'!$B$6:$B$1005,$W3787)=0),COUNTIFS('①在庫を貼る'!$V$6:$V$10005,$V3787,'①在庫を貼る'!$W$6:$W$10005,$W3787)&gt;0),N(U3786),N(U3786)+1))</f>
        <v/>
      </c>
      <c r="V3787" s="19">
        <f>IF($B3787="","",TEXT($B3787,"0000"))</f>
        <v/>
      </c>
      <c r="W3787" s="19">
        <f>IF($I3787="","",IF(ISNUMBER($I3787),TEXT($I3787,"0"),$I3787))</f>
        <v/>
      </c>
    </row>
    <row r="3788">
      <c r="B3788" s="25" t="n"/>
      <c r="I3788" s="25" t="n"/>
      <c r="U3788" s="19">
        <f>IF($V3788&lt;&gt;'設定'!$C$4,N(U3787),IF(OR(NOT(COUNTIF('商品マスタ'!$B$6:$B$1005,$W3788)=0),COUNTIFS('①在庫を貼る'!$V$6:$V$10005,$V3788,'①在庫を貼る'!$W$6:$W$10005,$W3788)&gt;0),N(U3787),N(U3787)+1))</f>
        <v/>
      </c>
      <c r="V3788" s="19">
        <f>IF($B3788="","",TEXT($B3788,"0000"))</f>
        <v/>
      </c>
      <c r="W3788" s="19">
        <f>IF($I3788="","",IF(ISNUMBER($I3788),TEXT($I3788,"0"),$I3788))</f>
        <v/>
      </c>
    </row>
    <row r="3789">
      <c r="B3789" s="25" t="n"/>
      <c r="I3789" s="25" t="n"/>
      <c r="U3789" s="19">
        <f>IF($V3789&lt;&gt;'設定'!$C$4,N(U3788),IF(OR(NOT(COUNTIF('商品マスタ'!$B$6:$B$1005,$W3789)=0),COUNTIFS('①在庫を貼る'!$V$6:$V$10005,$V3789,'①在庫を貼る'!$W$6:$W$10005,$W3789)&gt;0),N(U3788),N(U3788)+1))</f>
        <v/>
      </c>
      <c r="V3789" s="19">
        <f>IF($B3789="","",TEXT($B3789,"0000"))</f>
        <v/>
      </c>
      <c r="W3789" s="19">
        <f>IF($I3789="","",IF(ISNUMBER($I3789),TEXT($I3789,"0"),$I3789))</f>
        <v/>
      </c>
    </row>
    <row r="3790">
      <c r="B3790" s="25" t="n"/>
      <c r="I3790" s="25" t="n"/>
      <c r="U3790" s="19">
        <f>IF($V3790&lt;&gt;'設定'!$C$4,N(U3789),IF(OR(NOT(COUNTIF('商品マスタ'!$B$6:$B$1005,$W3790)=0),COUNTIFS('①在庫を貼る'!$V$6:$V$10005,$V3790,'①在庫を貼る'!$W$6:$W$10005,$W3790)&gt;0),N(U3789),N(U3789)+1))</f>
        <v/>
      </c>
      <c r="V3790" s="19">
        <f>IF($B3790="","",TEXT($B3790,"0000"))</f>
        <v/>
      </c>
      <c r="W3790" s="19">
        <f>IF($I3790="","",IF(ISNUMBER($I3790),TEXT($I3790,"0"),$I3790))</f>
        <v/>
      </c>
    </row>
    <row r="3791">
      <c r="B3791" s="25" t="n"/>
      <c r="I3791" s="25" t="n"/>
      <c r="U3791" s="19">
        <f>IF($V3791&lt;&gt;'設定'!$C$4,N(U3790),IF(OR(NOT(COUNTIF('商品マスタ'!$B$6:$B$1005,$W3791)=0),COUNTIFS('①在庫を貼る'!$V$6:$V$10005,$V3791,'①在庫を貼る'!$W$6:$W$10005,$W3791)&gt;0),N(U3790),N(U3790)+1))</f>
        <v/>
      </c>
      <c r="V3791" s="19">
        <f>IF($B3791="","",TEXT($B3791,"0000"))</f>
        <v/>
      </c>
      <c r="W3791" s="19">
        <f>IF($I3791="","",IF(ISNUMBER($I3791),TEXT($I3791,"0"),$I3791))</f>
        <v/>
      </c>
    </row>
    <row r="3792">
      <c r="B3792" s="25" t="n"/>
      <c r="I3792" s="25" t="n"/>
      <c r="U3792" s="19">
        <f>IF($V3792&lt;&gt;'設定'!$C$4,N(U3791),IF(OR(NOT(COUNTIF('商品マスタ'!$B$6:$B$1005,$W3792)=0),COUNTIFS('①在庫を貼る'!$V$6:$V$10005,$V3792,'①在庫を貼る'!$W$6:$W$10005,$W3792)&gt;0),N(U3791),N(U3791)+1))</f>
        <v/>
      </c>
      <c r="V3792" s="19">
        <f>IF($B3792="","",TEXT($B3792,"0000"))</f>
        <v/>
      </c>
      <c r="W3792" s="19">
        <f>IF($I3792="","",IF(ISNUMBER($I3792),TEXT($I3792,"0"),$I3792))</f>
        <v/>
      </c>
    </row>
    <row r="3793">
      <c r="B3793" s="25" t="n"/>
      <c r="I3793" s="25" t="n"/>
      <c r="U3793" s="19">
        <f>IF($V3793&lt;&gt;'設定'!$C$4,N(U3792),IF(OR(NOT(COUNTIF('商品マスタ'!$B$6:$B$1005,$W3793)=0),COUNTIFS('①在庫を貼る'!$V$6:$V$10005,$V3793,'①在庫を貼る'!$W$6:$W$10005,$W3793)&gt;0),N(U3792),N(U3792)+1))</f>
        <v/>
      </c>
      <c r="V3793" s="19">
        <f>IF($B3793="","",TEXT($B3793,"0000"))</f>
        <v/>
      </c>
      <c r="W3793" s="19">
        <f>IF($I3793="","",IF(ISNUMBER($I3793),TEXT($I3793,"0"),$I3793))</f>
        <v/>
      </c>
    </row>
    <row r="3794">
      <c r="B3794" s="25" t="n"/>
      <c r="I3794" s="25" t="n"/>
      <c r="U3794" s="19">
        <f>IF($V3794&lt;&gt;'設定'!$C$4,N(U3793),IF(OR(NOT(COUNTIF('商品マスタ'!$B$6:$B$1005,$W3794)=0),COUNTIFS('①在庫を貼る'!$V$6:$V$10005,$V3794,'①在庫を貼る'!$W$6:$W$10005,$W3794)&gt;0),N(U3793),N(U3793)+1))</f>
        <v/>
      </c>
      <c r="V3794" s="19">
        <f>IF($B3794="","",TEXT($B3794,"0000"))</f>
        <v/>
      </c>
      <c r="W3794" s="19">
        <f>IF($I3794="","",IF(ISNUMBER($I3794),TEXT($I3794,"0"),$I3794))</f>
        <v/>
      </c>
    </row>
    <row r="3795">
      <c r="B3795" s="25" t="n"/>
      <c r="I3795" s="25" t="n"/>
      <c r="U3795" s="19">
        <f>IF($V3795&lt;&gt;'設定'!$C$4,N(U3794),IF(OR(NOT(COUNTIF('商品マスタ'!$B$6:$B$1005,$W3795)=0),COUNTIFS('①在庫を貼る'!$V$6:$V$10005,$V3795,'①在庫を貼る'!$W$6:$W$10005,$W3795)&gt;0),N(U3794),N(U3794)+1))</f>
        <v/>
      </c>
      <c r="V3795" s="19">
        <f>IF($B3795="","",TEXT($B3795,"0000"))</f>
        <v/>
      </c>
      <c r="W3795" s="19">
        <f>IF($I3795="","",IF(ISNUMBER($I3795),TEXT($I3795,"0"),$I3795))</f>
        <v/>
      </c>
    </row>
    <row r="3796">
      <c r="B3796" s="25" t="n"/>
      <c r="I3796" s="25" t="n"/>
      <c r="U3796" s="19">
        <f>IF($V3796&lt;&gt;'設定'!$C$4,N(U3795),IF(OR(NOT(COUNTIF('商品マスタ'!$B$6:$B$1005,$W3796)=0),COUNTIFS('①在庫を貼る'!$V$6:$V$10005,$V3796,'①在庫を貼る'!$W$6:$W$10005,$W3796)&gt;0),N(U3795),N(U3795)+1))</f>
        <v/>
      </c>
      <c r="V3796" s="19">
        <f>IF($B3796="","",TEXT($B3796,"0000"))</f>
        <v/>
      </c>
      <c r="W3796" s="19">
        <f>IF($I3796="","",IF(ISNUMBER($I3796),TEXT($I3796,"0"),$I3796))</f>
        <v/>
      </c>
    </row>
    <row r="3797">
      <c r="B3797" s="25" t="n"/>
      <c r="I3797" s="25" t="n"/>
      <c r="U3797" s="19">
        <f>IF($V3797&lt;&gt;'設定'!$C$4,N(U3796),IF(OR(NOT(COUNTIF('商品マスタ'!$B$6:$B$1005,$W3797)=0),COUNTIFS('①在庫を貼る'!$V$6:$V$10005,$V3797,'①在庫を貼る'!$W$6:$W$10005,$W3797)&gt;0),N(U3796),N(U3796)+1))</f>
        <v/>
      </c>
      <c r="V3797" s="19">
        <f>IF($B3797="","",TEXT($B3797,"0000"))</f>
        <v/>
      </c>
      <c r="W3797" s="19">
        <f>IF($I3797="","",IF(ISNUMBER($I3797),TEXT($I3797,"0"),$I3797))</f>
        <v/>
      </c>
    </row>
    <row r="3798">
      <c r="B3798" s="25" t="n"/>
      <c r="I3798" s="25" t="n"/>
      <c r="U3798" s="19">
        <f>IF($V3798&lt;&gt;'設定'!$C$4,N(U3797),IF(OR(NOT(COUNTIF('商品マスタ'!$B$6:$B$1005,$W3798)=0),COUNTIFS('①在庫を貼る'!$V$6:$V$10005,$V3798,'①在庫を貼る'!$W$6:$W$10005,$W3798)&gt;0),N(U3797),N(U3797)+1))</f>
        <v/>
      </c>
      <c r="V3798" s="19">
        <f>IF($B3798="","",TEXT($B3798,"0000"))</f>
        <v/>
      </c>
      <c r="W3798" s="19">
        <f>IF($I3798="","",IF(ISNUMBER($I3798),TEXT($I3798,"0"),$I3798))</f>
        <v/>
      </c>
    </row>
    <row r="3799">
      <c r="B3799" s="25" t="n"/>
      <c r="I3799" s="25" t="n"/>
      <c r="U3799" s="19">
        <f>IF($V3799&lt;&gt;'設定'!$C$4,N(U3798),IF(OR(NOT(COUNTIF('商品マスタ'!$B$6:$B$1005,$W3799)=0),COUNTIFS('①在庫を貼る'!$V$6:$V$10005,$V3799,'①在庫を貼る'!$W$6:$W$10005,$W3799)&gt;0),N(U3798),N(U3798)+1))</f>
        <v/>
      </c>
      <c r="V3799" s="19">
        <f>IF($B3799="","",TEXT($B3799,"0000"))</f>
        <v/>
      </c>
      <c r="W3799" s="19">
        <f>IF($I3799="","",IF(ISNUMBER($I3799),TEXT($I3799,"0"),$I3799))</f>
        <v/>
      </c>
    </row>
    <row r="3800">
      <c r="B3800" s="25" t="n"/>
      <c r="I3800" s="25" t="n"/>
      <c r="U3800" s="19">
        <f>IF($V3800&lt;&gt;'設定'!$C$4,N(U3799),IF(OR(NOT(COUNTIF('商品マスタ'!$B$6:$B$1005,$W3800)=0),COUNTIFS('①在庫を貼る'!$V$6:$V$10005,$V3800,'①在庫を貼る'!$W$6:$W$10005,$W3800)&gt;0),N(U3799),N(U3799)+1))</f>
        <v/>
      </c>
      <c r="V3800" s="19">
        <f>IF($B3800="","",TEXT($B3800,"0000"))</f>
        <v/>
      </c>
      <c r="W3800" s="19">
        <f>IF($I3800="","",IF(ISNUMBER($I3800),TEXT($I3800,"0"),$I3800))</f>
        <v/>
      </c>
    </row>
    <row r="3801">
      <c r="B3801" s="25" t="n"/>
      <c r="I3801" s="25" t="n"/>
      <c r="U3801" s="19">
        <f>IF($V3801&lt;&gt;'設定'!$C$4,N(U3800),IF(OR(NOT(COUNTIF('商品マスタ'!$B$6:$B$1005,$W3801)=0),COUNTIFS('①在庫を貼る'!$V$6:$V$10005,$V3801,'①在庫を貼る'!$W$6:$W$10005,$W3801)&gt;0),N(U3800),N(U3800)+1))</f>
        <v/>
      </c>
      <c r="V3801" s="19">
        <f>IF($B3801="","",TEXT($B3801,"0000"))</f>
        <v/>
      </c>
      <c r="W3801" s="19">
        <f>IF($I3801="","",IF(ISNUMBER($I3801),TEXT($I3801,"0"),$I3801))</f>
        <v/>
      </c>
    </row>
    <row r="3802">
      <c r="B3802" s="25" t="n"/>
      <c r="I3802" s="25" t="n"/>
      <c r="U3802" s="19">
        <f>IF($V3802&lt;&gt;'設定'!$C$4,N(U3801),IF(OR(NOT(COUNTIF('商品マスタ'!$B$6:$B$1005,$W3802)=0),COUNTIFS('①在庫を貼る'!$V$6:$V$10005,$V3802,'①在庫を貼る'!$W$6:$W$10005,$W3802)&gt;0),N(U3801),N(U3801)+1))</f>
        <v/>
      </c>
      <c r="V3802" s="19">
        <f>IF($B3802="","",TEXT($B3802,"0000"))</f>
        <v/>
      </c>
      <c r="W3802" s="19">
        <f>IF($I3802="","",IF(ISNUMBER($I3802),TEXT($I3802,"0"),$I3802))</f>
        <v/>
      </c>
    </row>
    <row r="3803">
      <c r="B3803" s="25" t="n"/>
      <c r="I3803" s="25" t="n"/>
      <c r="U3803" s="19">
        <f>IF($V3803&lt;&gt;'設定'!$C$4,N(U3802),IF(OR(NOT(COUNTIF('商品マスタ'!$B$6:$B$1005,$W3803)=0),COUNTIFS('①在庫を貼る'!$V$6:$V$10005,$V3803,'①在庫を貼る'!$W$6:$W$10005,$W3803)&gt;0),N(U3802),N(U3802)+1))</f>
        <v/>
      </c>
      <c r="V3803" s="19">
        <f>IF($B3803="","",TEXT($B3803,"0000"))</f>
        <v/>
      </c>
      <c r="W3803" s="19">
        <f>IF($I3803="","",IF(ISNUMBER($I3803),TEXT($I3803,"0"),$I3803))</f>
        <v/>
      </c>
    </row>
    <row r="3804">
      <c r="B3804" s="25" t="n"/>
      <c r="I3804" s="25" t="n"/>
      <c r="U3804" s="19">
        <f>IF($V3804&lt;&gt;'設定'!$C$4,N(U3803),IF(OR(NOT(COUNTIF('商品マスタ'!$B$6:$B$1005,$W3804)=0),COUNTIFS('①在庫を貼る'!$V$6:$V$10005,$V3804,'①在庫を貼る'!$W$6:$W$10005,$W3804)&gt;0),N(U3803),N(U3803)+1))</f>
        <v/>
      </c>
      <c r="V3804" s="19">
        <f>IF($B3804="","",TEXT($B3804,"0000"))</f>
        <v/>
      </c>
      <c r="W3804" s="19">
        <f>IF($I3804="","",IF(ISNUMBER($I3804),TEXT($I3804,"0"),$I3804))</f>
        <v/>
      </c>
    </row>
    <row r="3805">
      <c r="B3805" s="25" t="n"/>
      <c r="I3805" s="25" t="n"/>
      <c r="U3805" s="19">
        <f>IF($V3805&lt;&gt;'設定'!$C$4,N(U3804),IF(OR(NOT(COUNTIF('商品マスタ'!$B$6:$B$1005,$W3805)=0),COUNTIFS('①在庫を貼る'!$V$6:$V$10005,$V3805,'①在庫を貼る'!$W$6:$W$10005,$W3805)&gt;0),N(U3804),N(U3804)+1))</f>
        <v/>
      </c>
      <c r="V3805" s="19">
        <f>IF($B3805="","",TEXT($B3805,"0000"))</f>
        <v/>
      </c>
      <c r="W3805" s="19">
        <f>IF($I3805="","",IF(ISNUMBER($I3805),TEXT($I3805,"0"),$I3805))</f>
        <v/>
      </c>
    </row>
    <row r="3806">
      <c r="B3806" s="25" t="n"/>
      <c r="I3806" s="25" t="n"/>
      <c r="U3806" s="19">
        <f>IF($V3806&lt;&gt;'設定'!$C$4,N(U3805),IF(OR(NOT(COUNTIF('商品マスタ'!$B$6:$B$1005,$W3806)=0),COUNTIFS('①在庫を貼る'!$V$6:$V$10005,$V3806,'①在庫を貼る'!$W$6:$W$10005,$W3806)&gt;0),N(U3805),N(U3805)+1))</f>
        <v/>
      </c>
      <c r="V3806" s="19">
        <f>IF($B3806="","",TEXT($B3806,"0000"))</f>
        <v/>
      </c>
      <c r="W3806" s="19">
        <f>IF($I3806="","",IF(ISNUMBER($I3806),TEXT($I3806,"0"),$I3806))</f>
        <v/>
      </c>
    </row>
    <row r="3807">
      <c r="B3807" s="25" t="n"/>
      <c r="I3807" s="25" t="n"/>
      <c r="U3807" s="19">
        <f>IF($V3807&lt;&gt;'設定'!$C$4,N(U3806),IF(OR(NOT(COUNTIF('商品マスタ'!$B$6:$B$1005,$W3807)=0),COUNTIFS('①在庫を貼る'!$V$6:$V$10005,$V3807,'①在庫を貼る'!$W$6:$W$10005,$W3807)&gt;0),N(U3806),N(U3806)+1))</f>
        <v/>
      </c>
      <c r="V3807" s="19">
        <f>IF($B3807="","",TEXT($B3807,"0000"))</f>
        <v/>
      </c>
      <c r="W3807" s="19">
        <f>IF($I3807="","",IF(ISNUMBER($I3807),TEXT($I3807,"0"),$I3807))</f>
        <v/>
      </c>
    </row>
    <row r="3808">
      <c r="B3808" s="25" t="n"/>
      <c r="I3808" s="25" t="n"/>
      <c r="U3808" s="19">
        <f>IF($V3808&lt;&gt;'設定'!$C$4,N(U3807),IF(OR(NOT(COUNTIF('商品マスタ'!$B$6:$B$1005,$W3808)=0),COUNTIFS('①在庫を貼る'!$V$6:$V$10005,$V3808,'①在庫を貼る'!$W$6:$W$10005,$W3808)&gt;0),N(U3807),N(U3807)+1))</f>
        <v/>
      </c>
      <c r="V3808" s="19">
        <f>IF($B3808="","",TEXT($B3808,"0000"))</f>
        <v/>
      </c>
      <c r="W3808" s="19">
        <f>IF($I3808="","",IF(ISNUMBER($I3808),TEXT($I3808,"0"),$I3808))</f>
        <v/>
      </c>
    </row>
    <row r="3809">
      <c r="B3809" s="25" t="n"/>
      <c r="I3809" s="25" t="n"/>
      <c r="U3809" s="19">
        <f>IF($V3809&lt;&gt;'設定'!$C$4,N(U3808),IF(OR(NOT(COUNTIF('商品マスタ'!$B$6:$B$1005,$W3809)=0),COUNTIFS('①在庫を貼る'!$V$6:$V$10005,$V3809,'①在庫を貼る'!$W$6:$W$10005,$W3809)&gt;0),N(U3808),N(U3808)+1))</f>
        <v/>
      </c>
      <c r="V3809" s="19">
        <f>IF($B3809="","",TEXT($B3809,"0000"))</f>
        <v/>
      </c>
      <c r="W3809" s="19">
        <f>IF($I3809="","",IF(ISNUMBER($I3809),TEXT($I3809,"0"),$I3809))</f>
        <v/>
      </c>
    </row>
    <row r="3810">
      <c r="B3810" s="25" t="n"/>
      <c r="I3810" s="25" t="n"/>
      <c r="U3810" s="19">
        <f>IF($V3810&lt;&gt;'設定'!$C$4,N(U3809),IF(OR(NOT(COUNTIF('商品マスタ'!$B$6:$B$1005,$W3810)=0),COUNTIFS('①在庫を貼る'!$V$6:$V$10005,$V3810,'①在庫を貼る'!$W$6:$W$10005,$W3810)&gt;0),N(U3809),N(U3809)+1))</f>
        <v/>
      </c>
      <c r="V3810" s="19">
        <f>IF($B3810="","",TEXT($B3810,"0000"))</f>
        <v/>
      </c>
      <c r="W3810" s="19">
        <f>IF($I3810="","",IF(ISNUMBER($I3810),TEXT($I3810,"0"),$I3810))</f>
        <v/>
      </c>
    </row>
    <row r="3811">
      <c r="B3811" s="25" t="n"/>
      <c r="I3811" s="25" t="n"/>
      <c r="U3811" s="19">
        <f>IF($V3811&lt;&gt;'設定'!$C$4,N(U3810),IF(OR(NOT(COUNTIF('商品マスタ'!$B$6:$B$1005,$W3811)=0),COUNTIFS('①在庫を貼る'!$V$6:$V$10005,$V3811,'①在庫を貼る'!$W$6:$W$10005,$W3811)&gt;0),N(U3810),N(U3810)+1))</f>
        <v/>
      </c>
      <c r="V3811" s="19">
        <f>IF($B3811="","",TEXT($B3811,"0000"))</f>
        <v/>
      </c>
      <c r="W3811" s="19">
        <f>IF($I3811="","",IF(ISNUMBER($I3811),TEXT($I3811,"0"),$I3811))</f>
        <v/>
      </c>
    </row>
    <row r="3812">
      <c r="B3812" s="25" t="n"/>
      <c r="I3812" s="25" t="n"/>
      <c r="U3812" s="19">
        <f>IF($V3812&lt;&gt;'設定'!$C$4,N(U3811),IF(OR(NOT(COUNTIF('商品マスタ'!$B$6:$B$1005,$W3812)=0),COUNTIFS('①在庫を貼る'!$V$6:$V$10005,$V3812,'①在庫を貼る'!$W$6:$W$10005,$W3812)&gt;0),N(U3811),N(U3811)+1))</f>
        <v/>
      </c>
      <c r="V3812" s="19">
        <f>IF($B3812="","",TEXT($B3812,"0000"))</f>
        <v/>
      </c>
      <c r="W3812" s="19">
        <f>IF($I3812="","",IF(ISNUMBER($I3812),TEXT($I3812,"0"),$I3812))</f>
        <v/>
      </c>
    </row>
    <row r="3813">
      <c r="B3813" s="25" t="n"/>
      <c r="I3813" s="25" t="n"/>
      <c r="U3813" s="19">
        <f>IF($V3813&lt;&gt;'設定'!$C$4,N(U3812),IF(OR(NOT(COUNTIF('商品マスタ'!$B$6:$B$1005,$W3813)=0),COUNTIFS('①在庫を貼る'!$V$6:$V$10005,$V3813,'①在庫を貼る'!$W$6:$W$10005,$W3813)&gt;0),N(U3812),N(U3812)+1))</f>
        <v/>
      </c>
      <c r="V3813" s="19">
        <f>IF($B3813="","",TEXT($B3813,"0000"))</f>
        <v/>
      </c>
      <c r="W3813" s="19">
        <f>IF($I3813="","",IF(ISNUMBER($I3813),TEXT($I3813,"0"),$I3813))</f>
        <v/>
      </c>
    </row>
    <row r="3814">
      <c r="B3814" s="25" t="n"/>
      <c r="I3814" s="25" t="n"/>
      <c r="U3814" s="19">
        <f>IF($V3814&lt;&gt;'設定'!$C$4,N(U3813),IF(OR(NOT(COUNTIF('商品マスタ'!$B$6:$B$1005,$W3814)=0),COUNTIFS('①在庫を貼る'!$V$6:$V$10005,$V3814,'①在庫を貼る'!$W$6:$W$10005,$W3814)&gt;0),N(U3813),N(U3813)+1))</f>
        <v/>
      </c>
      <c r="V3814" s="19">
        <f>IF($B3814="","",TEXT($B3814,"0000"))</f>
        <v/>
      </c>
      <c r="W3814" s="19">
        <f>IF($I3814="","",IF(ISNUMBER($I3814),TEXT($I3814,"0"),$I3814))</f>
        <v/>
      </c>
    </row>
    <row r="3815">
      <c r="B3815" s="25" t="n"/>
      <c r="I3815" s="25" t="n"/>
      <c r="U3815" s="19">
        <f>IF($V3815&lt;&gt;'設定'!$C$4,N(U3814),IF(OR(NOT(COUNTIF('商品マスタ'!$B$6:$B$1005,$W3815)=0),COUNTIFS('①在庫を貼る'!$V$6:$V$10005,$V3815,'①在庫を貼る'!$W$6:$W$10005,$W3815)&gt;0),N(U3814),N(U3814)+1))</f>
        <v/>
      </c>
      <c r="V3815" s="19">
        <f>IF($B3815="","",TEXT($B3815,"0000"))</f>
        <v/>
      </c>
      <c r="W3815" s="19">
        <f>IF($I3815="","",IF(ISNUMBER($I3815),TEXT($I3815,"0"),$I3815))</f>
        <v/>
      </c>
    </row>
    <row r="3816">
      <c r="B3816" s="25" t="n"/>
      <c r="I3816" s="25" t="n"/>
      <c r="U3816" s="19">
        <f>IF($V3816&lt;&gt;'設定'!$C$4,N(U3815),IF(OR(NOT(COUNTIF('商品マスタ'!$B$6:$B$1005,$W3816)=0),COUNTIFS('①在庫を貼る'!$V$6:$V$10005,$V3816,'①在庫を貼る'!$W$6:$W$10005,$W3816)&gt;0),N(U3815),N(U3815)+1))</f>
        <v/>
      </c>
      <c r="V3816" s="19">
        <f>IF($B3816="","",TEXT($B3816,"0000"))</f>
        <v/>
      </c>
      <c r="W3816" s="19">
        <f>IF($I3816="","",IF(ISNUMBER($I3816),TEXT($I3816,"0"),$I3816))</f>
        <v/>
      </c>
    </row>
    <row r="3817">
      <c r="B3817" s="25" t="n"/>
      <c r="I3817" s="25" t="n"/>
      <c r="U3817" s="19">
        <f>IF($V3817&lt;&gt;'設定'!$C$4,N(U3816),IF(OR(NOT(COUNTIF('商品マスタ'!$B$6:$B$1005,$W3817)=0),COUNTIFS('①在庫を貼る'!$V$6:$V$10005,$V3817,'①在庫を貼る'!$W$6:$W$10005,$W3817)&gt;0),N(U3816),N(U3816)+1))</f>
        <v/>
      </c>
      <c r="V3817" s="19">
        <f>IF($B3817="","",TEXT($B3817,"0000"))</f>
        <v/>
      </c>
      <c r="W3817" s="19">
        <f>IF($I3817="","",IF(ISNUMBER($I3817),TEXT($I3817,"0"),$I3817))</f>
        <v/>
      </c>
    </row>
    <row r="3818">
      <c r="B3818" s="25" t="n"/>
      <c r="I3818" s="25" t="n"/>
      <c r="U3818" s="19">
        <f>IF($V3818&lt;&gt;'設定'!$C$4,N(U3817),IF(OR(NOT(COUNTIF('商品マスタ'!$B$6:$B$1005,$W3818)=0),COUNTIFS('①在庫を貼る'!$V$6:$V$10005,$V3818,'①在庫を貼る'!$W$6:$W$10005,$W3818)&gt;0),N(U3817),N(U3817)+1))</f>
        <v/>
      </c>
      <c r="V3818" s="19">
        <f>IF($B3818="","",TEXT($B3818,"0000"))</f>
        <v/>
      </c>
      <c r="W3818" s="19">
        <f>IF($I3818="","",IF(ISNUMBER($I3818),TEXT($I3818,"0"),$I3818))</f>
        <v/>
      </c>
    </row>
    <row r="3819">
      <c r="B3819" s="25" t="n"/>
      <c r="I3819" s="25" t="n"/>
      <c r="U3819" s="19">
        <f>IF($V3819&lt;&gt;'設定'!$C$4,N(U3818),IF(OR(NOT(COUNTIF('商品マスタ'!$B$6:$B$1005,$W3819)=0),COUNTIFS('①在庫を貼る'!$V$6:$V$10005,$V3819,'①在庫を貼る'!$W$6:$W$10005,$W3819)&gt;0),N(U3818),N(U3818)+1))</f>
        <v/>
      </c>
      <c r="V3819" s="19">
        <f>IF($B3819="","",TEXT($B3819,"0000"))</f>
        <v/>
      </c>
      <c r="W3819" s="19">
        <f>IF($I3819="","",IF(ISNUMBER($I3819),TEXT($I3819,"0"),$I3819))</f>
        <v/>
      </c>
    </row>
    <row r="3820">
      <c r="B3820" s="25" t="n"/>
      <c r="I3820" s="25" t="n"/>
      <c r="U3820" s="19">
        <f>IF($V3820&lt;&gt;'設定'!$C$4,N(U3819),IF(OR(NOT(COUNTIF('商品マスタ'!$B$6:$B$1005,$W3820)=0),COUNTIFS('①在庫を貼る'!$V$6:$V$10005,$V3820,'①在庫を貼る'!$W$6:$W$10005,$W3820)&gt;0),N(U3819),N(U3819)+1))</f>
        <v/>
      </c>
      <c r="V3820" s="19">
        <f>IF($B3820="","",TEXT($B3820,"0000"))</f>
        <v/>
      </c>
      <c r="W3820" s="19">
        <f>IF($I3820="","",IF(ISNUMBER($I3820),TEXT($I3820,"0"),$I3820))</f>
        <v/>
      </c>
    </row>
    <row r="3821">
      <c r="B3821" s="25" t="n"/>
      <c r="I3821" s="25" t="n"/>
      <c r="U3821" s="19">
        <f>IF($V3821&lt;&gt;'設定'!$C$4,N(U3820),IF(OR(NOT(COUNTIF('商品マスタ'!$B$6:$B$1005,$W3821)=0),COUNTIFS('①在庫を貼る'!$V$6:$V$10005,$V3821,'①在庫を貼る'!$W$6:$W$10005,$W3821)&gt;0),N(U3820),N(U3820)+1))</f>
        <v/>
      </c>
      <c r="V3821" s="19">
        <f>IF($B3821="","",TEXT($B3821,"0000"))</f>
        <v/>
      </c>
      <c r="W3821" s="19">
        <f>IF($I3821="","",IF(ISNUMBER($I3821),TEXT($I3821,"0"),$I3821))</f>
        <v/>
      </c>
    </row>
    <row r="3822">
      <c r="B3822" s="25" t="n"/>
      <c r="I3822" s="25" t="n"/>
      <c r="U3822" s="19">
        <f>IF($V3822&lt;&gt;'設定'!$C$4,N(U3821),IF(OR(NOT(COUNTIF('商品マスタ'!$B$6:$B$1005,$W3822)=0),COUNTIFS('①在庫を貼る'!$V$6:$V$10005,$V3822,'①在庫を貼る'!$W$6:$W$10005,$W3822)&gt;0),N(U3821),N(U3821)+1))</f>
        <v/>
      </c>
      <c r="V3822" s="19">
        <f>IF($B3822="","",TEXT($B3822,"0000"))</f>
        <v/>
      </c>
      <c r="W3822" s="19">
        <f>IF($I3822="","",IF(ISNUMBER($I3822),TEXT($I3822,"0"),$I3822))</f>
        <v/>
      </c>
    </row>
    <row r="3823">
      <c r="B3823" s="25" t="n"/>
      <c r="I3823" s="25" t="n"/>
      <c r="U3823" s="19">
        <f>IF($V3823&lt;&gt;'設定'!$C$4,N(U3822),IF(OR(NOT(COUNTIF('商品マスタ'!$B$6:$B$1005,$W3823)=0),COUNTIFS('①在庫を貼る'!$V$6:$V$10005,$V3823,'①在庫を貼る'!$W$6:$W$10005,$W3823)&gt;0),N(U3822),N(U3822)+1))</f>
        <v/>
      </c>
      <c r="V3823" s="19">
        <f>IF($B3823="","",TEXT($B3823,"0000"))</f>
        <v/>
      </c>
      <c r="W3823" s="19">
        <f>IF($I3823="","",IF(ISNUMBER($I3823),TEXT($I3823,"0"),$I3823))</f>
        <v/>
      </c>
    </row>
    <row r="3824">
      <c r="B3824" s="25" t="n"/>
      <c r="I3824" s="25" t="n"/>
      <c r="U3824" s="19">
        <f>IF($V3824&lt;&gt;'設定'!$C$4,N(U3823),IF(OR(NOT(COUNTIF('商品マスタ'!$B$6:$B$1005,$W3824)=0),COUNTIFS('①在庫を貼る'!$V$6:$V$10005,$V3824,'①在庫を貼る'!$W$6:$W$10005,$W3824)&gt;0),N(U3823),N(U3823)+1))</f>
        <v/>
      </c>
      <c r="V3824" s="19">
        <f>IF($B3824="","",TEXT($B3824,"0000"))</f>
        <v/>
      </c>
      <c r="W3824" s="19">
        <f>IF($I3824="","",IF(ISNUMBER($I3824),TEXT($I3824,"0"),$I3824))</f>
        <v/>
      </c>
    </row>
    <row r="3825">
      <c r="B3825" s="25" t="n"/>
      <c r="I3825" s="25" t="n"/>
      <c r="U3825" s="19">
        <f>IF($V3825&lt;&gt;'設定'!$C$4,N(U3824),IF(OR(NOT(COUNTIF('商品マスタ'!$B$6:$B$1005,$W3825)=0),COUNTIFS('①在庫を貼る'!$V$6:$V$10005,$V3825,'①在庫を貼る'!$W$6:$W$10005,$W3825)&gt;0),N(U3824),N(U3824)+1))</f>
        <v/>
      </c>
      <c r="V3825" s="19">
        <f>IF($B3825="","",TEXT($B3825,"0000"))</f>
        <v/>
      </c>
      <c r="W3825" s="19">
        <f>IF($I3825="","",IF(ISNUMBER($I3825),TEXT($I3825,"0"),$I3825))</f>
        <v/>
      </c>
    </row>
    <row r="3826">
      <c r="B3826" s="25" t="n"/>
      <c r="I3826" s="25" t="n"/>
      <c r="U3826" s="19">
        <f>IF($V3826&lt;&gt;'設定'!$C$4,N(U3825),IF(OR(NOT(COUNTIF('商品マスタ'!$B$6:$B$1005,$W3826)=0),COUNTIFS('①在庫を貼る'!$V$6:$V$10005,$V3826,'①在庫を貼る'!$W$6:$W$10005,$W3826)&gt;0),N(U3825),N(U3825)+1))</f>
        <v/>
      </c>
      <c r="V3826" s="19">
        <f>IF($B3826="","",TEXT($B3826,"0000"))</f>
        <v/>
      </c>
      <c r="W3826" s="19">
        <f>IF($I3826="","",IF(ISNUMBER($I3826),TEXT($I3826,"0"),$I3826))</f>
        <v/>
      </c>
    </row>
    <row r="3827">
      <c r="B3827" s="25" t="n"/>
      <c r="I3827" s="25" t="n"/>
      <c r="U3827" s="19">
        <f>IF($V3827&lt;&gt;'設定'!$C$4,N(U3826),IF(OR(NOT(COUNTIF('商品マスタ'!$B$6:$B$1005,$W3827)=0),COUNTIFS('①在庫を貼る'!$V$6:$V$10005,$V3827,'①在庫を貼る'!$W$6:$W$10005,$W3827)&gt;0),N(U3826),N(U3826)+1))</f>
        <v/>
      </c>
      <c r="V3827" s="19">
        <f>IF($B3827="","",TEXT($B3827,"0000"))</f>
        <v/>
      </c>
      <c r="W3827" s="19">
        <f>IF($I3827="","",IF(ISNUMBER($I3827),TEXT($I3827,"0"),$I3827))</f>
        <v/>
      </c>
    </row>
    <row r="3828">
      <c r="B3828" s="25" t="n"/>
      <c r="I3828" s="25" t="n"/>
      <c r="U3828" s="19">
        <f>IF($V3828&lt;&gt;'設定'!$C$4,N(U3827),IF(OR(NOT(COUNTIF('商品マスタ'!$B$6:$B$1005,$W3828)=0),COUNTIFS('①在庫を貼る'!$V$6:$V$10005,$V3828,'①在庫を貼る'!$W$6:$W$10005,$W3828)&gt;0),N(U3827),N(U3827)+1))</f>
        <v/>
      </c>
      <c r="V3828" s="19">
        <f>IF($B3828="","",TEXT($B3828,"0000"))</f>
        <v/>
      </c>
      <c r="W3828" s="19">
        <f>IF($I3828="","",IF(ISNUMBER($I3828),TEXT($I3828,"0"),$I3828))</f>
        <v/>
      </c>
    </row>
    <row r="3829">
      <c r="B3829" s="25" t="n"/>
      <c r="I3829" s="25" t="n"/>
      <c r="U3829" s="19">
        <f>IF($V3829&lt;&gt;'設定'!$C$4,N(U3828),IF(OR(NOT(COUNTIF('商品マスタ'!$B$6:$B$1005,$W3829)=0),COUNTIFS('①在庫を貼る'!$V$6:$V$10005,$V3829,'①在庫を貼る'!$W$6:$W$10005,$W3829)&gt;0),N(U3828),N(U3828)+1))</f>
        <v/>
      </c>
      <c r="V3829" s="19">
        <f>IF($B3829="","",TEXT($B3829,"0000"))</f>
        <v/>
      </c>
      <c r="W3829" s="19">
        <f>IF($I3829="","",IF(ISNUMBER($I3829),TEXT($I3829,"0"),$I3829))</f>
        <v/>
      </c>
    </row>
    <row r="3830">
      <c r="B3830" s="25" t="n"/>
      <c r="I3830" s="25" t="n"/>
      <c r="U3830" s="19">
        <f>IF($V3830&lt;&gt;'設定'!$C$4,N(U3829),IF(OR(NOT(COUNTIF('商品マスタ'!$B$6:$B$1005,$W3830)=0),COUNTIFS('①在庫を貼る'!$V$6:$V$10005,$V3830,'①在庫を貼る'!$W$6:$W$10005,$W3830)&gt;0),N(U3829),N(U3829)+1))</f>
        <v/>
      </c>
      <c r="V3830" s="19">
        <f>IF($B3830="","",TEXT($B3830,"0000"))</f>
        <v/>
      </c>
      <c r="W3830" s="19">
        <f>IF($I3830="","",IF(ISNUMBER($I3830),TEXT($I3830,"0"),$I3830))</f>
        <v/>
      </c>
    </row>
    <row r="3831">
      <c r="B3831" s="25" t="n"/>
      <c r="I3831" s="25" t="n"/>
      <c r="U3831" s="19">
        <f>IF($V3831&lt;&gt;'設定'!$C$4,N(U3830),IF(OR(NOT(COUNTIF('商品マスタ'!$B$6:$B$1005,$W3831)=0),COUNTIFS('①在庫を貼る'!$V$6:$V$10005,$V3831,'①在庫を貼る'!$W$6:$W$10005,$W3831)&gt;0),N(U3830),N(U3830)+1))</f>
        <v/>
      </c>
      <c r="V3831" s="19">
        <f>IF($B3831="","",TEXT($B3831,"0000"))</f>
        <v/>
      </c>
      <c r="W3831" s="19">
        <f>IF($I3831="","",IF(ISNUMBER($I3831),TEXT($I3831,"0"),$I3831))</f>
        <v/>
      </c>
    </row>
    <row r="3832">
      <c r="B3832" s="25" t="n"/>
      <c r="I3832" s="25" t="n"/>
      <c r="U3832" s="19">
        <f>IF($V3832&lt;&gt;'設定'!$C$4,N(U3831),IF(OR(NOT(COUNTIF('商品マスタ'!$B$6:$B$1005,$W3832)=0),COUNTIFS('①在庫を貼る'!$V$6:$V$10005,$V3832,'①在庫を貼る'!$W$6:$W$10005,$W3832)&gt;0),N(U3831),N(U3831)+1))</f>
        <v/>
      </c>
      <c r="V3832" s="19">
        <f>IF($B3832="","",TEXT($B3832,"0000"))</f>
        <v/>
      </c>
      <c r="W3832" s="19">
        <f>IF($I3832="","",IF(ISNUMBER($I3832),TEXT($I3832,"0"),$I3832))</f>
        <v/>
      </c>
    </row>
    <row r="3833">
      <c r="B3833" s="25" t="n"/>
      <c r="I3833" s="25" t="n"/>
      <c r="U3833" s="19">
        <f>IF($V3833&lt;&gt;'設定'!$C$4,N(U3832),IF(OR(NOT(COUNTIF('商品マスタ'!$B$6:$B$1005,$W3833)=0),COUNTIFS('①在庫を貼る'!$V$6:$V$10005,$V3833,'①在庫を貼る'!$W$6:$W$10005,$W3833)&gt;0),N(U3832),N(U3832)+1))</f>
        <v/>
      </c>
      <c r="V3833" s="19">
        <f>IF($B3833="","",TEXT($B3833,"0000"))</f>
        <v/>
      </c>
      <c r="W3833" s="19">
        <f>IF($I3833="","",IF(ISNUMBER($I3833),TEXT($I3833,"0"),$I3833))</f>
        <v/>
      </c>
    </row>
    <row r="3834">
      <c r="B3834" s="25" t="n"/>
      <c r="I3834" s="25" t="n"/>
      <c r="U3834" s="19">
        <f>IF($V3834&lt;&gt;'設定'!$C$4,N(U3833),IF(OR(NOT(COUNTIF('商品マスタ'!$B$6:$B$1005,$W3834)=0),COUNTIFS('①在庫を貼る'!$V$6:$V$10005,$V3834,'①在庫を貼る'!$W$6:$W$10005,$W3834)&gt;0),N(U3833),N(U3833)+1))</f>
        <v/>
      </c>
      <c r="V3834" s="19">
        <f>IF($B3834="","",TEXT($B3834,"0000"))</f>
        <v/>
      </c>
      <c r="W3834" s="19">
        <f>IF($I3834="","",IF(ISNUMBER($I3834),TEXT($I3834,"0"),$I3834))</f>
        <v/>
      </c>
    </row>
    <row r="3835">
      <c r="B3835" s="25" t="n"/>
      <c r="I3835" s="25" t="n"/>
      <c r="U3835" s="19">
        <f>IF($V3835&lt;&gt;'設定'!$C$4,N(U3834),IF(OR(NOT(COUNTIF('商品マスタ'!$B$6:$B$1005,$W3835)=0),COUNTIFS('①在庫を貼る'!$V$6:$V$10005,$V3835,'①在庫を貼る'!$W$6:$W$10005,$W3835)&gt;0),N(U3834),N(U3834)+1))</f>
        <v/>
      </c>
      <c r="V3835" s="19">
        <f>IF($B3835="","",TEXT($B3835,"0000"))</f>
        <v/>
      </c>
      <c r="W3835" s="19">
        <f>IF($I3835="","",IF(ISNUMBER($I3835),TEXT($I3835,"0"),$I3835))</f>
        <v/>
      </c>
    </row>
    <row r="3836">
      <c r="B3836" s="25" t="n"/>
      <c r="I3836" s="25" t="n"/>
      <c r="U3836" s="19">
        <f>IF($V3836&lt;&gt;'設定'!$C$4,N(U3835),IF(OR(NOT(COUNTIF('商品マスタ'!$B$6:$B$1005,$W3836)=0),COUNTIFS('①在庫を貼る'!$V$6:$V$10005,$V3836,'①在庫を貼る'!$W$6:$W$10005,$W3836)&gt;0),N(U3835),N(U3835)+1))</f>
        <v/>
      </c>
      <c r="V3836" s="19">
        <f>IF($B3836="","",TEXT($B3836,"0000"))</f>
        <v/>
      </c>
      <c r="W3836" s="19">
        <f>IF($I3836="","",IF(ISNUMBER($I3836),TEXT($I3836,"0"),$I3836))</f>
        <v/>
      </c>
    </row>
    <row r="3837">
      <c r="B3837" s="25" t="n"/>
      <c r="I3837" s="25" t="n"/>
      <c r="U3837" s="19">
        <f>IF($V3837&lt;&gt;'設定'!$C$4,N(U3836),IF(OR(NOT(COUNTIF('商品マスタ'!$B$6:$B$1005,$W3837)=0),COUNTIFS('①在庫を貼る'!$V$6:$V$10005,$V3837,'①在庫を貼る'!$W$6:$W$10005,$W3837)&gt;0),N(U3836),N(U3836)+1))</f>
        <v/>
      </c>
      <c r="V3837" s="19">
        <f>IF($B3837="","",TEXT($B3837,"0000"))</f>
        <v/>
      </c>
      <c r="W3837" s="19">
        <f>IF($I3837="","",IF(ISNUMBER($I3837),TEXT($I3837,"0"),$I3837))</f>
        <v/>
      </c>
    </row>
    <row r="3838">
      <c r="B3838" s="25" t="n"/>
      <c r="I3838" s="25" t="n"/>
      <c r="U3838" s="19">
        <f>IF($V3838&lt;&gt;'設定'!$C$4,N(U3837),IF(OR(NOT(COUNTIF('商品マスタ'!$B$6:$B$1005,$W3838)=0),COUNTIFS('①在庫を貼る'!$V$6:$V$10005,$V3838,'①在庫を貼る'!$W$6:$W$10005,$W3838)&gt;0),N(U3837),N(U3837)+1))</f>
        <v/>
      </c>
      <c r="V3838" s="19">
        <f>IF($B3838="","",TEXT($B3838,"0000"))</f>
        <v/>
      </c>
      <c r="W3838" s="19">
        <f>IF($I3838="","",IF(ISNUMBER($I3838),TEXT($I3838,"0"),$I3838))</f>
        <v/>
      </c>
    </row>
    <row r="3839">
      <c r="B3839" s="25" t="n"/>
      <c r="I3839" s="25" t="n"/>
      <c r="U3839" s="19">
        <f>IF($V3839&lt;&gt;'設定'!$C$4,N(U3838),IF(OR(NOT(COUNTIF('商品マスタ'!$B$6:$B$1005,$W3839)=0),COUNTIFS('①在庫を貼る'!$V$6:$V$10005,$V3839,'①在庫を貼る'!$W$6:$W$10005,$W3839)&gt;0),N(U3838),N(U3838)+1))</f>
        <v/>
      </c>
      <c r="V3839" s="19">
        <f>IF($B3839="","",TEXT($B3839,"0000"))</f>
        <v/>
      </c>
      <c r="W3839" s="19">
        <f>IF($I3839="","",IF(ISNUMBER($I3839),TEXT($I3839,"0"),$I3839))</f>
        <v/>
      </c>
    </row>
    <row r="3840">
      <c r="B3840" s="25" t="n"/>
      <c r="I3840" s="25" t="n"/>
      <c r="U3840" s="19">
        <f>IF($V3840&lt;&gt;'設定'!$C$4,N(U3839),IF(OR(NOT(COUNTIF('商品マスタ'!$B$6:$B$1005,$W3840)=0),COUNTIFS('①在庫を貼る'!$V$6:$V$10005,$V3840,'①在庫を貼る'!$W$6:$W$10005,$W3840)&gt;0),N(U3839),N(U3839)+1))</f>
        <v/>
      </c>
      <c r="V3840" s="19">
        <f>IF($B3840="","",TEXT($B3840,"0000"))</f>
        <v/>
      </c>
      <c r="W3840" s="19">
        <f>IF($I3840="","",IF(ISNUMBER($I3840),TEXT($I3840,"0"),$I3840))</f>
        <v/>
      </c>
    </row>
    <row r="3841">
      <c r="B3841" s="25" t="n"/>
      <c r="I3841" s="25" t="n"/>
      <c r="U3841" s="19">
        <f>IF($V3841&lt;&gt;'設定'!$C$4,N(U3840),IF(OR(NOT(COUNTIF('商品マスタ'!$B$6:$B$1005,$W3841)=0),COUNTIFS('①在庫を貼る'!$V$6:$V$10005,$V3841,'①在庫を貼る'!$W$6:$W$10005,$W3841)&gt;0),N(U3840),N(U3840)+1))</f>
        <v/>
      </c>
      <c r="V3841" s="19">
        <f>IF($B3841="","",TEXT($B3841,"0000"))</f>
        <v/>
      </c>
      <c r="W3841" s="19">
        <f>IF($I3841="","",IF(ISNUMBER($I3841),TEXT($I3841,"0"),$I3841))</f>
        <v/>
      </c>
    </row>
    <row r="3842">
      <c r="B3842" s="25" t="n"/>
      <c r="I3842" s="25" t="n"/>
      <c r="U3842" s="19">
        <f>IF($V3842&lt;&gt;'設定'!$C$4,N(U3841),IF(OR(NOT(COUNTIF('商品マスタ'!$B$6:$B$1005,$W3842)=0),COUNTIFS('①在庫を貼る'!$V$6:$V$10005,$V3842,'①在庫を貼る'!$W$6:$W$10005,$W3842)&gt;0),N(U3841),N(U3841)+1))</f>
        <v/>
      </c>
      <c r="V3842" s="19">
        <f>IF($B3842="","",TEXT($B3842,"0000"))</f>
        <v/>
      </c>
      <c r="W3842" s="19">
        <f>IF($I3842="","",IF(ISNUMBER($I3842),TEXT($I3842,"0"),$I3842))</f>
        <v/>
      </c>
    </row>
    <row r="3843">
      <c r="B3843" s="25" t="n"/>
      <c r="I3843" s="25" t="n"/>
      <c r="U3843" s="19">
        <f>IF($V3843&lt;&gt;'設定'!$C$4,N(U3842),IF(OR(NOT(COUNTIF('商品マスタ'!$B$6:$B$1005,$W3843)=0),COUNTIFS('①在庫を貼る'!$V$6:$V$10005,$V3843,'①在庫を貼る'!$W$6:$W$10005,$W3843)&gt;0),N(U3842),N(U3842)+1))</f>
        <v/>
      </c>
      <c r="V3843" s="19">
        <f>IF($B3843="","",TEXT($B3843,"0000"))</f>
        <v/>
      </c>
      <c r="W3843" s="19">
        <f>IF($I3843="","",IF(ISNUMBER($I3843),TEXT($I3843,"0"),$I3843))</f>
        <v/>
      </c>
    </row>
    <row r="3844">
      <c r="B3844" s="25" t="n"/>
      <c r="I3844" s="25" t="n"/>
      <c r="U3844" s="19">
        <f>IF($V3844&lt;&gt;'設定'!$C$4,N(U3843),IF(OR(NOT(COUNTIF('商品マスタ'!$B$6:$B$1005,$W3844)=0),COUNTIFS('①在庫を貼る'!$V$6:$V$10005,$V3844,'①在庫を貼る'!$W$6:$W$10005,$W3844)&gt;0),N(U3843),N(U3843)+1))</f>
        <v/>
      </c>
      <c r="V3844" s="19">
        <f>IF($B3844="","",TEXT($B3844,"0000"))</f>
        <v/>
      </c>
      <c r="W3844" s="19">
        <f>IF($I3844="","",IF(ISNUMBER($I3844),TEXT($I3844,"0"),$I3844))</f>
        <v/>
      </c>
    </row>
    <row r="3845">
      <c r="B3845" s="25" t="n"/>
      <c r="I3845" s="25" t="n"/>
      <c r="U3845" s="19">
        <f>IF($V3845&lt;&gt;'設定'!$C$4,N(U3844),IF(OR(NOT(COUNTIF('商品マスタ'!$B$6:$B$1005,$W3845)=0),COUNTIFS('①在庫を貼る'!$V$6:$V$10005,$V3845,'①在庫を貼る'!$W$6:$W$10005,$W3845)&gt;0),N(U3844),N(U3844)+1))</f>
        <v/>
      </c>
      <c r="V3845" s="19">
        <f>IF($B3845="","",TEXT($B3845,"0000"))</f>
        <v/>
      </c>
      <c r="W3845" s="19">
        <f>IF($I3845="","",IF(ISNUMBER($I3845),TEXT($I3845,"0"),$I3845))</f>
        <v/>
      </c>
    </row>
    <row r="3846">
      <c r="B3846" s="25" t="n"/>
      <c r="I3846" s="25" t="n"/>
      <c r="U3846" s="19">
        <f>IF($V3846&lt;&gt;'設定'!$C$4,N(U3845),IF(OR(NOT(COUNTIF('商品マスタ'!$B$6:$B$1005,$W3846)=0),COUNTIFS('①在庫を貼る'!$V$6:$V$10005,$V3846,'①在庫を貼る'!$W$6:$W$10005,$W3846)&gt;0),N(U3845),N(U3845)+1))</f>
        <v/>
      </c>
      <c r="V3846" s="19">
        <f>IF($B3846="","",TEXT($B3846,"0000"))</f>
        <v/>
      </c>
      <c r="W3846" s="19">
        <f>IF($I3846="","",IF(ISNUMBER($I3846),TEXT($I3846,"0"),$I3846))</f>
        <v/>
      </c>
    </row>
    <row r="3847">
      <c r="B3847" s="25" t="n"/>
      <c r="I3847" s="25" t="n"/>
      <c r="U3847" s="19">
        <f>IF($V3847&lt;&gt;'設定'!$C$4,N(U3846),IF(OR(NOT(COUNTIF('商品マスタ'!$B$6:$B$1005,$W3847)=0),COUNTIFS('①在庫を貼る'!$V$6:$V$10005,$V3847,'①在庫を貼る'!$W$6:$W$10005,$W3847)&gt;0),N(U3846),N(U3846)+1))</f>
        <v/>
      </c>
      <c r="V3847" s="19">
        <f>IF($B3847="","",TEXT($B3847,"0000"))</f>
        <v/>
      </c>
      <c r="W3847" s="19">
        <f>IF($I3847="","",IF(ISNUMBER($I3847),TEXT($I3847,"0"),$I3847))</f>
        <v/>
      </c>
    </row>
    <row r="3848">
      <c r="B3848" s="25" t="n"/>
      <c r="I3848" s="25" t="n"/>
      <c r="U3848" s="19">
        <f>IF($V3848&lt;&gt;'設定'!$C$4,N(U3847),IF(OR(NOT(COUNTIF('商品マスタ'!$B$6:$B$1005,$W3848)=0),COUNTIFS('①在庫を貼る'!$V$6:$V$10005,$V3848,'①在庫を貼る'!$W$6:$W$10005,$W3848)&gt;0),N(U3847),N(U3847)+1))</f>
        <v/>
      </c>
      <c r="V3848" s="19">
        <f>IF($B3848="","",TEXT($B3848,"0000"))</f>
        <v/>
      </c>
      <c r="W3848" s="19">
        <f>IF($I3848="","",IF(ISNUMBER($I3848),TEXT($I3848,"0"),$I3848))</f>
        <v/>
      </c>
    </row>
    <row r="3849">
      <c r="B3849" s="25" t="n"/>
      <c r="I3849" s="25" t="n"/>
      <c r="U3849" s="19">
        <f>IF($V3849&lt;&gt;'設定'!$C$4,N(U3848),IF(OR(NOT(COUNTIF('商品マスタ'!$B$6:$B$1005,$W3849)=0),COUNTIFS('①在庫を貼る'!$V$6:$V$10005,$V3849,'①在庫を貼る'!$W$6:$W$10005,$W3849)&gt;0),N(U3848),N(U3848)+1))</f>
        <v/>
      </c>
      <c r="V3849" s="19">
        <f>IF($B3849="","",TEXT($B3849,"0000"))</f>
        <v/>
      </c>
      <c r="W3849" s="19">
        <f>IF($I3849="","",IF(ISNUMBER($I3849),TEXT($I3849,"0"),$I3849))</f>
        <v/>
      </c>
    </row>
    <row r="3850">
      <c r="B3850" s="25" t="n"/>
      <c r="I3850" s="25" t="n"/>
      <c r="U3850" s="19">
        <f>IF($V3850&lt;&gt;'設定'!$C$4,N(U3849),IF(OR(NOT(COUNTIF('商品マスタ'!$B$6:$B$1005,$W3850)=0),COUNTIFS('①在庫を貼る'!$V$6:$V$10005,$V3850,'①在庫を貼る'!$W$6:$W$10005,$W3850)&gt;0),N(U3849),N(U3849)+1))</f>
        <v/>
      </c>
      <c r="V3850" s="19">
        <f>IF($B3850="","",TEXT($B3850,"0000"))</f>
        <v/>
      </c>
      <c r="W3850" s="19">
        <f>IF($I3850="","",IF(ISNUMBER($I3850),TEXT($I3850,"0"),$I3850))</f>
        <v/>
      </c>
    </row>
    <row r="3851">
      <c r="B3851" s="25" t="n"/>
      <c r="I3851" s="25" t="n"/>
      <c r="U3851" s="19">
        <f>IF($V3851&lt;&gt;'設定'!$C$4,N(U3850),IF(OR(NOT(COUNTIF('商品マスタ'!$B$6:$B$1005,$W3851)=0),COUNTIFS('①在庫を貼る'!$V$6:$V$10005,$V3851,'①在庫を貼る'!$W$6:$W$10005,$W3851)&gt;0),N(U3850),N(U3850)+1))</f>
        <v/>
      </c>
      <c r="V3851" s="19">
        <f>IF($B3851="","",TEXT($B3851,"0000"))</f>
        <v/>
      </c>
      <c r="W3851" s="19">
        <f>IF($I3851="","",IF(ISNUMBER($I3851),TEXT($I3851,"0"),$I3851))</f>
        <v/>
      </c>
    </row>
    <row r="3852">
      <c r="B3852" s="25" t="n"/>
      <c r="I3852" s="25" t="n"/>
      <c r="U3852" s="19">
        <f>IF($V3852&lt;&gt;'設定'!$C$4,N(U3851),IF(OR(NOT(COUNTIF('商品マスタ'!$B$6:$B$1005,$W3852)=0),COUNTIFS('①在庫を貼る'!$V$6:$V$10005,$V3852,'①在庫を貼る'!$W$6:$W$10005,$W3852)&gt;0),N(U3851),N(U3851)+1))</f>
        <v/>
      </c>
      <c r="V3852" s="19">
        <f>IF($B3852="","",TEXT($B3852,"0000"))</f>
        <v/>
      </c>
      <c r="W3852" s="19">
        <f>IF($I3852="","",IF(ISNUMBER($I3852),TEXT($I3852,"0"),$I3852))</f>
        <v/>
      </c>
    </row>
    <row r="3853">
      <c r="B3853" s="25" t="n"/>
      <c r="I3853" s="25" t="n"/>
      <c r="U3853" s="19">
        <f>IF($V3853&lt;&gt;'設定'!$C$4,N(U3852),IF(OR(NOT(COUNTIF('商品マスタ'!$B$6:$B$1005,$W3853)=0),COUNTIFS('①在庫を貼る'!$V$6:$V$10005,$V3853,'①在庫を貼る'!$W$6:$W$10005,$W3853)&gt;0),N(U3852),N(U3852)+1))</f>
        <v/>
      </c>
      <c r="V3853" s="19">
        <f>IF($B3853="","",TEXT($B3853,"0000"))</f>
        <v/>
      </c>
      <c r="W3853" s="19">
        <f>IF($I3853="","",IF(ISNUMBER($I3853),TEXT($I3853,"0"),$I3853))</f>
        <v/>
      </c>
    </row>
    <row r="3854">
      <c r="B3854" s="25" t="n"/>
      <c r="I3854" s="25" t="n"/>
      <c r="U3854" s="19">
        <f>IF($V3854&lt;&gt;'設定'!$C$4,N(U3853),IF(OR(NOT(COUNTIF('商品マスタ'!$B$6:$B$1005,$W3854)=0),COUNTIFS('①在庫を貼る'!$V$6:$V$10005,$V3854,'①在庫を貼る'!$W$6:$W$10005,$W3854)&gt;0),N(U3853),N(U3853)+1))</f>
        <v/>
      </c>
      <c r="V3854" s="19">
        <f>IF($B3854="","",TEXT($B3854,"0000"))</f>
        <v/>
      </c>
      <c r="W3854" s="19">
        <f>IF($I3854="","",IF(ISNUMBER($I3854),TEXT($I3854,"0"),$I3854))</f>
        <v/>
      </c>
    </row>
    <row r="3855">
      <c r="B3855" s="25" t="n"/>
      <c r="I3855" s="25" t="n"/>
      <c r="U3855" s="19">
        <f>IF($V3855&lt;&gt;'設定'!$C$4,N(U3854),IF(OR(NOT(COUNTIF('商品マスタ'!$B$6:$B$1005,$W3855)=0),COUNTIFS('①在庫を貼る'!$V$6:$V$10005,$V3855,'①在庫を貼る'!$W$6:$W$10005,$W3855)&gt;0),N(U3854),N(U3854)+1))</f>
        <v/>
      </c>
      <c r="V3855" s="19">
        <f>IF($B3855="","",TEXT($B3855,"0000"))</f>
        <v/>
      </c>
      <c r="W3855" s="19">
        <f>IF($I3855="","",IF(ISNUMBER($I3855),TEXT($I3855,"0"),$I3855))</f>
        <v/>
      </c>
    </row>
    <row r="3856">
      <c r="B3856" s="25" t="n"/>
      <c r="I3856" s="25" t="n"/>
      <c r="U3856" s="19">
        <f>IF($V3856&lt;&gt;'設定'!$C$4,N(U3855),IF(OR(NOT(COUNTIF('商品マスタ'!$B$6:$B$1005,$W3856)=0),COUNTIFS('①在庫を貼る'!$V$6:$V$10005,$V3856,'①在庫を貼る'!$W$6:$W$10005,$W3856)&gt;0),N(U3855),N(U3855)+1))</f>
        <v/>
      </c>
      <c r="V3856" s="19">
        <f>IF($B3856="","",TEXT($B3856,"0000"))</f>
        <v/>
      </c>
      <c r="W3856" s="19">
        <f>IF($I3856="","",IF(ISNUMBER($I3856),TEXT($I3856,"0"),$I3856))</f>
        <v/>
      </c>
    </row>
    <row r="3857">
      <c r="B3857" s="25" t="n"/>
      <c r="I3857" s="25" t="n"/>
      <c r="U3857" s="19">
        <f>IF($V3857&lt;&gt;'設定'!$C$4,N(U3856),IF(OR(NOT(COUNTIF('商品マスタ'!$B$6:$B$1005,$W3857)=0),COUNTIFS('①在庫を貼る'!$V$6:$V$10005,$V3857,'①在庫を貼る'!$W$6:$W$10005,$W3857)&gt;0),N(U3856),N(U3856)+1))</f>
        <v/>
      </c>
      <c r="V3857" s="19">
        <f>IF($B3857="","",TEXT($B3857,"0000"))</f>
        <v/>
      </c>
      <c r="W3857" s="19">
        <f>IF($I3857="","",IF(ISNUMBER($I3857),TEXT($I3857,"0"),$I3857))</f>
        <v/>
      </c>
    </row>
    <row r="3858">
      <c r="B3858" s="25" t="n"/>
      <c r="I3858" s="25" t="n"/>
      <c r="U3858" s="19">
        <f>IF($V3858&lt;&gt;'設定'!$C$4,N(U3857),IF(OR(NOT(COUNTIF('商品マスタ'!$B$6:$B$1005,$W3858)=0),COUNTIFS('①在庫を貼る'!$V$6:$V$10005,$V3858,'①在庫を貼る'!$W$6:$W$10005,$W3858)&gt;0),N(U3857),N(U3857)+1))</f>
        <v/>
      </c>
      <c r="V3858" s="19">
        <f>IF($B3858="","",TEXT($B3858,"0000"))</f>
        <v/>
      </c>
      <c r="W3858" s="19">
        <f>IF($I3858="","",IF(ISNUMBER($I3858),TEXT($I3858,"0"),$I3858))</f>
        <v/>
      </c>
    </row>
    <row r="3859">
      <c r="B3859" s="25" t="n"/>
      <c r="I3859" s="25" t="n"/>
      <c r="U3859" s="19">
        <f>IF($V3859&lt;&gt;'設定'!$C$4,N(U3858),IF(OR(NOT(COUNTIF('商品マスタ'!$B$6:$B$1005,$W3859)=0),COUNTIFS('①在庫を貼る'!$V$6:$V$10005,$V3859,'①在庫を貼る'!$W$6:$W$10005,$W3859)&gt;0),N(U3858),N(U3858)+1))</f>
        <v/>
      </c>
      <c r="V3859" s="19">
        <f>IF($B3859="","",TEXT($B3859,"0000"))</f>
        <v/>
      </c>
      <c r="W3859" s="19">
        <f>IF($I3859="","",IF(ISNUMBER($I3859),TEXT($I3859,"0"),$I3859))</f>
        <v/>
      </c>
    </row>
    <row r="3860">
      <c r="B3860" s="25" t="n"/>
      <c r="I3860" s="25" t="n"/>
      <c r="U3860" s="19">
        <f>IF($V3860&lt;&gt;'設定'!$C$4,N(U3859),IF(OR(NOT(COUNTIF('商品マスタ'!$B$6:$B$1005,$W3860)=0),COUNTIFS('①在庫を貼る'!$V$6:$V$10005,$V3860,'①在庫を貼る'!$W$6:$W$10005,$W3860)&gt;0),N(U3859),N(U3859)+1))</f>
        <v/>
      </c>
      <c r="V3860" s="19">
        <f>IF($B3860="","",TEXT($B3860,"0000"))</f>
        <v/>
      </c>
      <c r="W3860" s="19">
        <f>IF($I3860="","",IF(ISNUMBER($I3860),TEXT($I3860,"0"),$I3860))</f>
        <v/>
      </c>
    </row>
    <row r="3861">
      <c r="B3861" s="25" t="n"/>
      <c r="I3861" s="25" t="n"/>
      <c r="U3861" s="19">
        <f>IF($V3861&lt;&gt;'設定'!$C$4,N(U3860),IF(OR(NOT(COUNTIF('商品マスタ'!$B$6:$B$1005,$W3861)=0),COUNTIFS('①在庫を貼る'!$V$6:$V$10005,$V3861,'①在庫を貼る'!$W$6:$W$10005,$W3861)&gt;0),N(U3860),N(U3860)+1))</f>
        <v/>
      </c>
      <c r="V3861" s="19">
        <f>IF($B3861="","",TEXT($B3861,"0000"))</f>
        <v/>
      </c>
      <c r="W3861" s="19">
        <f>IF($I3861="","",IF(ISNUMBER($I3861),TEXT($I3861,"0"),$I3861))</f>
        <v/>
      </c>
    </row>
    <row r="3862">
      <c r="B3862" s="25" t="n"/>
      <c r="I3862" s="25" t="n"/>
      <c r="U3862" s="19">
        <f>IF($V3862&lt;&gt;'設定'!$C$4,N(U3861),IF(OR(NOT(COUNTIF('商品マスタ'!$B$6:$B$1005,$W3862)=0),COUNTIFS('①在庫を貼る'!$V$6:$V$10005,$V3862,'①在庫を貼る'!$W$6:$W$10005,$W3862)&gt;0),N(U3861),N(U3861)+1))</f>
        <v/>
      </c>
      <c r="V3862" s="19">
        <f>IF($B3862="","",TEXT($B3862,"0000"))</f>
        <v/>
      </c>
      <c r="W3862" s="19">
        <f>IF($I3862="","",IF(ISNUMBER($I3862),TEXT($I3862,"0"),$I3862))</f>
        <v/>
      </c>
    </row>
    <row r="3863">
      <c r="B3863" s="25" t="n"/>
      <c r="I3863" s="25" t="n"/>
      <c r="U3863" s="19">
        <f>IF($V3863&lt;&gt;'設定'!$C$4,N(U3862),IF(OR(NOT(COUNTIF('商品マスタ'!$B$6:$B$1005,$W3863)=0),COUNTIFS('①在庫を貼る'!$V$6:$V$10005,$V3863,'①在庫を貼る'!$W$6:$W$10005,$W3863)&gt;0),N(U3862),N(U3862)+1))</f>
        <v/>
      </c>
      <c r="V3863" s="19">
        <f>IF($B3863="","",TEXT($B3863,"0000"))</f>
        <v/>
      </c>
      <c r="W3863" s="19">
        <f>IF($I3863="","",IF(ISNUMBER($I3863),TEXT($I3863,"0"),$I3863))</f>
        <v/>
      </c>
    </row>
    <row r="3864">
      <c r="B3864" s="25" t="n"/>
      <c r="I3864" s="25" t="n"/>
      <c r="U3864" s="19">
        <f>IF($V3864&lt;&gt;'設定'!$C$4,N(U3863),IF(OR(NOT(COUNTIF('商品マスタ'!$B$6:$B$1005,$W3864)=0),COUNTIFS('①在庫を貼る'!$V$6:$V$10005,$V3864,'①在庫を貼る'!$W$6:$W$10005,$W3864)&gt;0),N(U3863),N(U3863)+1))</f>
        <v/>
      </c>
      <c r="V3864" s="19">
        <f>IF($B3864="","",TEXT($B3864,"0000"))</f>
        <v/>
      </c>
      <c r="W3864" s="19">
        <f>IF($I3864="","",IF(ISNUMBER($I3864),TEXT($I3864,"0"),$I3864))</f>
        <v/>
      </c>
    </row>
    <row r="3865">
      <c r="B3865" s="25" t="n"/>
      <c r="I3865" s="25" t="n"/>
      <c r="U3865" s="19">
        <f>IF($V3865&lt;&gt;'設定'!$C$4,N(U3864),IF(OR(NOT(COUNTIF('商品マスタ'!$B$6:$B$1005,$W3865)=0),COUNTIFS('①在庫を貼る'!$V$6:$V$10005,$V3865,'①在庫を貼る'!$W$6:$W$10005,$W3865)&gt;0),N(U3864),N(U3864)+1))</f>
        <v/>
      </c>
      <c r="V3865" s="19">
        <f>IF($B3865="","",TEXT($B3865,"0000"))</f>
        <v/>
      </c>
      <c r="W3865" s="19">
        <f>IF($I3865="","",IF(ISNUMBER($I3865),TEXT($I3865,"0"),$I3865))</f>
        <v/>
      </c>
    </row>
    <row r="3866">
      <c r="B3866" s="25" t="n"/>
      <c r="I3866" s="25" t="n"/>
      <c r="U3866" s="19">
        <f>IF($V3866&lt;&gt;'設定'!$C$4,N(U3865),IF(OR(NOT(COUNTIF('商品マスタ'!$B$6:$B$1005,$W3866)=0),COUNTIFS('①在庫を貼る'!$V$6:$V$10005,$V3866,'①在庫を貼る'!$W$6:$W$10005,$W3866)&gt;0),N(U3865),N(U3865)+1))</f>
        <v/>
      </c>
      <c r="V3866" s="19">
        <f>IF($B3866="","",TEXT($B3866,"0000"))</f>
        <v/>
      </c>
      <c r="W3866" s="19">
        <f>IF($I3866="","",IF(ISNUMBER($I3866),TEXT($I3866,"0"),$I3866))</f>
        <v/>
      </c>
    </row>
    <row r="3867">
      <c r="B3867" s="25" t="n"/>
      <c r="I3867" s="25" t="n"/>
      <c r="U3867" s="19">
        <f>IF($V3867&lt;&gt;'設定'!$C$4,N(U3866),IF(OR(NOT(COUNTIF('商品マスタ'!$B$6:$B$1005,$W3867)=0),COUNTIFS('①在庫を貼る'!$V$6:$V$10005,$V3867,'①在庫を貼る'!$W$6:$W$10005,$W3867)&gt;0),N(U3866),N(U3866)+1))</f>
        <v/>
      </c>
      <c r="V3867" s="19">
        <f>IF($B3867="","",TEXT($B3867,"0000"))</f>
        <v/>
      </c>
      <c r="W3867" s="19">
        <f>IF($I3867="","",IF(ISNUMBER($I3867),TEXT($I3867,"0"),$I3867))</f>
        <v/>
      </c>
    </row>
    <row r="3868">
      <c r="B3868" s="25" t="n"/>
      <c r="I3868" s="25" t="n"/>
      <c r="U3868" s="19">
        <f>IF($V3868&lt;&gt;'設定'!$C$4,N(U3867),IF(OR(NOT(COUNTIF('商品マスタ'!$B$6:$B$1005,$W3868)=0),COUNTIFS('①在庫を貼る'!$V$6:$V$10005,$V3868,'①在庫を貼る'!$W$6:$W$10005,$W3868)&gt;0),N(U3867),N(U3867)+1))</f>
        <v/>
      </c>
      <c r="V3868" s="19">
        <f>IF($B3868="","",TEXT($B3868,"0000"))</f>
        <v/>
      </c>
      <c r="W3868" s="19">
        <f>IF($I3868="","",IF(ISNUMBER($I3868),TEXT($I3868,"0"),$I3868))</f>
        <v/>
      </c>
    </row>
    <row r="3869">
      <c r="B3869" s="25" t="n"/>
      <c r="I3869" s="25" t="n"/>
      <c r="U3869" s="19">
        <f>IF($V3869&lt;&gt;'設定'!$C$4,N(U3868),IF(OR(NOT(COUNTIF('商品マスタ'!$B$6:$B$1005,$W3869)=0),COUNTIFS('①在庫を貼る'!$V$6:$V$10005,$V3869,'①在庫を貼る'!$W$6:$W$10005,$W3869)&gt;0),N(U3868),N(U3868)+1))</f>
        <v/>
      </c>
      <c r="V3869" s="19">
        <f>IF($B3869="","",TEXT($B3869,"0000"))</f>
        <v/>
      </c>
      <c r="W3869" s="19">
        <f>IF($I3869="","",IF(ISNUMBER($I3869),TEXT($I3869,"0"),$I3869))</f>
        <v/>
      </c>
    </row>
    <row r="3870">
      <c r="B3870" s="25" t="n"/>
      <c r="I3870" s="25" t="n"/>
      <c r="U3870" s="19">
        <f>IF($V3870&lt;&gt;'設定'!$C$4,N(U3869),IF(OR(NOT(COUNTIF('商品マスタ'!$B$6:$B$1005,$W3870)=0),COUNTIFS('①在庫を貼る'!$V$6:$V$10005,$V3870,'①在庫を貼る'!$W$6:$W$10005,$W3870)&gt;0),N(U3869),N(U3869)+1))</f>
        <v/>
      </c>
      <c r="V3870" s="19">
        <f>IF($B3870="","",TEXT($B3870,"0000"))</f>
        <v/>
      </c>
      <c r="W3870" s="19">
        <f>IF($I3870="","",IF(ISNUMBER($I3870),TEXT($I3870,"0"),$I3870))</f>
        <v/>
      </c>
    </row>
    <row r="3871">
      <c r="B3871" s="25" t="n"/>
      <c r="I3871" s="25" t="n"/>
      <c r="U3871" s="19">
        <f>IF($V3871&lt;&gt;'設定'!$C$4,N(U3870),IF(OR(NOT(COUNTIF('商品マスタ'!$B$6:$B$1005,$W3871)=0),COUNTIFS('①在庫を貼る'!$V$6:$V$10005,$V3871,'①在庫を貼る'!$W$6:$W$10005,$W3871)&gt;0),N(U3870),N(U3870)+1))</f>
        <v/>
      </c>
      <c r="V3871" s="19">
        <f>IF($B3871="","",TEXT($B3871,"0000"))</f>
        <v/>
      </c>
      <c r="W3871" s="19">
        <f>IF($I3871="","",IF(ISNUMBER($I3871),TEXT($I3871,"0"),$I3871))</f>
        <v/>
      </c>
    </row>
    <row r="3872">
      <c r="B3872" s="25" t="n"/>
      <c r="I3872" s="25" t="n"/>
      <c r="U3872" s="19">
        <f>IF($V3872&lt;&gt;'設定'!$C$4,N(U3871),IF(OR(NOT(COUNTIF('商品マスタ'!$B$6:$B$1005,$W3872)=0),COUNTIFS('①在庫を貼る'!$V$6:$V$10005,$V3872,'①在庫を貼る'!$W$6:$W$10005,$W3872)&gt;0),N(U3871),N(U3871)+1))</f>
        <v/>
      </c>
      <c r="V3872" s="19">
        <f>IF($B3872="","",TEXT($B3872,"0000"))</f>
        <v/>
      </c>
      <c r="W3872" s="19">
        <f>IF($I3872="","",IF(ISNUMBER($I3872),TEXT($I3872,"0"),$I3872))</f>
        <v/>
      </c>
    </row>
    <row r="3873">
      <c r="B3873" s="25" t="n"/>
      <c r="I3873" s="25" t="n"/>
      <c r="U3873" s="19">
        <f>IF($V3873&lt;&gt;'設定'!$C$4,N(U3872),IF(OR(NOT(COUNTIF('商品マスタ'!$B$6:$B$1005,$W3873)=0),COUNTIFS('①在庫を貼る'!$V$6:$V$10005,$V3873,'①在庫を貼る'!$W$6:$W$10005,$W3873)&gt;0),N(U3872),N(U3872)+1))</f>
        <v/>
      </c>
      <c r="V3873" s="19">
        <f>IF($B3873="","",TEXT($B3873,"0000"))</f>
        <v/>
      </c>
      <c r="W3873" s="19">
        <f>IF($I3873="","",IF(ISNUMBER($I3873),TEXT($I3873,"0"),$I3873))</f>
        <v/>
      </c>
    </row>
    <row r="3874">
      <c r="B3874" s="25" t="n"/>
      <c r="I3874" s="25" t="n"/>
      <c r="U3874" s="19">
        <f>IF($V3874&lt;&gt;'設定'!$C$4,N(U3873),IF(OR(NOT(COUNTIF('商品マスタ'!$B$6:$B$1005,$W3874)=0),COUNTIFS('①在庫を貼る'!$V$6:$V$10005,$V3874,'①在庫を貼る'!$W$6:$W$10005,$W3874)&gt;0),N(U3873),N(U3873)+1))</f>
        <v/>
      </c>
      <c r="V3874" s="19">
        <f>IF($B3874="","",TEXT($B3874,"0000"))</f>
        <v/>
      </c>
      <c r="W3874" s="19">
        <f>IF($I3874="","",IF(ISNUMBER($I3874),TEXT($I3874,"0"),$I3874))</f>
        <v/>
      </c>
    </row>
    <row r="3875">
      <c r="B3875" s="25" t="n"/>
      <c r="I3875" s="25" t="n"/>
      <c r="U3875" s="19">
        <f>IF($V3875&lt;&gt;'設定'!$C$4,N(U3874),IF(OR(NOT(COUNTIF('商品マスタ'!$B$6:$B$1005,$W3875)=0),COUNTIFS('①在庫を貼る'!$V$6:$V$10005,$V3875,'①在庫を貼る'!$W$6:$W$10005,$W3875)&gt;0),N(U3874),N(U3874)+1))</f>
        <v/>
      </c>
      <c r="V3875" s="19">
        <f>IF($B3875="","",TEXT($B3875,"0000"))</f>
        <v/>
      </c>
      <c r="W3875" s="19">
        <f>IF($I3875="","",IF(ISNUMBER($I3875),TEXT($I3875,"0"),$I3875))</f>
        <v/>
      </c>
    </row>
    <row r="3876">
      <c r="B3876" s="25" t="n"/>
      <c r="I3876" s="25" t="n"/>
      <c r="U3876" s="19">
        <f>IF($V3876&lt;&gt;'設定'!$C$4,N(U3875),IF(OR(NOT(COUNTIF('商品マスタ'!$B$6:$B$1005,$W3876)=0),COUNTIFS('①在庫を貼る'!$V$6:$V$10005,$V3876,'①在庫を貼る'!$W$6:$W$10005,$W3876)&gt;0),N(U3875),N(U3875)+1))</f>
        <v/>
      </c>
      <c r="V3876" s="19">
        <f>IF($B3876="","",TEXT($B3876,"0000"))</f>
        <v/>
      </c>
      <c r="W3876" s="19">
        <f>IF($I3876="","",IF(ISNUMBER($I3876),TEXT($I3876,"0"),$I3876))</f>
        <v/>
      </c>
    </row>
    <row r="3877">
      <c r="B3877" s="25" t="n"/>
      <c r="I3877" s="25" t="n"/>
      <c r="U3877" s="19">
        <f>IF($V3877&lt;&gt;'設定'!$C$4,N(U3876),IF(OR(NOT(COUNTIF('商品マスタ'!$B$6:$B$1005,$W3877)=0),COUNTIFS('①在庫を貼る'!$V$6:$V$10005,$V3877,'①在庫を貼る'!$W$6:$W$10005,$W3877)&gt;0),N(U3876),N(U3876)+1))</f>
        <v/>
      </c>
      <c r="V3877" s="19">
        <f>IF($B3877="","",TEXT($B3877,"0000"))</f>
        <v/>
      </c>
      <c r="W3877" s="19">
        <f>IF($I3877="","",IF(ISNUMBER($I3877),TEXT($I3877,"0"),$I3877))</f>
        <v/>
      </c>
    </row>
    <row r="3878">
      <c r="B3878" s="25" t="n"/>
      <c r="I3878" s="25" t="n"/>
      <c r="U3878" s="19">
        <f>IF($V3878&lt;&gt;'設定'!$C$4,N(U3877),IF(OR(NOT(COUNTIF('商品マスタ'!$B$6:$B$1005,$W3878)=0),COUNTIFS('①在庫を貼る'!$V$6:$V$10005,$V3878,'①在庫を貼る'!$W$6:$W$10005,$W3878)&gt;0),N(U3877),N(U3877)+1))</f>
        <v/>
      </c>
      <c r="V3878" s="19">
        <f>IF($B3878="","",TEXT($B3878,"0000"))</f>
        <v/>
      </c>
      <c r="W3878" s="19">
        <f>IF($I3878="","",IF(ISNUMBER($I3878),TEXT($I3878,"0"),$I3878))</f>
        <v/>
      </c>
    </row>
    <row r="3879">
      <c r="B3879" s="25" t="n"/>
      <c r="I3879" s="25" t="n"/>
      <c r="U3879" s="19">
        <f>IF($V3879&lt;&gt;'設定'!$C$4,N(U3878),IF(OR(NOT(COUNTIF('商品マスタ'!$B$6:$B$1005,$W3879)=0),COUNTIFS('①在庫を貼る'!$V$6:$V$10005,$V3879,'①在庫を貼る'!$W$6:$W$10005,$W3879)&gt;0),N(U3878),N(U3878)+1))</f>
        <v/>
      </c>
      <c r="V3879" s="19">
        <f>IF($B3879="","",TEXT($B3879,"0000"))</f>
        <v/>
      </c>
      <c r="W3879" s="19">
        <f>IF($I3879="","",IF(ISNUMBER($I3879),TEXT($I3879,"0"),$I3879))</f>
        <v/>
      </c>
    </row>
    <row r="3880">
      <c r="B3880" s="25" t="n"/>
      <c r="I3880" s="25" t="n"/>
      <c r="U3880" s="19">
        <f>IF($V3880&lt;&gt;'設定'!$C$4,N(U3879),IF(OR(NOT(COUNTIF('商品マスタ'!$B$6:$B$1005,$W3880)=0),COUNTIFS('①在庫を貼る'!$V$6:$V$10005,$V3880,'①在庫を貼る'!$W$6:$W$10005,$W3880)&gt;0),N(U3879),N(U3879)+1))</f>
        <v/>
      </c>
      <c r="V3880" s="19">
        <f>IF($B3880="","",TEXT($B3880,"0000"))</f>
        <v/>
      </c>
      <c r="W3880" s="19">
        <f>IF($I3880="","",IF(ISNUMBER($I3880),TEXT($I3880,"0"),$I3880))</f>
        <v/>
      </c>
    </row>
    <row r="3881">
      <c r="B3881" s="25" t="n"/>
      <c r="I3881" s="25" t="n"/>
      <c r="U3881" s="19">
        <f>IF($V3881&lt;&gt;'設定'!$C$4,N(U3880),IF(OR(NOT(COUNTIF('商品マスタ'!$B$6:$B$1005,$W3881)=0),COUNTIFS('①在庫を貼る'!$V$6:$V$10005,$V3881,'①在庫を貼る'!$W$6:$W$10005,$W3881)&gt;0),N(U3880),N(U3880)+1))</f>
        <v/>
      </c>
      <c r="V3881" s="19">
        <f>IF($B3881="","",TEXT($B3881,"0000"))</f>
        <v/>
      </c>
      <c r="W3881" s="19">
        <f>IF($I3881="","",IF(ISNUMBER($I3881),TEXT($I3881,"0"),$I3881))</f>
        <v/>
      </c>
    </row>
    <row r="3882">
      <c r="B3882" s="25" t="n"/>
      <c r="I3882" s="25" t="n"/>
      <c r="U3882" s="19">
        <f>IF($V3882&lt;&gt;'設定'!$C$4,N(U3881),IF(OR(NOT(COUNTIF('商品マスタ'!$B$6:$B$1005,$W3882)=0),COUNTIFS('①在庫を貼る'!$V$6:$V$10005,$V3882,'①在庫を貼る'!$W$6:$W$10005,$W3882)&gt;0),N(U3881),N(U3881)+1))</f>
        <v/>
      </c>
      <c r="V3882" s="19">
        <f>IF($B3882="","",TEXT($B3882,"0000"))</f>
        <v/>
      </c>
      <c r="W3882" s="19">
        <f>IF($I3882="","",IF(ISNUMBER($I3882),TEXT($I3882,"0"),$I3882))</f>
        <v/>
      </c>
    </row>
    <row r="3883">
      <c r="B3883" s="25" t="n"/>
      <c r="I3883" s="25" t="n"/>
      <c r="U3883" s="19">
        <f>IF($V3883&lt;&gt;'設定'!$C$4,N(U3882),IF(OR(NOT(COUNTIF('商品マスタ'!$B$6:$B$1005,$W3883)=0),COUNTIFS('①在庫を貼る'!$V$6:$V$10005,$V3883,'①在庫を貼る'!$W$6:$W$10005,$W3883)&gt;0),N(U3882),N(U3882)+1))</f>
        <v/>
      </c>
      <c r="V3883" s="19">
        <f>IF($B3883="","",TEXT($B3883,"0000"))</f>
        <v/>
      </c>
      <c r="W3883" s="19">
        <f>IF($I3883="","",IF(ISNUMBER($I3883),TEXT($I3883,"0"),$I3883))</f>
        <v/>
      </c>
    </row>
    <row r="3884">
      <c r="B3884" s="25" t="n"/>
      <c r="I3884" s="25" t="n"/>
      <c r="U3884" s="19">
        <f>IF($V3884&lt;&gt;'設定'!$C$4,N(U3883),IF(OR(NOT(COUNTIF('商品マスタ'!$B$6:$B$1005,$W3884)=0),COUNTIFS('①在庫を貼る'!$V$6:$V$10005,$V3884,'①在庫を貼る'!$W$6:$W$10005,$W3884)&gt;0),N(U3883),N(U3883)+1))</f>
        <v/>
      </c>
      <c r="V3884" s="19">
        <f>IF($B3884="","",TEXT($B3884,"0000"))</f>
        <v/>
      </c>
      <c r="W3884" s="19">
        <f>IF($I3884="","",IF(ISNUMBER($I3884),TEXT($I3884,"0"),$I3884))</f>
        <v/>
      </c>
    </row>
    <row r="3885">
      <c r="B3885" s="25" t="n"/>
      <c r="I3885" s="25" t="n"/>
      <c r="U3885" s="19">
        <f>IF($V3885&lt;&gt;'設定'!$C$4,N(U3884),IF(OR(NOT(COUNTIF('商品マスタ'!$B$6:$B$1005,$W3885)=0),COUNTIFS('①在庫を貼る'!$V$6:$V$10005,$V3885,'①在庫を貼る'!$W$6:$W$10005,$W3885)&gt;0),N(U3884),N(U3884)+1))</f>
        <v/>
      </c>
      <c r="V3885" s="19">
        <f>IF($B3885="","",TEXT($B3885,"0000"))</f>
        <v/>
      </c>
      <c r="W3885" s="19">
        <f>IF($I3885="","",IF(ISNUMBER($I3885),TEXT($I3885,"0"),$I3885))</f>
        <v/>
      </c>
    </row>
    <row r="3886">
      <c r="B3886" s="25" t="n"/>
      <c r="I3886" s="25" t="n"/>
      <c r="U3886" s="19">
        <f>IF($V3886&lt;&gt;'設定'!$C$4,N(U3885),IF(OR(NOT(COUNTIF('商品マスタ'!$B$6:$B$1005,$W3886)=0),COUNTIFS('①在庫を貼る'!$V$6:$V$10005,$V3886,'①在庫を貼る'!$W$6:$W$10005,$W3886)&gt;0),N(U3885),N(U3885)+1))</f>
        <v/>
      </c>
      <c r="V3886" s="19">
        <f>IF($B3886="","",TEXT($B3886,"0000"))</f>
        <v/>
      </c>
      <c r="W3886" s="19">
        <f>IF($I3886="","",IF(ISNUMBER($I3886),TEXT($I3886,"0"),$I3886))</f>
        <v/>
      </c>
    </row>
    <row r="3887">
      <c r="B3887" s="25" t="n"/>
      <c r="I3887" s="25" t="n"/>
      <c r="U3887" s="19">
        <f>IF($V3887&lt;&gt;'設定'!$C$4,N(U3886),IF(OR(NOT(COUNTIF('商品マスタ'!$B$6:$B$1005,$W3887)=0),COUNTIFS('①在庫を貼る'!$V$6:$V$10005,$V3887,'①在庫を貼る'!$W$6:$W$10005,$W3887)&gt;0),N(U3886),N(U3886)+1))</f>
        <v/>
      </c>
      <c r="V3887" s="19">
        <f>IF($B3887="","",TEXT($B3887,"0000"))</f>
        <v/>
      </c>
      <c r="W3887" s="19">
        <f>IF($I3887="","",IF(ISNUMBER($I3887),TEXT($I3887,"0"),$I3887))</f>
        <v/>
      </c>
    </row>
    <row r="3888">
      <c r="B3888" s="25" t="n"/>
      <c r="I3888" s="25" t="n"/>
      <c r="U3888" s="19">
        <f>IF($V3888&lt;&gt;'設定'!$C$4,N(U3887),IF(OR(NOT(COUNTIF('商品マスタ'!$B$6:$B$1005,$W3888)=0),COUNTIFS('①在庫を貼る'!$V$6:$V$10005,$V3888,'①在庫を貼る'!$W$6:$W$10005,$W3888)&gt;0),N(U3887),N(U3887)+1))</f>
        <v/>
      </c>
      <c r="V3888" s="19">
        <f>IF($B3888="","",TEXT($B3888,"0000"))</f>
        <v/>
      </c>
      <c r="W3888" s="19">
        <f>IF($I3888="","",IF(ISNUMBER($I3888),TEXT($I3888,"0"),$I3888))</f>
        <v/>
      </c>
    </row>
    <row r="3889">
      <c r="B3889" s="25" t="n"/>
      <c r="I3889" s="25" t="n"/>
      <c r="U3889" s="19">
        <f>IF($V3889&lt;&gt;'設定'!$C$4,N(U3888),IF(OR(NOT(COUNTIF('商品マスタ'!$B$6:$B$1005,$W3889)=0),COUNTIFS('①在庫を貼る'!$V$6:$V$10005,$V3889,'①在庫を貼る'!$W$6:$W$10005,$W3889)&gt;0),N(U3888),N(U3888)+1))</f>
        <v/>
      </c>
      <c r="V3889" s="19">
        <f>IF($B3889="","",TEXT($B3889,"0000"))</f>
        <v/>
      </c>
      <c r="W3889" s="19">
        <f>IF($I3889="","",IF(ISNUMBER($I3889),TEXT($I3889,"0"),$I3889))</f>
        <v/>
      </c>
    </row>
    <row r="3890">
      <c r="B3890" s="25" t="n"/>
      <c r="I3890" s="25" t="n"/>
      <c r="U3890" s="19">
        <f>IF($V3890&lt;&gt;'設定'!$C$4,N(U3889),IF(OR(NOT(COUNTIF('商品マスタ'!$B$6:$B$1005,$W3890)=0),COUNTIFS('①在庫を貼る'!$V$6:$V$10005,$V3890,'①在庫を貼る'!$W$6:$W$10005,$W3890)&gt;0),N(U3889),N(U3889)+1))</f>
        <v/>
      </c>
      <c r="V3890" s="19">
        <f>IF($B3890="","",TEXT($B3890,"0000"))</f>
        <v/>
      </c>
      <c r="W3890" s="19">
        <f>IF($I3890="","",IF(ISNUMBER($I3890),TEXT($I3890,"0"),$I3890))</f>
        <v/>
      </c>
    </row>
    <row r="3891">
      <c r="B3891" s="25" t="n"/>
      <c r="I3891" s="25" t="n"/>
      <c r="U3891" s="19">
        <f>IF($V3891&lt;&gt;'設定'!$C$4,N(U3890),IF(OR(NOT(COUNTIF('商品マスタ'!$B$6:$B$1005,$W3891)=0),COUNTIFS('①在庫を貼る'!$V$6:$V$10005,$V3891,'①在庫を貼る'!$W$6:$W$10005,$W3891)&gt;0),N(U3890),N(U3890)+1))</f>
        <v/>
      </c>
      <c r="V3891" s="19">
        <f>IF($B3891="","",TEXT($B3891,"0000"))</f>
        <v/>
      </c>
      <c r="W3891" s="19">
        <f>IF($I3891="","",IF(ISNUMBER($I3891),TEXT($I3891,"0"),$I3891))</f>
        <v/>
      </c>
    </row>
    <row r="3892">
      <c r="B3892" s="25" t="n"/>
      <c r="I3892" s="25" t="n"/>
      <c r="U3892" s="19">
        <f>IF($V3892&lt;&gt;'設定'!$C$4,N(U3891),IF(OR(NOT(COUNTIF('商品マスタ'!$B$6:$B$1005,$W3892)=0),COUNTIFS('①在庫を貼る'!$V$6:$V$10005,$V3892,'①在庫を貼る'!$W$6:$W$10005,$W3892)&gt;0),N(U3891),N(U3891)+1))</f>
        <v/>
      </c>
      <c r="V3892" s="19">
        <f>IF($B3892="","",TEXT($B3892,"0000"))</f>
        <v/>
      </c>
      <c r="W3892" s="19">
        <f>IF($I3892="","",IF(ISNUMBER($I3892),TEXT($I3892,"0"),$I3892))</f>
        <v/>
      </c>
    </row>
    <row r="3893">
      <c r="B3893" s="25" t="n"/>
      <c r="I3893" s="25" t="n"/>
      <c r="U3893" s="19">
        <f>IF($V3893&lt;&gt;'設定'!$C$4,N(U3892),IF(OR(NOT(COUNTIF('商品マスタ'!$B$6:$B$1005,$W3893)=0),COUNTIFS('①在庫を貼る'!$V$6:$V$10005,$V3893,'①在庫を貼る'!$W$6:$W$10005,$W3893)&gt;0),N(U3892),N(U3892)+1))</f>
        <v/>
      </c>
      <c r="V3893" s="19">
        <f>IF($B3893="","",TEXT($B3893,"0000"))</f>
        <v/>
      </c>
      <c r="W3893" s="19">
        <f>IF($I3893="","",IF(ISNUMBER($I3893),TEXT($I3893,"0"),$I3893))</f>
        <v/>
      </c>
    </row>
    <row r="3894">
      <c r="B3894" s="25" t="n"/>
      <c r="I3894" s="25" t="n"/>
      <c r="U3894" s="19">
        <f>IF($V3894&lt;&gt;'設定'!$C$4,N(U3893),IF(OR(NOT(COUNTIF('商品マスタ'!$B$6:$B$1005,$W3894)=0),COUNTIFS('①在庫を貼る'!$V$6:$V$10005,$V3894,'①在庫を貼る'!$W$6:$W$10005,$W3894)&gt;0),N(U3893),N(U3893)+1))</f>
        <v/>
      </c>
      <c r="V3894" s="19">
        <f>IF($B3894="","",TEXT($B3894,"0000"))</f>
        <v/>
      </c>
      <c r="W3894" s="19">
        <f>IF($I3894="","",IF(ISNUMBER($I3894),TEXT($I3894,"0"),$I3894))</f>
        <v/>
      </c>
    </row>
    <row r="3895">
      <c r="B3895" s="25" t="n"/>
      <c r="I3895" s="25" t="n"/>
      <c r="U3895" s="19">
        <f>IF($V3895&lt;&gt;'設定'!$C$4,N(U3894),IF(OR(NOT(COUNTIF('商品マスタ'!$B$6:$B$1005,$W3895)=0),COUNTIFS('①在庫を貼る'!$V$6:$V$10005,$V3895,'①在庫を貼る'!$W$6:$W$10005,$W3895)&gt;0),N(U3894),N(U3894)+1))</f>
        <v/>
      </c>
      <c r="V3895" s="19">
        <f>IF($B3895="","",TEXT($B3895,"0000"))</f>
        <v/>
      </c>
      <c r="W3895" s="19">
        <f>IF($I3895="","",IF(ISNUMBER($I3895),TEXT($I3895,"0"),$I3895))</f>
        <v/>
      </c>
    </row>
    <row r="3896">
      <c r="B3896" s="25" t="n"/>
      <c r="I3896" s="25" t="n"/>
      <c r="U3896" s="19">
        <f>IF($V3896&lt;&gt;'設定'!$C$4,N(U3895),IF(OR(NOT(COUNTIF('商品マスタ'!$B$6:$B$1005,$W3896)=0),COUNTIFS('①在庫を貼る'!$V$6:$V$10005,$V3896,'①在庫を貼る'!$W$6:$W$10005,$W3896)&gt;0),N(U3895),N(U3895)+1))</f>
        <v/>
      </c>
      <c r="V3896" s="19">
        <f>IF($B3896="","",TEXT($B3896,"0000"))</f>
        <v/>
      </c>
      <c r="W3896" s="19">
        <f>IF($I3896="","",IF(ISNUMBER($I3896),TEXT($I3896,"0"),$I3896))</f>
        <v/>
      </c>
    </row>
    <row r="3897">
      <c r="B3897" s="25" t="n"/>
      <c r="I3897" s="25" t="n"/>
      <c r="U3897" s="19">
        <f>IF($V3897&lt;&gt;'設定'!$C$4,N(U3896),IF(OR(NOT(COUNTIF('商品マスタ'!$B$6:$B$1005,$W3897)=0),COUNTIFS('①在庫を貼る'!$V$6:$V$10005,$V3897,'①在庫を貼る'!$W$6:$W$10005,$W3897)&gt;0),N(U3896),N(U3896)+1))</f>
        <v/>
      </c>
      <c r="V3897" s="19">
        <f>IF($B3897="","",TEXT($B3897,"0000"))</f>
        <v/>
      </c>
      <c r="W3897" s="19">
        <f>IF($I3897="","",IF(ISNUMBER($I3897),TEXT($I3897,"0"),$I3897))</f>
        <v/>
      </c>
    </row>
    <row r="3898">
      <c r="B3898" s="25" t="n"/>
      <c r="I3898" s="25" t="n"/>
      <c r="U3898" s="19">
        <f>IF($V3898&lt;&gt;'設定'!$C$4,N(U3897),IF(OR(NOT(COUNTIF('商品マスタ'!$B$6:$B$1005,$W3898)=0),COUNTIFS('①在庫を貼る'!$V$6:$V$10005,$V3898,'①在庫を貼る'!$W$6:$W$10005,$W3898)&gt;0),N(U3897),N(U3897)+1))</f>
        <v/>
      </c>
      <c r="V3898" s="19">
        <f>IF($B3898="","",TEXT($B3898,"0000"))</f>
        <v/>
      </c>
      <c r="W3898" s="19">
        <f>IF($I3898="","",IF(ISNUMBER($I3898),TEXT($I3898,"0"),$I3898))</f>
        <v/>
      </c>
    </row>
    <row r="3899">
      <c r="B3899" s="25" t="n"/>
      <c r="I3899" s="25" t="n"/>
      <c r="U3899" s="19">
        <f>IF($V3899&lt;&gt;'設定'!$C$4,N(U3898),IF(OR(NOT(COUNTIF('商品マスタ'!$B$6:$B$1005,$W3899)=0),COUNTIFS('①在庫を貼る'!$V$6:$V$10005,$V3899,'①在庫を貼る'!$W$6:$W$10005,$W3899)&gt;0),N(U3898),N(U3898)+1))</f>
        <v/>
      </c>
      <c r="V3899" s="19">
        <f>IF($B3899="","",TEXT($B3899,"0000"))</f>
        <v/>
      </c>
      <c r="W3899" s="19">
        <f>IF($I3899="","",IF(ISNUMBER($I3899),TEXT($I3899,"0"),$I3899))</f>
        <v/>
      </c>
    </row>
    <row r="3900">
      <c r="B3900" s="25" t="n"/>
      <c r="I3900" s="25" t="n"/>
      <c r="U3900" s="19">
        <f>IF($V3900&lt;&gt;'設定'!$C$4,N(U3899),IF(OR(NOT(COUNTIF('商品マスタ'!$B$6:$B$1005,$W3900)=0),COUNTIFS('①在庫を貼る'!$V$6:$V$10005,$V3900,'①在庫を貼る'!$W$6:$W$10005,$W3900)&gt;0),N(U3899),N(U3899)+1))</f>
        <v/>
      </c>
      <c r="V3900" s="19">
        <f>IF($B3900="","",TEXT($B3900,"0000"))</f>
        <v/>
      </c>
      <c r="W3900" s="19">
        <f>IF($I3900="","",IF(ISNUMBER($I3900),TEXT($I3900,"0"),$I3900))</f>
        <v/>
      </c>
    </row>
    <row r="3901">
      <c r="B3901" s="25" t="n"/>
      <c r="I3901" s="25" t="n"/>
      <c r="U3901" s="19">
        <f>IF($V3901&lt;&gt;'設定'!$C$4,N(U3900),IF(OR(NOT(COUNTIF('商品マスタ'!$B$6:$B$1005,$W3901)=0),COUNTIFS('①在庫を貼る'!$V$6:$V$10005,$V3901,'①在庫を貼る'!$W$6:$W$10005,$W3901)&gt;0),N(U3900),N(U3900)+1))</f>
        <v/>
      </c>
      <c r="V3901" s="19">
        <f>IF($B3901="","",TEXT($B3901,"0000"))</f>
        <v/>
      </c>
      <c r="W3901" s="19">
        <f>IF($I3901="","",IF(ISNUMBER($I3901),TEXT($I3901,"0"),$I3901))</f>
        <v/>
      </c>
    </row>
    <row r="3902">
      <c r="B3902" s="25" t="n"/>
      <c r="I3902" s="25" t="n"/>
      <c r="U3902" s="19">
        <f>IF($V3902&lt;&gt;'設定'!$C$4,N(U3901),IF(OR(NOT(COUNTIF('商品マスタ'!$B$6:$B$1005,$W3902)=0),COUNTIFS('①在庫を貼る'!$V$6:$V$10005,$V3902,'①在庫を貼る'!$W$6:$W$10005,$W3902)&gt;0),N(U3901),N(U3901)+1))</f>
        <v/>
      </c>
      <c r="V3902" s="19">
        <f>IF($B3902="","",TEXT($B3902,"0000"))</f>
        <v/>
      </c>
      <c r="W3902" s="19">
        <f>IF($I3902="","",IF(ISNUMBER($I3902),TEXT($I3902,"0"),$I3902))</f>
        <v/>
      </c>
    </row>
    <row r="3903">
      <c r="B3903" s="25" t="n"/>
      <c r="I3903" s="25" t="n"/>
      <c r="U3903" s="19">
        <f>IF($V3903&lt;&gt;'設定'!$C$4,N(U3902),IF(OR(NOT(COUNTIF('商品マスタ'!$B$6:$B$1005,$W3903)=0),COUNTIFS('①在庫を貼る'!$V$6:$V$10005,$V3903,'①在庫を貼る'!$W$6:$W$10005,$W3903)&gt;0),N(U3902),N(U3902)+1))</f>
        <v/>
      </c>
      <c r="V3903" s="19">
        <f>IF($B3903="","",TEXT($B3903,"0000"))</f>
        <v/>
      </c>
      <c r="W3903" s="19">
        <f>IF($I3903="","",IF(ISNUMBER($I3903),TEXT($I3903,"0"),$I3903))</f>
        <v/>
      </c>
    </row>
    <row r="3904">
      <c r="B3904" s="25" t="n"/>
      <c r="I3904" s="25" t="n"/>
      <c r="U3904" s="19">
        <f>IF($V3904&lt;&gt;'設定'!$C$4,N(U3903),IF(OR(NOT(COUNTIF('商品マスタ'!$B$6:$B$1005,$W3904)=0),COUNTIFS('①在庫を貼る'!$V$6:$V$10005,$V3904,'①在庫を貼る'!$W$6:$W$10005,$W3904)&gt;0),N(U3903),N(U3903)+1))</f>
        <v/>
      </c>
      <c r="V3904" s="19">
        <f>IF($B3904="","",TEXT($B3904,"0000"))</f>
        <v/>
      </c>
      <c r="W3904" s="19">
        <f>IF($I3904="","",IF(ISNUMBER($I3904),TEXT($I3904,"0"),$I3904))</f>
        <v/>
      </c>
    </row>
    <row r="3905">
      <c r="B3905" s="25" t="n"/>
      <c r="I3905" s="25" t="n"/>
      <c r="U3905" s="19">
        <f>IF($V3905&lt;&gt;'設定'!$C$4,N(U3904),IF(OR(NOT(COUNTIF('商品マスタ'!$B$6:$B$1005,$W3905)=0),COUNTIFS('①在庫を貼る'!$V$6:$V$10005,$V3905,'①在庫を貼る'!$W$6:$W$10005,$W3905)&gt;0),N(U3904),N(U3904)+1))</f>
        <v/>
      </c>
      <c r="V3905" s="19">
        <f>IF($B3905="","",TEXT($B3905,"0000"))</f>
        <v/>
      </c>
      <c r="W3905" s="19">
        <f>IF($I3905="","",IF(ISNUMBER($I3905),TEXT($I3905,"0"),$I3905))</f>
        <v/>
      </c>
    </row>
    <row r="3906">
      <c r="B3906" s="25" t="n"/>
      <c r="I3906" s="25" t="n"/>
      <c r="U3906" s="19">
        <f>IF($V3906&lt;&gt;'設定'!$C$4,N(U3905),IF(OR(NOT(COUNTIF('商品マスタ'!$B$6:$B$1005,$W3906)=0),COUNTIFS('①在庫を貼る'!$V$6:$V$10005,$V3906,'①在庫を貼る'!$W$6:$W$10005,$W3906)&gt;0),N(U3905),N(U3905)+1))</f>
        <v/>
      </c>
      <c r="V3906" s="19">
        <f>IF($B3906="","",TEXT($B3906,"0000"))</f>
        <v/>
      </c>
      <c r="W3906" s="19">
        <f>IF($I3906="","",IF(ISNUMBER($I3906),TEXT($I3906,"0"),$I3906))</f>
        <v/>
      </c>
    </row>
    <row r="3907">
      <c r="B3907" s="25" t="n"/>
      <c r="I3907" s="25" t="n"/>
      <c r="U3907" s="19">
        <f>IF($V3907&lt;&gt;'設定'!$C$4,N(U3906),IF(OR(NOT(COUNTIF('商品マスタ'!$B$6:$B$1005,$W3907)=0),COUNTIFS('①在庫を貼る'!$V$6:$V$10005,$V3907,'①在庫を貼る'!$W$6:$W$10005,$W3907)&gt;0),N(U3906),N(U3906)+1))</f>
        <v/>
      </c>
      <c r="V3907" s="19">
        <f>IF($B3907="","",TEXT($B3907,"0000"))</f>
        <v/>
      </c>
      <c r="W3907" s="19">
        <f>IF($I3907="","",IF(ISNUMBER($I3907),TEXT($I3907,"0"),$I3907))</f>
        <v/>
      </c>
    </row>
    <row r="3908">
      <c r="B3908" s="25" t="n"/>
      <c r="I3908" s="25" t="n"/>
      <c r="U3908" s="19">
        <f>IF($V3908&lt;&gt;'設定'!$C$4,N(U3907),IF(OR(NOT(COUNTIF('商品マスタ'!$B$6:$B$1005,$W3908)=0),COUNTIFS('①在庫を貼る'!$V$6:$V$10005,$V3908,'①在庫を貼る'!$W$6:$W$10005,$W3908)&gt;0),N(U3907),N(U3907)+1))</f>
        <v/>
      </c>
      <c r="V3908" s="19">
        <f>IF($B3908="","",TEXT($B3908,"0000"))</f>
        <v/>
      </c>
      <c r="W3908" s="19">
        <f>IF($I3908="","",IF(ISNUMBER($I3908),TEXT($I3908,"0"),$I3908))</f>
        <v/>
      </c>
    </row>
    <row r="3909">
      <c r="B3909" s="25" t="n"/>
      <c r="I3909" s="25" t="n"/>
      <c r="U3909" s="19">
        <f>IF($V3909&lt;&gt;'設定'!$C$4,N(U3908),IF(OR(NOT(COUNTIF('商品マスタ'!$B$6:$B$1005,$W3909)=0),COUNTIFS('①在庫を貼る'!$V$6:$V$10005,$V3909,'①在庫を貼る'!$W$6:$W$10005,$W3909)&gt;0),N(U3908),N(U3908)+1))</f>
        <v/>
      </c>
      <c r="V3909" s="19">
        <f>IF($B3909="","",TEXT($B3909,"0000"))</f>
        <v/>
      </c>
      <c r="W3909" s="19">
        <f>IF($I3909="","",IF(ISNUMBER($I3909),TEXT($I3909,"0"),$I3909))</f>
        <v/>
      </c>
    </row>
    <row r="3910">
      <c r="B3910" s="25" t="n"/>
      <c r="I3910" s="25" t="n"/>
      <c r="U3910" s="19">
        <f>IF($V3910&lt;&gt;'設定'!$C$4,N(U3909),IF(OR(NOT(COUNTIF('商品マスタ'!$B$6:$B$1005,$W3910)=0),COUNTIFS('①在庫を貼る'!$V$6:$V$10005,$V3910,'①在庫を貼る'!$W$6:$W$10005,$W3910)&gt;0),N(U3909),N(U3909)+1))</f>
        <v/>
      </c>
      <c r="V3910" s="19">
        <f>IF($B3910="","",TEXT($B3910,"0000"))</f>
        <v/>
      </c>
      <c r="W3910" s="19">
        <f>IF($I3910="","",IF(ISNUMBER($I3910),TEXT($I3910,"0"),$I3910))</f>
        <v/>
      </c>
    </row>
    <row r="3911">
      <c r="B3911" s="25" t="n"/>
      <c r="I3911" s="25" t="n"/>
      <c r="U3911" s="19">
        <f>IF($V3911&lt;&gt;'設定'!$C$4,N(U3910),IF(OR(NOT(COUNTIF('商品マスタ'!$B$6:$B$1005,$W3911)=0),COUNTIFS('①在庫を貼る'!$V$6:$V$10005,$V3911,'①在庫を貼る'!$W$6:$W$10005,$W3911)&gt;0),N(U3910),N(U3910)+1))</f>
        <v/>
      </c>
      <c r="V3911" s="19">
        <f>IF($B3911="","",TEXT($B3911,"0000"))</f>
        <v/>
      </c>
      <c r="W3911" s="19">
        <f>IF($I3911="","",IF(ISNUMBER($I3911),TEXT($I3911,"0"),$I3911))</f>
        <v/>
      </c>
    </row>
    <row r="3912">
      <c r="B3912" s="25" t="n"/>
      <c r="I3912" s="25" t="n"/>
      <c r="U3912" s="19">
        <f>IF($V3912&lt;&gt;'設定'!$C$4,N(U3911),IF(OR(NOT(COUNTIF('商品マスタ'!$B$6:$B$1005,$W3912)=0),COUNTIFS('①在庫を貼る'!$V$6:$V$10005,$V3912,'①在庫を貼る'!$W$6:$W$10005,$W3912)&gt;0),N(U3911),N(U3911)+1))</f>
        <v/>
      </c>
      <c r="V3912" s="19">
        <f>IF($B3912="","",TEXT($B3912,"0000"))</f>
        <v/>
      </c>
      <c r="W3912" s="19">
        <f>IF($I3912="","",IF(ISNUMBER($I3912),TEXT($I3912,"0"),$I3912))</f>
        <v/>
      </c>
    </row>
    <row r="3913">
      <c r="B3913" s="25" t="n"/>
      <c r="I3913" s="25" t="n"/>
      <c r="U3913" s="19">
        <f>IF($V3913&lt;&gt;'設定'!$C$4,N(U3912),IF(OR(NOT(COUNTIF('商品マスタ'!$B$6:$B$1005,$W3913)=0),COUNTIFS('①在庫を貼る'!$V$6:$V$10005,$V3913,'①在庫を貼る'!$W$6:$W$10005,$W3913)&gt;0),N(U3912),N(U3912)+1))</f>
        <v/>
      </c>
      <c r="V3913" s="19">
        <f>IF($B3913="","",TEXT($B3913,"0000"))</f>
        <v/>
      </c>
      <c r="W3913" s="19">
        <f>IF($I3913="","",IF(ISNUMBER($I3913),TEXT($I3913,"0"),$I3913))</f>
        <v/>
      </c>
    </row>
    <row r="3914">
      <c r="B3914" s="25" t="n"/>
      <c r="I3914" s="25" t="n"/>
      <c r="U3914" s="19">
        <f>IF($V3914&lt;&gt;'設定'!$C$4,N(U3913),IF(OR(NOT(COUNTIF('商品マスタ'!$B$6:$B$1005,$W3914)=0),COUNTIFS('①在庫を貼る'!$V$6:$V$10005,$V3914,'①在庫を貼る'!$W$6:$W$10005,$W3914)&gt;0),N(U3913),N(U3913)+1))</f>
        <v/>
      </c>
      <c r="V3914" s="19">
        <f>IF($B3914="","",TEXT($B3914,"0000"))</f>
        <v/>
      </c>
      <c r="W3914" s="19">
        <f>IF($I3914="","",IF(ISNUMBER($I3914),TEXT($I3914,"0"),$I3914))</f>
        <v/>
      </c>
    </row>
    <row r="3915">
      <c r="B3915" s="25" t="n"/>
      <c r="I3915" s="25" t="n"/>
      <c r="U3915" s="19">
        <f>IF($V3915&lt;&gt;'設定'!$C$4,N(U3914),IF(OR(NOT(COUNTIF('商品マスタ'!$B$6:$B$1005,$W3915)=0),COUNTIFS('①在庫を貼る'!$V$6:$V$10005,$V3915,'①在庫を貼る'!$W$6:$W$10005,$W3915)&gt;0),N(U3914),N(U3914)+1))</f>
        <v/>
      </c>
      <c r="V3915" s="19">
        <f>IF($B3915="","",TEXT($B3915,"0000"))</f>
        <v/>
      </c>
      <c r="W3915" s="19">
        <f>IF($I3915="","",IF(ISNUMBER($I3915),TEXT($I3915,"0"),$I3915))</f>
        <v/>
      </c>
    </row>
    <row r="3916">
      <c r="B3916" s="25" t="n"/>
      <c r="I3916" s="25" t="n"/>
      <c r="U3916" s="19">
        <f>IF($V3916&lt;&gt;'設定'!$C$4,N(U3915),IF(OR(NOT(COUNTIF('商品マスタ'!$B$6:$B$1005,$W3916)=0),COUNTIFS('①在庫を貼る'!$V$6:$V$10005,$V3916,'①在庫を貼る'!$W$6:$W$10005,$W3916)&gt;0),N(U3915),N(U3915)+1))</f>
        <v/>
      </c>
      <c r="V3916" s="19">
        <f>IF($B3916="","",TEXT($B3916,"0000"))</f>
        <v/>
      </c>
      <c r="W3916" s="19">
        <f>IF($I3916="","",IF(ISNUMBER($I3916),TEXT($I3916,"0"),$I3916))</f>
        <v/>
      </c>
    </row>
    <row r="3917">
      <c r="B3917" s="25" t="n"/>
      <c r="I3917" s="25" t="n"/>
      <c r="U3917" s="19">
        <f>IF($V3917&lt;&gt;'設定'!$C$4,N(U3916),IF(OR(NOT(COUNTIF('商品マスタ'!$B$6:$B$1005,$W3917)=0),COUNTIFS('①在庫を貼る'!$V$6:$V$10005,$V3917,'①在庫を貼る'!$W$6:$W$10005,$W3917)&gt;0),N(U3916),N(U3916)+1))</f>
        <v/>
      </c>
      <c r="V3917" s="19">
        <f>IF($B3917="","",TEXT($B3917,"0000"))</f>
        <v/>
      </c>
      <c r="W3917" s="19">
        <f>IF($I3917="","",IF(ISNUMBER($I3917),TEXT($I3917,"0"),$I3917))</f>
        <v/>
      </c>
    </row>
    <row r="3918">
      <c r="B3918" s="25" t="n"/>
      <c r="I3918" s="25" t="n"/>
      <c r="U3918" s="19">
        <f>IF($V3918&lt;&gt;'設定'!$C$4,N(U3917),IF(OR(NOT(COUNTIF('商品マスタ'!$B$6:$B$1005,$W3918)=0),COUNTIFS('①在庫を貼る'!$V$6:$V$10005,$V3918,'①在庫を貼る'!$W$6:$W$10005,$W3918)&gt;0),N(U3917),N(U3917)+1))</f>
        <v/>
      </c>
      <c r="V3918" s="19">
        <f>IF($B3918="","",TEXT($B3918,"0000"))</f>
        <v/>
      </c>
      <c r="W3918" s="19">
        <f>IF($I3918="","",IF(ISNUMBER($I3918),TEXT($I3918,"0"),$I3918))</f>
        <v/>
      </c>
    </row>
    <row r="3919">
      <c r="B3919" s="25" t="n"/>
      <c r="I3919" s="25" t="n"/>
      <c r="U3919" s="19">
        <f>IF($V3919&lt;&gt;'設定'!$C$4,N(U3918),IF(OR(NOT(COUNTIF('商品マスタ'!$B$6:$B$1005,$W3919)=0),COUNTIFS('①在庫を貼る'!$V$6:$V$10005,$V3919,'①在庫を貼る'!$W$6:$W$10005,$W3919)&gt;0),N(U3918),N(U3918)+1))</f>
        <v/>
      </c>
      <c r="V3919" s="19">
        <f>IF($B3919="","",TEXT($B3919,"0000"))</f>
        <v/>
      </c>
      <c r="W3919" s="19">
        <f>IF($I3919="","",IF(ISNUMBER($I3919),TEXT($I3919,"0"),$I3919))</f>
        <v/>
      </c>
    </row>
    <row r="3920">
      <c r="B3920" s="25" t="n"/>
      <c r="I3920" s="25" t="n"/>
      <c r="U3920" s="19">
        <f>IF($V3920&lt;&gt;'設定'!$C$4,N(U3919),IF(OR(NOT(COUNTIF('商品マスタ'!$B$6:$B$1005,$W3920)=0),COUNTIFS('①在庫を貼る'!$V$6:$V$10005,$V3920,'①在庫を貼る'!$W$6:$W$10005,$W3920)&gt;0),N(U3919),N(U3919)+1))</f>
        <v/>
      </c>
      <c r="V3920" s="19">
        <f>IF($B3920="","",TEXT($B3920,"0000"))</f>
        <v/>
      </c>
      <c r="W3920" s="19">
        <f>IF($I3920="","",IF(ISNUMBER($I3920),TEXT($I3920,"0"),$I3920))</f>
        <v/>
      </c>
    </row>
    <row r="3921">
      <c r="B3921" s="25" t="n"/>
      <c r="I3921" s="25" t="n"/>
      <c r="U3921" s="19">
        <f>IF($V3921&lt;&gt;'設定'!$C$4,N(U3920),IF(OR(NOT(COUNTIF('商品マスタ'!$B$6:$B$1005,$W3921)=0),COUNTIFS('①在庫を貼る'!$V$6:$V$10005,$V3921,'①在庫を貼る'!$W$6:$W$10005,$W3921)&gt;0),N(U3920),N(U3920)+1))</f>
        <v/>
      </c>
      <c r="V3921" s="19">
        <f>IF($B3921="","",TEXT($B3921,"0000"))</f>
        <v/>
      </c>
      <c r="W3921" s="19">
        <f>IF($I3921="","",IF(ISNUMBER($I3921),TEXT($I3921,"0"),$I3921))</f>
        <v/>
      </c>
    </row>
    <row r="3922">
      <c r="B3922" s="25" t="n"/>
      <c r="I3922" s="25" t="n"/>
      <c r="U3922" s="19">
        <f>IF($V3922&lt;&gt;'設定'!$C$4,N(U3921),IF(OR(NOT(COUNTIF('商品マスタ'!$B$6:$B$1005,$W3922)=0),COUNTIFS('①在庫を貼る'!$V$6:$V$10005,$V3922,'①在庫を貼る'!$W$6:$W$10005,$W3922)&gt;0),N(U3921),N(U3921)+1))</f>
        <v/>
      </c>
      <c r="V3922" s="19">
        <f>IF($B3922="","",TEXT($B3922,"0000"))</f>
        <v/>
      </c>
      <c r="W3922" s="19">
        <f>IF($I3922="","",IF(ISNUMBER($I3922),TEXT($I3922,"0"),$I3922))</f>
        <v/>
      </c>
    </row>
    <row r="3923">
      <c r="B3923" s="25" t="n"/>
      <c r="I3923" s="25" t="n"/>
      <c r="U3923" s="19">
        <f>IF($V3923&lt;&gt;'設定'!$C$4,N(U3922),IF(OR(NOT(COUNTIF('商品マスタ'!$B$6:$B$1005,$W3923)=0),COUNTIFS('①在庫を貼る'!$V$6:$V$10005,$V3923,'①在庫を貼る'!$W$6:$W$10005,$W3923)&gt;0),N(U3922),N(U3922)+1))</f>
        <v/>
      </c>
      <c r="V3923" s="19">
        <f>IF($B3923="","",TEXT($B3923,"0000"))</f>
        <v/>
      </c>
      <c r="W3923" s="19">
        <f>IF($I3923="","",IF(ISNUMBER($I3923),TEXT($I3923,"0"),$I3923))</f>
        <v/>
      </c>
    </row>
    <row r="3924">
      <c r="B3924" s="25" t="n"/>
      <c r="I3924" s="25" t="n"/>
      <c r="U3924" s="19">
        <f>IF($V3924&lt;&gt;'設定'!$C$4,N(U3923),IF(OR(NOT(COUNTIF('商品マスタ'!$B$6:$B$1005,$W3924)=0),COUNTIFS('①在庫を貼る'!$V$6:$V$10005,$V3924,'①在庫を貼る'!$W$6:$W$10005,$W3924)&gt;0),N(U3923),N(U3923)+1))</f>
        <v/>
      </c>
      <c r="V3924" s="19">
        <f>IF($B3924="","",TEXT($B3924,"0000"))</f>
        <v/>
      </c>
      <c r="W3924" s="19">
        <f>IF($I3924="","",IF(ISNUMBER($I3924),TEXT($I3924,"0"),$I3924))</f>
        <v/>
      </c>
    </row>
    <row r="3925">
      <c r="B3925" s="25" t="n"/>
      <c r="I3925" s="25" t="n"/>
      <c r="U3925" s="19">
        <f>IF($V3925&lt;&gt;'設定'!$C$4,N(U3924),IF(OR(NOT(COUNTIF('商品マスタ'!$B$6:$B$1005,$W3925)=0),COUNTIFS('①在庫を貼る'!$V$6:$V$10005,$V3925,'①在庫を貼る'!$W$6:$W$10005,$W3925)&gt;0),N(U3924),N(U3924)+1))</f>
        <v/>
      </c>
      <c r="V3925" s="19">
        <f>IF($B3925="","",TEXT($B3925,"0000"))</f>
        <v/>
      </c>
      <c r="W3925" s="19">
        <f>IF($I3925="","",IF(ISNUMBER($I3925),TEXT($I3925,"0"),$I3925))</f>
        <v/>
      </c>
    </row>
    <row r="3926">
      <c r="B3926" s="25" t="n"/>
      <c r="I3926" s="25" t="n"/>
      <c r="U3926" s="19">
        <f>IF($V3926&lt;&gt;'設定'!$C$4,N(U3925),IF(OR(NOT(COUNTIF('商品マスタ'!$B$6:$B$1005,$W3926)=0),COUNTIFS('①在庫を貼る'!$V$6:$V$10005,$V3926,'①在庫を貼る'!$W$6:$W$10005,$W3926)&gt;0),N(U3925),N(U3925)+1))</f>
        <v/>
      </c>
      <c r="V3926" s="19">
        <f>IF($B3926="","",TEXT($B3926,"0000"))</f>
        <v/>
      </c>
      <c r="W3926" s="19">
        <f>IF($I3926="","",IF(ISNUMBER($I3926),TEXT($I3926,"0"),$I3926))</f>
        <v/>
      </c>
    </row>
    <row r="3927">
      <c r="B3927" s="25" t="n"/>
      <c r="I3927" s="25" t="n"/>
      <c r="U3927" s="19">
        <f>IF($V3927&lt;&gt;'設定'!$C$4,N(U3926),IF(OR(NOT(COUNTIF('商品マスタ'!$B$6:$B$1005,$W3927)=0),COUNTIFS('①在庫を貼る'!$V$6:$V$10005,$V3927,'①在庫を貼る'!$W$6:$W$10005,$W3927)&gt;0),N(U3926),N(U3926)+1))</f>
        <v/>
      </c>
      <c r="V3927" s="19">
        <f>IF($B3927="","",TEXT($B3927,"0000"))</f>
        <v/>
      </c>
      <c r="W3927" s="19">
        <f>IF($I3927="","",IF(ISNUMBER($I3927),TEXT($I3927,"0"),$I3927))</f>
        <v/>
      </c>
    </row>
    <row r="3928">
      <c r="B3928" s="25" t="n"/>
      <c r="I3928" s="25" t="n"/>
      <c r="U3928" s="19">
        <f>IF($V3928&lt;&gt;'設定'!$C$4,N(U3927),IF(OR(NOT(COUNTIF('商品マスタ'!$B$6:$B$1005,$W3928)=0),COUNTIFS('①在庫を貼る'!$V$6:$V$10005,$V3928,'①在庫を貼る'!$W$6:$W$10005,$W3928)&gt;0),N(U3927),N(U3927)+1))</f>
        <v/>
      </c>
      <c r="V3928" s="19">
        <f>IF($B3928="","",TEXT($B3928,"0000"))</f>
        <v/>
      </c>
      <c r="W3928" s="19">
        <f>IF($I3928="","",IF(ISNUMBER($I3928),TEXT($I3928,"0"),$I3928))</f>
        <v/>
      </c>
    </row>
    <row r="3929">
      <c r="B3929" s="25" t="n"/>
      <c r="I3929" s="25" t="n"/>
      <c r="U3929" s="19">
        <f>IF($V3929&lt;&gt;'設定'!$C$4,N(U3928),IF(OR(NOT(COUNTIF('商品マスタ'!$B$6:$B$1005,$W3929)=0),COUNTIFS('①在庫を貼る'!$V$6:$V$10005,$V3929,'①在庫を貼る'!$W$6:$W$10005,$W3929)&gt;0),N(U3928),N(U3928)+1))</f>
        <v/>
      </c>
      <c r="V3929" s="19">
        <f>IF($B3929="","",TEXT($B3929,"0000"))</f>
        <v/>
      </c>
      <c r="W3929" s="19">
        <f>IF($I3929="","",IF(ISNUMBER($I3929),TEXT($I3929,"0"),$I3929))</f>
        <v/>
      </c>
    </row>
    <row r="3930">
      <c r="B3930" s="25" t="n"/>
      <c r="I3930" s="25" t="n"/>
      <c r="U3930" s="19">
        <f>IF($V3930&lt;&gt;'設定'!$C$4,N(U3929),IF(OR(NOT(COUNTIF('商品マスタ'!$B$6:$B$1005,$W3930)=0),COUNTIFS('①在庫を貼る'!$V$6:$V$10005,$V3930,'①在庫を貼る'!$W$6:$W$10005,$W3930)&gt;0),N(U3929),N(U3929)+1))</f>
        <v/>
      </c>
      <c r="V3930" s="19">
        <f>IF($B3930="","",TEXT($B3930,"0000"))</f>
        <v/>
      </c>
      <c r="W3930" s="19">
        <f>IF($I3930="","",IF(ISNUMBER($I3930),TEXT($I3930,"0"),$I3930))</f>
        <v/>
      </c>
    </row>
    <row r="3931">
      <c r="B3931" s="25" t="n"/>
      <c r="I3931" s="25" t="n"/>
      <c r="U3931" s="19">
        <f>IF($V3931&lt;&gt;'設定'!$C$4,N(U3930),IF(OR(NOT(COUNTIF('商品マスタ'!$B$6:$B$1005,$W3931)=0),COUNTIFS('①在庫を貼る'!$V$6:$V$10005,$V3931,'①在庫を貼る'!$W$6:$W$10005,$W3931)&gt;0),N(U3930),N(U3930)+1))</f>
        <v/>
      </c>
      <c r="V3931" s="19">
        <f>IF($B3931="","",TEXT($B3931,"0000"))</f>
        <v/>
      </c>
      <c r="W3931" s="19">
        <f>IF($I3931="","",IF(ISNUMBER($I3931),TEXT($I3931,"0"),$I3931))</f>
        <v/>
      </c>
    </row>
    <row r="3932">
      <c r="B3932" s="25" t="n"/>
      <c r="I3932" s="25" t="n"/>
      <c r="U3932" s="19">
        <f>IF($V3932&lt;&gt;'設定'!$C$4,N(U3931),IF(OR(NOT(COUNTIF('商品マスタ'!$B$6:$B$1005,$W3932)=0),COUNTIFS('①在庫を貼る'!$V$6:$V$10005,$V3932,'①在庫を貼る'!$W$6:$W$10005,$W3932)&gt;0),N(U3931),N(U3931)+1))</f>
        <v/>
      </c>
      <c r="V3932" s="19">
        <f>IF($B3932="","",TEXT($B3932,"0000"))</f>
        <v/>
      </c>
      <c r="W3932" s="19">
        <f>IF($I3932="","",IF(ISNUMBER($I3932),TEXT($I3932,"0"),$I3932))</f>
        <v/>
      </c>
    </row>
    <row r="3933">
      <c r="B3933" s="25" t="n"/>
      <c r="I3933" s="25" t="n"/>
      <c r="U3933" s="19">
        <f>IF($V3933&lt;&gt;'設定'!$C$4,N(U3932),IF(OR(NOT(COUNTIF('商品マスタ'!$B$6:$B$1005,$W3933)=0),COUNTIFS('①在庫を貼る'!$V$6:$V$10005,$V3933,'①在庫を貼る'!$W$6:$W$10005,$W3933)&gt;0),N(U3932),N(U3932)+1))</f>
        <v/>
      </c>
      <c r="V3933" s="19">
        <f>IF($B3933="","",TEXT($B3933,"0000"))</f>
        <v/>
      </c>
      <c r="W3933" s="19">
        <f>IF($I3933="","",IF(ISNUMBER($I3933),TEXT($I3933,"0"),$I3933))</f>
        <v/>
      </c>
    </row>
    <row r="3934">
      <c r="B3934" s="25" t="n"/>
      <c r="I3934" s="25" t="n"/>
      <c r="U3934" s="19">
        <f>IF($V3934&lt;&gt;'設定'!$C$4,N(U3933),IF(OR(NOT(COUNTIF('商品マスタ'!$B$6:$B$1005,$W3934)=0),COUNTIFS('①在庫を貼る'!$V$6:$V$10005,$V3934,'①在庫を貼る'!$W$6:$W$10005,$W3934)&gt;0),N(U3933),N(U3933)+1))</f>
        <v/>
      </c>
      <c r="V3934" s="19">
        <f>IF($B3934="","",TEXT($B3934,"0000"))</f>
        <v/>
      </c>
      <c r="W3934" s="19">
        <f>IF($I3934="","",IF(ISNUMBER($I3934),TEXT($I3934,"0"),$I3934))</f>
        <v/>
      </c>
    </row>
    <row r="3935">
      <c r="B3935" s="25" t="n"/>
      <c r="I3935" s="25" t="n"/>
      <c r="U3935" s="19">
        <f>IF($V3935&lt;&gt;'設定'!$C$4,N(U3934),IF(OR(NOT(COUNTIF('商品マスタ'!$B$6:$B$1005,$W3935)=0),COUNTIFS('①在庫を貼る'!$V$6:$V$10005,$V3935,'①在庫を貼る'!$W$6:$W$10005,$W3935)&gt;0),N(U3934),N(U3934)+1))</f>
        <v/>
      </c>
      <c r="V3935" s="19">
        <f>IF($B3935="","",TEXT($B3935,"0000"))</f>
        <v/>
      </c>
      <c r="W3935" s="19">
        <f>IF($I3935="","",IF(ISNUMBER($I3935),TEXT($I3935,"0"),$I3935))</f>
        <v/>
      </c>
    </row>
    <row r="3936">
      <c r="B3936" s="25" t="n"/>
      <c r="I3936" s="25" t="n"/>
      <c r="U3936" s="19">
        <f>IF($V3936&lt;&gt;'設定'!$C$4,N(U3935),IF(OR(NOT(COUNTIF('商品マスタ'!$B$6:$B$1005,$W3936)=0),COUNTIFS('①在庫を貼る'!$V$6:$V$10005,$V3936,'①在庫を貼る'!$W$6:$W$10005,$W3936)&gt;0),N(U3935),N(U3935)+1))</f>
        <v/>
      </c>
      <c r="V3936" s="19">
        <f>IF($B3936="","",TEXT($B3936,"0000"))</f>
        <v/>
      </c>
      <c r="W3936" s="19">
        <f>IF($I3936="","",IF(ISNUMBER($I3936),TEXT($I3936,"0"),$I3936))</f>
        <v/>
      </c>
    </row>
    <row r="3937">
      <c r="B3937" s="25" t="n"/>
      <c r="I3937" s="25" t="n"/>
      <c r="U3937" s="19">
        <f>IF($V3937&lt;&gt;'設定'!$C$4,N(U3936),IF(OR(NOT(COUNTIF('商品マスタ'!$B$6:$B$1005,$W3937)=0),COUNTIFS('①在庫を貼る'!$V$6:$V$10005,$V3937,'①在庫を貼る'!$W$6:$W$10005,$W3937)&gt;0),N(U3936),N(U3936)+1))</f>
        <v/>
      </c>
      <c r="V3937" s="19">
        <f>IF($B3937="","",TEXT($B3937,"0000"))</f>
        <v/>
      </c>
      <c r="W3937" s="19">
        <f>IF($I3937="","",IF(ISNUMBER($I3937),TEXT($I3937,"0"),$I3937))</f>
        <v/>
      </c>
    </row>
    <row r="3938">
      <c r="B3938" s="25" t="n"/>
      <c r="I3938" s="25" t="n"/>
      <c r="U3938" s="19">
        <f>IF($V3938&lt;&gt;'設定'!$C$4,N(U3937),IF(OR(NOT(COUNTIF('商品マスタ'!$B$6:$B$1005,$W3938)=0),COUNTIFS('①在庫を貼る'!$V$6:$V$10005,$V3938,'①在庫を貼る'!$W$6:$W$10005,$W3938)&gt;0),N(U3937),N(U3937)+1))</f>
        <v/>
      </c>
      <c r="V3938" s="19">
        <f>IF($B3938="","",TEXT($B3938,"0000"))</f>
        <v/>
      </c>
      <c r="W3938" s="19">
        <f>IF($I3938="","",IF(ISNUMBER($I3938),TEXT($I3938,"0"),$I3938))</f>
        <v/>
      </c>
    </row>
    <row r="3939">
      <c r="B3939" s="25" t="n"/>
      <c r="I3939" s="25" t="n"/>
      <c r="U3939" s="19">
        <f>IF($V3939&lt;&gt;'設定'!$C$4,N(U3938),IF(OR(NOT(COUNTIF('商品マスタ'!$B$6:$B$1005,$W3939)=0),COUNTIFS('①在庫を貼る'!$V$6:$V$10005,$V3939,'①在庫を貼る'!$W$6:$W$10005,$W3939)&gt;0),N(U3938),N(U3938)+1))</f>
        <v/>
      </c>
      <c r="V3939" s="19">
        <f>IF($B3939="","",TEXT($B3939,"0000"))</f>
        <v/>
      </c>
      <c r="W3939" s="19">
        <f>IF($I3939="","",IF(ISNUMBER($I3939),TEXT($I3939,"0"),$I3939))</f>
        <v/>
      </c>
    </row>
    <row r="3940">
      <c r="B3940" s="25" t="n"/>
      <c r="I3940" s="25" t="n"/>
      <c r="U3940" s="19">
        <f>IF($V3940&lt;&gt;'設定'!$C$4,N(U3939),IF(OR(NOT(COUNTIF('商品マスタ'!$B$6:$B$1005,$W3940)=0),COUNTIFS('①在庫を貼る'!$V$6:$V$10005,$V3940,'①在庫を貼る'!$W$6:$W$10005,$W3940)&gt;0),N(U3939),N(U3939)+1))</f>
        <v/>
      </c>
      <c r="V3940" s="19">
        <f>IF($B3940="","",TEXT($B3940,"0000"))</f>
        <v/>
      </c>
      <c r="W3940" s="19">
        <f>IF($I3940="","",IF(ISNUMBER($I3940),TEXT($I3940,"0"),$I3940))</f>
        <v/>
      </c>
    </row>
    <row r="3941">
      <c r="B3941" s="25" t="n"/>
      <c r="I3941" s="25" t="n"/>
      <c r="U3941" s="19">
        <f>IF($V3941&lt;&gt;'設定'!$C$4,N(U3940),IF(OR(NOT(COUNTIF('商品マスタ'!$B$6:$B$1005,$W3941)=0),COUNTIFS('①在庫を貼る'!$V$6:$V$10005,$V3941,'①在庫を貼る'!$W$6:$W$10005,$W3941)&gt;0),N(U3940),N(U3940)+1))</f>
        <v/>
      </c>
      <c r="V3941" s="19">
        <f>IF($B3941="","",TEXT($B3941,"0000"))</f>
        <v/>
      </c>
      <c r="W3941" s="19">
        <f>IF($I3941="","",IF(ISNUMBER($I3941),TEXT($I3941,"0"),$I3941))</f>
        <v/>
      </c>
    </row>
    <row r="3942">
      <c r="B3942" s="25" t="n"/>
      <c r="I3942" s="25" t="n"/>
      <c r="U3942" s="19">
        <f>IF($V3942&lt;&gt;'設定'!$C$4,N(U3941),IF(OR(NOT(COUNTIF('商品マスタ'!$B$6:$B$1005,$W3942)=0),COUNTIFS('①在庫を貼る'!$V$6:$V$10005,$V3942,'①在庫を貼る'!$W$6:$W$10005,$W3942)&gt;0),N(U3941),N(U3941)+1))</f>
        <v/>
      </c>
      <c r="V3942" s="19">
        <f>IF($B3942="","",TEXT($B3942,"0000"))</f>
        <v/>
      </c>
      <c r="W3942" s="19">
        <f>IF($I3942="","",IF(ISNUMBER($I3942),TEXT($I3942,"0"),$I3942))</f>
        <v/>
      </c>
    </row>
    <row r="3943">
      <c r="B3943" s="25" t="n"/>
      <c r="I3943" s="25" t="n"/>
      <c r="U3943" s="19">
        <f>IF($V3943&lt;&gt;'設定'!$C$4,N(U3942),IF(OR(NOT(COUNTIF('商品マスタ'!$B$6:$B$1005,$W3943)=0),COUNTIFS('①在庫を貼る'!$V$6:$V$10005,$V3943,'①在庫を貼る'!$W$6:$W$10005,$W3943)&gt;0),N(U3942),N(U3942)+1))</f>
        <v/>
      </c>
      <c r="V3943" s="19">
        <f>IF($B3943="","",TEXT($B3943,"0000"))</f>
        <v/>
      </c>
      <c r="W3943" s="19">
        <f>IF($I3943="","",IF(ISNUMBER($I3943),TEXT($I3943,"0"),$I3943))</f>
        <v/>
      </c>
    </row>
    <row r="3944">
      <c r="B3944" s="25" t="n"/>
      <c r="I3944" s="25" t="n"/>
      <c r="U3944" s="19">
        <f>IF($V3944&lt;&gt;'設定'!$C$4,N(U3943),IF(OR(NOT(COUNTIF('商品マスタ'!$B$6:$B$1005,$W3944)=0),COUNTIFS('①在庫を貼る'!$V$6:$V$10005,$V3944,'①在庫を貼る'!$W$6:$W$10005,$W3944)&gt;0),N(U3943),N(U3943)+1))</f>
        <v/>
      </c>
      <c r="V3944" s="19">
        <f>IF($B3944="","",TEXT($B3944,"0000"))</f>
        <v/>
      </c>
      <c r="W3944" s="19">
        <f>IF($I3944="","",IF(ISNUMBER($I3944),TEXT($I3944,"0"),$I3944))</f>
        <v/>
      </c>
    </row>
    <row r="3945">
      <c r="B3945" s="25" t="n"/>
      <c r="I3945" s="25" t="n"/>
      <c r="U3945" s="19">
        <f>IF($V3945&lt;&gt;'設定'!$C$4,N(U3944),IF(OR(NOT(COUNTIF('商品マスタ'!$B$6:$B$1005,$W3945)=0),COUNTIFS('①在庫を貼る'!$V$6:$V$10005,$V3945,'①在庫を貼る'!$W$6:$W$10005,$W3945)&gt;0),N(U3944),N(U3944)+1))</f>
        <v/>
      </c>
      <c r="V3945" s="19">
        <f>IF($B3945="","",TEXT($B3945,"0000"))</f>
        <v/>
      </c>
      <c r="W3945" s="19">
        <f>IF($I3945="","",IF(ISNUMBER($I3945),TEXT($I3945,"0"),$I3945))</f>
        <v/>
      </c>
    </row>
    <row r="3946">
      <c r="B3946" s="25" t="n"/>
      <c r="I3946" s="25" t="n"/>
      <c r="U3946" s="19">
        <f>IF($V3946&lt;&gt;'設定'!$C$4,N(U3945),IF(OR(NOT(COUNTIF('商品マスタ'!$B$6:$B$1005,$W3946)=0),COUNTIFS('①在庫を貼る'!$V$6:$V$10005,$V3946,'①在庫を貼る'!$W$6:$W$10005,$W3946)&gt;0),N(U3945),N(U3945)+1))</f>
        <v/>
      </c>
      <c r="V3946" s="19">
        <f>IF($B3946="","",TEXT($B3946,"0000"))</f>
        <v/>
      </c>
      <c r="W3946" s="19">
        <f>IF($I3946="","",IF(ISNUMBER($I3946),TEXT($I3946,"0"),$I3946))</f>
        <v/>
      </c>
    </row>
    <row r="3947">
      <c r="B3947" s="25" t="n"/>
      <c r="I3947" s="25" t="n"/>
      <c r="U3947" s="19">
        <f>IF($V3947&lt;&gt;'設定'!$C$4,N(U3946),IF(OR(NOT(COUNTIF('商品マスタ'!$B$6:$B$1005,$W3947)=0),COUNTIFS('①在庫を貼る'!$V$6:$V$10005,$V3947,'①在庫を貼る'!$W$6:$W$10005,$W3947)&gt;0),N(U3946),N(U3946)+1))</f>
        <v/>
      </c>
      <c r="V3947" s="19">
        <f>IF($B3947="","",TEXT($B3947,"0000"))</f>
        <v/>
      </c>
      <c r="W3947" s="19">
        <f>IF($I3947="","",IF(ISNUMBER($I3947),TEXT($I3947,"0"),$I3947))</f>
        <v/>
      </c>
    </row>
    <row r="3948">
      <c r="B3948" s="25" t="n"/>
      <c r="I3948" s="25" t="n"/>
      <c r="U3948" s="19">
        <f>IF($V3948&lt;&gt;'設定'!$C$4,N(U3947),IF(OR(NOT(COUNTIF('商品マスタ'!$B$6:$B$1005,$W3948)=0),COUNTIFS('①在庫を貼る'!$V$6:$V$10005,$V3948,'①在庫を貼る'!$W$6:$W$10005,$W3948)&gt;0),N(U3947),N(U3947)+1))</f>
        <v/>
      </c>
      <c r="V3948" s="19">
        <f>IF($B3948="","",TEXT($B3948,"0000"))</f>
        <v/>
      </c>
      <c r="W3948" s="19">
        <f>IF($I3948="","",IF(ISNUMBER($I3948),TEXT($I3948,"0"),$I3948))</f>
        <v/>
      </c>
    </row>
    <row r="3949">
      <c r="B3949" s="25" t="n"/>
      <c r="I3949" s="25" t="n"/>
      <c r="U3949" s="19">
        <f>IF($V3949&lt;&gt;'設定'!$C$4,N(U3948),IF(OR(NOT(COUNTIF('商品マスタ'!$B$6:$B$1005,$W3949)=0),COUNTIFS('①在庫を貼る'!$V$6:$V$10005,$V3949,'①在庫を貼る'!$W$6:$W$10005,$W3949)&gt;0),N(U3948),N(U3948)+1))</f>
        <v/>
      </c>
      <c r="V3949" s="19">
        <f>IF($B3949="","",TEXT($B3949,"0000"))</f>
        <v/>
      </c>
      <c r="W3949" s="19">
        <f>IF($I3949="","",IF(ISNUMBER($I3949),TEXT($I3949,"0"),$I3949))</f>
        <v/>
      </c>
    </row>
    <row r="3950">
      <c r="B3950" s="25" t="n"/>
      <c r="I3950" s="25" t="n"/>
      <c r="U3950" s="19">
        <f>IF($V3950&lt;&gt;'設定'!$C$4,N(U3949),IF(OR(NOT(COUNTIF('商品マスタ'!$B$6:$B$1005,$W3950)=0),COUNTIFS('①在庫を貼る'!$V$6:$V$10005,$V3950,'①在庫を貼る'!$W$6:$W$10005,$W3950)&gt;0),N(U3949),N(U3949)+1))</f>
        <v/>
      </c>
      <c r="V3950" s="19">
        <f>IF($B3950="","",TEXT($B3950,"0000"))</f>
        <v/>
      </c>
      <c r="W3950" s="19">
        <f>IF($I3950="","",IF(ISNUMBER($I3950),TEXT($I3950,"0"),$I3950))</f>
        <v/>
      </c>
    </row>
    <row r="3951">
      <c r="B3951" s="25" t="n"/>
      <c r="I3951" s="25" t="n"/>
      <c r="U3951" s="19">
        <f>IF($V3951&lt;&gt;'設定'!$C$4,N(U3950),IF(OR(NOT(COUNTIF('商品マスタ'!$B$6:$B$1005,$W3951)=0),COUNTIFS('①在庫を貼る'!$V$6:$V$10005,$V3951,'①在庫を貼る'!$W$6:$W$10005,$W3951)&gt;0),N(U3950),N(U3950)+1))</f>
        <v/>
      </c>
      <c r="V3951" s="19">
        <f>IF($B3951="","",TEXT($B3951,"0000"))</f>
        <v/>
      </c>
      <c r="W3951" s="19">
        <f>IF($I3951="","",IF(ISNUMBER($I3951),TEXT($I3951,"0"),$I3951))</f>
        <v/>
      </c>
    </row>
    <row r="3952">
      <c r="B3952" s="25" t="n"/>
      <c r="I3952" s="25" t="n"/>
      <c r="U3952" s="19">
        <f>IF($V3952&lt;&gt;'設定'!$C$4,N(U3951),IF(OR(NOT(COUNTIF('商品マスタ'!$B$6:$B$1005,$W3952)=0),COUNTIFS('①在庫を貼る'!$V$6:$V$10005,$V3952,'①在庫を貼る'!$W$6:$W$10005,$W3952)&gt;0),N(U3951),N(U3951)+1))</f>
        <v/>
      </c>
      <c r="V3952" s="19">
        <f>IF($B3952="","",TEXT($B3952,"0000"))</f>
        <v/>
      </c>
      <c r="W3952" s="19">
        <f>IF($I3952="","",IF(ISNUMBER($I3952),TEXT($I3952,"0"),$I3952))</f>
        <v/>
      </c>
    </row>
    <row r="3953">
      <c r="B3953" s="25" t="n"/>
      <c r="I3953" s="25" t="n"/>
      <c r="U3953" s="19">
        <f>IF($V3953&lt;&gt;'設定'!$C$4,N(U3952),IF(OR(NOT(COUNTIF('商品マスタ'!$B$6:$B$1005,$W3953)=0),COUNTIFS('①在庫を貼る'!$V$6:$V$10005,$V3953,'①在庫を貼る'!$W$6:$W$10005,$W3953)&gt;0),N(U3952),N(U3952)+1))</f>
        <v/>
      </c>
      <c r="V3953" s="19">
        <f>IF($B3953="","",TEXT($B3953,"0000"))</f>
        <v/>
      </c>
      <c r="W3953" s="19">
        <f>IF($I3953="","",IF(ISNUMBER($I3953),TEXT($I3953,"0"),$I3953))</f>
        <v/>
      </c>
    </row>
    <row r="3954">
      <c r="B3954" s="25" t="n"/>
      <c r="I3954" s="25" t="n"/>
      <c r="U3954" s="19">
        <f>IF($V3954&lt;&gt;'設定'!$C$4,N(U3953),IF(OR(NOT(COUNTIF('商品マスタ'!$B$6:$B$1005,$W3954)=0),COUNTIFS('①在庫を貼る'!$V$6:$V$10005,$V3954,'①在庫を貼る'!$W$6:$W$10005,$W3954)&gt;0),N(U3953),N(U3953)+1))</f>
        <v/>
      </c>
      <c r="V3954" s="19">
        <f>IF($B3954="","",TEXT($B3954,"0000"))</f>
        <v/>
      </c>
      <c r="W3954" s="19">
        <f>IF($I3954="","",IF(ISNUMBER($I3954),TEXT($I3954,"0"),$I3954))</f>
        <v/>
      </c>
    </row>
    <row r="3955">
      <c r="B3955" s="25" t="n"/>
      <c r="I3955" s="25" t="n"/>
      <c r="U3955" s="19">
        <f>IF($V3955&lt;&gt;'設定'!$C$4,N(U3954),IF(OR(NOT(COUNTIF('商品マスタ'!$B$6:$B$1005,$W3955)=0),COUNTIFS('①在庫を貼る'!$V$6:$V$10005,$V3955,'①在庫を貼る'!$W$6:$W$10005,$W3955)&gt;0),N(U3954),N(U3954)+1))</f>
        <v/>
      </c>
      <c r="V3955" s="19">
        <f>IF($B3955="","",TEXT($B3955,"0000"))</f>
        <v/>
      </c>
      <c r="W3955" s="19">
        <f>IF($I3955="","",IF(ISNUMBER($I3955),TEXT($I3955,"0"),$I3955))</f>
        <v/>
      </c>
    </row>
    <row r="3956">
      <c r="B3956" s="25" t="n"/>
      <c r="I3956" s="25" t="n"/>
      <c r="U3956" s="19">
        <f>IF($V3956&lt;&gt;'設定'!$C$4,N(U3955),IF(OR(NOT(COUNTIF('商品マスタ'!$B$6:$B$1005,$W3956)=0),COUNTIFS('①在庫を貼る'!$V$6:$V$10005,$V3956,'①在庫を貼る'!$W$6:$W$10005,$W3956)&gt;0),N(U3955),N(U3955)+1))</f>
        <v/>
      </c>
      <c r="V3956" s="19">
        <f>IF($B3956="","",TEXT($B3956,"0000"))</f>
        <v/>
      </c>
      <c r="W3956" s="19">
        <f>IF($I3956="","",IF(ISNUMBER($I3956),TEXT($I3956,"0"),$I3956))</f>
        <v/>
      </c>
    </row>
    <row r="3957">
      <c r="B3957" s="25" t="n"/>
      <c r="I3957" s="25" t="n"/>
      <c r="U3957" s="19">
        <f>IF($V3957&lt;&gt;'設定'!$C$4,N(U3956),IF(OR(NOT(COUNTIF('商品マスタ'!$B$6:$B$1005,$W3957)=0),COUNTIFS('①在庫を貼る'!$V$6:$V$10005,$V3957,'①在庫を貼る'!$W$6:$W$10005,$W3957)&gt;0),N(U3956),N(U3956)+1))</f>
        <v/>
      </c>
      <c r="V3957" s="19">
        <f>IF($B3957="","",TEXT($B3957,"0000"))</f>
        <v/>
      </c>
      <c r="W3957" s="19">
        <f>IF($I3957="","",IF(ISNUMBER($I3957),TEXT($I3957,"0"),$I3957))</f>
        <v/>
      </c>
    </row>
    <row r="3958">
      <c r="B3958" s="25" t="n"/>
      <c r="I3958" s="25" t="n"/>
      <c r="U3958" s="19">
        <f>IF($V3958&lt;&gt;'設定'!$C$4,N(U3957),IF(OR(NOT(COUNTIF('商品マスタ'!$B$6:$B$1005,$W3958)=0),COUNTIFS('①在庫を貼る'!$V$6:$V$10005,$V3958,'①在庫を貼る'!$W$6:$W$10005,$W3958)&gt;0),N(U3957),N(U3957)+1))</f>
        <v/>
      </c>
      <c r="V3958" s="19">
        <f>IF($B3958="","",TEXT($B3958,"0000"))</f>
        <v/>
      </c>
      <c r="W3958" s="19">
        <f>IF($I3958="","",IF(ISNUMBER($I3958),TEXT($I3958,"0"),$I3958))</f>
        <v/>
      </c>
    </row>
    <row r="3959">
      <c r="B3959" s="25" t="n"/>
      <c r="I3959" s="25" t="n"/>
      <c r="U3959" s="19">
        <f>IF($V3959&lt;&gt;'設定'!$C$4,N(U3958),IF(OR(NOT(COUNTIF('商品マスタ'!$B$6:$B$1005,$W3959)=0),COUNTIFS('①在庫を貼る'!$V$6:$V$10005,$V3959,'①在庫を貼る'!$W$6:$W$10005,$W3959)&gt;0),N(U3958),N(U3958)+1))</f>
        <v/>
      </c>
      <c r="V3959" s="19">
        <f>IF($B3959="","",TEXT($B3959,"0000"))</f>
        <v/>
      </c>
      <c r="W3959" s="19">
        <f>IF($I3959="","",IF(ISNUMBER($I3959),TEXT($I3959,"0"),$I3959))</f>
        <v/>
      </c>
    </row>
    <row r="3960">
      <c r="B3960" s="25" t="n"/>
      <c r="I3960" s="25" t="n"/>
      <c r="U3960" s="19">
        <f>IF($V3960&lt;&gt;'設定'!$C$4,N(U3959),IF(OR(NOT(COUNTIF('商品マスタ'!$B$6:$B$1005,$W3960)=0),COUNTIFS('①在庫を貼る'!$V$6:$V$10005,$V3960,'①在庫を貼る'!$W$6:$W$10005,$W3960)&gt;0),N(U3959),N(U3959)+1))</f>
        <v/>
      </c>
      <c r="V3960" s="19">
        <f>IF($B3960="","",TEXT($B3960,"0000"))</f>
        <v/>
      </c>
      <c r="W3960" s="19">
        <f>IF($I3960="","",IF(ISNUMBER($I3960),TEXT($I3960,"0"),$I3960))</f>
        <v/>
      </c>
    </row>
    <row r="3961">
      <c r="B3961" s="25" t="n"/>
      <c r="I3961" s="25" t="n"/>
      <c r="U3961" s="19">
        <f>IF($V3961&lt;&gt;'設定'!$C$4,N(U3960),IF(OR(NOT(COUNTIF('商品マスタ'!$B$6:$B$1005,$W3961)=0),COUNTIFS('①在庫を貼る'!$V$6:$V$10005,$V3961,'①在庫を貼る'!$W$6:$W$10005,$W3961)&gt;0),N(U3960),N(U3960)+1))</f>
        <v/>
      </c>
      <c r="V3961" s="19">
        <f>IF($B3961="","",TEXT($B3961,"0000"))</f>
        <v/>
      </c>
      <c r="W3961" s="19">
        <f>IF($I3961="","",IF(ISNUMBER($I3961),TEXT($I3961,"0"),$I3961))</f>
        <v/>
      </c>
    </row>
    <row r="3962">
      <c r="B3962" s="25" t="n"/>
      <c r="I3962" s="25" t="n"/>
      <c r="U3962" s="19">
        <f>IF($V3962&lt;&gt;'設定'!$C$4,N(U3961),IF(OR(NOT(COUNTIF('商品マスタ'!$B$6:$B$1005,$W3962)=0),COUNTIFS('①在庫を貼る'!$V$6:$V$10005,$V3962,'①在庫を貼る'!$W$6:$W$10005,$W3962)&gt;0),N(U3961),N(U3961)+1))</f>
        <v/>
      </c>
      <c r="V3962" s="19">
        <f>IF($B3962="","",TEXT($B3962,"0000"))</f>
        <v/>
      </c>
      <c r="W3962" s="19">
        <f>IF($I3962="","",IF(ISNUMBER($I3962),TEXT($I3962,"0"),$I3962))</f>
        <v/>
      </c>
    </row>
    <row r="3963">
      <c r="B3963" s="25" t="n"/>
      <c r="I3963" s="25" t="n"/>
      <c r="U3963" s="19">
        <f>IF($V3963&lt;&gt;'設定'!$C$4,N(U3962),IF(OR(NOT(COUNTIF('商品マスタ'!$B$6:$B$1005,$W3963)=0),COUNTIFS('①在庫を貼る'!$V$6:$V$10005,$V3963,'①在庫を貼る'!$W$6:$W$10005,$W3963)&gt;0),N(U3962),N(U3962)+1))</f>
        <v/>
      </c>
      <c r="V3963" s="19">
        <f>IF($B3963="","",TEXT($B3963,"0000"))</f>
        <v/>
      </c>
      <c r="W3963" s="19">
        <f>IF($I3963="","",IF(ISNUMBER($I3963),TEXT($I3963,"0"),$I3963))</f>
        <v/>
      </c>
    </row>
    <row r="3964">
      <c r="B3964" s="25" t="n"/>
      <c r="I3964" s="25" t="n"/>
      <c r="U3964" s="19">
        <f>IF($V3964&lt;&gt;'設定'!$C$4,N(U3963),IF(OR(NOT(COUNTIF('商品マスタ'!$B$6:$B$1005,$W3964)=0),COUNTIFS('①在庫を貼る'!$V$6:$V$10005,$V3964,'①在庫を貼る'!$W$6:$W$10005,$W3964)&gt;0),N(U3963),N(U3963)+1))</f>
        <v/>
      </c>
      <c r="V3964" s="19">
        <f>IF($B3964="","",TEXT($B3964,"0000"))</f>
        <v/>
      </c>
      <c r="W3964" s="19">
        <f>IF($I3964="","",IF(ISNUMBER($I3964),TEXT($I3964,"0"),$I3964))</f>
        <v/>
      </c>
    </row>
    <row r="3965">
      <c r="B3965" s="25" t="n"/>
      <c r="I3965" s="25" t="n"/>
      <c r="U3965" s="19">
        <f>IF($V3965&lt;&gt;'設定'!$C$4,N(U3964),IF(OR(NOT(COUNTIF('商品マスタ'!$B$6:$B$1005,$W3965)=0),COUNTIFS('①在庫を貼る'!$V$6:$V$10005,$V3965,'①在庫を貼る'!$W$6:$W$10005,$W3965)&gt;0),N(U3964),N(U3964)+1))</f>
        <v/>
      </c>
      <c r="V3965" s="19">
        <f>IF($B3965="","",TEXT($B3965,"0000"))</f>
        <v/>
      </c>
      <c r="W3965" s="19">
        <f>IF($I3965="","",IF(ISNUMBER($I3965),TEXT($I3965,"0"),$I3965))</f>
        <v/>
      </c>
    </row>
    <row r="3966">
      <c r="B3966" s="25" t="n"/>
      <c r="I3966" s="25" t="n"/>
      <c r="U3966" s="19">
        <f>IF($V3966&lt;&gt;'設定'!$C$4,N(U3965),IF(OR(NOT(COUNTIF('商品マスタ'!$B$6:$B$1005,$W3966)=0),COUNTIFS('①在庫を貼る'!$V$6:$V$10005,$V3966,'①在庫を貼る'!$W$6:$W$10005,$W3966)&gt;0),N(U3965),N(U3965)+1))</f>
        <v/>
      </c>
      <c r="V3966" s="19">
        <f>IF($B3966="","",TEXT($B3966,"0000"))</f>
        <v/>
      </c>
      <c r="W3966" s="19">
        <f>IF($I3966="","",IF(ISNUMBER($I3966),TEXT($I3966,"0"),$I3966))</f>
        <v/>
      </c>
    </row>
    <row r="3967">
      <c r="B3967" s="25" t="n"/>
      <c r="I3967" s="25" t="n"/>
      <c r="U3967" s="19">
        <f>IF($V3967&lt;&gt;'設定'!$C$4,N(U3966),IF(OR(NOT(COUNTIF('商品マスタ'!$B$6:$B$1005,$W3967)=0),COUNTIFS('①在庫を貼る'!$V$6:$V$10005,$V3967,'①在庫を貼る'!$W$6:$W$10005,$W3967)&gt;0),N(U3966),N(U3966)+1))</f>
        <v/>
      </c>
      <c r="V3967" s="19">
        <f>IF($B3967="","",TEXT($B3967,"0000"))</f>
        <v/>
      </c>
      <c r="W3967" s="19">
        <f>IF($I3967="","",IF(ISNUMBER($I3967),TEXT($I3967,"0"),$I3967))</f>
        <v/>
      </c>
    </row>
    <row r="3968">
      <c r="B3968" s="25" t="n"/>
      <c r="I3968" s="25" t="n"/>
      <c r="U3968" s="19">
        <f>IF($V3968&lt;&gt;'設定'!$C$4,N(U3967),IF(OR(NOT(COUNTIF('商品マスタ'!$B$6:$B$1005,$W3968)=0),COUNTIFS('①在庫を貼る'!$V$6:$V$10005,$V3968,'①在庫を貼る'!$W$6:$W$10005,$W3968)&gt;0),N(U3967),N(U3967)+1))</f>
        <v/>
      </c>
      <c r="V3968" s="19">
        <f>IF($B3968="","",TEXT($B3968,"0000"))</f>
        <v/>
      </c>
      <c r="W3968" s="19">
        <f>IF($I3968="","",IF(ISNUMBER($I3968),TEXT($I3968,"0"),$I3968))</f>
        <v/>
      </c>
    </row>
    <row r="3969">
      <c r="B3969" s="25" t="n"/>
      <c r="I3969" s="25" t="n"/>
      <c r="U3969" s="19">
        <f>IF($V3969&lt;&gt;'設定'!$C$4,N(U3968),IF(OR(NOT(COUNTIF('商品マスタ'!$B$6:$B$1005,$W3969)=0),COUNTIFS('①在庫を貼る'!$V$6:$V$10005,$V3969,'①在庫を貼る'!$W$6:$W$10005,$W3969)&gt;0),N(U3968),N(U3968)+1))</f>
        <v/>
      </c>
      <c r="V3969" s="19">
        <f>IF($B3969="","",TEXT($B3969,"0000"))</f>
        <v/>
      </c>
      <c r="W3969" s="19">
        <f>IF($I3969="","",IF(ISNUMBER($I3969),TEXT($I3969,"0"),$I3969))</f>
        <v/>
      </c>
    </row>
    <row r="3970">
      <c r="B3970" s="25" t="n"/>
      <c r="I3970" s="25" t="n"/>
      <c r="U3970" s="19">
        <f>IF($V3970&lt;&gt;'設定'!$C$4,N(U3969),IF(OR(NOT(COUNTIF('商品マスタ'!$B$6:$B$1005,$W3970)=0),COUNTIFS('①在庫を貼る'!$V$6:$V$10005,$V3970,'①在庫を貼る'!$W$6:$W$10005,$W3970)&gt;0),N(U3969),N(U3969)+1))</f>
        <v/>
      </c>
      <c r="V3970" s="19">
        <f>IF($B3970="","",TEXT($B3970,"0000"))</f>
        <v/>
      </c>
      <c r="W3970" s="19">
        <f>IF($I3970="","",IF(ISNUMBER($I3970),TEXT($I3970,"0"),$I3970))</f>
        <v/>
      </c>
    </row>
    <row r="3971">
      <c r="B3971" s="25" t="n"/>
      <c r="I3971" s="25" t="n"/>
      <c r="U3971" s="19">
        <f>IF($V3971&lt;&gt;'設定'!$C$4,N(U3970),IF(OR(NOT(COUNTIF('商品マスタ'!$B$6:$B$1005,$W3971)=0),COUNTIFS('①在庫を貼る'!$V$6:$V$10005,$V3971,'①在庫を貼る'!$W$6:$W$10005,$W3971)&gt;0),N(U3970),N(U3970)+1))</f>
        <v/>
      </c>
      <c r="V3971" s="19">
        <f>IF($B3971="","",TEXT($B3971,"0000"))</f>
        <v/>
      </c>
      <c r="W3971" s="19">
        <f>IF($I3971="","",IF(ISNUMBER($I3971),TEXT($I3971,"0"),$I3971))</f>
        <v/>
      </c>
    </row>
    <row r="3972">
      <c r="B3972" s="25" t="n"/>
      <c r="I3972" s="25" t="n"/>
      <c r="U3972" s="19">
        <f>IF($V3972&lt;&gt;'設定'!$C$4,N(U3971),IF(OR(NOT(COUNTIF('商品マスタ'!$B$6:$B$1005,$W3972)=0),COUNTIFS('①在庫を貼る'!$V$6:$V$10005,$V3972,'①在庫を貼る'!$W$6:$W$10005,$W3972)&gt;0),N(U3971),N(U3971)+1))</f>
        <v/>
      </c>
      <c r="V3972" s="19">
        <f>IF($B3972="","",TEXT($B3972,"0000"))</f>
        <v/>
      </c>
      <c r="W3972" s="19">
        <f>IF($I3972="","",IF(ISNUMBER($I3972),TEXT($I3972,"0"),$I3972))</f>
        <v/>
      </c>
    </row>
    <row r="3973">
      <c r="B3973" s="25" t="n"/>
      <c r="I3973" s="25" t="n"/>
      <c r="U3973" s="19">
        <f>IF($V3973&lt;&gt;'設定'!$C$4,N(U3972),IF(OR(NOT(COUNTIF('商品マスタ'!$B$6:$B$1005,$W3973)=0),COUNTIFS('①在庫を貼る'!$V$6:$V$10005,$V3973,'①在庫を貼る'!$W$6:$W$10005,$W3973)&gt;0),N(U3972),N(U3972)+1))</f>
        <v/>
      </c>
      <c r="V3973" s="19">
        <f>IF($B3973="","",TEXT($B3973,"0000"))</f>
        <v/>
      </c>
      <c r="W3973" s="19">
        <f>IF($I3973="","",IF(ISNUMBER($I3973),TEXT($I3973,"0"),$I3973))</f>
        <v/>
      </c>
    </row>
    <row r="3974">
      <c r="B3974" s="25" t="n"/>
      <c r="I3974" s="25" t="n"/>
      <c r="U3974" s="19">
        <f>IF($V3974&lt;&gt;'設定'!$C$4,N(U3973),IF(OR(NOT(COUNTIF('商品マスタ'!$B$6:$B$1005,$W3974)=0),COUNTIFS('①在庫を貼る'!$V$6:$V$10005,$V3974,'①在庫を貼る'!$W$6:$W$10005,$W3974)&gt;0),N(U3973),N(U3973)+1))</f>
        <v/>
      </c>
      <c r="V3974" s="19">
        <f>IF($B3974="","",TEXT($B3974,"0000"))</f>
        <v/>
      </c>
      <c r="W3974" s="19">
        <f>IF($I3974="","",IF(ISNUMBER($I3974),TEXT($I3974,"0"),$I3974))</f>
        <v/>
      </c>
    </row>
    <row r="3975">
      <c r="B3975" s="25" t="n"/>
      <c r="I3975" s="25" t="n"/>
      <c r="U3975" s="19">
        <f>IF($V3975&lt;&gt;'設定'!$C$4,N(U3974),IF(OR(NOT(COUNTIF('商品マスタ'!$B$6:$B$1005,$W3975)=0),COUNTIFS('①在庫を貼る'!$V$6:$V$10005,$V3975,'①在庫を貼る'!$W$6:$W$10005,$W3975)&gt;0),N(U3974),N(U3974)+1))</f>
        <v/>
      </c>
      <c r="V3975" s="19">
        <f>IF($B3975="","",TEXT($B3975,"0000"))</f>
        <v/>
      </c>
      <c r="W3975" s="19">
        <f>IF($I3975="","",IF(ISNUMBER($I3975),TEXT($I3975,"0"),$I3975))</f>
        <v/>
      </c>
    </row>
    <row r="3976">
      <c r="B3976" s="25" t="n"/>
      <c r="I3976" s="25" t="n"/>
      <c r="U3976" s="19">
        <f>IF($V3976&lt;&gt;'設定'!$C$4,N(U3975),IF(OR(NOT(COUNTIF('商品マスタ'!$B$6:$B$1005,$W3976)=0),COUNTIFS('①在庫を貼る'!$V$6:$V$10005,$V3976,'①在庫を貼る'!$W$6:$W$10005,$W3976)&gt;0),N(U3975),N(U3975)+1))</f>
        <v/>
      </c>
      <c r="V3976" s="19">
        <f>IF($B3976="","",TEXT($B3976,"0000"))</f>
        <v/>
      </c>
      <c r="W3976" s="19">
        <f>IF($I3976="","",IF(ISNUMBER($I3976),TEXT($I3976,"0"),$I3976))</f>
        <v/>
      </c>
    </row>
    <row r="3977">
      <c r="B3977" s="25" t="n"/>
      <c r="I3977" s="25" t="n"/>
      <c r="U3977" s="19">
        <f>IF($V3977&lt;&gt;'設定'!$C$4,N(U3976),IF(OR(NOT(COUNTIF('商品マスタ'!$B$6:$B$1005,$W3977)=0),COUNTIFS('①在庫を貼る'!$V$6:$V$10005,$V3977,'①在庫を貼る'!$W$6:$W$10005,$W3977)&gt;0),N(U3976),N(U3976)+1))</f>
        <v/>
      </c>
      <c r="V3977" s="19">
        <f>IF($B3977="","",TEXT($B3977,"0000"))</f>
        <v/>
      </c>
      <c r="W3977" s="19">
        <f>IF($I3977="","",IF(ISNUMBER($I3977),TEXT($I3977,"0"),$I3977))</f>
        <v/>
      </c>
    </row>
    <row r="3978">
      <c r="B3978" s="25" t="n"/>
      <c r="I3978" s="25" t="n"/>
      <c r="U3978" s="19">
        <f>IF($V3978&lt;&gt;'設定'!$C$4,N(U3977),IF(OR(NOT(COUNTIF('商品マスタ'!$B$6:$B$1005,$W3978)=0),COUNTIFS('①在庫を貼る'!$V$6:$V$10005,$V3978,'①在庫を貼る'!$W$6:$W$10005,$W3978)&gt;0),N(U3977),N(U3977)+1))</f>
        <v/>
      </c>
      <c r="V3978" s="19">
        <f>IF($B3978="","",TEXT($B3978,"0000"))</f>
        <v/>
      </c>
      <c r="W3978" s="19">
        <f>IF($I3978="","",IF(ISNUMBER($I3978),TEXT($I3978,"0"),$I3978))</f>
        <v/>
      </c>
    </row>
    <row r="3979">
      <c r="B3979" s="25" t="n"/>
      <c r="I3979" s="25" t="n"/>
      <c r="U3979" s="19">
        <f>IF($V3979&lt;&gt;'設定'!$C$4,N(U3978),IF(OR(NOT(COUNTIF('商品マスタ'!$B$6:$B$1005,$W3979)=0),COUNTIFS('①在庫を貼る'!$V$6:$V$10005,$V3979,'①在庫を貼る'!$W$6:$W$10005,$W3979)&gt;0),N(U3978),N(U3978)+1))</f>
        <v/>
      </c>
      <c r="V3979" s="19">
        <f>IF($B3979="","",TEXT($B3979,"0000"))</f>
        <v/>
      </c>
      <c r="W3979" s="19">
        <f>IF($I3979="","",IF(ISNUMBER($I3979),TEXT($I3979,"0"),$I3979))</f>
        <v/>
      </c>
    </row>
    <row r="3980">
      <c r="B3980" s="25" t="n"/>
      <c r="I3980" s="25" t="n"/>
      <c r="U3980" s="19">
        <f>IF($V3980&lt;&gt;'設定'!$C$4,N(U3979),IF(OR(NOT(COUNTIF('商品マスタ'!$B$6:$B$1005,$W3980)=0),COUNTIFS('①在庫を貼る'!$V$6:$V$10005,$V3980,'①在庫を貼る'!$W$6:$W$10005,$W3980)&gt;0),N(U3979),N(U3979)+1))</f>
        <v/>
      </c>
      <c r="V3980" s="19">
        <f>IF($B3980="","",TEXT($B3980,"0000"))</f>
        <v/>
      </c>
      <c r="W3980" s="19">
        <f>IF($I3980="","",IF(ISNUMBER($I3980),TEXT($I3980,"0"),$I3980))</f>
        <v/>
      </c>
    </row>
    <row r="3981">
      <c r="B3981" s="25" t="n"/>
      <c r="I3981" s="25" t="n"/>
      <c r="U3981" s="19">
        <f>IF($V3981&lt;&gt;'設定'!$C$4,N(U3980),IF(OR(NOT(COUNTIF('商品マスタ'!$B$6:$B$1005,$W3981)=0),COUNTIFS('①在庫を貼る'!$V$6:$V$10005,$V3981,'①在庫を貼る'!$W$6:$W$10005,$W3981)&gt;0),N(U3980),N(U3980)+1))</f>
        <v/>
      </c>
      <c r="V3981" s="19">
        <f>IF($B3981="","",TEXT($B3981,"0000"))</f>
        <v/>
      </c>
      <c r="W3981" s="19">
        <f>IF($I3981="","",IF(ISNUMBER($I3981),TEXT($I3981,"0"),$I3981))</f>
        <v/>
      </c>
    </row>
    <row r="3982">
      <c r="B3982" s="25" t="n"/>
      <c r="I3982" s="25" t="n"/>
      <c r="U3982" s="19">
        <f>IF($V3982&lt;&gt;'設定'!$C$4,N(U3981),IF(OR(NOT(COUNTIF('商品マスタ'!$B$6:$B$1005,$W3982)=0),COUNTIFS('①在庫を貼る'!$V$6:$V$10005,$V3982,'①在庫を貼る'!$W$6:$W$10005,$W3982)&gt;0),N(U3981),N(U3981)+1))</f>
        <v/>
      </c>
      <c r="V3982" s="19">
        <f>IF($B3982="","",TEXT($B3982,"0000"))</f>
        <v/>
      </c>
      <c r="W3982" s="19">
        <f>IF($I3982="","",IF(ISNUMBER($I3982),TEXT($I3982,"0"),$I3982))</f>
        <v/>
      </c>
    </row>
    <row r="3983">
      <c r="B3983" s="25" t="n"/>
      <c r="I3983" s="25" t="n"/>
      <c r="U3983" s="19">
        <f>IF($V3983&lt;&gt;'設定'!$C$4,N(U3982),IF(OR(NOT(COUNTIF('商品マスタ'!$B$6:$B$1005,$W3983)=0),COUNTIFS('①在庫を貼る'!$V$6:$V$10005,$V3983,'①在庫を貼る'!$W$6:$W$10005,$W3983)&gt;0),N(U3982),N(U3982)+1))</f>
        <v/>
      </c>
      <c r="V3983" s="19">
        <f>IF($B3983="","",TEXT($B3983,"0000"))</f>
        <v/>
      </c>
      <c r="W3983" s="19">
        <f>IF($I3983="","",IF(ISNUMBER($I3983),TEXT($I3983,"0"),$I3983))</f>
        <v/>
      </c>
    </row>
    <row r="3984">
      <c r="B3984" s="25" t="n"/>
      <c r="I3984" s="25" t="n"/>
      <c r="U3984" s="19">
        <f>IF($V3984&lt;&gt;'設定'!$C$4,N(U3983),IF(OR(NOT(COUNTIF('商品マスタ'!$B$6:$B$1005,$W3984)=0),COUNTIFS('①在庫を貼る'!$V$6:$V$10005,$V3984,'①在庫を貼る'!$W$6:$W$10005,$W3984)&gt;0),N(U3983),N(U3983)+1))</f>
        <v/>
      </c>
      <c r="V3984" s="19">
        <f>IF($B3984="","",TEXT($B3984,"0000"))</f>
        <v/>
      </c>
      <c r="W3984" s="19">
        <f>IF($I3984="","",IF(ISNUMBER($I3984),TEXT($I3984,"0"),$I3984))</f>
        <v/>
      </c>
    </row>
    <row r="3985">
      <c r="B3985" s="25" t="n"/>
      <c r="I3985" s="25" t="n"/>
      <c r="U3985" s="19">
        <f>IF($V3985&lt;&gt;'設定'!$C$4,N(U3984),IF(OR(NOT(COUNTIF('商品マスタ'!$B$6:$B$1005,$W3985)=0),COUNTIFS('①在庫を貼る'!$V$6:$V$10005,$V3985,'①在庫を貼る'!$W$6:$W$10005,$W3985)&gt;0),N(U3984),N(U3984)+1))</f>
        <v/>
      </c>
      <c r="V3985" s="19">
        <f>IF($B3985="","",TEXT($B3985,"0000"))</f>
        <v/>
      </c>
      <c r="W3985" s="19">
        <f>IF($I3985="","",IF(ISNUMBER($I3985),TEXT($I3985,"0"),$I3985))</f>
        <v/>
      </c>
    </row>
    <row r="3986">
      <c r="B3986" s="25" t="n"/>
      <c r="I3986" s="25" t="n"/>
      <c r="U3986" s="19">
        <f>IF($V3986&lt;&gt;'設定'!$C$4,N(U3985),IF(OR(NOT(COUNTIF('商品マスタ'!$B$6:$B$1005,$W3986)=0),COUNTIFS('①在庫を貼る'!$V$6:$V$10005,$V3986,'①在庫を貼る'!$W$6:$W$10005,$W3986)&gt;0),N(U3985),N(U3985)+1))</f>
        <v/>
      </c>
      <c r="V3986" s="19">
        <f>IF($B3986="","",TEXT($B3986,"0000"))</f>
        <v/>
      </c>
      <c r="W3986" s="19">
        <f>IF($I3986="","",IF(ISNUMBER($I3986),TEXT($I3986,"0"),$I3986))</f>
        <v/>
      </c>
    </row>
    <row r="3987">
      <c r="B3987" s="25" t="n"/>
      <c r="I3987" s="25" t="n"/>
      <c r="U3987" s="19">
        <f>IF($V3987&lt;&gt;'設定'!$C$4,N(U3986),IF(OR(NOT(COUNTIF('商品マスタ'!$B$6:$B$1005,$W3987)=0),COUNTIFS('①在庫を貼る'!$V$6:$V$10005,$V3987,'①在庫を貼る'!$W$6:$W$10005,$W3987)&gt;0),N(U3986),N(U3986)+1))</f>
        <v/>
      </c>
      <c r="V3987" s="19">
        <f>IF($B3987="","",TEXT($B3987,"0000"))</f>
        <v/>
      </c>
      <c r="W3987" s="19">
        <f>IF($I3987="","",IF(ISNUMBER($I3987),TEXT($I3987,"0"),$I3987))</f>
        <v/>
      </c>
    </row>
    <row r="3988">
      <c r="B3988" s="25" t="n"/>
      <c r="I3988" s="25" t="n"/>
      <c r="U3988" s="19">
        <f>IF($V3988&lt;&gt;'設定'!$C$4,N(U3987),IF(OR(NOT(COUNTIF('商品マスタ'!$B$6:$B$1005,$W3988)=0),COUNTIFS('①在庫を貼る'!$V$6:$V$10005,$V3988,'①在庫を貼る'!$W$6:$W$10005,$W3988)&gt;0),N(U3987),N(U3987)+1))</f>
        <v/>
      </c>
      <c r="V3988" s="19">
        <f>IF($B3988="","",TEXT($B3988,"0000"))</f>
        <v/>
      </c>
      <c r="W3988" s="19">
        <f>IF($I3988="","",IF(ISNUMBER($I3988),TEXT($I3988,"0"),$I3988))</f>
        <v/>
      </c>
    </row>
    <row r="3989">
      <c r="B3989" s="25" t="n"/>
      <c r="I3989" s="25" t="n"/>
      <c r="U3989" s="19">
        <f>IF($V3989&lt;&gt;'設定'!$C$4,N(U3988),IF(OR(NOT(COUNTIF('商品マスタ'!$B$6:$B$1005,$W3989)=0),COUNTIFS('①在庫を貼る'!$V$6:$V$10005,$V3989,'①在庫を貼る'!$W$6:$W$10005,$W3989)&gt;0),N(U3988),N(U3988)+1))</f>
        <v/>
      </c>
      <c r="V3989" s="19">
        <f>IF($B3989="","",TEXT($B3989,"0000"))</f>
        <v/>
      </c>
      <c r="W3989" s="19">
        <f>IF($I3989="","",IF(ISNUMBER($I3989),TEXT($I3989,"0"),$I3989))</f>
        <v/>
      </c>
    </row>
    <row r="3990">
      <c r="B3990" s="25" t="n"/>
      <c r="I3990" s="25" t="n"/>
      <c r="U3990" s="19">
        <f>IF($V3990&lt;&gt;'設定'!$C$4,N(U3989),IF(OR(NOT(COUNTIF('商品マスタ'!$B$6:$B$1005,$W3990)=0),COUNTIFS('①在庫を貼る'!$V$6:$V$10005,$V3990,'①在庫を貼る'!$W$6:$W$10005,$W3990)&gt;0),N(U3989),N(U3989)+1))</f>
        <v/>
      </c>
      <c r="V3990" s="19">
        <f>IF($B3990="","",TEXT($B3990,"0000"))</f>
        <v/>
      </c>
      <c r="W3990" s="19">
        <f>IF($I3990="","",IF(ISNUMBER($I3990),TEXT($I3990,"0"),$I3990))</f>
        <v/>
      </c>
    </row>
    <row r="3991">
      <c r="B3991" s="25" t="n"/>
      <c r="I3991" s="25" t="n"/>
      <c r="U3991" s="19">
        <f>IF($V3991&lt;&gt;'設定'!$C$4,N(U3990),IF(OR(NOT(COUNTIF('商品マスタ'!$B$6:$B$1005,$W3991)=0),COUNTIFS('①在庫を貼る'!$V$6:$V$10005,$V3991,'①在庫を貼る'!$W$6:$W$10005,$W3991)&gt;0),N(U3990),N(U3990)+1))</f>
        <v/>
      </c>
      <c r="V3991" s="19">
        <f>IF($B3991="","",TEXT($B3991,"0000"))</f>
        <v/>
      </c>
      <c r="W3991" s="19">
        <f>IF($I3991="","",IF(ISNUMBER($I3991),TEXT($I3991,"0"),$I3991))</f>
        <v/>
      </c>
    </row>
    <row r="3992">
      <c r="B3992" s="25" t="n"/>
      <c r="I3992" s="25" t="n"/>
      <c r="U3992" s="19">
        <f>IF($V3992&lt;&gt;'設定'!$C$4,N(U3991),IF(OR(NOT(COUNTIF('商品マスタ'!$B$6:$B$1005,$W3992)=0),COUNTIFS('①在庫を貼る'!$V$6:$V$10005,$V3992,'①在庫を貼る'!$W$6:$W$10005,$W3992)&gt;0),N(U3991),N(U3991)+1))</f>
        <v/>
      </c>
      <c r="V3992" s="19">
        <f>IF($B3992="","",TEXT($B3992,"0000"))</f>
        <v/>
      </c>
      <c r="W3992" s="19">
        <f>IF($I3992="","",IF(ISNUMBER($I3992),TEXT($I3992,"0"),$I3992))</f>
        <v/>
      </c>
    </row>
    <row r="3993">
      <c r="B3993" s="25" t="n"/>
      <c r="I3993" s="25" t="n"/>
      <c r="U3993" s="19">
        <f>IF($V3993&lt;&gt;'設定'!$C$4,N(U3992),IF(OR(NOT(COUNTIF('商品マスタ'!$B$6:$B$1005,$W3993)=0),COUNTIFS('①在庫を貼る'!$V$6:$V$10005,$V3993,'①在庫を貼る'!$W$6:$W$10005,$W3993)&gt;0),N(U3992),N(U3992)+1))</f>
        <v/>
      </c>
      <c r="V3993" s="19">
        <f>IF($B3993="","",TEXT($B3993,"0000"))</f>
        <v/>
      </c>
      <c r="W3993" s="19">
        <f>IF($I3993="","",IF(ISNUMBER($I3993),TEXT($I3993,"0"),$I3993))</f>
        <v/>
      </c>
    </row>
    <row r="3994">
      <c r="B3994" s="25" t="n"/>
      <c r="I3994" s="25" t="n"/>
      <c r="U3994" s="19">
        <f>IF($V3994&lt;&gt;'設定'!$C$4,N(U3993),IF(OR(NOT(COUNTIF('商品マスタ'!$B$6:$B$1005,$W3994)=0),COUNTIFS('①在庫を貼る'!$V$6:$V$10005,$V3994,'①在庫を貼る'!$W$6:$W$10005,$W3994)&gt;0),N(U3993),N(U3993)+1))</f>
        <v/>
      </c>
      <c r="V3994" s="19">
        <f>IF($B3994="","",TEXT($B3994,"0000"))</f>
        <v/>
      </c>
      <c r="W3994" s="19">
        <f>IF($I3994="","",IF(ISNUMBER($I3994),TEXT($I3994,"0"),$I3994))</f>
        <v/>
      </c>
    </row>
    <row r="3995">
      <c r="B3995" s="25" t="n"/>
      <c r="I3995" s="25" t="n"/>
      <c r="U3995" s="19">
        <f>IF($V3995&lt;&gt;'設定'!$C$4,N(U3994),IF(OR(NOT(COUNTIF('商品マスタ'!$B$6:$B$1005,$W3995)=0),COUNTIFS('①在庫を貼る'!$V$6:$V$10005,$V3995,'①在庫を貼る'!$W$6:$W$10005,$W3995)&gt;0),N(U3994),N(U3994)+1))</f>
        <v/>
      </c>
      <c r="V3995" s="19">
        <f>IF($B3995="","",TEXT($B3995,"0000"))</f>
        <v/>
      </c>
      <c r="W3995" s="19">
        <f>IF($I3995="","",IF(ISNUMBER($I3995),TEXT($I3995,"0"),$I3995))</f>
        <v/>
      </c>
    </row>
    <row r="3996">
      <c r="B3996" s="25" t="n"/>
      <c r="I3996" s="25" t="n"/>
      <c r="U3996" s="19">
        <f>IF($V3996&lt;&gt;'設定'!$C$4,N(U3995),IF(OR(NOT(COUNTIF('商品マスタ'!$B$6:$B$1005,$W3996)=0),COUNTIFS('①在庫を貼る'!$V$6:$V$10005,$V3996,'①在庫を貼る'!$W$6:$W$10005,$W3996)&gt;0),N(U3995),N(U3995)+1))</f>
        <v/>
      </c>
      <c r="V3996" s="19">
        <f>IF($B3996="","",TEXT($B3996,"0000"))</f>
        <v/>
      </c>
      <c r="W3996" s="19">
        <f>IF($I3996="","",IF(ISNUMBER($I3996),TEXT($I3996,"0"),$I3996))</f>
        <v/>
      </c>
    </row>
    <row r="3997">
      <c r="B3997" s="25" t="n"/>
      <c r="I3997" s="25" t="n"/>
      <c r="U3997" s="19">
        <f>IF($V3997&lt;&gt;'設定'!$C$4,N(U3996),IF(OR(NOT(COUNTIF('商品マスタ'!$B$6:$B$1005,$W3997)=0),COUNTIFS('①在庫を貼る'!$V$6:$V$10005,$V3997,'①在庫を貼る'!$W$6:$W$10005,$W3997)&gt;0),N(U3996),N(U3996)+1))</f>
        <v/>
      </c>
      <c r="V3997" s="19">
        <f>IF($B3997="","",TEXT($B3997,"0000"))</f>
        <v/>
      </c>
      <c r="W3997" s="19">
        <f>IF($I3997="","",IF(ISNUMBER($I3997),TEXT($I3997,"0"),$I3997))</f>
        <v/>
      </c>
    </row>
    <row r="3998">
      <c r="B3998" s="25" t="n"/>
      <c r="I3998" s="25" t="n"/>
      <c r="U3998" s="19">
        <f>IF($V3998&lt;&gt;'設定'!$C$4,N(U3997),IF(OR(NOT(COUNTIF('商品マスタ'!$B$6:$B$1005,$W3998)=0),COUNTIFS('①在庫を貼る'!$V$6:$V$10005,$V3998,'①在庫を貼る'!$W$6:$W$10005,$W3998)&gt;0),N(U3997),N(U3997)+1))</f>
        <v/>
      </c>
      <c r="V3998" s="19">
        <f>IF($B3998="","",TEXT($B3998,"0000"))</f>
        <v/>
      </c>
      <c r="W3998" s="19">
        <f>IF($I3998="","",IF(ISNUMBER($I3998),TEXT($I3998,"0"),$I3998))</f>
        <v/>
      </c>
    </row>
    <row r="3999">
      <c r="B3999" s="25" t="n"/>
      <c r="I3999" s="25" t="n"/>
      <c r="U3999" s="19">
        <f>IF($V3999&lt;&gt;'設定'!$C$4,N(U3998),IF(OR(NOT(COUNTIF('商品マスタ'!$B$6:$B$1005,$W3999)=0),COUNTIFS('①在庫を貼る'!$V$6:$V$10005,$V3999,'①在庫を貼る'!$W$6:$W$10005,$W3999)&gt;0),N(U3998),N(U3998)+1))</f>
        <v/>
      </c>
      <c r="V3999" s="19">
        <f>IF($B3999="","",TEXT($B3999,"0000"))</f>
        <v/>
      </c>
      <c r="W3999" s="19">
        <f>IF($I3999="","",IF(ISNUMBER($I3999),TEXT($I3999,"0"),$I3999))</f>
        <v/>
      </c>
    </row>
    <row r="4000">
      <c r="B4000" s="25" t="n"/>
      <c r="I4000" s="25" t="n"/>
      <c r="U4000" s="19">
        <f>IF($V4000&lt;&gt;'設定'!$C$4,N(U3999),IF(OR(NOT(COUNTIF('商品マスタ'!$B$6:$B$1005,$W4000)=0),COUNTIFS('①在庫を貼る'!$V$6:$V$10005,$V4000,'①在庫を貼る'!$W$6:$W$10005,$W4000)&gt;0),N(U3999),N(U3999)+1))</f>
        <v/>
      </c>
      <c r="V4000" s="19">
        <f>IF($B4000="","",TEXT($B4000,"0000"))</f>
        <v/>
      </c>
      <c r="W4000" s="19">
        <f>IF($I4000="","",IF(ISNUMBER($I4000),TEXT($I4000,"0"),$I4000))</f>
        <v/>
      </c>
    </row>
    <row r="4001">
      <c r="B4001" s="25" t="n"/>
      <c r="I4001" s="25" t="n"/>
      <c r="U4001" s="19">
        <f>IF($V4001&lt;&gt;'設定'!$C$4,N(U4000),IF(OR(NOT(COUNTIF('商品マスタ'!$B$6:$B$1005,$W4001)=0),COUNTIFS('①在庫を貼る'!$V$6:$V$10005,$V4001,'①在庫を貼る'!$W$6:$W$10005,$W4001)&gt;0),N(U4000),N(U4000)+1))</f>
        <v/>
      </c>
      <c r="V4001" s="19">
        <f>IF($B4001="","",TEXT($B4001,"0000"))</f>
        <v/>
      </c>
      <c r="W4001" s="19">
        <f>IF($I4001="","",IF(ISNUMBER($I4001),TEXT($I4001,"0"),$I4001))</f>
        <v/>
      </c>
    </row>
    <row r="4002">
      <c r="B4002" s="25" t="n"/>
      <c r="I4002" s="25" t="n"/>
      <c r="U4002" s="19">
        <f>IF($V4002&lt;&gt;'設定'!$C$4,N(U4001),IF(OR(NOT(COUNTIF('商品マスタ'!$B$6:$B$1005,$W4002)=0),COUNTIFS('①在庫を貼る'!$V$6:$V$10005,$V4002,'①在庫を貼る'!$W$6:$W$10005,$W4002)&gt;0),N(U4001),N(U4001)+1))</f>
        <v/>
      </c>
      <c r="V4002" s="19">
        <f>IF($B4002="","",TEXT($B4002,"0000"))</f>
        <v/>
      </c>
      <c r="W4002" s="19">
        <f>IF($I4002="","",IF(ISNUMBER($I4002),TEXT($I4002,"0"),$I4002))</f>
        <v/>
      </c>
    </row>
    <row r="4003">
      <c r="B4003" s="25" t="n"/>
      <c r="I4003" s="25" t="n"/>
      <c r="U4003" s="19">
        <f>IF($V4003&lt;&gt;'設定'!$C$4,N(U4002),IF(OR(NOT(COUNTIF('商品マスタ'!$B$6:$B$1005,$W4003)=0),COUNTIFS('①在庫を貼る'!$V$6:$V$10005,$V4003,'①在庫を貼る'!$W$6:$W$10005,$W4003)&gt;0),N(U4002),N(U4002)+1))</f>
        <v/>
      </c>
      <c r="V4003" s="19">
        <f>IF($B4003="","",TEXT($B4003,"0000"))</f>
        <v/>
      </c>
      <c r="W4003" s="19">
        <f>IF($I4003="","",IF(ISNUMBER($I4003),TEXT($I4003,"0"),$I4003))</f>
        <v/>
      </c>
    </row>
    <row r="4004">
      <c r="B4004" s="25" t="n"/>
      <c r="I4004" s="25" t="n"/>
      <c r="U4004" s="19">
        <f>IF($V4004&lt;&gt;'設定'!$C$4,N(U4003),IF(OR(NOT(COUNTIF('商品マスタ'!$B$6:$B$1005,$W4004)=0),COUNTIFS('①在庫を貼る'!$V$6:$V$10005,$V4004,'①在庫を貼る'!$W$6:$W$10005,$W4004)&gt;0),N(U4003),N(U4003)+1))</f>
        <v/>
      </c>
      <c r="V4004" s="19">
        <f>IF($B4004="","",TEXT($B4004,"0000"))</f>
        <v/>
      </c>
      <c r="W4004" s="19">
        <f>IF($I4004="","",IF(ISNUMBER($I4004),TEXT($I4004,"0"),$I4004))</f>
        <v/>
      </c>
    </row>
    <row r="4005">
      <c r="B4005" s="25" t="n"/>
      <c r="I4005" s="25" t="n"/>
      <c r="U4005" s="19">
        <f>IF($V4005&lt;&gt;'設定'!$C$4,N(U4004),IF(OR(NOT(COUNTIF('商品マスタ'!$B$6:$B$1005,$W4005)=0),COUNTIFS('①在庫を貼る'!$V$6:$V$10005,$V4005,'①在庫を貼る'!$W$6:$W$10005,$W4005)&gt;0),N(U4004),N(U4004)+1))</f>
        <v/>
      </c>
      <c r="V4005" s="19">
        <f>IF($B4005="","",TEXT($B4005,"0000"))</f>
        <v/>
      </c>
      <c r="W4005" s="19">
        <f>IF($I4005="","",IF(ISNUMBER($I4005),TEXT($I4005,"0"),$I4005))</f>
        <v/>
      </c>
    </row>
    <row r="4006">
      <c r="B4006" s="25" t="n"/>
      <c r="I4006" s="25" t="n"/>
      <c r="U4006" s="19">
        <f>IF($V4006&lt;&gt;'設定'!$C$4,N(U4005),IF(OR(NOT(COUNTIF('商品マスタ'!$B$6:$B$1005,$W4006)=0),COUNTIFS('①在庫を貼る'!$V$6:$V$10005,$V4006,'①在庫を貼る'!$W$6:$W$10005,$W4006)&gt;0),N(U4005),N(U4005)+1))</f>
        <v/>
      </c>
      <c r="V4006" s="19">
        <f>IF($B4006="","",TEXT($B4006,"0000"))</f>
        <v/>
      </c>
      <c r="W4006" s="19">
        <f>IF($I4006="","",IF(ISNUMBER($I4006),TEXT($I4006,"0"),$I4006))</f>
        <v/>
      </c>
    </row>
    <row r="4007">
      <c r="B4007" s="25" t="n"/>
      <c r="I4007" s="25" t="n"/>
      <c r="U4007" s="19">
        <f>IF($V4007&lt;&gt;'設定'!$C$4,N(U4006),IF(OR(NOT(COUNTIF('商品マスタ'!$B$6:$B$1005,$W4007)=0),COUNTIFS('①在庫を貼る'!$V$6:$V$10005,$V4007,'①在庫を貼る'!$W$6:$W$10005,$W4007)&gt;0),N(U4006),N(U4006)+1))</f>
        <v/>
      </c>
      <c r="V4007" s="19">
        <f>IF($B4007="","",TEXT($B4007,"0000"))</f>
        <v/>
      </c>
      <c r="W4007" s="19">
        <f>IF($I4007="","",IF(ISNUMBER($I4007),TEXT($I4007,"0"),$I4007))</f>
        <v/>
      </c>
    </row>
    <row r="4008">
      <c r="B4008" s="25" t="n"/>
      <c r="I4008" s="25" t="n"/>
      <c r="U4008" s="19">
        <f>IF($V4008&lt;&gt;'設定'!$C$4,N(U4007),IF(OR(NOT(COUNTIF('商品マスタ'!$B$6:$B$1005,$W4008)=0),COUNTIFS('①在庫を貼る'!$V$6:$V$10005,$V4008,'①在庫を貼る'!$W$6:$W$10005,$W4008)&gt;0),N(U4007),N(U4007)+1))</f>
        <v/>
      </c>
      <c r="V4008" s="19">
        <f>IF($B4008="","",TEXT($B4008,"0000"))</f>
        <v/>
      </c>
      <c r="W4008" s="19">
        <f>IF($I4008="","",IF(ISNUMBER($I4008),TEXT($I4008,"0"),$I4008))</f>
        <v/>
      </c>
    </row>
    <row r="4009">
      <c r="B4009" s="25" t="n"/>
      <c r="I4009" s="25" t="n"/>
      <c r="U4009" s="19">
        <f>IF($V4009&lt;&gt;'設定'!$C$4,N(U4008),IF(OR(NOT(COUNTIF('商品マスタ'!$B$6:$B$1005,$W4009)=0),COUNTIFS('①在庫を貼る'!$V$6:$V$10005,$V4009,'①在庫を貼る'!$W$6:$W$10005,$W4009)&gt;0),N(U4008),N(U4008)+1))</f>
        <v/>
      </c>
      <c r="V4009" s="19">
        <f>IF($B4009="","",TEXT($B4009,"0000"))</f>
        <v/>
      </c>
      <c r="W4009" s="19">
        <f>IF($I4009="","",IF(ISNUMBER($I4009),TEXT($I4009,"0"),$I4009))</f>
        <v/>
      </c>
    </row>
    <row r="4010">
      <c r="B4010" s="25" t="n"/>
      <c r="I4010" s="25" t="n"/>
      <c r="U4010" s="19">
        <f>IF($V4010&lt;&gt;'設定'!$C$4,N(U4009),IF(OR(NOT(COUNTIF('商品マスタ'!$B$6:$B$1005,$W4010)=0),COUNTIFS('①在庫を貼る'!$V$6:$V$10005,$V4010,'①在庫を貼る'!$W$6:$W$10005,$W4010)&gt;0),N(U4009),N(U4009)+1))</f>
        <v/>
      </c>
      <c r="V4010" s="19">
        <f>IF($B4010="","",TEXT($B4010,"0000"))</f>
        <v/>
      </c>
      <c r="W4010" s="19">
        <f>IF($I4010="","",IF(ISNUMBER($I4010),TEXT($I4010,"0"),$I4010))</f>
        <v/>
      </c>
    </row>
    <row r="4011">
      <c r="B4011" s="25" t="n"/>
      <c r="I4011" s="25" t="n"/>
      <c r="U4011" s="19">
        <f>IF($V4011&lt;&gt;'設定'!$C$4,N(U4010),IF(OR(NOT(COUNTIF('商品マスタ'!$B$6:$B$1005,$W4011)=0),COUNTIFS('①在庫を貼る'!$V$6:$V$10005,$V4011,'①在庫を貼る'!$W$6:$W$10005,$W4011)&gt;0),N(U4010),N(U4010)+1))</f>
        <v/>
      </c>
      <c r="V4011" s="19">
        <f>IF($B4011="","",TEXT($B4011,"0000"))</f>
        <v/>
      </c>
      <c r="W4011" s="19">
        <f>IF($I4011="","",IF(ISNUMBER($I4011),TEXT($I4011,"0"),$I4011))</f>
        <v/>
      </c>
    </row>
    <row r="4012">
      <c r="B4012" s="25" t="n"/>
      <c r="I4012" s="25" t="n"/>
      <c r="U4012" s="19">
        <f>IF($V4012&lt;&gt;'設定'!$C$4,N(U4011),IF(OR(NOT(COUNTIF('商品マスタ'!$B$6:$B$1005,$W4012)=0),COUNTIFS('①在庫を貼る'!$V$6:$V$10005,$V4012,'①在庫を貼る'!$W$6:$W$10005,$W4012)&gt;0),N(U4011),N(U4011)+1))</f>
        <v/>
      </c>
      <c r="V4012" s="19">
        <f>IF($B4012="","",TEXT($B4012,"0000"))</f>
        <v/>
      </c>
      <c r="W4012" s="19">
        <f>IF($I4012="","",IF(ISNUMBER($I4012),TEXT($I4012,"0"),$I4012))</f>
        <v/>
      </c>
    </row>
    <row r="4013">
      <c r="B4013" s="25" t="n"/>
      <c r="I4013" s="25" t="n"/>
      <c r="U4013" s="19">
        <f>IF($V4013&lt;&gt;'設定'!$C$4,N(U4012),IF(OR(NOT(COUNTIF('商品マスタ'!$B$6:$B$1005,$W4013)=0),COUNTIFS('①在庫を貼る'!$V$6:$V$10005,$V4013,'①在庫を貼る'!$W$6:$W$10005,$W4013)&gt;0),N(U4012),N(U4012)+1))</f>
        <v/>
      </c>
      <c r="V4013" s="19">
        <f>IF($B4013="","",TEXT($B4013,"0000"))</f>
        <v/>
      </c>
      <c r="W4013" s="19">
        <f>IF($I4013="","",IF(ISNUMBER($I4013),TEXT($I4013,"0"),$I4013))</f>
        <v/>
      </c>
    </row>
    <row r="4014">
      <c r="B4014" s="25" t="n"/>
      <c r="I4014" s="25" t="n"/>
      <c r="U4014" s="19">
        <f>IF($V4014&lt;&gt;'設定'!$C$4,N(U4013),IF(OR(NOT(COUNTIF('商品マスタ'!$B$6:$B$1005,$W4014)=0),COUNTIFS('①在庫を貼る'!$V$6:$V$10005,$V4014,'①在庫を貼る'!$W$6:$W$10005,$W4014)&gt;0),N(U4013),N(U4013)+1))</f>
        <v/>
      </c>
      <c r="V4014" s="19">
        <f>IF($B4014="","",TEXT($B4014,"0000"))</f>
        <v/>
      </c>
      <c r="W4014" s="19">
        <f>IF($I4014="","",IF(ISNUMBER($I4014),TEXT($I4014,"0"),$I4014))</f>
        <v/>
      </c>
    </row>
    <row r="4015">
      <c r="B4015" s="25" t="n"/>
      <c r="I4015" s="25" t="n"/>
      <c r="U4015" s="19">
        <f>IF($V4015&lt;&gt;'設定'!$C$4,N(U4014),IF(OR(NOT(COUNTIF('商品マスタ'!$B$6:$B$1005,$W4015)=0),COUNTIFS('①在庫を貼る'!$V$6:$V$10005,$V4015,'①在庫を貼る'!$W$6:$W$10005,$W4015)&gt;0),N(U4014),N(U4014)+1))</f>
        <v/>
      </c>
      <c r="V4015" s="19">
        <f>IF($B4015="","",TEXT($B4015,"0000"))</f>
        <v/>
      </c>
      <c r="W4015" s="19">
        <f>IF($I4015="","",IF(ISNUMBER($I4015),TEXT($I4015,"0"),$I4015))</f>
        <v/>
      </c>
    </row>
    <row r="4016">
      <c r="B4016" s="25" t="n"/>
      <c r="I4016" s="25" t="n"/>
      <c r="U4016" s="19">
        <f>IF($V4016&lt;&gt;'設定'!$C$4,N(U4015),IF(OR(NOT(COUNTIF('商品マスタ'!$B$6:$B$1005,$W4016)=0),COUNTIFS('①在庫を貼る'!$V$6:$V$10005,$V4016,'①在庫を貼る'!$W$6:$W$10005,$W4016)&gt;0),N(U4015),N(U4015)+1))</f>
        <v/>
      </c>
      <c r="V4016" s="19">
        <f>IF($B4016="","",TEXT($B4016,"0000"))</f>
        <v/>
      </c>
      <c r="W4016" s="19">
        <f>IF($I4016="","",IF(ISNUMBER($I4016),TEXT($I4016,"0"),$I4016))</f>
        <v/>
      </c>
    </row>
    <row r="4017">
      <c r="B4017" s="25" t="n"/>
      <c r="I4017" s="25" t="n"/>
      <c r="U4017" s="19">
        <f>IF($V4017&lt;&gt;'設定'!$C$4,N(U4016),IF(OR(NOT(COUNTIF('商品マスタ'!$B$6:$B$1005,$W4017)=0),COUNTIFS('①在庫を貼る'!$V$6:$V$10005,$V4017,'①在庫を貼る'!$W$6:$W$10005,$W4017)&gt;0),N(U4016),N(U4016)+1))</f>
        <v/>
      </c>
      <c r="V4017" s="19">
        <f>IF($B4017="","",TEXT($B4017,"0000"))</f>
        <v/>
      </c>
      <c r="W4017" s="19">
        <f>IF($I4017="","",IF(ISNUMBER($I4017),TEXT($I4017,"0"),$I4017))</f>
        <v/>
      </c>
    </row>
    <row r="4018">
      <c r="B4018" s="25" t="n"/>
      <c r="I4018" s="25" t="n"/>
      <c r="U4018" s="19">
        <f>IF($V4018&lt;&gt;'設定'!$C$4,N(U4017),IF(OR(NOT(COUNTIF('商品マスタ'!$B$6:$B$1005,$W4018)=0),COUNTIFS('①在庫を貼る'!$V$6:$V$10005,$V4018,'①在庫を貼る'!$W$6:$W$10005,$W4018)&gt;0),N(U4017),N(U4017)+1))</f>
        <v/>
      </c>
      <c r="V4018" s="19">
        <f>IF($B4018="","",TEXT($B4018,"0000"))</f>
        <v/>
      </c>
      <c r="W4018" s="19">
        <f>IF($I4018="","",IF(ISNUMBER($I4018),TEXT($I4018,"0"),$I4018))</f>
        <v/>
      </c>
    </row>
    <row r="4019">
      <c r="B4019" s="25" t="n"/>
      <c r="I4019" s="25" t="n"/>
      <c r="U4019" s="19">
        <f>IF($V4019&lt;&gt;'設定'!$C$4,N(U4018),IF(OR(NOT(COUNTIF('商品マスタ'!$B$6:$B$1005,$W4019)=0),COUNTIFS('①在庫を貼る'!$V$6:$V$10005,$V4019,'①在庫を貼る'!$W$6:$W$10005,$W4019)&gt;0),N(U4018),N(U4018)+1))</f>
        <v/>
      </c>
      <c r="V4019" s="19">
        <f>IF($B4019="","",TEXT($B4019,"0000"))</f>
        <v/>
      </c>
      <c r="W4019" s="19">
        <f>IF($I4019="","",IF(ISNUMBER($I4019),TEXT($I4019,"0"),$I4019))</f>
        <v/>
      </c>
    </row>
    <row r="4020">
      <c r="B4020" s="25" t="n"/>
      <c r="I4020" s="25" t="n"/>
      <c r="U4020" s="19">
        <f>IF($V4020&lt;&gt;'設定'!$C$4,N(U4019),IF(OR(NOT(COUNTIF('商品マスタ'!$B$6:$B$1005,$W4020)=0),COUNTIFS('①在庫を貼る'!$V$6:$V$10005,$V4020,'①在庫を貼る'!$W$6:$W$10005,$W4020)&gt;0),N(U4019),N(U4019)+1))</f>
        <v/>
      </c>
      <c r="V4020" s="19">
        <f>IF($B4020="","",TEXT($B4020,"0000"))</f>
        <v/>
      </c>
      <c r="W4020" s="19">
        <f>IF($I4020="","",IF(ISNUMBER($I4020),TEXT($I4020,"0"),$I4020))</f>
        <v/>
      </c>
    </row>
    <row r="4021">
      <c r="B4021" s="25" t="n"/>
      <c r="I4021" s="25" t="n"/>
      <c r="U4021" s="19">
        <f>IF($V4021&lt;&gt;'設定'!$C$4,N(U4020),IF(OR(NOT(COUNTIF('商品マスタ'!$B$6:$B$1005,$W4021)=0),COUNTIFS('①在庫を貼る'!$V$6:$V$10005,$V4021,'①在庫を貼る'!$W$6:$W$10005,$W4021)&gt;0),N(U4020),N(U4020)+1))</f>
        <v/>
      </c>
      <c r="V4021" s="19">
        <f>IF($B4021="","",TEXT($B4021,"0000"))</f>
        <v/>
      </c>
      <c r="W4021" s="19">
        <f>IF($I4021="","",IF(ISNUMBER($I4021),TEXT($I4021,"0"),$I4021))</f>
        <v/>
      </c>
    </row>
    <row r="4022">
      <c r="B4022" s="25" t="n"/>
      <c r="I4022" s="25" t="n"/>
      <c r="U4022" s="19">
        <f>IF($V4022&lt;&gt;'設定'!$C$4,N(U4021),IF(OR(NOT(COUNTIF('商品マスタ'!$B$6:$B$1005,$W4022)=0),COUNTIFS('①在庫を貼る'!$V$6:$V$10005,$V4022,'①在庫を貼る'!$W$6:$W$10005,$W4022)&gt;0),N(U4021),N(U4021)+1))</f>
        <v/>
      </c>
      <c r="V4022" s="19">
        <f>IF($B4022="","",TEXT($B4022,"0000"))</f>
        <v/>
      </c>
      <c r="W4022" s="19">
        <f>IF($I4022="","",IF(ISNUMBER($I4022),TEXT($I4022,"0"),$I4022))</f>
        <v/>
      </c>
    </row>
    <row r="4023">
      <c r="B4023" s="25" t="n"/>
      <c r="I4023" s="25" t="n"/>
      <c r="U4023" s="19">
        <f>IF($V4023&lt;&gt;'設定'!$C$4,N(U4022),IF(OR(NOT(COUNTIF('商品マスタ'!$B$6:$B$1005,$W4023)=0),COUNTIFS('①在庫を貼る'!$V$6:$V$10005,$V4023,'①在庫を貼る'!$W$6:$W$10005,$W4023)&gt;0),N(U4022),N(U4022)+1))</f>
        <v/>
      </c>
      <c r="V4023" s="19">
        <f>IF($B4023="","",TEXT($B4023,"0000"))</f>
        <v/>
      </c>
      <c r="W4023" s="19">
        <f>IF($I4023="","",IF(ISNUMBER($I4023),TEXT($I4023,"0"),$I4023))</f>
        <v/>
      </c>
    </row>
    <row r="4024">
      <c r="B4024" s="25" t="n"/>
      <c r="I4024" s="25" t="n"/>
      <c r="U4024" s="19">
        <f>IF($V4024&lt;&gt;'設定'!$C$4,N(U4023),IF(OR(NOT(COUNTIF('商品マスタ'!$B$6:$B$1005,$W4024)=0),COUNTIFS('①在庫を貼る'!$V$6:$V$10005,$V4024,'①在庫を貼る'!$W$6:$W$10005,$W4024)&gt;0),N(U4023),N(U4023)+1))</f>
        <v/>
      </c>
      <c r="V4024" s="19">
        <f>IF($B4024="","",TEXT($B4024,"0000"))</f>
        <v/>
      </c>
      <c r="W4024" s="19">
        <f>IF($I4024="","",IF(ISNUMBER($I4024),TEXT($I4024,"0"),$I4024))</f>
        <v/>
      </c>
    </row>
    <row r="4025">
      <c r="B4025" s="25" t="n"/>
      <c r="I4025" s="25" t="n"/>
      <c r="U4025" s="19">
        <f>IF($V4025&lt;&gt;'設定'!$C$4,N(U4024),IF(OR(NOT(COUNTIF('商品マスタ'!$B$6:$B$1005,$W4025)=0),COUNTIFS('①在庫を貼る'!$V$6:$V$10005,$V4025,'①在庫を貼る'!$W$6:$W$10005,$W4025)&gt;0),N(U4024),N(U4024)+1))</f>
        <v/>
      </c>
      <c r="V4025" s="19">
        <f>IF($B4025="","",TEXT($B4025,"0000"))</f>
        <v/>
      </c>
      <c r="W4025" s="19">
        <f>IF($I4025="","",IF(ISNUMBER($I4025),TEXT($I4025,"0"),$I4025))</f>
        <v/>
      </c>
    </row>
    <row r="4026">
      <c r="B4026" s="25" t="n"/>
      <c r="I4026" s="25" t="n"/>
      <c r="U4026" s="19">
        <f>IF($V4026&lt;&gt;'設定'!$C$4,N(U4025),IF(OR(NOT(COUNTIF('商品マスタ'!$B$6:$B$1005,$W4026)=0),COUNTIFS('①在庫を貼る'!$V$6:$V$10005,$V4026,'①在庫を貼る'!$W$6:$W$10005,$W4026)&gt;0),N(U4025),N(U4025)+1))</f>
        <v/>
      </c>
      <c r="V4026" s="19">
        <f>IF($B4026="","",TEXT($B4026,"0000"))</f>
        <v/>
      </c>
      <c r="W4026" s="19">
        <f>IF($I4026="","",IF(ISNUMBER($I4026),TEXT($I4026,"0"),$I4026))</f>
        <v/>
      </c>
    </row>
    <row r="4027">
      <c r="B4027" s="25" t="n"/>
      <c r="I4027" s="25" t="n"/>
      <c r="U4027" s="19">
        <f>IF($V4027&lt;&gt;'設定'!$C$4,N(U4026),IF(OR(NOT(COUNTIF('商品マスタ'!$B$6:$B$1005,$W4027)=0),COUNTIFS('①在庫を貼る'!$V$6:$V$10005,$V4027,'①在庫を貼る'!$W$6:$W$10005,$W4027)&gt;0),N(U4026),N(U4026)+1))</f>
        <v/>
      </c>
      <c r="V4027" s="19">
        <f>IF($B4027="","",TEXT($B4027,"0000"))</f>
        <v/>
      </c>
      <c r="W4027" s="19">
        <f>IF($I4027="","",IF(ISNUMBER($I4027),TEXT($I4027,"0"),$I4027))</f>
        <v/>
      </c>
    </row>
    <row r="4028">
      <c r="B4028" s="25" t="n"/>
      <c r="I4028" s="25" t="n"/>
      <c r="U4028" s="19">
        <f>IF($V4028&lt;&gt;'設定'!$C$4,N(U4027),IF(OR(NOT(COUNTIF('商品マスタ'!$B$6:$B$1005,$W4028)=0),COUNTIFS('①在庫を貼る'!$V$6:$V$10005,$V4028,'①在庫を貼る'!$W$6:$W$10005,$W4028)&gt;0),N(U4027),N(U4027)+1))</f>
        <v/>
      </c>
      <c r="V4028" s="19">
        <f>IF($B4028="","",TEXT($B4028,"0000"))</f>
        <v/>
      </c>
      <c r="W4028" s="19">
        <f>IF($I4028="","",IF(ISNUMBER($I4028),TEXT($I4028,"0"),$I4028))</f>
        <v/>
      </c>
    </row>
    <row r="4029">
      <c r="B4029" s="25" t="n"/>
      <c r="I4029" s="25" t="n"/>
      <c r="U4029" s="19">
        <f>IF($V4029&lt;&gt;'設定'!$C$4,N(U4028),IF(OR(NOT(COUNTIF('商品マスタ'!$B$6:$B$1005,$W4029)=0),COUNTIFS('①在庫を貼る'!$V$6:$V$10005,$V4029,'①在庫を貼る'!$W$6:$W$10005,$W4029)&gt;0),N(U4028),N(U4028)+1))</f>
        <v/>
      </c>
      <c r="V4029" s="19">
        <f>IF($B4029="","",TEXT($B4029,"0000"))</f>
        <v/>
      </c>
      <c r="W4029" s="19">
        <f>IF($I4029="","",IF(ISNUMBER($I4029),TEXT($I4029,"0"),$I4029))</f>
        <v/>
      </c>
    </row>
    <row r="4030">
      <c r="B4030" s="25" t="n"/>
      <c r="I4030" s="25" t="n"/>
      <c r="U4030" s="19">
        <f>IF($V4030&lt;&gt;'設定'!$C$4,N(U4029),IF(OR(NOT(COUNTIF('商品マスタ'!$B$6:$B$1005,$W4030)=0),COUNTIFS('①在庫を貼る'!$V$6:$V$10005,$V4030,'①在庫を貼る'!$W$6:$W$10005,$W4030)&gt;0),N(U4029),N(U4029)+1))</f>
        <v/>
      </c>
      <c r="V4030" s="19">
        <f>IF($B4030="","",TEXT($B4030,"0000"))</f>
        <v/>
      </c>
      <c r="W4030" s="19">
        <f>IF($I4030="","",IF(ISNUMBER($I4030),TEXT($I4030,"0"),$I4030))</f>
        <v/>
      </c>
    </row>
    <row r="4031">
      <c r="B4031" s="25" t="n"/>
      <c r="I4031" s="25" t="n"/>
      <c r="U4031" s="19">
        <f>IF($V4031&lt;&gt;'設定'!$C$4,N(U4030),IF(OR(NOT(COUNTIF('商品マスタ'!$B$6:$B$1005,$W4031)=0),COUNTIFS('①在庫を貼る'!$V$6:$V$10005,$V4031,'①在庫を貼る'!$W$6:$W$10005,$W4031)&gt;0),N(U4030),N(U4030)+1))</f>
        <v/>
      </c>
      <c r="V4031" s="19">
        <f>IF($B4031="","",TEXT($B4031,"0000"))</f>
        <v/>
      </c>
      <c r="W4031" s="19">
        <f>IF($I4031="","",IF(ISNUMBER($I4031),TEXT($I4031,"0"),$I4031))</f>
        <v/>
      </c>
    </row>
    <row r="4032">
      <c r="B4032" s="25" t="n"/>
      <c r="I4032" s="25" t="n"/>
      <c r="U4032" s="19">
        <f>IF($V4032&lt;&gt;'設定'!$C$4,N(U4031),IF(OR(NOT(COUNTIF('商品マスタ'!$B$6:$B$1005,$W4032)=0),COUNTIFS('①在庫を貼る'!$V$6:$V$10005,$V4032,'①在庫を貼る'!$W$6:$W$10005,$W4032)&gt;0),N(U4031),N(U4031)+1))</f>
        <v/>
      </c>
      <c r="V4032" s="19">
        <f>IF($B4032="","",TEXT($B4032,"0000"))</f>
        <v/>
      </c>
      <c r="W4032" s="19">
        <f>IF($I4032="","",IF(ISNUMBER($I4032),TEXT($I4032,"0"),$I4032))</f>
        <v/>
      </c>
    </row>
    <row r="4033">
      <c r="B4033" s="25" t="n"/>
      <c r="I4033" s="25" t="n"/>
      <c r="U4033" s="19">
        <f>IF($V4033&lt;&gt;'設定'!$C$4,N(U4032),IF(OR(NOT(COUNTIF('商品マスタ'!$B$6:$B$1005,$W4033)=0),COUNTIFS('①在庫を貼る'!$V$6:$V$10005,$V4033,'①在庫を貼る'!$W$6:$W$10005,$W4033)&gt;0),N(U4032),N(U4032)+1))</f>
        <v/>
      </c>
      <c r="V4033" s="19">
        <f>IF($B4033="","",TEXT($B4033,"0000"))</f>
        <v/>
      </c>
      <c r="W4033" s="19">
        <f>IF($I4033="","",IF(ISNUMBER($I4033),TEXT($I4033,"0"),$I4033))</f>
        <v/>
      </c>
    </row>
    <row r="4034">
      <c r="B4034" s="25" t="n"/>
      <c r="I4034" s="25" t="n"/>
      <c r="U4034" s="19">
        <f>IF($V4034&lt;&gt;'設定'!$C$4,N(U4033),IF(OR(NOT(COUNTIF('商品マスタ'!$B$6:$B$1005,$W4034)=0),COUNTIFS('①在庫を貼る'!$V$6:$V$10005,$V4034,'①在庫を貼る'!$W$6:$W$10005,$W4034)&gt;0),N(U4033),N(U4033)+1))</f>
        <v/>
      </c>
      <c r="V4034" s="19">
        <f>IF($B4034="","",TEXT($B4034,"0000"))</f>
        <v/>
      </c>
      <c r="W4034" s="19">
        <f>IF($I4034="","",IF(ISNUMBER($I4034),TEXT($I4034,"0"),$I4034))</f>
        <v/>
      </c>
    </row>
    <row r="4035">
      <c r="B4035" s="25" t="n"/>
      <c r="I4035" s="25" t="n"/>
      <c r="U4035" s="19">
        <f>IF($V4035&lt;&gt;'設定'!$C$4,N(U4034),IF(OR(NOT(COUNTIF('商品マスタ'!$B$6:$B$1005,$W4035)=0),COUNTIFS('①在庫を貼る'!$V$6:$V$10005,$V4035,'①在庫を貼る'!$W$6:$W$10005,$W4035)&gt;0),N(U4034),N(U4034)+1))</f>
        <v/>
      </c>
      <c r="V4035" s="19">
        <f>IF($B4035="","",TEXT($B4035,"0000"))</f>
        <v/>
      </c>
      <c r="W4035" s="19">
        <f>IF($I4035="","",IF(ISNUMBER($I4035),TEXT($I4035,"0"),$I4035))</f>
        <v/>
      </c>
    </row>
    <row r="4036">
      <c r="B4036" s="25" t="n"/>
      <c r="I4036" s="25" t="n"/>
      <c r="U4036" s="19">
        <f>IF($V4036&lt;&gt;'設定'!$C$4,N(U4035),IF(OR(NOT(COUNTIF('商品マスタ'!$B$6:$B$1005,$W4036)=0),COUNTIFS('①在庫を貼る'!$V$6:$V$10005,$V4036,'①在庫を貼る'!$W$6:$W$10005,$W4036)&gt;0),N(U4035),N(U4035)+1))</f>
        <v/>
      </c>
      <c r="V4036" s="19">
        <f>IF($B4036="","",TEXT($B4036,"0000"))</f>
        <v/>
      </c>
      <c r="W4036" s="19">
        <f>IF($I4036="","",IF(ISNUMBER($I4036),TEXT($I4036,"0"),$I4036))</f>
        <v/>
      </c>
    </row>
    <row r="4037">
      <c r="B4037" s="25" t="n"/>
      <c r="I4037" s="25" t="n"/>
      <c r="U4037" s="19">
        <f>IF($V4037&lt;&gt;'設定'!$C$4,N(U4036),IF(OR(NOT(COUNTIF('商品マスタ'!$B$6:$B$1005,$W4037)=0),COUNTIFS('①在庫を貼る'!$V$6:$V$10005,$V4037,'①在庫を貼る'!$W$6:$W$10005,$W4037)&gt;0),N(U4036),N(U4036)+1))</f>
        <v/>
      </c>
      <c r="V4037" s="19">
        <f>IF($B4037="","",TEXT($B4037,"0000"))</f>
        <v/>
      </c>
      <c r="W4037" s="19">
        <f>IF($I4037="","",IF(ISNUMBER($I4037),TEXT($I4037,"0"),$I4037))</f>
        <v/>
      </c>
    </row>
    <row r="4038">
      <c r="B4038" s="25" t="n"/>
      <c r="I4038" s="25" t="n"/>
      <c r="U4038" s="19">
        <f>IF($V4038&lt;&gt;'設定'!$C$4,N(U4037),IF(OR(NOT(COUNTIF('商品マスタ'!$B$6:$B$1005,$W4038)=0),COUNTIFS('①在庫を貼る'!$V$6:$V$10005,$V4038,'①在庫を貼る'!$W$6:$W$10005,$W4038)&gt;0),N(U4037),N(U4037)+1))</f>
        <v/>
      </c>
      <c r="V4038" s="19">
        <f>IF($B4038="","",TEXT($B4038,"0000"))</f>
        <v/>
      </c>
      <c r="W4038" s="19">
        <f>IF($I4038="","",IF(ISNUMBER($I4038),TEXT($I4038,"0"),$I4038))</f>
        <v/>
      </c>
    </row>
    <row r="4039">
      <c r="B4039" s="25" t="n"/>
      <c r="I4039" s="25" t="n"/>
      <c r="U4039" s="19">
        <f>IF($V4039&lt;&gt;'設定'!$C$4,N(U4038),IF(OR(NOT(COUNTIF('商品マスタ'!$B$6:$B$1005,$W4039)=0),COUNTIFS('①在庫を貼る'!$V$6:$V$10005,$V4039,'①在庫を貼る'!$W$6:$W$10005,$W4039)&gt;0),N(U4038),N(U4038)+1))</f>
        <v/>
      </c>
      <c r="V4039" s="19">
        <f>IF($B4039="","",TEXT($B4039,"0000"))</f>
        <v/>
      </c>
      <c r="W4039" s="19">
        <f>IF($I4039="","",IF(ISNUMBER($I4039),TEXT($I4039,"0"),$I4039))</f>
        <v/>
      </c>
    </row>
    <row r="4040">
      <c r="B4040" s="25" t="n"/>
      <c r="I4040" s="25" t="n"/>
      <c r="U4040" s="19">
        <f>IF($V4040&lt;&gt;'設定'!$C$4,N(U4039),IF(OR(NOT(COUNTIF('商品マスタ'!$B$6:$B$1005,$W4040)=0),COUNTIFS('①在庫を貼る'!$V$6:$V$10005,$V4040,'①在庫を貼る'!$W$6:$W$10005,$W4040)&gt;0),N(U4039),N(U4039)+1))</f>
        <v/>
      </c>
      <c r="V4040" s="19">
        <f>IF($B4040="","",TEXT($B4040,"0000"))</f>
        <v/>
      </c>
      <c r="W4040" s="19">
        <f>IF($I4040="","",IF(ISNUMBER($I4040),TEXT($I4040,"0"),$I4040))</f>
        <v/>
      </c>
    </row>
    <row r="4041">
      <c r="B4041" s="25" t="n"/>
      <c r="I4041" s="25" t="n"/>
      <c r="U4041" s="19">
        <f>IF($V4041&lt;&gt;'設定'!$C$4,N(U4040),IF(OR(NOT(COUNTIF('商品マスタ'!$B$6:$B$1005,$W4041)=0),COUNTIFS('①在庫を貼る'!$V$6:$V$10005,$V4041,'①在庫を貼る'!$W$6:$W$10005,$W4041)&gt;0),N(U4040),N(U4040)+1))</f>
        <v/>
      </c>
      <c r="V4041" s="19">
        <f>IF($B4041="","",TEXT($B4041,"0000"))</f>
        <v/>
      </c>
      <c r="W4041" s="19">
        <f>IF($I4041="","",IF(ISNUMBER($I4041),TEXT($I4041,"0"),$I4041))</f>
        <v/>
      </c>
    </row>
    <row r="4042">
      <c r="B4042" s="25" t="n"/>
      <c r="I4042" s="25" t="n"/>
      <c r="U4042" s="19">
        <f>IF($V4042&lt;&gt;'設定'!$C$4,N(U4041),IF(OR(NOT(COUNTIF('商品マスタ'!$B$6:$B$1005,$W4042)=0),COUNTIFS('①在庫を貼る'!$V$6:$V$10005,$V4042,'①在庫を貼る'!$W$6:$W$10005,$W4042)&gt;0),N(U4041),N(U4041)+1))</f>
        <v/>
      </c>
      <c r="V4042" s="19">
        <f>IF($B4042="","",TEXT($B4042,"0000"))</f>
        <v/>
      </c>
      <c r="W4042" s="19">
        <f>IF($I4042="","",IF(ISNUMBER($I4042),TEXT($I4042,"0"),$I4042))</f>
        <v/>
      </c>
    </row>
    <row r="4043">
      <c r="B4043" s="25" t="n"/>
      <c r="I4043" s="25" t="n"/>
      <c r="U4043" s="19">
        <f>IF($V4043&lt;&gt;'設定'!$C$4,N(U4042),IF(OR(NOT(COUNTIF('商品マスタ'!$B$6:$B$1005,$W4043)=0),COUNTIFS('①在庫を貼る'!$V$6:$V$10005,$V4043,'①在庫を貼る'!$W$6:$W$10005,$W4043)&gt;0),N(U4042),N(U4042)+1))</f>
        <v/>
      </c>
      <c r="V4043" s="19">
        <f>IF($B4043="","",TEXT($B4043,"0000"))</f>
        <v/>
      </c>
      <c r="W4043" s="19">
        <f>IF($I4043="","",IF(ISNUMBER($I4043),TEXT($I4043,"0"),$I4043))</f>
        <v/>
      </c>
    </row>
    <row r="4044">
      <c r="B4044" s="25" t="n"/>
      <c r="I4044" s="25" t="n"/>
      <c r="U4044" s="19">
        <f>IF($V4044&lt;&gt;'設定'!$C$4,N(U4043),IF(OR(NOT(COUNTIF('商品マスタ'!$B$6:$B$1005,$W4044)=0),COUNTIFS('①在庫を貼る'!$V$6:$V$10005,$V4044,'①在庫を貼る'!$W$6:$W$10005,$W4044)&gt;0),N(U4043),N(U4043)+1))</f>
        <v/>
      </c>
      <c r="V4044" s="19">
        <f>IF($B4044="","",TEXT($B4044,"0000"))</f>
        <v/>
      </c>
      <c r="W4044" s="19">
        <f>IF($I4044="","",IF(ISNUMBER($I4044),TEXT($I4044,"0"),$I4044))</f>
        <v/>
      </c>
    </row>
    <row r="4045">
      <c r="B4045" s="25" t="n"/>
      <c r="I4045" s="25" t="n"/>
      <c r="U4045" s="19">
        <f>IF($V4045&lt;&gt;'設定'!$C$4,N(U4044),IF(OR(NOT(COUNTIF('商品マスタ'!$B$6:$B$1005,$W4045)=0),COUNTIFS('①在庫を貼る'!$V$6:$V$10005,$V4045,'①在庫を貼る'!$W$6:$W$10005,$W4045)&gt;0),N(U4044),N(U4044)+1))</f>
        <v/>
      </c>
      <c r="V4045" s="19">
        <f>IF($B4045="","",TEXT($B4045,"0000"))</f>
        <v/>
      </c>
      <c r="W4045" s="19">
        <f>IF($I4045="","",IF(ISNUMBER($I4045),TEXT($I4045,"0"),$I4045))</f>
        <v/>
      </c>
    </row>
    <row r="4046">
      <c r="B4046" s="25" t="n"/>
      <c r="I4046" s="25" t="n"/>
      <c r="U4046" s="19">
        <f>IF($V4046&lt;&gt;'設定'!$C$4,N(U4045),IF(OR(NOT(COUNTIF('商品マスタ'!$B$6:$B$1005,$W4046)=0),COUNTIFS('①在庫を貼る'!$V$6:$V$10005,$V4046,'①在庫を貼る'!$W$6:$W$10005,$W4046)&gt;0),N(U4045),N(U4045)+1))</f>
        <v/>
      </c>
      <c r="V4046" s="19">
        <f>IF($B4046="","",TEXT($B4046,"0000"))</f>
        <v/>
      </c>
      <c r="W4046" s="19">
        <f>IF($I4046="","",IF(ISNUMBER($I4046),TEXT($I4046,"0"),$I4046))</f>
        <v/>
      </c>
    </row>
    <row r="4047">
      <c r="B4047" s="25" t="n"/>
      <c r="I4047" s="25" t="n"/>
      <c r="U4047" s="19">
        <f>IF($V4047&lt;&gt;'設定'!$C$4,N(U4046),IF(OR(NOT(COUNTIF('商品マスタ'!$B$6:$B$1005,$W4047)=0),COUNTIFS('①在庫を貼る'!$V$6:$V$10005,$V4047,'①在庫を貼る'!$W$6:$W$10005,$W4047)&gt;0),N(U4046),N(U4046)+1))</f>
        <v/>
      </c>
      <c r="V4047" s="19">
        <f>IF($B4047="","",TEXT($B4047,"0000"))</f>
        <v/>
      </c>
      <c r="W4047" s="19">
        <f>IF($I4047="","",IF(ISNUMBER($I4047),TEXT($I4047,"0"),$I4047))</f>
        <v/>
      </c>
    </row>
    <row r="4048">
      <c r="B4048" s="25" t="n"/>
      <c r="I4048" s="25" t="n"/>
      <c r="U4048" s="19">
        <f>IF($V4048&lt;&gt;'設定'!$C$4,N(U4047),IF(OR(NOT(COUNTIF('商品マスタ'!$B$6:$B$1005,$W4048)=0),COUNTIFS('①在庫を貼る'!$V$6:$V$10005,$V4048,'①在庫を貼る'!$W$6:$W$10005,$W4048)&gt;0),N(U4047),N(U4047)+1))</f>
        <v/>
      </c>
      <c r="V4048" s="19">
        <f>IF($B4048="","",TEXT($B4048,"0000"))</f>
        <v/>
      </c>
      <c r="W4048" s="19">
        <f>IF($I4048="","",IF(ISNUMBER($I4048),TEXT($I4048,"0"),$I4048))</f>
        <v/>
      </c>
    </row>
    <row r="4049">
      <c r="B4049" s="25" t="n"/>
      <c r="I4049" s="25" t="n"/>
      <c r="U4049" s="19">
        <f>IF($V4049&lt;&gt;'設定'!$C$4,N(U4048),IF(OR(NOT(COUNTIF('商品マスタ'!$B$6:$B$1005,$W4049)=0),COUNTIFS('①在庫を貼る'!$V$6:$V$10005,$V4049,'①在庫を貼る'!$W$6:$W$10005,$W4049)&gt;0),N(U4048),N(U4048)+1))</f>
        <v/>
      </c>
      <c r="V4049" s="19">
        <f>IF($B4049="","",TEXT($B4049,"0000"))</f>
        <v/>
      </c>
      <c r="W4049" s="19">
        <f>IF($I4049="","",IF(ISNUMBER($I4049),TEXT($I4049,"0"),$I4049))</f>
        <v/>
      </c>
    </row>
    <row r="4050">
      <c r="B4050" s="25" t="n"/>
      <c r="I4050" s="25" t="n"/>
      <c r="U4050" s="19">
        <f>IF($V4050&lt;&gt;'設定'!$C$4,N(U4049),IF(OR(NOT(COUNTIF('商品マスタ'!$B$6:$B$1005,$W4050)=0),COUNTIFS('①在庫を貼る'!$V$6:$V$10005,$V4050,'①在庫を貼る'!$W$6:$W$10005,$W4050)&gt;0),N(U4049),N(U4049)+1))</f>
        <v/>
      </c>
      <c r="V4050" s="19">
        <f>IF($B4050="","",TEXT($B4050,"0000"))</f>
        <v/>
      </c>
      <c r="W4050" s="19">
        <f>IF($I4050="","",IF(ISNUMBER($I4050),TEXT($I4050,"0"),$I4050))</f>
        <v/>
      </c>
    </row>
    <row r="4051">
      <c r="B4051" s="25" t="n"/>
      <c r="I4051" s="25" t="n"/>
      <c r="U4051" s="19">
        <f>IF($V4051&lt;&gt;'設定'!$C$4,N(U4050),IF(OR(NOT(COUNTIF('商品マスタ'!$B$6:$B$1005,$W4051)=0),COUNTIFS('①在庫を貼る'!$V$6:$V$10005,$V4051,'①在庫を貼る'!$W$6:$W$10005,$W4051)&gt;0),N(U4050),N(U4050)+1))</f>
        <v/>
      </c>
      <c r="V4051" s="19">
        <f>IF($B4051="","",TEXT($B4051,"0000"))</f>
        <v/>
      </c>
      <c r="W4051" s="19">
        <f>IF($I4051="","",IF(ISNUMBER($I4051),TEXT($I4051,"0"),$I4051))</f>
        <v/>
      </c>
    </row>
    <row r="4052">
      <c r="B4052" s="25" t="n"/>
      <c r="I4052" s="25" t="n"/>
      <c r="U4052" s="19">
        <f>IF($V4052&lt;&gt;'設定'!$C$4,N(U4051),IF(OR(NOT(COUNTIF('商品マスタ'!$B$6:$B$1005,$W4052)=0),COUNTIFS('①在庫を貼る'!$V$6:$V$10005,$V4052,'①在庫を貼る'!$W$6:$W$10005,$W4052)&gt;0),N(U4051),N(U4051)+1))</f>
        <v/>
      </c>
      <c r="V4052" s="19">
        <f>IF($B4052="","",TEXT($B4052,"0000"))</f>
        <v/>
      </c>
      <c r="W4052" s="19">
        <f>IF($I4052="","",IF(ISNUMBER($I4052),TEXT($I4052,"0"),$I4052))</f>
        <v/>
      </c>
    </row>
    <row r="4053">
      <c r="B4053" s="25" t="n"/>
      <c r="I4053" s="25" t="n"/>
      <c r="U4053" s="19">
        <f>IF($V4053&lt;&gt;'設定'!$C$4,N(U4052),IF(OR(NOT(COUNTIF('商品マスタ'!$B$6:$B$1005,$W4053)=0),COUNTIFS('①在庫を貼る'!$V$6:$V$10005,$V4053,'①在庫を貼る'!$W$6:$W$10005,$W4053)&gt;0),N(U4052),N(U4052)+1))</f>
        <v/>
      </c>
      <c r="V4053" s="19">
        <f>IF($B4053="","",TEXT($B4053,"0000"))</f>
        <v/>
      </c>
      <c r="W4053" s="19">
        <f>IF($I4053="","",IF(ISNUMBER($I4053),TEXT($I4053,"0"),$I4053))</f>
        <v/>
      </c>
    </row>
    <row r="4054">
      <c r="B4054" s="25" t="n"/>
      <c r="I4054" s="25" t="n"/>
      <c r="U4054" s="19">
        <f>IF($V4054&lt;&gt;'設定'!$C$4,N(U4053),IF(OR(NOT(COUNTIF('商品マスタ'!$B$6:$B$1005,$W4054)=0),COUNTIFS('①在庫を貼る'!$V$6:$V$10005,$V4054,'①在庫を貼る'!$W$6:$W$10005,$W4054)&gt;0),N(U4053),N(U4053)+1))</f>
        <v/>
      </c>
      <c r="V4054" s="19">
        <f>IF($B4054="","",TEXT($B4054,"0000"))</f>
        <v/>
      </c>
      <c r="W4054" s="19">
        <f>IF($I4054="","",IF(ISNUMBER($I4054),TEXT($I4054,"0"),$I4054))</f>
        <v/>
      </c>
    </row>
    <row r="4055">
      <c r="B4055" s="25" t="n"/>
      <c r="I4055" s="25" t="n"/>
      <c r="U4055" s="19">
        <f>IF($V4055&lt;&gt;'設定'!$C$4,N(U4054),IF(OR(NOT(COUNTIF('商品マスタ'!$B$6:$B$1005,$W4055)=0),COUNTIFS('①在庫を貼る'!$V$6:$V$10005,$V4055,'①在庫を貼る'!$W$6:$W$10005,$W4055)&gt;0),N(U4054),N(U4054)+1))</f>
        <v/>
      </c>
      <c r="V4055" s="19">
        <f>IF($B4055="","",TEXT($B4055,"0000"))</f>
        <v/>
      </c>
      <c r="W4055" s="19">
        <f>IF($I4055="","",IF(ISNUMBER($I4055),TEXT($I4055,"0"),$I4055))</f>
        <v/>
      </c>
    </row>
    <row r="4056">
      <c r="B4056" s="25" t="n"/>
      <c r="I4056" s="25" t="n"/>
      <c r="U4056" s="19">
        <f>IF($V4056&lt;&gt;'設定'!$C$4,N(U4055),IF(OR(NOT(COUNTIF('商品マスタ'!$B$6:$B$1005,$W4056)=0),COUNTIFS('①在庫を貼る'!$V$6:$V$10005,$V4056,'①在庫を貼る'!$W$6:$W$10005,$W4056)&gt;0),N(U4055),N(U4055)+1))</f>
        <v/>
      </c>
      <c r="V4056" s="19">
        <f>IF($B4056="","",TEXT($B4056,"0000"))</f>
        <v/>
      </c>
      <c r="W4056" s="19">
        <f>IF($I4056="","",IF(ISNUMBER($I4056),TEXT($I4056,"0"),$I4056))</f>
        <v/>
      </c>
    </row>
    <row r="4057">
      <c r="B4057" s="25" t="n"/>
      <c r="I4057" s="25" t="n"/>
      <c r="U4057" s="19">
        <f>IF($V4057&lt;&gt;'設定'!$C$4,N(U4056),IF(OR(NOT(COUNTIF('商品マスタ'!$B$6:$B$1005,$W4057)=0),COUNTIFS('①在庫を貼る'!$V$6:$V$10005,$V4057,'①在庫を貼る'!$W$6:$W$10005,$W4057)&gt;0),N(U4056),N(U4056)+1))</f>
        <v/>
      </c>
      <c r="V4057" s="19">
        <f>IF($B4057="","",TEXT($B4057,"0000"))</f>
        <v/>
      </c>
      <c r="W4057" s="19">
        <f>IF($I4057="","",IF(ISNUMBER($I4057),TEXT($I4057,"0"),$I4057))</f>
        <v/>
      </c>
    </row>
    <row r="4058">
      <c r="B4058" s="25" t="n"/>
      <c r="I4058" s="25" t="n"/>
      <c r="U4058" s="19">
        <f>IF($V4058&lt;&gt;'設定'!$C$4,N(U4057),IF(OR(NOT(COUNTIF('商品マスタ'!$B$6:$B$1005,$W4058)=0),COUNTIFS('①在庫を貼る'!$V$6:$V$10005,$V4058,'①在庫を貼る'!$W$6:$W$10005,$W4058)&gt;0),N(U4057),N(U4057)+1))</f>
        <v/>
      </c>
      <c r="V4058" s="19">
        <f>IF($B4058="","",TEXT($B4058,"0000"))</f>
        <v/>
      </c>
      <c r="W4058" s="19">
        <f>IF($I4058="","",IF(ISNUMBER($I4058),TEXT($I4058,"0"),$I4058))</f>
        <v/>
      </c>
    </row>
    <row r="4059">
      <c r="B4059" s="25" t="n"/>
      <c r="I4059" s="25" t="n"/>
      <c r="U4059" s="19">
        <f>IF($V4059&lt;&gt;'設定'!$C$4,N(U4058),IF(OR(NOT(COUNTIF('商品マスタ'!$B$6:$B$1005,$W4059)=0),COUNTIFS('①在庫を貼る'!$V$6:$V$10005,$V4059,'①在庫を貼る'!$W$6:$W$10005,$W4059)&gt;0),N(U4058),N(U4058)+1))</f>
        <v/>
      </c>
      <c r="V4059" s="19">
        <f>IF($B4059="","",TEXT($B4059,"0000"))</f>
        <v/>
      </c>
      <c r="W4059" s="19">
        <f>IF($I4059="","",IF(ISNUMBER($I4059),TEXT($I4059,"0"),$I4059))</f>
        <v/>
      </c>
    </row>
    <row r="4060">
      <c r="B4060" s="25" t="n"/>
      <c r="I4060" s="25" t="n"/>
      <c r="U4060" s="19">
        <f>IF($V4060&lt;&gt;'設定'!$C$4,N(U4059),IF(OR(NOT(COUNTIF('商品マスタ'!$B$6:$B$1005,$W4060)=0),COUNTIFS('①在庫を貼る'!$V$6:$V$10005,$V4060,'①在庫を貼る'!$W$6:$W$10005,$W4060)&gt;0),N(U4059),N(U4059)+1))</f>
        <v/>
      </c>
      <c r="V4060" s="19">
        <f>IF($B4060="","",TEXT($B4060,"0000"))</f>
        <v/>
      </c>
      <c r="W4060" s="19">
        <f>IF($I4060="","",IF(ISNUMBER($I4060),TEXT($I4060,"0"),$I4060))</f>
        <v/>
      </c>
    </row>
    <row r="4061">
      <c r="B4061" s="25" t="n"/>
      <c r="I4061" s="25" t="n"/>
      <c r="U4061" s="19">
        <f>IF($V4061&lt;&gt;'設定'!$C$4,N(U4060),IF(OR(NOT(COUNTIF('商品マスタ'!$B$6:$B$1005,$W4061)=0),COUNTIFS('①在庫を貼る'!$V$6:$V$10005,$V4061,'①在庫を貼る'!$W$6:$W$10005,$W4061)&gt;0),N(U4060),N(U4060)+1))</f>
        <v/>
      </c>
      <c r="V4061" s="19">
        <f>IF($B4061="","",TEXT($B4061,"0000"))</f>
        <v/>
      </c>
      <c r="W4061" s="19">
        <f>IF($I4061="","",IF(ISNUMBER($I4061),TEXT($I4061,"0"),$I4061))</f>
        <v/>
      </c>
    </row>
    <row r="4062">
      <c r="B4062" s="25" t="n"/>
      <c r="I4062" s="25" t="n"/>
      <c r="U4062" s="19">
        <f>IF($V4062&lt;&gt;'設定'!$C$4,N(U4061),IF(OR(NOT(COUNTIF('商品マスタ'!$B$6:$B$1005,$W4062)=0),COUNTIFS('①在庫を貼る'!$V$6:$V$10005,$V4062,'①在庫を貼る'!$W$6:$W$10005,$W4062)&gt;0),N(U4061),N(U4061)+1))</f>
        <v/>
      </c>
      <c r="V4062" s="19">
        <f>IF($B4062="","",TEXT($B4062,"0000"))</f>
        <v/>
      </c>
      <c r="W4062" s="19">
        <f>IF($I4062="","",IF(ISNUMBER($I4062),TEXT($I4062,"0"),$I4062))</f>
        <v/>
      </c>
    </row>
    <row r="4063">
      <c r="B4063" s="25" t="n"/>
      <c r="I4063" s="25" t="n"/>
      <c r="U4063" s="19">
        <f>IF($V4063&lt;&gt;'設定'!$C$4,N(U4062),IF(OR(NOT(COUNTIF('商品マスタ'!$B$6:$B$1005,$W4063)=0),COUNTIFS('①在庫を貼る'!$V$6:$V$10005,$V4063,'①在庫を貼る'!$W$6:$W$10005,$W4063)&gt;0),N(U4062),N(U4062)+1))</f>
        <v/>
      </c>
      <c r="V4063" s="19">
        <f>IF($B4063="","",TEXT($B4063,"0000"))</f>
        <v/>
      </c>
      <c r="W4063" s="19">
        <f>IF($I4063="","",IF(ISNUMBER($I4063),TEXT($I4063,"0"),$I4063))</f>
        <v/>
      </c>
    </row>
    <row r="4064">
      <c r="B4064" s="25" t="n"/>
      <c r="I4064" s="25" t="n"/>
      <c r="U4064" s="19">
        <f>IF($V4064&lt;&gt;'設定'!$C$4,N(U4063),IF(OR(NOT(COUNTIF('商品マスタ'!$B$6:$B$1005,$W4064)=0),COUNTIFS('①在庫を貼る'!$V$6:$V$10005,$V4064,'①在庫を貼る'!$W$6:$W$10005,$W4064)&gt;0),N(U4063),N(U4063)+1))</f>
        <v/>
      </c>
      <c r="V4064" s="19">
        <f>IF($B4064="","",TEXT($B4064,"0000"))</f>
        <v/>
      </c>
      <c r="W4064" s="19">
        <f>IF($I4064="","",IF(ISNUMBER($I4064),TEXT($I4064,"0"),$I4064))</f>
        <v/>
      </c>
    </row>
    <row r="4065">
      <c r="B4065" s="25" t="n"/>
      <c r="I4065" s="25" t="n"/>
      <c r="U4065" s="19">
        <f>IF($V4065&lt;&gt;'設定'!$C$4,N(U4064),IF(OR(NOT(COUNTIF('商品マスタ'!$B$6:$B$1005,$W4065)=0),COUNTIFS('①在庫を貼る'!$V$6:$V$10005,$V4065,'①在庫を貼る'!$W$6:$W$10005,$W4065)&gt;0),N(U4064),N(U4064)+1))</f>
        <v/>
      </c>
      <c r="V4065" s="19">
        <f>IF($B4065="","",TEXT($B4065,"0000"))</f>
        <v/>
      </c>
      <c r="W4065" s="19">
        <f>IF($I4065="","",IF(ISNUMBER($I4065),TEXT($I4065,"0"),$I4065))</f>
        <v/>
      </c>
    </row>
    <row r="4066">
      <c r="B4066" s="25" t="n"/>
      <c r="I4066" s="25" t="n"/>
      <c r="U4066" s="19">
        <f>IF($V4066&lt;&gt;'設定'!$C$4,N(U4065),IF(OR(NOT(COUNTIF('商品マスタ'!$B$6:$B$1005,$W4066)=0),COUNTIFS('①在庫を貼る'!$V$6:$V$10005,$V4066,'①在庫を貼る'!$W$6:$W$10005,$W4066)&gt;0),N(U4065),N(U4065)+1))</f>
        <v/>
      </c>
      <c r="V4066" s="19">
        <f>IF($B4066="","",TEXT($B4066,"0000"))</f>
        <v/>
      </c>
      <c r="W4066" s="19">
        <f>IF($I4066="","",IF(ISNUMBER($I4066),TEXT($I4066,"0"),$I4066))</f>
        <v/>
      </c>
    </row>
    <row r="4067">
      <c r="B4067" s="25" t="n"/>
      <c r="I4067" s="25" t="n"/>
      <c r="U4067" s="19">
        <f>IF($V4067&lt;&gt;'設定'!$C$4,N(U4066),IF(OR(NOT(COUNTIF('商品マスタ'!$B$6:$B$1005,$W4067)=0),COUNTIFS('①在庫を貼る'!$V$6:$V$10005,$V4067,'①在庫を貼る'!$W$6:$W$10005,$W4067)&gt;0),N(U4066),N(U4066)+1))</f>
        <v/>
      </c>
      <c r="V4067" s="19">
        <f>IF($B4067="","",TEXT($B4067,"0000"))</f>
        <v/>
      </c>
      <c r="W4067" s="19">
        <f>IF($I4067="","",IF(ISNUMBER($I4067),TEXT($I4067,"0"),$I4067))</f>
        <v/>
      </c>
    </row>
    <row r="4068">
      <c r="B4068" s="25" t="n"/>
      <c r="I4068" s="25" t="n"/>
      <c r="U4068" s="19">
        <f>IF($V4068&lt;&gt;'設定'!$C$4,N(U4067),IF(OR(NOT(COUNTIF('商品マスタ'!$B$6:$B$1005,$W4068)=0),COUNTIFS('①在庫を貼る'!$V$6:$V$10005,$V4068,'①在庫を貼る'!$W$6:$W$10005,$W4068)&gt;0),N(U4067),N(U4067)+1))</f>
        <v/>
      </c>
      <c r="V4068" s="19">
        <f>IF($B4068="","",TEXT($B4068,"0000"))</f>
        <v/>
      </c>
      <c r="W4068" s="19">
        <f>IF($I4068="","",IF(ISNUMBER($I4068),TEXT($I4068,"0"),$I4068))</f>
        <v/>
      </c>
    </row>
    <row r="4069">
      <c r="B4069" s="25" t="n"/>
      <c r="I4069" s="25" t="n"/>
      <c r="U4069" s="19">
        <f>IF($V4069&lt;&gt;'設定'!$C$4,N(U4068),IF(OR(NOT(COUNTIF('商品マスタ'!$B$6:$B$1005,$W4069)=0),COUNTIFS('①在庫を貼る'!$V$6:$V$10005,$V4069,'①在庫を貼る'!$W$6:$W$10005,$W4069)&gt;0),N(U4068),N(U4068)+1))</f>
        <v/>
      </c>
      <c r="V4069" s="19">
        <f>IF($B4069="","",TEXT($B4069,"0000"))</f>
        <v/>
      </c>
      <c r="W4069" s="19">
        <f>IF($I4069="","",IF(ISNUMBER($I4069),TEXT($I4069,"0"),$I4069))</f>
        <v/>
      </c>
    </row>
    <row r="4070">
      <c r="B4070" s="25" t="n"/>
      <c r="I4070" s="25" t="n"/>
      <c r="U4070" s="19">
        <f>IF($V4070&lt;&gt;'設定'!$C$4,N(U4069),IF(OR(NOT(COUNTIF('商品マスタ'!$B$6:$B$1005,$W4070)=0),COUNTIFS('①在庫を貼る'!$V$6:$V$10005,$V4070,'①在庫を貼る'!$W$6:$W$10005,$W4070)&gt;0),N(U4069),N(U4069)+1))</f>
        <v/>
      </c>
      <c r="V4070" s="19">
        <f>IF($B4070="","",TEXT($B4070,"0000"))</f>
        <v/>
      </c>
      <c r="W4070" s="19">
        <f>IF($I4070="","",IF(ISNUMBER($I4070),TEXT($I4070,"0"),$I4070))</f>
        <v/>
      </c>
    </row>
    <row r="4071">
      <c r="B4071" s="25" t="n"/>
      <c r="I4071" s="25" t="n"/>
      <c r="U4071" s="19">
        <f>IF($V4071&lt;&gt;'設定'!$C$4,N(U4070),IF(OR(NOT(COUNTIF('商品マスタ'!$B$6:$B$1005,$W4071)=0),COUNTIFS('①在庫を貼る'!$V$6:$V$10005,$V4071,'①在庫を貼る'!$W$6:$W$10005,$W4071)&gt;0),N(U4070),N(U4070)+1))</f>
        <v/>
      </c>
      <c r="V4071" s="19">
        <f>IF($B4071="","",TEXT($B4071,"0000"))</f>
        <v/>
      </c>
      <c r="W4071" s="19">
        <f>IF($I4071="","",IF(ISNUMBER($I4071),TEXT($I4071,"0"),$I4071))</f>
        <v/>
      </c>
    </row>
    <row r="4072">
      <c r="B4072" s="25" t="n"/>
      <c r="I4072" s="25" t="n"/>
      <c r="U4072" s="19">
        <f>IF($V4072&lt;&gt;'設定'!$C$4,N(U4071),IF(OR(NOT(COUNTIF('商品マスタ'!$B$6:$B$1005,$W4072)=0),COUNTIFS('①在庫を貼る'!$V$6:$V$10005,$V4072,'①在庫を貼る'!$W$6:$W$10005,$W4072)&gt;0),N(U4071),N(U4071)+1))</f>
        <v/>
      </c>
      <c r="V4072" s="19">
        <f>IF($B4072="","",TEXT($B4072,"0000"))</f>
        <v/>
      </c>
      <c r="W4072" s="19">
        <f>IF($I4072="","",IF(ISNUMBER($I4072),TEXT($I4072,"0"),$I4072))</f>
        <v/>
      </c>
    </row>
    <row r="4073">
      <c r="B4073" s="25" t="n"/>
      <c r="I4073" s="25" t="n"/>
      <c r="U4073" s="19">
        <f>IF($V4073&lt;&gt;'設定'!$C$4,N(U4072),IF(OR(NOT(COUNTIF('商品マスタ'!$B$6:$B$1005,$W4073)=0),COUNTIFS('①在庫を貼る'!$V$6:$V$10005,$V4073,'①在庫を貼る'!$W$6:$W$10005,$W4073)&gt;0),N(U4072),N(U4072)+1))</f>
        <v/>
      </c>
      <c r="V4073" s="19">
        <f>IF($B4073="","",TEXT($B4073,"0000"))</f>
        <v/>
      </c>
      <c r="W4073" s="19">
        <f>IF($I4073="","",IF(ISNUMBER($I4073),TEXT($I4073,"0"),$I4073))</f>
        <v/>
      </c>
    </row>
    <row r="4074">
      <c r="B4074" s="25" t="n"/>
      <c r="I4074" s="25" t="n"/>
      <c r="U4074" s="19">
        <f>IF($V4074&lt;&gt;'設定'!$C$4,N(U4073),IF(OR(NOT(COUNTIF('商品マスタ'!$B$6:$B$1005,$W4074)=0),COUNTIFS('①在庫を貼る'!$V$6:$V$10005,$V4074,'①在庫を貼る'!$W$6:$W$10005,$W4074)&gt;0),N(U4073),N(U4073)+1))</f>
        <v/>
      </c>
      <c r="V4074" s="19">
        <f>IF($B4074="","",TEXT($B4074,"0000"))</f>
        <v/>
      </c>
      <c r="W4074" s="19">
        <f>IF($I4074="","",IF(ISNUMBER($I4074),TEXT($I4074,"0"),$I4074))</f>
        <v/>
      </c>
    </row>
    <row r="4075">
      <c r="B4075" s="25" t="n"/>
      <c r="I4075" s="25" t="n"/>
      <c r="U4075" s="19">
        <f>IF($V4075&lt;&gt;'設定'!$C$4,N(U4074),IF(OR(NOT(COUNTIF('商品マスタ'!$B$6:$B$1005,$W4075)=0),COUNTIFS('①在庫を貼る'!$V$6:$V$10005,$V4075,'①在庫を貼る'!$W$6:$W$10005,$W4075)&gt;0),N(U4074),N(U4074)+1))</f>
        <v/>
      </c>
      <c r="V4075" s="19">
        <f>IF($B4075="","",TEXT($B4075,"0000"))</f>
        <v/>
      </c>
      <c r="W4075" s="19">
        <f>IF($I4075="","",IF(ISNUMBER($I4075),TEXT($I4075,"0"),$I4075))</f>
        <v/>
      </c>
    </row>
    <row r="4076">
      <c r="B4076" s="25" t="n"/>
      <c r="I4076" s="25" t="n"/>
      <c r="U4076" s="19">
        <f>IF($V4076&lt;&gt;'設定'!$C$4,N(U4075),IF(OR(NOT(COUNTIF('商品マスタ'!$B$6:$B$1005,$W4076)=0),COUNTIFS('①在庫を貼る'!$V$6:$V$10005,$V4076,'①在庫を貼る'!$W$6:$W$10005,$W4076)&gt;0),N(U4075),N(U4075)+1))</f>
        <v/>
      </c>
      <c r="V4076" s="19">
        <f>IF($B4076="","",TEXT($B4076,"0000"))</f>
        <v/>
      </c>
      <c r="W4076" s="19">
        <f>IF($I4076="","",IF(ISNUMBER($I4076),TEXT($I4076,"0"),$I4076))</f>
        <v/>
      </c>
    </row>
    <row r="4077">
      <c r="B4077" s="25" t="n"/>
      <c r="I4077" s="25" t="n"/>
      <c r="U4077" s="19">
        <f>IF($V4077&lt;&gt;'設定'!$C$4,N(U4076),IF(OR(NOT(COUNTIF('商品マスタ'!$B$6:$B$1005,$W4077)=0),COUNTIFS('①在庫を貼る'!$V$6:$V$10005,$V4077,'①在庫を貼る'!$W$6:$W$10005,$W4077)&gt;0),N(U4076),N(U4076)+1))</f>
        <v/>
      </c>
      <c r="V4077" s="19">
        <f>IF($B4077="","",TEXT($B4077,"0000"))</f>
        <v/>
      </c>
      <c r="W4077" s="19">
        <f>IF($I4077="","",IF(ISNUMBER($I4077),TEXT($I4077,"0"),$I4077))</f>
        <v/>
      </c>
    </row>
    <row r="4078">
      <c r="B4078" s="25" t="n"/>
      <c r="I4078" s="25" t="n"/>
      <c r="U4078" s="19">
        <f>IF($V4078&lt;&gt;'設定'!$C$4,N(U4077),IF(OR(NOT(COUNTIF('商品マスタ'!$B$6:$B$1005,$W4078)=0),COUNTIFS('①在庫を貼る'!$V$6:$V$10005,$V4078,'①在庫を貼る'!$W$6:$W$10005,$W4078)&gt;0),N(U4077),N(U4077)+1))</f>
        <v/>
      </c>
      <c r="V4078" s="19">
        <f>IF($B4078="","",TEXT($B4078,"0000"))</f>
        <v/>
      </c>
      <c r="W4078" s="19">
        <f>IF($I4078="","",IF(ISNUMBER($I4078),TEXT($I4078,"0"),$I4078))</f>
        <v/>
      </c>
    </row>
    <row r="4079">
      <c r="B4079" s="25" t="n"/>
      <c r="I4079" s="25" t="n"/>
      <c r="U4079" s="19">
        <f>IF($V4079&lt;&gt;'設定'!$C$4,N(U4078),IF(OR(NOT(COUNTIF('商品マスタ'!$B$6:$B$1005,$W4079)=0),COUNTIFS('①在庫を貼る'!$V$6:$V$10005,$V4079,'①在庫を貼る'!$W$6:$W$10005,$W4079)&gt;0),N(U4078),N(U4078)+1))</f>
        <v/>
      </c>
      <c r="V4079" s="19">
        <f>IF($B4079="","",TEXT($B4079,"0000"))</f>
        <v/>
      </c>
      <c r="W4079" s="19">
        <f>IF($I4079="","",IF(ISNUMBER($I4079),TEXT($I4079,"0"),$I4079))</f>
        <v/>
      </c>
    </row>
    <row r="4080">
      <c r="B4080" s="25" t="n"/>
      <c r="I4080" s="25" t="n"/>
      <c r="U4080" s="19">
        <f>IF($V4080&lt;&gt;'設定'!$C$4,N(U4079),IF(OR(NOT(COUNTIF('商品マスタ'!$B$6:$B$1005,$W4080)=0),COUNTIFS('①在庫を貼る'!$V$6:$V$10005,$V4080,'①在庫を貼る'!$W$6:$W$10005,$W4080)&gt;0),N(U4079),N(U4079)+1))</f>
        <v/>
      </c>
      <c r="V4080" s="19">
        <f>IF($B4080="","",TEXT($B4080,"0000"))</f>
        <v/>
      </c>
      <c r="W4080" s="19">
        <f>IF($I4080="","",IF(ISNUMBER($I4080),TEXT($I4080,"0"),$I4080))</f>
        <v/>
      </c>
    </row>
    <row r="4081">
      <c r="B4081" s="25" t="n"/>
      <c r="I4081" s="25" t="n"/>
      <c r="U4081" s="19">
        <f>IF($V4081&lt;&gt;'設定'!$C$4,N(U4080),IF(OR(NOT(COUNTIF('商品マスタ'!$B$6:$B$1005,$W4081)=0),COUNTIFS('①在庫を貼る'!$V$6:$V$10005,$V4081,'①在庫を貼る'!$W$6:$W$10005,$W4081)&gt;0),N(U4080),N(U4080)+1))</f>
        <v/>
      </c>
      <c r="V4081" s="19">
        <f>IF($B4081="","",TEXT($B4081,"0000"))</f>
        <v/>
      </c>
      <c r="W4081" s="19">
        <f>IF($I4081="","",IF(ISNUMBER($I4081),TEXT($I4081,"0"),$I4081))</f>
        <v/>
      </c>
    </row>
    <row r="4082">
      <c r="B4082" s="25" t="n"/>
      <c r="I4082" s="25" t="n"/>
      <c r="U4082" s="19">
        <f>IF($V4082&lt;&gt;'設定'!$C$4,N(U4081),IF(OR(NOT(COUNTIF('商品マスタ'!$B$6:$B$1005,$W4082)=0),COUNTIFS('①在庫を貼る'!$V$6:$V$10005,$V4082,'①在庫を貼る'!$W$6:$W$10005,$W4082)&gt;0),N(U4081),N(U4081)+1))</f>
        <v/>
      </c>
      <c r="V4082" s="19">
        <f>IF($B4082="","",TEXT($B4082,"0000"))</f>
        <v/>
      </c>
      <c r="W4082" s="19">
        <f>IF($I4082="","",IF(ISNUMBER($I4082),TEXT($I4082,"0"),$I4082))</f>
        <v/>
      </c>
    </row>
    <row r="4083">
      <c r="B4083" s="25" t="n"/>
      <c r="I4083" s="25" t="n"/>
      <c r="U4083" s="19">
        <f>IF($V4083&lt;&gt;'設定'!$C$4,N(U4082),IF(OR(NOT(COUNTIF('商品マスタ'!$B$6:$B$1005,$W4083)=0),COUNTIFS('①在庫を貼る'!$V$6:$V$10005,$V4083,'①在庫を貼る'!$W$6:$W$10005,$W4083)&gt;0),N(U4082),N(U4082)+1))</f>
        <v/>
      </c>
      <c r="V4083" s="19">
        <f>IF($B4083="","",TEXT($B4083,"0000"))</f>
        <v/>
      </c>
      <c r="W4083" s="19">
        <f>IF($I4083="","",IF(ISNUMBER($I4083),TEXT($I4083,"0"),$I4083))</f>
        <v/>
      </c>
    </row>
    <row r="4084">
      <c r="B4084" s="25" t="n"/>
      <c r="I4084" s="25" t="n"/>
      <c r="U4084" s="19">
        <f>IF($V4084&lt;&gt;'設定'!$C$4,N(U4083),IF(OR(NOT(COUNTIF('商品マスタ'!$B$6:$B$1005,$W4084)=0),COUNTIFS('①在庫を貼る'!$V$6:$V$10005,$V4084,'①在庫を貼る'!$W$6:$W$10005,$W4084)&gt;0),N(U4083),N(U4083)+1))</f>
        <v/>
      </c>
      <c r="V4084" s="19">
        <f>IF($B4084="","",TEXT($B4084,"0000"))</f>
        <v/>
      </c>
      <c r="W4084" s="19">
        <f>IF($I4084="","",IF(ISNUMBER($I4084),TEXT($I4084,"0"),$I4084))</f>
        <v/>
      </c>
    </row>
    <row r="4085">
      <c r="B4085" s="25" t="n"/>
      <c r="I4085" s="25" t="n"/>
      <c r="U4085" s="19">
        <f>IF($V4085&lt;&gt;'設定'!$C$4,N(U4084),IF(OR(NOT(COUNTIF('商品マスタ'!$B$6:$B$1005,$W4085)=0),COUNTIFS('①在庫を貼る'!$V$6:$V$10005,$V4085,'①在庫を貼る'!$W$6:$W$10005,$W4085)&gt;0),N(U4084),N(U4084)+1))</f>
        <v/>
      </c>
      <c r="V4085" s="19">
        <f>IF($B4085="","",TEXT($B4085,"0000"))</f>
        <v/>
      </c>
      <c r="W4085" s="19">
        <f>IF($I4085="","",IF(ISNUMBER($I4085),TEXT($I4085,"0"),$I4085))</f>
        <v/>
      </c>
    </row>
    <row r="4086">
      <c r="B4086" s="25" t="n"/>
      <c r="I4086" s="25" t="n"/>
      <c r="U4086" s="19">
        <f>IF($V4086&lt;&gt;'設定'!$C$4,N(U4085),IF(OR(NOT(COUNTIF('商品マスタ'!$B$6:$B$1005,$W4086)=0),COUNTIFS('①在庫を貼る'!$V$6:$V$10005,$V4086,'①在庫を貼る'!$W$6:$W$10005,$W4086)&gt;0),N(U4085),N(U4085)+1))</f>
        <v/>
      </c>
      <c r="V4086" s="19">
        <f>IF($B4086="","",TEXT($B4086,"0000"))</f>
        <v/>
      </c>
      <c r="W4086" s="19">
        <f>IF($I4086="","",IF(ISNUMBER($I4086),TEXT($I4086,"0"),$I4086))</f>
        <v/>
      </c>
    </row>
    <row r="4087">
      <c r="B4087" s="25" t="n"/>
      <c r="I4087" s="25" t="n"/>
      <c r="U4087" s="19">
        <f>IF($V4087&lt;&gt;'設定'!$C$4,N(U4086),IF(OR(NOT(COUNTIF('商品マスタ'!$B$6:$B$1005,$W4087)=0),COUNTIFS('①在庫を貼る'!$V$6:$V$10005,$V4087,'①在庫を貼る'!$W$6:$W$10005,$W4087)&gt;0),N(U4086),N(U4086)+1))</f>
        <v/>
      </c>
      <c r="V4087" s="19">
        <f>IF($B4087="","",TEXT($B4087,"0000"))</f>
        <v/>
      </c>
      <c r="W4087" s="19">
        <f>IF($I4087="","",IF(ISNUMBER($I4087),TEXT($I4087,"0"),$I4087))</f>
        <v/>
      </c>
    </row>
    <row r="4088">
      <c r="B4088" s="25" t="n"/>
      <c r="I4088" s="25" t="n"/>
      <c r="U4088" s="19">
        <f>IF($V4088&lt;&gt;'設定'!$C$4,N(U4087),IF(OR(NOT(COUNTIF('商品マスタ'!$B$6:$B$1005,$W4088)=0),COUNTIFS('①在庫を貼る'!$V$6:$V$10005,$V4088,'①在庫を貼る'!$W$6:$W$10005,$W4088)&gt;0),N(U4087),N(U4087)+1))</f>
        <v/>
      </c>
      <c r="V4088" s="19">
        <f>IF($B4088="","",TEXT($B4088,"0000"))</f>
        <v/>
      </c>
      <c r="W4088" s="19">
        <f>IF($I4088="","",IF(ISNUMBER($I4088),TEXT($I4088,"0"),$I4088))</f>
        <v/>
      </c>
    </row>
    <row r="4089">
      <c r="B4089" s="25" t="n"/>
      <c r="I4089" s="25" t="n"/>
      <c r="U4089" s="19">
        <f>IF($V4089&lt;&gt;'設定'!$C$4,N(U4088),IF(OR(NOT(COUNTIF('商品マスタ'!$B$6:$B$1005,$W4089)=0),COUNTIFS('①在庫を貼る'!$V$6:$V$10005,$V4089,'①在庫を貼る'!$W$6:$W$10005,$W4089)&gt;0),N(U4088),N(U4088)+1))</f>
        <v/>
      </c>
      <c r="V4089" s="19">
        <f>IF($B4089="","",TEXT($B4089,"0000"))</f>
        <v/>
      </c>
      <c r="W4089" s="19">
        <f>IF($I4089="","",IF(ISNUMBER($I4089),TEXT($I4089,"0"),$I4089))</f>
        <v/>
      </c>
    </row>
    <row r="4090">
      <c r="B4090" s="25" t="n"/>
      <c r="I4090" s="25" t="n"/>
      <c r="U4090" s="19">
        <f>IF($V4090&lt;&gt;'設定'!$C$4,N(U4089),IF(OR(NOT(COUNTIF('商品マスタ'!$B$6:$B$1005,$W4090)=0),COUNTIFS('①在庫を貼る'!$V$6:$V$10005,$V4090,'①在庫を貼る'!$W$6:$W$10005,$W4090)&gt;0),N(U4089),N(U4089)+1))</f>
        <v/>
      </c>
      <c r="V4090" s="19">
        <f>IF($B4090="","",TEXT($B4090,"0000"))</f>
        <v/>
      </c>
      <c r="W4090" s="19">
        <f>IF($I4090="","",IF(ISNUMBER($I4090),TEXT($I4090,"0"),$I4090))</f>
        <v/>
      </c>
    </row>
    <row r="4091">
      <c r="B4091" s="25" t="n"/>
      <c r="I4091" s="25" t="n"/>
      <c r="U4091" s="19">
        <f>IF($V4091&lt;&gt;'設定'!$C$4,N(U4090),IF(OR(NOT(COUNTIF('商品マスタ'!$B$6:$B$1005,$W4091)=0),COUNTIFS('①在庫を貼る'!$V$6:$V$10005,$V4091,'①在庫を貼る'!$W$6:$W$10005,$W4091)&gt;0),N(U4090),N(U4090)+1))</f>
        <v/>
      </c>
      <c r="V4091" s="19">
        <f>IF($B4091="","",TEXT($B4091,"0000"))</f>
        <v/>
      </c>
      <c r="W4091" s="19">
        <f>IF($I4091="","",IF(ISNUMBER($I4091),TEXT($I4091,"0"),$I4091))</f>
        <v/>
      </c>
    </row>
    <row r="4092">
      <c r="B4092" s="25" t="n"/>
      <c r="I4092" s="25" t="n"/>
      <c r="U4092" s="19">
        <f>IF($V4092&lt;&gt;'設定'!$C$4,N(U4091),IF(OR(NOT(COUNTIF('商品マスタ'!$B$6:$B$1005,$W4092)=0),COUNTIFS('①在庫を貼る'!$V$6:$V$10005,$V4092,'①在庫を貼る'!$W$6:$W$10005,$W4092)&gt;0),N(U4091),N(U4091)+1))</f>
        <v/>
      </c>
      <c r="V4092" s="19">
        <f>IF($B4092="","",TEXT($B4092,"0000"))</f>
        <v/>
      </c>
      <c r="W4092" s="19">
        <f>IF($I4092="","",IF(ISNUMBER($I4092),TEXT($I4092,"0"),$I4092))</f>
        <v/>
      </c>
    </row>
    <row r="4093">
      <c r="B4093" s="25" t="n"/>
      <c r="I4093" s="25" t="n"/>
      <c r="U4093" s="19">
        <f>IF($V4093&lt;&gt;'設定'!$C$4,N(U4092),IF(OR(NOT(COUNTIF('商品マスタ'!$B$6:$B$1005,$W4093)=0),COUNTIFS('①在庫を貼る'!$V$6:$V$10005,$V4093,'①在庫を貼る'!$W$6:$W$10005,$W4093)&gt;0),N(U4092),N(U4092)+1))</f>
        <v/>
      </c>
      <c r="V4093" s="19">
        <f>IF($B4093="","",TEXT($B4093,"0000"))</f>
        <v/>
      </c>
      <c r="W4093" s="19">
        <f>IF($I4093="","",IF(ISNUMBER($I4093),TEXT($I4093,"0"),$I4093))</f>
        <v/>
      </c>
    </row>
    <row r="4094">
      <c r="B4094" s="25" t="n"/>
      <c r="I4094" s="25" t="n"/>
      <c r="U4094" s="19">
        <f>IF($V4094&lt;&gt;'設定'!$C$4,N(U4093),IF(OR(NOT(COUNTIF('商品マスタ'!$B$6:$B$1005,$W4094)=0),COUNTIFS('①在庫を貼る'!$V$6:$V$10005,$V4094,'①在庫を貼る'!$W$6:$W$10005,$W4094)&gt;0),N(U4093),N(U4093)+1))</f>
        <v/>
      </c>
      <c r="V4094" s="19">
        <f>IF($B4094="","",TEXT($B4094,"0000"))</f>
        <v/>
      </c>
      <c r="W4094" s="19">
        <f>IF($I4094="","",IF(ISNUMBER($I4094),TEXT($I4094,"0"),$I4094))</f>
        <v/>
      </c>
    </row>
    <row r="4095">
      <c r="B4095" s="25" t="n"/>
      <c r="I4095" s="25" t="n"/>
      <c r="U4095" s="19">
        <f>IF($V4095&lt;&gt;'設定'!$C$4,N(U4094),IF(OR(NOT(COUNTIF('商品マスタ'!$B$6:$B$1005,$W4095)=0),COUNTIFS('①在庫を貼る'!$V$6:$V$10005,$V4095,'①在庫を貼る'!$W$6:$W$10005,$W4095)&gt;0),N(U4094),N(U4094)+1))</f>
        <v/>
      </c>
      <c r="V4095" s="19">
        <f>IF($B4095="","",TEXT($B4095,"0000"))</f>
        <v/>
      </c>
      <c r="W4095" s="19">
        <f>IF($I4095="","",IF(ISNUMBER($I4095),TEXT($I4095,"0"),$I4095))</f>
        <v/>
      </c>
    </row>
    <row r="4096">
      <c r="B4096" s="25" t="n"/>
      <c r="I4096" s="25" t="n"/>
      <c r="U4096" s="19">
        <f>IF($V4096&lt;&gt;'設定'!$C$4,N(U4095),IF(OR(NOT(COUNTIF('商品マスタ'!$B$6:$B$1005,$W4096)=0),COUNTIFS('①在庫を貼る'!$V$6:$V$10005,$V4096,'①在庫を貼る'!$W$6:$W$10005,$W4096)&gt;0),N(U4095),N(U4095)+1))</f>
        <v/>
      </c>
      <c r="V4096" s="19">
        <f>IF($B4096="","",TEXT($B4096,"0000"))</f>
        <v/>
      </c>
      <c r="W4096" s="19">
        <f>IF($I4096="","",IF(ISNUMBER($I4096),TEXT($I4096,"0"),$I4096))</f>
        <v/>
      </c>
    </row>
    <row r="4097">
      <c r="B4097" s="25" t="n"/>
      <c r="I4097" s="25" t="n"/>
      <c r="U4097" s="19">
        <f>IF($V4097&lt;&gt;'設定'!$C$4,N(U4096),IF(OR(NOT(COUNTIF('商品マスタ'!$B$6:$B$1005,$W4097)=0),COUNTIFS('①在庫を貼る'!$V$6:$V$10005,$V4097,'①在庫を貼る'!$W$6:$W$10005,$W4097)&gt;0),N(U4096),N(U4096)+1))</f>
        <v/>
      </c>
      <c r="V4097" s="19">
        <f>IF($B4097="","",TEXT($B4097,"0000"))</f>
        <v/>
      </c>
      <c r="W4097" s="19">
        <f>IF($I4097="","",IF(ISNUMBER($I4097),TEXT($I4097,"0"),$I4097))</f>
        <v/>
      </c>
    </row>
    <row r="4098">
      <c r="B4098" s="25" t="n"/>
      <c r="I4098" s="25" t="n"/>
      <c r="U4098" s="19">
        <f>IF($V4098&lt;&gt;'設定'!$C$4,N(U4097),IF(OR(NOT(COUNTIF('商品マスタ'!$B$6:$B$1005,$W4098)=0),COUNTIFS('①在庫を貼る'!$V$6:$V$10005,$V4098,'①在庫を貼る'!$W$6:$W$10005,$W4098)&gt;0),N(U4097),N(U4097)+1))</f>
        <v/>
      </c>
      <c r="V4098" s="19">
        <f>IF($B4098="","",TEXT($B4098,"0000"))</f>
        <v/>
      </c>
      <c r="W4098" s="19">
        <f>IF($I4098="","",IF(ISNUMBER($I4098),TEXT($I4098,"0"),$I4098))</f>
        <v/>
      </c>
    </row>
    <row r="4099">
      <c r="B4099" s="25" t="n"/>
      <c r="I4099" s="25" t="n"/>
      <c r="U4099" s="19">
        <f>IF($V4099&lt;&gt;'設定'!$C$4,N(U4098),IF(OR(NOT(COUNTIF('商品マスタ'!$B$6:$B$1005,$W4099)=0),COUNTIFS('①在庫を貼る'!$V$6:$V$10005,$V4099,'①在庫を貼る'!$W$6:$W$10005,$W4099)&gt;0),N(U4098),N(U4098)+1))</f>
        <v/>
      </c>
      <c r="V4099" s="19">
        <f>IF($B4099="","",TEXT($B4099,"0000"))</f>
        <v/>
      </c>
      <c r="W4099" s="19">
        <f>IF($I4099="","",IF(ISNUMBER($I4099),TEXT($I4099,"0"),$I4099))</f>
        <v/>
      </c>
    </row>
    <row r="4100">
      <c r="B4100" s="25" t="n"/>
      <c r="I4100" s="25" t="n"/>
      <c r="U4100" s="19">
        <f>IF($V4100&lt;&gt;'設定'!$C$4,N(U4099),IF(OR(NOT(COUNTIF('商品マスタ'!$B$6:$B$1005,$W4100)=0),COUNTIFS('①在庫を貼る'!$V$6:$V$10005,$V4100,'①在庫を貼る'!$W$6:$W$10005,$W4100)&gt;0),N(U4099),N(U4099)+1))</f>
        <v/>
      </c>
      <c r="V4100" s="19">
        <f>IF($B4100="","",TEXT($B4100,"0000"))</f>
        <v/>
      </c>
      <c r="W4100" s="19">
        <f>IF($I4100="","",IF(ISNUMBER($I4100),TEXT($I4100,"0"),$I4100))</f>
        <v/>
      </c>
    </row>
    <row r="4101">
      <c r="B4101" s="25" t="n"/>
      <c r="I4101" s="25" t="n"/>
      <c r="U4101" s="19">
        <f>IF($V4101&lt;&gt;'設定'!$C$4,N(U4100),IF(OR(NOT(COUNTIF('商品マスタ'!$B$6:$B$1005,$W4101)=0),COUNTIFS('①在庫を貼る'!$V$6:$V$10005,$V4101,'①在庫を貼る'!$W$6:$W$10005,$W4101)&gt;0),N(U4100),N(U4100)+1))</f>
        <v/>
      </c>
      <c r="V4101" s="19">
        <f>IF($B4101="","",TEXT($B4101,"0000"))</f>
        <v/>
      </c>
      <c r="W4101" s="19">
        <f>IF($I4101="","",IF(ISNUMBER($I4101),TEXT($I4101,"0"),$I4101))</f>
        <v/>
      </c>
    </row>
    <row r="4102">
      <c r="B4102" s="25" t="n"/>
      <c r="I4102" s="25" t="n"/>
      <c r="U4102" s="19">
        <f>IF($V4102&lt;&gt;'設定'!$C$4,N(U4101),IF(OR(NOT(COUNTIF('商品マスタ'!$B$6:$B$1005,$W4102)=0),COUNTIFS('①在庫を貼る'!$V$6:$V$10005,$V4102,'①在庫を貼る'!$W$6:$W$10005,$W4102)&gt;0),N(U4101),N(U4101)+1))</f>
        <v/>
      </c>
      <c r="V4102" s="19">
        <f>IF($B4102="","",TEXT($B4102,"0000"))</f>
        <v/>
      </c>
      <c r="W4102" s="19">
        <f>IF($I4102="","",IF(ISNUMBER($I4102),TEXT($I4102,"0"),$I4102))</f>
        <v/>
      </c>
    </row>
    <row r="4103">
      <c r="B4103" s="25" t="n"/>
      <c r="I4103" s="25" t="n"/>
      <c r="U4103" s="19">
        <f>IF($V4103&lt;&gt;'設定'!$C$4,N(U4102),IF(OR(NOT(COUNTIF('商品マスタ'!$B$6:$B$1005,$W4103)=0),COUNTIFS('①在庫を貼る'!$V$6:$V$10005,$V4103,'①在庫を貼る'!$W$6:$W$10005,$W4103)&gt;0),N(U4102),N(U4102)+1))</f>
        <v/>
      </c>
      <c r="V4103" s="19">
        <f>IF($B4103="","",TEXT($B4103,"0000"))</f>
        <v/>
      </c>
      <c r="W4103" s="19">
        <f>IF($I4103="","",IF(ISNUMBER($I4103),TEXT($I4103,"0"),$I4103))</f>
        <v/>
      </c>
    </row>
    <row r="4104">
      <c r="B4104" s="25" t="n"/>
      <c r="I4104" s="25" t="n"/>
      <c r="U4104" s="19">
        <f>IF($V4104&lt;&gt;'設定'!$C$4,N(U4103),IF(OR(NOT(COUNTIF('商品マスタ'!$B$6:$B$1005,$W4104)=0),COUNTIFS('①在庫を貼る'!$V$6:$V$10005,$V4104,'①在庫を貼る'!$W$6:$W$10005,$W4104)&gt;0),N(U4103),N(U4103)+1))</f>
        <v/>
      </c>
      <c r="V4104" s="19">
        <f>IF($B4104="","",TEXT($B4104,"0000"))</f>
        <v/>
      </c>
      <c r="W4104" s="19">
        <f>IF($I4104="","",IF(ISNUMBER($I4104),TEXT($I4104,"0"),$I4104))</f>
        <v/>
      </c>
    </row>
    <row r="4105">
      <c r="B4105" s="25" t="n"/>
      <c r="I4105" s="25" t="n"/>
      <c r="U4105" s="19">
        <f>IF($V4105&lt;&gt;'設定'!$C$4,N(U4104),IF(OR(NOT(COUNTIF('商品マスタ'!$B$6:$B$1005,$W4105)=0),COUNTIFS('①在庫を貼る'!$V$6:$V$10005,$V4105,'①在庫を貼る'!$W$6:$W$10005,$W4105)&gt;0),N(U4104),N(U4104)+1))</f>
        <v/>
      </c>
      <c r="V4105" s="19">
        <f>IF($B4105="","",TEXT($B4105,"0000"))</f>
        <v/>
      </c>
      <c r="W4105" s="19">
        <f>IF($I4105="","",IF(ISNUMBER($I4105),TEXT($I4105,"0"),$I4105))</f>
        <v/>
      </c>
    </row>
    <row r="4106">
      <c r="B4106" s="25" t="n"/>
      <c r="I4106" s="25" t="n"/>
      <c r="U4106" s="19">
        <f>IF($V4106&lt;&gt;'設定'!$C$4,N(U4105),IF(OR(NOT(COUNTIF('商品マスタ'!$B$6:$B$1005,$W4106)=0),COUNTIFS('①在庫を貼る'!$V$6:$V$10005,$V4106,'①在庫を貼る'!$W$6:$W$10005,$W4106)&gt;0),N(U4105),N(U4105)+1))</f>
        <v/>
      </c>
      <c r="V4106" s="19">
        <f>IF($B4106="","",TEXT($B4106,"0000"))</f>
        <v/>
      </c>
      <c r="W4106" s="19">
        <f>IF($I4106="","",IF(ISNUMBER($I4106),TEXT($I4106,"0"),$I4106))</f>
        <v/>
      </c>
    </row>
    <row r="4107">
      <c r="B4107" s="25" t="n"/>
      <c r="I4107" s="25" t="n"/>
      <c r="U4107" s="19">
        <f>IF($V4107&lt;&gt;'設定'!$C$4,N(U4106),IF(OR(NOT(COUNTIF('商品マスタ'!$B$6:$B$1005,$W4107)=0),COUNTIFS('①在庫を貼る'!$V$6:$V$10005,$V4107,'①在庫を貼る'!$W$6:$W$10005,$W4107)&gt;0),N(U4106),N(U4106)+1))</f>
        <v/>
      </c>
      <c r="V4107" s="19">
        <f>IF($B4107="","",TEXT($B4107,"0000"))</f>
        <v/>
      </c>
      <c r="W4107" s="19">
        <f>IF($I4107="","",IF(ISNUMBER($I4107),TEXT($I4107,"0"),$I4107))</f>
        <v/>
      </c>
    </row>
    <row r="4108">
      <c r="B4108" s="25" t="n"/>
      <c r="I4108" s="25" t="n"/>
      <c r="U4108" s="19">
        <f>IF($V4108&lt;&gt;'設定'!$C$4,N(U4107),IF(OR(NOT(COUNTIF('商品マスタ'!$B$6:$B$1005,$W4108)=0),COUNTIFS('①在庫を貼る'!$V$6:$V$10005,$V4108,'①在庫を貼る'!$W$6:$W$10005,$W4108)&gt;0),N(U4107),N(U4107)+1))</f>
        <v/>
      </c>
      <c r="V4108" s="19">
        <f>IF($B4108="","",TEXT($B4108,"0000"))</f>
        <v/>
      </c>
      <c r="W4108" s="19">
        <f>IF($I4108="","",IF(ISNUMBER($I4108),TEXT($I4108,"0"),$I4108))</f>
        <v/>
      </c>
    </row>
    <row r="4109">
      <c r="B4109" s="25" t="n"/>
      <c r="I4109" s="25" t="n"/>
      <c r="U4109" s="19">
        <f>IF($V4109&lt;&gt;'設定'!$C$4,N(U4108),IF(OR(NOT(COUNTIF('商品マスタ'!$B$6:$B$1005,$W4109)=0),COUNTIFS('①在庫を貼る'!$V$6:$V$10005,$V4109,'①在庫を貼る'!$W$6:$W$10005,$W4109)&gt;0),N(U4108),N(U4108)+1))</f>
        <v/>
      </c>
      <c r="V4109" s="19">
        <f>IF($B4109="","",TEXT($B4109,"0000"))</f>
        <v/>
      </c>
      <c r="W4109" s="19">
        <f>IF($I4109="","",IF(ISNUMBER($I4109),TEXT($I4109,"0"),$I4109))</f>
        <v/>
      </c>
    </row>
    <row r="4110">
      <c r="B4110" s="25" t="n"/>
      <c r="I4110" s="25" t="n"/>
      <c r="U4110" s="19">
        <f>IF($V4110&lt;&gt;'設定'!$C$4,N(U4109),IF(OR(NOT(COUNTIF('商品マスタ'!$B$6:$B$1005,$W4110)=0),COUNTIFS('①在庫を貼る'!$V$6:$V$10005,$V4110,'①在庫を貼る'!$W$6:$W$10005,$W4110)&gt;0),N(U4109),N(U4109)+1))</f>
        <v/>
      </c>
      <c r="V4110" s="19">
        <f>IF($B4110="","",TEXT($B4110,"0000"))</f>
        <v/>
      </c>
      <c r="W4110" s="19">
        <f>IF($I4110="","",IF(ISNUMBER($I4110),TEXT($I4110,"0"),$I4110))</f>
        <v/>
      </c>
    </row>
    <row r="4111">
      <c r="B4111" s="25" t="n"/>
      <c r="I4111" s="25" t="n"/>
      <c r="U4111" s="19">
        <f>IF($V4111&lt;&gt;'設定'!$C$4,N(U4110),IF(OR(NOT(COUNTIF('商品マスタ'!$B$6:$B$1005,$W4111)=0),COUNTIFS('①在庫を貼る'!$V$6:$V$10005,$V4111,'①在庫を貼る'!$W$6:$W$10005,$W4111)&gt;0),N(U4110),N(U4110)+1))</f>
        <v/>
      </c>
      <c r="V4111" s="19">
        <f>IF($B4111="","",TEXT($B4111,"0000"))</f>
        <v/>
      </c>
      <c r="W4111" s="19">
        <f>IF($I4111="","",IF(ISNUMBER($I4111),TEXT($I4111,"0"),$I4111))</f>
        <v/>
      </c>
    </row>
    <row r="4112">
      <c r="B4112" s="25" t="n"/>
      <c r="I4112" s="25" t="n"/>
      <c r="U4112" s="19">
        <f>IF($V4112&lt;&gt;'設定'!$C$4,N(U4111),IF(OR(NOT(COUNTIF('商品マスタ'!$B$6:$B$1005,$W4112)=0),COUNTIFS('①在庫を貼る'!$V$6:$V$10005,$V4112,'①在庫を貼る'!$W$6:$W$10005,$W4112)&gt;0),N(U4111),N(U4111)+1))</f>
        <v/>
      </c>
      <c r="V4112" s="19">
        <f>IF($B4112="","",TEXT($B4112,"0000"))</f>
        <v/>
      </c>
      <c r="W4112" s="19">
        <f>IF($I4112="","",IF(ISNUMBER($I4112),TEXT($I4112,"0"),$I4112))</f>
        <v/>
      </c>
    </row>
    <row r="4113">
      <c r="B4113" s="25" t="n"/>
      <c r="I4113" s="25" t="n"/>
      <c r="U4113" s="19">
        <f>IF($V4113&lt;&gt;'設定'!$C$4,N(U4112),IF(OR(NOT(COUNTIF('商品マスタ'!$B$6:$B$1005,$W4113)=0),COUNTIFS('①在庫を貼る'!$V$6:$V$10005,$V4113,'①在庫を貼る'!$W$6:$W$10005,$W4113)&gt;0),N(U4112),N(U4112)+1))</f>
        <v/>
      </c>
      <c r="V4113" s="19">
        <f>IF($B4113="","",TEXT($B4113,"0000"))</f>
        <v/>
      </c>
      <c r="W4113" s="19">
        <f>IF($I4113="","",IF(ISNUMBER($I4113),TEXT($I4113,"0"),$I4113))</f>
        <v/>
      </c>
    </row>
    <row r="4114">
      <c r="B4114" s="25" t="n"/>
      <c r="I4114" s="25" t="n"/>
      <c r="U4114" s="19">
        <f>IF($V4114&lt;&gt;'設定'!$C$4,N(U4113),IF(OR(NOT(COUNTIF('商品マスタ'!$B$6:$B$1005,$W4114)=0),COUNTIFS('①在庫を貼る'!$V$6:$V$10005,$V4114,'①在庫を貼る'!$W$6:$W$10005,$W4114)&gt;0),N(U4113),N(U4113)+1))</f>
        <v/>
      </c>
      <c r="V4114" s="19">
        <f>IF($B4114="","",TEXT($B4114,"0000"))</f>
        <v/>
      </c>
      <c r="W4114" s="19">
        <f>IF($I4114="","",IF(ISNUMBER($I4114),TEXT($I4114,"0"),$I4114))</f>
        <v/>
      </c>
    </row>
    <row r="4115">
      <c r="B4115" s="25" t="n"/>
      <c r="I4115" s="25" t="n"/>
      <c r="U4115" s="19">
        <f>IF($V4115&lt;&gt;'設定'!$C$4,N(U4114),IF(OR(NOT(COUNTIF('商品マスタ'!$B$6:$B$1005,$W4115)=0),COUNTIFS('①在庫を貼る'!$V$6:$V$10005,$V4115,'①在庫を貼る'!$W$6:$W$10005,$W4115)&gt;0),N(U4114),N(U4114)+1))</f>
        <v/>
      </c>
      <c r="V4115" s="19">
        <f>IF($B4115="","",TEXT($B4115,"0000"))</f>
        <v/>
      </c>
      <c r="W4115" s="19">
        <f>IF($I4115="","",IF(ISNUMBER($I4115),TEXT($I4115,"0"),$I4115))</f>
        <v/>
      </c>
    </row>
    <row r="4116">
      <c r="B4116" s="25" t="n"/>
      <c r="I4116" s="25" t="n"/>
      <c r="U4116" s="19">
        <f>IF($V4116&lt;&gt;'設定'!$C$4,N(U4115),IF(OR(NOT(COUNTIF('商品マスタ'!$B$6:$B$1005,$W4116)=0),COUNTIFS('①在庫を貼る'!$V$6:$V$10005,$V4116,'①在庫を貼る'!$W$6:$W$10005,$W4116)&gt;0),N(U4115),N(U4115)+1))</f>
        <v/>
      </c>
      <c r="V4116" s="19">
        <f>IF($B4116="","",TEXT($B4116,"0000"))</f>
        <v/>
      </c>
      <c r="W4116" s="19">
        <f>IF($I4116="","",IF(ISNUMBER($I4116),TEXT($I4116,"0"),$I4116))</f>
        <v/>
      </c>
    </row>
    <row r="4117">
      <c r="B4117" s="25" t="n"/>
      <c r="I4117" s="25" t="n"/>
      <c r="U4117" s="19">
        <f>IF($V4117&lt;&gt;'設定'!$C$4,N(U4116),IF(OR(NOT(COUNTIF('商品マスタ'!$B$6:$B$1005,$W4117)=0),COUNTIFS('①在庫を貼る'!$V$6:$V$10005,$V4117,'①在庫を貼る'!$W$6:$W$10005,$W4117)&gt;0),N(U4116),N(U4116)+1))</f>
        <v/>
      </c>
      <c r="V4117" s="19">
        <f>IF($B4117="","",TEXT($B4117,"0000"))</f>
        <v/>
      </c>
      <c r="W4117" s="19">
        <f>IF($I4117="","",IF(ISNUMBER($I4117),TEXT($I4117,"0"),$I4117))</f>
        <v/>
      </c>
    </row>
    <row r="4118">
      <c r="B4118" s="25" t="n"/>
      <c r="I4118" s="25" t="n"/>
      <c r="U4118" s="19">
        <f>IF($V4118&lt;&gt;'設定'!$C$4,N(U4117),IF(OR(NOT(COUNTIF('商品マスタ'!$B$6:$B$1005,$W4118)=0),COUNTIFS('①在庫を貼る'!$V$6:$V$10005,$V4118,'①在庫を貼る'!$W$6:$W$10005,$W4118)&gt;0),N(U4117),N(U4117)+1))</f>
        <v/>
      </c>
      <c r="V4118" s="19">
        <f>IF($B4118="","",TEXT($B4118,"0000"))</f>
        <v/>
      </c>
      <c r="W4118" s="19">
        <f>IF($I4118="","",IF(ISNUMBER($I4118),TEXT($I4118,"0"),$I4118))</f>
        <v/>
      </c>
    </row>
    <row r="4119">
      <c r="B4119" s="25" t="n"/>
      <c r="I4119" s="25" t="n"/>
      <c r="U4119" s="19">
        <f>IF($V4119&lt;&gt;'設定'!$C$4,N(U4118),IF(OR(NOT(COUNTIF('商品マスタ'!$B$6:$B$1005,$W4119)=0),COUNTIFS('①在庫を貼る'!$V$6:$V$10005,$V4119,'①在庫を貼る'!$W$6:$W$10005,$W4119)&gt;0),N(U4118),N(U4118)+1))</f>
        <v/>
      </c>
      <c r="V4119" s="19">
        <f>IF($B4119="","",TEXT($B4119,"0000"))</f>
        <v/>
      </c>
      <c r="W4119" s="19">
        <f>IF($I4119="","",IF(ISNUMBER($I4119),TEXT($I4119,"0"),$I4119))</f>
        <v/>
      </c>
    </row>
    <row r="4120">
      <c r="B4120" s="25" t="n"/>
      <c r="I4120" s="25" t="n"/>
      <c r="U4120" s="19">
        <f>IF($V4120&lt;&gt;'設定'!$C$4,N(U4119),IF(OR(NOT(COUNTIF('商品マスタ'!$B$6:$B$1005,$W4120)=0),COUNTIFS('①在庫を貼る'!$V$6:$V$10005,$V4120,'①在庫を貼る'!$W$6:$W$10005,$W4120)&gt;0),N(U4119),N(U4119)+1))</f>
        <v/>
      </c>
      <c r="V4120" s="19">
        <f>IF($B4120="","",TEXT($B4120,"0000"))</f>
        <v/>
      </c>
      <c r="W4120" s="19">
        <f>IF($I4120="","",IF(ISNUMBER($I4120),TEXT($I4120,"0"),$I4120))</f>
        <v/>
      </c>
    </row>
    <row r="4121">
      <c r="B4121" s="25" t="n"/>
      <c r="I4121" s="25" t="n"/>
      <c r="U4121" s="19">
        <f>IF($V4121&lt;&gt;'設定'!$C$4,N(U4120),IF(OR(NOT(COUNTIF('商品マスタ'!$B$6:$B$1005,$W4121)=0),COUNTIFS('①在庫を貼る'!$V$6:$V$10005,$V4121,'①在庫を貼る'!$W$6:$W$10005,$W4121)&gt;0),N(U4120),N(U4120)+1))</f>
        <v/>
      </c>
      <c r="V4121" s="19">
        <f>IF($B4121="","",TEXT($B4121,"0000"))</f>
        <v/>
      </c>
      <c r="W4121" s="19">
        <f>IF($I4121="","",IF(ISNUMBER($I4121),TEXT($I4121,"0"),$I4121))</f>
        <v/>
      </c>
    </row>
    <row r="4122">
      <c r="B4122" s="25" t="n"/>
      <c r="I4122" s="25" t="n"/>
      <c r="U4122" s="19">
        <f>IF($V4122&lt;&gt;'設定'!$C$4,N(U4121),IF(OR(NOT(COUNTIF('商品マスタ'!$B$6:$B$1005,$W4122)=0),COUNTIFS('①在庫を貼る'!$V$6:$V$10005,$V4122,'①在庫を貼る'!$W$6:$W$10005,$W4122)&gt;0),N(U4121),N(U4121)+1))</f>
        <v/>
      </c>
      <c r="V4122" s="19">
        <f>IF($B4122="","",TEXT($B4122,"0000"))</f>
        <v/>
      </c>
      <c r="W4122" s="19">
        <f>IF($I4122="","",IF(ISNUMBER($I4122),TEXT($I4122,"0"),$I4122))</f>
        <v/>
      </c>
    </row>
    <row r="4123">
      <c r="B4123" s="25" t="n"/>
      <c r="I4123" s="25" t="n"/>
      <c r="U4123" s="19">
        <f>IF($V4123&lt;&gt;'設定'!$C$4,N(U4122),IF(OR(NOT(COUNTIF('商品マスタ'!$B$6:$B$1005,$W4123)=0),COUNTIFS('①在庫を貼る'!$V$6:$V$10005,$V4123,'①在庫を貼る'!$W$6:$W$10005,$W4123)&gt;0),N(U4122),N(U4122)+1))</f>
        <v/>
      </c>
      <c r="V4123" s="19">
        <f>IF($B4123="","",TEXT($B4123,"0000"))</f>
        <v/>
      </c>
      <c r="W4123" s="19">
        <f>IF($I4123="","",IF(ISNUMBER($I4123),TEXT($I4123,"0"),$I4123))</f>
        <v/>
      </c>
    </row>
    <row r="4124">
      <c r="B4124" s="25" t="n"/>
      <c r="I4124" s="25" t="n"/>
      <c r="U4124" s="19">
        <f>IF($V4124&lt;&gt;'設定'!$C$4,N(U4123),IF(OR(NOT(COUNTIF('商品マスタ'!$B$6:$B$1005,$W4124)=0),COUNTIFS('①在庫を貼る'!$V$6:$V$10005,$V4124,'①在庫を貼る'!$W$6:$W$10005,$W4124)&gt;0),N(U4123),N(U4123)+1))</f>
        <v/>
      </c>
      <c r="V4124" s="19">
        <f>IF($B4124="","",TEXT($B4124,"0000"))</f>
        <v/>
      </c>
      <c r="W4124" s="19">
        <f>IF($I4124="","",IF(ISNUMBER($I4124),TEXT($I4124,"0"),$I4124))</f>
        <v/>
      </c>
    </row>
    <row r="4125">
      <c r="B4125" s="25" t="n"/>
      <c r="I4125" s="25" t="n"/>
      <c r="U4125" s="19">
        <f>IF($V4125&lt;&gt;'設定'!$C$4,N(U4124),IF(OR(NOT(COUNTIF('商品マスタ'!$B$6:$B$1005,$W4125)=0),COUNTIFS('①在庫を貼る'!$V$6:$V$10005,$V4125,'①在庫を貼る'!$W$6:$W$10005,$W4125)&gt;0),N(U4124),N(U4124)+1))</f>
        <v/>
      </c>
      <c r="V4125" s="19">
        <f>IF($B4125="","",TEXT($B4125,"0000"))</f>
        <v/>
      </c>
      <c r="W4125" s="19">
        <f>IF($I4125="","",IF(ISNUMBER($I4125),TEXT($I4125,"0"),$I4125))</f>
        <v/>
      </c>
    </row>
    <row r="4126">
      <c r="B4126" s="25" t="n"/>
      <c r="I4126" s="25" t="n"/>
      <c r="U4126" s="19">
        <f>IF($V4126&lt;&gt;'設定'!$C$4,N(U4125),IF(OR(NOT(COUNTIF('商品マスタ'!$B$6:$B$1005,$W4126)=0),COUNTIFS('①在庫を貼る'!$V$6:$V$10005,$V4126,'①在庫を貼る'!$W$6:$W$10005,$W4126)&gt;0),N(U4125),N(U4125)+1))</f>
        <v/>
      </c>
      <c r="V4126" s="19">
        <f>IF($B4126="","",TEXT($B4126,"0000"))</f>
        <v/>
      </c>
      <c r="W4126" s="19">
        <f>IF($I4126="","",IF(ISNUMBER($I4126),TEXT($I4126,"0"),$I4126))</f>
        <v/>
      </c>
    </row>
    <row r="4127">
      <c r="B4127" s="25" t="n"/>
      <c r="I4127" s="25" t="n"/>
      <c r="U4127" s="19">
        <f>IF($V4127&lt;&gt;'設定'!$C$4,N(U4126),IF(OR(NOT(COUNTIF('商品マスタ'!$B$6:$B$1005,$W4127)=0),COUNTIFS('①在庫を貼る'!$V$6:$V$10005,$V4127,'①在庫を貼る'!$W$6:$W$10005,$W4127)&gt;0),N(U4126),N(U4126)+1))</f>
        <v/>
      </c>
      <c r="V4127" s="19">
        <f>IF($B4127="","",TEXT($B4127,"0000"))</f>
        <v/>
      </c>
      <c r="W4127" s="19">
        <f>IF($I4127="","",IF(ISNUMBER($I4127),TEXT($I4127,"0"),$I4127))</f>
        <v/>
      </c>
    </row>
    <row r="4128">
      <c r="B4128" s="25" t="n"/>
      <c r="I4128" s="25" t="n"/>
      <c r="U4128" s="19">
        <f>IF($V4128&lt;&gt;'設定'!$C$4,N(U4127),IF(OR(NOT(COUNTIF('商品マスタ'!$B$6:$B$1005,$W4128)=0),COUNTIFS('①在庫を貼る'!$V$6:$V$10005,$V4128,'①在庫を貼る'!$W$6:$W$10005,$W4128)&gt;0),N(U4127),N(U4127)+1))</f>
        <v/>
      </c>
      <c r="V4128" s="19">
        <f>IF($B4128="","",TEXT($B4128,"0000"))</f>
        <v/>
      </c>
      <c r="W4128" s="19">
        <f>IF($I4128="","",IF(ISNUMBER($I4128),TEXT($I4128,"0"),$I4128))</f>
        <v/>
      </c>
    </row>
    <row r="4129">
      <c r="B4129" s="25" t="n"/>
      <c r="I4129" s="25" t="n"/>
      <c r="U4129" s="19">
        <f>IF($V4129&lt;&gt;'設定'!$C$4,N(U4128),IF(OR(NOT(COUNTIF('商品マスタ'!$B$6:$B$1005,$W4129)=0),COUNTIFS('①在庫を貼る'!$V$6:$V$10005,$V4129,'①在庫を貼る'!$W$6:$W$10005,$W4129)&gt;0),N(U4128),N(U4128)+1))</f>
        <v/>
      </c>
      <c r="V4129" s="19">
        <f>IF($B4129="","",TEXT($B4129,"0000"))</f>
        <v/>
      </c>
      <c r="W4129" s="19">
        <f>IF($I4129="","",IF(ISNUMBER($I4129),TEXT($I4129,"0"),$I4129))</f>
        <v/>
      </c>
    </row>
    <row r="4130">
      <c r="B4130" s="25" t="n"/>
      <c r="I4130" s="25" t="n"/>
      <c r="U4130" s="19">
        <f>IF($V4130&lt;&gt;'設定'!$C$4,N(U4129),IF(OR(NOT(COUNTIF('商品マスタ'!$B$6:$B$1005,$W4130)=0),COUNTIFS('①在庫を貼る'!$V$6:$V$10005,$V4130,'①在庫を貼る'!$W$6:$W$10005,$W4130)&gt;0),N(U4129),N(U4129)+1))</f>
        <v/>
      </c>
      <c r="V4130" s="19">
        <f>IF($B4130="","",TEXT($B4130,"0000"))</f>
        <v/>
      </c>
      <c r="W4130" s="19">
        <f>IF($I4130="","",IF(ISNUMBER($I4130),TEXT($I4130,"0"),$I4130))</f>
        <v/>
      </c>
    </row>
    <row r="4131">
      <c r="B4131" s="25" t="n"/>
      <c r="I4131" s="25" t="n"/>
      <c r="U4131" s="19">
        <f>IF($V4131&lt;&gt;'設定'!$C$4,N(U4130),IF(OR(NOT(COUNTIF('商品マスタ'!$B$6:$B$1005,$W4131)=0),COUNTIFS('①在庫を貼る'!$V$6:$V$10005,$V4131,'①在庫を貼る'!$W$6:$W$10005,$W4131)&gt;0),N(U4130),N(U4130)+1))</f>
        <v/>
      </c>
      <c r="V4131" s="19">
        <f>IF($B4131="","",TEXT($B4131,"0000"))</f>
        <v/>
      </c>
      <c r="W4131" s="19">
        <f>IF($I4131="","",IF(ISNUMBER($I4131),TEXT($I4131,"0"),$I4131))</f>
        <v/>
      </c>
    </row>
    <row r="4132">
      <c r="B4132" s="25" t="n"/>
      <c r="I4132" s="25" t="n"/>
      <c r="U4132" s="19">
        <f>IF($V4132&lt;&gt;'設定'!$C$4,N(U4131),IF(OR(NOT(COUNTIF('商品マスタ'!$B$6:$B$1005,$W4132)=0),COUNTIFS('①在庫を貼る'!$V$6:$V$10005,$V4132,'①在庫を貼る'!$W$6:$W$10005,$W4132)&gt;0),N(U4131),N(U4131)+1))</f>
        <v/>
      </c>
      <c r="V4132" s="19">
        <f>IF($B4132="","",TEXT($B4132,"0000"))</f>
        <v/>
      </c>
      <c r="W4132" s="19">
        <f>IF($I4132="","",IF(ISNUMBER($I4132),TEXT($I4132,"0"),$I4132))</f>
        <v/>
      </c>
    </row>
    <row r="4133">
      <c r="B4133" s="25" t="n"/>
      <c r="I4133" s="25" t="n"/>
      <c r="U4133" s="19">
        <f>IF($V4133&lt;&gt;'設定'!$C$4,N(U4132),IF(OR(NOT(COUNTIF('商品マスタ'!$B$6:$B$1005,$W4133)=0),COUNTIFS('①在庫を貼る'!$V$6:$V$10005,$V4133,'①在庫を貼る'!$W$6:$W$10005,$W4133)&gt;0),N(U4132),N(U4132)+1))</f>
        <v/>
      </c>
      <c r="V4133" s="19">
        <f>IF($B4133="","",TEXT($B4133,"0000"))</f>
        <v/>
      </c>
      <c r="W4133" s="19">
        <f>IF($I4133="","",IF(ISNUMBER($I4133),TEXT($I4133,"0"),$I4133))</f>
        <v/>
      </c>
    </row>
    <row r="4134">
      <c r="B4134" s="25" t="n"/>
      <c r="I4134" s="25" t="n"/>
      <c r="U4134" s="19">
        <f>IF($V4134&lt;&gt;'設定'!$C$4,N(U4133),IF(OR(NOT(COUNTIF('商品マスタ'!$B$6:$B$1005,$W4134)=0),COUNTIFS('①在庫を貼る'!$V$6:$V$10005,$V4134,'①在庫を貼る'!$W$6:$W$10005,$W4134)&gt;0),N(U4133),N(U4133)+1))</f>
        <v/>
      </c>
      <c r="V4134" s="19">
        <f>IF($B4134="","",TEXT($B4134,"0000"))</f>
        <v/>
      </c>
      <c r="W4134" s="19">
        <f>IF($I4134="","",IF(ISNUMBER($I4134),TEXT($I4134,"0"),$I4134))</f>
        <v/>
      </c>
    </row>
    <row r="4135">
      <c r="B4135" s="25" t="n"/>
      <c r="I4135" s="25" t="n"/>
      <c r="U4135" s="19">
        <f>IF($V4135&lt;&gt;'設定'!$C$4,N(U4134),IF(OR(NOT(COUNTIF('商品マスタ'!$B$6:$B$1005,$W4135)=0),COUNTIFS('①在庫を貼る'!$V$6:$V$10005,$V4135,'①在庫を貼る'!$W$6:$W$10005,$W4135)&gt;0),N(U4134),N(U4134)+1))</f>
        <v/>
      </c>
      <c r="V4135" s="19">
        <f>IF($B4135="","",TEXT($B4135,"0000"))</f>
        <v/>
      </c>
      <c r="W4135" s="19">
        <f>IF($I4135="","",IF(ISNUMBER($I4135),TEXT($I4135,"0"),$I4135))</f>
        <v/>
      </c>
    </row>
    <row r="4136">
      <c r="B4136" s="25" t="n"/>
      <c r="I4136" s="25" t="n"/>
      <c r="U4136" s="19">
        <f>IF($V4136&lt;&gt;'設定'!$C$4,N(U4135),IF(OR(NOT(COUNTIF('商品マスタ'!$B$6:$B$1005,$W4136)=0),COUNTIFS('①在庫を貼る'!$V$6:$V$10005,$V4136,'①在庫を貼る'!$W$6:$W$10005,$W4136)&gt;0),N(U4135),N(U4135)+1))</f>
        <v/>
      </c>
      <c r="V4136" s="19">
        <f>IF($B4136="","",TEXT($B4136,"0000"))</f>
        <v/>
      </c>
      <c r="W4136" s="19">
        <f>IF($I4136="","",IF(ISNUMBER($I4136),TEXT($I4136,"0"),$I4136))</f>
        <v/>
      </c>
    </row>
    <row r="4137">
      <c r="B4137" s="25" t="n"/>
      <c r="I4137" s="25" t="n"/>
      <c r="U4137" s="19">
        <f>IF($V4137&lt;&gt;'設定'!$C$4,N(U4136),IF(OR(NOT(COUNTIF('商品マスタ'!$B$6:$B$1005,$W4137)=0),COUNTIFS('①在庫を貼る'!$V$6:$V$10005,$V4137,'①在庫を貼る'!$W$6:$W$10005,$W4137)&gt;0),N(U4136),N(U4136)+1))</f>
        <v/>
      </c>
      <c r="V4137" s="19">
        <f>IF($B4137="","",TEXT($B4137,"0000"))</f>
        <v/>
      </c>
      <c r="W4137" s="19">
        <f>IF($I4137="","",IF(ISNUMBER($I4137),TEXT($I4137,"0"),$I4137))</f>
        <v/>
      </c>
    </row>
    <row r="4138">
      <c r="B4138" s="25" t="n"/>
      <c r="I4138" s="25" t="n"/>
      <c r="U4138" s="19">
        <f>IF($V4138&lt;&gt;'設定'!$C$4,N(U4137),IF(OR(NOT(COUNTIF('商品マスタ'!$B$6:$B$1005,$W4138)=0),COUNTIFS('①在庫を貼る'!$V$6:$V$10005,$V4138,'①在庫を貼る'!$W$6:$W$10005,$W4138)&gt;0),N(U4137),N(U4137)+1))</f>
        <v/>
      </c>
      <c r="V4138" s="19">
        <f>IF($B4138="","",TEXT($B4138,"0000"))</f>
        <v/>
      </c>
      <c r="W4138" s="19">
        <f>IF($I4138="","",IF(ISNUMBER($I4138),TEXT($I4138,"0"),$I4138))</f>
        <v/>
      </c>
    </row>
    <row r="4139">
      <c r="B4139" s="25" t="n"/>
      <c r="I4139" s="25" t="n"/>
      <c r="U4139" s="19">
        <f>IF($V4139&lt;&gt;'設定'!$C$4,N(U4138),IF(OR(NOT(COUNTIF('商品マスタ'!$B$6:$B$1005,$W4139)=0),COUNTIFS('①在庫を貼る'!$V$6:$V$10005,$V4139,'①在庫を貼る'!$W$6:$W$10005,$W4139)&gt;0),N(U4138),N(U4138)+1))</f>
        <v/>
      </c>
      <c r="V4139" s="19">
        <f>IF($B4139="","",TEXT($B4139,"0000"))</f>
        <v/>
      </c>
      <c r="W4139" s="19">
        <f>IF($I4139="","",IF(ISNUMBER($I4139),TEXT($I4139,"0"),$I4139))</f>
        <v/>
      </c>
    </row>
    <row r="4140">
      <c r="B4140" s="25" t="n"/>
      <c r="I4140" s="25" t="n"/>
      <c r="U4140" s="19">
        <f>IF($V4140&lt;&gt;'設定'!$C$4,N(U4139),IF(OR(NOT(COUNTIF('商品マスタ'!$B$6:$B$1005,$W4140)=0),COUNTIFS('①在庫を貼る'!$V$6:$V$10005,$V4140,'①在庫を貼る'!$W$6:$W$10005,$W4140)&gt;0),N(U4139),N(U4139)+1))</f>
        <v/>
      </c>
      <c r="V4140" s="19">
        <f>IF($B4140="","",TEXT($B4140,"0000"))</f>
        <v/>
      </c>
      <c r="W4140" s="19">
        <f>IF($I4140="","",IF(ISNUMBER($I4140),TEXT($I4140,"0"),$I4140))</f>
        <v/>
      </c>
    </row>
    <row r="4141">
      <c r="B4141" s="25" t="n"/>
      <c r="I4141" s="25" t="n"/>
      <c r="U4141" s="19">
        <f>IF($V4141&lt;&gt;'設定'!$C$4,N(U4140),IF(OR(NOT(COUNTIF('商品マスタ'!$B$6:$B$1005,$W4141)=0),COUNTIFS('①在庫を貼る'!$V$6:$V$10005,$V4141,'①在庫を貼る'!$W$6:$W$10005,$W4141)&gt;0),N(U4140),N(U4140)+1))</f>
        <v/>
      </c>
      <c r="V4141" s="19">
        <f>IF($B4141="","",TEXT($B4141,"0000"))</f>
        <v/>
      </c>
      <c r="W4141" s="19">
        <f>IF($I4141="","",IF(ISNUMBER($I4141),TEXT($I4141,"0"),$I4141))</f>
        <v/>
      </c>
    </row>
    <row r="4142">
      <c r="B4142" s="25" t="n"/>
      <c r="I4142" s="25" t="n"/>
      <c r="U4142" s="19">
        <f>IF($V4142&lt;&gt;'設定'!$C$4,N(U4141),IF(OR(NOT(COUNTIF('商品マスタ'!$B$6:$B$1005,$W4142)=0),COUNTIFS('①在庫を貼る'!$V$6:$V$10005,$V4142,'①在庫を貼る'!$W$6:$W$10005,$W4142)&gt;0),N(U4141),N(U4141)+1))</f>
        <v/>
      </c>
      <c r="V4142" s="19">
        <f>IF($B4142="","",TEXT($B4142,"0000"))</f>
        <v/>
      </c>
      <c r="W4142" s="19">
        <f>IF($I4142="","",IF(ISNUMBER($I4142),TEXT($I4142,"0"),$I4142))</f>
        <v/>
      </c>
    </row>
    <row r="4143">
      <c r="B4143" s="25" t="n"/>
      <c r="I4143" s="25" t="n"/>
      <c r="U4143" s="19">
        <f>IF($V4143&lt;&gt;'設定'!$C$4,N(U4142),IF(OR(NOT(COUNTIF('商品マスタ'!$B$6:$B$1005,$W4143)=0),COUNTIFS('①在庫を貼る'!$V$6:$V$10005,$V4143,'①在庫を貼る'!$W$6:$W$10005,$W4143)&gt;0),N(U4142),N(U4142)+1))</f>
        <v/>
      </c>
      <c r="V4143" s="19">
        <f>IF($B4143="","",TEXT($B4143,"0000"))</f>
        <v/>
      </c>
      <c r="W4143" s="19">
        <f>IF($I4143="","",IF(ISNUMBER($I4143),TEXT($I4143,"0"),$I4143))</f>
        <v/>
      </c>
    </row>
    <row r="4144">
      <c r="B4144" s="25" t="n"/>
      <c r="I4144" s="25" t="n"/>
      <c r="U4144" s="19">
        <f>IF($V4144&lt;&gt;'設定'!$C$4,N(U4143),IF(OR(NOT(COUNTIF('商品マスタ'!$B$6:$B$1005,$W4144)=0),COUNTIFS('①在庫を貼る'!$V$6:$V$10005,$V4144,'①在庫を貼る'!$W$6:$W$10005,$W4144)&gt;0),N(U4143),N(U4143)+1))</f>
        <v/>
      </c>
      <c r="V4144" s="19">
        <f>IF($B4144="","",TEXT($B4144,"0000"))</f>
        <v/>
      </c>
      <c r="W4144" s="19">
        <f>IF($I4144="","",IF(ISNUMBER($I4144),TEXT($I4144,"0"),$I4144))</f>
        <v/>
      </c>
    </row>
    <row r="4145">
      <c r="B4145" s="25" t="n"/>
      <c r="I4145" s="25" t="n"/>
      <c r="U4145" s="19">
        <f>IF($V4145&lt;&gt;'設定'!$C$4,N(U4144),IF(OR(NOT(COUNTIF('商品マスタ'!$B$6:$B$1005,$W4145)=0),COUNTIFS('①在庫を貼る'!$V$6:$V$10005,$V4145,'①在庫を貼る'!$W$6:$W$10005,$W4145)&gt;0),N(U4144),N(U4144)+1))</f>
        <v/>
      </c>
      <c r="V4145" s="19">
        <f>IF($B4145="","",TEXT($B4145,"0000"))</f>
        <v/>
      </c>
      <c r="W4145" s="19">
        <f>IF($I4145="","",IF(ISNUMBER($I4145),TEXT($I4145,"0"),$I4145))</f>
        <v/>
      </c>
    </row>
    <row r="4146">
      <c r="B4146" s="25" t="n"/>
      <c r="I4146" s="25" t="n"/>
      <c r="U4146" s="19">
        <f>IF($V4146&lt;&gt;'設定'!$C$4,N(U4145),IF(OR(NOT(COUNTIF('商品マスタ'!$B$6:$B$1005,$W4146)=0),COUNTIFS('①在庫を貼る'!$V$6:$V$10005,$V4146,'①在庫を貼る'!$W$6:$W$10005,$W4146)&gt;0),N(U4145),N(U4145)+1))</f>
        <v/>
      </c>
      <c r="V4146" s="19">
        <f>IF($B4146="","",TEXT($B4146,"0000"))</f>
        <v/>
      </c>
      <c r="W4146" s="19">
        <f>IF($I4146="","",IF(ISNUMBER($I4146),TEXT($I4146,"0"),$I4146))</f>
        <v/>
      </c>
    </row>
    <row r="4147">
      <c r="B4147" s="25" t="n"/>
      <c r="I4147" s="25" t="n"/>
      <c r="U4147" s="19">
        <f>IF($V4147&lt;&gt;'設定'!$C$4,N(U4146),IF(OR(NOT(COUNTIF('商品マスタ'!$B$6:$B$1005,$W4147)=0),COUNTIFS('①在庫を貼る'!$V$6:$V$10005,$V4147,'①在庫を貼る'!$W$6:$W$10005,$W4147)&gt;0),N(U4146),N(U4146)+1))</f>
        <v/>
      </c>
      <c r="V4147" s="19">
        <f>IF($B4147="","",TEXT($B4147,"0000"))</f>
        <v/>
      </c>
      <c r="W4147" s="19">
        <f>IF($I4147="","",IF(ISNUMBER($I4147),TEXT($I4147,"0"),$I4147))</f>
        <v/>
      </c>
    </row>
    <row r="4148">
      <c r="B4148" s="25" t="n"/>
      <c r="I4148" s="25" t="n"/>
      <c r="U4148" s="19">
        <f>IF($V4148&lt;&gt;'設定'!$C$4,N(U4147),IF(OR(NOT(COUNTIF('商品マスタ'!$B$6:$B$1005,$W4148)=0),COUNTIFS('①在庫を貼る'!$V$6:$V$10005,$V4148,'①在庫を貼る'!$W$6:$W$10005,$W4148)&gt;0),N(U4147),N(U4147)+1))</f>
        <v/>
      </c>
      <c r="V4148" s="19">
        <f>IF($B4148="","",TEXT($B4148,"0000"))</f>
        <v/>
      </c>
      <c r="W4148" s="19">
        <f>IF($I4148="","",IF(ISNUMBER($I4148),TEXT($I4148,"0"),$I4148))</f>
        <v/>
      </c>
    </row>
    <row r="4149">
      <c r="B4149" s="25" t="n"/>
      <c r="I4149" s="25" t="n"/>
      <c r="U4149" s="19">
        <f>IF($V4149&lt;&gt;'設定'!$C$4,N(U4148),IF(OR(NOT(COUNTIF('商品マスタ'!$B$6:$B$1005,$W4149)=0),COUNTIFS('①在庫を貼る'!$V$6:$V$10005,$V4149,'①在庫を貼る'!$W$6:$W$10005,$W4149)&gt;0),N(U4148),N(U4148)+1))</f>
        <v/>
      </c>
      <c r="V4149" s="19">
        <f>IF($B4149="","",TEXT($B4149,"0000"))</f>
        <v/>
      </c>
      <c r="W4149" s="19">
        <f>IF($I4149="","",IF(ISNUMBER($I4149),TEXT($I4149,"0"),$I4149))</f>
        <v/>
      </c>
    </row>
    <row r="4150">
      <c r="B4150" s="25" t="n"/>
      <c r="I4150" s="25" t="n"/>
      <c r="U4150" s="19">
        <f>IF($V4150&lt;&gt;'設定'!$C$4,N(U4149),IF(OR(NOT(COUNTIF('商品マスタ'!$B$6:$B$1005,$W4150)=0),COUNTIFS('①在庫を貼る'!$V$6:$V$10005,$V4150,'①在庫を貼る'!$W$6:$W$10005,$W4150)&gt;0),N(U4149),N(U4149)+1))</f>
        <v/>
      </c>
      <c r="V4150" s="19">
        <f>IF($B4150="","",TEXT($B4150,"0000"))</f>
        <v/>
      </c>
      <c r="W4150" s="19">
        <f>IF($I4150="","",IF(ISNUMBER($I4150),TEXT($I4150,"0"),$I4150))</f>
        <v/>
      </c>
    </row>
    <row r="4151">
      <c r="B4151" s="25" t="n"/>
      <c r="I4151" s="25" t="n"/>
      <c r="U4151" s="19">
        <f>IF($V4151&lt;&gt;'設定'!$C$4,N(U4150),IF(OR(NOT(COUNTIF('商品マスタ'!$B$6:$B$1005,$W4151)=0),COUNTIFS('①在庫を貼る'!$V$6:$V$10005,$V4151,'①在庫を貼る'!$W$6:$W$10005,$W4151)&gt;0),N(U4150),N(U4150)+1))</f>
        <v/>
      </c>
      <c r="V4151" s="19">
        <f>IF($B4151="","",TEXT($B4151,"0000"))</f>
        <v/>
      </c>
      <c r="W4151" s="19">
        <f>IF($I4151="","",IF(ISNUMBER($I4151),TEXT($I4151,"0"),$I4151))</f>
        <v/>
      </c>
    </row>
    <row r="4152">
      <c r="B4152" s="25" t="n"/>
      <c r="I4152" s="25" t="n"/>
      <c r="U4152" s="19">
        <f>IF($V4152&lt;&gt;'設定'!$C$4,N(U4151),IF(OR(NOT(COUNTIF('商品マスタ'!$B$6:$B$1005,$W4152)=0),COUNTIFS('①在庫を貼る'!$V$6:$V$10005,$V4152,'①在庫を貼る'!$W$6:$W$10005,$W4152)&gt;0),N(U4151),N(U4151)+1))</f>
        <v/>
      </c>
      <c r="V4152" s="19">
        <f>IF($B4152="","",TEXT($B4152,"0000"))</f>
        <v/>
      </c>
      <c r="W4152" s="19">
        <f>IF($I4152="","",IF(ISNUMBER($I4152),TEXT($I4152,"0"),$I4152))</f>
        <v/>
      </c>
    </row>
    <row r="4153">
      <c r="B4153" s="25" t="n"/>
      <c r="I4153" s="25" t="n"/>
      <c r="U4153" s="19">
        <f>IF($V4153&lt;&gt;'設定'!$C$4,N(U4152),IF(OR(NOT(COUNTIF('商品マスタ'!$B$6:$B$1005,$W4153)=0),COUNTIFS('①在庫を貼る'!$V$6:$V$10005,$V4153,'①在庫を貼る'!$W$6:$W$10005,$W4153)&gt;0),N(U4152),N(U4152)+1))</f>
        <v/>
      </c>
      <c r="V4153" s="19">
        <f>IF($B4153="","",TEXT($B4153,"0000"))</f>
        <v/>
      </c>
      <c r="W4153" s="19">
        <f>IF($I4153="","",IF(ISNUMBER($I4153),TEXT($I4153,"0"),$I4153))</f>
        <v/>
      </c>
    </row>
    <row r="4154">
      <c r="B4154" s="25" t="n"/>
      <c r="I4154" s="25" t="n"/>
      <c r="U4154" s="19">
        <f>IF($V4154&lt;&gt;'設定'!$C$4,N(U4153),IF(OR(NOT(COUNTIF('商品マスタ'!$B$6:$B$1005,$W4154)=0),COUNTIFS('①在庫を貼る'!$V$6:$V$10005,$V4154,'①在庫を貼る'!$W$6:$W$10005,$W4154)&gt;0),N(U4153),N(U4153)+1))</f>
        <v/>
      </c>
      <c r="V4154" s="19">
        <f>IF($B4154="","",TEXT($B4154,"0000"))</f>
        <v/>
      </c>
      <c r="W4154" s="19">
        <f>IF($I4154="","",IF(ISNUMBER($I4154),TEXT($I4154,"0"),$I4154))</f>
        <v/>
      </c>
    </row>
    <row r="4155">
      <c r="B4155" s="25" t="n"/>
      <c r="I4155" s="25" t="n"/>
      <c r="U4155" s="19">
        <f>IF($V4155&lt;&gt;'設定'!$C$4,N(U4154),IF(OR(NOT(COUNTIF('商品マスタ'!$B$6:$B$1005,$W4155)=0),COUNTIFS('①在庫を貼る'!$V$6:$V$10005,$V4155,'①在庫を貼る'!$W$6:$W$10005,$W4155)&gt;0),N(U4154),N(U4154)+1))</f>
        <v/>
      </c>
      <c r="V4155" s="19">
        <f>IF($B4155="","",TEXT($B4155,"0000"))</f>
        <v/>
      </c>
      <c r="W4155" s="19">
        <f>IF($I4155="","",IF(ISNUMBER($I4155),TEXT($I4155,"0"),$I4155))</f>
        <v/>
      </c>
    </row>
    <row r="4156">
      <c r="B4156" s="25" t="n"/>
      <c r="I4156" s="25" t="n"/>
      <c r="U4156" s="19">
        <f>IF($V4156&lt;&gt;'設定'!$C$4,N(U4155),IF(OR(NOT(COUNTIF('商品マスタ'!$B$6:$B$1005,$W4156)=0),COUNTIFS('①在庫を貼る'!$V$6:$V$10005,$V4156,'①在庫を貼る'!$W$6:$W$10005,$W4156)&gt;0),N(U4155),N(U4155)+1))</f>
        <v/>
      </c>
      <c r="V4156" s="19">
        <f>IF($B4156="","",TEXT($B4156,"0000"))</f>
        <v/>
      </c>
      <c r="W4156" s="19">
        <f>IF($I4156="","",IF(ISNUMBER($I4156),TEXT($I4156,"0"),$I4156))</f>
        <v/>
      </c>
    </row>
    <row r="4157">
      <c r="B4157" s="25" t="n"/>
      <c r="I4157" s="25" t="n"/>
      <c r="U4157" s="19">
        <f>IF($V4157&lt;&gt;'設定'!$C$4,N(U4156),IF(OR(NOT(COUNTIF('商品マスタ'!$B$6:$B$1005,$W4157)=0),COUNTIFS('①在庫を貼る'!$V$6:$V$10005,$V4157,'①在庫を貼る'!$W$6:$W$10005,$W4157)&gt;0),N(U4156),N(U4156)+1))</f>
        <v/>
      </c>
      <c r="V4157" s="19">
        <f>IF($B4157="","",TEXT($B4157,"0000"))</f>
        <v/>
      </c>
      <c r="W4157" s="19">
        <f>IF($I4157="","",IF(ISNUMBER($I4157),TEXT($I4157,"0"),$I4157))</f>
        <v/>
      </c>
    </row>
    <row r="4158">
      <c r="B4158" s="25" t="n"/>
      <c r="I4158" s="25" t="n"/>
      <c r="U4158" s="19">
        <f>IF($V4158&lt;&gt;'設定'!$C$4,N(U4157),IF(OR(NOT(COUNTIF('商品マスタ'!$B$6:$B$1005,$W4158)=0),COUNTIFS('①在庫を貼る'!$V$6:$V$10005,$V4158,'①在庫を貼る'!$W$6:$W$10005,$W4158)&gt;0),N(U4157),N(U4157)+1))</f>
        <v/>
      </c>
      <c r="V4158" s="19">
        <f>IF($B4158="","",TEXT($B4158,"0000"))</f>
        <v/>
      </c>
      <c r="W4158" s="19">
        <f>IF($I4158="","",IF(ISNUMBER($I4158),TEXT($I4158,"0"),$I4158))</f>
        <v/>
      </c>
    </row>
    <row r="4159">
      <c r="B4159" s="25" t="n"/>
      <c r="I4159" s="25" t="n"/>
      <c r="U4159" s="19">
        <f>IF($V4159&lt;&gt;'設定'!$C$4,N(U4158),IF(OR(NOT(COUNTIF('商品マスタ'!$B$6:$B$1005,$W4159)=0),COUNTIFS('①在庫を貼る'!$V$6:$V$10005,$V4159,'①在庫を貼る'!$W$6:$W$10005,$W4159)&gt;0),N(U4158),N(U4158)+1))</f>
        <v/>
      </c>
      <c r="V4159" s="19">
        <f>IF($B4159="","",TEXT($B4159,"0000"))</f>
        <v/>
      </c>
      <c r="W4159" s="19">
        <f>IF($I4159="","",IF(ISNUMBER($I4159),TEXT($I4159,"0"),$I4159))</f>
        <v/>
      </c>
    </row>
    <row r="4160">
      <c r="B4160" s="25" t="n"/>
      <c r="I4160" s="25" t="n"/>
      <c r="U4160" s="19">
        <f>IF($V4160&lt;&gt;'設定'!$C$4,N(U4159),IF(OR(NOT(COUNTIF('商品マスタ'!$B$6:$B$1005,$W4160)=0),COUNTIFS('①在庫を貼る'!$V$6:$V$10005,$V4160,'①在庫を貼る'!$W$6:$W$10005,$W4160)&gt;0),N(U4159),N(U4159)+1))</f>
        <v/>
      </c>
      <c r="V4160" s="19">
        <f>IF($B4160="","",TEXT($B4160,"0000"))</f>
        <v/>
      </c>
      <c r="W4160" s="19">
        <f>IF($I4160="","",IF(ISNUMBER($I4160),TEXT($I4160,"0"),$I4160))</f>
        <v/>
      </c>
    </row>
    <row r="4161">
      <c r="B4161" s="25" t="n"/>
      <c r="I4161" s="25" t="n"/>
      <c r="U4161" s="19">
        <f>IF($V4161&lt;&gt;'設定'!$C$4,N(U4160),IF(OR(NOT(COUNTIF('商品マスタ'!$B$6:$B$1005,$W4161)=0),COUNTIFS('①在庫を貼る'!$V$6:$V$10005,$V4161,'①在庫を貼る'!$W$6:$W$10005,$W4161)&gt;0),N(U4160),N(U4160)+1))</f>
        <v/>
      </c>
      <c r="V4161" s="19">
        <f>IF($B4161="","",TEXT($B4161,"0000"))</f>
        <v/>
      </c>
      <c r="W4161" s="19">
        <f>IF($I4161="","",IF(ISNUMBER($I4161),TEXT($I4161,"0"),$I4161))</f>
        <v/>
      </c>
    </row>
    <row r="4162">
      <c r="B4162" s="25" t="n"/>
      <c r="I4162" s="25" t="n"/>
      <c r="U4162" s="19">
        <f>IF($V4162&lt;&gt;'設定'!$C$4,N(U4161),IF(OR(NOT(COUNTIF('商品マスタ'!$B$6:$B$1005,$W4162)=0),COUNTIFS('①在庫を貼る'!$V$6:$V$10005,$V4162,'①在庫を貼る'!$W$6:$W$10005,$W4162)&gt;0),N(U4161),N(U4161)+1))</f>
        <v/>
      </c>
      <c r="V4162" s="19">
        <f>IF($B4162="","",TEXT($B4162,"0000"))</f>
        <v/>
      </c>
      <c r="W4162" s="19">
        <f>IF($I4162="","",IF(ISNUMBER($I4162),TEXT($I4162,"0"),$I4162))</f>
        <v/>
      </c>
    </row>
    <row r="4163">
      <c r="B4163" s="25" t="n"/>
      <c r="I4163" s="25" t="n"/>
      <c r="U4163" s="19">
        <f>IF($V4163&lt;&gt;'設定'!$C$4,N(U4162),IF(OR(NOT(COUNTIF('商品マスタ'!$B$6:$B$1005,$W4163)=0),COUNTIFS('①在庫を貼る'!$V$6:$V$10005,$V4163,'①在庫を貼る'!$W$6:$W$10005,$W4163)&gt;0),N(U4162),N(U4162)+1))</f>
        <v/>
      </c>
      <c r="V4163" s="19">
        <f>IF($B4163="","",TEXT($B4163,"0000"))</f>
        <v/>
      </c>
      <c r="W4163" s="19">
        <f>IF($I4163="","",IF(ISNUMBER($I4163),TEXT($I4163,"0"),$I4163))</f>
        <v/>
      </c>
    </row>
    <row r="4164">
      <c r="B4164" s="25" t="n"/>
      <c r="I4164" s="25" t="n"/>
      <c r="U4164" s="19">
        <f>IF($V4164&lt;&gt;'設定'!$C$4,N(U4163),IF(OR(NOT(COUNTIF('商品マスタ'!$B$6:$B$1005,$W4164)=0),COUNTIFS('①在庫を貼る'!$V$6:$V$10005,$V4164,'①在庫を貼る'!$W$6:$W$10005,$W4164)&gt;0),N(U4163),N(U4163)+1))</f>
        <v/>
      </c>
      <c r="V4164" s="19">
        <f>IF($B4164="","",TEXT($B4164,"0000"))</f>
        <v/>
      </c>
      <c r="W4164" s="19">
        <f>IF($I4164="","",IF(ISNUMBER($I4164),TEXT($I4164,"0"),$I4164))</f>
        <v/>
      </c>
    </row>
    <row r="4165">
      <c r="B4165" s="25" t="n"/>
      <c r="I4165" s="25" t="n"/>
      <c r="U4165" s="19">
        <f>IF($V4165&lt;&gt;'設定'!$C$4,N(U4164),IF(OR(NOT(COUNTIF('商品マスタ'!$B$6:$B$1005,$W4165)=0),COUNTIFS('①在庫を貼る'!$V$6:$V$10005,$V4165,'①在庫を貼る'!$W$6:$W$10005,$W4165)&gt;0),N(U4164),N(U4164)+1))</f>
        <v/>
      </c>
      <c r="V4165" s="19">
        <f>IF($B4165="","",TEXT($B4165,"0000"))</f>
        <v/>
      </c>
      <c r="W4165" s="19">
        <f>IF($I4165="","",IF(ISNUMBER($I4165),TEXT($I4165,"0"),$I4165))</f>
        <v/>
      </c>
    </row>
    <row r="4166">
      <c r="B4166" s="25" t="n"/>
      <c r="I4166" s="25" t="n"/>
      <c r="U4166" s="19">
        <f>IF($V4166&lt;&gt;'設定'!$C$4,N(U4165),IF(OR(NOT(COUNTIF('商品マスタ'!$B$6:$B$1005,$W4166)=0),COUNTIFS('①在庫を貼る'!$V$6:$V$10005,$V4166,'①在庫を貼る'!$W$6:$W$10005,$W4166)&gt;0),N(U4165),N(U4165)+1))</f>
        <v/>
      </c>
      <c r="V4166" s="19">
        <f>IF($B4166="","",TEXT($B4166,"0000"))</f>
        <v/>
      </c>
      <c r="W4166" s="19">
        <f>IF($I4166="","",IF(ISNUMBER($I4166),TEXT($I4166,"0"),$I4166))</f>
        <v/>
      </c>
    </row>
    <row r="4167">
      <c r="B4167" s="25" t="n"/>
      <c r="I4167" s="25" t="n"/>
      <c r="U4167" s="19">
        <f>IF($V4167&lt;&gt;'設定'!$C$4,N(U4166),IF(OR(NOT(COUNTIF('商品マスタ'!$B$6:$B$1005,$W4167)=0),COUNTIFS('①在庫を貼る'!$V$6:$V$10005,$V4167,'①在庫を貼る'!$W$6:$W$10005,$W4167)&gt;0),N(U4166),N(U4166)+1))</f>
        <v/>
      </c>
      <c r="V4167" s="19">
        <f>IF($B4167="","",TEXT($B4167,"0000"))</f>
        <v/>
      </c>
      <c r="W4167" s="19">
        <f>IF($I4167="","",IF(ISNUMBER($I4167),TEXT($I4167,"0"),$I4167))</f>
        <v/>
      </c>
    </row>
    <row r="4168">
      <c r="B4168" s="25" t="n"/>
      <c r="I4168" s="25" t="n"/>
      <c r="U4168" s="19">
        <f>IF($V4168&lt;&gt;'設定'!$C$4,N(U4167),IF(OR(NOT(COUNTIF('商品マスタ'!$B$6:$B$1005,$W4168)=0),COUNTIFS('①在庫を貼る'!$V$6:$V$10005,$V4168,'①在庫を貼る'!$W$6:$W$10005,$W4168)&gt;0),N(U4167),N(U4167)+1))</f>
        <v/>
      </c>
      <c r="V4168" s="19">
        <f>IF($B4168="","",TEXT($B4168,"0000"))</f>
        <v/>
      </c>
      <c r="W4168" s="19">
        <f>IF($I4168="","",IF(ISNUMBER($I4168),TEXT($I4168,"0"),$I4168))</f>
        <v/>
      </c>
    </row>
    <row r="4169">
      <c r="B4169" s="25" t="n"/>
      <c r="I4169" s="25" t="n"/>
      <c r="U4169" s="19">
        <f>IF($V4169&lt;&gt;'設定'!$C$4,N(U4168),IF(OR(NOT(COUNTIF('商品マスタ'!$B$6:$B$1005,$W4169)=0),COUNTIFS('①在庫を貼る'!$V$6:$V$10005,$V4169,'①在庫を貼る'!$W$6:$W$10005,$W4169)&gt;0),N(U4168),N(U4168)+1))</f>
        <v/>
      </c>
      <c r="V4169" s="19">
        <f>IF($B4169="","",TEXT($B4169,"0000"))</f>
        <v/>
      </c>
      <c r="W4169" s="19">
        <f>IF($I4169="","",IF(ISNUMBER($I4169),TEXT($I4169,"0"),$I4169))</f>
        <v/>
      </c>
    </row>
    <row r="4170">
      <c r="B4170" s="25" t="n"/>
      <c r="I4170" s="25" t="n"/>
      <c r="U4170" s="19">
        <f>IF($V4170&lt;&gt;'設定'!$C$4,N(U4169),IF(OR(NOT(COUNTIF('商品マスタ'!$B$6:$B$1005,$W4170)=0),COUNTIFS('①在庫を貼る'!$V$6:$V$10005,$V4170,'①在庫を貼る'!$W$6:$W$10005,$W4170)&gt;0),N(U4169),N(U4169)+1))</f>
        <v/>
      </c>
      <c r="V4170" s="19">
        <f>IF($B4170="","",TEXT($B4170,"0000"))</f>
        <v/>
      </c>
      <c r="W4170" s="19">
        <f>IF($I4170="","",IF(ISNUMBER($I4170),TEXT($I4170,"0"),$I4170))</f>
        <v/>
      </c>
    </row>
    <row r="4171">
      <c r="B4171" s="25" t="n"/>
      <c r="I4171" s="25" t="n"/>
      <c r="U4171" s="19">
        <f>IF($V4171&lt;&gt;'設定'!$C$4,N(U4170),IF(OR(NOT(COUNTIF('商品マスタ'!$B$6:$B$1005,$W4171)=0),COUNTIFS('①在庫を貼る'!$V$6:$V$10005,$V4171,'①在庫を貼る'!$W$6:$W$10005,$W4171)&gt;0),N(U4170),N(U4170)+1))</f>
        <v/>
      </c>
      <c r="V4171" s="19">
        <f>IF($B4171="","",TEXT($B4171,"0000"))</f>
        <v/>
      </c>
      <c r="W4171" s="19">
        <f>IF($I4171="","",IF(ISNUMBER($I4171),TEXT($I4171,"0"),$I4171))</f>
        <v/>
      </c>
    </row>
    <row r="4172">
      <c r="B4172" s="25" t="n"/>
      <c r="I4172" s="25" t="n"/>
      <c r="U4172" s="19">
        <f>IF($V4172&lt;&gt;'設定'!$C$4,N(U4171),IF(OR(NOT(COUNTIF('商品マスタ'!$B$6:$B$1005,$W4172)=0),COUNTIFS('①在庫を貼る'!$V$6:$V$10005,$V4172,'①在庫を貼る'!$W$6:$W$10005,$W4172)&gt;0),N(U4171),N(U4171)+1))</f>
        <v/>
      </c>
      <c r="V4172" s="19">
        <f>IF($B4172="","",TEXT($B4172,"0000"))</f>
        <v/>
      </c>
      <c r="W4172" s="19">
        <f>IF($I4172="","",IF(ISNUMBER($I4172),TEXT($I4172,"0"),$I4172))</f>
        <v/>
      </c>
    </row>
    <row r="4173">
      <c r="B4173" s="25" t="n"/>
      <c r="I4173" s="25" t="n"/>
      <c r="U4173" s="19">
        <f>IF($V4173&lt;&gt;'設定'!$C$4,N(U4172),IF(OR(NOT(COUNTIF('商品マスタ'!$B$6:$B$1005,$W4173)=0),COUNTIFS('①在庫を貼る'!$V$6:$V$10005,$V4173,'①在庫を貼る'!$W$6:$W$10005,$W4173)&gt;0),N(U4172),N(U4172)+1))</f>
        <v/>
      </c>
      <c r="V4173" s="19">
        <f>IF($B4173="","",TEXT($B4173,"0000"))</f>
        <v/>
      </c>
      <c r="W4173" s="19">
        <f>IF($I4173="","",IF(ISNUMBER($I4173),TEXT($I4173,"0"),$I4173))</f>
        <v/>
      </c>
    </row>
    <row r="4174">
      <c r="B4174" s="25" t="n"/>
      <c r="I4174" s="25" t="n"/>
      <c r="U4174" s="19">
        <f>IF($V4174&lt;&gt;'設定'!$C$4,N(U4173),IF(OR(NOT(COUNTIF('商品マスタ'!$B$6:$B$1005,$W4174)=0),COUNTIFS('①在庫を貼る'!$V$6:$V$10005,$V4174,'①在庫を貼る'!$W$6:$W$10005,$W4174)&gt;0),N(U4173),N(U4173)+1))</f>
        <v/>
      </c>
      <c r="V4174" s="19">
        <f>IF($B4174="","",TEXT($B4174,"0000"))</f>
        <v/>
      </c>
      <c r="W4174" s="19">
        <f>IF($I4174="","",IF(ISNUMBER($I4174),TEXT($I4174,"0"),$I4174))</f>
        <v/>
      </c>
    </row>
    <row r="4175">
      <c r="B4175" s="25" t="n"/>
      <c r="I4175" s="25" t="n"/>
      <c r="U4175" s="19">
        <f>IF($V4175&lt;&gt;'設定'!$C$4,N(U4174),IF(OR(NOT(COUNTIF('商品マスタ'!$B$6:$B$1005,$W4175)=0),COUNTIFS('①在庫を貼る'!$V$6:$V$10005,$V4175,'①在庫を貼る'!$W$6:$W$10005,$W4175)&gt;0),N(U4174),N(U4174)+1))</f>
        <v/>
      </c>
      <c r="V4175" s="19">
        <f>IF($B4175="","",TEXT($B4175,"0000"))</f>
        <v/>
      </c>
      <c r="W4175" s="19">
        <f>IF($I4175="","",IF(ISNUMBER($I4175),TEXT($I4175,"0"),$I4175))</f>
        <v/>
      </c>
    </row>
    <row r="4176">
      <c r="B4176" s="25" t="n"/>
      <c r="I4176" s="25" t="n"/>
      <c r="U4176" s="19">
        <f>IF($V4176&lt;&gt;'設定'!$C$4,N(U4175),IF(OR(NOT(COUNTIF('商品マスタ'!$B$6:$B$1005,$W4176)=0),COUNTIFS('①在庫を貼る'!$V$6:$V$10005,$V4176,'①在庫を貼る'!$W$6:$W$10005,$W4176)&gt;0),N(U4175),N(U4175)+1))</f>
        <v/>
      </c>
      <c r="V4176" s="19">
        <f>IF($B4176="","",TEXT($B4176,"0000"))</f>
        <v/>
      </c>
      <c r="W4176" s="19">
        <f>IF($I4176="","",IF(ISNUMBER($I4176),TEXT($I4176,"0"),$I4176))</f>
        <v/>
      </c>
    </row>
    <row r="4177">
      <c r="B4177" s="25" t="n"/>
      <c r="I4177" s="25" t="n"/>
      <c r="U4177" s="19">
        <f>IF($V4177&lt;&gt;'設定'!$C$4,N(U4176),IF(OR(NOT(COUNTIF('商品マスタ'!$B$6:$B$1005,$W4177)=0),COUNTIFS('①在庫を貼る'!$V$6:$V$10005,$V4177,'①在庫を貼る'!$W$6:$W$10005,$W4177)&gt;0),N(U4176),N(U4176)+1))</f>
        <v/>
      </c>
      <c r="V4177" s="19">
        <f>IF($B4177="","",TEXT($B4177,"0000"))</f>
        <v/>
      </c>
      <c r="W4177" s="19">
        <f>IF($I4177="","",IF(ISNUMBER($I4177),TEXT($I4177,"0"),$I4177))</f>
        <v/>
      </c>
    </row>
    <row r="4178">
      <c r="B4178" s="25" t="n"/>
      <c r="I4178" s="25" t="n"/>
      <c r="U4178" s="19">
        <f>IF($V4178&lt;&gt;'設定'!$C$4,N(U4177),IF(OR(NOT(COUNTIF('商品マスタ'!$B$6:$B$1005,$W4178)=0),COUNTIFS('①在庫を貼る'!$V$6:$V$10005,$V4178,'①在庫を貼る'!$W$6:$W$10005,$W4178)&gt;0),N(U4177),N(U4177)+1))</f>
        <v/>
      </c>
      <c r="V4178" s="19">
        <f>IF($B4178="","",TEXT($B4178,"0000"))</f>
        <v/>
      </c>
      <c r="W4178" s="19">
        <f>IF($I4178="","",IF(ISNUMBER($I4178),TEXT($I4178,"0"),$I4178))</f>
        <v/>
      </c>
    </row>
    <row r="4179">
      <c r="B4179" s="25" t="n"/>
      <c r="I4179" s="25" t="n"/>
      <c r="U4179" s="19">
        <f>IF($V4179&lt;&gt;'設定'!$C$4,N(U4178),IF(OR(NOT(COUNTIF('商品マスタ'!$B$6:$B$1005,$W4179)=0),COUNTIFS('①在庫を貼る'!$V$6:$V$10005,$V4179,'①在庫を貼る'!$W$6:$W$10005,$W4179)&gt;0),N(U4178),N(U4178)+1))</f>
        <v/>
      </c>
      <c r="V4179" s="19">
        <f>IF($B4179="","",TEXT($B4179,"0000"))</f>
        <v/>
      </c>
      <c r="W4179" s="19">
        <f>IF($I4179="","",IF(ISNUMBER($I4179),TEXT($I4179,"0"),$I4179))</f>
        <v/>
      </c>
    </row>
    <row r="4180">
      <c r="B4180" s="25" t="n"/>
      <c r="I4180" s="25" t="n"/>
      <c r="U4180" s="19">
        <f>IF($V4180&lt;&gt;'設定'!$C$4,N(U4179),IF(OR(NOT(COUNTIF('商品マスタ'!$B$6:$B$1005,$W4180)=0),COUNTIFS('①在庫を貼る'!$V$6:$V$10005,$V4180,'①在庫を貼る'!$W$6:$W$10005,$W4180)&gt;0),N(U4179),N(U4179)+1))</f>
        <v/>
      </c>
      <c r="V4180" s="19">
        <f>IF($B4180="","",TEXT($B4180,"0000"))</f>
        <v/>
      </c>
      <c r="W4180" s="19">
        <f>IF($I4180="","",IF(ISNUMBER($I4180),TEXT($I4180,"0"),$I4180))</f>
        <v/>
      </c>
    </row>
    <row r="4181">
      <c r="B4181" s="25" t="n"/>
      <c r="I4181" s="25" t="n"/>
      <c r="U4181" s="19">
        <f>IF($V4181&lt;&gt;'設定'!$C$4,N(U4180),IF(OR(NOT(COUNTIF('商品マスタ'!$B$6:$B$1005,$W4181)=0),COUNTIFS('①在庫を貼る'!$V$6:$V$10005,$V4181,'①在庫を貼る'!$W$6:$W$10005,$W4181)&gt;0),N(U4180),N(U4180)+1))</f>
        <v/>
      </c>
      <c r="V4181" s="19">
        <f>IF($B4181="","",TEXT($B4181,"0000"))</f>
        <v/>
      </c>
      <c r="W4181" s="19">
        <f>IF($I4181="","",IF(ISNUMBER($I4181),TEXT($I4181,"0"),$I4181))</f>
        <v/>
      </c>
    </row>
    <row r="4182">
      <c r="B4182" s="25" t="n"/>
      <c r="I4182" s="25" t="n"/>
      <c r="U4182" s="19">
        <f>IF($V4182&lt;&gt;'設定'!$C$4,N(U4181),IF(OR(NOT(COUNTIF('商品マスタ'!$B$6:$B$1005,$W4182)=0),COUNTIFS('①在庫を貼る'!$V$6:$V$10005,$V4182,'①在庫を貼る'!$W$6:$W$10005,$W4182)&gt;0),N(U4181),N(U4181)+1))</f>
        <v/>
      </c>
      <c r="V4182" s="19">
        <f>IF($B4182="","",TEXT($B4182,"0000"))</f>
        <v/>
      </c>
      <c r="W4182" s="19">
        <f>IF($I4182="","",IF(ISNUMBER($I4182),TEXT($I4182,"0"),$I4182))</f>
        <v/>
      </c>
    </row>
    <row r="4183">
      <c r="B4183" s="25" t="n"/>
      <c r="I4183" s="25" t="n"/>
      <c r="U4183" s="19">
        <f>IF($V4183&lt;&gt;'設定'!$C$4,N(U4182),IF(OR(NOT(COUNTIF('商品マスタ'!$B$6:$B$1005,$W4183)=0),COUNTIFS('①在庫を貼る'!$V$6:$V$10005,$V4183,'①在庫を貼る'!$W$6:$W$10005,$W4183)&gt;0),N(U4182),N(U4182)+1))</f>
        <v/>
      </c>
      <c r="V4183" s="19">
        <f>IF($B4183="","",TEXT($B4183,"0000"))</f>
        <v/>
      </c>
      <c r="W4183" s="19">
        <f>IF($I4183="","",IF(ISNUMBER($I4183),TEXT($I4183,"0"),$I4183))</f>
        <v/>
      </c>
    </row>
    <row r="4184">
      <c r="B4184" s="25" t="n"/>
      <c r="I4184" s="25" t="n"/>
      <c r="U4184" s="19">
        <f>IF($V4184&lt;&gt;'設定'!$C$4,N(U4183),IF(OR(NOT(COUNTIF('商品マスタ'!$B$6:$B$1005,$W4184)=0),COUNTIFS('①在庫を貼る'!$V$6:$V$10005,$V4184,'①在庫を貼る'!$W$6:$W$10005,$W4184)&gt;0),N(U4183),N(U4183)+1))</f>
        <v/>
      </c>
      <c r="V4184" s="19">
        <f>IF($B4184="","",TEXT($B4184,"0000"))</f>
        <v/>
      </c>
      <c r="W4184" s="19">
        <f>IF($I4184="","",IF(ISNUMBER($I4184),TEXT($I4184,"0"),$I4184))</f>
        <v/>
      </c>
    </row>
    <row r="4185">
      <c r="B4185" s="25" t="n"/>
      <c r="I4185" s="25" t="n"/>
      <c r="U4185" s="19">
        <f>IF($V4185&lt;&gt;'設定'!$C$4,N(U4184),IF(OR(NOT(COUNTIF('商品マスタ'!$B$6:$B$1005,$W4185)=0),COUNTIFS('①在庫を貼る'!$V$6:$V$10005,$V4185,'①在庫を貼る'!$W$6:$W$10005,$W4185)&gt;0),N(U4184),N(U4184)+1))</f>
        <v/>
      </c>
      <c r="V4185" s="19">
        <f>IF($B4185="","",TEXT($B4185,"0000"))</f>
        <v/>
      </c>
      <c r="W4185" s="19">
        <f>IF($I4185="","",IF(ISNUMBER($I4185),TEXT($I4185,"0"),$I4185))</f>
        <v/>
      </c>
    </row>
    <row r="4186">
      <c r="B4186" s="25" t="n"/>
      <c r="I4186" s="25" t="n"/>
      <c r="U4186" s="19">
        <f>IF($V4186&lt;&gt;'設定'!$C$4,N(U4185),IF(OR(NOT(COUNTIF('商品マスタ'!$B$6:$B$1005,$W4186)=0),COUNTIFS('①在庫を貼る'!$V$6:$V$10005,$V4186,'①在庫を貼る'!$W$6:$W$10005,$W4186)&gt;0),N(U4185),N(U4185)+1))</f>
        <v/>
      </c>
      <c r="V4186" s="19">
        <f>IF($B4186="","",TEXT($B4186,"0000"))</f>
        <v/>
      </c>
      <c r="W4186" s="19">
        <f>IF($I4186="","",IF(ISNUMBER($I4186),TEXT($I4186,"0"),$I4186))</f>
        <v/>
      </c>
    </row>
    <row r="4187">
      <c r="B4187" s="25" t="n"/>
      <c r="I4187" s="25" t="n"/>
      <c r="U4187" s="19">
        <f>IF($V4187&lt;&gt;'設定'!$C$4,N(U4186),IF(OR(NOT(COUNTIF('商品マスタ'!$B$6:$B$1005,$W4187)=0),COUNTIFS('①在庫を貼る'!$V$6:$V$10005,$V4187,'①在庫を貼る'!$W$6:$W$10005,$W4187)&gt;0),N(U4186),N(U4186)+1))</f>
        <v/>
      </c>
      <c r="V4187" s="19">
        <f>IF($B4187="","",TEXT($B4187,"0000"))</f>
        <v/>
      </c>
      <c r="W4187" s="19">
        <f>IF($I4187="","",IF(ISNUMBER($I4187),TEXT($I4187,"0"),$I4187))</f>
        <v/>
      </c>
    </row>
    <row r="4188">
      <c r="B4188" s="25" t="n"/>
      <c r="I4188" s="25" t="n"/>
      <c r="U4188" s="19">
        <f>IF($V4188&lt;&gt;'設定'!$C$4,N(U4187),IF(OR(NOT(COUNTIF('商品マスタ'!$B$6:$B$1005,$W4188)=0),COUNTIFS('①在庫を貼る'!$V$6:$V$10005,$V4188,'①在庫を貼る'!$W$6:$W$10005,$W4188)&gt;0),N(U4187),N(U4187)+1))</f>
        <v/>
      </c>
      <c r="V4188" s="19">
        <f>IF($B4188="","",TEXT($B4188,"0000"))</f>
        <v/>
      </c>
      <c r="W4188" s="19">
        <f>IF($I4188="","",IF(ISNUMBER($I4188),TEXT($I4188,"0"),$I4188))</f>
        <v/>
      </c>
    </row>
    <row r="4189">
      <c r="B4189" s="25" t="n"/>
      <c r="I4189" s="25" t="n"/>
      <c r="U4189" s="19">
        <f>IF($V4189&lt;&gt;'設定'!$C$4,N(U4188),IF(OR(NOT(COUNTIF('商品マスタ'!$B$6:$B$1005,$W4189)=0),COUNTIFS('①在庫を貼る'!$V$6:$V$10005,$V4189,'①在庫を貼る'!$W$6:$W$10005,$W4189)&gt;0),N(U4188),N(U4188)+1))</f>
        <v/>
      </c>
      <c r="V4189" s="19">
        <f>IF($B4189="","",TEXT($B4189,"0000"))</f>
        <v/>
      </c>
      <c r="W4189" s="19">
        <f>IF($I4189="","",IF(ISNUMBER($I4189),TEXT($I4189,"0"),$I4189))</f>
        <v/>
      </c>
    </row>
    <row r="4190">
      <c r="B4190" s="25" t="n"/>
      <c r="I4190" s="25" t="n"/>
      <c r="U4190" s="19">
        <f>IF($V4190&lt;&gt;'設定'!$C$4,N(U4189),IF(OR(NOT(COUNTIF('商品マスタ'!$B$6:$B$1005,$W4190)=0),COUNTIFS('①在庫を貼る'!$V$6:$V$10005,$V4190,'①在庫を貼る'!$W$6:$W$10005,$W4190)&gt;0),N(U4189),N(U4189)+1))</f>
        <v/>
      </c>
      <c r="V4190" s="19">
        <f>IF($B4190="","",TEXT($B4190,"0000"))</f>
        <v/>
      </c>
      <c r="W4190" s="19">
        <f>IF($I4190="","",IF(ISNUMBER($I4190),TEXT($I4190,"0"),$I4190))</f>
        <v/>
      </c>
    </row>
    <row r="4191">
      <c r="B4191" s="25" t="n"/>
      <c r="I4191" s="25" t="n"/>
      <c r="U4191" s="19">
        <f>IF($V4191&lt;&gt;'設定'!$C$4,N(U4190),IF(OR(NOT(COUNTIF('商品マスタ'!$B$6:$B$1005,$W4191)=0),COUNTIFS('①在庫を貼る'!$V$6:$V$10005,$V4191,'①在庫を貼る'!$W$6:$W$10005,$W4191)&gt;0),N(U4190),N(U4190)+1))</f>
        <v/>
      </c>
      <c r="V4191" s="19">
        <f>IF($B4191="","",TEXT($B4191,"0000"))</f>
        <v/>
      </c>
      <c r="W4191" s="19">
        <f>IF($I4191="","",IF(ISNUMBER($I4191),TEXT($I4191,"0"),$I4191))</f>
        <v/>
      </c>
    </row>
    <row r="4192">
      <c r="B4192" s="25" t="n"/>
      <c r="I4192" s="25" t="n"/>
      <c r="U4192" s="19">
        <f>IF($V4192&lt;&gt;'設定'!$C$4,N(U4191),IF(OR(NOT(COUNTIF('商品マスタ'!$B$6:$B$1005,$W4192)=0),COUNTIFS('①在庫を貼る'!$V$6:$V$10005,$V4192,'①在庫を貼る'!$W$6:$W$10005,$W4192)&gt;0),N(U4191),N(U4191)+1))</f>
        <v/>
      </c>
      <c r="V4192" s="19">
        <f>IF($B4192="","",TEXT($B4192,"0000"))</f>
        <v/>
      </c>
      <c r="W4192" s="19">
        <f>IF($I4192="","",IF(ISNUMBER($I4192),TEXT($I4192,"0"),$I4192))</f>
        <v/>
      </c>
    </row>
    <row r="4193">
      <c r="B4193" s="25" t="n"/>
      <c r="I4193" s="25" t="n"/>
      <c r="U4193" s="19">
        <f>IF($V4193&lt;&gt;'設定'!$C$4,N(U4192),IF(OR(NOT(COUNTIF('商品マスタ'!$B$6:$B$1005,$W4193)=0),COUNTIFS('①在庫を貼る'!$V$6:$V$10005,$V4193,'①在庫を貼る'!$W$6:$W$10005,$W4193)&gt;0),N(U4192),N(U4192)+1))</f>
        <v/>
      </c>
      <c r="V4193" s="19">
        <f>IF($B4193="","",TEXT($B4193,"0000"))</f>
        <v/>
      </c>
      <c r="W4193" s="19">
        <f>IF($I4193="","",IF(ISNUMBER($I4193),TEXT($I4193,"0"),$I4193))</f>
        <v/>
      </c>
    </row>
    <row r="4194">
      <c r="B4194" s="25" t="n"/>
      <c r="I4194" s="25" t="n"/>
      <c r="U4194" s="19">
        <f>IF($V4194&lt;&gt;'設定'!$C$4,N(U4193),IF(OR(NOT(COUNTIF('商品マスタ'!$B$6:$B$1005,$W4194)=0),COUNTIFS('①在庫を貼る'!$V$6:$V$10005,$V4194,'①在庫を貼る'!$W$6:$W$10005,$W4194)&gt;0),N(U4193),N(U4193)+1))</f>
        <v/>
      </c>
      <c r="V4194" s="19">
        <f>IF($B4194="","",TEXT($B4194,"0000"))</f>
        <v/>
      </c>
      <c r="W4194" s="19">
        <f>IF($I4194="","",IF(ISNUMBER($I4194),TEXT($I4194,"0"),$I4194))</f>
        <v/>
      </c>
    </row>
    <row r="4195">
      <c r="B4195" s="25" t="n"/>
      <c r="I4195" s="25" t="n"/>
      <c r="U4195" s="19">
        <f>IF($V4195&lt;&gt;'設定'!$C$4,N(U4194),IF(OR(NOT(COUNTIF('商品マスタ'!$B$6:$B$1005,$W4195)=0),COUNTIFS('①在庫を貼る'!$V$6:$V$10005,$V4195,'①在庫を貼る'!$W$6:$W$10005,$W4195)&gt;0),N(U4194),N(U4194)+1))</f>
        <v/>
      </c>
      <c r="V4195" s="19">
        <f>IF($B4195="","",TEXT($B4195,"0000"))</f>
        <v/>
      </c>
      <c r="W4195" s="19">
        <f>IF($I4195="","",IF(ISNUMBER($I4195),TEXT($I4195,"0"),$I4195))</f>
        <v/>
      </c>
    </row>
    <row r="4196">
      <c r="B4196" s="25" t="n"/>
      <c r="I4196" s="25" t="n"/>
      <c r="U4196" s="19">
        <f>IF($V4196&lt;&gt;'設定'!$C$4,N(U4195),IF(OR(NOT(COUNTIF('商品マスタ'!$B$6:$B$1005,$W4196)=0),COUNTIFS('①在庫を貼る'!$V$6:$V$10005,$V4196,'①在庫を貼る'!$W$6:$W$10005,$W4196)&gt;0),N(U4195),N(U4195)+1))</f>
        <v/>
      </c>
      <c r="V4196" s="19">
        <f>IF($B4196="","",TEXT($B4196,"0000"))</f>
        <v/>
      </c>
      <c r="W4196" s="19">
        <f>IF($I4196="","",IF(ISNUMBER($I4196),TEXT($I4196,"0"),$I4196))</f>
        <v/>
      </c>
    </row>
    <row r="4197">
      <c r="B4197" s="25" t="n"/>
      <c r="I4197" s="25" t="n"/>
      <c r="U4197" s="19">
        <f>IF($V4197&lt;&gt;'設定'!$C$4,N(U4196),IF(OR(NOT(COUNTIF('商品マスタ'!$B$6:$B$1005,$W4197)=0),COUNTIFS('①在庫を貼る'!$V$6:$V$10005,$V4197,'①在庫を貼る'!$W$6:$W$10005,$W4197)&gt;0),N(U4196),N(U4196)+1))</f>
        <v/>
      </c>
      <c r="V4197" s="19">
        <f>IF($B4197="","",TEXT($B4197,"0000"))</f>
        <v/>
      </c>
      <c r="W4197" s="19">
        <f>IF($I4197="","",IF(ISNUMBER($I4197),TEXT($I4197,"0"),$I4197))</f>
        <v/>
      </c>
    </row>
    <row r="4198">
      <c r="B4198" s="25" t="n"/>
      <c r="I4198" s="25" t="n"/>
      <c r="U4198" s="19">
        <f>IF($V4198&lt;&gt;'設定'!$C$4,N(U4197),IF(OR(NOT(COUNTIF('商品マスタ'!$B$6:$B$1005,$W4198)=0),COUNTIFS('①在庫を貼る'!$V$6:$V$10005,$V4198,'①在庫を貼る'!$W$6:$W$10005,$W4198)&gt;0),N(U4197),N(U4197)+1))</f>
        <v/>
      </c>
      <c r="V4198" s="19">
        <f>IF($B4198="","",TEXT($B4198,"0000"))</f>
        <v/>
      </c>
      <c r="W4198" s="19">
        <f>IF($I4198="","",IF(ISNUMBER($I4198),TEXT($I4198,"0"),$I4198))</f>
        <v/>
      </c>
    </row>
    <row r="4199">
      <c r="B4199" s="25" t="n"/>
      <c r="I4199" s="25" t="n"/>
      <c r="U4199" s="19">
        <f>IF($V4199&lt;&gt;'設定'!$C$4,N(U4198),IF(OR(NOT(COUNTIF('商品マスタ'!$B$6:$B$1005,$W4199)=0),COUNTIFS('①在庫を貼る'!$V$6:$V$10005,$V4199,'①在庫を貼る'!$W$6:$W$10005,$W4199)&gt;0),N(U4198),N(U4198)+1))</f>
        <v/>
      </c>
      <c r="V4199" s="19">
        <f>IF($B4199="","",TEXT($B4199,"0000"))</f>
        <v/>
      </c>
      <c r="W4199" s="19">
        <f>IF($I4199="","",IF(ISNUMBER($I4199),TEXT($I4199,"0"),$I4199))</f>
        <v/>
      </c>
    </row>
    <row r="4200">
      <c r="B4200" s="25" t="n"/>
      <c r="I4200" s="25" t="n"/>
      <c r="U4200" s="19">
        <f>IF($V4200&lt;&gt;'設定'!$C$4,N(U4199),IF(OR(NOT(COUNTIF('商品マスタ'!$B$6:$B$1005,$W4200)=0),COUNTIFS('①在庫を貼る'!$V$6:$V$10005,$V4200,'①在庫を貼る'!$W$6:$W$10005,$W4200)&gt;0),N(U4199),N(U4199)+1))</f>
        <v/>
      </c>
      <c r="V4200" s="19">
        <f>IF($B4200="","",TEXT($B4200,"0000"))</f>
        <v/>
      </c>
      <c r="W4200" s="19">
        <f>IF($I4200="","",IF(ISNUMBER($I4200),TEXT($I4200,"0"),$I4200))</f>
        <v/>
      </c>
    </row>
    <row r="4201">
      <c r="B4201" s="25" t="n"/>
      <c r="I4201" s="25" t="n"/>
      <c r="U4201" s="19">
        <f>IF($V4201&lt;&gt;'設定'!$C$4,N(U4200),IF(OR(NOT(COUNTIF('商品マスタ'!$B$6:$B$1005,$W4201)=0),COUNTIFS('①在庫を貼る'!$V$6:$V$10005,$V4201,'①在庫を貼る'!$W$6:$W$10005,$W4201)&gt;0),N(U4200),N(U4200)+1))</f>
        <v/>
      </c>
      <c r="V4201" s="19">
        <f>IF($B4201="","",TEXT($B4201,"0000"))</f>
        <v/>
      </c>
      <c r="W4201" s="19">
        <f>IF($I4201="","",IF(ISNUMBER($I4201),TEXT($I4201,"0"),$I4201))</f>
        <v/>
      </c>
    </row>
    <row r="4202">
      <c r="B4202" s="25" t="n"/>
      <c r="I4202" s="25" t="n"/>
      <c r="U4202" s="19">
        <f>IF($V4202&lt;&gt;'設定'!$C$4,N(U4201),IF(OR(NOT(COUNTIF('商品マスタ'!$B$6:$B$1005,$W4202)=0),COUNTIFS('①在庫を貼る'!$V$6:$V$10005,$V4202,'①在庫を貼る'!$W$6:$W$10005,$W4202)&gt;0),N(U4201),N(U4201)+1))</f>
        <v/>
      </c>
      <c r="V4202" s="19">
        <f>IF($B4202="","",TEXT($B4202,"0000"))</f>
        <v/>
      </c>
      <c r="W4202" s="19">
        <f>IF($I4202="","",IF(ISNUMBER($I4202),TEXT($I4202,"0"),$I4202))</f>
        <v/>
      </c>
    </row>
    <row r="4203">
      <c r="B4203" s="25" t="n"/>
      <c r="I4203" s="25" t="n"/>
      <c r="U4203" s="19">
        <f>IF($V4203&lt;&gt;'設定'!$C$4,N(U4202),IF(OR(NOT(COUNTIF('商品マスタ'!$B$6:$B$1005,$W4203)=0),COUNTIFS('①在庫を貼る'!$V$6:$V$10005,$V4203,'①在庫を貼る'!$W$6:$W$10005,$W4203)&gt;0),N(U4202),N(U4202)+1))</f>
        <v/>
      </c>
      <c r="V4203" s="19">
        <f>IF($B4203="","",TEXT($B4203,"0000"))</f>
        <v/>
      </c>
      <c r="W4203" s="19">
        <f>IF($I4203="","",IF(ISNUMBER($I4203),TEXT($I4203,"0"),$I4203))</f>
        <v/>
      </c>
    </row>
    <row r="4204">
      <c r="B4204" s="25" t="n"/>
      <c r="I4204" s="25" t="n"/>
      <c r="U4204" s="19">
        <f>IF($V4204&lt;&gt;'設定'!$C$4,N(U4203),IF(OR(NOT(COUNTIF('商品マスタ'!$B$6:$B$1005,$W4204)=0),COUNTIFS('①在庫を貼る'!$V$6:$V$10005,$V4204,'①在庫を貼る'!$W$6:$W$10005,$W4204)&gt;0),N(U4203),N(U4203)+1))</f>
        <v/>
      </c>
      <c r="V4204" s="19">
        <f>IF($B4204="","",TEXT($B4204,"0000"))</f>
        <v/>
      </c>
      <c r="W4204" s="19">
        <f>IF($I4204="","",IF(ISNUMBER($I4204),TEXT($I4204,"0"),$I4204))</f>
        <v/>
      </c>
    </row>
    <row r="4205">
      <c r="B4205" s="25" t="n"/>
      <c r="I4205" s="25" t="n"/>
      <c r="U4205" s="19">
        <f>IF($V4205&lt;&gt;'設定'!$C$4,N(U4204),IF(OR(NOT(COUNTIF('商品マスタ'!$B$6:$B$1005,$W4205)=0),COUNTIFS('①在庫を貼る'!$V$6:$V$10005,$V4205,'①在庫を貼る'!$W$6:$W$10005,$W4205)&gt;0),N(U4204),N(U4204)+1))</f>
        <v/>
      </c>
      <c r="V4205" s="19">
        <f>IF($B4205="","",TEXT($B4205,"0000"))</f>
        <v/>
      </c>
      <c r="W4205" s="19">
        <f>IF($I4205="","",IF(ISNUMBER($I4205),TEXT($I4205,"0"),$I4205))</f>
        <v/>
      </c>
    </row>
    <row r="4206">
      <c r="B4206" s="25" t="n"/>
      <c r="I4206" s="25" t="n"/>
      <c r="U4206" s="19">
        <f>IF($V4206&lt;&gt;'設定'!$C$4,N(U4205),IF(OR(NOT(COUNTIF('商品マスタ'!$B$6:$B$1005,$W4206)=0),COUNTIFS('①在庫を貼る'!$V$6:$V$10005,$V4206,'①在庫を貼る'!$W$6:$W$10005,$W4206)&gt;0),N(U4205),N(U4205)+1))</f>
        <v/>
      </c>
      <c r="V4206" s="19">
        <f>IF($B4206="","",TEXT($B4206,"0000"))</f>
        <v/>
      </c>
      <c r="W4206" s="19">
        <f>IF($I4206="","",IF(ISNUMBER($I4206),TEXT($I4206,"0"),$I4206))</f>
        <v/>
      </c>
    </row>
    <row r="4207">
      <c r="B4207" s="25" t="n"/>
      <c r="I4207" s="25" t="n"/>
      <c r="U4207" s="19">
        <f>IF($V4207&lt;&gt;'設定'!$C$4,N(U4206),IF(OR(NOT(COUNTIF('商品マスタ'!$B$6:$B$1005,$W4207)=0),COUNTIFS('①在庫を貼る'!$V$6:$V$10005,$V4207,'①在庫を貼る'!$W$6:$W$10005,$W4207)&gt;0),N(U4206),N(U4206)+1))</f>
        <v/>
      </c>
      <c r="V4207" s="19">
        <f>IF($B4207="","",TEXT($B4207,"0000"))</f>
        <v/>
      </c>
      <c r="W4207" s="19">
        <f>IF($I4207="","",IF(ISNUMBER($I4207),TEXT($I4207,"0"),$I4207))</f>
        <v/>
      </c>
    </row>
    <row r="4208">
      <c r="B4208" s="25" t="n"/>
      <c r="I4208" s="25" t="n"/>
      <c r="U4208" s="19">
        <f>IF($V4208&lt;&gt;'設定'!$C$4,N(U4207),IF(OR(NOT(COUNTIF('商品マスタ'!$B$6:$B$1005,$W4208)=0),COUNTIFS('①在庫を貼る'!$V$6:$V$10005,$V4208,'①在庫を貼る'!$W$6:$W$10005,$W4208)&gt;0),N(U4207),N(U4207)+1))</f>
        <v/>
      </c>
      <c r="V4208" s="19">
        <f>IF($B4208="","",TEXT($B4208,"0000"))</f>
        <v/>
      </c>
      <c r="W4208" s="19">
        <f>IF($I4208="","",IF(ISNUMBER($I4208),TEXT($I4208,"0"),$I4208))</f>
        <v/>
      </c>
    </row>
    <row r="4209">
      <c r="B4209" s="25" t="n"/>
      <c r="I4209" s="25" t="n"/>
      <c r="U4209" s="19">
        <f>IF($V4209&lt;&gt;'設定'!$C$4,N(U4208),IF(OR(NOT(COUNTIF('商品マスタ'!$B$6:$B$1005,$W4209)=0),COUNTIFS('①在庫を貼る'!$V$6:$V$10005,$V4209,'①在庫を貼る'!$W$6:$W$10005,$W4209)&gt;0),N(U4208),N(U4208)+1))</f>
        <v/>
      </c>
      <c r="V4209" s="19">
        <f>IF($B4209="","",TEXT($B4209,"0000"))</f>
        <v/>
      </c>
      <c r="W4209" s="19">
        <f>IF($I4209="","",IF(ISNUMBER($I4209),TEXT($I4209,"0"),$I4209))</f>
        <v/>
      </c>
    </row>
    <row r="4210">
      <c r="B4210" s="25" t="n"/>
      <c r="I4210" s="25" t="n"/>
      <c r="U4210" s="19">
        <f>IF($V4210&lt;&gt;'設定'!$C$4,N(U4209),IF(OR(NOT(COUNTIF('商品マスタ'!$B$6:$B$1005,$W4210)=0),COUNTIFS('①在庫を貼る'!$V$6:$V$10005,$V4210,'①在庫を貼る'!$W$6:$W$10005,$W4210)&gt;0),N(U4209),N(U4209)+1))</f>
        <v/>
      </c>
      <c r="V4210" s="19">
        <f>IF($B4210="","",TEXT($B4210,"0000"))</f>
        <v/>
      </c>
      <c r="W4210" s="19">
        <f>IF($I4210="","",IF(ISNUMBER($I4210),TEXT($I4210,"0"),$I4210))</f>
        <v/>
      </c>
    </row>
    <row r="4211">
      <c r="B4211" s="25" t="n"/>
      <c r="I4211" s="25" t="n"/>
      <c r="U4211" s="19">
        <f>IF($V4211&lt;&gt;'設定'!$C$4,N(U4210),IF(OR(NOT(COUNTIF('商品マスタ'!$B$6:$B$1005,$W4211)=0),COUNTIFS('①在庫を貼る'!$V$6:$V$10005,$V4211,'①在庫を貼る'!$W$6:$W$10005,$W4211)&gt;0),N(U4210),N(U4210)+1))</f>
        <v/>
      </c>
      <c r="V4211" s="19">
        <f>IF($B4211="","",TEXT($B4211,"0000"))</f>
        <v/>
      </c>
      <c r="W4211" s="19">
        <f>IF($I4211="","",IF(ISNUMBER($I4211),TEXT($I4211,"0"),$I4211))</f>
        <v/>
      </c>
    </row>
    <row r="4212">
      <c r="B4212" s="25" t="n"/>
      <c r="I4212" s="25" t="n"/>
      <c r="U4212" s="19">
        <f>IF($V4212&lt;&gt;'設定'!$C$4,N(U4211),IF(OR(NOT(COUNTIF('商品マスタ'!$B$6:$B$1005,$W4212)=0),COUNTIFS('①在庫を貼る'!$V$6:$V$10005,$V4212,'①在庫を貼る'!$W$6:$W$10005,$W4212)&gt;0),N(U4211),N(U4211)+1))</f>
        <v/>
      </c>
      <c r="V4212" s="19">
        <f>IF($B4212="","",TEXT($B4212,"0000"))</f>
        <v/>
      </c>
      <c r="W4212" s="19">
        <f>IF($I4212="","",IF(ISNUMBER($I4212),TEXT($I4212,"0"),$I4212))</f>
        <v/>
      </c>
    </row>
    <row r="4213">
      <c r="B4213" s="25" t="n"/>
      <c r="I4213" s="25" t="n"/>
      <c r="U4213" s="19">
        <f>IF($V4213&lt;&gt;'設定'!$C$4,N(U4212),IF(OR(NOT(COUNTIF('商品マスタ'!$B$6:$B$1005,$W4213)=0),COUNTIFS('①在庫を貼る'!$V$6:$V$10005,$V4213,'①在庫を貼る'!$W$6:$W$10005,$W4213)&gt;0),N(U4212),N(U4212)+1))</f>
        <v/>
      </c>
      <c r="V4213" s="19">
        <f>IF($B4213="","",TEXT($B4213,"0000"))</f>
        <v/>
      </c>
      <c r="W4213" s="19">
        <f>IF($I4213="","",IF(ISNUMBER($I4213),TEXT($I4213,"0"),$I4213))</f>
        <v/>
      </c>
    </row>
    <row r="4214">
      <c r="B4214" s="25" t="n"/>
      <c r="I4214" s="25" t="n"/>
      <c r="U4214" s="19">
        <f>IF($V4214&lt;&gt;'設定'!$C$4,N(U4213),IF(OR(NOT(COUNTIF('商品マスタ'!$B$6:$B$1005,$W4214)=0),COUNTIFS('①在庫を貼る'!$V$6:$V$10005,$V4214,'①在庫を貼る'!$W$6:$W$10005,$W4214)&gt;0),N(U4213),N(U4213)+1))</f>
        <v/>
      </c>
      <c r="V4214" s="19">
        <f>IF($B4214="","",TEXT($B4214,"0000"))</f>
        <v/>
      </c>
      <c r="W4214" s="19">
        <f>IF($I4214="","",IF(ISNUMBER($I4214),TEXT($I4214,"0"),$I4214))</f>
        <v/>
      </c>
    </row>
    <row r="4215">
      <c r="B4215" s="25" t="n"/>
      <c r="I4215" s="25" t="n"/>
      <c r="U4215" s="19">
        <f>IF($V4215&lt;&gt;'設定'!$C$4,N(U4214),IF(OR(NOT(COUNTIF('商品マスタ'!$B$6:$B$1005,$W4215)=0),COUNTIFS('①在庫を貼る'!$V$6:$V$10005,$V4215,'①在庫を貼る'!$W$6:$W$10005,$W4215)&gt;0),N(U4214),N(U4214)+1))</f>
        <v/>
      </c>
      <c r="V4215" s="19">
        <f>IF($B4215="","",TEXT($B4215,"0000"))</f>
        <v/>
      </c>
      <c r="W4215" s="19">
        <f>IF($I4215="","",IF(ISNUMBER($I4215),TEXT($I4215,"0"),$I4215))</f>
        <v/>
      </c>
    </row>
    <row r="4216">
      <c r="B4216" s="25" t="n"/>
      <c r="I4216" s="25" t="n"/>
      <c r="U4216" s="19">
        <f>IF($V4216&lt;&gt;'設定'!$C$4,N(U4215),IF(OR(NOT(COUNTIF('商品マスタ'!$B$6:$B$1005,$W4216)=0),COUNTIFS('①在庫を貼る'!$V$6:$V$10005,$V4216,'①在庫を貼る'!$W$6:$W$10005,$W4216)&gt;0),N(U4215),N(U4215)+1))</f>
        <v/>
      </c>
      <c r="V4216" s="19">
        <f>IF($B4216="","",TEXT($B4216,"0000"))</f>
        <v/>
      </c>
      <c r="W4216" s="19">
        <f>IF($I4216="","",IF(ISNUMBER($I4216),TEXT($I4216,"0"),$I4216))</f>
        <v/>
      </c>
    </row>
    <row r="4217">
      <c r="B4217" s="25" t="n"/>
      <c r="I4217" s="25" t="n"/>
      <c r="U4217" s="19">
        <f>IF($V4217&lt;&gt;'設定'!$C$4,N(U4216),IF(OR(NOT(COUNTIF('商品マスタ'!$B$6:$B$1005,$W4217)=0),COUNTIFS('①在庫を貼る'!$V$6:$V$10005,$V4217,'①在庫を貼る'!$W$6:$W$10005,$W4217)&gt;0),N(U4216),N(U4216)+1))</f>
        <v/>
      </c>
      <c r="V4217" s="19">
        <f>IF($B4217="","",TEXT($B4217,"0000"))</f>
        <v/>
      </c>
      <c r="W4217" s="19">
        <f>IF($I4217="","",IF(ISNUMBER($I4217),TEXT($I4217,"0"),$I4217))</f>
        <v/>
      </c>
    </row>
    <row r="4218">
      <c r="B4218" s="25" t="n"/>
      <c r="I4218" s="25" t="n"/>
      <c r="U4218" s="19">
        <f>IF($V4218&lt;&gt;'設定'!$C$4,N(U4217),IF(OR(NOT(COUNTIF('商品マスタ'!$B$6:$B$1005,$W4218)=0),COUNTIFS('①在庫を貼る'!$V$6:$V$10005,$V4218,'①在庫を貼る'!$W$6:$W$10005,$W4218)&gt;0),N(U4217),N(U4217)+1))</f>
        <v/>
      </c>
      <c r="V4218" s="19">
        <f>IF($B4218="","",TEXT($B4218,"0000"))</f>
        <v/>
      </c>
      <c r="W4218" s="19">
        <f>IF($I4218="","",IF(ISNUMBER($I4218),TEXT($I4218,"0"),$I4218))</f>
        <v/>
      </c>
    </row>
    <row r="4219">
      <c r="B4219" s="25" t="n"/>
      <c r="I4219" s="25" t="n"/>
      <c r="U4219" s="19">
        <f>IF($V4219&lt;&gt;'設定'!$C$4,N(U4218),IF(OR(NOT(COUNTIF('商品マスタ'!$B$6:$B$1005,$W4219)=0),COUNTIFS('①在庫を貼る'!$V$6:$V$10005,$V4219,'①在庫を貼る'!$W$6:$W$10005,$W4219)&gt;0),N(U4218),N(U4218)+1))</f>
        <v/>
      </c>
      <c r="V4219" s="19">
        <f>IF($B4219="","",TEXT($B4219,"0000"))</f>
        <v/>
      </c>
      <c r="W4219" s="19">
        <f>IF($I4219="","",IF(ISNUMBER($I4219),TEXT($I4219,"0"),$I4219))</f>
        <v/>
      </c>
    </row>
    <row r="4220">
      <c r="B4220" s="25" t="n"/>
      <c r="I4220" s="25" t="n"/>
      <c r="U4220" s="19">
        <f>IF($V4220&lt;&gt;'設定'!$C$4,N(U4219),IF(OR(NOT(COUNTIF('商品マスタ'!$B$6:$B$1005,$W4220)=0),COUNTIFS('①在庫を貼る'!$V$6:$V$10005,$V4220,'①在庫を貼る'!$W$6:$W$10005,$W4220)&gt;0),N(U4219),N(U4219)+1))</f>
        <v/>
      </c>
      <c r="V4220" s="19">
        <f>IF($B4220="","",TEXT($B4220,"0000"))</f>
        <v/>
      </c>
      <c r="W4220" s="19">
        <f>IF($I4220="","",IF(ISNUMBER($I4220),TEXT($I4220,"0"),$I4220))</f>
        <v/>
      </c>
    </row>
    <row r="4221">
      <c r="B4221" s="25" t="n"/>
      <c r="I4221" s="25" t="n"/>
      <c r="U4221" s="19">
        <f>IF($V4221&lt;&gt;'設定'!$C$4,N(U4220),IF(OR(NOT(COUNTIF('商品マスタ'!$B$6:$B$1005,$W4221)=0),COUNTIFS('①在庫を貼る'!$V$6:$V$10005,$V4221,'①在庫を貼る'!$W$6:$W$10005,$W4221)&gt;0),N(U4220),N(U4220)+1))</f>
        <v/>
      </c>
      <c r="V4221" s="19">
        <f>IF($B4221="","",TEXT($B4221,"0000"))</f>
        <v/>
      </c>
      <c r="W4221" s="19">
        <f>IF($I4221="","",IF(ISNUMBER($I4221),TEXT($I4221,"0"),$I4221))</f>
        <v/>
      </c>
    </row>
    <row r="4222">
      <c r="B4222" s="25" t="n"/>
      <c r="I4222" s="25" t="n"/>
      <c r="U4222" s="19">
        <f>IF($V4222&lt;&gt;'設定'!$C$4,N(U4221),IF(OR(NOT(COUNTIF('商品マスタ'!$B$6:$B$1005,$W4222)=0),COUNTIFS('①在庫を貼る'!$V$6:$V$10005,$V4222,'①在庫を貼る'!$W$6:$W$10005,$W4222)&gt;0),N(U4221),N(U4221)+1))</f>
        <v/>
      </c>
      <c r="V4222" s="19">
        <f>IF($B4222="","",TEXT($B4222,"0000"))</f>
        <v/>
      </c>
      <c r="W4222" s="19">
        <f>IF($I4222="","",IF(ISNUMBER($I4222),TEXT($I4222,"0"),$I4222))</f>
        <v/>
      </c>
    </row>
    <row r="4223">
      <c r="B4223" s="25" t="n"/>
      <c r="I4223" s="25" t="n"/>
      <c r="U4223" s="19">
        <f>IF($V4223&lt;&gt;'設定'!$C$4,N(U4222),IF(OR(NOT(COUNTIF('商品マスタ'!$B$6:$B$1005,$W4223)=0),COUNTIFS('①在庫を貼る'!$V$6:$V$10005,$V4223,'①在庫を貼る'!$W$6:$W$10005,$W4223)&gt;0),N(U4222),N(U4222)+1))</f>
        <v/>
      </c>
      <c r="V4223" s="19">
        <f>IF($B4223="","",TEXT($B4223,"0000"))</f>
        <v/>
      </c>
      <c r="W4223" s="19">
        <f>IF($I4223="","",IF(ISNUMBER($I4223),TEXT($I4223,"0"),$I4223))</f>
        <v/>
      </c>
    </row>
    <row r="4224">
      <c r="B4224" s="25" t="n"/>
      <c r="I4224" s="25" t="n"/>
      <c r="U4224" s="19">
        <f>IF($V4224&lt;&gt;'設定'!$C$4,N(U4223),IF(OR(NOT(COUNTIF('商品マスタ'!$B$6:$B$1005,$W4224)=0),COUNTIFS('①在庫を貼る'!$V$6:$V$10005,$V4224,'①在庫を貼る'!$W$6:$W$10005,$W4224)&gt;0),N(U4223),N(U4223)+1))</f>
        <v/>
      </c>
      <c r="V4224" s="19">
        <f>IF($B4224="","",TEXT($B4224,"0000"))</f>
        <v/>
      </c>
      <c r="W4224" s="19">
        <f>IF($I4224="","",IF(ISNUMBER($I4224),TEXT($I4224,"0"),$I4224))</f>
        <v/>
      </c>
    </row>
    <row r="4225">
      <c r="B4225" s="25" t="n"/>
      <c r="I4225" s="25" t="n"/>
      <c r="U4225" s="19">
        <f>IF($V4225&lt;&gt;'設定'!$C$4,N(U4224),IF(OR(NOT(COUNTIF('商品マスタ'!$B$6:$B$1005,$W4225)=0),COUNTIFS('①在庫を貼る'!$V$6:$V$10005,$V4225,'①在庫を貼る'!$W$6:$W$10005,$W4225)&gt;0),N(U4224),N(U4224)+1))</f>
        <v/>
      </c>
      <c r="V4225" s="19">
        <f>IF($B4225="","",TEXT($B4225,"0000"))</f>
        <v/>
      </c>
      <c r="W4225" s="19">
        <f>IF($I4225="","",IF(ISNUMBER($I4225),TEXT($I4225,"0"),$I4225))</f>
        <v/>
      </c>
    </row>
    <row r="4226">
      <c r="B4226" s="25" t="n"/>
      <c r="I4226" s="25" t="n"/>
      <c r="U4226" s="19">
        <f>IF($V4226&lt;&gt;'設定'!$C$4,N(U4225),IF(OR(NOT(COUNTIF('商品マスタ'!$B$6:$B$1005,$W4226)=0),COUNTIFS('①在庫を貼る'!$V$6:$V$10005,$V4226,'①在庫を貼る'!$W$6:$W$10005,$W4226)&gt;0),N(U4225),N(U4225)+1))</f>
        <v/>
      </c>
      <c r="V4226" s="19">
        <f>IF($B4226="","",TEXT($B4226,"0000"))</f>
        <v/>
      </c>
      <c r="W4226" s="19">
        <f>IF($I4226="","",IF(ISNUMBER($I4226),TEXT($I4226,"0"),$I4226))</f>
        <v/>
      </c>
    </row>
    <row r="4227">
      <c r="B4227" s="25" t="n"/>
      <c r="I4227" s="25" t="n"/>
      <c r="U4227" s="19">
        <f>IF($V4227&lt;&gt;'設定'!$C$4,N(U4226),IF(OR(NOT(COUNTIF('商品マスタ'!$B$6:$B$1005,$W4227)=0),COUNTIFS('①在庫を貼る'!$V$6:$V$10005,$V4227,'①在庫を貼る'!$W$6:$W$10005,$W4227)&gt;0),N(U4226),N(U4226)+1))</f>
        <v/>
      </c>
      <c r="V4227" s="19">
        <f>IF($B4227="","",TEXT($B4227,"0000"))</f>
        <v/>
      </c>
      <c r="W4227" s="19">
        <f>IF($I4227="","",IF(ISNUMBER($I4227),TEXT($I4227,"0"),$I4227))</f>
        <v/>
      </c>
    </row>
    <row r="4228">
      <c r="B4228" s="25" t="n"/>
      <c r="I4228" s="25" t="n"/>
      <c r="U4228" s="19">
        <f>IF($V4228&lt;&gt;'設定'!$C$4,N(U4227),IF(OR(NOT(COUNTIF('商品マスタ'!$B$6:$B$1005,$W4228)=0),COUNTIFS('①在庫を貼る'!$V$6:$V$10005,$V4228,'①在庫を貼る'!$W$6:$W$10005,$W4228)&gt;0),N(U4227),N(U4227)+1))</f>
        <v/>
      </c>
      <c r="V4228" s="19">
        <f>IF($B4228="","",TEXT($B4228,"0000"))</f>
        <v/>
      </c>
      <c r="W4228" s="19">
        <f>IF($I4228="","",IF(ISNUMBER($I4228),TEXT($I4228,"0"),$I4228))</f>
        <v/>
      </c>
    </row>
    <row r="4229">
      <c r="B4229" s="25" t="n"/>
      <c r="I4229" s="25" t="n"/>
      <c r="U4229" s="19">
        <f>IF($V4229&lt;&gt;'設定'!$C$4,N(U4228),IF(OR(NOT(COUNTIF('商品マスタ'!$B$6:$B$1005,$W4229)=0),COUNTIFS('①在庫を貼る'!$V$6:$V$10005,$V4229,'①在庫を貼る'!$W$6:$W$10005,$W4229)&gt;0),N(U4228),N(U4228)+1))</f>
        <v/>
      </c>
      <c r="V4229" s="19">
        <f>IF($B4229="","",TEXT($B4229,"0000"))</f>
        <v/>
      </c>
      <c r="W4229" s="19">
        <f>IF($I4229="","",IF(ISNUMBER($I4229),TEXT($I4229,"0"),$I4229))</f>
        <v/>
      </c>
    </row>
    <row r="4230">
      <c r="B4230" s="25" t="n"/>
      <c r="I4230" s="25" t="n"/>
      <c r="U4230" s="19">
        <f>IF($V4230&lt;&gt;'設定'!$C$4,N(U4229),IF(OR(NOT(COUNTIF('商品マスタ'!$B$6:$B$1005,$W4230)=0),COUNTIFS('①在庫を貼る'!$V$6:$V$10005,$V4230,'①在庫を貼る'!$W$6:$W$10005,$W4230)&gt;0),N(U4229),N(U4229)+1))</f>
        <v/>
      </c>
      <c r="V4230" s="19">
        <f>IF($B4230="","",TEXT($B4230,"0000"))</f>
        <v/>
      </c>
      <c r="W4230" s="19">
        <f>IF($I4230="","",IF(ISNUMBER($I4230),TEXT($I4230,"0"),$I4230))</f>
        <v/>
      </c>
    </row>
    <row r="4231">
      <c r="B4231" s="25" t="n"/>
      <c r="I4231" s="25" t="n"/>
      <c r="U4231" s="19">
        <f>IF($V4231&lt;&gt;'設定'!$C$4,N(U4230),IF(OR(NOT(COUNTIF('商品マスタ'!$B$6:$B$1005,$W4231)=0),COUNTIFS('①在庫を貼る'!$V$6:$V$10005,$V4231,'①在庫を貼る'!$W$6:$W$10005,$W4231)&gt;0),N(U4230),N(U4230)+1))</f>
        <v/>
      </c>
      <c r="V4231" s="19">
        <f>IF($B4231="","",TEXT($B4231,"0000"))</f>
        <v/>
      </c>
      <c r="W4231" s="19">
        <f>IF($I4231="","",IF(ISNUMBER($I4231),TEXT($I4231,"0"),$I4231))</f>
        <v/>
      </c>
    </row>
    <row r="4232">
      <c r="B4232" s="25" t="n"/>
      <c r="I4232" s="25" t="n"/>
      <c r="U4232" s="19">
        <f>IF($V4232&lt;&gt;'設定'!$C$4,N(U4231),IF(OR(NOT(COUNTIF('商品マスタ'!$B$6:$B$1005,$W4232)=0),COUNTIFS('①在庫を貼る'!$V$6:$V$10005,$V4232,'①在庫を貼る'!$W$6:$W$10005,$W4232)&gt;0),N(U4231),N(U4231)+1))</f>
        <v/>
      </c>
      <c r="V4232" s="19">
        <f>IF($B4232="","",TEXT($B4232,"0000"))</f>
        <v/>
      </c>
      <c r="W4232" s="19">
        <f>IF($I4232="","",IF(ISNUMBER($I4232),TEXT($I4232,"0"),$I4232))</f>
        <v/>
      </c>
    </row>
    <row r="4233">
      <c r="B4233" s="25" t="n"/>
      <c r="I4233" s="25" t="n"/>
      <c r="U4233" s="19">
        <f>IF($V4233&lt;&gt;'設定'!$C$4,N(U4232),IF(OR(NOT(COUNTIF('商品マスタ'!$B$6:$B$1005,$W4233)=0),COUNTIFS('①在庫を貼る'!$V$6:$V$10005,$V4233,'①在庫を貼る'!$W$6:$W$10005,$W4233)&gt;0),N(U4232),N(U4232)+1))</f>
        <v/>
      </c>
      <c r="V4233" s="19">
        <f>IF($B4233="","",TEXT($B4233,"0000"))</f>
        <v/>
      </c>
      <c r="W4233" s="19">
        <f>IF($I4233="","",IF(ISNUMBER($I4233),TEXT($I4233,"0"),$I4233))</f>
        <v/>
      </c>
    </row>
    <row r="4234">
      <c r="B4234" s="25" t="n"/>
      <c r="I4234" s="25" t="n"/>
      <c r="U4234" s="19">
        <f>IF($V4234&lt;&gt;'設定'!$C$4,N(U4233),IF(OR(NOT(COUNTIF('商品マスタ'!$B$6:$B$1005,$W4234)=0),COUNTIFS('①在庫を貼る'!$V$6:$V$10005,$V4234,'①在庫を貼る'!$W$6:$W$10005,$W4234)&gt;0),N(U4233),N(U4233)+1))</f>
        <v/>
      </c>
      <c r="V4234" s="19">
        <f>IF($B4234="","",TEXT($B4234,"0000"))</f>
        <v/>
      </c>
      <c r="W4234" s="19">
        <f>IF($I4234="","",IF(ISNUMBER($I4234),TEXT($I4234,"0"),$I4234))</f>
        <v/>
      </c>
    </row>
    <row r="4235">
      <c r="B4235" s="25" t="n"/>
      <c r="I4235" s="25" t="n"/>
      <c r="U4235" s="19">
        <f>IF($V4235&lt;&gt;'設定'!$C$4,N(U4234),IF(OR(NOT(COUNTIF('商品マスタ'!$B$6:$B$1005,$W4235)=0),COUNTIFS('①在庫を貼る'!$V$6:$V$10005,$V4235,'①在庫を貼る'!$W$6:$W$10005,$W4235)&gt;0),N(U4234),N(U4234)+1))</f>
        <v/>
      </c>
      <c r="V4235" s="19">
        <f>IF($B4235="","",TEXT($B4235,"0000"))</f>
        <v/>
      </c>
      <c r="W4235" s="19">
        <f>IF($I4235="","",IF(ISNUMBER($I4235),TEXT($I4235,"0"),$I4235))</f>
        <v/>
      </c>
    </row>
    <row r="4236">
      <c r="B4236" s="25" t="n"/>
      <c r="I4236" s="25" t="n"/>
      <c r="U4236" s="19">
        <f>IF($V4236&lt;&gt;'設定'!$C$4,N(U4235),IF(OR(NOT(COUNTIF('商品マスタ'!$B$6:$B$1005,$W4236)=0),COUNTIFS('①在庫を貼る'!$V$6:$V$10005,$V4236,'①在庫を貼る'!$W$6:$W$10005,$W4236)&gt;0),N(U4235),N(U4235)+1))</f>
        <v/>
      </c>
      <c r="V4236" s="19">
        <f>IF($B4236="","",TEXT($B4236,"0000"))</f>
        <v/>
      </c>
      <c r="W4236" s="19">
        <f>IF($I4236="","",IF(ISNUMBER($I4236),TEXT($I4236,"0"),$I4236))</f>
        <v/>
      </c>
    </row>
    <row r="4237">
      <c r="B4237" s="25" t="n"/>
      <c r="I4237" s="25" t="n"/>
      <c r="U4237" s="19">
        <f>IF($V4237&lt;&gt;'設定'!$C$4,N(U4236),IF(OR(NOT(COUNTIF('商品マスタ'!$B$6:$B$1005,$W4237)=0),COUNTIFS('①在庫を貼る'!$V$6:$V$10005,$V4237,'①在庫を貼る'!$W$6:$W$10005,$W4237)&gt;0),N(U4236),N(U4236)+1))</f>
        <v/>
      </c>
      <c r="V4237" s="19">
        <f>IF($B4237="","",TEXT($B4237,"0000"))</f>
        <v/>
      </c>
      <c r="W4237" s="19">
        <f>IF($I4237="","",IF(ISNUMBER($I4237),TEXT($I4237,"0"),$I4237))</f>
        <v/>
      </c>
    </row>
    <row r="4238">
      <c r="B4238" s="25" t="n"/>
      <c r="I4238" s="25" t="n"/>
      <c r="U4238" s="19">
        <f>IF($V4238&lt;&gt;'設定'!$C$4,N(U4237),IF(OR(NOT(COUNTIF('商品マスタ'!$B$6:$B$1005,$W4238)=0),COUNTIFS('①在庫を貼る'!$V$6:$V$10005,$V4238,'①在庫を貼る'!$W$6:$W$10005,$W4238)&gt;0),N(U4237),N(U4237)+1))</f>
        <v/>
      </c>
      <c r="V4238" s="19">
        <f>IF($B4238="","",TEXT($B4238,"0000"))</f>
        <v/>
      </c>
      <c r="W4238" s="19">
        <f>IF($I4238="","",IF(ISNUMBER($I4238),TEXT($I4238,"0"),$I4238))</f>
        <v/>
      </c>
    </row>
    <row r="4239">
      <c r="B4239" s="25" t="n"/>
      <c r="I4239" s="25" t="n"/>
      <c r="U4239" s="19">
        <f>IF($V4239&lt;&gt;'設定'!$C$4,N(U4238),IF(OR(NOT(COUNTIF('商品マスタ'!$B$6:$B$1005,$W4239)=0),COUNTIFS('①在庫を貼る'!$V$6:$V$10005,$V4239,'①在庫を貼る'!$W$6:$W$10005,$W4239)&gt;0),N(U4238),N(U4238)+1))</f>
        <v/>
      </c>
      <c r="V4239" s="19">
        <f>IF($B4239="","",TEXT($B4239,"0000"))</f>
        <v/>
      </c>
      <c r="W4239" s="19">
        <f>IF($I4239="","",IF(ISNUMBER($I4239),TEXT($I4239,"0"),$I4239))</f>
        <v/>
      </c>
    </row>
    <row r="4240">
      <c r="B4240" s="25" t="n"/>
      <c r="I4240" s="25" t="n"/>
      <c r="U4240" s="19">
        <f>IF($V4240&lt;&gt;'設定'!$C$4,N(U4239),IF(OR(NOT(COUNTIF('商品マスタ'!$B$6:$B$1005,$W4240)=0),COUNTIFS('①在庫を貼る'!$V$6:$V$10005,$V4240,'①在庫を貼る'!$W$6:$W$10005,$W4240)&gt;0),N(U4239),N(U4239)+1))</f>
        <v/>
      </c>
      <c r="V4240" s="19">
        <f>IF($B4240="","",TEXT($B4240,"0000"))</f>
        <v/>
      </c>
      <c r="W4240" s="19">
        <f>IF($I4240="","",IF(ISNUMBER($I4240),TEXT($I4240,"0"),$I4240))</f>
        <v/>
      </c>
    </row>
    <row r="4241">
      <c r="B4241" s="25" t="n"/>
      <c r="I4241" s="25" t="n"/>
      <c r="U4241" s="19">
        <f>IF($V4241&lt;&gt;'設定'!$C$4,N(U4240),IF(OR(NOT(COUNTIF('商品マスタ'!$B$6:$B$1005,$W4241)=0),COUNTIFS('①在庫を貼る'!$V$6:$V$10005,$V4241,'①在庫を貼る'!$W$6:$W$10005,$W4241)&gt;0),N(U4240),N(U4240)+1))</f>
        <v/>
      </c>
      <c r="V4241" s="19">
        <f>IF($B4241="","",TEXT($B4241,"0000"))</f>
        <v/>
      </c>
      <c r="W4241" s="19">
        <f>IF($I4241="","",IF(ISNUMBER($I4241),TEXT($I4241,"0"),$I4241))</f>
        <v/>
      </c>
    </row>
    <row r="4242">
      <c r="B4242" s="25" t="n"/>
      <c r="I4242" s="25" t="n"/>
      <c r="U4242" s="19">
        <f>IF($V4242&lt;&gt;'設定'!$C$4,N(U4241),IF(OR(NOT(COUNTIF('商品マスタ'!$B$6:$B$1005,$W4242)=0),COUNTIFS('①在庫を貼る'!$V$6:$V$10005,$V4242,'①在庫を貼る'!$W$6:$W$10005,$W4242)&gt;0),N(U4241),N(U4241)+1))</f>
        <v/>
      </c>
      <c r="V4242" s="19">
        <f>IF($B4242="","",TEXT($B4242,"0000"))</f>
        <v/>
      </c>
      <c r="W4242" s="19">
        <f>IF($I4242="","",IF(ISNUMBER($I4242),TEXT($I4242,"0"),$I4242))</f>
        <v/>
      </c>
    </row>
    <row r="4243">
      <c r="B4243" s="25" t="n"/>
      <c r="I4243" s="25" t="n"/>
      <c r="U4243" s="19">
        <f>IF($V4243&lt;&gt;'設定'!$C$4,N(U4242),IF(OR(NOT(COUNTIF('商品マスタ'!$B$6:$B$1005,$W4243)=0),COUNTIFS('①在庫を貼る'!$V$6:$V$10005,$V4243,'①在庫を貼る'!$W$6:$W$10005,$W4243)&gt;0),N(U4242),N(U4242)+1))</f>
        <v/>
      </c>
      <c r="V4243" s="19">
        <f>IF($B4243="","",TEXT($B4243,"0000"))</f>
        <v/>
      </c>
      <c r="W4243" s="19">
        <f>IF($I4243="","",IF(ISNUMBER($I4243),TEXT($I4243,"0"),$I4243))</f>
        <v/>
      </c>
    </row>
    <row r="4244">
      <c r="B4244" s="25" t="n"/>
      <c r="I4244" s="25" t="n"/>
      <c r="U4244" s="19">
        <f>IF($V4244&lt;&gt;'設定'!$C$4,N(U4243),IF(OR(NOT(COUNTIF('商品マスタ'!$B$6:$B$1005,$W4244)=0),COUNTIFS('①在庫を貼る'!$V$6:$V$10005,$V4244,'①在庫を貼る'!$W$6:$W$10005,$W4244)&gt;0),N(U4243),N(U4243)+1))</f>
        <v/>
      </c>
      <c r="V4244" s="19">
        <f>IF($B4244="","",TEXT($B4244,"0000"))</f>
        <v/>
      </c>
      <c r="W4244" s="19">
        <f>IF($I4244="","",IF(ISNUMBER($I4244),TEXT($I4244,"0"),$I4244))</f>
        <v/>
      </c>
    </row>
    <row r="4245">
      <c r="B4245" s="25" t="n"/>
      <c r="I4245" s="25" t="n"/>
      <c r="U4245" s="19">
        <f>IF($V4245&lt;&gt;'設定'!$C$4,N(U4244),IF(OR(NOT(COUNTIF('商品マスタ'!$B$6:$B$1005,$W4245)=0),COUNTIFS('①在庫を貼る'!$V$6:$V$10005,$V4245,'①在庫を貼る'!$W$6:$W$10005,$W4245)&gt;0),N(U4244),N(U4244)+1))</f>
        <v/>
      </c>
      <c r="V4245" s="19">
        <f>IF($B4245="","",TEXT($B4245,"0000"))</f>
        <v/>
      </c>
      <c r="W4245" s="19">
        <f>IF($I4245="","",IF(ISNUMBER($I4245),TEXT($I4245,"0"),$I4245))</f>
        <v/>
      </c>
    </row>
    <row r="4246">
      <c r="B4246" s="25" t="n"/>
      <c r="I4246" s="25" t="n"/>
      <c r="U4246" s="19">
        <f>IF($V4246&lt;&gt;'設定'!$C$4,N(U4245),IF(OR(NOT(COUNTIF('商品マスタ'!$B$6:$B$1005,$W4246)=0),COUNTIFS('①在庫を貼る'!$V$6:$V$10005,$V4246,'①在庫を貼る'!$W$6:$W$10005,$W4246)&gt;0),N(U4245),N(U4245)+1))</f>
        <v/>
      </c>
      <c r="V4246" s="19">
        <f>IF($B4246="","",TEXT($B4246,"0000"))</f>
        <v/>
      </c>
      <c r="W4246" s="19">
        <f>IF($I4246="","",IF(ISNUMBER($I4246),TEXT($I4246,"0"),$I4246))</f>
        <v/>
      </c>
    </row>
    <row r="4247">
      <c r="B4247" s="25" t="n"/>
      <c r="I4247" s="25" t="n"/>
      <c r="U4247" s="19">
        <f>IF($V4247&lt;&gt;'設定'!$C$4,N(U4246),IF(OR(NOT(COUNTIF('商品マスタ'!$B$6:$B$1005,$W4247)=0),COUNTIFS('①在庫を貼る'!$V$6:$V$10005,$V4247,'①在庫を貼る'!$W$6:$W$10005,$W4247)&gt;0),N(U4246),N(U4246)+1))</f>
        <v/>
      </c>
      <c r="V4247" s="19">
        <f>IF($B4247="","",TEXT($B4247,"0000"))</f>
        <v/>
      </c>
      <c r="W4247" s="19">
        <f>IF($I4247="","",IF(ISNUMBER($I4247),TEXT($I4247,"0"),$I4247))</f>
        <v/>
      </c>
    </row>
    <row r="4248">
      <c r="B4248" s="25" t="n"/>
      <c r="I4248" s="25" t="n"/>
      <c r="U4248" s="19">
        <f>IF($V4248&lt;&gt;'設定'!$C$4,N(U4247),IF(OR(NOT(COUNTIF('商品マスタ'!$B$6:$B$1005,$W4248)=0),COUNTIFS('①在庫を貼る'!$V$6:$V$10005,$V4248,'①在庫を貼る'!$W$6:$W$10005,$W4248)&gt;0),N(U4247),N(U4247)+1))</f>
        <v/>
      </c>
      <c r="V4248" s="19">
        <f>IF($B4248="","",TEXT($B4248,"0000"))</f>
        <v/>
      </c>
      <c r="W4248" s="19">
        <f>IF($I4248="","",IF(ISNUMBER($I4248),TEXT($I4248,"0"),$I4248))</f>
        <v/>
      </c>
    </row>
    <row r="4249">
      <c r="B4249" s="25" t="n"/>
      <c r="I4249" s="25" t="n"/>
      <c r="U4249" s="19">
        <f>IF($V4249&lt;&gt;'設定'!$C$4,N(U4248),IF(OR(NOT(COUNTIF('商品マスタ'!$B$6:$B$1005,$W4249)=0),COUNTIFS('①在庫を貼る'!$V$6:$V$10005,$V4249,'①在庫を貼る'!$W$6:$W$10005,$W4249)&gt;0),N(U4248),N(U4248)+1))</f>
        <v/>
      </c>
      <c r="V4249" s="19">
        <f>IF($B4249="","",TEXT($B4249,"0000"))</f>
        <v/>
      </c>
      <c r="W4249" s="19">
        <f>IF($I4249="","",IF(ISNUMBER($I4249),TEXT($I4249,"0"),$I4249))</f>
        <v/>
      </c>
    </row>
    <row r="4250">
      <c r="B4250" s="25" t="n"/>
      <c r="I4250" s="25" t="n"/>
      <c r="U4250" s="19">
        <f>IF($V4250&lt;&gt;'設定'!$C$4,N(U4249),IF(OR(NOT(COUNTIF('商品マスタ'!$B$6:$B$1005,$W4250)=0),COUNTIFS('①在庫を貼る'!$V$6:$V$10005,$V4250,'①在庫を貼る'!$W$6:$W$10005,$W4250)&gt;0),N(U4249),N(U4249)+1))</f>
        <v/>
      </c>
      <c r="V4250" s="19">
        <f>IF($B4250="","",TEXT($B4250,"0000"))</f>
        <v/>
      </c>
      <c r="W4250" s="19">
        <f>IF($I4250="","",IF(ISNUMBER($I4250),TEXT($I4250,"0"),$I4250))</f>
        <v/>
      </c>
    </row>
    <row r="4251">
      <c r="B4251" s="25" t="n"/>
      <c r="I4251" s="25" t="n"/>
      <c r="U4251" s="19">
        <f>IF($V4251&lt;&gt;'設定'!$C$4,N(U4250),IF(OR(NOT(COUNTIF('商品マスタ'!$B$6:$B$1005,$W4251)=0),COUNTIFS('①在庫を貼る'!$V$6:$V$10005,$V4251,'①在庫を貼る'!$W$6:$W$10005,$W4251)&gt;0),N(U4250),N(U4250)+1))</f>
        <v/>
      </c>
      <c r="V4251" s="19">
        <f>IF($B4251="","",TEXT($B4251,"0000"))</f>
        <v/>
      </c>
      <c r="W4251" s="19">
        <f>IF($I4251="","",IF(ISNUMBER($I4251),TEXT($I4251,"0"),$I4251))</f>
        <v/>
      </c>
    </row>
    <row r="4252">
      <c r="B4252" s="25" t="n"/>
      <c r="I4252" s="25" t="n"/>
      <c r="U4252" s="19">
        <f>IF($V4252&lt;&gt;'設定'!$C$4,N(U4251),IF(OR(NOT(COUNTIF('商品マスタ'!$B$6:$B$1005,$W4252)=0),COUNTIFS('①在庫を貼る'!$V$6:$V$10005,$V4252,'①在庫を貼る'!$W$6:$W$10005,$W4252)&gt;0),N(U4251),N(U4251)+1))</f>
        <v/>
      </c>
      <c r="V4252" s="19">
        <f>IF($B4252="","",TEXT($B4252,"0000"))</f>
        <v/>
      </c>
      <c r="W4252" s="19">
        <f>IF($I4252="","",IF(ISNUMBER($I4252),TEXT($I4252,"0"),$I4252))</f>
        <v/>
      </c>
    </row>
    <row r="4253">
      <c r="B4253" s="25" t="n"/>
      <c r="I4253" s="25" t="n"/>
      <c r="U4253" s="19">
        <f>IF($V4253&lt;&gt;'設定'!$C$4,N(U4252),IF(OR(NOT(COUNTIF('商品マスタ'!$B$6:$B$1005,$W4253)=0),COUNTIFS('①在庫を貼る'!$V$6:$V$10005,$V4253,'①在庫を貼る'!$W$6:$W$10005,$W4253)&gt;0),N(U4252),N(U4252)+1))</f>
        <v/>
      </c>
      <c r="V4253" s="19">
        <f>IF($B4253="","",TEXT($B4253,"0000"))</f>
        <v/>
      </c>
      <c r="W4253" s="19">
        <f>IF($I4253="","",IF(ISNUMBER($I4253),TEXT($I4253,"0"),$I4253))</f>
        <v/>
      </c>
    </row>
    <row r="4254">
      <c r="B4254" s="25" t="n"/>
      <c r="I4254" s="25" t="n"/>
      <c r="U4254" s="19">
        <f>IF($V4254&lt;&gt;'設定'!$C$4,N(U4253),IF(OR(NOT(COUNTIF('商品マスタ'!$B$6:$B$1005,$W4254)=0),COUNTIFS('①在庫を貼る'!$V$6:$V$10005,$V4254,'①在庫を貼る'!$W$6:$W$10005,$W4254)&gt;0),N(U4253),N(U4253)+1))</f>
        <v/>
      </c>
      <c r="V4254" s="19">
        <f>IF($B4254="","",TEXT($B4254,"0000"))</f>
        <v/>
      </c>
      <c r="W4254" s="19">
        <f>IF($I4254="","",IF(ISNUMBER($I4254),TEXT($I4254,"0"),$I4254))</f>
        <v/>
      </c>
    </row>
    <row r="4255">
      <c r="B4255" s="25" t="n"/>
      <c r="I4255" s="25" t="n"/>
      <c r="U4255" s="19">
        <f>IF($V4255&lt;&gt;'設定'!$C$4,N(U4254),IF(OR(NOT(COUNTIF('商品マスタ'!$B$6:$B$1005,$W4255)=0),COUNTIFS('①在庫を貼る'!$V$6:$V$10005,$V4255,'①在庫を貼る'!$W$6:$W$10005,$W4255)&gt;0),N(U4254),N(U4254)+1))</f>
        <v/>
      </c>
      <c r="V4255" s="19">
        <f>IF($B4255="","",TEXT($B4255,"0000"))</f>
        <v/>
      </c>
      <c r="W4255" s="19">
        <f>IF($I4255="","",IF(ISNUMBER($I4255),TEXT($I4255,"0"),$I4255))</f>
        <v/>
      </c>
    </row>
    <row r="4256">
      <c r="B4256" s="25" t="n"/>
      <c r="I4256" s="25" t="n"/>
      <c r="U4256" s="19">
        <f>IF($V4256&lt;&gt;'設定'!$C$4,N(U4255),IF(OR(NOT(COUNTIF('商品マスタ'!$B$6:$B$1005,$W4256)=0),COUNTIFS('①在庫を貼る'!$V$6:$V$10005,$V4256,'①在庫を貼る'!$W$6:$W$10005,$W4256)&gt;0),N(U4255),N(U4255)+1))</f>
        <v/>
      </c>
      <c r="V4256" s="19">
        <f>IF($B4256="","",TEXT($B4256,"0000"))</f>
        <v/>
      </c>
      <c r="W4256" s="19">
        <f>IF($I4256="","",IF(ISNUMBER($I4256),TEXT($I4256,"0"),$I4256))</f>
        <v/>
      </c>
    </row>
    <row r="4257">
      <c r="B4257" s="25" t="n"/>
      <c r="I4257" s="25" t="n"/>
      <c r="U4257" s="19">
        <f>IF($V4257&lt;&gt;'設定'!$C$4,N(U4256),IF(OR(NOT(COUNTIF('商品マスタ'!$B$6:$B$1005,$W4257)=0),COUNTIFS('①在庫を貼る'!$V$6:$V$10005,$V4257,'①在庫を貼る'!$W$6:$W$10005,$W4257)&gt;0),N(U4256),N(U4256)+1))</f>
        <v/>
      </c>
      <c r="V4257" s="19">
        <f>IF($B4257="","",TEXT($B4257,"0000"))</f>
        <v/>
      </c>
      <c r="W4257" s="19">
        <f>IF($I4257="","",IF(ISNUMBER($I4257),TEXT($I4257,"0"),$I4257))</f>
        <v/>
      </c>
    </row>
    <row r="4258">
      <c r="B4258" s="25" t="n"/>
      <c r="I4258" s="25" t="n"/>
      <c r="U4258" s="19">
        <f>IF($V4258&lt;&gt;'設定'!$C$4,N(U4257),IF(OR(NOT(COUNTIF('商品マスタ'!$B$6:$B$1005,$W4258)=0),COUNTIFS('①在庫を貼る'!$V$6:$V$10005,$V4258,'①在庫を貼る'!$W$6:$W$10005,$W4258)&gt;0),N(U4257),N(U4257)+1))</f>
        <v/>
      </c>
      <c r="V4258" s="19">
        <f>IF($B4258="","",TEXT($B4258,"0000"))</f>
        <v/>
      </c>
      <c r="W4258" s="19">
        <f>IF($I4258="","",IF(ISNUMBER($I4258),TEXT($I4258,"0"),$I4258))</f>
        <v/>
      </c>
    </row>
    <row r="4259">
      <c r="B4259" s="25" t="n"/>
      <c r="I4259" s="25" t="n"/>
      <c r="U4259" s="19">
        <f>IF($V4259&lt;&gt;'設定'!$C$4,N(U4258),IF(OR(NOT(COUNTIF('商品マスタ'!$B$6:$B$1005,$W4259)=0),COUNTIFS('①在庫を貼る'!$V$6:$V$10005,$V4259,'①在庫を貼る'!$W$6:$W$10005,$W4259)&gt;0),N(U4258),N(U4258)+1))</f>
        <v/>
      </c>
      <c r="V4259" s="19">
        <f>IF($B4259="","",TEXT($B4259,"0000"))</f>
        <v/>
      </c>
      <c r="W4259" s="19">
        <f>IF($I4259="","",IF(ISNUMBER($I4259),TEXT($I4259,"0"),$I4259))</f>
        <v/>
      </c>
    </row>
    <row r="4260">
      <c r="B4260" s="25" t="n"/>
      <c r="I4260" s="25" t="n"/>
      <c r="U4260" s="19">
        <f>IF($V4260&lt;&gt;'設定'!$C$4,N(U4259),IF(OR(NOT(COUNTIF('商品マスタ'!$B$6:$B$1005,$W4260)=0),COUNTIFS('①在庫を貼る'!$V$6:$V$10005,$V4260,'①在庫を貼る'!$W$6:$W$10005,$W4260)&gt;0),N(U4259),N(U4259)+1))</f>
        <v/>
      </c>
      <c r="V4260" s="19">
        <f>IF($B4260="","",TEXT($B4260,"0000"))</f>
        <v/>
      </c>
      <c r="W4260" s="19">
        <f>IF($I4260="","",IF(ISNUMBER($I4260),TEXT($I4260,"0"),$I4260))</f>
        <v/>
      </c>
    </row>
    <row r="4261">
      <c r="B4261" s="25" t="n"/>
      <c r="I4261" s="25" t="n"/>
      <c r="U4261" s="19">
        <f>IF($V4261&lt;&gt;'設定'!$C$4,N(U4260),IF(OR(NOT(COUNTIF('商品マスタ'!$B$6:$B$1005,$W4261)=0),COUNTIFS('①在庫を貼る'!$V$6:$V$10005,$V4261,'①在庫を貼る'!$W$6:$W$10005,$W4261)&gt;0),N(U4260),N(U4260)+1))</f>
        <v/>
      </c>
      <c r="V4261" s="19">
        <f>IF($B4261="","",TEXT($B4261,"0000"))</f>
        <v/>
      </c>
      <c r="W4261" s="19">
        <f>IF($I4261="","",IF(ISNUMBER($I4261),TEXT($I4261,"0"),$I4261))</f>
        <v/>
      </c>
    </row>
    <row r="4262">
      <c r="B4262" s="25" t="n"/>
      <c r="I4262" s="25" t="n"/>
      <c r="U4262" s="19">
        <f>IF($V4262&lt;&gt;'設定'!$C$4,N(U4261),IF(OR(NOT(COUNTIF('商品マスタ'!$B$6:$B$1005,$W4262)=0),COUNTIFS('①在庫を貼る'!$V$6:$V$10005,$V4262,'①在庫を貼る'!$W$6:$W$10005,$W4262)&gt;0),N(U4261),N(U4261)+1))</f>
        <v/>
      </c>
      <c r="V4262" s="19">
        <f>IF($B4262="","",TEXT($B4262,"0000"))</f>
        <v/>
      </c>
      <c r="W4262" s="19">
        <f>IF($I4262="","",IF(ISNUMBER($I4262),TEXT($I4262,"0"),$I4262))</f>
        <v/>
      </c>
    </row>
    <row r="4263">
      <c r="B4263" s="25" t="n"/>
      <c r="I4263" s="25" t="n"/>
      <c r="U4263" s="19">
        <f>IF($V4263&lt;&gt;'設定'!$C$4,N(U4262),IF(OR(NOT(COUNTIF('商品マスタ'!$B$6:$B$1005,$W4263)=0),COUNTIFS('①在庫を貼る'!$V$6:$V$10005,$V4263,'①在庫を貼る'!$W$6:$W$10005,$W4263)&gt;0),N(U4262),N(U4262)+1))</f>
        <v/>
      </c>
      <c r="V4263" s="19">
        <f>IF($B4263="","",TEXT($B4263,"0000"))</f>
        <v/>
      </c>
      <c r="W4263" s="19">
        <f>IF($I4263="","",IF(ISNUMBER($I4263),TEXT($I4263,"0"),$I4263))</f>
        <v/>
      </c>
    </row>
    <row r="4264">
      <c r="B4264" s="25" t="n"/>
      <c r="I4264" s="25" t="n"/>
      <c r="U4264" s="19">
        <f>IF($V4264&lt;&gt;'設定'!$C$4,N(U4263),IF(OR(NOT(COUNTIF('商品マスタ'!$B$6:$B$1005,$W4264)=0),COUNTIFS('①在庫を貼る'!$V$6:$V$10005,$V4264,'①在庫を貼る'!$W$6:$W$10005,$W4264)&gt;0),N(U4263),N(U4263)+1))</f>
        <v/>
      </c>
      <c r="V4264" s="19">
        <f>IF($B4264="","",TEXT($B4264,"0000"))</f>
        <v/>
      </c>
      <c r="W4264" s="19">
        <f>IF($I4264="","",IF(ISNUMBER($I4264),TEXT($I4264,"0"),$I4264))</f>
        <v/>
      </c>
    </row>
    <row r="4265">
      <c r="B4265" s="25" t="n"/>
      <c r="I4265" s="25" t="n"/>
      <c r="U4265" s="19">
        <f>IF($V4265&lt;&gt;'設定'!$C$4,N(U4264),IF(OR(NOT(COUNTIF('商品マスタ'!$B$6:$B$1005,$W4265)=0),COUNTIFS('①在庫を貼る'!$V$6:$V$10005,$V4265,'①在庫を貼る'!$W$6:$W$10005,$W4265)&gt;0),N(U4264),N(U4264)+1))</f>
        <v/>
      </c>
      <c r="V4265" s="19">
        <f>IF($B4265="","",TEXT($B4265,"0000"))</f>
        <v/>
      </c>
      <c r="W4265" s="19">
        <f>IF($I4265="","",IF(ISNUMBER($I4265),TEXT($I4265,"0"),$I4265))</f>
        <v/>
      </c>
    </row>
    <row r="4266">
      <c r="B4266" s="25" t="n"/>
      <c r="I4266" s="25" t="n"/>
      <c r="U4266" s="19">
        <f>IF($V4266&lt;&gt;'設定'!$C$4,N(U4265),IF(OR(NOT(COUNTIF('商品マスタ'!$B$6:$B$1005,$W4266)=0),COUNTIFS('①在庫を貼る'!$V$6:$V$10005,$V4266,'①在庫を貼る'!$W$6:$W$10005,$W4266)&gt;0),N(U4265),N(U4265)+1))</f>
        <v/>
      </c>
      <c r="V4266" s="19">
        <f>IF($B4266="","",TEXT($B4266,"0000"))</f>
        <v/>
      </c>
      <c r="W4266" s="19">
        <f>IF($I4266="","",IF(ISNUMBER($I4266),TEXT($I4266,"0"),$I4266))</f>
        <v/>
      </c>
    </row>
    <row r="4267">
      <c r="B4267" s="25" t="n"/>
      <c r="I4267" s="25" t="n"/>
      <c r="U4267" s="19">
        <f>IF($V4267&lt;&gt;'設定'!$C$4,N(U4266),IF(OR(NOT(COUNTIF('商品マスタ'!$B$6:$B$1005,$W4267)=0),COUNTIFS('①在庫を貼る'!$V$6:$V$10005,$V4267,'①在庫を貼る'!$W$6:$W$10005,$W4267)&gt;0),N(U4266),N(U4266)+1))</f>
        <v/>
      </c>
      <c r="V4267" s="19">
        <f>IF($B4267="","",TEXT($B4267,"0000"))</f>
        <v/>
      </c>
      <c r="W4267" s="19">
        <f>IF($I4267="","",IF(ISNUMBER($I4267),TEXT($I4267,"0"),$I4267))</f>
        <v/>
      </c>
    </row>
    <row r="4268">
      <c r="B4268" s="25" t="n"/>
      <c r="I4268" s="25" t="n"/>
      <c r="U4268" s="19">
        <f>IF($V4268&lt;&gt;'設定'!$C$4,N(U4267),IF(OR(NOT(COUNTIF('商品マスタ'!$B$6:$B$1005,$W4268)=0),COUNTIFS('①在庫を貼る'!$V$6:$V$10005,$V4268,'①在庫を貼る'!$W$6:$W$10005,$W4268)&gt;0),N(U4267),N(U4267)+1))</f>
        <v/>
      </c>
      <c r="V4268" s="19">
        <f>IF($B4268="","",TEXT($B4268,"0000"))</f>
        <v/>
      </c>
      <c r="W4268" s="19">
        <f>IF($I4268="","",IF(ISNUMBER($I4268),TEXT($I4268,"0"),$I4268))</f>
        <v/>
      </c>
    </row>
    <row r="4269">
      <c r="B4269" s="25" t="n"/>
      <c r="I4269" s="25" t="n"/>
      <c r="U4269" s="19">
        <f>IF($V4269&lt;&gt;'設定'!$C$4,N(U4268),IF(OR(NOT(COUNTIF('商品マスタ'!$B$6:$B$1005,$W4269)=0),COUNTIFS('①在庫を貼る'!$V$6:$V$10005,$V4269,'①在庫を貼る'!$W$6:$W$10005,$W4269)&gt;0),N(U4268),N(U4268)+1))</f>
        <v/>
      </c>
      <c r="V4269" s="19">
        <f>IF($B4269="","",TEXT($B4269,"0000"))</f>
        <v/>
      </c>
      <c r="W4269" s="19">
        <f>IF($I4269="","",IF(ISNUMBER($I4269),TEXT($I4269,"0"),$I4269))</f>
        <v/>
      </c>
    </row>
    <row r="4270">
      <c r="B4270" s="25" t="n"/>
      <c r="I4270" s="25" t="n"/>
      <c r="U4270" s="19">
        <f>IF($V4270&lt;&gt;'設定'!$C$4,N(U4269),IF(OR(NOT(COUNTIF('商品マスタ'!$B$6:$B$1005,$W4270)=0),COUNTIFS('①在庫を貼る'!$V$6:$V$10005,$V4270,'①在庫を貼る'!$W$6:$W$10005,$W4270)&gt;0),N(U4269),N(U4269)+1))</f>
        <v/>
      </c>
      <c r="V4270" s="19">
        <f>IF($B4270="","",TEXT($B4270,"0000"))</f>
        <v/>
      </c>
      <c r="W4270" s="19">
        <f>IF($I4270="","",IF(ISNUMBER($I4270),TEXT($I4270,"0"),$I4270))</f>
        <v/>
      </c>
    </row>
    <row r="4271">
      <c r="B4271" s="25" t="n"/>
      <c r="I4271" s="25" t="n"/>
      <c r="U4271" s="19">
        <f>IF($V4271&lt;&gt;'設定'!$C$4,N(U4270),IF(OR(NOT(COUNTIF('商品マスタ'!$B$6:$B$1005,$W4271)=0),COUNTIFS('①在庫を貼る'!$V$6:$V$10005,$V4271,'①在庫を貼る'!$W$6:$W$10005,$W4271)&gt;0),N(U4270),N(U4270)+1))</f>
        <v/>
      </c>
      <c r="V4271" s="19">
        <f>IF($B4271="","",TEXT($B4271,"0000"))</f>
        <v/>
      </c>
      <c r="W4271" s="19">
        <f>IF($I4271="","",IF(ISNUMBER($I4271),TEXT($I4271,"0"),$I4271))</f>
        <v/>
      </c>
    </row>
    <row r="4272">
      <c r="B4272" s="25" t="n"/>
      <c r="I4272" s="25" t="n"/>
      <c r="U4272" s="19">
        <f>IF($V4272&lt;&gt;'設定'!$C$4,N(U4271),IF(OR(NOT(COUNTIF('商品マスタ'!$B$6:$B$1005,$W4272)=0),COUNTIFS('①在庫を貼る'!$V$6:$V$10005,$V4272,'①在庫を貼る'!$W$6:$W$10005,$W4272)&gt;0),N(U4271),N(U4271)+1))</f>
        <v/>
      </c>
      <c r="V4272" s="19">
        <f>IF($B4272="","",TEXT($B4272,"0000"))</f>
        <v/>
      </c>
      <c r="W4272" s="19">
        <f>IF($I4272="","",IF(ISNUMBER($I4272),TEXT($I4272,"0"),$I4272))</f>
        <v/>
      </c>
    </row>
    <row r="4273">
      <c r="B4273" s="25" t="n"/>
      <c r="I4273" s="25" t="n"/>
      <c r="U4273" s="19">
        <f>IF($V4273&lt;&gt;'設定'!$C$4,N(U4272),IF(OR(NOT(COUNTIF('商品マスタ'!$B$6:$B$1005,$W4273)=0),COUNTIFS('①在庫を貼る'!$V$6:$V$10005,$V4273,'①在庫を貼る'!$W$6:$W$10005,$W4273)&gt;0),N(U4272),N(U4272)+1))</f>
        <v/>
      </c>
      <c r="V4273" s="19">
        <f>IF($B4273="","",TEXT($B4273,"0000"))</f>
        <v/>
      </c>
      <c r="W4273" s="19">
        <f>IF($I4273="","",IF(ISNUMBER($I4273),TEXT($I4273,"0"),$I4273))</f>
        <v/>
      </c>
    </row>
    <row r="4274">
      <c r="B4274" s="25" t="n"/>
      <c r="I4274" s="25" t="n"/>
      <c r="U4274" s="19">
        <f>IF($V4274&lt;&gt;'設定'!$C$4,N(U4273),IF(OR(NOT(COUNTIF('商品マスタ'!$B$6:$B$1005,$W4274)=0),COUNTIFS('①在庫を貼る'!$V$6:$V$10005,$V4274,'①在庫を貼る'!$W$6:$W$10005,$W4274)&gt;0),N(U4273),N(U4273)+1))</f>
        <v/>
      </c>
      <c r="V4274" s="19">
        <f>IF($B4274="","",TEXT($B4274,"0000"))</f>
        <v/>
      </c>
      <c r="W4274" s="19">
        <f>IF($I4274="","",IF(ISNUMBER($I4274),TEXT($I4274,"0"),$I4274))</f>
        <v/>
      </c>
    </row>
    <row r="4275">
      <c r="B4275" s="25" t="n"/>
      <c r="I4275" s="25" t="n"/>
      <c r="U4275" s="19">
        <f>IF($V4275&lt;&gt;'設定'!$C$4,N(U4274),IF(OR(NOT(COUNTIF('商品マスタ'!$B$6:$B$1005,$W4275)=0),COUNTIFS('①在庫を貼る'!$V$6:$V$10005,$V4275,'①在庫を貼る'!$W$6:$W$10005,$W4275)&gt;0),N(U4274),N(U4274)+1))</f>
        <v/>
      </c>
      <c r="V4275" s="19">
        <f>IF($B4275="","",TEXT($B4275,"0000"))</f>
        <v/>
      </c>
      <c r="W4275" s="19">
        <f>IF($I4275="","",IF(ISNUMBER($I4275),TEXT($I4275,"0"),$I4275))</f>
        <v/>
      </c>
    </row>
    <row r="4276">
      <c r="B4276" s="25" t="n"/>
      <c r="I4276" s="25" t="n"/>
      <c r="U4276" s="19">
        <f>IF($V4276&lt;&gt;'設定'!$C$4,N(U4275),IF(OR(NOT(COUNTIF('商品マスタ'!$B$6:$B$1005,$W4276)=0),COUNTIFS('①在庫を貼る'!$V$6:$V$10005,$V4276,'①在庫を貼る'!$W$6:$W$10005,$W4276)&gt;0),N(U4275),N(U4275)+1))</f>
        <v/>
      </c>
      <c r="V4276" s="19">
        <f>IF($B4276="","",TEXT($B4276,"0000"))</f>
        <v/>
      </c>
      <c r="W4276" s="19">
        <f>IF($I4276="","",IF(ISNUMBER($I4276),TEXT($I4276,"0"),$I4276))</f>
        <v/>
      </c>
    </row>
    <row r="4277">
      <c r="B4277" s="25" t="n"/>
      <c r="I4277" s="25" t="n"/>
      <c r="U4277" s="19">
        <f>IF($V4277&lt;&gt;'設定'!$C$4,N(U4276),IF(OR(NOT(COUNTIF('商品マスタ'!$B$6:$B$1005,$W4277)=0),COUNTIFS('①在庫を貼る'!$V$6:$V$10005,$V4277,'①在庫を貼る'!$W$6:$W$10005,$W4277)&gt;0),N(U4276),N(U4276)+1))</f>
        <v/>
      </c>
      <c r="V4277" s="19">
        <f>IF($B4277="","",TEXT($B4277,"0000"))</f>
        <v/>
      </c>
      <c r="W4277" s="19">
        <f>IF($I4277="","",IF(ISNUMBER($I4277),TEXT($I4277,"0"),$I4277))</f>
        <v/>
      </c>
    </row>
    <row r="4278">
      <c r="B4278" s="25" t="n"/>
      <c r="I4278" s="25" t="n"/>
      <c r="U4278" s="19">
        <f>IF($V4278&lt;&gt;'設定'!$C$4,N(U4277),IF(OR(NOT(COUNTIF('商品マスタ'!$B$6:$B$1005,$W4278)=0),COUNTIFS('①在庫を貼る'!$V$6:$V$10005,$V4278,'①在庫を貼る'!$W$6:$W$10005,$W4278)&gt;0),N(U4277),N(U4277)+1))</f>
        <v/>
      </c>
      <c r="V4278" s="19">
        <f>IF($B4278="","",TEXT($B4278,"0000"))</f>
        <v/>
      </c>
      <c r="W4278" s="19">
        <f>IF($I4278="","",IF(ISNUMBER($I4278),TEXT($I4278,"0"),$I4278))</f>
        <v/>
      </c>
    </row>
    <row r="4279">
      <c r="B4279" s="25" t="n"/>
      <c r="I4279" s="25" t="n"/>
      <c r="U4279" s="19">
        <f>IF($V4279&lt;&gt;'設定'!$C$4,N(U4278),IF(OR(NOT(COUNTIF('商品マスタ'!$B$6:$B$1005,$W4279)=0),COUNTIFS('①在庫を貼る'!$V$6:$V$10005,$V4279,'①在庫を貼る'!$W$6:$W$10005,$W4279)&gt;0),N(U4278),N(U4278)+1))</f>
        <v/>
      </c>
      <c r="V4279" s="19">
        <f>IF($B4279="","",TEXT($B4279,"0000"))</f>
        <v/>
      </c>
      <c r="W4279" s="19">
        <f>IF($I4279="","",IF(ISNUMBER($I4279),TEXT($I4279,"0"),$I4279))</f>
        <v/>
      </c>
    </row>
    <row r="4280">
      <c r="B4280" s="25" t="n"/>
      <c r="I4280" s="25" t="n"/>
      <c r="U4280" s="19">
        <f>IF($V4280&lt;&gt;'設定'!$C$4,N(U4279),IF(OR(NOT(COUNTIF('商品マスタ'!$B$6:$B$1005,$W4280)=0),COUNTIFS('①在庫を貼る'!$V$6:$V$10005,$V4280,'①在庫を貼る'!$W$6:$W$10005,$W4280)&gt;0),N(U4279),N(U4279)+1))</f>
        <v/>
      </c>
      <c r="V4280" s="19">
        <f>IF($B4280="","",TEXT($B4280,"0000"))</f>
        <v/>
      </c>
      <c r="W4280" s="19">
        <f>IF($I4280="","",IF(ISNUMBER($I4280),TEXT($I4280,"0"),$I4280))</f>
        <v/>
      </c>
    </row>
    <row r="4281">
      <c r="B4281" s="25" t="n"/>
      <c r="I4281" s="25" t="n"/>
      <c r="U4281" s="19">
        <f>IF($V4281&lt;&gt;'設定'!$C$4,N(U4280),IF(OR(NOT(COUNTIF('商品マスタ'!$B$6:$B$1005,$W4281)=0),COUNTIFS('①在庫を貼る'!$V$6:$V$10005,$V4281,'①在庫を貼る'!$W$6:$W$10005,$W4281)&gt;0),N(U4280),N(U4280)+1))</f>
        <v/>
      </c>
      <c r="V4281" s="19">
        <f>IF($B4281="","",TEXT($B4281,"0000"))</f>
        <v/>
      </c>
      <c r="W4281" s="19">
        <f>IF($I4281="","",IF(ISNUMBER($I4281),TEXT($I4281,"0"),$I4281))</f>
        <v/>
      </c>
    </row>
    <row r="4282">
      <c r="B4282" s="25" t="n"/>
      <c r="I4282" s="25" t="n"/>
      <c r="U4282" s="19">
        <f>IF($V4282&lt;&gt;'設定'!$C$4,N(U4281),IF(OR(NOT(COUNTIF('商品マスタ'!$B$6:$B$1005,$W4282)=0),COUNTIFS('①在庫を貼る'!$V$6:$V$10005,$V4282,'①在庫を貼る'!$W$6:$W$10005,$W4282)&gt;0),N(U4281),N(U4281)+1))</f>
        <v/>
      </c>
      <c r="V4282" s="19">
        <f>IF($B4282="","",TEXT($B4282,"0000"))</f>
        <v/>
      </c>
      <c r="W4282" s="19">
        <f>IF($I4282="","",IF(ISNUMBER($I4282),TEXT($I4282,"0"),$I4282))</f>
        <v/>
      </c>
    </row>
    <row r="4283">
      <c r="B4283" s="25" t="n"/>
      <c r="I4283" s="25" t="n"/>
      <c r="U4283" s="19">
        <f>IF($V4283&lt;&gt;'設定'!$C$4,N(U4282),IF(OR(NOT(COUNTIF('商品マスタ'!$B$6:$B$1005,$W4283)=0),COUNTIFS('①在庫を貼る'!$V$6:$V$10005,$V4283,'①在庫を貼る'!$W$6:$W$10005,$W4283)&gt;0),N(U4282),N(U4282)+1))</f>
        <v/>
      </c>
      <c r="V4283" s="19">
        <f>IF($B4283="","",TEXT($B4283,"0000"))</f>
        <v/>
      </c>
      <c r="W4283" s="19">
        <f>IF($I4283="","",IF(ISNUMBER($I4283),TEXT($I4283,"0"),$I4283))</f>
        <v/>
      </c>
    </row>
    <row r="4284">
      <c r="B4284" s="25" t="n"/>
      <c r="I4284" s="25" t="n"/>
      <c r="U4284" s="19">
        <f>IF($V4284&lt;&gt;'設定'!$C$4,N(U4283),IF(OR(NOT(COUNTIF('商品マスタ'!$B$6:$B$1005,$W4284)=0),COUNTIFS('①在庫を貼る'!$V$6:$V$10005,$V4284,'①在庫を貼る'!$W$6:$W$10005,$W4284)&gt;0),N(U4283),N(U4283)+1))</f>
        <v/>
      </c>
      <c r="V4284" s="19">
        <f>IF($B4284="","",TEXT($B4284,"0000"))</f>
        <v/>
      </c>
      <c r="W4284" s="19">
        <f>IF($I4284="","",IF(ISNUMBER($I4284),TEXT($I4284,"0"),$I4284))</f>
        <v/>
      </c>
    </row>
    <row r="4285">
      <c r="B4285" s="25" t="n"/>
      <c r="I4285" s="25" t="n"/>
      <c r="U4285" s="19">
        <f>IF($V4285&lt;&gt;'設定'!$C$4,N(U4284),IF(OR(NOT(COUNTIF('商品マスタ'!$B$6:$B$1005,$W4285)=0),COUNTIFS('①在庫を貼る'!$V$6:$V$10005,$V4285,'①在庫を貼る'!$W$6:$W$10005,$W4285)&gt;0),N(U4284),N(U4284)+1))</f>
        <v/>
      </c>
      <c r="V4285" s="19">
        <f>IF($B4285="","",TEXT($B4285,"0000"))</f>
        <v/>
      </c>
      <c r="W4285" s="19">
        <f>IF($I4285="","",IF(ISNUMBER($I4285),TEXT($I4285,"0"),$I4285))</f>
        <v/>
      </c>
    </row>
    <row r="4286">
      <c r="B4286" s="25" t="n"/>
      <c r="I4286" s="25" t="n"/>
      <c r="U4286" s="19">
        <f>IF($V4286&lt;&gt;'設定'!$C$4,N(U4285),IF(OR(NOT(COUNTIF('商品マスタ'!$B$6:$B$1005,$W4286)=0),COUNTIFS('①在庫を貼る'!$V$6:$V$10005,$V4286,'①在庫を貼る'!$W$6:$W$10005,$W4286)&gt;0),N(U4285),N(U4285)+1))</f>
        <v/>
      </c>
      <c r="V4286" s="19">
        <f>IF($B4286="","",TEXT($B4286,"0000"))</f>
        <v/>
      </c>
      <c r="W4286" s="19">
        <f>IF($I4286="","",IF(ISNUMBER($I4286),TEXT($I4286,"0"),$I4286))</f>
        <v/>
      </c>
    </row>
    <row r="4287">
      <c r="B4287" s="25" t="n"/>
      <c r="I4287" s="25" t="n"/>
      <c r="U4287" s="19">
        <f>IF($V4287&lt;&gt;'設定'!$C$4,N(U4286),IF(OR(NOT(COUNTIF('商品マスタ'!$B$6:$B$1005,$W4287)=0),COUNTIFS('①在庫を貼る'!$V$6:$V$10005,$V4287,'①在庫を貼る'!$W$6:$W$10005,$W4287)&gt;0),N(U4286),N(U4286)+1))</f>
        <v/>
      </c>
      <c r="V4287" s="19">
        <f>IF($B4287="","",TEXT($B4287,"0000"))</f>
        <v/>
      </c>
      <c r="W4287" s="19">
        <f>IF($I4287="","",IF(ISNUMBER($I4287),TEXT($I4287,"0"),$I4287))</f>
        <v/>
      </c>
    </row>
    <row r="4288">
      <c r="B4288" s="25" t="n"/>
      <c r="I4288" s="25" t="n"/>
      <c r="U4288" s="19">
        <f>IF($V4288&lt;&gt;'設定'!$C$4,N(U4287),IF(OR(NOT(COUNTIF('商品マスタ'!$B$6:$B$1005,$W4288)=0),COUNTIFS('①在庫を貼る'!$V$6:$V$10005,$V4288,'①在庫を貼る'!$W$6:$W$10005,$W4288)&gt;0),N(U4287),N(U4287)+1))</f>
        <v/>
      </c>
      <c r="V4288" s="19">
        <f>IF($B4288="","",TEXT($B4288,"0000"))</f>
        <v/>
      </c>
      <c r="W4288" s="19">
        <f>IF($I4288="","",IF(ISNUMBER($I4288),TEXT($I4288,"0"),$I4288))</f>
        <v/>
      </c>
    </row>
    <row r="4289">
      <c r="B4289" s="25" t="n"/>
      <c r="I4289" s="25" t="n"/>
      <c r="U4289" s="19">
        <f>IF($V4289&lt;&gt;'設定'!$C$4,N(U4288),IF(OR(NOT(COUNTIF('商品マスタ'!$B$6:$B$1005,$W4289)=0),COUNTIFS('①在庫を貼る'!$V$6:$V$10005,$V4289,'①在庫を貼る'!$W$6:$W$10005,$W4289)&gt;0),N(U4288),N(U4288)+1))</f>
        <v/>
      </c>
      <c r="V4289" s="19">
        <f>IF($B4289="","",TEXT($B4289,"0000"))</f>
        <v/>
      </c>
      <c r="W4289" s="19">
        <f>IF($I4289="","",IF(ISNUMBER($I4289),TEXT($I4289,"0"),$I4289))</f>
        <v/>
      </c>
    </row>
    <row r="4290">
      <c r="B4290" s="25" t="n"/>
      <c r="I4290" s="25" t="n"/>
      <c r="U4290" s="19">
        <f>IF($V4290&lt;&gt;'設定'!$C$4,N(U4289),IF(OR(NOT(COUNTIF('商品マスタ'!$B$6:$B$1005,$W4290)=0),COUNTIFS('①在庫を貼る'!$V$6:$V$10005,$V4290,'①在庫を貼る'!$W$6:$W$10005,$W4290)&gt;0),N(U4289),N(U4289)+1))</f>
        <v/>
      </c>
      <c r="V4290" s="19">
        <f>IF($B4290="","",TEXT($B4290,"0000"))</f>
        <v/>
      </c>
      <c r="W4290" s="19">
        <f>IF($I4290="","",IF(ISNUMBER($I4290),TEXT($I4290,"0"),$I4290))</f>
        <v/>
      </c>
    </row>
    <row r="4291">
      <c r="B4291" s="25" t="n"/>
      <c r="I4291" s="25" t="n"/>
      <c r="U4291" s="19">
        <f>IF($V4291&lt;&gt;'設定'!$C$4,N(U4290),IF(OR(NOT(COUNTIF('商品マスタ'!$B$6:$B$1005,$W4291)=0),COUNTIFS('①在庫を貼る'!$V$6:$V$10005,$V4291,'①在庫を貼る'!$W$6:$W$10005,$W4291)&gt;0),N(U4290),N(U4290)+1))</f>
        <v/>
      </c>
      <c r="V4291" s="19">
        <f>IF($B4291="","",TEXT($B4291,"0000"))</f>
        <v/>
      </c>
      <c r="W4291" s="19">
        <f>IF($I4291="","",IF(ISNUMBER($I4291),TEXT($I4291,"0"),$I4291))</f>
        <v/>
      </c>
    </row>
    <row r="4292">
      <c r="B4292" s="25" t="n"/>
      <c r="I4292" s="25" t="n"/>
      <c r="U4292" s="19">
        <f>IF($V4292&lt;&gt;'設定'!$C$4,N(U4291),IF(OR(NOT(COUNTIF('商品マスタ'!$B$6:$B$1005,$W4292)=0),COUNTIFS('①在庫を貼る'!$V$6:$V$10005,$V4292,'①在庫を貼る'!$W$6:$W$10005,$W4292)&gt;0),N(U4291),N(U4291)+1))</f>
        <v/>
      </c>
      <c r="V4292" s="19">
        <f>IF($B4292="","",TEXT($B4292,"0000"))</f>
        <v/>
      </c>
      <c r="W4292" s="19">
        <f>IF($I4292="","",IF(ISNUMBER($I4292),TEXT($I4292,"0"),$I4292))</f>
        <v/>
      </c>
    </row>
    <row r="4293">
      <c r="B4293" s="25" t="n"/>
      <c r="I4293" s="25" t="n"/>
      <c r="U4293" s="19">
        <f>IF($V4293&lt;&gt;'設定'!$C$4,N(U4292),IF(OR(NOT(COUNTIF('商品マスタ'!$B$6:$B$1005,$W4293)=0),COUNTIFS('①在庫を貼る'!$V$6:$V$10005,$V4293,'①在庫を貼る'!$W$6:$W$10005,$W4293)&gt;0),N(U4292),N(U4292)+1))</f>
        <v/>
      </c>
      <c r="V4293" s="19">
        <f>IF($B4293="","",TEXT($B4293,"0000"))</f>
        <v/>
      </c>
      <c r="W4293" s="19">
        <f>IF($I4293="","",IF(ISNUMBER($I4293),TEXT($I4293,"0"),$I4293))</f>
        <v/>
      </c>
    </row>
    <row r="4294">
      <c r="B4294" s="25" t="n"/>
      <c r="I4294" s="25" t="n"/>
      <c r="U4294" s="19">
        <f>IF($V4294&lt;&gt;'設定'!$C$4,N(U4293),IF(OR(NOT(COUNTIF('商品マスタ'!$B$6:$B$1005,$W4294)=0),COUNTIFS('①在庫を貼る'!$V$6:$V$10005,$V4294,'①在庫を貼る'!$W$6:$W$10005,$W4294)&gt;0),N(U4293),N(U4293)+1))</f>
        <v/>
      </c>
      <c r="V4294" s="19">
        <f>IF($B4294="","",TEXT($B4294,"0000"))</f>
        <v/>
      </c>
      <c r="W4294" s="19">
        <f>IF($I4294="","",IF(ISNUMBER($I4294),TEXT($I4294,"0"),$I4294))</f>
        <v/>
      </c>
    </row>
    <row r="4295">
      <c r="B4295" s="25" t="n"/>
      <c r="I4295" s="25" t="n"/>
      <c r="U4295" s="19">
        <f>IF($V4295&lt;&gt;'設定'!$C$4,N(U4294),IF(OR(NOT(COUNTIF('商品マスタ'!$B$6:$B$1005,$W4295)=0),COUNTIFS('①在庫を貼る'!$V$6:$V$10005,$V4295,'①在庫を貼る'!$W$6:$W$10005,$W4295)&gt;0),N(U4294),N(U4294)+1))</f>
        <v/>
      </c>
      <c r="V4295" s="19">
        <f>IF($B4295="","",TEXT($B4295,"0000"))</f>
        <v/>
      </c>
      <c r="W4295" s="19">
        <f>IF($I4295="","",IF(ISNUMBER($I4295),TEXT($I4295,"0"),$I4295))</f>
        <v/>
      </c>
    </row>
    <row r="4296">
      <c r="B4296" s="25" t="n"/>
      <c r="I4296" s="25" t="n"/>
      <c r="U4296" s="19">
        <f>IF($V4296&lt;&gt;'設定'!$C$4,N(U4295),IF(OR(NOT(COUNTIF('商品マスタ'!$B$6:$B$1005,$W4296)=0),COUNTIFS('①在庫を貼る'!$V$6:$V$10005,$V4296,'①在庫を貼る'!$W$6:$W$10005,$W4296)&gt;0),N(U4295),N(U4295)+1))</f>
        <v/>
      </c>
      <c r="V4296" s="19">
        <f>IF($B4296="","",TEXT($B4296,"0000"))</f>
        <v/>
      </c>
      <c r="W4296" s="19">
        <f>IF($I4296="","",IF(ISNUMBER($I4296),TEXT($I4296,"0"),$I4296))</f>
        <v/>
      </c>
    </row>
    <row r="4297">
      <c r="B4297" s="25" t="n"/>
      <c r="I4297" s="25" t="n"/>
      <c r="U4297" s="19">
        <f>IF($V4297&lt;&gt;'設定'!$C$4,N(U4296),IF(OR(NOT(COUNTIF('商品マスタ'!$B$6:$B$1005,$W4297)=0),COUNTIFS('①在庫を貼る'!$V$6:$V$10005,$V4297,'①在庫を貼る'!$W$6:$W$10005,$W4297)&gt;0),N(U4296),N(U4296)+1))</f>
        <v/>
      </c>
      <c r="V4297" s="19">
        <f>IF($B4297="","",TEXT($B4297,"0000"))</f>
        <v/>
      </c>
      <c r="W4297" s="19">
        <f>IF($I4297="","",IF(ISNUMBER($I4297),TEXT($I4297,"0"),$I4297))</f>
        <v/>
      </c>
    </row>
    <row r="4298">
      <c r="B4298" s="25" t="n"/>
      <c r="I4298" s="25" t="n"/>
      <c r="U4298" s="19">
        <f>IF($V4298&lt;&gt;'設定'!$C$4,N(U4297),IF(OR(NOT(COUNTIF('商品マスタ'!$B$6:$B$1005,$W4298)=0),COUNTIFS('①在庫を貼る'!$V$6:$V$10005,$V4298,'①在庫を貼る'!$W$6:$W$10005,$W4298)&gt;0),N(U4297),N(U4297)+1))</f>
        <v/>
      </c>
      <c r="V4298" s="19">
        <f>IF($B4298="","",TEXT($B4298,"0000"))</f>
        <v/>
      </c>
      <c r="W4298" s="19">
        <f>IF($I4298="","",IF(ISNUMBER($I4298),TEXT($I4298,"0"),$I4298))</f>
        <v/>
      </c>
    </row>
    <row r="4299">
      <c r="B4299" s="25" t="n"/>
      <c r="I4299" s="25" t="n"/>
      <c r="U4299" s="19">
        <f>IF($V4299&lt;&gt;'設定'!$C$4,N(U4298),IF(OR(NOT(COUNTIF('商品マスタ'!$B$6:$B$1005,$W4299)=0),COUNTIFS('①在庫を貼る'!$V$6:$V$10005,$V4299,'①在庫を貼る'!$W$6:$W$10005,$W4299)&gt;0),N(U4298),N(U4298)+1))</f>
        <v/>
      </c>
      <c r="V4299" s="19">
        <f>IF($B4299="","",TEXT($B4299,"0000"))</f>
        <v/>
      </c>
      <c r="W4299" s="19">
        <f>IF($I4299="","",IF(ISNUMBER($I4299),TEXT($I4299,"0"),$I4299))</f>
        <v/>
      </c>
    </row>
    <row r="4300">
      <c r="B4300" s="25" t="n"/>
      <c r="I4300" s="25" t="n"/>
      <c r="U4300" s="19">
        <f>IF($V4300&lt;&gt;'設定'!$C$4,N(U4299),IF(OR(NOT(COUNTIF('商品マスタ'!$B$6:$B$1005,$W4300)=0),COUNTIFS('①在庫を貼る'!$V$6:$V$10005,$V4300,'①在庫を貼る'!$W$6:$W$10005,$W4300)&gt;0),N(U4299),N(U4299)+1))</f>
        <v/>
      </c>
      <c r="V4300" s="19">
        <f>IF($B4300="","",TEXT($B4300,"0000"))</f>
        <v/>
      </c>
      <c r="W4300" s="19">
        <f>IF($I4300="","",IF(ISNUMBER($I4300),TEXT($I4300,"0"),$I4300))</f>
        <v/>
      </c>
    </row>
    <row r="4301">
      <c r="B4301" s="25" t="n"/>
      <c r="I4301" s="25" t="n"/>
      <c r="U4301" s="19">
        <f>IF($V4301&lt;&gt;'設定'!$C$4,N(U4300),IF(OR(NOT(COUNTIF('商品マスタ'!$B$6:$B$1005,$W4301)=0),COUNTIFS('①在庫を貼る'!$V$6:$V$10005,$V4301,'①在庫を貼る'!$W$6:$W$10005,$W4301)&gt;0),N(U4300),N(U4300)+1))</f>
        <v/>
      </c>
      <c r="V4301" s="19">
        <f>IF($B4301="","",TEXT($B4301,"0000"))</f>
        <v/>
      </c>
      <c r="W4301" s="19">
        <f>IF($I4301="","",IF(ISNUMBER($I4301),TEXT($I4301,"0"),$I4301))</f>
        <v/>
      </c>
    </row>
    <row r="4302">
      <c r="B4302" s="25" t="n"/>
      <c r="I4302" s="25" t="n"/>
      <c r="U4302" s="19">
        <f>IF($V4302&lt;&gt;'設定'!$C$4,N(U4301),IF(OR(NOT(COUNTIF('商品マスタ'!$B$6:$B$1005,$W4302)=0),COUNTIFS('①在庫を貼る'!$V$6:$V$10005,$V4302,'①在庫を貼る'!$W$6:$W$10005,$W4302)&gt;0),N(U4301),N(U4301)+1))</f>
        <v/>
      </c>
      <c r="V4302" s="19">
        <f>IF($B4302="","",TEXT($B4302,"0000"))</f>
        <v/>
      </c>
      <c r="W4302" s="19">
        <f>IF($I4302="","",IF(ISNUMBER($I4302),TEXT($I4302,"0"),$I4302))</f>
        <v/>
      </c>
    </row>
    <row r="4303">
      <c r="B4303" s="25" t="n"/>
      <c r="I4303" s="25" t="n"/>
      <c r="U4303" s="19">
        <f>IF($V4303&lt;&gt;'設定'!$C$4,N(U4302),IF(OR(NOT(COUNTIF('商品マスタ'!$B$6:$B$1005,$W4303)=0),COUNTIFS('①在庫を貼る'!$V$6:$V$10005,$V4303,'①在庫を貼る'!$W$6:$W$10005,$W4303)&gt;0),N(U4302),N(U4302)+1))</f>
        <v/>
      </c>
      <c r="V4303" s="19">
        <f>IF($B4303="","",TEXT($B4303,"0000"))</f>
        <v/>
      </c>
      <c r="W4303" s="19">
        <f>IF($I4303="","",IF(ISNUMBER($I4303),TEXT($I4303,"0"),$I4303))</f>
        <v/>
      </c>
    </row>
    <row r="4304">
      <c r="B4304" s="25" t="n"/>
      <c r="I4304" s="25" t="n"/>
      <c r="U4304" s="19">
        <f>IF($V4304&lt;&gt;'設定'!$C$4,N(U4303),IF(OR(NOT(COUNTIF('商品マスタ'!$B$6:$B$1005,$W4304)=0),COUNTIFS('①在庫を貼る'!$V$6:$V$10005,$V4304,'①在庫を貼る'!$W$6:$W$10005,$W4304)&gt;0),N(U4303),N(U4303)+1))</f>
        <v/>
      </c>
      <c r="V4304" s="19">
        <f>IF($B4304="","",TEXT($B4304,"0000"))</f>
        <v/>
      </c>
      <c r="W4304" s="19">
        <f>IF($I4304="","",IF(ISNUMBER($I4304),TEXT($I4304,"0"),$I4304))</f>
        <v/>
      </c>
    </row>
    <row r="4305">
      <c r="B4305" s="25" t="n"/>
      <c r="I4305" s="25" t="n"/>
      <c r="U4305" s="19">
        <f>IF($V4305&lt;&gt;'設定'!$C$4,N(U4304),IF(OR(NOT(COUNTIF('商品マスタ'!$B$6:$B$1005,$W4305)=0),COUNTIFS('①在庫を貼る'!$V$6:$V$10005,$V4305,'①在庫を貼る'!$W$6:$W$10005,$W4305)&gt;0),N(U4304),N(U4304)+1))</f>
        <v/>
      </c>
      <c r="V4305" s="19">
        <f>IF($B4305="","",TEXT($B4305,"0000"))</f>
        <v/>
      </c>
      <c r="W4305" s="19">
        <f>IF($I4305="","",IF(ISNUMBER($I4305),TEXT($I4305,"0"),$I4305))</f>
        <v/>
      </c>
    </row>
    <row r="4306">
      <c r="B4306" s="25" t="n"/>
      <c r="I4306" s="25" t="n"/>
      <c r="U4306" s="19">
        <f>IF($V4306&lt;&gt;'設定'!$C$4,N(U4305),IF(OR(NOT(COUNTIF('商品マスタ'!$B$6:$B$1005,$W4306)=0),COUNTIFS('①在庫を貼る'!$V$6:$V$10005,$V4306,'①在庫を貼る'!$W$6:$W$10005,$W4306)&gt;0),N(U4305),N(U4305)+1))</f>
        <v/>
      </c>
      <c r="V4306" s="19">
        <f>IF($B4306="","",TEXT($B4306,"0000"))</f>
        <v/>
      </c>
      <c r="W4306" s="19">
        <f>IF($I4306="","",IF(ISNUMBER($I4306),TEXT($I4306,"0"),$I4306))</f>
        <v/>
      </c>
    </row>
    <row r="4307">
      <c r="B4307" s="25" t="n"/>
      <c r="I4307" s="25" t="n"/>
      <c r="U4307" s="19">
        <f>IF($V4307&lt;&gt;'設定'!$C$4,N(U4306),IF(OR(NOT(COUNTIF('商品マスタ'!$B$6:$B$1005,$W4307)=0),COUNTIFS('①在庫を貼る'!$V$6:$V$10005,$V4307,'①在庫を貼る'!$W$6:$W$10005,$W4307)&gt;0),N(U4306),N(U4306)+1))</f>
        <v/>
      </c>
      <c r="V4307" s="19">
        <f>IF($B4307="","",TEXT($B4307,"0000"))</f>
        <v/>
      </c>
      <c r="W4307" s="19">
        <f>IF($I4307="","",IF(ISNUMBER($I4307),TEXT($I4307,"0"),$I4307))</f>
        <v/>
      </c>
    </row>
    <row r="4308">
      <c r="B4308" s="25" t="n"/>
      <c r="I4308" s="25" t="n"/>
      <c r="U4308" s="19">
        <f>IF($V4308&lt;&gt;'設定'!$C$4,N(U4307),IF(OR(NOT(COUNTIF('商品マスタ'!$B$6:$B$1005,$W4308)=0),COUNTIFS('①在庫を貼る'!$V$6:$V$10005,$V4308,'①在庫を貼る'!$W$6:$W$10005,$W4308)&gt;0),N(U4307),N(U4307)+1))</f>
        <v/>
      </c>
      <c r="V4308" s="19">
        <f>IF($B4308="","",TEXT($B4308,"0000"))</f>
        <v/>
      </c>
      <c r="W4308" s="19">
        <f>IF($I4308="","",IF(ISNUMBER($I4308),TEXT($I4308,"0"),$I4308))</f>
        <v/>
      </c>
    </row>
    <row r="4309">
      <c r="B4309" s="25" t="n"/>
      <c r="I4309" s="25" t="n"/>
      <c r="U4309" s="19">
        <f>IF($V4309&lt;&gt;'設定'!$C$4,N(U4308),IF(OR(NOT(COUNTIF('商品マスタ'!$B$6:$B$1005,$W4309)=0),COUNTIFS('①在庫を貼る'!$V$6:$V$10005,$V4309,'①在庫を貼る'!$W$6:$W$10005,$W4309)&gt;0),N(U4308),N(U4308)+1))</f>
        <v/>
      </c>
      <c r="V4309" s="19">
        <f>IF($B4309="","",TEXT($B4309,"0000"))</f>
        <v/>
      </c>
      <c r="W4309" s="19">
        <f>IF($I4309="","",IF(ISNUMBER($I4309),TEXT($I4309,"0"),$I4309))</f>
        <v/>
      </c>
    </row>
    <row r="4310">
      <c r="B4310" s="25" t="n"/>
      <c r="I4310" s="25" t="n"/>
      <c r="U4310" s="19">
        <f>IF($V4310&lt;&gt;'設定'!$C$4,N(U4309),IF(OR(NOT(COUNTIF('商品マスタ'!$B$6:$B$1005,$W4310)=0),COUNTIFS('①在庫を貼る'!$V$6:$V$10005,$V4310,'①在庫を貼る'!$W$6:$W$10005,$W4310)&gt;0),N(U4309),N(U4309)+1))</f>
        <v/>
      </c>
      <c r="V4310" s="19">
        <f>IF($B4310="","",TEXT($B4310,"0000"))</f>
        <v/>
      </c>
      <c r="W4310" s="19">
        <f>IF($I4310="","",IF(ISNUMBER($I4310),TEXT($I4310,"0"),$I4310))</f>
        <v/>
      </c>
    </row>
    <row r="4311">
      <c r="B4311" s="25" t="n"/>
      <c r="I4311" s="25" t="n"/>
      <c r="U4311" s="19">
        <f>IF($V4311&lt;&gt;'設定'!$C$4,N(U4310),IF(OR(NOT(COUNTIF('商品マスタ'!$B$6:$B$1005,$W4311)=0),COUNTIFS('①在庫を貼る'!$V$6:$V$10005,$V4311,'①在庫を貼る'!$W$6:$W$10005,$W4311)&gt;0),N(U4310),N(U4310)+1))</f>
        <v/>
      </c>
      <c r="V4311" s="19">
        <f>IF($B4311="","",TEXT($B4311,"0000"))</f>
        <v/>
      </c>
      <c r="W4311" s="19">
        <f>IF($I4311="","",IF(ISNUMBER($I4311),TEXT($I4311,"0"),$I4311))</f>
        <v/>
      </c>
    </row>
    <row r="4312">
      <c r="B4312" s="25" t="n"/>
      <c r="I4312" s="25" t="n"/>
      <c r="U4312" s="19">
        <f>IF($V4312&lt;&gt;'設定'!$C$4,N(U4311),IF(OR(NOT(COUNTIF('商品マスタ'!$B$6:$B$1005,$W4312)=0),COUNTIFS('①在庫を貼る'!$V$6:$V$10005,$V4312,'①在庫を貼る'!$W$6:$W$10005,$W4312)&gt;0),N(U4311),N(U4311)+1))</f>
        <v/>
      </c>
      <c r="V4312" s="19">
        <f>IF($B4312="","",TEXT($B4312,"0000"))</f>
        <v/>
      </c>
      <c r="W4312" s="19">
        <f>IF($I4312="","",IF(ISNUMBER($I4312),TEXT($I4312,"0"),$I4312))</f>
        <v/>
      </c>
    </row>
    <row r="4313">
      <c r="B4313" s="25" t="n"/>
      <c r="I4313" s="25" t="n"/>
      <c r="U4313" s="19">
        <f>IF($V4313&lt;&gt;'設定'!$C$4,N(U4312),IF(OR(NOT(COUNTIF('商品マスタ'!$B$6:$B$1005,$W4313)=0),COUNTIFS('①在庫を貼る'!$V$6:$V$10005,$V4313,'①在庫を貼る'!$W$6:$W$10005,$W4313)&gt;0),N(U4312),N(U4312)+1))</f>
        <v/>
      </c>
      <c r="V4313" s="19">
        <f>IF($B4313="","",TEXT($B4313,"0000"))</f>
        <v/>
      </c>
      <c r="W4313" s="19">
        <f>IF($I4313="","",IF(ISNUMBER($I4313),TEXT($I4313,"0"),$I4313))</f>
        <v/>
      </c>
    </row>
    <row r="4314">
      <c r="B4314" s="25" t="n"/>
      <c r="I4314" s="25" t="n"/>
      <c r="U4314" s="19">
        <f>IF($V4314&lt;&gt;'設定'!$C$4,N(U4313),IF(OR(NOT(COUNTIF('商品マスタ'!$B$6:$B$1005,$W4314)=0),COUNTIFS('①在庫を貼る'!$V$6:$V$10005,$V4314,'①在庫を貼る'!$W$6:$W$10005,$W4314)&gt;0),N(U4313),N(U4313)+1))</f>
        <v/>
      </c>
      <c r="V4314" s="19">
        <f>IF($B4314="","",TEXT($B4314,"0000"))</f>
        <v/>
      </c>
      <c r="W4314" s="19">
        <f>IF($I4314="","",IF(ISNUMBER($I4314),TEXT($I4314,"0"),$I4314))</f>
        <v/>
      </c>
    </row>
    <row r="4315">
      <c r="B4315" s="25" t="n"/>
      <c r="I4315" s="25" t="n"/>
      <c r="U4315" s="19">
        <f>IF($V4315&lt;&gt;'設定'!$C$4,N(U4314),IF(OR(NOT(COUNTIF('商品マスタ'!$B$6:$B$1005,$W4315)=0),COUNTIFS('①在庫を貼る'!$V$6:$V$10005,$V4315,'①在庫を貼る'!$W$6:$W$10005,$W4315)&gt;0),N(U4314),N(U4314)+1))</f>
        <v/>
      </c>
      <c r="V4315" s="19">
        <f>IF($B4315="","",TEXT($B4315,"0000"))</f>
        <v/>
      </c>
      <c r="W4315" s="19">
        <f>IF($I4315="","",IF(ISNUMBER($I4315),TEXT($I4315,"0"),$I4315))</f>
        <v/>
      </c>
    </row>
    <row r="4316">
      <c r="B4316" s="25" t="n"/>
      <c r="I4316" s="25" t="n"/>
      <c r="U4316" s="19">
        <f>IF($V4316&lt;&gt;'設定'!$C$4,N(U4315),IF(OR(NOT(COUNTIF('商品マスタ'!$B$6:$B$1005,$W4316)=0),COUNTIFS('①在庫を貼る'!$V$6:$V$10005,$V4316,'①在庫を貼る'!$W$6:$W$10005,$W4316)&gt;0),N(U4315),N(U4315)+1))</f>
        <v/>
      </c>
      <c r="V4316" s="19">
        <f>IF($B4316="","",TEXT($B4316,"0000"))</f>
        <v/>
      </c>
      <c r="W4316" s="19">
        <f>IF($I4316="","",IF(ISNUMBER($I4316),TEXT($I4316,"0"),$I4316))</f>
        <v/>
      </c>
    </row>
    <row r="4317">
      <c r="B4317" s="25" t="n"/>
      <c r="I4317" s="25" t="n"/>
      <c r="U4317" s="19">
        <f>IF($V4317&lt;&gt;'設定'!$C$4,N(U4316),IF(OR(NOT(COUNTIF('商品マスタ'!$B$6:$B$1005,$W4317)=0),COUNTIFS('①在庫を貼る'!$V$6:$V$10005,$V4317,'①在庫を貼る'!$W$6:$W$10005,$W4317)&gt;0),N(U4316),N(U4316)+1))</f>
        <v/>
      </c>
      <c r="V4317" s="19">
        <f>IF($B4317="","",TEXT($B4317,"0000"))</f>
        <v/>
      </c>
      <c r="W4317" s="19">
        <f>IF($I4317="","",IF(ISNUMBER($I4317),TEXT($I4317,"0"),$I4317))</f>
        <v/>
      </c>
    </row>
    <row r="4318">
      <c r="B4318" s="25" t="n"/>
      <c r="I4318" s="25" t="n"/>
      <c r="U4318" s="19">
        <f>IF($V4318&lt;&gt;'設定'!$C$4,N(U4317),IF(OR(NOT(COUNTIF('商品マスタ'!$B$6:$B$1005,$W4318)=0),COUNTIFS('①在庫を貼る'!$V$6:$V$10005,$V4318,'①在庫を貼る'!$W$6:$W$10005,$W4318)&gt;0),N(U4317),N(U4317)+1))</f>
        <v/>
      </c>
      <c r="V4318" s="19">
        <f>IF($B4318="","",TEXT($B4318,"0000"))</f>
        <v/>
      </c>
      <c r="W4318" s="19">
        <f>IF($I4318="","",IF(ISNUMBER($I4318),TEXT($I4318,"0"),$I4318))</f>
        <v/>
      </c>
    </row>
    <row r="4319">
      <c r="B4319" s="25" t="n"/>
      <c r="I4319" s="25" t="n"/>
      <c r="U4319" s="19">
        <f>IF($V4319&lt;&gt;'設定'!$C$4,N(U4318),IF(OR(NOT(COUNTIF('商品マスタ'!$B$6:$B$1005,$W4319)=0),COUNTIFS('①在庫を貼る'!$V$6:$V$10005,$V4319,'①在庫を貼る'!$W$6:$W$10005,$W4319)&gt;0),N(U4318),N(U4318)+1))</f>
        <v/>
      </c>
      <c r="V4319" s="19">
        <f>IF($B4319="","",TEXT($B4319,"0000"))</f>
        <v/>
      </c>
      <c r="W4319" s="19">
        <f>IF($I4319="","",IF(ISNUMBER($I4319),TEXT($I4319,"0"),$I4319))</f>
        <v/>
      </c>
    </row>
    <row r="4320">
      <c r="B4320" s="25" t="n"/>
      <c r="I4320" s="25" t="n"/>
      <c r="U4320" s="19">
        <f>IF($V4320&lt;&gt;'設定'!$C$4,N(U4319),IF(OR(NOT(COUNTIF('商品マスタ'!$B$6:$B$1005,$W4320)=0),COUNTIFS('①在庫を貼る'!$V$6:$V$10005,$V4320,'①在庫を貼る'!$W$6:$W$10005,$W4320)&gt;0),N(U4319),N(U4319)+1))</f>
        <v/>
      </c>
      <c r="V4320" s="19">
        <f>IF($B4320="","",TEXT($B4320,"0000"))</f>
        <v/>
      </c>
      <c r="W4320" s="19">
        <f>IF($I4320="","",IF(ISNUMBER($I4320),TEXT($I4320,"0"),$I4320))</f>
        <v/>
      </c>
    </row>
    <row r="4321">
      <c r="B4321" s="25" t="n"/>
      <c r="I4321" s="25" t="n"/>
      <c r="U4321" s="19">
        <f>IF($V4321&lt;&gt;'設定'!$C$4,N(U4320),IF(OR(NOT(COUNTIF('商品マスタ'!$B$6:$B$1005,$W4321)=0),COUNTIFS('①在庫を貼る'!$V$6:$V$10005,$V4321,'①在庫を貼る'!$W$6:$W$10005,$W4321)&gt;0),N(U4320),N(U4320)+1))</f>
        <v/>
      </c>
      <c r="V4321" s="19">
        <f>IF($B4321="","",TEXT($B4321,"0000"))</f>
        <v/>
      </c>
      <c r="W4321" s="19">
        <f>IF($I4321="","",IF(ISNUMBER($I4321),TEXT($I4321,"0"),$I4321))</f>
        <v/>
      </c>
    </row>
    <row r="4322">
      <c r="B4322" s="25" t="n"/>
      <c r="I4322" s="25" t="n"/>
      <c r="U4322" s="19">
        <f>IF($V4322&lt;&gt;'設定'!$C$4,N(U4321),IF(OR(NOT(COUNTIF('商品マスタ'!$B$6:$B$1005,$W4322)=0),COUNTIFS('①在庫を貼る'!$V$6:$V$10005,$V4322,'①在庫を貼る'!$W$6:$W$10005,$W4322)&gt;0),N(U4321),N(U4321)+1))</f>
        <v/>
      </c>
      <c r="V4322" s="19">
        <f>IF($B4322="","",TEXT($B4322,"0000"))</f>
        <v/>
      </c>
      <c r="W4322" s="19">
        <f>IF($I4322="","",IF(ISNUMBER($I4322),TEXT($I4322,"0"),$I4322))</f>
        <v/>
      </c>
    </row>
    <row r="4323">
      <c r="B4323" s="25" t="n"/>
      <c r="I4323" s="25" t="n"/>
      <c r="U4323" s="19">
        <f>IF($V4323&lt;&gt;'設定'!$C$4,N(U4322),IF(OR(NOT(COUNTIF('商品マスタ'!$B$6:$B$1005,$W4323)=0),COUNTIFS('①在庫を貼る'!$V$6:$V$10005,$V4323,'①在庫を貼る'!$W$6:$W$10005,$W4323)&gt;0),N(U4322),N(U4322)+1))</f>
        <v/>
      </c>
      <c r="V4323" s="19">
        <f>IF($B4323="","",TEXT($B4323,"0000"))</f>
        <v/>
      </c>
      <c r="W4323" s="19">
        <f>IF($I4323="","",IF(ISNUMBER($I4323),TEXT($I4323,"0"),$I4323))</f>
        <v/>
      </c>
    </row>
    <row r="4324">
      <c r="B4324" s="25" t="n"/>
      <c r="I4324" s="25" t="n"/>
      <c r="U4324" s="19">
        <f>IF($V4324&lt;&gt;'設定'!$C$4,N(U4323),IF(OR(NOT(COUNTIF('商品マスタ'!$B$6:$B$1005,$W4324)=0),COUNTIFS('①在庫を貼る'!$V$6:$V$10005,$V4324,'①在庫を貼る'!$W$6:$W$10005,$W4324)&gt;0),N(U4323),N(U4323)+1))</f>
        <v/>
      </c>
      <c r="V4324" s="19">
        <f>IF($B4324="","",TEXT($B4324,"0000"))</f>
        <v/>
      </c>
      <c r="W4324" s="19">
        <f>IF($I4324="","",IF(ISNUMBER($I4324),TEXT($I4324,"0"),$I4324))</f>
        <v/>
      </c>
    </row>
    <row r="4325">
      <c r="B4325" s="25" t="n"/>
      <c r="I4325" s="25" t="n"/>
      <c r="U4325" s="19">
        <f>IF($V4325&lt;&gt;'設定'!$C$4,N(U4324),IF(OR(NOT(COUNTIF('商品マスタ'!$B$6:$B$1005,$W4325)=0),COUNTIFS('①在庫を貼る'!$V$6:$V$10005,$V4325,'①在庫を貼る'!$W$6:$W$10005,$W4325)&gt;0),N(U4324),N(U4324)+1))</f>
        <v/>
      </c>
      <c r="V4325" s="19">
        <f>IF($B4325="","",TEXT($B4325,"0000"))</f>
        <v/>
      </c>
      <c r="W4325" s="19">
        <f>IF($I4325="","",IF(ISNUMBER($I4325),TEXT($I4325,"0"),$I4325))</f>
        <v/>
      </c>
    </row>
    <row r="4326">
      <c r="B4326" s="25" t="n"/>
      <c r="I4326" s="25" t="n"/>
      <c r="U4326" s="19">
        <f>IF($V4326&lt;&gt;'設定'!$C$4,N(U4325),IF(OR(NOT(COUNTIF('商品マスタ'!$B$6:$B$1005,$W4326)=0),COUNTIFS('①在庫を貼る'!$V$6:$V$10005,$V4326,'①在庫を貼る'!$W$6:$W$10005,$W4326)&gt;0),N(U4325),N(U4325)+1))</f>
        <v/>
      </c>
      <c r="V4326" s="19">
        <f>IF($B4326="","",TEXT($B4326,"0000"))</f>
        <v/>
      </c>
      <c r="W4326" s="19">
        <f>IF($I4326="","",IF(ISNUMBER($I4326),TEXT($I4326,"0"),$I4326))</f>
        <v/>
      </c>
    </row>
    <row r="4327">
      <c r="B4327" s="25" t="n"/>
      <c r="I4327" s="25" t="n"/>
      <c r="U4327" s="19">
        <f>IF($V4327&lt;&gt;'設定'!$C$4,N(U4326),IF(OR(NOT(COUNTIF('商品マスタ'!$B$6:$B$1005,$W4327)=0),COUNTIFS('①在庫を貼る'!$V$6:$V$10005,$V4327,'①在庫を貼る'!$W$6:$W$10005,$W4327)&gt;0),N(U4326),N(U4326)+1))</f>
        <v/>
      </c>
      <c r="V4327" s="19">
        <f>IF($B4327="","",TEXT($B4327,"0000"))</f>
        <v/>
      </c>
      <c r="W4327" s="19">
        <f>IF($I4327="","",IF(ISNUMBER($I4327),TEXT($I4327,"0"),$I4327))</f>
        <v/>
      </c>
    </row>
    <row r="4328">
      <c r="B4328" s="25" t="n"/>
      <c r="I4328" s="25" t="n"/>
      <c r="U4328" s="19">
        <f>IF($V4328&lt;&gt;'設定'!$C$4,N(U4327),IF(OR(NOT(COUNTIF('商品マスタ'!$B$6:$B$1005,$W4328)=0),COUNTIFS('①在庫を貼る'!$V$6:$V$10005,$V4328,'①在庫を貼る'!$W$6:$W$10005,$W4328)&gt;0),N(U4327),N(U4327)+1))</f>
        <v/>
      </c>
      <c r="V4328" s="19">
        <f>IF($B4328="","",TEXT($B4328,"0000"))</f>
        <v/>
      </c>
      <c r="W4328" s="19">
        <f>IF($I4328="","",IF(ISNUMBER($I4328),TEXT($I4328,"0"),$I4328))</f>
        <v/>
      </c>
    </row>
    <row r="4329">
      <c r="B4329" s="25" t="n"/>
      <c r="I4329" s="25" t="n"/>
      <c r="U4329" s="19">
        <f>IF($V4329&lt;&gt;'設定'!$C$4,N(U4328),IF(OR(NOT(COUNTIF('商品マスタ'!$B$6:$B$1005,$W4329)=0),COUNTIFS('①在庫を貼る'!$V$6:$V$10005,$V4329,'①在庫を貼る'!$W$6:$W$10005,$W4329)&gt;0),N(U4328),N(U4328)+1))</f>
        <v/>
      </c>
      <c r="V4329" s="19">
        <f>IF($B4329="","",TEXT($B4329,"0000"))</f>
        <v/>
      </c>
      <c r="W4329" s="19">
        <f>IF($I4329="","",IF(ISNUMBER($I4329),TEXT($I4329,"0"),$I4329))</f>
        <v/>
      </c>
    </row>
    <row r="4330">
      <c r="B4330" s="25" t="n"/>
      <c r="I4330" s="25" t="n"/>
      <c r="U4330" s="19">
        <f>IF($V4330&lt;&gt;'設定'!$C$4,N(U4329),IF(OR(NOT(COUNTIF('商品マスタ'!$B$6:$B$1005,$W4330)=0),COUNTIFS('①在庫を貼る'!$V$6:$V$10005,$V4330,'①在庫を貼る'!$W$6:$W$10005,$W4330)&gt;0),N(U4329),N(U4329)+1))</f>
        <v/>
      </c>
      <c r="V4330" s="19">
        <f>IF($B4330="","",TEXT($B4330,"0000"))</f>
        <v/>
      </c>
      <c r="W4330" s="19">
        <f>IF($I4330="","",IF(ISNUMBER($I4330),TEXT($I4330,"0"),$I4330))</f>
        <v/>
      </c>
    </row>
    <row r="4331">
      <c r="B4331" s="25" t="n"/>
      <c r="I4331" s="25" t="n"/>
      <c r="U4331" s="19">
        <f>IF($V4331&lt;&gt;'設定'!$C$4,N(U4330),IF(OR(NOT(COUNTIF('商品マスタ'!$B$6:$B$1005,$W4331)=0),COUNTIFS('①在庫を貼る'!$V$6:$V$10005,$V4331,'①在庫を貼る'!$W$6:$W$10005,$W4331)&gt;0),N(U4330),N(U4330)+1))</f>
        <v/>
      </c>
      <c r="V4331" s="19">
        <f>IF($B4331="","",TEXT($B4331,"0000"))</f>
        <v/>
      </c>
      <c r="W4331" s="19">
        <f>IF($I4331="","",IF(ISNUMBER($I4331),TEXT($I4331,"0"),$I4331))</f>
        <v/>
      </c>
    </row>
    <row r="4332">
      <c r="B4332" s="25" t="n"/>
      <c r="I4332" s="25" t="n"/>
      <c r="U4332" s="19">
        <f>IF($V4332&lt;&gt;'設定'!$C$4,N(U4331),IF(OR(NOT(COUNTIF('商品マスタ'!$B$6:$B$1005,$W4332)=0),COUNTIFS('①在庫を貼る'!$V$6:$V$10005,$V4332,'①在庫を貼る'!$W$6:$W$10005,$W4332)&gt;0),N(U4331),N(U4331)+1))</f>
        <v/>
      </c>
      <c r="V4332" s="19">
        <f>IF($B4332="","",TEXT($B4332,"0000"))</f>
        <v/>
      </c>
      <c r="W4332" s="19">
        <f>IF($I4332="","",IF(ISNUMBER($I4332),TEXT($I4332,"0"),$I4332))</f>
        <v/>
      </c>
    </row>
    <row r="4333">
      <c r="B4333" s="25" t="n"/>
      <c r="I4333" s="25" t="n"/>
      <c r="U4333" s="19">
        <f>IF($V4333&lt;&gt;'設定'!$C$4,N(U4332),IF(OR(NOT(COUNTIF('商品マスタ'!$B$6:$B$1005,$W4333)=0),COUNTIFS('①在庫を貼る'!$V$6:$V$10005,$V4333,'①在庫を貼る'!$W$6:$W$10005,$W4333)&gt;0),N(U4332),N(U4332)+1))</f>
        <v/>
      </c>
      <c r="V4333" s="19">
        <f>IF($B4333="","",TEXT($B4333,"0000"))</f>
        <v/>
      </c>
      <c r="W4333" s="19">
        <f>IF($I4333="","",IF(ISNUMBER($I4333),TEXT($I4333,"0"),$I4333))</f>
        <v/>
      </c>
    </row>
    <row r="4334">
      <c r="B4334" s="25" t="n"/>
      <c r="I4334" s="25" t="n"/>
      <c r="U4334" s="19">
        <f>IF($V4334&lt;&gt;'設定'!$C$4,N(U4333),IF(OR(NOT(COUNTIF('商品マスタ'!$B$6:$B$1005,$W4334)=0),COUNTIFS('①在庫を貼る'!$V$6:$V$10005,$V4334,'①在庫を貼る'!$W$6:$W$10005,$W4334)&gt;0),N(U4333),N(U4333)+1))</f>
        <v/>
      </c>
      <c r="V4334" s="19">
        <f>IF($B4334="","",TEXT($B4334,"0000"))</f>
        <v/>
      </c>
      <c r="W4334" s="19">
        <f>IF($I4334="","",IF(ISNUMBER($I4334),TEXT($I4334,"0"),$I4334))</f>
        <v/>
      </c>
    </row>
    <row r="4335">
      <c r="B4335" s="25" t="n"/>
      <c r="I4335" s="25" t="n"/>
      <c r="U4335" s="19">
        <f>IF($V4335&lt;&gt;'設定'!$C$4,N(U4334),IF(OR(NOT(COUNTIF('商品マスタ'!$B$6:$B$1005,$W4335)=0),COUNTIFS('①在庫を貼る'!$V$6:$V$10005,$V4335,'①在庫を貼る'!$W$6:$W$10005,$W4335)&gt;0),N(U4334),N(U4334)+1))</f>
        <v/>
      </c>
      <c r="V4335" s="19">
        <f>IF($B4335="","",TEXT($B4335,"0000"))</f>
        <v/>
      </c>
      <c r="W4335" s="19">
        <f>IF($I4335="","",IF(ISNUMBER($I4335),TEXT($I4335,"0"),$I4335))</f>
        <v/>
      </c>
    </row>
    <row r="4336">
      <c r="B4336" s="25" t="n"/>
      <c r="I4336" s="25" t="n"/>
      <c r="U4336" s="19">
        <f>IF($V4336&lt;&gt;'設定'!$C$4,N(U4335),IF(OR(NOT(COUNTIF('商品マスタ'!$B$6:$B$1005,$W4336)=0),COUNTIFS('①在庫を貼る'!$V$6:$V$10005,$V4336,'①在庫を貼る'!$W$6:$W$10005,$W4336)&gt;0),N(U4335),N(U4335)+1))</f>
        <v/>
      </c>
      <c r="V4336" s="19">
        <f>IF($B4336="","",TEXT($B4336,"0000"))</f>
        <v/>
      </c>
      <c r="W4336" s="19">
        <f>IF($I4336="","",IF(ISNUMBER($I4336),TEXT($I4336,"0"),$I4336))</f>
        <v/>
      </c>
    </row>
    <row r="4337">
      <c r="B4337" s="25" t="n"/>
      <c r="I4337" s="25" t="n"/>
      <c r="U4337" s="19">
        <f>IF($V4337&lt;&gt;'設定'!$C$4,N(U4336),IF(OR(NOT(COUNTIF('商品マスタ'!$B$6:$B$1005,$W4337)=0),COUNTIFS('①在庫を貼る'!$V$6:$V$10005,$V4337,'①在庫を貼る'!$W$6:$W$10005,$W4337)&gt;0),N(U4336),N(U4336)+1))</f>
        <v/>
      </c>
      <c r="V4337" s="19">
        <f>IF($B4337="","",TEXT($B4337,"0000"))</f>
        <v/>
      </c>
      <c r="W4337" s="19">
        <f>IF($I4337="","",IF(ISNUMBER($I4337),TEXT($I4337,"0"),$I4337))</f>
        <v/>
      </c>
    </row>
    <row r="4338">
      <c r="B4338" s="25" t="n"/>
      <c r="I4338" s="25" t="n"/>
      <c r="U4338" s="19">
        <f>IF($V4338&lt;&gt;'設定'!$C$4,N(U4337),IF(OR(NOT(COUNTIF('商品マスタ'!$B$6:$B$1005,$W4338)=0),COUNTIFS('①在庫を貼る'!$V$6:$V$10005,$V4338,'①在庫を貼る'!$W$6:$W$10005,$W4338)&gt;0),N(U4337),N(U4337)+1))</f>
        <v/>
      </c>
      <c r="V4338" s="19">
        <f>IF($B4338="","",TEXT($B4338,"0000"))</f>
        <v/>
      </c>
      <c r="W4338" s="19">
        <f>IF($I4338="","",IF(ISNUMBER($I4338),TEXT($I4338,"0"),$I4338))</f>
        <v/>
      </c>
    </row>
    <row r="4339">
      <c r="B4339" s="25" t="n"/>
      <c r="I4339" s="25" t="n"/>
      <c r="U4339" s="19">
        <f>IF($V4339&lt;&gt;'設定'!$C$4,N(U4338),IF(OR(NOT(COUNTIF('商品マスタ'!$B$6:$B$1005,$W4339)=0),COUNTIFS('①在庫を貼る'!$V$6:$V$10005,$V4339,'①在庫を貼る'!$W$6:$W$10005,$W4339)&gt;0),N(U4338),N(U4338)+1))</f>
        <v/>
      </c>
      <c r="V4339" s="19">
        <f>IF($B4339="","",TEXT($B4339,"0000"))</f>
        <v/>
      </c>
      <c r="W4339" s="19">
        <f>IF($I4339="","",IF(ISNUMBER($I4339),TEXT($I4339,"0"),$I4339))</f>
        <v/>
      </c>
    </row>
    <row r="4340">
      <c r="B4340" s="25" t="n"/>
      <c r="I4340" s="25" t="n"/>
      <c r="U4340" s="19">
        <f>IF($V4340&lt;&gt;'設定'!$C$4,N(U4339),IF(OR(NOT(COUNTIF('商品マスタ'!$B$6:$B$1005,$W4340)=0),COUNTIFS('①在庫を貼る'!$V$6:$V$10005,$V4340,'①在庫を貼る'!$W$6:$W$10005,$W4340)&gt;0),N(U4339),N(U4339)+1))</f>
        <v/>
      </c>
      <c r="V4340" s="19">
        <f>IF($B4340="","",TEXT($B4340,"0000"))</f>
        <v/>
      </c>
      <c r="W4340" s="19">
        <f>IF($I4340="","",IF(ISNUMBER($I4340),TEXT($I4340,"0"),$I4340))</f>
        <v/>
      </c>
    </row>
    <row r="4341">
      <c r="B4341" s="25" t="n"/>
      <c r="I4341" s="25" t="n"/>
      <c r="U4341" s="19">
        <f>IF($V4341&lt;&gt;'設定'!$C$4,N(U4340),IF(OR(NOT(COUNTIF('商品マスタ'!$B$6:$B$1005,$W4341)=0),COUNTIFS('①在庫を貼る'!$V$6:$V$10005,$V4341,'①在庫を貼る'!$W$6:$W$10005,$W4341)&gt;0),N(U4340),N(U4340)+1))</f>
        <v/>
      </c>
      <c r="V4341" s="19">
        <f>IF($B4341="","",TEXT($B4341,"0000"))</f>
        <v/>
      </c>
      <c r="W4341" s="19">
        <f>IF($I4341="","",IF(ISNUMBER($I4341),TEXT($I4341,"0"),$I4341))</f>
        <v/>
      </c>
    </row>
    <row r="4342">
      <c r="B4342" s="25" t="n"/>
      <c r="I4342" s="25" t="n"/>
      <c r="U4342" s="19">
        <f>IF($V4342&lt;&gt;'設定'!$C$4,N(U4341),IF(OR(NOT(COUNTIF('商品マスタ'!$B$6:$B$1005,$W4342)=0),COUNTIFS('①在庫を貼る'!$V$6:$V$10005,$V4342,'①在庫を貼る'!$W$6:$W$10005,$W4342)&gt;0),N(U4341),N(U4341)+1))</f>
        <v/>
      </c>
      <c r="V4342" s="19">
        <f>IF($B4342="","",TEXT($B4342,"0000"))</f>
        <v/>
      </c>
      <c r="W4342" s="19">
        <f>IF($I4342="","",IF(ISNUMBER($I4342),TEXT($I4342,"0"),$I4342))</f>
        <v/>
      </c>
    </row>
    <row r="4343">
      <c r="B4343" s="25" t="n"/>
      <c r="I4343" s="25" t="n"/>
      <c r="U4343" s="19">
        <f>IF($V4343&lt;&gt;'設定'!$C$4,N(U4342),IF(OR(NOT(COUNTIF('商品マスタ'!$B$6:$B$1005,$W4343)=0),COUNTIFS('①在庫を貼る'!$V$6:$V$10005,$V4343,'①在庫を貼る'!$W$6:$W$10005,$W4343)&gt;0),N(U4342),N(U4342)+1))</f>
        <v/>
      </c>
      <c r="V4343" s="19">
        <f>IF($B4343="","",TEXT($B4343,"0000"))</f>
        <v/>
      </c>
      <c r="W4343" s="19">
        <f>IF($I4343="","",IF(ISNUMBER($I4343),TEXT($I4343,"0"),$I4343))</f>
        <v/>
      </c>
    </row>
    <row r="4344">
      <c r="B4344" s="25" t="n"/>
      <c r="I4344" s="25" t="n"/>
      <c r="U4344" s="19">
        <f>IF($V4344&lt;&gt;'設定'!$C$4,N(U4343),IF(OR(NOT(COUNTIF('商品マスタ'!$B$6:$B$1005,$W4344)=0),COUNTIFS('①在庫を貼る'!$V$6:$V$10005,$V4344,'①在庫を貼る'!$W$6:$W$10005,$W4344)&gt;0),N(U4343),N(U4343)+1))</f>
        <v/>
      </c>
      <c r="V4344" s="19">
        <f>IF($B4344="","",TEXT($B4344,"0000"))</f>
        <v/>
      </c>
      <c r="W4344" s="19">
        <f>IF($I4344="","",IF(ISNUMBER($I4344),TEXT($I4344,"0"),$I4344))</f>
        <v/>
      </c>
    </row>
    <row r="4345">
      <c r="B4345" s="25" t="n"/>
      <c r="I4345" s="25" t="n"/>
      <c r="U4345" s="19">
        <f>IF($V4345&lt;&gt;'設定'!$C$4,N(U4344),IF(OR(NOT(COUNTIF('商品マスタ'!$B$6:$B$1005,$W4345)=0),COUNTIFS('①在庫を貼る'!$V$6:$V$10005,$V4345,'①在庫を貼る'!$W$6:$W$10005,$W4345)&gt;0),N(U4344),N(U4344)+1))</f>
        <v/>
      </c>
      <c r="V4345" s="19">
        <f>IF($B4345="","",TEXT($B4345,"0000"))</f>
        <v/>
      </c>
      <c r="W4345" s="19">
        <f>IF($I4345="","",IF(ISNUMBER($I4345),TEXT($I4345,"0"),$I4345))</f>
        <v/>
      </c>
    </row>
    <row r="4346">
      <c r="B4346" s="25" t="n"/>
      <c r="I4346" s="25" t="n"/>
      <c r="U4346" s="19">
        <f>IF($V4346&lt;&gt;'設定'!$C$4,N(U4345),IF(OR(NOT(COUNTIF('商品マスタ'!$B$6:$B$1005,$W4346)=0),COUNTIFS('①在庫を貼る'!$V$6:$V$10005,$V4346,'①在庫を貼る'!$W$6:$W$10005,$W4346)&gt;0),N(U4345),N(U4345)+1))</f>
        <v/>
      </c>
      <c r="V4346" s="19">
        <f>IF($B4346="","",TEXT($B4346,"0000"))</f>
        <v/>
      </c>
      <c r="W4346" s="19">
        <f>IF($I4346="","",IF(ISNUMBER($I4346),TEXT($I4346,"0"),$I4346))</f>
        <v/>
      </c>
    </row>
    <row r="4347">
      <c r="B4347" s="25" t="n"/>
      <c r="I4347" s="25" t="n"/>
      <c r="U4347" s="19">
        <f>IF($V4347&lt;&gt;'設定'!$C$4,N(U4346),IF(OR(NOT(COUNTIF('商品マスタ'!$B$6:$B$1005,$W4347)=0),COUNTIFS('①在庫を貼る'!$V$6:$V$10005,$V4347,'①在庫を貼る'!$W$6:$W$10005,$W4347)&gt;0),N(U4346),N(U4346)+1))</f>
        <v/>
      </c>
      <c r="V4347" s="19">
        <f>IF($B4347="","",TEXT($B4347,"0000"))</f>
        <v/>
      </c>
      <c r="W4347" s="19">
        <f>IF($I4347="","",IF(ISNUMBER($I4347),TEXT($I4347,"0"),$I4347))</f>
        <v/>
      </c>
    </row>
    <row r="4348">
      <c r="B4348" s="25" t="n"/>
      <c r="I4348" s="25" t="n"/>
      <c r="U4348" s="19">
        <f>IF($V4348&lt;&gt;'設定'!$C$4,N(U4347),IF(OR(NOT(COUNTIF('商品マスタ'!$B$6:$B$1005,$W4348)=0),COUNTIFS('①在庫を貼る'!$V$6:$V$10005,$V4348,'①在庫を貼る'!$W$6:$W$10005,$W4348)&gt;0),N(U4347),N(U4347)+1))</f>
        <v/>
      </c>
      <c r="V4348" s="19">
        <f>IF($B4348="","",TEXT($B4348,"0000"))</f>
        <v/>
      </c>
      <c r="W4348" s="19">
        <f>IF($I4348="","",IF(ISNUMBER($I4348),TEXT($I4348,"0"),$I4348))</f>
        <v/>
      </c>
    </row>
    <row r="4349">
      <c r="B4349" s="25" t="n"/>
      <c r="I4349" s="25" t="n"/>
      <c r="U4349" s="19">
        <f>IF($V4349&lt;&gt;'設定'!$C$4,N(U4348),IF(OR(NOT(COUNTIF('商品マスタ'!$B$6:$B$1005,$W4349)=0),COUNTIFS('①在庫を貼る'!$V$6:$V$10005,$V4349,'①在庫を貼る'!$W$6:$W$10005,$W4349)&gt;0),N(U4348),N(U4348)+1))</f>
        <v/>
      </c>
      <c r="V4349" s="19">
        <f>IF($B4349="","",TEXT($B4349,"0000"))</f>
        <v/>
      </c>
      <c r="W4349" s="19">
        <f>IF($I4349="","",IF(ISNUMBER($I4349),TEXT($I4349,"0"),$I4349))</f>
        <v/>
      </c>
    </row>
    <row r="4350">
      <c r="B4350" s="25" t="n"/>
      <c r="I4350" s="25" t="n"/>
      <c r="U4350" s="19">
        <f>IF($V4350&lt;&gt;'設定'!$C$4,N(U4349),IF(OR(NOT(COUNTIF('商品マスタ'!$B$6:$B$1005,$W4350)=0),COUNTIFS('①在庫を貼る'!$V$6:$V$10005,$V4350,'①在庫を貼る'!$W$6:$W$10005,$W4350)&gt;0),N(U4349),N(U4349)+1))</f>
        <v/>
      </c>
      <c r="V4350" s="19">
        <f>IF($B4350="","",TEXT($B4350,"0000"))</f>
        <v/>
      </c>
      <c r="W4350" s="19">
        <f>IF($I4350="","",IF(ISNUMBER($I4350),TEXT($I4350,"0"),$I4350))</f>
        <v/>
      </c>
    </row>
    <row r="4351">
      <c r="B4351" s="25" t="n"/>
      <c r="I4351" s="25" t="n"/>
      <c r="U4351" s="19">
        <f>IF($V4351&lt;&gt;'設定'!$C$4,N(U4350),IF(OR(NOT(COUNTIF('商品マスタ'!$B$6:$B$1005,$W4351)=0),COUNTIFS('①在庫を貼る'!$V$6:$V$10005,$V4351,'①在庫を貼る'!$W$6:$W$10005,$W4351)&gt;0),N(U4350),N(U4350)+1))</f>
        <v/>
      </c>
      <c r="V4351" s="19">
        <f>IF($B4351="","",TEXT($B4351,"0000"))</f>
        <v/>
      </c>
      <c r="W4351" s="19">
        <f>IF($I4351="","",IF(ISNUMBER($I4351),TEXT($I4351,"0"),$I4351))</f>
        <v/>
      </c>
    </row>
    <row r="4352">
      <c r="B4352" s="25" t="n"/>
      <c r="I4352" s="25" t="n"/>
      <c r="U4352" s="19">
        <f>IF($V4352&lt;&gt;'設定'!$C$4,N(U4351),IF(OR(NOT(COUNTIF('商品マスタ'!$B$6:$B$1005,$W4352)=0),COUNTIFS('①在庫を貼る'!$V$6:$V$10005,$V4352,'①在庫を貼る'!$W$6:$W$10005,$W4352)&gt;0),N(U4351),N(U4351)+1))</f>
        <v/>
      </c>
      <c r="V4352" s="19">
        <f>IF($B4352="","",TEXT($B4352,"0000"))</f>
        <v/>
      </c>
      <c r="W4352" s="19">
        <f>IF($I4352="","",IF(ISNUMBER($I4352),TEXT($I4352,"0"),$I4352))</f>
        <v/>
      </c>
    </row>
    <row r="4353">
      <c r="B4353" s="25" t="n"/>
      <c r="I4353" s="25" t="n"/>
      <c r="U4353" s="19">
        <f>IF($V4353&lt;&gt;'設定'!$C$4,N(U4352),IF(OR(NOT(COUNTIF('商品マスタ'!$B$6:$B$1005,$W4353)=0),COUNTIFS('①在庫を貼る'!$V$6:$V$10005,$V4353,'①在庫を貼る'!$W$6:$W$10005,$W4353)&gt;0),N(U4352),N(U4352)+1))</f>
        <v/>
      </c>
      <c r="V4353" s="19">
        <f>IF($B4353="","",TEXT($B4353,"0000"))</f>
        <v/>
      </c>
      <c r="W4353" s="19">
        <f>IF($I4353="","",IF(ISNUMBER($I4353),TEXT($I4353,"0"),$I4353))</f>
        <v/>
      </c>
    </row>
    <row r="4354">
      <c r="B4354" s="25" t="n"/>
      <c r="I4354" s="25" t="n"/>
      <c r="U4354" s="19">
        <f>IF($V4354&lt;&gt;'設定'!$C$4,N(U4353),IF(OR(NOT(COUNTIF('商品マスタ'!$B$6:$B$1005,$W4354)=0),COUNTIFS('①在庫を貼る'!$V$6:$V$10005,$V4354,'①在庫を貼る'!$W$6:$W$10005,$W4354)&gt;0),N(U4353),N(U4353)+1))</f>
        <v/>
      </c>
      <c r="V4354" s="19">
        <f>IF($B4354="","",TEXT($B4354,"0000"))</f>
        <v/>
      </c>
      <c r="W4354" s="19">
        <f>IF($I4354="","",IF(ISNUMBER($I4354),TEXT($I4354,"0"),$I4354))</f>
        <v/>
      </c>
    </row>
    <row r="4355">
      <c r="B4355" s="25" t="n"/>
      <c r="I4355" s="25" t="n"/>
      <c r="U4355" s="19">
        <f>IF($V4355&lt;&gt;'設定'!$C$4,N(U4354),IF(OR(NOT(COUNTIF('商品マスタ'!$B$6:$B$1005,$W4355)=0),COUNTIFS('①在庫を貼る'!$V$6:$V$10005,$V4355,'①在庫を貼る'!$W$6:$W$10005,$W4355)&gt;0),N(U4354),N(U4354)+1))</f>
        <v/>
      </c>
      <c r="V4355" s="19">
        <f>IF($B4355="","",TEXT($B4355,"0000"))</f>
        <v/>
      </c>
      <c r="W4355" s="19">
        <f>IF($I4355="","",IF(ISNUMBER($I4355),TEXT($I4355,"0"),$I4355))</f>
        <v/>
      </c>
    </row>
    <row r="4356">
      <c r="B4356" s="25" t="n"/>
      <c r="I4356" s="25" t="n"/>
      <c r="U4356" s="19">
        <f>IF($V4356&lt;&gt;'設定'!$C$4,N(U4355),IF(OR(NOT(COUNTIF('商品マスタ'!$B$6:$B$1005,$W4356)=0),COUNTIFS('①在庫を貼る'!$V$6:$V$10005,$V4356,'①在庫を貼る'!$W$6:$W$10005,$W4356)&gt;0),N(U4355),N(U4355)+1))</f>
        <v/>
      </c>
      <c r="V4356" s="19">
        <f>IF($B4356="","",TEXT($B4356,"0000"))</f>
        <v/>
      </c>
      <c r="W4356" s="19">
        <f>IF($I4356="","",IF(ISNUMBER($I4356),TEXT($I4356,"0"),$I4356))</f>
        <v/>
      </c>
    </row>
    <row r="4357">
      <c r="B4357" s="25" t="n"/>
      <c r="I4357" s="25" t="n"/>
      <c r="U4357" s="19">
        <f>IF($V4357&lt;&gt;'設定'!$C$4,N(U4356),IF(OR(NOT(COUNTIF('商品マスタ'!$B$6:$B$1005,$W4357)=0),COUNTIFS('①在庫を貼る'!$V$6:$V$10005,$V4357,'①在庫を貼る'!$W$6:$W$10005,$W4357)&gt;0),N(U4356),N(U4356)+1))</f>
        <v/>
      </c>
      <c r="V4357" s="19">
        <f>IF($B4357="","",TEXT($B4357,"0000"))</f>
        <v/>
      </c>
      <c r="W4357" s="19">
        <f>IF($I4357="","",IF(ISNUMBER($I4357),TEXT($I4357,"0"),$I4357))</f>
        <v/>
      </c>
    </row>
    <row r="4358">
      <c r="B4358" s="25" t="n"/>
      <c r="I4358" s="25" t="n"/>
      <c r="U4358" s="19">
        <f>IF($V4358&lt;&gt;'設定'!$C$4,N(U4357),IF(OR(NOT(COUNTIF('商品マスタ'!$B$6:$B$1005,$W4358)=0),COUNTIFS('①在庫を貼る'!$V$6:$V$10005,$V4358,'①在庫を貼る'!$W$6:$W$10005,$W4358)&gt;0),N(U4357),N(U4357)+1))</f>
        <v/>
      </c>
      <c r="V4358" s="19">
        <f>IF($B4358="","",TEXT($B4358,"0000"))</f>
        <v/>
      </c>
      <c r="W4358" s="19">
        <f>IF($I4358="","",IF(ISNUMBER($I4358),TEXT($I4358,"0"),$I4358))</f>
        <v/>
      </c>
    </row>
    <row r="4359">
      <c r="B4359" s="25" t="n"/>
      <c r="I4359" s="25" t="n"/>
      <c r="U4359" s="19">
        <f>IF($V4359&lt;&gt;'設定'!$C$4,N(U4358),IF(OR(NOT(COUNTIF('商品マスタ'!$B$6:$B$1005,$W4359)=0),COUNTIFS('①在庫を貼る'!$V$6:$V$10005,$V4359,'①在庫を貼る'!$W$6:$W$10005,$W4359)&gt;0),N(U4358),N(U4358)+1))</f>
        <v/>
      </c>
      <c r="V4359" s="19">
        <f>IF($B4359="","",TEXT($B4359,"0000"))</f>
        <v/>
      </c>
      <c r="W4359" s="19">
        <f>IF($I4359="","",IF(ISNUMBER($I4359),TEXT($I4359,"0"),$I4359))</f>
        <v/>
      </c>
    </row>
    <row r="4360">
      <c r="B4360" s="25" t="n"/>
      <c r="I4360" s="25" t="n"/>
      <c r="U4360" s="19">
        <f>IF($V4360&lt;&gt;'設定'!$C$4,N(U4359),IF(OR(NOT(COUNTIF('商品マスタ'!$B$6:$B$1005,$W4360)=0),COUNTIFS('①在庫を貼る'!$V$6:$V$10005,$V4360,'①在庫を貼る'!$W$6:$W$10005,$W4360)&gt;0),N(U4359),N(U4359)+1))</f>
        <v/>
      </c>
      <c r="V4360" s="19">
        <f>IF($B4360="","",TEXT($B4360,"0000"))</f>
        <v/>
      </c>
      <c r="W4360" s="19">
        <f>IF($I4360="","",IF(ISNUMBER($I4360),TEXT($I4360,"0"),$I4360))</f>
        <v/>
      </c>
    </row>
    <row r="4361">
      <c r="B4361" s="25" t="n"/>
      <c r="I4361" s="25" t="n"/>
      <c r="U4361" s="19">
        <f>IF($V4361&lt;&gt;'設定'!$C$4,N(U4360),IF(OR(NOT(COUNTIF('商品マスタ'!$B$6:$B$1005,$W4361)=0),COUNTIFS('①在庫を貼る'!$V$6:$V$10005,$V4361,'①在庫を貼る'!$W$6:$W$10005,$W4361)&gt;0),N(U4360),N(U4360)+1))</f>
        <v/>
      </c>
      <c r="V4361" s="19">
        <f>IF($B4361="","",TEXT($B4361,"0000"))</f>
        <v/>
      </c>
      <c r="W4361" s="19">
        <f>IF($I4361="","",IF(ISNUMBER($I4361),TEXT($I4361,"0"),$I4361))</f>
        <v/>
      </c>
    </row>
    <row r="4362">
      <c r="B4362" s="25" t="n"/>
      <c r="I4362" s="25" t="n"/>
      <c r="U4362" s="19">
        <f>IF($V4362&lt;&gt;'設定'!$C$4,N(U4361),IF(OR(NOT(COUNTIF('商品マスタ'!$B$6:$B$1005,$W4362)=0),COUNTIFS('①在庫を貼る'!$V$6:$V$10005,$V4362,'①在庫を貼る'!$W$6:$W$10005,$W4362)&gt;0),N(U4361),N(U4361)+1))</f>
        <v/>
      </c>
      <c r="V4362" s="19">
        <f>IF($B4362="","",TEXT($B4362,"0000"))</f>
        <v/>
      </c>
      <c r="W4362" s="19">
        <f>IF($I4362="","",IF(ISNUMBER($I4362),TEXT($I4362,"0"),$I4362))</f>
        <v/>
      </c>
    </row>
    <row r="4363">
      <c r="B4363" s="25" t="n"/>
      <c r="I4363" s="25" t="n"/>
      <c r="U4363" s="19">
        <f>IF($V4363&lt;&gt;'設定'!$C$4,N(U4362),IF(OR(NOT(COUNTIF('商品マスタ'!$B$6:$B$1005,$W4363)=0),COUNTIFS('①在庫を貼る'!$V$6:$V$10005,$V4363,'①在庫を貼る'!$W$6:$W$10005,$W4363)&gt;0),N(U4362),N(U4362)+1))</f>
        <v/>
      </c>
      <c r="V4363" s="19">
        <f>IF($B4363="","",TEXT($B4363,"0000"))</f>
        <v/>
      </c>
      <c r="W4363" s="19">
        <f>IF($I4363="","",IF(ISNUMBER($I4363),TEXT($I4363,"0"),$I4363))</f>
        <v/>
      </c>
    </row>
    <row r="4364">
      <c r="B4364" s="25" t="n"/>
      <c r="I4364" s="25" t="n"/>
      <c r="U4364" s="19">
        <f>IF($V4364&lt;&gt;'設定'!$C$4,N(U4363),IF(OR(NOT(COUNTIF('商品マスタ'!$B$6:$B$1005,$W4364)=0),COUNTIFS('①在庫を貼る'!$V$6:$V$10005,$V4364,'①在庫を貼る'!$W$6:$W$10005,$W4364)&gt;0),N(U4363),N(U4363)+1))</f>
        <v/>
      </c>
      <c r="V4364" s="19">
        <f>IF($B4364="","",TEXT($B4364,"0000"))</f>
        <v/>
      </c>
      <c r="W4364" s="19">
        <f>IF($I4364="","",IF(ISNUMBER($I4364),TEXT($I4364,"0"),$I4364))</f>
        <v/>
      </c>
    </row>
    <row r="4365">
      <c r="B4365" s="25" t="n"/>
      <c r="I4365" s="25" t="n"/>
      <c r="U4365" s="19">
        <f>IF($V4365&lt;&gt;'設定'!$C$4,N(U4364),IF(OR(NOT(COUNTIF('商品マスタ'!$B$6:$B$1005,$W4365)=0),COUNTIFS('①在庫を貼る'!$V$6:$V$10005,$V4365,'①在庫を貼る'!$W$6:$W$10005,$W4365)&gt;0),N(U4364),N(U4364)+1))</f>
        <v/>
      </c>
      <c r="V4365" s="19">
        <f>IF($B4365="","",TEXT($B4365,"0000"))</f>
        <v/>
      </c>
      <c r="W4365" s="19">
        <f>IF($I4365="","",IF(ISNUMBER($I4365),TEXT($I4365,"0"),$I4365))</f>
        <v/>
      </c>
    </row>
    <row r="4366">
      <c r="B4366" s="25" t="n"/>
      <c r="I4366" s="25" t="n"/>
      <c r="U4366" s="19">
        <f>IF($V4366&lt;&gt;'設定'!$C$4,N(U4365),IF(OR(NOT(COUNTIF('商品マスタ'!$B$6:$B$1005,$W4366)=0),COUNTIFS('①在庫を貼る'!$V$6:$V$10005,$V4366,'①在庫を貼る'!$W$6:$W$10005,$W4366)&gt;0),N(U4365),N(U4365)+1))</f>
        <v/>
      </c>
      <c r="V4366" s="19">
        <f>IF($B4366="","",TEXT($B4366,"0000"))</f>
        <v/>
      </c>
      <c r="W4366" s="19">
        <f>IF($I4366="","",IF(ISNUMBER($I4366),TEXT($I4366,"0"),$I4366))</f>
        <v/>
      </c>
    </row>
    <row r="4367">
      <c r="B4367" s="25" t="n"/>
      <c r="I4367" s="25" t="n"/>
      <c r="U4367" s="19">
        <f>IF($V4367&lt;&gt;'設定'!$C$4,N(U4366),IF(OR(NOT(COUNTIF('商品マスタ'!$B$6:$B$1005,$W4367)=0),COUNTIFS('①在庫を貼る'!$V$6:$V$10005,$V4367,'①在庫を貼る'!$W$6:$W$10005,$W4367)&gt;0),N(U4366),N(U4366)+1))</f>
        <v/>
      </c>
      <c r="V4367" s="19">
        <f>IF($B4367="","",TEXT($B4367,"0000"))</f>
        <v/>
      </c>
      <c r="W4367" s="19">
        <f>IF($I4367="","",IF(ISNUMBER($I4367),TEXT($I4367,"0"),$I4367))</f>
        <v/>
      </c>
    </row>
    <row r="4368">
      <c r="B4368" s="25" t="n"/>
      <c r="I4368" s="25" t="n"/>
      <c r="U4368" s="19">
        <f>IF($V4368&lt;&gt;'設定'!$C$4,N(U4367),IF(OR(NOT(COUNTIF('商品マスタ'!$B$6:$B$1005,$W4368)=0),COUNTIFS('①在庫を貼る'!$V$6:$V$10005,$V4368,'①在庫を貼る'!$W$6:$W$10005,$W4368)&gt;0),N(U4367),N(U4367)+1))</f>
        <v/>
      </c>
      <c r="V4368" s="19">
        <f>IF($B4368="","",TEXT($B4368,"0000"))</f>
        <v/>
      </c>
      <c r="W4368" s="19">
        <f>IF($I4368="","",IF(ISNUMBER($I4368),TEXT($I4368,"0"),$I4368))</f>
        <v/>
      </c>
    </row>
    <row r="4369">
      <c r="B4369" s="25" t="n"/>
      <c r="I4369" s="25" t="n"/>
      <c r="U4369" s="19">
        <f>IF($V4369&lt;&gt;'設定'!$C$4,N(U4368),IF(OR(NOT(COUNTIF('商品マスタ'!$B$6:$B$1005,$W4369)=0),COUNTIFS('①在庫を貼る'!$V$6:$V$10005,$V4369,'①在庫を貼る'!$W$6:$W$10005,$W4369)&gt;0),N(U4368),N(U4368)+1))</f>
        <v/>
      </c>
      <c r="V4369" s="19">
        <f>IF($B4369="","",TEXT($B4369,"0000"))</f>
        <v/>
      </c>
      <c r="W4369" s="19">
        <f>IF($I4369="","",IF(ISNUMBER($I4369),TEXT($I4369,"0"),$I4369))</f>
        <v/>
      </c>
    </row>
    <row r="4370">
      <c r="B4370" s="25" t="n"/>
      <c r="I4370" s="25" t="n"/>
      <c r="U4370" s="19">
        <f>IF($V4370&lt;&gt;'設定'!$C$4,N(U4369),IF(OR(NOT(COUNTIF('商品マスタ'!$B$6:$B$1005,$W4370)=0),COUNTIFS('①在庫を貼る'!$V$6:$V$10005,$V4370,'①在庫を貼る'!$W$6:$W$10005,$W4370)&gt;0),N(U4369),N(U4369)+1))</f>
        <v/>
      </c>
      <c r="V4370" s="19">
        <f>IF($B4370="","",TEXT($B4370,"0000"))</f>
        <v/>
      </c>
      <c r="W4370" s="19">
        <f>IF($I4370="","",IF(ISNUMBER($I4370),TEXT($I4370,"0"),$I4370))</f>
        <v/>
      </c>
    </row>
    <row r="4371">
      <c r="B4371" s="25" t="n"/>
      <c r="I4371" s="25" t="n"/>
      <c r="U4371" s="19">
        <f>IF($V4371&lt;&gt;'設定'!$C$4,N(U4370),IF(OR(NOT(COUNTIF('商品マスタ'!$B$6:$B$1005,$W4371)=0),COUNTIFS('①在庫を貼る'!$V$6:$V$10005,$V4371,'①在庫を貼る'!$W$6:$W$10005,$W4371)&gt;0),N(U4370),N(U4370)+1))</f>
        <v/>
      </c>
      <c r="V4371" s="19">
        <f>IF($B4371="","",TEXT($B4371,"0000"))</f>
        <v/>
      </c>
      <c r="W4371" s="19">
        <f>IF($I4371="","",IF(ISNUMBER($I4371),TEXT($I4371,"0"),$I4371))</f>
        <v/>
      </c>
    </row>
    <row r="4372">
      <c r="B4372" s="25" t="n"/>
      <c r="I4372" s="25" t="n"/>
      <c r="U4372" s="19">
        <f>IF($V4372&lt;&gt;'設定'!$C$4,N(U4371),IF(OR(NOT(COUNTIF('商品マスタ'!$B$6:$B$1005,$W4372)=0),COUNTIFS('①在庫を貼る'!$V$6:$V$10005,$V4372,'①在庫を貼る'!$W$6:$W$10005,$W4372)&gt;0),N(U4371),N(U4371)+1))</f>
        <v/>
      </c>
      <c r="V4372" s="19">
        <f>IF($B4372="","",TEXT($B4372,"0000"))</f>
        <v/>
      </c>
      <c r="W4372" s="19">
        <f>IF($I4372="","",IF(ISNUMBER($I4372),TEXT($I4372,"0"),$I4372))</f>
        <v/>
      </c>
    </row>
    <row r="4373">
      <c r="B4373" s="25" t="n"/>
      <c r="I4373" s="25" t="n"/>
      <c r="U4373" s="19">
        <f>IF($V4373&lt;&gt;'設定'!$C$4,N(U4372),IF(OR(NOT(COUNTIF('商品マスタ'!$B$6:$B$1005,$W4373)=0),COUNTIFS('①在庫を貼る'!$V$6:$V$10005,$V4373,'①在庫を貼る'!$W$6:$W$10005,$W4373)&gt;0),N(U4372),N(U4372)+1))</f>
        <v/>
      </c>
      <c r="V4373" s="19">
        <f>IF($B4373="","",TEXT($B4373,"0000"))</f>
        <v/>
      </c>
      <c r="W4373" s="19">
        <f>IF($I4373="","",IF(ISNUMBER($I4373),TEXT($I4373,"0"),$I4373))</f>
        <v/>
      </c>
    </row>
    <row r="4374">
      <c r="B4374" s="25" t="n"/>
      <c r="I4374" s="25" t="n"/>
      <c r="U4374" s="19">
        <f>IF($V4374&lt;&gt;'設定'!$C$4,N(U4373),IF(OR(NOT(COUNTIF('商品マスタ'!$B$6:$B$1005,$W4374)=0),COUNTIFS('①在庫を貼る'!$V$6:$V$10005,$V4374,'①在庫を貼る'!$W$6:$W$10005,$W4374)&gt;0),N(U4373),N(U4373)+1))</f>
        <v/>
      </c>
      <c r="V4374" s="19">
        <f>IF($B4374="","",TEXT($B4374,"0000"))</f>
        <v/>
      </c>
      <c r="W4374" s="19">
        <f>IF($I4374="","",IF(ISNUMBER($I4374),TEXT($I4374,"0"),$I4374))</f>
        <v/>
      </c>
    </row>
    <row r="4375">
      <c r="B4375" s="25" t="n"/>
      <c r="I4375" s="25" t="n"/>
      <c r="U4375" s="19">
        <f>IF($V4375&lt;&gt;'設定'!$C$4,N(U4374),IF(OR(NOT(COUNTIF('商品マスタ'!$B$6:$B$1005,$W4375)=0),COUNTIFS('①在庫を貼る'!$V$6:$V$10005,$V4375,'①在庫を貼る'!$W$6:$W$10005,$W4375)&gt;0),N(U4374),N(U4374)+1))</f>
        <v/>
      </c>
      <c r="V4375" s="19">
        <f>IF($B4375="","",TEXT($B4375,"0000"))</f>
        <v/>
      </c>
      <c r="W4375" s="19">
        <f>IF($I4375="","",IF(ISNUMBER($I4375),TEXT($I4375,"0"),$I4375))</f>
        <v/>
      </c>
    </row>
    <row r="4376">
      <c r="B4376" s="25" t="n"/>
      <c r="I4376" s="25" t="n"/>
      <c r="U4376" s="19">
        <f>IF($V4376&lt;&gt;'設定'!$C$4,N(U4375),IF(OR(NOT(COUNTIF('商品マスタ'!$B$6:$B$1005,$W4376)=0),COUNTIFS('①在庫を貼る'!$V$6:$V$10005,$V4376,'①在庫を貼る'!$W$6:$W$10005,$W4376)&gt;0),N(U4375),N(U4375)+1))</f>
        <v/>
      </c>
      <c r="V4376" s="19">
        <f>IF($B4376="","",TEXT($B4376,"0000"))</f>
        <v/>
      </c>
      <c r="W4376" s="19">
        <f>IF($I4376="","",IF(ISNUMBER($I4376),TEXT($I4376,"0"),$I4376))</f>
        <v/>
      </c>
    </row>
    <row r="4377">
      <c r="B4377" s="25" t="n"/>
      <c r="I4377" s="25" t="n"/>
      <c r="U4377" s="19">
        <f>IF($V4377&lt;&gt;'設定'!$C$4,N(U4376),IF(OR(NOT(COUNTIF('商品マスタ'!$B$6:$B$1005,$W4377)=0),COUNTIFS('①在庫を貼る'!$V$6:$V$10005,$V4377,'①在庫を貼る'!$W$6:$W$10005,$W4377)&gt;0),N(U4376),N(U4376)+1))</f>
        <v/>
      </c>
      <c r="V4377" s="19">
        <f>IF($B4377="","",TEXT($B4377,"0000"))</f>
        <v/>
      </c>
      <c r="W4377" s="19">
        <f>IF($I4377="","",IF(ISNUMBER($I4377),TEXT($I4377,"0"),$I4377))</f>
        <v/>
      </c>
    </row>
    <row r="4378">
      <c r="B4378" s="25" t="n"/>
      <c r="I4378" s="25" t="n"/>
      <c r="U4378" s="19">
        <f>IF($V4378&lt;&gt;'設定'!$C$4,N(U4377),IF(OR(NOT(COUNTIF('商品マスタ'!$B$6:$B$1005,$W4378)=0),COUNTIFS('①在庫を貼る'!$V$6:$V$10005,$V4378,'①在庫を貼る'!$W$6:$W$10005,$W4378)&gt;0),N(U4377),N(U4377)+1))</f>
        <v/>
      </c>
      <c r="V4378" s="19">
        <f>IF($B4378="","",TEXT($B4378,"0000"))</f>
        <v/>
      </c>
      <c r="W4378" s="19">
        <f>IF($I4378="","",IF(ISNUMBER($I4378),TEXT($I4378,"0"),$I4378))</f>
        <v/>
      </c>
    </row>
    <row r="4379">
      <c r="B4379" s="25" t="n"/>
      <c r="I4379" s="25" t="n"/>
      <c r="U4379" s="19">
        <f>IF($V4379&lt;&gt;'設定'!$C$4,N(U4378),IF(OR(NOT(COUNTIF('商品マスタ'!$B$6:$B$1005,$W4379)=0),COUNTIFS('①在庫を貼る'!$V$6:$V$10005,$V4379,'①在庫を貼る'!$W$6:$W$10005,$W4379)&gt;0),N(U4378),N(U4378)+1))</f>
        <v/>
      </c>
      <c r="V4379" s="19">
        <f>IF($B4379="","",TEXT($B4379,"0000"))</f>
        <v/>
      </c>
      <c r="W4379" s="19">
        <f>IF($I4379="","",IF(ISNUMBER($I4379),TEXT($I4379,"0"),$I4379))</f>
        <v/>
      </c>
    </row>
    <row r="4380">
      <c r="B4380" s="25" t="n"/>
      <c r="I4380" s="25" t="n"/>
      <c r="U4380" s="19">
        <f>IF($V4380&lt;&gt;'設定'!$C$4,N(U4379),IF(OR(NOT(COUNTIF('商品マスタ'!$B$6:$B$1005,$W4380)=0),COUNTIFS('①在庫を貼る'!$V$6:$V$10005,$V4380,'①在庫を貼る'!$W$6:$W$10005,$W4380)&gt;0),N(U4379),N(U4379)+1))</f>
        <v/>
      </c>
      <c r="V4380" s="19">
        <f>IF($B4380="","",TEXT($B4380,"0000"))</f>
        <v/>
      </c>
      <c r="W4380" s="19">
        <f>IF($I4380="","",IF(ISNUMBER($I4380),TEXT($I4380,"0"),$I4380))</f>
        <v/>
      </c>
    </row>
    <row r="4381">
      <c r="B4381" s="25" t="n"/>
      <c r="I4381" s="25" t="n"/>
      <c r="U4381" s="19">
        <f>IF($V4381&lt;&gt;'設定'!$C$4,N(U4380),IF(OR(NOT(COUNTIF('商品マスタ'!$B$6:$B$1005,$W4381)=0),COUNTIFS('①在庫を貼る'!$V$6:$V$10005,$V4381,'①在庫を貼る'!$W$6:$W$10005,$W4381)&gt;0),N(U4380),N(U4380)+1))</f>
        <v/>
      </c>
      <c r="V4381" s="19">
        <f>IF($B4381="","",TEXT($B4381,"0000"))</f>
        <v/>
      </c>
      <c r="W4381" s="19">
        <f>IF($I4381="","",IF(ISNUMBER($I4381),TEXT($I4381,"0"),$I4381))</f>
        <v/>
      </c>
    </row>
    <row r="4382">
      <c r="B4382" s="25" t="n"/>
      <c r="I4382" s="25" t="n"/>
      <c r="U4382" s="19">
        <f>IF($V4382&lt;&gt;'設定'!$C$4,N(U4381),IF(OR(NOT(COUNTIF('商品マスタ'!$B$6:$B$1005,$W4382)=0),COUNTIFS('①在庫を貼る'!$V$6:$V$10005,$V4382,'①在庫を貼る'!$W$6:$W$10005,$W4382)&gt;0),N(U4381),N(U4381)+1))</f>
        <v/>
      </c>
      <c r="V4382" s="19">
        <f>IF($B4382="","",TEXT($B4382,"0000"))</f>
        <v/>
      </c>
      <c r="W4382" s="19">
        <f>IF($I4382="","",IF(ISNUMBER($I4382),TEXT($I4382,"0"),$I4382))</f>
        <v/>
      </c>
    </row>
    <row r="4383">
      <c r="B4383" s="25" t="n"/>
      <c r="I4383" s="25" t="n"/>
      <c r="U4383" s="19">
        <f>IF($V4383&lt;&gt;'設定'!$C$4,N(U4382),IF(OR(NOT(COUNTIF('商品マスタ'!$B$6:$B$1005,$W4383)=0),COUNTIFS('①在庫を貼る'!$V$6:$V$10005,$V4383,'①在庫を貼る'!$W$6:$W$10005,$W4383)&gt;0),N(U4382),N(U4382)+1))</f>
        <v/>
      </c>
      <c r="V4383" s="19">
        <f>IF($B4383="","",TEXT($B4383,"0000"))</f>
        <v/>
      </c>
      <c r="W4383" s="19">
        <f>IF($I4383="","",IF(ISNUMBER($I4383),TEXT($I4383,"0"),$I4383))</f>
        <v/>
      </c>
    </row>
    <row r="4384">
      <c r="B4384" s="25" t="n"/>
      <c r="I4384" s="25" t="n"/>
      <c r="U4384" s="19">
        <f>IF($V4384&lt;&gt;'設定'!$C$4,N(U4383),IF(OR(NOT(COUNTIF('商品マスタ'!$B$6:$B$1005,$W4384)=0),COUNTIFS('①在庫を貼る'!$V$6:$V$10005,$V4384,'①在庫を貼る'!$W$6:$W$10005,$W4384)&gt;0),N(U4383),N(U4383)+1))</f>
        <v/>
      </c>
      <c r="V4384" s="19">
        <f>IF($B4384="","",TEXT($B4384,"0000"))</f>
        <v/>
      </c>
      <c r="W4384" s="19">
        <f>IF($I4384="","",IF(ISNUMBER($I4384),TEXT($I4384,"0"),$I4384))</f>
        <v/>
      </c>
    </row>
    <row r="4385">
      <c r="B4385" s="25" t="n"/>
      <c r="I4385" s="25" t="n"/>
      <c r="U4385" s="19">
        <f>IF($V4385&lt;&gt;'設定'!$C$4,N(U4384),IF(OR(NOT(COUNTIF('商品マスタ'!$B$6:$B$1005,$W4385)=0),COUNTIFS('①在庫を貼る'!$V$6:$V$10005,$V4385,'①在庫を貼る'!$W$6:$W$10005,$W4385)&gt;0),N(U4384),N(U4384)+1))</f>
        <v/>
      </c>
      <c r="V4385" s="19">
        <f>IF($B4385="","",TEXT($B4385,"0000"))</f>
        <v/>
      </c>
      <c r="W4385" s="19">
        <f>IF($I4385="","",IF(ISNUMBER($I4385),TEXT($I4385,"0"),$I4385))</f>
        <v/>
      </c>
    </row>
    <row r="4386">
      <c r="B4386" s="25" t="n"/>
      <c r="I4386" s="25" t="n"/>
      <c r="U4386" s="19">
        <f>IF($V4386&lt;&gt;'設定'!$C$4,N(U4385),IF(OR(NOT(COUNTIF('商品マスタ'!$B$6:$B$1005,$W4386)=0),COUNTIFS('①在庫を貼る'!$V$6:$V$10005,$V4386,'①在庫を貼る'!$W$6:$W$10005,$W4386)&gt;0),N(U4385),N(U4385)+1))</f>
        <v/>
      </c>
      <c r="V4386" s="19">
        <f>IF($B4386="","",TEXT($B4386,"0000"))</f>
        <v/>
      </c>
      <c r="W4386" s="19">
        <f>IF($I4386="","",IF(ISNUMBER($I4386),TEXT($I4386,"0"),$I4386))</f>
        <v/>
      </c>
    </row>
    <row r="4387">
      <c r="B4387" s="25" t="n"/>
      <c r="I4387" s="25" t="n"/>
      <c r="U4387" s="19">
        <f>IF($V4387&lt;&gt;'設定'!$C$4,N(U4386),IF(OR(NOT(COUNTIF('商品マスタ'!$B$6:$B$1005,$W4387)=0),COUNTIFS('①在庫を貼る'!$V$6:$V$10005,$V4387,'①在庫を貼る'!$W$6:$W$10005,$W4387)&gt;0),N(U4386),N(U4386)+1))</f>
        <v/>
      </c>
      <c r="V4387" s="19">
        <f>IF($B4387="","",TEXT($B4387,"0000"))</f>
        <v/>
      </c>
      <c r="W4387" s="19">
        <f>IF($I4387="","",IF(ISNUMBER($I4387),TEXT($I4387,"0"),$I4387))</f>
        <v/>
      </c>
    </row>
    <row r="4388">
      <c r="B4388" s="25" t="n"/>
      <c r="I4388" s="25" t="n"/>
      <c r="U4388" s="19">
        <f>IF($V4388&lt;&gt;'設定'!$C$4,N(U4387),IF(OR(NOT(COUNTIF('商品マスタ'!$B$6:$B$1005,$W4388)=0),COUNTIFS('①在庫を貼る'!$V$6:$V$10005,$V4388,'①在庫を貼る'!$W$6:$W$10005,$W4388)&gt;0),N(U4387),N(U4387)+1))</f>
        <v/>
      </c>
      <c r="V4388" s="19">
        <f>IF($B4388="","",TEXT($B4388,"0000"))</f>
        <v/>
      </c>
      <c r="W4388" s="19">
        <f>IF($I4388="","",IF(ISNUMBER($I4388),TEXT($I4388,"0"),$I4388))</f>
        <v/>
      </c>
    </row>
    <row r="4389">
      <c r="B4389" s="25" t="n"/>
      <c r="I4389" s="25" t="n"/>
      <c r="U4389" s="19">
        <f>IF($V4389&lt;&gt;'設定'!$C$4,N(U4388),IF(OR(NOT(COUNTIF('商品マスタ'!$B$6:$B$1005,$W4389)=0),COUNTIFS('①在庫を貼る'!$V$6:$V$10005,$V4389,'①在庫を貼る'!$W$6:$W$10005,$W4389)&gt;0),N(U4388),N(U4388)+1))</f>
        <v/>
      </c>
      <c r="V4389" s="19">
        <f>IF($B4389="","",TEXT($B4389,"0000"))</f>
        <v/>
      </c>
      <c r="W4389" s="19">
        <f>IF($I4389="","",IF(ISNUMBER($I4389),TEXT($I4389,"0"),$I4389))</f>
        <v/>
      </c>
    </row>
    <row r="4390">
      <c r="B4390" s="25" t="n"/>
      <c r="I4390" s="25" t="n"/>
      <c r="U4390" s="19">
        <f>IF($V4390&lt;&gt;'設定'!$C$4,N(U4389),IF(OR(NOT(COUNTIF('商品マスタ'!$B$6:$B$1005,$W4390)=0),COUNTIFS('①在庫を貼る'!$V$6:$V$10005,$V4390,'①在庫を貼る'!$W$6:$W$10005,$W4390)&gt;0),N(U4389),N(U4389)+1))</f>
        <v/>
      </c>
      <c r="V4390" s="19">
        <f>IF($B4390="","",TEXT($B4390,"0000"))</f>
        <v/>
      </c>
      <c r="W4390" s="19">
        <f>IF($I4390="","",IF(ISNUMBER($I4390),TEXT($I4390,"0"),$I4390))</f>
        <v/>
      </c>
    </row>
    <row r="4391">
      <c r="B4391" s="25" t="n"/>
      <c r="I4391" s="25" t="n"/>
      <c r="U4391" s="19">
        <f>IF($V4391&lt;&gt;'設定'!$C$4,N(U4390),IF(OR(NOT(COUNTIF('商品マスタ'!$B$6:$B$1005,$W4391)=0),COUNTIFS('①在庫を貼る'!$V$6:$V$10005,$V4391,'①在庫を貼る'!$W$6:$W$10005,$W4391)&gt;0),N(U4390),N(U4390)+1))</f>
        <v/>
      </c>
      <c r="V4391" s="19">
        <f>IF($B4391="","",TEXT($B4391,"0000"))</f>
        <v/>
      </c>
      <c r="W4391" s="19">
        <f>IF($I4391="","",IF(ISNUMBER($I4391),TEXT($I4391,"0"),$I4391))</f>
        <v/>
      </c>
    </row>
    <row r="4392">
      <c r="B4392" s="25" t="n"/>
      <c r="I4392" s="25" t="n"/>
      <c r="U4392" s="19">
        <f>IF($V4392&lt;&gt;'設定'!$C$4,N(U4391),IF(OR(NOT(COUNTIF('商品マスタ'!$B$6:$B$1005,$W4392)=0),COUNTIFS('①在庫を貼る'!$V$6:$V$10005,$V4392,'①在庫を貼る'!$W$6:$W$10005,$W4392)&gt;0),N(U4391),N(U4391)+1))</f>
        <v/>
      </c>
      <c r="V4392" s="19">
        <f>IF($B4392="","",TEXT($B4392,"0000"))</f>
        <v/>
      </c>
      <c r="W4392" s="19">
        <f>IF($I4392="","",IF(ISNUMBER($I4392),TEXT($I4392,"0"),$I4392))</f>
        <v/>
      </c>
    </row>
    <row r="4393">
      <c r="B4393" s="25" t="n"/>
      <c r="I4393" s="25" t="n"/>
      <c r="U4393" s="19">
        <f>IF($V4393&lt;&gt;'設定'!$C$4,N(U4392),IF(OR(NOT(COUNTIF('商品マスタ'!$B$6:$B$1005,$W4393)=0),COUNTIFS('①在庫を貼る'!$V$6:$V$10005,$V4393,'①在庫を貼る'!$W$6:$W$10005,$W4393)&gt;0),N(U4392),N(U4392)+1))</f>
        <v/>
      </c>
      <c r="V4393" s="19">
        <f>IF($B4393="","",TEXT($B4393,"0000"))</f>
        <v/>
      </c>
      <c r="W4393" s="19">
        <f>IF($I4393="","",IF(ISNUMBER($I4393),TEXT($I4393,"0"),$I4393))</f>
        <v/>
      </c>
    </row>
    <row r="4394">
      <c r="B4394" s="25" t="n"/>
      <c r="I4394" s="25" t="n"/>
      <c r="U4394" s="19">
        <f>IF($V4394&lt;&gt;'設定'!$C$4,N(U4393),IF(OR(NOT(COUNTIF('商品マスタ'!$B$6:$B$1005,$W4394)=0),COUNTIFS('①在庫を貼る'!$V$6:$V$10005,$V4394,'①在庫を貼る'!$W$6:$W$10005,$W4394)&gt;0),N(U4393),N(U4393)+1))</f>
        <v/>
      </c>
      <c r="V4394" s="19">
        <f>IF($B4394="","",TEXT($B4394,"0000"))</f>
        <v/>
      </c>
      <c r="W4394" s="19">
        <f>IF($I4394="","",IF(ISNUMBER($I4394),TEXT($I4394,"0"),$I4394))</f>
        <v/>
      </c>
    </row>
    <row r="4395">
      <c r="B4395" s="25" t="n"/>
      <c r="I4395" s="25" t="n"/>
      <c r="U4395" s="19">
        <f>IF($V4395&lt;&gt;'設定'!$C$4,N(U4394),IF(OR(NOT(COUNTIF('商品マスタ'!$B$6:$B$1005,$W4395)=0),COUNTIFS('①在庫を貼る'!$V$6:$V$10005,$V4395,'①在庫を貼る'!$W$6:$W$10005,$W4395)&gt;0),N(U4394),N(U4394)+1))</f>
        <v/>
      </c>
      <c r="V4395" s="19">
        <f>IF($B4395="","",TEXT($B4395,"0000"))</f>
        <v/>
      </c>
      <c r="W4395" s="19">
        <f>IF($I4395="","",IF(ISNUMBER($I4395),TEXT($I4395,"0"),$I4395))</f>
        <v/>
      </c>
    </row>
    <row r="4396">
      <c r="B4396" s="25" t="n"/>
      <c r="I4396" s="25" t="n"/>
      <c r="U4396" s="19">
        <f>IF($V4396&lt;&gt;'設定'!$C$4,N(U4395),IF(OR(NOT(COUNTIF('商品マスタ'!$B$6:$B$1005,$W4396)=0),COUNTIFS('①在庫を貼る'!$V$6:$V$10005,$V4396,'①在庫を貼る'!$W$6:$W$10005,$W4396)&gt;0),N(U4395),N(U4395)+1))</f>
        <v/>
      </c>
      <c r="V4396" s="19">
        <f>IF($B4396="","",TEXT($B4396,"0000"))</f>
        <v/>
      </c>
      <c r="W4396" s="19">
        <f>IF($I4396="","",IF(ISNUMBER($I4396),TEXT($I4396,"0"),$I4396))</f>
        <v/>
      </c>
    </row>
    <row r="4397">
      <c r="B4397" s="25" t="n"/>
      <c r="I4397" s="25" t="n"/>
      <c r="U4397" s="19">
        <f>IF($V4397&lt;&gt;'設定'!$C$4,N(U4396),IF(OR(NOT(COUNTIF('商品マスタ'!$B$6:$B$1005,$W4397)=0),COUNTIFS('①在庫を貼る'!$V$6:$V$10005,$V4397,'①在庫を貼る'!$W$6:$W$10005,$W4397)&gt;0),N(U4396),N(U4396)+1))</f>
        <v/>
      </c>
      <c r="V4397" s="19">
        <f>IF($B4397="","",TEXT($B4397,"0000"))</f>
        <v/>
      </c>
      <c r="W4397" s="19">
        <f>IF($I4397="","",IF(ISNUMBER($I4397),TEXT($I4397,"0"),$I4397))</f>
        <v/>
      </c>
    </row>
    <row r="4398">
      <c r="B4398" s="25" t="n"/>
      <c r="I4398" s="25" t="n"/>
      <c r="U4398" s="19">
        <f>IF($V4398&lt;&gt;'設定'!$C$4,N(U4397),IF(OR(NOT(COUNTIF('商品マスタ'!$B$6:$B$1005,$W4398)=0),COUNTIFS('①在庫を貼る'!$V$6:$V$10005,$V4398,'①在庫を貼る'!$W$6:$W$10005,$W4398)&gt;0),N(U4397),N(U4397)+1))</f>
        <v/>
      </c>
      <c r="V4398" s="19">
        <f>IF($B4398="","",TEXT($B4398,"0000"))</f>
        <v/>
      </c>
      <c r="W4398" s="19">
        <f>IF($I4398="","",IF(ISNUMBER($I4398),TEXT($I4398,"0"),$I4398))</f>
        <v/>
      </c>
    </row>
    <row r="4399">
      <c r="B4399" s="25" t="n"/>
      <c r="I4399" s="25" t="n"/>
      <c r="U4399" s="19">
        <f>IF($V4399&lt;&gt;'設定'!$C$4,N(U4398),IF(OR(NOT(COUNTIF('商品マスタ'!$B$6:$B$1005,$W4399)=0),COUNTIFS('①在庫を貼る'!$V$6:$V$10005,$V4399,'①在庫を貼る'!$W$6:$W$10005,$W4399)&gt;0),N(U4398),N(U4398)+1))</f>
        <v/>
      </c>
      <c r="V4399" s="19">
        <f>IF($B4399="","",TEXT($B4399,"0000"))</f>
        <v/>
      </c>
      <c r="W4399" s="19">
        <f>IF($I4399="","",IF(ISNUMBER($I4399),TEXT($I4399,"0"),$I4399))</f>
        <v/>
      </c>
    </row>
    <row r="4400">
      <c r="B4400" s="25" t="n"/>
      <c r="I4400" s="25" t="n"/>
      <c r="U4400" s="19">
        <f>IF($V4400&lt;&gt;'設定'!$C$4,N(U4399),IF(OR(NOT(COUNTIF('商品マスタ'!$B$6:$B$1005,$W4400)=0),COUNTIFS('①在庫を貼る'!$V$6:$V$10005,$V4400,'①在庫を貼る'!$W$6:$W$10005,$W4400)&gt;0),N(U4399),N(U4399)+1))</f>
        <v/>
      </c>
      <c r="V4400" s="19">
        <f>IF($B4400="","",TEXT($B4400,"0000"))</f>
        <v/>
      </c>
      <c r="W4400" s="19">
        <f>IF($I4400="","",IF(ISNUMBER($I4400),TEXT($I4400,"0"),$I4400))</f>
        <v/>
      </c>
    </row>
    <row r="4401">
      <c r="B4401" s="25" t="n"/>
      <c r="I4401" s="25" t="n"/>
      <c r="U4401" s="19">
        <f>IF($V4401&lt;&gt;'設定'!$C$4,N(U4400),IF(OR(NOT(COUNTIF('商品マスタ'!$B$6:$B$1005,$W4401)=0),COUNTIFS('①在庫を貼る'!$V$6:$V$10005,$V4401,'①在庫を貼る'!$W$6:$W$10005,$W4401)&gt;0),N(U4400),N(U4400)+1))</f>
        <v/>
      </c>
      <c r="V4401" s="19">
        <f>IF($B4401="","",TEXT($B4401,"0000"))</f>
        <v/>
      </c>
      <c r="W4401" s="19">
        <f>IF($I4401="","",IF(ISNUMBER($I4401),TEXT($I4401,"0"),$I4401))</f>
        <v/>
      </c>
    </row>
    <row r="4402">
      <c r="B4402" s="25" t="n"/>
      <c r="I4402" s="25" t="n"/>
      <c r="U4402" s="19">
        <f>IF($V4402&lt;&gt;'設定'!$C$4,N(U4401),IF(OR(NOT(COUNTIF('商品マスタ'!$B$6:$B$1005,$W4402)=0),COUNTIFS('①在庫を貼る'!$V$6:$V$10005,$V4402,'①在庫を貼る'!$W$6:$W$10005,$W4402)&gt;0),N(U4401),N(U4401)+1))</f>
        <v/>
      </c>
      <c r="V4402" s="19">
        <f>IF($B4402="","",TEXT($B4402,"0000"))</f>
        <v/>
      </c>
      <c r="W4402" s="19">
        <f>IF($I4402="","",IF(ISNUMBER($I4402),TEXT($I4402,"0"),$I4402))</f>
        <v/>
      </c>
    </row>
    <row r="4403">
      <c r="B4403" s="25" t="n"/>
      <c r="I4403" s="25" t="n"/>
      <c r="U4403" s="19">
        <f>IF($V4403&lt;&gt;'設定'!$C$4,N(U4402),IF(OR(NOT(COUNTIF('商品マスタ'!$B$6:$B$1005,$W4403)=0),COUNTIFS('①在庫を貼る'!$V$6:$V$10005,$V4403,'①在庫を貼る'!$W$6:$W$10005,$W4403)&gt;0),N(U4402),N(U4402)+1))</f>
        <v/>
      </c>
      <c r="V4403" s="19">
        <f>IF($B4403="","",TEXT($B4403,"0000"))</f>
        <v/>
      </c>
      <c r="W4403" s="19">
        <f>IF($I4403="","",IF(ISNUMBER($I4403),TEXT($I4403,"0"),$I4403))</f>
        <v/>
      </c>
    </row>
    <row r="4404">
      <c r="B4404" s="25" t="n"/>
      <c r="I4404" s="25" t="n"/>
      <c r="U4404" s="19">
        <f>IF($V4404&lt;&gt;'設定'!$C$4,N(U4403),IF(OR(NOT(COUNTIF('商品マスタ'!$B$6:$B$1005,$W4404)=0),COUNTIFS('①在庫を貼る'!$V$6:$V$10005,$V4404,'①在庫を貼る'!$W$6:$W$10005,$W4404)&gt;0),N(U4403),N(U4403)+1))</f>
        <v/>
      </c>
      <c r="V4404" s="19">
        <f>IF($B4404="","",TEXT($B4404,"0000"))</f>
        <v/>
      </c>
      <c r="W4404" s="19">
        <f>IF($I4404="","",IF(ISNUMBER($I4404),TEXT($I4404,"0"),$I4404))</f>
        <v/>
      </c>
    </row>
    <row r="4405">
      <c r="B4405" s="25" t="n"/>
      <c r="I4405" s="25" t="n"/>
      <c r="U4405" s="19">
        <f>IF($V4405&lt;&gt;'設定'!$C$4,N(U4404),IF(OR(NOT(COUNTIF('商品マスタ'!$B$6:$B$1005,$W4405)=0),COUNTIFS('①在庫を貼る'!$V$6:$V$10005,$V4405,'①在庫を貼る'!$W$6:$W$10005,$W4405)&gt;0),N(U4404),N(U4404)+1))</f>
        <v/>
      </c>
      <c r="V4405" s="19">
        <f>IF($B4405="","",TEXT($B4405,"0000"))</f>
        <v/>
      </c>
      <c r="W4405" s="19">
        <f>IF($I4405="","",IF(ISNUMBER($I4405),TEXT($I4405,"0"),$I4405))</f>
        <v/>
      </c>
    </row>
    <row r="4406">
      <c r="B4406" s="25" t="n"/>
      <c r="I4406" s="25" t="n"/>
      <c r="U4406" s="19">
        <f>IF($V4406&lt;&gt;'設定'!$C$4,N(U4405),IF(OR(NOT(COUNTIF('商品マスタ'!$B$6:$B$1005,$W4406)=0),COUNTIFS('①在庫を貼る'!$V$6:$V$10005,$V4406,'①在庫を貼る'!$W$6:$W$10005,$W4406)&gt;0),N(U4405),N(U4405)+1))</f>
        <v/>
      </c>
      <c r="V4406" s="19">
        <f>IF($B4406="","",TEXT($B4406,"0000"))</f>
        <v/>
      </c>
      <c r="W4406" s="19">
        <f>IF($I4406="","",IF(ISNUMBER($I4406),TEXT($I4406,"0"),$I4406))</f>
        <v/>
      </c>
    </row>
    <row r="4407">
      <c r="B4407" s="25" t="n"/>
      <c r="I4407" s="25" t="n"/>
      <c r="U4407" s="19">
        <f>IF($V4407&lt;&gt;'設定'!$C$4,N(U4406),IF(OR(NOT(COUNTIF('商品マスタ'!$B$6:$B$1005,$W4407)=0),COUNTIFS('①在庫を貼る'!$V$6:$V$10005,$V4407,'①在庫を貼る'!$W$6:$W$10005,$W4407)&gt;0),N(U4406),N(U4406)+1))</f>
        <v/>
      </c>
      <c r="V4407" s="19">
        <f>IF($B4407="","",TEXT($B4407,"0000"))</f>
        <v/>
      </c>
      <c r="W4407" s="19">
        <f>IF($I4407="","",IF(ISNUMBER($I4407),TEXT($I4407,"0"),$I4407))</f>
        <v/>
      </c>
    </row>
    <row r="4408">
      <c r="B4408" s="25" t="n"/>
      <c r="I4408" s="25" t="n"/>
      <c r="U4408" s="19">
        <f>IF($V4408&lt;&gt;'設定'!$C$4,N(U4407),IF(OR(NOT(COUNTIF('商品マスタ'!$B$6:$B$1005,$W4408)=0),COUNTIFS('①在庫を貼る'!$V$6:$V$10005,$V4408,'①在庫を貼る'!$W$6:$W$10005,$W4408)&gt;0),N(U4407),N(U4407)+1))</f>
        <v/>
      </c>
      <c r="V4408" s="19">
        <f>IF($B4408="","",TEXT($B4408,"0000"))</f>
        <v/>
      </c>
      <c r="W4408" s="19">
        <f>IF($I4408="","",IF(ISNUMBER($I4408),TEXT($I4408,"0"),$I4408))</f>
        <v/>
      </c>
    </row>
    <row r="4409">
      <c r="B4409" s="25" t="n"/>
      <c r="I4409" s="25" t="n"/>
      <c r="U4409" s="19">
        <f>IF($V4409&lt;&gt;'設定'!$C$4,N(U4408),IF(OR(NOT(COUNTIF('商品マスタ'!$B$6:$B$1005,$W4409)=0),COUNTIFS('①在庫を貼る'!$V$6:$V$10005,$V4409,'①在庫を貼る'!$W$6:$W$10005,$W4409)&gt;0),N(U4408),N(U4408)+1))</f>
        <v/>
      </c>
      <c r="V4409" s="19">
        <f>IF($B4409="","",TEXT($B4409,"0000"))</f>
        <v/>
      </c>
      <c r="W4409" s="19">
        <f>IF($I4409="","",IF(ISNUMBER($I4409),TEXT($I4409,"0"),$I4409))</f>
        <v/>
      </c>
    </row>
    <row r="4410">
      <c r="B4410" s="25" t="n"/>
      <c r="I4410" s="25" t="n"/>
      <c r="U4410" s="19">
        <f>IF($V4410&lt;&gt;'設定'!$C$4,N(U4409),IF(OR(NOT(COUNTIF('商品マスタ'!$B$6:$B$1005,$W4410)=0),COUNTIFS('①在庫を貼る'!$V$6:$V$10005,$V4410,'①在庫を貼る'!$W$6:$W$10005,$W4410)&gt;0),N(U4409),N(U4409)+1))</f>
        <v/>
      </c>
      <c r="V4410" s="19">
        <f>IF($B4410="","",TEXT($B4410,"0000"))</f>
        <v/>
      </c>
      <c r="W4410" s="19">
        <f>IF($I4410="","",IF(ISNUMBER($I4410),TEXT($I4410,"0"),$I4410))</f>
        <v/>
      </c>
    </row>
    <row r="4411">
      <c r="B4411" s="25" t="n"/>
      <c r="I4411" s="25" t="n"/>
      <c r="U4411" s="19">
        <f>IF($V4411&lt;&gt;'設定'!$C$4,N(U4410),IF(OR(NOT(COUNTIF('商品マスタ'!$B$6:$B$1005,$W4411)=0),COUNTIFS('①在庫を貼る'!$V$6:$V$10005,$V4411,'①在庫を貼る'!$W$6:$W$10005,$W4411)&gt;0),N(U4410),N(U4410)+1))</f>
        <v/>
      </c>
      <c r="V4411" s="19">
        <f>IF($B4411="","",TEXT($B4411,"0000"))</f>
        <v/>
      </c>
      <c r="W4411" s="19">
        <f>IF($I4411="","",IF(ISNUMBER($I4411),TEXT($I4411,"0"),$I4411))</f>
        <v/>
      </c>
    </row>
    <row r="4412">
      <c r="B4412" s="25" t="n"/>
      <c r="I4412" s="25" t="n"/>
      <c r="U4412" s="19">
        <f>IF($V4412&lt;&gt;'設定'!$C$4,N(U4411),IF(OR(NOT(COUNTIF('商品マスタ'!$B$6:$B$1005,$W4412)=0),COUNTIFS('①在庫を貼る'!$V$6:$V$10005,$V4412,'①在庫を貼る'!$W$6:$W$10005,$W4412)&gt;0),N(U4411),N(U4411)+1))</f>
        <v/>
      </c>
      <c r="V4412" s="19">
        <f>IF($B4412="","",TEXT($B4412,"0000"))</f>
        <v/>
      </c>
      <c r="W4412" s="19">
        <f>IF($I4412="","",IF(ISNUMBER($I4412),TEXT($I4412,"0"),$I4412))</f>
        <v/>
      </c>
    </row>
    <row r="4413">
      <c r="B4413" s="25" t="n"/>
      <c r="I4413" s="25" t="n"/>
      <c r="U4413" s="19">
        <f>IF($V4413&lt;&gt;'設定'!$C$4,N(U4412),IF(OR(NOT(COUNTIF('商品マスタ'!$B$6:$B$1005,$W4413)=0),COUNTIFS('①在庫を貼る'!$V$6:$V$10005,$V4413,'①在庫を貼る'!$W$6:$W$10005,$W4413)&gt;0),N(U4412),N(U4412)+1))</f>
        <v/>
      </c>
      <c r="V4413" s="19">
        <f>IF($B4413="","",TEXT($B4413,"0000"))</f>
        <v/>
      </c>
      <c r="W4413" s="19">
        <f>IF($I4413="","",IF(ISNUMBER($I4413),TEXT($I4413,"0"),$I4413))</f>
        <v/>
      </c>
    </row>
    <row r="4414">
      <c r="B4414" s="25" t="n"/>
      <c r="I4414" s="25" t="n"/>
      <c r="U4414" s="19">
        <f>IF($V4414&lt;&gt;'設定'!$C$4,N(U4413),IF(OR(NOT(COUNTIF('商品マスタ'!$B$6:$B$1005,$W4414)=0),COUNTIFS('①在庫を貼る'!$V$6:$V$10005,$V4414,'①在庫を貼る'!$W$6:$W$10005,$W4414)&gt;0),N(U4413),N(U4413)+1))</f>
        <v/>
      </c>
      <c r="V4414" s="19">
        <f>IF($B4414="","",TEXT($B4414,"0000"))</f>
        <v/>
      </c>
      <c r="W4414" s="19">
        <f>IF($I4414="","",IF(ISNUMBER($I4414),TEXT($I4414,"0"),$I4414))</f>
        <v/>
      </c>
    </row>
    <row r="4415">
      <c r="B4415" s="25" t="n"/>
      <c r="I4415" s="25" t="n"/>
      <c r="U4415" s="19">
        <f>IF($V4415&lt;&gt;'設定'!$C$4,N(U4414),IF(OR(NOT(COUNTIF('商品マスタ'!$B$6:$B$1005,$W4415)=0),COUNTIFS('①在庫を貼る'!$V$6:$V$10005,$V4415,'①在庫を貼る'!$W$6:$W$10005,$W4415)&gt;0),N(U4414),N(U4414)+1))</f>
        <v/>
      </c>
      <c r="V4415" s="19">
        <f>IF($B4415="","",TEXT($B4415,"0000"))</f>
        <v/>
      </c>
      <c r="W4415" s="19">
        <f>IF($I4415="","",IF(ISNUMBER($I4415),TEXT($I4415,"0"),$I4415))</f>
        <v/>
      </c>
    </row>
    <row r="4416">
      <c r="B4416" s="25" t="n"/>
      <c r="I4416" s="25" t="n"/>
      <c r="U4416" s="19">
        <f>IF($V4416&lt;&gt;'設定'!$C$4,N(U4415),IF(OR(NOT(COUNTIF('商品マスタ'!$B$6:$B$1005,$W4416)=0),COUNTIFS('①在庫を貼る'!$V$6:$V$10005,$V4416,'①在庫を貼る'!$W$6:$W$10005,$W4416)&gt;0),N(U4415),N(U4415)+1))</f>
        <v/>
      </c>
      <c r="V4416" s="19">
        <f>IF($B4416="","",TEXT($B4416,"0000"))</f>
        <v/>
      </c>
      <c r="W4416" s="19">
        <f>IF($I4416="","",IF(ISNUMBER($I4416),TEXT($I4416,"0"),$I4416))</f>
        <v/>
      </c>
    </row>
    <row r="4417">
      <c r="B4417" s="25" t="n"/>
      <c r="I4417" s="25" t="n"/>
      <c r="U4417" s="19">
        <f>IF($V4417&lt;&gt;'設定'!$C$4,N(U4416),IF(OR(NOT(COUNTIF('商品マスタ'!$B$6:$B$1005,$W4417)=0),COUNTIFS('①在庫を貼る'!$V$6:$V$10005,$V4417,'①在庫を貼る'!$W$6:$W$10005,$W4417)&gt;0),N(U4416),N(U4416)+1))</f>
        <v/>
      </c>
      <c r="V4417" s="19">
        <f>IF($B4417="","",TEXT($B4417,"0000"))</f>
        <v/>
      </c>
      <c r="W4417" s="19">
        <f>IF($I4417="","",IF(ISNUMBER($I4417),TEXT($I4417,"0"),$I4417))</f>
        <v/>
      </c>
    </row>
    <row r="4418">
      <c r="B4418" s="25" t="n"/>
      <c r="I4418" s="25" t="n"/>
      <c r="U4418" s="19">
        <f>IF($V4418&lt;&gt;'設定'!$C$4,N(U4417),IF(OR(NOT(COUNTIF('商品マスタ'!$B$6:$B$1005,$W4418)=0),COUNTIFS('①在庫を貼る'!$V$6:$V$10005,$V4418,'①在庫を貼る'!$W$6:$W$10005,$W4418)&gt;0),N(U4417),N(U4417)+1))</f>
        <v/>
      </c>
      <c r="V4418" s="19">
        <f>IF($B4418="","",TEXT($B4418,"0000"))</f>
        <v/>
      </c>
      <c r="W4418" s="19">
        <f>IF($I4418="","",IF(ISNUMBER($I4418),TEXT($I4418,"0"),$I4418))</f>
        <v/>
      </c>
    </row>
    <row r="4419">
      <c r="B4419" s="25" t="n"/>
      <c r="I4419" s="25" t="n"/>
      <c r="U4419" s="19">
        <f>IF($V4419&lt;&gt;'設定'!$C$4,N(U4418),IF(OR(NOT(COUNTIF('商品マスタ'!$B$6:$B$1005,$W4419)=0),COUNTIFS('①在庫を貼る'!$V$6:$V$10005,$V4419,'①在庫を貼る'!$W$6:$W$10005,$W4419)&gt;0),N(U4418),N(U4418)+1))</f>
        <v/>
      </c>
      <c r="V4419" s="19">
        <f>IF($B4419="","",TEXT($B4419,"0000"))</f>
        <v/>
      </c>
      <c r="W4419" s="19">
        <f>IF($I4419="","",IF(ISNUMBER($I4419),TEXT($I4419,"0"),$I4419))</f>
        <v/>
      </c>
    </row>
    <row r="4420">
      <c r="B4420" s="25" t="n"/>
      <c r="I4420" s="25" t="n"/>
      <c r="U4420" s="19">
        <f>IF($V4420&lt;&gt;'設定'!$C$4,N(U4419),IF(OR(NOT(COUNTIF('商品マスタ'!$B$6:$B$1005,$W4420)=0),COUNTIFS('①在庫を貼る'!$V$6:$V$10005,$V4420,'①在庫を貼る'!$W$6:$W$10005,$W4420)&gt;0),N(U4419),N(U4419)+1))</f>
        <v/>
      </c>
      <c r="V4420" s="19">
        <f>IF($B4420="","",TEXT($B4420,"0000"))</f>
        <v/>
      </c>
      <c r="W4420" s="19">
        <f>IF($I4420="","",IF(ISNUMBER($I4420),TEXT($I4420,"0"),$I4420))</f>
        <v/>
      </c>
    </row>
    <row r="4421">
      <c r="B4421" s="25" t="n"/>
      <c r="I4421" s="25" t="n"/>
      <c r="U4421" s="19">
        <f>IF($V4421&lt;&gt;'設定'!$C$4,N(U4420),IF(OR(NOT(COUNTIF('商品マスタ'!$B$6:$B$1005,$W4421)=0),COUNTIFS('①在庫を貼る'!$V$6:$V$10005,$V4421,'①在庫を貼る'!$W$6:$W$10005,$W4421)&gt;0),N(U4420),N(U4420)+1))</f>
        <v/>
      </c>
      <c r="V4421" s="19">
        <f>IF($B4421="","",TEXT($B4421,"0000"))</f>
        <v/>
      </c>
      <c r="W4421" s="19">
        <f>IF($I4421="","",IF(ISNUMBER($I4421),TEXT($I4421,"0"),$I4421))</f>
        <v/>
      </c>
    </row>
    <row r="4422">
      <c r="B4422" s="25" t="n"/>
      <c r="I4422" s="25" t="n"/>
      <c r="U4422" s="19">
        <f>IF($V4422&lt;&gt;'設定'!$C$4,N(U4421),IF(OR(NOT(COUNTIF('商品マスタ'!$B$6:$B$1005,$W4422)=0),COUNTIFS('①在庫を貼る'!$V$6:$V$10005,$V4422,'①在庫を貼る'!$W$6:$W$10005,$W4422)&gt;0),N(U4421),N(U4421)+1))</f>
        <v/>
      </c>
      <c r="V4422" s="19">
        <f>IF($B4422="","",TEXT($B4422,"0000"))</f>
        <v/>
      </c>
      <c r="W4422" s="19">
        <f>IF($I4422="","",IF(ISNUMBER($I4422),TEXT($I4422,"0"),$I4422))</f>
        <v/>
      </c>
    </row>
    <row r="4423">
      <c r="B4423" s="25" t="n"/>
      <c r="I4423" s="25" t="n"/>
      <c r="U4423" s="19">
        <f>IF($V4423&lt;&gt;'設定'!$C$4,N(U4422),IF(OR(NOT(COUNTIF('商品マスタ'!$B$6:$B$1005,$W4423)=0),COUNTIFS('①在庫を貼る'!$V$6:$V$10005,$V4423,'①在庫を貼る'!$W$6:$W$10005,$W4423)&gt;0),N(U4422),N(U4422)+1))</f>
        <v/>
      </c>
      <c r="V4423" s="19">
        <f>IF($B4423="","",TEXT($B4423,"0000"))</f>
        <v/>
      </c>
      <c r="W4423" s="19">
        <f>IF($I4423="","",IF(ISNUMBER($I4423),TEXT($I4423,"0"),$I4423))</f>
        <v/>
      </c>
    </row>
    <row r="4424">
      <c r="B4424" s="25" t="n"/>
      <c r="I4424" s="25" t="n"/>
      <c r="U4424" s="19">
        <f>IF($V4424&lt;&gt;'設定'!$C$4,N(U4423),IF(OR(NOT(COUNTIF('商品マスタ'!$B$6:$B$1005,$W4424)=0),COUNTIFS('①在庫を貼る'!$V$6:$V$10005,$V4424,'①在庫を貼る'!$W$6:$W$10005,$W4424)&gt;0),N(U4423),N(U4423)+1))</f>
        <v/>
      </c>
      <c r="V4424" s="19">
        <f>IF($B4424="","",TEXT($B4424,"0000"))</f>
        <v/>
      </c>
      <c r="W4424" s="19">
        <f>IF($I4424="","",IF(ISNUMBER($I4424),TEXT($I4424,"0"),$I4424))</f>
        <v/>
      </c>
    </row>
    <row r="4425">
      <c r="B4425" s="25" t="n"/>
      <c r="I4425" s="25" t="n"/>
      <c r="U4425" s="19">
        <f>IF($V4425&lt;&gt;'設定'!$C$4,N(U4424),IF(OR(NOT(COUNTIF('商品マスタ'!$B$6:$B$1005,$W4425)=0),COUNTIFS('①在庫を貼る'!$V$6:$V$10005,$V4425,'①在庫を貼る'!$W$6:$W$10005,$W4425)&gt;0),N(U4424),N(U4424)+1))</f>
        <v/>
      </c>
      <c r="V4425" s="19">
        <f>IF($B4425="","",TEXT($B4425,"0000"))</f>
        <v/>
      </c>
      <c r="W4425" s="19">
        <f>IF($I4425="","",IF(ISNUMBER($I4425),TEXT($I4425,"0"),$I4425))</f>
        <v/>
      </c>
    </row>
    <row r="4426">
      <c r="B4426" s="25" t="n"/>
      <c r="I4426" s="25" t="n"/>
      <c r="U4426" s="19">
        <f>IF($V4426&lt;&gt;'設定'!$C$4,N(U4425),IF(OR(NOT(COUNTIF('商品マスタ'!$B$6:$B$1005,$W4426)=0),COUNTIFS('①在庫を貼る'!$V$6:$V$10005,$V4426,'①在庫を貼る'!$W$6:$W$10005,$W4426)&gt;0),N(U4425),N(U4425)+1))</f>
        <v/>
      </c>
      <c r="V4426" s="19">
        <f>IF($B4426="","",TEXT($B4426,"0000"))</f>
        <v/>
      </c>
      <c r="W4426" s="19">
        <f>IF($I4426="","",IF(ISNUMBER($I4426),TEXT($I4426,"0"),$I4426))</f>
        <v/>
      </c>
    </row>
    <row r="4427">
      <c r="B4427" s="25" t="n"/>
      <c r="I4427" s="25" t="n"/>
      <c r="U4427" s="19">
        <f>IF($V4427&lt;&gt;'設定'!$C$4,N(U4426),IF(OR(NOT(COUNTIF('商品マスタ'!$B$6:$B$1005,$W4427)=0),COUNTIFS('①在庫を貼る'!$V$6:$V$10005,$V4427,'①在庫を貼る'!$W$6:$W$10005,$W4427)&gt;0),N(U4426),N(U4426)+1))</f>
        <v/>
      </c>
      <c r="V4427" s="19">
        <f>IF($B4427="","",TEXT($B4427,"0000"))</f>
        <v/>
      </c>
      <c r="W4427" s="19">
        <f>IF($I4427="","",IF(ISNUMBER($I4427),TEXT($I4427,"0"),$I4427))</f>
        <v/>
      </c>
    </row>
    <row r="4428">
      <c r="B4428" s="25" t="n"/>
      <c r="I4428" s="25" t="n"/>
      <c r="U4428" s="19">
        <f>IF($V4428&lt;&gt;'設定'!$C$4,N(U4427),IF(OR(NOT(COUNTIF('商品マスタ'!$B$6:$B$1005,$W4428)=0),COUNTIFS('①在庫を貼る'!$V$6:$V$10005,$V4428,'①在庫を貼る'!$W$6:$W$10005,$W4428)&gt;0),N(U4427),N(U4427)+1))</f>
        <v/>
      </c>
      <c r="V4428" s="19">
        <f>IF($B4428="","",TEXT($B4428,"0000"))</f>
        <v/>
      </c>
      <c r="W4428" s="19">
        <f>IF($I4428="","",IF(ISNUMBER($I4428),TEXT($I4428,"0"),$I4428))</f>
        <v/>
      </c>
    </row>
    <row r="4429">
      <c r="B4429" s="25" t="n"/>
      <c r="I4429" s="25" t="n"/>
      <c r="U4429" s="19">
        <f>IF($V4429&lt;&gt;'設定'!$C$4,N(U4428),IF(OR(NOT(COUNTIF('商品マスタ'!$B$6:$B$1005,$W4429)=0),COUNTIFS('①在庫を貼る'!$V$6:$V$10005,$V4429,'①在庫を貼る'!$W$6:$W$10005,$W4429)&gt;0),N(U4428),N(U4428)+1))</f>
        <v/>
      </c>
      <c r="V4429" s="19">
        <f>IF($B4429="","",TEXT($B4429,"0000"))</f>
        <v/>
      </c>
      <c r="W4429" s="19">
        <f>IF($I4429="","",IF(ISNUMBER($I4429),TEXT($I4429,"0"),$I4429))</f>
        <v/>
      </c>
    </row>
    <row r="4430">
      <c r="B4430" s="25" t="n"/>
      <c r="I4430" s="25" t="n"/>
      <c r="U4430" s="19">
        <f>IF($V4430&lt;&gt;'設定'!$C$4,N(U4429),IF(OR(NOT(COUNTIF('商品マスタ'!$B$6:$B$1005,$W4430)=0),COUNTIFS('①在庫を貼る'!$V$6:$V$10005,$V4430,'①在庫を貼る'!$W$6:$W$10005,$W4430)&gt;0),N(U4429),N(U4429)+1))</f>
        <v/>
      </c>
      <c r="V4430" s="19">
        <f>IF($B4430="","",TEXT($B4430,"0000"))</f>
        <v/>
      </c>
      <c r="W4430" s="19">
        <f>IF($I4430="","",IF(ISNUMBER($I4430),TEXT($I4430,"0"),$I4430))</f>
        <v/>
      </c>
    </row>
    <row r="4431">
      <c r="B4431" s="25" t="n"/>
      <c r="I4431" s="25" t="n"/>
      <c r="U4431" s="19">
        <f>IF($V4431&lt;&gt;'設定'!$C$4,N(U4430),IF(OR(NOT(COUNTIF('商品マスタ'!$B$6:$B$1005,$W4431)=0),COUNTIFS('①在庫を貼る'!$V$6:$V$10005,$V4431,'①在庫を貼る'!$W$6:$W$10005,$W4431)&gt;0),N(U4430),N(U4430)+1))</f>
        <v/>
      </c>
      <c r="V4431" s="19">
        <f>IF($B4431="","",TEXT($B4431,"0000"))</f>
        <v/>
      </c>
      <c r="W4431" s="19">
        <f>IF($I4431="","",IF(ISNUMBER($I4431),TEXT($I4431,"0"),$I4431))</f>
        <v/>
      </c>
    </row>
    <row r="4432">
      <c r="B4432" s="25" t="n"/>
      <c r="I4432" s="25" t="n"/>
      <c r="U4432" s="19">
        <f>IF($V4432&lt;&gt;'設定'!$C$4,N(U4431),IF(OR(NOT(COUNTIF('商品マスタ'!$B$6:$B$1005,$W4432)=0),COUNTIFS('①在庫を貼る'!$V$6:$V$10005,$V4432,'①在庫を貼る'!$W$6:$W$10005,$W4432)&gt;0),N(U4431),N(U4431)+1))</f>
        <v/>
      </c>
      <c r="V4432" s="19">
        <f>IF($B4432="","",TEXT($B4432,"0000"))</f>
        <v/>
      </c>
      <c r="W4432" s="19">
        <f>IF($I4432="","",IF(ISNUMBER($I4432),TEXT($I4432,"0"),$I4432))</f>
        <v/>
      </c>
    </row>
    <row r="4433">
      <c r="B4433" s="25" t="n"/>
      <c r="I4433" s="25" t="n"/>
      <c r="U4433" s="19">
        <f>IF($V4433&lt;&gt;'設定'!$C$4,N(U4432),IF(OR(NOT(COUNTIF('商品マスタ'!$B$6:$B$1005,$W4433)=0),COUNTIFS('①在庫を貼る'!$V$6:$V$10005,$V4433,'①在庫を貼る'!$W$6:$W$10005,$W4433)&gt;0),N(U4432),N(U4432)+1))</f>
        <v/>
      </c>
      <c r="V4433" s="19">
        <f>IF($B4433="","",TEXT($B4433,"0000"))</f>
        <v/>
      </c>
      <c r="W4433" s="19">
        <f>IF($I4433="","",IF(ISNUMBER($I4433),TEXT($I4433,"0"),$I4433))</f>
        <v/>
      </c>
    </row>
    <row r="4434">
      <c r="B4434" s="25" t="n"/>
      <c r="I4434" s="25" t="n"/>
      <c r="U4434" s="19">
        <f>IF($V4434&lt;&gt;'設定'!$C$4,N(U4433),IF(OR(NOT(COUNTIF('商品マスタ'!$B$6:$B$1005,$W4434)=0),COUNTIFS('①在庫を貼る'!$V$6:$V$10005,$V4434,'①在庫を貼る'!$W$6:$W$10005,$W4434)&gt;0),N(U4433),N(U4433)+1))</f>
        <v/>
      </c>
      <c r="V4434" s="19">
        <f>IF($B4434="","",TEXT($B4434,"0000"))</f>
        <v/>
      </c>
      <c r="W4434" s="19">
        <f>IF($I4434="","",IF(ISNUMBER($I4434),TEXT($I4434,"0"),$I4434))</f>
        <v/>
      </c>
    </row>
    <row r="4435">
      <c r="B4435" s="25" t="n"/>
      <c r="I4435" s="25" t="n"/>
      <c r="U4435" s="19">
        <f>IF($V4435&lt;&gt;'設定'!$C$4,N(U4434),IF(OR(NOT(COUNTIF('商品マスタ'!$B$6:$B$1005,$W4435)=0),COUNTIFS('①在庫を貼る'!$V$6:$V$10005,$V4435,'①在庫を貼る'!$W$6:$W$10005,$W4435)&gt;0),N(U4434),N(U4434)+1))</f>
        <v/>
      </c>
      <c r="V4435" s="19">
        <f>IF($B4435="","",TEXT($B4435,"0000"))</f>
        <v/>
      </c>
      <c r="W4435" s="19">
        <f>IF($I4435="","",IF(ISNUMBER($I4435),TEXT($I4435,"0"),$I4435))</f>
        <v/>
      </c>
    </row>
    <row r="4436">
      <c r="B4436" s="25" t="n"/>
      <c r="I4436" s="25" t="n"/>
      <c r="U4436" s="19">
        <f>IF($V4436&lt;&gt;'設定'!$C$4,N(U4435),IF(OR(NOT(COUNTIF('商品マスタ'!$B$6:$B$1005,$W4436)=0),COUNTIFS('①在庫を貼る'!$V$6:$V$10005,$V4436,'①在庫を貼る'!$W$6:$W$10005,$W4436)&gt;0),N(U4435),N(U4435)+1))</f>
        <v/>
      </c>
      <c r="V4436" s="19">
        <f>IF($B4436="","",TEXT($B4436,"0000"))</f>
        <v/>
      </c>
      <c r="W4436" s="19">
        <f>IF($I4436="","",IF(ISNUMBER($I4436),TEXT($I4436,"0"),$I4436))</f>
        <v/>
      </c>
    </row>
    <row r="4437">
      <c r="B4437" s="25" t="n"/>
      <c r="I4437" s="25" t="n"/>
      <c r="U4437" s="19">
        <f>IF($V4437&lt;&gt;'設定'!$C$4,N(U4436),IF(OR(NOT(COUNTIF('商品マスタ'!$B$6:$B$1005,$W4437)=0),COUNTIFS('①在庫を貼る'!$V$6:$V$10005,$V4437,'①在庫を貼る'!$W$6:$W$10005,$W4437)&gt;0),N(U4436),N(U4436)+1))</f>
        <v/>
      </c>
      <c r="V4437" s="19">
        <f>IF($B4437="","",TEXT($B4437,"0000"))</f>
        <v/>
      </c>
      <c r="W4437" s="19">
        <f>IF($I4437="","",IF(ISNUMBER($I4437),TEXT($I4437,"0"),$I4437))</f>
        <v/>
      </c>
    </row>
    <row r="4438">
      <c r="B4438" s="25" t="n"/>
      <c r="I4438" s="25" t="n"/>
      <c r="U4438" s="19">
        <f>IF($V4438&lt;&gt;'設定'!$C$4,N(U4437),IF(OR(NOT(COUNTIF('商品マスタ'!$B$6:$B$1005,$W4438)=0),COUNTIFS('①在庫を貼る'!$V$6:$V$10005,$V4438,'①在庫を貼る'!$W$6:$W$10005,$W4438)&gt;0),N(U4437),N(U4437)+1))</f>
        <v/>
      </c>
      <c r="V4438" s="19">
        <f>IF($B4438="","",TEXT($B4438,"0000"))</f>
        <v/>
      </c>
      <c r="W4438" s="19">
        <f>IF($I4438="","",IF(ISNUMBER($I4438),TEXT($I4438,"0"),$I4438))</f>
        <v/>
      </c>
    </row>
    <row r="4439">
      <c r="B4439" s="25" t="n"/>
      <c r="I4439" s="25" t="n"/>
      <c r="U4439" s="19">
        <f>IF($V4439&lt;&gt;'設定'!$C$4,N(U4438),IF(OR(NOT(COUNTIF('商品マスタ'!$B$6:$B$1005,$W4439)=0),COUNTIFS('①在庫を貼る'!$V$6:$V$10005,$V4439,'①在庫を貼る'!$W$6:$W$10005,$W4439)&gt;0),N(U4438),N(U4438)+1))</f>
        <v/>
      </c>
      <c r="V4439" s="19">
        <f>IF($B4439="","",TEXT($B4439,"0000"))</f>
        <v/>
      </c>
      <c r="W4439" s="19">
        <f>IF($I4439="","",IF(ISNUMBER($I4439),TEXT($I4439,"0"),$I4439))</f>
        <v/>
      </c>
    </row>
    <row r="4440">
      <c r="B4440" s="25" t="n"/>
      <c r="I4440" s="25" t="n"/>
      <c r="U4440" s="19">
        <f>IF($V4440&lt;&gt;'設定'!$C$4,N(U4439),IF(OR(NOT(COUNTIF('商品マスタ'!$B$6:$B$1005,$W4440)=0),COUNTIFS('①在庫を貼る'!$V$6:$V$10005,$V4440,'①在庫を貼る'!$W$6:$W$10005,$W4440)&gt;0),N(U4439),N(U4439)+1))</f>
        <v/>
      </c>
      <c r="V4440" s="19">
        <f>IF($B4440="","",TEXT($B4440,"0000"))</f>
        <v/>
      </c>
      <c r="W4440" s="19">
        <f>IF($I4440="","",IF(ISNUMBER($I4440),TEXT($I4440,"0"),$I4440))</f>
        <v/>
      </c>
    </row>
    <row r="4441">
      <c r="B4441" s="25" t="n"/>
      <c r="I4441" s="25" t="n"/>
      <c r="U4441" s="19">
        <f>IF($V4441&lt;&gt;'設定'!$C$4,N(U4440),IF(OR(NOT(COUNTIF('商品マスタ'!$B$6:$B$1005,$W4441)=0),COUNTIFS('①在庫を貼る'!$V$6:$V$10005,$V4441,'①在庫を貼る'!$W$6:$W$10005,$W4441)&gt;0),N(U4440),N(U4440)+1))</f>
        <v/>
      </c>
      <c r="V4441" s="19">
        <f>IF($B4441="","",TEXT($B4441,"0000"))</f>
        <v/>
      </c>
      <c r="W4441" s="19">
        <f>IF($I4441="","",IF(ISNUMBER($I4441),TEXT($I4441,"0"),$I4441))</f>
        <v/>
      </c>
    </row>
    <row r="4442">
      <c r="B4442" s="25" t="n"/>
      <c r="I4442" s="25" t="n"/>
      <c r="U4442" s="19">
        <f>IF($V4442&lt;&gt;'設定'!$C$4,N(U4441),IF(OR(NOT(COUNTIF('商品マスタ'!$B$6:$B$1005,$W4442)=0),COUNTIFS('①在庫を貼る'!$V$6:$V$10005,$V4442,'①在庫を貼る'!$W$6:$W$10005,$W4442)&gt;0),N(U4441),N(U4441)+1))</f>
        <v/>
      </c>
      <c r="V4442" s="19">
        <f>IF($B4442="","",TEXT($B4442,"0000"))</f>
        <v/>
      </c>
      <c r="W4442" s="19">
        <f>IF($I4442="","",IF(ISNUMBER($I4442),TEXT($I4442,"0"),$I4442))</f>
        <v/>
      </c>
    </row>
    <row r="4443">
      <c r="B4443" s="25" t="n"/>
      <c r="I4443" s="25" t="n"/>
      <c r="U4443" s="19">
        <f>IF($V4443&lt;&gt;'設定'!$C$4,N(U4442),IF(OR(NOT(COUNTIF('商品マスタ'!$B$6:$B$1005,$W4443)=0),COUNTIFS('①在庫を貼る'!$V$6:$V$10005,$V4443,'①在庫を貼る'!$W$6:$W$10005,$W4443)&gt;0),N(U4442),N(U4442)+1))</f>
        <v/>
      </c>
      <c r="V4443" s="19">
        <f>IF($B4443="","",TEXT($B4443,"0000"))</f>
        <v/>
      </c>
      <c r="W4443" s="19">
        <f>IF($I4443="","",IF(ISNUMBER($I4443),TEXT($I4443,"0"),$I4443))</f>
        <v/>
      </c>
    </row>
    <row r="4444">
      <c r="B4444" s="25" t="n"/>
      <c r="I4444" s="25" t="n"/>
      <c r="U4444" s="19">
        <f>IF($V4444&lt;&gt;'設定'!$C$4,N(U4443),IF(OR(NOT(COUNTIF('商品マスタ'!$B$6:$B$1005,$W4444)=0),COUNTIFS('①在庫を貼る'!$V$6:$V$10005,$V4444,'①在庫を貼る'!$W$6:$W$10005,$W4444)&gt;0),N(U4443),N(U4443)+1))</f>
        <v/>
      </c>
      <c r="V4444" s="19">
        <f>IF($B4444="","",TEXT($B4444,"0000"))</f>
        <v/>
      </c>
      <c r="W4444" s="19">
        <f>IF($I4444="","",IF(ISNUMBER($I4444),TEXT($I4444,"0"),$I4444))</f>
        <v/>
      </c>
    </row>
    <row r="4445">
      <c r="B4445" s="25" t="n"/>
      <c r="I4445" s="25" t="n"/>
      <c r="U4445" s="19">
        <f>IF($V4445&lt;&gt;'設定'!$C$4,N(U4444),IF(OR(NOT(COUNTIF('商品マスタ'!$B$6:$B$1005,$W4445)=0),COUNTIFS('①在庫を貼る'!$V$6:$V$10005,$V4445,'①在庫を貼る'!$W$6:$W$10005,$W4445)&gt;0),N(U4444),N(U4444)+1))</f>
        <v/>
      </c>
      <c r="V4445" s="19">
        <f>IF($B4445="","",TEXT($B4445,"0000"))</f>
        <v/>
      </c>
      <c r="W4445" s="19">
        <f>IF($I4445="","",IF(ISNUMBER($I4445),TEXT($I4445,"0"),$I4445))</f>
        <v/>
      </c>
    </row>
    <row r="4446">
      <c r="B4446" s="25" t="n"/>
      <c r="I4446" s="25" t="n"/>
      <c r="U4446" s="19">
        <f>IF($V4446&lt;&gt;'設定'!$C$4,N(U4445),IF(OR(NOT(COUNTIF('商品マスタ'!$B$6:$B$1005,$W4446)=0),COUNTIFS('①在庫を貼る'!$V$6:$V$10005,$V4446,'①在庫を貼る'!$W$6:$W$10005,$W4446)&gt;0),N(U4445),N(U4445)+1))</f>
        <v/>
      </c>
      <c r="V4446" s="19">
        <f>IF($B4446="","",TEXT($B4446,"0000"))</f>
        <v/>
      </c>
      <c r="W4446" s="19">
        <f>IF($I4446="","",IF(ISNUMBER($I4446),TEXT($I4446,"0"),$I4446))</f>
        <v/>
      </c>
    </row>
    <row r="4447">
      <c r="B4447" s="25" t="n"/>
      <c r="I4447" s="25" t="n"/>
      <c r="U4447" s="19">
        <f>IF($V4447&lt;&gt;'設定'!$C$4,N(U4446),IF(OR(NOT(COUNTIF('商品マスタ'!$B$6:$B$1005,$W4447)=0),COUNTIFS('①在庫を貼る'!$V$6:$V$10005,$V4447,'①在庫を貼る'!$W$6:$W$10005,$W4447)&gt;0),N(U4446),N(U4446)+1))</f>
        <v/>
      </c>
      <c r="V4447" s="19">
        <f>IF($B4447="","",TEXT($B4447,"0000"))</f>
        <v/>
      </c>
      <c r="W4447" s="19">
        <f>IF($I4447="","",IF(ISNUMBER($I4447),TEXT($I4447,"0"),$I4447))</f>
        <v/>
      </c>
    </row>
    <row r="4448">
      <c r="B4448" s="25" t="n"/>
      <c r="I4448" s="25" t="n"/>
      <c r="U4448" s="19">
        <f>IF($V4448&lt;&gt;'設定'!$C$4,N(U4447),IF(OR(NOT(COUNTIF('商品マスタ'!$B$6:$B$1005,$W4448)=0),COUNTIFS('①在庫を貼る'!$V$6:$V$10005,$V4448,'①在庫を貼る'!$W$6:$W$10005,$W4448)&gt;0),N(U4447),N(U4447)+1))</f>
        <v/>
      </c>
      <c r="V4448" s="19">
        <f>IF($B4448="","",TEXT($B4448,"0000"))</f>
        <v/>
      </c>
      <c r="W4448" s="19">
        <f>IF($I4448="","",IF(ISNUMBER($I4448),TEXT($I4448,"0"),$I4448))</f>
        <v/>
      </c>
    </row>
    <row r="4449">
      <c r="B4449" s="25" t="n"/>
      <c r="I4449" s="25" t="n"/>
      <c r="U4449" s="19">
        <f>IF($V4449&lt;&gt;'設定'!$C$4,N(U4448),IF(OR(NOT(COUNTIF('商品マスタ'!$B$6:$B$1005,$W4449)=0),COUNTIFS('①在庫を貼る'!$V$6:$V$10005,$V4449,'①在庫を貼る'!$W$6:$W$10005,$W4449)&gt;0),N(U4448),N(U4448)+1))</f>
        <v/>
      </c>
      <c r="V4449" s="19">
        <f>IF($B4449="","",TEXT($B4449,"0000"))</f>
        <v/>
      </c>
      <c r="W4449" s="19">
        <f>IF($I4449="","",IF(ISNUMBER($I4449),TEXT($I4449,"0"),$I4449))</f>
        <v/>
      </c>
    </row>
    <row r="4450">
      <c r="B4450" s="25" t="n"/>
      <c r="I4450" s="25" t="n"/>
      <c r="U4450" s="19">
        <f>IF($V4450&lt;&gt;'設定'!$C$4,N(U4449),IF(OR(NOT(COUNTIF('商品マスタ'!$B$6:$B$1005,$W4450)=0),COUNTIFS('①在庫を貼る'!$V$6:$V$10005,$V4450,'①在庫を貼る'!$W$6:$W$10005,$W4450)&gt;0),N(U4449),N(U4449)+1))</f>
        <v/>
      </c>
      <c r="V4450" s="19">
        <f>IF($B4450="","",TEXT($B4450,"0000"))</f>
        <v/>
      </c>
      <c r="W4450" s="19">
        <f>IF($I4450="","",IF(ISNUMBER($I4450),TEXT($I4450,"0"),$I4450))</f>
        <v/>
      </c>
    </row>
    <row r="4451">
      <c r="B4451" s="25" t="n"/>
      <c r="I4451" s="25" t="n"/>
      <c r="U4451" s="19">
        <f>IF($V4451&lt;&gt;'設定'!$C$4,N(U4450),IF(OR(NOT(COUNTIF('商品マスタ'!$B$6:$B$1005,$W4451)=0),COUNTIFS('①在庫を貼る'!$V$6:$V$10005,$V4451,'①在庫を貼る'!$W$6:$W$10005,$W4451)&gt;0),N(U4450),N(U4450)+1))</f>
        <v/>
      </c>
      <c r="V4451" s="19">
        <f>IF($B4451="","",TEXT($B4451,"0000"))</f>
        <v/>
      </c>
      <c r="W4451" s="19">
        <f>IF($I4451="","",IF(ISNUMBER($I4451),TEXT($I4451,"0"),$I4451))</f>
        <v/>
      </c>
    </row>
    <row r="4452">
      <c r="B4452" s="25" t="n"/>
      <c r="I4452" s="25" t="n"/>
      <c r="U4452" s="19">
        <f>IF($V4452&lt;&gt;'設定'!$C$4,N(U4451),IF(OR(NOT(COUNTIF('商品マスタ'!$B$6:$B$1005,$W4452)=0),COUNTIFS('①在庫を貼る'!$V$6:$V$10005,$V4452,'①在庫を貼る'!$W$6:$W$10005,$W4452)&gt;0),N(U4451),N(U4451)+1))</f>
        <v/>
      </c>
      <c r="V4452" s="19">
        <f>IF($B4452="","",TEXT($B4452,"0000"))</f>
        <v/>
      </c>
      <c r="W4452" s="19">
        <f>IF($I4452="","",IF(ISNUMBER($I4452),TEXT($I4452,"0"),$I4452))</f>
        <v/>
      </c>
    </row>
    <row r="4453">
      <c r="B4453" s="25" t="n"/>
      <c r="I4453" s="25" t="n"/>
      <c r="U4453" s="19">
        <f>IF($V4453&lt;&gt;'設定'!$C$4,N(U4452),IF(OR(NOT(COUNTIF('商品マスタ'!$B$6:$B$1005,$W4453)=0),COUNTIFS('①在庫を貼る'!$V$6:$V$10005,$V4453,'①在庫を貼る'!$W$6:$W$10005,$W4453)&gt;0),N(U4452),N(U4452)+1))</f>
        <v/>
      </c>
      <c r="V4453" s="19">
        <f>IF($B4453="","",TEXT($B4453,"0000"))</f>
        <v/>
      </c>
      <c r="W4453" s="19">
        <f>IF($I4453="","",IF(ISNUMBER($I4453),TEXT($I4453,"0"),$I4453))</f>
        <v/>
      </c>
    </row>
    <row r="4454">
      <c r="B4454" s="25" t="n"/>
      <c r="I4454" s="25" t="n"/>
      <c r="U4454" s="19">
        <f>IF($V4454&lt;&gt;'設定'!$C$4,N(U4453),IF(OR(NOT(COUNTIF('商品マスタ'!$B$6:$B$1005,$W4454)=0),COUNTIFS('①在庫を貼る'!$V$6:$V$10005,$V4454,'①在庫を貼る'!$W$6:$W$10005,$W4454)&gt;0),N(U4453),N(U4453)+1))</f>
        <v/>
      </c>
      <c r="V4454" s="19">
        <f>IF($B4454="","",TEXT($B4454,"0000"))</f>
        <v/>
      </c>
      <c r="W4454" s="19">
        <f>IF($I4454="","",IF(ISNUMBER($I4454),TEXT($I4454,"0"),$I4454))</f>
        <v/>
      </c>
    </row>
    <row r="4455">
      <c r="B4455" s="25" t="n"/>
      <c r="I4455" s="25" t="n"/>
      <c r="U4455" s="19">
        <f>IF($V4455&lt;&gt;'設定'!$C$4,N(U4454),IF(OR(NOT(COUNTIF('商品マスタ'!$B$6:$B$1005,$W4455)=0),COUNTIFS('①在庫を貼る'!$V$6:$V$10005,$V4455,'①在庫を貼る'!$W$6:$W$10005,$W4455)&gt;0),N(U4454),N(U4454)+1))</f>
        <v/>
      </c>
      <c r="V4455" s="19">
        <f>IF($B4455="","",TEXT($B4455,"0000"))</f>
        <v/>
      </c>
      <c r="W4455" s="19">
        <f>IF($I4455="","",IF(ISNUMBER($I4455),TEXT($I4455,"0"),$I4455))</f>
        <v/>
      </c>
    </row>
    <row r="4456">
      <c r="B4456" s="25" t="n"/>
      <c r="I4456" s="25" t="n"/>
      <c r="U4456" s="19">
        <f>IF($V4456&lt;&gt;'設定'!$C$4,N(U4455),IF(OR(NOT(COUNTIF('商品マスタ'!$B$6:$B$1005,$W4456)=0),COUNTIFS('①在庫を貼る'!$V$6:$V$10005,$V4456,'①在庫を貼る'!$W$6:$W$10005,$W4456)&gt;0),N(U4455),N(U4455)+1))</f>
        <v/>
      </c>
      <c r="V4456" s="19">
        <f>IF($B4456="","",TEXT($B4456,"0000"))</f>
        <v/>
      </c>
      <c r="W4456" s="19">
        <f>IF($I4456="","",IF(ISNUMBER($I4456),TEXT($I4456,"0"),$I4456))</f>
        <v/>
      </c>
    </row>
    <row r="4457">
      <c r="B4457" s="25" t="n"/>
      <c r="I4457" s="25" t="n"/>
      <c r="U4457" s="19">
        <f>IF($V4457&lt;&gt;'設定'!$C$4,N(U4456),IF(OR(NOT(COUNTIF('商品マスタ'!$B$6:$B$1005,$W4457)=0),COUNTIFS('①在庫を貼る'!$V$6:$V$10005,$V4457,'①在庫を貼る'!$W$6:$W$10005,$W4457)&gt;0),N(U4456),N(U4456)+1))</f>
        <v/>
      </c>
      <c r="V4457" s="19">
        <f>IF($B4457="","",TEXT($B4457,"0000"))</f>
        <v/>
      </c>
      <c r="W4457" s="19">
        <f>IF($I4457="","",IF(ISNUMBER($I4457),TEXT($I4457,"0"),$I4457))</f>
        <v/>
      </c>
    </row>
    <row r="4458">
      <c r="B4458" s="25" t="n"/>
      <c r="I4458" s="25" t="n"/>
      <c r="U4458" s="19">
        <f>IF($V4458&lt;&gt;'設定'!$C$4,N(U4457),IF(OR(NOT(COUNTIF('商品マスタ'!$B$6:$B$1005,$W4458)=0),COUNTIFS('①在庫を貼る'!$V$6:$V$10005,$V4458,'①在庫を貼る'!$W$6:$W$10005,$W4458)&gt;0),N(U4457),N(U4457)+1))</f>
        <v/>
      </c>
      <c r="V4458" s="19">
        <f>IF($B4458="","",TEXT($B4458,"0000"))</f>
        <v/>
      </c>
      <c r="W4458" s="19">
        <f>IF($I4458="","",IF(ISNUMBER($I4458),TEXT($I4458,"0"),$I4458))</f>
        <v/>
      </c>
    </row>
    <row r="4459">
      <c r="B4459" s="25" t="n"/>
      <c r="I4459" s="25" t="n"/>
      <c r="U4459" s="19">
        <f>IF($V4459&lt;&gt;'設定'!$C$4,N(U4458),IF(OR(NOT(COUNTIF('商品マスタ'!$B$6:$B$1005,$W4459)=0),COUNTIFS('①在庫を貼る'!$V$6:$V$10005,$V4459,'①在庫を貼る'!$W$6:$W$10005,$W4459)&gt;0),N(U4458),N(U4458)+1))</f>
        <v/>
      </c>
      <c r="V4459" s="19">
        <f>IF($B4459="","",TEXT($B4459,"0000"))</f>
        <v/>
      </c>
      <c r="W4459" s="19">
        <f>IF($I4459="","",IF(ISNUMBER($I4459),TEXT($I4459,"0"),$I4459))</f>
        <v/>
      </c>
    </row>
    <row r="4460">
      <c r="B4460" s="25" t="n"/>
      <c r="I4460" s="25" t="n"/>
      <c r="U4460" s="19">
        <f>IF($V4460&lt;&gt;'設定'!$C$4,N(U4459),IF(OR(NOT(COUNTIF('商品マスタ'!$B$6:$B$1005,$W4460)=0),COUNTIFS('①在庫を貼る'!$V$6:$V$10005,$V4460,'①在庫を貼る'!$W$6:$W$10005,$W4460)&gt;0),N(U4459),N(U4459)+1))</f>
        <v/>
      </c>
      <c r="V4460" s="19">
        <f>IF($B4460="","",TEXT($B4460,"0000"))</f>
        <v/>
      </c>
      <c r="W4460" s="19">
        <f>IF($I4460="","",IF(ISNUMBER($I4460),TEXT($I4460,"0"),$I4460))</f>
        <v/>
      </c>
    </row>
    <row r="4461">
      <c r="B4461" s="25" t="n"/>
      <c r="I4461" s="25" t="n"/>
      <c r="U4461" s="19">
        <f>IF($V4461&lt;&gt;'設定'!$C$4,N(U4460),IF(OR(NOT(COUNTIF('商品マスタ'!$B$6:$B$1005,$W4461)=0),COUNTIFS('①在庫を貼る'!$V$6:$V$10005,$V4461,'①在庫を貼る'!$W$6:$W$10005,$W4461)&gt;0),N(U4460),N(U4460)+1))</f>
        <v/>
      </c>
      <c r="V4461" s="19">
        <f>IF($B4461="","",TEXT($B4461,"0000"))</f>
        <v/>
      </c>
      <c r="W4461" s="19">
        <f>IF($I4461="","",IF(ISNUMBER($I4461),TEXT($I4461,"0"),$I4461))</f>
        <v/>
      </c>
    </row>
    <row r="4462">
      <c r="B4462" s="25" t="n"/>
      <c r="I4462" s="25" t="n"/>
      <c r="U4462" s="19">
        <f>IF($V4462&lt;&gt;'設定'!$C$4,N(U4461),IF(OR(NOT(COUNTIF('商品マスタ'!$B$6:$B$1005,$W4462)=0),COUNTIFS('①在庫を貼る'!$V$6:$V$10005,$V4462,'①在庫を貼る'!$W$6:$W$10005,$W4462)&gt;0),N(U4461),N(U4461)+1))</f>
        <v/>
      </c>
      <c r="V4462" s="19">
        <f>IF($B4462="","",TEXT($B4462,"0000"))</f>
        <v/>
      </c>
      <c r="W4462" s="19">
        <f>IF($I4462="","",IF(ISNUMBER($I4462),TEXT($I4462,"0"),$I4462))</f>
        <v/>
      </c>
    </row>
    <row r="4463">
      <c r="B4463" s="25" t="n"/>
      <c r="I4463" s="25" t="n"/>
      <c r="U4463" s="19">
        <f>IF($V4463&lt;&gt;'設定'!$C$4,N(U4462),IF(OR(NOT(COUNTIF('商品マスタ'!$B$6:$B$1005,$W4463)=0),COUNTIFS('①在庫を貼る'!$V$6:$V$10005,$V4463,'①在庫を貼る'!$W$6:$W$10005,$W4463)&gt;0),N(U4462),N(U4462)+1))</f>
        <v/>
      </c>
      <c r="V4463" s="19">
        <f>IF($B4463="","",TEXT($B4463,"0000"))</f>
        <v/>
      </c>
      <c r="W4463" s="19">
        <f>IF($I4463="","",IF(ISNUMBER($I4463),TEXT($I4463,"0"),$I4463))</f>
        <v/>
      </c>
    </row>
    <row r="4464">
      <c r="B4464" s="25" t="n"/>
      <c r="I4464" s="25" t="n"/>
      <c r="U4464" s="19">
        <f>IF($V4464&lt;&gt;'設定'!$C$4,N(U4463),IF(OR(NOT(COUNTIF('商品マスタ'!$B$6:$B$1005,$W4464)=0),COUNTIFS('①在庫を貼る'!$V$6:$V$10005,$V4464,'①在庫を貼る'!$W$6:$W$10005,$W4464)&gt;0),N(U4463),N(U4463)+1))</f>
        <v/>
      </c>
      <c r="V4464" s="19">
        <f>IF($B4464="","",TEXT($B4464,"0000"))</f>
        <v/>
      </c>
      <c r="W4464" s="19">
        <f>IF($I4464="","",IF(ISNUMBER($I4464),TEXT($I4464,"0"),$I4464))</f>
        <v/>
      </c>
    </row>
    <row r="4465">
      <c r="B4465" s="25" t="n"/>
      <c r="I4465" s="25" t="n"/>
      <c r="U4465" s="19">
        <f>IF($V4465&lt;&gt;'設定'!$C$4,N(U4464),IF(OR(NOT(COUNTIF('商品マスタ'!$B$6:$B$1005,$W4465)=0),COUNTIFS('①在庫を貼る'!$V$6:$V$10005,$V4465,'①在庫を貼る'!$W$6:$W$10005,$W4465)&gt;0),N(U4464),N(U4464)+1))</f>
        <v/>
      </c>
      <c r="V4465" s="19">
        <f>IF($B4465="","",TEXT($B4465,"0000"))</f>
        <v/>
      </c>
      <c r="W4465" s="19">
        <f>IF($I4465="","",IF(ISNUMBER($I4465),TEXT($I4465,"0"),$I4465))</f>
        <v/>
      </c>
    </row>
    <row r="4466">
      <c r="B4466" s="25" t="n"/>
      <c r="I4466" s="25" t="n"/>
      <c r="U4466" s="19">
        <f>IF($V4466&lt;&gt;'設定'!$C$4,N(U4465),IF(OR(NOT(COUNTIF('商品マスタ'!$B$6:$B$1005,$W4466)=0),COUNTIFS('①在庫を貼る'!$V$6:$V$10005,$V4466,'①在庫を貼る'!$W$6:$W$10005,$W4466)&gt;0),N(U4465),N(U4465)+1))</f>
        <v/>
      </c>
      <c r="V4466" s="19">
        <f>IF($B4466="","",TEXT($B4466,"0000"))</f>
        <v/>
      </c>
      <c r="W4466" s="19">
        <f>IF($I4466="","",IF(ISNUMBER($I4466),TEXT($I4466,"0"),$I4466))</f>
        <v/>
      </c>
    </row>
    <row r="4467">
      <c r="B4467" s="25" t="n"/>
      <c r="I4467" s="25" t="n"/>
      <c r="U4467" s="19">
        <f>IF($V4467&lt;&gt;'設定'!$C$4,N(U4466),IF(OR(NOT(COUNTIF('商品マスタ'!$B$6:$B$1005,$W4467)=0),COUNTIFS('①在庫を貼る'!$V$6:$V$10005,$V4467,'①在庫を貼る'!$W$6:$W$10005,$W4467)&gt;0),N(U4466),N(U4466)+1))</f>
        <v/>
      </c>
      <c r="V4467" s="19">
        <f>IF($B4467="","",TEXT($B4467,"0000"))</f>
        <v/>
      </c>
      <c r="W4467" s="19">
        <f>IF($I4467="","",IF(ISNUMBER($I4467),TEXT($I4467,"0"),$I4467))</f>
        <v/>
      </c>
    </row>
    <row r="4468">
      <c r="B4468" s="25" t="n"/>
      <c r="I4468" s="25" t="n"/>
      <c r="U4468" s="19">
        <f>IF($V4468&lt;&gt;'設定'!$C$4,N(U4467),IF(OR(NOT(COUNTIF('商品マスタ'!$B$6:$B$1005,$W4468)=0),COUNTIFS('①在庫を貼る'!$V$6:$V$10005,$V4468,'①在庫を貼る'!$W$6:$W$10005,$W4468)&gt;0),N(U4467),N(U4467)+1))</f>
        <v/>
      </c>
      <c r="V4468" s="19">
        <f>IF($B4468="","",TEXT($B4468,"0000"))</f>
        <v/>
      </c>
      <c r="W4468" s="19">
        <f>IF($I4468="","",IF(ISNUMBER($I4468),TEXT($I4468,"0"),$I4468))</f>
        <v/>
      </c>
    </row>
    <row r="4469">
      <c r="B4469" s="25" t="n"/>
      <c r="I4469" s="25" t="n"/>
      <c r="U4469" s="19">
        <f>IF($V4469&lt;&gt;'設定'!$C$4,N(U4468),IF(OR(NOT(COUNTIF('商品マスタ'!$B$6:$B$1005,$W4469)=0),COUNTIFS('①在庫を貼る'!$V$6:$V$10005,$V4469,'①在庫を貼る'!$W$6:$W$10005,$W4469)&gt;0),N(U4468),N(U4468)+1))</f>
        <v/>
      </c>
      <c r="V4469" s="19">
        <f>IF($B4469="","",TEXT($B4469,"0000"))</f>
        <v/>
      </c>
      <c r="W4469" s="19">
        <f>IF($I4469="","",IF(ISNUMBER($I4469),TEXT($I4469,"0"),$I4469))</f>
        <v/>
      </c>
    </row>
    <row r="4470">
      <c r="B4470" s="25" t="n"/>
      <c r="I4470" s="25" t="n"/>
      <c r="U4470" s="19">
        <f>IF($V4470&lt;&gt;'設定'!$C$4,N(U4469),IF(OR(NOT(COUNTIF('商品マスタ'!$B$6:$B$1005,$W4470)=0),COUNTIFS('①在庫を貼る'!$V$6:$V$10005,$V4470,'①在庫を貼る'!$W$6:$W$10005,$W4470)&gt;0),N(U4469),N(U4469)+1))</f>
        <v/>
      </c>
      <c r="V4470" s="19">
        <f>IF($B4470="","",TEXT($B4470,"0000"))</f>
        <v/>
      </c>
      <c r="W4470" s="19">
        <f>IF($I4470="","",IF(ISNUMBER($I4470),TEXT($I4470,"0"),$I4470))</f>
        <v/>
      </c>
    </row>
    <row r="4471">
      <c r="B4471" s="25" t="n"/>
      <c r="I4471" s="25" t="n"/>
      <c r="U4471" s="19">
        <f>IF($V4471&lt;&gt;'設定'!$C$4,N(U4470),IF(OR(NOT(COUNTIF('商品マスタ'!$B$6:$B$1005,$W4471)=0),COUNTIFS('①在庫を貼る'!$V$6:$V$10005,$V4471,'①在庫を貼る'!$W$6:$W$10005,$W4471)&gt;0),N(U4470),N(U4470)+1))</f>
        <v/>
      </c>
      <c r="V4471" s="19">
        <f>IF($B4471="","",TEXT($B4471,"0000"))</f>
        <v/>
      </c>
      <c r="W4471" s="19">
        <f>IF($I4471="","",IF(ISNUMBER($I4471),TEXT($I4471,"0"),$I4471))</f>
        <v/>
      </c>
    </row>
    <row r="4472">
      <c r="B4472" s="25" t="n"/>
      <c r="I4472" s="25" t="n"/>
      <c r="U4472" s="19">
        <f>IF($V4472&lt;&gt;'設定'!$C$4,N(U4471),IF(OR(NOT(COUNTIF('商品マスタ'!$B$6:$B$1005,$W4472)=0),COUNTIFS('①在庫を貼る'!$V$6:$V$10005,$V4472,'①在庫を貼る'!$W$6:$W$10005,$W4472)&gt;0),N(U4471),N(U4471)+1))</f>
        <v/>
      </c>
      <c r="V4472" s="19">
        <f>IF($B4472="","",TEXT($B4472,"0000"))</f>
        <v/>
      </c>
      <c r="W4472" s="19">
        <f>IF($I4472="","",IF(ISNUMBER($I4472),TEXT($I4472,"0"),$I4472))</f>
        <v/>
      </c>
    </row>
    <row r="4473">
      <c r="B4473" s="25" t="n"/>
      <c r="I4473" s="25" t="n"/>
      <c r="U4473" s="19">
        <f>IF($V4473&lt;&gt;'設定'!$C$4,N(U4472),IF(OR(NOT(COUNTIF('商品マスタ'!$B$6:$B$1005,$W4473)=0),COUNTIFS('①在庫を貼る'!$V$6:$V$10005,$V4473,'①在庫を貼る'!$W$6:$W$10005,$W4473)&gt;0),N(U4472),N(U4472)+1))</f>
        <v/>
      </c>
      <c r="V4473" s="19">
        <f>IF($B4473="","",TEXT($B4473,"0000"))</f>
        <v/>
      </c>
      <c r="W4473" s="19">
        <f>IF($I4473="","",IF(ISNUMBER($I4473),TEXT($I4473,"0"),$I4473))</f>
        <v/>
      </c>
    </row>
    <row r="4474">
      <c r="B4474" s="25" t="n"/>
      <c r="I4474" s="25" t="n"/>
      <c r="U4474" s="19">
        <f>IF($V4474&lt;&gt;'設定'!$C$4,N(U4473),IF(OR(NOT(COUNTIF('商品マスタ'!$B$6:$B$1005,$W4474)=0),COUNTIFS('①在庫を貼る'!$V$6:$V$10005,$V4474,'①在庫を貼る'!$W$6:$W$10005,$W4474)&gt;0),N(U4473),N(U4473)+1))</f>
        <v/>
      </c>
      <c r="V4474" s="19">
        <f>IF($B4474="","",TEXT($B4474,"0000"))</f>
        <v/>
      </c>
      <c r="W4474" s="19">
        <f>IF($I4474="","",IF(ISNUMBER($I4474),TEXT($I4474,"0"),$I4474))</f>
        <v/>
      </c>
    </row>
    <row r="4475">
      <c r="B4475" s="25" t="n"/>
      <c r="I4475" s="25" t="n"/>
      <c r="U4475" s="19">
        <f>IF($V4475&lt;&gt;'設定'!$C$4,N(U4474),IF(OR(NOT(COUNTIF('商品マスタ'!$B$6:$B$1005,$W4475)=0),COUNTIFS('①在庫を貼る'!$V$6:$V$10005,$V4475,'①在庫を貼る'!$W$6:$W$10005,$W4475)&gt;0),N(U4474),N(U4474)+1))</f>
        <v/>
      </c>
      <c r="V4475" s="19">
        <f>IF($B4475="","",TEXT($B4475,"0000"))</f>
        <v/>
      </c>
      <c r="W4475" s="19">
        <f>IF($I4475="","",IF(ISNUMBER($I4475),TEXT($I4475,"0"),$I4475))</f>
        <v/>
      </c>
    </row>
    <row r="4476">
      <c r="B4476" s="25" t="n"/>
      <c r="I4476" s="25" t="n"/>
      <c r="U4476" s="19">
        <f>IF($V4476&lt;&gt;'設定'!$C$4,N(U4475),IF(OR(NOT(COUNTIF('商品マスタ'!$B$6:$B$1005,$W4476)=0),COUNTIFS('①在庫を貼る'!$V$6:$V$10005,$V4476,'①在庫を貼る'!$W$6:$W$10005,$W4476)&gt;0),N(U4475),N(U4475)+1))</f>
        <v/>
      </c>
      <c r="V4476" s="19">
        <f>IF($B4476="","",TEXT($B4476,"0000"))</f>
        <v/>
      </c>
      <c r="W4476" s="19">
        <f>IF($I4476="","",IF(ISNUMBER($I4476),TEXT($I4476,"0"),$I4476))</f>
        <v/>
      </c>
    </row>
    <row r="4477">
      <c r="B4477" s="25" t="n"/>
      <c r="I4477" s="25" t="n"/>
      <c r="U4477" s="19">
        <f>IF($V4477&lt;&gt;'設定'!$C$4,N(U4476),IF(OR(NOT(COUNTIF('商品マスタ'!$B$6:$B$1005,$W4477)=0),COUNTIFS('①在庫を貼る'!$V$6:$V$10005,$V4477,'①在庫を貼る'!$W$6:$W$10005,$W4477)&gt;0),N(U4476),N(U4476)+1))</f>
        <v/>
      </c>
      <c r="V4477" s="19">
        <f>IF($B4477="","",TEXT($B4477,"0000"))</f>
        <v/>
      </c>
      <c r="W4477" s="19">
        <f>IF($I4477="","",IF(ISNUMBER($I4477),TEXT($I4477,"0"),$I4477))</f>
        <v/>
      </c>
    </row>
    <row r="4478">
      <c r="B4478" s="25" t="n"/>
      <c r="I4478" s="25" t="n"/>
      <c r="U4478" s="19">
        <f>IF($V4478&lt;&gt;'設定'!$C$4,N(U4477),IF(OR(NOT(COUNTIF('商品マスタ'!$B$6:$B$1005,$W4478)=0),COUNTIFS('①在庫を貼る'!$V$6:$V$10005,$V4478,'①在庫を貼る'!$W$6:$W$10005,$W4478)&gt;0),N(U4477),N(U4477)+1))</f>
        <v/>
      </c>
      <c r="V4478" s="19">
        <f>IF($B4478="","",TEXT($B4478,"0000"))</f>
        <v/>
      </c>
      <c r="W4478" s="19">
        <f>IF($I4478="","",IF(ISNUMBER($I4478),TEXT($I4478,"0"),$I4478))</f>
        <v/>
      </c>
    </row>
    <row r="4479">
      <c r="B4479" s="25" t="n"/>
      <c r="I4479" s="25" t="n"/>
      <c r="U4479" s="19">
        <f>IF($V4479&lt;&gt;'設定'!$C$4,N(U4478),IF(OR(NOT(COUNTIF('商品マスタ'!$B$6:$B$1005,$W4479)=0),COUNTIFS('①在庫を貼る'!$V$6:$V$10005,$V4479,'①在庫を貼る'!$W$6:$W$10005,$W4479)&gt;0),N(U4478),N(U4478)+1))</f>
        <v/>
      </c>
      <c r="V4479" s="19">
        <f>IF($B4479="","",TEXT($B4479,"0000"))</f>
        <v/>
      </c>
      <c r="W4479" s="19">
        <f>IF($I4479="","",IF(ISNUMBER($I4479),TEXT($I4479,"0"),$I4479))</f>
        <v/>
      </c>
    </row>
    <row r="4480">
      <c r="B4480" s="25" t="n"/>
      <c r="I4480" s="25" t="n"/>
      <c r="U4480" s="19">
        <f>IF($V4480&lt;&gt;'設定'!$C$4,N(U4479),IF(OR(NOT(COUNTIF('商品マスタ'!$B$6:$B$1005,$W4480)=0),COUNTIFS('①在庫を貼る'!$V$6:$V$10005,$V4480,'①在庫を貼る'!$W$6:$W$10005,$W4480)&gt;0),N(U4479),N(U4479)+1))</f>
        <v/>
      </c>
      <c r="V4480" s="19">
        <f>IF($B4480="","",TEXT($B4480,"0000"))</f>
        <v/>
      </c>
      <c r="W4480" s="19">
        <f>IF($I4480="","",IF(ISNUMBER($I4480),TEXT($I4480,"0"),$I4480))</f>
        <v/>
      </c>
    </row>
    <row r="4481">
      <c r="B4481" s="25" t="n"/>
      <c r="I4481" s="25" t="n"/>
      <c r="U4481" s="19">
        <f>IF($V4481&lt;&gt;'設定'!$C$4,N(U4480),IF(OR(NOT(COUNTIF('商品マスタ'!$B$6:$B$1005,$W4481)=0),COUNTIFS('①在庫を貼る'!$V$6:$V$10005,$V4481,'①在庫を貼る'!$W$6:$W$10005,$W4481)&gt;0),N(U4480),N(U4480)+1))</f>
        <v/>
      </c>
      <c r="V4481" s="19">
        <f>IF($B4481="","",TEXT($B4481,"0000"))</f>
        <v/>
      </c>
      <c r="W4481" s="19">
        <f>IF($I4481="","",IF(ISNUMBER($I4481),TEXT($I4481,"0"),$I4481))</f>
        <v/>
      </c>
    </row>
    <row r="4482">
      <c r="B4482" s="25" t="n"/>
      <c r="I4482" s="25" t="n"/>
      <c r="U4482" s="19">
        <f>IF($V4482&lt;&gt;'設定'!$C$4,N(U4481),IF(OR(NOT(COUNTIF('商品マスタ'!$B$6:$B$1005,$W4482)=0),COUNTIFS('①在庫を貼る'!$V$6:$V$10005,$V4482,'①在庫を貼る'!$W$6:$W$10005,$W4482)&gt;0),N(U4481),N(U4481)+1))</f>
        <v/>
      </c>
      <c r="V4482" s="19">
        <f>IF($B4482="","",TEXT($B4482,"0000"))</f>
        <v/>
      </c>
      <c r="W4482" s="19">
        <f>IF($I4482="","",IF(ISNUMBER($I4482),TEXT($I4482,"0"),$I4482))</f>
        <v/>
      </c>
    </row>
    <row r="4483">
      <c r="B4483" s="25" t="n"/>
      <c r="I4483" s="25" t="n"/>
      <c r="U4483" s="19">
        <f>IF($V4483&lt;&gt;'設定'!$C$4,N(U4482),IF(OR(NOT(COUNTIF('商品マスタ'!$B$6:$B$1005,$W4483)=0),COUNTIFS('①在庫を貼る'!$V$6:$V$10005,$V4483,'①在庫を貼る'!$W$6:$W$10005,$W4483)&gt;0),N(U4482),N(U4482)+1))</f>
        <v/>
      </c>
      <c r="V4483" s="19">
        <f>IF($B4483="","",TEXT($B4483,"0000"))</f>
        <v/>
      </c>
      <c r="W4483" s="19">
        <f>IF($I4483="","",IF(ISNUMBER($I4483),TEXT($I4483,"0"),$I4483))</f>
        <v/>
      </c>
    </row>
    <row r="4484">
      <c r="B4484" s="25" t="n"/>
      <c r="I4484" s="25" t="n"/>
      <c r="U4484" s="19">
        <f>IF($V4484&lt;&gt;'設定'!$C$4,N(U4483),IF(OR(NOT(COUNTIF('商品マスタ'!$B$6:$B$1005,$W4484)=0),COUNTIFS('①在庫を貼る'!$V$6:$V$10005,$V4484,'①在庫を貼る'!$W$6:$W$10005,$W4484)&gt;0),N(U4483),N(U4483)+1))</f>
        <v/>
      </c>
      <c r="V4484" s="19">
        <f>IF($B4484="","",TEXT($B4484,"0000"))</f>
        <v/>
      </c>
      <c r="W4484" s="19">
        <f>IF($I4484="","",IF(ISNUMBER($I4484),TEXT($I4484,"0"),$I4484))</f>
        <v/>
      </c>
    </row>
    <row r="4485">
      <c r="B4485" s="25" t="n"/>
      <c r="I4485" s="25" t="n"/>
      <c r="U4485" s="19">
        <f>IF($V4485&lt;&gt;'設定'!$C$4,N(U4484),IF(OR(NOT(COUNTIF('商品マスタ'!$B$6:$B$1005,$W4485)=0),COUNTIFS('①在庫を貼る'!$V$6:$V$10005,$V4485,'①在庫を貼る'!$W$6:$W$10005,$W4485)&gt;0),N(U4484),N(U4484)+1))</f>
        <v/>
      </c>
      <c r="V4485" s="19">
        <f>IF($B4485="","",TEXT($B4485,"0000"))</f>
        <v/>
      </c>
      <c r="W4485" s="19">
        <f>IF($I4485="","",IF(ISNUMBER($I4485),TEXT($I4485,"0"),$I4485))</f>
        <v/>
      </c>
    </row>
    <row r="4486">
      <c r="B4486" s="25" t="n"/>
      <c r="I4486" s="25" t="n"/>
      <c r="U4486" s="19">
        <f>IF($V4486&lt;&gt;'設定'!$C$4,N(U4485),IF(OR(NOT(COUNTIF('商品マスタ'!$B$6:$B$1005,$W4486)=0),COUNTIFS('①在庫を貼る'!$V$6:$V$10005,$V4486,'①在庫を貼る'!$W$6:$W$10005,$W4486)&gt;0),N(U4485),N(U4485)+1))</f>
        <v/>
      </c>
      <c r="V4486" s="19">
        <f>IF($B4486="","",TEXT($B4486,"0000"))</f>
        <v/>
      </c>
      <c r="W4486" s="19">
        <f>IF($I4486="","",IF(ISNUMBER($I4486),TEXT($I4486,"0"),$I4486))</f>
        <v/>
      </c>
    </row>
    <row r="4487">
      <c r="B4487" s="25" t="n"/>
      <c r="I4487" s="25" t="n"/>
      <c r="U4487" s="19">
        <f>IF($V4487&lt;&gt;'設定'!$C$4,N(U4486),IF(OR(NOT(COUNTIF('商品マスタ'!$B$6:$B$1005,$W4487)=0),COUNTIFS('①在庫を貼る'!$V$6:$V$10005,$V4487,'①在庫を貼る'!$W$6:$W$10005,$W4487)&gt;0),N(U4486),N(U4486)+1))</f>
        <v/>
      </c>
      <c r="V4487" s="19">
        <f>IF($B4487="","",TEXT($B4487,"0000"))</f>
        <v/>
      </c>
      <c r="W4487" s="19">
        <f>IF($I4487="","",IF(ISNUMBER($I4487),TEXT($I4487,"0"),$I4487))</f>
        <v/>
      </c>
    </row>
    <row r="4488">
      <c r="B4488" s="25" t="n"/>
      <c r="I4488" s="25" t="n"/>
      <c r="U4488" s="19">
        <f>IF($V4488&lt;&gt;'設定'!$C$4,N(U4487),IF(OR(NOT(COUNTIF('商品マスタ'!$B$6:$B$1005,$W4488)=0),COUNTIFS('①在庫を貼る'!$V$6:$V$10005,$V4488,'①在庫を貼る'!$W$6:$W$10005,$W4488)&gt;0),N(U4487),N(U4487)+1))</f>
        <v/>
      </c>
      <c r="V4488" s="19">
        <f>IF($B4488="","",TEXT($B4488,"0000"))</f>
        <v/>
      </c>
      <c r="W4488" s="19">
        <f>IF($I4488="","",IF(ISNUMBER($I4488),TEXT($I4488,"0"),$I4488))</f>
        <v/>
      </c>
    </row>
    <row r="4489">
      <c r="B4489" s="25" t="n"/>
      <c r="I4489" s="25" t="n"/>
      <c r="U4489" s="19">
        <f>IF($V4489&lt;&gt;'設定'!$C$4,N(U4488),IF(OR(NOT(COUNTIF('商品マスタ'!$B$6:$B$1005,$W4489)=0),COUNTIFS('①在庫を貼る'!$V$6:$V$10005,$V4489,'①在庫を貼る'!$W$6:$W$10005,$W4489)&gt;0),N(U4488),N(U4488)+1))</f>
        <v/>
      </c>
      <c r="V4489" s="19">
        <f>IF($B4489="","",TEXT($B4489,"0000"))</f>
        <v/>
      </c>
      <c r="W4489" s="19">
        <f>IF($I4489="","",IF(ISNUMBER($I4489),TEXT($I4489,"0"),$I4489))</f>
        <v/>
      </c>
    </row>
    <row r="4490">
      <c r="B4490" s="25" t="n"/>
      <c r="I4490" s="25" t="n"/>
      <c r="U4490" s="19">
        <f>IF($V4490&lt;&gt;'設定'!$C$4,N(U4489),IF(OR(NOT(COUNTIF('商品マスタ'!$B$6:$B$1005,$W4490)=0),COUNTIFS('①在庫を貼る'!$V$6:$V$10005,$V4490,'①在庫を貼る'!$W$6:$W$10005,$W4490)&gt;0),N(U4489),N(U4489)+1))</f>
        <v/>
      </c>
      <c r="V4490" s="19">
        <f>IF($B4490="","",TEXT($B4490,"0000"))</f>
        <v/>
      </c>
      <c r="W4490" s="19">
        <f>IF($I4490="","",IF(ISNUMBER($I4490),TEXT($I4490,"0"),$I4490))</f>
        <v/>
      </c>
    </row>
    <row r="4491">
      <c r="B4491" s="25" t="n"/>
      <c r="I4491" s="25" t="n"/>
      <c r="U4491" s="19">
        <f>IF($V4491&lt;&gt;'設定'!$C$4,N(U4490),IF(OR(NOT(COUNTIF('商品マスタ'!$B$6:$B$1005,$W4491)=0),COUNTIFS('①在庫を貼る'!$V$6:$V$10005,$V4491,'①在庫を貼る'!$W$6:$W$10005,$W4491)&gt;0),N(U4490),N(U4490)+1))</f>
        <v/>
      </c>
      <c r="V4491" s="19">
        <f>IF($B4491="","",TEXT($B4491,"0000"))</f>
        <v/>
      </c>
      <c r="W4491" s="19">
        <f>IF($I4491="","",IF(ISNUMBER($I4491),TEXT($I4491,"0"),$I4491))</f>
        <v/>
      </c>
    </row>
    <row r="4492">
      <c r="B4492" s="25" t="n"/>
      <c r="I4492" s="25" t="n"/>
      <c r="U4492" s="19">
        <f>IF($V4492&lt;&gt;'設定'!$C$4,N(U4491),IF(OR(NOT(COUNTIF('商品マスタ'!$B$6:$B$1005,$W4492)=0),COUNTIFS('①在庫を貼る'!$V$6:$V$10005,$V4492,'①在庫を貼る'!$W$6:$W$10005,$W4492)&gt;0),N(U4491),N(U4491)+1))</f>
        <v/>
      </c>
      <c r="V4492" s="19">
        <f>IF($B4492="","",TEXT($B4492,"0000"))</f>
        <v/>
      </c>
      <c r="W4492" s="19">
        <f>IF($I4492="","",IF(ISNUMBER($I4492),TEXT($I4492,"0"),$I4492))</f>
        <v/>
      </c>
    </row>
    <row r="4493">
      <c r="B4493" s="25" t="n"/>
      <c r="I4493" s="25" t="n"/>
      <c r="U4493" s="19">
        <f>IF($V4493&lt;&gt;'設定'!$C$4,N(U4492),IF(OR(NOT(COUNTIF('商品マスタ'!$B$6:$B$1005,$W4493)=0),COUNTIFS('①在庫を貼る'!$V$6:$V$10005,$V4493,'①在庫を貼る'!$W$6:$W$10005,$W4493)&gt;0),N(U4492),N(U4492)+1))</f>
        <v/>
      </c>
      <c r="V4493" s="19">
        <f>IF($B4493="","",TEXT($B4493,"0000"))</f>
        <v/>
      </c>
      <c r="W4493" s="19">
        <f>IF($I4493="","",IF(ISNUMBER($I4493),TEXT($I4493,"0"),$I4493))</f>
        <v/>
      </c>
    </row>
    <row r="4494">
      <c r="B4494" s="25" t="n"/>
      <c r="I4494" s="25" t="n"/>
      <c r="U4494" s="19">
        <f>IF($V4494&lt;&gt;'設定'!$C$4,N(U4493),IF(OR(NOT(COUNTIF('商品マスタ'!$B$6:$B$1005,$W4494)=0),COUNTIFS('①在庫を貼る'!$V$6:$V$10005,$V4494,'①在庫を貼る'!$W$6:$W$10005,$W4494)&gt;0),N(U4493),N(U4493)+1))</f>
        <v/>
      </c>
      <c r="V4494" s="19">
        <f>IF($B4494="","",TEXT($B4494,"0000"))</f>
        <v/>
      </c>
      <c r="W4494" s="19">
        <f>IF($I4494="","",IF(ISNUMBER($I4494),TEXT($I4494,"0"),$I4494))</f>
        <v/>
      </c>
    </row>
    <row r="4495">
      <c r="B4495" s="25" t="n"/>
      <c r="I4495" s="25" t="n"/>
      <c r="U4495" s="19">
        <f>IF($V4495&lt;&gt;'設定'!$C$4,N(U4494),IF(OR(NOT(COUNTIF('商品マスタ'!$B$6:$B$1005,$W4495)=0),COUNTIFS('①在庫を貼る'!$V$6:$V$10005,$V4495,'①在庫を貼る'!$W$6:$W$10005,$W4495)&gt;0),N(U4494),N(U4494)+1))</f>
        <v/>
      </c>
      <c r="V4495" s="19">
        <f>IF($B4495="","",TEXT($B4495,"0000"))</f>
        <v/>
      </c>
      <c r="W4495" s="19">
        <f>IF($I4495="","",IF(ISNUMBER($I4495),TEXT($I4495,"0"),$I4495))</f>
        <v/>
      </c>
    </row>
    <row r="4496">
      <c r="B4496" s="25" t="n"/>
      <c r="I4496" s="25" t="n"/>
      <c r="U4496" s="19">
        <f>IF($V4496&lt;&gt;'設定'!$C$4,N(U4495),IF(OR(NOT(COUNTIF('商品マスタ'!$B$6:$B$1005,$W4496)=0),COUNTIFS('①在庫を貼る'!$V$6:$V$10005,$V4496,'①在庫を貼る'!$W$6:$W$10005,$W4496)&gt;0),N(U4495),N(U4495)+1))</f>
        <v/>
      </c>
      <c r="V4496" s="19">
        <f>IF($B4496="","",TEXT($B4496,"0000"))</f>
        <v/>
      </c>
      <c r="W4496" s="19">
        <f>IF($I4496="","",IF(ISNUMBER($I4496),TEXT($I4496,"0"),$I4496))</f>
        <v/>
      </c>
    </row>
    <row r="4497">
      <c r="B4497" s="25" t="n"/>
      <c r="I4497" s="25" t="n"/>
      <c r="U4497" s="19">
        <f>IF($V4497&lt;&gt;'設定'!$C$4,N(U4496),IF(OR(NOT(COUNTIF('商品マスタ'!$B$6:$B$1005,$W4497)=0),COUNTIFS('①在庫を貼る'!$V$6:$V$10005,$V4497,'①在庫を貼る'!$W$6:$W$10005,$W4497)&gt;0),N(U4496),N(U4496)+1))</f>
        <v/>
      </c>
      <c r="V4497" s="19">
        <f>IF($B4497="","",TEXT($B4497,"0000"))</f>
        <v/>
      </c>
      <c r="W4497" s="19">
        <f>IF($I4497="","",IF(ISNUMBER($I4497),TEXT($I4497,"0"),$I4497))</f>
        <v/>
      </c>
    </row>
    <row r="4498">
      <c r="B4498" s="25" t="n"/>
      <c r="I4498" s="25" t="n"/>
      <c r="U4498" s="19">
        <f>IF($V4498&lt;&gt;'設定'!$C$4,N(U4497),IF(OR(NOT(COUNTIF('商品マスタ'!$B$6:$B$1005,$W4498)=0),COUNTIFS('①在庫を貼る'!$V$6:$V$10005,$V4498,'①在庫を貼る'!$W$6:$W$10005,$W4498)&gt;0),N(U4497),N(U4497)+1))</f>
        <v/>
      </c>
      <c r="V4498" s="19">
        <f>IF($B4498="","",TEXT($B4498,"0000"))</f>
        <v/>
      </c>
      <c r="W4498" s="19">
        <f>IF($I4498="","",IF(ISNUMBER($I4498),TEXT($I4498,"0"),$I4498))</f>
        <v/>
      </c>
    </row>
    <row r="4499">
      <c r="B4499" s="25" t="n"/>
      <c r="I4499" s="25" t="n"/>
      <c r="U4499" s="19">
        <f>IF($V4499&lt;&gt;'設定'!$C$4,N(U4498),IF(OR(NOT(COUNTIF('商品マスタ'!$B$6:$B$1005,$W4499)=0),COUNTIFS('①在庫を貼る'!$V$6:$V$10005,$V4499,'①在庫を貼る'!$W$6:$W$10005,$W4499)&gt;0),N(U4498),N(U4498)+1))</f>
        <v/>
      </c>
      <c r="V4499" s="19">
        <f>IF($B4499="","",TEXT($B4499,"0000"))</f>
        <v/>
      </c>
      <c r="W4499" s="19">
        <f>IF($I4499="","",IF(ISNUMBER($I4499),TEXT($I4499,"0"),$I4499))</f>
        <v/>
      </c>
    </row>
    <row r="4500">
      <c r="B4500" s="25" t="n"/>
      <c r="I4500" s="25" t="n"/>
      <c r="U4500" s="19">
        <f>IF($V4500&lt;&gt;'設定'!$C$4,N(U4499),IF(OR(NOT(COUNTIF('商品マスタ'!$B$6:$B$1005,$W4500)=0),COUNTIFS('①在庫を貼る'!$V$6:$V$10005,$V4500,'①在庫を貼る'!$W$6:$W$10005,$W4500)&gt;0),N(U4499),N(U4499)+1))</f>
        <v/>
      </c>
      <c r="V4500" s="19">
        <f>IF($B4500="","",TEXT($B4500,"0000"))</f>
        <v/>
      </c>
      <c r="W4500" s="19">
        <f>IF($I4500="","",IF(ISNUMBER($I4500),TEXT($I4500,"0"),$I4500))</f>
        <v/>
      </c>
    </row>
    <row r="4501">
      <c r="B4501" s="25" t="n"/>
      <c r="I4501" s="25" t="n"/>
      <c r="U4501" s="19">
        <f>IF($V4501&lt;&gt;'設定'!$C$4,N(U4500),IF(OR(NOT(COUNTIF('商品マスタ'!$B$6:$B$1005,$W4501)=0),COUNTIFS('①在庫を貼る'!$V$6:$V$10005,$V4501,'①在庫を貼る'!$W$6:$W$10005,$W4501)&gt;0),N(U4500),N(U4500)+1))</f>
        <v/>
      </c>
      <c r="V4501" s="19">
        <f>IF($B4501="","",TEXT($B4501,"0000"))</f>
        <v/>
      </c>
      <c r="W4501" s="19">
        <f>IF($I4501="","",IF(ISNUMBER($I4501),TEXT($I4501,"0"),$I4501))</f>
        <v/>
      </c>
    </row>
    <row r="4502">
      <c r="B4502" s="25" t="n"/>
      <c r="I4502" s="25" t="n"/>
      <c r="U4502" s="19">
        <f>IF($V4502&lt;&gt;'設定'!$C$4,N(U4501),IF(OR(NOT(COUNTIF('商品マスタ'!$B$6:$B$1005,$W4502)=0),COUNTIFS('①在庫を貼る'!$V$6:$V$10005,$V4502,'①在庫を貼る'!$W$6:$W$10005,$W4502)&gt;0),N(U4501),N(U4501)+1))</f>
        <v/>
      </c>
      <c r="V4502" s="19">
        <f>IF($B4502="","",TEXT($B4502,"0000"))</f>
        <v/>
      </c>
      <c r="W4502" s="19">
        <f>IF($I4502="","",IF(ISNUMBER($I4502),TEXT($I4502,"0"),$I4502))</f>
        <v/>
      </c>
    </row>
    <row r="4503">
      <c r="B4503" s="25" t="n"/>
      <c r="I4503" s="25" t="n"/>
      <c r="U4503" s="19">
        <f>IF($V4503&lt;&gt;'設定'!$C$4,N(U4502),IF(OR(NOT(COUNTIF('商品マスタ'!$B$6:$B$1005,$W4503)=0),COUNTIFS('①在庫を貼る'!$V$6:$V$10005,$V4503,'①在庫を貼る'!$W$6:$W$10005,$W4503)&gt;0),N(U4502),N(U4502)+1))</f>
        <v/>
      </c>
      <c r="V4503" s="19">
        <f>IF($B4503="","",TEXT($B4503,"0000"))</f>
        <v/>
      </c>
      <c r="W4503" s="19">
        <f>IF($I4503="","",IF(ISNUMBER($I4503),TEXT($I4503,"0"),$I4503))</f>
        <v/>
      </c>
    </row>
    <row r="4504">
      <c r="B4504" s="25" t="n"/>
      <c r="I4504" s="25" t="n"/>
      <c r="U4504" s="19">
        <f>IF($V4504&lt;&gt;'設定'!$C$4,N(U4503),IF(OR(NOT(COUNTIF('商品マスタ'!$B$6:$B$1005,$W4504)=0),COUNTIFS('①在庫を貼る'!$V$6:$V$10005,$V4504,'①在庫を貼る'!$W$6:$W$10005,$W4504)&gt;0),N(U4503),N(U4503)+1))</f>
        <v/>
      </c>
      <c r="V4504" s="19">
        <f>IF($B4504="","",TEXT($B4504,"0000"))</f>
        <v/>
      </c>
      <c r="W4504" s="19">
        <f>IF($I4504="","",IF(ISNUMBER($I4504),TEXT($I4504,"0"),$I4504))</f>
        <v/>
      </c>
    </row>
    <row r="4505">
      <c r="B4505" s="25" t="n"/>
      <c r="I4505" s="25" t="n"/>
      <c r="U4505" s="19">
        <f>IF($V4505&lt;&gt;'設定'!$C$4,N(U4504),IF(OR(NOT(COUNTIF('商品マスタ'!$B$6:$B$1005,$W4505)=0),COUNTIFS('①在庫を貼る'!$V$6:$V$10005,$V4505,'①在庫を貼る'!$W$6:$W$10005,$W4505)&gt;0),N(U4504),N(U4504)+1))</f>
        <v/>
      </c>
      <c r="V4505" s="19">
        <f>IF($B4505="","",TEXT($B4505,"0000"))</f>
        <v/>
      </c>
      <c r="W4505" s="19">
        <f>IF($I4505="","",IF(ISNUMBER($I4505),TEXT($I4505,"0"),$I4505))</f>
        <v/>
      </c>
    </row>
    <row r="4506">
      <c r="B4506" s="25" t="n"/>
      <c r="I4506" s="25" t="n"/>
      <c r="U4506" s="19">
        <f>IF($V4506&lt;&gt;'設定'!$C$4,N(U4505),IF(OR(NOT(COUNTIF('商品マスタ'!$B$6:$B$1005,$W4506)=0),COUNTIFS('①在庫を貼る'!$V$6:$V$10005,$V4506,'①在庫を貼る'!$W$6:$W$10005,$W4506)&gt;0),N(U4505),N(U4505)+1))</f>
        <v/>
      </c>
      <c r="V4506" s="19">
        <f>IF($B4506="","",TEXT($B4506,"0000"))</f>
        <v/>
      </c>
      <c r="W4506" s="19">
        <f>IF($I4506="","",IF(ISNUMBER($I4506),TEXT($I4506,"0"),$I4506))</f>
        <v/>
      </c>
    </row>
    <row r="4507">
      <c r="B4507" s="25" t="n"/>
      <c r="I4507" s="25" t="n"/>
      <c r="U4507" s="19">
        <f>IF($V4507&lt;&gt;'設定'!$C$4,N(U4506),IF(OR(NOT(COUNTIF('商品マスタ'!$B$6:$B$1005,$W4507)=0),COUNTIFS('①在庫を貼る'!$V$6:$V$10005,$V4507,'①在庫を貼る'!$W$6:$W$10005,$W4507)&gt;0),N(U4506),N(U4506)+1))</f>
        <v/>
      </c>
      <c r="V4507" s="19">
        <f>IF($B4507="","",TEXT($B4507,"0000"))</f>
        <v/>
      </c>
      <c r="W4507" s="19">
        <f>IF($I4507="","",IF(ISNUMBER($I4507),TEXT($I4507,"0"),$I4507))</f>
        <v/>
      </c>
    </row>
    <row r="4508">
      <c r="B4508" s="25" t="n"/>
      <c r="I4508" s="25" t="n"/>
      <c r="U4508" s="19">
        <f>IF($V4508&lt;&gt;'設定'!$C$4,N(U4507),IF(OR(NOT(COUNTIF('商品マスタ'!$B$6:$B$1005,$W4508)=0),COUNTIFS('①在庫を貼る'!$V$6:$V$10005,$V4508,'①在庫を貼る'!$W$6:$W$10005,$W4508)&gt;0),N(U4507),N(U4507)+1))</f>
        <v/>
      </c>
      <c r="V4508" s="19">
        <f>IF($B4508="","",TEXT($B4508,"0000"))</f>
        <v/>
      </c>
      <c r="W4508" s="19">
        <f>IF($I4508="","",IF(ISNUMBER($I4508),TEXT($I4508,"0"),$I4508))</f>
        <v/>
      </c>
    </row>
    <row r="4509">
      <c r="B4509" s="25" t="n"/>
      <c r="I4509" s="25" t="n"/>
      <c r="U4509" s="19">
        <f>IF($V4509&lt;&gt;'設定'!$C$4,N(U4508),IF(OR(NOT(COUNTIF('商品マスタ'!$B$6:$B$1005,$W4509)=0),COUNTIFS('①在庫を貼る'!$V$6:$V$10005,$V4509,'①在庫を貼る'!$W$6:$W$10005,$W4509)&gt;0),N(U4508),N(U4508)+1))</f>
        <v/>
      </c>
      <c r="V4509" s="19">
        <f>IF($B4509="","",TEXT($B4509,"0000"))</f>
        <v/>
      </c>
      <c r="W4509" s="19">
        <f>IF($I4509="","",IF(ISNUMBER($I4509),TEXT($I4509,"0"),$I4509))</f>
        <v/>
      </c>
    </row>
    <row r="4510">
      <c r="B4510" s="25" t="n"/>
      <c r="I4510" s="25" t="n"/>
      <c r="U4510" s="19">
        <f>IF($V4510&lt;&gt;'設定'!$C$4,N(U4509),IF(OR(NOT(COUNTIF('商品マスタ'!$B$6:$B$1005,$W4510)=0),COUNTIFS('①在庫を貼る'!$V$6:$V$10005,$V4510,'①在庫を貼る'!$W$6:$W$10005,$W4510)&gt;0),N(U4509),N(U4509)+1))</f>
        <v/>
      </c>
      <c r="V4510" s="19">
        <f>IF($B4510="","",TEXT($B4510,"0000"))</f>
        <v/>
      </c>
      <c r="W4510" s="19">
        <f>IF($I4510="","",IF(ISNUMBER($I4510),TEXT($I4510,"0"),$I4510))</f>
        <v/>
      </c>
    </row>
    <row r="4511">
      <c r="B4511" s="25" t="n"/>
      <c r="I4511" s="25" t="n"/>
      <c r="U4511" s="19">
        <f>IF($V4511&lt;&gt;'設定'!$C$4,N(U4510),IF(OR(NOT(COUNTIF('商品マスタ'!$B$6:$B$1005,$W4511)=0),COUNTIFS('①在庫を貼る'!$V$6:$V$10005,$V4511,'①在庫を貼る'!$W$6:$W$10005,$W4511)&gt;0),N(U4510),N(U4510)+1))</f>
        <v/>
      </c>
      <c r="V4511" s="19">
        <f>IF($B4511="","",TEXT($B4511,"0000"))</f>
        <v/>
      </c>
      <c r="W4511" s="19">
        <f>IF($I4511="","",IF(ISNUMBER($I4511),TEXT($I4511,"0"),$I4511))</f>
        <v/>
      </c>
    </row>
    <row r="4512">
      <c r="B4512" s="25" t="n"/>
      <c r="I4512" s="25" t="n"/>
      <c r="U4512" s="19">
        <f>IF($V4512&lt;&gt;'設定'!$C$4,N(U4511),IF(OR(NOT(COUNTIF('商品マスタ'!$B$6:$B$1005,$W4512)=0),COUNTIFS('①在庫を貼る'!$V$6:$V$10005,$V4512,'①在庫を貼る'!$W$6:$W$10005,$W4512)&gt;0),N(U4511),N(U4511)+1))</f>
        <v/>
      </c>
      <c r="V4512" s="19">
        <f>IF($B4512="","",TEXT($B4512,"0000"))</f>
        <v/>
      </c>
      <c r="W4512" s="19">
        <f>IF($I4512="","",IF(ISNUMBER($I4512),TEXT($I4512,"0"),$I4512))</f>
        <v/>
      </c>
    </row>
    <row r="4513">
      <c r="B4513" s="25" t="n"/>
      <c r="I4513" s="25" t="n"/>
      <c r="U4513" s="19">
        <f>IF($V4513&lt;&gt;'設定'!$C$4,N(U4512),IF(OR(NOT(COUNTIF('商品マスタ'!$B$6:$B$1005,$W4513)=0),COUNTIFS('①在庫を貼る'!$V$6:$V$10005,$V4513,'①在庫を貼る'!$W$6:$W$10005,$W4513)&gt;0),N(U4512),N(U4512)+1))</f>
        <v/>
      </c>
      <c r="V4513" s="19">
        <f>IF($B4513="","",TEXT($B4513,"0000"))</f>
        <v/>
      </c>
      <c r="W4513" s="19">
        <f>IF($I4513="","",IF(ISNUMBER($I4513),TEXT($I4513,"0"),$I4513))</f>
        <v/>
      </c>
    </row>
    <row r="4514">
      <c r="B4514" s="25" t="n"/>
      <c r="I4514" s="25" t="n"/>
      <c r="U4514" s="19">
        <f>IF($V4514&lt;&gt;'設定'!$C$4,N(U4513),IF(OR(NOT(COUNTIF('商品マスタ'!$B$6:$B$1005,$W4514)=0),COUNTIFS('①在庫を貼る'!$V$6:$V$10005,$V4514,'①在庫を貼る'!$W$6:$W$10005,$W4514)&gt;0),N(U4513),N(U4513)+1))</f>
        <v/>
      </c>
      <c r="V4514" s="19">
        <f>IF($B4514="","",TEXT($B4514,"0000"))</f>
        <v/>
      </c>
      <c r="W4514" s="19">
        <f>IF($I4514="","",IF(ISNUMBER($I4514),TEXT($I4514,"0"),$I4514))</f>
        <v/>
      </c>
    </row>
    <row r="4515">
      <c r="B4515" s="25" t="n"/>
      <c r="I4515" s="25" t="n"/>
      <c r="U4515" s="19">
        <f>IF($V4515&lt;&gt;'設定'!$C$4,N(U4514),IF(OR(NOT(COUNTIF('商品マスタ'!$B$6:$B$1005,$W4515)=0),COUNTIFS('①在庫を貼る'!$V$6:$V$10005,$V4515,'①在庫を貼る'!$W$6:$W$10005,$W4515)&gt;0),N(U4514),N(U4514)+1))</f>
        <v/>
      </c>
      <c r="V4515" s="19">
        <f>IF($B4515="","",TEXT($B4515,"0000"))</f>
        <v/>
      </c>
      <c r="W4515" s="19">
        <f>IF($I4515="","",IF(ISNUMBER($I4515),TEXT($I4515,"0"),$I4515))</f>
        <v/>
      </c>
    </row>
    <row r="4516">
      <c r="B4516" s="25" t="n"/>
      <c r="I4516" s="25" t="n"/>
      <c r="U4516" s="19">
        <f>IF($V4516&lt;&gt;'設定'!$C$4,N(U4515),IF(OR(NOT(COUNTIF('商品マスタ'!$B$6:$B$1005,$W4516)=0),COUNTIFS('①在庫を貼る'!$V$6:$V$10005,$V4516,'①在庫を貼る'!$W$6:$W$10005,$W4516)&gt;0),N(U4515),N(U4515)+1))</f>
        <v/>
      </c>
      <c r="V4516" s="19">
        <f>IF($B4516="","",TEXT($B4516,"0000"))</f>
        <v/>
      </c>
      <c r="W4516" s="19">
        <f>IF($I4516="","",IF(ISNUMBER($I4516),TEXT($I4516,"0"),$I4516))</f>
        <v/>
      </c>
    </row>
    <row r="4517">
      <c r="B4517" s="25" t="n"/>
      <c r="I4517" s="25" t="n"/>
      <c r="U4517" s="19">
        <f>IF($V4517&lt;&gt;'設定'!$C$4,N(U4516),IF(OR(NOT(COUNTIF('商品マスタ'!$B$6:$B$1005,$W4517)=0),COUNTIFS('①在庫を貼る'!$V$6:$V$10005,$V4517,'①在庫を貼る'!$W$6:$W$10005,$W4517)&gt;0),N(U4516),N(U4516)+1))</f>
        <v/>
      </c>
      <c r="V4517" s="19">
        <f>IF($B4517="","",TEXT($B4517,"0000"))</f>
        <v/>
      </c>
      <c r="W4517" s="19">
        <f>IF($I4517="","",IF(ISNUMBER($I4517),TEXT($I4517,"0"),$I4517))</f>
        <v/>
      </c>
    </row>
    <row r="4518">
      <c r="B4518" s="25" t="n"/>
      <c r="I4518" s="25" t="n"/>
      <c r="U4518" s="19">
        <f>IF($V4518&lt;&gt;'設定'!$C$4,N(U4517),IF(OR(NOT(COUNTIF('商品マスタ'!$B$6:$B$1005,$W4518)=0),COUNTIFS('①在庫を貼る'!$V$6:$V$10005,$V4518,'①在庫を貼る'!$W$6:$W$10005,$W4518)&gt;0),N(U4517),N(U4517)+1))</f>
        <v/>
      </c>
      <c r="V4518" s="19">
        <f>IF($B4518="","",TEXT($B4518,"0000"))</f>
        <v/>
      </c>
      <c r="W4518" s="19">
        <f>IF($I4518="","",IF(ISNUMBER($I4518),TEXT($I4518,"0"),$I4518))</f>
        <v/>
      </c>
    </row>
    <row r="4519">
      <c r="B4519" s="25" t="n"/>
      <c r="I4519" s="25" t="n"/>
      <c r="U4519" s="19">
        <f>IF($V4519&lt;&gt;'設定'!$C$4,N(U4518),IF(OR(NOT(COUNTIF('商品マスタ'!$B$6:$B$1005,$W4519)=0),COUNTIFS('①在庫を貼る'!$V$6:$V$10005,$V4519,'①在庫を貼る'!$W$6:$W$10005,$W4519)&gt;0),N(U4518),N(U4518)+1))</f>
        <v/>
      </c>
      <c r="V4519" s="19">
        <f>IF($B4519="","",TEXT($B4519,"0000"))</f>
        <v/>
      </c>
      <c r="W4519" s="19">
        <f>IF($I4519="","",IF(ISNUMBER($I4519),TEXT($I4519,"0"),$I4519))</f>
        <v/>
      </c>
    </row>
    <row r="4520">
      <c r="B4520" s="25" t="n"/>
      <c r="I4520" s="25" t="n"/>
      <c r="U4520" s="19">
        <f>IF($V4520&lt;&gt;'設定'!$C$4,N(U4519),IF(OR(NOT(COUNTIF('商品マスタ'!$B$6:$B$1005,$W4520)=0),COUNTIFS('①在庫を貼る'!$V$6:$V$10005,$V4520,'①在庫を貼る'!$W$6:$W$10005,$W4520)&gt;0),N(U4519),N(U4519)+1))</f>
        <v/>
      </c>
      <c r="V4520" s="19">
        <f>IF($B4520="","",TEXT($B4520,"0000"))</f>
        <v/>
      </c>
      <c r="W4520" s="19">
        <f>IF($I4520="","",IF(ISNUMBER($I4520),TEXT($I4520,"0"),$I4520))</f>
        <v/>
      </c>
    </row>
    <row r="4521">
      <c r="B4521" s="25" t="n"/>
      <c r="I4521" s="25" t="n"/>
      <c r="U4521" s="19">
        <f>IF($V4521&lt;&gt;'設定'!$C$4,N(U4520),IF(OR(NOT(COUNTIF('商品マスタ'!$B$6:$B$1005,$W4521)=0),COUNTIFS('①在庫を貼る'!$V$6:$V$10005,$V4521,'①在庫を貼る'!$W$6:$W$10005,$W4521)&gt;0),N(U4520),N(U4520)+1))</f>
        <v/>
      </c>
      <c r="V4521" s="19">
        <f>IF($B4521="","",TEXT($B4521,"0000"))</f>
        <v/>
      </c>
      <c r="W4521" s="19">
        <f>IF($I4521="","",IF(ISNUMBER($I4521),TEXT($I4521,"0"),$I4521))</f>
        <v/>
      </c>
    </row>
    <row r="4522">
      <c r="B4522" s="25" t="n"/>
      <c r="I4522" s="25" t="n"/>
      <c r="U4522" s="19">
        <f>IF($V4522&lt;&gt;'設定'!$C$4,N(U4521),IF(OR(NOT(COUNTIF('商品マスタ'!$B$6:$B$1005,$W4522)=0),COUNTIFS('①在庫を貼る'!$V$6:$V$10005,$V4522,'①在庫を貼る'!$W$6:$W$10005,$W4522)&gt;0),N(U4521),N(U4521)+1))</f>
        <v/>
      </c>
      <c r="V4522" s="19">
        <f>IF($B4522="","",TEXT($B4522,"0000"))</f>
        <v/>
      </c>
      <c r="W4522" s="19">
        <f>IF($I4522="","",IF(ISNUMBER($I4522),TEXT($I4522,"0"),$I4522))</f>
        <v/>
      </c>
    </row>
    <row r="4523">
      <c r="B4523" s="25" t="n"/>
      <c r="I4523" s="25" t="n"/>
      <c r="U4523" s="19">
        <f>IF($V4523&lt;&gt;'設定'!$C$4,N(U4522),IF(OR(NOT(COUNTIF('商品マスタ'!$B$6:$B$1005,$W4523)=0),COUNTIFS('①在庫を貼る'!$V$6:$V$10005,$V4523,'①在庫を貼る'!$W$6:$W$10005,$W4523)&gt;0),N(U4522),N(U4522)+1))</f>
        <v/>
      </c>
      <c r="V4523" s="19">
        <f>IF($B4523="","",TEXT($B4523,"0000"))</f>
        <v/>
      </c>
      <c r="W4523" s="19">
        <f>IF($I4523="","",IF(ISNUMBER($I4523),TEXT($I4523,"0"),$I4523))</f>
        <v/>
      </c>
    </row>
    <row r="4524">
      <c r="B4524" s="25" t="n"/>
      <c r="I4524" s="25" t="n"/>
      <c r="U4524" s="19">
        <f>IF($V4524&lt;&gt;'設定'!$C$4,N(U4523),IF(OR(NOT(COUNTIF('商品マスタ'!$B$6:$B$1005,$W4524)=0),COUNTIFS('①在庫を貼る'!$V$6:$V$10005,$V4524,'①在庫を貼る'!$W$6:$W$10005,$W4524)&gt;0),N(U4523),N(U4523)+1))</f>
        <v/>
      </c>
      <c r="V4524" s="19">
        <f>IF($B4524="","",TEXT($B4524,"0000"))</f>
        <v/>
      </c>
      <c r="W4524" s="19">
        <f>IF($I4524="","",IF(ISNUMBER($I4524),TEXT($I4524,"0"),$I4524))</f>
        <v/>
      </c>
    </row>
    <row r="4525">
      <c r="B4525" s="25" t="n"/>
      <c r="I4525" s="25" t="n"/>
      <c r="U4525" s="19">
        <f>IF($V4525&lt;&gt;'設定'!$C$4,N(U4524),IF(OR(NOT(COUNTIF('商品マスタ'!$B$6:$B$1005,$W4525)=0),COUNTIFS('①在庫を貼る'!$V$6:$V$10005,$V4525,'①在庫を貼る'!$W$6:$W$10005,$W4525)&gt;0),N(U4524),N(U4524)+1))</f>
        <v/>
      </c>
      <c r="V4525" s="19">
        <f>IF($B4525="","",TEXT($B4525,"0000"))</f>
        <v/>
      </c>
      <c r="W4525" s="19">
        <f>IF($I4525="","",IF(ISNUMBER($I4525),TEXT($I4525,"0"),$I4525))</f>
        <v/>
      </c>
    </row>
    <row r="4526">
      <c r="B4526" s="25" t="n"/>
      <c r="I4526" s="25" t="n"/>
      <c r="U4526" s="19">
        <f>IF($V4526&lt;&gt;'設定'!$C$4,N(U4525),IF(OR(NOT(COUNTIF('商品マスタ'!$B$6:$B$1005,$W4526)=0),COUNTIFS('①在庫を貼る'!$V$6:$V$10005,$V4526,'①在庫を貼る'!$W$6:$W$10005,$W4526)&gt;0),N(U4525),N(U4525)+1))</f>
        <v/>
      </c>
      <c r="V4526" s="19">
        <f>IF($B4526="","",TEXT($B4526,"0000"))</f>
        <v/>
      </c>
      <c r="W4526" s="19">
        <f>IF($I4526="","",IF(ISNUMBER($I4526),TEXT($I4526,"0"),$I4526))</f>
        <v/>
      </c>
    </row>
    <row r="4527">
      <c r="B4527" s="25" t="n"/>
      <c r="I4527" s="25" t="n"/>
      <c r="U4527" s="19">
        <f>IF($V4527&lt;&gt;'設定'!$C$4,N(U4526),IF(OR(NOT(COUNTIF('商品マスタ'!$B$6:$B$1005,$W4527)=0),COUNTIFS('①在庫を貼る'!$V$6:$V$10005,$V4527,'①在庫を貼る'!$W$6:$W$10005,$W4527)&gt;0),N(U4526),N(U4526)+1))</f>
        <v/>
      </c>
      <c r="V4527" s="19">
        <f>IF($B4527="","",TEXT($B4527,"0000"))</f>
        <v/>
      </c>
      <c r="W4527" s="19">
        <f>IF($I4527="","",IF(ISNUMBER($I4527),TEXT($I4527,"0"),$I4527))</f>
        <v/>
      </c>
    </row>
    <row r="4528">
      <c r="B4528" s="25" t="n"/>
      <c r="I4528" s="25" t="n"/>
      <c r="U4528" s="19">
        <f>IF($V4528&lt;&gt;'設定'!$C$4,N(U4527),IF(OR(NOT(COUNTIF('商品マスタ'!$B$6:$B$1005,$W4528)=0),COUNTIFS('①在庫を貼る'!$V$6:$V$10005,$V4528,'①在庫を貼る'!$W$6:$W$10005,$W4528)&gt;0),N(U4527),N(U4527)+1))</f>
        <v/>
      </c>
      <c r="V4528" s="19">
        <f>IF($B4528="","",TEXT($B4528,"0000"))</f>
        <v/>
      </c>
      <c r="W4528" s="19">
        <f>IF($I4528="","",IF(ISNUMBER($I4528),TEXT($I4528,"0"),$I4528))</f>
        <v/>
      </c>
    </row>
    <row r="4529">
      <c r="B4529" s="25" t="n"/>
      <c r="I4529" s="25" t="n"/>
      <c r="U4529" s="19">
        <f>IF($V4529&lt;&gt;'設定'!$C$4,N(U4528),IF(OR(NOT(COUNTIF('商品マスタ'!$B$6:$B$1005,$W4529)=0),COUNTIFS('①在庫を貼る'!$V$6:$V$10005,$V4529,'①在庫を貼る'!$W$6:$W$10005,$W4529)&gt;0),N(U4528),N(U4528)+1))</f>
        <v/>
      </c>
      <c r="V4529" s="19">
        <f>IF($B4529="","",TEXT($B4529,"0000"))</f>
        <v/>
      </c>
      <c r="W4529" s="19">
        <f>IF($I4529="","",IF(ISNUMBER($I4529),TEXT($I4529,"0"),$I4529))</f>
        <v/>
      </c>
    </row>
    <row r="4530">
      <c r="B4530" s="25" t="n"/>
      <c r="I4530" s="25" t="n"/>
      <c r="U4530" s="19">
        <f>IF($V4530&lt;&gt;'設定'!$C$4,N(U4529),IF(OR(NOT(COUNTIF('商品マスタ'!$B$6:$B$1005,$W4530)=0),COUNTIFS('①在庫を貼る'!$V$6:$V$10005,$V4530,'①在庫を貼る'!$W$6:$W$10005,$W4530)&gt;0),N(U4529),N(U4529)+1))</f>
        <v/>
      </c>
      <c r="V4530" s="19">
        <f>IF($B4530="","",TEXT($B4530,"0000"))</f>
        <v/>
      </c>
      <c r="W4530" s="19">
        <f>IF($I4530="","",IF(ISNUMBER($I4530),TEXT($I4530,"0"),$I4530))</f>
        <v/>
      </c>
    </row>
    <row r="4531">
      <c r="B4531" s="25" t="n"/>
      <c r="I4531" s="25" t="n"/>
      <c r="U4531" s="19">
        <f>IF($V4531&lt;&gt;'設定'!$C$4,N(U4530),IF(OR(NOT(COUNTIF('商品マスタ'!$B$6:$B$1005,$W4531)=0),COUNTIFS('①在庫を貼る'!$V$6:$V$10005,$V4531,'①在庫を貼る'!$W$6:$W$10005,$W4531)&gt;0),N(U4530),N(U4530)+1))</f>
        <v/>
      </c>
      <c r="V4531" s="19">
        <f>IF($B4531="","",TEXT($B4531,"0000"))</f>
        <v/>
      </c>
      <c r="W4531" s="19">
        <f>IF($I4531="","",IF(ISNUMBER($I4531),TEXT($I4531,"0"),$I4531))</f>
        <v/>
      </c>
    </row>
    <row r="4532">
      <c r="B4532" s="25" t="n"/>
      <c r="I4532" s="25" t="n"/>
      <c r="U4532" s="19">
        <f>IF($V4532&lt;&gt;'設定'!$C$4,N(U4531),IF(OR(NOT(COUNTIF('商品マスタ'!$B$6:$B$1005,$W4532)=0),COUNTIFS('①在庫を貼る'!$V$6:$V$10005,$V4532,'①在庫を貼る'!$W$6:$W$10005,$W4532)&gt;0),N(U4531),N(U4531)+1))</f>
        <v/>
      </c>
      <c r="V4532" s="19">
        <f>IF($B4532="","",TEXT($B4532,"0000"))</f>
        <v/>
      </c>
      <c r="W4532" s="19">
        <f>IF($I4532="","",IF(ISNUMBER($I4532),TEXT($I4532,"0"),$I4532))</f>
        <v/>
      </c>
    </row>
    <row r="4533">
      <c r="B4533" s="25" t="n"/>
      <c r="I4533" s="25" t="n"/>
      <c r="U4533" s="19">
        <f>IF($V4533&lt;&gt;'設定'!$C$4,N(U4532),IF(OR(NOT(COUNTIF('商品マスタ'!$B$6:$B$1005,$W4533)=0),COUNTIFS('①在庫を貼る'!$V$6:$V$10005,$V4533,'①在庫を貼る'!$W$6:$W$10005,$W4533)&gt;0),N(U4532),N(U4532)+1))</f>
        <v/>
      </c>
      <c r="V4533" s="19">
        <f>IF($B4533="","",TEXT($B4533,"0000"))</f>
        <v/>
      </c>
      <c r="W4533" s="19">
        <f>IF($I4533="","",IF(ISNUMBER($I4533),TEXT($I4533,"0"),$I4533))</f>
        <v/>
      </c>
    </row>
    <row r="4534">
      <c r="B4534" s="25" t="n"/>
      <c r="I4534" s="25" t="n"/>
      <c r="U4534" s="19">
        <f>IF($V4534&lt;&gt;'設定'!$C$4,N(U4533),IF(OR(NOT(COUNTIF('商品マスタ'!$B$6:$B$1005,$W4534)=0),COUNTIFS('①在庫を貼る'!$V$6:$V$10005,$V4534,'①在庫を貼る'!$W$6:$W$10005,$W4534)&gt;0),N(U4533),N(U4533)+1))</f>
        <v/>
      </c>
      <c r="V4534" s="19">
        <f>IF($B4534="","",TEXT($B4534,"0000"))</f>
        <v/>
      </c>
      <c r="W4534" s="19">
        <f>IF($I4534="","",IF(ISNUMBER($I4534),TEXT($I4534,"0"),$I4534))</f>
        <v/>
      </c>
    </row>
    <row r="4535">
      <c r="B4535" s="25" t="n"/>
      <c r="I4535" s="25" t="n"/>
      <c r="U4535" s="19">
        <f>IF($V4535&lt;&gt;'設定'!$C$4,N(U4534),IF(OR(NOT(COUNTIF('商品マスタ'!$B$6:$B$1005,$W4535)=0),COUNTIFS('①在庫を貼る'!$V$6:$V$10005,$V4535,'①在庫を貼る'!$W$6:$W$10005,$W4535)&gt;0),N(U4534),N(U4534)+1))</f>
        <v/>
      </c>
      <c r="V4535" s="19">
        <f>IF($B4535="","",TEXT($B4535,"0000"))</f>
        <v/>
      </c>
      <c r="W4535" s="19">
        <f>IF($I4535="","",IF(ISNUMBER($I4535),TEXT($I4535,"0"),$I4535))</f>
        <v/>
      </c>
    </row>
    <row r="4536">
      <c r="B4536" s="25" t="n"/>
      <c r="I4536" s="25" t="n"/>
      <c r="U4536" s="19">
        <f>IF($V4536&lt;&gt;'設定'!$C$4,N(U4535),IF(OR(NOT(COUNTIF('商品マスタ'!$B$6:$B$1005,$W4536)=0),COUNTIFS('①在庫を貼る'!$V$6:$V$10005,$V4536,'①在庫を貼る'!$W$6:$W$10005,$W4536)&gt;0),N(U4535),N(U4535)+1))</f>
        <v/>
      </c>
      <c r="V4536" s="19">
        <f>IF($B4536="","",TEXT($B4536,"0000"))</f>
        <v/>
      </c>
      <c r="W4536" s="19">
        <f>IF($I4536="","",IF(ISNUMBER($I4536),TEXT($I4536,"0"),$I4536))</f>
        <v/>
      </c>
    </row>
    <row r="4537">
      <c r="B4537" s="25" t="n"/>
      <c r="I4537" s="25" t="n"/>
      <c r="U4537" s="19">
        <f>IF($V4537&lt;&gt;'設定'!$C$4,N(U4536),IF(OR(NOT(COUNTIF('商品マスタ'!$B$6:$B$1005,$W4537)=0),COUNTIFS('①在庫を貼る'!$V$6:$V$10005,$V4537,'①在庫を貼る'!$W$6:$W$10005,$W4537)&gt;0),N(U4536),N(U4536)+1))</f>
        <v/>
      </c>
      <c r="V4537" s="19">
        <f>IF($B4537="","",TEXT($B4537,"0000"))</f>
        <v/>
      </c>
      <c r="W4537" s="19">
        <f>IF($I4537="","",IF(ISNUMBER($I4537),TEXT($I4537,"0"),$I4537))</f>
        <v/>
      </c>
    </row>
    <row r="4538">
      <c r="B4538" s="25" t="n"/>
      <c r="I4538" s="25" t="n"/>
      <c r="U4538" s="19">
        <f>IF($V4538&lt;&gt;'設定'!$C$4,N(U4537),IF(OR(NOT(COUNTIF('商品マスタ'!$B$6:$B$1005,$W4538)=0),COUNTIFS('①在庫を貼る'!$V$6:$V$10005,$V4538,'①在庫を貼る'!$W$6:$W$10005,$W4538)&gt;0),N(U4537),N(U4537)+1))</f>
        <v/>
      </c>
      <c r="V4538" s="19">
        <f>IF($B4538="","",TEXT($B4538,"0000"))</f>
        <v/>
      </c>
      <c r="W4538" s="19">
        <f>IF($I4538="","",IF(ISNUMBER($I4538),TEXT($I4538,"0"),$I4538))</f>
        <v/>
      </c>
    </row>
    <row r="4539">
      <c r="B4539" s="25" t="n"/>
      <c r="I4539" s="25" t="n"/>
      <c r="U4539" s="19">
        <f>IF($V4539&lt;&gt;'設定'!$C$4,N(U4538),IF(OR(NOT(COUNTIF('商品マスタ'!$B$6:$B$1005,$W4539)=0),COUNTIFS('①在庫を貼る'!$V$6:$V$10005,$V4539,'①在庫を貼る'!$W$6:$W$10005,$W4539)&gt;0),N(U4538),N(U4538)+1))</f>
        <v/>
      </c>
      <c r="V4539" s="19">
        <f>IF($B4539="","",TEXT($B4539,"0000"))</f>
        <v/>
      </c>
      <c r="W4539" s="19">
        <f>IF($I4539="","",IF(ISNUMBER($I4539),TEXT($I4539,"0"),$I4539))</f>
        <v/>
      </c>
    </row>
    <row r="4540">
      <c r="B4540" s="25" t="n"/>
      <c r="I4540" s="25" t="n"/>
      <c r="U4540" s="19">
        <f>IF($V4540&lt;&gt;'設定'!$C$4,N(U4539),IF(OR(NOT(COUNTIF('商品マスタ'!$B$6:$B$1005,$W4540)=0),COUNTIFS('①在庫を貼る'!$V$6:$V$10005,$V4540,'①在庫を貼る'!$W$6:$W$10005,$W4540)&gt;0),N(U4539),N(U4539)+1))</f>
        <v/>
      </c>
      <c r="V4540" s="19">
        <f>IF($B4540="","",TEXT($B4540,"0000"))</f>
        <v/>
      </c>
      <c r="W4540" s="19">
        <f>IF($I4540="","",IF(ISNUMBER($I4540),TEXT($I4540,"0"),$I4540))</f>
        <v/>
      </c>
    </row>
    <row r="4541">
      <c r="B4541" s="25" t="n"/>
      <c r="I4541" s="25" t="n"/>
      <c r="U4541" s="19">
        <f>IF($V4541&lt;&gt;'設定'!$C$4,N(U4540),IF(OR(NOT(COUNTIF('商品マスタ'!$B$6:$B$1005,$W4541)=0),COUNTIFS('①在庫を貼る'!$V$6:$V$10005,$V4541,'①在庫を貼る'!$W$6:$W$10005,$W4541)&gt;0),N(U4540),N(U4540)+1))</f>
        <v/>
      </c>
      <c r="V4541" s="19">
        <f>IF($B4541="","",TEXT($B4541,"0000"))</f>
        <v/>
      </c>
      <c r="W4541" s="19">
        <f>IF($I4541="","",IF(ISNUMBER($I4541),TEXT($I4541,"0"),$I4541))</f>
        <v/>
      </c>
    </row>
    <row r="4542">
      <c r="B4542" s="25" t="n"/>
      <c r="I4542" s="25" t="n"/>
      <c r="U4542" s="19">
        <f>IF($V4542&lt;&gt;'設定'!$C$4,N(U4541),IF(OR(NOT(COUNTIF('商品マスタ'!$B$6:$B$1005,$W4542)=0),COUNTIFS('①在庫を貼る'!$V$6:$V$10005,$V4542,'①在庫を貼る'!$W$6:$W$10005,$W4542)&gt;0),N(U4541),N(U4541)+1))</f>
        <v/>
      </c>
      <c r="V4542" s="19">
        <f>IF($B4542="","",TEXT($B4542,"0000"))</f>
        <v/>
      </c>
      <c r="W4542" s="19">
        <f>IF($I4542="","",IF(ISNUMBER($I4542),TEXT($I4542,"0"),$I4542))</f>
        <v/>
      </c>
    </row>
    <row r="4543">
      <c r="B4543" s="25" t="n"/>
      <c r="I4543" s="25" t="n"/>
      <c r="U4543" s="19">
        <f>IF($V4543&lt;&gt;'設定'!$C$4,N(U4542),IF(OR(NOT(COUNTIF('商品マスタ'!$B$6:$B$1005,$W4543)=0),COUNTIFS('①在庫を貼る'!$V$6:$V$10005,$V4543,'①在庫を貼る'!$W$6:$W$10005,$W4543)&gt;0),N(U4542),N(U4542)+1))</f>
        <v/>
      </c>
      <c r="V4543" s="19">
        <f>IF($B4543="","",TEXT($B4543,"0000"))</f>
        <v/>
      </c>
      <c r="W4543" s="19">
        <f>IF($I4543="","",IF(ISNUMBER($I4543),TEXT($I4543,"0"),$I4543))</f>
        <v/>
      </c>
    </row>
    <row r="4544">
      <c r="B4544" s="25" t="n"/>
      <c r="I4544" s="25" t="n"/>
      <c r="U4544" s="19">
        <f>IF($V4544&lt;&gt;'設定'!$C$4,N(U4543),IF(OR(NOT(COUNTIF('商品マスタ'!$B$6:$B$1005,$W4544)=0),COUNTIFS('①在庫を貼る'!$V$6:$V$10005,$V4544,'①在庫を貼る'!$W$6:$W$10005,$W4544)&gt;0),N(U4543),N(U4543)+1))</f>
        <v/>
      </c>
      <c r="V4544" s="19">
        <f>IF($B4544="","",TEXT($B4544,"0000"))</f>
        <v/>
      </c>
      <c r="W4544" s="19">
        <f>IF($I4544="","",IF(ISNUMBER($I4544),TEXT($I4544,"0"),$I4544))</f>
        <v/>
      </c>
    </row>
    <row r="4545">
      <c r="B4545" s="25" t="n"/>
      <c r="I4545" s="25" t="n"/>
      <c r="U4545" s="19">
        <f>IF($V4545&lt;&gt;'設定'!$C$4,N(U4544),IF(OR(NOT(COUNTIF('商品マスタ'!$B$6:$B$1005,$W4545)=0),COUNTIFS('①在庫を貼る'!$V$6:$V$10005,$V4545,'①在庫を貼る'!$W$6:$W$10005,$W4545)&gt;0),N(U4544),N(U4544)+1))</f>
        <v/>
      </c>
      <c r="V4545" s="19">
        <f>IF($B4545="","",TEXT($B4545,"0000"))</f>
        <v/>
      </c>
      <c r="W4545" s="19">
        <f>IF($I4545="","",IF(ISNUMBER($I4545),TEXT($I4545,"0"),$I4545))</f>
        <v/>
      </c>
    </row>
    <row r="4546">
      <c r="B4546" s="25" t="n"/>
      <c r="I4546" s="25" t="n"/>
      <c r="U4546" s="19">
        <f>IF($V4546&lt;&gt;'設定'!$C$4,N(U4545),IF(OR(NOT(COUNTIF('商品マスタ'!$B$6:$B$1005,$W4546)=0),COUNTIFS('①在庫を貼る'!$V$6:$V$10005,$V4546,'①在庫を貼る'!$W$6:$W$10005,$W4546)&gt;0),N(U4545),N(U4545)+1))</f>
        <v/>
      </c>
      <c r="V4546" s="19">
        <f>IF($B4546="","",TEXT($B4546,"0000"))</f>
        <v/>
      </c>
      <c r="W4546" s="19">
        <f>IF($I4546="","",IF(ISNUMBER($I4546),TEXT($I4546,"0"),$I4546))</f>
        <v/>
      </c>
    </row>
    <row r="4547">
      <c r="B4547" s="25" t="n"/>
      <c r="I4547" s="25" t="n"/>
      <c r="U4547" s="19">
        <f>IF($V4547&lt;&gt;'設定'!$C$4,N(U4546),IF(OR(NOT(COUNTIF('商品マスタ'!$B$6:$B$1005,$W4547)=0),COUNTIFS('①在庫を貼る'!$V$6:$V$10005,$V4547,'①在庫を貼る'!$W$6:$W$10005,$W4547)&gt;0),N(U4546),N(U4546)+1))</f>
        <v/>
      </c>
      <c r="V4547" s="19">
        <f>IF($B4547="","",TEXT($B4547,"0000"))</f>
        <v/>
      </c>
      <c r="W4547" s="19">
        <f>IF($I4547="","",IF(ISNUMBER($I4547),TEXT($I4547,"0"),$I4547))</f>
        <v/>
      </c>
    </row>
    <row r="4548">
      <c r="B4548" s="25" t="n"/>
      <c r="I4548" s="25" t="n"/>
      <c r="U4548" s="19">
        <f>IF($V4548&lt;&gt;'設定'!$C$4,N(U4547),IF(OR(NOT(COUNTIF('商品マスタ'!$B$6:$B$1005,$W4548)=0),COUNTIFS('①在庫を貼る'!$V$6:$V$10005,$V4548,'①在庫を貼る'!$W$6:$W$10005,$W4548)&gt;0),N(U4547),N(U4547)+1))</f>
        <v/>
      </c>
      <c r="V4548" s="19">
        <f>IF($B4548="","",TEXT($B4548,"0000"))</f>
        <v/>
      </c>
      <c r="W4548" s="19">
        <f>IF($I4548="","",IF(ISNUMBER($I4548),TEXT($I4548,"0"),$I4548))</f>
        <v/>
      </c>
    </row>
    <row r="4549">
      <c r="B4549" s="25" t="n"/>
      <c r="I4549" s="25" t="n"/>
      <c r="U4549" s="19">
        <f>IF($V4549&lt;&gt;'設定'!$C$4,N(U4548),IF(OR(NOT(COUNTIF('商品マスタ'!$B$6:$B$1005,$W4549)=0),COUNTIFS('①在庫を貼る'!$V$6:$V$10005,$V4549,'①在庫を貼る'!$W$6:$W$10005,$W4549)&gt;0),N(U4548),N(U4548)+1))</f>
        <v/>
      </c>
      <c r="V4549" s="19">
        <f>IF($B4549="","",TEXT($B4549,"0000"))</f>
        <v/>
      </c>
      <c r="W4549" s="19">
        <f>IF($I4549="","",IF(ISNUMBER($I4549),TEXT($I4549,"0"),$I4549))</f>
        <v/>
      </c>
    </row>
    <row r="4550">
      <c r="B4550" s="25" t="n"/>
      <c r="I4550" s="25" t="n"/>
      <c r="U4550" s="19">
        <f>IF($V4550&lt;&gt;'設定'!$C$4,N(U4549),IF(OR(NOT(COUNTIF('商品マスタ'!$B$6:$B$1005,$W4550)=0),COUNTIFS('①在庫を貼る'!$V$6:$V$10005,$V4550,'①在庫を貼る'!$W$6:$W$10005,$W4550)&gt;0),N(U4549),N(U4549)+1))</f>
        <v/>
      </c>
      <c r="V4550" s="19">
        <f>IF($B4550="","",TEXT($B4550,"0000"))</f>
        <v/>
      </c>
      <c r="W4550" s="19">
        <f>IF($I4550="","",IF(ISNUMBER($I4550),TEXT($I4550,"0"),$I4550))</f>
        <v/>
      </c>
    </row>
    <row r="4551">
      <c r="B4551" s="25" t="n"/>
      <c r="I4551" s="25" t="n"/>
      <c r="U4551" s="19">
        <f>IF($V4551&lt;&gt;'設定'!$C$4,N(U4550),IF(OR(NOT(COUNTIF('商品マスタ'!$B$6:$B$1005,$W4551)=0),COUNTIFS('①在庫を貼る'!$V$6:$V$10005,$V4551,'①在庫を貼る'!$W$6:$W$10005,$W4551)&gt;0),N(U4550),N(U4550)+1))</f>
        <v/>
      </c>
      <c r="V4551" s="19">
        <f>IF($B4551="","",TEXT($B4551,"0000"))</f>
        <v/>
      </c>
      <c r="W4551" s="19">
        <f>IF($I4551="","",IF(ISNUMBER($I4551),TEXT($I4551,"0"),$I4551))</f>
        <v/>
      </c>
    </row>
    <row r="4552">
      <c r="B4552" s="25" t="n"/>
      <c r="I4552" s="25" t="n"/>
      <c r="U4552" s="19">
        <f>IF($V4552&lt;&gt;'設定'!$C$4,N(U4551),IF(OR(NOT(COUNTIF('商品マスタ'!$B$6:$B$1005,$W4552)=0),COUNTIFS('①在庫を貼る'!$V$6:$V$10005,$V4552,'①在庫を貼る'!$W$6:$W$10005,$W4552)&gt;0),N(U4551),N(U4551)+1))</f>
        <v/>
      </c>
      <c r="V4552" s="19">
        <f>IF($B4552="","",TEXT($B4552,"0000"))</f>
        <v/>
      </c>
      <c r="W4552" s="19">
        <f>IF($I4552="","",IF(ISNUMBER($I4552),TEXT($I4552,"0"),$I4552))</f>
        <v/>
      </c>
    </row>
    <row r="4553">
      <c r="B4553" s="25" t="n"/>
      <c r="I4553" s="25" t="n"/>
      <c r="U4553" s="19">
        <f>IF($V4553&lt;&gt;'設定'!$C$4,N(U4552),IF(OR(NOT(COUNTIF('商品マスタ'!$B$6:$B$1005,$W4553)=0),COUNTIFS('①在庫を貼る'!$V$6:$V$10005,$V4553,'①在庫を貼る'!$W$6:$W$10005,$W4553)&gt;0),N(U4552),N(U4552)+1))</f>
        <v/>
      </c>
      <c r="V4553" s="19">
        <f>IF($B4553="","",TEXT($B4553,"0000"))</f>
        <v/>
      </c>
      <c r="W4553" s="19">
        <f>IF($I4553="","",IF(ISNUMBER($I4553),TEXT($I4553,"0"),$I4553))</f>
        <v/>
      </c>
    </row>
    <row r="4554">
      <c r="B4554" s="25" t="n"/>
      <c r="I4554" s="25" t="n"/>
      <c r="U4554" s="19">
        <f>IF($V4554&lt;&gt;'設定'!$C$4,N(U4553),IF(OR(NOT(COUNTIF('商品マスタ'!$B$6:$B$1005,$W4554)=0),COUNTIFS('①在庫を貼る'!$V$6:$V$10005,$V4554,'①在庫を貼る'!$W$6:$W$10005,$W4554)&gt;0),N(U4553),N(U4553)+1))</f>
        <v/>
      </c>
      <c r="V4554" s="19">
        <f>IF($B4554="","",TEXT($B4554,"0000"))</f>
        <v/>
      </c>
      <c r="W4554" s="19">
        <f>IF($I4554="","",IF(ISNUMBER($I4554),TEXT($I4554,"0"),$I4554))</f>
        <v/>
      </c>
    </row>
    <row r="4555">
      <c r="B4555" s="25" t="n"/>
      <c r="I4555" s="25" t="n"/>
      <c r="U4555" s="19">
        <f>IF($V4555&lt;&gt;'設定'!$C$4,N(U4554),IF(OR(NOT(COUNTIF('商品マスタ'!$B$6:$B$1005,$W4555)=0),COUNTIFS('①在庫を貼る'!$V$6:$V$10005,$V4555,'①在庫を貼る'!$W$6:$W$10005,$W4555)&gt;0),N(U4554),N(U4554)+1))</f>
        <v/>
      </c>
      <c r="V4555" s="19">
        <f>IF($B4555="","",TEXT($B4555,"0000"))</f>
        <v/>
      </c>
      <c r="W4555" s="19">
        <f>IF($I4555="","",IF(ISNUMBER($I4555),TEXT($I4555,"0"),$I4555))</f>
        <v/>
      </c>
    </row>
    <row r="4556">
      <c r="B4556" s="25" t="n"/>
      <c r="I4556" s="25" t="n"/>
      <c r="U4556" s="19">
        <f>IF($V4556&lt;&gt;'設定'!$C$4,N(U4555),IF(OR(NOT(COUNTIF('商品マスタ'!$B$6:$B$1005,$W4556)=0),COUNTIFS('①在庫を貼る'!$V$6:$V$10005,$V4556,'①在庫を貼る'!$W$6:$W$10005,$W4556)&gt;0),N(U4555),N(U4555)+1))</f>
        <v/>
      </c>
      <c r="V4556" s="19">
        <f>IF($B4556="","",TEXT($B4556,"0000"))</f>
        <v/>
      </c>
      <c r="W4556" s="19">
        <f>IF($I4556="","",IF(ISNUMBER($I4556),TEXT($I4556,"0"),$I4556))</f>
        <v/>
      </c>
    </row>
    <row r="4557">
      <c r="B4557" s="25" t="n"/>
      <c r="I4557" s="25" t="n"/>
      <c r="U4557" s="19">
        <f>IF($V4557&lt;&gt;'設定'!$C$4,N(U4556),IF(OR(NOT(COUNTIF('商品マスタ'!$B$6:$B$1005,$W4557)=0),COUNTIFS('①在庫を貼る'!$V$6:$V$10005,$V4557,'①在庫を貼る'!$W$6:$W$10005,$W4557)&gt;0),N(U4556),N(U4556)+1))</f>
        <v/>
      </c>
      <c r="V4557" s="19">
        <f>IF($B4557="","",TEXT($B4557,"0000"))</f>
        <v/>
      </c>
      <c r="W4557" s="19">
        <f>IF($I4557="","",IF(ISNUMBER($I4557),TEXT($I4557,"0"),$I4557))</f>
        <v/>
      </c>
    </row>
    <row r="4558">
      <c r="B4558" s="25" t="n"/>
      <c r="I4558" s="25" t="n"/>
      <c r="U4558" s="19">
        <f>IF($V4558&lt;&gt;'設定'!$C$4,N(U4557),IF(OR(NOT(COUNTIF('商品マスタ'!$B$6:$B$1005,$W4558)=0),COUNTIFS('①在庫を貼る'!$V$6:$V$10005,$V4558,'①在庫を貼る'!$W$6:$W$10005,$W4558)&gt;0),N(U4557),N(U4557)+1))</f>
        <v/>
      </c>
      <c r="V4558" s="19">
        <f>IF($B4558="","",TEXT($B4558,"0000"))</f>
        <v/>
      </c>
      <c r="W4558" s="19">
        <f>IF($I4558="","",IF(ISNUMBER($I4558),TEXT($I4558,"0"),$I4558))</f>
        <v/>
      </c>
    </row>
    <row r="4559">
      <c r="B4559" s="25" t="n"/>
      <c r="I4559" s="25" t="n"/>
      <c r="U4559" s="19">
        <f>IF($V4559&lt;&gt;'設定'!$C$4,N(U4558),IF(OR(NOT(COUNTIF('商品マスタ'!$B$6:$B$1005,$W4559)=0),COUNTIFS('①在庫を貼る'!$V$6:$V$10005,$V4559,'①在庫を貼る'!$W$6:$W$10005,$W4559)&gt;0),N(U4558),N(U4558)+1))</f>
        <v/>
      </c>
      <c r="V4559" s="19">
        <f>IF($B4559="","",TEXT($B4559,"0000"))</f>
        <v/>
      </c>
      <c r="W4559" s="19">
        <f>IF($I4559="","",IF(ISNUMBER($I4559),TEXT($I4559,"0"),$I4559))</f>
        <v/>
      </c>
    </row>
    <row r="4560">
      <c r="B4560" s="25" t="n"/>
      <c r="I4560" s="25" t="n"/>
      <c r="U4560" s="19">
        <f>IF($V4560&lt;&gt;'設定'!$C$4,N(U4559),IF(OR(NOT(COUNTIF('商品マスタ'!$B$6:$B$1005,$W4560)=0),COUNTIFS('①在庫を貼る'!$V$6:$V$10005,$V4560,'①在庫を貼る'!$W$6:$W$10005,$W4560)&gt;0),N(U4559),N(U4559)+1))</f>
        <v/>
      </c>
      <c r="V4560" s="19">
        <f>IF($B4560="","",TEXT($B4560,"0000"))</f>
        <v/>
      </c>
      <c r="W4560" s="19">
        <f>IF($I4560="","",IF(ISNUMBER($I4560),TEXT($I4560,"0"),$I4560))</f>
        <v/>
      </c>
    </row>
    <row r="4561">
      <c r="B4561" s="25" t="n"/>
      <c r="I4561" s="25" t="n"/>
      <c r="U4561" s="19">
        <f>IF($V4561&lt;&gt;'設定'!$C$4,N(U4560),IF(OR(NOT(COUNTIF('商品マスタ'!$B$6:$B$1005,$W4561)=0),COUNTIFS('①在庫を貼る'!$V$6:$V$10005,$V4561,'①在庫を貼る'!$W$6:$W$10005,$W4561)&gt;0),N(U4560),N(U4560)+1))</f>
        <v/>
      </c>
      <c r="V4561" s="19">
        <f>IF($B4561="","",TEXT($B4561,"0000"))</f>
        <v/>
      </c>
      <c r="W4561" s="19">
        <f>IF($I4561="","",IF(ISNUMBER($I4561),TEXT($I4561,"0"),$I4561))</f>
        <v/>
      </c>
    </row>
    <row r="4562">
      <c r="B4562" s="25" t="n"/>
      <c r="I4562" s="25" t="n"/>
      <c r="U4562" s="19">
        <f>IF($V4562&lt;&gt;'設定'!$C$4,N(U4561),IF(OR(NOT(COUNTIF('商品マスタ'!$B$6:$B$1005,$W4562)=0),COUNTIFS('①在庫を貼る'!$V$6:$V$10005,$V4562,'①在庫を貼る'!$W$6:$W$10005,$W4562)&gt;0),N(U4561),N(U4561)+1))</f>
        <v/>
      </c>
      <c r="V4562" s="19">
        <f>IF($B4562="","",TEXT($B4562,"0000"))</f>
        <v/>
      </c>
      <c r="W4562" s="19">
        <f>IF($I4562="","",IF(ISNUMBER($I4562),TEXT($I4562,"0"),$I4562))</f>
        <v/>
      </c>
    </row>
    <row r="4563">
      <c r="B4563" s="25" t="n"/>
      <c r="I4563" s="25" t="n"/>
      <c r="U4563" s="19">
        <f>IF($V4563&lt;&gt;'設定'!$C$4,N(U4562),IF(OR(NOT(COUNTIF('商品マスタ'!$B$6:$B$1005,$W4563)=0),COUNTIFS('①在庫を貼る'!$V$6:$V$10005,$V4563,'①在庫を貼る'!$W$6:$W$10005,$W4563)&gt;0),N(U4562),N(U4562)+1))</f>
        <v/>
      </c>
      <c r="V4563" s="19">
        <f>IF($B4563="","",TEXT($B4563,"0000"))</f>
        <v/>
      </c>
      <c r="W4563" s="19">
        <f>IF($I4563="","",IF(ISNUMBER($I4563),TEXT($I4563,"0"),$I4563))</f>
        <v/>
      </c>
    </row>
    <row r="4564">
      <c r="B4564" s="25" t="n"/>
      <c r="I4564" s="25" t="n"/>
      <c r="U4564" s="19">
        <f>IF($V4564&lt;&gt;'設定'!$C$4,N(U4563),IF(OR(NOT(COUNTIF('商品マスタ'!$B$6:$B$1005,$W4564)=0),COUNTIFS('①在庫を貼る'!$V$6:$V$10005,$V4564,'①在庫を貼る'!$W$6:$W$10005,$W4564)&gt;0),N(U4563),N(U4563)+1))</f>
        <v/>
      </c>
      <c r="V4564" s="19">
        <f>IF($B4564="","",TEXT($B4564,"0000"))</f>
        <v/>
      </c>
      <c r="W4564" s="19">
        <f>IF($I4564="","",IF(ISNUMBER($I4564),TEXT($I4564,"0"),$I4564))</f>
        <v/>
      </c>
    </row>
    <row r="4565">
      <c r="B4565" s="25" t="n"/>
      <c r="I4565" s="25" t="n"/>
      <c r="U4565" s="19">
        <f>IF($V4565&lt;&gt;'設定'!$C$4,N(U4564),IF(OR(NOT(COUNTIF('商品マスタ'!$B$6:$B$1005,$W4565)=0),COUNTIFS('①在庫を貼る'!$V$6:$V$10005,$V4565,'①在庫を貼る'!$W$6:$W$10005,$W4565)&gt;0),N(U4564),N(U4564)+1))</f>
        <v/>
      </c>
      <c r="V4565" s="19">
        <f>IF($B4565="","",TEXT($B4565,"0000"))</f>
        <v/>
      </c>
      <c r="W4565" s="19">
        <f>IF($I4565="","",IF(ISNUMBER($I4565),TEXT($I4565,"0"),$I4565))</f>
        <v/>
      </c>
    </row>
    <row r="4566">
      <c r="B4566" s="25" t="n"/>
      <c r="I4566" s="25" t="n"/>
      <c r="U4566" s="19">
        <f>IF($V4566&lt;&gt;'設定'!$C$4,N(U4565),IF(OR(NOT(COUNTIF('商品マスタ'!$B$6:$B$1005,$W4566)=0),COUNTIFS('①在庫を貼る'!$V$6:$V$10005,$V4566,'①在庫を貼る'!$W$6:$W$10005,$W4566)&gt;0),N(U4565),N(U4565)+1))</f>
        <v/>
      </c>
      <c r="V4566" s="19">
        <f>IF($B4566="","",TEXT($B4566,"0000"))</f>
        <v/>
      </c>
      <c r="W4566" s="19">
        <f>IF($I4566="","",IF(ISNUMBER($I4566),TEXT($I4566,"0"),$I4566))</f>
        <v/>
      </c>
    </row>
    <row r="4567">
      <c r="B4567" s="25" t="n"/>
      <c r="I4567" s="25" t="n"/>
      <c r="U4567" s="19">
        <f>IF($V4567&lt;&gt;'設定'!$C$4,N(U4566),IF(OR(NOT(COUNTIF('商品マスタ'!$B$6:$B$1005,$W4567)=0),COUNTIFS('①在庫を貼る'!$V$6:$V$10005,$V4567,'①在庫を貼る'!$W$6:$W$10005,$W4567)&gt;0),N(U4566),N(U4566)+1))</f>
        <v/>
      </c>
      <c r="V4567" s="19">
        <f>IF($B4567="","",TEXT($B4567,"0000"))</f>
        <v/>
      </c>
      <c r="W4567" s="19">
        <f>IF($I4567="","",IF(ISNUMBER($I4567),TEXT($I4567,"0"),$I4567))</f>
        <v/>
      </c>
    </row>
    <row r="4568">
      <c r="B4568" s="25" t="n"/>
      <c r="I4568" s="25" t="n"/>
      <c r="U4568" s="19">
        <f>IF($V4568&lt;&gt;'設定'!$C$4,N(U4567),IF(OR(NOT(COUNTIF('商品マスタ'!$B$6:$B$1005,$W4568)=0),COUNTIFS('①在庫を貼る'!$V$6:$V$10005,$V4568,'①在庫を貼る'!$W$6:$W$10005,$W4568)&gt;0),N(U4567),N(U4567)+1))</f>
        <v/>
      </c>
      <c r="V4568" s="19">
        <f>IF($B4568="","",TEXT($B4568,"0000"))</f>
        <v/>
      </c>
      <c r="W4568" s="19">
        <f>IF($I4568="","",IF(ISNUMBER($I4568),TEXT($I4568,"0"),$I4568))</f>
        <v/>
      </c>
    </row>
    <row r="4569">
      <c r="B4569" s="25" t="n"/>
      <c r="I4569" s="25" t="n"/>
      <c r="U4569" s="19">
        <f>IF($V4569&lt;&gt;'設定'!$C$4,N(U4568),IF(OR(NOT(COUNTIF('商品マスタ'!$B$6:$B$1005,$W4569)=0),COUNTIFS('①在庫を貼る'!$V$6:$V$10005,$V4569,'①在庫を貼る'!$W$6:$W$10005,$W4569)&gt;0),N(U4568),N(U4568)+1))</f>
        <v/>
      </c>
      <c r="V4569" s="19">
        <f>IF($B4569="","",TEXT($B4569,"0000"))</f>
        <v/>
      </c>
      <c r="W4569" s="19">
        <f>IF($I4569="","",IF(ISNUMBER($I4569),TEXT($I4569,"0"),$I4569))</f>
        <v/>
      </c>
    </row>
    <row r="4570">
      <c r="B4570" s="25" t="n"/>
      <c r="I4570" s="25" t="n"/>
      <c r="U4570" s="19">
        <f>IF($V4570&lt;&gt;'設定'!$C$4,N(U4569),IF(OR(NOT(COUNTIF('商品マスタ'!$B$6:$B$1005,$W4570)=0),COUNTIFS('①在庫を貼る'!$V$6:$V$10005,$V4570,'①在庫を貼る'!$W$6:$W$10005,$W4570)&gt;0),N(U4569),N(U4569)+1))</f>
        <v/>
      </c>
      <c r="V4570" s="19">
        <f>IF($B4570="","",TEXT($B4570,"0000"))</f>
        <v/>
      </c>
      <c r="W4570" s="19">
        <f>IF($I4570="","",IF(ISNUMBER($I4570),TEXT($I4570,"0"),$I4570))</f>
        <v/>
      </c>
    </row>
    <row r="4571">
      <c r="B4571" s="25" t="n"/>
      <c r="I4571" s="25" t="n"/>
      <c r="U4571" s="19">
        <f>IF($V4571&lt;&gt;'設定'!$C$4,N(U4570),IF(OR(NOT(COUNTIF('商品マスタ'!$B$6:$B$1005,$W4571)=0),COUNTIFS('①在庫を貼る'!$V$6:$V$10005,$V4571,'①在庫を貼る'!$W$6:$W$10005,$W4571)&gt;0),N(U4570),N(U4570)+1))</f>
        <v/>
      </c>
      <c r="V4571" s="19">
        <f>IF($B4571="","",TEXT($B4571,"0000"))</f>
        <v/>
      </c>
      <c r="W4571" s="19">
        <f>IF($I4571="","",IF(ISNUMBER($I4571),TEXT($I4571,"0"),$I4571))</f>
        <v/>
      </c>
    </row>
    <row r="4572">
      <c r="B4572" s="25" t="n"/>
      <c r="I4572" s="25" t="n"/>
      <c r="U4572" s="19">
        <f>IF($V4572&lt;&gt;'設定'!$C$4,N(U4571),IF(OR(NOT(COUNTIF('商品マスタ'!$B$6:$B$1005,$W4572)=0),COUNTIFS('①在庫を貼る'!$V$6:$V$10005,$V4572,'①在庫を貼る'!$W$6:$W$10005,$W4572)&gt;0),N(U4571),N(U4571)+1))</f>
        <v/>
      </c>
      <c r="V4572" s="19">
        <f>IF($B4572="","",TEXT($B4572,"0000"))</f>
        <v/>
      </c>
      <c r="W4572" s="19">
        <f>IF($I4572="","",IF(ISNUMBER($I4572),TEXT($I4572,"0"),$I4572))</f>
        <v/>
      </c>
    </row>
    <row r="4573">
      <c r="B4573" s="25" t="n"/>
      <c r="I4573" s="25" t="n"/>
      <c r="U4573" s="19">
        <f>IF($V4573&lt;&gt;'設定'!$C$4,N(U4572),IF(OR(NOT(COUNTIF('商品マスタ'!$B$6:$B$1005,$W4573)=0),COUNTIFS('①在庫を貼る'!$V$6:$V$10005,$V4573,'①在庫を貼る'!$W$6:$W$10005,$W4573)&gt;0),N(U4572),N(U4572)+1))</f>
        <v/>
      </c>
      <c r="V4573" s="19">
        <f>IF($B4573="","",TEXT($B4573,"0000"))</f>
        <v/>
      </c>
      <c r="W4573" s="19">
        <f>IF($I4573="","",IF(ISNUMBER($I4573),TEXT($I4573,"0"),$I4573))</f>
        <v/>
      </c>
    </row>
    <row r="4574">
      <c r="B4574" s="25" t="n"/>
      <c r="I4574" s="25" t="n"/>
      <c r="U4574" s="19">
        <f>IF($V4574&lt;&gt;'設定'!$C$4,N(U4573),IF(OR(NOT(COUNTIF('商品マスタ'!$B$6:$B$1005,$W4574)=0),COUNTIFS('①在庫を貼る'!$V$6:$V$10005,$V4574,'①在庫を貼る'!$W$6:$W$10005,$W4574)&gt;0),N(U4573),N(U4573)+1))</f>
        <v/>
      </c>
      <c r="V4574" s="19">
        <f>IF($B4574="","",TEXT($B4574,"0000"))</f>
        <v/>
      </c>
      <c r="W4574" s="19">
        <f>IF($I4574="","",IF(ISNUMBER($I4574),TEXT($I4574,"0"),$I4574))</f>
        <v/>
      </c>
    </row>
    <row r="4575">
      <c r="B4575" s="25" t="n"/>
      <c r="I4575" s="25" t="n"/>
      <c r="U4575" s="19">
        <f>IF($V4575&lt;&gt;'設定'!$C$4,N(U4574),IF(OR(NOT(COUNTIF('商品マスタ'!$B$6:$B$1005,$W4575)=0),COUNTIFS('①在庫を貼る'!$V$6:$V$10005,$V4575,'①在庫を貼る'!$W$6:$W$10005,$W4575)&gt;0),N(U4574),N(U4574)+1))</f>
        <v/>
      </c>
      <c r="V4575" s="19">
        <f>IF($B4575="","",TEXT($B4575,"0000"))</f>
        <v/>
      </c>
      <c r="W4575" s="19">
        <f>IF($I4575="","",IF(ISNUMBER($I4575),TEXT($I4575,"0"),$I4575))</f>
        <v/>
      </c>
    </row>
    <row r="4576">
      <c r="B4576" s="25" t="n"/>
      <c r="I4576" s="25" t="n"/>
      <c r="U4576" s="19">
        <f>IF($V4576&lt;&gt;'設定'!$C$4,N(U4575),IF(OR(NOT(COUNTIF('商品マスタ'!$B$6:$B$1005,$W4576)=0),COUNTIFS('①在庫を貼る'!$V$6:$V$10005,$V4576,'①在庫を貼る'!$W$6:$W$10005,$W4576)&gt;0),N(U4575),N(U4575)+1))</f>
        <v/>
      </c>
      <c r="V4576" s="19">
        <f>IF($B4576="","",TEXT($B4576,"0000"))</f>
        <v/>
      </c>
      <c r="W4576" s="19">
        <f>IF($I4576="","",IF(ISNUMBER($I4576),TEXT($I4576,"0"),$I4576))</f>
        <v/>
      </c>
    </row>
    <row r="4577">
      <c r="B4577" s="25" t="n"/>
      <c r="I4577" s="25" t="n"/>
      <c r="U4577" s="19">
        <f>IF($V4577&lt;&gt;'設定'!$C$4,N(U4576),IF(OR(NOT(COUNTIF('商品マスタ'!$B$6:$B$1005,$W4577)=0),COUNTIFS('①在庫を貼る'!$V$6:$V$10005,$V4577,'①在庫を貼る'!$W$6:$W$10005,$W4577)&gt;0),N(U4576),N(U4576)+1))</f>
        <v/>
      </c>
      <c r="V4577" s="19">
        <f>IF($B4577="","",TEXT($B4577,"0000"))</f>
        <v/>
      </c>
      <c r="W4577" s="19">
        <f>IF($I4577="","",IF(ISNUMBER($I4577),TEXT($I4577,"0"),$I4577))</f>
        <v/>
      </c>
    </row>
    <row r="4578">
      <c r="B4578" s="25" t="n"/>
      <c r="I4578" s="25" t="n"/>
      <c r="U4578" s="19">
        <f>IF($V4578&lt;&gt;'設定'!$C$4,N(U4577),IF(OR(NOT(COUNTIF('商品マスタ'!$B$6:$B$1005,$W4578)=0),COUNTIFS('①在庫を貼る'!$V$6:$V$10005,$V4578,'①在庫を貼る'!$W$6:$W$10005,$W4578)&gt;0),N(U4577),N(U4577)+1))</f>
        <v/>
      </c>
      <c r="V4578" s="19">
        <f>IF($B4578="","",TEXT($B4578,"0000"))</f>
        <v/>
      </c>
      <c r="W4578" s="19">
        <f>IF($I4578="","",IF(ISNUMBER($I4578),TEXT($I4578,"0"),$I4578))</f>
        <v/>
      </c>
    </row>
    <row r="4579">
      <c r="B4579" s="25" t="n"/>
      <c r="I4579" s="25" t="n"/>
      <c r="U4579" s="19">
        <f>IF($V4579&lt;&gt;'設定'!$C$4,N(U4578),IF(OR(NOT(COUNTIF('商品マスタ'!$B$6:$B$1005,$W4579)=0),COUNTIFS('①在庫を貼る'!$V$6:$V$10005,$V4579,'①在庫を貼る'!$W$6:$W$10005,$W4579)&gt;0),N(U4578),N(U4578)+1))</f>
        <v/>
      </c>
      <c r="V4579" s="19">
        <f>IF($B4579="","",TEXT($B4579,"0000"))</f>
        <v/>
      </c>
      <c r="W4579" s="19">
        <f>IF($I4579="","",IF(ISNUMBER($I4579),TEXT($I4579,"0"),$I4579))</f>
        <v/>
      </c>
    </row>
    <row r="4580">
      <c r="B4580" s="25" t="n"/>
      <c r="I4580" s="25" t="n"/>
      <c r="U4580" s="19">
        <f>IF($V4580&lt;&gt;'設定'!$C$4,N(U4579),IF(OR(NOT(COUNTIF('商品マスタ'!$B$6:$B$1005,$W4580)=0),COUNTIFS('①在庫を貼る'!$V$6:$V$10005,$V4580,'①在庫を貼る'!$W$6:$W$10005,$W4580)&gt;0),N(U4579),N(U4579)+1))</f>
        <v/>
      </c>
      <c r="V4580" s="19">
        <f>IF($B4580="","",TEXT($B4580,"0000"))</f>
        <v/>
      </c>
      <c r="W4580" s="19">
        <f>IF($I4580="","",IF(ISNUMBER($I4580),TEXT($I4580,"0"),$I4580))</f>
        <v/>
      </c>
    </row>
    <row r="4581">
      <c r="B4581" s="25" t="n"/>
      <c r="I4581" s="25" t="n"/>
      <c r="U4581" s="19">
        <f>IF($V4581&lt;&gt;'設定'!$C$4,N(U4580),IF(OR(NOT(COUNTIF('商品マスタ'!$B$6:$B$1005,$W4581)=0),COUNTIFS('①在庫を貼る'!$V$6:$V$10005,$V4581,'①在庫を貼る'!$W$6:$W$10005,$W4581)&gt;0),N(U4580),N(U4580)+1))</f>
        <v/>
      </c>
      <c r="V4581" s="19">
        <f>IF($B4581="","",TEXT($B4581,"0000"))</f>
        <v/>
      </c>
      <c r="W4581" s="19">
        <f>IF($I4581="","",IF(ISNUMBER($I4581),TEXT($I4581,"0"),$I4581))</f>
        <v/>
      </c>
    </row>
    <row r="4582">
      <c r="B4582" s="25" t="n"/>
      <c r="I4582" s="25" t="n"/>
      <c r="U4582" s="19">
        <f>IF($V4582&lt;&gt;'設定'!$C$4,N(U4581),IF(OR(NOT(COUNTIF('商品マスタ'!$B$6:$B$1005,$W4582)=0),COUNTIFS('①在庫を貼る'!$V$6:$V$10005,$V4582,'①在庫を貼る'!$W$6:$W$10005,$W4582)&gt;0),N(U4581),N(U4581)+1))</f>
        <v/>
      </c>
      <c r="V4582" s="19">
        <f>IF($B4582="","",TEXT($B4582,"0000"))</f>
        <v/>
      </c>
      <c r="W4582" s="19">
        <f>IF($I4582="","",IF(ISNUMBER($I4582),TEXT($I4582,"0"),$I4582))</f>
        <v/>
      </c>
    </row>
    <row r="4583">
      <c r="B4583" s="25" t="n"/>
      <c r="I4583" s="25" t="n"/>
      <c r="U4583" s="19">
        <f>IF($V4583&lt;&gt;'設定'!$C$4,N(U4582),IF(OR(NOT(COUNTIF('商品マスタ'!$B$6:$B$1005,$W4583)=0),COUNTIFS('①在庫を貼る'!$V$6:$V$10005,$V4583,'①在庫を貼る'!$W$6:$W$10005,$W4583)&gt;0),N(U4582),N(U4582)+1))</f>
        <v/>
      </c>
      <c r="V4583" s="19">
        <f>IF($B4583="","",TEXT($B4583,"0000"))</f>
        <v/>
      </c>
      <c r="W4583" s="19">
        <f>IF($I4583="","",IF(ISNUMBER($I4583),TEXT($I4583,"0"),$I4583))</f>
        <v/>
      </c>
    </row>
    <row r="4584">
      <c r="B4584" s="25" t="n"/>
      <c r="I4584" s="25" t="n"/>
      <c r="U4584" s="19">
        <f>IF($V4584&lt;&gt;'設定'!$C$4,N(U4583),IF(OR(NOT(COUNTIF('商品マスタ'!$B$6:$B$1005,$W4584)=0),COUNTIFS('①在庫を貼る'!$V$6:$V$10005,$V4584,'①在庫を貼る'!$W$6:$W$10005,$W4584)&gt;0),N(U4583),N(U4583)+1))</f>
        <v/>
      </c>
      <c r="V4584" s="19">
        <f>IF($B4584="","",TEXT($B4584,"0000"))</f>
        <v/>
      </c>
      <c r="W4584" s="19">
        <f>IF($I4584="","",IF(ISNUMBER($I4584),TEXT($I4584,"0"),$I4584))</f>
        <v/>
      </c>
    </row>
    <row r="4585">
      <c r="B4585" s="25" t="n"/>
      <c r="I4585" s="25" t="n"/>
      <c r="U4585" s="19">
        <f>IF($V4585&lt;&gt;'設定'!$C$4,N(U4584),IF(OR(NOT(COUNTIF('商品マスタ'!$B$6:$B$1005,$W4585)=0),COUNTIFS('①在庫を貼る'!$V$6:$V$10005,$V4585,'①在庫を貼る'!$W$6:$W$10005,$W4585)&gt;0),N(U4584),N(U4584)+1))</f>
        <v/>
      </c>
      <c r="V4585" s="19">
        <f>IF($B4585="","",TEXT($B4585,"0000"))</f>
        <v/>
      </c>
      <c r="W4585" s="19">
        <f>IF($I4585="","",IF(ISNUMBER($I4585),TEXT($I4585,"0"),$I4585))</f>
        <v/>
      </c>
    </row>
    <row r="4586">
      <c r="B4586" s="25" t="n"/>
      <c r="I4586" s="25" t="n"/>
      <c r="U4586" s="19">
        <f>IF($V4586&lt;&gt;'設定'!$C$4,N(U4585),IF(OR(NOT(COUNTIF('商品マスタ'!$B$6:$B$1005,$W4586)=0),COUNTIFS('①在庫を貼る'!$V$6:$V$10005,$V4586,'①在庫を貼る'!$W$6:$W$10005,$W4586)&gt;0),N(U4585),N(U4585)+1))</f>
        <v/>
      </c>
      <c r="V4586" s="19">
        <f>IF($B4586="","",TEXT($B4586,"0000"))</f>
        <v/>
      </c>
      <c r="W4586" s="19">
        <f>IF($I4586="","",IF(ISNUMBER($I4586),TEXT($I4586,"0"),$I4586))</f>
        <v/>
      </c>
    </row>
    <row r="4587">
      <c r="B4587" s="25" t="n"/>
      <c r="I4587" s="25" t="n"/>
      <c r="U4587" s="19">
        <f>IF($V4587&lt;&gt;'設定'!$C$4,N(U4586),IF(OR(NOT(COUNTIF('商品マスタ'!$B$6:$B$1005,$W4587)=0),COUNTIFS('①在庫を貼る'!$V$6:$V$10005,$V4587,'①在庫を貼る'!$W$6:$W$10005,$W4587)&gt;0),N(U4586),N(U4586)+1))</f>
        <v/>
      </c>
      <c r="V4587" s="19">
        <f>IF($B4587="","",TEXT($B4587,"0000"))</f>
        <v/>
      </c>
      <c r="W4587" s="19">
        <f>IF($I4587="","",IF(ISNUMBER($I4587),TEXT($I4587,"0"),$I4587))</f>
        <v/>
      </c>
    </row>
    <row r="4588">
      <c r="B4588" s="25" t="n"/>
      <c r="I4588" s="25" t="n"/>
      <c r="U4588" s="19">
        <f>IF($V4588&lt;&gt;'設定'!$C$4,N(U4587),IF(OR(NOT(COUNTIF('商品マスタ'!$B$6:$B$1005,$W4588)=0),COUNTIFS('①在庫を貼る'!$V$6:$V$10005,$V4588,'①在庫を貼る'!$W$6:$W$10005,$W4588)&gt;0),N(U4587),N(U4587)+1))</f>
        <v/>
      </c>
      <c r="V4588" s="19">
        <f>IF($B4588="","",TEXT($B4588,"0000"))</f>
        <v/>
      </c>
      <c r="W4588" s="19">
        <f>IF($I4588="","",IF(ISNUMBER($I4588),TEXT($I4588,"0"),$I4588))</f>
        <v/>
      </c>
    </row>
    <row r="4589">
      <c r="B4589" s="25" t="n"/>
      <c r="I4589" s="25" t="n"/>
      <c r="U4589" s="19">
        <f>IF($V4589&lt;&gt;'設定'!$C$4,N(U4588),IF(OR(NOT(COUNTIF('商品マスタ'!$B$6:$B$1005,$W4589)=0),COUNTIFS('①在庫を貼る'!$V$6:$V$10005,$V4589,'①在庫を貼る'!$W$6:$W$10005,$W4589)&gt;0),N(U4588),N(U4588)+1))</f>
        <v/>
      </c>
      <c r="V4589" s="19">
        <f>IF($B4589="","",TEXT($B4589,"0000"))</f>
        <v/>
      </c>
      <c r="W4589" s="19">
        <f>IF($I4589="","",IF(ISNUMBER($I4589),TEXT($I4589,"0"),$I4589))</f>
        <v/>
      </c>
    </row>
    <row r="4590">
      <c r="B4590" s="25" t="n"/>
      <c r="I4590" s="25" t="n"/>
      <c r="U4590" s="19">
        <f>IF($V4590&lt;&gt;'設定'!$C$4,N(U4589),IF(OR(NOT(COUNTIF('商品マスタ'!$B$6:$B$1005,$W4590)=0),COUNTIFS('①在庫を貼る'!$V$6:$V$10005,$V4590,'①在庫を貼る'!$W$6:$W$10005,$W4590)&gt;0),N(U4589),N(U4589)+1))</f>
        <v/>
      </c>
      <c r="V4590" s="19">
        <f>IF($B4590="","",TEXT($B4590,"0000"))</f>
        <v/>
      </c>
      <c r="W4590" s="19">
        <f>IF($I4590="","",IF(ISNUMBER($I4590),TEXT($I4590,"0"),$I4590))</f>
        <v/>
      </c>
    </row>
    <row r="4591">
      <c r="B4591" s="25" t="n"/>
      <c r="I4591" s="25" t="n"/>
      <c r="U4591" s="19">
        <f>IF($V4591&lt;&gt;'設定'!$C$4,N(U4590),IF(OR(NOT(COUNTIF('商品マスタ'!$B$6:$B$1005,$W4591)=0),COUNTIFS('①在庫を貼る'!$V$6:$V$10005,$V4591,'①在庫を貼る'!$W$6:$W$10005,$W4591)&gt;0),N(U4590),N(U4590)+1))</f>
        <v/>
      </c>
      <c r="V4591" s="19">
        <f>IF($B4591="","",TEXT($B4591,"0000"))</f>
        <v/>
      </c>
      <c r="W4591" s="19">
        <f>IF($I4591="","",IF(ISNUMBER($I4591),TEXT($I4591,"0"),$I4591))</f>
        <v/>
      </c>
    </row>
    <row r="4592">
      <c r="B4592" s="25" t="n"/>
      <c r="I4592" s="25" t="n"/>
      <c r="U4592" s="19">
        <f>IF($V4592&lt;&gt;'設定'!$C$4,N(U4591),IF(OR(NOT(COUNTIF('商品マスタ'!$B$6:$B$1005,$W4592)=0),COUNTIFS('①在庫を貼る'!$V$6:$V$10005,$V4592,'①在庫を貼る'!$W$6:$W$10005,$W4592)&gt;0),N(U4591),N(U4591)+1))</f>
        <v/>
      </c>
      <c r="V4592" s="19">
        <f>IF($B4592="","",TEXT($B4592,"0000"))</f>
        <v/>
      </c>
      <c r="W4592" s="19">
        <f>IF($I4592="","",IF(ISNUMBER($I4592),TEXT($I4592,"0"),$I4592))</f>
        <v/>
      </c>
    </row>
    <row r="4593">
      <c r="B4593" s="25" t="n"/>
      <c r="I4593" s="25" t="n"/>
      <c r="U4593" s="19">
        <f>IF($V4593&lt;&gt;'設定'!$C$4,N(U4592),IF(OR(NOT(COUNTIF('商品マスタ'!$B$6:$B$1005,$W4593)=0),COUNTIFS('①在庫を貼る'!$V$6:$V$10005,$V4593,'①在庫を貼る'!$W$6:$W$10005,$W4593)&gt;0),N(U4592),N(U4592)+1))</f>
        <v/>
      </c>
      <c r="V4593" s="19">
        <f>IF($B4593="","",TEXT($B4593,"0000"))</f>
        <v/>
      </c>
      <c r="W4593" s="19">
        <f>IF($I4593="","",IF(ISNUMBER($I4593),TEXT($I4593,"0"),$I4593))</f>
        <v/>
      </c>
    </row>
    <row r="4594">
      <c r="B4594" s="25" t="n"/>
      <c r="I4594" s="25" t="n"/>
      <c r="U4594" s="19">
        <f>IF($V4594&lt;&gt;'設定'!$C$4,N(U4593),IF(OR(NOT(COUNTIF('商品マスタ'!$B$6:$B$1005,$W4594)=0),COUNTIFS('①在庫を貼る'!$V$6:$V$10005,$V4594,'①在庫を貼る'!$W$6:$W$10005,$W4594)&gt;0),N(U4593),N(U4593)+1))</f>
        <v/>
      </c>
      <c r="V4594" s="19">
        <f>IF($B4594="","",TEXT($B4594,"0000"))</f>
        <v/>
      </c>
      <c r="W4594" s="19">
        <f>IF($I4594="","",IF(ISNUMBER($I4594),TEXT($I4594,"0"),$I4594))</f>
        <v/>
      </c>
    </row>
    <row r="4595">
      <c r="B4595" s="25" t="n"/>
      <c r="I4595" s="25" t="n"/>
      <c r="U4595" s="19">
        <f>IF($V4595&lt;&gt;'設定'!$C$4,N(U4594),IF(OR(NOT(COUNTIF('商品マスタ'!$B$6:$B$1005,$W4595)=0),COUNTIFS('①在庫を貼る'!$V$6:$V$10005,$V4595,'①在庫を貼る'!$W$6:$W$10005,$W4595)&gt;0),N(U4594),N(U4594)+1))</f>
        <v/>
      </c>
      <c r="V4595" s="19">
        <f>IF($B4595="","",TEXT($B4595,"0000"))</f>
        <v/>
      </c>
      <c r="W4595" s="19">
        <f>IF($I4595="","",IF(ISNUMBER($I4595),TEXT($I4595,"0"),$I4595))</f>
        <v/>
      </c>
    </row>
    <row r="4596">
      <c r="B4596" s="25" t="n"/>
      <c r="I4596" s="25" t="n"/>
      <c r="U4596" s="19">
        <f>IF($V4596&lt;&gt;'設定'!$C$4,N(U4595),IF(OR(NOT(COUNTIF('商品マスタ'!$B$6:$B$1005,$W4596)=0),COUNTIFS('①在庫を貼る'!$V$6:$V$10005,$V4596,'①在庫を貼る'!$W$6:$W$10005,$W4596)&gt;0),N(U4595),N(U4595)+1))</f>
        <v/>
      </c>
      <c r="V4596" s="19">
        <f>IF($B4596="","",TEXT($B4596,"0000"))</f>
        <v/>
      </c>
      <c r="W4596" s="19">
        <f>IF($I4596="","",IF(ISNUMBER($I4596),TEXT($I4596,"0"),$I4596))</f>
        <v/>
      </c>
    </row>
    <row r="4597">
      <c r="B4597" s="25" t="n"/>
      <c r="I4597" s="25" t="n"/>
      <c r="U4597" s="19">
        <f>IF($V4597&lt;&gt;'設定'!$C$4,N(U4596),IF(OR(NOT(COUNTIF('商品マスタ'!$B$6:$B$1005,$W4597)=0),COUNTIFS('①在庫を貼る'!$V$6:$V$10005,$V4597,'①在庫を貼る'!$W$6:$W$10005,$W4597)&gt;0),N(U4596),N(U4596)+1))</f>
        <v/>
      </c>
      <c r="V4597" s="19">
        <f>IF($B4597="","",TEXT($B4597,"0000"))</f>
        <v/>
      </c>
      <c r="W4597" s="19">
        <f>IF($I4597="","",IF(ISNUMBER($I4597),TEXT($I4597,"0"),$I4597))</f>
        <v/>
      </c>
    </row>
    <row r="4598">
      <c r="B4598" s="25" t="n"/>
      <c r="I4598" s="25" t="n"/>
      <c r="U4598" s="19">
        <f>IF($V4598&lt;&gt;'設定'!$C$4,N(U4597),IF(OR(NOT(COUNTIF('商品マスタ'!$B$6:$B$1005,$W4598)=0),COUNTIFS('①在庫を貼る'!$V$6:$V$10005,$V4598,'①在庫を貼る'!$W$6:$W$10005,$W4598)&gt;0),N(U4597),N(U4597)+1))</f>
        <v/>
      </c>
      <c r="V4598" s="19">
        <f>IF($B4598="","",TEXT($B4598,"0000"))</f>
        <v/>
      </c>
      <c r="W4598" s="19">
        <f>IF($I4598="","",IF(ISNUMBER($I4598),TEXT($I4598,"0"),$I4598))</f>
        <v/>
      </c>
    </row>
    <row r="4599">
      <c r="B4599" s="25" t="n"/>
      <c r="I4599" s="25" t="n"/>
      <c r="U4599" s="19">
        <f>IF($V4599&lt;&gt;'設定'!$C$4,N(U4598),IF(OR(NOT(COUNTIF('商品マスタ'!$B$6:$B$1005,$W4599)=0),COUNTIFS('①在庫を貼る'!$V$6:$V$10005,$V4599,'①在庫を貼る'!$W$6:$W$10005,$W4599)&gt;0),N(U4598),N(U4598)+1))</f>
        <v/>
      </c>
      <c r="V4599" s="19">
        <f>IF($B4599="","",TEXT($B4599,"0000"))</f>
        <v/>
      </c>
      <c r="W4599" s="19">
        <f>IF($I4599="","",IF(ISNUMBER($I4599),TEXT($I4599,"0"),$I4599))</f>
        <v/>
      </c>
    </row>
    <row r="4600">
      <c r="B4600" s="25" t="n"/>
      <c r="I4600" s="25" t="n"/>
      <c r="U4600" s="19">
        <f>IF($V4600&lt;&gt;'設定'!$C$4,N(U4599),IF(OR(NOT(COUNTIF('商品マスタ'!$B$6:$B$1005,$W4600)=0),COUNTIFS('①在庫を貼る'!$V$6:$V$10005,$V4600,'①在庫を貼る'!$W$6:$W$10005,$W4600)&gt;0),N(U4599),N(U4599)+1))</f>
        <v/>
      </c>
      <c r="V4600" s="19">
        <f>IF($B4600="","",TEXT($B4600,"0000"))</f>
        <v/>
      </c>
      <c r="W4600" s="19">
        <f>IF($I4600="","",IF(ISNUMBER($I4600),TEXT($I4600,"0"),$I4600))</f>
        <v/>
      </c>
    </row>
    <row r="4601">
      <c r="B4601" s="25" t="n"/>
      <c r="I4601" s="25" t="n"/>
      <c r="U4601" s="19">
        <f>IF($V4601&lt;&gt;'設定'!$C$4,N(U4600),IF(OR(NOT(COUNTIF('商品マスタ'!$B$6:$B$1005,$W4601)=0),COUNTIFS('①在庫を貼る'!$V$6:$V$10005,$V4601,'①在庫を貼る'!$W$6:$W$10005,$W4601)&gt;0),N(U4600),N(U4600)+1))</f>
        <v/>
      </c>
      <c r="V4601" s="19">
        <f>IF($B4601="","",TEXT($B4601,"0000"))</f>
        <v/>
      </c>
      <c r="W4601" s="19">
        <f>IF($I4601="","",IF(ISNUMBER($I4601),TEXT($I4601,"0"),$I4601))</f>
        <v/>
      </c>
    </row>
    <row r="4602">
      <c r="B4602" s="25" t="n"/>
      <c r="I4602" s="25" t="n"/>
      <c r="U4602" s="19">
        <f>IF($V4602&lt;&gt;'設定'!$C$4,N(U4601),IF(OR(NOT(COUNTIF('商品マスタ'!$B$6:$B$1005,$W4602)=0),COUNTIFS('①在庫を貼る'!$V$6:$V$10005,$V4602,'①在庫を貼る'!$W$6:$W$10005,$W4602)&gt;0),N(U4601),N(U4601)+1))</f>
        <v/>
      </c>
      <c r="V4602" s="19">
        <f>IF($B4602="","",TEXT($B4602,"0000"))</f>
        <v/>
      </c>
      <c r="W4602" s="19">
        <f>IF($I4602="","",IF(ISNUMBER($I4602),TEXT($I4602,"0"),$I4602))</f>
        <v/>
      </c>
    </row>
    <row r="4603">
      <c r="B4603" s="25" t="n"/>
      <c r="I4603" s="25" t="n"/>
      <c r="U4603" s="19">
        <f>IF($V4603&lt;&gt;'設定'!$C$4,N(U4602),IF(OR(NOT(COUNTIF('商品マスタ'!$B$6:$B$1005,$W4603)=0),COUNTIFS('①在庫を貼る'!$V$6:$V$10005,$V4603,'①在庫を貼る'!$W$6:$W$10005,$W4603)&gt;0),N(U4602),N(U4602)+1))</f>
        <v/>
      </c>
      <c r="V4603" s="19">
        <f>IF($B4603="","",TEXT($B4603,"0000"))</f>
        <v/>
      </c>
      <c r="W4603" s="19">
        <f>IF($I4603="","",IF(ISNUMBER($I4603),TEXT($I4603,"0"),$I4603))</f>
        <v/>
      </c>
    </row>
    <row r="4604">
      <c r="B4604" s="25" t="n"/>
      <c r="I4604" s="25" t="n"/>
      <c r="U4604" s="19">
        <f>IF($V4604&lt;&gt;'設定'!$C$4,N(U4603),IF(OR(NOT(COUNTIF('商品マスタ'!$B$6:$B$1005,$W4604)=0),COUNTIFS('①在庫を貼る'!$V$6:$V$10005,$V4604,'①在庫を貼る'!$W$6:$W$10005,$W4604)&gt;0),N(U4603),N(U4603)+1))</f>
        <v/>
      </c>
      <c r="V4604" s="19">
        <f>IF($B4604="","",TEXT($B4604,"0000"))</f>
        <v/>
      </c>
      <c r="W4604" s="19">
        <f>IF($I4604="","",IF(ISNUMBER($I4604),TEXT($I4604,"0"),$I4604))</f>
        <v/>
      </c>
    </row>
    <row r="4605">
      <c r="B4605" s="25" t="n"/>
      <c r="I4605" s="25" t="n"/>
      <c r="U4605" s="19">
        <f>IF($V4605&lt;&gt;'設定'!$C$4,N(U4604),IF(OR(NOT(COUNTIF('商品マスタ'!$B$6:$B$1005,$W4605)=0),COUNTIFS('①在庫を貼る'!$V$6:$V$10005,$V4605,'①在庫を貼る'!$W$6:$W$10005,$W4605)&gt;0),N(U4604),N(U4604)+1))</f>
        <v/>
      </c>
      <c r="V4605" s="19">
        <f>IF($B4605="","",TEXT($B4605,"0000"))</f>
        <v/>
      </c>
      <c r="W4605" s="19">
        <f>IF($I4605="","",IF(ISNUMBER($I4605),TEXT($I4605,"0"),$I4605))</f>
        <v/>
      </c>
    </row>
    <row r="4606">
      <c r="B4606" s="25" t="n"/>
      <c r="I4606" s="25" t="n"/>
      <c r="U4606" s="19">
        <f>IF($V4606&lt;&gt;'設定'!$C$4,N(U4605),IF(OR(NOT(COUNTIF('商品マスタ'!$B$6:$B$1005,$W4606)=0),COUNTIFS('①在庫を貼る'!$V$6:$V$10005,$V4606,'①在庫を貼る'!$W$6:$W$10005,$W4606)&gt;0),N(U4605),N(U4605)+1))</f>
        <v/>
      </c>
      <c r="V4606" s="19">
        <f>IF($B4606="","",TEXT($B4606,"0000"))</f>
        <v/>
      </c>
      <c r="W4606" s="19">
        <f>IF($I4606="","",IF(ISNUMBER($I4606),TEXT($I4606,"0"),$I4606))</f>
        <v/>
      </c>
    </row>
    <row r="4607">
      <c r="B4607" s="25" t="n"/>
      <c r="I4607" s="25" t="n"/>
      <c r="U4607" s="19">
        <f>IF($V4607&lt;&gt;'設定'!$C$4,N(U4606),IF(OR(NOT(COUNTIF('商品マスタ'!$B$6:$B$1005,$W4607)=0),COUNTIFS('①在庫を貼る'!$V$6:$V$10005,$V4607,'①在庫を貼る'!$W$6:$W$10005,$W4607)&gt;0),N(U4606),N(U4606)+1))</f>
        <v/>
      </c>
      <c r="V4607" s="19">
        <f>IF($B4607="","",TEXT($B4607,"0000"))</f>
        <v/>
      </c>
      <c r="W4607" s="19">
        <f>IF($I4607="","",IF(ISNUMBER($I4607),TEXT($I4607,"0"),$I4607))</f>
        <v/>
      </c>
    </row>
    <row r="4608">
      <c r="B4608" s="25" t="n"/>
      <c r="I4608" s="25" t="n"/>
      <c r="U4608" s="19">
        <f>IF($V4608&lt;&gt;'設定'!$C$4,N(U4607),IF(OR(NOT(COUNTIF('商品マスタ'!$B$6:$B$1005,$W4608)=0),COUNTIFS('①在庫を貼る'!$V$6:$V$10005,$V4608,'①在庫を貼る'!$W$6:$W$10005,$W4608)&gt;0),N(U4607),N(U4607)+1))</f>
        <v/>
      </c>
      <c r="V4608" s="19">
        <f>IF($B4608="","",TEXT($B4608,"0000"))</f>
        <v/>
      </c>
      <c r="W4608" s="19">
        <f>IF($I4608="","",IF(ISNUMBER($I4608),TEXT($I4608,"0"),$I4608))</f>
        <v/>
      </c>
    </row>
    <row r="4609">
      <c r="B4609" s="25" t="n"/>
      <c r="I4609" s="25" t="n"/>
      <c r="U4609" s="19">
        <f>IF($V4609&lt;&gt;'設定'!$C$4,N(U4608),IF(OR(NOT(COUNTIF('商品マスタ'!$B$6:$B$1005,$W4609)=0),COUNTIFS('①在庫を貼る'!$V$6:$V$10005,$V4609,'①在庫を貼る'!$W$6:$W$10005,$W4609)&gt;0),N(U4608),N(U4608)+1))</f>
        <v/>
      </c>
      <c r="V4609" s="19">
        <f>IF($B4609="","",TEXT($B4609,"0000"))</f>
        <v/>
      </c>
      <c r="W4609" s="19">
        <f>IF($I4609="","",IF(ISNUMBER($I4609),TEXT($I4609,"0"),$I4609))</f>
        <v/>
      </c>
    </row>
    <row r="4610">
      <c r="B4610" s="25" t="n"/>
      <c r="I4610" s="25" t="n"/>
      <c r="U4610" s="19">
        <f>IF($V4610&lt;&gt;'設定'!$C$4,N(U4609),IF(OR(NOT(COUNTIF('商品マスタ'!$B$6:$B$1005,$W4610)=0),COUNTIFS('①在庫を貼る'!$V$6:$V$10005,$V4610,'①在庫を貼る'!$W$6:$W$10005,$W4610)&gt;0),N(U4609),N(U4609)+1))</f>
        <v/>
      </c>
      <c r="V4610" s="19">
        <f>IF($B4610="","",TEXT($B4610,"0000"))</f>
        <v/>
      </c>
      <c r="W4610" s="19">
        <f>IF($I4610="","",IF(ISNUMBER($I4610),TEXT($I4610,"0"),$I4610))</f>
        <v/>
      </c>
    </row>
    <row r="4611">
      <c r="B4611" s="25" t="n"/>
      <c r="I4611" s="25" t="n"/>
      <c r="U4611" s="19">
        <f>IF($V4611&lt;&gt;'設定'!$C$4,N(U4610),IF(OR(NOT(COUNTIF('商品マスタ'!$B$6:$B$1005,$W4611)=0),COUNTIFS('①在庫を貼る'!$V$6:$V$10005,$V4611,'①在庫を貼る'!$W$6:$W$10005,$W4611)&gt;0),N(U4610),N(U4610)+1))</f>
        <v/>
      </c>
      <c r="V4611" s="19">
        <f>IF($B4611="","",TEXT($B4611,"0000"))</f>
        <v/>
      </c>
      <c r="W4611" s="19">
        <f>IF($I4611="","",IF(ISNUMBER($I4611),TEXT($I4611,"0"),$I4611))</f>
        <v/>
      </c>
    </row>
    <row r="4612">
      <c r="B4612" s="25" t="n"/>
      <c r="I4612" s="25" t="n"/>
      <c r="U4612" s="19">
        <f>IF($V4612&lt;&gt;'設定'!$C$4,N(U4611),IF(OR(NOT(COUNTIF('商品マスタ'!$B$6:$B$1005,$W4612)=0),COUNTIFS('①在庫を貼る'!$V$6:$V$10005,$V4612,'①在庫を貼る'!$W$6:$W$10005,$W4612)&gt;0),N(U4611),N(U4611)+1))</f>
        <v/>
      </c>
      <c r="V4612" s="19">
        <f>IF($B4612="","",TEXT($B4612,"0000"))</f>
        <v/>
      </c>
      <c r="W4612" s="19">
        <f>IF($I4612="","",IF(ISNUMBER($I4612),TEXT($I4612,"0"),$I4612))</f>
        <v/>
      </c>
    </row>
    <row r="4613">
      <c r="B4613" s="25" t="n"/>
      <c r="I4613" s="25" t="n"/>
      <c r="U4613" s="19">
        <f>IF($V4613&lt;&gt;'設定'!$C$4,N(U4612),IF(OR(NOT(COUNTIF('商品マスタ'!$B$6:$B$1005,$W4613)=0),COUNTIFS('①在庫を貼る'!$V$6:$V$10005,$V4613,'①在庫を貼る'!$W$6:$W$10005,$W4613)&gt;0),N(U4612),N(U4612)+1))</f>
        <v/>
      </c>
      <c r="V4613" s="19">
        <f>IF($B4613="","",TEXT($B4613,"0000"))</f>
        <v/>
      </c>
      <c r="W4613" s="19">
        <f>IF($I4613="","",IF(ISNUMBER($I4613),TEXT($I4613,"0"),$I4613))</f>
        <v/>
      </c>
    </row>
    <row r="4614">
      <c r="B4614" s="25" t="n"/>
      <c r="I4614" s="25" t="n"/>
      <c r="U4614" s="19">
        <f>IF($V4614&lt;&gt;'設定'!$C$4,N(U4613),IF(OR(NOT(COUNTIF('商品マスタ'!$B$6:$B$1005,$W4614)=0),COUNTIFS('①在庫を貼る'!$V$6:$V$10005,$V4614,'①在庫を貼る'!$W$6:$W$10005,$W4614)&gt;0),N(U4613),N(U4613)+1))</f>
        <v/>
      </c>
      <c r="V4614" s="19">
        <f>IF($B4614="","",TEXT($B4614,"0000"))</f>
        <v/>
      </c>
      <c r="W4614" s="19">
        <f>IF($I4614="","",IF(ISNUMBER($I4614),TEXT($I4614,"0"),$I4614))</f>
        <v/>
      </c>
    </row>
    <row r="4615">
      <c r="B4615" s="25" t="n"/>
      <c r="I4615" s="25" t="n"/>
      <c r="U4615" s="19">
        <f>IF($V4615&lt;&gt;'設定'!$C$4,N(U4614),IF(OR(NOT(COUNTIF('商品マスタ'!$B$6:$B$1005,$W4615)=0),COUNTIFS('①在庫を貼る'!$V$6:$V$10005,$V4615,'①在庫を貼る'!$W$6:$W$10005,$W4615)&gt;0),N(U4614),N(U4614)+1))</f>
        <v/>
      </c>
      <c r="V4615" s="19">
        <f>IF($B4615="","",TEXT($B4615,"0000"))</f>
        <v/>
      </c>
      <c r="W4615" s="19">
        <f>IF($I4615="","",IF(ISNUMBER($I4615),TEXT($I4615,"0"),$I4615))</f>
        <v/>
      </c>
    </row>
    <row r="4616">
      <c r="B4616" s="25" t="n"/>
      <c r="I4616" s="25" t="n"/>
      <c r="U4616" s="19">
        <f>IF($V4616&lt;&gt;'設定'!$C$4,N(U4615),IF(OR(NOT(COUNTIF('商品マスタ'!$B$6:$B$1005,$W4616)=0),COUNTIFS('①在庫を貼る'!$V$6:$V$10005,$V4616,'①在庫を貼る'!$W$6:$W$10005,$W4616)&gt;0),N(U4615),N(U4615)+1))</f>
        <v/>
      </c>
      <c r="V4616" s="19">
        <f>IF($B4616="","",TEXT($B4616,"0000"))</f>
        <v/>
      </c>
      <c r="W4616" s="19">
        <f>IF($I4616="","",IF(ISNUMBER($I4616),TEXT($I4616,"0"),$I4616))</f>
        <v/>
      </c>
    </row>
    <row r="4617">
      <c r="B4617" s="25" t="n"/>
      <c r="I4617" s="25" t="n"/>
      <c r="U4617" s="19">
        <f>IF($V4617&lt;&gt;'設定'!$C$4,N(U4616),IF(OR(NOT(COUNTIF('商品マスタ'!$B$6:$B$1005,$W4617)=0),COUNTIFS('①在庫を貼る'!$V$6:$V$10005,$V4617,'①在庫を貼る'!$W$6:$W$10005,$W4617)&gt;0),N(U4616),N(U4616)+1))</f>
        <v/>
      </c>
      <c r="V4617" s="19">
        <f>IF($B4617="","",TEXT($B4617,"0000"))</f>
        <v/>
      </c>
      <c r="W4617" s="19">
        <f>IF($I4617="","",IF(ISNUMBER($I4617),TEXT($I4617,"0"),$I4617))</f>
        <v/>
      </c>
    </row>
    <row r="4618">
      <c r="B4618" s="25" t="n"/>
      <c r="I4618" s="25" t="n"/>
      <c r="U4618" s="19">
        <f>IF($V4618&lt;&gt;'設定'!$C$4,N(U4617),IF(OR(NOT(COUNTIF('商品マスタ'!$B$6:$B$1005,$W4618)=0),COUNTIFS('①在庫を貼る'!$V$6:$V$10005,$V4618,'①在庫を貼る'!$W$6:$W$10005,$W4618)&gt;0),N(U4617),N(U4617)+1))</f>
        <v/>
      </c>
      <c r="V4618" s="19">
        <f>IF($B4618="","",TEXT($B4618,"0000"))</f>
        <v/>
      </c>
      <c r="W4618" s="19">
        <f>IF($I4618="","",IF(ISNUMBER($I4618),TEXT($I4618,"0"),$I4618))</f>
        <v/>
      </c>
    </row>
    <row r="4619">
      <c r="B4619" s="25" t="n"/>
      <c r="I4619" s="25" t="n"/>
      <c r="U4619" s="19">
        <f>IF($V4619&lt;&gt;'設定'!$C$4,N(U4618),IF(OR(NOT(COUNTIF('商品マスタ'!$B$6:$B$1005,$W4619)=0),COUNTIFS('①在庫を貼る'!$V$6:$V$10005,$V4619,'①在庫を貼る'!$W$6:$W$10005,$W4619)&gt;0),N(U4618),N(U4618)+1))</f>
        <v/>
      </c>
      <c r="V4619" s="19">
        <f>IF($B4619="","",TEXT($B4619,"0000"))</f>
        <v/>
      </c>
      <c r="W4619" s="19">
        <f>IF($I4619="","",IF(ISNUMBER($I4619),TEXT($I4619,"0"),$I4619))</f>
        <v/>
      </c>
    </row>
    <row r="4620">
      <c r="B4620" s="25" t="n"/>
      <c r="I4620" s="25" t="n"/>
      <c r="U4620" s="19">
        <f>IF($V4620&lt;&gt;'設定'!$C$4,N(U4619),IF(OR(NOT(COUNTIF('商品マスタ'!$B$6:$B$1005,$W4620)=0),COUNTIFS('①在庫を貼る'!$V$6:$V$10005,$V4620,'①在庫を貼る'!$W$6:$W$10005,$W4620)&gt;0),N(U4619),N(U4619)+1))</f>
        <v/>
      </c>
      <c r="V4620" s="19">
        <f>IF($B4620="","",TEXT($B4620,"0000"))</f>
        <v/>
      </c>
      <c r="W4620" s="19">
        <f>IF($I4620="","",IF(ISNUMBER($I4620),TEXT($I4620,"0"),$I4620))</f>
        <v/>
      </c>
    </row>
    <row r="4621">
      <c r="B4621" s="25" t="n"/>
      <c r="I4621" s="25" t="n"/>
      <c r="U4621" s="19">
        <f>IF($V4621&lt;&gt;'設定'!$C$4,N(U4620),IF(OR(NOT(COUNTIF('商品マスタ'!$B$6:$B$1005,$W4621)=0),COUNTIFS('①在庫を貼る'!$V$6:$V$10005,$V4621,'①在庫を貼る'!$W$6:$W$10005,$W4621)&gt;0),N(U4620),N(U4620)+1))</f>
        <v/>
      </c>
      <c r="V4621" s="19">
        <f>IF($B4621="","",TEXT($B4621,"0000"))</f>
        <v/>
      </c>
      <c r="W4621" s="19">
        <f>IF($I4621="","",IF(ISNUMBER($I4621),TEXT($I4621,"0"),$I4621))</f>
        <v/>
      </c>
    </row>
    <row r="4622">
      <c r="B4622" s="25" t="n"/>
      <c r="I4622" s="25" t="n"/>
      <c r="U4622" s="19">
        <f>IF($V4622&lt;&gt;'設定'!$C$4,N(U4621),IF(OR(NOT(COUNTIF('商品マスタ'!$B$6:$B$1005,$W4622)=0),COUNTIFS('①在庫を貼る'!$V$6:$V$10005,$V4622,'①在庫を貼る'!$W$6:$W$10005,$W4622)&gt;0),N(U4621),N(U4621)+1))</f>
        <v/>
      </c>
      <c r="V4622" s="19">
        <f>IF($B4622="","",TEXT($B4622,"0000"))</f>
        <v/>
      </c>
      <c r="W4622" s="19">
        <f>IF($I4622="","",IF(ISNUMBER($I4622),TEXT($I4622,"0"),$I4622))</f>
        <v/>
      </c>
    </row>
    <row r="4623">
      <c r="B4623" s="25" t="n"/>
      <c r="I4623" s="25" t="n"/>
      <c r="U4623" s="19">
        <f>IF($V4623&lt;&gt;'設定'!$C$4,N(U4622),IF(OR(NOT(COUNTIF('商品マスタ'!$B$6:$B$1005,$W4623)=0),COUNTIFS('①在庫を貼る'!$V$6:$V$10005,$V4623,'①在庫を貼る'!$W$6:$W$10005,$W4623)&gt;0),N(U4622),N(U4622)+1))</f>
        <v/>
      </c>
      <c r="V4623" s="19">
        <f>IF($B4623="","",TEXT($B4623,"0000"))</f>
        <v/>
      </c>
      <c r="W4623" s="19">
        <f>IF($I4623="","",IF(ISNUMBER($I4623),TEXT($I4623,"0"),$I4623))</f>
        <v/>
      </c>
    </row>
    <row r="4624">
      <c r="B4624" s="25" t="n"/>
      <c r="I4624" s="25" t="n"/>
      <c r="U4624" s="19">
        <f>IF($V4624&lt;&gt;'設定'!$C$4,N(U4623),IF(OR(NOT(COUNTIF('商品マスタ'!$B$6:$B$1005,$W4624)=0),COUNTIFS('①在庫を貼る'!$V$6:$V$10005,$V4624,'①在庫を貼る'!$W$6:$W$10005,$W4624)&gt;0),N(U4623),N(U4623)+1))</f>
        <v/>
      </c>
      <c r="V4624" s="19">
        <f>IF($B4624="","",TEXT($B4624,"0000"))</f>
        <v/>
      </c>
      <c r="W4624" s="19">
        <f>IF($I4624="","",IF(ISNUMBER($I4624),TEXT($I4624,"0"),$I4624))</f>
        <v/>
      </c>
    </row>
    <row r="4625">
      <c r="B4625" s="25" t="n"/>
      <c r="I4625" s="25" t="n"/>
      <c r="U4625" s="19">
        <f>IF($V4625&lt;&gt;'設定'!$C$4,N(U4624),IF(OR(NOT(COUNTIF('商品マスタ'!$B$6:$B$1005,$W4625)=0),COUNTIFS('①在庫を貼る'!$V$6:$V$10005,$V4625,'①在庫を貼る'!$W$6:$W$10005,$W4625)&gt;0),N(U4624),N(U4624)+1))</f>
        <v/>
      </c>
      <c r="V4625" s="19">
        <f>IF($B4625="","",TEXT($B4625,"0000"))</f>
        <v/>
      </c>
      <c r="W4625" s="19">
        <f>IF($I4625="","",IF(ISNUMBER($I4625),TEXT($I4625,"0"),$I4625))</f>
        <v/>
      </c>
    </row>
    <row r="4626">
      <c r="B4626" s="25" t="n"/>
      <c r="I4626" s="25" t="n"/>
      <c r="U4626" s="19">
        <f>IF($V4626&lt;&gt;'設定'!$C$4,N(U4625),IF(OR(NOT(COUNTIF('商品マスタ'!$B$6:$B$1005,$W4626)=0),COUNTIFS('①在庫を貼る'!$V$6:$V$10005,$V4626,'①在庫を貼る'!$W$6:$W$10005,$W4626)&gt;0),N(U4625),N(U4625)+1))</f>
        <v/>
      </c>
      <c r="V4626" s="19">
        <f>IF($B4626="","",TEXT($B4626,"0000"))</f>
        <v/>
      </c>
      <c r="W4626" s="19">
        <f>IF($I4626="","",IF(ISNUMBER($I4626),TEXT($I4626,"0"),$I4626))</f>
        <v/>
      </c>
    </row>
    <row r="4627">
      <c r="B4627" s="25" t="n"/>
      <c r="I4627" s="25" t="n"/>
      <c r="U4627" s="19">
        <f>IF($V4627&lt;&gt;'設定'!$C$4,N(U4626),IF(OR(NOT(COUNTIF('商品マスタ'!$B$6:$B$1005,$W4627)=0),COUNTIFS('①在庫を貼る'!$V$6:$V$10005,$V4627,'①在庫を貼る'!$W$6:$W$10005,$W4627)&gt;0),N(U4626),N(U4626)+1))</f>
        <v/>
      </c>
      <c r="V4627" s="19">
        <f>IF($B4627="","",TEXT($B4627,"0000"))</f>
        <v/>
      </c>
      <c r="W4627" s="19">
        <f>IF($I4627="","",IF(ISNUMBER($I4627),TEXT($I4627,"0"),$I4627))</f>
        <v/>
      </c>
    </row>
    <row r="4628">
      <c r="B4628" s="25" t="n"/>
      <c r="I4628" s="25" t="n"/>
      <c r="U4628" s="19">
        <f>IF($V4628&lt;&gt;'設定'!$C$4,N(U4627),IF(OR(NOT(COUNTIF('商品マスタ'!$B$6:$B$1005,$W4628)=0),COUNTIFS('①在庫を貼る'!$V$6:$V$10005,$V4628,'①在庫を貼る'!$W$6:$W$10005,$W4628)&gt;0),N(U4627),N(U4627)+1))</f>
        <v/>
      </c>
      <c r="V4628" s="19">
        <f>IF($B4628="","",TEXT($B4628,"0000"))</f>
        <v/>
      </c>
      <c r="W4628" s="19">
        <f>IF($I4628="","",IF(ISNUMBER($I4628),TEXT($I4628,"0"),$I4628))</f>
        <v/>
      </c>
    </row>
    <row r="4629">
      <c r="B4629" s="25" t="n"/>
      <c r="I4629" s="25" t="n"/>
      <c r="U4629" s="19">
        <f>IF($V4629&lt;&gt;'設定'!$C$4,N(U4628),IF(OR(NOT(COUNTIF('商品マスタ'!$B$6:$B$1005,$W4629)=0),COUNTIFS('①在庫を貼る'!$V$6:$V$10005,$V4629,'①在庫を貼る'!$W$6:$W$10005,$W4629)&gt;0),N(U4628),N(U4628)+1))</f>
        <v/>
      </c>
      <c r="V4629" s="19">
        <f>IF($B4629="","",TEXT($B4629,"0000"))</f>
        <v/>
      </c>
      <c r="W4629" s="19">
        <f>IF($I4629="","",IF(ISNUMBER($I4629),TEXT($I4629,"0"),$I4629))</f>
        <v/>
      </c>
    </row>
    <row r="4630">
      <c r="B4630" s="25" t="n"/>
      <c r="I4630" s="25" t="n"/>
      <c r="U4630" s="19">
        <f>IF($V4630&lt;&gt;'設定'!$C$4,N(U4629),IF(OR(NOT(COUNTIF('商品マスタ'!$B$6:$B$1005,$W4630)=0),COUNTIFS('①在庫を貼る'!$V$6:$V$10005,$V4630,'①在庫を貼る'!$W$6:$W$10005,$W4630)&gt;0),N(U4629),N(U4629)+1))</f>
        <v/>
      </c>
      <c r="V4630" s="19">
        <f>IF($B4630="","",TEXT($B4630,"0000"))</f>
        <v/>
      </c>
      <c r="W4630" s="19">
        <f>IF($I4630="","",IF(ISNUMBER($I4630),TEXT($I4630,"0"),$I4630))</f>
        <v/>
      </c>
    </row>
    <row r="4631">
      <c r="B4631" s="25" t="n"/>
      <c r="I4631" s="25" t="n"/>
      <c r="U4631" s="19">
        <f>IF($V4631&lt;&gt;'設定'!$C$4,N(U4630),IF(OR(NOT(COUNTIF('商品マスタ'!$B$6:$B$1005,$W4631)=0),COUNTIFS('①在庫を貼る'!$V$6:$V$10005,$V4631,'①在庫を貼る'!$W$6:$W$10005,$W4631)&gt;0),N(U4630),N(U4630)+1))</f>
        <v/>
      </c>
      <c r="V4631" s="19">
        <f>IF($B4631="","",TEXT($B4631,"0000"))</f>
        <v/>
      </c>
      <c r="W4631" s="19">
        <f>IF($I4631="","",IF(ISNUMBER($I4631),TEXT($I4631,"0"),$I4631))</f>
        <v/>
      </c>
    </row>
    <row r="4632">
      <c r="B4632" s="25" t="n"/>
      <c r="I4632" s="25" t="n"/>
      <c r="U4632" s="19">
        <f>IF($V4632&lt;&gt;'設定'!$C$4,N(U4631),IF(OR(NOT(COUNTIF('商品マスタ'!$B$6:$B$1005,$W4632)=0),COUNTIFS('①在庫を貼る'!$V$6:$V$10005,$V4632,'①在庫を貼る'!$W$6:$W$10005,$W4632)&gt;0),N(U4631),N(U4631)+1))</f>
        <v/>
      </c>
      <c r="V4632" s="19">
        <f>IF($B4632="","",TEXT($B4632,"0000"))</f>
        <v/>
      </c>
      <c r="W4632" s="19">
        <f>IF($I4632="","",IF(ISNUMBER($I4632),TEXT($I4632,"0"),$I4632))</f>
        <v/>
      </c>
    </row>
    <row r="4633">
      <c r="B4633" s="25" t="n"/>
      <c r="I4633" s="25" t="n"/>
      <c r="U4633" s="19">
        <f>IF($V4633&lt;&gt;'設定'!$C$4,N(U4632),IF(OR(NOT(COUNTIF('商品マスタ'!$B$6:$B$1005,$W4633)=0),COUNTIFS('①在庫を貼る'!$V$6:$V$10005,$V4633,'①在庫を貼る'!$W$6:$W$10005,$W4633)&gt;0),N(U4632),N(U4632)+1))</f>
        <v/>
      </c>
      <c r="V4633" s="19">
        <f>IF($B4633="","",TEXT($B4633,"0000"))</f>
        <v/>
      </c>
      <c r="W4633" s="19">
        <f>IF($I4633="","",IF(ISNUMBER($I4633),TEXT($I4633,"0"),$I4633))</f>
        <v/>
      </c>
    </row>
    <row r="4634">
      <c r="B4634" s="25" t="n"/>
      <c r="I4634" s="25" t="n"/>
      <c r="U4634" s="19">
        <f>IF($V4634&lt;&gt;'設定'!$C$4,N(U4633),IF(OR(NOT(COUNTIF('商品マスタ'!$B$6:$B$1005,$W4634)=0),COUNTIFS('①在庫を貼る'!$V$6:$V$10005,$V4634,'①在庫を貼る'!$W$6:$W$10005,$W4634)&gt;0),N(U4633),N(U4633)+1))</f>
        <v/>
      </c>
      <c r="V4634" s="19">
        <f>IF($B4634="","",TEXT($B4634,"0000"))</f>
        <v/>
      </c>
      <c r="W4634" s="19">
        <f>IF($I4634="","",IF(ISNUMBER($I4634),TEXT($I4634,"0"),$I4634))</f>
        <v/>
      </c>
    </row>
    <row r="4635">
      <c r="B4635" s="25" t="n"/>
      <c r="I4635" s="25" t="n"/>
      <c r="U4635" s="19">
        <f>IF($V4635&lt;&gt;'設定'!$C$4,N(U4634),IF(OR(NOT(COUNTIF('商品マスタ'!$B$6:$B$1005,$W4635)=0),COUNTIFS('①在庫を貼る'!$V$6:$V$10005,$V4635,'①在庫を貼る'!$W$6:$W$10005,$W4635)&gt;0),N(U4634),N(U4634)+1))</f>
        <v/>
      </c>
      <c r="V4635" s="19">
        <f>IF($B4635="","",TEXT($B4635,"0000"))</f>
        <v/>
      </c>
      <c r="W4635" s="19">
        <f>IF($I4635="","",IF(ISNUMBER($I4635),TEXT($I4635,"0"),$I4635))</f>
        <v/>
      </c>
    </row>
    <row r="4636">
      <c r="B4636" s="25" t="n"/>
      <c r="I4636" s="25" t="n"/>
      <c r="U4636" s="19">
        <f>IF($V4636&lt;&gt;'設定'!$C$4,N(U4635),IF(OR(NOT(COUNTIF('商品マスタ'!$B$6:$B$1005,$W4636)=0),COUNTIFS('①在庫を貼る'!$V$6:$V$10005,$V4636,'①在庫を貼る'!$W$6:$W$10005,$W4636)&gt;0),N(U4635),N(U4635)+1))</f>
        <v/>
      </c>
      <c r="V4636" s="19">
        <f>IF($B4636="","",TEXT($B4636,"0000"))</f>
        <v/>
      </c>
      <c r="W4636" s="19">
        <f>IF($I4636="","",IF(ISNUMBER($I4636),TEXT($I4636,"0"),$I4636))</f>
        <v/>
      </c>
    </row>
    <row r="4637">
      <c r="B4637" s="25" t="n"/>
      <c r="I4637" s="25" t="n"/>
      <c r="U4637" s="19">
        <f>IF($V4637&lt;&gt;'設定'!$C$4,N(U4636),IF(OR(NOT(COUNTIF('商品マスタ'!$B$6:$B$1005,$W4637)=0),COUNTIFS('①在庫を貼る'!$V$6:$V$10005,$V4637,'①在庫を貼る'!$W$6:$W$10005,$W4637)&gt;0),N(U4636),N(U4636)+1))</f>
        <v/>
      </c>
      <c r="V4637" s="19">
        <f>IF($B4637="","",TEXT($B4637,"0000"))</f>
        <v/>
      </c>
      <c r="W4637" s="19">
        <f>IF($I4637="","",IF(ISNUMBER($I4637),TEXT($I4637,"0"),$I4637))</f>
        <v/>
      </c>
    </row>
    <row r="4638">
      <c r="B4638" s="25" t="n"/>
      <c r="I4638" s="25" t="n"/>
      <c r="U4638" s="19">
        <f>IF($V4638&lt;&gt;'設定'!$C$4,N(U4637),IF(OR(NOT(COUNTIF('商品マスタ'!$B$6:$B$1005,$W4638)=0),COUNTIFS('①在庫を貼る'!$V$6:$V$10005,$V4638,'①在庫を貼る'!$W$6:$W$10005,$W4638)&gt;0),N(U4637),N(U4637)+1))</f>
        <v/>
      </c>
      <c r="V4638" s="19">
        <f>IF($B4638="","",TEXT($B4638,"0000"))</f>
        <v/>
      </c>
      <c r="W4638" s="19">
        <f>IF($I4638="","",IF(ISNUMBER($I4638),TEXT($I4638,"0"),$I4638))</f>
        <v/>
      </c>
    </row>
    <row r="4639">
      <c r="B4639" s="25" t="n"/>
      <c r="I4639" s="25" t="n"/>
      <c r="U4639" s="19">
        <f>IF($V4639&lt;&gt;'設定'!$C$4,N(U4638),IF(OR(NOT(COUNTIF('商品マスタ'!$B$6:$B$1005,$W4639)=0),COUNTIFS('①在庫を貼る'!$V$6:$V$10005,$V4639,'①在庫を貼る'!$W$6:$W$10005,$W4639)&gt;0),N(U4638),N(U4638)+1))</f>
        <v/>
      </c>
      <c r="V4639" s="19">
        <f>IF($B4639="","",TEXT($B4639,"0000"))</f>
        <v/>
      </c>
      <c r="W4639" s="19">
        <f>IF($I4639="","",IF(ISNUMBER($I4639),TEXT($I4639,"0"),$I4639))</f>
        <v/>
      </c>
    </row>
    <row r="4640">
      <c r="B4640" s="25" t="n"/>
      <c r="I4640" s="25" t="n"/>
      <c r="U4640" s="19">
        <f>IF($V4640&lt;&gt;'設定'!$C$4,N(U4639),IF(OR(NOT(COUNTIF('商品マスタ'!$B$6:$B$1005,$W4640)=0),COUNTIFS('①在庫を貼る'!$V$6:$V$10005,$V4640,'①在庫を貼る'!$W$6:$W$10005,$W4640)&gt;0),N(U4639),N(U4639)+1))</f>
        <v/>
      </c>
      <c r="V4640" s="19">
        <f>IF($B4640="","",TEXT($B4640,"0000"))</f>
        <v/>
      </c>
      <c r="W4640" s="19">
        <f>IF($I4640="","",IF(ISNUMBER($I4640),TEXT($I4640,"0"),$I4640))</f>
        <v/>
      </c>
    </row>
    <row r="4641">
      <c r="B4641" s="25" t="n"/>
      <c r="I4641" s="25" t="n"/>
      <c r="U4641" s="19">
        <f>IF($V4641&lt;&gt;'設定'!$C$4,N(U4640),IF(OR(NOT(COUNTIF('商品マスタ'!$B$6:$B$1005,$W4641)=0),COUNTIFS('①在庫を貼る'!$V$6:$V$10005,$V4641,'①在庫を貼る'!$W$6:$W$10005,$W4641)&gt;0),N(U4640),N(U4640)+1))</f>
        <v/>
      </c>
      <c r="V4641" s="19">
        <f>IF($B4641="","",TEXT($B4641,"0000"))</f>
        <v/>
      </c>
      <c r="W4641" s="19">
        <f>IF($I4641="","",IF(ISNUMBER($I4641),TEXT($I4641,"0"),$I4641))</f>
        <v/>
      </c>
    </row>
    <row r="4642">
      <c r="B4642" s="25" t="n"/>
      <c r="I4642" s="25" t="n"/>
      <c r="U4642" s="19">
        <f>IF($V4642&lt;&gt;'設定'!$C$4,N(U4641),IF(OR(NOT(COUNTIF('商品マスタ'!$B$6:$B$1005,$W4642)=0),COUNTIFS('①在庫を貼る'!$V$6:$V$10005,$V4642,'①在庫を貼る'!$W$6:$W$10005,$W4642)&gt;0),N(U4641),N(U4641)+1))</f>
        <v/>
      </c>
      <c r="V4642" s="19">
        <f>IF($B4642="","",TEXT($B4642,"0000"))</f>
        <v/>
      </c>
      <c r="W4642" s="19">
        <f>IF($I4642="","",IF(ISNUMBER($I4642),TEXT($I4642,"0"),$I4642))</f>
        <v/>
      </c>
    </row>
    <row r="4643">
      <c r="B4643" s="25" t="n"/>
      <c r="I4643" s="25" t="n"/>
      <c r="U4643" s="19">
        <f>IF($V4643&lt;&gt;'設定'!$C$4,N(U4642),IF(OR(NOT(COUNTIF('商品マスタ'!$B$6:$B$1005,$W4643)=0),COUNTIFS('①在庫を貼る'!$V$6:$V$10005,$V4643,'①在庫を貼る'!$W$6:$W$10005,$W4643)&gt;0),N(U4642),N(U4642)+1))</f>
        <v/>
      </c>
      <c r="V4643" s="19">
        <f>IF($B4643="","",TEXT($B4643,"0000"))</f>
        <v/>
      </c>
      <c r="W4643" s="19">
        <f>IF($I4643="","",IF(ISNUMBER($I4643),TEXT($I4643,"0"),$I4643))</f>
        <v/>
      </c>
    </row>
    <row r="4644">
      <c r="B4644" s="25" t="n"/>
      <c r="I4644" s="25" t="n"/>
      <c r="U4644" s="19">
        <f>IF($V4644&lt;&gt;'設定'!$C$4,N(U4643),IF(OR(NOT(COUNTIF('商品マスタ'!$B$6:$B$1005,$W4644)=0),COUNTIFS('①在庫を貼る'!$V$6:$V$10005,$V4644,'①在庫を貼る'!$W$6:$W$10005,$W4644)&gt;0),N(U4643),N(U4643)+1))</f>
        <v/>
      </c>
      <c r="V4644" s="19">
        <f>IF($B4644="","",TEXT($B4644,"0000"))</f>
        <v/>
      </c>
      <c r="W4644" s="19">
        <f>IF($I4644="","",IF(ISNUMBER($I4644),TEXT($I4644,"0"),$I4644))</f>
        <v/>
      </c>
    </row>
    <row r="4645">
      <c r="B4645" s="25" t="n"/>
      <c r="I4645" s="25" t="n"/>
      <c r="U4645" s="19">
        <f>IF($V4645&lt;&gt;'設定'!$C$4,N(U4644),IF(OR(NOT(COUNTIF('商品マスタ'!$B$6:$B$1005,$W4645)=0),COUNTIFS('①在庫を貼る'!$V$6:$V$10005,$V4645,'①在庫を貼る'!$W$6:$W$10005,$W4645)&gt;0),N(U4644),N(U4644)+1))</f>
        <v/>
      </c>
      <c r="V4645" s="19">
        <f>IF($B4645="","",TEXT($B4645,"0000"))</f>
        <v/>
      </c>
      <c r="W4645" s="19">
        <f>IF($I4645="","",IF(ISNUMBER($I4645),TEXT($I4645,"0"),$I4645))</f>
        <v/>
      </c>
    </row>
    <row r="4646">
      <c r="B4646" s="25" t="n"/>
      <c r="I4646" s="25" t="n"/>
      <c r="U4646" s="19">
        <f>IF($V4646&lt;&gt;'設定'!$C$4,N(U4645),IF(OR(NOT(COUNTIF('商品マスタ'!$B$6:$B$1005,$W4646)=0),COUNTIFS('①在庫を貼る'!$V$6:$V$10005,$V4646,'①在庫を貼る'!$W$6:$W$10005,$W4646)&gt;0),N(U4645),N(U4645)+1))</f>
        <v/>
      </c>
      <c r="V4646" s="19">
        <f>IF($B4646="","",TEXT($B4646,"0000"))</f>
        <v/>
      </c>
      <c r="W4646" s="19">
        <f>IF($I4646="","",IF(ISNUMBER($I4646),TEXT($I4646,"0"),$I4646))</f>
        <v/>
      </c>
    </row>
    <row r="4647">
      <c r="B4647" s="25" t="n"/>
      <c r="I4647" s="25" t="n"/>
      <c r="U4647" s="19">
        <f>IF($V4647&lt;&gt;'設定'!$C$4,N(U4646),IF(OR(NOT(COUNTIF('商品マスタ'!$B$6:$B$1005,$W4647)=0),COUNTIFS('①在庫を貼る'!$V$6:$V$10005,$V4647,'①在庫を貼る'!$W$6:$W$10005,$W4647)&gt;0),N(U4646),N(U4646)+1))</f>
        <v/>
      </c>
      <c r="V4647" s="19">
        <f>IF($B4647="","",TEXT($B4647,"0000"))</f>
        <v/>
      </c>
      <c r="W4647" s="19">
        <f>IF($I4647="","",IF(ISNUMBER($I4647),TEXT($I4647,"0"),$I4647))</f>
        <v/>
      </c>
    </row>
    <row r="4648">
      <c r="B4648" s="25" t="n"/>
      <c r="I4648" s="25" t="n"/>
      <c r="U4648" s="19">
        <f>IF($V4648&lt;&gt;'設定'!$C$4,N(U4647),IF(OR(NOT(COUNTIF('商品マスタ'!$B$6:$B$1005,$W4648)=0),COUNTIFS('①在庫を貼る'!$V$6:$V$10005,$V4648,'①在庫を貼る'!$W$6:$W$10005,$W4648)&gt;0),N(U4647),N(U4647)+1))</f>
        <v/>
      </c>
      <c r="V4648" s="19">
        <f>IF($B4648="","",TEXT($B4648,"0000"))</f>
        <v/>
      </c>
      <c r="W4648" s="19">
        <f>IF($I4648="","",IF(ISNUMBER($I4648),TEXT($I4648,"0"),$I4648))</f>
        <v/>
      </c>
    </row>
    <row r="4649">
      <c r="B4649" s="25" t="n"/>
      <c r="I4649" s="25" t="n"/>
      <c r="U4649" s="19">
        <f>IF($V4649&lt;&gt;'設定'!$C$4,N(U4648),IF(OR(NOT(COUNTIF('商品マスタ'!$B$6:$B$1005,$W4649)=0),COUNTIFS('①在庫を貼る'!$V$6:$V$10005,$V4649,'①在庫を貼る'!$W$6:$W$10005,$W4649)&gt;0),N(U4648),N(U4648)+1))</f>
        <v/>
      </c>
      <c r="V4649" s="19">
        <f>IF($B4649="","",TEXT($B4649,"0000"))</f>
        <v/>
      </c>
      <c r="W4649" s="19">
        <f>IF($I4649="","",IF(ISNUMBER($I4649),TEXT($I4649,"0"),$I4649))</f>
        <v/>
      </c>
    </row>
    <row r="4650">
      <c r="B4650" s="25" t="n"/>
      <c r="I4650" s="25" t="n"/>
      <c r="U4650" s="19">
        <f>IF($V4650&lt;&gt;'設定'!$C$4,N(U4649),IF(OR(NOT(COUNTIF('商品マスタ'!$B$6:$B$1005,$W4650)=0),COUNTIFS('①在庫を貼る'!$V$6:$V$10005,$V4650,'①在庫を貼る'!$W$6:$W$10005,$W4650)&gt;0),N(U4649),N(U4649)+1))</f>
        <v/>
      </c>
      <c r="V4650" s="19">
        <f>IF($B4650="","",TEXT($B4650,"0000"))</f>
        <v/>
      </c>
      <c r="W4650" s="19">
        <f>IF($I4650="","",IF(ISNUMBER($I4650),TEXT($I4650,"0"),$I4650))</f>
        <v/>
      </c>
    </row>
    <row r="4651">
      <c r="B4651" s="25" t="n"/>
      <c r="I4651" s="25" t="n"/>
      <c r="U4651" s="19">
        <f>IF($V4651&lt;&gt;'設定'!$C$4,N(U4650),IF(OR(NOT(COUNTIF('商品マスタ'!$B$6:$B$1005,$W4651)=0),COUNTIFS('①在庫を貼る'!$V$6:$V$10005,$V4651,'①在庫を貼る'!$W$6:$W$10005,$W4651)&gt;0),N(U4650),N(U4650)+1))</f>
        <v/>
      </c>
      <c r="V4651" s="19">
        <f>IF($B4651="","",TEXT($B4651,"0000"))</f>
        <v/>
      </c>
      <c r="W4651" s="19">
        <f>IF($I4651="","",IF(ISNUMBER($I4651),TEXT($I4651,"0"),$I4651))</f>
        <v/>
      </c>
    </row>
    <row r="4652">
      <c r="B4652" s="25" t="n"/>
      <c r="I4652" s="25" t="n"/>
      <c r="U4652" s="19">
        <f>IF($V4652&lt;&gt;'設定'!$C$4,N(U4651),IF(OR(NOT(COUNTIF('商品マスタ'!$B$6:$B$1005,$W4652)=0),COUNTIFS('①在庫を貼る'!$V$6:$V$10005,$V4652,'①在庫を貼る'!$W$6:$W$10005,$W4652)&gt;0),N(U4651),N(U4651)+1))</f>
        <v/>
      </c>
      <c r="V4652" s="19">
        <f>IF($B4652="","",TEXT($B4652,"0000"))</f>
        <v/>
      </c>
      <c r="W4652" s="19">
        <f>IF($I4652="","",IF(ISNUMBER($I4652),TEXT($I4652,"0"),$I4652))</f>
        <v/>
      </c>
    </row>
    <row r="4653">
      <c r="B4653" s="25" t="n"/>
      <c r="I4653" s="25" t="n"/>
      <c r="U4653" s="19">
        <f>IF($V4653&lt;&gt;'設定'!$C$4,N(U4652),IF(OR(NOT(COUNTIF('商品マスタ'!$B$6:$B$1005,$W4653)=0),COUNTIFS('①在庫を貼る'!$V$6:$V$10005,$V4653,'①在庫を貼る'!$W$6:$W$10005,$W4653)&gt;0),N(U4652),N(U4652)+1))</f>
        <v/>
      </c>
      <c r="V4653" s="19">
        <f>IF($B4653="","",TEXT($B4653,"0000"))</f>
        <v/>
      </c>
      <c r="W4653" s="19">
        <f>IF($I4653="","",IF(ISNUMBER($I4653),TEXT($I4653,"0"),$I4653))</f>
        <v/>
      </c>
    </row>
    <row r="4654">
      <c r="B4654" s="25" t="n"/>
      <c r="I4654" s="25" t="n"/>
      <c r="U4654" s="19">
        <f>IF($V4654&lt;&gt;'設定'!$C$4,N(U4653),IF(OR(NOT(COUNTIF('商品マスタ'!$B$6:$B$1005,$W4654)=0),COUNTIFS('①在庫を貼る'!$V$6:$V$10005,$V4654,'①在庫を貼る'!$W$6:$W$10005,$W4654)&gt;0),N(U4653),N(U4653)+1))</f>
        <v/>
      </c>
      <c r="V4654" s="19">
        <f>IF($B4654="","",TEXT($B4654,"0000"))</f>
        <v/>
      </c>
      <c r="W4654" s="19">
        <f>IF($I4654="","",IF(ISNUMBER($I4654),TEXT($I4654,"0"),$I4654))</f>
        <v/>
      </c>
    </row>
    <row r="4655">
      <c r="B4655" s="25" t="n"/>
      <c r="I4655" s="25" t="n"/>
      <c r="U4655" s="19">
        <f>IF($V4655&lt;&gt;'設定'!$C$4,N(U4654),IF(OR(NOT(COUNTIF('商品マスタ'!$B$6:$B$1005,$W4655)=0),COUNTIFS('①在庫を貼る'!$V$6:$V$10005,$V4655,'①在庫を貼る'!$W$6:$W$10005,$W4655)&gt;0),N(U4654),N(U4654)+1))</f>
        <v/>
      </c>
      <c r="V4655" s="19">
        <f>IF($B4655="","",TEXT($B4655,"0000"))</f>
        <v/>
      </c>
      <c r="W4655" s="19">
        <f>IF($I4655="","",IF(ISNUMBER($I4655),TEXT($I4655,"0"),$I4655))</f>
        <v/>
      </c>
    </row>
    <row r="4656">
      <c r="B4656" s="25" t="n"/>
      <c r="I4656" s="25" t="n"/>
      <c r="U4656" s="19">
        <f>IF($V4656&lt;&gt;'設定'!$C$4,N(U4655),IF(OR(NOT(COUNTIF('商品マスタ'!$B$6:$B$1005,$W4656)=0),COUNTIFS('①在庫を貼る'!$V$6:$V$10005,$V4656,'①在庫を貼る'!$W$6:$W$10005,$W4656)&gt;0),N(U4655),N(U4655)+1))</f>
        <v/>
      </c>
      <c r="V4656" s="19">
        <f>IF($B4656="","",TEXT($B4656,"0000"))</f>
        <v/>
      </c>
      <c r="W4656" s="19">
        <f>IF($I4656="","",IF(ISNUMBER($I4656),TEXT($I4656,"0"),$I4656))</f>
        <v/>
      </c>
    </row>
    <row r="4657">
      <c r="B4657" s="25" t="n"/>
      <c r="I4657" s="25" t="n"/>
      <c r="U4657" s="19">
        <f>IF($V4657&lt;&gt;'設定'!$C$4,N(U4656),IF(OR(NOT(COUNTIF('商品マスタ'!$B$6:$B$1005,$W4657)=0),COUNTIFS('①在庫を貼る'!$V$6:$V$10005,$V4657,'①在庫を貼る'!$W$6:$W$10005,$W4657)&gt;0),N(U4656),N(U4656)+1))</f>
        <v/>
      </c>
      <c r="V4657" s="19">
        <f>IF($B4657="","",TEXT($B4657,"0000"))</f>
        <v/>
      </c>
      <c r="W4657" s="19">
        <f>IF($I4657="","",IF(ISNUMBER($I4657),TEXT($I4657,"0"),$I4657))</f>
        <v/>
      </c>
    </row>
    <row r="4658">
      <c r="B4658" s="25" t="n"/>
      <c r="I4658" s="25" t="n"/>
      <c r="U4658" s="19">
        <f>IF($V4658&lt;&gt;'設定'!$C$4,N(U4657),IF(OR(NOT(COUNTIF('商品マスタ'!$B$6:$B$1005,$W4658)=0),COUNTIFS('①在庫を貼る'!$V$6:$V$10005,$V4658,'①在庫を貼る'!$W$6:$W$10005,$W4658)&gt;0),N(U4657),N(U4657)+1))</f>
        <v/>
      </c>
      <c r="V4658" s="19">
        <f>IF($B4658="","",TEXT($B4658,"0000"))</f>
        <v/>
      </c>
      <c r="W4658" s="19">
        <f>IF($I4658="","",IF(ISNUMBER($I4658),TEXT($I4658,"0"),$I4658))</f>
        <v/>
      </c>
    </row>
    <row r="4659">
      <c r="B4659" s="25" t="n"/>
      <c r="I4659" s="25" t="n"/>
      <c r="U4659" s="19">
        <f>IF($V4659&lt;&gt;'設定'!$C$4,N(U4658),IF(OR(NOT(COUNTIF('商品マスタ'!$B$6:$B$1005,$W4659)=0),COUNTIFS('①在庫を貼る'!$V$6:$V$10005,$V4659,'①在庫を貼る'!$W$6:$W$10005,$W4659)&gt;0),N(U4658),N(U4658)+1))</f>
        <v/>
      </c>
      <c r="V4659" s="19">
        <f>IF($B4659="","",TEXT($B4659,"0000"))</f>
        <v/>
      </c>
      <c r="W4659" s="19">
        <f>IF($I4659="","",IF(ISNUMBER($I4659),TEXT($I4659,"0"),$I4659))</f>
        <v/>
      </c>
    </row>
    <row r="4660">
      <c r="B4660" s="25" t="n"/>
      <c r="I4660" s="25" t="n"/>
      <c r="U4660" s="19">
        <f>IF($V4660&lt;&gt;'設定'!$C$4,N(U4659),IF(OR(NOT(COUNTIF('商品マスタ'!$B$6:$B$1005,$W4660)=0),COUNTIFS('①在庫を貼る'!$V$6:$V$10005,$V4660,'①在庫を貼る'!$W$6:$W$10005,$W4660)&gt;0),N(U4659),N(U4659)+1))</f>
        <v/>
      </c>
      <c r="V4660" s="19">
        <f>IF($B4660="","",TEXT($B4660,"0000"))</f>
        <v/>
      </c>
      <c r="W4660" s="19">
        <f>IF($I4660="","",IF(ISNUMBER($I4660),TEXT($I4660,"0"),$I4660))</f>
        <v/>
      </c>
    </row>
    <row r="4661">
      <c r="B4661" s="25" t="n"/>
      <c r="I4661" s="25" t="n"/>
      <c r="U4661" s="19">
        <f>IF($V4661&lt;&gt;'設定'!$C$4,N(U4660),IF(OR(NOT(COUNTIF('商品マスタ'!$B$6:$B$1005,$W4661)=0),COUNTIFS('①在庫を貼る'!$V$6:$V$10005,$V4661,'①在庫を貼る'!$W$6:$W$10005,$W4661)&gt;0),N(U4660),N(U4660)+1))</f>
        <v/>
      </c>
      <c r="V4661" s="19">
        <f>IF($B4661="","",TEXT($B4661,"0000"))</f>
        <v/>
      </c>
      <c r="W4661" s="19">
        <f>IF($I4661="","",IF(ISNUMBER($I4661),TEXT($I4661,"0"),$I4661))</f>
        <v/>
      </c>
    </row>
    <row r="4662">
      <c r="B4662" s="25" t="n"/>
      <c r="I4662" s="25" t="n"/>
      <c r="U4662" s="19">
        <f>IF($V4662&lt;&gt;'設定'!$C$4,N(U4661),IF(OR(NOT(COUNTIF('商品マスタ'!$B$6:$B$1005,$W4662)=0),COUNTIFS('①在庫を貼る'!$V$6:$V$10005,$V4662,'①在庫を貼る'!$W$6:$W$10005,$W4662)&gt;0),N(U4661),N(U4661)+1))</f>
        <v/>
      </c>
      <c r="V4662" s="19">
        <f>IF($B4662="","",TEXT($B4662,"0000"))</f>
        <v/>
      </c>
      <c r="W4662" s="19">
        <f>IF($I4662="","",IF(ISNUMBER($I4662),TEXT($I4662,"0"),$I4662))</f>
        <v/>
      </c>
    </row>
    <row r="4663">
      <c r="B4663" s="25" t="n"/>
      <c r="I4663" s="25" t="n"/>
      <c r="U4663" s="19">
        <f>IF($V4663&lt;&gt;'設定'!$C$4,N(U4662),IF(OR(NOT(COUNTIF('商品マスタ'!$B$6:$B$1005,$W4663)=0),COUNTIFS('①在庫を貼る'!$V$6:$V$10005,$V4663,'①在庫を貼る'!$W$6:$W$10005,$W4663)&gt;0),N(U4662),N(U4662)+1))</f>
        <v/>
      </c>
      <c r="V4663" s="19">
        <f>IF($B4663="","",TEXT($B4663,"0000"))</f>
        <v/>
      </c>
      <c r="W4663" s="19">
        <f>IF($I4663="","",IF(ISNUMBER($I4663),TEXT($I4663,"0"),$I4663))</f>
        <v/>
      </c>
    </row>
    <row r="4664">
      <c r="B4664" s="25" t="n"/>
      <c r="I4664" s="25" t="n"/>
      <c r="U4664" s="19">
        <f>IF($V4664&lt;&gt;'設定'!$C$4,N(U4663),IF(OR(NOT(COUNTIF('商品マスタ'!$B$6:$B$1005,$W4664)=0),COUNTIFS('①在庫を貼る'!$V$6:$V$10005,$V4664,'①在庫を貼る'!$W$6:$W$10005,$W4664)&gt;0),N(U4663),N(U4663)+1))</f>
        <v/>
      </c>
      <c r="V4664" s="19">
        <f>IF($B4664="","",TEXT($B4664,"0000"))</f>
        <v/>
      </c>
      <c r="W4664" s="19">
        <f>IF($I4664="","",IF(ISNUMBER($I4664),TEXT($I4664,"0"),$I4664))</f>
        <v/>
      </c>
    </row>
    <row r="4665">
      <c r="B4665" s="25" t="n"/>
      <c r="I4665" s="25" t="n"/>
      <c r="U4665" s="19">
        <f>IF($V4665&lt;&gt;'設定'!$C$4,N(U4664),IF(OR(NOT(COUNTIF('商品マスタ'!$B$6:$B$1005,$W4665)=0),COUNTIFS('①在庫を貼る'!$V$6:$V$10005,$V4665,'①在庫を貼る'!$W$6:$W$10005,$W4665)&gt;0),N(U4664),N(U4664)+1))</f>
        <v/>
      </c>
      <c r="V4665" s="19">
        <f>IF($B4665="","",TEXT($B4665,"0000"))</f>
        <v/>
      </c>
      <c r="W4665" s="19">
        <f>IF($I4665="","",IF(ISNUMBER($I4665),TEXT($I4665,"0"),$I4665))</f>
        <v/>
      </c>
    </row>
    <row r="4666">
      <c r="B4666" s="25" t="n"/>
      <c r="I4666" s="25" t="n"/>
      <c r="U4666" s="19">
        <f>IF($V4666&lt;&gt;'設定'!$C$4,N(U4665),IF(OR(NOT(COUNTIF('商品マスタ'!$B$6:$B$1005,$W4666)=0),COUNTIFS('①在庫を貼る'!$V$6:$V$10005,$V4666,'①在庫を貼る'!$W$6:$W$10005,$W4666)&gt;0),N(U4665),N(U4665)+1))</f>
        <v/>
      </c>
      <c r="V4666" s="19">
        <f>IF($B4666="","",TEXT($B4666,"0000"))</f>
        <v/>
      </c>
      <c r="W4666" s="19">
        <f>IF($I4666="","",IF(ISNUMBER($I4666),TEXT($I4666,"0"),$I4666))</f>
        <v/>
      </c>
    </row>
    <row r="4667">
      <c r="B4667" s="25" t="n"/>
      <c r="I4667" s="25" t="n"/>
      <c r="U4667" s="19">
        <f>IF($V4667&lt;&gt;'設定'!$C$4,N(U4666),IF(OR(NOT(COUNTIF('商品マスタ'!$B$6:$B$1005,$W4667)=0),COUNTIFS('①在庫を貼る'!$V$6:$V$10005,$V4667,'①在庫を貼る'!$W$6:$W$10005,$W4667)&gt;0),N(U4666),N(U4666)+1))</f>
        <v/>
      </c>
      <c r="V4667" s="19">
        <f>IF($B4667="","",TEXT($B4667,"0000"))</f>
        <v/>
      </c>
      <c r="W4667" s="19">
        <f>IF($I4667="","",IF(ISNUMBER($I4667),TEXT($I4667,"0"),$I4667))</f>
        <v/>
      </c>
    </row>
    <row r="4668">
      <c r="B4668" s="25" t="n"/>
      <c r="I4668" s="25" t="n"/>
      <c r="U4668" s="19">
        <f>IF($V4668&lt;&gt;'設定'!$C$4,N(U4667),IF(OR(NOT(COUNTIF('商品マスタ'!$B$6:$B$1005,$W4668)=0),COUNTIFS('①在庫を貼る'!$V$6:$V$10005,$V4668,'①在庫を貼る'!$W$6:$W$10005,$W4668)&gt;0),N(U4667),N(U4667)+1))</f>
        <v/>
      </c>
      <c r="V4668" s="19">
        <f>IF($B4668="","",TEXT($B4668,"0000"))</f>
        <v/>
      </c>
      <c r="W4668" s="19">
        <f>IF($I4668="","",IF(ISNUMBER($I4668),TEXT($I4668,"0"),$I4668))</f>
        <v/>
      </c>
    </row>
    <row r="4669">
      <c r="B4669" s="25" t="n"/>
      <c r="I4669" s="25" t="n"/>
      <c r="U4669" s="19">
        <f>IF($V4669&lt;&gt;'設定'!$C$4,N(U4668),IF(OR(NOT(COUNTIF('商品マスタ'!$B$6:$B$1005,$W4669)=0),COUNTIFS('①在庫を貼る'!$V$6:$V$10005,$V4669,'①在庫を貼る'!$W$6:$W$10005,$W4669)&gt;0),N(U4668),N(U4668)+1))</f>
        <v/>
      </c>
      <c r="V4669" s="19">
        <f>IF($B4669="","",TEXT($B4669,"0000"))</f>
        <v/>
      </c>
      <c r="W4669" s="19">
        <f>IF($I4669="","",IF(ISNUMBER($I4669),TEXT($I4669,"0"),$I4669))</f>
        <v/>
      </c>
    </row>
    <row r="4670">
      <c r="B4670" s="25" t="n"/>
      <c r="I4670" s="25" t="n"/>
      <c r="U4670" s="19">
        <f>IF($V4670&lt;&gt;'設定'!$C$4,N(U4669),IF(OR(NOT(COUNTIF('商品マスタ'!$B$6:$B$1005,$W4670)=0),COUNTIFS('①在庫を貼る'!$V$6:$V$10005,$V4670,'①在庫を貼る'!$W$6:$W$10005,$W4670)&gt;0),N(U4669),N(U4669)+1))</f>
        <v/>
      </c>
      <c r="V4670" s="19">
        <f>IF($B4670="","",TEXT($B4670,"0000"))</f>
        <v/>
      </c>
      <c r="W4670" s="19">
        <f>IF($I4670="","",IF(ISNUMBER($I4670),TEXT($I4670,"0"),$I4670))</f>
        <v/>
      </c>
    </row>
    <row r="4671">
      <c r="B4671" s="25" t="n"/>
      <c r="I4671" s="25" t="n"/>
      <c r="U4671" s="19">
        <f>IF($V4671&lt;&gt;'設定'!$C$4,N(U4670),IF(OR(NOT(COUNTIF('商品マスタ'!$B$6:$B$1005,$W4671)=0),COUNTIFS('①在庫を貼る'!$V$6:$V$10005,$V4671,'①在庫を貼る'!$W$6:$W$10005,$W4671)&gt;0),N(U4670),N(U4670)+1))</f>
        <v/>
      </c>
      <c r="V4671" s="19">
        <f>IF($B4671="","",TEXT($B4671,"0000"))</f>
        <v/>
      </c>
      <c r="W4671" s="19">
        <f>IF($I4671="","",IF(ISNUMBER($I4671),TEXT($I4671,"0"),$I4671))</f>
        <v/>
      </c>
    </row>
    <row r="4672">
      <c r="B4672" s="25" t="n"/>
      <c r="I4672" s="25" t="n"/>
      <c r="U4672" s="19">
        <f>IF($V4672&lt;&gt;'設定'!$C$4,N(U4671),IF(OR(NOT(COUNTIF('商品マスタ'!$B$6:$B$1005,$W4672)=0),COUNTIFS('①在庫を貼る'!$V$6:$V$10005,$V4672,'①在庫を貼る'!$W$6:$W$10005,$W4672)&gt;0),N(U4671),N(U4671)+1))</f>
        <v/>
      </c>
      <c r="V4672" s="19">
        <f>IF($B4672="","",TEXT($B4672,"0000"))</f>
        <v/>
      </c>
      <c r="W4672" s="19">
        <f>IF($I4672="","",IF(ISNUMBER($I4672),TEXT($I4672,"0"),$I4672))</f>
        <v/>
      </c>
    </row>
    <row r="4673">
      <c r="B4673" s="25" t="n"/>
      <c r="I4673" s="25" t="n"/>
      <c r="U4673" s="19">
        <f>IF($V4673&lt;&gt;'設定'!$C$4,N(U4672),IF(OR(NOT(COUNTIF('商品マスタ'!$B$6:$B$1005,$W4673)=0),COUNTIFS('①在庫を貼る'!$V$6:$V$10005,$V4673,'①在庫を貼る'!$W$6:$W$10005,$W4673)&gt;0),N(U4672),N(U4672)+1))</f>
        <v/>
      </c>
      <c r="V4673" s="19">
        <f>IF($B4673="","",TEXT($B4673,"0000"))</f>
        <v/>
      </c>
      <c r="W4673" s="19">
        <f>IF($I4673="","",IF(ISNUMBER($I4673),TEXT($I4673,"0"),$I4673))</f>
        <v/>
      </c>
    </row>
    <row r="4674">
      <c r="B4674" s="25" t="n"/>
      <c r="I4674" s="25" t="n"/>
      <c r="U4674" s="19">
        <f>IF($V4674&lt;&gt;'設定'!$C$4,N(U4673),IF(OR(NOT(COUNTIF('商品マスタ'!$B$6:$B$1005,$W4674)=0),COUNTIFS('①在庫を貼る'!$V$6:$V$10005,$V4674,'①在庫を貼る'!$W$6:$W$10005,$W4674)&gt;0),N(U4673),N(U4673)+1))</f>
        <v/>
      </c>
      <c r="V4674" s="19">
        <f>IF($B4674="","",TEXT($B4674,"0000"))</f>
        <v/>
      </c>
      <c r="W4674" s="19">
        <f>IF($I4674="","",IF(ISNUMBER($I4674),TEXT($I4674,"0"),$I4674))</f>
        <v/>
      </c>
    </row>
    <row r="4675">
      <c r="B4675" s="25" t="n"/>
      <c r="I4675" s="25" t="n"/>
      <c r="U4675" s="19">
        <f>IF($V4675&lt;&gt;'設定'!$C$4,N(U4674),IF(OR(NOT(COUNTIF('商品マスタ'!$B$6:$B$1005,$W4675)=0),COUNTIFS('①在庫を貼る'!$V$6:$V$10005,$V4675,'①在庫を貼る'!$W$6:$W$10005,$W4675)&gt;0),N(U4674),N(U4674)+1))</f>
        <v/>
      </c>
      <c r="V4675" s="19">
        <f>IF($B4675="","",TEXT($B4675,"0000"))</f>
        <v/>
      </c>
      <c r="W4675" s="19">
        <f>IF($I4675="","",IF(ISNUMBER($I4675),TEXT($I4675,"0"),$I4675))</f>
        <v/>
      </c>
    </row>
    <row r="4676">
      <c r="B4676" s="25" t="n"/>
      <c r="I4676" s="25" t="n"/>
      <c r="U4676" s="19">
        <f>IF($V4676&lt;&gt;'設定'!$C$4,N(U4675),IF(OR(NOT(COUNTIF('商品マスタ'!$B$6:$B$1005,$W4676)=0),COUNTIFS('①在庫を貼る'!$V$6:$V$10005,$V4676,'①在庫を貼る'!$W$6:$W$10005,$W4676)&gt;0),N(U4675),N(U4675)+1))</f>
        <v/>
      </c>
      <c r="V4676" s="19">
        <f>IF($B4676="","",TEXT($B4676,"0000"))</f>
        <v/>
      </c>
      <c r="W4676" s="19">
        <f>IF($I4676="","",IF(ISNUMBER($I4676),TEXT($I4676,"0"),$I4676))</f>
        <v/>
      </c>
    </row>
    <row r="4677">
      <c r="B4677" s="25" t="n"/>
      <c r="I4677" s="25" t="n"/>
      <c r="U4677" s="19">
        <f>IF($V4677&lt;&gt;'設定'!$C$4,N(U4676),IF(OR(NOT(COUNTIF('商品マスタ'!$B$6:$B$1005,$W4677)=0),COUNTIFS('①在庫を貼る'!$V$6:$V$10005,$V4677,'①在庫を貼る'!$W$6:$W$10005,$W4677)&gt;0),N(U4676),N(U4676)+1))</f>
        <v/>
      </c>
      <c r="V4677" s="19">
        <f>IF($B4677="","",TEXT($B4677,"0000"))</f>
        <v/>
      </c>
      <c r="W4677" s="19">
        <f>IF($I4677="","",IF(ISNUMBER($I4677),TEXT($I4677,"0"),$I4677))</f>
        <v/>
      </c>
    </row>
    <row r="4678">
      <c r="B4678" s="25" t="n"/>
      <c r="I4678" s="25" t="n"/>
      <c r="U4678" s="19">
        <f>IF($V4678&lt;&gt;'設定'!$C$4,N(U4677),IF(OR(NOT(COUNTIF('商品マスタ'!$B$6:$B$1005,$W4678)=0),COUNTIFS('①在庫を貼る'!$V$6:$V$10005,$V4678,'①在庫を貼る'!$W$6:$W$10005,$W4678)&gt;0),N(U4677),N(U4677)+1))</f>
        <v/>
      </c>
      <c r="V4678" s="19">
        <f>IF($B4678="","",TEXT($B4678,"0000"))</f>
        <v/>
      </c>
      <c r="W4678" s="19">
        <f>IF($I4678="","",IF(ISNUMBER($I4678),TEXT($I4678,"0"),$I4678))</f>
        <v/>
      </c>
    </row>
    <row r="4679">
      <c r="B4679" s="25" t="n"/>
      <c r="I4679" s="25" t="n"/>
      <c r="U4679" s="19">
        <f>IF($V4679&lt;&gt;'設定'!$C$4,N(U4678),IF(OR(NOT(COUNTIF('商品マスタ'!$B$6:$B$1005,$W4679)=0),COUNTIFS('①在庫を貼る'!$V$6:$V$10005,$V4679,'①在庫を貼る'!$W$6:$W$10005,$W4679)&gt;0),N(U4678),N(U4678)+1))</f>
        <v/>
      </c>
      <c r="V4679" s="19">
        <f>IF($B4679="","",TEXT($B4679,"0000"))</f>
        <v/>
      </c>
      <c r="W4679" s="19">
        <f>IF($I4679="","",IF(ISNUMBER($I4679),TEXT($I4679,"0"),$I4679))</f>
        <v/>
      </c>
    </row>
    <row r="4680">
      <c r="B4680" s="25" t="n"/>
      <c r="I4680" s="25" t="n"/>
      <c r="U4680" s="19">
        <f>IF($V4680&lt;&gt;'設定'!$C$4,N(U4679),IF(OR(NOT(COUNTIF('商品マスタ'!$B$6:$B$1005,$W4680)=0),COUNTIFS('①在庫を貼る'!$V$6:$V$10005,$V4680,'①在庫を貼る'!$W$6:$W$10005,$W4680)&gt;0),N(U4679),N(U4679)+1))</f>
        <v/>
      </c>
      <c r="V4680" s="19">
        <f>IF($B4680="","",TEXT($B4680,"0000"))</f>
        <v/>
      </c>
      <c r="W4680" s="19">
        <f>IF($I4680="","",IF(ISNUMBER($I4680),TEXT($I4680,"0"),$I4680))</f>
        <v/>
      </c>
    </row>
    <row r="4681">
      <c r="B4681" s="25" t="n"/>
      <c r="I4681" s="25" t="n"/>
      <c r="U4681" s="19">
        <f>IF($V4681&lt;&gt;'設定'!$C$4,N(U4680),IF(OR(NOT(COUNTIF('商品マスタ'!$B$6:$B$1005,$W4681)=0),COUNTIFS('①在庫を貼る'!$V$6:$V$10005,$V4681,'①在庫を貼る'!$W$6:$W$10005,$W4681)&gt;0),N(U4680),N(U4680)+1))</f>
        <v/>
      </c>
      <c r="V4681" s="19">
        <f>IF($B4681="","",TEXT($B4681,"0000"))</f>
        <v/>
      </c>
      <c r="W4681" s="19">
        <f>IF($I4681="","",IF(ISNUMBER($I4681),TEXT($I4681,"0"),$I4681))</f>
        <v/>
      </c>
    </row>
    <row r="4682">
      <c r="B4682" s="25" t="n"/>
      <c r="I4682" s="25" t="n"/>
      <c r="U4682" s="19">
        <f>IF($V4682&lt;&gt;'設定'!$C$4,N(U4681),IF(OR(NOT(COUNTIF('商品マスタ'!$B$6:$B$1005,$W4682)=0),COUNTIFS('①在庫を貼る'!$V$6:$V$10005,$V4682,'①在庫を貼る'!$W$6:$W$10005,$W4682)&gt;0),N(U4681),N(U4681)+1))</f>
        <v/>
      </c>
      <c r="V4682" s="19">
        <f>IF($B4682="","",TEXT($B4682,"0000"))</f>
        <v/>
      </c>
      <c r="W4682" s="19">
        <f>IF($I4682="","",IF(ISNUMBER($I4682),TEXT($I4682,"0"),$I4682))</f>
        <v/>
      </c>
    </row>
    <row r="4683">
      <c r="B4683" s="25" t="n"/>
      <c r="I4683" s="25" t="n"/>
      <c r="U4683" s="19">
        <f>IF($V4683&lt;&gt;'設定'!$C$4,N(U4682),IF(OR(NOT(COUNTIF('商品マスタ'!$B$6:$B$1005,$W4683)=0),COUNTIFS('①在庫を貼る'!$V$6:$V$10005,$V4683,'①在庫を貼る'!$W$6:$W$10005,$W4683)&gt;0),N(U4682),N(U4682)+1))</f>
        <v/>
      </c>
      <c r="V4683" s="19">
        <f>IF($B4683="","",TEXT($B4683,"0000"))</f>
        <v/>
      </c>
      <c r="W4683" s="19">
        <f>IF($I4683="","",IF(ISNUMBER($I4683),TEXT($I4683,"0"),$I4683))</f>
        <v/>
      </c>
    </row>
    <row r="4684">
      <c r="B4684" s="25" t="n"/>
      <c r="I4684" s="25" t="n"/>
      <c r="U4684" s="19">
        <f>IF($V4684&lt;&gt;'設定'!$C$4,N(U4683),IF(OR(NOT(COUNTIF('商品マスタ'!$B$6:$B$1005,$W4684)=0),COUNTIFS('①在庫を貼る'!$V$6:$V$10005,$V4684,'①在庫を貼る'!$W$6:$W$10005,$W4684)&gt;0),N(U4683),N(U4683)+1))</f>
        <v/>
      </c>
      <c r="V4684" s="19">
        <f>IF($B4684="","",TEXT($B4684,"0000"))</f>
        <v/>
      </c>
      <c r="W4684" s="19">
        <f>IF($I4684="","",IF(ISNUMBER($I4684),TEXT($I4684,"0"),$I4684))</f>
        <v/>
      </c>
    </row>
    <row r="4685">
      <c r="B4685" s="25" t="n"/>
      <c r="I4685" s="25" t="n"/>
      <c r="U4685" s="19">
        <f>IF($V4685&lt;&gt;'設定'!$C$4,N(U4684),IF(OR(NOT(COUNTIF('商品マスタ'!$B$6:$B$1005,$W4685)=0),COUNTIFS('①在庫を貼る'!$V$6:$V$10005,$V4685,'①在庫を貼る'!$W$6:$W$10005,$W4685)&gt;0),N(U4684),N(U4684)+1))</f>
        <v/>
      </c>
      <c r="V4685" s="19">
        <f>IF($B4685="","",TEXT($B4685,"0000"))</f>
        <v/>
      </c>
      <c r="W4685" s="19">
        <f>IF($I4685="","",IF(ISNUMBER($I4685),TEXT($I4685,"0"),$I4685))</f>
        <v/>
      </c>
    </row>
    <row r="4686">
      <c r="B4686" s="25" t="n"/>
      <c r="I4686" s="25" t="n"/>
      <c r="U4686" s="19">
        <f>IF($V4686&lt;&gt;'設定'!$C$4,N(U4685),IF(OR(NOT(COUNTIF('商品マスタ'!$B$6:$B$1005,$W4686)=0),COUNTIFS('①在庫を貼る'!$V$6:$V$10005,$V4686,'①在庫を貼る'!$W$6:$W$10005,$W4686)&gt;0),N(U4685),N(U4685)+1))</f>
        <v/>
      </c>
      <c r="V4686" s="19">
        <f>IF($B4686="","",TEXT($B4686,"0000"))</f>
        <v/>
      </c>
      <c r="W4686" s="19">
        <f>IF($I4686="","",IF(ISNUMBER($I4686),TEXT($I4686,"0"),$I4686))</f>
        <v/>
      </c>
    </row>
    <row r="4687">
      <c r="B4687" s="25" t="n"/>
      <c r="I4687" s="25" t="n"/>
      <c r="U4687" s="19">
        <f>IF($V4687&lt;&gt;'設定'!$C$4,N(U4686),IF(OR(NOT(COUNTIF('商品マスタ'!$B$6:$B$1005,$W4687)=0),COUNTIFS('①在庫を貼る'!$V$6:$V$10005,$V4687,'①在庫を貼る'!$W$6:$W$10005,$W4687)&gt;0),N(U4686),N(U4686)+1))</f>
        <v/>
      </c>
      <c r="V4687" s="19">
        <f>IF($B4687="","",TEXT($B4687,"0000"))</f>
        <v/>
      </c>
      <c r="W4687" s="19">
        <f>IF($I4687="","",IF(ISNUMBER($I4687),TEXT($I4687,"0"),$I4687))</f>
        <v/>
      </c>
    </row>
    <row r="4688">
      <c r="B4688" s="25" t="n"/>
      <c r="I4688" s="25" t="n"/>
      <c r="U4688" s="19">
        <f>IF($V4688&lt;&gt;'設定'!$C$4,N(U4687),IF(OR(NOT(COUNTIF('商品マスタ'!$B$6:$B$1005,$W4688)=0),COUNTIFS('①在庫を貼る'!$V$6:$V$10005,$V4688,'①在庫を貼る'!$W$6:$W$10005,$W4688)&gt;0),N(U4687),N(U4687)+1))</f>
        <v/>
      </c>
      <c r="V4688" s="19">
        <f>IF($B4688="","",TEXT($B4688,"0000"))</f>
        <v/>
      </c>
      <c r="W4688" s="19">
        <f>IF($I4688="","",IF(ISNUMBER($I4688),TEXT($I4688,"0"),$I4688))</f>
        <v/>
      </c>
    </row>
    <row r="4689">
      <c r="B4689" s="25" t="n"/>
      <c r="I4689" s="25" t="n"/>
      <c r="U4689" s="19">
        <f>IF($V4689&lt;&gt;'設定'!$C$4,N(U4688),IF(OR(NOT(COUNTIF('商品マスタ'!$B$6:$B$1005,$W4689)=0),COUNTIFS('①在庫を貼る'!$V$6:$V$10005,$V4689,'①在庫を貼る'!$W$6:$W$10005,$W4689)&gt;0),N(U4688),N(U4688)+1))</f>
        <v/>
      </c>
      <c r="V4689" s="19">
        <f>IF($B4689="","",TEXT($B4689,"0000"))</f>
        <v/>
      </c>
      <c r="W4689" s="19">
        <f>IF($I4689="","",IF(ISNUMBER($I4689),TEXT($I4689,"0"),$I4689))</f>
        <v/>
      </c>
    </row>
    <row r="4690">
      <c r="B4690" s="25" t="n"/>
      <c r="I4690" s="25" t="n"/>
      <c r="U4690" s="19">
        <f>IF($V4690&lt;&gt;'設定'!$C$4,N(U4689),IF(OR(NOT(COUNTIF('商品マスタ'!$B$6:$B$1005,$W4690)=0),COUNTIFS('①在庫を貼る'!$V$6:$V$10005,$V4690,'①在庫を貼る'!$W$6:$W$10005,$W4690)&gt;0),N(U4689),N(U4689)+1))</f>
        <v/>
      </c>
      <c r="V4690" s="19">
        <f>IF($B4690="","",TEXT($B4690,"0000"))</f>
        <v/>
      </c>
      <c r="W4690" s="19">
        <f>IF($I4690="","",IF(ISNUMBER($I4690),TEXT($I4690,"0"),$I4690))</f>
        <v/>
      </c>
    </row>
    <row r="4691">
      <c r="B4691" s="25" t="n"/>
      <c r="I4691" s="25" t="n"/>
      <c r="U4691" s="19">
        <f>IF($V4691&lt;&gt;'設定'!$C$4,N(U4690),IF(OR(NOT(COUNTIF('商品マスタ'!$B$6:$B$1005,$W4691)=0),COUNTIFS('①在庫を貼る'!$V$6:$V$10005,$V4691,'①在庫を貼る'!$W$6:$W$10005,$W4691)&gt;0),N(U4690),N(U4690)+1))</f>
        <v/>
      </c>
      <c r="V4691" s="19">
        <f>IF($B4691="","",TEXT($B4691,"0000"))</f>
        <v/>
      </c>
      <c r="W4691" s="19">
        <f>IF($I4691="","",IF(ISNUMBER($I4691),TEXT($I4691,"0"),$I4691))</f>
        <v/>
      </c>
    </row>
    <row r="4692">
      <c r="B4692" s="25" t="n"/>
      <c r="I4692" s="25" t="n"/>
      <c r="U4692" s="19">
        <f>IF($V4692&lt;&gt;'設定'!$C$4,N(U4691),IF(OR(NOT(COUNTIF('商品マスタ'!$B$6:$B$1005,$W4692)=0),COUNTIFS('①在庫を貼る'!$V$6:$V$10005,$V4692,'①在庫を貼る'!$W$6:$W$10005,$W4692)&gt;0),N(U4691),N(U4691)+1))</f>
        <v/>
      </c>
      <c r="V4692" s="19">
        <f>IF($B4692="","",TEXT($B4692,"0000"))</f>
        <v/>
      </c>
      <c r="W4692" s="19">
        <f>IF($I4692="","",IF(ISNUMBER($I4692),TEXT($I4692,"0"),$I4692))</f>
        <v/>
      </c>
    </row>
    <row r="4693">
      <c r="B4693" s="25" t="n"/>
      <c r="I4693" s="25" t="n"/>
      <c r="U4693" s="19">
        <f>IF($V4693&lt;&gt;'設定'!$C$4,N(U4692),IF(OR(NOT(COUNTIF('商品マスタ'!$B$6:$B$1005,$W4693)=0),COUNTIFS('①在庫を貼る'!$V$6:$V$10005,$V4693,'①在庫を貼る'!$W$6:$W$10005,$W4693)&gt;0),N(U4692),N(U4692)+1))</f>
        <v/>
      </c>
      <c r="V4693" s="19">
        <f>IF($B4693="","",TEXT($B4693,"0000"))</f>
        <v/>
      </c>
      <c r="W4693" s="19">
        <f>IF($I4693="","",IF(ISNUMBER($I4693),TEXT($I4693,"0"),$I4693))</f>
        <v/>
      </c>
    </row>
    <row r="4694">
      <c r="B4694" s="25" t="n"/>
      <c r="I4694" s="25" t="n"/>
      <c r="U4694" s="19">
        <f>IF($V4694&lt;&gt;'設定'!$C$4,N(U4693),IF(OR(NOT(COUNTIF('商品マスタ'!$B$6:$B$1005,$W4694)=0),COUNTIFS('①在庫を貼る'!$V$6:$V$10005,$V4694,'①在庫を貼る'!$W$6:$W$10005,$W4694)&gt;0),N(U4693),N(U4693)+1))</f>
        <v/>
      </c>
      <c r="V4694" s="19">
        <f>IF($B4694="","",TEXT($B4694,"0000"))</f>
        <v/>
      </c>
      <c r="W4694" s="19">
        <f>IF($I4694="","",IF(ISNUMBER($I4694),TEXT($I4694,"0"),$I4694))</f>
        <v/>
      </c>
    </row>
    <row r="4695">
      <c r="B4695" s="25" t="n"/>
      <c r="I4695" s="25" t="n"/>
      <c r="U4695" s="19">
        <f>IF($V4695&lt;&gt;'設定'!$C$4,N(U4694),IF(OR(NOT(COUNTIF('商品マスタ'!$B$6:$B$1005,$W4695)=0),COUNTIFS('①在庫を貼る'!$V$6:$V$10005,$V4695,'①在庫を貼る'!$W$6:$W$10005,$W4695)&gt;0),N(U4694),N(U4694)+1))</f>
        <v/>
      </c>
      <c r="V4695" s="19">
        <f>IF($B4695="","",TEXT($B4695,"0000"))</f>
        <v/>
      </c>
      <c r="W4695" s="19">
        <f>IF($I4695="","",IF(ISNUMBER($I4695),TEXT($I4695,"0"),$I4695))</f>
        <v/>
      </c>
    </row>
    <row r="4696">
      <c r="B4696" s="25" t="n"/>
      <c r="I4696" s="25" t="n"/>
      <c r="U4696" s="19">
        <f>IF($V4696&lt;&gt;'設定'!$C$4,N(U4695),IF(OR(NOT(COUNTIF('商品マスタ'!$B$6:$B$1005,$W4696)=0),COUNTIFS('①在庫を貼る'!$V$6:$V$10005,$V4696,'①在庫を貼る'!$W$6:$W$10005,$W4696)&gt;0),N(U4695),N(U4695)+1))</f>
        <v/>
      </c>
      <c r="V4696" s="19">
        <f>IF($B4696="","",TEXT($B4696,"0000"))</f>
        <v/>
      </c>
      <c r="W4696" s="19">
        <f>IF($I4696="","",IF(ISNUMBER($I4696),TEXT($I4696,"0"),$I4696))</f>
        <v/>
      </c>
    </row>
    <row r="4697">
      <c r="B4697" s="25" t="n"/>
      <c r="I4697" s="25" t="n"/>
      <c r="U4697" s="19">
        <f>IF($V4697&lt;&gt;'設定'!$C$4,N(U4696),IF(OR(NOT(COUNTIF('商品マスタ'!$B$6:$B$1005,$W4697)=0),COUNTIFS('①在庫を貼る'!$V$6:$V$10005,$V4697,'①在庫を貼る'!$W$6:$W$10005,$W4697)&gt;0),N(U4696),N(U4696)+1))</f>
        <v/>
      </c>
      <c r="V4697" s="19">
        <f>IF($B4697="","",TEXT($B4697,"0000"))</f>
        <v/>
      </c>
      <c r="W4697" s="19">
        <f>IF($I4697="","",IF(ISNUMBER($I4697),TEXT($I4697,"0"),$I4697))</f>
        <v/>
      </c>
    </row>
    <row r="4698">
      <c r="B4698" s="25" t="n"/>
      <c r="I4698" s="25" t="n"/>
      <c r="U4698" s="19">
        <f>IF($V4698&lt;&gt;'設定'!$C$4,N(U4697),IF(OR(NOT(COUNTIF('商品マスタ'!$B$6:$B$1005,$W4698)=0),COUNTIFS('①在庫を貼る'!$V$6:$V$10005,$V4698,'①在庫を貼る'!$W$6:$W$10005,$W4698)&gt;0),N(U4697),N(U4697)+1))</f>
        <v/>
      </c>
      <c r="V4698" s="19">
        <f>IF($B4698="","",TEXT($B4698,"0000"))</f>
        <v/>
      </c>
      <c r="W4698" s="19">
        <f>IF($I4698="","",IF(ISNUMBER($I4698),TEXT($I4698,"0"),$I4698))</f>
        <v/>
      </c>
    </row>
    <row r="4699">
      <c r="B4699" s="25" t="n"/>
      <c r="I4699" s="25" t="n"/>
      <c r="U4699" s="19">
        <f>IF($V4699&lt;&gt;'設定'!$C$4,N(U4698),IF(OR(NOT(COUNTIF('商品マスタ'!$B$6:$B$1005,$W4699)=0),COUNTIFS('①在庫を貼る'!$V$6:$V$10005,$V4699,'①在庫を貼る'!$W$6:$W$10005,$W4699)&gt;0),N(U4698),N(U4698)+1))</f>
        <v/>
      </c>
      <c r="V4699" s="19">
        <f>IF($B4699="","",TEXT($B4699,"0000"))</f>
        <v/>
      </c>
      <c r="W4699" s="19">
        <f>IF($I4699="","",IF(ISNUMBER($I4699),TEXT($I4699,"0"),$I4699))</f>
        <v/>
      </c>
    </row>
    <row r="4700">
      <c r="B4700" s="25" t="n"/>
      <c r="I4700" s="25" t="n"/>
      <c r="U4700" s="19">
        <f>IF($V4700&lt;&gt;'設定'!$C$4,N(U4699),IF(OR(NOT(COUNTIF('商品マスタ'!$B$6:$B$1005,$W4700)=0),COUNTIFS('①在庫を貼る'!$V$6:$V$10005,$V4700,'①在庫を貼る'!$W$6:$W$10005,$W4700)&gt;0),N(U4699),N(U4699)+1))</f>
        <v/>
      </c>
      <c r="V4700" s="19">
        <f>IF($B4700="","",TEXT($B4700,"0000"))</f>
        <v/>
      </c>
      <c r="W4700" s="19">
        <f>IF($I4700="","",IF(ISNUMBER($I4700),TEXT($I4700,"0"),$I4700))</f>
        <v/>
      </c>
    </row>
    <row r="4701">
      <c r="B4701" s="25" t="n"/>
      <c r="I4701" s="25" t="n"/>
      <c r="U4701" s="19">
        <f>IF($V4701&lt;&gt;'設定'!$C$4,N(U4700),IF(OR(NOT(COUNTIF('商品マスタ'!$B$6:$B$1005,$W4701)=0),COUNTIFS('①在庫を貼る'!$V$6:$V$10005,$V4701,'①在庫を貼る'!$W$6:$W$10005,$W4701)&gt;0),N(U4700),N(U4700)+1))</f>
        <v/>
      </c>
      <c r="V4701" s="19">
        <f>IF($B4701="","",TEXT($B4701,"0000"))</f>
        <v/>
      </c>
      <c r="W4701" s="19">
        <f>IF($I4701="","",IF(ISNUMBER($I4701),TEXT($I4701,"0"),$I4701))</f>
        <v/>
      </c>
    </row>
    <row r="4702">
      <c r="B4702" s="25" t="n"/>
      <c r="I4702" s="25" t="n"/>
      <c r="U4702" s="19">
        <f>IF($V4702&lt;&gt;'設定'!$C$4,N(U4701),IF(OR(NOT(COUNTIF('商品マスタ'!$B$6:$B$1005,$W4702)=0),COUNTIFS('①在庫を貼る'!$V$6:$V$10005,$V4702,'①在庫を貼る'!$W$6:$W$10005,$W4702)&gt;0),N(U4701),N(U4701)+1))</f>
        <v/>
      </c>
      <c r="V4702" s="19">
        <f>IF($B4702="","",TEXT($B4702,"0000"))</f>
        <v/>
      </c>
      <c r="W4702" s="19">
        <f>IF($I4702="","",IF(ISNUMBER($I4702),TEXT($I4702,"0"),$I4702))</f>
        <v/>
      </c>
    </row>
    <row r="4703">
      <c r="B4703" s="25" t="n"/>
      <c r="I4703" s="25" t="n"/>
      <c r="U4703" s="19">
        <f>IF($V4703&lt;&gt;'設定'!$C$4,N(U4702),IF(OR(NOT(COUNTIF('商品マスタ'!$B$6:$B$1005,$W4703)=0),COUNTIFS('①在庫を貼る'!$V$6:$V$10005,$V4703,'①在庫を貼る'!$W$6:$W$10005,$W4703)&gt;0),N(U4702),N(U4702)+1))</f>
        <v/>
      </c>
      <c r="V4703" s="19">
        <f>IF($B4703="","",TEXT($B4703,"0000"))</f>
        <v/>
      </c>
      <c r="W4703" s="19">
        <f>IF($I4703="","",IF(ISNUMBER($I4703),TEXT($I4703,"0"),$I4703))</f>
        <v/>
      </c>
    </row>
    <row r="4704">
      <c r="B4704" s="25" t="n"/>
      <c r="I4704" s="25" t="n"/>
      <c r="U4704" s="19">
        <f>IF($V4704&lt;&gt;'設定'!$C$4,N(U4703),IF(OR(NOT(COUNTIF('商品マスタ'!$B$6:$B$1005,$W4704)=0),COUNTIFS('①在庫を貼る'!$V$6:$V$10005,$V4704,'①在庫を貼る'!$W$6:$W$10005,$W4704)&gt;0),N(U4703),N(U4703)+1))</f>
        <v/>
      </c>
      <c r="V4704" s="19">
        <f>IF($B4704="","",TEXT($B4704,"0000"))</f>
        <v/>
      </c>
      <c r="W4704" s="19">
        <f>IF($I4704="","",IF(ISNUMBER($I4704),TEXT($I4704,"0"),$I4704))</f>
        <v/>
      </c>
    </row>
    <row r="4705">
      <c r="B4705" s="25" t="n"/>
      <c r="I4705" s="25" t="n"/>
      <c r="U4705" s="19">
        <f>IF($V4705&lt;&gt;'設定'!$C$4,N(U4704),IF(OR(NOT(COUNTIF('商品マスタ'!$B$6:$B$1005,$W4705)=0),COUNTIFS('①在庫を貼る'!$V$6:$V$10005,$V4705,'①在庫を貼る'!$W$6:$W$10005,$W4705)&gt;0),N(U4704),N(U4704)+1))</f>
        <v/>
      </c>
      <c r="V4705" s="19">
        <f>IF($B4705="","",TEXT($B4705,"0000"))</f>
        <v/>
      </c>
      <c r="W4705" s="19">
        <f>IF($I4705="","",IF(ISNUMBER($I4705),TEXT($I4705,"0"),$I4705))</f>
        <v/>
      </c>
    </row>
    <row r="4706">
      <c r="B4706" s="25" t="n"/>
      <c r="I4706" s="25" t="n"/>
      <c r="U4706" s="19">
        <f>IF($V4706&lt;&gt;'設定'!$C$4,N(U4705),IF(OR(NOT(COUNTIF('商品マスタ'!$B$6:$B$1005,$W4706)=0),COUNTIFS('①在庫を貼る'!$V$6:$V$10005,$V4706,'①在庫を貼る'!$W$6:$W$10005,$W4706)&gt;0),N(U4705),N(U4705)+1))</f>
        <v/>
      </c>
      <c r="V4706" s="19">
        <f>IF($B4706="","",TEXT($B4706,"0000"))</f>
        <v/>
      </c>
      <c r="W4706" s="19">
        <f>IF($I4706="","",IF(ISNUMBER($I4706),TEXT($I4706,"0"),$I4706))</f>
        <v/>
      </c>
    </row>
    <row r="4707">
      <c r="B4707" s="25" t="n"/>
      <c r="I4707" s="25" t="n"/>
      <c r="U4707" s="19">
        <f>IF($V4707&lt;&gt;'設定'!$C$4,N(U4706),IF(OR(NOT(COUNTIF('商品マスタ'!$B$6:$B$1005,$W4707)=0),COUNTIFS('①在庫を貼る'!$V$6:$V$10005,$V4707,'①在庫を貼る'!$W$6:$W$10005,$W4707)&gt;0),N(U4706),N(U4706)+1))</f>
        <v/>
      </c>
      <c r="V4707" s="19">
        <f>IF($B4707="","",TEXT($B4707,"0000"))</f>
        <v/>
      </c>
      <c r="W4707" s="19">
        <f>IF($I4707="","",IF(ISNUMBER($I4707),TEXT($I4707,"0"),$I4707))</f>
        <v/>
      </c>
    </row>
    <row r="4708">
      <c r="B4708" s="25" t="n"/>
      <c r="I4708" s="25" t="n"/>
      <c r="U4708" s="19">
        <f>IF($V4708&lt;&gt;'設定'!$C$4,N(U4707),IF(OR(NOT(COUNTIF('商品マスタ'!$B$6:$B$1005,$W4708)=0),COUNTIFS('①在庫を貼る'!$V$6:$V$10005,$V4708,'①在庫を貼る'!$W$6:$W$10005,$W4708)&gt;0),N(U4707),N(U4707)+1))</f>
        <v/>
      </c>
      <c r="V4708" s="19">
        <f>IF($B4708="","",TEXT($B4708,"0000"))</f>
        <v/>
      </c>
      <c r="W4708" s="19">
        <f>IF($I4708="","",IF(ISNUMBER($I4708),TEXT($I4708,"0"),$I4708))</f>
        <v/>
      </c>
    </row>
    <row r="4709">
      <c r="B4709" s="25" t="n"/>
      <c r="I4709" s="25" t="n"/>
      <c r="U4709" s="19">
        <f>IF($V4709&lt;&gt;'設定'!$C$4,N(U4708),IF(OR(NOT(COUNTIF('商品マスタ'!$B$6:$B$1005,$W4709)=0),COUNTIFS('①在庫を貼る'!$V$6:$V$10005,$V4709,'①在庫を貼る'!$W$6:$W$10005,$W4709)&gt;0),N(U4708),N(U4708)+1))</f>
        <v/>
      </c>
      <c r="V4709" s="19">
        <f>IF($B4709="","",TEXT($B4709,"0000"))</f>
        <v/>
      </c>
      <c r="W4709" s="19">
        <f>IF($I4709="","",IF(ISNUMBER($I4709),TEXT($I4709,"0"),$I4709))</f>
        <v/>
      </c>
    </row>
    <row r="4710">
      <c r="B4710" s="25" t="n"/>
      <c r="I4710" s="25" t="n"/>
      <c r="U4710" s="19">
        <f>IF($V4710&lt;&gt;'設定'!$C$4,N(U4709),IF(OR(NOT(COUNTIF('商品マスタ'!$B$6:$B$1005,$W4710)=0),COUNTIFS('①在庫を貼る'!$V$6:$V$10005,$V4710,'①在庫を貼る'!$W$6:$W$10005,$W4710)&gt;0),N(U4709),N(U4709)+1))</f>
        <v/>
      </c>
      <c r="V4710" s="19">
        <f>IF($B4710="","",TEXT($B4710,"0000"))</f>
        <v/>
      </c>
      <c r="W4710" s="19">
        <f>IF($I4710="","",IF(ISNUMBER($I4710),TEXT($I4710,"0"),$I4710))</f>
        <v/>
      </c>
    </row>
    <row r="4711">
      <c r="B4711" s="25" t="n"/>
      <c r="I4711" s="25" t="n"/>
      <c r="U4711" s="19">
        <f>IF($V4711&lt;&gt;'設定'!$C$4,N(U4710),IF(OR(NOT(COUNTIF('商品マスタ'!$B$6:$B$1005,$W4711)=0),COUNTIFS('①在庫を貼る'!$V$6:$V$10005,$V4711,'①在庫を貼る'!$W$6:$W$10005,$W4711)&gt;0),N(U4710),N(U4710)+1))</f>
        <v/>
      </c>
      <c r="V4711" s="19">
        <f>IF($B4711="","",TEXT($B4711,"0000"))</f>
        <v/>
      </c>
      <c r="W4711" s="19">
        <f>IF($I4711="","",IF(ISNUMBER($I4711),TEXT($I4711,"0"),$I4711))</f>
        <v/>
      </c>
    </row>
    <row r="4712">
      <c r="B4712" s="25" t="n"/>
      <c r="I4712" s="25" t="n"/>
      <c r="U4712" s="19">
        <f>IF($V4712&lt;&gt;'設定'!$C$4,N(U4711),IF(OR(NOT(COUNTIF('商品マスタ'!$B$6:$B$1005,$W4712)=0),COUNTIFS('①在庫を貼る'!$V$6:$V$10005,$V4712,'①在庫を貼る'!$W$6:$W$10005,$W4712)&gt;0),N(U4711),N(U4711)+1))</f>
        <v/>
      </c>
      <c r="V4712" s="19">
        <f>IF($B4712="","",TEXT($B4712,"0000"))</f>
        <v/>
      </c>
      <c r="W4712" s="19">
        <f>IF($I4712="","",IF(ISNUMBER($I4712),TEXT($I4712,"0"),$I4712))</f>
        <v/>
      </c>
    </row>
    <row r="4713">
      <c r="B4713" s="25" t="n"/>
      <c r="I4713" s="25" t="n"/>
      <c r="U4713" s="19">
        <f>IF($V4713&lt;&gt;'設定'!$C$4,N(U4712),IF(OR(NOT(COUNTIF('商品マスタ'!$B$6:$B$1005,$W4713)=0),COUNTIFS('①在庫を貼る'!$V$6:$V$10005,$V4713,'①在庫を貼る'!$W$6:$W$10005,$W4713)&gt;0),N(U4712),N(U4712)+1))</f>
        <v/>
      </c>
      <c r="V4713" s="19">
        <f>IF($B4713="","",TEXT($B4713,"0000"))</f>
        <v/>
      </c>
      <c r="W4713" s="19">
        <f>IF($I4713="","",IF(ISNUMBER($I4713),TEXT($I4713,"0"),$I4713))</f>
        <v/>
      </c>
    </row>
    <row r="4714">
      <c r="B4714" s="25" t="n"/>
      <c r="I4714" s="25" t="n"/>
      <c r="U4714" s="19">
        <f>IF($V4714&lt;&gt;'設定'!$C$4,N(U4713),IF(OR(NOT(COUNTIF('商品マスタ'!$B$6:$B$1005,$W4714)=0),COUNTIFS('①在庫を貼る'!$V$6:$V$10005,$V4714,'①在庫を貼る'!$W$6:$W$10005,$W4714)&gt;0),N(U4713),N(U4713)+1))</f>
        <v/>
      </c>
      <c r="V4714" s="19">
        <f>IF($B4714="","",TEXT($B4714,"0000"))</f>
        <v/>
      </c>
      <c r="W4714" s="19">
        <f>IF($I4714="","",IF(ISNUMBER($I4714),TEXT($I4714,"0"),$I4714))</f>
        <v/>
      </c>
    </row>
    <row r="4715">
      <c r="B4715" s="25" t="n"/>
      <c r="I4715" s="25" t="n"/>
      <c r="U4715" s="19">
        <f>IF($V4715&lt;&gt;'設定'!$C$4,N(U4714),IF(OR(NOT(COUNTIF('商品マスタ'!$B$6:$B$1005,$W4715)=0),COUNTIFS('①在庫を貼る'!$V$6:$V$10005,$V4715,'①在庫を貼る'!$W$6:$W$10005,$W4715)&gt;0),N(U4714),N(U4714)+1))</f>
        <v/>
      </c>
      <c r="V4715" s="19">
        <f>IF($B4715="","",TEXT($B4715,"0000"))</f>
        <v/>
      </c>
      <c r="W4715" s="19">
        <f>IF($I4715="","",IF(ISNUMBER($I4715),TEXT($I4715,"0"),$I4715))</f>
        <v/>
      </c>
    </row>
    <row r="4716">
      <c r="B4716" s="25" t="n"/>
      <c r="I4716" s="25" t="n"/>
      <c r="U4716" s="19">
        <f>IF($V4716&lt;&gt;'設定'!$C$4,N(U4715),IF(OR(NOT(COUNTIF('商品マスタ'!$B$6:$B$1005,$W4716)=0),COUNTIFS('①在庫を貼る'!$V$6:$V$10005,$V4716,'①在庫を貼る'!$W$6:$W$10005,$W4716)&gt;0),N(U4715),N(U4715)+1))</f>
        <v/>
      </c>
      <c r="V4716" s="19">
        <f>IF($B4716="","",TEXT($B4716,"0000"))</f>
        <v/>
      </c>
      <c r="W4716" s="19">
        <f>IF($I4716="","",IF(ISNUMBER($I4716),TEXT($I4716,"0"),$I4716))</f>
        <v/>
      </c>
    </row>
    <row r="4717">
      <c r="B4717" s="25" t="n"/>
      <c r="I4717" s="25" t="n"/>
      <c r="U4717" s="19">
        <f>IF($V4717&lt;&gt;'設定'!$C$4,N(U4716),IF(OR(NOT(COUNTIF('商品マスタ'!$B$6:$B$1005,$W4717)=0),COUNTIFS('①在庫を貼る'!$V$6:$V$10005,$V4717,'①在庫を貼る'!$W$6:$W$10005,$W4717)&gt;0),N(U4716),N(U4716)+1))</f>
        <v/>
      </c>
      <c r="V4717" s="19">
        <f>IF($B4717="","",TEXT($B4717,"0000"))</f>
        <v/>
      </c>
      <c r="W4717" s="19">
        <f>IF($I4717="","",IF(ISNUMBER($I4717),TEXT($I4717,"0"),$I4717))</f>
        <v/>
      </c>
    </row>
    <row r="4718">
      <c r="B4718" s="25" t="n"/>
      <c r="I4718" s="25" t="n"/>
      <c r="U4718" s="19">
        <f>IF($V4718&lt;&gt;'設定'!$C$4,N(U4717),IF(OR(NOT(COUNTIF('商品マスタ'!$B$6:$B$1005,$W4718)=0),COUNTIFS('①在庫を貼る'!$V$6:$V$10005,$V4718,'①在庫を貼る'!$W$6:$W$10005,$W4718)&gt;0),N(U4717),N(U4717)+1))</f>
        <v/>
      </c>
      <c r="V4718" s="19">
        <f>IF($B4718="","",TEXT($B4718,"0000"))</f>
        <v/>
      </c>
      <c r="W4718" s="19">
        <f>IF($I4718="","",IF(ISNUMBER($I4718),TEXT($I4718,"0"),$I4718))</f>
        <v/>
      </c>
    </row>
    <row r="4719">
      <c r="B4719" s="25" t="n"/>
      <c r="I4719" s="25" t="n"/>
      <c r="U4719" s="19">
        <f>IF($V4719&lt;&gt;'設定'!$C$4,N(U4718),IF(OR(NOT(COUNTIF('商品マスタ'!$B$6:$B$1005,$W4719)=0),COUNTIFS('①在庫を貼る'!$V$6:$V$10005,$V4719,'①在庫を貼る'!$W$6:$W$10005,$W4719)&gt;0),N(U4718),N(U4718)+1))</f>
        <v/>
      </c>
      <c r="V4719" s="19">
        <f>IF($B4719="","",TEXT($B4719,"0000"))</f>
        <v/>
      </c>
      <c r="W4719" s="19">
        <f>IF($I4719="","",IF(ISNUMBER($I4719),TEXT($I4719,"0"),$I4719))</f>
        <v/>
      </c>
    </row>
    <row r="4720">
      <c r="B4720" s="25" t="n"/>
      <c r="I4720" s="25" t="n"/>
      <c r="U4720" s="19">
        <f>IF($V4720&lt;&gt;'設定'!$C$4,N(U4719),IF(OR(NOT(COUNTIF('商品マスタ'!$B$6:$B$1005,$W4720)=0),COUNTIFS('①在庫を貼る'!$V$6:$V$10005,$V4720,'①在庫を貼る'!$W$6:$W$10005,$W4720)&gt;0),N(U4719),N(U4719)+1))</f>
        <v/>
      </c>
      <c r="V4720" s="19">
        <f>IF($B4720="","",TEXT($B4720,"0000"))</f>
        <v/>
      </c>
      <c r="W4720" s="19">
        <f>IF($I4720="","",IF(ISNUMBER($I4720),TEXT($I4720,"0"),$I4720))</f>
        <v/>
      </c>
    </row>
    <row r="4721">
      <c r="B4721" s="25" t="n"/>
      <c r="I4721" s="25" t="n"/>
      <c r="U4721" s="19">
        <f>IF($V4721&lt;&gt;'設定'!$C$4,N(U4720),IF(OR(NOT(COUNTIF('商品マスタ'!$B$6:$B$1005,$W4721)=0),COUNTIFS('①在庫を貼る'!$V$6:$V$10005,$V4721,'①在庫を貼る'!$W$6:$W$10005,$W4721)&gt;0),N(U4720),N(U4720)+1))</f>
        <v/>
      </c>
      <c r="V4721" s="19">
        <f>IF($B4721="","",TEXT($B4721,"0000"))</f>
        <v/>
      </c>
      <c r="W4721" s="19">
        <f>IF($I4721="","",IF(ISNUMBER($I4721),TEXT($I4721,"0"),$I4721))</f>
        <v/>
      </c>
    </row>
    <row r="4722">
      <c r="B4722" s="25" t="n"/>
      <c r="I4722" s="25" t="n"/>
      <c r="U4722" s="19">
        <f>IF($V4722&lt;&gt;'設定'!$C$4,N(U4721),IF(OR(NOT(COUNTIF('商品マスタ'!$B$6:$B$1005,$W4722)=0),COUNTIFS('①在庫を貼る'!$V$6:$V$10005,$V4722,'①在庫を貼る'!$W$6:$W$10005,$W4722)&gt;0),N(U4721),N(U4721)+1))</f>
        <v/>
      </c>
      <c r="V4722" s="19">
        <f>IF($B4722="","",TEXT($B4722,"0000"))</f>
        <v/>
      </c>
      <c r="W4722" s="19">
        <f>IF($I4722="","",IF(ISNUMBER($I4722),TEXT($I4722,"0"),$I4722))</f>
        <v/>
      </c>
    </row>
    <row r="4723">
      <c r="B4723" s="25" t="n"/>
      <c r="I4723" s="25" t="n"/>
      <c r="U4723" s="19">
        <f>IF($V4723&lt;&gt;'設定'!$C$4,N(U4722),IF(OR(NOT(COUNTIF('商品マスタ'!$B$6:$B$1005,$W4723)=0),COUNTIFS('①在庫を貼る'!$V$6:$V$10005,$V4723,'①在庫を貼る'!$W$6:$W$10005,$W4723)&gt;0),N(U4722),N(U4722)+1))</f>
        <v/>
      </c>
      <c r="V4723" s="19">
        <f>IF($B4723="","",TEXT($B4723,"0000"))</f>
        <v/>
      </c>
      <c r="W4723" s="19">
        <f>IF($I4723="","",IF(ISNUMBER($I4723),TEXT($I4723,"0"),$I4723))</f>
        <v/>
      </c>
    </row>
    <row r="4724">
      <c r="B4724" s="25" t="n"/>
      <c r="I4724" s="25" t="n"/>
      <c r="U4724" s="19">
        <f>IF($V4724&lt;&gt;'設定'!$C$4,N(U4723),IF(OR(NOT(COUNTIF('商品マスタ'!$B$6:$B$1005,$W4724)=0),COUNTIFS('①在庫を貼る'!$V$6:$V$10005,$V4724,'①在庫を貼る'!$W$6:$W$10005,$W4724)&gt;0),N(U4723),N(U4723)+1))</f>
        <v/>
      </c>
      <c r="V4724" s="19">
        <f>IF($B4724="","",TEXT($B4724,"0000"))</f>
        <v/>
      </c>
      <c r="W4724" s="19">
        <f>IF($I4724="","",IF(ISNUMBER($I4724),TEXT($I4724,"0"),$I4724))</f>
        <v/>
      </c>
    </row>
    <row r="4725">
      <c r="B4725" s="25" t="n"/>
      <c r="I4725" s="25" t="n"/>
      <c r="U4725" s="19">
        <f>IF($V4725&lt;&gt;'設定'!$C$4,N(U4724),IF(OR(NOT(COUNTIF('商品マスタ'!$B$6:$B$1005,$W4725)=0),COUNTIFS('①在庫を貼る'!$V$6:$V$10005,$V4725,'①在庫を貼る'!$W$6:$W$10005,$W4725)&gt;0),N(U4724),N(U4724)+1))</f>
        <v/>
      </c>
      <c r="V4725" s="19">
        <f>IF($B4725="","",TEXT($B4725,"0000"))</f>
        <v/>
      </c>
      <c r="W4725" s="19">
        <f>IF($I4725="","",IF(ISNUMBER($I4725),TEXT($I4725,"0"),$I4725))</f>
        <v/>
      </c>
    </row>
    <row r="4726">
      <c r="B4726" s="25" t="n"/>
      <c r="I4726" s="25" t="n"/>
      <c r="U4726" s="19">
        <f>IF($V4726&lt;&gt;'設定'!$C$4,N(U4725),IF(OR(NOT(COUNTIF('商品マスタ'!$B$6:$B$1005,$W4726)=0),COUNTIFS('①在庫を貼る'!$V$6:$V$10005,$V4726,'①在庫を貼る'!$W$6:$W$10005,$W4726)&gt;0),N(U4725),N(U4725)+1))</f>
        <v/>
      </c>
      <c r="V4726" s="19">
        <f>IF($B4726="","",TEXT($B4726,"0000"))</f>
        <v/>
      </c>
      <c r="W4726" s="19">
        <f>IF($I4726="","",IF(ISNUMBER($I4726),TEXT($I4726,"0"),$I4726))</f>
        <v/>
      </c>
    </row>
    <row r="4727">
      <c r="B4727" s="25" t="n"/>
      <c r="I4727" s="25" t="n"/>
      <c r="U4727" s="19">
        <f>IF($V4727&lt;&gt;'設定'!$C$4,N(U4726),IF(OR(NOT(COUNTIF('商品マスタ'!$B$6:$B$1005,$W4727)=0),COUNTIFS('①在庫を貼る'!$V$6:$V$10005,$V4727,'①在庫を貼る'!$W$6:$W$10005,$W4727)&gt;0),N(U4726),N(U4726)+1))</f>
        <v/>
      </c>
      <c r="V4727" s="19">
        <f>IF($B4727="","",TEXT($B4727,"0000"))</f>
        <v/>
      </c>
      <c r="W4727" s="19">
        <f>IF($I4727="","",IF(ISNUMBER($I4727),TEXT($I4727,"0"),$I4727))</f>
        <v/>
      </c>
    </row>
    <row r="4728">
      <c r="B4728" s="25" t="n"/>
      <c r="I4728" s="25" t="n"/>
      <c r="U4728" s="19">
        <f>IF($V4728&lt;&gt;'設定'!$C$4,N(U4727),IF(OR(NOT(COUNTIF('商品マスタ'!$B$6:$B$1005,$W4728)=0),COUNTIFS('①在庫を貼る'!$V$6:$V$10005,$V4728,'①在庫を貼る'!$W$6:$W$10005,$W4728)&gt;0),N(U4727),N(U4727)+1))</f>
        <v/>
      </c>
      <c r="V4728" s="19">
        <f>IF($B4728="","",TEXT($B4728,"0000"))</f>
        <v/>
      </c>
      <c r="W4728" s="19">
        <f>IF($I4728="","",IF(ISNUMBER($I4728),TEXT($I4728,"0"),$I4728))</f>
        <v/>
      </c>
    </row>
    <row r="4729">
      <c r="B4729" s="25" t="n"/>
      <c r="I4729" s="25" t="n"/>
      <c r="U4729" s="19">
        <f>IF($V4729&lt;&gt;'設定'!$C$4,N(U4728),IF(OR(NOT(COUNTIF('商品マスタ'!$B$6:$B$1005,$W4729)=0),COUNTIFS('①在庫を貼る'!$V$6:$V$10005,$V4729,'①在庫を貼る'!$W$6:$W$10005,$W4729)&gt;0),N(U4728),N(U4728)+1))</f>
        <v/>
      </c>
      <c r="V4729" s="19">
        <f>IF($B4729="","",TEXT($B4729,"0000"))</f>
        <v/>
      </c>
      <c r="W4729" s="19">
        <f>IF($I4729="","",IF(ISNUMBER($I4729),TEXT($I4729,"0"),$I4729))</f>
        <v/>
      </c>
    </row>
    <row r="4730">
      <c r="B4730" s="25" t="n"/>
      <c r="I4730" s="25" t="n"/>
      <c r="U4730" s="19">
        <f>IF($V4730&lt;&gt;'設定'!$C$4,N(U4729),IF(OR(NOT(COUNTIF('商品マスタ'!$B$6:$B$1005,$W4730)=0),COUNTIFS('①在庫を貼る'!$V$6:$V$10005,$V4730,'①在庫を貼る'!$W$6:$W$10005,$W4730)&gt;0),N(U4729),N(U4729)+1))</f>
        <v/>
      </c>
      <c r="V4730" s="19">
        <f>IF($B4730="","",TEXT($B4730,"0000"))</f>
        <v/>
      </c>
      <c r="W4730" s="19">
        <f>IF($I4730="","",IF(ISNUMBER($I4730),TEXT($I4730,"0"),$I4730))</f>
        <v/>
      </c>
    </row>
    <row r="4731">
      <c r="B4731" s="25" t="n"/>
      <c r="I4731" s="25" t="n"/>
      <c r="U4731" s="19">
        <f>IF($V4731&lt;&gt;'設定'!$C$4,N(U4730),IF(OR(NOT(COUNTIF('商品マスタ'!$B$6:$B$1005,$W4731)=0),COUNTIFS('①在庫を貼る'!$V$6:$V$10005,$V4731,'①在庫を貼る'!$W$6:$W$10005,$W4731)&gt;0),N(U4730),N(U4730)+1))</f>
        <v/>
      </c>
      <c r="V4731" s="19">
        <f>IF($B4731="","",TEXT($B4731,"0000"))</f>
        <v/>
      </c>
      <c r="W4731" s="19">
        <f>IF($I4731="","",IF(ISNUMBER($I4731),TEXT($I4731,"0"),$I4731))</f>
        <v/>
      </c>
    </row>
    <row r="4732">
      <c r="B4732" s="25" t="n"/>
      <c r="I4732" s="25" t="n"/>
      <c r="U4732" s="19">
        <f>IF($V4732&lt;&gt;'設定'!$C$4,N(U4731),IF(OR(NOT(COUNTIF('商品マスタ'!$B$6:$B$1005,$W4732)=0),COUNTIFS('①在庫を貼る'!$V$6:$V$10005,$V4732,'①在庫を貼る'!$W$6:$W$10005,$W4732)&gt;0),N(U4731),N(U4731)+1))</f>
        <v/>
      </c>
      <c r="V4732" s="19">
        <f>IF($B4732="","",TEXT($B4732,"0000"))</f>
        <v/>
      </c>
      <c r="W4732" s="19">
        <f>IF($I4732="","",IF(ISNUMBER($I4732),TEXT($I4732,"0"),$I4732))</f>
        <v/>
      </c>
    </row>
    <row r="4733">
      <c r="B4733" s="25" t="n"/>
      <c r="I4733" s="25" t="n"/>
      <c r="U4733" s="19">
        <f>IF($V4733&lt;&gt;'設定'!$C$4,N(U4732),IF(OR(NOT(COUNTIF('商品マスタ'!$B$6:$B$1005,$W4733)=0),COUNTIFS('①在庫を貼る'!$V$6:$V$10005,$V4733,'①在庫を貼る'!$W$6:$W$10005,$W4733)&gt;0),N(U4732),N(U4732)+1))</f>
        <v/>
      </c>
      <c r="V4733" s="19">
        <f>IF($B4733="","",TEXT($B4733,"0000"))</f>
        <v/>
      </c>
      <c r="W4733" s="19">
        <f>IF($I4733="","",IF(ISNUMBER($I4733),TEXT($I4733,"0"),$I4733))</f>
        <v/>
      </c>
    </row>
    <row r="4734">
      <c r="B4734" s="25" t="n"/>
      <c r="I4734" s="25" t="n"/>
      <c r="U4734" s="19">
        <f>IF($V4734&lt;&gt;'設定'!$C$4,N(U4733),IF(OR(NOT(COUNTIF('商品マスタ'!$B$6:$B$1005,$W4734)=0),COUNTIFS('①在庫を貼る'!$V$6:$V$10005,$V4734,'①在庫を貼る'!$W$6:$W$10005,$W4734)&gt;0),N(U4733),N(U4733)+1))</f>
        <v/>
      </c>
      <c r="V4734" s="19">
        <f>IF($B4734="","",TEXT($B4734,"0000"))</f>
        <v/>
      </c>
      <c r="W4734" s="19">
        <f>IF($I4734="","",IF(ISNUMBER($I4734),TEXT($I4734,"0"),$I4734))</f>
        <v/>
      </c>
    </row>
    <row r="4735">
      <c r="B4735" s="25" t="n"/>
      <c r="I4735" s="25" t="n"/>
      <c r="U4735" s="19">
        <f>IF($V4735&lt;&gt;'設定'!$C$4,N(U4734),IF(OR(NOT(COUNTIF('商品マスタ'!$B$6:$B$1005,$W4735)=0),COUNTIFS('①在庫を貼る'!$V$6:$V$10005,$V4735,'①在庫を貼る'!$W$6:$W$10005,$W4735)&gt;0),N(U4734),N(U4734)+1))</f>
        <v/>
      </c>
      <c r="V4735" s="19">
        <f>IF($B4735="","",TEXT($B4735,"0000"))</f>
        <v/>
      </c>
      <c r="W4735" s="19">
        <f>IF($I4735="","",IF(ISNUMBER($I4735),TEXT($I4735,"0"),$I4735))</f>
        <v/>
      </c>
    </row>
    <row r="4736">
      <c r="B4736" s="25" t="n"/>
      <c r="I4736" s="25" t="n"/>
      <c r="U4736" s="19">
        <f>IF($V4736&lt;&gt;'設定'!$C$4,N(U4735),IF(OR(NOT(COUNTIF('商品マスタ'!$B$6:$B$1005,$W4736)=0),COUNTIFS('①在庫を貼る'!$V$6:$V$10005,$V4736,'①在庫を貼る'!$W$6:$W$10005,$W4736)&gt;0),N(U4735),N(U4735)+1))</f>
        <v/>
      </c>
      <c r="V4736" s="19">
        <f>IF($B4736="","",TEXT($B4736,"0000"))</f>
        <v/>
      </c>
      <c r="W4736" s="19">
        <f>IF($I4736="","",IF(ISNUMBER($I4736),TEXT($I4736,"0"),$I4736))</f>
        <v/>
      </c>
    </row>
    <row r="4737">
      <c r="B4737" s="25" t="n"/>
      <c r="I4737" s="25" t="n"/>
      <c r="U4737" s="19">
        <f>IF($V4737&lt;&gt;'設定'!$C$4,N(U4736),IF(OR(NOT(COUNTIF('商品マスタ'!$B$6:$B$1005,$W4737)=0),COUNTIFS('①在庫を貼る'!$V$6:$V$10005,$V4737,'①在庫を貼る'!$W$6:$W$10005,$W4737)&gt;0),N(U4736),N(U4736)+1))</f>
        <v/>
      </c>
      <c r="V4737" s="19">
        <f>IF($B4737="","",TEXT($B4737,"0000"))</f>
        <v/>
      </c>
      <c r="W4737" s="19">
        <f>IF($I4737="","",IF(ISNUMBER($I4737),TEXT($I4737,"0"),$I4737))</f>
        <v/>
      </c>
    </row>
    <row r="4738">
      <c r="B4738" s="25" t="n"/>
      <c r="I4738" s="25" t="n"/>
      <c r="U4738" s="19">
        <f>IF($V4738&lt;&gt;'設定'!$C$4,N(U4737),IF(OR(NOT(COUNTIF('商品マスタ'!$B$6:$B$1005,$W4738)=0),COUNTIFS('①在庫を貼る'!$V$6:$V$10005,$V4738,'①在庫を貼る'!$W$6:$W$10005,$W4738)&gt;0),N(U4737),N(U4737)+1))</f>
        <v/>
      </c>
      <c r="V4738" s="19">
        <f>IF($B4738="","",TEXT($B4738,"0000"))</f>
        <v/>
      </c>
      <c r="W4738" s="19">
        <f>IF($I4738="","",IF(ISNUMBER($I4738),TEXT($I4738,"0"),$I4738))</f>
        <v/>
      </c>
    </row>
    <row r="4739">
      <c r="B4739" s="25" t="n"/>
      <c r="I4739" s="25" t="n"/>
      <c r="U4739" s="19">
        <f>IF($V4739&lt;&gt;'設定'!$C$4,N(U4738),IF(OR(NOT(COUNTIF('商品マスタ'!$B$6:$B$1005,$W4739)=0),COUNTIFS('①在庫を貼る'!$V$6:$V$10005,$V4739,'①在庫を貼る'!$W$6:$W$10005,$W4739)&gt;0),N(U4738),N(U4738)+1))</f>
        <v/>
      </c>
      <c r="V4739" s="19">
        <f>IF($B4739="","",TEXT($B4739,"0000"))</f>
        <v/>
      </c>
      <c r="W4739" s="19">
        <f>IF($I4739="","",IF(ISNUMBER($I4739),TEXT($I4739,"0"),$I4739))</f>
        <v/>
      </c>
    </row>
    <row r="4740">
      <c r="B4740" s="25" t="n"/>
      <c r="I4740" s="25" t="n"/>
      <c r="U4740" s="19">
        <f>IF($V4740&lt;&gt;'設定'!$C$4,N(U4739),IF(OR(NOT(COUNTIF('商品マスタ'!$B$6:$B$1005,$W4740)=0),COUNTIFS('①在庫を貼る'!$V$6:$V$10005,$V4740,'①在庫を貼る'!$W$6:$W$10005,$W4740)&gt;0),N(U4739),N(U4739)+1))</f>
        <v/>
      </c>
      <c r="V4740" s="19">
        <f>IF($B4740="","",TEXT($B4740,"0000"))</f>
        <v/>
      </c>
      <c r="W4740" s="19">
        <f>IF($I4740="","",IF(ISNUMBER($I4740),TEXT($I4740,"0"),$I4740))</f>
        <v/>
      </c>
    </row>
    <row r="4741">
      <c r="B4741" s="25" t="n"/>
      <c r="I4741" s="25" t="n"/>
      <c r="U4741" s="19">
        <f>IF($V4741&lt;&gt;'設定'!$C$4,N(U4740),IF(OR(NOT(COUNTIF('商品マスタ'!$B$6:$B$1005,$W4741)=0),COUNTIFS('①在庫を貼る'!$V$6:$V$10005,$V4741,'①在庫を貼る'!$W$6:$W$10005,$W4741)&gt;0),N(U4740),N(U4740)+1))</f>
        <v/>
      </c>
      <c r="V4741" s="19">
        <f>IF($B4741="","",TEXT($B4741,"0000"))</f>
        <v/>
      </c>
      <c r="W4741" s="19">
        <f>IF($I4741="","",IF(ISNUMBER($I4741),TEXT($I4741,"0"),$I4741))</f>
        <v/>
      </c>
    </row>
    <row r="4742">
      <c r="B4742" s="25" t="n"/>
      <c r="I4742" s="25" t="n"/>
      <c r="U4742" s="19">
        <f>IF($V4742&lt;&gt;'設定'!$C$4,N(U4741),IF(OR(NOT(COUNTIF('商品マスタ'!$B$6:$B$1005,$W4742)=0),COUNTIFS('①在庫を貼る'!$V$6:$V$10005,$V4742,'①在庫を貼る'!$W$6:$W$10005,$W4742)&gt;0),N(U4741),N(U4741)+1))</f>
        <v/>
      </c>
      <c r="V4742" s="19">
        <f>IF($B4742="","",TEXT($B4742,"0000"))</f>
        <v/>
      </c>
      <c r="W4742" s="19">
        <f>IF($I4742="","",IF(ISNUMBER($I4742),TEXT($I4742,"0"),$I4742))</f>
        <v/>
      </c>
    </row>
    <row r="4743">
      <c r="B4743" s="25" t="n"/>
      <c r="I4743" s="25" t="n"/>
      <c r="U4743" s="19">
        <f>IF($V4743&lt;&gt;'設定'!$C$4,N(U4742),IF(OR(NOT(COUNTIF('商品マスタ'!$B$6:$B$1005,$W4743)=0),COUNTIFS('①在庫を貼る'!$V$6:$V$10005,$V4743,'①在庫を貼る'!$W$6:$W$10005,$W4743)&gt;0),N(U4742),N(U4742)+1))</f>
        <v/>
      </c>
      <c r="V4743" s="19">
        <f>IF($B4743="","",TEXT($B4743,"0000"))</f>
        <v/>
      </c>
      <c r="W4743" s="19">
        <f>IF($I4743="","",IF(ISNUMBER($I4743),TEXT($I4743,"0"),$I4743))</f>
        <v/>
      </c>
    </row>
    <row r="4744">
      <c r="B4744" s="25" t="n"/>
      <c r="I4744" s="25" t="n"/>
      <c r="U4744" s="19">
        <f>IF($V4744&lt;&gt;'設定'!$C$4,N(U4743),IF(OR(NOT(COUNTIF('商品マスタ'!$B$6:$B$1005,$W4744)=0),COUNTIFS('①在庫を貼る'!$V$6:$V$10005,$V4744,'①在庫を貼る'!$W$6:$W$10005,$W4744)&gt;0),N(U4743),N(U4743)+1))</f>
        <v/>
      </c>
      <c r="V4744" s="19">
        <f>IF($B4744="","",TEXT($B4744,"0000"))</f>
        <v/>
      </c>
      <c r="W4744" s="19">
        <f>IF($I4744="","",IF(ISNUMBER($I4744),TEXT($I4744,"0"),$I4744))</f>
        <v/>
      </c>
    </row>
    <row r="4745">
      <c r="B4745" s="25" t="n"/>
      <c r="I4745" s="25" t="n"/>
      <c r="U4745" s="19">
        <f>IF($V4745&lt;&gt;'設定'!$C$4,N(U4744),IF(OR(NOT(COUNTIF('商品マスタ'!$B$6:$B$1005,$W4745)=0),COUNTIFS('①在庫を貼る'!$V$6:$V$10005,$V4745,'①在庫を貼る'!$W$6:$W$10005,$W4745)&gt;0),N(U4744),N(U4744)+1))</f>
        <v/>
      </c>
      <c r="V4745" s="19">
        <f>IF($B4745="","",TEXT($B4745,"0000"))</f>
        <v/>
      </c>
      <c r="W4745" s="19">
        <f>IF($I4745="","",IF(ISNUMBER($I4745),TEXT($I4745,"0"),$I4745))</f>
        <v/>
      </c>
    </row>
    <row r="4746">
      <c r="B4746" s="25" t="n"/>
      <c r="I4746" s="25" t="n"/>
      <c r="U4746" s="19">
        <f>IF($V4746&lt;&gt;'設定'!$C$4,N(U4745),IF(OR(NOT(COUNTIF('商品マスタ'!$B$6:$B$1005,$W4746)=0),COUNTIFS('①在庫を貼る'!$V$6:$V$10005,$V4746,'①在庫を貼る'!$W$6:$W$10005,$W4746)&gt;0),N(U4745),N(U4745)+1))</f>
        <v/>
      </c>
      <c r="V4746" s="19">
        <f>IF($B4746="","",TEXT($B4746,"0000"))</f>
        <v/>
      </c>
      <c r="W4746" s="19">
        <f>IF($I4746="","",IF(ISNUMBER($I4746),TEXT($I4746,"0"),$I4746))</f>
        <v/>
      </c>
    </row>
    <row r="4747">
      <c r="B4747" s="25" t="n"/>
      <c r="I4747" s="25" t="n"/>
      <c r="U4747" s="19">
        <f>IF($V4747&lt;&gt;'設定'!$C$4,N(U4746),IF(OR(NOT(COUNTIF('商品マスタ'!$B$6:$B$1005,$W4747)=0),COUNTIFS('①在庫を貼る'!$V$6:$V$10005,$V4747,'①在庫を貼る'!$W$6:$W$10005,$W4747)&gt;0),N(U4746),N(U4746)+1))</f>
        <v/>
      </c>
      <c r="V4747" s="19">
        <f>IF($B4747="","",TEXT($B4747,"0000"))</f>
        <v/>
      </c>
      <c r="W4747" s="19">
        <f>IF($I4747="","",IF(ISNUMBER($I4747),TEXT($I4747,"0"),$I4747))</f>
        <v/>
      </c>
    </row>
    <row r="4748">
      <c r="B4748" s="25" t="n"/>
      <c r="I4748" s="25" t="n"/>
      <c r="U4748" s="19">
        <f>IF($V4748&lt;&gt;'設定'!$C$4,N(U4747),IF(OR(NOT(COUNTIF('商品マスタ'!$B$6:$B$1005,$W4748)=0),COUNTIFS('①在庫を貼る'!$V$6:$V$10005,$V4748,'①在庫を貼る'!$W$6:$W$10005,$W4748)&gt;0),N(U4747),N(U4747)+1))</f>
        <v/>
      </c>
      <c r="V4748" s="19">
        <f>IF($B4748="","",TEXT($B4748,"0000"))</f>
        <v/>
      </c>
      <c r="W4748" s="19">
        <f>IF($I4748="","",IF(ISNUMBER($I4748),TEXT($I4748,"0"),$I4748))</f>
        <v/>
      </c>
    </row>
    <row r="4749">
      <c r="B4749" s="25" t="n"/>
      <c r="I4749" s="25" t="n"/>
      <c r="U4749" s="19">
        <f>IF($V4749&lt;&gt;'設定'!$C$4,N(U4748),IF(OR(NOT(COUNTIF('商品マスタ'!$B$6:$B$1005,$W4749)=0),COUNTIFS('①在庫を貼る'!$V$6:$V$10005,$V4749,'①在庫を貼る'!$W$6:$W$10005,$W4749)&gt;0),N(U4748),N(U4748)+1))</f>
        <v/>
      </c>
      <c r="V4749" s="19">
        <f>IF($B4749="","",TEXT($B4749,"0000"))</f>
        <v/>
      </c>
      <c r="W4749" s="19">
        <f>IF($I4749="","",IF(ISNUMBER($I4749),TEXT($I4749,"0"),$I4749))</f>
        <v/>
      </c>
    </row>
    <row r="4750">
      <c r="B4750" s="25" t="n"/>
      <c r="I4750" s="25" t="n"/>
      <c r="U4750" s="19">
        <f>IF($V4750&lt;&gt;'設定'!$C$4,N(U4749),IF(OR(NOT(COUNTIF('商品マスタ'!$B$6:$B$1005,$W4750)=0),COUNTIFS('①在庫を貼る'!$V$6:$V$10005,$V4750,'①在庫を貼る'!$W$6:$W$10005,$W4750)&gt;0),N(U4749),N(U4749)+1))</f>
        <v/>
      </c>
      <c r="V4750" s="19">
        <f>IF($B4750="","",TEXT($B4750,"0000"))</f>
        <v/>
      </c>
      <c r="W4750" s="19">
        <f>IF($I4750="","",IF(ISNUMBER($I4750),TEXT($I4750,"0"),$I4750))</f>
        <v/>
      </c>
    </row>
    <row r="4751">
      <c r="B4751" s="25" t="n"/>
      <c r="I4751" s="25" t="n"/>
      <c r="U4751" s="19">
        <f>IF($V4751&lt;&gt;'設定'!$C$4,N(U4750),IF(OR(NOT(COUNTIF('商品マスタ'!$B$6:$B$1005,$W4751)=0),COUNTIFS('①在庫を貼る'!$V$6:$V$10005,$V4751,'①在庫を貼る'!$W$6:$W$10005,$W4751)&gt;0),N(U4750),N(U4750)+1))</f>
        <v/>
      </c>
      <c r="V4751" s="19">
        <f>IF($B4751="","",TEXT($B4751,"0000"))</f>
        <v/>
      </c>
      <c r="W4751" s="19">
        <f>IF($I4751="","",IF(ISNUMBER($I4751),TEXT($I4751,"0"),$I4751))</f>
        <v/>
      </c>
    </row>
    <row r="4752">
      <c r="B4752" s="25" t="n"/>
      <c r="I4752" s="25" t="n"/>
      <c r="U4752" s="19">
        <f>IF($V4752&lt;&gt;'設定'!$C$4,N(U4751),IF(OR(NOT(COUNTIF('商品マスタ'!$B$6:$B$1005,$W4752)=0),COUNTIFS('①在庫を貼る'!$V$6:$V$10005,$V4752,'①在庫を貼る'!$W$6:$W$10005,$W4752)&gt;0),N(U4751),N(U4751)+1))</f>
        <v/>
      </c>
      <c r="V4752" s="19">
        <f>IF($B4752="","",TEXT($B4752,"0000"))</f>
        <v/>
      </c>
      <c r="W4752" s="19">
        <f>IF($I4752="","",IF(ISNUMBER($I4752),TEXT($I4752,"0"),$I4752))</f>
        <v/>
      </c>
    </row>
    <row r="4753">
      <c r="B4753" s="25" t="n"/>
      <c r="I4753" s="25" t="n"/>
      <c r="U4753" s="19">
        <f>IF($V4753&lt;&gt;'設定'!$C$4,N(U4752),IF(OR(NOT(COUNTIF('商品マスタ'!$B$6:$B$1005,$W4753)=0),COUNTIFS('①在庫を貼る'!$V$6:$V$10005,$V4753,'①在庫を貼る'!$W$6:$W$10005,$W4753)&gt;0),N(U4752),N(U4752)+1))</f>
        <v/>
      </c>
      <c r="V4753" s="19">
        <f>IF($B4753="","",TEXT($B4753,"0000"))</f>
        <v/>
      </c>
      <c r="W4753" s="19">
        <f>IF($I4753="","",IF(ISNUMBER($I4753),TEXT($I4753,"0"),$I4753))</f>
        <v/>
      </c>
    </row>
    <row r="4754">
      <c r="B4754" s="25" t="n"/>
      <c r="I4754" s="25" t="n"/>
      <c r="U4754" s="19">
        <f>IF($V4754&lt;&gt;'設定'!$C$4,N(U4753),IF(OR(NOT(COUNTIF('商品マスタ'!$B$6:$B$1005,$W4754)=0),COUNTIFS('①在庫を貼る'!$V$6:$V$10005,$V4754,'①在庫を貼る'!$W$6:$W$10005,$W4754)&gt;0),N(U4753),N(U4753)+1))</f>
        <v/>
      </c>
      <c r="V4754" s="19">
        <f>IF($B4754="","",TEXT($B4754,"0000"))</f>
        <v/>
      </c>
      <c r="W4754" s="19">
        <f>IF($I4754="","",IF(ISNUMBER($I4754),TEXT($I4754,"0"),$I4754))</f>
        <v/>
      </c>
    </row>
    <row r="4755">
      <c r="B4755" s="25" t="n"/>
      <c r="I4755" s="25" t="n"/>
      <c r="U4755" s="19">
        <f>IF($V4755&lt;&gt;'設定'!$C$4,N(U4754),IF(OR(NOT(COUNTIF('商品マスタ'!$B$6:$B$1005,$W4755)=0),COUNTIFS('①在庫を貼る'!$V$6:$V$10005,$V4755,'①在庫を貼る'!$W$6:$W$10005,$W4755)&gt;0),N(U4754),N(U4754)+1))</f>
        <v/>
      </c>
      <c r="V4755" s="19">
        <f>IF($B4755="","",TEXT($B4755,"0000"))</f>
        <v/>
      </c>
      <c r="W4755" s="19">
        <f>IF($I4755="","",IF(ISNUMBER($I4755),TEXT($I4755,"0"),$I4755))</f>
        <v/>
      </c>
    </row>
    <row r="4756">
      <c r="B4756" s="25" t="n"/>
      <c r="I4756" s="25" t="n"/>
      <c r="U4756" s="19">
        <f>IF($V4756&lt;&gt;'設定'!$C$4,N(U4755),IF(OR(NOT(COUNTIF('商品マスタ'!$B$6:$B$1005,$W4756)=0),COUNTIFS('①在庫を貼る'!$V$6:$V$10005,$V4756,'①在庫を貼る'!$W$6:$W$10005,$W4756)&gt;0),N(U4755),N(U4755)+1))</f>
        <v/>
      </c>
      <c r="V4756" s="19">
        <f>IF($B4756="","",TEXT($B4756,"0000"))</f>
        <v/>
      </c>
      <c r="W4756" s="19">
        <f>IF($I4756="","",IF(ISNUMBER($I4756),TEXT($I4756,"0"),$I4756))</f>
        <v/>
      </c>
    </row>
    <row r="4757">
      <c r="B4757" s="25" t="n"/>
      <c r="I4757" s="25" t="n"/>
      <c r="U4757" s="19">
        <f>IF($V4757&lt;&gt;'設定'!$C$4,N(U4756),IF(OR(NOT(COUNTIF('商品マスタ'!$B$6:$B$1005,$W4757)=0),COUNTIFS('①在庫を貼る'!$V$6:$V$10005,$V4757,'①在庫を貼る'!$W$6:$W$10005,$W4757)&gt;0),N(U4756),N(U4756)+1))</f>
        <v/>
      </c>
      <c r="V4757" s="19">
        <f>IF($B4757="","",TEXT($B4757,"0000"))</f>
        <v/>
      </c>
      <c r="W4757" s="19">
        <f>IF($I4757="","",IF(ISNUMBER($I4757),TEXT($I4757,"0"),$I4757))</f>
        <v/>
      </c>
    </row>
    <row r="4758">
      <c r="B4758" s="25" t="n"/>
      <c r="I4758" s="25" t="n"/>
      <c r="U4758" s="19">
        <f>IF($V4758&lt;&gt;'設定'!$C$4,N(U4757),IF(OR(NOT(COUNTIF('商品マスタ'!$B$6:$B$1005,$W4758)=0),COUNTIFS('①在庫を貼る'!$V$6:$V$10005,$V4758,'①在庫を貼る'!$W$6:$W$10005,$W4758)&gt;0),N(U4757),N(U4757)+1))</f>
        <v/>
      </c>
      <c r="V4758" s="19">
        <f>IF($B4758="","",TEXT($B4758,"0000"))</f>
        <v/>
      </c>
      <c r="W4758" s="19">
        <f>IF($I4758="","",IF(ISNUMBER($I4758),TEXT($I4758,"0"),$I4758))</f>
        <v/>
      </c>
    </row>
    <row r="4759">
      <c r="B4759" s="25" t="n"/>
      <c r="I4759" s="25" t="n"/>
      <c r="U4759" s="19">
        <f>IF($V4759&lt;&gt;'設定'!$C$4,N(U4758),IF(OR(NOT(COUNTIF('商品マスタ'!$B$6:$B$1005,$W4759)=0),COUNTIFS('①在庫を貼る'!$V$6:$V$10005,$V4759,'①在庫を貼る'!$W$6:$W$10005,$W4759)&gt;0),N(U4758),N(U4758)+1))</f>
        <v/>
      </c>
      <c r="V4759" s="19">
        <f>IF($B4759="","",TEXT($B4759,"0000"))</f>
        <v/>
      </c>
      <c r="W4759" s="19">
        <f>IF($I4759="","",IF(ISNUMBER($I4759),TEXT($I4759,"0"),$I4759))</f>
        <v/>
      </c>
    </row>
    <row r="4760">
      <c r="B4760" s="25" t="n"/>
      <c r="I4760" s="25" t="n"/>
      <c r="U4760" s="19">
        <f>IF($V4760&lt;&gt;'設定'!$C$4,N(U4759),IF(OR(NOT(COUNTIF('商品マスタ'!$B$6:$B$1005,$W4760)=0),COUNTIFS('①在庫を貼る'!$V$6:$V$10005,$V4760,'①在庫を貼る'!$W$6:$W$10005,$W4760)&gt;0),N(U4759),N(U4759)+1))</f>
        <v/>
      </c>
      <c r="V4760" s="19">
        <f>IF($B4760="","",TEXT($B4760,"0000"))</f>
        <v/>
      </c>
      <c r="W4760" s="19">
        <f>IF($I4760="","",IF(ISNUMBER($I4760),TEXT($I4760,"0"),$I4760))</f>
        <v/>
      </c>
    </row>
    <row r="4761">
      <c r="B4761" s="25" t="n"/>
      <c r="I4761" s="25" t="n"/>
      <c r="U4761" s="19">
        <f>IF($V4761&lt;&gt;'設定'!$C$4,N(U4760),IF(OR(NOT(COUNTIF('商品マスタ'!$B$6:$B$1005,$W4761)=0),COUNTIFS('①在庫を貼る'!$V$6:$V$10005,$V4761,'①在庫を貼る'!$W$6:$W$10005,$W4761)&gt;0),N(U4760),N(U4760)+1))</f>
        <v/>
      </c>
      <c r="V4761" s="19">
        <f>IF($B4761="","",TEXT($B4761,"0000"))</f>
        <v/>
      </c>
      <c r="W4761" s="19">
        <f>IF($I4761="","",IF(ISNUMBER($I4761),TEXT($I4761,"0"),$I4761))</f>
        <v/>
      </c>
    </row>
    <row r="4762">
      <c r="B4762" s="25" t="n"/>
      <c r="I4762" s="25" t="n"/>
      <c r="U4762" s="19">
        <f>IF($V4762&lt;&gt;'設定'!$C$4,N(U4761),IF(OR(NOT(COUNTIF('商品マスタ'!$B$6:$B$1005,$W4762)=0),COUNTIFS('①在庫を貼る'!$V$6:$V$10005,$V4762,'①在庫を貼る'!$W$6:$W$10005,$W4762)&gt;0),N(U4761),N(U4761)+1))</f>
        <v/>
      </c>
      <c r="V4762" s="19">
        <f>IF($B4762="","",TEXT($B4762,"0000"))</f>
        <v/>
      </c>
      <c r="W4762" s="19">
        <f>IF($I4762="","",IF(ISNUMBER($I4762),TEXT($I4762,"0"),$I4762))</f>
        <v/>
      </c>
    </row>
    <row r="4763">
      <c r="B4763" s="25" t="n"/>
      <c r="I4763" s="25" t="n"/>
      <c r="U4763" s="19">
        <f>IF($V4763&lt;&gt;'設定'!$C$4,N(U4762),IF(OR(NOT(COUNTIF('商品マスタ'!$B$6:$B$1005,$W4763)=0),COUNTIFS('①在庫を貼る'!$V$6:$V$10005,$V4763,'①在庫を貼る'!$W$6:$W$10005,$W4763)&gt;0),N(U4762),N(U4762)+1))</f>
        <v/>
      </c>
      <c r="V4763" s="19">
        <f>IF($B4763="","",TEXT($B4763,"0000"))</f>
        <v/>
      </c>
      <c r="W4763" s="19">
        <f>IF($I4763="","",IF(ISNUMBER($I4763),TEXT($I4763,"0"),$I4763))</f>
        <v/>
      </c>
    </row>
    <row r="4764">
      <c r="B4764" s="25" t="n"/>
      <c r="I4764" s="25" t="n"/>
      <c r="U4764" s="19">
        <f>IF($V4764&lt;&gt;'設定'!$C$4,N(U4763),IF(OR(NOT(COUNTIF('商品マスタ'!$B$6:$B$1005,$W4764)=0),COUNTIFS('①在庫を貼る'!$V$6:$V$10005,$V4764,'①在庫を貼る'!$W$6:$W$10005,$W4764)&gt;0),N(U4763),N(U4763)+1))</f>
        <v/>
      </c>
      <c r="V4764" s="19">
        <f>IF($B4764="","",TEXT($B4764,"0000"))</f>
        <v/>
      </c>
      <c r="W4764" s="19">
        <f>IF($I4764="","",IF(ISNUMBER($I4764),TEXT($I4764,"0"),$I4764))</f>
        <v/>
      </c>
    </row>
    <row r="4765">
      <c r="B4765" s="25" t="n"/>
      <c r="I4765" s="25" t="n"/>
      <c r="U4765" s="19">
        <f>IF($V4765&lt;&gt;'設定'!$C$4,N(U4764),IF(OR(NOT(COUNTIF('商品マスタ'!$B$6:$B$1005,$W4765)=0),COUNTIFS('①在庫を貼る'!$V$6:$V$10005,$V4765,'①在庫を貼る'!$W$6:$W$10005,$W4765)&gt;0),N(U4764),N(U4764)+1))</f>
        <v/>
      </c>
      <c r="V4765" s="19">
        <f>IF($B4765="","",TEXT($B4765,"0000"))</f>
        <v/>
      </c>
      <c r="W4765" s="19">
        <f>IF($I4765="","",IF(ISNUMBER($I4765),TEXT($I4765,"0"),$I4765))</f>
        <v/>
      </c>
    </row>
    <row r="4766">
      <c r="B4766" s="25" t="n"/>
      <c r="I4766" s="25" t="n"/>
      <c r="U4766" s="19">
        <f>IF($V4766&lt;&gt;'設定'!$C$4,N(U4765),IF(OR(NOT(COUNTIF('商品マスタ'!$B$6:$B$1005,$W4766)=0),COUNTIFS('①在庫を貼る'!$V$6:$V$10005,$V4766,'①在庫を貼る'!$W$6:$W$10005,$W4766)&gt;0),N(U4765),N(U4765)+1))</f>
        <v/>
      </c>
      <c r="V4766" s="19">
        <f>IF($B4766="","",TEXT($B4766,"0000"))</f>
        <v/>
      </c>
      <c r="W4766" s="19">
        <f>IF($I4766="","",IF(ISNUMBER($I4766),TEXT($I4766,"0"),$I4766))</f>
        <v/>
      </c>
    </row>
    <row r="4767">
      <c r="B4767" s="25" t="n"/>
      <c r="I4767" s="25" t="n"/>
      <c r="U4767" s="19">
        <f>IF($V4767&lt;&gt;'設定'!$C$4,N(U4766),IF(OR(NOT(COUNTIF('商品マスタ'!$B$6:$B$1005,$W4767)=0),COUNTIFS('①在庫を貼る'!$V$6:$V$10005,$V4767,'①在庫を貼る'!$W$6:$W$10005,$W4767)&gt;0),N(U4766),N(U4766)+1))</f>
        <v/>
      </c>
      <c r="V4767" s="19">
        <f>IF($B4767="","",TEXT($B4767,"0000"))</f>
        <v/>
      </c>
      <c r="W4767" s="19">
        <f>IF($I4767="","",IF(ISNUMBER($I4767),TEXT($I4767,"0"),$I4767))</f>
        <v/>
      </c>
    </row>
    <row r="4768">
      <c r="B4768" s="25" t="n"/>
      <c r="I4768" s="25" t="n"/>
      <c r="U4768" s="19">
        <f>IF($V4768&lt;&gt;'設定'!$C$4,N(U4767),IF(OR(NOT(COUNTIF('商品マスタ'!$B$6:$B$1005,$W4768)=0),COUNTIFS('①在庫を貼る'!$V$6:$V$10005,$V4768,'①在庫を貼る'!$W$6:$W$10005,$W4768)&gt;0),N(U4767),N(U4767)+1))</f>
        <v/>
      </c>
      <c r="V4768" s="19">
        <f>IF($B4768="","",TEXT($B4768,"0000"))</f>
        <v/>
      </c>
      <c r="W4768" s="19">
        <f>IF($I4768="","",IF(ISNUMBER($I4768),TEXT($I4768,"0"),$I4768))</f>
        <v/>
      </c>
    </row>
    <row r="4769">
      <c r="B4769" s="25" t="n"/>
      <c r="I4769" s="25" t="n"/>
      <c r="U4769" s="19">
        <f>IF($V4769&lt;&gt;'設定'!$C$4,N(U4768),IF(OR(NOT(COUNTIF('商品マスタ'!$B$6:$B$1005,$W4769)=0),COUNTIFS('①在庫を貼る'!$V$6:$V$10005,$V4769,'①在庫を貼る'!$W$6:$W$10005,$W4769)&gt;0),N(U4768),N(U4768)+1))</f>
        <v/>
      </c>
      <c r="V4769" s="19">
        <f>IF($B4769="","",TEXT($B4769,"0000"))</f>
        <v/>
      </c>
      <c r="W4769" s="19">
        <f>IF($I4769="","",IF(ISNUMBER($I4769),TEXT($I4769,"0"),$I4769))</f>
        <v/>
      </c>
    </row>
    <row r="4770">
      <c r="B4770" s="25" t="n"/>
      <c r="I4770" s="25" t="n"/>
      <c r="U4770" s="19">
        <f>IF($V4770&lt;&gt;'設定'!$C$4,N(U4769),IF(OR(NOT(COUNTIF('商品マスタ'!$B$6:$B$1005,$W4770)=0),COUNTIFS('①在庫を貼る'!$V$6:$V$10005,$V4770,'①在庫を貼る'!$W$6:$W$10005,$W4770)&gt;0),N(U4769),N(U4769)+1))</f>
        <v/>
      </c>
      <c r="V4770" s="19">
        <f>IF($B4770="","",TEXT($B4770,"0000"))</f>
        <v/>
      </c>
      <c r="W4770" s="19">
        <f>IF($I4770="","",IF(ISNUMBER($I4770),TEXT($I4770,"0"),$I4770))</f>
        <v/>
      </c>
    </row>
    <row r="4771">
      <c r="B4771" s="25" t="n"/>
      <c r="I4771" s="25" t="n"/>
      <c r="U4771" s="19">
        <f>IF($V4771&lt;&gt;'設定'!$C$4,N(U4770),IF(OR(NOT(COUNTIF('商品マスタ'!$B$6:$B$1005,$W4771)=0),COUNTIFS('①在庫を貼る'!$V$6:$V$10005,$V4771,'①在庫を貼る'!$W$6:$W$10005,$W4771)&gt;0),N(U4770),N(U4770)+1))</f>
        <v/>
      </c>
      <c r="V4771" s="19">
        <f>IF($B4771="","",TEXT($B4771,"0000"))</f>
        <v/>
      </c>
      <c r="W4771" s="19">
        <f>IF($I4771="","",IF(ISNUMBER($I4771),TEXT($I4771,"0"),$I4771))</f>
        <v/>
      </c>
    </row>
    <row r="4772">
      <c r="B4772" s="25" t="n"/>
      <c r="I4772" s="25" t="n"/>
      <c r="U4772" s="19">
        <f>IF($V4772&lt;&gt;'設定'!$C$4,N(U4771),IF(OR(NOT(COUNTIF('商品マスタ'!$B$6:$B$1005,$W4772)=0),COUNTIFS('①在庫を貼る'!$V$6:$V$10005,$V4772,'①在庫を貼る'!$W$6:$W$10005,$W4772)&gt;0),N(U4771),N(U4771)+1))</f>
        <v/>
      </c>
      <c r="V4772" s="19">
        <f>IF($B4772="","",TEXT($B4772,"0000"))</f>
        <v/>
      </c>
      <c r="W4772" s="19">
        <f>IF($I4772="","",IF(ISNUMBER($I4772),TEXT($I4772,"0"),$I4772))</f>
        <v/>
      </c>
    </row>
    <row r="4773">
      <c r="B4773" s="25" t="n"/>
      <c r="I4773" s="25" t="n"/>
      <c r="U4773" s="19">
        <f>IF($V4773&lt;&gt;'設定'!$C$4,N(U4772),IF(OR(NOT(COUNTIF('商品マスタ'!$B$6:$B$1005,$W4773)=0),COUNTIFS('①在庫を貼る'!$V$6:$V$10005,$V4773,'①在庫を貼る'!$W$6:$W$10005,$W4773)&gt;0),N(U4772),N(U4772)+1))</f>
        <v/>
      </c>
      <c r="V4773" s="19">
        <f>IF($B4773="","",TEXT($B4773,"0000"))</f>
        <v/>
      </c>
      <c r="W4773" s="19">
        <f>IF($I4773="","",IF(ISNUMBER($I4773),TEXT($I4773,"0"),$I4773))</f>
        <v/>
      </c>
    </row>
    <row r="4774">
      <c r="B4774" s="25" t="n"/>
      <c r="I4774" s="25" t="n"/>
      <c r="U4774" s="19">
        <f>IF($V4774&lt;&gt;'設定'!$C$4,N(U4773),IF(OR(NOT(COUNTIF('商品マスタ'!$B$6:$B$1005,$W4774)=0),COUNTIFS('①在庫を貼る'!$V$6:$V$10005,$V4774,'①在庫を貼る'!$W$6:$W$10005,$W4774)&gt;0),N(U4773),N(U4773)+1))</f>
        <v/>
      </c>
      <c r="V4774" s="19">
        <f>IF($B4774="","",TEXT($B4774,"0000"))</f>
        <v/>
      </c>
      <c r="W4774" s="19">
        <f>IF($I4774="","",IF(ISNUMBER($I4774),TEXT($I4774,"0"),$I4774))</f>
        <v/>
      </c>
    </row>
    <row r="4775">
      <c r="B4775" s="25" t="n"/>
      <c r="I4775" s="25" t="n"/>
      <c r="U4775" s="19">
        <f>IF($V4775&lt;&gt;'設定'!$C$4,N(U4774),IF(OR(NOT(COUNTIF('商品マスタ'!$B$6:$B$1005,$W4775)=0),COUNTIFS('①在庫を貼る'!$V$6:$V$10005,$V4775,'①在庫を貼る'!$W$6:$W$10005,$W4775)&gt;0),N(U4774),N(U4774)+1))</f>
        <v/>
      </c>
      <c r="V4775" s="19">
        <f>IF($B4775="","",TEXT($B4775,"0000"))</f>
        <v/>
      </c>
      <c r="W4775" s="19">
        <f>IF($I4775="","",IF(ISNUMBER($I4775),TEXT($I4775,"0"),$I4775))</f>
        <v/>
      </c>
    </row>
    <row r="4776">
      <c r="B4776" s="25" t="n"/>
      <c r="I4776" s="25" t="n"/>
      <c r="U4776" s="19">
        <f>IF($V4776&lt;&gt;'設定'!$C$4,N(U4775),IF(OR(NOT(COUNTIF('商品マスタ'!$B$6:$B$1005,$W4776)=0),COUNTIFS('①在庫を貼る'!$V$6:$V$10005,$V4776,'①在庫を貼る'!$W$6:$W$10005,$W4776)&gt;0),N(U4775),N(U4775)+1))</f>
        <v/>
      </c>
      <c r="V4776" s="19">
        <f>IF($B4776="","",TEXT($B4776,"0000"))</f>
        <v/>
      </c>
      <c r="W4776" s="19">
        <f>IF($I4776="","",IF(ISNUMBER($I4776),TEXT($I4776,"0"),$I4776))</f>
        <v/>
      </c>
    </row>
    <row r="4777">
      <c r="B4777" s="25" t="n"/>
      <c r="I4777" s="25" t="n"/>
      <c r="U4777" s="19">
        <f>IF($V4777&lt;&gt;'設定'!$C$4,N(U4776),IF(OR(NOT(COUNTIF('商品マスタ'!$B$6:$B$1005,$W4777)=0),COUNTIFS('①在庫を貼る'!$V$6:$V$10005,$V4777,'①在庫を貼る'!$W$6:$W$10005,$W4777)&gt;0),N(U4776),N(U4776)+1))</f>
        <v/>
      </c>
      <c r="V4777" s="19">
        <f>IF($B4777="","",TEXT($B4777,"0000"))</f>
        <v/>
      </c>
      <c r="W4777" s="19">
        <f>IF($I4777="","",IF(ISNUMBER($I4777),TEXT($I4777,"0"),$I4777))</f>
        <v/>
      </c>
    </row>
    <row r="4778">
      <c r="B4778" s="25" t="n"/>
      <c r="I4778" s="25" t="n"/>
      <c r="U4778" s="19">
        <f>IF($V4778&lt;&gt;'設定'!$C$4,N(U4777),IF(OR(NOT(COUNTIF('商品マスタ'!$B$6:$B$1005,$W4778)=0),COUNTIFS('①在庫を貼る'!$V$6:$V$10005,$V4778,'①在庫を貼る'!$W$6:$W$10005,$W4778)&gt;0),N(U4777),N(U4777)+1))</f>
        <v/>
      </c>
      <c r="V4778" s="19">
        <f>IF($B4778="","",TEXT($B4778,"0000"))</f>
        <v/>
      </c>
      <c r="W4778" s="19">
        <f>IF($I4778="","",IF(ISNUMBER($I4778),TEXT($I4778,"0"),$I4778))</f>
        <v/>
      </c>
    </row>
    <row r="4779">
      <c r="B4779" s="25" t="n"/>
      <c r="I4779" s="25" t="n"/>
      <c r="U4779" s="19">
        <f>IF($V4779&lt;&gt;'設定'!$C$4,N(U4778),IF(OR(NOT(COUNTIF('商品マスタ'!$B$6:$B$1005,$W4779)=0),COUNTIFS('①在庫を貼る'!$V$6:$V$10005,$V4779,'①在庫を貼る'!$W$6:$W$10005,$W4779)&gt;0),N(U4778),N(U4778)+1))</f>
        <v/>
      </c>
      <c r="V4779" s="19">
        <f>IF($B4779="","",TEXT($B4779,"0000"))</f>
        <v/>
      </c>
      <c r="W4779" s="19">
        <f>IF($I4779="","",IF(ISNUMBER($I4779),TEXT($I4779,"0"),$I4779))</f>
        <v/>
      </c>
    </row>
    <row r="4780">
      <c r="B4780" s="25" t="n"/>
      <c r="I4780" s="25" t="n"/>
      <c r="U4780" s="19">
        <f>IF($V4780&lt;&gt;'設定'!$C$4,N(U4779),IF(OR(NOT(COUNTIF('商品マスタ'!$B$6:$B$1005,$W4780)=0),COUNTIFS('①在庫を貼る'!$V$6:$V$10005,$V4780,'①在庫を貼る'!$W$6:$W$10005,$W4780)&gt;0),N(U4779),N(U4779)+1))</f>
        <v/>
      </c>
      <c r="V4780" s="19">
        <f>IF($B4780="","",TEXT($B4780,"0000"))</f>
        <v/>
      </c>
      <c r="W4780" s="19">
        <f>IF($I4780="","",IF(ISNUMBER($I4780),TEXT($I4780,"0"),$I4780))</f>
        <v/>
      </c>
    </row>
    <row r="4781">
      <c r="B4781" s="25" t="n"/>
      <c r="I4781" s="25" t="n"/>
      <c r="U4781" s="19">
        <f>IF($V4781&lt;&gt;'設定'!$C$4,N(U4780),IF(OR(NOT(COUNTIF('商品マスタ'!$B$6:$B$1005,$W4781)=0),COUNTIFS('①在庫を貼る'!$V$6:$V$10005,$V4781,'①在庫を貼る'!$W$6:$W$10005,$W4781)&gt;0),N(U4780),N(U4780)+1))</f>
        <v/>
      </c>
      <c r="V4781" s="19">
        <f>IF($B4781="","",TEXT($B4781,"0000"))</f>
        <v/>
      </c>
      <c r="W4781" s="19">
        <f>IF($I4781="","",IF(ISNUMBER($I4781),TEXT($I4781,"0"),$I4781))</f>
        <v/>
      </c>
    </row>
    <row r="4782">
      <c r="B4782" s="25" t="n"/>
      <c r="I4782" s="25" t="n"/>
      <c r="U4782" s="19">
        <f>IF($V4782&lt;&gt;'設定'!$C$4,N(U4781),IF(OR(NOT(COUNTIF('商品マスタ'!$B$6:$B$1005,$W4782)=0),COUNTIFS('①在庫を貼る'!$V$6:$V$10005,$V4782,'①在庫を貼る'!$W$6:$W$10005,$W4782)&gt;0),N(U4781),N(U4781)+1))</f>
        <v/>
      </c>
      <c r="V4782" s="19">
        <f>IF($B4782="","",TEXT($B4782,"0000"))</f>
        <v/>
      </c>
      <c r="W4782" s="19">
        <f>IF($I4782="","",IF(ISNUMBER($I4782),TEXT($I4782,"0"),$I4782))</f>
        <v/>
      </c>
    </row>
    <row r="4783">
      <c r="B4783" s="25" t="n"/>
      <c r="I4783" s="25" t="n"/>
      <c r="U4783" s="19">
        <f>IF($V4783&lt;&gt;'設定'!$C$4,N(U4782),IF(OR(NOT(COUNTIF('商品マスタ'!$B$6:$B$1005,$W4783)=0),COUNTIFS('①在庫を貼る'!$V$6:$V$10005,$V4783,'①在庫を貼る'!$W$6:$W$10005,$W4783)&gt;0),N(U4782),N(U4782)+1))</f>
        <v/>
      </c>
      <c r="V4783" s="19">
        <f>IF($B4783="","",TEXT($B4783,"0000"))</f>
        <v/>
      </c>
      <c r="W4783" s="19">
        <f>IF($I4783="","",IF(ISNUMBER($I4783),TEXT($I4783,"0"),$I4783))</f>
        <v/>
      </c>
    </row>
    <row r="4784">
      <c r="B4784" s="25" t="n"/>
      <c r="I4784" s="25" t="n"/>
      <c r="U4784" s="19">
        <f>IF($V4784&lt;&gt;'設定'!$C$4,N(U4783),IF(OR(NOT(COUNTIF('商品マスタ'!$B$6:$B$1005,$W4784)=0),COUNTIFS('①在庫を貼る'!$V$6:$V$10005,$V4784,'①在庫を貼る'!$W$6:$W$10005,$W4784)&gt;0),N(U4783),N(U4783)+1))</f>
        <v/>
      </c>
      <c r="V4784" s="19">
        <f>IF($B4784="","",TEXT($B4784,"0000"))</f>
        <v/>
      </c>
      <c r="W4784" s="19">
        <f>IF($I4784="","",IF(ISNUMBER($I4784),TEXT($I4784,"0"),$I4784))</f>
        <v/>
      </c>
    </row>
    <row r="4785">
      <c r="B4785" s="25" t="n"/>
      <c r="I4785" s="25" t="n"/>
      <c r="U4785" s="19">
        <f>IF($V4785&lt;&gt;'設定'!$C$4,N(U4784),IF(OR(NOT(COUNTIF('商品マスタ'!$B$6:$B$1005,$W4785)=0),COUNTIFS('①在庫を貼る'!$V$6:$V$10005,$V4785,'①在庫を貼る'!$W$6:$W$10005,$W4785)&gt;0),N(U4784),N(U4784)+1))</f>
        <v/>
      </c>
      <c r="V4785" s="19">
        <f>IF($B4785="","",TEXT($B4785,"0000"))</f>
        <v/>
      </c>
      <c r="W4785" s="19">
        <f>IF($I4785="","",IF(ISNUMBER($I4785),TEXT($I4785,"0"),$I4785))</f>
        <v/>
      </c>
    </row>
    <row r="4786">
      <c r="B4786" s="25" t="n"/>
      <c r="I4786" s="25" t="n"/>
      <c r="U4786" s="19">
        <f>IF($V4786&lt;&gt;'設定'!$C$4,N(U4785),IF(OR(NOT(COUNTIF('商品マスタ'!$B$6:$B$1005,$W4786)=0),COUNTIFS('①在庫を貼る'!$V$6:$V$10005,$V4786,'①在庫を貼る'!$W$6:$W$10005,$W4786)&gt;0),N(U4785),N(U4785)+1))</f>
        <v/>
      </c>
      <c r="V4786" s="19">
        <f>IF($B4786="","",TEXT($B4786,"0000"))</f>
        <v/>
      </c>
      <c r="W4786" s="19">
        <f>IF($I4786="","",IF(ISNUMBER($I4786),TEXT($I4786,"0"),$I4786))</f>
        <v/>
      </c>
    </row>
    <row r="4787">
      <c r="B4787" s="25" t="n"/>
      <c r="I4787" s="25" t="n"/>
      <c r="U4787" s="19">
        <f>IF($V4787&lt;&gt;'設定'!$C$4,N(U4786),IF(OR(NOT(COUNTIF('商品マスタ'!$B$6:$B$1005,$W4787)=0),COUNTIFS('①在庫を貼る'!$V$6:$V$10005,$V4787,'①在庫を貼る'!$W$6:$W$10005,$W4787)&gt;0),N(U4786),N(U4786)+1))</f>
        <v/>
      </c>
      <c r="V4787" s="19">
        <f>IF($B4787="","",TEXT($B4787,"0000"))</f>
        <v/>
      </c>
      <c r="W4787" s="19">
        <f>IF($I4787="","",IF(ISNUMBER($I4787),TEXT($I4787,"0"),$I4787))</f>
        <v/>
      </c>
    </row>
    <row r="4788">
      <c r="B4788" s="25" t="n"/>
      <c r="I4788" s="25" t="n"/>
      <c r="U4788" s="19">
        <f>IF($V4788&lt;&gt;'設定'!$C$4,N(U4787),IF(OR(NOT(COUNTIF('商品マスタ'!$B$6:$B$1005,$W4788)=0),COUNTIFS('①在庫を貼る'!$V$6:$V$10005,$V4788,'①在庫を貼る'!$W$6:$W$10005,$W4788)&gt;0),N(U4787),N(U4787)+1))</f>
        <v/>
      </c>
      <c r="V4788" s="19">
        <f>IF($B4788="","",TEXT($B4788,"0000"))</f>
        <v/>
      </c>
      <c r="W4788" s="19">
        <f>IF($I4788="","",IF(ISNUMBER($I4788),TEXT($I4788,"0"),$I4788))</f>
        <v/>
      </c>
    </row>
    <row r="4789">
      <c r="B4789" s="25" t="n"/>
      <c r="I4789" s="25" t="n"/>
      <c r="U4789" s="19">
        <f>IF($V4789&lt;&gt;'設定'!$C$4,N(U4788),IF(OR(NOT(COUNTIF('商品マスタ'!$B$6:$B$1005,$W4789)=0),COUNTIFS('①在庫を貼る'!$V$6:$V$10005,$V4789,'①在庫を貼る'!$W$6:$W$10005,$W4789)&gt;0),N(U4788),N(U4788)+1))</f>
        <v/>
      </c>
      <c r="V4789" s="19">
        <f>IF($B4789="","",TEXT($B4789,"0000"))</f>
        <v/>
      </c>
      <c r="W4789" s="19">
        <f>IF($I4789="","",IF(ISNUMBER($I4789),TEXT($I4789,"0"),$I4789))</f>
        <v/>
      </c>
    </row>
    <row r="4790">
      <c r="B4790" s="25" t="n"/>
      <c r="I4790" s="25" t="n"/>
      <c r="U4790" s="19">
        <f>IF($V4790&lt;&gt;'設定'!$C$4,N(U4789),IF(OR(NOT(COUNTIF('商品マスタ'!$B$6:$B$1005,$W4790)=0),COUNTIFS('①在庫を貼る'!$V$6:$V$10005,$V4790,'①在庫を貼る'!$W$6:$W$10005,$W4790)&gt;0),N(U4789),N(U4789)+1))</f>
        <v/>
      </c>
      <c r="V4790" s="19">
        <f>IF($B4790="","",TEXT($B4790,"0000"))</f>
        <v/>
      </c>
      <c r="W4790" s="19">
        <f>IF($I4790="","",IF(ISNUMBER($I4790),TEXT($I4790,"0"),$I4790))</f>
        <v/>
      </c>
    </row>
    <row r="4791">
      <c r="B4791" s="25" t="n"/>
      <c r="I4791" s="25" t="n"/>
      <c r="U4791" s="19">
        <f>IF($V4791&lt;&gt;'設定'!$C$4,N(U4790),IF(OR(NOT(COUNTIF('商品マスタ'!$B$6:$B$1005,$W4791)=0),COUNTIFS('①在庫を貼る'!$V$6:$V$10005,$V4791,'①在庫を貼る'!$W$6:$W$10005,$W4791)&gt;0),N(U4790),N(U4790)+1))</f>
        <v/>
      </c>
      <c r="V4791" s="19">
        <f>IF($B4791="","",TEXT($B4791,"0000"))</f>
        <v/>
      </c>
      <c r="W4791" s="19">
        <f>IF($I4791="","",IF(ISNUMBER($I4791),TEXT($I4791,"0"),$I4791))</f>
        <v/>
      </c>
    </row>
    <row r="4792">
      <c r="B4792" s="25" t="n"/>
      <c r="I4792" s="25" t="n"/>
      <c r="U4792" s="19">
        <f>IF($V4792&lt;&gt;'設定'!$C$4,N(U4791),IF(OR(NOT(COUNTIF('商品マスタ'!$B$6:$B$1005,$W4792)=0),COUNTIFS('①在庫を貼る'!$V$6:$V$10005,$V4792,'①在庫を貼る'!$W$6:$W$10005,$W4792)&gt;0),N(U4791),N(U4791)+1))</f>
        <v/>
      </c>
      <c r="V4792" s="19">
        <f>IF($B4792="","",TEXT($B4792,"0000"))</f>
        <v/>
      </c>
      <c r="W4792" s="19">
        <f>IF($I4792="","",IF(ISNUMBER($I4792),TEXT($I4792,"0"),$I4792))</f>
        <v/>
      </c>
    </row>
    <row r="4793">
      <c r="B4793" s="25" t="n"/>
      <c r="I4793" s="25" t="n"/>
      <c r="U4793" s="19">
        <f>IF($V4793&lt;&gt;'設定'!$C$4,N(U4792),IF(OR(NOT(COUNTIF('商品マスタ'!$B$6:$B$1005,$W4793)=0),COUNTIFS('①在庫を貼る'!$V$6:$V$10005,$V4793,'①在庫を貼る'!$W$6:$W$10005,$W4793)&gt;0),N(U4792),N(U4792)+1))</f>
        <v/>
      </c>
      <c r="V4793" s="19">
        <f>IF($B4793="","",TEXT($B4793,"0000"))</f>
        <v/>
      </c>
      <c r="W4793" s="19">
        <f>IF($I4793="","",IF(ISNUMBER($I4793),TEXT($I4793,"0"),$I4793))</f>
        <v/>
      </c>
    </row>
    <row r="4794">
      <c r="B4794" s="25" t="n"/>
      <c r="I4794" s="25" t="n"/>
      <c r="U4794" s="19">
        <f>IF($V4794&lt;&gt;'設定'!$C$4,N(U4793),IF(OR(NOT(COUNTIF('商品マスタ'!$B$6:$B$1005,$W4794)=0),COUNTIFS('①在庫を貼る'!$V$6:$V$10005,$V4794,'①在庫を貼る'!$W$6:$W$10005,$W4794)&gt;0),N(U4793),N(U4793)+1))</f>
        <v/>
      </c>
      <c r="V4794" s="19">
        <f>IF($B4794="","",TEXT($B4794,"0000"))</f>
        <v/>
      </c>
      <c r="W4794" s="19">
        <f>IF($I4794="","",IF(ISNUMBER($I4794),TEXT($I4794,"0"),$I4794))</f>
        <v/>
      </c>
    </row>
    <row r="4795">
      <c r="B4795" s="25" t="n"/>
      <c r="I4795" s="25" t="n"/>
      <c r="U4795" s="19">
        <f>IF($V4795&lt;&gt;'設定'!$C$4,N(U4794),IF(OR(NOT(COUNTIF('商品マスタ'!$B$6:$B$1005,$W4795)=0),COUNTIFS('①在庫を貼る'!$V$6:$V$10005,$V4795,'①在庫を貼る'!$W$6:$W$10005,$W4795)&gt;0),N(U4794),N(U4794)+1))</f>
        <v/>
      </c>
      <c r="V4795" s="19">
        <f>IF($B4795="","",TEXT($B4795,"0000"))</f>
        <v/>
      </c>
      <c r="W4795" s="19">
        <f>IF($I4795="","",IF(ISNUMBER($I4795),TEXT($I4795,"0"),$I4795))</f>
        <v/>
      </c>
    </row>
    <row r="4796">
      <c r="B4796" s="25" t="n"/>
      <c r="I4796" s="25" t="n"/>
      <c r="U4796" s="19">
        <f>IF($V4796&lt;&gt;'設定'!$C$4,N(U4795),IF(OR(NOT(COUNTIF('商品マスタ'!$B$6:$B$1005,$W4796)=0),COUNTIFS('①在庫を貼る'!$V$6:$V$10005,$V4796,'①在庫を貼る'!$W$6:$W$10005,$W4796)&gt;0),N(U4795),N(U4795)+1))</f>
        <v/>
      </c>
      <c r="V4796" s="19">
        <f>IF($B4796="","",TEXT($B4796,"0000"))</f>
        <v/>
      </c>
      <c r="W4796" s="19">
        <f>IF($I4796="","",IF(ISNUMBER($I4796),TEXT($I4796,"0"),$I4796))</f>
        <v/>
      </c>
    </row>
    <row r="4797">
      <c r="B4797" s="25" t="n"/>
      <c r="I4797" s="25" t="n"/>
      <c r="U4797" s="19">
        <f>IF($V4797&lt;&gt;'設定'!$C$4,N(U4796),IF(OR(NOT(COUNTIF('商品マスタ'!$B$6:$B$1005,$W4797)=0),COUNTIFS('①在庫を貼る'!$V$6:$V$10005,$V4797,'①在庫を貼る'!$W$6:$W$10005,$W4797)&gt;0),N(U4796),N(U4796)+1))</f>
        <v/>
      </c>
      <c r="V4797" s="19">
        <f>IF($B4797="","",TEXT($B4797,"0000"))</f>
        <v/>
      </c>
      <c r="W4797" s="19">
        <f>IF($I4797="","",IF(ISNUMBER($I4797),TEXT($I4797,"0"),$I4797))</f>
        <v/>
      </c>
    </row>
    <row r="4798">
      <c r="B4798" s="25" t="n"/>
      <c r="I4798" s="25" t="n"/>
      <c r="U4798" s="19">
        <f>IF($V4798&lt;&gt;'設定'!$C$4,N(U4797),IF(OR(NOT(COUNTIF('商品マスタ'!$B$6:$B$1005,$W4798)=0),COUNTIFS('①在庫を貼る'!$V$6:$V$10005,$V4798,'①在庫を貼る'!$W$6:$W$10005,$W4798)&gt;0),N(U4797),N(U4797)+1))</f>
        <v/>
      </c>
      <c r="V4798" s="19">
        <f>IF($B4798="","",TEXT($B4798,"0000"))</f>
        <v/>
      </c>
      <c r="W4798" s="19">
        <f>IF($I4798="","",IF(ISNUMBER($I4798),TEXT($I4798,"0"),$I4798))</f>
        <v/>
      </c>
    </row>
    <row r="4799">
      <c r="B4799" s="25" t="n"/>
      <c r="I4799" s="25" t="n"/>
      <c r="U4799" s="19">
        <f>IF($V4799&lt;&gt;'設定'!$C$4,N(U4798),IF(OR(NOT(COUNTIF('商品マスタ'!$B$6:$B$1005,$W4799)=0),COUNTIFS('①在庫を貼る'!$V$6:$V$10005,$V4799,'①在庫を貼る'!$W$6:$W$10005,$W4799)&gt;0),N(U4798),N(U4798)+1))</f>
        <v/>
      </c>
      <c r="V4799" s="19">
        <f>IF($B4799="","",TEXT($B4799,"0000"))</f>
        <v/>
      </c>
      <c r="W4799" s="19">
        <f>IF($I4799="","",IF(ISNUMBER($I4799),TEXT($I4799,"0"),$I4799))</f>
        <v/>
      </c>
    </row>
    <row r="4800">
      <c r="B4800" s="25" t="n"/>
      <c r="I4800" s="25" t="n"/>
      <c r="U4800" s="19">
        <f>IF($V4800&lt;&gt;'設定'!$C$4,N(U4799),IF(OR(NOT(COUNTIF('商品マスタ'!$B$6:$B$1005,$W4800)=0),COUNTIFS('①在庫を貼る'!$V$6:$V$10005,$V4800,'①在庫を貼る'!$W$6:$W$10005,$W4800)&gt;0),N(U4799),N(U4799)+1))</f>
        <v/>
      </c>
      <c r="V4800" s="19">
        <f>IF($B4800="","",TEXT($B4800,"0000"))</f>
        <v/>
      </c>
      <c r="W4800" s="19">
        <f>IF($I4800="","",IF(ISNUMBER($I4800),TEXT($I4800,"0"),$I4800))</f>
        <v/>
      </c>
    </row>
    <row r="4801">
      <c r="B4801" s="25" t="n"/>
      <c r="I4801" s="25" t="n"/>
      <c r="U4801" s="19">
        <f>IF($V4801&lt;&gt;'設定'!$C$4,N(U4800),IF(OR(NOT(COUNTIF('商品マスタ'!$B$6:$B$1005,$W4801)=0),COUNTIFS('①在庫を貼る'!$V$6:$V$10005,$V4801,'①在庫を貼る'!$W$6:$W$10005,$W4801)&gt;0),N(U4800),N(U4800)+1))</f>
        <v/>
      </c>
      <c r="V4801" s="19">
        <f>IF($B4801="","",TEXT($B4801,"0000"))</f>
        <v/>
      </c>
      <c r="W4801" s="19">
        <f>IF($I4801="","",IF(ISNUMBER($I4801),TEXT($I4801,"0"),$I4801))</f>
        <v/>
      </c>
    </row>
    <row r="4802">
      <c r="B4802" s="25" t="n"/>
      <c r="I4802" s="25" t="n"/>
      <c r="U4802" s="19">
        <f>IF($V4802&lt;&gt;'設定'!$C$4,N(U4801),IF(OR(NOT(COUNTIF('商品マスタ'!$B$6:$B$1005,$W4802)=0),COUNTIFS('①在庫を貼る'!$V$6:$V$10005,$V4802,'①在庫を貼る'!$W$6:$W$10005,$W4802)&gt;0),N(U4801),N(U4801)+1))</f>
        <v/>
      </c>
      <c r="V4802" s="19">
        <f>IF($B4802="","",TEXT($B4802,"0000"))</f>
        <v/>
      </c>
      <c r="W4802" s="19">
        <f>IF($I4802="","",IF(ISNUMBER($I4802),TEXT($I4802,"0"),$I4802))</f>
        <v/>
      </c>
    </row>
    <row r="4803">
      <c r="B4803" s="25" t="n"/>
      <c r="I4803" s="25" t="n"/>
      <c r="U4803" s="19">
        <f>IF($V4803&lt;&gt;'設定'!$C$4,N(U4802),IF(OR(NOT(COUNTIF('商品マスタ'!$B$6:$B$1005,$W4803)=0),COUNTIFS('①在庫を貼る'!$V$6:$V$10005,$V4803,'①在庫を貼る'!$W$6:$W$10005,$W4803)&gt;0),N(U4802),N(U4802)+1))</f>
        <v/>
      </c>
      <c r="V4803" s="19">
        <f>IF($B4803="","",TEXT($B4803,"0000"))</f>
        <v/>
      </c>
      <c r="W4803" s="19">
        <f>IF($I4803="","",IF(ISNUMBER($I4803),TEXT($I4803,"0"),$I4803))</f>
        <v/>
      </c>
    </row>
    <row r="4804">
      <c r="B4804" s="25" t="n"/>
      <c r="I4804" s="25" t="n"/>
      <c r="U4804" s="19">
        <f>IF($V4804&lt;&gt;'設定'!$C$4,N(U4803),IF(OR(NOT(COUNTIF('商品マスタ'!$B$6:$B$1005,$W4804)=0),COUNTIFS('①在庫を貼る'!$V$6:$V$10005,$V4804,'①在庫を貼る'!$W$6:$W$10005,$W4804)&gt;0),N(U4803),N(U4803)+1))</f>
        <v/>
      </c>
      <c r="V4804" s="19">
        <f>IF($B4804="","",TEXT($B4804,"0000"))</f>
        <v/>
      </c>
      <c r="W4804" s="19">
        <f>IF($I4804="","",IF(ISNUMBER($I4804),TEXT($I4804,"0"),$I4804))</f>
        <v/>
      </c>
    </row>
    <row r="4805">
      <c r="B4805" s="25" t="n"/>
      <c r="I4805" s="25" t="n"/>
      <c r="U4805" s="19">
        <f>IF($V4805&lt;&gt;'設定'!$C$4,N(U4804),IF(OR(NOT(COUNTIF('商品マスタ'!$B$6:$B$1005,$W4805)=0),COUNTIFS('①在庫を貼る'!$V$6:$V$10005,$V4805,'①在庫を貼る'!$W$6:$W$10005,$W4805)&gt;0),N(U4804),N(U4804)+1))</f>
        <v/>
      </c>
      <c r="V4805" s="19">
        <f>IF($B4805="","",TEXT($B4805,"0000"))</f>
        <v/>
      </c>
      <c r="W4805" s="19">
        <f>IF($I4805="","",IF(ISNUMBER($I4805),TEXT($I4805,"0"),$I4805))</f>
        <v/>
      </c>
    </row>
    <row r="4806">
      <c r="B4806" s="25" t="n"/>
      <c r="I4806" s="25" t="n"/>
      <c r="U4806" s="19">
        <f>IF($V4806&lt;&gt;'設定'!$C$4,N(U4805),IF(OR(NOT(COUNTIF('商品マスタ'!$B$6:$B$1005,$W4806)=0),COUNTIFS('①在庫を貼る'!$V$6:$V$10005,$V4806,'①在庫を貼る'!$W$6:$W$10005,$W4806)&gt;0),N(U4805),N(U4805)+1))</f>
        <v/>
      </c>
      <c r="V4806" s="19">
        <f>IF($B4806="","",TEXT($B4806,"0000"))</f>
        <v/>
      </c>
      <c r="W4806" s="19">
        <f>IF($I4806="","",IF(ISNUMBER($I4806),TEXT($I4806,"0"),$I4806))</f>
        <v/>
      </c>
    </row>
    <row r="4807">
      <c r="B4807" s="25" t="n"/>
      <c r="I4807" s="25" t="n"/>
      <c r="U4807" s="19">
        <f>IF($V4807&lt;&gt;'設定'!$C$4,N(U4806),IF(OR(NOT(COUNTIF('商品マスタ'!$B$6:$B$1005,$W4807)=0),COUNTIFS('①在庫を貼る'!$V$6:$V$10005,$V4807,'①在庫を貼る'!$W$6:$W$10005,$W4807)&gt;0),N(U4806),N(U4806)+1))</f>
        <v/>
      </c>
      <c r="V4807" s="19">
        <f>IF($B4807="","",TEXT($B4807,"0000"))</f>
        <v/>
      </c>
      <c r="W4807" s="19">
        <f>IF($I4807="","",IF(ISNUMBER($I4807),TEXT($I4807,"0"),$I4807))</f>
        <v/>
      </c>
    </row>
    <row r="4808">
      <c r="B4808" s="25" t="n"/>
      <c r="I4808" s="25" t="n"/>
      <c r="U4808" s="19">
        <f>IF($V4808&lt;&gt;'設定'!$C$4,N(U4807),IF(OR(NOT(COUNTIF('商品マスタ'!$B$6:$B$1005,$W4808)=0),COUNTIFS('①在庫を貼る'!$V$6:$V$10005,$V4808,'①在庫を貼る'!$W$6:$W$10005,$W4808)&gt;0),N(U4807),N(U4807)+1))</f>
        <v/>
      </c>
      <c r="V4808" s="19">
        <f>IF($B4808="","",TEXT($B4808,"0000"))</f>
        <v/>
      </c>
      <c r="W4808" s="19">
        <f>IF($I4808="","",IF(ISNUMBER($I4808),TEXT($I4808,"0"),$I4808))</f>
        <v/>
      </c>
    </row>
    <row r="4809">
      <c r="B4809" s="25" t="n"/>
      <c r="I4809" s="25" t="n"/>
      <c r="U4809" s="19">
        <f>IF($V4809&lt;&gt;'設定'!$C$4,N(U4808),IF(OR(NOT(COUNTIF('商品マスタ'!$B$6:$B$1005,$W4809)=0),COUNTIFS('①在庫を貼る'!$V$6:$V$10005,$V4809,'①在庫を貼る'!$W$6:$W$10005,$W4809)&gt;0),N(U4808),N(U4808)+1))</f>
        <v/>
      </c>
      <c r="V4809" s="19">
        <f>IF($B4809="","",TEXT($B4809,"0000"))</f>
        <v/>
      </c>
      <c r="W4809" s="19">
        <f>IF($I4809="","",IF(ISNUMBER($I4809),TEXT($I4809,"0"),$I4809))</f>
        <v/>
      </c>
    </row>
    <row r="4810">
      <c r="B4810" s="25" t="n"/>
      <c r="I4810" s="25" t="n"/>
      <c r="U4810" s="19">
        <f>IF($V4810&lt;&gt;'設定'!$C$4,N(U4809),IF(OR(NOT(COUNTIF('商品マスタ'!$B$6:$B$1005,$W4810)=0),COUNTIFS('①在庫を貼る'!$V$6:$V$10005,$V4810,'①在庫を貼る'!$W$6:$W$10005,$W4810)&gt;0),N(U4809),N(U4809)+1))</f>
        <v/>
      </c>
      <c r="V4810" s="19">
        <f>IF($B4810="","",TEXT($B4810,"0000"))</f>
        <v/>
      </c>
      <c r="W4810" s="19">
        <f>IF($I4810="","",IF(ISNUMBER($I4810),TEXT($I4810,"0"),$I4810))</f>
        <v/>
      </c>
    </row>
    <row r="4811">
      <c r="B4811" s="25" t="n"/>
      <c r="I4811" s="25" t="n"/>
      <c r="U4811" s="19">
        <f>IF($V4811&lt;&gt;'設定'!$C$4,N(U4810),IF(OR(NOT(COUNTIF('商品マスタ'!$B$6:$B$1005,$W4811)=0),COUNTIFS('①在庫を貼る'!$V$6:$V$10005,$V4811,'①在庫を貼る'!$W$6:$W$10005,$W4811)&gt;0),N(U4810),N(U4810)+1))</f>
        <v/>
      </c>
      <c r="V4811" s="19">
        <f>IF($B4811="","",TEXT($B4811,"0000"))</f>
        <v/>
      </c>
      <c r="W4811" s="19">
        <f>IF($I4811="","",IF(ISNUMBER($I4811),TEXT($I4811,"0"),$I4811))</f>
        <v/>
      </c>
    </row>
    <row r="4812">
      <c r="B4812" s="25" t="n"/>
      <c r="I4812" s="25" t="n"/>
      <c r="U4812" s="19">
        <f>IF($V4812&lt;&gt;'設定'!$C$4,N(U4811),IF(OR(NOT(COUNTIF('商品マスタ'!$B$6:$B$1005,$W4812)=0),COUNTIFS('①在庫を貼る'!$V$6:$V$10005,$V4812,'①在庫を貼る'!$W$6:$W$10005,$W4812)&gt;0),N(U4811),N(U4811)+1))</f>
        <v/>
      </c>
      <c r="V4812" s="19">
        <f>IF($B4812="","",TEXT($B4812,"0000"))</f>
        <v/>
      </c>
      <c r="W4812" s="19">
        <f>IF($I4812="","",IF(ISNUMBER($I4812),TEXT($I4812,"0"),$I4812))</f>
        <v/>
      </c>
    </row>
    <row r="4813">
      <c r="B4813" s="25" t="n"/>
      <c r="I4813" s="25" t="n"/>
      <c r="U4813" s="19">
        <f>IF($V4813&lt;&gt;'設定'!$C$4,N(U4812),IF(OR(NOT(COUNTIF('商品マスタ'!$B$6:$B$1005,$W4813)=0),COUNTIFS('①在庫を貼る'!$V$6:$V$10005,$V4813,'①在庫を貼る'!$W$6:$W$10005,$W4813)&gt;0),N(U4812),N(U4812)+1))</f>
        <v/>
      </c>
      <c r="V4813" s="19">
        <f>IF($B4813="","",TEXT($B4813,"0000"))</f>
        <v/>
      </c>
      <c r="W4813" s="19">
        <f>IF($I4813="","",IF(ISNUMBER($I4813),TEXT($I4813,"0"),$I4813))</f>
        <v/>
      </c>
    </row>
    <row r="4814">
      <c r="B4814" s="25" t="n"/>
      <c r="I4814" s="25" t="n"/>
      <c r="U4814" s="19">
        <f>IF($V4814&lt;&gt;'設定'!$C$4,N(U4813),IF(OR(NOT(COUNTIF('商品マスタ'!$B$6:$B$1005,$W4814)=0),COUNTIFS('①在庫を貼る'!$V$6:$V$10005,$V4814,'①在庫を貼る'!$W$6:$W$10005,$W4814)&gt;0),N(U4813),N(U4813)+1))</f>
        <v/>
      </c>
      <c r="V4814" s="19">
        <f>IF($B4814="","",TEXT($B4814,"0000"))</f>
        <v/>
      </c>
      <c r="W4814" s="19">
        <f>IF($I4814="","",IF(ISNUMBER($I4814),TEXT($I4814,"0"),$I4814))</f>
        <v/>
      </c>
    </row>
    <row r="4815">
      <c r="B4815" s="25" t="n"/>
      <c r="I4815" s="25" t="n"/>
      <c r="U4815" s="19">
        <f>IF($V4815&lt;&gt;'設定'!$C$4,N(U4814),IF(OR(NOT(COUNTIF('商品マスタ'!$B$6:$B$1005,$W4815)=0),COUNTIFS('①在庫を貼る'!$V$6:$V$10005,$V4815,'①在庫を貼る'!$W$6:$W$10005,$W4815)&gt;0),N(U4814),N(U4814)+1))</f>
        <v/>
      </c>
      <c r="V4815" s="19">
        <f>IF($B4815="","",TEXT($B4815,"0000"))</f>
        <v/>
      </c>
      <c r="W4815" s="19">
        <f>IF($I4815="","",IF(ISNUMBER($I4815),TEXT($I4815,"0"),$I4815))</f>
        <v/>
      </c>
    </row>
    <row r="4816">
      <c r="B4816" s="25" t="n"/>
      <c r="I4816" s="25" t="n"/>
      <c r="U4816" s="19">
        <f>IF($V4816&lt;&gt;'設定'!$C$4,N(U4815),IF(OR(NOT(COUNTIF('商品マスタ'!$B$6:$B$1005,$W4816)=0),COUNTIFS('①在庫を貼る'!$V$6:$V$10005,$V4816,'①在庫を貼る'!$W$6:$W$10005,$W4816)&gt;0),N(U4815),N(U4815)+1))</f>
        <v/>
      </c>
      <c r="V4816" s="19">
        <f>IF($B4816="","",TEXT($B4816,"0000"))</f>
        <v/>
      </c>
      <c r="W4816" s="19">
        <f>IF($I4816="","",IF(ISNUMBER($I4816),TEXT($I4816,"0"),$I4816))</f>
        <v/>
      </c>
    </row>
    <row r="4817">
      <c r="B4817" s="25" t="n"/>
      <c r="I4817" s="25" t="n"/>
      <c r="U4817" s="19">
        <f>IF($V4817&lt;&gt;'設定'!$C$4,N(U4816),IF(OR(NOT(COUNTIF('商品マスタ'!$B$6:$B$1005,$W4817)=0),COUNTIFS('①在庫を貼る'!$V$6:$V$10005,$V4817,'①在庫を貼る'!$W$6:$W$10005,$W4817)&gt;0),N(U4816),N(U4816)+1))</f>
        <v/>
      </c>
      <c r="V4817" s="19">
        <f>IF($B4817="","",TEXT($B4817,"0000"))</f>
        <v/>
      </c>
      <c r="W4817" s="19">
        <f>IF($I4817="","",IF(ISNUMBER($I4817),TEXT($I4817,"0"),$I4817))</f>
        <v/>
      </c>
    </row>
    <row r="4818">
      <c r="B4818" s="25" t="n"/>
      <c r="I4818" s="25" t="n"/>
      <c r="U4818" s="19">
        <f>IF($V4818&lt;&gt;'設定'!$C$4,N(U4817),IF(OR(NOT(COUNTIF('商品マスタ'!$B$6:$B$1005,$W4818)=0),COUNTIFS('①在庫を貼る'!$V$6:$V$10005,$V4818,'①在庫を貼る'!$W$6:$W$10005,$W4818)&gt;0),N(U4817),N(U4817)+1))</f>
        <v/>
      </c>
      <c r="V4818" s="19">
        <f>IF($B4818="","",TEXT($B4818,"0000"))</f>
        <v/>
      </c>
      <c r="W4818" s="19">
        <f>IF($I4818="","",IF(ISNUMBER($I4818),TEXT($I4818,"0"),$I4818))</f>
        <v/>
      </c>
    </row>
    <row r="4819">
      <c r="B4819" s="25" t="n"/>
      <c r="I4819" s="25" t="n"/>
      <c r="U4819" s="19">
        <f>IF($V4819&lt;&gt;'設定'!$C$4,N(U4818),IF(OR(NOT(COUNTIF('商品マスタ'!$B$6:$B$1005,$W4819)=0),COUNTIFS('①在庫を貼る'!$V$6:$V$10005,$V4819,'①在庫を貼る'!$W$6:$W$10005,$W4819)&gt;0),N(U4818),N(U4818)+1))</f>
        <v/>
      </c>
      <c r="V4819" s="19">
        <f>IF($B4819="","",TEXT($B4819,"0000"))</f>
        <v/>
      </c>
      <c r="W4819" s="19">
        <f>IF($I4819="","",IF(ISNUMBER($I4819),TEXT($I4819,"0"),$I4819))</f>
        <v/>
      </c>
    </row>
    <row r="4820">
      <c r="B4820" s="25" t="n"/>
      <c r="I4820" s="25" t="n"/>
      <c r="U4820" s="19">
        <f>IF($V4820&lt;&gt;'設定'!$C$4,N(U4819),IF(OR(NOT(COUNTIF('商品マスタ'!$B$6:$B$1005,$W4820)=0),COUNTIFS('①在庫を貼る'!$V$6:$V$10005,$V4820,'①在庫を貼る'!$W$6:$W$10005,$W4820)&gt;0),N(U4819),N(U4819)+1))</f>
        <v/>
      </c>
      <c r="V4820" s="19">
        <f>IF($B4820="","",TEXT($B4820,"0000"))</f>
        <v/>
      </c>
      <c r="W4820" s="19">
        <f>IF($I4820="","",IF(ISNUMBER($I4820),TEXT($I4820,"0"),$I4820))</f>
        <v/>
      </c>
    </row>
    <row r="4821">
      <c r="B4821" s="25" t="n"/>
      <c r="I4821" s="25" t="n"/>
      <c r="U4821" s="19">
        <f>IF($V4821&lt;&gt;'設定'!$C$4,N(U4820),IF(OR(NOT(COUNTIF('商品マスタ'!$B$6:$B$1005,$W4821)=0),COUNTIFS('①在庫を貼る'!$V$6:$V$10005,$V4821,'①在庫を貼る'!$W$6:$W$10005,$W4821)&gt;0),N(U4820),N(U4820)+1))</f>
        <v/>
      </c>
      <c r="V4821" s="19">
        <f>IF($B4821="","",TEXT($B4821,"0000"))</f>
        <v/>
      </c>
      <c r="W4821" s="19">
        <f>IF($I4821="","",IF(ISNUMBER($I4821),TEXT($I4821,"0"),$I4821))</f>
        <v/>
      </c>
    </row>
    <row r="4822">
      <c r="B4822" s="25" t="n"/>
      <c r="I4822" s="25" t="n"/>
      <c r="U4822" s="19">
        <f>IF($V4822&lt;&gt;'設定'!$C$4,N(U4821),IF(OR(NOT(COUNTIF('商品マスタ'!$B$6:$B$1005,$W4822)=0),COUNTIFS('①在庫を貼る'!$V$6:$V$10005,$V4822,'①在庫を貼る'!$W$6:$W$10005,$W4822)&gt;0),N(U4821),N(U4821)+1))</f>
        <v/>
      </c>
      <c r="V4822" s="19">
        <f>IF($B4822="","",TEXT($B4822,"0000"))</f>
        <v/>
      </c>
      <c r="W4822" s="19">
        <f>IF($I4822="","",IF(ISNUMBER($I4822),TEXT($I4822,"0"),$I4822))</f>
        <v/>
      </c>
    </row>
    <row r="4823">
      <c r="B4823" s="25" t="n"/>
      <c r="I4823" s="25" t="n"/>
      <c r="U4823" s="19">
        <f>IF($V4823&lt;&gt;'設定'!$C$4,N(U4822),IF(OR(NOT(COUNTIF('商品マスタ'!$B$6:$B$1005,$W4823)=0),COUNTIFS('①在庫を貼る'!$V$6:$V$10005,$V4823,'①在庫を貼る'!$W$6:$W$10005,$W4823)&gt;0),N(U4822),N(U4822)+1))</f>
        <v/>
      </c>
      <c r="V4823" s="19">
        <f>IF($B4823="","",TEXT($B4823,"0000"))</f>
        <v/>
      </c>
      <c r="W4823" s="19">
        <f>IF($I4823="","",IF(ISNUMBER($I4823),TEXT($I4823,"0"),$I4823))</f>
        <v/>
      </c>
    </row>
    <row r="4824">
      <c r="B4824" s="25" t="n"/>
      <c r="I4824" s="25" t="n"/>
      <c r="U4824" s="19">
        <f>IF($V4824&lt;&gt;'設定'!$C$4,N(U4823),IF(OR(NOT(COUNTIF('商品マスタ'!$B$6:$B$1005,$W4824)=0),COUNTIFS('①在庫を貼る'!$V$6:$V$10005,$V4824,'①在庫を貼る'!$W$6:$W$10005,$W4824)&gt;0),N(U4823),N(U4823)+1))</f>
        <v/>
      </c>
      <c r="V4824" s="19">
        <f>IF($B4824="","",TEXT($B4824,"0000"))</f>
        <v/>
      </c>
      <c r="W4824" s="19">
        <f>IF($I4824="","",IF(ISNUMBER($I4824),TEXT($I4824,"0"),$I4824))</f>
        <v/>
      </c>
    </row>
    <row r="4825">
      <c r="B4825" s="25" t="n"/>
      <c r="I4825" s="25" t="n"/>
      <c r="U4825" s="19">
        <f>IF($V4825&lt;&gt;'設定'!$C$4,N(U4824),IF(OR(NOT(COUNTIF('商品マスタ'!$B$6:$B$1005,$W4825)=0),COUNTIFS('①在庫を貼る'!$V$6:$V$10005,$V4825,'①在庫を貼る'!$W$6:$W$10005,$W4825)&gt;0),N(U4824),N(U4824)+1))</f>
        <v/>
      </c>
      <c r="V4825" s="19">
        <f>IF($B4825="","",TEXT($B4825,"0000"))</f>
        <v/>
      </c>
      <c r="W4825" s="19">
        <f>IF($I4825="","",IF(ISNUMBER($I4825),TEXT($I4825,"0"),$I4825))</f>
        <v/>
      </c>
    </row>
    <row r="4826">
      <c r="B4826" s="25" t="n"/>
      <c r="I4826" s="25" t="n"/>
      <c r="U4826" s="19">
        <f>IF($V4826&lt;&gt;'設定'!$C$4,N(U4825),IF(OR(NOT(COUNTIF('商品マスタ'!$B$6:$B$1005,$W4826)=0),COUNTIFS('①在庫を貼る'!$V$6:$V$10005,$V4826,'①在庫を貼る'!$W$6:$W$10005,$W4826)&gt;0),N(U4825),N(U4825)+1))</f>
        <v/>
      </c>
      <c r="V4826" s="19">
        <f>IF($B4826="","",TEXT($B4826,"0000"))</f>
        <v/>
      </c>
      <c r="W4826" s="19">
        <f>IF($I4826="","",IF(ISNUMBER($I4826),TEXT($I4826,"0"),$I4826))</f>
        <v/>
      </c>
    </row>
    <row r="4827">
      <c r="B4827" s="25" t="n"/>
      <c r="I4827" s="25" t="n"/>
      <c r="U4827" s="19">
        <f>IF($V4827&lt;&gt;'設定'!$C$4,N(U4826),IF(OR(NOT(COUNTIF('商品マスタ'!$B$6:$B$1005,$W4827)=0),COUNTIFS('①在庫を貼る'!$V$6:$V$10005,$V4827,'①在庫を貼る'!$W$6:$W$10005,$W4827)&gt;0),N(U4826),N(U4826)+1))</f>
        <v/>
      </c>
      <c r="V4827" s="19">
        <f>IF($B4827="","",TEXT($B4827,"0000"))</f>
        <v/>
      </c>
      <c r="W4827" s="19">
        <f>IF($I4827="","",IF(ISNUMBER($I4827),TEXT($I4827,"0"),$I4827))</f>
        <v/>
      </c>
    </row>
    <row r="4828">
      <c r="B4828" s="25" t="n"/>
      <c r="I4828" s="25" t="n"/>
      <c r="U4828" s="19">
        <f>IF($V4828&lt;&gt;'設定'!$C$4,N(U4827),IF(OR(NOT(COUNTIF('商品マスタ'!$B$6:$B$1005,$W4828)=0),COUNTIFS('①在庫を貼る'!$V$6:$V$10005,$V4828,'①在庫を貼る'!$W$6:$W$10005,$W4828)&gt;0),N(U4827),N(U4827)+1))</f>
        <v/>
      </c>
      <c r="V4828" s="19">
        <f>IF($B4828="","",TEXT($B4828,"0000"))</f>
        <v/>
      </c>
      <c r="W4828" s="19">
        <f>IF($I4828="","",IF(ISNUMBER($I4828),TEXT($I4828,"0"),$I4828))</f>
        <v/>
      </c>
    </row>
    <row r="4829">
      <c r="B4829" s="25" t="n"/>
      <c r="I4829" s="25" t="n"/>
      <c r="U4829" s="19">
        <f>IF($V4829&lt;&gt;'設定'!$C$4,N(U4828),IF(OR(NOT(COUNTIF('商品マスタ'!$B$6:$B$1005,$W4829)=0),COUNTIFS('①在庫を貼る'!$V$6:$V$10005,$V4829,'①在庫を貼る'!$W$6:$W$10005,$W4829)&gt;0),N(U4828),N(U4828)+1))</f>
        <v/>
      </c>
      <c r="V4829" s="19">
        <f>IF($B4829="","",TEXT($B4829,"0000"))</f>
        <v/>
      </c>
      <c r="W4829" s="19">
        <f>IF($I4829="","",IF(ISNUMBER($I4829),TEXT($I4829,"0"),$I4829))</f>
        <v/>
      </c>
    </row>
    <row r="4830">
      <c r="B4830" s="25" t="n"/>
      <c r="I4830" s="25" t="n"/>
      <c r="U4830" s="19">
        <f>IF($V4830&lt;&gt;'設定'!$C$4,N(U4829),IF(OR(NOT(COUNTIF('商品マスタ'!$B$6:$B$1005,$W4830)=0),COUNTIFS('①在庫を貼る'!$V$6:$V$10005,$V4830,'①在庫を貼る'!$W$6:$W$10005,$W4830)&gt;0),N(U4829),N(U4829)+1))</f>
        <v/>
      </c>
      <c r="V4830" s="19">
        <f>IF($B4830="","",TEXT($B4830,"0000"))</f>
        <v/>
      </c>
      <c r="W4830" s="19">
        <f>IF($I4830="","",IF(ISNUMBER($I4830),TEXT($I4830,"0"),$I4830))</f>
        <v/>
      </c>
    </row>
    <row r="4831">
      <c r="B4831" s="25" t="n"/>
      <c r="I4831" s="25" t="n"/>
      <c r="U4831" s="19">
        <f>IF($V4831&lt;&gt;'設定'!$C$4,N(U4830),IF(OR(NOT(COUNTIF('商品マスタ'!$B$6:$B$1005,$W4831)=0),COUNTIFS('①在庫を貼る'!$V$6:$V$10005,$V4831,'①在庫を貼る'!$W$6:$W$10005,$W4831)&gt;0),N(U4830),N(U4830)+1))</f>
        <v/>
      </c>
      <c r="V4831" s="19">
        <f>IF($B4831="","",TEXT($B4831,"0000"))</f>
        <v/>
      </c>
      <c r="W4831" s="19">
        <f>IF($I4831="","",IF(ISNUMBER($I4831),TEXT($I4831,"0"),$I4831))</f>
        <v/>
      </c>
    </row>
    <row r="4832">
      <c r="B4832" s="25" t="n"/>
      <c r="I4832" s="25" t="n"/>
      <c r="U4832" s="19">
        <f>IF($V4832&lt;&gt;'設定'!$C$4,N(U4831),IF(OR(NOT(COUNTIF('商品マスタ'!$B$6:$B$1005,$W4832)=0),COUNTIFS('①在庫を貼る'!$V$6:$V$10005,$V4832,'①在庫を貼る'!$W$6:$W$10005,$W4832)&gt;0),N(U4831),N(U4831)+1))</f>
        <v/>
      </c>
      <c r="V4832" s="19">
        <f>IF($B4832="","",TEXT($B4832,"0000"))</f>
        <v/>
      </c>
      <c r="W4832" s="19">
        <f>IF($I4832="","",IF(ISNUMBER($I4832),TEXT($I4832,"0"),$I4832))</f>
        <v/>
      </c>
    </row>
    <row r="4833">
      <c r="B4833" s="25" t="n"/>
      <c r="I4833" s="25" t="n"/>
      <c r="U4833" s="19">
        <f>IF($V4833&lt;&gt;'設定'!$C$4,N(U4832),IF(OR(NOT(COUNTIF('商品マスタ'!$B$6:$B$1005,$W4833)=0),COUNTIFS('①在庫を貼る'!$V$6:$V$10005,$V4833,'①在庫を貼る'!$W$6:$W$10005,$W4833)&gt;0),N(U4832),N(U4832)+1))</f>
        <v/>
      </c>
      <c r="V4833" s="19">
        <f>IF($B4833="","",TEXT($B4833,"0000"))</f>
        <v/>
      </c>
      <c r="W4833" s="19">
        <f>IF($I4833="","",IF(ISNUMBER($I4833),TEXT($I4833,"0"),$I4833))</f>
        <v/>
      </c>
    </row>
    <row r="4834">
      <c r="B4834" s="25" t="n"/>
      <c r="I4834" s="25" t="n"/>
      <c r="U4834" s="19">
        <f>IF($V4834&lt;&gt;'設定'!$C$4,N(U4833),IF(OR(NOT(COUNTIF('商品マスタ'!$B$6:$B$1005,$W4834)=0),COUNTIFS('①在庫を貼る'!$V$6:$V$10005,$V4834,'①在庫を貼る'!$W$6:$W$10005,$W4834)&gt;0),N(U4833),N(U4833)+1))</f>
        <v/>
      </c>
      <c r="V4834" s="19">
        <f>IF($B4834="","",TEXT($B4834,"0000"))</f>
        <v/>
      </c>
      <c r="W4834" s="19">
        <f>IF($I4834="","",IF(ISNUMBER($I4834),TEXT($I4834,"0"),$I4834))</f>
        <v/>
      </c>
    </row>
    <row r="4835">
      <c r="B4835" s="25" t="n"/>
      <c r="I4835" s="25" t="n"/>
      <c r="U4835" s="19">
        <f>IF($V4835&lt;&gt;'設定'!$C$4,N(U4834),IF(OR(NOT(COUNTIF('商品マスタ'!$B$6:$B$1005,$W4835)=0),COUNTIFS('①在庫を貼る'!$V$6:$V$10005,$V4835,'①在庫を貼る'!$W$6:$W$10005,$W4835)&gt;0),N(U4834),N(U4834)+1))</f>
        <v/>
      </c>
      <c r="V4835" s="19">
        <f>IF($B4835="","",TEXT($B4835,"0000"))</f>
        <v/>
      </c>
      <c r="W4835" s="19">
        <f>IF($I4835="","",IF(ISNUMBER($I4835),TEXT($I4835,"0"),$I4835))</f>
        <v/>
      </c>
    </row>
    <row r="4836">
      <c r="B4836" s="25" t="n"/>
      <c r="I4836" s="25" t="n"/>
      <c r="U4836" s="19">
        <f>IF($V4836&lt;&gt;'設定'!$C$4,N(U4835),IF(OR(NOT(COUNTIF('商品マスタ'!$B$6:$B$1005,$W4836)=0),COUNTIFS('①在庫を貼る'!$V$6:$V$10005,$V4836,'①在庫を貼る'!$W$6:$W$10005,$W4836)&gt;0),N(U4835),N(U4835)+1))</f>
        <v/>
      </c>
      <c r="V4836" s="19">
        <f>IF($B4836="","",TEXT($B4836,"0000"))</f>
        <v/>
      </c>
      <c r="W4836" s="19">
        <f>IF($I4836="","",IF(ISNUMBER($I4836),TEXT($I4836,"0"),$I4836))</f>
        <v/>
      </c>
    </row>
    <row r="4837">
      <c r="B4837" s="25" t="n"/>
      <c r="I4837" s="25" t="n"/>
      <c r="U4837" s="19">
        <f>IF($V4837&lt;&gt;'設定'!$C$4,N(U4836),IF(OR(NOT(COUNTIF('商品マスタ'!$B$6:$B$1005,$W4837)=0),COUNTIFS('①在庫を貼る'!$V$6:$V$10005,$V4837,'①在庫を貼る'!$W$6:$W$10005,$W4837)&gt;0),N(U4836),N(U4836)+1))</f>
        <v/>
      </c>
      <c r="V4837" s="19">
        <f>IF($B4837="","",TEXT($B4837,"0000"))</f>
        <v/>
      </c>
      <c r="W4837" s="19">
        <f>IF($I4837="","",IF(ISNUMBER($I4837),TEXT($I4837,"0"),$I4837))</f>
        <v/>
      </c>
    </row>
    <row r="4838">
      <c r="B4838" s="25" t="n"/>
      <c r="I4838" s="25" t="n"/>
      <c r="U4838" s="19">
        <f>IF($V4838&lt;&gt;'設定'!$C$4,N(U4837),IF(OR(NOT(COUNTIF('商品マスタ'!$B$6:$B$1005,$W4838)=0),COUNTIFS('①在庫を貼る'!$V$6:$V$10005,$V4838,'①在庫を貼る'!$W$6:$W$10005,$W4838)&gt;0),N(U4837),N(U4837)+1))</f>
        <v/>
      </c>
      <c r="V4838" s="19">
        <f>IF($B4838="","",TEXT($B4838,"0000"))</f>
        <v/>
      </c>
      <c r="W4838" s="19">
        <f>IF($I4838="","",IF(ISNUMBER($I4838),TEXT($I4838,"0"),$I4838))</f>
        <v/>
      </c>
    </row>
    <row r="4839">
      <c r="B4839" s="25" t="n"/>
      <c r="I4839" s="25" t="n"/>
      <c r="U4839" s="19">
        <f>IF($V4839&lt;&gt;'設定'!$C$4,N(U4838),IF(OR(NOT(COUNTIF('商品マスタ'!$B$6:$B$1005,$W4839)=0),COUNTIFS('①在庫を貼る'!$V$6:$V$10005,$V4839,'①在庫を貼る'!$W$6:$W$10005,$W4839)&gt;0),N(U4838),N(U4838)+1))</f>
        <v/>
      </c>
      <c r="V4839" s="19">
        <f>IF($B4839="","",TEXT($B4839,"0000"))</f>
        <v/>
      </c>
      <c r="W4839" s="19">
        <f>IF($I4839="","",IF(ISNUMBER($I4839),TEXT($I4839,"0"),$I4839))</f>
        <v/>
      </c>
    </row>
    <row r="4840">
      <c r="B4840" s="25" t="n"/>
      <c r="I4840" s="25" t="n"/>
      <c r="U4840" s="19">
        <f>IF($V4840&lt;&gt;'設定'!$C$4,N(U4839),IF(OR(NOT(COUNTIF('商品マスタ'!$B$6:$B$1005,$W4840)=0),COUNTIFS('①在庫を貼る'!$V$6:$V$10005,$V4840,'①在庫を貼る'!$W$6:$W$10005,$W4840)&gt;0),N(U4839),N(U4839)+1))</f>
        <v/>
      </c>
      <c r="V4840" s="19">
        <f>IF($B4840="","",TEXT($B4840,"0000"))</f>
        <v/>
      </c>
      <c r="W4840" s="19">
        <f>IF($I4840="","",IF(ISNUMBER($I4840),TEXT($I4840,"0"),$I4840))</f>
        <v/>
      </c>
    </row>
    <row r="4841">
      <c r="B4841" s="25" t="n"/>
      <c r="I4841" s="25" t="n"/>
      <c r="U4841" s="19">
        <f>IF($V4841&lt;&gt;'設定'!$C$4,N(U4840),IF(OR(NOT(COUNTIF('商品マスタ'!$B$6:$B$1005,$W4841)=0),COUNTIFS('①在庫を貼る'!$V$6:$V$10005,$V4841,'①在庫を貼る'!$W$6:$W$10005,$W4841)&gt;0),N(U4840),N(U4840)+1))</f>
        <v/>
      </c>
      <c r="V4841" s="19">
        <f>IF($B4841="","",TEXT($B4841,"0000"))</f>
        <v/>
      </c>
      <c r="W4841" s="19">
        <f>IF($I4841="","",IF(ISNUMBER($I4841),TEXT($I4841,"0"),$I4841))</f>
        <v/>
      </c>
    </row>
    <row r="4842">
      <c r="B4842" s="25" t="n"/>
      <c r="I4842" s="25" t="n"/>
      <c r="U4842" s="19">
        <f>IF($V4842&lt;&gt;'設定'!$C$4,N(U4841),IF(OR(NOT(COUNTIF('商品マスタ'!$B$6:$B$1005,$W4842)=0),COUNTIFS('①在庫を貼る'!$V$6:$V$10005,$V4842,'①在庫を貼る'!$W$6:$W$10005,$W4842)&gt;0),N(U4841),N(U4841)+1))</f>
        <v/>
      </c>
      <c r="V4842" s="19">
        <f>IF($B4842="","",TEXT($B4842,"0000"))</f>
        <v/>
      </c>
      <c r="W4842" s="19">
        <f>IF($I4842="","",IF(ISNUMBER($I4842),TEXT($I4842,"0"),$I4842))</f>
        <v/>
      </c>
    </row>
    <row r="4843">
      <c r="B4843" s="25" t="n"/>
      <c r="I4843" s="25" t="n"/>
      <c r="U4843" s="19">
        <f>IF($V4843&lt;&gt;'設定'!$C$4,N(U4842),IF(OR(NOT(COUNTIF('商品マスタ'!$B$6:$B$1005,$W4843)=0),COUNTIFS('①在庫を貼る'!$V$6:$V$10005,$V4843,'①在庫を貼る'!$W$6:$W$10005,$W4843)&gt;0),N(U4842),N(U4842)+1))</f>
        <v/>
      </c>
      <c r="V4843" s="19">
        <f>IF($B4843="","",TEXT($B4843,"0000"))</f>
        <v/>
      </c>
      <c r="W4843" s="19">
        <f>IF($I4843="","",IF(ISNUMBER($I4843),TEXT($I4843,"0"),$I4843))</f>
        <v/>
      </c>
    </row>
    <row r="4844">
      <c r="B4844" s="25" t="n"/>
      <c r="I4844" s="25" t="n"/>
      <c r="U4844" s="19">
        <f>IF($V4844&lt;&gt;'設定'!$C$4,N(U4843),IF(OR(NOT(COUNTIF('商品マスタ'!$B$6:$B$1005,$W4844)=0),COUNTIFS('①在庫を貼る'!$V$6:$V$10005,$V4844,'①在庫を貼る'!$W$6:$W$10005,$W4844)&gt;0),N(U4843),N(U4843)+1))</f>
        <v/>
      </c>
      <c r="V4844" s="19">
        <f>IF($B4844="","",TEXT($B4844,"0000"))</f>
        <v/>
      </c>
      <c r="W4844" s="19">
        <f>IF($I4844="","",IF(ISNUMBER($I4844),TEXT($I4844,"0"),$I4844))</f>
        <v/>
      </c>
    </row>
    <row r="4845">
      <c r="B4845" s="25" t="n"/>
      <c r="I4845" s="25" t="n"/>
      <c r="U4845" s="19">
        <f>IF($V4845&lt;&gt;'設定'!$C$4,N(U4844),IF(OR(NOT(COUNTIF('商品マスタ'!$B$6:$B$1005,$W4845)=0),COUNTIFS('①在庫を貼る'!$V$6:$V$10005,$V4845,'①在庫を貼る'!$W$6:$W$10005,$W4845)&gt;0),N(U4844),N(U4844)+1))</f>
        <v/>
      </c>
      <c r="V4845" s="19">
        <f>IF($B4845="","",TEXT($B4845,"0000"))</f>
        <v/>
      </c>
      <c r="W4845" s="19">
        <f>IF($I4845="","",IF(ISNUMBER($I4845),TEXT($I4845,"0"),$I4845))</f>
        <v/>
      </c>
    </row>
    <row r="4846">
      <c r="B4846" s="25" t="n"/>
      <c r="I4846" s="25" t="n"/>
      <c r="U4846" s="19">
        <f>IF($V4846&lt;&gt;'設定'!$C$4,N(U4845),IF(OR(NOT(COUNTIF('商品マスタ'!$B$6:$B$1005,$W4846)=0),COUNTIFS('①在庫を貼る'!$V$6:$V$10005,$V4846,'①在庫を貼る'!$W$6:$W$10005,$W4846)&gt;0),N(U4845),N(U4845)+1))</f>
        <v/>
      </c>
      <c r="V4846" s="19">
        <f>IF($B4846="","",TEXT($B4846,"0000"))</f>
        <v/>
      </c>
      <c r="W4846" s="19">
        <f>IF($I4846="","",IF(ISNUMBER($I4846),TEXT($I4846,"0"),$I4846))</f>
        <v/>
      </c>
    </row>
    <row r="4847">
      <c r="B4847" s="25" t="n"/>
      <c r="I4847" s="25" t="n"/>
      <c r="U4847" s="19">
        <f>IF($V4847&lt;&gt;'設定'!$C$4,N(U4846),IF(OR(NOT(COUNTIF('商品マスタ'!$B$6:$B$1005,$W4847)=0),COUNTIFS('①在庫を貼る'!$V$6:$V$10005,$V4847,'①在庫を貼る'!$W$6:$W$10005,$W4847)&gt;0),N(U4846),N(U4846)+1))</f>
        <v/>
      </c>
      <c r="V4847" s="19">
        <f>IF($B4847="","",TEXT($B4847,"0000"))</f>
        <v/>
      </c>
      <c r="W4847" s="19">
        <f>IF($I4847="","",IF(ISNUMBER($I4847),TEXT($I4847,"0"),$I4847))</f>
        <v/>
      </c>
    </row>
    <row r="4848">
      <c r="B4848" s="25" t="n"/>
      <c r="I4848" s="25" t="n"/>
      <c r="U4848" s="19">
        <f>IF($V4848&lt;&gt;'設定'!$C$4,N(U4847),IF(OR(NOT(COUNTIF('商品マスタ'!$B$6:$B$1005,$W4848)=0),COUNTIFS('①在庫を貼る'!$V$6:$V$10005,$V4848,'①在庫を貼る'!$W$6:$W$10005,$W4848)&gt;0),N(U4847),N(U4847)+1))</f>
        <v/>
      </c>
      <c r="V4848" s="19">
        <f>IF($B4848="","",TEXT($B4848,"0000"))</f>
        <v/>
      </c>
      <c r="W4848" s="19">
        <f>IF($I4848="","",IF(ISNUMBER($I4848),TEXT($I4848,"0"),$I4848))</f>
        <v/>
      </c>
    </row>
    <row r="4849">
      <c r="B4849" s="25" t="n"/>
      <c r="I4849" s="25" t="n"/>
      <c r="U4849" s="19">
        <f>IF($V4849&lt;&gt;'設定'!$C$4,N(U4848),IF(OR(NOT(COUNTIF('商品マスタ'!$B$6:$B$1005,$W4849)=0),COUNTIFS('①在庫を貼る'!$V$6:$V$10005,$V4849,'①在庫を貼る'!$W$6:$W$10005,$W4849)&gt;0),N(U4848),N(U4848)+1))</f>
        <v/>
      </c>
      <c r="V4849" s="19">
        <f>IF($B4849="","",TEXT($B4849,"0000"))</f>
        <v/>
      </c>
      <c r="W4849" s="19">
        <f>IF($I4849="","",IF(ISNUMBER($I4849),TEXT($I4849,"0"),$I4849))</f>
        <v/>
      </c>
    </row>
    <row r="4850">
      <c r="B4850" s="25" t="n"/>
      <c r="I4850" s="25" t="n"/>
      <c r="U4850" s="19">
        <f>IF($V4850&lt;&gt;'設定'!$C$4,N(U4849),IF(OR(NOT(COUNTIF('商品マスタ'!$B$6:$B$1005,$W4850)=0),COUNTIFS('①在庫を貼る'!$V$6:$V$10005,$V4850,'①在庫を貼る'!$W$6:$W$10005,$W4850)&gt;0),N(U4849),N(U4849)+1))</f>
        <v/>
      </c>
      <c r="V4850" s="19">
        <f>IF($B4850="","",TEXT($B4850,"0000"))</f>
        <v/>
      </c>
      <c r="W4850" s="19">
        <f>IF($I4850="","",IF(ISNUMBER($I4850),TEXT($I4850,"0"),$I4850))</f>
        <v/>
      </c>
    </row>
    <row r="4851">
      <c r="B4851" s="25" t="n"/>
      <c r="I4851" s="25" t="n"/>
      <c r="U4851" s="19">
        <f>IF($V4851&lt;&gt;'設定'!$C$4,N(U4850),IF(OR(NOT(COUNTIF('商品マスタ'!$B$6:$B$1005,$W4851)=0),COUNTIFS('①在庫を貼る'!$V$6:$V$10005,$V4851,'①在庫を貼る'!$W$6:$W$10005,$W4851)&gt;0),N(U4850),N(U4850)+1))</f>
        <v/>
      </c>
      <c r="V4851" s="19">
        <f>IF($B4851="","",TEXT($B4851,"0000"))</f>
        <v/>
      </c>
      <c r="W4851" s="19">
        <f>IF($I4851="","",IF(ISNUMBER($I4851),TEXT($I4851,"0"),$I4851))</f>
        <v/>
      </c>
    </row>
    <row r="4852">
      <c r="B4852" s="25" t="n"/>
      <c r="I4852" s="25" t="n"/>
      <c r="U4852" s="19">
        <f>IF($V4852&lt;&gt;'設定'!$C$4,N(U4851),IF(OR(NOT(COUNTIF('商品マスタ'!$B$6:$B$1005,$W4852)=0),COUNTIFS('①在庫を貼る'!$V$6:$V$10005,$V4852,'①在庫を貼る'!$W$6:$W$10005,$W4852)&gt;0),N(U4851),N(U4851)+1))</f>
        <v/>
      </c>
      <c r="V4852" s="19">
        <f>IF($B4852="","",TEXT($B4852,"0000"))</f>
        <v/>
      </c>
      <c r="W4852" s="19">
        <f>IF($I4852="","",IF(ISNUMBER($I4852),TEXT($I4852,"0"),$I4852))</f>
        <v/>
      </c>
    </row>
    <row r="4853">
      <c r="B4853" s="25" t="n"/>
      <c r="I4853" s="25" t="n"/>
      <c r="U4853" s="19">
        <f>IF($V4853&lt;&gt;'設定'!$C$4,N(U4852),IF(OR(NOT(COUNTIF('商品マスタ'!$B$6:$B$1005,$W4853)=0),COUNTIFS('①在庫を貼る'!$V$6:$V$10005,$V4853,'①在庫を貼る'!$W$6:$W$10005,$W4853)&gt;0),N(U4852),N(U4852)+1))</f>
        <v/>
      </c>
      <c r="V4853" s="19">
        <f>IF($B4853="","",TEXT($B4853,"0000"))</f>
        <v/>
      </c>
      <c r="W4853" s="19">
        <f>IF($I4853="","",IF(ISNUMBER($I4853),TEXT($I4853,"0"),$I4853))</f>
        <v/>
      </c>
    </row>
    <row r="4854">
      <c r="B4854" s="25" t="n"/>
      <c r="I4854" s="25" t="n"/>
      <c r="U4854" s="19">
        <f>IF($V4854&lt;&gt;'設定'!$C$4,N(U4853),IF(OR(NOT(COUNTIF('商品マスタ'!$B$6:$B$1005,$W4854)=0),COUNTIFS('①在庫を貼る'!$V$6:$V$10005,$V4854,'①在庫を貼る'!$W$6:$W$10005,$W4854)&gt;0),N(U4853),N(U4853)+1))</f>
        <v/>
      </c>
      <c r="V4854" s="19">
        <f>IF($B4854="","",TEXT($B4854,"0000"))</f>
        <v/>
      </c>
      <c r="W4854" s="19">
        <f>IF($I4854="","",IF(ISNUMBER($I4854),TEXT($I4854,"0"),$I4854))</f>
        <v/>
      </c>
    </row>
    <row r="4855">
      <c r="B4855" s="25" t="n"/>
      <c r="I4855" s="25" t="n"/>
      <c r="U4855" s="19">
        <f>IF($V4855&lt;&gt;'設定'!$C$4,N(U4854),IF(OR(NOT(COUNTIF('商品マスタ'!$B$6:$B$1005,$W4855)=0),COUNTIFS('①在庫を貼る'!$V$6:$V$10005,$V4855,'①在庫を貼る'!$W$6:$W$10005,$W4855)&gt;0),N(U4854),N(U4854)+1))</f>
        <v/>
      </c>
      <c r="V4855" s="19">
        <f>IF($B4855="","",TEXT($B4855,"0000"))</f>
        <v/>
      </c>
      <c r="W4855" s="19">
        <f>IF($I4855="","",IF(ISNUMBER($I4855),TEXT($I4855,"0"),$I4855))</f>
        <v/>
      </c>
    </row>
    <row r="4856">
      <c r="B4856" s="25" t="n"/>
      <c r="I4856" s="25" t="n"/>
      <c r="U4856" s="19">
        <f>IF($V4856&lt;&gt;'設定'!$C$4,N(U4855),IF(OR(NOT(COUNTIF('商品マスタ'!$B$6:$B$1005,$W4856)=0),COUNTIFS('①在庫を貼る'!$V$6:$V$10005,$V4856,'①在庫を貼る'!$W$6:$W$10005,$W4856)&gt;0),N(U4855),N(U4855)+1))</f>
        <v/>
      </c>
      <c r="V4856" s="19">
        <f>IF($B4856="","",TEXT($B4856,"0000"))</f>
        <v/>
      </c>
      <c r="W4856" s="19">
        <f>IF($I4856="","",IF(ISNUMBER($I4856),TEXT($I4856,"0"),$I4856))</f>
        <v/>
      </c>
    </row>
    <row r="4857">
      <c r="B4857" s="25" t="n"/>
      <c r="I4857" s="25" t="n"/>
      <c r="U4857" s="19">
        <f>IF($V4857&lt;&gt;'設定'!$C$4,N(U4856),IF(OR(NOT(COUNTIF('商品マスタ'!$B$6:$B$1005,$W4857)=0),COUNTIFS('①在庫を貼る'!$V$6:$V$10005,$V4857,'①在庫を貼る'!$W$6:$W$10005,$W4857)&gt;0),N(U4856),N(U4856)+1))</f>
        <v/>
      </c>
      <c r="V4857" s="19">
        <f>IF($B4857="","",TEXT($B4857,"0000"))</f>
        <v/>
      </c>
      <c r="W4857" s="19">
        <f>IF($I4857="","",IF(ISNUMBER($I4857),TEXT($I4857,"0"),$I4857))</f>
        <v/>
      </c>
    </row>
    <row r="4858">
      <c r="B4858" s="25" t="n"/>
      <c r="I4858" s="25" t="n"/>
      <c r="U4858" s="19">
        <f>IF($V4858&lt;&gt;'設定'!$C$4,N(U4857),IF(OR(NOT(COUNTIF('商品マスタ'!$B$6:$B$1005,$W4858)=0),COUNTIFS('①在庫を貼る'!$V$6:$V$10005,$V4858,'①在庫を貼る'!$W$6:$W$10005,$W4858)&gt;0),N(U4857),N(U4857)+1))</f>
        <v/>
      </c>
      <c r="V4858" s="19">
        <f>IF($B4858="","",TEXT($B4858,"0000"))</f>
        <v/>
      </c>
      <c r="W4858" s="19">
        <f>IF($I4858="","",IF(ISNUMBER($I4858),TEXT($I4858,"0"),$I4858))</f>
        <v/>
      </c>
    </row>
    <row r="4859">
      <c r="B4859" s="25" t="n"/>
      <c r="I4859" s="25" t="n"/>
      <c r="U4859" s="19">
        <f>IF($V4859&lt;&gt;'設定'!$C$4,N(U4858),IF(OR(NOT(COUNTIF('商品マスタ'!$B$6:$B$1005,$W4859)=0),COUNTIFS('①在庫を貼る'!$V$6:$V$10005,$V4859,'①在庫を貼る'!$W$6:$W$10005,$W4859)&gt;0),N(U4858),N(U4858)+1))</f>
        <v/>
      </c>
      <c r="V4859" s="19">
        <f>IF($B4859="","",TEXT($B4859,"0000"))</f>
        <v/>
      </c>
      <c r="W4859" s="19">
        <f>IF($I4859="","",IF(ISNUMBER($I4859),TEXT($I4859,"0"),$I4859))</f>
        <v/>
      </c>
    </row>
    <row r="4860">
      <c r="B4860" s="25" t="n"/>
      <c r="I4860" s="25" t="n"/>
      <c r="U4860" s="19">
        <f>IF($V4860&lt;&gt;'設定'!$C$4,N(U4859),IF(OR(NOT(COUNTIF('商品マスタ'!$B$6:$B$1005,$W4860)=0),COUNTIFS('①在庫を貼る'!$V$6:$V$10005,$V4860,'①在庫を貼る'!$W$6:$W$10005,$W4860)&gt;0),N(U4859),N(U4859)+1))</f>
        <v/>
      </c>
      <c r="V4860" s="19">
        <f>IF($B4860="","",TEXT($B4860,"0000"))</f>
        <v/>
      </c>
      <c r="W4860" s="19">
        <f>IF($I4860="","",IF(ISNUMBER($I4860),TEXT($I4860,"0"),$I4860))</f>
        <v/>
      </c>
    </row>
    <row r="4861">
      <c r="B4861" s="25" t="n"/>
      <c r="I4861" s="25" t="n"/>
      <c r="U4861" s="19">
        <f>IF($V4861&lt;&gt;'設定'!$C$4,N(U4860),IF(OR(NOT(COUNTIF('商品マスタ'!$B$6:$B$1005,$W4861)=0),COUNTIFS('①在庫を貼る'!$V$6:$V$10005,$V4861,'①在庫を貼る'!$W$6:$W$10005,$W4861)&gt;0),N(U4860),N(U4860)+1))</f>
        <v/>
      </c>
      <c r="V4861" s="19">
        <f>IF($B4861="","",TEXT($B4861,"0000"))</f>
        <v/>
      </c>
      <c r="W4861" s="19">
        <f>IF($I4861="","",IF(ISNUMBER($I4861),TEXT($I4861,"0"),$I4861))</f>
        <v/>
      </c>
    </row>
    <row r="4862">
      <c r="B4862" s="25" t="n"/>
      <c r="I4862" s="25" t="n"/>
      <c r="U4862" s="19">
        <f>IF($V4862&lt;&gt;'設定'!$C$4,N(U4861),IF(OR(NOT(COUNTIF('商品マスタ'!$B$6:$B$1005,$W4862)=0),COUNTIFS('①在庫を貼る'!$V$6:$V$10005,$V4862,'①在庫を貼る'!$W$6:$W$10005,$W4862)&gt;0),N(U4861),N(U4861)+1))</f>
        <v/>
      </c>
      <c r="V4862" s="19">
        <f>IF($B4862="","",TEXT($B4862,"0000"))</f>
        <v/>
      </c>
      <c r="W4862" s="19">
        <f>IF($I4862="","",IF(ISNUMBER($I4862),TEXT($I4862,"0"),$I4862))</f>
        <v/>
      </c>
    </row>
    <row r="4863">
      <c r="B4863" s="25" t="n"/>
      <c r="I4863" s="25" t="n"/>
      <c r="U4863" s="19">
        <f>IF($V4863&lt;&gt;'設定'!$C$4,N(U4862),IF(OR(NOT(COUNTIF('商品マスタ'!$B$6:$B$1005,$W4863)=0),COUNTIFS('①在庫を貼る'!$V$6:$V$10005,$V4863,'①在庫を貼る'!$W$6:$W$10005,$W4863)&gt;0),N(U4862),N(U4862)+1))</f>
        <v/>
      </c>
      <c r="V4863" s="19">
        <f>IF($B4863="","",TEXT($B4863,"0000"))</f>
        <v/>
      </c>
      <c r="W4863" s="19">
        <f>IF($I4863="","",IF(ISNUMBER($I4863),TEXT($I4863,"0"),$I4863))</f>
        <v/>
      </c>
    </row>
    <row r="4864">
      <c r="B4864" s="25" t="n"/>
      <c r="I4864" s="25" t="n"/>
      <c r="U4864" s="19">
        <f>IF($V4864&lt;&gt;'設定'!$C$4,N(U4863),IF(OR(NOT(COUNTIF('商品マスタ'!$B$6:$B$1005,$W4864)=0),COUNTIFS('①在庫を貼る'!$V$6:$V$10005,$V4864,'①在庫を貼る'!$W$6:$W$10005,$W4864)&gt;0),N(U4863),N(U4863)+1))</f>
        <v/>
      </c>
      <c r="V4864" s="19">
        <f>IF($B4864="","",TEXT($B4864,"0000"))</f>
        <v/>
      </c>
      <c r="W4864" s="19">
        <f>IF($I4864="","",IF(ISNUMBER($I4864),TEXT($I4864,"0"),$I4864))</f>
        <v/>
      </c>
    </row>
    <row r="4865">
      <c r="B4865" s="25" t="n"/>
      <c r="I4865" s="25" t="n"/>
      <c r="U4865" s="19">
        <f>IF($V4865&lt;&gt;'設定'!$C$4,N(U4864),IF(OR(NOT(COUNTIF('商品マスタ'!$B$6:$B$1005,$W4865)=0),COUNTIFS('①在庫を貼る'!$V$6:$V$10005,$V4865,'①在庫を貼る'!$W$6:$W$10005,$W4865)&gt;0),N(U4864),N(U4864)+1))</f>
        <v/>
      </c>
      <c r="V4865" s="19">
        <f>IF($B4865="","",TEXT($B4865,"0000"))</f>
        <v/>
      </c>
      <c r="W4865" s="19">
        <f>IF($I4865="","",IF(ISNUMBER($I4865),TEXT($I4865,"0"),$I4865))</f>
        <v/>
      </c>
    </row>
    <row r="4866">
      <c r="B4866" s="25" t="n"/>
      <c r="I4866" s="25" t="n"/>
      <c r="U4866" s="19">
        <f>IF($V4866&lt;&gt;'設定'!$C$4,N(U4865),IF(OR(NOT(COUNTIF('商品マスタ'!$B$6:$B$1005,$W4866)=0),COUNTIFS('①在庫を貼る'!$V$6:$V$10005,$V4866,'①在庫を貼る'!$W$6:$W$10005,$W4866)&gt;0),N(U4865),N(U4865)+1))</f>
        <v/>
      </c>
      <c r="V4866" s="19">
        <f>IF($B4866="","",TEXT($B4866,"0000"))</f>
        <v/>
      </c>
      <c r="W4866" s="19">
        <f>IF($I4866="","",IF(ISNUMBER($I4866),TEXT($I4866,"0"),$I4866))</f>
        <v/>
      </c>
    </row>
    <row r="4867">
      <c r="B4867" s="25" t="n"/>
      <c r="I4867" s="25" t="n"/>
      <c r="U4867" s="19">
        <f>IF($V4867&lt;&gt;'設定'!$C$4,N(U4866),IF(OR(NOT(COUNTIF('商品マスタ'!$B$6:$B$1005,$W4867)=0),COUNTIFS('①在庫を貼る'!$V$6:$V$10005,$V4867,'①在庫を貼る'!$W$6:$W$10005,$W4867)&gt;0),N(U4866),N(U4866)+1))</f>
        <v/>
      </c>
      <c r="V4867" s="19">
        <f>IF($B4867="","",TEXT($B4867,"0000"))</f>
        <v/>
      </c>
      <c r="W4867" s="19">
        <f>IF($I4867="","",IF(ISNUMBER($I4867),TEXT($I4867,"0"),$I4867))</f>
        <v/>
      </c>
    </row>
    <row r="4868">
      <c r="B4868" s="25" t="n"/>
      <c r="I4868" s="25" t="n"/>
      <c r="U4868" s="19">
        <f>IF($V4868&lt;&gt;'設定'!$C$4,N(U4867),IF(OR(NOT(COUNTIF('商品マスタ'!$B$6:$B$1005,$W4868)=0),COUNTIFS('①在庫を貼る'!$V$6:$V$10005,$V4868,'①在庫を貼る'!$W$6:$W$10005,$W4868)&gt;0),N(U4867),N(U4867)+1))</f>
        <v/>
      </c>
      <c r="V4868" s="19">
        <f>IF($B4868="","",TEXT($B4868,"0000"))</f>
        <v/>
      </c>
      <c r="W4868" s="19">
        <f>IF($I4868="","",IF(ISNUMBER($I4868),TEXT($I4868,"0"),$I4868))</f>
        <v/>
      </c>
    </row>
    <row r="4869">
      <c r="B4869" s="25" t="n"/>
      <c r="I4869" s="25" t="n"/>
      <c r="U4869" s="19">
        <f>IF($V4869&lt;&gt;'設定'!$C$4,N(U4868),IF(OR(NOT(COUNTIF('商品マスタ'!$B$6:$B$1005,$W4869)=0),COUNTIFS('①在庫を貼る'!$V$6:$V$10005,$V4869,'①在庫を貼る'!$W$6:$W$10005,$W4869)&gt;0),N(U4868),N(U4868)+1))</f>
        <v/>
      </c>
      <c r="V4869" s="19">
        <f>IF($B4869="","",TEXT($B4869,"0000"))</f>
        <v/>
      </c>
      <c r="W4869" s="19">
        <f>IF($I4869="","",IF(ISNUMBER($I4869),TEXT($I4869,"0"),$I4869))</f>
        <v/>
      </c>
    </row>
    <row r="4870">
      <c r="B4870" s="25" t="n"/>
      <c r="I4870" s="25" t="n"/>
      <c r="U4870" s="19">
        <f>IF($V4870&lt;&gt;'設定'!$C$4,N(U4869),IF(OR(NOT(COUNTIF('商品マスタ'!$B$6:$B$1005,$W4870)=0),COUNTIFS('①在庫を貼る'!$V$6:$V$10005,$V4870,'①在庫を貼る'!$W$6:$W$10005,$W4870)&gt;0),N(U4869),N(U4869)+1))</f>
        <v/>
      </c>
      <c r="V4870" s="19">
        <f>IF($B4870="","",TEXT($B4870,"0000"))</f>
        <v/>
      </c>
      <c r="W4870" s="19">
        <f>IF($I4870="","",IF(ISNUMBER($I4870),TEXT($I4870,"0"),$I4870))</f>
        <v/>
      </c>
    </row>
    <row r="4871">
      <c r="B4871" s="25" t="n"/>
      <c r="I4871" s="25" t="n"/>
      <c r="U4871" s="19">
        <f>IF($V4871&lt;&gt;'設定'!$C$4,N(U4870),IF(OR(NOT(COUNTIF('商品マスタ'!$B$6:$B$1005,$W4871)=0),COUNTIFS('①在庫を貼る'!$V$6:$V$10005,$V4871,'①在庫を貼る'!$W$6:$W$10005,$W4871)&gt;0),N(U4870),N(U4870)+1))</f>
        <v/>
      </c>
      <c r="V4871" s="19">
        <f>IF($B4871="","",TEXT($B4871,"0000"))</f>
        <v/>
      </c>
      <c r="W4871" s="19">
        <f>IF($I4871="","",IF(ISNUMBER($I4871),TEXT($I4871,"0"),$I4871))</f>
        <v/>
      </c>
    </row>
    <row r="4872">
      <c r="B4872" s="25" t="n"/>
      <c r="I4872" s="25" t="n"/>
      <c r="U4872" s="19">
        <f>IF($V4872&lt;&gt;'設定'!$C$4,N(U4871),IF(OR(NOT(COUNTIF('商品マスタ'!$B$6:$B$1005,$W4872)=0),COUNTIFS('①在庫を貼る'!$V$6:$V$10005,$V4872,'①在庫を貼る'!$W$6:$W$10005,$W4872)&gt;0),N(U4871),N(U4871)+1))</f>
        <v/>
      </c>
      <c r="V4872" s="19">
        <f>IF($B4872="","",TEXT($B4872,"0000"))</f>
        <v/>
      </c>
      <c r="W4872" s="19">
        <f>IF($I4872="","",IF(ISNUMBER($I4872),TEXT($I4872,"0"),$I4872))</f>
        <v/>
      </c>
    </row>
    <row r="4873">
      <c r="B4873" s="25" t="n"/>
      <c r="I4873" s="25" t="n"/>
      <c r="U4873" s="19">
        <f>IF($V4873&lt;&gt;'設定'!$C$4,N(U4872),IF(OR(NOT(COUNTIF('商品マスタ'!$B$6:$B$1005,$W4873)=0),COUNTIFS('①在庫を貼る'!$V$6:$V$10005,$V4873,'①在庫を貼る'!$W$6:$W$10005,$W4873)&gt;0),N(U4872),N(U4872)+1))</f>
        <v/>
      </c>
      <c r="V4873" s="19">
        <f>IF($B4873="","",TEXT($B4873,"0000"))</f>
        <v/>
      </c>
      <c r="W4873" s="19">
        <f>IF($I4873="","",IF(ISNUMBER($I4873),TEXT($I4873,"0"),$I4873))</f>
        <v/>
      </c>
    </row>
    <row r="4874">
      <c r="B4874" s="25" t="n"/>
      <c r="I4874" s="25" t="n"/>
      <c r="U4874" s="19">
        <f>IF($V4874&lt;&gt;'設定'!$C$4,N(U4873),IF(OR(NOT(COUNTIF('商品マスタ'!$B$6:$B$1005,$W4874)=0),COUNTIFS('①在庫を貼る'!$V$6:$V$10005,$V4874,'①在庫を貼る'!$W$6:$W$10005,$W4874)&gt;0),N(U4873),N(U4873)+1))</f>
        <v/>
      </c>
      <c r="V4874" s="19">
        <f>IF($B4874="","",TEXT($B4874,"0000"))</f>
        <v/>
      </c>
      <c r="W4874" s="19">
        <f>IF($I4874="","",IF(ISNUMBER($I4874),TEXT($I4874,"0"),$I4874))</f>
        <v/>
      </c>
    </row>
    <row r="4875">
      <c r="B4875" s="25" t="n"/>
      <c r="I4875" s="25" t="n"/>
      <c r="U4875" s="19">
        <f>IF($V4875&lt;&gt;'設定'!$C$4,N(U4874),IF(OR(NOT(COUNTIF('商品マスタ'!$B$6:$B$1005,$W4875)=0),COUNTIFS('①在庫を貼る'!$V$6:$V$10005,$V4875,'①在庫を貼る'!$W$6:$W$10005,$W4875)&gt;0),N(U4874),N(U4874)+1))</f>
        <v/>
      </c>
      <c r="V4875" s="19">
        <f>IF($B4875="","",TEXT($B4875,"0000"))</f>
        <v/>
      </c>
      <c r="W4875" s="19">
        <f>IF($I4875="","",IF(ISNUMBER($I4875),TEXT($I4875,"0"),$I4875))</f>
        <v/>
      </c>
    </row>
    <row r="4876">
      <c r="B4876" s="25" t="n"/>
      <c r="I4876" s="25" t="n"/>
      <c r="U4876" s="19">
        <f>IF($V4876&lt;&gt;'設定'!$C$4,N(U4875),IF(OR(NOT(COUNTIF('商品マスタ'!$B$6:$B$1005,$W4876)=0),COUNTIFS('①在庫を貼る'!$V$6:$V$10005,$V4876,'①在庫を貼る'!$W$6:$W$10005,$W4876)&gt;0),N(U4875),N(U4875)+1))</f>
        <v/>
      </c>
      <c r="V4876" s="19">
        <f>IF($B4876="","",TEXT($B4876,"0000"))</f>
        <v/>
      </c>
      <c r="W4876" s="19">
        <f>IF($I4876="","",IF(ISNUMBER($I4876),TEXT($I4876,"0"),$I4876))</f>
        <v/>
      </c>
    </row>
    <row r="4877">
      <c r="B4877" s="25" t="n"/>
      <c r="I4877" s="25" t="n"/>
      <c r="U4877" s="19">
        <f>IF($V4877&lt;&gt;'設定'!$C$4,N(U4876),IF(OR(NOT(COUNTIF('商品マスタ'!$B$6:$B$1005,$W4877)=0),COUNTIFS('①在庫を貼る'!$V$6:$V$10005,$V4877,'①在庫を貼る'!$W$6:$W$10005,$W4877)&gt;0),N(U4876),N(U4876)+1))</f>
        <v/>
      </c>
      <c r="V4877" s="19">
        <f>IF($B4877="","",TEXT($B4877,"0000"))</f>
        <v/>
      </c>
      <c r="W4877" s="19">
        <f>IF($I4877="","",IF(ISNUMBER($I4877),TEXT($I4877,"0"),$I4877))</f>
        <v/>
      </c>
    </row>
    <row r="4878">
      <c r="B4878" s="25" t="n"/>
      <c r="I4878" s="25" t="n"/>
      <c r="U4878" s="19">
        <f>IF($V4878&lt;&gt;'設定'!$C$4,N(U4877),IF(OR(NOT(COUNTIF('商品マスタ'!$B$6:$B$1005,$W4878)=0),COUNTIFS('①在庫を貼る'!$V$6:$V$10005,$V4878,'①在庫を貼る'!$W$6:$W$10005,$W4878)&gt;0),N(U4877),N(U4877)+1))</f>
        <v/>
      </c>
      <c r="V4878" s="19">
        <f>IF($B4878="","",TEXT($B4878,"0000"))</f>
        <v/>
      </c>
      <c r="W4878" s="19">
        <f>IF($I4878="","",IF(ISNUMBER($I4878),TEXT($I4878,"0"),$I4878))</f>
        <v/>
      </c>
    </row>
    <row r="4879">
      <c r="B4879" s="25" t="n"/>
      <c r="I4879" s="25" t="n"/>
      <c r="U4879" s="19">
        <f>IF($V4879&lt;&gt;'設定'!$C$4,N(U4878),IF(OR(NOT(COUNTIF('商品マスタ'!$B$6:$B$1005,$W4879)=0),COUNTIFS('①在庫を貼る'!$V$6:$V$10005,$V4879,'①在庫を貼る'!$W$6:$W$10005,$W4879)&gt;0),N(U4878),N(U4878)+1))</f>
        <v/>
      </c>
      <c r="V4879" s="19">
        <f>IF($B4879="","",TEXT($B4879,"0000"))</f>
        <v/>
      </c>
      <c r="W4879" s="19">
        <f>IF($I4879="","",IF(ISNUMBER($I4879),TEXT($I4879,"0"),$I4879))</f>
        <v/>
      </c>
    </row>
    <row r="4880">
      <c r="B4880" s="25" t="n"/>
      <c r="I4880" s="25" t="n"/>
      <c r="U4880" s="19">
        <f>IF($V4880&lt;&gt;'設定'!$C$4,N(U4879),IF(OR(NOT(COUNTIF('商品マスタ'!$B$6:$B$1005,$W4880)=0),COUNTIFS('①在庫を貼る'!$V$6:$V$10005,$V4880,'①在庫を貼る'!$W$6:$W$10005,$W4880)&gt;0),N(U4879),N(U4879)+1))</f>
        <v/>
      </c>
      <c r="V4880" s="19">
        <f>IF($B4880="","",TEXT($B4880,"0000"))</f>
        <v/>
      </c>
      <c r="W4880" s="19">
        <f>IF($I4880="","",IF(ISNUMBER($I4880),TEXT($I4880,"0"),$I4880))</f>
        <v/>
      </c>
    </row>
    <row r="4881">
      <c r="B4881" s="25" t="n"/>
      <c r="I4881" s="25" t="n"/>
      <c r="U4881" s="19">
        <f>IF($V4881&lt;&gt;'設定'!$C$4,N(U4880),IF(OR(NOT(COUNTIF('商品マスタ'!$B$6:$B$1005,$W4881)=0),COUNTIFS('①在庫を貼る'!$V$6:$V$10005,$V4881,'①在庫を貼る'!$W$6:$W$10005,$W4881)&gt;0),N(U4880),N(U4880)+1))</f>
        <v/>
      </c>
      <c r="V4881" s="19">
        <f>IF($B4881="","",TEXT($B4881,"0000"))</f>
        <v/>
      </c>
      <c r="W4881" s="19">
        <f>IF($I4881="","",IF(ISNUMBER($I4881),TEXT($I4881,"0"),$I4881))</f>
        <v/>
      </c>
    </row>
    <row r="4882">
      <c r="B4882" s="25" t="n"/>
      <c r="I4882" s="25" t="n"/>
      <c r="U4882" s="19">
        <f>IF($V4882&lt;&gt;'設定'!$C$4,N(U4881),IF(OR(NOT(COUNTIF('商品マスタ'!$B$6:$B$1005,$W4882)=0),COUNTIFS('①在庫を貼る'!$V$6:$V$10005,$V4882,'①在庫を貼る'!$W$6:$W$10005,$W4882)&gt;0),N(U4881),N(U4881)+1))</f>
        <v/>
      </c>
      <c r="V4882" s="19">
        <f>IF($B4882="","",TEXT($B4882,"0000"))</f>
        <v/>
      </c>
      <c r="W4882" s="19">
        <f>IF($I4882="","",IF(ISNUMBER($I4882),TEXT($I4882,"0"),$I4882))</f>
        <v/>
      </c>
    </row>
    <row r="4883">
      <c r="B4883" s="25" t="n"/>
      <c r="I4883" s="25" t="n"/>
      <c r="U4883" s="19">
        <f>IF($V4883&lt;&gt;'設定'!$C$4,N(U4882),IF(OR(NOT(COUNTIF('商品マスタ'!$B$6:$B$1005,$W4883)=0),COUNTIFS('①在庫を貼る'!$V$6:$V$10005,$V4883,'①在庫を貼る'!$W$6:$W$10005,$W4883)&gt;0),N(U4882),N(U4882)+1))</f>
        <v/>
      </c>
      <c r="V4883" s="19">
        <f>IF($B4883="","",TEXT($B4883,"0000"))</f>
        <v/>
      </c>
      <c r="W4883" s="19">
        <f>IF($I4883="","",IF(ISNUMBER($I4883),TEXT($I4883,"0"),$I4883))</f>
        <v/>
      </c>
    </row>
    <row r="4884">
      <c r="B4884" s="25" t="n"/>
      <c r="I4884" s="25" t="n"/>
      <c r="U4884" s="19">
        <f>IF($V4884&lt;&gt;'設定'!$C$4,N(U4883),IF(OR(NOT(COUNTIF('商品マスタ'!$B$6:$B$1005,$W4884)=0),COUNTIFS('①在庫を貼る'!$V$6:$V$10005,$V4884,'①在庫を貼る'!$W$6:$W$10005,$W4884)&gt;0),N(U4883),N(U4883)+1))</f>
        <v/>
      </c>
      <c r="V4884" s="19">
        <f>IF($B4884="","",TEXT($B4884,"0000"))</f>
        <v/>
      </c>
      <c r="W4884" s="19">
        <f>IF($I4884="","",IF(ISNUMBER($I4884),TEXT($I4884,"0"),$I4884))</f>
        <v/>
      </c>
    </row>
    <row r="4885">
      <c r="B4885" s="25" t="n"/>
      <c r="I4885" s="25" t="n"/>
      <c r="U4885" s="19">
        <f>IF($V4885&lt;&gt;'設定'!$C$4,N(U4884),IF(OR(NOT(COUNTIF('商品マスタ'!$B$6:$B$1005,$W4885)=0),COUNTIFS('①在庫を貼る'!$V$6:$V$10005,$V4885,'①在庫を貼る'!$W$6:$W$10005,$W4885)&gt;0),N(U4884),N(U4884)+1))</f>
        <v/>
      </c>
      <c r="V4885" s="19">
        <f>IF($B4885="","",TEXT($B4885,"0000"))</f>
        <v/>
      </c>
      <c r="W4885" s="19">
        <f>IF($I4885="","",IF(ISNUMBER($I4885),TEXT($I4885,"0"),$I4885))</f>
        <v/>
      </c>
    </row>
    <row r="4886">
      <c r="B4886" s="25" t="n"/>
      <c r="I4886" s="25" t="n"/>
      <c r="U4886" s="19">
        <f>IF($V4886&lt;&gt;'設定'!$C$4,N(U4885),IF(OR(NOT(COUNTIF('商品マスタ'!$B$6:$B$1005,$W4886)=0),COUNTIFS('①在庫を貼る'!$V$6:$V$10005,$V4886,'①在庫を貼る'!$W$6:$W$10005,$W4886)&gt;0),N(U4885),N(U4885)+1))</f>
        <v/>
      </c>
      <c r="V4886" s="19">
        <f>IF($B4886="","",TEXT($B4886,"0000"))</f>
        <v/>
      </c>
      <c r="W4886" s="19">
        <f>IF($I4886="","",IF(ISNUMBER($I4886),TEXT($I4886,"0"),$I4886))</f>
        <v/>
      </c>
    </row>
    <row r="4887">
      <c r="B4887" s="25" t="n"/>
      <c r="I4887" s="25" t="n"/>
      <c r="U4887" s="19">
        <f>IF($V4887&lt;&gt;'設定'!$C$4,N(U4886),IF(OR(NOT(COUNTIF('商品マスタ'!$B$6:$B$1005,$W4887)=0),COUNTIFS('①在庫を貼る'!$V$6:$V$10005,$V4887,'①在庫を貼る'!$W$6:$W$10005,$W4887)&gt;0),N(U4886),N(U4886)+1))</f>
        <v/>
      </c>
      <c r="V4887" s="19">
        <f>IF($B4887="","",TEXT($B4887,"0000"))</f>
        <v/>
      </c>
      <c r="W4887" s="19">
        <f>IF($I4887="","",IF(ISNUMBER($I4887),TEXT($I4887,"0"),$I4887))</f>
        <v/>
      </c>
    </row>
    <row r="4888">
      <c r="B4888" s="25" t="n"/>
      <c r="I4888" s="25" t="n"/>
      <c r="U4888" s="19">
        <f>IF($V4888&lt;&gt;'設定'!$C$4,N(U4887),IF(OR(NOT(COUNTIF('商品マスタ'!$B$6:$B$1005,$W4888)=0),COUNTIFS('①在庫を貼る'!$V$6:$V$10005,$V4888,'①在庫を貼る'!$W$6:$W$10005,$W4888)&gt;0),N(U4887),N(U4887)+1))</f>
        <v/>
      </c>
      <c r="V4888" s="19">
        <f>IF($B4888="","",TEXT($B4888,"0000"))</f>
        <v/>
      </c>
      <c r="W4888" s="19">
        <f>IF($I4888="","",IF(ISNUMBER($I4888),TEXT($I4888,"0"),$I4888))</f>
        <v/>
      </c>
    </row>
    <row r="4889">
      <c r="B4889" s="25" t="n"/>
      <c r="I4889" s="25" t="n"/>
      <c r="U4889" s="19">
        <f>IF($V4889&lt;&gt;'設定'!$C$4,N(U4888),IF(OR(NOT(COUNTIF('商品マスタ'!$B$6:$B$1005,$W4889)=0),COUNTIFS('①在庫を貼る'!$V$6:$V$10005,$V4889,'①在庫を貼る'!$W$6:$W$10005,$W4889)&gt;0),N(U4888),N(U4888)+1))</f>
        <v/>
      </c>
      <c r="V4889" s="19">
        <f>IF($B4889="","",TEXT($B4889,"0000"))</f>
        <v/>
      </c>
      <c r="W4889" s="19">
        <f>IF($I4889="","",IF(ISNUMBER($I4889),TEXT($I4889,"0"),$I4889))</f>
        <v/>
      </c>
    </row>
    <row r="4890">
      <c r="B4890" s="25" t="n"/>
      <c r="I4890" s="25" t="n"/>
      <c r="U4890" s="19">
        <f>IF($V4890&lt;&gt;'設定'!$C$4,N(U4889),IF(OR(NOT(COUNTIF('商品マスタ'!$B$6:$B$1005,$W4890)=0),COUNTIFS('①在庫を貼る'!$V$6:$V$10005,$V4890,'①在庫を貼る'!$W$6:$W$10005,$W4890)&gt;0),N(U4889),N(U4889)+1))</f>
        <v/>
      </c>
      <c r="V4890" s="19">
        <f>IF($B4890="","",TEXT($B4890,"0000"))</f>
        <v/>
      </c>
      <c r="W4890" s="19">
        <f>IF($I4890="","",IF(ISNUMBER($I4890),TEXT($I4890,"0"),$I4890))</f>
        <v/>
      </c>
    </row>
    <row r="4891">
      <c r="B4891" s="25" t="n"/>
      <c r="I4891" s="25" t="n"/>
      <c r="U4891" s="19">
        <f>IF($V4891&lt;&gt;'設定'!$C$4,N(U4890),IF(OR(NOT(COUNTIF('商品マスタ'!$B$6:$B$1005,$W4891)=0),COUNTIFS('①在庫を貼る'!$V$6:$V$10005,$V4891,'①在庫を貼る'!$W$6:$W$10005,$W4891)&gt;0),N(U4890),N(U4890)+1))</f>
        <v/>
      </c>
      <c r="V4891" s="19">
        <f>IF($B4891="","",TEXT($B4891,"0000"))</f>
        <v/>
      </c>
      <c r="W4891" s="19">
        <f>IF($I4891="","",IF(ISNUMBER($I4891),TEXT($I4891,"0"),$I4891))</f>
        <v/>
      </c>
    </row>
    <row r="4892">
      <c r="B4892" s="25" t="n"/>
      <c r="I4892" s="25" t="n"/>
      <c r="U4892" s="19">
        <f>IF($V4892&lt;&gt;'設定'!$C$4,N(U4891),IF(OR(NOT(COUNTIF('商品マスタ'!$B$6:$B$1005,$W4892)=0),COUNTIFS('①在庫を貼る'!$V$6:$V$10005,$V4892,'①在庫を貼る'!$W$6:$W$10005,$W4892)&gt;0),N(U4891),N(U4891)+1))</f>
        <v/>
      </c>
      <c r="V4892" s="19">
        <f>IF($B4892="","",TEXT($B4892,"0000"))</f>
        <v/>
      </c>
      <c r="W4892" s="19">
        <f>IF($I4892="","",IF(ISNUMBER($I4892),TEXT($I4892,"0"),$I4892))</f>
        <v/>
      </c>
    </row>
    <row r="4893">
      <c r="B4893" s="25" t="n"/>
      <c r="I4893" s="25" t="n"/>
      <c r="U4893" s="19">
        <f>IF($V4893&lt;&gt;'設定'!$C$4,N(U4892),IF(OR(NOT(COUNTIF('商品マスタ'!$B$6:$B$1005,$W4893)=0),COUNTIFS('①在庫を貼る'!$V$6:$V$10005,$V4893,'①在庫を貼る'!$W$6:$W$10005,$W4893)&gt;0),N(U4892),N(U4892)+1))</f>
        <v/>
      </c>
      <c r="V4893" s="19">
        <f>IF($B4893="","",TEXT($B4893,"0000"))</f>
        <v/>
      </c>
      <c r="W4893" s="19">
        <f>IF($I4893="","",IF(ISNUMBER($I4893),TEXT($I4893,"0"),$I4893))</f>
        <v/>
      </c>
    </row>
    <row r="4894">
      <c r="B4894" s="25" t="n"/>
      <c r="I4894" s="25" t="n"/>
      <c r="U4894" s="19">
        <f>IF($V4894&lt;&gt;'設定'!$C$4,N(U4893),IF(OR(NOT(COUNTIF('商品マスタ'!$B$6:$B$1005,$W4894)=0),COUNTIFS('①在庫を貼る'!$V$6:$V$10005,$V4894,'①在庫を貼る'!$W$6:$W$10005,$W4894)&gt;0),N(U4893),N(U4893)+1))</f>
        <v/>
      </c>
      <c r="V4894" s="19">
        <f>IF($B4894="","",TEXT($B4894,"0000"))</f>
        <v/>
      </c>
      <c r="W4894" s="19">
        <f>IF($I4894="","",IF(ISNUMBER($I4894),TEXT($I4894,"0"),$I4894))</f>
        <v/>
      </c>
    </row>
    <row r="4895">
      <c r="B4895" s="25" t="n"/>
      <c r="I4895" s="25" t="n"/>
      <c r="U4895" s="19">
        <f>IF($V4895&lt;&gt;'設定'!$C$4,N(U4894),IF(OR(NOT(COUNTIF('商品マスタ'!$B$6:$B$1005,$W4895)=0),COUNTIFS('①在庫を貼る'!$V$6:$V$10005,$V4895,'①在庫を貼る'!$W$6:$W$10005,$W4895)&gt;0),N(U4894),N(U4894)+1))</f>
        <v/>
      </c>
      <c r="V4895" s="19">
        <f>IF($B4895="","",TEXT($B4895,"0000"))</f>
        <v/>
      </c>
      <c r="W4895" s="19">
        <f>IF($I4895="","",IF(ISNUMBER($I4895),TEXT($I4895,"0"),$I4895))</f>
        <v/>
      </c>
    </row>
    <row r="4896">
      <c r="B4896" s="25" t="n"/>
      <c r="I4896" s="25" t="n"/>
      <c r="U4896" s="19">
        <f>IF($V4896&lt;&gt;'設定'!$C$4,N(U4895),IF(OR(NOT(COUNTIF('商品マスタ'!$B$6:$B$1005,$W4896)=0),COUNTIFS('①在庫を貼る'!$V$6:$V$10005,$V4896,'①在庫を貼る'!$W$6:$W$10005,$W4896)&gt;0),N(U4895),N(U4895)+1))</f>
        <v/>
      </c>
      <c r="V4896" s="19">
        <f>IF($B4896="","",TEXT($B4896,"0000"))</f>
        <v/>
      </c>
      <c r="W4896" s="19">
        <f>IF($I4896="","",IF(ISNUMBER($I4896),TEXT($I4896,"0"),$I4896))</f>
        <v/>
      </c>
    </row>
    <row r="4897">
      <c r="B4897" s="25" t="n"/>
      <c r="I4897" s="25" t="n"/>
      <c r="U4897" s="19">
        <f>IF($V4897&lt;&gt;'設定'!$C$4,N(U4896),IF(OR(NOT(COUNTIF('商品マスタ'!$B$6:$B$1005,$W4897)=0),COUNTIFS('①在庫を貼る'!$V$6:$V$10005,$V4897,'①在庫を貼る'!$W$6:$W$10005,$W4897)&gt;0),N(U4896),N(U4896)+1))</f>
        <v/>
      </c>
      <c r="V4897" s="19">
        <f>IF($B4897="","",TEXT($B4897,"0000"))</f>
        <v/>
      </c>
      <c r="W4897" s="19">
        <f>IF($I4897="","",IF(ISNUMBER($I4897),TEXT($I4897,"0"),$I4897))</f>
        <v/>
      </c>
    </row>
    <row r="4898">
      <c r="B4898" s="25" t="n"/>
      <c r="I4898" s="25" t="n"/>
      <c r="U4898" s="19">
        <f>IF($V4898&lt;&gt;'設定'!$C$4,N(U4897),IF(OR(NOT(COUNTIF('商品マスタ'!$B$6:$B$1005,$W4898)=0),COUNTIFS('①在庫を貼る'!$V$6:$V$10005,$V4898,'①在庫を貼る'!$W$6:$W$10005,$W4898)&gt;0),N(U4897),N(U4897)+1))</f>
        <v/>
      </c>
      <c r="V4898" s="19">
        <f>IF($B4898="","",TEXT($B4898,"0000"))</f>
        <v/>
      </c>
      <c r="W4898" s="19">
        <f>IF($I4898="","",IF(ISNUMBER($I4898),TEXT($I4898,"0"),$I4898))</f>
        <v/>
      </c>
    </row>
    <row r="4899">
      <c r="B4899" s="25" t="n"/>
      <c r="I4899" s="25" t="n"/>
      <c r="U4899" s="19">
        <f>IF($V4899&lt;&gt;'設定'!$C$4,N(U4898),IF(OR(NOT(COUNTIF('商品マスタ'!$B$6:$B$1005,$W4899)=0),COUNTIFS('①在庫を貼る'!$V$6:$V$10005,$V4899,'①在庫を貼る'!$W$6:$W$10005,$W4899)&gt;0),N(U4898),N(U4898)+1))</f>
        <v/>
      </c>
      <c r="V4899" s="19">
        <f>IF($B4899="","",TEXT($B4899,"0000"))</f>
        <v/>
      </c>
      <c r="W4899" s="19">
        <f>IF($I4899="","",IF(ISNUMBER($I4899),TEXT($I4899,"0"),$I4899))</f>
        <v/>
      </c>
    </row>
    <row r="4900">
      <c r="B4900" s="25" t="n"/>
      <c r="I4900" s="25" t="n"/>
      <c r="U4900" s="19">
        <f>IF($V4900&lt;&gt;'設定'!$C$4,N(U4899),IF(OR(NOT(COUNTIF('商品マスタ'!$B$6:$B$1005,$W4900)=0),COUNTIFS('①在庫を貼る'!$V$6:$V$10005,$V4900,'①在庫を貼る'!$W$6:$W$10005,$W4900)&gt;0),N(U4899),N(U4899)+1))</f>
        <v/>
      </c>
      <c r="V4900" s="19">
        <f>IF($B4900="","",TEXT($B4900,"0000"))</f>
        <v/>
      </c>
      <c r="W4900" s="19">
        <f>IF($I4900="","",IF(ISNUMBER($I4900),TEXT($I4900,"0"),$I4900))</f>
        <v/>
      </c>
    </row>
    <row r="4901">
      <c r="B4901" s="25" t="n"/>
      <c r="I4901" s="25" t="n"/>
      <c r="U4901" s="19">
        <f>IF($V4901&lt;&gt;'設定'!$C$4,N(U4900),IF(OR(NOT(COUNTIF('商品マスタ'!$B$6:$B$1005,$W4901)=0),COUNTIFS('①在庫を貼る'!$V$6:$V$10005,$V4901,'①在庫を貼る'!$W$6:$W$10005,$W4901)&gt;0),N(U4900),N(U4900)+1))</f>
        <v/>
      </c>
      <c r="V4901" s="19">
        <f>IF($B4901="","",TEXT($B4901,"0000"))</f>
        <v/>
      </c>
      <c r="W4901" s="19">
        <f>IF($I4901="","",IF(ISNUMBER($I4901),TEXT($I4901,"0"),$I4901))</f>
        <v/>
      </c>
    </row>
    <row r="4902">
      <c r="B4902" s="25" t="n"/>
      <c r="I4902" s="25" t="n"/>
      <c r="U4902" s="19">
        <f>IF($V4902&lt;&gt;'設定'!$C$4,N(U4901),IF(OR(NOT(COUNTIF('商品マスタ'!$B$6:$B$1005,$W4902)=0),COUNTIFS('①在庫を貼る'!$V$6:$V$10005,$V4902,'①在庫を貼る'!$W$6:$W$10005,$W4902)&gt;0),N(U4901),N(U4901)+1))</f>
        <v/>
      </c>
      <c r="V4902" s="19">
        <f>IF($B4902="","",TEXT($B4902,"0000"))</f>
        <v/>
      </c>
      <c r="W4902" s="19">
        <f>IF($I4902="","",IF(ISNUMBER($I4902),TEXT($I4902,"0"),$I4902))</f>
        <v/>
      </c>
    </row>
    <row r="4903">
      <c r="B4903" s="25" t="n"/>
      <c r="I4903" s="25" t="n"/>
      <c r="U4903" s="19">
        <f>IF($V4903&lt;&gt;'設定'!$C$4,N(U4902),IF(OR(NOT(COUNTIF('商品マスタ'!$B$6:$B$1005,$W4903)=0),COUNTIFS('①在庫を貼る'!$V$6:$V$10005,$V4903,'①在庫を貼る'!$W$6:$W$10005,$W4903)&gt;0),N(U4902),N(U4902)+1))</f>
        <v/>
      </c>
      <c r="V4903" s="19">
        <f>IF($B4903="","",TEXT($B4903,"0000"))</f>
        <v/>
      </c>
      <c r="W4903" s="19">
        <f>IF($I4903="","",IF(ISNUMBER($I4903),TEXT($I4903,"0"),$I4903))</f>
        <v/>
      </c>
    </row>
    <row r="4904">
      <c r="B4904" s="25" t="n"/>
      <c r="I4904" s="25" t="n"/>
      <c r="U4904" s="19">
        <f>IF($V4904&lt;&gt;'設定'!$C$4,N(U4903),IF(OR(NOT(COUNTIF('商品マスタ'!$B$6:$B$1005,$W4904)=0),COUNTIFS('①在庫を貼る'!$V$6:$V$10005,$V4904,'①在庫を貼る'!$W$6:$W$10005,$W4904)&gt;0),N(U4903),N(U4903)+1))</f>
        <v/>
      </c>
      <c r="V4904" s="19">
        <f>IF($B4904="","",TEXT($B4904,"0000"))</f>
        <v/>
      </c>
      <c r="W4904" s="19">
        <f>IF($I4904="","",IF(ISNUMBER($I4904),TEXT($I4904,"0"),$I4904))</f>
        <v/>
      </c>
    </row>
    <row r="4905">
      <c r="B4905" s="25" t="n"/>
      <c r="I4905" s="25" t="n"/>
      <c r="U4905" s="19">
        <f>IF($V4905&lt;&gt;'設定'!$C$4,N(U4904),IF(OR(NOT(COUNTIF('商品マスタ'!$B$6:$B$1005,$W4905)=0),COUNTIFS('①在庫を貼る'!$V$6:$V$10005,$V4905,'①在庫を貼る'!$W$6:$W$10005,$W4905)&gt;0),N(U4904),N(U4904)+1))</f>
        <v/>
      </c>
      <c r="V4905" s="19">
        <f>IF($B4905="","",TEXT($B4905,"0000"))</f>
        <v/>
      </c>
      <c r="W4905" s="19">
        <f>IF($I4905="","",IF(ISNUMBER($I4905),TEXT($I4905,"0"),$I4905))</f>
        <v/>
      </c>
    </row>
    <row r="4906">
      <c r="B4906" s="25" t="n"/>
      <c r="I4906" s="25" t="n"/>
      <c r="U4906" s="19">
        <f>IF($V4906&lt;&gt;'設定'!$C$4,N(U4905),IF(OR(NOT(COUNTIF('商品マスタ'!$B$6:$B$1005,$W4906)=0),COUNTIFS('①在庫を貼る'!$V$6:$V$10005,$V4906,'①在庫を貼る'!$W$6:$W$10005,$W4906)&gt;0),N(U4905),N(U4905)+1))</f>
        <v/>
      </c>
      <c r="V4906" s="19">
        <f>IF($B4906="","",TEXT($B4906,"0000"))</f>
        <v/>
      </c>
      <c r="W4906" s="19">
        <f>IF($I4906="","",IF(ISNUMBER($I4906),TEXT($I4906,"0"),$I4906))</f>
        <v/>
      </c>
    </row>
    <row r="4907">
      <c r="B4907" s="25" t="n"/>
      <c r="I4907" s="25" t="n"/>
      <c r="U4907" s="19">
        <f>IF($V4907&lt;&gt;'設定'!$C$4,N(U4906),IF(OR(NOT(COUNTIF('商品マスタ'!$B$6:$B$1005,$W4907)=0),COUNTIFS('①在庫を貼る'!$V$6:$V$10005,$V4907,'①在庫を貼る'!$W$6:$W$10005,$W4907)&gt;0),N(U4906),N(U4906)+1))</f>
        <v/>
      </c>
      <c r="V4907" s="19">
        <f>IF($B4907="","",TEXT($B4907,"0000"))</f>
        <v/>
      </c>
      <c r="W4907" s="19">
        <f>IF($I4907="","",IF(ISNUMBER($I4907),TEXT($I4907,"0"),$I4907))</f>
        <v/>
      </c>
    </row>
    <row r="4908">
      <c r="B4908" s="25" t="n"/>
      <c r="I4908" s="25" t="n"/>
      <c r="U4908" s="19">
        <f>IF($V4908&lt;&gt;'設定'!$C$4,N(U4907),IF(OR(NOT(COUNTIF('商品マスタ'!$B$6:$B$1005,$W4908)=0),COUNTIFS('①在庫を貼る'!$V$6:$V$10005,$V4908,'①在庫を貼る'!$W$6:$W$10005,$W4908)&gt;0),N(U4907),N(U4907)+1))</f>
        <v/>
      </c>
      <c r="V4908" s="19">
        <f>IF($B4908="","",TEXT($B4908,"0000"))</f>
        <v/>
      </c>
      <c r="W4908" s="19">
        <f>IF($I4908="","",IF(ISNUMBER($I4908),TEXT($I4908,"0"),$I4908))</f>
        <v/>
      </c>
    </row>
    <row r="4909">
      <c r="B4909" s="25" t="n"/>
      <c r="I4909" s="25" t="n"/>
      <c r="U4909" s="19">
        <f>IF($V4909&lt;&gt;'設定'!$C$4,N(U4908),IF(OR(NOT(COUNTIF('商品マスタ'!$B$6:$B$1005,$W4909)=0),COUNTIFS('①在庫を貼る'!$V$6:$V$10005,$V4909,'①在庫を貼る'!$W$6:$W$10005,$W4909)&gt;0),N(U4908),N(U4908)+1))</f>
        <v/>
      </c>
      <c r="V4909" s="19">
        <f>IF($B4909="","",TEXT($B4909,"0000"))</f>
        <v/>
      </c>
      <c r="W4909" s="19">
        <f>IF($I4909="","",IF(ISNUMBER($I4909),TEXT($I4909,"0"),$I4909))</f>
        <v/>
      </c>
    </row>
    <row r="4910">
      <c r="B4910" s="25" t="n"/>
      <c r="I4910" s="25" t="n"/>
      <c r="U4910" s="19">
        <f>IF($V4910&lt;&gt;'設定'!$C$4,N(U4909),IF(OR(NOT(COUNTIF('商品マスタ'!$B$6:$B$1005,$W4910)=0),COUNTIFS('①在庫を貼る'!$V$6:$V$10005,$V4910,'①在庫を貼る'!$W$6:$W$10005,$W4910)&gt;0),N(U4909),N(U4909)+1))</f>
        <v/>
      </c>
      <c r="V4910" s="19">
        <f>IF($B4910="","",TEXT($B4910,"0000"))</f>
        <v/>
      </c>
      <c r="W4910" s="19">
        <f>IF($I4910="","",IF(ISNUMBER($I4910),TEXT($I4910,"0"),$I4910))</f>
        <v/>
      </c>
    </row>
    <row r="4911">
      <c r="B4911" s="25" t="n"/>
      <c r="I4911" s="25" t="n"/>
      <c r="U4911" s="19">
        <f>IF($V4911&lt;&gt;'設定'!$C$4,N(U4910),IF(OR(NOT(COUNTIF('商品マスタ'!$B$6:$B$1005,$W4911)=0),COUNTIFS('①在庫を貼る'!$V$6:$V$10005,$V4911,'①在庫を貼る'!$W$6:$W$10005,$W4911)&gt;0),N(U4910),N(U4910)+1))</f>
        <v/>
      </c>
      <c r="V4911" s="19">
        <f>IF($B4911="","",TEXT($B4911,"0000"))</f>
        <v/>
      </c>
      <c r="W4911" s="19">
        <f>IF($I4911="","",IF(ISNUMBER($I4911),TEXT($I4911,"0"),$I4911))</f>
        <v/>
      </c>
    </row>
    <row r="4912">
      <c r="B4912" s="25" t="n"/>
      <c r="I4912" s="25" t="n"/>
      <c r="U4912" s="19">
        <f>IF($V4912&lt;&gt;'設定'!$C$4,N(U4911),IF(OR(NOT(COUNTIF('商品マスタ'!$B$6:$B$1005,$W4912)=0),COUNTIFS('①在庫を貼る'!$V$6:$V$10005,$V4912,'①在庫を貼る'!$W$6:$W$10005,$W4912)&gt;0),N(U4911),N(U4911)+1))</f>
        <v/>
      </c>
      <c r="V4912" s="19">
        <f>IF($B4912="","",TEXT($B4912,"0000"))</f>
        <v/>
      </c>
      <c r="W4912" s="19">
        <f>IF($I4912="","",IF(ISNUMBER($I4912),TEXT($I4912,"0"),$I4912))</f>
        <v/>
      </c>
    </row>
    <row r="4913">
      <c r="B4913" s="25" t="n"/>
      <c r="I4913" s="25" t="n"/>
      <c r="U4913" s="19">
        <f>IF($V4913&lt;&gt;'設定'!$C$4,N(U4912),IF(OR(NOT(COUNTIF('商品マスタ'!$B$6:$B$1005,$W4913)=0),COUNTIFS('①在庫を貼る'!$V$6:$V$10005,$V4913,'①在庫を貼る'!$W$6:$W$10005,$W4913)&gt;0),N(U4912),N(U4912)+1))</f>
        <v/>
      </c>
      <c r="V4913" s="19">
        <f>IF($B4913="","",TEXT($B4913,"0000"))</f>
        <v/>
      </c>
      <c r="W4913" s="19">
        <f>IF($I4913="","",IF(ISNUMBER($I4913),TEXT($I4913,"0"),$I4913))</f>
        <v/>
      </c>
    </row>
    <row r="4914">
      <c r="B4914" s="25" t="n"/>
      <c r="I4914" s="25" t="n"/>
      <c r="U4914" s="19">
        <f>IF($V4914&lt;&gt;'設定'!$C$4,N(U4913),IF(OR(NOT(COUNTIF('商品マスタ'!$B$6:$B$1005,$W4914)=0),COUNTIFS('①在庫を貼る'!$V$6:$V$10005,$V4914,'①在庫を貼る'!$W$6:$W$10005,$W4914)&gt;0),N(U4913),N(U4913)+1))</f>
        <v/>
      </c>
      <c r="V4914" s="19">
        <f>IF($B4914="","",TEXT($B4914,"0000"))</f>
        <v/>
      </c>
      <c r="W4914" s="19">
        <f>IF($I4914="","",IF(ISNUMBER($I4914),TEXT($I4914,"0"),$I4914))</f>
        <v/>
      </c>
    </row>
    <row r="4915">
      <c r="B4915" s="25" t="n"/>
      <c r="I4915" s="25" t="n"/>
      <c r="U4915" s="19">
        <f>IF($V4915&lt;&gt;'設定'!$C$4,N(U4914),IF(OR(NOT(COUNTIF('商品マスタ'!$B$6:$B$1005,$W4915)=0),COUNTIFS('①在庫を貼る'!$V$6:$V$10005,$V4915,'①在庫を貼る'!$W$6:$W$10005,$W4915)&gt;0),N(U4914),N(U4914)+1))</f>
        <v/>
      </c>
      <c r="V4915" s="19">
        <f>IF($B4915="","",TEXT($B4915,"0000"))</f>
        <v/>
      </c>
      <c r="W4915" s="19">
        <f>IF($I4915="","",IF(ISNUMBER($I4915),TEXT($I4915,"0"),$I4915))</f>
        <v/>
      </c>
    </row>
    <row r="4916">
      <c r="B4916" s="25" t="n"/>
      <c r="I4916" s="25" t="n"/>
      <c r="U4916" s="19">
        <f>IF($V4916&lt;&gt;'設定'!$C$4,N(U4915),IF(OR(NOT(COUNTIF('商品マスタ'!$B$6:$B$1005,$W4916)=0),COUNTIFS('①在庫を貼る'!$V$6:$V$10005,$V4916,'①在庫を貼る'!$W$6:$W$10005,$W4916)&gt;0),N(U4915),N(U4915)+1))</f>
        <v/>
      </c>
      <c r="V4916" s="19">
        <f>IF($B4916="","",TEXT($B4916,"0000"))</f>
        <v/>
      </c>
      <c r="W4916" s="19">
        <f>IF($I4916="","",IF(ISNUMBER($I4916),TEXT($I4916,"0"),$I4916))</f>
        <v/>
      </c>
    </row>
    <row r="4917">
      <c r="B4917" s="25" t="n"/>
      <c r="I4917" s="25" t="n"/>
      <c r="U4917" s="19">
        <f>IF($V4917&lt;&gt;'設定'!$C$4,N(U4916),IF(OR(NOT(COUNTIF('商品マスタ'!$B$6:$B$1005,$W4917)=0),COUNTIFS('①在庫を貼る'!$V$6:$V$10005,$V4917,'①在庫を貼る'!$W$6:$W$10005,$W4917)&gt;0),N(U4916),N(U4916)+1))</f>
        <v/>
      </c>
      <c r="V4917" s="19">
        <f>IF($B4917="","",TEXT($B4917,"0000"))</f>
        <v/>
      </c>
      <c r="W4917" s="19">
        <f>IF($I4917="","",IF(ISNUMBER($I4917),TEXT($I4917,"0"),$I4917))</f>
        <v/>
      </c>
    </row>
    <row r="4918">
      <c r="B4918" s="25" t="n"/>
      <c r="I4918" s="25" t="n"/>
      <c r="U4918" s="19">
        <f>IF($V4918&lt;&gt;'設定'!$C$4,N(U4917),IF(OR(NOT(COUNTIF('商品マスタ'!$B$6:$B$1005,$W4918)=0),COUNTIFS('①在庫を貼る'!$V$6:$V$10005,$V4918,'①在庫を貼る'!$W$6:$W$10005,$W4918)&gt;0),N(U4917),N(U4917)+1))</f>
        <v/>
      </c>
      <c r="V4918" s="19">
        <f>IF($B4918="","",TEXT($B4918,"0000"))</f>
        <v/>
      </c>
      <c r="W4918" s="19">
        <f>IF($I4918="","",IF(ISNUMBER($I4918),TEXT($I4918,"0"),$I4918))</f>
        <v/>
      </c>
    </row>
    <row r="4919">
      <c r="B4919" s="25" t="n"/>
      <c r="I4919" s="25" t="n"/>
      <c r="U4919" s="19">
        <f>IF($V4919&lt;&gt;'設定'!$C$4,N(U4918),IF(OR(NOT(COUNTIF('商品マスタ'!$B$6:$B$1005,$W4919)=0),COUNTIFS('①在庫を貼る'!$V$6:$V$10005,$V4919,'①在庫を貼る'!$W$6:$W$10005,$W4919)&gt;0),N(U4918),N(U4918)+1))</f>
        <v/>
      </c>
      <c r="V4919" s="19">
        <f>IF($B4919="","",TEXT($B4919,"0000"))</f>
        <v/>
      </c>
      <c r="W4919" s="19">
        <f>IF($I4919="","",IF(ISNUMBER($I4919),TEXT($I4919,"0"),$I4919))</f>
        <v/>
      </c>
    </row>
    <row r="4920">
      <c r="B4920" s="25" t="n"/>
      <c r="I4920" s="25" t="n"/>
      <c r="U4920" s="19">
        <f>IF($V4920&lt;&gt;'設定'!$C$4,N(U4919),IF(OR(NOT(COUNTIF('商品マスタ'!$B$6:$B$1005,$W4920)=0),COUNTIFS('①在庫を貼る'!$V$6:$V$10005,$V4920,'①在庫を貼る'!$W$6:$W$10005,$W4920)&gt;0),N(U4919),N(U4919)+1))</f>
        <v/>
      </c>
      <c r="V4920" s="19">
        <f>IF($B4920="","",TEXT($B4920,"0000"))</f>
        <v/>
      </c>
      <c r="W4920" s="19">
        <f>IF($I4920="","",IF(ISNUMBER($I4920),TEXT($I4920,"0"),$I4920))</f>
        <v/>
      </c>
    </row>
    <row r="4921">
      <c r="B4921" s="25" t="n"/>
      <c r="I4921" s="25" t="n"/>
      <c r="U4921" s="19">
        <f>IF($V4921&lt;&gt;'設定'!$C$4,N(U4920),IF(OR(NOT(COUNTIF('商品マスタ'!$B$6:$B$1005,$W4921)=0),COUNTIFS('①在庫を貼る'!$V$6:$V$10005,$V4921,'①在庫を貼る'!$W$6:$W$10005,$W4921)&gt;0),N(U4920),N(U4920)+1))</f>
        <v/>
      </c>
      <c r="V4921" s="19">
        <f>IF($B4921="","",TEXT($B4921,"0000"))</f>
        <v/>
      </c>
      <c r="W4921" s="19">
        <f>IF($I4921="","",IF(ISNUMBER($I4921),TEXT($I4921,"0"),$I4921))</f>
        <v/>
      </c>
    </row>
    <row r="4922">
      <c r="B4922" s="25" t="n"/>
      <c r="I4922" s="25" t="n"/>
      <c r="U4922" s="19">
        <f>IF($V4922&lt;&gt;'設定'!$C$4,N(U4921),IF(OR(NOT(COUNTIF('商品マスタ'!$B$6:$B$1005,$W4922)=0),COUNTIFS('①在庫を貼る'!$V$6:$V$10005,$V4922,'①在庫を貼る'!$W$6:$W$10005,$W4922)&gt;0),N(U4921),N(U4921)+1))</f>
        <v/>
      </c>
      <c r="V4922" s="19">
        <f>IF($B4922="","",TEXT($B4922,"0000"))</f>
        <v/>
      </c>
      <c r="W4922" s="19">
        <f>IF($I4922="","",IF(ISNUMBER($I4922),TEXT($I4922,"0"),$I4922))</f>
        <v/>
      </c>
    </row>
    <row r="4923">
      <c r="B4923" s="25" t="n"/>
      <c r="I4923" s="25" t="n"/>
      <c r="U4923" s="19">
        <f>IF($V4923&lt;&gt;'設定'!$C$4,N(U4922),IF(OR(NOT(COUNTIF('商品マスタ'!$B$6:$B$1005,$W4923)=0),COUNTIFS('①在庫を貼る'!$V$6:$V$10005,$V4923,'①在庫を貼る'!$W$6:$W$10005,$W4923)&gt;0),N(U4922),N(U4922)+1))</f>
        <v/>
      </c>
      <c r="V4923" s="19">
        <f>IF($B4923="","",TEXT($B4923,"0000"))</f>
        <v/>
      </c>
      <c r="W4923" s="19">
        <f>IF($I4923="","",IF(ISNUMBER($I4923),TEXT($I4923,"0"),$I4923))</f>
        <v/>
      </c>
    </row>
    <row r="4924">
      <c r="B4924" s="25" t="n"/>
      <c r="I4924" s="25" t="n"/>
      <c r="U4924" s="19">
        <f>IF($V4924&lt;&gt;'設定'!$C$4,N(U4923),IF(OR(NOT(COUNTIF('商品マスタ'!$B$6:$B$1005,$W4924)=0),COUNTIFS('①在庫を貼る'!$V$6:$V$10005,$V4924,'①在庫を貼る'!$W$6:$W$10005,$W4924)&gt;0),N(U4923),N(U4923)+1))</f>
        <v/>
      </c>
      <c r="V4924" s="19">
        <f>IF($B4924="","",TEXT($B4924,"0000"))</f>
        <v/>
      </c>
      <c r="W4924" s="19">
        <f>IF($I4924="","",IF(ISNUMBER($I4924),TEXT($I4924,"0"),$I4924))</f>
        <v/>
      </c>
    </row>
    <row r="4925">
      <c r="B4925" s="25" t="n"/>
      <c r="I4925" s="25" t="n"/>
      <c r="U4925" s="19">
        <f>IF($V4925&lt;&gt;'設定'!$C$4,N(U4924),IF(OR(NOT(COUNTIF('商品マスタ'!$B$6:$B$1005,$W4925)=0),COUNTIFS('①在庫を貼る'!$V$6:$V$10005,$V4925,'①在庫を貼る'!$W$6:$W$10005,$W4925)&gt;0),N(U4924),N(U4924)+1))</f>
        <v/>
      </c>
      <c r="V4925" s="19">
        <f>IF($B4925="","",TEXT($B4925,"0000"))</f>
        <v/>
      </c>
      <c r="W4925" s="19">
        <f>IF($I4925="","",IF(ISNUMBER($I4925),TEXT($I4925,"0"),$I4925))</f>
        <v/>
      </c>
    </row>
    <row r="4926">
      <c r="B4926" s="25" t="n"/>
      <c r="I4926" s="25" t="n"/>
      <c r="U4926" s="19">
        <f>IF($V4926&lt;&gt;'設定'!$C$4,N(U4925),IF(OR(NOT(COUNTIF('商品マスタ'!$B$6:$B$1005,$W4926)=0),COUNTIFS('①在庫を貼る'!$V$6:$V$10005,$V4926,'①在庫を貼る'!$W$6:$W$10005,$W4926)&gt;0),N(U4925),N(U4925)+1))</f>
        <v/>
      </c>
      <c r="V4926" s="19">
        <f>IF($B4926="","",TEXT($B4926,"0000"))</f>
        <v/>
      </c>
      <c r="W4926" s="19">
        <f>IF($I4926="","",IF(ISNUMBER($I4926),TEXT($I4926,"0"),$I4926))</f>
        <v/>
      </c>
    </row>
    <row r="4927">
      <c r="B4927" s="25" t="n"/>
      <c r="I4927" s="25" t="n"/>
      <c r="U4927" s="19">
        <f>IF($V4927&lt;&gt;'設定'!$C$4,N(U4926),IF(OR(NOT(COUNTIF('商品マスタ'!$B$6:$B$1005,$W4927)=0),COUNTIFS('①在庫を貼る'!$V$6:$V$10005,$V4927,'①在庫を貼る'!$W$6:$W$10005,$W4927)&gt;0),N(U4926),N(U4926)+1))</f>
        <v/>
      </c>
      <c r="V4927" s="19">
        <f>IF($B4927="","",TEXT($B4927,"0000"))</f>
        <v/>
      </c>
      <c r="W4927" s="19">
        <f>IF($I4927="","",IF(ISNUMBER($I4927),TEXT($I4927,"0"),$I4927))</f>
        <v/>
      </c>
    </row>
    <row r="4928">
      <c r="B4928" s="25" t="n"/>
      <c r="I4928" s="25" t="n"/>
      <c r="U4928" s="19">
        <f>IF($V4928&lt;&gt;'設定'!$C$4,N(U4927),IF(OR(NOT(COUNTIF('商品マスタ'!$B$6:$B$1005,$W4928)=0),COUNTIFS('①在庫を貼る'!$V$6:$V$10005,$V4928,'①在庫を貼る'!$W$6:$W$10005,$W4928)&gt;0),N(U4927),N(U4927)+1))</f>
        <v/>
      </c>
      <c r="V4928" s="19">
        <f>IF($B4928="","",TEXT($B4928,"0000"))</f>
        <v/>
      </c>
      <c r="W4928" s="19">
        <f>IF($I4928="","",IF(ISNUMBER($I4928),TEXT($I4928,"0"),$I4928))</f>
        <v/>
      </c>
    </row>
    <row r="4929">
      <c r="B4929" s="25" t="n"/>
      <c r="I4929" s="25" t="n"/>
      <c r="U4929" s="19">
        <f>IF($V4929&lt;&gt;'設定'!$C$4,N(U4928),IF(OR(NOT(COUNTIF('商品マスタ'!$B$6:$B$1005,$W4929)=0),COUNTIFS('①在庫を貼る'!$V$6:$V$10005,$V4929,'①在庫を貼る'!$W$6:$W$10005,$W4929)&gt;0),N(U4928),N(U4928)+1))</f>
        <v/>
      </c>
      <c r="V4929" s="19">
        <f>IF($B4929="","",TEXT($B4929,"0000"))</f>
        <v/>
      </c>
      <c r="W4929" s="19">
        <f>IF($I4929="","",IF(ISNUMBER($I4929),TEXT($I4929,"0"),$I4929))</f>
        <v/>
      </c>
    </row>
    <row r="4930">
      <c r="B4930" s="25" t="n"/>
      <c r="I4930" s="25" t="n"/>
      <c r="U4930" s="19">
        <f>IF($V4930&lt;&gt;'設定'!$C$4,N(U4929),IF(OR(NOT(COUNTIF('商品マスタ'!$B$6:$B$1005,$W4930)=0),COUNTIFS('①在庫を貼る'!$V$6:$V$10005,$V4930,'①在庫を貼る'!$W$6:$W$10005,$W4930)&gt;0),N(U4929),N(U4929)+1))</f>
        <v/>
      </c>
      <c r="V4930" s="19">
        <f>IF($B4930="","",TEXT($B4930,"0000"))</f>
        <v/>
      </c>
      <c r="W4930" s="19">
        <f>IF($I4930="","",IF(ISNUMBER($I4930),TEXT($I4930,"0"),$I4930))</f>
        <v/>
      </c>
    </row>
    <row r="4931">
      <c r="B4931" s="25" t="n"/>
      <c r="I4931" s="25" t="n"/>
      <c r="U4931" s="19">
        <f>IF($V4931&lt;&gt;'設定'!$C$4,N(U4930),IF(OR(NOT(COUNTIF('商品マスタ'!$B$6:$B$1005,$W4931)=0),COUNTIFS('①在庫を貼る'!$V$6:$V$10005,$V4931,'①在庫を貼る'!$W$6:$W$10005,$W4931)&gt;0),N(U4930),N(U4930)+1))</f>
        <v/>
      </c>
      <c r="V4931" s="19">
        <f>IF($B4931="","",TEXT($B4931,"0000"))</f>
        <v/>
      </c>
      <c r="W4931" s="19">
        <f>IF($I4931="","",IF(ISNUMBER($I4931),TEXT($I4931,"0"),$I4931))</f>
        <v/>
      </c>
    </row>
    <row r="4932">
      <c r="B4932" s="25" t="n"/>
      <c r="I4932" s="25" t="n"/>
      <c r="U4932" s="19">
        <f>IF($V4932&lt;&gt;'設定'!$C$4,N(U4931),IF(OR(NOT(COUNTIF('商品マスタ'!$B$6:$B$1005,$W4932)=0),COUNTIFS('①在庫を貼る'!$V$6:$V$10005,$V4932,'①在庫を貼る'!$W$6:$W$10005,$W4932)&gt;0),N(U4931),N(U4931)+1))</f>
        <v/>
      </c>
      <c r="V4932" s="19">
        <f>IF($B4932="","",TEXT($B4932,"0000"))</f>
        <v/>
      </c>
      <c r="W4932" s="19">
        <f>IF($I4932="","",IF(ISNUMBER($I4932),TEXT($I4932,"0"),$I4932))</f>
        <v/>
      </c>
    </row>
    <row r="4933">
      <c r="B4933" s="25" t="n"/>
      <c r="I4933" s="25" t="n"/>
      <c r="U4933" s="19">
        <f>IF($V4933&lt;&gt;'設定'!$C$4,N(U4932),IF(OR(NOT(COUNTIF('商品マスタ'!$B$6:$B$1005,$W4933)=0),COUNTIFS('①在庫を貼る'!$V$6:$V$10005,$V4933,'①在庫を貼る'!$W$6:$W$10005,$W4933)&gt;0),N(U4932),N(U4932)+1))</f>
        <v/>
      </c>
      <c r="V4933" s="19">
        <f>IF($B4933="","",TEXT($B4933,"0000"))</f>
        <v/>
      </c>
      <c r="W4933" s="19">
        <f>IF($I4933="","",IF(ISNUMBER($I4933),TEXT($I4933,"0"),$I4933))</f>
        <v/>
      </c>
    </row>
    <row r="4934">
      <c r="B4934" s="25" t="n"/>
      <c r="I4934" s="25" t="n"/>
      <c r="U4934" s="19">
        <f>IF($V4934&lt;&gt;'設定'!$C$4,N(U4933),IF(OR(NOT(COUNTIF('商品マスタ'!$B$6:$B$1005,$W4934)=0),COUNTIFS('①在庫を貼る'!$V$6:$V$10005,$V4934,'①在庫を貼る'!$W$6:$W$10005,$W4934)&gt;0),N(U4933),N(U4933)+1))</f>
        <v/>
      </c>
      <c r="V4934" s="19">
        <f>IF($B4934="","",TEXT($B4934,"0000"))</f>
        <v/>
      </c>
      <c r="W4934" s="19">
        <f>IF($I4934="","",IF(ISNUMBER($I4934),TEXT($I4934,"0"),$I4934))</f>
        <v/>
      </c>
    </row>
    <row r="4935">
      <c r="B4935" s="25" t="n"/>
      <c r="I4935" s="25" t="n"/>
      <c r="U4935" s="19">
        <f>IF($V4935&lt;&gt;'設定'!$C$4,N(U4934),IF(OR(NOT(COUNTIF('商品マスタ'!$B$6:$B$1005,$W4935)=0),COUNTIFS('①在庫を貼る'!$V$6:$V$10005,$V4935,'①在庫を貼る'!$W$6:$W$10005,$W4935)&gt;0),N(U4934),N(U4934)+1))</f>
        <v/>
      </c>
      <c r="V4935" s="19">
        <f>IF($B4935="","",TEXT($B4935,"0000"))</f>
        <v/>
      </c>
      <c r="W4935" s="19">
        <f>IF($I4935="","",IF(ISNUMBER($I4935),TEXT($I4935,"0"),$I4935))</f>
        <v/>
      </c>
    </row>
    <row r="4936">
      <c r="B4936" s="25" t="n"/>
      <c r="I4936" s="25" t="n"/>
      <c r="U4936" s="19">
        <f>IF($V4936&lt;&gt;'設定'!$C$4,N(U4935),IF(OR(NOT(COUNTIF('商品マスタ'!$B$6:$B$1005,$W4936)=0),COUNTIFS('①在庫を貼る'!$V$6:$V$10005,$V4936,'①在庫を貼る'!$W$6:$W$10005,$W4936)&gt;0),N(U4935),N(U4935)+1))</f>
        <v/>
      </c>
      <c r="V4936" s="19">
        <f>IF($B4936="","",TEXT($B4936,"0000"))</f>
        <v/>
      </c>
      <c r="W4936" s="19">
        <f>IF($I4936="","",IF(ISNUMBER($I4936),TEXT($I4936,"0"),$I4936))</f>
        <v/>
      </c>
    </row>
    <row r="4937">
      <c r="B4937" s="25" t="n"/>
      <c r="I4937" s="25" t="n"/>
      <c r="U4937" s="19">
        <f>IF($V4937&lt;&gt;'設定'!$C$4,N(U4936),IF(OR(NOT(COUNTIF('商品マスタ'!$B$6:$B$1005,$W4937)=0),COUNTIFS('①在庫を貼る'!$V$6:$V$10005,$V4937,'①在庫を貼る'!$W$6:$W$10005,$W4937)&gt;0),N(U4936),N(U4936)+1))</f>
        <v/>
      </c>
      <c r="V4937" s="19">
        <f>IF($B4937="","",TEXT($B4937,"0000"))</f>
        <v/>
      </c>
      <c r="W4937" s="19">
        <f>IF($I4937="","",IF(ISNUMBER($I4937),TEXT($I4937,"0"),$I4937))</f>
        <v/>
      </c>
    </row>
    <row r="4938">
      <c r="B4938" s="25" t="n"/>
      <c r="I4938" s="25" t="n"/>
      <c r="U4938" s="19">
        <f>IF($V4938&lt;&gt;'設定'!$C$4,N(U4937),IF(OR(NOT(COUNTIF('商品マスタ'!$B$6:$B$1005,$W4938)=0),COUNTIFS('①在庫を貼る'!$V$6:$V$10005,$V4938,'①在庫を貼る'!$W$6:$W$10005,$W4938)&gt;0),N(U4937),N(U4937)+1))</f>
        <v/>
      </c>
      <c r="V4938" s="19">
        <f>IF($B4938="","",TEXT($B4938,"0000"))</f>
        <v/>
      </c>
      <c r="W4938" s="19">
        <f>IF($I4938="","",IF(ISNUMBER($I4938),TEXT($I4938,"0"),$I4938))</f>
        <v/>
      </c>
    </row>
    <row r="4939">
      <c r="B4939" s="25" t="n"/>
      <c r="I4939" s="25" t="n"/>
      <c r="U4939" s="19">
        <f>IF($V4939&lt;&gt;'設定'!$C$4,N(U4938),IF(OR(NOT(COUNTIF('商品マスタ'!$B$6:$B$1005,$W4939)=0),COUNTIFS('①在庫を貼る'!$V$6:$V$10005,$V4939,'①在庫を貼る'!$W$6:$W$10005,$W4939)&gt;0),N(U4938),N(U4938)+1))</f>
        <v/>
      </c>
      <c r="V4939" s="19">
        <f>IF($B4939="","",TEXT($B4939,"0000"))</f>
        <v/>
      </c>
      <c r="W4939" s="19">
        <f>IF($I4939="","",IF(ISNUMBER($I4939),TEXT($I4939,"0"),$I4939))</f>
        <v/>
      </c>
    </row>
    <row r="4940">
      <c r="B4940" s="25" t="n"/>
      <c r="I4940" s="25" t="n"/>
      <c r="U4940" s="19">
        <f>IF($V4940&lt;&gt;'設定'!$C$4,N(U4939),IF(OR(NOT(COUNTIF('商品マスタ'!$B$6:$B$1005,$W4940)=0),COUNTIFS('①在庫を貼る'!$V$6:$V$10005,$V4940,'①在庫を貼る'!$W$6:$W$10005,$W4940)&gt;0),N(U4939),N(U4939)+1))</f>
        <v/>
      </c>
      <c r="V4940" s="19">
        <f>IF($B4940="","",TEXT($B4940,"0000"))</f>
        <v/>
      </c>
      <c r="W4940" s="19">
        <f>IF($I4940="","",IF(ISNUMBER($I4940),TEXT($I4940,"0"),$I4940))</f>
        <v/>
      </c>
    </row>
    <row r="4941">
      <c r="B4941" s="25" t="n"/>
      <c r="I4941" s="25" t="n"/>
      <c r="U4941" s="19">
        <f>IF($V4941&lt;&gt;'設定'!$C$4,N(U4940),IF(OR(NOT(COUNTIF('商品マスタ'!$B$6:$B$1005,$W4941)=0),COUNTIFS('①在庫を貼る'!$V$6:$V$10005,$V4941,'①在庫を貼る'!$W$6:$W$10005,$W4941)&gt;0),N(U4940),N(U4940)+1))</f>
        <v/>
      </c>
      <c r="V4941" s="19">
        <f>IF($B4941="","",TEXT($B4941,"0000"))</f>
        <v/>
      </c>
      <c r="W4941" s="19">
        <f>IF($I4941="","",IF(ISNUMBER($I4941),TEXT($I4941,"0"),$I4941))</f>
        <v/>
      </c>
    </row>
    <row r="4942">
      <c r="B4942" s="25" t="n"/>
      <c r="I4942" s="25" t="n"/>
      <c r="U4942" s="19">
        <f>IF($V4942&lt;&gt;'設定'!$C$4,N(U4941),IF(OR(NOT(COUNTIF('商品マスタ'!$B$6:$B$1005,$W4942)=0),COUNTIFS('①在庫を貼る'!$V$6:$V$10005,$V4942,'①在庫を貼る'!$W$6:$W$10005,$W4942)&gt;0),N(U4941),N(U4941)+1))</f>
        <v/>
      </c>
      <c r="V4942" s="19">
        <f>IF($B4942="","",TEXT($B4942,"0000"))</f>
        <v/>
      </c>
      <c r="W4942" s="19">
        <f>IF($I4942="","",IF(ISNUMBER($I4942),TEXT($I4942,"0"),$I4942))</f>
        <v/>
      </c>
    </row>
    <row r="4943">
      <c r="B4943" s="25" t="n"/>
      <c r="I4943" s="25" t="n"/>
      <c r="U4943" s="19">
        <f>IF($V4943&lt;&gt;'設定'!$C$4,N(U4942),IF(OR(NOT(COUNTIF('商品マスタ'!$B$6:$B$1005,$W4943)=0),COUNTIFS('①在庫を貼る'!$V$6:$V$10005,$V4943,'①在庫を貼る'!$W$6:$W$10005,$W4943)&gt;0),N(U4942),N(U4942)+1))</f>
        <v/>
      </c>
      <c r="V4943" s="19">
        <f>IF($B4943="","",TEXT($B4943,"0000"))</f>
        <v/>
      </c>
      <c r="W4943" s="19">
        <f>IF($I4943="","",IF(ISNUMBER($I4943),TEXT($I4943,"0"),$I4943))</f>
        <v/>
      </c>
    </row>
    <row r="4944">
      <c r="B4944" s="25" t="n"/>
      <c r="I4944" s="25" t="n"/>
      <c r="U4944" s="19">
        <f>IF($V4944&lt;&gt;'設定'!$C$4,N(U4943),IF(OR(NOT(COUNTIF('商品マスタ'!$B$6:$B$1005,$W4944)=0),COUNTIFS('①在庫を貼る'!$V$6:$V$10005,$V4944,'①在庫を貼る'!$W$6:$W$10005,$W4944)&gt;0),N(U4943),N(U4943)+1))</f>
        <v/>
      </c>
      <c r="V4944" s="19">
        <f>IF($B4944="","",TEXT($B4944,"0000"))</f>
        <v/>
      </c>
      <c r="W4944" s="19">
        <f>IF($I4944="","",IF(ISNUMBER($I4944),TEXT($I4944,"0"),$I4944))</f>
        <v/>
      </c>
    </row>
    <row r="4945">
      <c r="B4945" s="25" t="n"/>
      <c r="I4945" s="25" t="n"/>
      <c r="U4945" s="19">
        <f>IF($V4945&lt;&gt;'設定'!$C$4,N(U4944),IF(OR(NOT(COUNTIF('商品マスタ'!$B$6:$B$1005,$W4945)=0),COUNTIFS('①在庫を貼る'!$V$6:$V$10005,$V4945,'①在庫を貼る'!$W$6:$W$10005,$W4945)&gt;0),N(U4944),N(U4944)+1))</f>
        <v/>
      </c>
      <c r="V4945" s="19">
        <f>IF($B4945="","",TEXT($B4945,"0000"))</f>
        <v/>
      </c>
      <c r="W4945" s="19">
        <f>IF($I4945="","",IF(ISNUMBER($I4945),TEXT($I4945,"0"),$I4945))</f>
        <v/>
      </c>
    </row>
    <row r="4946">
      <c r="B4946" s="25" t="n"/>
      <c r="I4946" s="25" t="n"/>
      <c r="U4946" s="19">
        <f>IF($V4946&lt;&gt;'設定'!$C$4,N(U4945),IF(OR(NOT(COUNTIF('商品マスタ'!$B$6:$B$1005,$W4946)=0),COUNTIFS('①在庫を貼る'!$V$6:$V$10005,$V4946,'①在庫を貼る'!$W$6:$W$10005,$W4946)&gt;0),N(U4945),N(U4945)+1))</f>
        <v/>
      </c>
      <c r="V4946" s="19">
        <f>IF($B4946="","",TEXT($B4946,"0000"))</f>
        <v/>
      </c>
      <c r="W4946" s="19">
        <f>IF($I4946="","",IF(ISNUMBER($I4946),TEXT($I4946,"0"),$I4946))</f>
        <v/>
      </c>
    </row>
    <row r="4947">
      <c r="B4947" s="25" t="n"/>
      <c r="I4947" s="25" t="n"/>
      <c r="U4947" s="19">
        <f>IF($V4947&lt;&gt;'設定'!$C$4,N(U4946),IF(OR(NOT(COUNTIF('商品マスタ'!$B$6:$B$1005,$W4947)=0),COUNTIFS('①在庫を貼る'!$V$6:$V$10005,$V4947,'①在庫を貼る'!$W$6:$W$10005,$W4947)&gt;0),N(U4946),N(U4946)+1))</f>
        <v/>
      </c>
      <c r="V4947" s="19">
        <f>IF($B4947="","",TEXT($B4947,"0000"))</f>
        <v/>
      </c>
      <c r="W4947" s="19">
        <f>IF($I4947="","",IF(ISNUMBER($I4947),TEXT($I4947,"0"),$I4947))</f>
        <v/>
      </c>
    </row>
    <row r="4948">
      <c r="B4948" s="25" t="n"/>
      <c r="I4948" s="25" t="n"/>
      <c r="U4948" s="19">
        <f>IF($V4948&lt;&gt;'設定'!$C$4,N(U4947),IF(OR(NOT(COUNTIF('商品マスタ'!$B$6:$B$1005,$W4948)=0),COUNTIFS('①在庫を貼る'!$V$6:$V$10005,$V4948,'①在庫を貼る'!$W$6:$W$10005,$W4948)&gt;0),N(U4947),N(U4947)+1))</f>
        <v/>
      </c>
      <c r="V4948" s="19">
        <f>IF($B4948="","",TEXT($B4948,"0000"))</f>
        <v/>
      </c>
      <c r="W4948" s="19">
        <f>IF($I4948="","",IF(ISNUMBER($I4948),TEXT($I4948,"0"),$I4948))</f>
        <v/>
      </c>
    </row>
    <row r="4949">
      <c r="B4949" s="25" t="n"/>
      <c r="I4949" s="25" t="n"/>
      <c r="U4949" s="19">
        <f>IF($V4949&lt;&gt;'設定'!$C$4,N(U4948),IF(OR(NOT(COUNTIF('商品マスタ'!$B$6:$B$1005,$W4949)=0),COUNTIFS('①在庫を貼る'!$V$6:$V$10005,$V4949,'①在庫を貼る'!$W$6:$W$10005,$W4949)&gt;0),N(U4948),N(U4948)+1))</f>
        <v/>
      </c>
      <c r="V4949" s="19">
        <f>IF($B4949="","",TEXT($B4949,"0000"))</f>
        <v/>
      </c>
      <c r="W4949" s="19">
        <f>IF($I4949="","",IF(ISNUMBER($I4949),TEXT($I4949,"0"),$I4949))</f>
        <v/>
      </c>
    </row>
    <row r="4950">
      <c r="B4950" s="25" t="n"/>
      <c r="I4950" s="25" t="n"/>
      <c r="U4950" s="19">
        <f>IF($V4950&lt;&gt;'設定'!$C$4,N(U4949),IF(OR(NOT(COUNTIF('商品マスタ'!$B$6:$B$1005,$W4950)=0),COUNTIFS('①在庫を貼る'!$V$6:$V$10005,$V4950,'①在庫を貼る'!$W$6:$W$10005,$W4950)&gt;0),N(U4949),N(U4949)+1))</f>
        <v/>
      </c>
      <c r="V4950" s="19">
        <f>IF($B4950="","",TEXT($B4950,"0000"))</f>
        <v/>
      </c>
      <c r="W4950" s="19">
        <f>IF($I4950="","",IF(ISNUMBER($I4950),TEXT($I4950,"0"),$I4950))</f>
        <v/>
      </c>
    </row>
    <row r="4951">
      <c r="B4951" s="25" t="n"/>
      <c r="I4951" s="25" t="n"/>
      <c r="U4951" s="19">
        <f>IF($V4951&lt;&gt;'設定'!$C$4,N(U4950),IF(OR(NOT(COUNTIF('商品マスタ'!$B$6:$B$1005,$W4951)=0),COUNTIFS('①在庫を貼る'!$V$6:$V$10005,$V4951,'①在庫を貼る'!$W$6:$W$10005,$W4951)&gt;0),N(U4950),N(U4950)+1))</f>
        <v/>
      </c>
      <c r="V4951" s="19">
        <f>IF($B4951="","",TEXT($B4951,"0000"))</f>
        <v/>
      </c>
      <c r="W4951" s="19">
        <f>IF($I4951="","",IF(ISNUMBER($I4951),TEXT($I4951,"0"),$I4951))</f>
        <v/>
      </c>
    </row>
    <row r="4952">
      <c r="B4952" s="25" t="n"/>
      <c r="I4952" s="25" t="n"/>
      <c r="U4952" s="19">
        <f>IF($V4952&lt;&gt;'設定'!$C$4,N(U4951),IF(OR(NOT(COUNTIF('商品マスタ'!$B$6:$B$1005,$W4952)=0),COUNTIFS('①在庫を貼る'!$V$6:$V$10005,$V4952,'①在庫を貼る'!$W$6:$W$10005,$W4952)&gt;0),N(U4951),N(U4951)+1))</f>
        <v/>
      </c>
      <c r="V4952" s="19">
        <f>IF($B4952="","",TEXT($B4952,"0000"))</f>
        <v/>
      </c>
      <c r="W4952" s="19">
        <f>IF($I4952="","",IF(ISNUMBER($I4952),TEXT($I4952,"0"),$I4952))</f>
        <v/>
      </c>
    </row>
    <row r="4953">
      <c r="B4953" s="25" t="n"/>
      <c r="I4953" s="25" t="n"/>
      <c r="U4953" s="19">
        <f>IF($V4953&lt;&gt;'設定'!$C$4,N(U4952),IF(OR(NOT(COUNTIF('商品マスタ'!$B$6:$B$1005,$W4953)=0),COUNTIFS('①在庫を貼る'!$V$6:$V$10005,$V4953,'①在庫を貼る'!$W$6:$W$10005,$W4953)&gt;0),N(U4952),N(U4952)+1))</f>
        <v/>
      </c>
      <c r="V4953" s="19">
        <f>IF($B4953="","",TEXT($B4953,"0000"))</f>
        <v/>
      </c>
      <c r="W4953" s="19">
        <f>IF($I4953="","",IF(ISNUMBER($I4953),TEXT($I4953,"0"),$I4953))</f>
        <v/>
      </c>
    </row>
    <row r="4954">
      <c r="B4954" s="25" t="n"/>
      <c r="I4954" s="25" t="n"/>
      <c r="U4954" s="19">
        <f>IF($V4954&lt;&gt;'設定'!$C$4,N(U4953),IF(OR(NOT(COUNTIF('商品マスタ'!$B$6:$B$1005,$W4954)=0),COUNTIFS('①在庫を貼る'!$V$6:$V$10005,$V4954,'①在庫を貼る'!$W$6:$W$10005,$W4954)&gt;0),N(U4953),N(U4953)+1))</f>
        <v/>
      </c>
      <c r="V4954" s="19">
        <f>IF($B4954="","",TEXT($B4954,"0000"))</f>
        <v/>
      </c>
      <c r="W4954" s="19">
        <f>IF($I4954="","",IF(ISNUMBER($I4954),TEXT($I4954,"0"),$I4954))</f>
        <v/>
      </c>
    </row>
    <row r="4955">
      <c r="B4955" s="25" t="n"/>
      <c r="I4955" s="25" t="n"/>
      <c r="U4955" s="19">
        <f>IF($V4955&lt;&gt;'設定'!$C$4,N(U4954),IF(OR(NOT(COUNTIF('商品マスタ'!$B$6:$B$1005,$W4955)=0),COUNTIFS('①在庫を貼る'!$V$6:$V$10005,$V4955,'①在庫を貼る'!$W$6:$W$10005,$W4955)&gt;0),N(U4954),N(U4954)+1))</f>
        <v/>
      </c>
      <c r="V4955" s="19">
        <f>IF($B4955="","",TEXT($B4955,"0000"))</f>
        <v/>
      </c>
      <c r="W4955" s="19">
        <f>IF($I4955="","",IF(ISNUMBER($I4955),TEXT($I4955,"0"),$I4955))</f>
        <v/>
      </c>
    </row>
    <row r="4956">
      <c r="B4956" s="25" t="n"/>
      <c r="I4956" s="25" t="n"/>
      <c r="U4956" s="19">
        <f>IF($V4956&lt;&gt;'設定'!$C$4,N(U4955),IF(OR(NOT(COUNTIF('商品マスタ'!$B$6:$B$1005,$W4956)=0),COUNTIFS('①在庫を貼る'!$V$6:$V$10005,$V4956,'①在庫を貼る'!$W$6:$W$10005,$W4956)&gt;0),N(U4955),N(U4955)+1))</f>
        <v/>
      </c>
      <c r="V4956" s="19">
        <f>IF($B4956="","",TEXT($B4956,"0000"))</f>
        <v/>
      </c>
      <c r="W4956" s="19">
        <f>IF($I4956="","",IF(ISNUMBER($I4956),TEXT($I4956,"0"),$I4956))</f>
        <v/>
      </c>
    </row>
    <row r="4957">
      <c r="B4957" s="25" t="n"/>
      <c r="I4957" s="25" t="n"/>
      <c r="U4957" s="19">
        <f>IF($V4957&lt;&gt;'設定'!$C$4,N(U4956),IF(OR(NOT(COUNTIF('商品マスタ'!$B$6:$B$1005,$W4957)=0),COUNTIFS('①在庫を貼る'!$V$6:$V$10005,$V4957,'①在庫を貼る'!$W$6:$W$10005,$W4957)&gt;0),N(U4956),N(U4956)+1))</f>
        <v/>
      </c>
      <c r="V4957" s="19">
        <f>IF($B4957="","",TEXT($B4957,"0000"))</f>
        <v/>
      </c>
      <c r="W4957" s="19">
        <f>IF($I4957="","",IF(ISNUMBER($I4957),TEXT($I4957,"0"),$I4957))</f>
        <v/>
      </c>
    </row>
    <row r="4958">
      <c r="B4958" s="25" t="n"/>
      <c r="I4958" s="25" t="n"/>
      <c r="U4958" s="19">
        <f>IF($V4958&lt;&gt;'設定'!$C$4,N(U4957),IF(OR(NOT(COUNTIF('商品マスタ'!$B$6:$B$1005,$W4958)=0),COUNTIFS('①在庫を貼る'!$V$6:$V$10005,$V4958,'①在庫を貼る'!$W$6:$W$10005,$W4958)&gt;0),N(U4957),N(U4957)+1))</f>
        <v/>
      </c>
      <c r="V4958" s="19">
        <f>IF($B4958="","",TEXT($B4958,"0000"))</f>
        <v/>
      </c>
      <c r="W4958" s="19">
        <f>IF($I4958="","",IF(ISNUMBER($I4958),TEXT($I4958,"0"),$I4958))</f>
        <v/>
      </c>
    </row>
    <row r="4959">
      <c r="B4959" s="25" t="n"/>
      <c r="I4959" s="25" t="n"/>
      <c r="U4959" s="19">
        <f>IF($V4959&lt;&gt;'設定'!$C$4,N(U4958),IF(OR(NOT(COUNTIF('商品マスタ'!$B$6:$B$1005,$W4959)=0),COUNTIFS('①在庫を貼る'!$V$6:$V$10005,$V4959,'①在庫を貼る'!$W$6:$W$10005,$W4959)&gt;0),N(U4958),N(U4958)+1))</f>
        <v/>
      </c>
      <c r="V4959" s="19">
        <f>IF($B4959="","",TEXT($B4959,"0000"))</f>
        <v/>
      </c>
      <c r="W4959" s="19">
        <f>IF($I4959="","",IF(ISNUMBER($I4959),TEXT($I4959,"0"),$I4959))</f>
        <v/>
      </c>
    </row>
    <row r="4960">
      <c r="B4960" s="25" t="n"/>
      <c r="I4960" s="25" t="n"/>
      <c r="U4960" s="19">
        <f>IF($V4960&lt;&gt;'設定'!$C$4,N(U4959),IF(OR(NOT(COUNTIF('商品マスタ'!$B$6:$B$1005,$W4960)=0),COUNTIFS('①在庫を貼る'!$V$6:$V$10005,$V4960,'①在庫を貼る'!$W$6:$W$10005,$W4960)&gt;0),N(U4959),N(U4959)+1))</f>
        <v/>
      </c>
      <c r="V4960" s="19">
        <f>IF($B4960="","",TEXT($B4960,"0000"))</f>
        <v/>
      </c>
      <c r="W4960" s="19">
        <f>IF($I4960="","",IF(ISNUMBER($I4960),TEXT($I4960,"0"),$I4960))</f>
        <v/>
      </c>
    </row>
    <row r="4961">
      <c r="B4961" s="25" t="n"/>
      <c r="I4961" s="25" t="n"/>
      <c r="U4961" s="19">
        <f>IF($V4961&lt;&gt;'設定'!$C$4,N(U4960),IF(OR(NOT(COUNTIF('商品マスタ'!$B$6:$B$1005,$W4961)=0),COUNTIFS('①在庫を貼る'!$V$6:$V$10005,$V4961,'①在庫を貼る'!$W$6:$W$10005,$W4961)&gt;0),N(U4960),N(U4960)+1))</f>
        <v/>
      </c>
      <c r="V4961" s="19">
        <f>IF($B4961="","",TEXT($B4961,"0000"))</f>
        <v/>
      </c>
      <c r="W4961" s="19">
        <f>IF($I4961="","",IF(ISNUMBER($I4961),TEXT($I4961,"0"),$I4961))</f>
        <v/>
      </c>
    </row>
    <row r="4962">
      <c r="B4962" s="25" t="n"/>
      <c r="I4962" s="25" t="n"/>
      <c r="U4962" s="19">
        <f>IF($V4962&lt;&gt;'設定'!$C$4,N(U4961),IF(OR(NOT(COUNTIF('商品マスタ'!$B$6:$B$1005,$W4962)=0),COUNTIFS('①在庫を貼る'!$V$6:$V$10005,$V4962,'①在庫を貼る'!$W$6:$W$10005,$W4962)&gt;0),N(U4961),N(U4961)+1))</f>
        <v/>
      </c>
      <c r="V4962" s="19">
        <f>IF($B4962="","",TEXT($B4962,"0000"))</f>
        <v/>
      </c>
      <c r="W4962" s="19">
        <f>IF($I4962="","",IF(ISNUMBER($I4962),TEXT($I4962,"0"),$I4962))</f>
        <v/>
      </c>
    </row>
    <row r="4963">
      <c r="B4963" s="25" t="n"/>
      <c r="I4963" s="25" t="n"/>
      <c r="U4963" s="19">
        <f>IF($V4963&lt;&gt;'設定'!$C$4,N(U4962),IF(OR(NOT(COUNTIF('商品マスタ'!$B$6:$B$1005,$W4963)=0),COUNTIFS('①在庫を貼る'!$V$6:$V$10005,$V4963,'①在庫を貼る'!$W$6:$W$10005,$W4963)&gt;0),N(U4962),N(U4962)+1))</f>
        <v/>
      </c>
      <c r="V4963" s="19">
        <f>IF($B4963="","",TEXT($B4963,"0000"))</f>
        <v/>
      </c>
      <c r="W4963" s="19">
        <f>IF($I4963="","",IF(ISNUMBER($I4963),TEXT($I4963,"0"),$I4963))</f>
        <v/>
      </c>
    </row>
    <row r="4964">
      <c r="B4964" s="25" t="n"/>
      <c r="I4964" s="25" t="n"/>
      <c r="U4964" s="19">
        <f>IF($V4964&lt;&gt;'設定'!$C$4,N(U4963),IF(OR(NOT(COUNTIF('商品マスタ'!$B$6:$B$1005,$W4964)=0),COUNTIFS('①在庫を貼る'!$V$6:$V$10005,$V4964,'①在庫を貼る'!$W$6:$W$10005,$W4964)&gt;0),N(U4963),N(U4963)+1))</f>
        <v/>
      </c>
      <c r="V4964" s="19">
        <f>IF($B4964="","",TEXT($B4964,"0000"))</f>
        <v/>
      </c>
      <c r="W4964" s="19">
        <f>IF($I4964="","",IF(ISNUMBER($I4964),TEXT($I4964,"0"),$I4964))</f>
        <v/>
      </c>
    </row>
    <row r="4965">
      <c r="B4965" s="25" t="n"/>
      <c r="I4965" s="25" t="n"/>
      <c r="U4965" s="19">
        <f>IF($V4965&lt;&gt;'設定'!$C$4,N(U4964),IF(OR(NOT(COUNTIF('商品マスタ'!$B$6:$B$1005,$W4965)=0),COUNTIFS('①在庫を貼る'!$V$6:$V$10005,$V4965,'①在庫を貼る'!$W$6:$W$10005,$W4965)&gt;0),N(U4964),N(U4964)+1))</f>
        <v/>
      </c>
      <c r="V4965" s="19">
        <f>IF($B4965="","",TEXT($B4965,"0000"))</f>
        <v/>
      </c>
      <c r="W4965" s="19">
        <f>IF($I4965="","",IF(ISNUMBER($I4965),TEXT($I4965,"0"),$I4965))</f>
        <v/>
      </c>
    </row>
    <row r="4966">
      <c r="B4966" s="25" t="n"/>
      <c r="I4966" s="25" t="n"/>
      <c r="U4966" s="19">
        <f>IF($V4966&lt;&gt;'設定'!$C$4,N(U4965),IF(OR(NOT(COUNTIF('商品マスタ'!$B$6:$B$1005,$W4966)=0),COUNTIFS('①在庫を貼る'!$V$6:$V$10005,$V4966,'①在庫を貼る'!$W$6:$W$10005,$W4966)&gt;0),N(U4965),N(U4965)+1))</f>
        <v/>
      </c>
      <c r="V4966" s="19">
        <f>IF($B4966="","",TEXT($B4966,"0000"))</f>
        <v/>
      </c>
      <c r="W4966" s="19">
        <f>IF($I4966="","",IF(ISNUMBER($I4966),TEXT($I4966,"0"),$I4966))</f>
        <v/>
      </c>
    </row>
    <row r="4967">
      <c r="B4967" s="25" t="n"/>
      <c r="I4967" s="25" t="n"/>
      <c r="U4967" s="19">
        <f>IF($V4967&lt;&gt;'設定'!$C$4,N(U4966),IF(OR(NOT(COUNTIF('商品マスタ'!$B$6:$B$1005,$W4967)=0),COUNTIFS('①在庫を貼る'!$V$6:$V$10005,$V4967,'①在庫を貼る'!$W$6:$W$10005,$W4967)&gt;0),N(U4966),N(U4966)+1))</f>
        <v/>
      </c>
      <c r="V4967" s="19">
        <f>IF($B4967="","",TEXT($B4967,"0000"))</f>
        <v/>
      </c>
      <c r="W4967" s="19">
        <f>IF($I4967="","",IF(ISNUMBER($I4967),TEXT($I4967,"0"),$I4967))</f>
        <v/>
      </c>
    </row>
    <row r="4968">
      <c r="B4968" s="25" t="n"/>
      <c r="I4968" s="25" t="n"/>
      <c r="U4968" s="19">
        <f>IF($V4968&lt;&gt;'設定'!$C$4,N(U4967),IF(OR(NOT(COUNTIF('商品マスタ'!$B$6:$B$1005,$W4968)=0),COUNTIFS('①在庫を貼る'!$V$6:$V$10005,$V4968,'①在庫を貼る'!$W$6:$W$10005,$W4968)&gt;0),N(U4967),N(U4967)+1))</f>
        <v/>
      </c>
      <c r="V4968" s="19">
        <f>IF($B4968="","",TEXT($B4968,"0000"))</f>
        <v/>
      </c>
      <c r="W4968" s="19">
        <f>IF($I4968="","",IF(ISNUMBER($I4968),TEXT($I4968,"0"),$I4968))</f>
        <v/>
      </c>
    </row>
    <row r="4969">
      <c r="B4969" s="25" t="n"/>
      <c r="I4969" s="25" t="n"/>
      <c r="U4969" s="19">
        <f>IF($V4969&lt;&gt;'設定'!$C$4,N(U4968),IF(OR(NOT(COUNTIF('商品マスタ'!$B$6:$B$1005,$W4969)=0),COUNTIFS('①在庫を貼る'!$V$6:$V$10005,$V4969,'①在庫を貼る'!$W$6:$W$10005,$W4969)&gt;0),N(U4968),N(U4968)+1))</f>
        <v/>
      </c>
      <c r="V4969" s="19">
        <f>IF($B4969="","",TEXT($B4969,"0000"))</f>
        <v/>
      </c>
      <c r="W4969" s="19">
        <f>IF($I4969="","",IF(ISNUMBER($I4969),TEXT($I4969,"0"),$I4969))</f>
        <v/>
      </c>
    </row>
    <row r="4970">
      <c r="B4970" s="25" t="n"/>
      <c r="I4970" s="25" t="n"/>
      <c r="U4970" s="19">
        <f>IF($V4970&lt;&gt;'設定'!$C$4,N(U4969),IF(OR(NOT(COUNTIF('商品マスタ'!$B$6:$B$1005,$W4970)=0),COUNTIFS('①在庫を貼る'!$V$6:$V$10005,$V4970,'①在庫を貼る'!$W$6:$W$10005,$W4970)&gt;0),N(U4969),N(U4969)+1))</f>
        <v/>
      </c>
      <c r="V4970" s="19">
        <f>IF($B4970="","",TEXT($B4970,"0000"))</f>
        <v/>
      </c>
      <c r="W4970" s="19">
        <f>IF($I4970="","",IF(ISNUMBER($I4970),TEXT($I4970,"0"),$I4970))</f>
        <v/>
      </c>
    </row>
    <row r="4971">
      <c r="B4971" s="25" t="n"/>
      <c r="I4971" s="25" t="n"/>
      <c r="U4971" s="19">
        <f>IF($V4971&lt;&gt;'設定'!$C$4,N(U4970),IF(OR(NOT(COUNTIF('商品マスタ'!$B$6:$B$1005,$W4971)=0),COUNTIFS('①在庫を貼る'!$V$6:$V$10005,$V4971,'①在庫を貼る'!$W$6:$W$10005,$W4971)&gt;0),N(U4970),N(U4970)+1))</f>
        <v/>
      </c>
      <c r="V4971" s="19">
        <f>IF($B4971="","",TEXT($B4971,"0000"))</f>
        <v/>
      </c>
      <c r="W4971" s="19">
        <f>IF($I4971="","",IF(ISNUMBER($I4971),TEXT($I4971,"0"),$I4971))</f>
        <v/>
      </c>
    </row>
    <row r="4972">
      <c r="B4972" s="25" t="n"/>
      <c r="I4972" s="25" t="n"/>
      <c r="U4972" s="19">
        <f>IF($V4972&lt;&gt;'設定'!$C$4,N(U4971),IF(OR(NOT(COUNTIF('商品マスタ'!$B$6:$B$1005,$W4972)=0),COUNTIFS('①在庫を貼る'!$V$6:$V$10005,$V4972,'①在庫を貼る'!$W$6:$W$10005,$W4972)&gt;0),N(U4971),N(U4971)+1))</f>
        <v/>
      </c>
      <c r="V4972" s="19">
        <f>IF($B4972="","",TEXT($B4972,"0000"))</f>
        <v/>
      </c>
      <c r="W4972" s="19">
        <f>IF($I4972="","",IF(ISNUMBER($I4972),TEXT($I4972,"0"),$I4972))</f>
        <v/>
      </c>
    </row>
    <row r="4973">
      <c r="B4973" s="25" t="n"/>
      <c r="I4973" s="25" t="n"/>
      <c r="U4973" s="19">
        <f>IF($V4973&lt;&gt;'設定'!$C$4,N(U4972),IF(OR(NOT(COUNTIF('商品マスタ'!$B$6:$B$1005,$W4973)=0),COUNTIFS('①在庫を貼る'!$V$6:$V$10005,$V4973,'①在庫を貼る'!$W$6:$W$10005,$W4973)&gt;0),N(U4972),N(U4972)+1))</f>
        <v/>
      </c>
      <c r="V4973" s="19">
        <f>IF($B4973="","",TEXT($B4973,"0000"))</f>
        <v/>
      </c>
      <c r="W4973" s="19">
        <f>IF($I4973="","",IF(ISNUMBER($I4973),TEXT($I4973,"0"),$I4973))</f>
        <v/>
      </c>
    </row>
    <row r="4974">
      <c r="B4974" s="25" t="n"/>
      <c r="I4974" s="25" t="n"/>
      <c r="U4974" s="19">
        <f>IF($V4974&lt;&gt;'設定'!$C$4,N(U4973),IF(OR(NOT(COUNTIF('商品マスタ'!$B$6:$B$1005,$W4974)=0),COUNTIFS('①在庫を貼る'!$V$6:$V$10005,$V4974,'①在庫を貼る'!$W$6:$W$10005,$W4974)&gt;0),N(U4973),N(U4973)+1))</f>
        <v/>
      </c>
      <c r="V4974" s="19">
        <f>IF($B4974="","",TEXT($B4974,"0000"))</f>
        <v/>
      </c>
      <c r="W4974" s="19">
        <f>IF($I4974="","",IF(ISNUMBER($I4974),TEXT($I4974,"0"),$I4974))</f>
        <v/>
      </c>
    </row>
    <row r="4975">
      <c r="B4975" s="25" t="n"/>
      <c r="I4975" s="25" t="n"/>
      <c r="U4975" s="19">
        <f>IF($V4975&lt;&gt;'設定'!$C$4,N(U4974),IF(OR(NOT(COUNTIF('商品マスタ'!$B$6:$B$1005,$W4975)=0),COUNTIFS('①在庫を貼る'!$V$6:$V$10005,$V4975,'①在庫を貼る'!$W$6:$W$10005,$W4975)&gt;0),N(U4974),N(U4974)+1))</f>
        <v/>
      </c>
      <c r="V4975" s="19">
        <f>IF($B4975="","",TEXT($B4975,"0000"))</f>
        <v/>
      </c>
      <c r="W4975" s="19">
        <f>IF($I4975="","",IF(ISNUMBER($I4975),TEXT($I4975,"0"),$I4975))</f>
        <v/>
      </c>
    </row>
    <row r="4976">
      <c r="B4976" s="25" t="n"/>
      <c r="I4976" s="25" t="n"/>
      <c r="U4976" s="19">
        <f>IF($V4976&lt;&gt;'設定'!$C$4,N(U4975),IF(OR(NOT(COUNTIF('商品マスタ'!$B$6:$B$1005,$W4976)=0),COUNTIFS('①在庫を貼る'!$V$6:$V$10005,$V4976,'①在庫を貼る'!$W$6:$W$10005,$W4976)&gt;0),N(U4975),N(U4975)+1))</f>
        <v/>
      </c>
      <c r="V4976" s="19">
        <f>IF($B4976="","",TEXT($B4976,"0000"))</f>
        <v/>
      </c>
      <c r="W4976" s="19">
        <f>IF($I4976="","",IF(ISNUMBER($I4976),TEXT($I4976,"0"),$I4976))</f>
        <v/>
      </c>
    </row>
    <row r="4977">
      <c r="B4977" s="25" t="n"/>
      <c r="I4977" s="25" t="n"/>
      <c r="U4977" s="19">
        <f>IF($V4977&lt;&gt;'設定'!$C$4,N(U4976),IF(OR(NOT(COUNTIF('商品マスタ'!$B$6:$B$1005,$W4977)=0),COUNTIFS('①在庫を貼る'!$V$6:$V$10005,$V4977,'①在庫を貼る'!$W$6:$W$10005,$W4977)&gt;0),N(U4976),N(U4976)+1))</f>
        <v/>
      </c>
      <c r="V4977" s="19">
        <f>IF($B4977="","",TEXT($B4977,"0000"))</f>
        <v/>
      </c>
      <c r="W4977" s="19">
        <f>IF($I4977="","",IF(ISNUMBER($I4977),TEXT($I4977,"0"),$I4977))</f>
        <v/>
      </c>
    </row>
    <row r="4978">
      <c r="B4978" s="25" t="n"/>
      <c r="I4978" s="25" t="n"/>
      <c r="U4978" s="19">
        <f>IF($V4978&lt;&gt;'設定'!$C$4,N(U4977),IF(OR(NOT(COUNTIF('商品マスタ'!$B$6:$B$1005,$W4978)=0),COUNTIFS('①在庫を貼る'!$V$6:$V$10005,$V4978,'①在庫を貼る'!$W$6:$W$10005,$W4978)&gt;0),N(U4977),N(U4977)+1))</f>
        <v/>
      </c>
      <c r="V4978" s="19">
        <f>IF($B4978="","",TEXT($B4978,"0000"))</f>
        <v/>
      </c>
      <c r="W4978" s="19">
        <f>IF($I4978="","",IF(ISNUMBER($I4978),TEXT($I4978,"0"),$I4978))</f>
        <v/>
      </c>
    </row>
    <row r="4979">
      <c r="B4979" s="25" t="n"/>
      <c r="I4979" s="25" t="n"/>
      <c r="U4979" s="19">
        <f>IF($V4979&lt;&gt;'設定'!$C$4,N(U4978),IF(OR(NOT(COUNTIF('商品マスタ'!$B$6:$B$1005,$W4979)=0),COUNTIFS('①在庫を貼る'!$V$6:$V$10005,$V4979,'①在庫を貼る'!$W$6:$W$10005,$W4979)&gt;0),N(U4978),N(U4978)+1))</f>
        <v/>
      </c>
      <c r="V4979" s="19">
        <f>IF($B4979="","",TEXT($B4979,"0000"))</f>
        <v/>
      </c>
      <c r="W4979" s="19">
        <f>IF($I4979="","",IF(ISNUMBER($I4979),TEXT($I4979,"0"),$I4979))</f>
        <v/>
      </c>
    </row>
    <row r="4980">
      <c r="B4980" s="25" t="n"/>
      <c r="I4980" s="25" t="n"/>
      <c r="U4980" s="19">
        <f>IF($V4980&lt;&gt;'設定'!$C$4,N(U4979),IF(OR(NOT(COUNTIF('商品マスタ'!$B$6:$B$1005,$W4980)=0),COUNTIFS('①在庫を貼る'!$V$6:$V$10005,$V4980,'①在庫を貼る'!$W$6:$W$10005,$W4980)&gt;0),N(U4979),N(U4979)+1))</f>
        <v/>
      </c>
      <c r="V4980" s="19">
        <f>IF($B4980="","",TEXT($B4980,"0000"))</f>
        <v/>
      </c>
      <c r="W4980" s="19">
        <f>IF($I4980="","",IF(ISNUMBER($I4980),TEXT($I4980,"0"),$I4980))</f>
        <v/>
      </c>
    </row>
    <row r="4981">
      <c r="B4981" s="25" t="n"/>
      <c r="I4981" s="25" t="n"/>
      <c r="U4981" s="19">
        <f>IF($V4981&lt;&gt;'設定'!$C$4,N(U4980),IF(OR(NOT(COUNTIF('商品マスタ'!$B$6:$B$1005,$W4981)=0),COUNTIFS('①在庫を貼る'!$V$6:$V$10005,$V4981,'①在庫を貼る'!$W$6:$W$10005,$W4981)&gt;0),N(U4980),N(U4980)+1))</f>
        <v/>
      </c>
      <c r="V4981" s="19">
        <f>IF($B4981="","",TEXT($B4981,"0000"))</f>
        <v/>
      </c>
      <c r="W4981" s="19">
        <f>IF($I4981="","",IF(ISNUMBER($I4981),TEXT($I4981,"0"),$I4981))</f>
        <v/>
      </c>
    </row>
    <row r="4982">
      <c r="B4982" s="25" t="n"/>
      <c r="I4982" s="25" t="n"/>
      <c r="U4982" s="19">
        <f>IF($V4982&lt;&gt;'設定'!$C$4,N(U4981),IF(OR(NOT(COUNTIF('商品マスタ'!$B$6:$B$1005,$W4982)=0),COUNTIFS('①在庫を貼る'!$V$6:$V$10005,$V4982,'①在庫を貼る'!$W$6:$W$10005,$W4982)&gt;0),N(U4981),N(U4981)+1))</f>
        <v/>
      </c>
      <c r="V4982" s="19">
        <f>IF($B4982="","",TEXT($B4982,"0000"))</f>
        <v/>
      </c>
      <c r="W4982" s="19">
        <f>IF($I4982="","",IF(ISNUMBER($I4982),TEXT($I4982,"0"),$I4982))</f>
        <v/>
      </c>
    </row>
    <row r="4983">
      <c r="B4983" s="25" t="n"/>
      <c r="I4983" s="25" t="n"/>
      <c r="U4983" s="19">
        <f>IF($V4983&lt;&gt;'設定'!$C$4,N(U4982),IF(OR(NOT(COUNTIF('商品マスタ'!$B$6:$B$1005,$W4983)=0),COUNTIFS('①在庫を貼る'!$V$6:$V$10005,$V4983,'①在庫を貼る'!$W$6:$W$10005,$W4983)&gt;0),N(U4982),N(U4982)+1))</f>
        <v/>
      </c>
      <c r="V4983" s="19">
        <f>IF($B4983="","",TEXT($B4983,"0000"))</f>
        <v/>
      </c>
      <c r="W4983" s="19">
        <f>IF($I4983="","",IF(ISNUMBER($I4983),TEXT($I4983,"0"),$I4983))</f>
        <v/>
      </c>
    </row>
    <row r="4984">
      <c r="B4984" s="25" t="n"/>
      <c r="I4984" s="25" t="n"/>
      <c r="U4984" s="19">
        <f>IF($V4984&lt;&gt;'設定'!$C$4,N(U4983),IF(OR(NOT(COUNTIF('商品マスタ'!$B$6:$B$1005,$W4984)=0),COUNTIFS('①在庫を貼る'!$V$6:$V$10005,$V4984,'①在庫を貼る'!$W$6:$W$10005,$W4984)&gt;0),N(U4983),N(U4983)+1))</f>
        <v/>
      </c>
      <c r="V4984" s="19">
        <f>IF($B4984="","",TEXT($B4984,"0000"))</f>
        <v/>
      </c>
      <c r="W4984" s="19">
        <f>IF($I4984="","",IF(ISNUMBER($I4984),TEXT($I4984,"0"),$I4984))</f>
        <v/>
      </c>
    </row>
    <row r="4985">
      <c r="B4985" s="25" t="n"/>
      <c r="I4985" s="25" t="n"/>
      <c r="U4985" s="19">
        <f>IF($V4985&lt;&gt;'設定'!$C$4,N(U4984),IF(OR(NOT(COUNTIF('商品マスタ'!$B$6:$B$1005,$W4985)=0),COUNTIFS('①在庫を貼る'!$V$6:$V$10005,$V4985,'①在庫を貼る'!$W$6:$W$10005,$W4985)&gt;0),N(U4984),N(U4984)+1))</f>
        <v/>
      </c>
      <c r="V4985" s="19">
        <f>IF($B4985="","",TEXT($B4985,"0000"))</f>
        <v/>
      </c>
      <c r="W4985" s="19">
        <f>IF($I4985="","",IF(ISNUMBER($I4985),TEXT($I4985,"0"),$I4985))</f>
        <v/>
      </c>
    </row>
    <row r="4986">
      <c r="B4986" s="25" t="n"/>
      <c r="I4986" s="25" t="n"/>
      <c r="U4986" s="19">
        <f>IF($V4986&lt;&gt;'設定'!$C$4,N(U4985),IF(OR(NOT(COUNTIF('商品マスタ'!$B$6:$B$1005,$W4986)=0),COUNTIFS('①在庫を貼る'!$V$6:$V$10005,$V4986,'①在庫を貼る'!$W$6:$W$10005,$W4986)&gt;0),N(U4985),N(U4985)+1))</f>
        <v/>
      </c>
      <c r="V4986" s="19">
        <f>IF($B4986="","",TEXT($B4986,"0000"))</f>
        <v/>
      </c>
      <c r="W4986" s="19">
        <f>IF($I4986="","",IF(ISNUMBER($I4986),TEXT($I4986,"0"),$I4986))</f>
        <v/>
      </c>
    </row>
    <row r="4987">
      <c r="B4987" s="25" t="n"/>
      <c r="I4987" s="25" t="n"/>
      <c r="U4987" s="19">
        <f>IF($V4987&lt;&gt;'設定'!$C$4,N(U4986),IF(OR(NOT(COUNTIF('商品マスタ'!$B$6:$B$1005,$W4987)=0),COUNTIFS('①在庫を貼る'!$V$6:$V$10005,$V4987,'①在庫を貼る'!$W$6:$W$10005,$W4987)&gt;0),N(U4986),N(U4986)+1))</f>
        <v/>
      </c>
      <c r="V4987" s="19">
        <f>IF($B4987="","",TEXT($B4987,"0000"))</f>
        <v/>
      </c>
      <c r="W4987" s="19">
        <f>IF($I4987="","",IF(ISNUMBER($I4987),TEXT($I4987,"0"),$I4987))</f>
        <v/>
      </c>
    </row>
    <row r="4988">
      <c r="B4988" s="25" t="n"/>
      <c r="I4988" s="25" t="n"/>
      <c r="U4988" s="19">
        <f>IF($V4988&lt;&gt;'設定'!$C$4,N(U4987),IF(OR(NOT(COUNTIF('商品マスタ'!$B$6:$B$1005,$W4988)=0),COUNTIFS('①在庫を貼る'!$V$6:$V$10005,$V4988,'①在庫を貼る'!$W$6:$W$10005,$W4988)&gt;0),N(U4987),N(U4987)+1))</f>
        <v/>
      </c>
      <c r="V4988" s="19">
        <f>IF($B4988="","",TEXT($B4988,"0000"))</f>
        <v/>
      </c>
      <c r="W4988" s="19">
        <f>IF($I4988="","",IF(ISNUMBER($I4988),TEXT($I4988,"0"),$I4988))</f>
        <v/>
      </c>
    </row>
    <row r="4989">
      <c r="B4989" s="25" t="n"/>
      <c r="I4989" s="25" t="n"/>
      <c r="U4989" s="19">
        <f>IF($V4989&lt;&gt;'設定'!$C$4,N(U4988),IF(OR(NOT(COUNTIF('商品マスタ'!$B$6:$B$1005,$W4989)=0),COUNTIFS('①在庫を貼る'!$V$6:$V$10005,$V4989,'①在庫を貼る'!$W$6:$W$10005,$W4989)&gt;0),N(U4988),N(U4988)+1))</f>
        <v/>
      </c>
      <c r="V4989" s="19">
        <f>IF($B4989="","",TEXT($B4989,"0000"))</f>
        <v/>
      </c>
      <c r="W4989" s="19">
        <f>IF($I4989="","",IF(ISNUMBER($I4989),TEXT($I4989,"0"),$I4989))</f>
        <v/>
      </c>
    </row>
    <row r="4990">
      <c r="B4990" s="25" t="n"/>
      <c r="I4990" s="25" t="n"/>
      <c r="U4990" s="19">
        <f>IF($V4990&lt;&gt;'設定'!$C$4,N(U4989),IF(OR(NOT(COUNTIF('商品マスタ'!$B$6:$B$1005,$W4990)=0),COUNTIFS('①在庫を貼る'!$V$6:$V$10005,$V4990,'①在庫を貼る'!$W$6:$W$10005,$W4990)&gt;0),N(U4989),N(U4989)+1))</f>
        <v/>
      </c>
      <c r="V4990" s="19">
        <f>IF($B4990="","",TEXT($B4990,"0000"))</f>
        <v/>
      </c>
      <c r="W4990" s="19">
        <f>IF($I4990="","",IF(ISNUMBER($I4990),TEXT($I4990,"0"),$I4990))</f>
        <v/>
      </c>
    </row>
    <row r="4991">
      <c r="B4991" s="25" t="n"/>
      <c r="I4991" s="25" t="n"/>
      <c r="U4991" s="19">
        <f>IF($V4991&lt;&gt;'設定'!$C$4,N(U4990),IF(OR(NOT(COUNTIF('商品マスタ'!$B$6:$B$1005,$W4991)=0),COUNTIFS('①在庫を貼る'!$V$6:$V$10005,$V4991,'①在庫を貼る'!$W$6:$W$10005,$W4991)&gt;0),N(U4990),N(U4990)+1))</f>
        <v/>
      </c>
      <c r="V4991" s="19">
        <f>IF($B4991="","",TEXT($B4991,"0000"))</f>
        <v/>
      </c>
      <c r="W4991" s="19">
        <f>IF($I4991="","",IF(ISNUMBER($I4991),TEXT($I4991,"0"),$I4991))</f>
        <v/>
      </c>
    </row>
    <row r="4992">
      <c r="B4992" s="25" t="n"/>
      <c r="I4992" s="25" t="n"/>
      <c r="U4992" s="19">
        <f>IF($V4992&lt;&gt;'設定'!$C$4,N(U4991),IF(OR(NOT(COUNTIF('商品マスタ'!$B$6:$B$1005,$W4992)=0),COUNTIFS('①在庫を貼る'!$V$6:$V$10005,$V4992,'①在庫を貼る'!$W$6:$W$10005,$W4992)&gt;0),N(U4991),N(U4991)+1))</f>
        <v/>
      </c>
      <c r="V4992" s="19">
        <f>IF($B4992="","",TEXT($B4992,"0000"))</f>
        <v/>
      </c>
      <c r="W4992" s="19">
        <f>IF($I4992="","",IF(ISNUMBER($I4992),TEXT($I4992,"0"),$I4992))</f>
        <v/>
      </c>
    </row>
    <row r="4993">
      <c r="B4993" s="25" t="n"/>
      <c r="I4993" s="25" t="n"/>
      <c r="U4993" s="19">
        <f>IF($V4993&lt;&gt;'設定'!$C$4,N(U4992),IF(OR(NOT(COUNTIF('商品マスタ'!$B$6:$B$1005,$W4993)=0),COUNTIFS('①在庫を貼る'!$V$6:$V$10005,$V4993,'①在庫を貼る'!$W$6:$W$10005,$W4993)&gt;0),N(U4992),N(U4992)+1))</f>
        <v/>
      </c>
      <c r="V4993" s="19">
        <f>IF($B4993="","",TEXT($B4993,"0000"))</f>
        <v/>
      </c>
      <c r="W4993" s="19">
        <f>IF($I4993="","",IF(ISNUMBER($I4993),TEXT($I4993,"0"),$I4993))</f>
        <v/>
      </c>
    </row>
    <row r="4994">
      <c r="B4994" s="25" t="n"/>
      <c r="I4994" s="25" t="n"/>
      <c r="U4994" s="19">
        <f>IF($V4994&lt;&gt;'設定'!$C$4,N(U4993),IF(OR(NOT(COUNTIF('商品マスタ'!$B$6:$B$1005,$W4994)=0),COUNTIFS('①在庫を貼る'!$V$6:$V$10005,$V4994,'①在庫を貼る'!$W$6:$W$10005,$W4994)&gt;0),N(U4993),N(U4993)+1))</f>
        <v/>
      </c>
      <c r="V4994" s="19">
        <f>IF($B4994="","",TEXT($B4994,"0000"))</f>
        <v/>
      </c>
      <c r="W4994" s="19">
        <f>IF($I4994="","",IF(ISNUMBER($I4994),TEXT($I4994,"0"),$I4994))</f>
        <v/>
      </c>
    </row>
    <row r="4995">
      <c r="B4995" s="25" t="n"/>
      <c r="I4995" s="25" t="n"/>
      <c r="U4995" s="19">
        <f>IF($V4995&lt;&gt;'設定'!$C$4,N(U4994),IF(OR(NOT(COUNTIF('商品マスタ'!$B$6:$B$1005,$W4995)=0),COUNTIFS('①在庫を貼る'!$V$6:$V$10005,$V4995,'①在庫を貼る'!$W$6:$W$10005,$W4995)&gt;0),N(U4994),N(U4994)+1))</f>
        <v/>
      </c>
      <c r="V4995" s="19">
        <f>IF($B4995="","",TEXT($B4995,"0000"))</f>
        <v/>
      </c>
      <c r="W4995" s="19">
        <f>IF($I4995="","",IF(ISNUMBER($I4995),TEXT($I4995,"0"),$I4995))</f>
        <v/>
      </c>
    </row>
    <row r="4996">
      <c r="B4996" s="25" t="n"/>
      <c r="I4996" s="25" t="n"/>
      <c r="U4996" s="19">
        <f>IF($V4996&lt;&gt;'設定'!$C$4,N(U4995),IF(OR(NOT(COUNTIF('商品マスタ'!$B$6:$B$1005,$W4996)=0),COUNTIFS('①在庫を貼る'!$V$6:$V$10005,$V4996,'①在庫を貼る'!$W$6:$W$10005,$W4996)&gt;0),N(U4995),N(U4995)+1))</f>
        <v/>
      </c>
      <c r="V4996" s="19">
        <f>IF($B4996="","",TEXT($B4996,"0000"))</f>
        <v/>
      </c>
      <c r="W4996" s="19">
        <f>IF($I4996="","",IF(ISNUMBER($I4996),TEXT($I4996,"0"),$I4996))</f>
        <v/>
      </c>
    </row>
    <row r="4997">
      <c r="B4997" s="25" t="n"/>
      <c r="I4997" s="25" t="n"/>
      <c r="U4997" s="19">
        <f>IF($V4997&lt;&gt;'設定'!$C$4,N(U4996),IF(OR(NOT(COUNTIF('商品マスタ'!$B$6:$B$1005,$W4997)=0),COUNTIFS('①在庫を貼る'!$V$6:$V$10005,$V4997,'①在庫を貼る'!$W$6:$W$10005,$W4997)&gt;0),N(U4996),N(U4996)+1))</f>
        <v/>
      </c>
      <c r="V4997" s="19">
        <f>IF($B4997="","",TEXT($B4997,"0000"))</f>
        <v/>
      </c>
      <c r="W4997" s="19">
        <f>IF($I4997="","",IF(ISNUMBER($I4997),TEXT($I4997,"0"),$I4997))</f>
        <v/>
      </c>
    </row>
    <row r="4998">
      <c r="B4998" s="25" t="n"/>
      <c r="I4998" s="25" t="n"/>
      <c r="U4998" s="19">
        <f>IF($V4998&lt;&gt;'設定'!$C$4,N(U4997),IF(OR(NOT(COUNTIF('商品マスタ'!$B$6:$B$1005,$W4998)=0),COUNTIFS('①在庫を貼る'!$V$6:$V$10005,$V4998,'①在庫を貼る'!$W$6:$W$10005,$W4998)&gt;0),N(U4997),N(U4997)+1))</f>
        <v/>
      </c>
      <c r="V4998" s="19">
        <f>IF($B4998="","",TEXT($B4998,"0000"))</f>
        <v/>
      </c>
      <c r="W4998" s="19">
        <f>IF($I4998="","",IF(ISNUMBER($I4998),TEXT($I4998,"0"),$I4998))</f>
        <v/>
      </c>
    </row>
    <row r="4999">
      <c r="B4999" s="25" t="n"/>
      <c r="I4999" s="25" t="n"/>
      <c r="U4999" s="19">
        <f>IF($V4999&lt;&gt;'設定'!$C$4,N(U4998),IF(OR(NOT(COUNTIF('商品マスタ'!$B$6:$B$1005,$W4999)=0),COUNTIFS('①在庫を貼る'!$V$6:$V$10005,$V4999,'①在庫を貼る'!$W$6:$W$10005,$W4999)&gt;0),N(U4998),N(U4998)+1))</f>
        <v/>
      </c>
      <c r="V4999" s="19">
        <f>IF($B4999="","",TEXT($B4999,"0000"))</f>
        <v/>
      </c>
      <c r="W4999" s="19">
        <f>IF($I4999="","",IF(ISNUMBER($I4999),TEXT($I4999,"0"),$I4999))</f>
        <v/>
      </c>
    </row>
    <row r="5000">
      <c r="B5000" s="25" t="n"/>
      <c r="I5000" s="25" t="n"/>
      <c r="U5000" s="19">
        <f>IF($V5000&lt;&gt;'設定'!$C$4,N(U4999),IF(OR(NOT(COUNTIF('商品マスタ'!$B$6:$B$1005,$W5000)=0),COUNTIFS('①在庫を貼る'!$V$6:$V$10005,$V5000,'①在庫を貼る'!$W$6:$W$10005,$W5000)&gt;0),N(U4999),N(U4999)+1))</f>
        <v/>
      </c>
      <c r="V5000" s="19">
        <f>IF($B5000="","",TEXT($B5000,"0000"))</f>
        <v/>
      </c>
      <c r="W5000" s="19">
        <f>IF($I5000="","",IF(ISNUMBER($I5000),TEXT($I5000,"0"),$I5000))</f>
        <v/>
      </c>
    </row>
    <row r="5001">
      <c r="B5001" s="25" t="n"/>
      <c r="I5001" s="25" t="n"/>
      <c r="U5001" s="19">
        <f>IF($V5001&lt;&gt;'設定'!$C$4,N(U5000),IF(OR(NOT(COUNTIF('商品マスタ'!$B$6:$B$1005,$W5001)=0),COUNTIFS('①在庫を貼る'!$V$6:$V$10005,$V5001,'①在庫を貼る'!$W$6:$W$10005,$W5001)&gt;0),N(U5000),N(U5000)+1))</f>
        <v/>
      </c>
      <c r="V5001" s="19">
        <f>IF($B5001="","",TEXT($B5001,"0000"))</f>
        <v/>
      </c>
      <c r="W5001" s="19">
        <f>IF($I5001="","",IF(ISNUMBER($I5001),TEXT($I5001,"0"),$I5001))</f>
        <v/>
      </c>
    </row>
    <row r="5002">
      <c r="B5002" s="25" t="n"/>
      <c r="I5002" s="25" t="n"/>
      <c r="U5002" s="19">
        <f>IF($V5002&lt;&gt;'設定'!$C$4,N(U5001),IF(OR(NOT(COUNTIF('商品マスタ'!$B$6:$B$1005,$W5002)=0),COUNTIFS('①在庫を貼る'!$V$6:$V$10005,$V5002,'①在庫を貼る'!$W$6:$W$10005,$W5002)&gt;0),N(U5001),N(U5001)+1))</f>
        <v/>
      </c>
      <c r="V5002" s="19">
        <f>IF($B5002="","",TEXT($B5002,"0000"))</f>
        <v/>
      </c>
      <c r="W5002" s="19">
        <f>IF($I5002="","",IF(ISNUMBER($I5002),TEXT($I5002,"0"),$I5002))</f>
        <v/>
      </c>
    </row>
    <row r="5003">
      <c r="B5003" s="25" t="n"/>
      <c r="I5003" s="25" t="n"/>
      <c r="U5003" s="19">
        <f>IF($V5003&lt;&gt;'設定'!$C$4,N(U5002),IF(OR(NOT(COUNTIF('商品マスタ'!$B$6:$B$1005,$W5003)=0),COUNTIFS('①在庫を貼る'!$V$6:$V$10005,$V5003,'①在庫を貼る'!$W$6:$W$10005,$W5003)&gt;0),N(U5002),N(U5002)+1))</f>
        <v/>
      </c>
      <c r="V5003" s="19">
        <f>IF($B5003="","",TEXT($B5003,"0000"))</f>
        <v/>
      </c>
      <c r="W5003" s="19">
        <f>IF($I5003="","",IF(ISNUMBER($I5003),TEXT($I5003,"0"),$I5003))</f>
        <v/>
      </c>
    </row>
    <row r="5004">
      <c r="B5004" s="25" t="n"/>
      <c r="I5004" s="25" t="n"/>
      <c r="U5004" s="19">
        <f>IF($V5004&lt;&gt;'設定'!$C$4,N(U5003),IF(OR(NOT(COUNTIF('商品マスタ'!$B$6:$B$1005,$W5004)=0),COUNTIFS('①在庫を貼る'!$V$6:$V$10005,$V5004,'①在庫を貼る'!$W$6:$W$10005,$W5004)&gt;0),N(U5003),N(U5003)+1))</f>
        <v/>
      </c>
      <c r="V5004" s="19">
        <f>IF($B5004="","",TEXT($B5004,"0000"))</f>
        <v/>
      </c>
      <c r="W5004" s="19">
        <f>IF($I5004="","",IF(ISNUMBER($I5004),TEXT($I5004,"0"),$I5004))</f>
        <v/>
      </c>
    </row>
    <row r="5005">
      <c r="B5005" s="25" t="n"/>
      <c r="I5005" s="25" t="n"/>
      <c r="U5005" s="19">
        <f>IF($V5005&lt;&gt;'設定'!$C$4,N(U5004),IF(OR(NOT(COUNTIF('商品マスタ'!$B$6:$B$1005,$W5005)=0),COUNTIFS('①在庫を貼る'!$V$6:$V$10005,$V5005,'①在庫を貼る'!$W$6:$W$10005,$W5005)&gt;0),N(U5004),N(U5004)+1))</f>
        <v/>
      </c>
      <c r="V5005" s="19">
        <f>IF($B5005="","",TEXT($B5005,"0000"))</f>
        <v/>
      </c>
      <c r="W5005" s="19">
        <f>IF($I5005="","",IF(ISNUMBER($I5005),TEXT($I5005,"0"),$I5005))</f>
        <v/>
      </c>
    </row>
    <row r="5006">
      <c r="B5006" s="25" t="n"/>
      <c r="I5006" s="25" t="n"/>
      <c r="U5006" s="19">
        <f>IF($V5006&lt;&gt;'設定'!$C$4,N(U5005),IF(OR(NOT(COUNTIF('商品マスタ'!$B$6:$B$1005,$W5006)=0),COUNTIFS('①在庫を貼る'!$V$6:$V$10005,$V5006,'①在庫を貼る'!$W$6:$W$10005,$W5006)&gt;0),N(U5005),N(U5005)+1))</f>
        <v/>
      </c>
      <c r="V5006" s="19">
        <f>IF($B5006="","",TEXT($B5006,"0000"))</f>
        <v/>
      </c>
      <c r="W5006" s="19">
        <f>IF($I5006="","",IF(ISNUMBER($I5006),TEXT($I5006,"0"),$I5006))</f>
        <v/>
      </c>
    </row>
    <row r="5007">
      <c r="B5007" s="25" t="n"/>
      <c r="I5007" s="25" t="n"/>
      <c r="U5007" s="19">
        <f>IF($V5007&lt;&gt;'設定'!$C$4,N(U5006),IF(OR(NOT(COUNTIF('商品マスタ'!$B$6:$B$1005,$W5007)=0),COUNTIFS('①在庫を貼る'!$V$6:$V$10005,$V5007,'①在庫を貼る'!$W$6:$W$10005,$W5007)&gt;0),N(U5006),N(U5006)+1))</f>
        <v/>
      </c>
      <c r="V5007" s="19">
        <f>IF($B5007="","",TEXT($B5007,"0000"))</f>
        <v/>
      </c>
      <c r="W5007" s="19">
        <f>IF($I5007="","",IF(ISNUMBER($I5007),TEXT($I5007,"0"),$I5007))</f>
        <v/>
      </c>
    </row>
    <row r="5008">
      <c r="B5008" s="25" t="n"/>
      <c r="I5008" s="25" t="n"/>
      <c r="U5008" s="19">
        <f>IF($V5008&lt;&gt;'設定'!$C$4,N(U5007),IF(OR(NOT(COUNTIF('商品マスタ'!$B$6:$B$1005,$W5008)=0),COUNTIFS('①在庫を貼る'!$V$6:$V$10005,$V5008,'①在庫を貼る'!$W$6:$W$10005,$W5008)&gt;0),N(U5007),N(U5007)+1))</f>
        <v/>
      </c>
      <c r="V5008" s="19">
        <f>IF($B5008="","",TEXT($B5008,"0000"))</f>
        <v/>
      </c>
      <c r="W5008" s="19">
        <f>IF($I5008="","",IF(ISNUMBER($I5008),TEXT($I5008,"0"),$I5008))</f>
        <v/>
      </c>
    </row>
    <row r="5009">
      <c r="B5009" s="25" t="n"/>
      <c r="I5009" s="25" t="n"/>
      <c r="U5009" s="19">
        <f>IF($V5009&lt;&gt;'設定'!$C$4,N(U5008),IF(OR(NOT(COUNTIF('商品マスタ'!$B$6:$B$1005,$W5009)=0),COUNTIFS('①在庫を貼る'!$V$6:$V$10005,$V5009,'①在庫を貼る'!$W$6:$W$10005,$W5009)&gt;0),N(U5008),N(U5008)+1))</f>
        <v/>
      </c>
      <c r="V5009" s="19">
        <f>IF($B5009="","",TEXT($B5009,"0000"))</f>
        <v/>
      </c>
      <c r="W5009" s="19">
        <f>IF($I5009="","",IF(ISNUMBER($I5009),TEXT($I5009,"0"),$I5009))</f>
        <v/>
      </c>
    </row>
    <row r="5010">
      <c r="B5010" s="25" t="n"/>
      <c r="I5010" s="25" t="n"/>
      <c r="U5010" s="19">
        <f>IF($V5010&lt;&gt;'設定'!$C$4,N(U5009),IF(OR(NOT(COUNTIF('商品マスタ'!$B$6:$B$1005,$W5010)=0),COUNTIFS('①在庫を貼る'!$V$6:$V$10005,$V5010,'①在庫を貼る'!$W$6:$W$10005,$W5010)&gt;0),N(U5009),N(U5009)+1))</f>
        <v/>
      </c>
      <c r="V5010" s="19">
        <f>IF($B5010="","",TEXT($B5010,"0000"))</f>
        <v/>
      </c>
      <c r="W5010" s="19">
        <f>IF($I5010="","",IF(ISNUMBER($I5010),TEXT($I5010,"0"),$I5010))</f>
        <v/>
      </c>
    </row>
    <row r="5011">
      <c r="B5011" s="25" t="n"/>
      <c r="I5011" s="25" t="n"/>
      <c r="U5011" s="19">
        <f>IF($V5011&lt;&gt;'設定'!$C$4,N(U5010),IF(OR(NOT(COUNTIF('商品マスタ'!$B$6:$B$1005,$W5011)=0),COUNTIFS('①在庫を貼る'!$V$6:$V$10005,$V5011,'①在庫を貼る'!$W$6:$W$10005,$W5011)&gt;0),N(U5010),N(U5010)+1))</f>
        <v/>
      </c>
      <c r="V5011" s="19">
        <f>IF($B5011="","",TEXT($B5011,"0000"))</f>
        <v/>
      </c>
      <c r="W5011" s="19">
        <f>IF($I5011="","",IF(ISNUMBER($I5011),TEXT($I5011,"0"),$I5011))</f>
        <v/>
      </c>
    </row>
    <row r="5012">
      <c r="B5012" s="25" t="n"/>
      <c r="I5012" s="25" t="n"/>
      <c r="U5012" s="19">
        <f>IF($V5012&lt;&gt;'設定'!$C$4,N(U5011),IF(OR(NOT(COUNTIF('商品マスタ'!$B$6:$B$1005,$W5012)=0),COUNTIFS('①在庫を貼る'!$V$6:$V$10005,$V5012,'①在庫を貼る'!$W$6:$W$10005,$W5012)&gt;0),N(U5011),N(U5011)+1))</f>
        <v/>
      </c>
      <c r="V5012" s="19">
        <f>IF($B5012="","",TEXT($B5012,"0000"))</f>
        <v/>
      </c>
      <c r="W5012" s="19">
        <f>IF($I5012="","",IF(ISNUMBER($I5012),TEXT($I5012,"0"),$I5012))</f>
        <v/>
      </c>
    </row>
    <row r="5013">
      <c r="B5013" s="25" t="n"/>
      <c r="I5013" s="25" t="n"/>
      <c r="U5013" s="19">
        <f>IF($V5013&lt;&gt;'設定'!$C$4,N(U5012),IF(OR(NOT(COUNTIF('商品マスタ'!$B$6:$B$1005,$W5013)=0),COUNTIFS('①在庫を貼る'!$V$6:$V$10005,$V5013,'①在庫を貼る'!$W$6:$W$10005,$W5013)&gt;0),N(U5012),N(U5012)+1))</f>
        <v/>
      </c>
      <c r="V5013" s="19">
        <f>IF($B5013="","",TEXT($B5013,"0000"))</f>
        <v/>
      </c>
      <c r="W5013" s="19">
        <f>IF($I5013="","",IF(ISNUMBER($I5013),TEXT($I5013,"0"),$I5013))</f>
        <v/>
      </c>
    </row>
    <row r="5014">
      <c r="B5014" s="25" t="n"/>
      <c r="I5014" s="25" t="n"/>
      <c r="U5014" s="19">
        <f>IF($V5014&lt;&gt;'設定'!$C$4,N(U5013),IF(OR(NOT(COUNTIF('商品マスタ'!$B$6:$B$1005,$W5014)=0),COUNTIFS('①在庫を貼る'!$V$6:$V$10005,$V5014,'①在庫を貼る'!$W$6:$W$10005,$W5014)&gt;0),N(U5013),N(U5013)+1))</f>
        <v/>
      </c>
      <c r="V5014" s="19">
        <f>IF($B5014="","",TEXT($B5014,"0000"))</f>
        <v/>
      </c>
      <c r="W5014" s="19">
        <f>IF($I5014="","",IF(ISNUMBER($I5014),TEXT($I5014,"0"),$I5014))</f>
        <v/>
      </c>
    </row>
    <row r="5015">
      <c r="B5015" s="25" t="n"/>
      <c r="I5015" s="25" t="n"/>
      <c r="U5015" s="19">
        <f>IF($V5015&lt;&gt;'設定'!$C$4,N(U5014),IF(OR(NOT(COUNTIF('商品マスタ'!$B$6:$B$1005,$W5015)=0),COUNTIFS('①在庫を貼る'!$V$6:$V$10005,$V5015,'①在庫を貼る'!$W$6:$W$10005,$W5015)&gt;0),N(U5014),N(U5014)+1))</f>
        <v/>
      </c>
      <c r="V5015" s="19">
        <f>IF($B5015="","",TEXT($B5015,"0000"))</f>
        <v/>
      </c>
      <c r="W5015" s="19">
        <f>IF($I5015="","",IF(ISNUMBER($I5015),TEXT($I5015,"0"),$I5015))</f>
        <v/>
      </c>
    </row>
    <row r="5016">
      <c r="B5016" s="25" t="n"/>
      <c r="I5016" s="25" t="n"/>
      <c r="U5016" s="19">
        <f>IF($V5016&lt;&gt;'設定'!$C$4,N(U5015),IF(OR(NOT(COUNTIF('商品マスタ'!$B$6:$B$1005,$W5016)=0),COUNTIFS('①在庫を貼る'!$V$6:$V$10005,$V5016,'①在庫を貼る'!$W$6:$W$10005,$W5016)&gt;0),N(U5015),N(U5015)+1))</f>
        <v/>
      </c>
      <c r="V5016" s="19">
        <f>IF($B5016="","",TEXT($B5016,"0000"))</f>
        <v/>
      </c>
      <c r="W5016" s="19">
        <f>IF($I5016="","",IF(ISNUMBER($I5016),TEXT($I5016,"0"),$I5016))</f>
        <v/>
      </c>
    </row>
    <row r="5017">
      <c r="B5017" s="25" t="n"/>
      <c r="I5017" s="25" t="n"/>
      <c r="U5017" s="19">
        <f>IF($V5017&lt;&gt;'設定'!$C$4,N(U5016),IF(OR(NOT(COUNTIF('商品マスタ'!$B$6:$B$1005,$W5017)=0),COUNTIFS('①在庫を貼る'!$V$6:$V$10005,$V5017,'①在庫を貼る'!$W$6:$W$10005,$W5017)&gt;0),N(U5016),N(U5016)+1))</f>
        <v/>
      </c>
      <c r="V5017" s="19">
        <f>IF($B5017="","",TEXT($B5017,"0000"))</f>
        <v/>
      </c>
      <c r="W5017" s="19">
        <f>IF($I5017="","",IF(ISNUMBER($I5017),TEXT($I5017,"0"),$I5017))</f>
        <v/>
      </c>
    </row>
    <row r="5018">
      <c r="B5018" s="25" t="n"/>
      <c r="I5018" s="25" t="n"/>
      <c r="U5018" s="19">
        <f>IF($V5018&lt;&gt;'設定'!$C$4,N(U5017),IF(OR(NOT(COUNTIF('商品マスタ'!$B$6:$B$1005,$W5018)=0),COUNTIFS('①在庫を貼る'!$V$6:$V$10005,$V5018,'①在庫を貼る'!$W$6:$W$10005,$W5018)&gt;0),N(U5017),N(U5017)+1))</f>
        <v/>
      </c>
      <c r="V5018" s="19">
        <f>IF($B5018="","",TEXT($B5018,"0000"))</f>
        <v/>
      </c>
      <c r="W5018" s="19">
        <f>IF($I5018="","",IF(ISNUMBER($I5018),TEXT($I5018,"0"),$I5018))</f>
        <v/>
      </c>
    </row>
    <row r="5019">
      <c r="B5019" s="25" t="n"/>
      <c r="I5019" s="25" t="n"/>
      <c r="U5019" s="19">
        <f>IF($V5019&lt;&gt;'設定'!$C$4,N(U5018),IF(OR(NOT(COUNTIF('商品マスタ'!$B$6:$B$1005,$W5019)=0),COUNTIFS('①在庫を貼る'!$V$6:$V$10005,$V5019,'①在庫を貼る'!$W$6:$W$10005,$W5019)&gt;0),N(U5018),N(U5018)+1))</f>
        <v/>
      </c>
      <c r="V5019" s="19">
        <f>IF($B5019="","",TEXT($B5019,"0000"))</f>
        <v/>
      </c>
      <c r="W5019" s="19">
        <f>IF($I5019="","",IF(ISNUMBER($I5019),TEXT($I5019,"0"),$I5019))</f>
        <v/>
      </c>
    </row>
    <row r="5020">
      <c r="B5020" s="25" t="n"/>
      <c r="I5020" s="25" t="n"/>
      <c r="U5020" s="19">
        <f>IF($V5020&lt;&gt;'設定'!$C$4,N(U5019),IF(OR(NOT(COUNTIF('商品マスタ'!$B$6:$B$1005,$W5020)=0),COUNTIFS('①在庫を貼る'!$V$6:$V$10005,$V5020,'①在庫を貼る'!$W$6:$W$10005,$W5020)&gt;0),N(U5019),N(U5019)+1))</f>
        <v/>
      </c>
      <c r="V5020" s="19">
        <f>IF($B5020="","",TEXT($B5020,"0000"))</f>
        <v/>
      </c>
      <c r="W5020" s="19">
        <f>IF($I5020="","",IF(ISNUMBER($I5020),TEXT($I5020,"0"),$I5020))</f>
        <v/>
      </c>
    </row>
    <row r="5021">
      <c r="B5021" s="25" t="n"/>
      <c r="I5021" s="25" t="n"/>
      <c r="U5021" s="19">
        <f>IF($V5021&lt;&gt;'設定'!$C$4,N(U5020),IF(OR(NOT(COUNTIF('商品マスタ'!$B$6:$B$1005,$W5021)=0),COUNTIFS('①在庫を貼る'!$V$6:$V$10005,$V5021,'①在庫を貼る'!$W$6:$W$10005,$W5021)&gt;0),N(U5020),N(U5020)+1))</f>
        <v/>
      </c>
      <c r="V5021" s="19">
        <f>IF($B5021="","",TEXT($B5021,"0000"))</f>
        <v/>
      </c>
      <c r="W5021" s="19">
        <f>IF($I5021="","",IF(ISNUMBER($I5021),TEXT($I5021,"0"),$I5021))</f>
        <v/>
      </c>
    </row>
    <row r="5022">
      <c r="B5022" s="25" t="n"/>
      <c r="I5022" s="25" t="n"/>
      <c r="U5022" s="19">
        <f>IF($V5022&lt;&gt;'設定'!$C$4,N(U5021),IF(OR(NOT(COUNTIF('商品マスタ'!$B$6:$B$1005,$W5022)=0),COUNTIFS('①在庫を貼る'!$V$6:$V$10005,$V5022,'①在庫を貼る'!$W$6:$W$10005,$W5022)&gt;0),N(U5021),N(U5021)+1))</f>
        <v/>
      </c>
      <c r="V5022" s="19">
        <f>IF($B5022="","",TEXT($B5022,"0000"))</f>
        <v/>
      </c>
      <c r="W5022" s="19">
        <f>IF($I5022="","",IF(ISNUMBER($I5022),TEXT($I5022,"0"),$I5022))</f>
        <v/>
      </c>
    </row>
    <row r="5023">
      <c r="B5023" s="25" t="n"/>
      <c r="I5023" s="25" t="n"/>
      <c r="U5023" s="19">
        <f>IF($V5023&lt;&gt;'設定'!$C$4,N(U5022),IF(OR(NOT(COUNTIF('商品マスタ'!$B$6:$B$1005,$W5023)=0),COUNTIFS('①在庫を貼る'!$V$6:$V$10005,$V5023,'①在庫を貼る'!$W$6:$W$10005,$W5023)&gt;0),N(U5022),N(U5022)+1))</f>
        <v/>
      </c>
      <c r="V5023" s="19">
        <f>IF($B5023="","",TEXT($B5023,"0000"))</f>
        <v/>
      </c>
      <c r="W5023" s="19">
        <f>IF($I5023="","",IF(ISNUMBER($I5023),TEXT($I5023,"0"),$I5023))</f>
        <v/>
      </c>
    </row>
    <row r="5024">
      <c r="B5024" s="25" t="n"/>
      <c r="I5024" s="25" t="n"/>
      <c r="U5024" s="19">
        <f>IF($V5024&lt;&gt;'設定'!$C$4,N(U5023),IF(OR(NOT(COUNTIF('商品マスタ'!$B$6:$B$1005,$W5024)=0),COUNTIFS('①在庫を貼る'!$V$6:$V$10005,$V5024,'①在庫を貼る'!$W$6:$W$10005,$W5024)&gt;0),N(U5023),N(U5023)+1))</f>
        <v/>
      </c>
      <c r="V5024" s="19">
        <f>IF($B5024="","",TEXT($B5024,"0000"))</f>
        <v/>
      </c>
      <c r="W5024" s="19">
        <f>IF($I5024="","",IF(ISNUMBER($I5024),TEXT($I5024,"0"),$I5024))</f>
        <v/>
      </c>
    </row>
    <row r="5025">
      <c r="B5025" s="25" t="n"/>
      <c r="I5025" s="25" t="n"/>
      <c r="U5025" s="19">
        <f>IF($V5025&lt;&gt;'設定'!$C$4,N(U5024),IF(OR(NOT(COUNTIF('商品マスタ'!$B$6:$B$1005,$W5025)=0),COUNTIFS('①在庫を貼る'!$V$6:$V$10005,$V5025,'①在庫を貼る'!$W$6:$W$10005,$W5025)&gt;0),N(U5024),N(U5024)+1))</f>
        <v/>
      </c>
      <c r="V5025" s="19">
        <f>IF($B5025="","",TEXT($B5025,"0000"))</f>
        <v/>
      </c>
      <c r="W5025" s="19">
        <f>IF($I5025="","",IF(ISNUMBER($I5025),TEXT($I5025,"0"),$I5025))</f>
        <v/>
      </c>
    </row>
    <row r="5026">
      <c r="B5026" s="25" t="n"/>
      <c r="I5026" s="25" t="n"/>
      <c r="U5026" s="19">
        <f>IF($V5026&lt;&gt;'設定'!$C$4,N(U5025),IF(OR(NOT(COUNTIF('商品マスタ'!$B$6:$B$1005,$W5026)=0),COUNTIFS('①在庫を貼る'!$V$6:$V$10005,$V5026,'①在庫を貼る'!$W$6:$W$10005,$W5026)&gt;0),N(U5025),N(U5025)+1))</f>
        <v/>
      </c>
      <c r="V5026" s="19">
        <f>IF($B5026="","",TEXT($B5026,"0000"))</f>
        <v/>
      </c>
      <c r="W5026" s="19">
        <f>IF($I5026="","",IF(ISNUMBER($I5026),TEXT($I5026,"0"),$I5026))</f>
        <v/>
      </c>
    </row>
    <row r="5027">
      <c r="B5027" s="25" t="n"/>
      <c r="I5027" s="25" t="n"/>
      <c r="U5027" s="19">
        <f>IF($V5027&lt;&gt;'設定'!$C$4,N(U5026),IF(OR(NOT(COUNTIF('商品マスタ'!$B$6:$B$1005,$W5027)=0),COUNTIFS('①在庫を貼る'!$V$6:$V$10005,$V5027,'①在庫を貼る'!$W$6:$W$10005,$W5027)&gt;0),N(U5026),N(U5026)+1))</f>
        <v/>
      </c>
      <c r="V5027" s="19">
        <f>IF($B5027="","",TEXT($B5027,"0000"))</f>
        <v/>
      </c>
      <c r="W5027" s="19">
        <f>IF($I5027="","",IF(ISNUMBER($I5027),TEXT($I5027,"0"),$I5027))</f>
        <v/>
      </c>
    </row>
    <row r="5028">
      <c r="B5028" s="25" t="n"/>
      <c r="I5028" s="25" t="n"/>
      <c r="U5028" s="19">
        <f>IF($V5028&lt;&gt;'設定'!$C$4,N(U5027),IF(OR(NOT(COUNTIF('商品マスタ'!$B$6:$B$1005,$W5028)=0),COUNTIFS('①在庫を貼る'!$V$6:$V$10005,$V5028,'①在庫を貼る'!$W$6:$W$10005,$W5028)&gt;0),N(U5027),N(U5027)+1))</f>
        <v/>
      </c>
      <c r="V5028" s="19">
        <f>IF($B5028="","",TEXT($B5028,"0000"))</f>
        <v/>
      </c>
      <c r="W5028" s="19">
        <f>IF($I5028="","",IF(ISNUMBER($I5028),TEXT($I5028,"0"),$I5028))</f>
        <v/>
      </c>
    </row>
    <row r="5029">
      <c r="B5029" s="25" t="n"/>
      <c r="I5029" s="25" t="n"/>
      <c r="U5029" s="19">
        <f>IF($V5029&lt;&gt;'設定'!$C$4,N(U5028),IF(OR(NOT(COUNTIF('商品マスタ'!$B$6:$B$1005,$W5029)=0),COUNTIFS('①在庫を貼る'!$V$6:$V$10005,$V5029,'①在庫を貼る'!$W$6:$W$10005,$W5029)&gt;0),N(U5028),N(U5028)+1))</f>
        <v/>
      </c>
      <c r="V5029" s="19">
        <f>IF($B5029="","",TEXT($B5029,"0000"))</f>
        <v/>
      </c>
      <c r="W5029" s="19">
        <f>IF($I5029="","",IF(ISNUMBER($I5029),TEXT($I5029,"0"),$I5029))</f>
        <v/>
      </c>
    </row>
    <row r="5030">
      <c r="B5030" s="25" t="n"/>
      <c r="I5030" s="25" t="n"/>
      <c r="U5030" s="19">
        <f>IF($V5030&lt;&gt;'設定'!$C$4,N(U5029),IF(OR(NOT(COUNTIF('商品マスタ'!$B$6:$B$1005,$W5030)=0),COUNTIFS('①在庫を貼る'!$V$6:$V$10005,$V5030,'①在庫を貼る'!$W$6:$W$10005,$W5030)&gt;0),N(U5029),N(U5029)+1))</f>
        <v/>
      </c>
      <c r="V5030" s="19">
        <f>IF($B5030="","",TEXT($B5030,"0000"))</f>
        <v/>
      </c>
      <c r="W5030" s="19">
        <f>IF($I5030="","",IF(ISNUMBER($I5030),TEXT($I5030,"0"),$I5030))</f>
        <v/>
      </c>
    </row>
    <row r="5031">
      <c r="B5031" s="25" t="n"/>
      <c r="I5031" s="25" t="n"/>
      <c r="U5031" s="19">
        <f>IF($V5031&lt;&gt;'設定'!$C$4,N(U5030),IF(OR(NOT(COUNTIF('商品マスタ'!$B$6:$B$1005,$W5031)=0),COUNTIFS('①在庫を貼る'!$V$6:$V$10005,$V5031,'①在庫を貼る'!$W$6:$W$10005,$W5031)&gt;0),N(U5030),N(U5030)+1))</f>
        <v/>
      </c>
      <c r="V5031" s="19">
        <f>IF($B5031="","",TEXT($B5031,"0000"))</f>
        <v/>
      </c>
      <c r="W5031" s="19">
        <f>IF($I5031="","",IF(ISNUMBER($I5031),TEXT($I5031,"0"),$I5031))</f>
        <v/>
      </c>
    </row>
    <row r="5032">
      <c r="B5032" s="25" t="n"/>
      <c r="I5032" s="25" t="n"/>
      <c r="U5032" s="19">
        <f>IF($V5032&lt;&gt;'設定'!$C$4,N(U5031),IF(OR(NOT(COUNTIF('商品マスタ'!$B$6:$B$1005,$W5032)=0),COUNTIFS('①在庫を貼る'!$V$6:$V$10005,$V5032,'①在庫を貼る'!$W$6:$W$10005,$W5032)&gt;0),N(U5031),N(U5031)+1))</f>
        <v/>
      </c>
      <c r="V5032" s="19">
        <f>IF($B5032="","",TEXT($B5032,"0000"))</f>
        <v/>
      </c>
      <c r="W5032" s="19">
        <f>IF($I5032="","",IF(ISNUMBER($I5032),TEXT($I5032,"0"),$I5032))</f>
        <v/>
      </c>
    </row>
    <row r="5033">
      <c r="B5033" s="25" t="n"/>
      <c r="I5033" s="25" t="n"/>
      <c r="U5033" s="19">
        <f>IF($V5033&lt;&gt;'設定'!$C$4,N(U5032),IF(OR(NOT(COUNTIF('商品マスタ'!$B$6:$B$1005,$W5033)=0),COUNTIFS('①在庫を貼る'!$V$6:$V$10005,$V5033,'①在庫を貼る'!$W$6:$W$10005,$W5033)&gt;0),N(U5032),N(U5032)+1))</f>
        <v/>
      </c>
      <c r="V5033" s="19">
        <f>IF($B5033="","",TEXT($B5033,"0000"))</f>
        <v/>
      </c>
      <c r="W5033" s="19">
        <f>IF($I5033="","",IF(ISNUMBER($I5033),TEXT($I5033,"0"),$I5033))</f>
        <v/>
      </c>
    </row>
    <row r="5034">
      <c r="B5034" s="25" t="n"/>
      <c r="I5034" s="25" t="n"/>
      <c r="U5034" s="19">
        <f>IF($V5034&lt;&gt;'設定'!$C$4,N(U5033),IF(OR(NOT(COUNTIF('商品マスタ'!$B$6:$B$1005,$W5034)=0),COUNTIFS('①在庫を貼る'!$V$6:$V$10005,$V5034,'①在庫を貼る'!$W$6:$W$10005,$W5034)&gt;0),N(U5033),N(U5033)+1))</f>
        <v/>
      </c>
      <c r="V5034" s="19">
        <f>IF($B5034="","",TEXT($B5034,"0000"))</f>
        <v/>
      </c>
      <c r="W5034" s="19">
        <f>IF($I5034="","",IF(ISNUMBER($I5034),TEXT($I5034,"0"),$I5034))</f>
        <v/>
      </c>
    </row>
    <row r="5035">
      <c r="B5035" s="25" t="n"/>
      <c r="I5035" s="25" t="n"/>
      <c r="U5035" s="19">
        <f>IF($V5035&lt;&gt;'設定'!$C$4,N(U5034),IF(OR(NOT(COUNTIF('商品マスタ'!$B$6:$B$1005,$W5035)=0),COUNTIFS('①在庫を貼る'!$V$6:$V$10005,$V5035,'①在庫を貼る'!$W$6:$W$10005,$W5035)&gt;0),N(U5034),N(U5034)+1))</f>
        <v/>
      </c>
      <c r="V5035" s="19">
        <f>IF($B5035="","",TEXT($B5035,"0000"))</f>
        <v/>
      </c>
      <c r="W5035" s="19">
        <f>IF($I5035="","",IF(ISNUMBER($I5035),TEXT($I5035,"0"),$I5035))</f>
        <v/>
      </c>
    </row>
    <row r="5036">
      <c r="B5036" s="25" t="n"/>
      <c r="I5036" s="25" t="n"/>
      <c r="U5036" s="19">
        <f>IF($V5036&lt;&gt;'設定'!$C$4,N(U5035),IF(OR(NOT(COUNTIF('商品マスタ'!$B$6:$B$1005,$W5036)=0),COUNTIFS('①在庫を貼る'!$V$6:$V$10005,$V5036,'①在庫を貼る'!$W$6:$W$10005,$W5036)&gt;0),N(U5035),N(U5035)+1))</f>
        <v/>
      </c>
      <c r="V5036" s="19">
        <f>IF($B5036="","",TEXT($B5036,"0000"))</f>
        <v/>
      </c>
      <c r="W5036" s="19">
        <f>IF($I5036="","",IF(ISNUMBER($I5036),TEXT($I5036,"0"),$I5036))</f>
        <v/>
      </c>
    </row>
    <row r="5037">
      <c r="B5037" s="25" t="n"/>
      <c r="I5037" s="25" t="n"/>
      <c r="U5037" s="19">
        <f>IF($V5037&lt;&gt;'設定'!$C$4,N(U5036),IF(OR(NOT(COUNTIF('商品マスタ'!$B$6:$B$1005,$W5037)=0),COUNTIFS('①在庫を貼る'!$V$6:$V$10005,$V5037,'①在庫を貼る'!$W$6:$W$10005,$W5037)&gt;0),N(U5036),N(U5036)+1))</f>
        <v/>
      </c>
      <c r="V5037" s="19">
        <f>IF($B5037="","",TEXT($B5037,"0000"))</f>
        <v/>
      </c>
      <c r="W5037" s="19">
        <f>IF($I5037="","",IF(ISNUMBER($I5037),TEXT($I5037,"0"),$I5037))</f>
        <v/>
      </c>
    </row>
    <row r="5038">
      <c r="B5038" s="25" t="n"/>
      <c r="I5038" s="25" t="n"/>
      <c r="U5038" s="19">
        <f>IF($V5038&lt;&gt;'設定'!$C$4,N(U5037),IF(OR(NOT(COUNTIF('商品マスタ'!$B$6:$B$1005,$W5038)=0),COUNTIFS('①在庫を貼る'!$V$6:$V$10005,$V5038,'①在庫を貼る'!$W$6:$W$10005,$W5038)&gt;0),N(U5037),N(U5037)+1))</f>
        <v/>
      </c>
      <c r="V5038" s="19">
        <f>IF($B5038="","",TEXT($B5038,"0000"))</f>
        <v/>
      </c>
      <c r="W5038" s="19">
        <f>IF($I5038="","",IF(ISNUMBER($I5038),TEXT($I5038,"0"),$I5038))</f>
        <v/>
      </c>
    </row>
    <row r="5039">
      <c r="B5039" s="25" t="n"/>
      <c r="I5039" s="25" t="n"/>
      <c r="U5039" s="19">
        <f>IF($V5039&lt;&gt;'設定'!$C$4,N(U5038),IF(OR(NOT(COUNTIF('商品マスタ'!$B$6:$B$1005,$W5039)=0),COUNTIFS('①在庫を貼る'!$V$6:$V$10005,$V5039,'①在庫を貼る'!$W$6:$W$10005,$W5039)&gt;0),N(U5038),N(U5038)+1))</f>
        <v/>
      </c>
      <c r="V5039" s="19">
        <f>IF($B5039="","",TEXT($B5039,"0000"))</f>
        <v/>
      </c>
      <c r="W5039" s="19">
        <f>IF($I5039="","",IF(ISNUMBER($I5039),TEXT($I5039,"0"),$I5039))</f>
        <v/>
      </c>
    </row>
    <row r="5040">
      <c r="B5040" s="25" t="n"/>
      <c r="I5040" s="25" t="n"/>
      <c r="U5040" s="19">
        <f>IF($V5040&lt;&gt;'設定'!$C$4,N(U5039),IF(OR(NOT(COUNTIF('商品マスタ'!$B$6:$B$1005,$W5040)=0),COUNTIFS('①在庫を貼る'!$V$6:$V$10005,$V5040,'①在庫を貼る'!$W$6:$W$10005,$W5040)&gt;0),N(U5039),N(U5039)+1))</f>
        <v/>
      </c>
      <c r="V5040" s="19">
        <f>IF($B5040="","",TEXT($B5040,"0000"))</f>
        <v/>
      </c>
      <c r="W5040" s="19">
        <f>IF($I5040="","",IF(ISNUMBER($I5040),TEXT($I5040,"0"),$I5040))</f>
        <v/>
      </c>
    </row>
    <row r="5041">
      <c r="B5041" s="25" t="n"/>
      <c r="I5041" s="25" t="n"/>
      <c r="U5041" s="19">
        <f>IF($V5041&lt;&gt;'設定'!$C$4,N(U5040),IF(OR(NOT(COUNTIF('商品マスタ'!$B$6:$B$1005,$W5041)=0),COUNTIFS('①在庫を貼る'!$V$6:$V$10005,$V5041,'①在庫を貼る'!$W$6:$W$10005,$W5041)&gt;0),N(U5040),N(U5040)+1))</f>
        <v/>
      </c>
      <c r="V5041" s="19">
        <f>IF($B5041="","",TEXT($B5041,"0000"))</f>
        <v/>
      </c>
      <c r="W5041" s="19">
        <f>IF($I5041="","",IF(ISNUMBER($I5041),TEXT($I5041,"0"),$I5041))</f>
        <v/>
      </c>
    </row>
    <row r="5042">
      <c r="B5042" s="25" t="n"/>
      <c r="I5042" s="25" t="n"/>
      <c r="U5042" s="19">
        <f>IF($V5042&lt;&gt;'設定'!$C$4,N(U5041),IF(OR(NOT(COUNTIF('商品マスタ'!$B$6:$B$1005,$W5042)=0),COUNTIFS('①在庫を貼る'!$V$6:$V$10005,$V5042,'①在庫を貼る'!$W$6:$W$10005,$W5042)&gt;0),N(U5041),N(U5041)+1))</f>
        <v/>
      </c>
      <c r="V5042" s="19">
        <f>IF($B5042="","",TEXT($B5042,"0000"))</f>
        <v/>
      </c>
      <c r="W5042" s="19">
        <f>IF($I5042="","",IF(ISNUMBER($I5042),TEXT($I5042,"0"),$I5042))</f>
        <v/>
      </c>
    </row>
    <row r="5043">
      <c r="B5043" s="25" t="n"/>
      <c r="I5043" s="25" t="n"/>
      <c r="U5043" s="19">
        <f>IF($V5043&lt;&gt;'設定'!$C$4,N(U5042),IF(OR(NOT(COUNTIF('商品マスタ'!$B$6:$B$1005,$W5043)=0),COUNTIFS('①在庫を貼る'!$V$6:$V$10005,$V5043,'①在庫を貼る'!$W$6:$W$10005,$W5043)&gt;0),N(U5042),N(U5042)+1))</f>
        <v/>
      </c>
      <c r="V5043" s="19">
        <f>IF($B5043="","",TEXT($B5043,"0000"))</f>
        <v/>
      </c>
      <c r="W5043" s="19">
        <f>IF($I5043="","",IF(ISNUMBER($I5043),TEXT($I5043,"0"),$I5043))</f>
        <v/>
      </c>
    </row>
    <row r="5044">
      <c r="B5044" s="25" t="n"/>
      <c r="I5044" s="25" t="n"/>
      <c r="U5044" s="19">
        <f>IF($V5044&lt;&gt;'設定'!$C$4,N(U5043),IF(OR(NOT(COUNTIF('商品マスタ'!$B$6:$B$1005,$W5044)=0),COUNTIFS('①在庫を貼る'!$V$6:$V$10005,$V5044,'①在庫を貼る'!$W$6:$W$10005,$W5044)&gt;0),N(U5043),N(U5043)+1))</f>
        <v/>
      </c>
      <c r="V5044" s="19">
        <f>IF($B5044="","",TEXT($B5044,"0000"))</f>
        <v/>
      </c>
      <c r="W5044" s="19">
        <f>IF($I5044="","",IF(ISNUMBER($I5044),TEXT($I5044,"0"),$I5044))</f>
        <v/>
      </c>
    </row>
    <row r="5045">
      <c r="B5045" s="25" t="n"/>
      <c r="I5045" s="25" t="n"/>
      <c r="U5045" s="19">
        <f>IF($V5045&lt;&gt;'設定'!$C$4,N(U5044),IF(OR(NOT(COUNTIF('商品マスタ'!$B$6:$B$1005,$W5045)=0),COUNTIFS('①在庫を貼る'!$V$6:$V$10005,$V5045,'①在庫を貼る'!$W$6:$W$10005,$W5045)&gt;0),N(U5044),N(U5044)+1))</f>
        <v/>
      </c>
      <c r="V5045" s="19">
        <f>IF($B5045="","",TEXT($B5045,"0000"))</f>
        <v/>
      </c>
      <c r="W5045" s="19">
        <f>IF($I5045="","",IF(ISNUMBER($I5045),TEXT($I5045,"0"),$I5045))</f>
        <v/>
      </c>
    </row>
    <row r="5046">
      <c r="B5046" s="25" t="n"/>
      <c r="I5046" s="25" t="n"/>
      <c r="U5046" s="19">
        <f>IF($V5046&lt;&gt;'設定'!$C$4,N(U5045),IF(OR(NOT(COUNTIF('商品マスタ'!$B$6:$B$1005,$W5046)=0),COUNTIFS('①在庫を貼る'!$V$6:$V$10005,$V5046,'①在庫を貼る'!$W$6:$W$10005,$W5046)&gt;0),N(U5045),N(U5045)+1))</f>
        <v/>
      </c>
      <c r="V5046" s="19">
        <f>IF($B5046="","",TEXT($B5046,"0000"))</f>
        <v/>
      </c>
      <c r="W5046" s="19">
        <f>IF($I5046="","",IF(ISNUMBER($I5046),TEXT($I5046,"0"),$I5046))</f>
        <v/>
      </c>
    </row>
    <row r="5047">
      <c r="B5047" s="25" t="n"/>
      <c r="I5047" s="25" t="n"/>
      <c r="U5047" s="19">
        <f>IF($V5047&lt;&gt;'設定'!$C$4,N(U5046),IF(OR(NOT(COUNTIF('商品マスタ'!$B$6:$B$1005,$W5047)=0),COUNTIFS('①在庫を貼る'!$V$6:$V$10005,$V5047,'①在庫を貼る'!$W$6:$W$10005,$W5047)&gt;0),N(U5046),N(U5046)+1))</f>
        <v/>
      </c>
      <c r="V5047" s="19">
        <f>IF($B5047="","",TEXT($B5047,"0000"))</f>
        <v/>
      </c>
      <c r="W5047" s="19">
        <f>IF($I5047="","",IF(ISNUMBER($I5047),TEXT($I5047,"0"),$I5047))</f>
        <v/>
      </c>
    </row>
    <row r="5048">
      <c r="B5048" s="25" t="n"/>
      <c r="I5048" s="25" t="n"/>
      <c r="U5048" s="19">
        <f>IF($V5048&lt;&gt;'設定'!$C$4,N(U5047),IF(OR(NOT(COUNTIF('商品マスタ'!$B$6:$B$1005,$W5048)=0),COUNTIFS('①在庫を貼る'!$V$6:$V$10005,$V5048,'①在庫を貼る'!$W$6:$W$10005,$W5048)&gt;0),N(U5047),N(U5047)+1))</f>
        <v/>
      </c>
      <c r="V5048" s="19">
        <f>IF($B5048="","",TEXT($B5048,"0000"))</f>
        <v/>
      </c>
      <c r="W5048" s="19">
        <f>IF($I5048="","",IF(ISNUMBER($I5048),TEXT($I5048,"0"),$I5048))</f>
        <v/>
      </c>
    </row>
    <row r="5049">
      <c r="B5049" s="25" t="n"/>
      <c r="I5049" s="25" t="n"/>
      <c r="U5049" s="19">
        <f>IF($V5049&lt;&gt;'設定'!$C$4,N(U5048),IF(OR(NOT(COUNTIF('商品マスタ'!$B$6:$B$1005,$W5049)=0),COUNTIFS('①在庫を貼る'!$V$6:$V$10005,$V5049,'①在庫を貼る'!$W$6:$W$10005,$W5049)&gt;0),N(U5048),N(U5048)+1))</f>
        <v/>
      </c>
      <c r="V5049" s="19">
        <f>IF($B5049="","",TEXT($B5049,"0000"))</f>
        <v/>
      </c>
      <c r="W5049" s="19">
        <f>IF($I5049="","",IF(ISNUMBER($I5049),TEXT($I5049,"0"),$I5049))</f>
        <v/>
      </c>
    </row>
    <row r="5050">
      <c r="B5050" s="25" t="n"/>
      <c r="I5050" s="25" t="n"/>
      <c r="U5050" s="19">
        <f>IF($V5050&lt;&gt;'設定'!$C$4,N(U5049),IF(OR(NOT(COUNTIF('商品マスタ'!$B$6:$B$1005,$W5050)=0),COUNTIFS('①在庫を貼る'!$V$6:$V$10005,$V5050,'①在庫を貼る'!$W$6:$W$10005,$W5050)&gt;0),N(U5049),N(U5049)+1))</f>
        <v/>
      </c>
      <c r="V5050" s="19">
        <f>IF($B5050="","",TEXT($B5050,"0000"))</f>
        <v/>
      </c>
      <c r="W5050" s="19">
        <f>IF($I5050="","",IF(ISNUMBER($I5050),TEXT($I5050,"0"),$I5050))</f>
        <v/>
      </c>
    </row>
    <row r="5051">
      <c r="B5051" s="25" t="n"/>
      <c r="I5051" s="25" t="n"/>
      <c r="U5051" s="19">
        <f>IF($V5051&lt;&gt;'設定'!$C$4,N(U5050),IF(OR(NOT(COUNTIF('商品マスタ'!$B$6:$B$1005,$W5051)=0),COUNTIFS('①在庫を貼る'!$V$6:$V$10005,$V5051,'①在庫を貼る'!$W$6:$W$10005,$W5051)&gt;0),N(U5050),N(U5050)+1))</f>
        <v/>
      </c>
      <c r="V5051" s="19">
        <f>IF($B5051="","",TEXT($B5051,"0000"))</f>
        <v/>
      </c>
      <c r="W5051" s="19">
        <f>IF($I5051="","",IF(ISNUMBER($I5051),TEXT($I5051,"0"),$I5051))</f>
        <v/>
      </c>
    </row>
    <row r="5052">
      <c r="B5052" s="25" t="n"/>
      <c r="I5052" s="25" t="n"/>
      <c r="U5052" s="19">
        <f>IF($V5052&lt;&gt;'設定'!$C$4,N(U5051),IF(OR(NOT(COUNTIF('商品マスタ'!$B$6:$B$1005,$W5052)=0),COUNTIFS('①在庫を貼る'!$V$6:$V$10005,$V5052,'①在庫を貼る'!$W$6:$W$10005,$W5052)&gt;0),N(U5051),N(U5051)+1))</f>
        <v/>
      </c>
      <c r="V5052" s="19">
        <f>IF($B5052="","",TEXT($B5052,"0000"))</f>
        <v/>
      </c>
      <c r="W5052" s="19">
        <f>IF($I5052="","",IF(ISNUMBER($I5052),TEXT($I5052,"0"),$I5052))</f>
        <v/>
      </c>
    </row>
    <row r="5053">
      <c r="B5053" s="25" t="n"/>
      <c r="I5053" s="25" t="n"/>
      <c r="U5053" s="19">
        <f>IF($V5053&lt;&gt;'設定'!$C$4,N(U5052),IF(OR(NOT(COUNTIF('商品マスタ'!$B$6:$B$1005,$W5053)=0),COUNTIFS('①在庫を貼る'!$V$6:$V$10005,$V5053,'①在庫を貼る'!$W$6:$W$10005,$W5053)&gt;0),N(U5052),N(U5052)+1))</f>
        <v/>
      </c>
      <c r="V5053" s="19">
        <f>IF($B5053="","",TEXT($B5053,"0000"))</f>
        <v/>
      </c>
      <c r="W5053" s="19">
        <f>IF($I5053="","",IF(ISNUMBER($I5053),TEXT($I5053,"0"),$I5053))</f>
        <v/>
      </c>
    </row>
    <row r="5054">
      <c r="B5054" s="25" t="n"/>
      <c r="I5054" s="25" t="n"/>
      <c r="U5054" s="19">
        <f>IF($V5054&lt;&gt;'設定'!$C$4,N(U5053),IF(OR(NOT(COUNTIF('商品マスタ'!$B$6:$B$1005,$W5054)=0),COUNTIFS('①在庫を貼る'!$V$6:$V$10005,$V5054,'①在庫を貼る'!$W$6:$W$10005,$W5054)&gt;0),N(U5053),N(U5053)+1))</f>
        <v/>
      </c>
      <c r="V5054" s="19">
        <f>IF($B5054="","",TEXT($B5054,"0000"))</f>
        <v/>
      </c>
      <c r="W5054" s="19">
        <f>IF($I5054="","",IF(ISNUMBER($I5054),TEXT($I5054,"0"),$I5054))</f>
        <v/>
      </c>
    </row>
    <row r="5055">
      <c r="B5055" s="25" t="n"/>
      <c r="I5055" s="25" t="n"/>
      <c r="U5055" s="19">
        <f>IF($V5055&lt;&gt;'設定'!$C$4,N(U5054),IF(OR(NOT(COUNTIF('商品マスタ'!$B$6:$B$1005,$W5055)=0),COUNTIFS('①在庫を貼る'!$V$6:$V$10005,$V5055,'①在庫を貼る'!$W$6:$W$10005,$W5055)&gt;0),N(U5054),N(U5054)+1))</f>
        <v/>
      </c>
      <c r="V5055" s="19">
        <f>IF($B5055="","",TEXT($B5055,"0000"))</f>
        <v/>
      </c>
      <c r="W5055" s="19">
        <f>IF($I5055="","",IF(ISNUMBER($I5055),TEXT($I5055,"0"),$I5055))</f>
        <v/>
      </c>
    </row>
    <row r="5056">
      <c r="B5056" s="25" t="n"/>
      <c r="I5056" s="25" t="n"/>
      <c r="U5056" s="19">
        <f>IF($V5056&lt;&gt;'設定'!$C$4,N(U5055),IF(OR(NOT(COUNTIF('商品マスタ'!$B$6:$B$1005,$W5056)=0),COUNTIFS('①在庫を貼る'!$V$6:$V$10005,$V5056,'①在庫を貼る'!$W$6:$W$10005,$W5056)&gt;0),N(U5055),N(U5055)+1))</f>
        <v/>
      </c>
      <c r="V5056" s="19">
        <f>IF($B5056="","",TEXT($B5056,"0000"))</f>
        <v/>
      </c>
      <c r="W5056" s="19">
        <f>IF($I5056="","",IF(ISNUMBER($I5056),TEXT($I5056,"0"),$I5056))</f>
        <v/>
      </c>
    </row>
    <row r="5057">
      <c r="B5057" s="25" t="n"/>
      <c r="I5057" s="25" t="n"/>
      <c r="U5057" s="19">
        <f>IF($V5057&lt;&gt;'設定'!$C$4,N(U5056),IF(OR(NOT(COUNTIF('商品マスタ'!$B$6:$B$1005,$W5057)=0),COUNTIFS('①在庫を貼る'!$V$6:$V$10005,$V5057,'①在庫を貼る'!$W$6:$W$10005,$W5057)&gt;0),N(U5056),N(U5056)+1))</f>
        <v/>
      </c>
      <c r="V5057" s="19">
        <f>IF($B5057="","",TEXT($B5057,"0000"))</f>
        <v/>
      </c>
      <c r="W5057" s="19">
        <f>IF($I5057="","",IF(ISNUMBER($I5057),TEXT($I5057,"0"),$I5057))</f>
        <v/>
      </c>
    </row>
    <row r="5058">
      <c r="B5058" s="25" t="n"/>
      <c r="I5058" s="25" t="n"/>
      <c r="U5058" s="19">
        <f>IF($V5058&lt;&gt;'設定'!$C$4,N(U5057),IF(OR(NOT(COUNTIF('商品マスタ'!$B$6:$B$1005,$W5058)=0),COUNTIFS('①在庫を貼る'!$V$6:$V$10005,$V5058,'①在庫を貼る'!$W$6:$W$10005,$W5058)&gt;0),N(U5057),N(U5057)+1))</f>
        <v/>
      </c>
      <c r="V5058" s="19">
        <f>IF($B5058="","",TEXT($B5058,"0000"))</f>
        <v/>
      </c>
      <c r="W5058" s="19">
        <f>IF($I5058="","",IF(ISNUMBER($I5058),TEXT($I5058,"0"),$I5058))</f>
        <v/>
      </c>
    </row>
    <row r="5059">
      <c r="B5059" s="25" t="n"/>
      <c r="I5059" s="25" t="n"/>
      <c r="U5059" s="19">
        <f>IF($V5059&lt;&gt;'設定'!$C$4,N(U5058),IF(OR(NOT(COUNTIF('商品マスタ'!$B$6:$B$1005,$W5059)=0),COUNTIFS('①在庫を貼る'!$V$6:$V$10005,$V5059,'①在庫を貼る'!$W$6:$W$10005,$W5059)&gt;0),N(U5058),N(U5058)+1))</f>
        <v/>
      </c>
      <c r="V5059" s="19">
        <f>IF($B5059="","",TEXT($B5059,"0000"))</f>
        <v/>
      </c>
      <c r="W5059" s="19">
        <f>IF($I5059="","",IF(ISNUMBER($I5059),TEXT($I5059,"0"),$I5059))</f>
        <v/>
      </c>
    </row>
    <row r="5060">
      <c r="B5060" s="25" t="n"/>
      <c r="I5060" s="25" t="n"/>
      <c r="U5060" s="19">
        <f>IF($V5060&lt;&gt;'設定'!$C$4,N(U5059),IF(OR(NOT(COUNTIF('商品マスタ'!$B$6:$B$1005,$W5060)=0),COUNTIFS('①在庫を貼る'!$V$6:$V$10005,$V5060,'①在庫を貼る'!$W$6:$W$10005,$W5060)&gt;0),N(U5059),N(U5059)+1))</f>
        <v/>
      </c>
      <c r="V5060" s="19">
        <f>IF($B5060="","",TEXT($B5060,"0000"))</f>
        <v/>
      </c>
      <c r="W5060" s="19">
        <f>IF($I5060="","",IF(ISNUMBER($I5060),TEXT($I5060,"0"),$I5060))</f>
        <v/>
      </c>
    </row>
    <row r="5061">
      <c r="B5061" s="25" t="n"/>
      <c r="I5061" s="25" t="n"/>
      <c r="U5061" s="19">
        <f>IF($V5061&lt;&gt;'設定'!$C$4,N(U5060),IF(OR(NOT(COUNTIF('商品マスタ'!$B$6:$B$1005,$W5061)=0),COUNTIFS('①在庫を貼る'!$V$6:$V$10005,$V5061,'①在庫を貼る'!$W$6:$W$10005,$W5061)&gt;0),N(U5060),N(U5060)+1))</f>
        <v/>
      </c>
      <c r="V5061" s="19">
        <f>IF($B5061="","",TEXT($B5061,"0000"))</f>
        <v/>
      </c>
      <c r="W5061" s="19">
        <f>IF($I5061="","",IF(ISNUMBER($I5061),TEXT($I5061,"0"),$I5061))</f>
        <v/>
      </c>
    </row>
    <row r="5062">
      <c r="B5062" s="25" t="n"/>
      <c r="I5062" s="25" t="n"/>
      <c r="U5062" s="19">
        <f>IF($V5062&lt;&gt;'設定'!$C$4,N(U5061),IF(OR(NOT(COUNTIF('商品マスタ'!$B$6:$B$1005,$W5062)=0),COUNTIFS('①在庫を貼る'!$V$6:$V$10005,$V5062,'①在庫を貼る'!$W$6:$W$10005,$W5062)&gt;0),N(U5061),N(U5061)+1))</f>
        <v/>
      </c>
      <c r="V5062" s="19">
        <f>IF($B5062="","",TEXT($B5062,"0000"))</f>
        <v/>
      </c>
      <c r="W5062" s="19">
        <f>IF($I5062="","",IF(ISNUMBER($I5062),TEXT($I5062,"0"),$I5062))</f>
        <v/>
      </c>
    </row>
    <row r="5063">
      <c r="B5063" s="25" t="n"/>
      <c r="I5063" s="25" t="n"/>
      <c r="U5063" s="19">
        <f>IF($V5063&lt;&gt;'設定'!$C$4,N(U5062),IF(OR(NOT(COUNTIF('商品マスタ'!$B$6:$B$1005,$W5063)=0),COUNTIFS('①在庫を貼る'!$V$6:$V$10005,$V5063,'①在庫を貼る'!$W$6:$W$10005,$W5063)&gt;0),N(U5062),N(U5062)+1))</f>
        <v/>
      </c>
      <c r="V5063" s="19">
        <f>IF($B5063="","",TEXT($B5063,"0000"))</f>
        <v/>
      </c>
      <c r="W5063" s="19">
        <f>IF($I5063="","",IF(ISNUMBER($I5063),TEXT($I5063,"0"),$I5063))</f>
        <v/>
      </c>
    </row>
    <row r="5064">
      <c r="B5064" s="25" t="n"/>
      <c r="I5064" s="25" t="n"/>
      <c r="U5064" s="19">
        <f>IF($V5064&lt;&gt;'設定'!$C$4,N(U5063),IF(OR(NOT(COUNTIF('商品マスタ'!$B$6:$B$1005,$W5064)=0),COUNTIFS('①在庫を貼る'!$V$6:$V$10005,$V5064,'①在庫を貼る'!$W$6:$W$10005,$W5064)&gt;0),N(U5063),N(U5063)+1))</f>
        <v/>
      </c>
      <c r="V5064" s="19">
        <f>IF($B5064="","",TEXT($B5064,"0000"))</f>
        <v/>
      </c>
      <c r="W5064" s="19">
        <f>IF($I5064="","",IF(ISNUMBER($I5064),TEXT($I5064,"0"),$I5064))</f>
        <v/>
      </c>
    </row>
    <row r="5065">
      <c r="B5065" s="25" t="n"/>
      <c r="I5065" s="25" t="n"/>
      <c r="U5065" s="19">
        <f>IF($V5065&lt;&gt;'設定'!$C$4,N(U5064),IF(OR(NOT(COUNTIF('商品マスタ'!$B$6:$B$1005,$W5065)=0),COUNTIFS('①在庫を貼る'!$V$6:$V$10005,$V5065,'①在庫を貼る'!$W$6:$W$10005,$W5065)&gt;0),N(U5064),N(U5064)+1))</f>
        <v/>
      </c>
      <c r="V5065" s="19">
        <f>IF($B5065="","",TEXT($B5065,"0000"))</f>
        <v/>
      </c>
      <c r="W5065" s="19">
        <f>IF($I5065="","",IF(ISNUMBER($I5065),TEXT($I5065,"0"),$I5065))</f>
        <v/>
      </c>
    </row>
    <row r="5066">
      <c r="B5066" s="25" t="n"/>
      <c r="I5066" s="25" t="n"/>
      <c r="U5066" s="19">
        <f>IF($V5066&lt;&gt;'設定'!$C$4,N(U5065),IF(OR(NOT(COUNTIF('商品マスタ'!$B$6:$B$1005,$W5066)=0),COUNTIFS('①在庫を貼る'!$V$6:$V$10005,$V5066,'①在庫を貼る'!$W$6:$W$10005,$W5066)&gt;0),N(U5065),N(U5065)+1))</f>
        <v/>
      </c>
      <c r="V5066" s="19">
        <f>IF($B5066="","",TEXT($B5066,"0000"))</f>
        <v/>
      </c>
      <c r="W5066" s="19">
        <f>IF($I5066="","",IF(ISNUMBER($I5066),TEXT($I5066,"0"),$I5066))</f>
        <v/>
      </c>
    </row>
    <row r="5067">
      <c r="B5067" s="25" t="n"/>
      <c r="I5067" s="25" t="n"/>
      <c r="U5067" s="19">
        <f>IF($V5067&lt;&gt;'設定'!$C$4,N(U5066),IF(OR(NOT(COUNTIF('商品マスタ'!$B$6:$B$1005,$W5067)=0),COUNTIFS('①在庫を貼る'!$V$6:$V$10005,$V5067,'①在庫を貼る'!$W$6:$W$10005,$W5067)&gt;0),N(U5066),N(U5066)+1))</f>
        <v/>
      </c>
      <c r="V5067" s="19">
        <f>IF($B5067="","",TEXT($B5067,"0000"))</f>
        <v/>
      </c>
      <c r="W5067" s="19">
        <f>IF($I5067="","",IF(ISNUMBER($I5067),TEXT($I5067,"0"),$I5067))</f>
        <v/>
      </c>
    </row>
    <row r="5068">
      <c r="B5068" s="25" t="n"/>
      <c r="I5068" s="25" t="n"/>
      <c r="U5068" s="19">
        <f>IF($V5068&lt;&gt;'設定'!$C$4,N(U5067),IF(OR(NOT(COUNTIF('商品マスタ'!$B$6:$B$1005,$W5068)=0),COUNTIFS('①在庫を貼る'!$V$6:$V$10005,$V5068,'①在庫を貼る'!$W$6:$W$10005,$W5068)&gt;0),N(U5067),N(U5067)+1))</f>
        <v/>
      </c>
      <c r="V5068" s="19">
        <f>IF($B5068="","",TEXT($B5068,"0000"))</f>
        <v/>
      </c>
      <c r="W5068" s="19">
        <f>IF($I5068="","",IF(ISNUMBER($I5068),TEXT($I5068,"0"),$I5068))</f>
        <v/>
      </c>
    </row>
    <row r="5069">
      <c r="B5069" s="25" t="n"/>
      <c r="I5069" s="25" t="n"/>
      <c r="U5069" s="19">
        <f>IF($V5069&lt;&gt;'設定'!$C$4,N(U5068),IF(OR(NOT(COUNTIF('商品マスタ'!$B$6:$B$1005,$W5069)=0),COUNTIFS('①在庫を貼る'!$V$6:$V$10005,$V5069,'①在庫を貼る'!$W$6:$W$10005,$W5069)&gt;0),N(U5068),N(U5068)+1))</f>
        <v/>
      </c>
      <c r="V5069" s="19">
        <f>IF($B5069="","",TEXT($B5069,"0000"))</f>
        <v/>
      </c>
      <c r="W5069" s="19">
        <f>IF($I5069="","",IF(ISNUMBER($I5069),TEXT($I5069,"0"),$I5069))</f>
        <v/>
      </c>
    </row>
    <row r="5070">
      <c r="B5070" s="25" t="n"/>
      <c r="I5070" s="25" t="n"/>
      <c r="U5070" s="19">
        <f>IF($V5070&lt;&gt;'設定'!$C$4,N(U5069),IF(OR(NOT(COUNTIF('商品マスタ'!$B$6:$B$1005,$W5070)=0),COUNTIFS('①在庫を貼る'!$V$6:$V$10005,$V5070,'①在庫を貼る'!$W$6:$W$10005,$W5070)&gt;0),N(U5069),N(U5069)+1))</f>
        <v/>
      </c>
      <c r="V5070" s="19">
        <f>IF($B5070="","",TEXT($B5070,"0000"))</f>
        <v/>
      </c>
      <c r="W5070" s="19">
        <f>IF($I5070="","",IF(ISNUMBER($I5070),TEXT($I5070,"0"),$I5070))</f>
        <v/>
      </c>
    </row>
    <row r="5071">
      <c r="B5071" s="25" t="n"/>
      <c r="I5071" s="25" t="n"/>
      <c r="U5071" s="19">
        <f>IF($V5071&lt;&gt;'設定'!$C$4,N(U5070),IF(OR(NOT(COUNTIF('商品マスタ'!$B$6:$B$1005,$W5071)=0),COUNTIFS('①在庫を貼る'!$V$6:$V$10005,$V5071,'①在庫を貼る'!$W$6:$W$10005,$W5071)&gt;0),N(U5070),N(U5070)+1))</f>
        <v/>
      </c>
      <c r="V5071" s="19">
        <f>IF($B5071="","",TEXT($B5071,"0000"))</f>
        <v/>
      </c>
      <c r="W5071" s="19">
        <f>IF($I5071="","",IF(ISNUMBER($I5071),TEXT($I5071,"0"),$I5071))</f>
        <v/>
      </c>
    </row>
    <row r="5072">
      <c r="B5072" s="25" t="n"/>
      <c r="I5072" s="25" t="n"/>
      <c r="U5072" s="19">
        <f>IF($V5072&lt;&gt;'設定'!$C$4,N(U5071),IF(OR(NOT(COUNTIF('商品マスタ'!$B$6:$B$1005,$W5072)=0),COUNTIFS('①在庫を貼る'!$V$6:$V$10005,$V5072,'①在庫を貼る'!$W$6:$W$10005,$W5072)&gt;0),N(U5071),N(U5071)+1))</f>
        <v/>
      </c>
      <c r="V5072" s="19">
        <f>IF($B5072="","",TEXT($B5072,"0000"))</f>
        <v/>
      </c>
      <c r="W5072" s="19">
        <f>IF($I5072="","",IF(ISNUMBER($I5072),TEXT($I5072,"0"),$I5072))</f>
        <v/>
      </c>
    </row>
    <row r="5073">
      <c r="B5073" s="25" t="n"/>
      <c r="I5073" s="25" t="n"/>
      <c r="U5073" s="19">
        <f>IF($V5073&lt;&gt;'設定'!$C$4,N(U5072),IF(OR(NOT(COUNTIF('商品マスタ'!$B$6:$B$1005,$W5073)=0),COUNTIFS('①在庫を貼る'!$V$6:$V$10005,$V5073,'①在庫を貼る'!$W$6:$W$10005,$W5073)&gt;0),N(U5072),N(U5072)+1))</f>
        <v/>
      </c>
      <c r="V5073" s="19">
        <f>IF($B5073="","",TEXT($B5073,"0000"))</f>
        <v/>
      </c>
      <c r="W5073" s="19">
        <f>IF($I5073="","",IF(ISNUMBER($I5073),TEXT($I5073,"0"),$I5073))</f>
        <v/>
      </c>
    </row>
    <row r="5074">
      <c r="B5074" s="25" t="n"/>
      <c r="I5074" s="25" t="n"/>
      <c r="U5074" s="19">
        <f>IF($V5074&lt;&gt;'設定'!$C$4,N(U5073),IF(OR(NOT(COUNTIF('商品マスタ'!$B$6:$B$1005,$W5074)=0),COUNTIFS('①在庫を貼る'!$V$6:$V$10005,$V5074,'①在庫を貼る'!$W$6:$W$10005,$W5074)&gt;0),N(U5073),N(U5073)+1))</f>
        <v/>
      </c>
      <c r="V5074" s="19">
        <f>IF($B5074="","",TEXT($B5074,"0000"))</f>
        <v/>
      </c>
      <c r="W5074" s="19">
        <f>IF($I5074="","",IF(ISNUMBER($I5074),TEXT($I5074,"0"),$I5074))</f>
        <v/>
      </c>
    </row>
    <row r="5075">
      <c r="B5075" s="25" t="n"/>
      <c r="I5075" s="25" t="n"/>
      <c r="U5075" s="19">
        <f>IF($V5075&lt;&gt;'設定'!$C$4,N(U5074),IF(OR(NOT(COUNTIF('商品マスタ'!$B$6:$B$1005,$W5075)=0),COUNTIFS('①在庫を貼る'!$V$6:$V$10005,$V5075,'①在庫を貼る'!$W$6:$W$10005,$W5075)&gt;0),N(U5074),N(U5074)+1))</f>
        <v/>
      </c>
      <c r="V5075" s="19">
        <f>IF($B5075="","",TEXT($B5075,"0000"))</f>
        <v/>
      </c>
      <c r="W5075" s="19">
        <f>IF($I5075="","",IF(ISNUMBER($I5075),TEXT($I5075,"0"),$I5075))</f>
        <v/>
      </c>
    </row>
    <row r="5076">
      <c r="B5076" s="25" t="n"/>
      <c r="I5076" s="25" t="n"/>
      <c r="U5076" s="19">
        <f>IF($V5076&lt;&gt;'設定'!$C$4,N(U5075),IF(OR(NOT(COUNTIF('商品マスタ'!$B$6:$B$1005,$W5076)=0),COUNTIFS('①在庫を貼る'!$V$6:$V$10005,$V5076,'①在庫を貼る'!$W$6:$W$10005,$W5076)&gt;0),N(U5075),N(U5075)+1))</f>
        <v/>
      </c>
      <c r="V5076" s="19">
        <f>IF($B5076="","",TEXT($B5076,"0000"))</f>
        <v/>
      </c>
      <c r="W5076" s="19">
        <f>IF($I5076="","",IF(ISNUMBER($I5076),TEXT($I5076,"0"),$I5076))</f>
        <v/>
      </c>
    </row>
    <row r="5077">
      <c r="B5077" s="25" t="n"/>
      <c r="I5077" s="25" t="n"/>
      <c r="U5077" s="19">
        <f>IF($V5077&lt;&gt;'設定'!$C$4,N(U5076),IF(OR(NOT(COUNTIF('商品マスタ'!$B$6:$B$1005,$W5077)=0),COUNTIFS('①在庫を貼る'!$V$6:$V$10005,$V5077,'①在庫を貼る'!$W$6:$W$10005,$W5077)&gt;0),N(U5076),N(U5076)+1))</f>
        <v/>
      </c>
      <c r="V5077" s="19">
        <f>IF($B5077="","",TEXT($B5077,"0000"))</f>
        <v/>
      </c>
      <c r="W5077" s="19">
        <f>IF($I5077="","",IF(ISNUMBER($I5077),TEXT($I5077,"0"),$I5077))</f>
        <v/>
      </c>
    </row>
    <row r="5078">
      <c r="B5078" s="25" t="n"/>
      <c r="I5078" s="25" t="n"/>
      <c r="U5078" s="19">
        <f>IF($V5078&lt;&gt;'設定'!$C$4,N(U5077),IF(OR(NOT(COUNTIF('商品マスタ'!$B$6:$B$1005,$W5078)=0),COUNTIFS('①在庫を貼る'!$V$6:$V$10005,$V5078,'①在庫を貼る'!$W$6:$W$10005,$W5078)&gt;0),N(U5077),N(U5077)+1))</f>
        <v/>
      </c>
      <c r="V5078" s="19">
        <f>IF($B5078="","",TEXT($B5078,"0000"))</f>
        <v/>
      </c>
      <c r="W5078" s="19">
        <f>IF($I5078="","",IF(ISNUMBER($I5078),TEXT($I5078,"0"),$I5078))</f>
        <v/>
      </c>
    </row>
    <row r="5079">
      <c r="B5079" s="25" t="n"/>
      <c r="I5079" s="25" t="n"/>
      <c r="U5079" s="19">
        <f>IF($V5079&lt;&gt;'設定'!$C$4,N(U5078),IF(OR(NOT(COUNTIF('商品マスタ'!$B$6:$B$1005,$W5079)=0),COUNTIFS('①在庫を貼る'!$V$6:$V$10005,$V5079,'①在庫を貼る'!$W$6:$W$10005,$W5079)&gt;0),N(U5078),N(U5078)+1))</f>
        <v/>
      </c>
      <c r="V5079" s="19">
        <f>IF($B5079="","",TEXT($B5079,"0000"))</f>
        <v/>
      </c>
      <c r="W5079" s="19">
        <f>IF($I5079="","",IF(ISNUMBER($I5079),TEXT($I5079,"0"),$I5079))</f>
        <v/>
      </c>
    </row>
    <row r="5080">
      <c r="B5080" s="25" t="n"/>
      <c r="I5080" s="25" t="n"/>
      <c r="U5080" s="19">
        <f>IF($V5080&lt;&gt;'設定'!$C$4,N(U5079),IF(OR(NOT(COUNTIF('商品マスタ'!$B$6:$B$1005,$W5080)=0),COUNTIFS('①在庫を貼る'!$V$6:$V$10005,$V5080,'①在庫を貼る'!$W$6:$W$10005,$W5080)&gt;0),N(U5079),N(U5079)+1))</f>
        <v/>
      </c>
      <c r="V5080" s="19">
        <f>IF($B5080="","",TEXT($B5080,"0000"))</f>
        <v/>
      </c>
      <c r="W5080" s="19">
        <f>IF($I5080="","",IF(ISNUMBER($I5080),TEXT($I5080,"0"),$I5080))</f>
        <v/>
      </c>
    </row>
    <row r="5081">
      <c r="B5081" s="25" t="n"/>
      <c r="I5081" s="25" t="n"/>
      <c r="U5081" s="19">
        <f>IF($V5081&lt;&gt;'設定'!$C$4,N(U5080),IF(OR(NOT(COUNTIF('商品マスタ'!$B$6:$B$1005,$W5081)=0),COUNTIFS('①在庫を貼る'!$V$6:$V$10005,$V5081,'①在庫を貼る'!$W$6:$W$10005,$W5081)&gt;0),N(U5080),N(U5080)+1))</f>
        <v/>
      </c>
      <c r="V5081" s="19">
        <f>IF($B5081="","",TEXT($B5081,"0000"))</f>
        <v/>
      </c>
      <c r="W5081" s="19">
        <f>IF($I5081="","",IF(ISNUMBER($I5081),TEXT($I5081,"0"),$I5081))</f>
        <v/>
      </c>
    </row>
    <row r="5082">
      <c r="B5082" s="25" t="n"/>
      <c r="I5082" s="25" t="n"/>
      <c r="U5082" s="19">
        <f>IF($V5082&lt;&gt;'設定'!$C$4,N(U5081),IF(OR(NOT(COUNTIF('商品マスタ'!$B$6:$B$1005,$W5082)=0),COUNTIFS('①在庫を貼る'!$V$6:$V$10005,$V5082,'①在庫を貼る'!$W$6:$W$10005,$W5082)&gt;0),N(U5081),N(U5081)+1))</f>
        <v/>
      </c>
      <c r="V5082" s="19">
        <f>IF($B5082="","",TEXT($B5082,"0000"))</f>
        <v/>
      </c>
      <c r="W5082" s="19">
        <f>IF($I5082="","",IF(ISNUMBER($I5082),TEXT($I5082,"0"),$I5082))</f>
        <v/>
      </c>
    </row>
    <row r="5083">
      <c r="B5083" s="25" t="n"/>
      <c r="I5083" s="25" t="n"/>
      <c r="U5083" s="19">
        <f>IF($V5083&lt;&gt;'設定'!$C$4,N(U5082),IF(OR(NOT(COUNTIF('商品マスタ'!$B$6:$B$1005,$W5083)=0),COUNTIFS('①在庫を貼る'!$V$6:$V$10005,$V5083,'①在庫を貼る'!$W$6:$W$10005,$W5083)&gt;0),N(U5082),N(U5082)+1))</f>
        <v/>
      </c>
      <c r="V5083" s="19">
        <f>IF($B5083="","",TEXT($B5083,"0000"))</f>
        <v/>
      </c>
      <c r="W5083" s="19">
        <f>IF($I5083="","",IF(ISNUMBER($I5083),TEXT($I5083,"0"),$I5083))</f>
        <v/>
      </c>
    </row>
    <row r="5084">
      <c r="B5084" s="25" t="n"/>
      <c r="I5084" s="25" t="n"/>
      <c r="U5084" s="19">
        <f>IF($V5084&lt;&gt;'設定'!$C$4,N(U5083),IF(OR(NOT(COUNTIF('商品マスタ'!$B$6:$B$1005,$W5084)=0),COUNTIFS('①在庫を貼る'!$V$6:$V$10005,$V5084,'①在庫を貼る'!$W$6:$W$10005,$W5084)&gt;0),N(U5083),N(U5083)+1))</f>
        <v/>
      </c>
      <c r="V5084" s="19">
        <f>IF($B5084="","",TEXT($B5084,"0000"))</f>
        <v/>
      </c>
      <c r="W5084" s="19">
        <f>IF($I5084="","",IF(ISNUMBER($I5084),TEXT($I5084,"0"),$I5084))</f>
        <v/>
      </c>
    </row>
    <row r="5085">
      <c r="B5085" s="25" t="n"/>
      <c r="I5085" s="25" t="n"/>
      <c r="U5085" s="19">
        <f>IF($V5085&lt;&gt;'設定'!$C$4,N(U5084),IF(OR(NOT(COUNTIF('商品マスタ'!$B$6:$B$1005,$W5085)=0),COUNTIFS('①在庫を貼る'!$V$6:$V$10005,$V5085,'①在庫を貼る'!$W$6:$W$10005,$W5085)&gt;0),N(U5084),N(U5084)+1))</f>
        <v/>
      </c>
      <c r="V5085" s="19">
        <f>IF($B5085="","",TEXT($B5085,"0000"))</f>
        <v/>
      </c>
      <c r="W5085" s="19">
        <f>IF($I5085="","",IF(ISNUMBER($I5085),TEXT($I5085,"0"),$I5085))</f>
        <v/>
      </c>
    </row>
    <row r="5086">
      <c r="B5086" s="25" t="n"/>
      <c r="I5086" s="25" t="n"/>
      <c r="U5086" s="19">
        <f>IF($V5086&lt;&gt;'設定'!$C$4,N(U5085),IF(OR(NOT(COUNTIF('商品マスタ'!$B$6:$B$1005,$W5086)=0),COUNTIFS('①在庫を貼る'!$V$6:$V$10005,$V5086,'①在庫を貼る'!$W$6:$W$10005,$W5086)&gt;0),N(U5085),N(U5085)+1))</f>
        <v/>
      </c>
      <c r="V5086" s="19">
        <f>IF($B5086="","",TEXT($B5086,"0000"))</f>
        <v/>
      </c>
      <c r="W5086" s="19">
        <f>IF($I5086="","",IF(ISNUMBER($I5086),TEXT($I5086,"0"),$I5086))</f>
        <v/>
      </c>
    </row>
    <row r="5087">
      <c r="B5087" s="25" t="n"/>
      <c r="I5087" s="25" t="n"/>
      <c r="U5087" s="19">
        <f>IF($V5087&lt;&gt;'設定'!$C$4,N(U5086),IF(OR(NOT(COUNTIF('商品マスタ'!$B$6:$B$1005,$W5087)=0),COUNTIFS('①在庫を貼る'!$V$6:$V$10005,$V5087,'①在庫を貼る'!$W$6:$W$10005,$W5087)&gt;0),N(U5086),N(U5086)+1))</f>
        <v/>
      </c>
      <c r="V5087" s="19">
        <f>IF($B5087="","",TEXT($B5087,"0000"))</f>
        <v/>
      </c>
      <c r="W5087" s="19">
        <f>IF($I5087="","",IF(ISNUMBER($I5087),TEXT($I5087,"0"),$I5087))</f>
        <v/>
      </c>
    </row>
    <row r="5088">
      <c r="B5088" s="25" t="n"/>
      <c r="I5088" s="25" t="n"/>
      <c r="U5088" s="19">
        <f>IF($V5088&lt;&gt;'設定'!$C$4,N(U5087),IF(OR(NOT(COUNTIF('商品マスタ'!$B$6:$B$1005,$W5088)=0),COUNTIFS('①在庫を貼る'!$V$6:$V$10005,$V5088,'①在庫を貼る'!$W$6:$W$10005,$W5088)&gt;0),N(U5087),N(U5087)+1))</f>
        <v/>
      </c>
      <c r="V5088" s="19">
        <f>IF($B5088="","",TEXT($B5088,"0000"))</f>
        <v/>
      </c>
      <c r="W5088" s="19">
        <f>IF($I5088="","",IF(ISNUMBER($I5088),TEXT($I5088,"0"),$I5088))</f>
        <v/>
      </c>
    </row>
    <row r="5089">
      <c r="B5089" s="25" t="n"/>
      <c r="I5089" s="25" t="n"/>
      <c r="U5089" s="19">
        <f>IF($V5089&lt;&gt;'設定'!$C$4,N(U5088),IF(OR(NOT(COUNTIF('商品マスタ'!$B$6:$B$1005,$W5089)=0),COUNTIFS('①在庫を貼る'!$V$6:$V$10005,$V5089,'①在庫を貼る'!$W$6:$W$10005,$W5089)&gt;0),N(U5088),N(U5088)+1))</f>
        <v/>
      </c>
      <c r="V5089" s="19">
        <f>IF($B5089="","",TEXT($B5089,"0000"))</f>
        <v/>
      </c>
      <c r="W5089" s="19">
        <f>IF($I5089="","",IF(ISNUMBER($I5089),TEXT($I5089,"0"),$I5089))</f>
        <v/>
      </c>
    </row>
    <row r="5090">
      <c r="B5090" s="25" t="n"/>
      <c r="I5090" s="25" t="n"/>
      <c r="U5090" s="19">
        <f>IF($V5090&lt;&gt;'設定'!$C$4,N(U5089),IF(OR(NOT(COUNTIF('商品マスタ'!$B$6:$B$1005,$W5090)=0),COUNTIFS('①在庫を貼る'!$V$6:$V$10005,$V5090,'①在庫を貼る'!$W$6:$W$10005,$W5090)&gt;0),N(U5089),N(U5089)+1))</f>
        <v/>
      </c>
      <c r="V5090" s="19">
        <f>IF($B5090="","",TEXT($B5090,"0000"))</f>
        <v/>
      </c>
      <c r="W5090" s="19">
        <f>IF($I5090="","",IF(ISNUMBER($I5090),TEXT($I5090,"0"),$I5090))</f>
        <v/>
      </c>
    </row>
    <row r="5091">
      <c r="B5091" s="25" t="n"/>
      <c r="I5091" s="25" t="n"/>
      <c r="U5091" s="19">
        <f>IF($V5091&lt;&gt;'設定'!$C$4,N(U5090),IF(OR(NOT(COUNTIF('商品マスタ'!$B$6:$B$1005,$W5091)=0),COUNTIFS('①在庫を貼る'!$V$6:$V$10005,$V5091,'①在庫を貼る'!$W$6:$W$10005,$W5091)&gt;0),N(U5090),N(U5090)+1))</f>
        <v/>
      </c>
      <c r="V5091" s="19">
        <f>IF($B5091="","",TEXT($B5091,"0000"))</f>
        <v/>
      </c>
      <c r="W5091" s="19">
        <f>IF($I5091="","",IF(ISNUMBER($I5091),TEXT($I5091,"0"),$I5091))</f>
        <v/>
      </c>
    </row>
    <row r="5092">
      <c r="B5092" s="25" t="n"/>
      <c r="I5092" s="25" t="n"/>
      <c r="U5092" s="19">
        <f>IF($V5092&lt;&gt;'設定'!$C$4,N(U5091),IF(OR(NOT(COUNTIF('商品マスタ'!$B$6:$B$1005,$W5092)=0),COUNTIFS('①在庫を貼る'!$V$6:$V$10005,$V5092,'①在庫を貼る'!$W$6:$W$10005,$W5092)&gt;0),N(U5091),N(U5091)+1))</f>
        <v/>
      </c>
      <c r="V5092" s="19">
        <f>IF($B5092="","",TEXT($B5092,"0000"))</f>
        <v/>
      </c>
      <c r="W5092" s="19">
        <f>IF($I5092="","",IF(ISNUMBER($I5092),TEXT($I5092,"0"),$I5092))</f>
        <v/>
      </c>
    </row>
    <row r="5093">
      <c r="B5093" s="25" t="n"/>
      <c r="I5093" s="25" t="n"/>
      <c r="U5093" s="19">
        <f>IF($V5093&lt;&gt;'設定'!$C$4,N(U5092),IF(OR(NOT(COUNTIF('商品マスタ'!$B$6:$B$1005,$W5093)=0),COUNTIFS('①在庫を貼る'!$V$6:$V$10005,$V5093,'①在庫を貼る'!$W$6:$W$10005,$W5093)&gt;0),N(U5092),N(U5092)+1))</f>
        <v/>
      </c>
      <c r="V5093" s="19">
        <f>IF($B5093="","",TEXT($B5093,"0000"))</f>
        <v/>
      </c>
      <c r="W5093" s="19">
        <f>IF($I5093="","",IF(ISNUMBER($I5093),TEXT($I5093,"0"),$I5093))</f>
        <v/>
      </c>
    </row>
    <row r="5094">
      <c r="B5094" s="25" t="n"/>
      <c r="I5094" s="25" t="n"/>
      <c r="U5094" s="19">
        <f>IF($V5094&lt;&gt;'設定'!$C$4,N(U5093),IF(OR(NOT(COUNTIF('商品マスタ'!$B$6:$B$1005,$W5094)=0),COUNTIFS('①在庫を貼る'!$V$6:$V$10005,$V5094,'①在庫を貼る'!$W$6:$W$10005,$W5094)&gt;0),N(U5093),N(U5093)+1))</f>
        <v/>
      </c>
      <c r="V5094" s="19">
        <f>IF($B5094="","",TEXT($B5094,"0000"))</f>
        <v/>
      </c>
      <c r="W5094" s="19">
        <f>IF($I5094="","",IF(ISNUMBER($I5094),TEXT($I5094,"0"),$I5094))</f>
        <v/>
      </c>
    </row>
    <row r="5095">
      <c r="B5095" s="25" t="n"/>
      <c r="I5095" s="25" t="n"/>
      <c r="U5095" s="19">
        <f>IF($V5095&lt;&gt;'設定'!$C$4,N(U5094),IF(OR(NOT(COUNTIF('商品マスタ'!$B$6:$B$1005,$W5095)=0),COUNTIFS('①在庫を貼る'!$V$6:$V$10005,$V5095,'①在庫を貼る'!$W$6:$W$10005,$W5095)&gt;0),N(U5094),N(U5094)+1))</f>
        <v/>
      </c>
      <c r="V5095" s="19">
        <f>IF($B5095="","",TEXT($B5095,"0000"))</f>
        <v/>
      </c>
      <c r="W5095" s="19">
        <f>IF($I5095="","",IF(ISNUMBER($I5095),TEXT($I5095,"0"),$I5095))</f>
        <v/>
      </c>
    </row>
    <row r="5096">
      <c r="B5096" s="25" t="n"/>
      <c r="I5096" s="25" t="n"/>
      <c r="U5096" s="19">
        <f>IF($V5096&lt;&gt;'設定'!$C$4,N(U5095),IF(OR(NOT(COUNTIF('商品マスタ'!$B$6:$B$1005,$W5096)=0),COUNTIFS('①在庫を貼る'!$V$6:$V$10005,$V5096,'①在庫を貼る'!$W$6:$W$10005,$W5096)&gt;0),N(U5095),N(U5095)+1))</f>
        <v/>
      </c>
      <c r="V5096" s="19">
        <f>IF($B5096="","",TEXT($B5096,"0000"))</f>
        <v/>
      </c>
      <c r="W5096" s="19">
        <f>IF($I5096="","",IF(ISNUMBER($I5096),TEXT($I5096,"0"),$I5096))</f>
        <v/>
      </c>
    </row>
    <row r="5097">
      <c r="B5097" s="25" t="n"/>
      <c r="I5097" s="25" t="n"/>
      <c r="U5097" s="19">
        <f>IF($V5097&lt;&gt;'設定'!$C$4,N(U5096),IF(OR(NOT(COUNTIF('商品マスタ'!$B$6:$B$1005,$W5097)=0),COUNTIFS('①在庫を貼る'!$V$6:$V$10005,$V5097,'①在庫を貼る'!$W$6:$W$10005,$W5097)&gt;0),N(U5096),N(U5096)+1))</f>
        <v/>
      </c>
      <c r="V5097" s="19">
        <f>IF($B5097="","",TEXT($B5097,"0000"))</f>
        <v/>
      </c>
      <c r="W5097" s="19">
        <f>IF($I5097="","",IF(ISNUMBER($I5097),TEXT($I5097,"0"),$I5097))</f>
        <v/>
      </c>
    </row>
    <row r="5098">
      <c r="B5098" s="25" t="n"/>
      <c r="I5098" s="25" t="n"/>
      <c r="U5098" s="19">
        <f>IF($V5098&lt;&gt;'設定'!$C$4,N(U5097),IF(OR(NOT(COUNTIF('商品マスタ'!$B$6:$B$1005,$W5098)=0),COUNTIFS('①在庫を貼る'!$V$6:$V$10005,$V5098,'①在庫を貼る'!$W$6:$W$10005,$W5098)&gt;0),N(U5097),N(U5097)+1))</f>
        <v/>
      </c>
      <c r="V5098" s="19">
        <f>IF($B5098="","",TEXT($B5098,"0000"))</f>
        <v/>
      </c>
      <c r="W5098" s="19">
        <f>IF($I5098="","",IF(ISNUMBER($I5098),TEXT($I5098,"0"),$I5098))</f>
        <v/>
      </c>
    </row>
    <row r="5099">
      <c r="B5099" s="25" t="n"/>
      <c r="I5099" s="25" t="n"/>
      <c r="U5099" s="19">
        <f>IF($V5099&lt;&gt;'設定'!$C$4,N(U5098),IF(OR(NOT(COUNTIF('商品マスタ'!$B$6:$B$1005,$W5099)=0),COUNTIFS('①在庫を貼る'!$V$6:$V$10005,$V5099,'①在庫を貼る'!$W$6:$W$10005,$W5099)&gt;0),N(U5098),N(U5098)+1))</f>
        <v/>
      </c>
      <c r="V5099" s="19">
        <f>IF($B5099="","",TEXT($B5099,"0000"))</f>
        <v/>
      </c>
      <c r="W5099" s="19">
        <f>IF($I5099="","",IF(ISNUMBER($I5099),TEXT($I5099,"0"),$I5099))</f>
        <v/>
      </c>
    </row>
    <row r="5100">
      <c r="B5100" s="25" t="n"/>
      <c r="I5100" s="25" t="n"/>
      <c r="U5100" s="19">
        <f>IF($V5100&lt;&gt;'設定'!$C$4,N(U5099),IF(OR(NOT(COUNTIF('商品マスタ'!$B$6:$B$1005,$W5100)=0),COUNTIFS('①在庫を貼る'!$V$6:$V$10005,$V5100,'①在庫を貼る'!$W$6:$W$10005,$W5100)&gt;0),N(U5099),N(U5099)+1))</f>
        <v/>
      </c>
      <c r="V5100" s="19">
        <f>IF($B5100="","",TEXT($B5100,"0000"))</f>
        <v/>
      </c>
      <c r="W5100" s="19">
        <f>IF($I5100="","",IF(ISNUMBER($I5100),TEXT($I5100,"0"),$I5100))</f>
        <v/>
      </c>
    </row>
    <row r="5101">
      <c r="B5101" s="25" t="n"/>
      <c r="I5101" s="25" t="n"/>
      <c r="U5101" s="19">
        <f>IF($V5101&lt;&gt;'設定'!$C$4,N(U5100),IF(OR(NOT(COUNTIF('商品マスタ'!$B$6:$B$1005,$W5101)=0),COUNTIFS('①在庫を貼る'!$V$6:$V$10005,$V5101,'①在庫を貼る'!$W$6:$W$10005,$W5101)&gt;0),N(U5100),N(U5100)+1))</f>
        <v/>
      </c>
      <c r="V5101" s="19">
        <f>IF($B5101="","",TEXT($B5101,"0000"))</f>
        <v/>
      </c>
      <c r="W5101" s="19">
        <f>IF($I5101="","",IF(ISNUMBER($I5101),TEXT($I5101,"0"),$I5101))</f>
        <v/>
      </c>
    </row>
    <row r="5102">
      <c r="B5102" s="25" t="n"/>
      <c r="I5102" s="25" t="n"/>
      <c r="U5102" s="19">
        <f>IF($V5102&lt;&gt;'設定'!$C$4,N(U5101),IF(OR(NOT(COUNTIF('商品マスタ'!$B$6:$B$1005,$W5102)=0),COUNTIFS('①在庫を貼る'!$V$6:$V$10005,$V5102,'①在庫を貼る'!$W$6:$W$10005,$W5102)&gt;0),N(U5101),N(U5101)+1))</f>
        <v/>
      </c>
      <c r="V5102" s="19">
        <f>IF($B5102="","",TEXT($B5102,"0000"))</f>
        <v/>
      </c>
      <c r="W5102" s="19">
        <f>IF($I5102="","",IF(ISNUMBER($I5102),TEXT($I5102,"0"),$I5102))</f>
        <v/>
      </c>
    </row>
    <row r="5103">
      <c r="B5103" s="25" t="n"/>
      <c r="I5103" s="25" t="n"/>
      <c r="U5103" s="19">
        <f>IF($V5103&lt;&gt;'設定'!$C$4,N(U5102),IF(OR(NOT(COUNTIF('商品マスタ'!$B$6:$B$1005,$W5103)=0),COUNTIFS('①在庫を貼る'!$V$6:$V$10005,$V5103,'①在庫を貼る'!$W$6:$W$10005,$W5103)&gt;0),N(U5102),N(U5102)+1))</f>
        <v/>
      </c>
      <c r="V5103" s="19">
        <f>IF($B5103="","",TEXT($B5103,"0000"))</f>
        <v/>
      </c>
      <c r="W5103" s="19">
        <f>IF($I5103="","",IF(ISNUMBER($I5103),TEXT($I5103,"0"),$I5103))</f>
        <v/>
      </c>
    </row>
    <row r="5104">
      <c r="B5104" s="25" t="n"/>
      <c r="I5104" s="25" t="n"/>
      <c r="U5104" s="19">
        <f>IF($V5104&lt;&gt;'設定'!$C$4,N(U5103),IF(OR(NOT(COUNTIF('商品マスタ'!$B$6:$B$1005,$W5104)=0),COUNTIFS('①在庫を貼る'!$V$6:$V$10005,$V5104,'①在庫を貼る'!$W$6:$W$10005,$W5104)&gt;0),N(U5103),N(U5103)+1))</f>
        <v/>
      </c>
      <c r="V5104" s="19">
        <f>IF($B5104="","",TEXT($B5104,"0000"))</f>
        <v/>
      </c>
      <c r="W5104" s="19">
        <f>IF($I5104="","",IF(ISNUMBER($I5104),TEXT($I5104,"0"),$I5104))</f>
        <v/>
      </c>
    </row>
    <row r="5105">
      <c r="B5105" s="25" t="n"/>
      <c r="I5105" s="25" t="n"/>
      <c r="U5105" s="19">
        <f>IF($V5105&lt;&gt;'設定'!$C$4,N(U5104),IF(OR(NOT(COUNTIF('商品マスタ'!$B$6:$B$1005,$W5105)=0),COUNTIFS('①在庫を貼る'!$V$6:$V$10005,$V5105,'①在庫を貼る'!$W$6:$W$10005,$W5105)&gt;0),N(U5104),N(U5104)+1))</f>
        <v/>
      </c>
      <c r="V5105" s="19">
        <f>IF($B5105="","",TEXT($B5105,"0000"))</f>
        <v/>
      </c>
      <c r="W5105" s="19">
        <f>IF($I5105="","",IF(ISNUMBER($I5105),TEXT($I5105,"0"),$I5105))</f>
        <v/>
      </c>
    </row>
    <row r="5106">
      <c r="B5106" s="25" t="n"/>
      <c r="I5106" s="25" t="n"/>
      <c r="U5106" s="19">
        <f>IF($V5106&lt;&gt;'設定'!$C$4,N(U5105),IF(OR(NOT(COUNTIF('商品マスタ'!$B$6:$B$1005,$W5106)=0),COUNTIFS('①在庫を貼る'!$V$6:$V$10005,$V5106,'①在庫を貼る'!$W$6:$W$10005,$W5106)&gt;0),N(U5105),N(U5105)+1))</f>
        <v/>
      </c>
      <c r="V5106" s="19">
        <f>IF($B5106="","",TEXT($B5106,"0000"))</f>
        <v/>
      </c>
      <c r="W5106" s="19">
        <f>IF($I5106="","",IF(ISNUMBER($I5106),TEXT($I5106,"0"),$I5106))</f>
        <v/>
      </c>
    </row>
    <row r="5107">
      <c r="B5107" s="25" t="n"/>
      <c r="I5107" s="25" t="n"/>
      <c r="U5107" s="19">
        <f>IF($V5107&lt;&gt;'設定'!$C$4,N(U5106),IF(OR(NOT(COUNTIF('商品マスタ'!$B$6:$B$1005,$W5107)=0),COUNTIFS('①在庫を貼る'!$V$6:$V$10005,$V5107,'①在庫を貼る'!$W$6:$W$10005,$W5107)&gt;0),N(U5106),N(U5106)+1))</f>
        <v/>
      </c>
      <c r="V5107" s="19">
        <f>IF($B5107="","",TEXT($B5107,"0000"))</f>
        <v/>
      </c>
      <c r="W5107" s="19">
        <f>IF($I5107="","",IF(ISNUMBER($I5107),TEXT($I5107,"0"),$I5107))</f>
        <v/>
      </c>
    </row>
    <row r="5108">
      <c r="B5108" s="25" t="n"/>
      <c r="I5108" s="25" t="n"/>
      <c r="U5108" s="19">
        <f>IF($V5108&lt;&gt;'設定'!$C$4,N(U5107),IF(OR(NOT(COUNTIF('商品マスタ'!$B$6:$B$1005,$W5108)=0),COUNTIFS('①在庫を貼る'!$V$6:$V$10005,$V5108,'①在庫を貼る'!$W$6:$W$10005,$W5108)&gt;0),N(U5107),N(U5107)+1))</f>
        <v/>
      </c>
      <c r="V5108" s="19">
        <f>IF($B5108="","",TEXT($B5108,"0000"))</f>
        <v/>
      </c>
      <c r="W5108" s="19">
        <f>IF($I5108="","",IF(ISNUMBER($I5108),TEXT($I5108,"0"),$I5108))</f>
        <v/>
      </c>
    </row>
    <row r="5109">
      <c r="B5109" s="25" t="n"/>
      <c r="I5109" s="25" t="n"/>
      <c r="U5109" s="19">
        <f>IF($V5109&lt;&gt;'設定'!$C$4,N(U5108),IF(OR(NOT(COUNTIF('商品マスタ'!$B$6:$B$1005,$W5109)=0),COUNTIFS('①在庫を貼る'!$V$6:$V$10005,$V5109,'①在庫を貼る'!$W$6:$W$10005,$W5109)&gt;0),N(U5108),N(U5108)+1))</f>
        <v/>
      </c>
      <c r="V5109" s="19">
        <f>IF($B5109="","",TEXT($B5109,"0000"))</f>
        <v/>
      </c>
      <c r="W5109" s="19">
        <f>IF($I5109="","",IF(ISNUMBER($I5109),TEXT($I5109,"0"),$I5109))</f>
        <v/>
      </c>
    </row>
    <row r="5110">
      <c r="B5110" s="25" t="n"/>
      <c r="I5110" s="25" t="n"/>
      <c r="U5110" s="19">
        <f>IF($V5110&lt;&gt;'設定'!$C$4,N(U5109),IF(OR(NOT(COUNTIF('商品マスタ'!$B$6:$B$1005,$W5110)=0),COUNTIFS('①在庫を貼る'!$V$6:$V$10005,$V5110,'①在庫を貼る'!$W$6:$W$10005,$W5110)&gt;0),N(U5109),N(U5109)+1))</f>
        <v/>
      </c>
      <c r="V5110" s="19">
        <f>IF($B5110="","",TEXT($B5110,"0000"))</f>
        <v/>
      </c>
      <c r="W5110" s="19">
        <f>IF($I5110="","",IF(ISNUMBER($I5110),TEXT($I5110,"0"),$I5110))</f>
        <v/>
      </c>
    </row>
    <row r="5111">
      <c r="B5111" s="25" t="n"/>
      <c r="I5111" s="25" t="n"/>
      <c r="U5111" s="19">
        <f>IF($V5111&lt;&gt;'設定'!$C$4,N(U5110),IF(OR(NOT(COUNTIF('商品マスタ'!$B$6:$B$1005,$W5111)=0),COUNTIFS('①在庫を貼る'!$V$6:$V$10005,$V5111,'①在庫を貼る'!$W$6:$W$10005,$W5111)&gt;0),N(U5110),N(U5110)+1))</f>
        <v/>
      </c>
      <c r="V5111" s="19">
        <f>IF($B5111="","",TEXT($B5111,"0000"))</f>
        <v/>
      </c>
      <c r="W5111" s="19">
        <f>IF($I5111="","",IF(ISNUMBER($I5111),TEXT($I5111,"0"),$I5111))</f>
        <v/>
      </c>
    </row>
    <row r="5112">
      <c r="B5112" s="25" t="n"/>
      <c r="I5112" s="25" t="n"/>
      <c r="U5112" s="19">
        <f>IF($V5112&lt;&gt;'設定'!$C$4,N(U5111),IF(OR(NOT(COUNTIF('商品マスタ'!$B$6:$B$1005,$W5112)=0),COUNTIFS('①在庫を貼る'!$V$6:$V$10005,$V5112,'①在庫を貼る'!$W$6:$W$10005,$W5112)&gt;0),N(U5111),N(U5111)+1))</f>
        <v/>
      </c>
      <c r="V5112" s="19">
        <f>IF($B5112="","",TEXT($B5112,"0000"))</f>
        <v/>
      </c>
      <c r="W5112" s="19">
        <f>IF($I5112="","",IF(ISNUMBER($I5112),TEXT($I5112,"0"),$I5112))</f>
        <v/>
      </c>
    </row>
    <row r="5113">
      <c r="B5113" s="25" t="n"/>
      <c r="I5113" s="25" t="n"/>
      <c r="U5113" s="19">
        <f>IF($V5113&lt;&gt;'設定'!$C$4,N(U5112),IF(OR(NOT(COUNTIF('商品マスタ'!$B$6:$B$1005,$W5113)=0),COUNTIFS('①在庫を貼る'!$V$6:$V$10005,$V5113,'①在庫を貼る'!$W$6:$W$10005,$W5113)&gt;0),N(U5112),N(U5112)+1))</f>
        <v/>
      </c>
      <c r="V5113" s="19">
        <f>IF($B5113="","",TEXT($B5113,"0000"))</f>
        <v/>
      </c>
      <c r="W5113" s="19">
        <f>IF($I5113="","",IF(ISNUMBER($I5113),TEXT($I5113,"0"),$I5113))</f>
        <v/>
      </c>
    </row>
    <row r="5114">
      <c r="B5114" s="25" t="n"/>
      <c r="I5114" s="25" t="n"/>
      <c r="U5114" s="19">
        <f>IF($V5114&lt;&gt;'設定'!$C$4,N(U5113),IF(OR(NOT(COUNTIF('商品マスタ'!$B$6:$B$1005,$W5114)=0),COUNTIFS('①在庫を貼る'!$V$6:$V$10005,$V5114,'①在庫を貼る'!$W$6:$W$10005,$W5114)&gt;0),N(U5113),N(U5113)+1))</f>
        <v/>
      </c>
      <c r="V5114" s="19">
        <f>IF($B5114="","",TEXT($B5114,"0000"))</f>
        <v/>
      </c>
      <c r="W5114" s="19">
        <f>IF($I5114="","",IF(ISNUMBER($I5114),TEXT($I5114,"0"),$I5114))</f>
        <v/>
      </c>
    </row>
    <row r="5115">
      <c r="B5115" s="25" t="n"/>
      <c r="I5115" s="25" t="n"/>
      <c r="U5115" s="19">
        <f>IF($V5115&lt;&gt;'設定'!$C$4,N(U5114),IF(OR(NOT(COUNTIF('商品マスタ'!$B$6:$B$1005,$W5115)=0),COUNTIFS('①在庫を貼る'!$V$6:$V$10005,$V5115,'①在庫を貼る'!$W$6:$W$10005,$W5115)&gt;0),N(U5114),N(U5114)+1))</f>
        <v/>
      </c>
      <c r="V5115" s="19">
        <f>IF($B5115="","",TEXT($B5115,"0000"))</f>
        <v/>
      </c>
      <c r="W5115" s="19">
        <f>IF($I5115="","",IF(ISNUMBER($I5115),TEXT($I5115,"0"),$I5115))</f>
        <v/>
      </c>
    </row>
    <row r="5116">
      <c r="B5116" s="25" t="n"/>
      <c r="I5116" s="25" t="n"/>
      <c r="U5116" s="19">
        <f>IF($V5116&lt;&gt;'設定'!$C$4,N(U5115),IF(OR(NOT(COUNTIF('商品マスタ'!$B$6:$B$1005,$W5116)=0),COUNTIFS('①在庫を貼る'!$V$6:$V$10005,$V5116,'①在庫を貼る'!$W$6:$W$10005,$W5116)&gt;0),N(U5115),N(U5115)+1))</f>
        <v/>
      </c>
      <c r="V5116" s="19">
        <f>IF($B5116="","",TEXT($B5116,"0000"))</f>
        <v/>
      </c>
      <c r="W5116" s="19">
        <f>IF($I5116="","",IF(ISNUMBER($I5116),TEXT($I5116,"0"),$I5116))</f>
        <v/>
      </c>
    </row>
    <row r="5117">
      <c r="B5117" s="25" t="n"/>
      <c r="I5117" s="25" t="n"/>
      <c r="U5117" s="19">
        <f>IF($V5117&lt;&gt;'設定'!$C$4,N(U5116),IF(OR(NOT(COUNTIF('商品マスタ'!$B$6:$B$1005,$W5117)=0),COUNTIFS('①在庫を貼る'!$V$6:$V$10005,$V5117,'①在庫を貼る'!$W$6:$W$10005,$W5117)&gt;0),N(U5116),N(U5116)+1))</f>
        <v/>
      </c>
      <c r="V5117" s="19">
        <f>IF($B5117="","",TEXT($B5117,"0000"))</f>
        <v/>
      </c>
      <c r="W5117" s="19">
        <f>IF($I5117="","",IF(ISNUMBER($I5117),TEXT($I5117,"0"),$I5117))</f>
        <v/>
      </c>
    </row>
    <row r="5118">
      <c r="B5118" s="25" t="n"/>
      <c r="I5118" s="25" t="n"/>
      <c r="U5118" s="19">
        <f>IF($V5118&lt;&gt;'設定'!$C$4,N(U5117),IF(OR(NOT(COUNTIF('商品マスタ'!$B$6:$B$1005,$W5118)=0),COUNTIFS('①在庫を貼る'!$V$6:$V$10005,$V5118,'①在庫を貼る'!$W$6:$W$10005,$W5118)&gt;0),N(U5117),N(U5117)+1))</f>
        <v/>
      </c>
      <c r="V5118" s="19">
        <f>IF($B5118="","",TEXT($B5118,"0000"))</f>
        <v/>
      </c>
      <c r="W5118" s="19">
        <f>IF($I5118="","",IF(ISNUMBER($I5118),TEXT($I5118,"0"),$I5118))</f>
        <v/>
      </c>
    </row>
    <row r="5119">
      <c r="B5119" s="25" t="n"/>
      <c r="I5119" s="25" t="n"/>
      <c r="U5119" s="19">
        <f>IF($V5119&lt;&gt;'設定'!$C$4,N(U5118),IF(OR(NOT(COUNTIF('商品マスタ'!$B$6:$B$1005,$W5119)=0),COUNTIFS('①在庫を貼る'!$V$6:$V$10005,$V5119,'①在庫を貼る'!$W$6:$W$10005,$W5119)&gt;0),N(U5118),N(U5118)+1))</f>
        <v/>
      </c>
      <c r="V5119" s="19">
        <f>IF($B5119="","",TEXT($B5119,"0000"))</f>
        <v/>
      </c>
      <c r="W5119" s="19">
        <f>IF($I5119="","",IF(ISNUMBER($I5119),TEXT($I5119,"0"),$I5119))</f>
        <v/>
      </c>
    </row>
    <row r="5120">
      <c r="B5120" s="25" t="n"/>
      <c r="I5120" s="25" t="n"/>
      <c r="U5120" s="19">
        <f>IF($V5120&lt;&gt;'設定'!$C$4,N(U5119),IF(OR(NOT(COUNTIF('商品マスタ'!$B$6:$B$1005,$W5120)=0),COUNTIFS('①在庫を貼る'!$V$6:$V$10005,$V5120,'①在庫を貼る'!$W$6:$W$10005,$W5120)&gt;0),N(U5119),N(U5119)+1))</f>
        <v/>
      </c>
      <c r="V5120" s="19">
        <f>IF($B5120="","",TEXT($B5120,"0000"))</f>
        <v/>
      </c>
      <c r="W5120" s="19">
        <f>IF($I5120="","",IF(ISNUMBER($I5120),TEXT($I5120,"0"),$I5120))</f>
        <v/>
      </c>
    </row>
    <row r="5121">
      <c r="B5121" s="25" t="n"/>
      <c r="I5121" s="25" t="n"/>
      <c r="U5121" s="19">
        <f>IF($V5121&lt;&gt;'設定'!$C$4,N(U5120),IF(OR(NOT(COUNTIF('商品マスタ'!$B$6:$B$1005,$W5121)=0),COUNTIFS('①在庫を貼る'!$V$6:$V$10005,$V5121,'①在庫を貼る'!$W$6:$W$10005,$W5121)&gt;0),N(U5120),N(U5120)+1))</f>
        <v/>
      </c>
      <c r="V5121" s="19">
        <f>IF($B5121="","",TEXT($B5121,"0000"))</f>
        <v/>
      </c>
      <c r="W5121" s="19">
        <f>IF($I5121="","",IF(ISNUMBER($I5121),TEXT($I5121,"0"),$I5121))</f>
        <v/>
      </c>
    </row>
    <row r="5122">
      <c r="B5122" s="25" t="n"/>
      <c r="I5122" s="25" t="n"/>
      <c r="U5122" s="19">
        <f>IF($V5122&lt;&gt;'設定'!$C$4,N(U5121),IF(OR(NOT(COUNTIF('商品マスタ'!$B$6:$B$1005,$W5122)=0),COUNTIFS('①在庫を貼る'!$V$6:$V$10005,$V5122,'①在庫を貼る'!$W$6:$W$10005,$W5122)&gt;0),N(U5121),N(U5121)+1))</f>
        <v/>
      </c>
      <c r="V5122" s="19">
        <f>IF($B5122="","",TEXT($B5122,"0000"))</f>
        <v/>
      </c>
      <c r="W5122" s="19">
        <f>IF($I5122="","",IF(ISNUMBER($I5122),TEXT($I5122,"0"),$I5122))</f>
        <v/>
      </c>
    </row>
    <row r="5123">
      <c r="B5123" s="25" t="n"/>
      <c r="I5123" s="25" t="n"/>
      <c r="U5123" s="19">
        <f>IF($V5123&lt;&gt;'設定'!$C$4,N(U5122),IF(OR(NOT(COUNTIF('商品マスタ'!$B$6:$B$1005,$W5123)=0),COUNTIFS('①在庫を貼る'!$V$6:$V$10005,$V5123,'①在庫を貼る'!$W$6:$W$10005,$W5123)&gt;0),N(U5122),N(U5122)+1))</f>
        <v/>
      </c>
      <c r="V5123" s="19">
        <f>IF($B5123="","",TEXT($B5123,"0000"))</f>
        <v/>
      </c>
      <c r="W5123" s="19">
        <f>IF($I5123="","",IF(ISNUMBER($I5123),TEXT($I5123,"0"),$I5123))</f>
        <v/>
      </c>
    </row>
    <row r="5124">
      <c r="B5124" s="25" t="n"/>
      <c r="I5124" s="25" t="n"/>
      <c r="U5124" s="19">
        <f>IF($V5124&lt;&gt;'設定'!$C$4,N(U5123),IF(OR(NOT(COUNTIF('商品マスタ'!$B$6:$B$1005,$W5124)=0),COUNTIFS('①在庫を貼る'!$V$6:$V$10005,$V5124,'①在庫を貼る'!$W$6:$W$10005,$W5124)&gt;0),N(U5123),N(U5123)+1))</f>
        <v/>
      </c>
      <c r="V5124" s="19">
        <f>IF($B5124="","",TEXT($B5124,"0000"))</f>
        <v/>
      </c>
      <c r="W5124" s="19">
        <f>IF($I5124="","",IF(ISNUMBER($I5124),TEXT($I5124,"0"),$I5124))</f>
        <v/>
      </c>
    </row>
    <row r="5125">
      <c r="B5125" s="25" t="n"/>
      <c r="I5125" s="25" t="n"/>
      <c r="U5125" s="19">
        <f>IF($V5125&lt;&gt;'設定'!$C$4,N(U5124),IF(OR(NOT(COUNTIF('商品マスタ'!$B$6:$B$1005,$W5125)=0),COUNTIFS('①在庫を貼る'!$V$6:$V$10005,$V5125,'①在庫を貼る'!$W$6:$W$10005,$W5125)&gt;0),N(U5124),N(U5124)+1))</f>
        <v/>
      </c>
      <c r="V5125" s="19">
        <f>IF($B5125="","",TEXT($B5125,"0000"))</f>
        <v/>
      </c>
      <c r="W5125" s="19">
        <f>IF($I5125="","",IF(ISNUMBER($I5125),TEXT($I5125,"0"),$I5125))</f>
        <v/>
      </c>
    </row>
    <row r="5126">
      <c r="B5126" s="25" t="n"/>
      <c r="I5126" s="25" t="n"/>
      <c r="U5126" s="19">
        <f>IF($V5126&lt;&gt;'設定'!$C$4,N(U5125),IF(OR(NOT(COUNTIF('商品マスタ'!$B$6:$B$1005,$W5126)=0),COUNTIFS('①在庫を貼る'!$V$6:$V$10005,$V5126,'①在庫を貼る'!$W$6:$W$10005,$W5126)&gt;0),N(U5125),N(U5125)+1))</f>
        <v/>
      </c>
      <c r="V5126" s="19">
        <f>IF($B5126="","",TEXT($B5126,"0000"))</f>
        <v/>
      </c>
      <c r="W5126" s="19">
        <f>IF($I5126="","",IF(ISNUMBER($I5126),TEXT($I5126,"0"),$I5126))</f>
        <v/>
      </c>
    </row>
    <row r="5127">
      <c r="B5127" s="25" t="n"/>
      <c r="I5127" s="25" t="n"/>
      <c r="U5127" s="19">
        <f>IF($V5127&lt;&gt;'設定'!$C$4,N(U5126),IF(OR(NOT(COUNTIF('商品マスタ'!$B$6:$B$1005,$W5127)=0),COUNTIFS('①在庫を貼る'!$V$6:$V$10005,$V5127,'①在庫を貼る'!$W$6:$W$10005,$W5127)&gt;0),N(U5126),N(U5126)+1))</f>
        <v/>
      </c>
      <c r="V5127" s="19">
        <f>IF($B5127="","",TEXT($B5127,"0000"))</f>
        <v/>
      </c>
      <c r="W5127" s="19">
        <f>IF($I5127="","",IF(ISNUMBER($I5127),TEXT($I5127,"0"),$I5127))</f>
        <v/>
      </c>
    </row>
    <row r="5128">
      <c r="B5128" s="25" t="n"/>
      <c r="I5128" s="25" t="n"/>
      <c r="U5128" s="19">
        <f>IF($V5128&lt;&gt;'設定'!$C$4,N(U5127),IF(OR(NOT(COUNTIF('商品マスタ'!$B$6:$B$1005,$W5128)=0),COUNTIFS('①在庫を貼る'!$V$6:$V$10005,$V5128,'①在庫を貼る'!$W$6:$W$10005,$W5128)&gt;0),N(U5127),N(U5127)+1))</f>
        <v/>
      </c>
      <c r="V5128" s="19">
        <f>IF($B5128="","",TEXT($B5128,"0000"))</f>
        <v/>
      </c>
      <c r="W5128" s="19">
        <f>IF($I5128="","",IF(ISNUMBER($I5128),TEXT($I5128,"0"),$I5128))</f>
        <v/>
      </c>
    </row>
    <row r="5129">
      <c r="B5129" s="25" t="n"/>
      <c r="I5129" s="25" t="n"/>
      <c r="U5129" s="19">
        <f>IF($V5129&lt;&gt;'設定'!$C$4,N(U5128),IF(OR(NOT(COUNTIF('商品マスタ'!$B$6:$B$1005,$W5129)=0),COUNTIFS('①在庫を貼る'!$V$6:$V$10005,$V5129,'①在庫を貼る'!$W$6:$W$10005,$W5129)&gt;0),N(U5128),N(U5128)+1))</f>
        <v/>
      </c>
      <c r="V5129" s="19">
        <f>IF($B5129="","",TEXT($B5129,"0000"))</f>
        <v/>
      </c>
      <c r="W5129" s="19">
        <f>IF($I5129="","",IF(ISNUMBER($I5129),TEXT($I5129,"0"),$I5129))</f>
        <v/>
      </c>
    </row>
    <row r="5130">
      <c r="B5130" s="25" t="n"/>
      <c r="I5130" s="25" t="n"/>
      <c r="U5130" s="19">
        <f>IF($V5130&lt;&gt;'設定'!$C$4,N(U5129),IF(OR(NOT(COUNTIF('商品マスタ'!$B$6:$B$1005,$W5130)=0),COUNTIFS('①在庫を貼る'!$V$6:$V$10005,$V5130,'①在庫を貼る'!$W$6:$W$10005,$W5130)&gt;0),N(U5129),N(U5129)+1))</f>
        <v/>
      </c>
      <c r="V5130" s="19">
        <f>IF($B5130="","",TEXT($B5130,"0000"))</f>
        <v/>
      </c>
      <c r="W5130" s="19">
        <f>IF($I5130="","",IF(ISNUMBER($I5130),TEXT($I5130,"0"),$I5130))</f>
        <v/>
      </c>
    </row>
    <row r="5131">
      <c r="B5131" s="25" t="n"/>
      <c r="I5131" s="25" t="n"/>
      <c r="U5131" s="19">
        <f>IF($V5131&lt;&gt;'設定'!$C$4,N(U5130),IF(OR(NOT(COUNTIF('商品マスタ'!$B$6:$B$1005,$W5131)=0),COUNTIFS('①在庫を貼る'!$V$6:$V$10005,$V5131,'①在庫を貼る'!$W$6:$W$10005,$W5131)&gt;0),N(U5130),N(U5130)+1))</f>
        <v/>
      </c>
      <c r="V5131" s="19">
        <f>IF($B5131="","",TEXT($B5131,"0000"))</f>
        <v/>
      </c>
      <c r="W5131" s="19">
        <f>IF($I5131="","",IF(ISNUMBER($I5131),TEXT($I5131,"0"),$I5131))</f>
        <v/>
      </c>
    </row>
    <row r="5132">
      <c r="B5132" s="25" t="n"/>
      <c r="I5132" s="25" t="n"/>
      <c r="U5132" s="19">
        <f>IF($V5132&lt;&gt;'設定'!$C$4,N(U5131),IF(OR(NOT(COUNTIF('商品マスタ'!$B$6:$B$1005,$W5132)=0),COUNTIFS('①在庫を貼る'!$V$6:$V$10005,$V5132,'①在庫を貼る'!$W$6:$W$10005,$W5132)&gt;0),N(U5131),N(U5131)+1))</f>
        <v/>
      </c>
      <c r="V5132" s="19">
        <f>IF($B5132="","",TEXT($B5132,"0000"))</f>
        <v/>
      </c>
      <c r="W5132" s="19">
        <f>IF($I5132="","",IF(ISNUMBER($I5132),TEXT($I5132,"0"),$I5132))</f>
        <v/>
      </c>
    </row>
    <row r="5133">
      <c r="B5133" s="25" t="n"/>
      <c r="I5133" s="25" t="n"/>
      <c r="U5133" s="19">
        <f>IF($V5133&lt;&gt;'設定'!$C$4,N(U5132),IF(OR(NOT(COUNTIF('商品マスタ'!$B$6:$B$1005,$W5133)=0),COUNTIFS('①在庫を貼る'!$V$6:$V$10005,$V5133,'①在庫を貼る'!$W$6:$W$10005,$W5133)&gt;0),N(U5132),N(U5132)+1))</f>
        <v/>
      </c>
      <c r="V5133" s="19">
        <f>IF($B5133="","",TEXT($B5133,"0000"))</f>
        <v/>
      </c>
      <c r="W5133" s="19">
        <f>IF($I5133="","",IF(ISNUMBER($I5133),TEXT($I5133,"0"),$I5133))</f>
        <v/>
      </c>
    </row>
    <row r="5134">
      <c r="B5134" s="25" t="n"/>
      <c r="I5134" s="25" t="n"/>
      <c r="U5134" s="19">
        <f>IF($V5134&lt;&gt;'設定'!$C$4,N(U5133),IF(OR(NOT(COUNTIF('商品マスタ'!$B$6:$B$1005,$W5134)=0),COUNTIFS('①在庫を貼る'!$V$6:$V$10005,$V5134,'①在庫を貼る'!$W$6:$W$10005,$W5134)&gt;0),N(U5133),N(U5133)+1))</f>
        <v/>
      </c>
      <c r="V5134" s="19">
        <f>IF($B5134="","",TEXT($B5134,"0000"))</f>
        <v/>
      </c>
      <c r="W5134" s="19">
        <f>IF($I5134="","",IF(ISNUMBER($I5134),TEXT($I5134,"0"),$I5134))</f>
        <v/>
      </c>
    </row>
    <row r="5135">
      <c r="B5135" s="25" t="n"/>
      <c r="I5135" s="25" t="n"/>
      <c r="U5135" s="19">
        <f>IF($V5135&lt;&gt;'設定'!$C$4,N(U5134),IF(OR(NOT(COUNTIF('商品マスタ'!$B$6:$B$1005,$W5135)=0),COUNTIFS('①在庫を貼る'!$V$6:$V$10005,$V5135,'①在庫を貼る'!$W$6:$W$10005,$W5135)&gt;0),N(U5134),N(U5134)+1))</f>
        <v/>
      </c>
      <c r="V5135" s="19">
        <f>IF($B5135="","",TEXT($B5135,"0000"))</f>
        <v/>
      </c>
      <c r="W5135" s="19">
        <f>IF($I5135="","",IF(ISNUMBER($I5135),TEXT($I5135,"0"),$I5135))</f>
        <v/>
      </c>
    </row>
    <row r="5136">
      <c r="B5136" s="25" t="n"/>
      <c r="I5136" s="25" t="n"/>
      <c r="U5136" s="19">
        <f>IF($V5136&lt;&gt;'設定'!$C$4,N(U5135),IF(OR(NOT(COUNTIF('商品マスタ'!$B$6:$B$1005,$W5136)=0),COUNTIFS('①在庫を貼る'!$V$6:$V$10005,$V5136,'①在庫を貼る'!$W$6:$W$10005,$W5136)&gt;0),N(U5135),N(U5135)+1))</f>
        <v/>
      </c>
      <c r="V5136" s="19">
        <f>IF($B5136="","",TEXT($B5136,"0000"))</f>
        <v/>
      </c>
      <c r="W5136" s="19">
        <f>IF($I5136="","",IF(ISNUMBER($I5136),TEXT($I5136,"0"),$I5136))</f>
        <v/>
      </c>
    </row>
    <row r="5137">
      <c r="B5137" s="25" t="n"/>
      <c r="I5137" s="25" t="n"/>
      <c r="U5137" s="19">
        <f>IF($V5137&lt;&gt;'設定'!$C$4,N(U5136),IF(OR(NOT(COUNTIF('商品マスタ'!$B$6:$B$1005,$W5137)=0),COUNTIFS('①在庫を貼る'!$V$6:$V$10005,$V5137,'①在庫を貼る'!$W$6:$W$10005,$W5137)&gt;0),N(U5136),N(U5136)+1))</f>
        <v/>
      </c>
      <c r="V5137" s="19">
        <f>IF($B5137="","",TEXT($B5137,"0000"))</f>
        <v/>
      </c>
      <c r="W5137" s="19">
        <f>IF($I5137="","",IF(ISNUMBER($I5137),TEXT($I5137,"0"),$I5137))</f>
        <v/>
      </c>
    </row>
    <row r="5138">
      <c r="B5138" s="25" t="n"/>
      <c r="I5138" s="25" t="n"/>
      <c r="U5138" s="19">
        <f>IF($V5138&lt;&gt;'設定'!$C$4,N(U5137),IF(OR(NOT(COUNTIF('商品マスタ'!$B$6:$B$1005,$W5138)=0),COUNTIFS('①在庫を貼る'!$V$6:$V$10005,$V5138,'①在庫を貼る'!$W$6:$W$10005,$W5138)&gt;0),N(U5137),N(U5137)+1))</f>
        <v/>
      </c>
      <c r="V5138" s="19">
        <f>IF($B5138="","",TEXT($B5138,"0000"))</f>
        <v/>
      </c>
      <c r="W5138" s="19">
        <f>IF($I5138="","",IF(ISNUMBER($I5138),TEXT($I5138,"0"),$I5138))</f>
        <v/>
      </c>
    </row>
    <row r="5139">
      <c r="B5139" s="25" t="n"/>
      <c r="I5139" s="25" t="n"/>
      <c r="U5139" s="19">
        <f>IF($V5139&lt;&gt;'設定'!$C$4,N(U5138),IF(OR(NOT(COUNTIF('商品マスタ'!$B$6:$B$1005,$W5139)=0),COUNTIFS('①在庫を貼る'!$V$6:$V$10005,$V5139,'①在庫を貼る'!$W$6:$W$10005,$W5139)&gt;0),N(U5138),N(U5138)+1))</f>
        <v/>
      </c>
      <c r="V5139" s="19">
        <f>IF($B5139="","",TEXT($B5139,"0000"))</f>
        <v/>
      </c>
      <c r="W5139" s="19">
        <f>IF($I5139="","",IF(ISNUMBER($I5139),TEXT($I5139,"0"),$I5139))</f>
        <v/>
      </c>
    </row>
    <row r="5140">
      <c r="B5140" s="25" t="n"/>
      <c r="I5140" s="25" t="n"/>
      <c r="U5140" s="19">
        <f>IF($V5140&lt;&gt;'設定'!$C$4,N(U5139),IF(OR(NOT(COUNTIF('商品マスタ'!$B$6:$B$1005,$W5140)=0),COUNTIFS('①在庫を貼る'!$V$6:$V$10005,$V5140,'①在庫を貼る'!$W$6:$W$10005,$W5140)&gt;0),N(U5139),N(U5139)+1))</f>
        <v/>
      </c>
      <c r="V5140" s="19">
        <f>IF($B5140="","",TEXT($B5140,"0000"))</f>
        <v/>
      </c>
      <c r="W5140" s="19">
        <f>IF($I5140="","",IF(ISNUMBER($I5140),TEXT($I5140,"0"),$I5140))</f>
        <v/>
      </c>
    </row>
    <row r="5141">
      <c r="B5141" s="25" t="n"/>
      <c r="I5141" s="25" t="n"/>
      <c r="U5141" s="19">
        <f>IF($V5141&lt;&gt;'設定'!$C$4,N(U5140),IF(OR(NOT(COUNTIF('商品マスタ'!$B$6:$B$1005,$W5141)=0),COUNTIFS('①在庫を貼る'!$V$6:$V$10005,$V5141,'①在庫を貼る'!$W$6:$W$10005,$W5141)&gt;0),N(U5140),N(U5140)+1))</f>
        <v/>
      </c>
      <c r="V5141" s="19">
        <f>IF($B5141="","",TEXT($B5141,"0000"))</f>
        <v/>
      </c>
      <c r="W5141" s="19">
        <f>IF($I5141="","",IF(ISNUMBER($I5141),TEXT($I5141,"0"),$I5141))</f>
        <v/>
      </c>
    </row>
    <row r="5142">
      <c r="B5142" s="25" t="n"/>
      <c r="I5142" s="25" t="n"/>
      <c r="U5142" s="19">
        <f>IF($V5142&lt;&gt;'設定'!$C$4,N(U5141),IF(OR(NOT(COUNTIF('商品マスタ'!$B$6:$B$1005,$W5142)=0),COUNTIFS('①在庫を貼る'!$V$6:$V$10005,$V5142,'①在庫を貼る'!$W$6:$W$10005,$W5142)&gt;0),N(U5141),N(U5141)+1))</f>
        <v/>
      </c>
      <c r="V5142" s="19">
        <f>IF($B5142="","",TEXT($B5142,"0000"))</f>
        <v/>
      </c>
      <c r="W5142" s="19">
        <f>IF($I5142="","",IF(ISNUMBER($I5142),TEXT($I5142,"0"),$I5142))</f>
        <v/>
      </c>
    </row>
    <row r="5143">
      <c r="B5143" s="25" t="n"/>
      <c r="I5143" s="25" t="n"/>
      <c r="U5143" s="19">
        <f>IF($V5143&lt;&gt;'設定'!$C$4,N(U5142),IF(OR(NOT(COUNTIF('商品マスタ'!$B$6:$B$1005,$W5143)=0),COUNTIFS('①在庫を貼る'!$V$6:$V$10005,$V5143,'①在庫を貼る'!$W$6:$W$10005,$W5143)&gt;0),N(U5142),N(U5142)+1))</f>
        <v/>
      </c>
      <c r="V5143" s="19">
        <f>IF($B5143="","",TEXT($B5143,"0000"))</f>
        <v/>
      </c>
      <c r="W5143" s="19">
        <f>IF($I5143="","",IF(ISNUMBER($I5143),TEXT($I5143,"0"),$I5143))</f>
        <v/>
      </c>
    </row>
    <row r="5144">
      <c r="B5144" s="25" t="n"/>
      <c r="I5144" s="25" t="n"/>
      <c r="U5144" s="19">
        <f>IF($V5144&lt;&gt;'設定'!$C$4,N(U5143),IF(OR(NOT(COUNTIF('商品マスタ'!$B$6:$B$1005,$W5144)=0),COUNTIFS('①在庫を貼る'!$V$6:$V$10005,$V5144,'①在庫を貼る'!$W$6:$W$10005,$W5144)&gt;0),N(U5143),N(U5143)+1))</f>
        <v/>
      </c>
      <c r="V5144" s="19">
        <f>IF($B5144="","",TEXT($B5144,"0000"))</f>
        <v/>
      </c>
      <c r="W5144" s="19">
        <f>IF($I5144="","",IF(ISNUMBER($I5144),TEXT($I5144,"0"),$I5144))</f>
        <v/>
      </c>
    </row>
    <row r="5145">
      <c r="B5145" s="25" t="n"/>
      <c r="I5145" s="25" t="n"/>
      <c r="U5145" s="19">
        <f>IF($V5145&lt;&gt;'設定'!$C$4,N(U5144),IF(OR(NOT(COUNTIF('商品マスタ'!$B$6:$B$1005,$W5145)=0),COUNTIFS('①在庫を貼る'!$V$6:$V$10005,$V5145,'①在庫を貼る'!$W$6:$W$10005,$W5145)&gt;0),N(U5144),N(U5144)+1))</f>
        <v/>
      </c>
      <c r="V5145" s="19">
        <f>IF($B5145="","",TEXT($B5145,"0000"))</f>
        <v/>
      </c>
      <c r="W5145" s="19">
        <f>IF($I5145="","",IF(ISNUMBER($I5145),TEXT($I5145,"0"),$I5145))</f>
        <v/>
      </c>
    </row>
    <row r="5146">
      <c r="B5146" s="25" t="n"/>
      <c r="I5146" s="25" t="n"/>
      <c r="U5146" s="19">
        <f>IF($V5146&lt;&gt;'設定'!$C$4,N(U5145),IF(OR(NOT(COUNTIF('商品マスタ'!$B$6:$B$1005,$W5146)=0),COUNTIFS('①在庫を貼る'!$V$6:$V$10005,$V5146,'①在庫を貼る'!$W$6:$W$10005,$W5146)&gt;0),N(U5145),N(U5145)+1))</f>
        <v/>
      </c>
      <c r="V5146" s="19">
        <f>IF($B5146="","",TEXT($B5146,"0000"))</f>
        <v/>
      </c>
      <c r="W5146" s="19">
        <f>IF($I5146="","",IF(ISNUMBER($I5146),TEXT($I5146,"0"),$I5146))</f>
        <v/>
      </c>
    </row>
    <row r="5147">
      <c r="B5147" s="25" t="n"/>
      <c r="I5147" s="25" t="n"/>
      <c r="U5147" s="19">
        <f>IF($V5147&lt;&gt;'設定'!$C$4,N(U5146),IF(OR(NOT(COUNTIF('商品マスタ'!$B$6:$B$1005,$W5147)=0),COUNTIFS('①在庫を貼る'!$V$6:$V$10005,$V5147,'①在庫を貼る'!$W$6:$W$10005,$W5147)&gt;0),N(U5146),N(U5146)+1))</f>
        <v/>
      </c>
      <c r="V5147" s="19">
        <f>IF($B5147="","",TEXT($B5147,"0000"))</f>
        <v/>
      </c>
      <c r="W5147" s="19">
        <f>IF($I5147="","",IF(ISNUMBER($I5147),TEXT($I5147,"0"),$I5147))</f>
        <v/>
      </c>
    </row>
    <row r="5148">
      <c r="B5148" s="25" t="n"/>
      <c r="I5148" s="25" t="n"/>
      <c r="U5148" s="19">
        <f>IF($V5148&lt;&gt;'設定'!$C$4,N(U5147),IF(OR(NOT(COUNTIF('商品マスタ'!$B$6:$B$1005,$W5148)=0),COUNTIFS('①在庫を貼る'!$V$6:$V$10005,$V5148,'①在庫を貼る'!$W$6:$W$10005,$W5148)&gt;0),N(U5147),N(U5147)+1))</f>
        <v/>
      </c>
      <c r="V5148" s="19">
        <f>IF($B5148="","",TEXT($B5148,"0000"))</f>
        <v/>
      </c>
      <c r="W5148" s="19">
        <f>IF($I5148="","",IF(ISNUMBER($I5148),TEXT($I5148,"0"),$I5148))</f>
        <v/>
      </c>
    </row>
    <row r="5149">
      <c r="B5149" s="25" t="n"/>
      <c r="I5149" s="25" t="n"/>
      <c r="U5149" s="19">
        <f>IF($V5149&lt;&gt;'設定'!$C$4,N(U5148),IF(OR(NOT(COUNTIF('商品マスタ'!$B$6:$B$1005,$W5149)=0),COUNTIFS('①在庫を貼る'!$V$6:$V$10005,$V5149,'①在庫を貼る'!$W$6:$W$10005,$W5149)&gt;0),N(U5148),N(U5148)+1))</f>
        <v/>
      </c>
      <c r="V5149" s="19">
        <f>IF($B5149="","",TEXT($B5149,"0000"))</f>
        <v/>
      </c>
      <c r="W5149" s="19">
        <f>IF($I5149="","",IF(ISNUMBER($I5149),TEXT($I5149,"0"),$I5149))</f>
        <v/>
      </c>
    </row>
    <row r="5150">
      <c r="B5150" s="25" t="n"/>
      <c r="I5150" s="25" t="n"/>
      <c r="U5150" s="19">
        <f>IF($V5150&lt;&gt;'設定'!$C$4,N(U5149),IF(OR(NOT(COUNTIF('商品マスタ'!$B$6:$B$1005,$W5150)=0),COUNTIFS('①在庫を貼る'!$V$6:$V$10005,$V5150,'①在庫を貼る'!$W$6:$W$10005,$W5150)&gt;0),N(U5149),N(U5149)+1))</f>
        <v/>
      </c>
      <c r="V5150" s="19">
        <f>IF($B5150="","",TEXT($B5150,"0000"))</f>
        <v/>
      </c>
      <c r="W5150" s="19">
        <f>IF($I5150="","",IF(ISNUMBER($I5150),TEXT($I5150,"0"),$I5150))</f>
        <v/>
      </c>
    </row>
    <row r="5151">
      <c r="B5151" s="25" t="n"/>
      <c r="I5151" s="25" t="n"/>
      <c r="U5151" s="19">
        <f>IF($V5151&lt;&gt;'設定'!$C$4,N(U5150),IF(OR(NOT(COUNTIF('商品マスタ'!$B$6:$B$1005,$W5151)=0),COUNTIFS('①在庫を貼る'!$V$6:$V$10005,$V5151,'①在庫を貼る'!$W$6:$W$10005,$W5151)&gt;0),N(U5150),N(U5150)+1))</f>
        <v/>
      </c>
      <c r="V5151" s="19">
        <f>IF($B5151="","",TEXT($B5151,"0000"))</f>
        <v/>
      </c>
      <c r="W5151" s="19">
        <f>IF($I5151="","",IF(ISNUMBER($I5151),TEXT($I5151,"0"),$I5151))</f>
        <v/>
      </c>
    </row>
    <row r="5152">
      <c r="B5152" s="25" t="n"/>
      <c r="I5152" s="25" t="n"/>
      <c r="U5152" s="19">
        <f>IF($V5152&lt;&gt;'設定'!$C$4,N(U5151),IF(OR(NOT(COUNTIF('商品マスタ'!$B$6:$B$1005,$W5152)=0),COUNTIFS('①在庫を貼る'!$V$6:$V$10005,$V5152,'①在庫を貼る'!$W$6:$W$10005,$W5152)&gt;0),N(U5151),N(U5151)+1))</f>
        <v/>
      </c>
      <c r="V5152" s="19">
        <f>IF($B5152="","",TEXT($B5152,"0000"))</f>
        <v/>
      </c>
      <c r="W5152" s="19">
        <f>IF($I5152="","",IF(ISNUMBER($I5152),TEXT($I5152,"0"),$I5152))</f>
        <v/>
      </c>
    </row>
    <row r="5153">
      <c r="B5153" s="25" t="n"/>
      <c r="I5153" s="25" t="n"/>
      <c r="U5153" s="19">
        <f>IF($V5153&lt;&gt;'設定'!$C$4,N(U5152),IF(OR(NOT(COUNTIF('商品マスタ'!$B$6:$B$1005,$W5153)=0),COUNTIFS('①在庫を貼る'!$V$6:$V$10005,$V5153,'①在庫を貼る'!$W$6:$W$10005,$W5153)&gt;0),N(U5152),N(U5152)+1))</f>
        <v/>
      </c>
      <c r="V5153" s="19">
        <f>IF($B5153="","",TEXT($B5153,"0000"))</f>
        <v/>
      </c>
      <c r="W5153" s="19">
        <f>IF($I5153="","",IF(ISNUMBER($I5153),TEXT($I5153,"0"),$I5153))</f>
        <v/>
      </c>
    </row>
    <row r="5154">
      <c r="B5154" s="25" t="n"/>
      <c r="I5154" s="25" t="n"/>
      <c r="U5154" s="19">
        <f>IF($V5154&lt;&gt;'設定'!$C$4,N(U5153),IF(OR(NOT(COUNTIF('商品マスタ'!$B$6:$B$1005,$W5154)=0),COUNTIFS('①在庫を貼る'!$V$6:$V$10005,$V5154,'①在庫を貼る'!$W$6:$W$10005,$W5154)&gt;0),N(U5153),N(U5153)+1))</f>
        <v/>
      </c>
      <c r="V5154" s="19">
        <f>IF($B5154="","",TEXT($B5154,"0000"))</f>
        <v/>
      </c>
      <c r="W5154" s="19">
        <f>IF($I5154="","",IF(ISNUMBER($I5154),TEXT($I5154,"0"),$I5154))</f>
        <v/>
      </c>
    </row>
    <row r="5155">
      <c r="B5155" s="25" t="n"/>
      <c r="I5155" s="25" t="n"/>
      <c r="U5155" s="19">
        <f>IF($V5155&lt;&gt;'設定'!$C$4,N(U5154),IF(OR(NOT(COUNTIF('商品マスタ'!$B$6:$B$1005,$W5155)=0),COUNTIFS('①在庫を貼る'!$V$6:$V$10005,$V5155,'①在庫を貼る'!$W$6:$W$10005,$W5155)&gt;0),N(U5154),N(U5154)+1))</f>
        <v/>
      </c>
      <c r="V5155" s="19">
        <f>IF($B5155="","",TEXT($B5155,"0000"))</f>
        <v/>
      </c>
      <c r="W5155" s="19">
        <f>IF($I5155="","",IF(ISNUMBER($I5155),TEXT($I5155,"0"),$I5155))</f>
        <v/>
      </c>
    </row>
    <row r="5156">
      <c r="B5156" s="25" t="n"/>
      <c r="I5156" s="25" t="n"/>
      <c r="U5156" s="19">
        <f>IF($V5156&lt;&gt;'設定'!$C$4,N(U5155),IF(OR(NOT(COUNTIF('商品マスタ'!$B$6:$B$1005,$W5156)=0),COUNTIFS('①在庫を貼る'!$V$6:$V$10005,$V5156,'①在庫を貼る'!$W$6:$W$10005,$W5156)&gt;0),N(U5155),N(U5155)+1))</f>
        <v/>
      </c>
      <c r="V5156" s="19">
        <f>IF($B5156="","",TEXT($B5156,"0000"))</f>
        <v/>
      </c>
      <c r="W5156" s="19">
        <f>IF($I5156="","",IF(ISNUMBER($I5156),TEXT($I5156,"0"),$I5156))</f>
        <v/>
      </c>
    </row>
    <row r="5157">
      <c r="B5157" s="25" t="n"/>
      <c r="I5157" s="25" t="n"/>
      <c r="U5157" s="19">
        <f>IF($V5157&lt;&gt;'設定'!$C$4,N(U5156),IF(OR(NOT(COUNTIF('商品マスタ'!$B$6:$B$1005,$W5157)=0),COUNTIFS('①在庫を貼る'!$V$6:$V$10005,$V5157,'①在庫を貼る'!$W$6:$W$10005,$W5157)&gt;0),N(U5156),N(U5156)+1))</f>
        <v/>
      </c>
      <c r="V5157" s="19">
        <f>IF($B5157="","",TEXT($B5157,"0000"))</f>
        <v/>
      </c>
      <c r="W5157" s="19">
        <f>IF($I5157="","",IF(ISNUMBER($I5157),TEXT($I5157,"0"),$I5157))</f>
        <v/>
      </c>
    </row>
    <row r="5158">
      <c r="B5158" s="25" t="n"/>
      <c r="I5158" s="25" t="n"/>
      <c r="U5158" s="19">
        <f>IF($V5158&lt;&gt;'設定'!$C$4,N(U5157),IF(OR(NOT(COUNTIF('商品マスタ'!$B$6:$B$1005,$W5158)=0),COUNTIFS('①在庫を貼る'!$V$6:$V$10005,$V5158,'①在庫を貼る'!$W$6:$W$10005,$W5158)&gt;0),N(U5157),N(U5157)+1))</f>
        <v/>
      </c>
      <c r="V5158" s="19">
        <f>IF($B5158="","",TEXT($B5158,"0000"))</f>
        <v/>
      </c>
      <c r="W5158" s="19">
        <f>IF($I5158="","",IF(ISNUMBER($I5158),TEXT($I5158,"0"),$I5158))</f>
        <v/>
      </c>
    </row>
    <row r="5159">
      <c r="B5159" s="25" t="n"/>
      <c r="I5159" s="25" t="n"/>
      <c r="U5159" s="19">
        <f>IF($V5159&lt;&gt;'設定'!$C$4,N(U5158),IF(OR(NOT(COUNTIF('商品マスタ'!$B$6:$B$1005,$W5159)=0),COUNTIFS('①在庫を貼る'!$V$6:$V$10005,$V5159,'①在庫を貼る'!$W$6:$W$10005,$W5159)&gt;0),N(U5158),N(U5158)+1))</f>
        <v/>
      </c>
      <c r="V5159" s="19">
        <f>IF($B5159="","",TEXT($B5159,"0000"))</f>
        <v/>
      </c>
      <c r="W5159" s="19">
        <f>IF($I5159="","",IF(ISNUMBER($I5159),TEXT($I5159,"0"),$I5159))</f>
        <v/>
      </c>
    </row>
    <row r="5160">
      <c r="B5160" s="25" t="n"/>
      <c r="I5160" s="25" t="n"/>
      <c r="U5160" s="19">
        <f>IF($V5160&lt;&gt;'設定'!$C$4,N(U5159),IF(OR(NOT(COUNTIF('商品マスタ'!$B$6:$B$1005,$W5160)=0),COUNTIFS('①在庫を貼る'!$V$6:$V$10005,$V5160,'①在庫を貼る'!$W$6:$W$10005,$W5160)&gt;0),N(U5159),N(U5159)+1))</f>
        <v/>
      </c>
      <c r="V5160" s="19">
        <f>IF($B5160="","",TEXT($B5160,"0000"))</f>
        <v/>
      </c>
      <c r="W5160" s="19">
        <f>IF($I5160="","",IF(ISNUMBER($I5160),TEXT($I5160,"0"),$I5160))</f>
        <v/>
      </c>
    </row>
    <row r="5161">
      <c r="B5161" s="25" t="n"/>
      <c r="I5161" s="25" t="n"/>
      <c r="U5161" s="19">
        <f>IF($V5161&lt;&gt;'設定'!$C$4,N(U5160),IF(OR(NOT(COUNTIF('商品マスタ'!$B$6:$B$1005,$W5161)=0),COUNTIFS('①在庫を貼る'!$V$6:$V$10005,$V5161,'①在庫を貼る'!$W$6:$W$10005,$W5161)&gt;0),N(U5160),N(U5160)+1))</f>
        <v/>
      </c>
      <c r="V5161" s="19">
        <f>IF($B5161="","",TEXT($B5161,"0000"))</f>
        <v/>
      </c>
      <c r="W5161" s="19">
        <f>IF($I5161="","",IF(ISNUMBER($I5161),TEXT($I5161,"0"),$I5161))</f>
        <v/>
      </c>
    </row>
    <row r="5162">
      <c r="B5162" s="25" t="n"/>
      <c r="I5162" s="25" t="n"/>
      <c r="U5162" s="19">
        <f>IF($V5162&lt;&gt;'設定'!$C$4,N(U5161),IF(OR(NOT(COUNTIF('商品マスタ'!$B$6:$B$1005,$W5162)=0),COUNTIFS('①在庫を貼る'!$V$6:$V$10005,$V5162,'①在庫を貼る'!$W$6:$W$10005,$W5162)&gt;0),N(U5161),N(U5161)+1))</f>
        <v/>
      </c>
      <c r="V5162" s="19">
        <f>IF($B5162="","",TEXT($B5162,"0000"))</f>
        <v/>
      </c>
      <c r="W5162" s="19">
        <f>IF($I5162="","",IF(ISNUMBER($I5162),TEXT($I5162,"0"),$I5162))</f>
        <v/>
      </c>
    </row>
    <row r="5163">
      <c r="B5163" s="25" t="n"/>
      <c r="I5163" s="25" t="n"/>
      <c r="U5163" s="19">
        <f>IF($V5163&lt;&gt;'設定'!$C$4,N(U5162),IF(OR(NOT(COUNTIF('商品マスタ'!$B$6:$B$1005,$W5163)=0),COUNTIFS('①在庫を貼る'!$V$6:$V$10005,$V5163,'①在庫を貼る'!$W$6:$W$10005,$W5163)&gt;0),N(U5162),N(U5162)+1))</f>
        <v/>
      </c>
      <c r="V5163" s="19">
        <f>IF($B5163="","",TEXT($B5163,"0000"))</f>
        <v/>
      </c>
      <c r="W5163" s="19">
        <f>IF($I5163="","",IF(ISNUMBER($I5163),TEXT($I5163,"0"),$I5163))</f>
        <v/>
      </c>
    </row>
    <row r="5164">
      <c r="B5164" s="25" t="n"/>
      <c r="I5164" s="25" t="n"/>
      <c r="U5164" s="19">
        <f>IF($V5164&lt;&gt;'設定'!$C$4,N(U5163),IF(OR(NOT(COUNTIF('商品マスタ'!$B$6:$B$1005,$W5164)=0),COUNTIFS('①在庫を貼る'!$V$6:$V$10005,$V5164,'①在庫を貼る'!$W$6:$W$10005,$W5164)&gt;0),N(U5163),N(U5163)+1))</f>
        <v/>
      </c>
      <c r="V5164" s="19">
        <f>IF($B5164="","",TEXT($B5164,"0000"))</f>
        <v/>
      </c>
      <c r="W5164" s="19">
        <f>IF($I5164="","",IF(ISNUMBER($I5164),TEXT($I5164,"0"),$I5164))</f>
        <v/>
      </c>
    </row>
    <row r="5165">
      <c r="B5165" s="25" t="n"/>
      <c r="I5165" s="25" t="n"/>
      <c r="U5165" s="19">
        <f>IF($V5165&lt;&gt;'設定'!$C$4,N(U5164),IF(OR(NOT(COUNTIF('商品マスタ'!$B$6:$B$1005,$W5165)=0),COUNTIFS('①在庫を貼る'!$V$6:$V$10005,$V5165,'①在庫を貼る'!$W$6:$W$10005,$W5165)&gt;0),N(U5164),N(U5164)+1))</f>
        <v/>
      </c>
      <c r="V5165" s="19">
        <f>IF($B5165="","",TEXT($B5165,"0000"))</f>
        <v/>
      </c>
      <c r="W5165" s="19">
        <f>IF($I5165="","",IF(ISNUMBER($I5165),TEXT($I5165,"0"),$I5165))</f>
        <v/>
      </c>
    </row>
    <row r="5166">
      <c r="B5166" s="25" t="n"/>
      <c r="I5166" s="25" t="n"/>
      <c r="U5166" s="19">
        <f>IF($V5166&lt;&gt;'設定'!$C$4,N(U5165),IF(OR(NOT(COUNTIF('商品マスタ'!$B$6:$B$1005,$W5166)=0),COUNTIFS('①在庫を貼る'!$V$6:$V$10005,$V5166,'①在庫を貼る'!$W$6:$W$10005,$W5166)&gt;0),N(U5165),N(U5165)+1))</f>
        <v/>
      </c>
      <c r="V5166" s="19">
        <f>IF($B5166="","",TEXT($B5166,"0000"))</f>
        <v/>
      </c>
      <c r="W5166" s="19">
        <f>IF($I5166="","",IF(ISNUMBER($I5166),TEXT($I5166,"0"),$I5166))</f>
        <v/>
      </c>
    </row>
    <row r="5167">
      <c r="B5167" s="25" t="n"/>
      <c r="I5167" s="25" t="n"/>
      <c r="U5167" s="19">
        <f>IF($V5167&lt;&gt;'設定'!$C$4,N(U5166),IF(OR(NOT(COUNTIF('商品マスタ'!$B$6:$B$1005,$W5167)=0),COUNTIFS('①在庫を貼る'!$V$6:$V$10005,$V5167,'①在庫を貼る'!$W$6:$W$10005,$W5167)&gt;0),N(U5166),N(U5166)+1))</f>
        <v/>
      </c>
      <c r="V5167" s="19">
        <f>IF($B5167="","",TEXT($B5167,"0000"))</f>
        <v/>
      </c>
      <c r="W5167" s="19">
        <f>IF($I5167="","",IF(ISNUMBER($I5167),TEXT($I5167,"0"),$I5167))</f>
        <v/>
      </c>
    </row>
    <row r="5168">
      <c r="B5168" s="25" t="n"/>
      <c r="I5168" s="25" t="n"/>
      <c r="U5168" s="19">
        <f>IF($V5168&lt;&gt;'設定'!$C$4,N(U5167),IF(OR(NOT(COUNTIF('商品マスタ'!$B$6:$B$1005,$W5168)=0),COUNTIFS('①在庫を貼る'!$V$6:$V$10005,$V5168,'①在庫を貼る'!$W$6:$W$10005,$W5168)&gt;0),N(U5167),N(U5167)+1))</f>
        <v/>
      </c>
      <c r="V5168" s="19">
        <f>IF($B5168="","",TEXT($B5168,"0000"))</f>
        <v/>
      </c>
      <c r="W5168" s="19">
        <f>IF($I5168="","",IF(ISNUMBER($I5168),TEXT($I5168,"0"),$I5168))</f>
        <v/>
      </c>
    </row>
    <row r="5169">
      <c r="B5169" s="25" t="n"/>
      <c r="I5169" s="25" t="n"/>
      <c r="U5169" s="19">
        <f>IF($V5169&lt;&gt;'設定'!$C$4,N(U5168),IF(OR(NOT(COUNTIF('商品マスタ'!$B$6:$B$1005,$W5169)=0),COUNTIFS('①在庫を貼る'!$V$6:$V$10005,$V5169,'①在庫を貼る'!$W$6:$W$10005,$W5169)&gt;0),N(U5168),N(U5168)+1))</f>
        <v/>
      </c>
      <c r="V5169" s="19">
        <f>IF($B5169="","",TEXT($B5169,"0000"))</f>
        <v/>
      </c>
      <c r="W5169" s="19">
        <f>IF($I5169="","",IF(ISNUMBER($I5169),TEXT($I5169,"0"),$I5169))</f>
        <v/>
      </c>
    </row>
    <row r="5170">
      <c r="B5170" s="25" t="n"/>
      <c r="I5170" s="25" t="n"/>
      <c r="U5170" s="19">
        <f>IF($V5170&lt;&gt;'設定'!$C$4,N(U5169),IF(OR(NOT(COUNTIF('商品マスタ'!$B$6:$B$1005,$W5170)=0),COUNTIFS('①在庫を貼る'!$V$6:$V$10005,$V5170,'①在庫を貼る'!$W$6:$W$10005,$W5170)&gt;0),N(U5169),N(U5169)+1))</f>
        <v/>
      </c>
      <c r="V5170" s="19">
        <f>IF($B5170="","",TEXT($B5170,"0000"))</f>
        <v/>
      </c>
      <c r="W5170" s="19">
        <f>IF($I5170="","",IF(ISNUMBER($I5170),TEXT($I5170,"0"),$I5170))</f>
        <v/>
      </c>
    </row>
    <row r="5171">
      <c r="B5171" s="25" t="n"/>
      <c r="I5171" s="25" t="n"/>
      <c r="U5171" s="19">
        <f>IF($V5171&lt;&gt;'設定'!$C$4,N(U5170),IF(OR(NOT(COUNTIF('商品マスタ'!$B$6:$B$1005,$W5171)=0),COUNTIFS('①在庫を貼る'!$V$6:$V$10005,$V5171,'①在庫を貼る'!$W$6:$W$10005,$W5171)&gt;0),N(U5170),N(U5170)+1))</f>
        <v/>
      </c>
      <c r="V5171" s="19">
        <f>IF($B5171="","",TEXT($B5171,"0000"))</f>
        <v/>
      </c>
      <c r="W5171" s="19">
        <f>IF($I5171="","",IF(ISNUMBER($I5171),TEXT($I5171,"0"),$I5171))</f>
        <v/>
      </c>
    </row>
    <row r="5172">
      <c r="B5172" s="25" t="n"/>
      <c r="I5172" s="25" t="n"/>
      <c r="U5172" s="19">
        <f>IF($V5172&lt;&gt;'設定'!$C$4,N(U5171),IF(OR(NOT(COUNTIF('商品マスタ'!$B$6:$B$1005,$W5172)=0),COUNTIFS('①在庫を貼る'!$V$6:$V$10005,$V5172,'①在庫を貼る'!$W$6:$W$10005,$W5172)&gt;0),N(U5171),N(U5171)+1))</f>
        <v/>
      </c>
      <c r="V5172" s="19">
        <f>IF($B5172="","",TEXT($B5172,"0000"))</f>
        <v/>
      </c>
      <c r="W5172" s="19">
        <f>IF($I5172="","",IF(ISNUMBER($I5172),TEXT($I5172,"0"),$I5172))</f>
        <v/>
      </c>
    </row>
    <row r="5173">
      <c r="B5173" s="25" t="n"/>
      <c r="I5173" s="25" t="n"/>
      <c r="U5173" s="19">
        <f>IF($V5173&lt;&gt;'設定'!$C$4,N(U5172),IF(OR(NOT(COUNTIF('商品マスタ'!$B$6:$B$1005,$W5173)=0),COUNTIFS('①在庫を貼る'!$V$6:$V$10005,$V5173,'①在庫を貼る'!$W$6:$W$10005,$W5173)&gt;0),N(U5172),N(U5172)+1))</f>
        <v/>
      </c>
      <c r="V5173" s="19">
        <f>IF($B5173="","",TEXT($B5173,"0000"))</f>
        <v/>
      </c>
      <c r="W5173" s="19">
        <f>IF($I5173="","",IF(ISNUMBER($I5173),TEXT($I5173,"0"),$I5173))</f>
        <v/>
      </c>
    </row>
    <row r="5174">
      <c r="B5174" s="25" t="n"/>
      <c r="I5174" s="25" t="n"/>
      <c r="U5174" s="19">
        <f>IF($V5174&lt;&gt;'設定'!$C$4,N(U5173),IF(OR(NOT(COUNTIF('商品マスタ'!$B$6:$B$1005,$W5174)=0),COUNTIFS('①在庫を貼る'!$V$6:$V$10005,$V5174,'①在庫を貼る'!$W$6:$W$10005,$W5174)&gt;0),N(U5173),N(U5173)+1))</f>
        <v/>
      </c>
      <c r="V5174" s="19">
        <f>IF($B5174="","",TEXT($B5174,"0000"))</f>
        <v/>
      </c>
      <c r="W5174" s="19">
        <f>IF($I5174="","",IF(ISNUMBER($I5174),TEXT($I5174,"0"),$I5174))</f>
        <v/>
      </c>
    </row>
    <row r="5175">
      <c r="B5175" s="25" t="n"/>
      <c r="I5175" s="25" t="n"/>
      <c r="U5175" s="19">
        <f>IF($V5175&lt;&gt;'設定'!$C$4,N(U5174),IF(OR(NOT(COUNTIF('商品マスタ'!$B$6:$B$1005,$W5175)=0),COUNTIFS('①在庫を貼る'!$V$6:$V$10005,$V5175,'①在庫を貼る'!$W$6:$W$10005,$W5175)&gt;0),N(U5174),N(U5174)+1))</f>
        <v/>
      </c>
      <c r="V5175" s="19">
        <f>IF($B5175="","",TEXT($B5175,"0000"))</f>
        <v/>
      </c>
      <c r="W5175" s="19">
        <f>IF($I5175="","",IF(ISNUMBER($I5175),TEXT($I5175,"0"),$I5175))</f>
        <v/>
      </c>
    </row>
    <row r="5176">
      <c r="B5176" s="25" t="n"/>
      <c r="I5176" s="25" t="n"/>
      <c r="U5176" s="19">
        <f>IF($V5176&lt;&gt;'設定'!$C$4,N(U5175),IF(OR(NOT(COUNTIF('商品マスタ'!$B$6:$B$1005,$W5176)=0),COUNTIFS('①在庫を貼る'!$V$6:$V$10005,$V5176,'①在庫を貼る'!$W$6:$W$10005,$W5176)&gt;0),N(U5175),N(U5175)+1))</f>
        <v/>
      </c>
      <c r="V5176" s="19">
        <f>IF($B5176="","",TEXT($B5176,"0000"))</f>
        <v/>
      </c>
      <c r="W5176" s="19">
        <f>IF($I5176="","",IF(ISNUMBER($I5176),TEXT($I5176,"0"),$I5176))</f>
        <v/>
      </c>
    </row>
    <row r="5177">
      <c r="B5177" s="25" t="n"/>
      <c r="I5177" s="25" t="n"/>
      <c r="U5177" s="19">
        <f>IF($V5177&lt;&gt;'設定'!$C$4,N(U5176),IF(OR(NOT(COUNTIF('商品マスタ'!$B$6:$B$1005,$W5177)=0),COUNTIFS('①在庫を貼る'!$V$6:$V$10005,$V5177,'①在庫を貼る'!$W$6:$W$10005,$W5177)&gt;0),N(U5176),N(U5176)+1))</f>
        <v/>
      </c>
      <c r="V5177" s="19">
        <f>IF($B5177="","",TEXT($B5177,"0000"))</f>
        <v/>
      </c>
      <c r="W5177" s="19">
        <f>IF($I5177="","",IF(ISNUMBER($I5177),TEXT($I5177,"0"),$I5177))</f>
        <v/>
      </c>
    </row>
    <row r="5178">
      <c r="B5178" s="25" t="n"/>
      <c r="I5178" s="25" t="n"/>
      <c r="U5178" s="19">
        <f>IF($V5178&lt;&gt;'設定'!$C$4,N(U5177),IF(OR(NOT(COUNTIF('商品マスタ'!$B$6:$B$1005,$W5178)=0),COUNTIFS('①在庫を貼る'!$V$6:$V$10005,$V5178,'①在庫を貼る'!$W$6:$W$10005,$W5178)&gt;0),N(U5177),N(U5177)+1))</f>
        <v/>
      </c>
      <c r="V5178" s="19">
        <f>IF($B5178="","",TEXT($B5178,"0000"))</f>
        <v/>
      </c>
      <c r="W5178" s="19">
        <f>IF($I5178="","",IF(ISNUMBER($I5178),TEXT($I5178,"0"),$I5178))</f>
        <v/>
      </c>
    </row>
    <row r="5179">
      <c r="B5179" s="25" t="n"/>
      <c r="I5179" s="25" t="n"/>
      <c r="U5179" s="19">
        <f>IF($V5179&lt;&gt;'設定'!$C$4,N(U5178),IF(OR(NOT(COUNTIF('商品マスタ'!$B$6:$B$1005,$W5179)=0),COUNTIFS('①在庫を貼る'!$V$6:$V$10005,$V5179,'①在庫を貼る'!$W$6:$W$10005,$W5179)&gt;0),N(U5178),N(U5178)+1))</f>
        <v/>
      </c>
      <c r="V5179" s="19">
        <f>IF($B5179="","",TEXT($B5179,"0000"))</f>
        <v/>
      </c>
      <c r="W5179" s="19">
        <f>IF($I5179="","",IF(ISNUMBER($I5179),TEXT($I5179,"0"),$I5179))</f>
        <v/>
      </c>
    </row>
    <row r="5180">
      <c r="B5180" s="25" t="n"/>
      <c r="I5180" s="25" t="n"/>
      <c r="U5180" s="19">
        <f>IF($V5180&lt;&gt;'設定'!$C$4,N(U5179),IF(OR(NOT(COUNTIF('商品マスタ'!$B$6:$B$1005,$W5180)=0),COUNTIFS('①在庫を貼る'!$V$6:$V$10005,$V5180,'①在庫を貼る'!$W$6:$W$10005,$W5180)&gt;0),N(U5179),N(U5179)+1))</f>
        <v/>
      </c>
      <c r="V5180" s="19">
        <f>IF($B5180="","",TEXT($B5180,"0000"))</f>
        <v/>
      </c>
      <c r="W5180" s="19">
        <f>IF($I5180="","",IF(ISNUMBER($I5180),TEXT($I5180,"0"),$I5180))</f>
        <v/>
      </c>
    </row>
    <row r="5181">
      <c r="B5181" s="25" t="n"/>
      <c r="I5181" s="25" t="n"/>
      <c r="U5181" s="19">
        <f>IF($V5181&lt;&gt;'設定'!$C$4,N(U5180),IF(OR(NOT(COUNTIF('商品マスタ'!$B$6:$B$1005,$W5181)=0),COUNTIFS('①在庫を貼る'!$V$6:$V$10005,$V5181,'①在庫を貼る'!$W$6:$W$10005,$W5181)&gt;0),N(U5180),N(U5180)+1))</f>
        <v/>
      </c>
      <c r="V5181" s="19">
        <f>IF($B5181="","",TEXT($B5181,"0000"))</f>
        <v/>
      </c>
      <c r="W5181" s="19">
        <f>IF($I5181="","",IF(ISNUMBER($I5181),TEXT($I5181,"0"),$I5181))</f>
        <v/>
      </c>
    </row>
    <row r="5182">
      <c r="B5182" s="25" t="n"/>
      <c r="I5182" s="25" t="n"/>
      <c r="U5182" s="19">
        <f>IF($V5182&lt;&gt;'設定'!$C$4,N(U5181),IF(OR(NOT(COUNTIF('商品マスタ'!$B$6:$B$1005,$W5182)=0),COUNTIFS('①在庫を貼る'!$V$6:$V$10005,$V5182,'①在庫を貼る'!$W$6:$W$10005,$W5182)&gt;0),N(U5181),N(U5181)+1))</f>
        <v/>
      </c>
      <c r="V5182" s="19">
        <f>IF($B5182="","",TEXT($B5182,"0000"))</f>
        <v/>
      </c>
      <c r="W5182" s="19">
        <f>IF($I5182="","",IF(ISNUMBER($I5182),TEXT($I5182,"0"),$I5182))</f>
        <v/>
      </c>
    </row>
    <row r="5183">
      <c r="B5183" s="25" t="n"/>
      <c r="I5183" s="25" t="n"/>
      <c r="U5183" s="19">
        <f>IF($V5183&lt;&gt;'設定'!$C$4,N(U5182),IF(OR(NOT(COUNTIF('商品マスタ'!$B$6:$B$1005,$W5183)=0),COUNTIFS('①在庫を貼る'!$V$6:$V$10005,$V5183,'①在庫を貼る'!$W$6:$W$10005,$W5183)&gt;0),N(U5182),N(U5182)+1))</f>
        <v/>
      </c>
      <c r="V5183" s="19">
        <f>IF($B5183="","",TEXT($B5183,"0000"))</f>
        <v/>
      </c>
      <c r="W5183" s="19">
        <f>IF($I5183="","",IF(ISNUMBER($I5183),TEXT($I5183,"0"),$I5183))</f>
        <v/>
      </c>
    </row>
    <row r="5184">
      <c r="B5184" s="25" t="n"/>
      <c r="I5184" s="25" t="n"/>
      <c r="U5184" s="19">
        <f>IF($V5184&lt;&gt;'設定'!$C$4,N(U5183),IF(OR(NOT(COUNTIF('商品マスタ'!$B$6:$B$1005,$W5184)=0),COUNTIFS('①在庫を貼る'!$V$6:$V$10005,$V5184,'①在庫を貼る'!$W$6:$W$10005,$W5184)&gt;0),N(U5183),N(U5183)+1))</f>
        <v/>
      </c>
      <c r="V5184" s="19">
        <f>IF($B5184="","",TEXT($B5184,"0000"))</f>
        <v/>
      </c>
      <c r="W5184" s="19">
        <f>IF($I5184="","",IF(ISNUMBER($I5184),TEXT($I5184,"0"),$I5184))</f>
        <v/>
      </c>
    </row>
    <row r="5185">
      <c r="B5185" s="25" t="n"/>
      <c r="I5185" s="25" t="n"/>
      <c r="U5185" s="19">
        <f>IF($V5185&lt;&gt;'設定'!$C$4,N(U5184),IF(OR(NOT(COUNTIF('商品マスタ'!$B$6:$B$1005,$W5185)=0),COUNTIFS('①在庫を貼る'!$V$6:$V$10005,$V5185,'①在庫を貼る'!$W$6:$W$10005,$W5185)&gt;0),N(U5184),N(U5184)+1))</f>
        <v/>
      </c>
      <c r="V5185" s="19">
        <f>IF($B5185="","",TEXT($B5185,"0000"))</f>
        <v/>
      </c>
      <c r="W5185" s="19">
        <f>IF($I5185="","",IF(ISNUMBER($I5185),TEXT($I5185,"0"),$I5185))</f>
        <v/>
      </c>
    </row>
    <row r="5186">
      <c r="B5186" s="25" t="n"/>
      <c r="I5186" s="25" t="n"/>
      <c r="U5186" s="19">
        <f>IF($V5186&lt;&gt;'設定'!$C$4,N(U5185),IF(OR(NOT(COUNTIF('商品マスタ'!$B$6:$B$1005,$W5186)=0),COUNTIFS('①在庫を貼る'!$V$6:$V$10005,$V5186,'①在庫を貼る'!$W$6:$W$10005,$W5186)&gt;0),N(U5185),N(U5185)+1))</f>
        <v/>
      </c>
      <c r="V5186" s="19">
        <f>IF($B5186="","",TEXT($B5186,"0000"))</f>
        <v/>
      </c>
      <c r="W5186" s="19">
        <f>IF($I5186="","",IF(ISNUMBER($I5186),TEXT($I5186,"0"),$I5186))</f>
        <v/>
      </c>
    </row>
    <row r="5187">
      <c r="B5187" s="25" t="n"/>
      <c r="I5187" s="25" t="n"/>
      <c r="U5187" s="19">
        <f>IF($V5187&lt;&gt;'設定'!$C$4,N(U5186),IF(OR(NOT(COUNTIF('商品マスタ'!$B$6:$B$1005,$W5187)=0),COUNTIFS('①在庫を貼る'!$V$6:$V$10005,$V5187,'①在庫を貼る'!$W$6:$W$10005,$W5187)&gt;0),N(U5186),N(U5186)+1))</f>
        <v/>
      </c>
      <c r="V5187" s="19">
        <f>IF($B5187="","",TEXT($B5187,"0000"))</f>
        <v/>
      </c>
      <c r="W5187" s="19">
        <f>IF($I5187="","",IF(ISNUMBER($I5187),TEXT($I5187,"0"),$I5187))</f>
        <v/>
      </c>
    </row>
    <row r="5188">
      <c r="B5188" s="25" t="n"/>
      <c r="I5188" s="25" t="n"/>
      <c r="U5188" s="19">
        <f>IF($V5188&lt;&gt;'設定'!$C$4,N(U5187),IF(OR(NOT(COUNTIF('商品マスタ'!$B$6:$B$1005,$W5188)=0),COUNTIFS('①在庫を貼る'!$V$6:$V$10005,$V5188,'①在庫を貼る'!$W$6:$W$10005,$W5188)&gt;0),N(U5187),N(U5187)+1))</f>
        <v/>
      </c>
      <c r="V5188" s="19">
        <f>IF($B5188="","",TEXT($B5188,"0000"))</f>
        <v/>
      </c>
      <c r="W5188" s="19">
        <f>IF($I5188="","",IF(ISNUMBER($I5188),TEXT($I5188,"0"),$I5188))</f>
        <v/>
      </c>
    </row>
    <row r="5189">
      <c r="B5189" s="25" t="n"/>
      <c r="I5189" s="25" t="n"/>
      <c r="U5189" s="19">
        <f>IF($V5189&lt;&gt;'設定'!$C$4,N(U5188),IF(OR(NOT(COUNTIF('商品マスタ'!$B$6:$B$1005,$W5189)=0),COUNTIFS('①在庫を貼る'!$V$6:$V$10005,$V5189,'①在庫を貼る'!$W$6:$W$10005,$W5189)&gt;0),N(U5188),N(U5188)+1))</f>
        <v/>
      </c>
      <c r="V5189" s="19">
        <f>IF($B5189="","",TEXT($B5189,"0000"))</f>
        <v/>
      </c>
      <c r="W5189" s="19">
        <f>IF($I5189="","",IF(ISNUMBER($I5189),TEXT($I5189,"0"),$I5189))</f>
        <v/>
      </c>
    </row>
    <row r="5190">
      <c r="B5190" s="25" t="n"/>
      <c r="I5190" s="25" t="n"/>
      <c r="U5190" s="19">
        <f>IF($V5190&lt;&gt;'設定'!$C$4,N(U5189),IF(OR(NOT(COUNTIF('商品マスタ'!$B$6:$B$1005,$W5190)=0),COUNTIFS('①在庫を貼る'!$V$6:$V$10005,$V5190,'①在庫を貼る'!$W$6:$W$10005,$W5190)&gt;0),N(U5189),N(U5189)+1))</f>
        <v/>
      </c>
      <c r="V5190" s="19">
        <f>IF($B5190="","",TEXT($B5190,"0000"))</f>
        <v/>
      </c>
      <c r="W5190" s="19">
        <f>IF($I5190="","",IF(ISNUMBER($I5190),TEXT($I5190,"0"),$I5190))</f>
        <v/>
      </c>
    </row>
    <row r="5191">
      <c r="B5191" s="25" t="n"/>
      <c r="I5191" s="25" t="n"/>
      <c r="U5191" s="19">
        <f>IF($V5191&lt;&gt;'設定'!$C$4,N(U5190),IF(OR(NOT(COUNTIF('商品マスタ'!$B$6:$B$1005,$W5191)=0),COUNTIFS('①在庫を貼る'!$V$6:$V$10005,$V5191,'①在庫を貼る'!$W$6:$W$10005,$W5191)&gt;0),N(U5190),N(U5190)+1))</f>
        <v/>
      </c>
      <c r="V5191" s="19">
        <f>IF($B5191="","",TEXT($B5191,"0000"))</f>
        <v/>
      </c>
      <c r="W5191" s="19">
        <f>IF($I5191="","",IF(ISNUMBER($I5191),TEXT($I5191,"0"),$I5191))</f>
        <v/>
      </c>
    </row>
    <row r="5192">
      <c r="B5192" s="25" t="n"/>
      <c r="I5192" s="25" t="n"/>
      <c r="U5192" s="19">
        <f>IF($V5192&lt;&gt;'設定'!$C$4,N(U5191),IF(OR(NOT(COUNTIF('商品マスタ'!$B$6:$B$1005,$W5192)=0),COUNTIFS('①在庫を貼る'!$V$6:$V$10005,$V5192,'①在庫を貼る'!$W$6:$W$10005,$W5192)&gt;0),N(U5191),N(U5191)+1))</f>
        <v/>
      </c>
      <c r="V5192" s="19">
        <f>IF($B5192="","",TEXT($B5192,"0000"))</f>
        <v/>
      </c>
      <c r="W5192" s="19">
        <f>IF($I5192="","",IF(ISNUMBER($I5192),TEXT($I5192,"0"),$I5192))</f>
        <v/>
      </c>
    </row>
    <row r="5193">
      <c r="B5193" s="25" t="n"/>
      <c r="I5193" s="25" t="n"/>
      <c r="U5193" s="19">
        <f>IF($V5193&lt;&gt;'設定'!$C$4,N(U5192),IF(OR(NOT(COUNTIF('商品マスタ'!$B$6:$B$1005,$W5193)=0),COUNTIFS('①在庫を貼る'!$V$6:$V$10005,$V5193,'①在庫を貼る'!$W$6:$W$10005,$W5193)&gt;0),N(U5192),N(U5192)+1))</f>
        <v/>
      </c>
      <c r="V5193" s="19">
        <f>IF($B5193="","",TEXT($B5193,"0000"))</f>
        <v/>
      </c>
      <c r="W5193" s="19">
        <f>IF($I5193="","",IF(ISNUMBER($I5193),TEXT($I5193,"0"),$I5193))</f>
        <v/>
      </c>
    </row>
    <row r="5194">
      <c r="B5194" s="25" t="n"/>
      <c r="I5194" s="25" t="n"/>
      <c r="U5194" s="19">
        <f>IF($V5194&lt;&gt;'設定'!$C$4,N(U5193),IF(OR(NOT(COUNTIF('商品マスタ'!$B$6:$B$1005,$W5194)=0),COUNTIFS('①在庫を貼る'!$V$6:$V$10005,$V5194,'①在庫を貼る'!$W$6:$W$10005,$W5194)&gt;0),N(U5193),N(U5193)+1))</f>
        <v/>
      </c>
      <c r="V5194" s="19">
        <f>IF($B5194="","",TEXT($B5194,"0000"))</f>
        <v/>
      </c>
      <c r="W5194" s="19">
        <f>IF($I5194="","",IF(ISNUMBER($I5194),TEXT($I5194,"0"),$I5194))</f>
        <v/>
      </c>
    </row>
    <row r="5195">
      <c r="B5195" s="25" t="n"/>
      <c r="I5195" s="25" t="n"/>
      <c r="U5195" s="19">
        <f>IF($V5195&lt;&gt;'設定'!$C$4,N(U5194),IF(OR(NOT(COUNTIF('商品マスタ'!$B$6:$B$1005,$W5195)=0),COUNTIFS('①在庫を貼る'!$V$6:$V$10005,$V5195,'①在庫を貼る'!$W$6:$W$10005,$W5195)&gt;0),N(U5194),N(U5194)+1))</f>
        <v/>
      </c>
      <c r="V5195" s="19">
        <f>IF($B5195="","",TEXT($B5195,"0000"))</f>
        <v/>
      </c>
      <c r="W5195" s="19">
        <f>IF($I5195="","",IF(ISNUMBER($I5195),TEXT($I5195,"0"),$I5195))</f>
        <v/>
      </c>
    </row>
    <row r="5196">
      <c r="B5196" s="25" t="n"/>
      <c r="I5196" s="25" t="n"/>
      <c r="U5196" s="19">
        <f>IF($V5196&lt;&gt;'設定'!$C$4,N(U5195),IF(OR(NOT(COUNTIF('商品マスタ'!$B$6:$B$1005,$W5196)=0),COUNTIFS('①在庫を貼る'!$V$6:$V$10005,$V5196,'①在庫を貼る'!$W$6:$W$10005,$W5196)&gt;0),N(U5195),N(U5195)+1))</f>
        <v/>
      </c>
      <c r="V5196" s="19">
        <f>IF($B5196="","",TEXT($B5196,"0000"))</f>
        <v/>
      </c>
      <c r="W5196" s="19">
        <f>IF($I5196="","",IF(ISNUMBER($I5196),TEXT($I5196,"0"),$I5196))</f>
        <v/>
      </c>
    </row>
    <row r="5197">
      <c r="B5197" s="25" t="n"/>
      <c r="I5197" s="25" t="n"/>
      <c r="U5197" s="19">
        <f>IF($V5197&lt;&gt;'設定'!$C$4,N(U5196),IF(OR(NOT(COUNTIF('商品マスタ'!$B$6:$B$1005,$W5197)=0),COUNTIFS('①在庫を貼る'!$V$6:$V$10005,$V5197,'①在庫を貼る'!$W$6:$W$10005,$W5197)&gt;0),N(U5196),N(U5196)+1))</f>
        <v/>
      </c>
      <c r="V5197" s="19">
        <f>IF($B5197="","",TEXT($B5197,"0000"))</f>
        <v/>
      </c>
      <c r="W5197" s="19">
        <f>IF($I5197="","",IF(ISNUMBER($I5197),TEXT($I5197,"0"),$I5197))</f>
        <v/>
      </c>
    </row>
    <row r="5198">
      <c r="B5198" s="25" t="n"/>
      <c r="I5198" s="25" t="n"/>
      <c r="U5198" s="19">
        <f>IF($V5198&lt;&gt;'設定'!$C$4,N(U5197),IF(OR(NOT(COUNTIF('商品マスタ'!$B$6:$B$1005,$W5198)=0),COUNTIFS('①在庫を貼る'!$V$6:$V$10005,$V5198,'①在庫を貼る'!$W$6:$W$10005,$W5198)&gt;0),N(U5197),N(U5197)+1))</f>
        <v/>
      </c>
      <c r="V5198" s="19">
        <f>IF($B5198="","",TEXT($B5198,"0000"))</f>
        <v/>
      </c>
      <c r="W5198" s="19">
        <f>IF($I5198="","",IF(ISNUMBER($I5198),TEXT($I5198,"0"),$I5198))</f>
        <v/>
      </c>
    </row>
    <row r="5199">
      <c r="B5199" s="25" t="n"/>
      <c r="I5199" s="25" t="n"/>
      <c r="U5199" s="19">
        <f>IF($V5199&lt;&gt;'設定'!$C$4,N(U5198),IF(OR(NOT(COUNTIF('商品マスタ'!$B$6:$B$1005,$W5199)=0),COUNTIFS('①在庫を貼る'!$V$6:$V$10005,$V5199,'①在庫を貼る'!$W$6:$W$10005,$W5199)&gt;0),N(U5198),N(U5198)+1))</f>
        <v/>
      </c>
      <c r="V5199" s="19">
        <f>IF($B5199="","",TEXT($B5199,"0000"))</f>
        <v/>
      </c>
      <c r="W5199" s="19">
        <f>IF($I5199="","",IF(ISNUMBER($I5199),TEXT($I5199,"0"),$I5199))</f>
        <v/>
      </c>
    </row>
    <row r="5200">
      <c r="B5200" s="25" t="n"/>
      <c r="I5200" s="25" t="n"/>
      <c r="U5200" s="19">
        <f>IF($V5200&lt;&gt;'設定'!$C$4,N(U5199),IF(OR(NOT(COUNTIF('商品マスタ'!$B$6:$B$1005,$W5200)=0),COUNTIFS('①在庫を貼る'!$V$6:$V$10005,$V5200,'①在庫を貼る'!$W$6:$W$10005,$W5200)&gt;0),N(U5199),N(U5199)+1))</f>
        <v/>
      </c>
      <c r="V5200" s="19">
        <f>IF($B5200="","",TEXT($B5200,"0000"))</f>
        <v/>
      </c>
      <c r="W5200" s="19">
        <f>IF($I5200="","",IF(ISNUMBER($I5200),TEXT($I5200,"0"),$I5200))</f>
        <v/>
      </c>
    </row>
    <row r="5201">
      <c r="B5201" s="25" t="n"/>
      <c r="I5201" s="25" t="n"/>
      <c r="U5201" s="19">
        <f>IF($V5201&lt;&gt;'設定'!$C$4,N(U5200),IF(OR(NOT(COUNTIF('商品マスタ'!$B$6:$B$1005,$W5201)=0),COUNTIFS('①在庫を貼る'!$V$6:$V$10005,$V5201,'①在庫を貼る'!$W$6:$W$10005,$W5201)&gt;0),N(U5200),N(U5200)+1))</f>
        <v/>
      </c>
      <c r="V5201" s="19">
        <f>IF($B5201="","",TEXT($B5201,"0000"))</f>
        <v/>
      </c>
      <c r="W5201" s="19">
        <f>IF($I5201="","",IF(ISNUMBER($I5201),TEXT($I5201,"0"),$I5201))</f>
        <v/>
      </c>
    </row>
    <row r="5202">
      <c r="B5202" s="25" t="n"/>
      <c r="I5202" s="25" t="n"/>
      <c r="U5202" s="19">
        <f>IF($V5202&lt;&gt;'設定'!$C$4,N(U5201),IF(OR(NOT(COUNTIF('商品マスタ'!$B$6:$B$1005,$W5202)=0),COUNTIFS('①在庫を貼る'!$V$6:$V$10005,$V5202,'①在庫を貼る'!$W$6:$W$10005,$W5202)&gt;0),N(U5201),N(U5201)+1))</f>
        <v/>
      </c>
      <c r="V5202" s="19">
        <f>IF($B5202="","",TEXT($B5202,"0000"))</f>
        <v/>
      </c>
      <c r="W5202" s="19">
        <f>IF($I5202="","",IF(ISNUMBER($I5202),TEXT($I5202,"0"),$I5202))</f>
        <v/>
      </c>
    </row>
    <row r="5203">
      <c r="B5203" s="25" t="n"/>
      <c r="I5203" s="25" t="n"/>
      <c r="U5203" s="19">
        <f>IF($V5203&lt;&gt;'設定'!$C$4,N(U5202),IF(OR(NOT(COUNTIF('商品マスタ'!$B$6:$B$1005,$W5203)=0),COUNTIFS('①在庫を貼る'!$V$6:$V$10005,$V5203,'①在庫を貼る'!$W$6:$W$10005,$W5203)&gt;0),N(U5202),N(U5202)+1))</f>
        <v/>
      </c>
      <c r="V5203" s="19">
        <f>IF($B5203="","",TEXT($B5203,"0000"))</f>
        <v/>
      </c>
      <c r="W5203" s="19">
        <f>IF($I5203="","",IF(ISNUMBER($I5203),TEXT($I5203,"0"),$I5203))</f>
        <v/>
      </c>
    </row>
    <row r="5204">
      <c r="B5204" s="25" t="n"/>
      <c r="I5204" s="25" t="n"/>
      <c r="U5204" s="19">
        <f>IF($V5204&lt;&gt;'設定'!$C$4,N(U5203),IF(OR(NOT(COUNTIF('商品マスタ'!$B$6:$B$1005,$W5204)=0),COUNTIFS('①在庫を貼る'!$V$6:$V$10005,$V5204,'①在庫を貼る'!$W$6:$W$10005,$W5204)&gt;0),N(U5203),N(U5203)+1))</f>
        <v/>
      </c>
      <c r="V5204" s="19">
        <f>IF($B5204="","",TEXT($B5204,"0000"))</f>
        <v/>
      </c>
      <c r="W5204" s="19">
        <f>IF($I5204="","",IF(ISNUMBER($I5204),TEXT($I5204,"0"),$I5204))</f>
        <v/>
      </c>
    </row>
    <row r="5205">
      <c r="B5205" s="25" t="n"/>
      <c r="I5205" s="25" t="n"/>
      <c r="U5205" s="19">
        <f>IF($V5205&lt;&gt;'設定'!$C$4,N(U5204),IF(OR(NOT(COUNTIF('商品マスタ'!$B$6:$B$1005,$W5205)=0),COUNTIFS('①在庫を貼る'!$V$6:$V$10005,$V5205,'①在庫を貼る'!$W$6:$W$10005,$W5205)&gt;0),N(U5204),N(U5204)+1))</f>
        <v/>
      </c>
      <c r="V5205" s="19">
        <f>IF($B5205="","",TEXT($B5205,"0000"))</f>
        <v/>
      </c>
      <c r="W5205" s="19">
        <f>IF($I5205="","",IF(ISNUMBER($I5205),TEXT($I5205,"0"),$I5205))</f>
        <v/>
      </c>
    </row>
    <row r="5206">
      <c r="B5206" s="25" t="n"/>
      <c r="I5206" s="25" t="n"/>
      <c r="U5206" s="19">
        <f>IF($V5206&lt;&gt;'設定'!$C$4,N(U5205),IF(OR(NOT(COUNTIF('商品マスタ'!$B$6:$B$1005,$W5206)=0),COUNTIFS('①在庫を貼る'!$V$6:$V$10005,$V5206,'①在庫を貼る'!$W$6:$W$10005,$W5206)&gt;0),N(U5205),N(U5205)+1))</f>
        <v/>
      </c>
      <c r="V5206" s="19">
        <f>IF($B5206="","",TEXT($B5206,"0000"))</f>
        <v/>
      </c>
      <c r="W5206" s="19">
        <f>IF($I5206="","",IF(ISNUMBER($I5206),TEXT($I5206,"0"),$I5206))</f>
        <v/>
      </c>
    </row>
    <row r="5207">
      <c r="B5207" s="25" t="n"/>
      <c r="I5207" s="25" t="n"/>
      <c r="U5207" s="19">
        <f>IF($V5207&lt;&gt;'設定'!$C$4,N(U5206),IF(OR(NOT(COUNTIF('商品マスタ'!$B$6:$B$1005,$W5207)=0),COUNTIFS('①在庫を貼る'!$V$6:$V$10005,$V5207,'①在庫を貼る'!$W$6:$W$10005,$W5207)&gt;0),N(U5206),N(U5206)+1))</f>
        <v/>
      </c>
      <c r="V5207" s="19">
        <f>IF($B5207="","",TEXT($B5207,"0000"))</f>
        <v/>
      </c>
      <c r="W5207" s="19">
        <f>IF($I5207="","",IF(ISNUMBER($I5207),TEXT($I5207,"0"),$I5207))</f>
        <v/>
      </c>
    </row>
    <row r="5208">
      <c r="B5208" s="25" t="n"/>
      <c r="I5208" s="25" t="n"/>
      <c r="U5208" s="19">
        <f>IF($V5208&lt;&gt;'設定'!$C$4,N(U5207),IF(OR(NOT(COUNTIF('商品マスタ'!$B$6:$B$1005,$W5208)=0),COUNTIFS('①在庫を貼る'!$V$6:$V$10005,$V5208,'①在庫を貼る'!$W$6:$W$10005,$W5208)&gt;0),N(U5207),N(U5207)+1))</f>
        <v/>
      </c>
      <c r="V5208" s="19">
        <f>IF($B5208="","",TEXT($B5208,"0000"))</f>
        <v/>
      </c>
      <c r="W5208" s="19">
        <f>IF($I5208="","",IF(ISNUMBER($I5208),TEXT($I5208,"0"),$I5208))</f>
        <v/>
      </c>
    </row>
    <row r="5209">
      <c r="B5209" s="25" t="n"/>
      <c r="I5209" s="25" t="n"/>
      <c r="U5209" s="19">
        <f>IF($V5209&lt;&gt;'設定'!$C$4,N(U5208),IF(OR(NOT(COUNTIF('商品マスタ'!$B$6:$B$1005,$W5209)=0),COUNTIFS('①在庫を貼る'!$V$6:$V$10005,$V5209,'①在庫を貼る'!$W$6:$W$10005,$W5209)&gt;0),N(U5208),N(U5208)+1))</f>
        <v/>
      </c>
      <c r="V5209" s="19">
        <f>IF($B5209="","",TEXT($B5209,"0000"))</f>
        <v/>
      </c>
      <c r="W5209" s="19">
        <f>IF($I5209="","",IF(ISNUMBER($I5209),TEXT($I5209,"0"),$I5209))</f>
        <v/>
      </c>
    </row>
    <row r="5210">
      <c r="B5210" s="25" t="n"/>
      <c r="I5210" s="25" t="n"/>
      <c r="U5210" s="19">
        <f>IF($V5210&lt;&gt;'設定'!$C$4,N(U5209),IF(OR(NOT(COUNTIF('商品マスタ'!$B$6:$B$1005,$W5210)=0),COUNTIFS('①在庫を貼る'!$V$6:$V$10005,$V5210,'①在庫を貼る'!$W$6:$W$10005,$W5210)&gt;0),N(U5209),N(U5209)+1))</f>
        <v/>
      </c>
      <c r="V5210" s="19">
        <f>IF($B5210="","",TEXT($B5210,"0000"))</f>
        <v/>
      </c>
      <c r="W5210" s="19">
        <f>IF($I5210="","",IF(ISNUMBER($I5210),TEXT($I5210,"0"),$I5210))</f>
        <v/>
      </c>
    </row>
    <row r="5211">
      <c r="B5211" s="25" t="n"/>
      <c r="I5211" s="25" t="n"/>
      <c r="U5211" s="19">
        <f>IF($V5211&lt;&gt;'設定'!$C$4,N(U5210),IF(OR(NOT(COUNTIF('商品マスタ'!$B$6:$B$1005,$W5211)=0),COUNTIFS('①在庫を貼る'!$V$6:$V$10005,$V5211,'①在庫を貼る'!$W$6:$W$10005,$W5211)&gt;0),N(U5210),N(U5210)+1))</f>
        <v/>
      </c>
      <c r="V5211" s="19">
        <f>IF($B5211="","",TEXT($B5211,"0000"))</f>
        <v/>
      </c>
      <c r="W5211" s="19">
        <f>IF($I5211="","",IF(ISNUMBER($I5211),TEXT($I5211,"0"),$I5211))</f>
        <v/>
      </c>
    </row>
    <row r="5212">
      <c r="B5212" s="25" t="n"/>
      <c r="I5212" s="25" t="n"/>
      <c r="U5212" s="19">
        <f>IF($V5212&lt;&gt;'設定'!$C$4,N(U5211),IF(OR(NOT(COUNTIF('商品マスタ'!$B$6:$B$1005,$W5212)=0),COUNTIFS('①在庫を貼る'!$V$6:$V$10005,$V5212,'①在庫を貼る'!$W$6:$W$10005,$W5212)&gt;0),N(U5211),N(U5211)+1))</f>
        <v/>
      </c>
      <c r="V5212" s="19">
        <f>IF($B5212="","",TEXT($B5212,"0000"))</f>
        <v/>
      </c>
      <c r="W5212" s="19">
        <f>IF($I5212="","",IF(ISNUMBER($I5212),TEXT($I5212,"0"),$I5212))</f>
        <v/>
      </c>
    </row>
    <row r="5213">
      <c r="B5213" s="25" t="n"/>
      <c r="I5213" s="25" t="n"/>
      <c r="U5213" s="19">
        <f>IF($V5213&lt;&gt;'設定'!$C$4,N(U5212),IF(OR(NOT(COUNTIF('商品マスタ'!$B$6:$B$1005,$W5213)=0),COUNTIFS('①在庫を貼る'!$V$6:$V$10005,$V5213,'①在庫を貼る'!$W$6:$W$10005,$W5213)&gt;0),N(U5212),N(U5212)+1))</f>
        <v/>
      </c>
      <c r="V5213" s="19">
        <f>IF($B5213="","",TEXT($B5213,"0000"))</f>
        <v/>
      </c>
      <c r="W5213" s="19">
        <f>IF($I5213="","",IF(ISNUMBER($I5213),TEXT($I5213,"0"),$I5213))</f>
        <v/>
      </c>
    </row>
    <row r="5214">
      <c r="B5214" s="25" t="n"/>
      <c r="I5214" s="25" t="n"/>
      <c r="U5214" s="19">
        <f>IF($V5214&lt;&gt;'設定'!$C$4,N(U5213),IF(OR(NOT(COUNTIF('商品マスタ'!$B$6:$B$1005,$W5214)=0),COUNTIFS('①在庫を貼る'!$V$6:$V$10005,$V5214,'①在庫を貼る'!$W$6:$W$10005,$W5214)&gt;0),N(U5213),N(U5213)+1))</f>
        <v/>
      </c>
      <c r="V5214" s="19">
        <f>IF($B5214="","",TEXT($B5214,"0000"))</f>
        <v/>
      </c>
      <c r="W5214" s="19">
        <f>IF($I5214="","",IF(ISNUMBER($I5214),TEXT($I5214,"0"),$I5214))</f>
        <v/>
      </c>
    </row>
    <row r="5215">
      <c r="B5215" s="25" t="n"/>
      <c r="I5215" s="25" t="n"/>
      <c r="U5215" s="19">
        <f>IF($V5215&lt;&gt;'設定'!$C$4,N(U5214),IF(OR(NOT(COUNTIF('商品マスタ'!$B$6:$B$1005,$W5215)=0),COUNTIFS('①在庫を貼る'!$V$6:$V$10005,$V5215,'①在庫を貼る'!$W$6:$W$10005,$W5215)&gt;0),N(U5214),N(U5214)+1))</f>
        <v/>
      </c>
      <c r="V5215" s="19">
        <f>IF($B5215="","",TEXT($B5215,"0000"))</f>
        <v/>
      </c>
      <c r="W5215" s="19">
        <f>IF($I5215="","",IF(ISNUMBER($I5215),TEXT($I5215,"0"),$I5215))</f>
        <v/>
      </c>
    </row>
    <row r="5216">
      <c r="B5216" s="25" t="n"/>
      <c r="I5216" s="25" t="n"/>
      <c r="U5216" s="19">
        <f>IF($V5216&lt;&gt;'設定'!$C$4,N(U5215),IF(OR(NOT(COUNTIF('商品マスタ'!$B$6:$B$1005,$W5216)=0),COUNTIFS('①在庫を貼る'!$V$6:$V$10005,$V5216,'①在庫を貼る'!$W$6:$W$10005,$W5216)&gt;0),N(U5215),N(U5215)+1))</f>
        <v/>
      </c>
      <c r="V5216" s="19">
        <f>IF($B5216="","",TEXT($B5216,"0000"))</f>
        <v/>
      </c>
      <c r="W5216" s="19">
        <f>IF($I5216="","",IF(ISNUMBER($I5216),TEXT($I5216,"0"),$I5216))</f>
        <v/>
      </c>
    </row>
    <row r="5217">
      <c r="B5217" s="25" t="n"/>
      <c r="I5217" s="25" t="n"/>
      <c r="U5217" s="19">
        <f>IF($V5217&lt;&gt;'設定'!$C$4,N(U5216),IF(OR(NOT(COUNTIF('商品マスタ'!$B$6:$B$1005,$W5217)=0),COUNTIFS('①在庫を貼る'!$V$6:$V$10005,$V5217,'①在庫を貼る'!$W$6:$W$10005,$W5217)&gt;0),N(U5216),N(U5216)+1))</f>
        <v/>
      </c>
      <c r="V5217" s="19">
        <f>IF($B5217="","",TEXT($B5217,"0000"))</f>
        <v/>
      </c>
      <c r="W5217" s="19">
        <f>IF($I5217="","",IF(ISNUMBER($I5217),TEXT($I5217,"0"),$I5217))</f>
        <v/>
      </c>
    </row>
    <row r="5218">
      <c r="B5218" s="25" t="n"/>
      <c r="I5218" s="25" t="n"/>
      <c r="U5218" s="19">
        <f>IF($V5218&lt;&gt;'設定'!$C$4,N(U5217),IF(OR(NOT(COUNTIF('商品マスタ'!$B$6:$B$1005,$W5218)=0),COUNTIFS('①在庫を貼る'!$V$6:$V$10005,$V5218,'①在庫を貼る'!$W$6:$W$10005,$W5218)&gt;0),N(U5217),N(U5217)+1))</f>
        <v/>
      </c>
      <c r="V5218" s="19">
        <f>IF($B5218="","",TEXT($B5218,"0000"))</f>
        <v/>
      </c>
      <c r="W5218" s="19">
        <f>IF($I5218="","",IF(ISNUMBER($I5218),TEXT($I5218,"0"),$I5218))</f>
        <v/>
      </c>
    </row>
    <row r="5219">
      <c r="B5219" s="25" t="n"/>
      <c r="I5219" s="25" t="n"/>
      <c r="U5219" s="19">
        <f>IF($V5219&lt;&gt;'設定'!$C$4,N(U5218),IF(OR(NOT(COUNTIF('商品マスタ'!$B$6:$B$1005,$W5219)=0),COUNTIFS('①在庫を貼る'!$V$6:$V$10005,$V5219,'①在庫を貼る'!$W$6:$W$10005,$W5219)&gt;0),N(U5218),N(U5218)+1))</f>
        <v/>
      </c>
      <c r="V5219" s="19">
        <f>IF($B5219="","",TEXT($B5219,"0000"))</f>
        <v/>
      </c>
      <c r="W5219" s="19">
        <f>IF($I5219="","",IF(ISNUMBER($I5219),TEXT($I5219,"0"),$I5219))</f>
        <v/>
      </c>
    </row>
    <row r="5220">
      <c r="B5220" s="25" t="n"/>
      <c r="I5220" s="25" t="n"/>
      <c r="U5220" s="19">
        <f>IF($V5220&lt;&gt;'設定'!$C$4,N(U5219),IF(OR(NOT(COUNTIF('商品マスタ'!$B$6:$B$1005,$W5220)=0),COUNTIFS('①在庫を貼る'!$V$6:$V$10005,$V5220,'①在庫を貼る'!$W$6:$W$10005,$W5220)&gt;0),N(U5219),N(U5219)+1))</f>
        <v/>
      </c>
      <c r="V5220" s="19">
        <f>IF($B5220="","",TEXT($B5220,"0000"))</f>
        <v/>
      </c>
      <c r="W5220" s="19">
        <f>IF($I5220="","",IF(ISNUMBER($I5220),TEXT($I5220,"0"),$I5220))</f>
        <v/>
      </c>
    </row>
    <row r="5221">
      <c r="B5221" s="25" t="n"/>
      <c r="I5221" s="25" t="n"/>
      <c r="U5221" s="19">
        <f>IF($V5221&lt;&gt;'設定'!$C$4,N(U5220),IF(OR(NOT(COUNTIF('商品マスタ'!$B$6:$B$1005,$W5221)=0),COUNTIFS('①在庫を貼る'!$V$6:$V$10005,$V5221,'①在庫を貼る'!$W$6:$W$10005,$W5221)&gt;0),N(U5220),N(U5220)+1))</f>
        <v/>
      </c>
      <c r="V5221" s="19">
        <f>IF($B5221="","",TEXT($B5221,"0000"))</f>
        <v/>
      </c>
      <c r="W5221" s="19">
        <f>IF($I5221="","",IF(ISNUMBER($I5221),TEXT($I5221,"0"),$I5221))</f>
        <v/>
      </c>
    </row>
    <row r="5222">
      <c r="B5222" s="25" t="n"/>
      <c r="I5222" s="25" t="n"/>
      <c r="U5222" s="19">
        <f>IF($V5222&lt;&gt;'設定'!$C$4,N(U5221),IF(OR(NOT(COUNTIF('商品マスタ'!$B$6:$B$1005,$W5222)=0),COUNTIFS('①在庫を貼る'!$V$6:$V$10005,$V5222,'①在庫を貼る'!$W$6:$W$10005,$W5222)&gt;0),N(U5221),N(U5221)+1))</f>
        <v/>
      </c>
      <c r="V5222" s="19">
        <f>IF($B5222="","",TEXT($B5222,"0000"))</f>
        <v/>
      </c>
      <c r="W5222" s="19">
        <f>IF($I5222="","",IF(ISNUMBER($I5222),TEXT($I5222,"0"),$I5222))</f>
        <v/>
      </c>
    </row>
    <row r="5223">
      <c r="B5223" s="25" t="n"/>
      <c r="I5223" s="25" t="n"/>
      <c r="U5223" s="19">
        <f>IF($V5223&lt;&gt;'設定'!$C$4,N(U5222),IF(OR(NOT(COUNTIF('商品マスタ'!$B$6:$B$1005,$W5223)=0),COUNTIFS('①在庫を貼る'!$V$6:$V$10005,$V5223,'①在庫を貼る'!$W$6:$W$10005,$W5223)&gt;0),N(U5222),N(U5222)+1))</f>
        <v/>
      </c>
      <c r="V5223" s="19">
        <f>IF($B5223="","",TEXT($B5223,"0000"))</f>
        <v/>
      </c>
      <c r="W5223" s="19">
        <f>IF($I5223="","",IF(ISNUMBER($I5223),TEXT($I5223,"0"),$I5223))</f>
        <v/>
      </c>
    </row>
    <row r="5224">
      <c r="B5224" s="25" t="n"/>
      <c r="I5224" s="25" t="n"/>
      <c r="U5224" s="19">
        <f>IF($V5224&lt;&gt;'設定'!$C$4,N(U5223),IF(OR(NOT(COUNTIF('商品マスタ'!$B$6:$B$1005,$W5224)=0),COUNTIFS('①在庫を貼る'!$V$6:$V$10005,$V5224,'①在庫を貼る'!$W$6:$W$10005,$W5224)&gt;0),N(U5223),N(U5223)+1))</f>
        <v/>
      </c>
      <c r="V5224" s="19">
        <f>IF($B5224="","",TEXT($B5224,"0000"))</f>
        <v/>
      </c>
      <c r="W5224" s="19">
        <f>IF($I5224="","",IF(ISNUMBER($I5224),TEXT($I5224,"0"),$I5224))</f>
        <v/>
      </c>
    </row>
    <row r="5225">
      <c r="B5225" s="25" t="n"/>
      <c r="I5225" s="25" t="n"/>
      <c r="U5225" s="19">
        <f>IF($V5225&lt;&gt;'設定'!$C$4,N(U5224),IF(OR(NOT(COUNTIF('商品マスタ'!$B$6:$B$1005,$W5225)=0),COUNTIFS('①在庫を貼る'!$V$6:$V$10005,$V5225,'①在庫を貼る'!$W$6:$W$10005,$W5225)&gt;0),N(U5224),N(U5224)+1))</f>
        <v/>
      </c>
      <c r="V5225" s="19">
        <f>IF($B5225="","",TEXT($B5225,"0000"))</f>
        <v/>
      </c>
      <c r="W5225" s="19">
        <f>IF($I5225="","",IF(ISNUMBER($I5225),TEXT($I5225,"0"),$I5225))</f>
        <v/>
      </c>
    </row>
    <row r="5226">
      <c r="B5226" s="25" t="n"/>
      <c r="I5226" s="25" t="n"/>
      <c r="U5226" s="19">
        <f>IF($V5226&lt;&gt;'設定'!$C$4,N(U5225),IF(OR(NOT(COUNTIF('商品マスタ'!$B$6:$B$1005,$W5226)=0),COUNTIFS('①在庫を貼る'!$V$6:$V$10005,$V5226,'①在庫を貼る'!$W$6:$W$10005,$W5226)&gt;0),N(U5225),N(U5225)+1))</f>
        <v/>
      </c>
      <c r="V5226" s="19">
        <f>IF($B5226="","",TEXT($B5226,"0000"))</f>
        <v/>
      </c>
      <c r="W5226" s="19">
        <f>IF($I5226="","",IF(ISNUMBER($I5226),TEXT($I5226,"0"),$I5226))</f>
        <v/>
      </c>
    </row>
    <row r="5227">
      <c r="B5227" s="25" t="n"/>
      <c r="I5227" s="25" t="n"/>
      <c r="U5227" s="19">
        <f>IF($V5227&lt;&gt;'設定'!$C$4,N(U5226),IF(OR(NOT(COUNTIF('商品マスタ'!$B$6:$B$1005,$W5227)=0),COUNTIFS('①在庫を貼る'!$V$6:$V$10005,$V5227,'①在庫を貼る'!$W$6:$W$10005,$W5227)&gt;0),N(U5226),N(U5226)+1))</f>
        <v/>
      </c>
      <c r="V5227" s="19">
        <f>IF($B5227="","",TEXT($B5227,"0000"))</f>
        <v/>
      </c>
      <c r="W5227" s="19">
        <f>IF($I5227="","",IF(ISNUMBER($I5227),TEXT($I5227,"0"),$I5227))</f>
        <v/>
      </c>
    </row>
    <row r="5228">
      <c r="B5228" s="25" t="n"/>
      <c r="I5228" s="25" t="n"/>
      <c r="U5228" s="19">
        <f>IF($V5228&lt;&gt;'設定'!$C$4,N(U5227),IF(OR(NOT(COUNTIF('商品マスタ'!$B$6:$B$1005,$W5228)=0),COUNTIFS('①在庫を貼る'!$V$6:$V$10005,$V5228,'①在庫を貼る'!$W$6:$W$10005,$W5228)&gt;0),N(U5227),N(U5227)+1))</f>
        <v/>
      </c>
      <c r="V5228" s="19">
        <f>IF($B5228="","",TEXT($B5228,"0000"))</f>
        <v/>
      </c>
      <c r="W5228" s="19">
        <f>IF($I5228="","",IF(ISNUMBER($I5228),TEXT($I5228,"0"),$I5228))</f>
        <v/>
      </c>
    </row>
    <row r="5229">
      <c r="B5229" s="25" t="n"/>
      <c r="I5229" s="25" t="n"/>
      <c r="U5229" s="19">
        <f>IF($V5229&lt;&gt;'設定'!$C$4,N(U5228),IF(OR(NOT(COUNTIF('商品マスタ'!$B$6:$B$1005,$W5229)=0),COUNTIFS('①在庫を貼る'!$V$6:$V$10005,$V5229,'①在庫を貼る'!$W$6:$W$10005,$W5229)&gt;0),N(U5228),N(U5228)+1))</f>
        <v/>
      </c>
      <c r="V5229" s="19">
        <f>IF($B5229="","",TEXT($B5229,"0000"))</f>
        <v/>
      </c>
      <c r="W5229" s="19">
        <f>IF($I5229="","",IF(ISNUMBER($I5229),TEXT($I5229,"0"),$I5229))</f>
        <v/>
      </c>
    </row>
    <row r="5230">
      <c r="B5230" s="25" t="n"/>
      <c r="I5230" s="25" t="n"/>
      <c r="U5230" s="19">
        <f>IF($V5230&lt;&gt;'設定'!$C$4,N(U5229),IF(OR(NOT(COUNTIF('商品マスタ'!$B$6:$B$1005,$W5230)=0),COUNTIFS('①在庫を貼る'!$V$6:$V$10005,$V5230,'①在庫を貼る'!$W$6:$W$10005,$W5230)&gt;0),N(U5229),N(U5229)+1))</f>
        <v/>
      </c>
      <c r="V5230" s="19">
        <f>IF($B5230="","",TEXT($B5230,"0000"))</f>
        <v/>
      </c>
      <c r="W5230" s="19">
        <f>IF($I5230="","",IF(ISNUMBER($I5230),TEXT($I5230,"0"),$I5230))</f>
        <v/>
      </c>
    </row>
    <row r="5231">
      <c r="B5231" s="25" t="n"/>
      <c r="I5231" s="25" t="n"/>
      <c r="U5231" s="19">
        <f>IF($V5231&lt;&gt;'設定'!$C$4,N(U5230),IF(OR(NOT(COUNTIF('商品マスタ'!$B$6:$B$1005,$W5231)=0),COUNTIFS('①在庫を貼る'!$V$6:$V$10005,$V5231,'①在庫を貼る'!$W$6:$W$10005,$W5231)&gt;0),N(U5230),N(U5230)+1))</f>
        <v/>
      </c>
      <c r="V5231" s="19">
        <f>IF($B5231="","",TEXT($B5231,"0000"))</f>
        <v/>
      </c>
      <c r="W5231" s="19">
        <f>IF($I5231="","",IF(ISNUMBER($I5231),TEXT($I5231,"0"),$I5231))</f>
        <v/>
      </c>
    </row>
    <row r="5232">
      <c r="B5232" s="25" t="n"/>
      <c r="I5232" s="25" t="n"/>
      <c r="U5232" s="19">
        <f>IF($V5232&lt;&gt;'設定'!$C$4,N(U5231),IF(OR(NOT(COUNTIF('商品マスタ'!$B$6:$B$1005,$W5232)=0),COUNTIFS('①在庫を貼る'!$V$6:$V$10005,$V5232,'①在庫を貼る'!$W$6:$W$10005,$W5232)&gt;0),N(U5231),N(U5231)+1))</f>
        <v/>
      </c>
      <c r="V5232" s="19">
        <f>IF($B5232="","",TEXT($B5232,"0000"))</f>
        <v/>
      </c>
      <c r="W5232" s="19">
        <f>IF($I5232="","",IF(ISNUMBER($I5232),TEXT($I5232,"0"),$I5232))</f>
        <v/>
      </c>
    </row>
    <row r="5233">
      <c r="B5233" s="25" t="n"/>
      <c r="I5233" s="25" t="n"/>
      <c r="U5233" s="19">
        <f>IF($V5233&lt;&gt;'設定'!$C$4,N(U5232),IF(OR(NOT(COUNTIF('商品マスタ'!$B$6:$B$1005,$W5233)=0),COUNTIFS('①在庫を貼る'!$V$6:$V$10005,$V5233,'①在庫を貼る'!$W$6:$W$10005,$W5233)&gt;0),N(U5232),N(U5232)+1))</f>
        <v/>
      </c>
      <c r="V5233" s="19">
        <f>IF($B5233="","",TEXT($B5233,"0000"))</f>
        <v/>
      </c>
      <c r="W5233" s="19">
        <f>IF($I5233="","",IF(ISNUMBER($I5233),TEXT($I5233,"0"),$I5233))</f>
        <v/>
      </c>
    </row>
    <row r="5234">
      <c r="B5234" s="25" t="n"/>
      <c r="I5234" s="25" t="n"/>
      <c r="U5234" s="19">
        <f>IF($V5234&lt;&gt;'設定'!$C$4,N(U5233),IF(OR(NOT(COUNTIF('商品マスタ'!$B$6:$B$1005,$W5234)=0),COUNTIFS('①在庫を貼る'!$V$6:$V$10005,$V5234,'①在庫を貼る'!$W$6:$W$10005,$W5234)&gt;0),N(U5233),N(U5233)+1))</f>
        <v/>
      </c>
      <c r="V5234" s="19">
        <f>IF($B5234="","",TEXT($B5234,"0000"))</f>
        <v/>
      </c>
      <c r="W5234" s="19">
        <f>IF($I5234="","",IF(ISNUMBER($I5234),TEXT($I5234,"0"),$I5234))</f>
        <v/>
      </c>
    </row>
    <row r="5235">
      <c r="B5235" s="25" t="n"/>
      <c r="I5235" s="25" t="n"/>
      <c r="U5235" s="19">
        <f>IF($V5235&lt;&gt;'設定'!$C$4,N(U5234),IF(OR(NOT(COUNTIF('商品マスタ'!$B$6:$B$1005,$W5235)=0),COUNTIFS('①在庫を貼る'!$V$6:$V$10005,$V5235,'①在庫を貼る'!$W$6:$W$10005,$W5235)&gt;0),N(U5234),N(U5234)+1))</f>
        <v/>
      </c>
      <c r="V5235" s="19">
        <f>IF($B5235="","",TEXT($B5235,"0000"))</f>
        <v/>
      </c>
      <c r="W5235" s="19">
        <f>IF($I5235="","",IF(ISNUMBER($I5235),TEXT($I5235,"0"),$I5235))</f>
        <v/>
      </c>
    </row>
    <row r="5236">
      <c r="B5236" s="25" t="n"/>
      <c r="I5236" s="25" t="n"/>
      <c r="U5236" s="19">
        <f>IF($V5236&lt;&gt;'設定'!$C$4,N(U5235),IF(OR(NOT(COUNTIF('商品マスタ'!$B$6:$B$1005,$W5236)=0),COUNTIFS('①在庫を貼る'!$V$6:$V$10005,$V5236,'①在庫を貼る'!$W$6:$W$10005,$W5236)&gt;0),N(U5235),N(U5235)+1))</f>
        <v/>
      </c>
      <c r="V5236" s="19">
        <f>IF($B5236="","",TEXT($B5236,"0000"))</f>
        <v/>
      </c>
      <c r="W5236" s="19">
        <f>IF($I5236="","",IF(ISNUMBER($I5236),TEXT($I5236,"0"),$I5236))</f>
        <v/>
      </c>
    </row>
    <row r="5237">
      <c r="B5237" s="25" t="n"/>
      <c r="I5237" s="25" t="n"/>
      <c r="U5237" s="19">
        <f>IF($V5237&lt;&gt;'設定'!$C$4,N(U5236),IF(OR(NOT(COUNTIF('商品マスタ'!$B$6:$B$1005,$W5237)=0),COUNTIFS('①在庫を貼る'!$V$6:$V$10005,$V5237,'①在庫を貼る'!$W$6:$W$10005,$W5237)&gt;0),N(U5236),N(U5236)+1))</f>
        <v/>
      </c>
      <c r="V5237" s="19">
        <f>IF($B5237="","",TEXT($B5237,"0000"))</f>
        <v/>
      </c>
      <c r="W5237" s="19">
        <f>IF($I5237="","",IF(ISNUMBER($I5237),TEXT($I5237,"0"),$I5237))</f>
        <v/>
      </c>
    </row>
    <row r="5238">
      <c r="B5238" s="25" t="n"/>
      <c r="I5238" s="25" t="n"/>
      <c r="U5238" s="19">
        <f>IF($V5238&lt;&gt;'設定'!$C$4,N(U5237),IF(OR(NOT(COUNTIF('商品マスタ'!$B$6:$B$1005,$W5238)=0),COUNTIFS('①在庫を貼る'!$V$6:$V$10005,$V5238,'①在庫を貼る'!$W$6:$W$10005,$W5238)&gt;0),N(U5237),N(U5237)+1))</f>
        <v/>
      </c>
      <c r="V5238" s="19">
        <f>IF($B5238="","",TEXT($B5238,"0000"))</f>
        <v/>
      </c>
      <c r="W5238" s="19">
        <f>IF($I5238="","",IF(ISNUMBER($I5238),TEXT($I5238,"0"),$I5238))</f>
        <v/>
      </c>
    </row>
    <row r="5239">
      <c r="B5239" s="25" t="n"/>
      <c r="I5239" s="25" t="n"/>
      <c r="U5239" s="19">
        <f>IF($V5239&lt;&gt;'設定'!$C$4,N(U5238),IF(OR(NOT(COUNTIF('商品マスタ'!$B$6:$B$1005,$W5239)=0),COUNTIFS('①在庫を貼る'!$V$6:$V$10005,$V5239,'①在庫を貼る'!$W$6:$W$10005,$W5239)&gt;0),N(U5238),N(U5238)+1))</f>
        <v/>
      </c>
      <c r="V5239" s="19">
        <f>IF($B5239="","",TEXT($B5239,"0000"))</f>
        <v/>
      </c>
      <c r="W5239" s="19">
        <f>IF($I5239="","",IF(ISNUMBER($I5239),TEXT($I5239,"0"),$I5239))</f>
        <v/>
      </c>
    </row>
    <row r="5240">
      <c r="B5240" s="25" t="n"/>
      <c r="I5240" s="25" t="n"/>
      <c r="U5240" s="19">
        <f>IF($V5240&lt;&gt;'設定'!$C$4,N(U5239),IF(OR(NOT(COUNTIF('商品マスタ'!$B$6:$B$1005,$W5240)=0),COUNTIFS('①在庫を貼る'!$V$6:$V$10005,$V5240,'①在庫を貼る'!$W$6:$W$10005,$W5240)&gt;0),N(U5239),N(U5239)+1))</f>
        <v/>
      </c>
      <c r="V5240" s="19">
        <f>IF($B5240="","",TEXT($B5240,"0000"))</f>
        <v/>
      </c>
      <c r="W5240" s="19">
        <f>IF($I5240="","",IF(ISNUMBER($I5240),TEXT($I5240,"0"),$I5240))</f>
        <v/>
      </c>
    </row>
    <row r="5241">
      <c r="B5241" s="25" t="n"/>
      <c r="I5241" s="25" t="n"/>
      <c r="U5241" s="19">
        <f>IF($V5241&lt;&gt;'設定'!$C$4,N(U5240),IF(OR(NOT(COUNTIF('商品マスタ'!$B$6:$B$1005,$W5241)=0),COUNTIFS('①在庫を貼る'!$V$6:$V$10005,$V5241,'①在庫を貼る'!$W$6:$W$10005,$W5241)&gt;0),N(U5240),N(U5240)+1))</f>
        <v/>
      </c>
      <c r="V5241" s="19">
        <f>IF($B5241="","",TEXT($B5241,"0000"))</f>
        <v/>
      </c>
      <c r="W5241" s="19">
        <f>IF($I5241="","",IF(ISNUMBER($I5241),TEXT($I5241,"0"),$I5241))</f>
        <v/>
      </c>
    </row>
    <row r="5242">
      <c r="B5242" s="25" t="n"/>
      <c r="I5242" s="25" t="n"/>
      <c r="U5242" s="19">
        <f>IF($V5242&lt;&gt;'設定'!$C$4,N(U5241),IF(OR(NOT(COUNTIF('商品マスタ'!$B$6:$B$1005,$W5242)=0),COUNTIFS('①在庫を貼る'!$V$6:$V$10005,$V5242,'①在庫を貼る'!$W$6:$W$10005,$W5242)&gt;0),N(U5241),N(U5241)+1))</f>
        <v/>
      </c>
      <c r="V5242" s="19">
        <f>IF($B5242="","",TEXT($B5242,"0000"))</f>
        <v/>
      </c>
      <c r="W5242" s="19">
        <f>IF($I5242="","",IF(ISNUMBER($I5242),TEXT($I5242,"0"),$I5242))</f>
        <v/>
      </c>
    </row>
    <row r="5243">
      <c r="B5243" s="25" t="n"/>
      <c r="I5243" s="25" t="n"/>
      <c r="U5243" s="19">
        <f>IF($V5243&lt;&gt;'設定'!$C$4,N(U5242),IF(OR(NOT(COUNTIF('商品マスタ'!$B$6:$B$1005,$W5243)=0),COUNTIFS('①在庫を貼る'!$V$6:$V$10005,$V5243,'①在庫を貼る'!$W$6:$W$10005,$W5243)&gt;0),N(U5242),N(U5242)+1))</f>
        <v/>
      </c>
      <c r="V5243" s="19">
        <f>IF($B5243="","",TEXT($B5243,"0000"))</f>
        <v/>
      </c>
      <c r="W5243" s="19">
        <f>IF($I5243="","",IF(ISNUMBER($I5243),TEXT($I5243,"0"),$I5243))</f>
        <v/>
      </c>
    </row>
    <row r="5244">
      <c r="B5244" s="25" t="n"/>
      <c r="I5244" s="25" t="n"/>
      <c r="U5244" s="19">
        <f>IF($V5244&lt;&gt;'設定'!$C$4,N(U5243),IF(OR(NOT(COUNTIF('商品マスタ'!$B$6:$B$1005,$W5244)=0),COUNTIFS('①在庫を貼る'!$V$6:$V$10005,$V5244,'①在庫を貼る'!$W$6:$W$10005,$W5244)&gt;0),N(U5243),N(U5243)+1))</f>
        <v/>
      </c>
      <c r="V5244" s="19">
        <f>IF($B5244="","",TEXT($B5244,"0000"))</f>
        <v/>
      </c>
      <c r="W5244" s="19">
        <f>IF($I5244="","",IF(ISNUMBER($I5244),TEXT($I5244,"0"),$I5244))</f>
        <v/>
      </c>
    </row>
    <row r="5245">
      <c r="B5245" s="25" t="n"/>
      <c r="I5245" s="25" t="n"/>
      <c r="U5245" s="19">
        <f>IF($V5245&lt;&gt;'設定'!$C$4,N(U5244),IF(OR(NOT(COUNTIF('商品マスタ'!$B$6:$B$1005,$W5245)=0),COUNTIFS('①在庫を貼る'!$V$6:$V$10005,$V5245,'①在庫を貼る'!$W$6:$W$10005,$W5245)&gt;0),N(U5244),N(U5244)+1))</f>
        <v/>
      </c>
      <c r="V5245" s="19">
        <f>IF($B5245="","",TEXT($B5245,"0000"))</f>
        <v/>
      </c>
      <c r="W5245" s="19">
        <f>IF($I5245="","",IF(ISNUMBER($I5245),TEXT($I5245,"0"),$I5245))</f>
        <v/>
      </c>
    </row>
    <row r="5246">
      <c r="B5246" s="25" t="n"/>
      <c r="I5246" s="25" t="n"/>
      <c r="U5246" s="19">
        <f>IF($V5246&lt;&gt;'設定'!$C$4,N(U5245),IF(OR(NOT(COUNTIF('商品マスタ'!$B$6:$B$1005,$W5246)=0),COUNTIFS('①在庫を貼る'!$V$6:$V$10005,$V5246,'①在庫を貼る'!$W$6:$W$10005,$W5246)&gt;0),N(U5245),N(U5245)+1))</f>
        <v/>
      </c>
      <c r="V5246" s="19">
        <f>IF($B5246="","",TEXT($B5246,"0000"))</f>
        <v/>
      </c>
      <c r="W5246" s="19">
        <f>IF($I5246="","",IF(ISNUMBER($I5246),TEXT($I5246,"0"),$I5246))</f>
        <v/>
      </c>
    </row>
    <row r="5247">
      <c r="B5247" s="25" t="n"/>
      <c r="I5247" s="25" t="n"/>
      <c r="U5247" s="19">
        <f>IF($V5247&lt;&gt;'設定'!$C$4,N(U5246),IF(OR(NOT(COUNTIF('商品マスタ'!$B$6:$B$1005,$W5247)=0),COUNTIFS('①在庫を貼る'!$V$6:$V$10005,$V5247,'①在庫を貼る'!$W$6:$W$10005,$W5247)&gt;0),N(U5246),N(U5246)+1))</f>
        <v/>
      </c>
      <c r="V5247" s="19">
        <f>IF($B5247="","",TEXT($B5247,"0000"))</f>
        <v/>
      </c>
      <c r="W5247" s="19">
        <f>IF($I5247="","",IF(ISNUMBER($I5247),TEXT($I5247,"0"),$I5247))</f>
        <v/>
      </c>
    </row>
    <row r="5248">
      <c r="B5248" s="25" t="n"/>
      <c r="I5248" s="25" t="n"/>
      <c r="U5248" s="19">
        <f>IF($V5248&lt;&gt;'設定'!$C$4,N(U5247),IF(OR(NOT(COUNTIF('商品マスタ'!$B$6:$B$1005,$W5248)=0),COUNTIFS('①在庫を貼る'!$V$6:$V$10005,$V5248,'①在庫を貼る'!$W$6:$W$10005,$W5248)&gt;0),N(U5247),N(U5247)+1))</f>
        <v/>
      </c>
      <c r="V5248" s="19">
        <f>IF($B5248="","",TEXT($B5248,"0000"))</f>
        <v/>
      </c>
      <c r="W5248" s="19">
        <f>IF($I5248="","",IF(ISNUMBER($I5248),TEXT($I5248,"0"),$I5248))</f>
        <v/>
      </c>
    </row>
    <row r="5249">
      <c r="B5249" s="25" t="n"/>
      <c r="I5249" s="25" t="n"/>
      <c r="U5249" s="19">
        <f>IF($V5249&lt;&gt;'設定'!$C$4,N(U5248),IF(OR(NOT(COUNTIF('商品マスタ'!$B$6:$B$1005,$W5249)=0),COUNTIFS('①在庫を貼る'!$V$6:$V$10005,$V5249,'①在庫を貼る'!$W$6:$W$10005,$W5249)&gt;0),N(U5248),N(U5248)+1))</f>
        <v/>
      </c>
      <c r="V5249" s="19">
        <f>IF($B5249="","",TEXT($B5249,"0000"))</f>
        <v/>
      </c>
      <c r="W5249" s="19">
        <f>IF($I5249="","",IF(ISNUMBER($I5249),TEXT($I5249,"0"),$I5249))</f>
        <v/>
      </c>
    </row>
    <row r="5250">
      <c r="B5250" s="25" t="n"/>
      <c r="I5250" s="25" t="n"/>
      <c r="U5250" s="19">
        <f>IF($V5250&lt;&gt;'設定'!$C$4,N(U5249),IF(OR(NOT(COUNTIF('商品マスタ'!$B$6:$B$1005,$W5250)=0),COUNTIFS('①在庫を貼る'!$V$6:$V$10005,$V5250,'①在庫を貼る'!$W$6:$W$10005,$W5250)&gt;0),N(U5249),N(U5249)+1))</f>
        <v/>
      </c>
      <c r="V5250" s="19">
        <f>IF($B5250="","",TEXT($B5250,"0000"))</f>
        <v/>
      </c>
      <c r="W5250" s="19">
        <f>IF($I5250="","",IF(ISNUMBER($I5250),TEXT($I5250,"0"),$I5250))</f>
        <v/>
      </c>
    </row>
    <row r="5251">
      <c r="B5251" s="25" t="n"/>
      <c r="I5251" s="25" t="n"/>
      <c r="U5251" s="19">
        <f>IF($V5251&lt;&gt;'設定'!$C$4,N(U5250),IF(OR(NOT(COUNTIF('商品マスタ'!$B$6:$B$1005,$W5251)=0),COUNTIFS('①在庫を貼る'!$V$6:$V$10005,$V5251,'①在庫を貼る'!$W$6:$W$10005,$W5251)&gt;0),N(U5250),N(U5250)+1))</f>
        <v/>
      </c>
      <c r="V5251" s="19">
        <f>IF($B5251="","",TEXT($B5251,"0000"))</f>
        <v/>
      </c>
      <c r="W5251" s="19">
        <f>IF($I5251="","",IF(ISNUMBER($I5251),TEXT($I5251,"0"),$I5251))</f>
        <v/>
      </c>
    </row>
    <row r="5252">
      <c r="B5252" s="25" t="n"/>
      <c r="I5252" s="25" t="n"/>
      <c r="U5252" s="19">
        <f>IF($V5252&lt;&gt;'設定'!$C$4,N(U5251),IF(OR(NOT(COUNTIF('商品マスタ'!$B$6:$B$1005,$W5252)=0),COUNTIFS('①在庫を貼る'!$V$6:$V$10005,$V5252,'①在庫を貼る'!$W$6:$W$10005,$W5252)&gt;0),N(U5251),N(U5251)+1))</f>
        <v/>
      </c>
      <c r="V5252" s="19">
        <f>IF($B5252="","",TEXT($B5252,"0000"))</f>
        <v/>
      </c>
      <c r="W5252" s="19">
        <f>IF($I5252="","",IF(ISNUMBER($I5252),TEXT($I5252,"0"),$I5252))</f>
        <v/>
      </c>
    </row>
    <row r="5253">
      <c r="B5253" s="25" t="n"/>
      <c r="I5253" s="25" t="n"/>
      <c r="U5253" s="19">
        <f>IF($V5253&lt;&gt;'設定'!$C$4,N(U5252),IF(OR(NOT(COUNTIF('商品マスタ'!$B$6:$B$1005,$W5253)=0),COUNTIFS('①在庫を貼る'!$V$6:$V$10005,$V5253,'①在庫を貼る'!$W$6:$W$10005,$W5253)&gt;0),N(U5252),N(U5252)+1))</f>
        <v/>
      </c>
      <c r="V5253" s="19">
        <f>IF($B5253="","",TEXT($B5253,"0000"))</f>
        <v/>
      </c>
      <c r="W5253" s="19">
        <f>IF($I5253="","",IF(ISNUMBER($I5253),TEXT($I5253,"0"),$I5253))</f>
        <v/>
      </c>
    </row>
    <row r="5254">
      <c r="B5254" s="25" t="n"/>
      <c r="I5254" s="25" t="n"/>
      <c r="U5254" s="19">
        <f>IF($V5254&lt;&gt;'設定'!$C$4,N(U5253),IF(OR(NOT(COUNTIF('商品マスタ'!$B$6:$B$1005,$W5254)=0),COUNTIFS('①在庫を貼る'!$V$6:$V$10005,$V5254,'①在庫を貼る'!$W$6:$W$10005,$W5254)&gt;0),N(U5253),N(U5253)+1))</f>
        <v/>
      </c>
      <c r="V5254" s="19">
        <f>IF($B5254="","",TEXT($B5254,"0000"))</f>
        <v/>
      </c>
      <c r="W5254" s="19">
        <f>IF($I5254="","",IF(ISNUMBER($I5254),TEXT($I5254,"0"),$I5254))</f>
        <v/>
      </c>
    </row>
    <row r="5255">
      <c r="B5255" s="25" t="n"/>
      <c r="I5255" s="25" t="n"/>
      <c r="U5255" s="19">
        <f>IF($V5255&lt;&gt;'設定'!$C$4,N(U5254),IF(OR(NOT(COUNTIF('商品マスタ'!$B$6:$B$1005,$W5255)=0),COUNTIFS('①在庫を貼る'!$V$6:$V$10005,$V5255,'①在庫を貼る'!$W$6:$W$10005,$W5255)&gt;0),N(U5254),N(U5254)+1))</f>
        <v/>
      </c>
      <c r="V5255" s="19">
        <f>IF($B5255="","",TEXT($B5255,"0000"))</f>
        <v/>
      </c>
      <c r="W5255" s="19">
        <f>IF($I5255="","",IF(ISNUMBER($I5255),TEXT($I5255,"0"),$I5255))</f>
        <v/>
      </c>
    </row>
    <row r="5256">
      <c r="B5256" s="25" t="n"/>
      <c r="I5256" s="25" t="n"/>
      <c r="U5256" s="19">
        <f>IF($V5256&lt;&gt;'設定'!$C$4,N(U5255),IF(OR(NOT(COUNTIF('商品マスタ'!$B$6:$B$1005,$W5256)=0),COUNTIFS('①在庫を貼る'!$V$6:$V$10005,$V5256,'①在庫を貼る'!$W$6:$W$10005,$W5256)&gt;0),N(U5255),N(U5255)+1))</f>
        <v/>
      </c>
      <c r="V5256" s="19">
        <f>IF($B5256="","",TEXT($B5256,"0000"))</f>
        <v/>
      </c>
      <c r="W5256" s="19">
        <f>IF($I5256="","",IF(ISNUMBER($I5256),TEXT($I5256,"0"),$I5256))</f>
        <v/>
      </c>
    </row>
    <row r="5257">
      <c r="B5257" s="25" t="n"/>
      <c r="I5257" s="25" t="n"/>
      <c r="U5257" s="19">
        <f>IF($V5257&lt;&gt;'設定'!$C$4,N(U5256),IF(OR(NOT(COUNTIF('商品マスタ'!$B$6:$B$1005,$W5257)=0),COUNTIFS('①在庫を貼る'!$V$6:$V$10005,$V5257,'①在庫を貼る'!$W$6:$W$10005,$W5257)&gt;0),N(U5256),N(U5256)+1))</f>
        <v/>
      </c>
      <c r="V5257" s="19">
        <f>IF($B5257="","",TEXT($B5257,"0000"))</f>
        <v/>
      </c>
      <c r="W5257" s="19">
        <f>IF($I5257="","",IF(ISNUMBER($I5257),TEXT($I5257,"0"),$I5257))</f>
        <v/>
      </c>
    </row>
    <row r="5258">
      <c r="B5258" s="25" t="n"/>
      <c r="I5258" s="25" t="n"/>
      <c r="U5258" s="19">
        <f>IF($V5258&lt;&gt;'設定'!$C$4,N(U5257),IF(OR(NOT(COUNTIF('商品マスタ'!$B$6:$B$1005,$W5258)=0),COUNTIFS('①在庫を貼る'!$V$6:$V$10005,$V5258,'①在庫を貼る'!$W$6:$W$10005,$W5258)&gt;0),N(U5257),N(U5257)+1))</f>
        <v/>
      </c>
      <c r="V5258" s="19">
        <f>IF($B5258="","",TEXT($B5258,"0000"))</f>
        <v/>
      </c>
      <c r="W5258" s="19">
        <f>IF($I5258="","",IF(ISNUMBER($I5258),TEXT($I5258,"0"),$I5258))</f>
        <v/>
      </c>
    </row>
    <row r="5259">
      <c r="B5259" s="25" t="n"/>
      <c r="I5259" s="25" t="n"/>
      <c r="U5259" s="19">
        <f>IF($V5259&lt;&gt;'設定'!$C$4,N(U5258),IF(OR(NOT(COUNTIF('商品マスタ'!$B$6:$B$1005,$W5259)=0),COUNTIFS('①在庫を貼る'!$V$6:$V$10005,$V5259,'①在庫を貼る'!$W$6:$W$10005,$W5259)&gt;0),N(U5258),N(U5258)+1))</f>
        <v/>
      </c>
      <c r="V5259" s="19">
        <f>IF($B5259="","",TEXT($B5259,"0000"))</f>
        <v/>
      </c>
      <c r="W5259" s="19">
        <f>IF($I5259="","",IF(ISNUMBER($I5259),TEXT($I5259,"0"),$I5259))</f>
        <v/>
      </c>
    </row>
    <row r="5260">
      <c r="B5260" s="25" t="n"/>
      <c r="I5260" s="25" t="n"/>
      <c r="U5260" s="19">
        <f>IF($V5260&lt;&gt;'設定'!$C$4,N(U5259),IF(OR(NOT(COUNTIF('商品マスタ'!$B$6:$B$1005,$W5260)=0),COUNTIFS('①在庫を貼る'!$V$6:$V$10005,$V5260,'①在庫を貼る'!$W$6:$W$10005,$W5260)&gt;0),N(U5259),N(U5259)+1))</f>
        <v/>
      </c>
      <c r="V5260" s="19">
        <f>IF($B5260="","",TEXT($B5260,"0000"))</f>
        <v/>
      </c>
      <c r="W5260" s="19">
        <f>IF($I5260="","",IF(ISNUMBER($I5260),TEXT($I5260,"0"),$I5260))</f>
        <v/>
      </c>
    </row>
    <row r="5261">
      <c r="B5261" s="25" t="n"/>
      <c r="I5261" s="25" t="n"/>
      <c r="U5261" s="19">
        <f>IF($V5261&lt;&gt;'設定'!$C$4,N(U5260),IF(OR(NOT(COUNTIF('商品マスタ'!$B$6:$B$1005,$W5261)=0),COUNTIFS('①在庫を貼る'!$V$6:$V$10005,$V5261,'①在庫を貼る'!$W$6:$W$10005,$W5261)&gt;0),N(U5260),N(U5260)+1))</f>
        <v/>
      </c>
      <c r="V5261" s="19">
        <f>IF($B5261="","",TEXT($B5261,"0000"))</f>
        <v/>
      </c>
      <c r="W5261" s="19">
        <f>IF($I5261="","",IF(ISNUMBER($I5261),TEXT($I5261,"0"),$I5261))</f>
        <v/>
      </c>
    </row>
    <row r="5262">
      <c r="B5262" s="25" t="n"/>
      <c r="I5262" s="25" t="n"/>
      <c r="U5262" s="19">
        <f>IF($V5262&lt;&gt;'設定'!$C$4,N(U5261),IF(OR(NOT(COUNTIF('商品マスタ'!$B$6:$B$1005,$W5262)=0),COUNTIFS('①在庫を貼る'!$V$6:$V$10005,$V5262,'①在庫を貼る'!$W$6:$W$10005,$W5262)&gt;0),N(U5261),N(U5261)+1))</f>
        <v/>
      </c>
      <c r="V5262" s="19">
        <f>IF($B5262="","",TEXT($B5262,"0000"))</f>
        <v/>
      </c>
      <c r="W5262" s="19">
        <f>IF($I5262="","",IF(ISNUMBER($I5262),TEXT($I5262,"0"),$I5262))</f>
        <v/>
      </c>
    </row>
    <row r="5263">
      <c r="B5263" s="25" t="n"/>
      <c r="I5263" s="25" t="n"/>
      <c r="U5263" s="19">
        <f>IF($V5263&lt;&gt;'設定'!$C$4,N(U5262),IF(OR(NOT(COUNTIF('商品マスタ'!$B$6:$B$1005,$W5263)=0),COUNTIFS('①在庫を貼る'!$V$6:$V$10005,$V5263,'①在庫を貼る'!$W$6:$W$10005,$W5263)&gt;0),N(U5262),N(U5262)+1))</f>
        <v/>
      </c>
      <c r="V5263" s="19">
        <f>IF($B5263="","",TEXT($B5263,"0000"))</f>
        <v/>
      </c>
      <c r="W5263" s="19">
        <f>IF($I5263="","",IF(ISNUMBER($I5263),TEXT($I5263,"0"),$I5263))</f>
        <v/>
      </c>
    </row>
    <row r="5264">
      <c r="B5264" s="25" t="n"/>
      <c r="I5264" s="25" t="n"/>
      <c r="U5264" s="19">
        <f>IF($V5264&lt;&gt;'設定'!$C$4,N(U5263),IF(OR(NOT(COUNTIF('商品マスタ'!$B$6:$B$1005,$W5264)=0),COUNTIFS('①在庫を貼る'!$V$6:$V$10005,$V5264,'①在庫を貼る'!$W$6:$W$10005,$W5264)&gt;0),N(U5263),N(U5263)+1))</f>
        <v/>
      </c>
      <c r="V5264" s="19">
        <f>IF($B5264="","",TEXT($B5264,"0000"))</f>
        <v/>
      </c>
      <c r="W5264" s="19">
        <f>IF($I5264="","",IF(ISNUMBER($I5264),TEXT($I5264,"0"),$I5264))</f>
        <v/>
      </c>
    </row>
    <row r="5265">
      <c r="B5265" s="25" t="n"/>
      <c r="I5265" s="25" t="n"/>
      <c r="U5265" s="19">
        <f>IF($V5265&lt;&gt;'設定'!$C$4,N(U5264),IF(OR(NOT(COUNTIF('商品マスタ'!$B$6:$B$1005,$W5265)=0),COUNTIFS('①在庫を貼る'!$V$6:$V$10005,$V5265,'①在庫を貼る'!$W$6:$W$10005,$W5265)&gt;0),N(U5264),N(U5264)+1))</f>
        <v/>
      </c>
      <c r="V5265" s="19">
        <f>IF($B5265="","",TEXT($B5265,"0000"))</f>
        <v/>
      </c>
      <c r="W5265" s="19">
        <f>IF($I5265="","",IF(ISNUMBER($I5265),TEXT($I5265,"0"),$I5265))</f>
        <v/>
      </c>
    </row>
    <row r="5266">
      <c r="B5266" s="25" t="n"/>
      <c r="I5266" s="25" t="n"/>
      <c r="U5266" s="19">
        <f>IF($V5266&lt;&gt;'設定'!$C$4,N(U5265),IF(OR(NOT(COUNTIF('商品マスタ'!$B$6:$B$1005,$W5266)=0),COUNTIFS('①在庫を貼る'!$V$6:$V$10005,$V5266,'①在庫を貼る'!$W$6:$W$10005,$W5266)&gt;0),N(U5265),N(U5265)+1))</f>
        <v/>
      </c>
      <c r="V5266" s="19">
        <f>IF($B5266="","",TEXT($B5266,"0000"))</f>
        <v/>
      </c>
      <c r="W5266" s="19">
        <f>IF($I5266="","",IF(ISNUMBER($I5266),TEXT($I5266,"0"),$I5266))</f>
        <v/>
      </c>
    </row>
    <row r="5267">
      <c r="B5267" s="25" t="n"/>
      <c r="I5267" s="25" t="n"/>
      <c r="U5267" s="19">
        <f>IF($V5267&lt;&gt;'設定'!$C$4,N(U5266),IF(OR(NOT(COUNTIF('商品マスタ'!$B$6:$B$1005,$W5267)=0),COUNTIFS('①在庫を貼る'!$V$6:$V$10005,$V5267,'①在庫を貼る'!$W$6:$W$10005,$W5267)&gt;0),N(U5266),N(U5266)+1))</f>
        <v/>
      </c>
      <c r="V5267" s="19">
        <f>IF($B5267="","",TEXT($B5267,"0000"))</f>
        <v/>
      </c>
      <c r="W5267" s="19">
        <f>IF($I5267="","",IF(ISNUMBER($I5267),TEXT($I5267,"0"),$I5267))</f>
        <v/>
      </c>
    </row>
    <row r="5268">
      <c r="B5268" s="25" t="n"/>
      <c r="I5268" s="25" t="n"/>
      <c r="U5268" s="19">
        <f>IF($V5268&lt;&gt;'設定'!$C$4,N(U5267),IF(OR(NOT(COUNTIF('商品マスタ'!$B$6:$B$1005,$W5268)=0),COUNTIFS('①在庫を貼る'!$V$6:$V$10005,$V5268,'①在庫を貼る'!$W$6:$W$10005,$W5268)&gt;0),N(U5267),N(U5267)+1))</f>
        <v/>
      </c>
      <c r="V5268" s="19">
        <f>IF($B5268="","",TEXT($B5268,"0000"))</f>
        <v/>
      </c>
      <c r="W5268" s="19">
        <f>IF($I5268="","",IF(ISNUMBER($I5268),TEXT($I5268,"0"),$I5268))</f>
        <v/>
      </c>
    </row>
    <row r="5269">
      <c r="B5269" s="25" t="n"/>
      <c r="I5269" s="25" t="n"/>
      <c r="U5269" s="19">
        <f>IF($V5269&lt;&gt;'設定'!$C$4,N(U5268),IF(OR(NOT(COUNTIF('商品マスタ'!$B$6:$B$1005,$W5269)=0),COUNTIFS('①在庫を貼る'!$V$6:$V$10005,$V5269,'①在庫を貼る'!$W$6:$W$10005,$W5269)&gt;0),N(U5268),N(U5268)+1))</f>
        <v/>
      </c>
      <c r="V5269" s="19">
        <f>IF($B5269="","",TEXT($B5269,"0000"))</f>
        <v/>
      </c>
      <c r="W5269" s="19">
        <f>IF($I5269="","",IF(ISNUMBER($I5269),TEXT($I5269,"0"),$I5269))</f>
        <v/>
      </c>
    </row>
    <row r="5270">
      <c r="B5270" s="25" t="n"/>
      <c r="I5270" s="25" t="n"/>
      <c r="U5270" s="19">
        <f>IF($V5270&lt;&gt;'設定'!$C$4,N(U5269),IF(OR(NOT(COUNTIF('商品マスタ'!$B$6:$B$1005,$W5270)=0),COUNTIFS('①在庫を貼る'!$V$6:$V$10005,$V5270,'①在庫を貼る'!$W$6:$W$10005,$W5270)&gt;0),N(U5269),N(U5269)+1))</f>
        <v/>
      </c>
      <c r="V5270" s="19">
        <f>IF($B5270="","",TEXT($B5270,"0000"))</f>
        <v/>
      </c>
      <c r="W5270" s="19">
        <f>IF($I5270="","",IF(ISNUMBER($I5270),TEXT($I5270,"0"),$I5270))</f>
        <v/>
      </c>
    </row>
    <row r="5271">
      <c r="B5271" s="25" t="n"/>
      <c r="I5271" s="25" t="n"/>
      <c r="U5271" s="19">
        <f>IF($V5271&lt;&gt;'設定'!$C$4,N(U5270),IF(OR(NOT(COUNTIF('商品マスタ'!$B$6:$B$1005,$W5271)=0),COUNTIFS('①在庫を貼る'!$V$6:$V$10005,$V5271,'①在庫を貼る'!$W$6:$W$10005,$W5271)&gt;0),N(U5270),N(U5270)+1))</f>
        <v/>
      </c>
      <c r="V5271" s="19">
        <f>IF($B5271="","",TEXT($B5271,"0000"))</f>
        <v/>
      </c>
      <c r="W5271" s="19">
        <f>IF($I5271="","",IF(ISNUMBER($I5271),TEXT($I5271,"0"),$I5271))</f>
        <v/>
      </c>
    </row>
    <row r="5272">
      <c r="B5272" s="25" t="n"/>
      <c r="I5272" s="25" t="n"/>
      <c r="U5272" s="19">
        <f>IF($V5272&lt;&gt;'設定'!$C$4,N(U5271),IF(OR(NOT(COUNTIF('商品マスタ'!$B$6:$B$1005,$W5272)=0),COUNTIFS('①在庫を貼る'!$V$6:$V$10005,$V5272,'①在庫を貼る'!$W$6:$W$10005,$W5272)&gt;0),N(U5271),N(U5271)+1))</f>
        <v/>
      </c>
      <c r="V5272" s="19">
        <f>IF($B5272="","",TEXT($B5272,"0000"))</f>
        <v/>
      </c>
      <c r="W5272" s="19">
        <f>IF($I5272="","",IF(ISNUMBER($I5272),TEXT($I5272,"0"),$I5272))</f>
        <v/>
      </c>
    </row>
    <row r="5273">
      <c r="B5273" s="25" t="n"/>
      <c r="I5273" s="25" t="n"/>
      <c r="U5273" s="19">
        <f>IF($V5273&lt;&gt;'設定'!$C$4,N(U5272),IF(OR(NOT(COUNTIF('商品マスタ'!$B$6:$B$1005,$W5273)=0),COUNTIFS('①在庫を貼る'!$V$6:$V$10005,$V5273,'①在庫を貼る'!$W$6:$W$10005,$W5273)&gt;0),N(U5272),N(U5272)+1))</f>
        <v/>
      </c>
      <c r="V5273" s="19">
        <f>IF($B5273="","",TEXT($B5273,"0000"))</f>
        <v/>
      </c>
      <c r="W5273" s="19">
        <f>IF($I5273="","",IF(ISNUMBER($I5273),TEXT($I5273,"0"),$I5273))</f>
        <v/>
      </c>
    </row>
    <row r="5274">
      <c r="B5274" s="25" t="n"/>
      <c r="I5274" s="25" t="n"/>
      <c r="U5274" s="19">
        <f>IF($V5274&lt;&gt;'設定'!$C$4,N(U5273),IF(OR(NOT(COUNTIF('商品マスタ'!$B$6:$B$1005,$W5274)=0),COUNTIFS('①在庫を貼る'!$V$6:$V$10005,$V5274,'①在庫を貼る'!$W$6:$W$10005,$W5274)&gt;0),N(U5273),N(U5273)+1))</f>
        <v/>
      </c>
      <c r="V5274" s="19">
        <f>IF($B5274="","",TEXT($B5274,"0000"))</f>
        <v/>
      </c>
      <c r="W5274" s="19">
        <f>IF($I5274="","",IF(ISNUMBER($I5274),TEXT($I5274,"0"),$I5274))</f>
        <v/>
      </c>
    </row>
    <row r="5275">
      <c r="B5275" s="25" t="n"/>
      <c r="I5275" s="25" t="n"/>
      <c r="U5275" s="19">
        <f>IF($V5275&lt;&gt;'設定'!$C$4,N(U5274),IF(OR(NOT(COUNTIF('商品マスタ'!$B$6:$B$1005,$W5275)=0),COUNTIFS('①在庫を貼る'!$V$6:$V$10005,$V5275,'①在庫を貼る'!$W$6:$W$10005,$W5275)&gt;0),N(U5274),N(U5274)+1))</f>
        <v/>
      </c>
      <c r="V5275" s="19">
        <f>IF($B5275="","",TEXT($B5275,"0000"))</f>
        <v/>
      </c>
      <c r="W5275" s="19">
        <f>IF($I5275="","",IF(ISNUMBER($I5275),TEXT($I5275,"0"),$I5275))</f>
        <v/>
      </c>
    </row>
    <row r="5276">
      <c r="B5276" s="25" t="n"/>
      <c r="I5276" s="25" t="n"/>
      <c r="U5276" s="19">
        <f>IF($V5276&lt;&gt;'設定'!$C$4,N(U5275),IF(OR(NOT(COUNTIF('商品マスタ'!$B$6:$B$1005,$W5276)=0),COUNTIFS('①在庫を貼る'!$V$6:$V$10005,$V5276,'①在庫を貼る'!$W$6:$W$10005,$W5276)&gt;0),N(U5275),N(U5275)+1))</f>
        <v/>
      </c>
      <c r="V5276" s="19">
        <f>IF($B5276="","",TEXT($B5276,"0000"))</f>
        <v/>
      </c>
      <c r="W5276" s="19">
        <f>IF($I5276="","",IF(ISNUMBER($I5276),TEXT($I5276,"0"),$I5276))</f>
        <v/>
      </c>
    </row>
    <row r="5277">
      <c r="B5277" s="25" t="n"/>
      <c r="I5277" s="25" t="n"/>
      <c r="U5277" s="19">
        <f>IF($V5277&lt;&gt;'設定'!$C$4,N(U5276),IF(OR(NOT(COUNTIF('商品マスタ'!$B$6:$B$1005,$W5277)=0),COUNTIFS('①在庫を貼る'!$V$6:$V$10005,$V5277,'①在庫を貼る'!$W$6:$W$10005,$W5277)&gt;0),N(U5276),N(U5276)+1))</f>
        <v/>
      </c>
      <c r="V5277" s="19">
        <f>IF($B5277="","",TEXT($B5277,"0000"))</f>
        <v/>
      </c>
      <c r="W5277" s="19">
        <f>IF($I5277="","",IF(ISNUMBER($I5277),TEXT($I5277,"0"),$I5277))</f>
        <v/>
      </c>
    </row>
    <row r="5278">
      <c r="B5278" s="25" t="n"/>
      <c r="I5278" s="25" t="n"/>
      <c r="U5278" s="19">
        <f>IF($V5278&lt;&gt;'設定'!$C$4,N(U5277),IF(OR(NOT(COUNTIF('商品マスタ'!$B$6:$B$1005,$W5278)=0),COUNTIFS('①在庫を貼る'!$V$6:$V$10005,$V5278,'①在庫を貼る'!$W$6:$W$10005,$W5278)&gt;0),N(U5277),N(U5277)+1))</f>
        <v/>
      </c>
      <c r="V5278" s="19">
        <f>IF($B5278="","",TEXT($B5278,"0000"))</f>
        <v/>
      </c>
      <c r="W5278" s="19">
        <f>IF($I5278="","",IF(ISNUMBER($I5278),TEXT($I5278,"0"),$I5278))</f>
        <v/>
      </c>
    </row>
    <row r="5279">
      <c r="B5279" s="25" t="n"/>
      <c r="I5279" s="25" t="n"/>
      <c r="U5279" s="19">
        <f>IF($V5279&lt;&gt;'設定'!$C$4,N(U5278),IF(OR(NOT(COUNTIF('商品マスタ'!$B$6:$B$1005,$W5279)=0),COUNTIFS('①在庫を貼る'!$V$6:$V$10005,$V5279,'①在庫を貼る'!$W$6:$W$10005,$W5279)&gt;0),N(U5278),N(U5278)+1))</f>
        <v/>
      </c>
      <c r="V5279" s="19">
        <f>IF($B5279="","",TEXT($B5279,"0000"))</f>
        <v/>
      </c>
      <c r="W5279" s="19">
        <f>IF($I5279="","",IF(ISNUMBER($I5279),TEXT($I5279,"0"),$I5279))</f>
        <v/>
      </c>
    </row>
    <row r="5280">
      <c r="B5280" s="25" t="n"/>
      <c r="I5280" s="25" t="n"/>
      <c r="U5280" s="19">
        <f>IF($V5280&lt;&gt;'設定'!$C$4,N(U5279),IF(OR(NOT(COUNTIF('商品マスタ'!$B$6:$B$1005,$W5280)=0),COUNTIFS('①在庫を貼る'!$V$6:$V$10005,$V5280,'①在庫を貼る'!$W$6:$W$10005,$W5280)&gt;0),N(U5279),N(U5279)+1))</f>
        <v/>
      </c>
      <c r="V5280" s="19">
        <f>IF($B5280="","",TEXT($B5280,"0000"))</f>
        <v/>
      </c>
      <c r="W5280" s="19">
        <f>IF($I5280="","",IF(ISNUMBER($I5280),TEXT($I5280,"0"),$I5280))</f>
        <v/>
      </c>
    </row>
    <row r="5281">
      <c r="B5281" s="25" t="n"/>
      <c r="I5281" s="25" t="n"/>
      <c r="U5281" s="19">
        <f>IF($V5281&lt;&gt;'設定'!$C$4,N(U5280),IF(OR(NOT(COUNTIF('商品マスタ'!$B$6:$B$1005,$W5281)=0),COUNTIFS('①在庫を貼る'!$V$6:$V$10005,$V5281,'①在庫を貼る'!$W$6:$W$10005,$W5281)&gt;0),N(U5280),N(U5280)+1))</f>
        <v/>
      </c>
      <c r="V5281" s="19">
        <f>IF($B5281="","",TEXT($B5281,"0000"))</f>
        <v/>
      </c>
      <c r="W5281" s="19">
        <f>IF($I5281="","",IF(ISNUMBER($I5281),TEXT($I5281,"0"),$I5281))</f>
        <v/>
      </c>
    </row>
    <row r="5282">
      <c r="B5282" s="25" t="n"/>
      <c r="I5282" s="25" t="n"/>
      <c r="U5282" s="19">
        <f>IF($V5282&lt;&gt;'設定'!$C$4,N(U5281),IF(OR(NOT(COUNTIF('商品マスタ'!$B$6:$B$1005,$W5282)=0),COUNTIFS('①在庫を貼る'!$V$6:$V$10005,$V5282,'①在庫を貼る'!$W$6:$W$10005,$W5282)&gt;0),N(U5281),N(U5281)+1))</f>
        <v/>
      </c>
      <c r="V5282" s="19">
        <f>IF($B5282="","",TEXT($B5282,"0000"))</f>
        <v/>
      </c>
      <c r="W5282" s="19">
        <f>IF($I5282="","",IF(ISNUMBER($I5282),TEXT($I5282,"0"),$I5282))</f>
        <v/>
      </c>
    </row>
    <row r="5283">
      <c r="B5283" s="25" t="n"/>
      <c r="I5283" s="25" t="n"/>
      <c r="U5283" s="19">
        <f>IF($V5283&lt;&gt;'設定'!$C$4,N(U5282),IF(OR(NOT(COUNTIF('商品マスタ'!$B$6:$B$1005,$W5283)=0),COUNTIFS('①在庫を貼る'!$V$6:$V$10005,$V5283,'①在庫を貼る'!$W$6:$W$10005,$W5283)&gt;0),N(U5282),N(U5282)+1))</f>
        <v/>
      </c>
      <c r="V5283" s="19">
        <f>IF($B5283="","",TEXT($B5283,"0000"))</f>
        <v/>
      </c>
      <c r="W5283" s="19">
        <f>IF($I5283="","",IF(ISNUMBER($I5283),TEXT($I5283,"0"),$I5283))</f>
        <v/>
      </c>
    </row>
    <row r="5284">
      <c r="B5284" s="25" t="n"/>
      <c r="I5284" s="25" t="n"/>
      <c r="U5284" s="19">
        <f>IF($V5284&lt;&gt;'設定'!$C$4,N(U5283),IF(OR(NOT(COUNTIF('商品マスタ'!$B$6:$B$1005,$W5284)=0),COUNTIFS('①在庫を貼る'!$V$6:$V$10005,$V5284,'①在庫を貼る'!$W$6:$W$10005,$W5284)&gt;0),N(U5283),N(U5283)+1))</f>
        <v/>
      </c>
      <c r="V5284" s="19">
        <f>IF($B5284="","",TEXT($B5284,"0000"))</f>
        <v/>
      </c>
      <c r="W5284" s="19">
        <f>IF($I5284="","",IF(ISNUMBER($I5284),TEXT($I5284,"0"),$I5284))</f>
        <v/>
      </c>
    </row>
    <row r="5285">
      <c r="B5285" s="25" t="n"/>
      <c r="I5285" s="25" t="n"/>
      <c r="U5285" s="19">
        <f>IF($V5285&lt;&gt;'設定'!$C$4,N(U5284),IF(OR(NOT(COUNTIF('商品マスタ'!$B$6:$B$1005,$W5285)=0),COUNTIFS('①在庫を貼る'!$V$6:$V$10005,$V5285,'①在庫を貼る'!$W$6:$W$10005,$W5285)&gt;0),N(U5284),N(U5284)+1))</f>
        <v/>
      </c>
      <c r="V5285" s="19">
        <f>IF($B5285="","",TEXT($B5285,"0000"))</f>
        <v/>
      </c>
      <c r="W5285" s="19">
        <f>IF($I5285="","",IF(ISNUMBER($I5285),TEXT($I5285,"0"),$I5285))</f>
        <v/>
      </c>
    </row>
    <row r="5286">
      <c r="B5286" s="25" t="n"/>
      <c r="I5286" s="25" t="n"/>
      <c r="U5286" s="19">
        <f>IF($V5286&lt;&gt;'設定'!$C$4,N(U5285),IF(OR(NOT(COUNTIF('商品マスタ'!$B$6:$B$1005,$W5286)=0),COUNTIFS('①在庫を貼る'!$V$6:$V$10005,$V5286,'①在庫を貼る'!$W$6:$W$10005,$W5286)&gt;0),N(U5285),N(U5285)+1))</f>
        <v/>
      </c>
      <c r="V5286" s="19">
        <f>IF($B5286="","",TEXT($B5286,"0000"))</f>
        <v/>
      </c>
      <c r="W5286" s="19">
        <f>IF($I5286="","",IF(ISNUMBER($I5286),TEXT($I5286,"0"),$I5286))</f>
        <v/>
      </c>
    </row>
    <row r="5287">
      <c r="B5287" s="25" t="n"/>
      <c r="I5287" s="25" t="n"/>
      <c r="U5287" s="19">
        <f>IF($V5287&lt;&gt;'設定'!$C$4,N(U5286),IF(OR(NOT(COUNTIF('商品マスタ'!$B$6:$B$1005,$W5287)=0),COUNTIFS('①在庫を貼る'!$V$6:$V$10005,$V5287,'①在庫を貼る'!$W$6:$W$10005,$W5287)&gt;0),N(U5286),N(U5286)+1))</f>
        <v/>
      </c>
      <c r="V5287" s="19">
        <f>IF($B5287="","",TEXT($B5287,"0000"))</f>
        <v/>
      </c>
      <c r="W5287" s="19">
        <f>IF($I5287="","",IF(ISNUMBER($I5287),TEXT($I5287,"0"),$I5287))</f>
        <v/>
      </c>
    </row>
    <row r="5288">
      <c r="B5288" s="25" t="n"/>
      <c r="I5288" s="25" t="n"/>
      <c r="U5288" s="19">
        <f>IF($V5288&lt;&gt;'設定'!$C$4,N(U5287),IF(OR(NOT(COUNTIF('商品マスタ'!$B$6:$B$1005,$W5288)=0),COUNTIFS('①在庫を貼る'!$V$6:$V$10005,$V5288,'①在庫を貼る'!$W$6:$W$10005,$W5288)&gt;0),N(U5287),N(U5287)+1))</f>
        <v/>
      </c>
      <c r="V5288" s="19">
        <f>IF($B5288="","",TEXT($B5288,"0000"))</f>
        <v/>
      </c>
      <c r="W5288" s="19">
        <f>IF($I5288="","",IF(ISNUMBER($I5288),TEXT($I5288,"0"),$I5288))</f>
        <v/>
      </c>
    </row>
    <row r="5289">
      <c r="B5289" s="25" t="n"/>
      <c r="I5289" s="25" t="n"/>
      <c r="U5289" s="19">
        <f>IF($V5289&lt;&gt;'設定'!$C$4,N(U5288),IF(OR(NOT(COUNTIF('商品マスタ'!$B$6:$B$1005,$W5289)=0),COUNTIFS('①在庫を貼る'!$V$6:$V$10005,$V5289,'①在庫を貼る'!$W$6:$W$10005,$W5289)&gt;0),N(U5288),N(U5288)+1))</f>
        <v/>
      </c>
      <c r="V5289" s="19">
        <f>IF($B5289="","",TEXT($B5289,"0000"))</f>
        <v/>
      </c>
      <c r="W5289" s="19">
        <f>IF($I5289="","",IF(ISNUMBER($I5289),TEXT($I5289,"0"),$I5289))</f>
        <v/>
      </c>
    </row>
    <row r="5290">
      <c r="B5290" s="25" t="n"/>
      <c r="I5290" s="25" t="n"/>
      <c r="U5290" s="19">
        <f>IF($V5290&lt;&gt;'設定'!$C$4,N(U5289),IF(OR(NOT(COUNTIF('商品マスタ'!$B$6:$B$1005,$W5290)=0),COUNTIFS('①在庫を貼る'!$V$6:$V$10005,$V5290,'①在庫を貼る'!$W$6:$W$10005,$W5290)&gt;0),N(U5289),N(U5289)+1))</f>
        <v/>
      </c>
      <c r="V5290" s="19">
        <f>IF($B5290="","",TEXT($B5290,"0000"))</f>
        <v/>
      </c>
      <c r="W5290" s="19">
        <f>IF($I5290="","",IF(ISNUMBER($I5290),TEXT($I5290,"0"),$I5290))</f>
        <v/>
      </c>
    </row>
    <row r="5291">
      <c r="B5291" s="25" t="n"/>
      <c r="I5291" s="25" t="n"/>
      <c r="U5291" s="19">
        <f>IF($V5291&lt;&gt;'設定'!$C$4,N(U5290),IF(OR(NOT(COUNTIF('商品マスタ'!$B$6:$B$1005,$W5291)=0),COUNTIFS('①在庫を貼る'!$V$6:$V$10005,$V5291,'①在庫を貼る'!$W$6:$W$10005,$W5291)&gt;0),N(U5290),N(U5290)+1))</f>
        <v/>
      </c>
      <c r="V5291" s="19">
        <f>IF($B5291="","",TEXT($B5291,"0000"))</f>
        <v/>
      </c>
      <c r="W5291" s="19">
        <f>IF($I5291="","",IF(ISNUMBER($I5291),TEXT($I5291,"0"),$I5291))</f>
        <v/>
      </c>
    </row>
    <row r="5292">
      <c r="B5292" s="25" t="n"/>
      <c r="I5292" s="25" t="n"/>
      <c r="U5292" s="19">
        <f>IF($V5292&lt;&gt;'設定'!$C$4,N(U5291),IF(OR(NOT(COUNTIF('商品マスタ'!$B$6:$B$1005,$W5292)=0),COUNTIFS('①在庫を貼る'!$V$6:$V$10005,$V5292,'①在庫を貼る'!$W$6:$W$10005,$W5292)&gt;0),N(U5291),N(U5291)+1))</f>
        <v/>
      </c>
      <c r="V5292" s="19">
        <f>IF($B5292="","",TEXT($B5292,"0000"))</f>
        <v/>
      </c>
      <c r="W5292" s="19">
        <f>IF($I5292="","",IF(ISNUMBER($I5292),TEXT($I5292,"0"),$I5292))</f>
        <v/>
      </c>
    </row>
    <row r="5293">
      <c r="B5293" s="25" t="n"/>
      <c r="I5293" s="25" t="n"/>
      <c r="U5293" s="19">
        <f>IF($V5293&lt;&gt;'設定'!$C$4,N(U5292),IF(OR(NOT(COUNTIF('商品マスタ'!$B$6:$B$1005,$W5293)=0),COUNTIFS('①在庫を貼る'!$V$6:$V$10005,$V5293,'①在庫を貼る'!$W$6:$W$10005,$W5293)&gt;0),N(U5292),N(U5292)+1))</f>
        <v/>
      </c>
      <c r="V5293" s="19">
        <f>IF($B5293="","",TEXT($B5293,"0000"))</f>
        <v/>
      </c>
      <c r="W5293" s="19">
        <f>IF($I5293="","",IF(ISNUMBER($I5293),TEXT($I5293,"0"),$I5293))</f>
        <v/>
      </c>
    </row>
    <row r="5294">
      <c r="B5294" s="25" t="n"/>
      <c r="I5294" s="25" t="n"/>
      <c r="U5294" s="19">
        <f>IF($V5294&lt;&gt;'設定'!$C$4,N(U5293),IF(OR(NOT(COUNTIF('商品マスタ'!$B$6:$B$1005,$W5294)=0),COUNTIFS('①在庫を貼る'!$V$6:$V$10005,$V5294,'①在庫を貼る'!$W$6:$W$10005,$W5294)&gt;0),N(U5293),N(U5293)+1))</f>
        <v/>
      </c>
      <c r="V5294" s="19">
        <f>IF($B5294="","",TEXT($B5294,"0000"))</f>
        <v/>
      </c>
      <c r="W5294" s="19">
        <f>IF($I5294="","",IF(ISNUMBER($I5294),TEXT($I5294,"0"),$I5294))</f>
        <v/>
      </c>
    </row>
    <row r="5295">
      <c r="B5295" s="25" t="n"/>
      <c r="I5295" s="25" t="n"/>
      <c r="U5295" s="19">
        <f>IF($V5295&lt;&gt;'設定'!$C$4,N(U5294),IF(OR(NOT(COUNTIF('商品マスタ'!$B$6:$B$1005,$W5295)=0),COUNTIFS('①在庫を貼る'!$V$6:$V$10005,$V5295,'①在庫を貼る'!$W$6:$W$10005,$W5295)&gt;0),N(U5294),N(U5294)+1))</f>
        <v/>
      </c>
      <c r="V5295" s="19">
        <f>IF($B5295="","",TEXT($B5295,"0000"))</f>
        <v/>
      </c>
      <c r="W5295" s="19">
        <f>IF($I5295="","",IF(ISNUMBER($I5295),TEXT($I5295,"0"),$I5295))</f>
        <v/>
      </c>
    </row>
    <row r="5296">
      <c r="B5296" s="25" t="n"/>
      <c r="I5296" s="25" t="n"/>
      <c r="U5296" s="19">
        <f>IF($V5296&lt;&gt;'設定'!$C$4,N(U5295),IF(OR(NOT(COUNTIF('商品マスタ'!$B$6:$B$1005,$W5296)=0),COUNTIFS('①在庫を貼る'!$V$6:$V$10005,$V5296,'①在庫を貼る'!$W$6:$W$10005,$W5296)&gt;0),N(U5295),N(U5295)+1))</f>
        <v/>
      </c>
      <c r="V5296" s="19">
        <f>IF($B5296="","",TEXT($B5296,"0000"))</f>
        <v/>
      </c>
      <c r="W5296" s="19">
        <f>IF($I5296="","",IF(ISNUMBER($I5296),TEXT($I5296,"0"),$I5296))</f>
        <v/>
      </c>
    </row>
    <row r="5297">
      <c r="B5297" s="25" t="n"/>
      <c r="I5297" s="25" t="n"/>
      <c r="U5297" s="19">
        <f>IF($V5297&lt;&gt;'設定'!$C$4,N(U5296),IF(OR(NOT(COUNTIF('商品マスタ'!$B$6:$B$1005,$W5297)=0),COUNTIFS('①在庫を貼る'!$V$6:$V$10005,$V5297,'①在庫を貼る'!$W$6:$W$10005,$W5297)&gt;0),N(U5296),N(U5296)+1))</f>
        <v/>
      </c>
      <c r="V5297" s="19">
        <f>IF($B5297="","",TEXT($B5297,"0000"))</f>
        <v/>
      </c>
      <c r="W5297" s="19">
        <f>IF($I5297="","",IF(ISNUMBER($I5297),TEXT($I5297,"0"),$I5297))</f>
        <v/>
      </c>
    </row>
    <row r="5298">
      <c r="B5298" s="25" t="n"/>
      <c r="I5298" s="25" t="n"/>
      <c r="U5298" s="19">
        <f>IF($V5298&lt;&gt;'設定'!$C$4,N(U5297),IF(OR(NOT(COUNTIF('商品マスタ'!$B$6:$B$1005,$W5298)=0),COUNTIFS('①在庫を貼る'!$V$6:$V$10005,$V5298,'①在庫を貼る'!$W$6:$W$10005,$W5298)&gt;0),N(U5297),N(U5297)+1))</f>
        <v/>
      </c>
      <c r="V5298" s="19">
        <f>IF($B5298="","",TEXT($B5298,"0000"))</f>
        <v/>
      </c>
      <c r="W5298" s="19">
        <f>IF($I5298="","",IF(ISNUMBER($I5298),TEXT($I5298,"0"),$I5298))</f>
        <v/>
      </c>
    </row>
    <row r="5299">
      <c r="B5299" s="25" t="n"/>
      <c r="I5299" s="25" t="n"/>
      <c r="U5299" s="19">
        <f>IF($V5299&lt;&gt;'設定'!$C$4,N(U5298),IF(OR(NOT(COUNTIF('商品マスタ'!$B$6:$B$1005,$W5299)=0),COUNTIFS('①在庫を貼る'!$V$6:$V$10005,$V5299,'①在庫を貼る'!$W$6:$W$10005,$W5299)&gt;0),N(U5298),N(U5298)+1))</f>
        <v/>
      </c>
      <c r="V5299" s="19">
        <f>IF($B5299="","",TEXT($B5299,"0000"))</f>
        <v/>
      </c>
      <c r="W5299" s="19">
        <f>IF($I5299="","",IF(ISNUMBER($I5299),TEXT($I5299,"0"),$I5299))</f>
        <v/>
      </c>
    </row>
    <row r="5300">
      <c r="B5300" s="25" t="n"/>
      <c r="I5300" s="25" t="n"/>
      <c r="U5300" s="19">
        <f>IF($V5300&lt;&gt;'設定'!$C$4,N(U5299),IF(OR(NOT(COUNTIF('商品マスタ'!$B$6:$B$1005,$W5300)=0),COUNTIFS('①在庫を貼る'!$V$6:$V$10005,$V5300,'①在庫を貼る'!$W$6:$W$10005,$W5300)&gt;0),N(U5299),N(U5299)+1))</f>
        <v/>
      </c>
      <c r="V5300" s="19">
        <f>IF($B5300="","",TEXT($B5300,"0000"))</f>
        <v/>
      </c>
      <c r="W5300" s="19">
        <f>IF($I5300="","",IF(ISNUMBER($I5300),TEXT($I5300,"0"),$I5300))</f>
        <v/>
      </c>
    </row>
    <row r="5301">
      <c r="B5301" s="25" t="n"/>
      <c r="I5301" s="25" t="n"/>
      <c r="U5301" s="19">
        <f>IF($V5301&lt;&gt;'設定'!$C$4,N(U5300),IF(OR(NOT(COUNTIF('商品マスタ'!$B$6:$B$1005,$W5301)=0),COUNTIFS('①在庫を貼る'!$V$6:$V$10005,$V5301,'①在庫を貼る'!$W$6:$W$10005,$W5301)&gt;0),N(U5300),N(U5300)+1))</f>
        <v/>
      </c>
      <c r="V5301" s="19">
        <f>IF($B5301="","",TEXT($B5301,"0000"))</f>
        <v/>
      </c>
      <c r="W5301" s="19">
        <f>IF($I5301="","",IF(ISNUMBER($I5301),TEXT($I5301,"0"),$I5301))</f>
        <v/>
      </c>
    </row>
    <row r="5302">
      <c r="B5302" s="25" t="n"/>
      <c r="I5302" s="25" t="n"/>
      <c r="U5302" s="19">
        <f>IF($V5302&lt;&gt;'設定'!$C$4,N(U5301),IF(OR(NOT(COUNTIF('商品マスタ'!$B$6:$B$1005,$W5302)=0),COUNTIFS('①在庫を貼る'!$V$6:$V$10005,$V5302,'①在庫を貼る'!$W$6:$W$10005,$W5302)&gt;0),N(U5301),N(U5301)+1))</f>
        <v/>
      </c>
      <c r="V5302" s="19">
        <f>IF($B5302="","",TEXT($B5302,"0000"))</f>
        <v/>
      </c>
      <c r="W5302" s="19">
        <f>IF($I5302="","",IF(ISNUMBER($I5302),TEXT($I5302,"0"),$I5302))</f>
        <v/>
      </c>
    </row>
    <row r="5303">
      <c r="B5303" s="25" t="n"/>
      <c r="I5303" s="25" t="n"/>
      <c r="U5303" s="19">
        <f>IF($V5303&lt;&gt;'設定'!$C$4,N(U5302),IF(OR(NOT(COUNTIF('商品マスタ'!$B$6:$B$1005,$W5303)=0),COUNTIFS('①在庫を貼る'!$V$6:$V$10005,$V5303,'①在庫を貼る'!$W$6:$W$10005,$W5303)&gt;0),N(U5302),N(U5302)+1))</f>
        <v/>
      </c>
      <c r="V5303" s="19">
        <f>IF($B5303="","",TEXT($B5303,"0000"))</f>
        <v/>
      </c>
      <c r="W5303" s="19">
        <f>IF($I5303="","",IF(ISNUMBER($I5303),TEXT($I5303,"0"),$I5303))</f>
        <v/>
      </c>
    </row>
    <row r="5304">
      <c r="B5304" s="25" t="n"/>
      <c r="I5304" s="25" t="n"/>
      <c r="U5304" s="19">
        <f>IF($V5304&lt;&gt;'設定'!$C$4,N(U5303),IF(OR(NOT(COUNTIF('商品マスタ'!$B$6:$B$1005,$W5304)=0),COUNTIFS('①在庫を貼る'!$V$6:$V$10005,$V5304,'①在庫を貼る'!$W$6:$W$10005,$W5304)&gt;0),N(U5303),N(U5303)+1))</f>
        <v/>
      </c>
      <c r="V5304" s="19">
        <f>IF($B5304="","",TEXT($B5304,"0000"))</f>
        <v/>
      </c>
      <c r="W5304" s="19">
        <f>IF($I5304="","",IF(ISNUMBER($I5304),TEXT($I5304,"0"),$I5304))</f>
        <v/>
      </c>
    </row>
    <row r="5305">
      <c r="B5305" s="25" t="n"/>
      <c r="I5305" s="25" t="n"/>
      <c r="U5305" s="19">
        <f>IF($V5305&lt;&gt;'設定'!$C$4,N(U5304),IF(OR(NOT(COUNTIF('商品マスタ'!$B$6:$B$1005,$W5305)=0),COUNTIFS('①在庫を貼る'!$V$6:$V$10005,$V5305,'①在庫を貼る'!$W$6:$W$10005,$W5305)&gt;0),N(U5304),N(U5304)+1))</f>
        <v/>
      </c>
      <c r="V5305" s="19">
        <f>IF($B5305="","",TEXT($B5305,"0000"))</f>
        <v/>
      </c>
      <c r="W5305" s="19">
        <f>IF($I5305="","",IF(ISNUMBER($I5305),TEXT($I5305,"0"),$I5305))</f>
        <v/>
      </c>
    </row>
    <row r="5306">
      <c r="B5306" s="25" t="n"/>
      <c r="I5306" s="25" t="n"/>
      <c r="U5306" s="19">
        <f>IF($V5306&lt;&gt;'設定'!$C$4,N(U5305),IF(OR(NOT(COUNTIF('商品マスタ'!$B$6:$B$1005,$W5306)=0),COUNTIFS('①在庫を貼る'!$V$6:$V$10005,$V5306,'①在庫を貼る'!$W$6:$W$10005,$W5306)&gt;0),N(U5305),N(U5305)+1))</f>
        <v/>
      </c>
      <c r="V5306" s="19">
        <f>IF($B5306="","",TEXT($B5306,"0000"))</f>
        <v/>
      </c>
      <c r="W5306" s="19">
        <f>IF($I5306="","",IF(ISNUMBER($I5306),TEXT($I5306,"0"),$I5306))</f>
        <v/>
      </c>
    </row>
    <row r="5307">
      <c r="B5307" s="25" t="n"/>
      <c r="I5307" s="25" t="n"/>
      <c r="U5307" s="19">
        <f>IF($V5307&lt;&gt;'設定'!$C$4,N(U5306),IF(OR(NOT(COUNTIF('商品マスタ'!$B$6:$B$1005,$W5307)=0),COUNTIFS('①在庫を貼る'!$V$6:$V$10005,$V5307,'①在庫を貼る'!$W$6:$W$10005,$W5307)&gt;0),N(U5306),N(U5306)+1))</f>
        <v/>
      </c>
      <c r="V5307" s="19">
        <f>IF($B5307="","",TEXT($B5307,"0000"))</f>
        <v/>
      </c>
      <c r="W5307" s="19">
        <f>IF($I5307="","",IF(ISNUMBER($I5307),TEXT($I5307,"0"),$I5307))</f>
        <v/>
      </c>
    </row>
    <row r="5308">
      <c r="B5308" s="25" t="n"/>
      <c r="I5308" s="25" t="n"/>
      <c r="U5308" s="19">
        <f>IF($V5308&lt;&gt;'設定'!$C$4,N(U5307),IF(OR(NOT(COUNTIF('商品マスタ'!$B$6:$B$1005,$W5308)=0),COUNTIFS('①在庫を貼る'!$V$6:$V$10005,$V5308,'①在庫を貼る'!$W$6:$W$10005,$W5308)&gt;0),N(U5307),N(U5307)+1))</f>
        <v/>
      </c>
      <c r="V5308" s="19">
        <f>IF($B5308="","",TEXT($B5308,"0000"))</f>
        <v/>
      </c>
      <c r="W5308" s="19">
        <f>IF($I5308="","",IF(ISNUMBER($I5308),TEXT($I5308,"0"),$I5308))</f>
        <v/>
      </c>
    </row>
    <row r="5309">
      <c r="B5309" s="25" t="n"/>
      <c r="I5309" s="25" t="n"/>
      <c r="U5309" s="19">
        <f>IF($V5309&lt;&gt;'設定'!$C$4,N(U5308),IF(OR(NOT(COUNTIF('商品マスタ'!$B$6:$B$1005,$W5309)=0),COUNTIFS('①在庫を貼る'!$V$6:$V$10005,$V5309,'①在庫を貼る'!$W$6:$W$10005,$W5309)&gt;0),N(U5308),N(U5308)+1))</f>
        <v/>
      </c>
      <c r="V5309" s="19">
        <f>IF($B5309="","",TEXT($B5309,"0000"))</f>
        <v/>
      </c>
      <c r="W5309" s="19">
        <f>IF($I5309="","",IF(ISNUMBER($I5309),TEXT($I5309,"0"),$I5309))</f>
        <v/>
      </c>
    </row>
    <row r="5310">
      <c r="B5310" s="25" t="n"/>
      <c r="I5310" s="25" t="n"/>
      <c r="U5310" s="19">
        <f>IF($V5310&lt;&gt;'設定'!$C$4,N(U5309),IF(OR(NOT(COUNTIF('商品マスタ'!$B$6:$B$1005,$W5310)=0),COUNTIFS('①在庫を貼る'!$V$6:$V$10005,$V5310,'①在庫を貼る'!$W$6:$W$10005,$W5310)&gt;0),N(U5309),N(U5309)+1))</f>
        <v/>
      </c>
      <c r="V5310" s="19">
        <f>IF($B5310="","",TEXT($B5310,"0000"))</f>
        <v/>
      </c>
      <c r="W5310" s="19">
        <f>IF($I5310="","",IF(ISNUMBER($I5310),TEXT($I5310,"0"),$I5310))</f>
        <v/>
      </c>
    </row>
    <row r="5311">
      <c r="B5311" s="25" t="n"/>
      <c r="I5311" s="25" t="n"/>
      <c r="U5311" s="19">
        <f>IF($V5311&lt;&gt;'設定'!$C$4,N(U5310),IF(OR(NOT(COUNTIF('商品マスタ'!$B$6:$B$1005,$W5311)=0),COUNTIFS('①在庫を貼る'!$V$6:$V$10005,$V5311,'①在庫を貼る'!$W$6:$W$10005,$W5311)&gt;0),N(U5310),N(U5310)+1))</f>
        <v/>
      </c>
      <c r="V5311" s="19">
        <f>IF($B5311="","",TEXT($B5311,"0000"))</f>
        <v/>
      </c>
      <c r="W5311" s="19">
        <f>IF($I5311="","",IF(ISNUMBER($I5311),TEXT($I5311,"0"),$I5311))</f>
        <v/>
      </c>
    </row>
    <row r="5312">
      <c r="B5312" s="25" t="n"/>
      <c r="I5312" s="25" t="n"/>
      <c r="U5312" s="19">
        <f>IF($V5312&lt;&gt;'設定'!$C$4,N(U5311),IF(OR(NOT(COUNTIF('商品マスタ'!$B$6:$B$1005,$W5312)=0),COUNTIFS('①在庫を貼る'!$V$6:$V$10005,$V5312,'①在庫を貼る'!$W$6:$W$10005,$W5312)&gt;0),N(U5311),N(U5311)+1))</f>
        <v/>
      </c>
      <c r="V5312" s="19">
        <f>IF($B5312="","",TEXT($B5312,"0000"))</f>
        <v/>
      </c>
      <c r="W5312" s="19">
        <f>IF($I5312="","",IF(ISNUMBER($I5312),TEXT($I5312,"0"),$I5312))</f>
        <v/>
      </c>
    </row>
    <row r="5313">
      <c r="B5313" s="25" t="n"/>
      <c r="I5313" s="25" t="n"/>
      <c r="U5313" s="19">
        <f>IF($V5313&lt;&gt;'設定'!$C$4,N(U5312),IF(OR(NOT(COUNTIF('商品マスタ'!$B$6:$B$1005,$W5313)=0),COUNTIFS('①在庫を貼る'!$V$6:$V$10005,$V5313,'①在庫を貼る'!$W$6:$W$10005,$W5313)&gt;0),N(U5312),N(U5312)+1))</f>
        <v/>
      </c>
      <c r="V5313" s="19">
        <f>IF($B5313="","",TEXT($B5313,"0000"))</f>
        <v/>
      </c>
      <c r="W5313" s="19">
        <f>IF($I5313="","",IF(ISNUMBER($I5313),TEXT($I5313,"0"),$I5313))</f>
        <v/>
      </c>
    </row>
    <row r="5314">
      <c r="B5314" s="25" t="n"/>
      <c r="I5314" s="25" t="n"/>
      <c r="U5314" s="19">
        <f>IF($V5314&lt;&gt;'設定'!$C$4,N(U5313),IF(OR(NOT(COUNTIF('商品マスタ'!$B$6:$B$1005,$W5314)=0),COUNTIFS('①在庫を貼る'!$V$6:$V$10005,$V5314,'①在庫を貼る'!$W$6:$W$10005,$W5314)&gt;0),N(U5313),N(U5313)+1))</f>
        <v/>
      </c>
      <c r="V5314" s="19">
        <f>IF($B5314="","",TEXT($B5314,"0000"))</f>
        <v/>
      </c>
      <c r="W5314" s="19">
        <f>IF($I5314="","",IF(ISNUMBER($I5314),TEXT($I5314,"0"),$I5314))</f>
        <v/>
      </c>
    </row>
    <row r="5315">
      <c r="B5315" s="25" t="n"/>
      <c r="I5315" s="25" t="n"/>
      <c r="U5315" s="19">
        <f>IF($V5315&lt;&gt;'設定'!$C$4,N(U5314),IF(OR(NOT(COUNTIF('商品マスタ'!$B$6:$B$1005,$W5315)=0),COUNTIFS('①在庫を貼る'!$V$6:$V$10005,$V5315,'①在庫を貼る'!$W$6:$W$10005,$W5315)&gt;0),N(U5314),N(U5314)+1))</f>
        <v/>
      </c>
      <c r="V5315" s="19">
        <f>IF($B5315="","",TEXT($B5315,"0000"))</f>
        <v/>
      </c>
      <c r="W5315" s="19">
        <f>IF($I5315="","",IF(ISNUMBER($I5315),TEXT($I5315,"0"),$I5315))</f>
        <v/>
      </c>
    </row>
    <row r="5316">
      <c r="B5316" s="25" t="n"/>
      <c r="I5316" s="25" t="n"/>
      <c r="U5316" s="19">
        <f>IF($V5316&lt;&gt;'設定'!$C$4,N(U5315),IF(OR(NOT(COUNTIF('商品マスタ'!$B$6:$B$1005,$W5316)=0),COUNTIFS('①在庫を貼る'!$V$6:$V$10005,$V5316,'①在庫を貼る'!$W$6:$W$10005,$W5316)&gt;0),N(U5315),N(U5315)+1))</f>
        <v/>
      </c>
      <c r="V5316" s="19">
        <f>IF($B5316="","",TEXT($B5316,"0000"))</f>
        <v/>
      </c>
      <c r="W5316" s="19">
        <f>IF($I5316="","",IF(ISNUMBER($I5316),TEXT($I5316,"0"),$I5316))</f>
        <v/>
      </c>
    </row>
    <row r="5317">
      <c r="B5317" s="25" t="n"/>
      <c r="I5317" s="25" t="n"/>
      <c r="U5317" s="19">
        <f>IF($V5317&lt;&gt;'設定'!$C$4,N(U5316),IF(OR(NOT(COUNTIF('商品マスタ'!$B$6:$B$1005,$W5317)=0),COUNTIFS('①在庫を貼る'!$V$6:$V$10005,$V5317,'①在庫を貼る'!$W$6:$W$10005,$W5317)&gt;0),N(U5316),N(U5316)+1))</f>
        <v/>
      </c>
      <c r="V5317" s="19">
        <f>IF($B5317="","",TEXT($B5317,"0000"))</f>
        <v/>
      </c>
      <c r="W5317" s="19">
        <f>IF($I5317="","",IF(ISNUMBER($I5317),TEXT($I5317,"0"),$I5317))</f>
        <v/>
      </c>
    </row>
    <row r="5318">
      <c r="B5318" s="25" t="n"/>
      <c r="I5318" s="25" t="n"/>
      <c r="U5318" s="19">
        <f>IF($V5318&lt;&gt;'設定'!$C$4,N(U5317),IF(OR(NOT(COUNTIF('商品マスタ'!$B$6:$B$1005,$W5318)=0),COUNTIFS('①在庫を貼る'!$V$6:$V$10005,$V5318,'①在庫を貼る'!$W$6:$W$10005,$W5318)&gt;0),N(U5317),N(U5317)+1))</f>
        <v/>
      </c>
      <c r="V5318" s="19">
        <f>IF($B5318="","",TEXT($B5318,"0000"))</f>
        <v/>
      </c>
      <c r="W5318" s="19">
        <f>IF($I5318="","",IF(ISNUMBER($I5318),TEXT($I5318,"0"),$I5318))</f>
        <v/>
      </c>
    </row>
    <row r="5319">
      <c r="B5319" s="25" t="n"/>
      <c r="I5319" s="25" t="n"/>
      <c r="U5319" s="19">
        <f>IF($V5319&lt;&gt;'設定'!$C$4,N(U5318),IF(OR(NOT(COUNTIF('商品マスタ'!$B$6:$B$1005,$W5319)=0),COUNTIFS('①在庫を貼る'!$V$6:$V$10005,$V5319,'①在庫を貼る'!$W$6:$W$10005,$W5319)&gt;0),N(U5318),N(U5318)+1))</f>
        <v/>
      </c>
      <c r="V5319" s="19">
        <f>IF($B5319="","",TEXT($B5319,"0000"))</f>
        <v/>
      </c>
      <c r="W5319" s="19">
        <f>IF($I5319="","",IF(ISNUMBER($I5319),TEXT($I5319,"0"),$I5319))</f>
        <v/>
      </c>
    </row>
    <row r="5320">
      <c r="B5320" s="25" t="n"/>
      <c r="I5320" s="25" t="n"/>
      <c r="U5320" s="19">
        <f>IF($V5320&lt;&gt;'設定'!$C$4,N(U5319),IF(OR(NOT(COUNTIF('商品マスタ'!$B$6:$B$1005,$W5320)=0),COUNTIFS('①在庫を貼る'!$V$6:$V$10005,$V5320,'①在庫を貼る'!$W$6:$W$10005,$W5320)&gt;0),N(U5319),N(U5319)+1))</f>
        <v/>
      </c>
      <c r="V5320" s="19">
        <f>IF($B5320="","",TEXT($B5320,"0000"))</f>
        <v/>
      </c>
      <c r="W5320" s="19">
        <f>IF($I5320="","",IF(ISNUMBER($I5320),TEXT($I5320,"0"),$I5320))</f>
        <v/>
      </c>
    </row>
    <row r="5321">
      <c r="B5321" s="25" t="n"/>
      <c r="I5321" s="25" t="n"/>
      <c r="U5321" s="19">
        <f>IF($V5321&lt;&gt;'設定'!$C$4,N(U5320),IF(OR(NOT(COUNTIF('商品マスタ'!$B$6:$B$1005,$W5321)=0),COUNTIFS('①在庫を貼る'!$V$6:$V$10005,$V5321,'①在庫を貼る'!$W$6:$W$10005,$W5321)&gt;0),N(U5320),N(U5320)+1))</f>
        <v/>
      </c>
      <c r="V5321" s="19">
        <f>IF($B5321="","",TEXT($B5321,"0000"))</f>
        <v/>
      </c>
      <c r="W5321" s="19">
        <f>IF($I5321="","",IF(ISNUMBER($I5321),TEXT($I5321,"0"),$I5321))</f>
        <v/>
      </c>
    </row>
    <row r="5322">
      <c r="B5322" s="25" t="n"/>
      <c r="I5322" s="25" t="n"/>
      <c r="U5322" s="19">
        <f>IF($V5322&lt;&gt;'設定'!$C$4,N(U5321),IF(OR(NOT(COUNTIF('商品マスタ'!$B$6:$B$1005,$W5322)=0),COUNTIFS('①在庫を貼る'!$V$6:$V$10005,$V5322,'①在庫を貼る'!$W$6:$W$10005,$W5322)&gt;0),N(U5321),N(U5321)+1))</f>
        <v/>
      </c>
      <c r="V5322" s="19">
        <f>IF($B5322="","",TEXT($B5322,"0000"))</f>
        <v/>
      </c>
      <c r="W5322" s="19">
        <f>IF($I5322="","",IF(ISNUMBER($I5322),TEXT($I5322,"0"),$I5322))</f>
        <v/>
      </c>
    </row>
    <row r="5323">
      <c r="B5323" s="25" t="n"/>
      <c r="I5323" s="25" t="n"/>
      <c r="U5323" s="19">
        <f>IF($V5323&lt;&gt;'設定'!$C$4,N(U5322),IF(OR(NOT(COUNTIF('商品マスタ'!$B$6:$B$1005,$W5323)=0),COUNTIFS('①在庫を貼る'!$V$6:$V$10005,$V5323,'①在庫を貼る'!$W$6:$W$10005,$W5323)&gt;0),N(U5322),N(U5322)+1))</f>
        <v/>
      </c>
      <c r="V5323" s="19">
        <f>IF($B5323="","",TEXT($B5323,"0000"))</f>
        <v/>
      </c>
      <c r="W5323" s="19">
        <f>IF($I5323="","",IF(ISNUMBER($I5323),TEXT($I5323,"0"),$I5323))</f>
        <v/>
      </c>
    </row>
    <row r="5324">
      <c r="B5324" s="25" t="n"/>
      <c r="I5324" s="25" t="n"/>
      <c r="U5324" s="19">
        <f>IF($V5324&lt;&gt;'設定'!$C$4,N(U5323),IF(OR(NOT(COUNTIF('商品マスタ'!$B$6:$B$1005,$W5324)=0),COUNTIFS('①在庫を貼る'!$V$6:$V$10005,$V5324,'①在庫を貼る'!$W$6:$W$10005,$W5324)&gt;0),N(U5323),N(U5323)+1))</f>
        <v/>
      </c>
      <c r="V5324" s="19">
        <f>IF($B5324="","",TEXT($B5324,"0000"))</f>
        <v/>
      </c>
      <c r="W5324" s="19">
        <f>IF($I5324="","",IF(ISNUMBER($I5324),TEXT($I5324,"0"),$I5324))</f>
        <v/>
      </c>
    </row>
    <row r="5325">
      <c r="B5325" s="25" t="n"/>
      <c r="I5325" s="25" t="n"/>
      <c r="U5325" s="19">
        <f>IF($V5325&lt;&gt;'設定'!$C$4,N(U5324),IF(OR(NOT(COUNTIF('商品マスタ'!$B$6:$B$1005,$W5325)=0),COUNTIFS('①在庫を貼る'!$V$6:$V$10005,$V5325,'①在庫を貼る'!$W$6:$W$10005,$W5325)&gt;0),N(U5324),N(U5324)+1))</f>
        <v/>
      </c>
      <c r="V5325" s="19">
        <f>IF($B5325="","",TEXT($B5325,"0000"))</f>
        <v/>
      </c>
      <c r="W5325" s="19">
        <f>IF($I5325="","",IF(ISNUMBER($I5325),TEXT($I5325,"0"),$I5325))</f>
        <v/>
      </c>
    </row>
    <row r="5326">
      <c r="B5326" s="25" t="n"/>
      <c r="I5326" s="25" t="n"/>
      <c r="U5326" s="19">
        <f>IF($V5326&lt;&gt;'設定'!$C$4,N(U5325),IF(OR(NOT(COUNTIF('商品マスタ'!$B$6:$B$1005,$W5326)=0),COUNTIFS('①在庫を貼る'!$V$6:$V$10005,$V5326,'①在庫を貼る'!$W$6:$W$10005,$W5326)&gt;0),N(U5325),N(U5325)+1))</f>
        <v/>
      </c>
      <c r="V5326" s="19">
        <f>IF($B5326="","",TEXT($B5326,"0000"))</f>
        <v/>
      </c>
      <c r="W5326" s="19">
        <f>IF($I5326="","",IF(ISNUMBER($I5326),TEXT($I5326,"0"),$I5326))</f>
        <v/>
      </c>
    </row>
    <row r="5327">
      <c r="B5327" s="25" t="n"/>
      <c r="I5327" s="25" t="n"/>
      <c r="U5327" s="19">
        <f>IF($V5327&lt;&gt;'設定'!$C$4,N(U5326),IF(OR(NOT(COUNTIF('商品マスタ'!$B$6:$B$1005,$W5327)=0),COUNTIFS('①在庫を貼る'!$V$6:$V$10005,$V5327,'①在庫を貼る'!$W$6:$W$10005,$W5327)&gt;0),N(U5326),N(U5326)+1))</f>
        <v/>
      </c>
      <c r="V5327" s="19">
        <f>IF($B5327="","",TEXT($B5327,"0000"))</f>
        <v/>
      </c>
      <c r="W5327" s="19">
        <f>IF($I5327="","",IF(ISNUMBER($I5327),TEXT($I5327,"0"),$I5327))</f>
        <v/>
      </c>
    </row>
    <row r="5328">
      <c r="B5328" s="25" t="n"/>
      <c r="I5328" s="25" t="n"/>
      <c r="U5328" s="19">
        <f>IF($V5328&lt;&gt;'設定'!$C$4,N(U5327),IF(OR(NOT(COUNTIF('商品マスタ'!$B$6:$B$1005,$W5328)=0),COUNTIFS('①在庫を貼る'!$V$6:$V$10005,$V5328,'①在庫を貼る'!$W$6:$W$10005,$W5328)&gt;0),N(U5327),N(U5327)+1))</f>
        <v/>
      </c>
      <c r="V5328" s="19">
        <f>IF($B5328="","",TEXT($B5328,"0000"))</f>
        <v/>
      </c>
      <c r="W5328" s="19">
        <f>IF($I5328="","",IF(ISNUMBER($I5328),TEXT($I5328,"0"),$I5328))</f>
        <v/>
      </c>
    </row>
    <row r="5329">
      <c r="B5329" s="25" t="n"/>
      <c r="I5329" s="25" t="n"/>
      <c r="U5329" s="19">
        <f>IF($V5329&lt;&gt;'設定'!$C$4,N(U5328),IF(OR(NOT(COUNTIF('商品マスタ'!$B$6:$B$1005,$W5329)=0),COUNTIFS('①在庫を貼る'!$V$6:$V$10005,$V5329,'①在庫を貼る'!$W$6:$W$10005,$W5329)&gt;0),N(U5328),N(U5328)+1))</f>
        <v/>
      </c>
      <c r="V5329" s="19">
        <f>IF($B5329="","",TEXT($B5329,"0000"))</f>
        <v/>
      </c>
      <c r="W5329" s="19">
        <f>IF($I5329="","",IF(ISNUMBER($I5329),TEXT($I5329,"0"),$I5329))</f>
        <v/>
      </c>
    </row>
    <row r="5330">
      <c r="B5330" s="25" t="n"/>
      <c r="I5330" s="25" t="n"/>
      <c r="U5330" s="19">
        <f>IF($V5330&lt;&gt;'設定'!$C$4,N(U5329),IF(OR(NOT(COUNTIF('商品マスタ'!$B$6:$B$1005,$W5330)=0),COUNTIFS('①在庫を貼る'!$V$6:$V$10005,$V5330,'①在庫を貼る'!$W$6:$W$10005,$W5330)&gt;0),N(U5329),N(U5329)+1))</f>
        <v/>
      </c>
      <c r="V5330" s="19">
        <f>IF($B5330="","",TEXT($B5330,"0000"))</f>
        <v/>
      </c>
      <c r="W5330" s="19">
        <f>IF($I5330="","",IF(ISNUMBER($I5330),TEXT($I5330,"0"),$I5330))</f>
        <v/>
      </c>
    </row>
    <row r="5331">
      <c r="B5331" s="25" t="n"/>
      <c r="I5331" s="25" t="n"/>
      <c r="U5331" s="19">
        <f>IF($V5331&lt;&gt;'設定'!$C$4,N(U5330),IF(OR(NOT(COUNTIF('商品マスタ'!$B$6:$B$1005,$W5331)=0),COUNTIFS('①在庫を貼る'!$V$6:$V$10005,$V5331,'①在庫を貼る'!$W$6:$W$10005,$W5331)&gt;0),N(U5330),N(U5330)+1))</f>
        <v/>
      </c>
      <c r="V5331" s="19">
        <f>IF($B5331="","",TEXT($B5331,"0000"))</f>
        <v/>
      </c>
      <c r="W5331" s="19">
        <f>IF($I5331="","",IF(ISNUMBER($I5331),TEXT($I5331,"0"),$I5331))</f>
        <v/>
      </c>
    </row>
    <row r="5332">
      <c r="B5332" s="25" t="n"/>
      <c r="I5332" s="25" t="n"/>
      <c r="U5332" s="19">
        <f>IF($V5332&lt;&gt;'設定'!$C$4,N(U5331),IF(OR(NOT(COUNTIF('商品マスタ'!$B$6:$B$1005,$W5332)=0),COUNTIFS('①在庫を貼る'!$V$6:$V$10005,$V5332,'①在庫を貼る'!$W$6:$W$10005,$W5332)&gt;0),N(U5331),N(U5331)+1))</f>
        <v/>
      </c>
      <c r="V5332" s="19">
        <f>IF($B5332="","",TEXT($B5332,"0000"))</f>
        <v/>
      </c>
      <c r="W5332" s="19">
        <f>IF($I5332="","",IF(ISNUMBER($I5332),TEXT($I5332,"0"),$I5332))</f>
        <v/>
      </c>
    </row>
    <row r="5333">
      <c r="B5333" s="25" t="n"/>
      <c r="I5333" s="25" t="n"/>
      <c r="U5333" s="19">
        <f>IF($V5333&lt;&gt;'設定'!$C$4,N(U5332),IF(OR(NOT(COUNTIF('商品マスタ'!$B$6:$B$1005,$W5333)=0),COUNTIFS('①在庫を貼る'!$V$6:$V$10005,$V5333,'①在庫を貼る'!$W$6:$W$10005,$W5333)&gt;0),N(U5332),N(U5332)+1))</f>
        <v/>
      </c>
      <c r="V5333" s="19">
        <f>IF($B5333="","",TEXT($B5333,"0000"))</f>
        <v/>
      </c>
      <c r="W5333" s="19">
        <f>IF($I5333="","",IF(ISNUMBER($I5333),TEXT($I5333,"0"),$I5333))</f>
        <v/>
      </c>
    </row>
    <row r="5334">
      <c r="B5334" s="25" t="n"/>
      <c r="I5334" s="25" t="n"/>
      <c r="U5334" s="19">
        <f>IF($V5334&lt;&gt;'設定'!$C$4,N(U5333),IF(OR(NOT(COUNTIF('商品マスタ'!$B$6:$B$1005,$W5334)=0),COUNTIFS('①在庫を貼る'!$V$6:$V$10005,$V5334,'①在庫を貼る'!$W$6:$W$10005,$W5334)&gt;0),N(U5333),N(U5333)+1))</f>
        <v/>
      </c>
      <c r="V5334" s="19">
        <f>IF($B5334="","",TEXT($B5334,"0000"))</f>
        <v/>
      </c>
      <c r="W5334" s="19">
        <f>IF($I5334="","",IF(ISNUMBER($I5334),TEXT($I5334,"0"),$I5334))</f>
        <v/>
      </c>
    </row>
    <row r="5335">
      <c r="B5335" s="25" t="n"/>
      <c r="I5335" s="25" t="n"/>
      <c r="U5335" s="19">
        <f>IF($V5335&lt;&gt;'設定'!$C$4,N(U5334),IF(OR(NOT(COUNTIF('商品マスタ'!$B$6:$B$1005,$W5335)=0),COUNTIFS('①在庫を貼る'!$V$6:$V$10005,$V5335,'①在庫を貼る'!$W$6:$W$10005,$W5335)&gt;0),N(U5334),N(U5334)+1))</f>
        <v/>
      </c>
      <c r="V5335" s="19">
        <f>IF($B5335="","",TEXT($B5335,"0000"))</f>
        <v/>
      </c>
      <c r="W5335" s="19">
        <f>IF($I5335="","",IF(ISNUMBER($I5335),TEXT($I5335,"0"),$I5335))</f>
        <v/>
      </c>
    </row>
    <row r="5336">
      <c r="B5336" s="25" t="n"/>
      <c r="I5336" s="25" t="n"/>
      <c r="U5336" s="19">
        <f>IF($V5336&lt;&gt;'設定'!$C$4,N(U5335),IF(OR(NOT(COUNTIF('商品マスタ'!$B$6:$B$1005,$W5336)=0),COUNTIFS('①在庫を貼る'!$V$6:$V$10005,$V5336,'①在庫を貼る'!$W$6:$W$10005,$W5336)&gt;0),N(U5335),N(U5335)+1))</f>
        <v/>
      </c>
      <c r="V5336" s="19">
        <f>IF($B5336="","",TEXT($B5336,"0000"))</f>
        <v/>
      </c>
      <c r="W5336" s="19">
        <f>IF($I5336="","",IF(ISNUMBER($I5336),TEXT($I5336,"0"),$I5336))</f>
        <v/>
      </c>
    </row>
    <row r="5337">
      <c r="B5337" s="25" t="n"/>
      <c r="I5337" s="25" t="n"/>
      <c r="U5337" s="19">
        <f>IF($V5337&lt;&gt;'設定'!$C$4,N(U5336),IF(OR(NOT(COUNTIF('商品マスタ'!$B$6:$B$1005,$W5337)=0),COUNTIFS('①在庫を貼る'!$V$6:$V$10005,$V5337,'①在庫を貼る'!$W$6:$W$10005,$W5337)&gt;0),N(U5336),N(U5336)+1))</f>
        <v/>
      </c>
      <c r="V5337" s="19">
        <f>IF($B5337="","",TEXT($B5337,"0000"))</f>
        <v/>
      </c>
      <c r="W5337" s="19">
        <f>IF($I5337="","",IF(ISNUMBER($I5337),TEXT($I5337,"0"),$I5337))</f>
        <v/>
      </c>
    </row>
    <row r="5338">
      <c r="B5338" s="25" t="n"/>
      <c r="I5338" s="25" t="n"/>
      <c r="U5338" s="19">
        <f>IF($V5338&lt;&gt;'設定'!$C$4,N(U5337),IF(OR(NOT(COUNTIF('商品マスタ'!$B$6:$B$1005,$W5338)=0),COUNTIFS('①在庫を貼る'!$V$6:$V$10005,$V5338,'①在庫を貼る'!$W$6:$W$10005,$W5338)&gt;0),N(U5337),N(U5337)+1))</f>
        <v/>
      </c>
      <c r="V5338" s="19">
        <f>IF($B5338="","",TEXT($B5338,"0000"))</f>
        <v/>
      </c>
      <c r="W5338" s="19">
        <f>IF($I5338="","",IF(ISNUMBER($I5338),TEXT($I5338,"0"),$I5338))</f>
        <v/>
      </c>
    </row>
    <row r="5339">
      <c r="B5339" s="25" t="n"/>
      <c r="I5339" s="25" t="n"/>
      <c r="U5339" s="19">
        <f>IF($V5339&lt;&gt;'設定'!$C$4,N(U5338),IF(OR(NOT(COUNTIF('商品マスタ'!$B$6:$B$1005,$W5339)=0),COUNTIFS('①在庫を貼る'!$V$6:$V$10005,$V5339,'①在庫を貼る'!$W$6:$W$10005,$W5339)&gt;0),N(U5338),N(U5338)+1))</f>
        <v/>
      </c>
      <c r="V5339" s="19">
        <f>IF($B5339="","",TEXT($B5339,"0000"))</f>
        <v/>
      </c>
      <c r="W5339" s="19">
        <f>IF($I5339="","",IF(ISNUMBER($I5339),TEXT($I5339,"0"),$I5339))</f>
        <v/>
      </c>
    </row>
    <row r="5340">
      <c r="B5340" s="25" t="n"/>
      <c r="I5340" s="25" t="n"/>
      <c r="U5340" s="19">
        <f>IF($V5340&lt;&gt;'設定'!$C$4,N(U5339),IF(OR(NOT(COUNTIF('商品マスタ'!$B$6:$B$1005,$W5340)=0),COUNTIFS('①在庫を貼る'!$V$6:$V$10005,$V5340,'①在庫を貼る'!$W$6:$W$10005,$W5340)&gt;0),N(U5339),N(U5339)+1))</f>
        <v/>
      </c>
      <c r="V5340" s="19">
        <f>IF($B5340="","",TEXT($B5340,"0000"))</f>
        <v/>
      </c>
      <c r="W5340" s="19">
        <f>IF($I5340="","",IF(ISNUMBER($I5340),TEXT($I5340,"0"),$I5340))</f>
        <v/>
      </c>
    </row>
    <row r="5341">
      <c r="B5341" s="25" t="n"/>
      <c r="I5341" s="25" t="n"/>
      <c r="U5341" s="19">
        <f>IF($V5341&lt;&gt;'設定'!$C$4,N(U5340),IF(OR(NOT(COUNTIF('商品マスタ'!$B$6:$B$1005,$W5341)=0),COUNTIFS('①在庫を貼る'!$V$6:$V$10005,$V5341,'①在庫を貼る'!$W$6:$W$10005,$W5341)&gt;0),N(U5340),N(U5340)+1))</f>
        <v/>
      </c>
      <c r="V5341" s="19">
        <f>IF($B5341="","",TEXT($B5341,"0000"))</f>
        <v/>
      </c>
      <c r="W5341" s="19">
        <f>IF($I5341="","",IF(ISNUMBER($I5341),TEXT($I5341,"0"),$I5341))</f>
        <v/>
      </c>
    </row>
    <row r="5342">
      <c r="B5342" s="25" t="n"/>
      <c r="I5342" s="25" t="n"/>
      <c r="U5342" s="19">
        <f>IF($V5342&lt;&gt;'設定'!$C$4,N(U5341),IF(OR(NOT(COUNTIF('商品マスタ'!$B$6:$B$1005,$W5342)=0),COUNTIFS('①在庫を貼る'!$V$6:$V$10005,$V5342,'①在庫を貼る'!$W$6:$W$10005,$W5342)&gt;0),N(U5341),N(U5341)+1))</f>
        <v/>
      </c>
      <c r="V5342" s="19">
        <f>IF($B5342="","",TEXT($B5342,"0000"))</f>
        <v/>
      </c>
      <c r="W5342" s="19">
        <f>IF($I5342="","",IF(ISNUMBER($I5342),TEXT($I5342,"0"),$I5342))</f>
        <v/>
      </c>
    </row>
    <row r="5343">
      <c r="B5343" s="25" t="n"/>
      <c r="I5343" s="25" t="n"/>
      <c r="U5343" s="19">
        <f>IF($V5343&lt;&gt;'設定'!$C$4,N(U5342),IF(OR(NOT(COUNTIF('商品マスタ'!$B$6:$B$1005,$W5343)=0),COUNTIFS('①在庫を貼る'!$V$6:$V$10005,$V5343,'①在庫を貼る'!$W$6:$W$10005,$W5343)&gt;0),N(U5342),N(U5342)+1))</f>
        <v/>
      </c>
      <c r="V5343" s="19">
        <f>IF($B5343="","",TEXT($B5343,"0000"))</f>
        <v/>
      </c>
      <c r="W5343" s="19">
        <f>IF($I5343="","",IF(ISNUMBER($I5343),TEXT($I5343,"0"),$I5343))</f>
        <v/>
      </c>
    </row>
    <row r="5344">
      <c r="B5344" s="25" t="n"/>
      <c r="I5344" s="25" t="n"/>
      <c r="U5344" s="19">
        <f>IF($V5344&lt;&gt;'設定'!$C$4,N(U5343),IF(OR(NOT(COUNTIF('商品マスタ'!$B$6:$B$1005,$W5344)=0),COUNTIFS('①在庫を貼る'!$V$6:$V$10005,$V5344,'①在庫を貼る'!$W$6:$W$10005,$W5344)&gt;0),N(U5343),N(U5343)+1))</f>
        <v/>
      </c>
      <c r="V5344" s="19">
        <f>IF($B5344="","",TEXT($B5344,"0000"))</f>
        <v/>
      </c>
      <c r="W5344" s="19">
        <f>IF($I5344="","",IF(ISNUMBER($I5344),TEXT($I5344,"0"),$I5344))</f>
        <v/>
      </c>
    </row>
    <row r="5345">
      <c r="B5345" s="25" t="n"/>
      <c r="I5345" s="25" t="n"/>
      <c r="U5345" s="19">
        <f>IF($V5345&lt;&gt;'設定'!$C$4,N(U5344),IF(OR(NOT(COUNTIF('商品マスタ'!$B$6:$B$1005,$W5345)=0),COUNTIFS('①在庫を貼る'!$V$6:$V$10005,$V5345,'①在庫を貼る'!$W$6:$W$10005,$W5345)&gt;0),N(U5344),N(U5344)+1))</f>
        <v/>
      </c>
      <c r="V5345" s="19">
        <f>IF($B5345="","",TEXT($B5345,"0000"))</f>
        <v/>
      </c>
      <c r="W5345" s="19">
        <f>IF($I5345="","",IF(ISNUMBER($I5345),TEXT($I5345,"0"),$I5345))</f>
        <v/>
      </c>
    </row>
    <row r="5346">
      <c r="B5346" s="25" t="n"/>
      <c r="I5346" s="25" t="n"/>
      <c r="U5346" s="19">
        <f>IF($V5346&lt;&gt;'設定'!$C$4,N(U5345),IF(OR(NOT(COUNTIF('商品マスタ'!$B$6:$B$1005,$W5346)=0),COUNTIFS('①在庫を貼る'!$V$6:$V$10005,$V5346,'①在庫を貼る'!$W$6:$W$10005,$W5346)&gt;0),N(U5345),N(U5345)+1))</f>
        <v/>
      </c>
      <c r="V5346" s="19">
        <f>IF($B5346="","",TEXT($B5346,"0000"))</f>
        <v/>
      </c>
      <c r="W5346" s="19">
        <f>IF($I5346="","",IF(ISNUMBER($I5346),TEXT($I5346,"0"),$I5346))</f>
        <v/>
      </c>
    </row>
    <row r="5347">
      <c r="B5347" s="25" t="n"/>
      <c r="I5347" s="25" t="n"/>
      <c r="U5347" s="19">
        <f>IF($V5347&lt;&gt;'設定'!$C$4,N(U5346),IF(OR(NOT(COUNTIF('商品マスタ'!$B$6:$B$1005,$W5347)=0),COUNTIFS('①在庫を貼る'!$V$6:$V$10005,$V5347,'①在庫を貼る'!$W$6:$W$10005,$W5347)&gt;0),N(U5346),N(U5346)+1))</f>
        <v/>
      </c>
      <c r="V5347" s="19">
        <f>IF($B5347="","",TEXT($B5347,"0000"))</f>
        <v/>
      </c>
      <c r="W5347" s="19">
        <f>IF($I5347="","",IF(ISNUMBER($I5347),TEXT($I5347,"0"),$I5347))</f>
        <v/>
      </c>
    </row>
    <row r="5348">
      <c r="B5348" s="25" t="n"/>
      <c r="I5348" s="25" t="n"/>
      <c r="U5348" s="19">
        <f>IF($V5348&lt;&gt;'設定'!$C$4,N(U5347),IF(OR(NOT(COUNTIF('商品マスタ'!$B$6:$B$1005,$W5348)=0),COUNTIFS('①在庫を貼る'!$V$6:$V$10005,$V5348,'①在庫を貼る'!$W$6:$W$10005,$W5348)&gt;0),N(U5347),N(U5347)+1))</f>
        <v/>
      </c>
      <c r="V5348" s="19">
        <f>IF($B5348="","",TEXT($B5348,"0000"))</f>
        <v/>
      </c>
      <c r="W5348" s="19">
        <f>IF($I5348="","",IF(ISNUMBER($I5348),TEXT($I5348,"0"),$I5348))</f>
        <v/>
      </c>
    </row>
    <row r="5349">
      <c r="B5349" s="25" t="n"/>
      <c r="I5349" s="25" t="n"/>
      <c r="U5349" s="19">
        <f>IF($V5349&lt;&gt;'設定'!$C$4,N(U5348),IF(OR(NOT(COUNTIF('商品マスタ'!$B$6:$B$1005,$W5349)=0),COUNTIFS('①在庫を貼る'!$V$6:$V$10005,$V5349,'①在庫を貼る'!$W$6:$W$10005,$W5349)&gt;0),N(U5348),N(U5348)+1))</f>
        <v/>
      </c>
      <c r="V5349" s="19">
        <f>IF($B5349="","",TEXT($B5349,"0000"))</f>
        <v/>
      </c>
      <c r="W5349" s="19">
        <f>IF($I5349="","",IF(ISNUMBER($I5349),TEXT($I5349,"0"),$I5349))</f>
        <v/>
      </c>
    </row>
    <row r="5350">
      <c r="B5350" s="25" t="n"/>
      <c r="I5350" s="25" t="n"/>
      <c r="U5350" s="19">
        <f>IF($V5350&lt;&gt;'設定'!$C$4,N(U5349),IF(OR(NOT(COUNTIF('商品マスタ'!$B$6:$B$1005,$W5350)=0),COUNTIFS('①在庫を貼る'!$V$6:$V$10005,$V5350,'①在庫を貼る'!$W$6:$W$10005,$W5350)&gt;0),N(U5349),N(U5349)+1))</f>
        <v/>
      </c>
      <c r="V5350" s="19">
        <f>IF($B5350="","",TEXT($B5350,"0000"))</f>
        <v/>
      </c>
      <c r="W5350" s="19">
        <f>IF($I5350="","",IF(ISNUMBER($I5350),TEXT($I5350,"0"),$I5350))</f>
        <v/>
      </c>
    </row>
    <row r="5351">
      <c r="B5351" s="25" t="n"/>
      <c r="I5351" s="25" t="n"/>
      <c r="U5351" s="19">
        <f>IF($V5351&lt;&gt;'設定'!$C$4,N(U5350),IF(OR(NOT(COUNTIF('商品マスタ'!$B$6:$B$1005,$W5351)=0),COUNTIFS('①在庫を貼る'!$V$6:$V$10005,$V5351,'①在庫を貼る'!$W$6:$W$10005,$W5351)&gt;0),N(U5350),N(U5350)+1))</f>
        <v/>
      </c>
      <c r="V5351" s="19">
        <f>IF($B5351="","",TEXT($B5351,"0000"))</f>
        <v/>
      </c>
      <c r="W5351" s="19">
        <f>IF($I5351="","",IF(ISNUMBER($I5351),TEXT($I5351,"0"),$I5351))</f>
        <v/>
      </c>
    </row>
    <row r="5352">
      <c r="B5352" s="25" t="n"/>
      <c r="I5352" s="25" t="n"/>
      <c r="U5352" s="19">
        <f>IF($V5352&lt;&gt;'設定'!$C$4,N(U5351),IF(OR(NOT(COUNTIF('商品マスタ'!$B$6:$B$1005,$W5352)=0),COUNTIFS('①在庫を貼る'!$V$6:$V$10005,$V5352,'①在庫を貼る'!$W$6:$W$10005,$W5352)&gt;0),N(U5351),N(U5351)+1))</f>
        <v/>
      </c>
      <c r="V5352" s="19">
        <f>IF($B5352="","",TEXT($B5352,"0000"))</f>
        <v/>
      </c>
      <c r="W5352" s="19">
        <f>IF($I5352="","",IF(ISNUMBER($I5352),TEXT($I5352,"0"),$I5352))</f>
        <v/>
      </c>
    </row>
    <row r="5353">
      <c r="B5353" s="25" t="n"/>
      <c r="I5353" s="25" t="n"/>
      <c r="U5353" s="19">
        <f>IF($V5353&lt;&gt;'設定'!$C$4,N(U5352),IF(OR(NOT(COUNTIF('商品マスタ'!$B$6:$B$1005,$W5353)=0),COUNTIFS('①在庫を貼る'!$V$6:$V$10005,$V5353,'①在庫を貼る'!$W$6:$W$10005,$W5353)&gt;0),N(U5352),N(U5352)+1))</f>
        <v/>
      </c>
      <c r="V5353" s="19">
        <f>IF($B5353="","",TEXT($B5353,"0000"))</f>
        <v/>
      </c>
      <c r="W5353" s="19">
        <f>IF($I5353="","",IF(ISNUMBER($I5353),TEXT($I5353,"0"),$I5353))</f>
        <v/>
      </c>
    </row>
    <row r="5354">
      <c r="B5354" s="25" t="n"/>
      <c r="I5354" s="25" t="n"/>
      <c r="U5354" s="19">
        <f>IF($V5354&lt;&gt;'設定'!$C$4,N(U5353),IF(OR(NOT(COUNTIF('商品マスタ'!$B$6:$B$1005,$W5354)=0),COUNTIFS('①在庫を貼る'!$V$6:$V$10005,$V5354,'①在庫を貼る'!$W$6:$W$10005,$W5354)&gt;0),N(U5353),N(U5353)+1))</f>
        <v/>
      </c>
      <c r="V5354" s="19">
        <f>IF($B5354="","",TEXT($B5354,"0000"))</f>
        <v/>
      </c>
      <c r="W5354" s="19">
        <f>IF($I5354="","",IF(ISNUMBER($I5354),TEXT($I5354,"0"),$I5354))</f>
        <v/>
      </c>
    </row>
    <row r="5355">
      <c r="B5355" s="25" t="n"/>
      <c r="I5355" s="25" t="n"/>
      <c r="U5355" s="19">
        <f>IF($V5355&lt;&gt;'設定'!$C$4,N(U5354),IF(OR(NOT(COUNTIF('商品マスタ'!$B$6:$B$1005,$W5355)=0),COUNTIFS('①在庫を貼る'!$V$6:$V$10005,$V5355,'①在庫を貼る'!$W$6:$W$10005,$W5355)&gt;0),N(U5354),N(U5354)+1))</f>
        <v/>
      </c>
      <c r="V5355" s="19">
        <f>IF($B5355="","",TEXT($B5355,"0000"))</f>
        <v/>
      </c>
      <c r="W5355" s="19">
        <f>IF($I5355="","",IF(ISNUMBER($I5355),TEXT($I5355,"0"),$I5355))</f>
        <v/>
      </c>
    </row>
    <row r="5356">
      <c r="B5356" s="25" t="n"/>
      <c r="I5356" s="25" t="n"/>
      <c r="U5356" s="19">
        <f>IF($V5356&lt;&gt;'設定'!$C$4,N(U5355),IF(OR(NOT(COUNTIF('商品マスタ'!$B$6:$B$1005,$W5356)=0),COUNTIFS('①在庫を貼る'!$V$6:$V$10005,$V5356,'①在庫を貼る'!$W$6:$W$10005,$W5356)&gt;0),N(U5355),N(U5355)+1))</f>
        <v/>
      </c>
      <c r="V5356" s="19">
        <f>IF($B5356="","",TEXT($B5356,"0000"))</f>
        <v/>
      </c>
      <c r="W5356" s="19">
        <f>IF($I5356="","",IF(ISNUMBER($I5356),TEXT($I5356,"0"),$I5356))</f>
        <v/>
      </c>
    </row>
    <row r="5357">
      <c r="B5357" s="25" t="n"/>
      <c r="I5357" s="25" t="n"/>
      <c r="U5357" s="19">
        <f>IF($V5357&lt;&gt;'設定'!$C$4,N(U5356),IF(OR(NOT(COUNTIF('商品マスタ'!$B$6:$B$1005,$W5357)=0),COUNTIFS('①在庫を貼る'!$V$6:$V$10005,$V5357,'①在庫を貼る'!$W$6:$W$10005,$W5357)&gt;0),N(U5356),N(U5356)+1))</f>
        <v/>
      </c>
      <c r="V5357" s="19">
        <f>IF($B5357="","",TEXT($B5357,"0000"))</f>
        <v/>
      </c>
      <c r="W5357" s="19">
        <f>IF($I5357="","",IF(ISNUMBER($I5357),TEXT($I5357,"0"),$I5357))</f>
        <v/>
      </c>
    </row>
    <row r="5358">
      <c r="B5358" s="25" t="n"/>
      <c r="I5358" s="25" t="n"/>
      <c r="U5358" s="19">
        <f>IF($V5358&lt;&gt;'設定'!$C$4,N(U5357),IF(OR(NOT(COUNTIF('商品マスタ'!$B$6:$B$1005,$W5358)=0),COUNTIFS('①在庫を貼る'!$V$6:$V$10005,$V5358,'①在庫を貼る'!$W$6:$W$10005,$W5358)&gt;0),N(U5357),N(U5357)+1))</f>
        <v/>
      </c>
      <c r="V5358" s="19">
        <f>IF($B5358="","",TEXT($B5358,"0000"))</f>
        <v/>
      </c>
      <c r="W5358" s="19">
        <f>IF($I5358="","",IF(ISNUMBER($I5358),TEXT($I5358,"0"),$I5358))</f>
        <v/>
      </c>
    </row>
    <row r="5359">
      <c r="B5359" s="25" t="n"/>
      <c r="I5359" s="25" t="n"/>
      <c r="U5359" s="19">
        <f>IF($V5359&lt;&gt;'設定'!$C$4,N(U5358),IF(OR(NOT(COUNTIF('商品マスタ'!$B$6:$B$1005,$W5359)=0),COUNTIFS('①在庫を貼る'!$V$6:$V$10005,$V5359,'①在庫を貼る'!$W$6:$W$10005,$W5359)&gt;0),N(U5358),N(U5358)+1))</f>
        <v/>
      </c>
      <c r="V5359" s="19">
        <f>IF($B5359="","",TEXT($B5359,"0000"))</f>
        <v/>
      </c>
      <c r="W5359" s="19">
        <f>IF($I5359="","",IF(ISNUMBER($I5359),TEXT($I5359,"0"),$I5359))</f>
        <v/>
      </c>
    </row>
    <row r="5360">
      <c r="B5360" s="25" t="n"/>
      <c r="I5360" s="25" t="n"/>
      <c r="U5360" s="19">
        <f>IF($V5360&lt;&gt;'設定'!$C$4,N(U5359),IF(OR(NOT(COUNTIF('商品マスタ'!$B$6:$B$1005,$W5360)=0),COUNTIFS('①在庫を貼る'!$V$6:$V$10005,$V5360,'①在庫を貼る'!$W$6:$W$10005,$W5360)&gt;0),N(U5359),N(U5359)+1))</f>
        <v/>
      </c>
      <c r="V5360" s="19">
        <f>IF($B5360="","",TEXT($B5360,"0000"))</f>
        <v/>
      </c>
      <c r="W5360" s="19">
        <f>IF($I5360="","",IF(ISNUMBER($I5360),TEXT($I5360,"0"),$I5360))</f>
        <v/>
      </c>
    </row>
    <row r="5361">
      <c r="B5361" s="25" t="n"/>
      <c r="I5361" s="25" t="n"/>
      <c r="U5361" s="19">
        <f>IF($V5361&lt;&gt;'設定'!$C$4,N(U5360),IF(OR(NOT(COUNTIF('商品マスタ'!$B$6:$B$1005,$W5361)=0),COUNTIFS('①在庫を貼る'!$V$6:$V$10005,$V5361,'①在庫を貼る'!$W$6:$W$10005,$W5361)&gt;0),N(U5360),N(U5360)+1))</f>
        <v/>
      </c>
      <c r="V5361" s="19">
        <f>IF($B5361="","",TEXT($B5361,"0000"))</f>
        <v/>
      </c>
      <c r="W5361" s="19">
        <f>IF($I5361="","",IF(ISNUMBER($I5361),TEXT($I5361,"0"),$I5361))</f>
        <v/>
      </c>
    </row>
    <row r="5362">
      <c r="B5362" s="25" t="n"/>
      <c r="I5362" s="25" t="n"/>
      <c r="U5362" s="19">
        <f>IF($V5362&lt;&gt;'設定'!$C$4,N(U5361),IF(OR(NOT(COUNTIF('商品マスタ'!$B$6:$B$1005,$W5362)=0),COUNTIFS('①在庫を貼る'!$V$6:$V$10005,$V5362,'①在庫を貼る'!$W$6:$W$10005,$W5362)&gt;0),N(U5361),N(U5361)+1))</f>
        <v/>
      </c>
      <c r="V5362" s="19">
        <f>IF($B5362="","",TEXT($B5362,"0000"))</f>
        <v/>
      </c>
      <c r="W5362" s="19">
        <f>IF($I5362="","",IF(ISNUMBER($I5362),TEXT($I5362,"0"),$I5362))</f>
        <v/>
      </c>
    </row>
    <row r="5363">
      <c r="B5363" s="25" t="n"/>
      <c r="I5363" s="25" t="n"/>
      <c r="U5363" s="19">
        <f>IF($V5363&lt;&gt;'設定'!$C$4,N(U5362),IF(OR(NOT(COUNTIF('商品マスタ'!$B$6:$B$1005,$W5363)=0),COUNTIFS('①在庫を貼る'!$V$6:$V$10005,$V5363,'①在庫を貼る'!$W$6:$W$10005,$W5363)&gt;0),N(U5362),N(U5362)+1))</f>
        <v/>
      </c>
      <c r="V5363" s="19">
        <f>IF($B5363="","",TEXT($B5363,"0000"))</f>
        <v/>
      </c>
      <c r="W5363" s="19">
        <f>IF($I5363="","",IF(ISNUMBER($I5363),TEXT($I5363,"0"),$I5363))</f>
        <v/>
      </c>
    </row>
    <row r="5364">
      <c r="B5364" s="25" t="n"/>
      <c r="I5364" s="25" t="n"/>
      <c r="U5364" s="19">
        <f>IF($V5364&lt;&gt;'設定'!$C$4,N(U5363),IF(OR(NOT(COUNTIF('商品マスタ'!$B$6:$B$1005,$W5364)=0),COUNTIFS('①在庫を貼る'!$V$6:$V$10005,$V5364,'①在庫を貼る'!$W$6:$W$10005,$W5364)&gt;0),N(U5363),N(U5363)+1))</f>
        <v/>
      </c>
      <c r="V5364" s="19">
        <f>IF($B5364="","",TEXT($B5364,"0000"))</f>
        <v/>
      </c>
      <c r="W5364" s="19">
        <f>IF($I5364="","",IF(ISNUMBER($I5364),TEXT($I5364,"0"),$I5364))</f>
        <v/>
      </c>
    </row>
    <row r="5365">
      <c r="B5365" s="25" t="n"/>
      <c r="I5365" s="25" t="n"/>
      <c r="U5365" s="19">
        <f>IF($V5365&lt;&gt;'設定'!$C$4,N(U5364),IF(OR(NOT(COUNTIF('商品マスタ'!$B$6:$B$1005,$W5365)=0),COUNTIFS('①在庫を貼る'!$V$6:$V$10005,$V5365,'①在庫を貼る'!$W$6:$W$10005,$W5365)&gt;0),N(U5364),N(U5364)+1))</f>
        <v/>
      </c>
      <c r="V5365" s="19">
        <f>IF($B5365="","",TEXT($B5365,"0000"))</f>
        <v/>
      </c>
      <c r="W5365" s="19">
        <f>IF($I5365="","",IF(ISNUMBER($I5365),TEXT($I5365,"0"),$I5365))</f>
        <v/>
      </c>
    </row>
    <row r="5366">
      <c r="B5366" s="25" t="n"/>
      <c r="I5366" s="25" t="n"/>
      <c r="U5366" s="19">
        <f>IF($V5366&lt;&gt;'設定'!$C$4,N(U5365),IF(OR(NOT(COUNTIF('商品マスタ'!$B$6:$B$1005,$W5366)=0),COUNTIFS('①在庫を貼る'!$V$6:$V$10005,$V5366,'①在庫を貼る'!$W$6:$W$10005,$W5366)&gt;0),N(U5365),N(U5365)+1))</f>
        <v/>
      </c>
      <c r="V5366" s="19">
        <f>IF($B5366="","",TEXT($B5366,"0000"))</f>
        <v/>
      </c>
      <c r="W5366" s="19">
        <f>IF($I5366="","",IF(ISNUMBER($I5366),TEXT($I5366,"0"),$I5366))</f>
        <v/>
      </c>
    </row>
    <row r="5367">
      <c r="B5367" s="25" t="n"/>
      <c r="I5367" s="25" t="n"/>
      <c r="U5367" s="19">
        <f>IF($V5367&lt;&gt;'設定'!$C$4,N(U5366),IF(OR(NOT(COUNTIF('商品マスタ'!$B$6:$B$1005,$W5367)=0),COUNTIFS('①在庫を貼る'!$V$6:$V$10005,$V5367,'①在庫を貼る'!$W$6:$W$10005,$W5367)&gt;0),N(U5366),N(U5366)+1))</f>
        <v/>
      </c>
      <c r="V5367" s="19">
        <f>IF($B5367="","",TEXT($B5367,"0000"))</f>
        <v/>
      </c>
      <c r="W5367" s="19">
        <f>IF($I5367="","",IF(ISNUMBER($I5367),TEXT($I5367,"0"),$I5367))</f>
        <v/>
      </c>
    </row>
    <row r="5368">
      <c r="B5368" s="25" t="n"/>
      <c r="I5368" s="25" t="n"/>
      <c r="U5368" s="19">
        <f>IF($V5368&lt;&gt;'設定'!$C$4,N(U5367),IF(OR(NOT(COUNTIF('商品マスタ'!$B$6:$B$1005,$W5368)=0),COUNTIFS('①在庫を貼る'!$V$6:$V$10005,$V5368,'①在庫を貼る'!$W$6:$W$10005,$W5368)&gt;0),N(U5367),N(U5367)+1))</f>
        <v/>
      </c>
      <c r="V5368" s="19">
        <f>IF($B5368="","",TEXT($B5368,"0000"))</f>
        <v/>
      </c>
      <c r="W5368" s="19">
        <f>IF($I5368="","",IF(ISNUMBER($I5368),TEXT($I5368,"0"),$I5368))</f>
        <v/>
      </c>
    </row>
    <row r="5369">
      <c r="B5369" s="25" t="n"/>
      <c r="I5369" s="25" t="n"/>
      <c r="U5369" s="19">
        <f>IF($V5369&lt;&gt;'設定'!$C$4,N(U5368),IF(OR(NOT(COUNTIF('商品マスタ'!$B$6:$B$1005,$W5369)=0),COUNTIFS('①在庫を貼る'!$V$6:$V$10005,$V5369,'①在庫を貼る'!$W$6:$W$10005,$W5369)&gt;0),N(U5368),N(U5368)+1))</f>
        <v/>
      </c>
      <c r="V5369" s="19">
        <f>IF($B5369="","",TEXT($B5369,"0000"))</f>
        <v/>
      </c>
      <c r="W5369" s="19">
        <f>IF($I5369="","",IF(ISNUMBER($I5369),TEXT($I5369,"0"),$I5369))</f>
        <v/>
      </c>
    </row>
    <row r="5370">
      <c r="B5370" s="25" t="n"/>
      <c r="I5370" s="25" t="n"/>
      <c r="U5370" s="19">
        <f>IF($V5370&lt;&gt;'設定'!$C$4,N(U5369),IF(OR(NOT(COUNTIF('商品マスタ'!$B$6:$B$1005,$W5370)=0),COUNTIFS('①在庫を貼る'!$V$6:$V$10005,$V5370,'①在庫を貼る'!$W$6:$W$10005,$W5370)&gt;0),N(U5369),N(U5369)+1))</f>
        <v/>
      </c>
      <c r="V5370" s="19">
        <f>IF($B5370="","",TEXT($B5370,"0000"))</f>
        <v/>
      </c>
      <c r="W5370" s="19">
        <f>IF($I5370="","",IF(ISNUMBER($I5370),TEXT($I5370,"0"),$I5370))</f>
        <v/>
      </c>
    </row>
    <row r="5371">
      <c r="B5371" s="25" t="n"/>
      <c r="I5371" s="25" t="n"/>
      <c r="U5371" s="19">
        <f>IF($V5371&lt;&gt;'設定'!$C$4,N(U5370),IF(OR(NOT(COUNTIF('商品マスタ'!$B$6:$B$1005,$W5371)=0),COUNTIFS('①在庫を貼る'!$V$6:$V$10005,$V5371,'①在庫を貼る'!$W$6:$W$10005,$W5371)&gt;0),N(U5370),N(U5370)+1))</f>
        <v/>
      </c>
      <c r="V5371" s="19">
        <f>IF($B5371="","",TEXT($B5371,"0000"))</f>
        <v/>
      </c>
      <c r="W5371" s="19">
        <f>IF($I5371="","",IF(ISNUMBER($I5371),TEXT($I5371,"0"),$I5371))</f>
        <v/>
      </c>
    </row>
    <row r="5372">
      <c r="B5372" s="25" t="n"/>
      <c r="I5372" s="25" t="n"/>
      <c r="U5372" s="19">
        <f>IF($V5372&lt;&gt;'設定'!$C$4,N(U5371),IF(OR(NOT(COUNTIF('商品マスタ'!$B$6:$B$1005,$W5372)=0),COUNTIFS('①在庫を貼る'!$V$6:$V$10005,$V5372,'①在庫を貼る'!$W$6:$W$10005,$W5372)&gt;0),N(U5371),N(U5371)+1))</f>
        <v/>
      </c>
      <c r="V5372" s="19">
        <f>IF($B5372="","",TEXT($B5372,"0000"))</f>
        <v/>
      </c>
      <c r="W5372" s="19">
        <f>IF($I5372="","",IF(ISNUMBER($I5372),TEXT($I5372,"0"),$I5372))</f>
        <v/>
      </c>
    </row>
    <row r="5373">
      <c r="B5373" s="25" t="n"/>
      <c r="I5373" s="25" t="n"/>
      <c r="U5373" s="19">
        <f>IF($V5373&lt;&gt;'設定'!$C$4,N(U5372),IF(OR(NOT(COUNTIF('商品マスタ'!$B$6:$B$1005,$W5373)=0),COUNTIFS('①在庫を貼る'!$V$6:$V$10005,$V5373,'①在庫を貼る'!$W$6:$W$10005,$W5373)&gt;0),N(U5372),N(U5372)+1))</f>
        <v/>
      </c>
      <c r="V5373" s="19">
        <f>IF($B5373="","",TEXT($B5373,"0000"))</f>
        <v/>
      </c>
      <c r="W5373" s="19">
        <f>IF($I5373="","",IF(ISNUMBER($I5373),TEXT($I5373,"0"),$I5373))</f>
        <v/>
      </c>
    </row>
    <row r="5374">
      <c r="B5374" s="25" t="n"/>
      <c r="I5374" s="25" t="n"/>
      <c r="U5374" s="19">
        <f>IF($V5374&lt;&gt;'設定'!$C$4,N(U5373),IF(OR(NOT(COUNTIF('商品マスタ'!$B$6:$B$1005,$W5374)=0),COUNTIFS('①在庫を貼る'!$V$6:$V$10005,$V5374,'①在庫を貼る'!$W$6:$W$10005,$W5374)&gt;0),N(U5373),N(U5373)+1))</f>
        <v/>
      </c>
      <c r="V5374" s="19">
        <f>IF($B5374="","",TEXT($B5374,"0000"))</f>
        <v/>
      </c>
      <c r="W5374" s="19">
        <f>IF($I5374="","",IF(ISNUMBER($I5374),TEXT($I5374,"0"),$I5374))</f>
        <v/>
      </c>
    </row>
    <row r="5375">
      <c r="B5375" s="25" t="n"/>
      <c r="I5375" s="25" t="n"/>
      <c r="U5375" s="19">
        <f>IF($V5375&lt;&gt;'設定'!$C$4,N(U5374),IF(OR(NOT(COUNTIF('商品マスタ'!$B$6:$B$1005,$W5375)=0),COUNTIFS('①在庫を貼る'!$V$6:$V$10005,$V5375,'①在庫を貼る'!$W$6:$W$10005,$W5375)&gt;0),N(U5374),N(U5374)+1))</f>
        <v/>
      </c>
      <c r="V5375" s="19">
        <f>IF($B5375="","",TEXT($B5375,"0000"))</f>
        <v/>
      </c>
      <c r="W5375" s="19">
        <f>IF($I5375="","",IF(ISNUMBER($I5375),TEXT($I5375,"0"),$I5375))</f>
        <v/>
      </c>
    </row>
    <row r="5376">
      <c r="B5376" s="25" t="n"/>
      <c r="I5376" s="25" t="n"/>
      <c r="U5376" s="19">
        <f>IF($V5376&lt;&gt;'設定'!$C$4,N(U5375),IF(OR(NOT(COUNTIF('商品マスタ'!$B$6:$B$1005,$W5376)=0),COUNTIFS('①在庫を貼る'!$V$6:$V$10005,$V5376,'①在庫を貼る'!$W$6:$W$10005,$W5376)&gt;0),N(U5375),N(U5375)+1))</f>
        <v/>
      </c>
      <c r="V5376" s="19">
        <f>IF($B5376="","",TEXT($B5376,"0000"))</f>
        <v/>
      </c>
      <c r="W5376" s="19">
        <f>IF($I5376="","",IF(ISNUMBER($I5376),TEXT($I5376,"0"),$I5376))</f>
        <v/>
      </c>
    </row>
    <row r="5377">
      <c r="B5377" s="25" t="n"/>
      <c r="I5377" s="25" t="n"/>
      <c r="U5377" s="19">
        <f>IF($V5377&lt;&gt;'設定'!$C$4,N(U5376),IF(OR(NOT(COUNTIF('商品マスタ'!$B$6:$B$1005,$W5377)=0),COUNTIFS('①在庫を貼る'!$V$6:$V$10005,$V5377,'①在庫を貼る'!$W$6:$W$10005,$W5377)&gt;0),N(U5376),N(U5376)+1))</f>
        <v/>
      </c>
      <c r="V5377" s="19">
        <f>IF($B5377="","",TEXT($B5377,"0000"))</f>
        <v/>
      </c>
      <c r="W5377" s="19">
        <f>IF($I5377="","",IF(ISNUMBER($I5377),TEXT($I5377,"0"),$I5377))</f>
        <v/>
      </c>
    </row>
    <row r="5378">
      <c r="B5378" s="25" t="n"/>
      <c r="I5378" s="25" t="n"/>
      <c r="U5378" s="19">
        <f>IF($V5378&lt;&gt;'設定'!$C$4,N(U5377),IF(OR(NOT(COUNTIF('商品マスタ'!$B$6:$B$1005,$W5378)=0),COUNTIFS('①在庫を貼る'!$V$6:$V$10005,$V5378,'①在庫を貼る'!$W$6:$W$10005,$W5378)&gt;0),N(U5377),N(U5377)+1))</f>
        <v/>
      </c>
      <c r="V5378" s="19">
        <f>IF($B5378="","",TEXT($B5378,"0000"))</f>
        <v/>
      </c>
      <c r="W5378" s="19">
        <f>IF($I5378="","",IF(ISNUMBER($I5378),TEXT($I5378,"0"),$I5378))</f>
        <v/>
      </c>
    </row>
    <row r="5379">
      <c r="B5379" s="25" t="n"/>
      <c r="I5379" s="25" t="n"/>
      <c r="U5379" s="19">
        <f>IF($V5379&lt;&gt;'設定'!$C$4,N(U5378),IF(OR(NOT(COUNTIF('商品マスタ'!$B$6:$B$1005,$W5379)=0),COUNTIFS('①在庫を貼る'!$V$6:$V$10005,$V5379,'①在庫を貼る'!$W$6:$W$10005,$W5379)&gt;0),N(U5378),N(U5378)+1))</f>
        <v/>
      </c>
      <c r="V5379" s="19">
        <f>IF($B5379="","",TEXT($B5379,"0000"))</f>
        <v/>
      </c>
      <c r="W5379" s="19">
        <f>IF($I5379="","",IF(ISNUMBER($I5379),TEXT($I5379,"0"),$I5379))</f>
        <v/>
      </c>
    </row>
    <row r="5380">
      <c r="B5380" s="25" t="n"/>
      <c r="I5380" s="25" t="n"/>
      <c r="U5380" s="19">
        <f>IF($V5380&lt;&gt;'設定'!$C$4,N(U5379),IF(OR(NOT(COUNTIF('商品マスタ'!$B$6:$B$1005,$W5380)=0),COUNTIFS('①在庫を貼る'!$V$6:$V$10005,$V5380,'①在庫を貼る'!$W$6:$W$10005,$W5380)&gt;0),N(U5379),N(U5379)+1))</f>
        <v/>
      </c>
      <c r="V5380" s="19">
        <f>IF($B5380="","",TEXT($B5380,"0000"))</f>
        <v/>
      </c>
      <c r="W5380" s="19">
        <f>IF($I5380="","",IF(ISNUMBER($I5380),TEXT($I5380,"0"),$I5380))</f>
        <v/>
      </c>
    </row>
    <row r="5381">
      <c r="B5381" s="25" t="n"/>
      <c r="I5381" s="25" t="n"/>
      <c r="U5381" s="19">
        <f>IF($V5381&lt;&gt;'設定'!$C$4,N(U5380),IF(OR(NOT(COUNTIF('商品マスタ'!$B$6:$B$1005,$W5381)=0),COUNTIFS('①在庫を貼る'!$V$6:$V$10005,$V5381,'①在庫を貼る'!$W$6:$W$10005,$W5381)&gt;0),N(U5380),N(U5380)+1))</f>
        <v/>
      </c>
      <c r="V5381" s="19">
        <f>IF($B5381="","",TEXT($B5381,"0000"))</f>
        <v/>
      </c>
      <c r="W5381" s="19">
        <f>IF($I5381="","",IF(ISNUMBER($I5381),TEXT($I5381,"0"),$I5381))</f>
        <v/>
      </c>
    </row>
    <row r="5382">
      <c r="B5382" s="25" t="n"/>
      <c r="I5382" s="25" t="n"/>
      <c r="U5382" s="19">
        <f>IF($V5382&lt;&gt;'設定'!$C$4,N(U5381),IF(OR(NOT(COUNTIF('商品マスタ'!$B$6:$B$1005,$W5382)=0),COUNTIFS('①在庫を貼る'!$V$6:$V$10005,$V5382,'①在庫を貼る'!$W$6:$W$10005,$W5382)&gt;0),N(U5381),N(U5381)+1))</f>
        <v/>
      </c>
      <c r="V5382" s="19">
        <f>IF($B5382="","",TEXT($B5382,"0000"))</f>
        <v/>
      </c>
      <c r="W5382" s="19">
        <f>IF($I5382="","",IF(ISNUMBER($I5382),TEXT($I5382,"0"),$I5382))</f>
        <v/>
      </c>
    </row>
    <row r="5383">
      <c r="B5383" s="25" t="n"/>
      <c r="I5383" s="25" t="n"/>
      <c r="U5383" s="19">
        <f>IF($V5383&lt;&gt;'設定'!$C$4,N(U5382),IF(OR(NOT(COUNTIF('商品マスタ'!$B$6:$B$1005,$W5383)=0),COUNTIFS('①在庫を貼る'!$V$6:$V$10005,$V5383,'①在庫を貼る'!$W$6:$W$10005,$W5383)&gt;0),N(U5382),N(U5382)+1))</f>
        <v/>
      </c>
      <c r="V5383" s="19">
        <f>IF($B5383="","",TEXT($B5383,"0000"))</f>
        <v/>
      </c>
      <c r="W5383" s="19">
        <f>IF($I5383="","",IF(ISNUMBER($I5383),TEXT($I5383,"0"),$I5383))</f>
        <v/>
      </c>
    </row>
    <row r="5384">
      <c r="B5384" s="25" t="n"/>
      <c r="I5384" s="25" t="n"/>
      <c r="U5384" s="19">
        <f>IF($V5384&lt;&gt;'設定'!$C$4,N(U5383),IF(OR(NOT(COUNTIF('商品マスタ'!$B$6:$B$1005,$W5384)=0),COUNTIFS('①在庫を貼る'!$V$6:$V$10005,$V5384,'①在庫を貼る'!$W$6:$W$10005,$W5384)&gt;0),N(U5383),N(U5383)+1))</f>
        <v/>
      </c>
      <c r="V5384" s="19">
        <f>IF($B5384="","",TEXT($B5384,"0000"))</f>
        <v/>
      </c>
      <c r="W5384" s="19">
        <f>IF($I5384="","",IF(ISNUMBER($I5384),TEXT($I5384,"0"),$I5384))</f>
        <v/>
      </c>
    </row>
    <row r="5385">
      <c r="B5385" s="25" t="n"/>
      <c r="I5385" s="25" t="n"/>
      <c r="U5385" s="19">
        <f>IF($V5385&lt;&gt;'設定'!$C$4,N(U5384),IF(OR(NOT(COUNTIF('商品マスタ'!$B$6:$B$1005,$W5385)=0),COUNTIFS('①在庫を貼る'!$V$6:$V$10005,$V5385,'①在庫を貼る'!$W$6:$W$10005,$W5385)&gt;0),N(U5384),N(U5384)+1))</f>
        <v/>
      </c>
      <c r="V5385" s="19">
        <f>IF($B5385="","",TEXT($B5385,"0000"))</f>
        <v/>
      </c>
      <c r="W5385" s="19">
        <f>IF($I5385="","",IF(ISNUMBER($I5385),TEXT($I5385,"0"),$I5385))</f>
        <v/>
      </c>
    </row>
    <row r="5386">
      <c r="B5386" s="25" t="n"/>
      <c r="I5386" s="25" t="n"/>
      <c r="U5386" s="19">
        <f>IF($V5386&lt;&gt;'設定'!$C$4,N(U5385),IF(OR(NOT(COUNTIF('商品マスタ'!$B$6:$B$1005,$W5386)=0),COUNTIFS('①在庫を貼る'!$V$6:$V$10005,$V5386,'①在庫を貼る'!$W$6:$W$10005,$W5386)&gt;0),N(U5385),N(U5385)+1))</f>
        <v/>
      </c>
      <c r="V5386" s="19">
        <f>IF($B5386="","",TEXT($B5386,"0000"))</f>
        <v/>
      </c>
      <c r="W5386" s="19">
        <f>IF($I5386="","",IF(ISNUMBER($I5386),TEXT($I5386,"0"),$I5386))</f>
        <v/>
      </c>
    </row>
    <row r="5387">
      <c r="B5387" s="25" t="n"/>
      <c r="I5387" s="25" t="n"/>
      <c r="U5387" s="19">
        <f>IF($V5387&lt;&gt;'設定'!$C$4,N(U5386),IF(OR(NOT(COUNTIF('商品マスタ'!$B$6:$B$1005,$W5387)=0),COUNTIFS('①在庫を貼る'!$V$6:$V$10005,$V5387,'①在庫を貼る'!$W$6:$W$10005,$W5387)&gt;0),N(U5386),N(U5386)+1))</f>
        <v/>
      </c>
      <c r="V5387" s="19">
        <f>IF($B5387="","",TEXT($B5387,"0000"))</f>
        <v/>
      </c>
      <c r="W5387" s="19">
        <f>IF($I5387="","",IF(ISNUMBER($I5387),TEXT($I5387,"0"),$I5387))</f>
        <v/>
      </c>
    </row>
    <row r="5388">
      <c r="B5388" s="25" t="n"/>
      <c r="I5388" s="25" t="n"/>
      <c r="U5388" s="19">
        <f>IF($V5388&lt;&gt;'設定'!$C$4,N(U5387),IF(OR(NOT(COUNTIF('商品マスタ'!$B$6:$B$1005,$W5388)=0),COUNTIFS('①在庫を貼る'!$V$6:$V$10005,$V5388,'①在庫を貼る'!$W$6:$W$10005,$W5388)&gt;0),N(U5387),N(U5387)+1))</f>
        <v/>
      </c>
      <c r="V5388" s="19">
        <f>IF($B5388="","",TEXT($B5388,"0000"))</f>
        <v/>
      </c>
      <c r="W5388" s="19">
        <f>IF($I5388="","",IF(ISNUMBER($I5388),TEXT($I5388,"0"),$I5388))</f>
        <v/>
      </c>
    </row>
    <row r="5389">
      <c r="B5389" s="25" t="n"/>
      <c r="I5389" s="25" t="n"/>
      <c r="U5389" s="19">
        <f>IF($V5389&lt;&gt;'設定'!$C$4,N(U5388),IF(OR(NOT(COUNTIF('商品マスタ'!$B$6:$B$1005,$W5389)=0),COUNTIFS('①在庫を貼る'!$V$6:$V$10005,$V5389,'①在庫を貼る'!$W$6:$W$10005,$W5389)&gt;0),N(U5388),N(U5388)+1))</f>
        <v/>
      </c>
      <c r="V5389" s="19">
        <f>IF($B5389="","",TEXT($B5389,"0000"))</f>
        <v/>
      </c>
      <c r="W5389" s="19">
        <f>IF($I5389="","",IF(ISNUMBER($I5389),TEXT($I5389,"0"),$I5389))</f>
        <v/>
      </c>
    </row>
    <row r="5390">
      <c r="B5390" s="25" t="n"/>
      <c r="I5390" s="25" t="n"/>
      <c r="U5390" s="19">
        <f>IF($V5390&lt;&gt;'設定'!$C$4,N(U5389),IF(OR(NOT(COUNTIF('商品マスタ'!$B$6:$B$1005,$W5390)=0),COUNTIFS('①在庫を貼る'!$V$6:$V$10005,$V5390,'①在庫を貼る'!$W$6:$W$10005,$W5390)&gt;0),N(U5389),N(U5389)+1))</f>
        <v/>
      </c>
      <c r="V5390" s="19">
        <f>IF($B5390="","",TEXT($B5390,"0000"))</f>
        <v/>
      </c>
      <c r="W5390" s="19">
        <f>IF($I5390="","",IF(ISNUMBER($I5390),TEXT($I5390,"0"),$I5390))</f>
        <v/>
      </c>
    </row>
    <row r="5391">
      <c r="B5391" s="25" t="n"/>
      <c r="I5391" s="25" t="n"/>
      <c r="U5391" s="19">
        <f>IF($V5391&lt;&gt;'設定'!$C$4,N(U5390),IF(OR(NOT(COUNTIF('商品マスタ'!$B$6:$B$1005,$W5391)=0),COUNTIFS('①在庫を貼る'!$V$6:$V$10005,$V5391,'①在庫を貼る'!$W$6:$W$10005,$W5391)&gt;0),N(U5390),N(U5390)+1))</f>
        <v/>
      </c>
      <c r="V5391" s="19">
        <f>IF($B5391="","",TEXT($B5391,"0000"))</f>
        <v/>
      </c>
      <c r="W5391" s="19">
        <f>IF($I5391="","",IF(ISNUMBER($I5391),TEXT($I5391,"0"),$I5391))</f>
        <v/>
      </c>
    </row>
    <row r="5392">
      <c r="B5392" s="25" t="n"/>
      <c r="I5392" s="25" t="n"/>
      <c r="U5392" s="19">
        <f>IF($V5392&lt;&gt;'設定'!$C$4,N(U5391),IF(OR(NOT(COUNTIF('商品マスタ'!$B$6:$B$1005,$W5392)=0),COUNTIFS('①在庫を貼る'!$V$6:$V$10005,$V5392,'①在庫を貼る'!$W$6:$W$10005,$W5392)&gt;0),N(U5391),N(U5391)+1))</f>
        <v/>
      </c>
      <c r="V5392" s="19">
        <f>IF($B5392="","",TEXT($B5392,"0000"))</f>
        <v/>
      </c>
      <c r="W5392" s="19">
        <f>IF($I5392="","",IF(ISNUMBER($I5392),TEXT($I5392,"0"),$I5392))</f>
        <v/>
      </c>
    </row>
    <row r="5393">
      <c r="B5393" s="25" t="n"/>
      <c r="I5393" s="25" t="n"/>
      <c r="U5393" s="19">
        <f>IF($V5393&lt;&gt;'設定'!$C$4,N(U5392),IF(OR(NOT(COUNTIF('商品マスタ'!$B$6:$B$1005,$W5393)=0),COUNTIFS('①在庫を貼る'!$V$6:$V$10005,$V5393,'①在庫を貼る'!$W$6:$W$10005,$W5393)&gt;0),N(U5392),N(U5392)+1))</f>
        <v/>
      </c>
      <c r="V5393" s="19">
        <f>IF($B5393="","",TEXT($B5393,"0000"))</f>
        <v/>
      </c>
      <c r="W5393" s="19">
        <f>IF($I5393="","",IF(ISNUMBER($I5393),TEXT($I5393,"0"),$I5393))</f>
        <v/>
      </c>
    </row>
    <row r="5394">
      <c r="B5394" s="25" t="n"/>
      <c r="I5394" s="25" t="n"/>
      <c r="U5394" s="19">
        <f>IF($V5394&lt;&gt;'設定'!$C$4,N(U5393),IF(OR(NOT(COUNTIF('商品マスタ'!$B$6:$B$1005,$W5394)=0),COUNTIFS('①在庫を貼る'!$V$6:$V$10005,$V5394,'①在庫を貼る'!$W$6:$W$10005,$W5394)&gt;0),N(U5393),N(U5393)+1))</f>
        <v/>
      </c>
      <c r="V5394" s="19">
        <f>IF($B5394="","",TEXT($B5394,"0000"))</f>
        <v/>
      </c>
      <c r="W5394" s="19">
        <f>IF($I5394="","",IF(ISNUMBER($I5394),TEXT($I5394,"0"),$I5394))</f>
        <v/>
      </c>
    </row>
    <row r="5395">
      <c r="B5395" s="25" t="n"/>
      <c r="I5395" s="25" t="n"/>
      <c r="U5395" s="19">
        <f>IF($V5395&lt;&gt;'設定'!$C$4,N(U5394),IF(OR(NOT(COUNTIF('商品マスタ'!$B$6:$B$1005,$W5395)=0),COUNTIFS('①在庫を貼る'!$V$6:$V$10005,$V5395,'①在庫を貼る'!$W$6:$W$10005,$W5395)&gt;0),N(U5394),N(U5394)+1))</f>
        <v/>
      </c>
      <c r="V5395" s="19">
        <f>IF($B5395="","",TEXT($B5395,"0000"))</f>
        <v/>
      </c>
      <c r="W5395" s="19">
        <f>IF($I5395="","",IF(ISNUMBER($I5395),TEXT($I5395,"0"),$I5395))</f>
        <v/>
      </c>
    </row>
    <row r="5396">
      <c r="B5396" s="25" t="n"/>
      <c r="I5396" s="25" t="n"/>
      <c r="U5396" s="19">
        <f>IF($V5396&lt;&gt;'設定'!$C$4,N(U5395),IF(OR(NOT(COUNTIF('商品マスタ'!$B$6:$B$1005,$W5396)=0),COUNTIFS('①在庫を貼る'!$V$6:$V$10005,$V5396,'①在庫を貼る'!$W$6:$W$10005,$W5396)&gt;0),N(U5395),N(U5395)+1))</f>
        <v/>
      </c>
      <c r="V5396" s="19">
        <f>IF($B5396="","",TEXT($B5396,"0000"))</f>
        <v/>
      </c>
      <c r="W5396" s="19">
        <f>IF($I5396="","",IF(ISNUMBER($I5396),TEXT($I5396,"0"),$I5396))</f>
        <v/>
      </c>
    </row>
    <row r="5397">
      <c r="B5397" s="25" t="n"/>
      <c r="I5397" s="25" t="n"/>
      <c r="U5397" s="19">
        <f>IF($V5397&lt;&gt;'設定'!$C$4,N(U5396),IF(OR(NOT(COUNTIF('商品マスタ'!$B$6:$B$1005,$W5397)=0),COUNTIFS('①在庫を貼る'!$V$6:$V$10005,$V5397,'①在庫を貼る'!$W$6:$W$10005,$W5397)&gt;0),N(U5396),N(U5396)+1))</f>
        <v/>
      </c>
      <c r="V5397" s="19">
        <f>IF($B5397="","",TEXT($B5397,"0000"))</f>
        <v/>
      </c>
      <c r="W5397" s="19">
        <f>IF($I5397="","",IF(ISNUMBER($I5397),TEXT($I5397,"0"),$I5397))</f>
        <v/>
      </c>
    </row>
    <row r="5398">
      <c r="B5398" s="25" t="n"/>
      <c r="I5398" s="25" t="n"/>
      <c r="U5398" s="19">
        <f>IF($V5398&lt;&gt;'設定'!$C$4,N(U5397),IF(OR(NOT(COUNTIF('商品マスタ'!$B$6:$B$1005,$W5398)=0),COUNTIFS('①在庫を貼る'!$V$6:$V$10005,$V5398,'①在庫を貼る'!$W$6:$W$10005,$W5398)&gt;0),N(U5397),N(U5397)+1))</f>
        <v/>
      </c>
      <c r="V5398" s="19">
        <f>IF($B5398="","",TEXT($B5398,"0000"))</f>
        <v/>
      </c>
      <c r="W5398" s="19">
        <f>IF($I5398="","",IF(ISNUMBER($I5398),TEXT($I5398,"0"),$I5398))</f>
        <v/>
      </c>
    </row>
    <row r="5399">
      <c r="B5399" s="25" t="n"/>
      <c r="I5399" s="25" t="n"/>
      <c r="U5399" s="19">
        <f>IF($V5399&lt;&gt;'設定'!$C$4,N(U5398),IF(OR(NOT(COUNTIF('商品マスタ'!$B$6:$B$1005,$W5399)=0),COUNTIFS('①在庫を貼る'!$V$6:$V$10005,$V5399,'①在庫を貼る'!$W$6:$W$10005,$W5399)&gt;0),N(U5398),N(U5398)+1))</f>
        <v/>
      </c>
      <c r="V5399" s="19">
        <f>IF($B5399="","",TEXT($B5399,"0000"))</f>
        <v/>
      </c>
      <c r="W5399" s="19">
        <f>IF($I5399="","",IF(ISNUMBER($I5399),TEXT($I5399,"0"),$I5399))</f>
        <v/>
      </c>
    </row>
    <row r="5400">
      <c r="B5400" s="25" t="n"/>
      <c r="I5400" s="25" t="n"/>
      <c r="U5400" s="19">
        <f>IF($V5400&lt;&gt;'設定'!$C$4,N(U5399),IF(OR(NOT(COUNTIF('商品マスタ'!$B$6:$B$1005,$W5400)=0),COUNTIFS('①在庫を貼る'!$V$6:$V$10005,$V5400,'①在庫を貼る'!$W$6:$W$10005,$W5400)&gt;0),N(U5399),N(U5399)+1))</f>
        <v/>
      </c>
      <c r="V5400" s="19">
        <f>IF($B5400="","",TEXT($B5400,"0000"))</f>
        <v/>
      </c>
      <c r="W5400" s="19">
        <f>IF($I5400="","",IF(ISNUMBER($I5400),TEXT($I5400,"0"),$I5400))</f>
        <v/>
      </c>
    </row>
    <row r="5401">
      <c r="B5401" s="25" t="n"/>
      <c r="I5401" s="25" t="n"/>
      <c r="U5401" s="19">
        <f>IF($V5401&lt;&gt;'設定'!$C$4,N(U5400),IF(OR(NOT(COUNTIF('商品マスタ'!$B$6:$B$1005,$W5401)=0),COUNTIFS('①在庫を貼る'!$V$6:$V$10005,$V5401,'①在庫を貼る'!$W$6:$W$10005,$W5401)&gt;0),N(U5400),N(U5400)+1))</f>
        <v/>
      </c>
      <c r="V5401" s="19">
        <f>IF($B5401="","",TEXT($B5401,"0000"))</f>
        <v/>
      </c>
      <c r="W5401" s="19">
        <f>IF($I5401="","",IF(ISNUMBER($I5401),TEXT($I5401,"0"),$I5401))</f>
        <v/>
      </c>
    </row>
    <row r="5402">
      <c r="B5402" s="25" t="n"/>
      <c r="I5402" s="25" t="n"/>
      <c r="U5402" s="19">
        <f>IF($V5402&lt;&gt;'設定'!$C$4,N(U5401),IF(OR(NOT(COUNTIF('商品マスタ'!$B$6:$B$1005,$W5402)=0),COUNTIFS('①在庫を貼る'!$V$6:$V$10005,$V5402,'①在庫を貼る'!$W$6:$W$10005,$W5402)&gt;0),N(U5401),N(U5401)+1))</f>
        <v/>
      </c>
      <c r="V5402" s="19">
        <f>IF($B5402="","",TEXT($B5402,"0000"))</f>
        <v/>
      </c>
      <c r="W5402" s="19">
        <f>IF($I5402="","",IF(ISNUMBER($I5402),TEXT($I5402,"0"),$I5402))</f>
        <v/>
      </c>
    </row>
    <row r="5403">
      <c r="B5403" s="25" t="n"/>
      <c r="I5403" s="25" t="n"/>
      <c r="U5403" s="19">
        <f>IF($V5403&lt;&gt;'設定'!$C$4,N(U5402),IF(OR(NOT(COUNTIF('商品マスタ'!$B$6:$B$1005,$W5403)=0),COUNTIFS('①在庫を貼る'!$V$6:$V$10005,$V5403,'①在庫を貼る'!$W$6:$W$10005,$W5403)&gt;0),N(U5402),N(U5402)+1))</f>
        <v/>
      </c>
      <c r="V5403" s="19">
        <f>IF($B5403="","",TEXT($B5403,"0000"))</f>
        <v/>
      </c>
      <c r="W5403" s="19">
        <f>IF($I5403="","",IF(ISNUMBER($I5403),TEXT($I5403,"0"),$I5403))</f>
        <v/>
      </c>
    </row>
    <row r="5404">
      <c r="B5404" s="25" t="n"/>
      <c r="I5404" s="25" t="n"/>
      <c r="U5404" s="19">
        <f>IF($V5404&lt;&gt;'設定'!$C$4,N(U5403),IF(OR(NOT(COUNTIF('商品マスタ'!$B$6:$B$1005,$W5404)=0),COUNTIFS('①在庫を貼る'!$V$6:$V$10005,$V5404,'①在庫を貼る'!$W$6:$W$10005,$W5404)&gt;0),N(U5403),N(U5403)+1))</f>
        <v/>
      </c>
      <c r="V5404" s="19">
        <f>IF($B5404="","",TEXT($B5404,"0000"))</f>
        <v/>
      </c>
      <c r="W5404" s="19">
        <f>IF($I5404="","",IF(ISNUMBER($I5404),TEXT($I5404,"0"),$I5404))</f>
        <v/>
      </c>
    </row>
    <row r="5405">
      <c r="B5405" s="25" t="n"/>
      <c r="I5405" s="25" t="n"/>
      <c r="U5405" s="19">
        <f>IF($V5405&lt;&gt;'設定'!$C$4,N(U5404),IF(OR(NOT(COUNTIF('商品マスタ'!$B$6:$B$1005,$W5405)=0),COUNTIFS('①在庫を貼る'!$V$6:$V$10005,$V5405,'①在庫を貼る'!$W$6:$W$10005,$W5405)&gt;0),N(U5404),N(U5404)+1))</f>
        <v/>
      </c>
      <c r="V5405" s="19">
        <f>IF($B5405="","",TEXT($B5405,"0000"))</f>
        <v/>
      </c>
      <c r="W5405" s="19">
        <f>IF($I5405="","",IF(ISNUMBER($I5405),TEXT($I5405,"0"),$I5405))</f>
        <v/>
      </c>
    </row>
    <row r="5406">
      <c r="B5406" s="25" t="n"/>
      <c r="I5406" s="25" t="n"/>
      <c r="U5406" s="19">
        <f>IF($V5406&lt;&gt;'設定'!$C$4,N(U5405),IF(OR(NOT(COUNTIF('商品マスタ'!$B$6:$B$1005,$W5406)=0),COUNTIFS('①在庫を貼る'!$V$6:$V$10005,$V5406,'①在庫を貼る'!$W$6:$W$10005,$W5406)&gt;0),N(U5405),N(U5405)+1))</f>
        <v/>
      </c>
      <c r="V5406" s="19">
        <f>IF($B5406="","",TEXT($B5406,"0000"))</f>
        <v/>
      </c>
      <c r="W5406" s="19">
        <f>IF($I5406="","",IF(ISNUMBER($I5406),TEXT($I5406,"0"),$I5406))</f>
        <v/>
      </c>
    </row>
    <row r="5407">
      <c r="B5407" s="25" t="n"/>
      <c r="I5407" s="25" t="n"/>
      <c r="U5407" s="19">
        <f>IF($V5407&lt;&gt;'設定'!$C$4,N(U5406),IF(OR(NOT(COUNTIF('商品マスタ'!$B$6:$B$1005,$W5407)=0),COUNTIFS('①在庫を貼る'!$V$6:$V$10005,$V5407,'①在庫を貼る'!$W$6:$W$10005,$W5407)&gt;0),N(U5406),N(U5406)+1))</f>
        <v/>
      </c>
      <c r="V5407" s="19">
        <f>IF($B5407="","",TEXT($B5407,"0000"))</f>
        <v/>
      </c>
      <c r="W5407" s="19">
        <f>IF($I5407="","",IF(ISNUMBER($I5407),TEXT($I5407,"0"),$I5407))</f>
        <v/>
      </c>
    </row>
    <row r="5408">
      <c r="B5408" s="25" t="n"/>
      <c r="I5408" s="25" t="n"/>
      <c r="U5408" s="19">
        <f>IF($V5408&lt;&gt;'設定'!$C$4,N(U5407),IF(OR(NOT(COUNTIF('商品マスタ'!$B$6:$B$1005,$W5408)=0),COUNTIFS('①在庫を貼る'!$V$6:$V$10005,$V5408,'①在庫を貼る'!$W$6:$W$10005,$W5408)&gt;0),N(U5407),N(U5407)+1))</f>
        <v/>
      </c>
      <c r="V5408" s="19">
        <f>IF($B5408="","",TEXT($B5408,"0000"))</f>
        <v/>
      </c>
      <c r="W5408" s="19">
        <f>IF($I5408="","",IF(ISNUMBER($I5408),TEXT($I5408,"0"),$I5408))</f>
        <v/>
      </c>
    </row>
    <row r="5409">
      <c r="B5409" s="25" t="n"/>
      <c r="I5409" s="25" t="n"/>
      <c r="U5409" s="19">
        <f>IF($V5409&lt;&gt;'設定'!$C$4,N(U5408),IF(OR(NOT(COUNTIF('商品マスタ'!$B$6:$B$1005,$W5409)=0),COUNTIFS('①在庫を貼る'!$V$6:$V$10005,$V5409,'①在庫を貼る'!$W$6:$W$10005,$W5409)&gt;0),N(U5408),N(U5408)+1))</f>
        <v/>
      </c>
      <c r="V5409" s="19">
        <f>IF($B5409="","",TEXT($B5409,"0000"))</f>
        <v/>
      </c>
      <c r="W5409" s="19">
        <f>IF($I5409="","",IF(ISNUMBER($I5409),TEXT($I5409,"0"),$I5409))</f>
        <v/>
      </c>
    </row>
    <row r="5410">
      <c r="B5410" s="25" t="n"/>
      <c r="I5410" s="25" t="n"/>
      <c r="U5410" s="19">
        <f>IF($V5410&lt;&gt;'設定'!$C$4,N(U5409),IF(OR(NOT(COUNTIF('商品マスタ'!$B$6:$B$1005,$W5410)=0),COUNTIFS('①在庫を貼る'!$V$6:$V$10005,$V5410,'①在庫を貼る'!$W$6:$W$10005,$W5410)&gt;0),N(U5409),N(U5409)+1))</f>
        <v/>
      </c>
      <c r="V5410" s="19">
        <f>IF($B5410="","",TEXT($B5410,"0000"))</f>
        <v/>
      </c>
      <c r="W5410" s="19">
        <f>IF($I5410="","",IF(ISNUMBER($I5410),TEXT($I5410,"0"),$I5410))</f>
        <v/>
      </c>
    </row>
    <row r="5411">
      <c r="B5411" s="25" t="n"/>
      <c r="I5411" s="25" t="n"/>
      <c r="U5411" s="19">
        <f>IF($V5411&lt;&gt;'設定'!$C$4,N(U5410),IF(OR(NOT(COUNTIF('商品マスタ'!$B$6:$B$1005,$W5411)=0),COUNTIFS('①在庫を貼る'!$V$6:$V$10005,$V5411,'①在庫を貼る'!$W$6:$W$10005,$W5411)&gt;0),N(U5410),N(U5410)+1))</f>
        <v/>
      </c>
      <c r="V5411" s="19">
        <f>IF($B5411="","",TEXT($B5411,"0000"))</f>
        <v/>
      </c>
      <c r="W5411" s="19">
        <f>IF($I5411="","",IF(ISNUMBER($I5411),TEXT($I5411,"0"),$I5411))</f>
        <v/>
      </c>
    </row>
    <row r="5412">
      <c r="B5412" s="25" t="n"/>
      <c r="I5412" s="25" t="n"/>
      <c r="U5412" s="19">
        <f>IF($V5412&lt;&gt;'設定'!$C$4,N(U5411),IF(OR(NOT(COUNTIF('商品マスタ'!$B$6:$B$1005,$W5412)=0),COUNTIFS('①在庫を貼る'!$V$6:$V$10005,$V5412,'①在庫を貼る'!$W$6:$W$10005,$W5412)&gt;0),N(U5411),N(U5411)+1))</f>
        <v/>
      </c>
      <c r="V5412" s="19">
        <f>IF($B5412="","",TEXT($B5412,"0000"))</f>
        <v/>
      </c>
      <c r="W5412" s="19">
        <f>IF($I5412="","",IF(ISNUMBER($I5412),TEXT($I5412,"0"),$I5412))</f>
        <v/>
      </c>
    </row>
    <row r="5413">
      <c r="B5413" s="25" t="n"/>
      <c r="I5413" s="25" t="n"/>
      <c r="U5413" s="19">
        <f>IF($V5413&lt;&gt;'設定'!$C$4,N(U5412),IF(OR(NOT(COUNTIF('商品マスタ'!$B$6:$B$1005,$W5413)=0),COUNTIFS('①在庫を貼る'!$V$6:$V$10005,$V5413,'①在庫を貼る'!$W$6:$W$10005,$W5413)&gt;0),N(U5412),N(U5412)+1))</f>
        <v/>
      </c>
      <c r="V5413" s="19">
        <f>IF($B5413="","",TEXT($B5413,"0000"))</f>
        <v/>
      </c>
      <c r="W5413" s="19">
        <f>IF($I5413="","",IF(ISNUMBER($I5413),TEXT($I5413,"0"),$I5413))</f>
        <v/>
      </c>
    </row>
    <row r="5414">
      <c r="B5414" s="25" t="n"/>
      <c r="I5414" s="25" t="n"/>
      <c r="U5414" s="19">
        <f>IF($V5414&lt;&gt;'設定'!$C$4,N(U5413),IF(OR(NOT(COUNTIF('商品マスタ'!$B$6:$B$1005,$W5414)=0),COUNTIFS('①在庫を貼る'!$V$6:$V$10005,$V5414,'①在庫を貼る'!$W$6:$W$10005,$W5414)&gt;0),N(U5413),N(U5413)+1))</f>
        <v/>
      </c>
      <c r="V5414" s="19">
        <f>IF($B5414="","",TEXT($B5414,"0000"))</f>
        <v/>
      </c>
      <c r="W5414" s="19">
        <f>IF($I5414="","",IF(ISNUMBER($I5414),TEXT($I5414,"0"),$I5414))</f>
        <v/>
      </c>
    </row>
    <row r="5415">
      <c r="B5415" s="25" t="n"/>
      <c r="I5415" s="25" t="n"/>
      <c r="U5415" s="19">
        <f>IF($V5415&lt;&gt;'設定'!$C$4,N(U5414),IF(OR(NOT(COUNTIF('商品マスタ'!$B$6:$B$1005,$W5415)=0),COUNTIFS('①在庫を貼る'!$V$6:$V$10005,$V5415,'①在庫を貼る'!$W$6:$W$10005,$W5415)&gt;0),N(U5414),N(U5414)+1))</f>
        <v/>
      </c>
      <c r="V5415" s="19">
        <f>IF($B5415="","",TEXT($B5415,"0000"))</f>
        <v/>
      </c>
      <c r="W5415" s="19">
        <f>IF($I5415="","",IF(ISNUMBER($I5415),TEXT($I5415,"0"),$I5415))</f>
        <v/>
      </c>
    </row>
    <row r="5416">
      <c r="B5416" s="25" t="n"/>
      <c r="I5416" s="25" t="n"/>
      <c r="U5416" s="19">
        <f>IF($V5416&lt;&gt;'設定'!$C$4,N(U5415),IF(OR(NOT(COUNTIF('商品マスタ'!$B$6:$B$1005,$W5416)=0),COUNTIFS('①在庫を貼る'!$V$6:$V$10005,$V5416,'①在庫を貼る'!$W$6:$W$10005,$W5416)&gt;0),N(U5415),N(U5415)+1))</f>
        <v/>
      </c>
      <c r="V5416" s="19">
        <f>IF($B5416="","",TEXT($B5416,"0000"))</f>
        <v/>
      </c>
      <c r="W5416" s="19">
        <f>IF($I5416="","",IF(ISNUMBER($I5416),TEXT($I5416,"0"),$I5416))</f>
        <v/>
      </c>
    </row>
    <row r="5417">
      <c r="B5417" s="25" t="n"/>
      <c r="I5417" s="25" t="n"/>
      <c r="U5417" s="19">
        <f>IF($V5417&lt;&gt;'設定'!$C$4,N(U5416),IF(OR(NOT(COUNTIF('商品マスタ'!$B$6:$B$1005,$W5417)=0),COUNTIFS('①在庫を貼る'!$V$6:$V$10005,$V5417,'①在庫を貼る'!$W$6:$W$10005,$W5417)&gt;0),N(U5416),N(U5416)+1))</f>
        <v/>
      </c>
      <c r="V5417" s="19">
        <f>IF($B5417="","",TEXT($B5417,"0000"))</f>
        <v/>
      </c>
      <c r="W5417" s="19">
        <f>IF($I5417="","",IF(ISNUMBER($I5417),TEXT($I5417,"0"),$I5417))</f>
        <v/>
      </c>
    </row>
    <row r="5418">
      <c r="B5418" s="25" t="n"/>
      <c r="I5418" s="25" t="n"/>
      <c r="U5418" s="19">
        <f>IF($V5418&lt;&gt;'設定'!$C$4,N(U5417),IF(OR(NOT(COUNTIF('商品マスタ'!$B$6:$B$1005,$W5418)=0),COUNTIFS('①在庫を貼る'!$V$6:$V$10005,$V5418,'①在庫を貼る'!$W$6:$W$10005,$W5418)&gt;0),N(U5417),N(U5417)+1))</f>
        <v/>
      </c>
      <c r="V5418" s="19">
        <f>IF($B5418="","",TEXT($B5418,"0000"))</f>
        <v/>
      </c>
      <c r="W5418" s="19">
        <f>IF($I5418="","",IF(ISNUMBER($I5418),TEXT($I5418,"0"),$I5418))</f>
        <v/>
      </c>
    </row>
    <row r="5419">
      <c r="B5419" s="25" t="n"/>
      <c r="I5419" s="25" t="n"/>
      <c r="U5419" s="19">
        <f>IF($V5419&lt;&gt;'設定'!$C$4,N(U5418),IF(OR(NOT(COUNTIF('商品マスタ'!$B$6:$B$1005,$W5419)=0),COUNTIFS('①在庫を貼る'!$V$6:$V$10005,$V5419,'①在庫を貼る'!$W$6:$W$10005,$W5419)&gt;0),N(U5418),N(U5418)+1))</f>
        <v/>
      </c>
      <c r="V5419" s="19">
        <f>IF($B5419="","",TEXT($B5419,"0000"))</f>
        <v/>
      </c>
      <c r="W5419" s="19">
        <f>IF($I5419="","",IF(ISNUMBER($I5419),TEXT($I5419,"0"),$I5419))</f>
        <v/>
      </c>
    </row>
    <row r="5420">
      <c r="B5420" s="25" t="n"/>
      <c r="I5420" s="25" t="n"/>
      <c r="U5420" s="19">
        <f>IF($V5420&lt;&gt;'設定'!$C$4,N(U5419),IF(OR(NOT(COUNTIF('商品マスタ'!$B$6:$B$1005,$W5420)=0),COUNTIFS('①在庫を貼る'!$V$6:$V$10005,$V5420,'①在庫を貼る'!$W$6:$W$10005,$W5420)&gt;0),N(U5419),N(U5419)+1))</f>
        <v/>
      </c>
      <c r="V5420" s="19">
        <f>IF($B5420="","",TEXT($B5420,"0000"))</f>
        <v/>
      </c>
      <c r="W5420" s="19">
        <f>IF($I5420="","",IF(ISNUMBER($I5420),TEXT($I5420,"0"),$I5420))</f>
        <v/>
      </c>
    </row>
    <row r="5421">
      <c r="B5421" s="25" t="n"/>
      <c r="I5421" s="25" t="n"/>
      <c r="U5421" s="19">
        <f>IF($V5421&lt;&gt;'設定'!$C$4,N(U5420),IF(OR(NOT(COUNTIF('商品マスタ'!$B$6:$B$1005,$W5421)=0),COUNTIFS('①在庫を貼る'!$V$6:$V$10005,$V5421,'①在庫を貼る'!$W$6:$W$10005,$W5421)&gt;0),N(U5420),N(U5420)+1))</f>
        <v/>
      </c>
      <c r="V5421" s="19">
        <f>IF($B5421="","",TEXT($B5421,"0000"))</f>
        <v/>
      </c>
      <c r="W5421" s="19">
        <f>IF($I5421="","",IF(ISNUMBER($I5421),TEXT($I5421,"0"),$I5421))</f>
        <v/>
      </c>
    </row>
    <row r="5422">
      <c r="B5422" s="25" t="n"/>
      <c r="I5422" s="25" t="n"/>
      <c r="U5422" s="19">
        <f>IF($V5422&lt;&gt;'設定'!$C$4,N(U5421),IF(OR(NOT(COUNTIF('商品マスタ'!$B$6:$B$1005,$W5422)=0),COUNTIFS('①在庫を貼る'!$V$6:$V$10005,$V5422,'①在庫を貼る'!$W$6:$W$10005,$W5422)&gt;0),N(U5421),N(U5421)+1))</f>
        <v/>
      </c>
      <c r="V5422" s="19">
        <f>IF($B5422="","",TEXT($B5422,"0000"))</f>
        <v/>
      </c>
      <c r="W5422" s="19">
        <f>IF($I5422="","",IF(ISNUMBER($I5422),TEXT($I5422,"0"),$I5422))</f>
        <v/>
      </c>
    </row>
    <row r="5423">
      <c r="B5423" s="25" t="n"/>
      <c r="I5423" s="25" t="n"/>
      <c r="U5423" s="19">
        <f>IF($V5423&lt;&gt;'設定'!$C$4,N(U5422),IF(OR(NOT(COUNTIF('商品マスタ'!$B$6:$B$1005,$W5423)=0),COUNTIFS('①在庫を貼る'!$V$6:$V$10005,$V5423,'①在庫を貼る'!$W$6:$W$10005,$W5423)&gt;0),N(U5422),N(U5422)+1))</f>
        <v/>
      </c>
      <c r="V5423" s="19">
        <f>IF($B5423="","",TEXT($B5423,"0000"))</f>
        <v/>
      </c>
      <c r="W5423" s="19">
        <f>IF($I5423="","",IF(ISNUMBER($I5423),TEXT($I5423,"0"),$I5423))</f>
        <v/>
      </c>
    </row>
    <row r="5424">
      <c r="B5424" s="25" t="n"/>
      <c r="I5424" s="25" t="n"/>
      <c r="U5424" s="19">
        <f>IF($V5424&lt;&gt;'設定'!$C$4,N(U5423),IF(OR(NOT(COUNTIF('商品マスタ'!$B$6:$B$1005,$W5424)=0),COUNTIFS('①在庫を貼る'!$V$6:$V$10005,$V5424,'①在庫を貼る'!$W$6:$W$10005,$W5424)&gt;0),N(U5423),N(U5423)+1))</f>
        <v/>
      </c>
      <c r="V5424" s="19">
        <f>IF($B5424="","",TEXT($B5424,"0000"))</f>
        <v/>
      </c>
      <c r="W5424" s="19">
        <f>IF($I5424="","",IF(ISNUMBER($I5424),TEXT($I5424,"0"),$I5424))</f>
        <v/>
      </c>
    </row>
    <row r="5425">
      <c r="B5425" s="25" t="n"/>
      <c r="I5425" s="25" t="n"/>
      <c r="U5425" s="19">
        <f>IF($V5425&lt;&gt;'設定'!$C$4,N(U5424),IF(OR(NOT(COUNTIF('商品マスタ'!$B$6:$B$1005,$W5425)=0),COUNTIFS('①在庫を貼る'!$V$6:$V$10005,$V5425,'①在庫を貼る'!$W$6:$W$10005,$W5425)&gt;0),N(U5424),N(U5424)+1))</f>
        <v/>
      </c>
      <c r="V5425" s="19">
        <f>IF($B5425="","",TEXT($B5425,"0000"))</f>
        <v/>
      </c>
      <c r="W5425" s="19">
        <f>IF($I5425="","",IF(ISNUMBER($I5425),TEXT($I5425,"0"),$I5425))</f>
        <v/>
      </c>
    </row>
    <row r="5426">
      <c r="B5426" s="25" t="n"/>
      <c r="I5426" s="25" t="n"/>
      <c r="U5426" s="19">
        <f>IF($V5426&lt;&gt;'設定'!$C$4,N(U5425),IF(OR(NOT(COUNTIF('商品マスタ'!$B$6:$B$1005,$W5426)=0),COUNTIFS('①在庫を貼る'!$V$6:$V$10005,$V5426,'①在庫を貼る'!$W$6:$W$10005,$W5426)&gt;0),N(U5425),N(U5425)+1))</f>
        <v/>
      </c>
      <c r="V5426" s="19">
        <f>IF($B5426="","",TEXT($B5426,"0000"))</f>
        <v/>
      </c>
      <c r="W5426" s="19">
        <f>IF($I5426="","",IF(ISNUMBER($I5426),TEXT($I5426,"0"),$I5426))</f>
        <v/>
      </c>
    </row>
    <row r="5427">
      <c r="B5427" s="25" t="n"/>
      <c r="I5427" s="25" t="n"/>
      <c r="U5427" s="19">
        <f>IF($V5427&lt;&gt;'設定'!$C$4,N(U5426),IF(OR(NOT(COUNTIF('商品マスタ'!$B$6:$B$1005,$W5427)=0),COUNTIFS('①在庫を貼る'!$V$6:$V$10005,$V5427,'①在庫を貼る'!$W$6:$W$10005,$W5427)&gt;0),N(U5426),N(U5426)+1))</f>
        <v/>
      </c>
      <c r="V5427" s="19">
        <f>IF($B5427="","",TEXT($B5427,"0000"))</f>
        <v/>
      </c>
      <c r="W5427" s="19">
        <f>IF($I5427="","",IF(ISNUMBER($I5427),TEXT($I5427,"0"),$I5427))</f>
        <v/>
      </c>
    </row>
    <row r="5428">
      <c r="B5428" s="25" t="n"/>
      <c r="I5428" s="25" t="n"/>
      <c r="U5428" s="19">
        <f>IF($V5428&lt;&gt;'設定'!$C$4,N(U5427),IF(OR(NOT(COUNTIF('商品マスタ'!$B$6:$B$1005,$W5428)=0),COUNTIFS('①在庫を貼る'!$V$6:$V$10005,$V5428,'①在庫を貼る'!$W$6:$W$10005,$W5428)&gt;0),N(U5427),N(U5427)+1))</f>
        <v/>
      </c>
      <c r="V5428" s="19">
        <f>IF($B5428="","",TEXT($B5428,"0000"))</f>
        <v/>
      </c>
      <c r="W5428" s="19">
        <f>IF($I5428="","",IF(ISNUMBER($I5428),TEXT($I5428,"0"),$I5428))</f>
        <v/>
      </c>
    </row>
    <row r="5429">
      <c r="B5429" s="25" t="n"/>
      <c r="I5429" s="25" t="n"/>
      <c r="U5429" s="19">
        <f>IF($V5429&lt;&gt;'設定'!$C$4,N(U5428),IF(OR(NOT(COUNTIF('商品マスタ'!$B$6:$B$1005,$W5429)=0),COUNTIFS('①在庫を貼る'!$V$6:$V$10005,$V5429,'①在庫を貼る'!$W$6:$W$10005,$W5429)&gt;0),N(U5428),N(U5428)+1))</f>
        <v/>
      </c>
      <c r="V5429" s="19">
        <f>IF($B5429="","",TEXT($B5429,"0000"))</f>
        <v/>
      </c>
      <c r="W5429" s="19">
        <f>IF($I5429="","",IF(ISNUMBER($I5429),TEXT($I5429,"0"),$I5429))</f>
        <v/>
      </c>
    </row>
    <row r="5430">
      <c r="B5430" s="25" t="n"/>
      <c r="I5430" s="25" t="n"/>
      <c r="U5430" s="19">
        <f>IF($V5430&lt;&gt;'設定'!$C$4,N(U5429),IF(OR(NOT(COUNTIF('商品マスタ'!$B$6:$B$1005,$W5430)=0),COUNTIFS('①在庫を貼る'!$V$6:$V$10005,$V5430,'①在庫を貼る'!$W$6:$W$10005,$W5430)&gt;0),N(U5429),N(U5429)+1))</f>
        <v/>
      </c>
      <c r="V5430" s="19">
        <f>IF($B5430="","",TEXT($B5430,"0000"))</f>
        <v/>
      </c>
      <c r="W5430" s="19">
        <f>IF($I5430="","",IF(ISNUMBER($I5430),TEXT($I5430,"0"),$I5430))</f>
        <v/>
      </c>
    </row>
    <row r="5431">
      <c r="B5431" s="25" t="n"/>
      <c r="I5431" s="25" t="n"/>
      <c r="U5431" s="19">
        <f>IF($V5431&lt;&gt;'設定'!$C$4,N(U5430),IF(OR(NOT(COUNTIF('商品マスタ'!$B$6:$B$1005,$W5431)=0),COUNTIFS('①在庫を貼る'!$V$6:$V$10005,$V5431,'①在庫を貼る'!$W$6:$W$10005,$W5431)&gt;0),N(U5430),N(U5430)+1))</f>
        <v/>
      </c>
      <c r="V5431" s="19">
        <f>IF($B5431="","",TEXT($B5431,"0000"))</f>
        <v/>
      </c>
      <c r="W5431" s="19">
        <f>IF($I5431="","",IF(ISNUMBER($I5431),TEXT($I5431,"0"),$I5431))</f>
        <v/>
      </c>
    </row>
    <row r="5432">
      <c r="B5432" s="25" t="n"/>
      <c r="I5432" s="25" t="n"/>
      <c r="U5432" s="19">
        <f>IF($V5432&lt;&gt;'設定'!$C$4,N(U5431),IF(OR(NOT(COUNTIF('商品マスタ'!$B$6:$B$1005,$W5432)=0),COUNTIFS('①在庫を貼る'!$V$6:$V$10005,$V5432,'①在庫を貼る'!$W$6:$W$10005,$W5432)&gt;0),N(U5431),N(U5431)+1))</f>
        <v/>
      </c>
      <c r="V5432" s="19">
        <f>IF($B5432="","",TEXT($B5432,"0000"))</f>
        <v/>
      </c>
      <c r="W5432" s="19">
        <f>IF($I5432="","",IF(ISNUMBER($I5432),TEXT($I5432,"0"),$I5432))</f>
        <v/>
      </c>
    </row>
    <row r="5433">
      <c r="B5433" s="25" t="n"/>
      <c r="I5433" s="25" t="n"/>
      <c r="U5433" s="19">
        <f>IF($V5433&lt;&gt;'設定'!$C$4,N(U5432),IF(OR(NOT(COUNTIF('商品マスタ'!$B$6:$B$1005,$W5433)=0),COUNTIFS('①在庫を貼る'!$V$6:$V$10005,$V5433,'①在庫を貼る'!$W$6:$W$10005,$W5433)&gt;0),N(U5432),N(U5432)+1))</f>
        <v/>
      </c>
      <c r="V5433" s="19">
        <f>IF($B5433="","",TEXT($B5433,"0000"))</f>
        <v/>
      </c>
      <c r="W5433" s="19">
        <f>IF($I5433="","",IF(ISNUMBER($I5433),TEXT($I5433,"0"),$I5433))</f>
        <v/>
      </c>
    </row>
    <row r="5434">
      <c r="B5434" s="25" t="n"/>
      <c r="I5434" s="25" t="n"/>
      <c r="U5434" s="19">
        <f>IF($V5434&lt;&gt;'設定'!$C$4,N(U5433),IF(OR(NOT(COUNTIF('商品マスタ'!$B$6:$B$1005,$W5434)=0),COUNTIFS('①在庫を貼る'!$V$6:$V$10005,$V5434,'①在庫を貼る'!$W$6:$W$10005,$W5434)&gt;0),N(U5433),N(U5433)+1))</f>
        <v/>
      </c>
      <c r="V5434" s="19">
        <f>IF($B5434="","",TEXT($B5434,"0000"))</f>
        <v/>
      </c>
      <c r="W5434" s="19">
        <f>IF($I5434="","",IF(ISNUMBER($I5434),TEXT($I5434,"0"),$I5434))</f>
        <v/>
      </c>
    </row>
    <row r="5435">
      <c r="B5435" s="25" t="n"/>
      <c r="I5435" s="25" t="n"/>
      <c r="U5435" s="19">
        <f>IF($V5435&lt;&gt;'設定'!$C$4,N(U5434),IF(OR(NOT(COUNTIF('商品マスタ'!$B$6:$B$1005,$W5435)=0),COUNTIFS('①在庫を貼る'!$V$6:$V$10005,$V5435,'①在庫を貼る'!$W$6:$W$10005,$W5435)&gt;0),N(U5434),N(U5434)+1))</f>
        <v/>
      </c>
      <c r="V5435" s="19">
        <f>IF($B5435="","",TEXT($B5435,"0000"))</f>
        <v/>
      </c>
      <c r="W5435" s="19">
        <f>IF($I5435="","",IF(ISNUMBER($I5435),TEXT($I5435,"0"),$I5435))</f>
        <v/>
      </c>
    </row>
    <row r="5436">
      <c r="B5436" s="25" t="n"/>
      <c r="I5436" s="25" t="n"/>
      <c r="U5436" s="19">
        <f>IF($V5436&lt;&gt;'設定'!$C$4,N(U5435),IF(OR(NOT(COUNTIF('商品マスタ'!$B$6:$B$1005,$W5436)=0),COUNTIFS('①在庫を貼る'!$V$6:$V$10005,$V5436,'①在庫を貼る'!$W$6:$W$10005,$W5436)&gt;0),N(U5435),N(U5435)+1))</f>
        <v/>
      </c>
      <c r="V5436" s="19">
        <f>IF($B5436="","",TEXT($B5436,"0000"))</f>
        <v/>
      </c>
      <c r="W5436" s="19">
        <f>IF($I5436="","",IF(ISNUMBER($I5436),TEXT($I5436,"0"),$I5436))</f>
        <v/>
      </c>
    </row>
    <row r="5437">
      <c r="B5437" s="25" t="n"/>
      <c r="I5437" s="25" t="n"/>
      <c r="U5437" s="19">
        <f>IF($V5437&lt;&gt;'設定'!$C$4,N(U5436),IF(OR(NOT(COUNTIF('商品マスタ'!$B$6:$B$1005,$W5437)=0),COUNTIFS('①在庫を貼る'!$V$6:$V$10005,$V5437,'①在庫を貼る'!$W$6:$W$10005,$W5437)&gt;0),N(U5436),N(U5436)+1))</f>
        <v/>
      </c>
      <c r="V5437" s="19">
        <f>IF($B5437="","",TEXT($B5437,"0000"))</f>
        <v/>
      </c>
      <c r="W5437" s="19">
        <f>IF($I5437="","",IF(ISNUMBER($I5437),TEXT($I5437,"0"),$I5437))</f>
        <v/>
      </c>
    </row>
    <row r="5438">
      <c r="B5438" s="25" t="n"/>
      <c r="I5438" s="25" t="n"/>
      <c r="U5438" s="19">
        <f>IF($V5438&lt;&gt;'設定'!$C$4,N(U5437),IF(OR(NOT(COUNTIF('商品マスタ'!$B$6:$B$1005,$W5438)=0),COUNTIFS('①在庫を貼る'!$V$6:$V$10005,$V5438,'①在庫を貼る'!$W$6:$W$10005,$W5438)&gt;0),N(U5437),N(U5437)+1))</f>
        <v/>
      </c>
      <c r="V5438" s="19">
        <f>IF($B5438="","",TEXT($B5438,"0000"))</f>
        <v/>
      </c>
      <c r="W5438" s="19">
        <f>IF($I5438="","",IF(ISNUMBER($I5438),TEXT($I5438,"0"),$I5438))</f>
        <v/>
      </c>
    </row>
    <row r="5439">
      <c r="B5439" s="25" t="n"/>
      <c r="I5439" s="25" t="n"/>
      <c r="U5439" s="19">
        <f>IF($V5439&lt;&gt;'設定'!$C$4,N(U5438),IF(OR(NOT(COUNTIF('商品マスタ'!$B$6:$B$1005,$W5439)=0),COUNTIFS('①在庫を貼る'!$V$6:$V$10005,$V5439,'①在庫を貼る'!$W$6:$W$10005,$W5439)&gt;0),N(U5438),N(U5438)+1))</f>
        <v/>
      </c>
      <c r="V5439" s="19">
        <f>IF($B5439="","",TEXT($B5439,"0000"))</f>
        <v/>
      </c>
      <c r="W5439" s="19">
        <f>IF($I5439="","",IF(ISNUMBER($I5439),TEXT($I5439,"0"),$I5439))</f>
        <v/>
      </c>
    </row>
    <row r="5440">
      <c r="B5440" s="25" t="n"/>
      <c r="I5440" s="25" t="n"/>
      <c r="U5440" s="19">
        <f>IF($V5440&lt;&gt;'設定'!$C$4,N(U5439),IF(OR(NOT(COUNTIF('商品マスタ'!$B$6:$B$1005,$W5440)=0),COUNTIFS('①在庫を貼る'!$V$6:$V$10005,$V5440,'①在庫を貼る'!$W$6:$W$10005,$W5440)&gt;0),N(U5439),N(U5439)+1))</f>
        <v/>
      </c>
      <c r="V5440" s="19">
        <f>IF($B5440="","",TEXT($B5440,"0000"))</f>
        <v/>
      </c>
      <c r="W5440" s="19">
        <f>IF($I5440="","",IF(ISNUMBER($I5440),TEXT($I5440,"0"),$I5440))</f>
        <v/>
      </c>
    </row>
    <row r="5441">
      <c r="B5441" s="25" t="n"/>
      <c r="I5441" s="25" t="n"/>
      <c r="U5441" s="19">
        <f>IF($V5441&lt;&gt;'設定'!$C$4,N(U5440),IF(OR(NOT(COUNTIF('商品マスタ'!$B$6:$B$1005,$W5441)=0),COUNTIFS('①在庫を貼る'!$V$6:$V$10005,$V5441,'①在庫を貼る'!$W$6:$W$10005,$W5441)&gt;0),N(U5440),N(U5440)+1))</f>
        <v/>
      </c>
      <c r="V5441" s="19">
        <f>IF($B5441="","",TEXT($B5441,"0000"))</f>
        <v/>
      </c>
      <c r="W5441" s="19">
        <f>IF($I5441="","",IF(ISNUMBER($I5441),TEXT($I5441,"0"),$I5441))</f>
        <v/>
      </c>
    </row>
    <row r="5442">
      <c r="B5442" s="25" t="n"/>
      <c r="I5442" s="25" t="n"/>
      <c r="U5442" s="19">
        <f>IF($V5442&lt;&gt;'設定'!$C$4,N(U5441),IF(OR(NOT(COUNTIF('商品マスタ'!$B$6:$B$1005,$W5442)=0),COUNTIFS('①在庫を貼る'!$V$6:$V$10005,$V5442,'①在庫を貼る'!$W$6:$W$10005,$W5442)&gt;0),N(U5441),N(U5441)+1))</f>
        <v/>
      </c>
      <c r="V5442" s="19">
        <f>IF($B5442="","",TEXT($B5442,"0000"))</f>
        <v/>
      </c>
      <c r="W5442" s="19">
        <f>IF($I5442="","",IF(ISNUMBER($I5442),TEXT($I5442,"0"),$I5442))</f>
        <v/>
      </c>
    </row>
    <row r="5443">
      <c r="B5443" s="25" t="n"/>
      <c r="I5443" s="25" t="n"/>
      <c r="U5443" s="19">
        <f>IF($V5443&lt;&gt;'設定'!$C$4,N(U5442),IF(OR(NOT(COUNTIF('商品マスタ'!$B$6:$B$1005,$W5443)=0),COUNTIFS('①在庫を貼る'!$V$6:$V$10005,$V5443,'①在庫を貼る'!$W$6:$W$10005,$W5443)&gt;0),N(U5442),N(U5442)+1))</f>
        <v/>
      </c>
      <c r="V5443" s="19">
        <f>IF($B5443="","",TEXT($B5443,"0000"))</f>
        <v/>
      </c>
      <c r="W5443" s="19">
        <f>IF($I5443="","",IF(ISNUMBER($I5443),TEXT($I5443,"0"),$I5443))</f>
        <v/>
      </c>
    </row>
    <row r="5444">
      <c r="B5444" s="25" t="n"/>
      <c r="I5444" s="25" t="n"/>
      <c r="U5444" s="19">
        <f>IF($V5444&lt;&gt;'設定'!$C$4,N(U5443),IF(OR(NOT(COUNTIF('商品マスタ'!$B$6:$B$1005,$W5444)=0),COUNTIFS('①在庫を貼る'!$V$6:$V$10005,$V5444,'①在庫を貼る'!$W$6:$W$10005,$W5444)&gt;0),N(U5443),N(U5443)+1))</f>
        <v/>
      </c>
      <c r="V5444" s="19">
        <f>IF($B5444="","",TEXT($B5444,"0000"))</f>
        <v/>
      </c>
      <c r="W5444" s="19">
        <f>IF($I5444="","",IF(ISNUMBER($I5444),TEXT($I5444,"0"),$I5444))</f>
        <v/>
      </c>
    </row>
    <row r="5445">
      <c r="B5445" s="25" t="n"/>
      <c r="I5445" s="25" t="n"/>
      <c r="U5445" s="19">
        <f>IF($V5445&lt;&gt;'設定'!$C$4,N(U5444),IF(OR(NOT(COUNTIF('商品マスタ'!$B$6:$B$1005,$W5445)=0),COUNTIFS('①在庫を貼る'!$V$6:$V$10005,$V5445,'①在庫を貼る'!$W$6:$W$10005,$W5445)&gt;0),N(U5444),N(U5444)+1))</f>
        <v/>
      </c>
      <c r="V5445" s="19">
        <f>IF($B5445="","",TEXT($B5445,"0000"))</f>
        <v/>
      </c>
      <c r="W5445" s="19">
        <f>IF($I5445="","",IF(ISNUMBER($I5445),TEXT($I5445,"0"),$I5445))</f>
        <v/>
      </c>
    </row>
    <row r="5446">
      <c r="B5446" s="25" t="n"/>
      <c r="I5446" s="25" t="n"/>
      <c r="U5446" s="19">
        <f>IF($V5446&lt;&gt;'設定'!$C$4,N(U5445),IF(OR(NOT(COUNTIF('商品マスタ'!$B$6:$B$1005,$W5446)=0),COUNTIFS('①在庫を貼る'!$V$6:$V$10005,$V5446,'①在庫を貼る'!$W$6:$W$10005,$W5446)&gt;0),N(U5445),N(U5445)+1))</f>
        <v/>
      </c>
      <c r="V5446" s="19">
        <f>IF($B5446="","",TEXT($B5446,"0000"))</f>
        <v/>
      </c>
      <c r="W5446" s="19">
        <f>IF($I5446="","",IF(ISNUMBER($I5446),TEXT($I5446,"0"),$I5446))</f>
        <v/>
      </c>
    </row>
    <row r="5447">
      <c r="B5447" s="25" t="n"/>
      <c r="I5447" s="25" t="n"/>
      <c r="U5447" s="19">
        <f>IF($V5447&lt;&gt;'設定'!$C$4,N(U5446),IF(OR(NOT(COUNTIF('商品マスタ'!$B$6:$B$1005,$W5447)=0),COUNTIFS('①在庫を貼る'!$V$6:$V$10005,$V5447,'①在庫を貼る'!$W$6:$W$10005,$W5447)&gt;0),N(U5446),N(U5446)+1))</f>
        <v/>
      </c>
      <c r="V5447" s="19">
        <f>IF($B5447="","",TEXT($B5447,"0000"))</f>
        <v/>
      </c>
      <c r="W5447" s="19">
        <f>IF($I5447="","",IF(ISNUMBER($I5447),TEXT($I5447,"0"),$I5447))</f>
        <v/>
      </c>
    </row>
    <row r="5448">
      <c r="B5448" s="25" t="n"/>
      <c r="I5448" s="25" t="n"/>
      <c r="U5448" s="19">
        <f>IF($V5448&lt;&gt;'設定'!$C$4,N(U5447),IF(OR(NOT(COUNTIF('商品マスタ'!$B$6:$B$1005,$W5448)=0),COUNTIFS('①在庫を貼る'!$V$6:$V$10005,$V5448,'①在庫を貼る'!$W$6:$W$10005,$W5448)&gt;0),N(U5447),N(U5447)+1))</f>
        <v/>
      </c>
      <c r="V5448" s="19">
        <f>IF($B5448="","",TEXT($B5448,"0000"))</f>
        <v/>
      </c>
      <c r="W5448" s="19">
        <f>IF($I5448="","",IF(ISNUMBER($I5448),TEXT($I5448,"0"),$I5448))</f>
        <v/>
      </c>
    </row>
    <row r="5449">
      <c r="B5449" s="25" t="n"/>
      <c r="I5449" s="25" t="n"/>
      <c r="U5449" s="19">
        <f>IF($V5449&lt;&gt;'設定'!$C$4,N(U5448),IF(OR(NOT(COUNTIF('商品マスタ'!$B$6:$B$1005,$W5449)=0),COUNTIFS('①在庫を貼る'!$V$6:$V$10005,$V5449,'①在庫を貼る'!$W$6:$W$10005,$W5449)&gt;0),N(U5448),N(U5448)+1))</f>
        <v/>
      </c>
      <c r="V5449" s="19">
        <f>IF($B5449="","",TEXT($B5449,"0000"))</f>
        <v/>
      </c>
      <c r="W5449" s="19">
        <f>IF($I5449="","",IF(ISNUMBER($I5449),TEXT($I5449,"0"),$I5449))</f>
        <v/>
      </c>
    </row>
    <row r="5450">
      <c r="B5450" s="25" t="n"/>
      <c r="I5450" s="25" t="n"/>
      <c r="U5450" s="19">
        <f>IF($V5450&lt;&gt;'設定'!$C$4,N(U5449),IF(OR(NOT(COUNTIF('商品マスタ'!$B$6:$B$1005,$W5450)=0),COUNTIFS('①在庫を貼る'!$V$6:$V$10005,$V5450,'①在庫を貼る'!$W$6:$W$10005,$W5450)&gt;0),N(U5449),N(U5449)+1))</f>
        <v/>
      </c>
      <c r="V5450" s="19">
        <f>IF($B5450="","",TEXT($B5450,"0000"))</f>
        <v/>
      </c>
      <c r="W5450" s="19">
        <f>IF($I5450="","",IF(ISNUMBER($I5450),TEXT($I5450,"0"),$I5450))</f>
        <v/>
      </c>
    </row>
    <row r="5451">
      <c r="B5451" s="25" t="n"/>
      <c r="I5451" s="25" t="n"/>
      <c r="U5451" s="19">
        <f>IF($V5451&lt;&gt;'設定'!$C$4,N(U5450),IF(OR(NOT(COUNTIF('商品マスタ'!$B$6:$B$1005,$W5451)=0),COUNTIFS('①在庫を貼る'!$V$6:$V$10005,$V5451,'①在庫を貼る'!$W$6:$W$10005,$W5451)&gt;0),N(U5450),N(U5450)+1))</f>
        <v/>
      </c>
      <c r="V5451" s="19">
        <f>IF($B5451="","",TEXT($B5451,"0000"))</f>
        <v/>
      </c>
      <c r="W5451" s="19">
        <f>IF($I5451="","",IF(ISNUMBER($I5451),TEXT($I5451,"0"),$I5451))</f>
        <v/>
      </c>
    </row>
    <row r="5452">
      <c r="B5452" s="25" t="n"/>
      <c r="I5452" s="25" t="n"/>
      <c r="U5452" s="19">
        <f>IF($V5452&lt;&gt;'設定'!$C$4,N(U5451),IF(OR(NOT(COUNTIF('商品マスタ'!$B$6:$B$1005,$W5452)=0),COUNTIFS('①在庫を貼る'!$V$6:$V$10005,$V5452,'①在庫を貼る'!$W$6:$W$10005,$W5452)&gt;0),N(U5451),N(U5451)+1))</f>
        <v/>
      </c>
      <c r="V5452" s="19">
        <f>IF($B5452="","",TEXT($B5452,"0000"))</f>
        <v/>
      </c>
      <c r="W5452" s="19">
        <f>IF($I5452="","",IF(ISNUMBER($I5452),TEXT($I5452,"0"),$I5452))</f>
        <v/>
      </c>
    </row>
    <row r="5453">
      <c r="B5453" s="25" t="n"/>
      <c r="I5453" s="25" t="n"/>
      <c r="U5453" s="19">
        <f>IF($V5453&lt;&gt;'設定'!$C$4,N(U5452),IF(OR(NOT(COUNTIF('商品マスタ'!$B$6:$B$1005,$W5453)=0),COUNTIFS('①在庫を貼る'!$V$6:$V$10005,$V5453,'①在庫を貼る'!$W$6:$W$10005,$W5453)&gt;0),N(U5452),N(U5452)+1))</f>
        <v/>
      </c>
      <c r="V5453" s="19">
        <f>IF($B5453="","",TEXT($B5453,"0000"))</f>
        <v/>
      </c>
      <c r="W5453" s="19">
        <f>IF($I5453="","",IF(ISNUMBER($I5453),TEXT($I5453,"0"),$I5453))</f>
        <v/>
      </c>
    </row>
    <row r="5454">
      <c r="B5454" s="25" t="n"/>
      <c r="I5454" s="25" t="n"/>
      <c r="U5454" s="19">
        <f>IF($V5454&lt;&gt;'設定'!$C$4,N(U5453),IF(OR(NOT(COUNTIF('商品マスタ'!$B$6:$B$1005,$W5454)=0),COUNTIFS('①在庫を貼る'!$V$6:$V$10005,$V5454,'①在庫を貼る'!$W$6:$W$10005,$W5454)&gt;0),N(U5453),N(U5453)+1))</f>
        <v/>
      </c>
      <c r="V5454" s="19">
        <f>IF($B5454="","",TEXT($B5454,"0000"))</f>
        <v/>
      </c>
      <c r="W5454" s="19">
        <f>IF($I5454="","",IF(ISNUMBER($I5454),TEXT($I5454,"0"),$I5454))</f>
        <v/>
      </c>
    </row>
    <row r="5455">
      <c r="B5455" s="25" t="n"/>
      <c r="I5455" s="25" t="n"/>
      <c r="U5455" s="19">
        <f>IF($V5455&lt;&gt;'設定'!$C$4,N(U5454),IF(OR(NOT(COUNTIF('商品マスタ'!$B$6:$B$1005,$W5455)=0),COUNTIFS('①在庫を貼る'!$V$6:$V$10005,$V5455,'①在庫を貼る'!$W$6:$W$10005,$W5455)&gt;0),N(U5454),N(U5454)+1))</f>
        <v/>
      </c>
      <c r="V5455" s="19">
        <f>IF($B5455="","",TEXT($B5455,"0000"))</f>
        <v/>
      </c>
      <c r="W5455" s="19">
        <f>IF($I5455="","",IF(ISNUMBER($I5455),TEXT($I5455,"0"),$I5455))</f>
        <v/>
      </c>
    </row>
    <row r="5456">
      <c r="B5456" s="25" t="n"/>
      <c r="I5456" s="25" t="n"/>
      <c r="U5456" s="19">
        <f>IF($V5456&lt;&gt;'設定'!$C$4,N(U5455),IF(OR(NOT(COUNTIF('商品マスタ'!$B$6:$B$1005,$W5456)=0),COUNTIFS('①在庫を貼る'!$V$6:$V$10005,$V5456,'①在庫を貼る'!$W$6:$W$10005,$W5456)&gt;0),N(U5455),N(U5455)+1))</f>
        <v/>
      </c>
      <c r="V5456" s="19">
        <f>IF($B5456="","",TEXT($B5456,"0000"))</f>
        <v/>
      </c>
      <c r="W5456" s="19">
        <f>IF($I5456="","",IF(ISNUMBER($I5456),TEXT($I5456,"0"),$I5456))</f>
        <v/>
      </c>
    </row>
    <row r="5457">
      <c r="B5457" s="25" t="n"/>
      <c r="I5457" s="25" t="n"/>
      <c r="U5457" s="19">
        <f>IF($V5457&lt;&gt;'設定'!$C$4,N(U5456),IF(OR(NOT(COUNTIF('商品マスタ'!$B$6:$B$1005,$W5457)=0),COUNTIFS('①在庫を貼る'!$V$6:$V$10005,$V5457,'①在庫を貼る'!$W$6:$W$10005,$W5457)&gt;0),N(U5456),N(U5456)+1))</f>
        <v/>
      </c>
      <c r="V5457" s="19">
        <f>IF($B5457="","",TEXT($B5457,"0000"))</f>
        <v/>
      </c>
      <c r="W5457" s="19">
        <f>IF($I5457="","",IF(ISNUMBER($I5457),TEXT($I5457,"0"),$I5457))</f>
        <v/>
      </c>
    </row>
    <row r="5458">
      <c r="B5458" s="25" t="n"/>
      <c r="I5458" s="25" t="n"/>
      <c r="U5458" s="19">
        <f>IF($V5458&lt;&gt;'設定'!$C$4,N(U5457),IF(OR(NOT(COUNTIF('商品マスタ'!$B$6:$B$1005,$W5458)=0),COUNTIFS('①在庫を貼る'!$V$6:$V$10005,$V5458,'①在庫を貼る'!$W$6:$W$10005,$W5458)&gt;0),N(U5457),N(U5457)+1))</f>
        <v/>
      </c>
      <c r="V5458" s="19">
        <f>IF($B5458="","",TEXT($B5458,"0000"))</f>
        <v/>
      </c>
      <c r="W5458" s="19">
        <f>IF($I5458="","",IF(ISNUMBER($I5458),TEXT($I5458,"0"),$I5458))</f>
        <v/>
      </c>
    </row>
    <row r="5459">
      <c r="B5459" s="25" t="n"/>
      <c r="I5459" s="25" t="n"/>
      <c r="U5459" s="19">
        <f>IF($V5459&lt;&gt;'設定'!$C$4,N(U5458),IF(OR(NOT(COUNTIF('商品マスタ'!$B$6:$B$1005,$W5459)=0),COUNTIFS('①在庫を貼る'!$V$6:$V$10005,$V5459,'①在庫を貼る'!$W$6:$W$10005,$W5459)&gt;0),N(U5458),N(U5458)+1))</f>
        <v/>
      </c>
      <c r="V5459" s="19">
        <f>IF($B5459="","",TEXT($B5459,"0000"))</f>
        <v/>
      </c>
      <c r="W5459" s="19">
        <f>IF($I5459="","",IF(ISNUMBER($I5459),TEXT($I5459,"0"),$I5459))</f>
        <v/>
      </c>
    </row>
    <row r="5460">
      <c r="B5460" s="25" t="n"/>
      <c r="I5460" s="25" t="n"/>
      <c r="U5460" s="19">
        <f>IF($V5460&lt;&gt;'設定'!$C$4,N(U5459),IF(OR(NOT(COUNTIF('商品マスタ'!$B$6:$B$1005,$W5460)=0),COUNTIFS('①在庫を貼る'!$V$6:$V$10005,$V5460,'①在庫を貼る'!$W$6:$W$10005,$W5460)&gt;0),N(U5459),N(U5459)+1))</f>
        <v/>
      </c>
      <c r="V5460" s="19">
        <f>IF($B5460="","",TEXT($B5460,"0000"))</f>
        <v/>
      </c>
      <c r="W5460" s="19">
        <f>IF($I5460="","",IF(ISNUMBER($I5460),TEXT($I5460,"0"),$I5460))</f>
        <v/>
      </c>
    </row>
    <row r="5461">
      <c r="B5461" s="25" t="n"/>
      <c r="I5461" s="25" t="n"/>
      <c r="U5461" s="19">
        <f>IF($V5461&lt;&gt;'設定'!$C$4,N(U5460),IF(OR(NOT(COUNTIF('商品マスタ'!$B$6:$B$1005,$W5461)=0),COUNTIFS('①在庫を貼る'!$V$6:$V$10005,$V5461,'①在庫を貼る'!$W$6:$W$10005,$W5461)&gt;0),N(U5460),N(U5460)+1))</f>
        <v/>
      </c>
      <c r="V5461" s="19">
        <f>IF($B5461="","",TEXT($B5461,"0000"))</f>
        <v/>
      </c>
      <c r="W5461" s="19">
        <f>IF($I5461="","",IF(ISNUMBER($I5461),TEXT($I5461,"0"),$I5461))</f>
        <v/>
      </c>
    </row>
    <row r="5462">
      <c r="B5462" s="25" t="n"/>
      <c r="I5462" s="25" t="n"/>
      <c r="U5462" s="19">
        <f>IF($V5462&lt;&gt;'設定'!$C$4,N(U5461),IF(OR(NOT(COUNTIF('商品マスタ'!$B$6:$B$1005,$W5462)=0),COUNTIFS('①在庫を貼る'!$V$6:$V$10005,$V5462,'①在庫を貼る'!$W$6:$W$10005,$W5462)&gt;0),N(U5461),N(U5461)+1))</f>
        <v/>
      </c>
      <c r="V5462" s="19">
        <f>IF($B5462="","",TEXT($B5462,"0000"))</f>
        <v/>
      </c>
      <c r="W5462" s="19">
        <f>IF($I5462="","",IF(ISNUMBER($I5462),TEXT($I5462,"0"),$I5462))</f>
        <v/>
      </c>
    </row>
    <row r="5463">
      <c r="B5463" s="25" t="n"/>
      <c r="I5463" s="25" t="n"/>
      <c r="U5463" s="19">
        <f>IF($V5463&lt;&gt;'設定'!$C$4,N(U5462),IF(OR(NOT(COUNTIF('商品マスタ'!$B$6:$B$1005,$W5463)=0),COUNTIFS('①在庫を貼る'!$V$6:$V$10005,$V5463,'①在庫を貼る'!$W$6:$W$10005,$W5463)&gt;0),N(U5462),N(U5462)+1))</f>
        <v/>
      </c>
      <c r="V5463" s="19">
        <f>IF($B5463="","",TEXT($B5463,"0000"))</f>
        <v/>
      </c>
      <c r="W5463" s="19">
        <f>IF($I5463="","",IF(ISNUMBER($I5463),TEXT($I5463,"0"),$I5463))</f>
        <v/>
      </c>
    </row>
    <row r="5464">
      <c r="B5464" s="25" t="n"/>
      <c r="I5464" s="25" t="n"/>
      <c r="U5464" s="19">
        <f>IF($V5464&lt;&gt;'設定'!$C$4,N(U5463),IF(OR(NOT(COUNTIF('商品マスタ'!$B$6:$B$1005,$W5464)=0),COUNTIFS('①在庫を貼る'!$V$6:$V$10005,$V5464,'①在庫を貼る'!$W$6:$W$10005,$W5464)&gt;0),N(U5463),N(U5463)+1))</f>
        <v/>
      </c>
      <c r="V5464" s="19">
        <f>IF($B5464="","",TEXT($B5464,"0000"))</f>
        <v/>
      </c>
      <c r="W5464" s="19">
        <f>IF($I5464="","",IF(ISNUMBER($I5464),TEXT($I5464,"0"),$I5464))</f>
        <v/>
      </c>
    </row>
    <row r="5465">
      <c r="B5465" s="25" t="n"/>
      <c r="I5465" s="25" t="n"/>
      <c r="U5465" s="19">
        <f>IF($V5465&lt;&gt;'設定'!$C$4,N(U5464),IF(OR(NOT(COUNTIF('商品マスタ'!$B$6:$B$1005,$W5465)=0),COUNTIFS('①在庫を貼る'!$V$6:$V$10005,$V5465,'①在庫を貼る'!$W$6:$W$10005,$W5465)&gt;0),N(U5464),N(U5464)+1))</f>
        <v/>
      </c>
      <c r="V5465" s="19">
        <f>IF($B5465="","",TEXT($B5465,"0000"))</f>
        <v/>
      </c>
      <c r="W5465" s="19">
        <f>IF($I5465="","",IF(ISNUMBER($I5465),TEXT($I5465,"0"),$I5465))</f>
        <v/>
      </c>
    </row>
    <row r="5466">
      <c r="B5466" s="25" t="n"/>
      <c r="I5466" s="25" t="n"/>
      <c r="U5466" s="19">
        <f>IF($V5466&lt;&gt;'設定'!$C$4,N(U5465),IF(OR(NOT(COUNTIF('商品マスタ'!$B$6:$B$1005,$W5466)=0),COUNTIFS('①在庫を貼る'!$V$6:$V$10005,$V5466,'①在庫を貼る'!$W$6:$W$10005,$W5466)&gt;0),N(U5465),N(U5465)+1))</f>
        <v/>
      </c>
      <c r="V5466" s="19">
        <f>IF($B5466="","",TEXT($B5466,"0000"))</f>
        <v/>
      </c>
      <c r="W5466" s="19">
        <f>IF($I5466="","",IF(ISNUMBER($I5466),TEXT($I5466,"0"),$I5466))</f>
        <v/>
      </c>
    </row>
    <row r="5467">
      <c r="B5467" s="25" t="n"/>
      <c r="I5467" s="25" t="n"/>
      <c r="U5467" s="19">
        <f>IF($V5467&lt;&gt;'設定'!$C$4,N(U5466),IF(OR(NOT(COUNTIF('商品マスタ'!$B$6:$B$1005,$W5467)=0),COUNTIFS('①在庫を貼る'!$V$6:$V$10005,$V5467,'①在庫を貼る'!$W$6:$W$10005,$W5467)&gt;0),N(U5466),N(U5466)+1))</f>
        <v/>
      </c>
      <c r="V5467" s="19">
        <f>IF($B5467="","",TEXT($B5467,"0000"))</f>
        <v/>
      </c>
      <c r="W5467" s="19">
        <f>IF($I5467="","",IF(ISNUMBER($I5467),TEXT($I5467,"0"),$I5467))</f>
        <v/>
      </c>
    </row>
    <row r="5468">
      <c r="B5468" s="25" t="n"/>
      <c r="I5468" s="25" t="n"/>
      <c r="U5468" s="19">
        <f>IF($V5468&lt;&gt;'設定'!$C$4,N(U5467),IF(OR(NOT(COUNTIF('商品マスタ'!$B$6:$B$1005,$W5468)=0),COUNTIFS('①在庫を貼る'!$V$6:$V$10005,$V5468,'①在庫を貼る'!$W$6:$W$10005,$W5468)&gt;0),N(U5467),N(U5467)+1))</f>
        <v/>
      </c>
      <c r="V5468" s="19">
        <f>IF($B5468="","",TEXT($B5468,"0000"))</f>
        <v/>
      </c>
      <c r="W5468" s="19">
        <f>IF($I5468="","",IF(ISNUMBER($I5468),TEXT($I5468,"0"),$I5468))</f>
        <v/>
      </c>
    </row>
    <row r="5469">
      <c r="B5469" s="25" t="n"/>
      <c r="I5469" s="25" t="n"/>
      <c r="U5469" s="19">
        <f>IF($V5469&lt;&gt;'設定'!$C$4,N(U5468),IF(OR(NOT(COUNTIF('商品マスタ'!$B$6:$B$1005,$W5469)=0),COUNTIFS('①在庫を貼る'!$V$6:$V$10005,$V5469,'①在庫を貼る'!$W$6:$W$10005,$W5469)&gt;0),N(U5468),N(U5468)+1))</f>
        <v/>
      </c>
      <c r="V5469" s="19">
        <f>IF($B5469="","",TEXT($B5469,"0000"))</f>
        <v/>
      </c>
      <c r="W5469" s="19">
        <f>IF($I5469="","",IF(ISNUMBER($I5469),TEXT($I5469,"0"),$I5469))</f>
        <v/>
      </c>
    </row>
    <row r="5470">
      <c r="B5470" s="25" t="n"/>
      <c r="I5470" s="25" t="n"/>
      <c r="U5470" s="19">
        <f>IF($V5470&lt;&gt;'設定'!$C$4,N(U5469),IF(OR(NOT(COUNTIF('商品マスタ'!$B$6:$B$1005,$W5470)=0),COUNTIFS('①在庫を貼る'!$V$6:$V$10005,$V5470,'①在庫を貼る'!$W$6:$W$10005,$W5470)&gt;0),N(U5469),N(U5469)+1))</f>
        <v/>
      </c>
      <c r="V5470" s="19">
        <f>IF($B5470="","",TEXT($B5470,"0000"))</f>
        <v/>
      </c>
      <c r="W5470" s="19">
        <f>IF($I5470="","",IF(ISNUMBER($I5470),TEXT($I5470,"0"),$I5470))</f>
        <v/>
      </c>
    </row>
    <row r="5471">
      <c r="B5471" s="25" t="n"/>
      <c r="I5471" s="25" t="n"/>
      <c r="U5471" s="19">
        <f>IF($V5471&lt;&gt;'設定'!$C$4,N(U5470),IF(OR(NOT(COUNTIF('商品マスタ'!$B$6:$B$1005,$W5471)=0),COUNTIFS('①在庫を貼る'!$V$6:$V$10005,$V5471,'①在庫を貼る'!$W$6:$W$10005,$W5471)&gt;0),N(U5470),N(U5470)+1))</f>
        <v/>
      </c>
      <c r="V5471" s="19">
        <f>IF($B5471="","",TEXT($B5471,"0000"))</f>
        <v/>
      </c>
      <c r="W5471" s="19">
        <f>IF($I5471="","",IF(ISNUMBER($I5471),TEXT($I5471,"0"),$I5471))</f>
        <v/>
      </c>
    </row>
    <row r="5472">
      <c r="B5472" s="25" t="n"/>
      <c r="I5472" s="25" t="n"/>
      <c r="U5472" s="19">
        <f>IF($V5472&lt;&gt;'設定'!$C$4,N(U5471),IF(OR(NOT(COUNTIF('商品マスタ'!$B$6:$B$1005,$W5472)=0),COUNTIFS('①在庫を貼る'!$V$6:$V$10005,$V5472,'①在庫を貼る'!$W$6:$W$10005,$W5472)&gt;0),N(U5471),N(U5471)+1))</f>
        <v/>
      </c>
      <c r="V5472" s="19">
        <f>IF($B5472="","",TEXT($B5472,"0000"))</f>
        <v/>
      </c>
      <c r="W5472" s="19">
        <f>IF($I5472="","",IF(ISNUMBER($I5472),TEXT($I5472,"0"),$I5472))</f>
        <v/>
      </c>
    </row>
    <row r="5473">
      <c r="B5473" s="25" t="n"/>
      <c r="I5473" s="25" t="n"/>
      <c r="U5473" s="19">
        <f>IF($V5473&lt;&gt;'設定'!$C$4,N(U5472),IF(OR(NOT(COUNTIF('商品マスタ'!$B$6:$B$1005,$W5473)=0),COUNTIFS('①在庫を貼る'!$V$6:$V$10005,$V5473,'①在庫を貼る'!$W$6:$W$10005,$W5473)&gt;0),N(U5472),N(U5472)+1))</f>
        <v/>
      </c>
      <c r="V5473" s="19">
        <f>IF($B5473="","",TEXT($B5473,"0000"))</f>
        <v/>
      </c>
      <c r="W5473" s="19">
        <f>IF($I5473="","",IF(ISNUMBER($I5473),TEXT($I5473,"0"),$I5473))</f>
        <v/>
      </c>
    </row>
    <row r="5474">
      <c r="B5474" s="25" t="n"/>
      <c r="I5474" s="25" t="n"/>
      <c r="U5474" s="19">
        <f>IF($V5474&lt;&gt;'設定'!$C$4,N(U5473),IF(OR(NOT(COUNTIF('商品マスタ'!$B$6:$B$1005,$W5474)=0),COUNTIFS('①在庫を貼る'!$V$6:$V$10005,$V5474,'①在庫を貼る'!$W$6:$W$10005,$W5474)&gt;0),N(U5473),N(U5473)+1))</f>
        <v/>
      </c>
      <c r="V5474" s="19">
        <f>IF($B5474="","",TEXT($B5474,"0000"))</f>
        <v/>
      </c>
      <c r="W5474" s="19">
        <f>IF($I5474="","",IF(ISNUMBER($I5474),TEXT($I5474,"0"),$I5474))</f>
        <v/>
      </c>
    </row>
    <row r="5475">
      <c r="B5475" s="25" t="n"/>
      <c r="I5475" s="25" t="n"/>
      <c r="U5475" s="19">
        <f>IF($V5475&lt;&gt;'設定'!$C$4,N(U5474),IF(OR(NOT(COUNTIF('商品マスタ'!$B$6:$B$1005,$W5475)=0),COUNTIFS('①在庫を貼る'!$V$6:$V$10005,$V5475,'①在庫を貼る'!$W$6:$W$10005,$W5475)&gt;0),N(U5474),N(U5474)+1))</f>
        <v/>
      </c>
      <c r="V5475" s="19">
        <f>IF($B5475="","",TEXT($B5475,"0000"))</f>
        <v/>
      </c>
      <c r="W5475" s="19">
        <f>IF($I5475="","",IF(ISNUMBER($I5475),TEXT($I5475,"0"),$I5475))</f>
        <v/>
      </c>
    </row>
    <row r="5476">
      <c r="B5476" s="25" t="n"/>
      <c r="I5476" s="25" t="n"/>
      <c r="U5476" s="19">
        <f>IF($V5476&lt;&gt;'設定'!$C$4,N(U5475),IF(OR(NOT(COUNTIF('商品マスタ'!$B$6:$B$1005,$W5476)=0),COUNTIFS('①在庫を貼る'!$V$6:$V$10005,$V5476,'①在庫を貼る'!$W$6:$W$10005,$W5476)&gt;0),N(U5475),N(U5475)+1))</f>
        <v/>
      </c>
      <c r="V5476" s="19">
        <f>IF($B5476="","",TEXT($B5476,"0000"))</f>
        <v/>
      </c>
      <c r="W5476" s="19">
        <f>IF($I5476="","",IF(ISNUMBER($I5476),TEXT($I5476,"0"),$I5476))</f>
        <v/>
      </c>
    </row>
    <row r="5477">
      <c r="B5477" s="25" t="n"/>
      <c r="I5477" s="25" t="n"/>
      <c r="U5477" s="19">
        <f>IF($V5477&lt;&gt;'設定'!$C$4,N(U5476),IF(OR(NOT(COUNTIF('商品マスタ'!$B$6:$B$1005,$W5477)=0),COUNTIFS('①在庫を貼る'!$V$6:$V$10005,$V5477,'①在庫を貼る'!$W$6:$W$10005,$W5477)&gt;0),N(U5476),N(U5476)+1))</f>
        <v/>
      </c>
      <c r="V5477" s="19">
        <f>IF($B5477="","",TEXT($B5477,"0000"))</f>
        <v/>
      </c>
      <c r="W5477" s="19">
        <f>IF($I5477="","",IF(ISNUMBER($I5477),TEXT($I5477,"0"),$I5477))</f>
        <v/>
      </c>
    </row>
    <row r="5478">
      <c r="B5478" s="25" t="n"/>
      <c r="I5478" s="25" t="n"/>
      <c r="U5478" s="19">
        <f>IF($V5478&lt;&gt;'設定'!$C$4,N(U5477),IF(OR(NOT(COUNTIF('商品マスタ'!$B$6:$B$1005,$W5478)=0),COUNTIFS('①在庫を貼る'!$V$6:$V$10005,$V5478,'①在庫を貼る'!$W$6:$W$10005,$W5478)&gt;0),N(U5477),N(U5477)+1))</f>
        <v/>
      </c>
      <c r="V5478" s="19">
        <f>IF($B5478="","",TEXT($B5478,"0000"))</f>
        <v/>
      </c>
      <c r="W5478" s="19">
        <f>IF($I5478="","",IF(ISNUMBER($I5478),TEXT($I5478,"0"),$I5478))</f>
        <v/>
      </c>
    </row>
    <row r="5479">
      <c r="B5479" s="25" t="n"/>
      <c r="I5479" s="25" t="n"/>
      <c r="U5479" s="19">
        <f>IF($V5479&lt;&gt;'設定'!$C$4,N(U5478),IF(OR(NOT(COUNTIF('商品マスタ'!$B$6:$B$1005,$W5479)=0),COUNTIFS('①在庫を貼る'!$V$6:$V$10005,$V5479,'①在庫を貼る'!$W$6:$W$10005,$W5479)&gt;0),N(U5478),N(U5478)+1))</f>
        <v/>
      </c>
      <c r="V5479" s="19">
        <f>IF($B5479="","",TEXT($B5479,"0000"))</f>
        <v/>
      </c>
      <c r="W5479" s="19">
        <f>IF($I5479="","",IF(ISNUMBER($I5479),TEXT($I5479,"0"),$I5479))</f>
        <v/>
      </c>
    </row>
    <row r="5480">
      <c r="B5480" s="25" t="n"/>
      <c r="I5480" s="25" t="n"/>
      <c r="U5480" s="19">
        <f>IF($V5480&lt;&gt;'設定'!$C$4,N(U5479),IF(OR(NOT(COUNTIF('商品マスタ'!$B$6:$B$1005,$W5480)=0),COUNTIFS('①在庫を貼る'!$V$6:$V$10005,$V5480,'①在庫を貼る'!$W$6:$W$10005,$W5480)&gt;0),N(U5479),N(U5479)+1))</f>
        <v/>
      </c>
      <c r="V5480" s="19">
        <f>IF($B5480="","",TEXT($B5480,"0000"))</f>
        <v/>
      </c>
      <c r="W5480" s="19">
        <f>IF($I5480="","",IF(ISNUMBER($I5480),TEXT($I5480,"0"),$I5480))</f>
        <v/>
      </c>
    </row>
    <row r="5481">
      <c r="B5481" s="25" t="n"/>
      <c r="I5481" s="25" t="n"/>
      <c r="U5481" s="19">
        <f>IF($V5481&lt;&gt;'設定'!$C$4,N(U5480),IF(OR(NOT(COUNTIF('商品マスタ'!$B$6:$B$1005,$W5481)=0),COUNTIFS('①在庫を貼る'!$V$6:$V$10005,$V5481,'①在庫を貼る'!$W$6:$W$10005,$W5481)&gt;0),N(U5480),N(U5480)+1))</f>
        <v/>
      </c>
      <c r="V5481" s="19">
        <f>IF($B5481="","",TEXT($B5481,"0000"))</f>
        <v/>
      </c>
      <c r="W5481" s="19">
        <f>IF($I5481="","",IF(ISNUMBER($I5481),TEXT($I5481,"0"),$I5481))</f>
        <v/>
      </c>
    </row>
    <row r="5482">
      <c r="B5482" s="25" t="n"/>
      <c r="I5482" s="25" t="n"/>
      <c r="U5482" s="19">
        <f>IF($V5482&lt;&gt;'設定'!$C$4,N(U5481),IF(OR(NOT(COUNTIF('商品マスタ'!$B$6:$B$1005,$W5482)=0),COUNTIFS('①在庫を貼る'!$V$6:$V$10005,$V5482,'①在庫を貼る'!$W$6:$W$10005,$W5482)&gt;0),N(U5481),N(U5481)+1))</f>
        <v/>
      </c>
      <c r="V5482" s="19">
        <f>IF($B5482="","",TEXT($B5482,"0000"))</f>
        <v/>
      </c>
      <c r="W5482" s="19">
        <f>IF($I5482="","",IF(ISNUMBER($I5482),TEXT($I5482,"0"),$I5482))</f>
        <v/>
      </c>
    </row>
    <row r="5483">
      <c r="B5483" s="25" t="n"/>
      <c r="I5483" s="25" t="n"/>
      <c r="U5483" s="19">
        <f>IF($V5483&lt;&gt;'設定'!$C$4,N(U5482),IF(OR(NOT(COUNTIF('商品マスタ'!$B$6:$B$1005,$W5483)=0),COUNTIFS('①在庫を貼る'!$V$6:$V$10005,$V5483,'①在庫を貼る'!$W$6:$W$10005,$W5483)&gt;0),N(U5482),N(U5482)+1))</f>
        <v/>
      </c>
      <c r="V5483" s="19">
        <f>IF($B5483="","",TEXT($B5483,"0000"))</f>
        <v/>
      </c>
      <c r="W5483" s="19">
        <f>IF($I5483="","",IF(ISNUMBER($I5483),TEXT($I5483,"0"),$I5483))</f>
        <v/>
      </c>
    </row>
    <row r="5484">
      <c r="B5484" s="25" t="n"/>
      <c r="I5484" s="25" t="n"/>
      <c r="U5484" s="19">
        <f>IF($V5484&lt;&gt;'設定'!$C$4,N(U5483),IF(OR(NOT(COUNTIF('商品マスタ'!$B$6:$B$1005,$W5484)=0),COUNTIFS('①在庫を貼る'!$V$6:$V$10005,$V5484,'①在庫を貼る'!$W$6:$W$10005,$W5484)&gt;0),N(U5483),N(U5483)+1))</f>
        <v/>
      </c>
      <c r="V5484" s="19">
        <f>IF($B5484="","",TEXT($B5484,"0000"))</f>
        <v/>
      </c>
      <c r="W5484" s="19">
        <f>IF($I5484="","",IF(ISNUMBER($I5484),TEXT($I5484,"0"),$I5484))</f>
        <v/>
      </c>
    </row>
    <row r="5485">
      <c r="B5485" s="25" t="n"/>
      <c r="I5485" s="25" t="n"/>
      <c r="U5485" s="19">
        <f>IF($V5485&lt;&gt;'設定'!$C$4,N(U5484),IF(OR(NOT(COUNTIF('商品マスタ'!$B$6:$B$1005,$W5485)=0),COUNTIFS('①在庫を貼る'!$V$6:$V$10005,$V5485,'①在庫を貼る'!$W$6:$W$10005,$W5485)&gt;0),N(U5484),N(U5484)+1))</f>
        <v/>
      </c>
      <c r="V5485" s="19">
        <f>IF($B5485="","",TEXT($B5485,"0000"))</f>
        <v/>
      </c>
      <c r="W5485" s="19">
        <f>IF($I5485="","",IF(ISNUMBER($I5485),TEXT($I5485,"0"),$I5485))</f>
        <v/>
      </c>
    </row>
    <row r="5486">
      <c r="B5486" s="25" t="n"/>
      <c r="I5486" s="25" t="n"/>
      <c r="U5486" s="19">
        <f>IF($V5486&lt;&gt;'設定'!$C$4,N(U5485),IF(OR(NOT(COUNTIF('商品マスタ'!$B$6:$B$1005,$W5486)=0),COUNTIFS('①在庫を貼る'!$V$6:$V$10005,$V5486,'①在庫を貼る'!$W$6:$W$10005,$W5486)&gt;0),N(U5485),N(U5485)+1))</f>
        <v/>
      </c>
      <c r="V5486" s="19">
        <f>IF($B5486="","",TEXT($B5486,"0000"))</f>
        <v/>
      </c>
      <c r="W5486" s="19">
        <f>IF($I5486="","",IF(ISNUMBER($I5486),TEXT($I5486,"0"),$I5486))</f>
        <v/>
      </c>
    </row>
    <row r="5487">
      <c r="B5487" s="25" t="n"/>
      <c r="I5487" s="25" t="n"/>
      <c r="U5487" s="19">
        <f>IF($V5487&lt;&gt;'設定'!$C$4,N(U5486),IF(OR(NOT(COUNTIF('商品マスタ'!$B$6:$B$1005,$W5487)=0),COUNTIFS('①在庫を貼る'!$V$6:$V$10005,$V5487,'①在庫を貼る'!$W$6:$W$10005,$W5487)&gt;0),N(U5486),N(U5486)+1))</f>
        <v/>
      </c>
      <c r="V5487" s="19">
        <f>IF($B5487="","",TEXT($B5487,"0000"))</f>
        <v/>
      </c>
      <c r="W5487" s="19">
        <f>IF($I5487="","",IF(ISNUMBER($I5487),TEXT($I5487,"0"),$I5487))</f>
        <v/>
      </c>
    </row>
    <row r="5488">
      <c r="B5488" s="25" t="n"/>
      <c r="I5488" s="25" t="n"/>
      <c r="U5488" s="19">
        <f>IF($V5488&lt;&gt;'設定'!$C$4,N(U5487),IF(OR(NOT(COUNTIF('商品マスタ'!$B$6:$B$1005,$W5488)=0),COUNTIFS('①在庫を貼る'!$V$6:$V$10005,$V5488,'①在庫を貼る'!$W$6:$W$10005,$W5488)&gt;0),N(U5487),N(U5487)+1))</f>
        <v/>
      </c>
      <c r="V5488" s="19">
        <f>IF($B5488="","",TEXT($B5488,"0000"))</f>
        <v/>
      </c>
      <c r="W5488" s="19">
        <f>IF($I5488="","",IF(ISNUMBER($I5488),TEXT($I5488,"0"),$I5488))</f>
        <v/>
      </c>
    </row>
    <row r="5489">
      <c r="B5489" s="25" t="n"/>
      <c r="I5489" s="25" t="n"/>
      <c r="U5489" s="19">
        <f>IF($V5489&lt;&gt;'設定'!$C$4,N(U5488),IF(OR(NOT(COUNTIF('商品マスタ'!$B$6:$B$1005,$W5489)=0),COUNTIFS('①在庫を貼る'!$V$6:$V$10005,$V5489,'①在庫を貼る'!$W$6:$W$10005,$W5489)&gt;0),N(U5488),N(U5488)+1))</f>
        <v/>
      </c>
      <c r="V5489" s="19">
        <f>IF($B5489="","",TEXT($B5489,"0000"))</f>
        <v/>
      </c>
      <c r="W5489" s="19">
        <f>IF($I5489="","",IF(ISNUMBER($I5489),TEXT($I5489,"0"),$I5489))</f>
        <v/>
      </c>
    </row>
    <row r="5490">
      <c r="B5490" s="25" t="n"/>
      <c r="I5490" s="25" t="n"/>
      <c r="U5490" s="19">
        <f>IF($V5490&lt;&gt;'設定'!$C$4,N(U5489),IF(OR(NOT(COUNTIF('商品マスタ'!$B$6:$B$1005,$W5490)=0),COUNTIFS('①在庫を貼る'!$V$6:$V$10005,$V5490,'①在庫を貼る'!$W$6:$W$10005,$W5490)&gt;0),N(U5489),N(U5489)+1))</f>
        <v/>
      </c>
      <c r="V5490" s="19">
        <f>IF($B5490="","",TEXT($B5490,"0000"))</f>
        <v/>
      </c>
      <c r="W5490" s="19">
        <f>IF($I5490="","",IF(ISNUMBER($I5490),TEXT($I5490,"0"),$I5490))</f>
        <v/>
      </c>
    </row>
    <row r="5491">
      <c r="B5491" s="25" t="n"/>
      <c r="I5491" s="25" t="n"/>
      <c r="U5491" s="19">
        <f>IF($V5491&lt;&gt;'設定'!$C$4,N(U5490),IF(OR(NOT(COUNTIF('商品マスタ'!$B$6:$B$1005,$W5491)=0),COUNTIFS('①在庫を貼る'!$V$6:$V$10005,$V5491,'①在庫を貼る'!$W$6:$W$10005,$W5491)&gt;0),N(U5490),N(U5490)+1))</f>
        <v/>
      </c>
      <c r="V5491" s="19">
        <f>IF($B5491="","",TEXT($B5491,"0000"))</f>
        <v/>
      </c>
      <c r="W5491" s="19">
        <f>IF($I5491="","",IF(ISNUMBER($I5491),TEXT($I5491,"0"),$I5491))</f>
        <v/>
      </c>
    </row>
    <row r="5492">
      <c r="B5492" s="25" t="n"/>
      <c r="I5492" s="25" t="n"/>
      <c r="U5492" s="19">
        <f>IF($V5492&lt;&gt;'設定'!$C$4,N(U5491),IF(OR(NOT(COUNTIF('商品マスタ'!$B$6:$B$1005,$W5492)=0),COUNTIFS('①在庫を貼る'!$V$6:$V$10005,$V5492,'①在庫を貼る'!$W$6:$W$10005,$W5492)&gt;0),N(U5491),N(U5491)+1))</f>
        <v/>
      </c>
      <c r="V5492" s="19">
        <f>IF($B5492="","",TEXT($B5492,"0000"))</f>
        <v/>
      </c>
      <c r="W5492" s="19">
        <f>IF($I5492="","",IF(ISNUMBER($I5492),TEXT($I5492,"0"),$I5492))</f>
        <v/>
      </c>
    </row>
    <row r="5493">
      <c r="B5493" s="25" t="n"/>
      <c r="I5493" s="25" t="n"/>
      <c r="U5493" s="19">
        <f>IF($V5493&lt;&gt;'設定'!$C$4,N(U5492),IF(OR(NOT(COUNTIF('商品マスタ'!$B$6:$B$1005,$W5493)=0),COUNTIFS('①在庫を貼る'!$V$6:$V$10005,$V5493,'①在庫を貼る'!$W$6:$W$10005,$W5493)&gt;0),N(U5492),N(U5492)+1))</f>
        <v/>
      </c>
      <c r="V5493" s="19">
        <f>IF($B5493="","",TEXT($B5493,"0000"))</f>
        <v/>
      </c>
      <c r="W5493" s="19">
        <f>IF($I5493="","",IF(ISNUMBER($I5493),TEXT($I5493,"0"),$I5493))</f>
        <v/>
      </c>
    </row>
    <row r="5494">
      <c r="B5494" s="25" t="n"/>
      <c r="I5494" s="25" t="n"/>
      <c r="U5494" s="19">
        <f>IF($V5494&lt;&gt;'設定'!$C$4,N(U5493),IF(OR(NOT(COUNTIF('商品マスタ'!$B$6:$B$1005,$W5494)=0),COUNTIFS('①在庫を貼る'!$V$6:$V$10005,$V5494,'①在庫を貼る'!$W$6:$W$10005,$W5494)&gt;0),N(U5493),N(U5493)+1))</f>
        <v/>
      </c>
      <c r="V5494" s="19">
        <f>IF($B5494="","",TEXT($B5494,"0000"))</f>
        <v/>
      </c>
      <c r="W5494" s="19">
        <f>IF($I5494="","",IF(ISNUMBER($I5494),TEXT($I5494,"0"),$I5494))</f>
        <v/>
      </c>
    </row>
    <row r="5495">
      <c r="B5495" s="25" t="n"/>
      <c r="I5495" s="25" t="n"/>
      <c r="U5495" s="19">
        <f>IF($V5495&lt;&gt;'設定'!$C$4,N(U5494),IF(OR(NOT(COUNTIF('商品マスタ'!$B$6:$B$1005,$W5495)=0),COUNTIFS('①在庫を貼る'!$V$6:$V$10005,$V5495,'①在庫を貼る'!$W$6:$W$10005,$W5495)&gt;0),N(U5494),N(U5494)+1))</f>
        <v/>
      </c>
      <c r="V5495" s="19">
        <f>IF($B5495="","",TEXT($B5495,"0000"))</f>
        <v/>
      </c>
      <c r="W5495" s="19">
        <f>IF($I5495="","",IF(ISNUMBER($I5495),TEXT($I5495,"0"),$I5495))</f>
        <v/>
      </c>
    </row>
    <row r="5496">
      <c r="B5496" s="25" t="n"/>
      <c r="I5496" s="25" t="n"/>
      <c r="U5496" s="19">
        <f>IF($V5496&lt;&gt;'設定'!$C$4,N(U5495),IF(OR(NOT(COUNTIF('商品マスタ'!$B$6:$B$1005,$W5496)=0),COUNTIFS('①在庫を貼る'!$V$6:$V$10005,$V5496,'①在庫を貼る'!$W$6:$W$10005,$W5496)&gt;0),N(U5495),N(U5495)+1))</f>
        <v/>
      </c>
      <c r="V5496" s="19">
        <f>IF($B5496="","",TEXT($B5496,"0000"))</f>
        <v/>
      </c>
      <c r="W5496" s="19">
        <f>IF($I5496="","",IF(ISNUMBER($I5496),TEXT($I5496,"0"),$I5496))</f>
        <v/>
      </c>
    </row>
    <row r="5497">
      <c r="B5497" s="25" t="n"/>
      <c r="I5497" s="25" t="n"/>
      <c r="U5497" s="19">
        <f>IF($V5497&lt;&gt;'設定'!$C$4,N(U5496),IF(OR(NOT(COUNTIF('商品マスタ'!$B$6:$B$1005,$W5497)=0),COUNTIFS('①在庫を貼る'!$V$6:$V$10005,$V5497,'①在庫を貼る'!$W$6:$W$10005,$W5497)&gt;0),N(U5496),N(U5496)+1))</f>
        <v/>
      </c>
      <c r="V5497" s="19">
        <f>IF($B5497="","",TEXT($B5497,"0000"))</f>
        <v/>
      </c>
      <c r="W5497" s="19">
        <f>IF($I5497="","",IF(ISNUMBER($I5497),TEXT($I5497,"0"),$I5497))</f>
        <v/>
      </c>
    </row>
    <row r="5498">
      <c r="B5498" s="25" t="n"/>
      <c r="I5498" s="25" t="n"/>
      <c r="U5498" s="19">
        <f>IF($V5498&lt;&gt;'設定'!$C$4,N(U5497),IF(OR(NOT(COUNTIF('商品マスタ'!$B$6:$B$1005,$W5498)=0),COUNTIFS('①在庫を貼る'!$V$6:$V$10005,$V5498,'①在庫を貼る'!$W$6:$W$10005,$W5498)&gt;0),N(U5497),N(U5497)+1))</f>
        <v/>
      </c>
      <c r="V5498" s="19">
        <f>IF($B5498="","",TEXT($B5498,"0000"))</f>
        <v/>
      </c>
      <c r="W5498" s="19">
        <f>IF($I5498="","",IF(ISNUMBER($I5498),TEXT($I5498,"0"),$I5498))</f>
        <v/>
      </c>
    </row>
    <row r="5499">
      <c r="B5499" s="25" t="n"/>
      <c r="I5499" s="25" t="n"/>
      <c r="U5499" s="19">
        <f>IF($V5499&lt;&gt;'設定'!$C$4,N(U5498),IF(OR(NOT(COUNTIF('商品マスタ'!$B$6:$B$1005,$W5499)=0),COUNTIFS('①在庫を貼る'!$V$6:$V$10005,$V5499,'①在庫を貼る'!$W$6:$W$10005,$W5499)&gt;0),N(U5498),N(U5498)+1))</f>
        <v/>
      </c>
      <c r="V5499" s="19">
        <f>IF($B5499="","",TEXT($B5499,"0000"))</f>
        <v/>
      </c>
      <c r="W5499" s="19">
        <f>IF($I5499="","",IF(ISNUMBER($I5499),TEXT($I5499,"0"),$I5499))</f>
        <v/>
      </c>
    </row>
    <row r="5500">
      <c r="B5500" s="25" t="n"/>
      <c r="I5500" s="25" t="n"/>
      <c r="U5500" s="19">
        <f>IF($V5500&lt;&gt;'設定'!$C$4,N(U5499),IF(OR(NOT(COUNTIF('商品マスタ'!$B$6:$B$1005,$W5500)=0),COUNTIFS('①在庫を貼る'!$V$6:$V$10005,$V5500,'①在庫を貼る'!$W$6:$W$10005,$W5500)&gt;0),N(U5499),N(U5499)+1))</f>
        <v/>
      </c>
      <c r="V5500" s="19">
        <f>IF($B5500="","",TEXT($B5500,"0000"))</f>
        <v/>
      </c>
      <c r="W5500" s="19">
        <f>IF($I5500="","",IF(ISNUMBER($I5500),TEXT($I5500,"0"),$I5500))</f>
        <v/>
      </c>
    </row>
    <row r="5501">
      <c r="B5501" s="25" t="n"/>
      <c r="I5501" s="25" t="n"/>
      <c r="U5501" s="19">
        <f>IF($V5501&lt;&gt;'設定'!$C$4,N(U5500),IF(OR(NOT(COUNTIF('商品マスタ'!$B$6:$B$1005,$W5501)=0),COUNTIFS('①在庫を貼る'!$V$6:$V$10005,$V5501,'①在庫を貼る'!$W$6:$W$10005,$W5501)&gt;0),N(U5500),N(U5500)+1))</f>
        <v/>
      </c>
      <c r="V5501" s="19">
        <f>IF($B5501="","",TEXT($B5501,"0000"))</f>
        <v/>
      </c>
      <c r="W5501" s="19">
        <f>IF($I5501="","",IF(ISNUMBER($I5501),TEXT($I5501,"0"),$I5501))</f>
        <v/>
      </c>
    </row>
    <row r="5502">
      <c r="B5502" s="25" t="n"/>
      <c r="I5502" s="25" t="n"/>
      <c r="U5502" s="19">
        <f>IF($V5502&lt;&gt;'設定'!$C$4,N(U5501),IF(OR(NOT(COUNTIF('商品マスタ'!$B$6:$B$1005,$W5502)=0),COUNTIFS('①在庫を貼る'!$V$6:$V$10005,$V5502,'①在庫を貼る'!$W$6:$W$10005,$W5502)&gt;0),N(U5501),N(U5501)+1))</f>
        <v/>
      </c>
      <c r="V5502" s="19">
        <f>IF($B5502="","",TEXT($B5502,"0000"))</f>
        <v/>
      </c>
      <c r="W5502" s="19">
        <f>IF($I5502="","",IF(ISNUMBER($I5502),TEXT($I5502,"0"),$I5502))</f>
        <v/>
      </c>
    </row>
    <row r="5503">
      <c r="B5503" s="25" t="n"/>
      <c r="I5503" s="25" t="n"/>
      <c r="U5503" s="19">
        <f>IF($V5503&lt;&gt;'設定'!$C$4,N(U5502),IF(OR(NOT(COUNTIF('商品マスタ'!$B$6:$B$1005,$W5503)=0),COUNTIFS('①在庫を貼る'!$V$6:$V$10005,$V5503,'①在庫を貼る'!$W$6:$W$10005,$W5503)&gt;0),N(U5502),N(U5502)+1))</f>
        <v/>
      </c>
      <c r="V5503" s="19">
        <f>IF($B5503="","",TEXT($B5503,"0000"))</f>
        <v/>
      </c>
      <c r="W5503" s="19">
        <f>IF($I5503="","",IF(ISNUMBER($I5503),TEXT($I5503,"0"),$I5503))</f>
        <v/>
      </c>
    </row>
    <row r="5504">
      <c r="B5504" s="25" t="n"/>
      <c r="I5504" s="25" t="n"/>
      <c r="U5504" s="19">
        <f>IF($V5504&lt;&gt;'設定'!$C$4,N(U5503),IF(OR(NOT(COUNTIF('商品マスタ'!$B$6:$B$1005,$W5504)=0),COUNTIFS('①在庫を貼る'!$V$6:$V$10005,$V5504,'①在庫を貼る'!$W$6:$W$10005,$W5504)&gt;0),N(U5503),N(U5503)+1))</f>
        <v/>
      </c>
      <c r="V5504" s="19">
        <f>IF($B5504="","",TEXT($B5504,"0000"))</f>
        <v/>
      </c>
      <c r="W5504" s="19">
        <f>IF($I5504="","",IF(ISNUMBER($I5504),TEXT($I5504,"0"),$I5504))</f>
        <v/>
      </c>
    </row>
    <row r="5505">
      <c r="B5505" s="25" t="n"/>
      <c r="I5505" s="25" t="n"/>
      <c r="U5505" s="19">
        <f>IF($V5505&lt;&gt;'設定'!$C$4,N(U5504),IF(OR(NOT(COUNTIF('商品マスタ'!$B$6:$B$1005,$W5505)=0),COUNTIFS('①在庫を貼る'!$V$6:$V$10005,$V5505,'①在庫を貼る'!$W$6:$W$10005,$W5505)&gt;0),N(U5504),N(U5504)+1))</f>
        <v/>
      </c>
      <c r="V5505" s="19">
        <f>IF($B5505="","",TEXT($B5505,"0000"))</f>
        <v/>
      </c>
      <c r="W5505" s="19">
        <f>IF($I5505="","",IF(ISNUMBER($I5505),TEXT($I5505,"0"),$I5505))</f>
        <v/>
      </c>
    </row>
    <row r="5506">
      <c r="B5506" s="25" t="n"/>
      <c r="I5506" s="25" t="n"/>
      <c r="U5506" s="19">
        <f>IF($V5506&lt;&gt;'設定'!$C$4,N(U5505),IF(OR(NOT(COUNTIF('商品マスタ'!$B$6:$B$1005,$W5506)=0),COUNTIFS('①在庫を貼る'!$V$6:$V$10005,$V5506,'①在庫を貼る'!$W$6:$W$10005,$W5506)&gt;0),N(U5505),N(U5505)+1))</f>
        <v/>
      </c>
      <c r="V5506" s="19">
        <f>IF($B5506="","",TEXT($B5506,"0000"))</f>
        <v/>
      </c>
      <c r="W5506" s="19">
        <f>IF($I5506="","",IF(ISNUMBER($I5506),TEXT($I5506,"0"),$I5506))</f>
        <v/>
      </c>
    </row>
    <row r="5507">
      <c r="B5507" s="25" t="n"/>
      <c r="I5507" s="25" t="n"/>
      <c r="U5507" s="19">
        <f>IF($V5507&lt;&gt;'設定'!$C$4,N(U5506),IF(OR(NOT(COUNTIF('商品マスタ'!$B$6:$B$1005,$W5507)=0),COUNTIFS('①在庫を貼る'!$V$6:$V$10005,$V5507,'①在庫を貼る'!$W$6:$W$10005,$W5507)&gt;0),N(U5506),N(U5506)+1))</f>
        <v/>
      </c>
      <c r="V5507" s="19">
        <f>IF($B5507="","",TEXT($B5507,"0000"))</f>
        <v/>
      </c>
      <c r="W5507" s="19">
        <f>IF($I5507="","",IF(ISNUMBER($I5507),TEXT($I5507,"0"),$I5507))</f>
        <v/>
      </c>
    </row>
    <row r="5508">
      <c r="B5508" s="25" t="n"/>
      <c r="I5508" s="25" t="n"/>
      <c r="U5508" s="19">
        <f>IF($V5508&lt;&gt;'設定'!$C$4,N(U5507),IF(OR(NOT(COUNTIF('商品マスタ'!$B$6:$B$1005,$W5508)=0),COUNTIFS('①在庫を貼る'!$V$6:$V$10005,$V5508,'①在庫を貼る'!$W$6:$W$10005,$W5508)&gt;0),N(U5507),N(U5507)+1))</f>
        <v/>
      </c>
      <c r="V5508" s="19">
        <f>IF($B5508="","",TEXT($B5508,"0000"))</f>
        <v/>
      </c>
      <c r="W5508" s="19">
        <f>IF($I5508="","",IF(ISNUMBER($I5508),TEXT($I5508,"0"),$I5508))</f>
        <v/>
      </c>
    </row>
    <row r="5509">
      <c r="B5509" s="25" t="n"/>
      <c r="I5509" s="25" t="n"/>
      <c r="U5509" s="19">
        <f>IF($V5509&lt;&gt;'設定'!$C$4,N(U5508),IF(OR(NOT(COUNTIF('商品マスタ'!$B$6:$B$1005,$W5509)=0),COUNTIFS('①在庫を貼る'!$V$6:$V$10005,$V5509,'①在庫を貼る'!$W$6:$W$10005,$W5509)&gt;0),N(U5508),N(U5508)+1))</f>
        <v/>
      </c>
      <c r="V5509" s="19">
        <f>IF($B5509="","",TEXT($B5509,"0000"))</f>
        <v/>
      </c>
      <c r="W5509" s="19">
        <f>IF($I5509="","",IF(ISNUMBER($I5509),TEXT($I5509,"0"),$I5509))</f>
        <v/>
      </c>
    </row>
    <row r="5510">
      <c r="B5510" s="25" t="n"/>
      <c r="I5510" s="25" t="n"/>
      <c r="U5510" s="19">
        <f>IF($V5510&lt;&gt;'設定'!$C$4,N(U5509),IF(OR(NOT(COUNTIF('商品マスタ'!$B$6:$B$1005,$W5510)=0),COUNTIFS('①在庫を貼る'!$V$6:$V$10005,$V5510,'①在庫を貼る'!$W$6:$W$10005,$W5510)&gt;0),N(U5509),N(U5509)+1))</f>
        <v/>
      </c>
      <c r="V5510" s="19">
        <f>IF($B5510="","",TEXT($B5510,"0000"))</f>
        <v/>
      </c>
      <c r="W5510" s="19">
        <f>IF($I5510="","",IF(ISNUMBER($I5510),TEXT($I5510,"0"),$I5510))</f>
        <v/>
      </c>
    </row>
    <row r="5511">
      <c r="B5511" s="25" t="n"/>
      <c r="I5511" s="25" t="n"/>
      <c r="U5511" s="19">
        <f>IF($V5511&lt;&gt;'設定'!$C$4,N(U5510),IF(OR(NOT(COUNTIF('商品マスタ'!$B$6:$B$1005,$W5511)=0),COUNTIFS('①在庫を貼る'!$V$6:$V$10005,$V5511,'①在庫を貼る'!$W$6:$W$10005,$W5511)&gt;0),N(U5510),N(U5510)+1))</f>
        <v/>
      </c>
      <c r="V5511" s="19">
        <f>IF($B5511="","",TEXT($B5511,"0000"))</f>
        <v/>
      </c>
      <c r="W5511" s="19">
        <f>IF($I5511="","",IF(ISNUMBER($I5511),TEXT($I5511,"0"),$I5511))</f>
        <v/>
      </c>
    </row>
    <row r="5512">
      <c r="B5512" s="25" t="n"/>
      <c r="I5512" s="25" t="n"/>
      <c r="U5512" s="19">
        <f>IF($V5512&lt;&gt;'設定'!$C$4,N(U5511),IF(OR(NOT(COUNTIF('商品マスタ'!$B$6:$B$1005,$W5512)=0),COUNTIFS('①在庫を貼る'!$V$6:$V$10005,$V5512,'①在庫を貼る'!$W$6:$W$10005,$W5512)&gt;0),N(U5511),N(U5511)+1))</f>
        <v/>
      </c>
      <c r="V5512" s="19">
        <f>IF($B5512="","",TEXT($B5512,"0000"))</f>
        <v/>
      </c>
      <c r="W5512" s="19">
        <f>IF($I5512="","",IF(ISNUMBER($I5512),TEXT($I5512,"0"),$I5512))</f>
        <v/>
      </c>
    </row>
    <row r="5513">
      <c r="B5513" s="25" t="n"/>
      <c r="I5513" s="25" t="n"/>
      <c r="U5513" s="19">
        <f>IF($V5513&lt;&gt;'設定'!$C$4,N(U5512),IF(OR(NOT(COUNTIF('商品マスタ'!$B$6:$B$1005,$W5513)=0),COUNTIFS('①在庫を貼る'!$V$6:$V$10005,$V5513,'①在庫を貼る'!$W$6:$W$10005,$W5513)&gt;0),N(U5512),N(U5512)+1))</f>
        <v/>
      </c>
      <c r="V5513" s="19">
        <f>IF($B5513="","",TEXT($B5513,"0000"))</f>
        <v/>
      </c>
      <c r="W5513" s="19">
        <f>IF($I5513="","",IF(ISNUMBER($I5513),TEXT($I5513,"0"),$I5513))</f>
        <v/>
      </c>
    </row>
    <row r="5514">
      <c r="B5514" s="25" t="n"/>
      <c r="I5514" s="25" t="n"/>
      <c r="U5514" s="19">
        <f>IF($V5514&lt;&gt;'設定'!$C$4,N(U5513),IF(OR(NOT(COUNTIF('商品マスタ'!$B$6:$B$1005,$W5514)=0),COUNTIFS('①在庫を貼る'!$V$6:$V$10005,$V5514,'①在庫を貼る'!$W$6:$W$10005,$W5514)&gt;0),N(U5513),N(U5513)+1))</f>
        <v/>
      </c>
      <c r="V5514" s="19">
        <f>IF($B5514="","",TEXT($B5514,"0000"))</f>
        <v/>
      </c>
      <c r="W5514" s="19">
        <f>IF($I5514="","",IF(ISNUMBER($I5514),TEXT($I5514,"0"),$I5514))</f>
        <v/>
      </c>
    </row>
    <row r="5515">
      <c r="B5515" s="25" t="n"/>
      <c r="I5515" s="25" t="n"/>
      <c r="U5515" s="19">
        <f>IF($V5515&lt;&gt;'設定'!$C$4,N(U5514),IF(OR(NOT(COUNTIF('商品マスタ'!$B$6:$B$1005,$W5515)=0),COUNTIFS('①在庫を貼る'!$V$6:$V$10005,$V5515,'①在庫を貼る'!$W$6:$W$10005,$W5515)&gt;0),N(U5514),N(U5514)+1))</f>
        <v/>
      </c>
      <c r="V5515" s="19">
        <f>IF($B5515="","",TEXT($B5515,"0000"))</f>
        <v/>
      </c>
      <c r="W5515" s="19">
        <f>IF($I5515="","",IF(ISNUMBER($I5515),TEXT($I5515,"0"),$I5515))</f>
        <v/>
      </c>
    </row>
    <row r="5516">
      <c r="B5516" s="25" t="n"/>
      <c r="I5516" s="25" t="n"/>
      <c r="U5516" s="19">
        <f>IF($V5516&lt;&gt;'設定'!$C$4,N(U5515),IF(OR(NOT(COUNTIF('商品マスタ'!$B$6:$B$1005,$W5516)=0),COUNTIFS('①在庫を貼る'!$V$6:$V$10005,$V5516,'①在庫を貼る'!$W$6:$W$10005,$W5516)&gt;0),N(U5515),N(U5515)+1))</f>
        <v/>
      </c>
      <c r="V5516" s="19">
        <f>IF($B5516="","",TEXT($B5516,"0000"))</f>
        <v/>
      </c>
      <c r="W5516" s="19">
        <f>IF($I5516="","",IF(ISNUMBER($I5516),TEXT($I5516,"0"),$I5516))</f>
        <v/>
      </c>
    </row>
    <row r="5517">
      <c r="B5517" s="25" t="n"/>
      <c r="I5517" s="25" t="n"/>
      <c r="U5517" s="19">
        <f>IF($V5517&lt;&gt;'設定'!$C$4,N(U5516),IF(OR(NOT(COUNTIF('商品マスタ'!$B$6:$B$1005,$W5517)=0),COUNTIFS('①在庫を貼る'!$V$6:$V$10005,$V5517,'①在庫を貼る'!$W$6:$W$10005,$W5517)&gt;0),N(U5516),N(U5516)+1))</f>
        <v/>
      </c>
      <c r="V5517" s="19">
        <f>IF($B5517="","",TEXT($B5517,"0000"))</f>
        <v/>
      </c>
      <c r="W5517" s="19">
        <f>IF($I5517="","",IF(ISNUMBER($I5517),TEXT($I5517,"0"),$I5517))</f>
        <v/>
      </c>
    </row>
    <row r="5518">
      <c r="B5518" s="25" t="n"/>
      <c r="I5518" s="25" t="n"/>
      <c r="U5518" s="19">
        <f>IF($V5518&lt;&gt;'設定'!$C$4,N(U5517),IF(OR(NOT(COUNTIF('商品マスタ'!$B$6:$B$1005,$W5518)=0),COUNTIFS('①在庫を貼る'!$V$6:$V$10005,$V5518,'①在庫を貼る'!$W$6:$W$10005,$W5518)&gt;0),N(U5517),N(U5517)+1))</f>
        <v/>
      </c>
      <c r="V5518" s="19">
        <f>IF($B5518="","",TEXT($B5518,"0000"))</f>
        <v/>
      </c>
      <c r="W5518" s="19">
        <f>IF($I5518="","",IF(ISNUMBER($I5518),TEXT($I5518,"0"),$I5518))</f>
        <v/>
      </c>
    </row>
    <row r="5519">
      <c r="B5519" s="25" t="n"/>
      <c r="I5519" s="25" t="n"/>
      <c r="U5519" s="19">
        <f>IF($V5519&lt;&gt;'設定'!$C$4,N(U5518),IF(OR(NOT(COUNTIF('商品マスタ'!$B$6:$B$1005,$W5519)=0),COUNTIFS('①在庫を貼る'!$V$6:$V$10005,$V5519,'①在庫を貼る'!$W$6:$W$10005,$W5519)&gt;0),N(U5518),N(U5518)+1))</f>
        <v/>
      </c>
      <c r="V5519" s="19">
        <f>IF($B5519="","",TEXT($B5519,"0000"))</f>
        <v/>
      </c>
      <c r="W5519" s="19">
        <f>IF($I5519="","",IF(ISNUMBER($I5519),TEXT($I5519,"0"),$I5519))</f>
        <v/>
      </c>
    </row>
    <row r="5520">
      <c r="B5520" s="25" t="n"/>
      <c r="I5520" s="25" t="n"/>
      <c r="U5520" s="19">
        <f>IF($V5520&lt;&gt;'設定'!$C$4,N(U5519),IF(OR(NOT(COUNTIF('商品マスタ'!$B$6:$B$1005,$W5520)=0),COUNTIFS('①在庫を貼る'!$V$6:$V$10005,$V5520,'①在庫を貼る'!$W$6:$W$10005,$W5520)&gt;0),N(U5519),N(U5519)+1))</f>
        <v/>
      </c>
      <c r="V5520" s="19">
        <f>IF($B5520="","",TEXT($B5520,"0000"))</f>
        <v/>
      </c>
      <c r="W5520" s="19">
        <f>IF($I5520="","",IF(ISNUMBER($I5520),TEXT($I5520,"0"),$I5520))</f>
        <v/>
      </c>
    </row>
    <row r="5521">
      <c r="B5521" s="25" t="n"/>
      <c r="I5521" s="25" t="n"/>
      <c r="U5521" s="19">
        <f>IF($V5521&lt;&gt;'設定'!$C$4,N(U5520),IF(OR(NOT(COUNTIF('商品マスタ'!$B$6:$B$1005,$W5521)=0),COUNTIFS('①在庫を貼る'!$V$6:$V$10005,$V5521,'①在庫を貼る'!$W$6:$W$10005,$W5521)&gt;0),N(U5520),N(U5520)+1))</f>
        <v/>
      </c>
      <c r="V5521" s="19">
        <f>IF($B5521="","",TEXT($B5521,"0000"))</f>
        <v/>
      </c>
      <c r="W5521" s="19">
        <f>IF($I5521="","",IF(ISNUMBER($I5521),TEXT($I5521,"0"),$I5521))</f>
        <v/>
      </c>
    </row>
    <row r="5522">
      <c r="B5522" s="25" t="n"/>
      <c r="I5522" s="25" t="n"/>
      <c r="U5522" s="19">
        <f>IF($V5522&lt;&gt;'設定'!$C$4,N(U5521),IF(OR(NOT(COUNTIF('商品マスタ'!$B$6:$B$1005,$W5522)=0),COUNTIFS('①在庫を貼る'!$V$6:$V$10005,$V5522,'①在庫を貼る'!$W$6:$W$10005,$W5522)&gt;0),N(U5521),N(U5521)+1))</f>
        <v/>
      </c>
      <c r="V5522" s="19">
        <f>IF($B5522="","",TEXT($B5522,"0000"))</f>
        <v/>
      </c>
      <c r="W5522" s="19">
        <f>IF($I5522="","",IF(ISNUMBER($I5522),TEXT($I5522,"0"),$I5522))</f>
        <v/>
      </c>
    </row>
    <row r="5523">
      <c r="B5523" s="25" t="n"/>
      <c r="I5523" s="25" t="n"/>
      <c r="U5523" s="19">
        <f>IF($V5523&lt;&gt;'設定'!$C$4,N(U5522),IF(OR(NOT(COUNTIF('商品マスタ'!$B$6:$B$1005,$W5523)=0),COUNTIFS('①在庫を貼る'!$V$6:$V$10005,$V5523,'①在庫を貼る'!$W$6:$W$10005,$W5523)&gt;0),N(U5522),N(U5522)+1))</f>
        <v/>
      </c>
      <c r="V5523" s="19">
        <f>IF($B5523="","",TEXT($B5523,"0000"))</f>
        <v/>
      </c>
      <c r="W5523" s="19">
        <f>IF($I5523="","",IF(ISNUMBER($I5523),TEXT($I5523,"0"),$I5523))</f>
        <v/>
      </c>
    </row>
    <row r="5524">
      <c r="B5524" s="25" t="n"/>
      <c r="I5524" s="25" t="n"/>
      <c r="U5524" s="19">
        <f>IF($V5524&lt;&gt;'設定'!$C$4,N(U5523),IF(OR(NOT(COUNTIF('商品マスタ'!$B$6:$B$1005,$W5524)=0),COUNTIFS('①在庫を貼る'!$V$6:$V$10005,$V5524,'①在庫を貼る'!$W$6:$W$10005,$W5524)&gt;0),N(U5523),N(U5523)+1))</f>
        <v/>
      </c>
      <c r="V5524" s="19">
        <f>IF($B5524="","",TEXT($B5524,"0000"))</f>
        <v/>
      </c>
      <c r="W5524" s="19">
        <f>IF($I5524="","",IF(ISNUMBER($I5524),TEXT($I5524,"0"),$I5524))</f>
        <v/>
      </c>
    </row>
    <row r="5525">
      <c r="B5525" s="25" t="n"/>
      <c r="I5525" s="25" t="n"/>
      <c r="U5525" s="19">
        <f>IF($V5525&lt;&gt;'設定'!$C$4,N(U5524),IF(OR(NOT(COUNTIF('商品マスタ'!$B$6:$B$1005,$W5525)=0),COUNTIFS('①在庫を貼る'!$V$6:$V$10005,$V5525,'①在庫を貼る'!$W$6:$W$10005,$W5525)&gt;0),N(U5524),N(U5524)+1))</f>
        <v/>
      </c>
      <c r="V5525" s="19">
        <f>IF($B5525="","",TEXT($B5525,"0000"))</f>
        <v/>
      </c>
      <c r="W5525" s="19">
        <f>IF($I5525="","",IF(ISNUMBER($I5525),TEXT($I5525,"0"),$I5525))</f>
        <v/>
      </c>
    </row>
    <row r="5526">
      <c r="B5526" s="25" t="n"/>
      <c r="I5526" s="25" t="n"/>
      <c r="U5526" s="19">
        <f>IF($V5526&lt;&gt;'設定'!$C$4,N(U5525),IF(OR(NOT(COUNTIF('商品マスタ'!$B$6:$B$1005,$W5526)=0),COUNTIFS('①在庫を貼る'!$V$6:$V$10005,$V5526,'①在庫を貼る'!$W$6:$W$10005,$W5526)&gt;0),N(U5525),N(U5525)+1))</f>
        <v/>
      </c>
      <c r="V5526" s="19">
        <f>IF($B5526="","",TEXT($B5526,"0000"))</f>
        <v/>
      </c>
      <c r="W5526" s="19">
        <f>IF($I5526="","",IF(ISNUMBER($I5526),TEXT($I5526,"0"),$I5526))</f>
        <v/>
      </c>
    </row>
    <row r="5527">
      <c r="B5527" s="25" t="n"/>
      <c r="I5527" s="25" t="n"/>
      <c r="U5527" s="19">
        <f>IF($V5527&lt;&gt;'設定'!$C$4,N(U5526),IF(OR(NOT(COUNTIF('商品マスタ'!$B$6:$B$1005,$W5527)=0),COUNTIFS('①在庫を貼る'!$V$6:$V$10005,$V5527,'①在庫を貼る'!$W$6:$W$10005,$W5527)&gt;0),N(U5526),N(U5526)+1))</f>
        <v/>
      </c>
      <c r="V5527" s="19">
        <f>IF($B5527="","",TEXT($B5527,"0000"))</f>
        <v/>
      </c>
      <c r="W5527" s="19">
        <f>IF($I5527="","",IF(ISNUMBER($I5527),TEXT($I5527,"0"),$I5527))</f>
        <v/>
      </c>
    </row>
    <row r="5528">
      <c r="B5528" s="25" t="n"/>
      <c r="I5528" s="25" t="n"/>
      <c r="U5528" s="19">
        <f>IF($V5528&lt;&gt;'設定'!$C$4,N(U5527),IF(OR(NOT(COUNTIF('商品マスタ'!$B$6:$B$1005,$W5528)=0),COUNTIFS('①在庫を貼る'!$V$6:$V$10005,$V5528,'①在庫を貼る'!$W$6:$W$10005,$W5528)&gt;0),N(U5527),N(U5527)+1))</f>
        <v/>
      </c>
      <c r="V5528" s="19">
        <f>IF($B5528="","",TEXT($B5528,"0000"))</f>
        <v/>
      </c>
      <c r="W5528" s="19">
        <f>IF($I5528="","",IF(ISNUMBER($I5528),TEXT($I5528,"0"),$I5528))</f>
        <v/>
      </c>
    </row>
    <row r="5529">
      <c r="B5529" s="25" t="n"/>
      <c r="I5529" s="25" t="n"/>
      <c r="U5529" s="19">
        <f>IF($V5529&lt;&gt;'設定'!$C$4,N(U5528),IF(OR(NOT(COUNTIF('商品マスタ'!$B$6:$B$1005,$W5529)=0),COUNTIFS('①在庫を貼る'!$V$6:$V$10005,$V5529,'①在庫を貼る'!$W$6:$W$10005,$W5529)&gt;0),N(U5528),N(U5528)+1))</f>
        <v/>
      </c>
      <c r="V5529" s="19">
        <f>IF($B5529="","",TEXT($B5529,"0000"))</f>
        <v/>
      </c>
      <c r="W5529" s="19">
        <f>IF($I5529="","",IF(ISNUMBER($I5529),TEXT($I5529,"0"),$I5529))</f>
        <v/>
      </c>
    </row>
    <row r="5530">
      <c r="B5530" s="25" t="n"/>
      <c r="I5530" s="25" t="n"/>
      <c r="U5530" s="19">
        <f>IF($V5530&lt;&gt;'設定'!$C$4,N(U5529),IF(OR(NOT(COUNTIF('商品マスタ'!$B$6:$B$1005,$W5530)=0),COUNTIFS('①在庫を貼る'!$V$6:$V$10005,$V5530,'①在庫を貼る'!$W$6:$W$10005,$W5530)&gt;0),N(U5529),N(U5529)+1))</f>
        <v/>
      </c>
      <c r="V5530" s="19">
        <f>IF($B5530="","",TEXT($B5530,"0000"))</f>
        <v/>
      </c>
      <c r="W5530" s="19">
        <f>IF($I5530="","",IF(ISNUMBER($I5530),TEXT($I5530,"0"),$I5530))</f>
        <v/>
      </c>
    </row>
    <row r="5531">
      <c r="B5531" s="25" t="n"/>
      <c r="I5531" s="25" t="n"/>
      <c r="U5531" s="19">
        <f>IF($V5531&lt;&gt;'設定'!$C$4,N(U5530),IF(OR(NOT(COUNTIF('商品マスタ'!$B$6:$B$1005,$W5531)=0),COUNTIFS('①在庫を貼る'!$V$6:$V$10005,$V5531,'①在庫を貼る'!$W$6:$W$10005,$W5531)&gt;0),N(U5530),N(U5530)+1))</f>
        <v/>
      </c>
      <c r="V5531" s="19">
        <f>IF($B5531="","",TEXT($B5531,"0000"))</f>
        <v/>
      </c>
      <c r="W5531" s="19">
        <f>IF($I5531="","",IF(ISNUMBER($I5531),TEXT($I5531,"0"),$I5531))</f>
        <v/>
      </c>
    </row>
    <row r="5532">
      <c r="B5532" s="25" t="n"/>
      <c r="I5532" s="25" t="n"/>
      <c r="U5532" s="19">
        <f>IF($V5532&lt;&gt;'設定'!$C$4,N(U5531),IF(OR(NOT(COUNTIF('商品マスタ'!$B$6:$B$1005,$W5532)=0),COUNTIFS('①在庫を貼る'!$V$6:$V$10005,$V5532,'①在庫を貼る'!$W$6:$W$10005,$W5532)&gt;0),N(U5531),N(U5531)+1))</f>
        <v/>
      </c>
      <c r="V5532" s="19">
        <f>IF($B5532="","",TEXT($B5532,"0000"))</f>
        <v/>
      </c>
      <c r="W5532" s="19">
        <f>IF($I5532="","",IF(ISNUMBER($I5532),TEXT($I5532,"0"),$I5532))</f>
        <v/>
      </c>
    </row>
    <row r="5533">
      <c r="B5533" s="25" t="n"/>
      <c r="I5533" s="25" t="n"/>
      <c r="U5533" s="19">
        <f>IF($V5533&lt;&gt;'設定'!$C$4,N(U5532),IF(OR(NOT(COUNTIF('商品マスタ'!$B$6:$B$1005,$W5533)=0),COUNTIFS('①在庫を貼る'!$V$6:$V$10005,$V5533,'①在庫を貼る'!$W$6:$W$10005,$W5533)&gt;0),N(U5532),N(U5532)+1))</f>
        <v/>
      </c>
      <c r="V5533" s="19">
        <f>IF($B5533="","",TEXT($B5533,"0000"))</f>
        <v/>
      </c>
      <c r="W5533" s="19">
        <f>IF($I5533="","",IF(ISNUMBER($I5533),TEXT($I5533,"0"),$I5533))</f>
        <v/>
      </c>
    </row>
    <row r="5534">
      <c r="B5534" s="25" t="n"/>
      <c r="I5534" s="25" t="n"/>
      <c r="U5534" s="19">
        <f>IF($V5534&lt;&gt;'設定'!$C$4,N(U5533),IF(OR(NOT(COUNTIF('商品マスタ'!$B$6:$B$1005,$W5534)=0),COUNTIFS('①在庫を貼る'!$V$6:$V$10005,$V5534,'①在庫を貼る'!$W$6:$W$10005,$W5534)&gt;0),N(U5533),N(U5533)+1))</f>
        <v/>
      </c>
      <c r="V5534" s="19">
        <f>IF($B5534="","",TEXT($B5534,"0000"))</f>
        <v/>
      </c>
      <c r="W5534" s="19">
        <f>IF($I5534="","",IF(ISNUMBER($I5534),TEXT($I5534,"0"),$I5534))</f>
        <v/>
      </c>
    </row>
    <row r="5535">
      <c r="B5535" s="25" t="n"/>
      <c r="I5535" s="25" t="n"/>
      <c r="U5535" s="19">
        <f>IF($V5535&lt;&gt;'設定'!$C$4,N(U5534),IF(OR(NOT(COUNTIF('商品マスタ'!$B$6:$B$1005,$W5535)=0),COUNTIFS('①在庫を貼る'!$V$6:$V$10005,$V5535,'①在庫を貼る'!$W$6:$W$10005,$W5535)&gt;0),N(U5534),N(U5534)+1))</f>
        <v/>
      </c>
      <c r="V5535" s="19">
        <f>IF($B5535="","",TEXT($B5535,"0000"))</f>
        <v/>
      </c>
      <c r="W5535" s="19">
        <f>IF($I5535="","",IF(ISNUMBER($I5535),TEXT($I5535,"0"),$I5535))</f>
        <v/>
      </c>
    </row>
    <row r="5536">
      <c r="B5536" s="25" t="n"/>
      <c r="I5536" s="25" t="n"/>
      <c r="U5536" s="19">
        <f>IF($V5536&lt;&gt;'設定'!$C$4,N(U5535),IF(OR(NOT(COUNTIF('商品マスタ'!$B$6:$B$1005,$W5536)=0),COUNTIFS('①在庫を貼る'!$V$6:$V$10005,$V5536,'①在庫を貼る'!$W$6:$W$10005,$W5536)&gt;0),N(U5535),N(U5535)+1))</f>
        <v/>
      </c>
      <c r="V5536" s="19">
        <f>IF($B5536="","",TEXT($B5536,"0000"))</f>
        <v/>
      </c>
      <c r="W5536" s="19">
        <f>IF($I5536="","",IF(ISNUMBER($I5536),TEXT($I5536,"0"),$I5536))</f>
        <v/>
      </c>
    </row>
    <row r="5537">
      <c r="B5537" s="25" t="n"/>
      <c r="I5537" s="25" t="n"/>
      <c r="U5537" s="19">
        <f>IF($V5537&lt;&gt;'設定'!$C$4,N(U5536),IF(OR(NOT(COUNTIF('商品マスタ'!$B$6:$B$1005,$W5537)=0),COUNTIFS('①在庫を貼る'!$V$6:$V$10005,$V5537,'①在庫を貼る'!$W$6:$W$10005,$W5537)&gt;0),N(U5536),N(U5536)+1))</f>
        <v/>
      </c>
      <c r="V5537" s="19">
        <f>IF($B5537="","",TEXT($B5537,"0000"))</f>
        <v/>
      </c>
      <c r="W5537" s="19">
        <f>IF($I5537="","",IF(ISNUMBER($I5537),TEXT($I5537,"0"),$I5537))</f>
        <v/>
      </c>
    </row>
    <row r="5538">
      <c r="B5538" s="25" t="n"/>
      <c r="I5538" s="25" t="n"/>
      <c r="U5538" s="19">
        <f>IF($V5538&lt;&gt;'設定'!$C$4,N(U5537),IF(OR(NOT(COUNTIF('商品マスタ'!$B$6:$B$1005,$W5538)=0),COUNTIFS('①在庫を貼る'!$V$6:$V$10005,$V5538,'①在庫を貼る'!$W$6:$W$10005,$W5538)&gt;0),N(U5537),N(U5537)+1))</f>
        <v/>
      </c>
      <c r="V5538" s="19">
        <f>IF($B5538="","",TEXT($B5538,"0000"))</f>
        <v/>
      </c>
      <c r="W5538" s="19">
        <f>IF($I5538="","",IF(ISNUMBER($I5538),TEXT($I5538,"0"),$I5538))</f>
        <v/>
      </c>
    </row>
    <row r="5539">
      <c r="B5539" s="25" t="n"/>
      <c r="I5539" s="25" t="n"/>
      <c r="U5539" s="19">
        <f>IF($V5539&lt;&gt;'設定'!$C$4,N(U5538),IF(OR(NOT(COUNTIF('商品マスタ'!$B$6:$B$1005,$W5539)=0),COUNTIFS('①在庫を貼る'!$V$6:$V$10005,$V5539,'①在庫を貼る'!$W$6:$W$10005,$W5539)&gt;0),N(U5538),N(U5538)+1))</f>
        <v/>
      </c>
      <c r="V5539" s="19">
        <f>IF($B5539="","",TEXT($B5539,"0000"))</f>
        <v/>
      </c>
      <c r="W5539" s="19">
        <f>IF($I5539="","",IF(ISNUMBER($I5539),TEXT($I5539,"0"),$I5539))</f>
        <v/>
      </c>
    </row>
    <row r="5540">
      <c r="B5540" s="25" t="n"/>
      <c r="I5540" s="25" t="n"/>
      <c r="U5540" s="19">
        <f>IF($V5540&lt;&gt;'設定'!$C$4,N(U5539),IF(OR(NOT(COUNTIF('商品マスタ'!$B$6:$B$1005,$W5540)=0),COUNTIFS('①在庫を貼る'!$V$6:$V$10005,$V5540,'①在庫を貼る'!$W$6:$W$10005,$W5540)&gt;0),N(U5539),N(U5539)+1))</f>
        <v/>
      </c>
      <c r="V5540" s="19">
        <f>IF($B5540="","",TEXT($B5540,"0000"))</f>
        <v/>
      </c>
      <c r="W5540" s="19">
        <f>IF($I5540="","",IF(ISNUMBER($I5540),TEXT($I5540,"0"),$I5540))</f>
        <v/>
      </c>
    </row>
    <row r="5541">
      <c r="B5541" s="25" t="n"/>
      <c r="I5541" s="25" t="n"/>
      <c r="U5541" s="19">
        <f>IF($V5541&lt;&gt;'設定'!$C$4,N(U5540),IF(OR(NOT(COUNTIF('商品マスタ'!$B$6:$B$1005,$W5541)=0),COUNTIFS('①在庫を貼る'!$V$6:$V$10005,$V5541,'①在庫を貼る'!$W$6:$W$10005,$W5541)&gt;0),N(U5540),N(U5540)+1))</f>
        <v/>
      </c>
      <c r="V5541" s="19">
        <f>IF($B5541="","",TEXT($B5541,"0000"))</f>
        <v/>
      </c>
      <c r="W5541" s="19">
        <f>IF($I5541="","",IF(ISNUMBER($I5541),TEXT($I5541,"0"),$I5541))</f>
        <v/>
      </c>
    </row>
    <row r="5542">
      <c r="B5542" s="25" t="n"/>
      <c r="I5542" s="25" t="n"/>
      <c r="U5542" s="19">
        <f>IF($V5542&lt;&gt;'設定'!$C$4,N(U5541),IF(OR(NOT(COUNTIF('商品マスタ'!$B$6:$B$1005,$W5542)=0),COUNTIFS('①在庫を貼る'!$V$6:$V$10005,$V5542,'①在庫を貼る'!$W$6:$W$10005,$W5542)&gt;0),N(U5541),N(U5541)+1))</f>
        <v/>
      </c>
      <c r="V5542" s="19">
        <f>IF($B5542="","",TEXT($B5542,"0000"))</f>
        <v/>
      </c>
      <c r="W5542" s="19">
        <f>IF($I5542="","",IF(ISNUMBER($I5542),TEXT($I5542,"0"),$I5542))</f>
        <v/>
      </c>
    </row>
    <row r="5543">
      <c r="B5543" s="25" t="n"/>
      <c r="I5543" s="25" t="n"/>
      <c r="U5543" s="19">
        <f>IF($V5543&lt;&gt;'設定'!$C$4,N(U5542),IF(OR(NOT(COUNTIF('商品マスタ'!$B$6:$B$1005,$W5543)=0),COUNTIFS('①在庫を貼る'!$V$6:$V$10005,$V5543,'①在庫を貼る'!$W$6:$W$10005,$W5543)&gt;0),N(U5542),N(U5542)+1))</f>
        <v/>
      </c>
      <c r="V5543" s="19">
        <f>IF($B5543="","",TEXT($B5543,"0000"))</f>
        <v/>
      </c>
      <c r="W5543" s="19">
        <f>IF($I5543="","",IF(ISNUMBER($I5543),TEXT($I5543,"0"),$I5543))</f>
        <v/>
      </c>
    </row>
    <row r="5544">
      <c r="B5544" s="25" t="n"/>
      <c r="I5544" s="25" t="n"/>
      <c r="U5544" s="19">
        <f>IF($V5544&lt;&gt;'設定'!$C$4,N(U5543),IF(OR(NOT(COUNTIF('商品マスタ'!$B$6:$B$1005,$W5544)=0),COUNTIFS('①在庫を貼る'!$V$6:$V$10005,$V5544,'①在庫を貼る'!$W$6:$W$10005,$W5544)&gt;0),N(U5543),N(U5543)+1))</f>
        <v/>
      </c>
      <c r="V5544" s="19">
        <f>IF($B5544="","",TEXT($B5544,"0000"))</f>
        <v/>
      </c>
      <c r="W5544" s="19">
        <f>IF($I5544="","",IF(ISNUMBER($I5544),TEXT($I5544,"0"),$I5544))</f>
        <v/>
      </c>
    </row>
    <row r="5545">
      <c r="B5545" s="25" t="n"/>
      <c r="I5545" s="25" t="n"/>
      <c r="U5545" s="19">
        <f>IF($V5545&lt;&gt;'設定'!$C$4,N(U5544),IF(OR(NOT(COUNTIF('商品マスタ'!$B$6:$B$1005,$W5545)=0),COUNTIFS('①在庫を貼る'!$V$6:$V$10005,$V5545,'①在庫を貼る'!$W$6:$W$10005,$W5545)&gt;0),N(U5544),N(U5544)+1))</f>
        <v/>
      </c>
      <c r="V5545" s="19">
        <f>IF($B5545="","",TEXT($B5545,"0000"))</f>
        <v/>
      </c>
      <c r="W5545" s="19">
        <f>IF($I5545="","",IF(ISNUMBER($I5545),TEXT($I5545,"0"),$I5545))</f>
        <v/>
      </c>
    </row>
    <row r="5546">
      <c r="B5546" s="25" t="n"/>
      <c r="I5546" s="25" t="n"/>
      <c r="U5546" s="19">
        <f>IF($V5546&lt;&gt;'設定'!$C$4,N(U5545),IF(OR(NOT(COUNTIF('商品マスタ'!$B$6:$B$1005,$W5546)=0),COUNTIFS('①在庫を貼る'!$V$6:$V$10005,$V5546,'①在庫を貼る'!$W$6:$W$10005,$W5546)&gt;0),N(U5545),N(U5545)+1))</f>
        <v/>
      </c>
      <c r="V5546" s="19">
        <f>IF($B5546="","",TEXT($B5546,"0000"))</f>
        <v/>
      </c>
      <c r="W5546" s="19">
        <f>IF($I5546="","",IF(ISNUMBER($I5546),TEXT($I5546,"0"),$I5546))</f>
        <v/>
      </c>
    </row>
    <row r="5547">
      <c r="B5547" s="25" t="n"/>
      <c r="I5547" s="25" t="n"/>
      <c r="U5547" s="19">
        <f>IF($V5547&lt;&gt;'設定'!$C$4,N(U5546),IF(OR(NOT(COUNTIF('商品マスタ'!$B$6:$B$1005,$W5547)=0),COUNTIFS('①在庫を貼る'!$V$6:$V$10005,$V5547,'①在庫を貼る'!$W$6:$W$10005,$W5547)&gt;0),N(U5546),N(U5546)+1))</f>
        <v/>
      </c>
      <c r="V5547" s="19">
        <f>IF($B5547="","",TEXT($B5547,"0000"))</f>
        <v/>
      </c>
      <c r="W5547" s="19">
        <f>IF($I5547="","",IF(ISNUMBER($I5547),TEXT($I5547,"0"),$I5547))</f>
        <v/>
      </c>
    </row>
    <row r="5548">
      <c r="B5548" s="25" t="n"/>
      <c r="I5548" s="25" t="n"/>
      <c r="U5548" s="19">
        <f>IF($V5548&lt;&gt;'設定'!$C$4,N(U5547),IF(OR(NOT(COUNTIF('商品マスタ'!$B$6:$B$1005,$W5548)=0),COUNTIFS('①在庫を貼る'!$V$6:$V$10005,$V5548,'①在庫を貼る'!$W$6:$W$10005,$W5548)&gt;0),N(U5547),N(U5547)+1))</f>
        <v/>
      </c>
      <c r="V5548" s="19">
        <f>IF($B5548="","",TEXT($B5548,"0000"))</f>
        <v/>
      </c>
      <c r="W5548" s="19">
        <f>IF($I5548="","",IF(ISNUMBER($I5548),TEXT($I5548,"0"),$I5548))</f>
        <v/>
      </c>
    </row>
    <row r="5549">
      <c r="B5549" s="25" t="n"/>
      <c r="I5549" s="25" t="n"/>
      <c r="U5549" s="19">
        <f>IF($V5549&lt;&gt;'設定'!$C$4,N(U5548),IF(OR(NOT(COUNTIF('商品マスタ'!$B$6:$B$1005,$W5549)=0),COUNTIFS('①在庫を貼る'!$V$6:$V$10005,$V5549,'①在庫を貼る'!$W$6:$W$10005,$W5549)&gt;0),N(U5548),N(U5548)+1))</f>
        <v/>
      </c>
      <c r="V5549" s="19">
        <f>IF($B5549="","",TEXT($B5549,"0000"))</f>
        <v/>
      </c>
      <c r="W5549" s="19">
        <f>IF($I5549="","",IF(ISNUMBER($I5549),TEXT($I5549,"0"),$I5549))</f>
        <v/>
      </c>
    </row>
    <row r="5550">
      <c r="B5550" s="25" t="n"/>
      <c r="I5550" s="25" t="n"/>
      <c r="U5550" s="19">
        <f>IF($V5550&lt;&gt;'設定'!$C$4,N(U5549),IF(OR(NOT(COUNTIF('商品マスタ'!$B$6:$B$1005,$W5550)=0),COUNTIFS('①在庫を貼る'!$V$6:$V$10005,$V5550,'①在庫を貼る'!$W$6:$W$10005,$W5550)&gt;0),N(U5549),N(U5549)+1))</f>
        <v/>
      </c>
      <c r="V5550" s="19">
        <f>IF($B5550="","",TEXT($B5550,"0000"))</f>
        <v/>
      </c>
      <c r="W5550" s="19">
        <f>IF($I5550="","",IF(ISNUMBER($I5550),TEXT($I5550,"0"),$I5550))</f>
        <v/>
      </c>
    </row>
    <row r="5551">
      <c r="B5551" s="25" t="n"/>
      <c r="I5551" s="25" t="n"/>
      <c r="U5551" s="19">
        <f>IF($V5551&lt;&gt;'設定'!$C$4,N(U5550),IF(OR(NOT(COUNTIF('商品マスタ'!$B$6:$B$1005,$W5551)=0),COUNTIFS('①在庫を貼る'!$V$6:$V$10005,$V5551,'①在庫を貼る'!$W$6:$W$10005,$W5551)&gt;0),N(U5550),N(U5550)+1))</f>
        <v/>
      </c>
      <c r="V5551" s="19">
        <f>IF($B5551="","",TEXT($B5551,"0000"))</f>
        <v/>
      </c>
      <c r="W5551" s="19">
        <f>IF($I5551="","",IF(ISNUMBER($I5551),TEXT($I5551,"0"),$I5551))</f>
        <v/>
      </c>
    </row>
    <row r="5552">
      <c r="B5552" s="25" t="n"/>
      <c r="I5552" s="25" t="n"/>
      <c r="U5552" s="19">
        <f>IF($V5552&lt;&gt;'設定'!$C$4,N(U5551),IF(OR(NOT(COUNTIF('商品マスタ'!$B$6:$B$1005,$W5552)=0),COUNTIFS('①在庫を貼る'!$V$6:$V$10005,$V5552,'①在庫を貼る'!$W$6:$W$10005,$W5552)&gt;0),N(U5551),N(U5551)+1))</f>
        <v/>
      </c>
      <c r="V5552" s="19">
        <f>IF($B5552="","",TEXT($B5552,"0000"))</f>
        <v/>
      </c>
      <c r="W5552" s="19">
        <f>IF($I5552="","",IF(ISNUMBER($I5552),TEXT($I5552,"0"),$I5552))</f>
        <v/>
      </c>
    </row>
    <row r="5553">
      <c r="B5553" s="25" t="n"/>
      <c r="I5553" s="25" t="n"/>
      <c r="U5553" s="19">
        <f>IF($V5553&lt;&gt;'設定'!$C$4,N(U5552),IF(OR(NOT(COUNTIF('商品マスタ'!$B$6:$B$1005,$W5553)=0),COUNTIFS('①在庫を貼る'!$V$6:$V$10005,$V5553,'①在庫を貼る'!$W$6:$W$10005,$W5553)&gt;0),N(U5552),N(U5552)+1))</f>
        <v/>
      </c>
      <c r="V5553" s="19">
        <f>IF($B5553="","",TEXT($B5553,"0000"))</f>
        <v/>
      </c>
      <c r="W5553" s="19">
        <f>IF($I5553="","",IF(ISNUMBER($I5553),TEXT($I5553,"0"),$I5553))</f>
        <v/>
      </c>
    </row>
    <row r="5554">
      <c r="B5554" s="25" t="n"/>
      <c r="I5554" s="25" t="n"/>
      <c r="U5554" s="19">
        <f>IF($V5554&lt;&gt;'設定'!$C$4,N(U5553),IF(OR(NOT(COUNTIF('商品マスタ'!$B$6:$B$1005,$W5554)=0),COUNTIFS('①在庫を貼る'!$V$6:$V$10005,$V5554,'①在庫を貼る'!$W$6:$W$10005,$W5554)&gt;0),N(U5553),N(U5553)+1))</f>
        <v/>
      </c>
      <c r="V5554" s="19">
        <f>IF($B5554="","",TEXT($B5554,"0000"))</f>
        <v/>
      </c>
      <c r="W5554" s="19">
        <f>IF($I5554="","",IF(ISNUMBER($I5554),TEXT($I5554,"0"),$I5554))</f>
        <v/>
      </c>
    </row>
    <row r="5555">
      <c r="B5555" s="25" t="n"/>
      <c r="I5555" s="25" t="n"/>
      <c r="U5555" s="19">
        <f>IF($V5555&lt;&gt;'設定'!$C$4,N(U5554),IF(OR(NOT(COUNTIF('商品マスタ'!$B$6:$B$1005,$W5555)=0),COUNTIFS('①在庫を貼る'!$V$6:$V$10005,$V5555,'①在庫を貼る'!$W$6:$W$10005,$W5555)&gt;0),N(U5554),N(U5554)+1))</f>
        <v/>
      </c>
      <c r="V5555" s="19">
        <f>IF($B5555="","",TEXT($B5555,"0000"))</f>
        <v/>
      </c>
      <c r="W5555" s="19">
        <f>IF($I5555="","",IF(ISNUMBER($I5555),TEXT($I5555,"0"),$I5555))</f>
        <v/>
      </c>
    </row>
    <row r="5556">
      <c r="B5556" s="25" t="n"/>
      <c r="I5556" s="25" t="n"/>
      <c r="U5556" s="19">
        <f>IF($V5556&lt;&gt;'設定'!$C$4,N(U5555),IF(OR(NOT(COUNTIF('商品マスタ'!$B$6:$B$1005,$W5556)=0),COUNTIFS('①在庫を貼る'!$V$6:$V$10005,$V5556,'①在庫を貼る'!$W$6:$W$10005,$W5556)&gt;0),N(U5555),N(U5555)+1))</f>
        <v/>
      </c>
      <c r="V5556" s="19">
        <f>IF($B5556="","",TEXT($B5556,"0000"))</f>
        <v/>
      </c>
      <c r="W5556" s="19">
        <f>IF($I5556="","",IF(ISNUMBER($I5556),TEXT($I5556,"0"),$I5556))</f>
        <v/>
      </c>
    </row>
    <row r="5557">
      <c r="B5557" s="25" t="n"/>
      <c r="I5557" s="25" t="n"/>
      <c r="U5557" s="19">
        <f>IF($V5557&lt;&gt;'設定'!$C$4,N(U5556),IF(OR(NOT(COUNTIF('商品マスタ'!$B$6:$B$1005,$W5557)=0),COUNTIFS('①在庫を貼る'!$V$6:$V$10005,$V5557,'①在庫を貼る'!$W$6:$W$10005,$W5557)&gt;0),N(U5556),N(U5556)+1))</f>
        <v/>
      </c>
      <c r="V5557" s="19">
        <f>IF($B5557="","",TEXT($B5557,"0000"))</f>
        <v/>
      </c>
      <c r="W5557" s="19">
        <f>IF($I5557="","",IF(ISNUMBER($I5557),TEXT($I5557,"0"),$I5557))</f>
        <v/>
      </c>
    </row>
    <row r="5558">
      <c r="B5558" s="25" t="n"/>
      <c r="I5558" s="25" t="n"/>
      <c r="U5558" s="19">
        <f>IF($V5558&lt;&gt;'設定'!$C$4,N(U5557),IF(OR(NOT(COUNTIF('商品マスタ'!$B$6:$B$1005,$W5558)=0),COUNTIFS('①在庫を貼る'!$V$6:$V$10005,$V5558,'①在庫を貼る'!$W$6:$W$10005,$W5558)&gt;0),N(U5557),N(U5557)+1))</f>
        <v/>
      </c>
      <c r="V5558" s="19">
        <f>IF($B5558="","",TEXT($B5558,"0000"))</f>
        <v/>
      </c>
      <c r="W5558" s="19">
        <f>IF($I5558="","",IF(ISNUMBER($I5558),TEXT($I5558,"0"),$I5558))</f>
        <v/>
      </c>
    </row>
    <row r="5559">
      <c r="B5559" s="25" t="n"/>
      <c r="I5559" s="25" t="n"/>
      <c r="U5559" s="19">
        <f>IF($V5559&lt;&gt;'設定'!$C$4,N(U5558),IF(OR(NOT(COUNTIF('商品マスタ'!$B$6:$B$1005,$W5559)=0),COUNTIFS('①在庫を貼る'!$V$6:$V$10005,$V5559,'①在庫を貼る'!$W$6:$W$10005,$W5559)&gt;0),N(U5558),N(U5558)+1))</f>
        <v/>
      </c>
      <c r="V5559" s="19">
        <f>IF($B5559="","",TEXT($B5559,"0000"))</f>
        <v/>
      </c>
      <c r="W5559" s="19">
        <f>IF($I5559="","",IF(ISNUMBER($I5559),TEXT($I5559,"0"),$I5559))</f>
        <v/>
      </c>
    </row>
    <row r="5560">
      <c r="B5560" s="25" t="n"/>
      <c r="I5560" s="25" t="n"/>
      <c r="U5560" s="19">
        <f>IF($V5560&lt;&gt;'設定'!$C$4,N(U5559),IF(OR(NOT(COUNTIF('商品マスタ'!$B$6:$B$1005,$W5560)=0),COUNTIFS('①在庫を貼る'!$V$6:$V$10005,$V5560,'①在庫を貼る'!$W$6:$W$10005,$W5560)&gt;0),N(U5559),N(U5559)+1))</f>
        <v/>
      </c>
      <c r="V5560" s="19">
        <f>IF($B5560="","",TEXT($B5560,"0000"))</f>
        <v/>
      </c>
      <c r="W5560" s="19">
        <f>IF($I5560="","",IF(ISNUMBER($I5560),TEXT($I5560,"0"),$I5560))</f>
        <v/>
      </c>
    </row>
    <row r="5561">
      <c r="B5561" s="25" t="n"/>
      <c r="I5561" s="25" t="n"/>
      <c r="U5561" s="19">
        <f>IF($V5561&lt;&gt;'設定'!$C$4,N(U5560),IF(OR(NOT(COUNTIF('商品マスタ'!$B$6:$B$1005,$W5561)=0),COUNTIFS('①在庫を貼る'!$V$6:$V$10005,$V5561,'①在庫を貼る'!$W$6:$W$10005,$W5561)&gt;0),N(U5560),N(U5560)+1))</f>
        <v/>
      </c>
      <c r="V5561" s="19">
        <f>IF($B5561="","",TEXT($B5561,"0000"))</f>
        <v/>
      </c>
      <c r="W5561" s="19">
        <f>IF($I5561="","",IF(ISNUMBER($I5561),TEXT($I5561,"0"),$I5561))</f>
        <v/>
      </c>
    </row>
    <row r="5562">
      <c r="B5562" s="25" t="n"/>
      <c r="I5562" s="25" t="n"/>
      <c r="U5562" s="19">
        <f>IF($V5562&lt;&gt;'設定'!$C$4,N(U5561),IF(OR(NOT(COUNTIF('商品マスタ'!$B$6:$B$1005,$W5562)=0),COUNTIFS('①在庫を貼る'!$V$6:$V$10005,$V5562,'①在庫を貼る'!$W$6:$W$10005,$W5562)&gt;0),N(U5561),N(U5561)+1))</f>
        <v/>
      </c>
      <c r="V5562" s="19">
        <f>IF($B5562="","",TEXT($B5562,"0000"))</f>
        <v/>
      </c>
      <c r="W5562" s="19">
        <f>IF($I5562="","",IF(ISNUMBER($I5562),TEXT($I5562,"0"),$I5562))</f>
        <v/>
      </c>
    </row>
    <row r="5563">
      <c r="B5563" s="25" t="n"/>
      <c r="I5563" s="25" t="n"/>
      <c r="U5563" s="19">
        <f>IF($V5563&lt;&gt;'設定'!$C$4,N(U5562),IF(OR(NOT(COUNTIF('商品マスタ'!$B$6:$B$1005,$W5563)=0),COUNTIFS('①在庫を貼る'!$V$6:$V$10005,$V5563,'①在庫を貼る'!$W$6:$W$10005,$W5563)&gt;0),N(U5562),N(U5562)+1))</f>
        <v/>
      </c>
      <c r="V5563" s="19">
        <f>IF($B5563="","",TEXT($B5563,"0000"))</f>
        <v/>
      </c>
      <c r="W5563" s="19">
        <f>IF($I5563="","",IF(ISNUMBER($I5563),TEXT($I5563,"0"),$I5563))</f>
        <v/>
      </c>
    </row>
    <row r="5564">
      <c r="B5564" s="25" t="n"/>
      <c r="I5564" s="25" t="n"/>
      <c r="U5564" s="19">
        <f>IF($V5564&lt;&gt;'設定'!$C$4,N(U5563),IF(OR(NOT(COUNTIF('商品マスタ'!$B$6:$B$1005,$W5564)=0),COUNTIFS('①在庫を貼る'!$V$6:$V$10005,$V5564,'①在庫を貼る'!$W$6:$W$10005,$W5564)&gt;0),N(U5563),N(U5563)+1))</f>
        <v/>
      </c>
      <c r="V5564" s="19">
        <f>IF($B5564="","",TEXT($B5564,"0000"))</f>
        <v/>
      </c>
      <c r="W5564" s="19">
        <f>IF($I5564="","",IF(ISNUMBER($I5564),TEXT($I5564,"0"),$I5564))</f>
        <v/>
      </c>
    </row>
    <row r="5565">
      <c r="B5565" s="25" t="n"/>
      <c r="I5565" s="25" t="n"/>
      <c r="U5565" s="19">
        <f>IF($V5565&lt;&gt;'設定'!$C$4,N(U5564),IF(OR(NOT(COUNTIF('商品マスタ'!$B$6:$B$1005,$W5565)=0),COUNTIFS('①在庫を貼る'!$V$6:$V$10005,$V5565,'①在庫を貼る'!$W$6:$W$10005,$W5565)&gt;0),N(U5564),N(U5564)+1))</f>
        <v/>
      </c>
      <c r="V5565" s="19">
        <f>IF($B5565="","",TEXT($B5565,"0000"))</f>
        <v/>
      </c>
      <c r="W5565" s="19">
        <f>IF($I5565="","",IF(ISNUMBER($I5565),TEXT($I5565,"0"),$I5565))</f>
        <v/>
      </c>
    </row>
    <row r="5566">
      <c r="B5566" s="25" t="n"/>
      <c r="I5566" s="25" t="n"/>
      <c r="U5566" s="19">
        <f>IF($V5566&lt;&gt;'設定'!$C$4,N(U5565),IF(OR(NOT(COUNTIF('商品マスタ'!$B$6:$B$1005,$W5566)=0),COUNTIFS('①在庫を貼る'!$V$6:$V$10005,$V5566,'①在庫を貼る'!$W$6:$W$10005,$W5566)&gt;0),N(U5565),N(U5565)+1))</f>
        <v/>
      </c>
      <c r="V5566" s="19">
        <f>IF($B5566="","",TEXT($B5566,"0000"))</f>
        <v/>
      </c>
      <c r="W5566" s="19">
        <f>IF($I5566="","",IF(ISNUMBER($I5566),TEXT($I5566,"0"),$I5566))</f>
        <v/>
      </c>
    </row>
    <row r="5567">
      <c r="B5567" s="25" t="n"/>
      <c r="I5567" s="25" t="n"/>
      <c r="U5567" s="19">
        <f>IF($V5567&lt;&gt;'設定'!$C$4,N(U5566),IF(OR(NOT(COUNTIF('商品マスタ'!$B$6:$B$1005,$W5567)=0),COUNTIFS('①在庫を貼る'!$V$6:$V$10005,$V5567,'①在庫を貼る'!$W$6:$W$10005,$W5567)&gt;0),N(U5566),N(U5566)+1))</f>
        <v/>
      </c>
      <c r="V5567" s="19">
        <f>IF($B5567="","",TEXT($B5567,"0000"))</f>
        <v/>
      </c>
      <c r="W5567" s="19">
        <f>IF($I5567="","",IF(ISNUMBER($I5567),TEXT($I5567,"0"),$I5567))</f>
        <v/>
      </c>
    </row>
    <row r="5568">
      <c r="B5568" s="25" t="n"/>
      <c r="I5568" s="25" t="n"/>
      <c r="U5568" s="19">
        <f>IF($V5568&lt;&gt;'設定'!$C$4,N(U5567),IF(OR(NOT(COUNTIF('商品マスタ'!$B$6:$B$1005,$W5568)=0),COUNTIFS('①在庫を貼る'!$V$6:$V$10005,$V5568,'①在庫を貼る'!$W$6:$W$10005,$W5568)&gt;0),N(U5567),N(U5567)+1))</f>
        <v/>
      </c>
      <c r="V5568" s="19">
        <f>IF($B5568="","",TEXT($B5568,"0000"))</f>
        <v/>
      </c>
      <c r="W5568" s="19">
        <f>IF($I5568="","",IF(ISNUMBER($I5568),TEXT($I5568,"0"),$I5568))</f>
        <v/>
      </c>
    </row>
    <row r="5569">
      <c r="B5569" s="25" t="n"/>
      <c r="I5569" s="25" t="n"/>
      <c r="U5569" s="19">
        <f>IF($V5569&lt;&gt;'設定'!$C$4,N(U5568),IF(OR(NOT(COUNTIF('商品マスタ'!$B$6:$B$1005,$W5569)=0),COUNTIFS('①在庫を貼る'!$V$6:$V$10005,$V5569,'①在庫を貼る'!$W$6:$W$10005,$W5569)&gt;0),N(U5568),N(U5568)+1))</f>
        <v/>
      </c>
      <c r="V5569" s="19">
        <f>IF($B5569="","",TEXT($B5569,"0000"))</f>
        <v/>
      </c>
      <c r="W5569" s="19">
        <f>IF($I5569="","",IF(ISNUMBER($I5569),TEXT($I5569,"0"),$I5569))</f>
        <v/>
      </c>
    </row>
    <row r="5570">
      <c r="B5570" s="25" t="n"/>
      <c r="I5570" s="25" t="n"/>
      <c r="U5570" s="19">
        <f>IF($V5570&lt;&gt;'設定'!$C$4,N(U5569),IF(OR(NOT(COUNTIF('商品マスタ'!$B$6:$B$1005,$W5570)=0),COUNTIFS('①在庫を貼る'!$V$6:$V$10005,$V5570,'①在庫を貼る'!$W$6:$W$10005,$W5570)&gt;0),N(U5569),N(U5569)+1))</f>
        <v/>
      </c>
      <c r="V5570" s="19">
        <f>IF($B5570="","",TEXT($B5570,"0000"))</f>
        <v/>
      </c>
      <c r="W5570" s="19">
        <f>IF($I5570="","",IF(ISNUMBER($I5570),TEXT($I5570,"0"),$I5570))</f>
        <v/>
      </c>
    </row>
    <row r="5571">
      <c r="B5571" s="25" t="n"/>
      <c r="I5571" s="25" t="n"/>
      <c r="U5571" s="19">
        <f>IF($V5571&lt;&gt;'設定'!$C$4,N(U5570),IF(OR(NOT(COUNTIF('商品マスタ'!$B$6:$B$1005,$W5571)=0),COUNTIFS('①在庫を貼る'!$V$6:$V$10005,$V5571,'①在庫を貼る'!$W$6:$W$10005,$W5571)&gt;0),N(U5570),N(U5570)+1))</f>
        <v/>
      </c>
      <c r="V5571" s="19">
        <f>IF($B5571="","",TEXT($B5571,"0000"))</f>
        <v/>
      </c>
      <c r="W5571" s="19">
        <f>IF($I5571="","",IF(ISNUMBER($I5571),TEXT($I5571,"0"),$I5571))</f>
        <v/>
      </c>
    </row>
    <row r="5572">
      <c r="B5572" s="25" t="n"/>
      <c r="I5572" s="25" t="n"/>
      <c r="U5572" s="19">
        <f>IF($V5572&lt;&gt;'設定'!$C$4,N(U5571),IF(OR(NOT(COUNTIF('商品マスタ'!$B$6:$B$1005,$W5572)=0),COUNTIFS('①在庫を貼る'!$V$6:$V$10005,$V5572,'①在庫を貼る'!$W$6:$W$10005,$W5572)&gt;0),N(U5571),N(U5571)+1))</f>
        <v/>
      </c>
      <c r="V5572" s="19">
        <f>IF($B5572="","",TEXT($B5572,"0000"))</f>
        <v/>
      </c>
      <c r="W5572" s="19">
        <f>IF($I5572="","",IF(ISNUMBER($I5572),TEXT($I5572,"0"),$I5572))</f>
        <v/>
      </c>
    </row>
    <row r="5573">
      <c r="B5573" s="25" t="n"/>
      <c r="I5573" s="25" t="n"/>
      <c r="U5573" s="19">
        <f>IF($V5573&lt;&gt;'設定'!$C$4,N(U5572),IF(OR(NOT(COUNTIF('商品マスタ'!$B$6:$B$1005,$W5573)=0),COUNTIFS('①在庫を貼る'!$V$6:$V$10005,$V5573,'①在庫を貼る'!$W$6:$W$10005,$W5573)&gt;0),N(U5572),N(U5572)+1))</f>
        <v/>
      </c>
      <c r="V5573" s="19">
        <f>IF($B5573="","",TEXT($B5573,"0000"))</f>
        <v/>
      </c>
      <c r="W5573" s="19">
        <f>IF($I5573="","",IF(ISNUMBER($I5573),TEXT($I5573,"0"),$I5573))</f>
        <v/>
      </c>
    </row>
    <row r="5574">
      <c r="B5574" s="25" t="n"/>
      <c r="I5574" s="25" t="n"/>
      <c r="U5574" s="19">
        <f>IF($V5574&lt;&gt;'設定'!$C$4,N(U5573),IF(OR(NOT(COUNTIF('商品マスタ'!$B$6:$B$1005,$W5574)=0),COUNTIFS('①在庫を貼る'!$V$6:$V$10005,$V5574,'①在庫を貼る'!$W$6:$W$10005,$W5574)&gt;0),N(U5573),N(U5573)+1))</f>
        <v/>
      </c>
      <c r="V5574" s="19">
        <f>IF($B5574="","",TEXT($B5574,"0000"))</f>
        <v/>
      </c>
      <c r="W5574" s="19">
        <f>IF($I5574="","",IF(ISNUMBER($I5574),TEXT($I5574,"0"),$I5574))</f>
        <v/>
      </c>
    </row>
    <row r="5575">
      <c r="B5575" s="25" t="n"/>
      <c r="I5575" s="25" t="n"/>
      <c r="U5575" s="19">
        <f>IF($V5575&lt;&gt;'設定'!$C$4,N(U5574),IF(OR(NOT(COUNTIF('商品マスタ'!$B$6:$B$1005,$W5575)=0),COUNTIFS('①在庫を貼る'!$V$6:$V$10005,$V5575,'①在庫を貼る'!$W$6:$W$10005,$W5575)&gt;0),N(U5574),N(U5574)+1))</f>
        <v/>
      </c>
      <c r="V5575" s="19">
        <f>IF($B5575="","",TEXT($B5575,"0000"))</f>
        <v/>
      </c>
      <c r="W5575" s="19">
        <f>IF($I5575="","",IF(ISNUMBER($I5575),TEXT($I5575,"0"),$I5575))</f>
        <v/>
      </c>
    </row>
    <row r="5576">
      <c r="B5576" s="25" t="n"/>
      <c r="I5576" s="25" t="n"/>
      <c r="U5576" s="19">
        <f>IF($V5576&lt;&gt;'設定'!$C$4,N(U5575),IF(OR(NOT(COUNTIF('商品マスタ'!$B$6:$B$1005,$W5576)=0),COUNTIFS('①在庫を貼る'!$V$6:$V$10005,$V5576,'①在庫を貼る'!$W$6:$W$10005,$W5576)&gt;0),N(U5575),N(U5575)+1))</f>
        <v/>
      </c>
      <c r="V5576" s="19">
        <f>IF($B5576="","",TEXT($B5576,"0000"))</f>
        <v/>
      </c>
      <c r="W5576" s="19">
        <f>IF($I5576="","",IF(ISNUMBER($I5576),TEXT($I5576,"0"),$I5576))</f>
        <v/>
      </c>
    </row>
    <row r="5577">
      <c r="B5577" s="25" t="n"/>
      <c r="I5577" s="25" t="n"/>
      <c r="U5577" s="19">
        <f>IF($V5577&lt;&gt;'設定'!$C$4,N(U5576),IF(OR(NOT(COUNTIF('商品マスタ'!$B$6:$B$1005,$W5577)=0),COUNTIFS('①在庫を貼る'!$V$6:$V$10005,$V5577,'①在庫を貼る'!$W$6:$W$10005,$W5577)&gt;0),N(U5576),N(U5576)+1))</f>
        <v/>
      </c>
      <c r="V5577" s="19">
        <f>IF($B5577="","",TEXT($B5577,"0000"))</f>
        <v/>
      </c>
      <c r="W5577" s="19">
        <f>IF($I5577="","",IF(ISNUMBER($I5577),TEXT($I5577,"0"),$I5577))</f>
        <v/>
      </c>
    </row>
    <row r="5578">
      <c r="B5578" s="25" t="n"/>
      <c r="I5578" s="25" t="n"/>
      <c r="U5578" s="19">
        <f>IF($V5578&lt;&gt;'設定'!$C$4,N(U5577),IF(OR(NOT(COUNTIF('商品マスタ'!$B$6:$B$1005,$W5578)=0),COUNTIFS('①在庫を貼る'!$V$6:$V$10005,$V5578,'①在庫を貼る'!$W$6:$W$10005,$W5578)&gt;0),N(U5577),N(U5577)+1))</f>
        <v/>
      </c>
      <c r="V5578" s="19">
        <f>IF($B5578="","",TEXT($B5578,"0000"))</f>
        <v/>
      </c>
      <c r="W5578" s="19">
        <f>IF($I5578="","",IF(ISNUMBER($I5578),TEXT($I5578,"0"),$I5578))</f>
        <v/>
      </c>
    </row>
    <row r="5579">
      <c r="B5579" s="25" t="n"/>
      <c r="I5579" s="25" t="n"/>
      <c r="U5579" s="19">
        <f>IF($V5579&lt;&gt;'設定'!$C$4,N(U5578),IF(OR(NOT(COUNTIF('商品マスタ'!$B$6:$B$1005,$W5579)=0),COUNTIFS('①在庫を貼る'!$V$6:$V$10005,$V5579,'①在庫を貼る'!$W$6:$W$10005,$W5579)&gt;0),N(U5578),N(U5578)+1))</f>
        <v/>
      </c>
      <c r="V5579" s="19">
        <f>IF($B5579="","",TEXT($B5579,"0000"))</f>
        <v/>
      </c>
      <c r="W5579" s="19">
        <f>IF($I5579="","",IF(ISNUMBER($I5579),TEXT($I5579,"0"),$I5579))</f>
        <v/>
      </c>
    </row>
    <row r="5580">
      <c r="B5580" s="25" t="n"/>
      <c r="I5580" s="25" t="n"/>
      <c r="U5580" s="19">
        <f>IF($V5580&lt;&gt;'設定'!$C$4,N(U5579),IF(OR(NOT(COUNTIF('商品マスタ'!$B$6:$B$1005,$W5580)=0),COUNTIFS('①在庫を貼る'!$V$6:$V$10005,$V5580,'①在庫を貼る'!$W$6:$W$10005,$W5580)&gt;0),N(U5579),N(U5579)+1))</f>
        <v/>
      </c>
      <c r="V5580" s="19">
        <f>IF($B5580="","",TEXT($B5580,"0000"))</f>
        <v/>
      </c>
      <c r="W5580" s="19">
        <f>IF($I5580="","",IF(ISNUMBER($I5580),TEXT($I5580,"0"),$I5580))</f>
        <v/>
      </c>
    </row>
    <row r="5581">
      <c r="B5581" s="25" t="n"/>
      <c r="I5581" s="25" t="n"/>
      <c r="U5581" s="19">
        <f>IF($V5581&lt;&gt;'設定'!$C$4,N(U5580),IF(OR(NOT(COUNTIF('商品マスタ'!$B$6:$B$1005,$W5581)=0),COUNTIFS('①在庫を貼る'!$V$6:$V$10005,$V5581,'①在庫を貼る'!$W$6:$W$10005,$W5581)&gt;0),N(U5580),N(U5580)+1))</f>
        <v/>
      </c>
      <c r="V5581" s="19">
        <f>IF($B5581="","",TEXT($B5581,"0000"))</f>
        <v/>
      </c>
      <c r="W5581" s="19">
        <f>IF($I5581="","",IF(ISNUMBER($I5581),TEXT($I5581,"0"),$I5581))</f>
        <v/>
      </c>
    </row>
    <row r="5582">
      <c r="B5582" s="25" t="n"/>
      <c r="I5582" s="25" t="n"/>
      <c r="U5582" s="19">
        <f>IF($V5582&lt;&gt;'設定'!$C$4,N(U5581),IF(OR(NOT(COUNTIF('商品マスタ'!$B$6:$B$1005,$W5582)=0),COUNTIFS('①在庫を貼る'!$V$6:$V$10005,$V5582,'①在庫を貼る'!$W$6:$W$10005,$W5582)&gt;0),N(U5581),N(U5581)+1))</f>
        <v/>
      </c>
      <c r="V5582" s="19">
        <f>IF($B5582="","",TEXT($B5582,"0000"))</f>
        <v/>
      </c>
      <c r="W5582" s="19">
        <f>IF($I5582="","",IF(ISNUMBER($I5582),TEXT($I5582,"0"),$I5582))</f>
        <v/>
      </c>
    </row>
    <row r="5583">
      <c r="B5583" s="25" t="n"/>
      <c r="I5583" s="25" t="n"/>
      <c r="U5583" s="19">
        <f>IF($V5583&lt;&gt;'設定'!$C$4,N(U5582),IF(OR(NOT(COUNTIF('商品マスタ'!$B$6:$B$1005,$W5583)=0),COUNTIFS('①在庫を貼る'!$V$6:$V$10005,$V5583,'①在庫を貼る'!$W$6:$W$10005,$W5583)&gt;0),N(U5582),N(U5582)+1))</f>
        <v/>
      </c>
      <c r="V5583" s="19">
        <f>IF($B5583="","",TEXT($B5583,"0000"))</f>
        <v/>
      </c>
      <c r="W5583" s="19">
        <f>IF($I5583="","",IF(ISNUMBER($I5583),TEXT($I5583,"0"),$I5583))</f>
        <v/>
      </c>
    </row>
    <row r="5584">
      <c r="B5584" s="25" t="n"/>
      <c r="I5584" s="25" t="n"/>
      <c r="U5584" s="19">
        <f>IF($V5584&lt;&gt;'設定'!$C$4,N(U5583),IF(OR(NOT(COUNTIF('商品マスタ'!$B$6:$B$1005,$W5584)=0),COUNTIFS('①在庫を貼る'!$V$6:$V$10005,$V5584,'①在庫を貼る'!$W$6:$W$10005,$W5584)&gt;0),N(U5583),N(U5583)+1))</f>
        <v/>
      </c>
      <c r="V5584" s="19">
        <f>IF($B5584="","",TEXT($B5584,"0000"))</f>
        <v/>
      </c>
      <c r="W5584" s="19">
        <f>IF($I5584="","",IF(ISNUMBER($I5584),TEXT($I5584,"0"),$I5584))</f>
        <v/>
      </c>
    </row>
    <row r="5585">
      <c r="B5585" s="25" t="n"/>
      <c r="I5585" s="25" t="n"/>
      <c r="U5585" s="19">
        <f>IF($V5585&lt;&gt;'設定'!$C$4,N(U5584),IF(OR(NOT(COUNTIF('商品マスタ'!$B$6:$B$1005,$W5585)=0),COUNTIFS('①在庫を貼る'!$V$6:$V$10005,$V5585,'①在庫を貼る'!$W$6:$W$10005,$W5585)&gt;0),N(U5584),N(U5584)+1))</f>
        <v/>
      </c>
      <c r="V5585" s="19">
        <f>IF($B5585="","",TEXT($B5585,"0000"))</f>
        <v/>
      </c>
      <c r="W5585" s="19">
        <f>IF($I5585="","",IF(ISNUMBER($I5585),TEXT($I5585,"0"),$I5585))</f>
        <v/>
      </c>
    </row>
    <row r="5586">
      <c r="B5586" s="25" t="n"/>
      <c r="I5586" s="25" t="n"/>
      <c r="U5586" s="19">
        <f>IF($V5586&lt;&gt;'設定'!$C$4,N(U5585),IF(OR(NOT(COUNTIF('商品マスタ'!$B$6:$B$1005,$W5586)=0),COUNTIFS('①在庫を貼る'!$V$6:$V$10005,$V5586,'①在庫を貼る'!$W$6:$W$10005,$W5586)&gt;0),N(U5585),N(U5585)+1))</f>
        <v/>
      </c>
      <c r="V5586" s="19">
        <f>IF($B5586="","",TEXT($B5586,"0000"))</f>
        <v/>
      </c>
      <c r="W5586" s="19">
        <f>IF($I5586="","",IF(ISNUMBER($I5586),TEXT($I5586,"0"),$I5586))</f>
        <v/>
      </c>
    </row>
    <row r="5587">
      <c r="B5587" s="25" t="n"/>
      <c r="I5587" s="25" t="n"/>
      <c r="U5587" s="19">
        <f>IF($V5587&lt;&gt;'設定'!$C$4,N(U5586),IF(OR(NOT(COUNTIF('商品マスタ'!$B$6:$B$1005,$W5587)=0),COUNTIFS('①在庫を貼る'!$V$6:$V$10005,$V5587,'①在庫を貼る'!$W$6:$W$10005,$W5587)&gt;0),N(U5586),N(U5586)+1))</f>
        <v/>
      </c>
      <c r="V5587" s="19">
        <f>IF($B5587="","",TEXT($B5587,"0000"))</f>
        <v/>
      </c>
      <c r="W5587" s="19">
        <f>IF($I5587="","",IF(ISNUMBER($I5587),TEXT($I5587,"0"),$I5587))</f>
        <v/>
      </c>
    </row>
    <row r="5588">
      <c r="B5588" s="25" t="n"/>
      <c r="I5588" s="25" t="n"/>
      <c r="U5588" s="19">
        <f>IF($V5588&lt;&gt;'設定'!$C$4,N(U5587),IF(OR(NOT(COUNTIF('商品マスタ'!$B$6:$B$1005,$W5588)=0),COUNTIFS('①在庫を貼る'!$V$6:$V$10005,$V5588,'①在庫を貼る'!$W$6:$W$10005,$W5588)&gt;0),N(U5587),N(U5587)+1))</f>
        <v/>
      </c>
      <c r="V5588" s="19">
        <f>IF($B5588="","",TEXT($B5588,"0000"))</f>
        <v/>
      </c>
      <c r="W5588" s="19">
        <f>IF($I5588="","",IF(ISNUMBER($I5588),TEXT($I5588,"0"),$I5588))</f>
        <v/>
      </c>
    </row>
    <row r="5589">
      <c r="B5589" s="25" t="n"/>
      <c r="I5589" s="25" t="n"/>
      <c r="U5589" s="19">
        <f>IF($V5589&lt;&gt;'設定'!$C$4,N(U5588),IF(OR(NOT(COUNTIF('商品マスタ'!$B$6:$B$1005,$W5589)=0),COUNTIFS('①在庫を貼る'!$V$6:$V$10005,$V5589,'①在庫を貼る'!$W$6:$W$10005,$W5589)&gt;0),N(U5588),N(U5588)+1))</f>
        <v/>
      </c>
      <c r="V5589" s="19">
        <f>IF($B5589="","",TEXT($B5589,"0000"))</f>
        <v/>
      </c>
      <c r="W5589" s="19">
        <f>IF($I5589="","",IF(ISNUMBER($I5589),TEXT($I5589,"0"),$I5589))</f>
        <v/>
      </c>
    </row>
    <row r="5590">
      <c r="B5590" s="25" t="n"/>
      <c r="I5590" s="25" t="n"/>
      <c r="U5590" s="19">
        <f>IF($V5590&lt;&gt;'設定'!$C$4,N(U5589),IF(OR(NOT(COUNTIF('商品マスタ'!$B$6:$B$1005,$W5590)=0),COUNTIFS('①在庫を貼る'!$V$6:$V$10005,$V5590,'①在庫を貼る'!$W$6:$W$10005,$W5590)&gt;0),N(U5589),N(U5589)+1))</f>
        <v/>
      </c>
      <c r="V5590" s="19">
        <f>IF($B5590="","",TEXT($B5590,"0000"))</f>
        <v/>
      </c>
      <c r="W5590" s="19">
        <f>IF($I5590="","",IF(ISNUMBER($I5590),TEXT($I5590,"0"),$I5590))</f>
        <v/>
      </c>
    </row>
    <row r="5591">
      <c r="B5591" s="25" t="n"/>
      <c r="I5591" s="25" t="n"/>
      <c r="U5591" s="19">
        <f>IF($V5591&lt;&gt;'設定'!$C$4,N(U5590),IF(OR(NOT(COUNTIF('商品マスタ'!$B$6:$B$1005,$W5591)=0),COUNTIFS('①在庫を貼る'!$V$6:$V$10005,$V5591,'①在庫を貼る'!$W$6:$W$10005,$W5591)&gt;0),N(U5590),N(U5590)+1))</f>
        <v/>
      </c>
      <c r="V5591" s="19">
        <f>IF($B5591="","",TEXT($B5591,"0000"))</f>
        <v/>
      </c>
      <c r="W5591" s="19">
        <f>IF($I5591="","",IF(ISNUMBER($I5591),TEXT($I5591,"0"),$I5591))</f>
        <v/>
      </c>
    </row>
    <row r="5592">
      <c r="B5592" s="25" t="n"/>
      <c r="I5592" s="25" t="n"/>
      <c r="U5592" s="19">
        <f>IF($V5592&lt;&gt;'設定'!$C$4,N(U5591),IF(OR(NOT(COUNTIF('商品マスタ'!$B$6:$B$1005,$W5592)=0),COUNTIFS('①在庫を貼る'!$V$6:$V$10005,$V5592,'①在庫を貼る'!$W$6:$W$10005,$W5592)&gt;0),N(U5591),N(U5591)+1))</f>
        <v/>
      </c>
      <c r="V5592" s="19">
        <f>IF($B5592="","",TEXT($B5592,"0000"))</f>
        <v/>
      </c>
      <c r="W5592" s="19">
        <f>IF($I5592="","",IF(ISNUMBER($I5592),TEXT($I5592,"0"),$I5592))</f>
        <v/>
      </c>
    </row>
    <row r="5593">
      <c r="B5593" s="25" t="n"/>
      <c r="I5593" s="25" t="n"/>
      <c r="U5593" s="19">
        <f>IF($V5593&lt;&gt;'設定'!$C$4,N(U5592),IF(OR(NOT(COUNTIF('商品マスタ'!$B$6:$B$1005,$W5593)=0),COUNTIFS('①在庫を貼る'!$V$6:$V$10005,$V5593,'①在庫を貼る'!$W$6:$W$10005,$W5593)&gt;0),N(U5592),N(U5592)+1))</f>
        <v/>
      </c>
      <c r="V5593" s="19">
        <f>IF($B5593="","",TEXT($B5593,"0000"))</f>
        <v/>
      </c>
      <c r="W5593" s="19">
        <f>IF($I5593="","",IF(ISNUMBER($I5593),TEXT($I5593,"0"),$I5593))</f>
        <v/>
      </c>
    </row>
    <row r="5594">
      <c r="B5594" s="25" t="n"/>
      <c r="I5594" s="25" t="n"/>
      <c r="U5594" s="19">
        <f>IF($V5594&lt;&gt;'設定'!$C$4,N(U5593),IF(OR(NOT(COUNTIF('商品マスタ'!$B$6:$B$1005,$W5594)=0),COUNTIFS('①在庫を貼る'!$V$6:$V$10005,$V5594,'①在庫を貼る'!$W$6:$W$10005,$W5594)&gt;0),N(U5593),N(U5593)+1))</f>
        <v/>
      </c>
      <c r="V5594" s="19">
        <f>IF($B5594="","",TEXT($B5594,"0000"))</f>
        <v/>
      </c>
      <c r="W5594" s="19">
        <f>IF($I5594="","",IF(ISNUMBER($I5594),TEXT($I5594,"0"),$I5594))</f>
        <v/>
      </c>
    </row>
    <row r="5595">
      <c r="B5595" s="25" t="n"/>
      <c r="I5595" s="25" t="n"/>
      <c r="U5595" s="19">
        <f>IF($V5595&lt;&gt;'設定'!$C$4,N(U5594),IF(OR(NOT(COUNTIF('商品マスタ'!$B$6:$B$1005,$W5595)=0),COUNTIFS('①在庫を貼る'!$V$6:$V$10005,$V5595,'①在庫を貼る'!$W$6:$W$10005,$W5595)&gt;0),N(U5594),N(U5594)+1))</f>
        <v/>
      </c>
      <c r="V5595" s="19">
        <f>IF($B5595="","",TEXT($B5595,"0000"))</f>
        <v/>
      </c>
      <c r="W5595" s="19">
        <f>IF($I5595="","",IF(ISNUMBER($I5595),TEXT($I5595,"0"),$I5595))</f>
        <v/>
      </c>
    </row>
    <row r="5596">
      <c r="B5596" s="25" t="n"/>
      <c r="I5596" s="25" t="n"/>
      <c r="U5596" s="19">
        <f>IF($V5596&lt;&gt;'設定'!$C$4,N(U5595),IF(OR(NOT(COUNTIF('商品マスタ'!$B$6:$B$1005,$W5596)=0),COUNTIFS('①在庫を貼る'!$V$6:$V$10005,$V5596,'①在庫を貼る'!$W$6:$W$10005,$W5596)&gt;0),N(U5595),N(U5595)+1))</f>
        <v/>
      </c>
      <c r="V5596" s="19">
        <f>IF($B5596="","",TEXT($B5596,"0000"))</f>
        <v/>
      </c>
      <c r="W5596" s="19">
        <f>IF($I5596="","",IF(ISNUMBER($I5596),TEXT($I5596,"0"),$I5596))</f>
        <v/>
      </c>
    </row>
    <row r="5597">
      <c r="B5597" s="25" t="n"/>
      <c r="I5597" s="25" t="n"/>
      <c r="U5597" s="19">
        <f>IF($V5597&lt;&gt;'設定'!$C$4,N(U5596),IF(OR(NOT(COUNTIF('商品マスタ'!$B$6:$B$1005,$W5597)=0),COUNTIFS('①在庫を貼る'!$V$6:$V$10005,$V5597,'①在庫を貼る'!$W$6:$W$10005,$W5597)&gt;0),N(U5596),N(U5596)+1))</f>
        <v/>
      </c>
      <c r="V5597" s="19">
        <f>IF($B5597="","",TEXT($B5597,"0000"))</f>
        <v/>
      </c>
      <c r="W5597" s="19">
        <f>IF($I5597="","",IF(ISNUMBER($I5597),TEXT($I5597,"0"),$I5597))</f>
        <v/>
      </c>
    </row>
    <row r="5598">
      <c r="B5598" s="25" t="n"/>
      <c r="I5598" s="25" t="n"/>
      <c r="U5598" s="19">
        <f>IF($V5598&lt;&gt;'設定'!$C$4,N(U5597),IF(OR(NOT(COUNTIF('商品マスタ'!$B$6:$B$1005,$W5598)=0),COUNTIFS('①在庫を貼る'!$V$6:$V$10005,$V5598,'①在庫を貼る'!$W$6:$W$10005,$W5598)&gt;0),N(U5597),N(U5597)+1))</f>
        <v/>
      </c>
      <c r="V5598" s="19">
        <f>IF($B5598="","",TEXT($B5598,"0000"))</f>
        <v/>
      </c>
      <c r="W5598" s="19">
        <f>IF($I5598="","",IF(ISNUMBER($I5598),TEXT($I5598,"0"),$I5598))</f>
        <v/>
      </c>
    </row>
    <row r="5599">
      <c r="B5599" s="25" t="n"/>
      <c r="I5599" s="25" t="n"/>
      <c r="U5599" s="19">
        <f>IF($V5599&lt;&gt;'設定'!$C$4,N(U5598),IF(OR(NOT(COUNTIF('商品マスタ'!$B$6:$B$1005,$W5599)=0),COUNTIFS('①在庫を貼る'!$V$6:$V$10005,$V5599,'①在庫を貼る'!$W$6:$W$10005,$W5599)&gt;0),N(U5598),N(U5598)+1))</f>
        <v/>
      </c>
      <c r="V5599" s="19">
        <f>IF($B5599="","",TEXT($B5599,"0000"))</f>
        <v/>
      </c>
      <c r="W5599" s="19">
        <f>IF($I5599="","",IF(ISNUMBER($I5599),TEXT($I5599,"0"),$I5599))</f>
        <v/>
      </c>
    </row>
    <row r="5600">
      <c r="B5600" s="25" t="n"/>
      <c r="I5600" s="25" t="n"/>
      <c r="U5600" s="19">
        <f>IF($V5600&lt;&gt;'設定'!$C$4,N(U5599),IF(OR(NOT(COUNTIF('商品マスタ'!$B$6:$B$1005,$W5600)=0),COUNTIFS('①在庫を貼る'!$V$6:$V$10005,$V5600,'①在庫を貼る'!$W$6:$W$10005,$W5600)&gt;0),N(U5599),N(U5599)+1))</f>
        <v/>
      </c>
      <c r="V5600" s="19">
        <f>IF($B5600="","",TEXT($B5600,"0000"))</f>
        <v/>
      </c>
      <c r="W5600" s="19">
        <f>IF($I5600="","",IF(ISNUMBER($I5600),TEXT($I5600,"0"),$I5600))</f>
        <v/>
      </c>
    </row>
    <row r="5601">
      <c r="B5601" s="25" t="n"/>
      <c r="I5601" s="25" t="n"/>
      <c r="U5601" s="19">
        <f>IF($V5601&lt;&gt;'設定'!$C$4,N(U5600),IF(OR(NOT(COUNTIF('商品マスタ'!$B$6:$B$1005,$W5601)=0),COUNTIFS('①在庫を貼る'!$V$6:$V$10005,$V5601,'①在庫を貼る'!$W$6:$W$10005,$W5601)&gt;0),N(U5600),N(U5600)+1))</f>
        <v/>
      </c>
      <c r="V5601" s="19">
        <f>IF($B5601="","",TEXT($B5601,"0000"))</f>
        <v/>
      </c>
      <c r="W5601" s="19">
        <f>IF($I5601="","",IF(ISNUMBER($I5601),TEXT($I5601,"0"),$I5601))</f>
        <v/>
      </c>
    </row>
    <row r="5602">
      <c r="B5602" s="25" t="n"/>
      <c r="I5602" s="25" t="n"/>
      <c r="U5602" s="19">
        <f>IF($V5602&lt;&gt;'設定'!$C$4,N(U5601),IF(OR(NOT(COUNTIF('商品マスタ'!$B$6:$B$1005,$W5602)=0),COUNTIFS('①在庫を貼る'!$V$6:$V$10005,$V5602,'①在庫を貼る'!$W$6:$W$10005,$W5602)&gt;0),N(U5601),N(U5601)+1))</f>
        <v/>
      </c>
      <c r="V5602" s="19">
        <f>IF($B5602="","",TEXT($B5602,"0000"))</f>
        <v/>
      </c>
      <c r="W5602" s="19">
        <f>IF($I5602="","",IF(ISNUMBER($I5602),TEXT($I5602,"0"),$I5602))</f>
        <v/>
      </c>
    </row>
    <row r="5603">
      <c r="B5603" s="25" t="n"/>
      <c r="I5603" s="25" t="n"/>
      <c r="U5603" s="19">
        <f>IF($V5603&lt;&gt;'設定'!$C$4,N(U5602),IF(OR(NOT(COUNTIF('商品マスタ'!$B$6:$B$1005,$W5603)=0),COUNTIFS('①在庫を貼る'!$V$6:$V$10005,$V5603,'①在庫を貼る'!$W$6:$W$10005,$W5603)&gt;0),N(U5602),N(U5602)+1))</f>
        <v/>
      </c>
      <c r="V5603" s="19">
        <f>IF($B5603="","",TEXT($B5603,"0000"))</f>
        <v/>
      </c>
      <c r="W5603" s="19">
        <f>IF($I5603="","",IF(ISNUMBER($I5603),TEXT($I5603,"0"),$I5603))</f>
        <v/>
      </c>
    </row>
    <row r="5604">
      <c r="B5604" s="25" t="n"/>
      <c r="I5604" s="25" t="n"/>
      <c r="U5604" s="19">
        <f>IF($V5604&lt;&gt;'設定'!$C$4,N(U5603),IF(OR(NOT(COUNTIF('商品マスタ'!$B$6:$B$1005,$W5604)=0),COUNTIFS('①在庫を貼る'!$V$6:$V$10005,$V5604,'①在庫を貼る'!$W$6:$W$10005,$W5604)&gt;0),N(U5603),N(U5603)+1))</f>
        <v/>
      </c>
      <c r="V5604" s="19">
        <f>IF($B5604="","",TEXT($B5604,"0000"))</f>
        <v/>
      </c>
      <c r="W5604" s="19">
        <f>IF($I5604="","",IF(ISNUMBER($I5604),TEXT($I5604,"0"),$I5604))</f>
        <v/>
      </c>
    </row>
    <row r="5605">
      <c r="B5605" s="25" t="n"/>
      <c r="I5605" s="25" t="n"/>
      <c r="U5605" s="19">
        <f>IF($V5605&lt;&gt;'設定'!$C$4,N(U5604),IF(OR(NOT(COUNTIF('商品マスタ'!$B$6:$B$1005,$W5605)=0),COUNTIFS('①在庫を貼る'!$V$6:$V$10005,$V5605,'①在庫を貼る'!$W$6:$W$10005,$W5605)&gt;0),N(U5604),N(U5604)+1))</f>
        <v/>
      </c>
      <c r="V5605" s="19">
        <f>IF($B5605="","",TEXT($B5605,"0000"))</f>
        <v/>
      </c>
      <c r="W5605" s="19">
        <f>IF($I5605="","",IF(ISNUMBER($I5605),TEXT($I5605,"0"),$I5605))</f>
        <v/>
      </c>
    </row>
    <row r="5606">
      <c r="B5606" s="25" t="n"/>
      <c r="I5606" s="25" t="n"/>
      <c r="U5606" s="19">
        <f>IF($V5606&lt;&gt;'設定'!$C$4,N(U5605),IF(OR(NOT(COUNTIF('商品マスタ'!$B$6:$B$1005,$W5606)=0),COUNTIFS('①在庫を貼る'!$V$6:$V$10005,$V5606,'①在庫を貼る'!$W$6:$W$10005,$W5606)&gt;0),N(U5605),N(U5605)+1))</f>
        <v/>
      </c>
      <c r="V5606" s="19">
        <f>IF($B5606="","",TEXT($B5606,"0000"))</f>
        <v/>
      </c>
      <c r="W5606" s="19">
        <f>IF($I5606="","",IF(ISNUMBER($I5606),TEXT($I5606,"0"),$I5606))</f>
        <v/>
      </c>
    </row>
    <row r="5607">
      <c r="B5607" s="25" t="n"/>
      <c r="I5607" s="25" t="n"/>
      <c r="U5607" s="19">
        <f>IF($V5607&lt;&gt;'設定'!$C$4,N(U5606),IF(OR(NOT(COUNTIF('商品マスタ'!$B$6:$B$1005,$W5607)=0),COUNTIFS('①在庫を貼る'!$V$6:$V$10005,$V5607,'①在庫を貼る'!$W$6:$W$10005,$W5607)&gt;0),N(U5606),N(U5606)+1))</f>
        <v/>
      </c>
      <c r="V5607" s="19">
        <f>IF($B5607="","",TEXT($B5607,"0000"))</f>
        <v/>
      </c>
      <c r="W5607" s="19">
        <f>IF($I5607="","",IF(ISNUMBER($I5607),TEXT($I5607,"0"),$I5607))</f>
        <v/>
      </c>
    </row>
    <row r="5608">
      <c r="B5608" s="25" t="n"/>
      <c r="I5608" s="25" t="n"/>
      <c r="U5608" s="19">
        <f>IF($V5608&lt;&gt;'設定'!$C$4,N(U5607),IF(OR(NOT(COUNTIF('商品マスタ'!$B$6:$B$1005,$W5608)=0),COUNTIFS('①在庫を貼る'!$V$6:$V$10005,$V5608,'①在庫を貼る'!$W$6:$W$10005,$W5608)&gt;0),N(U5607),N(U5607)+1))</f>
        <v/>
      </c>
      <c r="V5608" s="19">
        <f>IF($B5608="","",TEXT($B5608,"0000"))</f>
        <v/>
      </c>
      <c r="W5608" s="19">
        <f>IF($I5608="","",IF(ISNUMBER($I5608),TEXT($I5608,"0"),$I5608))</f>
        <v/>
      </c>
    </row>
    <row r="5609">
      <c r="B5609" s="25" t="n"/>
      <c r="I5609" s="25" t="n"/>
      <c r="U5609" s="19">
        <f>IF($V5609&lt;&gt;'設定'!$C$4,N(U5608),IF(OR(NOT(COUNTIF('商品マスタ'!$B$6:$B$1005,$W5609)=0),COUNTIFS('①在庫を貼る'!$V$6:$V$10005,$V5609,'①在庫を貼る'!$W$6:$W$10005,$W5609)&gt;0),N(U5608),N(U5608)+1))</f>
        <v/>
      </c>
      <c r="V5609" s="19">
        <f>IF($B5609="","",TEXT($B5609,"0000"))</f>
        <v/>
      </c>
      <c r="W5609" s="19">
        <f>IF($I5609="","",IF(ISNUMBER($I5609),TEXT($I5609,"0"),$I5609))</f>
        <v/>
      </c>
    </row>
    <row r="5610">
      <c r="B5610" s="25" t="n"/>
      <c r="I5610" s="25" t="n"/>
      <c r="U5610" s="19">
        <f>IF($V5610&lt;&gt;'設定'!$C$4,N(U5609),IF(OR(NOT(COUNTIF('商品マスタ'!$B$6:$B$1005,$W5610)=0),COUNTIFS('①在庫を貼る'!$V$6:$V$10005,$V5610,'①在庫を貼る'!$W$6:$W$10005,$W5610)&gt;0),N(U5609),N(U5609)+1))</f>
        <v/>
      </c>
      <c r="V5610" s="19">
        <f>IF($B5610="","",TEXT($B5610,"0000"))</f>
        <v/>
      </c>
      <c r="W5610" s="19">
        <f>IF($I5610="","",IF(ISNUMBER($I5610),TEXT($I5610,"0"),$I5610))</f>
        <v/>
      </c>
    </row>
    <row r="5611">
      <c r="B5611" s="25" t="n"/>
      <c r="I5611" s="25" t="n"/>
      <c r="U5611" s="19">
        <f>IF($V5611&lt;&gt;'設定'!$C$4,N(U5610),IF(OR(NOT(COUNTIF('商品マスタ'!$B$6:$B$1005,$W5611)=0),COUNTIFS('①在庫を貼る'!$V$6:$V$10005,$V5611,'①在庫を貼る'!$W$6:$W$10005,$W5611)&gt;0),N(U5610),N(U5610)+1))</f>
        <v/>
      </c>
      <c r="V5611" s="19">
        <f>IF($B5611="","",TEXT($B5611,"0000"))</f>
        <v/>
      </c>
      <c r="W5611" s="19">
        <f>IF($I5611="","",IF(ISNUMBER($I5611),TEXT($I5611,"0"),$I5611))</f>
        <v/>
      </c>
    </row>
    <row r="5612">
      <c r="B5612" s="25" t="n"/>
      <c r="I5612" s="25" t="n"/>
      <c r="U5612" s="19">
        <f>IF($V5612&lt;&gt;'設定'!$C$4,N(U5611),IF(OR(NOT(COUNTIF('商品マスタ'!$B$6:$B$1005,$W5612)=0),COUNTIFS('①在庫を貼る'!$V$6:$V$10005,$V5612,'①在庫を貼る'!$W$6:$W$10005,$W5612)&gt;0),N(U5611),N(U5611)+1))</f>
        <v/>
      </c>
      <c r="V5612" s="19">
        <f>IF($B5612="","",TEXT($B5612,"0000"))</f>
        <v/>
      </c>
      <c r="W5612" s="19">
        <f>IF($I5612="","",IF(ISNUMBER($I5612),TEXT($I5612,"0"),$I5612))</f>
        <v/>
      </c>
    </row>
    <row r="5613">
      <c r="B5613" s="25" t="n"/>
      <c r="I5613" s="25" t="n"/>
      <c r="U5613" s="19">
        <f>IF($V5613&lt;&gt;'設定'!$C$4,N(U5612),IF(OR(NOT(COUNTIF('商品マスタ'!$B$6:$B$1005,$W5613)=0),COUNTIFS('①在庫を貼る'!$V$6:$V$10005,$V5613,'①在庫を貼る'!$W$6:$W$10005,$W5613)&gt;0),N(U5612),N(U5612)+1))</f>
        <v/>
      </c>
      <c r="V5613" s="19">
        <f>IF($B5613="","",TEXT($B5613,"0000"))</f>
        <v/>
      </c>
      <c r="W5613" s="19">
        <f>IF($I5613="","",IF(ISNUMBER($I5613),TEXT($I5613,"0"),$I5613))</f>
        <v/>
      </c>
    </row>
    <row r="5614">
      <c r="B5614" s="25" t="n"/>
      <c r="I5614" s="25" t="n"/>
      <c r="U5614" s="19">
        <f>IF($V5614&lt;&gt;'設定'!$C$4,N(U5613),IF(OR(NOT(COUNTIF('商品マスタ'!$B$6:$B$1005,$W5614)=0),COUNTIFS('①在庫を貼る'!$V$6:$V$10005,$V5614,'①在庫を貼る'!$W$6:$W$10005,$W5614)&gt;0),N(U5613),N(U5613)+1))</f>
        <v/>
      </c>
      <c r="V5614" s="19">
        <f>IF($B5614="","",TEXT($B5614,"0000"))</f>
        <v/>
      </c>
      <c r="W5614" s="19">
        <f>IF($I5614="","",IF(ISNUMBER($I5614),TEXT($I5614,"0"),$I5614))</f>
        <v/>
      </c>
    </row>
    <row r="5615">
      <c r="B5615" s="25" t="n"/>
      <c r="I5615" s="25" t="n"/>
      <c r="U5615" s="19">
        <f>IF($V5615&lt;&gt;'設定'!$C$4,N(U5614),IF(OR(NOT(COUNTIF('商品マスタ'!$B$6:$B$1005,$W5615)=0),COUNTIFS('①在庫を貼る'!$V$6:$V$10005,$V5615,'①在庫を貼る'!$W$6:$W$10005,$W5615)&gt;0),N(U5614),N(U5614)+1))</f>
        <v/>
      </c>
      <c r="V5615" s="19">
        <f>IF($B5615="","",TEXT($B5615,"0000"))</f>
        <v/>
      </c>
      <c r="W5615" s="19">
        <f>IF($I5615="","",IF(ISNUMBER($I5615),TEXT($I5615,"0"),$I5615))</f>
        <v/>
      </c>
    </row>
    <row r="5616">
      <c r="B5616" s="25" t="n"/>
      <c r="I5616" s="25" t="n"/>
      <c r="U5616" s="19">
        <f>IF($V5616&lt;&gt;'設定'!$C$4,N(U5615),IF(OR(NOT(COUNTIF('商品マスタ'!$B$6:$B$1005,$W5616)=0),COUNTIFS('①在庫を貼る'!$V$6:$V$10005,$V5616,'①在庫を貼る'!$W$6:$W$10005,$W5616)&gt;0),N(U5615),N(U5615)+1))</f>
        <v/>
      </c>
      <c r="V5616" s="19">
        <f>IF($B5616="","",TEXT($B5616,"0000"))</f>
        <v/>
      </c>
      <c r="W5616" s="19">
        <f>IF($I5616="","",IF(ISNUMBER($I5616),TEXT($I5616,"0"),$I5616))</f>
        <v/>
      </c>
    </row>
    <row r="5617">
      <c r="B5617" s="25" t="n"/>
      <c r="I5617" s="25" t="n"/>
      <c r="U5617" s="19">
        <f>IF($V5617&lt;&gt;'設定'!$C$4,N(U5616),IF(OR(NOT(COUNTIF('商品マスタ'!$B$6:$B$1005,$W5617)=0),COUNTIFS('①在庫を貼る'!$V$6:$V$10005,$V5617,'①在庫を貼る'!$W$6:$W$10005,$W5617)&gt;0),N(U5616),N(U5616)+1))</f>
        <v/>
      </c>
      <c r="V5617" s="19">
        <f>IF($B5617="","",TEXT($B5617,"0000"))</f>
        <v/>
      </c>
      <c r="W5617" s="19">
        <f>IF($I5617="","",IF(ISNUMBER($I5617),TEXT($I5617,"0"),$I5617))</f>
        <v/>
      </c>
    </row>
    <row r="5618">
      <c r="B5618" s="25" t="n"/>
      <c r="I5618" s="25" t="n"/>
      <c r="U5618" s="19">
        <f>IF($V5618&lt;&gt;'設定'!$C$4,N(U5617),IF(OR(NOT(COUNTIF('商品マスタ'!$B$6:$B$1005,$W5618)=0),COUNTIFS('①在庫を貼る'!$V$6:$V$10005,$V5618,'①在庫を貼る'!$W$6:$W$10005,$W5618)&gt;0),N(U5617),N(U5617)+1))</f>
        <v/>
      </c>
      <c r="V5618" s="19">
        <f>IF($B5618="","",TEXT($B5618,"0000"))</f>
        <v/>
      </c>
      <c r="W5618" s="19">
        <f>IF($I5618="","",IF(ISNUMBER($I5618),TEXT($I5618,"0"),$I5618))</f>
        <v/>
      </c>
    </row>
    <row r="5619">
      <c r="B5619" s="25" t="n"/>
      <c r="I5619" s="25" t="n"/>
      <c r="U5619" s="19">
        <f>IF($V5619&lt;&gt;'設定'!$C$4,N(U5618),IF(OR(NOT(COUNTIF('商品マスタ'!$B$6:$B$1005,$W5619)=0),COUNTIFS('①在庫を貼る'!$V$6:$V$10005,$V5619,'①在庫を貼る'!$W$6:$W$10005,$W5619)&gt;0),N(U5618),N(U5618)+1))</f>
        <v/>
      </c>
      <c r="V5619" s="19">
        <f>IF($B5619="","",TEXT($B5619,"0000"))</f>
        <v/>
      </c>
      <c r="W5619" s="19">
        <f>IF($I5619="","",IF(ISNUMBER($I5619),TEXT($I5619,"0"),$I5619))</f>
        <v/>
      </c>
    </row>
    <row r="5620">
      <c r="B5620" s="25" t="n"/>
      <c r="I5620" s="25" t="n"/>
      <c r="U5620" s="19">
        <f>IF($V5620&lt;&gt;'設定'!$C$4,N(U5619),IF(OR(NOT(COUNTIF('商品マスタ'!$B$6:$B$1005,$W5620)=0),COUNTIFS('①在庫を貼る'!$V$6:$V$10005,$V5620,'①在庫を貼る'!$W$6:$W$10005,$W5620)&gt;0),N(U5619),N(U5619)+1))</f>
        <v/>
      </c>
      <c r="V5620" s="19">
        <f>IF($B5620="","",TEXT($B5620,"0000"))</f>
        <v/>
      </c>
      <c r="W5620" s="19">
        <f>IF($I5620="","",IF(ISNUMBER($I5620),TEXT($I5620,"0"),$I5620))</f>
        <v/>
      </c>
    </row>
    <row r="5621">
      <c r="B5621" s="25" t="n"/>
      <c r="I5621" s="25" t="n"/>
      <c r="U5621" s="19">
        <f>IF($V5621&lt;&gt;'設定'!$C$4,N(U5620),IF(OR(NOT(COUNTIF('商品マスタ'!$B$6:$B$1005,$W5621)=0),COUNTIFS('①在庫を貼る'!$V$6:$V$10005,$V5621,'①在庫を貼る'!$W$6:$W$10005,$W5621)&gt;0),N(U5620),N(U5620)+1))</f>
        <v/>
      </c>
      <c r="V5621" s="19">
        <f>IF($B5621="","",TEXT($B5621,"0000"))</f>
        <v/>
      </c>
      <c r="W5621" s="19">
        <f>IF($I5621="","",IF(ISNUMBER($I5621),TEXT($I5621,"0"),$I5621))</f>
        <v/>
      </c>
    </row>
    <row r="5622">
      <c r="B5622" s="25" t="n"/>
      <c r="I5622" s="25" t="n"/>
      <c r="U5622" s="19">
        <f>IF($V5622&lt;&gt;'設定'!$C$4,N(U5621),IF(OR(NOT(COUNTIF('商品マスタ'!$B$6:$B$1005,$W5622)=0),COUNTIFS('①在庫を貼る'!$V$6:$V$10005,$V5622,'①在庫を貼る'!$W$6:$W$10005,$W5622)&gt;0),N(U5621),N(U5621)+1))</f>
        <v/>
      </c>
      <c r="V5622" s="19">
        <f>IF($B5622="","",TEXT($B5622,"0000"))</f>
        <v/>
      </c>
      <c r="W5622" s="19">
        <f>IF($I5622="","",IF(ISNUMBER($I5622),TEXT($I5622,"0"),$I5622))</f>
        <v/>
      </c>
    </row>
    <row r="5623">
      <c r="B5623" s="25" t="n"/>
      <c r="I5623" s="25" t="n"/>
      <c r="U5623" s="19">
        <f>IF($V5623&lt;&gt;'設定'!$C$4,N(U5622),IF(OR(NOT(COUNTIF('商品マスタ'!$B$6:$B$1005,$W5623)=0),COUNTIFS('①在庫を貼る'!$V$6:$V$10005,$V5623,'①在庫を貼る'!$W$6:$W$10005,$W5623)&gt;0),N(U5622),N(U5622)+1))</f>
        <v/>
      </c>
      <c r="V5623" s="19">
        <f>IF($B5623="","",TEXT($B5623,"0000"))</f>
        <v/>
      </c>
      <c r="W5623" s="19">
        <f>IF($I5623="","",IF(ISNUMBER($I5623),TEXT($I5623,"0"),$I5623))</f>
        <v/>
      </c>
    </row>
    <row r="5624">
      <c r="B5624" s="25" t="n"/>
      <c r="I5624" s="25" t="n"/>
      <c r="U5624" s="19">
        <f>IF($V5624&lt;&gt;'設定'!$C$4,N(U5623),IF(OR(NOT(COUNTIF('商品マスタ'!$B$6:$B$1005,$W5624)=0),COUNTIFS('①在庫を貼る'!$V$6:$V$10005,$V5624,'①在庫を貼る'!$W$6:$W$10005,$W5624)&gt;0),N(U5623),N(U5623)+1))</f>
        <v/>
      </c>
      <c r="V5624" s="19">
        <f>IF($B5624="","",TEXT($B5624,"0000"))</f>
        <v/>
      </c>
      <c r="W5624" s="19">
        <f>IF($I5624="","",IF(ISNUMBER($I5624),TEXT($I5624,"0"),$I5624))</f>
        <v/>
      </c>
    </row>
    <row r="5625">
      <c r="B5625" s="25" t="n"/>
      <c r="I5625" s="25" t="n"/>
      <c r="U5625" s="19">
        <f>IF($V5625&lt;&gt;'設定'!$C$4,N(U5624),IF(OR(NOT(COUNTIF('商品マスタ'!$B$6:$B$1005,$W5625)=0),COUNTIFS('①在庫を貼る'!$V$6:$V$10005,$V5625,'①在庫を貼る'!$W$6:$W$10005,$W5625)&gt;0),N(U5624),N(U5624)+1))</f>
        <v/>
      </c>
      <c r="V5625" s="19">
        <f>IF($B5625="","",TEXT($B5625,"0000"))</f>
        <v/>
      </c>
      <c r="W5625" s="19">
        <f>IF($I5625="","",IF(ISNUMBER($I5625),TEXT($I5625,"0"),$I5625))</f>
        <v/>
      </c>
    </row>
    <row r="5626">
      <c r="B5626" s="25" t="n"/>
      <c r="I5626" s="25" t="n"/>
      <c r="U5626" s="19">
        <f>IF($V5626&lt;&gt;'設定'!$C$4,N(U5625),IF(OR(NOT(COUNTIF('商品マスタ'!$B$6:$B$1005,$W5626)=0),COUNTIFS('①在庫を貼る'!$V$6:$V$10005,$V5626,'①在庫を貼る'!$W$6:$W$10005,$W5626)&gt;0),N(U5625),N(U5625)+1))</f>
        <v/>
      </c>
      <c r="V5626" s="19">
        <f>IF($B5626="","",TEXT($B5626,"0000"))</f>
        <v/>
      </c>
      <c r="W5626" s="19">
        <f>IF($I5626="","",IF(ISNUMBER($I5626),TEXT($I5626,"0"),$I5626))</f>
        <v/>
      </c>
    </row>
    <row r="5627">
      <c r="B5627" s="25" t="n"/>
      <c r="I5627" s="25" t="n"/>
      <c r="U5627" s="19">
        <f>IF($V5627&lt;&gt;'設定'!$C$4,N(U5626),IF(OR(NOT(COUNTIF('商品マスタ'!$B$6:$B$1005,$W5627)=0),COUNTIFS('①在庫を貼る'!$V$6:$V$10005,$V5627,'①在庫を貼る'!$W$6:$W$10005,$W5627)&gt;0),N(U5626),N(U5626)+1))</f>
        <v/>
      </c>
      <c r="V5627" s="19">
        <f>IF($B5627="","",TEXT($B5627,"0000"))</f>
        <v/>
      </c>
      <c r="W5627" s="19">
        <f>IF($I5627="","",IF(ISNUMBER($I5627),TEXT($I5627,"0"),$I5627))</f>
        <v/>
      </c>
    </row>
    <row r="5628">
      <c r="B5628" s="25" t="n"/>
      <c r="I5628" s="25" t="n"/>
      <c r="U5628" s="19">
        <f>IF($V5628&lt;&gt;'設定'!$C$4,N(U5627),IF(OR(NOT(COUNTIF('商品マスタ'!$B$6:$B$1005,$W5628)=0),COUNTIFS('①在庫を貼る'!$V$6:$V$10005,$V5628,'①在庫を貼る'!$W$6:$W$10005,$W5628)&gt;0),N(U5627),N(U5627)+1))</f>
        <v/>
      </c>
      <c r="V5628" s="19">
        <f>IF($B5628="","",TEXT($B5628,"0000"))</f>
        <v/>
      </c>
      <c r="W5628" s="19">
        <f>IF($I5628="","",IF(ISNUMBER($I5628),TEXT($I5628,"0"),$I5628))</f>
        <v/>
      </c>
    </row>
    <row r="5629">
      <c r="B5629" s="25" t="n"/>
      <c r="I5629" s="25" t="n"/>
      <c r="U5629" s="19">
        <f>IF($V5629&lt;&gt;'設定'!$C$4,N(U5628),IF(OR(NOT(COUNTIF('商品マスタ'!$B$6:$B$1005,$W5629)=0),COUNTIFS('①在庫を貼る'!$V$6:$V$10005,$V5629,'①在庫を貼る'!$W$6:$W$10005,$W5629)&gt;0),N(U5628),N(U5628)+1))</f>
        <v/>
      </c>
      <c r="V5629" s="19">
        <f>IF($B5629="","",TEXT($B5629,"0000"))</f>
        <v/>
      </c>
      <c r="W5629" s="19">
        <f>IF($I5629="","",IF(ISNUMBER($I5629),TEXT($I5629,"0"),$I5629))</f>
        <v/>
      </c>
    </row>
    <row r="5630">
      <c r="B5630" s="25" t="n"/>
      <c r="I5630" s="25" t="n"/>
      <c r="U5630" s="19">
        <f>IF($V5630&lt;&gt;'設定'!$C$4,N(U5629),IF(OR(NOT(COUNTIF('商品マスタ'!$B$6:$B$1005,$W5630)=0),COUNTIFS('①在庫を貼る'!$V$6:$V$10005,$V5630,'①在庫を貼る'!$W$6:$W$10005,$W5630)&gt;0),N(U5629),N(U5629)+1))</f>
        <v/>
      </c>
      <c r="V5630" s="19">
        <f>IF($B5630="","",TEXT($B5630,"0000"))</f>
        <v/>
      </c>
      <c r="W5630" s="19">
        <f>IF($I5630="","",IF(ISNUMBER($I5630),TEXT($I5630,"0"),$I5630))</f>
        <v/>
      </c>
    </row>
    <row r="5631">
      <c r="B5631" s="25" t="n"/>
      <c r="I5631" s="25" t="n"/>
      <c r="U5631" s="19">
        <f>IF($V5631&lt;&gt;'設定'!$C$4,N(U5630),IF(OR(NOT(COUNTIF('商品マスタ'!$B$6:$B$1005,$W5631)=0),COUNTIFS('①在庫を貼る'!$V$6:$V$10005,$V5631,'①在庫を貼る'!$W$6:$W$10005,$W5631)&gt;0),N(U5630),N(U5630)+1))</f>
        <v/>
      </c>
      <c r="V5631" s="19">
        <f>IF($B5631="","",TEXT($B5631,"0000"))</f>
        <v/>
      </c>
      <c r="W5631" s="19">
        <f>IF($I5631="","",IF(ISNUMBER($I5631),TEXT($I5631,"0"),$I5631))</f>
        <v/>
      </c>
    </row>
    <row r="5632">
      <c r="B5632" s="25" t="n"/>
      <c r="I5632" s="25" t="n"/>
      <c r="U5632" s="19">
        <f>IF($V5632&lt;&gt;'設定'!$C$4,N(U5631),IF(OR(NOT(COUNTIF('商品マスタ'!$B$6:$B$1005,$W5632)=0),COUNTIFS('①在庫を貼る'!$V$6:$V$10005,$V5632,'①在庫を貼る'!$W$6:$W$10005,$W5632)&gt;0),N(U5631),N(U5631)+1))</f>
        <v/>
      </c>
      <c r="V5632" s="19">
        <f>IF($B5632="","",TEXT($B5632,"0000"))</f>
        <v/>
      </c>
      <c r="W5632" s="19">
        <f>IF($I5632="","",IF(ISNUMBER($I5632),TEXT($I5632,"0"),$I5632))</f>
        <v/>
      </c>
    </row>
    <row r="5633">
      <c r="B5633" s="25" t="n"/>
      <c r="I5633" s="25" t="n"/>
      <c r="U5633" s="19">
        <f>IF($V5633&lt;&gt;'設定'!$C$4,N(U5632),IF(OR(NOT(COUNTIF('商品マスタ'!$B$6:$B$1005,$W5633)=0),COUNTIFS('①在庫を貼る'!$V$6:$V$10005,$V5633,'①在庫を貼る'!$W$6:$W$10005,$W5633)&gt;0),N(U5632),N(U5632)+1))</f>
        <v/>
      </c>
      <c r="V5633" s="19">
        <f>IF($B5633="","",TEXT($B5633,"0000"))</f>
        <v/>
      </c>
      <c r="W5633" s="19">
        <f>IF($I5633="","",IF(ISNUMBER($I5633),TEXT($I5633,"0"),$I5633))</f>
        <v/>
      </c>
    </row>
    <row r="5634">
      <c r="B5634" s="25" t="n"/>
      <c r="I5634" s="25" t="n"/>
      <c r="U5634" s="19">
        <f>IF($V5634&lt;&gt;'設定'!$C$4,N(U5633),IF(OR(NOT(COUNTIF('商品マスタ'!$B$6:$B$1005,$W5634)=0),COUNTIFS('①在庫を貼る'!$V$6:$V$10005,$V5634,'①在庫を貼る'!$W$6:$W$10005,$W5634)&gt;0),N(U5633),N(U5633)+1))</f>
        <v/>
      </c>
      <c r="V5634" s="19">
        <f>IF($B5634="","",TEXT($B5634,"0000"))</f>
        <v/>
      </c>
      <c r="W5634" s="19">
        <f>IF($I5634="","",IF(ISNUMBER($I5634),TEXT($I5634,"0"),$I5634))</f>
        <v/>
      </c>
    </row>
    <row r="5635">
      <c r="B5635" s="25" t="n"/>
      <c r="I5635" s="25" t="n"/>
      <c r="U5635" s="19">
        <f>IF($V5635&lt;&gt;'設定'!$C$4,N(U5634),IF(OR(NOT(COUNTIF('商品マスタ'!$B$6:$B$1005,$W5635)=0),COUNTIFS('①在庫を貼る'!$V$6:$V$10005,$V5635,'①在庫を貼る'!$W$6:$W$10005,$W5635)&gt;0),N(U5634),N(U5634)+1))</f>
        <v/>
      </c>
      <c r="V5635" s="19">
        <f>IF($B5635="","",TEXT($B5635,"0000"))</f>
        <v/>
      </c>
      <c r="W5635" s="19">
        <f>IF($I5635="","",IF(ISNUMBER($I5635),TEXT($I5635,"0"),$I5635))</f>
        <v/>
      </c>
    </row>
    <row r="5636">
      <c r="B5636" s="25" t="n"/>
      <c r="I5636" s="25" t="n"/>
      <c r="U5636" s="19">
        <f>IF($V5636&lt;&gt;'設定'!$C$4,N(U5635),IF(OR(NOT(COUNTIF('商品マスタ'!$B$6:$B$1005,$W5636)=0),COUNTIFS('①在庫を貼る'!$V$6:$V$10005,$V5636,'①在庫を貼る'!$W$6:$W$10005,$W5636)&gt;0),N(U5635),N(U5635)+1))</f>
        <v/>
      </c>
      <c r="V5636" s="19">
        <f>IF($B5636="","",TEXT($B5636,"0000"))</f>
        <v/>
      </c>
      <c r="W5636" s="19">
        <f>IF($I5636="","",IF(ISNUMBER($I5636),TEXT($I5636,"0"),$I5636))</f>
        <v/>
      </c>
    </row>
    <row r="5637">
      <c r="B5637" s="25" t="n"/>
      <c r="I5637" s="25" t="n"/>
      <c r="U5637" s="19">
        <f>IF($V5637&lt;&gt;'設定'!$C$4,N(U5636),IF(OR(NOT(COUNTIF('商品マスタ'!$B$6:$B$1005,$W5637)=0),COUNTIFS('①在庫を貼る'!$V$6:$V$10005,$V5637,'①在庫を貼る'!$W$6:$W$10005,$W5637)&gt;0),N(U5636),N(U5636)+1))</f>
        <v/>
      </c>
      <c r="V5637" s="19">
        <f>IF($B5637="","",TEXT($B5637,"0000"))</f>
        <v/>
      </c>
      <c r="W5637" s="19">
        <f>IF($I5637="","",IF(ISNUMBER($I5637),TEXT($I5637,"0"),$I5637))</f>
        <v/>
      </c>
    </row>
    <row r="5638">
      <c r="B5638" s="25" t="n"/>
      <c r="I5638" s="25" t="n"/>
      <c r="U5638" s="19">
        <f>IF($V5638&lt;&gt;'設定'!$C$4,N(U5637),IF(OR(NOT(COUNTIF('商品マスタ'!$B$6:$B$1005,$W5638)=0),COUNTIFS('①在庫を貼る'!$V$6:$V$10005,$V5638,'①在庫を貼る'!$W$6:$W$10005,$W5638)&gt;0),N(U5637),N(U5637)+1))</f>
        <v/>
      </c>
      <c r="V5638" s="19">
        <f>IF($B5638="","",TEXT($B5638,"0000"))</f>
        <v/>
      </c>
      <c r="W5638" s="19">
        <f>IF($I5638="","",IF(ISNUMBER($I5638),TEXT($I5638,"0"),$I5638))</f>
        <v/>
      </c>
    </row>
    <row r="5639">
      <c r="B5639" s="25" t="n"/>
      <c r="I5639" s="25" t="n"/>
      <c r="U5639" s="19">
        <f>IF($V5639&lt;&gt;'設定'!$C$4,N(U5638),IF(OR(NOT(COUNTIF('商品マスタ'!$B$6:$B$1005,$W5639)=0),COUNTIFS('①在庫を貼る'!$V$6:$V$10005,$V5639,'①在庫を貼る'!$W$6:$W$10005,$W5639)&gt;0),N(U5638),N(U5638)+1))</f>
        <v/>
      </c>
      <c r="V5639" s="19">
        <f>IF($B5639="","",TEXT($B5639,"0000"))</f>
        <v/>
      </c>
      <c r="W5639" s="19">
        <f>IF($I5639="","",IF(ISNUMBER($I5639),TEXT($I5639,"0"),$I5639))</f>
        <v/>
      </c>
    </row>
    <row r="5640">
      <c r="B5640" s="25" t="n"/>
      <c r="I5640" s="25" t="n"/>
      <c r="U5640" s="19">
        <f>IF($V5640&lt;&gt;'設定'!$C$4,N(U5639),IF(OR(NOT(COUNTIF('商品マスタ'!$B$6:$B$1005,$W5640)=0),COUNTIFS('①在庫を貼る'!$V$6:$V$10005,$V5640,'①在庫を貼る'!$W$6:$W$10005,$W5640)&gt;0),N(U5639),N(U5639)+1))</f>
        <v/>
      </c>
      <c r="V5640" s="19">
        <f>IF($B5640="","",TEXT($B5640,"0000"))</f>
        <v/>
      </c>
      <c r="W5640" s="19">
        <f>IF($I5640="","",IF(ISNUMBER($I5640),TEXT($I5640,"0"),$I5640))</f>
        <v/>
      </c>
    </row>
    <row r="5641">
      <c r="B5641" s="25" t="n"/>
      <c r="I5641" s="25" t="n"/>
      <c r="U5641" s="19">
        <f>IF($V5641&lt;&gt;'設定'!$C$4,N(U5640),IF(OR(NOT(COUNTIF('商品マスタ'!$B$6:$B$1005,$W5641)=0),COUNTIFS('①在庫を貼る'!$V$6:$V$10005,$V5641,'①在庫を貼る'!$W$6:$W$10005,$W5641)&gt;0),N(U5640),N(U5640)+1))</f>
        <v/>
      </c>
      <c r="V5641" s="19">
        <f>IF($B5641="","",TEXT($B5641,"0000"))</f>
        <v/>
      </c>
      <c r="W5641" s="19">
        <f>IF($I5641="","",IF(ISNUMBER($I5641),TEXT($I5641,"0"),$I5641))</f>
        <v/>
      </c>
    </row>
    <row r="5642">
      <c r="B5642" s="25" t="n"/>
      <c r="I5642" s="25" t="n"/>
      <c r="U5642" s="19">
        <f>IF($V5642&lt;&gt;'設定'!$C$4,N(U5641),IF(OR(NOT(COUNTIF('商品マスタ'!$B$6:$B$1005,$W5642)=0),COUNTIFS('①在庫を貼る'!$V$6:$V$10005,$V5642,'①在庫を貼る'!$W$6:$W$10005,$W5642)&gt;0),N(U5641),N(U5641)+1))</f>
        <v/>
      </c>
      <c r="V5642" s="19">
        <f>IF($B5642="","",TEXT($B5642,"0000"))</f>
        <v/>
      </c>
      <c r="W5642" s="19">
        <f>IF($I5642="","",IF(ISNUMBER($I5642),TEXT($I5642,"0"),$I5642))</f>
        <v/>
      </c>
    </row>
    <row r="5643">
      <c r="B5643" s="25" t="n"/>
      <c r="I5643" s="25" t="n"/>
      <c r="U5643" s="19">
        <f>IF($V5643&lt;&gt;'設定'!$C$4,N(U5642),IF(OR(NOT(COUNTIF('商品マスタ'!$B$6:$B$1005,$W5643)=0),COUNTIFS('①在庫を貼る'!$V$6:$V$10005,$V5643,'①在庫を貼る'!$W$6:$W$10005,$W5643)&gt;0),N(U5642),N(U5642)+1))</f>
        <v/>
      </c>
      <c r="V5643" s="19">
        <f>IF($B5643="","",TEXT($B5643,"0000"))</f>
        <v/>
      </c>
      <c r="W5643" s="19">
        <f>IF($I5643="","",IF(ISNUMBER($I5643),TEXT($I5643,"0"),$I5643))</f>
        <v/>
      </c>
    </row>
    <row r="5644">
      <c r="B5644" s="25" t="n"/>
      <c r="I5644" s="25" t="n"/>
      <c r="U5644" s="19">
        <f>IF($V5644&lt;&gt;'設定'!$C$4,N(U5643),IF(OR(NOT(COUNTIF('商品マスタ'!$B$6:$B$1005,$W5644)=0),COUNTIFS('①在庫を貼る'!$V$6:$V$10005,$V5644,'①在庫を貼る'!$W$6:$W$10005,$W5644)&gt;0),N(U5643),N(U5643)+1))</f>
        <v/>
      </c>
      <c r="V5644" s="19">
        <f>IF($B5644="","",TEXT($B5644,"0000"))</f>
        <v/>
      </c>
      <c r="W5644" s="19">
        <f>IF($I5644="","",IF(ISNUMBER($I5644),TEXT($I5644,"0"),$I5644))</f>
        <v/>
      </c>
    </row>
    <row r="5645">
      <c r="B5645" s="25" t="n"/>
      <c r="I5645" s="25" t="n"/>
      <c r="U5645" s="19">
        <f>IF($V5645&lt;&gt;'設定'!$C$4,N(U5644),IF(OR(NOT(COUNTIF('商品マスタ'!$B$6:$B$1005,$W5645)=0),COUNTIFS('①在庫を貼る'!$V$6:$V$10005,$V5645,'①在庫を貼る'!$W$6:$W$10005,$W5645)&gt;0),N(U5644),N(U5644)+1))</f>
        <v/>
      </c>
      <c r="V5645" s="19">
        <f>IF($B5645="","",TEXT($B5645,"0000"))</f>
        <v/>
      </c>
      <c r="W5645" s="19">
        <f>IF($I5645="","",IF(ISNUMBER($I5645),TEXT($I5645,"0"),$I5645))</f>
        <v/>
      </c>
    </row>
    <row r="5646">
      <c r="B5646" s="25" t="n"/>
      <c r="I5646" s="25" t="n"/>
      <c r="U5646" s="19">
        <f>IF($V5646&lt;&gt;'設定'!$C$4,N(U5645),IF(OR(NOT(COUNTIF('商品マスタ'!$B$6:$B$1005,$W5646)=0),COUNTIFS('①在庫を貼る'!$V$6:$V$10005,$V5646,'①在庫を貼る'!$W$6:$W$10005,$W5646)&gt;0),N(U5645),N(U5645)+1))</f>
        <v/>
      </c>
      <c r="V5646" s="19">
        <f>IF($B5646="","",TEXT($B5646,"0000"))</f>
        <v/>
      </c>
      <c r="W5646" s="19">
        <f>IF($I5646="","",IF(ISNUMBER($I5646),TEXT($I5646,"0"),$I5646))</f>
        <v/>
      </c>
    </row>
    <row r="5647">
      <c r="B5647" s="25" t="n"/>
      <c r="I5647" s="25" t="n"/>
      <c r="U5647" s="19">
        <f>IF($V5647&lt;&gt;'設定'!$C$4,N(U5646),IF(OR(NOT(COUNTIF('商品マスタ'!$B$6:$B$1005,$W5647)=0),COUNTIFS('①在庫を貼る'!$V$6:$V$10005,$V5647,'①在庫を貼る'!$W$6:$W$10005,$W5647)&gt;0),N(U5646),N(U5646)+1))</f>
        <v/>
      </c>
      <c r="V5647" s="19">
        <f>IF($B5647="","",TEXT($B5647,"0000"))</f>
        <v/>
      </c>
      <c r="W5647" s="19">
        <f>IF($I5647="","",IF(ISNUMBER($I5647),TEXT($I5647,"0"),$I5647))</f>
        <v/>
      </c>
    </row>
    <row r="5648">
      <c r="B5648" s="25" t="n"/>
      <c r="I5648" s="25" t="n"/>
      <c r="U5648" s="19">
        <f>IF($V5648&lt;&gt;'設定'!$C$4,N(U5647),IF(OR(NOT(COUNTIF('商品マスタ'!$B$6:$B$1005,$W5648)=0),COUNTIFS('①在庫を貼る'!$V$6:$V$10005,$V5648,'①在庫を貼る'!$W$6:$W$10005,$W5648)&gt;0),N(U5647),N(U5647)+1))</f>
        <v/>
      </c>
      <c r="V5648" s="19">
        <f>IF($B5648="","",TEXT($B5648,"0000"))</f>
        <v/>
      </c>
      <c r="W5648" s="19">
        <f>IF($I5648="","",IF(ISNUMBER($I5648),TEXT($I5648,"0"),$I5648))</f>
        <v/>
      </c>
    </row>
    <row r="5649">
      <c r="B5649" s="25" t="n"/>
      <c r="I5649" s="25" t="n"/>
      <c r="U5649" s="19">
        <f>IF($V5649&lt;&gt;'設定'!$C$4,N(U5648),IF(OR(NOT(COUNTIF('商品マスタ'!$B$6:$B$1005,$W5649)=0),COUNTIFS('①在庫を貼る'!$V$6:$V$10005,$V5649,'①在庫を貼る'!$W$6:$W$10005,$W5649)&gt;0),N(U5648),N(U5648)+1))</f>
        <v/>
      </c>
      <c r="V5649" s="19">
        <f>IF($B5649="","",TEXT($B5649,"0000"))</f>
        <v/>
      </c>
      <c r="W5649" s="19">
        <f>IF($I5649="","",IF(ISNUMBER($I5649),TEXT($I5649,"0"),$I5649))</f>
        <v/>
      </c>
    </row>
    <row r="5650">
      <c r="B5650" s="25" t="n"/>
      <c r="I5650" s="25" t="n"/>
      <c r="U5650" s="19">
        <f>IF($V5650&lt;&gt;'設定'!$C$4,N(U5649),IF(OR(NOT(COUNTIF('商品マスタ'!$B$6:$B$1005,$W5650)=0),COUNTIFS('①在庫を貼る'!$V$6:$V$10005,$V5650,'①在庫を貼る'!$W$6:$W$10005,$W5650)&gt;0),N(U5649),N(U5649)+1))</f>
        <v/>
      </c>
      <c r="V5650" s="19">
        <f>IF($B5650="","",TEXT($B5650,"0000"))</f>
        <v/>
      </c>
      <c r="W5650" s="19">
        <f>IF($I5650="","",IF(ISNUMBER($I5650),TEXT($I5650,"0"),$I5650))</f>
        <v/>
      </c>
    </row>
    <row r="5651">
      <c r="B5651" s="25" t="n"/>
      <c r="I5651" s="25" t="n"/>
      <c r="U5651" s="19">
        <f>IF($V5651&lt;&gt;'設定'!$C$4,N(U5650),IF(OR(NOT(COUNTIF('商品マスタ'!$B$6:$B$1005,$W5651)=0),COUNTIFS('①在庫を貼る'!$V$6:$V$10005,$V5651,'①在庫を貼る'!$W$6:$W$10005,$W5651)&gt;0),N(U5650),N(U5650)+1))</f>
        <v/>
      </c>
      <c r="V5651" s="19">
        <f>IF($B5651="","",TEXT($B5651,"0000"))</f>
        <v/>
      </c>
      <c r="W5651" s="19">
        <f>IF($I5651="","",IF(ISNUMBER($I5651),TEXT($I5651,"0"),$I5651))</f>
        <v/>
      </c>
    </row>
    <row r="5652">
      <c r="B5652" s="25" t="n"/>
      <c r="I5652" s="25" t="n"/>
      <c r="U5652" s="19">
        <f>IF($V5652&lt;&gt;'設定'!$C$4,N(U5651),IF(OR(NOT(COUNTIF('商品マスタ'!$B$6:$B$1005,$W5652)=0),COUNTIFS('①在庫を貼る'!$V$6:$V$10005,$V5652,'①在庫を貼る'!$W$6:$W$10005,$W5652)&gt;0),N(U5651),N(U5651)+1))</f>
        <v/>
      </c>
      <c r="V5652" s="19">
        <f>IF($B5652="","",TEXT($B5652,"0000"))</f>
        <v/>
      </c>
      <c r="W5652" s="19">
        <f>IF($I5652="","",IF(ISNUMBER($I5652),TEXT($I5652,"0"),$I5652))</f>
        <v/>
      </c>
    </row>
    <row r="5653">
      <c r="B5653" s="25" t="n"/>
      <c r="I5653" s="25" t="n"/>
      <c r="U5653" s="19">
        <f>IF($V5653&lt;&gt;'設定'!$C$4,N(U5652),IF(OR(NOT(COUNTIF('商品マスタ'!$B$6:$B$1005,$W5653)=0),COUNTIFS('①在庫を貼る'!$V$6:$V$10005,$V5653,'①在庫を貼る'!$W$6:$W$10005,$W5653)&gt;0),N(U5652),N(U5652)+1))</f>
        <v/>
      </c>
      <c r="V5653" s="19">
        <f>IF($B5653="","",TEXT($B5653,"0000"))</f>
        <v/>
      </c>
      <c r="W5653" s="19">
        <f>IF($I5653="","",IF(ISNUMBER($I5653),TEXT($I5653,"0"),$I5653))</f>
        <v/>
      </c>
    </row>
    <row r="5654">
      <c r="B5654" s="25" t="n"/>
      <c r="I5654" s="25" t="n"/>
      <c r="U5654" s="19">
        <f>IF($V5654&lt;&gt;'設定'!$C$4,N(U5653),IF(OR(NOT(COUNTIF('商品マスタ'!$B$6:$B$1005,$W5654)=0),COUNTIFS('①在庫を貼る'!$V$6:$V$10005,$V5654,'①在庫を貼る'!$W$6:$W$10005,$W5654)&gt;0),N(U5653),N(U5653)+1))</f>
        <v/>
      </c>
      <c r="V5654" s="19">
        <f>IF($B5654="","",TEXT($B5654,"0000"))</f>
        <v/>
      </c>
      <c r="W5654" s="19">
        <f>IF($I5654="","",IF(ISNUMBER($I5654),TEXT($I5654,"0"),$I5654))</f>
        <v/>
      </c>
    </row>
    <row r="5655">
      <c r="B5655" s="25" t="n"/>
      <c r="I5655" s="25" t="n"/>
      <c r="U5655" s="19">
        <f>IF($V5655&lt;&gt;'設定'!$C$4,N(U5654),IF(OR(NOT(COUNTIF('商品マスタ'!$B$6:$B$1005,$W5655)=0),COUNTIFS('①在庫を貼る'!$V$6:$V$10005,$V5655,'①在庫を貼る'!$W$6:$W$10005,$W5655)&gt;0),N(U5654),N(U5654)+1))</f>
        <v/>
      </c>
      <c r="V5655" s="19">
        <f>IF($B5655="","",TEXT($B5655,"0000"))</f>
        <v/>
      </c>
      <c r="W5655" s="19">
        <f>IF($I5655="","",IF(ISNUMBER($I5655),TEXT($I5655,"0"),$I5655))</f>
        <v/>
      </c>
    </row>
    <row r="5656">
      <c r="B5656" s="25" t="n"/>
      <c r="I5656" s="25" t="n"/>
      <c r="U5656" s="19">
        <f>IF($V5656&lt;&gt;'設定'!$C$4,N(U5655),IF(OR(NOT(COUNTIF('商品マスタ'!$B$6:$B$1005,$W5656)=0),COUNTIFS('①在庫を貼る'!$V$6:$V$10005,$V5656,'①在庫を貼る'!$W$6:$W$10005,$W5656)&gt;0),N(U5655),N(U5655)+1))</f>
        <v/>
      </c>
      <c r="V5656" s="19">
        <f>IF($B5656="","",TEXT($B5656,"0000"))</f>
        <v/>
      </c>
      <c r="W5656" s="19">
        <f>IF($I5656="","",IF(ISNUMBER($I5656),TEXT($I5656,"0"),$I5656))</f>
        <v/>
      </c>
    </row>
    <row r="5657">
      <c r="B5657" s="25" t="n"/>
      <c r="I5657" s="25" t="n"/>
      <c r="U5657" s="19">
        <f>IF($V5657&lt;&gt;'設定'!$C$4,N(U5656),IF(OR(NOT(COUNTIF('商品マスタ'!$B$6:$B$1005,$W5657)=0),COUNTIFS('①在庫を貼る'!$V$6:$V$10005,$V5657,'①在庫を貼る'!$W$6:$W$10005,$W5657)&gt;0),N(U5656),N(U5656)+1))</f>
        <v/>
      </c>
      <c r="V5657" s="19">
        <f>IF($B5657="","",TEXT($B5657,"0000"))</f>
        <v/>
      </c>
      <c r="W5657" s="19">
        <f>IF($I5657="","",IF(ISNUMBER($I5657),TEXT($I5657,"0"),$I5657))</f>
        <v/>
      </c>
    </row>
    <row r="5658">
      <c r="B5658" s="25" t="n"/>
      <c r="I5658" s="25" t="n"/>
      <c r="U5658" s="19">
        <f>IF($V5658&lt;&gt;'設定'!$C$4,N(U5657),IF(OR(NOT(COUNTIF('商品マスタ'!$B$6:$B$1005,$W5658)=0),COUNTIFS('①在庫を貼る'!$V$6:$V$10005,$V5658,'①在庫を貼る'!$W$6:$W$10005,$W5658)&gt;0),N(U5657),N(U5657)+1))</f>
        <v/>
      </c>
      <c r="V5658" s="19">
        <f>IF($B5658="","",TEXT($B5658,"0000"))</f>
        <v/>
      </c>
      <c r="W5658" s="19">
        <f>IF($I5658="","",IF(ISNUMBER($I5658),TEXT($I5658,"0"),$I5658))</f>
        <v/>
      </c>
    </row>
    <row r="5659">
      <c r="B5659" s="25" t="n"/>
      <c r="I5659" s="25" t="n"/>
      <c r="U5659" s="19">
        <f>IF($V5659&lt;&gt;'設定'!$C$4,N(U5658),IF(OR(NOT(COUNTIF('商品マスタ'!$B$6:$B$1005,$W5659)=0),COUNTIFS('①在庫を貼る'!$V$6:$V$10005,$V5659,'①在庫を貼る'!$W$6:$W$10005,$W5659)&gt;0),N(U5658),N(U5658)+1))</f>
        <v/>
      </c>
      <c r="V5659" s="19">
        <f>IF($B5659="","",TEXT($B5659,"0000"))</f>
        <v/>
      </c>
      <c r="W5659" s="19">
        <f>IF($I5659="","",IF(ISNUMBER($I5659),TEXT($I5659,"0"),$I5659))</f>
        <v/>
      </c>
    </row>
    <row r="5660">
      <c r="B5660" s="25" t="n"/>
      <c r="I5660" s="25" t="n"/>
      <c r="U5660" s="19">
        <f>IF($V5660&lt;&gt;'設定'!$C$4,N(U5659),IF(OR(NOT(COUNTIF('商品マスタ'!$B$6:$B$1005,$W5660)=0),COUNTIFS('①在庫を貼る'!$V$6:$V$10005,$V5660,'①在庫を貼る'!$W$6:$W$10005,$W5660)&gt;0),N(U5659),N(U5659)+1))</f>
        <v/>
      </c>
      <c r="V5660" s="19">
        <f>IF($B5660="","",TEXT($B5660,"0000"))</f>
        <v/>
      </c>
      <c r="W5660" s="19">
        <f>IF($I5660="","",IF(ISNUMBER($I5660),TEXT($I5660,"0"),$I5660))</f>
        <v/>
      </c>
    </row>
    <row r="5661">
      <c r="B5661" s="25" t="n"/>
      <c r="I5661" s="25" t="n"/>
      <c r="U5661" s="19">
        <f>IF($V5661&lt;&gt;'設定'!$C$4,N(U5660),IF(OR(NOT(COUNTIF('商品マスタ'!$B$6:$B$1005,$W5661)=0),COUNTIFS('①在庫を貼る'!$V$6:$V$10005,$V5661,'①在庫を貼る'!$W$6:$W$10005,$W5661)&gt;0),N(U5660),N(U5660)+1))</f>
        <v/>
      </c>
      <c r="V5661" s="19">
        <f>IF($B5661="","",TEXT($B5661,"0000"))</f>
        <v/>
      </c>
      <c r="W5661" s="19">
        <f>IF($I5661="","",IF(ISNUMBER($I5661),TEXT($I5661,"0"),$I5661))</f>
        <v/>
      </c>
    </row>
    <row r="5662">
      <c r="B5662" s="25" t="n"/>
      <c r="I5662" s="25" t="n"/>
      <c r="U5662" s="19">
        <f>IF($V5662&lt;&gt;'設定'!$C$4,N(U5661),IF(OR(NOT(COUNTIF('商品マスタ'!$B$6:$B$1005,$W5662)=0),COUNTIFS('①在庫を貼る'!$V$6:$V$10005,$V5662,'①在庫を貼る'!$W$6:$W$10005,$W5662)&gt;0),N(U5661),N(U5661)+1))</f>
        <v/>
      </c>
      <c r="V5662" s="19">
        <f>IF($B5662="","",TEXT($B5662,"0000"))</f>
        <v/>
      </c>
      <c r="W5662" s="19">
        <f>IF($I5662="","",IF(ISNUMBER($I5662),TEXT($I5662,"0"),$I5662))</f>
        <v/>
      </c>
    </row>
    <row r="5663">
      <c r="B5663" s="25" t="n"/>
      <c r="I5663" s="25" t="n"/>
      <c r="U5663" s="19">
        <f>IF($V5663&lt;&gt;'設定'!$C$4,N(U5662),IF(OR(NOT(COUNTIF('商品マスタ'!$B$6:$B$1005,$W5663)=0),COUNTIFS('①在庫を貼る'!$V$6:$V$10005,$V5663,'①在庫を貼る'!$W$6:$W$10005,$W5663)&gt;0),N(U5662),N(U5662)+1))</f>
        <v/>
      </c>
      <c r="V5663" s="19">
        <f>IF($B5663="","",TEXT($B5663,"0000"))</f>
        <v/>
      </c>
      <c r="W5663" s="19">
        <f>IF($I5663="","",IF(ISNUMBER($I5663),TEXT($I5663,"0"),$I5663))</f>
        <v/>
      </c>
    </row>
    <row r="5664">
      <c r="B5664" s="25" t="n"/>
      <c r="I5664" s="25" t="n"/>
      <c r="U5664" s="19">
        <f>IF($V5664&lt;&gt;'設定'!$C$4,N(U5663),IF(OR(NOT(COUNTIF('商品マスタ'!$B$6:$B$1005,$W5664)=0),COUNTIFS('①在庫を貼る'!$V$6:$V$10005,$V5664,'①在庫を貼る'!$W$6:$W$10005,$W5664)&gt;0),N(U5663),N(U5663)+1))</f>
        <v/>
      </c>
      <c r="V5664" s="19">
        <f>IF($B5664="","",TEXT($B5664,"0000"))</f>
        <v/>
      </c>
      <c r="W5664" s="19">
        <f>IF($I5664="","",IF(ISNUMBER($I5664),TEXT($I5664,"0"),$I5664))</f>
        <v/>
      </c>
    </row>
    <row r="5665">
      <c r="B5665" s="25" t="n"/>
      <c r="I5665" s="25" t="n"/>
      <c r="U5665" s="19">
        <f>IF($V5665&lt;&gt;'設定'!$C$4,N(U5664),IF(OR(NOT(COUNTIF('商品マスタ'!$B$6:$B$1005,$W5665)=0),COUNTIFS('①在庫を貼る'!$V$6:$V$10005,$V5665,'①在庫を貼る'!$W$6:$W$10005,$W5665)&gt;0),N(U5664),N(U5664)+1))</f>
        <v/>
      </c>
      <c r="V5665" s="19">
        <f>IF($B5665="","",TEXT($B5665,"0000"))</f>
        <v/>
      </c>
      <c r="W5665" s="19">
        <f>IF($I5665="","",IF(ISNUMBER($I5665),TEXT($I5665,"0"),$I5665))</f>
        <v/>
      </c>
    </row>
    <row r="5666">
      <c r="B5666" s="25" t="n"/>
      <c r="I5666" s="25" t="n"/>
      <c r="U5666" s="19">
        <f>IF($V5666&lt;&gt;'設定'!$C$4,N(U5665),IF(OR(NOT(COUNTIF('商品マスタ'!$B$6:$B$1005,$W5666)=0),COUNTIFS('①在庫を貼る'!$V$6:$V$10005,$V5666,'①在庫を貼る'!$W$6:$W$10005,$W5666)&gt;0),N(U5665),N(U5665)+1))</f>
        <v/>
      </c>
      <c r="V5666" s="19">
        <f>IF($B5666="","",TEXT($B5666,"0000"))</f>
        <v/>
      </c>
      <c r="W5666" s="19">
        <f>IF($I5666="","",IF(ISNUMBER($I5666),TEXT($I5666,"0"),$I5666))</f>
        <v/>
      </c>
    </row>
    <row r="5667">
      <c r="B5667" s="25" t="n"/>
      <c r="I5667" s="25" t="n"/>
      <c r="U5667" s="19">
        <f>IF($V5667&lt;&gt;'設定'!$C$4,N(U5666),IF(OR(NOT(COUNTIF('商品マスタ'!$B$6:$B$1005,$W5667)=0),COUNTIFS('①在庫を貼る'!$V$6:$V$10005,$V5667,'①在庫を貼る'!$W$6:$W$10005,$W5667)&gt;0),N(U5666),N(U5666)+1))</f>
        <v/>
      </c>
      <c r="V5667" s="19">
        <f>IF($B5667="","",TEXT($B5667,"0000"))</f>
        <v/>
      </c>
      <c r="W5667" s="19">
        <f>IF($I5667="","",IF(ISNUMBER($I5667),TEXT($I5667,"0"),$I5667))</f>
        <v/>
      </c>
    </row>
    <row r="5668">
      <c r="B5668" s="25" t="n"/>
      <c r="I5668" s="25" t="n"/>
      <c r="U5668" s="19">
        <f>IF($V5668&lt;&gt;'設定'!$C$4,N(U5667),IF(OR(NOT(COUNTIF('商品マスタ'!$B$6:$B$1005,$W5668)=0),COUNTIFS('①在庫を貼る'!$V$6:$V$10005,$V5668,'①在庫を貼る'!$W$6:$W$10005,$W5668)&gt;0),N(U5667),N(U5667)+1))</f>
        <v/>
      </c>
      <c r="V5668" s="19">
        <f>IF($B5668="","",TEXT($B5668,"0000"))</f>
        <v/>
      </c>
      <c r="W5668" s="19">
        <f>IF($I5668="","",IF(ISNUMBER($I5668),TEXT($I5668,"0"),$I5668))</f>
        <v/>
      </c>
    </row>
    <row r="5669">
      <c r="B5669" s="25" t="n"/>
      <c r="I5669" s="25" t="n"/>
      <c r="U5669" s="19">
        <f>IF($V5669&lt;&gt;'設定'!$C$4,N(U5668),IF(OR(NOT(COUNTIF('商品マスタ'!$B$6:$B$1005,$W5669)=0),COUNTIFS('①在庫を貼る'!$V$6:$V$10005,$V5669,'①在庫を貼る'!$W$6:$W$10005,$W5669)&gt;0),N(U5668),N(U5668)+1))</f>
        <v/>
      </c>
      <c r="V5669" s="19">
        <f>IF($B5669="","",TEXT($B5669,"0000"))</f>
        <v/>
      </c>
      <c r="W5669" s="19">
        <f>IF($I5669="","",IF(ISNUMBER($I5669),TEXT($I5669,"0"),$I5669))</f>
        <v/>
      </c>
    </row>
    <row r="5670">
      <c r="B5670" s="25" t="n"/>
      <c r="I5670" s="25" t="n"/>
      <c r="U5670" s="19">
        <f>IF($V5670&lt;&gt;'設定'!$C$4,N(U5669),IF(OR(NOT(COUNTIF('商品マスタ'!$B$6:$B$1005,$W5670)=0),COUNTIFS('①在庫を貼る'!$V$6:$V$10005,$V5670,'①在庫を貼る'!$W$6:$W$10005,$W5670)&gt;0),N(U5669),N(U5669)+1))</f>
        <v/>
      </c>
      <c r="V5670" s="19">
        <f>IF($B5670="","",TEXT($B5670,"0000"))</f>
        <v/>
      </c>
      <c r="W5670" s="19">
        <f>IF($I5670="","",IF(ISNUMBER($I5670),TEXT($I5670,"0"),$I5670))</f>
        <v/>
      </c>
    </row>
    <row r="5671">
      <c r="B5671" s="25" t="n"/>
      <c r="I5671" s="25" t="n"/>
      <c r="U5671" s="19">
        <f>IF($V5671&lt;&gt;'設定'!$C$4,N(U5670),IF(OR(NOT(COUNTIF('商品マスタ'!$B$6:$B$1005,$W5671)=0),COUNTIFS('①在庫を貼る'!$V$6:$V$10005,$V5671,'①在庫を貼る'!$W$6:$W$10005,$W5671)&gt;0),N(U5670),N(U5670)+1))</f>
        <v/>
      </c>
      <c r="V5671" s="19">
        <f>IF($B5671="","",TEXT($B5671,"0000"))</f>
        <v/>
      </c>
      <c r="W5671" s="19">
        <f>IF($I5671="","",IF(ISNUMBER($I5671),TEXT($I5671,"0"),$I5671))</f>
        <v/>
      </c>
    </row>
    <row r="5672">
      <c r="B5672" s="25" t="n"/>
      <c r="I5672" s="25" t="n"/>
      <c r="U5672" s="19">
        <f>IF($V5672&lt;&gt;'設定'!$C$4,N(U5671),IF(OR(NOT(COUNTIF('商品マスタ'!$B$6:$B$1005,$W5672)=0),COUNTIFS('①在庫を貼る'!$V$6:$V$10005,$V5672,'①在庫を貼る'!$W$6:$W$10005,$W5672)&gt;0),N(U5671),N(U5671)+1))</f>
        <v/>
      </c>
      <c r="V5672" s="19">
        <f>IF($B5672="","",TEXT($B5672,"0000"))</f>
        <v/>
      </c>
      <c r="W5672" s="19">
        <f>IF($I5672="","",IF(ISNUMBER($I5672),TEXT($I5672,"0"),$I5672))</f>
        <v/>
      </c>
    </row>
    <row r="5673">
      <c r="B5673" s="25" t="n"/>
      <c r="I5673" s="25" t="n"/>
      <c r="U5673" s="19">
        <f>IF($V5673&lt;&gt;'設定'!$C$4,N(U5672),IF(OR(NOT(COUNTIF('商品マスタ'!$B$6:$B$1005,$W5673)=0),COUNTIFS('①在庫を貼る'!$V$6:$V$10005,$V5673,'①在庫を貼る'!$W$6:$W$10005,$W5673)&gt;0),N(U5672),N(U5672)+1))</f>
        <v/>
      </c>
      <c r="V5673" s="19">
        <f>IF($B5673="","",TEXT($B5673,"0000"))</f>
        <v/>
      </c>
      <c r="W5673" s="19">
        <f>IF($I5673="","",IF(ISNUMBER($I5673),TEXT($I5673,"0"),$I5673))</f>
        <v/>
      </c>
    </row>
    <row r="5674">
      <c r="B5674" s="25" t="n"/>
      <c r="I5674" s="25" t="n"/>
      <c r="U5674" s="19">
        <f>IF($V5674&lt;&gt;'設定'!$C$4,N(U5673),IF(OR(NOT(COUNTIF('商品マスタ'!$B$6:$B$1005,$W5674)=0),COUNTIFS('①在庫を貼る'!$V$6:$V$10005,$V5674,'①在庫を貼る'!$W$6:$W$10005,$W5674)&gt;0),N(U5673),N(U5673)+1))</f>
        <v/>
      </c>
      <c r="V5674" s="19">
        <f>IF($B5674="","",TEXT($B5674,"0000"))</f>
        <v/>
      </c>
      <c r="W5674" s="19">
        <f>IF($I5674="","",IF(ISNUMBER($I5674),TEXT($I5674,"0"),$I5674))</f>
        <v/>
      </c>
    </row>
    <row r="5675">
      <c r="B5675" s="25" t="n"/>
      <c r="I5675" s="25" t="n"/>
      <c r="U5675" s="19">
        <f>IF($V5675&lt;&gt;'設定'!$C$4,N(U5674),IF(OR(NOT(COUNTIF('商品マスタ'!$B$6:$B$1005,$W5675)=0),COUNTIFS('①在庫を貼る'!$V$6:$V$10005,$V5675,'①在庫を貼る'!$W$6:$W$10005,$W5675)&gt;0),N(U5674),N(U5674)+1))</f>
        <v/>
      </c>
      <c r="V5675" s="19">
        <f>IF($B5675="","",TEXT($B5675,"0000"))</f>
        <v/>
      </c>
      <c r="W5675" s="19">
        <f>IF($I5675="","",IF(ISNUMBER($I5675),TEXT($I5675,"0"),$I5675))</f>
        <v/>
      </c>
    </row>
    <row r="5676">
      <c r="B5676" s="25" t="n"/>
      <c r="I5676" s="25" t="n"/>
      <c r="U5676" s="19">
        <f>IF($V5676&lt;&gt;'設定'!$C$4,N(U5675),IF(OR(NOT(COUNTIF('商品マスタ'!$B$6:$B$1005,$W5676)=0),COUNTIFS('①在庫を貼る'!$V$6:$V$10005,$V5676,'①在庫を貼る'!$W$6:$W$10005,$W5676)&gt;0),N(U5675),N(U5675)+1))</f>
        <v/>
      </c>
      <c r="V5676" s="19">
        <f>IF($B5676="","",TEXT($B5676,"0000"))</f>
        <v/>
      </c>
      <c r="W5676" s="19">
        <f>IF($I5676="","",IF(ISNUMBER($I5676),TEXT($I5676,"0"),$I5676))</f>
        <v/>
      </c>
    </row>
    <row r="5677">
      <c r="B5677" s="25" t="n"/>
      <c r="I5677" s="25" t="n"/>
      <c r="U5677" s="19">
        <f>IF($V5677&lt;&gt;'設定'!$C$4,N(U5676),IF(OR(NOT(COUNTIF('商品マスタ'!$B$6:$B$1005,$W5677)=0),COUNTIFS('①在庫を貼る'!$V$6:$V$10005,$V5677,'①在庫を貼る'!$W$6:$W$10005,$W5677)&gt;0),N(U5676),N(U5676)+1))</f>
        <v/>
      </c>
      <c r="V5677" s="19">
        <f>IF($B5677="","",TEXT($B5677,"0000"))</f>
        <v/>
      </c>
      <c r="W5677" s="19">
        <f>IF($I5677="","",IF(ISNUMBER($I5677),TEXT($I5677,"0"),$I5677))</f>
        <v/>
      </c>
    </row>
    <row r="5678">
      <c r="B5678" s="25" t="n"/>
      <c r="I5678" s="25" t="n"/>
      <c r="U5678" s="19">
        <f>IF($V5678&lt;&gt;'設定'!$C$4,N(U5677),IF(OR(NOT(COUNTIF('商品マスタ'!$B$6:$B$1005,$W5678)=0),COUNTIFS('①在庫を貼る'!$V$6:$V$10005,$V5678,'①在庫を貼る'!$W$6:$W$10005,$W5678)&gt;0),N(U5677),N(U5677)+1))</f>
        <v/>
      </c>
      <c r="V5678" s="19">
        <f>IF($B5678="","",TEXT($B5678,"0000"))</f>
        <v/>
      </c>
      <c r="W5678" s="19">
        <f>IF($I5678="","",IF(ISNUMBER($I5678),TEXT($I5678,"0"),$I5678))</f>
        <v/>
      </c>
    </row>
    <row r="5679">
      <c r="B5679" s="25" t="n"/>
      <c r="I5679" s="25" t="n"/>
      <c r="U5679" s="19">
        <f>IF($V5679&lt;&gt;'設定'!$C$4,N(U5678),IF(OR(NOT(COUNTIF('商品マスタ'!$B$6:$B$1005,$W5679)=0),COUNTIFS('①在庫を貼る'!$V$6:$V$10005,$V5679,'①在庫を貼る'!$W$6:$W$10005,$W5679)&gt;0),N(U5678),N(U5678)+1))</f>
        <v/>
      </c>
      <c r="V5679" s="19">
        <f>IF($B5679="","",TEXT($B5679,"0000"))</f>
        <v/>
      </c>
      <c r="W5679" s="19">
        <f>IF($I5679="","",IF(ISNUMBER($I5679),TEXT($I5679,"0"),$I5679))</f>
        <v/>
      </c>
    </row>
    <row r="5680">
      <c r="B5680" s="25" t="n"/>
      <c r="I5680" s="25" t="n"/>
      <c r="U5680" s="19">
        <f>IF($V5680&lt;&gt;'設定'!$C$4,N(U5679),IF(OR(NOT(COUNTIF('商品マスタ'!$B$6:$B$1005,$W5680)=0),COUNTIFS('①在庫を貼る'!$V$6:$V$10005,$V5680,'①在庫を貼る'!$W$6:$W$10005,$W5680)&gt;0),N(U5679),N(U5679)+1))</f>
        <v/>
      </c>
      <c r="V5680" s="19">
        <f>IF($B5680="","",TEXT($B5680,"0000"))</f>
        <v/>
      </c>
      <c r="W5680" s="19">
        <f>IF($I5680="","",IF(ISNUMBER($I5680),TEXT($I5680,"0"),$I5680))</f>
        <v/>
      </c>
    </row>
    <row r="5681">
      <c r="B5681" s="25" t="n"/>
      <c r="I5681" s="25" t="n"/>
      <c r="U5681" s="19">
        <f>IF($V5681&lt;&gt;'設定'!$C$4,N(U5680),IF(OR(NOT(COUNTIF('商品マスタ'!$B$6:$B$1005,$W5681)=0),COUNTIFS('①在庫を貼る'!$V$6:$V$10005,$V5681,'①在庫を貼る'!$W$6:$W$10005,$W5681)&gt;0),N(U5680),N(U5680)+1))</f>
        <v/>
      </c>
      <c r="V5681" s="19">
        <f>IF($B5681="","",TEXT($B5681,"0000"))</f>
        <v/>
      </c>
      <c r="W5681" s="19">
        <f>IF($I5681="","",IF(ISNUMBER($I5681),TEXT($I5681,"0"),$I5681))</f>
        <v/>
      </c>
    </row>
    <row r="5682">
      <c r="B5682" s="25" t="n"/>
      <c r="I5682" s="25" t="n"/>
      <c r="U5682" s="19">
        <f>IF($V5682&lt;&gt;'設定'!$C$4,N(U5681),IF(OR(NOT(COUNTIF('商品マスタ'!$B$6:$B$1005,$W5682)=0),COUNTIFS('①在庫を貼る'!$V$6:$V$10005,$V5682,'①在庫を貼る'!$W$6:$W$10005,$W5682)&gt;0),N(U5681),N(U5681)+1))</f>
        <v/>
      </c>
      <c r="V5682" s="19">
        <f>IF($B5682="","",TEXT($B5682,"0000"))</f>
        <v/>
      </c>
      <c r="W5682" s="19">
        <f>IF($I5682="","",IF(ISNUMBER($I5682),TEXT($I5682,"0"),$I5682))</f>
        <v/>
      </c>
    </row>
    <row r="5683">
      <c r="B5683" s="25" t="n"/>
      <c r="I5683" s="25" t="n"/>
      <c r="U5683" s="19">
        <f>IF($V5683&lt;&gt;'設定'!$C$4,N(U5682),IF(OR(NOT(COUNTIF('商品マスタ'!$B$6:$B$1005,$W5683)=0),COUNTIFS('①在庫を貼る'!$V$6:$V$10005,$V5683,'①在庫を貼る'!$W$6:$W$10005,$W5683)&gt;0),N(U5682),N(U5682)+1))</f>
        <v/>
      </c>
      <c r="V5683" s="19">
        <f>IF($B5683="","",TEXT($B5683,"0000"))</f>
        <v/>
      </c>
      <c r="W5683" s="19">
        <f>IF($I5683="","",IF(ISNUMBER($I5683),TEXT($I5683,"0"),$I5683))</f>
        <v/>
      </c>
    </row>
    <row r="5684">
      <c r="B5684" s="25" t="n"/>
      <c r="I5684" s="25" t="n"/>
      <c r="U5684" s="19">
        <f>IF($V5684&lt;&gt;'設定'!$C$4,N(U5683),IF(OR(NOT(COUNTIF('商品マスタ'!$B$6:$B$1005,$W5684)=0),COUNTIFS('①在庫を貼る'!$V$6:$V$10005,$V5684,'①在庫を貼る'!$W$6:$W$10005,$W5684)&gt;0),N(U5683),N(U5683)+1))</f>
        <v/>
      </c>
      <c r="V5684" s="19">
        <f>IF($B5684="","",TEXT($B5684,"0000"))</f>
        <v/>
      </c>
      <c r="W5684" s="19">
        <f>IF($I5684="","",IF(ISNUMBER($I5684),TEXT($I5684,"0"),$I5684))</f>
        <v/>
      </c>
    </row>
    <row r="5685">
      <c r="B5685" s="25" t="n"/>
      <c r="I5685" s="25" t="n"/>
      <c r="U5685" s="19">
        <f>IF($V5685&lt;&gt;'設定'!$C$4,N(U5684),IF(OR(NOT(COUNTIF('商品マスタ'!$B$6:$B$1005,$W5685)=0),COUNTIFS('①在庫を貼る'!$V$6:$V$10005,$V5685,'①在庫を貼る'!$W$6:$W$10005,$W5685)&gt;0),N(U5684),N(U5684)+1))</f>
        <v/>
      </c>
      <c r="V5685" s="19">
        <f>IF($B5685="","",TEXT($B5685,"0000"))</f>
        <v/>
      </c>
      <c r="W5685" s="19">
        <f>IF($I5685="","",IF(ISNUMBER($I5685),TEXT($I5685,"0"),$I5685))</f>
        <v/>
      </c>
    </row>
    <row r="5686">
      <c r="B5686" s="25" t="n"/>
      <c r="I5686" s="25" t="n"/>
      <c r="U5686" s="19">
        <f>IF($V5686&lt;&gt;'設定'!$C$4,N(U5685),IF(OR(NOT(COUNTIF('商品マスタ'!$B$6:$B$1005,$W5686)=0),COUNTIFS('①在庫を貼る'!$V$6:$V$10005,$V5686,'①在庫を貼る'!$W$6:$W$10005,$W5686)&gt;0),N(U5685),N(U5685)+1))</f>
        <v/>
      </c>
      <c r="V5686" s="19">
        <f>IF($B5686="","",TEXT($B5686,"0000"))</f>
        <v/>
      </c>
      <c r="W5686" s="19">
        <f>IF($I5686="","",IF(ISNUMBER($I5686),TEXT($I5686,"0"),$I5686))</f>
        <v/>
      </c>
    </row>
    <row r="5687">
      <c r="B5687" s="25" t="n"/>
      <c r="I5687" s="25" t="n"/>
      <c r="U5687" s="19">
        <f>IF($V5687&lt;&gt;'設定'!$C$4,N(U5686),IF(OR(NOT(COUNTIF('商品マスタ'!$B$6:$B$1005,$W5687)=0),COUNTIFS('①在庫を貼る'!$V$6:$V$10005,$V5687,'①在庫を貼る'!$W$6:$W$10005,$W5687)&gt;0),N(U5686),N(U5686)+1))</f>
        <v/>
      </c>
      <c r="V5687" s="19">
        <f>IF($B5687="","",TEXT($B5687,"0000"))</f>
        <v/>
      </c>
      <c r="W5687" s="19">
        <f>IF($I5687="","",IF(ISNUMBER($I5687),TEXT($I5687,"0"),$I5687))</f>
        <v/>
      </c>
    </row>
    <row r="5688">
      <c r="B5688" s="25" t="n"/>
      <c r="I5688" s="25" t="n"/>
      <c r="U5688" s="19">
        <f>IF($V5688&lt;&gt;'設定'!$C$4,N(U5687),IF(OR(NOT(COUNTIF('商品マスタ'!$B$6:$B$1005,$W5688)=0),COUNTIFS('①在庫を貼る'!$V$6:$V$10005,$V5688,'①在庫を貼る'!$W$6:$W$10005,$W5688)&gt;0),N(U5687),N(U5687)+1))</f>
        <v/>
      </c>
      <c r="V5688" s="19">
        <f>IF($B5688="","",TEXT($B5688,"0000"))</f>
        <v/>
      </c>
      <c r="W5688" s="19">
        <f>IF($I5688="","",IF(ISNUMBER($I5688),TEXT($I5688,"0"),$I5688))</f>
        <v/>
      </c>
    </row>
    <row r="5689">
      <c r="B5689" s="25" t="n"/>
      <c r="I5689" s="25" t="n"/>
      <c r="U5689" s="19">
        <f>IF($V5689&lt;&gt;'設定'!$C$4,N(U5688),IF(OR(NOT(COUNTIF('商品マスタ'!$B$6:$B$1005,$W5689)=0),COUNTIFS('①在庫を貼る'!$V$6:$V$10005,$V5689,'①在庫を貼る'!$W$6:$W$10005,$W5689)&gt;0),N(U5688),N(U5688)+1))</f>
        <v/>
      </c>
      <c r="V5689" s="19">
        <f>IF($B5689="","",TEXT($B5689,"0000"))</f>
        <v/>
      </c>
      <c r="W5689" s="19">
        <f>IF($I5689="","",IF(ISNUMBER($I5689),TEXT($I5689,"0"),$I5689))</f>
        <v/>
      </c>
    </row>
    <row r="5690">
      <c r="B5690" s="25" t="n"/>
      <c r="I5690" s="25" t="n"/>
      <c r="U5690" s="19">
        <f>IF($V5690&lt;&gt;'設定'!$C$4,N(U5689),IF(OR(NOT(COUNTIF('商品マスタ'!$B$6:$B$1005,$W5690)=0),COUNTIFS('①在庫を貼る'!$V$6:$V$10005,$V5690,'①在庫を貼る'!$W$6:$W$10005,$W5690)&gt;0),N(U5689),N(U5689)+1))</f>
        <v/>
      </c>
      <c r="V5690" s="19">
        <f>IF($B5690="","",TEXT($B5690,"0000"))</f>
        <v/>
      </c>
      <c r="W5690" s="19">
        <f>IF($I5690="","",IF(ISNUMBER($I5690),TEXT($I5690,"0"),$I5690))</f>
        <v/>
      </c>
    </row>
    <row r="5691">
      <c r="B5691" s="25" t="n"/>
      <c r="I5691" s="25" t="n"/>
      <c r="U5691" s="19">
        <f>IF($V5691&lt;&gt;'設定'!$C$4,N(U5690),IF(OR(NOT(COUNTIF('商品マスタ'!$B$6:$B$1005,$W5691)=0),COUNTIFS('①在庫を貼る'!$V$6:$V$10005,$V5691,'①在庫を貼る'!$W$6:$W$10005,$W5691)&gt;0),N(U5690),N(U5690)+1))</f>
        <v/>
      </c>
      <c r="V5691" s="19">
        <f>IF($B5691="","",TEXT($B5691,"0000"))</f>
        <v/>
      </c>
      <c r="W5691" s="19">
        <f>IF($I5691="","",IF(ISNUMBER($I5691),TEXT($I5691,"0"),$I5691))</f>
        <v/>
      </c>
    </row>
    <row r="5692">
      <c r="B5692" s="25" t="n"/>
      <c r="I5692" s="25" t="n"/>
      <c r="U5692" s="19">
        <f>IF($V5692&lt;&gt;'設定'!$C$4,N(U5691),IF(OR(NOT(COUNTIF('商品マスタ'!$B$6:$B$1005,$W5692)=0),COUNTIFS('①在庫を貼る'!$V$6:$V$10005,$V5692,'①在庫を貼る'!$W$6:$W$10005,$W5692)&gt;0),N(U5691),N(U5691)+1))</f>
        <v/>
      </c>
      <c r="V5692" s="19">
        <f>IF($B5692="","",TEXT($B5692,"0000"))</f>
        <v/>
      </c>
      <c r="W5692" s="19">
        <f>IF($I5692="","",IF(ISNUMBER($I5692),TEXT($I5692,"0"),$I5692))</f>
        <v/>
      </c>
    </row>
    <row r="5693">
      <c r="B5693" s="25" t="n"/>
      <c r="I5693" s="25" t="n"/>
      <c r="U5693" s="19">
        <f>IF($V5693&lt;&gt;'設定'!$C$4,N(U5692),IF(OR(NOT(COUNTIF('商品マスタ'!$B$6:$B$1005,$W5693)=0),COUNTIFS('①在庫を貼る'!$V$6:$V$10005,$V5693,'①在庫を貼る'!$W$6:$W$10005,$W5693)&gt;0),N(U5692),N(U5692)+1))</f>
        <v/>
      </c>
      <c r="V5693" s="19">
        <f>IF($B5693="","",TEXT($B5693,"0000"))</f>
        <v/>
      </c>
      <c r="W5693" s="19">
        <f>IF($I5693="","",IF(ISNUMBER($I5693),TEXT($I5693,"0"),$I5693))</f>
        <v/>
      </c>
    </row>
    <row r="5694">
      <c r="B5694" s="25" t="n"/>
      <c r="I5694" s="25" t="n"/>
      <c r="U5694" s="19">
        <f>IF($V5694&lt;&gt;'設定'!$C$4,N(U5693),IF(OR(NOT(COUNTIF('商品マスタ'!$B$6:$B$1005,$W5694)=0),COUNTIFS('①在庫を貼る'!$V$6:$V$10005,$V5694,'①在庫を貼る'!$W$6:$W$10005,$W5694)&gt;0),N(U5693),N(U5693)+1))</f>
        <v/>
      </c>
      <c r="V5694" s="19">
        <f>IF($B5694="","",TEXT($B5694,"0000"))</f>
        <v/>
      </c>
      <c r="W5694" s="19">
        <f>IF($I5694="","",IF(ISNUMBER($I5694),TEXT($I5694,"0"),$I5694))</f>
        <v/>
      </c>
    </row>
    <row r="5695">
      <c r="B5695" s="25" t="n"/>
      <c r="I5695" s="25" t="n"/>
      <c r="U5695" s="19">
        <f>IF($V5695&lt;&gt;'設定'!$C$4,N(U5694),IF(OR(NOT(COUNTIF('商品マスタ'!$B$6:$B$1005,$W5695)=0),COUNTIFS('①在庫を貼る'!$V$6:$V$10005,$V5695,'①在庫を貼る'!$W$6:$W$10005,$W5695)&gt;0),N(U5694),N(U5694)+1))</f>
        <v/>
      </c>
      <c r="V5695" s="19">
        <f>IF($B5695="","",TEXT($B5695,"0000"))</f>
        <v/>
      </c>
      <c r="W5695" s="19">
        <f>IF($I5695="","",IF(ISNUMBER($I5695),TEXT($I5695,"0"),$I5695))</f>
        <v/>
      </c>
    </row>
    <row r="5696">
      <c r="B5696" s="25" t="n"/>
      <c r="I5696" s="25" t="n"/>
      <c r="U5696" s="19">
        <f>IF($V5696&lt;&gt;'設定'!$C$4,N(U5695),IF(OR(NOT(COUNTIF('商品マスタ'!$B$6:$B$1005,$W5696)=0),COUNTIFS('①在庫を貼る'!$V$6:$V$10005,$V5696,'①在庫を貼る'!$W$6:$W$10005,$W5696)&gt;0),N(U5695),N(U5695)+1))</f>
        <v/>
      </c>
      <c r="V5696" s="19">
        <f>IF($B5696="","",TEXT($B5696,"0000"))</f>
        <v/>
      </c>
      <c r="W5696" s="19">
        <f>IF($I5696="","",IF(ISNUMBER($I5696),TEXT($I5696,"0"),$I5696))</f>
        <v/>
      </c>
    </row>
    <row r="5697">
      <c r="B5697" s="25" t="n"/>
      <c r="I5697" s="25" t="n"/>
      <c r="U5697" s="19">
        <f>IF($V5697&lt;&gt;'設定'!$C$4,N(U5696),IF(OR(NOT(COUNTIF('商品マスタ'!$B$6:$B$1005,$W5697)=0),COUNTIFS('①在庫を貼る'!$V$6:$V$10005,$V5697,'①在庫を貼る'!$W$6:$W$10005,$W5697)&gt;0),N(U5696),N(U5696)+1))</f>
        <v/>
      </c>
      <c r="V5697" s="19">
        <f>IF($B5697="","",TEXT($B5697,"0000"))</f>
        <v/>
      </c>
      <c r="W5697" s="19">
        <f>IF($I5697="","",IF(ISNUMBER($I5697),TEXT($I5697,"0"),$I5697))</f>
        <v/>
      </c>
    </row>
    <row r="5698">
      <c r="B5698" s="25" t="n"/>
      <c r="I5698" s="25" t="n"/>
      <c r="U5698" s="19">
        <f>IF($V5698&lt;&gt;'設定'!$C$4,N(U5697),IF(OR(NOT(COUNTIF('商品マスタ'!$B$6:$B$1005,$W5698)=0),COUNTIFS('①在庫を貼る'!$V$6:$V$10005,$V5698,'①在庫を貼る'!$W$6:$W$10005,$W5698)&gt;0),N(U5697),N(U5697)+1))</f>
        <v/>
      </c>
      <c r="V5698" s="19">
        <f>IF($B5698="","",TEXT($B5698,"0000"))</f>
        <v/>
      </c>
      <c r="W5698" s="19">
        <f>IF($I5698="","",IF(ISNUMBER($I5698),TEXT($I5698,"0"),$I5698))</f>
        <v/>
      </c>
    </row>
    <row r="5699">
      <c r="B5699" s="25" t="n"/>
      <c r="I5699" s="25" t="n"/>
      <c r="U5699" s="19">
        <f>IF($V5699&lt;&gt;'設定'!$C$4,N(U5698),IF(OR(NOT(COUNTIF('商品マスタ'!$B$6:$B$1005,$W5699)=0),COUNTIFS('①在庫を貼る'!$V$6:$V$10005,$V5699,'①在庫を貼る'!$W$6:$W$10005,$W5699)&gt;0),N(U5698),N(U5698)+1))</f>
        <v/>
      </c>
      <c r="V5699" s="19">
        <f>IF($B5699="","",TEXT($B5699,"0000"))</f>
        <v/>
      </c>
      <c r="W5699" s="19">
        <f>IF($I5699="","",IF(ISNUMBER($I5699),TEXT($I5699,"0"),$I5699))</f>
        <v/>
      </c>
    </row>
    <row r="5700">
      <c r="B5700" s="25" t="n"/>
      <c r="I5700" s="25" t="n"/>
      <c r="U5700" s="19">
        <f>IF($V5700&lt;&gt;'設定'!$C$4,N(U5699),IF(OR(NOT(COUNTIF('商品マスタ'!$B$6:$B$1005,$W5700)=0),COUNTIFS('①在庫を貼る'!$V$6:$V$10005,$V5700,'①在庫を貼る'!$W$6:$W$10005,$W5700)&gt;0),N(U5699),N(U5699)+1))</f>
        <v/>
      </c>
      <c r="V5700" s="19">
        <f>IF($B5700="","",TEXT($B5700,"0000"))</f>
        <v/>
      </c>
      <c r="W5700" s="19">
        <f>IF($I5700="","",IF(ISNUMBER($I5700),TEXT($I5700,"0"),$I5700))</f>
        <v/>
      </c>
    </row>
    <row r="5701">
      <c r="B5701" s="25" t="n"/>
      <c r="I5701" s="25" t="n"/>
      <c r="U5701" s="19">
        <f>IF($V5701&lt;&gt;'設定'!$C$4,N(U5700),IF(OR(NOT(COUNTIF('商品マスタ'!$B$6:$B$1005,$W5701)=0),COUNTIFS('①在庫を貼る'!$V$6:$V$10005,$V5701,'①在庫を貼る'!$W$6:$W$10005,$W5701)&gt;0),N(U5700),N(U5700)+1))</f>
        <v/>
      </c>
      <c r="V5701" s="19">
        <f>IF($B5701="","",TEXT($B5701,"0000"))</f>
        <v/>
      </c>
      <c r="W5701" s="19">
        <f>IF($I5701="","",IF(ISNUMBER($I5701),TEXT($I5701,"0"),$I5701))</f>
        <v/>
      </c>
    </row>
    <row r="5702">
      <c r="B5702" s="25" t="n"/>
      <c r="I5702" s="25" t="n"/>
      <c r="U5702" s="19">
        <f>IF($V5702&lt;&gt;'設定'!$C$4,N(U5701),IF(OR(NOT(COUNTIF('商品マスタ'!$B$6:$B$1005,$W5702)=0),COUNTIFS('①在庫を貼る'!$V$6:$V$10005,$V5702,'①在庫を貼る'!$W$6:$W$10005,$W5702)&gt;0),N(U5701),N(U5701)+1))</f>
        <v/>
      </c>
      <c r="V5702" s="19">
        <f>IF($B5702="","",TEXT($B5702,"0000"))</f>
        <v/>
      </c>
      <c r="W5702" s="19">
        <f>IF($I5702="","",IF(ISNUMBER($I5702),TEXT($I5702,"0"),$I5702))</f>
        <v/>
      </c>
    </row>
    <row r="5703">
      <c r="B5703" s="25" t="n"/>
      <c r="I5703" s="25" t="n"/>
      <c r="U5703" s="19">
        <f>IF($V5703&lt;&gt;'設定'!$C$4,N(U5702),IF(OR(NOT(COUNTIF('商品マスタ'!$B$6:$B$1005,$W5703)=0),COUNTIFS('①在庫を貼る'!$V$6:$V$10005,$V5703,'①在庫を貼る'!$W$6:$W$10005,$W5703)&gt;0),N(U5702),N(U5702)+1))</f>
        <v/>
      </c>
      <c r="V5703" s="19">
        <f>IF($B5703="","",TEXT($B5703,"0000"))</f>
        <v/>
      </c>
      <c r="W5703" s="19">
        <f>IF($I5703="","",IF(ISNUMBER($I5703),TEXT($I5703,"0"),$I5703))</f>
        <v/>
      </c>
    </row>
    <row r="5704">
      <c r="B5704" s="25" t="n"/>
      <c r="I5704" s="25" t="n"/>
      <c r="U5704" s="19">
        <f>IF($V5704&lt;&gt;'設定'!$C$4,N(U5703),IF(OR(NOT(COUNTIF('商品マスタ'!$B$6:$B$1005,$W5704)=0),COUNTIFS('①在庫を貼る'!$V$6:$V$10005,$V5704,'①在庫を貼る'!$W$6:$W$10005,$W5704)&gt;0),N(U5703),N(U5703)+1))</f>
        <v/>
      </c>
      <c r="V5704" s="19">
        <f>IF($B5704="","",TEXT($B5704,"0000"))</f>
        <v/>
      </c>
      <c r="W5704" s="19">
        <f>IF($I5704="","",IF(ISNUMBER($I5704),TEXT($I5704,"0"),$I5704))</f>
        <v/>
      </c>
    </row>
    <row r="5705">
      <c r="B5705" s="25" t="n"/>
      <c r="I5705" s="25" t="n"/>
      <c r="U5705" s="19">
        <f>IF($V5705&lt;&gt;'設定'!$C$4,N(U5704),IF(OR(NOT(COUNTIF('商品マスタ'!$B$6:$B$1005,$W5705)=0),COUNTIFS('①在庫を貼る'!$V$6:$V$10005,$V5705,'①在庫を貼る'!$W$6:$W$10005,$W5705)&gt;0),N(U5704),N(U5704)+1))</f>
        <v/>
      </c>
      <c r="V5705" s="19">
        <f>IF($B5705="","",TEXT($B5705,"0000"))</f>
        <v/>
      </c>
      <c r="W5705" s="19">
        <f>IF($I5705="","",IF(ISNUMBER($I5705),TEXT($I5705,"0"),$I5705))</f>
        <v/>
      </c>
    </row>
    <row r="5706">
      <c r="B5706" s="25" t="n"/>
      <c r="I5706" s="25" t="n"/>
      <c r="U5706" s="19">
        <f>IF($V5706&lt;&gt;'設定'!$C$4,N(U5705),IF(OR(NOT(COUNTIF('商品マスタ'!$B$6:$B$1005,$W5706)=0),COUNTIFS('①在庫を貼る'!$V$6:$V$10005,$V5706,'①在庫を貼る'!$W$6:$W$10005,$W5706)&gt;0),N(U5705),N(U5705)+1))</f>
        <v/>
      </c>
      <c r="V5706" s="19">
        <f>IF($B5706="","",TEXT($B5706,"0000"))</f>
        <v/>
      </c>
      <c r="W5706" s="19">
        <f>IF($I5706="","",IF(ISNUMBER($I5706),TEXT($I5706,"0"),$I5706))</f>
        <v/>
      </c>
    </row>
    <row r="5707">
      <c r="B5707" s="25" t="n"/>
      <c r="I5707" s="25" t="n"/>
      <c r="U5707" s="19">
        <f>IF($V5707&lt;&gt;'設定'!$C$4,N(U5706),IF(OR(NOT(COUNTIF('商品マスタ'!$B$6:$B$1005,$W5707)=0),COUNTIFS('①在庫を貼る'!$V$6:$V$10005,$V5707,'①在庫を貼る'!$W$6:$W$10005,$W5707)&gt;0),N(U5706),N(U5706)+1))</f>
        <v/>
      </c>
      <c r="V5707" s="19">
        <f>IF($B5707="","",TEXT($B5707,"0000"))</f>
        <v/>
      </c>
      <c r="W5707" s="19">
        <f>IF($I5707="","",IF(ISNUMBER($I5707),TEXT($I5707,"0"),$I5707))</f>
        <v/>
      </c>
    </row>
    <row r="5708">
      <c r="B5708" s="25" t="n"/>
      <c r="I5708" s="25" t="n"/>
      <c r="U5708" s="19">
        <f>IF($V5708&lt;&gt;'設定'!$C$4,N(U5707),IF(OR(NOT(COUNTIF('商品マスタ'!$B$6:$B$1005,$W5708)=0),COUNTIFS('①在庫を貼る'!$V$6:$V$10005,$V5708,'①在庫を貼る'!$W$6:$W$10005,$W5708)&gt;0),N(U5707),N(U5707)+1))</f>
        <v/>
      </c>
      <c r="V5708" s="19">
        <f>IF($B5708="","",TEXT($B5708,"0000"))</f>
        <v/>
      </c>
      <c r="W5708" s="19">
        <f>IF($I5708="","",IF(ISNUMBER($I5708),TEXT($I5708,"0"),$I5708))</f>
        <v/>
      </c>
    </row>
    <row r="5709">
      <c r="B5709" s="25" t="n"/>
      <c r="I5709" s="25" t="n"/>
      <c r="U5709" s="19">
        <f>IF($V5709&lt;&gt;'設定'!$C$4,N(U5708),IF(OR(NOT(COUNTIF('商品マスタ'!$B$6:$B$1005,$W5709)=0),COUNTIFS('①在庫を貼る'!$V$6:$V$10005,$V5709,'①在庫を貼る'!$W$6:$W$10005,$W5709)&gt;0),N(U5708),N(U5708)+1))</f>
        <v/>
      </c>
      <c r="V5709" s="19">
        <f>IF($B5709="","",TEXT($B5709,"0000"))</f>
        <v/>
      </c>
      <c r="W5709" s="19">
        <f>IF($I5709="","",IF(ISNUMBER($I5709),TEXT($I5709,"0"),$I5709))</f>
        <v/>
      </c>
    </row>
    <row r="5710">
      <c r="B5710" s="25" t="n"/>
      <c r="I5710" s="25" t="n"/>
      <c r="U5710" s="19">
        <f>IF($V5710&lt;&gt;'設定'!$C$4,N(U5709),IF(OR(NOT(COUNTIF('商品マスタ'!$B$6:$B$1005,$W5710)=0),COUNTIFS('①在庫を貼る'!$V$6:$V$10005,$V5710,'①在庫を貼る'!$W$6:$W$10005,$W5710)&gt;0),N(U5709),N(U5709)+1))</f>
        <v/>
      </c>
      <c r="V5710" s="19">
        <f>IF($B5710="","",TEXT($B5710,"0000"))</f>
        <v/>
      </c>
      <c r="W5710" s="19">
        <f>IF($I5710="","",IF(ISNUMBER($I5710),TEXT($I5710,"0"),$I5710))</f>
        <v/>
      </c>
    </row>
    <row r="5711">
      <c r="B5711" s="25" t="n"/>
      <c r="I5711" s="25" t="n"/>
      <c r="U5711" s="19">
        <f>IF($V5711&lt;&gt;'設定'!$C$4,N(U5710),IF(OR(NOT(COUNTIF('商品マスタ'!$B$6:$B$1005,$W5711)=0),COUNTIFS('①在庫を貼る'!$V$6:$V$10005,$V5711,'①在庫を貼る'!$W$6:$W$10005,$W5711)&gt;0),N(U5710),N(U5710)+1))</f>
        <v/>
      </c>
      <c r="V5711" s="19">
        <f>IF($B5711="","",TEXT($B5711,"0000"))</f>
        <v/>
      </c>
      <c r="W5711" s="19">
        <f>IF($I5711="","",IF(ISNUMBER($I5711),TEXT($I5711,"0"),$I5711))</f>
        <v/>
      </c>
    </row>
    <row r="5712">
      <c r="B5712" s="25" t="n"/>
      <c r="I5712" s="25" t="n"/>
      <c r="U5712" s="19">
        <f>IF($V5712&lt;&gt;'設定'!$C$4,N(U5711),IF(OR(NOT(COUNTIF('商品マスタ'!$B$6:$B$1005,$W5712)=0),COUNTIFS('①在庫を貼る'!$V$6:$V$10005,$V5712,'①在庫を貼る'!$W$6:$W$10005,$W5712)&gt;0),N(U5711),N(U5711)+1))</f>
        <v/>
      </c>
      <c r="V5712" s="19">
        <f>IF($B5712="","",TEXT($B5712,"0000"))</f>
        <v/>
      </c>
      <c r="W5712" s="19">
        <f>IF($I5712="","",IF(ISNUMBER($I5712),TEXT($I5712,"0"),$I5712))</f>
        <v/>
      </c>
    </row>
    <row r="5713">
      <c r="B5713" s="25" t="n"/>
      <c r="I5713" s="25" t="n"/>
      <c r="U5713" s="19">
        <f>IF($V5713&lt;&gt;'設定'!$C$4,N(U5712),IF(OR(NOT(COUNTIF('商品マスタ'!$B$6:$B$1005,$W5713)=0),COUNTIFS('①在庫を貼る'!$V$6:$V$10005,$V5713,'①在庫を貼る'!$W$6:$W$10005,$W5713)&gt;0),N(U5712),N(U5712)+1))</f>
        <v/>
      </c>
      <c r="V5713" s="19">
        <f>IF($B5713="","",TEXT($B5713,"0000"))</f>
        <v/>
      </c>
      <c r="W5713" s="19">
        <f>IF($I5713="","",IF(ISNUMBER($I5713),TEXT($I5713,"0"),$I5713))</f>
        <v/>
      </c>
    </row>
    <row r="5714">
      <c r="B5714" s="25" t="n"/>
      <c r="I5714" s="25" t="n"/>
      <c r="U5714" s="19">
        <f>IF($V5714&lt;&gt;'設定'!$C$4,N(U5713),IF(OR(NOT(COUNTIF('商品マスタ'!$B$6:$B$1005,$W5714)=0),COUNTIFS('①在庫を貼る'!$V$6:$V$10005,$V5714,'①在庫を貼る'!$W$6:$W$10005,$W5714)&gt;0),N(U5713),N(U5713)+1))</f>
        <v/>
      </c>
      <c r="V5714" s="19">
        <f>IF($B5714="","",TEXT($B5714,"0000"))</f>
        <v/>
      </c>
      <c r="W5714" s="19">
        <f>IF($I5714="","",IF(ISNUMBER($I5714),TEXT($I5714,"0"),$I5714))</f>
        <v/>
      </c>
    </row>
    <row r="5715">
      <c r="B5715" s="25" t="n"/>
      <c r="I5715" s="25" t="n"/>
      <c r="U5715" s="19">
        <f>IF($V5715&lt;&gt;'設定'!$C$4,N(U5714),IF(OR(NOT(COUNTIF('商品マスタ'!$B$6:$B$1005,$W5715)=0),COUNTIFS('①在庫を貼る'!$V$6:$V$10005,$V5715,'①在庫を貼る'!$W$6:$W$10005,$W5715)&gt;0),N(U5714),N(U5714)+1))</f>
        <v/>
      </c>
      <c r="V5715" s="19">
        <f>IF($B5715="","",TEXT($B5715,"0000"))</f>
        <v/>
      </c>
      <c r="W5715" s="19">
        <f>IF($I5715="","",IF(ISNUMBER($I5715),TEXT($I5715,"0"),$I5715))</f>
        <v/>
      </c>
    </row>
    <row r="5716">
      <c r="B5716" s="25" t="n"/>
      <c r="I5716" s="25" t="n"/>
      <c r="U5716" s="19">
        <f>IF($V5716&lt;&gt;'設定'!$C$4,N(U5715),IF(OR(NOT(COUNTIF('商品マスタ'!$B$6:$B$1005,$W5716)=0),COUNTIFS('①在庫を貼る'!$V$6:$V$10005,$V5716,'①在庫を貼る'!$W$6:$W$10005,$W5716)&gt;0),N(U5715),N(U5715)+1))</f>
        <v/>
      </c>
      <c r="V5716" s="19">
        <f>IF($B5716="","",TEXT($B5716,"0000"))</f>
        <v/>
      </c>
      <c r="W5716" s="19">
        <f>IF($I5716="","",IF(ISNUMBER($I5716),TEXT($I5716,"0"),$I5716))</f>
        <v/>
      </c>
    </row>
    <row r="5717">
      <c r="B5717" s="25" t="n"/>
      <c r="I5717" s="25" t="n"/>
      <c r="U5717" s="19">
        <f>IF($V5717&lt;&gt;'設定'!$C$4,N(U5716),IF(OR(NOT(COUNTIF('商品マスタ'!$B$6:$B$1005,$W5717)=0),COUNTIFS('①在庫を貼る'!$V$6:$V$10005,$V5717,'①在庫を貼る'!$W$6:$W$10005,$W5717)&gt;0),N(U5716),N(U5716)+1))</f>
        <v/>
      </c>
      <c r="V5717" s="19">
        <f>IF($B5717="","",TEXT($B5717,"0000"))</f>
        <v/>
      </c>
      <c r="W5717" s="19">
        <f>IF($I5717="","",IF(ISNUMBER($I5717),TEXT($I5717,"0"),$I5717))</f>
        <v/>
      </c>
    </row>
    <row r="5718">
      <c r="B5718" s="25" t="n"/>
      <c r="I5718" s="25" t="n"/>
      <c r="U5718" s="19">
        <f>IF($V5718&lt;&gt;'設定'!$C$4,N(U5717),IF(OR(NOT(COUNTIF('商品マスタ'!$B$6:$B$1005,$W5718)=0),COUNTIFS('①在庫を貼る'!$V$6:$V$10005,$V5718,'①在庫を貼る'!$W$6:$W$10005,$W5718)&gt;0),N(U5717),N(U5717)+1))</f>
        <v/>
      </c>
      <c r="V5718" s="19">
        <f>IF($B5718="","",TEXT($B5718,"0000"))</f>
        <v/>
      </c>
      <c r="W5718" s="19">
        <f>IF($I5718="","",IF(ISNUMBER($I5718),TEXT($I5718,"0"),$I5718))</f>
        <v/>
      </c>
    </row>
    <row r="5719">
      <c r="B5719" s="25" t="n"/>
      <c r="I5719" s="25" t="n"/>
      <c r="U5719" s="19">
        <f>IF($V5719&lt;&gt;'設定'!$C$4,N(U5718),IF(OR(NOT(COUNTIF('商品マスタ'!$B$6:$B$1005,$W5719)=0),COUNTIFS('①在庫を貼る'!$V$6:$V$10005,$V5719,'①在庫を貼る'!$W$6:$W$10005,$W5719)&gt;0),N(U5718),N(U5718)+1))</f>
        <v/>
      </c>
      <c r="V5719" s="19">
        <f>IF($B5719="","",TEXT($B5719,"0000"))</f>
        <v/>
      </c>
      <c r="W5719" s="19">
        <f>IF($I5719="","",IF(ISNUMBER($I5719),TEXT($I5719,"0"),$I5719))</f>
        <v/>
      </c>
    </row>
    <row r="5720">
      <c r="B5720" s="25" t="n"/>
      <c r="I5720" s="25" t="n"/>
      <c r="U5720" s="19">
        <f>IF($V5720&lt;&gt;'設定'!$C$4,N(U5719),IF(OR(NOT(COUNTIF('商品マスタ'!$B$6:$B$1005,$W5720)=0),COUNTIFS('①在庫を貼る'!$V$6:$V$10005,$V5720,'①在庫を貼る'!$W$6:$W$10005,$W5720)&gt;0),N(U5719),N(U5719)+1))</f>
        <v/>
      </c>
      <c r="V5720" s="19">
        <f>IF($B5720="","",TEXT($B5720,"0000"))</f>
        <v/>
      </c>
      <c r="W5720" s="19">
        <f>IF($I5720="","",IF(ISNUMBER($I5720),TEXT($I5720,"0"),$I5720))</f>
        <v/>
      </c>
    </row>
    <row r="5721">
      <c r="B5721" s="25" t="n"/>
      <c r="I5721" s="25" t="n"/>
      <c r="U5721" s="19">
        <f>IF($V5721&lt;&gt;'設定'!$C$4,N(U5720),IF(OR(NOT(COUNTIF('商品マスタ'!$B$6:$B$1005,$W5721)=0),COUNTIFS('①在庫を貼る'!$V$6:$V$10005,$V5721,'①在庫を貼る'!$W$6:$W$10005,$W5721)&gt;0),N(U5720),N(U5720)+1))</f>
        <v/>
      </c>
      <c r="V5721" s="19">
        <f>IF($B5721="","",TEXT($B5721,"0000"))</f>
        <v/>
      </c>
      <c r="W5721" s="19">
        <f>IF($I5721="","",IF(ISNUMBER($I5721),TEXT($I5721,"0"),$I5721))</f>
        <v/>
      </c>
    </row>
    <row r="5722">
      <c r="B5722" s="25" t="n"/>
      <c r="I5722" s="25" t="n"/>
      <c r="U5722" s="19">
        <f>IF($V5722&lt;&gt;'設定'!$C$4,N(U5721),IF(OR(NOT(COUNTIF('商品マスタ'!$B$6:$B$1005,$W5722)=0),COUNTIFS('①在庫を貼る'!$V$6:$V$10005,$V5722,'①在庫を貼る'!$W$6:$W$10005,$W5722)&gt;0),N(U5721),N(U5721)+1))</f>
        <v/>
      </c>
      <c r="V5722" s="19">
        <f>IF($B5722="","",TEXT($B5722,"0000"))</f>
        <v/>
      </c>
      <c r="W5722" s="19">
        <f>IF($I5722="","",IF(ISNUMBER($I5722),TEXT($I5722,"0"),$I5722))</f>
        <v/>
      </c>
    </row>
    <row r="5723">
      <c r="B5723" s="25" t="n"/>
      <c r="I5723" s="25" t="n"/>
      <c r="U5723" s="19">
        <f>IF($V5723&lt;&gt;'設定'!$C$4,N(U5722),IF(OR(NOT(COUNTIF('商品マスタ'!$B$6:$B$1005,$W5723)=0),COUNTIFS('①在庫を貼る'!$V$6:$V$10005,$V5723,'①在庫を貼る'!$W$6:$W$10005,$W5723)&gt;0),N(U5722),N(U5722)+1))</f>
        <v/>
      </c>
      <c r="V5723" s="19">
        <f>IF($B5723="","",TEXT($B5723,"0000"))</f>
        <v/>
      </c>
      <c r="W5723" s="19">
        <f>IF($I5723="","",IF(ISNUMBER($I5723),TEXT($I5723,"0"),$I5723))</f>
        <v/>
      </c>
    </row>
    <row r="5724">
      <c r="B5724" s="25" t="n"/>
      <c r="I5724" s="25" t="n"/>
      <c r="U5724" s="19">
        <f>IF($V5724&lt;&gt;'設定'!$C$4,N(U5723),IF(OR(NOT(COUNTIF('商品マスタ'!$B$6:$B$1005,$W5724)=0),COUNTIFS('①在庫を貼る'!$V$6:$V$10005,$V5724,'①在庫を貼る'!$W$6:$W$10005,$W5724)&gt;0),N(U5723),N(U5723)+1))</f>
        <v/>
      </c>
      <c r="V5724" s="19">
        <f>IF($B5724="","",TEXT($B5724,"0000"))</f>
        <v/>
      </c>
      <c r="W5724" s="19">
        <f>IF($I5724="","",IF(ISNUMBER($I5724),TEXT($I5724,"0"),$I5724))</f>
        <v/>
      </c>
    </row>
    <row r="5725">
      <c r="B5725" s="25" t="n"/>
      <c r="I5725" s="25" t="n"/>
      <c r="U5725" s="19">
        <f>IF($V5725&lt;&gt;'設定'!$C$4,N(U5724),IF(OR(NOT(COUNTIF('商品マスタ'!$B$6:$B$1005,$W5725)=0),COUNTIFS('①在庫を貼る'!$V$6:$V$10005,$V5725,'①在庫を貼る'!$W$6:$W$10005,$W5725)&gt;0),N(U5724),N(U5724)+1))</f>
        <v/>
      </c>
      <c r="V5725" s="19">
        <f>IF($B5725="","",TEXT($B5725,"0000"))</f>
        <v/>
      </c>
      <c r="W5725" s="19">
        <f>IF($I5725="","",IF(ISNUMBER($I5725),TEXT($I5725,"0"),$I5725))</f>
        <v/>
      </c>
    </row>
    <row r="5726">
      <c r="B5726" s="25" t="n"/>
      <c r="I5726" s="25" t="n"/>
      <c r="U5726" s="19">
        <f>IF($V5726&lt;&gt;'設定'!$C$4,N(U5725),IF(OR(NOT(COUNTIF('商品マスタ'!$B$6:$B$1005,$W5726)=0),COUNTIFS('①在庫を貼る'!$V$6:$V$10005,$V5726,'①在庫を貼る'!$W$6:$W$10005,$W5726)&gt;0),N(U5725),N(U5725)+1))</f>
        <v/>
      </c>
      <c r="V5726" s="19">
        <f>IF($B5726="","",TEXT($B5726,"0000"))</f>
        <v/>
      </c>
      <c r="W5726" s="19">
        <f>IF($I5726="","",IF(ISNUMBER($I5726),TEXT($I5726,"0"),$I5726))</f>
        <v/>
      </c>
    </row>
    <row r="5727">
      <c r="B5727" s="25" t="n"/>
      <c r="I5727" s="25" t="n"/>
      <c r="U5727" s="19">
        <f>IF($V5727&lt;&gt;'設定'!$C$4,N(U5726),IF(OR(NOT(COUNTIF('商品マスタ'!$B$6:$B$1005,$W5727)=0),COUNTIFS('①在庫を貼る'!$V$6:$V$10005,$V5727,'①在庫を貼る'!$W$6:$W$10005,$W5727)&gt;0),N(U5726),N(U5726)+1))</f>
        <v/>
      </c>
      <c r="V5727" s="19">
        <f>IF($B5727="","",TEXT($B5727,"0000"))</f>
        <v/>
      </c>
      <c r="W5727" s="19">
        <f>IF($I5727="","",IF(ISNUMBER($I5727),TEXT($I5727,"0"),$I5727))</f>
        <v/>
      </c>
    </row>
    <row r="5728">
      <c r="B5728" s="25" t="n"/>
      <c r="I5728" s="25" t="n"/>
      <c r="U5728" s="19">
        <f>IF($V5728&lt;&gt;'設定'!$C$4,N(U5727),IF(OR(NOT(COUNTIF('商品マスタ'!$B$6:$B$1005,$W5728)=0),COUNTIFS('①在庫を貼る'!$V$6:$V$10005,$V5728,'①在庫を貼る'!$W$6:$W$10005,$W5728)&gt;0),N(U5727),N(U5727)+1))</f>
        <v/>
      </c>
      <c r="V5728" s="19">
        <f>IF($B5728="","",TEXT($B5728,"0000"))</f>
        <v/>
      </c>
      <c r="W5728" s="19">
        <f>IF($I5728="","",IF(ISNUMBER($I5728),TEXT($I5728,"0"),$I5728))</f>
        <v/>
      </c>
    </row>
    <row r="5729">
      <c r="B5729" s="25" t="n"/>
      <c r="I5729" s="25" t="n"/>
      <c r="U5729" s="19">
        <f>IF($V5729&lt;&gt;'設定'!$C$4,N(U5728),IF(OR(NOT(COUNTIF('商品マスタ'!$B$6:$B$1005,$W5729)=0),COUNTIFS('①在庫を貼る'!$V$6:$V$10005,$V5729,'①在庫を貼る'!$W$6:$W$10005,$W5729)&gt;0),N(U5728),N(U5728)+1))</f>
        <v/>
      </c>
      <c r="V5729" s="19">
        <f>IF($B5729="","",TEXT($B5729,"0000"))</f>
        <v/>
      </c>
      <c r="W5729" s="19">
        <f>IF($I5729="","",IF(ISNUMBER($I5729),TEXT($I5729,"0"),$I5729))</f>
        <v/>
      </c>
    </row>
    <row r="5730">
      <c r="B5730" s="25" t="n"/>
      <c r="I5730" s="25" t="n"/>
      <c r="U5730" s="19">
        <f>IF($V5730&lt;&gt;'設定'!$C$4,N(U5729),IF(OR(NOT(COUNTIF('商品マスタ'!$B$6:$B$1005,$W5730)=0),COUNTIFS('①在庫を貼る'!$V$6:$V$10005,$V5730,'①在庫を貼る'!$W$6:$W$10005,$W5730)&gt;0),N(U5729),N(U5729)+1))</f>
        <v/>
      </c>
      <c r="V5730" s="19">
        <f>IF($B5730="","",TEXT($B5730,"0000"))</f>
        <v/>
      </c>
      <c r="W5730" s="19">
        <f>IF($I5730="","",IF(ISNUMBER($I5730),TEXT($I5730,"0"),$I5730))</f>
        <v/>
      </c>
    </row>
    <row r="5731">
      <c r="B5731" s="25" t="n"/>
      <c r="I5731" s="25" t="n"/>
      <c r="U5731" s="19">
        <f>IF($V5731&lt;&gt;'設定'!$C$4,N(U5730),IF(OR(NOT(COUNTIF('商品マスタ'!$B$6:$B$1005,$W5731)=0),COUNTIFS('①在庫を貼る'!$V$6:$V$10005,$V5731,'①在庫を貼る'!$W$6:$W$10005,$W5731)&gt;0),N(U5730),N(U5730)+1))</f>
        <v/>
      </c>
      <c r="V5731" s="19">
        <f>IF($B5731="","",TEXT($B5731,"0000"))</f>
        <v/>
      </c>
      <c r="W5731" s="19">
        <f>IF($I5731="","",IF(ISNUMBER($I5731),TEXT($I5731,"0"),$I5731))</f>
        <v/>
      </c>
    </row>
    <row r="5732">
      <c r="B5732" s="25" t="n"/>
      <c r="I5732" s="25" t="n"/>
      <c r="U5732" s="19">
        <f>IF($V5732&lt;&gt;'設定'!$C$4,N(U5731),IF(OR(NOT(COUNTIF('商品マスタ'!$B$6:$B$1005,$W5732)=0),COUNTIFS('①在庫を貼る'!$V$6:$V$10005,$V5732,'①在庫を貼る'!$W$6:$W$10005,$W5732)&gt;0),N(U5731),N(U5731)+1))</f>
        <v/>
      </c>
      <c r="V5732" s="19">
        <f>IF($B5732="","",TEXT($B5732,"0000"))</f>
        <v/>
      </c>
      <c r="W5732" s="19">
        <f>IF($I5732="","",IF(ISNUMBER($I5732),TEXT($I5732,"0"),$I5732))</f>
        <v/>
      </c>
    </row>
    <row r="5733">
      <c r="B5733" s="25" t="n"/>
      <c r="I5733" s="25" t="n"/>
      <c r="U5733" s="19">
        <f>IF($V5733&lt;&gt;'設定'!$C$4,N(U5732),IF(OR(NOT(COUNTIF('商品マスタ'!$B$6:$B$1005,$W5733)=0),COUNTIFS('①在庫を貼る'!$V$6:$V$10005,$V5733,'①在庫を貼る'!$W$6:$W$10005,$W5733)&gt;0),N(U5732),N(U5732)+1))</f>
        <v/>
      </c>
      <c r="V5733" s="19">
        <f>IF($B5733="","",TEXT($B5733,"0000"))</f>
        <v/>
      </c>
      <c r="W5733" s="19">
        <f>IF($I5733="","",IF(ISNUMBER($I5733),TEXT($I5733,"0"),$I5733))</f>
        <v/>
      </c>
    </row>
    <row r="5734">
      <c r="B5734" s="25" t="n"/>
      <c r="I5734" s="25" t="n"/>
      <c r="U5734" s="19">
        <f>IF($V5734&lt;&gt;'設定'!$C$4,N(U5733),IF(OR(NOT(COUNTIF('商品マスタ'!$B$6:$B$1005,$W5734)=0),COUNTIFS('①在庫を貼る'!$V$6:$V$10005,$V5734,'①在庫を貼る'!$W$6:$W$10005,$W5734)&gt;0),N(U5733),N(U5733)+1))</f>
        <v/>
      </c>
      <c r="V5734" s="19">
        <f>IF($B5734="","",TEXT($B5734,"0000"))</f>
        <v/>
      </c>
      <c r="W5734" s="19">
        <f>IF($I5734="","",IF(ISNUMBER($I5734),TEXT($I5734,"0"),$I5734))</f>
        <v/>
      </c>
    </row>
    <row r="5735">
      <c r="B5735" s="25" t="n"/>
      <c r="I5735" s="25" t="n"/>
      <c r="U5735" s="19">
        <f>IF($V5735&lt;&gt;'設定'!$C$4,N(U5734),IF(OR(NOT(COUNTIF('商品マスタ'!$B$6:$B$1005,$W5735)=0),COUNTIFS('①在庫を貼る'!$V$6:$V$10005,$V5735,'①在庫を貼る'!$W$6:$W$10005,$W5735)&gt;0),N(U5734),N(U5734)+1))</f>
        <v/>
      </c>
      <c r="V5735" s="19">
        <f>IF($B5735="","",TEXT($B5735,"0000"))</f>
        <v/>
      </c>
      <c r="W5735" s="19">
        <f>IF($I5735="","",IF(ISNUMBER($I5735),TEXT($I5735,"0"),$I5735))</f>
        <v/>
      </c>
    </row>
    <row r="5736">
      <c r="B5736" s="25" t="n"/>
      <c r="I5736" s="25" t="n"/>
      <c r="U5736" s="19">
        <f>IF($V5736&lt;&gt;'設定'!$C$4,N(U5735),IF(OR(NOT(COUNTIF('商品マスタ'!$B$6:$B$1005,$W5736)=0),COUNTIFS('①在庫を貼る'!$V$6:$V$10005,$V5736,'①在庫を貼る'!$W$6:$W$10005,$W5736)&gt;0),N(U5735),N(U5735)+1))</f>
        <v/>
      </c>
      <c r="V5736" s="19">
        <f>IF($B5736="","",TEXT($B5736,"0000"))</f>
        <v/>
      </c>
      <c r="W5736" s="19">
        <f>IF($I5736="","",IF(ISNUMBER($I5736),TEXT($I5736,"0"),$I5736))</f>
        <v/>
      </c>
    </row>
    <row r="5737">
      <c r="B5737" s="25" t="n"/>
      <c r="I5737" s="25" t="n"/>
      <c r="U5737" s="19">
        <f>IF($V5737&lt;&gt;'設定'!$C$4,N(U5736),IF(OR(NOT(COUNTIF('商品マスタ'!$B$6:$B$1005,$W5737)=0),COUNTIFS('①在庫を貼る'!$V$6:$V$10005,$V5737,'①在庫を貼る'!$W$6:$W$10005,$W5737)&gt;0),N(U5736),N(U5736)+1))</f>
        <v/>
      </c>
      <c r="V5737" s="19">
        <f>IF($B5737="","",TEXT($B5737,"0000"))</f>
        <v/>
      </c>
      <c r="W5737" s="19">
        <f>IF($I5737="","",IF(ISNUMBER($I5737),TEXT($I5737,"0"),$I5737))</f>
        <v/>
      </c>
    </row>
    <row r="5738">
      <c r="B5738" s="25" t="n"/>
      <c r="I5738" s="25" t="n"/>
      <c r="U5738" s="19">
        <f>IF($V5738&lt;&gt;'設定'!$C$4,N(U5737),IF(OR(NOT(COUNTIF('商品マスタ'!$B$6:$B$1005,$W5738)=0),COUNTIFS('①在庫を貼る'!$V$6:$V$10005,$V5738,'①在庫を貼る'!$W$6:$W$10005,$W5738)&gt;0),N(U5737),N(U5737)+1))</f>
        <v/>
      </c>
      <c r="V5738" s="19">
        <f>IF($B5738="","",TEXT($B5738,"0000"))</f>
        <v/>
      </c>
      <c r="W5738" s="19">
        <f>IF($I5738="","",IF(ISNUMBER($I5738),TEXT($I5738,"0"),$I5738))</f>
        <v/>
      </c>
    </row>
    <row r="5739">
      <c r="B5739" s="25" t="n"/>
      <c r="I5739" s="25" t="n"/>
      <c r="U5739" s="19">
        <f>IF($V5739&lt;&gt;'設定'!$C$4,N(U5738),IF(OR(NOT(COUNTIF('商品マスタ'!$B$6:$B$1005,$W5739)=0),COUNTIFS('①在庫を貼る'!$V$6:$V$10005,$V5739,'①在庫を貼る'!$W$6:$W$10005,$W5739)&gt;0),N(U5738),N(U5738)+1))</f>
        <v/>
      </c>
      <c r="V5739" s="19">
        <f>IF($B5739="","",TEXT($B5739,"0000"))</f>
        <v/>
      </c>
      <c r="W5739" s="19">
        <f>IF($I5739="","",IF(ISNUMBER($I5739),TEXT($I5739,"0"),$I5739))</f>
        <v/>
      </c>
    </row>
    <row r="5740">
      <c r="B5740" s="25" t="n"/>
      <c r="I5740" s="25" t="n"/>
      <c r="U5740" s="19">
        <f>IF($V5740&lt;&gt;'設定'!$C$4,N(U5739),IF(OR(NOT(COUNTIF('商品マスタ'!$B$6:$B$1005,$W5740)=0),COUNTIFS('①在庫を貼る'!$V$6:$V$10005,$V5740,'①在庫を貼る'!$W$6:$W$10005,$W5740)&gt;0),N(U5739),N(U5739)+1))</f>
        <v/>
      </c>
      <c r="V5740" s="19">
        <f>IF($B5740="","",TEXT($B5740,"0000"))</f>
        <v/>
      </c>
      <c r="W5740" s="19">
        <f>IF($I5740="","",IF(ISNUMBER($I5740),TEXT($I5740,"0"),$I5740))</f>
        <v/>
      </c>
    </row>
    <row r="5741">
      <c r="B5741" s="25" t="n"/>
      <c r="I5741" s="25" t="n"/>
      <c r="U5741" s="19">
        <f>IF($V5741&lt;&gt;'設定'!$C$4,N(U5740),IF(OR(NOT(COUNTIF('商品マスタ'!$B$6:$B$1005,$W5741)=0),COUNTIFS('①在庫を貼る'!$V$6:$V$10005,$V5741,'①在庫を貼る'!$W$6:$W$10005,$W5741)&gt;0),N(U5740),N(U5740)+1))</f>
        <v/>
      </c>
      <c r="V5741" s="19">
        <f>IF($B5741="","",TEXT($B5741,"0000"))</f>
        <v/>
      </c>
      <c r="W5741" s="19">
        <f>IF($I5741="","",IF(ISNUMBER($I5741),TEXT($I5741,"0"),$I5741))</f>
        <v/>
      </c>
    </row>
    <row r="5742">
      <c r="B5742" s="25" t="n"/>
      <c r="I5742" s="25" t="n"/>
      <c r="U5742" s="19">
        <f>IF($V5742&lt;&gt;'設定'!$C$4,N(U5741),IF(OR(NOT(COUNTIF('商品マスタ'!$B$6:$B$1005,$W5742)=0),COUNTIFS('①在庫を貼る'!$V$6:$V$10005,$V5742,'①在庫を貼る'!$W$6:$W$10005,$W5742)&gt;0),N(U5741),N(U5741)+1))</f>
        <v/>
      </c>
      <c r="V5742" s="19">
        <f>IF($B5742="","",TEXT($B5742,"0000"))</f>
        <v/>
      </c>
      <c r="W5742" s="19">
        <f>IF($I5742="","",IF(ISNUMBER($I5742),TEXT($I5742,"0"),$I5742))</f>
        <v/>
      </c>
    </row>
    <row r="5743">
      <c r="B5743" s="25" t="n"/>
      <c r="I5743" s="25" t="n"/>
      <c r="U5743" s="19">
        <f>IF($V5743&lt;&gt;'設定'!$C$4,N(U5742),IF(OR(NOT(COUNTIF('商品マスタ'!$B$6:$B$1005,$W5743)=0),COUNTIFS('①在庫を貼る'!$V$6:$V$10005,$V5743,'①在庫を貼る'!$W$6:$W$10005,$W5743)&gt;0),N(U5742),N(U5742)+1))</f>
        <v/>
      </c>
      <c r="V5743" s="19">
        <f>IF($B5743="","",TEXT($B5743,"0000"))</f>
        <v/>
      </c>
      <c r="W5743" s="19">
        <f>IF($I5743="","",IF(ISNUMBER($I5743),TEXT($I5743,"0"),$I5743))</f>
        <v/>
      </c>
    </row>
    <row r="5744">
      <c r="B5744" s="25" t="n"/>
      <c r="I5744" s="25" t="n"/>
      <c r="U5744" s="19">
        <f>IF($V5744&lt;&gt;'設定'!$C$4,N(U5743),IF(OR(NOT(COUNTIF('商品マスタ'!$B$6:$B$1005,$W5744)=0),COUNTIFS('①在庫を貼る'!$V$6:$V$10005,$V5744,'①在庫を貼る'!$W$6:$W$10005,$W5744)&gt;0),N(U5743),N(U5743)+1))</f>
        <v/>
      </c>
      <c r="V5744" s="19">
        <f>IF($B5744="","",TEXT($B5744,"0000"))</f>
        <v/>
      </c>
      <c r="W5744" s="19">
        <f>IF($I5744="","",IF(ISNUMBER($I5744),TEXT($I5744,"0"),$I5744))</f>
        <v/>
      </c>
    </row>
    <row r="5745">
      <c r="B5745" s="25" t="n"/>
      <c r="I5745" s="25" t="n"/>
      <c r="U5745" s="19">
        <f>IF($V5745&lt;&gt;'設定'!$C$4,N(U5744),IF(OR(NOT(COUNTIF('商品マスタ'!$B$6:$B$1005,$W5745)=0),COUNTIFS('①在庫を貼る'!$V$6:$V$10005,$V5745,'①在庫を貼る'!$W$6:$W$10005,$W5745)&gt;0),N(U5744),N(U5744)+1))</f>
        <v/>
      </c>
      <c r="V5745" s="19">
        <f>IF($B5745="","",TEXT($B5745,"0000"))</f>
        <v/>
      </c>
      <c r="W5745" s="19">
        <f>IF($I5745="","",IF(ISNUMBER($I5745),TEXT($I5745,"0"),$I5745))</f>
        <v/>
      </c>
    </row>
    <row r="5746">
      <c r="B5746" s="25" t="n"/>
      <c r="I5746" s="25" t="n"/>
      <c r="U5746" s="19">
        <f>IF($V5746&lt;&gt;'設定'!$C$4,N(U5745),IF(OR(NOT(COUNTIF('商品マスタ'!$B$6:$B$1005,$W5746)=0),COUNTIFS('①在庫を貼る'!$V$6:$V$10005,$V5746,'①在庫を貼る'!$W$6:$W$10005,$W5746)&gt;0),N(U5745),N(U5745)+1))</f>
        <v/>
      </c>
      <c r="V5746" s="19">
        <f>IF($B5746="","",TEXT($B5746,"0000"))</f>
        <v/>
      </c>
      <c r="W5746" s="19">
        <f>IF($I5746="","",IF(ISNUMBER($I5746),TEXT($I5746,"0"),$I5746))</f>
        <v/>
      </c>
    </row>
    <row r="5747">
      <c r="B5747" s="25" t="n"/>
      <c r="I5747" s="25" t="n"/>
      <c r="U5747" s="19">
        <f>IF($V5747&lt;&gt;'設定'!$C$4,N(U5746),IF(OR(NOT(COUNTIF('商品マスタ'!$B$6:$B$1005,$W5747)=0),COUNTIFS('①在庫を貼る'!$V$6:$V$10005,$V5747,'①在庫を貼る'!$W$6:$W$10005,$W5747)&gt;0),N(U5746),N(U5746)+1))</f>
        <v/>
      </c>
      <c r="V5747" s="19">
        <f>IF($B5747="","",TEXT($B5747,"0000"))</f>
        <v/>
      </c>
      <c r="W5747" s="19">
        <f>IF($I5747="","",IF(ISNUMBER($I5747),TEXT($I5747,"0"),$I5747))</f>
        <v/>
      </c>
    </row>
    <row r="5748">
      <c r="B5748" s="25" t="n"/>
      <c r="I5748" s="25" t="n"/>
      <c r="U5748" s="19">
        <f>IF($V5748&lt;&gt;'設定'!$C$4,N(U5747),IF(OR(NOT(COUNTIF('商品マスタ'!$B$6:$B$1005,$W5748)=0),COUNTIFS('①在庫を貼る'!$V$6:$V$10005,$V5748,'①在庫を貼る'!$W$6:$W$10005,$W5748)&gt;0),N(U5747),N(U5747)+1))</f>
        <v/>
      </c>
      <c r="V5748" s="19">
        <f>IF($B5748="","",TEXT($B5748,"0000"))</f>
        <v/>
      </c>
      <c r="W5748" s="19">
        <f>IF($I5748="","",IF(ISNUMBER($I5748),TEXT($I5748,"0"),$I5748))</f>
        <v/>
      </c>
    </row>
    <row r="5749">
      <c r="B5749" s="25" t="n"/>
      <c r="I5749" s="25" t="n"/>
      <c r="U5749" s="19">
        <f>IF($V5749&lt;&gt;'設定'!$C$4,N(U5748),IF(OR(NOT(COUNTIF('商品マスタ'!$B$6:$B$1005,$W5749)=0),COUNTIFS('①在庫を貼る'!$V$6:$V$10005,$V5749,'①在庫を貼る'!$W$6:$W$10005,$W5749)&gt;0),N(U5748),N(U5748)+1))</f>
        <v/>
      </c>
      <c r="V5749" s="19">
        <f>IF($B5749="","",TEXT($B5749,"0000"))</f>
        <v/>
      </c>
      <c r="W5749" s="19">
        <f>IF($I5749="","",IF(ISNUMBER($I5749),TEXT($I5749,"0"),$I5749))</f>
        <v/>
      </c>
    </row>
    <row r="5750">
      <c r="B5750" s="25" t="n"/>
      <c r="I5750" s="25" t="n"/>
      <c r="U5750" s="19">
        <f>IF($V5750&lt;&gt;'設定'!$C$4,N(U5749),IF(OR(NOT(COUNTIF('商品マスタ'!$B$6:$B$1005,$W5750)=0),COUNTIFS('①在庫を貼る'!$V$6:$V$10005,$V5750,'①在庫を貼る'!$W$6:$W$10005,$W5750)&gt;0),N(U5749),N(U5749)+1))</f>
        <v/>
      </c>
      <c r="V5750" s="19">
        <f>IF($B5750="","",TEXT($B5750,"0000"))</f>
        <v/>
      </c>
      <c r="W5750" s="19">
        <f>IF($I5750="","",IF(ISNUMBER($I5750),TEXT($I5750,"0"),$I5750))</f>
        <v/>
      </c>
    </row>
    <row r="5751">
      <c r="B5751" s="25" t="n"/>
      <c r="I5751" s="25" t="n"/>
      <c r="U5751" s="19">
        <f>IF($V5751&lt;&gt;'設定'!$C$4,N(U5750),IF(OR(NOT(COUNTIF('商品マスタ'!$B$6:$B$1005,$W5751)=0),COUNTIFS('①在庫を貼る'!$V$6:$V$10005,$V5751,'①在庫を貼る'!$W$6:$W$10005,$W5751)&gt;0),N(U5750),N(U5750)+1))</f>
        <v/>
      </c>
      <c r="V5751" s="19">
        <f>IF($B5751="","",TEXT($B5751,"0000"))</f>
        <v/>
      </c>
      <c r="W5751" s="19">
        <f>IF($I5751="","",IF(ISNUMBER($I5751),TEXT($I5751,"0"),$I5751))</f>
        <v/>
      </c>
    </row>
    <row r="5752">
      <c r="B5752" s="25" t="n"/>
      <c r="I5752" s="25" t="n"/>
      <c r="U5752" s="19">
        <f>IF($V5752&lt;&gt;'設定'!$C$4,N(U5751),IF(OR(NOT(COUNTIF('商品マスタ'!$B$6:$B$1005,$W5752)=0),COUNTIFS('①在庫を貼る'!$V$6:$V$10005,$V5752,'①在庫を貼る'!$W$6:$W$10005,$W5752)&gt;0),N(U5751),N(U5751)+1))</f>
        <v/>
      </c>
      <c r="V5752" s="19">
        <f>IF($B5752="","",TEXT($B5752,"0000"))</f>
        <v/>
      </c>
      <c r="W5752" s="19">
        <f>IF($I5752="","",IF(ISNUMBER($I5752),TEXT($I5752,"0"),$I5752))</f>
        <v/>
      </c>
    </row>
    <row r="5753">
      <c r="B5753" s="25" t="n"/>
      <c r="I5753" s="25" t="n"/>
      <c r="U5753" s="19">
        <f>IF($V5753&lt;&gt;'設定'!$C$4,N(U5752),IF(OR(NOT(COUNTIF('商品マスタ'!$B$6:$B$1005,$W5753)=0),COUNTIFS('①在庫を貼る'!$V$6:$V$10005,$V5753,'①在庫を貼る'!$W$6:$W$10005,$W5753)&gt;0),N(U5752),N(U5752)+1))</f>
        <v/>
      </c>
      <c r="V5753" s="19">
        <f>IF($B5753="","",TEXT($B5753,"0000"))</f>
        <v/>
      </c>
      <c r="W5753" s="19">
        <f>IF($I5753="","",IF(ISNUMBER($I5753),TEXT($I5753,"0"),$I5753))</f>
        <v/>
      </c>
    </row>
    <row r="5754">
      <c r="B5754" s="25" t="n"/>
      <c r="I5754" s="25" t="n"/>
      <c r="U5754" s="19">
        <f>IF($V5754&lt;&gt;'設定'!$C$4,N(U5753),IF(OR(NOT(COUNTIF('商品マスタ'!$B$6:$B$1005,$W5754)=0),COUNTIFS('①在庫を貼る'!$V$6:$V$10005,$V5754,'①在庫を貼る'!$W$6:$W$10005,$W5754)&gt;0),N(U5753),N(U5753)+1))</f>
        <v/>
      </c>
      <c r="V5754" s="19">
        <f>IF($B5754="","",TEXT($B5754,"0000"))</f>
        <v/>
      </c>
      <c r="W5754" s="19">
        <f>IF($I5754="","",IF(ISNUMBER($I5754),TEXT($I5754,"0"),$I5754))</f>
        <v/>
      </c>
    </row>
    <row r="5755">
      <c r="B5755" s="25" t="n"/>
      <c r="I5755" s="25" t="n"/>
      <c r="U5755" s="19">
        <f>IF($V5755&lt;&gt;'設定'!$C$4,N(U5754),IF(OR(NOT(COUNTIF('商品マスタ'!$B$6:$B$1005,$W5755)=0),COUNTIFS('①在庫を貼る'!$V$6:$V$10005,$V5755,'①在庫を貼る'!$W$6:$W$10005,$W5755)&gt;0),N(U5754),N(U5754)+1))</f>
        <v/>
      </c>
      <c r="V5755" s="19">
        <f>IF($B5755="","",TEXT($B5755,"0000"))</f>
        <v/>
      </c>
      <c r="W5755" s="19">
        <f>IF($I5755="","",IF(ISNUMBER($I5755),TEXT($I5755,"0"),$I5755))</f>
        <v/>
      </c>
    </row>
    <row r="5756">
      <c r="B5756" s="25" t="n"/>
      <c r="I5756" s="25" t="n"/>
      <c r="U5756" s="19">
        <f>IF($V5756&lt;&gt;'設定'!$C$4,N(U5755),IF(OR(NOT(COUNTIF('商品マスタ'!$B$6:$B$1005,$W5756)=0),COUNTIFS('①在庫を貼る'!$V$6:$V$10005,$V5756,'①在庫を貼る'!$W$6:$W$10005,$W5756)&gt;0),N(U5755),N(U5755)+1))</f>
        <v/>
      </c>
      <c r="V5756" s="19">
        <f>IF($B5756="","",TEXT($B5756,"0000"))</f>
        <v/>
      </c>
      <c r="W5756" s="19">
        <f>IF($I5756="","",IF(ISNUMBER($I5756),TEXT($I5756,"0"),$I5756))</f>
        <v/>
      </c>
    </row>
    <row r="5757">
      <c r="B5757" s="25" t="n"/>
      <c r="I5757" s="25" t="n"/>
      <c r="U5757" s="19">
        <f>IF($V5757&lt;&gt;'設定'!$C$4,N(U5756),IF(OR(NOT(COUNTIF('商品マスタ'!$B$6:$B$1005,$W5757)=0),COUNTIFS('①在庫を貼る'!$V$6:$V$10005,$V5757,'①在庫を貼る'!$W$6:$W$10005,$W5757)&gt;0),N(U5756),N(U5756)+1))</f>
        <v/>
      </c>
      <c r="V5757" s="19">
        <f>IF($B5757="","",TEXT($B5757,"0000"))</f>
        <v/>
      </c>
      <c r="W5757" s="19">
        <f>IF($I5757="","",IF(ISNUMBER($I5757),TEXT($I5757,"0"),$I5757))</f>
        <v/>
      </c>
    </row>
    <row r="5758">
      <c r="B5758" s="25" t="n"/>
      <c r="I5758" s="25" t="n"/>
      <c r="U5758" s="19">
        <f>IF($V5758&lt;&gt;'設定'!$C$4,N(U5757),IF(OR(NOT(COUNTIF('商品マスタ'!$B$6:$B$1005,$W5758)=0),COUNTIFS('①在庫を貼る'!$V$6:$V$10005,$V5758,'①在庫を貼る'!$W$6:$W$10005,$W5758)&gt;0),N(U5757),N(U5757)+1))</f>
        <v/>
      </c>
      <c r="V5758" s="19">
        <f>IF($B5758="","",TEXT($B5758,"0000"))</f>
        <v/>
      </c>
      <c r="W5758" s="19">
        <f>IF($I5758="","",IF(ISNUMBER($I5758),TEXT($I5758,"0"),$I5758))</f>
        <v/>
      </c>
    </row>
    <row r="5759">
      <c r="B5759" s="25" t="n"/>
      <c r="I5759" s="25" t="n"/>
      <c r="U5759" s="19">
        <f>IF($V5759&lt;&gt;'設定'!$C$4,N(U5758),IF(OR(NOT(COUNTIF('商品マスタ'!$B$6:$B$1005,$W5759)=0),COUNTIFS('①在庫を貼る'!$V$6:$V$10005,$V5759,'①在庫を貼る'!$W$6:$W$10005,$W5759)&gt;0),N(U5758),N(U5758)+1))</f>
        <v/>
      </c>
      <c r="V5759" s="19">
        <f>IF($B5759="","",TEXT($B5759,"0000"))</f>
        <v/>
      </c>
      <c r="W5759" s="19">
        <f>IF($I5759="","",IF(ISNUMBER($I5759),TEXT($I5759,"0"),$I5759))</f>
        <v/>
      </c>
    </row>
    <row r="5760">
      <c r="B5760" s="25" t="n"/>
      <c r="I5760" s="25" t="n"/>
      <c r="U5760" s="19">
        <f>IF($V5760&lt;&gt;'設定'!$C$4,N(U5759),IF(OR(NOT(COUNTIF('商品マスタ'!$B$6:$B$1005,$W5760)=0),COUNTIFS('①在庫を貼る'!$V$6:$V$10005,$V5760,'①在庫を貼る'!$W$6:$W$10005,$W5760)&gt;0),N(U5759),N(U5759)+1))</f>
        <v/>
      </c>
      <c r="V5760" s="19">
        <f>IF($B5760="","",TEXT($B5760,"0000"))</f>
        <v/>
      </c>
      <c r="W5760" s="19">
        <f>IF($I5760="","",IF(ISNUMBER($I5760),TEXT($I5760,"0"),$I5760))</f>
        <v/>
      </c>
    </row>
    <row r="5761">
      <c r="B5761" s="25" t="n"/>
      <c r="I5761" s="25" t="n"/>
      <c r="U5761" s="19">
        <f>IF($V5761&lt;&gt;'設定'!$C$4,N(U5760),IF(OR(NOT(COUNTIF('商品マスタ'!$B$6:$B$1005,$W5761)=0),COUNTIFS('①在庫を貼る'!$V$6:$V$10005,$V5761,'①在庫を貼る'!$W$6:$W$10005,$W5761)&gt;0),N(U5760),N(U5760)+1))</f>
        <v/>
      </c>
      <c r="V5761" s="19">
        <f>IF($B5761="","",TEXT($B5761,"0000"))</f>
        <v/>
      </c>
      <c r="W5761" s="19">
        <f>IF($I5761="","",IF(ISNUMBER($I5761),TEXT($I5761,"0"),$I5761))</f>
        <v/>
      </c>
    </row>
    <row r="5762">
      <c r="B5762" s="25" t="n"/>
      <c r="I5762" s="25" t="n"/>
      <c r="U5762" s="19">
        <f>IF($V5762&lt;&gt;'設定'!$C$4,N(U5761),IF(OR(NOT(COUNTIF('商品マスタ'!$B$6:$B$1005,$W5762)=0),COUNTIFS('①在庫を貼る'!$V$6:$V$10005,$V5762,'①在庫を貼る'!$W$6:$W$10005,$W5762)&gt;0),N(U5761),N(U5761)+1))</f>
        <v/>
      </c>
      <c r="V5762" s="19">
        <f>IF($B5762="","",TEXT($B5762,"0000"))</f>
        <v/>
      </c>
      <c r="W5762" s="19">
        <f>IF($I5762="","",IF(ISNUMBER($I5762),TEXT($I5762,"0"),$I5762))</f>
        <v/>
      </c>
    </row>
    <row r="5763">
      <c r="B5763" s="25" t="n"/>
      <c r="I5763" s="25" t="n"/>
      <c r="U5763" s="19">
        <f>IF($V5763&lt;&gt;'設定'!$C$4,N(U5762),IF(OR(NOT(COUNTIF('商品マスタ'!$B$6:$B$1005,$W5763)=0),COUNTIFS('①在庫を貼る'!$V$6:$V$10005,$V5763,'①在庫を貼る'!$W$6:$W$10005,$W5763)&gt;0),N(U5762),N(U5762)+1))</f>
        <v/>
      </c>
      <c r="V5763" s="19">
        <f>IF($B5763="","",TEXT($B5763,"0000"))</f>
        <v/>
      </c>
      <c r="W5763" s="19">
        <f>IF($I5763="","",IF(ISNUMBER($I5763),TEXT($I5763,"0"),$I5763))</f>
        <v/>
      </c>
    </row>
    <row r="5764">
      <c r="B5764" s="25" t="n"/>
      <c r="I5764" s="25" t="n"/>
      <c r="U5764" s="19">
        <f>IF($V5764&lt;&gt;'設定'!$C$4,N(U5763),IF(OR(NOT(COUNTIF('商品マスタ'!$B$6:$B$1005,$W5764)=0),COUNTIFS('①在庫を貼る'!$V$6:$V$10005,$V5764,'①在庫を貼る'!$W$6:$W$10005,$W5764)&gt;0),N(U5763),N(U5763)+1))</f>
        <v/>
      </c>
      <c r="V5764" s="19">
        <f>IF($B5764="","",TEXT($B5764,"0000"))</f>
        <v/>
      </c>
      <c r="W5764" s="19">
        <f>IF($I5764="","",IF(ISNUMBER($I5764),TEXT($I5764,"0"),$I5764))</f>
        <v/>
      </c>
    </row>
    <row r="5765">
      <c r="B5765" s="25" t="n"/>
      <c r="I5765" s="25" t="n"/>
      <c r="U5765" s="19">
        <f>IF($V5765&lt;&gt;'設定'!$C$4,N(U5764),IF(OR(NOT(COUNTIF('商品マスタ'!$B$6:$B$1005,$W5765)=0),COUNTIFS('①在庫を貼る'!$V$6:$V$10005,$V5765,'①在庫を貼る'!$W$6:$W$10005,$W5765)&gt;0),N(U5764),N(U5764)+1))</f>
        <v/>
      </c>
      <c r="V5765" s="19">
        <f>IF($B5765="","",TEXT($B5765,"0000"))</f>
        <v/>
      </c>
      <c r="W5765" s="19">
        <f>IF($I5765="","",IF(ISNUMBER($I5765),TEXT($I5765,"0"),$I5765))</f>
        <v/>
      </c>
    </row>
    <row r="5766">
      <c r="B5766" s="25" t="n"/>
      <c r="I5766" s="25" t="n"/>
      <c r="U5766" s="19">
        <f>IF($V5766&lt;&gt;'設定'!$C$4,N(U5765),IF(OR(NOT(COUNTIF('商品マスタ'!$B$6:$B$1005,$W5766)=0),COUNTIFS('①在庫を貼る'!$V$6:$V$10005,$V5766,'①在庫を貼る'!$W$6:$W$10005,$W5766)&gt;0),N(U5765),N(U5765)+1))</f>
        <v/>
      </c>
      <c r="V5766" s="19">
        <f>IF($B5766="","",TEXT($B5766,"0000"))</f>
        <v/>
      </c>
      <c r="W5766" s="19">
        <f>IF($I5766="","",IF(ISNUMBER($I5766),TEXT($I5766,"0"),$I5766))</f>
        <v/>
      </c>
    </row>
    <row r="5767">
      <c r="B5767" s="25" t="n"/>
      <c r="I5767" s="25" t="n"/>
      <c r="U5767" s="19">
        <f>IF($V5767&lt;&gt;'設定'!$C$4,N(U5766),IF(OR(NOT(COUNTIF('商品マスタ'!$B$6:$B$1005,$W5767)=0),COUNTIFS('①在庫を貼る'!$V$6:$V$10005,$V5767,'①在庫を貼る'!$W$6:$W$10005,$W5767)&gt;0),N(U5766),N(U5766)+1))</f>
        <v/>
      </c>
      <c r="V5767" s="19">
        <f>IF($B5767="","",TEXT($B5767,"0000"))</f>
        <v/>
      </c>
      <c r="W5767" s="19">
        <f>IF($I5767="","",IF(ISNUMBER($I5767),TEXT($I5767,"0"),$I5767))</f>
        <v/>
      </c>
    </row>
    <row r="5768">
      <c r="B5768" s="25" t="n"/>
      <c r="I5768" s="25" t="n"/>
      <c r="U5768" s="19">
        <f>IF($V5768&lt;&gt;'設定'!$C$4,N(U5767),IF(OR(NOT(COUNTIF('商品マスタ'!$B$6:$B$1005,$W5768)=0),COUNTIFS('①在庫を貼る'!$V$6:$V$10005,$V5768,'①在庫を貼る'!$W$6:$W$10005,$W5768)&gt;0),N(U5767),N(U5767)+1))</f>
        <v/>
      </c>
      <c r="V5768" s="19">
        <f>IF($B5768="","",TEXT($B5768,"0000"))</f>
        <v/>
      </c>
      <c r="W5768" s="19">
        <f>IF($I5768="","",IF(ISNUMBER($I5768),TEXT($I5768,"0"),$I5768))</f>
        <v/>
      </c>
    </row>
    <row r="5769">
      <c r="B5769" s="25" t="n"/>
      <c r="I5769" s="25" t="n"/>
      <c r="U5769" s="19">
        <f>IF($V5769&lt;&gt;'設定'!$C$4,N(U5768),IF(OR(NOT(COUNTIF('商品マスタ'!$B$6:$B$1005,$W5769)=0),COUNTIFS('①在庫を貼る'!$V$6:$V$10005,$V5769,'①在庫を貼る'!$W$6:$W$10005,$W5769)&gt;0),N(U5768),N(U5768)+1))</f>
        <v/>
      </c>
      <c r="V5769" s="19">
        <f>IF($B5769="","",TEXT($B5769,"0000"))</f>
        <v/>
      </c>
      <c r="W5769" s="19">
        <f>IF($I5769="","",IF(ISNUMBER($I5769),TEXT($I5769,"0"),$I5769))</f>
        <v/>
      </c>
    </row>
    <row r="5770">
      <c r="B5770" s="25" t="n"/>
      <c r="I5770" s="25" t="n"/>
      <c r="U5770" s="19">
        <f>IF($V5770&lt;&gt;'設定'!$C$4,N(U5769),IF(OR(NOT(COUNTIF('商品マスタ'!$B$6:$B$1005,$W5770)=0),COUNTIFS('①在庫を貼る'!$V$6:$V$10005,$V5770,'①在庫を貼る'!$W$6:$W$10005,$W5770)&gt;0),N(U5769),N(U5769)+1))</f>
        <v/>
      </c>
      <c r="V5770" s="19">
        <f>IF($B5770="","",TEXT($B5770,"0000"))</f>
        <v/>
      </c>
      <c r="W5770" s="19">
        <f>IF($I5770="","",IF(ISNUMBER($I5770),TEXT($I5770,"0"),$I5770))</f>
        <v/>
      </c>
    </row>
    <row r="5771">
      <c r="B5771" s="25" t="n"/>
      <c r="I5771" s="25" t="n"/>
      <c r="U5771" s="19">
        <f>IF($V5771&lt;&gt;'設定'!$C$4,N(U5770),IF(OR(NOT(COUNTIF('商品マスタ'!$B$6:$B$1005,$W5771)=0),COUNTIFS('①在庫を貼る'!$V$6:$V$10005,$V5771,'①在庫を貼る'!$W$6:$W$10005,$W5771)&gt;0),N(U5770),N(U5770)+1))</f>
        <v/>
      </c>
      <c r="V5771" s="19">
        <f>IF($B5771="","",TEXT($B5771,"0000"))</f>
        <v/>
      </c>
      <c r="W5771" s="19">
        <f>IF($I5771="","",IF(ISNUMBER($I5771),TEXT($I5771,"0"),$I5771))</f>
        <v/>
      </c>
    </row>
    <row r="5772">
      <c r="B5772" s="25" t="n"/>
      <c r="I5772" s="25" t="n"/>
      <c r="U5772" s="19">
        <f>IF($V5772&lt;&gt;'設定'!$C$4,N(U5771),IF(OR(NOT(COUNTIF('商品マスタ'!$B$6:$B$1005,$W5772)=0),COUNTIFS('①在庫を貼る'!$V$6:$V$10005,$V5772,'①在庫を貼る'!$W$6:$W$10005,$W5772)&gt;0),N(U5771),N(U5771)+1))</f>
        <v/>
      </c>
      <c r="V5772" s="19">
        <f>IF($B5772="","",TEXT($B5772,"0000"))</f>
        <v/>
      </c>
      <c r="W5772" s="19">
        <f>IF($I5772="","",IF(ISNUMBER($I5772),TEXT($I5772,"0"),$I5772))</f>
        <v/>
      </c>
    </row>
    <row r="5773">
      <c r="B5773" s="25" t="n"/>
      <c r="I5773" s="25" t="n"/>
      <c r="U5773" s="19">
        <f>IF($V5773&lt;&gt;'設定'!$C$4,N(U5772),IF(OR(NOT(COUNTIF('商品マスタ'!$B$6:$B$1005,$W5773)=0),COUNTIFS('①在庫を貼る'!$V$6:$V$10005,$V5773,'①在庫を貼る'!$W$6:$W$10005,$W5773)&gt;0),N(U5772),N(U5772)+1))</f>
        <v/>
      </c>
      <c r="V5773" s="19">
        <f>IF($B5773="","",TEXT($B5773,"0000"))</f>
        <v/>
      </c>
      <c r="W5773" s="19">
        <f>IF($I5773="","",IF(ISNUMBER($I5773),TEXT($I5773,"0"),$I5773))</f>
        <v/>
      </c>
    </row>
    <row r="5774">
      <c r="B5774" s="25" t="n"/>
      <c r="I5774" s="25" t="n"/>
      <c r="U5774" s="19">
        <f>IF($V5774&lt;&gt;'設定'!$C$4,N(U5773),IF(OR(NOT(COUNTIF('商品マスタ'!$B$6:$B$1005,$W5774)=0),COUNTIFS('①在庫を貼る'!$V$6:$V$10005,$V5774,'①在庫を貼る'!$W$6:$W$10005,$W5774)&gt;0),N(U5773),N(U5773)+1))</f>
        <v/>
      </c>
      <c r="V5774" s="19">
        <f>IF($B5774="","",TEXT($B5774,"0000"))</f>
        <v/>
      </c>
      <c r="W5774" s="19">
        <f>IF($I5774="","",IF(ISNUMBER($I5774),TEXT($I5774,"0"),$I5774))</f>
        <v/>
      </c>
    </row>
    <row r="5775">
      <c r="B5775" s="25" t="n"/>
      <c r="I5775" s="25" t="n"/>
      <c r="U5775" s="19">
        <f>IF($V5775&lt;&gt;'設定'!$C$4,N(U5774),IF(OR(NOT(COUNTIF('商品マスタ'!$B$6:$B$1005,$W5775)=0),COUNTIFS('①在庫を貼る'!$V$6:$V$10005,$V5775,'①在庫を貼る'!$W$6:$W$10005,$W5775)&gt;0),N(U5774),N(U5774)+1))</f>
        <v/>
      </c>
      <c r="V5775" s="19">
        <f>IF($B5775="","",TEXT($B5775,"0000"))</f>
        <v/>
      </c>
      <c r="W5775" s="19">
        <f>IF($I5775="","",IF(ISNUMBER($I5775),TEXT($I5775,"0"),$I5775))</f>
        <v/>
      </c>
    </row>
    <row r="5776">
      <c r="B5776" s="25" t="n"/>
      <c r="I5776" s="25" t="n"/>
      <c r="U5776" s="19">
        <f>IF($V5776&lt;&gt;'設定'!$C$4,N(U5775),IF(OR(NOT(COUNTIF('商品マスタ'!$B$6:$B$1005,$W5776)=0),COUNTIFS('①在庫を貼る'!$V$6:$V$10005,$V5776,'①在庫を貼る'!$W$6:$W$10005,$W5776)&gt;0),N(U5775),N(U5775)+1))</f>
        <v/>
      </c>
      <c r="V5776" s="19">
        <f>IF($B5776="","",TEXT($B5776,"0000"))</f>
        <v/>
      </c>
      <c r="W5776" s="19">
        <f>IF($I5776="","",IF(ISNUMBER($I5776),TEXT($I5776,"0"),$I5776))</f>
        <v/>
      </c>
    </row>
    <row r="5777">
      <c r="B5777" s="25" t="n"/>
      <c r="I5777" s="25" t="n"/>
      <c r="U5777" s="19">
        <f>IF($V5777&lt;&gt;'設定'!$C$4,N(U5776),IF(OR(NOT(COUNTIF('商品マスタ'!$B$6:$B$1005,$W5777)=0),COUNTIFS('①在庫を貼る'!$V$6:$V$10005,$V5777,'①在庫を貼る'!$W$6:$W$10005,$W5777)&gt;0),N(U5776),N(U5776)+1))</f>
        <v/>
      </c>
      <c r="V5777" s="19">
        <f>IF($B5777="","",TEXT($B5777,"0000"))</f>
        <v/>
      </c>
      <c r="W5777" s="19">
        <f>IF($I5777="","",IF(ISNUMBER($I5777),TEXT($I5777,"0"),$I5777))</f>
        <v/>
      </c>
    </row>
    <row r="5778">
      <c r="B5778" s="25" t="n"/>
      <c r="I5778" s="25" t="n"/>
      <c r="U5778" s="19">
        <f>IF($V5778&lt;&gt;'設定'!$C$4,N(U5777),IF(OR(NOT(COUNTIF('商品マスタ'!$B$6:$B$1005,$W5778)=0),COUNTIFS('①在庫を貼る'!$V$6:$V$10005,$V5778,'①在庫を貼る'!$W$6:$W$10005,$W5778)&gt;0),N(U5777),N(U5777)+1))</f>
        <v/>
      </c>
      <c r="V5778" s="19">
        <f>IF($B5778="","",TEXT($B5778,"0000"))</f>
        <v/>
      </c>
      <c r="W5778" s="19">
        <f>IF($I5778="","",IF(ISNUMBER($I5778),TEXT($I5778,"0"),$I5778))</f>
        <v/>
      </c>
    </row>
    <row r="5779">
      <c r="B5779" s="25" t="n"/>
      <c r="I5779" s="25" t="n"/>
      <c r="U5779" s="19">
        <f>IF($V5779&lt;&gt;'設定'!$C$4,N(U5778),IF(OR(NOT(COUNTIF('商品マスタ'!$B$6:$B$1005,$W5779)=0),COUNTIFS('①在庫を貼る'!$V$6:$V$10005,$V5779,'①在庫を貼る'!$W$6:$W$10005,$W5779)&gt;0),N(U5778),N(U5778)+1))</f>
        <v/>
      </c>
      <c r="V5779" s="19">
        <f>IF($B5779="","",TEXT($B5779,"0000"))</f>
        <v/>
      </c>
      <c r="W5779" s="19">
        <f>IF($I5779="","",IF(ISNUMBER($I5779),TEXT($I5779,"0"),$I5779))</f>
        <v/>
      </c>
    </row>
    <row r="5780">
      <c r="B5780" s="25" t="n"/>
      <c r="I5780" s="25" t="n"/>
      <c r="U5780" s="19">
        <f>IF($V5780&lt;&gt;'設定'!$C$4,N(U5779),IF(OR(NOT(COUNTIF('商品マスタ'!$B$6:$B$1005,$W5780)=0),COUNTIFS('①在庫を貼る'!$V$6:$V$10005,$V5780,'①在庫を貼る'!$W$6:$W$10005,$W5780)&gt;0),N(U5779),N(U5779)+1))</f>
        <v/>
      </c>
      <c r="V5780" s="19">
        <f>IF($B5780="","",TEXT($B5780,"0000"))</f>
        <v/>
      </c>
      <c r="W5780" s="19">
        <f>IF($I5780="","",IF(ISNUMBER($I5780),TEXT($I5780,"0"),$I5780))</f>
        <v/>
      </c>
    </row>
    <row r="5781">
      <c r="B5781" s="25" t="n"/>
      <c r="I5781" s="25" t="n"/>
      <c r="U5781" s="19">
        <f>IF($V5781&lt;&gt;'設定'!$C$4,N(U5780),IF(OR(NOT(COUNTIF('商品マスタ'!$B$6:$B$1005,$W5781)=0),COUNTIFS('①在庫を貼る'!$V$6:$V$10005,$V5781,'①在庫を貼る'!$W$6:$W$10005,$W5781)&gt;0),N(U5780),N(U5780)+1))</f>
        <v/>
      </c>
      <c r="V5781" s="19">
        <f>IF($B5781="","",TEXT($B5781,"0000"))</f>
        <v/>
      </c>
      <c r="W5781" s="19">
        <f>IF($I5781="","",IF(ISNUMBER($I5781),TEXT($I5781,"0"),$I5781))</f>
        <v/>
      </c>
    </row>
    <row r="5782">
      <c r="B5782" s="25" t="n"/>
      <c r="I5782" s="25" t="n"/>
      <c r="U5782" s="19">
        <f>IF($V5782&lt;&gt;'設定'!$C$4,N(U5781),IF(OR(NOT(COUNTIF('商品マスタ'!$B$6:$B$1005,$W5782)=0),COUNTIFS('①在庫を貼る'!$V$6:$V$10005,$V5782,'①在庫を貼る'!$W$6:$W$10005,$W5782)&gt;0),N(U5781),N(U5781)+1))</f>
        <v/>
      </c>
      <c r="V5782" s="19">
        <f>IF($B5782="","",TEXT($B5782,"0000"))</f>
        <v/>
      </c>
      <c r="W5782" s="19">
        <f>IF($I5782="","",IF(ISNUMBER($I5782),TEXT($I5782,"0"),$I5782))</f>
        <v/>
      </c>
    </row>
    <row r="5783">
      <c r="B5783" s="25" t="n"/>
      <c r="I5783" s="25" t="n"/>
      <c r="U5783" s="19">
        <f>IF($V5783&lt;&gt;'設定'!$C$4,N(U5782),IF(OR(NOT(COUNTIF('商品マスタ'!$B$6:$B$1005,$W5783)=0),COUNTIFS('①在庫を貼る'!$V$6:$V$10005,$V5783,'①在庫を貼る'!$W$6:$W$10005,$W5783)&gt;0),N(U5782),N(U5782)+1))</f>
        <v/>
      </c>
      <c r="V5783" s="19">
        <f>IF($B5783="","",TEXT($B5783,"0000"))</f>
        <v/>
      </c>
      <c r="W5783" s="19">
        <f>IF($I5783="","",IF(ISNUMBER($I5783),TEXT($I5783,"0"),$I5783))</f>
        <v/>
      </c>
    </row>
    <row r="5784">
      <c r="B5784" s="25" t="n"/>
      <c r="I5784" s="25" t="n"/>
      <c r="U5784" s="19">
        <f>IF($V5784&lt;&gt;'設定'!$C$4,N(U5783),IF(OR(NOT(COUNTIF('商品マスタ'!$B$6:$B$1005,$W5784)=0),COUNTIFS('①在庫を貼る'!$V$6:$V$10005,$V5784,'①在庫を貼る'!$W$6:$W$10005,$W5784)&gt;0),N(U5783),N(U5783)+1))</f>
        <v/>
      </c>
      <c r="V5784" s="19">
        <f>IF($B5784="","",TEXT($B5784,"0000"))</f>
        <v/>
      </c>
      <c r="W5784" s="19">
        <f>IF($I5784="","",IF(ISNUMBER($I5784),TEXT($I5784,"0"),$I5784))</f>
        <v/>
      </c>
    </row>
    <row r="5785">
      <c r="B5785" s="25" t="n"/>
      <c r="I5785" s="25" t="n"/>
      <c r="U5785" s="19">
        <f>IF($V5785&lt;&gt;'設定'!$C$4,N(U5784),IF(OR(NOT(COUNTIF('商品マスタ'!$B$6:$B$1005,$W5785)=0),COUNTIFS('①在庫を貼る'!$V$6:$V$10005,$V5785,'①在庫を貼る'!$W$6:$W$10005,$W5785)&gt;0),N(U5784),N(U5784)+1))</f>
        <v/>
      </c>
      <c r="V5785" s="19">
        <f>IF($B5785="","",TEXT($B5785,"0000"))</f>
        <v/>
      </c>
      <c r="W5785" s="19">
        <f>IF($I5785="","",IF(ISNUMBER($I5785),TEXT($I5785,"0"),$I5785))</f>
        <v/>
      </c>
    </row>
    <row r="5786">
      <c r="B5786" s="25" t="n"/>
      <c r="I5786" s="25" t="n"/>
      <c r="U5786" s="19">
        <f>IF($V5786&lt;&gt;'設定'!$C$4,N(U5785),IF(OR(NOT(COUNTIF('商品マスタ'!$B$6:$B$1005,$W5786)=0),COUNTIFS('①在庫を貼る'!$V$6:$V$10005,$V5786,'①在庫を貼る'!$W$6:$W$10005,$W5786)&gt;0),N(U5785),N(U5785)+1))</f>
        <v/>
      </c>
      <c r="V5786" s="19">
        <f>IF($B5786="","",TEXT($B5786,"0000"))</f>
        <v/>
      </c>
      <c r="W5786" s="19">
        <f>IF($I5786="","",IF(ISNUMBER($I5786),TEXT($I5786,"0"),$I5786))</f>
        <v/>
      </c>
    </row>
    <row r="5787">
      <c r="B5787" s="25" t="n"/>
      <c r="I5787" s="25" t="n"/>
      <c r="U5787" s="19">
        <f>IF($V5787&lt;&gt;'設定'!$C$4,N(U5786),IF(OR(NOT(COUNTIF('商品マスタ'!$B$6:$B$1005,$W5787)=0),COUNTIFS('①在庫を貼る'!$V$6:$V$10005,$V5787,'①在庫を貼る'!$W$6:$W$10005,$W5787)&gt;0),N(U5786),N(U5786)+1))</f>
        <v/>
      </c>
      <c r="V5787" s="19">
        <f>IF($B5787="","",TEXT($B5787,"0000"))</f>
        <v/>
      </c>
      <c r="W5787" s="19">
        <f>IF($I5787="","",IF(ISNUMBER($I5787),TEXT($I5787,"0"),$I5787))</f>
        <v/>
      </c>
    </row>
    <row r="5788">
      <c r="B5788" s="25" t="n"/>
      <c r="I5788" s="25" t="n"/>
      <c r="U5788" s="19">
        <f>IF($V5788&lt;&gt;'設定'!$C$4,N(U5787),IF(OR(NOT(COUNTIF('商品マスタ'!$B$6:$B$1005,$W5788)=0),COUNTIFS('①在庫を貼る'!$V$6:$V$10005,$V5788,'①在庫を貼る'!$W$6:$W$10005,$W5788)&gt;0),N(U5787),N(U5787)+1))</f>
        <v/>
      </c>
      <c r="V5788" s="19">
        <f>IF($B5788="","",TEXT($B5788,"0000"))</f>
        <v/>
      </c>
      <c r="W5788" s="19">
        <f>IF($I5788="","",IF(ISNUMBER($I5788),TEXT($I5788,"0"),$I5788))</f>
        <v/>
      </c>
    </row>
    <row r="5789">
      <c r="B5789" s="25" t="n"/>
      <c r="I5789" s="25" t="n"/>
      <c r="U5789" s="19">
        <f>IF($V5789&lt;&gt;'設定'!$C$4,N(U5788),IF(OR(NOT(COUNTIF('商品マスタ'!$B$6:$B$1005,$W5789)=0),COUNTIFS('①在庫を貼る'!$V$6:$V$10005,$V5789,'①在庫を貼る'!$W$6:$W$10005,$W5789)&gt;0),N(U5788),N(U5788)+1))</f>
        <v/>
      </c>
      <c r="V5789" s="19">
        <f>IF($B5789="","",TEXT($B5789,"0000"))</f>
        <v/>
      </c>
      <c r="W5789" s="19">
        <f>IF($I5789="","",IF(ISNUMBER($I5789),TEXT($I5789,"0"),$I5789))</f>
        <v/>
      </c>
    </row>
    <row r="5790">
      <c r="B5790" s="25" t="n"/>
      <c r="I5790" s="25" t="n"/>
      <c r="U5790" s="19">
        <f>IF($V5790&lt;&gt;'設定'!$C$4,N(U5789),IF(OR(NOT(COUNTIF('商品マスタ'!$B$6:$B$1005,$W5790)=0),COUNTIFS('①在庫を貼る'!$V$6:$V$10005,$V5790,'①在庫を貼る'!$W$6:$W$10005,$W5790)&gt;0),N(U5789),N(U5789)+1))</f>
        <v/>
      </c>
      <c r="V5790" s="19">
        <f>IF($B5790="","",TEXT($B5790,"0000"))</f>
        <v/>
      </c>
      <c r="W5790" s="19">
        <f>IF($I5790="","",IF(ISNUMBER($I5790),TEXT($I5790,"0"),$I5790))</f>
        <v/>
      </c>
    </row>
    <row r="5791">
      <c r="B5791" s="25" t="n"/>
      <c r="I5791" s="25" t="n"/>
      <c r="U5791" s="19">
        <f>IF($V5791&lt;&gt;'設定'!$C$4,N(U5790),IF(OR(NOT(COUNTIF('商品マスタ'!$B$6:$B$1005,$W5791)=0),COUNTIFS('①在庫を貼る'!$V$6:$V$10005,$V5791,'①在庫を貼る'!$W$6:$W$10005,$W5791)&gt;0),N(U5790),N(U5790)+1))</f>
        <v/>
      </c>
      <c r="V5791" s="19">
        <f>IF($B5791="","",TEXT($B5791,"0000"))</f>
        <v/>
      </c>
      <c r="W5791" s="19">
        <f>IF($I5791="","",IF(ISNUMBER($I5791),TEXT($I5791,"0"),$I5791))</f>
        <v/>
      </c>
    </row>
    <row r="5792">
      <c r="B5792" s="25" t="n"/>
      <c r="I5792" s="25" t="n"/>
      <c r="U5792" s="19">
        <f>IF($V5792&lt;&gt;'設定'!$C$4,N(U5791),IF(OR(NOT(COUNTIF('商品マスタ'!$B$6:$B$1005,$W5792)=0),COUNTIFS('①在庫を貼る'!$V$6:$V$10005,$V5792,'①在庫を貼る'!$W$6:$W$10005,$W5792)&gt;0),N(U5791),N(U5791)+1))</f>
        <v/>
      </c>
      <c r="V5792" s="19">
        <f>IF($B5792="","",TEXT($B5792,"0000"))</f>
        <v/>
      </c>
      <c r="W5792" s="19">
        <f>IF($I5792="","",IF(ISNUMBER($I5792),TEXT($I5792,"0"),$I5792))</f>
        <v/>
      </c>
    </row>
    <row r="5793">
      <c r="B5793" s="25" t="n"/>
      <c r="I5793" s="25" t="n"/>
      <c r="U5793" s="19">
        <f>IF($V5793&lt;&gt;'設定'!$C$4,N(U5792),IF(OR(NOT(COUNTIF('商品マスタ'!$B$6:$B$1005,$W5793)=0),COUNTIFS('①在庫を貼る'!$V$6:$V$10005,$V5793,'①在庫を貼る'!$W$6:$W$10005,$W5793)&gt;0),N(U5792),N(U5792)+1))</f>
        <v/>
      </c>
      <c r="V5793" s="19">
        <f>IF($B5793="","",TEXT($B5793,"0000"))</f>
        <v/>
      </c>
      <c r="W5793" s="19">
        <f>IF($I5793="","",IF(ISNUMBER($I5793),TEXT($I5793,"0"),$I5793))</f>
        <v/>
      </c>
    </row>
    <row r="5794">
      <c r="B5794" s="25" t="n"/>
      <c r="I5794" s="25" t="n"/>
      <c r="U5794" s="19">
        <f>IF($V5794&lt;&gt;'設定'!$C$4,N(U5793),IF(OR(NOT(COUNTIF('商品マスタ'!$B$6:$B$1005,$W5794)=0),COUNTIFS('①在庫を貼る'!$V$6:$V$10005,$V5794,'①在庫を貼る'!$W$6:$W$10005,$W5794)&gt;0),N(U5793),N(U5793)+1))</f>
        <v/>
      </c>
      <c r="V5794" s="19">
        <f>IF($B5794="","",TEXT($B5794,"0000"))</f>
        <v/>
      </c>
      <c r="W5794" s="19">
        <f>IF($I5794="","",IF(ISNUMBER($I5794),TEXT($I5794,"0"),$I5794))</f>
        <v/>
      </c>
    </row>
    <row r="5795">
      <c r="B5795" s="25" t="n"/>
      <c r="I5795" s="25" t="n"/>
      <c r="U5795" s="19">
        <f>IF($V5795&lt;&gt;'設定'!$C$4,N(U5794),IF(OR(NOT(COUNTIF('商品マスタ'!$B$6:$B$1005,$W5795)=0),COUNTIFS('①在庫を貼る'!$V$6:$V$10005,$V5795,'①在庫を貼る'!$W$6:$W$10005,$W5795)&gt;0),N(U5794),N(U5794)+1))</f>
        <v/>
      </c>
      <c r="V5795" s="19">
        <f>IF($B5795="","",TEXT($B5795,"0000"))</f>
        <v/>
      </c>
      <c r="W5795" s="19">
        <f>IF($I5795="","",IF(ISNUMBER($I5795),TEXT($I5795,"0"),$I5795))</f>
        <v/>
      </c>
    </row>
    <row r="5796">
      <c r="B5796" s="25" t="n"/>
      <c r="I5796" s="25" t="n"/>
      <c r="U5796" s="19">
        <f>IF($V5796&lt;&gt;'設定'!$C$4,N(U5795),IF(OR(NOT(COUNTIF('商品マスタ'!$B$6:$B$1005,$W5796)=0),COUNTIFS('①在庫を貼る'!$V$6:$V$10005,$V5796,'①在庫を貼る'!$W$6:$W$10005,$W5796)&gt;0),N(U5795),N(U5795)+1))</f>
        <v/>
      </c>
      <c r="V5796" s="19">
        <f>IF($B5796="","",TEXT($B5796,"0000"))</f>
        <v/>
      </c>
      <c r="W5796" s="19">
        <f>IF($I5796="","",IF(ISNUMBER($I5796),TEXT($I5796,"0"),$I5796))</f>
        <v/>
      </c>
    </row>
    <row r="5797">
      <c r="B5797" s="25" t="n"/>
      <c r="I5797" s="25" t="n"/>
      <c r="U5797" s="19">
        <f>IF($V5797&lt;&gt;'設定'!$C$4,N(U5796),IF(OR(NOT(COUNTIF('商品マスタ'!$B$6:$B$1005,$W5797)=0),COUNTIFS('①在庫を貼る'!$V$6:$V$10005,$V5797,'①在庫を貼る'!$W$6:$W$10005,$W5797)&gt;0),N(U5796),N(U5796)+1))</f>
        <v/>
      </c>
      <c r="V5797" s="19">
        <f>IF($B5797="","",TEXT($B5797,"0000"))</f>
        <v/>
      </c>
      <c r="W5797" s="19">
        <f>IF($I5797="","",IF(ISNUMBER($I5797),TEXT($I5797,"0"),$I5797))</f>
        <v/>
      </c>
    </row>
    <row r="5798">
      <c r="B5798" s="25" t="n"/>
      <c r="I5798" s="25" t="n"/>
      <c r="U5798" s="19">
        <f>IF($V5798&lt;&gt;'設定'!$C$4,N(U5797),IF(OR(NOT(COUNTIF('商品マスタ'!$B$6:$B$1005,$W5798)=0),COUNTIFS('①在庫を貼る'!$V$6:$V$10005,$V5798,'①在庫を貼る'!$W$6:$W$10005,$W5798)&gt;0),N(U5797),N(U5797)+1))</f>
        <v/>
      </c>
      <c r="V5798" s="19">
        <f>IF($B5798="","",TEXT($B5798,"0000"))</f>
        <v/>
      </c>
      <c r="W5798" s="19">
        <f>IF($I5798="","",IF(ISNUMBER($I5798),TEXT($I5798,"0"),$I5798))</f>
        <v/>
      </c>
    </row>
    <row r="5799">
      <c r="B5799" s="25" t="n"/>
      <c r="I5799" s="25" t="n"/>
      <c r="U5799" s="19">
        <f>IF($V5799&lt;&gt;'設定'!$C$4,N(U5798),IF(OR(NOT(COUNTIF('商品マスタ'!$B$6:$B$1005,$W5799)=0),COUNTIFS('①在庫を貼る'!$V$6:$V$10005,$V5799,'①在庫を貼る'!$W$6:$W$10005,$W5799)&gt;0),N(U5798),N(U5798)+1))</f>
        <v/>
      </c>
      <c r="V5799" s="19">
        <f>IF($B5799="","",TEXT($B5799,"0000"))</f>
        <v/>
      </c>
      <c r="W5799" s="19">
        <f>IF($I5799="","",IF(ISNUMBER($I5799),TEXT($I5799,"0"),$I5799))</f>
        <v/>
      </c>
    </row>
    <row r="5800">
      <c r="B5800" s="25" t="n"/>
      <c r="I5800" s="25" t="n"/>
      <c r="U5800" s="19">
        <f>IF($V5800&lt;&gt;'設定'!$C$4,N(U5799),IF(OR(NOT(COUNTIF('商品マスタ'!$B$6:$B$1005,$W5800)=0),COUNTIFS('①在庫を貼る'!$V$6:$V$10005,$V5800,'①在庫を貼る'!$W$6:$W$10005,$W5800)&gt;0),N(U5799),N(U5799)+1))</f>
        <v/>
      </c>
      <c r="V5800" s="19">
        <f>IF($B5800="","",TEXT($B5800,"0000"))</f>
        <v/>
      </c>
      <c r="W5800" s="19">
        <f>IF($I5800="","",IF(ISNUMBER($I5800),TEXT($I5800,"0"),$I5800))</f>
        <v/>
      </c>
    </row>
    <row r="5801">
      <c r="B5801" s="25" t="n"/>
      <c r="I5801" s="25" t="n"/>
      <c r="U5801" s="19">
        <f>IF($V5801&lt;&gt;'設定'!$C$4,N(U5800),IF(OR(NOT(COUNTIF('商品マスタ'!$B$6:$B$1005,$W5801)=0),COUNTIFS('①在庫を貼る'!$V$6:$V$10005,$V5801,'①在庫を貼る'!$W$6:$W$10005,$W5801)&gt;0),N(U5800),N(U5800)+1))</f>
        <v/>
      </c>
      <c r="V5801" s="19">
        <f>IF($B5801="","",TEXT($B5801,"0000"))</f>
        <v/>
      </c>
      <c r="W5801" s="19">
        <f>IF($I5801="","",IF(ISNUMBER($I5801),TEXT($I5801,"0"),$I5801))</f>
        <v/>
      </c>
    </row>
    <row r="5802">
      <c r="B5802" s="25" t="n"/>
      <c r="I5802" s="25" t="n"/>
      <c r="U5802" s="19">
        <f>IF($V5802&lt;&gt;'設定'!$C$4,N(U5801),IF(OR(NOT(COUNTIF('商品マスタ'!$B$6:$B$1005,$W5802)=0),COUNTIFS('①在庫を貼る'!$V$6:$V$10005,$V5802,'①在庫を貼る'!$W$6:$W$10005,$W5802)&gt;0),N(U5801),N(U5801)+1))</f>
        <v/>
      </c>
      <c r="V5802" s="19">
        <f>IF($B5802="","",TEXT($B5802,"0000"))</f>
        <v/>
      </c>
      <c r="W5802" s="19">
        <f>IF($I5802="","",IF(ISNUMBER($I5802),TEXT($I5802,"0"),$I5802))</f>
        <v/>
      </c>
    </row>
    <row r="5803">
      <c r="B5803" s="25" t="n"/>
      <c r="I5803" s="25" t="n"/>
      <c r="U5803" s="19">
        <f>IF($V5803&lt;&gt;'設定'!$C$4,N(U5802),IF(OR(NOT(COUNTIF('商品マスタ'!$B$6:$B$1005,$W5803)=0),COUNTIFS('①在庫を貼る'!$V$6:$V$10005,$V5803,'①在庫を貼る'!$W$6:$W$10005,$W5803)&gt;0),N(U5802),N(U5802)+1))</f>
        <v/>
      </c>
      <c r="V5803" s="19">
        <f>IF($B5803="","",TEXT($B5803,"0000"))</f>
        <v/>
      </c>
      <c r="W5803" s="19">
        <f>IF($I5803="","",IF(ISNUMBER($I5803),TEXT($I5803,"0"),$I5803))</f>
        <v/>
      </c>
    </row>
    <row r="5804">
      <c r="B5804" s="25" t="n"/>
      <c r="I5804" s="25" t="n"/>
      <c r="U5804" s="19">
        <f>IF($V5804&lt;&gt;'設定'!$C$4,N(U5803),IF(OR(NOT(COUNTIF('商品マスタ'!$B$6:$B$1005,$W5804)=0),COUNTIFS('①在庫を貼る'!$V$6:$V$10005,$V5804,'①在庫を貼る'!$W$6:$W$10005,$W5804)&gt;0),N(U5803),N(U5803)+1))</f>
        <v/>
      </c>
      <c r="V5804" s="19">
        <f>IF($B5804="","",TEXT($B5804,"0000"))</f>
        <v/>
      </c>
      <c r="W5804" s="19">
        <f>IF($I5804="","",IF(ISNUMBER($I5804),TEXT($I5804,"0"),$I5804))</f>
        <v/>
      </c>
    </row>
    <row r="5805">
      <c r="B5805" s="25" t="n"/>
      <c r="I5805" s="25" t="n"/>
      <c r="U5805" s="19">
        <f>IF($V5805&lt;&gt;'設定'!$C$4,N(U5804),IF(OR(NOT(COUNTIF('商品マスタ'!$B$6:$B$1005,$W5805)=0),COUNTIFS('①在庫を貼る'!$V$6:$V$10005,$V5805,'①在庫を貼る'!$W$6:$W$10005,$W5805)&gt;0),N(U5804),N(U5804)+1))</f>
        <v/>
      </c>
      <c r="V5805" s="19">
        <f>IF($B5805="","",TEXT($B5805,"0000"))</f>
        <v/>
      </c>
      <c r="W5805" s="19">
        <f>IF($I5805="","",IF(ISNUMBER($I5805),TEXT($I5805,"0"),$I5805))</f>
        <v/>
      </c>
    </row>
    <row r="5806">
      <c r="B5806" s="25" t="n"/>
      <c r="I5806" s="25" t="n"/>
      <c r="U5806" s="19">
        <f>IF($V5806&lt;&gt;'設定'!$C$4,N(U5805),IF(OR(NOT(COUNTIF('商品マスタ'!$B$6:$B$1005,$W5806)=0),COUNTIFS('①在庫を貼る'!$V$6:$V$10005,$V5806,'①在庫を貼る'!$W$6:$W$10005,$W5806)&gt;0),N(U5805),N(U5805)+1))</f>
        <v/>
      </c>
      <c r="V5806" s="19">
        <f>IF($B5806="","",TEXT($B5806,"0000"))</f>
        <v/>
      </c>
      <c r="W5806" s="19">
        <f>IF($I5806="","",IF(ISNUMBER($I5806),TEXT($I5806,"0"),$I5806))</f>
        <v/>
      </c>
    </row>
    <row r="5807">
      <c r="B5807" s="25" t="n"/>
      <c r="I5807" s="25" t="n"/>
      <c r="U5807" s="19">
        <f>IF($V5807&lt;&gt;'設定'!$C$4,N(U5806),IF(OR(NOT(COUNTIF('商品マスタ'!$B$6:$B$1005,$W5807)=0),COUNTIFS('①在庫を貼る'!$V$6:$V$10005,$V5807,'①在庫を貼る'!$W$6:$W$10005,$W5807)&gt;0),N(U5806),N(U5806)+1))</f>
        <v/>
      </c>
      <c r="V5807" s="19">
        <f>IF($B5807="","",TEXT($B5807,"0000"))</f>
        <v/>
      </c>
      <c r="W5807" s="19">
        <f>IF($I5807="","",IF(ISNUMBER($I5807),TEXT($I5807,"0"),$I5807))</f>
        <v/>
      </c>
    </row>
    <row r="5808">
      <c r="B5808" s="25" t="n"/>
      <c r="I5808" s="25" t="n"/>
      <c r="U5808" s="19">
        <f>IF($V5808&lt;&gt;'設定'!$C$4,N(U5807),IF(OR(NOT(COUNTIF('商品マスタ'!$B$6:$B$1005,$W5808)=0),COUNTIFS('①在庫を貼る'!$V$6:$V$10005,$V5808,'①在庫を貼る'!$W$6:$W$10005,$W5808)&gt;0),N(U5807),N(U5807)+1))</f>
        <v/>
      </c>
      <c r="V5808" s="19">
        <f>IF($B5808="","",TEXT($B5808,"0000"))</f>
        <v/>
      </c>
      <c r="W5808" s="19">
        <f>IF($I5808="","",IF(ISNUMBER($I5808),TEXT($I5808,"0"),$I5808))</f>
        <v/>
      </c>
    </row>
    <row r="5809">
      <c r="B5809" s="25" t="n"/>
      <c r="I5809" s="25" t="n"/>
      <c r="U5809" s="19">
        <f>IF($V5809&lt;&gt;'設定'!$C$4,N(U5808),IF(OR(NOT(COUNTIF('商品マスタ'!$B$6:$B$1005,$W5809)=0),COUNTIFS('①在庫を貼る'!$V$6:$V$10005,$V5809,'①在庫を貼る'!$W$6:$W$10005,$W5809)&gt;0),N(U5808),N(U5808)+1))</f>
        <v/>
      </c>
      <c r="V5809" s="19">
        <f>IF($B5809="","",TEXT($B5809,"0000"))</f>
        <v/>
      </c>
      <c r="W5809" s="19">
        <f>IF($I5809="","",IF(ISNUMBER($I5809),TEXT($I5809,"0"),$I5809))</f>
        <v/>
      </c>
    </row>
    <row r="5810">
      <c r="B5810" s="25" t="n"/>
      <c r="I5810" s="25" t="n"/>
      <c r="U5810" s="19">
        <f>IF($V5810&lt;&gt;'設定'!$C$4,N(U5809),IF(OR(NOT(COUNTIF('商品マスタ'!$B$6:$B$1005,$W5810)=0),COUNTIFS('①在庫を貼る'!$V$6:$V$10005,$V5810,'①在庫を貼る'!$W$6:$W$10005,$W5810)&gt;0),N(U5809),N(U5809)+1))</f>
        <v/>
      </c>
      <c r="V5810" s="19">
        <f>IF($B5810="","",TEXT($B5810,"0000"))</f>
        <v/>
      </c>
      <c r="W5810" s="19">
        <f>IF($I5810="","",IF(ISNUMBER($I5810),TEXT($I5810,"0"),$I5810))</f>
        <v/>
      </c>
    </row>
    <row r="5811">
      <c r="B5811" s="25" t="n"/>
      <c r="I5811" s="25" t="n"/>
      <c r="U5811" s="19">
        <f>IF($V5811&lt;&gt;'設定'!$C$4,N(U5810),IF(OR(NOT(COUNTIF('商品マスタ'!$B$6:$B$1005,$W5811)=0),COUNTIFS('①在庫を貼る'!$V$6:$V$10005,$V5811,'①在庫を貼る'!$W$6:$W$10005,$W5811)&gt;0),N(U5810),N(U5810)+1))</f>
        <v/>
      </c>
      <c r="V5811" s="19">
        <f>IF($B5811="","",TEXT($B5811,"0000"))</f>
        <v/>
      </c>
      <c r="W5811" s="19">
        <f>IF($I5811="","",IF(ISNUMBER($I5811),TEXT($I5811,"0"),$I5811))</f>
        <v/>
      </c>
    </row>
    <row r="5812">
      <c r="B5812" s="25" t="n"/>
      <c r="I5812" s="25" t="n"/>
      <c r="U5812" s="19">
        <f>IF($V5812&lt;&gt;'設定'!$C$4,N(U5811),IF(OR(NOT(COUNTIF('商品マスタ'!$B$6:$B$1005,$W5812)=0),COUNTIFS('①在庫を貼る'!$V$6:$V$10005,$V5812,'①在庫を貼る'!$W$6:$W$10005,$W5812)&gt;0),N(U5811),N(U5811)+1))</f>
        <v/>
      </c>
      <c r="V5812" s="19">
        <f>IF($B5812="","",TEXT($B5812,"0000"))</f>
        <v/>
      </c>
      <c r="W5812" s="19">
        <f>IF($I5812="","",IF(ISNUMBER($I5812),TEXT($I5812,"0"),$I5812))</f>
        <v/>
      </c>
    </row>
    <row r="5813">
      <c r="B5813" s="25" t="n"/>
      <c r="I5813" s="25" t="n"/>
      <c r="U5813" s="19">
        <f>IF($V5813&lt;&gt;'設定'!$C$4,N(U5812),IF(OR(NOT(COUNTIF('商品マスタ'!$B$6:$B$1005,$W5813)=0),COUNTIFS('①在庫を貼る'!$V$6:$V$10005,$V5813,'①在庫を貼る'!$W$6:$W$10005,$W5813)&gt;0),N(U5812),N(U5812)+1))</f>
        <v/>
      </c>
      <c r="V5813" s="19">
        <f>IF($B5813="","",TEXT($B5813,"0000"))</f>
        <v/>
      </c>
      <c r="W5813" s="19">
        <f>IF($I5813="","",IF(ISNUMBER($I5813),TEXT($I5813,"0"),$I5813))</f>
        <v/>
      </c>
    </row>
    <row r="5814">
      <c r="B5814" s="25" t="n"/>
      <c r="I5814" s="25" t="n"/>
      <c r="U5814" s="19">
        <f>IF($V5814&lt;&gt;'設定'!$C$4,N(U5813),IF(OR(NOT(COUNTIF('商品マスタ'!$B$6:$B$1005,$W5814)=0),COUNTIFS('①在庫を貼る'!$V$6:$V$10005,$V5814,'①在庫を貼る'!$W$6:$W$10005,$W5814)&gt;0),N(U5813),N(U5813)+1))</f>
        <v/>
      </c>
      <c r="V5814" s="19">
        <f>IF($B5814="","",TEXT($B5814,"0000"))</f>
        <v/>
      </c>
      <c r="W5814" s="19">
        <f>IF($I5814="","",IF(ISNUMBER($I5814),TEXT($I5814,"0"),$I5814))</f>
        <v/>
      </c>
    </row>
    <row r="5815">
      <c r="B5815" s="25" t="n"/>
      <c r="I5815" s="25" t="n"/>
      <c r="U5815" s="19">
        <f>IF($V5815&lt;&gt;'設定'!$C$4,N(U5814),IF(OR(NOT(COUNTIF('商品マスタ'!$B$6:$B$1005,$W5815)=0),COUNTIFS('①在庫を貼る'!$V$6:$V$10005,$V5815,'①在庫を貼る'!$W$6:$W$10005,$W5815)&gt;0),N(U5814),N(U5814)+1))</f>
        <v/>
      </c>
      <c r="V5815" s="19">
        <f>IF($B5815="","",TEXT($B5815,"0000"))</f>
        <v/>
      </c>
      <c r="W5815" s="19">
        <f>IF($I5815="","",IF(ISNUMBER($I5815),TEXT($I5815,"0"),$I5815))</f>
        <v/>
      </c>
    </row>
    <row r="5816">
      <c r="B5816" s="25" t="n"/>
      <c r="I5816" s="25" t="n"/>
      <c r="U5816" s="19">
        <f>IF($V5816&lt;&gt;'設定'!$C$4,N(U5815),IF(OR(NOT(COUNTIF('商品マスタ'!$B$6:$B$1005,$W5816)=0),COUNTIFS('①在庫を貼る'!$V$6:$V$10005,$V5816,'①在庫を貼る'!$W$6:$W$10005,$W5816)&gt;0),N(U5815),N(U5815)+1))</f>
        <v/>
      </c>
      <c r="V5816" s="19">
        <f>IF($B5816="","",TEXT($B5816,"0000"))</f>
        <v/>
      </c>
      <c r="W5816" s="19">
        <f>IF($I5816="","",IF(ISNUMBER($I5816),TEXT($I5816,"0"),$I5816))</f>
        <v/>
      </c>
    </row>
    <row r="5817">
      <c r="B5817" s="25" t="n"/>
      <c r="I5817" s="25" t="n"/>
      <c r="U5817" s="19">
        <f>IF($V5817&lt;&gt;'設定'!$C$4,N(U5816),IF(OR(NOT(COUNTIF('商品マスタ'!$B$6:$B$1005,$W5817)=0),COUNTIFS('①在庫を貼る'!$V$6:$V$10005,$V5817,'①在庫を貼る'!$W$6:$W$10005,$W5817)&gt;0),N(U5816),N(U5816)+1))</f>
        <v/>
      </c>
      <c r="V5817" s="19">
        <f>IF($B5817="","",TEXT($B5817,"0000"))</f>
        <v/>
      </c>
      <c r="W5817" s="19">
        <f>IF($I5817="","",IF(ISNUMBER($I5817),TEXT($I5817,"0"),$I5817))</f>
        <v/>
      </c>
    </row>
    <row r="5818">
      <c r="B5818" s="25" t="n"/>
      <c r="I5818" s="25" t="n"/>
      <c r="U5818" s="19">
        <f>IF($V5818&lt;&gt;'設定'!$C$4,N(U5817),IF(OR(NOT(COUNTIF('商品マスタ'!$B$6:$B$1005,$W5818)=0),COUNTIFS('①在庫を貼る'!$V$6:$V$10005,$V5818,'①在庫を貼る'!$W$6:$W$10005,$W5818)&gt;0),N(U5817),N(U5817)+1))</f>
        <v/>
      </c>
      <c r="V5818" s="19">
        <f>IF($B5818="","",TEXT($B5818,"0000"))</f>
        <v/>
      </c>
      <c r="W5818" s="19">
        <f>IF($I5818="","",IF(ISNUMBER($I5818),TEXT($I5818,"0"),$I5818))</f>
        <v/>
      </c>
    </row>
    <row r="5819">
      <c r="B5819" s="25" t="n"/>
      <c r="I5819" s="25" t="n"/>
      <c r="U5819" s="19">
        <f>IF($V5819&lt;&gt;'設定'!$C$4,N(U5818),IF(OR(NOT(COUNTIF('商品マスタ'!$B$6:$B$1005,$W5819)=0),COUNTIFS('①在庫を貼る'!$V$6:$V$10005,$V5819,'①在庫を貼る'!$W$6:$W$10005,$W5819)&gt;0),N(U5818),N(U5818)+1))</f>
        <v/>
      </c>
      <c r="V5819" s="19">
        <f>IF($B5819="","",TEXT($B5819,"0000"))</f>
        <v/>
      </c>
      <c r="W5819" s="19">
        <f>IF($I5819="","",IF(ISNUMBER($I5819),TEXT($I5819,"0"),$I5819))</f>
        <v/>
      </c>
    </row>
    <row r="5820">
      <c r="B5820" s="25" t="n"/>
      <c r="I5820" s="25" t="n"/>
      <c r="U5820" s="19">
        <f>IF($V5820&lt;&gt;'設定'!$C$4,N(U5819),IF(OR(NOT(COUNTIF('商品マスタ'!$B$6:$B$1005,$W5820)=0),COUNTIFS('①在庫を貼る'!$V$6:$V$10005,$V5820,'①在庫を貼る'!$W$6:$W$10005,$W5820)&gt;0),N(U5819),N(U5819)+1))</f>
        <v/>
      </c>
      <c r="V5820" s="19">
        <f>IF($B5820="","",TEXT($B5820,"0000"))</f>
        <v/>
      </c>
      <c r="W5820" s="19">
        <f>IF($I5820="","",IF(ISNUMBER($I5820),TEXT($I5820,"0"),$I5820))</f>
        <v/>
      </c>
    </row>
    <row r="5821">
      <c r="B5821" s="25" t="n"/>
      <c r="I5821" s="25" t="n"/>
      <c r="U5821" s="19">
        <f>IF($V5821&lt;&gt;'設定'!$C$4,N(U5820),IF(OR(NOT(COUNTIF('商品マスタ'!$B$6:$B$1005,$W5821)=0),COUNTIFS('①在庫を貼る'!$V$6:$V$10005,$V5821,'①在庫を貼る'!$W$6:$W$10005,$W5821)&gt;0),N(U5820),N(U5820)+1))</f>
        <v/>
      </c>
      <c r="V5821" s="19">
        <f>IF($B5821="","",TEXT($B5821,"0000"))</f>
        <v/>
      </c>
      <c r="W5821" s="19">
        <f>IF($I5821="","",IF(ISNUMBER($I5821),TEXT($I5821,"0"),$I5821))</f>
        <v/>
      </c>
    </row>
    <row r="5822">
      <c r="B5822" s="25" t="n"/>
      <c r="I5822" s="25" t="n"/>
      <c r="U5822" s="19">
        <f>IF($V5822&lt;&gt;'設定'!$C$4,N(U5821),IF(OR(NOT(COUNTIF('商品マスタ'!$B$6:$B$1005,$W5822)=0),COUNTIFS('①在庫を貼る'!$V$6:$V$10005,$V5822,'①在庫を貼る'!$W$6:$W$10005,$W5822)&gt;0),N(U5821),N(U5821)+1))</f>
        <v/>
      </c>
      <c r="V5822" s="19">
        <f>IF($B5822="","",TEXT($B5822,"0000"))</f>
        <v/>
      </c>
      <c r="W5822" s="19">
        <f>IF($I5822="","",IF(ISNUMBER($I5822),TEXT($I5822,"0"),$I5822))</f>
        <v/>
      </c>
    </row>
    <row r="5823">
      <c r="B5823" s="25" t="n"/>
      <c r="I5823" s="25" t="n"/>
      <c r="U5823" s="19">
        <f>IF($V5823&lt;&gt;'設定'!$C$4,N(U5822),IF(OR(NOT(COUNTIF('商品マスタ'!$B$6:$B$1005,$W5823)=0),COUNTIFS('①在庫を貼る'!$V$6:$V$10005,$V5823,'①在庫を貼る'!$W$6:$W$10005,$W5823)&gt;0),N(U5822),N(U5822)+1))</f>
        <v/>
      </c>
      <c r="V5823" s="19">
        <f>IF($B5823="","",TEXT($B5823,"0000"))</f>
        <v/>
      </c>
      <c r="W5823" s="19">
        <f>IF($I5823="","",IF(ISNUMBER($I5823),TEXT($I5823,"0"),$I5823))</f>
        <v/>
      </c>
    </row>
    <row r="5824">
      <c r="B5824" s="25" t="n"/>
      <c r="I5824" s="25" t="n"/>
      <c r="U5824" s="19">
        <f>IF($V5824&lt;&gt;'設定'!$C$4,N(U5823),IF(OR(NOT(COUNTIF('商品マスタ'!$B$6:$B$1005,$W5824)=0),COUNTIFS('①在庫を貼る'!$V$6:$V$10005,$V5824,'①在庫を貼る'!$W$6:$W$10005,$W5824)&gt;0),N(U5823),N(U5823)+1))</f>
        <v/>
      </c>
      <c r="V5824" s="19">
        <f>IF($B5824="","",TEXT($B5824,"0000"))</f>
        <v/>
      </c>
      <c r="W5824" s="19">
        <f>IF($I5824="","",IF(ISNUMBER($I5824),TEXT($I5824,"0"),$I5824))</f>
        <v/>
      </c>
    </row>
    <row r="5825">
      <c r="B5825" s="25" t="n"/>
      <c r="I5825" s="25" t="n"/>
      <c r="U5825" s="19">
        <f>IF($V5825&lt;&gt;'設定'!$C$4,N(U5824),IF(OR(NOT(COUNTIF('商品マスタ'!$B$6:$B$1005,$W5825)=0),COUNTIFS('①在庫を貼る'!$V$6:$V$10005,$V5825,'①在庫を貼る'!$W$6:$W$10005,$W5825)&gt;0),N(U5824),N(U5824)+1))</f>
        <v/>
      </c>
      <c r="V5825" s="19">
        <f>IF($B5825="","",TEXT($B5825,"0000"))</f>
        <v/>
      </c>
      <c r="W5825" s="19">
        <f>IF($I5825="","",IF(ISNUMBER($I5825),TEXT($I5825,"0"),$I5825))</f>
        <v/>
      </c>
    </row>
    <row r="5826">
      <c r="B5826" s="25" t="n"/>
      <c r="I5826" s="25" t="n"/>
      <c r="U5826" s="19">
        <f>IF($V5826&lt;&gt;'設定'!$C$4,N(U5825),IF(OR(NOT(COUNTIF('商品マスタ'!$B$6:$B$1005,$W5826)=0),COUNTIFS('①在庫を貼る'!$V$6:$V$10005,$V5826,'①在庫を貼る'!$W$6:$W$10005,$W5826)&gt;0),N(U5825),N(U5825)+1))</f>
        <v/>
      </c>
      <c r="V5826" s="19">
        <f>IF($B5826="","",TEXT($B5826,"0000"))</f>
        <v/>
      </c>
      <c r="W5826" s="19">
        <f>IF($I5826="","",IF(ISNUMBER($I5826),TEXT($I5826,"0"),$I5826))</f>
        <v/>
      </c>
    </row>
    <row r="5827">
      <c r="B5827" s="25" t="n"/>
      <c r="I5827" s="25" t="n"/>
      <c r="U5827" s="19">
        <f>IF($V5827&lt;&gt;'設定'!$C$4,N(U5826),IF(OR(NOT(COUNTIF('商品マスタ'!$B$6:$B$1005,$W5827)=0),COUNTIFS('①在庫を貼る'!$V$6:$V$10005,$V5827,'①在庫を貼る'!$W$6:$W$10005,$W5827)&gt;0),N(U5826),N(U5826)+1))</f>
        <v/>
      </c>
      <c r="V5827" s="19">
        <f>IF($B5827="","",TEXT($B5827,"0000"))</f>
        <v/>
      </c>
      <c r="W5827" s="19">
        <f>IF($I5827="","",IF(ISNUMBER($I5827),TEXT($I5827,"0"),$I5827))</f>
        <v/>
      </c>
    </row>
    <row r="5828">
      <c r="B5828" s="25" t="n"/>
      <c r="I5828" s="25" t="n"/>
      <c r="U5828" s="19">
        <f>IF($V5828&lt;&gt;'設定'!$C$4,N(U5827),IF(OR(NOT(COUNTIF('商品マスタ'!$B$6:$B$1005,$W5828)=0),COUNTIFS('①在庫を貼る'!$V$6:$V$10005,$V5828,'①在庫を貼る'!$W$6:$W$10005,$W5828)&gt;0),N(U5827),N(U5827)+1))</f>
        <v/>
      </c>
      <c r="V5828" s="19">
        <f>IF($B5828="","",TEXT($B5828,"0000"))</f>
        <v/>
      </c>
      <c r="W5828" s="19">
        <f>IF($I5828="","",IF(ISNUMBER($I5828),TEXT($I5828,"0"),$I5828))</f>
        <v/>
      </c>
    </row>
    <row r="5829">
      <c r="B5829" s="25" t="n"/>
      <c r="I5829" s="25" t="n"/>
      <c r="U5829" s="19">
        <f>IF($V5829&lt;&gt;'設定'!$C$4,N(U5828),IF(OR(NOT(COUNTIF('商品マスタ'!$B$6:$B$1005,$W5829)=0),COUNTIFS('①在庫を貼る'!$V$6:$V$10005,$V5829,'①在庫を貼る'!$W$6:$W$10005,$W5829)&gt;0),N(U5828),N(U5828)+1))</f>
        <v/>
      </c>
      <c r="V5829" s="19">
        <f>IF($B5829="","",TEXT($B5829,"0000"))</f>
        <v/>
      </c>
      <c r="W5829" s="19">
        <f>IF($I5829="","",IF(ISNUMBER($I5829),TEXT($I5829,"0"),$I5829))</f>
        <v/>
      </c>
    </row>
    <row r="5830">
      <c r="B5830" s="25" t="n"/>
      <c r="I5830" s="25" t="n"/>
      <c r="U5830" s="19">
        <f>IF($V5830&lt;&gt;'設定'!$C$4,N(U5829),IF(OR(NOT(COUNTIF('商品マスタ'!$B$6:$B$1005,$W5830)=0),COUNTIFS('①在庫を貼る'!$V$6:$V$10005,$V5830,'①在庫を貼る'!$W$6:$W$10005,$W5830)&gt;0),N(U5829),N(U5829)+1))</f>
        <v/>
      </c>
      <c r="V5830" s="19">
        <f>IF($B5830="","",TEXT($B5830,"0000"))</f>
        <v/>
      </c>
      <c r="W5830" s="19">
        <f>IF($I5830="","",IF(ISNUMBER($I5830),TEXT($I5830,"0"),$I5830))</f>
        <v/>
      </c>
    </row>
    <row r="5831">
      <c r="B5831" s="25" t="n"/>
      <c r="I5831" s="25" t="n"/>
      <c r="U5831" s="19">
        <f>IF($V5831&lt;&gt;'設定'!$C$4,N(U5830),IF(OR(NOT(COUNTIF('商品マスタ'!$B$6:$B$1005,$W5831)=0),COUNTIFS('①在庫を貼る'!$V$6:$V$10005,$V5831,'①在庫を貼る'!$W$6:$W$10005,$W5831)&gt;0),N(U5830),N(U5830)+1))</f>
        <v/>
      </c>
      <c r="V5831" s="19">
        <f>IF($B5831="","",TEXT($B5831,"0000"))</f>
        <v/>
      </c>
      <c r="W5831" s="19">
        <f>IF($I5831="","",IF(ISNUMBER($I5831),TEXT($I5831,"0"),$I5831))</f>
        <v/>
      </c>
    </row>
    <row r="5832">
      <c r="B5832" s="25" t="n"/>
      <c r="I5832" s="25" t="n"/>
      <c r="U5832" s="19">
        <f>IF($V5832&lt;&gt;'設定'!$C$4,N(U5831),IF(OR(NOT(COUNTIF('商品マスタ'!$B$6:$B$1005,$W5832)=0),COUNTIFS('①在庫を貼る'!$V$6:$V$10005,$V5832,'①在庫を貼る'!$W$6:$W$10005,$W5832)&gt;0),N(U5831),N(U5831)+1))</f>
        <v/>
      </c>
      <c r="V5832" s="19">
        <f>IF($B5832="","",TEXT($B5832,"0000"))</f>
        <v/>
      </c>
      <c r="W5832" s="19">
        <f>IF($I5832="","",IF(ISNUMBER($I5832),TEXT($I5832,"0"),$I5832))</f>
        <v/>
      </c>
    </row>
    <row r="5833">
      <c r="B5833" s="25" t="n"/>
      <c r="I5833" s="25" t="n"/>
      <c r="U5833" s="19">
        <f>IF($V5833&lt;&gt;'設定'!$C$4,N(U5832),IF(OR(NOT(COUNTIF('商品マスタ'!$B$6:$B$1005,$W5833)=0),COUNTIFS('①在庫を貼る'!$V$6:$V$10005,$V5833,'①在庫を貼る'!$W$6:$W$10005,$W5833)&gt;0),N(U5832),N(U5832)+1))</f>
        <v/>
      </c>
      <c r="V5833" s="19">
        <f>IF($B5833="","",TEXT($B5833,"0000"))</f>
        <v/>
      </c>
      <c r="W5833" s="19">
        <f>IF($I5833="","",IF(ISNUMBER($I5833),TEXT($I5833,"0"),$I5833))</f>
        <v/>
      </c>
    </row>
    <row r="5834">
      <c r="B5834" s="25" t="n"/>
      <c r="I5834" s="25" t="n"/>
      <c r="U5834" s="19">
        <f>IF($V5834&lt;&gt;'設定'!$C$4,N(U5833),IF(OR(NOT(COUNTIF('商品マスタ'!$B$6:$B$1005,$W5834)=0),COUNTIFS('①在庫を貼る'!$V$6:$V$10005,$V5834,'①在庫を貼る'!$W$6:$W$10005,$W5834)&gt;0),N(U5833),N(U5833)+1))</f>
        <v/>
      </c>
      <c r="V5834" s="19">
        <f>IF($B5834="","",TEXT($B5834,"0000"))</f>
        <v/>
      </c>
      <c r="W5834" s="19">
        <f>IF($I5834="","",IF(ISNUMBER($I5834),TEXT($I5834,"0"),$I5834))</f>
        <v/>
      </c>
    </row>
    <row r="5835">
      <c r="B5835" s="25" t="n"/>
      <c r="I5835" s="25" t="n"/>
      <c r="U5835" s="19">
        <f>IF($V5835&lt;&gt;'設定'!$C$4,N(U5834),IF(OR(NOT(COUNTIF('商品マスタ'!$B$6:$B$1005,$W5835)=0),COUNTIFS('①在庫を貼る'!$V$6:$V$10005,$V5835,'①在庫を貼る'!$W$6:$W$10005,$W5835)&gt;0),N(U5834),N(U5834)+1))</f>
        <v/>
      </c>
      <c r="V5835" s="19">
        <f>IF($B5835="","",TEXT($B5835,"0000"))</f>
        <v/>
      </c>
      <c r="W5835" s="19">
        <f>IF($I5835="","",IF(ISNUMBER($I5835),TEXT($I5835,"0"),$I5835))</f>
        <v/>
      </c>
    </row>
    <row r="5836">
      <c r="B5836" s="25" t="n"/>
      <c r="I5836" s="25" t="n"/>
      <c r="U5836" s="19">
        <f>IF($V5836&lt;&gt;'設定'!$C$4,N(U5835),IF(OR(NOT(COUNTIF('商品マスタ'!$B$6:$B$1005,$W5836)=0),COUNTIFS('①在庫を貼る'!$V$6:$V$10005,$V5836,'①在庫を貼る'!$W$6:$W$10005,$W5836)&gt;0),N(U5835),N(U5835)+1))</f>
        <v/>
      </c>
      <c r="V5836" s="19">
        <f>IF($B5836="","",TEXT($B5836,"0000"))</f>
        <v/>
      </c>
      <c r="W5836" s="19">
        <f>IF($I5836="","",IF(ISNUMBER($I5836),TEXT($I5836,"0"),$I5836))</f>
        <v/>
      </c>
    </row>
    <row r="5837">
      <c r="B5837" s="25" t="n"/>
      <c r="I5837" s="25" t="n"/>
      <c r="U5837" s="19">
        <f>IF($V5837&lt;&gt;'設定'!$C$4,N(U5836),IF(OR(NOT(COUNTIF('商品マスタ'!$B$6:$B$1005,$W5837)=0),COUNTIFS('①在庫を貼る'!$V$6:$V$10005,$V5837,'①在庫を貼る'!$W$6:$W$10005,$W5837)&gt;0),N(U5836),N(U5836)+1))</f>
        <v/>
      </c>
      <c r="V5837" s="19">
        <f>IF($B5837="","",TEXT($B5837,"0000"))</f>
        <v/>
      </c>
      <c r="W5837" s="19">
        <f>IF($I5837="","",IF(ISNUMBER($I5837),TEXT($I5837,"0"),$I5837))</f>
        <v/>
      </c>
    </row>
    <row r="5838">
      <c r="B5838" s="25" t="n"/>
      <c r="I5838" s="25" t="n"/>
      <c r="U5838" s="19">
        <f>IF($V5838&lt;&gt;'設定'!$C$4,N(U5837),IF(OR(NOT(COUNTIF('商品マスタ'!$B$6:$B$1005,$W5838)=0),COUNTIFS('①在庫を貼る'!$V$6:$V$10005,$V5838,'①在庫を貼る'!$W$6:$W$10005,$W5838)&gt;0),N(U5837),N(U5837)+1))</f>
        <v/>
      </c>
      <c r="V5838" s="19">
        <f>IF($B5838="","",TEXT($B5838,"0000"))</f>
        <v/>
      </c>
      <c r="W5838" s="19">
        <f>IF($I5838="","",IF(ISNUMBER($I5838),TEXT($I5838,"0"),$I5838))</f>
        <v/>
      </c>
    </row>
    <row r="5839">
      <c r="B5839" s="25" t="n"/>
      <c r="I5839" s="25" t="n"/>
      <c r="U5839" s="19">
        <f>IF($V5839&lt;&gt;'設定'!$C$4,N(U5838),IF(OR(NOT(COUNTIF('商品マスタ'!$B$6:$B$1005,$W5839)=0),COUNTIFS('①在庫を貼る'!$V$6:$V$10005,$V5839,'①在庫を貼る'!$W$6:$W$10005,$W5839)&gt;0),N(U5838),N(U5838)+1))</f>
        <v/>
      </c>
      <c r="V5839" s="19">
        <f>IF($B5839="","",TEXT($B5839,"0000"))</f>
        <v/>
      </c>
      <c r="W5839" s="19">
        <f>IF($I5839="","",IF(ISNUMBER($I5839),TEXT($I5839,"0"),$I5839))</f>
        <v/>
      </c>
    </row>
    <row r="5840">
      <c r="B5840" s="25" t="n"/>
      <c r="I5840" s="25" t="n"/>
      <c r="U5840" s="19">
        <f>IF($V5840&lt;&gt;'設定'!$C$4,N(U5839),IF(OR(NOT(COUNTIF('商品マスタ'!$B$6:$B$1005,$W5840)=0),COUNTIFS('①在庫を貼る'!$V$6:$V$10005,$V5840,'①在庫を貼る'!$W$6:$W$10005,$W5840)&gt;0),N(U5839),N(U5839)+1))</f>
        <v/>
      </c>
      <c r="V5840" s="19">
        <f>IF($B5840="","",TEXT($B5840,"0000"))</f>
        <v/>
      </c>
      <c r="W5840" s="19">
        <f>IF($I5840="","",IF(ISNUMBER($I5840),TEXT($I5840,"0"),$I5840))</f>
        <v/>
      </c>
    </row>
    <row r="5841">
      <c r="B5841" s="25" t="n"/>
      <c r="I5841" s="25" t="n"/>
      <c r="U5841" s="19">
        <f>IF($V5841&lt;&gt;'設定'!$C$4,N(U5840),IF(OR(NOT(COUNTIF('商品マスタ'!$B$6:$B$1005,$W5841)=0),COUNTIFS('①在庫を貼る'!$V$6:$V$10005,$V5841,'①在庫を貼る'!$W$6:$W$10005,$W5841)&gt;0),N(U5840),N(U5840)+1))</f>
        <v/>
      </c>
      <c r="V5841" s="19">
        <f>IF($B5841="","",TEXT($B5841,"0000"))</f>
        <v/>
      </c>
      <c r="W5841" s="19">
        <f>IF($I5841="","",IF(ISNUMBER($I5841),TEXT($I5841,"0"),$I5841))</f>
        <v/>
      </c>
    </row>
    <row r="5842">
      <c r="B5842" s="25" t="n"/>
      <c r="I5842" s="25" t="n"/>
      <c r="U5842" s="19">
        <f>IF($V5842&lt;&gt;'設定'!$C$4,N(U5841),IF(OR(NOT(COUNTIF('商品マスタ'!$B$6:$B$1005,$W5842)=0),COUNTIFS('①在庫を貼る'!$V$6:$V$10005,$V5842,'①在庫を貼る'!$W$6:$W$10005,$W5842)&gt;0),N(U5841),N(U5841)+1))</f>
        <v/>
      </c>
      <c r="V5842" s="19">
        <f>IF($B5842="","",TEXT($B5842,"0000"))</f>
        <v/>
      </c>
      <c r="W5842" s="19">
        <f>IF($I5842="","",IF(ISNUMBER($I5842),TEXT($I5842,"0"),$I5842))</f>
        <v/>
      </c>
    </row>
    <row r="5843">
      <c r="B5843" s="25" t="n"/>
      <c r="I5843" s="25" t="n"/>
      <c r="U5843" s="19">
        <f>IF($V5843&lt;&gt;'設定'!$C$4,N(U5842),IF(OR(NOT(COUNTIF('商品マスタ'!$B$6:$B$1005,$W5843)=0),COUNTIFS('①在庫を貼る'!$V$6:$V$10005,$V5843,'①在庫を貼る'!$W$6:$W$10005,$W5843)&gt;0),N(U5842),N(U5842)+1))</f>
        <v/>
      </c>
      <c r="V5843" s="19">
        <f>IF($B5843="","",TEXT($B5843,"0000"))</f>
        <v/>
      </c>
      <c r="W5843" s="19">
        <f>IF($I5843="","",IF(ISNUMBER($I5843),TEXT($I5843,"0"),$I5843))</f>
        <v/>
      </c>
    </row>
    <row r="5844">
      <c r="B5844" s="25" t="n"/>
      <c r="I5844" s="25" t="n"/>
      <c r="U5844" s="19">
        <f>IF($V5844&lt;&gt;'設定'!$C$4,N(U5843),IF(OR(NOT(COUNTIF('商品マスタ'!$B$6:$B$1005,$W5844)=0),COUNTIFS('①在庫を貼る'!$V$6:$V$10005,$V5844,'①在庫を貼る'!$W$6:$W$10005,$W5844)&gt;0),N(U5843),N(U5843)+1))</f>
        <v/>
      </c>
      <c r="V5844" s="19">
        <f>IF($B5844="","",TEXT($B5844,"0000"))</f>
        <v/>
      </c>
      <c r="W5844" s="19">
        <f>IF($I5844="","",IF(ISNUMBER($I5844),TEXT($I5844,"0"),$I5844))</f>
        <v/>
      </c>
    </row>
    <row r="5845">
      <c r="B5845" s="25" t="n"/>
      <c r="I5845" s="25" t="n"/>
      <c r="U5845" s="19">
        <f>IF($V5845&lt;&gt;'設定'!$C$4,N(U5844),IF(OR(NOT(COUNTIF('商品マスタ'!$B$6:$B$1005,$W5845)=0),COUNTIFS('①在庫を貼る'!$V$6:$V$10005,$V5845,'①在庫を貼る'!$W$6:$W$10005,$W5845)&gt;0),N(U5844),N(U5844)+1))</f>
        <v/>
      </c>
      <c r="V5845" s="19">
        <f>IF($B5845="","",TEXT($B5845,"0000"))</f>
        <v/>
      </c>
      <c r="W5845" s="19">
        <f>IF($I5845="","",IF(ISNUMBER($I5845),TEXT($I5845,"0"),$I5845))</f>
        <v/>
      </c>
    </row>
    <row r="5846">
      <c r="B5846" s="25" t="n"/>
      <c r="I5846" s="25" t="n"/>
      <c r="U5846" s="19">
        <f>IF($V5846&lt;&gt;'設定'!$C$4,N(U5845),IF(OR(NOT(COUNTIF('商品マスタ'!$B$6:$B$1005,$W5846)=0),COUNTIFS('①在庫を貼る'!$V$6:$V$10005,$V5846,'①在庫を貼る'!$W$6:$W$10005,$W5846)&gt;0),N(U5845),N(U5845)+1))</f>
        <v/>
      </c>
      <c r="V5846" s="19">
        <f>IF($B5846="","",TEXT($B5846,"0000"))</f>
        <v/>
      </c>
      <c r="W5846" s="19">
        <f>IF($I5846="","",IF(ISNUMBER($I5846),TEXT($I5846,"0"),$I5846))</f>
        <v/>
      </c>
    </row>
    <row r="5847">
      <c r="B5847" s="25" t="n"/>
      <c r="I5847" s="25" t="n"/>
      <c r="U5847" s="19">
        <f>IF($V5847&lt;&gt;'設定'!$C$4,N(U5846),IF(OR(NOT(COUNTIF('商品マスタ'!$B$6:$B$1005,$W5847)=0),COUNTIFS('①在庫を貼る'!$V$6:$V$10005,$V5847,'①在庫を貼る'!$W$6:$W$10005,$W5847)&gt;0),N(U5846),N(U5846)+1))</f>
        <v/>
      </c>
      <c r="V5847" s="19">
        <f>IF($B5847="","",TEXT($B5847,"0000"))</f>
        <v/>
      </c>
      <c r="W5847" s="19">
        <f>IF($I5847="","",IF(ISNUMBER($I5847),TEXT($I5847,"0"),$I5847))</f>
        <v/>
      </c>
    </row>
    <row r="5848">
      <c r="B5848" s="25" t="n"/>
      <c r="I5848" s="25" t="n"/>
      <c r="U5848" s="19">
        <f>IF($V5848&lt;&gt;'設定'!$C$4,N(U5847),IF(OR(NOT(COUNTIF('商品マスタ'!$B$6:$B$1005,$W5848)=0),COUNTIFS('①在庫を貼る'!$V$6:$V$10005,$V5848,'①在庫を貼る'!$W$6:$W$10005,$W5848)&gt;0),N(U5847),N(U5847)+1))</f>
        <v/>
      </c>
      <c r="V5848" s="19">
        <f>IF($B5848="","",TEXT($B5848,"0000"))</f>
        <v/>
      </c>
      <c r="W5848" s="19">
        <f>IF($I5848="","",IF(ISNUMBER($I5848),TEXT($I5848,"0"),$I5848))</f>
        <v/>
      </c>
    </row>
    <row r="5849">
      <c r="B5849" s="25" t="n"/>
      <c r="I5849" s="25" t="n"/>
      <c r="U5849" s="19">
        <f>IF($V5849&lt;&gt;'設定'!$C$4,N(U5848),IF(OR(NOT(COUNTIF('商品マスタ'!$B$6:$B$1005,$W5849)=0),COUNTIFS('①在庫を貼る'!$V$6:$V$10005,$V5849,'①在庫を貼る'!$W$6:$W$10005,$W5849)&gt;0),N(U5848),N(U5848)+1))</f>
        <v/>
      </c>
      <c r="V5849" s="19">
        <f>IF($B5849="","",TEXT($B5849,"0000"))</f>
        <v/>
      </c>
      <c r="W5849" s="19">
        <f>IF($I5849="","",IF(ISNUMBER($I5849),TEXT($I5849,"0"),$I5849))</f>
        <v/>
      </c>
    </row>
    <row r="5850">
      <c r="B5850" s="25" t="n"/>
      <c r="I5850" s="25" t="n"/>
      <c r="U5850" s="19">
        <f>IF($V5850&lt;&gt;'設定'!$C$4,N(U5849),IF(OR(NOT(COUNTIF('商品マスタ'!$B$6:$B$1005,$W5850)=0),COUNTIFS('①在庫を貼る'!$V$6:$V$10005,$V5850,'①在庫を貼る'!$W$6:$W$10005,$W5850)&gt;0),N(U5849),N(U5849)+1))</f>
        <v/>
      </c>
      <c r="V5850" s="19">
        <f>IF($B5850="","",TEXT($B5850,"0000"))</f>
        <v/>
      </c>
      <c r="W5850" s="19">
        <f>IF($I5850="","",IF(ISNUMBER($I5850),TEXT($I5850,"0"),$I5850))</f>
        <v/>
      </c>
    </row>
    <row r="5851">
      <c r="B5851" s="25" t="n"/>
      <c r="I5851" s="25" t="n"/>
      <c r="U5851" s="19">
        <f>IF($V5851&lt;&gt;'設定'!$C$4,N(U5850),IF(OR(NOT(COUNTIF('商品マスタ'!$B$6:$B$1005,$W5851)=0),COUNTIFS('①在庫を貼る'!$V$6:$V$10005,$V5851,'①在庫を貼る'!$W$6:$W$10005,$W5851)&gt;0),N(U5850),N(U5850)+1))</f>
        <v/>
      </c>
      <c r="V5851" s="19">
        <f>IF($B5851="","",TEXT($B5851,"0000"))</f>
        <v/>
      </c>
      <c r="W5851" s="19">
        <f>IF($I5851="","",IF(ISNUMBER($I5851),TEXT($I5851,"0"),$I5851))</f>
        <v/>
      </c>
    </row>
    <row r="5852">
      <c r="B5852" s="25" t="n"/>
      <c r="I5852" s="25" t="n"/>
      <c r="U5852" s="19">
        <f>IF($V5852&lt;&gt;'設定'!$C$4,N(U5851),IF(OR(NOT(COUNTIF('商品マスタ'!$B$6:$B$1005,$W5852)=0),COUNTIFS('①在庫を貼る'!$V$6:$V$10005,$V5852,'①在庫を貼る'!$W$6:$W$10005,$W5852)&gt;0),N(U5851),N(U5851)+1))</f>
        <v/>
      </c>
      <c r="V5852" s="19">
        <f>IF($B5852="","",TEXT($B5852,"0000"))</f>
        <v/>
      </c>
      <c r="W5852" s="19">
        <f>IF($I5852="","",IF(ISNUMBER($I5852),TEXT($I5852,"0"),$I5852))</f>
        <v/>
      </c>
    </row>
    <row r="5853">
      <c r="B5853" s="25" t="n"/>
      <c r="I5853" s="25" t="n"/>
      <c r="U5853" s="19">
        <f>IF($V5853&lt;&gt;'設定'!$C$4,N(U5852),IF(OR(NOT(COUNTIF('商品マスタ'!$B$6:$B$1005,$W5853)=0),COUNTIFS('①在庫を貼る'!$V$6:$V$10005,$V5853,'①在庫を貼る'!$W$6:$W$10005,$W5853)&gt;0),N(U5852),N(U5852)+1))</f>
        <v/>
      </c>
      <c r="V5853" s="19">
        <f>IF($B5853="","",TEXT($B5853,"0000"))</f>
        <v/>
      </c>
      <c r="W5853" s="19">
        <f>IF($I5853="","",IF(ISNUMBER($I5853),TEXT($I5853,"0"),$I5853))</f>
        <v/>
      </c>
    </row>
    <row r="5854">
      <c r="B5854" s="25" t="n"/>
      <c r="I5854" s="25" t="n"/>
      <c r="U5854" s="19">
        <f>IF($V5854&lt;&gt;'設定'!$C$4,N(U5853),IF(OR(NOT(COUNTIF('商品マスタ'!$B$6:$B$1005,$W5854)=0),COUNTIFS('①在庫を貼る'!$V$6:$V$10005,$V5854,'①在庫を貼る'!$W$6:$W$10005,$W5854)&gt;0),N(U5853),N(U5853)+1))</f>
        <v/>
      </c>
      <c r="V5854" s="19">
        <f>IF($B5854="","",TEXT($B5854,"0000"))</f>
        <v/>
      </c>
      <c r="W5854" s="19">
        <f>IF($I5854="","",IF(ISNUMBER($I5854),TEXT($I5854,"0"),$I5854))</f>
        <v/>
      </c>
    </row>
    <row r="5855">
      <c r="B5855" s="25" t="n"/>
      <c r="I5855" s="25" t="n"/>
      <c r="U5855" s="19">
        <f>IF($V5855&lt;&gt;'設定'!$C$4,N(U5854),IF(OR(NOT(COUNTIF('商品マスタ'!$B$6:$B$1005,$W5855)=0),COUNTIFS('①在庫を貼る'!$V$6:$V$10005,$V5855,'①在庫を貼る'!$W$6:$W$10005,$W5855)&gt;0),N(U5854),N(U5854)+1))</f>
        <v/>
      </c>
      <c r="V5855" s="19">
        <f>IF($B5855="","",TEXT($B5855,"0000"))</f>
        <v/>
      </c>
      <c r="W5855" s="19">
        <f>IF($I5855="","",IF(ISNUMBER($I5855),TEXT($I5855,"0"),$I5855))</f>
        <v/>
      </c>
    </row>
    <row r="5856">
      <c r="B5856" s="25" t="n"/>
      <c r="I5856" s="25" t="n"/>
      <c r="U5856" s="19">
        <f>IF($V5856&lt;&gt;'設定'!$C$4,N(U5855),IF(OR(NOT(COUNTIF('商品マスタ'!$B$6:$B$1005,$W5856)=0),COUNTIFS('①在庫を貼る'!$V$6:$V$10005,$V5856,'①在庫を貼る'!$W$6:$W$10005,$W5856)&gt;0),N(U5855),N(U5855)+1))</f>
        <v/>
      </c>
      <c r="V5856" s="19">
        <f>IF($B5856="","",TEXT($B5856,"0000"))</f>
        <v/>
      </c>
      <c r="W5856" s="19">
        <f>IF($I5856="","",IF(ISNUMBER($I5856),TEXT($I5856,"0"),$I5856))</f>
        <v/>
      </c>
    </row>
    <row r="5857">
      <c r="B5857" s="25" t="n"/>
      <c r="I5857" s="25" t="n"/>
      <c r="U5857" s="19">
        <f>IF($V5857&lt;&gt;'設定'!$C$4,N(U5856),IF(OR(NOT(COUNTIF('商品マスタ'!$B$6:$B$1005,$W5857)=0),COUNTIFS('①在庫を貼る'!$V$6:$V$10005,$V5857,'①在庫を貼る'!$W$6:$W$10005,$W5857)&gt;0),N(U5856),N(U5856)+1))</f>
        <v/>
      </c>
      <c r="V5857" s="19">
        <f>IF($B5857="","",TEXT($B5857,"0000"))</f>
        <v/>
      </c>
      <c r="W5857" s="19">
        <f>IF($I5857="","",IF(ISNUMBER($I5857),TEXT($I5857,"0"),$I5857))</f>
        <v/>
      </c>
    </row>
    <row r="5858">
      <c r="B5858" s="25" t="n"/>
      <c r="I5858" s="25" t="n"/>
      <c r="U5858" s="19">
        <f>IF($V5858&lt;&gt;'設定'!$C$4,N(U5857),IF(OR(NOT(COUNTIF('商品マスタ'!$B$6:$B$1005,$W5858)=0),COUNTIFS('①在庫を貼る'!$V$6:$V$10005,$V5858,'①在庫を貼る'!$W$6:$W$10005,$W5858)&gt;0),N(U5857),N(U5857)+1))</f>
        <v/>
      </c>
      <c r="V5858" s="19">
        <f>IF($B5858="","",TEXT($B5858,"0000"))</f>
        <v/>
      </c>
      <c r="W5858" s="19">
        <f>IF($I5858="","",IF(ISNUMBER($I5858),TEXT($I5858,"0"),$I5858))</f>
        <v/>
      </c>
    </row>
    <row r="5859">
      <c r="B5859" s="25" t="n"/>
      <c r="I5859" s="25" t="n"/>
      <c r="U5859" s="19">
        <f>IF($V5859&lt;&gt;'設定'!$C$4,N(U5858),IF(OR(NOT(COUNTIF('商品マスタ'!$B$6:$B$1005,$W5859)=0),COUNTIFS('①在庫を貼る'!$V$6:$V$10005,$V5859,'①在庫を貼る'!$W$6:$W$10005,$W5859)&gt;0),N(U5858),N(U5858)+1))</f>
        <v/>
      </c>
      <c r="V5859" s="19">
        <f>IF($B5859="","",TEXT($B5859,"0000"))</f>
        <v/>
      </c>
      <c r="W5859" s="19">
        <f>IF($I5859="","",IF(ISNUMBER($I5859),TEXT($I5859,"0"),$I5859))</f>
        <v/>
      </c>
    </row>
    <row r="5860">
      <c r="B5860" s="25" t="n"/>
      <c r="I5860" s="25" t="n"/>
      <c r="U5860" s="19">
        <f>IF($V5860&lt;&gt;'設定'!$C$4,N(U5859),IF(OR(NOT(COUNTIF('商品マスタ'!$B$6:$B$1005,$W5860)=0),COUNTIFS('①在庫を貼る'!$V$6:$V$10005,$V5860,'①在庫を貼る'!$W$6:$W$10005,$W5860)&gt;0),N(U5859),N(U5859)+1))</f>
        <v/>
      </c>
      <c r="V5860" s="19">
        <f>IF($B5860="","",TEXT($B5860,"0000"))</f>
        <v/>
      </c>
      <c r="W5860" s="19">
        <f>IF($I5860="","",IF(ISNUMBER($I5860),TEXT($I5860,"0"),$I5860))</f>
        <v/>
      </c>
    </row>
    <row r="5861">
      <c r="B5861" s="25" t="n"/>
      <c r="I5861" s="25" t="n"/>
      <c r="U5861" s="19">
        <f>IF($V5861&lt;&gt;'設定'!$C$4,N(U5860),IF(OR(NOT(COUNTIF('商品マスタ'!$B$6:$B$1005,$W5861)=0),COUNTIFS('①在庫を貼る'!$V$6:$V$10005,$V5861,'①在庫を貼る'!$W$6:$W$10005,$W5861)&gt;0),N(U5860),N(U5860)+1))</f>
        <v/>
      </c>
      <c r="V5861" s="19">
        <f>IF($B5861="","",TEXT($B5861,"0000"))</f>
        <v/>
      </c>
      <c r="W5861" s="19">
        <f>IF($I5861="","",IF(ISNUMBER($I5861),TEXT($I5861,"0"),$I5861))</f>
        <v/>
      </c>
    </row>
    <row r="5862">
      <c r="B5862" s="25" t="n"/>
      <c r="I5862" s="25" t="n"/>
      <c r="U5862" s="19">
        <f>IF($V5862&lt;&gt;'設定'!$C$4,N(U5861),IF(OR(NOT(COUNTIF('商品マスタ'!$B$6:$B$1005,$W5862)=0),COUNTIFS('①在庫を貼る'!$V$6:$V$10005,$V5862,'①在庫を貼る'!$W$6:$W$10005,$W5862)&gt;0),N(U5861),N(U5861)+1))</f>
        <v/>
      </c>
      <c r="V5862" s="19">
        <f>IF($B5862="","",TEXT($B5862,"0000"))</f>
        <v/>
      </c>
      <c r="W5862" s="19">
        <f>IF($I5862="","",IF(ISNUMBER($I5862),TEXT($I5862,"0"),$I5862))</f>
        <v/>
      </c>
    </row>
    <row r="5863">
      <c r="B5863" s="25" t="n"/>
      <c r="I5863" s="25" t="n"/>
      <c r="U5863" s="19">
        <f>IF($V5863&lt;&gt;'設定'!$C$4,N(U5862),IF(OR(NOT(COUNTIF('商品マスタ'!$B$6:$B$1005,$W5863)=0),COUNTIFS('①在庫を貼る'!$V$6:$V$10005,$V5863,'①在庫を貼る'!$W$6:$W$10005,$W5863)&gt;0),N(U5862),N(U5862)+1))</f>
        <v/>
      </c>
      <c r="V5863" s="19">
        <f>IF($B5863="","",TEXT($B5863,"0000"))</f>
        <v/>
      </c>
      <c r="W5863" s="19">
        <f>IF($I5863="","",IF(ISNUMBER($I5863),TEXT($I5863,"0"),$I5863))</f>
        <v/>
      </c>
    </row>
    <row r="5864">
      <c r="B5864" s="25" t="n"/>
      <c r="I5864" s="25" t="n"/>
      <c r="U5864" s="19">
        <f>IF($V5864&lt;&gt;'設定'!$C$4,N(U5863),IF(OR(NOT(COUNTIF('商品マスタ'!$B$6:$B$1005,$W5864)=0),COUNTIFS('①在庫を貼る'!$V$6:$V$10005,$V5864,'①在庫を貼る'!$W$6:$W$10005,$W5864)&gt;0),N(U5863),N(U5863)+1))</f>
        <v/>
      </c>
      <c r="V5864" s="19">
        <f>IF($B5864="","",TEXT($B5864,"0000"))</f>
        <v/>
      </c>
      <c r="W5864" s="19">
        <f>IF($I5864="","",IF(ISNUMBER($I5864),TEXT($I5864,"0"),$I5864))</f>
        <v/>
      </c>
    </row>
    <row r="5865">
      <c r="B5865" s="25" t="n"/>
      <c r="I5865" s="25" t="n"/>
      <c r="U5865" s="19">
        <f>IF($V5865&lt;&gt;'設定'!$C$4,N(U5864),IF(OR(NOT(COUNTIF('商品マスタ'!$B$6:$B$1005,$W5865)=0),COUNTIFS('①在庫を貼る'!$V$6:$V$10005,$V5865,'①在庫を貼る'!$W$6:$W$10005,$W5865)&gt;0),N(U5864),N(U5864)+1))</f>
        <v/>
      </c>
      <c r="V5865" s="19">
        <f>IF($B5865="","",TEXT($B5865,"0000"))</f>
        <v/>
      </c>
      <c r="W5865" s="19">
        <f>IF($I5865="","",IF(ISNUMBER($I5865),TEXT($I5865,"0"),$I5865))</f>
        <v/>
      </c>
    </row>
    <row r="5866">
      <c r="B5866" s="25" t="n"/>
      <c r="I5866" s="25" t="n"/>
      <c r="U5866" s="19">
        <f>IF($V5866&lt;&gt;'設定'!$C$4,N(U5865),IF(OR(NOT(COUNTIF('商品マスタ'!$B$6:$B$1005,$W5866)=0),COUNTIFS('①在庫を貼る'!$V$6:$V$10005,$V5866,'①在庫を貼る'!$W$6:$W$10005,$W5866)&gt;0),N(U5865),N(U5865)+1))</f>
        <v/>
      </c>
      <c r="V5866" s="19">
        <f>IF($B5866="","",TEXT($B5866,"0000"))</f>
        <v/>
      </c>
      <c r="W5866" s="19">
        <f>IF($I5866="","",IF(ISNUMBER($I5866),TEXT($I5866,"0"),$I5866))</f>
        <v/>
      </c>
    </row>
    <row r="5867">
      <c r="B5867" s="25" t="n"/>
      <c r="I5867" s="25" t="n"/>
      <c r="U5867" s="19">
        <f>IF($V5867&lt;&gt;'設定'!$C$4,N(U5866),IF(OR(NOT(COUNTIF('商品マスタ'!$B$6:$B$1005,$W5867)=0),COUNTIFS('①在庫を貼る'!$V$6:$V$10005,$V5867,'①在庫を貼る'!$W$6:$W$10005,$W5867)&gt;0),N(U5866),N(U5866)+1))</f>
        <v/>
      </c>
      <c r="V5867" s="19">
        <f>IF($B5867="","",TEXT($B5867,"0000"))</f>
        <v/>
      </c>
      <c r="W5867" s="19">
        <f>IF($I5867="","",IF(ISNUMBER($I5867),TEXT($I5867,"0"),$I5867))</f>
        <v/>
      </c>
    </row>
    <row r="5868">
      <c r="B5868" s="25" t="n"/>
      <c r="I5868" s="25" t="n"/>
      <c r="U5868" s="19">
        <f>IF($V5868&lt;&gt;'設定'!$C$4,N(U5867),IF(OR(NOT(COUNTIF('商品マスタ'!$B$6:$B$1005,$W5868)=0),COUNTIFS('①在庫を貼る'!$V$6:$V$10005,$V5868,'①在庫を貼る'!$W$6:$W$10005,$W5868)&gt;0),N(U5867),N(U5867)+1))</f>
        <v/>
      </c>
      <c r="V5868" s="19">
        <f>IF($B5868="","",TEXT($B5868,"0000"))</f>
        <v/>
      </c>
      <c r="W5868" s="19">
        <f>IF($I5868="","",IF(ISNUMBER($I5868),TEXT($I5868,"0"),$I5868))</f>
        <v/>
      </c>
    </row>
    <row r="5869">
      <c r="B5869" s="25" t="n"/>
      <c r="I5869" s="25" t="n"/>
      <c r="U5869" s="19">
        <f>IF($V5869&lt;&gt;'設定'!$C$4,N(U5868),IF(OR(NOT(COUNTIF('商品マスタ'!$B$6:$B$1005,$W5869)=0),COUNTIFS('①在庫を貼る'!$V$6:$V$10005,$V5869,'①在庫を貼る'!$W$6:$W$10005,$W5869)&gt;0),N(U5868),N(U5868)+1))</f>
        <v/>
      </c>
      <c r="V5869" s="19">
        <f>IF($B5869="","",TEXT($B5869,"0000"))</f>
        <v/>
      </c>
      <c r="W5869" s="19">
        <f>IF($I5869="","",IF(ISNUMBER($I5869),TEXT($I5869,"0"),$I5869))</f>
        <v/>
      </c>
    </row>
    <row r="5870">
      <c r="B5870" s="25" t="n"/>
      <c r="I5870" s="25" t="n"/>
      <c r="U5870" s="19">
        <f>IF($V5870&lt;&gt;'設定'!$C$4,N(U5869),IF(OR(NOT(COUNTIF('商品マスタ'!$B$6:$B$1005,$W5870)=0),COUNTIFS('①在庫を貼る'!$V$6:$V$10005,$V5870,'①在庫を貼る'!$W$6:$W$10005,$W5870)&gt;0),N(U5869),N(U5869)+1))</f>
        <v/>
      </c>
      <c r="V5870" s="19">
        <f>IF($B5870="","",TEXT($B5870,"0000"))</f>
        <v/>
      </c>
      <c r="W5870" s="19">
        <f>IF($I5870="","",IF(ISNUMBER($I5870),TEXT($I5870,"0"),$I5870))</f>
        <v/>
      </c>
    </row>
    <row r="5871">
      <c r="B5871" s="25" t="n"/>
      <c r="I5871" s="25" t="n"/>
      <c r="U5871" s="19">
        <f>IF($V5871&lt;&gt;'設定'!$C$4,N(U5870),IF(OR(NOT(COUNTIF('商品マスタ'!$B$6:$B$1005,$W5871)=0),COUNTIFS('①在庫を貼る'!$V$6:$V$10005,$V5871,'①在庫を貼る'!$W$6:$W$10005,$W5871)&gt;0),N(U5870),N(U5870)+1))</f>
        <v/>
      </c>
      <c r="V5871" s="19">
        <f>IF($B5871="","",TEXT($B5871,"0000"))</f>
        <v/>
      </c>
      <c r="W5871" s="19">
        <f>IF($I5871="","",IF(ISNUMBER($I5871),TEXT($I5871,"0"),$I5871))</f>
        <v/>
      </c>
    </row>
    <row r="5872">
      <c r="B5872" s="25" t="n"/>
      <c r="I5872" s="25" t="n"/>
      <c r="U5872" s="19">
        <f>IF($V5872&lt;&gt;'設定'!$C$4,N(U5871),IF(OR(NOT(COUNTIF('商品マスタ'!$B$6:$B$1005,$W5872)=0),COUNTIFS('①在庫を貼る'!$V$6:$V$10005,$V5872,'①在庫を貼る'!$W$6:$W$10005,$W5872)&gt;0),N(U5871),N(U5871)+1))</f>
        <v/>
      </c>
      <c r="V5872" s="19">
        <f>IF($B5872="","",TEXT($B5872,"0000"))</f>
        <v/>
      </c>
      <c r="W5872" s="19">
        <f>IF($I5872="","",IF(ISNUMBER($I5872),TEXT($I5872,"0"),$I5872))</f>
        <v/>
      </c>
    </row>
    <row r="5873">
      <c r="B5873" s="25" t="n"/>
      <c r="I5873" s="25" t="n"/>
      <c r="U5873" s="19">
        <f>IF($V5873&lt;&gt;'設定'!$C$4,N(U5872),IF(OR(NOT(COUNTIF('商品マスタ'!$B$6:$B$1005,$W5873)=0),COUNTIFS('①在庫を貼る'!$V$6:$V$10005,$V5873,'①在庫を貼る'!$W$6:$W$10005,$W5873)&gt;0),N(U5872),N(U5872)+1))</f>
        <v/>
      </c>
      <c r="V5873" s="19">
        <f>IF($B5873="","",TEXT($B5873,"0000"))</f>
        <v/>
      </c>
      <c r="W5873" s="19">
        <f>IF($I5873="","",IF(ISNUMBER($I5873),TEXT($I5873,"0"),$I5873))</f>
        <v/>
      </c>
    </row>
    <row r="5874">
      <c r="B5874" s="25" t="n"/>
      <c r="I5874" s="25" t="n"/>
      <c r="U5874" s="19">
        <f>IF($V5874&lt;&gt;'設定'!$C$4,N(U5873),IF(OR(NOT(COUNTIF('商品マスタ'!$B$6:$B$1005,$W5874)=0),COUNTIFS('①在庫を貼る'!$V$6:$V$10005,$V5874,'①在庫を貼る'!$W$6:$W$10005,$W5874)&gt;0),N(U5873),N(U5873)+1))</f>
        <v/>
      </c>
      <c r="V5874" s="19">
        <f>IF($B5874="","",TEXT($B5874,"0000"))</f>
        <v/>
      </c>
      <c r="W5874" s="19">
        <f>IF($I5874="","",IF(ISNUMBER($I5874),TEXT($I5874,"0"),$I5874))</f>
        <v/>
      </c>
    </row>
    <row r="5875">
      <c r="B5875" s="25" t="n"/>
      <c r="I5875" s="25" t="n"/>
      <c r="U5875" s="19">
        <f>IF($V5875&lt;&gt;'設定'!$C$4,N(U5874),IF(OR(NOT(COUNTIF('商品マスタ'!$B$6:$B$1005,$W5875)=0),COUNTIFS('①在庫を貼る'!$V$6:$V$10005,$V5875,'①在庫を貼る'!$W$6:$W$10005,$W5875)&gt;0),N(U5874),N(U5874)+1))</f>
        <v/>
      </c>
      <c r="V5875" s="19">
        <f>IF($B5875="","",TEXT($B5875,"0000"))</f>
        <v/>
      </c>
      <c r="W5875" s="19">
        <f>IF($I5875="","",IF(ISNUMBER($I5875),TEXT($I5875,"0"),$I5875))</f>
        <v/>
      </c>
    </row>
    <row r="5876">
      <c r="B5876" s="25" t="n"/>
      <c r="I5876" s="25" t="n"/>
      <c r="U5876" s="19">
        <f>IF($V5876&lt;&gt;'設定'!$C$4,N(U5875),IF(OR(NOT(COUNTIF('商品マスタ'!$B$6:$B$1005,$W5876)=0),COUNTIFS('①在庫を貼る'!$V$6:$V$10005,$V5876,'①在庫を貼る'!$W$6:$W$10005,$W5876)&gt;0),N(U5875),N(U5875)+1))</f>
        <v/>
      </c>
      <c r="V5876" s="19">
        <f>IF($B5876="","",TEXT($B5876,"0000"))</f>
        <v/>
      </c>
      <c r="W5876" s="19">
        <f>IF($I5876="","",IF(ISNUMBER($I5876),TEXT($I5876,"0"),$I5876))</f>
        <v/>
      </c>
    </row>
    <row r="5877">
      <c r="B5877" s="25" t="n"/>
      <c r="I5877" s="25" t="n"/>
      <c r="U5877" s="19">
        <f>IF($V5877&lt;&gt;'設定'!$C$4,N(U5876),IF(OR(NOT(COUNTIF('商品マスタ'!$B$6:$B$1005,$W5877)=0),COUNTIFS('①在庫を貼る'!$V$6:$V$10005,$V5877,'①在庫を貼る'!$W$6:$W$10005,$W5877)&gt;0),N(U5876),N(U5876)+1))</f>
        <v/>
      </c>
      <c r="V5877" s="19">
        <f>IF($B5877="","",TEXT($B5877,"0000"))</f>
        <v/>
      </c>
      <c r="W5877" s="19">
        <f>IF($I5877="","",IF(ISNUMBER($I5877),TEXT($I5877,"0"),$I5877))</f>
        <v/>
      </c>
    </row>
    <row r="5878">
      <c r="B5878" s="25" t="n"/>
      <c r="I5878" s="25" t="n"/>
      <c r="U5878" s="19">
        <f>IF($V5878&lt;&gt;'設定'!$C$4,N(U5877),IF(OR(NOT(COUNTIF('商品マスタ'!$B$6:$B$1005,$W5878)=0),COUNTIFS('①在庫を貼る'!$V$6:$V$10005,$V5878,'①在庫を貼る'!$W$6:$W$10005,$W5878)&gt;0),N(U5877),N(U5877)+1))</f>
        <v/>
      </c>
      <c r="V5878" s="19">
        <f>IF($B5878="","",TEXT($B5878,"0000"))</f>
        <v/>
      </c>
      <c r="W5878" s="19">
        <f>IF($I5878="","",IF(ISNUMBER($I5878),TEXT($I5878,"0"),$I5878))</f>
        <v/>
      </c>
    </row>
    <row r="5879">
      <c r="B5879" s="25" t="n"/>
      <c r="I5879" s="25" t="n"/>
      <c r="U5879" s="19">
        <f>IF($V5879&lt;&gt;'設定'!$C$4,N(U5878),IF(OR(NOT(COUNTIF('商品マスタ'!$B$6:$B$1005,$W5879)=0),COUNTIFS('①在庫を貼る'!$V$6:$V$10005,$V5879,'①在庫を貼る'!$W$6:$W$10005,$W5879)&gt;0),N(U5878),N(U5878)+1))</f>
        <v/>
      </c>
      <c r="V5879" s="19">
        <f>IF($B5879="","",TEXT($B5879,"0000"))</f>
        <v/>
      </c>
      <c r="W5879" s="19">
        <f>IF($I5879="","",IF(ISNUMBER($I5879),TEXT($I5879,"0"),$I5879))</f>
        <v/>
      </c>
    </row>
    <row r="5880">
      <c r="B5880" s="25" t="n"/>
      <c r="I5880" s="25" t="n"/>
      <c r="U5880" s="19">
        <f>IF($V5880&lt;&gt;'設定'!$C$4,N(U5879),IF(OR(NOT(COUNTIF('商品マスタ'!$B$6:$B$1005,$W5880)=0),COUNTIFS('①在庫を貼る'!$V$6:$V$10005,$V5880,'①在庫を貼る'!$W$6:$W$10005,$W5880)&gt;0),N(U5879),N(U5879)+1))</f>
        <v/>
      </c>
      <c r="V5880" s="19">
        <f>IF($B5880="","",TEXT($B5880,"0000"))</f>
        <v/>
      </c>
      <c r="W5880" s="19">
        <f>IF($I5880="","",IF(ISNUMBER($I5880),TEXT($I5880,"0"),$I5880))</f>
        <v/>
      </c>
    </row>
    <row r="5881">
      <c r="B5881" s="25" t="n"/>
      <c r="I5881" s="25" t="n"/>
      <c r="U5881" s="19">
        <f>IF($V5881&lt;&gt;'設定'!$C$4,N(U5880),IF(OR(NOT(COUNTIF('商品マスタ'!$B$6:$B$1005,$W5881)=0),COUNTIFS('①在庫を貼る'!$V$6:$V$10005,$V5881,'①在庫を貼る'!$W$6:$W$10005,$W5881)&gt;0),N(U5880),N(U5880)+1))</f>
        <v/>
      </c>
      <c r="V5881" s="19">
        <f>IF($B5881="","",TEXT($B5881,"0000"))</f>
        <v/>
      </c>
      <c r="W5881" s="19">
        <f>IF($I5881="","",IF(ISNUMBER($I5881),TEXT($I5881,"0"),$I5881))</f>
        <v/>
      </c>
    </row>
    <row r="5882">
      <c r="B5882" s="25" t="n"/>
      <c r="I5882" s="25" t="n"/>
      <c r="U5882" s="19">
        <f>IF($V5882&lt;&gt;'設定'!$C$4,N(U5881),IF(OR(NOT(COUNTIF('商品マスタ'!$B$6:$B$1005,$W5882)=0),COUNTIFS('①在庫を貼る'!$V$6:$V$10005,$V5882,'①在庫を貼る'!$W$6:$W$10005,$W5882)&gt;0),N(U5881),N(U5881)+1))</f>
        <v/>
      </c>
      <c r="V5882" s="19">
        <f>IF($B5882="","",TEXT($B5882,"0000"))</f>
        <v/>
      </c>
      <c r="W5882" s="19">
        <f>IF($I5882="","",IF(ISNUMBER($I5882),TEXT($I5882,"0"),$I5882))</f>
        <v/>
      </c>
    </row>
    <row r="5883">
      <c r="B5883" s="25" t="n"/>
      <c r="I5883" s="25" t="n"/>
      <c r="U5883" s="19">
        <f>IF($V5883&lt;&gt;'設定'!$C$4,N(U5882),IF(OR(NOT(COUNTIF('商品マスタ'!$B$6:$B$1005,$W5883)=0),COUNTIFS('①在庫を貼る'!$V$6:$V$10005,$V5883,'①在庫を貼る'!$W$6:$W$10005,$W5883)&gt;0),N(U5882),N(U5882)+1))</f>
        <v/>
      </c>
      <c r="V5883" s="19">
        <f>IF($B5883="","",TEXT($B5883,"0000"))</f>
        <v/>
      </c>
      <c r="W5883" s="19">
        <f>IF($I5883="","",IF(ISNUMBER($I5883),TEXT($I5883,"0"),$I5883))</f>
        <v/>
      </c>
    </row>
    <row r="5884">
      <c r="B5884" s="25" t="n"/>
      <c r="I5884" s="25" t="n"/>
      <c r="U5884" s="19">
        <f>IF($V5884&lt;&gt;'設定'!$C$4,N(U5883),IF(OR(NOT(COUNTIF('商品マスタ'!$B$6:$B$1005,$W5884)=0),COUNTIFS('①在庫を貼る'!$V$6:$V$10005,$V5884,'①在庫を貼る'!$W$6:$W$10005,$W5884)&gt;0),N(U5883),N(U5883)+1))</f>
        <v/>
      </c>
      <c r="V5884" s="19">
        <f>IF($B5884="","",TEXT($B5884,"0000"))</f>
        <v/>
      </c>
      <c r="W5884" s="19">
        <f>IF($I5884="","",IF(ISNUMBER($I5884),TEXT($I5884,"0"),$I5884))</f>
        <v/>
      </c>
    </row>
    <row r="5885">
      <c r="B5885" s="25" t="n"/>
      <c r="I5885" s="25" t="n"/>
      <c r="U5885" s="19">
        <f>IF($V5885&lt;&gt;'設定'!$C$4,N(U5884),IF(OR(NOT(COUNTIF('商品マスタ'!$B$6:$B$1005,$W5885)=0),COUNTIFS('①在庫を貼る'!$V$6:$V$10005,$V5885,'①在庫を貼る'!$W$6:$W$10005,$W5885)&gt;0),N(U5884),N(U5884)+1))</f>
        <v/>
      </c>
      <c r="V5885" s="19">
        <f>IF($B5885="","",TEXT($B5885,"0000"))</f>
        <v/>
      </c>
      <c r="W5885" s="19">
        <f>IF($I5885="","",IF(ISNUMBER($I5885),TEXT($I5885,"0"),$I5885))</f>
        <v/>
      </c>
    </row>
    <row r="5886">
      <c r="B5886" s="25" t="n"/>
      <c r="I5886" s="25" t="n"/>
      <c r="U5886" s="19">
        <f>IF($V5886&lt;&gt;'設定'!$C$4,N(U5885),IF(OR(NOT(COUNTIF('商品マスタ'!$B$6:$B$1005,$W5886)=0),COUNTIFS('①在庫を貼る'!$V$6:$V$10005,$V5886,'①在庫を貼る'!$W$6:$W$10005,$W5886)&gt;0),N(U5885),N(U5885)+1))</f>
        <v/>
      </c>
      <c r="V5886" s="19">
        <f>IF($B5886="","",TEXT($B5886,"0000"))</f>
        <v/>
      </c>
      <c r="W5886" s="19">
        <f>IF($I5886="","",IF(ISNUMBER($I5886),TEXT($I5886,"0"),$I5886))</f>
        <v/>
      </c>
    </row>
    <row r="5887">
      <c r="B5887" s="25" t="n"/>
      <c r="I5887" s="25" t="n"/>
      <c r="U5887" s="19">
        <f>IF($V5887&lt;&gt;'設定'!$C$4,N(U5886),IF(OR(NOT(COUNTIF('商品マスタ'!$B$6:$B$1005,$W5887)=0),COUNTIFS('①在庫を貼る'!$V$6:$V$10005,$V5887,'①在庫を貼る'!$W$6:$W$10005,$W5887)&gt;0),N(U5886),N(U5886)+1))</f>
        <v/>
      </c>
      <c r="V5887" s="19">
        <f>IF($B5887="","",TEXT($B5887,"0000"))</f>
        <v/>
      </c>
      <c r="W5887" s="19">
        <f>IF($I5887="","",IF(ISNUMBER($I5887),TEXT($I5887,"0"),$I5887))</f>
        <v/>
      </c>
    </row>
    <row r="5888">
      <c r="B5888" s="25" t="n"/>
      <c r="I5888" s="25" t="n"/>
      <c r="U5888" s="19">
        <f>IF($V5888&lt;&gt;'設定'!$C$4,N(U5887),IF(OR(NOT(COUNTIF('商品マスタ'!$B$6:$B$1005,$W5888)=0),COUNTIFS('①在庫を貼る'!$V$6:$V$10005,$V5888,'①在庫を貼る'!$W$6:$W$10005,$W5888)&gt;0),N(U5887),N(U5887)+1))</f>
        <v/>
      </c>
      <c r="V5888" s="19">
        <f>IF($B5888="","",TEXT($B5888,"0000"))</f>
        <v/>
      </c>
      <c r="W5888" s="19">
        <f>IF($I5888="","",IF(ISNUMBER($I5888),TEXT($I5888,"0"),$I5888))</f>
        <v/>
      </c>
    </row>
    <row r="5889">
      <c r="B5889" s="25" t="n"/>
      <c r="I5889" s="25" t="n"/>
      <c r="U5889" s="19">
        <f>IF($V5889&lt;&gt;'設定'!$C$4,N(U5888),IF(OR(NOT(COUNTIF('商品マスタ'!$B$6:$B$1005,$W5889)=0),COUNTIFS('①在庫を貼る'!$V$6:$V$10005,$V5889,'①在庫を貼る'!$W$6:$W$10005,$W5889)&gt;0),N(U5888),N(U5888)+1))</f>
        <v/>
      </c>
      <c r="V5889" s="19">
        <f>IF($B5889="","",TEXT($B5889,"0000"))</f>
        <v/>
      </c>
      <c r="W5889" s="19">
        <f>IF($I5889="","",IF(ISNUMBER($I5889),TEXT($I5889,"0"),$I5889))</f>
        <v/>
      </c>
    </row>
    <row r="5890">
      <c r="B5890" s="25" t="n"/>
      <c r="I5890" s="25" t="n"/>
      <c r="U5890" s="19">
        <f>IF($V5890&lt;&gt;'設定'!$C$4,N(U5889),IF(OR(NOT(COUNTIF('商品マスタ'!$B$6:$B$1005,$W5890)=0),COUNTIFS('①在庫を貼る'!$V$6:$V$10005,$V5890,'①在庫を貼る'!$W$6:$W$10005,$W5890)&gt;0),N(U5889),N(U5889)+1))</f>
        <v/>
      </c>
      <c r="V5890" s="19">
        <f>IF($B5890="","",TEXT($B5890,"0000"))</f>
        <v/>
      </c>
      <c r="W5890" s="19">
        <f>IF($I5890="","",IF(ISNUMBER($I5890),TEXT($I5890,"0"),$I5890))</f>
        <v/>
      </c>
    </row>
    <row r="5891">
      <c r="B5891" s="25" t="n"/>
      <c r="I5891" s="25" t="n"/>
      <c r="U5891" s="19">
        <f>IF($V5891&lt;&gt;'設定'!$C$4,N(U5890),IF(OR(NOT(COUNTIF('商品マスタ'!$B$6:$B$1005,$W5891)=0),COUNTIFS('①在庫を貼る'!$V$6:$V$10005,$V5891,'①在庫を貼る'!$W$6:$W$10005,$W5891)&gt;0),N(U5890),N(U5890)+1))</f>
        <v/>
      </c>
      <c r="V5891" s="19">
        <f>IF($B5891="","",TEXT($B5891,"0000"))</f>
        <v/>
      </c>
      <c r="W5891" s="19">
        <f>IF($I5891="","",IF(ISNUMBER($I5891),TEXT($I5891,"0"),$I5891))</f>
        <v/>
      </c>
    </row>
    <row r="5892">
      <c r="B5892" s="25" t="n"/>
      <c r="I5892" s="25" t="n"/>
      <c r="U5892" s="19">
        <f>IF($V5892&lt;&gt;'設定'!$C$4,N(U5891),IF(OR(NOT(COUNTIF('商品マスタ'!$B$6:$B$1005,$W5892)=0),COUNTIFS('①在庫を貼る'!$V$6:$V$10005,$V5892,'①在庫を貼る'!$W$6:$W$10005,$W5892)&gt;0),N(U5891),N(U5891)+1))</f>
        <v/>
      </c>
      <c r="V5892" s="19">
        <f>IF($B5892="","",TEXT($B5892,"0000"))</f>
        <v/>
      </c>
      <c r="W5892" s="19">
        <f>IF($I5892="","",IF(ISNUMBER($I5892),TEXT($I5892,"0"),$I5892))</f>
        <v/>
      </c>
    </row>
    <row r="5893">
      <c r="B5893" s="25" t="n"/>
      <c r="I5893" s="25" t="n"/>
      <c r="U5893" s="19">
        <f>IF($V5893&lt;&gt;'設定'!$C$4,N(U5892),IF(OR(NOT(COUNTIF('商品マスタ'!$B$6:$B$1005,$W5893)=0),COUNTIFS('①在庫を貼る'!$V$6:$V$10005,$V5893,'①在庫を貼る'!$W$6:$W$10005,$W5893)&gt;0),N(U5892),N(U5892)+1))</f>
        <v/>
      </c>
      <c r="V5893" s="19">
        <f>IF($B5893="","",TEXT($B5893,"0000"))</f>
        <v/>
      </c>
      <c r="W5893" s="19">
        <f>IF($I5893="","",IF(ISNUMBER($I5893),TEXT($I5893,"0"),$I5893))</f>
        <v/>
      </c>
    </row>
    <row r="5894">
      <c r="B5894" s="25" t="n"/>
      <c r="I5894" s="25" t="n"/>
      <c r="U5894" s="19">
        <f>IF($V5894&lt;&gt;'設定'!$C$4,N(U5893),IF(OR(NOT(COUNTIF('商品マスタ'!$B$6:$B$1005,$W5894)=0),COUNTIFS('①在庫を貼る'!$V$6:$V$10005,$V5894,'①在庫を貼る'!$W$6:$W$10005,$W5894)&gt;0),N(U5893),N(U5893)+1))</f>
        <v/>
      </c>
      <c r="V5894" s="19">
        <f>IF($B5894="","",TEXT($B5894,"0000"))</f>
        <v/>
      </c>
      <c r="W5894" s="19">
        <f>IF($I5894="","",IF(ISNUMBER($I5894),TEXT($I5894,"0"),$I5894))</f>
        <v/>
      </c>
    </row>
    <row r="5895">
      <c r="B5895" s="25" t="n"/>
      <c r="I5895" s="25" t="n"/>
      <c r="U5895" s="19">
        <f>IF($V5895&lt;&gt;'設定'!$C$4,N(U5894),IF(OR(NOT(COUNTIF('商品マスタ'!$B$6:$B$1005,$W5895)=0),COUNTIFS('①在庫を貼る'!$V$6:$V$10005,$V5895,'①在庫を貼る'!$W$6:$W$10005,$W5895)&gt;0),N(U5894),N(U5894)+1))</f>
        <v/>
      </c>
      <c r="V5895" s="19">
        <f>IF($B5895="","",TEXT($B5895,"0000"))</f>
        <v/>
      </c>
      <c r="W5895" s="19">
        <f>IF($I5895="","",IF(ISNUMBER($I5895),TEXT($I5895,"0"),$I5895))</f>
        <v/>
      </c>
    </row>
    <row r="5896">
      <c r="B5896" s="25" t="n"/>
      <c r="I5896" s="25" t="n"/>
      <c r="U5896" s="19">
        <f>IF($V5896&lt;&gt;'設定'!$C$4,N(U5895),IF(OR(NOT(COUNTIF('商品マスタ'!$B$6:$B$1005,$W5896)=0),COUNTIFS('①在庫を貼る'!$V$6:$V$10005,$V5896,'①在庫を貼る'!$W$6:$W$10005,$W5896)&gt;0),N(U5895),N(U5895)+1))</f>
        <v/>
      </c>
      <c r="V5896" s="19">
        <f>IF($B5896="","",TEXT($B5896,"0000"))</f>
        <v/>
      </c>
      <c r="W5896" s="19">
        <f>IF($I5896="","",IF(ISNUMBER($I5896),TEXT($I5896,"0"),$I5896))</f>
        <v/>
      </c>
    </row>
    <row r="5897">
      <c r="B5897" s="25" t="n"/>
      <c r="I5897" s="25" t="n"/>
      <c r="U5897" s="19">
        <f>IF($V5897&lt;&gt;'設定'!$C$4,N(U5896),IF(OR(NOT(COUNTIF('商品マスタ'!$B$6:$B$1005,$W5897)=0),COUNTIFS('①在庫を貼る'!$V$6:$V$10005,$V5897,'①在庫を貼る'!$W$6:$W$10005,$W5897)&gt;0),N(U5896),N(U5896)+1))</f>
        <v/>
      </c>
      <c r="V5897" s="19">
        <f>IF($B5897="","",TEXT($B5897,"0000"))</f>
        <v/>
      </c>
      <c r="W5897" s="19">
        <f>IF($I5897="","",IF(ISNUMBER($I5897),TEXT($I5897,"0"),$I5897))</f>
        <v/>
      </c>
    </row>
    <row r="5898">
      <c r="B5898" s="25" t="n"/>
      <c r="I5898" s="25" t="n"/>
      <c r="U5898" s="19">
        <f>IF($V5898&lt;&gt;'設定'!$C$4,N(U5897),IF(OR(NOT(COUNTIF('商品マスタ'!$B$6:$B$1005,$W5898)=0),COUNTIFS('①在庫を貼る'!$V$6:$V$10005,$V5898,'①在庫を貼る'!$W$6:$W$10005,$W5898)&gt;0),N(U5897),N(U5897)+1))</f>
        <v/>
      </c>
      <c r="V5898" s="19">
        <f>IF($B5898="","",TEXT($B5898,"0000"))</f>
        <v/>
      </c>
      <c r="W5898" s="19">
        <f>IF($I5898="","",IF(ISNUMBER($I5898),TEXT($I5898,"0"),$I5898))</f>
        <v/>
      </c>
    </row>
    <row r="5899">
      <c r="B5899" s="25" t="n"/>
      <c r="I5899" s="25" t="n"/>
      <c r="U5899" s="19">
        <f>IF($V5899&lt;&gt;'設定'!$C$4,N(U5898),IF(OR(NOT(COUNTIF('商品マスタ'!$B$6:$B$1005,$W5899)=0),COUNTIFS('①在庫を貼る'!$V$6:$V$10005,$V5899,'①在庫を貼る'!$W$6:$W$10005,$W5899)&gt;0),N(U5898),N(U5898)+1))</f>
        <v/>
      </c>
      <c r="V5899" s="19">
        <f>IF($B5899="","",TEXT($B5899,"0000"))</f>
        <v/>
      </c>
      <c r="W5899" s="19">
        <f>IF($I5899="","",IF(ISNUMBER($I5899),TEXT($I5899,"0"),$I5899))</f>
        <v/>
      </c>
    </row>
    <row r="5900">
      <c r="B5900" s="25" t="n"/>
      <c r="I5900" s="25" t="n"/>
      <c r="U5900" s="19">
        <f>IF($V5900&lt;&gt;'設定'!$C$4,N(U5899),IF(OR(NOT(COUNTIF('商品マスタ'!$B$6:$B$1005,$W5900)=0),COUNTIFS('①在庫を貼る'!$V$6:$V$10005,$V5900,'①在庫を貼る'!$W$6:$W$10005,$W5900)&gt;0),N(U5899),N(U5899)+1))</f>
        <v/>
      </c>
      <c r="V5900" s="19">
        <f>IF($B5900="","",TEXT($B5900,"0000"))</f>
        <v/>
      </c>
      <c r="W5900" s="19">
        <f>IF($I5900="","",IF(ISNUMBER($I5900),TEXT($I5900,"0"),$I5900))</f>
        <v/>
      </c>
    </row>
    <row r="5901">
      <c r="B5901" s="25" t="n"/>
      <c r="I5901" s="25" t="n"/>
      <c r="U5901" s="19">
        <f>IF($V5901&lt;&gt;'設定'!$C$4,N(U5900),IF(OR(NOT(COUNTIF('商品マスタ'!$B$6:$B$1005,$W5901)=0),COUNTIFS('①在庫を貼る'!$V$6:$V$10005,$V5901,'①在庫を貼る'!$W$6:$W$10005,$W5901)&gt;0),N(U5900),N(U5900)+1))</f>
        <v/>
      </c>
      <c r="V5901" s="19">
        <f>IF($B5901="","",TEXT($B5901,"0000"))</f>
        <v/>
      </c>
      <c r="W5901" s="19">
        <f>IF($I5901="","",IF(ISNUMBER($I5901),TEXT($I5901,"0"),$I5901))</f>
        <v/>
      </c>
    </row>
    <row r="5902">
      <c r="B5902" s="25" t="n"/>
      <c r="I5902" s="25" t="n"/>
      <c r="U5902" s="19">
        <f>IF($V5902&lt;&gt;'設定'!$C$4,N(U5901),IF(OR(NOT(COUNTIF('商品マスタ'!$B$6:$B$1005,$W5902)=0),COUNTIFS('①在庫を貼る'!$V$6:$V$10005,$V5902,'①在庫を貼る'!$W$6:$W$10005,$W5902)&gt;0),N(U5901),N(U5901)+1))</f>
        <v/>
      </c>
      <c r="V5902" s="19">
        <f>IF($B5902="","",TEXT($B5902,"0000"))</f>
        <v/>
      </c>
      <c r="W5902" s="19">
        <f>IF($I5902="","",IF(ISNUMBER($I5902),TEXT($I5902,"0"),$I5902))</f>
        <v/>
      </c>
    </row>
    <row r="5903">
      <c r="B5903" s="25" t="n"/>
      <c r="I5903" s="25" t="n"/>
      <c r="U5903" s="19">
        <f>IF($V5903&lt;&gt;'設定'!$C$4,N(U5902),IF(OR(NOT(COUNTIF('商品マスタ'!$B$6:$B$1005,$W5903)=0),COUNTIFS('①在庫を貼る'!$V$6:$V$10005,$V5903,'①在庫を貼る'!$W$6:$W$10005,$W5903)&gt;0),N(U5902),N(U5902)+1))</f>
        <v/>
      </c>
      <c r="V5903" s="19">
        <f>IF($B5903="","",TEXT($B5903,"0000"))</f>
        <v/>
      </c>
      <c r="W5903" s="19">
        <f>IF($I5903="","",IF(ISNUMBER($I5903),TEXT($I5903,"0"),$I5903))</f>
        <v/>
      </c>
    </row>
    <row r="5904">
      <c r="B5904" s="25" t="n"/>
      <c r="I5904" s="25" t="n"/>
      <c r="U5904" s="19">
        <f>IF($V5904&lt;&gt;'設定'!$C$4,N(U5903),IF(OR(NOT(COUNTIF('商品マスタ'!$B$6:$B$1005,$W5904)=0),COUNTIFS('①在庫を貼る'!$V$6:$V$10005,$V5904,'①在庫を貼る'!$W$6:$W$10005,$W5904)&gt;0),N(U5903),N(U5903)+1))</f>
        <v/>
      </c>
      <c r="V5904" s="19">
        <f>IF($B5904="","",TEXT($B5904,"0000"))</f>
        <v/>
      </c>
      <c r="W5904" s="19">
        <f>IF($I5904="","",IF(ISNUMBER($I5904),TEXT($I5904,"0"),$I5904))</f>
        <v/>
      </c>
    </row>
    <row r="5905">
      <c r="B5905" s="25" t="n"/>
      <c r="I5905" s="25" t="n"/>
      <c r="U5905" s="19">
        <f>IF($V5905&lt;&gt;'設定'!$C$4,N(U5904),IF(OR(NOT(COUNTIF('商品マスタ'!$B$6:$B$1005,$W5905)=0),COUNTIFS('①在庫を貼る'!$V$6:$V$10005,$V5905,'①在庫を貼る'!$W$6:$W$10005,$W5905)&gt;0),N(U5904),N(U5904)+1))</f>
        <v/>
      </c>
      <c r="V5905" s="19">
        <f>IF($B5905="","",TEXT($B5905,"0000"))</f>
        <v/>
      </c>
      <c r="W5905" s="19">
        <f>IF($I5905="","",IF(ISNUMBER($I5905),TEXT($I5905,"0"),$I5905))</f>
        <v/>
      </c>
    </row>
    <row r="5906">
      <c r="B5906" s="25" t="n"/>
      <c r="I5906" s="25" t="n"/>
      <c r="U5906" s="19">
        <f>IF($V5906&lt;&gt;'設定'!$C$4,N(U5905),IF(OR(NOT(COUNTIF('商品マスタ'!$B$6:$B$1005,$W5906)=0),COUNTIFS('①在庫を貼る'!$V$6:$V$10005,$V5906,'①在庫を貼る'!$W$6:$W$10005,$W5906)&gt;0),N(U5905),N(U5905)+1))</f>
        <v/>
      </c>
      <c r="V5906" s="19">
        <f>IF($B5906="","",TEXT($B5906,"0000"))</f>
        <v/>
      </c>
      <c r="W5906" s="19">
        <f>IF($I5906="","",IF(ISNUMBER($I5906),TEXT($I5906,"0"),$I5906))</f>
        <v/>
      </c>
    </row>
    <row r="5907">
      <c r="B5907" s="25" t="n"/>
      <c r="I5907" s="25" t="n"/>
      <c r="U5907" s="19">
        <f>IF($V5907&lt;&gt;'設定'!$C$4,N(U5906),IF(OR(NOT(COUNTIF('商品マスタ'!$B$6:$B$1005,$W5907)=0),COUNTIFS('①在庫を貼る'!$V$6:$V$10005,$V5907,'①在庫を貼る'!$W$6:$W$10005,$W5907)&gt;0),N(U5906),N(U5906)+1))</f>
        <v/>
      </c>
      <c r="V5907" s="19">
        <f>IF($B5907="","",TEXT($B5907,"0000"))</f>
        <v/>
      </c>
      <c r="W5907" s="19">
        <f>IF($I5907="","",IF(ISNUMBER($I5907),TEXT($I5907,"0"),$I5907))</f>
        <v/>
      </c>
    </row>
    <row r="5908">
      <c r="B5908" s="25" t="n"/>
      <c r="I5908" s="25" t="n"/>
      <c r="U5908" s="19">
        <f>IF($V5908&lt;&gt;'設定'!$C$4,N(U5907),IF(OR(NOT(COUNTIF('商品マスタ'!$B$6:$B$1005,$W5908)=0),COUNTIFS('①在庫を貼る'!$V$6:$V$10005,$V5908,'①在庫を貼る'!$W$6:$W$10005,$W5908)&gt;0),N(U5907),N(U5907)+1))</f>
        <v/>
      </c>
      <c r="V5908" s="19">
        <f>IF($B5908="","",TEXT($B5908,"0000"))</f>
        <v/>
      </c>
      <c r="W5908" s="19">
        <f>IF($I5908="","",IF(ISNUMBER($I5908),TEXT($I5908,"0"),$I5908))</f>
        <v/>
      </c>
    </row>
    <row r="5909">
      <c r="B5909" s="25" t="n"/>
      <c r="I5909" s="25" t="n"/>
      <c r="U5909" s="19">
        <f>IF($V5909&lt;&gt;'設定'!$C$4,N(U5908),IF(OR(NOT(COUNTIF('商品マスタ'!$B$6:$B$1005,$W5909)=0),COUNTIFS('①在庫を貼る'!$V$6:$V$10005,$V5909,'①在庫を貼る'!$W$6:$W$10005,$W5909)&gt;0),N(U5908),N(U5908)+1))</f>
        <v/>
      </c>
      <c r="V5909" s="19">
        <f>IF($B5909="","",TEXT($B5909,"0000"))</f>
        <v/>
      </c>
      <c r="W5909" s="19">
        <f>IF($I5909="","",IF(ISNUMBER($I5909),TEXT($I5909,"0"),$I5909))</f>
        <v/>
      </c>
    </row>
    <row r="5910">
      <c r="B5910" s="25" t="n"/>
      <c r="I5910" s="25" t="n"/>
      <c r="U5910" s="19">
        <f>IF($V5910&lt;&gt;'設定'!$C$4,N(U5909),IF(OR(NOT(COUNTIF('商品マスタ'!$B$6:$B$1005,$W5910)=0),COUNTIFS('①在庫を貼る'!$V$6:$V$10005,$V5910,'①在庫を貼る'!$W$6:$W$10005,$W5910)&gt;0),N(U5909),N(U5909)+1))</f>
        <v/>
      </c>
      <c r="V5910" s="19">
        <f>IF($B5910="","",TEXT($B5910,"0000"))</f>
        <v/>
      </c>
      <c r="W5910" s="19">
        <f>IF($I5910="","",IF(ISNUMBER($I5910),TEXT($I5910,"0"),$I5910))</f>
        <v/>
      </c>
    </row>
    <row r="5911">
      <c r="B5911" s="25" t="n"/>
      <c r="I5911" s="25" t="n"/>
      <c r="U5911" s="19">
        <f>IF($V5911&lt;&gt;'設定'!$C$4,N(U5910),IF(OR(NOT(COUNTIF('商品マスタ'!$B$6:$B$1005,$W5911)=0),COUNTIFS('①在庫を貼る'!$V$6:$V$10005,$V5911,'①在庫を貼る'!$W$6:$W$10005,$W5911)&gt;0),N(U5910),N(U5910)+1))</f>
        <v/>
      </c>
      <c r="V5911" s="19">
        <f>IF($B5911="","",TEXT($B5911,"0000"))</f>
        <v/>
      </c>
      <c r="W5911" s="19">
        <f>IF($I5911="","",IF(ISNUMBER($I5911),TEXT($I5911,"0"),$I5911))</f>
        <v/>
      </c>
    </row>
    <row r="5912">
      <c r="B5912" s="25" t="n"/>
      <c r="I5912" s="25" t="n"/>
      <c r="U5912" s="19">
        <f>IF($V5912&lt;&gt;'設定'!$C$4,N(U5911),IF(OR(NOT(COUNTIF('商品マスタ'!$B$6:$B$1005,$W5912)=0),COUNTIFS('①在庫を貼る'!$V$6:$V$10005,$V5912,'①在庫を貼る'!$W$6:$W$10005,$W5912)&gt;0),N(U5911),N(U5911)+1))</f>
        <v/>
      </c>
      <c r="V5912" s="19">
        <f>IF($B5912="","",TEXT($B5912,"0000"))</f>
        <v/>
      </c>
      <c r="W5912" s="19">
        <f>IF($I5912="","",IF(ISNUMBER($I5912),TEXT($I5912,"0"),$I5912))</f>
        <v/>
      </c>
    </row>
    <row r="5913">
      <c r="B5913" s="25" t="n"/>
      <c r="I5913" s="25" t="n"/>
      <c r="U5913" s="19">
        <f>IF($V5913&lt;&gt;'設定'!$C$4,N(U5912),IF(OR(NOT(COUNTIF('商品マスタ'!$B$6:$B$1005,$W5913)=0),COUNTIFS('①在庫を貼る'!$V$6:$V$10005,$V5913,'①在庫を貼る'!$W$6:$W$10005,$W5913)&gt;0),N(U5912),N(U5912)+1))</f>
        <v/>
      </c>
      <c r="V5913" s="19">
        <f>IF($B5913="","",TEXT($B5913,"0000"))</f>
        <v/>
      </c>
      <c r="W5913" s="19">
        <f>IF($I5913="","",IF(ISNUMBER($I5913),TEXT($I5913,"0"),$I5913))</f>
        <v/>
      </c>
    </row>
    <row r="5914">
      <c r="B5914" s="25" t="n"/>
      <c r="I5914" s="25" t="n"/>
      <c r="U5914" s="19">
        <f>IF($V5914&lt;&gt;'設定'!$C$4,N(U5913),IF(OR(NOT(COUNTIF('商品マスタ'!$B$6:$B$1005,$W5914)=0),COUNTIFS('①在庫を貼る'!$V$6:$V$10005,$V5914,'①在庫を貼る'!$W$6:$W$10005,$W5914)&gt;0),N(U5913),N(U5913)+1))</f>
        <v/>
      </c>
      <c r="V5914" s="19">
        <f>IF($B5914="","",TEXT($B5914,"0000"))</f>
        <v/>
      </c>
      <c r="W5914" s="19">
        <f>IF($I5914="","",IF(ISNUMBER($I5914),TEXT($I5914,"0"),$I5914))</f>
        <v/>
      </c>
    </row>
    <row r="5915">
      <c r="B5915" s="25" t="n"/>
      <c r="I5915" s="25" t="n"/>
      <c r="U5915" s="19">
        <f>IF($V5915&lt;&gt;'設定'!$C$4,N(U5914),IF(OR(NOT(COUNTIF('商品マスタ'!$B$6:$B$1005,$W5915)=0),COUNTIFS('①在庫を貼る'!$V$6:$V$10005,$V5915,'①在庫を貼る'!$W$6:$W$10005,$W5915)&gt;0),N(U5914),N(U5914)+1))</f>
        <v/>
      </c>
      <c r="V5915" s="19">
        <f>IF($B5915="","",TEXT($B5915,"0000"))</f>
        <v/>
      </c>
      <c r="W5915" s="19">
        <f>IF($I5915="","",IF(ISNUMBER($I5915),TEXT($I5915,"0"),$I5915))</f>
        <v/>
      </c>
    </row>
    <row r="5916">
      <c r="B5916" s="25" t="n"/>
      <c r="I5916" s="25" t="n"/>
      <c r="U5916" s="19">
        <f>IF($V5916&lt;&gt;'設定'!$C$4,N(U5915),IF(OR(NOT(COUNTIF('商品マスタ'!$B$6:$B$1005,$W5916)=0),COUNTIFS('①在庫を貼る'!$V$6:$V$10005,$V5916,'①在庫を貼る'!$W$6:$W$10005,$W5916)&gt;0),N(U5915),N(U5915)+1))</f>
        <v/>
      </c>
      <c r="V5916" s="19">
        <f>IF($B5916="","",TEXT($B5916,"0000"))</f>
        <v/>
      </c>
      <c r="W5916" s="19">
        <f>IF($I5916="","",IF(ISNUMBER($I5916),TEXT($I5916,"0"),$I5916))</f>
        <v/>
      </c>
    </row>
    <row r="5917">
      <c r="B5917" s="25" t="n"/>
      <c r="I5917" s="25" t="n"/>
      <c r="U5917" s="19">
        <f>IF($V5917&lt;&gt;'設定'!$C$4,N(U5916),IF(OR(NOT(COUNTIF('商品マスタ'!$B$6:$B$1005,$W5917)=0),COUNTIFS('①在庫を貼る'!$V$6:$V$10005,$V5917,'①在庫を貼る'!$W$6:$W$10005,$W5917)&gt;0),N(U5916),N(U5916)+1))</f>
        <v/>
      </c>
      <c r="V5917" s="19">
        <f>IF($B5917="","",TEXT($B5917,"0000"))</f>
        <v/>
      </c>
      <c r="W5917" s="19">
        <f>IF($I5917="","",IF(ISNUMBER($I5917),TEXT($I5917,"0"),$I5917))</f>
        <v/>
      </c>
    </row>
    <row r="5918">
      <c r="B5918" s="25" t="n"/>
      <c r="I5918" s="25" t="n"/>
      <c r="U5918" s="19">
        <f>IF($V5918&lt;&gt;'設定'!$C$4,N(U5917),IF(OR(NOT(COUNTIF('商品マスタ'!$B$6:$B$1005,$W5918)=0),COUNTIFS('①在庫を貼る'!$V$6:$V$10005,$V5918,'①在庫を貼る'!$W$6:$W$10005,$W5918)&gt;0),N(U5917),N(U5917)+1))</f>
        <v/>
      </c>
      <c r="V5918" s="19">
        <f>IF($B5918="","",TEXT($B5918,"0000"))</f>
        <v/>
      </c>
      <c r="W5918" s="19">
        <f>IF($I5918="","",IF(ISNUMBER($I5918),TEXT($I5918,"0"),$I5918))</f>
        <v/>
      </c>
    </row>
    <row r="5919">
      <c r="B5919" s="25" t="n"/>
      <c r="I5919" s="25" t="n"/>
      <c r="U5919" s="19">
        <f>IF($V5919&lt;&gt;'設定'!$C$4,N(U5918),IF(OR(NOT(COUNTIF('商品マスタ'!$B$6:$B$1005,$W5919)=0),COUNTIFS('①在庫を貼る'!$V$6:$V$10005,$V5919,'①在庫を貼る'!$W$6:$W$10005,$W5919)&gt;0),N(U5918),N(U5918)+1))</f>
        <v/>
      </c>
      <c r="V5919" s="19">
        <f>IF($B5919="","",TEXT($B5919,"0000"))</f>
        <v/>
      </c>
      <c r="W5919" s="19">
        <f>IF($I5919="","",IF(ISNUMBER($I5919),TEXT($I5919,"0"),$I5919))</f>
        <v/>
      </c>
    </row>
    <row r="5920">
      <c r="B5920" s="25" t="n"/>
      <c r="I5920" s="25" t="n"/>
      <c r="U5920" s="19">
        <f>IF($V5920&lt;&gt;'設定'!$C$4,N(U5919),IF(OR(NOT(COUNTIF('商品マスタ'!$B$6:$B$1005,$W5920)=0),COUNTIFS('①在庫を貼る'!$V$6:$V$10005,$V5920,'①在庫を貼る'!$W$6:$W$10005,$W5920)&gt;0),N(U5919),N(U5919)+1))</f>
        <v/>
      </c>
      <c r="V5920" s="19">
        <f>IF($B5920="","",TEXT($B5920,"0000"))</f>
        <v/>
      </c>
      <c r="W5920" s="19">
        <f>IF($I5920="","",IF(ISNUMBER($I5920),TEXT($I5920,"0"),$I5920))</f>
        <v/>
      </c>
    </row>
    <row r="5921">
      <c r="B5921" s="25" t="n"/>
      <c r="I5921" s="25" t="n"/>
      <c r="U5921" s="19">
        <f>IF($V5921&lt;&gt;'設定'!$C$4,N(U5920),IF(OR(NOT(COUNTIF('商品マスタ'!$B$6:$B$1005,$W5921)=0),COUNTIFS('①在庫を貼る'!$V$6:$V$10005,$V5921,'①在庫を貼る'!$W$6:$W$10005,$W5921)&gt;0),N(U5920),N(U5920)+1))</f>
        <v/>
      </c>
      <c r="V5921" s="19">
        <f>IF($B5921="","",TEXT($B5921,"0000"))</f>
        <v/>
      </c>
      <c r="W5921" s="19">
        <f>IF($I5921="","",IF(ISNUMBER($I5921),TEXT($I5921,"0"),$I5921))</f>
        <v/>
      </c>
    </row>
    <row r="5922">
      <c r="B5922" s="25" t="n"/>
      <c r="I5922" s="25" t="n"/>
      <c r="U5922" s="19">
        <f>IF($V5922&lt;&gt;'設定'!$C$4,N(U5921),IF(OR(NOT(COUNTIF('商品マスタ'!$B$6:$B$1005,$W5922)=0),COUNTIFS('①在庫を貼る'!$V$6:$V$10005,$V5922,'①在庫を貼る'!$W$6:$W$10005,$W5922)&gt;0),N(U5921),N(U5921)+1))</f>
        <v/>
      </c>
      <c r="V5922" s="19">
        <f>IF($B5922="","",TEXT($B5922,"0000"))</f>
        <v/>
      </c>
      <c r="W5922" s="19">
        <f>IF($I5922="","",IF(ISNUMBER($I5922),TEXT($I5922,"0"),$I5922))</f>
        <v/>
      </c>
    </row>
    <row r="5923">
      <c r="B5923" s="25" t="n"/>
      <c r="I5923" s="25" t="n"/>
      <c r="U5923" s="19">
        <f>IF($V5923&lt;&gt;'設定'!$C$4,N(U5922),IF(OR(NOT(COUNTIF('商品マスタ'!$B$6:$B$1005,$W5923)=0),COUNTIFS('①在庫を貼る'!$V$6:$V$10005,$V5923,'①在庫を貼る'!$W$6:$W$10005,$W5923)&gt;0),N(U5922),N(U5922)+1))</f>
        <v/>
      </c>
      <c r="V5923" s="19">
        <f>IF($B5923="","",TEXT($B5923,"0000"))</f>
        <v/>
      </c>
      <c r="W5923" s="19">
        <f>IF($I5923="","",IF(ISNUMBER($I5923),TEXT($I5923,"0"),$I5923))</f>
        <v/>
      </c>
    </row>
    <row r="5924">
      <c r="B5924" s="25" t="n"/>
      <c r="I5924" s="25" t="n"/>
      <c r="U5924" s="19">
        <f>IF($V5924&lt;&gt;'設定'!$C$4,N(U5923),IF(OR(NOT(COUNTIF('商品マスタ'!$B$6:$B$1005,$W5924)=0),COUNTIFS('①在庫を貼る'!$V$6:$V$10005,$V5924,'①在庫を貼る'!$W$6:$W$10005,$W5924)&gt;0),N(U5923),N(U5923)+1))</f>
        <v/>
      </c>
      <c r="V5924" s="19">
        <f>IF($B5924="","",TEXT($B5924,"0000"))</f>
        <v/>
      </c>
      <c r="W5924" s="19">
        <f>IF($I5924="","",IF(ISNUMBER($I5924),TEXT($I5924,"0"),$I5924))</f>
        <v/>
      </c>
    </row>
    <row r="5925">
      <c r="B5925" s="25" t="n"/>
      <c r="I5925" s="25" t="n"/>
      <c r="U5925" s="19">
        <f>IF($V5925&lt;&gt;'設定'!$C$4,N(U5924),IF(OR(NOT(COUNTIF('商品マスタ'!$B$6:$B$1005,$W5925)=0),COUNTIFS('①在庫を貼る'!$V$6:$V$10005,$V5925,'①在庫を貼る'!$W$6:$W$10005,$W5925)&gt;0),N(U5924),N(U5924)+1))</f>
        <v/>
      </c>
      <c r="V5925" s="19">
        <f>IF($B5925="","",TEXT($B5925,"0000"))</f>
        <v/>
      </c>
      <c r="W5925" s="19">
        <f>IF($I5925="","",IF(ISNUMBER($I5925),TEXT($I5925,"0"),$I5925))</f>
        <v/>
      </c>
    </row>
    <row r="5926">
      <c r="B5926" s="25" t="n"/>
      <c r="I5926" s="25" t="n"/>
      <c r="U5926" s="19">
        <f>IF($V5926&lt;&gt;'設定'!$C$4,N(U5925),IF(OR(NOT(COUNTIF('商品マスタ'!$B$6:$B$1005,$W5926)=0),COUNTIFS('①在庫を貼る'!$V$6:$V$10005,$V5926,'①在庫を貼る'!$W$6:$W$10005,$W5926)&gt;0),N(U5925),N(U5925)+1))</f>
        <v/>
      </c>
      <c r="V5926" s="19">
        <f>IF($B5926="","",TEXT($B5926,"0000"))</f>
        <v/>
      </c>
      <c r="W5926" s="19">
        <f>IF($I5926="","",IF(ISNUMBER($I5926),TEXT($I5926,"0"),$I5926))</f>
        <v/>
      </c>
    </row>
    <row r="5927">
      <c r="B5927" s="25" t="n"/>
      <c r="I5927" s="25" t="n"/>
      <c r="U5927" s="19">
        <f>IF($V5927&lt;&gt;'設定'!$C$4,N(U5926),IF(OR(NOT(COUNTIF('商品マスタ'!$B$6:$B$1005,$W5927)=0),COUNTIFS('①在庫を貼る'!$V$6:$V$10005,$V5927,'①在庫を貼る'!$W$6:$W$10005,$W5927)&gt;0),N(U5926),N(U5926)+1))</f>
        <v/>
      </c>
      <c r="V5927" s="19">
        <f>IF($B5927="","",TEXT($B5927,"0000"))</f>
        <v/>
      </c>
      <c r="W5927" s="19">
        <f>IF($I5927="","",IF(ISNUMBER($I5927),TEXT($I5927,"0"),$I5927))</f>
        <v/>
      </c>
    </row>
    <row r="5928">
      <c r="B5928" s="25" t="n"/>
      <c r="I5928" s="25" t="n"/>
      <c r="U5928" s="19">
        <f>IF($V5928&lt;&gt;'設定'!$C$4,N(U5927),IF(OR(NOT(COUNTIF('商品マスタ'!$B$6:$B$1005,$W5928)=0),COUNTIFS('①在庫を貼る'!$V$6:$V$10005,$V5928,'①在庫を貼る'!$W$6:$W$10005,$W5928)&gt;0),N(U5927),N(U5927)+1))</f>
        <v/>
      </c>
      <c r="V5928" s="19">
        <f>IF($B5928="","",TEXT($B5928,"0000"))</f>
        <v/>
      </c>
      <c r="W5928" s="19">
        <f>IF($I5928="","",IF(ISNUMBER($I5928),TEXT($I5928,"0"),$I5928))</f>
        <v/>
      </c>
    </row>
    <row r="5929">
      <c r="B5929" s="25" t="n"/>
      <c r="I5929" s="25" t="n"/>
      <c r="U5929" s="19">
        <f>IF($V5929&lt;&gt;'設定'!$C$4,N(U5928),IF(OR(NOT(COUNTIF('商品マスタ'!$B$6:$B$1005,$W5929)=0),COUNTIFS('①在庫を貼る'!$V$6:$V$10005,$V5929,'①在庫を貼る'!$W$6:$W$10005,$W5929)&gt;0),N(U5928),N(U5928)+1))</f>
        <v/>
      </c>
      <c r="V5929" s="19">
        <f>IF($B5929="","",TEXT($B5929,"0000"))</f>
        <v/>
      </c>
      <c r="W5929" s="19">
        <f>IF($I5929="","",IF(ISNUMBER($I5929),TEXT($I5929,"0"),$I5929))</f>
        <v/>
      </c>
    </row>
    <row r="5930">
      <c r="B5930" s="25" t="n"/>
      <c r="I5930" s="25" t="n"/>
      <c r="U5930" s="19">
        <f>IF($V5930&lt;&gt;'設定'!$C$4,N(U5929),IF(OR(NOT(COUNTIF('商品マスタ'!$B$6:$B$1005,$W5930)=0),COUNTIFS('①在庫を貼る'!$V$6:$V$10005,$V5930,'①在庫を貼る'!$W$6:$W$10005,$W5930)&gt;0),N(U5929),N(U5929)+1))</f>
        <v/>
      </c>
      <c r="V5930" s="19">
        <f>IF($B5930="","",TEXT($B5930,"0000"))</f>
        <v/>
      </c>
      <c r="W5930" s="19">
        <f>IF($I5930="","",IF(ISNUMBER($I5930),TEXT($I5930,"0"),$I5930))</f>
        <v/>
      </c>
    </row>
    <row r="5931">
      <c r="B5931" s="25" t="n"/>
      <c r="I5931" s="25" t="n"/>
      <c r="U5931" s="19">
        <f>IF($V5931&lt;&gt;'設定'!$C$4,N(U5930),IF(OR(NOT(COUNTIF('商品マスタ'!$B$6:$B$1005,$W5931)=0),COUNTIFS('①在庫を貼る'!$V$6:$V$10005,$V5931,'①在庫を貼る'!$W$6:$W$10005,$W5931)&gt;0),N(U5930),N(U5930)+1))</f>
        <v/>
      </c>
      <c r="V5931" s="19">
        <f>IF($B5931="","",TEXT($B5931,"0000"))</f>
        <v/>
      </c>
      <c r="W5931" s="19">
        <f>IF($I5931="","",IF(ISNUMBER($I5931),TEXT($I5931,"0"),$I5931))</f>
        <v/>
      </c>
    </row>
    <row r="5932">
      <c r="B5932" s="25" t="n"/>
      <c r="I5932" s="25" t="n"/>
      <c r="U5932" s="19">
        <f>IF($V5932&lt;&gt;'設定'!$C$4,N(U5931),IF(OR(NOT(COUNTIF('商品マスタ'!$B$6:$B$1005,$W5932)=0),COUNTIFS('①在庫を貼る'!$V$6:$V$10005,$V5932,'①在庫を貼る'!$W$6:$W$10005,$W5932)&gt;0),N(U5931),N(U5931)+1))</f>
        <v/>
      </c>
      <c r="V5932" s="19">
        <f>IF($B5932="","",TEXT($B5932,"0000"))</f>
        <v/>
      </c>
      <c r="W5932" s="19">
        <f>IF($I5932="","",IF(ISNUMBER($I5932),TEXT($I5932,"0"),$I5932))</f>
        <v/>
      </c>
    </row>
    <row r="5933">
      <c r="B5933" s="25" t="n"/>
      <c r="I5933" s="25" t="n"/>
      <c r="U5933" s="19">
        <f>IF($V5933&lt;&gt;'設定'!$C$4,N(U5932),IF(OR(NOT(COUNTIF('商品マスタ'!$B$6:$B$1005,$W5933)=0),COUNTIFS('①在庫を貼る'!$V$6:$V$10005,$V5933,'①在庫を貼る'!$W$6:$W$10005,$W5933)&gt;0),N(U5932),N(U5932)+1))</f>
        <v/>
      </c>
      <c r="V5933" s="19">
        <f>IF($B5933="","",TEXT($B5933,"0000"))</f>
        <v/>
      </c>
      <c r="W5933" s="19">
        <f>IF($I5933="","",IF(ISNUMBER($I5933),TEXT($I5933,"0"),$I5933))</f>
        <v/>
      </c>
    </row>
    <row r="5934">
      <c r="B5934" s="25" t="n"/>
      <c r="I5934" s="25" t="n"/>
      <c r="U5934" s="19">
        <f>IF($V5934&lt;&gt;'設定'!$C$4,N(U5933),IF(OR(NOT(COUNTIF('商品マスタ'!$B$6:$B$1005,$W5934)=0),COUNTIFS('①在庫を貼る'!$V$6:$V$10005,$V5934,'①在庫を貼る'!$W$6:$W$10005,$W5934)&gt;0),N(U5933),N(U5933)+1))</f>
        <v/>
      </c>
      <c r="V5934" s="19">
        <f>IF($B5934="","",TEXT($B5934,"0000"))</f>
        <v/>
      </c>
      <c r="W5934" s="19">
        <f>IF($I5934="","",IF(ISNUMBER($I5934),TEXT($I5934,"0"),$I5934))</f>
        <v/>
      </c>
    </row>
    <row r="5935">
      <c r="B5935" s="25" t="n"/>
      <c r="I5935" s="25" t="n"/>
      <c r="U5935" s="19">
        <f>IF($V5935&lt;&gt;'設定'!$C$4,N(U5934),IF(OR(NOT(COUNTIF('商品マスタ'!$B$6:$B$1005,$W5935)=0),COUNTIFS('①在庫を貼る'!$V$6:$V$10005,$V5935,'①在庫を貼る'!$W$6:$W$10005,$W5935)&gt;0),N(U5934),N(U5934)+1))</f>
        <v/>
      </c>
      <c r="V5935" s="19">
        <f>IF($B5935="","",TEXT($B5935,"0000"))</f>
        <v/>
      </c>
      <c r="W5935" s="19">
        <f>IF($I5935="","",IF(ISNUMBER($I5935),TEXT($I5935,"0"),$I5935))</f>
        <v/>
      </c>
    </row>
    <row r="5936">
      <c r="B5936" s="25" t="n"/>
      <c r="I5936" s="25" t="n"/>
      <c r="U5936" s="19">
        <f>IF($V5936&lt;&gt;'設定'!$C$4,N(U5935),IF(OR(NOT(COUNTIF('商品マスタ'!$B$6:$B$1005,$W5936)=0),COUNTIFS('①在庫を貼る'!$V$6:$V$10005,$V5936,'①在庫を貼る'!$W$6:$W$10005,$W5936)&gt;0),N(U5935),N(U5935)+1))</f>
        <v/>
      </c>
      <c r="V5936" s="19">
        <f>IF($B5936="","",TEXT($B5936,"0000"))</f>
        <v/>
      </c>
      <c r="W5936" s="19">
        <f>IF($I5936="","",IF(ISNUMBER($I5936),TEXT($I5936,"0"),$I5936))</f>
        <v/>
      </c>
    </row>
    <row r="5937">
      <c r="B5937" s="25" t="n"/>
      <c r="I5937" s="25" t="n"/>
      <c r="U5937" s="19">
        <f>IF($V5937&lt;&gt;'設定'!$C$4,N(U5936),IF(OR(NOT(COUNTIF('商品マスタ'!$B$6:$B$1005,$W5937)=0),COUNTIFS('①在庫を貼る'!$V$6:$V$10005,$V5937,'①在庫を貼る'!$W$6:$W$10005,$W5937)&gt;0),N(U5936),N(U5936)+1))</f>
        <v/>
      </c>
      <c r="V5937" s="19">
        <f>IF($B5937="","",TEXT($B5937,"0000"))</f>
        <v/>
      </c>
      <c r="W5937" s="19">
        <f>IF($I5937="","",IF(ISNUMBER($I5937),TEXT($I5937,"0"),$I5937))</f>
        <v/>
      </c>
    </row>
    <row r="5938">
      <c r="B5938" s="25" t="n"/>
      <c r="I5938" s="25" t="n"/>
      <c r="U5938" s="19">
        <f>IF($V5938&lt;&gt;'設定'!$C$4,N(U5937),IF(OR(NOT(COUNTIF('商品マスタ'!$B$6:$B$1005,$W5938)=0),COUNTIFS('①在庫を貼る'!$V$6:$V$10005,$V5938,'①在庫を貼る'!$W$6:$W$10005,$W5938)&gt;0),N(U5937),N(U5937)+1))</f>
        <v/>
      </c>
      <c r="V5938" s="19">
        <f>IF($B5938="","",TEXT($B5938,"0000"))</f>
        <v/>
      </c>
      <c r="W5938" s="19">
        <f>IF($I5938="","",IF(ISNUMBER($I5938),TEXT($I5938,"0"),$I5938))</f>
        <v/>
      </c>
    </row>
    <row r="5939">
      <c r="B5939" s="25" t="n"/>
      <c r="I5939" s="25" t="n"/>
      <c r="U5939" s="19">
        <f>IF($V5939&lt;&gt;'設定'!$C$4,N(U5938),IF(OR(NOT(COUNTIF('商品マスタ'!$B$6:$B$1005,$W5939)=0),COUNTIFS('①在庫を貼る'!$V$6:$V$10005,$V5939,'①在庫を貼る'!$W$6:$W$10005,$W5939)&gt;0),N(U5938),N(U5938)+1))</f>
        <v/>
      </c>
      <c r="V5939" s="19">
        <f>IF($B5939="","",TEXT($B5939,"0000"))</f>
        <v/>
      </c>
      <c r="W5939" s="19">
        <f>IF($I5939="","",IF(ISNUMBER($I5939),TEXT($I5939,"0"),$I5939))</f>
        <v/>
      </c>
    </row>
    <row r="5940">
      <c r="B5940" s="25" t="n"/>
      <c r="I5940" s="25" t="n"/>
      <c r="U5940" s="19">
        <f>IF($V5940&lt;&gt;'設定'!$C$4,N(U5939),IF(OR(NOT(COUNTIF('商品マスタ'!$B$6:$B$1005,$W5940)=0),COUNTIFS('①在庫を貼る'!$V$6:$V$10005,$V5940,'①在庫を貼る'!$W$6:$W$10005,$W5940)&gt;0),N(U5939),N(U5939)+1))</f>
        <v/>
      </c>
      <c r="V5940" s="19">
        <f>IF($B5940="","",TEXT($B5940,"0000"))</f>
        <v/>
      </c>
      <c r="W5940" s="19">
        <f>IF($I5940="","",IF(ISNUMBER($I5940),TEXT($I5940,"0"),$I5940))</f>
        <v/>
      </c>
    </row>
    <row r="5941">
      <c r="B5941" s="25" t="n"/>
      <c r="I5941" s="25" t="n"/>
      <c r="U5941" s="19">
        <f>IF($V5941&lt;&gt;'設定'!$C$4,N(U5940),IF(OR(NOT(COUNTIF('商品マスタ'!$B$6:$B$1005,$W5941)=0),COUNTIFS('①在庫を貼る'!$V$6:$V$10005,$V5941,'①在庫を貼る'!$W$6:$W$10005,$W5941)&gt;0),N(U5940),N(U5940)+1))</f>
        <v/>
      </c>
      <c r="V5941" s="19">
        <f>IF($B5941="","",TEXT($B5941,"0000"))</f>
        <v/>
      </c>
      <c r="W5941" s="19">
        <f>IF($I5941="","",IF(ISNUMBER($I5941),TEXT($I5941,"0"),$I5941))</f>
        <v/>
      </c>
    </row>
    <row r="5942">
      <c r="B5942" s="25" t="n"/>
      <c r="I5942" s="25" t="n"/>
      <c r="U5942" s="19">
        <f>IF($V5942&lt;&gt;'設定'!$C$4,N(U5941),IF(OR(NOT(COUNTIF('商品マスタ'!$B$6:$B$1005,$W5942)=0),COUNTIFS('①在庫を貼る'!$V$6:$V$10005,$V5942,'①在庫を貼る'!$W$6:$W$10005,$W5942)&gt;0),N(U5941),N(U5941)+1))</f>
        <v/>
      </c>
      <c r="V5942" s="19">
        <f>IF($B5942="","",TEXT($B5942,"0000"))</f>
        <v/>
      </c>
      <c r="W5942" s="19">
        <f>IF($I5942="","",IF(ISNUMBER($I5942),TEXT($I5942,"0"),$I5942))</f>
        <v/>
      </c>
    </row>
    <row r="5943">
      <c r="B5943" s="25" t="n"/>
      <c r="I5943" s="25" t="n"/>
      <c r="U5943" s="19">
        <f>IF($V5943&lt;&gt;'設定'!$C$4,N(U5942),IF(OR(NOT(COUNTIF('商品マスタ'!$B$6:$B$1005,$W5943)=0),COUNTIFS('①在庫を貼る'!$V$6:$V$10005,$V5943,'①在庫を貼る'!$W$6:$W$10005,$W5943)&gt;0),N(U5942),N(U5942)+1))</f>
        <v/>
      </c>
      <c r="V5943" s="19">
        <f>IF($B5943="","",TEXT($B5943,"0000"))</f>
        <v/>
      </c>
      <c r="W5943" s="19">
        <f>IF($I5943="","",IF(ISNUMBER($I5943),TEXT($I5943,"0"),$I5943))</f>
        <v/>
      </c>
    </row>
    <row r="5944">
      <c r="B5944" s="25" t="n"/>
      <c r="I5944" s="25" t="n"/>
      <c r="U5944" s="19">
        <f>IF($V5944&lt;&gt;'設定'!$C$4,N(U5943),IF(OR(NOT(COUNTIF('商品マスタ'!$B$6:$B$1005,$W5944)=0),COUNTIFS('①在庫を貼る'!$V$6:$V$10005,$V5944,'①在庫を貼る'!$W$6:$W$10005,$W5944)&gt;0),N(U5943),N(U5943)+1))</f>
        <v/>
      </c>
      <c r="V5944" s="19">
        <f>IF($B5944="","",TEXT($B5944,"0000"))</f>
        <v/>
      </c>
      <c r="W5944" s="19">
        <f>IF($I5944="","",IF(ISNUMBER($I5944),TEXT($I5944,"0"),$I5944))</f>
        <v/>
      </c>
    </row>
    <row r="5945">
      <c r="B5945" s="25" t="n"/>
      <c r="I5945" s="25" t="n"/>
      <c r="U5945" s="19">
        <f>IF($V5945&lt;&gt;'設定'!$C$4,N(U5944),IF(OR(NOT(COUNTIF('商品マスタ'!$B$6:$B$1005,$W5945)=0),COUNTIFS('①在庫を貼る'!$V$6:$V$10005,$V5945,'①在庫を貼る'!$W$6:$W$10005,$W5945)&gt;0),N(U5944),N(U5944)+1))</f>
        <v/>
      </c>
      <c r="V5945" s="19">
        <f>IF($B5945="","",TEXT($B5945,"0000"))</f>
        <v/>
      </c>
      <c r="W5945" s="19">
        <f>IF($I5945="","",IF(ISNUMBER($I5945),TEXT($I5945,"0"),$I5945))</f>
        <v/>
      </c>
    </row>
    <row r="5946">
      <c r="B5946" s="25" t="n"/>
      <c r="I5946" s="25" t="n"/>
      <c r="U5946" s="19">
        <f>IF($V5946&lt;&gt;'設定'!$C$4,N(U5945),IF(OR(NOT(COUNTIF('商品マスタ'!$B$6:$B$1005,$W5946)=0),COUNTIFS('①在庫を貼る'!$V$6:$V$10005,$V5946,'①在庫を貼る'!$W$6:$W$10005,$W5946)&gt;0),N(U5945),N(U5945)+1))</f>
        <v/>
      </c>
      <c r="V5946" s="19">
        <f>IF($B5946="","",TEXT($B5946,"0000"))</f>
        <v/>
      </c>
      <c r="W5946" s="19">
        <f>IF($I5946="","",IF(ISNUMBER($I5946),TEXT($I5946,"0"),$I5946))</f>
        <v/>
      </c>
    </row>
    <row r="5947">
      <c r="B5947" s="25" t="n"/>
      <c r="I5947" s="25" t="n"/>
      <c r="U5947" s="19">
        <f>IF($V5947&lt;&gt;'設定'!$C$4,N(U5946),IF(OR(NOT(COUNTIF('商品マスタ'!$B$6:$B$1005,$W5947)=0),COUNTIFS('①在庫を貼る'!$V$6:$V$10005,$V5947,'①在庫を貼る'!$W$6:$W$10005,$W5947)&gt;0),N(U5946),N(U5946)+1))</f>
        <v/>
      </c>
      <c r="V5947" s="19">
        <f>IF($B5947="","",TEXT($B5947,"0000"))</f>
        <v/>
      </c>
      <c r="W5947" s="19">
        <f>IF($I5947="","",IF(ISNUMBER($I5947),TEXT($I5947,"0"),$I5947))</f>
        <v/>
      </c>
    </row>
    <row r="5948">
      <c r="B5948" s="25" t="n"/>
      <c r="I5948" s="25" t="n"/>
      <c r="U5948" s="19">
        <f>IF($V5948&lt;&gt;'設定'!$C$4,N(U5947),IF(OR(NOT(COUNTIF('商品マスタ'!$B$6:$B$1005,$W5948)=0),COUNTIFS('①在庫を貼る'!$V$6:$V$10005,$V5948,'①在庫を貼る'!$W$6:$W$10005,$W5948)&gt;0),N(U5947),N(U5947)+1))</f>
        <v/>
      </c>
      <c r="V5948" s="19">
        <f>IF($B5948="","",TEXT($B5948,"0000"))</f>
        <v/>
      </c>
      <c r="W5948" s="19">
        <f>IF($I5948="","",IF(ISNUMBER($I5948),TEXT($I5948,"0"),$I5948))</f>
        <v/>
      </c>
    </row>
    <row r="5949">
      <c r="B5949" s="25" t="n"/>
      <c r="I5949" s="25" t="n"/>
      <c r="U5949" s="19">
        <f>IF($V5949&lt;&gt;'設定'!$C$4,N(U5948),IF(OR(NOT(COUNTIF('商品マスタ'!$B$6:$B$1005,$W5949)=0),COUNTIFS('①在庫を貼る'!$V$6:$V$10005,$V5949,'①在庫を貼る'!$W$6:$W$10005,$W5949)&gt;0),N(U5948),N(U5948)+1))</f>
        <v/>
      </c>
      <c r="V5949" s="19">
        <f>IF($B5949="","",TEXT($B5949,"0000"))</f>
        <v/>
      </c>
      <c r="W5949" s="19">
        <f>IF($I5949="","",IF(ISNUMBER($I5949),TEXT($I5949,"0"),$I5949))</f>
        <v/>
      </c>
    </row>
    <row r="5950">
      <c r="B5950" s="25" t="n"/>
      <c r="I5950" s="25" t="n"/>
      <c r="U5950" s="19">
        <f>IF($V5950&lt;&gt;'設定'!$C$4,N(U5949),IF(OR(NOT(COUNTIF('商品マスタ'!$B$6:$B$1005,$W5950)=0),COUNTIFS('①在庫を貼る'!$V$6:$V$10005,$V5950,'①在庫を貼る'!$W$6:$W$10005,$W5950)&gt;0),N(U5949),N(U5949)+1))</f>
        <v/>
      </c>
      <c r="V5950" s="19">
        <f>IF($B5950="","",TEXT($B5950,"0000"))</f>
        <v/>
      </c>
      <c r="W5950" s="19">
        <f>IF($I5950="","",IF(ISNUMBER($I5950),TEXT($I5950,"0"),$I5950))</f>
        <v/>
      </c>
    </row>
    <row r="5951">
      <c r="B5951" s="25" t="n"/>
      <c r="I5951" s="25" t="n"/>
      <c r="U5951" s="19">
        <f>IF($V5951&lt;&gt;'設定'!$C$4,N(U5950),IF(OR(NOT(COUNTIF('商品マスタ'!$B$6:$B$1005,$W5951)=0),COUNTIFS('①在庫を貼る'!$V$6:$V$10005,$V5951,'①在庫を貼る'!$W$6:$W$10005,$W5951)&gt;0),N(U5950),N(U5950)+1))</f>
        <v/>
      </c>
      <c r="V5951" s="19">
        <f>IF($B5951="","",TEXT($B5951,"0000"))</f>
        <v/>
      </c>
      <c r="W5951" s="19">
        <f>IF($I5951="","",IF(ISNUMBER($I5951),TEXT($I5951,"0"),$I5951))</f>
        <v/>
      </c>
    </row>
    <row r="5952">
      <c r="B5952" s="25" t="n"/>
      <c r="I5952" s="25" t="n"/>
      <c r="U5952" s="19">
        <f>IF($V5952&lt;&gt;'設定'!$C$4,N(U5951),IF(OR(NOT(COUNTIF('商品マスタ'!$B$6:$B$1005,$W5952)=0),COUNTIFS('①在庫を貼る'!$V$6:$V$10005,$V5952,'①在庫を貼る'!$W$6:$W$10005,$W5952)&gt;0),N(U5951),N(U5951)+1))</f>
        <v/>
      </c>
      <c r="V5952" s="19">
        <f>IF($B5952="","",TEXT($B5952,"0000"))</f>
        <v/>
      </c>
      <c r="W5952" s="19">
        <f>IF($I5952="","",IF(ISNUMBER($I5952),TEXT($I5952,"0"),$I5952))</f>
        <v/>
      </c>
    </row>
    <row r="5953">
      <c r="B5953" s="25" t="n"/>
      <c r="I5953" s="25" t="n"/>
      <c r="U5953" s="19">
        <f>IF($V5953&lt;&gt;'設定'!$C$4,N(U5952),IF(OR(NOT(COUNTIF('商品マスタ'!$B$6:$B$1005,$W5953)=0),COUNTIFS('①在庫を貼る'!$V$6:$V$10005,$V5953,'①在庫を貼る'!$W$6:$W$10005,$W5953)&gt;0),N(U5952),N(U5952)+1))</f>
        <v/>
      </c>
      <c r="V5953" s="19">
        <f>IF($B5953="","",TEXT($B5953,"0000"))</f>
        <v/>
      </c>
      <c r="W5953" s="19">
        <f>IF($I5953="","",IF(ISNUMBER($I5953),TEXT($I5953,"0"),$I5953))</f>
        <v/>
      </c>
    </row>
    <row r="5954">
      <c r="B5954" s="25" t="n"/>
      <c r="I5954" s="25" t="n"/>
      <c r="U5954" s="19">
        <f>IF($V5954&lt;&gt;'設定'!$C$4,N(U5953),IF(OR(NOT(COUNTIF('商品マスタ'!$B$6:$B$1005,$W5954)=0),COUNTIFS('①在庫を貼る'!$V$6:$V$10005,$V5954,'①在庫を貼る'!$W$6:$W$10005,$W5954)&gt;0),N(U5953),N(U5953)+1))</f>
        <v/>
      </c>
      <c r="V5954" s="19">
        <f>IF($B5954="","",TEXT($B5954,"0000"))</f>
        <v/>
      </c>
      <c r="W5954" s="19">
        <f>IF($I5954="","",IF(ISNUMBER($I5954),TEXT($I5954,"0"),$I5954))</f>
        <v/>
      </c>
    </row>
    <row r="5955">
      <c r="B5955" s="25" t="n"/>
      <c r="I5955" s="25" t="n"/>
      <c r="U5955" s="19">
        <f>IF($V5955&lt;&gt;'設定'!$C$4,N(U5954),IF(OR(NOT(COUNTIF('商品マスタ'!$B$6:$B$1005,$W5955)=0),COUNTIFS('①在庫を貼る'!$V$6:$V$10005,$V5955,'①在庫を貼る'!$W$6:$W$10005,$W5955)&gt;0),N(U5954),N(U5954)+1))</f>
        <v/>
      </c>
      <c r="V5955" s="19">
        <f>IF($B5955="","",TEXT($B5955,"0000"))</f>
        <v/>
      </c>
      <c r="W5955" s="19">
        <f>IF($I5955="","",IF(ISNUMBER($I5955),TEXT($I5955,"0"),$I5955))</f>
        <v/>
      </c>
    </row>
    <row r="5956">
      <c r="B5956" s="25" t="n"/>
      <c r="I5956" s="25" t="n"/>
      <c r="U5956" s="19">
        <f>IF($V5956&lt;&gt;'設定'!$C$4,N(U5955),IF(OR(NOT(COUNTIF('商品マスタ'!$B$6:$B$1005,$W5956)=0),COUNTIFS('①在庫を貼る'!$V$6:$V$10005,$V5956,'①在庫を貼る'!$W$6:$W$10005,$W5956)&gt;0),N(U5955),N(U5955)+1))</f>
        <v/>
      </c>
      <c r="V5956" s="19">
        <f>IF($B5956="","",TEXT($B5956,"0000"))</f>
        <v/>
      </c>
      <c r="W5956" s="19">
        <f>IF($I5956="","",IF(ISNUMBER($I5956),TEXT($I5956,"0"),$I5956))</f>
        <v/>
      </c>
    </row>
    <row r="5957">
      <c r="B5957" s="25" t="n"/>
      <c r="I5957" s="25" t="n"/>
      <c r="U5957" s="19">
        <f>IF($V5957&lt;&gt;'設定'!$C$4,N(U5956),IF(OR(NOT(COUNTIF('商品マスタ'!$B$6:$B$1005,$W5957)=0),COUNTIFS('①在庫を貼る'!$V$6:$V$10005,$V5957,'①在庫を貼る'!$W$6:$W$10005,$W5957)&gt;0),N(U5956),N(U5956)+1))</f>
        <v/>
      </c>
      <c r="V5957" s="19">
        <f>IF($B5957="","",TEXT($B5957,"0000"))</f>
        <v/>
      </c>
      <c r="W5957" s="19">
        <f>IF($I5957="","",IF(ISNUMBER($I5957),TEXT($I5957,"0"),$I5957))</f>
        <v/>
      </c>
    </row>
    <row r="5958">
      <c r="B5958" s="25" t="n"/>
      <c r="I5958" s="25" t="n"/>
      <c r="U5958" s="19">
        <f>IF($V5958&lt;&gt;'設定'!$C$4,N(U5957),IF(OR(NOT(COUNTIF('商品マスタ'!$B$6:$B$1005,$W5958)=0),COUNTIFS('①在庫を貼る'!$V$6:$V$10005,$V5958,'①在庫を貼る'!$W$6:$W$10005,$W5958)&gt;0),N(U5957),N(U5957)+1))</f>
        <v/>
      </c>
      <c r="V5958" s="19">
        <f>IF($B5958="","",TEXT($B5958,"0000"))</f>
        <v/>
      </c>
      <c r="W5958" s="19">
        <f>IF($I5958="","",IF(ISNUMBER($I5958),TEXT($I5958,"0"),$I5958))</f>
        <v/>
      </c>
    </row>
    <row r="5959">
      <c r="B5959" s="25" t="n"/>
      <c r="I5959" s="25" t="n"/>
      <c r="U5959" s="19">
        <f>IF($V5959&lt;&gt;'設定'!$C$4,N(U5958),IF(OR(NOT(COUNTIF('商品マスタ'!$B$6:$B$1005,$W5959)=0),COUNTIFS('①在庫を貼る'!$V$6:$V$10005,$V5959,'①在庫を貼る'!$W$6:$W$10005,$W5959)&gt;0),N(U5958),N(U5958)+1))</f>
        <v/>
      </c>
      <c r="V5959" s="19">
        <f>IF($B5959="","",TEXT($B5959,"0000"))</f>
        <v/>
      </c>
      <c r="W5959" s="19">
        <f>IF($I5959="","",IF(ISNUMBER($I5959),TEXT($I5959,"0"),$I5959))</f>
        <v/>
      </c>
    </row>
    <row r="5960">
      <c r="B5960" s="25" t="n"/>
      <c r="I5960" s="25" t="n"/>
      <c r="U5960" s="19">
        <f>IF($V5960&lt;&gt;'設定'!$C$4,N(U5959),IF(OR(NOT(COUNTIF('商品マスタ'!$B$6:$B$1005,$W5960)=0),COUNTIFS('①在庫を貼る'!$V$6:$V$10005,$V5960,'①在庫を貼る'!$W$6:$W$10005,$W5960)&gt;0),N(U5959),N(U5959)+1))</f>
        <v/>
      </c>
      <c r="V5960" s="19">
        <f>IF($B5960="","",TEXT($B5960,"0000"))</f>
        <v/>
      </c>
      <c r="W5960" s="19">
        <f>IF($I5960="","",IF(ISNUMBER($I5960),TEXT($I5960,"0"),$I5960))</f>
        <v/>
      </c>
    </row>
    <row r="5961">
      <c r="B5961" s="25" t="n"/>
      <c r="I5961" s="25" t="n"/>
      <c r="U5961" s="19">
        <f>IF($V5961&lt;&gt;'設定'!$C$4,N(U5960),IF(OR(NOT(COUNTIF('商品マスタ'!$B$6:$B$1005,$W5961)=0),COUNTIFS('①在庫を貼る'!$V$6:$V$10005,$V5961,'①在庫を貼る'!$W$6:$W$10005,$W5961)&gt;0),N(U5960),N(U5960)+1))</f>
        <v/>
      </c>
      <c r="V5961" s="19">
        <f>IF($B5961="","",TEXT($B5961,"0000"))</f>
        <v/>
      </c>
      <c r="W5961" s="19">
        <f>IF($I5961="","",IF(ISNUMBER($I5961),TEXT($I5961,"0"),$I5961))</f>
        <v/>
      </c>
    </row>
    <row r="5962">
      <c r="B5962" s="25" t="n"/>
      <c r="I5962" s="25" t="n"/>
      <c r="U5962" s="19">
        <f>IF($V5962&lt;&gt;'設定'!$C$4,N(U5961),IF(OR(NOT(COUNTIF('商品マスタ'!$B$6:$B$1005,$W5962)=0),COUNTIFS('①在庫を貼る'!$V$6:$V$10005,$V5962,'①在庫を貼る'!$W$6:$W$10005,$W5962)&gt;0),N(U5961),N(U5961)+1))</f>
        <v/>
      </c>
      <c r="V5962" s="19">
        <f>IF($B5962="","",TEXT($B5962,"0000"))</f>
        <v/>
      </c>
      <c r="W5962" s="19">
        <f>IF($I5962="","",IF(ISNUMBER($I5962),TEXT($I5962,"0"),$I5962))</f>
        <v/>
      </c>
    </row>
    <row r="5963">
      <c r="B5963" s="25" t="n"/>
      <c r="I5963" s="25" t="n"/>
      <c r="U5963" s="19">
        <f>IF($V5963&lt;&gt;'設定'!$C$4,N(U5962),IF(OR(NOT(COUNTIF('商品マスタ'!$B$6:$B$1005,$W5963)=0),COUNTIFS('①在庫を貼る'!$V$6:$V$10005,$V5963,'①在庫を貼る'!$W$6:$W$10005,$W5963)&gt;0),N(U5962),N(U5962)+1))</f>
        <v/>
      </c>
      <c r="V5963" s="19">
        <f>IF($B5963="","",TEXT($B5963,"0000"))</f>
        <v/>
      </c>
      <c r="W5963" s="19">
        <f>IF($I5963="","",IF(ISNUMBER($I5963),TEXT($I5963,"0"),$I5963))</f>
        <v/>
      </c>
    </row>
    <row r="5964">
      <c r="B5964" s="25" t="n"/>
      <c r="I5964" s="25" t="n"/>
      <c r="U5964" s="19">
        <f>IF($V5964&lt;&gt;'設定'!$C$4,N(U5963),IF(OR(NOT(COUNTIF('商品マスタ'!$B$6:$B$1005,$W5964)=0),COUNTIFS('①在庫を貼る'!$V$6:$V$10005,$V5964,'①在庫を貼る'!$W$6:$W$10005,$W5964)&gt;0),N(U5963),N(U5963)+1))</f>
        <v/>
      </c>
      <c r="V5964" s="19">
        <f>IF($B5964="","",TEXT($B5964,"0000"))</f>
        <v/>
      </c>
      <c r="W5964" s="19">
        <f>IF($I5964="","",IF(ISNUMBER($I5964),TEXT($I5964,"0"),$I5964))</f>
        <v/>
      </c>
    </row>
    <row r="5965">
      <c r="B5965" s="25" t="n"/>
      <c r="I5965" s="25" t="n"/>
      <c r="U5965" s="19">
        <f>IF($V5965&lt;&gt;'設定'!$C$4,N(U5964),IF(OR(NOT(COUNTIF('商品マスタ'!$B$6:$B$1005,$W5965)=0),COUNTIFS('①在庫を貼る'!$V$6:$V$10005,$V5965,'①在庫を貼る'!$W$6:$W$10005,$W5965)&gt;0),N(U5964),N(U5964)+1))</f>
        <v/>
      </c>
      <c r="V5965" s="19">
        <f>IF($B5965="","",TEXT($B5965,"0000"))</f>
        <v/>
      </c>
      <c r="W5965" s="19">
        <f>IF($I5965="","",IF(ISNUMBER($I5965),TEXT($I5965,"0"),$I5965))</f>
        <v/>
      </c>
    </row>
    <row r="5966">
      <c r="B5966" s="25" t="n"/>
      <c r="I5966" s="25" t="n"/>
      <c r="U5966" s="19">
        <f>IF($V5966&lt;&gt;'設定'!$C$4,N(U5965),IF(OR(NOT(COUNTIF('商品マスタ'!$B$6:$B$1005,$W5966)=0),COUNTIFS('①在庫を貼る'!$V$6:$V$10005,$V5966,'①在庫を貼る'!$W$6:$W$10005,$W5966)&gt;0),N(U5965),N(U5965)+1))</f>
        <v/>
      </c>
      <c r="V5966" s="19">
        <f>IF($B5966="","",TEXT($B5966,"0000"))</f>
        <v/>
      </c>
      <c r="W5966" s="19">
        <f>IF($I5966="","",IF(ISNUMBER($I5966),TEXT($I5966,"0"),$I5966))</f>
        <v/>
      </c>
    </row>
    <row r="5967">
      <c r="B5967" s="25" t="n"/>
      <c r="I5967" s="25" t="n"/>
      <c r="U5967" s="19">
        <f>IF($V5967&lt;&gt;'設定'!$C$4,N(U5966),IF(OR(NOT(COUNTIF('商品マスタ'!$B$6:$B$1005,$W5967)=0),COUNTIFS('①在庫を貼る'!$V$6:$V$10005,$V5967,'①在庫を貼る'!$W$6:$W$10005,$W5967)&gt;0),N(U5966),N(U5966)+1))</f>
        <v/>
      </c>
      <c r="V5967" s="19">
        <f>IF($B5967="","",TEXT($B5967,"0000"))</f>
        <v/>
      </c>
      <c r="W5967" s="19">
        <f>IF($I5967="","",IF(ISNUMBER($I5967),TEXT($I5967,"0"),$I5967))</f>
        <v/>
      </c>
    </row>
    <row r="5968">
      <c r="B5968" s="25" t="n"/>
      <c r="I5968" s="25" t="n"/>
      <c r="U5968" s="19">
        <f>IF($V5968&lt;&gt;'設定'!$C$4,N(U5967),IF(OR(NOT(COUNTIF('商品マスタ'!$B$6:$B$1005,$W5968)=0),COUNTIFS('①在庫を貼る'!$V$6:$V$10005,$V5968,'①在庫を貼る'!$W$6:$W$10005,$W5968)&gt;0),N(U5967),N(U5967)+1))</f>
        <v/>
      </c>
      <c r="V5968" s="19">
        <f>IF($B5968="","",TEXT($B5968,"0000"))</f>
        <v/>
      </c>
      <c r="W5968" s="19">
        <f>IF($I5968="","",IF(ISNUMBER($I5968),TEXT($I5968,"0"),$I5968))</f>
        <v/>
      </c>
    </row>
    <row r="5969">
      <c r="B5969" s="25" t="n"/>
      <c r="I5969" s="25" t="n"/>
      <c r="U5969" s="19">
        <f>IF($V5969&lt;&gt;'設定'!$C$4,N(U5968),IF(OR(NOT(COUNTIF('商品マスタ'!$B$6:$B$1005,$W5969)=0),COUNTIFS('①在庫を貼る'!$V$6:$V$10005,$V5969,'①在庫を貼る'!$W$6:$W$10005,$W5969)&gt;0),N(U5968),N(U5968)+1))</f>
        <v/>
      </c>
      <c r="V5969" s="19">
        <f>IF($B5969="","",TEXT($B5969,"0000"))</f>
        <v/>
      </c>
      <c r="W5969" s="19">
        <f>IF($I5969="","",IF(ISNUMBER($I5969),TEXT($I5969,"0"),$I5969))</f>
        <v/>
      </c>
    </row>
    <row r="5970">
      <c r="B5970" s="25" t="n"/>
      <c r="I5970" s="25" t="n"/>
      <c r="U5970" s="19">
        <f>IF($V5970&lt;&gt;'設定'!$C$4,N(U5969),IF(OR(NOT(COUNTIF('商品マスタ'!$B$6:$B$1005,$W5970)=0),COUNTIFS('①在庫を貼る'!$V$6:$V$10005,$V5970,'①在庫を貼る'!$W$6:$W$10005,$W5970)&gt;0),N(U5969),N(U5969)+1))</f>
        <v/>
      </c>
      <c r="V5970" s="19">
        <f>IF($B5970="","",TEXT($B5970,"0000"))</f>
        <v/>
      </c>
      <c r="W5970" s="19">
        <f>IF($I5970="","",IF(ISNUMBER($I5970),TEXT($I5970,"0"),$I5970))</f>
        <v/>
      </c>
    </row>
    <row r="5971">
      <c r="B5971" s="25" t="n"/>
      <c r="I5971" s="25" t="n"/>
      <c r="U5971" s="19">
        <f>IF($V5971&lt;&gt;'設定'!$C$4,N(U5970),IF(OR(NOT(COUNTIF('商品マスタ'!$B$6:$B$1005,$W5971)=0),COUNTIFS('①在庫を貼る'!$V$6:$V$10005,$V5971,'①在庫を貼る'!$W$6:$W$10005,$W5971)&gt;0),N(U5970),N(U5970)+1))</f>
        <v/>
      </c>
      <c r="V5971" s="19">
        <f>IF($B5971="","",TEXT($B5971,"0000"))</f>
        <v/>
      </c>
      <c r="W5971" s="19">
        <f>IF($I5971="","",IF(ISNUMBER($I5971),TEXT($I5971,"0"),$I5971))</f>
        <v/>
      </c>
    </row>
    <row r="5972">
      <c r="B5972" s="25" t="n"/>
      <c r="I5972" s="25" t="n"/>
      <c r="U5972" s="19">
        <f>IF($V5972&lt;&gt;'設定'!$C$4,N(U5971),IF(OR(NOT(COUNTIF('商品マスタ'!$B$6:$B$1005,$W5972)=0),COUNTIFS('①在庫を貼る'!$V$6:$V$10005,$V5972,'①在庫を貼る'!$W$6:$W$10005,$W5972)&gt;0),N(U5971),N(U5971)+1))</f>
        <v/>
      </c>
      <c r="V5972" s="19">
        <f>IF($B5972="","",TEXT($B5972,"0000"))</f>
        <v/>
      </c>
      <c r="W5972" s="19">
        <f>IF($I5972="","",IF(ISNUMBER($I5972),TEXT($I5972,"0"),$I5972))</f>
        <v/>
      </c>
    </row>
    <row r="5973">
      <c r="B5973" s="25" t="n"/>
      <c r="I5973" s="25" t="n"/>
      <c r="U5973" s="19">
        <f>IF($V5973&lt;&gt;'設定'!$C$4,N(U5972),IF(OR(NOT(COUNTIF('商品マスタ'!$B$6:$B$1005,$W5973)=0),COUNTIFS('①在庫を貼る'!$V$6:$V$10005,$V5973,'①在庫を貼る'!$W$6:$W$10005,$W5973)&gt;0),N(U5972),N(U5972)+1))</f>
        <v/>
      </c>
      <c r="V5973" s="19">
        <f>IF($B5973="","",TEXT($B5973,"0000"))</f>
        <v/>
      </c>
      <c r="W5973" s="19">
        <f>IF($I5973="","",IF(ISNUMBER($I5973),TEXT($I5973,"0"),$I5973))</f>
        <v/>
      </c>
    </row>
    <row r="5974">
      <c r="B5974" s="25" t="n"/>
      <c r="I5974" s="25" t="n"/>
      <c r="U5974" s="19">
        <f>IF($V5974&lt;&gt;'設定'!$C$4,N(U5973),IF(OR(NOT(COUNTIF('商品マスタ'!$B$6:$B$1005,$W5974)=0),COUNTIFS('①在庫を貼る'!$V$6:$V$10005,$V5974,'①在庫を貼る'!$W$6:$W$10005,$W5974)&gt;0),N(U5973),N(U5973)+1))</f>
        <v/>
      </c>
      <c r="V5974" s="19">
        <f>IF($B5974="","",TEXT($B5974,"0000"))</f>
        <v/>
      </c>
      <c r="W5974" s="19">
        <f>IF($I5974="","",IF(ISNUMBER($I5974),TEXT($I5974,"0"),$I5974))</f>
        <v/>
      </c>
    </row>
    <row r="5975">
      <c r="B5975" s="25" t="n"/>
      <c r="I5975" s="25" t="n"/>
      <c r="U5975" s="19">
        <f>IF($V5975&lt;&gt;'設定'!$C$4,N(U5974),IF(OR(NOT(COUNTIF('商品マスタ'!$B$6:$B$1005,$W5975)=0),COUNTIFS('①在庫を貼る'!$V$6:$V$10005,$V5975,'①在庫を貼る'!$W$6:$W$10005,$W5975)&gt;0),N(U5974),N(U5974)+1))</f>
        <v/>
      </c>
      <c r="V5975" s="19">
        <f>IF($B5975="","",TEXT($B5975,"0000"))</f>
        <v/>
      </c>
      <c r="W5975" s="19">
        <f>IF($I5975="","",IF(ISNUMBER($I5975),TEXT($I5975,"0"),$I5975))</f>
        <v/>
      </c>
    </row>
    <row r="5976">
      <c r="B5976" s="25" t="n"/>
      <c r="I5976" s="25" t="n"/>
      <c r="U5976" s="19">
        <f>IF($V5976&lt;&gt;'設定'!$C$4,N(U5975),IF(OR(NOT(COUNTIF('商品マスタ'!$B$6:$B$1005,$W5976)=0),COUNTIFS('①在庫を貼る'!$V$6:$V$10005,$V5976,'①在庫を貼る'!$W$6:$W$10005,$W5976)&gt;0),N(U5975),N(U5975)+1))</f>
        <v/>
      </c>
      <c r="V5976" s="19">
        <f>IF($B5976="","",TEXT($B5976,"0000"))</f>
        <v/>
      </c>
      <c r="W5976" s="19">
        <f>IF($I5976="","",IF(ISNUMBER($I5976),TEXT($I5976,"0"),$I5976))</f>
        <v/>
      </c>
    </row>
    <row r="5977">
      <c r="B5977" s="25" t="n"/>
      <c r="I5977" s="25" t="n"/>
      <c r="U5977" s="19">
        <f>IF($V5977&lt;&gt;'設定'!$C$4,N(U5976),IF(OR(NOT(COUNTIF('商品マスタ'!$B$6:$B$1005,$W5977)=0),COUNTIFS('①在庫を貼る'!$V$6:$V$10005,$V5977,'①在庫を貼る'!$W$6:$W$10005,$W5977)&gt;0),N(U5976),N(U5976)+1))</f>
        <v/>
      </c>
      <c r="V5977" s="19">
        <f>IF($B5977="","",TEXT($B5977,"0000"))</f>
        <v/>
      </c>
      <c r="W5977" s="19">
        <f>IF($I5977="","",IF(ISNUMBER($I5977),TEXT($I5977,"0"),$I5977))</f>
        <v/>
      </c>
    </row>
    <row r="5978">
      <c r="B5978" s="25" t="n"/>
      <c r="I5978" s="25" t="n"/>
      <c r="U5978" s="19">
        <f>IF($V5978&lt;&gt;'設定'!$C$4,N(U5977),IF(OR(NOT(COUNTIF('商品マスタ'!$B$6:$B$1005,$W5978)=0),COUNTIFS('①在庫を貼る'!$V$6:$V$10005,$V5978,'①在庫を貼る'!$W$6:$W$10005,$W5978)&gt;0),N(U5977),N(U5977)+1))</f>
        <v/>
      </c>
      <c r="V5978" s="19">
        <f>IF($B5978="","",TEXT($B5978,"0000"))</f>
        <v/>
      </c>
      <c r="W5978" s="19">
        <f>IF($I5978="","",IF(ISNUMBER($I5978),TEXT($I5978,"0"),$I5978))</f>
        <v/>
      </c>
    </row>
    <row r="5979">
      <c r="B5979" s="25" t="n"/>
      <c r="I5979" s="25" t="n"/>
      <c r="U5979" s="19">
        <f>IF($V5979&lt;&gt;'設定'!$C$4,N(U5978),IF(OR(NOT(COUNTIF('商品マスタ'!$B$6:$B$1005,$W5979)=0),COUNTIFS('①在庫を貼る'!$V$6:$V$10005,$V5979,'①在庫を貼る'!$W$6:$W$10005,$W5979)&gt;0),N(U5978),N(U5978)+1))</f>
        <v/>
      </c>
      <c r="V5979" s="19">
        <f>IF($B5979="","",TEXT($B5979,"0000"))</f>
        <v/>
      </c>
      <c r="W5979" s="19">
        <f>IF($I5979="","",IF(ISNUMBER($I5979),TEXT($I5979,"0"),$I5979))</f>
        <v/>
      </c>
    </row>
    <row r="5980">
      <c r="B5980" s="25" t="n"/>
      <c r="I5980" s="25" t="n"/>
      <c r="U5980" s="19">
        <f>IF($V5980&lt;&gt;'設定'!$C$4,N(U5979),IF(OR(NOT(COUNTIF('商品マスタ'!$B$6:$B$1005,$W5980)=0),COUNTIFS('①在庫を貼る'!$V$6:$V$10005,$V5980,'①在庫を貼る'!$W$6:$W$10005,$W5980)&gt;0),N(U5979),N(U5979)+1))</f>
        <v/>
      </c>
      <c r="V5980" s="19">
        <f>IF($B5980="","",TEXT($B5980,"0000"))</f>
        <v/>
      </c>
      <c r="W5980" s="19">
        <f>IF($I5980="","",IF(ISNUMBER($I5980),TEXT($I5980,"0"),$I5980))</f>
        <v/>
      </c>
    </row>
    <row r="5981">
      <c r="B5981" s="25" t="n"/>
      <c r="I5981" s="25" t="n"/>
      <c r="U5981" s="19">
        <f>IF($V5981&lt;&gt;'設定'!$C$4,N(U5980),IF(OR(NOT(COUNTIF('商品マスタ'!$B$6:$B$1005,$W5981)=0),COUNTIFS('①在庫を貼る'!$V$6:$V$10005,$V5981,'①在庫を貼る'!$W$6:$W$10005,$W5981)&gt;0),N(U5980),N(U5980)+1))</f>
        <v/>
      </c>
      <c r="V5981" s="19">
        <f>IF($B5981="","",TEXT($B5981,"0000"))</f>
        <v/>
      </c>
      <c r="W5981" s="19">
        <f>IF($I5981="","",IF(ISNUMBER($I5981),TEXT($I5981,"0"),$I5981))</f>
        <v/>
      </c>
    </row>
    <row r="5982">
      <c r="B5982" s="25" t="n"/>
      <c r="I5982" s="25" t="n"/>
      <c r="U5982" s="19">
        <f>IF($V5982&lt;&gt;'設定'!$C$4,N(U5981),IF(OR(NOT(COUNTIF('商品マスタ'!$B$6:$B$1005,$W5982)=0),COUNTIFS('①在庫を貼る'!$V$6:$V$10005,$V5982,'①在庫を貼る'!$W$6:$W$10005,$W5982)&gt;0),N(U5981),N(U5981)+1))</f>
        <v/>
      </c>
      <c r="V5982" s="19">
        <f>IF($B5982="","",TEXT($B5982,"0000"))</f>
        <v/>
      </c>
      <c r="W5982" s="19">
        <f>IF($I5982="","",IF(ISNUMBER($I5982),TEXT($I5982,"0"),$I5982))</f>
        <v/>
      </c>
    </row>
    <row r="5983">
      <c r="B5983" s="25" t="n"/>
      <c r="I5983" s="25" t="n"/>
      <c r="U5983" s="19">
        <f>IF($V5983&lt;&gt;'設定'!$C$4,N(U5982),IF(OR(NOT(COUNTIF('商品マスタ'!$B$6:$B$1005,$W5983)=0),COUNTIFS('①在庫を貼る'!$V$6:$V$10005,$V5983,'①在庫を貼る'!$W$6:$W$10005,$W5983)&gt;0),N(U5982),N(U5982)+1))</f>
        <v/>
      </c>
      <c r="V5983" s="19">
        <f>IF($B5983="","",TEXT($B5983,"0000"))</f>
        <v/>
      </c>
      <c r="W5983" s="19">
        <f>IF($I5983="","",IF(ISNUMBER($I5983),TEXT($I5983,"0"),$I5983))</f>
        <v/>
      </c>
    </row>
    <row r="5984">
      <c r="B5984" s="25" t="n"/>
      <c r="I5984" s="25" t="n"/>
      <c r="U5984" s="19">
        <f>IF($V5984&lt;&gt;'設定'!$C$4,N(U5983),IF(OR(NOT(COUNTIF('商品マスタ'!$B$6:$B$1005,$W5984)=0),COUNTIFS('①在庫を貼る'!$V$6:$V$10005,$V5984,'①在庫を貼る'!$W$6:$W$10005,$W5984)&gt;0),N(U5983),N(U5983)+1))</f>
        <v/>
      </c>
      <c r="V5984" s="19">
        <f>IF($B5984="","",TEXT($B5984,"0000"))</f>
        <v/>
      </c>
      <c r="W5984" s="19">
        <f>IF($I5984="","",IF(ISNUMBER($I5984),TEXT($I5984,"0"),$I5984))</f>
        <v/>
      </c>
    </row>
    <row r="5985">
      <c r="B5985" s="25" t="n"/>
      <c r="I5985" s="25" t="n"/>
      <c r="U5985" s="19">
        <f>IF($V5985&lt;&gt;'設定'!$C$4,N(U5984),IF(OR(NOT(COUNTIF('商品マスタ'!$B$6:$B$1005,$W5985)=0),COUNTIFS('①在庫を貼る'!$V$6:$V$10005,$V5985,'①在庫を貼る'!$W$6:$W$10005,$W5985)&gt;0),N(U5984),N(U5984)+1))</f>
        <v/>
      </c>
      <c r="V5985" s="19">
        <f>IF($B5985="","",TEXT($B5985,"0000"))</f>
        <v/>
      </c>
      <c r="W5985" s="19">
        <f>IF($I5985="","",IF(ISNUMBER($I5985),TEXT($I5985,"0"),$I5985))</f>
        <v/>
      </c>
    </row>
    <row r="5986">
      <c r="B5986" s="25" t="n"/>
      <c r="I5986" s="25" t="n"/>
      <c r="U5986" s="19">
        <f>IF($V5986&lt;&gt;'設定'!$C$4,N(U5985),IF(OR(NOT(COUNTIF('商品マスタ'!$B$6:$B$1005,$W5986)=0),COUNTIFS('①在庫を貼る'!$V$6:$V$10005,$V5986,'①在庫を貼る'!$W$6:$W$10005,$W5986)&gt;0),N(U5985),N(U5985)+1))</f>
        <v/>
      </c>
      <c r="V5986" s="19">
        <f>IF($B5986="","",TEXT($B5986,"0000"))</f>
        <v/>
      </c>
      <c r="W5986" s="19">
        <f>IF($I5986="","",IF(ISNUMBER($I5986),TEXT($I5986,"0"),$I5986))</f>
        <v/>
      </c>
    </row>
    <row r="5987">
      <c r="B5987" s="25" t="n"/>
      <c r="I5987" s="25" t="n"/>
      <c r="U5987" s="19">
        <f>IF($V5987&lt;&gt;'設定'!$C$4,N(U5986),IF(OR(NOT(COUNTIF('商品マスタ'!$B$6:$B$1005,$W5987)=0),COUNTIFS('①在庫を貼る'!$V$6:$V$10005,$V5987,'①在庫を貼る'!$W$6:$W$10005,$W5987)&gt;0),N(U5986),N(U5986)+1))</f>
        <v/>
      </c>
      <c r="V5987" s="19">
        <f>IF($B5987="","",TEXT($B5987,"0000"))</f>
        <v/>
      </c>
      <c r="W5987" s="19">
        <f>IF($I5987="","",IF(ISNUMBER($I5987),TEXT($I5987,"0"),$I5987))</f>
        <v/>
      </c>
    </row>
    <row r="5988">
      <c r="B5988" s="25" t="n"/>
      <c r="I5988" s="25" t="n"/>
      <c r="U5988" s="19">
        <f>IF($V5988&lt;&gt;'設定'!$C$4,N(U5987),IF(OR(NOT(COUNTIF('商品マスタ'!$B$6:$B$1005,$W5988)=0),COUNTIFS('①在庫を貼る'!$V$6:$V$10005,$V5988,'①在庫を貼る'!$W$6:$W$10005,$W5988)&gt;0),N(U5987),N(U5987)+1))</f>
        <v/>
      </c>
      <c r="V5988" s="19">
        <f>IF($B5988="","",TEXT($B5988,"0000"))</f>
        <v/>
      </c>
      <c r="W5988" s="19">
        <f>IF($I5988="","",IF(ISNUMBER($I5988),TEXT($I5988,"0"),$I5988))</f>
        <v/>
      </c>
    </row>
    <row r="5989">
      <c r="B5989" s="25" t="n"/>
      <c r="I5989" s="25" t="n"/>
      <c r="U5989" s="19">
        <f>IF($V5989&lt;&gt;'設定'!$C$4,N(U5988),IF(OR(NOT(COUNTIF('商品マスタ'!$B$6:$B$1005,$W5989)=0),COUNTIFS('①在庫を貼る'!$V$6:$V$10005,$V5989,'①在庫を貼る'!$W$6:$W$10005,$W5989)&gt;0),N(U5988),N(U5988)+1))</f>
        <v/>
      </c>
      <c r="V5989" s="19">
        <f>IF($B5989="","",TEXT($B5989,"0000"))</f>
        <v/>
      </c>
      <c r="W5989" s="19">
        <f>IF($I5989="","",IF(ISNUMBER($I5989),TEXT($I5989,"0"),$I5989))</f>
        <v/>
      </c>
    </row>
    <row r="5990">
      <c r="B5990" s="25" t="n"/>
      <c r="I5990" s="25" t="n"/>
      <c r="U5990" s="19">
        <f>IF($V5990&lt;&gt;'設定'!$C$4,N(U5989),IF(OR(NOT(COUNTIF('商品マスタ'!$B$6:$B$1005,$W5990)=0),COUNTIFS('①在庫を貼る'!$V$6:$V$10005,$V5990,'①在庫を貼る'!$W$6:$W$10005,$W5990)&gt;0),N(U5989),N(U5989)+1))</f>
        <v/>
      </c>
      <c r="V5990" s="19">
        <f>IF($B5990="","",TEXT($B5990,"0000"))</f>
        <v/>
      </c>
      <c r="W5990" s="19">
        <f>IF($I5990="","",IF(ISNUMBER($I5990),TEXT($I5990,"0"),$I5990))</f>
        <v/>
      </c>
    </row>
    <row r="5991">
      <c r="B5991" s="25" t="n"/>
      <c r="I5991" s="25" t="n"/>
      <c r="U5991" s="19">
        <f>IF($V5991&lt;&gt;'設定'!$C$4,N(U5990),IF(OR(NOT(COUNTIF('商品マスタ'!$B$6:$B$1005,$W5991)=0),COUNTIFS('①在庫を貼る'!$V$6:$V$10005,$V5991,'①在庫を貼る'!$W$6:$W$10005,$W5991)&gt;0),N(U5990),N(U5990)+1))</f>
        <v/>
      </c>
      <c r="V5991" s="19">
        <f>IF($B5991="","",TEXT($B5991,"0000"))</f>
        <v/>
      </c>
      <c r="W5991" s="19">
        <f>IF($I5991="","",IF(ISNUMBER($I5991),TEXT($I5991,"0"),$I5991))</f>
        <v/>
      </c>
    </row>
    <row r="5992">
      <c r="B5992" s="25" t="n"/>
      <c r="I5992" s="25" t="n"/>
      <c r="U5992" s="19">
        <f>IF($V5992&lt;&gt;'設定'!$C$4,N(U5991),IF(OR(NOT(COUNTIF('商品マスタ'!$B$6:$B$1005,$W5992)=0),COUNTIFS('①在庫を貼る'!$V$6:$V$10005,$V5992,'①在庫を貼る'!$W$6:$W$10005,$W5992)&gt;0),N(U5991),N(U5991)+1))</f>
        <v/>
      </c>
      <c r="V5992" s="19">
        <f>IF($B5992="","",TEXT($B5992,"0000"))</f>
        <v/>
      </c>
      <c r="W5992" s="19">
        <f>IF($I5992="","",IF(ISNUMBER($I5992),TEXT($I5992,"0"),$I5992))</f>
        <v/>
      </c>
    </row>
    <row r="5993">
      <c r="B5993" s="25" t="n"/>
      <c r="I5993" s="25" t="n"/>
      <c r="U5993" s="19">
        <f>IF($V5993&lt;&gt;'設定'!$C$4,N(U5992),IF(OR(NOT(COUNTIF('商品マスタ'!$B$6:$B$1005,$W5993)=0),COUNTIFS('①在庫を貼る'!$V$6:$V$10005,$V5993,'①在庫を貼る'!$W$6:$W$10005,$W5993)&gt;0),N(U5992),N(U5992)+1))</f>
        <v/>
      </c>
      <c r="V5993" s="19">
        <f>IF($B5993="","",TEXT($B5993,"0000"))</f>
        <v/>
      </c>
      <c r="W5993" s="19">
        <f>IF($I5993="","",IF(ISNUMBER($I5993),TEXT($I5993,"0"),$I5993))</f>
        <v/>
      </c>
    </row>
    <row r="5994">
      <c r="B5994" s="25" t="n"/>
      <c r="I5994" s="25" t="n"/>
      <c r="U5994" s="19">
        <f>IF($V5994&lt;&gt;'設定'!$C$4,N(U5993),IF(OR(NOT(COUNTIF('商品マスタ'!$B$6:$B$1005,$W5994)=0),COUNTIFS('①在庫を貼る'!$V$6:$V$10005,$V5994,'①在庫を貼る'!$W$6:$W$10005,$W5994)&gt;0),N(U5993),N(U5993)+1))</f>
        <v/>
      </c>
      <c r="V5994" s="19">
        <f>IF($B5994="","",TEXT($B5994,"0000"))</f>
        <v/>
      </c>
      <c r="W5994" s="19">
        <f>IF($I5994="","",IF(ISNUMBER($I5994),TEXT($I5994,"0"),$I5994))</f>
        <v/>
      </c>
    </row>
    <row r="5995">
      <c r="B5995" s="25" t="n"/>
      <c r="I5995" s="25" t="n"/>
      <c r="U5995" s="19">
        <f>IF($V5995&lt;&gt;'設定'!$C$4,N(U5994),IF(OR(NOT(COUNTIF('商品マスタ'!$B$6:$B$1005,$W5995)=0),COUNTIFS('①在庫を貼る'!$V$6:$V$10005,$V5995,'①在庫を貼る'!$W$6:$W$10005,$W5995)&gt;0),N(U5994),N(U5994)+1))</f>
        <v/>
      </c>
      <c r="V5995" s="19">
        <f>IF($B5995="","",TEXT($B5995,"0000"))</f>
        <v/>
      </c>
      <c r="W5995" s="19">
        <f>IF($I5995="","",IF(ISNUMBER($I5995),TEXT($I5995,"0"),$I5995))</f>
        <v/>
      </c>
    </row>
    <row r="5996">
      <c r="B5996" s="25" t="n"/>
      <c r="I5996" s="25" t="n"/>
      <c r="U5996" s="19">
        <f>IF($V5996&lt;&gt;'設定'!$C$4,N(U5995),IF(OR(NOT(COUNTIF('商品マスタ'!$B$6:$B$1005,$W5996)=0),COUNTIFS('①在庫を貼る'!$V$6:$V$10005,$V5996,'①在庫を貼る'!$W$6:$W$10005,$W5996)&gt;0),N(U5995),N(U5995)+1))</f>
        <v/>
      </c>
      <c r="V5996" s="19">
        <f>IF($B5996="","",TEXT($B5996,"0000"))</f>
        <v/>
      </c>
      <c r="W5996" s="19">
        <f>IF($I5996="","",IF(ISNUMBER($I5996),TEXT($I5996,"0"),$I5996))</f>
        <v/>
      </c>
    </row>
    <row r="5997">
      <c r="B5997" s="25" t="n"/>
      <c r="I5997" s="25" t="n"/>
      <c r="U5997" s="19">
        <f>IF($V5997&lt;&gt;'設定'!$C$4,N(U5996),IF(OR(NOT(COUNTIF('商品マスタ'!$B$6:$B$1005,$W5997)=0),COUNTIFS('①在庫を貼る'!$V$6:$V$10005,$V5997,'①在庫を貼る'!$W$6:$W$10005,$W5997)&gt;0),N(U5996),N(U5996)+1))</f>
        <v/>
      </c>
      <c r="V5997" s="19">
        <f>IF($B5997="","",TEXT($B5997,"0000"))</f>
        <v/>
      </c>
      <c r="W5997" s="19">
        <f>IF($I5997="","",IF(ISNUMBER($I5997),TEXT($I5997,"0"),$I5997))</f>
        <v/>
      </c>
    </row>
    <row r="5998">
      <c r="B5998" s="25" t="n"/>
      <c r="I5998" s="25" t="n"/>
      <c r="U5998" s="19">
        <f>IF($V5998&lt;&gt;'設定'!$C$4,N(U5997),IF(OR(NOT(COUNTIF('商品マスタ'!$B$6:$B$1005,$W5998)=0),COUNTIFS('①在庫を貼る'!$V$6:$V$10005,$V5998,'①在庫を貼る'!$W$6:$W$10005,$W5998)&gt;0),N(U5997),N(U5997)+1))</f>
        <v/>
      </c>
      <c r="V5998" s="19">
        <f>IF($B5998="","",TEXT($B5998,"0000"))</f>
        <v/>
      </c>
      <c r="W5998" s="19">
        <f>IF($I5998="","",IF(ISNUMBER($I5998),TEXT($I5998,"0"),$I5998))</f>
        <v/>
      </c>
    </row>
    <row r="5999">
      <c r="B5999" s="25" t="n"/>
      <c r="I5999" s="25" t="n"/>
      <c r="U5999" s="19">
        <f>IF($V5999&lt;&gt;'設定'!$C$4,N(U5998),IF(OR(NOT(COUNTIF('商品マスタ'!$B$6:$B$1005,$W5999)=0),COUNTIFS('①在庫を貼る'!$V$6:$V$10005,$V5999,'①在庫を貼る'!$W$6:$W$10005,$W5999)&gt;0),N(U5998),N(U5998)+1))</f>
        <v/>
      </c>
      <c r="V5999" s="19">
        <f>IF($B5999="","",TEXT($B5999,"0000"))</f>
        <v/>
      </c>
      <c r="W5999" s="19">
        <f>IF($I5999="","",IF(ISNUMBER($I5999),TEXT($I5999,"0"),$I5999))</f>
        <v/>
      </c>
    </row>
    <row r="6000">
      <c r="B6000" s="25" t="n"/>
      <c r="I6000" s="25" t="n"/>
      <c r="U6000" s="19">
        <f>IF($V6000&lt;&gt;'設定'!$C$4,N(U5999),IF(OR(NOT(COUNTIF('商品マスタ'!$B$6:$B$1005,$W6000)=0),COUNTIFS('①在庫を貼る'!$V$6:$V$10005,$V6000,'①在庫を貼る'!$W$6:$W$10005,$W6000)&gt;0),N(U5999),N(U5999)+1))</f>
        <v/>
      </c>
      <c r="V6000" s="19">
        <f>IF($B6000="","",TEXT($B6000,"0000"))</f>
        <v/>
      </c>
      <c r="W6000" s="19">
        <f>IF($I6000="","",IF(ISNUMBER($I6000),TEXT($I6000,"0"),$I6000))</f>
        <v/>
      </c>
    </row>
    <row r="6001">
      <c r="B6001" s="25" t="n"/>
      <c r="I6001" s="25" t="n"/>
      <c r="U6001" s="19">
        <f>IF($V6001&lt;&gt;'設定'!$C$4,N(U6000),IF(OR(NOT(COUNTIF('商品マスタ'!$B$6:$B$1005,$W6001)=0),COUNTIFS('①在庫を貼る'!$V$6:$V$10005,$V6001,'①在庫を貼る'!$W$6:$W$10005,$W6001)&gt;0),N(U6000),N(U6000)+1))</f>
        <v/>
      </c>
      <c r="V6001" s="19">
        <f>IF($B6001="","",TEXT($B6001,"0000"))</f>
        <v/>
      </c>
      <c r="W6001" s="19">
        <f>IF($I6001="","",IF(ISNUMBER($I6001),TEXT($I6001,"0"),$I6001))</f>
        <v/>
      </c>
    </row>
    <row r="6002">
      <c r="B6002" s="25" t="n"/>
      <c r="I6002" s="25" t="n"/>
      <c r="U6002" s="19">
        <f>IF($V6002&lt;&gt;'設定'!$C$4,N(U6001),IF(OR(NOT(COUNTIF('商品マスタ'!$B$6:$B$1005,$W6002)=0),COUNTIFS('①在庫を貼る'!$V$6:$V$10005,$V6002,'①在庫を貼る'!$W$6:$W$10005,$W6002)&gt;0),N(U6001),N(U6001)+1))</f>
        <v/>
      </c>
      <c r="V6002" s="19">
        <f>IF($B6002="","",TEXT($B6002,"0000"))</f>
        <v/>
      </c>
      <c r="W6002" s="19">
        <f>IF($I6002="","",IF(ISNUMBER($I6002),TEXT($I6002,"0"),$I6002))</f>
        <v/>
      </c>
    </row>
    <row r="6003">
      <c r="B6003" s="25" t="n"/>
      <c r="I6003" s="25" t="n"/>
      <c r="U6003" s="19">
        <f>IF($V6003&lt;&gt;'設定'!$C$4,N(U6002),IF(OR(NOT(COUNTIF('商品マスタ'!$B$6:$B$1005,$W6003)=0),COUNTIFS('①在庫を貼る'!$V$6:$V$10005,$V6003,'①在庫を貼る'!$W$6:$W$10005,$W6003)&gt;0),N(U6002),N(U6002)+1))</f>
        <v/>
      </c>
      <c r="V6003" s="19">
        <f>IF($B6003="","",TEXT($B6003,"0000"))</f>
        <v/>
      </c>
      <c r="W6003" s="19">
        <f>IF($I6003="","",IF(ISNUMBER($I6003),TEXT($I6003,"0"),$I6003))</f>
        <v/>
      </c>
    </row>
    <row r="6004">
      <c r="B6004" s="25" t="n"/>
      <c r="I6004" s="25" t="n"/>
      <c r="U6004" s="19">
        <f>IF($V6004&lt;&gt;'設定'!$C$4,N(U6003),IF(OR(NOT(COUNTIF('商品マスタ'!$B$6:$B$1005,$W6004)=0),COUNTIFS('①在庫を貼る'!$V$6:$V$10005,$V6004,'①在庫を貼る'!$W$6:$W$10005,$W6004)&gt;0),N(U6003),N(U6003)+1))</f>
        <v/>
      </c>
      <c r="V6004" s="19">
        <f>IF($B6004="","",TEXT($B6004,"0000"))</f>
        <v/>
      </c>
      <c r="W6004" s="19">
        <f>IF($I6004="","",IF(ISNUMBER($I6004),TEXT($I6004,"0"),$I6004))</f>
        <v/>
      </c>
    </row>
    <row r="6005">
      <c r="B6005" s="25" t="n"/>
      <c r="I6005" s="25" t="n"/>
      <c r="U6005" s="19">
        <f>IF($V6005&lt;&gt;'設定'!$C$4,N(U6004),IF(OR(NOT(COUNTIF('商品マスタ'!$B$6:$B$1005,$W6005)=0),COUNTIFS('①在庫を貼る'!$V$6:$V$10005,$V6005,'①在庫を貼る'!$W$6:$W$10005,$W6005)&gt;0),N(U6004),N(U6004)+1))</f>
        <v/>
      </c>
      <c r="V6005" s="19">
        <f>IF($B6005="","",TEXT($B6005,"0000"))</f>
        <v/>
      </c>
      <c r="W6005" s="19">
        <f>IF($I6005="","",IF(ISNUMBER($I6005),TEXT($I6005,"0"),$I6005))</f>
        <v/>
      </c>
    </row>
    <row r="6006">
      <c r="B6006" s="25" t="n"/>
      <c r="I6006" s="25" t="n"/>
      <c r="U6006" s="19">
        <f>IF($V6006&lt;&gt;'設定'!$C$4,N(U6005),IF(OR(NOT(COUNTIF('商品マスタ'!$B$6:$B$1005,$W6006)=0),COUNTIFS('①在庫を貼る'!$V$6:$V$10005,$V6006,'①在庫を貼る'!$W$6:$W$10005,$W6006)&gt;0),N(U6005),N(U6005)+1))</f>
        <v/>
      </c>
      <c r="V6006" s="19">
        <f>IF($B6006="","",TEXT($B6006,"0000"))</f>
        <v/>
      </c>
      <c r="W6006" s="19">
        <f>IF($I6006="","",IF(ISNUMBER($I6006),TEXT($I6006,"0"),$I6006))</f>
        <v/>
      </c>
    </row>
    <row r="6007">
      <c r="B6007" s="25" t="n"/>
      <c r="I6007" s="25" t="n"/>
      <c r="U6007" s="19">
        <f>IF($V6007&lt;&gt;'設定'!$C$4,N(U6006),IF(OR(NOT(COUNTIF('商品マスタ'!$B$6:$B$1005,$W6007)=0),COUNTIFS('①在庫を貼る'!$V$6:$V$10005,$V6007,'①在庫を貼る'!$W$6:$W$10005,$W6007)&gt;0),N(U6006),N(U6006)+1))</f>
        <v/>
      </c>
      <c r="V6007" s="19">
        <f>IF($B6007="","",TEXT($B6007,"0000"))</f>
        <v/>
      </c>
      <c r="W6007" s="19">
        <f>IF($I6007="","",IF(ISNUMBER($I6007),TEXT($I6007,"0"),$I6007))</f>
        <v/>
      </c>
    </row>
    <row r="6008">
      <c r="B6008" s="25" t="n"/>
      <c r="I6008" s="25" t="n"/>
      <c r="U6008" s="19">
        <f>IF($V6008&lt;&gt;'設定'!$C$4,N(U6007),IF(OR(NOT(COUNTIF('商品マスタ'!$B$6:$B$1005,$W6008)=0),COUNTIFS('①在庫を貼る'!$V$6:$V$10005,$V6008,'①在庫を貼る'!$W$6:$W$10005,$W6008)&gt;0),N(U6007),N(U6007)+1))</f>
        <v/>
      </c>
      <c r="V6008" s="19">
        <f>IF($B6008="","",TEXT($B6008,"0000"))</f>
        <v/>
      </c>
      <c r="W6008" s="19">
        <f>IF($I6008="","",IF(ISNUMBER($I6008),TEXT($I6008,"0"),$I6008))</f>
        <v/>
      </c>
    </row>
    <row r="6009">
      <c r="B6009" s="25" t="n"/>
      <c r="I6009" s="25" t="n"/>
      <c r="U6009" s="19">
        <f>IF($V6009&lt;&gt;'設定'!$C$4,N(U6008),IF(OR(NOT(COUNTIF('商品マスタ'!$B$6:$B$1005,$W6009)=0),COUNTIFS('①在庫を貼る'!$V$6:$V$10005,$V6009,'①在庫を貼る'!$W$6:$W$10005,$W6009)&gt;0),N(U6008),N(U6008)+1))</f>
        <v/>
      </c>
      <c r="V6009" s="19">
        <f>IF($B6009="","",TEXT($B6009,"0000"))</f>
        <v/>
      </c>
      <c r="W6009" s="19">
        <f>IF($I6009="","",IF(ISNUMBER($I6009),TEXT($I6009,"0"),$I6009))</f>
        <v/>
      </c>
    </row>
    <row r="6010">
      <c r="B6010" s="25" t="n"/>
      <c r="I6010" s="25" t="n"/>
      <c r="U6010" s="19">
        <f>IF($V6010&lt;&gt;'設定'!$C$4,N(U6009),IF(OR(NOT(COUNTIF('商品マスタ'!$B$6:$B$1005,$W6010)=0),COUNTIFS('①在庫を貼る'!$V$6:$V$10005,$V6010,'①在庫を貼る'!$W$6:$W$10005,$W6010)&gt;0),N(U6009),N(U6009)+1))</f>
        <v/>
      </c>
      <c r="V6010" s="19">
        <f>IF($B6010="","",TEXT($B6010,"0000"))</f>
        <v/>
      </c>
      <c r="W6010" s="19">
        <f>IF($I6010="","",IF(ISNUMBER($I6010),TEXT($I6010,"0"),$I6010))</f>
        <v/>
      </c>
    </row>
    <row r="6011">
      <c r="B6011" s="25" t="n"/>
      <c r="I6011" s="25" t="n"/>
      <c r="U6011" s="19">
        <f>IF($V6011&lt;&gt;'設定'!$C$4,N(U6010),IF(OR(NOT(COUNTIF('商品マスタ'!$B$6:$B$1005,$W6011)=0),COUNTIFS('①在庫を貼る'!$V$6:$V$10005,$V6011,'①在庫を貼る'!$W$6:$W$10005,$W6011)&gt;0),N(U6010),N(U6010)+1))</f>
        <v/>
      </c>
      <c r="V6011" s="19">
        <f>IF($B6011="","",TEXT($B6011,"0000"))</f>
        <v/>
      </c>
      <c r="W6011" s="19">
        <f>IF($I6011="","",IF(ISNUMBER($I6011),TEXT($I6011,"0"),$I6011))</f>
        <v/>
      </c>
    </row>
    <row r="6012">
      <c r="B6012" s="25" t="n"/>
      <c r="I6012" s="25" t="n"/>
      <c r="U6012" s="19">
        <f>IF($V6012&lt;&gt;'設定'!$C$4,N(U6011),IF(OR(NOT(COUNTIF('商品マスタ'!$B$6:$B$1005,$W6012)=0),COUNTIFS('①在庫を貼る'!$V$6:$V$10005,$V6012,'①在庫を貼る'!$W$6:$W$10005,$W6012)&gt;0),N(U6011),N(U6011)+1))</f>
        <v/>
      </c>
      <c r="V6012" s="19">
        <f>IF($B6012="","",TEXT($B6012,"0000"))</f>
        <v/>
      </c>
      <c r="W6012" s="19">
        <f>IF($I6012="","",IF(ISNUMBER($I6012),TEXT($I6012,"0"),$I6012))</f>
        <v/>
      </c>
    </row>
    <row r="6013">
      <c r="B6013" s="25" t="n"/>
      <c r="I6013" s="25" t="n"/>
      <c r="U6013" s="19">
        <f>IF($V6013&lt;&gt;'設定'!$C$4,N(U6012),IF(OR(NOT(COUNTIF('商品マスタ'!$B$6:$B$1005,$W6013)=0),COUNTIFS('①在庫を貼る'!$V$6:$V$10005,$V6013,'①在庫を貼る'!$W$6:$W$10005,$W6013)&gt;0),N(U6012),N(U6012)+1))</f>
        <v/>
      </c>
      <c r="V6013" s="19">
        <f>IF($B6013="","",TEXT($B6013,"0000"))</f>
        <v/>
      </c>
      <c r="W6013" s="19">
        <f>IF($I6013="","",IF(ISNUMBER($I6013),TEXT($I6013,"0"),$I6013))</f>
        <v/>
      </c>
    </row>
    <row r="6014">
      <c r="B6014" s="25" t="n"/>
      <c r="I6014" s="25" t="n"/>
      <c r="U6014" s="19">
        <f>IF($V6014&lt;&gt;'設定'!$C$4,N(U6013),IF(OR(NOT(COUNTIF('商品マスタ'!$B$6:$B$1005,$W6014)=0),COUNTIFS('①在庫を貼る'!$V$6:$V$10005,$V6014,'①在庫を貼る'!$W$6:$W$10005,$W6014)&gt;0),N(U6013),N(U6013)+1))</f>
        <v/>
      </c>
      <c r="V6014" s="19">
        <f>IF($B6014="","",TEXT($B6014,"0000"))</f>
        <v/>
      </c>
      <c r="W6014" s="19">
        <f>IF($I6014="","",IF(ISNUMBER($I6014),TEXT($I6014,"0"),$I6014))</f>
        <v/>
      </c>
    </row>
    <row r="6015">
      <c r="B6015" s="25" t="n"/>
      <c r="I6015" s="25" t="n"/>
      <c r="U6015" s="19">
        <f>IF($V6015&lt;&gt;'設定'!$C$4,N(U6014),IF(OR(NOT(COUNTIF('商品マスタ'!$B$6:$B$1005,$W6015)=0),COUNTIFS('①在庫を貼る'!$V$6:$V$10005,$V6015,'①在庫を貼る'!$W$6:$W$10005,$W6015)&gt;0),N(U6014),N(U6014)+1))</f>
        <v/>
      </c>
      <c r="V6015" s="19">
        <f>IF($B6015="","",TEXT($B6015,"0000"))</f>
        <v/>
      </c>
      <c r="W6015" s="19">
        <f>IF($I6015="","",IF(ISNUMBER($I6015),TEXT($I6015,"0"),$I6015))</f>
        <v/>
      </c>
    </row>
    <row r="6016">
      <c r="B6016" s="25" t="n"/>
      <c r="I6016" s="25" t="n"/>
      <c r="U6016" s="19">
        <f>IF($V6016&lt;&gt;'設定'!$C$4,N(U6015),IF(OR(NOT(COUNTIF('商品マスタ'!$B$6:$B$1005,$W6016)=0),COUNTIFS('①在庫を貼る'!$V$6:$V$10005,$V6016,'①在庫を貼る'!$W$6:$W$10005,$W6016)&gt;0),N(U6015),N(U6015)+1))</f>
        <v/>
      </c>
      <c r="V6016" s="19">
        <f>IF($B6016="","",TEXT($B6016,"0000"))</f>
        <v/>
      </c>
      <c r="W6016" s="19">
        <f>IF($I6016="","",IF(ISNUMBER($I6016),TEXT($I6016,"0"),$I6016))</f>
        <v/>
      </c>
    </row>
    <row r="6017">
      <c r="B6017" s="25" t="n"/>
      <c r="I6017" s="25" t="n"/>
      <c r="U6017" s="19">
        <f>IF($V6017&lt;&gt;'設定'!$C$4,N(U6016),IF(OR(NOT(COUNTIF('商品マスタ'!$B$6:$B$1005,$W6017)=0),COUNTIFS('①在庫を貼る'!$V$6:$V$10005,$V6017,'①在庫を貼る'!$W$6:$W$10005,$W6017)&gt;0),N(U6016),N(U6016)+1))</f>
        <v/>
      </c>
      <c r="V6017" s="19">
        <f>IF($B6017="","",TEXT($B6017,"0000"))</f>
        <v/>
      </c>
      <c r="W6017" s="19">
        <f>IF($I6017="","",IF(ISNUMBER($I6017),TEXT($I6017,"0"),$I6017))</f>
        <v/>
      </c>
    </row>
    <row r="6018">
      <c r="B6018" s="25" t="n"/>
      <c r="I6018" s="25" t="n"/>
      <c r="U6018" s="19">
        <f>IF($V6018&lt;&gt;'設定'!$C$4,N(U6017),IF(OR(NOT(COUNTIF('商品マスタ'!$B$6:$B$1005,$W6018)=0),COUNTIFS('①在庫を貼る'!$V$6:$V$10005,$V6018,'①在庫を貼る'!$W$6:$W$10005,$W6018)&gt;0),N(U6017),N(U6017)+1))</f>
        <v/>
      </c>
      <c r="V6018" s="19">
        <f>IF($B6018="","",TEXT($B6018,"0000"))</f>
        <v/>
      </c>
      <c r="W6018" s="19">
        <f>IF($I6018="","",IF(ISNUMBER($I6018),TEXT($I6018,"0"),$I6018))</f>
        <v/>
      </c>
    </row>
    <row r="6019">
      <c r="B6019" s="25" t="n"/>
      <c r="I6019" s="25" t="n"/>
      <c r="U6019" s="19">
        <f>IF($V6019&lt;&gt;'設定'!$C$4,N(U6018),IF(OR(NOT(COUNTIF('商品マスタ'!$B$6:$B$1005,$W6019)=0),COUNTIFS('①在庫を貼る'!$V$6:$V$10005,$V6019,'①在庫を貼る'!$W$6:$W$10005,$W6019)&gt;0),N(U6018),N(U6018)+1))</f>
        <v/>
      </c>
      <c r="V6019" s="19">
        <f>IF($B6019="","",TEXT($B6019,"0000"))</f>
        <v/>
      </c>
      <c r="W6019" s="19">
        <f>IF($I6019="","",IF(ISNUMBER($I6019),TEXT($I6019,"0"),$I6019))</f>
        <v/>
      </c>
    </row>
    <row r="6020">
      <c r="B6020" s="25" t="n"/>
      <c r="I6020" s="25" t="n"/>
      <c r="U6020" s="19">
        <f>IF($V6020&lt;&gt;'設定'!$C$4,N(U6019),IF(OR(NOT(COUNTIF('商品マスタ'!$B$6:$B$1005,$W6020)=0),COUNTIFS('①在庫を貼る'!$V$6:$V$10005,$V6020,'①在庫を貼る'!$W$6:$W$10005,$W6020)&gt;0),N(U6019),N(U6019)+1))</f>
        <v/>
      </c>
      <c r="V6020" s="19">
        <f>IF($B6020="","",TEXT($B6020,"0000"))</f>
        <v/>
      </c>
      <c r="W6020" s="19">
        <f>IF($I6020="","",IF(ISNUMBER($I6020),TEXT($I6020,"0"),$I6020))</f>
        <v/>
      </c>
    </row>
    <row r="6021">
      <c r="B6021" s="25" t="n"/>
      <c r="I6021" s="25" t="n"/>
      <c r="U6021" s="19">
        <f>IF($V6021&lt;&gt;'設定'!$C$4,N(U6020),IF(OR(NOT(COUNTIF('商品マスタ'!$B$6:$B$1005,$W6021)=0),COUNTIFS('①在庫を貼る'!$V$6:$V$10005,$V6021,'①在庫を貼る'!$W$6:$W$10005,$W6021)&gt;0),N(U6020),N(U6020)+1))</f>
        <v/>
      </c>
      <c r="V6021" s="19">
        <f>IF($B6021="","",TEXT($B6021,"0000"))</f>
        <v/>
      </c>
      <c r="W6021" s="19">
        <f>IF($I6021="","",IF(ISNUMBER($I6021),TEXT($I6021,"0"),$I6021))</f>
        <v/>
      </c>
    </row>
    <row r="6022">
      <c r="B6022" s="25" t="n"/>
      <c r="I6022" s="25" t="n"/>
      <c r="U6022" s="19">
        <f>IF($V6022&lt;&gt;'設定'!$C$4,N(U6021),IF(OR(NOT(COUNTIF('商品マスタ'!$B$6:$B$1005,$W6022)=0),COUNTIFS('①在庫を貼る'!$V$6:$V$10005,$V6022,'①在庫を貼る'!$W$6:$W$10005,$W6022)&gt;0),N(U6021),N(U6021)+1))</f>
        <v/>
      </c>
      <c r="V6022" s="19">
        <f>IF($B6022="","",TEXT($B6022,"0000"))</f>
        <v/>
      </c>
      <c r="W6022" s="19">
        <f>IF($I6022="","",IF(ISNUMBER($I6022),TEXT($I6022,"0"),$I6022))</f>
        <v/>
      </c>
    </row>
    <row r="6023">
      <c r="B6023" s="25" t="n"/>
      <c r="I6023" s="25" t="n"/>
      <c r="U6023" s="19">
        <f>IF($V6023&lt;&gt;'設定'!$C$4,N(U6022),IF(OR(NOT(COUNTIF('商品マスタ'!$B$6:$B$1005,$W6023)=0),COUNTIFS('①在庫を貼る'!$V$6:$V$10005,$V6023,'①在庫を貼る'!$W$6:$W$10005,$W6023)&gt;0),N(U6022),N(U6022)+1))</f>
        <v/>
      </c>
      <c r="V6023" s="19">
        <f>IF($B6023="","",TEXT($B6023,"0000"))</f>
        <v/>
      </c>
      <c r="W6023" s="19">
        <f>IF($I6023="","",IF(ISNUMBER($I6023),TEXT($I6023,"0"),$I6023))</f>
        <v/>
      </c>
    </row>
    <row r="6024">
      <c r="B6024" s="25" t="n"/>
      <c r="I6024" s="25" t="n"/>
      <c r="U6024" s="19">
        <f>IF($V6024&lt;&gt;'設定'!$C$4,N(U6023),IF(OR(NOT(COUNTIF('商品マスタ'!$B$6:$B$1005,$W6024)=0),COUNTIFS('①在庫を貼る'!$V$6:$V$10005,$V6024,'①在庫を貼る'!$W$6:$W$10005,$W6024)&gt;0),N(U6023),N(U6023)+1))</f>
        <v/>
      </c>
      <c r="V6024" s="19">
        <f>IF($B6024="","",TEXT($B6024,"0000"))</f>
        <v/>
      </c>
      <c r="W6024" s="19">
        <f>IF($I6024="","",IF(ISNUMBER($I6024),TEXT($I6024,"0"),$I6024))</f>
        <v/>
      </c>
    </row>
    <row r="6025">
      <c r="B6025" s="25" t="n"/>
      <c r="I6025" s="25" t="n"/>
      <c r="U6025" s="19">
        <f>IF($V6025&lt;&gt;'設定'!$C$4,N(U6024),IF(OR(NOT(COUNTIF('商品マスタ'!$B$6:$B$1005,$W6025)=0),COUNTIFS('①在庫を貼る'!$V$6:$V$10005,$V6025,'①在庫を貼る'!$W$6:$W$10005,$W6025)&gt;0),N(U6024),N(U6024)+1))</f>
        <v/>
      </c>
      <c r="V6025" s="19">
        <f>IF($B6025="","",TEXT($B6025,"0000"))</f>
        <v/>
      </c>
      <c r="W6025" s="19">
        <f>IF($I6025="","",IF(ISNUMBER($I6025),TEXT($I6025,"0"),$I6025))</f>
        <v/>
      </c>
    </row>
    <row r="6026">
      <c r="B6026" s="25" t="n"/>
      <c r="I6026" s="25" t="n"/>
      <c r="U6026" s="19">
        <f>IF($V6026&lt;&gt;'設定'!$C$4,N(U6025),IF(OR(NOT(COUNTIF('商品マスタ'!$B$6:$B$1005,$W6026)=0),COUNTIFS('①在庫を貼る'!$V$6:$V$10005,$V6026,'①在庫を貼る'!$W$6:$W$10005,$W6026)&gt;0),N(U6025),N(U6025)+1))</f>
        <v/>
      </c>
      <c r="V6026" s="19">
        <f>IF($B6026="","",TEXT($B6026,"0000"))</f>
        <v/>
      </c>
      <c r="W6026" s="19">
        <f>IF($I6026="","",IF(ISNUMBER($I6026),TEXT($I6026,"0"),$I6026))</f>
        <v/>
      </c>
    </row>
    <row r="6027">
      <c r="B6027" s="25" t="n"/>
      <c r="I6027" s="25" t="n"/>
      <c r="U6027" s="19">
        <f>IF($V6027&lt;&gt;'設定'!$C$4,N(U6026),IF(OR(NOT(COUNTIF('商品マスタ'!$B$6:$B$1005,$W6027)=0),COUNTIFS('①在庫を貼る'!$V$6:$V$10005,$V6027,'①在庫を貼る'!$W$6:$W$10005,$W6027)&gt;0),N(U6026),N(U6026)+1))</f>
        <v/>
      </c>
      <c r="V6027" s="19">
        <f>IF($B6027="","",TEXT($B6027,"0000"))</f>
        <v/>
      </c>
      <c r="W6027" s="19">
        <f>IF($I6027="","",IF(ISNUMBER($I6027),TEXT($I6027,"0"),$I6027))</f>
        <v/>
      </c>
    </row>
    <row r="6028">
      <c r="B6028" s="25" t="n"/>
      <c r="I6028" s="25" t="n"/>
      <c r="U6028" s="19">
        <f>IF($V6028&lt;&gt;'設定'!$C$4,N(U6027),IF(OR(NOT(COUNTIF('商品マスタ'!$B$6:$B$1005,$W6028)=0),COUNTIFS('①在庫を貼る'!$V$6:$V$10005,$V6028,'①在庫を貼る'!$W$6:$W$10005,$W6028)&gt;0),N(U6027),N(U6027)+1))</f>
        <v/>
      </c>
      <c r="V6028" s="19">
        <f>IF($B6028="","",TEXT($B6028,"0000"))</f>
        <v/>
      </c>
      <c r="W6028" s="19">
        <f>IF($I6028="","",IF(ISNUMBER($I6028),TEXT($I6028,"0"),$I6028))</f>
        <v/>
      </c>
    </row>
    <row r="6029">
      <c r="B6029" s="25" t="n"/>
      <c r="I6029" s="25" t="n"/>
      <c r="U6029" s="19">
        <f>IF($V6029&lt;&gt;'設定'!$C$4,N(U6028),IF(OR(NOT(COUNTIF('商品マスタ'!$B$6:$B$1005,$W6029)=0),COUNTIFS('①在庫を貼る'!$V$6:$V$10005,$V6029,'①在庫を貼る'!$W$6:$W$10005,$W6029)&gt;0),N(U6028),N(U6028)+1))</f>
        <v/>
      </c>
      <c r="V6029" s="19">
        <f>IF($B6029="","",TEXT($B6029,"0000"))</f>
        <v/>
      </c>
      <c r="W6029" s="19">
        <f>IF($I6029="","",IF(ISNUMBER($I6029),TEXT($I6029,"0"),$I6029))</f>
        <v/>
      </c>
    </row>
    <row r="6030">
      <c r="B6030" s="25" t="n"/>
      <c r="I6030" s="25" t="n"/>
      <c r="U6030" s="19">
        <f>IF($V6030&lt;&gt;'設定'!$C$4,N(U6029),IF(OR(NOT(COUNTIF('商品マスタ'!$B$6:$B$1005,$W6030)=0),COUNTIFS('①在庫を貼る'!$V$6:$V$10005,$V6030,'①在庫を貼る'!$W$6:$W$10005,$W6030)&gt;0),N(U6029),N(U6029)+1))</f>
        <v/>
      </c>
      <c r="V6030" s="19">
        <f>IF($B6030="","",TEXT($B6030,"0000"))</f>
        <v/>
      </c>
      <c r="W6030" s="19">
        <f>IF($I6030="","",IF(ISNUMBER($I6030),TEXT($I6030,"0"),$I6030))</f>
        <v/>
      </c>
    </row>
    <row r="6031">
      <c r="B6031" s="25" t="n"/>
      <c r="I6031" s="25" t="n"/>
      <c r="U6031" s="19">
        <f>IF($V6031&lt;&gt;'設定'!$C$4,N(U6030),IF(OR(NOT(COUNTIF('商品マスタ'!$B$6:$B$1005,$W6031)=0),COUNTIFS('①在庫を貼る'!$V$6:$V$10005,$V6031,'①在庫を貼る'!$W$6:$W$10005,$W6031)&gt;0),N(U6030),N(U6030)+1))</f>
        <v/>
      </c>
      <c r="V6031" s="19">
        <f>IF($B6031="","",TEXT($B6031,"0000"))</f>
        <v/>
      </c>
      <c r="W6031" s="19">
        <f>IF($I6031="","",IF(ISNUMBER($I6031),TEXT($I6031,"0"),$I6031))</f>
        <v/>
      </c>
    </row>
    <row r="6032">
      <c r="B6032" s="25" t="n"/>
      <c r="I6032" s="25" t="n"/>
      <c r="U6032" s="19">
        <f>IF($V6032&lt;&gt;'設定'!$C$4,N(U6031),IF(OR(NOT(COUNTIF('商品マスタ'!$B$6:$B$1005,$W6032)=0),COUNTIFS('①在庫を貼る'!$V$6:$V$10005,$V6032,'①在庫を貼る'!$W$6:$W$10005,$W6032)&gt;0),N(U6031),N(U6031)+1))</f>
        <v/>
      </c>
      <c r="V6032" s="19">
        <f>IF($B6032="","",TEXT($B6032,"0000"))</f>
        <v/>
      </c>
      <c r="W6032" s="19">
        <f>IF($I6032="","",IF(ISNUMBER($I6032),TEXT($I6032,"0"),$I6032))</f>
        <v/>
      </c>
    </row>
    <row r="6033">
      <c r="B6033" s="25" t="n"/>
      <c r="I6033" s="25" t="n"/>
      <c r="U6033" s="19">
        <f>IF($V6033&lt;&gt;'設定'!$C$4,N(U6032),IF(OR(NOT(COUNTIF('商品マスタ'!$B$6:$B$1005,$W6033)=0),COUNTIFS('①在庫を貼る'!$V$6:$V$10005,$V6033,'①在庫を貼る'!$W$6:$W$10005,$W6033)&gt;0),N(U6032),N(U6032)+1))</f>
        <v/>
      </c>
      <c r="V6033" s="19">
        <f>IF($B6033="","",TEXT($B6033,"0000"))</f>
        <v/>
      </c>
      <c r="W6033" s="19">
        <f>IF($I6033="","",IF(ISNUMBER($I6033),TEXT($I6033,"0"),$I6033))</f>
        <v/>
      </c>
    </row>
    <row r="6034">
      <c r="B6034" s="25" t="n"/>
      <c r="I6034" s="25" t="n"/>
      <c r="U6034" s="19">
        <f>IF($V6034&lt;&gt;'設定'!$C$4,N(U6033),IF(OR(NOT(COUNTIF('商品マスタ'!$B$6:$B$1005,$W6034)=0),COUNTIFS('①在庫を貼る'!$V$6:$V$10005,$V6034,'①在庫を貼る'!$W$6:$W$10005,$W6034)&gt;0),N(U6033),N(U6033)+1))</f>
        <v/>
      </c>
      <c r="V6034" s="19">
        <f>IF($B6034="","",TEXT($B6034,"0000"))</f>
        <v/>
      </c>
      <c r="W6034" s="19">
        <f>IF($I6034="","",IF(ISNUMBER($I6034),TEXT($I6034,"0"),$I6034))</f>
        <v/>
      </c>
    </row>
    <row r="6035">
      <c r="B6035" s="25" t="n"/>
      <c r="I6035" s="25" t="n"/>
      <c r="U6035" s="19">
        <f>IF($V6035&lt;&gt;'設定'!$C$4,N(U6034),IF(OR(NOT(COUNTIF('商品マスタ'!$B$6:$B$1005,$W6035)=0),COUNTIFS('①在庫を貼る'!$V$6:$V$10005,$V6035,'①在庫を貼る'!$W$6:$W$10005,$W6035)&gt;0),N(U6034),N(U6034)+1))</f>
        <v/>
      </c>
      <c r="V6035" s="19">
        <f>IF($B6035="","",TEXT($B6035,"0000"))</f>
        <v/>
      </c>
      <c r="W6035" s="19">
        <f>IF($I6035="","",IF(ISNUMBER($I6035),TEXT($I6035,"0"),$I6035))</f>
        <v/>
      </c>
    </row>
    <row r="6036">
      <c r="B6036" s="25" t="n"/>
      <c r="I6036" s="25" t="n"/>
      <c r="U6036" s="19">
        <f>IF($V6036&lt;&gt;'設定'!$C$4,N(U6035),IF(OR(NOT(COUNTIF('商品マスタ'!$B$6:$B$1005,$W6036)=0),COUNTIFS('①在庫を貼る'!$V$6:$V$10005,$V6036,'①在庫を貼る'!$W$6:$W$10005,$W6036)&gt;0),N(U6035),N(U6035)+1))</f>
        <v/>
      </c>
      <c r="V6036" s="19">
        <f>IF($B6036="","",TEXT($B6036,"0000"))</f>
        <v/>
      </c>
      <c r="W6036" s="19">
        <f>IF($I6036="","",IF(ISNUMBER($I6036),TEXT($I6036,"0"),$I6036))</f>
        <v/>
      </c>
    </row>
    <row r="6037">
      <c r="B6037" s="25" t="n"/>
      <c r="I6037" s="25" t="n"/>
      <c r="U6037" s="19">
        <f>IF($V6037&lt;&gt;'設定'!$C$4,N(U6036),IF(OR(NOT(COUNTIF('商品マスタ'!$B$6:$B$1005,$W6037)=0),COUNTIFS('①在庫を貼る'!$V$6:$V$10005,$V6037,'①在庫を貼る'!$W$6:$W$10005,$W6037)&gt;0),N(U6036),N(U6036)+1))</f>
        <v/>
      </c>
      <c r="V6037" s="19">
        <f>IF($B6037="","",TEXT($B6037,"0000"))</f>
        <v/>
      </c>
      <c r="W6037" s="19">
        <f>IF($I6037="","",IF(ISNUMBER($I6037),TEXT($I6037,"0"),$I6037))</f>
        <v/>
      </c>
    </row>
    <row r="6038">
      <c r="B6038" s="25" t="n"/>
      <c r="I6038" s="25" t="n"/>
      <c r="U6038" s="19">
        <f>IF($V6038&lt;&gt;'設定'!$C$4,N(U6037),IF(OR(NOT(COUNTIF('商品マスタ'!$B$6:$B$1005,$W6038)=0),COUNTIFS('①在庫を貼る'!$V$6:$V$10005,$V6038,'①在庫を貼る'!$W$6:$W$10005,$W6038)&gt;0),N(U6037),N(U6037)+1))</f>
        <v/>
      </c>
      <c r="V6038" s="19">
        <f>IF($B6038="","",TEXT($B6038,"0000"))</f>
        <v/>
      </c>
      <c r="W6038" s="19">
        <f>IF($I6038="","",IF(ISNUMBER($I6038),TEXT($I6038,"0"),$I6038))</f>
        <v/>
      </c>
    </row>
    <row r="6039">
      <c r="B6039" s="25" t="n"/>
      <c r="I6039" s="25" t="n"/>
      <c r="U6039" s="19">
        <f>IF($V6039&lt;&gt;'設定'!$C$4,N(U6038),IF(OR(NOT(COUNTIF('商品マスタ'!$B$6:$B$1005,$W6039)=0),COUNTIFS('①在庫を貼る'!$V$6:$V$10005,$V6039,'①在庫を貼る'!$W$6:$W$10005,$W6039)&gt;0),N(U6038),N(U6038)+1))</f>
        <v/>
      </c>
      <c r="V6039" s="19">
        <f>IF($B6039="","",TEXT($B6039,"0000"))</f>
        <v/>
      </c>
      <c r="W6039" s="19">
        <f>IF($I6039="","",IF(ISNUMBER($I6039),TEXT($I6039,"0"),$I6039))</f>
        <v/>
      </c>
    </row>
    <row r="6040">
      <c r="B6040" s="25" t="n"/>
      <c r="I6040" s="25" t="n"/>
      <c r="U6040" s="19">
        <f>IF($V6040&lt;&gt;'設定'!$C$4,N(U6039),IF(OR(NOT(COUNTIF('商品マスタ'!$B$6:$B$1005,$W6040)=0),COUNTIFS('①在庫を貼る'!$V$6:$V$10005,$V6040,'①在庫を貼る'!$W$6:$W$10005,$W6040)&gt;0),N(U6039),N(U6039)+1))</f>
        <v/>
      </c>
      <c r="V6040" s="19">
        <f>IF($B6040="","",TEXT($B6040,"0000"))</f>
        <v/>
      </c>
      <c r="W6040" s="19">
        <f>IF($I6040="","",IF(ISNUMBER($I6040),TEXT($I6040,"0"),$I6040))</f>
        <v/>
      </c>
    </row>
    <row r="6041">
      <c r="B6041" s="25" t="n"/>
      <c r="I6041" s="25" t="n"/>
      <c r="U6041" s="19">
        <f>IF($V6041&lt;&gt;'設定'!$C$4,N(U6040),IF(OR(NOT(COUNTIF('商品マスタ'!$B$6:$B$1005,$W6041)=0),COUNTIFS('①在庫を貼る'!$V$6:$V$10005,$V6041,'①在庫を貼る'!$W$6:$W$10005,$W6041)&gt;0),N(U6040),N(U6040)+1))</f>
        <v/>
      </c>
      <c r="V6041" s="19">
        <f>IF($B6041="","",TEXT($B6041,"0000"))</f>
        <v/>
      </c>
      <c r="W6041" s="19">
        <f>IF($I6041="","",IF(ISNUMBER($I6041),TEXT($I6041,"0"),$I6041))</f>
        <v/>
      </c>
    </row>
    <row r="6042">
      <c r="B6042" s="25" t="n"/>
      <c r="I6042" s="25" t="n"/>
      <c r="U6042" s="19">
        <f>IF($V6042&lt;&gt;'設定'!$C$4,N(U6041),IF(OR(NOT(COUNTIF('商品マスタ'!$B$6:$B$1005,$W6042)=0),COUNTIFS('①在庫を貼る'!$V$6:$V$10005,$V6042,'①在庫を貼る'!$W$6:$W$10005,$W6042)&gt;0),N(U6041),N(U6041)+1))</f>
        <v/>
      </c>
      <c r="V6042" s="19">
        <f>IF($B6042="","",TEXT($B6042,"0000"))</f>
        <v/>
      </c>
      <c r="W6042" s="19">
        <f>IF($I6042="","",IF(ISNUMBER($I6042),TEXT($I6042,"0"),$I6042))</f>
        <v/>
      </c>
    </row>
    <row r="6043">
      <c r="B6043" s="25" t="n"/>
      <c r="I6043" s="25" t="n"/>
      <c r="U6043" s="19">
        <f>IF($V6043&lt;&gt;'設定'!$C$4,N(U6042),IF(OR(NOT(COUNTIF('商品マスタ'!$B$6:$B$1005,$W6043)=0),COUNTIFS('①在庫を貼る'!$V$6:$V$10005,$V6043,'①在庫を貼る'!$W$6:$W$10005,$W6043)&gt;0),N(U6042),N(U6042)+1))</f>
        <v/>
      </c>
      <c r="V6043" s="19">
        <f>IF($B6043="","",TEXT($B6043,"0000"))</f>
        <v/>
      </c>
      <c r="W6043" s="19">
        <f>IF($I6043="","",IF(ISNUMBER($I6043),TEXT($I6043,"0"),$I6043))</f>
        <v/>
      </c>
    </row>
    <row r="6044">
      <c r="B6044" s="25" t="n"/>
      <c r="I6044" s="25" t="n"/>
      <c r="U6044" s="19">
        <f>IF($V6044&lt;&gt;'設定'!$C$4,N(U6043),IF(OR(NOT(COUNTIF('商品マスタ'!$B$6:$B$1005,$W6044)=0),COUNTIFS('①在庫を貼る'!$V$6:$V$10005,$V6044,'①在庫を貼る'!$W$6:$W$10005,$W6044)&gt;0),N(U6043),N(U6043)+1))</f>
        <v/>
      </c>
      <c r="V6044" s="19">
        <f>IF($B6044="","",TEXT($B6044,"0000"))</f>
        <v/>
      </c>
      <c r="W6044" s="19">
        <f>IF($I6044="","",IF(ISNUMBER($I6044),TEXT($I6044,"0"),$I6044))</f>
        <v/>
      </c>
    </row>
    <row r="6045">
      <c r="B6045" s="25" t="n"/>
      <c r="I6045" s="25" t="n"/>
      <c r="U6045" s="19">
        <f>IF($V6045&lt;&gt;'設定'!$C$4,N(U6044),IF(OR(NOT(COUNTIF('商品マスタ'!$B$6:$B$1005,$W6045)=0),COUNTIFS('①在庫を貼る'!$V$6:$V$10005,$V6045,'①在庫を貼る'!$W$6:$W$10005,$W6045)&gt;0),N(U6044),N(U6044)+1))</f>
        <v/>
      </c>
      <c r="V6045" s="19">
        <f>IF($B6045="","",TEXT($B6045,"0000"))</f>
        <v/>
      </c>
      <c r="W6045" s="19">
        <f>IF($I6045="","",IF(ISNUMBER($I6045),TEXT($I6045,"0"),$I6045))</f>
        <v/>
      </c>
    </row>
    <row r="6046">
      <c r="B6046" s="25" t="n"/>
      <c r="I6046" s="25" t="n"/>
      <c r="U6046" s="19">
        <f>IF($V6046&lt;&gt;'設定'!$C$4,N(U6045),IF(OR(NOT(COUNTIF('商品マスタ'!$B$6:$B$1005,$W6046)=0),COUNTIFS('①在庫を貼る'!$V$6:$V$10005,$V6046,'①在庫を貼る'!$W$6:$W$10005,$W6046)&gt;0),N(U6045),N(U6045)+1))</f>
        <v/>
      </c>
      <c r="V6046" s="19">
        <f>IF($B6046="","",TEXT($B6046,"0000"))</f>
        <v/>
      </c>
      <c r="W6046" s="19">
        <f>IF($I6046="","",IF(ISNUMBER($I6046),TEXT($I6046,"0"),$I6046))</f>
        <v/>
      </c>
    </row>
    <row r="6047">
      <c r="B6047" s="25" t="n"/>
      <c r="I6047" s="25" t="n"/>
      <c r="U6047" s="19">
        <f>IF($V6047&lt;&gt;'設定'!$C$4,N(U6046),IF(OR(NOT(COUNTIF('商品マスタ'!$B$6:$B$1005,$W6047)=0),COUNTIFS('①在庫を貼る'!$V$6:$V$10005,$V6047,'①在庫を貼る'!$W$6:$W$10005,$W6047)&gt;0),N(U6046),N(U6046)+1))</f>
        <v/>
      </c>
      <c r="V6047" s="19">
        <f>IF($B6047="","",TEXT($B6047,"0000"))</f>
        <v/>
      </c>
      <c r="W6047" s="19">
        <f>IF($I6047="","",IF(ISNUMBER($I6047),TEXT($I6047,"0"),$I6047))</f>
        <v/>
      </c>
    </row>
    <row r="6048">
      <c r="B6048" s="25" t="n"/>
      <c r="I6048" s="25" t="n"/>
      <c r="U6048" s="19">
        <f>IF($V6048&lt;&gt;'設定'!$C$4,N(U6047),IF(OR(NOT(COUNTIF('商品マスタ'!$B$6:$B$1005,$W6048)=0),COUNTIFS('①在庫を貼る'!$V$6:$V$10005,$V6048,'①在庫を貼る'!$W$6:$W$10005,$W6048)&gt;0),N(U6047),N(U6047)+1))</f>
        <v/>
      </c>
      <c r="V6048" s="19">
        <f>IF($B6048="","",TEXT($B6048,"0000"))</f>
        <v/>
      </c>
      <c r="W6048" s="19">
        <f>IF($I6048="","",IF(ISNUMBER($I6048),TEXT($I6048,"0"),$I6048))</f>
        <v/>
      </c>
    </row>
    <row r="6049">
      <c r="B6049" s="25" t="n"/>
      <c r="I6049" s="25" t="n"/>
      <c r="U6049" s="19">
        <f>IF($V6049&lt;&gt;'設定'!$C$4,N(U6048),IF(OR(NOT(COUNTIF('商品マスタ'!$B$6:$B$1005,$W6049)=0),COUNTIFS('①在庫を貼る'!$V$6:$V$10005,$V6049,'①在庫を貼る'!$W$6:$W$10005,$W6049)&gt;0),N(U6048),N(U6048)+1))</f>
        <v/>
      </c>
      <c r="V6049" s="19">
        <f>IF($B6049="","",TEXT($B6049,"0000"))</f>
        <v/>
      </c>
      <c r="W6049" s="19">
        <f>IF($I6049="","",IF(ISNUMBER($I6049),TEXT($I6049,"0"),$I6049))</f>
        <v/>
      </c>
    </row>
    <row r="6050">
      <c r="B6050" s="25" t="n"/>
      <c r="I6050" s="25" t="n"/>
      <c r="U6050" s="19">
        <f>IF($V6050&lt;&gt;'設定'!$C$4,N(U6049),IF(OR(NOT(COUNTIF('商品マスタ'!$B$6:$B$1005,$W6050)=0),COUNTIFS('①在庫を貼る'!$V$6:$V$10005,$V6050,'①在庫を貼る'!$W$6:$W$10005,$W6050)&gt;0),N(U6049),N(U6049)+1))</f>
        <v/>
      </c>
      <c r="V6050" s="19">
        <f>IF($B6050="","",TEXT($B6050,"0000"))</f>
        <v/>
      </c>
      <c r="W6050" s="19">
        <f>IF($I6050="","",IF(ISNUMBER($I6050),TEXT($I6050,"0"),$I6050))</f>
        <v/>
      </c>
    </row>
    <row r="6051">
      <c r="B6051" s="25" t="n"/>
      <c r="I6051" s="25" t="n"/>
      <c r="U6051" s="19">
        <f>IF($V6051&lt;&gt;'設定'!$C$4,N(U6050),IF(OR(NOT(COUNTIF('商品マスタ'!$B$6:$B$1005,$W6051)=0),COUNTIFS('①在庫を貼る'!$V$6:$V$10005,$V6051,'①在庫を貼る'!$W$6:$W$10005,$W6051)&gt;0),N(U6050),N(U6050)+1))</f>
        <v/>
      </c>
      <c r="V6051" s="19">
        <f>IF($B6051="","",TEXT($B6051,"0000"))</f>
        <v/>
      </c>
      <c r="W6051" s="19">
        <f>IF($I6051="","",IF(ISNUMBER($I6051),TEXT($I6051,"0"),$I6051))</f>
        <v/>
      </c>
    </row>
    <row r="6052">
      <c r="B6052" s="25" t="n"/>
      <c r="I6052" s="25" t="n"/>
      <c r="U6052" s="19">
        <f>IF($V6052&lt;&gt;'設定'!$C$4,N(U6051),IF(OR(NOT(COUNTIF('商品マスタ'!$B$6:$B$1005,$W6052)=0),COUNTIFS('①在庫を貼る'!$V$6:$V$10005,$V6052,'①在庫を貼る'!$W$6:$W$10005,$W6052)&gt;0),N(U6051),N(U6051)+1))</f>
        <v/>
      </c>
      <c r="V6052" s="19">
        <f>IF($B6052="","",TEXT($B6052,"0000"))</f>
        <v/>
      </c>
      <c r="W6052" s="19">
        <f>IF($I6052="","",IF(ISNUMBER($I6052),TEXT($I6052,"0"),$I6052))</f>
        <v/>
      </c>
    </row>
    <row r="6053">
      <c r="B6053" s="25" t="n"/>
      <c r="I6053" s="25" t="n"/>
      <c r="U6053" s="19">
        <f>IF($V6053&lt;&gt;'設定'!$C$4,N(U6052),IF(OR(NOT(COUNTIF('商品マスタ'!$B$6:$B$1005,$W6053)=0),COUNTIFS('①在庫を貼る'!$V$6:$V$10005,$V6053,'①在庫を貼る'!$W$6:$W$10005,$W6053)&gt;0),N(U6052),N(U6052)+1))</f>
        <v/>
      </c>
      <c r="V6053" s="19">
        <f>IF($B6053="","",TEXT($B6053,"0000"))</f>
        <v/>
      </c>
      <c r="W6053" s="19">
        <f>IF($I6053="","",IF(ISNUMBER($I6053),TEXT($I6053,"0"),$I6053))</f>
        <v/>
      </c>
    </row>
    <row r="6054">
      <c r="B6054" s="25" t="n"/>
      <c r="I6054" s="25" t="n"/>
      <c r="U6054" s="19">
        <f>IF($V6054&lt;&gt;'設定'!$C$4,N(U6053),IF(OR(NOT(COUNTIF('商品マスタ'!$B$6:$B$1005,$W6054)=0),COUNTIFS('①在庫を貼る'!$V$6:$V$10005,$V6054,'①在庫を貼る'!$W$6:$W$10005,$W6054)&gt;0),N(U6053),N(U6053)+1))</f>
        <v/>
      </c>
      <c r="V6054" s="19">
        <f>IF($B6054="","",TEXT($B6054,"0000"))</f>
        <v/>
      </c>
      <c r="W6054" s="19">
        <f>IF($I6054="","",IF(ISNUMBER($I6054),TEXT($I6054,"0"),$I6054))</f>
        <v/>
      </c>
    </row>
    <row r="6055">
      <c r="B6055" s="25" t="n"/>
      <c r="I6055" s="25" t="n"/>
      <c r="U6055" s="19">
        <f>IF($V6055&lt;&gt;'設定'!$C$4,N(U6054),IF(OR(NOT(COUNTIF('商品マスタ'!$B$6:$B$1005,$W6055)=0),COUNTIFS('①在庫を貼る'!$V$6:$V$10005,$V6055,'①在庫を貼る'!$W$6:$W$10005,$W6055)&gt;0),N(U6054),N(U6054)+1))</f>
        <v/>
      </c>
      <c r="V6055" s="19">
        <f>IF($B6055="","",TEXT($B6055,"0000"))</f>
        <v/>
      </c>
      <c r="W6055" s="19">
        <f>IF($I6055="","",IF(ISNUMBER($I6055),TEXT($I6055,"0"),$I6055))</f>
        <v/>
      </c>
    </row>
    <row r="6056">
      <c r="B6056" s="25" t="n"/>
      <c r="I6056" s="25" t="n"/>
      <c r="U6056" s="19">
        <f>IF($V6056&lt;&gt;'設定'!$C$4,N(U6055),IF(OR(NOT(COUNTIF('商品マスタ'!$B$6:$B$1005,$W6056)=0),COUNTIFS('①在庫を貼る'!$V$6:$V$10005,$V6056,'①在庫を貼る'!$W$6:$W$10005,$W6056)&gt;0),N(U6055),N(U6055)+1))</f>
        <v/>
      </c>
      <c r="V6056" s="19">
        <f>IF($B6056="","",TEXT($B6056,"0000"))</f>
        <v/>
      </c>
      <c r="W6056" s="19">
        <f>IF($I6056="","",IF(ISNUMBER($I6056),TEXT($I6056,"0"),$I6056))</f>
        <v/>
      </c>
    </row>
    <row r="6057">
      <c r="B6057" s="25" t="n"/>
      <c r="I6057" s="25" t="n"/>
      <c r="U6057" s="19">
        <f>IF($V6057&lt;&gt;'設定'!$C$4,N(U6056),IF(OR(NOT(COUNTIF('商品マスタ'!$B$6:$B$1005,$W6057)=0),COUNTIFS('①在庫を貼る'!$V$6:$V$10005,$V6057,'①在庫を貼る'!$W$6:$W$10005,$W6057)&gt;0),N(U6056),N(U6056)+1))</f>
        <v/>
      </c>
      <c r="V6057" s="19">
        <f>IF($B6057="","",TEXT($B6057,"0000"))</f>
        <v/>
      </c>
      <c r="W6057" s="19">
        <f>IF($I6057="","",IF(ISNUMBER($I6057),TEXT($I6057,"0"),$I6057))</f>
        <v/>
      </c>
    </row>
    <row r="6058">
      <c r="B6058" s="25" t="n"/>
      <c r="I6058" s="25" t="n"/>
      <c r="U6058" s="19">
        <f>IF($V6058&lt;&gt;'設定'!$C$4,N(U6057),IF(OR(NOT(COUNTIF('商品マスタ'!$B$6:$B$1005,$W6058)=0),COUNTIFS('①在庫を貼る'!$V$6:$V$10005,$V6058,'①在庫を貼る'!$W$6:$W$10005,$W6058)&gt;0),N(U6057),N(U6057)+1))</f>
        <v/>
      </c>
      <c r="V6058" s="19">
        <f>IF($B6058="","",TEXT($B6058,"0000"))</f>
        <v/>
      </c>
      <c r="W6058" s="19">
        <f>IF($I6058="","",IF(ISNUMBER($I6058),TEXT($I6058,"0"),$I6058))</f>
        <v/>
      </c>
    </row>
    <row r="6059">
      <c r="B6059" s="25" t="n"/>
      <c r="I6059" s="25" t="n"/>
      <c r="U6059" s="19">
        <f>IF($V6059&lt;&gt;'設定'!$C$4,N(U6058),IF(OR(NOT(COUNTIF('商品マスタ'!$B$6:$B$1005,$W6059)=0),COUNTIFS('①在庫を貼る'!$V$6:$V$10005,$V6059,'①在庫を貼る'!$W$6:$W$10005,$W6059)&gt;0),N(U6058),N(U6058)+1))</f>
        <v/>
      </c>
      <c r="V6059" s="19">
        <f>IF($B6059="","",TEXT($B6059,"0000"))</f>
        <v/>
      </c>
      <c r="W6059" s="19">
        <f>IF($I6059="","",IF(ISNUMBER($I6059),TEXT($I6059,"0"),$I6059))</f>
        <v/>
      </c>
    </row>
    <row r="6060">
      <c r="B6060" s="25" t="n"/>
      <c r="I6060" s="25" t="n"/>
      <c r="U6060" s="19">
        <f>IF($V6060&lt;&gt;'設定'!$C$4,N(U6059),IF(OR(NOT(COUNTIF('商品マスタ'!$B$6:$B$1005,$W6060)=0),COUNTIFS('①在庫を貼る'!$V$6:$V$10005,$V6060,'①在庫を貼る'!$W$6:$W$10005,$W6060)&gt;0),N(U6059),N(U6059)+1))</f>
        <v/>
      </c>
      <c r="V6060" s="19">
        <f>IF($B6060="","",TEXT($B6060,"0000"))</f>
        <v/>
      </c>
      <c r="W6060" s="19">
        <f>IF($I6060="","",IF(ISNUMBER($I6060),TEXT($I6060,"0"),$I6060))</f>
        <v/>
      </c>
    </row>
    <row r="6061">
      <c r="B6061" s="25" t="n"/>
      <c r="I6061" s="25" t="n"/>
      <c r="U6061" s="19">
        <f>IF($V6061&lt;&gt;'設定'!$C$4,N(U6060),IF(OR(NOT(COUNTIF('商品マスタ'!$B$6:$B$1005,$W6061)=0),COUNTIFS('①在庫を貼る'!$V$6:$V$10005,$V6061,'①在庫を貼る'!$W$6:$W$10005,$W6061)&gt;0),N(U6060),N(U6060)+1))</f>
        <v/>
      </c>
      <c r="V6061" s="19">
        <f>IF($B6061="","",TEXT($B6061,"0000"))</f>
        <v/>
      </c>
      <c r="W6061" s="19">
        <f>IF($I6061="","",IF(ISNUMBER($I6061),TEXT($I6061,"0"),$I6061))</f>
        <v/>
      </c>
    </row>
    <row r="6062">
      <c r="B6062" s="25" t="n"/>
      <c r="I6062" s="25" t="n"/>
      <c r="U6062" s="19">
        <f>IF($V6062&lt;&gt;'設定'!$C$4,N(U6061),IF(OR(NOT(COUNTIF('商品マスタ'!$B$6:$B$1005,$W6062)=0),COUNTIFS('①在庫を貼る'!$V$6:$V$10005,$V6062,'①在庫を貼る'!$W$6:$W$10005,$W6062)&gt;0),N(U6061),N(U6061)+1))</f>
        <v/>
      </c>
      <c r="V6062" s="19">
        <f>IF($B6062="","",TEXT($B6062,"0000"))</f>
        <v/>
      </c>
      <c r="W6062" s="19">
        <f>IF($I6062="","",IF(ISNUMBER($I6062),TEXT($I6062,"0"),$I6062))</f>
        <v/>
      </c>
    </row>
    <row r="6063">
      <c r="B6063" s="25" t="n"/>
      <c r="I6063" s="25" t="n"/>
      <c r="U6063" s="19">
        <f>IF($V6063&lt;&gt;'設定'!$C$4,N(U6062),IF(OR(NOT(COUNTIF('商品マスタ'!$B$6:$B$1005,$W6063)=0),COUNTIFS('①在庫を貼る'!$V$6:$V$10005,$V6063,'①在庫を貼る'!$W$6:$W$10005,$W6063)&gt;0),N(U6062),N(U6062)+1))</f>
        <v/>
      </c>
      <c r="V6063" s="19">
        <f>IF($B6063="","",TEXT($B6063,"0000"))</f>
        <v/>
      </c>
      <c r="W6063" s="19">
        <f>IF($I6063="","",IF(ISNUMBER($I6063),TEXT($I6063,"0"),$I6063))</f>
        <v/>
      </c>
    </row>
    <row r="6064">
      <c r="B6064" s="25" t="n"/>
      <c r="I6064" s="25" t="n"/>
      <c r="U6064" s="19">
        <f>IF($V6064&lt;&gt;'設定'!$C$4,N(U6063),IF(OR(NOT(COUNTIF('商品マスタ'!$B$6:$B$1005,$W6064)=0),COUNTIFS('①在庫を貼る'!$V$6:$V$10005,$V6064,'①在庫を貼る'!$W$6:$W$10005,$W6064)&gt;0),N(U6063),N(U6063)+1))</f>
        <v/>
      </c>
      <c r="V6064" s="19">
        <f>IF($B6064="","",TEXT($B6064,"0000"))</f>
        <v/>
      </c>
      <c r="W6064" s="19">
        <f>IF($I6064="","",IF(ISNUMBER($I6064),TEXT($I6064,"0"),$I6064))</f>
        <v/>
      </c>
    </row>
    <row r="6065">
      <c r="B6065" s="25" t="n"/>
      <c r="I6065" s="25" t="n"/>
      <c r="U6065" s="19">
        <f>IF($V6065&lt;&gt;'設定'!$C$4,N(U6064),IF(OR(NOT(COUNTIF('商品マスタ'!$B$6:$B$1005,$W6065)=0),COUNTIFS('①在庫を貼る'!$V$6:$V$10005,$V6065,'①在庫を貼る'!$W$6:$W$10005,$W6065)&gt;0),N(U6064),N(U6064)+1))</f>
        <v/>
      </c>
      <c r="V6065" s="19">
        <f>IF($B6065="","",TEXT($B6065,"0000"))</f>
        <v/>
      </c>
      <c r="W6065" s="19">
        <f>IF($I6065="","",IF(ISNUMBER($I6065),TEXT($I6065,"0"),$I6065))</f>
        <v/>
      </c>
    </row>
    <row r="6066">
      <c r="B6066" s="25" t="n"/>
      <c r="I6066" s="25" t="n"/>
      <c r="U6066" s="19">
        <f>IF($V6066&lt;&gt;'設定'!$C$4,N(U6065),IF(OR(NOT(COUNTIF('商品マスタ'!$B$6:$B$1005,$W6066)=0),COUNTIFS('①在庫を貼る'!$V$6:$V$10005,$V6066,'①在庫を貼る'!$W$6:$W$10005,$W6066)&gt;0),N(U6065),N(U6065)+1))</f>
        <v/>
      </c>
      <c r="V6066" s="19">
        <f>IF($B6066="","",TEXT($B6066,"0000"))</f>
        <v/>
      </c>
      <c r="W6066" s="19">
        <f>IF($I6066="","",IF(ISNUMBER($I6066),TEXT($I6066,"0"),$I6066))</f>
        <v/>
      </c>
    </row>
    <row r="6067">
      <c r="B6067" s="25" t="n"/>
      <c r="I6067" s="25" t="n"/>
      <c r="U6067" s="19">
        <f>IF($V6067&lt;&gt;'設定'!$C$4,N(U6066),IF(OR(NOT(COUNTIF('商品マスタ'!$B$6:$B$1005,$W6067)=0),COUNTIFS('①在庫を貼る'!$V$6:$V$10005,$V6067,'①在庫を貼る'!$W$6:$W$10005,$W6067)&gt;0),N(U6066),N(U6066)+1))</f>
        <v/>
      </c>
      <c r="V6067" s="19">
        <f>IF($B6067="","",TEXT($B6067,"0000"))</f>
        <v/>
      </c>
      <c r="W6067" s="19">
        <f>IF($I6067="","",IF(ISNUMBER($I6067),TEXT($I6067,"0"),$I6067))</f>
        <v/>
      </c>
    </row>
    <row r="6068">
      <c r="B6068" s="25" t="n"/>
      <c r="I6068" s="25" t="n"/>
      <c r="U6068" s="19">
        <f>IF($V6068&lt;&gt;'設定'!$C$4,N(U6067),IF(OR(NOT(COUNTIF('商品マスタ'!$B$6:$B$1005,$W6068)=0),COUNTIFS('①在庫を貼る'!$V$6:$V$10005,$V6068,'①在庫を貼る'!$W$6:$W$10005,$W6068)&gt;0),N(U6067),N(U6067)+1))</f>
        <v/>
      </c>
      <c r="V6068" s="19">
        <f>IF($B6068="","",TEXT($B6068,"0000"))</f>
        <v/>
      </c>
      <c r="W6068" s="19">
        <f>IF($I6068="","",IF(ISNUMBER($I6068),TEXT($I6068,"0"),$I6068))</f>
        <v/>
      </c>
    </row>
    <row r="6069">
      <c r="B6069" s="25" t="n"/>
      <c r="I6069" s="25" t="n"/>
      <c r="U6069" s="19">
        <f>IF($V6069&lt;&gt;'設定'!$C$4,N(U6068),IF(OR(NOT(COUNTIF('商品マスタ'!$B$6:$B$1005,$W6069)=0),COUNTIFS('①在庫を貼る'!$V$6:$V$10005,$V6069,'①在庫を貼る'!$W$6:$W$10005,$W6069)&gt;0),N(U6068),N(U6068)+1))</f>
        <v/>
      </c>
      <c r="V6069" s="19">
        <f>IF($B6069="","",TEXT($B6069,"0000"))</f>
        <v/>
      </c>
      <c r="W6069" s="19">
        <f>IF($I6069="","",IF(ISNUMBER($I6069),TEXT($I6069,"0"),$I6069))</f>
        <v/>
      </c>
    </row>
    <row r="6070">
      <c r="B6070" s="25" t="n"/>
      <c r="I6070" s="25" t="n"/>
      <c r="U6070" s="19">
        <f>IF($V6070&lt;&gt;'設定'!$C$4,N(U6069),IF(OR(NOT(COUNTIF('商品マスタ'!$B$6:$B$1005,$W6070)=0),COUNTIFS('①在庫を貼る'!$V$6:$V$10005,$V6070,'①在庫を貼る'!$W$6:$W$10005,$W6070)&gt;0),N(U6069),N(U6069)+1))</f>
        <v/>
      </c>
      <c r="V6070" s="19">
        <f>IF($B6070="","",TEXT($B6070,"0000"))</f>
        <v/>
      </c>
      <c r="W6070" s="19">
        <f>IF($I6070="","",IF(ISNUMBER($I6070),TEXT($I6070,"0"),$I6070))</f>
        <v/>
      </c>
    </row>
    <row r="6071">
      <c r="B6071" s="25" t="n"/>
      <c r="I6071" s="25" t="n"/>
      <c r="U6071" s="19">
        <f>IF($V6071&lt;&gt;'設定'!$C$4,N(U6070),IF(OR(NOT(COUNTIF('商品マスタ'!$B$6:$B$1005,$W6071)=0),COUNTIFS('①在庫を貼る'!$V$6:$V$10005,$V6071,'①在庫を貼る'!$W$6:$W$10005,$W6071)&gt;0),N(U6070),N(U6070)+1))</f>
        <v/>
      </c>
      <c r="V6071" s="19">
        <f>IF($B6071="","",TEXT($B6071,"0000"))</f>
        <v/>
      </c>
      <c r="W6071" s="19">
        <f>IF($I6071="","",IF(ISNUMBER($I6071),TEXT($I6071,"0"),$I6071))</f>
        <v/>
      </c>
    </row>
    <row r="6072">
      <c r="B6072" s="25" t="n"/>
      <c r="I6072" s="25" t="n"/>
      <c r="U6072" s="19">
        <f>IF($V6072&lt;&gt;'設定'!$C$4,N(U6071),IF(OR(NOT(COUNTIF('商品マスタ'!$B$6:$B$1005,$W6072)=0),COUNTIFS('①在庫を貼る'!$V$6:$V$10005,$V6072,'①在庫を貼る'!$W$6:$W$10005,$W6072)&gt;0),N(U6071),N(U6071)+1))</f>
        <v/>
      </c>
      <c r="V6072" s="19">
        <f>IF($B6072="","",TEXT($B6072,"0000"))</f>
        <v/>
      </c>
      <c r="W6072" s="19">
        <f>IF($I6072="","",IF(ISNUMBER($I6072),TEXT($I6072,"0"),$I6072))</f>
        <v/>
      </c>
    </row>
    <row r="6073">
      <c r="B6073" s="25" t="n"/>
      <c r="I6073" s="25" t="n"/>
      <c r="U6073" s="19">
        <f>IF($V6073&lt;&gt;'設定'!$C$4,N(U6072),IF(OR(NOT(COUNTIF('商品マスタ'!$B$6:$B$1005,$W6073)=0),COUNTIFS('①在庫を貼る'!$V$6:$V$10005,$V6073,'①在庫を貼る'!$W$6:$W$10005,$W6073)&gt;0),N(U6072),N(U6072)+1))</f>
        <v/>
      </c>
      <c r="V6073" s="19">
        <f>IF($B6073="","",TEXT($B6073,"0000"))</f>
        <v/>
      </c>
      <c r="W6073" s="19">
        <f>IF($I6073="","",IF(ISNUMBER($I6073),TEXT($I6073,"0"),$I6073))</f>
        <v/>
      </c>
    </row>
    <row r="6074">
      <c r="B6074" s="25" t="n"/>
      <c r="I6074" s="25" t="n"/>
      <c r="U6074" s="19">
        <f>IF($V6074&lt;&gt;'設定'!$C$4,N(U6073),IF(OR(NOT(COUNTIF('商品マスタ'!$B$6:$B$1005,$W6074)=0),COUNTIFS('①在庫を貼る'!$V$6:$V$10005,$V6074,'①在庫を貼る'!$W$6:$W$10005,$W6074)&gt;0),N(U6073),N(U6073)+1))</f>
        <v/>
      </c>
      <c r="V6074" s="19">
        <f>IF($B6074="","",TEXT($B6074,"0000"))</f>
        <v/>
      </c>
      <c r="W6074" s="19">
        <f>IF($I6074="","",IF(ISNUMBER($I6074),TEXT($I6074,"0"),$I6074))</f>
        <v/>
      </c>
    </row>
    <row r="6075">
      <c r="B6075" s="25" t="n"/>
      <c r="I6075" s="25" t="n"/>
      <c r="U6075" s="19">
        <f>IF($V6075&lt;&gt;'設定'!$C$4,N(U6074),IF(OR(NOT(COUNTIF('商品マスタ'!$B$6:$B$1005,$W6075)=0),COUNTIFS('①在庫を貼る'!$V$6:$V$10005,$V6075,'①在庫を貼る'!$W$6:$W$10005,$W6075)&gt;0),N(U6074),N(U6074)+1))</f>
        <v/>
      </c>
      <c r="V6075" s="19">
        <f>IF($B6075="","",TEXT($B6075,"0000"))</f>
        <v/>
      </c>
      <c r="W6075" s="19">
        <f>IF($I6075="","",IF(ISNUMBER($I6075),TEXT($I6075,"0"),$I6075))</f>
        <v/>
      </c>
    </row>
    <row r="6076">
      <c r="B6076" s="25" t="n"/>
      <c r="I6076" s="25" t="n"/>
      <c r="U6076" s="19">
        <f>IF($V6076&lt;&gt;'設定'!$C$4,N(U6075),IF(OR(NOT(COUNTIF('商品マスタ'!$B$6:$B$1005,$W6076)=0),COUNTIFS('①在庫を貼る'!$V$6:$V$10005,$V6076,'①在庫を貼る'!$W$6:$W$10005,$W6076)&gt;0),N(U6075),N(U6075)+1))</f>
        <v/>
      </c>
      <c r="V6076" s="19">
        <f>IF($B6076="","",TEXT($B6076,"0000"))</f>
        <v/>
      </c>
      <c r="W6076" s="19">
        <f>IF($I6076="","",IF(ISNUMBER($I6076),TEXT($I6076,"0"),$I6076))</f>
        <v/>
      </c>
    </row>
    <row r="6077">
      <c r="B6077" s="25" t="n"/>
      <c r="I6077" s="25" t="n"/>
      <c r="U6077" s="19">
        <f>IF($V6077&lt;&gt;'設定'!$C$4,N(U6076),IF(OR(NOT(COUNTIF('商品マスタ'!$B$6:$B$1005,$W6077)=0),COUNTIFS('①在庫を貼る'!$V$6:$V$10005,$V6077,'①在庫を貼る'!$W$6:$W$10005,$W6077)&gt;0),N(U6076),N(U6076)+1))</f>
        <v/>
      </c>
      <c r="V6077" s="19">
        <f>IF($B6077="","",TEXT($B6077,"0000"))</f>
        <v/>
      </c>
      <c r="W6077" s="19">
        <f>IF($I6077="","",IF(ISNUMBER($I6077),TEXT($I6077,"0"),$I6077))</f>
        <v/>
      </c>
    </row>
    <row r="6078">
      <c r="B6078" s="25" t="n"/>
      <c r="I6078" s="25" t="n"/>
      <c r="U6078" s="19">
        <f>IF($V6078&lt;&gt;'設定'!$C$4,N(U6077),IF(OR(NOT(COUNTIF('商品マスタ'!$B$6:$B$1005,$W6078)=0),COUNTIFS('①在庫を貼る'!$V$6:$V$10005,$V6078,'①在庫を貼る'!$W$6:$W$10005,$W6078)&gt;0),N(U6077),N(U6077)+1))</f>
        <v/>
      </c>
      <c r="V6078" s="19">
        <f>IF($B6078="","",TEXT($B6078,"0000"))</f>
        <v/>
      </c>
      <c r="W6078" s="19">
        <f>IF($I6078="","",IF(ISNUMBER($I6078),TEXT($I6078,"0"),$I6078))</f>
        <v/>
      </c>
    </row>
    <row r="6079">
      <c r="B6079" s="25" t="n"/>
      <c r="I6079" s="25" t="n"/>
      <c r="U6079" s="19">
        <f>IF($V6079&lt;&gt;'設定'!$C$4,N(U6078),IF(OR(NOT(COUNTIF('商品マスタ'!$B$6:$B$1005,$W6079)=0),COUNTIFS('①在庫を貼る'!$V$6:$V$10005,$V6079,'①在庫を貼る'!$W$6:$W$10005,$W6079)&gt;0),N(U6078),N(U6078)+1))</f>
        <v/>
      </c>
      <c r="V6079" s="19">
        <f>IF($B6079="","",TEXT($B6079,"0000"))</f>
        <v/>
      </c>
      <c r="W6079" s="19">
        <f>IF($I6079="","",IF(ISNUMBER($I6079),TEXT($I6079,"0"),$I6079))</f>
        <v/>
      </c>
    </row>
    <row r="6080">
      <c r="B6080" s="25" t="n"/>
      <c r="I6080" s="25" t="n"/>
      <c r="U6080" s="19">
        <f>IF($V6080&lt;&gt;'設定'!$C$4,N(U6079),IF(OR(NOT(COUNTIF('商品マスタ'!$B$6:$B$1005,$W6080)=0),COUNTIFS('①在庫を貼る'!$V$6:$V$10005,$V6080,'①在庫を貼る'!$W$6:$W$10005,$W6080)&gt;0),N(U6079),N(U6079)+1))</f>
        <v/>
      </c>
      <c r="V6080" s="19">
        <f>IF($B6080="","",TEXT($B6080,"0000"))</f>
        <v/>
      </c>
      <c r="W6080" s="19">
        <f>IF($I6080="","",IF(ISNUMBER($I6080),TEXT($I6080,"0"),$I6080))</f>
        <v/>
      </c>
    </row>
    <row r="6081">
      <c r="B6081" s="25" t="n"/>
      <c r="I6081" s="25" t="n"/>
      <c r="U6081" s="19">
        <f>IF($V6081&lt;&gt;'設定'!$C$4,N(U6080),IF(OR(NOT(COUNTIF('商品マスタ'!$B$6:$B$1005,$W6081)=0),COUNTIFS('①在庫を貼る'!$V$6:$V$10005,$V6081,'①在庫を貼る'!$W$6:$W$10005,$W6081)&gt;0),N(U6080),N(U6080)+1))</f>
        <v/>
      </c>
      <c r="V6081" s="19">
        <f>IF($B6081="","",TEXT($B6081,"0000"))</f>
        <v/>
      </c>
      <c r="W6081" s="19">
        <f>IF($I6081="","",IF(ISNUMBER($I6081),TEXT($I6081,"0"),$I6081))</f>
        <v/>
      </c>
    </row>
    <row r="6082">
      <c r="B6082" s="25" t="n"/>
      <c r="I6082" s="25" t="n"/>
      <c r="U6082" s="19">
        <f>IF($V6082&lt;&gt;'設定'!$C$4,N(U6081),IF(OR(NOT(COUNTIF('商品マスタ'!$B$6:$B$1005,$W6082)=0),COUNTIFS('①在庫を貼る'!$V$6:$V$10005,$V6082,'①在庫を貼る'!$W$6:$W$10005,$W6082)&gt;0),N(U6081),N(U6081)+1))</f>
        <v/>
      </c>
      <c r="V6082" s="19">
        <f>IF($B6082="","",TEXT($B6082,"0000"))</f>
        <v/>
      </c>
      <c r="W6082" s="19">
        <f>IF($I6082="","",IF(ISNUMBER($I6082),TEXT($I6082,"0"),$I6082))</f>
        <v/>
      </c>
    </row>
    <row r="6083">
      <c r="B6083" s="25" t="n"/>
      <c r="I6083" s="25" t="n"/>
      <c r="U6083" s="19">
        <f>IF($V6083&lt;&gt;'設定'!$C$4,N(U6082),IF(OR(NOT(COUNTIF('商品マスタ'!$B$6:$B$1005,$W6083)=0),COUNTIFS('①在庫を貼る'!$V$6:$V$10005,$V6083,'①在庫を貼る'!$W$6:$W$10005,$W6083)&gt;0),N(U6082),N(U6082)+1))</f>
        <v/>
      </c>
      <c r="V6083" s="19">
        <f>IF($B6083="","",TEXT($B6083,"0000"))</f>
        <v/>
      </c>
      <c r="W6083" s="19">
        <f>IF($I6083="","",IF(ISNUMBER($I6083),TEXT($I6083,"0"),$I6083))</f>
        <v/>
      </c>
    </row>
    <row r="6084">
      <c r="B6084" s="25" t="n"/>
      <c r="I6084" s="25" t="n"/>
      <c r="U6084" s="19">
        <f>IF($V6084&lt;&gt;'設定'!$C$4,N(U6083),IF(OR(NOT(COUNTIF('商品マスタ'!$B$6:$B$1005,$W6084)=0),COUNTIFS('①在庫を貼る'!$V$6:$V$10005,$V6084,'①在庫を貼る'!$W$6:$W$10005,$W6084)&gt;0),N(U6083),N(U6083)+1))</f>
        <v/>
      </c>
      <c r="V6084" s="19">
        <f>IF($B6084="","",TEXT($B6084,"0000"))</f>
        <v/>
      </c>
      <c r="W6084" s="19">
        <f>IF($I6084="","",IF(ISNUMBER($I6084),TEXT($I6084,"0"),$I6084))</f>
        <v/>
      </c>
    </row>
    <row r="6085">
      <c r="B6085" s="25" t="n"/>
      <c r="I6085" s="25" t="n"/>
      <c r="U6085" s="19">
        <f>IF($V6085&lt;&gt;'設定'!$C$4,N(U6084),IF(OR(NOT(COUNTIF('商品マスタ'!$B$6:$B$1005,$W6085)=0),COUNTIFS('①在庫を貼る'!$V$6:$V$10005,$V6085,'①在庫を貼る'!$W$6:$W$10005,$W6085)&gt;0),N(U6084),N(U6084)+1))</f>
        <v/>
      </c>
      <c r="V6085" s="19">
        <f>IF($B6085="","",TEXT($B6085,"0000"))</f>
        <v/>
      </c>
      <c r="W6085" s="19">
        <f>IF($I6085="","",IF(ISNUMBER($I6085),TEXT($I6085,"0"),$I6085))</f>
        <v/>
      </c>
    </row>
    <row r="6086">
      <c r="B6086" s="25" t="n"/>
      <c r="I6086" s="25" t="n"/>
      <c r="U6086" s="19">
        <f>IF($V6086&lt;&gt;'設定'!$C$4,N(U6085),IF(OR(NOT(COUNTIF('商品マスタ'!$B$6:$B$1005,$W6086)=0),COUNTIFS('①在庫を貼る'!$V$6:$V$10005,$V6086,'①在庫を貼る'!$W$6:$W$10005,$W6086)&gt;0),N(U6085),N(U6085)+1))</f>
        <v/>
      </c>
      <c r="V6086" s="19">
        <f>IF($B6086="","",TEXT($B6086,"0000"))</f>
        <v/>
      </c>
      <c r="W6086" s="19">
        <f>IF($I6086="","",IF(ISNUMBER($I6086),TEXT($I6086,"0"),$I6086))</f>
        <v/>
      </c>
    </row>
    <row r="6087">
      <c r="B6087" s="25" t="n"/>
      <c r="I6087" s="25" t="n"/>
      <c r="U6087" s="19">
        <f>IF($V6087&lt;&gt;'設定'!$C$4,N(U6086),IF(OR(NOT(COUNTIF('商品マスタ'!$B$6:$B$1005,$W6087)=0),COUNTIFS('①在庫を貼る'!$V$6:$V$10005,$V6087,'①在庫を貼る'!$W$6:$W$10005,$W6087)&gt;0),N(U6086),N(U6086)+1))</f>
        <v/>
      </c>
      <c r="V6087" s="19">
        <f>IF($B6087="","",TEXT($B6087,"0000"))</f>
        <v/>
      </c>
      <c r="W6087" s="19">
        <f>IF($I6087="","",IF(ISNUMBER($I6087),TEXT($I6087,"0"),$I6087))</f>
        <v/>
      </c>
    </row>
    <row r="6088">
      <c r="B6088" s="25" t="n"/>
      <c r="I6088" s="25" t="n"/>
      <c r="U6088" s="19">
        <f>IF($V6088&lt;&gt;'設定'!$C$4,N(U6087),IF(OR(NOT(COUNTIF('商品マスタ'!$B$6:$B$1005,$W6088)=0),COUNTIFS('①在庫を貼る'!$V$6:$V$10005,$V6088,'①在庫を貼る'!$W$6:$W$10005,$W6088)&gt;0),N(U6087),N(U6087)+1))</f>
        <v/>
      </c>
      <c r="V6088" s="19">
        <f>IF($B6088="","",TEXT($B6088,"0000"))</f>
        <v/>
      </c>
      <c r="W6088" s="19">
        <f>IF($I6088="","",IF(ISNUMBER($I6088),TEXT($I6088,"0"),$I6088))</f>
        <v/>
      </c>
    </row>
    <row r="6089">
      <c r="B6089" s="25" t="n"/>
      <c r="I6089" s="25" t="n"/>
      <c r="U6089" s="19">
        <f>IF($V6089&lt;&gt;'設定'!$C$4,N(U6088),IF(OR(NOT(COUNTIF('商品マスタ'!$B$6:$B$1005,$W6089)=0),COUNTIFS('①在庫を貼る'!$V$6:$V$10005,$V6089,'①在庫を貼る'!$W$6:$W$10005,$W6089)&gt;0),N(U6088),N(U6088)+1))</f>
        <v/>
      </c>
      <c r="V6089" s="19">
        <f>IF($B6089="","",TEXT($B6089,"0000"))</f>
        <v/>
      </c>
      <c r="W6089" s="19">
        <f>IF($I6089="","",IF(ISNUMBER($I6089),TEXT($I6089,"0"),$I6089))</f>
        <v/>
      </c>
    </row>
    <row r="6090">
      <c r="B6090" s="25" t="n"/>
      <c r="I6090" s="25" t="n"/>
      <c r="U6090" s="19">
        <f>IF($V6090&lt;&gt;'設定'!$C$4,N(U6089),IF(OR(NOT(COUNTIF('商品マスタ'!$B$6:$B$1005,$W6090)=0),COUNTIFS('①在庫を貼る'!$V$6:$V$10005,$V6090,'①在庫を貼る'!$W$6:$W$10005,$W6090)&gt;0),N(U6089),N(U6089)+1))</f>
        <v/>
      </c>
      <c r="V6090" s="19">
        <f>IF($B6090="","",TEXT($B6090,"0000"))</f>
        <v/>
      </c>
      <c r="W6090" s="19">
        <f>IF($I6090="","",IF(ISNUMBER($I6090),TEXT($I6090,"0"),$I6090))</f>
        <v/>
      </c>
    </row>
    <row r="6091">
      <c r="B6091" s="25" t="n"/>
      <c r="I6091" s="25" t="n"/>
      <c r="U6091" s="19">
        <f>IF($V6091&lt;&gt;'設定'!$C$4,N(U6090),IF(OR(NOT(COUNTIF('商品マスタ'!$B$6:$B$1005,$W6091)=0),COUNTIFS('①在庫を貼る'!$V$6:$V$10005,$V6091,'①在庫を貼る'!$W$6:$W$10005,$W6091)&gt;0),N(U6090),N(U6090)+1))</f>
        <v/>
      </c>
      <c r="V6091" s="19">
        <f>IF($B6091="","",TEXT($B6091,"0000"))</f>
        <v/>
      </c>
      <c r="W6091" s="19">
        <f>IF($I6091="","",IF(ISNUMBER($I6091),TEXT($I6091,"0"),$I6091))</f>
        <v/>
      </c>
    </row>
    <row r="6092">
      <c r="B6092" s="25" t="n"/>
      <c r="I6092" s="25" t="n"/>
      <c r="U6092" s="19">
        <f>IF($V6092&lt;&gt;'設定'!$C$4,N(U6091),IF(OR(NOT(COUNTIF('商品マスタ'!$B$6:$B$1005,$W6092)=0),COUNTIFS('①在庫を貼る'!$V$6:$V$10005,$V6092,'①在庫を貼る'!$W$6:$W$10005,$W6092)&gt;0),N(U6091),N(U6091)+1))</f>
        <v/>
      </c>
      <c r="V6092" s="19">
        <f>IF($B6092="","",TEXT($B6092,"0000"))</f>
        <v/>
      </c>
      <c r="W6092" s="19">
        <f>IF($I6092="","",IF(ISNUMBER($I6092),TEXT($I6092,"0"),$I6092))</f>
        <v/>
      </c>
    </row>
    <row r="6093">
      <c r="B6093" s="25" t="n"/>
      <c r="I6093" s="25" t="n"/>
      <c r="U6093" s="19">
        <f>IF($V6093&lt;&gt;'設定'!$C$4,N(U6092),IF(OR(NOT(COUNTIF('商品マスタ'!$B$6:$B$1005,$W6093)=0),COUNTIFS('①在庫を貼る'!$V$6:$V$10005,$V6093,'①在庫を貼る'!$W$6:$W$10005,$W6093)&gt;0),N(U6092),N(U6092)+1))</f>
        <v/>
      </c>
      <c r="V6093" s="19">
        <f>IF($B6093="","",TEXT($B6093,"0000"))</f>
        <v/>
      </c>
      <c r="W6093" s="19">
        <f>IF($I6093="","",IF(ISNUMBER($I6093),TEXT($I6093,"0"),$I6093))</f>
        <v/>
      </c>
    </row>
    <row r="6094">
      <c r="B6094" s="25" t="n"/>
      <c r="I6094" s="25" t="n"/>
      <c r="U6094" s="19">
        <f>IF($V6094&lt;&gt;'設定'!$C$4,N(U6093),IF(OR(NOT(COUNTIF('商品マスタ'!$B$6:$B$1005,$W6094)=0),COUNTIFS('①在庫を貼る'!$V$6:$V$10005,$V6094,'①在庫を貼る'!$W$6:$W$10005,$W6094)&gt;0),N(U6093),N(U6093)+1))</f>
        <v/>
      </c>
      <c r="V6094" s="19">
        <f>IF($B6094="","",TEXT($B6094,"0000"))</f>
        <v/>
      </c>
      <c r="W6094" s="19">
        <f>IF($I6094="","",IF(ISNUMBER($I6094),TEXT($I6094,"0"),$I6094))</f>
        <v/>
      </c>
    </row>
    <row r="6095">
      <c r="B6095" s="25" t="n"/>
      <c r="I6095" s="25" t="n"/>
      <c r="U6095" s="19">
        <f>IF($V6095&lt;&gt;'設定'!$C$4,N(U6094),IF(OR(NOT(COUNTIF('商品マスタ'!$B$6:$B$1005,$W6095)=0),COUNTIFS('①在庫を貼る'!$V$6:$V$10005,$V6095,'①在庫を貼る'!$W$6:$W$10005,$W6095)&gt;0),N(U6094),N(U6094)+1))</f>
        <v/>
      </c>
      <c r="V6095" s="19">
        <f>IF($B6095="","",TEXT($B6095,"0000"))</f>
        <v/>
      </c>
      <c r="W6095" s="19">
        <f>IF($I6095="","",IF(ISNUMBER($I6095),TEXT($I6095,"0"),$I6095))</f>
        <v/>
      </c>
    </row>
    <row r="6096">
      <c r="B6096" s="25" t="n"/>
      <c r="I6096" s="25" t="n"/>
      <c r="U6096" s="19">
        <f>IF($V6096&lt;&gt;'設定'!$C$4,N(U6095),IF(OR(NOT(COUNTIF('商品マスタ'!$B$6:$B$1005,$W6096)=0),COUNTIFS('①在庫を貼る'!$V$6:$V$10005,$V6096,'①在庫を貼る'!$W$6:$W$10005,$W6096)&gt;0),N(U6095),N(U6095)+1))</f>
        <v/>
      </c>
      <c r="V6096" s="19">
        <f>IF($B6096="","",TEXT($B6096,"0000"))</f>
        <v/>
      </c>
      <c r="W6096" s="19">
        <f>IF($I6096="","",IF(ISNUMBER($I6096),TEXT($I6096,"0"),$I6096))</f>
        <v/>
      </c>
    </row>
    <row r="6097">
      <c r="B6097" s="25" t="n"/>
      <c r="I6097" s="25" t="n"/>
      <c r="U6097" s="19">
        <f>IF($V6097&lt;&gt;'設定'!$C$4,N(U6096),IF(OR(NOT(COUNTIF('商品マスタ'!$B$6:$B$1005,$W6097)=0),COUNTIFS('①在庫を貼る'!$V$6:$V$10005,$V6097,'①在庫を貼る'!$W$6:$W$10005,$W6097)&gt;0),N(U6096),N(U6096)+1))</f>
        <v/>
      </c>
      <c r="V6097" s="19">
        <f>IF($B6097="","",TEXT($B6097,"0000"))</f>
        <v/>
      </c>
      <c r="W6097" s="19">
        <f>IF($I6097="","",IF(ISNUMBER($I6097),TEXT($I6097,"0"),$I6097))</f>
        <v/>
      </c>
    </row>
    <row r="6098">
      <c r="B6098" s="25" t="n"/>
      <c r="I6098" s="25" t="n"/>
      <c r="U6098" s="19">
        <f>IF($V6098&lt;&gt;'設定'!$C$4,N(U6097),IF(OR(NOT(COUNTIF('商品マスタ'!$B$6:$B$1005,$W6098)=0),COUNTIFS('①在庫を貼る'!$V$6:$V$10005,$V6098,'①在庫を貼る'!$W$6:$W$10005,$W6098)&gt;0),N(U6097),N(U6097)+1))</f>
        <v/>
      </c>
      <c r="V6098" s="19">
        <f>IF($B6098="","",TEXT($B6098,"0000"))</f>
        <v/>
      </c>
      <c r="W6098" s="19">
        <f>IF($I6098="","",IF(ISNUMBER($I6098),TEXT($I6098,"0"),$I6098))</f>
        <v/>
      </c>
    </row>
    <row r="6099">
      <c r="B6099" s="25" t="n"/>
      <c r="I6099" s="25" t="n"/>
      <c r="U6099" s="19">
        <f>IF($V6099&lt;&gt;'設定'!$C$4,N(U6098),IF(OR(NOT(COUNTIF('商品マスタ'!$B$6:$B$1005,$W6099)=0),COUNTIFS('①在庫を貼る'!$V$6:$V$10005,$V6099,'①在庫を貼る'!$W$6:$W$10005,$W6099)&gt;0),N(U6098),N(U6098)+1))</f>
        <v/>
      </c>
      <c r="V6099" s="19">
        <f>IF($B6099="","",TEXT($B6099,"0000"))</f>
        <v/>
      </c>
      <c r="W6099" s="19">
        <f>IF($I6099="","",IF(ISNUMBER($I6099),TEXT($I6099,"0"),$I6099))</f>
        <v/>
      </c>
    </row>
    <row r="6100">
      <c r="B6100" s="25" t="n"/>
      <c r="I6100" s="25" t="n"/>
      <c r="U6100" s="19">
        <f>IF($V6100&lt;&gt;'設定'!$C$4,N(U6099),IF(OR(NOT(COUNTIF('商品マスタ'!$B$6:$B$1005,$W6100)=0),COUNTIFS('①在庫を貼る'!$V$6:$V$10005,$V6100,'①在庫を貼る'!$W$6:$W$10005,$W6100)&gt;0),N(U6099),N(U6099)+1))</f>
        <v/>
      </c>
      <c r="V6100" s="19">
        <f>IF($B6100="","",TEXT($B6100,"0000"))</f>
        <v/>
      </c>
      <c r="W6100" s="19">
        <f>IF($I6100="","",IF(ISNUMBER($I6100),TEXT($I6100,"0"),$I6100))</f>
        <v/>
      </c>
    </row>
    <row r="6101">
      <c r="B6101" s="25" t="n"/>
      <c r="I6101" s="25" t="n"/>
      <c r="U6101" s="19">
        <f>IF($V6101&lt;&gt;'設定'!$C$4,N(U6100),IF(OR(NOT(COUNTIF('商品マスタ'!$B$6:$B$1005,$W6101)=0),COUNTIFS('①在庫を貼る'!$V$6:$V$10005,$V6101,'①在庫を貼る'!$W$6:$W$10005,$W6101)&gt;0),N(U6100),N(U6100)+1))</f>
        <v/>
      </c>
      <c r="V6101" s="19">
        <f>IF($B6101="","",TEXT($B6101,"0000"))</f>
        <v/>
      </c>
      <c r="W6101" s="19">
        <f>IF($I6101="","",IF(ISNUMBER($I6101),TEXT($I6101,"0"),$I6101))</f>
        <v/>
      </c>
    </row>
    <row r="6102">
      <c r="B6102" s="25" t="n"/>
      <c r="I6102" s="25" t="n"/>
      <c r="U6102" s="19">
        <f>IF($V6102&lt;&gt;'設定'!$C$4,N(U6101),IF(OR(NOT(COUNTIF('商品マスタ'!$B$6:$B$1005,$W6102)=0),COUNTIFS('①在庫を貼る'!$V$6:$V$10005,$V6102,'①在庫を貼る'!$W$6:$W$10005,$W6102)&gt;0),N(U6101),N(U6101)+1))</f>
        <v/>
      </c>
      <c r="V6102" s="19">
        <f>IF($B6102="","",TEXT($B6102,"0000"))</f>
        <v/>
      </c>
      <c r="W6102" s="19">
        <f>IF($I6102="","",IF(ISNUMBER($I6102),TEXT($I6102,"0"),$I6102))</f>
        <v/>
      </c>
    </row>
    <row r="6103">
      <c r="B6103" s="25" t="n"/>
      <c r="I6103" s="25" t="n"/>
      <c r="U6103" s="19">
        <f>IF($V6103&lt;&gt;'設定'!$C$4,N(U6102),IF(OR(NOT(COUNTIF('商品マスタ'!$B$6:$B$1005,$W6103)=0),COUNTIFS('①在庫を貼る'!$V$6:$V$10005,$V6103,'①在庫を貼る'!$W$6:$W$10005,$W6103)&gt;0),N(U6102),N(U6102)+1))</f>
        <v/>
      </c>
      <c r="V6103" s="19">
        <f>IF($B6103="","",TEXT($B6103,"0000"))</f>
        <v/>
      </c>
      <c r="W6103" s="19">
        <f>IF($I6103="","",IF(ISNUMBER($I6103),TEXT($I6103,"0"),$I6103))</f>
        <v/>
      </c>
    </row>
    <row r="6104">
      <c r="B6104" s="25" t="n"/>
      <c r="I6104" s="25" t="n"/>
      <c r="U6104" s="19">
        <f>IF($V6104&lt;&gt;'設定'!$C$4,N(U6103),IF(OR(NOT(COUNTIF('商品マスタ'!$B$6:$B$1005,$W6104)=0),COUNTIFS('①在庫を貼る'!$V$6:$V$10005,$V6104,'①在庫を貼る'!$W$6:$W$10005,$W6104)&gt;0),N(U6103),N(U6103)+1))</f>
        <v/>
      </c>
      <c r="V6104" s="19">
        <f>IF($B6104="","",TEXT($B6104,"0000"))</f>
        <v/>
      </c>
      <c r="W6104" s="19">
        <f>IF($I6104="","",IF(ISNUMBER($I6104),TEXT($I6104,"0"),$I6104))</f>
        <v/>
      </c>
    </row>
    <row r="6105">
      <c r="B6105" s="25" t="n"/>
      <c r="I6105" s="25" t="n"/>
      <c r="U6105" s="19">
        <f>IF($V6105&lt;&gt;'設定'!$C$4,N(U6104),IF(OR(NOT(COUNTIF('商品マスタ'!$B$6:$B$1005,$W6105)=0),COUNTIFS('①在庫を貼る'!$V$6:$V$10005,$V6105,'①在庫を貼る'!$W$6:$W$10005,$W6105)&gt;0),N(U6104),N(U6104)+1))</f>
        <v/>
      </c>
      <c r="V6105" s="19">
        <f>IF($B6105="","",TEXT($B6105,"0000"))</f>
        <v/>
      </c>
      <c r="W6105" s="19">
        <f>IF($I6105="","",IF(ISNUMBER($I6105),TEXT($I6105,"0"),$I6105))</f>
        <v/>
      </c>
    </row>
    <row r="6106">
      <c r="B6106" s="25" t="n"/>
      <c r="I6106" s="25" t="n"/>
      <c r="U6106" s="19">
        <f>IF($V6106&lt;&gt;'設定'!$C$4,N(U6105),IF(OR(NOT(COUNTIF('商品マスタ'!$B$6:$B$1005,$W6106)=0),COUNTIFS('①在庫を貼る'!$V$6:$V$10005,$V6106,'①在庫を貼る'!$W$6:$W$10005,$W6106)&gt;0),N(U6105),N(U6105)+1))</f>
        <v/>
      </c>
      <c r="V6106" s="19">
        <f>IF($B6106="","",TEXT($B6106,"0000"))</f>
        <v/>
      </c>
      <c r="W6106" s="19">
        <f>IF($I6106="","",IF(ISNUMBER($I6106),TEXT($I6106,"0"),$I6106))</f>
        <v/>
      </c>
    </row>
    <row r="6107">
      <c r="B6107" s="25" t="n"/>
      <c r="I6107" s="25" t="n"/>
      <c r="U6107" s="19">
        <f>IF($V6107&lt;&gt;'設定'!$C$4,N(U6106),IF(OR(NOT(COUNTIF('商品マスタ'!$B$6:$B$1005,$W6107)=0),COUNTIFS('①在庫を貼る'!$V$6:$V$10005,$V6107,'①在庫を貼る'!$W$6:$W$10005,$W6107)&gt;0),N(U6106),N(U6106)+1))</f>
        <v/>
      </c>
      <c r="V6107" s="19">
        <f>IF($B6107="","",TEXT($B6107,"0000"))</f>
        <v/>
      </c>
      <c r="W6107" s="19">
        <f>IF($I6107="","",IF(ISNUMBER($I6107),TEXT($I6107,"0"),$I6107))</f>
        <v/>
      </c>
    </row>
    <row r="6108">
      <c r="B6108" s="25" t="n"/>
      <c r="I6108" s="25" t="n"/>
      <c r="U6108" s="19">
        <f>IF($V6108&lt;&gt;'設定'!$C$4,N(U6107),IF(OR(NOT(COUNTIF('商品マスタ'!$B$6:$B$1005,$W6108)=0),COUNTIFS('①在庫を貼る'!$V$6:$V$10005,$V6108,'①在庫を貼る'!$W$6:$W$10005,$W6108)&gt;0),N(U6107),N(U6107)+1))</f>
        <v/>
      </c>
      <c r="V6108" s="19">
        <f>IF($B6108="","",TEXT($B6108,"0000"))</f>
        <v/>
      </c>
      <c r="W6108" s="19">
        <f>IF($I6108="","",IF(ISNUMBER($I6108),TEXT($I6108,"0"),$I6108))</f>
        <v/>
      </c>
    </row>
    <row r="6109">
      <c r="B6109" s="25" t="n"/>
      <c r="I6109" s="25" t="n"/>
      <c r="U6109" s="19">
        <f>IF($V6109&lt;&gt;'設定'!$C$4,N(U6108),IF(OR(NOT(COUNTIF('商品マスタ'!$B$6:$B$1005,$W6109)=0),COUNTIFS('①在庫を貼る'!$V$6:$V$10005,$V6109,'①在庫を貼る'!$W$6:$W$10005,$W6109)&gt;0),N(U6108),N(U6108)+1))</f>
        <v/>
      </c>
      <c r="V6109" s="19">
        <f>IF($B6109="","",TEXT($B6109,"0000"))</f>
        <v/>
      </c>
      <c r="W6109" s="19">
        <f>IF($I6109="","",IF(ISNUMBER($I6109),TEXT($I6109,"0"),$I6109))</f>
        <v/>
      </c>
    </row>
    <row r="6110">
      <c r="B6110" s="25" t="n"/>
      <c r="I6110" s="25" t="n"/>
      <c r="U6110" s="19">
        <f>IF($V6110&lt;&gt;'設定'!$C$4,N(U6109),IF(OR(NOT(COUNTIF('商品マスタ'!$B$6:$B$1005,$W6110)=0),COUNTIFS('①在庫を貼る'!$V$6:$V$10005,$V6110,'①在庫を貼る'!$W$6:$W$10005,$W6110)&gt;0),N(U6109),N(U6109)+1))</f>
        <v/>
      </c>
      <c r="V6110" s="19">
        <f>IF($B6110="","",TEXT($B6110,"0000"))</f>
        <v/>
      </c>
      <c r="W6110" s="19">
        <f>IF($I6110="","",IF(ISNUMBER($I6110),TEXT($I6110,"0"),$I6110))</f>
        <v/>
      </c>
    </row>
    <row r="6111">
      <c r="B6111" s="25" t="n"/>
      <c r="I6111" s="25" t="n"/>
      <c r="U6111" s="19">
        <f>IF($V6111&lt;&gt;'設定'!$C$4,N(U6110),IF(OR(NOT(COUNTIF('商品マスタ'!$B$6:$B$1005,$W6111)=0),COUNTIFS('①在庫を貼る'!$V$6:$V$10005,$V6111,'①在庫を貼る'!$W$6:$W$10005,$W6111)&gt;0),N(U6110),N(U6110)+1))</f>
        <v/>
      </c>
      <c r="V6111" s="19">
        <f>IF($B6111="","",TEXT($B6111,"0000"))</f>
        <v/>
      </c>
      <c r="W6111" s="19">
        <f>IF($I6111="","",IF(ISNUMBER($I6111),TEXT($I6111,"0"),$I6111))</f>
        <v/>
      </c>
    </row>
    <row r="6112">
      <c r="B6112" s="25" t="n"/>
      <c r="I6112" s="25" t="n"/>
      <c r="U6112" s="19">
        <f>IF($V6112&lt;&gt;'設定'!$C$4,N(U6111),IF(OR(NOT(COUNTIF('商品マスタ'!$B$6:$B$1005,$W6112)=0),COUNTIFS('①在庫を貼る'!$V$6:$V$10005,$V6112,'①在庫を貼る'!$W$6:$W$10005,$W6112)&gt;0),N(U6111),N(U6111)+1))</f>
        <v/>
      </c>
      <c r="V6112" s="19">
        <f>IF($B6112="","",TEXT($B6112,"0000"))</f>
        <v/>
      </c>
      <c r="W6112" s="19">
        <f>IF($I6112="","",IF(ISNUMBER($I6112),TEXT($I6112,"0"),$I6112))</f>
        <v/>
      </c>
    </row>
    <row r="6113">
      <c r="B6113" s="25" t="n"/>
      <c r="I6113" s="25" t="n"/>
      <c r="U6113" s="19">
        <f>IF($V6113&lt;&gt;'設定'!$C$4,N(U6112),IF(OR(NOT(COUNTIF('商品マスタ'!$B$6:$B$1005,$W6113)=0),COUNTIFS('①在庫を貼る'!$V$6:$V$10005,$V6113,'①在庫を貼る'!$W$6:$W$10005,$W6113)&gt;0),N(U6112),N(U6112)+1))</f>
        <v/>
      </c>
      <c r="V6113" s="19">
        <f>IF($B6113="","",TEXT($B6113,"0000"))</f>
        <v/>
      </c>
      <c r="W6113" s="19">
        <f>IF($I6113="","",IF(ISNUMBER($I6113),TEXT($I6113,"0"),$I6113))</f>
        <v/>
      </c>
    </row>
    <row r="6114">
      <c r="B6114" s="25" t="n"/>
      <c r="I6114" s="25" t="n"/>
      <c r="U6114" s="19">
        <f>IF($V6114&lt;&gt;'設定'!$C$4,N(U6113),IF(OR(NOT(COUNTIF('商品マスタ'!$B$6:$B$1005,$W6114)=0),COUNTIFS('①在庫を貼る'!$V$6:$V$10005,$V6114,'①在庫を貼る'!$W$6:$W$10005,$W6114)&gt;0),N(U6113),N(U6113)+1))</f>
        <v/>
      </c>
      <c r="V6114" s="19">
        <f>IF($B6114="","",TEXT($B6114,"0000"))</f>
        <v/>
      </c>
      <c r="W6114" s="19">
        <f>IF($I6114="","",IF(ISNUMBER($I6114),TEXT($I6114,"0"),$I6114))</f>
        <v/>
      </c>
    </row>
    <row r="6115">
      <c r="B6115" s="25" t="n"/>
      <c r="I6115" s="25" t="n"/>
      <c r="U6115" s="19">
        <f>IF($V6115&lt;&gt;'設定'!$C$4,N(U6114),IF(OR(NOT(COUNTIF('商品マスタ'!$B$6:$B$1005,$W6115)=0),COUNTIFS('①在庫を貼る'!$V$6:$V$10005,$V6115,'①在庫を貼る'!$W$6:$W$10005,$W6115)&gt;0),N(U6114),N(U6114)+1))</f>
        <v/>
      </c>
      <c r="V6115" s="19">
        <f>IF($B6115="","",TEXT($B6115,"0000"))</f>
        <v/>
      </c>
      <c r="W6115" s="19">
        <f>IF($I6115="","",IF(ISNUMBER($I6115),TEXT($I6115,"0"),$I6115))</f>
        <v/>
      </c>
    </row>
    <row r="6116">
      <c r="B6116" s="25" t="n"/>
      <c r="I6116" s="25" t="n"/>
      <c r="U6116" s="19">
        <f>IF($V6116&lt;&gt;'設定'!$C$4,N(U6115),IF(OR(NOT(COUNTIF('商品マスタ'!$B$6:$B$1005,$W6116)=0),COUNTIFS('①在庫を貼る'!$V$6:$V$10005,$V6116,'①在庫を貼る'!$W$6:$W$10005,$W6116)&gt;0),N(U6115),N(U6115)+1))</f>
        <v/>
      </c>
      <c r="V6116" s="19">
        <f>IF($B6116="","",TEXT($B6116,"0000"))</f>
        <v/>
      </c>
      <c r="W6116" s="19">
        <f>IF($I6116="","",IF(ISNUMBER($I6116),TEXT($I6116,"0"),$I6116))</f>
        <v/>
      </c>
    </row>
    <row r="6117">
      <c r="B6117" s="25" t="n"/>
      <c r="I6117" s="25" t="n"/>
      <c r="U6117" s="19">
        <f>IF($V6117&lt;&gt;'設定'!$C$4,N(U6116),IF(OR(NOT(COUNTIF('商品マスタ'!$B$6:$B$1005,$W6117)=0),COUNTIFS('①在庫を貼る'!$V$6:$V$10005,$V6117,'①在庫を貼る'!$W$6:$W$10005,$W6117)&gt;0),N(U6116),N(U6116)+1))</f>
        <v/>
      </c>
      <c r="V6117" s="19">
        <f>IF($B6117="","",TEXT($B6117,"0000"))</f>
        <v/>
      </c>
      <c r="W6117" s="19">
        <f>IF($I6117="","",IF(ISNUMBER($I6117),TEXT($I6117,"0"),$I6117))</f>
        <v/>
      </c>
    </row>
    <row r="6118">
      <c r="B6118" s="25" t="n"/>
      <c r="I6118" s="25" t="n"/>
      <c r="U6118" s="19">
        <f>IF($V6118&lt;&gt;'設定'!$C$4,N(U6117),IF(OR(NOT(COUNTIF('商品マスタ'!$B$6:$B$1005,$W6118)=0),COUNTIFS('①在庫を貼る'!$V$6:$V$10005,$V6118,'①在庫を貼る'!$W$6:$W$10005,$W6118)&gt;0),N(U6117),N(U6117)+1))</f>
        <v/>
      </c>
      <c r="V6118" s="19">
        <f>IF($B6118="","",TEXT($B6118,"0000"))</f>
        <v/>
      </c>
      <c r="W6118" s="19">
        <f>IF($I6118="","",IF(ISNUMBER($I6118),TEXT($I6118,"0"),$I6118))</f>
        <v/>
      </c>
    </row>
    <row r="6119">
      <c r="B6119" s="25" t="n"/>
      <c r="I6119" s="25" t="n"/>
      <c r="U6119" s="19">
        <f>IF($V6119&lt;&gt;'設定'!$C$4,N(U6118),IF(OR(NOT(COUNTIF('商品マスタ'!$B$6:$B$1005,$W6119)=0),COUNTIFS('①在庫を貼る'!$V$6:$V$10005,$V6119,'①在庫を貼る'!$W$6:$W$10005,$W6119)&gt;0),N(U6118),N(U6118)+1))</f>
        <v/>
      </c>
      <c r="V6119" s="19">
        <f>IF($B6119="","",TEXT($B6119,"0000"))</f>
        <v/>
      </c>
      <c r="W6119" s="19">
        <f>IF($I6119="","",IF(ISNUMBER($I6119),TEXT($I6119,"0"),$I6119))</f>
        <v/>
      </c>
    </row>
    <row r="6120">
      <c r="B6120" s="25" t="n"/>
      <c r="I6120" s="25" t="n"/>
      <c r="U6120" s="19">
        <f>IF($V6120&lt;&gt;'設定'!$C$4,N(U6119),IF(OR(NOT(COUNTIF('商品マスタ'!$B$6:$B$1005,$W6120)=0),COUNTIFS('①在庫を貼る'!$V$6:$V$10005,$V6120,'①在庫を貼る'!$W$6:$W$10005,$W6120)&gt;0),N(U6119),N(U6119)+1))</f>
        <v/>
      </c>
      <c r="V6120" s="19">
        <f>IF($B6120="","",TEXT($B6120,"0000"))</f>
        <v/>
      </c>
      <c r="W6120" s="19">
        <f>IF($I6120="","",IF(ISNUMBER($I6120),TEXT($I6120,"0"),$I6120))</f>
        <v/>
      </c>
    </row>
    <row r="6121">
      <c r="B6121" s="25" t="n"/>
      <c r="I6121" s="25" t="n"/>
      <c r="U6121" s="19">
        <f>IF($V6121&lt;&gt;'設定'!$C$4,N(U6120),IF(OR(NOT(COUNTIF('商品マスタ'!$B$6:$B$1005,$W6121)=0),COUNTIFS('①在庫を貼る'!$V$6:$V$10005,$V6121,'①在庫を貼る'!$W$6:$W$10005,$W6121)&gt;0),N(U6120),N(U6120)+1))</f>
        <v/>
      </c>
      <c r="V6121" s="19">
        <f>IF($B6121="","",TEXT($B6121,"0000"))</f>
        <v/>
      </c>
      <c r="W6121" s="19">
        <f>IF($I6121="","",IF(ISNUMBER($I6121),TEXT($I6121,"0"),$I6121))</f>
        <v/>
      </c>
    </row>
    <row r="6122">
      <c r="B6122" s="25" t="n"/>
      <c r="I6122" s="25" t="n"/>
      <c r="U6122" s="19">
        <f>IF($V6122&lt;&gt;'設定'!$C$4,N(U6121),IF(OR(NOT(COUNTIF('商品マスタ'!$B$6:$B$1005,$W6122)=0),COUNTIFS('①在庫を貼る'!$V$6:$V$10005,$V6122,'①在庫を貼る'!$W$6:$W$10005,$W6122)&gt;0),N(U6121),N(U6121)+1))</f>
        <v/>
      </c>
      <c r="V6122" s="19">
        <f>IF($B6122="","",TEXT($B6122,"0000"))</f>
        <v/>
      </c>
      <c r="W6122" s="19">
        <f>IF($I6122="","",IF(ISNUMBER($I6122),TEXT($I6122,"0"),$I6122))</f>
        <v/>
      </c>
    </row>
    <row r="6123">
      <c r="B6123" s="25" t="n"/>
      <c r="I6123" s="25" t="n"/>
      <c r="U6123" s="19">
        <f>IF($V6123&lt;&gt;'設定'!$C$4,N(U6122),IF(OR(NOT(COUNTIF('商品マスタ'!$B$6:$B$1005,$W6123)=0),COUNTIFS('①在庫を貼る'!$V$6:$V$10005,$V6123,'①在庫を貼る'!$W$6:$W$10005,$W6123)&gt;0),N(U6122),N(U6122)+1))</f>
        <v/>
      </c>
      <c r="V6123" s="19">
        <f>IF($B6123="","",TEXT($B6123,"0000"))</f>
        <v/>
      </c>
      <c r="W6123" s="19">
        <f>IF($I6123="","",IF(ISNUMBER($I6123),TEXT($I6123,"0"),$I6123))</f>
        <v/>
      </c>
    </row>
    <row r="6124">
      <c r="B6124" s="25" t="n"/>
      <c r="I6124" s="25" t="n"/>
      <c r="U6124" s="19">
        <f>IF($V6124&lt;&gt;'設定'!$C$4,N(U6123),IF(OR(NOT(COUNTIF('商品マスタ'!$B$6:$B$1005,$W6124)=0),COUNTIFS('①在庫を貼る'!$V$6:$V$10005,$V6124,'①在庫を貼る'!$W$6:$W$10005,$W6124)&gt;0),N(U6123),N(U6123)+1))</f>
        <v/>
      </c>
      <c r="V6124" s="19">
        <f>IF($B6124="","",TEXT($B6124,"0000"))</f>
        <v/>
      </c>
      <c r="W6124" s="19">
        <f>IF($I6124="","",IF(ISNUMBER($I6124),TEXT($I6124,"0"),$I6124))</f>
        <v/>
      </c>
    </row>
    <row r="6125">
      <c r="B6125" s="25" t="n"/>
      <c r="I6125" s="25" t="n"/>
      <c r="U6125" s="19">
        <f>IF($V6125&lt;&gt;'設定'!$C$4,N(U6124),IF(OR(NOT(COUNTIF('商品マスタ'!$B$6:$B$1005,$W6125)=0),COUNTIFS('①在庫を貼る'!$V$6:$V$10005,$V6125,'①在庫を貼る'!$W$6:$W$10005,$W6125)&gt;0),N(U6124),N(U6124)+1))</f>
        <v/>
      </c>
      <c r="V6125" s="19">
        <f>IF($B6125="","",TEXT($B6125,"0000"))</f>
        <v/>
      </c>
      <c r="W6125" s="19">
        <f>IF($I6125="","",IF(ISNUMBER($I6125),TEXT($I6125,"0"),$I6125))</f>
        <v/>
      </c>
    </row>
    <row r="6126">
      <c r="B6126" s="25" t="n"/>
      <c r="I6126" s="25" t="n"/>
      <c r="U6126" s="19">
        <f>IF($V6126&lt;&gt;'設定'!$C$4,N(U6125),IF(OR(NOT(COUNTIF('商品マスタ'!$B$6:$B$1005,$W6126)=0),COUNTIFS('①在庫を貼る'!$V$6:$V$10005,$V6126,'①在庫を貼る'!$W$6:$W$10005,$W6126)&gt;0),N(U6125),N(U6125)+1))</f>
        <v/>
      </c>
      <c r="V6126" s="19">
        <f>IF($B6126="","",TEXT($B6126,"0000"))</f>
        <v/>
      </c>
      <c r="W6126" s="19">
        <f>IF($I6126="","",IF(ISNUMBER($I6126),TEXT($I6126,"0"),$I6126))</f>
        <v/>
      </c>
    </row>
    <row r="6127">
      <c r="B6127" s="25" t="n"/>
      <c r="I6127" s="25" t="n"/>
      <c r="U6127" s="19">
        <f>IF($V6127&lt;&gt;'設定'!$C$4,N(U6126),IF(OR(NOT(COUNTIF('商品マスタ'!$B$6:$B$1005,$W6127)=0),COUNTIFS('①在庫を貼る'!$V$6:$V$10005,$V6127,'①在庫を貼る'!$W$6:$W$10005,$W6127)&gt;0),N(U6126),N(U6126)+1))</f>
        <v/>
      </c>
      <c r="V6127" s="19">
        <f>IF($B6127="","",TEXT($B6127,"0000"))</f>
        <v/>
      </c>
      <c r="W6127" s="19">
        <f>IF($I6127="","",IF(ISNUMBER($I6127),TEXT($I6127,"0"),$I6127))</f>
        <v/>
      </c>
    </row>
    <row r="6128">
      <c r="B6128" s="25" t="n"/>
      <c r="I6128" s="25" t="n"/>
      <c r="U6128" s="19">
        <f>IF($V6128&lt;&gt;'設定'!$C$4,N(U6127),IF(OR(NOT(COUNTIF('商品マスタ'!$B$6:$B$1005,$W6128)=0),COUNTIFS('①在庫を貼る'!$V$6:$V$10005,$V6128,'①在庫を貼る'!$W$6:$W$10005,$W6128)&gt;0),N(U6127),N(U6127)+1))</f>
        <v/>
      </c>
      <c r="V6128" s="19">
        <f>IF($B6128="","",TEXT($B6128,"0000"))</f>
        <v/>
      </c>
      <c r="W6128" s="19">
        <f>IF($I6128="","",IF(ISNUMBER($I6128),TEXT($I6128,"0"),$I6128))</f>
        <v/>
      </c>
    </row>
    <row r="6129">
      <c r="B6129" s="25" t="n"/>
      <c r="I6129" s="25" t="n"/>
      <c r="U6129" s="19">
        <f>IF($V6129&lt;&gt;'設定'!$C$4,N(U6128),IF(OR(NOT(COUNTIF('商品マスタ'!$B$6:$B$1005,$W6129)=0),COUNTIFS('①在庫を貼る'!$V$6:$V$10005,$V6129,'①在庫を貼る'!$W$6:$W$10005,$W6129)&gt;0),N(U6128),N(U6128)+1))</f>
        <v/>
      </c>
      <c r="V6129" s="19">
        <f>IF($B6129="","",TEXT($B6129,"0000"))</f>
        <v/>
      </c>
      <c r="W6129" s="19">
        <f>IF($I6129="","",IF(ISNUMBER($I6129),TEXT($I6129,"0"),$I6129))</f>
        <v/>
      </c>
    </row>
    <row r="6130">
      <c r="B6130" s="25" t="n"/>
      <c r="I6130" s="25" t="n"/>
      <c r="U6130" s="19">
        <f>IF($V6130&lt;&gt;'設定'!$C$4,N(U6129),IF(OR(NOT(COUNTIF('商品マスタ'!$B$6:$B$1005,$W6130)=0),COUNTIFS('①在庫を貼る'!$V$6:$V$10005,$V6130,'①在庫を貼る'!$W$6:$W$10005,$W6130)&gt;0),N(U6129),N(U6129)+1))</f>
        <v/>
      </c>
      <c r="V6130" s="19">
        <f>IF($B6130="","",TEXT($B6130,"0000"))</f>
        <v/>
      </c>
      <c r="W6130" s="19">
        <f>IF($I6130="","",IF(ISNUMBER($I6130),TEXT($I6130,"0"),$I6130))</f>
        <v/>
      </c>
    </row>
    <row r="6131">
      <c r="B6131" s="25" t="n"/>
      <c r="I6131" s="25" t="n"/>
      <c r="U6131" s="19">
        <f>IF($V6131&lt;&gt;'設定'!$C$4,N(U6130),IF(OR(NOT(COUNTIF('商品マスタ'!$B$6:$B$1005,$W6131)=0),COUNTIFS('①在庫を貼る'!$V$6:$V$10005,$V6131,'①在庫を貼る'!$W$6:$W$10005,$W6131)&gt;0),N(U6130),N(U6130)+1))</f>
        <v/>
      </c>
      <c r="V6131" s="19">
        <f>IF($B6131="","",TEXT($B6131,"0000"))</f>
        <v/>
      </c>
      <c r="W6131" s="19">
        <f>IF($I6131="","",IF(ISNUMBER($I6131),TEXT($I6131,"0"),$I6131))</f>
        <v/>
      </c>
    </row>
    <row r="6132">
      <c r="B6132" s="25" t="n"/>
      <c r="I6132" s="25" t="n"/>
      <c r="U6132" s="19">
        <f>IF($V6132&lt;&gt;'設定'!$C$4,N(U6131),IF(OR(NOT(COUNTIF('商品マスタ'!$B$6:$B$1005,$W6132)=0),COUNTIFS('①在庫を貼る'!$V$6:$V$10005,$V6132,'①在庫を貼る'!$W$6:$W$10005,$W6132)&gt;0),N(U6131),N(U6131)+1))</f>
        <v/>
      </c>
      <c r="V6132" s="19">
        <f>IF($B6132="","",TEXT($B6132,"0000"))</f>
        <v/>
      </c>
      <c r="W6132" s="19">
        <f>IF($I6132="","",IF(ISNUMBER($I6132),TEXT($I6132,"0"),$I6132))</f>
        <v/>
      </c>
    </row>
    <row r="6133">
      <c r="B6133" s="25" t="n"/>
      <c r="I6133" s="25" t="n"/>
      <c r="U6133" s="19">
        <f>IF($V6133&lt;&gt;'設定'!$C$4,N(U6132),IF(OR(NOT(COUNTIF('商品マスタ'!$B$6:$B$1005,$W6133)=0),COUNTIFS('①在庫を貼る'!$V$6:$V$10005,$V6133,'①在庫を貼る'!$W$6:$W$10005,$W6133)&gt;0),N(U6132),N(U6132)+1))</f>
        <v/>
      </c>
      <c r="V6133" s="19">
        <f>IF($B6133="","",TEXT($B6133,"0000"))</f>
        <v/>
      </c>
      <c r="W6133" s="19">
        <f>IF($I6133="","",IF(ISNUMBER($I6133),TEXT($I6133,"0"),$I6133))</f>
        <v/>
      </c>
    </row>
    <row r="6134">
      <c r="B6134" s="25" t="n"/>
      <c r="I6134" s="25" t="n"/>
      <c r="U6134" s="19">
        <f>IF($V6134&lt;&gt;'設定'!$C$4,N(U6133),IF(OR(NOT(COUNTIF('商品マスタ'!$B$6:$B$1005,$W6134)=0),COUNTIFS('①在庫を貼る'!$V$6:$V$10005,$V6134,'①在庫を貼る'!$W$6:$W$10005,$W6134)&gt;0),N(U6133),N(U6133)+1))</f>
        <v/>
      </c>
      <c r="V6134" s="19">
        <f>IF($B6134="","",TEXT($B6134,"0000"))</f>
        <v/>
      </c>
      <c r="W6134" s="19">
        <f>IF($I6134="","",IF(ISNUMBER($I6134),TEXT($I6134,"0"),$I6134))</f>
        <v/>
      </c>
    </row>
    <row r="6135">
      <c r="B6135" s="25" t="n"/>
      <c r="I6135" s="25" t="n"/>
      <c r="U6135" s="19">
        <f>IF($V6135&lt;&gt;'設定'!$C$4,N(U6134),IF(OR(NOT(COUNTIF('商品マスタ'!$B$6:$B$1005,$W6135)=0),COUNTIFS('①在庫を貼る'!$V$6:$V$10005,$V6135,'①在庫を貼る'!$W$6:$W$10005,$W6135)&gt;0),N(U6134),N(U6134)+1))</f>
        <v/>
      </c>
      <c r="V6135" s="19">
        <f>IF($B6135="","",TEXT($B6135,"0000"))</f>
        <v/>
      </c>
      <c r="W6135" s="19">
        <f>IF($I6135="","",IF(ISNUMBER($I6135),TEXT($I6135,"0"),$I6135))</f>
        <v/>
      </c>
    </row>
    <row r="6136">
      <c r="B6136" s="25" t="n"/>
      <c r="I6136" s="25" t="n"/>
      <c r="U6136" s="19">
        <f>IF($V6136&lt;&gt;'設定'!$C$4,N(U6135),IF(OR(NOT(COUNTIF('商品マスタ'!$B$6:$B$1005,$W6136)=0),COUNTIFS('①在庫を貼る'!$V$6:$V$10005,$V6136,'①在庫を貼る'!$W$6:$W$10005,$W6136)&gt;0),N(U6135),N(U6135)+1))</f>
        <v/>
      </c>
      <c r="V6136" s="19">
        <f>IF($B6136="","",TEXT($B6136,"0000"))</f>
        <v/>
      </c>
      <c r="W6136" s="19">
        <f>IF($I6136="","",IF(ISNUMBER($I6136),TEXT($I6136,"0"),$I6136))</f>
        <v/>
      </c>
    </row>
    <row r="6137">
      <c r="B6137" s="25" t="n"/>
      <c r="I6137" s="25" t="n"/>
      <c r="U6137" s="19">
        <f>IF($V6137&lt;&gt;'設定'!$C$4,N(U6136),IF(OR(NOT(COUNTIF('商品マスタ'!$B$6:$B$1005,$W6137)=0),COUNTIFS('①在庫を貼る'!$V$6:$V$10005,$V6137,'①在庫を貼る'!$W$6:$W$10005,$W6137)&gt;0),N(U6136),N(U6136)+1))</f>
        <v/>
      </c>
      <c r="V6137" s="19">
        <f>IF($B6137="","",TEXT($B6137,"0000"))</f>
        <v/>
      </c>
      <c r="W6137" s="19">
        <f>IF($I6137="","",IF(ISNUMBER($I6137),TEXT($I6137,"0"),$I6137))</f>
        <v/>
      </c>
    </row>
    <row r="6138">
      <c r="B6138" s="25" t="n"/>
      <c r="I6138" s="25" t="n"/>
      <c r="U6138" s="19">
        <f>IF($V6138&lt;&gt;'設定'!$C$4,N(U6137),IF(OR(NOT(COUNTIF('商品マスタ'!$B$6:$B$1005,$W6138)=0),COUNTIFS('①在庫を貼る'!$V$6:$V$10005,$V6138,'①在庫を貼る'!$W$6:$W$10005,$W6138)&gt;0),N(U6137),N(U6137)+1))</f>
        <v/>
      </c>
      <c r="V6138" s="19">
        <f>IF($B6138="","",TEXT($B6138,"0000"))</f>
        <v/>
      </c>
      <c r="W6138" s="19">
        <f>IF($I6138="","",IF(ISNUMBER($I6138),TEXT($I6138,"0"),$I6138))</f>
        <v/>
      </c>
    </row>
    <row r="6139">
      <c r="B6139" s="25" t="n"/>
      <c r="I6139" s="25" t="n"/>
      <c r="U6139" s="19">
        <f>IF($V6139&lt;&gt;'設定'!$C$4,N(U6138),IF(OR(NOT(COUNTIF('商品マスタ'!$B$6:$B$1005,$W6139)=0),COUNTIFS('①在庫を貼る'!$V$6:$V$10005,$V6139,'①在庫を貼る'!$W$6:$W$10005,$W6139)&gt;0),N(U6138),N(U6138)+1))</f>
        <v/>
      </c>
      <c r="V6139" s="19">
        <f>IF($B6139="","",TEXT($B6139,"0000"))</f>
        <v/>
      </c>
      <c r="W6139" s="19">
        <f>IF($I6139="","",IF(ISNUMBER($I6139),TEXT($I6139,"0"),$I6139))</f>
        <v/>
      </c>
    </row>
    <row r="6140">
      <c r="B6140" s="25" t="n"/>
      <c r="I6140" s="25" t="n"/>
      <c r="U6140" s="19">
        <f>IF($V6140&lt;&gt;'設定'!$C$4,N(U6139),IF(OR(NOT(COUNTIF('商品マスタ'!$B$6:$B$1005,$W6140)=0),COUNTIFS('①在庫を貼る'!$V$6:$V$10005,$V6140,'①在庫を貼る'!$W$6:$W$10005,$W6140)&gt;0),N(U6139),N(U6139)+1))</f>
        <v/>
      </c>
      <c r="V6140" s="19">
        <f>IF($B6140="","",TEXT($B6140,"0000"))</f>
        <v/>
      </c>
      <c r="W6140" s="19">
        <f>IF($I6140="","",IF(ISNUMBER($I6140),TEXT($I6140,"0"),$I6140))</f>
        <v/>
      </c>
    </row>
    <row r="6141">
      <c r="B6141" s="25" t="n"/>
      <c r="I6141" s="25" t="n"/>
      <c r="U6141" s="19">
        <f>IF($V6141&lt;&gt;'設定'!$C$4,N(U6140),IF(OR(NOT(COUNTIF('商品マスタ'!$B$6:$B$1005,$W6141)=0),COUNTIFS('①在庫を貼る'!$V$6:$V$10005,$V6141,'①在庫を貼る'!$W$6:$W$10005,$W6141)&gt;0),N(U6140),N(U6140)+1))</f>
        <v/>
      </c>
      <c r="V6141" s="19">
        <f>IF($B6141="","",TEXT($B6141,"0000"))</f>
        <v/>
      </c>
      <c r="W6141" s="19">
        <f>IF($I6141="","",IF(ISNUMBER($I6141),TEXT($I6141,"0"),$I6141))</f>
        <v/>
      </c>
    </row>
    <row r="6142">
      <c r="B6142" s="25" t="n"/>
      <c r="I6142" s="25" t="n"/>
      <c r="U6142" s="19">
        <f>IF($V6142&lt;&gt;'設定'!$C$4,N(U6141),IF(OR(NOT(COUNTIF('商品マスタ'!$B$6:$B$1005,$W6142)=0),COUNTIFS('①在庫を貼る'!$V$6:$V$10005,$V6142,'①在庫を貼る'!$W$6:$W$10005,$W6142)&gt;0),N(U6141),N(U6141)+1))</f>
        <v/>
      </c>
      <c r="V6142" s="19">
        <f>IF($B6142="","",TEXT($B6142,"0000"))</f>
        <v/>
      </c>
      <c r="W6142" s="19">
        <f>IF($I6142="","",IF(ISNUMBER($I6142),TEXT($I6142,"0"),$I6142))</f>
        <v/>
      </c>
    </row>
    <row r="6143">
      <c r="B6143" s="25" t="n"/>
      <c r="I6143" s="25" t="n"/>
      <c r="U6143" s="19">
        <f>IF($V6143&lt;&gt;'設定'!$C$4,N(U6142),IF(OR(NOT(COUNTIF('商品マスタ'!$B$6:$B$1005,$W6143)=0),COUNTIFS('①在庫を貼る'!$V$6:$V$10005,$V6143,'①在庫を貼る'!$W$6:$W$10005,$W6143)&gt;0),N(U6142),N(U6142)+1))</f>
        <v/>
      </c>
      <c r="V6143" s="19">
        <f>IF($B6143="","",TEXT($B6143,"0000"))</f>
        <v/>
      </c>
      <c r="W6143" s="19">
        <f>IF($I6143="","",IF(ISNUMBER($I6143),TEXT($I6143,"0"),$I6143))</f>
        <v/>
      </c>
    </row>
    <row r="6144">
      <c r="B6144" s="25" t="n"/>
      <c r="I6144" s="25" t="n"/>
      <c r="U6144" s="19">
        <f>IF($V6144&lt;&gt;'設定'!$C$4,N(U6143),IF(OR(NOT(COUNTIF('商品マスタ'!$B$6:$B$1005,$W6144)=0),COUNTIFS('①在庫を貼る'!$V$6:$V$10005,$V6144,'①在庫を貼る'!$W$6:$W$10005,$W6144)&gt;0),N(U6143),N(U6143)+1))</f>
        <v/>
      </c>
      <c r="V6144" s="19">
        <f>IF($B6144="","",TEXT($B6144,"0000"))</f>
        <v/>
      </c>
      <c r="W6144" s="19">
        <f>IF($I6144="","",IF(ISNUMBER($I6144),TEXT($I6144,"0"),$I6144))</f>
        <v/>
      </c>
    </row>
    <row r="6145">
      <c r="B6145" s="25" t="n"/>
      <c r="I6145" s="25" t="n"/>
      <c r="U6145" s="19">
        <f>IF($V6145&lt;&gt;'設定'!$C$4,N(U6144),IF(OR(NOT(COUNTIF('商品マスタ'!$B$6:$B$1005,$W6145)=0),COUNTIFS('①在庫を貼る'!$V$6:$V$10005,$V6145,'①在庫を貼る'!$W$6:$W$10005,$W6145)&gt;0),N(U6144),N(U6144)+1))</f>
        <v/>
      </c>
      <c r="V6145" s="19">
        <f>IF($B6145="","",TEXT($B6145,"0000"))</f>
        <v/>
      </c>
      <c r="W6145" s="19">
        <f>IF($I6145="","",IF(ISNUMBER($I6145),TEXT($I6145,"0"),$I6145))</f>
        <v/>
      </c>
    </row>
    <row r="6146">
      <c r="B6146" s="25" t="n"/>
      <c r="I6146" s="25" t="n"/>
      <c r="U6146" s="19">
        <f>IF($V6146&lt;&gt;'設定'!$C$4,N(U6145),IF(OR(NOT(COUNTIF('商品マスタ'!$B$6:$B$1005,$W6146)=0),COUNTIFS('①在庫を貼る'!$V$6:$V$10005,$V6146,'①在庫を貼る'!$W$6:$W$10005,$W6146)&gt;0),N(U6145),N(U6145)+1))</f>
        <v/>
      </c>
      <c r="V6146" s="19">
        <f>IF($B6146="","",TEXT($B6146,"0000"))</f>
        <v/>
      </c>
      <c r="W6146" s="19">
        <f>IF($I6146="","",IF(ISNUMBER($I6146),TEXT($I6146,"0"),$I6146))</f>
        <v/>
      </c>
    </row>
    <row r="6147">
      <c r="B6147" s="25" t="n"/>
      <c r="I6147" s="25" t="n"/>
      <c r="U6147" s="19">
        <f>IF($V6147&lt;&gt;'設定'!$C$4,N(U6146),IF(OR(NOT(COUNTIF('商品マスタ'!$B$6:$B$1005,$W6147)=0),COUNTIFS('①在庫を貼る'!$V$6:$V$10005,$V6147,'①在庫を貼る'!$W$6:$W$10005,$W6147)&gt;0),N(U6146),N(U6146)+1))</f>
        <v/>
      </c>
      <c r="V6147" s="19">
        <f>IF($B6147="","",TEXT($B6147,"0000"))</f>
        <v/>
      </c>
      <c r="W6147" s="19">
        <f>IF($I6147="","",IF(ISNUMBER($I6147),TEXT($I6147,"0"),$I6147))</f>
        <v/>
      </c>
    </row>
    <row r="6148">
      <c r="B6148" s="25" t="n"/>
      <c r="I6148" s="25" t="n"/>
      <c r="U6148" s="19">
        <f>IF($V6148&lt;&gt;'設定'!$C$4,N(U6147),IF(OR(NOT(COUNTIF('商品マスタ'!$B$6:$B$1005,$W6148)=0),COUNTIFS('①在庫を貼る'!$V$6:$V$10005,$V6148,'①在庫を貼る'!$W$6:$W$10005,$W6148)&gt;0),N(U6147),N(U6147)+1))</f>
        <v/>
      </c>
      <c r="V6148" s="19">
        <f>IF($B6148="","",TEXT($B6148,"0000"))</f>
        <v/>
      </c>
      <c r="W6148" s="19">
        <f>IF($I6148="","",IF(ISNUMBER($I6148),TEXT($I6148,"0"),$I6148))</f>
        <v/>
      </c>
    </row>
    <row r="6149">
      <c r="B6149" s="25" t="n"/>
      <c r="I6149" s="25" t="n"/>
      <c r="U6149" s="19">
        <f>IF($V6149&lt;&gt;'設定'!$C$4,N(U6148),IF(OR(NOT(COUNTIF('商品マスタ'!$B$6:$B$1005,$W6149)=0),COUNTIFS('①在庫を貼る'!$V$6:$V$10005,$V6149,'①在庫を貼る'!$W$6:$W$10005,$W6149)&gt;0),N(U6148),N(U6148)+1))</f>
        <v/>
      </c>
      <c r="V6149" s="19">
        <f>IF($B6149="","",TEXT($B6149,"0000"))</f>
        <v/>
      </c>
      <c r="W6149" s="19">
        <f>IF($I6149="","",IF(ISNUMBER($I6149),TEXT($I6149,"0"),$I6149))</f>
        <v/>
      </c>
    </row>
    <row r="6150">
      <c r="B6150" s="25" t="n"/>
      <c r="I6150" s="25" t="n"/>
      <c r="U6150" s="19">
        <f>IF($V6150&lt;&gt;'設定'!$C$4,N(U6149),IF(OR(NOT(COUNTIF('商品マスタ'!$B$6:$B$1005,$W6150)=0),COUNTIFS('①在庫を貼る'!$V$6:$V$10005,$V6150,'①在庫を貼る'!$W$6:$W$10005,$W6150)&gt;0),N(U6149),N(U6149)+1))</f>
        <v/>
      </c>
      <c r="V6150" s="19">
        <f>IF($B6150="","",TEXT($B6150,"0000"))</f>
        <v/>
      </c>
      <c r="W6150" s="19">
        <f>IF($I6150="","",IF(ISNUMBER($I6150),TEXT($I6150,"0"),$I6150))</f>
        <v/>
      </c>
    </row>
    <row r="6151">
      <c r="B6151" s="25" t="n"/>
      <c r="I6151" s="25" t="n"/>
      <c r="U6151" s="19">
        <f>IF($V6151&lt;&gt;'設定'!$C$4,N(U6150),IF(OR(NOT(COUNTIF('商品マスタ'!$B$6:$B$1005,$W6151)=0),COUNTIFS('①在庫を貼る'!$V$6:$V$10005,$V6151,'①在庫を貼る'!$W$6:$W$10005,$W6151)&gt;0),N(U6150),N(U6150)+1))</f>
        <v/>
      </c>
      <c r="V6151" s="19">
        <f>IF($B6151="","",TEXT($B6151,"0000"))</f>
        <v/>
      </c>
      <c r="W6151" s="19">
        <f>IF($I6151="","",IF(ISNUMBER($I6151),TEXT($I6151,"0"),$I6151))</f>
        <v/>
      </c>
    </row>
    <row r="6152">
      <c r="B6152" s="25" t="n"/>
      <c r="I6152" s="25" t="n"/>
      <c r="U6152" s="19">
        <f>IF($V6152&lt;&gt;'設定'!$C$4,N(U6151),IF(OR(NOT(COUNTIF('商品マスタ'!$B$6:$B$1005,$W6152)=0),COUNTIFS('①在庫を貼る'!$V$6:$V$10005,$V6152,'①在庫を貼る'!$W$6:$W$10005,$W6152)&gt;0),N(U6151),N(U6151)+1))</f>
        <v/>
      </c>
      <c r="V6152" s="19">
        <f>IF($B6152="","",TEXT($B6152,"0000"))</f>
        <v/>
      </c>
      <c r="W6152" s="19">
        <f>IF($I6152="","",IF(ISNUMBER($I6152),TEXT($I6152,"0"),$I6152))</f>
        <v/>
      </c>
    </row>
    <row r="6153">
      <c r="B6153" s="25" t="n"/>
      <c r="I6153" s="25" t="n"/>
      <c r="U6153" s="19">
        <f>IF($V6153&lt;&gt;'設定'!$C$4,N(U6152),IF(OR(NOT(COUNTIF('商品マスタ'!$B$6:$B$1005,$W6153)=0),COUNTIFS('①在庫を貼る'!$V$6:$V$10005,$V6153,'①在庫を貼る'!$W$6:$W$10005,$W6153)&gt;0),N(U6152),N(U6152)+1))</f>
        <v/>
      </c>
      <c r="V6153" s="19">
        <f>IF($B6153="","",TEXT($B6153,"0000"))</f>
        <v/>
      </c>
      <c r="W6153" s="19">
        <f>IF($I6153="","",IF(ISNUMBER($I6153),TEXT($I6153,"0"),$I6153))</f>
        <v/>
      </c>
    </row>
    <row r="6154">
      <c r="B6154" s="25" t="n"/>
      <c r="I6154" s="25" t="n"/>
      <c r="U6154" s="19">
        <f>IF($V6154&lt;&gt;'設定'!$C$4,N(U6153),IF(OR(NOT(COUNTIF('商品マスタ'!$B$6:$B$1005,$W6154)=0),COUNTIFS('①在庫を貼る'!$V$6:$V$10005,$V6154,'①在庫を貼る'!$W$6:$W$10005,$W6154)&gt;0),N(U6153),N(U6153)+1))</f>
        <v/>
      </c>
      <c r="V6154" s="19">
        <f>IF($B6154="","",TEXT($B6154,"0000"))</f>
        <v/>
      </c>
      <c r="W6154" s="19">
        <f>IF($I6154="","",IF(ISNUMBER($I6154),TEXT($I6154,"0"),$I6154))</f>
        <v/>
      </c>
    </row>
    <row r="6155">
      <c r="B6155" s="25" t="n"/>
      <c r="I6155" s="25" t="n"/>
      <c r="U6155" s="19">
        <f>IF($V6155&lt;&gt;'設定'!$C$4,N(U6154),IF(OR(NOT(COUNTIF('商品マスタ'!$B$6:$B$1005,$W6155)=0),COUNTIFS('①在庫を貼る'!$V$6:$V$10005,$V6155,'①在庫を貼る'!$W$6:$W$10005,$W6155)&gt;0),N(U6154),N(U6154)+1))</f>
        <v/>
      </c>
      <c r="V6155" s="19">
        <f>IF($B6155="","",TEXT($B6155,"0000"))</f>
        <v/>
      </c>
      <c r="W6155" s="19">
        <f>IF($I6155="","",IF(ISNUMBER($I6155),TEXT($I6155,"0"),$I6155))</f>
        <v/>
      </c>
    </row>
    <row r="6156">
      <c r="B6156" s="25" t="n"/>
      <c r="I6156" s="25" t="n"/>
      <c r="U6156" s="19">
        <f>IF($V6156&lt;&gt;'設定'!$C$4,N(U6155),IF(OR(NOT(COUNTIF('商品マスタ'!$B$6:$B$1005,$W6156)=0),COUNTIFS('①在庫を貼る'!$V$6:$V$10005,$V6156,'①在庫を貼る'!$W$6:$W$10005,$W6156)&gt;0),N(U6155),N(U6155)+1))</f>
        <v/>
      </c>
      <c r="V6156" s="19">
        <f>IF($B6156="","",TEXT($B6156,"0000"))</f>
        <v/>
      </c>
      <c r="W6156" s="19">
        <f>IF($I6156="","",IF(ISNUMBER($I6156),TEXT($I6156,"0"),$I6156))</f>
        <v/>
      </c>
    </row>
    <row r="6157">
      <c r="B6157" s="25" t="n"/>
      <c r="I6157" s="25" t="n"/>
      <c r="U6157" s="19">
        <f>IF($V6157&lt;&gt;'設定'!$C$4,N(U6156),IF(OR(NOT(COUNTIF('商品マスタ'!$B$6:$B$1005,$W6157)=0),COUNTIFS('①在庫を貼る'!$V$6:$V$10005,$V6157,'①在庫を貼る'!$W$6:$W$10005,$W6157)&gt;0),N(U6156),N(U6156)+1))</f>
        <v/>
      </c>
      <c r="V6157" s="19">
        <f>IF($B6157="","",TEXT($B6157,"0000"))</f>
        <v/>
      </c>
      <c r="W6157" s="19">
        <f>IF($I6157="","",IF(ISNUMBER($I6157),TEXT($I6157,"0"),$I6157))</f>
        <v/>
      </c>
    </row>
    <row r="6158">
      <c r="B6158" s="25" t="n"/>
      <c r="I6158" s="25" t="n"/>
      <c r="U6158" s="19">
        <f>IF($V6158&lt;&gt;'設定'!$C$4,N(U6157),IF(OR(NOT(COUNTIF('商品マスタ'!$B$6:$B$1005,$W6158)=0),COUNTIFS('①在庫を貼る'!$V$6:$V$10005,$V6158,'①在庫を貼る'!$W$6:$W$10005,$W6158)&gt;0),N(U6157),N(U6157)+1))</f>
        <v/>
      </c>
      <c r="V6158" s="19">
        <f>IF($B6158="","",TEXT($B6158,"0000"))</f>
        <v/>
      </c>
      <c r="W6158" s="19">
        <f>IF($I6158="","",IF(ISNUMBER($I6158),TEXT($I6158,"0"),$I6158))</f>
        <v/>
      </c>
    </row>
    <row r="6159">
      <c r="B6159" s="25" t="n"/>
      <c r="I6159" s="25" t="n"/>
      <c r="U6159" s="19">
        <f>IF($V6159&lt;&gt;'設定'!$C$4,N(U6158),IF(OR(NOT(COUNTIF('商品マスタ'!$B$6:$B$1005,$W6159)=0),COUNTIFS('①在庫を貼る'!$V$6:$V$10005,$V6159,'①在庫を貼る'!$W$6:$W$10005,$W6159)&gt;0),N(U6158),N(U6158)+1))</f>
        <v/>
      </c>
      <c r="V6159" s="19">
        <f>IF($B6159="","",TEXT($B6159,"0000"))</f>
        <v/>
      </c>
      <c r="W6159" s="19">
        <f>IF($I6159="","",IF(ISNUMBER($I6159),TEXT($I6159,"0"),$I6159))</f>
        <v/>
      </c>
    </row>
    <row r="6160">
      <c r="B6160" s="25" t="n"/>
      <c r="I6160" s="25" t="n"/>
      <c r="U6160" s="19">
        <f>IF($V6160&lt;&gt;'設定'!$C$4,N(U6159),IF(OR(NOT(COUNTIF('商品マスタ'!$B$6:$B$1005,$W6160)=0),COUNTIFS('①在庫を貼る'!$V$6:$V$10005,$V6160,'①在庫を貼る'!$W$6:$W$10005,$W6160)&gt;0),N(U6159),N(U6159)+1))</f>
        <v/>
      </c>
      <c r="V6160" s="19">
        <f>IF($B6160="","",TEXT($B6160,"0000"))</f>
        <v/>
      </c>
      <c r="W6160" s="19">
        <f>IF($I6160="","",IF(ISNUMBER($I6160),TEXT($I6160,"0"),$I6160))</f>
        <v/>
      </c>
    </row>
    <row r="6161">
      <c r="B6161" s="25" t="n"/>
      <c r="I6161" s="25" t="n"/>
      <c r="U6161" s="19">
        <f>IF($V6161&lt;&gt;'設定'!$C$4,N(U6160),IF(OR(NOT(COUNTIF('商品マスタ'!$B$6:$B$1005,$W6161)=0),COUNTIFS('①在庫を貼る'!$V$6:$V$10005,$V6161,'①在庫を貼る'!$W$6:$W$10005,$W6161)&gt;0),N(U6160),N(U6160)+1))</f>
        <v/>
      </c>
      <c r="V6161" s="19">
        <f>IF($B6161="","",TEXT($B6161,"0000"))</f>
        <v/>
      </c>
      <c r="W6161" s="19">
        <f>IF($I6161="","",IF(ISNUMBER($I6161),TEXT($I6161,"0"),$I6161))</f>
        <v/>
      </c>
    </row>
    <row r="6162">
      <c r="B6162" s="25" t="n"/>
      <c r="I6162" s="25" t="n"/>
      <c r="U6162" s="19">
        <f>IF($V6162&lt;&gt;'設定'!$C$4,N(U6161),IF(OR(NOT(COUNTIF('商品マスタ'!$B$6:$B$1005,$W6162)=0),COUNTIFS('①在庫を貼る'!$V$6:$V$10005,$V6162,'①在庫を貼る'!$W$6:$W$10005,$W6162)&gt;0),N(U6161),N(U6161)+1))</f>
        <v/>
      </c>
      <c r="V6162" s="19">
        <f>IF($B6162="","",TEXT($B6162,"0000"))</f>
        <v/>
      </c>
      <c r="W6162" s="19">
        <f>IF($I6162="","",IF(ISNUMBER($I6162),TEXT($I6162,"0"),$I6162))</f>
        <v/>
      </c>
    </row>
    <row r="6163">
      <c r="B6163" s="25" t="n"/>
      <c r="I6163" s="25" t="n"/>
      <c r="U6163" s="19">
        <f>IF($V6163&lt;&gt;'設定'!$C$4,N(U6162),IF(OR(NOT(COUNTIF('商品マスタ'!$B$6:$B$1005,$W6163)=0),COUNTIFS('①在庫を貼る'!$V$6:$V$10005,$V6163,'①在庫を貼る'!$W$6:$W$10005,$W6163)&gt;0),N(U6162),N(U6162)+1))</f>
        <v/>
      </c>
      <c r="V6163" s="19">
        <f>IF($B6163="","",TEXT($B6163,"0000"))</f>
        <v/>
      </c>
      <c r="W6163" s="19">
        <f>IF($I6163="","",IF(ISNUMBER($I6163),TEXT($I6163,"0"),$I6163))</f>
        <v/>
      </c>
    </row>
    <row r="6164">
      <c r="B6164" s="25" t="n"/>
      <c r="I6164" s="25" t="n"/>
      <c r="U6164" s="19">
        <f>IF($V6164&lt;&gt;'設定'!$C$4,N(U6163),IF(OR(NOT(COUNTIF('商品マスタ'!$B$6:$B$1005,$W6164)=0),COUNTIFS('①在庫を貼る'!$V$6:$V$10005,$V6164,'①在庫を貼る'!$W$6:$W$10005,$W6164)&gt;0),N(U6163),N(U6163)+1))</f>
        <v/>
      </c>
      <c r="V6164" s="19">
        <f>IF($B6164="","",TEXT($B6164,"0000"))</f>
        <v/>
      </c>
      <c r="W6164" s="19">
        <f>IF($I6164="","",IF(ISNUMBER($I6164),TEXT($I6164,"0"),$I6164))</f>
        <v/>
      </c>
    </row>
    <row r="6165">
      <c r="B6165" s="25" t="n"/>
      <c r="I6165" s="25" t="n"/>
      <c r="U6165" s="19">
        <f>IF($V6165&lt;&gt;'設定'!$C$4,N(U6164),IF(OR(NOT(COUNTIF('商品マスタ'!$B$6:$B$1005,$W6165)=0),COUNTIFS('①在庫を貼る'!$V$6:$V$10005,$V6165,'①在庫を貼る'!$W$6:$W$10005,$W6165)&gt;0),N(U6164),N(U6164)+1))</f>
        <v/>
      </c>
      <c r="V6165" s="19">
        <f>IF($B6165="","",TEXT($B6165,"0000"))</f>
        <v/>
      </c>
      <c r="W6165" s="19">
        <f>IF($I6165="","",IF(ISNUMBER($I6165),TEXT($I6165,"0"),$I6165))</f>
        <v/>
      </c>
    </row>
    <row r="6166">
      <c r="B6166" s="25" t="n"/>
      <c r="I6166" s="25" t="n"/>
      <c r="U6166" s="19">
        <f>IF($V6166&lt;&gt;'設定'!$C$4,N(U6165),IF(OR(NOT(COUNTIF('商品マスタ'!$B$6:$B$1005,$W6166)=0),COUNTIFS('①在庫を貼る'!$V$6:$V$10005,$V6166,'①在庫を貼る'!$W$6:$W$10005,$W6166)&gt;0),N(U6165),N(U6165)+1))</f>
        <v/>
      </c>
      <c r="V6166" s="19">
        <f>IF($B6166="","",TEXT($B6166,"0000"))</f>
        <v/>
      </c>
      <c r="W6166" s="19">
        <f>IF($I6166="","",IF(ISNUMBER($I6166),TEXT($I6166,"0"),$I6166))</f>
        <v/>
      </c>
    </row>
    <row r="6167">
      <c r="B6167" s="25" t="n"/>
      <c r="I6167" s="25" t="n"/>
      <c r="U6167" s="19">
        <f>IF($V6167&lt;&gt;'設定'!$C$4,N(U6166),IF(OR(NOT(COUNTIF('商品マスタ'!$B$6:$B$1005,$W6167)=0),COUNTIFS('①在庫を貼る'!$V$6:$V$10005,$V6167,'①在庫を貼る'!$W$6:$W$10005,$W6167)&gt;0),N(U6166),N(U6166)+1))</f>
        <v/>
      </c>
      <c r="V6167" s="19">
        <f>IF($B6167="","",TEXT($B6167,"0000"))</f>
        <v/>
      </c>
      <c r="W6167" s="19">
        <f>IF($I6167="","",IF(ISNUMBER($I6167),TEXT($I6167,"0"),$I6167))</f>
        <v/>
      </c>
    </row>
    <row r="6168">
      <c r="B6168" s="25" t="n"/>
      <c r="I6168" s="25" t="n"/>
      <c r="U6168" s="19">
        <f>IF($V6168&lt;&gt;'設定'!$C$4,N(U6167),IF(OR(NOT(COUNTIF('商品マスタ'!$B$6:$B$1005,$W6168)=0),COUNTIFS('①在庫を貼る'!$V$6:$V$10005,$V6168,'①在庫を貼る'!$W$6:$W$10005,$W6168)&gt;0),N(U6167),N(U6167)+1))</f>
        <v/>
      </c>
      <c r="V6168" s="19">
        <f>IF($B6168="","",TEXT($B6168,"0000"))</f>
        <v/>
      </c>
      <c r="W6168" s="19">
        <f>IF($I6168="","",IF(ISNUMBER($I6168),TEXT($I6168,"0"),$I6168))</f>
        <v/>
      </c>
    </row>
    <row r="6169">
      <c r="B6169" s="25" t="n"/>
      <c r="I6169" s="25" t="n"/>
      <c r="U6169" s="19">
        <f>IF($V6169&lt;&gt;'設定'!$C$4,N(U6168),IF(OR(NOT(COUNTIF('商品マスタ'!$B$6:$B$1005,$W6169)=0),COUNTIFS('①在庫を貼る'!$V$6:$V$10005,$V6169,'①在庫を貼る'!$W$6:$W$10005,$W6169)&gt;0),N(U6168),N(U6168)+1))</f>
        <v/>
      </c>
      <c r="V6169" s="19">
        <f>IF($B6169="","",TEXT($B6169,"0000"))</f>
        <v/>
      </c>
      <c r="W6169" s="19">
        <f>IF($I6169="","",IF(ISNUMBER($I6169),TEXT($I6169,"0"),$I6169))</f>
        <v/>
      </c>
    </row>
    <row r="6170">
      <c r="B6170" s="25" t="n"/>
      <c r="I6170" s="25" t="n"/>
      <c r="U6170" s="19">
        <f>IF($V6170&lt;&gt;'設定'!$C$4,N(U6169),IF(OR(NOT(COUNTIF('商品マスタ'!$B$6:$B$1005,$W6170)=0),COUNTIFS('①在庫を貼る'!$V$6:$V$10005,$V6170,'①在庫を貼る'!$W$6:$W$10005,$W6170)&gt;0),N(U6169),N(U6169)+1))</f>
        <v/>
      </c>
      <c r="V6170" s="19">
        <f>IF($B6170="","",TEXT($B6170,"0000"))</f>
        <v/>
      </c>
      <c r="W6170" s="19">
        <f>IF($I6170="","",IF(ISNUMBER($I6170),TEXT($I6170,"0"),$I6170))</f>
        <v/>
      </c>
    </row>
    <row r="6171">
      <c r="B6171" s="25" t="n"/>
      <c r="I6171" s="25" t="n"/>
      <c r="U6171" s="19">
        <f>IF($V6171&lt;&gt;'設定'!$C$4,N(U6170),IF(OR(NOT(COUNTIF('商品マスタ'!$B$6:$B$1005,$W6171)=0),COUNTIFS('①在庫を貼る'!$V$6:$V$10005,$V6171,'①在庫を貼る'!$W$6:$W$10005,$W6171)&gt;0),N(U6170),N(U6170)+1))</f>
        <v/>
      </c>
      <c r="V6171" s="19">
        <f>IF($B6171="","",TEXT($B6171,"0000"))</f>
        <v/>
      </c>
      <c r="W6171" s="19">
        <f>IF($I6171="","",IF(ISNUMBER($I6171),TEXT($I6171,"0"),$I6171))</f>
        <v/>
      </c>
    </row>
    <row r="6172">
      <c r="B6172" s="25" t="n"/>
      <c r="I6172" s="25" t="n"/>
      <c r="U6172" s="19">
        <f>IF($V6172&lt;&gt;'設定'!$C$4,N(U6171),IF(OR(NOT(COUNTIF('商品マスタ'!$B$6:$B$1005,$W6172)=0),COUNTIFS('①在庫を貼る'!$V$6:$V$10005,$V6172,'①在庫を貼る'!$W$6:$W$10005,$W6172)&gt;0),N(U6171),N(U6171)+1))</f>
        <v/>
      </c>
      <c r="V6172" s="19">
        <f>IF($B6172="","",TEXT($B6172,"0000"))</f>
        <v/>
      </c>
      <c r="W6172" s="19">
        <f>IF($I6172="","",IF(ISNUMBER($I6172),TEXT($I6172,"0"),$I6172))</f>
        <v/>
      </c>
    </row>
    <row r="6173">
      <c r="B6173" s="25" t="n"/>
      <c r="I6173" s="25" t="n"/>
      <c r="U6173" s="19">
        <f>IF($V6173&lt;&gt;'設定'!$C$4,N(U6172),IF(OR(NOT(COUNTIF('商品マスタ'!$B$6:$B$1005,$W6173)=0),COUNTIFS('①在庫を貼る'!$V$6:$V$10005,$V6173,'①在庫を貼る'!$W$6:$W$10005,$W6173)&gt;0),N(U6172),N(U6172)+1))</f>
        <v/>
      </c>
      <c r="V6173" s="19">
        <f>IF($B6173="","",TEXT($B6173,"0000"))</f>
        <v/>
      </c>
      <c r="W6173" s="19">
        <f>IF($I6173="","",IF(ISNUMBER($I6173),TEXT($I6173,"0"),$I6173))</f>
        <v/>
      </c>
    </row>
    <row r="6174">
      <c r="B6174" s="25" t="n"/>
      <c r="I6174" s="25" t="n"/>
      <c r="U6174" s="19">
        <f>IF($V6174&lt;&gt;'設定'!$C$4,N(U6173),IF(OR(NOT(COUNTIF('商品マスタ'!$B$6:$B$1005,$W6174)=0),COUNTIFS('①在庫を貼る'!$V$6:$V$10005,$V6174,'①在庫を貼る'!$W$6:$W$10005,$W6174)&gt;0),N(U6173),N(U6173)+1))</f>
        <v/>
      </c>
      <c r="V6174" s="19">
        <f>IF($B6174="","",TEXT($B6174,"0000"))</f>
        <v/>
      </c>
      <c r="W6174" s="19">
        <f>IF($I6174="","",IF(ISNUMBER($I6174),TEXT($I6174,"0"),$I6174))</f>
        <v/>
      </c>
    </row>
    <row r="6175">
      <c r="B6175" s="25" t="n"/>
      <c r="I6175" s="25" t="n"/>
      <c r="U6175" s="19">
        <f>IF($V6175&lt;&gt;'設定'!$C$4,N(U6174),IF(OR(NOT(COUNTIF('商品マスタ'!$B$6:$B$1005,$W6175)=0),COUNTIFS('①在庫を貼る'!$V$6:$V$10005,$V6175,'①在庫を貼る'!$W$6:$W$10005,$W6175)&gt;0),N(U6174),N(U6174)+1))</f>
        <v/>
      </c>
      <c r="V6175" s="19">
        <f>IF($B6175="","",TEXT($B6175,"0000"))</f>
        <v/>
      </c>
      <c r="W6175" s="19">
        <f>IF($I6175="","",IF(ISNUMBER($I6175),TEXT($I6175,"0"),$I6175))</f>
        <v/>
      </c>
    </row>
    <row r="6176">
      <c r="B6176" s="25" t="n"/>
      <c r="I6176" s="25" t="n"/>
      <c r="U6176" s="19">
        <f>IF($V6176&lt;&gt;'設定'!$C$4,N(U6175),IF(OR(NOT(COUNTIF('商品マスタ'!$B$6:$B$1005,$W6176)=0),COUNTIFS('①在庫を貼る'!$V$6:$V$10005,$V6176,'①在庫を貼る'!$W$6:$W$10005,$W6176)&gt;0),N(U6175),N(U6175)+1))</f>
        <v/>
      </c>
      <c r="V6176" s="19">
        <f>IF($B6176="","",TEXT($B6176,"0000"))</f>
        <v/>
      </c>
      <c r="W6176" s="19">
        <f>IF($I6176="","",IF(ISNUMBER($I6176),TEXT($I6176,"0"),$I6176))</f>
        <v/>
      </c>
    </row>
    <row r="6177">
      <c r="B6177" s="25" t="n"/>
      <c r="I6177" s="25" t="n"/>
      <c r="U6177" s="19">
        <f>IF($V6177&lt;&gt;'設定'!$C$4,N(U6176),IF(OR(NOT(COUNTIF('商品マスタ'!$B$6:$B$1005,$W6177)=0),COUNTIFS('①在庫を貼る'!$V$6:$V$10005,$V6177,'①在庫を貼る'!$W$6:$W$10005,$W6177)&gt;0),N(U6176),N(U6176)+1))</f>
        <v/>
      </c>
      <c r="V6177" s="19">
        <f>IF($B6177="","",TEXT($B6177,"0000"))</f>
        <v/>
      </c>
      <c r="W6177" s="19">
        <f>IF($I6177="","",IF(ISNUMBER($I6177),TEXT($I6177,"0"),$I6177))</f>
        <v/>
      </c>
    </row>
    <row r="6178">
      <c r="B6178" s="25" t="n"/>
      <c r="I6178" s="25" t="n"/>
      <c r="U6178" s="19">
        <f>IF($V6178&lt;&gt;'設定'!$C$4,N(U6177),IF(OR(NOT(COUNTIF('商品マスタ'!$B$6:$B$1005,$W6178)=0),COUNTIFS('①在庫を貼る'!$V$6:$V$10005,$V6178,'①在庫を貼る'!$W$6:$W$10005,$W6178)&gt;0),N(U6177),N(U6177)+1))</f>
        <v/>
      </c>
      <c r="V6178" s="19">
        <f>IF($B6178="","",TEXT($B6178,"0000"))</f>
        <v/>
      </c>
      <c r="W6178" s="19">
        <f>IF($I6178="","",IF(ISNUMBER($I6178),TEXT($I6178,"0"),$I6178))</f>
        <v/>
      </c>
    </row>
    <row r="6179">
      <c r="B6179" s="25" t="n"/>
      <c r="I6179" s="25" t="n"/>
      <c r="U6179" s="19">
        <f>IF($V6179&lt;&gt;'設定'!$C$4,N(U6178),IF(OR(NOT(COUNTIF('商品マスタ'!$B$6:$B$1005,$W6179)=0),COUNTIFS('①在庫を貼る'!$V$6:$V$10005,$V6179,'①在庫を貼る'!$W$6:$W$10005,$W6179)&gt;0),N(U6178),N(U6178)+1))</f>
        <v/>
      </c>
      <c r="V6179" s="19">
        <f>IF($B6179="","",TEXT($B6179,"0000"))</f>
        <v/>
      </c>
      <c r="W6179" s="19">
        <f>IF($I6179="","",IF(ISNUMBER($I6179),TEXT($I6179,"0"),$I6179))</f>
        <v/>
      </c>
    </row>
    <row r="6180">
      <c r="B6180" s="25" t="n"/>
      <c r="I6180" s="25" t="n"/>
      <c r="U6180" s="19">
        <f>IF($V6180&lt;&gt;'設定'!$C$4,N(U6179),IF(OR(NOT(COUNTIF('商品マスタ'!$B$6:$B$1005,$W6180)=0),COUNTIFS('①在庫を貼る'!$V$6:$V$10005,$V6180,'①在庫を貼る'!$W$6:$W$10005,$W6180)&gt;0),N(U6179),N(U6179)+1))</f>
        <v/>
      </c>
      <c r="V6180" s="19">
        <f>IF($B6180="","",TEXT($B6180,"0000"))</f>
        <v/>
      </c>
      <c r="W6180" s="19">
        <f>IF($I6180="","",IF(ISNUMBER($I6180),TEXT($I6180,"0"),$I6180))</f>
        <v/>
      </c>
    </row>
    <row r="6181">
      <c r="B6181" s="25" t="n"/>
      <c r="I6181" s="25" t="n"/>
      <c r="U6181" s="19">
        <f>IF($V6181&lt;&gt;'設定'!$C$4,N(U6180),IF(OR(NOT(COUNTIF('商品マスタ'!$B$6:$B$1005,$W6181)=0),COUNTIFS('①在庫を貼る'!$V$6:$V$10005,$V6181,'①在庫を貼る'!$W$6:$W$10005,$W6181)&gt;0),N(U6180),N(U6180)+1))</f>
        <v/>
      </c>
      <c r="V6181" s="19">
        <f>IF($B6181="","",TEXT($B6181,"0000"))</f>
        <v/>
      </c>
      <c r="W6181" s="19">
        <f>IF($I6181="","",IF(ISNUMBER($I6181),TEXT($I6181,"0"),$I6181))</f>
        <v/>
      </c>
    </row>
    <row r="6182">
      <c r="B6182" s="25" t="n"/>
      <c r="I6182" s="25" t="n"/>
      <c r="U6182" s="19">
        <f>IF($V6182&lt;&gt;'設定'!$C$4,N(U6181),IF(OR(NOT(COUNTIF('商品マスタ'!$B$6:$B$1005,$W6182)=0),COUNTIFS('①在庫を貼る'!$V$6:$V$10005,$V6182,'①在庫を貼る'!$W$6:$W$10005,$W6182)&gt;0),N(U6181),N(U6181)+1))</f>
        <v/>
      </c>
      <c r="V6182" s="19">
        <f>IF($B6182="","",TEXT($B6182,"0000"))</f>
        <v/>
      </c>
      <c r="W6182" s="19">
        <f>IF($I6182="","",IF(ISNUMBER($I6182),TEXT($I6182,"0"),$I6182))</f>
        <v/>
      </c>
    </row>
    <row r="6183">
      <c r="B6183" s="25" t="n"/>
      <c r="I6183" s="25" t="n"/>
      <c r="U6183" s="19">
        <f>IF($V6183&lt;&gt;'設定'!$C$4,N(U6182),IF(OR(NOT(COUNTIF('商品マスタ'!$B$6:$B$1005,$W6183)=0),COUNTIFS('①在庫を貼る'!$V$6:$V$10005,$V6183,'①在庫を貼る'!$W$6:$W$10005,$W6183)&gt;0),N(U6182),N(U6182)+1))</f>
        <v/>
      </c>
      <c r="V6183" s="19">
        <f>IF($B6183="","",TEXT($B6183,"0000"))</f>
        <v/>
      </c>
      <c r="W6183" s="19">
        <f>IF($I6183="","",IF(ISNUMBER($I6183),TEXT($I6183,"0"),$I6183))</f>
        <v/>
      </c>
    </row>
    <row r="6184">
      <c r="B6184" s="25" t="n"/>
      <c r="I6184" s="25" t="n"/>
      <c r="U6184" s="19">
        <f>IF($V6184&lt;&gt;'設定'!$C$4,N(U6183),IF(OR(NOT(COUNTIF('商品マスタ'!$B$6:$B$1005,$W6184)=0),COUNTIFS('①在庫を貼る'!$V$6:$V$10005,$V6184,'①在庫を貼る'!$W$6:$W$10005,$W6184)&gt;0),N(U6183),N(U6183)+1))</f>
        <v/>
      </c>
      <c r="V6184" s="19">
        <f>IF($B6184="","",TEXT($B6184,"0000"))</f>
        <v/>
      </c>
      <c r="W6184" s="19">
        <f>IF($I6184="","",IF(ISNUMBER($I6184),TEXT($I6184,"0"),$I6184))</f>
        <v/>
      </c>
    </row>
    <row r="6185">
      <c r="B6185" s="25" t="n"/>
      <c r="I6185" s="25" t="n"/>
      <c r="U6185" s="19">
        <f>IF($V6185&lt;&gt;'設定'!$C$4,N(U6184),IF(OR(NOT(COUNTIF('商品マスタ'!$B$6:$B$1005,$W6185)=0),COUNTIFS('①在庫を貼る'!$V$6:$V$10005,$V6185,'①在庫を貼る'!$W$6:$W$10005,$W6185)&gt;0),N(U6184),N(U6184)+1))</f>
        <v/>
      </c>
      <c r="V6185" s="19">
        <f>IF($B6185="","",TEXT($B6185,"0000"))</f>
        <v/>
      </c>
      <c r="W6185" s="19">
        <f>IF($I6185="","",IF(ISNUMBER($I6185),TEXT($I6185,"0"),$I6185))</f>
        <v/>
      </c>
    </row>
    <row r="6186">
      <c r="B6186" s="25" t="n"/>
      <c r="I6186" s="25" t="n"/>
      <c r="U6186" s="19">
        <f>IF($V6186&lt;&gt;'設定'!$C$4,N(U6185),IF(OR(NOT(COUNTIF('商品マスタ'!$B$6:$B$1005,$W6186)=0),COUNTIFS('①在庫を貼る'!$V$6:$V$10005,$V6186,'①在庫を貼る'!$W$6:$W$10005,$W6186)&gt;0),N(U6185),N(U6185)+1))</f>
        <v/>
      </c>
      <c r="V6186" s="19">
        <f>IF($B6186="","",TEXT($B6186,"0000"))</f>
        <v/>
      </c>
      <c r="W6186" s="19">
        <f>IF($I6186="","",IF(ISNUMBER($I6186),TEXT($I6186,"0"),$I6186))</f>
        <v/>
      </c>
    </row>
    <row r="6187">
      <c r="B6187" s="25" t="n"/>
      <c r="I6187" s="25" t="n"/>
      <c r="U6187" s="19">
        <f>IF($V6187&lt;&gt;'設定'!$C$4,N(U6186),IF(OR(NOT(COUNTIF('商品マスタ'!$B$6:$B$1005,$W6187)=0),COUNTIFS('①在庫を貼る'!$V$6:$V$10005,$V6187,'①在庫を貼る'!$W$6:$W$10005,$W6187)&gt;0),N(U6186),N(U6186)+1))</f>
        <v/>
      </c>
      <c r="V6187" s="19">
        <f>IF($B6187="","",TEXT($B6187,"0000"))</f>
        <v/>
      </c>
      <c r="W6187" s="19">
        <f>IF($I6187="","",IF(ISNUMBER($I6187),TEXT($I6187,"0"),$I6187))</f>
        <v/>
      </c>
    </row>
    <row r="6188">
      <c r="B6188" s="25" t="n"/>
      <c r="I6188" s="25" t="n"/>
      <c r="U6188" s="19">
        <f>IF($V6188&lt;&gt;'設定'!$C$4,N(U6187),IF(OR(NOT(COUNTIF('商品マスタ'!$B$6:$B$1005,$W6188)=0),COUNTIFS('①在庫を貼る'!$V$6:$V$10005,$V6188,'①在庫を貼る'!$W$6:$W$10005,$W6188)&gt;0),N(U6187),N(U6187)+1))</f>
        <v/>
      </c>
      <c r="V6188" s="19">
        <f>IF($B6188="","",TEXT($B6188,"0000"))</f>
        <v/>
      </c>
      <c r="W6188" s="19">
        <f>IF($I6188="","",IF(ISNUMBER($I6188),TEXT($I6188,"0"),$I6188))</f>
        <v/>
      </c>
    </row>
    <row r="6189">
      <c r="B6189" s="25" t="n"/>
      <c r="I6189" s="25" t="n"/>
      <c r="U6189" s="19">
        <f>IF($V6189&lt;&gt;'設定'!$C$4,N(U6188),IF(OR(NOT(COUNTIF('商品マスタ'!$B$6:$B$1005,$W6189)=0),COUNTIFS('①在庫を貼る'!$V$6:$V$10005,$V6189,'①在庫を貼る'!$W$6:$W$10005,$W6189)&gt;0),N(U6188),N(U6188)+1))</f>
        <v/>
      </c>
      <c r="V6189" s="19">
        <f>IF($B6189="","",TEXT($B6189,"0000"))</f>
        <v/>
      </c>
      <c r="W6189" s="19">
        <f>IF($I6189="","",IF(ISNUMBER($I6189),TEXT($I6189,"0"),$I6189))</f>
        <v/>
      </c>
    </row>
    <row r="6190">
      <c r="B6190" s="25" t="n"/>
      <c r="I6190" s="25" t="n"/>
      <c r="U6190" s="19">
        <f>IF($V6190&lt;&gt;'設定'!$C$4,N(U6189),IF(OR(NOT(COUNTIF('商品マスタ'!$B$6:$B$1005,$W6190)=0),COUNTIFS('①在庫を貼る'!$V$6:$V$10005,$V6190,'①在庫を貼る'!$W$6:$W$10005,$W6190)&gt;0),N(U6189),N(U6189)+1))</f>
        <v/>
      </c>
      <c r="V6190" s="19">
        <f>IF($B6190="","",TEXT($B6190,"0000"))</f>
        <v/>
      </c>
      <c r="W6190" s="19">
        <f>IF($I6190="","",IF(ISNUMBER($I6190),TEXT($I6190,"0"),$I6190))</f>
        <v/>
      </c>
    </row>
    <row r="6191">
      <c r="B6191" s="25" t="n"/>
      <c r="I6191" s="25" t="n"/>
      <c r="U6191" s="19">
        <f>IF($V6191&lt;&gt;'設定'!$C$4,N(U6190),IF(OR(NOT(COUNTIF('商品マスタ'!$B$6:$B$1005,$W6191)=0),COUNTIFS('①在庫を貼る'!$V$6:$V$10005,$V6191,'①在庫を貼る'!$W$6:$W$10005,$W6191)&gt;0),N(U6190),N(U6190)+1))</f>
        <v/>
      </c>
      <c r="V6191" s="19">
        <f>IF($B6191="","",TEXT($B6191,"0000"))</f>
        <v/>
      </c>
      <c r="W6191" s="19">
        <f>IF($I6191="","",IF(ISNUMBER($I6191),TEXT($I6191,"0"),$I6191))</f>
        <v/>
      </c>
    </row>
    <row r="6192">
      <c r="B6192" s="25" t="n"/>
      <c r="I6192" s="25" t="n"/>
      <c r="U6192" s="19">
        <f>IF($V6192&lt;&gt;'設定'!$C$4,N(U6191),IF(OR(NOT(COUNTIF('商品マスタ'!$B$6:$B$1005,$W6192)=0),COUNTIFS('①在庫を貼る'!$V$6:$V$10005,$V6192,'①在庫を貼る'!$W$6:$W$10005,$W6192)&gt;0),N(U6191),N(U6191)+1))</f>
        <v/>
      </c>
      <c r="V6192" s="19">
        <f>IF($B6192="","",TEXT($B6192,"0000"))</f>
        <v/>
      </c>
      <c r="W6192" s="19">
        <f>IF($I6192="","",IF(ISNUMBER($I6192),TEXT($I6192,"0"),$I6192))</f>
        <v/>
      </c>
    </row>
    <row r="6193">
      <c r="B6193" s="25" t="n"/>
      <c r="I6193" s="25" t="n"/>
      <c r="U6193" s="19">
        <f>IF($V6193&lt;&gt;'設定'!$C$4,N(U6192),IF(OR(NOT(COUNTIF('商品マスタ'!$B$6:$B$1005,$W6193)=0),COUNTIFS('①在庫を貼る'!$V$6:$V$10005,$V6193,'①在庫を貼る'!$W$6:$W$10005,$W6193)&gt;0),N(U6192),N(U6192)+1))</f>
        <v/>
      </c>
      <c r="V6193" s="19">
        <f>IF($B6193="","",TEXT($B6193,"0000"))</f>
        <v/>
      </c>
      <c r="W6193" s="19">
        <f>IF($I6193="","",IF(ISNUMBER($I6193),TEXT($I6193,"0"),$I6193))</f>
        <v/>
      </c>
    </row>
    <row r="6194">
      <c r="B6194" s="25" t="n"/>
      <c r="I6194" s="25" t="n"/>
      <c r="U6194" s="19">
        <f>IF($V6194&lt;&gt;'設定'!$C$4,N(U6193),IF(OR(NOT(COUNTIF('商品マスタ'!$B$6:$B$1005,$W6194)=0),COUNTIFS('①在庫を貼る'!$V$6:$V$10005,$V6194,'①在庫を貼る'!$W$6:$W$10005,$W6194)&gt;0),N(U6193),N(U6193)+1))</f>
        <v/>
      </c>
      <c r="V6194" s="19">
        <f>IF($B6194="","",TEXT($B6194,"0000"))</f>
        <v/>
      </c>
      <c r="W6194" s="19">
        <f>IF($I6194="","",IF(ISNUMBER($I6194),TEXT($I6194,"0"),$I6194))</f>
        <v/>
      </c>
    </row>
    <row r="6195">
      <c r="B6195" s="25" t="n"/>
      <c r="I6195" s="25" t="n"/>
      <c r="U6195" s="19">
        <f>IF($V6195&lt;&gt;'設定'!$C$4,N(U6194),IF(OR(NOT(COUNTIF('商品マスタ'!$B$6:$B$1005,$W6195)=0),COUNTIFS('①在庫を貼る'!$V$6:$V$10005,$V6195,'①在庫を貼る'!$W$6:$W$10005,$W6195)&gt;0),N(U6194),N(U6194)+1))</f>
        <v/>
      </c>
      <c r="V6195" s="19">
        <f>IF($B6195="","",TEXT($B6195,"0000"))</f>
        <v/>
      </c>
      <c r="W6195" s="19">
        <f>IF($I6195="","",IF(ISNUMBER($I6195),TEXT($I6195,"0"),$I6195))</f>
        <v/>
      </c>
    </row>
    <row r="6196">
      <c r="B6196" s="25" t="n"/>
      <c r="I6196" s="25" t="n"/>
      <c r="U6196" s="19">
        <f>IF($V6196&lt;&gt;'設定'!$C$4,N(U6195),IF(OR(NOT(COUNTIF('商品マスタ'!$B$6:$B$1005,$W6196)=0),COUNTIFS('①在庫を貼る'!$V$6:$V$10005,$V6196,'①在庫を貼る'!$W$6:$W$10005,$W6196)&gt;0),N(U6195),N(U6195)+1))</f>
        <v/>
      </c>
      <c r="V6196" s="19">
        <f>IF($B6196="","",TEXT($B6196,"0000"))</f>
        <v/>
      </c>
      <c r="W6196" s="19">
        <f>IF($I6196="","",IF(ISNUMBER($I6196),TEXT($I6196,"0"),$I6196))</f>
        <v/>
      </c>
    </row>
    <row r="6197">
      <c r="B6197" s="25" t="n"/>
      <c r="I6197" s="25" t="n"/>
      <c r="U6197" s="19">
        <f>IF($V6197&lt;&gt;'設定'!$C$4,N(U6196),IF(OR(NOT(COUNTIF('商品マスタ'!$B$6:$B$1005,$W6197)=0),COUNTIFS('①在庫を貼る'!$V$6:$V$10005,$V6197,'①在庫を貼る'!$W$6:$W$10005,$W6197)&gt;0),N(U6196),N(U6196)+1))</f>
        <v/>
      </c>
      <c r="V6197" s="19">
        <f>IF($B6197="","",TEXT($B6197,"0000"))</f>
        <v/>
      </c>
      <c r="W6197" s="19">
        <f>IF($I6197="","",IF(ISNUMBER($I6197),TEXT($I6197,"0"),$I6197))</f>
        <v/>
      </c>
    </row>
    <row r="6198">
      <c r="B6198" s="25" t="n"/>
      <c r="I6198" s="25" t="n"/>
      <c r="U6198" s="19">
        <f>IF($V6198&lt;&gt;'設定'!$C$4,N(U6197),IF(OR(NOT(COUNTIF('商品マスタ'!$B$6:$B$1005,$W6198)=0),COUNTIFS('①在庫を貼る'!$V$6:$V$10005,$V6198,'①在庫を貼る'!$W$6:$W$10005,$W6198)&gt;0),N(U6197),N(U6197)+1))</f>
        <v/>
      </c>
      <c r="V6198" s="19">
        <f>IF($B6198="","",TEXT($B6198,"0000"))</f>
        <v/>
      </c>
      <c r="W6198" s="19">
        <f>IF($I6198="","",IF(ISNUMBER($I6198),TEXT($I6198,"0"),$I6198))</f>
        <v/>
      </c>
    </row>
    <row r="6199">
      <c r="B6199" s="25" t="n"/>
      <c r="I6199" s="25" t="n"/>
      <c r="U6199" s="19">
        <f>IF($V6199&lt;&gt;'設定'!$C$4,N(U6198),IF(OR(NOT(COUNTIF('商品マスタ'!$B$6:$B$1005,$W6199)=0),COUNTIFS('①在庫を貼る'!$V$6:$V$10005,$V6199,'①在庫を貼る'!$W$6:$W$10005,$W6199)&gt;0),N(U6198),N(U6198)+1))</f>
        <v/>
      </c>
      <c r="V6199" s="19">
        <f>IF($B6199="","",TEXT($B6199,"0000"))</f>
        <v/>
      </c>
      <c r="W6199" s="19">
        <f>IF($I6199="","",IF(ISNUMBER($I6199),TEXT($I6199,"0"),$I6199))</f>
        <v/>
      </c>
    </row>
    <row r="6200">
      <c r="B6200" s="25" t="n"/>
      <c r="I6200" s="25" t="n"/>
      <c r="U6200" s="19">
        <f>IF($V6200&lt;&gt;'設定'!$C$4,N(U6199),IF(OR(NOT(COUNTIF('商品マスタ'!$B$6:$B$1005,$W6200)=0),COUNTIFS('①在庫を貼る'!$V$6:$V$10005,$V6200,'①在庫を貼る'!$W$6:$W$10005,$W6200)&gt;0),N(U6199),N(U6199)+1))</f>
        <v/>
      </c>
      <c r="V6200" s="19">
        <f>IF($B6200="","",TEXT($B6200,"0000"))</f>
        <v/>
      </c>
      <c r="W6200" s="19">
        <f>IF($I6200="","",IF(ISNUMBER($I6200),TEXT($I6200,"0"),$I6200))</f>
        <v/>
      </c>
    </row>
    <row r="6201">
      <c r="B6201" s="25" t="n"/>
      <c r="I6201" s="25" t="n"/>
      <c r="U6201" s="19">
        <f>IF($V6201&lt;&gt;'設定'!$C$4,N(U6200),IF(OR(NOT(COUNTIF('商品マスタ'!$B$6:$B$1005,$W6201)=0),COUNTIFS('①在庫を貼る'!$V$6:$V$10005,$V6201,'①在庫を貼る'!$W$6:$W$10005,$W6201)&gt;0),N(U6200),N(U6200)+1))</f>
        <v/>
      </c>
      <c r="V6201" s="19">
        <f>IF($B6201="","",TEXT($B6201,"0000"))</f>
        <v/>
      </c>
      <c r="W6201" s="19">
        <f>IF($I6201="","",IF(ISNUMBER($I6201),TEXT($I6201,"0"),$I6201))</f>
        <v/>
      </c>
    </row>
    <row r="6202">
      <c r="B6202" s="25" t="n"/>
      <c r="I6202" s="25" t="n"/>
      <c r="U6202" s="19">
        <f>IF($V6202&lt;&gt;'設定'!$C$4,N(U6201),IF(OR(NOT(COUNTIF('商品マスタ'!$B$6:$B$1005,$W6202)=0),COUNTIFS('①在庫を貼る'!$V$6:$V$10005,$V6202,'①在庫を貼る'!$W$6:$W$10005,$W6202)&gt;0),N(U6201),N(U6201)+1))</f>
        <v/>
      </c>
      <c r="V6202" s="19">
        <f>IF($B6202="","",TEXT($B6202,"0000"))</f>
        <v/>
      </c>
      <c r="W6202" s="19">
        <f>IF($I6202="","",IF(ISNUMBER($I6202),TEXT($I6202,"0"),$I6202))</f>
        <v/>
      </c>
    </row>
    <row r="6203">
      <c r="B6203" s="25" t="n"/>
      <c r="I6203" s="25" t="n"/>
      <c r="U6203" s="19">
        <f>IF($V6203&lt;&gt;'設定'!$C$4,N(U6202),IF(OR(NOT(COUNTIF('商品マスタ'!$B$6:$B$1005,$W6203)=0),COUNTIFS('①在庫を貼る'!$V$6:$V$10005,$V6203,'①在庫を貼る'!$W$6:$W$10005,$W6203)&gt;0),N(U6202),N(U6202)+1))</f>
        <v/>
      </c>
      <c r="V6203" s="19">
        <f>IF($B6203="","",TEXT($B6203,"0000"))</f>
        <v/>
      </c>
      <c r="W6203" s="19">
        <f>IF($I6203="","",IF(ISNUMBER($I6203),TEXT($I6203,"0"),$I6203))</f>
        <v/>
      </c>
    </row>
    <row r="6204">
      <c r="B6204" s="25" t="n"/>
      <c r="I6204" s="25" t="n"/>
      <c r="U6204" s="19">
        <f>IF($V6204&lt;&gt;'設定'!$C$4,N(U6203),IF(OR(NOT(COUNTIF('商品マスタ'!$B$6:$B$1005,$W6204)=0),COUNTIFS('①在庫を貼る'!$V$6:$V$10005,$V6204,'①在庫を貼る'!$W$6:$W$10005,$W6204)&gt;0),N(U6203),N(U6203)+1))</f>
        <v/>
      </c>
      <c r="V6204" s="19">
        <f>IF($B6204="","",TEXT($B6204,"0000"))</f>
        <v/>
      </c>
      <c r="W6204" s="19">
        <f>IF($I6204="","",IF(ISNUMBER($I6204),TEXT($I6204,"0"),$I6204))</f>
        <v/>
      </c>
    </row>
    <row r="6205">
      <c r="B6205" s="25" t="n"/>
      <c r="I6205" s="25" t="n"/>
      <c r="U6205" s="19">
        <f>IF($V6205&lt;&gt;'設定'!$C$4,N(U6204),IF(OR(NOT(COUNTIF('商品マスタ'!$B$6:$B$1005,$W6205)=0),COUNTIFS('①在庫を貼る'!$V$6:$V$10005,$V6205,'①在庫を貼る'!$W$6:$W$10005,$W6205)&gt;0),N(U6204),N(U6204)+1))</f>
        <v/>
      </c>
      <c r="V6205" s="19">
        <f>IF($B6205="","",TEXT($B6205,"0000"))</f>
        <v/>
      </c>
      <c r="W6205" s="19">
        <f>IF($I6205="","",IF(ISNUMBER($I6205),TEXT($I6205,"0"),$I6205))</f>
        <v/>
      </c>
    </row>
    <row r="6206">
      <c r="B6206" s="25" t="n"/>
      <c r="I6206" s="25" t="n"/>
      <c r="U6206" s="19">
        <f>IF($V6206&lt;&gt;'設定'!$C$4,N(U6205),IF(OR(NOT(COUNTIF('商品マスタ'!$B$6:$B$1005,$W6206)=0),COUNTIFS('①在庫を貼る'!$V$6:$V$10005,$V6206,'①在庫を貼る'!$W$6:$W$10005,$W6206)&gt;0),N(U6205),N(U6205)+1))</f>
        <v/>
      </c>
      <c r="V6206" s="19">
        <f>IF($B6206="","",TEXT($B6206,"0000"))</f>
        <v/>
      </c>
      <c r="W6206" s="19">
        <f>IF($I6206="","",IF(ISNUMBER($I6206),TEXT($I6206,"0"),$I6206))</f>
        <v/>
      </c>
    </row>
    <row r="6207">
      <c r="B6207" s="25" t="n"/>
      <c r="I6207" s="25" t="n"/>
      <c r="U6207" s="19">
        <f>IF($V6207&lt;&gt;'設定'!$C$4,N(U6206),IF(OR(NOT(COUNTIF('商品マスタ'!$B$6:$B$1005,$W6207)=0),COUNTIFS('①在庫を貼る'!$V$6:$V$10005,$V6207,'①在庫を貼る'!$W$6:$W$10005,$W6207)&gt;0),N(U6206),N(U6206)+1))</f>
        <v/>
      </c>
      <c r="V6207" s="19">
        <f>IF($B6207="","",TEXT($B6207,"0000"))</f>
        <v/>
      </c>
      <c r="W6207" s="19">
        <f>IF($I6207="","",IF(ISNUMBER($I6207),TEXT($I6207,"0"),$I6207))</f>
        <v/>
      </c>
    </row>
    <row r="6208">
      <c r="B6208" s="25" t="n"/>
      <c r="I6208" s="25" t="n"/>
      <c r="U6208" s="19">
        <f>IF($V6208&lt;&gt;'設定'!$C$4,N(U6207),IF(OR(NOT(COUNTIF('商品マスタ'!$B$6:$B$1005,$W6208)=0),COUNTIFS('①在庫を貼る'!$V$6:$V$10005,$V6208,'①在庫を貼る'!$W$6:$W$10005,$W6208)&gt;0),N(U6207),N(U6207)+1))</f>
        <v/>
      </c>
      <c r="V6208" s="19">
        <f>IF($B6208="","",TEXT($B6208,"0000"))</f>
        <v/>
      </c>
      <c r="W6208" s="19">
        <f>IF($I6208="","",IF(ISNUMBER($I6208),TEXT($I6208,"0"),$I6208))</f>
        <v/>
      </c>
    </row>
    <row r="6209">
      <c r="B6209" s="25" t="n"/>
      <c r="I6209" s="25" t="n"/>
      <c r="U6209" s="19">
        <f>IF($V6209&lt;&gt;'設定'!$C$4,N(U6208),IF(OR(NOT(COUNTIF('商品マスタ'!$B$6:$B$1005,$W6209)=0),COUNTIFS('①在庫を貼る'!$V$6:$V$10005,$V6209,'①在庫を貼る'!$W$6:$W$10005,$W6209)&gt;0),N(U6208),N(U6208)+1))</f>
        <v/>
      </c>
      <c r="V6209" s="19">
        <f>IF($B6209="","",TEXT($B6209,"0000"))</f>
        <v/>
      </c>
      <c r="W6209" s="19">
        <f>IF($I6209="","",IF(ISNUMBER($I6209),TEXT($I6209,"0"),$I6209))</f>
        <v/>
      </c>
    </row>
    <row r="6210">
      <c r="B6210" s="25" t="n"/>
      <c r="I6210" s="25" t="n"/>
      <c r="U6210" s="19">
        <f>IF($V6210&lt;&gt;'設定'!$C$4,N(U6209),IF(OR(NOT(COUNTIF('商品マスタ'!$B$6:$B$1005,$W6210)=0),COUNTIFS('①在庫を貼る'!$V$6:$V$10005,$V6210,'①在庫を貼る'!$W$6:$W$10005,$W6210)&gt;0),N(U6209),N(U6209)+1))</f>
        <v/>
      </c>
      <c r="V6210" s="19">
        <f>IF($B6210="","",TEXT($B6210,"0000"))</f>
        <v/>
      </c>
      <c r="W6210" s="19">
        <f>IF($I6210="","",IF(ISNUMBER($I6210),TEXT($I6210,"0"),$I6210))</f>
        <v/>
      </c>
    </row>
    <row r="6211">
      <c r="B6211" s="25" t="n"/>
      <c r="I6211" s="25" t="n"/>
      <c r="U6211" s="19">
        <f>IF($V6211&lt;&gt;'設定'!$C$4,N(U6210),IF(OR(NOT(COUNTIF('商品マスタ'!$B$6:$B$1005,$W6211)=0),COUNTIFS('①在庫を貼る'!$V$6:$V$10005,$V6211,'①在庫を貼る'!$W$6:$W$10005,$W6211)&gt;0),N(U6210),N(U6210)+1))</f>
        <v/>
      </c>
      <c r="V6211" s="19">
        <f>IF($B6211="","",TEXT($B6211,"0000"))</f>
        <v/>
      </c>
      <c r="W6211" s="19">
        <f>IF($I6211="","",IF(ISNUMBER($I6211),TEXT($I6211,"0"),$I6211))</f>
        <v/>
      </c>
    </row>
    <row r="6212">
      <c r="B6212" s="25" t="n"/>
      <c r="I6212" s="25" t="n"/>
      <c r="U6212" s="19">
        <f>IF($V6212&lt;&gt;'設定'!$C$4,N(U6211),IF(OR(NOT(COUNTIF('商品マスタ'!$B$6:$B$1005,$W6212)=0),COUNTIFS('①在庫を貼る'!$V$6:$V$10005,$V6212,'①在庫を貼る'!$W$6:$W$10005,$W6212)&gt;0),N(U6211),N(U6211)+1))</f>
        <v/>
      </c>
      <c r="V6212" s="19">
        <f>IF($B6212="","",TEXT($B6212,"0000"))</f>
        <v/>
      </c>
      <c r="W6212" s="19">
        <f>IF($I6212="","",IF(ISNUMBER($I6212),TEXT($I6212,"0"),$I6212))</f>
        <v/>
      </c>
    </row>
    <row r="6213">
      <c r="B6213" s="25" t="n"/>
      <c r="I6213" s="25" t="n"/>
      <c r="U6213" s="19">
        <f>IF($V6213&lt;&gt;'設定'!$C$4,N(U6212),IF(OR(NOT(COUNTIF('商品マスタ'!$B$6:$B$1005,$W6213)=0),COUNTIFS('①在庫を貼る'!$V$6:$V$10005,$V6213,'①在庫を貼る'!$W$6:$W$10005,$W6213)&gt;0),N(U6212),N(U6212)+1))</f>
        <v/>
      </c>
      <c r="V6213" s="19">
        <f>IF($B6213="","",TEXT($B6213,"0000"))</f>
        <v/>
      </c>
      <c r="W6213" s="19">
        <f>IF($I6213="","",IF(ISNUMBER($I6213),TEXT($I6213,"0"),$I6213))</f>
        <v/>
      </c>
    </row>
    <row r="6214">
      <c r="B6214" s="25" t="n"/>
      <c r="I6214" s="25" t="n"/>
      <c r="U6214" s="19">
        <f>IF($V6214&lt;&gt;'設定'!$C$4,N(U6213),IF(OR(NOT(COUNTIF('商品マスタ'!$B$6:$B$1005,$W6214)=0),COUNTIFS('①在庫を貼る'!$V$6:$V$10005,$V6214,'①在庫を貼る'!$W$6:$W$10005,$W6214)&gt;0),N(U6213),N(U6213)+1))</f>
        <v/>
      </c>
      <c r="V6214" s="19">
        <f>IF($B6214="","",TEXT($B6214,"0000"))</f>
        <v/>
      </c>
      <c r="W6214" s="19">
        <f>IF($I6214="","",IF(ISNUMBER($I6214),TEXT($I6214,"0"),$I6214))</f>
        <v/>
      </c>
    </row>
    <row r="6215">
      <c r="B6215" s="25" t="n"/>
      <c r="I6215" s="25" t="n"/>
      <c r="U6215" s="19">
        <f>IF($V6215&lt;&gt;'設定'!$C$4,N(U6214),IF(OR(NOT(COUNTIF('商品マスタ'!$B$6:$B$1005,$W6215)=0),COUNTIFS('①在庫を貼る'!$V$6:$V$10005,$V6215,'①在庫を貼る'!$W$6:$W$10005,$W6215)&gt;0),N(U6214),N(U6214)+1))</f>
        <v/>
      </c>
      <c r="V6215" s="19">
        <f>IF($B6215="","",TEXT($B6215,"0000"))</f>
        <v/>
      </c>
      <c r="W6215" s="19">
        <f>IF($I6215="","",IF(ISNUMBER($I6215),TEXT($I6215,"0"),$I6215))</f>
        <v/>
      </c>
    </row>
    <row r="6216">
      <c r="B6216" s="25" t="n"/>
      <c r="I6216" s="25" t="n"/>
      <c r="U6216" s="19">
        <f>IF($V6216&lt;&gt;'設定'!$C$4,N(U6215),IF(OR(NOT(COUNTIF('商品マスタ'!$B$6:$B$1005,$W6216)=0),COUNTIFS('①在庫を貼る'!$V$6:$V$10005,$V6216,'①在庫を貼る'!$W$6:$W$10005,$W6216)&gt;0),N(U6215),N(U6215)+1))</f>
        <v/>
      </c>
      <c r="V6216" s="19">
        <f>IF($B6216="","",TEXT($B6216,"0000"))</f>
        <v/>
      </c>
      <c r="W6216" s="19">
        <f>IF($I6216="","",IF(ISNUMBER($I6216),TEXT($I6216,"0"),$I6216))</f>
        <v/>
      </c>
    </row>
    <row r="6217">
      <c r="B6217" s="25" t="n"/>
      <c r="I6217" s="25" t="n"/>
      <c r="U6217" s="19">
        <f>IF($V6217&lt;&gt;'設定'!$C$4,N(U6216),IF(OR(NOT(COUNTIF('商品マスタ'!$B$6:$B$1005,$W6217)=0),COUNTIFS('①在庫を貼る'!$V$6:$V$10005,$V6217,'①在庫を貼る'!$W$6:$W$10005,$W6217)&gt;0),N(U6216),N(U6216)+1))</f>
        <v/>
      </c>
      <c r="V6217" s="19">
        <f>IF($B6217="","",TEXT($B6217,"0000"))</f>
        <v/>
      </c>
      <c r="W6217" s="19">
        <f>IF($I6217="","",IF(ISNUMBER($I6217),TEXT($I6217,"0"),$I6217))</f>
        <v/>
      </c>
    </row>
    <row r="6218">
      <c r="B6218" s="25" t="n"/>
      <c r="I6218" s="25" t="n"/>
      <c r="U6218" s="19">
        <f>IF($V6218&lt;&gt;'設定'!$C$4,N(U6217),IF(OR(NOT(COUNTIF('商品マスタ'!$B$6:$B$1005,$W6218)=0),COUNTIFS('①在庫を貼る'!$V$6:$V$10005,$V6218,'①在庫を貼る'!$W$6:$W$10005,$W6218)&gt;0),N(U6217),N(U6217)+1))</f>
        <v/>
      </c>
      <c r="V6218" s="19">
        <f>IF($B6218="","",TEXT($B6218,"0000"))</f>
        <v/>
      </c>
      <c r="W6218" s="19">
        <f>IF($I6218="","",IF(ISNUMBER($I6218),TEXT($I6218,"0"),$I6218))</f>
        <v/>
      </c>
    </row>
    <row r="6219">
      <c r="B6219" s="25" t="n"/>
      <c r="I6219" s="25" t="n"/>
      <c r="U6219" s="19">
        <f>IF($V6219&lt;&gt;'設定'!$C$4,N(U6218),IF(OR(NOT(COUNTIF('商品マスタ'!$B$6:$B$1005,$W6219)=0),COUNTIFS('①在庫を貼る'!$V$6:$V$10005,$V6219,'①在庫を貼る'!$W$6:$W$10005,$W6219)&gt;0),N(U6218),N(U6218)+1))</f>
        <v/>
      </c>
      <c r="V6219" s="19">
        <f>IF($B6219="","",TEXT($B6219,"0000"))</f>
        <v/>
      </c>
      <c r="W6219" s="19">
        <f>IF($I6219="","",IF(ISNUMBER($I6219),TEXT($I6219,"0"),$I6219))</f>
        <v/>
      </c>
    </row>
    <row r="6220">
      <c r="B6220" s="25" t="n"/>
      <c r="I6220" s="25" t="n"/>
      <c r="U6220" s="19">
        <f>IF($V6220&lt;&gt;'設定'!$C$4,N(U6219),IF(OR(NOT(COUNTIF('商品マスタ'!$B$6:$B$1005,$W6220)=0),COUNTIFS('①在庫を貼る'!$V$6:$V$10005,$V6220,'①在庫を貼る'!$W$6:$W$10005,$W6220)&gt;0),N(U6219),N(U6219)+1))</f>
        <v/>
      </c>
      <c r="V6220" s="19">
        <f>IF($B6220="","",TEXT($B6220,"0000"))</f>
        <v/>
      </c>
      <c r="W6220" s="19">
        <f>IF($I6220="","",IF(ISNUMBER($I6220),TEXT($I6220,"0"),$I6220))</f>
        <v/>
      </c>
    </row>
    <row r="6221">
      <c r="B6221" s="25" t="n"/>
      <c r="I6221" s="25" t="n"/>
      <c r="U6221" s="19">
        <f>IF($V6221&lt;&gt;'設定'!$C$4,N(U6220),IF(OR(NOT(COUNTIF('商品マスタ'!$B$6:$B$1005,$W6221)=0),COUNTIFS('①在庫を貼る'!$V$6:$V$10005,$V6221,'①在庫を貼る'!$W$6:$W$10005,$W6221)&gt;0),N(U6220),N(U6220)+1))</f>
        <v/>
      </c>
      <c r="V6221" s="19">
        <f>IF($B6221="","",TEXT($B6221,"0000"))</f>
        <v/>
      </c>
      <c r="W6221" s="19">
        <f>IF($I6221="","",IF(ISNUMBER($I6221),TEXT($I6221,"0"),$I6221))</f>
        <v/>
      </c>
    </row>
    <row r="6222">
      <c r="B6222" s="25" t="n"/>
      <c r="I6222" s="25" t="n"/>
      <c r="U6222" s="19">
        <f>IF($V6222&lt;&gt;'設定'!$C$4,N(U6221),IF(OR(NOT(COUNTIF('商品マスタ'!$B$6:$B$1005,$W6222)=0),COUNTIFS('①在庫を貼る'!$V$6:$V$10005,$V6222,'①在庫を貼る'!$W$6:$W$10005,$W6222)&gt;0),N(U6221),N(U6221)+1))</f>
        <v/>
      </c>
      <c r="V6222" s="19">
        <f>IF($B6222="","",TEXT($B6222,"0000"))</f>
        <v/>
      </c>
      <c r="W6222" s="19">
        <f>IF($I6222="","",IF(ISNUMBER($I6222),TEXT($I6222,"0"),$I6222))</f>
        <v/>
      </c>
    </row>
    <row r="6223">
      <c r="B6223" s="25" t="n"/>
      <c r="I6223" s="25" t="n"/>
      <c r="U6223" s="19">
        <f>IF($V6223&lt;&gt;'設定'!$C$4,N(U6222),IF(OR(NOT(COUNTIF('商品マスタ'!$B$6:$B$1005,$W6223)=0),COUNTIFS('①在庫を貼る'!$V$6:$V$10005,$V6223,'①在庫を貼る'!$W$6:$W$10005,$W6223)&gt;0),N(U6222),N(U6222)+1))</f>
        <v/>
      </c>
      <c r="V6223" s="19">
        <f>IF($B6223="","",TEXT($B6223,"0000"))</f>
        <v/>
      </c>
      <c r="W6223" s="19">
        <f>IF($I6223="","",IF(ISNUMBER($I6223),TEXT($I6223,"0"),$I6223))</f>
        <v/>
      </c>
    </row>
    <row r="6224">
      <c r="B6224" s="25" t="n"/>
      <c r="I6224" s="25" t="n"/>
      <c r="U6224" s="19">
        <f>IF($V6224&lt;&gt;'設定'!$C$4,N(U6223),IF(OR(NOT(COUNTIF('商品マスタ'!$B$6:$B$1005,$W6224)=0),COUNTIFS('①在庫を貼る'!$V$6:$V$10005,$V6224,'①在庫を貼る'!$W$6:$W$10005,$W6224)&gt;0),N(U6223),N(U6223)+1))</f>
        <v/>
      </c>
      <c r="V6224" s="19">
        <f>IF($B6224="","",TEXT($B6224,"0000"))</f>
        <v/>
      </c>
      <c r="W6224" s="19">
        <f>IF($I6224="","",IF(ISNUMBER($I6224),TEXT($I6224,"0"),$I6224))</f>
        <v/>
      </c>
    </row>
    <row r="6225">
      <c r="B6225" s="25" t="n"/>
      <c r="I6225" s="25" t="n"/>
      <c r="U6225" s="19">
        <f>IF($V6225&lt;&gt;'設定'!$C$4,N(U6224),IF(OR(NOT(COUNTIF('商品マスタ'!$B$6:$B$1005,$W6225)=0),COUNTIFS('①在庫を貼る'!$V$6:$V$10005,$V6225,'①在庫を貼る'!$W$6:$W$10005,$W6225)&gt;0),N(U6224),N(U6224)+1))</f>
        <v/>
      </c>
      <c r="V6225" s="19">
        <f>IF($B6225="","",TEXT($B6225,"0000"))</f>
        <v/>
      </c>
      <c r="W6225" s="19">
        <f>IF($I6225="","",IF(ISNUMBER($I6225),TEXT($I6225,"0"),$I6225))</f>
        <v/>
      </c>
    </row>
    <row r="6226">
      <c r="B6226" s="25" t="n"/>
      <c r="I6226" s="25" t="n"/>
      <c r="U6226" s="19">
        <f>IF($V6226&lt;&gt;'設定'!$C$4,N(U6225),IF(OR(NOT(COUNTIF('商品マスタ'!$B$6:$B$1005,$W6226)=0),COUNTIFS('①在庫を貼る'!$V$6:$V$10005,$V6226,'①在庫を貼る'!$W$6:$W$10005,$W6226)&gt;0),N(U6225),N(U6225)+1))</f>
        <v/>
      </c>
      <c r="V6226" s="19">
        <f>IF($B6226="","",TEXT($B6226,"0000"))</f>
        <v/>
      </c>
      <c r="W6226" s="19">
        <f>IF($I6226="","",IF(ISNUMBER($I6226),TEXT($I6226,"0"),$I6226))</f>
        <v/>
      </c>
    </row>
    <row r="6227">
      <c r="B6227" s="25" t="n"/>
      <c r="I6227" s="25" t="n"/>
      <c r="U6227" s="19">
        <f>IF($V6227&lt;&gt;'設定'!$C$4,N(U6226),IF(OR(NOT(COUNTIF('商品マスタ'!$B$6:$B$1005,$W6227)=0),COUNTIFS('①在庫を貼る'!$V$6:$V$10005,$V6227,'①在庫を貼る'!$W$6:$W$10005,$W6227)&gt;0),N(U6226),N(U6226)+1))</f>
        <v/>
      </c>
      <c r="V6227" s="19">
        <f>IF($B6227="","",TEXT($B6227,"0000"))</f>
        <v/>
      </c>
      <c r="W6227" s="19">
        <f>IF($I6227="","",IF(ISNUMBER($I6227),TEXT($I6227,"0"),$I6227))</f>
        <v/>
      </c>
    </row>
    <row r="6228">
      <c r="B6228" s="25" t="n"/>
      <c r="I6228" s="25" t="n"/>
      <c r="U6228" s="19">
        <f>IF($V6228&lt;&gt;'設定'!$C$4,N(U6227),IF(OR(NOT(COUNTIF('商品マスタ'!$B$6:$B$1005,$W6228)=0),COUNTIFS('①在庫を貼る'!$V$6:$V$10005,$V6228,'①在庫を貼る'!$W$6:$W$10005,$W6228)&gt;0),N(U6227),N(U6227)+1))</f>
        <v/>
      </c>
      <c r="V6228" s="19">
        <f>IF($B6228="","",TEXT($B6228,"0000"))</f>
        <v/>
      </c>
      <c r="W6228" s="19">
        <f>IF($I6228="","",IF(ISNUMBER($I6228),TEXT($I6228,"0"),$I6228))</f>
        <v/>
      </c>
    </row>
    <row r="6229">
      <c r="B6229" s="25" t="n"/>
      <c r="I6229" s="25" t="n"/>
      <c r="U6229" s="19">
        <f>IF($V6229&lt;&gt;'設定'!$C$4,N(U6228),IF(OR(NOT(COUNTIF('商品マスタ'!$B$6:$B$1005,$W6229)=0),COUNTIFS('①在庫を貼る'!$V$6:$V$10005,$V6229,'①在庫を貼る'!$W$6:$W$10005,$W6229)&gt;0),N(U6228),N(U6228)+1))</f>
        <v/>
      </c>
      <c r="V6229" s="19">
        <f>IF($B6229="","",TEXT($B6229,"0000"))</f>
        <v/>
      </c>
      <c r="W6229" s="19">
        <f>IF($I6229="","",IF(ISNUMBER($I6229),TEXT($I6229,"0"),$I6229))</f>
        <v/>
      </c>
    </row>
    <row r="6230">
      <c r="B6230" s="25" t="n"/>
      <c r="I6230" s="25" t="n"/>
      <c r="U6230" s="19">
        <f>IF($V6230&lt;&gt;'設定'!$C$4,N(U6229),IF(OR(NOT(COUNTIF('商品マスタ'!$B$6:$B$1005,$W6230)=0),COUNTIFS('①在庫を貼る'!$V$6:$V$10005,$V6230,'①在庫を貼る'!$W$6:$W$10005,$W6230)&gt;0),N(U6229),N(U6229)+1))</f>
        <v/>
      </c>
      <c r="V6230" s="19">
        <f>IF($B6230="","",TEXT($B6230,"0000"))</f>
        <v/>
      </c>
      <c r="W6230" s="19">
        <f>IF($I6230="","",IF(ISNUMBER($I6230),TEXT($I6230,"0"),$I6230))</f>
        <v/>
      </c>
    </row>
    <row r="6231">
      <c r="B6231" s="25" t="n"/>
      <c r="I6231" s="25" t="n"/>
      <c r="U6231" s="19">
        <f>IF($V6231&lt;&gt;'設定'!$C$4,N(U6230),IF(OR(NOT(COUNTIF('商品マスタ'!$B$6:$B$1005,$W6231)=0),COUNTIFS('①在庫を貼る'!$V$6:$V$10005,$V6231,'①在庫を貼る'!$W$6:$W$10005,$W6231)&gt;0),N(U6230),N(U6230)+1))</f>
        <v/>
      </c>
      <c r="V6231" s="19">
        <f>IF($B6231="","",TEXT($B6231,"0000"))</f>
        <v/>
      </c>
      <c r="W6231" s="19">
        <f>IF($I6231="","",IF(ISNUMBER($I6231),TEXT($I6231,"0"),$I6231))</f>
        <v/>
      </c>
    </row>
    <row r="6232">
      <c r="B6232" s="25" t="n"/>
      <c r="I6232" s="25" t="n"/>
      <c r="U6232" s="19">
        <f>IF($V6232&lt;&gt;'設定'!$C$4,N(U6231),IF(OR(NOT(COUNTIF('商品マスタ'!$B$6:$B$1005,$W6232)=0),COUNTIFS('①在庫を貼る'!$V$6:$V$10005,$V6232,'①在庫を貼る'!$W$6:$W$10005,$W6232)&gt;0),N(U6231),N(U6231)+1))</f>
        <v/>
      </c>
      <c r="V6232" s="19">
        <f>IF($B6232="","",TEXT($B6232,"0000"))</f>
        <v/>
      </c>
      <c r="W6232" s="19">
        <f>IF($I6232="","",IF(ISNUMBER($I6232),TEXT($I6232,"0"),$I6232))</f>
        <v/>
      </c>
    </row>
    <row r="6233">
      <c r="B6233" s="25" t="n"/>
      <c r="I6233" s="25" t="n"/>
      <c r="U6233" s="19">
        <f>IF($V6233&lt;&gt;'設定'!$C$4,N(U6232),IF(OR(NOT(COUNTIF('商品マスタ'!$B$6:$B$1005,$W6233)=0),COUNTIFS('①在庫を貼る'!$V$6:$V$10005,$V6233,'①在庫を貼る'!$W$6:$W$10005,$W6233)&gt;0),N(U6232),N(U6232)+1))</f>
        <v/>
      </c>
      <c r="V6233" s="19">
        <f>IF($B6233="","",TEXT($B6233,"0000"))</f>
        <v/>
      </c>
      <c r="W6233" s="19">
        <f>IF($I6233="","",IF(ISNUMBER($I6233),TEXT($I6233,"0"),$I6233))</f>
        <v/>
      </c>
    </row>
    <row r="6234">
      <c r="B6234" s="25" t="n"/>
      <c r="I6234" s="25" t="n"/>
      <c r="U6234" s="19">
        <f>IF($V6234&lt;&gt;'設定'!$C$4,N(U6233),IF(OR(NOT(COUNTIF('商品マスタ'!$B$6:$B$1005,$W6234)=0),COUNTIFS('①在庫を貼る'!$V$6:$V$10005,$V6234,'①在庫を貼る'!$W$6:$W$10005,$W6234)&gt;0),N(U6233),N(U6233)+1))</f>
        <v/>
      </c>
      <c r="V6234" s="19">
        <f>IF($B6234="","",TEXT($B6234,"0000"))</f>
        <v/>
      </c>
      <c r="W6234" s="19">
        <f>IF($I6234="","",IF(ISNUMBER($I6234),TEXT($I6234,"0"),$I6234))</f>
        <v/>
      </c>
    </row>
    <row r="6235">
      <c r="B6235" s="25" t="n"/>
      <c r="I6235" s="25" t="n"/>
      <c r="U6235" s="19">
        <f>IF($V6235&lt;&gt;'設定'!$C$4,N(U6234),IF(OR(NOT(COUNTIF('商品マスタ'!$B$6:$B$1005,$W6235)=0),COUNTIFS('①在庫を貼る'!$V$6:$V$10005,$V6235,'①在庫を貼る'!$W$6:$W$10005,$W6235)&gt;0),N(U6234),N(U6234)+1))</f>
        <v/>
      </c>
      <c r="V6235" s="19">
        <f>IF($B6235="","",TEXT($B6235,"0000"))</f>
        <v/>
      </c>
      <c r="W6235" s="19">
        <f>IF($I6235="","",IF(ISNUMBER($I6235),TEXT($I6235,"0"),$I6235))</f>
        <v/>
      </c>
    </row>
    <row r="6236">
      <c r="B6236" s="25" t="n"/>
      <c r="I6236" s="25" t="n"/>
      <c r="U6236" s="19">
        <f>IF($V6236&lt;&gt;'設定'!$C$4,N(U6235),IF(OR(NOT(COUNTIF('商品マスタ'!$B$6:$B$1005,$W6236)=0),COUNTIFS('①在庫を貼る'!$V$6:$V$10005,$V6236,'①在庫を貼る'!$W$6:$W$10005,$W6236)&gt;0),N(U6235),N(U6235)+1))</f>
        <v/>
      </c>
      <c r="V6236" s="19">
        <f>IF($B6236="","",TEXT($B6236,"0000"))</f>
        <v/>
      </c>
      <c r="W6236" s="19">
        <f>IF($I6236="","",IF(ISNUMBER($I6236),TEXT($I6236,"0"),$I6236))</f>
        <v/>
      </c>
    </row>
    <row r="6237">
      <c r="B6237" s="25" t="n"/>
      <c r="I6237" s="25" t="n"/>
      <c r="U6237" s="19">
        <f>IF($V6237&lt;&gt;'設定'!$C$4,N(U6236),IF(OR(NOT(COUNTIF('商品マスタ'!$B$6:$B$1005,$W6237)=0),COUNTIFS('①在庫を貼る'!$V$6:$V$10005,$V6237,'①在庫を貼る'!$W$6:$W$10005,$W6237)&gt;0),N(U6236),N(U6236)+1))</f>
        <v/>
      </c>
      <c r="V6237" s="19">
        <f>IF($B6237="","",TEXT($B6237,"0000"))</f>
        <v/>
      </c>
      <c r="W6237" s="19">
        <f>IF($I6237="","",IF(ISNUMBER($I6237),TEXT($I6237,"0"),$I6237))</f>
        <v/>
      </c>
    </row>
    <row r="6238">
      <c r="B6238" s="25" t="n"/>
      <c r="I6238" s="25" t="n"/>
      <c r="U6238" s="19">
        <f>IF($V6238&lt;&gt;'設定'!$C$4,N(U6237),IF(OR(NOT(COUNTIF('商品マスタ'!$B$6:$B$1005,$W6238)=0),COUNTIFS('①在庫を貼る'!$V$6:$V$10005,$V6238,'①在庫を貼る'!$W$6:$W$10005,$W6238)&gt;0),N(U6237),N(U6237)+1))</f>
        <v/>
      </c>
      <c r="V6238" s="19">
        <f>IF($B6238="","",TEXT($B6238,"0000"))</f>
        <v/>
      </c>
      <c r="W6238" s="19">
        <f>IF($I6238="","",IF(ISNUMBER($I6238),TEXT($I6238,"0"),$I6238))</f>
        <v/>
      </c>
    </row>
    <row r="6239">
      <c r="B6239" s="25" t="n"/>
      <c r="I6239" s="25" t="n"/>
      <c r="U6239" s="19">
        <f>IF($V6239&lt;&gt;'設定'!$C$4,N(U6238),IF(OR(NOT(COUNTIF('商品マスタ'!$B$6:$B$1005,$W6239)=0),COUNTIFS('①在庫を貼る'!$V$6:$V$10005,$V6239,'①在庫を貼る'!$W$6:$W$10005,$W6239)&gt;0),N(U6238),N(U6238)+1))</f>
        <v/>
      </c>
      <c r="V6239" s="19">
        <f>IF($B6239="","",TEXT($B6239,"0000"))</f>
        <v/>
      </c>
      <c r="W6239" s="19">
        <f>IF($I6239="","",IF(ISNUMBER($I6239),TEXT($I6239,"0"),$I6239))</f>
        <v/>
      </c>
    </row>
    <row r="6240">
      <c r="B6240" s="25" t="n"/>
      <c r="I6240" s="25" t="n"/>
      <c r="U6240" s="19">
        <f>IF($V6240&lt;&gt;'設定'!$C$4,N(U6239),IF(OR(NOT(COUNTIF('商品マスタ'!$B$6:$B$1005,$W6240)=0),COUNTIFS('①在庫を貼る'!$V$6:$V$10005,$V6240,'①在庫を貼る'!$W$6:$W$10005,$W6240)&gt;0),N(U6239),N(U6239)+1))</f>
        <v/>
      </c>
      <c r="V6240" s="19">
        <f>IF($B6240="","",TEXT($B6240,"0000"))</f>
        <v/>
      </c>
      <c r="W6240" s="19">
        <f>IF($I6240="","",IF(ISNUMBER($I6240),TEXT($I6240,"0"),$I6240))</f>
        <v/>
      </c>
    </row>
    <row r="6241">
      <c r="B6241" s="25" t="n"/>
      <c r="I6241" s="25" t="n"/>
      <c r="U6241" s="19">
        <f>IF($V6241&lt;&gt;'設定'!$C$4,N(U6240),IF(OR(NOT(COUNTIF('商品マスタ'!$B$6:$B$1005,$W6241)=0),COUNTIFS('①在庫を貼る'!$V$6:$V$10005,$V6241,'①在庫を貼る'!$W$6:$W$10005,$W6241)&gt;0),N(U6240),N(U6240)+1))</f>
        <v/>
      </c>
      <c r="V6241" s="19">
        <f>IF($B6241="","",TEXT($B6241,"0000"))</f>
        <v/>
      </c>
      <c r="W6241" s="19">
        <f>IF($I6241="","",IF(ISNUMBER($I6241),TEXT($I6241,"0"),$I6241))</f>
        <v/>
      </c>
    </row>
    <row r="6242">
      <c r="B6242" s="25" t="n"/>
      <c r="I6242" s="25" t="n"/>
      <c r="U6242" s="19">
        <f>IF($V6242&lt;&gt;'設定'!$C$4,N(U6241),IF(OR(NOT(COUNTIF('商品マスタ'!$B$6:$B$1005,$W6242)=0),COUNTIFS('①在庫を貼る'!$V$6:$V$10005,$V6242,'①在庫を貼る'!$W$6:$W$10005,$W6242)&gt;0),N(U6241),N(U6241)+1))</f>
        <v/>
      </c>
      <c r="V6242" s="19">
        <f>IF($B6242="","",TEXT($B6242,"0000"))</f>
        <v/>
      </c>
      <c r="W6242" s="19">
        <f>IF($I6242="","",IF(ISNUMBER($I6242),TEXT($I6242,"0"),$I6242))</f>
        <v/>
      </c>
    </row>
    <row r="6243">
      <c r="B6243" s="25" t="n"/>
      <c r="I6243" s="25" t="n"/>
      <c r="U6243" s="19">
        <f>IF($V6243&lt;&gt;'設定'!$C$4,N(U6242),IF(OR(NOT(COUNTIF('商品マスタ'!$B$6:$B$1005,$W6243)=0),COUNTIFS('①在庫を貼る'!$V$6:$V$10005,$V6243,'①在庫を貼る'!$W$6:$W$10005,$W6243)&gt;0),N(U6242),N(U6242)+1))</f>
        <v/>
      </c>
      <c r="V6243" s="19">
        <f>IF($B6243="","",TEXT($B6243,"0000"))</f>
        <v/>
      </c>
      <c r="W6243" s="19">
        <f>IF($I6243="","",IF(ISNUMBER($I6243),TEXT($I6243,"0"),$I6243))</f>
        <v/>
      </c>
    </row>
    <row r="6244">
      <c r="B6244" s="25" t="n"/>
      <c r="I6244" s="25" t="n"/>
      <c r="U6244" s="19">
        <f>IF($V6244&lt;&gt;'設定'!$C$4,N(U6243),IF(OR(NOT(COUNTIF('商品マスタ'!$B$6:$B$1005,$W6244)=0),COUNTIFS('①在庫を貼る'!$V$6:$V$10005,$V6244,'①在庫を貼る'!$W$6:$W$10005,$W6244)&gt;0),N(U6243),N(U6243)+1))</f>
        <v/>
      </c>
      <c r="V6244" s="19">
        <f>IF($B6244="","",TEXT($B6244,"0000"))</f>
        <v/>
      </c>
      <c r="W6244" s="19">
        <f>IF($I6244="","",IF(ISNUMBER($I6244),TEXT($I6244,"0"),$I6244))</f>
        <v/>
      </c>
    </row>
    <row r="6245">
      <c r="B6245" s="25" t="n"/>
      <c r="I6245" s="25" t="n"/>
      <c r="U6245" s="19">
        <f>IF($V6245&lt;&gt;'設定'!$C$4,N(U6244),IF(OR(NOT(COUNTIF('商品マスタ'!$B$6:$B$1005,$W6245)=0),COUNTIFS('①在庫を貼る'!$V$6:$V$10005,$V6245,'①在庫を貼る'!$W$6:$W$10005,$W6245)&gt;0),N(U6244),N(U6244)+1))</f>
        <v/>
      </c>
      <c r="V6245" s="19">
        <f>IF($B6245="","",TEXT($B6245,"0000"))</f>
        <v/>
      </c>
      <c r="W6245" s="19">
        <f>IF($I6245="","",IF(ISNUMBER($I6245),TEXT($I6245,"0"),$I6245))</f>
        <v/>
      </c>
    </row>
    <row r="6246">
      <c r="B6246" s="25" t="n"/>
      <c r="I6246" s="25" t="n"/>
      <c r="U6246" s="19">
        <f>IF($V6246&lt;&gt;'設定'!$C$4,N(U6245),IF(OR(NOT(COUNTIF('商品マスタ'!$B$6:$B$1005,$W6246)=0),COUNTIFS('①在庫を貼る'!$V$6:$V$10005,$V6246,'①在庫を貼る'!$W$6:$W$10005,$W6246)&gt;0),N(U6245),N(U6245)+1))</f>
        <v/>
      </c>
      <c r="V6246" s="19">
        <f>IF($B6246="","",TEXT($B6246,"0000"))</f>
        <v/>
      </c>
      <c r="W6246" s="19">
        <f>IF($I6246="","",IF(ISNUMBER($I6246),TEXT($I6246,"0"),$I6246))</f>
        <v/>
      </c>
    </row>
    <row r="6247">
      <c r="B6247" s="25" t="n"/>
      <c r="I6247" s="25" t="n"/>
      <c r="U6247" s="19">
        <f>IF($V6247&lt;&gt;'設定'!$C$4,N(U6246),IF(OR(NOT(COUNTIF('商品マスタ'!$B$6:$B$1005,$W6247)=0),COUNTIFS('①在庫を貼る'!$V$6:$V$10005,$V6247,'①在庫を貼る'!$W$6:$W$10005,$W6247)&gt;0),N(U6246),N(U6246)+1))</f>
        <v/>
      </c>
      <c r="V6247" s="19">
        <f>IF($B6247="","",TEXT($B6247,"0000"))</f>
        <v/>
      </c>
      <c r="W6247" s="19">
        <f>IF($I6247="","",IF(ISNUMBER($I6247),TEXT($I6247,"0"),$I6247))</f>
        <v/>
      </c>
    </row>
    <row r="6248">
      <c r="B6248" s="25" t="n"/>
      <c r="I6248" s="25" t="n"/>
      <c r="U6248" s="19">
        <f>IF($V6248&lt;&gt;'設定'!$C$4,N(U6247),IF(OR(NOT(COUNTIF('商品マスタ'!$B$6:$B$1005,$W6248)=0),COUNTIFS('①在庫を貼る'!$V$6:$V$10005,$V6248,'①在庫を貼る'!$W$6:$W$10005,$W6248)&gt;0),N(U6247),N(U6247)+1))</f>
        <v/>
      </c>
      <c r="V6248" s="19">
        <f>IF($B6248="","",TEXT($B6248,"0000"))</f>
        <v/>
      </c>
      <c r="W6248" s="19">
        <f>IF($I6248="","",IF(ISNUMBER($I6248),TEXT($I6248,"0"),$I6248))</f>
        <v/>
      </c>
    </row>
    <row r="6249">
      <c r="B6249" s="25" t="n"/>
      <c r="I6249" s="25" t="n"/>
      <c r="U6249" s="19">
        <f>IF($V6249&lt;&gt;'設定'!$C$4,N(U6248),IF(OR(NOT(COUNTIF('商品マスタ'!$B$6:$B$1005,$W6249)=0),COUNTIFS('①在庫を貼る'!$V$6:$V$10005,$V6249,'①在庫を貼る'!$W$6:$W$10005,$W6249)&gt;0),N(U6248),N(U6248)+1))</f>
        <v/>
      </c>
      <c r="V6249" s="19">
        <f>IF($B6249="","",TEXT($B6249,"0000"))</f>
        <v/>
      </c>
      <c r="W6249" s="19">
        <f>IF($I6249="","",IF(ISNUMBER($I6249),TEXT($I6249,"0"),$I6249))</f>
        <v/>
      </c>
    </row>
    <row r="6250">
      <c r="B6250" s="25" t="n"/>
      <c r="I6250" s="25" t="n"/>
      <c r="U6250" s="19">
        <f>IF($V6250&lt;&gt;'設定'!$C$4,N(U6249),IF(OR(NOT(COUNTIF('商品マスタ'!$B$6:$B$1005,$W6250)=0),COUNTIFS('①在庫を貼る'!$V$6:$V$10005,$V6250,'①在庫を貼る'!$W$6:$W$10005,$W6250)&gt;0),N(U6249),N(U6249)+1))</f>
        <v/>
      </c>
      <c r="V6250" s="19">
        <f>IF($B6250="","",TEXT($B6250,"0000"))</f>
        <v/>
      </c>
      <c r="W6250" s="19">
        <f>IF($I6250="","",IF(ISNUMBER($I6250),TEXT($I6250,"0"),$I6250))</f>
        <v/>
      </c>
    </row>
    <row r="6251">
      <c r="B6251" s="25" t="n"/>
      <c r="I6251" s="25" t="n"/>
      <c r="U6251" s="19">
        <f>IF($V6251&lt;&gt;'設定'!$C$4,N(U6250),IF(OR(NOT(COUNTIF('商品マスタ'!$B$6:$B$1005,$W6251)=0),COUNTIFS('①在庫を貼る'!$V$6:$V$10005,$V6251,'①在庫を貼る'!$W$6:$W$10005,$W6251)&gt;0),N(U6250),N(U6250)+1))</f>
        <v/>
      </c>
      <c r="V6251" s="19">
        <f>IF($B6251="","",TEXT($B6251,"0000"))</f>
        <v/>
      </c>
      <c r="W6251" s="19">
        <f>IF($I6251="","",IF(ISNUMBER($I6251),TEXT($I6251,"0"),$I6251))</f>
        <v/>
      </c>
    </row>
    <row r="6252">
      <c r="B6252" s="25" t="n"/>
      <c r="I6252" s="25" t="n"/>
      <c r="U6252" s="19">
        <f>IF($V6252&lt;&gt;'設定'!$C$4,N(U6251),IF(OR(NOT(COUNTIF('商品マスタ'!$B$6:$B$1005,$W6252)=0),COUNTIFS('①在庫を貼る'!$V$6:$V$10005,$V6252,'①在庫を貼る'!$W$6:$W$10005,$W6252)&gt;0),N(U6251),N(U6251)+1))</f>
        <v/>
      </c>
      <c r="V6252" s="19">
        <f>IF($B6252="","",TEXT($B6252,"0000"))</f>
        <v/>
      </c>
      <c r="W6252" s="19">
        <f>IF($I6252="","",IF(ISNUMBER($I6252),TEXT($I6252,"0"),$I6252))</f>
        <v/>
      </c>
    </row>
    <row r="6253">
      <c r="B6253" s="25" t="n"/>
      <c r="I6253" s="25" t="n"/>
      <c r="U6253" s="19">
        <f>IF($V6253&lt;&gt;'設定'!$C$4,N(U6252),IF(OR(NOT(COUNTIF('商品マスタ'!$B$6:$B$1005,$W6253)=0),COUNTIFS('①在庫を貼る'!$V$6:$V$10005,$V6253,'①在庫を貼る'!$W$6:$W$10005,$W6253)&gt;0),N(U6252),N(U6252)+1))</f>
        <v/>
      </c>
      <c r="V6253" s="19">
        <f>IF($B6253="","",TEXT($B6253,"0000"))</f>
        <v/>
      </c>
      <c r="W6253" s="19">
        <f>IF($I6253="","",IF(ISNUMBER($I6253),TEXT($I6253,"0"),$I6253))</f>
        <v/>
      </c>
    </row>
    <row r="6254">
      <c r="B6254" s="25" t="n"/>
      <c r="I6254" s="25" t="n"/>
      <c r="U6254" s="19">
        <f>IF($V6254&lt;&gt;'設定'!$C$4,N(U6253),IF(OR(NOT(COUNTIF('商品マスタ'!$B$6:$B$1005,$W6254)=0),COUNTIFS('①在庫を貼る'!$V$6:$V$10005,$V6254,'①在庫を貼る'!$W$6:$W$10005,$W6254)&gt;0),N(U6253),N(U6253)+1))</f>
        <v/>
      </c>
      <c r="V6254" s="19">
        <f>IF($B6254="","",TEXT($B6254,"0000"))</f>
        <v/>
      </c>
      <c r="W6254" s="19">
        <f>IF($I6254="","",IF(ISNUMBER($I6254),TEXT($I6254,"0"),$I6254))</f>
        <v/>
      </c>
    </row>
    <row r="6255">
      <c r="B6255" s="25" t="n"/>
      <c r="I6255" s="25" t="n"/>
      <c r="U6255" s="19">
        <f>IF($V6255&lt;&gt;'設定'!$C$4,N(U6254),IF(OR(NOT(COUNTIF('商品マスタ'!$B$6:$B$1005,$W6255)=0),COUNTIFS('①在庫を貼る'!$V$6:$V$10005,$V6255,'①在庫を貼る'!$W$6:$W$10005,$W6255)&gt;0),N(U6254),N(U6254)+1))</f>
        <v/>
      </c>
      <c r="V6255" s="19">
        <f>IF($B6255="","",TEXT($B6255,"0000"))</f>
        <v/>
      </c>
      <c r="W6255" s="19">
        <f>IF($I6255="","",IF(ISNUMBER($I6255),TEXT($I6255,"0"),$I6255))</f>
        <v/>
      </c>
    </row>
    <row r="6256">
      <c r="B6256" s="25" t="n"/>
      <c r="I6256" s="25" t="n"/>
      <c r="U6256" s="19">
        <f>IF($V6256&lt;&gt;'設定'!$C$4,N(U6255),IF(OR(NOT(COUNTIF('商品マスタ'!$B$6:$B$1005,$W6256)=0),COUNTIFS('①在庫を貼る'!$V$6:$V$10005,$V6256,'①在庫を貼る'!$W$6:$W$10005,$W6256)&gt;0),N(U6255),N(U6255)+1))</f>
        <v/>
      </c>
      <c r="V6256" s="19">
        <f>IF($B6256="","",TEXT($B6256,"0000"))</f>
        <v/>
      </c>
      <c r="W6256" s="19">
        <f>IF($I6256="","",IF(ISNUMBER($I6256),TEXT($I6256,"0"),$I6256))</f>
        <v/>
      </c>
    </row>
    <row r="6257">
      <c r="B6257" s="25" t="n"/>
      <c r="I6257" s="25" t="n"/>
      <c r="U6257" s="19">
        <f>IF($V6257&lt;&gt;'設定'!$C$4,N(U6256),IF(OR(NOT(COUNTIF('商品マスタ'!$B$6:$B$1005,$W6257)=0),COUNTIFS('①在庫を貼る'!$V$6:$V$10005,$V6257,'①在庫を貼る'!$W$6:$W$10005,$W6257)&gt;0),N(U6256),N(U6256)+1))</f>
        <v/>
      </c>
      <c r="V6257" s="19">
        <f>IF($B6257="","",TEXT($B6257,"0000"))</f>
        <v/>
      </c>
      <c r="W6257" s="19">
        <f>IF($I6257="","",IF(ISNUMBER($I6257),TEXT($I6257,"0"),$I6257))</f>
        <v/>
      </c>
    </row>
    <row r="6258">
      <c r="B6258" s="25" t="n"/>
      <c r="I6258" s="25" t="n"/>
      <c r="U6258" s="19">
        <f>IF($V6258&lt;&gt;'設定'!$C$4,N(U6257),IF(OR(NOT(COUNTIF('商品マスタ'!$B$6:$B$1005,$W6258)=0),COUNTIFS('①在庫を貼る'!$V$6:$V$10005,$V6258,'①在庫を貼る'!$W$6:$W$10005,$W6258)&gt;0),N(U6257),N(U6257)+1))</f>
        <v/>
      </c>
      <c r="V6258" s="19">
        <f>IF($B6258="","",TEXT($B6258,"0000"))</f>
        <v/>
      </c>
      <c r="W6258" s="19">
        <f>IF($I6258="","",IF(ISNUMBER($I6258),TEXT($I6258,"0"),$I6258))</f>
        <v/>
      </c>
    </row>
    <row r="6259">
      <c r="B6259" s="25" t="n"/>
      <c r="I6259" s="25" t="n"/>
      <c r="U6259" s="19">
        <f>IF($V6259&lt;&gt;'設定'!$C$4,N(U6258),IF(OR(NOT(COUNTIF('商品マスタ'!$B$6:$B$1005,$W6259)=0),COUNTIFS('①在庫を貼る'!$V$6:$V$10005,$V6259,'①在庫を貼る'!$W$6:$W$10005,$W6259)&gt;0),N(U6258),N(U6258)+1))</f>
        <v/>
      </c>
      <c r="V6259" s="19">
        <f>IF($B6259="","",TEXT($B6259,"0000"))</f>
        <v/>
      </c>
      <c r="W6259" s="19">
        <f>IF($I6259="","",IF(ISNUMBER($I6259),TEXT($I6259,"0"),$I6259))</f>
        <v/>
      </c>
    </row>
    <row r="6260">
      <c r="B6260" s="25" t="n"/>
      <c r="I6260" s="25" t="n"/>
      <c r="U6260" s="19">
        <f>IF($V6260&lt;&gt;'設定'!$C$4,N(U6259),IF(OR(NOT(COUNTIF('商品マスタ'!$B$6:$B$1005,$W6260)=0),COUNTIFS('①在庫を貼る'!$V$6:$V$10005,$V6260,'①在庫を貼る'!$W$6:$W$10005,$W6260)&gt;0),N(U6259),N(U6259)+1))</f>
        <v/>
      </c>
      <c r="V6260" s="19">
        <f>IF($B6260="","",TEXT($B6260,"0000"))</f>
        <v/>
      </c>
      <c r="W6260" s="19">
        <f>IF($I6260="","",IF(ISNUMBER($I6260),TEXT($I6260,"0"),$I6260))</f>
        <v/>
      </c>
    </row>
    <row r="6261">
      <c r="B6261" s="25" t="n"/>
      <c r="I6261" s="25" t="n"/>
      <c r="U6261" s="19">
        <f>IF($V6261&lt;&gt;'設定'!$C$4,N(U6260),IF(OR(NOT(COUNTIF('商品マスタ'!$B$6:$B$1005,$W6261)=0),COUNTIFS('①在庫を貼る'!$V$6:$V$10005,$V6261,'①在庫を貼る'!$W$6:$W$10005,$W6261)&gt;0),N(U6260),N(U6260)+1))</f>
        <v/>
      </c>
      <c r="V6261" s="19">
        <f>IF($B6261="","",TEXT($B6261,"0000"))</f>
        <v/>
      </c>
      <c r="W6261" s="19">
        <f>IF($I6261="","",IF(ISNUMBER($I6261),TEXT($I6261,"0"),$I6261))</f>
        <v/>
      </c>
    </row>
    <row r="6262">
      <c r="B6262" s="25" t="n"/>
      <c r="I6262" s="25" t="n"/>
      <c r="U6262" s="19">
        <f>IF($V6262&lt;&gt;'設定'!$C$4,N(U6261),IF(OR(NOT(COUNTIF('商品マスタ'!$B$6:$B$1005,$W6262)=0),COUNTIFS('①在庫を貼る'!$V$6:$V$10005,$V6262,'①在庫を貼る'!$W$6:$W$10005,$W6262)&gt;0),N(U6261),N(U6261)+1))</f>
        <v/>
      </c>
      <c r="V6262" s="19">
        <f>IF($B6262="","",TEXT($B6262,"0000"))</f>
        <v/>
      </c>
      <c r="W6262" s="19">
        <f>IF($I6262="","",IF(ISNUMBER($I6262),TEXT($I6262,"0"),$I6262))</f>
        <v/>
      </c>
    </row>
    <row r="6263">
      <c r="B6263" s="25" t="n"/>
      <c r="I6263" s="25" t="n"/>
      <c r="U6263" s="19">
        <f>IF($V6263&lt;&gt;'設定'!$C$4,N(U6262),IF(OR(NOT(COUNTIF('商品マスタ'!$B$6:$B$1005,$W6263)=0),COUNTIFS('①在庫を貼る'!$V$6:$V$10005,$V6263,'①在庫を貼る'!$W$6:$W$10005,$W6263)&gt;0),N(U6262),N(U6262)+1))</f>
        <v/>
      </c>
      <c r="V6263" s="19">
        <f>IF($B6263="","",TEXT($B6263,"0000"))</f>
        <v/>
      </c>
      <c r="W6263" s="19">
        <f>IF($I6263="","",IF(ISNUMBER($I6263),TEXT($I6263,"0"),$I6263))</f>
        <v/>
      </c>
    </row>
    <row r="6264">
      <c r="B6264" s="25" t="n"/>
      <c r="I6264" s="25" t="n"/>
      <c r="U6264" s="19">
        <f>IF($V6264&lt;&gt;'設定'!$C$4,N(U6263),IF(OR(NOT(COUNTIF('商品マスタ'!$B$6:$B$1005,$W6264)=0),COUNTIFS('①在庫を貼る'!$V$6:$V$10005,$V6264,'①在庫を貼る'!$W$6:$W$10005,$W6264)&gt;0),N(U6263),N(U6263)+1))</f>
        <v/>
      </c>
      <c r="V6264" s="19">
        <f>IF($B6264="","",TEXT($B6264,"0000"))</f>
        <v/>
      </c>
      <c r="W6264" s="19">
        <f>IF($I6264="","",IF(ISNUMBER($I6264),TEXT($I6264,"0"),$I6264))</f>
        <v/>
      </c>
    </row>
    <row r="6265">
      <c r="B6265" s="25" t="n"/>
      <c r="I6265" s="25" t="n"/>
      <c r="U6265" s="19">
        <f>IF($V6265&lt;&gt;'設定'!$C$4,N(U6264),IF(OR(NOT(COUNTIF('商品マスタ'!$B$6:$B$1005,$W6265)=0),COUNTIFS('①在庫を貼る'!$V$6:$V$10005,$V6265,'①在庫を貼る'!$W$6:$W$10005,$W6265)&gt;0),N(U6264),N(U6264)+1))</f>
        <v/>
      </c>
      <c r="V6265" s="19">
        <f>IF($B6265="","",TEXT($B6265,"0000"))</f>
        <v/>
      </c>
      <c r="W6265" s="19">
        <f>IF($I6265="","",IF(ISNUMBER($I6265),TEXT($I6265,"0"),$I6265))</f>
        <v/>
      </c>
    </row>
    <row r="6266">
      <c r="B6266" s="25" t="n"/>
      <c r="I6266" s="25" t="n"/>
      <c r="U6266" s="19">
        <f>IF($V6266&lt;&gt;'設定'!$C$4,N(U6265),IF(OR(NOT(COUNTIF('商品マスタ'!$B$6:$B$1005,$W6266)=0),COUNTIFS('①在庫を貼る'!$V$6:$V$10005,$V6266,'①在庫を貼る'!$W$6:$W$10005,$W6266)&gt;0),N(U6265),N(U6265)+1))</f>
        <v/>
      </c>
      <c r="V6266" s="19">
        <f>IF($B6266="","",TEXT($B6266,"0000"))</f>
        <v/>
      </c>
      <c r="W6266" s="19">
        <f>IF($I6266="","",IF(ISNUMBER($I6266),TEXT($I6266,"0"),$I6266))</f>
        <v/>
      </c>
    </row>
    <row r="6267">
      <c r="B6267" s="25" t="n"/>
      <c r="I6267" s="25" t="n"/>
      <c r="U6267" s="19">
        <f>IF($V6267&lt;&gt;'設定'!$C$4,N(U6266),IF(OR(NOT(COUNTIF('商品マスタ'!$B$6:$B$1005,$W6267)=0),COUNTIFS('①在庫を貼る'!$V$6:$V$10005,$V6267,'①在庫を貼る'!$W$6:$W$10005,$W6267)&gt;0),N(U6266),N(U6266)+1))</f>
        <v/>
      </c>
      <c r="V6267" s="19">
        <f>IF($B6267="","",TEXT($B6267,"0000"))</f>
        <v/>
      </c>
      <c r="W6267" s="19">
        <f>IF($I6267="","",IF(ISNUMBER($I6267),TEXT($I6267,"0"),$I6267))</f>
        <v/>
      </c>
    </row>
    <row r="6268">
      <c r="B6268" s="25" t="n"/>
      <c r="I6268" s="25" t="n"/>
      <c r="U6268" s="19">
        <f>IF($V6268&lt;&gt;'設定'!$C$4,N(U6267),IF(OR(NOT(COUNTIF('商品マスタ'!$B$6:$B$1005,$W6268)=0),COUNTIFS('①在庫を貼る'!$V$6:$V$10005,$V6268,'①在庫を貼る'!$W$6:$W$10005,$W6268)&gt;0),N(U6267),N(U6267)+1))</f>
        <v/>
      </c>
      <c r="V6268" s="19">
        <f>IF($B6268="","",TEXT($B6268,"0000"))</f>
        <v/>
      </c>
      <c r="W6268" s="19">
        <f>IF($I6268="","",IF(ISNUMBER($I6268),TEXT($I6268,"0"),$I6268))</f>
        <v/>
      </c>
    </row>
    <row r="6269">
      <c r="B6269" s="25" t="n"/>
      <c r="I6269" s="25" t="n"/>
      <c r="U6269" s="19">
        <f>IF($V6269&lt;&gt;'設定'!$C$4,N(U6268),IF(OR(NOT(COUNTIF('商品マスタ'!$B$6:$B$1005,$W6269)=0),COUNTIFS('①在庫を貼る'!$V$6:$V$10005,$V6269,'①在庫を貼る'!$W$6:$W$10005,$W6269)&gt;0),N(U6268),N(U6268)+1))</f>
        <v/>
      </c>
      <c r="V6269" s="19">
        <f>IF($B6269="","",TEXT($B6269,"0000"))</f>
        <v/>
      </c>
      <c r="W6269" s="19">
        <f>IF($I6269="","",IF(ISNUMBER($I6269),TEXT($I6269,"0"),$I6269))</f>
        <v/>
      </c>
    </row>
    <row r="6270">
      <c r="B6270" s="25" t="n"/>
      <c r="I6270" s="25" t="n"/>
      <c r="U6270" s="19">
        <f>IF($V6270&lt;&gt;'設定'!$C$4,N(U6269),IF(OR(NOT(COUNTIF('商品マスタ'!$B$6:$B$1005,$W6270)=0),COUNTIFS('①在庫を貼る'!$V$6:$V$10005,$V6270,'①在庫を貼る'!$W$6:$W$10005,$W6270)&gt;0),N(U6269),N(U6269)+1))</f>
        <v/>
      </c>
      <c r="V6270" s="19">
        <f>IF($B6270="","",TEXT($B6270,"0000"))</f>
        <v/>
      </c>
      <c r="W6270" s="19">
        <f>IF($I6270="","",IF(ISNUMBER($I6270),TEXT($I6270,"0"),$I6270))</f>
        <v/>
      </c>
    </row>
    <row r="6271">
      <c r="B6271" s="25" t="n"/>
      <c r="I6271" s="25" t="n"/>
      <c r="U6271" s="19">
        <f>IF($V6271&lt;&gt;'設定'!$C$4,N(U6270),IF(OR(NOT(COUNTIF('商品マスタ'!$B$6:$B$1005,$W6271)=0),COUNTIFS('①在庫を貼る'!$V$6:$V$10005,$V6271,'①在庫を貼る'!$W$6:$W$10005,$W6271)&gt;0),N(U6270),N(U6270)+1))</f>
        <v/>
      </c>
      <c r="V6271" s="19">
        <f>IF($B6271="","",TEXT($B6271,"0000"))</f>
        <v/>
      </c>
      <c r="W6271" s="19">
        <f>IF($I6271="","",IF(ISNUMBER($I6271),TEXT($I6271,"0"),$I6271))</f>
        <v/>
      </c>
    </row>
    <row r="6272">
      <c r="B6272" s="25" t="n"/>
      <c r="I6272" s="25" t="n"/>
      <c r="U6272" s="19">
        <f>IF($V6272&lt;&gt;'設定'!$C$4,N(U6271),IF(OR(NOT(COUNTIF('商品マスタ'!$B$6:$B$1005,$W6272)=0),COUNTIFS('①在庫を貼る'!$V$6:$V$10005,$V6272,'①在庫を貼る'!$W$6:$W$10005,$W6272)&gt;0),N(U6271),N(U6271)+1))</f>
        <v/>
      </c>
      <c r="V6272" s="19">
        <f>IF($B6272="","",TEXT($B6272,"0000"))</f>
        <v/>
      </c>
      <c r="W6272" s="19">
        <f>IF($I6272="","",IF(ISNUMBER($I6272),TEXT($I6272,"0"),$I6272))</f>
        <v/>
      </c>
    </row>
    <row r="6273">
      <c r="B6273" s="25" t="n"/>
      <c r="I6273" s="25" t="n"/>
      <c r="U6273" s="19">
        <f>IF($V6273&lt;&gt;'設定'!$C$4,N(U6272),IF(OR(NOT(COUNTIF('商品マスタ'!$B$6:$B$1005,$W6273)=0),COUNTIFS('①在庫を貼る'!$V$6:$V$10005,$V6273,'①在庫を貼る'!$W$6:$W$10005,$W6273)&gt;0),N(U6272),N(U6272)+1))</f>
        <v/>
      </c>
      <c r="V6273" s="19">
        <f>IF($B6273="","",TEXT($B6273,"0000"))</f>
        <v/>
      </c>
      <c r="W6273" s="19">
        <f>IF($I6273="","",IF(ISNUMBER($I6273),TEXT($I6273,"0"),$I6273))</f>
        <v/>
      </c>
    </row>
    <row r="6274">
      <c r="B6274" s="25" t="n"/>
      <c r="I6274" s="25" t="n"/>
      <c r="U6274" s="19">
        <f>IF($V6274&lt;&gt;'設定'!$C$4,N(U6273),IF(OR(NOT(COUNTIF('商品マスタ'!$B$6:$B$1005,$W6274)=0),COUNTIFS('①在庫を貼る'!$V$6:$V$10005,$V6274,'①在庫を貼る'!$W$6:$W$10005,$W6274)&gt;0),N(U6273),N(U6273)+1))</f>
        <v/>
      </c>
      <c r="V6274" s="19">
        <f>IF($B6274="","",TEXT($B6274,"0000"))</f>
        <v/>
      </c>
      <c r="W6274" s="19">
        <f>IF($I6274="","",IF(ISNUMBER($I6274),TEXT($I6274,"0"),$I6274))</f>
        <v/>
      </c>
    </row>
    <row r="6275">
      <c r="B6275" s="25" t="n"/>
      <c r="I6275" s="25" t="n"/>
      <c r="U6275" s="19">
        <f>IF($V6275&lt;&gt;'設定'!$C$4,N(U6274),IF(OR(NOT(COUNTIF('商品マスタ'!$B$6:$B$1005,$W6275)=0),COUNTIFS('①在庫を貼る'!$V$6:$V$10005,$V6275,'①在庫を貼る'!$W$6:$W$10005,$W6275)&gt;0),N(U6274),N(U6274)+1))</f>
        <v/>
      </c>
      <c r="V6275" s="19">
        <f>IF($B6275="","",TEXT($B6275,"0000"))</f>
        <v/>
      </c>
      <c r="W6275" s="19">
        <f>IF($I6275="","",IF(ISNUMBER($I6275),TEXT($I6275,"0"),$I6275))</f>
        <v/>
      </c>
    </row>
    <row r="6276">
      <c r="B6276" s="25" t="n"/>
      <c r="I6276" s="25" t="n"/>
      <c r="U6276" s="19">
        <f>IF($V6276&lt;&gt;'設定'!$C$4,N(U6275),IF(OR(NOT(COUNTIF('商品マスタ'!$B$6:$B$1005,$W6276)=0),COUNTIFS('①在庫を貼る'!$V$6:$V$10005,$V6276,'①在庫を貼る'!$W$6:$W$10005,$W6276)&gt;0),N(U6275),N(U6275)+1))</f>
        <v/>
      </c>
      <c r="V6276" s="19">
        <f>IF($B6276="","",TEXT($B6276,"0000"))</f>
        <v/>
      </c>
      <c r="W6276" s="19">
        <f>IF($I6276="","",IF(ISNUMBER($I6276),TEXT($I6276,"0"),$I6276))</f>
        <v/>
      </c>
    </row>
    <row r="6277">
      <c r="B6277" s="25" t="n"/>
      <c r="I6277" s="25" t="n"/>
      <c r="U6277" s="19">
        <f>IF($V6277&lt;&gt;'設定'!$C$4,N(U6276),IF(OR(NOT(COUNTIF('商品マスタ'!$B$6:$B$1005,$W6277)=0),COUNTIFS('①在庫を貼る'!$V$6:$V$10005,$V6277,'①在庫を貼る'!$W$6:$W$10005,$W6277)&gt;0),N(U6276),N(U6276)+1))</f>
        <v/>
      </c>
      <c r="V6277" s="19">
        <f>IF($B6277="","",TEXT($B6277,"0000"))</f>
        <v/>
      </c>
      <c r="W6277" s="19">
        <f>IF($I6277="","",IF(ISNUMBER($I6277),TEXT($I6277,"0"),$I6277))</f>
        <v/>
      </c>
    </row>
    <row r="6278">
      <c r="B6278" s="25" t="n"/>
      <c r="I6278" s="25" t="n"/>
      <c r="U6278" s="19">
        <f>IF($V6278&lt;&gt;'設定'!$C$4,N(U6277),IF(OR(NOT(COUNTIF('商品マスタ'!$B$6:$B$1005,$W6278)=0),COUNTIFS('①在庫を貼る'!$V$6:$V$10005,$V6278,'①在庫を貼る'!$W$6:$W$10005,$W6278)&gt;0),N(U6277),N(U6277)+1))</f>
        <v/>
      </c>
      <c r="V6278" s="19">
        <f>IF($B6278="","",TEXT($B6278,"0000"))</f>
        <v/>
      </c>
      <c r="W6278" s="19">
        <f>IF($I6278="","",IF(ISNUMBER($I6278),TEXT($I6278,"0"),$I6278))</f>
        <v/>
      </c>
    </row>
    <row r="6279">
      <c r="B6279" s="25" t="n"/>
      <c r="I6279" s="25" t="n"/>
      <c r="U6279" s="19">
        <f>IF($V6279&lt;&gt;'設定'!$C$4,N(U6278),IF(OR(NOT(COUNTIF('商品マスタ'!$B$6:$B$1005,$W6279)=0),COUNTIFS('①在庫を貼る'!$V$6:$V$10005,$V6279,'①在庫を貼る'!$W$6:$W$10005,$W6279)&gt;0),N(U6278),N(U6278)+1))</f>
        <v/>
      </c>
      <c r="V6279" s="19">
        <f>IF($B6279="","",TEXT($B6279,"0000"))</f>
        <v/>
      </c>
      <c r="W6279" s="19">
        <f>IF($I6279="","",IF(ISNUMBER($I6279),TEXT($I6279,"0"),$I6279))</f>
        <v/>
      </c>
    </row>
    <row r="6280">
      <c r="B6280" s="25" t="n"/>
      <c r="I6280" s="25" t="n"/>
      <c r="U6280" s="19">
        <f>IF($V6280&lt;&gt;'設定'!$C$4,N(U6279),IF(OR(NOT(COUNTIF('商品マスタ'!$B$6:$B$1005,$W6280)=0),COUNTIFS('①在庫を貼る'!$V$6:$V$10005,$V6280,'①在庫を貼る'!$W$6:$W$10005,$W6280)&gt;0),N(U6279),N(U6279)+1))</f>
        <v/>
      </c>
      <c r="V6280" s="19">
        <f>IF($B6280="","",TEXT($B6280,"0000"))</f>
        <v/>
      </c>
      <c r="W6280" s="19">
        <f>IF($I6280="","",IF(ISNUMBER($I6280),TEXT($I6280,"0"),$I6280))</f>
        <v/>
      </c>
    </row>
    <row r="6281">
      <c r="B6281" s="25" t="n"/>
      <c r="I6281" s="25" t="n"/>
      <c r="U6281" s="19">
        <f>IF($V6281&lt;&gt;'設定'!$C$4,N(U6280),IF(OR(NOT(COUNTIF('商品マスタ'!$B$6:$B$1005,$W6281)=0),COUNTIFS('①在庫を貼る'!$V$6:$V$10005,$V6281,'①在庫を貼る'!$W$6:$W$10005,$W6281)&gt;0),N(U6280),N(U6280)+1))</f>
        <v/>
      </c>
      <c r="V6281" s="19">
        <f>IF($B6281="","",TEXT($B6281,"0000"))</f>
        <v/>
      </c>
      <c r="W6281" s="19">
        <f>IF($I6281="","",IF(ISNUMBER($I6281),TEXT($I6281,"0"),$I6281))</f>
        <v/>
      </c>
    </row>
    <row r="6282">
      <c r="B6282" s="25" t="n"/>
      <c r="I6282" s="25" t="n"/>
      <c r="U6282" s="19">
        <f>IF($V6282&lt;&gt;'設定'!$C$4,N(U6281),IF(OR(NOT(COUNTIF('商品マスタ'!$B$6:$B$1005,$W6282)=0),COUNTIFS('①在庫を貼る'!$V$6:$V$10005,$V6282,'①在庫を貼る'!$W$6:$W$10005,$W6282)&gt;0),N(U6281),N(U6281)+1))</f>
        <v/>
      </c>
      <c r="V6282" s="19">
        <f>IF($B6282="","",TEXT($B6282,"0000"))</f>
        <v/>
      </c>
      <c r="W6282" s="19">
        <f>IF($I6282="","",IF(ISNUMBER($I6282),TEXT($I6282,"0"),$I6282))</f>
        <v/>
      </c>
    </row>
    <row r="6283">
      <c r="B6283" s="25" t="n"/>
      <c r="I6283" s="25" t="n"/>
      <c r="U6283" s="19">
        <f>IF($V6283&lt;&gt;'設定'!$C$4,N(U6282),IF(OR(NOT(COUNTIF('商品マスタ'!$B$6:$B$1005,$W6283)=0),COUNTIFS('①在庫を貼る'!$V$6:$V$10005,$V6283,'①在庫を貼る'!$W$6:$W$10005,$W6283)&gt;0),N(U6282),N(U6282)+1))</f>
        <v/>
      </c>
      <c r="V6283" s="19">
        <f>IF($B6283="","",TEXT($B6283,"0000"))</f>
        <v/>
      </c>
      <c r="W6283" s="19">
        <f>IF($I6283="","",IF(ISNUMBER($I6283),TEXT($I6283,"0"),$I6283))</f>
        <v/>
      </c>
    </row>
    <row r="6284">
      <c r="B6284" s="25" t="n"/>
      <c r="I6284" s="25" t="n"/>
      <c r="U6284" s="19">
        <f>IF($V6284&lt;&gt;'設定'!$C$4,N(U6283),IF(OR(NOT(COUNTIF('商品マスタ'!$B$6:$B$1005,$W6284)=0),COUNTIFS('①在庫を貼る'!$V$6:$V$10005,$V6284,'①在庫を貼る'!$W$6:$W$10005,$W6284)&gt;0),N(U6283),N(U6283)+1))</f>
        <v/>
      </c>
      <c r="V6284" s="19">
        <f>IF($B6284="","",TEXT($B6284,"0000"))</f>
        <v/>
      </c>
      <c r="W6284" s="19">
        <f>IF($I6284="","",IF(ISNUMBER($I6284),TEXT($I6284,"0"),$I6284))</f>
        <v/>
      </c>
    </row>
    <row r="6285">
      <c r="B6285" s="25" t="n"/>
      <c r="I6285" s="25" t="n"/>
      <c r="U6285" s="19">
        <f>IF($V6285&lt;&gt;'設定'!$C$4,N(U6284),IF(OR(NOT(COUNTIF('商品マスタ'!$B$6:$B$1005,$W6285)=0),COUNTIFS('①在庫を貼る'!$V$6:$V$10005,$V6285,'①在庫を貼る'!$W$6:$W$10005,$W6285)&gt;0),N(U6284),N(U6284)+1))</f>
        <v/>
      </c>
      <c r="V6285" s="19">
        <f>IF($B6285="","",TEXT($B6285,"0000"))</f>
        <v/>
      </c>
      <c r="W6285" s="19">
        <f>IF($I6285="","",IF(ISNUMBER($I6285),TEXT($I6285,"0"),$I6285))</f>
        <v/>
      </c>
    </row>
    <row r="6286">
      <c r="B6286" s="25" t="n"/>
      <c r="I6286" s="25" t="n"/>
      <c r="U6286" s="19">
        <f>IF($V6286&lt;&gt;'設定'!$C$4,N(U6285),IF(OR(NOT(COUNTIF('商品マスタ'!$B$6:$B$1005,$W6286)=0),COUNTIFS('①在庫を貼る'!$V$6:$V$10005,$V6286,'①在庫を貼る'!$W$6:$W$10005,$W6286)&gt;0),N(U6285),N(U6285)+1))</f>
        <v/>
      </c>
      <c r="V6286" s="19">
        <f>IF($B6286="","",TEXT($B6286,"0000"))</f>
        <v/>
      </c>
      <c r="W6286" s="19">
        <f>IF($I6286="","",IF(ISNUMBER($I6286),TEXT($I6286,"0"),$I6286))</f>
        <v/>
      </c>
    </row>
    <row r="6287">
      <c r="B6287" s="25" t="n"/>
      <c r="I6287" s="25" t="n"/>
      <c r="U6287" s="19">
        <f>IF($V6287&lt;&gt;'設定'!$C$4,N(U6286),IF(OR(NOT(COUNTIF('商品マスタ'!$B$6:$B$1005,$W6287)=0),COUNTIFS('①在庫を貼る'!$V$6:$V$10005,$V6287,'①在庫を貼る'!$W$6:$W$10005,$W6287)&gt;0),N(U6286),N(U6286)+1))</f>
        <v/>
      </c>
      <c r="V6287" s="19">
        <f>IF($B6287="","",TEXT($B6287,"0000"))</f>
        <v/>
      </c>
      <c r="W6287" s="19">
        <f>IF($I6287="","",IF(ISNUMBER($I6287),TEXT($I6287,"0"),$I6287))</f>
        <v/>
      </c>
    </row>
    <row r="6288">
      <c r="B6288" s="25" t="n"/>
      <c r="I6288" s="25" t="n"/>
      <c r="U6288" s="19">
        <f>IF($V6288&lt;&gt;'設定'!$C$4,N(U6287),IF(OR(NOT(COUNTIF('商品マスタ'!$B$6:$B$1005,$W6288)=0),COUNTIFS('①在庫を貼る'!$V$6:$V$10005,$V6288,'①在庫を貼る'!$W$6:$W$10005,$W6288)&gt;0),N(U6287),N(U6287)+1))</f>
        <v/>
      </c>
      <c r="V6288" s="19">
        <f>IF($B6288="","",TEXT($B6288,"0000"))</f>
        <v/>
      </c>
      <c r="W6288" s="19">
        <f>IF($I6288="","",IF(ISNUMBER($I6288),TEXT($I6288,"0"),$I6288))</f>
        <v/>
      </c>
    </row>
    <row r="6289">
      <c r="B6289" s="25" t="n"/>
      <c r="I6289" s="25" t="n"/>
      <c r="U6289" s="19">
        <f>IF($V6289&lt;&gt;'設定'!$C$4,N(U6288),IF(OR(NOT(COUNTIF('商品マスタ'!$B$6:$B$1005,$W6289)=0),COUNTIFS('①在庫を貼る'!$V$6:$V$10005,$V6289,'①在庫を貼る'!$W$6:$W$10005,$W6289)&gt;0),N(U6288),N(U6288)+1))</f>
        <v/>
      </c>
      <c r="V6289" s="19">
        <f>IF($B6289="","",TEXT($B6289,"0000"))</f>
        <v/>
      </c>
      <c r="W6289" s="19">
        <f>IF($I6289="","",IF(ISNUMBER($I6289),TEXT($I6289,"0"),$I6289))</f>
        <v/>
      </c>
    </row>
    <row r="6290">
      <c r="B6290" s="25" t="n"/>
      <c r="I6290" s="25" t="n"/>
      <c r="U6290" s="19">
        <f>IF($V6290&lt;&gt;'設定'!$C$4,N(U6289),IF(OR(NOT(COUNTIF('商品マスタ'!$B$6:$B$1005,$W6290)=0),COUNTIFS('①在庫を貼る'!$V$6:$V$10005,$V6290,'①在庫を貼る'!$W$6:$W$10005,$W6290)&gt;0),N(U6289),N(U6289)+1))</f>
        <v/>
      </c>
      <c r="V6290" s="19">
        <f>IF($B6290="","",TEXT($B6290,"0000"))</f>
        <v/>
      </c>
      <c r="W6290" s="19">
        <f>IF($I6290="","",IF(ISNUMBER($I6290),TEXT($I6290,"0"),$I6290))</f>
        <v/>
      </c>
    </row>
    <row r="6291">
      <c r="B6291" s="25" t="n"/>
      <c r="I6291" s="25" t="n"/>
      <c r="U6291" s="19">
        <f>IF($V6291&lt;&gt;'設定'!$C$4,N(U6290),IF(OR(NOT(COUNTIF('商品マスタ'!$B$6:$B$1005,$W6291)=0),COUNTIFS('①在庫を貼る'!$V$6:$V$10005,$V6291,'①在庫を貼る'!$W$6:$W$10005,$W6291)&gt;0),N(U6290),N(U6290)+1))</f>
        <v/>
      </c>
      <c r="V6291" s="19">
        <f>IF($B6291="","",TEXT($B6291,"0000"))</f>
        <v/>
      </c>
      <c r="W6291" s="19">
        <f>IF($I6291="","",IF(ISNUMBER($I6291),TEXT($I6291,"0"),$I6291))</f>
        <v/>
      </c>
    </row>
    <row r="6292">
      <c r="B6292" s="25" t="n"/>
      <c r="I6292" s="25" t="n"/>
      <c r="U6292" s="19">
        <f>IF($V6292&lt;&gt;'設定'!$C$4,N(U6291),IF(OR(NOT(COUNTIF('商品マスタ'!$B$6:$B$1005,$W6292)=0),COUNTIFS('①在庫を貼る'!$V$6:$V$10005,$V6292,'①在庫を貼る'!$W$6:$W$10005,$W6292)&gt;0),N(U6291),N(U6291)+1))</f>
        <v/>
      </c>
      <c r="V6292" s="19">
        <f>IF($B6292="","",TEXT($B6292,"0000"))</f>
        <v/>
      </c>
      <c r="W6292" s="19">
        <f>IF($I6292="","",IF(ISNUMBER($I6292),TEXT($I6292,"0"),$I6292))</f>
        <v/>
      </c>
    </row>
    <row r="6293">
      <c r="B6293" s="25" t="n"/>
      <c r="I6293" s="25" t="n"/>
      <c r="U6293" s="19">
        <f>IF($V6293&lt;&gt;'設定'!$C$4,N(U6292),IF(OR(NOT(COUNTIF('商品マスタ'!$B$6:$B$1005,$W6293)=0),COUNTIFS('①在庫を貼る'!$V$6:$V$10005,$V6293,'①在庫を貼る'!$W$6:$W$10005,$W6293)&gt;0),N(U6292),N(U6292)+1))</f>
        <v/>
      </c>
      <c r="V6293" s="19">
        <f>IF($B6293="","",TEXT($B6293,"0000"))</f>
        <v/>
      </c>
      <c r="W6293" s="19">
        <f>IF($I6293="","",IF(ISNUMBER($I6293),TEXT($I6293,"0"),$I6293))</f>
        <v/>
      </c>
    </row>
    <row r="6294">
      <c r="B6294" s="25" t="n"/>
      <c r="I6294" s="25" t="n"/>
      <c r="U6294" s="19">
        <f>IF($V6294&lt;&gt;'設定'!$C$4,N(U6293),IF(OR(NOT(COUNTIF('商品マスタ'!$B$6:$B$1005,$W6294)=0),COUNTIFS('①在庫を貼る'!$V$6:$V$10005,$V6294,'①在庫を貼る'!$W$6:$W$10005,$W6294)&gt;0),N(U6293),N(U6293)+1))</f>
        <v/>
      </c>
      <c r="V6294" s="19">
        <f>IF($B6294="","",TEXT($B6294,"0000"))</f>
        <v/>
      </c>
      <c r="W6294" s="19">
        <f>IF($I6294="","",IF(ISNUMBER($I6294),TEXT($I6294,"0"),$I6294))</f>
        <v/>
      </c>
    </row>
    <row r="6295">
      <c r="B6295" s="25" t="n"/>
      <c r="I6295" s="25" t="n"/>
      <c r="U6295" s="19">
        <f>IF($V6295&lt;&gt;'設定'!$C$4,N(U6294),IF(OR(NOT(COUNTIF('商品マスタ'!$B$6:$B$1005,$W6295)=0),COUNTIFS('①在庫を貼る'!$V$6:$V$10005,$V6295,'①在庫を貼る'!$W$6:$W$10005,$W6295)&gt;0),N(U6294),N(U6294)+1))</f>
        <v/>
      </c>
      <c r="V6295" s="19">
        <f>IF($B6295="","",TEXT($B6295,"0000"))</f>
        <v/>
      </c>
      <c r="W6295" s="19">
        <f>IF($I6295="","",IF(ISNUMBER($I6295),TEXT($I6295,"0"),$I6295))</f>
        <v/>
      </c>
    </row>
    <row r="6296">
      <c r="B6296" s="25" t="n"/>
      <c r="I6296" s="25" t="n"/>
      <c r="U6296" s="19">
        <f>IF($V6296&lt;&gt;'設定'!$C$4,N(U6295),IF(OR(NOT(COUNTIF('商品マスタ'!$B$6:$B$1005,$W6296)=0),COUNTIFS('①在庫を貼る'!$V$6:$V$10005,$V6296,'①在庫を貼る'!$W$6:$W$10005,$W6296)&gt;0),N(U6295),N(U6295)+1))</f>
        <v/>
      </c>
      <c r="V6296" s="19">
        <f>IF($B6296="","",TEXT($B6296,"0000"))</f>
        <v/>
      </c>
      <c r="W6296" s="19">
        <f>IF($I6296="","",IF(ISNUMBER($I6296),TEXT($I6296,"0"),$I6296))</f>
        <v/>
      </c>
    </row>
    <row r="6297">
      <c r="B6297" s="25" t="n"/>
      <c r="I6297" s="25" t="n"/>
      <c r="U6297" s="19">
        <f>IF($V6297&lt;&gt;'設定'!$C$4,N(U6296),IF(OR(NOT(COUNTIF('商品マスタ'!$B$6:$B$1005,$W6297)=0),COUNTIFS('①在庫を貼る'!$V$6:$V$10005,$V6297,'①在庫を貼る'!$W$6:$W$10005,$W6297)&gt;0),N(U6296),N(U6296)+1))</f>
        <v/>
      </c>
      <c r="V6297" s="19">
        <f>IF($B6297="","",TEXT($B6297,"0000"))</f>
        <v/>
      </c>
      <c r="W6297" s="19">
        <f>IF($I6297="","",IF(ISNUMBER($I6297),TEXT($I6297,"0"),$I6297))</f>
        <v/>
      </c>
    </row>
    <row r="6298">
      <c r="B6298" s="25" t="n"/>
      <c r="I6298" s="25" t="n"/>
      <c r="U6298" s="19">
        <f>IF($V6298&lt;&gt;'設定'!$C$4,N(U6297),IF(OR(NOT(COUNTIF('商品マスタ'!$B$6:$B$1005,$W6298)=0),COUNTIFS('①在庫を貼る'!$V$6:$V$10005,$V6298,'①在庫を貼る'!$W$6:$W$10005,$W6298)&gt;0),N(U6297),N(U6297)+1))</f>
        <v/>
      </c>
      <c r="V6298" s="19">
        <f>IF($B6298="","",TEXT($B6298,"0000"))</f>
        <v/>
      </c>
      <c r="W6298" s="19">
        <f>IF($I6298="","",IF(ISNUMBER($I6298),TEXT($I6298,"0"),$I6298))</f>
        <v/>
      </c>
    </row>
    <row r="6299">
      <c r="B6299" s="25" t="n"/>
      <c r="I6299" s="25" t="n"/>
      <c r="U6299" s="19">
        <f>IF($V6299&lt;&gt;'設定'!$C$4,N(U6298),IF(OR(NOT(COUNTIF('商品マスタ'!$B$6:$B$1005,$W6299)=0),COUNTIFS('①在庫を貼る'!$V$6:$V$10005,$V6299,'①在庫を貼る'!$W$6:$W$10005,$W6299)&gt;0),N(U6298),N(U6298)+1))</f>
        <v/>
      </c>
      <c r="V6299" s="19">
        <f>IF($B6299="","",TEXT($B6299,"0000"))</f>
        <v/>
      </c>
      <c r="W6299" s="19">
        <f>IF($I6299="","",IF(ISNUMBER($I6299),TEXT($I6299,"0"),$I6299))</f>
        <v/>
      </c>
    </row>
    <row r="6300">
      <c r="B6300" s="25" t="n"/>
      <c r="I6300" s="25" t="n"/>
      <c r="U6300" s="19">
        <f>IF($V6300&lt;&gt;'設定'!$C$4,N(U6299),IF(OR(NOT(COUNTIF('商品マスタ'!$B$6:$B$1005,$W6300)=0),COUNTIFS('①在庫を貼る'!$V$6:$V$10005,$V6300,'①在庫を貼る'!$W$6:$W$10005,$W6300)&gt;0),N(U6299),N(U6299)+1))</f>
        <v/>
      </c>
      <c r="V6300" s="19">
        <f>IF($B6300="","",TEXT($B6300,"0000"))</f>
        <v/>
      </c>
      <c r="W6300" s="19">
        <f>IF($I6300="","",IF(ISNUMBER($I6300),TEXT($I6300,"0"),$I6300))</f>
        <v/>
      </c>
    </row>
    <row r="6301">
      <c r="B6301" s="25" t="n"/>
      <c r="I6301" s="25" t="n"/>
      <c r="U6301" s="19">
        <f>IF($V6301&lt;&gt;'設定'!$C$4,N(U6300),IF(OR(NOT(COUNTIF('商品マスタ'!$B$6:$B$1005,$W6301)=0),COUNTIFS('①在庫を貼る'!$V$6:$V$10005,$V6301,'①在庫を貼る'!$W$6:$W$10005,$W6301)&gt;0),N(U6300),N(U6300)+1))</f>
        <v/>
      </c>
      <c r="V6301" s="19">
        <f>IF($B6301="","",TEXT($B6301,"0000"))</f>
        <v/>
      </c>
      <c r="W6301" s="19">
        <f>IF($I6301="","",IF(ISNUMBER($I6301),TEXT($I6301,"0"),$I6301))</f>
        <v/>
      </c>
    </row>
    <row r="6302">
      <c r="B6302" s="25" t="n"/>
      <c r="I6302" s="25" t="n"/>
      <c r="U6302" s="19">
        <f>IF($V6302&lt;&gt;'設定'!$C$4,N(U6301),IF(OR(NOT(COUNTIF('商品マスタ'!$B$6:$B$1005,$W6302)=0),COUNTIFS('①在庫を貼る'!$V$6:$V$10005,$V6302,'①在庫を貼る'!$W$6:$W$10005,$W6302)&gt;0),N(U6301),N(U6301)+1))</f>
        <v/>
      </c>
      <c r="V6302" s="19">
        <f>IF($B6302="","",TEXT($B6302,"0000"))</f>
        <v/>
      </c>
      <c r="W6302" s="19">
        <f>IF($I6302="","",IF(ISNUMBER($I6302),TEXT($I6302,"0"),$I6302))</f>
        <v/>
      </c>
    </row>
    <row r="6303">
      <c r="B6303" s="25" t="n"/>
      <c r="I6303" s="25" t="n"/>
      <c r="U6303" s="19">
        <f>IF($V6303&lt;&gt;'設定'!$C$4,N(U6302),IF(OR(NOT(COUNTIF('商品マスタ'!$B$6:$B$1005,$W6303)=0),COUNTIFS('①在庫を貼る'!$V$6:$V$10005,$V6303,'①在庫を貼る'!$W$6:$W$10005,$W6303)&gt;0),N(U6302),N(U6302)+1))</f>
        <v/>
      </c>
      <c r="V6303" s="19">
        <f>IF($B6303="","",TEXT($B6303,"0000"))</f>
        <v/>
      </c>
      <c r="W6303" s="19">
        <f>IF($I6303="","",IF(ISNUMBER($I6303),TEXT($I6303,"0"),$I6303))</f>
        <v/>
      </c>
    </row>
    <row r="6304">
      <c r="B6304" s="25" t="n"/>
      <c r="I6304" s="25" t="n"/>
      <c r="U6304" s="19">
        <f>IF($V6304&lt;&gt;'設定'!$C$4,N(U6303),IF(OR(NOT(COUNTIF('商品マスタ'!$B$6:$B$1005,$W6304)=0),COUNTIFS('①在庫を貼る'!$V$6:$V$10005,$V6304,'①在庫を貼る'!$W$6:$W$10005,$W6304)&gt;0),N(U6303),N(U6303)+1))</f>
        <v/>
      </c>
      <c r="V6304" s="19">
        <f>IF($B6304="","",TEXT($B6304,"0000"))</f>
        <v/>
      </c>
      <c r="W6304" s="19">
        <f>IF($I6304="","",IF(ISNUMBER($I6304),TEXT($I6304,"0"),$I6304))</f>
        <v/>
      </c>
    </row>
    <row r="6305">
      <c r="B6305" s="25" t="n"/>
      <c r="I6305" s="25" t="n"/>
      <c r="U6305" s="19">
        <f>IF($V6305&lt;&gt;'設定'!$C$4,N(U6304),IF(OR(NOT(COUNTIF('商品マスタ'!$B$6:$B$1005,$W6305)=0),COUNTIFS('①在庫を貼る'!$V$6:$V$10005,$V6305,'①在庫を貼る'!$W$6:$W$10005,$W6305)&gt;0),N(U6304),N(U6304)+1))</f>
        <v/>
      </c>
      <c r="V6305" s="19">
        <f>IF($B6305="","",TEXT($B6305,"0000"))</f>
        <v/>
      </c>
      <c r="W6305" s="19">
        <f>IF($I6305="","",IF(ISNUMBER($I6305),TEXT($I6305,"0"),$I6305))</f>
        <v/>
      </c>
    </row>
    <row r="6306">
      <c r="B6306" s="25" t="n"/>
      <c r="I6306" s="25" t="n"/>
      <c r="U6306" s="19">
        <f>IF($V6306&lt;&gt;'設定'!$C$4,N(U6305),IF(OR(NOT(COUNTIF('商品マスタ'!$B$6:$B$1005,$W6306)=0),COUNTIFS('①在庫を貼る'!$V$6:$V$10005,$V6306,'①在庫を貼る'!$W$6:$W$10005,$W6306)&gt;0),N(U6305),N(U6305)+1))</f>
        <v/>
      </c>
      <c r="V6306" s="19">
        <f>IF($B6306="","",TEXT($B6306,"0000"))</f>
        <v/>
      </c>
      <c r="W6306" s="19">
        <f>IF($I6306="","",IF(ISNUMBER($I6306),TEXT($I6306,"0"),$I6306))</f>
        <v/>
      </c>
    </row>
    <row r="6307">
      <c r="B6307" s="25" t="n"/>
      <c r="I6307" s="25" t="n"/>
      <c r="U6307" s="19">
        <f>IF($V6307&lt;&gt;'設定'!$C$4,N(U6306),IF(OR(NOT(COUNTIF('商品マスタ'!$B$6:$B$1005,$W6307)=0),COUNTIFS('①在庫を貼る'!$V$6:$V$10005,$V6307,'①在庫を貼る'!$W$6:$W$10005,$W6307)&gt;0),N(U6306),N(U6306)+1))</f>
        <v/>
      </c>
      <c r="V6307" s="19">
        <f>IF($B6307="","",TEXT($B6307,"0000"))</f>
        <v/>
      </c>
      <c r="W6307" s="19">
        <f>IF($I6307="","",IF(ISNUMBER($I6307),TEXT($I6307,"0"),$I6307))</f>
        <v/>
      </c>
    </row>
    <row r="6308">
      <c r="B6308" s="25" t="n"/>
      <c r="I6308" s="25" t="n"/>
      <c r="U6308" s="19">
        <f>IF($V6308&lt;&gt;'設定'!$C$4,N(U6307),IF(OR(NOT(COUNTIF('商品マスタ'!$B$6:$B$1005,$W6308)=0),COUNTIFS('①在庫を貼る'!$V$6:$V$10005,$V6308,'①在庫を貼る'!$W$6:$W$10005,$W6308)&gt;0),N(U6307),N(U6307)+1))</f>
        <v/>
      </c>
      <c r="V6308" s="19">
        <f>IF($B6308="","",TEXT($B6308,"0000"))</f>
        <v/>
      </c>
      <c r="W6308" s="19">
        <f>IF($I6308="","",IF(ISNUMBER($I6308),TEXT($I6308,"0"),$I6308))</f>
        <v/>
      </c>
    </row>
    <row r="6309">
      <c r="B6309" s="25" t="n"/>
      <c r="I6309" s="25" t="n"/>
      <c r="U6309" s="19">
        <f>IF($V6309&lt;&gt;'設定'!$C$4,N(U6308),IF(OR(NOT(COUNTIF('商品マスタ'!$B$6:$B$1005,$W6309)=0),COUNTIFS('①在庫を貼る'!$V$6:$V$10005,$V6309,'①在庫を貼る'!$W$6:$W$10005,$W6309)&gt;0),N(U6308),N(U6308)+1))</f>
        <v/>
      </c>
      <c r="V6309" s="19">
        <f>IF($B6309="","",TEXT($B6309,"0000"))</f>
        <v/>
      </c>
      <c r="W6309" s="19">
        <f>IF($I6309="","",IF(ISNUMBER($I6309),TEXT($I6309,"0"),$I6309))</f>
        <v/>
      </c>
    </row>
    <row r="6310">
      <c r="B6310" s="25" t="n"/>
      <c r="I6310" s="25" t="n"/>
      <c r="U6310" s="19">
        <f>IF($V6310&lt;&gt;'設定'!$C$4,N(U6309),IF(OR(NOT(COUNTIF('商品マスタ'!$B$6:$B$1005,$W6310)=0),COUNTIFS('①在庫を貼る'!$V$6:$V$10005,$V6310,'①在庫を貼る'!$W$6:$W$10005,$W6310)&gt;0),N(U6309),N(U6309)+1))</f>
        <v/>
      </c>
      <c r="V6310" s="19">
        <f>IF($B6310="","",TEXT($B6310,"0000"))</f>
        <v/>
      </c>
      <c r="W6310" s="19">
        <f>IF($I6310="","",IF(ISNUMBER($I6310),TEXT($I6310,"0"),$I6310))</f>
        <v/>
      </c>
    </row>
    <row r="6311">
      <c r="B6311" s="25" t="n"/>
      <c r="I6311" s="25" t="n"/>
      <c r="U6311" s="19">
        <f>IF($V6311&lt;&gt;'設定'!$C$4,N(U6310),IF(OR(NOT(COUNTIF('商品マスタ'!$B$6:$B$1005,$W6311)=0),COUNTIFS('①在庫を貼る'!$V$6:$V$10005,$V6311,'①在庫を貼る'!$W$6:$W$10005,$W6311)&gt;0),N(U6310),N(U6310)+1))</f>
        <v/>
      </c>
      <c r="V6311" s="19">
        <f>IF($B6311="","",TEXT($B6311,"0000"))</f>
        <v/>
      </c>
      <c r="W6311" s="19">
        <f>IF($I6311="","",IF(ISNUMBER($I6311),TEXT($I6311,"0"),$I6311))</f>
        <v/>
      </c>
    </row>
    <row r="6312">
      <c r="B6312" s="25" t="n"/>
      <c r="I6312" s="25" t="n"/>
      <c r="U6312" s="19">
        <f>IF($V6312&lt;&gt;'設定'!$C$4,N(U6311),IF(OR(NOT(COUNTIF('商品マスタ'!$B$6:$B$1005,$W6312)=0),COUNTIFS('①在庫を貼る'!$V$6:$V$10005,$V6312,'①在庫を貼る'!$W$6:$W$10005,$W6312)&gt;0),N(U6311),N(U6311)+1))</f>
        <v/>
      </c>
      <c r="V6312" s="19">
        <f>IF($B6312="","",TEXT($B6312,"0000"))</f>
        <v/>
      </c>
      <c r="W6312" s="19">
        <f>IF($I6312="","",IF(ISNUMBER($I6312),TEXT($I6312,"0"),$I6312))</f>
        <v/>
      </c>
    </row>
    <row r="6313">
      <c r="B6313" s="25" t="n"/>
      <c r="I6313" s="25" t="n"/>
      <c r="U6313" s="19">
        <f>IF($V6313&lt;&gt;'設定'!$C$4,N(U6312),IF(OR(NOT(COUNTIF('商品マスタ'!$B$6:$B$1005,$W6313)=0),COUNTIFS('①在庫を貼る'!$V$6:$V$10005,$V6313,'①在庫を貼る'!$W$6:$W$10005,$W6313)&gt;0),N(U6312),N(U6312)+1))</f>
        <v/>
      </c>
      <c r="V6313" s="19">
        <f>IF($B6313="","",TEXT($B6313,"0000"))</f>
        <v/>
      </c>
      <c r="W6313" s="19">
        <f>IF($I6313="","",IF(ISNUMBER($I6313),TEXT($I6313,"0"),$I6313))</f>
        <v/>
      </c>
    </row>
    <row r="6314">
      <c r="B6314" s="25" t="n"/>
      <c r="I6314" s="25" t="n"/>
      <c r="U6314" s="19">
        <f>IF($V6314&lt;&gt;'設定'!$C$4,N(U6313),IF(OR(NOT(COUNTIF('商品マスタ'!$B$6:$B$1005,$W6314)=0),COUNTIFS('①在庫を貼る'!$V$6:$V$10005,$V6314,'①在庫を貼る'!$W$6:$W$10005,$W6314)&gt;0),N(U6313),N(U6313)+1))</f>
        <v/>
      </c>
      <c r="V6314" s="19">
        <f>IF($B6314="","",TEXT($B6314,"0000"))</f>
        <v/>
      </c>
      <c r="W6314" s="19">
        <f>IF($I6314="","",IF(ISNUMBER($I6314),TEXT($I6314,"0"),$I6314))</f>
        <v/>
      </c>
    </row>
    <row r="6315">
      <c r="B6315" s="25" t="n"/>
      <c r="I6315" s="25" t="n"/>
      <c r="U6315" s="19">
        <f>IF($V6315&lt;&gt;'設定'!$C$4,N(U6314),IF(OR(NOT(COUNTIF('商品マスタ'!$B$6:$B$1005,$W6315)=0),COUNTIFS('①在庫を貼る'!$V$6:$V$10005,$V6315,'①在庫を貼る'!$W$6:$W$10005,$W6315)&gt;0),N(U6314),N(U6314)+1))</f>
        <v/>
      </c>
      <c r="V6315" s="19">
        <f>IF($B6315="","",TEXT($B6315,"0000"))</f>
        <v/>
      </c>
      <c r="W6315" s="19">
        <f>IF($I6315="","",IF(ISNUMBER($I6315),TEXT($I6315,"0"),$I6315))</f>
        <v/>
      </c>
    </row>
    <row r="6316">
      <c r="B6316" s="25" t="n"/>
      <c r="I6316" s="25" t="n"/>
      <c r="U6316" s="19">
        <f>IF($V6316&lt;&gt;'設定'!$C$4,N(U6315),IF(OR(NOT(COUNTIF('商品マスタ'!$B$6:$B$1005,$W6316)=0),COUNTIFS('①在庫を貼る'!$V$6:$V$10005,$V6316,'①在庫を貼る'!$W$6:$W$10005,$W6316)&gt;0),N(U6315),N(U6315)+1))</f>
        <v/>
      </c>
      <c r="V6316" s="19">
        <f>IF($B6316="","",TEXT($B6316,"0000"))</f>
        <v/>
      </c>
      <c r="W6316" s="19">
        <f>IF($I6316="","",IF(ISNUMBER($I6316),TEXT($I6316,"0"),$I6316))</f>
        <v/>
      </c>
    </row>
    <row r="6317">
      <c r="B6317" s="25" t="n"/>
      <c r="I6317" s="25" t="n"/>
      <c r="U6317" s="19">
        <f>IF($V6317&lt;&gt;'設定'!$C$4,N(U6316),IF(OR(NOT(COUNTIF('商品マスタ'!$B$6:$B$1005,$W6317)=0),COUNTIFS('①在庫を貼る'!$V$6:$V$10005,$V6317,'①在庫を貼る'!$W$6:$W$10005,$W6317)&gt;0),N(U6316),N(U6316)+1))</f>
        <v/>
      </c>
      <c r="V6317" s="19">
        <f>IF($B6317="","",TEXT($B6317,"0000"))</f>
        <v/>
      </c>
      <c r="W6317" s="19">
        <f>IF($I6317="","",IF(ISNUMBER($I6317),TEXT($I6317,"0"),$I6317))</f>
        <v/>
      </c>
    </row>
    <row r="6318">
      <c r="B6318" s="25" t="n"/>
      <c r="I6318" s="25" t="n"/>
      <c r="U6318" s="19">
        <f>IF($V6318&lt;&gt;'設定'!$C$4,N(U6317),IF(OR(NOT(COUNTIF('商品マスタ'!$B$6:$B$1005,$W6318)=0),COUNTIFS('①在庫を貼る'!$V$6:$V$10005,$V6318,'①在庫を貼る'!$W$6:$W$10005,$W6318)&gt;0),N(U6317),N(U6317)+1))</f>
        <v/>
      </c>
      <c r="V6318" s="19">
        <f>IF($B6318="","",TEXT($B6318,"0000"))</f>
        <v/>
      </c>
      <c r="W6318" s="19">
        <f>IF($I6318="","",IF(ISNUMBER($I6318),TEXT($I6318,"0"),$I6318))</f>
        <v/>
      </c>
    </row>
    <row r="6319">
      <c r="B6319" s="25" t="n"/>
      <c r="I6319" s="25" t="n"/>
      <c r="U6319" s="19">
        <f>IF($V6319&lt;&gt;'設定'!$C$4,N(U6318),IF(OR(NOT(COUNTIF('商品マスタ'!$B$6:$B$1005,$W6319)=0),COUNTIFS('①在庫を貼る'!$V$6:$V$10005,$V6319,'①在庫を貼る'!$W$6:$W$10005,$W6319)&gt;0),N(U6318),N(U6318)+1))</f>
        <v/>
      </c>
      <c r="V6319" s="19">
        <f>IF($B6319="","",TEXT($B6319,"0000"))</f>
        <v/>
      </c>
      <c r="W6319" s="19">
        <f>IF($I6319="","",IF(ISNUMBER($I6319),TEXT($I6319,"0"),$I6319))</f>
        <v/>
      </c>
    </row>
    <row r="6320">
      <c r="B6320" s="25" t="n"/>
      <c r="I6320" s="25" t="n"/>
      <c r="U6320" s="19">
        <f>IF($V6320&lt;&gt;'設定'!$C$4,N(U6319),IF(OR(NOT(COUNTIF('商品マスタ'!$B$6:$B$1005,$W6320)=0),COUNTIFS('①在庫を貼る'!$V$6:$V$10005,$V6320,'①在庫を貼る'!$W$6:$W$10005,$W6320)&gt;0),N(U6319),N(U6319)+1))</f>
        <v/>
      </c>
      <c r="V6320" s="19">
        <f>IF($B6320="","",TEXT($B6320,"0000"))</f>
        <v/>
      </c>
      <c r="W6320" s="19">
        <f>IF($I6320="","",IF(ISNUMBER($I6320),TEXT($I6320,"0"),$I6320))</f>
        <v/>
      </c>
    </row>
    <row r="6321">
      <c r="B6321" s="25" t="n"/>
      <c r="I6321" s="25" t="n"/>
      <c r="U6321" s="19">
        <f>IF($V6321&lt;&gt;'設定'!$C$4,N(U6320),IF(OR(NOT(COUNTIF('商品マスタ'!$B$6:$B$1005,$W6321)=0),COUNTIFS('①在庫を貼る'!$V$6:$V$10005,$V6321,'①在庫を貼る'!$W$6:$W$10005,$W6321)&gt;0),N(U6320),N(U6320)+1))</f>
        <v/>
      </c>
      <c r="V6321" s="19">
        <f>IF($B6321="","",TEXT($B6321,"0000"))</f>
        <v/>
      </c>
      <c r="W6321" s="19">
        <f>IF($I6321="","",IF(ISNUMBER($I6321),TEXT($I6321,"0"),$I6321))</f>
        <v/>
      </c>
    </row>
    <row r="6322">
      <c r="B6322" s="25" t="n"/>
      <c r="I6322" s="25" t="n"/>
      <c r="U6322" s="19">
        <f>IF($V6322&lt;&gt;'設定'!$C$4,N(U6321),IF(OR(NOT(COUNTIF('商品マスタ'!$B$6:$B$1005,$W6322)=0),COUNTIFS('①在庫を貼る'!$V$6:$V$10005,$V6322,'①在庫を貼る'!$W$6:$W$10005,$W6322)&gt;0),N(U6321),N(U6321)+1))</f>
        <v/>
      </c>
      <c r="V6322" s="19">
        <f>IF($B6322="","",TEXT($B6322,"0000"))</f>
        <v/>
      </c>
      <c r="W6322" s="19">
        <f>IF($I6322="","",IF(ISNUMBER($I6322),TEXT($I6322,"0"),$I6322))</f>
        <v/>
      </c>
    </row>
    <row r="6323">
      <c r="B6323" s="25" t="n"/>
      <c r="I6323" s="25" t="n"/>
      <c r="U6323" s="19">
        <f>IF($V6323&lt;&gt;'設定'!$C$4,N(U6322),IF(OR(NOT(COUNTIF('商品マスタ'!$B$6:$B$1005,$W6323)=0),COUNTIFS('①在庫を貼る'!$V$6:$V$10005,$V6323,'①在庫を貼る'!$W$6:$W$10005,$W6323)&gt;0),N(U6322),N(U6322)+1))</f>
        <v/>
      </c>
      <c r="V6323" s="19">
        <f>IF($B6323="","",TEXT($B6323,"0000"))</f>
        <v/>
      </c>
      <c r="W6323" s="19">
        <f>IF($I6323="","",IF(ISNUMBER($I6323),TEXT($I6323,"0"),$I6323))</f>
        <v/>
      </c>
    </row>
    <row r="6324">
      <c r="B6324" s="25" t="n"/>
      <c r="I6324" s="25" t="n"/>
      <c r="U6324" s="19">
        <f>IF($V6324&lt;&gt;'設定'!$C$4,N(U6323),IF(OR(NOT(COUNTIF('商品マスタ'!$B$6:$B$1005,$W6324)=0),COUNTIFS('①在庫を貼る'!$V$6:$V$10005,$V6324,'①在庫を貼る'!$W$6:$W$10005,$W6324)&gt;0),N(U6323),N(U6323)+1))</f>
        <v/>
      </c>
      <c r="V6324" s="19">
        <f>IF($B6324="","",TEXT($B6324,"0000"))</f>
        <v/>
      </c>
      <c r="W6324" s="19">
        <f>IF($I6324="","",IF(ISNUMBER($I6324),TEXT($I6324,"0"),$I6324))</f>
        <v/>
      </c>
    </row>
    <row r="6325">
      <c r="B6325" s="25" t="n"/>
      <c r="I6325" s="25" t="n"/>
      <c r="U6325" s="19">
        <f>IF($V6325&lt;&gt;'設定'!$C$4,N(U6324),IF(OR(NOT(COUNTIF('商品マスタ'!$B$6:$B$1005,$W6325)=0),COUNTIFS('①在庫を貼る'!$V$6:$V$10005,$V6325,'①在庫を貼る'!$W$6:$W$10005,$W6325)&gt;0),N(U6324),N(U6324)+1))</f>
        <v/>
      </c>
      <c r="V6325" s="19">
        <f>IF($B6325="","",TEXT($B6325,"0000"))</f>
        <v/>
      </c>
      <c r="W6325" s="19">
        <f>IF($I6325="","",IF(ISNUMBER($I6325),TEXT($I6325,"0"),$I6325))</f>
        <v/>
      </c>
    </row>
    <row r="6326">
      <c r="B6326" s="25" t="n"/>
      <c r="I6326" s="25" t="n"/>
      <c r="U6326" s="19">
        <f>IF($V6326&lt;&gt;'設定'!$C$4,N(U6325),IF(OR(NOT(COUNTIF('商品マスタ'!$B$6:$B$1005,$W6326)=0),COUNTIFS('①在庫を貼る'!$V$6:$V$10005,$V6326,'①在庫を貼る'!$W$6:$W$10005,$W6326)&gt;0),N(U6325),N(U6325)+1))</f>
        <v/>
      </c>
      <c r="V6326" s="19">
        <f>IF($B6326="","",TEXT($B6326,"0000"))</f>
        <v/>
      </c>
      <c r="W6326" s="19">
        <f>IF($I6326="","",IF(ISNUMBER($I6326),TEXT($I6326,"0"),$I6326))</f>
        <v/>
      </c>
    </row>
    <row r="6327">
      <c r="B6327" s="25" t="n"/>
      <c r="I6327" s="25" t="n"/>
      <c r="U6327" s="19">
        <f>IF($V6327&lt;&gt;'設定'!$C$4,N(U6326),IF(OR(NOT(COUNTIF('商品マスタ'!$B$6:$B$1005,$W6327)=0),COUNTIFS('①在庫を貼る'!$V$6:$V$10005,$V6327,'①在庫を貼る'!$W$6:$W$10005,$W6327)&gt;0),N(U6326),N(U6326)+1))</f>
        <v/>
      </c>
      <c r="V6327" s="19">
        <f>IF($B6327="","",TEXT($B6327,"0000"))</f>
        <v/>
      </c>
      <c r="W6327" s="19">
        <f>IF($I6327="","",IF(ISNUMBER($I6327),TEXT($I6327,"0"),$I6327))</f>
        <v/>
      </c>
    </row>
    <row r="6328">
      <c r="B6328" s="25" t="n"/>
      <c r="I6328" s="25" t="n"/>
      <c r="U6328" s="19">
        <f>IF($V6328&lt;&gt;'設定'!$C$4,N(U6327),IF(OR(NOT(COUNTIF('商品マスタ'!$B$6:$B$1005,$W6328)=0),COUNTIFS('①在庫を貼る'!$V$6:$V$10005,$V6328,'①在庫を貼る'!$W$6:$W$10005,$W6328)&gt;0),N(U6327),N(U6327)+1))</f>
        <v/>
      </c>
      <c r="V6328" s="19">
        <f>IF($B6328="","",TEXT($B6328,"0000"))</f>
        <v/>
      </c>
      <c r="W6328" s="19">
        <f>IF($I6328="","",IF(ISNUMBER($I6328),TEXT($I6328,"0"),$I6328))</f>
        <v/>
      </c>
    </row>
    <row r="6329">
      <c r="B6329" s="25" t="n"/>
      <c r="I6329" s="25" t="n"/>
      <c r="U6329" s="19">
        <f>IF($V6329&lt;&gt;'設定'!$C$4,N(U6328),IF(OR(NOT(COUNTIF('商品マスタ'!$B$6:$B$1005,$W6329)=0),COUNTIFS('①在庫を貼る'!$V$6:$V$10005,$V6329,'①在庫を貼る'!$W$6:$W$10005,$W6329)&gt;0),N(U6328),N(U6328)+1))</f>
        <v/>
      </c>
      <c r="V6329" s="19">
        <f>IF($B6329="","",TEXT($B6329,"0000"))</f>
        <v/>
      </c>
      <c r="W6329" s="19">
        <f>IF($I6329="","",IF(ISNUMBER($I6329),TEXT($I6329,"0"),$I6329))</f>
        <v/>
      </c>
    </row>
    <row r="6330">
      <c r="B6330" s="25" t="n"/>
      <c r="I6330" s="25" t="n"/>
      <c r="U6330" s="19">
        <f>IF($V6330&lt;&gt;'設定'!$C$4,N(U6329),IF(OR(NOT(COUNTIF('商品マスタ'!$B$6:$B$1005,$W6330)=0),COUNTIFS('①在庫を貼る'!$V$6:$V$10005,$V6330,'①在庫を貼る'!$W$6:$W$10005,$W6330)&gt;0),N(U6329),N(U6329)+1))</f>
        <v/>
      </c>
      <c r="V6330" s="19">
        <f>IF($B6330="","",TEXT($B6330,"0000"))</f>
        <v/>
      </c>
      <c r="W6330" s="19">
        <f>IF($I6330="","",IF(ISNUMBER($I6330),TEXT($I6330,"0"),$I6330))</f>
        <v/>
      </c>
    </row>
    <row r="6331">
      <c r="B6331" s="25" t="n"/>
      <c r="I6331" s="25" t="n"/>
      <c r="U6331" s="19">
        <f>IF($V6331&lt;&gt;'設定'!$C$4,N(U6330),IF(OR(NOT(COUNTIF('商品マスタ'!$B$6:$B$1005,$W6331)=0),COUNTIFS('①在庫を貼る'!$V$6:$V$10005,$V6331,'①在庫を貼る'!$W$6:$W$10005,$W6331)&gt;0),N(U6330),N(U6330)+1))</f>
        <v/>
      </c>
      <c r="V6331" s="19">
        <f>IF($B6331="","",TEXT($B6331,"0000"))</f>
        <v/>
      </c>
      <c r="W6331" s="19">
        <f>IF($I6331="","",IF(ISNUMBER($I6331),TEXT($I6331,"0"),$I6331))</f>
        <v/>
      </c>
    </row>
    <row r="6332">
      <c r="B6332" s="25" t="n"/>
      <c r="I6332" s="25" t="n"/>
      <c r="U6332" s="19">
        <f>IF($V6332&lt;&gt;'設定'!$C$4,N(U6331),IF(OR(NOT(COUNTIF('商品マスタ'!$B$6:$B$1005,$W6332)=0),COUNTIFS('①在庫を貼る'!$V$6:$V$10005,$V6332,'①在庫を貼る'!$W$6:$W$10005,$W6332)&gt;0),N(U6331),N(U6331)+1))</f>
        <v/>
      </c>
      <c r="V6332" s="19">
        <f>IF($B6332="","",TEXT($B6332,"0000"))</f>
        <v/>
      </c>
      <c r="W6332" s="19">
        <f>IF($I6332="","",IF(ISNUMBER($I6332),TEXT($I6332,"0"),$I6332))</f>
        <v/>
      </c>
    </row>
    <row r="6333">
      <c r="B6333" s="25" t="n"/>
      <c r="I6333" s="25" t="n"/>
      <c r="U6333" s="19">
        <f>IF($V6333&lt;&gt;'設定'!$C$4,N(U6332),IF(OR(NOT(COUNTIF('商品マスタ'!$B$6:$B$1005,$W6333)=0),COUNTIFS('①在庫を貼る'!$V$6:$V$10005,$V6333,'①在庫を貼る'!$W$6:$W$10005,$W6333)&gt;0),N(U6332),N(U6332)+1))</f>
        <v/>
      </c>
      <c r="V6333" s="19">
        <f>IF($B6333="","",TEXT($B6333,"0000"))</f>
        <v/>
      </c>
      <c r="W6333" s="19">
        <f>IF($I6333="","",IF(ISNUMBER($I6333),TEXT($I6333,"0"),$I6333))</f>
        <v/>
      </c>
    </row>
    <row r="6334">
      <c r="B6334" s="25" t="n"/>
      <c r="I6334" s="25" t="n"/>
      <c r="U6334" s="19">
        <f>IF($V6334&lt;&gt;'設定'!$C$4,N(U6333),IF(OR(NOT(COUNTIF('商品マスタ'!$B$6:$B$1005,$W6334)=0),COUNTIFS('①在庫を貼る'!$V$6:$V$10005,$V6334,'①在庫を貼る'!$W$6:$W$10005,$W6334)&gt;0),N(U6333),N(U6333)+1))</f>
        <v/>
      </c>
      <c r="V6334" s="19">
        <f>IF($B6334="","",TEXT($B6334,"0000"))</f>
        <v/>
      </c>
      <c r="W6334" s="19">
        <f>IF($I6334="","",IF(ISNUMBER($I6334),TEXT($I6334,"0"),$I6334))</f>
        <v/>
      </c>
    </row>
    <row r="6335">
      <c r="B6335" s="25" t="n"/>
      <c r="I6335" s="25" t="n"/>
      <c r="U6335" s="19">
        <f>IF($V6335&lt;&gt;'設定'!$C$4,N(U6334),IF(OR(NOT(COUNTIF('商品マスタ'!$B$6:$B$1005,$W6335)=0),COUNTIFS('①在庫を貼る'!$V$6:$V$10005,$V6335,'①在庫を貼る'!$W$6:$W$10005,$W6335)&gt;0),N(U6334),N(U6334)+1))</f>
        <v/>
      </c>
      <c r="V6335" s="19">
        <f>IF($B6335="","",TEXT($B6335,"0000"))</f>
        <v/>
      </c>
      <c r="W6335" s="19">
        <f>IF($I6335="","",IF(ISNUMBER($I6335),TEXT($I6335,"0"),$I6335))</f>
        <v/>
      </c>
    </row>
    <row r="6336">
      <c r="B6336" s="25" t="n"/>
      <c r="I6336" s="25" t="n"/>
      <c r="U6336" s="19">
        <f>IF($V6336&lt;&gt;'設定'!$C$4,N(U6335),IF(OR(NOT(COUNTIF('商品マスタ'!$B$6:$B$1005,$W6336)=0),COUNTIFS('①在庫を貼る'!$V$6:$V$10005,$V6336,'①在庫を貼る'!$W$6:$W$10005,$W6336)&gt;0),N(U6335),N(U6335)+1))</f>
        <v/>
      </c>
      <c r="V6336" s="19">
        <f>IF($B6336="","",TEXT($B6336,"0000"))</f>
        <v/>
      </c>
      <c r="W6336" s="19">
        <f>IF($I6336="","",IF(ISNUMBER($I6336),TEXT($I6336,"0"),$I6336))</f>
        <v/>
      </c>
    </row>
    <row r="6337">
      <c r="B6337" s="25" t="n"/>
      <c r="I6337" s="25" t="n"/>
      <c r="U6337" s="19">
        <f>IF($V6337&lt;&gt;'設定'!$C$4,N(U6336),IF(OR(NOT(COUNTIF('商品マスタ'!$B$6:$B$1005,$W6337)=0),COUNTIFS('①在庫を貼る'!$V$6:$V$10005,$V6337,'①在庫を貼る'!$W$6:$W$10005,$W6337)&gt;0),N(U6336),N(U6336)+1))</f>
        <v/>
      </c>
      <c r="V6337" s="19">
        <f>IF($B6337="","",TEXT($B6337,"0000"))</f>
        <v/>
      </c>
      <c r="W6337" s="19">
        <f>IF($I6337="","",IF(ISNUMBER($I6337),TEXT($I6337,"0"),$I6337))</f>
        <v/>
      </c>
    </row>
    <row r="6338">
      <c r="B6338" s="25" t="n"/>
      <c r="I6338" s="25" t="n"/>
      <c r="U6338" s="19">
        <f>IF($V6338&lt;&gt;'設定'!$C$4,N(U6337),IF(OR(NOT(COUNTIF('商品マスタ'!$B$6:$B$1005,$W6338)=0),COUNTIFS('①在庫を貼る'!$V$6:$V$10005,$V6338,'①在庫を貼る'!$W$6:$W$10005,$W6338)&gt;0),N(U6337),N(U6337)+1))</f>
        <v/>
      </c>
      <c r="V6338" s="19">
        <f>IF($B6338="","",TEXT($B6338,"0000"))</f>
        <v/>
      </c>
      <c r="W6338" s="19">
        <f>IF($I6338="","",IF(ISNUMBER($I6338),TEXT($I6338,"0"),$I6338))</f>
        <v/>
      </c>
    </row>
    <row r="6339">
      <c r="B6339" s="25" t="n"/>
      <c r="I6339" s="25" t="n"/>
      <c r="U6339" s="19">
        <f>IF($V6339&lt;&gt;'設定'!$C$4,N(U6338),IF(OR(NOT(COUNTIF('商品マスタ'!$B$6:$B$1005,$W6339)=0),COUNTIFS('①在庫を貼る'!$V$6:$V$10005,$V6339,'①在庫を貼る'!$W$6:$W$10005,$W6339)&gt;0),N(U6338),N(U6338)+1))</f>
        <v/>
      </c>
      <c r="V6339" s="19">
        <f>IF($B6339="","",TEXT($B6339,"0000"))</f>
        <v/>
      </c>
      <c r="W6339" s="19">
        <f>IF($I6339="","",IF(ISNUMBER($I6339),TEXT($I6339,"0"),$I6339))</f>
        <v/>
      </c>
    </row>
    <row r="6340">
      <c r="B6340" s="25" t="n"/>
      <c r="I6340" s="25" t="n"/>
      <c r="U6340" s="19">
        <f>IF($V6340&lt;&gt;'設定'!$C$4,N(U6339),IF(OR(NOT(COUNTIF('商品マスタ'!$B$6:$B$1005,$W6340)=0),COUNTIFS('①在庫を貼る'!$V$6:$V$10005,$V6340,'①在庫を貼る'!$W$6:$W$10005,$W6340)&gt;0),N(U6339),N(U6339)+1))</f>
        <v/>
      </c>
      <c r="V6340" s="19">
        <f>IF($B6340="","",TEXT($B6340,"0000"))</f>
        <v/>
      </c>
      <c r="W6340" s="19">
        <f>IF($I6340="","",IF(ISNUMBER($I6340),TEXT($I6340,"0"),$I6340))</f>
        <v/>
      </c>
    </row>
    <row r="6341">
      <c r="B6341" s="25" t="n"/>
      <c r="I6341" s="25" t="n"/>
      <c r="U6341" s="19">
        <f>IF($V6341&lt;&gt;'設定'!$C$4,N(U6340),IF(OR(NOT(COUNTIF('商品マスタ'!$B$6:$B$1005,$W6341)=0),COUNTIFS('①在庫を貼る'!$V$6:$V$10005,$V6341,'①在庫を貼る'!$W$6:$W$10005,$W6341)&gt;0),N(U6340),N(U6340)+1))</f>
        <v/>
      </c>
      <c r="V6341" s="19">
        <f>IF($B6341="","",TEXT($B6341,"0000"))</f>
        <v/>
      </c>
      <c r="W6341" s="19">
        <f>IF($I6341="","",IF(ISNUMBER($I6341),TEXT($I6341,"0"),$I6341))</f>
        <v/>
      </c>
    </row>
    <row r="6342">
      <c r="B6342" s="25" t="n"/>
      <c r="I6342" s="25" t="n"/>
      <c r="U6342" s="19">
        <f>IF($V6342&lt;&gt;'設定'!$C$4,N(U6341),IF(OR(NOT(COUNTIF('商品マスタ'!$B$6:$B$1005,$W6342)=0),COUNTIFS('①在庫を貼る'!$V$6:$V$10005,$V6342,'①在庫を貼る'!$W$6:$W$10005,$W6342)&gt;0),N(U6341),N(U6341)+1))</f>
        <v/>
      </c>
      <c r="V6342" s="19">
        <f>IF($B6342="","",TEXT($B6342,"0000"))</f>
        <v/>
      </c>
      <c r="W6342" s="19">
        <f>IF($I6342="","",IF(ISNUMBER($I6342),TEXT($I6342,"0"),$I6342))</f>
        <v/>
      </c>
    </row>
    <row r="6343">
      <c r="B6343" s="25" t="n"/>
      <c r="I6343" s="25" t="n"/>
      <c r="U6343" s="19">
        <f>IF($V6343&lt;&gt;'設定'!$C$4,N(U6342),IF(OR(NOT(COUNTIF('商品マスタ'!$B$6:$B$1005,$W6343)=0),COUNTIFS('①在庫を貼る'!$V$6:$V$10005,$V6343,'①在庫を貼る'!$W$6:$W$10005,$W6343)&gt;0),N(U6342),N(U6342)+1))</f>
        <v/>
      </c>
      <c r="V6343" s="19">
        <f>IF($B6343="","",TEXT($B6343,"0000"))</f>
        <v/>
      </c>
      <c r="W6343" s="19">
        <f>IF($I6343="","",IF(ISNUMBER($I6343),TEXT($I6343,"0"),$I6343))</f>
        <v/>
      </c>
    </row>
    <row r="6344">
      <c r="B6344" s="25" t="n"/>
      <c r="I6344" s="25" t="n"/>
      <c r="U6344" s="19">
        <f>IF($V6344&lt;&gt;'設定'!$C$4,N(U6343),IF(OR(NOT(COUNTIF('商品マスタ'!$B$6:$B$1005,$W6344)=0),COUNTIFS('①在庫を貼る'!$V$6:$V$10005,$V6344,'①在庫を貼る'!$W$6:$W$10005,$W6344)&gt;0),N(U6343),N(U6343)+1))</f>
        <v/>
      </c>
      <c r="V6344" s="19">
        <f>IF($B6344="","",TEXT($B6344,"0000"))</f>
        <v/>
      </c>
      <c r="W6344" s="19">
        <f>IF($I6344="","",IF(ISNUMBER($I6344),TEXT($I6344,"0"),$I6344))</f>
        <v/>
      </c>
    </row>
    <row r="6345">
      <c r="B6345" s="25" t="n"/>
      <c r="I6345" s="25" t="n"/>
      <c r="U6345" s="19">
        <f>IF($V6345&lt;&gt;'設定'!$C$4,N(U6344),IF(OR(NOT(COUNTIF('商品マスタ'!$B$6:$B$1005,$W6345)=0),COUNTIFS('①在庫を貼る'!$V$6:$V$10005,$V6345,'①在庫を貼る'!$W$6:$W$10005,$W6345)&gt;0),N(U6344),N(U6344)+1))</f>
        <v/>
      </c>
      <c r="V6345" s="19">
        <f>IF($B6345="","",TEXT($B6345,"0000"))</f>
        <v/>
      </c>
      <c r="W6345" s="19">
        <f>IF($I6345="","",IF(ISNUMBER($I6345),TEXT($I6345,"0"),$I6345))</f>
        <v/>
      </c>
    </row>
    <row r="6346">
      <c r="B6346" s="25" t="n"/>
      <c r="I6346" s="25" t="n"/>
      <c r="U6346" s="19">
        <f>IF($V6346&lt;&gt;'設定'!$C$4,N(U6345),IF(OR(NOT(COUNTIF('商品マスタ'!$B$6:$B$1005,$W6346)=0),COUNTIFS('①在庫を貼る'!$V$6:$V$10005,$V6346,'①在庫を貼る'!$W$6:$W$10005,$W6346)&gt;0),N(U6345),N(U6345)+1))</f>
        <v/>
      </c>
      <c r="V6346" s="19">
        <f>IF($B6346="","",TEXT($B6346,"0000"))</f>
        <v/>
      </c>
      <c r="W6346" s="19">
        <f>IF($I6346="","",IF(ISNUMBER($I6346),TEXT($I6346,"0"),$I6346))</f>
        <v/>
      </c>
    </row>
    <row r="6347">
      <c r="B6347" s="25" t="n"/>
      <c r="I6347" s="25" t="n"/>
      <c r="U6347" s="19">
        <f>IF($V6347&lt;&gt;'設定'!$C$4,N(U6346),IF(OR(NOT(COUNTIF('商品マスタ'!$B$6:$B$1005,$W6347)=0),COUNTIFS('①在庫を貼る'!$V$6:$V$10005,$V6347,'①在庫を貼る'!$W$6:$W$10005,$W6347)&gt;0),N(U6346),N(U6346)+1))</f>
        <v/>
      </c>
      <c r="V6347" s="19">
        <f>IF($B6347="","",TEXT($B6347,"0000"))</f>
        <v/>
      </c>
      <c r="W6347" s="19">
        <f>IF($I6347="","",IF(ISNUMBER($I6347),TEXT($I6347,"0"),$I6347))</f>
        <v/>
      </c>
    </row>
    <row r="6348">
      <c r="B6348" s="25" t="n"/>
      <c r="I6348" s="25" t="n"/>
      <c r="U6348" s="19">
        <f>IF($V6348&lt;&gt;'設定'!$C$4,N(U6347),IF(OR(NOT(COUNTIF('商品マスタ'!$B$6:$B$1005,$W6348)=0),COUNTIFS('①在庫を貼る'!$V$6:$V$10005,$V6348,'①在庫を貼る'!$W$6:$W$10005,$W6348)&gt;0),N(U6347),N(U6347)+1))</f>
        <v/>
      </c>
      <c r="V6348" s="19">
        <f>IF($B6348="","",TEXT($B6348,"0000"))</f>
        <v/>
      </c>
      <c r="W6348" s="19">
        <f>IF($I6348="","",IF(ISNUMBER($I6348),TEXT($I6348,"0"),$I6348))</f>
        <v/>
      </c>
    </row>
    <row r="6349">
      <c r="B6349" s="25" t="n"/>
      <c r="I6349" s="25" t="n"/>
      <c r="U6349" s="19">
        <f>IF($V6349&lt;&gt;'設定'!$C$4,N(U6348),IF(OR(NOT(COUNTIF('商品マスタ'!$B$6:$B$1005,$W6349)=0),COUNTIFS('①在庫を貼る'!$V$6:$V$10005,$V6349,'①在庫を貼る'!$W$6:$W$10005,$W6349)&gt;0),N(U6348),N(U6348)+1))</f>
        <v/>
      </c>
      <c r="V6349" s="19">
        <f>IF($B6349="","",TEXT($B6349,"0000"))</f>
        <v/>
      </c>
      <c r="W6349" s="19">
        <f>IF($I6349="","",IF(ISNUMBER($I6349),TEXT($I6349,"0"),$I6349))</f>
        <v/>
      </c>
    </row>
    <row r="6350">
      <c r="B6350" s="25" t="n"/>
      <c r="I6350" s="25" t="n"/>
      <c r="U6350" s="19">
        <f>IF($V6350&lt;&gt;'設定'!$C$4,N(U6349),IF(OR(NOT(COUNTIF('商品マスタ'!$B$6:$B$1005,$W6350)=0),COUNTIFS('①在庫を貼る'!$V$6:$V$10005,$V6350,'①在庫を貼る'!$W$6:$W$10005,$W6350)&gt;0),N(U6349),N(U6349)+1))</f>
        <v/>
      </c>
      <c r="V6350" s="19">
        <f>IF($B6350="","",TEXT($B6350,"0000"))</f>
        <v/>
      </c>
      <c r="W6350" s="19">
        <f>IF($I6350="","",IF(ISNUMBER($I6350),TEXT($I6350,"0"),$I6350))</f>
        <v/>
      </c>
    </row>
    <row r="6351">
      <c r="B6351" s="25" t="n"/>
      <c r="I6351" s="25" t="n"/>
      <c r="U6351" s="19">
        <f>IF($V6351&lt;&gt;'設定'!$C$4,N(U6350),IF(OR(NOT(COUNTIF('商品マスタ'!$B$6:$B$1005,$W6351)=0),COUNTIFS('①在庫を貼る'!$V$6:$V$10005,$V6351,'①在庫を貼る'!$W$6:$W$10005,$W6351)&gt;0),N(U6350),N(U6350)+1))</f>
        <v/>
      </c>
      <c r="V6351" s="19">
        <f>IF($B6351="","",TEXT($B6351,"0000"))</f>
        <v/>
      </c>
      <c r="W6351" s="19">
        <f>IF($I6351="","",IF(ISNUMBER($I6351),TEXT($I6351,"0"),$I6351))</f>
        <v/>
      </c>
    </row>
    <row r="6352">
      <c r="B6352" s="25" t="n"/>
      <c r="I6352" s="25" t="n"/>
      <c r="U6352" s="19">
        <f>IF($V6352&lt;&gt;'設定'!$C$4,N(U6351),IF(OR(NOT(COUNTIF('商品マスタ'!$B$6:$B$1005,$W6352)=0),COUNTIFS('①在庫を貼る'!$V$6:$V$10005,$V6352,'①在庫を貼る'!$W$6:$W$10005,$W6352)&gt;0),N(U6351),N(U6351)+1))</f>
        <v/>
      </c>
      <c r="V6352" s="19">
        <f>IF($B6352="","",TEXT($B6352,"0000"))</f>
        <v/>
      </c>
      <c r="W6352" s="19">
        <f>IF($I6352="","",IF(ISNUMBER($I6352),TEXT($I6352,"0"),$I6352))</f>
        <v/>
      </c>
    </row>
    <row r="6353">
      <c r="B6353" s="25" t="n"/>
      <c r="I6353" s="25" t="n"/>
      <c r="U6353" s="19">
        <f>IF($V6353&lt;&gt;'設定'!$C$4,N(U6352),IF(OR(NOT(COUNTIF('商品マスタ'!$B$6:$B$1005,$W6353)=0),COUNTIFS('①在庫を貼る'!$V$6:$V$10005,$V6353,'①在庫を貼る'!$W$6:$W$10005,$W6353)&gt;0),N(U6352),N(U6352)+1))</f>
        <v/>
      </c>
      <c r="V6353" s="19">
        <f>IF($B6353="","",TEXT($B6353,"0000"))</f>
        <v/>
      </c>
      <c r="W6353" s="19">
        <f>IF($I6353="","",IF(ISNUMBER($I6353),TEXT($I6353,"0"),$I6353))</f>
        <v/>
      </c>
    </row>
    <row r="6354">
      <c r="B6354" s="25" t="n"/>
      <c r="I6354" s="25" t="n"/>
      <c r="U6354" s="19">
        <f>IF($V6354&lt;&gt;'設定'!$C$4,N(U6353),IF(OR(NOT(COUNTIF('商品マスタ'!$B$6:$B$1005,$W6354)=0),COUNTIFS('①在庫を貼る'!$V$6:$V$10005,$V6354,'①在庫を貼る'!$W$6:$W$10005,$W6354)&gt;0),N(U6353),N(U6353)+1))</f>
        <v/>
      </c>
      <c r="V6354" s="19">
        <f>IF($B6354="","",TEXT($B6354,"0000"))</f>
        <v/>
      </c>
      <c r="W6354" s="19">
        <f>IF($I6354="","",IF(ISNUMBER($I6354),TEXT($I6354,"0"),$I6354))</f>
        <v/>
      </c>
    </row>
    <row r="6355">
      <c r="B6355" s="25" t="n"/>
      <c r="I6355" s="25" t="n"/>
      <c r="U6355" s="19">
        <f>IF($V6355&lt;&gt;'設定'!$C$4,N(U6354),IF(OR(NOT(COUNTIF('商品マスタ'!$B$6:$B$1005,$W6355)=0),COUNTIFS('①在庫を貼る'!$V$6:$V$10005,$V6355,'①在庫を貼る'!$W$6:$W$10005,$W6355)&gt;0),N(U6354),N(U6354)+1))</f>
        <v/>
      </c>
      <c r="V6355" s="19">
        <f>IF($B6355="","",TEXT($B6355,"0000"))</f>
        <v/>
      </c>
      <c r="W6355" s="19">
        <f>IF($I6355="","",IF(ISNUMBER($I6355),TEXT($I6355,"0"),$I6355))</f>
        <v/>
      </c>
    </row>
    <row r="6356">
      <c r="B6356" s="25" t="n"/>
      <c r="I6356" s="25" t="n"/>
      <c r="U6356" s="19">
        <f>IF($V6356&lt;&gt;'設定'!$C$4,N(U6355),IF(OR(NOT(COUNTIF('商品マスタ'!$B$6:$B$1005,$W6356)=0),COUNTIFS('①在庫を貼る'!$V$6:$V$10005,$V6356,'①在庫を貼る'!$W$6:$W$10005,$W6356)&gt;0),N(U6355),N(U6355)+1))</f>
        <v/>
      </c>
      <c r="V6356" s="19">
        <f>IF($B6356="","",TEXT($B6356,"0000"))</f>
        <v/>
      </c>
      <c r="W6356" s="19">
        <f>IF($I6356="","",IF(ISNUMBER($I6356),TEXT($I6356,"0"),$I6356))</f>
        <v/>
      </c>
    </row>
    <row r="6357">
      <c r="B6357" s="25" t="n"/>
      <c r="I6357" s="25" t="n"/>
      <c r="U6357" s="19">
        <f>IF($V6357&lt;&gt;'設定'!$C$4,N(U6356),IF(OR(NOT(COUNTIF('商品マスタ'!$B$6:$B$1005,$W6357)=0),COUNTIFS('①在庫を貼る'!$V$6:$V$10005,$V6357,'①在庫を貼る'!$W$6:$W$10005,$W6357)&gt;0),N(U6356),N(U6356)+1))</f>
        <v/>
      </c>
      <c r="V6357" s="19">
        <f>IF($B6357="","",TEXT($B6357,"0000"))</f>
        <v/>
      </c>
      <c r="W6357" s="19">
        <f>IF($I6357="","",IF(ISNUMBER($I6357),TEXT($I6357,"0"),$I6357))</f>
        <v/>
      </c>
    </row>
    <row r="6358">
      <c r="B6358" s="25" t="n"/>
      <c r="I6358" s="25" t="n"/>
      <c r="U6358" s="19">
        <f>IF($V6358&lt;&gt;'設定'!$C$4,N(U6357),IF(OR(NOT(COUNTIF('商品マスタ'!$B$6:$B$1005,$W6358)=0),COUNTIFS('①在庫を貼る'!$V$6:$V$10005,$V6358,'①在庫を貼る'!$W$6:$W$10005,$W6358)&gt;0),N(U6357),N(U6357)+1))</f>
        <v/>
      </c>
      <c r="V6358" s="19">
        <f>IF($B6358="","",TEXT($B6358,"0000"))</f>
        <v/>
      </c>
      <c r="W6358" s="19">
        <f>IF($I6358="","",IF(ISNUMBER($I6358),TEXT($I6358,"0"),$I6358))</f>
        <v/>
      </c>
    </row>
    <row r="6359">
      <c r="B6359" s="25" t="n"/>
      <c r="I6359" s="25" t="n"/>
      <c r="U6359" s="19">
        <f>IF($V6359&lt;&gt;'設定'!$C$4,N(U6358),IF(OR(NOT(COUNTIF('商品マスタ'!$B$6:$B$1005,$W6359)=0),COUNTIFS('①在庫を貼る'!$V$6:$V$10005,$V6359,'①在庫を貼る'!$W$6:$W$10005,$W6359)&gt;0),N(U6358),N(U6358)+1))</f>
        <v/>
      </c>
      <c r="V6359" s="19">
        <f>IF($B6359="","",TEXT($B6359,"0000"))</f>
        <v/>
      </c>
      <c r="W6359" s="19">
        <f>IF($I6359="","",IF(ISNUMBER($I6359),TEXT($I6359,"0"),$I6359))</f>
        <v/>
      </c>
    </row>
    <row r="6360">
      <c r="B6360" s="25" t="n"/>
      <c r="I6360" s="25" t="n"/>
      <c r="U6360" s="19">
        <f>IF($V6360&lt;&gt;'設定'!$C$4,N(U6359),IF(OR(NOT(COUNTIF('商品マスタ'!$B$6:$B$1005,$W6360)=0),COUNTIFS('①在庫を貼る'!$V$6:$V$10005,$V6360,'①在庫を貼る'!$W$6:$W$10005,$W6360)&gt;0),N(U6359),N(U6359)+1))</f>
        <v/>
      </c>
      <c r="V6360" s="19">
        <f>IF($B6360="","",TEXT($B6360,"0000"))</f>
        <v/>
      </c>
      <c r="W6360" s="19">
        <f>IF($I6360="","",IF(ISNUMBER($I6360),TEXT($I6360,"0"),$I6360))</f>
        <v/>
      </c>
    </row>
    <row r="6361">
      <c r="B6361" s="25" t="n"/>
      <c r="I6361" s="25" t="n"/>
      <c r="U6361" s="19">
        <f>IF($V6361&lt;&gt;'設定'!$C$4,N(U6360),IF(OR(NOT(COUNTIF('商品マスタ'!$B$6:$B$1005,$W6361)=0),COUNTIFS('①在庫を貼る'!$V$6:$V$10005,$V6361,'①在庫を貼る'!$W$6:$W$10005,$W6361)&gt;0),N(U6360),N(U6360)+1))</f>
        <v/>
      </c>
      <c r="V6361" s="19">
        <f>IF($B6361="","",TEXT($B6361,"0000"))</f>
        <v/>
      </c>
      <c r="W6361" s="19">
        <f>IF($I6361="","",IF(ISNUMBER($I6361),TEXT($I6361,"0"),$I6361))</f>
        <v/>
      </c>
    </row>
    <row r="6362">
      <c r="B6362" s="25" t="n"/>
      <c r="I6362" s="25" t="n"/>
      <c r="U6362" s="19">
        <f>IF($V6362&lt;&gt;'設定'!$C$4,N(U6361),IF(OR(NOT(COUNTIF('商品マスタ'!$B$6:$B$1005,$W6362)=0),COUNTIFS('①在庫を貼る'!$V$6:$V$10005,$V6362,'①在庫を貼る'!$W$6:$W$10005,$W6362)&gt;0),N(U6361),N(U6361)+1))</f>
        <v/>
      </c>
      <c r="V6362" s="19">
        <f>IF($B6362="","",TEXT($B6362,"0000"))</f>
        <v/>
      </c>
      <c r="W6362" s="19">
        <f>IF($I6362="","",IF(ISNUMBER($I6362),TEXT($I6362,"0"),$I6362))</f>
        <v/>
      </c>
    </row>
    <row r="6363">
      <c r="B6363" s="25" t="n"/>
      <c r="I6363" s="25" t="n"/>
      <c r="U6363" s="19">
        <f>IF($V6363&lt;&gt;'設定'!$C$4,N(U6362),IF(OR(NOT(COUNTIF('商品マスタ'!$B$6:$B$1005,$W6363)=0),COUNTIFS('①在庫を貼る'!$V$6:$V$10005,$V6363,'①在庫を貼る'!$W$6:$W$10005,$W6363)&gt;0),N(U6362),N(U6362)+1))</f>
        <v/>
      </c>
      <c r="V6363" s="19">
        <f>IF($B6363="","",TEXT($B6363,"0000"))</f>
        <v/>
      </c>
      <c r="W6363" s="19">
        <f>IF($I6363="","",IF(ISNUMBER($I6363),TEXT($I6363,"0"),$I6363))</f>
        <v/>
      </c>
    </row>
    <row r="6364">
      <c r="B6364" s="25" t="n"/>
      <c r="I6364" s="25" t="n"/>
      <c r="U6364" s="19">
        <f>IF($V6364&lt;&gt;'設定'!$C$4,N(U6363),IF(OR(NOT(COUNTIF('商品マスタ'!$B$6:$B$1005,$W6364)=0),COUNTIFS('①在庫を貼る'!$V$6:$V$10005,$V6364,'①在庫を貼る'!$W$6:$W$10005,$W6364)&gt;0),N(U6363),N(U6363)+1))</f>
        <v/>
      </c>
      <c r="V6364" s="19">
        <f>IF($B6364="","",TEXT($B6364,"0000"))</f>
        <v/>
      </c>
      <c r="W6364" s="19">
        <f>IF($I6364="","",IF(ISNUMBER($I6364),TEXT($I6364,"0"),$I6364))</f>
        <v/>
      </c>
    </row>
    <row r="6365">
      <c r="B6365" s="25" t="n"/>
      <c r="I6365" s="25" t="n"/>
      <c r="U6365" s="19">
        <f>IF($V6365&lt;&gt;'設定'!$C$4,N(U6364),IF(OR(NOT(COUNTIF('商品マスタ'!$B$6:$B$1005,$W6365)=0),COUNTIFS('①在庫を貼る'!$V$6:$V$10005,$V6365,'①在庫を貼る'!$W$6:$W$10005,$W6365)&gt;0),N(U6364),N(U6364)+1))</f>
        <v/>
      </c>
      <c r="V6365" s="19">
        <f>IF($B6365="","",TEXT($B6365,"0000"))</f>
        <v/>
      </c>
      <c r="W6365" s="19">
        <f>IF($I6365="","",IF(ISNUMBER($I6365),TEXT($I6365,"0"),$I6365))</f>
        <v/>
      </c>
    </row>
    <row r="6366">
      <c r="B6366" s="25" t="n"/>
      <c r="I6366" s="25" t="n"/>
      <c r="U6366" s="19">
        <f>IF($V6366&lt;&gt;'設定'!$C$4,N(U6365),IF(OR(NOT(COUNTIF('商品マスタ'!$B$6:$B$1005,$W6366)=0),COUNTIFS('①在庫を貼る'!$V$6:$V$10005,$V6366,'①在庫を貼る'!$W$6:$W$10005,$W6366)&gt;0),N(U6365),N(U6365)+1))</f>
        <v/>
      </c>
      <c r="V6366" s="19">
        <f>IF($B6366="","",TEXT($B6366,"0000"))</f>
        <v/>
      </c>
      <c r="W6366" s="19">
        <f>IF($I6366="","",IF(ISNUMBER($I6366),TEXT($I6366,"0"),$I6366))</f>
        <v/>
      </c>
    </row>
    <row r="6367">
      <c r="B6367" s="25" t="n"/>
      <c r="I6367" s="25" t="n"/>
      <c r="U6367" s="19">
        <f>IF($V6367&lt;&gt;'設定'!$C$4,N(U6366),IF(OR(NOT(COUNTIF('商品マスタ'!$B$6:$B$1005,$W6367)=0),COUNTIFS('①在庫を貼る'!$V$6:$V$10005,$V6367,'①在庫を貼る'!$W$6:$W$10005,$W6367)&gt;0),N(U6366),N(U6366)+1))</f>
        <v/>
      </c>
      <c r="V6367" s="19">
        <f>IF($B6367="","",TEXT($B6367,"0000"))</f>
        <v/>
      </c>
      <c r="W6367" s="19">
        <f>IF($I6367="","",IF(ISNUMBER($I6367),TEXT($I6367,"0"),$I6367))</f>
        <v/>
      </c>
    </row>
    <row r="6368">
      <c r="B6368" s="25" t="n"/>
      <c r="I6368" s="25" t="n"/>
      <c r="U6368" s="19">
        <f>IF($V6368&lt;&gt;'設定'!$C$4,N(U6367),IF(OR(NOT(COUNTIF('商品マスタ'!$B$6:$B$1005,$W6368)=0),COUNTIFS('①在庫を貼る'!$V$6:$V$10005,$V6368,'①在庫を貼る'!$W$6:$W$10005,$W6368)&gt;0),N(U6367),N(U6367)+1))</f>
        <v/>
      </c>
      <c r="V6368" s="19">
        <f>IF($B6368="","",TEXT($B6368,"0000"))</f>
        <v/>
      </c>
      <c r="W6368" s="19">
        <f>IF($I6368="","",IF(ISNUMBER($I6368),TEXT($I6368,"0"),$I6368))</f>
        <v/>
      </c>
    </row>
    <row r="6369">
      <c r="B6369" s="25" t="n"/>
      <c r="I6369" s="25" t="n"/>
      <c r="U6369" s="19">
        <f>IF($V6369&lt;&gt;'設定'!$C$4,N(U6368),IF(OR(NOT(COUNTIF('商品マスタ'!$B$6:$B$1005,$W6369)=0),COUNTIFS('①在庫を貼る'!$V$6:$V$10005,$V6369,'①在庫を貼る'!$W$6:$W$10005,$W6369)&gt;0),N(U6368),N(U6368)+1))</f>
        <v/>
      </c>
      <c r="V6369" s="19">
        <f>IF($B6369="","",TEXT($B6369,"0000"))</f>
        <v/>
      </c>
      <c r="W6369" s="19">
        <f>IF($I6369="","",IF(ISNUMBER($I6369),TEXT($I6369,"0"),$I6369))</f>
        <v/>
      </c>
    </row>
    <row r="6370">
      <c r="B6370" s="25" t="n"/>
      <c r="I6370" s="25" t="n"/>
      <c r="U6370" s="19">
        <f>IF($V6370&lt;&gt;'設定'!$C$4,N(U6369),IF(OR(NOT(COUNTIF('商品マスタ'!$B$6:$B$1005,$W6370)=0),COUNTIFS('①在庫を貼る'!$V$6:$V$10005,$V6370,'①在庫を貼る'!$W$6:$W$10005,$W6370)&gt;0),N(U6369),N(U6369)+1))</f>
        <v/>
      </c>
      <c r="V6370" s="19">
        <f>IF($B6370="","",TEXT($B6370,"0000"))</f>
        <v/>
      </c>
      <c r="W6370" s="19">
        <f>IF($I6370="","",IF(ISNUMBER($I6370),TEXT($I6370,"0"),$I6370))</f>
        <v/>
      </c>
    </row>
    <row r="6371">
      <c r="B6371" s="25" t="n"/>
      <c r="I6371" s="25" t="n"/>
      <c r="U6371" s="19">
        <f>IF($V6371&lt;&gt;'設定'!$C$4,N(U6370),IF(OR(NOT(COUNTIF('商品マスタ'!$B$6:$B$1005,$W6371)=0),COUNTIFS('①在庫を貼る'!$V$6:$V$10005,$V6371,'①在庫を貼る'!$W$6:$W$10005,$W6371)&gt;0),N(U6370),N(U6370)+1))</f>
        <v/>
      </c>
      <c r="V6371" s="19">
        <f>IF($B6371="","",TEXT($B6371,"0000"))</f>
        <v/>
      </c>
      <c r="W6371" s="19">
        <f>IF($I6371="","",IF(ISNUMBER($I6371),TEXT($I6371,"0"),$I6371))</f>
        <v/>
      </c>
    </row>
    <row r="6372">
      <c r="B6372" s="25" t="n"/>
      <c r="I6372" s="25" t="n"/>
      <c r="U6372" s="19">
        <f>IF($V6372&lt;&gt;'設定'!$C$4,N(U6371),IF(OR(NOT(COUNTIF('商品マスタ'!$B$6:$B$1005,$W6372)=0),COUNTIFS('①在庫を貼る'!$V$6:$V$10005,$V6372,'①在庫を貼る'!$W$6:$W$10005,$W6372)&gt;0),N(U6371),N(U6371)+1))</f>
        <v/>
      </c>
      <c r="V6372" s="19">
        <f>IF($B6372="","",TEXT($B6372,"0000"))</f>
        <v/>
      </c>
      <c r="W6372" s="19">
        <f>IF($I6372="","",IF(ISNUMBER($I6372),TEXT($I6372,"0"),$I6372))</f>
        <v/>
      </c>
    </row>
    <row r="6373">
      <c r="B6373" s="25" t="n"/>
      <c r="I6373" s="25" t="n"/>
      <c r="U6373" s="19">
        <f>IF($V6373&lt;&gt;'設定'!$C$4,N(U6372),IF(OR(NOT(COUNTIF('商品マスタ'!$B$6:$B$1005,$W6373)=0),COUNTIFS('①在庫を貼る'!$V$6:$V$10005,$V6373,'①在庫を貼る'!$W$6:$W$10005,$W6373)&gt;0),N(U6372),N(U6372)+1))</f>
        <v/>
      </c>
      <c r="V6373" s="19">
        <f>IF($B6373="","",TEXT($B6373,"0000"))</f>
        <v/>
      </c>
      <c r="W6373" s="19">
        <f>IF($I6373="","",IF(ISNUMBER($I6373),TEXT($I6373,"0"),$I6373))</f>
        <v/>
      </c>
    </row>
    <row r="6374">
      <c r="B6374" s="25" t="n"/>
      <c r="I6374" s="25" t="n"/>
      <c r="U6374" s="19">
        <f>IF($V6374&lt;&gt;'設定'!$C$4,N(U6373),IF(OR(NOT(COUNTIF('商品マスタ'!$B$6:$B$1005,$W6374)=0),COUNTIFS('①在庫を貼る'!$V$6:$V$10005,$V6374,'①在庫を貼る'!$W$6:$W$10005,$W6374)&gt;0),N(U6373),N(U6373)+1))</f>
        <v/>
      </c>
      <c r="V6374" s="19">
        <f>IF($B6374="","",TEXT($B6374,"0000"))</f>
        <v/>
      </c>
      <c r="W6374" s="19">
        <f>IF($I6374="","",IF(ISNUMBER($I6374),TEXT($I6374,"0"),$I6374))</f>
        <v/>
      </c>
    </row>
    <row r="6375">
      <c r="B6375" s="25" t="n"/>
      <c r="I6375" s="25" t="n"/>
      <c r="U6375" s="19">
        <f>IF($V6375&lt;&gt;'設定'!$C$4,N(U6374),IF(OR(NOT(COUNTIF('商品マスタ'!$B$6:$B$1005,$W6375)=0),COUNTIFS('①在庫を貼る'!$V$6:$V$10005,$V6375,'①在庫を貼る'!$W$6:$W$10005,$W6375)&gt;0),N(U6374),N(U6374)+1))</f>
        <v/>
      </c>
      <c r="V6375" s="19">
        <f>IF($B6375="","",TEXT($B6375,"0000"))</f>
        <v/>
      </c>
      <c r="W6375" s="19">
        <f>IF($I6375="","",IF(ISNUMBER($I6375),TEXT($I6375,"0"),$I6375))</f>
        <v/>
      </c>
    </row>
    <row r="6376">
      <c r="B6376" s="25" t="n"/>
      <c r="I6376" s="25" t="n"/>
      <c r="U6376" s="19">
        <f>IF($V6376&lt;&gt;'設定'!$C$4,N(U6375),IF(OR(NOT(COUNTIF('商品マスタ'!$B$6:$B$1005,$W6376)=0),COUNTIFS('①在庫を貼る'!$V$6:$V$10005,$V6376,'①在庫を貼る'!$W$6:$W$10005,$W6376)&gt;0),N(U6375),N(U6375)+1))</f>
        <v/>
      </c>
      <c r="V6376" s="19">
        <f>IF($B6376="","",TEXT($B6376,"0000"))</f>
        <v/>
      </c>
      <c r="W6376" s="19">
        <f>IF($I6376="","",IF(ISNUMBER($I6376),TEXT($I6376,"0"),$I6376))</f>
        <v/>
      </c>
    </row>
    <row r="6377">
      <c r="B6377" s="25" t="n"/>
      <c r="I6377" s="25" t="n"/>
      <c r="U6377" s="19">
        <f>IF($V6377&lt;&gt;'設定'!$C$4,N(U6376),IF(OR(NOT(COUNTIF('商品マスタ'!$B$6:$B$1005,$W6377)=0),COUNTIFS('①在庫を貼る'!$V$6:$V$10005,$V6377,'①在庫を貼る'!$W$6:$W$10005,$W6377)&gt;0),N(U6376),N(U6376)+1))</f>
        <v/>
      </c>
      <c r="V6377" s="19">
        <f>IF($B6377="","",TEXT($B6377,"0000"))</f>
        <v/>
      </c>
      <c r="W6377" s="19">
        <f>IF($I6377="","",IF(ISNUMBER($I6377),TEXT($I6377,"0"),$I6377))</f>
        <v/>
      </c>
    </row>
    <row r="6378">
      <c r="B6378" s="25" t="n"/>
      <c r="I6378" s="25" t="n"/>
      <c r="U6378" s="19">
        <f>IF($V6378&lt;&gt;'設定'!$C$4,N(U6377),IF(OR(NOT(COUNTIF('商品マスタ'!$B$6:$B$1005,$W6378)=0),COUNTIFS('①在庫を貼る'!$V$6:$V$10005,$V6378,'①在庫を貼る'!$W$6:$W$10005,$W6378)&gt;0),N(U6377),N(U6377)+1))</f>
        <v/>
      </c>
      <c r="V6378" s="19">
        <f>IF($B6378="","",TEXT($B6378,"0000"))</f>
        <v/>
      </c>
      <c r="W6378" s="19">
        <f>IF($I6378="","",IF(ISNUMBER($I6378),TEXT($I6378,"0"),$I6378))</f>
        <v/>
      </c>
    </row>
    <row r="6379">
      <c r="B6379" s="25" t="n"/>
      <c r="I6379" s="25" t="n"/>
      <c r="U6379" s="19">
        <f>IF($V6379&lt;&gt;'設定'!$C$4,N(U6378),IF(OR(NOT(COUNTIF('商品マスタ'!$B$6:$B$1005,$W6379)=0),COUNTIFS('①在庫を貼る'!$V$6:$V$10005,$V6379,'①在庫を貼る'!$W$6:$W$10005,$W6379)&gt;0),N(U6378),N(U6378)+1))</f>
        <v/>
      </c>
      <c r="V6379" s="19">
        <f>IF($B6379="","",TEXT($B6379,"0000"))</f>
        <v/>
      </c>
      <c r="W6379" s="19">
        <f>IF($I6379="","",IF(ISNUMBER($I6379),TEXT($I6379,"0"),$I6379))</f>
        <v/>
      </c>
    </row>
    <row r="6380">
      <c r="B6380" s="25" t="n"/>
      <c r="I6380" s="25" t="n"/>
      <c r="U6380" s="19">
        <f>IF($V6380&lt;&gt;'設定'!$C$4,N(U6379),IF(OR(NOT(COUNTIF('商品マスタ'!$B$6:$B$1005,$W6380)=0),COUNTIFS('①在庫を貼る'!$V$6:$V$10005,$V6380,'①在庫を貼る'!$W$6:$W$10005,$W6380)&gt;0),N(U6379),N(U6379)+1))</f>
        <v/>
      </c>
      <c r="V6380" s="19">
        <f>IF($B6380="","",TEXT($B6380,"0000"))</f>
        <v/>
      </c>
      <c r="W6380" s="19">
        <f>IF($I6380="","",IF(ISNUMBER($I6380),TEXT($I6380,"0"),$I6380))</f>
        <v/>
      </c>
    </row>
    <row r="6381">
      <c r="B6381" s="25" t="n"/>
      <c r="I6381" s="25" t="n"/>
      <c r="U6381" s="19">
        <f>IF($V6381&lt;&gt;'設定'!$C$4,N(U6380),IF(OR(NOT(COUNTIF('商品マスタ'!$B$6:$B$1005,$W6381)=0),COUNTIFS('①在庫を貼る'!$V$6:$V$10005,$V6381,'①在庫を貼る'!$W$6:$W$10005,$W6381)&gt;0),N(U6380),N(U6380)+1))</f>
        <v/>
      </c>
      <c r="V6381" s="19">
        <f>IF($B6381="","",TEXT($B6381,"0000"))</f>
        <v/>
      </c>
      <c r="W6381" s="19">
        <f>IF($I6381="","",IF(ISNUMBER($I6381),TEXT($I6381,"0"),$I6381))</f>
        <v/>
      </c>
    </row>
    <row r="6382">
      <c r="B6382" s="25" t="n"/>
      <c r="I6382" s="25" t="n"/>
      <c r="U6382" s="19">
        <f>IF($V6382&lt;&gt;'設定'!$C$4,N(U6381),IF(OR(NOT(COUNTIF('商品マスタ'!$B$6:$B$1005,$W6382)=0),COUNTIFS('①在庫を貼る'!$V$6:$V$10005,$V6382,'①在庫を貼る'!$W$6:$W$10005,$W6382)&gt;0),N(U6381),N(U6381)+1))</f>
        <v/>
      </c>
      <c r="V6382" s="19">
        <f>IF($B6382="","",TEXT($B6382,"0000"))</f>
        <v/>
      </c>
      <c r="W6382" s="19">
        <f>IF($I6382="","",IF(ISNUMBER($I6382),TEXT($I6382,"0"),$I6382))</f>
        <v/>
      </c>
    </row>
    <row r="6383">
      <c r="B6383" s="25" t="n"/>
      <c r="I6383" s="25" t="n"/>
      <c r="U6383" s="19">
        <f>IF($V6383&lt;&gt;'設定'!$C$4,N(U6382),IF(OR(NOT(COUNTIF('商品マスタ'!$B$6:$B$1005,$W6383)=0),COUNTIFS('①在庫を貼る'!$V$6:$V$10005,$V6383,'①在庫を貼る'!$W$6:$W$10005,$W6383)&gt;0),N(U6382),N(U6382)+1))</f>
        <v/>
      </c>
      <c r="V6383" s="19">
        <f>IF($B6383="","",TEXT($B6383,"0000"))</f>
        <v/>
      </c>
      <c r="W6383" s="19">
        <f>IF($I6383="","",IF(ISNUMBER($I6383),TEXT($I6383,"0"),$I6383))</f>
        <v/>
      </c>
    </row>
    <row r="6384">
      <c r="B6384" s="25" t="n"/>
      <c r="I6384" s="25" t="n"/>
      <c r="U6384" s="19">
        <f>IF($V6384&lt;&gt;'設定'!$C$4,N(U6383),IF(OR(NOT(COUNTIF('商品マスタ'!$B$6:$B$1005,$W6384)=0),COUNTIFS('①在庫を貼る'!$V$6:$V$10005,$V6384,'①在庫を貼る'!$W$6:$W$10005,$W6384)&gt;0),N(U6383),N(U6383)+1))</f>
        <v/>
      </c>
      <c r="V6384" s="19">
        <f>IF($B6384="","",TEXT($B6384,"0000"))</f>
        <v/>
      </c>
      <c r="W6384" s="19">
        <f>IF($I6384="","",IF(ISNUMBER($I6384),TEXT($I6384,"0"),$I6384))</f>
        <v/>
      </c>
    </row>
    <row r="6385">
      <c r="B6385" s="25" t="n"/>
      <c r="I6385" s="25" t="n"/>
      <c r="U6385" s="19">
        <f>IF($V6385&lt;&gt;'設定'!$C$4,N(U6384),IF(OR(NOT(COUNTIF('商品マスタ'!$B$6:$B$1005,$W6385)=0),COUNTIFS('①在庫を貼る'!$V$6:$V$10005,$V6385,'①在庫を貼る'!$W$6:$W$10005,$W6385)&gt;0),N(U6384),N(U6384)+1))</f>
        <v/>
      </c>
      <c r="V6385" s="19">
        <f>IF($B6385="","",TEXT($B6385,"0000"))</f>
        <v/>
      </c>
      <c r="W6385" s="19">
        <f>IF($I6385="","",IF(ISNUMBER($I6385),TEXT($I6385,"0"),$I6385))</f>
        <v/>
      </c>
    </row>
    <row r="6386">
      <c r="B6386" s="25" t="n"/>
      <c r="I6386" s="25" t="n"/>
      <c r="U6386" s="19">
        <f>IF($V6386&lt;&gt;'設定'!$C$4,N(U6385),IF(OR(NOT(COUNTIF('商品マスタ'!$B$6:$B$1005,$W6386)=0),COUNTIFS('①在庫を貼る'!$V$6:$V$10005,$V6386,'①在庫を貼る'!$W$6:$W$10005,$W6386)&gt;0),N(U6385),N(U6385)+1))</f>
        <v/>
      </c>
      <c r="V6386" s="19">
        <f>IF($B6386="","",TEXT($B6386,"0000"))</f>
        <v/>
      </c>
      <c r="W6386" s="19">
        <f>IF($I6386="","",IF(ISNUMBER($I6386),TEXT($I6386,"0"),$I6386))</f>
        <v/>
      </c>
    </row>
    <row r="6387">
      <c r="B6387" s="25" t="n"/>
      <c r="I6387" s="25" t="n"/>
      <c r="U6387" s="19">
        <f>IF($V6387&lt;&gt;'設定'!$C$4,N(U6386),IF(OR(NOT(COUNTIF('商品マスタ'!$B$6:$B$1005,$W6387)=0),COUNTIFS('①在庫を貼る'!$V$6:$V$10005,$V6387,'①在庫を貼る'!$W$6:$W$10005,$W6387)&gt;0),N(U6386),N(U6386)+1))</f>
        <v/>
      </c>
      <c r="V6387" s="19">
        <f>IF($B6387="","",TEXT($B6387,"0000"))</f>
        <v/>
      </c>
      <c r="W6387" s="19">
        <f>IF($I6387="","",IF(ISNUMBER($I6387),TEXT($I6387,"0"),$I6387))</f>
        <v/>
      </c>
    </row>
    <row r="6388">
      <c r="B6388" s="25" t="n"/>
      <c r="I6388" s="25" t="n"/>
      <c r="U6388" s="19">
        <f>IF($V6388&lt;&gt;'設定'!$C$4,N(U6387),IF(OR(NOT(COUNTIF('商品マスタ'!$B$6:$B$1005,$W6388)=0),COUNTIFS('①在庫を貼る'!$V$6:$V$10005,$V6388,'①在庫を貼る'!$W$6:$W$10005,$W6388)&gt;0),N(U6387),N(U6387)+1))</f>
        <v/>
      </c>
      <c r="V6388" s="19">
        <f>IF($B6388="","",TEXT($B6388,"0000"))</f>
        <v/>
      </c>
      <c r="W6388" s="19">
        <f>IF($I6388="","",IF(ISNUMBER($I6388),TEXT($I6388,"0"),$I6388))</f>
        <v/>
      </c>
    </row>
    <row r="6389">
      <c r="B6389" s="25" t="n"/>
      <c r="I6389" s="25" t="n"/>
      <c r="U6389" s="19">
        <f>IF($V6389&lt;&gt;'設定'!$C$4,N(U6388),IF(OR(NOT(COUNTIF('商品マスタ'!$B$6:$B$1005,$W6389)=0),COUNTIFS('①在庫を貼る'!$V$6:$V$10005,$V6389,'①在庫を貼る'!$W$6:$W$10005,$W6389)&gt;0),N(U6388),N(U6388)+1))</f>
        <v/>
      </c>
      <c r="V6389" s="19">
        <f>IF($B6389="","",TEXT($B6389,"0000"))</f>
        <v/>
      </c>
      <c r="W6389" s="19">
        <f>IF($I6389="","",IF(ISNUMBER($I6389),TEXT($I6389,"0"),$I6389))</f>
        <v/>
      </c>
    </row>
    <row r="6390">
      <c r="B6390" s="25" t="n"/>
      <c r="I6390" s="25" t="n"/>
      <c r="U6390" s="19">
        <f>IF($V6390&lt;&gt;'設定'!$C$4,N(U6389),IF(OR(NOT(COUNTIF('商品マスタ'!$B$6:$B$1005,$W6390)=0),COUNTIFS('①在庫を貼る'!$V$6:$V$10005,$V6390,'①在庫を貼る'!$W$6:$W$10005,$W6390)&gt;0),N(U6389),N(U6389)+1))</f>
        <v/>
      </c>
      <c r="V6390" s="19">
        <f>IF($B6390="","",TEXT($B6390,"0000"))</f>
        <v/>
      </c>
      <c r="W6390" s="19">
        <f>IF($I6390="","",IF(ISNUMBER($I6390),TEXT($I6390,"0"),$I6390))</f>
        <v/>
      </c>
    </row>
    <row r="6391">
      <c r="B6391" s="25" t="n"/>
      <c r="I6391" s="25" t="n"/>
      <c r="U6391" s="19">
        <f>IF($V6391&lt;&gt;'設定'!$C$4,N(U6390),IF(OR(NOT(COUNTIF('商品マスタ'!$B$6:$B$1005,$W6391)=0),COUNTIFS('①在庫を貼る'!$V$6:$V$10005,$V6391,'①在庫を貼る'!$W$6:$W$10005,$W6391)&gt;0),N(U6390),N(U6390)+1))</f>
        <v/>
      </c>
      <c r="V6391" s="19">
        <f>IF($B6391="","",TEXT($B6391,"0000"))</f>
        <v/>
      </c>
      <c r="W6391" s="19">
        <f>IF($I6391="","",IF(ISNUMBER($I6391),TEXT($I6391,"0"),$I6391))</f>
        <v/>
      </c>
    </row>
    <row r="6392">
      <c r="B6392" s="25" t="n"/>
      <c r="I6392" s="25" t="n"/>
      <c r="U6392" s="19">
        <f>IF($V6392&lt;&gt;'設定'!$C$4,N(U6391),IF(OR(NOT(COUNTIF('商品マスタ'!$B$6:$B$1005,$W6392)=0),COUNTIFS('①在庫を貼る'!$V$6:$V$10005,$V6392,'①在庫を貼る'!$W$6:$W$10005,$W6392)&gt;0),N(U6391),N(U6391)+1))</f>
        <v/>
      </c>
      <c r="V6392" s="19">
        <f>IF($B6392="","",TEXT($B6392,"0000"))</f>
        <v/>
      </c>
      <c r="W6392" s="19">
        <f>IF($I6392="","",IF(ISNUMBER($I6392),TEXT($I6392,"0"),$I6392))</f>
        <v/>
      </c>
    </row>
    <row r="6393">
      <c r="B6393" s="25" t="n"/>
      <c r="I6393" s="25" t="n"/>
      <c r="U6393" s="19">
        <f>IF($V6393&lt;&gt;'設定'!$C$4,N(U6392),IF(OR(NOT(COUNTIF('商品マスタ'!$B$6:$B$1005,$W6393)=0),COUNTIFS('①在庫を貼る'!$V$6:$V$10005,$V6393,'①在庫を貼る'!$W$6:$W$10005,$W6393)&gt;0),N(U6392),N(U6392)+1))</f>
        <v/>
      </c>
      <c r="V6393" s="19">
        <f>IF($B6393="","",TEXT($B6393,"0000"))</f>
        <v/>
      </c>
      <c r="W6393" s="19">
        <f>IF($I6393="","",IF(ISNUMBER($I6393),TEXT($I6393,"0"),$I6393))</f>
        <v/>
      </c>
    </row>
    <row r="6394">
      <c r="B6394" s="25" t="n"/>
      <c r="I6394" s="25" t="n"/>
      <c r="U6394" s="19">
        <f>IF($V6394&lt;&gt;'設定'!$C$4,N(U6393),IF(OR(NOT(COUNTIF('商品マスタ'!$B$6:$B$1005,$W6394)=0),COUNTIFS('①在庫を貼る'!$V$6:$V$10005,$V6394,'①在庫を貼る'!$W$6:$W$10005,$W6394)&gt;0),N(U6393),N(U6393)+1))</f>
        <v/>
      </c>
      <c r="V6394" s="19">
        <f>IF($B6394="","",TEXT($B6394,"0000"))</f>
        <v/>
      </c>
      <c r="W6394" s="19">
        <f>IF($I6394="","",IF(ISNUMBER($I6394),TEXT($I6394,"0"),$I6394))</f>
        <v/>
      </c>
    </row>
    <row r="6395">
      <c r="B6395" s="25" t="n"/>
      <c r="I6395" s="25" t="n"/>
      <c r="U6395" s="19">
        <f>IF($V6395&lt;&gt;'設定'!$C$4,N(U6394),IF(OR(NOT(COUNTIF('商品マスタ'!$B$6:$B$1005,$W6395)=0),COUNTIFS('①在庫を貼る'!$V$6:$V$10005,$V6395,'①在庫を貼る'!$W$6:$W$10005,$W6395)&gt;0),N(U6394),N(U6394)+1))</f>
        <v/>
      </c>
      <c r="V6395" s="19">
        <f>IF($B6395="","",TEXT($B6395,"0000"))</f>
        <v/>
      </c>
      <c r="W6395" s="19">
        <f>IF($I6395="","",IF(ISNUMBER($I6395),TEXT($I6395,"0"),$I6395))</f>
        <v/>
      </c>
    </row>
    <row r="6396">
      <c r="B6396" s="25" t="n"/>
      <c r="I6396" s="25" t="n"/>
      <c r="U6396" s="19">
        <f>IF($V6396&lt;&gt;'設定'!$C$4,N(U6395),IF(OR(NOT(COUNTIF('商品マスタ'!$B$6:$B$1005,$W6396)=0),COUNTIFS('①在庫を貼る'!$V$6:$V$10005,$V6396,'①在庫を貼る'!$W$6:$W$10005,$W6396)&gt;0),N(U6395),N(U6395)+1))</f>
        <v/>
      </c>
      <c r="V6396" s="19">
        <f>IF($B6396="","",TEXT($B6396,"0000"))</f>
        <v/>
      </c>
      <c r="W6396" s="19">
        <f>IF($I6396="","",IF(ISNUMBER($I6396),TEXT($I6396,"0"),$I6396))</f>
        <v/>
      </c>
    </row>
    <row r="6397">
      <c r="B6397" s="25" t="n"/>
      <c r="I6397" s="25" t="n"/>
      <c r="U6397" s="19">
        <f>IF($V6397&lt;&gt;'設定'!$C$4,N(U6396),IF(OR(NOT(COUNTIF('商品マスタ'!$B$6:$B$1005,$W6397)=0),COUNTIFS('①在庫を貼る'!$V$6:$V$10005,$V6397,'①在庫を貼る'!$W$6:$W$10005,$W6397)&gt;0),N(U6396),N(U6396)+1))</f>
        <v/>
      </c>
      <c r="V6397" s="19">
        <f>IF($B6397="","",TEXT($B6397,"0000"))</f>
        <v/>
      </c>
      <c r="W6397" s="19">
        <f>IF($I6397="","",IF(ISNUMBER($I6397),TEXT($I6397,"0"),$I6397))</f>
        <v/>
      </c>
    </row>
    <row r="6398">
      <c r="B6398" s="25" t="n"/>
      <c r="I6398" s="25" t="n"/>
      <c r="U6398" s="19">
        <f>IF($V6398&lt;&gt;'設定'!$C$4,N(U6397),IF(OR(NOT(COUNTIF('商品マスタ'!$B$6:$B$1005,$W6398)=0),COUNTIFS('①在庫を貼る'!$V$6:$V$10005,$V6398,'①在庫を貼る'!$W$6:$W$10005,$W6398)&gt;0),N(U6397),N(U6397)+1))</f>
        <v/>
      </c>
      <c r="V6398" s="19">
        <f>IF($B6398="","",TEXT($B6398,"0000"))</f>
        <v/>
      </c>
      <c r="W6398" s="19">
        <f>IF($I6398="","",IF(ISNUMBER($I6398),TEXT($I6398,"0"),$I6398))</f>
        <v/>
      </c>
    </row>
    <row r="6399">
      <c r="B6399" s="25" t="n"/>
      <c r="I6399" s="25" t="n"/>
      <c r="U6399" s="19">
        <f>IF($V6399&lt;&gt;'設定'!$C$4,N(U6398),IF(OR(NOT(COUNTIF('商品マスタ'!$B$6:$B$1005,$W6399)=0),COUNTIFS('①在庫を貼る'!$V$6:$V$10005,$V6399,'①在庫を貼る'!$W$6:$W$10005,$W6399)&gt;0),N(U6398),N(U6398)+1))</f>
        <v/>
      </c>
      <c r="V6399" s="19">
        <f>IF($B6399="","",TEXT($B6399,"0000"))</f>
        <v/>
      </c>
      <c r="W6399" s="19">
        <f>IF($I6399="","",IF(ISNUMBER($I6399),TEXT($I6399,"0"),$I6399))</f>
        <v/>
      </c>
    </row>
    <row r="6400">
      <c r="B6400" s="25" t="n"/>
      <c r="I6400" s="25" t="n"/>
      <c r="U6400" s="19">
        <f>IF($V6400&lt;&gt;'設定'!$C$4,N(U6399),IF(OR(NOT(COUNTIF('商品マスタ'!$B$6:$B$1005,$W6400)=0),COUNTIFS('①在庫を貼る'!$V$6:$V$10005,$V6400,'①在庫を貼る'!$W$6:$W$10005,$W6400)&gt;0),N(U6399),N(U6399)+1))</f>
        <v/>
      </c>
      <c r="V6400" s="19">
        <f>IF($B6400="","",TEXT($B6400,"0000"))</f>
        <v/>
      </c>
      <c r="W6400" s="19">
        <f>IF($I6400="","",IF(ISNUMBER($I6400),TEXT($I6400,"0"),$I6400))</f>
        <v/>
      </c>
    </row>
    <row r="6401">
      <c r="B6401" s="25" t="n"/>
      <c r="I6401" s="25" t="n"/>
      <c r="U6401" s="19">
        <f>IF($V6401&lt;&gt;'設定'!$C$4,N(U6400),IF(OR(NOT(COUNTIF('商品マスタ'!$B$6:$B$1005,$W6401)=0),COUNTIFS('①在庫を貼る'!$V$6:$V$10005,$V6401,'①在庫を貼る'!$W$6:$W$10005,$W6401)&gt;0),N(U6400),N(U6400)+1))</f>
        <v/>
      </c>
      <c r="V6401" s="19">
        <f>IF($B6401="","",TEXT($B6401,"0000"))</f>
        <v/>
      </c>
      <c r="W6401" s="19">
        <f>IF($I6401="","",IF(ISNUMBER($I6401),TEXT($I6401,"0"),$I6401))</f>
        <v/>
      </c>
    </row>
    <row r="6402">
      <c r="B6402" s="25" t="n"/>
      <c r="I6402" s="25" t="n"/>
      <c r="U6402" s="19">
        <f>IF($V6402&lt;&gt;'設定'!$C$4,N(U6401),IF(OR(NOT(COUNTIF('商品マスタ'!$B$6:$B$1005,$W6402)=0),COUNTIFS('①在庫を貼る'!$V$6:$V$10005,$V6402,'①在庫を貼る'!$W$6:$W$10005,$W6402)&gt;0),N(U6401),N(U6401)+1))</f>
        <v/>
      </c>
      <c r="V6402" s="19">
        <f>IF($B6402="","",TEXT($B6402,"0000"))</f>
        <v/>
      </c>
      <c r="W6402" s="19">
        <f>IF($I6402="","",IF(ISNUMBER($I6402),TEXT($I6402,"0"),$I6402))</f>
        <v/>
      </c>
    </row>
    <row r="6403">
      <c r="B6403" s="25" t="n"/>
      <c r="I6403" s="25" t="n"/>
      <c r="U6403" s="19">
        <f>IF($V6403&lt;&gt;'設定'!$C$4,N(U6402),IF(OR(NOT(COUNTIF('商品マスタ'!$B$6:$B$1005,$W6403)=0),COUNTIFS('①在庫を貼る'!$V$6:$V$10005,$V6403,'①在庫を貼る'!$W$6:$W$10005,$W6403)&gt;0),N(U6402),N(U6402)+1))</f>
        <v/>
      </c>
      <c r="V6403" s="19">
        <f>IF($B6403="","",TEXT($B6403,"0000"))</f>
        <v/>
      </c>
      <c r="W6403" s="19">
        <f>IF($I6403="","",IF(ISNUMBER($I6403),TEXT($I6403,"0"),$I6403))</f>
        <v/>
      </c>
    </row>
    <row r="6404">
      <c r="B6404" s="25" t="n"/>
      <c r="I6404" s="25" t="n"/>
      <c r="U6404" s="19">
        <f>IF($V6404&lt;&gt;'設定'!$C$4,N(U6403),IF(OR(NOT(COUNTIF('商品マスタ'!$B$6:$B$1005,$W6404)=0),COUNTIFS('①在庫を貼る'!$V$6:$V$10005,$V6404,'①在庫を貼る'!$W$6:$W$10005,$W6404)&gt;0),N(U6403),N(U6403)+1))</f>
        <v/>
      </c>
      <c r="V6404" s="19">
        <f>IF($B6404="","",TEXT($B6404,"0000"))</f>
        <v/>
      </c>
      <c r="W6404" s="19">
        <f>IF($I6404="","",IF(ISNUMBER($I6404),TEXT($I6404,"0"),$I6404))</f>
        <v/>
      </c>
    </row>
    <row r="6405">
      <c r="B6405" s="25" t="n"/>
      <c r="I6405" s="25" t="n"/>
      <c r="U6405" s="19">
        <f>IF($V6405&lt;&gt;'設定'!$C$4,N(U6404),IF(OR(NOT(COUNTIF('商品マスタ'!$B$6:$B$1005,$W6405)=0),COUNTIFS('①在庫を貼る'!$V$6:$V$10005,$V6405,'①在庫を貼る'!$W$6:$W$10005,$W6405)&gt;0),N(U6404),N(U6404)+1))</f>
        <v/>
      </c>
      <c r="V6405" s="19">
        <f>IF($B6405="","",TEXT($B6405,"0000"))</f>
        <v/>
      </c>
      <c r="W6405" s="19">
        <f>IF($I6405="","",IF(ISNUMBER($I6405),TEXT($I6405,"0"),$I6405))</f>
        <v/>
      </c>
    </row>
    <row r="6406">
      <c r="B6406" s="25" t="n"/>
      <c r="I6406" s="25" t="n"/>
      <c r="U6406" s="19">
        <f>IF($V6406&lt;&gt;'設定'!$C$4,N(U6405),IF(OR(NOT(COUNTIF('商品マスタ'!$B$6:$B$1005,$W6406)=0),COUNTIFS('①在庫を貼る'!$V$6:$V$10005,$V6406,'①在庫を貼る'!$W$6:$W$10005,$W6406)&gt;0),N(U6405),N(U6405)+1))</f>
        <v/>
      </c>
      <c r="V6406" s="19">
        <f>IF($B6406="","",TEXT($B6406,"0000"))</f>
        <v/>
      </c>
      <c r="W6406" s="19">
        <f>IF($I6406="","",IF(ISNUMBER($I6406),TEXT($I6406,"0"),$I6406))</f>
        <v/>
      </c>
    </row>
    <row r="6407">
      <c r="B6407" s="25" t="n"/>
      <c r="I6407" s="25" t="n"/>
      <c r="U6407" s="19">
        <f>IF($V6407&lt;&gt;'設定'!$C$4,N(U6406),IF(OR(NOT(COUNTIF('商品マスタ'!$B$6:$B$1005,$W6407)=0),COUNTIFS('①在庫を貼る'!$V$6:$V$10005,$V6407,'①在庫を貼る'!$W$6:$W$10005,$W6407)&gt;0),N(U6406),N(U6406)+1))</f>
        <v/>
      </c>
      <c r="V6407" s="19">
        <f>IF($B6407="","",TEXT($B6407,"0000"))</f>
        <v/>
      </c>
      <c r="W6407" s="19">
        <f>IF($I6407="","",IF(ISNUMBER($I6407),TEXT($I6407,"0"),$I6407))</f>
        <v/>
      </c>
    </row>
    <row r="6408">
      <c r="B6408" s="25" t="n"/>
      <c r="I6408" s="25" t="n"/>
      <c r="U6408" s="19">
        <f>IF($V6408&lt;&gt;'設定'!$C$4,N(U6407),IF(OR(NOT(COUNTIF('商品マスタ'!$B$6:$B$1005,$W6408)=0),COUNTIFS('①在庫を貼る'!$V$6:$V$10005,$V6408,'①在庫を貼る'!$W$6:$W$10005,$W6408)&gt;0),N(U6407),N(U6407)+1))</f>
        <v/>
      </c>
      <c r="V6408" s="19">
        <f>IF($B6408="","",TEXT($B6408,"0000"))</f>
        <v/>
      </c>
      <c r="W6408" s="19">
        <f>IF($I6408="","",IF(ISNUMBER($I6408),TEXT($I6408,"0"),$I6408))</f>
        <v/>
      </c>
    </row>
    <row r="6409">
      <c r="B6409" s="25" t="n"/>
      <c r="I6409" s="25" t="n"/>
      <c r="U6409" s="19">
        <f>IF($V6409&lt;&gt;'設定'!$C$4,N(U6408),IF(OR(NOT(COUNTIF('商品マスタ'!$B$6:$B$1005,$W6409)=0),COUNTIFS('①在庫を貼る'!$V$6:$V$10005,$V6409,'①在庫を貼る'!$W$6:$W$10005,$W6409)&gt;0),N(U6408),N(U6408)+1))</f>
        <v/>
      </c>
      <c r="V6409" s="19">
        <f>IF($B6409="","",TEXT($B6409,"0000"))</f>
        <v/>
      </c>
      <c r="W6409" s="19">
        <f>IF($I6409="","",IF(ISNUMBER($I6409),TEXT($I6409,"0"),$I6409))</f>
        <v/>
      </c>
    </row>
    <row r="6410">
      <c r="B6410" s="25" t="n"/>
      <c r="I6410" s="25" t="n"/>
      <c r="U6410" s="19">
        <f>IF($V6410&lt;&gt;'設定'!$C$4,N(U6409),IF(OR(NOT(COUNTIF('商品マスタ'!$B$6:$B$1005,$W6410)=0),COUNTIFS('①在庫を貼る'!$V$6:$V$10005,$V6410,'①在庫を貼る'!$W$6:$W$10005,$W6410)&gt;0),N(U6409),N(U6409)+1))</f>
        <v/>
      </c>
      <c r="V6410" s="19">
        <f>IF($B6410="","",TEXT($B6410,"0000"))</f>
        <v/>
      </c>
      <c r="W6410" s="19">
        <f>IF($I6410="","",IF(ISNUMBER($I6410),TEXT($I6410,"0"),$I6410))</f>
        <v/>
      </c>
    </row>
    <row r="6411">
      <c r="B6411" s="25" t="n"/>
      <c r="I6411" s="25" t="n"/>
      <c r="U6411" s="19">
        <f>IF($V6411&lt;&gt;'設定'!$C$4,N(U6410),IF(OR(NOT(COUNTIF('商品マスタ'!$B$6:$B$1005,$W6411)=0),COUNTIFS('①在庫を貼る'!$V$6:$V$10005,$V6411,'①在庫を貼る'!$W$6:$W$10005,$W6411)&gt;0),N(U6410),N(U6410)+1))</f>
        <v/>
      </c>
      <c r="V6411" s="19">
        <f>IF($B6411="","",TEXT($B6411,"0000"))</f>
        <v/>
      </c>
      <c r="W6411" s="19">
        <f>IF($I6411="","",IF(ISNUMBER($I6411),TEXT($I6411,"0"),$I6411))</f>
        <v/>
      </c>
    </row>
    <row r="6412">
      <c r="B6412" s="25" t="n"/>
      <c r="I6412" s="25" t="n"/>
      <c r="U6412" s="19">
        <f>IF($V6412&lt;&gt;'設定'!$C$4,N(U6411),IF(OR(NOT(COUNTIF('商品マスタ'!$B$6:$B$1005,$W6412)=0),COUNTIFS('①在庫を貼る'!$V$6:$V$10005,$V6412,'①在庫を貼る'!$W$6:$W$10005,$W6412)&gt;0),N(U6411),N(U6411)+1))</f>
        <v/>
      </c>
      <c r="V6412" s="19">
        <f>IF($B6412="","",TEXT($B6412,"0000"))</f>
        <v/>
      </c>
      <c r="W6412" s="19">
        <f>IF($I6412="","",IF(ISNUMBER($I6412),TEXT($I6412,"0"),$I6412))</f>
        <v/>
      </c>
    </row>
    <row r="6413">
      <c r="B6413" s="25" t="n"/>
      <c r="I6413" s="25" t="n"/>
      <c r="U6413" s="19">
        <f>IF($V6413&lt;&gt;'設定'!$C$4,N(U6412),IF(OR(NOT(COUNTIF('商品マスタ'!$B$6:$B$1005,$W6413)=0),COUNTIFS('①在庫を貼る'!$V$6:$V$10005,$V6413,'①在庫を貼る'!$W$6:$W$10005,$W6413)&gt;0),N(U6412),N(U6412)+1))</f>
        <v/>
      </c>
      <c r="V6413" s="19">
        <f>IF($B6413="","",TEXT($B6413,"0000"))</f>
        <v/>
      </c>
      <c r="W6413" s="19">
        <f>IF($I6413="","",IF(ISNUMBER($I6413),TEXT($I6413,"0"),$I6413))</f>
        <v/>
      </c>
    </row>
    <row r="6414">
      <c r="B6414" s="25" t="n"/>
      <c r="I6414" s="25" t="n"/>
      <c r="U6414" s="19">
        <f>IF($V6414&lt;&gt;'設定'!$C$4,N(U6413),IF(OR(NOT(COUNTIF('商品マスタ'!$B$6:$B$1005,$W6414)=0),COUNTIFS('①在庫を貼る'!$V$6:$V$10005,$V6414,'①在庫を貼る'!$W$6:$W$10005,$W6414)&gt;0),N(U6413),N(U6413)+1))</f>
        <v/>
      </c>
      <c r="V6414" s="19">
        <f>IF($B6414="","",TEXT($B6414,"0000"))</f>
        <v/>
      </c>
      <c r="W6414" s="19">
        <f>IF($I6414="","",IF(ISNUMBER($I6414),TEXT($I6414,"0"),$I6414))</f>
        <v/>
      </c>
    </row>
    <row r="6415">
      <c r="B6415" s="25" t="n"/>
      <c r="I6415" s="25" t="n"/>
      <c r="U6415" s="19">
        <f>IF($V6415&lt;&gt;'設定'!$C$4,N(U6414),IF(OR(NOT(COUNTIF('商品マスタ'!$B$6:$B$1005,$W6415)=0),COUNTIFS('①在庫を貼る'!$V$6:$V$10005,$V6415,'①在庫を貼る'!$W$6:$W$10005,$W6415)&gt;0),N(U6414),N(U6414)+1))</f>
        <v/>
      </c>
      <c r="V6415" s="19">
        <f>IF($B6415="","",TEXT($B6415,"0000"))</f>
        <v/>
      </c>
      <c r="W6415" s="19">
        <f>IF($I6415="","",IF(ISNUMBER($I6415),TEXT($I6415,"0"),$I6415))</f>
        <v/>
      </c>
    </row>
    <row r="6416">
      <c r="B6416" s="25" t="n"/>
      <c r="I6416" s="25" t="n"/>
      <c r="U6416" s="19">
        <f>IF($V6416&lt;&gt;'設定'!$C$4,N(U6415),IF(OR(NOT(COUNTIF('商品マスタ'!$B$6:$B$1005,$W6416)=0),COUNTIFS('①在庫を貼る'!$V$6:$V$10005,$V6416,'①在庫を貼る'!$W$6:$W$10005,$W6416)&gt;0),N(U6415),N(U6415)+1))</f>
        <v/>
      </c>
      <c r="V6416" s="19">
        <f>IF($B6416="","",TEXT($B6416,"0000"))</f>
        <v/>
      </c>
      <c r="W6416" s="19">
        <f>IF($I6416="","",IF(ISNUMBER($I6416),TEXT($I6416,"0"),$I6416))</f>
        <v/>
      </c>
    </row>
    <row r="6417">
      <c r="B6417" s="25" t="n"/>
      <c r="I6417" s="25" t="n"/>
      <c r="U6417" s="19">
        <f>IF($V6417&lt;&gt;'設定'!$C$4,N(U6416),IF(OR(NOT(COUNTIF('商品マスタ'!$B$6:$B$1005,$W6417)=0),COUNTIFS('①在庫を貼る'!$V$6:$V$10005,$V6417,'①在庫を貼る'!$W$6:$W$10005,$W6417)&gt;0),N(U6416),N(U6416)+1))</f>
        <v/>
      </c>
      <c r="V6417" s="19">
        <f>IF($B6417="","",TEXT($B6417,"0000"))</f>
        <v/>
      </c>
      <c r="W6417" s="19">
        <f>IF($I6417="","",IF(ISNUMBER($I6417),TEXT($I6417,"0"),$I6417))</f>
        <v/>
      </c>
    </row>
    <row r="6418">
      <c r="B6418" s="25" t="n"/>
      <c r="I6418" s="25" t="n"/>
      <c r="U6418" s="19">
        <f>IF($V6418&lt;&gt;'設定'!$C$4,N(U6417),IF(OR(NOT(COUNTIF('商品マスタ'!$B$6:$B$1005,$W6418)=0),COUNTIFS('①在庫を貼る'!$V$6:$V$10005,$V6418,'①在庫を貼る'!$W$6:$W$10005,$W6418)&gt;0),N(U6417),N(U6417)+1))</f>
        <v/>
      </c>
      <c r="V6418" s="19">
        <f>IF($B6418="","",TEXT($B6418,"0000"))</f>
        <v/>
      </c>
      <c r="W6418" s="19">
        <f>IF($I6418="","",IF(ISNUMBER($I6418),TEXT($I6418,"0"),$I6418))</f>
        <v/>
      </c>
    </row>
    <row r="6419">
      <c r="B6419" s="25" t="n"/>
      <c r="I6419" s="25" t="n"/>
      <c r="U6419" s="19">
        <f>IF($V6419&lt;&gt;'設定'!$C$4,N(U6418),IF(OR(NOT(COUNTIF('商品マスタ'!$B$6:$B$1005,$W6419)=0),COUNTIFS('①在庫を貼る'!$V$6:$V$10005,$V6419,'①在庫を貼る'!$W$6:$W$10005,$W6419)&gt;0),N(U6418),N(U6418)+1))</f>
        <v/>
      </c>
      <c r="V6419" s="19">
        <f>IF($B6419="","",TEXT($B6419,"0000"))</f>
        <v/>
      </c>
      <c r="W6419" s="19">
        <f>IF($I6419="","",IF(ISNUMBER($I6419),TEXT($I6419,"0"),$I6419))</f>
        <v/>
      </c>
    </row>
    <row r="6420">
      <c r="B6420" s="25" t="n"/>
      <c r="I6420" s="25" t="n"/>
      <c r="U6420" s="19">
        <f>IF($V6420&lt;&gt;'設定'!$C$4,N(U6419),IF(OR(NOT(COUNTIF('商品マスタ'!$B$6:$B$1005,$W6420)=0),COUNTIFS('①在庫を貼る'!$V$6:$V$10005,$V6420,'①在庫を貼る'!$W$6:$W$10005,$W6420)&gt;0),N(U6419),N(U6419)+1))</f>
        <v/>
      </c>
      <c r="V6420" s="19">
        <f>IF($B6420="","",TEXT($B6420,"0000"))</f>
        <v/>
      </c>
      <c r="W6420" s="19">
        <f>IF($I6420="","",IF(ISNUMBER($I6420),TEXT($I6420,"0"),$I6420))</f>
        <v/>
      </c>
    </row>
    <row r="6421">
      <c r="B6421" s="25" t="n"/>
      <c r="I6421" s="25" t="n"/>
      <c r="U6421" s="19">
        <f>IF($V6421&lt;&gt;'設定'!$C$4,N(U6420),IF(OR(NOT(COUNTIF('商品マスタ'!$B$6:$B$1005,$W6421)=0),COUNTIFS('①在庫を貼る'!$V$6:$V$10005,$V6421,'①在庫を貼る'!$W$6:$W$10005,$W6421)&gt;0),N(U6420),N(U6420)+1))</f>
        <v/>
      </c>
      <c r="V6421" s="19">
        <f>IF($B6421="","",TEXT($B6421,"0000"))</f>
        <v/>
      </c>
      <c r="W6421" s="19">
        <f>IF($I6421="","",IF(ISNUMBER($I6421),TEXT($I6421,"0"),$I6421))</f>
        <v/>
      </c>
    </row>
    <row r="6422">
      <c r="B6422" s="25" t="n"/>
      <c r="I6422" s="25" t="n"/>
      <c r="U6422" s="19">
        <f>IF($V6422&lt;&gt;'設定'!$C$4,N(U6421),IF(OR(NOT(COUNTIF('商品マスタ'!$B$6:$B$1005,$W6422)=0),COUNTIFS('①在庫を貼る'!$V$6:$V$10005,$V6422,'①在庫を貼る'!$W$6:$W$10005,$W6422)&gt;0),N(U6421),N(U6421)+1))</f>
        <v/>
      </c>
      <c r="V6422" s="19">
        <f>IF($B6422="","",TEXT($B6422,"0000"))</f>
        <v/>
      </c>
      <c r="W6422" s="19">
        <f>IF($I6422="","",IF(ISNUMBER($I6422),TEXT($I6422,"0"),$I6422))</f>
        <v/>
      </c>
    </row>
    <row r="6423">
      <c r="B6423" s="25" t="n"/>
      <c r="I6423" s="25" t="n"/>
      <c r="U6423" s="19">
        <f>IF($V6423&lt;&gt;'設定'!$C$4,N(U6422),IF(OR(NOT(COUNTIF('商品マスタ'!$B$6:$B$1005,$W6423)=0),COUNTIFS('①在庫を貼る'!$V$6:$V$10005,$V6423,'①在庫を貼る'!$W$6:$W$10005,$W6423)&gt;0),N(U6422),N(U6422)+1))</f>
        <v/>
      </c>
      <c r="V6423" s="19">
        <f>IF($B6423="","",TEXT($B6423,"0000"))</f>
        <v/>
      </c>
      <c r="W6423" s="19">
        <f>IF($I6423="","",IF(ISNUMBER($I6423),TEXT($I6423,"0"),$I6423))</f>
        <v/>
      </c>
    </row>
    <row r="6424">
      <c r="B6424" s="25" t="n"/>
      <c r="I6424" s="25" t="n"/>
      <c r="U6424" s="19">
        <f>IF($V6424&lt;&gt;'設定'!$C$4,N(U6423),IF(OR(NOT(COUNTIF('商品マスタ'!$B$6:$B$1005,$W6424)=0),COUNTIFS('①在庫を貼る'!$V$6:$V$10005,$V6424,'①在庫を貼る'!$W$6:$W$10005,$W6424)&gt;0),N(U6423),N(U6423)+1))</f>
        <v/>
      </c>
      <c r="V6424" s="19">
        <f>IF($B6424="","",TEXT($B6424,"0000"))</f>
        <v/>
      </c>
      <c r="W6424" s="19">
        <f>IF($I6424="","",IF(ISNUMBER($I6424),TEXT($I6424,"0"),$I6424))</f>
        <v/>
      </c>
    </row>
    <row r="6425">
      <c r="B6425" s="25" t="n"/>
      <c r="I6425" s="25" t="n"/>
      <c r="U6425" s="19">
        <f>IF($V6425&lt;&gt;'設定'!$C$4,N(U6424),IF(OR(NOT(COUNTIF('商品マスタ'!$B$6:$B$1005,$W6425)=0),COUNTIFS('①在庫を貼る'!$V$6:$V$10005,$V6425,'①在庫を貼る'!$W$6:$W$10005,$W6425)&gt;0),N(U6424),N(U6424)+1))</f>
        <v/>
      </c>
      <c r="V6425" s="19">
        <f>IF($B6425="","",TEXT($B6425,"0000"))</f>
        <v/>
      </c>
      <c r="W6425" s="19">
        <f>IF($I6425="","",IF(ISNUMBER($I6425),TEXT($I6425,"0"),$I6425))</f>
        <v/>
      </c>
    </row>
    <row r="6426">
      <c r="B6426" s="25" t="n"/>
      <c r="I6426" s="25" t="n"/>
      <c r="U6426" s="19">
        <f>IF($V6426&lt;&gt;'設定'!$C$4,N(U6425),IF(OR(NOT(COUNTIF('商品マスタ'!$B$6:$B$1005,$W6426)=0),COUNTIFS('①在庫を貼る'!$V$6:$V$10005,$V6426,'①在庫を貼る'!$W$6:$W$10005,$W6426)&gt;0),N(U6425),N(U6425)+1))</f>
        <v/>
      </c>
      <c r="V6426" s="19">
        <f>IF($B6426="","",TEXT($B6426,"0000"))</f>
        <v/>
      </c>
      <c r="W6426" s="19">
        <f>IF($I6426="","",IF(ISNUMBER($I6426),TEXT($I6426,"0"),$I6426))</f>
        <v/>
      </c>
    </row>
    <row r="6427">
      <c r="B6427" s="25" t="n"/>
      <c r="I6427" s="25" t="n"/>
      <c r="U6427" s="19">
        <f>IF($V6427&lt;&gt;'設定'!$C$4,N(U6426),IF(OR(NOT(COUNTIF('商品マスタ'!$B$6:$B$1005,$W6427)=0),COUNTIFS('①在庫を貼る'!$V$6:$V$10005,$V6427,'①在庫を貼る'!$W$6:$W$10005,$W6427)&gt;0),N(U6426),N(U6426)+1))</f>
        <v/>
      </c>
      <c r="V6427" s="19">
        <f>IF($B6427="","",TEXT($B6427,"0000"))</f>
        <v/>
      </c>
      <c r="W6427" s="19">
        <f>IF($I6427="","",IF(ISNUMBER($I6427),TEXT($I6427,"0"),$I6427))</f>
        <v/>
      </c>
    </row>
    <row r="6428">
      <c r="B6428" s="25" t="n"/>
      <c r="I6428" s="25" t="n"/>
      <c r="U6428" s="19">
        <f>IF($V6428&lt;&gt;'設定'!$C$4,N(U6427),IF(OR(NOT(COUNTIF('商品マスタ'!$B$6:$B$1005,$W6428)=0),COUNTIFS('①在庫を貼る'!$V$6:$V$10005,$V6428,'①在庫を貼る'!$W$6:$W$10005,$W6428)&gt;0),N(U6427),N(U6427)+1))</f>
        <v/>
      </c>
      <c r="V6428" s="19">
        <f>IF($B6428="","",TEXT($B6428,"0000"))</f>
        <v/>
      </c>
      <c r="W6428" s="19">
        <f>IF($I6428="","",IF(ISNUMBER($I6428),TEXT($I6428,"0"),$I6428))</f>
        <v/>
      </c>
    </row>
    <row r="6429">
      <c r="B6429" s="25" t="n"/>
      <c r="I6429" s="25" t="n"/>
      <c r="U6429" s="19">
        <f>IF($V6429&lt;&gt;'設定'!$C$4,N(U6428),IF(OR(NOT(COUNTIF('商品マスタ'!$B$6:$B$1005,$W6429)=0),COUNTIFS('①在庫を貼る'!$V$6:$V$10005,$V6429,'①在庫を貼る'!$W$6:$W$10005,$W6429)&gt;0),N(U6428),N(U6428)+1))</f>
        <v/>
      </c>
      <c r="V6429" s="19">
        <f>IF($B6429="","",TEXT($B6429,"0000"))</f>
        <v/>
      </c>
      <c r="W6429" s="19">
        <f>IF($I6429="","",IF(ISNUMBER($I6429),TEXT($I6429,"0"),$I6429))</f>
        <v/>
      </c>
    </row>
    <row r="6430">
      <c r="B6430" s="25" t="n"/>
      <c r="I6430" s="25" t="n"/>
      <c r="U6430" s="19">
        <f>IF($V6430&lt;&gt;'設定'!$C$4,N(U6429),IF(OR(NOT(COUNTIF('商品マスタ'!$B$6:$B$1005,$W6430)=0),COUNTIFS('①在庫を貼る'!$V$6:$V$10005,$V6430,'①在庫を貼る'!$W$6:$W$10005,$W6430)&gt;0),N(U6429),N(U6429)+1))</f>
        <v/>
      </c>
      <c r="V6430" s="19">
        <f>IF($B6430="","",TEXT($B6430,"0000"))</f>
        <v/>
      </c>
      <c r="W6430" s="19">
        <f>IF($I6430="","",IF(ISNUMBER($I6430),TEXT($I6430,"0"),$I6430))</f>
        <v/>
      </c>
    </row>
    <row r="6431">
      <c r="B6431" s="25" t="n"/>
      <c r="I6431" s="25" t="n"/>
      <c r="U6431" s="19">
        <f>IF($V6431&lt;&gt;'設定'!$C$4,N(U6430),IF(OR(NOT(COUNTIF('商品マスタ'!$B$6:$B$1005,$W6431)=0),COUNTIFS('①在庫を貼る'!$V$6:$V$10005,$V6431,'①在庫を貼る'!$W$6:$W$10005,$W6431)&gt;0),N(U6430),N(U6430)+1))</f>
        <v/>
      </c>
      <c r="V6431" s="19">
        <f>IF($B6431="","",TEXT($B6431,"0000"))</f>
        <v/>
      </c>
      <c r="W6431" s="19">
        <f>IF($I6431="","",IF(ISNUMBER($I6431),TEXT($I6431,"0"),$I6431))</f>
        <v/>
      </c>
    </row>
    <row r="6432">
      <c r="B6432" s="25" t="n"/>
      <c r="I6432" s="25" t="n"/>
      <c r="U6432" s="19">
        <f>IF($V6432&lt;&gt;'設定'!$C$4,N(U6431),IF(OR(NOT(COUNTIF('商品マスタ'!$B$6:$B$1005,$W6432)=0),COUNTIFS('①在庫を貼る'!$V$6:$V$10005,$V6432,'①在庫を貼る'!$W$6:$W$10005,$W6432)&gt;0),N(U6431),N(U6431)+1))</f>
        <v/>
      </c>
      <c r="V6432" s="19">
        <f>IF($B6432="","",TEXT($B6432,"0000"))</f>
        <v/>
      </c>
      <c r="W6432" s="19">
        <f>IF($I6432="","",IF(ISNUMBER($I6432),TEXT($I6432,"0"),$I6432))</f>
        <v/>
      </c>
    </row>
    <row r="6433">
      <c r="B6433" s="25" t="n"/>
      <c r="I6433" s="25" t="n"/>
      <c r="U6433" s="19">
        <f>IF($V6433&lt;&gt;'設定'!$C$4,N(U6432),IF(OR(NOT(COUNTIF('商品マスタ'!$B$6:$B$1005,$W6433)=0),COUNTIFS('①在庫を貼る'!$V$6:$V$10005,$V6433,'①在庫を貼る'!$W$6:$W$10005,$W6433)&gt;0),N(U6432),N(U6432)+1))</f>
        <v/>
      </c>
      <c r="V6433" s="19">
        <f>IF($B6433="","",TEXT($B6433,"0000"))</f>
        <v/>
      </c>
      <c r="W6433" s="19">
        <f>IF($I6433="","",IF(ISNUMBER($I6433),TEXT($I6433,"0"),$I6433))</f>
        <v/>
      </c>
    </row>
    <row r="6434">
      <c r="B6434" s="25" t="n"/>
      <c r="I6434" s="25" t="n"/>
      <c r="U6434" s="19">
        <f>IF($V6434&lt;&gt;'設定'!$C$4,N(U6433),IF(OR(NOT(COUNTIF('商品マスタ'!$B$6:$B$1005,$W6434)=0),COUNTIFS('①在庫を貼る'!$V$6:$V$10005,$V6434,'①在庫を貼る'!$W$6:$W$10005,$W6434)&gt;0),N(U6433),N(U6433)+1))</f>
        <v/>
      </c>
      <c r="V6434" s="19">
        <f>IF($B6434="","",TEXT($B6434,"0000"))</f>
        <v/>
      </c>
      <c r="W6434" s="19">
        <f>IF($I6434="","",IF(ISNUMBER($I6434),TEXT($I6434,"0"),$I6434))</f>
        <v/>
      </c>
    </row>
    <row r="6435">
      <c r="B6435" s="25" t="n"/>
      <c r="I6435" s="25" t="n"/>
      <c r="U6435" s="19">
        <f>IF($V6435&lt;&gt;'設定'!$C$4,N(U6434),IF(OR(NOT(COUNTIF('商品マスタ'!$B$6:$B$1005,$W6435)=0),COUNTIFS('①在庫を貼る'!$V$6:$V$10005,$V6435,'①在庫を貼る'!$W$6:$W$10005,$W6435)&gt;0),N(U6434),N(U6434)+1))</f>
        <v/>
      </c>
      <c r="V6435" s="19">
        <f>IF($B6435="","",TEXT($B6435,"0000"))</f>
        <v/>
      </c>
      <c r="W6435" s="19">
        <f>IF($I6435="","",IF(ISNUMBER($I6435),TEXT($I6435,"0"),$I6435))</f>
        <v/>
      </c>
    </row>
    <row r="6436">
      <c r="B6436" s="25" t="n"/>
      <c r="I6436" s="25" t="n"/>
      <c r="U6436" s="19">
        <f>IF($V6436&lt;&gt;'設定'!$C$4,N(U6435),IF(OR(NOT(COUNTIF('商品マスタ'!$B$6:$B$1005,$W6436)=0),COUNTIFS('①在庫を貼る'!$V$6:$V$10005,$V6436,'①在庫を貼る'!$W$6:$W$10005,$W6436)&gt;0),N(U6435),N(U6435)+1))</f>
        <v/>
      </c>
      <c r="V6436" s="19">
        <f>IF($B6436="","",TEXT($B6436,"0000"))</f>
        <v/>
      </c>
      <c r="W6436" s="19">
        <f>IF($I6436="","",IF(ISNUMBER($I6436),TEXT($I6436,"0"),$I6436))</f>
        <v/>
      </c>
    </row>
    <row r="6437">
      <c r="B6437" s="25" t="n"/>
      <c r="I6437" s="25" t="n"/>
      <c r="U6437" s="19">
        <f>IF($V6437&lt;&gt;'設定'!$C$4,N(U6436),IF(OR(NOT(COUNTIF('商品マスタ'!$B$6:$B$1005,$W6437)=0),COUNTIFS('①在庫を貼る'!$V$6:$V$10005,$V6437,'①在庫を貼る'!$W$6:$W$10005,$W6437)&gt;0),N(U6436),N(U6436)+1))</f>
        <v/>
      </c>
      <c r="V6437" s="19">
        <f>IF($B6437="","",TEXT($B6437,"0000"))</f>
        <v/>
      </c>
      <c r="W6437" s="19">
        <f>IF($I6437="","",IF(ISNUMBER($I6437),TEXT($I6437,"0"),$I6437))</f>
        <v/>
      </c>
    </row>
    <row r="6438">
      <c r="B6438" s="25" t="n"/>
      <c r="I6438" s="25" t="n"/>
      <c r="U6438" s="19">
        <f>IF($V6438&lt;&gt;'設定'!$C$4,N(U6437),IF(OR(NOT(COUNTIF('商品マスタ'!$B$6:$B$1005,$W6438)=0),COUNTIFS('①在庫を貼る'!$V$6:$V$10005,$V6438,'①在庫を貼る'!$W$6:$W$10005,$W6438)&gt;0),N(U6437),N(U6437)+1))</f>
        <v/>
      </c>
      <c r="V6438" s="19">
        <f>IF($B6438="","",TEXT($B6438,"0000"))</f>
        <v/>
      </c>
      <c r="W6438" s="19">
        <f>IF($I6438="","",IF(ISNUMBER($I6438),TEXT($I6438,"0"),$I6438))</f>
        <v/>
      </c>
    </row>
    <row r="6439">
      <c r="B6439" s="25" t="n"/>
      <c r="I6439" s="25" t="n"/>
      <c r="U6439" s="19">
        <f>IF($V6439&lt;&gt;'設定'!$C$4,N(U6438),IF(OR(NOT(COUNTIF('商品マスタ'!$B$6:$B$1005,$W6439)=0),COUNTIFS('①在庫を貼る'!$V$6:$V$10005,$V6439,'①在庫を貼る'!$W$6:$W$10005,$W6439)&gt;0),N(U6438),N(U6438)+1))</f>
        <v/>
      </c>
      <c r="V6439" s="19">
        <f>IF($B6439="","",TEXT($B6439,"0000"))</f>
        <v/>
      </c>
      <c r="W6439" s="19">
        <f>IF($I6439="","",IF(ISNUMBER($I6439),TEXT($I6439,"0"),$I6439))</f>
        <v/>
      </c>
    </row>
    <row r="6440">
      <c r="B6440" s="25" t="n"/>
      <c r="I6440" s="25" t="n"/>
      <c r="U6440" s="19">
        <f>IF($V6440&lt;&gt;'設定'!$C$4,N(U6439),IF(OR(NOT(COUNTIF('商品マスタ'!$B$6:$B$1005,$W6440)=0),COUNTIFS('①在庫を貼る'!$V$6:$V$10005,$V6440,'①在庫を貼る'!$W$6:$W$10005,$W6440)&gt;0),N(U6439),N(U6439)+1))</f>
        <v/>
      </c>
      <c r="V6440" s="19">
        <f>IF($B6440="","",TEXT($B6440,"0000"))</f>
        <v/>
      </c>
      <c r="W6440" s="19">
        <f>IF($I6440="","",IF(ISNUMBER($I6440),TEXT($I6440,"0"),$I6440))</f>
        <v/>
      </c>
    </row>
    <row r="6441">
      <c r="B6441" s="25" t="n"/>
      <c r="I6441" s="25" t="n"/>
      <c r="U6441" s="19">
        <f>IF($V6441&lt;&gt;'設定'!$C$4,N(U6440),IF(OR(NOT(COUNTIF('商品マスタ'!$B$6:$B$1005,$W6441)=0),COUNTIFS('①在庫を貼る'!$V$6:$V$10005,$V6441,'①在庫を貼る'!$W$6:$W$10005,$W6441)&gt;0),N(U6440),N(U6440)+1))</f>
        <v/>
      </c>
      <c r="V6441" s="19">
        <f>IF($B6441="","",TEXT($B6441,"0000"))</f>
        <v/>
      </c>
      <c r="W6441" s="19">
        <f>IF($I6441="","",IF(ISNUMBER($I6441),TEXT($I6441,"0"),$I6441))</f>
        <v/>
      </c>
    </row>
    <row r="6442">
      <c r="B6442" s="25" t="n"/>
      <c r="I6442" s="25" t="n"/>
      <c r="U6442" s="19">
        <f>IF($V6442&lt;&gt;'設定'!$C$4,N(U6441),IF(OR(NOT(COUNTIF('商品マスタ'!$B$6:$B$1005,$W6442)=0),COUNTIFS('①在庫を貼る'!$V$6:$V$10005,$V6442,'①在庫を貼る'!$W$6:$W$10005,$W6442)&gt;0),N(U6441),N(U6441)+1))</f>
        <v/>
      </c>
      <c r="V6442" s="19">
        <f>IF($B6442="","",TEXT($B6442,"0000"))</f>
        <v/>
      </c>
      <c r="W6442" s="19">
        <f>IF($I6442="","",IF(ISNUMBER($I6442),TEXT($I6442,"0"),$I6442))</f>
        <v/>
      </c>
    </row>
    <row r="6443">
      <c r="B6443" s="25" t="n"/>
      <c r="I6443" s="25" t="n"/>
      <c r="U6443" s="19">
        <f>IF($V6443&lt;&gt;'設定'!$C$4,N(U6442),IF(OR(NOT(COUNTIF('商品マスタ'!$B$6:$B$1005,$W6443)=0),COUNTIFS('①在庫を貼る'!$V$6:$V$10005,$V6443,'①在庫を貼る'!$W$6:$W$10005,$W6443)&gt;0),N(U6442),N(U6442)+1))</f>
        <v/>
      </c>
      <c r="V6443" s="19">
        <f>IF($B6443="","",TEXT($B6443,"0000"))</f>
        <v/>
      </c>
      <c r="W6443" s="19">
        <f>IF($I6443="","",IF(ISNUMBER($I6443),TEXT($I6443,"0"),$I6443))</f>
        <v/>
      </c>
    </row>
    <row r="6444">
      <c r="B6444" s="25" t="n"/>
      <c r="I6444" s="25" t="n"/>
      <c r="U6444" s="19">
        <f>IF($V6444&lt;&gt;'設定'!$C$4,N(U6443),IF(OR(NOT(COUNTIF('商品マスタ'!$B$6:$B$1005,$W6444)=0),COUNTIFS('①在庫を貼る'!$V$6:$V$10005,$V6444,'①在庫を貼る'!$W$6:$W$10005,$W6444)&gt;0),N(U6443),N(U6443)+1))</f>
        <v/>
      </c>
      <c r="V6444" s="19">
        <f>IF($B6444="","",TEXT($B6444,"0000"))</f>
        <v/>
      </c>
      <c r="W6444" s="19">
        <f>IF($I6444="","",IF(ISNUMBER($I6444),TEXT($I6444,"0"),$I6444))</f>
        <v/>
      </c>
    </row>
    <row r="6445">
      <c r="B6445" s="25" t="n"/>
      <c r="I6445" s="25" t="n"/>
      <c r="U6445" s="19">
        <f>IF($V6445&lt;&gt;'設定'!$C$4,N(U6444),IF(OR(NOT(COUNTIF('商品マスタ'!$B$6:$B$1005,$W6445)=0),COUNTIFS('①在庫を貼る'!$V$6:$V$10005,$V6445,'①在庫を貼る'!$W$6:$W$10005,$W6445)&gt;0),N(U6444),N(U6444)+1))</f>
        <v/>
      </c>
      <c r="V6445" s="19">
        <f>IF($B6445="","",TEXT($B6445,"0000"))</f>
        <v/>
      </c>
      <c r="W6445" s="19">
        <f>IF($I6445="","",IF(ISNUMBER($I6445),TEXT($I6445,"0"),$I6445))</f>
        <v/>
      </c>
    </row>
    <row r="6446">
      <c r="B6446" s="25" t="n"/>
      <c r="I6446" s="25" t="n"/>
      <c r="U6446" s="19">
        <f>IF($V6446&lt;&gt;'設定'!$C$4,N(U6445),IF(OR(NOT(COUNTIF('商品マスタ'!$B$6:$B$1005,$W6446)=0),COUNTIFS('①在庫を貼る'!$V$6:$V$10005,$V6446,'①在庫を貼る'!$W$6:$W$10005,$W6446)&gt;0),N(U6445),N(U6445)+1))</f>
        <v/>
      </c>
      <c r="V6446" s="19">
        <f>IF($B6446="","",TEXT($B6446,"0000"))</f>
        <v/>
      </c>
      <c r="W6446" s="19">
        <f>IF($I6446="","",IF(ISNUMBER($I6446),TEXT($I6446,"0"),$I6446))</f>
        <v/>
      </c>
    </row>
    <row r="6447">
      <c r="B6447" s="25" t="n"/>
      <c r="I6447" s="25" t="n"/>
      <c r="U6447" s="19">
        <f>IF($V6447&lt;&gt;'設定'!$C$4,N(U6446),IF(OR(NOT(COUNTIF('商品マスタ'!$B$6:$B$1005,$W6447)=0),COUNTIFS('①在庫を貼る'!$V$6:$V$10005,$V6447,'①在庫を貼る'!$W$6:$W$10005,$W6447)&gt;0),N(U6446),N(U6446)+1))</f>
        <v/>
      </c>
      <c r="V6447" s="19">
        <f>IF($B6447="","",TEXT($B6447,"0000"))</f>
        <v/>
      </c>
      <c r="W6447" s="19">
        <f>IF($I6447="","",IF(ISNUMBER($I6447),TEXT($I6447,"0"),$I6447))</f>
        <v/>
      </c>
    </row>
    <row r="6448">
      <c r="B6448" s="25" t="n"/>
      <c r="I6448" s="25" t="n"/>
      <c r="U6448" s="19">
        <f>IF($V6448&lt;&gt;'設定'!$C$4,N(U6447),IF(OR(NOT(COUNTIF('商品マスタ'!$B$6:$B$1005,$W6448)=0),COUNTIFS('①在庫を貼る'!$V$6:$V$10005,$V6448,'①在庫を貼る'!$W$6:$W$10005,$W6448)&gt;0),N(U6447),N(U6447)+1))</f>
        <v/>
      </c>
      <c r="V6448" s="19">
        <f>IF($B6448="","",TEXT($B6448,"0000"))</f>
        <v/>
      </c>
      <c r="W6448" s="19">
        <f>IF($I6448="","",IF(ISNUMBER($I6448),TEXT($I6448,"0"),$I6448))</f>
        <v/>
      </c>
    </row>
    <row r="6449">
      <c r="B6449" s="25" t="n"/>
      <c r="I6449" s="25" t="n"/>
      <c r="U6449" s="19">
        <f>IF($V6449&lt;&gt;'設定'!$C$4,N(U6448),IF(OR(NOT(COUNTIF('商品マスタ'!$B$6:$B$1005,$W6449)=0),COUNTIFS('①在庫を貼る'!$V$6:$V$10005,$V6449,'①在庫を貼る'!$W$6:$W$10005,$W6449)&gt;0),N(U6448),N(U6448)+1))</f>
        <v/>
      </c>
      <c r="V6449" s="19">
        <f>IF($B6449="","",TEXT($B6449,"0000"))</f>
        <v/>
      </c>
      <c r="W6449" s="19">
        <f>IF($I6449="","",IF(ISNUMBER($I6449),TEXT($I6449,"0"),$I6449))</f>
        <v/>
      </c>
    </row>
    <row r="6450">
      <c r="B6450" s="25" t="n"/>
      <c r="I6450" s="25" t="n"/>
      <c r="U6450" s="19">
        <f>IF($V6450&lt;&gt;'設定'!$C$4,N(U6449),IF(OR(NOT(COUNTIF('商品マスタ'!$B$6:$B$1005,$W6450)=0),COUNTIFS('①在庫を貼る'!$V$6:$V$10005,$V6450,'①在庫を貼る'!$W$6:$W$10005,$W6450)&gt;0),N(U6449),N(U6449)+1))</f>
        <v/>
      </c>
      <c r="V6450" s="19">
        <f>IF($B6450="","",TEXT($B6450,"0000"))</f>
        <v/>
      </c>
      <c r="W6450" s="19">
        <f>IF($I6450="","",IF(ISNUMBER($I6450),TEXT($I6450,"0"),$I6450))</f>
        <v/>
      </c>
    </row>
    <row r="6451">
      <c r="B6451" s="25" t="n"/>
      <c r="I6451" s="25" t="n"/>
      <c r="U6451" s="19">
        <f>IF($V6451&lt;&gt;'設定'!$C$4,N(U6450),IF(OR(NOT(COUNTIF('商品マスタ'!$B$6:$B$1005,$W6451)=0),COUNTIFS('①在庫を貼る'!$V$6:$V$10005,$V6451,'①在庫を貼る'!$W$6:$W$10005,$W6451)&gt;0),N(U6450),N(U6450)+1))</f>
        <v/>
      </c>
      <c r="V6451" s="19">
        <f>IF($B6451="","",TEXT($B6451,"0000"))</f>
        <v/>
      </c>
      <c r="W6451" s="19">
        <f>IF($I6451="","",IF(ISNUMBER($I6451),TEXT($I6451,"0"),$I6451))</f>
        <v/>
      </c>
    </row>
    <row r="6452">
      <c r="B6452" s="25" t="n"/>
      <c r="I6452" s="25" t="n"/>
      <c r="U6452" s="19">
        <f>IF($V6452&lt;&gt;'設定'!$C$4,N(U6451),IF(OR(NOT(COUNTIF('商品マスタ'!$B$6:$B$1005,$W6452)=0),COUNTIFS('①在庫を貼る'!$V$6:$V$10005,$V6452,'①在庫を貼る'!$W$6:$W$10005,$W6452)&gt;0),N(U6451),N(U6451)+1))</f>
        <v/>
      </c>
      <c r="V6452" s="19">
        <f>IF($B6452="","",TEXT($B6452,"0000"))</f>
        <v/>
      </c>
      <c r="W6452" s="19">
        <f>IF($I6452="","",IF(ISNUMBER($I6452),TEXT($I6452,"0"),$I6452))</f>
        <v/>
      </c>
    </row>
    <row r="6453">
      <c r="B6453" s="25" t="n"/>
      <c r="I6453" s="25" t="n"/>
      <c r="U6453" s="19">
        <f>IF($V6453&lt;&gt;'設定'!$C$4,N(U6452),IF(OR(NOT(COUNTIF('商品マスタ'!$B$6:$B$1005,$W6453)=0),COUNTIFS('①在庫を貼る'!$V$6:$V$10005,$V6453,'①在庫を貼る'!$W$6:$W$10005,$W6453)&gt;0),N(U6452),N(U6452)+1))</f>
        <v/>
      </c>
      <c r="V6453" s="19">
        <f>IF($B6453="","",TEXT($B6453,"0000"))</f>
        <v/>
      </c>
      <c r="W6453" s="19">
        <f>IF($I6453="","",IF(ISNUMBER($I6453),TEXT($I6453,"0"),$I6453))</f>
        <v/>
      </c>
    </row>
    <row r="6454">
      <c r="B6454" s="25" t="n"/>
      <c r="I6454" s="25" t="n"/>
      <c r="U6454" s="19">
        <f>IF($V6454&lt;&gt;'設定'!$C$4,N(U6453),IF(OR(NOT(COUNTIF('商品マスタ'!$B$6:$B$1005,$W6454)=0),COUNTIFS('①在庫を貼る'!$V$6:$V$10005,$V6454,'①在庫を貼る'!$W$6:$W$10005,$W6454)&gt;0),N(U6453),N(U6453)+1))</f>
        <v/>
      </c>
      <c r="V6454" s="19">
        <f>IF($B6454="","",TEXT($B6454,"0000"))</f>
        <v/>
      </c>
      <c r="W6454" s="19">
        <f>IF($I6454="","",IF(ISNUMBER($I6454),TEXT($I6454,"0"),$I6454))</f>
        <v/>
      </c>
    </row>
    <row r="6455">
      <c r="B6455" s="25" t="n"/>
      <c r="I6455" s="25" t="n"/>
      <c r="U6455" s="19">
        <f>IF($V6455&lt;&gt;'設定'!$C$4,N(U6454),IF(OR(NOT(COUNTIF('商品マスタ'!$B$6:$B$1005,$W6455)=0),COUNTIFS('①在庫を貼る'!$V$6:$V$10005,$V6455,'①在庫を貼る'!$W$6:$W$10005,$W6455)&gt;0),N(U6454),N(U6454)+1))</f>
        <v/>
      </c>
      <c r="V6455" s="19">
        <f>IF($B6455="","",TEXT($B6455,"0000"))</f>
        <v/>
      </c>
      <c r="W6455" s="19">
        <f>IF($I6455="","",IF(ISNUMBER($I6455),TEXT($I6455,"0"),$I6455))</f>
        <v/>
      </c>
    </row>
    <row r="6456">
      <c r="B6456" s="25" t="n"/>
      <c r="I6456" s="25" t="n"/>
      <c r="U6456" s="19">
        <f>IF($V6456&lt;&gt;'設定'!$C$4,N(U6455),IF(OR(NOT(COUNTIF('商品マスタ'!$B$6:$B$1005,$W6456)=0),COUNTIFS('①在庫を貼る'!$V$6:$V$10005,$V6456,'①在庫を貼る'!$W$6:$W$10005,$W6456)&gt;0),N(U6455),N(U6455)+1))</f>
        <v/>
      </c>
      <c r="V6456" s="19">
        <f>IF($B6456="","",TEXT($B6456,"0000"))</f>
        <v/>
      </c>
      <c r="W6456" s="19">
        <f>IF($I6456="","",IF(ISNUMBER($I6456),TEXT($I6456,"0"),$I6456))</f>
        <v/>
      </c>
    </row>
    <row r="6457">
      <c r="B6457" s="25" t="n"/>
      <c r="I6457" s="25" t="n"/>
      <c r="U6457" s="19">
        <f>IF($V6457&lt;&gt;'設定'!$C$4,N(U6456),IF(OR(NOT(COUNTIF('商品マスタ'!$B$6:$B$1005,$W6457)=0),COUNTIFS('①在庫を貼る'!$V$6:$V$10005,$V6457,'①在庫を貼る'!$W$6:$W$10005,$W6457)&gt;0),N(U6456),N(U6456)+1))</f>
        <v/>
      </c>
      <c r="V6457" s="19">
        <f>IF($B6457="","",TEXT($B6457,"0000"))</f>
        <v/>
      </c>
      <c r="W6457" s="19">
        <f>IF($I6457="","",IF(ISNUMBER($I6457),TEXT($I6457,"0"),$I6457))</f>
        <v/>
      </c>
    </row>
    <row r="6458">
      <c r="B6458" s="25" t="n"/>
      <c r="I6458" s="25" t="n"/>
      <c r="U6458" s="19">
        <f>IF($V6458&lt;&gt;'設定'!$C$4,N(U6457),IF(OR(NOT(COUNTIF('商品マスタ'!$B$6:$B$1005,$W6458)=0),COUNTIFS('①在庫を貼る'!$V$6:$V$10005,$V6458,'①在庫を貼る'!$W$6:$W$10005,$W6458)&gt;0),N(U6457),N(U6457)+1))</f>
        <v/>
      </c>
      <c r="V6458" s="19">
        <f>IF($B6458="","",TEXT($B6458,"0000"))</f>
        <v/>
      </c>
      <c r="W6458" s="19">
        <f>IF($I6458="","",IF(ISNUMBER($I6458),TEXT($I6458,"0"),$I6458))</f>
        <v/>
      </c>
    </row>
    <row r="6459">
      <c r="B6459" s="25" t="n"/>
      <c r="I6459" s="25" t="n"/>
      <c r="U6459" s="19">
        <f>IF($V6459&lt;&gt;'設定'!$C$4,N(U6458),IF(OR(NOT(COUNTIF('商品マスタ'!$B$6:$B$1005,$W6459)=0),COUNTIFS('①在庫を貼る'!$V$6:$V$10005,$V6459,'①在庫を貼る'!$W$6:$W$10005,$W6459)&gt;0),N(U6458),N(U6458)+1))</f>
        <v/>
      </c>
      <c r="V6459" s="19">
        <f>IF($B6459="","",TEXT($B6459,"0000"))</f>
        <v/>
      </c>
      <c r="W6459" s="19">
        <f>IF($I6459="","",IF(ISNUMBER($I6459),TEXT($I6459,"0"),$I6459))</f>
        <v/>
      </c>
    </row>
    <row r="6460">
      <c r="B6460" s="25" t="n"/>
      <c r="I6460" s="25" t="n"/>
      <c r="U6460" s="19">
        <f>IF($V6460&lt;&gt;'設定'!$C$4,N(U6459),IF(OR(NOT(COUNTIF('商品マスタ'!$B$6:$B$1005,$W6460)=0),COUNTIFS('①在庫を貼る'!$V$6:$V$10005,$V6460,'①在庫を貼る'!$W$6:$W$10005,$W6460)&gt;0),N(U6459),N(U6459)+1))</f>
        <v/>
      </c>
      <c r="V6460" s="19">
        <f>IF($B6460="","",TEXT($B6460,"0000"))</f>
        <v/>
      </c>
      <c r="W6460" s="19">
        <f>IF($I6460="","",IF(ISNUMBER($I6460),TEXT($I6460,"0"),$I6460))</f>
        <v/>
      </c>
    </row>
    <row r="6461">
      <c r="B6461" s="25" t="n"/>
      <c r="I6461" s="25" t="n"/>
      <c r="U6461" s="19">
        <f>IF($V6461&lt;&gt;'設定'!$C$4,N(U6460),IF(OR(NOT(COUNTIF('商品マスタ'!$B$6:$B$1005,$W6461)=0),COUNTIFS('①在庫を貼る'!$V$6:$V$10005,$V6461,'①在庫を貼る'!$W$6:$W$10005,$W6461)&gt;0),N(U6460),N(U6460)+1))</f>
        <v/>
      </c>
      <c r="V6461" s="19">
        <f>IF($B6461="","",TEXT($B6461,"0000"))</f>
        <v/>
      </c>
      <c r="W6461" s="19">
        <f>IF($I6461="","",IF(ISNUMBER($I6461),TEXT($I6461,"0"),$I6461))</f>
        <v/>
      </c>
    </row>
    <row r="6462">
      <c r="B6462" s="25" t="n"/>
      <c r="I6462" s="25" t="n"/>
      <c r="U6462" s="19">
        <f>IF($V6462&lt;&gt;'設定'!$C$4,N(U6461),IF(OR(NOT(COUNTIF('商品マスタ'!$B$6:$B$1005,$W6462)=0),COUNTIFS('①在庫を貼る'!$V$6:$V$10005,$V6462,'①在庫を貼る'!$W$6:$W$10005,$W6462)&gt;0),N(U6461),N(U6461)+1))</f>
        <v/>
      </c>
      <c r="V6462" s="19">
        <f>IF($B6462="","",TEXT($B6462,"0000"))</f>
        <v/>
      </c>
      <c r="W6462" s="19">
        <f>IF($I6462="","",IF(ISNUMBER($I6462),TEXT($I6462,"0"),$I6462))</f>
        <v/>
      </c>
    </row>
    <row r="6463">
      <c r="B6463" s="25" t="n"/>
      <c r="I6463" s="25" t="n"/>
      <c r="U6463" s="19">
        <f>IF($V6463&lt;&gt;'設定'!$C$4,N(U6462),IF(OR(NOT(COUNTIF('商品マスタ'!$B$6:$B$1005,$W6463)=0),COUNTIFS('①在庫を貼る'!$V$6:$V$10005,$V6463,'①在庫を貼る'!$W$6:$W$10005,$W6463)&gt;0),N(U6462),N(U6462)+1))</f>
        <v/>
      </c>
      <c r="V6463" s="19">
        <f>IF($B6463="","",TEXT($B6463,"0000"))</f>
        <v/>
      </c>
      <c r="W6463" s="19">
        <f>IF($I6463="","",IF(ISNUMBER($I6463),TEXT($I6463,"0"),$I6463))</f>
        <v/>
      </c>
    </row>
    <row r="6464">
      <c r="B6464" s="25" t="n"/>
      <c r="I6464" s="25" t="n"/>
      <c r="U6464" s="19">
        <f>IF($V6464&lt;&gt;'設定'!$C$4,N(U6463),IF(OR(NOT(COUNTIF('商品マスタ'!$B$6:$B$1005,$W6464)=0),COUNTIFS('①在庫を貼る'!$V$6:$V$10005,$V6464,'①在庫を貼る'!$W$6:$W$10005,$W6464)&gt;0),N(U6463),N(U6463)+1))</f>
        <v/>
      </c>
      <c r="V6464" s="19">
        <f>IF($B6464="","",TEXT($B6464,"0000"))</f>
        <v/>
      </c>
      <c r="W6464" s="19">
        <f>IF($I6464="","",IF(ISNUMBER($I6464),TEXT($I6464,"0"),$I6464))</f>
        <v/>
      </c>
    </row>
    <row r="6465">
      <c r="B6465" s="25" t="n"/>
      <c r="I6465" s="25" t="n"/>
      <c r="U6465" s="19">
        <f>IF($V6465&lt;&gt;'設定'!$C$4,N(U6464),IF(OR(NOT(COUNTIF('商品マスタ'!$B$6:$B$1005,$W6465)=0),COUNTIFS('①在庫を貼る'!$V$6:$V$10005,$V6465,'①在庫を貼る'!$W$6:$W$10005,$W6465)&gt;0),N(U6464),N(U6464)+1))</f>
        <v/>
      </c>
      <c r="V6465" s="19">
        <f>IF($B6465="","",TEXT($B6465,"0000"))</f>
        <v/>
      </c>
      <c r="W6465" s="19">
        <f>IF($I6465="","",IF(ISNUMBER($I6465),TEXT($I6465,"0"),$I6465))</f>
        <v/>
      </c>
    </row>
    <row r="6466">
      <c r="B6466" s="25" t="n"/>
      <c r="I6466" s="25" t="n"/>
      <c r="U6466" s="19">
        <f>IF($V6466&lt;&gt;'設定'!$C$4,N(U6465),IF(OR(NOT(COUNTIF('商品マスタ'!$B$6:$B$1005,$W6466)=0),COUNTIFS('①在庫を貼る'!$V$6:$V$10005,$V6466,'①在庫を貼る'!$W$6:$W$10005,$W6466)&gt;0),N(U6465),N(U6465)+1))</f>
        <v/>
      </c>
      <c r="V6466" s="19">
        <f>IF($B6466="","",TEXT($B6466,"0000"))</f>
        <v/>
      </c>
      <c r="W6466" s="19">
        <f>IF($I6466="","",IF(ISNUMBER($I6466),TEXT($I6466,"0"),$I6466))</f>
        <v/>
      </c>
    </row>
    <row r="6467">
      <c r="B6467" s="25" t="n"/>
      <c r="I6467" s="25" t="n"/>
      <c r="U6467" s="19">
        <f>IF($V6467&lt;&gt;'設定'!$C$4,N(U6466),IF(OR(NOT(COUNTIF('商品マスタ'!$B$6:$B$1005,$W6467)=0),COUNTIFS('①在庫を貼る'!$V$6:$V$10005,$V6467,'①在庫を貼る'!$W$6:$W$10005,$W6467)&gt;0),N(U6466),N(U6466)+1))</f>
        <v/>
      </c>
      <c r="V6467" s="19">
        <f>IF($B6467="","",TEXT($B6467,"0000"))</f>
        <v/>
      </c>
      <c r="W6467" s="19">
        <f>IF($I6467="","",IF(ISNUMBER($I6467),TEXT($I6467,"0"),$I6467))</f>
        <v/>
      </c>
    </row>
    <row r="6468">
      <c r="B6468" s="25" t="n"/>
      <c r="I6468" s="25" t="n"/>
      <c r="U6468" s="19">
        <f>IF($V6468&lt;&gt;'設定'!$C$4,N(U6467),IF(OR(NOT(COUNTIF('商品マスタ'!$B$6:$B$1005,$W6468)=0),COUNTIFS('①在庫を貼る'!$V$6:$V$10005,$V6468,'①在庫を貼る'!$W$6:$W$10005,$W6468)&gt;0),N(U6467),N(U6467)+1))</f>
        <v/>
      </c>
      <c r="V6468" s="19">
        <f>IF($B6468="","",TEXT($B6468,"0000"))</f>
        <v/>
      </c>
      <c r="W6468" s="19">
        <f>IF($I6468="","",IF(ISNUMBER($I6468),TEXT($I6468,"0"),$I6468))</f>
        <v/>
      </c>
    </row>
    <row r="6469">
      <c r="B6469" s="25" t="n"/>
      <c r="I6469" s="25" t="n"/>
      <c r="U6469" s="19">
        <f>IF($V6469&lt;&gt;'設定'!$C$4,N(U6468),IF(OR(NOT(COUNTIF('商品マスタ'!$B$6:$B$1005,$W6469)=0),COUNTIFS('①在庫を貼る'!$V$6:$V$10005,$V6469,'①在庫を貼る'!$W$6:$W$10005,$W6469)&gt;0),N(U6468),N(U6468)+1))</f>
        <v/>
      </c>
      <c r="V6469" s="19">
        <f>IF($B6469="","",TEXT($B6469,"0000"))</f>
        <v/>
      </c>
      <c r="W6469" s="19">
        <f>IF($I6469="","",IF(ISNUMBER($I6469),TEXT($I6469,"0"),$I6469))</f>
        <v/>
      </c>
    </row>
    <row r="6470">
      <c r="B6470" s="25" t="n"/>
      <c r="I6470" s="25" t="n"/>
      <c r="U6470" s="19">
        <f>IF($V6470&lt;&gt;'設定'!$C$4,N(U6469),IF(OR(NOT(COUNTIF('商品マスタ'!$B$6:$B$1005,$W6470)=0),COUNTIFS('①在庫を貼る'!$V$6:$V$10005,$V6470,'①在庫を貼る'!$W$6:$W$10005,$W6470)&gt;0),N(U6469),N(U6469)+1))</f>
        <v/>
      </c>
      <c r="V6470" s="19">
        <f>IF($B6470="","",TEXT($B6470,"0000"))</f>
        <v/>
      </c>
      <c r="W6470" s="19">
        <f>IF($I6470="","",IF(ISNUMBER($I6470),TEXT($I6470,"0"),$I6470))</f>
        <v/>
      </c>
    </row>
    <row r="6471">
      <c r="B6471" s="25" t="n"/>
      <c r="I6471" s="25" t="n"/>
      <c r="U6471" s="19">
        <f>IF($V6471&lt;&gt;'設定'!$C$4,N(U6470),IF(OR(NOT(COUNTIF('商品マスタ'!$B$6:$B$1005,$W6471)=0),COUNTIFS('①在庫を貼る'!$V$6:$V$10005,$V6471,'①在庫を貼る'!$W$6:$W$10005,$W6471)&gt;0),N(U6470),N(U6470)+1))</f>
        <v/>
      </c>
      <c r="V6471" s="19">
        <f>IF($B6471="","",TEXT($B6471,"0000"))</f>
        <v/>
      </c>
      <c r="W6471" s="19">
        <f>IF($I6471="","",IF(ISNUMBER($I6471),TEXT($I6471,"0"),$I6471))</f>
        <v/>
      </c>
    </row>
    <row r="6472">
      <c r="B6472" s="25" t="n"/>
      <c r="I6472" s="25" t="n"/>
      <c r="U6472" s="19">
        <f>IF($V6472&lt;&gt;'設定'!$C$4,N(U6471),IF(OR(NOT(COUNTIF('商品マスタ'!$B$6:$B$1005,$W6472)=0),COUNTIFS('①在庫を貼る'!$V$6:$V$10005,$V6472,'①在庫を貼る'!$W$6:$W$10005,$W6472)&gt;0),N(U6471),N(U6471)+1))</f>
        <v/>
      </c>
      <c r="V6472" s="19">
        <f>IF($B6472="","",TEXT($B6472,"0000"))</f>
        <v/>
      </c>
      <c r="W6472" s="19">
        <f>IF($I6472="","",IF(ISNUMBER($I6472),TEXT($I6472,"0"),$I6472))</f>
        <v/>
      </c>
    </row>
    <row r="6473">
      <c r="B6473" s="25" t="n"/>
      <c r="I6473" s="25" t="n"/>
      <c r="U6473" s="19">
        <f>IF($V6473&lt;&gt;'設定'!$C$4,N(U6472),IF(OR(NOT(COUNTIF('商品マスタ'!$B$6:$B$1005,$W6473)=0),COUNTIFS('①在庫を貼る'!$V$6:$V$10005,$V6473,'①在庫を貼る'!$W$6:$W$10005,$W6473)&gt;0),N(U6472),N(U6472)+1))</f>
        <v/>
      </c>
      <c r="V6473" s="19">
        <f>IF($B6473="","",TEXT($B6473,"0000"))</f>
        <v/>
      </c>
      <c r="W6473" s="19">
        <f>IF($I6473="","",IF(ISNUMBER($I6473),TEXT($I6473,"0"),$I6473))</f>
        <v/>
      </c>
    </row>
    <row r="6474">
      <c r="B6474" s="25" t="n"/>
      <c r="I6474" s="25" t="n"/>
      <c r="U6474" s="19">
        <f>IF($V6474&lt;&gt;'設定'!$C$4,N(U6473),IF(OR(NOT(COUNTIF('商品マスタ'!$B$6:$B$1005,$W6474)=0),COUNTIFS('①在庫を貼る'!$V$6:$V$10005,$V6474,'①在庫を貼る'!$W$6:$W$10005,$W6474)&gt;0),N(U6473),N(U6473)+1))</f>
        <v/>
      </c>
      <c r="V6474" s="19">
        <f>IF($B6474="","",TEXT($B6474,"0000"))</f>
        <v/>
      </c>
      <c r="W6474" s="19">
        <f>IF($I6474="","",IF(ISNUMBER($I6474),TEXT($I6474,"0"),$I6474))</f>
        <v/>
      </c>
    </row>
    <row r="6475">
      <c r="B6475" s="25" t="n"/>
      <c r="I6475" s="25" t="n"/>
      <c r="U6475" s="19">
        <f>IF($V6475&lt;&gt;'設定'!$C$4,N(U6474),IF(OR(NOT(COUNTIF('商品マスタ'!$B$6:$B$1005,$W6475)=0),COUNTIFS('①在庫を貼る'!$V$6:$V$10005,$V6475,'①在庫を貼る'!$W$6:$W$10005,$W6475)&gt;0),N(U6474),N(U6474)+1))</f>
        <v/>
      </c>
      <c r="V6475" s="19">
        <f>IF($B6475="","",TEXT($B6475,"0000"))</f>
        <v/>
      </c>
      <c r="W6475" s="19">
        <f>IF($I6475="","",IF(ISNUMBER($I6475),TEXT($I6475,"0"),$I6475))</f>
        <v/>
      </c>
    </row>
    <row r="6476">
      <c r="B6476" s="25" t="n"/>
      <c r="I6476" s="25" t="n"/>
      <c r="U6476" s="19">
        <f>IF($V6476&lt;&gt;'設定'!$C$4,N(U6475),IF(OR(NOT(COUNTIF('商品マスタ'!$B$6:$B$1005,$W6476)=0),COUNTIFS('①在庫を貼る'!$V$6:$V$10005,$V6476,'①在庫を貼る'!$W$6:$W$10005,$W6476)&gt;0),N(U6475),N(U6475)+1))</f>
        <v/>
      </c>
      <c r="V6476" s="19">
        <f>IF($B6476="","",TEXT($B6476,"0000"))</f>
        <v/>
      </c>
      <c r="W6476" s="19">
        <f>IF($I6476="","",IF(ISNUMBER($I6476),TEXT($I6476,"0"),$I6476))</f>
        <v/>
      </c>
    </row>
    <row r="6477">
      <c r="B6477" s="25" t="n"/>
      <c r="I6477" s="25" t="n"/>
      <c r="U6477" s="19">
        <f>IF($V6477&lt;&gt;'設定'!$C$4,N(U6476),IF(OR(NOT(COUNTIF('商品マスタ'!$B$6:$B$1005,$W6477)=0),COUNTIFS('①在庫を貼る'!$V$6:$V$10005,$V6477,'①在庫を貼る'!$W$6:$W$10005,$W6477)&gt;0),N(U6476),N(U6476)+1))</f>
        <v/>
      </c>
      <c r="V6477" s="19">
        <f>IF($B6477="","",TEXT($B6477,"0000"))</f>
        <v/>
      </c>
      <c r="W6477" s="19">
        <f>IF($I6477="","",IF(ISNUMBER($I6477),TEXT($I6477,"0"),$I6477))</f>
        <v/>
      </c>
    </row>
    <row r="6478">
      <c r="B6478" s="25" t="n"/>
      <c r="I6478" s="25" t="n"/>
      <c r="U6478" s="19">
        <f>IF($V6478&lt;&gt;'設定'!$C$4,N(U6477),IF(OR(NOT(COUNTIF('商品マスタ'!$B$6:$B$1005,$W6478)=0),COUNTIFS('①在庫を貼る'!$V$6:$V$10005,$V6478,'①在庫を貼る'!$W$6:$W$10005,$W6478)&gt;0),N(U6477),N(U6477)+1))</f>
        <v/>
      </c>
      <c r="V6478" s="19">
        <f>IF($B6478="","",TEXT($B6478,"0000"))</f>
        <v/>
      </c>
      <c r="W6478" s="19">
        <f>IF($I6478="","",IF(ISNUMBER($I6478),TEXT($I6478,"0"),$I6478))</f>
        <v/>
      </c>
    </row>
    <row r="6479">
      <c r="B6479" s="25" t="n"/>
      <c r="I6479" s="25" t="n"/>
      <c r="U6479" s="19">
        <f>IF($V6479&lt;&gt;'設定'!$C$4,N(U6478),IF(OR(NOT(COUNTIF('商品マスタ'!$B$6:$B$1005,$W6479)=0),COUNTIFS('①在庫を貼る'!$V$6:$V$10005,$V6479,'①在庫を貼る'!$W$6:$W$10005,$W6479)&gt;0),N(U6478),N(U6478)+1))</f>
        <v/>
      </c>
      <c r="V6479" s="19">
        <f>IF($B6479="","",TEXT($B6479,"0000"))</f>
        <v/>
      </c>
      <c r="W6479" s="19">
        <f>IF($I6479="","",IF(ISNUMBER($I6479),TEXT($I6479,"0"),$I6479))</f>
        <v/>
      </c>
    </row>
    <row r="6480">
      <c r="B6480" s="25" t="n"/>
      <c r="I6480" s="25" t="n"/>
      <c r="U6480" s="19">
        <f>IF($V6480&lt;&gt;'設定'!$C$4,N(U6479),IF(OR(NOT(COUNTIF('商品マスタ'!$B$6:$B$1005,$W6480)=0),COUNTIFS('①在庫を貼る'!$V$6:$V$10005,$V6480,'①在庫を貼る'!$W$6:$W$10005,$W6480)&gt;0),N(U6479),N(U6479)+1))</f>
        <v/>
      </c>
      <c r="V6480" s="19">
        <f>IF($B6480="","",TEXT($B6480,"0000"))</f>
        <v/>
      </c>
      <c r="W6480" s="19">
        <f>IF($I6480="","",IF(ISNUMBER($I6480),TEXT($I6480,"0"),$I6480))</f>
        <v/>
      </c>
    </row>
    <row r="6481">
      <c r="B6481" s="25" t="n"/>
      <c r="I6481" s="25" t="n"/>
      <c r="U6481" s="19">
        <f>IF($V6481&lt;&gt;'設定'!$C$4,N(U6480),IF(OR(NOT(COUNTIF('商品マスタ'!$B$6:$B$1005,$W6481)=0),COUNTIFS('①在庫を貼る'!$V$6:$V$10005,$V6481,'①在庫を貼る'!$W$6:$W$10005,$W6481)&gt;0),N(U6480),N(U6480)+1))</f>
        <v/>
      </c>
      <c r="V6481" s="19">
        <f>IF($B6481="","",TEXT($B6481,"0000"))</f>
        <v/>
      </c>
      <c r="W6481" s="19">
        <f>IF($I6481="","",IF(ISNUMBER($I6481),TEXT($I6481,"0"),$I6481))</f>
        <v/>
      </c>
    </row>
    <row r="6482">
      <c r="B6482" s="25" t="n"/>
      <c r="I6482" s="25" t="n"/>
      <c r="U6482" s="19">
        <f>IF($V6482&lt;&gt;'設定'!$C$4,N(U6481),IF(OR(NOT(COUNTIF('商品マスタ'!$B$6:$B$1005,$W6482)=0),COUNTIFS('①在庫を貼る'!$V$6:$V$10005,$V6482,'①在庫を貼る'!$W$6:$W$10005,$W6482)&gt;0),N(U6481),N(U6481)+1))</f>
        <v/>
      </c>
      <c r="V6482" s="19">
        <f>IF($B6482="","",TEXT($B6482,"0000"))</f>
        <v/>
      </c>
      <c r="W6482" s="19">
        <f>IF($I6482="","",IF(ISNUMBER($I6482),TEXT($I6482,"0"),$I6482))</f>
        <v/>
      </c>
    </row>
    <row r="6483">
      <c r="B6483" s="25" t="n"/>
      <c r="I6483" s="25" t="n"/>
      <c r="U6483" s="19">
        <f>IF($V6483&lt;&gt;'設定'!$C$4,N(U6482),IF(OR(NOT(COUNTIF('商品マスタ'!$B$6:$B$1005,$W6483)=0),COUNTIFS('①在庫を貼る'!$V$6:$V$10005,$V6483,'①在庫を貼る'!$W$6:$W$10005,$W6483)&gt;0),N(U6482),N(U6482)+1))</f>
        <v/>
      </c>
      <c r="V6483" s="19">
        <f>IF($B6483="","",TEXT($B6483,"0000"))</f>
        <v/>
      </c>
      <c r="W6483" s="19">
        <f>IF($I6483="","",IF(ISNUMBER($I6483),TEXT($I6483,"0"),$I6483))</f>
        <v/>
      </c>
    </row>
    <row r="6484">
      <c r="B6484" s="25" t="n"/>
      <c r="I6484" s="25" t="n"/>
      <c r="U6484" s="19">
        <f>IF($V6484&lt;&gt;'設定'!$C$4,N(U6483),IF(OR(NOT(COUNTIF('商品マスタ'!$B$6:$B$1005,$W6484)=0),COUNTIFS('①在庫を貼る'!$V$6:$V$10005,$V6484,'①在庫を貼る'!$W$6:$W$10005,$W6484)&gt;0),N(U6483),N(U6483)+1))</f>
        <v/>
      </c>
      <c r="V6484" s="19">
        <f>IF($B6484="","",TEXT($B6484,"0000"))</f>
        <v/>
      </c>
      <c r="W6484" s="19">
        <f>IF($I6484="","",IF(ISNUMBER($I6484),TEXT($I6484,"0"),$I6484))</f>
        <v/>
      </c>
    </row>
    <row r="6485">
      <c r="B6485" s="25" t="n"/>
      <c r="I6485" s="25" t="n"/>
      <c r="U6485" s="19">
        <f>IF($V6485&lt;&gt;'設定'!$C$4,N(U6484),IF(OR(NOT(COUNTIF('商品マスタ'!$B$6:$B$1005,$W6485)=0),COUNTIFS('①在庫を貼る'!$V$6:$V$10005,$V6485,'①在庫を貼る'!$W$6:$W$10005,$W6485)&gt;0),N(U6484),N(U6484)+1))</f>
        <v/>
      </c>
      <c r="V6485" s="19">
        <f>IF($B6485="","",TEXT($B6485,"0000"))</f>
        <v/>
      </c>
      <c r="W6485" s="19">
        <f>IF($I6485="","",IF(ISNUMBER($I6485),TEXT($I6485,"0"),$I6485))</f>
        <v/>
      </c>
    </row>
    <row r="6486">
      <c r="B6486" s="25" t="n"/>
      <c r="I6486" s="25" t="n"/>
      <c r="U6486" s="19">
        <f>IF($V6486&lt;&gt;'設定'!$C$4,N(U6485),IF(OR(NOT(COUNTIF('商品マスタ'!$B$6:$B$1005,$W6486)=0),COUNTIFS('①在庫を貼る'!$V$6:$V$10005,$V6486,'①在庫を貼る'!$W$6:$W$10005,$W6486)&gt;0),N(U6485),N(U6485)+1))</f>
        <v/>
      </c>
      <c r="V6486" s="19">
        <f>IF($B6486="","",TEXT($B6486,"0000"))</f>
        <v/>
      </c>
      <c r="W6486" s="19">
        <f>IF($I6486="","",IF(ISNUMBER($I6486),TEXT($I6486,"0"),$I6486))</f>
        <v/>
      </c>
    </row>
    <row r="6487">
      <c r="B6487" s="25" t="n"/>
      <c r="I6487" s="25" t="n"/>
      <c r="U6487" s="19">
        <f>IF($V6487&lt;&gt;'設定'!$C$4,N(U6486),IF(OR(NOT(COUNTIF('商品マスタ'!$B$6:$B$1005,$W6487)=0),COUNTIFS('①在庫を貼る'!$V$6:$V$10005,$V6487,'①在庫を貼る'!$W$6:$W$10005,$W6487)&gt;0),N(U6486),N(U6486)+1))</f>
        <v/>
      </c>
      <c r="V6487" s="19">
        <f>IF($B6487="","",TEXT($B6487,"0000"))</f>
        <v/>
      </c>
      <c r="W6487" s="19">
        <f>IF($I6487="","",IF(ISNUMBER($I6487),TEXT($I6487,"0"),$I6487))</f>
        <v/>
      </c>
    </row>
    <row r="6488">
      <c r="B6488" s="25" t="n"/>
      <c r="I6488" s="25" t="n"/>
      <c r="U6488" s="19">
        <f>IF($V6488&lt;&gt;'設定'!$C$4,N(U6487),IF(OR(NOT(COUNTIF('商品マスタ'!$B$6:$B$1005,$W6488)=0),COUNTIFS('①在庫を貼る'!$V$6:$V$10005,$V6488,'①在庫を貼る'!$W$6:$W$10005,$W6488)&gt;0),N(U6487),N(U6487)+1))</f>
        <v/>
      </c>
      <c r="V6488" s="19">
        <f>IF($B6488="","",TEXT($B6488,"0000"))</f>
        <v/>
      </c>
      <c r="W6488" s="19">
        <f>IF($I6488="","",IF(ISNUMBER($I6488),TEXT($I6488,"0"),$I6488))</f>
        <v/>
      </c>
    </row>
    <row r="6489">
      <c r="B6489" s="25" t="n"/>
      <c r="I6489" s="25" t="n"/>
      <c r="U6489" s="19">
        <f>IF($V6489&lt;&gt;'設定'!$C$4,N(U6488),IF(OR(NOT(COUNTIF('商品マスタ'!$B$6:$B$1005,$W6489)=0),COUNTIFS('①在庫を貼る'!$V$6:$V$10005,$V6489,'①在庫を貼る'!$W$6:$W$10005,$W6489)&gt;0),N(U6488),N(U6488)+1))</f>
        <v/>
      </c>
      <c r="V6489" s="19">
        <f>IF($B6489="","",TEXT($B6489,"0000"))</f>
        <v/>
      </c>
      <c r="W6489" s="19">
        <f>IF($I6489="","",IF(ISNUMBER($I6489),TEXT($I6489,"0"),$I6489))</f>
        <v/>
      </c>
    </row>
    <row r="6490">
      <c r="B6490" s="25" t="n"/>
      <c r="I6490" s="25" t="n"/>
      <c r="U6490" s="19">
        <f>IF($V6490&lt;&gt;'設定'!$C$4,N(U6489),IF(OR(NOT(COUNTIF('商品マスタ'!$B$6:$B$1005,$W6490)=0),COUNTIFS('①在庫を貼る'!$V$6:$V$10005,$V6490,'①在庫を貼る'!$W$6:$W$10005,$W6490)&gt;0),N(U6489),N(U6489)+1))</f>
        <v/>
      </c>
      <c r="V6490" s="19">
        <f>IF($B6490="","",TEXT($B6490,"0000"))</f>
        <v/>
      </c>
      <c r="W6490" s="19">
        <f>IF($I6490="","",IF(ISNUMBER($I6490),TEXT($I6490,"0"),$I6490))</f>
        <v/>
      </c>
    </row>
    <row r="6491">
      <c r="B6491" s="25" t="n"/>
      <c r="I6491" s="25" t="n"/>
      <c r="U6491" s="19">
        <f>IF($V6491&lt;&gt;'設定'!$C$4,N(U6490),IF(OR(NOT(COUNTIF('商品マスタ'!$B$6:$B$1005,$W6491)=0),COUNTIFS('①在庫を貼る'!$V$6:$V$10005,$V6491,'①在庫を貼る'!$W$6:$W$10005,$W6491)&gt;0),N(U6490),N(U6490)+1))</f>
        <v/>
      </c>
      <c r="V6491" s="19">
        <f>IF($B6491="","",TEXT($B6491,"0000"))</f>
        <v/>
      </c>
      <c r="W6491" s="19">
        <f>IF($I6491="","",IF(ISNUMBER($I6491),TEXT($I6491,"0"),$I6491))</f>
        <v/>
      </c>
    </row>
    <row r="6492">
      <c r="B6492" s="25" t="n"/>
      <c r="I6492" s="25" t="n"/>
      <c r="U6492" s="19">
        <f>IF($V6492&lt;&gt;'設定'!$C$4,N(U6491),IF(OR(NOT(COUNTIF('商品マスタ'!$B$6:$B$1005,$W6492)=0),COUNTIFS('①在庫を貼る'!$V$6:$V$10005,$V6492,'①在庫を貼る'!$W$6:$W$10005,$W6492)&gt;0),N(U6491),N(U6491)+1))</f>
        <v/>
      </c>
      <c r="V6492" s="19">
        <f>IF($B6492="","",TEXT($B6492,"0000"))</f>
        <v/>
      </c>
      <c r="W6492" s="19">
        <f>IF($I6492="","",IF(ISNUMBER($I6492),TEXT($I6492,"0"),$I6492))</f>
        <v/>
      </c>
    </row>
    <row r="6493">
      <c r="B6493" s="25" t="n"/>
      <c r="I6493" s="25" t="n"/>
      <c r="U6493" s="19">
        <f>IF($V6493&lt;&gt;'設定'!$C$4,N(U6492),IF(OR(NOT(COUNTIF('商品マスタ'!$B$6:$B$1005,$W6493)=0),COUNTIFS('①在庫を貼る'!$V$6:$V$10005,$V6493,'①在庫を貼る'!$W$6:$W$10005,$W6493)&gt;0),N(U6492),N(U6492)+1))</f>
        <v/>
      </c>
      <c r="V6493" s="19">
        <f>IF($B6493="","",TEXT($B6493,"0000"))</f>
        <v/>
      </c>
      <c r="W6493" s="19">
        <f>IF($I6493="","",IF(ISNUMBER($I6493),TEXT($I6493,"0"),$I6493))</f>
        <v/>
      </c>
    </row>
    <row r="6494">
      <c r="B6494" s="25" t="n"/>
      <c r="I6494" s="25" t="n"/>
      <c r="U6494" s="19">
        <f>IF($V6494&lt;&gt;'設定'!$C$4,N(U6493),IF(OR(NOT(COUNTIF('商品マスタ'!$B$6:$B$1005,$W6494)=0),COUNTIFS('①在庫を貼る'!$V$6:$V$10005,$V6494,'①在庫を貼る'!$W$6:$W$10005,$W6494)&gt;0),N(U6493),N(U6493)+1))</f>
        <v/>
      </c>
      <c r="V6494" s="19">
        <f>IF($B6494="","",TEXT($B6494,"0000"))</f>
        <v/>
      </c>
      <c r="W6494" s="19">
        <f>IF($I6494="","",IF(ISNUMBER($I6494),TEXT($I6494,"0"),$I6494))</f>
        <v/>
      </c>
    </row>
    <row r="6495">
      <c r="B6495" s="25" t="n"/>
      <c r="I6495" s="25" t="n"/>
      <c r="U6495" s="19">
        <f>IF($V6495&lt;&gt;'設定'!$C$4,N(U6494),IF(OR(NOT(COUNTIF('商品マスタ'!$B$6:$B$1005,$W6495)=0),COUNTIFS('①在庫を貼る'!$V$6:$V$10005,$V6495,'①在庫を貼る'!$W$6:$W$10005,$W6495)&gt;0),N(U6494),N(U6494)+1))</f>
        <v/>
      </c>
      <c r="V6495" s="19">
        <f>IF($B6495="","",TEXT($B6495,"0000"))</f>
        <v/>
      </c>
      <c r="W6495" s="19">
        <f>IF($I6495="","",IF(ISNUMBER($I6495),TEXT($I6495,"0"),$I6495))</f>
        <v/>
      </c>
    </row>
    <row r="6496">
      <c r="B6496" s="25" t="n"/>
      <c r="I6496" s="25" t="n"/>
      <c r="U6496" s="19">
        <f>IF($V6496&lt;&gt;'設定'!$C$4,N(U6495),IF(OR(NOT(COUNTIF('商品マスタ'!$B$6:$B$1005,$W6496)=0),COUNTIFS('①在庫を貼る'!$V$6:$V$10005,$V6496,'①在庫を貼る'!$W$6:$W$10005,$W6496)&gt;0),N(U6495),N(U6495)+1))</f>
        <v/>
      </c>
      <c r="V6496" s="19">
        <f>IF($B6496="","",TEXT($B6496,"0000"))</f>
        <v/>
      </c>
      <c r="W6496" s="19">
        <f>IF($I6496="","",IF(ISNUMBER($I6496),TEXT($I6496,"0"),$I6496))</f>
        <v/>
      </c>
    </row>
    <row r="6497">
      <c r="B6497" s="25" t="n"/>
      <c r="I6497" s="25" t="n"/>
      <c r="U6497" s="19">
        <f>IF($V6497&lt;&gt;'設定'!$C$4,N(U6496),IF(OR(NOT(COUNTIF('商品マスタ'!$B$6:$B$1005,$W6497)=0),COUNTIFS('①在庫を貼る'!$V$6:$V$10005,$V6497,'①在庫を貼る'!$W$6:$W$10005,$W6497)&gt;0),N(U6496),N(U6496)+1))</f>
        <v/>
      </c>
      <c r="V6497" s="19">
        <f>IF($B6497="","",TEXT($B6497,"0000"))</f>
        <v/>
      </c>
      <c r="W6497" s="19">
        <f>IF($I6497="","",IF(ISNUMBER($I6497),TEXT($I6497,"0"),$I6497))</f>
        <v/>
      </c>
    </row>
    <row r="6498">
      <c r="B6498" s="25" t="n"/>
      <c r="I6498" s="25" t="n"/>
      <c r="U6498" s="19">
        <f>IF($V6498&lt;&gt;'設定'!$C$4,N(U6497),IF(OR(NOT(COUNTIF('商品マスタ'!$B$6:$B$1005,$W6498)=0),COUNTIFS('①在庫を貼る'!$V$6:$V$10005,$V6498,'①在庫を貼る'!$W$6:$W$10005,$W6498)&gt;0),N(U6497),N(U6497)+1))</f>
        <v/>
      </c>
      <c r="V6498" s="19">
        <f>IF($B6498="","",TEXT($B6498,"0000"))</f>
        <v/>
      </c>
      <c r="W6498" s="19">
        <f>IF($I6498="","",IF(ISNUMBER($I6498),TEXT($I6498,"0"),$I6498))</f>
        <v/>
      </c>
    </row>
    <row r="6499">
      <c r="B6499" s="25" t="n"/>
      <c r="I6499" s="25" t="n"/>
      <c r="U6499" s="19">
        <f>IF($V6499&lt;&gt;'設定'!$C$4,N(U6498),IF(OR(NOT(COUNTIF('商品マスタ'!$B$6:$B$1005,$W6499)=0),COUNTIFS('①在庫を貼る'!$V$6:$V$10005,$V6499,'①在庫を貼る'!$W$6:$W$10005,$W6499)&gt;0),N(U6498),N(U6498)+1))</f>
        <v/>
      </c>
      <c r="V6499" s="19">
        <f>IF($B6499="","",TEXT($B6499,"0000"))</f>
        <v/>
      </c>
      <c r="W6499" s="19">
        <f>IF($I6499="","",IF(ISNUMBER($I6499),TEXT($I6499,"0"),$I6499))</f>
        <v/>
      </c>
    </row>
    <row r="6500">
      <c r="B6500" s="25" t="n"/>
      <c r="I6500" s="25" t="n"/>
      <c r="U6500" s="19">
        <f>IF($V6500&lt;&gt;'設定'!$C$4,N(U6499),IF(OR(NOT(COUNTIF('商品マスタ'!$B$6:$B$1005,$W6500)=0),COUNTIFS('①在庫を貼る'!$V$6:$V$10005,$V6500,'①在庫を貼る'!$W$6:$W$10005,$W6500)&gt;0),N(U6499),N(U6499)+1))</f>
        <v/>
      </c>
      <c r="V6500" s="19">
        <f>IF($B6500="","",TEXT($B6500,"0000"))</f>
        <v/>
      </c>
      <c r="W6500" s="19">
        <f>IF($I6500="","",IF(ISNUMBER($I6500),TEXT($I6500,"0"),$I6500))</f>
        <v/>
      </c>
    </row>
    <row r="6501">
      <c r="B6501" s="25" t="n"/>
      <c r="I6501" s="25" t="n"/>
      <c r="U6501" s="19">
        <f>IF($V6501&lt;&gt;'設定'!$C$4,N(U6500),IF(OR(NOT(COUNTIF('商品マスタ'!$B$6:$B$1005,$W6501)=0),COUNTIFS('①在庫を貼る'!$V$6:$V$10005,$V6501,'①在庫を貼る'!$W$6:$W$10005,$W6501)&gt;0),N(U6500),N(U6500)+1))</f>
        <v/>
      </c>
      <c r="V6501" s="19">
        <f>IF($B6501="","",TEXT($B6501,"0000"))</f>
        <v/>
      </c>
      <c r="W6501" s="19">
        <f>IF($I6501="","",IF(ISNUMBER($I6501),TEXT($I6501,"0"),$I6501))</f>
        <v/>
      </c>
    </row>
    <row r="6502">
      <c r="B6502" s="25" t="n"/>
      <c r="I6502" s="25" t="n"/>
      <c r="U6502" s="19">
        <f>IF($V6502&lt;&gt;'設定'!$C$4,N(U6501),IF(OR(NOT(COUNTIF('商品マスタ'!$B$6:$B$1005,$W6502)=0),COUNTIFS('①在庫を貼る'!$V$6:$V$10005,$V6502,'①在庫を貼る'!$W$6:$W$10005,$W6502)&gt;0),N(U6501),N(U6501)+1))</f>
        <v/>
      </c>
      <c r="V6502" s="19">
        <f>IF($B6502="","",TEXT($B6502,"0000"))</f>
        <v/>
      </c>
      <c r="W6502" s="19">
        <f>IF($I6502="","",IF(ISNUMBER($I6502),TEXT($I6502,"0"),$I6502))</f>
        <v/>
      </c>
    </row>
    <row r="6503">
      <c r="B6503" s="25" t="n"/>
      <c r="I6503" s="25" t="n"/>
      <c r="U6503" s="19">
        <f>IF($V6503&lt;&gt;'設定'!$C$4,N(U6502),IF(OR(NOT(COUNTIF('商品マスタ'!$B$6:$B$1005,$W6503)=0),COUNTIFS('①在庫を貼る'!$V$6:$V$10005,$V6503,'①在庫を貼る'!$W$6:$W$10005,$W6503)&gt;0),N(U6502),N(U6502)+1))</f>
        <v/>
      </c>
      <c r="V6503" s="19">
        <f>IF($B6503="","",TEXT($B6503,"0000"))</f>
        <v/>
      </c>
      <c r="W6503" s="19">
        <f>IF($I6503="","",IF(ISNUMBER($I6503),TEXT($I6503,"0"),$I6503))</f>
        <v/>
      </c>
    </row>
    <row r="6504">
      <c r="B6504" s="25" t="n"/>
      <c r="I6504" s="25" t="n"/>
      <c r="U6504" s="19">
        <f>IF($V6504&lt;&gt;'設定'!$C$4,N(U6503),IF(OR(NOT(COUNTIF('商品マスタ'!$B$6:$B$1005,$W6504)=0),COUNTIFS('①在庫を貼る'!$V$6:$V$10005,$V6504,'①在庫を貼る'!$W$6:$W$10005,$W6504)&gt;0),N(U6503),N(U6503)+1))</f>
        <v/>
      </c>
      <c r="V6504" s="19">
        <f>IF($B6504="","",TEXT($B6504,"0000"))</f>
        <v/>
      </c>
      <c r="W6504" s="19">
        <f>IF($I6504="","",IF(ISNUMBER($I6504),TEXT($I6504,"0"),$I6504))</f>
        <v/>
      </c>
    </row>
    <row r="6505">
      <c r="B6505" s="25" t="n"/>
      <c r="I6505" s="25" t="n"/>
      <c r="U6505" s="19">
        <f>IF($V6505&lt;&gt;'設定'!$C$4,N(U6504),IF(OR(NOT(COUNTIF('商品マスタ'!$B$6:$B$1005,$W6505)=0),COUNTIFS('①在庫を貼る'!$V$6:$V$10005,$V6505,'①在庫を貼る'!$W$6:$W$10005,$W6505)&gt;0),N(U6504),N(U6504)+1))</f>
        <v/>
      </c>
      <c r="V6505" s="19">
        <f>IF($B6505="","",TEXT($B6505,"0000"))</f>
        <v/>
      </c>
      <c r="W6505" s="19">
        <f>IF($I6505="","",IF(ISNUMBER($I6505),TEXT($I6505,"0"),$I6505))</f>
        <v/>
      </c>
    </row>
    <row r="6506">
      <c r="B6506" s="25" t="n"/>
      <c r="I6506" s="25" t="n"/>
      <c r="U6506" s="19">
        <f>IF($V6506&lt;&gt;'設定'!$C$4,N(U6505),IF(OR(NOT(COUNTIF('商品マスタ'!$B$6:$B$1005,$W6506)=0),COUNTIFS('①在庫を貼る'!$V$6:$V$10005,$V6506,'①在庫を貼る'!$W$6:$W$10005,$W6506)&gt;0),N(U6505),N(U6505)+1))</f>
        <v/>
      </c>
      <c r="V6506" s="19">
        <f>IF($B6506="","",TEXT($B6506,"0000"))</f>
        <v/>
      </c>
      <c r="W6506" s="19">
        <f>IF($I6506="","",IF(ISNUMBER($I6506),TEXT($I6506,"0"),$I6506))</f>
        <v/>
      </c>
    </row>
    <row r="6507">
      <c r="B6507" s="25" t="n"/>
      <c r="I6507" s="25" t="n"/>
      <c r="U6507" s="19">
        <f>IF($V6507&lt;&gt;'設定'!$C$4,N(U6506),IF(OR(NOT(COUNTIF('商品マスタ'!$B$6:$B$1005,$W6507)=0),COUNTIFS('①在庫を貼る'!$V$6:$V$10005,$V6507,'①在庫を貼る'!$W$6:$W$10005,$W6507)&gt;0),N(U6506),N(U6506)+1))</f>
        <v/>
      </c>
      <c r="V6507" s="19">
        <f>IF($B6507="","",TEXT($B6507,"0000"))</f>
        <v/>
      </c>
      <c r="W6507" s="19">
        <f>IF($I6507="","",IF(ISNUMBER($I6507),TEXT($I6507,"0"),$I6507))</f>
        <v/>
      </c>
    </row>
    <row r="6508">
      <c r="B6508" s="25" t="n"/>
      <c r="I6508" s="25" t="n"/>
      <c r="U6508" s="19">
        <f>IF($V6508&lt;&gt;'設定'!$C$4,N(U6507),IF(OR(NOT(COUNTIF('商品マスタ'!$B$6:$B$1005,$W6508)=0),COUNTIFS('①在庫を貼る'!$V$6:$V$10005,$V6508,'①在庫を貼る'!$W$6:$W$10005,$W6508)&gt;0),N(U6507),N(U6507)+1))</f>
        <v/>
      </c>
      <c r="V6508" s="19">
        <f>IF($B6508="","",TEXT($B6508,"0000"))</f>
        <v/>
      </c>
      <c r="W6508" s="19">
        <f>IF($I6508="","",IF(ISNUMBER($I6508),TEXT($I6508,"0"),$I6508))</f>
        <v/>
      </c>
    </row>
    <row r="6509">
      <c r="B6509" s="25" t="n"/>
      <c r="I6509" s="25" t="n"/>
      <c r="U6509" s="19">
        <f>IF($V6509&lt;&gt;'設定'!$C$4,N(U6508),IF(OR(NOT(COUNTIF('商品マスタ'!$B$6:$B$1005,$W6509)=0),COUNTIFS('①在庫を貼る'!$V$6:$V$10005,$V6509,'①在庫を貼る'!$W$6:$W$10005,$W6509)&gt;0),N(U6508),N(U6508)+1))</f>
        <v/>
      </c>
      <c r="V6509" s="19">
        <f>IF($B6509="","",TEXT($B6509,"0000"))</f>
        <v/>
      </c>
      <c r="W6509" s="19">
        <f>IF($I6509="","",IF(ISNUMBER($I6509),TEXT($I6509,"0"),$I6509))</f>
        <v/>
      </c>
    </row>
    <row r="6510">
      <c r="B6510" s="25" t="n"/>
      <c r="I6510" s="25" t="n"/>
      <c r="U6510" s="19">
        <f>IF($V6510&lt;&gt;'設定'!$C$4,N(U6509),IF(OR(NOT(COUNTIF('商品マスタ'!$B$6:$B$1005,$W6510)=0),COUNTIFS('①在庫を貼る'!$V$6:$V$10005,$V6510,'①在庫を貼る'!$W$6:$W$10005,$W6510)&gt;0),N(U6509),N(U6509)+1))</f>
        <v/>
      </c>
      <c r="V6510" s="19">
        <f>IF($B6510="","",TEXT($B6510,"0000"))</f>
        <v/>
      </c>
      <c r="W6510" s="19">
        <f>IF($I6510="","",IF(ISNUMBER($I6510),TEXT($I6510,"0"),$I6510))</f>
        <v/>
      </c>
    </row>
    <row r="6511">
      <c r="B6511" s="25" t="n"/>
      <c r="I6511" s="25" t="n"/>
      <c r="U6511" s="19">
        <f>IF($V6511&lt;&gt;'設定'!$C$4,N(U6510),IF(OR(NOT(COUNTIF('商品マスタ'!$B$6:$B$1005,$W6511)=0),COUNTIFS('①在庫を貼る'!$V$6:$V$10005,$V6511,'①在庫を貼る'!$W$6:$W$10005,$W6511)&gt;0),N(U6510),N(U6510)+1))</f>
        <v/>
      </c>
      <c r="V6511" s="19">
        <f>IF($B6511="","",TEXT($B6511,"0000"))</f>
        <v/>
      </c>
      <c r="W6511" s="19">
        <f>IF($I6511="","",IF(ISNUMBER($I6511),TEXT($I6511,"0"),$I6511))</f>
        <v/>
      </c>
    </row>
    <row r="6512">
      <c r="B6512" s="25" t="n"/>
      <c r="I6512" s="25" t="n"/>
      <c r="U6512" s="19">
        <f>IF($V6512&lt;&gt;'設定'!$C$4,N(U6511),IF(OR(NOT(COUNTIF('商品マスタ'!$B$6:$B$1005,$W6512)=0),COUNTIFS('①在庫を貼る'!$V$6:$V$10005,$V6512,'①在庫を貼る'!$W$6:$W$10005,$W6512)&gt;0),N(U6511),N(U6511)+1))</f>
        <v/>
      </c>
      <c r="V6512" s="19">
        <f>IF($B6512="","",TEXT($B6512,"0000"))</f>
        <v/>
      </c>
      <c r="W6512" s="19">
        <f>IF($I6512="","",IF(ISNUMBER($I6512),TEXT($I6512,"0"),$I6512))</f>
        <v/>
      </c>
    </row>
    <row r="6513">
      <c r="B6513" s="25" t="n"/>
      <c r="I6513" s="25" t="n"/>
      <c r="U6513" s="19">
        <f>IF($V6513&lt;&gt;'設定'!$C$4,N(U6512),IF(OR(NOT(COUNTIF('商品マスタ'!$B$6:$B$1005,$W6513)=0),COUNTIFS('①在庫を貼る'!$V$6:$V$10005,$V6513,'①在庫を貼る'!$W$6:$W$10005,$W6513)&gt;0),N(U6512),N(U6512)+1))</f>
        <v/>
      </c>
      <c r="V6513" s="19">
        <f>IF($B6513="","",TEXT($B6513,"0000"))</f>
        <v/>
      </c>
      <c r="W6513" s="19">
        <f>IF($I6513="","",IF(ISNUMBER($I6513),TEXT($I6513,"0"),$I6513))</f>
        <v/>
      </c>
    </row>
    <row r="6514">
      <c r="B6514" s="25" t="n"/>
      <c r="I6514" s="25" t="n"/>
      <c r="U6514" s="19">
        <f>IF($V6514&lt;&gt;'設定'!$C$4,N(U6513),IF(OR(NOT(COUNTIF('商品マスタ'!$B$6:$B$1005,$W6514)=0),COUNTIFS('①在庫を貼る'!$V$6:$V$10005,$V6514,'①在庫を貼る'!$W$6:$W$10005,$W6514)&gt;0),N(U6513),N(U6513)+1))</f>
        <v/>
      </c>
      <c r="V6514" s="19">
        <f>IF($B6514="","",TEXT($B6514,"0000"))</f>
        <v/>
      </c>
      <c r="W6514" s="19">
        <f>IF($I6514="","",IF(ISNUMBER($I6514),TEXT($I6514,"0"),$I6514))</f>
        <v/>
      </c>
    </row>
    <row r="6515">
      <c r="B6515" s="25" t="n"/>
      <c r="I6515" s="25" t="n"/>
      <c r="U6515" s="19">
        <f>IF($V6515&lt;&gt;'設定'!$C$4,N(U6514),IF(OR(NOT(COUNTIF('商品マスタ'!$B$6:$B$1005,$W6515)=0),COUNTIFS('①在庫を貼る'!$V$6:$V$10005,$V6515,'①在庫を貼る'!$W$6:$W$10005,$W6515)&gt;0),N(U6514),N(U6514)+1))</f>
        <v/>
      </c>
      <c r="V6515" s="19">
        <f>IF($B6515="","",TEXT($B6515,"0000"))</f>
        <v/>
      </c>
      <c r="W6515" s="19">
        <f>IF($I6515="","",IF(ISNUMBER($I6515),TEXT($I6515,"0"),$I6515))</f>
        <v/>
      </c>
    </row>
    <row r="6516">
      <c r="B6516" s="25" t="n"/>
      <c r="I6516" s="25" t="n"/>
      <c r="U6516" s="19">
        <f>IF($V6516&lt;&gt;'設定'!$C$4,N(U6515),IF(OR(NOT(COUNTIF('商品マスタ'!$B$6:$B$1005,$W6516)=0),COUNTIFS('①在庫を貼る'!$V$6:$V$10005,$V6516,'①在庫を貼る'!$W$6:$W$10005,$W6516)&gt;0),N(U6515),N(U6515)+1))</f>
        <v/>
      </c>
      <c r="V6516" s="19">
        <f>IF($B6516="","",TEXT($B6516,"0000"))</f>
        <v/>
      </c>
      <c r="W6516" s="19">
        <f>IF($I6516="","",IF(ISNUMBER($I6516),TEXT($I6516,"0"),$I6516))</f>
        <v/>
      </c>
    </row>
    <row r="6517">
      <c r="B6517" s="25" t="n"/>
      <c r="I6517" s="25" t="n"/>
      <c r="U6517" s="19">
        <f>IF($V6517&lt;&gt;'設定'!$C$4,N(U6516),IF(OR(NOT(COUNTIF('商品マスタ'!$B$6:$B$1005,$W6517)=0),COUNTIFS('①在庫を貼る'!$V$6:$V$10005,$V6517,'①在庫を貼る'!$W$6:$W$10005,$W6517)&gt;0),N(U6516),N(U6516)+1))</f>
        <v/>
      </c>
      <c r="V6517" s="19">
        <f>IF($B6517="","",TEXT($B6517,"0000"))</f>
        <v/>
      </c>
      <c r="W6517" s="19">
        <f>IF($I6517="","",IF(ISNUMBER($I6517),TEXT($I6517,"0"),$I6517))</f>
        <v/>
      </c>
    </row>
    <row r="6518">
      <c r="B6518" s="25" t="n"/>
      <c r="I6518" s="25" t="n"/>
      <c r="U6518" s="19">
        <f>IF($V6518&lt;&gt;'設定'!$C$4,N(U6517),IF(OR(NOT(COUNTIF('商品マスタ'!$B$6:$B$1005,$W6518)=0),COUNTIFS('①在庫を貼る'!$V$6:$V$10005,$V6518,'①在庫を貼る'!$W$6:$W$10005,$W6518)&gt;0),N(U6517),N(U6517)+1))</f>
        <v/>
      </c>
      <c r="V6518" s="19">
        <f>IF($B6518="","",TEXT($B6518,"0000"))</f>
        <v/>
      </c>
      <c r="W6518" s="19">
        <f>IF($I6518="","",IF(ISNUMBER($I6518),TEXT($I6518,"0"),$I6518))</f>
        <v/>
      </c>
    </row>
    <row r="6519">
      <c r="B6519" s="25" t="n"/>
      <c r="I6519" s="25" t="n"/>
      <c r="U6519" s="19">
        <f>IF($V6519&lt;&gt;'設定'!$C$4,N(U6518),IF(OR(NOT(COUNTIF('商品マスタ'!$B$6:$B$1005,$W6519)=0),COUNTIFS('①在庫を貼る'!$V$6:$V$10005,$V6519,'①在庫を貼る'!$W$6:$W$10005,$W6519)&gt;0),N(U6518),N(U6518)+1))</f>
        <v/>
      </c>
      <c r="V6519" s="19">
        <f>IF($B6519="","",TEXT($B6519,"0000"))</f>
        <v/>
      </c>
      <c r="W6519" s="19">
        <f>IF($I6519="","",IF(ISNUMBER($I6519),TEXT($I6519,"0"),$I6519))</f>
        <v/>
      </c>
    </row>
    <row r="6520">
      <c r="B6520" s="25" t="n"/>
      <c r="I6520" s="25" t="n"/>
      <c r="U6520" s="19">
        <f>IF($V6520&lt;&gt;'設定'!$C$4,N(U6519),IF(OR(NOT(COUNTIF('商品マスタ'!$B$6:$B$1005,$W6520)=0),COUNTIFS('①在庫を貼る'!$V$6:$V$10005,$V6520,'①在庫を貼る'!$W$6:$W$10005,$W6520)&gt;0),N(U6519),N(U6519)+1))</f>
        <v/>
      </c>
      <c r="V6520" s="19">
        <f>IF($B6520="","",TEXT($B6520,"0000"))</f>
        <v/>
      </c>
      <c r="W6520" s="19">
        <f>IF($I6520="","",IF(ISNUMBER($I6520),TEXT($I6520,"0"),$I6520))</f>
        <v/>
      </c>
    </row>
    <row r="6521">
      <c r="B6521" s="25" t="n"/>
      <c r="I6521" s="25" t="n"/>
      <c r="U6521" s="19">
        <f>IF($V6521&lt;&gt;'設定'!$C$4,N(U6520),IF(OR(NOT(COUNTIF('商品マスタ'!$B$6:$B$1005,$W6521)=0),COUNTIFS('①在庫を貼る'!$V$6:$V$10005,$V6521,'①在庫を貼る'!$W$6:$W$10005,$W6521)&gt;0),N(U6520),N(U6520)+1))</f>
        <v/>
      </c>
      <c r="V6521" s="19">
        <f>IF($B6521="","",TEXT($B6521,"0000"))</f>
        <v/>
      </c>
      <c r="W6521" s="19">
        <f>IF($I6521="","",IF(ISNUMBER($I6521),TEXT($I6521,"0"),$I6521))</f>
        <v/>
      </c>
    </row>
    <row r="6522">
      <c r="B6522" s="25" t="n"/>
      <c r="I6522" s="25" t="n"/>
      <c r="U6522" s="19">
        <f>IF($V6522&lt;&gt;'設定'!$C$4,N(U6521),IF(OR(NOT(COUNTIF('商品マスタ'!$B$6:$B$1005,$W6522)=0),COUNTIFS('①在庫を貼る'!$V$6:$V$10005,$V6522,'①在庫を貼る'!$W$6:$W$10005,$W6522)&gt;0),N(U6521),N(U6521)+1))</f>
        <v/>
      </c>
      <c r="V6522" s="19">
        <f>IF($B6522="","",TEXT($B6522,"0000"))</f>
        <v/>
      </c>
      <c r="W6522" s="19">
        <f>IF($I6522="","",IF(ISNUMBER($I6522),TEXT($I6522,"0"),$I6522))</f>
        <v/>
      </c>
    </row>
    <row r="6523">
      <c r="B6523" s="25" t="n"/>
      <c r="I6523" s="25" t="n"/>
      <c r="U6523" s="19">
        <f>IF($V6523&lt;&gt;'設定'!$C$4,N(U6522),IF(OR(NOT(COUNTIF('商品マスタ'!$B$6:$B$1005,$W6523)=0),COUNTIFS('①在庫を貼る'!$V$6:$V$10005,$V6523,'①在庫を貼る'!$W$6:$W$10005,$W6523)&gt;0),N(U6522),N(U6522)+1))</f>
        <v/>
      </c>
      <c r="V6523" s="19">
        <f>IF($B6523="","",TEXT($B6523,"0000"))</f>
        <v/>
      </c>
      <c r="W6523" s="19">
        <f>IF($I6523="","",IF(ISNUMBER($I6523),TEXT($I6523,"0"),$I6523))</f>
        <v/>
      </c>
    </row>
    <row r="6524">
      <c r="B6524" s="25" t="n"/>
      <c r="I6524" s="25" t="n"/>
      <c r="U6524" s="19">
        <f>IF($V6524&lt;&gt;'設定'!$C$4,N(U6523),IF(OR(NOT(COUNTIF('商品マスタ'!$B$6:$B$1005,$W6524)=0),COUNTIFS('①在庫を貼る'!$V$6:$V$10005,$V6524,'①在庫を貼る'!$W$6:$W$10005,$W6524)&gt;0),N(U6523),N(U6523)+1))</f>
        <v/>
      </c>
      <c r="V6524" s="19">
        <f>IF($B6524="","",TEXT($B6524,"0000"))</f>
        <v/>
      </c>
      <c r="W6524" s="19">
        <f>IF($I6524="","",IF(ISNUMBER($I6524),TEXT($I6524,"0"),$I6524))</f>
        <v/>
      </c>
    </row>
    <row r="6525">
      <c r="B6525" s="25" t="n"/>
      <c r="I6525" s="25" t="n"/>
      <c r="U6525" s="19">
        <f>IF($V6525&lt;&gt;'設定'!$C$4,N(U6524),IF(OR(NOT(COUNTIF('商品マスタ'!$B$6:$B$1005,$W6525)=0),COUNTIFS('①在庫を貼る'!$V$6:$V$10005,$V6525,'①在庫を貼る'!$W$6:$W$10005,$W6525)&gt;0),N(U6524),N(U6524)+1))</f>
        <v/>
      </c>
      <c r="V6525" s="19">
        <f>IF($B6525="","",TEXT($B6525,"0000"))</f>
        <v/>
      </c>
      <c r="W6525" s="19">
        <f>IF($I6525="","",IF(ISNUMBER($I6525),TEXT($I6525,"0"),$I6525))</f>
        <v/>
      </c>
    </row>
    <row r="6526">
      <c r="B6526" s="25" t="n"/>
      <c r="I6526" s="25" t="n"/>
      <c r="U6526" s="19">
        <f>IF($V6526&lt;&gt;'設定'!$C$4,N(U6525),IF(OR(NOT(COUNTIF('商品マスタ'!$B$6:$B$1005,$W6526)=0),COUNTIFS('①在庫を貼る'!$V$6:$V$10005,$V6526,'①在庫を貼る'!$W$6:$W$10005,$W6526)&gt;0),N(U6525),N(U6525)+1))</f>
        <v/>
      </c>
      <c r="V6526" s="19">
        <f>IF($B6526="","",TEXT($B6526,"0000"))</f>
        <v/>
      </c>
      <c r="W6526" s="19">
        <f>IF($I6526="","",IF(ISNUMBER($I6526),TEXT($I6526,"0"),$I6526))</f>
        <v/>
      </c>
    </row>
    <row r="6527">
      <c r="B6527" s="25" t="n"/>
      <c r="I6527" s="25" t="n"/>
      <c r="U6527" s="19">
        <f>IF($V6527&lt;&gt;'設定'!$C$4,N(U6526),IF(OR(NOT(COUNTIF('商品マスタ'!$B$6:$B$1005,$W6527)=0),COUNTIFS('①在庫を貼る'!$V$6:$V$10005,$V6527,'①在庫を貼る'!$W$6:$W$10005,$W6527)&gt;0),N(U6526),N(U6526)+1))</f>
        <v/>
      </c>
      <c r="V6527" s="19">
        <f>IF($B6527="","",TEXT($B6527,"0000"))</f>
        <v/>
      </c>
      <c r="W6527" s="19">
        <f>IF($I6527="","",IF(ISNUMBER($I6527),TEXT($I6527,"0"),$I6527))</f>
        <v/>
      </c>
    </row>
    <row r="6528">
      <c r="B6528" s="25" t="n"/>
      <c r="I6528" s="25" t="n"/>
      <c r="U6528" s="19">
        <f>IF($V6528&lt;&gt;'設定'!$C$4,N(U6527),IF(OR(NOT(COUNTIF('商品マスタ'!$B$6:$B$1005,$W6528)=0),COUNTIFS('①在庫を貼る'!$V$6:$V$10005,$V6528,'①在庫を貼る'!$W$6:$W$10005,$W6528)&gt;0),N(U6527),N(U6527)+1))</f>
        <v/>
      </c>
      <c r="V6528" s="19">
        <f>IF($B6528="","",TEXT($B6528,"0000"))</f>
        <v/>
      </c>
      <c r="W6528" s="19">
        <f>IF($I6528="","",IF(ISNUMBER($I6528),TEXT($I6528,"0"),$I6528))</f>
        <v/>
      </c>
    </row>
    <row r="6529">
      <c r="B6529" s="25" t="n"/>
      <c r="I6529" s="25" t="n"/>
      <c r="U6529" s="19">
        <f>IF($V6529&lt;&gt;'設定'!$C$4,N(U6528),IF(OR(NOT(COUNTIF('商品マスタ'!$B$6:$B$1005,$W6529)=0),COUNTIFS('①在庫を貼る'!$V$6:$V$10005,$V6529,'①在庫を貼る'!$W$6:$W$10005,$W6529)&gt;0),N(U6528),N(U6528)+1))</f>
        <v/>
      </c>
      <c r="V6529" s="19">
        <f>IF($B6529="","",TEXT($B6529,"0000"))</f>
        <v/>
      </c>
      <c r="W6529" s="19">
        <f>IF($I6529="","",IF(ISNUMBER($I6529),TEXT($I6529,"0"),$I6529))</f>
        <v/>
      </c>
    </row>
    <row r="6530">
      <c r="B6530" s="25" t="n"/>
      <c r="I6530" s="25" t="n"/>
      <c r="U6530" s="19">
        <f>IF($V6530&lt;&gt;'設定'!$C$4,N(U6529),IF(OR(NOT(COUNTIF('商品マスタ'!$B$6:$B$1005,$W6530)=0),COUNTIFS('①在庫を貼る'!$V$6:$V$10005,$V6530,'①在庫を貼る'!$W$6:$W$10005,$W6530)&gt;0),N(U6529),N(U6529)+1))</f>
        <v/>
      </c>
      <c r="V6530" s="19">
        <f>IF($B6530="","",TEXT($B6530,"0000"))</f>
        <v/>
      </c>
      <c r="W6530" s="19">
        <f>IF($I6530="","",IF(ISNUMBER($I6530),TEXT($I6530,"0"),$I6530))</f>
        <v/>
      </c>
    </row>
    <row r="6531">
      <c r="B6531" s="25" t="n"/>
      <c r="I6531" s="25" t="n"/>
      <c r="U6531" s="19">
        <f>IF($V6531&lt;&gt;'設定'!$C$4,N(U6530),IF(OR(NOT(COUNTIF('商品マスタ'!$B$6:$B$1005,$W6531)=0),COUNTIFS('①在庫を貼る'!$V$6:$V$10005,$V6531,'①在庫を貼る'!$W$6:$W$10005,$W6531)&gt;0),N(U6530),N(U6530)+1))</f>
        <v/>
      </c>
      <c r="V6531" s="19">
        <f>IF($B6531="","",TEXT($B6531,"0000"))</f>
        <v/>
      </c>
      <c r="W6531" s="19">
        <f>IF($I6531="","",IF(ISNUMBER($I6531),TEXT($I6531,"0"),$I6531))</f>
        <v/>
      </c>
    </row>
    <row r="6532">
      <c r="B6532" s="25" t="n"/>
      <c r="I6532" s="25" t="n"/>
      <c r="U6532" s="19">
        <f>IF($V6532&lt;&gt;'設定'!$C$4,N(U6531),IF(OR(NOT(COUNTIF('商品マスタ'!$B$6:$B$1005,$W6532)=0),COUNTIFS('①在庫を貼る'!$V$6:$V$10005,$V6532,'①在庫を貼る'!$W$6:$W$10005,$W6532)&gt;0),N(U6531),N(U6531)+1))</f>
        <v/>
      </c>
      <c r="V6532" s="19">
        <f>IF($B6532="","",TEXT($B6532,"0000"))</f>
        <v/>
      </c>
      <c r="W6532" s="19">
        <f>IF($I6532="","",IF(ISNUMBER($I6532),TEXT($I6532,"0"),$I6532))</f>
        <v/>
      </c>
    </row>
    <row r="6533">
      <c r="B6533" s="25" t="n"/>
      <c r="I6533" s="25" t="n"/>
      <c r="U6533" s="19">
        <f>IF($V6533&lt;&gt;'設定'!$C$4,N(U6532),IF(OR(NOT(COUNTIF('商品マスタ'!$B$6:$B$1005,$W6533)=0),COUNTIFS('①在庫を貼る'!$V$6:$V$10005,$V6533,'①在庫を貼る'!$W$6:$W$10005,$W6533)&gt;0),N(U6532),N(U6532)+1))</f>
        <v/>
      </c>
      <c r="V6533" s="19">
        <f>IF($B6533="","",TEXT($B6533,"0000"))</f>
        <v/>
      </c>
      <c r="W6533" s="19">
        <f>IF($I6533="","",IF(ISNUMBER($I6533),TEXT($I6533,"0"),$I6533))</f>
        <v/>
      </c>
    </row>
    <row r="6534">
      <c r="B6534" s="25" t="n"/>
      <c r="I6534" s="25" t="n"/>
      <c r="U6534" s="19">
        <f>IF($V6534&lt;&gt;'設定'!$C$4,N(U6533),IF(OR(NOT(COUNTIF('商品マスタ'!$B$6:$B$1005,$W6534)=0),COUNTIFS('①在庫を貼る'!$V$6:$V$10005,$V6534,'①在庫を貼る'!$W$6:$W$10005,$W6534)&gt;0),N(U6533),N(U6533)+1))</f>
        <v/>
      </c>
      <c r="V6534" s="19">
        <f>IF($B6534="","",TEXT($B6534,"0000"))</f>
        <v/>
      </c>
      <c r="W6534" s="19">
        <f>IF($I6534="","",IF(ISNUMBER($I6534),TEXT($I6534,"0"),$I6534))</f>
        <v/>
      </c>
    </row>
    <row r="6535">
      <c r="B6535" s="25" t="n"/>
      <c r="I6535" s="25" t="n"/>
      <c r="U6535" s="19">
        <f>IF($V6535&lt;&gt;'設定'!$C$4,N(U6534),IF(OR(NOT(COUNTIF('商品マスタ'!$B$6:$B$1005,$W6535)=0),COUNTIFS('①在庫を貼る'!$V$6:$V$10005,$V6535,'①在庫を貼る'!$W$6:$W$10005,$W6535)&gt;0),N(U6534),N(U6534)+1))</f>
        <v/>
      </c>
      <c r="V6535" s="19">
        <f>IF($B6535="","",TEXT($B6535,"0000"))</f>
        <v/>
      </c>
      <c r="W6535" s="19">
        <f>IF($I6535="","",IF(ISNUMBER($I6535),TEXT($I6535,"0"),$I6535))</f>
        <v/>
      </c>
    </row>
    <row r="6536">
      <c r="B6536" s="25" t="n"/>
      <c r="I6536" s="25" t="n"/>
      <c r="U6536" s="19">
        <f>IF($V6536&lt;&gt;'設定'!$C$4,N(U6535),IF(OR(NOT(COUNTIF('商品マスタ'!$B$6:$B$1005,$W6536)=0),COUNTIFS('①在庫を貼る'!$V$6:$V$10005,$V6536,'①在庫を貼る'!$W$6:$W$10005,$W6536)&gt;0),N(U6535),N(U6535)+1))</f>
        <v/>
      </c>
      <c r="V6536" s="19">
        <f>IF($B6536="","",TEXT($B6536,"0000"))</f>
        <v/>
      </c>
      <c r="W6536" s="19">
        <f>IF($I6536="","",IF(ISNUMBER($I6536),TEXT($I6536,"0"),$I6536))</f>
        <v/>
      </c>
    </row>
    <row r="6537">
      <c r="B6537" s="25" t="n"/>
      <c r="I6537" s="25" t="n"/>
      <c r="U6537" s="19">
        <f>IF($V6537&lt;&gt;'設定'!$C$4,N(U6536),IF(OR(NOT(COUNTIF('商品マスタ'!$B$6:$B$1005,$W6537)=0),COUNTIFS('①在庫を貼る'!$V$6:$V$10005,$V6537,'①在庫を貼る'!$W$6:$W$10005,$W6537)&gt;0),N(U6536),N(U6536)+1))</f>
        <v/>
      </c>
      <c r="V6537" s="19">
        <f>IF($B6537="","",TEXT($B6537,"0000"))</f>
        <v/>
      </c>
      <c r="W6537" s="19">
        <f>IF($I6537="","",IF(ISNUMBER($I6537),TEXT($I6537,"0"),$I6537))</f>
        <v/>
      </c>
    </row>
    <row r="6538">
      <c r="B6538" s="25" t="n"/>
      <c r="I6538" s="25" t="n"/>
      <c r="U6538" s="19">
        <f>IF($V6538&lt;&gt;'設定'!$C$4,N(U6537),IF(OR(NOT(COUNTIF('商品マスタ'!$B$6:$B$1005,$W6538)=0),COUNTIFS('①在庫を貼る'!$V$6:$V$10005,$V6538,'①在庫を貼る'!$W$6:$W$10005,$W6538)&gt;0),N(U6537),N(U6537)+1))</f>
        <v/>
      </c>
      <c r="V6538" s="19">
        <f>IF($B6538="","",TEXT($B6538,"0000"))</f>
        <v/>
      </c>
      <c r="W6538" s="19">
        <f>IF($I6538="","",IF(ISNUMBER($I6538),TEXT($I6538,"0"),$I6538))</f>
        <v/>
      </c>
    </row>
    <row r="6539">
      <c r="B6539" s="25" t="n"/>
      <c r="I6539" s="25" t="n"/>
      <c r="U6539" s="19">
        <f>IF($V6539&lt;&gt;'設定'!$C$4,N(U6538),IF(OR(NOT(COUNTIF('商品マスタ'!$B$6:$B$1005,$W6539)=0),COUNTIFS('①在庫を貼る'!$V$6:$V$10005,$V6539,'①在庫を貼る'!$W$6:$W$10005,$W6539)&gt;0),N(U6538),N(U6538)+1))</f>
        <v/>
      </c>
      <c r="V6539" s="19">
        <f>IF($B6539="","",TEXT($B6539,"0000"))</f>
        <v/>
      </c>
      <c r="W6539" s="19">
        <f>IF($I6539="","",IF(ISNUMBER($I6539),TEXT($I6539,"0"),$I6539))</f>
        <v/>
      </c>
    </row>
    <row r="6540">
      <c r="B6540" s="25" t="n"/>
      <c r="I6540" s="25" t="n"/>
      <c r="U6540" s="19">
        <f>IF($V6540&lt;&gt;'設定'!$C$4,N(U6539),IF(OR(NOT(COUNTIF('商品マスタ'!$B$6:$B$1005,$W6540)=0),COUNTIFS('①在庫を貼る'!$V$6:$V$10005,$V6540,'①在庫を貼る'!$W$6:$W$10005,$W6540)&gt;0),N(U6539),N(U6539)+1))</f>
        <v/>
      </c>
      <c r="V6540" s="19">
        <f>IF($B6540="","",TEXT($B6540,"0000"))</f>
        <v/>
      </c>
      <c r="W6540" s="19">
        <f>IF($I6540="","",IF(ISNUMBER($I6540),TEXT($I6540,"0"),$I6540))</f>
        <v/>
      </c>
    </row>
    <row r="6541">
      <c r="B6541" s="25" t="n"/>
      <c r="I6541" s="25" t="n"/>
      <c r="U6541" s="19">
        <f>IF($V6541&lt;&gt;'設定'!$C$4,N(U6540),IF(OR(NOT(COUNTIF('商品マスタ'!$B$6:$B$1005,$W6541)=0),COUNTIFS('①在庫を貼る'!$V$6:$V$10005,$V6541,'①在庫を貼る'!$W$6:$W$10005,$W6541)&gt;0),N(U6540),N(U6540)+1))</f>
        <v/>
      </c>
      <c r="V6541" s="19">
        <f>IF($B6541="","",TEXT($B6541,"0000"))</f>
        <v/>
      </c>
      <c r="W6541" s="19">
        <f>IF($I6541="","",IF(ISNUMBER($I6541),TEXT($I6541,"0"),$I6541))</f>
        <v/>
      </c>
    </row>
    <row r="6542">
      <c r="B6542" s="25" t="n"/>
      <c r="I6542" s="25" t="n"/>
      <c r="U6542" s="19">
        <f>IF($V6542&lt;&gt;'設定'!$C$4,N(U6541),IF(OR(NOT(COUNTIF('商品マスタ'!$B$6:$B$1005,$W6542)=0),COUNTIFS('①在庫を貼る'!$V$6:$V$10005,$V6542,'①在庫を貼る'!$W$6:$W$10005,$W6542)&gt;0),N(U6541),N(U6541)+1))</f>
        <v/>
      </c>
      <c r="V6542" s="19">
        <f>IF($B6542="","",TEXT($B6542,"0000"))</f>
        <v/>
      </c>
      <c r="W6542" s="19">
        <f>IF($I6542="","",IF(ISNUMBER($I6542),TEXT($I6542,"0"),$I6542))</f>
        <v/>
      </c>
    </row>
    <row r="6543">
      <c r="B6543" s="25" t="n"/>
      <c r="I6543" s="25" t="n"/>
      <c r="U6543" s="19">
        <f>IF($V6543&lt;&gt;'設定'!$C$4,N(U6542),IF(OR(NOT(COUNTIF('商品マスタ'!$B$6:$B$1005,$W6543)=0),COUNTIFS('①在庫を貼る'!$V$6:$V$10005,$V6543,'①在庫を貼る'!$W$6:$W$10005,$W6543)&gt;0),N(U6542),N(U6542)+1))</f>
        <v/>
      </c>
      <c r="V6543" s="19">
        <f>IF($B6543="","",TEXT($B6543,"0000"))</f>
        <v/>
      </c>
      <c r="W6543" s="19">
        <f>IF($I6543="","",IF(ISNUMBER($I6543),TEXT($I6543,"0"),$I6543))</f>
        <v/>
      </c>
    </row>
    <row r="6544">
      <c r="B6544" s="25" t="n"/>
      <c r="I6544" s="25" t="n"/>
      <c r="U6544" s="19">
        <f>IF($V6544&lt;&gt;'設定'!$C$4,N(U6543),IF(OR(NOT(COUNTIF('商品マスタ'!$B$6:$B$1005,$W6544)=0),COUNTIFS('①在庫を貼る'!$V$6:$V$10005,$V6544,'①在庫を貼る'!$W$6:$W$10005,$W6544)&gt;0),N(U6543),N(U6543)+1))</f>
        <v/>
      </c>
      <c r="V6544" s="19">
        <f>IF($B6544="","",TEXT($B6544,"0000"))</f>
        <v/>
      </c>
      <c r="W6544" s="19">
        <f>IF($I6544="","",IF(ISNUMBER($I6544),TEXT($I6544,"0"),$I6544))</f>
        <v/>
      </c>
    </row>
    <row r="6545">
      <c r="B6545" s="25" t="n"/>
      <c r="I6545" s="25" t="n"/>
      <c r="U6545" s="19">
        <f>IF($V6545&lt;&gt;'設定'!$C$4,N(U6544),IF(OR(NOT(COUNTIF('商品マスタ'!$B$6:$B$1005,$W6545)=0),COUNTIFS('①在庫を貼る'!$V$6:$V$10005,$V6545,'①在庫を貼る'!$W$6:$W$10005,$W6545)&gt;0),N(U6544),N(U6544)+1))</f>
        <v/>
      </c>
      <c r="V6545" s="19">
        <f>IF($B6545="","",TEXT($B6545,"0000"))</f>
        <v/>
      </c>
      <c r="W6545" s="19">
        <f>IF($I6545="","",IF(ISNUMBER($I6545),TEXT($I6545,"0"),$I6545))</f>
        <v/>
      </c>
    </row>
    <row r="6546">
      <c r="B6546" s="25" t="n"/>
      <c r="I6546" s="25" t="n"/>
      <c r="U6546" s="19">
        <f>IF($V6546&lt;&gt;'設定'!$C$4,N(U6545),IF(OR(NOT(COUNTIF('商品マスタ'!$B$6:$B$1005,$W6546)=0),COUNTIFS('①在庫を貼る'!$V$6:$V$10005,$V6546,'①在庫を貼る'!$W$6:$W$10005,$W6546)&gt;0),N(U6545),N(U6545)+1))</f>
        <v/>
      </c>
      <c r="V6546" s="19">
        <f>IF($B6546="","",TEXT($B6546,"0000"))</f>
        <v/>
      </c>
      <c r="W6546" s="19">
        <f>IF($I6546="","",IF(ISNUMBER($I6546),TEXT($I6546,"0"),$I6546))</f>
        <v/>
      </c>
    </row>
    <row r="6547">
      <c r="B6547" s="25" t="n"/>
      <c r="I6547" s="25" t="n"/>
      <c r="U6547" s="19">
        <f>IF($V6547&lt;&gt;'設定'!$C$4,N(U6546),IF(OR(NOT(COUNTIF('商品マスタ'!$B$6:$B$1005,$W6547)=0),COUNTIFS('①在庫を貼る'!$V$6:$V$10005,$V6547,'①在庫を貼る'!$W$6:$W$10005,$W6547)&gt;0),N(U6546),N(U6546)+1))</f>
        <v/>
      </c>
      <c r="V6547" s="19">
        <f>IF($B6547="","",TEXT($B6547,"0000"))</f>
        <v/>
      </c>
      <c r="W6547" s="19">
        <f>IF($I6547="","",IF(ISNUMBER($I6547),TEXT($I6547,"0"),$I6547))</f>
        <v/>
      </c>
    </row>
    <row r="6548">
      <c r="B6548" s="25" t="n"/>
      <c r="I6548" s="25" t="n"/>
      <c r="U6548" s="19">
        <f>IF($V6548&lt;&gt;'設定'!$C$4,N(U6547),IF(OR(NOT(COUNTIF('商品マスタ'!$B$6:$B$1005,$W6548)=0),COUNTIFS('①在庫を貼る'!$V$6:$V$10005,$V6548,'①在庫を貼る'!$W$6:$W$10005,$W6548)&gt;0),N(U6547),N(U6547)+1))</f>
        <v/>
      </c>
      <c r="V6548" s="19">
        <f>IF($B6548="","",TEXT($B6548,"0000"))</f>
        <v/>
      </c>
      <c r="W6548" s="19">
        <f>IF($I6548="","",IF(ISNUMBER($I6548),TEXT($I6548,"0"),$I6548))</f>
        <v/>
      </c>
    </row>
    <row r="6549">
      <c r="B6549" s="25" t="n"/>
      <c r="I6549" s="25" t="n"/>
      <c r="U6549" s="19">
        <f>IF($V6549&lt;&gt;'設定'!$C$4,N(U6548),IF(OR(NOT(COUNTIF('商品マスタ'!$B$6:$B$1005,$W6549)=0),COUNTIFS('①在庫を貼る'!$V$6:$V$10005,$V6549,'①在庫を貼る'!$W$6:$W$10005,$W6549)&gt;0),N(U6548),N(U6548)+1))</f>
        <v/>
      </c>
      <c r="V6549" s="19">
        <f>IF($B6549="","",TEXT($B6549,"0000"))</f>
        <v/>
      </c>
      <c r="W6549" s="19">
        <f>IF($I6549="","",IF(ISNUMBER($I6549),TEXT($I6549,"0"),$I6549))</f>
        <v/>
      </c>
    </row>
    <row r="6550">
      <c r="B6550" s="25" t="n"/>
      <c r="I6550" s="25" t="n"/>
      <c r="U6550" s="19">
        <f>IF($V6550&lt;&gt;'設定'!$C$4,N(U6549),IF(OR(NOT(COUNTIF('商品マスタ'!$B$6:$B$1005,$W6550)=0),COUNTIFS('①在庫を貼る'!$V$6:$V$10005,$V6550,'①在庫を貼る'!$W$6:$W$10005,$W6550)&gt;0),N(U6549),N(U6549)+1))</f>
        <v/>
      </c>
      <c r="V6550" s="19">
        <f>IF($B6550="","",TEXT($B6550,"0000"))</f>
        <v/>
      </c>
      <c r="W6550" s="19">
        <f>IF($I6550="","",IF(ISNUMBER($I6550),TEXT($I6550,"0"),$I6550))</f>
        <v/>
      </c>
    </row>
    <row r="6551">
      <c r="B6551" s="25" t="n"/>
      <c r="I6551" s="25" t="n"/>
      <c r="U6551" s="19">
        <f>IF($V6551&lt;&gt;'設定'!$C$4,N(U6550),IF(OR(NOT(COUNTIF('商品マスタ'!$B$6:$B$1005,$W6551)=0),COUNTIFS('①在庫を貼る'!$V$6:$V$10005,$V6551,'①在庫を貼る'!$W$6:$W$10005,$W6551)&gt;0),N(U6550),N(U6550)+1))</f>
        <v/>
      </c>
      <c r="V6551" s="19">
        <f>IF($B6551="","",TEXT($B6551,"0000"))</f>
        <v/>
      </c>
      <c r="W6551" s="19">
        <f>IF($I6551="","",IF(ISNUMBER($I6551),TEXT($I6551,"0"),$I6551))</f>
        <v/>
      </c>
    </row>
    <row r="6552">
      <c r="B6552" s="25" t="n"/>
      <c r="I6552" s="25" t="n"/>
      <c r="U6552" s="19">
        <f>IF($V6552&lt;&gt;'設定'!$C$4,N(U6551),IF(OR(NOT(COUNTIF('商品マスタ'!$B$6:$B$1005,$W6552)=0),COUNTIFS('①在庫を貼る'!$V$6:$V$10005,$V6552,'①在庫を貼る'!$W$6:$W$10005,$W6552)&gt;0),N(U6551),N(U6551)+1))</f>
        <v/>
      </c>
      <c r="V6552" s="19">
        <f>IF($B6552="","",TEXT($B6552,"0000"))</f>
        <v/>
      </c>
      <c r="W6552" s="19">
        <f>IF($I6552="","",IF(ISNUMBER($I6552),TEXT($I6552,"0"),$I6552))</f>
        <v/>
      </c>
    </row>
    <row r="6553">
      <c r="B6553" s="25" t="n"/>
      <c r="I6553" s="25" t="n"/>
      <c r="U6553" s="19">
        <f>IF($V6553&lt;&gt;'設定'!$C$4,N(U6552),IF(OR(NOT(COUNTIF('商品マスタ'!$B$6:$B$1005,$W6553)=0),COUNTIFS('①在庫を貼る'!$V$6:$V$10005,$V6553,'①在庫を貼る'!$W$6:$W$10005,$W6553)&gt;0),N(U6552),N(U6552)+1))</f>
        <v/>
      </c>
      <c r="V6553" s="19">
        <f>IF($B6553="","",TEXT($B6553,"0000"))</f>
        <v/>
      </c>
      <c r="W6553" s="19">
        <f>IF($I6553="","",IF(ISNUMBER($I6553),TEXT($I6553,"0"),$I6553))</f>
        <v/>
      </c>
    </row>
    <row r="6554">
      <c r="B6554" s="25" t="n"/>
      <c r="I6554" s="25" t="n"/>
      <c r="U6554" s="19">
        <f>IF($V6554&lt;&gt;'設定'!$C$4,N(U6553),IF(OR(NOT(COUNTIF('商品マスタ'!$B$6:$B$1005,$W6554)=0),COUNTIFS('①在庫を貼る'!$V$6:$V$10005,$V6554,'①在庫を貼る'!$W$6:$W$10005,$W6554)&gt;0),N(U6553),N(U6553)+1))</f>
        <v/>
      </c>
      <c r="V6554" s="19">
        <f>IF($B6554="","",TEXT($B6554,"0000"))</f>
        <v/>
      </c>
      <c r="W6554" s="19">
        <f>IF($I6554="","",IF(ISNUMBER($I6554),TEXT($I6554,"0"),$I6554))</f>
        <v/>
      </c>
    </row>
    <row r="6555">
      <c r="B6555" s="25" t="n"/>
      <c r="I6555" s="25" t="n"/>
      <c r="U6555" s="19">
        <f>IF($V6555&lt;&gt;'設定'!$C$4,N(U6554),IF(OR(NOT(COUNTIF('商品マスタ'!$B$6:$B$1005,$W6555)=0),COUNTIFS('①在庫を貼る'!$V$6:$V$10005,$V6555,'①在庫を貼る'!$W$6:$W$10005,$W6555)&gt;0),N(U6554),N(U6554)+1))</f>
        <v/>
      </c>
      <c r="V6555" s="19">
        <f>IF($B6555="","",TEXT($B6555,"0000"))</f>
        <v/>
      </c>
      <c r="W6555" s="19">
        <f>IF($I6555="","",IF(ISNUMBER($I6555),TEXT($I6555,"0"),$I6555))</f>
        <v/>
      </c>
    </row>
    <row r="6556">
      <c r="B6556" s="25" t="n"/>
      <c r="I6556" s="25" t="n"/>
      <c r="U6556" s="19">
        <f>IF($V6556&lt;&gt;'設定'!$C$4,N(U6555),IF(OR(NOT(COUNTIF('商品マスタ'!$B$6:$B$1005,$W6556)=0),COUNTIFS('①在庫を貼る'!$V$6:$V$10005,$V6556,'①在庫を貼る'!$W$6:$W$10005,$W6556)&gt;0),N(U6555),N(U6555)+1))</f>
        <v/>
      </c>
      <c r="V6556" s="19">
        <f>IF($B6556="","",TEXT($B6556,"0000"))</f>
        <v/>
      </c>
      <c r="W6556" s="19">
        <f>IF($I6556="","",IF(ISNUMBER($I6556),TEXT($I6556,"0"),$I6556))</f>
        <v/>
      </c>
    </row>
    <row r="6557">
      <c r="B6557" s="25" t="n"/>
      <c r="I6557" s="25" t="n"/>
      <c r="U6557" s="19">
        <f>IF($V6557&lt;&gt;'設定'!$C$4,N(U6556),IF(OR(NOT(COUNTIF('商品マスタ'!$B$6:$B$1005,$W6557)=0),COUNTIFS('①在庫を貼る'!$V$6:$V$10005,$V6557,'①在庫を貼る'!$W$6:$W$10005,$W6557)&gt;0),N(U6556),N(U6556)+1))</f>
        <v/>
      </c>
      <c r="V6557" s="19">
        <f>IF($B6557="","",TEXT($B6557,"0000"))</f>
        <v/>
      </c>
      <c r="W6557" s="19">
        <f>IF($I6557="","",IF(ISNUMBER($I6557),TEXT($I6557,"0"),$I6557))</f>
        <v/>
      </c>
    </row>
    <row r="6558">
      <c r="B6558" s="25" t="n"/>
      <c r="I6558" s="25" t="n"/>
      <c r="U6558" s="19">
        <f>IF($V6558&lt;&gt;'設定'!$C$4,N(U6557),IF(OR(NOT(COUNTIF('商品マスタ'!$B$6:$B$1005,$W6558)=0),COUNTIFS('①在庫を貼る'!$V$6:$V$10005,$V6558,'①在庫を貼る'!$W$6:$W$10005,$W6558)&gt;0),N(U6557),N(U6557)+1))</f>
        <v/>
      </c>
      <c r="V6558" s="19">
        <f>IF($B6558="","",TEXT($B6558,"0000"))</f>
        <v/>
      </c>
      <c r="W6558" s="19">
        <f>IF($I6558="","",IF(ISNUMBER($I6558),TEXT($I6558,"0"),$I6558))</f>
        <v/>
      </c>
    </row>
    <row r="6559">
      <c r="B6559" s="25" t="n"/>
      <c r="I6559" s="25" t="n"/>
      <c r="U6559" s="19">
        <f>IF($V6559&lt;&gt;'設定'!$C$4,N(U6558),IF(OR(NOT(COUNTIF('商品マスタ'!$B$6:$B$1005,$W6559)=0),COUNTIFS('①在庫を貼る'!$V$6:$V$10005,$V6559,'①在庫を貼る'!$W$6:$W$10005,$W6559)&gt;0),N(U6558),N(U6558)+1))</f>
        <v/>
      </c>
      <c r="V6559" s="19">
        <f>IF($B6559="","",TEXT($B6559,"0000"))</f>
        <v/>
      </c>
      <c r="W6559" s="19">
        <f>IF($I6559="","",IF(ISNUMBER($I6559),TEXT($I6559,"0"),$I6559))</f>
        <v/>
      </c>
    </row>
    <row r="6560">
      <c r="B6560" s="25" t="n"/>
      <c r="I6560" s="25" t="n"/>
      <c r="U6560" s="19">
        <f>IF($V6560&lt;&gt;'設定'!$C$4,N(U6559),IF(OR(NOT(COUNTIF('商品マスタ'!$B$6:$B$1005,$W6560)=0),COUNTIFS('①在庫を貼る'!$V$6:$V$10005,$V6560,'①在庫を貼る'!$W$6:$W$10005,$W6560)&gt;0),N(U6559),N(U6559)+1))</f>
        <v/>
      </c>
      <c r="V6560" s="19">
        <f>IF($B6560="","",TEXT($B6560,"0000"))</f>
        <v/>
      </c>
      <c r="W6560" s="19">
        <f>IF($I6560="","",IF(ISNUMBER($I6560),TEXT($I6560,"0"),$I6560))</f>
        <v/>
      </c>
    </row>
    <row r="6561">
      <c r="B6561" s="25" t="n"/>
      <c r="I6561" s="25" t="n"/>
      <c r="U6561" s="19">
        <f>IF($V6561&lt;&gt;'設定'!$C$4,N(U6560),IF(OR(NOT(COUNTIF('商品マスタ'!$B$6:$B$1005,$W6561)=0),COUNTIFS('①在庫を貼る'!$V$6:$V$10005,$V6561,'①在庫を貼る'!$W$6:$W$10005,$W6561)&gt;0),N(U6560),N(U6560)+1))</f>
        <v/>
      </c>
      <c r="V6561" s="19">
        <f>IF($B6561="","",TEXT($B6561,"0000"))</f>
        <v/>
      </c>
      <c r="W6561" s="19">
        <f>IF($I6561="","",IF(ISNUMBER($I6561),TEXT($I6561,"0"),$I6561))</f>
        <v/>
      </c>
    </row>
    <row r="6562">
      <c r="B6562" s="25" t="n"/>
      <c r="I6562" s="25" t="n"/>
      <c r="U6562" s="19">
        <f>IF($V6562&lt;&gt;'設定'!$C$4,N(U6561),IF(OR(NOT(COUNTIF('商品マスタ'!$B$6:$B$1005,$W6562)=0),COUNTIFS('①在庫を貼る'!$V$6:$V$10005,$V6562,'①在庫を貼る'!$W$6:$W$10005,$W6562)&gt;0),N(U6561),N(U6561)+1))</f>
        <v/>
      </c>
      <c r="V6562" s="19">
        <f>IF($B6562="","",TEXT($B6562,"0000"))</f>
        <v/>
      </c>
      <c r="W6562" s="19">
        <f>IF($I6562="","",IF(ISNUMBER($I6562),TEXT($I6562,"0"),$I6562))</f>
        <v/>
      </c>
    </row>
    <row r="6563">
      <c r="B6563" s="25" t="n"/>
      <c r="I6563" s="25" t="n"/>
      <c r="U6563" s="19">
        <f>IF($V6563&lt;&gt;'設定'!$C$4,N(U6562),IF(OR(NOT(COUNTIF('商品マスタ'!$B$6:$B$1005,$W6563)=0),COUNTIFS('①在庫を貼る'!$V$6:$V$10005,$V6563,'①在庫を貼る'!$W$6:$W$10005,$W6563)&gt;0),N(U6562),N(U6562)+1))</f>
        <v/>
      </c>
      <c r="V6563" s="19">
        <f>IF($B6563="","",TEXT($B6563,"0000"))</f>
        <v/>
      </c>
      <c r="W6563" s="19">
        <f>IF($I6563="","",IF(ISNUMBER($I6563),TEXT($I6563,"0"),$I6563))</f>
        <v/>
      </c>
    </row>
    <row r="6564">
      <c r="B6564" s="25" t="n"/>
      <c r="I6564" s="25" t="n"/>
      <c r="U6564" s="19">
        <f>IF($V6564&lt;&gt;'設定'!$C$4,N(U6563),IF(OR(NOT(COUNTIF('商品マスタ'!$B$6:$B$1005,$W6564)=0),COUNTIFS('①在庫を貼る'!$V$6:$V$10005,$V6564,'①在庫を貼る'!$W$6:$W$10005,$W6564)&gt;0),N(U6563),N(U6563)+1))</f>
        <v/>
      </c>
      <c r="V6564" s="19">
        <f>IF($B6564="","",TEXT($B6564,"0000"))</f>
        <v/>
      </c>
      <c r="W6564" s="19">
        <f>IF($I6564="","",IF(ISNUMBER($I6564),TEXT($I6564,"0"),$I6564))</f>
        <v/>
      </c>
    </row>
    <row r="6565">
      <c r="B6565" s="25" t="n"/>
      <c r="I6565" s="25" t="n"/>
      <c r="U6565" s="19">
        <f>IF($V6565&lt;&gt;'設定'!$C$4,N(U6564),IF(OR(NOT(COUNTIF('商品マスタ'!$B$6:$B$1005,$W6565)=0),COUNTIFS('①在庫を貼る'!$V$6:$V$10005,$V6565,'①在庫を貼る'!$W$6:$W$10005,$W6565)&gt;0),N(U6564),N(U6564)+1))</f>
        <v/>
      </c>
      <c r="V6565" s="19">
        <f>IF($B6565="","",TEXT($B6565,"0000"))</f>
        <v/>
      </c>
      <c r="W6565" s="19">
        <f>IF($I6565="","",IF(ISNUMBER($I6565),TEXT($I6565,"0"),$I6565))</f>
        <v/>
      </c>
    </row>
    <row r="6566">
      <c r="B6566" s="25" t="n"/>
      <c r="I6566" s="25" t="n"/>
      <c r="U6566" s="19">
        <f>IF($V6566&lt;&gt;'設定'!$C$4,N(U6565),IF(OR(NOT(COUNTIF('商品マスタ'!$B$6:$B$1005,$W6566)=0),COUNTIFS('①在庫を貼る'!$V$6:$V$10005,$V6566,'①在庫を貼る'!$W$6:$W$10005,$W6566)&gt;0),N(U6565),N(U6565)+1))</f>
        <v/>
      </c>
      <c r="V6566" s="19">
        <f>IF($B6566="","",TEXT($B6566,"0000"))</f>
        <v/>
      </c>
      <c r="W6566" s="19">
        <f>IF($I6566="","",IF(ISNUMBER($I6566),TEXT($I6566,"0"),$I6566))</f>
        <v/>
      </c>
    </row>
    <row r="6567">
      <c r="B6567" s="25" t="n"/>
      <c r="I6567" s="25" t="n"/>
      <c r="U6567" s="19">
        <f>IF($V6567&lt;&gt;'設定'!$C$4,N(U6566),IF(OR(NOT(COUNTIF('商品マスタ'!$B$6:$B$1005,$W6567)=0),COUNTIFS('①在庫を貼る'!$V$6:$V$10005,$V6567,'①在庫を貼る'!$W$6:$W$10005,$W6567)&gt;0),N(U6566),N(U6566)+1))</f>
        <v/>
      </c>
      <c r="V6567" s="19">
        <f>IF($B6567="","",TEXT($B6567,"0000"))</f>
        <v/>
      </c>
      <c r="W6567" s="19">
        <f>IF($I6567="","",IF(ISNUMBER($I6567),TEXT($I6567,"0"),$I6567))</f>
        <v/>
      </c>
    </row>
    <row r="6568">
      <c r="B6568" s="25" t="n"/>
      <c r="I6568" s="25" t="n"/>
      <c r="U6568" s="19">
        <f>IF($V6568&lt;&gt;'設定'!$C$4,N(U6567),IF(OR(NOT(COUNTIF('商品マスタ'!$B$6:$B$1005,$W6568)=0),COUNTIFS('①在庫を貼る'!$V$6:$V$10005,$V6568,'①在庫を貼る'!$W$6:$W$10005,$W6568)&gt;0),N(U6567),N(U6567)+1))</f>
        <v/>
      </c>
      <c r="V6568" s="19">
        <f>IF($B6568="","",TEXT($B6568,"0000"))</f>
        <v/>
      </c>
      <c r="W6568" s="19">
        <f>IF($I6568="","",IF(ISNUMBER($I6568),TEXT($I6568,"0"),$I6568))</f>
        <v/>
      </c>
    </row>
    <row r="6569">
      <c r="B6569" s="25" t="n"/>
      <c r="I6569" s="25" t="n"/>
      <c r="U6569" s="19">
        <f>IF($V6569&lt;&gt;'設定'!$C$4,N(U6568),IF(OR(NOT(COUNTIF('商品マスタ'!$B$6:$B$1005,$W6569)=0),COUNTIFS('①在庫を貼る'!$V$6:$V$10005,$V6569,'①在庫を貼る'!$W$6:$W$10005,$W6569)&gt;0),N(U6568),N(U6568)+1))</f>
        <v/>
      </c>
      <c r="V6569" s="19">
        <f>IF($B6569="","",TEXT($B6569,"0000"))</f>
        <v/>
      </c>
      <c r="W6569" s="19">
        <f>IF($I6569="","",IF(ISNUMBER($I6569),TEXT($I6569,"0"),$I6569))</f>
        <v/>
      </c>
    </row>
    <row r="6570">
      <c r="B6570" s="25" t="n"/>
      <c r="I6570" s="25" t="n"/>
      <c r="U6570" s="19">
        <f>IF($V6570&lt;&gt;'設定'!$C$4,N(U6569),IF(OR(NOT(COUNTIF('商品マスタ'!$B$6:$B$1005,$W6570)=0),COUNTIFS('①在庫を貼る'!$V$6:$V$10005,$V6570,'①在庫を貼る'!$W$6:$W$10005,$W6570)&gt;0),N(U6569),N(U6569)+1))</f>
        <v/>
      </c>
      <c r="V6570" s="19">
        <f>IF($B6570="","",TEXT($B6570,"0000"))</f>
        <v/>
      </c>
      <c r="W6570" s="19">
        <f>IF($I6570="","",IF(ISNUMBER($I6570),TEXT($I6570,"0"),$I6570))</f>
        <v/>
      </c>
    </row>
    <row r="6571">
      <c r="B6571" s="25" t="n"/>
      <c r="I6571" s="25" t="n"/>
      <c r="U6571" s="19">
        <f>IF($V6571&lt;&gt;'設定'!$C$4,N(U6570),IF(OR(NOT(COUNTIF('商品マスタ'!$B$6:$B$1005,$W6571)=0),COUNTIFS('①在庫を貼る'!$V$6:$V$10005,$V6571,'①在庫を貼る'!$W$6:$W$10005,$W6571)&gt;0),N(U6570),N(U6570)+1))</f>
        <v/>
      </c>
      <c r="V6571" s="19">
        <f>IF($B6571="","",TEXT($B6571,"0000"))</f>
        <v/>
      </c>
      <c r="W6571" s="19">
        <f>IF($I6571="","",IF(ISNUMBER($I6571),TEXT($I6571,"0"),$I6571))</f>
        <v/>
      </c>
    </row>
    <row r="6572">
      <c r="B6572" s="25" t="n"/>
      <c r="I6572" s="25" t="n"/>
      <c r="U6572" s="19">
        <f>IF($V6572&lt;&gt;'設定'!$C$4,N(U6571),IF(OR(NOT(COUNTIF('商品マスタ'!$B$6:$B$1005,$W6572)=0),COUNTIFS('①在庫を貼る'!$V$6:$V$10005,$V6572,'①在庫を貼る'!$W$6:$W$10005,$W6572)&gt;0),N(U6571),N(U6571)+1))</f>
        <v/>
      </c>
      <c r="V6572" s="19">
        <f>IF($B6572="","",TEXT($B6572,"0000"))</f>
        <v/>
      </c>
      <c r="W6572" s="19">
        <f>IF($I6572="","",IF(ISNUMBER($I6572),TEXT($I6572,"0"),$I6572))</f>
        <v/>
      </c>
    </row>
    <row r="6573">
      <c r="B6573" s="25" t="n"/>
      <c r="I6573" s="25" t="n"/>
      <c r="U6573" s="19">
        <f>IF($V6573&lt;&gt;'設定'!$C$4,N(U6572),IF(OR(NOT(COUNTIF('商品マスタ'!$B$6:$B$1005,$W6573)=0),COUNTIFS('①在庫を貼る'!$V$6:$V$10005,$V6573,'①在庫を貼る'!$W$6:$W$10005,$W6573)&gt;0),N(U6572),N(U6572)+1))</f>
        <v/>
      </c>
      <c r="V6573" s="19">
        <f>IF($B6573="","",TEXT($B6573,"0000"))</f>
        <v/>
      </c>
      <c r="W6573" s="19">
        <f>IF($I6573="","",IF(ISNUMBER($I6573),TEXT($I6573,"0"),$I6573))</f>
        <v/>
      </c>
    </row>
    <row r="6574">
      <c r="B6574" s="25" t="n"/>
      <c r="I6574" s="25" t="n"/>
      <c r="U6574" s="19">
        <f>IF($V6574&lt;&gt;'設定'!$C$4,N(U6573),IF(OR(NOT(COUNTIF('商品マスタ'!$B$6:$B$1005,$W6574)=0),COUNTIFS('①在庫を貼る'!$V$6:$V$10005,$V6574,'①在庫を貼る'!$W$6:$W$10005,$W6574)&gt;0),N(U6573),N(U6573)+1))</f>
        <v/>
      </c>
      <c r="V6574" s="19">
        <f>IF($B6574="","",TEXT($B6574,"0000"))</f>
        <v/>
      </c>
      <c r="W6574" s="19">
        <f>IF($I6574="","",IF(ISNUMBER($I6574),TEXT($I6574,"0"),$I6574))</f>
        <v/>
      </c>
    </row>
    <row r="6575">
      <c r="B6575" s="25" t="n"/>
      <c r="I6575" s="25" t="n"/>
      <c r="U6575" s="19">
        <f>IF($V6575&lt;&gt;'設定'!$C$4,N(U6574),IF(OR(NOT(COUNTIF('商品マスタ'!$B$6:$B$1005,$W6575)=0),COUNTIFS('①在庫を貼る'!$V$6:$V$10005,$V6575,'①在庫を貼る'!$W$6:$W$10005,$W6575)&gt;0),N(U6574),N(U6574)+1))</f>
        <v/>
      </c>
      <c r="V6575" s="19">
        <f>IF($B6575="","",TEXT($B6575,"0000"))</f>
        <v/>
      </c>
      <c r="W6575" s="19">
        <f>IF($I6575="","",IF(ISNUMBER($I6575),TEXT($I6575,"0"),$I6575))</f>
        <v/>
      </c>
    </row>
    <row r="6576">
      <c r="B6576" s="25" t="n"/>
      <c r="I6576" s="25" t="n"/>
      <c r="U6576" s="19">
        <f>IF($V6576&lt;&gt;'設定'!$C$4,N(U6575),IF(OR(NOT(COUNTIF('商品マスタ'!$B$6:$B$1005,$W6576)=0),COUNTIFS('①在庫を貼る'!$V$6:$V$10005,$V6576,'①在庫を貼る'!$W$6:$W$10005,$W6576)&gt;0),N(U6575),N(U6575)+1))</f>
        <v/>
      </c>
      <c r="V6576" s="19">
        <f>IF($B6576="","",TEXT($B6576,"0000"))</f>
        <v/>
      </c>
      <c r="W6576" s="19">
        <f>IF($I6576="","",IF(ISNUMBER($I6576),TEXT($I6576,"0"),$I6576))</f>
        <v/>
      </c>
    </row>
    <row r="6577">
      <c r="B6577" s="25" t="n"/>
      <c r="I6577" s="25" t="n"/>
      <c r="U6577" s="19">
        <f>IF($V6577&lt;&gt;'設定'!$C$4,N(U6576),IF(OR(NOT(COUNTIF('商品マスタ'!$B$6:$B$1005,$W6577)=0),COUNTIFS('①在庫を貼る'!$V$6:$V$10005,$V6577,'①在庫を貼る'!$W$6:$W$10005,$W6577)&gt;0),N(U6576),N(U6576)+1))</f>
        <v/>
      </c>
      <c r="V6577" s="19">
        <f>IF($B6577="","",TEXT($B6577,"0000"))</f>
        <v/>
      </c>
      <c r="W6577" s="19">
        <f>IF($I6577="","",IF(ISNUMBER($I6577),TEXT($I6577,"0"),$I6577))</f>
        <v/>
      </c>
    </row>
    <row r="6578">
      <c r="B6578" s="25" t="n"/>
      <c r="I6578" s="25" t="n"/>
      <c r="U6578" s="19">
        <f>IF($V6578&lt;&gt;'設定'!$C$4,N(U6577),IF(OR(NOT(COUNTIF('商品マスタ'!$B$6:$B$1005,$W6578)=0),COUNTIFS('①在庫を貼る'!$V$6:$V$10005,$V6578,'①在庫を貼る'!$W$6:$W$10005,$W6578)&gt;0),N(U6577),N(U6577)+1))</f>
        <v/>
      </c>
      <c r="V6578" s="19">
        <f>IF($B6578="","",TEXT($B6578,"0000"))</f>
        <v/>
      </c>
      <c r="W6578" s="19">
        <f>IF($I6578="","",IF(ISNUMBER($I6578),TEXT($I6578,"0"),$I6578))</f>
        <v/>
      </c>
    </row>
    <row r="6579">
      <c r="B6579" s="25" t="n"/>
      <c r="I6579" s="25" t="n"/>
      <c r="U6579" s="19">
        <f>IF($V6579&lt;&gt;'設定'!$C$4,N(U6578),IF(OR(NOT(COUNTIF('商品マスタ'!$B$6:$B$1005,$W6579)=0),COUNTIFS('①在庫を貼る'!$V$6:$V$10005,$V6579,'①在庫を貼る'!$W$6:$W$10005,$W6579)&gt;0),N(U6578),N(U6578)+1))</f>
        <v/>
      </c>
      <c r="V6579" s="19">
        <f>IF($B6579="","",TEXT($B6579,"0000"))</f>
        <v/>
      </c>
      <c r="W6579" s="19">
        <f>IF($I6579="","",IF(ISNUMBER($I6579),TEXT($I6579,"0"),$I6579))</f>
        <v/>
      </c>
    </row>
    <row r="6580">
      <c r="B6580" s="25" t="n"/>
      <c r="I6580" s="25" t="n"/>
      <c r="U6580" s="19">
        <f>IF($V6580&lt;&gt;'設定'!$C$4,N(U6579),IF(OR(NOT(COUNTIF('商品マスタ'!$B$6:$B$1005,$W6580)=0),COUNTIFS('①在庫を貼る'!$V$6:$V$10005,$V6580,'①在庫を貼る'!$W$6:$W$10005,$W6580)&gt;0),N(U6579),N(U6579)+1))</f>
        <v/>
      </c>
      <c r="V6580" s="19">
        <f>IF($B6580="","",TEXT($B6580,"0000"))</f>
        <v/>
      </c>
      <c r="W6580" s="19">
        <f>IF($I6580="","",IF(ISNUMBER($I6580),TEXT($I6580,"0"),$I6580))</f>
        <v/>
      </c>
    </row>
    <row r="6581">
      <c r="B6581" s="25" t="n"/>
      <c r="I6581" s="25" t="n"/>
      <c r="U6581" s="19">
        <f>IF($V6581&lt;&gt;'設定'!$C$4,N(U6580),IF(OR(NOT(COUNTIF('商品マスタ'!$B$6:$B$1005,$W6581)=0),COUNTIFS('①在庫を貼る'!$V$6:$V$10005,$V6581,'①在庫を貼る'!$W$6:$W$10005,$W6581)&gt;0),N(U6580),N(U6580)+1))</f>
        <v/>
      </c>
      <c r="V6581" s="19">
        <f>IF($B6581="","",TEXT($B6581,"0000"))</f>
        <v/>
      </c>
      <c r="W6581" s="19">
        <f>IF($I6581="","",IF(ISNUMBER($I6581),TEXT($I6581,"0"),$I6581))</f>
        <v/>
      </c>
    </row>
    <row r="6582">
      <c r="B6582" s="25" t="n"/>
      <c r="I6582" s="25" t="n"/>
      <c r="U6582" s="19">
        <f>IF($V6582&lt;&gt;'設定'!$C$4,N(U6581),IF(OR(NOT(COUNTIF('商品マスタ'!$B$6:$B$1005,$W6582)=0),COUNTIFS('①在庫を貼る'!$V$6:$V$10005,$V6582,'①在庫を貼る'!$W$6:$W$10005,$W6582)&gt;0),N(U6581),N(U6581)+1))</f>
        <v/>
      </c>
      <c r="V6582" s="19">
        <f>IF($B6582="","",TEXT($B6582,"0000"))</f>
        <v/>
      </c>
      <c r="W6582" s="19">
        <f>IF($I6582="","",IF(ISNUMBER($I6582),TEXT($I6582,"0"),$I6582))</f>
        <v/>
      </c>
    </row>
    <row r="6583">
      <c r="B6583" s="25" t="n"/>
      <c r="I6583" s="25" t="n"/>
      <c r="U6583" s="19">
        <f>IF($V6583&lt;&gt;'設定'!$C$4,N(U6582),IF(OR(NOT(COUNTIF('商品マスタ'!$B$6:$B$1005,$W6583)=0),COUNTIFS('①在庫を貼る'!$V$6:$V$10005,$V6583,'①在庫を貼る'!$W$6:$W$10005,$W6583)&gt;0),N(U6582),N(U6582)+1))</f>
        <v/>
      </c>
      <c r="V6583" s="19">
        <f>IF($B6583="","",TEXT($B6583,"0000"))</f>
        <v/>
      </c>
      <c r="W6583" s="19">
        <f>IF($I6583="","",IF(ISNUMBER($I6583),TEXT($I6583,"0"),$I6583))</f>
        <v/>
      </c>
    </row>
    <row r="6584">
      <c r="B6584" s="25" t="n"/>
      <c r="I6584" s="25" t="n"/>
      <c r="U6584" s="19">
        <f>IF($V6584&lt;&gt;'設定'!$C$4,N(U6583),IF(OR(NOT(COUNTIF('商品マスタ'!$B$6:$B$1005,$W6584)=0),COUNTIFS('①在庫を貼る'!$V$6:$V$10005,$V6584,'①在庫を貼る'!$W$6:$W$10005,$W6584)&gt;0),N(U6583),N(U6583)+1))</f>
        <v/>
      </c>
      <c r="V6584" s="19">
        <f>IF($B6584="","",TEXT($B6584,"0000"))</f>
        <v/>
      </c>
      <c r="W6584" s="19">
        <f>IF($I6584="","",IF(ISNUMBER($I6584),TEXT($I6584,"0"),$I6584))</f>
        <v/>
      </c>
    </row>
    <row r="6585">
      <c r="B6585" s="25" t="n"/>
      <c r="I6585" s="25" t="n"/>
      <c r="U6585" s="19">
        <f>IF($V6585&lt;&gt;'設定'!$C$4,N(U6584),IF(OR(NOT(COUNTIF('商品マスタ'!$B$6:$B$1005,$W6585)=0),COUNTIFS('①在庫を貼る'!$V$6:$V$10005,$V6585,'①在庫を貼る'!$W$6:$W$10005,$W6585)&gt;0),N(U6584),N(U6584)+1))</f>
        <v/>
      </c>
      <c r="V6585" s="19">
        <f>IF($B6585="","",TEXT($B6585,"0000"))</f>
        <v/>
      </c>
      <c r="W6585" s="19">
        <f>IF($I6585="","",IF(ISNUMBER($I6585),TEXT($I6585,"0"),$I6585))</f>
        <v/>
      </c>
    </row>
    <row r="6586">
      <c r="B6586" s="25" t="n"/>
      <c r="I6586" s="25" t="n"/>
      <c r="U6586" s="19">
        <f>IF($V6586&lt;&gt;'設定'!$C$4,N(U6585),IF(OR(NOT(COUNTIF('商品マスタ'!$B$6:$B$1005,$W6586)=0),COUNTIFS('①在庫を貼る'!$V$6:$V$10005,$V6586,'①在庫を貼る'!$W$6:$W$10005,$W6586)&gt;0),N(U6585),N(U6585)+1))</f>
        <v/>
      </c>
      <c r="V6586" s="19">
        <f>IF($B6586="","",TEXT($B6586,"0000"))</f>
        <v/>
      </c>
      <c r="W6586" s="19">
        <f>IF($I6586="","",IF(ISNUMBER($I6586),TEXT($I6586,"0"),$I6586))</f>
        <v/>
      </c>
    </row>
    <row r="6587">
      <c r="B6587" s="25" t="n"/>
      <c r="I6587" s="25" t="n"/>
      <c r="U6587" s="19">
        <f>IF($V6587&lt;&gt;'設定'!$C$4,N(U6586),IF(OR(NOT(COUNTIF('商品マスタ'!$B$6:$B$1005,$W6587)=0),COUNTIFS('①在庫を貼る'!$V$6:$V$10005,$V6587,'①在庫を貼る'!$W$6:$W$10005,$W6587)&gt;0),N(U6586),N(U6586)+1))</f>
        <v/>
      </c>
      <c r="V6587" s="19">
        <f>IF($B6587="","",TEXT($B6587,"0000"))</f>
        <v/>
      </c>
      <c r="W6587" s="19">
        <f>IF($I6587="","",IF(ISNUMBER($I6587),TEXT($I6587,"0"),$I6587))</f>
        <v/>
      </c>
    </row>
    <row r="6588">
      <c r="B6588" s="25" t="n"/>
      <c r="I6588" s="25" t="n"/>
      <c r="U6588" s="19">
        <f>IF($V6588&lt;&gt;'設定'!$C$4,N(U6587),IF(OR(NOT(COUNTIF('商品マスタ'!$B$6:$B$1005,$W6588)=0),COUNTIFS('①在庫を貼る'!$V$6:$V$10005,$V6588,'①在庫を貼る'!$W$6:$W$10005,$W6588)&gt;0),N(U6587),N(U6587)+1))</f>
        <v/>
      </c>
      <c r="V6588" s="19">
        <f>IF($B6588="","",TEXT($B6588,"0000"))</f>
        <v/>
      </c>
      <c r="W6588" s="19">
        <f>IF($I6588="","",IF(ISNUMBER($I6588),TEXT($I6588,"0"),$I6588))</f>
        <v/>
      </c>
    </row>
    <row r="6589">
      <c r="B6589" s="25" t="n"/>
      <c r="I6589" s="25" t="n"/>
      <c r="U6589" s="19">
        <f>IF($V6589&lt;&gt;'設定'!$C$4,N(U6588),IF(OR(NOT(COUNTIF('商品マスタ'!$B$6:$B$1005,$W6589)=0),COUNTIFS('①在庫を貼る'!$V$6:$V$10005,$V6589,'①在庫を貼る'!$W$6:$W$10005,$W6589)&gt;0),N(U6588),N(U6588)+1))</f>
        <v/>
      </c>
      <c r="V6589" s="19">
        <f>IF($B6589="","",TEXT($B6589,"0000"))</f>
        <v/>
      </c>
      <c r="W6589" s="19">
        <f>IF($I6589="","",IF(ISNUMBER($I6589),TEXT($I6589,"0"),$I6589))</f>
        <v/>
      </c>
    </row>
    <row r="6590">
      <c r="B6590" s="25" t="n"/>
      <c r="I6590" s="25" t="n"/>
      <c r="U6590" s="19">
        <f>IF($V6590&lt;&gt;'設定'!$C$4,N(U6589),IF(OR(NOT(COUNTIF('商品マスタ'!$B$6:$B$1005,$W6590)=0),COUNTIFS('①在庫を貼る'!$V$6:$V$10005,$V6590,'①在庫を貼る'!$W$6:$W$10005,$W6590)&gt;0),N(U6589),N(U6589)+1))</f>
        <v/>
      </c>
      <c r="V6590" s="19">
        <f>IF($B6590="","",TEXT($B6590,"0000"))</f>
        <v/>
      </c>
      <c r="W6590" s="19">
        <f>IF($I6590="","",IF(ISNUMBER($I6590),TEXT($I6590,"0"),$I6590))</f>
        <v/>
      </c>
    </row>
    <row r="6591">
      <c r="B6591" s="25" t="n"/>
      <c r="I6591" s="25" t="n"/>
      <c r="U6591" s="19">
        <f>IF($V6591&lt;&gt;'設定'!$C$4,N(U6590),IF(OR(NOT(COUNTIF('商品マスタ'!$B$6:$B$1005,$W6591)=0),COUNTIFS('①在庫を貼る'!$V$6:$V$10005,$V6591,'①在庫を貼る'!$W$6:$W$10005,$W6591)&gt;0),N(U6590),N(U6590)+1))</f>
        <v/>
      </c>
      <c r="V6591" s="19">
        <f>IF($B6591="","",TEXT($B6591,"0000"))</f>
        <v/>
      </c>
      <c r="W6591" s="19">
        <f>IF($I6591="","",IF(ISNUMBER($I6591),TEXT($I6591,"0"),$I6591))</f>
        <v/>
      </c>
    </row>
    <row r="6592">
      <c r="B6592" s="25" t="n"/>
      <c r="I6592" s="25" t="n"/>
      <c r="U6592" s="19">
        <f>IF($V6592&lt;&gt;'設定'!$C$4,N(U6591),IF(OR(NOT(COUNTIF('商品マスタ'!$B$6:$B$1005,$W6592)=0),COUNTIFS('①在庫を貼る'!$V$6:$V$10005,$V6592,'①在庫を貼る'!$W$6:$W$10005,$W6592)&gt;0),N(U6591),N(U6591)+1))</f>
        <v/>
      </c>
      <c r="V6592" s="19">
        <f>IF($B6592="","",TEXT($B6592,"0000"))</f>
        <v/>
      </c>
      <c r="W6592" s="19">
        <f>IF($I6592="","",IF(ISNUMBER($I6592),TEXT($I6592,"0"),$I6592))</f>
        <v/>
      </c>
    </row>
    <row r="6593">
      <c r="B6593" s="25" t="n"/>
      <c r="I6593" s="25" t="n"/>
      <c r="U6593" s="19">
        <f>IF($V6593&lt;&gt;'設定'!$C$4,N(U6592),IF(OR(NOT(COUNTIF('商品マスタ'!$B$6:$B$1005,$W6593)=0),COUNTIFS('①在庫を貼る'!$V$6:$V$10005,$V6593,'①在庫を貼る'!$W$6:$W$10005,$W6593)&gt;0),N(U6592),N(U6592)+1))</f>
        <v/>
      </c>
      <c r="V6593" s="19">
        <f>IF($B6593="","",TEXT($B6593,"0000"))</f>
        <v/>
      </c>
      <c r="W6593" s="19">
        <f>IF($I6593="","",IF(ISNUMBER($I6593),TEXT($I6593,"0"),$I6593))</f>
        <v/>
      </c>
    </row>
    <row r="6594">
      <c r="B6594" s="25" t="n"/>
      <c r="I6594" s="25" t="n"/>
      <c r="U6594" s="19">
        <f>IF($V6594&lt;&gt;'設定'!$C$4,N(U6593),IF(OR(NOT(COUNTIF('商品マスタ'!$B$6:$B$1005,$W6594)=0),COUNTIFS('①在庫を貼る'!$V$6:$V$10005,$V6594,'①在庫を貼る'!$W$6:$W$10005,$W6594)&gt;0),N(U6593),N(U6593)+1))</f>
        <v/>
      </c>
      <c r="V6594" s="19">
        <f>IF($B6594="","",TEXT($B6594,"0000"))</f>
        <v/>
      </c>
      <c r="W6594" s="19">
        <f>IF($I6594="","",IF(ISNUMBER($I6594),TEXT($I6594,"0"),$I6594))</f>
        <v/>
      </c>
    </row>
    <row r="6595">
      <c r="B6595" s="25" t="n"/>
      <c r="I6595" s="25" t="n"/>
      <c r="U6595" s="19">
        <f>IF($V6595&lt;&gt;'設定'!$C$4,N(U6594),IF(OR(NOT(COUNTIF('商品マスタ'!$B$6:$B$1005,$W6595)=0),COUNTIFS('①在庫を貼る'!$V$6:$V$10005,$V6595,'①在庫を貼る'!$W$6:$W$10005,$W6595)&gt;0),N(U6594),N(U6594)+1))</f>
        <v/>
      </c>
      <c r="V6595" s="19">
        <f>IF($B6595="","",TEXT($B6595,"0000"))</f>
        <v/>
      </c>
      <c r="W6595" s="19">
        <f>IF($I6595="","",IF(ISNUMBER($I6595),TEXT($I6595,"0"),$I6595))</f>
        <v/>
      </c>
    </row>
    <row r="6596">
      <c r="B6596" s="25" t="n"/>
      <c r="I6596" s="25" t="n"/>
      <c r="U6596" s="19">
        <f>IF($V6596&lt;&gt;'設定'!$C$4,N(U6595),IF(OR(NOT(COUNTIF('商品マスタ'!$B$6:$B$1005,$W6596)=0),COUNTIFS('①在庫を貼る'!$V$6:$V$10005,$V6596,'①在庫を貼る'!$W$6:$W$10005,$W6596)&gt;0),N(U6595),N(U6595)+1))</f>
        <v/>
      </c>
      <c r="V6596" s="19">
        <f>IF($B6596="","",TEXT($B6596,"0000"))</f>
        <v/>
      </c>
      <c r="W6596" s="19">
        <f>IF($I6596="","",IF(ISNUMBER($I6596),TEXT($I6596,"0"),$I6596))</f>
        <v/>
      </c>
    </row>
    <row r="6597">
      <c r="B6597" s="25" t="n"/>
      <c r="I6597" s="25" t="n"/>
      <c r="U6597" s="19">
        <f>IF($V6597&lt;&gt;'設定'!$C$4,N(U6596),IF(OR(NOT(COUNTIF('商品マスタ'!$B$6:$B$1005,$W6597)=0),COUNTIFS('①在庫を貼る'!$V$6:$V$10005,$V6597,'①在庫を貼る'!$W$6:$W$10005,$W6597)&gt;0),N(U6596),N(U6596)+1))</f>
        <v/>
      </c>
      <c r="V6597" s="19">
        <f>IF($B6597="","",TEXT($B6597,"0000"))</f>
        <v/>
      </c>
      <c r="W6597" s="19">
        <f>IF($I6597="","",IF(ISNUMBER($I6597),TEXT($I6597,"0"),$I6597))</f>
        <v/>
      </c>
    </row>
    <row r="6598">
      <c r="B6598" s="25" t="n"/>
      <c r="I6598" s="25" t="n"/>
      <c r="U6598" s="19">
        <f>IF($V6598&lt;&gt;'設定'!$C$4,N(U6597),IF(OR(NOT(COUNTIF('商品マスタ'!$B$6:$B$1005,$W6598)=0),COUNTIFS('①在庫を貼る'!$V$6:$V$10005,$V6598,'①在庫を貼る'!$W$6:$W$10005,$W6598)&gt;0),N(U6597),N(U6597)+1))</f>
        <v/>
      </c>
      <c r="V6598" s="19">
        <f>IF($B6598="","",TEXT($B6598,"0000"))</f>
        <v/>
      </c>
      <c r="W6598" s="19">
        <f>IF($I6598="","",IF(ISNUMBER($I6598),TEXT($I6598,"0"),$I6598))</f>
        <v/>
      </c>
    </row>
    <row r="6599">
      <c r="B6599" s="25" t="n"/>
      <c r="I6599" s="25" t="n"/>
      <c r="U6599" s="19">
        <f>IF($V6599&lt;&gt;'設定'!$C$4,N(U6598),IF(OR(NOT(COUNTIF('商品マスタ'!$B$6:$B$1005,$W6599)=0),COUNTIFS('①在庫を貼る'!$V$6:$V$10005,$V6599,'①在庫を貼る'!$W$6:$W$10005,$W6599)&gt;0),N(U6598),N(U6598)+1))</f>
        <v/>
      </c>
      <c r="V6599" s="19">
        <f>IF($B6599="","",TEXT($B6599,"0000"))</f>
        <v/>
      </c>
      <c r="W6599" s="19">
        <f>IF($I6599="","",IF(ISNUMBER($I6599),TEXT($I6599,"0"),$I6599))</f>
        <v/>
      </c>
    </row>
    <row r="6600">
      <c r="B6600" s="25" t="n"/>
      <c r="I6600" s="25" t="n"/>
      <c r="U6600" s="19">
        <f>IF($V6600&lt;&gt;'設定'!$C$4,N(U6599),IF(OR(NOT(COUNTIF('商品マスタ'!$B$6:$B$1005,$W6600)=0),COUNTIFS('①在庫を貼る'!$V$6:$V$10005,$V6600,'①在庫を貼る'!$W$6:$W$10005,$W6600)&gt;0),N(U6599),N(U6599)+1))</f>
        <v/>
      </c>
      <c r="V6600" s="19">
        <f>IF($B6600="","",TEXT($B6600,"0000"))</f>
        <v/>
      </c>
      <c r="W6600" s="19">
        <f>IF($I6600="","",IF(ISNUMBER($I6600),TEXT($I6600,"0"),$I6600))</f>
        <v/>
      </c>
    </row>
    <row r="6601">
      <c r="B6601" s="25" t="n"/>
      <c r="I6601" s="25" t="n"/>
      <c r="U6601" s="19">
        <f>IF($V6601&lt;&gt;'設定'!$C$4,N(U6600),IF(OR(NOT(COUNTIF('商品マスタ'!$B$6:$B$1005,$W6601)=0),COUNTIFS('①在庫を貼る'!$V$6:$V$10005,$V6601,'①在庫を貼る'!$W$6:$W$10005,$W6601)&gt;0),N(U6600),N(U6600)+1))</f>
        <v/>
      </c>
      <c r="V6601" s="19">
        <f>IF($B6601="","",TEXT($B6601,"0000"))</f>
        <v/>
      </c>
      <c r="W6601" s="19">
        <f>IF($I6601="","",IF(ISNUMBER($I6601),TEXT($I6601,"0"),$I6601))</f>
        <v/>
      </c>
    </row>
    <row r="6602">
      <c r="B6602" s="25" t="n"/>
      <c r="I6602" s="25" t="n"/>
      <c r="U6602" s="19">
        <f>IF($V6602&lt;&gt;'設定'!$C$4,N(U6601),IF(OR(NOT(COUNTIF('商品マスタ'!$B$6:$B$1005,$W6602)=0),COUNTIFS('①在庫を貼る'!$V$6:$V$10005,$V6602,'①在庫を貼る'!$W$6:$W$10005,$W6602)&gt;0),N(U6601),N(U6601)+1))</f>
        <v/>
      </c>
      <c r="V6602" s="19">
        <f>IF($B6602="","",TEXT($B6602,"0000"))</f>
        <v/>
      </c>
      <c r="W6602" s="19">
        <f>IF($I6602="","",IF(ISNUMBER($I6602),TEXT($I6602,"0"),$I6602))</f>
        <v/>
      </c>
    </row>
    <row r="6603">
      <c r="B6603" s="25" t="n"/>
      <c r="I6603" s="25" t="n"/>
      <c r="U6603" s="19">
        <f>IF($V6603&lt;&gt;'設定'!$C$4,N(U6602),IF(OR(NOT(COUNTIF('商品マスタ'!$B$6:$B$1005,$W6603)=0),COUNTIFS('①在庫を貼る'!$V$6:$V$10005,$V6603,'①在庫を貼る'!$W$6:$W$10005,$W6603)&gt;0),N(U6602),N(U6602)+1))</f>
        <v/>
      </c>
      <c r="V6603" s="19">
        <f>IF($B6603="","",TEXT($B6603,"0000"))</f>
        <v/>
      </c>
      <c r="W6603" s="19">
        <f>IF($I6603="","",IF(ISNUMBER($I6603),TEXT($I6603,"0"),$I6603))</f>
        <v/>
      </c>
    </row>
    <row r="6604">
      <c r="B6604" s="25" t="n"/>
      <c r="I6604" s="25" t="n"/>
      <c r="U6604" s="19">
        <f>IF($V6604&lt;&gt;'設定'!$C$4,N(U6603),IF(OR(NOT(COUNTIF('商品マスタ'!$B$6:$B$1005,$W6604)=0),COUNTIFS('①在庫を貼る'!$V$6:$V$10005,$V6604,'①在庫を貼る'!$W$6:$W$10005,$W6604)&gt;0),N(U6603),N(U6603)+1))</f>
        <v/>
      </c>
      <c r="V6604" s="19">
        <f>IF($B6604="","",TEXT($B6604,"0000"))</f>
        <v/>
      </c>
      <c r="W6604" s="19">
        <f>IF($I6604="","",IF(ISNUMBER($I6604),TEXT($I6604,"0"),$I6604))</f>
        <v/>
      </c>
    </row>
    <row r="6605">
      <c r="B6605" s="25" t="n"/>
      <c r="I6605" s="25" t="n"/>
      <c r="U6605" s="19">
        <f>IF($V6605&lt;&gt;'設定'!$C$4,N(U6604),IF(OR(NOT(COUNTIF('商品マスタ'!$B$6:$B$1005,$W6605)=0),COUNTIFS('①在庫を貼る'!$V$6:$V$10005,$V6605,'①在庫を貼る'!$W$6:$W$10005,$W6605)&gt;0),N(U6604),N(U6604)+1))</f>
        <v/>
      </c>
      <c r="V6605" s="19">
        <f>IF($B6605="","",TEXT($B6605,"0000"))</f>
        <v/>
      </c>
      <c r="W6605" s="19">
        <f>IF($I6605="","",IF(ISNUMBER($I6605),TEXT($I6605,"0"),$I6605))</f>
        <v/>
      </c>
    </row>
    <row r="6606">
      <c r="B6606" s="25" t="n"/>
      <c r="I6606" s="25" t="n"/>
      <c r="U6606" s="19">
        <f>IF($V6606&lt;&gt;'設定'!$C$4,N(U6605),IF(OR(NOT(COUNTIF('商品マスタ'!$B$6:$B$1005,$W6606)=0),COUNTIFS('①在庫を貼る'!$V$6:$V$10005,$V6606,'①在庫を貼る'!$W$6:$W$10005,$W6606)&gt;0),N(U6605),N(U6605)+1))</f>
        <v/>
      </c>
      <c r="V6606" s="19">
        <f>IF($B6606="","",TEXT($B6606,"0000"))</f>
        <v/>
      </c>
      <c r="W6606" s="19">
        <f>IF($I6606="","",IF(ISNUMBER($I6606),TEXT($I6606,"0"),$I6606))</f>
        <v/>
      </c>
    </row>
    <row r="6607">
      <c r="B6607" s="25" t="n"/>
      <c r="I6607" s="25" t="n"/>
      <c r="U6607" s="19">
        <f>IF($V6607&lt;&gt;'設定'!$C$4,N(U6606),IF(OR(NOT(COUNTIF('商品マスタ'!$B$6:$B$1005,$W6607)=0),COUNTIFS('①在庫を貼る'!$V$6:$V$10005,$V6607,'①在庫を貼る'!$W$6:$W$10005,$W6607)&gt;0),N(U6606),N(U6606)+1))</f>
        <v/>
      </c>
      <c r="V6607" s="19">
        <f>IF($B6607="","",TEXT($B6607,"0000"))</f>
        <v/>
      </c>
      <c r="W6607" s="19">
        <f>IF($I6607="","",IF(ISNUMBER($I6607),TEXT($I6607,"0"),$I6607))</f>
        <v/>
      </c>
    </row>
    <row r="6608">
      <c r="B6608" s="25" t="n"/>
      <c r="I6608" s="25" t="n"/>
      <c r="U6608" s="19">
        <f>IF($V6608&lt;&gt;'設定'!$C$4,N(U6607),IF(OR(NOT(COUNTIF('商品マスタ'!$B$6:$B$1005,$W6608)=0),COUNTIFS('①在庫を貼る'!$V$6:$V$10005,$V6608,'①在庫を貼る'!$W$6:$W$10005,$W6608)&gt;0),N(U6607),N(U6607)+1))</f>
        <v/>
      </c>
      <c r="V6608" s="19">
        <f>IF($B6608="","",TEXT($B6608,"0000"))</f>
        <v/>
      </c>
      <c r="W6608" s="19">
        <f>IF($I6608="","",IF(ISNUMBER($I6608),TEXT($I6608,"0"),$I6608))</f>
        <v/>
      </c>
    </row>
    <row r="6609">
      <c r="B6609" s="25" t="n"/>
      <c r="I6609" s="25" t="n"/>
      <c r="U6609" s="19">
        <f>IF($V6609&lt;&gt;'設定'!$C$4,N(U6608),IF(OR(NOT(COUNTIF('商品マスタ'!$B$6:$B$1005,$W6609)=0),COUNTIFS('①在庫を貼る'!$V$6:$V$10005,$V6609,'①在庫を貼る'!$W$6:$W$10005,$W6609)&gt;0),N(U6608),N(U6608)+1))</f>
        <v/>
      </c>
      <c r="V6609" s="19">
        <f>IF($B6609="","",TEXT($B6609,"0000"))</f>
        <v/>
      </c>
      <c r="W6609" s="19">
        <f>IF($I6609="","",IF(ISNUMBER($I6609),TEXT($I6609,"0"),$I6609))</f>
        <v/>
      </c>
    </row>
    <row r="6610">
      <c r="B6610" s="25" t="n"/>
      <c r="I6610" s="25" t="n"/>
      <c r="U6610" s="19">
        <f>IF($V6610&lt;&gt;'設定'!$C$4,N(U6609),IF(OR(NOT(COUNTIF('商品マスタ'!$B$6:$B$1005,$W6610)=0),COUNTIFS('①在庫を貼る'!$V$6:$V$10005,$V6610,'①在庫を貼る'!$W$6:$W$10005,$W6610)&gt;0),N(U6609),N(U6609)+1))</f>
        <v/>
      </c>
      <c r="V6610" s="19">
        <f>IF($B6610="","",TEXT($B6610,"0000"))</f>
        <v/>
      </c>
      <c r="W6610" s="19">
        <f>IF($I6610="","",IF(ISNUMBER($I6610),TEXT($I6610,"0"),$I6610))</f>
        <v/>
      </c>
    </row>
    <row r="6611">
      <c r="B6611" s="25" t="n"/>
      <c r="I6611" s="25" t="n"/>
      <c r="U6611" s="19">
        <f>IF($V6611&lt;&gt;'設定'!$C$4,N(U6610),IF(OR(NOT(COUNTIF('商品マスタ'!$B$6:$B$1005,$W6611)=0),COUNTIFS('①在庫を貼る'!$V$6:$V$10005,$V6611,'①在庫を貼る'!$W$6:$W$10005,$W6611)&gt;0),N(U6610),N(U6610)+1))</f>
        <v/>
      </c>
      <c r="V6611" s="19">
        <f>IF($B6611="","",TEXT($B6611,"0000"))</f>
        <v/>
      </c>
      <c r="W6611" s="19">
        <f>IF($I6611="","",IF(ISNUMBER($I6611),TEXT($I6611,"0"),$I6611))</f>
        <v/>
      </c>
    </row>
    <row r="6612">
      <c r="B6612" s="25" t="n"/>
      <c r="I6612" s="25" t="n"/>
      <c r="U6612" s="19">
        <f>IF($V6612&lt;&gt;'設定'!$C$4,N(U6611),IF(OR(NOT(COUNTIF('商品マスタ'!$B$6:$B$1005,$W6612)=0),COUNTIFS('①在庫を貼る'!$V$6:$V$10005,$V6612,'①在庫を貼る'!$W$6:$W$10005,$W6612)&gt;0),N(U6611),N(U6611)+1))</f>
        <v/>
      </c>
      <c r="V6612" s="19">
        <f>IF($B6612="","",TEXT($B6612,"0000"))</f>
        <v/>
      </c>
      <c r="W6612" s="19">
        <f>IF($I6612="","",IF(ISNUMBER($I6612),TEXT($I6612,"0"),$I6612))</f>
        <v/>
      </c>
    </row>
    <row r="6613">
      <c r="B6613" s="25" t="n"/>
      <c r="I6613" s="25" t="n"/>
      <c r="U6613" s="19">
        <f>IF($V6613&lt;&gt;'設定'!$C$4,N(U6612),IF(OR(NOT(COUNTIF('商品マスタ'!$B$6:$B$1005,$W6613)=0),COUNTIFS('①在庫を貼る'!$V$6:$V$10005,$V6613,'①在庫を貼る'!$W$6:$W$10005,$W6613)&gt;0),N(U6612),N(U6612)+1))</f>
        <v/>
      </c>
      <c r="V6613" s="19">
        <f>IF($B6613="","",TEXT($B6613,"0000"))</f>
        <v/>
      </c>
      <c r="W6613" s="19">
        <f>IF($I6613="","",IF(ISNUMBER($I6613),TEXT($I6613,"0"),$I6613))</f>
        <v/>
      </c>
    </row>
    <row r="6614">
      <c r="B6614" s="25" t="n"/>
      <c r="I6614" s="25" t="n"/>
      <c r="U6614" s="19">
        <f>IF($V6614&lt;&gt;'設定'!$C$4,N(U6613),IF(OR(NOT(COUNTIF('商品マスタ'!$B$6:$B$1005,$W6614)=0),COUNTIFS('①在庫を貼る'!$V$6:$V$10005,$V6614,'①在庫を貼る'!$W$6:$W$10005,$W6614)&gt;0),N(U6613),N(U6613)+1))</f>
        <v/>
      </c>
      <c r="V6614" s="19">
        <f>IF($B6614="","",TEXT($B6614,"0000"))</f>
        <v/>
      </c>
      <c r="W6614" s="19">
        <f>IF($I6614="","",IF(ISNUMBER($I6614),TEXT($I6614,"0"),$I6614))</f>
        <v/>
      </c>
    </row>
    <row r="6615">
      <c r="B6615" s="25" t="n"/>
      <c r="I6615" s="25" t="n"/>
      <c r="U6615" s="19">
        <f>IF($V6615&lt;&gt;'設定'!$C$4,N(U6614),IF(OR(NOT(COUNTIF('商品マスタ'!$B$6:$B$1005,$W6615)=0),COUNTIFS('①在庫を貼る'!$V$6:$V$10005,$V6615,'①在庫を貼る'!$W$6:$W$10005,$W6615)&gt;0),N(U6614),N(U6614)+1))</f>
        <v/>
      </c>
      <c r="V6615" s="19">
        <f>IF($B6615="","",TEXT($B6615,"0000"))</f>
        <v/>
      </c>
      <c r="W6615" s="19">
        <f>IF($I6615="","",IF(ISNUMBER($I6615),TEXT($I6615,"0"),$I6615))</f>
        <v/>
      </c>
    </row>
    <row r="6616">
      <c r="B6616" s="25" t="n"/>
      <c r="I6616" s="25" t="n"/>
      <c r="U6616" s="19">
        <f>IF($V6616&lt;&gt;'設定'!$C$4,N(U6615),IF(OR(NOT(COUNTIF('商品マスタ'!$B$6:$B$1005,$W6616)=0),COUNTIFS('①在庫を貼る'!$V$6:$V$10005,$V6616,'①在庫を貼る'!$W$6:$W$10005,$W6616)&gt;0),N(U6615),N(U6615)+1))</f>
        <v/>
      </c>
      <c r="V6616" s="19">
        <f>IF($B6616="","",TEXT($B6616,"0000"))</f>
        <v/>
      </c>
      <c r="W6616" s="19">
        <f>IF($I6616="","",IF(ISNUMBER($I6616),TEXT($I6616,"0"),$I6616))</f>
        <v/>
      </c>
    </row>
    <row r="6617">
      <c r="B6617" s="25" t="n"/>
      <c r="I6617" s="25" t="n"/>
      <c r="U6617" s="19">
        <f>IF($V6617&lt;&gt;'設定'!$C$4,N(U6616),IF(OR(NOT(COUNTIF('商品マスタ'!$B$6:$B$1005,$W6617)=0),COUNTIFS('①在庫を貼る'!$V$6:$V$10005,$V6617,'①在庫を貼る'!$W$6:$W$10005,$W6617)&gt;0),N(U6616),N(U6616)+1))</f>
        <v/>
      </c>
      <c r="V6617" s="19">
        <f>IF($B6617="","",TEXT($B6617,"0000"))</f>
        <v/>
      </c>
      <c r="W6617" s="19">
        <f>IF($I6617="","",IF(ISNUMBER($I6617),TEXT($I6617,"0"),$I6617))</f>
        <v/>
      </c>
    </row>
    <row r="6618">
      <c r="B6618" s="25" t="n"/>
      <c r="I6618" s="25" t="n"/>
      <c r="U6618" s="19">
        <f>IF($V6618&lt;&gt;'設定'!$C$4,N(U6617),IF(OR(NOT(COUNTIF('商品マスタ'!$B$6:$B$1005,$W6618)=0),COUNTIFS('①在庫を貼る'!$V$6:$V$10005,$V6618,'①在庫を貼る'!$W$6:$W$10005,$W6618)&gt;0),N(U6617),N(U6617)+1))</f>
        <v/>
      </c>
      <c r="V6618" s="19">
        <f>IF($B6618="","",TEXT($B6618,"0000"))</f>
        <v/>
      </c>
      <c r="W6618" s="19">
        <f>IF($I6618="","",IF(ISNUMBER($I6618),TEXT($I6618,"0"),$I6618))</f>
        <v/>
      </c>
    </row>
    <row r="6619">
      <c r="B6619" s="25" t="n"/>
      <c r="I6619" s="25" t="n"/>
      <c r="U6619" s="19">
        <f>IF($V6619&lt;&gt;'設定'!$C$4,N(U6618),IF(OR(NOT(COUNTIF('商品マスタ'!$B$6:$B$1005,$W6619)=0),COUNTIFS('①在庫を貼る'!$V$6:$V$10005,$V6619,'①在庫を貼る'!$W$6:$W$10005,$W6619)&gt;0),N(U6618),N(U6618)+1))</f>
        <v/>
      </c>
      <c r="V6619" s="19">
        <f>IF($B6619="","",TEXT($B6619,"0000"))</f>
        <v/>
      </c>
      <c r="W6619" s="19">
        <f>IF($I6619="","",IF(ISNUMBER($I6619),TEXT($I6619,"0"),$I6619))</f>
        <v/>
      </c>
    </row>
    <row r="6620">
      <c r="B6620" s="25" t="n"/>
      <c r="I6620" s="25" t="n"/>
      <c r="U6620" s="19">
        <f>IF($V6620&lt;&gt;'設定'!$C$4,N(U6619),IF(OR(NOT(COUNTIF('商品マスタ'!$B$6:$B$1005,$W6620)=0),COUNTIFS('①在庫を貼る'!$V$6:$V$10005,$V6620,'①在庫を貼る'!$W$6:$W$10005,$W6620)&gt;0),N(U6619),N(U6619)+1))</f>
        <v/>
      </c>
      <c r="V6620" s="19">
        <f>IF($B6620="","",TEXT($B6620,"0000"))</f>
        <v/>
      </c>
      <c r="W6620" s="19">
        <f>IF($I6620="","",IF(ISNUMBER($I6620),TEXT($I6620,"0"),$I6620))</f>
        <v/>
      </c>
    </row>
    <row r="6621">
      <c r="B6621" s="25" t="n"/>
      <c r="I6621" s="25" t="n"/>
      <c r="U6621" s="19">
        <f>IF($V6621&lt;&gt;'設定'!$C$4,N(U6620),IF(OR(NOT(COUNTIF('商品マスタ'!$B$6:$B$1005,$W6621)=0),COUNTIFS('①在庫を貼る'!$V$6:$V$10005,$V6621,'①在庫を貼る'!$W$6:$W$10005,$W6621)&gt;0),N(U6620),N(U6620)+1))</f>
        <v/>
      </c>
      <c r="V6621" s="19">
        <f>IF($B6621="","",TEXT($B6621,"0000"))</f>
        <v/>
      </c>
      <c r="W6621" s="19">
        <f>IF($I6621="","",IF(ISNUMBER($I6621),TEXT($I6621,"0"),$I6621))</f>
        <v/>
      </c>
    </row>
    <row r="6622">
      <c r="B6622" s="25" t="n"/>
      <c r="I6622" s="25" t="n"/>
      <c r="U6622" s="19">
        <f>IF($V6622&lt;&gt;'設定'!$C$4,N(U6621),IF(OR(NOT(COUNTIF('商品マスタ'!$B$6:$B$1005,$W6622)=0),COUNTIFS('①在庫を貼る'!$V$6:$V$10005,$V6622,'①在庫を貼る'!$W$6:$W$10005,$W6622)&gt;0),N(U6621),N(U6621)+1))</f>
        <v/>
      </c>
      <c r="V6622" s="19">
        <f>IF($B6622="","",TEXT($B6622,"0000"))</f>
        <v/>
      </c>
      <c r="W6622" s="19">
        <f>IF($I6622="","",IF(ISNUMBER($I6622),TEXT($I6622,"0"),$I6622))</f>
        <v/>
      </c>
    </row>
    <row r="6623">
      <c r="B6623" s="25" t="n"/>
      <c r="I6623" s="25" t="n"/>
      <c r="U6623" s="19">
        <f>IF($V6623&lt;&gt;'設定'!$C$4,N(U6622),IF(OR(NOT(COUNTIF('商品マスタ'!$B$6:$B$1005,$W6623)=0),COUNTIFS('①在庫を貼る'!$V$6:$V$10005,$V6623,'①在庫を貼る'!$W$6:$W$10005,$W6623)&gt;0),N(U6622),N(U6622)+1))</f>
        <v/>
      </c>
      <c r="V6623" s="19">
        <f>IF($B6623="","",TEXT($B6623,"0000"))</f>
        <v/>
      </c>
      <c r="W6623" s="19">
        <f>IF($I6623="","",IF(ISNUMBER($I6623),TEXT($I6623,"0"),$I6623))</f>
        <v/>
      </c>
    </row>
    <row r="6624">
      <c r="B6624" s="25" t="n"/>
      <c r="I6624" s="25" t="n"/>
      <c r="U6624" s="19">
        <f>IF($V6624&lt;&gt;'設定'!$C$4,N(U6623),IF(OR(NOT(COUNTIF('商品マスタ'!$B$6:$B$1005,$W6624)=0),COUNTIFS('①在庫を貼る'!$V$6:$V$10005,$V6624,'①在庫を貼る'!$W$6:$W$10005,$W6624)&gt;0),N(U6623),N(U6623)+1))</f>
        <v/>
      </c>
      <c r="V6624" s="19">
        <f>IF($B6624="","",TEXT($B6624,"0000"))</f>
        <v/>
      </c>
      <c r="W6624" s="19">
        <f>IF($I6624="","",IF(ISNUMBER($I6624),TEXT($I6624,"0"),$I6624))</f>
        <v/>
      </c>
    </row>
    <row r="6625">
      <c r="B6625" s="25" t="n"/>
      <c r="I6625" s="25" t="n"/>
      <c r="U6625" s="19">
        <f>IF($V6625&lt;&gt;'設定'!$C$4,N(U6624),IF(OR(NOT(COUNTIF('商品マスタ'!$B$6:$B$1005,$W6625)=0),COUNTIFS('①在庫を貼る'!$V$6:$V$10005,$V6625,'①在庫を貼る'!$W$6:$W$10005,$W6625)&gt;0),N(U6624),N(U6624)+1))</f>
        <v/>
      </c>
      <c r="V6625" s="19">
        <f>IF($B6625="","",TEXT($B6625,"0000"))</f>
        <v/>
      </c>
      <c r="W6625" s="19">
        <f>IF($I6625="","",IF(ISNUMBER($I6625),TEXT($I6625,"0"),$I6625))</f>
        <v/>
      </c>
    </row>
    <row r="6626">
      <c r="B6626" s="25" t="n"/>
      <c r="I6626" s="25" t="n"/>
      <c r="U6626" s="19">
        <f>IF($V6626&lt;&gt;'設定'!$C$4,N(U6625),IF(OR(NOT(COUNTIF('商品マスタ'!$B$6:$B$1005,$W6626)=0),COUNTIFS('①在庫を貼る'!$V$6:$V$10005,$V6626,'①在庫を貼る'!$W$6:$W$10005,$W6626)&gt;0),N(U6625),N(U6625)+1))</f>
        <v/>
      </c>
      <c r="V6626" s="19">
        <f>IF($B6626="","",TEXT($B6626,"0000"))</f>
        <v/>
      </c>
      <c r="W6626" s="19">
        <f>IF($I6626="","",IF(ISNUMBER($I6626),TEXT($I6626,"0"),$I6626))</f>
        <v/>
      </c>
    </row>
    <row r="6627">
      <c r="B6627" s="25" t="n"/>
      <c r="I6627" s="25" t="n"/>
      <c r="U6627" s="19">
        <f>IF($V6627&lt;&gt;'設定'!$C$4,N(U6626),IF(OR(NOT(COUNTIF('商品マスタ'!$B$6:$B$1005,$W6627)=0),COUNTIFS('①在庫を貼る'!$V$6:$V$10005,$V6627,'①在庫を貼る'!$W$6:$W$10005,$W6627)&gt;0),N(U6626),N(U6626)+1))</f>
        <v/>
      </c>
      <c r="V6627" s="19">
        <f>IF($B6627="","",TEXT($B6627,"0000"))</f>
        <v/>
      </c>
      <c r="W6627" s="19">
        <f>IF($I6627="","",IF(ISNUMBER($I6627),TEXT($I6627,"0"),$I6627))</f>
        <v/>
      </c>
    </row>
    <row r="6628">
      <c r="B6628" s="25" t="n"/>
      <c r="I6628" s="25" t="n"/>
      <c r="U6628" s="19">
        <f>IF($V6628&lt;&gt;'設定'!$C$4,N(U6627),IF(OR(NOT(COUNTIF('商品マスタ'!$B$6:$B$1005,$W6628)=0),COUNTIFS('①在庫を貼る'!$V$6:$V$10005,$V6628,'①在庫を貼る'!$W$6:$W$10005,$W6628)&gt;0),N(U6627),N(U6627)+1))</f>
        <v/>
      </c>
      <c r="V6628" s="19">
        <f>IF($B6628="","",TEXT($B6628,"0000"))</f>
        <v/>
      </c>
      <c r="W6628" s="19">
        <f>IF($I6628="","",IF(ISNUMBER($I6628),TEXT($I6628,"0"),$I6628))</f>
        <v/>
      </c>
    </row>
    <row r="6629">
      <c r="B6629" s="25" t="n"/>
      <c r="I6629" s="25" t="n"/>
      <c r="U6629" s="19">
        <f>IF($V6629&lt;&gt;'設定'!$C$4,N(U6628),IF(OR(NOT(COUNTIF('商品マスタ'!$B$6:$B$1005,$W6629)=0),COUNTIFS('①在庫を貼る'!$V$6:$V$10005,$V6629,'①在庫を貼る'!$W$6:$W$10005,$W6629)&gt;0),N(U6628),N(U6628)+1))</f>
        <v/>
      </c>
      <c r="V6629" s="19">
        <f>IF($B6629="","",TEXT($B6629,"0000"))</f>
        <v/>
      </c>
      <c r="W6629" s="19">
        <f>IF($I6629="","",IF(ISNUMBER($I6629),TEXT($I6629,"0"),$I6629))</f>
        <v/>
      </c>
    </row>
    <row r="6630">
      <c r="B6630" s="25" t="n"/>
      <c r="I6630" s="25" t="n"/>
      <c r="U6630" s="19">
        <f>IF($V6630&lt;&gt;'設定'!$C$4,N(U6629),IF(OR(NOT(COUNTIF('商品マスタ'!$B$6:$B$1005,$W6630)=0),COUNTIFS('①在庫を貼る'!$V$6:$V$10005,$V6630,'①在庫を貼る'!$W$6:$W$10005,$W6630)&gt;0),N(U6629),N(U6629)+1))</f>
        <v/>
      </c>
      <c r="V6630" s="19">
        <f>IF($B6630="","",TEXT($B6630,"0000"))</f>
        <v/>
      </c>
      <c r="W6630" s="19">
        <f>IF($I6630="","",IF(ISNUMBER($I6630),TEXT($I6630,"0"),$I6630))</f>
        <v/>
      </c>
    </row>
    <row r="6631">
      <c r="B6631" s="25" t="n"/>
      <c r="I6631" s="25" t="n"/>
      <c r="U6631" s="19">
        <f>IF($V6631&lt;&gt;'設定'!$C$4,N(U6630),IF(OR(NOT(COUNTIF('商品マスタ'!$B$6:$B$1005,$W6631)=0),COUNTIFS('①在庫を貼る'!$V$6:$V$10005,$V6631,'①在庫を貼る'!$W$6:$W$10005,$W6631)&gt;0),N(U6630),N(U6630)+1))</f>
        <v/>
      </c>
      <c r="V6631" s="19">
        <f>IF($B6631="","",TEXT($B6631,"0000"))</f>
        <v/>
      </c>
      <c r="W6631" s="19">
        <f>IF($I6631="","",IF(ISNUMBER($I6631),TEXT($I6631,"0"),$I6631))</f>
        <v/>
      </c>
    </row>
    <row r="6632">
      <c r="B6632" s="25" t="n"/>
      <c r="I6632" s="25" t="n"/>
      <c r="U6632" s="19">
        <f>IF($V6632&lt;&gt;'設定'!$C$4,N(U6631),IF(OR(NOT(COUNTIF('商品マスタ'!$B$6:$B$1005,$W6632)=0),COUNTIFS('①在庫を貼る'!$V$6:$V$10005,$V6632,'①在庫を貼る'!$W$6:$W$10005,$W6632)&gt;0),N(U6631),N(U6631)+1))</f>
        <v/>
      </c>
      <c r="V6632" s="19">
        <f>IF($B6632="","",TEXT($B6632,"0000"))</f>
        <v/>
      </c>
      <c r="W6632" s="19">
        <f>IF($I6632="","",IF(ISNUMBER($I6632),TEXT($I6632,"0"),$I6632))</f>
        <v/>
      </c>
    </row>
    <row r="6633">
      <c r="B6633" s="25" t="n"/>
      <c r="I6633" s="25" t="n"/>
      <c r="U6633" s="19">
        <f>IF($V6633&lt;&gt;'設定'!$C$4,N(U6632),IF(OR(NOT(COUNTIF('商品マスタ'!$B$6:$B$1005,$W6633)=0),COUNTIFS('①在庫を貼る'!$V$6:$V$10005,$V6633,'①在庫を貼る'!$W$6:$W$10005,$W6633)&gt;0),N(U6632),N(U6632)+1))</f>
        <v/>
      </c>
      <c r="V6633" s="19">
        <f>IF($B6633="","",TEXT($B6633,"0000"))</f>
        <v/>
      </c>
      <c r="W6633" s="19">
        <f>IF($I6633="","",IF(ISNUMBER($I6633),TEXT($I6633,"0"),$I6633))</f>
        <v/>
      </c>
    </row>
    <row r="6634">
      <c r="B6634" s="25" t="n"/>
      <c r="I6634" s="25" t="n"/>
      <c r="U6634" s="19">
        <f>IF($V6634&lt;&gt;'設定'!$C$4,N(U6633),IF(OR(NOT(COUNTIF('商品マスタ'!$B$6:$B$1005,$W6634)=0),COUNTIFS('①在庫を貼る'!$V$6:$V$10005,$V6634,'①在庫を貼る'!$W$6:$W$10005,$W6634)&gt;0),N(U6633),N(U6633)+1))</f>
        <v/>
      </c>
      <c r="V6634" s="19">
        <f>IF($B6634="","",TEXT($B6634,"0000"))</f>
        <v/>
      </c>
      <c r="W6634" s="19">
        <f>IF($I6634="","",IF(ISNUMBER($I6634),TEXT($I6634,"0"),$I6634))</f>
        <v/>
      </c>
    </row>
    <row r="6635">
      <c r="B6635" s="25" t="n"/>
      <c r="I6635" s="25" t="n"/>
      <c r="U6635" s="19">
        <f>IF($V6635&lt;&gt;'設定'!$C$4,N(U6634),IF(OR(NOT(COUNTIF('商品マスタ'!$B$6:$B$1005,$W6635)=0),COUNTIFS('①在庫を貼る'!$V$6:$V$10005,$V6635,'①在庫を貼る'!$W$6:$W$10005,$W6635)&gt;0),N(U6634),N(U6634)+1))</f>
        <v/>
      </c>
      <c r="V6635" s="19">
        <f>IF($B6635="","",TEXT($B6635,"0000"))</f>
        <v/>
      </c>
      <c r="W6635" s="19">
        <f>IF($I6635="","",IF(ISNUMBER($I6635),TEXT($I6635,"0"),$I6635))</f>
        <v/>
      </c>
    </row>
    <row r="6636">
      <c r="B6636" s="25" t="n"/>
      <c r="I6636" s="25" t="n"/>
      <c r="U6636" s="19">
        <f>IF($V6636&lt;&gt;'設定'!$C$4,N(U6635),IF(OR(NOT(COUNTIF('商品マスタ'!$B$6:$B$1005,$W6636)=0),COUNTIFS('①在庫を貼る'!$V$6:$V$10005,$V6636,'①在庫を貼る'!$W$6:$W$10005,$W6636)&gt;0),N(U6635),N(U6635)+1))</f>
        <v/>
      </c>
      <c r="V6636" s="19">
        <f>IF($B6636="","",TEXT($B6636,"0000"))</f>
        <v/>
      </c>
      <c r="W6636" s="19">
        <f>IF($I6636="","",IF(ISNUMBER($I6636),TEXT($I6636,"0"),$I6636))</f>
        <v/>
      </c>
    </row>
    <row r="6637">
      <c r="B6637" s="25" t="n"/>
      <c r="I6637" s="25" t="n"/>
      <c r="U6637" s="19">
        <f>IF($V6637&lt;&gt;'設定'!$C$4,N(U6636),IF(OR(NOT(COUNTIF('商品マスタ'!$B$6:$B$1005,$W6637)=0),COUNTIFS('①在庫を貼る'!$V$6:$V$10005,$V6637,'①在庫を貼る'!$W$6:$W$10005,$W6637)&gt;0),N(U6636),N(U6636)+1))</f>
        <v/>
      </c>
      <c r="V6637" s="19">
        <f>IF($B6637="","",TEXT($B6637,"0000"))</f>
        <v/>
      </c>
      <c r="W6637" s="19">
        <f>IF($I6637="","",IF(ISNUMBER($I6637),TEXT($I6637,"0"),$I6637))</f>
        <v/>
      </c>
    </row>
    <row r="6638">
      <c r="B6638" s="25" t="n"/>
      <c r="I6638" s="25" t="n"/>
      <c r="U6638" s="19">
        <f>IF($V6638&lt;&gt;'設定'!$C$4,N(U6637),IF(OR(NOT(COUNTIF('商品マスタ'!$B$6:$B$1005,$W6638)=0),COUNTIFS('①在庫を貼る'!$V$6:$V$10005,$V6638,'①在庫を貼る'!$W$6:$W$10005,$W6638)&gt;0),N(U6637),N(U6637)+1))</f>
        <v/>
      </c>
      <c r="V6638" s="19">
        <f>IF($B6638="","",TEXT($B6638,"0000"))</f>
        <v/>
      </c>
      <c r="W6638" s="19">
        <f>IF($I6638="","",IF(ISNUMBER($I6638),TEXT($I6638,"0"),$I6638))</f>
        <v/>
      </c>
    </row>
    <row r="6639">
      <c r="B6639" s="25" t="n"/>
      <c r="I6639" s="25" t="n"/>
      <c r="U6639" s="19">
        <f>IF($V6639&lt;&gt;'設定'!$C$4,N(U6638),IF(OR(NOT(COUNTIF('商品マスタ'!$B$6:$B$1005,$W6639)=0),COUNTIFS('①在庫を貼る'!$V$6:$V$10005,$V6639,'①在庫を貼る'!$W$6:$W$10005,$W6639)&gt;0),N(U6638),N(U6638)+1))</f>
        <v/>
      </c>
      <c r="V6639" s="19">
        <f>IF($B6639="","",TEXT($B6639,"0000"))</f>
        <v/>
      </c>
      <c r="W6639" s="19">
        <f>IF($I6639="","",IF(ISNUMBER($I6639),TEXT($I6639,"0"),$I6639))</f>
        <v/>
      </c>
    </row>
    <row r="6640">
      <c r="B6640" s="25" t="n"/>
      <c r="I6640" s="25" t="n"/>
      <c r="U6640" s="19">
        <f>IF($V6640&lt;&gt;'設定'!$C$4,N(U6639),IF(OR(NOT(COUNTIF('商品マスタ'!$B$6:$B$1005,$W6640)=0),COUNTIFS('①在庫を貼る'!$V$6:$V$10005,$V6640,'①在庫を貼る'!$W$6:$W$10005,$W6640)&gt;0),N(U6639),N(U6639)+1))</f>
        <v/>
      </c>
      <c r="V6640" s="19">
        <f>IF($B6640="","",TEXT($B6640,"0000"))</f>
        <v/>
      </c>
      <c r="W6640" s="19">
        <f>IF($I6640="","",IF(ISNUMBER($I6640),TEXT($I6640,"0"),$I6640))</f>
        <v/>
      </c>
    </row>
    <row r="6641">
      <c r="B6641" s="25" t="n"/>
      <c r="I6641" s="25" t="n"/>
      <c r="U6641" s="19">
        <f>IF($V6641&lt;&gt;'設定'!$C$4,N(U6640),IF(OR(NOT(COUNTIF('商品マスタ'!$B$6:$B$1005,$W6641)=0),COUNTIFS('①在庫を貼る'!$V$6:$V$10005,$V6641,'①在庫を貼る'!$W$6:$W$10005,$W6641)&gt;0),N(U6640),N(U6640)+1))</f>
        <v/>
      </c>
      <c r="V6641" s="19">
        <f>IF($B6641="","",TEXT($B6641,"0000"))</f>
        <v/>
      </c>
      <c r="W6641" s="19">
        <f>IF($I6641="","",IF(ISNUMBER($I6641),TEXT($I6641,"0"),$I6641))</f>
        <v/>
      </c>
    </row>
    <row r="6642">
      <c r="B6642" s="25" t="n"/>
      <c r="I6642" s="25" t="n"/>
      <c r="U6642" s="19">
        <f>IF($V6642&lt;&gt;'設定'!$C$4,N(U6641),IF(OR(NOT(COUNTIF('商品マスタ'!$B$6:$B$1005,$W6642)=0),COUNTIFS('①在庫を貼る'!$V$6:$V$10005,$V6642,'①在庫を貼る'!$W$6:$W$10005,$W6642)&gt;0),N(U6641),N(U6641)+1))</f>
        <v/>
      </c>
      <c r="V6642" s="19">
        <f>IF($B6642="","",TEXT($B6642,"0000"))</f>
        <v/>
      </c>
      <c r="W6642" s="19">
        <f>IF($I6642="","",IF(ISNUMBER($I6642),TEXT($I6642,"0"),$I6642))</f>
        <v/>
      </c>
    </row>
    <row r="6643">
      <c r="B6643" s="25" t="n"/>
      <c r="I6643" s="25" t="n"/>
      <c r="U6643" s="19">
        <f>IF($V6643&lt;&gt;'設定'!$C$4,N(U6642),IF(OR(NOT(COUNTIF('商品マスタ'!$B$6:$B$1005,$W6643)=0),COUNTIFS('①在庫を貼る'!$V$6:$V$10005,$V6643,'①在庫を貼る'!$W$6:$W$10005,$W6643)&gt;0),N(U6642),N(U6642)+1))</f>
        <v/>
      </c>
      <c r="V6643" s="19">
        <f>IF($B6643="","",TEXT($B6643,"0000"))</f>
        <v/>
      </c>
      <c r="W6643" s="19">
        <f>IF($I6643="","",IF(ISNUMBER($I6643),TEXT($I6643,"0"),$I6643))</f>
        <v/>
      </c>
    </row>
    <row r="6644">
      <c r="B6644" s="25" t="n"/>
      <c r="I6644" s="25" t="n"/>
      <c r="U6644" s="19">
        <f>IF($V6644&lt;&gt;'設定'!$C$4,N(U6643),IF(OR(NOT(COUNTIF('商品マスタ'!$B$6:$B$1005,$W6644)=0),COUNTIFS('①在庫を貼る'!$V$6:$V$10005,$V6644,'①在庫を貼る'!$W$6:$W$10005,$W6644)&gt;0),N(U6643),N(U6643)+1))</f>
        <v/>
      </c>
      <c r="V6644" s="19">
        <f>IF($B6644="","",TEXT($B6644,"0000"))</f>
        <v/>
      </c>
      <c r="W6644" s="19">
        <f>IF($I6644="","",IF(ISNUMBER($I6644),TEXT($I6644,"0"),$I6644))</f>
        <v/>
      </c>
    </row>
    <row r="6645">
      <c r="B6645" s="25" t="n"/>
      <c r="I6645" s="25" t="n"/>
      <c r="U6645" s="19">
        <f>IF($V6645&lt;&gt;'設定'!$C$4,N(U6644),IF(OR(NOT(COUNTIF('商品マスタ'!$B$6:$B$1005,$W6645)=0),COUNTIFS('①在庫を貼る'!$V$6:$V$10005,$V6645,'①在庫を貼る'!$W$6:$W$10005,$W6645)&gt;0),N(U6644),N(U6644)+1))</f>
        <v/>
      </c>
      <c r="V6645" s="19">
        <f>IF($B6645="","",TEXT($B6645,"0000"))</f>
        <v/>
      </c>
      <c r="W6645" s="19">
        <f>IF($I6645="","",IF(ISNUMBER($I6645),TEXT($I6645,"0"),$I6645))</f>
        <v/>
      </c>
    </row>
    <row r="6646">
      <c r="B6646" s="25" t="n"/>
      <c r="I6646" s="25" t="n"/>
      <c r="U6646" s="19">
        <f>IF($V6646&lt;&gt;'設定'!$C$4,N(U6645),IF(OR(NOT(COUNTIF('商品マスタ'!$B$6:$B$1005,$W6646)=0),COUNTIFS('①在庫を貼る'!$V$6:$V$10005,$V6646,'①在庫を貼る'!$W$6:$W$10005,$W6646)&gt;0),N(U6645),N(U6645)+1))</f>
        <v/>
      </c>
      <c r="V6646" s="19">
        <f>IF($B6646="","",TEXT($B6646,"0000"))</f>
        <v/>
      </c>
      <c r="W6646" s="19">
        <f>IF($I6646="","",IF(ISNUMBER($I6646),TEXT($I6646,"0"),$I6646))</f>
        <v/>
      </c>
    </row>
    <row r="6647">
      <c r="B6647" s="25" t="n"/>
      <c r="I6647" s="25" t="n"/>
      <c r="U6647" s="19">
        <f>IF($V6647&lt;&gt;'設定'!$C$4,N(U6646),IF(OR(NOT(COUNTIF('商品マスタ'!$B$6:$B$1005,$W6647)=0),COUNTIFS('①在庫を貼る'!$V$6:$V$10005,$V6647,'①在庫を貼る'!$W$6:$W$10005,$W6647)&gt;0),N(U6646),N(U6646)+1))</f>
        <v/>
      </c>
      <c r="V6647" s="19">
        <f>IF($B6647="","",TEXT($B6647,"0000"))</f>
        <v/>
      </c>
      <c r="W6647" s="19">
        <f>IF($I6647="","",IF(ISNUMBER($I6647),TEXT($I6647,"0"),$I6647))</f>
        <v/>
      </c>
    </row>
    <row r="6648">
      <c r="B6648" s="25" t="n"/>
      <c r="I6648" s="25" t="n"/>
      <c r="U6648" s="19">
        <f>IF($V6648&lt;&gt;'設定'!$C$4,N(U6647),IF(OR(NOT(COUNTIF('商品マスタ'!$B$6:$B$1005,$W6648)=0),COUNTIFS('①在庫を貼る'!$V$6:$V$10005,$V6648,'①在庫を貼る'!$W$6:$W$10005,$W6648)&gt;0),N(U6647),N(U6647)+1))</f>
        <v/>
      </c>
      <c r="V6648" s="19">
        <f>IF($B6648="","",TEXT($B6648,"0000"))</f>
        <v/>
      </c>
      <c r="W6648" s="19">
        <f>IF($I6648="","",IF(ISNUMBER($I6648),TEXT($I6648,"0"),$I6648))</f>
        <v/>
      </c>
    </row>
    <row r="6649">
      <c r="B6649" s="25" t="n"/>
      <c r="I6649" s="25" t="n"/>
      <c r="U6649" s="19">
        <f>IF($V6649&lt;&gt;'設定'!$C$4,N(U6648),IF(OR(NOT(COUNTIF('商品マスタ'!$B$6:$B$1005,$W6649)=0),COUNTIFS('①在庫を貼る'!$V$6:$V$10005,$V6649,'①在庫を貼る'!$W$6:$W$10005,$W6649)&gt;0),N(U6648),N(U6648)+1))</f>
        <v/>
      </c>
      <c r="V6649" s="19">
        <f>IF($B6649="","",TEXT($B6649,"0000"))</f>
        <v/>
      </c>
      <c r="W6649" s="19">
        <f>IF($I6649="","",IF(ISNUMBER($I6649),TEXT($I6649,"0"),$I6649))</f>
        <v/>
      </c>
    </row>
    <row r="6650">
      <c r="B6650" s="25" t="n"/>
      <c r="I6650" s="25" t="n"/>
      <c r="U6650" s="19">
        <f>IF($V6650&lt;&gt;'設定'!$C$4,N(U6649),IF(OR(NOT(COUNTIF('商品マスタ'!$B$6:$B$1005,$W6650)=0),COUNTIFS('①在庫を貼る'!$V$6:$V$10005,$V6650,'①在庫を貼る'!$W$6:$W$10005,$W6650)&gt;0),N(U6649),N(U6649)+1))</f>
        <v/>
      </c>
      <c r="V6650" s="19">
        <f>IF($B6650="","",TEXT($B6650,"0000"))</f>
        <v/>
      </c>
      <c r="W6650" s="19">
        <f>IF($I6650="","",IF(ISNUMBER($I6650),TEXT($I6650,"0"),$I6650))</f>
        <v/>
      </c>
    </row>
    <row r="6651">
      <c r="B6651" s="25" t="n"/>
      <c r="I6651" s="25" t="n"/>
      <c r="U6651" s="19">
        <f>IF($V6651&lt;&gt;'設定'!$C$4,N(U6650),IF(OR(NOT(COUNTIF('商品マスタ'!$B$6:$B$1005,$W6651)=0),COUNTIFS('①在庫を貼る'!$V$6:$V$10005,$V6651,'①在庫を貼る'!$W$6:$W$10005,$W6651)&gt;0),N(U6650),N(U6650)+1))</f>
        <v/>
      </c>
      <c r="V6651" s="19">
        <f>IF($B6651="","",TEXT($B6651,"0000"))</f>
        <v/>
      </c>
      <c r="W6651" s="19">
        <f>IF($I6651="","",IF(ISNUMBER($I6651),TEXT($I6651,"0"),$I6651))</f>
        <v/>
      </c>
    </row>
    <row r="6652">
      <c r="B6652" s="25" t="n"/>
      <c r="I6652" s="25" t="n"/>
      <c r="U6652" s="19">
        <f>IF($V6652&lt;&gt;'設定'!$C$4,N(U6651),IF(OR(NOT(COUNTIF('商品マスタ'!$B$6:$B$1005,$W6652)=0),COUNTIFS('①在庫を貼る'!$V$6:$V$10005,$V6652,'①在庫を貼る'!$W$6:$W$10005,$W6652)&gt;0),N(U6651),N(U6651)+1))</f>
        <v/>
      </c>
      <c r="V6652" s="19">
        <f>IF($B6652="","",TEXT($B6652,"0000"))</f>
        <v/>
      </c>
      <c r="W6652" s="19">
        <f>IF($I6652="","",IF(ISNUMBER($I6652),TEXT($I6652,"0"),$I6652))</f>
        <v/>
      </c>
    </row>
    <row r="6653">
      <c r="B6653" s="25" t="n"/>
      <c r="I6653" s="25" t="n"/>
      <c r="U6653" s="19">
        <f>IF($V6653&lt;&gt;'設定'!$C$4,N(U6652),IF(OR(NOT(COUNTIF('商品マスタ'!$B$6:$B$1005,$W6653)=0),COUNTIFS('①在庫を貼る'!$V$6:$V$10005,$V6653,'①在庫を貼る'!$W$6:$W$10005,$W6653)&gt;0),N(U6652),N(U6652)+1))</f>
        <v/>
      </c>
      <c r="V6653" s="19">
        <f>IF($B6653="","",TEXT($B6653,"0000"))</f>
        <v/>
      </c>
      <c r="W6653" s="19">
        <f>IF($I6653="","",IF(ISNUMBER($I6653),TEXT($I6653,"0"),$I6653))</f>
        <v/>
      </c>
    </row>
    <row r="6654">
      <c r="B6654" s="25" t="n"/>
      <c r="I6654" s="25" t="n"/>
      <c r="U6654" s="19">
        <f>IF($V6654&lt;&gt;'設定'!$C$4,N(U6653),IF(OR(NOT(COUNTIF('商品マスタ'!$B$6:$B$1005,$W6654)=0),COUNTIFS('①在庫を貼る'!$V$6:$V$10005,$V6654,'①在庫を貼る'!$W$6:$W$10005,$W6654)&gt;0),N(U6653),N(U6653)+1))</f>
        <v/>
      </c>
      <c r="V6654" s="19">
        <f>IF($B6654="","",TEXT($B6654,"0000"))</f>
        <v/>
      </c>
      <c r="W6654" s="19">
        <f>IF($I6654="","",IF(ISNUMBER($I6654),TEXT($I6654,"0"),$I6654))</f>
        <v/>
      </c>
    </row>
    <row r="6655">
      <c r="B6655" s="25" t="n"/>
      <c r="I6655" s="25" t="n"/>
      <c r="U6655" s="19">
        <f>IF($V6655&lt;&gt;'設定'!$C$4,N(U6654),IF(OR(NOT(COUNTIF('商品マスタ'!$B$6:$B$1005,$W6655)=0),COUNTIFS('①在庫を貼る'!$V$6:$V$10005,$V6655,'①在庫を貼る'!$W$6:$W$10005,$W6655)&gt;0),N(U6654),N(U6654)+1))</f>
        <v/>
      </c>
      <c r="V6655" s="19">
        <f>IF($B6655="","",TEXT($B6655,"0000"))</f>
        <v/>
      </c>
      <c r="W6655" s="19">
        <f>IF($I6655="","",IF(ISNUMBER($I6655),TEXT($I6655,"0"),$I6655))</f>
        <v/>
      </c>
    </row>
    <row r="6656">
      <c r="B6656" s="25" t="n"/>
      <c r="I6656" s="25" t="n"/>
      <c r="U6656" s="19">
        <f>IF($V6656&lt;&gt;'設定'!$C$4,N(U6655),IF(OR(NOT(COUNTIF('商品マスタ'!$B$6:$B$1005,$W6656)=0),COUNTIFS('①在庫を貼る'!$V$6:$V$10005,$V6656,'①在庫を貼る'!$W$6:$W$10005,$W6656)&gt;0),N(U6655),N(U6655)+1))</f>
        <v/>
      </c>
      <c r="V6656" s="19">
        <f>IF($B6656="","",TEXT($B6656,"0000"))</f>
        <v/>
      </c>
      <c r="W6656" s="19">
        <f>IF($I6656="","",IF(ISNUMBER($I6656),TEXT($I6656,"0"),$I6656))</f>
        <v/>
      </c>
    </row>
    <row r="6657">
      <c r="B6657" s="25" t="n"/>
      <c r="I6657" s="25" t="n"/>
      <c r="U6657" s="19">
        <f>IF($V6657&lt;&gt;'設定'!$C$4,N(U6656),IF(OR(NOT(COUNTIF('商品マスタ'!$B$6:$B$1005,$W6657)=0),COUNTIFS('①在庫を貼る'!$V$6:$V$10005,$V6657,'①在庫を貼る'!$W$6:$W$10005,$W6657)&gt;0),N(U6656),N(U6656)+1))</f>
        <v/>
      </c>
      <c r="V6657" s="19">
        <f>IF($B6657="","",TEXT($B6657,"0000"))</f>
        <v/>
      </c>
      <c r="W6657" s="19">
        <f>IF($I6657="","",IF(ISNUMBER($I6657),TEXT($I6657,"0"),$I6657))</f>
        <v/>
      </c>
    </row>
    <row r="6658">
      <c r="B6658" s="25" t="n"/>
      <c r="I6658" s="25" t="n"/>
      <c r="U6658" s="19">
        <f>IF($V6658&lt;&gt;'設定'!$C$4,N(U6657),IF(OR(NOT(COUNTIF('商品マスタ'!$B$6:$B$1005,$W6658)=0),COUNTIFS('①在庫を貼る'!$V$6:$V$10005,$V6658,'①在庫を貼る'!$W$6:$W$10005,$W6658)&gt;0),N(U6657),N(U6657)+1))</f>
        <v/>
      </c>
      <c r="V6658" s="19">
        <f>IF($B6658="","",TEXT($B6658,"0000"))</f>
        <v/>
      </c>
      <c r="W6658" s="19">
        <f>IF($I6658="","",IF(ISNUMBER($I6658),TEXT($I6658,"0"),$I6658))</f>
        <v/>
      </c>
    </row>
    <row r="6659">
      <c r="B6659" s="25" t="n"/>
      <c r="I6659" s="25" t="n"/>
      <c r="U6659" s="19">
        <f>IF($V6659&lt;&gt;'設定'!$C$4,N(U6658),IF(OR(NOT(COUNTIF('商品マスタ'!$B$6:$B$1005,$W6659)=0),COUNTIFS('①在庫を貼る'!$V$6:$V$10005,$V6659,'①在庫を貼る'!$W$6:$W$10005,$W6659)&gt;0),N(U6658),N(U6658)+1))</f>
        <v/>
      </c>
      <c r="V6659" s="19">
        <f>IF($B6659="","",TEXT($B6659,"0000"))</f>
        <v/>
      </c>
      <c r="W6659" s="19">
        <f>IF($I6659="","",IF(ISNUMBER($I6659),TEXT($I6659,"0"),$I6659))</f>
        <v/>
      </c>
    </row>
    <row r="6660">
      <c r="B6660" s="25" t="n"/>
      <c r="I6660" s="25" t="n"/>
      <c r="U6660" s="19">
        <f>IF($V6660&lt;&gt;'設定'!$C$4,N(U6659),IF(OR(NOT(COUNTIF('商品マスタ'!$B$6:$B$1005,$W6660)=0),COUNTIFS('①在庫を貼る'!$V$6:$V$10005,$V6660,'①在庫を貼る'!$W$6:$W$10005,$W6660)&gt;0),N(U6659),N(U6659)+1))</f>
        <v/>
      </c>
      <c r="V6660" s="19">
        <f>IF($B6660="","",TEXT($B6660,"0000"))</f>
        <v/>
      </c>
      <c r="W6660" s="19">
        <f>IF($I6660="","",IF(ISNUMBER($I6660),TEXT($I6660,"0"),$I6660))</f>
        <v/>
      </c>
    </row>
    <row r="6661">
      <c r="B6661" s="25" t="n"/>
      <c r="I6661" s="25" t="n"/>
      <c r="U6661" s="19">
        <f>IF($V6661&lt;&gt;'設定'!$C$4,N(U6660),IF(OR(NOT(COUNTIF('商品マスタ'!$B$6:$B$1005,$W6661)=0),COUNTIFS('①在庫を貼る'!$V$6:$V$10005,$V6661,'①在庫を貼る'!$W$6:$W$10005,$W6661)&gt;0),N(U6660),N(U6660)+1))</f>
        <v/>
      </c>
      <c r="V6661" s="19">
        <f>IF($B6661="","",TEXT($B6661,"0000"))</f>
        <v/>
      </c>
      <c r="W6661" s="19">
        <f>IF($I6661="","",IF(ISNUMBER($I6661),TEXT($I6661,"0"),$I6661))</f>
        <v/>
      </c>
    </row>
    <row r="6662">
      <c r="B6662" s="25" t="n"/>
      <c r="I6662" s="25" t="n"/>
      <c r="U6662" s="19">
        <f>IF($V6662&lt;&gt;'設定'!$C$4,N(U6661),IF(OR(NOT(COUNTIF('商品マスタ'!$B$6:$B$1005,$W6662)=0),COUNTIFS('①在庫を貼る'!$V$6:$V$10005,$V6662,'①在庫を貼る'!$W$6:$W$10005,$W6662)&gt;0),N(U6661),N(U6661)+1))</f>
        <v/>
      </c>
      <c r="V6662" s="19">
        <f>IF($B6662="","",TEXT($B6662,"0000"))</f>
        <v/>
      </c>
      <c r="W6662" s="19">
        <f>IF($I6662="","",IF(ISNUMBER($I6662),TEXT($I6662,"0"),$I6662))</f>
        <v/>
      </c>
    </row>
    <row r="6663">
      <c r="B6663" s="25" t="n"/>
      <c r="I6663" s="25" t="n"/>
      <c r="U6663" s="19">
        <f>IF($V6663&lt;&gt;'設定'!$C$4,N(U6662),IF(OR(NOT(COUNTIF('商品マスタ'!$B$6:$B$1005,$W6663)=0),COUNTIFS('①在庫を貼る'!$V$6:$V$10005,$V6663,'①在庫を貼る'!$W$6:$W$10005,$W6663)&gt;0),N(U6662),N(U6662)+1))</f>
        <v/>
      </c>
      <c r="V6663" s="19">
        <f>IF($B6663="","",TEXT($B6663,"0000"))</f>
        <v/>
      </c>
      <c r="W6663" s="19">
        <f>IF($I6663="","",IF(ISNUMBER($I6663),TEXT($I6663,"0"),$I6663))</f>
        <v/>
      </c>
    </row>
    <row r="6664">
      <c r="B6664" s="25" t="n"/>
      <c r="I6664" s="25" t="n"/>
      <c r="U6664" s="19">
        <f>IF($V6664&lt;&gt;'設定'!$C$4,N(U6663),IF(OR(NOT(COUNTIF('商品マスタ'!$B$6:$B$1005,$W6664)=0),COUNTIFS('①在庫を貼る'!$V$6:$V$10005,$V6664,'①在庫を貼る'!$W$6:$W$10005,$W6664)&gt;0),N(U6663),N(U6663)+1))</f>
        <v/>
      </c>
      <c r="V6664" s="19">
        <f>IF($B6664="","",TEXT($B6664,"0000"))</f>
        <v/>
      </c>
      <c r="W6664" s="19">
        <f>IF($I6664="","",IF(ISNUMBER($I6664),TEXT($I6664,"0"),$I6664))</f>
        <v/>
      </c>
    </row>
    <row r="6665">
      <c r="B6665" s="25" t="n"/>
      <c r="I6665" s="25" t="n"/>
      <c r="U6665" s="19">
        <f>IF($V6665&lt;&gt;'設定'!$C$4,N(U6664),IF(OR(NOT(COUNTIF('商品マスタ'!$B$6:$B$1005,$W6665)=0),COUNTIFS('①在庫を貼る'!$V$6:$V$10005,$V6665,'①在庫を貼る'!$W$6:$W$10005,$W6665)&gt;0),N(U6664),N(U6664)+1))</f>
        <v/>
      </c>
      <c r="V6665" s="19">
        <f>IF($B6665="","",TEXT($B6665,"0000"))</f>
        <v/>
      </c>
      <c r="W6665" s="19">
        <f>IF($I6665="","",IF(ISNUMBER($I6665),TEXT($I6665,"0"),$I6665))</f>
        <v/>
      </c>
    </row>
    <row r="6666">
      <c r="B6666" s="25" t="n"/>
      <c r="I6666" s="25" t="n"/>
      <c r="U6666" s="19">
        <f>IF($V6666&lt;&gt;'設定'!$C$4,N(U6665),IF(OR(NOT(COUNTIF('商品マスタ'!$B$6:$B$1005,$W6666)=0),COUNTIFS('①在庫を貼る'!$V$6:$V$10005,$V6666,'①在庫を貼る'!$W$6:$W$10005,$W6666)&gt;0),N(U6665),N(U6665)+1))</f>
        <v/>
      </c>
      <c r="V6666" s="19">
        <f>IF($B6666="","",TEXT($B6666,"0000"))</f>
        <v/>
      </c>
      <c r="W6666" s="19">
        <f>IF($I6666="","",IF(ISNUMBER($I6666),TEXT($I6666,"0"),$I6666))</f>
        <v/>
      </c>
    </row>
    <row r="6667">
      <c r="B6667" s="25" t="n"/>
      <c r="I6667" s="25" t="n"/>
      <c r="U6667" s="19">
        <f>IF($V6667&lt;&gt;'設定'!$C$4,N(U6666),IF(OR(NOT(COUNTIF('商品マスタ'!$B$6:$B$1005,$W6667)=0),COUNTIFS('①在庫を貼る'!$V$6:$V$10005,$V6667,'①在庫を貼る'!$W$6:$W$10005,$W6667)&gt;0),N(U6666),N(U6666)+1))</f>
        <v/>
      </c>
      <c r="V6667" s="19">
        <f>IF($B6667="","",TEXT($B6667,"0000"))</f>
        <v/>
      </c>
      <c r="W6667" s="19">
        <f>IF($I6667="","",IF(ISNUMBER($I6667),TEXT($I6667,"0"),$I6667))</f>
        <v/>
      </c>
    </row>
    <row r="6668">
      <c r="B6668" s="25" t="n"/>
      <c r="I6668" s="25" t="n"/>
      <c r="U6668" s="19">
        <f>IF($V6668&lt;&gt;'設定'!$C$4,N(U6667),IF(OR(NOT(COUNTIF('商品マスタ'!$B$6:$B$1005,$W6668)=0),COUNTIFS('①在庫を貼る'!$V$6:$V$10005,$V6668,'①在庫を貼る'!$W$6:$W$10005,$W6668)&gt;0),N(U6667),N(U6667)+1))</f>
        <v/>
      </c>
      <c r="V6668" s="19">
        <f>IF($B6668="","",TEXT($B6668,"0000"))</f>
        <v/>
      </c>
      <c r="W6668" s="19">
        <f>IF($I6668="","",IF(ISNUMBER($I6668),TEXT($I6668,"0"),$I6668))</f>
        <v/>
      </c>
    </row>
    <row r="6669">
      <c r="B6669" s="25" t="n"/>
      <c r="I6669" s="25" t="n"/>
      <c r="U6669" s="19">
        <f>IF($V6669&lt;&gt;'設定'!$C$4,N(U6668),IF(OR(NOT(COUNTIF('商品マスタ'!$B$6:$B$1005,$W6669)=0),COUNTIFS('①在庫を貼る'!$V$6:$V$10005,$V6669,'①在庫を貼る'!$W$6:$W$10005,$W6669)&gt;0),N(U6668),N(U6668)+1))</f>
        <v/>
      </c>
      <c r="V6669" s="19">
        <f>IF($B6669="","",TEXT($B6669,"0000"))</f>
        <v/>
      </c>
      <c r="W6669" s="19">
        <f>IF($I6669="","",IF(ISNUMBER($I6669),TEXT($I6669,"0"),$I6669))</f>
        <v/>
      </c>
    </row>
    <row r="6670">
      <c r="B6670" s="25" t="n"/>
      <c r="I6670" s="25" t="n"/>
      <c r="U6670" s="19">
        <f>IF($V6670&lt;&gt;'設定'!$C$4,N(U6669),IF(OR(NOT(COUNTIF('商品マスタ'!$B$6:$B$1005,$W6670)=0),COUNTIFS('①在庫を貼る'!$V$6:$V$10005,$V6670,'①在庫を貼る'!$W$6:$W$10005,$W6670)&gt;0),N(U6669),N(U6669)+1))</f>
        <v/>
      </c>
      <c r="V6670" s="19">
        <f>IF($B6670="","",TEXT($B6670,"0000"))</f>
        <v/>
      </c>
      <c r="W6670" s="19">
        <f>IF($I6670="","",IF(ISNUMBER($I6670),TEXT($I6670,"0"),$I6670))</f>
        <v/>
      </c>
    </row>
    <row r="6671">
      <c r="B6671" s="25" t="n"/>
      <c r="I6671" s="25" t="n"/>
      <c r="U6671" s="19">
        <f>IF($V6671&lt;&gt;'設定'!$C$4,N(U6670),IF(OR(NOT(COUNTIF('商品マスタ'!$B$6:$B$1005,$W6671)=0),COUNTIFS('①在庫を貼る'!$V$6:$V$10005,$V6671,'①在庫を貼る'!$W$6:$W$10005,$W6671)&gt;0),N(U6670),N(U6670)+1))</f>
        <v/>
      </c>
      <c r="V6671" s="19">
        <f>IF($B6671="","",TEXT($B6671,"0000"))</f>
        <v/>
      </c>
      <c r="W6671" s="19">
        <f>IF($I6671="","",IF(ISNUMBER($I6671),TEXT($I6671,"0"),$I6671))</f>
        <v/>
      </c>
    </row>
    <row r="6672">
      <c r="B6672" s="25" t="n"/>
      <c r="I6672" s="25" t="n"/>
      <c r="U6672" s="19">
        <f>IF($V6672&lt;&gt;'設定'!$C$4,N(U6671),IF(OR(NOT(COUNTIF('商品マスタ'!$B$6:$B$1005,$W6672)=0),COUNTIFS('①在庫を貼る'!$V$6:$V$10005,$V6672,'①在庫を貼る'!$W$6:$W$10005,$W6672)&gt;0),N(U6671),N(U6671)+1))</f>
        <v/>
      </c>
      <c r="V6672" s="19">
        <f>IF($B6672="","",TEXT($B6672,"0000"))</f>
        <v/>
      </c>
      <c r="W6672" s="19">
        <f>IF($I6672="","",IF(ISNUMBER($I6672),TEXT($I6672,"0"),$I6672))</f>
        <v/>
      </c>
    </row>
    <row r="6673">
      <c r="B6673" s="25" t="n"/>
      <c r="I6673" s="25" t="n"/>
      <c r="U6673" s="19">
        <f>IF($V6673&lt;&gt;'設定'!$C$4,N(U6672),IF(OR(NOT(COUNTIF('商品マスタ'!$B$6:$B$1005,$W6673)=0),COUNTIFS('①在庫を貼る'!$V$6:$V$10005,$V6673,'①在庫を貼る'!$W$6:$W$10005,$W6673)&gt;0),N(U6672),N(U6672)+1))</f>
        <v/>
      </c>
      <c r="V6673" s="19">
        <f>IF($B6673="","",TEXT($B6673,"0000"))</f>
        <v/>
      </c>
      <c r="W6673" s="19">
        <f>IF($I6673="","",IF(ISNUMBER($I6673),TEXT($I6673,"0"),$I6673))</f>
        <v/>
      </c>
    </row>
    <row r="6674">
      <c r="B6674" s="25" t="n"/>
      <c r="I6674" s="25" t="n"/>
      <c r="U6674" s="19">
        <f>IF($V6674&lt;&gt;'設定'!$C$4,N(U6673),IF(OR(NOT(COUNTIF('商品マスタ'!$B$6:$B$1005,$W6674)=0),COUNTIFS('①在庫を貼る'!$V$6:$V$10005,$V6674,'①在庫を貼る'!$W$6:$W$10005,$W6674)&gt;0),N(U6673),N(U6673)+1))</f>
        <v/>
      </c>
      <c r="V6674" s="19">
        <f>IF($B6674="","",TEXT($B6674,"0000"))</f>
        <v/>
      </c>
      <c r="W6674" s="19">
        <f>IF($I6674="","",IF(ISNUMBER($I6674),TEXT($I6674,"0"),$I6674))</f>
        <v/>
      </c>
    </row>
    <row r="6675">
      <c r="B6675" s="25" t="n"/>
      <c r="I6675" s="25" t="n"/>
      <c r="U6675" s="19">
        <f>IF($V6675&lt;&gt;'設定'!$C$4,N(U6674),IF(OR(NOT(COUNTIF('商品マスタ'!$B$6:$B$1005,$W6675)=0),COUNTIFS('①在庫を貼る'!$V$6:$V$10005,$V6675,'①在庫を貼る'!$W$6:$W$10005,$W6675)&gt;0),N(U6674),N(U6674)+1))</f>
        <v/>
      </c>
      <c r="V6675" s="19">
        <f>IF($B6675="","",TEXT($B6675,"0000"))</f>
        <v/>
      </c>
      <c r="W6675" s="19">
        <f>IF($I6675="","",IF(ISNUMBER($I6675),TEXT($I6675,"0"),$I6675))</f>
        <v/>
      </c>
    </row>
    <row r="6676">
      <c r="B6676" s="25" t="n"/>
      <c r="I6676" s="25" t="n"/>
      <c r="U6676" s="19">
        <f>IF($V6676&lt;&gt;'設定'!$C$4,N(U6675),IF(OR(NOT(COUNTIF('商品マスタ'!$B$6:$B$1005,$W6676)=0),COUNTIFS('①在庫を貼る'!$V$6:$V$10005,$V6676,'①在庫を貼る'!$W$6:$W$10005,$W6676)&gt;0),N(U6675),N(U6675)+1))</f>
        <v/>
      </c>
      <c r="V6676" s="19">
        <f>IF($B6676="","",TEXT($B6676,"0000"))</f>
        <v/>
      </c>
      <c r="W6676" s="19">
        <f>IF($I6676="","",IF(ISNUMBER($I6676),TEXT($I6676,"0"),$I6676))</f>
        <v/>
      </c>
    </row>
    <row r="6677">
      <c r="B6677" s="25" t="n"/>
      <c r="I6677" s="25" t="n"/>
      <c r="U6677" s="19">
        <f>IF($V6677&lt;&gt;'設定'!$C$4,N(U6676),IF(OR(NOT(COUNTIF('商品マスタ'!$B$6:$B$1005,$W6677)=0),COUNTIFS('①在庫を貼る'!$V$6:$V$10005,$V6677,'①在庫を貼る'!$W$6:$W$10005,$W6677)&gt;0),N(U6676),N(U6676)+1))</f>
        <v/>
      </c>
      <c r="V6677" s="19">
        <f>IF($B6677="","",TEXT($B6677,"0000"))</f>
        <v/>
      </c>
      <c r="W6677" s="19">
        <f>IF($I6677="","",IF(ISNUMBER($I6677),TEXT($I6677,"0"),$I6677))</f>
        <v/>
      </c>
    </row>
    <row r="6678">
      <c r="B6678" s="25" t="n"/>
      <c r="I6678" s="25" t="n"/>
      <c r="U6678" s="19">
        <f>IF($V6678&lt;&gt;'設定'!$C$4,N(U6677),IF(OR(NOT(COUNTIF('商品マスタ'!$B$6:$B$1005,$W6678)=0),COUNTIFS('①在庫を貼る'!$V$6:$V$10005,$V6678,'①在庫を貼る'!$W$6:$W$10005,$W6678)&gt;0),N(U6677),N(U6677)+1))</f>
        <v/>
      </c>
      <c r="V6678" s="19">
        <f>IF($B6678="","",TEXT($B6678,"0000"))</f>
        <v/>
      </c>
      <c r="W6678" s="19">
        <f>IF($I6678="","",IF(ISNUMBER($I6678),TEXT($I6678,"0"),$I6678))</f>
        <v/>
      </c>
    </row>
    <row r="6679">
      <c r="B6679" s="25" t="n"/>
      <c r="I6679" s="25" t="n"/>
      <c r="U6679" s="19">
        <f>IF($V6679&lt;&gt;'設定'!$C$4,N(U6678),IF(OR(NOT(COUNTIF('商品マスタ'!$B$6:$B$1005,$W6679)=0),COUNTIFS('①在庫を貼る'!$V$6:$V$10005,$V6679,'①在庫を貼る'!$W$6:$W$10005,$W6679)&gt;0),N(U6678),N(U6678)+1))</f>
        <v/>
      </c>
      <c r="V6679" s="19">
        <f>IF($B6679="","",TEXT($B6679,"0000"))</f>
        <v/>
      </c>
      <c r="W6679" s="19">
        <f>IF($I6679="","",IF(ISNUMBER($I6679),TEXT($I6679,"0"),$I6679))</f>
        <v/>
      </c>
    </row>
    <row r="6680">
      <c r="B6680" s="25" t="n"/>
      <c r="I6680" s="25" t="n"/>
      <c r="U6680" s="19">
        <f>IF($V6680&lt;&gt;'設定'!$C$4,N(U6679),IF(OR(NOT(COUNTIF('商品マスタ'!$B$6:$B$1005,$W6680)=0),COUNTIFS('①在庫を貼る'!$V$6:$V$10005,$V6680,'①在庫を貼る'!$W$6:$W$10005,$W6680)&gt;0),N(U6679),N(U6679)+1))</f>
        <v/>
      </c>
      <c r="V6680" s="19">
        <f>IF($B6680="","",TEXT($B6680,"0000"))</f>
        <v/>
      </c>
      <c r="W6680" s="19">
        <f>IF($I6680="","",IF(ISNUMBER($I6680),TEXT($I6680,"0"),$I6680))</f>
        <v/>
      </c>
    </row>
    <row r="6681">
      <c r="B6681" s="25" t="n"/>
      <c r="I6681" s="25" t="n"/>
      <c r="U6681" s="19">
        <f>IF($V6681&lt;&gt;'設定'!$C$4,N(U6680),IF(OR(NOT(COUNTIF('商品マスタ'!$B$6:$B$1005,$W6681)=0),COUNTIFS('①在庫を貼る'!$V$6:$V$10005,$V6681,'①在庫を貼る'!$W$6:$W$10005,$W6681)&gt;0),N(U6680),N(U6680)+1))</f>
        <v/>
      </c>
      <c r="V6681" s="19">
        <f>IF($B6681="","",TEXT($B6681,"0000"))</f>
        <v/>
      </c>
      <c r="W6681" s="19">
        <f>IF($I6681="","",IF(ISNUMBER($I6681),TEXT($I6681,"0"),$I6681))</f>
        <v/>
      </c>
    </row>
    <row r="6682">
      <c r="B6682" s="25" t="n"/>
      <c r="I6682" s="25" t="n"/>
      <c r="U6682" s="19">
        <f>IF($V6682&lt;&gt;'設定'!$C$4,N(U6681),IF(OR(NOT(COUNTIF('商品マスタ'!$B$6:$B$1005,$W6682)=0),COUNTIFS('①在庫を貼る'!$V$6:$V$10005,$V6682,'①在庫を貼る'!$W$6:$W$10005,$W6682)&gt;0),N(U6681),N(U6681)+1))</f>
        <v/>
      </c>
      <c r="V6682" s="19">
        <f>IF($B6682="","",TEXT($B6682,"0000"))</f>
        <v/>
      </c>
      <c r="W6682" s="19">
        <f>IF($I6682="","",IF(ISNUMBER($I6682),TEXT($I6682,"0"),$I6682))</f>
        <v/>
      </c>
    </row>
    <row r="6683">
      <c r="B6683" s="25" t="n"/>
      <c r="I6683" s="25" t="n"/>
      <c r="U6683" s="19">
        <f>IF($V6683&lt;&gt;'設定'!$C$4,N(U6682),IF(OR(NOT(COUNTIF('商品マスタ'!$B$6:$B$1005,$W6683)=0),COUNTIFS('①在庫を貼る'!$V$6:$V$10005,$V6683,'①在庫を貼る'!$W$6:$W$10005,$W6683)&gt;0),N(U6682),N(U6682)+1))</f>
        <v/>
      </c>
      <c r="V6683" s="19">
        <f>IF($B6683="","",TEXT($B6683,"0000"))</f>
        <v/>
      </c>
      <c r="W6683" s="19">
        <f>IF($I6683="","",IF(ISNUMBER($I6683),TEXT($I6683,"0"),$I6683))</f>
        <v/>
      </c>
    </row>
    <row r="6684">
      <c r="B6684" s="25" t="n"/>
      <c r="I6684" s="25" t="n"/>
      <c r="U6684" s="19">
        <f>IF($V6684&lt;&gt;'設定'!$C$4,N(U6683),IF(OR(NOT(COUNTIF('商品マスタ'!$B$6:$B$1005,$W6684)=0),COUNTIFS('①在庫を貼る'!$V$6:$V$10005,$V6684,'①在庫を貼る'!$W$6:$W$10005,$W6684)&gt;0),N(U6683),N(U6683)+1))</f>
        <v/>
      </c>
      <c r="V6684" s="19">
        <f>IF($B6684="","",TEXT($B6684,"0000"))</f>
        <v/>
      </c>
      <c r="W6684" s="19">
        <f>IF($I6684="","",IF(ISNUMBER($I6684),TEXT($I6684,"0"),$I6684))</f>
        <v/>
      </c>
    </row>
    <row r="6685">
      <c r="B6685" s="25" t="n"/>
      <c r="I6685" s="25" t="n"/>
      <c r="U6685" s="19">
        <f>IF($V6685&lt;&gt;'設定'!$C$4,N(U6684),IF(OR(NOT(COUNTIF('商品マスタ'!$B$6:$B$1005,$W6685)=0),COUNTIFS('①在庫を貼る'!$V$6:$V$10005,$V6685,'①在庫を貼る'!$W$6:$W$10005,$W6685)&gt;0),N(U6684),N(U6684)+1))</f>
        <v/>
      </c>
      <c r="V6685" s="19">
        <f>IF($B6685="","",TEXT($B6685,"0000"))</f>
        <v/>
      </c>
      <c r="W6685" s="19">
        <f>IF($I6685="","",IF(ISNUMBER($I6685),TEXT($I6685,"0"),$I6685))</f>
        <v/>
      </c>
    </row>
    <row r="6686">
      <c r="B6686" s="25" t="n"/>
      <c r="I6686" s="25" t="n"/>
      <c r="U6686" s="19">
        <f>IF($V6686&lt;&gt;'設定'!$C$4,N(U6685),IF(OR(NOT(COUNTIF('商品マスタ'!$B$6:$B$1005,$W6686)=0),COUNTIFS('①在庫を貼る'!$V$6:$V$10005,$V6686,'①在庫を貼る'!$W$6:$W$10005,$W6686)&gt;0),N(U6685),N(U6685)+1))</f>
        <v/>
      </c>
      <c r="V6686" s="19">
        <f>IF($B6686="","",TEXT($B6686,"0000"))</f>
        <v/>
      </c>
      <c r="W6686" s="19">
        <f>IF($I6686="","",IF(ISNUMBER($I6686),TEXT($I6686,"0"),$I6686))</f>
        <v/>
      </c>
    </row>
    <row r="6687">
      <c r="B6687" s="25" t="n"/>
      <c r="I6687" s="25" t="n"/>
      <c r="U6687" s="19">
        <f>IF($V6687&lt;&gt;'設定'!$C$4,N(U6686),IF(OR(NOT(COUNTIF('商品マスタ'!$B$6:$B$1005,$W6687)=0),COUNTIFS('①在庫を貼る'!$V$6:$V$10005,$V6687,'①在庫を貼る'!$W$6:$W$10005,$W6687)&gt;0),N(U6686),N(U6686)+1))</f>
        <v/>
      </c>
      <c r="V6687" s="19">
        <f>IF($B6687="","",TEXT($B6687,"0000"))</f>
        <v/>
      </c>
      <c r="W6687" s="19">
        <f>IF($I6687="","",IF(ISNUMBER($I6687),TEXT($I6687,"0"),$I6687))</f>
        <v/>
      </c>
    </row>
    <row r="6688">
      <c r="B6688" s="25" t="n"/>
      <c r="I6688" s="25" t="n"/>
      <c r="U6688" s="19">
        <f>IF($V6688&lt;&gt;'設定'!$C$4,N(U6687),IF(OR(NOT(COUNTIF('商品マスタ'!$B$6:$B$1005,$W6688)=0),COUNTIFS('①在庫を貼る'!$V$6:$V$10005,$V6688,'①在庫を貼る'!$W$6:$W$10005,$W6688)&gt;0),N(U6687),N(U6687)+1))</f>
        <v/>
      </c>
      <c r="V6688" s="19">
        <f>IF($B6688="","",TEXT($B6688,"0000"))</f>
        <v/>
      </c>
      <c r="W6688" s="19">
        <f>IF($I6688="","",IF(ISNUMBER($I6688),TEXT($I6688,"0"),$I6688))</f>
        <v/>
      </c>
    </row>
    <row r="6689">
      <c r="B6689" s="25" t="n"/>
      <c r="I6689" s="25" t="n"/>
      <c r="U6689" s="19">
        <f>IF($V6689&lt;&gt;'設定'!$C$4,N(U6688),IF(OR(NOT(COUNTIF('商品マスタ'!$B$6:$B$1005,$W6689)=0),COUNTIFS('①在庫を貼る'!$V$6:$V$10005,$V6689,'①在庫を貼る'!$W$6:$W$10005,$W6689)&gt;0),N(U6688),N(U6688)+1))</f>
        <v/>
      </c>
      <c r="V6689" s="19">
        <f>IF($B6689="","",TEXT($B6689,"0000"))</f>
        <v/>
      </c>
      <c r="W6689" s="19">
        <f>IF($I6689="","",IF(ISNUMBER($I6689),TEXT($I6689,"0"),$I6689))</f>
        <v/>
      </c>
    </row>
    <row r="6690">
      <c r="B6690" s="25" t="n"/>
      <c r="I6690" s="25" t="n"/>
      <c r="U6690" s="19">
        <f>IF($V6690&lt;&gt;'設定'!$C$4,N(U6689),IF(OR(NOT(COUNTIF('商品マスタ'!$B$6:$B$1005,$W6690)=0),COUNTIFS('①在庫を貼る'!$V$6:$V$10005,$V6690,'①在庫を貼る'!$W$6:$W$10005,$W6690)&gt;0),N(U6689),N(U6689)+1))</f>
        <v/>
      </c>
      <c r="V6690" s="19">
        <f>IF($B6690="","",TEXT($B6690,"0000"))</f>
        <v/>
      </c>
      <c r="W6690" s="19">
        <f>IF($I6690="","",IF(ISNUMBER($I6690),TEXT($I6690,"0"),$I6690))</f>
        <v/>
      </c>
    </row>
    <row r="6691">
      <c r="B6691" s="25" t="n"/>
      <c r="I6691" s="25" t="n"/>
      <c r="U6691" s="19">
        <f>IF($V6691&lt;&gt;'設定'!$C$4,N(U6690),IF(OR(NOT(COUNTIF('商品マスタ'!$B$6:$B$1005,$W6691)=0),COUNTIFS('①在庫を貼る'!$V$6:$V$10005,$V6691,'①在庫を貼る'!$W$6:$W$10005,$W6691)&gt;0),N(U6690),N(U6690)+1))</f>
        <v/>
      </c>
      <c r="V6691" s="19">
        <f>IF($B6691="","",TEXT($B6691,"0000"))</f>
        <v/>
      </c>
      <c r="W6691" s="19">
        <f>IF($I6691="","",IF(ISNUMBER($I6691),TEXT($I6691,"0"),$I6691))</f>
        <v/>
      </c>
    </row>
    <row r="6692">
      <c r="B6692" s="25" t="n"/>
      <c r="I6692" s="25" t="n"/>
      <c r="U6692" s="19">
        <f>IF($V6692&lt;&gt;'設定'!$C$4,N(U6691),IF(OR(NOT(COUNTIF('商品マスタ'!$B$6:$B$1005,$W6692)=0),COUNTIFS('①在庫を貼る'!$V$6:$V$10005,$V6692,'①在庫を貼る'!$W$6:$W$10005,$W6692)&gt;0),N(U6691),N(U6691)+1))</f>
        <v/>
      </c>
      <c r="V6692" s="19">
        <f>IF($B6692="","",TEXT($B6692,"0000"))</f>
        <v/>
      </c>
      <c r="W6692" s="19">
        <f>IF($I6692="","",IF(ISNUMBER($I6692),TEXT($I6692,"0"),$I6692))</f>
        <v/>
      </c>
    </row>
    <row r="6693">
      <c r="B6693" s="25" t="n"/>
      <c r="I6693" s="25" t="n"/>
      <c r="U6693" s="19">
        <f>IF($V6693&lt;&gt;'設定'!$C$4,N(U6692),IF(OR(NOT(COUNTIF('商品マスタ'!$B$6:$B$1005,$W6693)=0),COUNTIFS('①在庫を貼る'!$V$6:$V$10005,$V6693,'①在庫を貼る'!$W$6:$W$10005,$W6693)&gt;0),N(U6692),N(U6692)+1))</f>
        <v/>
      </c>
      <c r="V6693" s="19">
        <f>IF($B6693="","",TEXT($B6693,"0000"))</f>
        <v/>
      </c>
      <c r="W6693" s="19">
        <f>IF($I6693="","",IF(ISNUMBER($I6693),TEXT($I6693,"0"),$I6693))</f>
        <v/>
      </c>
    </row>
    <row r="6694">
      <c r="B6694" s="25" t="n"/>
      <c r="I6694" s="25" t="n"/>
      <c r="U6694" s="19">
        <f>IF($V6694&lt;&gt;'設定'!$C$4,N(U6693),IF(OR(NOT(COUNTIF('商品マスタ'!$B$6:$B$1005,$W6694)=0),COUNTIFS('①在庫を貼る'!$V$6:$V$10005,$V6694,'①在庫を貼る'!$W$6:$W$10005,$W6694)&gt;0),N(U6693),N(U6693)+1))</f>
        <v/>
      </c>
      <c r="V6694" s="19">
        <f>IF($B6694="","",TEXT($B6694,"0000"))</f>
        <v/>
      </c>
      <c r="W6694" s="19">
        <f>IF($I6694="","",IF(ISNUMBER($I6694),TEXT($I6694,"0"),$I6694))</f>
        <v/>
      </c>
    </row>
    <row r="6695">
      <c r="B6695" s="25" t="n"/>
      <c r="I6695" s="25" t="n"/>
      <c r="U6695" s="19">
        <f>IF($V6695&lt;&gt;'設定'!$C$4,N(U6694),IF(OR(NOT(COUNTIF('商品マスタ'!$B$6:$B$1005,$W6695)=0),COUNTIFS('①在庫を貼る'!$V$6:$V$10005,$V6695,'①在庫を貼る'!$W$6:$W$10005,$W6695)&gt;0),N(U6694),N(U6694)+1))</f>
        <v/>
      </c>
      <c r="V6695" s="19">
        <f>IF($B6695="","",TEXT($B6695,"0000"))</f>
        <v/>
      </c>
      <c r="W6695" s="19">
        <f>IF($I6695="","",IF(ISNUMBER($I6695),TEXT($I6695,"0"),$I6695))</f>
        <v/>
      </c>
    </row>
    <row r="6696">
      <c r="B6696" s="25" t="n"/>
      <c r="I6696" s="25" t="n"/>
      <c r="U6696" s="19">
        <f>IF($V6696&lt;&gt;'設定'!$C$4,N(U6695),IF(OR(NOT(COUNTIF('商品マスタ'!$B$6:$B$1005,$W6696)=0),COUNTIFS('①在庫を貼る'!$V$6:$V$10005,$V6696,'①在庫を貼る'!$W$6:$W$10005,$W6696)&gt;0),N(U6695),N(U6695)+1))</f>
        <v/>
      </c>
      <c r="V6696" s="19">
        <f>IF($B6696="","",TEXT($B6696,"0000"))</f>
        <v/>
      </c>
      <c r="W6696" s="19">
        <f>IF($I6696="","",IF(ISNUMBER($I6696),TEXT($I6696,"0"),$I6696))</f>
        <v/>
      </c>
    </row>
    <row r="6697">
      <c r="B6697" s="25" t="n"/>
      <c r="I6697" s="25" t="n"/>
      <c r="U6697" s="19">
        <f>IF($V6697&lt;&gt;'設定'!$C$4,N(U6696),IF(OR(NOT(COUNTIF('商品マスタ'!$B$6:$B$1005,$W6697)=0),COUNTIFS('①在庫を貼る'!$V$6:$V$10005,$V6697,'①在庫を貼る'!$W$6:$W$10005,$W6697)&gt;0),N(U6696),N(U6696)+1))</f>
        <v/>
      </c>
      <c r="V6697" s="19">
        <f>IF($B6697="","",TEXT($B6697,"0000"))</f>
        <v/>
      </c>
      <c r="W6697" s="19">
        <f>IF($I6697="","",IF(ISNUMBER($I6697),TEXT($I6697,"0"),$I6697))</f>
        <v/>
      </c>
    </row>
    <row r="6698">
      <c r="B6698" s="25" t="n"/>
      <c r="I6698" s="25" t="n"/>
      <c r="U6698" s="19">
        <f>IF($V6698&lt;&gt;'設定'!$C$4,N(U6697),IF(OR(NOT(COUNTIF('商品マスタ'!$B$6:$B$1005,$W6698)=0),COUNTIFS('①在庫を貼る'!$V$6:$V$10005,$V6698,'①在庫を貼る'!$W$6:$W$10005,$W6698)&gt;0),N(U6697),N(U6697)+1))</f>
        <v/>
      </c>
      <c r="V6698" s="19">
        <f>IF($B6698="","",TEXT($B6698,"0000"))</f>
        <v/>
      </c>
      <c r="W6698" s="19">
        <f>IF($I6698="","",IF(ISNUMBER($I6698),TEXT($I6698,"0"),$I6698))</f>
        <v/>
      </c>
    </row>
    <row r="6699">
      <c r="B6699" s="25" t="n"/>
      <c r="I6699" s="25" t="n"/>
      <c r="U6699" s="19">
        <f>IF($V6699&lt;&gt;'設定'!$C$4,N(U6698),IF(OR(NOT(COUNTIF('商品マスタ'!$B$6:$B$1005,$W6699)=0),COUNTIFS('①在庫を貼る'!$V$6:$V$10005,$V6699,'①在庫を貼る'!$W$6:$W$10005,$W6699)&gt;0),N(U6698),N(U6698)+1))</f>
        <v/>
      </c>
      <c r="V6699" s="19">
        <f>IF($B6699="","",TEXT($B6699,"0000"))</f>
        <v/>
      </c>
      <c r="W6699" s="19">
        <f>IF($I6699="","",IF(ISNUMBER($I6699),TEXT($I6699,"0"),$I6699))</f>
        <v/>
      </c>
    </row>
    <row r="6700">
      <c r="B6700" s="25" t="n"/>
      <c r="I6700" s="25" t="n"/>
      <c r="U6700" s="19">
        <f>IF($V6700&lt;&gt;'設定'!$C$4,N(U6699),IF(OR(NOT(COUNTIF('商品マスタ'!$B$6:$B$1005,$W6700)=0),COUNTIFS('①在庫を貼る'!$V$6:$V$10005,$V6700,'①在庫を貼る'!$W$6:$W$10005,$W6700)&gt;0),N(U6699),N(U6699)+1))</f>
        <v/>
      </c>
      <c r="V6700" s="19">
        <f>IF($B6700="","",TEXT($B6700,"0000"))</f>
        <v/>
      </c>
      <c r="W6700" s="19">
        <f>IF($I6700="","",IF(ISNUMBER($I6700),TEXT($I6700,"0"),$I6700))</f>
        <v/>
      </c>
    </row>
    <row r="6701">
      <c r="B6701" s="25" t="n"/>
      <c r="I6701" s="25" t="n"/>
      <c r="U6701" s="19">
        <f>IF($V6701&lt;&gt;'設定'!$C$4,N(U6700),IF(OR(NOT(COUNTIF('商品マスタ'!$B$6:$B$1005,$W6701)=0),COUNTIFS('①在庫を貼る'!$V$6:$V$10005,$V6701,'①在庫を貼る'!$W$6:$W$10005,$W6701)&gt;0),N(U6700),N(U6700)+1))</f>
        <v/>
      </c>
      <c r="V6701" s="19">
        <f>IF($B6701="","",TEXT($B6701,"0000"))</f>
        <v/>
      </c>
      <c r="W6701" s="19">
        <f>IF($I6701="","",IF(ISNUMBER($I6701),TEXT($I6701,"0"),$I6701))</f>
        <v/>
      </c>
    </row>
    <row r="6702">
      <c r="B6702" s="25" t="n"/>
      <c r="I6702" s="25" t="n"/>
      <c r="U6702" s="19">
        <f>IF($V6702&lt;&gt;'設定'!$C$4,N(U6701),IF(OR(NOT(COUNTIF('商品マスタ'!$B$6:$B$1005,$W6702)=0),COUNTIFS('①在庫を貼る'!$V$6:$V$10005,$V6702,'①在庫を貼る'!$W$6:$W$10005,$W6702)&gt;0),N(U6701),N(U6701)+1))</f>
        <v/>
      </c>
      <c r="V6702" s="19">
        <f>IF($B6702="","",TEXT($B6702,"0000"))</f>
        <v/>
      </c>
      <c r="W6702" s="19">
        <f>IF($I6702="","",IF(ISNUMBER($I6702),TEXT($I6702,"0"),$I6702))</f>
        <v/>
      </c>
    </row>
    <row r="6703">
      <c r="B6703" s="25" t="n"/>
      <c r="I6703" s="25" t="n"/>
      <c r="U6703" s="19">
        <f>IF($V6703&lt;&gt;'設定'!$C$4,N(U6702),IF(OR(NOT(COUNTIF('商品マスタ'!$B$6:$B$1005,$W6703)=0),COUNTIFS('①在庫を貼る'!$V$6:$V$10005,$V6703,'①在庫を貼る'!$W$6:$W$10005,$W6703)&gt;0),N(U6702),N(U6702)+1))</f>
        <v/>
      </c>
      <c r="V6703" s="19">
        <f>IF($B6703="","",TEXT($B6703,"0000"))</f>
        <v/>
      </c>
      <c r="W6703" s="19">
        <f>IF($I6703="","",IF(ISNUMBER($I6703),TEXT($I6703,"0"),$I6703))</f>
        <v/>
      </c>
    </row>
    <row r="6704">
      <c r="B6704" s="25" t="n"/>
      <c r="I6704" s="25" t="n"/>
      <c r="U6704" s="19">
        <f>IF($V6704&lt;&gt;'設定'!$C$4,N(U6703),IF(OR(NOT(COUNTIF('商品マスタ'!$B$6:$B$1005,$W6704)=0),COUNTIFS('①在庫を貼る'!$V$6:$V$10005,$V6704,'①在庫を貼る'!$W$6:$W$10005,$W6704)&gt;0),N(U6703),N(U6703)+1))</f>
        <v/>
      </c>
      <c r="V6704" s="19">
        <f>IF($B6704="","",TEXT($B6704,"0000"))</f>
        <v/>
      </c>
      <c r="W6704" s="19">
        <f>IF($I6704="","",IF(ISNUMBER($I6704),TEXT($I6704,"0"),$I6704))</f>
        <v/>
      </c>
    </row>
    <row r="6705">
      <c r="B6705" s="25" t="n"/>
      <c r="I6705" s="25" t="n"/>
      <c r="U6705" s="19">
        <f>IF($V6705&lt;&gt;'設定'!$C$4,N(U6704),IF(OR(NOT(COUNTIF('商品マスタ'!$B$6:$B$1005,$W6705)=0),COUNTIFS('①在庫を貼る'!$V$6:$V$10005,$V6705,'①在庫を貼る'!$W$6:$W$10005,$W6705)&gt;0),N(U6704),N(U6704)+1))</f>
        <v/>
      </c>
      <c r="V6705" s="19">
        <f>IF($B6705="","",TEXT($B6705,"0000"))</f>
        <v/>
      </c>
      <c r="W6705" s="19">
        <f>IF($I6705="","",IF(ISNUMBER($I6705),TEXT($I6705,"0"),$I6705))</f>
        <v/>
      </c>
    </row>
    <row r="6706">
      <c r="B6706" s="25" t="n"/>
      <c r="I6706" s="25" t="n"/>
      <c r="U6706" s="19">
        <f>IF($V6706&lt;&gt;'設定'!$C$4,N(U6705),IF(OR(NOT(COUNTIF('商品マスタ'!$B$6:$B$1005,$W6706)=0),COUNTIFS('①在庫を貼る'!$V$6:$V$10005,$V6706,'①在庫を貼る'!$W$6:$W$10005,$W6706)&gt;0),N(U6705),N(U6705)+1))</f>
        <v/>
      </c>
      <c r="V6706" s="19">
        <f>IF($B6706="","",TEXT($B6706,"0000"))</f>
        <v/>
      </c>
      <c r="W6706" s="19">
        <f>IF($I6706="","",IF(ISNUMBER($I6706),TEXT($I6706,"0"),$I6706))</f>
        <v/>
      </c>
    </row>
    <row r="6707">
      <c r="B6707" s="25" t="n"/>
      <c r="I6707" s="25" t="n"/>
      <c r="U6707" s="19">
        <f>IF($V6707&lt;&gt;'設定'!$C$4,N(U6706),IF(OR(NOT(COUNTIF('商品マスタ'!$B$6:$B$1005,$W6707)=0),COUNTIFS('①在庫を貼る'!$V$6:$V$10005,$V6707,'①在庫を貼る'!$W$6:$W$10005,$W6707)&gt;0),N(U6706),N(U6706)+1))</f>
        <v/>
      </c>
      <c r="V6707" s="19">
        <f>IF($B6707="","",TEXT($B6707,"0000"))</f>
        <v/>
      </c>
      <c r="W6707" s="19">
        <f>IF($I6707="","",IF(ISNUMBER($I6707),TEXT($I6707,"0"),$I6707))</f>
        <v/>
      </c>
    </row>
    <row r="6708">
      <c r="B6708" s="25" t="n"/>
      <c r="I6708" s="25" t="n"/>
      <c r="U6708" s="19">
        <f>IF($V6708&lt;&gt;'設定'!$C$4,N(U6707),IF(OR(NOT(COUNTIF('商品マスタ'!$B$6:$B$1005,$W6708)=0),COUNTIFS('①在庫を貼る'!$V$6:$V$10005,$V6708,'①在庫を貼る'!$W$6:$W$10005,$W6708)&gt;0),N(U6707),N(U6707)+1))</f>
        <v/>
      </c>
      <c r="V6708" s="19">
        <f>IF($B6708="","",TEXT($B6708,"0000"))</f>
        <v/>
      </c>
      <c r="W6708" s="19">
        <f>IF($I6708="","",IF(ISNUMBER($I6708),TEXT($I6708,"0"),$I6708))</f>
        <v/>
      </c>
    </row>
    <row r="6709">
      <c r="B6709" s="25" t="n"/>
      <c r="I6709" s="25" t="n"/>
      <c r="U6709" s="19">
        <f>IF($V6709&lt;&gt;'設定'!$C$4,N(U6708),IF(OR(NOT(COUNTIF('商品マスタ'!$B$6:$B$1005,$W6709)=0),COUNTIFS('①在庫を貼る'!$V$6:$V$10005,$V6709,'①在庫を貼る'!$W$6:$W$10005,$W6709)&gt;0),N(U6708),N(U6708)+1))</f>
        <v/>
      </c>
      <c r="V6709" s="19">
        <f>IF($B6709="","",TEXT($B6709,"0000"))</f>
        <v/>
      </c>
      <c r="W6709" s="19">
        <f>IF($I6709="","",IF(ISNUMBER($I6709),TEXT($I6709,"0"),$I6709))</f>
        <v/>
      </c>
    </row>
    <row r="6710">
      <c r="B6710" s="25" t="n"/>
      <c r="I6710" s="25" t="n"/>
      <c r="U6710" s="19">
        <f>IF($V6710&lt;&gt;'設定'!$C$4,N(U6709),IF(OR(NOT(COUNTIF('商品マスタ'!$B$6:$B$1005,$W6710)=0),COUNTIFS('①在庫を貼る'!$V$6:$V$10005,$V6710,'①在庫を貼る'!$W$6:$W$10005,$W6710)&gt;0),N(U6709),N(U6709)+1))</f>
        <v/>
      </c>
      <c r="V6710" s="19">
        <f>IF($B6710="","",TEXT($B6710,"0000"))</f>
        <v/>
      </c>
      <c r="W6710" s="19">
        <f>IF($I6710="","",IF(ISNUMBER($I6710),TEXT($I6710,"0"),$I6710))</f>
        <v/>
      </c>
    </row>
    <row r="6711">
      <c r="B6711" s="25" t="n"/>
      <c r="I6711" s="25" t="n"/>
      <c r="U6711" s="19">
        <f>IF($V6711&lt;&gt;'設定'!$C$4,N(U6710),IF(OR(NOT(COUNTIF('商品マスタ'!$B$6:$B$1005,$W6711)=0),COUNTIFS('①在庫を貼る'!$V$6:$V$10005,$V6711,'①在庫を貼る'!$W$6:$W$10005,$W6711)&gt;0),N(U6710),N(U6710)+1))</f>
        <v/>
      </c>
      <c r="V6711" s="19">
        <f>IF($B6711="","",TEXT($B6711,"0000"))</f>
        <v/>
      </c>
      <c r="W6711" s="19">
        <f>IF($I6711="","",IF(ISNUMBER($I6711),TEXT($I6711,"0"),$I6711))</f>
        <v/>
      </c>
    </row>
    <row r="6712">
      <c r="B6712" s="25" t="n"/>
      <c r="I6712" s="25" t="n"/>
      <c r="U6712" s="19">
        <f>IF($V6712&lt;&gt;'設定'!$C$4,N(U6711),IF(OR(NOT(COUNTIF('商品マスタ'!$B$6:$B$1005,$W6712)=0),COUNTIFS('①在庫を貼る'!$V$6:$V$10005,$V6712,'①在庫を貼る'!$W$6:$W$10005,$W6712)&gt;0),N(U6711),N(U6711)+1))</f>
        <v/>
      </c>
      <c r="V6712" s="19">
        <f>IF($B6712="","",TEXT($B6712,"0000"))</f>
        <v/>
      </c>
      <c r="W6712" s="19">
        <f>IF($I6712="","",IF(ISNUMBER($I6712),TEXT($I6712,"0"),$I6712))</f>
        <v/>
      </c>
    </row>
    <row r="6713">
      <c r="B6713" s="25" t="n"/>
      <c r="I6713" s="25" t="n"/>
      <c r="U6713" s="19">
        <f>IF($V6713&lt;&gt;'設定'!$C$4,N(U6712),IF(OR(NOT(COUNTIF('商品マスタ'!$B$6:$B$1005,$W6713)=0),COUNTIFS('①在庫を貼る'!$V$6:$V$10005,$V6713,'①在庫を貼る'!$W$6:$W$10005,$W6713)&gt;0),N(U6712),N(U6712)+1))</f>
        <v/>
      </c>
      <c r="V6713" s="19">
        <f>IF($B6713="","",TEXT($B6713,"0000"))</f>
        <v/>
      </c>
      <c r="W6713" s="19">
        <f>IF($I6713="","",IF(ISNUMBER($I6713),TEXT($I6713,"0"),$I6713))</f>
        <v/>
      </c>
    </row>
    <row r="6714">
      <c r="B6714" s="25" t="n"/>
      <c r="I6714" s="25" t="n"/>
      <c r="U6714" s="19">
        <f>IF($V6714&lt;&gt;'設定'!$C$4,N(U6713),IF(OR(NOT(COUNTIF('商品マスタ'!$B$6:$B$1005,$W6714)=0),COUNTIFS('①在庫を貼る'!$V$6:$V$10005,$V6714,'①在庫を貼る'!$W$6:$W$10005,$W6714)&gt;0),N(U6713),N(U6713)+1))</f>
        <v/>
      </c>
      <c r="V6714" s="19">
        <f>IF($B6714="","",TEXT($B6714,"0000"))</f>
        <v/>
      </c>
      <c r="W6714" s="19">
        <f>IF($I6714="","",IF(ISNUMBER($I6714),TEXT($I6714,"0"),$I6714))</f>
        <v/>
      </c>
    </row>
    <row r="6715">
      <c r="B6715" s="25" t="n"/>
      <c r="I6715" s="25" t="n"/>
      <c r="U6715" s="19">
        <f>IF($V6715&lt;&gt;'設定'!$C$4,N(U6714),IF(OR(NOT(COUNTIF('商品マスタ'!$B$6:$B$1005,$W6715)=0),COUNTIFS('①在庫を貼る'!$V$6:$V$10005,$V6715,'①在庫を貼る'!$W$6:$W$10005,$W6715)&gt;0),N(U6714),N(U6714)+1))</f>
        <v/>
      </c>
      <c r="V6715" s="19">
        <f>IF($B6715="","",TEXT($B6715,"0000"))</f>
        <v/>
      </c>
      <c r="W6715" s="19">
        <f>IF($I6715="","",IF(ISNUMBER($I6715),TEXT($I6715,"0"),$I6715))</f>
        <v/>
      </c>
    </row>
    <row r="6716">
      <c r="B6716" s="25" t="n"/>
      <c r="I6716" s="25" t="n"/>
      <c r="U6716" s="19">
        <f>IF($V6716&lt;&gt;'設定'!$C$4,N(U6715),IF(OR(NOT(COUNTIF('商品マスタ'!$B$6:$B$1005,$W6716)=0),COUNTIFS('①在庫を貼る'!$V$6:$V$10005,$V6716,'①在庫を貼る'!$W$6:$W$10005,$W6716)&gt;0),N(U6715),N(U6715)+1))</f>
        <v/>
      </c>
      <c r="V6716" s="19">
        <f>IF($B6716="","",TEXT($B6716,"0000"))</f>
        <v/>
      </c>
      <c r="W6716" s="19">
        <f>IF($I6716="","",IF(ISNUMBER($I6716),TEXT($I6716,"0"),$I6716))</f>
        <v/>
      </c>
    </row>
    <row r="6717">
      <c r="B6717" s="25" t="n"/>
      <c r="I6717" s="25" t="n"/>
      <c r="U6717" s="19">
        <f>IF($V6717&lt;&gt;'設定'!$C$4,N(U6716),IF(OR(NOT(COUNTIF('商品マスタ'!$B$6:$B$1005,$W6717)=0),COUNTIFS('①在庫を貼る'!$V$6:$V$10005,$V6717,'①在庫を貼る'!$W$6:$W$10005,$W6717)&gt;0),N(U6716),N(U6716)+1))</f>
        <v/>
      </c>
      <c r="V6717" s="19">
        <f>IF($B6717="","",TEXT($B6717,"0000"))</f>
        <v/>
      </c>
      <c r="W6717" s="19">
        <f>IF($I6717="","",IF(ISNUMBER($I6717),TEXT($I6717,"0"),$I6717))</f>
        <v/>
      </c>
    </row>
    <row r="6718">
      <c r="B6718" s="25" t="n"/>
      <c r="I6718" s="25" t="n"/>
      <c r="U6718" s="19">
        <f>IF($V6718&lt;&gt;'設定'!$C$4,N(U6717),IF(OR(NOT(COUNTIF('商品マスタ'!$B$6:$B$1005,$W6718)=0),COUNTIFS('①在庫を貼る'!$V$6:$V$10005,$V6718,'①在庫を貼る'!$W$6:$W$10005,$W6718)&gt;0),N(U6717),N(U6717)+1))</f>
        <v/>
      </c>
      <c r="V6718" s="19">
        <f>IF($B6718="","",TEXT($B6718,"0000"))</f>
        <v/>
      </c>
      <c r="W6718" s="19">
        <f>IF($I6718="","",IF(ISNUMBER($I6718),TEXT($I6718,"0"),$I6718))</f>
        <v/>
      </c>
    </row>
    <row r="6719">
      <c r="B6719" s="25" t="n"/>
      <c r="I6719" s="25" t="n"/>
      <c r="U6719" s="19">
        <f>IF($V6719&lt;&gt;'設定'!$C$4,N(U6718),IF(OR(NOT(COUNTIF('商品マスタ'!$B$6:$B$1005,$W6719)=0),COUNTIFS('①在庫を貼る'!$V$6:$V$10005,$V6719,'①在庫を貼る'!$W$6:$W$10005,$W6719)&gt;0),N(U6718),N(U6718)+1))</f>
        <v/>
      </c>
      <c r="V6719" s="19">
        <f>IF($B6719="","",TEXT($B6719,"0000"))</f>
        <v/>
      </c>
      <c r="W6719" s="19">
        <f>IF($I6719="","",IF(ISNUMBER($I6719),TEXT($I6719,"0"),$I6719))</f>
        <v/>
      </c>
    </row>
    <row r="6720">
      <c r="B6720" s="25" t="n"/>
      <c r="I6720" s="25" t="n"/>
      <c r="U6720" s="19">
        <f>IF($V6720&lt;&gt;'設定'!$C$4,N(U6719),IF(OR(NOT(COUNTIF('商品マスタ'!$B$6:$B$1005,$W6720)=0),COUNTIFS('①在庫を貼る'!$V$6:$V$10005,$V6720,'①在庫を貼る'!$W$6:$W$10005,$W6720)&gt;0),N(U6719),N(U6719)+1))</f>
        <v/>
      </c>
      <c r="V6720" s="19">
        <f>IF($B6720="","",TEXT($B6720,"0000"))</f>
        <v/>
      </c>
      <c r="W6720" s="19">
        <f>IF($I6720="","",IF(ISNUMBER($I6720),TEXT($I6720,"0"),$I6720))</f>
        <v/>
      </c>
    </row>
    <row r="6721">
      <c r="B6721" s="25" t="n"/>
      <c r="I6721" s="25" t="n"/>
      <c r="U6721" s="19">
        <f>IF($V6721&lt;&gt;'設定'!$C$4,N(U6720),IF(OR(NOT(COUNTIF('商品マスタ'!$B$6:$B$1005,$W6721)=0),COUNTIFS('①在庫を貼る'!$V$6:$V$10005,$V6721,'①在庫を貼る'!$W$6:$W$10005,$W6721)&gt;0),N(U6720),N(U6720)+1))</f>
        <v/>
      </c>
      <c r="V6721" s="19">
        <f>IF($B6721="","",TEXT($B6721,"0000"))</f>
        <v/>
      </c>
      <c r="W6721" s="19">
        <f>IF($I6721="","",IF(ISNUMBER($I6721),TEXT($I6721,"0"),$I6721))</f>
        <v/>
      </c>
    </row>
    <row r="6722">
      <c r="B6722" s="25" t="n"/>
      <c r="I6722" s="25" t="n"/>
      <c r="U6722" s="19">
        <f>IF($V6722&lt;&gt;'設定'!$C$4,N(U6721),IF(OR(NOT(COUNTIF('商品マスタ'!$B$6:$B$1005,$W6722)=0),COUNTIFS('①在庫を貼る'!$V$6:$V$10005,$V6722,'①在庫を貼る'!$W$6:$W$10005,$W6722)&gt;0),N(U6721),N(U6721)+1))</f>
        <v/>
      </c>
      <c r="V6722" s="19">
        <f>IF($B6722="","",TEXT($B6722,"0000"))</f>
        <v/>
      </c>
      <c r="W6722" s="19">
        <f>IF($I6722="","",IF(ISNUMBER($I6722),TEXT($I6722,"0"),$I6722))</f>
        <v/>
      </c>
    </row>
    <row r="6723">
      <c r="B6723" s="25" t="n"/>
      <c r="I6723" s="25" t="n"/>
      <c r="U6723" s="19">
        <f>IF($V6723&lt;&gt;'設定'!$C$4,N(U6722),IF(OR(NOT(COUNTIF('商品マスタ'!$B$6:$B$1005,$W6723)=0),COUNTIFS('①在庫を貼る'!$V$6:$V$10005,$V6723,'①在庫を貼る'!$W$6:$W$10005,$W6723)&gt;0),N(U6722),N(U6722)+1))</f>
        <v/>
      </c>
      <c r="V6723" s="19">
        <f>IF($B6723="","",TEXT($B6723,"0000"))</f>
        <v/>
      </c>
      <c r="W6723" s="19">
        <f>IF($I6723="","",IF(ISNUMBER($I6723),TEXT($I6723,"0"),$I6723))</f>
        <v/>
      </c>
    </row>
    <row r="6724">
      <c r="B6724" s="25" t="n"/>
      <c r="I6724" s="25" t="n"/>
      <c r="U6724" s="19">
        <f>IF($V6724&lt;&gt;'設定'!$C$4,N(U6723),IF(OR(NOT(COUNTIF('商品マスタ'!$B$6:$B$1005,$W6724)=0),COUNTIFS('①在庫を貼る'!$V$6:$V$10005,$V6724,'①在庫を貼る'!$W$6:$W$10005,$W6724)&gt;0),N(U6723),N(U6723)+1))</f>
        <v/>
      </c>
      <c r="V6724" s="19">
        <f>IF($B6724="","",TEXT($B6724,"0000"))</f>
        <v/>
      </c>
      <c r="W6724" s="19">
        <f>IF($I6724="","",IF(ISNUMBER($I6724),TEXT($I6724,"0"),$I6724))</f>
        <v/>
      </c>
    </row>
    <row r="6725">
      <c r="B6725" s="25" t="n"/>
      <c r="I6725" s="25" t="n"/>
      <c r="U6725" s="19">
        <f>IF($V6725&lt;&gt;'設定'!$C$4,N(U6724),IF(OR(NOT(COUNTIF('商品マスタ'!$B$6:$B$1005,$W6725)=0),COUNTIFS('①在庫を貼る'!$V$6:$V$10005,$V6725,'①在庫を貼る'!$W$6:$W$10005,$W6725)&gt;0),N(U6724),N(U6724)+1))</f>
        <v/>
      </c>
      <c r="V6725" s="19">
        <f>IF($B6725="","",TEXT($B6725,"0000"))</f>
        <v/>
      </c>
      <c r="W6725" s="19">
        <f>IF($I6725="","",IF(ISNUMBER($I6725),TEXT($I6725,"0"),$I6725))</f>
        <v/>
      </c>
    </row>
    <row r="6726">
      <c r="B6726" s="25" t="n"/>
      <c r="I6726" s="25" t="n"/>
      <c r="U6726" s="19">
        <f>IF($V6726&lt;&gt;'設定'!$C$4,N(U6725),IF(OR(NOT(COUNTIF('商品マスタ'!$B$6:$B$1005,$W6726)=0),COUNTIFS('①在庫を貼る'!$V$6:$V$10005,$V6726,'①在庫を貼る'!$W$6:$W$10005,$W6726)&gt;0),N(U6725),N(U6725)+1))</f>
        <v/>
      </c>
      <c r="V6726" s="19">
        <f>IF($B6726="","",TEXT($B6726,"0000"))</f>
        <v/>
      </c>
      <c r="W6726" s="19">
        <f>IF($I6726="","",IF(ISNUMBER($I6726),TEXT($I6726,"0"),$I6726))</f>
        <v/>
      </c>
    </row>
    <row r="6727">
      <c r="B6727" s="25" t="n"/>
      <c r="I6727" s="25" t="n"/>
      <c r="U6727" s="19">
        <f>IF($V6727&lt;&gt;'設定'!$C$4,N(U6726),IF(OR(NOT(COUNTIF('商品マスタ'!$B$6:$B$1005,$W6727)=0),COUNTIFS('①在庫を貼る'!$V$6:$V$10005,$V6727,'①在庫を貼る'!$W$6:$W$10005,$W6727)&gt;0),N(U6726),N(U6726)+1))</f>
        <v/>
      </c>
      <c r="V6727" s="19">
        <f>IF($B6727="","",TEXT($B6727,"0000"))</f>
        <v/>
      </c>
      <c r="W6727" s="19">
        <f>IF($I6727="","",IF(ISNUMBER($I6727),TEXT($I6727,"0"),$I6727))</f>
        <v/>
      </c>
    </row>
    <row r="6728">
      <c r="B6728" s="25" t="n"/>
      <c r="I6728" s="25" t="n"/>
      <c r="U6728" s="19">
        <f>IF($V6728&lt;&gt;'設定'!$C$4,N(U6727),IF(OR(NOT(COUNTIF('商品マスタ'!$B$6:$B$1005,$W6728)=0),COUNTIFS('①在庫を貼る'!$V$6:$V$10005,$V6728,'①在庫を貼る'!$W$6:$W$10005,$W6728)&gt;0),N(U6727),N(U6727)+1))</f>
        <v/>
      </c>
      <c r="V6728" s="19">
        <f>IF($B6728="","",TEXT($B6728,"0000"))</f>
        <v/>
      </c>
      <c r="W6728" s="19">
        <f>IF($I6728="","",IF(ISNUMBER($I6728),TEXT($I6728,"0"),$I6728))</f>
        <v/>
      </c>
    </row>
    <row r="6729">
      <c r="B6729" s="25" t="n"/>
      <c r="I6729" s="25" t="n"/>
      <c r="U6729" s="19">
        <f>IF($V6729&lt;&gt;'設定'!$C$4,N(U6728),IF(OR(NOT(COUNTIF('商品マスタ'!$B$6:$B$1005,$W6729)=0),COUNTIFS('①在庫を貼る'!$V$6:$V$10005,$V6729,'①在庫を貼る'!$W$6:$W$10005,$W6729)&gt;0),N(U6728),N(U6728)+1))</f>
        <v/>
      </c>
      <c r="V6729" s="19">
        <f>IF($B6729="","",TEXT($B6729,"0000"))</f>
        <v/>
      </c>
      <c r="W6729" s="19">
        <f>IF($I6729="","",IF(ISNUMBER($I6729),TEXT($I6729,"0"),$I6729))</f>
        <v/>
      </c>
    </row>
    <row r="6730">
      <c r="B6730" s="25" t="n"/>
      <c r="I6730" s="25" t="n"/>
      <c r="U6730" s="19">
        <f>IF($V6730&lt;&gt;'設定'!$C$4,N(U6729),IF(OR(NOT(COUNTIF('商品マスタ'!$B$6:$B$1005,$W6730)=0),COUNTIFS('①在庫を貼る'!$V$6:$V$10005,$V6730,'①在庫を貼る'!$W$6:$W$10005,$W6730)&gt;0),N(U6729),N(U6729)+1))</f>
        <v/>
      </c>
      <c r="V6730" s="19">
        <f>IF($B6730="","",TEXT($B6730,"0000"))</f>
        <v/>
      </c>
      <c r="W6730" s="19">
        <f>IF($I6730="","",IF(ISNUMBER($I6730),TEXT($I6730,"0"),$I6730))</f>
        <v/>
      </c>
    </row>
    <row r="6731">
      <c r="B6731" s="25" t="n"/>
      <c r="I6731" s="25" t="n"/>
      <c r="U6731" s="19">
        <f>IF($V6731&lt;&gt;'設定'!$C$4,N(U6730),IF(OR(NOT(COUNTIF('商品マスタ'!$B$6:$B$1005,$W6731)=0),COUNTIFS('①在庫を貼る'!$V$6:$V$10005,$V6731,'①在庫を貼る'!$W$6:$W$10005,$W6731)&gt;0),N(U6730),N(U6730)+1))</f>
        <v/>
      </c>
      <c r="V6731" s="19">
        <f>IF($B6731="","",TEXT($B6731,"0000"))</f>
        <v/>
      </c>
      <c r="W6731" s="19">
        <f>IF($I6731="","",IF(ISNUMBER($I6731),TEXT($I6731,"0"),$I6731))</f>
        <v/>
      </c>
    </row>
    <row r="6732">
      <c r="B6732" s="25" t="n"/>
      <c r="I6732" s="25" t="n"/>
      <c r="U6732" s="19">
        <f>IF($V6732&lt;&gt;'設定'!$C$4,N(U6731),IF(OR(NOT(COUNTIF('商品マスタ'!$B$6:$B$1005,$W6732)=0),COUNTIFS('①在庫を貼る'!$V$6:$V$10005,$V6732,'①在庫を貼る'!$W$6:$W$10005,$W6732)&gt;0),N(U6731),N(U6731)+1))</f>
        <v/>
      </c>
      <c r="V6732" s="19">
        <f>IF($B6732="","",TEXT($B6732,"0000"))</f>
        <v/>
      </c>
      <c r="W6732" s="19">
        <f>IF($I6732="","",IF(ISNUMBER($I6732),TEXT($I6732,"0"),$I6732))</f>
        <v/>
      </c>
    </row>
    <row r="6733">
      <c r="B6733" s="25" t="n"/>
      <c r="I6733" s="25" t="n"/>
      <c r="U6733" s="19">
        <f>IF($V6733&lt;&gt;'設定'!$C$4,N(U6732),IF(OR(NOT(COUNTIF('商品マスタ'!$B$6:$B$1005,$W6733)=0),COUNTIFS('①在庫を貼る'!$V$6:$V$10005,$V6733,'①在庫を貼る'!$W$6:$W$10005,$W6733)&gt;0),N(U6732),N(U6732)+1))</f>
        <v/>
      </c>
      <c r="V6733" s="19">
        <f>IF($B6733="","",TEXT($B6733,"0000"))</f>
        <v/>
      </c>
      <c r="W6733" s="19">
        <f>IF($I6733="","",IF(ISNUMBER($I6733),TEXT($I6733,"0"),$I6733))</f>
        <v/>
      </c>
    </row>
    <row r="6734">
      <c r="B6734" s="25" t="n"/>
      <c r="I6734" s="25" t="n"/>
      <c r="U6734" s="19">
        <f>IF($V6734&lt;&gt;'設定'!$C$4,N(U6733),IF(OR(NOT(COUNTIF('商品マスタ'!$B$6:$B$1005,$W6734)=0),COUNTIFS('①在庫を貼る'!$V$6:$V$10005,$V6734,'①在庫を貼る'!$W$6:$W$10005,$W6734)&gt;0),N(U6733),N(U6733)+1))</f>
        <v/>
      </c>
      <c r="V6734" s="19">
        <f>IF($B6734="","",TEXT($B6734,"0000"))</f>
        <v/>
      </c>
      <c r="W6734" s="19">
        <f>IF($I6734="","",IF(ISNUMBER($I6734),TEXT($I6734,"0"),$I6734))</f>
        <v/>
      </c>
    </row>
    <row r="6735">
      <c r="B6735" s="25" t="n"/>
      <c r="I6735" s="25" t="n"/>
      <c r="U6735" s="19">
        <f>IF($V6735&lt;&gt;'設定'!$C$4,N(U6734),IF(OR(NOT(COUNTIF('商品マスタ'!$B$6:$B$1005,$W6735)=0),COUNTIFS('①在庫を貼る'!$V$6:$V$10005,$V6735,'①在庫を貼る'!$W$6:$W$10005,$W6735)&gt;0),N(U6734),N(U6734)+1))</f>
        <v/>
      </c>
      <c r="V6735" s="19">
        <f>IF($B6735="","",TEXT($B6735,"0000"))</f>
        <v/>
      </c>
      <c r="W6735" s="19">
        <f>IF($I6735="","",IF(ISNUMBER($I6735),TEXT($I6735,"0"),$I6735))</f>
        <v/>
      </c>
    </row>
    <row r="6736">
      <c r="B6736" s="25" t="n"/>
      <c r="I6736" s="25" t="n"/>
      <c r="U6736" s="19">
        <f>IF($V6736&lt;&gt;'設定'!$C$4,N(U6735),IF(OR(NOT(COUNTIF('商品マスタ'!$B$6:$B$1005,$W6736)=0),COUNTIFS('①在庫を貼る'!$V$6:$V$10005,$V6736,'①在庫を貼る'!$W$6:$W$10005,$W6736)&gt;0),N(U6735),N(U6735)+1))</f>
        <v/>
      </c>
      <c r="V6736" s="19">
        <f>IF($B6736="","",TEXT($B6736,"0000"))</f>
        <v/>
      </c>
      <c r="W6736" s="19">
        <f>IF($I6736="","",IF(ISNUMBER($I6736),TEXT($I6736,"0"),$I6736))</f>
        <v/>
      </c>
    </row>
    <row r="6737">
      <c r="B6737" s="25" t="n"/>
      <c r="I6737" s="25" t="n"/>
      <c r="U6737" s="19">
        <f>IF($V6737&lt;&gt;'設定'!$C$4,N(U6736),IF(OR(NOT(COUNTIF('商品マスタ'!$B$6:$B$1005,$W6737)=0),COUNTIFS('①在庫を貼る'!$V$6:$V$10005,$V6737,'①在庫を貼る'!$W$6:$W$10005,$W6737)&gt;0),N(U6736),N(U6736)+1))</f>
        <v/>
      </c>
      <c r="V6737" s="19">
        <f>IF($B6737="","",TEXT($B6737,"0000"))</f>
        <v/>
      </c>
      <c r="W6737" s="19">
        <f>IF($I6737="","",IF(ISNUMBER($I6737),TEXT($I6737,"0"),$I6737))</f>
        <v/>
      </c>
    </row>
    <row r="6738">
      <c r="B6738" s="25" t="n"/>
      <c r="I6738" s="25" t="n"/>
      <c r="U6738" s="19">
        <f>IF($V6738&lt;&gt;'設定'!$C$4,N(U6737),IF(OR(NOT(COUNTIF('商品マスタ'!$B$6:$B$1005,$W6738)=0),COUNTIFS('①在庫を貼る'!$V$6:$V$10005,$V6738,'①在庫を貼る'!$W$6:$W$10005,$W6738)&gt;0),N(U6737),N(U6737)+1))</f>
        <v/>
      </c>
      <c r="V6738" s="19">
        <f>IF($B6738="","",TEXT($B6738,"0000"))</f>
        <v/>
      </c>
      <c r="W6738" s="19">
        <f>IF($I6738="","",IF(ISNUMBER($I6738),TEXT($I6738,"0"),$I6738))</f>
        <v/>
      </c>
    </row>
    <row r="6739">
      <c r="B6739" s="25" t="n"/>
      <c r="I6739" s="25" t="n"/>
      <c r="U6739" s="19">
        <f>IF($V6739&lt;&gt;'設定'!$C$4,N(U6738),IF(OR(NOT(COUNTIF('商品マスタ'!$B$6:$B$1005,$W6739)=0),COUNTIFS('①在庫を貼る'!$V$6:$V$10005,$V6739,'①在庫を貼る'!$W$6:$W$10005,$W6739)&gt;0),N(U6738),N(U6738)+1))</f>
        <v/>
      </c>
      <c r="V6739" s="19">
        <f>IF($B6739="","",TEXT($B6739,"0000"))</f>
        <v/>
      </c>
      <c r="W6739" s="19">
        <f>IF($I6739="","",IF(ISNUMBER($I6739),TEXT($I6739,"0"),$I6739))</f>
        <v/>
      </c>
    </row>
    <row r="6740">
      <c r="B6740" s="25" t="n"/>
      <c r="I6740" s="25" t="n"/>
      <c r="U6740" s="19">
        <f>IF($V6740&lt;&gt;'設定'!$C$4,N(U6739),IF(OR(NOT(COUNTIF('商品マスタ'!$B$6:$B$1005,$W6740)=0),COUNTIFS('①在庫を貼る'!$V$6:$V$10005,$V6740,'①在庫を貼る'!$W$6:$W$10005,$W6740)&gt;0),N(U6739),N(U6739)+1))</f>
        <v/>
      </c>
      <c r="V6740" s="19">
        <f>IF($B6740="","",TEXT($B6740,"0000"))</f>
        <v/>
      </c>
      <c r="W6740" s="19">
        <f>IF($I6740="","",IF(ISNUMBER($I6740),TEXT($I6740,"0"),$I6740))</f>
        <v/>
      </c>
    </row>
    <row r="6741">
      <c r="B6741" s="25" t="n"/>
      <c r="I6741" s="25" t="n"/>
      <c r="U6741" s="19">
        <f>IF($V6741&lt;&gt;'設定'!$C$4,N(U6740),IF(OR(NOT(COUNTIF('商品マスタ'!$B$6:$B$1005,$W6741)=0),COUNTIFS('①在庫を貼る'!$V$6:$V$10005,$V6741,'①在庫を貼る'!$W$6:$W$10005,$W6741)&gt;0),N(U6740),N(U6740)+1))</f>
        <v/>
      </c>
      <c r="V6741" s="19">
        <f>IF($B6741="","",TEXT($B6741,"0000"))</f>
        <v/>
      </c>
      <c r="W6741" s="19">
        <f>IF($I6741="","",IF(ISNUMBER($I6741),TEXT($I6741,"0"),$I6741))</f>
        <v/>
      </c>
    </row>
    <row r="6742">
      <c r="B6742" s="25" t="n"/>
      <c r="I6742" s="25" t="n"/>
      <c r="U6742" s="19">
        <f>IF($V6742&lt;&gt;'設定'!$C$4,N(U6741),IF(OR(NOT(COUNTIF('商品マスタ'!$B$6:$B$1005,$W6742)=0),COUNTIFS('①在庫を貼る'!$V$6:$V$10005,$V6742,'①在庫を貼る'!$W$6:$W$10005,$W6742)&gt;0),N(U6741),N(U6741)+1))</f>
        <v/>
      </c>
      <c r="V6742" s="19">
        <f>IF($B6742="","",TEXT($B6742,"0000"))</f>
        <v/>
      </c>
      <c r="W6742" s="19">
        <f>IF($I6742="","",IF(ISNUMBER($I6742),TEXT($I6742,"0"),$I6742))</f>
        <v/>
      </c>
    </row>
    <row r="6743">
      <c r="B6743" s="25" t="n"/>
      <c r="I6743" s="25" t="n"/>
      <c r="U6743" s="19">
        <f>IF($V6743&lt;&gt;'設定'!$C$4,N(U6742),IF(OR(NOT(COUNTIF('商品マスタ'!$B$6:$B$1005,$W6743)=0),COUNTIFS('①在庫を貼る'!$V$6:$V$10005,$V6743,'①在庫を貼る'!$W$6:$W$10005,$W6743)&gt;0),N(U6742),N(U6742)+1))</f>
        <v/>
      </c>
      <c r="V6743" s="19">
        <f>IF($B6743="","",TEXT($B6743,"0000"))</f>
        <v/>
      </c>
      <c r="W6743" s="19">
        <f>IF($I6743="","",IF(ISNUMBER($I6743),TEXT($I6743,"0"),$I6743))</f>
        <v/>
      </c>
    </row>
    <row r="6744">
      <c r="B6744" s="25" t="n"/>
      <c r="I6744" s="25" t="n"/>
      <c r="U6744" s="19">
        <f>IF($V6744&lt;&gt;'設定'!$C$4,N(U6743),IF(OR(NOT(COUNTIF('商品マスタ'!$B$6:$B$1005,$W6744)=0),COUNTIFS('①在庫を貼る'!$V$6:$V$10005,$V6744,'①在庫を貼る'!$W$6:$W$10005,$W6744)&gt;0),N(U6743),N(U6743)+1))</f>
        <v/>
      </c>
      <c r="V6744" s="19">
        <f>IF($B6744="","",TEXT($B6744,"0000"))</f>
        <v/>
      </c>
      <c r="W6744" s="19">
        <f>IF($I6744="","",IF(ISNUMBER($I6744),TEXT($I6744,"0"),$I6744))</f>
        <v/>
      </c>
    </row>
    <row r="6745">
      <c r="B6745" s="25" t="n"/>
      <c r="I6745" s="25" t="n"/>
      <c r="U6745" s="19">
        <f>IF($V6745&lt;&gt;'設定'!$C$4,N(U6744),IF(OR(NOT(COUNTIF('商品マスタ'!$B$6:$B$1005,$W6745)=0),COUNTIFS('①在庫を貼る'!$V$6:$V$10005,$V6745,'①在庫を貼る'!$W$6:$W$10005,$W6745)&gt;0),N(U6744),N(U6744)+1))</f>
        <v/>
      </c>
      <c r="V6745" s="19">
        <f>IF($B6745="","",TEXT($B6745,"0000"))</f>
        <v/>
      </c>
      <c r="W6745" s="19">
        <f>IF($I6745="","",IF(ISNUMBER($I6745),TEXT($I6745,"0"),$I6745))</f>
        <v/>
      </c>
    </row>
    <row r="6746">
      <c r="B6746" s="25" t="n"/>
      <c r="I6746" s="25" t="n"/>
      <c r="U6746" s="19">
        <f>IF($V6746&lt;&gt;'設定'!$C$4,N(U6745),IF(OR(NOT(COUNTIF('商品マスタ'!$B$6:$B$1005,$W6746)=0),COUNTIFS('①在庫を貼る'!$V$6:$V$10005,$V6746,'①在庫を貼る'!$W$6:$W$10005,$W6746)&gt;0),N(U6745),N(U6745)+1))</f>
        <v/>
      </c>
      <c r="V6746" s="19">
        <f>IF($B6746="","",TEXT($B6746,"0000"))</f>
        <v/>
      </c>
      <c r="W6746" s="19">
        <f>IF($I6746="","",IF(ISNUMBER($I6746),TEXT($I6746,"0"),$I6746))</f>
        <v/>
      </c>
    </row>
    <row r="6747">
      <c r="B6747" s="25" t="n"/>
      <c r="I6747" s="25" t="n"/>
      <c r="U6747" s="19">
        <f>IF($V6747&lt;&gt;'設定'!$C$4,N(U6746),IF(OR(NOT(COUNTIF('商品マスタ'!$B$6:$B$1005,$W6747)=0),COUNTIFS('①在庫を貼る'!$V$6:$V$10005,$V6747,'①在庫を貼る'!$W$6:$W$10005,$W6747)&gt;0),N(U6746),N(U6746)+1))</f>
        <v/>
      </c>
      <c r="V6747" s="19">
        <f>IF($B6747="","",TEXT($B6747,"0000"))</f>
        <v/>
      </c>
      <c r="W6747" s="19">
        <f>IF($I6747="","",IF(ISNUMBER($I6747),TEXT($I6747,"0"),$I6747))</f>
        <v/>
      </c>
    </row>
    <row r="6748">
      <c r="B6748" s="25" t="n"/>
      <c r="I6748" s="25" t="n"/>
      <c r="U6748" s="19">
        <f>IF($V6748&lt;&gt;'設定'!$C$4,N(U6747),IF(OR(NOT(COUNTIF('商品マスタ'!$B$6:$B$1005,$W6748)=0),COUNTIFS('①在庫を貼る'!$V$6:$V$10005,$V6748,'①在庫を貼る'!$W$6:$W$10005,$W6748)&gt;0),N(U6747),N(U6747)+1))</f>
        <v/>
      </c>
      <c r="V6748" s="19">
        <f>IF($B6748="","",TEXT($B6748,"0000"))</f>
        <v/>
      </c>
      <c r="W6748" s="19">
        <f>IF($I6748="","",IF(ISNUMBER($I6748),TEXT($I6748,"0"),$I6748))</f>
        <v/>
      </c>
    </row>
    <row r="6749">
      <c r="B6749" s="25" t="n"/>
      <c r="I6749" s="25" t="n"/>
      <c r="U6749" s="19">
        <f>IF($V6749&lt;&gt;'設定'!$C$4,N(U6748),IF(OR(NOT(COUNTIF('商品マスタ'!$B$6:$B$1005,$W6749)=0),COUNTIFS('①在庫を貼る'!$V$6:$V$10005,$V6749,'①在庫を貼る'!$W$6:$W$10005,$W6749)&gt;0),N(U6748),N(U6748)+1))</f>
        <v/>
      </c>
      <c r="V6749" s="19">
        <f>IF($B6749="","",TEXT($B6749,"0000"))</f>
        <v/>
      </c>
      <c r="W6749" s="19">
        <f>IF($I6749="","",IF(ISNUMBER($I6749),TEXT($I6749,"0"),$I6749))</f>
        <v/>
      </c>
    </row>
    <row r="6750">
      <c r="B6750" s="25" t="n"/>
      <c r="I6750" s="25" t="n"/>
      <c r="U6750" s="19">
        <f>IF($V6750&lt;&gt;'設定'!$C$4,N(U6749),IF(OR(NOT(COUNTIF('商品マスタ'!$B$6:$B$1005,$W6750)=0),COUNTIFS('①在庫を貼る'!$V$6:$V$10005,$V6750,'①在庫を貼る'!$W$6:$W$10005,$W6750)&gt;0),N(U6749),N(U6749)+1))</f>
        <v/>
      </c>
      <c r="V6750" s="19">
        <f>IF($B6750="","",TEXT($B6750,"0000"))</f>
        <v/>
      </c>
      <c r="W6750" s="19">
        <f>IF($I6750="","",IF(ISNUMBER($I6750),TEXT($I6750,"0"),$I6750))</f>
        <v/>
      </c>
    </row>
    <row r="6751">
      <c r="B6751" s="25" t="n"/>
      <c r="I6751" s="25" t="n"/>
      <c r="U6751" s="19">
        <f>IF($V6751&lt;&gt;'設定'!$C$4,N(U6750),IF(OR(NOT(COUNTIF('商品マスタ'!$B$6:$B$1005,$W6751)=0),COUNTIFS('①在庫を貼る'!$V$6:$V$10005,$V6751,'①在庫を貼る'!$W$6:$W$10005,$W6751)&gt;0),N(U6750),N(U6750)+1))</f>
        <v/>
      </c>
      <c r="V6751" s="19">
        <f>IF($B6751="","",TEXT($B6751,"0000"))</f>
        <v/>
      </c>
      <c r="W6751" s="19">
        <f>IF($I6751="","",IF(ISNUMBER($I6751),TEXT($I6751,"0"),$I6751))</f>
        <v/>
      </c>
    </row>
    <row r="6752">
      <c r="B6752" s="25" t="n"/>
      <c r="I6752" s="25" t="n"/>
      <c r="U6752" s="19">
        <f>IF($V6752&lt;&gt;'設定'!$C$4,N(U6751),IF(OR(NOT(COUNTIF('商品マスタ'!$B$6:$B$1005,$W6752)=0),COUNTIFS('①在庫を貼る'!$V$6:$V$10005,$V6752,'①在庫を貼る'!$W$6:$W$10005,$W6752)&gt;0),N(U6751),N(U6751)+1))</f>
        <v/>
      </c>
      <c r="V6752" s="19">
        <f>IF($B6752="","",TEXT($B6752,"0000"))</f>
        <v/>
      </c>
      <c r="W6752" s="19">
        <f>IF($I6752="","",IF(ISNUMBER($I6752),TEXT($I6752,"0"),$I6752))</f>
        <v/>
      </c>
    </row>
    <row r="6753">
      <c r="B6753" s="25" t="n"/>
      <c r="I6753" s="25" t="n"/>
      <c r="U6753" s="19">
        <f>IF($V6753&lt;&gt;'設定'!$C$4,N(U6752),IF(OR(NOT(COUNTIF('商品マスタ'!$B$6:$B$1005,$W6753)=0),COUNTIFS('①在庫を貼る'!$V$6:$V$10005,$V6753,'①在庫を貼る'!$W$6:$W$10005,$W6753)&gt;0),N(U6752),N(U6752)+1))</f>
        <v/>
      </c>
      <c r="V6753" s="19">
        <f>IF($B6753="","",TEXT($B6753,"0000"))</f>
        <v/>
      </c>
      <c r="W6753" s="19">
        <f>IF($I6753="","",IF(ISNUMBER($I6753),TEXT($I6753,"0"),$I6753))</f>
        <v/>
      </c>
    </row>
    <row r="6754">
      <c r="B6754" s="25" t="n"/>
      <c r="I6754" s="25" t="n"/>
      <c r="U6754" s="19">
        <f>IF($V6754&lt;&gt;'設定'!$C$4,N(U6753),IF(OR(NOT(COUNTIF('商品マスタ'!$B$6:$B$1005,$W6754)=0),COUNTIFS('①在庫を貼る'!$V$6:$V$10005,$V6754,'①在庫を貼る'!$W$6:$W$10005,$W6754)&gt;0),N(U6753),N(U6753)+1))</f>
        <v/>
      </c>
      <c r="V6754" s="19">
        <f>IF($B6754="","",TEXT($B6754,"0000"))</f>
        <v/>
      </c>
      <c r="W6754" s="19">
        <f>IF($I6754="","",IF(ISNUMBER($I6754),TEXT($I6754,"0"),$I6754))</f>
        <v/>
      </c>
    </row>
    <row r="6755">
      <c r="B6755" s="25" t="n"/>
      <c r="I6755" s="25" t="n"/>
      <c r="U6755" s="19">
        <f>IF($V6755&lt;&gt;'設定'!$C$4,N(U6754),IF(OR(NOT(COUNTIF('商品マスタ'!$B$6:$B$1005,$W6755)=0),COUNTIFS('①在庫を貼る'!$V$6:$V$10005,$V6755,'①在庫を貼る'!$W$6:$W$10005,$W6755)&gt;0),N(U6754),N(U6754)+1))</f>
        <v/>
      </c>
      <c r="V6755" s="19">
        <f>IF($B6755="","",TEXT($B6755,"0000"))</f>
        <v/>
      </c>
      <c r="W6755" s="19">
        <f>IF($I6755="","",IF(ISNUMBER($I6755),TEXT($I6755,"0"),$I6755))</f>
        <v/>
      </c>
    </row>
    <row r="6756">
      <c r="B6756" s="25" t="n"/>
      <c r="I6756" s="25" t="n"/>
      <c r="U6756" s="19">
        <f>IF($V6756&lt;&gt;'設定'!$C$4,N(U6755),IF(OR(NOT(COUNTIF('商品マスタ'!$B$6:$B$1005,$W6756)=0),COUNTIFS('①在庫を貼る'!$V$6:$V$10005,$V6756,'①在庫を貼る'!$W$6:$W$10005,$W6756)&gt;0),N(U6755),N(U6755)+1))</f>
        <v/>
      </c>
      <c r="V6756" s="19">
        <f>IF($B6756="","",TEXT($B6756,"0000"))</f>
        <v/>
      </c>
      <c r="W6756" s="19">
        <f>IF($I6756="","",IF(ISNUMBER($I6756),TEXT($I6756,"0"),$I6756))</f>
        <v/>
      </c>
    </row>
    <row r="6757">
      <c r="B6757" s="25" t="n"/>
      <c r="I6757" s="25" t="n"/>
      <c r="U6757" s="19">
        <f>IF($V6757&lt;&gt;'設定'!$C$4,N(U6756),IF(OR(NOT(COUNTIF('商品マスタ'!$B$6:$B$1005,$W6757)=0),COUNTIFS('①在庫を貼る'!$V$6:$V$10005,$V6757,'①在庫を貼る'!$W$6:$W$10005,$W6757)&gt;0),N(U6756),N(U6756)+1))</f>
        <v/>
      </c>
      <c r="V6757" s="19">
        <f>IF($B6757="","",TEXT($B6757,"0000"))</f>
        <v/>
      </c>
      <c r="W6757" s="19">
        <f>IF($I6757="","",IF(ISNUMBER($I6757),TEXT($I6757,"0"),$I6757))</f>
        <v/>
      </c>
    </row>
    <row r="6758">
      <c r="B6758" s="25" t="n"/>
      <c r="I6758" s="25" t="n"/>
      <c r="U6758" s="19">
        <f>IF($V6758&lt;&gt;'設定'!$C$4,N(U6757),IF(OR(NOT(COUNTIF('商品マスタ'!$B$6:$B$1005,$W6758)=0),COUNTIFS('①在庫を貼る'!$V$6:$V$10005,$V6758,'①在庫を貼る'!$W$6:$W$10005,$W6758)&gt;0),N(U6757),N(U6757)+1))</f>
        <v/>
      </c>
      <c r="V6758" s="19">
        <f>IF($B6758="","",TEXT($B6758,"0000"))</f>
        <v/>
      </c>
      <c r="W6758" s="19">
        <f>IF($I6758="","",IF(ISNUMBER($I6758),TEXT($I6758,"0"),$I6758))</f>
        <v/>
      </c>
    </row>
    <row r="6759">
      <c r="B6759" s="25" t="n"/>
      <c r="I6759" s="25" t="n"/>
      <c r="U6759" s="19">
        <f>IF($V6759&lt;&gt;'設定'!$C$4,N(U6758),IF(OR(NOT(COUNTIF('商品マスタ'!$B$6:$B$1005,$W6759)=0),COUNTIFS('①在庫を貼る'!$V$6:$V$10005,$V6759,'①在庫を貼る'!$W$6:$W$10005,$W6759)&gt;0),N(U6758),N(U6758)+1))</f>
        <v/>
      </c>
      <c r="V6759" s="19">
        <f>IF($B6759="","",TEXT($B6759,"0000"))</f>
        <v/>
      </c>
      <c r="W6759" s="19">
        <f>IF($I6759="","",IF(ISNUMBER($I6759),TEXT($I6759,"0"),$I6759))</f>
        <v/>
      </c>
    </row>
    <row r="6760">
      <c r="B6760" s="25" t="n"/>
      <c r="I6760" s="25" t="n"/>
      <c r="U6760" s="19">
        <f>IF($V6760&lt;&gt;'設定'!$C$4,N(U6759),IF(OR(NOT(COUNTIF('商品マスタ'!$B$6:$B$1005,$W6760)=0),COUNTIFS('①在庫を貼る'!$V$6:$V$10005,$V6760,'①在庫を貼る'!$W$6:$W$10005,$W6760)&gt;0),N(U6759),N(U6759)+1))</f>
        <v/>
      </c>
      <c r="V6760" s="19">
        <f>IF($B6760="","",TEXT($B6760,"0000"))</f>
        <v/>
      </c>
      <c r="W6760" s="19">
        <f>IF($I6760="","",IF(ISNUMBER($I6760),TEXT($I6760,"0"),$I6760))</f>
        <v/>
      </c>
    </row>
    <row r="6761">
      <c r="B6761" s="25" t="n"/>
      <c r="I6761" s="25" t="n"/>
      <c r="U6761" s="19">
        <f>IF($V6761&lt;&gt;'設定'!$C$4,N(U6760),IF(OR(NOT(COUNTIF('商品マスタ'!$B$6:$B$1005,$W6761)=0),COUNTIFS('①在庫を貼る'!$V$6:$V$10005,$V6761,'①在庫を貼る'!$W$6:$W$10005,$W6761)&gt;0),N(U6760),N(U6760)+1))</f>
        <v/>
      </c>
      <c r="V6761" s="19">
        <f>IF($B6761="","",TEXT($B6761,"0000"))</f>
        <v/>
      </c>
      <c r="W6761" s="19">
        <f>IF($I6761="","",IF(ISNUMBER($I6761),TEXT($I6761,"0"),$I6761))</f>
        <v/>
      </c>
    </row>
    <row r="6762">
      <c r="B6762" s="25" t="n"/>
      <c r="I6762" s="25" t="n"/>
      <c r="U6762" s="19">
        <f>IF($V6762&lt;&gt;'設定'!$C$4,N(U6761),IF(OR(NOT(COUNTIF('商品マスタ'!$B$6:$B$1005,$W6762)=0),COUNTIFS('①在庫を貼る'!$V$6:$V$10005,$V6762,'①在庫を貼る'!$W$6:$W$10005,$W6762)&gt;0),N(U6761),N(U6761)+1))</f>
        <v/>
      </c>
      <c r="V6762" s="19">
        <f>IF($B6762="","",TEXT($B6762,"0000"))</f>
        <v/>
      </c>
      <c r="W6762" s="19">
        <f>IF($I6762="","",IF(ISNUMBER($I6762),TEXT($I6762,"0"),$I6762))</f>
        <v/>
      </c>
    </row>
    <row r="6763">
      <c r="B6763" s="25" t="n"/>
      <c r="I6763" s="25" t="n"/>
      <c r="U6763" s="19">
        <f>IF($V6763&lt;&gt;'設定'!$C$4,N(U6762),IF(OR(NOT(COUNTIF('商品マスタ'!$B$6:$B$1005,$W6763)=0),COUNTIFS('①在庫を貼る'!$V$6:$V$10005,$V6763,'①在庫を貼る'!$W$6:$W$10005,$W6763)&gt;0),N(U6762),N(U6762)+1))</f>
        <v/>
      </c>
      <c r="V6763" s="19">
        <f>IF($B6763="","",TEXT($B6763,"0000"))</f>
        <v/>
      </c>
      <c r="W6763" s="19">
        <f>IF($I6763="","",IF(ISNUMBER($I6763),TEXT($I6763,"0"),$I6763))</f>
        <v/>
      </c>
    </row>
    <row r="6764">
      <c r="B6764" s="25" t="n"/>
      <c r="I6764" s="25" t="n"/>
      <c r="U6764" s="19">
        <f>IF($V6764&lt;&gt;'設定'!$C$4,N(U6763),IF(OR(NOT(COUNTIF('商品マスタ'!$B$6:$B$1005,$W6764)=0),COUNTIFS('①在庫を貼る'!$V$6:$V$10005,$V6764,'①在庫を貼る'!$W$6:$W$10005,$W6764)&gt;0),N(U6763),N(U6763)+1))</f>
        <v/>
      </c>
      <c r="V6764" s="19">
        <f>IF($B6764="","",TEXT($B6764,"0000"))</f>
        <v/>
      </c>
      <c r="W6764" s="19">
        <f>IF($I6764="","",IF(ISNUMBER($I6764),TEXT($I6764,"0"),$I6764))</f>
        <v/>
      </c>
    </row>
    <row r="6765">
      <c r="B6765" s="25" t="n"/>
      <c r="I6765" s="25" t="n"/>
      <c r="U6765" s="19">
        <f>IF($V6765&lt;&gt;'設定'!$C$4,N(U6764),IF(OR(NOT(COUNTIF('商品マスタ'!$B$6:$B$1005,$W6765)=0),COUNTIFS('①在庫を貼る'!$V$6:$V$10005,$V6765,'①在庫を貼る'!$W$6:$W$10005,$W6765)&gt;0),N(U6764),N(U6764)+1))</f>
        <v/>
      </c>
      <c r="V6765" s="19">
        <f>IF($B6765="","",TEXT($B6765,"0000"))</f>
        <v/>
      </c>
      <c r="W6765" s="19">
        <f>IF($I6765="","",IF(ISNUMBER($I6765),TEXT($I6765,"0"),$I6765))</f>
        <v/>
      </c>
    </row>
    <row r="6766">
      <c r="B6766" s="25" t="n"/>
      <c r="I6766" s="25" t="n"/>
      <c r="U6766" s="19">
        <f>IF($V6766&lt;&gt;'設定'!$C$4,N(U6765),IF(OR(NOT(COUNTIF('商品マスタ'!$B$6:$B$1005,$W6766)=0),COUNTIFS('①在庫を貼る'!$V$6:$V$10005,$V6766,'①在庫を貼る'!$W$6:$W$10005,$W6766)&gt;0),N(U6765),N(U6765)+1))</f>
        <v/>
      </c>
      <c r="V6766" s="19">
        <f>IF($B6766="","",TEXT($B6766,"0000"))</f>
        <v/>
      </c>
      <c r="W6766" s="19">
        <f>IF($I6766="","",IF(ISNUMBER($I6766),TEXT($I6766,"0"),$I6766))</f>
        <v/>
      </c>
    </row>
    <row r="6767">
      <c r="B6767" s="25" t="n"/>
      <c r="I6767" s="25" t="n"/>
      <c r="U6767" s="19">
        <f>IF($V6767&lt;&gt;'設定'!$C$4,N(U6766),IF(OR(NOT(COUNTIF('商品マスタ'!$B$6:$B$1005,$W6767)=0),COUNTIFS('①在庫を貼る'!$V$6:$V$10005,$V6767,'①在庫を貼る'!$W$6:$W$10005,$W6767)&gt;0),N(U6766),N(U6766)+1))</f>
        <v/>
      </c>
      <c r="V6767" s="19">
        <f>IF($B6767="","",TEXT($B6767,"0000"))</f>
        <v/>
      </c>
      <c r="W6767" s="19">
        <f>IF($I6767="","",IF(ISNUMBER($I6767),TEXT($I6767,"0"),$I6767))</f>
        <v/>
      </c>
    </row>
    <row r="6768">
      <c r="B6768" s="25" t="n"/>
      <c r="I6768" s="25" t="n"/>
      <c r="U6768" s="19">
        <f>IF($V6768&lt;&gt;'設定'!$C$4,N(U6767),IF(OR(NOT(COUNTIF('商品マスタ'!$B$6:$B$1005,$W6768)=0),COUNTIFS('①在庫を貼る'!$V$6:$V$10005,$V6768,'①在庫を貼る'!$W$6:$W$10005,$W6768)&gt;0),N(U6767),N(U6767)+1))</f>
        <v/>
      </c>
      <c r="V6768" s="19">
        <f>IF($B6768="","",TEXT($B6768,"0000"))</f>
        <v/>
      </c>
      <c r="W6768" s="19">
        <f>IF($I6768="","",IF(ISNUMBER($I6768),TEXT($I6768,"0"),$I6768))</f>
        <v/>
      </c>
    </row>
    <row r="6769">
      <c r="B6769" s="25" t="n"/>
      <c r="I6769" s="25" t="n"/>
      <c r="U6769" s="19">
        <f>IF($V6769&lt;&gt;'設定'!$C$4,N(U6768),IF(OR(NOT(COUNTIF('商品マスタ'!$B$6:$B$1005,$W6769)=0),COUNTIFS('①在庫を貼る'!$V$6:$V$10005,$V6769,'①在庫を貼る'!$W$6:$W$10005,$W6769)&gt;0),N(U6768),N(U6768)+1))</f>
        <v/>
      </c>
      <c r="V6769" s="19">
        <f>IF($B6769="","",TEXT($B6769,"0000"))</f>
        <v/>
      </c>
      <c r="W6769" s="19">
        <f>IF($I6769="","",IF(ISNUMBER($I6769),TEXT($I6769,"0"),$I6769))</f>
        <v/>
      </c>
    </row>
    <row r="6770">
      <c r="B6770" s="25" t="n"/>
      <c r="I6770" s="25" t="n"/>
      <c r="U6770" s="19">
        <f>IF($V6770&lt;&gt;'設定'!$C$4,N(U6769),IF(OR(NOT(COUNTIF('商品マスタ'!$B$6:$B$1005,$W6770)=0),COUNTIFS('①在庫を貼る'!$V$6:$V$10005,$V6770,'①在庫を貼る'!$W$6:$W$10005,$W6770)&gt;0),N(U6769),N(U6769)+1))</f>
        <v/>
      </c>
      <c r="V6770" s="19">
        <f>IF($B6770="","",TEXT($B6770,"0000"))</f>
        <v/>
      </c>
      <c r="W6770" s="19">
        <f>IF($I6770="","",IF(ISNUMBER($I6770),TEXT($I6770,"0"),$I6770))</f>
        <v/>
      </c>
    </row>
    <row r="6771">
      <c r="B6771" s="25" t="n"/>
      <c r="I6771" s="25" t="n"/>
      <c r="U6771" s="19">
        <f>IF($V6771&lt;&gt;'設定'!$C$4,N(U6770),IF(OR(NOT(COUNTIF('商品マスタ'!$B$6:$B$1005,$W6771)=0),COUNTIFS('①在庫を貼る'!$V$6:$V$10005,$V6771,'①在庫を貼る'!$W$6:$W$10005,$W6771)&gt;0),N(U6770),N(U6770)+1))</f>
        <v/>
      </c>
      <c r="V6771" s="19">
        <f>IF($B6771="","",TEXT($B6771,"0000"))</f>
        <v/>
      </c>
      <c r="W6771" s="19">
        <f>IF($I6771="","",IF(ISNUMBER($I6771),TEXT($I6771,"0"),$I6771))</f>
        <v/>
      </c>
    </row>
    <row r="6772">
      <c r="B6772" s="25" t="n"/>
      <c r="I6772" s="25" t="n"/>
      <c r="U6772" s="19">
        <f>IF($V6772&lt;&gt;'設定'!$C$4,N(U6771),IF(OR(NOT(COUNTIF('商品マスタ'!$B$6:$B$1005,$W6772)=0),COUNTIFS('①在庫を貼る'!$V$6:$V$10005,$V6772,'①在庫を貼る'!$W$6:$W$10005,$W6772)&gt;0),N(U6771),N(U6771)+1))</f>
        <v/>
      </c>
      <c r="V6772" s="19">
        <f>IF($B6772="","",TEXT($B6772,"0000"))</f>
        <v/>
      </c>
      <c r="W6772" s="19">
        <f>IF($I6772="","",IF(ISNUMBER($I6772),TEXT($I6772,"0"),$I6772))</f>
        <v/>
      </c>
    </row>
    <row r="6773">
      <c r="B6773" s="25" t="n"/>
      <c r="I6773" s="25" t="n"/>
      <c r="U6773" s="19">
        <f>IF($V6773&lt;&gt;'設定'!$C$4,N(U6772),IF(OR(NOT(COUNTIF('商品マスタ'!$B$6:$B$1005,$W6773)=0),COUNTIFS('①在庫を貼る'!$V$6:$V$10005,$V6773,'①在庫を貼る'!$W$6:$W$10005,$W6773)&gt;0),N(U6772),N(U6772)+1))</f>
        <v/>
      </c>
      <c r="V6773" s="19">
        <f>IF($B6773="","",TEXT($B6773,"0000"))</f>
        <v/>
      </c>
      <c r="W6773" s="19">
        <f>IF($I6773="","",IF(ISNUMBER($I6773),TEXT($I6773,"0"),$I6773))</f>
        <v/>
      </c>
    </row>
    <row r="6774">
      <c r="B6774" s="25" t="n"/>
      <c r="I6774" s="25" t="n"/>
      <c r="U6774" s="19">
        <f>IF($V6774&lt;&gt;'設定'!$C$4,N(U6773),IF(OR(NOT(COUNTIF('商品マスタ'!$B$6:$B$1005,$W6774)=0),COUNTIFS('①在庫を貼る'!$V$6:$V$10005,$V6774,'①在庫を貼る'!$W$6:$W$10005,$W6774)&gt;0),N(U6773),N(U6773)+1))</f>
        <v/>
      </c>
      <c r="V6774" s="19">
        <f>IF($B6774="","",TEXT($B6774,"0000"))</f>
        <v/>
      </c>
      <c r="W6774" s="19">
        <f>IF($I6774="","",IF(ISNUMBER($I6774),TEXT($I6774,"0"),$I6774))</f>
        <v/>
      </c>
    </row>
    <row r="6775">
      <c r="B6775" s="25" t="n"/>
      <c r="I6775" s="25" t="n"/>
      <c r="U6775" s="19">
        <f>IF($V6775&lt;&gt;'設定'!$C$4,N(U6774),IF(OR(NOT(COUNTIF('商品マスタ'!$B$6:$B$1005,$W6775)=0),COUNTIFS('①在庫を貼る'!$V$6:$V$10005,$V6775,'①在庫を貼る'!$W$6:$W$10005,$W6775)&gt;0),N(U6774),N(U6774)+1))</f>
        <v/>
      </c>
      <c r="V6775" s="19">
        <f>IF($B6775="","",TEXT($B6775,"0000"))</f>
        <v/>
      </c>
      <c r="W6775" s="19">
        <f>IF($I6775="","",IF(ISNUMBER($I6775),TEXT($I6775,"0"),$I6775))</f>
        <v/>
      </c>
    </row>
    <row r="6776">
      <c r="B6776" s="25" t="n"/>
      <c r="I6776" s="25" t="n"/>
      <c r="U6776" s="19">
        <f>IF($V6776&lt;&gt;'設定'!$C$4,N(U6775),IF(OR(NOT(COUNTIF('商品マスタ'!$B$6:$B$1005,$W6776)=0),COUNTIFS('①在庫を貼る'!$V$6:$V$10005,$V6776,'①在庫を貼る'!$W$6:$W$10005,$W6776)&gt;0),N(U6775),N(U6775)+1))</f>
        <v/>
      </c>
      <c r="V6776" s="19">
        <f>IF($B6776="","",TEXT($B6776,"0000"))</f>
        <v/>
      </c>
      <c r="W6776" s="19">
        <f>IF($I6776="","",IF(ISNUMBER($I6776),TEXT($I6776,"0"),$I6776))</f>
        <v/>
      </c>
    </row>
    <row r="6777">
      <c r="B6777" s="25" t="n"/>
      <c r="I6777" s="25" t="n"/>
      <c r="U6777" s="19">
        <f>IF($V6777&lt;&gt;'設定'!$C$4,N(U6776),IF(OR(NOT(COUNTIF('商品マスタ'!$B$6:$B$1005,$W6777)=0),COUNTIFS('①在庫を貼る'!$V$6:$V$10005,$V6777,'①在庫を貼る'!$W$6:$W$10005,$W6777)&gt;0),N(U6776),N(U6776)+1))</f>
        <v/>
      </c>
      <c r="V6777" s="19">
        <f>IF($B6777="","",TEXT($B6777,"0000"))</f>
        <v/>
      </c>
      <c r="W6777" s="19">
        <f>IF($I6777="","",IF(ISNUMBER($I6777),TEXT($I6777,"0"),$I6777))</f>
        <v/>
      </c>
    </row>
    <row r="6778">
      <c r="B6778" s="25" t="n"/>
      <c r="I6778" s="25" t="n"/>
      <c r="U6778" s="19">
        <f>IF($V6778&lt;&gt;'設定'!$C$4,N(U6777),IF(OR(NOT(COUNTIF('商品マスタ'!$B$6:$B$1005,$W6778)=0),COUNTIFS('①在庫を貼る'!$V$6:$V$10005,$V6778,'①在庫を貼る'!$W$6:$W$10005,$W6778)&gt;0),N(U6777),N(U6777)+1))</f>
        <v/>
      </c>
      <c r="V6778" s="19">
        <f>IF($B6778="","",TEXT($B6778,"0000"))</f>
        <v/>
      </c>
      <c r="W6778" s="19">
        <f>IF($I6778="","",IF(ISNUMBER($I6778),TEXT($I6778,"0"),$I6778))</f>
        <v/>
      </c>
    </row>
    <row r="6779">
      <c r="B6779" s="25" t="n"/>
      <c r="I6779" s="25" t="n"/>
      <c r="U6779" s="19">
        <f>IF($V6779&lt;&gt;'設定'!$C$4,N(U6778),IF(OR(NOT(COUNTIF('商品マスタ'!$B$6:$B$1005,$W6779)=0),COUNTIFS('①在庫を貼る'!$V$6:$V$10005,$V6779,'①在庫を貼る'!$W$6:$W$10005,$W6779)&gt;0),N(U6778),N(U6778)+1))</f>
        <v/>
      </c>
      <c r="V6779" s="19">
        <f>IF($B6779="","",TEXT($B6779,"0000"))</f>
        <v/>
      </c>
      <c r="W6779" s="19">
        <f>IF($I6779="","",IF(ISNUMBER($I6779),TEXT($I6779,"0"),$I6779))</f>
        <v/>
      </c>
    </row>
    <row r="6780">
      <c r="B6780" s="25" t="n"/>
      <c r="I6780" s="25" t="n"/>
      <c r="U6780" s="19">
        <f>IF($V6780&lt;&gt;'設定'!$C$4,N(U6779),IF(OR(NOT(COUNTIF('商品マスタ'!$B$6:$B$1005,$W6780)=0),COUNTIFS('①在庫を貼る'!$V$6:$V$10005,$V6780,'①在庫を貼る'!$W$6:$W$10005,$W6780)&gt;0),N(U6779),N(U6779)+1))</f>
        <v/>
      </c>
      <c r="V6780" s="19">
        <f>IF($B6780="","",TEXT($B6780,"0000"))</f>
        <v/>
      </c>
      <c r="W6780" s="19">
        <f>IF($I6780="","",IF(ISNUMBER($I6780),TEXT($I6780,"0"),$I6780))</f>
        <v/>
      </c>
    </row>
    <row r="6781">
      <c r="B6781" s="25" t="n"/>
      <c r="I6781" s="25" t="n"/>
      <c r="U6781" s="19">
        <f>IF($V6781&lt;&gt;'設定'!$C$4,N(U6780),IF(OR(NOT(COUNTIF('商品マスタ'!$B$6:$B$1005,$W6781)=0),COUNTIFS('①在庫を貼る'!$V$6:$V$10005,$V6781,'①在庫を貼る'!$W$6:$W$10005,$W6781)&gt;0),N(U6780),N(U6780)+1))</f>
        <v/>
      </c>
      <c r="V6781" s="19">
        <f>IF($B6781="","",TEXT($B6781,"0000"))</f>
        <v/>
      </c>
      <c r="W6781" s="19">
        <f>IF($I6781="","",IF(ISNUMBER($I6781),TEXT($I6781,"0"),$I6781))</f>
        <v/>
      </c>
    </row>
    <row r="6782">
      <c r="B6782" s="25" t="n"/>
      <c r="I6782" s="25" t="n"/>
      <c r="U6782" s="19">
        <f>IF($V6782&lt;&gt;'設定'!$C$4,N(U6781),IF(OR(NOT(COUNTIF('商品マスタ'!$B$6:$B$1005,$W6782)=0),COUNTIFS('①在庫を貼る'!$V$6:$V$10005,$V6782,'①在庫を貼る'!$W$6:$W$10005,$W6782)&gt;0),N(U6781),N(U6781)+1))</f>
        <v/>
      </c>
      <c r="V6782" s="19">
        <f>IF($B6782="","",TEXT($B6782,"0000"))</f>
        <v/>
      </c>
      <c r="W6782" s="19">
        <f>IF($I6782="","",IF(ISNUMBER($I6782),TEXT($I6782,"0"),$I6782))</f>
        <v/>
      </c>
    </row>
    <row r="6783">
      <c r="B6783" s="25" t="n"/>
      <c r="I6783" s="25" t="n"/>
      <c r="U6783" s="19">
        <f>IF($V6783&lt;&gt;'設定'!$C$4,N(U6782),IF(OR(NOT(COUNTIF('商品マスタ'!$B$6:$B$1005,$W6783)=0),COUNTIFS('①在庫を貼る'!$V$6:$V$10005,$V6783,'①在庫を貼る'!$W$6:$W$10005,$W6783)&gt;0),N(U6782),N(U6782)+1))</f>
        <v/>
      </c>
      <c r="V6783" s="19">
        <f>IF($B6783="","",TEXT($B6783,"0000"))</f>
        <v/>
      </c>
      <c r="W6783" s="19">
        <f>IF($I6783="","",IF(ISNUMBER($I6783),TEXT($I6783,"0"),$I6783))</f>
        <v/>
      </c>
    </row>
    <row r="6784">
      <c r="B6784" s="25" t="n"/>
      <c r="I6784" s="25" t="n"/>
      <c r="U6784" s="19">
        <f>IF($V6784&lt;&gt;'設定'!$C$4,N(U6783),IF(OR(NOT(COUNTIF('商品マスタ'!$B$6:$B$1005,$W6784)=0),COUNTIFS('①在庫を貼る'!$V$6:$V$10005,$V6784,'①在庫を貼る'!$W$6:$W$10005,$W6784)&gt;0),N(U6783),N(U6783)+1))</f>
        <v/>
      </c>
      <c r="V6784" s="19">
        <f>IF($B6784="","",TEXT($B6784,"0000"))</f>
        <v/>
      </c>
      <c r="W6784" s="19">
        <f>IF($I6784="","",IF(ISNUMBER($I6784),TEXT($I6784,"0"),$I6784))</f>
        <v/>
      </c>
    </row>
    <row r="6785">
      <c r="B6785" s="25" t="n"/>
      <c r="I6785" s="25" t="n"/>
      <c r="U6785" s="19">
        <f>IF($V6785&lt;&gt;'設定'!$C$4,N(U6784),IF(OR(NOT(COUNTIF('商品マスタ'!$B$6:$B$1005,$W6785)=0),COUNTIFS('①在庫を貼る'!$V$6:$V$10005,$V6785,'①在庫を貼る'!$W$6:$W$10005,$W6785)&gt;0),N(U6784),N(U6784)+1))</f>
        <v/>
      </c>
      <c r="V6785" s="19">
        <f>IF($B6785="","",TEXT($B6785,"0000"))</f>
        <v/>
      </c>
      <c r="W6785" s="19">
        <f>IF($I6785="","",IF(ISNUMBER($I6785),TEXT($I6785,"0"),$I6785))</f>
        <v/>
      </c>
    </row>
    <row r="6786">
      <c r="B6786" s="25" t="n"/>
      <c r="I6786" s="25" t="n"/>
      <c r="U6786" s="19">
        <f>IF($V6786&lt;&gt;'設定'!$C$4,N(U6785),IF(OR(NOT(COUNTIF('商品マスタ'!$B$6:$B$1005,$W6786)=0),COUNTIFS('①在庫を貼る'!$V$6:$V$10005,$V6786,'①在庫を貼る'!$W$6:$W$10005,$W6786)&gt;0),N(U6785),N(U6785)+1))</f>
        <v/>
      </c>
      <c r="V6786" s="19">
        <f>IF($B6786="","",TEXT($B6786,"0000"))</f>
        <v/>
      </c>
      <c r="W6786" s="19">
        <f>IF($I6786="","",IF(ISNUMBER($I6786),TEXT($I6786,"0"),$I6786))</f>
        <v/>
      </c>
    </row>
    <row r="6787">
      <c r="B6787" s="25" t="n"/>
      <c r="I6787" s="25" t="n"/>
      <c r="U6787" s="19">
        <f>IF($V6787&lt;&gt;'設定'!$C$4,N(U6786),IF(OR(NOT(COUNTIF('商品マスタ'!$B$6:$B$1005,$W6787)=0),COUNTIFS('①在庫を貼る'!$V$6:$V$10005,$V6787,'①在庫を貼る'!$W$6:$W$10005,$W6787)&gt;0),N(U6786),N(U6786)+1))</f>
        <v/>
      </c>
      <c r="V6787" s="19">
        <f>IF($B6787="","",TEXT($B6787,"0000"))</f>
        <v/>
      </c>
      <c r="W6787" s="19">
        <f>IF($I6787="","",IF(ISNUMBER($I6787),TEXT($I6787,"0"),$I6787))</f>
        <v/>
      </c>
    </row>
    <row r="6788">
      <c r="B6788" s="25" t="n"/>
      <c r="I6788" s="25" t="n"/>
      <c r="U6788" s="19">
        <f>IF($V6788&lt;&gt;'設定'!$C$4,N(U6787),IF(OR(NOT(COUNTIF('商品マスタ'!$B$6:$B$1005,$W6788)=0),COUNTIFS('①在庫を貼る'!$V$6:$V$10005,$V6788,'①在庫を貼る'!$W$6:$W$10005,$W6788)&gt;0),N(U6787),N(U6787)+1))</f>
        <v/>
      </c>
      <c r="V6788" s="19">
        <f>IF($B6788="","",TEXT($B6788,"0000"))</f>
        <v/>
      </c>
      <c r="W6788" s="19">
        <f>IF($I6788="","",IF(ISNUMBER($I6788),TEXT($I6788,"0"),$I6788))</f>
        <v/>
      </c>
    </row>
    <row r="6789">
      <c r="B6789" s="25" t="n"/>
      <c r="I6789" s="25" t="n"/>
      <c r="U6789" s="19">
        <f>IF($V6789&lt;&gt;'設定'!$C$4,N(U6788),IF(OR(NOT(COUNTIF('商品マスタ'!$B$6:$B$1005,$W6789)=0),COUNTIFS('①在庫を貼る'!$V$6:$V$10005,$V6789,'①在庫を貼る'!$W$6:$W$10005,$W6789)&gt;0),N(U6788),N(U6788)+1))</f>
        <v/>
      </c>
      <c r="V6789" s="19">
        <f>IF($B6789="","",TEXT($B6789,"0000"))</f>
        <v/>
      </c>
      <c r="W6789" s="19">
        <f>IF($I6789="","",IF(ISNUMBER($I6789),TEXT($I6789,"0"),$I6789))</f>
        <v/>
      </c>
    </row>
    <row r="6790">
      <c r="B6790" s="25" t="n"/>
      <c r="I6790" s="25" t="n"/>
      <c r="U6790" s="19">
        <f>IF($V6790&lt;&gt;'設定'!$C$4,N(U6789),IF(OR(NOT(COUNTIF('商品マスタ'!$B$6:$B$1005,$W6790)=0),COUNTIFS('①在庫を貼る'!$V$6:$V$10005,$V6790,'①在庫を貼る'!$W$6:$W$10005,$W6790)&gt;0),N(U6789),N(U6789)+1))</f>
        <v/>
      </c>
      <c r="V6790" s="19">
        <f>IF($B6790="","",TEXT($B6790,"0000"))</f>
        <v/>
      </c>
      <c r="W6790" s="19">
        <f>IF($I6790="","",IF(ISNUMBER($I6790),TEXT($I6790,"0"),$I6790))</f>
        <v/>
      </c>
    </row>
    <row r="6791">
      <c r="B6791" s="25" t="n"/>
      <c r="I6791" s="25" t="n"/>
      <c r="U6791" s="19">
        <f>IF($V6791&lt;&gt;'設定'!$C$4,N(U6790),IF(OR(NOT(COUNTIF('商品マスタ'!$B$6:$B$1005,$W6791)=0),COUNTIFS('①在庫を貼る'!$V$6:$V$10005,$V6791,'①在庫を貼る'!$W$6:$W$10005,$W6791)&gt;0),N(U6790),N(U6790)+1))</f>
        <v/>
      </c>
      <c r="V6791" s="19">
        <f>IF($B6791="","",TEXT($B6791,"0000"))</f>
        <v/>
      </c>
      <c r="W6791" s="19">
        <f>IF($I6791="","",IF(ISNUMBER($I6791),TEXT($I6791,"0"),$I6791))</f>
        <v/>
      </c>
    </row>
    <row r="6792">
      <c r="B6792" s="25" t="n"/>
      <c r="I6792" s="25" t="n"/>
      <c r="U6792" s="19">
        <f>IF($V6792&lt;&gt;'設定'!$C$4,N(U6791),IF(OR(NOT(COUNTIF('商品マスタ'!$B$6:$B$1005,$W6792)=0),COUNTIFS('①在庫を貼る'!$V$6:$V$10005,$V6792,'①在庫を貼る'!$W$6:$W$10005,$W6792)&gt;0),N(U6791),N(U6791)+1))</f>
        <v/>
      </c>
      <c r="V6792" s="19">
        <f>IF($B6792="","",TEXT($B6792,"0000"))</f>
        <v/>
      </c>
      <c r="W6792" s="19">
        <f>IF($I6792="","",IF(ISNUMBER($I6792),TEXT($I6792,"0"),$I6792))</f>
        <v/>
      </c>
    </row>
    <row r="6793">
      <c r="B6793" s="25" t="n"/>
      <c r="I6793" s="25" t="n"/>
      <c r="U6793" s="19">
        <f>IF($V6793&lt;&gt;'設定'!$C$4,N(U6792),IF(OR(NOT(COUNTIF('商品マスタ'!$B$6:$B$1005,$W6793)=0),COUNTIFS('①在庫を貼る'!$V$6:$V$10005,$V6793,'①在庫を貼る'!$W$6:$W$10005,$W6793)&gt;0),N(U6792),N(U6792)+1))</f>
        <v/>
      </c>
      <c r="V6793" s="19">
        <f>IF($B6793="","",TEXT($B6793,"0000"))</f>
        <v/>
      </c>
      <c r="W6793" s="19">
        <f>IF($I6793="","",IF(ISNUMBER($I6793),TEXT($I6793,"0"),$I6793))</f>
        <v/>
      </c>
    </row>
    <row r="6794">
      <c r="B6794" s="25" t="n"/>
      <c r="I6794" s="25" t="n"/>
      <c r="U6794" s="19">
        <f>IF($V6794&lt;&gt;'設定'!$C$4,N(U6793),IF(OR(NOT(COUNTIF('商品マスタ'!$B$6:$B$1005,$W6794)=0),COUNTIFS('①在庫を貼る'!$V$6:$V$10005,$V6794,'①在庫を貼る'!$W$6:$W$10005,$W6794)&gt;0),N(U6793),N(U6793)+1))</f>
        <v/>
      </c>
      <c r="V6794" s="19">
        <f>IF($B6794="","",TEXT($B6794,"0000"))</f>
        <v/>
      </c>
      <c r="W6794" s="19">
        <f>IF($I6794="","",IF(ISNUMBER($I6794),TEXT($I6794,"0"),$I6794))</f>
        <v/>
      </c>
    </row>
    <row r="6795">
      <c r="B6795" s="25" t="n"/>
      <c r="I6795" s="25" t="n"/>
      <c r="U6795" s="19">
        <f>IF($V6795&lt;&gt;'設定'!$C$4,N(U6794),IF(OR(NOT(COUNTIF('商品マスタ'!$B$6:$B$1005,$W6795)=0),COUNTIFS('①在庫を貼る'!$V$6:$V$10005,$V6795,'①在庫を貼る'!$W$6:$W$10005,$W6795)&gt;0),N(U6794),N(U6794)+1))</f>
        <v/>
      </c>
      <c r="V6795" s="19">
        <f>IF($B6795="","",TEXT($B6795,"0000"))</f>
        <v/>
      </c>
      <c r="W6795" s="19">
        <f>IF($I6795="","",IF(ISNUMBER($I6795),TEXT($I6795,"0"),$I6795))</f>
        <v/>
      </c>
    </row>
    <row r="6796">
      <c r="B6796" s="25" t="n"/>
      <c r="I6796" s="25" t="n"/>
      <c r="U6796" s="19">
        <f>IF($V6796&lt;&gt;'設定'!$C$4,N(U6795),IF(OR(NOT(COUNTIF('商品マスタ'!$B$6:$B$1005,$W6796)=0),COUNTIFS('①在庫を貼る'!$V$6:$V$10005,$V6796,'①在庫を貼る'!$W$6:$W$10005,$W6796)&gt;0),N(U6795),N(U6795)+1))</f>
        <v/>
      </c>
      <c r="V6796" s="19">
        <f>IF($B6796="","",TEXT($B6796,"0000"))</f>
        <v/>
      </c>
      <c r="W6796" s="19">
        <f>IF($I6796="","",IF(ISNUMBER($I6796),TEXT($I6796,"0"),$I6796))</f>
        <v/>
      </c>
    </row>
    <row r="6797">
      <c r="B6797" s="25" t="n"/>
      <c r="I6797" s="25" t="n"/>
      <c r="U6797" s="19">
        <f>IF($V6797&lt;&gt;'設定'!$C$4,N(U6796),IF(OR(NOT(COUNTIF('商品マスタ'!$B$6:$B$1005,$W6797)=0),COUNTIFS('①在庫を貼る'!$V$6:$V$10005,$V6797,'①在庫を貼る'!$W$6:$W$10005,$W6797)&gt;0),N(U6796),N(U6796)+1))</f>
        <v/>
      </c>
      <c r="V6797" s="19">
        <f>IF($B6797="","",TEXT($B6797,"0000"))</f>
        <v/>
      </c>
      <c r="W6797" s="19">
        <f>IF($I6797="","",IF(ISNUMBER($I6797),TEXT($I6797,"0"),$I6797))</f>
        <v/>
      </c>
    </row>
    <row r="6798">
      <c r="B6798" s="25" t="n"/>
      <c r="I6798" s="25" t="n"/>
      <c r="U6798" s="19">
        <f>IF($V6798&lt;&gt;'設定'!$C$4,N(U6797),IF(OR(NOT(COUNTIF('商品マスタ'!$B$6:$B$1005,$W6798)=0),COUNTIFS('①在庫を貼る'!$V$6:$V$10005,$V6798,'①在庫を貼る'!$W$6:$W$10005,$W6798)&gt;0),N(U6797),N(U6797)+1))</f>
        <v/>
      </c>
      <c r="V6798" s="19">
        <f>IF($B6798="","",TEXT($B6798,"0000"))</f>
        <v/>
      </c>
      <c r="W6798" s="19">
        <f>IF($I6798="","",IF(ISNUMBER($I6798),TEXT($I6798,"0"),$I6798))</f>
        <v/>
      </c>
    </row>
    <row r="6799">
      <c r="B6799" s="25" t="n"/>
      <c r="I6799" s="25" t="n"/>
      <c r="U6799" s="19">
        <f>IF($V6799&lt;&gt;'設定'!$C$4,N(U6798),IF(OR(NOT(COUNTIF('商品マスタ'!$B$6:$B$1005,$W6799)=0),COUNTIFS('①在庫を貼る'!$V$6:$V$10005,$V6799,'①在庫を貼る'!$W$6:$W$10005,$W6799)&gt;0),N(U6798),N(U6798)+1))</f>
        <v/>
      </c>
      <c r="V6799" s="19">
        <f>IF($B6799="","",TEXT($B6799,"0000"))</f>
        <v/>
      </c>
      <c r="W6799" s="19">
        <f>IF($I6799="","",IF(ISNUMBER($I6799),TEXT($I6799,"0"),$I6799))</f>
        <v/>
      </c>
    </row>
    <row r="6800">
      <c r="B6800" s="25" t="n"/>
      <c r="I6800" s="25" t="n"/>
      <c r="U6800" s="19">
        <f>IF($V6800&lt;&gt;'設定'!$C$4,N(U6799),IF(OR(NOT(COUNTIF('商品マスタ'!$B$6:$B$1005,$W6800)=0),COUNTIFS('①在庫を貼る'!$V$6:$V$10005,$V6800,'①在庫を貼る'!$W$6:$W$10005,$W6800)&gt;0),N(U6799),N(U6799)+1))</f>
        <v/>
      </c>
      <c r="V6800" s="19">
        <f>IF($B6800="","",TEXT($B6800,"0000"))</f>
        <v/>
      </c>
      <c r="W6800" s="19">
        <f>IF($I6800="","",IF(ISNUMBER($I6800),TEXT($I6800,"0"),$I6800))</f>
        <v/>
      </c>
    </row>
    <row r="6801">
      <c r="B6801" s="25" t="n"/>
      <c r="I6801" s="25" t="n"/>
      <c r="U6801" s="19">
        <f>IF($V6801&lt;&gt;'設定'!$C$4,N(U6800),IF(OR(NOT(COUNTIF('商品マスタ'!$B$6:$B$1005,$W6801)=0),COUNTIFS('①在庫を貼る'!$V$6:$V$10005,$V6801,'①在庫を貼る'!$W$6:$W$10005,$W6801)&gt;0),N(U6800),N(U6800)+1))</f>
        <v/>
      </c>
      <c r="V6801" s="19">
        <f>IF($B6801="","",TEXT($B6801,"0000"))</f>
        <v/>
      </c>
      <c r="W6801" s="19">
        <f>IF($I6801="","",IF(ISNUMBER($I6801),TEXT($I6801,"0"),$I6801))</f>
        <v/>
      </c>
    </row>
    <row r="6802">
      <c r="B6802" s="25" t="n"/>
      <c r="I6802" s="25" t="n"/>
      <c r="U6802" s="19">
        <f>IF($V6802&lt;&gt;'設定'!$C$4,N(U6801),IF(OR(NOT(COUNTIF('商品マスタ'!$B$6:$B$1005,$W6802)=0),COUNTIFS('①在庫を貼る'!$V$6:$V$10005,$V6802,'①在庫を貼る'!$W$6:$W$10005,$W6802)&gt;0),N(U6801),N(U6801)+1))</f>
        <v/>
      </c>
      <c r="V6802" s="19">
        <f>IF($B6802="","",TEXT($B6802,"0000"))</f>
        <v/>
      </c>
      <c r="W6802" s="19">
        <f>IF($I6802="","",IF(ISNUMBER($I6802),TEXT($I6802,"0"),$I6802))</f>
        <v/>
      </c>
    </row>
    <row r="6803">
      <c r="B6803" s="25" t="n"/>
      <c r="I6803" s="25" t="n"/>
      <c r="U6803" s="19">
        <f>IF($V6803&lt;&gt;'設定'!$C$4,N(U6802),IF(OR(NOT(COUNTIF('商品マスタ'!$B$6:$B$1005,$W6803)=0),COUNTIFS('①在庫を貼る'!$V$6:$V$10005,$V6803,'①在庫を貼る'!$W$6:$W$10005,$W6803)&gt;0),N(U6802),N(U6802)+1))</f>
        <v/>
      </c>
      <c r="V6803" s="19">
        <f>IF($B6803="","",TEXT($B6803,"0000"))</f>
        <v/>
      </c>
      <c r="W6803" s="19">
        <f>IF($I6803="","",IF(ISNUMBER($I6803),TEXT($I6803,"0"),$I6803))</f>
        <v/>
      </c>
    </row>
    <row r="6804">
      <c r="B6804" s="25" t="n"/>
      <c r="I6804" s="25" t="n"/>
      <c r="U6804" s="19">
        <f>IF($V6804&lt;&gt;'設定'!$C$4,N(U6803),IF(OR(NOT(COUNTIF('商品マスタ'!$B$6:$B$1005,$W6804)=0),COUNTIFS('①在庫を貼る'!$V$6:$V$10005,$V6804,'①在庫を貼る'!$W$6:$W$10005,$W6804)&gt;0),N(U6803),N(U6803)+1))</f>
        <v/>
      </c>
      <c r="V6804" s="19">
        <f>IF($B6804="","",TEXT($B6804,"0000"))</f>
        <v/>
      </c>
      <c r="W6804" s="19">
        <f>IF($I6804="","",IF(ISNUMBER($I6804),TEXT($I6804,"0"),$I6804))</f>
        <v/>
      </c>
    </row>
    <row r="6805">
      <c r="B6805" s="25" t="n"/>
      <c r="I6805" s="25" t="n"/>
      <c r="U6805" s="19">
        <f>IF($V6805&lt;&gt;'設定'!$C$4,N(U6804),IF(OR(NOT(COUNTIF('商品マスタ'!$B$6:$B$1005,$W6805)=0),COUNTIFS('①在庫を貼る'!$V$6:$V$10005,$V6805,'①在庫を貼る'!$W$6:$W$10005,$W6805)&gt;0),N(U6804),N(U6804)+1))</f>
        <v/>
      </c>
      <c r="V6805" s="19">
        <f>IF($B6805="","",TEXT($B6805,"0000"))</f>
        <v/>
      </c>
      <c r="W6805" s="19">
        <f>IF($I6805="","",IF(ISNUMBER($I6805),TEXT($I6805,"0"),$I6805))</f>
        <v/>
      </c>
    </row>
    <row r="6806">
      <c r="B6806" s="25" t="n"/>
      <c r="I6806" s="25" t="n"/>
      <c r="U6806" s="19">
        <f>IF($V6806&lt;&gt;'設定'!$C$4,N(U6805),IF(OR(NOT(COUNTIF('商品マスタ'!$B$6:$B$1005,$W6806)=0),COUNTIFS('①在庫を貼る'!$V$6:$V$10005,$V6806,'①在庫を貼る'!$W$6:$W$10005,$W6806)&gt;0),N(U6805),N(U6805)+1))</f>
        <v/>
      </c>
      <c r="V6806" s="19">
        <f>IF($B6806="","",TEXT($B6806,"0000"))</f>
        <v/>
      </c>
      <c r="W6806" s="19">
        <f>IF($I6806="","",IF(ISNUMBER($I6806),TEXT($I6806,"0"),$I6806))</f>
        <v/>
      </c>
    </row>
    <row r="6807">
      <c r="B6807" s="25" t="n"/>
      <c r="I6807" s="25" t="n"/>
      <c r="U6807" s="19">
        <f>IF($V6807&lt;&gt;'設定'!$C$4,N(U6806),IF(OR(NOT(COUNTIF('商品マスタ'!$B$6:$B$1005,$W6807)=0),COUNTIFS('①在庫を貼る'!$V$6:$V$10005,$V6807,'①在庫を貼る'!$W$6:$W$10005,$W6807)&gt;0),N(U6806),N(U6806)+1))</f>
        <v/>
      </c>
      <c r="V6807" s="19">
        <f>IF($B6807="","",TEXT($B6807,"0000"))</f>
        <v/>
      </c>
      <c r="W6807" s="19">
        <f>IF($I6807="","",IF(ISNUMBER($I6807),TEXT($I6807,"0"),$I6807))</f>
        <v/>
      </c>
    </row>
    <row r="6808">
      <c r="B6808" s="25" t="n"/>
      <c r="I6808" s="25" t="n"/>
      <c r="U6808" s="19">
        <f>IF($V6808&lt;&gt;'設定'!$C$4,N(U6807),IF(OR(NOT(COUNTIF('商品マスタ'!$B$6:$B$1005,$W6808)=0),COUNTIFS('①在庫を貼る'!$V$6:$V$10005,$V6808,'①在庫を貼る'!$W$6:$W$10005,$W6808)&gt;0),N(U6807),N(U6807)+1))</f>
        <v/>
      </c>
      <c r="V6808" s="19">
        <f>IF($B6808="","",TEXT($B6808,"0000"))</f>
        <v/>
      </c>
      <c r="W6808" s="19">
        <f>IF($I6808="","",IF(ISNUMBER($I6808),TEXT($I6808,"0"),$I6808))</f>
        <v/>
      </c>
    </row>
    <row r="6809">
      <c r="B6809" s="25" t="n"/>
      <c r="I6809" s="25" t="n"/>
      <c r="U6809" s="19">
        <f>IF($V6809&lt;&gt;'設定'!$C$4,N(U6808),IF(OR(NOT(COUNTIF('商品マスタ'!$B$6:$B$1005,$W6809)=0),COUNTIFS('①在庫を貼る'!$V$6:$V$10005,$V6809,'①在庫を貼る'!$W$6:$W$10005,$W6809)&gt;0),N(U6808),N(U6808)+1))</f>
        <v/>
      </c>
      <c r="V6809" s="19">
        <f>IF($B6809="","",TEXT($B6809,"0000"))</f>
        <v/>
      </c>
      <c r="W6809" s="19">
        <f>IF($I6809="","",IF(ISNUMBER($I6809),TEXT($I6809,"0"),$I6809))</f>
        <v/>
      </c>
    </row>
    <row r="6810">
      <c r="B6810" s="25" t="n"/>
      <c r="I6810" s="25" t="n"/>
      <c r="U6810" s="19">
        <f>IF($V6810&lt;&gt;'設定'!$C$4,N(U6809),IF(OR(NOT(COUNTIF('商品マスタ'!$B$6:$B$1005,$W6810)=0),COUNTIFS('①在庫を貼る'!$V$6:$V$10005,$V6810,'①在庫を貼る'!$W$6:$W$10005,$W6810)&gt;0),N(U6809),N(U6809)+1))</f>
        <v/>
      </c>
      <c r="V6810" s="19">
        <f>IF($B6810="","",TEXT($B6810,"0000"))</f>
        <v/>
      </c>
      <c r="W6810" s="19">
        <f>IF($I6810="","",IF(ISNUMBER($I6810),TEXT($I6810,"0"),$I6810))</f>
        <v/>
      </c>
    </row>
    <row r="6811">
      <c r="B6811" s="25" t="n"/>
      <c r="I6811" s="25" t="n"/>
      <c r="U6811" s="19">
        <f>IF($V6811&lt;&gt;'設定'!$C$4,N(U6810),IF(OR(NOT(COUNTIF('商品マスタ'!$B$6:$B$1005,$W6811)=0),COUNTIFS('①在庫を貼る'!$V$6:$V$10005,$V6811,'①在庫を貼る'!$W$6:$W$10005,$W6811)&gt;0),N(U6810),N(U6810)+1))</f>
        <v/>
      </c>
      <c r="V6811" s="19">
        <f>IF($B6811="","",TEXT($B6811,"0000"))</f>
        <v/>
      </c>
      <c r="W6811" s="19">
        <f>IF($I6811="","",IF(ISNUMBER($I6811),TEXT($I6811,"0"),$I6811))</f>
        <v/>
      </c>
    </row>
    <row r="6812">
      <c r="B6812" s="25" t="n"/>
      <c r="I6812" s="25" t="n"/>
      <c r="U6812" s="19">
        <f>IF($V6812&lt;&gt;'設定'!$C$4,N(U6811),IF(OR(NOT(COUNTIF('商品マスタ'!$B$6:$B$1005,$W6812)=0),COUNTIFS('①在庫を貼る'!$V$6:$V$10005,$V6812,'①在庫を貼る'!$W$6:$W$10005,$W6812)&gt;0),N(U6811),N(U6811)+1))</f>
        <v/>
      </c>
      <c r="V6812" s="19">
        <f>IF($B6812="","",TEXT($B6812,"0000"))</f>
        <v/>
      </c>
      <c r="W6812" s="19">
        <f>IF($I6812="","",IF(ISNUMBER($I6812),TEXT($I6812,"0"),$I6812))</f>
        <v/>
      </c>
    </row>
    <row r="6813">
      <c r="B6813" s="25" t="n"/>
      <c r="I6813" s="25" t="n"/>
      <c r="U6813" s="19">
        <f>IF($V6813&lt;&gt;'設定'!$C$4,N(U6812),IF(OR(NOT(COUNTIF('商品マスタ'!$B$6:$B$1005,$W6813)=0),COUNTIFS('①在庫を貼る'!$V$6:$V$10005,$V6813,'①在庫を貼る'!$W$6:$W$10005,$W6813)&gt;0),N(U6812),N(U6812)+1))</f>
        <v/>
      </c>
      <c r="V6813" s="19">
        <f>IF($B6813="","",TEXT($B6813,"0000"))</f>
        <v/>
      </c>
      <c r="W6813" s="19">
        <f>IF($I6813="","",IF(ISNUMBER($I6813),TEXT($I6813,"0"),$I6813))</f>
        <v/>
      </c>
    </row>
    <row r="6814">
      <c r="B6814" s="25" t="n"/>
      <c r="I6814" s="25" t="n"/>
      <c r="U6814" s="19">
        <f>IF($V6814&lt;&gt;'設定'!$C$4,N(U6813),IF(OR(NOT(COUNTIF('商品マスタ'!$B$6:$B$1005,$W6814)=0),COUNTIFS('①在庫を貼る'!$V$6:$V$10005,$V6814,'①在庫を貼る'!$W$6:$W$10005,$W6814)&gt;0),N(U6813),N(U6813)+1))</f>
        <v/>
      </c>
      <c r="V6814" s="19">
        <f>IF($B6814="","",TEXT($B6814,"0000"))</f>
        <v/>
      </c>
      <c r="W6814" s="19">
        <f>IF($I6814="","",IF(ISNUMBER($I6814),TEXT($I6814,"0"),$I6814))</f>
        <v/>
      </c>
    </row>
    <row r="6815">
      <c r="B6815" s="25" t="n"/>
      <c r="I6815" s="25" t="n"/>
      <c r="U6815" s="19">
        <f>IF($V6815&lt;&gt;'設定'!$C$4,N(U6814),IF(OR(NOT(COUNTIF('商品マスタ'!$B$6:$B$1005,$W6815)=0),COUNTIFS('①在庫を貼る'!$V$6:$V$10005,$V6815,'①在庫を貼る'!$W$6:$W$10005,$W6815)&gt;0),N(U6814),N(U6814)+1))</f>
        <v/>
      </c>
      <c r="V6815" s="19">
        <f>IF($B6815="","",TEXT($B6815,"0000"))</f>
        <v/>
      </c>
      <c r="W6815" s="19">
        <f>IF($I6815="","",IF(ISNUMBER($I6815),TEXT($I6815,"0"),$I6815))</f>
        <v/>
      </c>
    </row>
    <row r="6816">
      <c r="B6816" s="25" t="n"/>
      <c r="I6816" s="25" t="n"/>
      <c r="U6816" s="19">
        <f>IF($V6816&lt;&gt;'設定'!$C$4,N(U6815),IF(OR(NOT(COUNTIF('商品マスタ'!$B$6:$B$1005,$W6816)=0),COUNTIFS('①在庫を貼る'!$V$6:$V$10005,$V6816,'①在庫を貼る'!$W$6:$W$10005,$W6816)&gt;0),N(U6815),N(U6815)+1))</f>
        <v/>
      </c>
      <c r="V6816" s="19">
        <f>IF($B6816="","",TEXT($B6816,"0000"))</f>
        <v/>
      </c>
      <c r="W6816" s="19">
        <f>IF($I6816="","",IF(ISNUMBER($I6816),TEXT($I6816,"0"),$I6816))</f>
        <v/>
      </c>
    </row>
    <row r="6817">
      <c r="B6817" s="25" t="n"/>
      <c r="I6817" s="25" t="n"/>
      <c r="U6817" s="19">
        <f>IF($V6817&lt;&gt;'設定'!$C$4,N(U6816),IF(OR(NOT(COUNTIF('商品マスタ'!$B$6:$B$1005,$W6817)=0),COUNTIFS('①在庫を貼る'!$V$6:$V$10005,$V6817,'①在庫を貼る'!$W$6:$W$10005,$W6817)&gt;0),N(U6816),N(U6816)+1))</f>
        <v/>
      </c>
      <c r="V6817" s="19">
        <f>IF($B6817="","",TEXT($B6817,"0000"))</f>
        <v/>
      </c>
      <c r="W6817" s="19">
        <f>IF($I6817="","",IF(ISNUMBER($I6817),TEXT($I6817,"0"),$I6817))</f>
        <v/>
      </c>
    </row>
    <row r="6818">
      <c r="B6818" s="25" t="n"/>
      <c r="I6818" s="25" t="n"/>
      <c r="U6818" s="19">
        <f>IF($V6818&lt;&gt;'設定'!$C$4,N(U6817),IF(OR(NOT(COUNTIF('商品マスタ'!$B$6:$B$1005,$W6818)=0),COUNTIFS('①在庫を貼る'!$V$6:$V$10005,$V6818,'①在庫を貼る'!$W$6:$W$10005,$W6818)&gt;0),N(U6817),N(U6817)+1))</f>
        <v/>
      </c>
      <c r="V6818" s="19">
        <f>IF($B6818="","",TEXT($B6818,"0000"))</f>
        <v/>
      </c>
      <c r="W6818" s="19">
        <f>IF($I6818="","",IF(ISNUMBER($I6818),TEXT($I6818,"0"),$I6818))</f>
        <v/>
      </c>
    </row>
    <row r="6819">
      <c r="B6819" s="25" t="n"/>
      <c r="I6819" s="25" t="n"/>
      <c r="U6819" s="19">
        <f>IF($V6819&lt;&gt;'設定'!$C$4,N(U6818),IF(OR(NOT(COUNTIF('商品マスタ'!$B$6:$B$1005,$W6819)=0),COUNTIFS('①在庫を貼る'!$V$6:$V$10005,$V6819,'①在庫を貼る'!$W$6:$W$10005,$W6819)&gt;0),N(U6818),N(U6818)+1))</f>
        <v/>
      </c>
      <c r="V6819" s="19">
        <f>IF($B6819="","",TEXT($B6819,"0000"))</f>
        <v/>
      </c>
      <c r="W6819" s="19">
        <f>IF($I6819="","",IF(ISNUMBER($I6819),TEXT($I6819,"0"),$I6819))</f>
        <v/>
      </c>
    </row>
    <row r="6820">
      <c r="B6820" s="25" t="n"/>
      <c r="I6820" s="25" t="n"/>
      <c r="U6820" s="19">
        <f>IF($V6820&lt;&gt;'設定'!$C$4,N(U6819),IF(OR(NOT(COUNTIF('商品マスタ'!$B$6:$B$1005,$W6820)=0),COUNTIFS('①在庫を貼る'!$V$6:$V$10005,$V6820,'①在庫を貼る'!$W$6:$W$10005,$W6820)&gt;0),N(U6819),N(U6819)+1))</f>
        <v/>
      </c>
      <c r="V6820" s="19">
        <f>IF($B6820="","",TEXT($B6820,"0000"))</f>
        <v/>
      </c>
      <c r="W6820" s="19">
        <f>IF($I6820="","",IF(ISNUMBER($I6820),TEXT($I6820,"0"),$I6820))</f>
        <v/>
      </c>
    </row>
    <row r="6821">
      <c r="B6821" s="25" t="n"/>
      <c r="I6821" s="25" t="n"/>
      <c r="U6821" s="19">
        <f>IF($V6821&lt;&gt;'設定'!$C$4,N(U6820),IF(OR(NOT(COUNTIF('商品マスタ'!$B$6:$B$1005,$W6821)=0),COUNTIFS('①在庫を貼る'!$V$6:$V$10005,$V6821,'①在庫を貼る'!$W$6:$W$10005,$W6821)&gt;0),N(U6820),N(U6820)+1))</f>
        <v/>
      </c>
      <c r="V6821" s="19">
        <f>IF($B6821="","",TEXT($B6821,"0000"))</f>
        <v/>
      </c>
      <c r="W6821" s="19">
        <f>IF($I6821="","",IF(ISNUMBER($I6821),TEXT($I6821,"0"),$I6821))</f>
        <v/>
      </c>
    </row>
    <row r="6822">
      <c r="B6822" s="25" t="n"/>
      <c r="I6822" s="25" t="n"/>
      <c r="U6822" s="19">
        <f>IF($V6822&lt;&gt;'設定'!$C$4,N(U6821),IF(OR(NOT(COUNTIF('商品マスタ'!$B$6:$B$1005,$W6822)=0),COUNTIFS('①在庫を貼る'!$V$6:$V$10005,$V6822,'①在庫を貼る'!$W$6:$W$10005,$W6822)&gt;0),N(U6821),N(U6821)+1))</f>
        <v/>
      </c>
      <c r="V6822" s="19">
        <f>IF($B6822="","",TEXT($B6822,"0000"))</f>
        <v/>
      </c>
      <c r="W6822" s="19">
        <f>IF($I6822="","",IF(ISNUMBER($I6822),TEXT($I6822,"0"),$I6822))</f>
        <v/>
      </c>
    </row>
    <row r="6823">
      <c r="B6823" s="25" t="n"/>
      <c r="I6823" s="25" t="n"/>
      <c r="U6823" s="19">
        <f>IF($V6823&lt;&gt;'設定'!$C$4,N(U6822),IF(OR(NOT(COUNTIF('商品マスタ'!$B$6:$B$1005,$W6823)=0),COUNTIFS('①在庫を貼る'!$V$6:$V$10005,$V6823,'①在庫を貼る'!$W$6:$W$10005,$W6823)&gt;0),N(U6822),N(U6822)+1))</f>
        <v/>
      </c>
      <c r="V6823" s="19">
        <f>IF($B6823="","",TEXT($B6823,"0000"))</f>
        <v/>
      </c>
      <c r="W6823" s="19">
        <f>IF($I6823="","",IF(ISNUMBER($I6823),TEXT($I6823,"0"),$I6823))</f>
        <v/>
      </c>
    </row>
    <row r="6824">
      <c r="B6824" s="25" t="n"/>
      <c r="I6824" s="25" t="n"/>
      <c r="U6824" s="19">
        <f>IF($V6824&lt;&gt;'設定'!$C$4,N(U6823),IF(OR(NOT(COUNTIF('商品マスタ'!$B$6:$B$1005,$W6824)=0),COUNTIFS('①在庫を貼る'!$V$6:$V$10005,$V6824,'①在庫を貼る'!$W$6:$W$10005,$W6824)&gt;0),N(U6823),N(U6823)+1))</f>
        <v/>
      </c>
      <c r="V6824" s="19">
        <f>IF($B6824="","",TEXT($B6824,"0000"))</f>
        <v/>
      </c>
      <c r="W6824" s="19">
        <f>IF($I6824="","",IF(ISNUMBER($I6824),TEXT($I6824,"0"),$I6824))</f>
        <v/>
      </c>
    </row>
    <row r="6825">
      <c r="B6825" s="25" t="n"/>
      <c r="I6825" s="25" t="n"/>
      <c r="U6825" s="19">
        <f>IF($V6825&lt;&gt;'設定'!$C$4,N(U6824),IF(OR(NOT(COUNTIF('商品マスタ'!$B$6:$B$1005,$W6825)=0),COUNTIFS('①在庫を貼る'!$V$6:$V$10005,$V6825,'①在庫を貼る'!$W$6:$W$10005,$W6825)&gt;0),N(U6824),N(U6824)+1))</f>
        <v/>
      </c>
      <c r="V6825" s="19">
        <f>IF($B6825="","",TEXT($B6825,"0000"))</f>
        <v/>
      </c>
      <c r="W6825" s="19">
        <f>IF($I6825="","",IF(ISNUMBER($I6825),TEXT($I6825,"0"),$I6825))</f>
        <v/>
      </c>
    </row>
    <row r="6826">
      <c r="B6826" s="25" t="n"/>
      <c r="I6826" s="25" t="n"/>
      <c r="U6826" s="19">
        <f>IF($V6826&lt;&gt;'設定'!$C$4,N(U6825),IF(OR(NOT(COUNTIF('商品マスタ'!$B$6:$B$1005,$W6826)=0),COUNTIFS('①在庫を貼る'!$V$6:$V$10005,$V6826,'①在庫を貼る'!$W$6:$W$10005,$W6826)&gt;0),N(U6825),N(U6825)+1))</f>
        <v/>
      </c>
      <c r="V6826" s="19">
        <f>IF($B6826="","",TEXT($B6826,"0000"))</f>
        <v/>
      </c>
      <c r="W6826" s="19">
        <f>IF($I6826="","",IF(ISNUMBER($I6826),TEXT($I6826,"0"),$I6826))</f>
        <v/>
      </c>
    </row>
    <row r="6827">
      <c r="B6827" s="25" t="n"/>
      <c r="I6827" s="25" t="n"/>
      <c r="U6827" s="19">
        <f>IF($V6827&lt;&gt;'設定'!$C$4,N(U6826),IF(OR(NOT(COUNTIF('商品マスタ'!$B$6:$B$1005,$W6827)=0),COUNTIFS('①在庫を貼る'!$V$6:$V$10005,$V6827,'①在庫を貼る'!$W$6:$W$10005,$W6827)&gt;0),N(U6826),N(U6826)+1))</f>
        <v/>
      </c>
      <c r="V6827" s="19">
        <f>IF($B6827="","",TEXT($B6827,"0000"))</f>
        <v/>
      </c>
      <c r="W6827" s="19">
        <f>IF($I6827="","",IF(ISNUMBER($I6827),TEXT($I6827,"0"),$I6827))</f>
        <v/>
      </c>
    </row>
    <row r="6828">
      <c r="B6828" s="25" t="n"/>
      <c r="I6828" s="25" t="n"/>
      <c r="U6828" s="19">
        <f>IF($V6828&lt;&gt;'設定'!$C$4,N(U6827),IF(OR(NOT(COUNTIF('商品マスタ'!$B$6:$B$1005,$W6828)=0),COUNTIFS('①在庫を貼る'!$V$6:$V$10005,$V6828,'①在庫を貼る'!$W$6:$W$10005,$W6828)&gt;0),N(U6827),N(U6827)+1))</f>
        <v/>
      </c>
      <c r="V6828" s="19">
        <f>IF($B6828="","",TEXT($B6828,"0000"))</f>
        <v/>
      </c>
      <c r="W6828" s="19">
        <f>IF($I6828="","",IF(ISNUMBER($I6828),TEXT($I6828,"0"),$I6828))</f>
        <v/>
      </c>
    </row>
    <row r="6829">
      <c r="B6829" s="25" t="n"/>
      <c r="I6829" s="25" t="n"/>
      <c r="U6829" s="19">
        <f>IF($V6829&lt;&gt;'設定'!$C$4,N(U6828),IF(OR(NOT(COUNTIF('商品マスタ'!$B$6:$B$1005,$W6829)=0),COUNTIFS('①在庫を貼る'!$V$6:$V$10005,$V6829,'①在庫を貼る'!$W$6:$W$10005,$W6829)&gt;0),N(U6828),N(U6828)+1))</f>
        <v/>
      </c>
      <c r="V6829" s="19">
        <f>IF($B6829="","",TEXT($B6829,"0000"))</f>
        <v/>
      </c>
      <c r="W6829" s="19">
        <f>IF($I6829="","",IF(ISNUMBER($I6829),TEXT($I6829,"0"),$I6829))</f>
        <v/>
      </c>
    </row>
    <row r="6830">
      <c r="B6830" s="25" t="n"/>
      <c r="I6830" s="25" t="n"/>
      <c r="U6830" s="19">
        <f>IF($V6830&lt;&gt;'設定'!$C$4,N(U6829),IF(OR(NOT(COUNTIF('商品マスタ'!$B$6:$B$1005,$W6830)=0),COUNTIFS('①在庫を貼る'!$V$6:$V$10005,$V6830,'①在庫を貼る'!$W$6:$W$10005,$W6830)&gt;0),N(U6829),N(U6829)+1))</f>
        <v/>
      </c>
      <c r="V6830" s="19">
        <f>IF($B6830="","",TEXT($B6830,"0000"))</f>
        <v/>
      </c>
      <c r="W6830" s="19">
        <f>IF($I6830="","",IF(ISNUMBER($I6830),TEXT($I6830,"0"),$I6830))</f>
        <v/>
      </c>
    </row>
    <row r="6831">
      <c r="B6831" s="25" t="n"/>
      <c r="I6831" s="25" t="n"/>
      <c r="U6831" s="19">
        <f>IF($V6831&lt;&gt;'設定'!$C$4,N(U6830),IF(OR(NOT(COUNTIF('商品マスタ'!$B$6:$B$1005,$W6831)=0),COUNTIFS('①在庫を貼る'!$V$6:$V$10005,$V6831,'①在庫を貼る'!$W$6:$W$10005,$W6831)&gt;0),N(U6830),N(U6830)+1))</f>
        <v/>
      </c>
      <c r="V6831" s="19">
        <f>IF($B6831="","",TEXT($B6831,"0000"))</f>
        <v/>
      </c>
      <c r="W6831" s="19">
        <f>IF($I6831="","",IF(ISNUMBER($I6831),TEXT($I6831,"0"),$I6831))</f>
        <v/>
      </c>
    </row>
    <row r="6832">
      <c r="B6832" s="25" t="n"/>
      <c r="I6832" s="25" t="n"/>
      <c r="U6832" s="19">
        <f>IF($V6832&lt;&gt;'設定'!$C$4,N(U6831),IF(OR(NOT(COUNTIF('商品マスタ'!$B$6:$B$1005,$W6832)=0),COUNTIFS('①在庫を貼る'!$V$6:$V$10005,$V6832,'①在庫を貼る'!$W$6:$W$10005,$W6832)&gt;0),N(U6831),N(U6831)+1))</f>
        <v/>
      </c>
      <c r="V6832" s="19">
        <f>IF($B6832="","",TEXT($B6832,"0000"))</f>
        <v/>
      </c>
      <c r="W6832" s="19">
        <f>IF($I6832="","",IF(ISNUMBER($I6832),TEXT($I6832,"0"),$I6832))</f>
        <v/>
      </c>
    </row>
    <row r="6833">
      <c r="B6833" s="25" t="n"/>
      <c r="I6833" s="25" t="n"/>
      <c r="U6833" s="19">
        <f>IF($V6833&lt;&gt;'設定'!$C$4,N(U6832),IF(OR(NOT(COUNTIF('商品マスタ'!$B$6:$B$1005,$W6833)=0),COUNTIFS('①在庫を貼る'!$V$6:$V$10005,$V6833,'①在庫を貼る'!$W$6:$W$10005,$W6833)&gt;0),N(U6832),N(U6832)+1))</f>
        <v/>
      </c>
      <c r="V6833" s="19">
        <f>IF($B6833="","",TEXT($B6833,"0000"))</f>
        <v/>
      </c>
      <c r="W6833" s="19">
        <f>IF($I6833="","",IF(ISNUMBER($I6833),TEXT($I6833,"0"),$I6833))</f>
        <v/>
      </c>
    </row>
    <row r="6834">
      <c r="B6834" s="25" t="n"/>
      <c r="I6834" s="25" t="n"/>
      <c r="U6834" s="19">
        <f>IF($V6834&lt;&gt;'設定'!$C$4,N(U6833),IF(OR(NOT(COUNTIF('商品マスタ'!$B$6:$B$1005,$W6834)=0),COUNTIFS('①在庫を貼る'!$V$6:$V$10005,$V6834,'①在庫を貼る'!$W$6:$W$10005,$W6834)&gt;0),N(U6833),N(U6833)+1))</f>
        <v/>
      </c>
      <c r="V6834" s="19">
        <f>IF($B6834="","",TEXT($B6834,"0000"))</f>
        <v/>
      </c>
      <c r="W6834" s="19">
        <f>IF($I6834="","",IF(ISNUMBER($I6834),TEXT($I6834,"0"),$I6834))</f>
        <v/>
      </c>
    </row>
    <row r="6835">
      <c r="B6835" s="25" t="n"/>
      <c r="I6835" s="25" t="n"/>
      <c r="U6835" s="19">
        <f>IF($V6835&lt;&gt;'設定'!$C$4,N(U6834),IF(OR(NOT(COUNTIF('商品マスタ'!$B$6:$B$1005,$W6835)=0),COUNTIFS('①在庫を貼る'!$V$6:$V$10005,$V6835,'①在庫を貼る'!$W$6:$W$10005,$W6835)&gt;0),N(U6834),N(U6834)+1))</f>
        <v/>
      </c>
      <c r="V6835" s="19">
        <f>IF($B6835="","",TEXT($B6835,"0000"))</f>
        <v/>
      </c>
      <c r="W6835" s="19">
        <f>IF($I6835="","",IF(ISNUMBER($I6835),TEXT($I6835,"0"),$I6835))</f>
        <v/>
      </c>
    </row>
    <row r="6836">
      <c r="B6836" s="25" t="n"/>
      <c r="I6836" s="25" t="n"/>
      <c r="U6836" s="19">
        <f>IF($V6836&lt;&gt;'設定'!$C$4,N(U6835),IF(OR(NOT(COUNTIF('商品マスタ'!$B$6:$B$1005,$W6836)=0),COUNTIFS('①在庫を貼る'!$V$6:$V$10005,$V6836,'①在庫を貼る'!$W$6:$W$10005,$W6836)&gt;0),N(U6835),N(U6835)+1))</f>
        <v/>
      </c>
      <c r="V6836" s="19">
        <f>IF($B6836="","",TEXT($B6836,"0000"))</f>
        <v/>
      </c>
      <c r="W6836" s="19">
        <f>IF($I6836="","",IF(ISNUMBER($I6836),TEXT($I6836,"0"),$I6836))</f>
        <v/>
      </c>
    </row>
    <row r="6837">
      <c r="B6837" s="25" t="n"/>
      <c r="I6837" s="25" t="n"/>
      <c r="U6837" s="19">
        <f>IF($V6837&lt;&gt;'設定'!$C$4,N(U6836),IF(OR(NOT(COUNTIF('商品マスタ'!$B$6:$B$1005,$W6837)=0),COUNTIFS('①在庫を貼る'!$V$6:$V$10005,$V6837,'①在庫を貼る'!$W$6:$W$10005,$W6837)&gt;0),N(U6836),N(U6836)+1))</f>
        <v/>
      </c>
      <c r="V6837" s="19">
        <f>IF($B6837="","",TEXT($B6837,"0000"))</f>
        <v/>
      </c>
      <c r="W6837" s="19">
        <f>IF($I6837="","",IF(ISNUMBER($I6837),TEXT($I6837,"0"),$I6837))</f>
        <v/>
      </c>
    </row>
    <row r="6838">
      <c r="B6838" s="25" t="n"/>
      <c r="I6838" s="25" t="n"/>
      <c r="U6838" s="19">
        <f>IF($V6838&lt;&gt;'設定'!$C$4,N(U6837),IF(OR(NOT(COUNTIF('商品マスタ'!$B$6:$B$1005,$W6838)=0),COUNTIFS('①在庫を貼る'!$V$6:$V$10005,$V6838,'①在庫を貼る'!$W$6:$W$10005,$W6838)&gt;0),N(U6837),N(U6837)+1))</f>
        <v/>
      </c>
      <c r="V6838" s="19">
        <f>IF($B6838="","",TEXT($B6838,"0000"))</f>
        <v/>
      </c>
      <c r="W6838" s="19">
        <f>IF($I6838="","",IF(ISNUMBER($I6838),TEXT($I6838,"0"),$I6838))</f>
        <v/>
      </c>
    </row>
    <row r="6839">
      <c r="B6839" s="25" t="n"/>
      <c r="I6839" s="25" t="n"/>
      <c r="U6839" s="19">
        <f>IF($V6839&lt;&gt;'設定'!$C$4,N(U6838),IF(OR(NOT(COUNTIF('商品マスタ'!$B$6:$B$1005,$W6839)=0),COUNTIFS('①在庫を貼る'!$V$6:$V$10005,$V6839,'①在庫を貼る'!$W$6:$W$10005,$W6839)&gt;0),N(U6838),N(U6838)+1))</f>
        <v/>
      </c>
      <c r="V6839" s="19">
        <f>IF($B6839="","",TEXT($B6839,"0000"))</f>
        <v/>
      </c>
      <c r="W6839" s="19">
        <f>IF($I6839="","",IF(ISNUMBER($I6839),TEXT($I6839,"0"),$I6839))</f>
        <v/>
      </c>
    </row>
    <row r="6840">
      <c r="B6840" s="25" t="n"/>
      <c r="I6840" s="25" t="n"/>
      <c r="U6840" s="19">
        <f>IF($V6840&lt;&gt;'設定'!$C$4,N(U6839),IF(OR(NOT(COUNTIF('商品マスタ'!$B$6:$B$1005,$W6840)=0),COUNTIFS('①在庫を貼る'!$V$6:$V$10005,$V6840,'①在庫を貼る'!$W$6:$W$10005,$W6840)&gt;0),N(U6839),N(U6839)+1))</f>
        <v/>
      </c>
      <c r="V6840" s="19">
        <f>IF($B6840="","",TEXT($B6840,"0000"))</f>
        <v/>
      </c>
      <c r="W6840" s="19">
        <f>IF($I6840="","",IF(ISNUMBER($I6840),TEXT($I6840,"0"),$I6840))</f>
        <v/>
      </c>
    </row>
    <row r="6841">
      <c r="B6841" s="25" t="n"/>
      <c r="I6841" s="25" t="n"/>
      <c r="U6841" s="19">
        <f>IF($V6841&lt;&gt;'設定'!$C$4,N(U6840),IF(OR(NOT(COUNTIF('商品マスタ'!$B$6:$B$1005,$W6841)=0),COUNTIFS('①在庫を貼る'!$V$6:$V$10005,$V6841,'①在庫を貼る'!$W$6:$W$10005,$W6841)&gt;0),N(U6840),N(U6840)+1))</f>
        <v/>
      </c>
      <c r="V6841" s="19">
        <f>IF($B6841="","",TEXT($B6841,"0000"))</f>
        <v/>
      </c>
      <c r="W6841" s="19">
        <f>IF($I6841="","",IF(ISNUMBER($I6841),TEXT($I6841,"0"),$I6841))</f>
        <v/>
      </c>
    </row>
    <row r="6842">
      <c r="B6842" s="25" t="n"/>
      <c r="I6842" s="25" t="n"/>
      <c r="U6842" s="19">
        <f>IF($V6842&lt;&gt;'設定'!$C$4,N(U6841),IF(OR(NOT(COUNTIF('商品マスタ'!$B$6:$B$1005,$W6842)=0),COUNTIFS('①在庫を貼る'!$V$6:$V$10005,$V6842,'①在庫を貼る'!$W$6:$W$10005,$W6842)&gt;0),N(U6841),N(U6841)+1))</f>
        <v/>
      </c>
      <c r="V6842" s="19">
        <f>IF($B6842="","",TEXT($B6842,"0000"))</f>
        <v/>
      </c>
      <c r="W6842" s="19">
        <f>IF($I6842="","",IF(ISNUMBER($I6842),TEXT($I6842,"0"),$I6842))</f>
        <v/>
      </c>
    </row>
    <row r="6843">
      <c r="B6843" s="25" t="n"/>
      <c r="I6843" s="25" t="n"/>
      <c r="U6843" s="19">
        <f>IF($V6843&lt;&gt;'設定'!$C$4,N(U6842),IF(OR(NOT(COUNTIF('商品マスタ'!$B$6:$B$1005,$W6843)=0),COUNTIFS('①在庫を貼る'!$V$6:$V$10005,$V6843,'①在庫を貼る'!$W$6:$W$10005,$W6843)&gt;0),N(U6842),N(U6842)+1))</f>
        <v/>
      </c>
      <c r="V6843" s="19">
        <f>IF($B6843="","",TEXT($B6843,"0000"))</f>
        <v/>
      </c>
      <c r="W6843" s="19">
        <f>IF($I6843="","",IF(ISNUMBER($I6843),TEXT($I6843,"0"),$I6843))</f>
        <v/>
      </c>
    </row>
    <row r="6844">
      <c r="B6844" s="25" t="n"/>
      <c r="I6844" s="25" t="n"/>
      <c r="U6844" s="19">
        <f>IF($V6844&lt;&gt;'設定'!$C$4,N(U6843),IF(OR(NOT(COUNTIF('商品マスタ'!$B$6:$B$1005,$W6844)=0),COUNTIFS('①在庫を貼る'!$V$6:$V$10005,$V6844,'①在庫を貼る'!$W$6:$W$10005,$W6844)&gt;0),N(U6843),N(U6843)+1))</f>
        <v/>
      </c>
      <c r="V6844" s="19">
        <f>IF($B6844="","",TEXT($B6844,"0000"))</f>
        <v/>
      </c>
      <c r="W6844" s="19">
        <f>IF($I6844="","",IF(ISNUMBER($I6844),TEXT($I6844,"0"),$I6844))</f>
        <v/>
      </c>
    </row>
    <row r="6845">
      <c r="B6845" s="25" t="n"/>
      <c r="I6845" s="25" t="n"/>
      <c r="U6845" s="19">
        <f>IF($V6845&lt;&gt;'設定'!$C$4,N(U6844),IF(OR(NOT(COUNTIF('商品マスタ'!$B$6:$B$1005,$W6845)=0),COUNTIFS('①在庫を貼る'!$V$6:$V$10005,$V6845,'①在庫を貼る'!$W$6:$W$10005,$W6845)&gt;0),N(U6844),N(U6844)+1))</f>
        <v/>
      </c>
      <c r="V6845" s="19">
        <f>IF($B6845="","",TEXT($B6845,"0000"))</f>
        <v/>
      </c>
      <c r="W6845" s="19">
        <f>IF($I6845="","",IF(ISNUMBER($I6845),TEXT($I6845,"0"),$I6845))</f>
        <v/>
      </c>
    </row>
    <row r="6846">
      <c r="B6846" s="25" t="n"/>
      <c r="I6846" s="25" t="n"/>
      <c r="U6846" s="19">
        <f>IF($V6846&lt;&gt;'設定'!$C$4,N(U6845),IF(OR(NOT(COUNTIF('商品マスタ'!$B$6:$B$1005,$W6846)=0),COUNTIFS('①在庫を貼る'!$V$6:$V$10005,$V6846,'①在庫を貼る'!$W$6:$W$10005,$W6846)&gt;0),N(U6845),N(U6845)+1))</f>
        <v/>
      </c>
      <c r="V6846" s="19">
        <f>IF($B6846="","",TEXT($B6846,"0000"))</f>
        <v/>
      </c>
      <c r="W6846" s="19">
        <f>IF($I6846="","",IF(ISNUMBER($I6846),TEXT($I6846,"0"),$I6846))</f>
        <v/>
      </c>
    </row>
    <row r="6847">
      <c r="B6847" s="25" t="n"/>
      <c r="I6847" s="25" t="n"/>
      <c r="U6847" s="19">
        <f>IF($V6847&lt;&gt;'設定'!$C$4,N(U6846),IF(OR(NOT(COUNTIF('商品マスタ'!$B$6:$B$1005,$W6847)=0),COUNTIFS('①在庫を貼る'!$V$6:$V$10005,$V6847,'①在庫を貼る'!$W$6:$W$10005,$W6847)&gt;0),N(U6846),N(U6846)+1))</f>
        <v/>
      </c>
      <c r="V6847" s="19">
        <f>IF($B6847="","",TEXT($B6847,"0000"))</f>
        <v/>
      </c>
      <c r="W6847" s="19">
        <f>IF($I6847="","",IF(ISNUMBER($I6847),TEXT($I6847,"0"),$I6847))</f>
        <v/>
      </c>
    </row>
    <row r="6848">
      <c r="B6848" s="25" t="n"/>
      <c r="I6848" s="25" t="n"/>
      <c r="U6848" s="19">
        <f>IF($V6848&lt;&gt;'設定'!$C$4,N(U6847),IF(OR(NOT(COUNTIF('商品マスタ'!$B$6:$B$1005,$W6848)=0),COUNTIFS('①在庫を貼る'!$V$6:$V$10005,$V6848,'①在庫を貼る'!$W$6:$W$10005,$W6848)&gt;0),N(U6847),N(U6847)+1))</f>
        <v/>
      </c>
      <c r="V6848" s="19">
        <f>IF($B6848="","",TEXT($B6848,"0000"))</f>
        <v/>
      </c>
      <c r="W6848" s="19">
        <f>IF($I6848="","",IF(ISNUMBER($I6848),TEXT($I6848,"0"),$I6848))</f>
        <v/>
      </c>
    </row>
    <row r="6849">
      <c r="B6849" s="25" t="n"/>
      <c r="I6849" s="25" t="n"/>
      <c r="U6849" s="19">
        <f>IF($V6849&lt;&gt;'設定'!$C$4,N(U6848),IF(OR(NOT(COUNTIF('商品マスタ'!$B$6:$B$1005,$W6849)=0),COUNTIFS('①在庫を貼る'!$V$6:$V$10005,$V6849,'①在庫を貼る'!$W$6:$W$10005,$W6849)&gt;0),N(U6848),N(U6848)+1))</f>
        <v/>
      </c>
      <c r="V6849" s="19">
        <f>IF($B6849="","",TEXT($B6849,"0000"))</f>
        <v/>
      </c>
      <c r="W6849" s="19">
        <f>IF($I6849="","",IF(ISNUMBER($I6849),TEXT($I6849,"0"),$I6849))</f>
        <v/>
      </c>
    </row>
    <row r="6850">
      <c r="B6850" s="25" t="n"/>
      <c r="I6850" s="25" t="n"/>
      <c r="U6850" s="19">
        <f>IF($V6850&lt;&gt;'設定'!$C$4,N(U6849),IF(OR(NOT(COUNTIF('商品マスタ'!$B$6:$B$1005,$W6850)=0),COUNTIFS('①在庫を貼る'!$V$6:$V$10005,$V6850,'①在庫を貼る'!$W$6:$W$10005,$W6850)&gt;0),N(U6849),N(U6849)+1))</f>
        <v/>
      </c>
      <c r="V6850" s="19">
        <f>IF($B6850="","",TEXT($B6850,"0000"))</f>
        <v/>
      </c>
      <c r="W6850" s="19">
        <f>IF($I6850="","",IF(ISNUMBER($I6850),TEXT($I6850,"0"),$I6850))</f>
        <v/>
      </c>
    </row>
    <row r="6851">
      <c r="B6851" s="25" t="n"/>
      <c r="I6851" s="25" t="n"/>
      <c r="U6851" s="19">
        <f>IF($V6851&lt;&gt;'設定'!$C$4,N(U6850),IF(OR(NOT(COUNTIF('商品マスタ'!$B$6:$B$1005,$W6851)=0),COUNTIFS('①在庫を貼る'!$V$6:$V$10005,$V6851,'①在庫を貼る'!$W$6:$W$10005,$W6851)&gt;0),N(U6850),N(U6850)+1))</f>
        <v/>
      </c>
      <c r="V6851" s="19">
        <f>IF($B6851="","",TEXT($B6851,"0000"))</f>
        <v/>
      </c>
      <c r="W6851" s="19">
        <f>IF($I6851="","",IF(ISNUMBER($I6851),TEXT($I6851,"0"),$I6851))</f>
        <v/>
      </c>
    </row>
    <row r="6852">
      <c r="B6852" s="25" t="n"/>
      <c r="I6852" s="25" t="n"/>
      <c r="U6852" s="19">
        <f>IF($V6852&lt;&gt;'設定'!$C$4,N(U6851),IF(OR(NOT(COUNTIF('商品マスタ'!$B$6:$B$1005,$W6852)=0),COUNTIFS('①在庫を貼る'!$V$6:$V$10005,$V6852,'①在庫を貼る'!$W$6:$W$10005,$W6852)&gt;0),N(U6851),N(U6851)+1))</f>
        <v/>
      </c>
      <c r="V6852" s="19">
        <f>IF($B6852="","",TEXT($B6852,"0000"))</f>
        <v/>
      </c>
      <c r="W6852" s="19">
        <f>IF($I6852="","",IF(ISNUMBER($I6852),TEXT($I6852,"0"),$I6852))</f>
        <v/>
      </c>
    </row>
    <row r="6853">
      <c r="B6853" s="25" t="n"/>
      <c r="I6853" s="25" t="n"/>
      <c r="U6853" s="19">
        <f>IF($V6853&lt;&gt;'設定'!$C$4,N(U6852),IF(OR(NOT(COUNTIF('商品マスタ'!$B$6:$B$1005,$W6853)=0),COUNTIFS('①在庫を貼る'!$V$6:$V$10005,$V6853,'①在庫を貼る'!$W$6:$W$10005,$W6853)&gt;0),N(U6852),N(U6852)+1))</f>
        <v/>
      </c>
      <c r="V6853" s="19">
        <f>IF($B6853="","",TEXT($B6853,"0000"))</f>
        <v/>
      </c>
      <c r="W6853" s="19">
        <f>IF($I6853="","",IF(ISNUMBER($I6853),TEXT($I6853,"0"),$I6853))</f>
        <v/>
      </c>
    </row>
    <row r="6854">
      <c r="B6854" s="25" t="n"/>
      <c r="I6854" s="25" t="n"/>
      <c r="U6854" s="19">
        <f>IF($V6854&lt;&gt;'設定'!$C$4,N(U6853),IF(OR(NOT(COUNTIF('商品マスタ'!$B$6:$B$1005,$W6854)=0),COUNTIFS('①在庫を貼る'!$V$6:$V$10005,$V6854,'①在庫を貼る'!$W$6:$W$10005,$W6854)&gt;0),N(U6853),N(U6853)+1))</f>
        <v/>
      </c>
      <c r="V6854" s="19">
        <f>IF($B6854="","",TEXT($B6854,"0000"))</f>
        <v/>
      </c>
      <c r="W6854" s="19">
        <f>IF($I6854="","",IF(ISNUMBER($I6854),TEXT($I6854,"0"),$I6854))</f>
        <v/>
      </c>
    </row>
    <row r="6855">
      <c r="B6855" s="25" t="n"/>
      <c r="I6855" s="25" t="n"/>
      <c r="U6855" s="19">
        <f>IF($V6855&lt;&gt;'設定'!$C$4,N(U6854),IF(OR(NOT(COUNTIF('商品マスタ'!$B$6:$B$1005,$W6855)=0),COUNTIFS('①在庫を貼る'!$V$6:$V$10005,$V6855,'①在庫を貼る'!$W$6:$W$10005,$W6855)&gt;0),N(U6854),N(U6854)+1))</f>
        <v/>
      </c>
      <c r="V6855" s="19">
        <f>IF($B6855="","",TEXT($B6855,"0000"))</f>
        <v/>
      </c>
      <c r="W6855" s="19">
        <f>IF($I6855="","",IF(ISNUMBER($I6855),TEXT($I6855,"0"),$I6855))</f>
        <v/>
      </c>
    </row>
    <row r="6856">
      <c r="B6856" s="25" t="n"/>
      <c r="I6856" s="25" t="n"/>
      <c r="U6856" s="19">
        <f>IF($V6856&lt;&gt;'設定'!$C$4,N(U6855),IF(OR(NOT(COUNTIF('商品マスタ'!$B$6:$B$1005,$W6856)=0),COUNTIFS('①在庫を貼る'!$V$6:$V$10005,$V6856,'①在庫を貼る'!$W$6:$W$10005,$W6856)&gt;0),N(U6855),N(U6855)+1))</f>
        <v/>
      </c>
      <c r="V6856" s="19">
        <f>IF($B6856="","",TEXT($B6856,"0000"))</f>
        <v/>
      </c>
      <c r="W6856" s="19">
        <f>IF($I6856="","",IF(ISNUMBER($I6856),TEXT($I6856,"0"),$I6856))</f>
        <v/>
      </c>
    </row>
    <row r="6857">
      <c r="B6857" s="25" t="n"/>
      <c r="I6857" s="25" t="n"/>
      <c r="U6857" s="19">
        <f>IF($V6857&lt;&gt;'設定'!$C$4,N(U6856),IF(OR(NOT(COUNTIF('商品マスタ'!$B$6:$B$1005,$W6857)=0),COUNTIFS('①在庫を貼る'!$V$6:$V$10005,$V6857,'①在庫を貼る'!$W$6:$W$10005,$W6857)&gt;0),N(U6856),N(U6856)+1))</f>
        <v/>
      </c>
      <c r="V6857" s="19">
        <f>IF($B6857="","",TEXT($B6857,"0000"))</f>
        <v/>
      </c>
      <c r="W6857" s="19">
        <f>IF($I6857="","",IF(ISNUMBER($I6857),TEXT($I6857,"0"),$I6857))</f>
        <v/>
      </c>
    </row>
    <row r="6858">
      <c r="B6858" s="25" t="n"/>
      <c r="I6858" s="25" t="n"/>
      <c r="U6858" s="19">
        <f>IF($V6858&lt;&gt;'設定'!$C$4,N(U6857),IF(OR(NOT(COUNTIF('商品マスタ'!$B$6:$B$1005,$W6858)=0),COUNTIFS('①在庫を貼る'!$V$6:$V$10005,$V6858,'①在庫を貼る'!$W$6:$W$10005,$W6858)&gt;0),N(U6857),N(U6857)+1))</f>
        <v/>
      </c>
      <c r="V6858" s="19">
        <f>IF($B6858="","",TEXT($B6858,"0000"))</f>
        <v/>
      </c>
      <c r="W6858" s="19">
        <f>IF($I6858="","",IF(ISNUMBER($I6858),TEXT($I6858,"0"),$I6858))</f>
        <v/>
      </c>
    </row>
    <row r="6859">
      <c r="B6859" s="25" t="n"/>
      <c r="I6859" s="25" t="n"/>
      <c r="U6859" s="19">
        <f>IF($V6859&lt;&gt;'設定'!$C$4,N(U6858),IF(OR(NOT(COUNTIF('商品マスタ'!$B$6:$B$1005,$W6859)=0),COUNTIFS('①在庫を貼る'!$V$6:$V$10005,$V6859,'①在庫を貼る'!$W$6:$W$10005,$W6859)&gt;0),N(U6858),N(U6858)+1))</f>
        <v/>
      </c>
      <c r="V6859" s="19">
        <f>IF($B6859="","",TEXT($B6859,"0000"))</f>
        <v/>
      </c>
      <c r="W6859" s="19">
        <f>IF($I6859="","",IF(ISNUMBER($I6859),TEXT($I6859,"0"),$I6859))</f>
        <v/>
      </c>
    </row>
    <row r="6860">
      <c r="B6860" s="25" t="n"/>
      <c r="I6860" s="25" t="n"/>
      <c r="U6860" s="19">
        <f>IF($V6860&lt;&gt;'設定'!$C$4,N(U6859),IF(OR(NOT(COUNTIF('商品マスタ'!$B$6:$B$1005,$W6860)=0),COUNTIFS('①在庫を貼る'!$V$6:$V$10005,$V6860,'①在庫を貼る'!$W$6:$W$10005,$W6860)&gt;0),N(U6859),N(U6859)+1))</f>
        <v/>
      </c>
      <c r="V6860" s="19">
        <f>IF($B6860="","",TEXT($B6860,"0000"))</f>
        <v/>
      </c>
      <c r="W6860" s="19">
        <f>IF($I6860="","",IF(ISNUMBER($I6860),TEXT($I6860,"0"),$I6860))</f>
        <v/>
      </c>
    </row>
    <row r="6861">
      <c r="B6861" s="25" t="n"/>
      <c r="I6861" s="25" t="n"/>
      <c r="U6861" s="19">
        <f>IF($V6861&lt;&gt;'設定'!$C$4,N(U6860),IF(OR(NOT(COUNTIF('商品マスタ'!$B$6:$B$1005,$W6861)=0),COUNTIFS('①在庫を貼る'!$V$6:$V$10005,$V6861,'①在庫を貼る'!$W$6:$W$10005,$W6861)&gt;0),N(U6860),N(U6860)+1))</f>
        <v/>
      </c>
      <c r="V6861" s="19">
        <f>IF($B6861="","",TEXT($B6861,"0000"))</f>
        <v/>
      </c>
      <c r="W6861" s="19">
        <f>IF($I6861="","",IF(ISNUMBER($I6861),TEXT($I6861,"0"),$I6861))</f>
        <v/>
      </c>
    </row>
    <row r="6862">
      <c r="B6862" s="25" t="n"/>
      <c r="I6862" s="25" t="n"/>
      <c r="U6862" s="19">
        <f>IF($V6862&lt;&gt;'設定'!$C$4,N(U6861),IF(OR(NOT(COUNTIF('商品マスタ'!$B$6:$B$1005,$W6862)=0),COUNTIFS('①在庫を貼る'!$V$6:$V$10005,$V6862,'①在庫を貼る'!$W$6:$W$10005,$W6862)&gt;0),N(U6861),N(U6861)+1))</f>
        <v/>
      </c>
      <c r="V6862" s="19">
        <f>IF($B6862="","",TEXT($B6862,"0000"))</f>
        <v/>
      </c>
      <c r="W6862" s="19">
        <f>IF($I6862="","",IF(ISNUMBER($I6862),TEXT($I6862,"0"),$I6862))</f>
        <v/>
      </c>
    </row>
    <row r="6863">
      <c r="B6863" s="25" t="n"/>
      <c r="I6863" s="25" t="n"/>
      <c r="U6863" s="19">
        <f>IF($V6863&lt;&gt;'設定'!$C$4,N(U6862),IF(OR(NOT(COUNTIF('商品マスタ'!$B$6:$B$1005,$W6863)=0),COUNTIFS('①在庫を貼る'!$V$6:$V$10005,$V6863,'①在庫を貼る'!$W$6:$W$10005,$W6863)&gt;0),N(U6862),N(U6862)+1))</f>
        <v/>
      </c>
      <c r="V6863" s="19">
        <f>IF($B6863="","",TEXT($B6863,"0000"))</f>
        <v/>
      </c>
      <c r="W6863" s="19">
        <f>IF($I6863="","",IF(ISNUMBER($I6863),TEXT($I6863,"0"),$I6863))</f>
        <v/>
      </c>
    </row>
    <row r="6864">
      <c r="B6864" s="25" t="n"/>
      <c r="I6864" s="25" t="n"/>
      <c r="U6864" s="19">
        <f>IF($V6864&lt;&gt;'設定'!$C$4,N(U6863),IF(OR(NOT(COUNTIF('商品マスタ'!$B$6:$B$1005,$W6864)=0),COUNTIFS('①在庫を貼る'!$V$6:$V$10005,$V6864,'①在庫を貼る'!$W$6:$W$10005,$W6864)&gt;0),N(U6863),N(U6863)+1))</f>
        <v/>
      </c>
      <c r="V6864" s="19">
        <f>IF($B6864="","",TEXT($B6864,"0000"))</f>
        <v/>
      </c>
      <c r="W6864" s="19">
        <f>IF($I6864="","",IF(ISNUMBER($I6864),TEXT($I6864,"0"),$I6864))</f>
        <v/>
      </c>
    </row>
    <row r="6865">
      <c r="B6865" s="25" t="n"/>
      <c r="I6865" s="25" t="n"/>
      <c r="U6865" s="19">
        <f>IF($V6865&lt;&gt;'設定'!$C$4,N(U6864),IF(OR(NOT(COUNTIF('商品マスタ'!$B$6:$B$1005,$W6865)=0),COUNTIFS('①在庫を貼る'!$V$6:$V$10005,$V6865,'①在庫を貼る'!$W$6:$W$10005,$W6865)&gt;0),N(U6864),N(U6864)+1))</f>
        <v/>
      </c>
      <c r="V6865" s="19">
        <f>IF($B6865="","",TEXT($B6865,"0000"))</f>
        <v/>
      </c>
      <c r="W6865" s="19">
        <f>IF($I6865="","",IF(ISNUMBER($I6865),TEXT($I6865,"0"),$I6865))</f>
        <v/>
      </c>
    </row>
    <row r="6866">
      <c r="B6866" s="25" t="n"/>
      <c r="I6866" s="25" t="n"/>
      <c r="U6866" s="19">
        <f>IF($V6866&lt;&gt;'設定'!$C$4,N(U6865),IF(OR(NOT(COUNTIF('商品マスタ'!$B$6:$B$1005,$W6866)=0),COUNTIFS('①在庫を貼る'!$V$6:$V$10005,$V6866,'①在庫を貼る'!$W$6:$W$10005,$W6866)&gt;0),N(U6865),N(U6865)+1))</f>
        <v/>
      </c>
      <c r="V6866" s="19">
        <f>IF($B6866="","",TEXT($B6866,"0000"))</f>
        <v/>
      </c>
      <c r="W6866" s="19">
        <f>IF($I6866="","",IF(ISNUMBER($I6866),TEXT($I6866,"0"),$I6866))</f>
        <v/>
      </c>
    </row>
    <row r="6867">
      <c r="B6867" s="25" t="n"/>
      <c r="I6867" s="25" t="n"/>
      <c r="U6867" s="19">
        <f>IF($V6867&lt;&gt;'設定'!$C$4,N(U6866),IF(OR(NOT(COUNTIF('商品マスタ'!$B$6:$B$1005,$W6867)=0),COUNTIFS('①在庫を貼る'!$V$6:$V$10005,$V6867,'①在庫を貼る'!$W$6:$W$10005,$W6867)&gt;0),N(U6866),N(U6866)+1))</f>
        <v/>
      </c>
      <c r="V6867" s="19">
        <f>IF($B6867="","",TEXT($B6867,"0000"))</f>
        <v/>
      </c>
      <c r="W6867" s="19">
        <f>IF($I6867="","",IF(ISNUMBER($I6867),TEXT($I6867,"0"),$I6867))</f>
        <v/>
      </c>
    </row>
    <row r="6868">
      <c r="B6868" s="25" t="n"/>
      <c r="I6868" s="25" t="n"/>
      <c r="U6868" s="19">
        <f>IF($V6868&lt;&gt;'設定'!$C$4,N(U6867),IF(OR(NOT(COUNTIF('商品マスタ'!$B$6:$B$1005,$W6868)=0),COUNTIFS('①在庫を貼る'!$V$6:$V$10005,$V6868,'①在庫を貼る'!$W$6:$W$10005,$W6868)&gt;0),N(U6867),N(U6867)+1))</f>
        <v/>
      </c>
      <c r="V6868" s="19">
        <f>IF($B6868="","",TEXT($B6868,"0000"))</f>
        <v/>
      </c>
      <c r="W6868" s="19">
        <f>IF($I6868="","",IF(ISNUMBER($I6868),TEXT($I6868,"0"),$I6868))</f>
        <v/>
      </c>
    </row>
    <row r="6869">
      <c r="B6869" s="25" t="n"/>
      <c r="I6869" s="25" t="n"/>
      <c r="U6869" s="19">
        <f>IF($V6869&lt;&gt;'設定'!$C$4,N(U6868),IF(OR(NOT(COUNTIF('商品マスタ'!$B$6:$B$1005,$W6869)=0),COUNTIFS('①在庫を貼る'!$V$6:$V$10005,$V6869,'①在庫を貼る'!$W$6:$W$10005,$W6869)&gt;0),N(U6868),N(U6868)+1))</f>
        <v/>
      </c>
      <c r="V6869" s="19">
        <f>IF($B6869="","",TEXT($B6869,"0000"))</f>
        <v/>
      </c>
      <c r="W6869" s="19">
        <f>IF($I6869="","",IF(ISNUMBER($I6869),TEXT($I6869,"0"),$I6869))</f>
        <v/>
      </c>
    </row>
    <row r="6870">
      <c r="B6870" s="25" t="n"/>
      <c r="I6870" s="25" t="n"/>
      <c r="U6870" s="19">
        <f>IF($V6870&lt;&gt;'設定'!$C$4,N(U6869),IF(OR(NOT(COUNTIF('商品マスタ'!$B$6:$B$1005,$W6870)=0),COUNTIFS('①在庫を貼る'!$V$6:$V$10005,$V6870,'①在庫を貼る'!$W$6:$W$10005,$W6870)&gt;0),N(U6869),N(U6869)+1))</f>
        <v/>
      </c>
      <c r="V6870" s="19">
        <f>IF($B6870="","",TEXT($B6870,"0000"))</f>
        <v/>
      </c>
      <c r="W6870" s="19">
        <f>IF($I6870="","",IF(ISNUMBER($I6870),TEXT($I6870,"0"),$I6870))</f>
        <v/>
      </c>
    </row>
    <row r="6871">
      <c r="B6871" s="25" t="n"/>
      <c r="I6871" s="25" t="n"/>
      <c r="U6871" s="19">
        <f>IF($V6871&lt;&gt;'設定'!$C$4,N(U6870),IF(OR(NOT(COUNTIF('商品マスタ'!$B$6:$B$1005,$W6871)=0),COUNTIFS('①在庫を貼る'!$V$6:$V$10005,$V6871,'①在庫を貼る'!$W$6:$W$10005,$W6871)&gt;0),N(U6870),N(U6870)+1))</f>
        <v/>
      </c>
      <c r="V6871" s="19">
        <f>IF($B6871="","",TEXT($B6871,"0000"))</f>
        <v/>
      </c>
      <c r="W6871" s="19">
        <f>IF($I6871="","",IF(ISNUMBER($I6871),TEXT($I6871,"0"),$I6871))</f>
        <v/>
      </c>
    </row>
    <row r="6872">
      <c r="B6872" s="25" t="n"/>
      <c r="I6872" s="25" t="n"/>
      <c r="U6872" s="19">
        <f>IF($V6872&lt;&gt;'設定'!$C$4,N(U6871),IF(OR(NOT(COUNTIF('商品マスタ'!$B$6:$B$1005,$W6872)=0),COUNTIFS('①在庫を貼る'!$V$6:$V$10005,$V6872,'①在庫を貼る'!$W$6:$W$10005,$W6872)&gt;0),N(U6871),N(U6871)+1))</f>
        <v/>
      </c>
      <c r="V6872" s="19">
        <f>IF($B6872="","",TEXT($B6872,"0000"))</f>
        <v/>
      </c>
      <c r="W6872" s="19">
        <f>IF($I6872="","",IF(ISNUMBER($I6872),TEXT($I6872,"0"),$I6872))</f>
        <v/>
      </c>
    </row>
    <row r="6873">
      <c r="B6873" s="25" t="n"/>
      <c r="I6873" s="25" t="n"/>
      <c r="U6873" s="19">
        <f>IF($V6873&lt;&gt;'設定'!$C$4,N(U6872),IF(OR(NOT(COUNTIF('商品マスタ'!$B$6:$B$1005,$W6873)=0),COUNTIFS('①在庫を貼る'!$V$6:$V$10005,$V6873,'①在庫を貼る'!$W$6:$W$10005,$W6873)&gt;0),N(U6872),N(U6872)+1))</f>
        <v/>
      </c>
      <c r="V6873" s="19">
        <f>IF($B6873="","",TEXT($B6873,"0000"))</f>
        <v/>
      </c>
      <c r="W6873" s="19">
        <f>IF($I6873="","",IF(ISNUMBER($I6873),TEXT($I6873,"0"),$I6873))</f>
        <v/>
      </c>
    </row>
    <row r="6874">
      <c r="B6874" s="25" t="n"/>
      <c r="I6874" s="25" t="n"/>
      <c r="U6874" s="19">
        <f>IF($V6874&lt;&gt;'設定'!$C$4,N(U6873),IF(OR(NOT(COUNTIF('商品マスタ'!$B$6:$B$1005,$W6874)=0),COUNTIFS('①在庫を貼る'!$V$6:$V$10005,$V6874,'①在庫を貼る'!$W$6:$W$10005,$W6874)&gt;0),N(U6873),N(U6873)+1))</f>
        <v/>
      </c>
      <c r="V6874" s="19">
        <f>IF($B6874="","",TEXT($B6874,"0000"))</f>
        <v/>
      </c>
      <c r="W6874" s="19">
        <f>IF($I6874="","",IF(ISNUMBER($I6874),TEXT($I6874,"0"),$I6874))</f>
        <v/>
      </c>
    </row>
    <row r="6875">
      <c r="B6875" s="25" t="n"/>
      <c r="I6875" s="25" t="n"/>
      <c r="U6875" s="19">
        <f>IF($V6875&lt;&gt;'設定'!$C$4,N(U6874),IF(OR(NOT(COUNTIF('商品マスタ'!$B$6:$B$1005,$W6875)=0),COUNTIFS('①在庫を貼る'!$V$6:$V$10005,$V6875,'①在庫を貼る'!$W$6:$W$10005,$W6875)&gt;0),N(U6874),N(U6874)+1))</f>
        <v/>
      </c>
      <c r="V6875" s="19">
        <f>IF($B6875="","",TEXT($B6875,"0000"))</f>
        <v/>
      </c>
      <c r="W6875" s="19">
        <f>IF($I6875="","",IF(ISNUMBER($I6875),TEXT($I6875,"0"),$I6875))</f>
        <v/>
      </c>
    </row>
    <row r="6876">
      <c r="B6876" s="25" t="n"/>
      <c r="I6876" s="25" t="n"/>
      <c r="U6876" s="19">
        <f>IF($V6876&lt;&gt;'設定'!$C$4,N(U6875),IF(OR(NOT(COUNTIF('商品マスタ'!$B$6:$B$1005,$W6876)=0),COUNTIFS('①在庫を貼る'!$V$6:$V$10005,$V6876,'①在庫を貼る'!$W$6:$W$10005,$W6876)&gt;0),N(U6875),N(U6875)+1))</f>
        <v/>
      </c>
      <c r="V6876" s="19">
        <f>IF($B6876="","",TEXT($B6876,"0000"))</f>
        <v/>
      </c>
      <c r="W6876" s="19">
        <f>IF($I6876="","",IF(ISNUMBER($I6876),TEXT($I6876,"0"),$I6876))</f>
        <v/>
      </c>
    </row>
    <row r="6877">
      <c r="B6877" s="25" t="n"/>
      <c r="I6877" s="25" t="n"/>
      <c r="U6877" s="19">
        <f>IF($V6877&lt;&gt;'設定'!$C$4,N(U6876),IF(OR(NOT(COUNTIF('商品マスタ'!$B$6:$B$1005,$W6877)=0),COUNTIFS('①在庫を貼る'!$V$6:$V$10005,$V6877,'①在庫を貼る'!$W$6:$W$10005,$W6877)&gt;0),N(U6876),N(U6876)+1))</f>
        <v/>
      </c>
      <c r="V6877" s="19">
        <f>IF($B6877="","",TEXT($B6877,"0000"))</f>
        <v/>
      </c>
      <c r="W6877" s="19">
        <f>IF($I6877="","",IF(ISNUMBER($I6877),TEXT($I6877,"0"),$I6877))</f>
        <v/>
      </c>
    </row>
    <row r="6878">
      <c r="B6878" s="25" t="n"/>
      <c r="I6878" s="25" t="n"/>
      <c r="U6878" s="19">
        <f>IF($V6878&lt;&gt;'設定'!$C$4,N(U6877),IF(OR(NOT(COUNTIF('商品マスタ'!$B$6:$B$1005,$W6878)=0),COUNTIFS('①在庫を貼る'!$V$6:$V$10005,$V6878,'①在庫を貼る'!$W$6:$W$10005,$W6878)&gt;0),N(U6877),N(U6877)+1))</f>
        <v/>
      </c>
      <c r="V6878" s="19">
        <f>IF($B6878="","",TEXT($B6878,"0000"))</f>
        <v/>
      </c>
      <c r="W6878" s="19">
        <f>IF($I6878="","",IF(ISNUMBER($I6878),TEXT($I6878,"0"),$I6878))</f>
        <v/>
      </c>
    </row>
    <row r="6879">
      <c r="B6879" s="25" t="n"/>
      <c r="I6879" s="25" t="n"/>
      <c r="U6879" s="19">
        <f>IF($V6879&lt;&gt;'設定'!$C$4,N(U6878),IF(OR(NOT(COUNTIF('商品マスタ'!$B$6:$B$1005,$W6879)=0),COUNTIFS('①在庫を貼る'!$V$6:$V$10005,$V6879,'①在庫を貼る'!$W$6:$W$10005,$W6879)&gt;0),N(U6878),N(U6878)+1))</f>
        <v/>
      </c>
      <c r="V6879" s="19">
        <f>IF($B6879="","",TEXT($B6879,"0000"))</f>
        <v/>
      </c>
      <c r="W6879" s="19">
        <f>IF($I6879="","",IF(ISNUMBER($I6879),TEXT($I6879,"0"),$I6879))</f>
        <v/>
      </c>
    </row>
    <row r="6880">
      <c r="B6880" s="25" t="n"/>
      <c r="I6880" s="25" t="n"/>
      <c r="U6880" s="19">
        <f>IF($V6880&lt;&gt;'設定'!$C$4,N(U6879),IF(OR(NOT(COUNTIF('商品マスタ'!$B$6:$B$1005,$W6880)=0),COUNTIFS('①在庫を貼る'!$V$6:$V$10005,$V6880,'①在庫を貼る'!$W$6:$W$10005,$W6880)&gt;0),N(U6879),N(U6879)+1))</f>
        <v/>
      </c>
      <c r="V6880" s="19">
        <f>IF($B6880="","",TEXT($B6880,"0000"))</f>
        <v/>
      </c>
      <c r="W6880" s="19">
        <f>IF($I6880="","",IF(ISNUMBER($I6880),TEXT($I6880,"0"),$I6880))</f>
        <v/>
      </c>
    </row>
    <row r="6881">
      <c r="B6881" s="25" t="n"/>
      <c r="I6881" s="25" t="n"/>
      <c r="U6881" s="19">
        <f>IF($V6881&lt;&gt;'設定'!$C$4,N(U6880),IF(OR(NOT(COUNTIF('商品マスタ'!$B$6:$B$1005,$W6881)=0),COUNTIFS('①在庫を貼る'!$V$6:$V$10005,$V6881,'①在庫を貼る'!$W$6:$W$10005,$W6881)&gt;0),N(U6880),N(U6880)+1))</f>
        <v/>
      </c>
      <c r="V6881" s="19">
        <f>IF($B6881="","",TEXT($B6881,"0000"))</f>
        <v/>
      </c>
      <c r="W6881" s="19">
        <f>IF($I6881="","",IF(ISNUMBER($I6881),TEXT($I6881,"0"),$I6881))</f>
        <v/>
      </c>
    </row>
    <row r="6882">
      <c r="B6882" s="25" t="n"/>
      <c r="I6882" s="25" t="n"/>
      <c r="U6882" s="19">
        <f>IF($V6882&lt;&gt;'設定'!$C$4,N(U6881),IF(OR(NOT(COUNTIF('商品マスタ'!$B$6:$B$1005,$W6882)=0),COUNTIFS('①在庫を貼る'!$V$6:$V$10005,$V6882,'①在庫を貼る'!$W$6:$W$10005,$W6882)&gt;0),N(U6881),N(U6881)+1))</f>
        <v/>
      </c>
      <c r="V6882" s="19">
        <f>IF($B6882="","",TEXT($B6882,"0000"))</f>
        <v/>
      </c>
      <c r="W6882" s="19">
        <f>IF($I6882="","",IF(ISNUMBER($I6882),TEXT($I6882,"0"),$I6882))</f>
        <v/>
      </c>
    </row>
    <row r="6883">
      <c r="B6883" s="25" t="n"/>
      <c r="I6883" s="25" t="n"/>
      <c r="U6883" s="19">
        <f>IF($V6883&lt;&gt;'設定'!$C$4,N(U6882),IF(OR(NOT(COUNTIF('商品マスタ'!$B$6:$B$1005,$W6883)=0),COUNTIFS('①在庫を貼る'!$V$6:$V$10005,$V6883,'①在庫を貼る'!$W$6:$W$10005,$W6883)&gt;0),N(U6882),N(U6882)+1))</f>
        <v/>
      </c>
      <c r="V6883" s="19">
        <f>IF($B6883="","",TEXT($B6883,"0000"))</f>
        <v/>
      </c>
      <c r="W6883" s="19">
        <f>IF($I6883="","",IF(ISNUMBER($I6883),TEXT($I6883,"0"),$I6883))</f>
        <v/>
      </c>
    </row>
    <row r="6884">
      <c r="B6884" s="25" t="n"/>
      <c r="I6884" s="25" t="n"/>
      <c r="U6884" s="19">
        <f>IF($V6884&lt;&gt;'設定'!$C$4,N(U6883),IF(OR(NOT(COUNTIF('商品マスタ'!$B$6:$B$1005,$W6884)=0),COUNTIFS('①在庫を貼る'!$V$6:$V$10005,$V6884,'①在庫を貼る'!$W$6:$W$10005,$W6884)&gt;0),N(U6883),N(U6883)+1))</f>
        <v/>
      </c>
      <c r="V6884" s="19">
        <f>IF($B6884="","",TEXT($B6884,"0000"))</f>
        <v/>
      </c>
      <c r="W6884" s="19">
        <f>IF($I6884="","",IF(ISNUMBER($I6884),TEXT($I6884,"0"),$I6884))</f>
        <v/>
      </c>
    </row>
    <row r="6885">
      <c r="B6885" s="25" t="n"/>
      <c r="I6885" s="25" t="n"/>
      <c r="U6885" s="19">
        <f>IF($V6885&lt;&gt;'設定'!$C$4,N(U6884),IF(OR(NOT(COUNTIF('商品マスタ'!$B$6:$B$1005,$W6885)=0),COUNTIFS('①在庫を貼る'!$V$6:$V$10005,$V6885,'①在庫を貼る'!$W$6:$W$10005,$W6885)&gt;0),N(U6884),N(U6884)+1))</f>
        <v/>
      </c>
      <c r="V6885" s="19">
        <f>IF($B6885="","",TEXT($B6885,"0000"))</f>
        <v/>
      </c>
      <c r="W6885" s="19">
        <f>IF($I6885="","",IF(ISNUMBER($I6885),TEXT($I6885,"0"),$I6885))</f>
        <v/>
      </c>
    </row>
    <row r="6886">
      <c r="B6886" s="25" t="n"/>
      <c r="I6886" s="25" t="n"/>
      <c r="U6886" s="19">
        <f>IF($V6886&lt;&gt;'設定'!$C$4,N(U6885),IF(OR(NOT(COUNTIF('商品マスタ'!$B$6:$B$1005,$W6886)=0),COUNTIFS('①在庫を貼る'!$V$6:$V$10005,$V6886,'①在庫を貼る'!$W$6:$W$10005,$W6886)&gt;0),N(U6885),N(U6885)+1))</f>
        <v/>
      </c>
      <c r="V6886" s="19">
        <f>IF($B6886="","",TEXT($B6886,"0000"))</f>
        <v/>
      </c>
      <c r="W6886" s="19">
        <f>IF($I6886="","",IF(ISNUMBER($I6886),TEXT($I6886,"0"),$I6886))</f>
        <v/>
      </c>
    </row>
    <row r="6887">
      <c r="B6887" s="25" t="n"/>
      <c r="I6887" s="25" t="n"/>
      <c r="U6887" s="19">
        <f>IF($V6887&lt;&gt;'設定'!$C$4,N(U6886),IF(OR(NOT(COUNTIF('商品マスタ'!$B$6:$B$1005,$W6887)=0),COUNTIFS('①在庫を貼る'!$V$6:$V$10005,$V6887,'①在庫を貼る'!$W$6:$W$10005,$W6887)&gt;0),N(U6886),N(U6886)+1))</f>
        <v/>
      </c>
      <c r="V6887" s="19">
        <f>IF($B6887="","",TEXT($B6887,"0000"))</f>
        <v/>
      </c>
      <c r="W6887" s="19">
        <f>IF($I6887="","",IF(ISNUMBER($I6887),TEXT($I6887,"0"),$I6887))</f>
        <v/>
      </c>
    </row>
    <row r="6888">
      <c r="B6888" s="25" t="n"/>
      <c r="I6888" s="25" t="n"/>
      <c r="U6888" s="19">
        <f>IF($V6888&lt;&gt;'設定'!$C$4,N(U6887),IF(OR(NOT(COUNTIF('商品マスタ'!$B$6:$B$1005,$W6888)=0),COUNTIFS('①在庫を貼る'!$V$6:$V$10005,$V6888,'①在庫を貼る'!$W$6:$W$10005,$W6888)&gt;0),N(U6887),N(U6887)+1))</f>
        <v/>
      </c>
      <c r="V6888" s="19">
        <f>IF($B6888="","",TEXT($B6888,"0000"))</f>
        <v/>
      </c>
      <c r="W6888" s="19">
        <f>IF($I6888="","",IF(ISNUMBER($I6888),TEXT($I6888,"0"),$I6888))</f>
        <v/>
      </c>
    </row>
    <row r="6889">
      <c r="B6889" s="25" t="n"/>
      <c r="I6889" s="25" t="n"/>
      <c r="U6889" s="19">
        <f>IF($V6889&lt;&gt;'設定'!$C$4,N(U6888),IF(OR(NOT(COUNTIF('商品マスタ'!$B$6:$B$1005,$W6889)=0),COUNTIFS('①在庫を貼る'!$V$6:$V$10005,$V6889,'①在庫を貼る'!$W$6:$W$10005,$W6889)&gt;0),N(U6888),N(U6888)+1))</f>
        <v/>
      </c>
      <c r="V6889" s="19">
        <f>IF($B6889="","",TEXT($B6889,"0000"))</f>
        <v/>
      </c>
      <c r="W6889" s="19">
        <f>IF($I6889="","",IF(ISNUMBER($I6889),TEXT($I6889,"0"),$I6889))</f>
        <v/>
      </c>
    </row>
    <row r="6890">
      <c r="B6890" s="25" t="n"/>
      <c r="I6890" s="25" t="n"/>
      <c r="U6890" s="19">
        <f>IF($V6890&lt;&gt;'設定'!$C$4,N(U6889),IF(OR(NOT(COUNTIF('商品マスタ'!$B$6:$B$1005,$W6890)=0),COUNTIFS('①在庫を貼る'!$V$6:$V$10005,$V6890,'①在庫を貼る'!$W$6:$W$10005,$W6890)&gt;0),N(U6889),N(U6889)+1))</f>
        <v/>
      </c>
      <c r="V6890" s="19">
        <f>IF($B6890="","",TEXT($B6890,"0000"))</f>
        <v/>
      </c>
      <c r="W6890" s="19">
        <f>IF($I6890="","",IF(ISNUMBER($I6890),TEXT($I6890,"0"),$I6890))</f>
        <v/>
      </c>
    </row>
    <row r="6891">
      <c r="B6891" s="25" t="n"/>
      <c r="I6891" s="25" t="n"/>
      <c r="U6891" s="19">
        <f>IF($V6891&lt;&gt;'設定'!$C$4,N(U6890),IF(OR(NOT(COUNTIF('商品マスタ'!$B$6:$B$1005,$W6891)=0),COUNTIFS('①在庫を貼る'!$V$6:$V$10005,$V6891,'①在庫を貼る'!$W$6:$W$10005,$W6891)&gt;0),N(U6890),N(U6890)+1))</f>
        <v/>
      </c>
      <c r="V6891" s="19">
        <f>IF($B6891="","",TEXT($B6891,"0000"))</f>
        <v/>
      </c>
      <c r="W6891" s="19">
        <f>IF($I6891="","",IF(ISNUMBER($I6891),TEXT($I6891,"0"),$I6891))</f>
        <v/>
      </c>
    </row>
    <row r="6892">
      <c r="B6892" s="25" t="n"/>
      <c r="I6892" s="25" t="n"/>
      <c r="U6892" s="19">
        <f>IF($V6892&lt;&gt;'設定'!$C$4,N(U6891),IF(OR(NOT(COUNTIF('商品マスタ'!$B$6:$B$1005,$W6892)=0),COUNTIFS('①在庫を貼る'!$V$6:$V$10005,$V6892,'①在庫を貼る'!$W$6:$W$10005,$W6892)&gt;0),N(U6891),N(U6891)+1))</f>
        <v/>
      </c>
      <c r="V6892" s="19">
        <f>IF($B6892="","",TEXT($B6892,"0000"))</f>
        <v/>
      </c>
      <c r="W6892" s="19">
        <f>IF($I6892="","",IF(ISNUMBER($I6892),TEXT($I6892,"0"),$I6892))</f>
        <v/>
      </c>
    </row>
    <row r="6893">
      <c r="B6893" s="25" t="n"/>
      <c r="I6893" s="25" t="n"/>
      <c r="U6893" s="19">
        <f>IF($V6893&lt;&gt;'設定'!$C$4,N(U6892),IF(OR(NOT(COUNTIF('商品マスタ'!$B$6:$B$1005,$W6893)=0),COUNTIFS('①在庫を貼る'!$V$6:$V$10005,$V6893,'①在庫を貼る'!$W$6:$W$10005,$W6893)&gt;0),N(U6892),N(U6892)+1))</f>
        <v/>
      </c>
      <c r="V6893" s="19">
        <f>IF($B6893="","",TEXT($B6893,"0000"))</f>
        <v/>
      </c>
      <c r="W6893" s="19">
        <f>IF($I6893="","",IF(ISNUMBER($I6893),TEXT($I6893,"0"),$I6893))</f>
        <v/>
      </c>
    </row>
    <row r="6894">
      <c r="B6894" s="25" t="n"/>
      <c r="I6894" s="25" t="n"/>
      <c r="U6894" s="19">
        <f>IF($V6894&lt;&gt;'設定'!$C$4,N(U6893),IF(OR(NOT(COUNTIF('商品マスタ'!$B$6:$B$1005,$W6894)=0),COUNTIFS('①在庫を貼る'!$V$6:$V$10005,$V6894,'①在庫を貼る'!$W$6:$W$10005,$W6894)&gt;0),N(U6893),N(U6893)+1))</f>
        <v/>
      </c>
      <c r="V6894" s="19">
        <f>IF($B6894="","",TEXT($B6894,"0000"))</f>
        <v/>
      </c>
      <c r="W6894" s="19">
        <f>IF($I6894="","",IF(ISNUMBER($I6894),TEXT($I6894,"0"),$I6894))</f>
        <v/>
      </c>
    </row>
    <row r="6895">
      <c r="B6895" s="25" t="n"/>
      <c r="I6895" s="25" t="n"/>
      <c r="U6895" s="19">
        <f>IF($V6895&lt;&gt;'設定'!$C$4,N(U6894),IF(OR(NOT(COUNTIF('商品マスタ'!$B$6:$B$1005,$W6895)=0),COUNTIFS('①在庫を貼る'!$V$6:$V$10005,$V6895,'①在庫を貼る'!$W$6:$W$10005,$W6895)&gt;0),N(U6894),N(U6894)+1))</f>
        <v/>
      </c>
      <c r="V6895" s="19">
        <f>IF($B6895="","",TEXT($B6895,"0000"))</f>
        <v/>
      </c>
      <c r="W6895" s="19">
        <f>IF($I6895="","",IF(ISNUMBER($I6895),TEXT($I6895,"0"),$I6895))</f>
        <v/>
      </c>
    </row>
    <row r="6896">
      <c r="B6896" s="25" t="n"/>
      <c r="I6896" s="25" t="n"/>
      <c r="U6896" s="19">
        <f>IF($V6896&lt;&gt;'設定'!$C$4,N(U6895),IF(OR(NOT(COUNTIF('商品マスタ'!$B$6:$B$1005,$W6896)=0),COUNTIFS('①在庫を貼る'!$V$6:$V$10005,$V6896,'①在庫を貼る'!$W$6:$W$10005,$W6896)&gt;0),N(U6895),N(U6895)+1))</f>
        <v/>
      </c>
      <c r="V6896" s="19">
        <f>IF($B6896="","",TEXT($B6896,"0000"))</f>
        <v/>
      </c>
      <c r="W6896" s="19">
        <f>IF($I6896="","",IF(ISNUMBER($I6896),TEXT($I6896,"0"),$I6896))</f>
        <v/>
      </c>
    </row>
    <row r="6897">
      <c r="B6897" s="25" t="n"/>
      <c r="I6897" s="25" t="n"/>
      <c r="U6897" s="19">
        <f>IF($V6897&lt;&gt;'設定'!$C$4,N(U6896),IF(OR(NOT(COUNTIF('商品マスタ'!$B$6:$B$1005,$W6897)=0),COUNTIFS('①在庫を貼る'!$V$6:$V$10005,$V6897,'①在庫を貼る'!$W$6:$W$10005,$W6897)&gt;0),N(U6896),N(U6896)+1))</f>
        <v/>
      </c>
      <c r="V6897" s="19">
        <f>IF($B6897="","",TEXT($B6897,"0000"))</f>
        <v/>
      </c>
      <c r="W6897" s="19">
        <f>IF($I6897="","",IF(ISNUMBER($I6897),TEXT($I6897,"0"),$I6897))</f>
        <v/>
      </c>
    </row>
    <row r="6898">
      <c r="B6898" s="25" t="n"/>
      <c r="I6898" s="25" t="n"/>
      <c r="U6898" s="19">
        <f>IF($V6898&lt;&gt;'設定'!$C$4,N(U6897),IF(OR(NOT(COUNTIF('商品マスタ'!$B$6:$B$1005,$W6898)=0),COUNTIFS('①在庫を貼る'!$V$6:$V$10005,$V6898,'①在庫を貼る'!$W$6:$W$10005,$W6898)&gt;0),N(U6897),N(U6897)+1))</f>
        <v/>
      </c>
      <c r="V6898" s="19">
        <f>IF($B6898="","",TEXT($B6898,"0000"))</f>
        <v/>
      </c>
      <c r="W6898" s="19">
        <f>IF($I6898="","",IF(ISNUMBER($I6898),TEXT($I6898,"0"),$I6898))</f>
        <v/>
      </c>
    </row>
    <row r="6899">
      <c r="B6899" s="25" t="n"/>
      <c r="I6899" s="25" t="n"/>
      <c r="U6899" s="19">
        <f>IF($V6899&lt;&gt;'設定'!$C$4,N(U6898),IF(OR(NOT(COUNTIF('商品マスタ'!$B$6:$B$1005,$W6899)=0),COUNTIFS('①在庫を貼る'!$V$6:$V$10005,$V6899,'①在庫を貼る'!$W$6:$W$10005,$W6899)&gt;0),N(U6898),N(U6898)+1))</f>
        <v/>
      </c>
      <c r="V6899" s="19">
        <f>IF($B6899="","",TEXT($B6899,"0000"))</f>
        <v/>
      </c>
      <c r="W6899" s="19">
        <f>IF($I6899="","",IF(ISNUMBER($I6899),TEXT($I6899,"0"),$I6899))</f>
        <v/>
      </c>
    </row>
    <row r="6900">
      <c r="B6900" s="25" t="n"/>
      <c r="I6900" s="25" t="n"/>
      <c r="U6900" s="19">
        <f>IF($V6900&lt;&gt;'設定'!$C$4,N(U6899),IF(OR(NOT(COUNTIF('商品マスタ'!$B$6:$B$1005,$W6900)=0),COUNTIFS('①在庫を貼る'!$V$6:$V$10005,$V6900,'①在庫を貼る'!$W$6:$W$10005,$W6900)&gt;0),N(U6899),N(U6899)+1))</f>
        <v/>
      </c>
      <c r="V6900" s="19">
        <f>IF($B6900="","",TEXT($B6900,"0000"))</f>
        <v/>
      </c>
      <c r="W6900" s="19">
        <f>IF($I6900="","",IF(ISNUMBER($I6900),TEXT($I6900,"0"),$I6900))</f>
        <v/>
      </c>
    </row>
    <row r="6901">
      <c r="B6901" s="25" t="n"/>
      <c r="I6901" s="25" t="n"/>
      <c r="U6901" s="19">
        <f>IF($V6901&lt;&gt;'設定'!$C$4,N(U6900),IF(OR(NOT(COUNTIF('商品マスタ'!$B$6:$B$1005,$W6901)=0),COUNTIFS('①在庫を貼る'!$V$6:$V$10005,$V6901,'①在庫を貼る'!$W$6:$W$10005,$W6901)&gt;0),N(U6900),N(U6900)+1))</f>
        <v/>
      </c>
      <c r="V6901" s="19">
        <f>IF($B6901="","",TEXT($B6901,"0000"))</f>
        <v/>
      </c>
      <c r="W6901" s="19">
        <f>IF($I6901="","",IF(ISNUMBER($I6901),TEXT($I6901,"0"),$I6901))</f>
        <v/>
      </c>
    </row>
    <row r="6902">
      <c r="B6902" s="25" t="n"/>
      <c r="I6902" s="25" t="n"/>
      <c r="U6902" s="19">
        <f>IF($V6902&lt;&gt;'設定'!$C$4,N(U6901),IF(OR(NOT(COUNTIF('商品マスタ'!$B$6:$B$1005,$W6902)=0),COUNTIFS('①在庫を貼る'!$V$6:$V$10005,$V6902,'①在庫を貼る'!$W$6:$W$10005,$W6902)&gt;0),N(U6901),N(U6901)+1))</f>
        <v/>
      </c>
      <c r="V6902" s="19">
        <f>IF($B6902="","",TEXT($B6902,"0000"))</f>
        <v/>
      </c>
      <c r="W6902" s="19">
        <f>IF($I6902="","",IF(ISNUMBER($I6902),TEXT($I6902,"0"),$I6902))</f>
        <v/>
      </c>
    </row>
    <row r="6903">
      <c r="B6903" s="25" t="n"/>
      <c r="I6903" s="25" t="n"/>
      <c r="U6903" s="19">
        <f>IF($V6903&lt;&gt;'設定'!$C$4,N(U6902),IF(OR(NOT(COUNTIF('商品マスタ'!$B$6:$B$1005,$W6903)=0),COUNTIFS('①在庫を貼る'!$V$6:$V$10005,$V6903,'①在庫を貼る'!$W$6:$W$10005,$W6903)&gt;0),N(U6902),N(U6902)+1))</f>
        <v/>
      </c>
      <c r="V6903" s="19">
        <f>IF($B6903="","",TEXT($B6903,"0000"))</f>
        <v/>
      </c>
      <c r="W6903" s="19">
        <f>IF($I6903="","",IF(ISNUMBER($I6903),TEXT($I6903,"0"),$I6903))</f>
        <v/>
      </c>
    </row>
    <row r="6904">
      <c r="B6904" s="25" t="n"/>
      <c r="I6904" s="25" t="n"/>
      <c r="U6904" s="19">
        <f>IF($V6904&lt;&gt;'設定'!$C$4,N(U6903),IF(OR(NOT(COUNTIF('商品マスタ'!$B$6:$B$1005,$W6904)=0),COUNTIFS('①在庫を貼る'!$V$6:$V$10005,$V6904,'①在庫を貼る'!$W$6:$W$10005,$W6904)&gt;0),N(U6903),N(U6903)+1))</f>
        <v/>
      </c>
      <c r="V6904" s="19">
        <f>IF($B6904="","",TEXT($B6904,"0000"))</f>
        <v/>
      </c>
      <c r="W6904" s="19">
        <f>IF($I6904="","",IF(ISNUMBER($I6904),TEXT($I6904,"0"),$I6904))</f>
        <v/>
      </c>
    </row>
    <row r="6905">
      <c r="B6905" s="25" t="n"/>
      <c r="I6905" s="25" t="n"/>
      <c r="U6905" s="19">
        <f>IF($V6905&lt;&gt;'設定'!$C$4,N(U6904),IF(OR(NOT(COUNTIF('商品マスタ'!$B$6:$B$1005,$W6905)=0),COUNTIFS('①在庫を貼る'!$V$6:$V$10005,$V6905,'①在庫を貼る'!$W$6:$W$10005,$W6905)&gt;0),N(U6904),N(U6904)+1))</f>
        <v/>
      </c>
      <c r="V6905" s="19">
        <f>IF($B6905="","",TEXT($B6905,"0000"))</f>
        <v/>
      </c>
      <c r="W6905" s="19">
        <f>IF($I6905="","",IF(ISNUMBER($I6905),TEXT($I6905,"0"),$I6905))</f>
        <v/>
      </c>
    </row>
    <row r="6906">
      <c r="B6906" s="25" t="n"/>
      <c r="I6906" s="25" t="n"/>
      <c r="U6906" s="19">
        <f>IF($V6906&lt;&gt;'設定'!$C$4,N(U6905),IF(OR(NOT(COUNTIF('商品マスタ'!$B$6:$B$1005,$W6906)=0),COUNTIFS('①在庫を貼る'!$V$6:$V$10005,$V6906,'①在庫を貼る'!$W$6:$W$10005,$W6906)&gt;0),N(U6905),N(U6905)+1))</f>
        <v/>
      </c>
      <c r="V6906" s="19">
        <f>IF($B6906="","",TEXT($B6906,"0000"))</f>
        <v/>
      </c>
      <c r="W6906" s="19">
        <f>IF($I6906="","",IF(ISNUMBER($I6906),TEXT($I6906,"0"),$I6906))</f>
        <v/>
      </c>
    </row>
    <row r="6907">
      <c r="B6907" s="25" t="n"/>
      <c r="I6907" s="25" t="n"/>
      <c r="U6907" s="19">
        <f>IF($V6907&lt;&gt;'設定'!$C$4,N(U6906),IF(OR(NOT(COUNTIF('商品マスタ'!$B$6:$B$1005,$W6907)=0),COUNTIFS('①在庫を貼る'!$V$6:$V$10005,$V6907,'①在庫を貼る'!$W$6:$W$10005,$W6907)&gt;0),N(U6906),N(U6906)+1))</f>
        <v/>
      </c>
      <c r="V6907" s="19">
        <f>IF($B6907="","",TEXT($B6907,"0000"))</f>
        <v/>
      </c>
      <c r="W6907" s="19">
        <f>IF($I6907="","",IF(ISNUMBER($I6907),TEXT($I6907,"0"),$I6907))</f>
        <v/>
      </c>
    </row>
    <row r="6908">
      <c r="B6908" s="25" t="n"/>
      <c r="I6908" s="25" t="n"/>
      <c r="U6908" s="19">
        <f>IF($V6908&lt;&gt;'設定'!$C$4,N(U6907),IF(OR(NOT(COUNTIF('商品マスタ'!$B$6:$B$1005,$W6908)=0),COUNTIFS('①在庫を貼る'!$V$6:$V$10005,$V6908,'①在庫を貼る'!$W$6:$W$10005,$W6908)&gt;0),N(U6907),N(U6907)+1))</f>
        <v/>
      </c>
      <c r="V6908" s="19">
        <f>IF($B6908="","",TEXT($B6908,"0000"))</f>
        <v/>
      </c>
      <c r="W6908" s="19">
        <f>IF($I6908="","",IF(ISNUMBER($I6908),TEXT($I6908,"0"),$I6908))</f>
        <v/>
      </c>
    </row>
    <row r="6909">
      <c r="B6909" s="25" t="n"/>
      <c r="I6909" s="25" t="n"/>
      <c r="U6909" s="19">
        <f>IF($V6909&lt;&gt;'設定'!$C$4,N(U6908),IF(OR(NOT(COUNTIF('商品マスタ'!$B$6:$B$1005,$W6909)=0),COUNTIFS('①在庫を貼る'!$V$6:$V$10005,$V6909,'①在庫を貼る'!$W$6:$W$10005,$W6909)&gt;0),N(U6908),N(U6908)+1))</f>
        <v/>
      </c>
      <c r="V6909" s="19">
        <f>IF($B6909="","",TEXT($B6909,"0000"))</f>
        <v/>
      </c>
      <c r="W6909" s="19">
        <f>IF($I6909="","",IF(ISNUMBER($I6909),TEXT($I6909,"0"),$I6909))</f>
        <v/>
      </c>
    </row>
    <row r="6910">
      <c r="B6910" s="25" t="n"/>
      <c r="I6910" s="25" t="n"/>
      <c r="U6910" s="19">
        <f>IF($V6910&lt;&gt;'設定'!$C$4,N(U6909),IF(OR(NOT(COUNTIF('商品マスタ'!$B$6:$B$1005,$W6910)=0),COUNTIFS('①在庫を貼る'!$V$6:$V$10005,$V6910,'①在庫を貼る'!$W$6:$W$10005,$W6910)&gt;0),N(U6909),N(U6909)+1))</f>
        <v/>
      </c>
      <c r="V6910" s="19">
        <f>IF($B6910="","",TEXT($B6910,"0000"))</f>
        <v/>
      </c>
      <c r="W6910" s="19">
        <f>IF($I6910="","",IF(ISNUMBER($I6910),TEXT($I6910,"0"),$I6910))</f>
        <v/>
      </c>
    </row>
    <row r="6911">
      <c r="B6911" s="25" t="n"/>
      <c r="I6911" s="25" t="n"/>
      <c r="U6911" s="19">
        <f>IF($V6911&lt;&gt;'設定'!$C$4,N(U6910),IF(OR(NOT(COUNTIF('商品マスタ'!$B$6:$B$1005,$W6911)=0),COUNTIFS('①在庫を貼る'!$V$6:$V$10005,$V6911,'①在庫を貼る'!$W$6:$W$10005,$W6911)&gt;0),N(U6910),N(U6910)+1))</f>
        <v/>
      </c>
      <c r="V6911" s="19">
        <f>IF($B6911="","",TEXT($B6911,"0000"))</f>
        <v/>
      </c>
      <c r="W6911" s="19">
        <f>IF($I6911="","",IF(ISNUMBER($I6911),TEXT($I6911,"0"),$I6911))</f>
        <v/>
      </c>
    </row>
    <row r="6912">
      <c r="B6912" s="25" t="n"/>
      <c r="I6912" s="25" t="n"/>
      <c r="U6912" s="19">
        <f>IF($V6912&lt;&gt;'設定'!$C$4,N(U6911),IF(OR(NOT(COUNTIF('商品マスタ'!$B$6:$B$1005,$W6912)=0),COUNTIFS('①在庫を貼る'!$V$6:$V$10005,$V6912,'①在庫を貼る'!$W$6:$W$10005,$W6912)&gt;0),N(U6911),N(U6911)+1))</f>
        <v/>
      </c>
      <c r="V6912" s="19">
        <f>IF($B6912="","",TEXT($B6912,"0000"))</f>
        <v/>
      </c>
      <c r="W6912" s="19">
        <f>IF($I6912="","",IF(ISNUMBER($I6912),TEXT($I6912,"0"),$I6912))</f>
        <v/>
      </c>
    </row>
    <row r="6913">
      <c r="B6913" s="25" t="n"/>
      <c r="I6913" s="25" t="n"/>
      <c r="U6913" s="19">
        <f>IF($V6913&lt;&gt;'設定'!$C$4,N(U6912),IF(OR(NOT(COUNTIF('商品マスタ'!$B$6:$B$1005,$W6913)=0),COUNTIFS('①在庫を貼る'!$V$6:$V$10005,$V6913,'①在庫を貼る'!$W$6:$W$10005,$W6913)&gt;0),N(U6912),N(U6912)+1))</f>
        <v/>
      </c>
      <c r="V6913" s="19">
        <f>IF($B6913="","",TEXT($B6913,"0000"))</f>
        <v/>
      </c>
      <c r="W6913" s="19">
        <f>IF($I6913="","",IF(ISNUMBER($I6913),TEXT($I6913,"0"),$I6913))</f>
        <v/>
      </c>
    </row>
    <row r="6914">
      <c r="B6914" s="25" t="n"/>
      <c r="I6914" s="25" t="n"/>
      <c r="U6914" s="19">
        <f>IF($V6914&lt;&gt;'設定'!$C$4,N(U6913),IF(OR(NOT(COUNTIF('商品マスタ'!$B$6:$B$1005,$W6914)=0),COUNTIFS('①在庫を貼る'!$V$6:$V$10005,$V6914,'①在庫を貼る'!$W$6:$W$10005,$W6914)&gt;0),N(U6913),N(U6913)+1))</f>
        <v/>
      </c>
      <c r="V6914" s="19">
        <f>IF($B6914="","",TEXT($B6914,"0000"))</f>
        <v/>
      </c>
      <c r="W6914" s="19">
        <f>IF($I6914="","",IF(ISNUMBER($I6914),TEXT($I6914,"0"),$I6914))</f>
        <v/>
      </c>
    </row>
    <row r="6915">
      <c r="B6915" s="25" t="n"/>
      <c r="I6915" s="25" t="n"/>
      <c r="U6915" s="19">
        <f>IF($V6915&lt;&gt;'設定'!$C$4,N(U6914),IF(OR(NOT(COUNTIF('商品マスタ'!$B$6:$B$1005,$W6915)=0),COUNTIFS('①在庫を貼る'!$V$6:$V$10005,$V6915,'①在庫を貼る'!$W$6:$W$10005,$W6915)&gt;0),N(U6914),N(U6914)+1))</f>
        <v/>
      </c>
      <c r="V6915" s="19">
        <f>IF($B6915="","",TEXT($B6915,"0000"))</f>
        <v/>
      </c>
      <c r="W6915" s="19">
        <f>IF($I6915="","",IF(ISNUMBER($I6915),TEXT($I6915,"0"),$I6915))</f>
        <v/>
      </c>
    </row>
    <row r="6916">
      <c r="B6916" s="25" t="n"/>
      <c r="I6916" s="25" t="n"/>
      <c r="U6916" s="19">
        <f>IF($V6916&lt;&gt;'設定'!$C$4,N(U6915),IF(OR(NOT(COUNTIF('商品マスタ'!$B$6:$B$1005,$W6916)=0),COUNTIFS('①在庫を貼る'!$V$6:$V$10005,$V6916,'①在庫を貼る'!$W$6:$W$10005,$W6916)&gt;0),N(U6915),N(U6915)+1))</f>
        <v/>
      </c>
      <c r="V6916" s="19">
        <f>IF($B6916="","",TEXT($B6916,"0000"))</f>
        <v/>
      </c>
      <c r="W6916" s="19">
        <f>IF($I6916="","",IF(ISNUMBER($I6916),TEXT($I6916,"0"),$I6916))</f>
        <v/>
      </c>
    </row>
    <row r="6917">
      <c r="B6917" s="25" t="n"/>
      <c r="I6917" s="25" t="n"/>
      <c r="U6917" s="19">
        <f>IF($V6917&lt;&gt;'設定'!$C$4,N(U6916),IF(OR(NOT(COUNTIF('商品マスタ'!$B$6:$B$1005,$W6917)=0),COUNTIFS('①在庫を貼る'!$V$6:$V$10005,$V6917,'①在庫を貼る'!$W$6:$W$10005,$W6917)&gt;0),N(U6916),N(U6916)+1))</f>
        <v/>
      </c>
      <c r="V6917" s="19">
        <f>IF($B6917="","",TEXT($B6917,"0000"))</f>
        <v/>
      </c>
      <c r="W6917" s="19">
        <f>IF($I6917="","",IF(ISNUMBER($I6917),TEXT($I6917,"0"),$I6917))</f>
        <v/>
      </c>
    </row>
    <row r="6918">
      <c r="B6918" s="25" t="n"/>
      <c r="I6918" s="25" t="n"/>
      <c r="U6918" s="19">
        <f>IF($V6918&lt;&gt;'設定'!$C$4,N(U6917),IF(OR(NOT(COUNTIF('商品マスタ'!$B$6:$B$1005,$W6918)=0),COUNTIFS('①在庫を貼る'!$V$6:$V$10005,$V6918,'①在庫を貼る'!$W$6:$W$10005,$W6918)&gt;0),N(U6917),N(U6917)+1))</f>
        <v/>
      </c>
      <c r="V6918" s="19">
        <f>IF($B6918="","",TEXT($B6918,"0000"))</f>
        <v/>
      </c>
      <c r="W6918" s="19">
        <f>IF($I6918="","",IF(ISNUMBER($I6918),TEXT($I6918,"0"),$I6918))</f>
        <v/>
      </c>
    </row>
    <row r="6919">
      <c r="B6919" s="25" t="n"/>
      <c r="I6919" s="25" t="n"/>
      <c r="U6919" s="19">
        <f>IF($V6919&lt;&gt;'設定'!$C$4,N(U6918),IF(OR(NOT(COUNTIF('商品マスタ'!$B$6:$B$1005,$W6919)=0),COUNTIFS('①在庫を貼る'!$V$6:$V$10005,$V6919,'①在庫を貼る'!$W$6:$W$10005,$W6919)&gt;0),N(U6918),N(U6918)+1))</f>
        <v/>
      </c>
      <c r="V6919" s="19">
        <f>IF($B6919="","",TEXT($B6919,"0000"))</f>
        <v/>
      </c>
      <c r="W6919" s="19">
        <f>IF($I6919="","",IF(ISNUMBER($I6919),TEXT($I6919,"0"),$I6919))</f>
        <v/>
      </c>
    </row>
    <row r="6920">
      <c r="B6920" s="25" t="n"/>
      <c r="I6920" s="25" t="n"/>
      <c r="U6920" s="19">
        <f>IF($V6920&lt;&gt;'設定'!$C$4,N(U6919),IF(OR(NOT(COUNTIF('商品マスタ'!$B$6:$B$1005,$W6920)=0),COUNTIFS('①在庫を貼る'!$V$6:$V$10005,$V6920,'①在庫を貼る'!$W$6:$W$10005,$W6920)&gt;0),N(U6919),N(U6919)+1))</f>
        <v/>
      </c>
      <c r="V6920" s="19">
        <f>IF($B6920="","",TEXT($B6920,"0000"))</f>
        <v/>
      </c>
      <c r="W6920" s="19">
        <f>IF($I6920="","",IF(ISNUMBER($I6920),TEXT($I6920,"0"),$I6920))</f>
        <v/>
      </c>
    </row>
    <row r="6921">
      <c r="B6921" s="25" t="n"/>
      <c r="I6921" s="25" t="n"/>
      <c r="U6921" s="19">
        <f>IF($V6921&lt;&gt;'設定'!$C$4,N(U6920),IF(OR(NOT(COUNTIF('商品マスタ'!$B$6:$B$1005,$W6921)=0),COUNTIFS('①在庫を貼る'!$V$6:$V$10005,$V6921,'①在庫を貼る'!$W$6:$W$10005,$W6921)&gt;0),N(U6920),N(U6920)+1))</f>
        <v/>
      </c>
      <c r="V6921" s="19">
        <f>IF($B6921="","",TEXT($B6921,"0000"))</f>
        <v/>
      </c>
      <c r="W6921" s="19">
        <f>IF($I6921="","",IF(ISNUMBER($I6921),TEXT($I6921,"0"),$I6921))</f>
        <v/>
      </c>
    </row>
    <row r="6922">
      <c r="B6922" s="25" t="n"/>
      <c r="I6922" s="25" t="n"/>
      <c r="U6922" s="19">
        <f>IF($V6922&lt;&gt;'設定'!$C$4,N(U6921),IF(OR(NOT(COUNTIF('商品マスタ'!$B$6:$B$1005,$W6922)=0),COUNTIFS('①在庫を貼る'!$V$6:$V$10005,$V6922,'①在庫を貼る'!$W$6:$W$10005,$W6922)&gt;0),N(U6921),N(U6921)+1))</f>
        <v/>
      </c>
      <c r="V6922" s="19">
        <f>IF($B6922="","",TEXT($B6922,"0000"))</f>
        <v/>
      </c>
      <c r="W6922" s="19">
        <f>IF($I6922="","",IF(ISNUMBER($I6922),TEXT($I6922,"0"),$I6922))</f>
        <v/>
      </c>
    </row>
    <row r="6923">
      <c r="B6923" s="25" t="n"/>
      <c r="I6923" s="25" t="n"/>
      <c r="U6923" s="19">
        <f>IF($V6923&lt;&gt;'設定'!$C$4,N(U6922),IF(OR(NOT(COUNTIF('商品マスタ'!$B$6:$B$1005,$W6923)=0),COUNTIFS('①在庫を貼る'!$V$6:$V$10005,$V6923,'①在庫を貼る'!$W$6:$W$10005,$W6923)&gt;0),N(U6922),N(U6922)+1))</f>
        <v/>
      </c>
      <c r="V6923" s="19">
        <f>IF($B6923="","",TEXT($B6923,"0000"))</f>
        <v/>
      </c>
      <c r="W6923" s="19">
        <f>IF($I6923="","",IF(ISNUMBER($I6923),TEXT($I6923,"0"),$I6923))</f>
        <v/>
      </c>
    </row>
    <row r="6924">
      <c r="B6924" s="25" t="n"/>
      <c r="I6924" s="25" t="n"/>
      <c r="U6924" s="19">
        <f>IF($V6924&lt;&gt;'設定'!$C$4,N(U6923),IF(OR(NOT(COUNTIF('商品マスタ'!$B$6:$B$1005,$W6924)=0),COUNTIFS('①在庫を貼る'!$V$6:$V$10005,$V6924,'①在庫を貼る'!$W$6:$W$10005,$W6924)&gt;0),N(U6923),N(U6923)+1))</f>
        <v/>
      </c>
      <c r="V6924" s="19">
        <f>IF($B6924="","",TEXT($B6924,"0000"))</f>
        <v/>
      </c>
      <c r="W6924" s="19">
        <f>IF($I6924="","",IF(ISNUMBER($I6924),TEXT($I6924,"0"),$I6924))</f>
        <v/>
      </c>
    </row>
    <row r="6925">
      <c r="B6925" s="25" t="n"/>
      <c r="I6925" s="25" t="n"/>
      <c r="U6925" s="19">
        <f>IF($V6925&lt;&gt;'設定'!$C$4,N(U6924),IF(OR(NOT(COUNTIF('商品マスタ'!$B$6:$B$1005,$W6925)=0),COUNTIFS('①在庫を貼る'!$V$6:$V$10005,$V6925,'①在庫を貼る'!$W$6:$W$10005,$W6925)&gt;0),N(U6924),N(U6924)+1))</f>
        <v/>
      </c>
      <c r="V6925" s="19">
        <f>IF($B6925="","",TEXT($B6925,"0000"))</f>
        <v/>
      </c>
      <c r="W6925" s="19">
        <f>IF($I6925="","",IF(ISNUMBER($I6925),TEXT($I6925,"0"),$I6925))</f>
        <v/>
      </c>
    </row>
    <row r="6926">
      <c r="B6926" s="25" t="n"/>
      <c r="I6926" s="25" t="n"/>
      <c r="U6926" s="19">
        <f>IF($V6926&lt;&gt;'設定'!$C$4,N(U6925),IF(OR(NOT(COUNTIF('商品マスタ'!$B$6:$B$1005,$W6926)=0),COUNTIFS('①在庫を貼る'!$V$6:$V$10005,$V6926,'①在庫を貼る'!$W$6:$W$10005,$W6926)&gt;0),N(U6925),N(U6925)+1))</f>
        <v/>
      </c>
      <c r="V6926" s="19">
        <f>IF($B6926="","",TEXT($B6926,"0000"))</f>
        <v/>
      </c>
      <c r="W6926" s="19">
        <f>IF($I6926="","",IF(ISNUMBER($I6926),TEXT($I6926,"0"),$I6926))</f>
        <v/>
      </c>
    </row>
    <row r="6927">
      <c r="B6927" s="25" t="n"/>
      <c r="I6927" s="25" t="n"/>
      <c r="U6927" s="19">
        <f>IF($V6927&lt;&gt;'設定'!$C$4,N(U6926),IF(OR(NOT(COUNTIF('商品マスタ'!$B$6:$B$1005,$W6927)=0),COUNTIFS('①在庫を貼る'!$V$6:$V$10005,$V6927,'①在庫を貼る'!$W$6:$W$10005,$W6927)&gt;0),N(U6926),N(U6926)+1))</f>
        <v/>
      </c>
      <c r="V6927" s="19">
        <f>IF($B6927="","",TEXT($B6927,"0000"))</f>
        <v/>
      </c>
      <c r="W6927" s="19">
        <f>IF($I6927="","",IF(ISNUMBER($I6927),TEXT($I6927,"0"),$I6927))</f>
        <v/>
      </c>
    </row>
    <row r="6928">
      <c r="B6928" s="25" t="n"/>
      <c r="I6928" s="25" t="n"/>
      <c r="U6928" s="19">
        <f>IF($V6928&lt;&gt;'設定'!$C$4,N(U6927),IF(OR(NOT(COUNTIF('商品マスタ'!$B$6:$B$1005,$W6928)=0),COUNTIFS('①在庫を貼る'!$V$6:$V$10005,$V6928,'①在庫を貼る'!$W$6:$W$10005,$W6928)&gt;0),N(U6927),N(U6927)+1))</f>
        <v/>
      </c>
      <c r="V6928" s="19">
        <f>IF($B6928="","",TEXT($B6928,"0000"))</f>
        <v/>
      </c>
      <c r="W6928" s="19">
        <f>IF($I6928="","",IF(ISNUMBER($I6928),TEXT($I6928,"0"),$I6928))</f>
        <v/>
      </c>
    </row>
    <row r="6929">
      <c r="B6929" s="25" t="n"/>
      <c r="I6929" s="25" t="n"/>
      <c r="U6929" s="19">
        <f>IF($V6929&lt;&gt;'設定'!$C$4,N(U6928),IF(OR(NOT(COUNTIF('商品マスタ'!$B$6:$B$1005,$W6929)=0),COUNTIFS('①在庫を貼る'!$V$6:$V$10005,$V6929,'①在庫を貼る'!$W$6:$W$10005,$W6929)&gt;0),N(U6928),N(U6928)+1))</f>
        <v/>
      </c>
      <c r="V6929" s="19">
        <f>IF($B6929="","",TEXT($B6929,"0000"))</f>
        <v/>
      </c>
      <c r="W6929" s="19">
        <f>IF($I6929="","",IF(ISNUMBER($I6929),TEXT($I6929,"0"),$I6929))</f>
        <v/>
      </c>
    </row>
    <row r="6930">
      <c r="B6930" s="25" t="n"/>
      <c r="I6930" s="25" t="n"/>
      <c r="U6930" s="19">
        <f>IF($V6930&lt;&gt;'設定'!$C$4,N(U6929),IF(OR(NOT(COUNTIF('商品マスタ'!$B$6:$B$1005,$W6930)=0),COUNTIFS('①在庫を貼る'!$V$6:$V$10005,$V6930,'①在庫を貼る'!$W$6:$W$10005,$W6930)&gt;0),N(U6929),N(U6929)+1))</f>
        <v/>
      </c>
      <c r="V6930" s="19">
        <f>IF($B6930="","",TEXT($B6930,"0000"))</f>
        <v/>
      </c>
      <c r="W6930" s="19">
        <f>IF($I6930="","",IF(ISNUMBER($I6930),TEXT($I6930,"0"),$I6930))</f>
        <v/>
      </c>
    </row>
    <row r="6931">
      <c r="B6931" s="25" t="n"/>
      <c r="I6931" s="25" t="n"/>
      <c r="U6931" s="19">
        <f>IF($V6931&lt;&gt;'設定'!$C$4,N(U6930),IF(OR(NOT(COUNTIF('商品マスタ'!$B$6:$B$1005,$W6931)=0),COUNTIFS('①在庫を貼る'!$V$6:$V$10005,$V6931,'①在庫を貼る'!$W$6:$W$10005,$W6931)&gt;0),N(U6930),N(U6930)+1))</f>
        <v/>
      </c>
      <c r="V6931" s="19">
        <f>IF($B6931="","",TEXT($B6931,"0000"))</f>
        <v/>
      </c>
      <c r="W6931" s="19">
        <f>IF($I6931="","",IF(ISNUMBER($I6931),TEXT($I6931,"0"),$I6931))</f>
        <v/>
      </c>
    </row>
    <row r="6932">
      <c r="B6932" s="25" t="n"/>
      <c r="I6932" s="25" t="n"/>
      <c r="U6932" s="19">
        <f>IF($V6932&lt;&gt;'設定'!$C$4,N(U6931),IF(OR(NOT(COUNTIF('商品マスタ'!$B$6:$B$1005,$W6932)=0),COUNTIFS('①在庫を貼る'!$V$6:$V$10005,$V6932,'①在庫を貼る'!$W$6:$W$10005,$W6932)&gt;0),N(U6931),N(U6931)+1))</f>
        <v/>
      </c>
      <c r="V6932" s="19">
        <f>IF($B6932="","",TEXT($B6932,"0000"))</f>
        <v/>
      </c>
      <c r="W6932" s="19">
        <f>IF($I6932="","",IF(ISNUMBER($I6932),TEXT($I6932,"0"),$I6932))</f>
        <v/>
      </c>
    </row>
    <row r="6933">
      <c r="B6933" s="25" t="n"/>
      <c r="I6933" s="25" t="n"/>
      <c r="U6933" s="19">
        <f>IF($V6933&lt;&gt;'設定'!$C$4,N(U6932),IF(OR(NOT(COUNTIF('商品マスタ'!$B$6:$B$1005,$W6933)=0),COUNTIFS('①在庫を貼る'!$V$6:$V$10005,$V6933,'①在庫を貼る'!$W$6:$W$10005,$W6933)&gt;0),N(U6932),N(U6932)+1))</f>
        <v/>
      </c>
      <c r="V6933" s="19">
        <f>IF($B6933="","",TEXT($B6933,"0000"))</f>
        <v/>
      </c>
      <c r="W6933" s="19">
        <f>IF($I6933="","",IF(ISNUMBER($I6933),TEXT($I6933,"0"),$I6933))</f>
        <v/>
      </c>
    </row>
    <row r="6934">
      <c r="B6934" s="25" t="n"/>
      <c r="I6934" s="25" t="n"/>
      <c r="U6934" s="19">
        <f>IF($V6934&lt;&gt;'設定'!$C$4,N(U6933),IF(OR(NOT(COUNTIF('商品マスタ'!$B$6:$B$1005,$W6934)=0),COUNTIFS('①在庫を貼る'!$V$6:$V$10005,$V6934,'①在庫を貼る'!$W$6:$W$10005,$W6934)&gt;0),N(U6933),N(U6933)+1))</f>
        <v/>
      </c>
      <c r="V6934" s="19">
        <f>IF($B6934="","",TEXT($B6934,"0000"))</f>
        <v/>
      </c>
      <c r="W6934" s="19">
        <f>IF($I6934="","",IF(ISNUMBER($I6934),TEXT($I6934,"0"),$I6934))</f>
        <v/>
      </c>
    </row>
    <row r="6935">
      <c r="B6935" s="25" t="n"/>
      <c r="I6935" s="25" t="n"/>
      <c r="U6935" s="19">
        <f>IF($V6935&lt;&gt;'設定'!$C$4,N(U6934),IF(OR(NOT(COUNTIF('商品マスタ'!$B$6:$B$1005,$W6935)=0),COUNTIFS('①在庫を貼る'!$V$6:$V$10005,$V6935,'①在庫を貼る'!$W$6:$W$10005,$W6935)&gt;0),N(U6934),N(U6934)+1))</f>
        <v/>
      </c>
      <c r="V6935" s="19">
        <f>IF($B6935="","",TEXT($B6935,"0000"))</f>
        <v/>
      </c>
      <c r="W6935" s="19">
        <f>IF($I6935="","",IF(ISNUMBER($I6935),TEXT($I6935,"0"),$I6935))</f>
        <v/>
      </c>
    </row>
    <row r="6936">
      <c r="B6936" s="25" t="n"/>
      <c r="I6936" s="25" t="n"/>
      <c r="U6936" s="19">
        <f>IF($V6936&lt;&gt;'設定'!$C$4,N(U6935),IF(OR(NOT(COUNTIF('商品マスタ'!$B$6:$B$1005,$W6936)=0),COUNTIFS('①在庫を貼る'!$V$6:$V$10005,$V6936,'①在庫を貼る'!$W$6:$W$10005,$W6936)&gt;0),N(U6935),N(U6935)+1))</f>
        <v/>
      </c>
      <c r="V6936" s="19">
        <f>IF($B6936="","",TEXT($B6936,"0000"))</f>
        <v/>
      </c>
      <c r="W6936" s="19">
        <f>IF($I6936="","",IF(ISNUMBER($I6936),TEXT($I6936,"0"),$I6936))</f>
        <v/>
      </c>
    </row>
    <row r="6937">
      <c r="B6937" s="25" t="n"/>
      <c r="I6937" s="25" t="n"/>
      <c r="U6937" s="19">
        <f>IF($V6937&lt;&gt;'設定'!$C$4,N(U6936),IF(OR(NOT(COUNTIF('商品マスタ'!$B$6:$B$1005,$W6937)=0),COUNTIFS('①在庫を貼る'!$V$6:$V$10005,$V6937,'①在庫を貼る'!$W$6:$W$10005,$W6937)&gt;0),N(U6936),N(U6936)+1))</f>
        <v/>
      </c>
      <c r="V6937" s="19">
        <f>IF($B6937="","",TEXT($B6937,"0000"))</f>
        <v/>
      </c>
      <c r="W6937" s="19">
        <f>IF($I6937="","",IF(ISNUMBER($I6937),TEXT($I6937,"0"),$I6937))</f>
        <v/>
      </c>
    </row>
    <row r="6938">
      <c r="B6938" s="25" t="n"/>
      <c r="I6938" s="25" t="n"/>
      <c r="U6938" s="19">
        <f>IF($V6938&lt;&gt;'設定'!$C$4,N(U6937),IF(OR(NOT(COUNTIF('商品マスタ'!$B$6:$B$1005,$W6938)=0),COUNTIFS('①在庫を貼る'!$V$6:$V$10005,$V6938,'①在庫を貼る'!$W$6:$W$10005,$W6938)&gt;0),N(U6937),N(U6937)+1))</f>
        <v/>
      </c>
      <c r="V6938" s="19">
        <f>IF($B6938="","",TEXT($B6938,"0000"))</f>
        <v/>
      </c>
      <c r="W6938" s="19">
        <f>IF($I6938="","",IF(ISNUMBER($I6938),TEXT($I6938,"0"),$I6938))</f>
        <v/>
      </c>
    </row>
    <row r="6939">
      <c r="B6939" s="25" t="n"/>
      <c r="I6939" s="25" t="n"/>
      <c r="U6939" s="19">
        <f>IF($V6939&lt;&gt;'設定'!$C$4,N(U6938),IF(OR(NOT(COUNTIF('商品マスタ'!$B$6:$B$1005,$W6939)=0),COUNTIFS('①在庫を貼る'!$V$6:$V$10005,$V6939,'①在庫を貼る'!$W$6:$W$10005,$W6939)&gt;0),N(U6938),N(U6938)+1))</f>
        <v/>
      </c>
      <c r="V6939" s="19">
        <f>IF($B6939="","",TEXT($B6939,"0000"))</f>
        <v/>
      </c>
      <c r="W6939" s="19">
        <f>IF($I6939="","",IF(ISNUMBER($I6939),TEXT($I6939,"0"),$I6939))</f>
        <v/>
      </c>
    </row>
    <row r="6940">
      <c r="B6940" s="25" t="n"/>
      <c r="I6940" s="25" t="n"/>
      <c r="U6940" s="19">
        <f>IF($V6940&lt;&gt;'設定'!$C$4,N(U6939),IF(OR(NOT(COUNTIF('商品マスタ'!$B$6:$B$1005,$W6940)=0),COUNTIFS('①在庫を貼る'!$V$6:$V$10005,$V6940,'①在庫を貼る'!$W$6:$W$10005,$W6940)&gt;0),N(U6939),N(U6939)+1))</f>
        <v/>
      </c>
      <c r="V6940" s="19">
        <f>IF($B6940="","",TEXT($B6940,"0000"))</f>
        <v/>
      </c>
      <c r="W6940" s="19">
        <f>IF($I6940="","",IF(ISNUMBER($I6940),TEXT($I6940,"0"),$I6940))</f>
        <v/>
      </c>
    </row>
    <row r="6941">
      <c r="B6941" s="25" t="n"/>
      <c r="I6941" s="25" t="n"/>
      <c r="U6941" s="19">
        <f>IF($V6941&lt;&gt;'設定'!$C$4,N(U6940),IF(OR(NOT(COUNTIF('商品マスタ'!$B$6:$B$1005,$W6941)=0),COUNTIFS('①在庫を貼る'!$V$6:$V$10005,$V6941,'①在庫を貼る'!$W$6:$W$10005,$W6941)&gt;0),N(U6940),N(U6940)+1))</f>
        <v/>
      </c>
      <c r="V6941" s="19">
        <f>IF($B6941="","",TEXT($B6941,"0000"))</f>
        <v/>
      </c>
      <c r="W6941" s="19">
        <f>IF($I6941="","",IF(ISNUMBER($I6941),TEXT($I6941,"0"),$I6941))</f>
        <v/>
      </c>
    </row>
    <row r="6942">
      <c r="B6942" s="25" t="n"/>
      <c r="I6942" s="25" t="n"/>
      <c r="U6942" s="19">
        <f>IF($V6942&lt;&gt;'設定'!$C$4,N(U6941),IF(OR(NOT(COUNTIF('商品マスタ'!$B$6:$B$1005,$W6942)=0),COUNTIFS('①在庫を貼る'!$V$6:$V$10005,$V6942,'①在庫を貼る'!$W$6:$W$10005,$W6942)&gt;0),N(U6941),N(U6941)+1))</f>
        <v/>
      </c>
      <c r="V6942" s="19">
        <f>IF($B6942="","",TEXT($B6942,"0000"))</f>
        <v/>
      </c>
      <c r="W6942" s="19">
        <f>IF($I6942="","",IF(ISNUMBER($I6942),TEXT($I6942,"0"),$I6942))</f>
        <v/>
      </c>
    </row>
    <row r="6943">
      <c r="B6943" s="25" t="n"/>
      <c r="I6943" s="25" t="n"/>
      <c r="U6943" s="19">
        <f>IF($V6943&lt;&gt;'設定'!$C$4,N(U6942),IF(OR(NOT(COUNTIF('商品マスタ'!$B$6:$B$1005,$W6943)=0),COUNTIFS('①在庫を貼る'!$V$6:$V$10005,$V6943,'①在庫を貼る'!$W$6:$W$10005,$W6943)&gt;0),N(U6942),N(U6942)+1))</f>
        <v/>
      </c>
      <c r="V6943" s="19">
        <f>IF($B6943="","",TEXT($B6943,"0000"))</f>
        <v/>
      </c>
      <c r="W6943" s="19">
        <f>IF($I6943="","",IF(ISNUMBER($I6943),TEXT($I6943,"0"),$I6943))</f>
        <v/>
      </c>
    </row>
    <row r="6944">
      <c r="B6944" s="25" t="n"/>
      <c r="I6944" s="25" t="n"/>
      <c r="U6944" s="19">
        <f>IF($V6944&lt;&gt;'設定'!$C$4,N(U6943),IF(OR(NOT(COUNTIF('商品マスタ'!$B$6:$B$1005,$W6944)=0),COUNTIFS('①在庫を貼る'!$V$6:$V$10005,$V6944,'①在庫を貼る'!$W$6:$W$10005,$W6944)&gt;0),N(U6943),N(U6943)+1))</f>
        <v/>
      </c>
      <c r="V6944" s="19">
        <f>IF($B6944="","",TEXT($B6944,"0000"))</f>
        <v/>
      </c>
      <c r="W6944" s="19">
        <f>IF($I6944="","",IF(ISNUMBER($I6944),TEXT($I6944,"0"),$I6944))</f>
        <v/>
      </c>
    </row>
    <row r="6945">
      <c r="B6945" s="25" t="n"/>
      <c r="I6945" s="25" t="n"/>
      <c r="U6945" s="19">
        <f>IF($V6945&lt;&gt;'設定'!$C$4,N(U6944),IF(OR(NOT(COUNTIF('商品マスタ'!$B$6:$B$1005,$W6945)=0),COUNTIFS('①在庫を貼る'!$V$6:$V$10005,$V6945,'①在庫を貼る'!$W$6:$W$10005,$W6945)&gt;0),N(U6944),N(U6944)+1))</f>
        <v/>
      </c>
      <c r="V6945" s="19">
        <f>IF($B6945="","",TEXT($B6945,"0000"))</f>
        <v/>
      </c>
      <c r="W6945" s="19">
        <f>IF($I6945="","",IF(ISNUMBER($I6945),TEXT($I6945,"0"),$I6945))</f>
        <v/>
      </c>
    </row>
    <row r="6946">
      <c r="B6946" s="25" t="n"/>
      <c r="I6946" s="25" t="n"/>
      <c r="U6946" s="19">
        <f>IF($V6946&lt;&gt;'設定'!$C$4,N(U6945),IF(OR(NOT(COUNTIF('商品マスタ'!$B$6:$B$1005,$W6946)=0),COUNTIFS('①在庫を貼る'!$V$6:$V$10005,$V6946,'①在庫を貼る'!$W$6:$W$10005,$W6946)&gt;0),N(U6945),N(U6945)+1))</f>
        <v/>
      </c>
      <c r="V6946" s="19">
        <f>IF($B6946="","",TEXT($B6946,"0000"))</f>
        <v/>
      </c>
      <c r="W6946" s="19">
        <f>IF($I6946="","",IF(ISNUMBER($I6946),TEXT($I6946,"0"),$I6946))</f>
        <v/>
      </c>
    </row>
    <row r="6947">
      <c r="B6947" s="25" t="n"/>
      <c r="I6947" s="25" t="n"/>
      <c r="U6947" s="19">
        <f>IF($V6947&lt;&gt;'設定'!$C$4,N(U6946),IF(OR(NOT(COUNTIF('商品マスタ'!$B$6:$B$1005,$W6947)=0),COUNTIFS('①在庫を貼る'!$V$6:$V$10005,$V6947,'①在庫を貼る'!$W$6:$W$10005,$W6947)&gt;0),N(U6946),N(U6946)+1))</f>
        <v/>
      </c>
      <c r="V6947" s="19">
        <f>IF($B6947="","",TEXT($B6947,"0000"))</f>
        <v/>
      </c>
      <c r="W6947" s="19">
        <f>IF($I6947="","",IF(ISNUMBER($I6947),TEXT($I6947,"0"),$I6947))</f>
        <v/>
      </c>
    </row>
    <row r="6948">
      <c r="B6948" s="25" t="n"/>
      <c r="I6948" s="25" t="n"/>
      <c r="U6948" s="19">
        <f>IF($V6948&lt;&gt;'設定'!$C$4,N(U6947),IF(OR(NOT(COUNTIF('商品マスタ'!$B$6:$B$1005,$W6948)=0),COUNTIFS('①在庫を貼る'!$V$6:$V$10005,$V6948,'①在庫を貼る'!$W$6:$W$10005,$W6948)&gt;0),N(U6947),N(U6947)+1))</f>
        <v/>
      </c>
      <c r="V6948" s="19">
        <f>IF($B6948="","",TEXT($B6948,"0000"))</f>
        <v/>
      </c>
      <c r="W6948" s="19">
        <f>IF($I6948="","",IF(ISNUMBER($I6948),TEXT($I6948,"0"),$I6948))</f>
        <v/>
      </c>
    </row>
    <row r="6949">
      <c r="B6949" s="25" t="n"/>
      <c r="I6949" s="25" t="n"/>
      <c r="U6949" s="19">
        <f>IF($V6949&lt;&gt;'設定'!$C$4,N(U6948),IF(OR(NOT(COUNTIF('商品マスタ'!$B$6:$B$1005,$W6949)=0),COUNTIFS('①在庫を貼る'!$V$6:$V$10005,$V6949,'①在庫を貼る'!$W$6:$W$10005,$W6949)&gt;0),N(U6948),N(U6948)+1))</f>
        <v/>
      </c>
      <c r="V6949" s="19">
        <f>IF($B6949="","",TEXT($B6949,"0000"))</f>
        <v/>
      </c>
      <c r="W6949" s="19">
        <f>IF($I6949="","",IF(ISNUMBER($I6949),TEXT($I6949,"0"),$I6949))</f>
        <v/>
      </c>
    </row>
    <row r="6950">
      <c r="B6950" s="25" t="n"/>
      <c r="I6950" s="25" t="n"/>
      <c r="U6950" s="19">
        <f>IF($V6950&lt;&gt;'設定'!$C$4,N(U6949),IF(OR(NOT(COUNTIF('商品マスタ'!$B$6:$B$1005,$W6950)=0),COUNTIFS('①在庫を貼る'!$V$6:$V$10005,$V6950,'①在庫を貼る'!$W$6:$W$10005,$W6950)&gt;0),N(U6949),N(U6949)+1))</f>
        <v/>
      </c>
      <c r="V6950" s="19">
        <f>IF($B6950="","",TEXT($B6950,"0000"))</f>
        <v/>
      </c>
      <c r="W6950" s="19">
        <f>IF($I6950="","",IF(ISNUMBER($I6950),TEXT($I6950,"0"),$I6950))</f>
        <v/>
      </c>
    </row>
    <row r="6951">
      <c r="B6951" s="25" t="n"/>
      <c r="I6951" s="25" t="n"/>
      <c r="U6951" s="19">
        <f>IF($V6951&lt;&gt;'設定'!$C$4,N(U6950),IF(OR(NOT(COUNTIF('商品マスタ'!$B$6:$B$1005,$W6951)=0),COUNTIFS('①在庫を貼る'!$V$6:$V$10005,$V6951,'①在庫を貼る'!$W$6:$W$10005,$W6951)&gt;0),N(U6950),N(U6950)+1))</f>
        <v/>
      </c>
      <c r="V6951" s="19">
        <f>IF($B6951="","",TEXT($B6951,"0000"))</f>
        <v/>
      </c>
      <c r="W6951" s="19">
        <f>IF($I6951="","",IF(ISNUMBER($I6951),TEXT($I6951,"0"),$I6951))</f>
        <v/>
      </c>
    </row>
    <row r="6952">
      <c r="B6952" s="25" t="n"/>
      <c r="I6952" s="25" t="n"/>
      <c r="U6952" s="19">
        <f>IF($V6952&lt;&gt;'設定'!$C$4,N(U6951),IF(OR(NOT(COUNTIF('商品マスタ'!$B$6:$B$1005,$W6952)=0),COUNTIFS('①在庫を貼る'!$V$6:$V$10005,$V6952,'①在庫を貼る'!$W$6:$W$10005,$W6952)&gt;0),N(U6951),N(U6951)+1))</f>
        <v/>
      </c>
      <c r="V6952" s="19">
        <f>IF($B6952="","",TEXT($B6952,"0000"))</f>
        <v/>
      </c>
      <c r="W6952" s="19">
        <f>IF($I6952="","",IF(ISNUMBER($I6952),TEXT($I6952,"0"),$I6952))</f>
        <v/>
      </c>
    </row>
    <row r="6953">
      <c r="B6953" s="25" t="n"/>
      <c r="I6953" s="25" t="n"/>
      <c r="U6953" s="19">
        <f>IF($V6953&lt;&gt;'設定'!$C$4,N(U6952),IF(OR(NOT(COUNTIF('商品マスタ'!$B$6:$B$1005,$W6953)=0),COUNTIFS('①在庫を貼る'!$V$6:$V$10005,$V6953,'①在庫を貼る'!$W$6:$W$10005,$W6953)&gt;0),N(U6952),N(U6952)+1))</f>
        <v/>
      </c>
      <c r="V6953" s="19">
        <f>IF($B6953="","",TEXT($B6953,"0000"))</f>
        <v/>
      </c>
      <c r="W6953" s="19">
        <f>IF($I6953="","",IF(ISNUMBER($I6953),TEXT($I6953,"0"),$I6953))</f>
        <v/>
      </c>
    </row>
    <row r="6954">
      <c r="B6954" s="25" t="n"/>
      <c r="I6954" s="25" t="n"/>
      <c r="U6954" s="19">
        <f>IF($V6954&lt;&gt;'設定'!$C$4,N(U6953),IF(OR(NOT(COUNTIF('商品マスタ'!$B$6:$B$1005,$W6954)=0),COUNTIFS('①在庫を貼る'!$V$6:$V$10005,$V6954,'①在庫を貼る'!$W$6:$W$10005,$W6954)&gt;0),N(U6953),N(U6953)+1))</f>
        <v/>
      </c>
      <c r="V6954" s="19">
        <f>IF($B6954="","",TEXT($B6954,"0000"))</f>
        <v/>
      </c>
      <c r="W6954" s="19">
        <f>IF($I6954="","",IF(ISNUMBER($I6954),TEXT($I6954,"0"),$I6954))</f>
        <v/>
      </c>
    </row>
    <row r="6955">
      <c r="B6955" s="25" t="n"/>
      <c r="I6955" s="25" t="n"/>
      <c r="U6955" s="19">
        <f>IF($V6955&lt;&gt;'設定'!$C$4,N(U6954),IF(OR(NOT(COUNTIF('商品マスタ'!$B$6:$B$1005,$W6955)=0),COUNTIFS('①在庫を貼る'!$V$6:$V$10005,$V6955,'①在庫を貼る'!$W$6:$W$10005,$W6955)&gt;0),N(U6954),N(U6954)+1))</f>
        <v/>
      </c>
      <c r="V6955" s="19">
        <f>IF($B6955="","",TEXT($B6955,"0000"))</f>
        <v/>
      </c>
      <c r="W6955" s="19">
        <f>IF($I6955="","",IF(ISNUMBER($I6955),TEXT($I6955,"0"),$I6955))</f>
        <v/>
      </c>
    </row>
    <row r="6956">
      <c r="B6956" s="25" t="n"/>
      <c r="I6956" s="25" t="n"/>
      <c r="U6956" s="19">
        <f>IF($V6956&lt;&gt;'設定'!$C$4,N(U6955),IF(OR(NOT(COUNTIF('商品マスタ'!$B$6:$B$1005,$W6956)=0),COUNTIFS('①在庫を貼る'!$V$6:$V$10005,$V6956,'①在庫を貼る'!$W$6:$W$10005,$W6956)&gt;0),N(U6955),N(U6955)+1))</f>
        <v/>
      </c>
      <c r="V6956" s="19">
        <f>IF($B6956="","",TEXT($B6956,"0000"))</f>
        <v/>
      </c>
      <c r="W6956" s="19">
        <f>IF($I6956="","",IF(ISNUMBER($I6956),TEXT($I6956,"0"),$I6956))</f>
        <v/>
      </c>
    </row>
    <row r="6957">
      <c r="B6957" s="25" t="n"/>
      <c r="I6957" s="25" t="n"/>
      <c r="U6957" s="19">
        <f>IF($V6957&lt;&gt;'設定'!$C$4,N(U6956),IF(OR(NOT(COUNTIF('商品マスタ'!$B$6:$B$1005,$W6957)=0),COUNTIFS('①在庫を貼る'!$V$6:$V$10005,$V6957,'①在庫を貼る'!$W$6:$W$10005,$W6957)&gt;0),N(U6956),N(U6956)+1))</f>
        <v/>
      </c>
      <c r="V6957" s="19">
        <f>IF($B6957="","",TEXT($B6957,"0000"))</f>
        <v/>
      </c>
      <c r="W6957" s="19">
        <f>IF($I6957="","",IF(ISNUMBER($I6957),TEXT($I6957,"0"),$I6957))</f>
        <v/>
      </c>
    </row>
    <row r="6958">
      <c r="B6958" s="25" t="n"/>
      <c r="I6958" s="25" t="n"/>
      <c r="U6958" s="19">
        <f>IF($V6958&lt;&gt;'設定'!$C$4,N(U6957),IF(OR(NOT(COUNTIF('商品マスタ'!$B$6:$B$1005,$W6958)=0),COUNTIFS('①在庫を貼る'!$V$6:$V$10005,$V6958,'①在庫を貼る'!$W$6:$W$10005,$W6958)&gt;0),N(U6957),N(U6957)+1))</f>
        <v/>
      </c>
      <c r="V6958" s="19">
        <f>IF($B6958="","",TEXT($B6958,"0000"))</f>
        <v/>
      </c>
      <c r="W6958" s="19">
        <f>IF($I6958="","",IF(ISNUMBER($I6958),TEXT($I6958,"0"),$I6958))</f>
        <v/>
      </c>
    </row>
    <row r="6959">
      <c r="B6959" s="25" t="n"/>
      <c r="I6959" s="25" t="n"/>
      <c r="U6959" s="19">
        <f>IF($V6959&lt;&gt;'設定'!$C$4,N(U6958),IF(OR(NOT(COUNTIF('商品マスタ'!$B$6:$B$1005,$W6959)=0),COUNTIFS('①在庫を貼る'!$V$6:$V$10005,$V6959,'①在庫を貼る'!$W$6:$W$10005,$W6959)&gt;0),N(U6958),N(U6958)+1))</f>
        <v/>
      </c>
      <c r="V6959" s="19">
        <f>IF($B6959="","",TEXT($B6959,"0000"))</f>
        <v/>
      </c>
      <c r="W6959" s="19">
        <f>IF($I6959="","",IF(ISNUMBER($I6959),TEXT($I6959,"0"),$I6959))</f>
        <v/>
      </c>
    </row>
    <row r="6960">
      <c r="B6960" s="25" t="n"/>
      <c r="I6960" s="25" t="n"/>
      <c r="U6960" s="19">
        <f>IF($V6960&lt;&gt;'設定'!$C$4,N(U6959),IF(OR(NOT(COUNTIF('商品マスタ'!$B$6:$B$1005,$W6960)=0),COUNTIFS('①在庫を貼る'!$V$6:$V$10005,$V6960,'①在庫を貼る'!$W$6:$W$10005,$W6960)&gt;0),N(U6959),N(U6959)+1))</f>
        <v/>
      </c>
      <c r="V6960" s="19">
        <f>IF($B6960="","",TEXT($B6960,"0000"))</f>
        <v/>
      </c>
      <c r="W6960" s="19">
        <f>IF($I6960="","",IF(ISNUMBER($I6960),TEXT($I6960,"0"),$I6960))</f>
        <v/>
      </c>
    </row>
    <row r="6961">
      <c r="B6961" s="25" t="n"/>
      <c r="I6961" s="25" t="n"/>
      <c r="U6961" s="19">
        <f>IF($V6961&lt;&gt;'設定'!$C$4,N(U6960),IF(OR(NOT(COUNTIF('商品マスタ'!$B$6:$B$1005,$W6961)=0),COUNTIFS('①在庫を貼る'!$V$6:$V$10005,$V6961,'①在庫を貼る'!$W$6:$W$10005,$W6961)&gt;0),N(U6960),N(U6960)+1))</f>
        <v/>
      </c>
      <c r="V6961" s="19">
        <f>IF($B6961="","",TEXT($B6961,"0000"))</f>
        <v/>
      </c>
      <c r="W6961" s="19">
        <f>IF($I6961="","",IF(ISNUMBER($I6961),TEXT($I6961,"0"),$I6961))</f>
        <v/>
      </c>
    </row>
    <row r="6962">
      <c r="B6962" s="25" t="n"/>
      <c r="I6962" s="25" t="n"/>
      <c r="U6962" s="19">
        <f>IF($V6962&lt;&gt;'設定'!$C$4,N(U6961),IF(OR(NOT(COUNTIF('商品マスタ'!$B$6:$B$1005,$W6962)=0),COUNTIFS('①在庫を貼る'!$V$6:$V$10005,$V6962,'①在庫を貼る'!$W$6:$W$10005,$W6962)&gt;0),N(U6961),N(U6961)+1))</f>
        <v/>
      </c>
      <c r="V6962" s="19">
        <f>IF($B6962="","",TEXT($B6962,"0000"))</f>
        <v/>
      </c>
      <c r="W6962" s="19">
        <f>IF($I6962="","",IF(ISNUMBER($I6962),TEXT($I6962,"0"),$I6962))</f>
        <v/>
      </c>
    </row>
    <row r="6963">
      <c r="B6963" s="25" t="n"/>
      <c r="I6963" s="25" t="n"/>
      <c r="U6963" s="19">
        <f>IF($V6963&lt;&gt;'設定'!$C$4,N(U6962),IF(OR(NOT(COUNTIF('商品マスタ'!$B$6:$B$1005,$W6963)=0),COUNTIFS('①在庫を貼る'!$V$6:$V$10005,$V6963,'①在庫を貼る'!$W$6:$W$10005,$W6963)&gt;0),N(U6962),N(U6962)+1))</f>
        <v/>
      </c>
      <c r="V6963" s="19">
        <f>IF($B6963="","",TEXT($B6963,"0000"))</f>
        <v/>
      </c>
      <c r="W6963" s="19">
        <f>IF($I6963="","",IF(ISNUMBER($I6963),TEXT($I6963,"0"),$I6963))</f>
        <v/>
      </c>
    </row>
    <row r="6964">
      <c r="B6964" s="25" t="n"/>
      <c r="I6964" s="25" t="n"/>
      <c r="U6964" s="19">
        <f>IF($V6964&lt;&gt;'設定'!$C$4,N(U6963),IF(OR(NOT(COUNTIF('商品マスタ'!$B$6:$B$1005,$W6964)=0),COUNTIFS('①在庫を貼る'!$V$6:$V$10005,$V6964,'①在庫を貼る'!$W$6:$W$10005,$W6964)&gt;0),N(U6963),N(U6963)+1))</f>
        <v/>
      </c>
      <c r="V6964" s="19">
        <f>IF($B6964="","",TEXT($B6964,"0000"))</f>
        <v/>
      </c>
      <c r="W6964" s="19">
        <f>IF($I6964="","",IF(ISNUMBER($I6964),TEXT($I6964,"0"),$I6964))</f>
        <v/>
      </c>
    </row>
    <row r="6965">
      <c r="B6965" s="25" t="n"/>
      <c r="I6965" s="25" t="n"/>
      <c r="U6965" s="19">
        <f>IF($V6965&lt;&gt;'設定'!$C$4,N(U6964),IF(OR(NOT(COUNTIF('商品マスタ'!$B$6:$B$1005,$W6965)=0),COUNTIFS('①在庫を貼る'!$V$6:$V$10005,$V6965,'①在庫を貼る'!$W$6:$W$10005,$W6965)&gt;0),N(U6964),N(U6964)+1))</f>
        <v/>
      </c>
      <c r="V6965" s="19">
        <f>IF($B6965="","",TEXT($B6965,"0000"))</f>
        <v/>
      </c>
      <c r="W6965" s="19">
        <f>IF($I6965="","",IF(ISNUMBER($I6965),TEXT($I6965,"0"),$I6965))</f>
        <v/>
      </c>
    </row>
    <row r="6966">
      <c r="B6966" s="25" t="n"/>
      <c r="I6966" s="25" t="n"/>
      <c r="U6966" s="19">
        <f>IF($V6966&lt;&gt;'設定'!$C$4,N(U6965),IF(OR(NOT(COUNTIF('商品マスタ'!$B$6:$B$1005,$W6966)=0),COUNTIFS('①在庫を貼る'!$V$6:$V$10005,$V6966,'①在庫を貼る'!$W$6:$W$10005,$W6966)&gt;0),N(U6965),N(U6965)+1))</f>
        <v/>
      </c>
      <c r="V6966" s="19">
        <f>IF($B6966="","",TEXT($B6966,"0000"))</f>
        <v/>
      </c>
      <c r="W6966" s="19">
        <f>IF($I6966="","",IF(ISNUMBER($I6966),TEXT($I6966,"0"),$I6966))</f>
        <v/>
      </c>
    </row>
    <row r="6967">
      <c r="B6967" s="25" t="n"/>
      <c r="I6967" s="25" t="n"/>
      <c r="U6967" s="19">
        <f>IF($V6967&lt;&gt;'設定'!$C$4,N(U6966),IF(OR(NOT(COUNTIF('商品マスタ'!$B$6:$B$1005,$W6967)=0),COUNTIFS('①在庫を貼る'!$V$6:$V$10005,$V6967,'①在庫を貼る'!$W$6:$W$10005,$W6967)&gt;0),N(U6966),N(U6966)+1))</f>
        <v/>
      </c>
      <c r="V6967" s="19">
        <f>IF($B6967="","",TEXT($B6967,"0000"))</f>
        <v/>
      </c>
      <c r="W6967" s="19">
        <f>IF($I6967="","",IF(ISNUMBER($I6967),TEXT($I6967,"0"),$I6967))</f>
        <v/>
      </c>
    </row>
    <row r="6968">
      <c r="B6968" s="25" t="n"/>
      <c r="I6968" s="25" t="n"/>
      <c r="U6968" s="19">
        <f>IF($V6968&lt;&gt;'設定'!$C$4,N(U6967),IF(OR(NOT(COUNTIF('商品マスタ'!$B$6:$B$1005,$W6968)=0),COUNTIFS('①在庫を貼る'!$V$6:$V$10005,$V6968,'①在庫を貼る'!$W$6:$W$10005,$W6968)&gt;0),N(U6967),N(U6967)+1))</f>
        <v/>
      </c>
      <c r="V6968" s="19">
        <f>IF($B6968="","",TEXT($B6968,"0000"))</f>
        <v/>
      </c>
      <c r="W6968" s="19">
        <f>IF($I6968="","",IF(ISNUMBER($I6968),TEXT($I6968,"0"),$I6968))</f>
        <v/>
      </c>
    </row>
    <row r="6969">
      <c r="B6969" s="25" t="n"/>
      <c r="I6969" s="25" t="n"/>
      <c r="U6969" s="19">
        <f>IF($V6969&lt;&gt;'設定'!$C$4,N(U6968),IF(OR(NOT(COUNTIF('商品マスタ'!$B$6:$B$1005,$W6969)=0),COUNTIFS('①在庫を貼る'!$V$6:$V$10005,$V6969,'①在庫を貼る'!$W$6:$W$10005,$W6969)&gt;0),N(U6968),N(U6968)+1))</f>
        <v/>
      </c>
      <c r="V6969" s="19">
        <f>IF($B6969="","",TEXT($B6969,"0000"))</f>
        <v/>
      </c>
      <c r="W6969" s="19">
        <f>IF($I6969="","",IF(ISNUMBER($I6969),TEXT($I6969,"0"),$I6969))</f>
        <v/>
      </c>
    </row>
    <row r="6970">
      <c r="B6970" s="25" t="n"/>
      <c r="I6970" s="25" t="n"/>
      <c r="U6970" s="19">
        <f>IF($V6970&lt;&gt;'設定'!$C$4,N(U6969),IF(OR(NOT(COUNTIF('商品マスタ'!$B$6:$B$1005,$W6970)=0),COUNTIFS('①在庫を貼る'!$V$6:$V$10005,$V6970,'①在庫を貼る'!$W$6:$W$10005,$W6970)&gt;0),N(U6969),N(U6969)+1))</f>
        <v/>
      </c>
      <c r="V6970" s="19">
        <f>IF($B6970="","",TEXT($B6970,"0000"))</f>
        <v/>
      </c>
      <c r="W6970" s="19">
        <f>IF($I6970="","",IF(ISNUMBER($I6970),TEXT($I6970,"0"),$I6970))</f>
        <v/>
      </c>
    </row>
    <row r="6971">
      <c r="B6971" s="25" t="n"/>
      <c r="I6971" s="25" t="n"/>
      <c r="U6971" s="19">
        <f>IF($V6971&lt;&gt;'設定'!$C$4,N(U6970),IF(OR(NOT(COUNTIF('商品マスタ'!$B$6:$B$1005,$W6971)=0),COUNTIFS('①在庫を貼る'!$V$6:$V$10005,$V6971,'①在庫を貼る'!$W$6:$W$10005,$W6971)&gt;0),N(U6970),N(U6970)+1))</f>
        <v/>
      </c>
      <c r="V6971" s="19">
        <f>IF($B6971="","",TEXT($B6971,"0000"))</f>
        <v/>
      </c>
      <c r="W6971" s="19">
        <f>IF($I6971="","",IF(ISNUMBER($I6971),TEXT($I6971,"0"),$I6971))</f>
        <v/>
      </c>
    </row>
    <row r="6972">
      <c r="B6972" s="25" t="n"/>
      <c r="I6972" s="25" t="n"/>
      <c r="U6972" s="19">
        <f>IF($V6972&lt;&gt;'設定'!$C$4,N(U6971),IF(OR(NOT(COUNTIF('商品マスタ'!$B$6:$B$1005,$W6972)=0),COUNTIFS('①在庫を貼る'!$V$6:$V$10005,$V6972,'①在庫を貼る'!$W$6:$W$10005,$W6972)&gt;0),N(U6971),N(U6971)+1))</f>
        <v/>
      </c>
      <c r="V6972" s="19">
        <f>IF($B6972="","",TEXT($B6972,"0000"))</f>
        <v/>
      </c>
      <c r="W6972" s="19">
        <f>IF($I6972="","",IF(ISNUMBER($I6972),TEXT($I6972,"0"),$I6972))</f>
        <v/>
      </c>
    </row>
    <row r="6973">
      <c r="B6973" s="25" t="n"/>
      <c r="I6973" s="25" t="n"/>
      <c r="U6973" s="19">
        <f>IF($V6973&lt;&gt;'設定'!$C$4,N(U6972),IF(OR(NOT(COUNTIF('商品マスタ'!$B$6:$B$1005,$W6973)=0),COUNTIFS('①在庫を貼る'!$V$6:$V$10005,$V6973,'①在庫を貼る'!$W$6:$W$10005,$W6973)&gt;0),N(U6972),N(U6972)+1))</f>
        <v/>
      </c>
      <c r="V6973" s="19">
        <f>IF($B6973="","",TEXT($B6973,"0000"))</f>
        <v/>
      </c>
      <c r="W6973" s="19">
        <f>IF($I6973="","",IF(ISNUMBER($I6973),TEXT($I6973,"0"),$I6973))</f>
        <v/>
      </c>
    </row>
    <row r="6974">
      <c r="B6974" s="25" t="n"/>
      <c r="I6974" s="25" t="n"/>
      <c r="U6974" s="19">
        <f>IF($V6974&lt;&gt;'設定'!$C$4,N(U6973),IF(OR(NOT(COUNTIF('商品マスタ'!$B$6:$B$1005,$W6974)=0),COUNTIFS('①在庫を貼る'!$V$6:$V$10005,$V6974,'①在庫を貼る'!$W$6:$W$10005,$W6974)&gt;0),N(U6973),N(U6973)+1))</f>
        <v/>
      </c>
      <c r="V6974" s="19">
        <f>IF($B6974="","",TEXT($B6974,"0000"))</f>
        <v/>
      </c>
      <c r="W6974" s="19">
        <f>IF($I6974="","",IF(ISNUMBER($I6974),TEXT($I6974,"0"),$I6974))</f>
        <v/>
      </c>
    </row>
    <row r="6975">
      <c r="B6975" s="25" t="n"/>
      <c r="I6975" s="25" t="n"/>
      <c r="U6975" s="19">
        <f>IF($V6975&lt;&gt;'設定'!$C$4,N(U6974),IF(OR(NOT(COUNTIF('商品マスタ'!$B$6:$B$1005,$W6975)=0),COUNTIFS('①在庫を貼る'!$V$6:$V$10005,$V6975,'①在庫を貼る'!$W$6:$W$10005,$W6975)&gt;0),N(U6974),N(U6974)+1))</f>
        <v/>
      </c>
      <c r="V6975" s="19">
        <f>IF($B6975="","",TEXT($B6975,"0000"))</f>
        <v/>
      </c>
      <c r="W6975" s="19">
        <f>IF($I6975="","",IF(ISNUMBER($I6975),TEXT($I6975,"0"),$I6975))</f>
        <v/>
      </c>
    </row>
    <row r="6976">
      <c r="B6976" s="25" t="n"/>
      <c r="I6976" s="25" t="n"/>
      <c r="U6976" s="19">
        <f>IF($V6976&lt;&gt;'設定'!$C$4,N(U6975),IF(OR(NOT(COUNTIF('商品マスタ'!$B$6:$B$1005,$W6976)=0),COUNTIFS('①在庫を貼る'!$V$6:$V$10005,$V6976,'①在庫を貼る'!$W$6:$W$10005,$W6976)&gt;0),N(U6975),N(U6975)+1))</f>
        <v/>
      </c>
      <c r="V6976" s="19">
        <f>IF($B6976="","",TEXT($B6976,"0000"))</f>
        <v/>
      </c>
      <c r="W6976" s="19">
        <f>IF($I6976="","",IF(ISNUMBER($I6976),TEXT($I6976,"0"),$I6976))</f>
        <v/>
      </c>
    </row>
    <row r="6977">
      <c r="B6977" s="25" t="n"/>
      <c r="I6977" s="25" t="n"/>
      <c r="U6977" s="19">
        <f>IF($V6977&lt;&gt;'設定'!$C$4,N(U6976),IF(OR(NOT(COUNTIF('商品マスタ'!$B$6:$B$1005,$W6977)=0),COUNTIFS('①在庫を貼る'!$V$6:$V$10005,$V6977,'①在庫を貼る'!$W$6:$W$10005,$W6977)&gt;0),N(U6976),N(U6976)+1))</f>
        <v/>
      </c>
      <c r="V6977" s="19">
        <f>IF($B6977="","",TEXT($B6977,"0000"))</f>
        <v/>
      </c>
      <c r="W6977" s="19">
        <f>IF($I6977="","",IF(ISNUMBER($I6977),TEXT($I6977,"0"),$I6977))</f>
        <v/>
      </c>
    </row>
    <row r="6978">
      <c r="B6978" s="25" t="n"/>
      <c r="I6978" s="25" t="n"/>
      <c r="U6978" s="19">
        <f>IF($V6978&lt;&gt;'設定'!$C$4,N(U6977),IF(OR(NOT(COUNTIF('商品マスタ'!$B$6:$B$1005,$W6978)=0),COUNTIFS('①在庫を貼る'!$V$6:$V$10005,$V6978,'①在庫を貼る'!$W$6:$W$10005,$W6978)&gt;0),N(U6977),N(U6977)+1))</f>
        <v/>
      </c>
      <c r="V6978" s="19">
        <f>IF($B6978="","",TEXT($B6978,"0000"))</f>
        <v/>
      </c>
      <c r="W6978" s="19">
        <f>IF($I6978="","",IF(ISNUMBER($I6978),TEXT($I6978,"0"),$I6978))</f>
        <v/>
      </c>
    </row>
    <row r="6979">
      <c r="B6979" s="25" t="n"/>
      <c r="I6979" s="25" t="n"/>
      <c r="U6979" s="19">
        <f>IF($V6979&lt;&gt;'設定'!$C$4,N(U6978),IF(OR(NOT(COUNTIF('商品マスタ'!$B$6:$B$1005,$W6979)=0),COUNTIFS('①在庫を貼る'!$V$6:$V$10005,$V6979,'①在庫を貼る'!$W$6:$W$10005,$W6979)&gt;0),N(U6978),N(U6978)+1))</f>
        <v/>
      </c>
      <c r="V6979" s="19">
        <f>IF($B6979="","",TEXT($B6979,"0000"))</f>
        <v/>
      </c>
      <c r="W6979" s="19">
        <f>IF($I6979="","",IF(ISNUMBER($I6979),TEXT($I6979,"0"),$I6979))</f>
        <v/>
      </c>
    </row>
    <row r="6980">
      <c r="B6980" s="25" t="n"/>
      <c r="I6980" s="25" t="n"/>
      <c r="U6980" s="19">
        <f>IF($V6980&lt;&gt;'設定'!$C$4,N(U6979),IF(OR(NOT(COUNTIF('商品マスタ'!$B$6:$B$1005,$W6980)=0),COUNTIFS('①在庫を貼る'!$V$6:$V$10005,$V6980,'①在庫を貼る'!$W$6:$W$10005,$W6980)&gt;0),N(U6979),N(U6979)+1))</f>
        <v/>
      </c>
      <c r="V6980" s="19">
        <f>IF($B6980="","",TEXT($B6980,"0000"))</f>
        <v/>
      </c>
      <c r="W6980" s="19">
        <f>IF($I6980="","",IF(ISNUMBER($I6980),TEXT($I6980,"0"),$I6980))</f>
        <v/>
      </c>
    </row>
    <row r="6981">
      <c r="B6981" s="25" t="n"/>
      <c r="I6981" s="25" t="n"/>
      <c r="U6981" s="19">
        <f>IF($V6981&lt;&gt;'設定'!$C$4,N(U6980),IF(OR(NOT(COUNTIF('商品マスタ'!$B$6:$B$1005,$W6981)=0),COUNTIFS('①在庫を貼る'!$V$6:$V$10005,$V6981,'①在庫を貼る'!$W$6:$W$10005,$W6981)&gt;0),N(U6980),N(U6980)+1))</f>
        <v/>
      </c>
      <c r="V6981" s="19">
        <f>IF($B6981="","",TEXT($B6981,"0000"))</f>
        <v/>
      </c>
      <c r="W6981" s="19">
        <f>IF($I6981="","",IF(ISNUMBER($I6981),TEXT($I6981,"0"),$I6981))</f>
        <v/>
      </c>
    </row>
    <row r="6982">
      <c r="B6982" s="25" t="n"/>
      <c r="I6982" s="25" t="n"/>
      <c r="U6982" s="19">
        <f>IF($V6982&lt;&gt;'設定'!$C$4,N(U6981),IF(OR(NOT(COUNTIF('商品マスタ'!$B$6:$B$1005,$W6982)=0),COUNTIFS('①在庫を貼る'!$V$6:$V$10005,$V6982,'①在庫を貼る'!$W$6:$W$10005,$W6982)&gt;0),N(U6981),N(U6981)+1))</f>
        <v/>
      </c>
      <c r="V6982" s="19">
        <f>IF($B6982="","",TEXT($B6982,"0000"))</f>
        <v/>
      </c>
      <c r="W6982" s="19">
        <f>IF($I6982="","",IF(ISNUMBER($I6982),TEXT($I6982,"0"),$I6982))</f>
        <v/>
      </c>
    </row>
    <row r="6983">
      <c r="B6983" s="25" t="n"/>
      <c r="I6983" s="25" t="n"/>
      <c r="U6983" s="19">
        <f>IF($V6983&lt;&gt;'設定'!$C$4,N(U6982),IF(OR(NOT(COUNTIF('商品マスタ'!$B$6:$B$1005,$W6983)=0),COUNTIFS('①在庫を貼る'!$V$6:$V$10005,$V6983,'①在庫を貼る'!$W$6:$W$10005,$W6983)&gt;0),N(U6982),N(U6982)+1))</f>
        <v/>
      </c>
      <c r="V6983" s="19">
        <f>IF($B6983="","",TEXT($B6983,"0000"))</f>
        <v/>
      </c>
      <c r="W6983" s="19">
        <f>IF($I6983="","",IF(ISNUMBER($I6983),TEXT($I6983,"0"),$I6983))</f>
        <v/>
      </c>
    </row>
    <row r="6984">
      <c r="B6984" s="25" t="n"/>
      <c r="I6984" s="25" t="n"/>
      <c r="U6984" s="19">
        <f>IF($V6984&lt;&gt;'設定'!$C$4,N(U6983),IF(OR(NOT(COUNTIF('商品マスタ'!$B$6:$B$1005,$W6984)=0),COUNTIFS('①在庫を貼る'!$V$6:$V$10005,$V6984,'①在庫を貼る'!$W$6:$W$10005,$W6984)&gt;0),N(U6983),N(U6983)+1))</f>
        <v/>
      </c>
      <c r="V6984" s="19">
        <f>IF($B6984="","",TEXT($B6984,"0000"))</f>
        <v/>
      </c>
      <c r="W6984" s="19">
        <f>IF($I6984="","",IF(ISNUMBER($I6984),TEXT($I6984,"0"),$I6984))</f>
        <v/>
      </c>
    </row>
    <row r="6985">
      <c r="B6985" s="25" t="n"/>
      <c r="I6985" s="25" t="n"/>
      <c r="U6985" s="19">
        <f>IF($V6985&lt;&gt;'設定'!$C$4,N(U6984),IF(OR(NOT(COUNTIF('商品マスタ'!$B$6:$B$1005,$W6985)=0),COUNTIFS('①在庫を貼る'!$V$6:$V$10005,$V6985,'①在庫を貼る'!$W$6:$W$10005,$W6985)&gt;0),N(U6984),N(U6984)+1))</f>
        <v/>
      </c>
      <c r="V6985" s="19">
        <f>IF($B6985="","",TEXT($B6985,"0000"))</f>
        <v/>
      </c>
      <c r="W6985" s="19">
        <f>IF($I6985="","",IF(ISNUMBER($I6985),TEXT($I6985,"0"),$I6985))</f>
        <v/>
      </c>
    </row>
    <row r="6986">
      <c r="B6986" s="25" t="n"/>
      <c r="I6986" s="25" t="n"/>
      <c r="U6986" s="19">
        <f>IF($V6986&lt;&gt;'設定'!$C$4,N(U6985),IF(OR(NOT(COUNTIF('商品マスタ'!$B$6:$B$1005,$W6986)=0),COUNTIFS('①在庫を貼る'!$V$6:$V$10005,$V6986,'①在庫を貼る'!$W$6:$W$10005,$W6986)&gt;0),N(U6985),N(U6985)+1))</f>
        <v/>
      </c>
      <c r="V6986" s="19">
        <f>IF($B6986="","",TEXT($B6986,"0000"))</f>
        <v/>
      </c>
      <c r="W6986" s="19">
        <f>IF($I6986="","",IF(ISNUMBER($I6986),TEXT($I6986,"0"),$I6986))</f>
        <v/>
      </c>
    </row>
    <row r="6987">
      <c r="B6987" s="25" t="n"/>
      <c r="I6987" s="25" t="n"/>
      <c r="U6987" s="19">
        <f>IF($V6987&lt;&gt;'設定'!$C$4,N(U6986),IF(OR(NOT(COUNTIF('商品マスタ'!$B$6:$B$1005,$W6987)=0),COUNTIFS('①在庫を貼る'!$V$6:$V$10005,$V6987,'①在庫を貼る'!$W$6:$W$10005,$W6987)&gt;0),N(U6986),N(U6986)+1))</f>
        <v/>
      </c>
      <c r="V6987" s="19">
        <f>IF($B6987="","",TEXT($B6987,"0000"))</f>
        <v/>
      </c>
      <c r="W6987" s="19">
        <f>IF($I6987="","",IF(ISNUMBER($I6987),TEXT($I6987,"0"),$I6987))</f>
        <v/>
      </c>
    </row>
    <row r="6988">
      <c r="B6988" s="25" t="n"/>
      <c r="I6988" s="25" t="n"/>
      <c r="U6988" s="19">
        <f>IF($V6988&lt;&gt;'設定'!$C$4,N(U6987),IF(OR(NOT(COUNTIF('商品マスタ'!$B$6:$B$1005,$W6988)=0),COUNTIFS('①在庫を貼る'!$V$6:$V$10005,$V6988,'①在庫を貼る'!$W$6:$W$10005,$W6988)&gt;0),N(U6987),N(U6987)+1))</f>
        <v/>
      </c>
      <c r="V6988" s="19">
        <f>IF($B6988="","",TEXT($B6988,"0000"))</f>
        <v/>
      </c>
      <c r="W6988" s="19">
        <f>IF($I6988="","",IF(ISNUMBER($I6988),TEXT($I6988,"0"),$I6988))</f>
        <v/>
      </c>
    </row>
    <row r="6989">
      <c r="B6989" s="25" t="n"/>
      <c r="I6989" s="25" t="n"/>
      <c r="U6989" s="19">
        <f>IF($V6989&lt;&gt;'設定'!$C$4,N(U6988),IF(OR(NOT(COUNTIF('商品マスタ'!$B$6:$B$1005,$W6989)=0),COUNTIFS('①在庫を貼る'!$V$6:$V$10005,$V6989,'①在庫を貼る'!$W$6:$W$10005,$W6989)&gt;0),N(U6988),N(U6988)+1))</f>
        <v/>
      </c>
      <c r="V6989" s="19">
        <f>IF($B6989="","",TEXT($B6989,"0000"))</f>
        <v/>
      </c>
      <c r="W6989" s="19">
        <f>IF($I6989="","",IF(ISNUMBER($I6989),TEXT($I6989,"0"),$I6989))</f>
        <v/>
      </c>
    </row>
    <row r="6990">
      <c r="B6990" s="25" t="n"/>
      <c r="I6990" s="25" t="n"/>
      <c r="U6990" s="19">
        <f>IF($V6990&lt;&gt;'設定'!$C$4,N(U6989),IF(OR(NOT(COUNTIF('商品マスタ'!$B$6:$B$1005,$W6990)=0),COUNTIFS('①在庫を貼る'!$V$6:$V$10005,$V6990,'①在庫を貼る'!$W$6:$W$10005,$W6990)&gt;0),N(U6989),N(U6989)+1))</f>
        <v/>
      </c>
      <c r="V6990" s="19">
        <f>IF($B6990="","",TEXT($B6990,"0000"))</f>
        <v/>
      </c>
      <c r="W6990" s="19">
        <f>IF($I6990="","",IF(ISNUMBER($I6990),TEXT($I6990,"0"),$I6990))</f>
        <v/>
      </c>
    </row>
    <row r="6991">
      <c r="B6991" s="25" t="n"/>
      <c r="I6991" s="25" t="n"/>
      <c r="U6991" s="19">
        <f>IF($V6991&lt;&gt;'設定'!$C$4,N(U6990),IF(OR(NOT(COUNTIF('商品マスタ'!$B$6:$B$1005,$W6991)=0),COUNTIFS('①在庫を貼る'!$V$6:$V$10005,$V6991,'①在庫を貼る'!$W$6:$W$10005,$W6991)&gt;0),N(U6990),N(U6990)+1))</f>
        <v/>
      </c>
      <c r="V6991" s="19">
        <f>IF($B6991="","",TEXT($B6991,"0000"))</f>
        <v/>
      </c>
      <c r="W6991" s="19">
        <f>IF($I6991="","",IF(ISNUMBER($I6991),TEXT($I6991,"0"),$I6991))</f>
        <v/>
      </c>
    </row>
    <row r="6992">
      <c r="B6992" s="25" t="n"/>
      <c r="I6992" s="25" t="n"/>
      <c r="U6992" s="19">
        <f>IF($V6992&lt;&gt;'設定'!$C$4,N(U6991),IF(OR(NOT(COUNTIF('商品マスタ'!$B$6:$B$1005,$W6992)=0),COUNTIFS('①在庫を貼る'!$V$6:$V$10005,$V6992,'①在庫を貼る'!$W$6:$W$10005,$W6992)&gt;0),N(U6991),N(U6991)+1))</f>
        <v/>
      </c>
      <c r="V6992" s="19">
        <f>IF($B6992="","",TEXT($B6992,"0000"))</f>
        <v/>
      </c>
      <c r="W6992" s="19">
        <f>IF($I6992="","",IF(ISNUMBER($I6992),TEXT($I6992,"0"),$I6992))</f>
        <v/>
      </c>
    </row>
    <row r="6993">
      <c r="B6993" s="25" t="n"/>
      <c r="I6993" s="25" t="n"/>
      <c r="U6993" s="19">
        <f>IF($V6993&lt;&gt;'設定'!$C$4,N(U6992),IF(OR(NOT(COUNTIF('商品マスタ'!$B$6:$B$1005,$W6993)=0),COUNTIFS('①在庫を貼る'!$V$6:$V$10005,$V6993,'①在庫を貼る'!$W$6:$W$10005,$W6993)&gt;0),N(U6992),N(U6992)+1))</f>
        <v/>
      </c>
      <c r="V6993" s="19">
        <f>IF($B6993="","",TEXT($B6993,"0000"))</f>
        <v/>
      </c>
      <c r="W6993" s="19">
        <f>IF($I6993="","",IF(ISNUMBER($I6993),TEXT($I6993,"0"),$I6993))</f>
        <v/>
      </c>
    </row>
    <row r="6994">
      <c r="B6994" s="25" t="n"/>
      <c r="I6994" s="25" t="n"/>
      <c r="U6994" s="19">
        <f>IF($V6994&lt;&gt;'設定'!$C$4,N(U6993),IF(OR(NOT(COUNTIF('商品マスタ'!$B$6:$B$1005,$W6994)=0),COUNTIFS('①在庫を貼る'!$V$6:$V$10005,$V6994,'①在庫を貼る'!$W$6:$W$10005,$W6994)&gt;0),N(U6993),N(U6993)+1))</f>
        <v/>
      </c>
      <c r="V6994" s="19">
        <f>IF($B6994="","",TEXT($B6994,"0000"))</f>
        <v/>
      </c>
      <c r="W6994" s="19">
        <f>IF($I6994="","",IF(ISNUMBER($I6994),TEXT($I6994,"0"),$I6994))</f>
        <v/>
      </c>
    </row>
    <row r="6995">
      <c r="B6995" s="25" t="n"/>
      <c r="I6995" s="25" t="n"/>
      <c r="U6995" s="19">
        <f>IF($V6995&lt;&gt;'設定'!$C$4,N(U6994),IF(OR(NOT(COUNTIF('商品マスタ'!$B$6:$B$1005,$W6995)=0),COUNTIFS('①在庫を貼る'!$V$6:$V$10005,$V6995,'①在庫を貼る'!$W$6:$W$10005,$W6995)&gt;0),N(U6994),N(U6994)+1))</f>
        <v/>
      </c>
      <c r="V6995" s="19">
        <f>IF($B6995="","",TEXT($B6995,"0000"))</f>
        <v/>
      </c>
      <c r="W6995" s="19">
        <f>IF($I6995="","",IF(ISNUMBER($I6995),TEXT($I6995,"0"),$I6995))</f>
        <v/>
      </c>
    </row>
    <row r="6996">
      <c r="B6996" s="25" t="n"/>
      <c r="I6996" s="25" t="n"/>
      <c r="U6996" s="19">
        <f>IF($V6996&lt;&gt;'設定'!$C$4,N(U6995),IF(OR(NOT(COUNTIF('商品マスタ'!$B$6:$B$1005,$W6996)=0),COUNTIFS('①在庫を貼る'!$V$6:$V$10005,$V6996,'①在庫を貼る'!$W$6:$W$10005,$W6996)&gt;0),N(U6995),N(U6995)+1))</f>
        <v/>
      </c>
      <c r="V6996" s="19">
        <f>IF($B6996="","",TEXT($B6996,"0000"))</f>
        <v/>
      </c>
      <c r="W6996" s="19">
        <f>IF($I6996="","",IF(ISNUMBER($I6996),TEXT($I6996,"0"),$I6996))</f>
        <v/>
      </c>
    </row>
    <row r="6997">
      <c r="B6997" s="25" t="n"/>
      <c r="I6997" s="25" t="n"/>
      <c r="U6997" s="19">
        <f>IF($V6997&lt;&gt;'設定'!$C$4,N(U6996),IF(OR(NOT(COUNTIF('商品マスタ'!$B$6:$B$1005,$W6997)=0),COUNTIFS('①在庫を貼る'!$V$6:$V$10005,$V6997,'①在庫を貼る'!$W$6:$W$10005,$W6997)&gt;0),N(U6996),N(U6996)+1))</f>
        <v/>
      </c>
      <c r="V6997" s="19">
        <f>IF($B6997="","",TEXT($B6997,"0000"))</f>
        <v/>
      </c>
      <c r="W6997" s="19">
        <f>IF($I6997="","",IF(ISNUMBER($I6997),TEXT($I6997,"0"),$I6997))</f>
        <v/>
      </c>
    </row>
    <row r="6998">
      <c r="B6998" s="25" t="n"/>
      <c r="I6998" s="25" t="n"/>
      <c r="U6998" s="19">
        <f>IF($V6998&lt;&gt;'設定'!$C$4,N(U6997),IF(OR(NOT(COUNTIF('商品マスタ'!$B$6:$B$1005,$W6998)=0),COUNTIFS('①在庫を貼る'!$V$6:$V$10005,$V6998,'①在庫を貼る'!$W$6:$W$10005,$W6998)&gt;0),N(U6997),N(U6997)+1))</f>
        <v/>
      </c>
      <c r="V6998" s="19">
        <f>IF($B6998="","",TEXT($B6998,"0000"))</f>
        <v/>
      </c>
      <c r="W6998" s="19">
        <f>IF($I6998="","",IF(ISNUMBER($I6998),TEXT($I6998,"0"),$I6998))</f>
        <v/>
      </c>
    </row>
    <row r="6999">
      <c r="B6999" s="25" t="n"/>
      <c r="I6999" s="25" t="n"/>
      <c r="U6999" s="19">
        <f>IF($V6999&lt;&gt;'設定'!$C$4,N(U6998),IF(OR(NOT(COUNTIF('商品マスタ'!$B$6:$B$1005,$W6999)=0),COUNTIFS('①在庫を貼る'!$V$6:$V$10005,$V6999,'①在庫を貼る'!$W$6:$W$10005,$W6999)&gt;0),N(U6998),N(U6998)+1))</f>
        <v/>
      </c>
      <c r="V6999" s="19">
        <f>IF($B6999="","",TEXT($B6999,"0000"))</f>
        <v/>
      </c>
      <c r="W6999" s="19">
        <f>IF($I6999="","",IF(ISNUMBER($I6999),TEXT($I6999,"0"),$I6999))</f>
        <v/>
      </c>
    </row>
    <row r="7000">
      <c r="B7000" s="25" t="n"/>
      <c r="I7000" s="25" t="n"/>
      <c r="U7000" s="19">
        <f>IF($V7000&lt;&gt;'設定'!$C$4,N(U6999),IF(OR(NOT(COUNTIF('商品マスタ'!$B$6:$B$1005,$W7000)=0),COUNTIFS('①在庫を貼る'!$V$6:$V$10005,$V7000,'①在庫を貼る'!$W$6:$W$10005,$W7000)&gt;0),N(U6999),N(U6999)+1))</f>
        <v/>
      </c>
      <c r="V7000" s="19">
        <f>IF($B7000="","",TEXT($B7000,"0000"))</f>
        <v/>
      </c>
      <c r="W7000" s="19">
        <f>IF($I7000="","",IF(ISNUMBER($I7000),TEXT($I7000,"0"),$I7000))</f>
        <v/>
      </c>
    </row>
    <row r="7001">
      <c r="B7001" s="25" t="n"/>
      <c r="I7001" s="25" t="n"/>
      <c r="U7001" s="19">
        <f>IF($V7001&lt;&gt;'設定'!$C$4,N(U7000),IF(OR(NOT(COUNTIF('商品マスタ'!$B$6:$B$1005,$W7001)=0),COUNTIFS('①在庫を貼る'!$V$6:$V$10005,$V7001,'①在庫を貼る'!$W$6:$W$10005,$W7001)&gt;0),N(U7000),N(U7000)+1))</f>
        <v/>
      </c>
      <c r="V7001" s="19">
        <f>IF($B7001="","",TEXT($B7001,"0000"))</f>
        <v/>
      </c>
      <c r="W7001" s="19">
        <f>IF($I7001="","",IF(ISNUMBER($I7001),TEXT($I7001,"0"),$I7001))</f>
        <v/>
      </c>
    </row>
    <row r="7002">
      <c r="B7002" s="25" t="n"/>
      <c r="I7002" s="25" t="n"/>
      <c r="U7002" s="19">
        <f>IF($V7002&lt;&gt;'設定'!$C$4,N(U7001),IF(OR(NOT(COUNTIF('商品マスタ'!$B$6:$B$1005,$W7002)=0),COUNTIFS('①在庫を貼る'!$V$6:$V$10005,$V7002,'①在庫を貼る'!$W$6:$W$10005,$W7002)&gt;0),N(U7001),N(U7001)+1))</f>
        <v/>
      </c>
      <c r="V7002" s="19">
        <f>IF($B7002="","",TEXT($B7002,"0000"))</f>
        <v/>
      </c>
      <c r="W7002" s="19">
        <f>IF($I7002="","",IF(ISNUMBER($I7002),TEXT($I7002,"0"),$I7002))</f>
        <v/>
      </c>
    </row>
    <row r="7003">
      <c r="B7003" s="25" t="n"/>
      <c r="I7003" s="25" t="n"/>
      <c r="U7003" s="19">
        <f>IF($V7003&lt;&gt;'設定'!$C$4,N(U7002),IF(OR(NOT(COUNTIF('商品マスタ'!$B$6:$B$1005,$W7003)=0),COUNTIFS('①在庫を貼る'!$V$6:$V$10005,$V7003,'①在庫を貼る'!$W$6:$W$10005,$W7003)&gt;0),N(U7002),N(U7002)+1))</f>
        <v/>
      </c>
      <c r="V7003" s="19">
        <f>IF($B7003="","",TEXT($B7003,"0000"))</f>
        <v/>
      </c>
      <c r="W7003" s="19">
        <f>IF($I7003="","",IF(ISNUMBER($I7003),TEXT($I7003,"0"),$I7003))</f>
        <v/>
      </c>
    </row>
    <row r="7004">
      <c r="B7004" s="25" t="n"/>
      <c r="I7004" s="25" t="n"/>
      <c r="U7004" s="19">
        <f>IF($V7004&lt;&gt;'設定'!$C$4,N(U7003),IF(OR(NOT(COUNTIF('商品マスタ'!$B$6:$B$1005,$W7004)=0),COUNTIFS('①在庫を貼る'!$V$6:$V$10005,$V7004,'①在庫を貼る'!$W$6:$W$10005,$W7004)&gt;0),N(U7003),N(U7003)+1))</f>
        <v/>
      </c>
      <c r="V7004" s="19">
        <f>IF($B7004="","",TEXT($B7004,"0000"))</f>
        <v/>
      </c>
      <c r="W7004" s="19">
        <f>IF($I7004="","",IF(ISNUMBER($I7004),TEXT($I7004,"0"),$I7004))</f>
        <v/>
      </c>
    </row>
    <row r="7005">
      <c r="B7005" s="25" t="n"/>
      <c r="I7005" s="25" t="n"/>
      <c r="U7005" s="19">
        <f>IF($V7005&lt;&gt;'設定'!$C$4,N(U7004),IF(OR(NOT(COUNTIF('商品マスタ'!$B$6:$B$1005,$W7005)=0),COUNTIFS('①在庫を貼る'!$V$6:$V$10005,$V7005,'①在庫を貼る'!$W$6:$W$10005,$W7005)&gt;0),N(U7004),N(U7004)+1))</f>
        <v/>
      </c>
      <c r="V7005" s="19">
        <f>IF($B7005="","",TEXT($B7005,"0000"))</f>
        <v/>
      </c>
      <c r="W7005" s="19">
        <f>IF($I7005="","",IF(ISNUMBER($I7005),TEXT($I7005,"0"),$I7005))</f>
        <v/>
      </c>
    </row>
    <row r="7006">
      <c r="B7006" s="25" t="n"/>
      <c r="I7006" s="25" t="n"/>
      <c r="U7006" s="19">
        <f>IF($V7006&lt;&gt;'設定'!$C$4,N(U7005),IF(OR(NOT(COUNTIF('商品マスタ'!$B$6:$B$1005,$W7006)=0),COUNTIFS('①在庫を貼る'!$V$6:$V$10005,$V7006,'①在庫を貼る'!$W$6:$W$10005,$W7006)&gt;0),N(U7005),N(U7005)+1))</f>
        <v/>
      </c>
      <c r="V7006" s="19">
        <f>IF($B7006="","",TEXT($B7006,"0000"))</f>
        <v/>
      </c>
      <c r="W7006" s="19">
        <f>IF($I7006="","",IF(ISNUMBER($I7006),TEXT($I7006,"0"),$I7006))</f>
        <v/>
      </c>
    </row>
    <row r="7007">
      <c r="B7007" s="25" t="n"/>
      <c r="I7007" s="25" t="n"/>
      <c r="U7007" s="19">
        <f>IF($V7007&lt;&gt;'設定'!$C$4,N(U7006),IF(OR(NOT(COUNTIF('商品マスタ'!$B$6:$B$1005,$W7007)=0),COUNTIFS('①在庫を貼る'!$V$6:$V$10005,$V7007,'①在庫を貼る'!$W$6:$W$10005,$W7007)&gt;0),N(U7006),N(U7006)+1))</f>
        <v/>
      </c>
      <c r="V7007" s="19">
        <f>IF($B7007="","",TEXT($B7007,"0000"))</f>
        <v/>
      </c>
      <c r="W7007" s="19">
        <f>IF($I7007="","",IF(ISNUMBER($I7007),TEXT($I7007,"0"),$I7007))</f>
        <v/>
      </c>
    </row>
    <row r="7008">
      <c r="B7008" s="25" t="n"/>
      <c r="I7008" s="25" t="n"/>
      <c r="U7008" s="19">
        <f>IF($V7008&lt;&gt;'設定'!$C$4,N(U7007),IF(OR(NOT(COUNTIF('商品マスタ'!$B$6:$B$1005,$W7008)=0),COUNTIFS('①在庫を貼る'!$V$6:$V$10005,$V7008,'①在庫を貼る'!$W$6:$W$10005,$W7008)&gt;0),N(U7007),N(U7007)+1))</f>
        <v/>
      </c>
      <c r="V7008" s="19">
        <f>IF($B7008="","",TEXT($B7008,"0000"))</f>
        <v/>
      </c>
      <c r="W7008" s="19">
        <f>IF($I7008="","",IF(ISNUMBER($I7008),TEXT($I7008,"0"),$I7008))</f>
        <v/>
      </c>
    </row>
    <row r="7009">
      <c r="B7009" s="25" t="n"/>
      <c r="I7009" s="25" t="n"/>
      <c r="U7009" s="19">
        <f>IF($V7009&lt;&gt;'設定'!$C$4,N(U7008),IF(OR(NOT(COUNTIF('商品マスタ'!$B$6:$B$1005,$W7009)=0),COUNTIFS('①在庫を貼る'!$V$6:$V$10005,$V7009,'①在庫を貼る'!$W$6:$W$10005,$W7009)&gt;0),N(U7008),N(U7008)+1))</f>
        <v/>
      </c>
      <c r="V7009" s="19">
        <f>IF($B7009="","",TEXT($B7009,"0000"))</f>
        <v/>
      </c>
      <c r="W7009" s="19">
        <f>IF($I7009="","",IF(ISNUMBER($I7009),TEXT($I7009,"0"),$I7009))</f>
        <v/>
      </c>
    </row>
    <row r="7010">
      <c r="B7010" s="25" t="n"/>
      <c r="I7010" s="25" t="n"/>
      <c r="U7010" s="19">
        <f>IF($V7010&lt;&gt;'設定'!$C$4,N(U7009),IF(OR(NOT(COUNTIF('商品マスタ'!$B$6:$B$1005,$W7010)=0),COUNTIFS('①在庫を貼る'!$V$6:$V$10005,$V7010,'①在庫を貼る'!$W$6:$W$10005,$W7010)&gt;0),N(U7009),N(U7009)+1))</f>
        <v/>
      </c>
      <c r="V7010" s="19">
        <f>IF($B7010="","",TEXT($B7010,"0000"))</f>
        <v/>
      </c>
      <c r="W7010" s="19">
        <f>IF($I7010="","",IF(ISNUMBER($I7010),TEXT($I7010,"0"),$I7010))</f>
        <v/>
      </c>
    </row>
    <row r="7011">
      <c r="B7011" s="25" t="n"/>
      <c r="I7011" s="25" t="n"/>
      <c r="U7011" s="19">
        <f>IF($V7011&lt;&gt;'設定'!$C$4,N(U7010),IF(OR(NOT(COUNTIF('商品マスタ'!$B$6:$B$1005,$W7011)=0),COUNTIFS('①在庫を貼る'!$V$6:$V$10005,$V7011,'①在庫を貼る'!$W$6:$W$10005,$W7011)&gt;0),N(U7010),N(U7010)+1))</f>
        <v/>
      </c>
      <c r="V7011" s="19">
        <f>IF($B7011="","",TEXT($B7011,"0000"))</f>
        <v/>
      </c>
      <c r="W7011" s="19">
        <f>IF($I7011="","",IF(ISNUMBER($I7011),TEXT($I7011,"0"),$I7011))</f>
        <v/>
      </c>
    </row>
    <row r="7012">
      <c r="B7012" s="25" t="n"/>
      <c r="I7012" s="25" t="n"/>
      <c r="U7012" s="19">
        <f>IF($V7012&lt;&gt;'設定'!$C$4,N(U7011),IF(OR(NOT(COUNTIF('商品マスタ'!$B$6:$B$1005,$W7012)=0),COUNTIFS('①在庫を貼る'!$V$6:$V$10005,$V7012,'①在庫を貼る'!$W$6:$W$10005,$W7012)&gt;0),N(U7011),N(U7011)+1))</f>
        <v/>
      </c>
      <c r="V7012" s="19">
        <f>IF($B7012="","",TEXT($B7012,"0000"))</f>
        <v/>
      </c>
      <c r="W7012" s="19">
        <f>IF($I7012="","",IF(ISNUMBER($I7012),TEXT($I7012,"0"),$I7012))</f>
        <v/>
      </c>
    </row>
    <row r="7013">
      <c r="B7013" s="25" t="n"/>
      <c r="I7013" s="25" t="n"/>
      <c r="U7013" s="19">
        <f>IF($V7013&lt;&gt;'設定'!$C$4,N(U7012),IF(OR(NOT(COUNTIF('商品マスタ'!$B$6:$B$1005,$W7013)=0),COUNTIFS('①在庫を貼る'!$V$6:$V$10005,$V7013,'①在庫を貼る'!$W$6:$W$10005,$W7013)&gt;0),N(U7012),N(U7012)+1))</f>
        <v/>
      </c>
      <c r="V7013" s="19">
        <f>IF($B7013="","",TEXT($B7013,"0000"))</f>
        <v/>
      </c>
      <c r="W7013" s="19">
        <f>IF($I7013="","",IF(ISNUMBER($I7013),TEXT($I7013,"0"),$I7013))</f>
        <v/>
      </c>
    </row>
    <row r="7014">
      <c r="B7014" s="25" t="n"/>
      <c r="I7014" s="25" t="n"/>
      <c r="U7014" s="19">
        <f>IF($V7014&lt;&gt;'設定'!$C$4,N(U7013),IF(OR(NOT(COUNTIF('商品マスタ'!$B$6:$B$1005,$W7014)=0),COUNTIFS('①在庫を貼る'!$V$6:$V$10005,$V7014,'①在庫を貼る'!$W$6:$W$10005,$W7014)&gt;0),N(U7013),N(U7013)+1))</f>
        <v/>
      </c>
      <c r="V7014" s="19">
        <f>IF($B7014="","",TEXT($B7014,"0000"))</f>
        <v/>
      </c>
      <c r="W7014" s="19">
        <f>IF($I7014="","",IF(ISNUMBER($I7014),TEXT($I7014,"0"),$I7014))</f>
        <v/>
      </c>
    </row>
    <row r="7015">
      <c r="B7015" s="25" t="n"/>
      <c r="I7015" s="25" t="n"/>
      <c r="U7015" s="19">
        <f>IF($V7015&lt;&gt;'設定'!$C$4,N(U7014),IF(OR(NOT(COUNTIF('商品マスタ'!$B$6:$B$1005,$W7015)=0),COUNTIFS('①在庫を貼る'!$V$6:$V$10005,$V7015,'①在庫を貼る'!$W$6:$W$10005,$W7015)&gt;0),N(U7014),N(U7014)+1))</f>
        <v/>
      </c>
      <c r="V7015" s="19">
        <f>IF($B7015="","",TEXT($B7015,"0000"))</f>
        <v/>
      </c>
      <c r="W7015" s="19">
        <f>IF($I7015="","",IF(ISNUMBER($I7015),TEXT($I7015,"0"),$I7015))</f>
        <v/>
      </c>
    </row>
    <row r="7016">
      <c r="B7016" s="25" t="n"/>
      <c r="I7016" s="25" t="n"/>
      <c r="U7016" s="19">
        <f>IF($V7016&lt;&gt;'設定'!$C$4,N(U7015),IF(OR(NOT(COUNTIF('商品マスタ'!$B$6:$B$1005,$W7016)=0),COUNTIFS('①在庫を貼る'!$V$6:$V$10005,$V7016,'①在庫を貼る'!$W$6:$W$10005,$W7016)&gt;0),N(U7015),N(U7015)+1))</f>
        <v/>
      </c>
      <c r="V7016" s="19">
        <f>IF($B7016="","",TEXT($B7016,"0000"))</f>
        <v/>
      </c>
      <c r="W7016" s="19">
        <f>IF($I7016="","",IF(ISNUMBER($I7016),TEXT($I7016,"0"),$I7016))</f>
        <v/>
      </c>
    </row>
    <row r="7017">
      <c r="B7017" s="25" t="n"/>
      <c r="I7017" s="25" t="n"/>
      <c r="U7017" s="19">
        <f>IF($V7017&lt;&gt;'設定'!$C$4,N(U7016),IF(OR(NOT(COUNTIF('商品マスタ'!$B$6:$B$1005,$W7017)=0),COUNTIFS('①在庫を貼る'!$V$6:$V$10005,$V7017,'①在庫を貼る'!$W$6:$W$10005,$W7017)&gt;0),N(U7016),N(U7016)+1))</f>
        <v/>
      </c>
      <c r="V7017" s="19">
        <f>IF($B7017="","",TEXT($B7017,"0000"))</f>
        <v/>
      </c>
      <c r="W7017" s="19">
        <f>IF($I7017="","",IF(ISNUMBER($I7017),TEXT($I7017,"0"),$I7017))</f>
        <v/>
      </c>
    </row>
    <row r="7018">
      <c r="B7018" s="25" t="n"/>
      <c r="I7018" s="25" t="n"/>
      <c r="U7018" s="19">
        <f>IF($V7018&lt;&gt;'設定'!$C$4,N(U7017),IF(OR(NOT(COUNTIF('商品マスタ'!$B$6:$B$1005,$W7018)=0),COUNTIFS('①在庫を貼る'!$V$6:$V$10005,$V7018,'①在庫を貼る'!$W$6:$W$10005,$W7018)&gt;0),N(U7017),N(U7017)+1))</f>
        <v/>
      </c>
      <c r="V7018" s="19">
        <f>IF($B7018="","",TEXT($B7018,"0000"))</f>
        <v/>
      </c>
      <c r="W7018" s="19">
        <f>IF($I7018="","",IF(ISNUMBER($I7018),TEXT($I7018,"0"),$I7018))</f>
        <v/>
      </c>
    </row>
    <row r="7019">
      <c r="B7019" s="25" t="n"/>
      <c r="I7019" s="25" t="n"/>
      <c r="U7019" s="19">
        <f>IF($V7019&lt;&gt;'設定'!$C$4,N(U7018),IF(OR(NOT(COUNTIF('商品マスタ'!$B$6:$B$1005,$W7019)=0),COUNTIFS('①在庫を貼る'!$V$6:$V$10005,$V7019,'①在庫を貼る'!$W$6:$W$10005,$W7019)&gt;0),N(U7018),N(U7018)+1))</f>
        <v/>
      </c>
      <c r="V7019" s="19">
        <f>IF($B7019="","",TEXT($B7019,"0000"))</f>
        <v/>
      </c>
      <c r="W7019" s="19">
        <f>IF($I7019="","",IF(ISNUMBER($I7019),TEXT($I7019,"0"),$I7019))</f>
        <v/>
      </c>
    </row>
    <row r="7020">
      <c r="B7020" s="25" t="n"/>
      <c r="I7020" s="25" t="n"/>
      <c r="U7020" s="19">
        <f>IF($V7020&lt;&gt;'設定'!$C$4,N(U7019),IF(OR(NOT(COUNTIF('商品マスタ'!$B$6:$B$1005,$W7020)=0),COUNTIFS('①在庫を貼る'!$V$6:$V$10005,$V7020,'①在庫を貼る'!$W$6:$W$10005,$W7020)&gt;0),N(U7019),N(U7019)+1))</f>
        <v/>
      </c>
      <c r="V7020" s="19">
        <f>IF($B7020="","",TEXT($B7020,"0000"))</f>
        <v/>
      </c>
      <c r="W7020" s="19">
        <f>IF($I7020="","",IF(ISNUMBER($I7020),TEXT($I7020,"0"),$I7020))</f>
        <v/>
      </c>
    </row>
    <row r="7021">
      <c r="B7021" s="25" t="n"/>
      <c r="I7021" s="25" t="n"/>
      <c r="U7021" s="19">
        <f>IF($V7021&lt;&gt;'設定'!$C$4,N(U7020),IF(OR(NOT(COUNTIF('商品マスタ'!$B$6:$B$1005,$W7021)=0),COUNTIFS('①在庫を貼る'!$V$6:$V$10005,$V7021,'①在庫を貼る'!$W$6:$W$10005,$W7021)&gt;0),N(U7020),N(U7020)+1))</f>
        <v/>
      </c>
      <c r="V7021" s="19">
        <f>IF($B7021="","",TEXT($B7021,"0000"))</f>
        <v/>
      </c>
      <c r="W7021" s="19">
        <f>IF($I7021="","",IF(ISNUMBER($I7021),TEXT($I7021,"0"),$I7021))</f>
        <v/>
      </c>
    </row>
    <row r="7022">
      <c r="B7022" s="25" t="n"/>
      <c r="I7022" s="25" t="n"/>
      <c r="U7022" s="19">
        <f>IF($V7022&lt;&gt;'設定'!$C$4,N(U7021),IF(OR(NOT(COUNTIF('商品マスタ'!$B$6:$B$1005,$W7022)=0),COUNTIFS('①在庫を貼る'!$V$6:$V$10005,$V7022,'①在庫を貼る'!$W$6:$W$10005,$W7022)&gt;0),N(U7021),N(U7021)+1))</f>
        <v/>
      </c>
      <c r="V7022" s="19">
        <f>IF($B7022="","",TEXT($B7022,"0000"))</f>
        <v/>
      </c>
      <c r="W7022" s="19">
        <f>IF($I7022="","",IF(ISNUMBER($I7022),TEXT($I7022,"0"),$I7022))</f>
        <v/>
      </c>
    </row>
    <row r="7023">
      <c r="B7023" s="25" t="n"/>
      <c r="I7023" s="25" t="n"/>
      <c r="U7023" s="19">
        <f>IF($V7023&lt;&gt;'設定'!$C$4,N(U7022),IF(OR(NOT(COUNTIF('商品マスタ'!$B$6:$B$1005,$W7023)=0),COUNTIFS('①在庫を貼る'!$V$6:$V$10005,$V7023,'①在庫を貼る'!$W$6:$W$10005,$W7023)&gt;0),N(U7022),N(U7022)+1))</f>
        <v/>
      </c>
      <c r="V7023" s="19">
        <f>IF($B7023="","",TEXT($B7023,"0000"))</f>
        <v/>
      </c>
      <c r="W7023" s="19">
        <f>IF($I7023="","",IF(ISNUMBER($I7023),TEXT($I7023,"0"),$I7023))</f>
        <v/>
      </c>
    </row>
    <row r="7024">
      <c r="B7024" s="25" t="n"/>
      <c r="I7024" s="25" t="n"/>
      <c r="U7024" s="19">
        <f>IF($V7024&lt;&gt;'設定'!$C$4,N(U7023),IF(OR(NOT(COUNTIF('商品マスタ'!$B$6:$B$1005,$W7024)=0),COUNTIFS('①在庫を貼る'!$V$6:$V$10005,$V7024,'①在庫を貼る'!$W$6:$W$10005,$W7024)&gt;0),N(U7023),N(U7023)+1))</f>
        <v/>
      </c>
      <c r="V7024" s="19">
        <f>IF($B7024="","",TEXT($B7024,"0000"))</f>
        <v/>
      </c>
      <c r="W7024" s="19">
        <f>IF($I7024="","",IF(ISNUMBER($I7024),TEXT($I7024,"0"),$I7024))</f>
        <v/>
      </c>
    </row>
    <row r="7025">
      <c r="B7025" s="25" t="n"/>
      <c r="I7025" s="25" t="n"/>
      <c r="U7025" s="19">
        <f>IF($V7025&lt;&gt;'設定'!$C$4,N(U7024),IF(OR(NOT(COUNTIF('商品マスタ'!$B$6:$B$1005,$W7025)=0),COUNTIFS('①在庫を貼る'!$V$6:$V$10005,$V7025,'①在庫を貼る'!$W$6:$W$10005,$W7025)&gt;0),N(U7024),N(U7024)+1))</f>
        <v/>
      </c>
      <c r="V7025" s="19">
        <f>IF($B7025="","",TEXT($B7025,"0000"))</f>
        <v/>
      </c>
      <c r="W7025" s="19">
        <f>IF($I7025="","",IF(ISNUMBER($I7025),TEXT($I7025,"0"),$I7025))</f>
        <v/>
      </c>
    </row>
    <row r="7026">
      <c r="B7026" s="25" t="n"/>
      <c r="I7026" s="25" t="n"/>
      <c r="U7026" s="19">
        <f>IF($V7026&lt;&gt;'設定'!$C$4,N(U7025),IF(OR(NOT(COUNTIF('商品マスタ'!$B$6:$B$1005,$W7026)=0),COUNTIFS('①在庫を貼る'!$V$6:$V$10005,$V7026,'①在庫を貼る'!$W$6:$W$10005,$W7026)&gt;0),N(U7025),N(U7025)+1))</f>
        <v/>
      </c>
      <c r="V7026" s="19">
        <f>IF($B7026="","",TEXT($B7026,"0000"))</f>
        <v/>
      </c>
      <c r="W7026" s="19">
        <f>IF($I7026="","",IF(ISNUMBER($I7026),TEXT($I7026,"0"),$I7026))</f>
        <v/>
      </c>
    </row>
    <row r="7027">
      <c r="B7027" s="25" t="n"/>
      <c r="I7027" s="25" t="n"/>
      <c r="U7027" s="19">
        <f>IF($V7027&lt;&gt;'設定'!$C$4,N(U7026),IF(OR(NOT(COUNTIF('商品マスタ'!$B$6:$B$1005,$W7027)=0),COUNTIFS('①在庫を貼る'!$V$6:$V$10005,$V7027,'①在庫を貼る'!$W$6:$W$10005,$W7027)&gt;0),N(U7026),N(U7026)+1))</f>
        <v/>
      </c>
      <c r="V7027" s="19">
        <f>IF($B7027="","",TEXT($B7027,"0000"))</f>
        <v/>
      </c>
      <c r="W7027" s="19">
        <f>IF($I7027="","",IF(ISNUMBER($I7027),TEXT($I7027,"0"),$I7027))</f>
        <v/>
      </c>
    </row>
    <row r="7028">
      <c r="B7028" s="25" t="n"/>
      <c r="I7028" s="25" t="n"/>
      <c r="U7028" s="19">
        <f>IF($V7028&lt;&gt;'設定'!$C$4,N(U7027),IF(OR(NOT(COUNTIF('商品マスタ'!$B$6:$B$1005,$W7028)=0),COUNTIFS('①在庫を貼る'!$V$6:$V$10005,$V7028,'①在庫を貼る'!$W$6:$W$10005,$W7028)&gt;0),N(U7027),N(U7027)+1))</f>
        <v/>
      </c>
      <c r="V7028" s="19">
        <f>IF($B7028="","",TEXT($B7028,"0000"))</f>
        <v/>
      </c>
      <c r="W7028" s="19">
        <f>IF($I7028="","",IF(ISNUMBER($I7028),TEXT($I7028,"0"),$I7028))</f>
        <v/>
      </c>
    </row>
    <row r="7029">
      <c r="B7029" s="25" t="n"/>
      <c r="I7029" s="25" t="n"/>
      <c r="U7029" s="19">
        <f>IF($V7029&lt;&gt;'設定'!$C$4,N(U7028),IF(OR(NOT(COUNTIF('商品マスタ'!$B$6:$B$1005,$W7029)=0),COUNTIFS('①在庫を貼る'!$V$6:$V$10005,$V7029,'①在庫を貼る'!$W$6:$W$10005,$W7029)&gt;0),N(U7028),N(U7028)+1))</f>
        <v/>
      </c>
      <c r="V7029" s="19">
        <f>IF($B7029="","",TEXT($B7029,"0000"))</f>
        <v/>
      </c>
      <c r="W7029" s="19">
        <f>IF($I7029="","",IF(ISNUMBER($I7029),TEXT($I7029,"0"),$I7029))</f>
        <v/>
      </c>
    </row>
    <row r="7030">
      <c r="B7030" s="25" t="n"/>
      <c r="I7030" s="25" t="n"/>
      <c r="U7030" s="19">
        <f>IF($V7030&lt;&gt;'設定'!$C$4,N(U7029),IF(OR(NOT(COUNTIF('商品マスタ'!$B$6:$B$1005,$W7030)=0),COUNTIFS('①在庫を貼る'!$V$6:$V$10005,$V7030,'①在庫を貼る'!$W$6:$W$10005,$W7030)&gt;0),N(U7029),N(U7029)+1))</f>
        <v/>
      </c>
      <c r="V7030" s="19">
        <f>IF($B7030="","",TEXT($B7030,"0000"))</f>
        <v/>
      </c>
      <c r="W7030" s="19">
        <f>IF($I7030="","",IF(ISNUMBER($I7030),TEXT($I7030,"0"),$I7030))</f>
        <v/>
      </c>
    </row>
    <row r="7031">
      <c r="B7031" s="25" t="n"/>
      <c r="I7031" s="25" t="n"/>
      <c r="U7031" s="19">
        <f>IF($V7031&lt;&gt;'設定'!$C$4,N(U7030),IF(OR(NOT(COUNTIF('商品マスタ'!$B$6:$B$1005,$W7031)=0),COUNTIFS('①在庫を貼る'!$V$6:$V$10005,$V7031,'①在庫を貼る'!$W$6:$W$10005,$W7031)&gt;0),N(U7030),N(U7030)+1))</f>
        <v/>
      </c>
      <c r="V7031" s="19">
        <f>IF($B7031="","",TEXT($B7031,"0000"))</f>
        <v/>
      </c>
      <c r="W7031" s="19">
        <f>IF($I7031="","",IF(ISNUMBER($I7031),TEXT($I7031,"0"),$I7031))</f>
        <v/>
      </c>
    </row>
    <row r="7032">
      <c r="B7032" s="25" t="n"/>
      <c r="I7032" s="25" t="n"/>
      <c r="U7032" s="19">
        <f>IF($V7032&lt;&gt;'設定'!$C$4,N(U7031),IF(OR(NOT(COUNTIF('商品マスタ'!$B$6:$B$1005,$W7032)=0),COUNTIFS('①在庫を貼る'!$V$6:$V$10005,$V7032,'①在庫を貼る'!$W$6:$W$10005,$W7032)&gt;0),N(U7031),N(U7031)+1))</f>
        <v/>
      </c>
      <c r="V7032" s="19">
        <f>IF($B7032="","",TEXT($B7032,"0000"))</f>
        <v/>
      </c>
      <c r="W7032" s="19">
        <f>IF($I7032="","",IF(ISNUMBER($I7032),TEXT($I7032,"0"),$I7032))</f>
        <v/>
      </c>
    </row>
    <row r="7033">
      <c r="B7033" s="25" t="n"/>
      <c r="I7033" s="25" t="n"/>
      <c r="U7033" s="19">
        <f>IF($V7033&lt;&gt;'設定'!$C$4,N(U7032),IF(OR(NOT(COUNTIF('商品マスタ'!$B$6:$B$1005,$W7033)=0),COUNTIFS('①在庫を貼る'!$V$6:$V$10005,$V7033,'①在庫を貼る'!$W$6:$W$10005,$W7033)&gt;0),N(U7032),N(U7032)+1))</f>
        <v/>
      </c>
      <c r="V7033" s="19">
        <f>IF($B7033="","",TEXT($B7033,"0000"))</f>
        <v/>
      </c>
      <c r="W7033" s="19">
        <f>IF($I7033="","",IF(ISNUMBER($I7033),TEXT($I7033,"0"),$I7033))</f>
        <v/>
      </c>
    </row>
    <row r="7034">
      <c r="B7034" s="25" t="n"/>
      <c r="I7034" s="25" t="n"/>
      <c r="U7034" s="19">
        <f>IF($V7034&lt;&gt;'設定'!$C$4,N(U7033),IF(OR(NOT(COUNTIF('商品マスタ'!$B$6:$B$1005,$W7034)=0),COUNTIFS('①在庫を貼る'!$V$6:$V$10005,$V7034,'①在庫を貼る'!$W$6:$W$10005,$W7034)&gt;0),N(U7033),N(U7033)+1))</f>
        <v/>
      </c>
      <c r="V7034" s="19">
        <f>IF($B7034="","",TEXT($B7034,"0000"))</f>
        <v/>
      </c>
      <c r="W7034" s="19">
        <f>IF($I7034="","",IF(ISNUMBER($I7034),TEXT($I7034,"0"),$I7034))</f>
        <v/>
      </c>
    </row>
    <row r="7035">
      <c r="B7035" s="25" t="n"/>
      <c r="I7035" s="25" t="n"/>
      <c r="U7035" s="19">
        <f>IF($V7035&lt;&gt;'設定'!$C$4,N(U7034),IF(OR(NOT(COUNTIF('商品マスタ'!$B$6:$B$1005,$W7035)=0),COUNTIFS('①在庫を貼る'!$V$6:$V$10005,$V7035,'①在庫を貼る'!$W$6:$W$10005,$W7035)&gt;0),N(U7034),N(U7034)+1))</f>
        <v/>
      </c>
      <c r="V7035" s="19">
        <f>IF($B7035="","",TEXT($B7035,"0000"))</f>
        <v/>
      </c>
      <c r="W7035" s="19">
        <f>IF($I7035="","",IF(ISNUMBER($I7035),TEXT($I7035,"0"),$I7035))</f>
        <v/>
      </c>
    </row>
    <row r="7036">
      <c r="B7036" s="25" t="n"/>
      <c r="I7036" s="25" t="n"/>
      <c r="U7036" s="19">
        <f>IF($V7036&lt;&gt;'設定'!$C$4,N(U7035),IF(OR(NOT(COUNTIF('商品マスタ'!$B$6:$B$1005,$W7036)=0),COUNTIFS('①在庫を貼る'!$V$6:$V$10005,$V7036,'①在庫を貼る'!$W$6:$W$10005,$W7036)&gt;0),N(U7035),N(U7035)+1))</f>
        <v/>
      </c>
      <c r="V7036" s="19">
        <f>IF($B7036="","",TEXT($B7036,"0000"))</f>
        <v/>
      </c>
      <c r="W7036" s="19">
        <f>IF($I7036="","",IF(ISNUMBER($I7036),TEXT($I7036,"0"),$I7036))</f>
        <v/>
      </c>
    </row>
    <row r="7037">
      <c r="B7037" s="25" t="n"/>
      <c r="I7037" s="25" t="n"/>
      <c r="U7037" s="19">
        <f>IF($V7037&lt;&gt;'設定'!$C$4,N(U7036),IF(OR(NOT(COUNTIF('商品マスタ'!$B$6:$B$1005,$W7037)=0),COUNTIFS('①在庫を貼る'!$V$6:$V$10005,$V7037,'①在庫を貼る'!$W$6:$W$10005,$W7037)&gt;0),N(U7036),N(U7036)+1))</f>
        <v/>
      </c>
      <c r="V7037" s="19">
        <f>IF($B7037="","",TEXT($B7037,"0000"))</f>
        <v/>
      </c>
      <c r="W7037" s="19">
        <f>IF($I7037="","",IF(ISNUMBER($I7037),TEXT($I7037,"0"),$I7037))</f>
        <v/>
      </c>
    </row>
    <row r="7038">
      <c r="B7038" s="25" t="n"/>
      <c r="I7038" s="25" t="n"/>
      <c r="U7038" s="19">
        <f>IF($V7038&lt;&gt;'設定'!$C$4,N(U7037),IF(OR(NOT(COUNTIF('商品マスタ'!$B$6:$B$1005,$W7038)=0),COUNTIFS('①在庫を貼る'!$V$6:$V$10005,$V7038,'①在庫を貼る'!$W$6:$W$10005,$W7038)&gt;0),N(U7037),N(U7037)+1))</f>
        <v/>
      </c>
      <c r="V7038" s="19">
        <f>IF($B7038="","",TEXT($B7038,"0000"))</f>
        <v/>
      </c>
      <c r="W7038" s="19">
        <f>IF($I7038="","",IF(ISNUMBER($I7038),TEXT($I7038,"0"),$I7038))</f>
        <v/>
      </c>
    </row>
    <row r="7039">
      <c r="B7039" s="25" t="n"/>
      <c r="I7039" s="25" t="n"/>
      <c r="U7039" s="19">
        <f>IF($V7039&lt;&gt;'設定'!$C$4,N(U7038),IF(OR(NOT(COUNTIF('商品マスタ'!$B$6:$B$1005,$W7039)=0),COUNTIFS('①在庫を貼る'!$V$6:$V$10005,$V7039,'①在庫を貼る'!$W$6:$W$10005,$W7039)&gt;0),N(U7038),N(U7038)+1))</f>
        <v/>
      </c>
      <c r="V7039" s="19">
        <f>IF($B7039="","",TEXT($B7039,"0000"))</f>
        <v/>
      </c>
      <c r="W7039" s="19">
        <f>IF($I7039="","",IF(ISNUMBER($I7039),TEXT($I7039,"0"),$I7039))</f>
        <v/>
      </c>
    </row>
    <row r="7040">
      <c r="B7040" s="25" t="n"/>
      <c r="I7040" s="25" t="n"/>
      <c r="U7040" s="19">
        <f>IF($V7040&lt;&gt;'設定'!$C$4,N(U7039),IF(OR(NOT(COUNTIF('商品マスタ'!$B$6:$B$1005,$W7040)=0),COUNTIFS('①在庫を貼る'!$V$6:$V$10005,$V7040,'①在庫を貼る'!$W$6:$W$10005,$W7040)&gt;0),N(U7039),N(U7039)+1))</f>
        <v/>
      </c>
      <c r="V7040" s="19">
        <f>IF($B7040="","",TEXT($B7040,"0000"))</f>
        <v/>
      </c>
      <c r="W7040" s="19">
        <f>IF($I7040="","",IF(ISNUMBER($I7040),TEXT($I7040,"0"),$I7040))</f>
        <v/>
      </c>
    </row>
    <row r="7041">
      <c r="B7041" s="25" t="n"/>
      <c r="I7041" s="25" t="n"/>
      <c r="U7041" s="19">
        <f>IF($V7041&lt;&gt;'設定'!$C$4,N(U7040),IF(OR(NOT(COUNTIF('商品マスタ'!$B$6:$B$1005,$W7041)=0),COUNTIFS('①在庫を貼る'!$V$6:$V$10005,$V7041,'①在庫を貼る'!$W$6:$W$10005,$W7041)&gt;0),N(U7040),N(U7040)+1))</f>
        <v/>
      </c>
      <c r="V7041" s="19">
        <f>IF($B7041="","",TEXT($B7041,"0000"))</f>
        <v/>
      </c>
      <c r="W7041" s="19">
        <f>IF($I7041="","",IF(ISNUMBER($I7041),TEXT($I7041,"0"),$I7041))</f>
        <v/>
      </c>
    </row>
    <row r="7042">
      <c r="B7042" s="25" t="n"/>
      <c r="I7042" s="25" t="n"/>
      <c r="U7042" s="19">
        <f>IF($V7042&lt;&gt;'設定'!$C$4,N(U7041),IF(OR(NOT(COUNTIF('商品マスタ'!$B$6:$B$1005,$W7042)=0),COUNTIFS('①在庫を貼る'!$V$6:$V$10005,$V7042,'①在庫を貼る'!$W$6:$W$10005,$W7042)&gt;0),N(U7041),N(U7041)+1))</f>
        <v/>
      </c>
      <c r="V7042" s="19">
        <f>IF($B7042="","",TEXT($B7042,"0000"))</f>
        <v/>
      </c>
      <c r="W7042" s="19">
        <f>IF($I7042="","",IF(ISNUMBER($I7042),TEXT($I7042,"0"),$I7042))</f>
        <v/>
      </c>
    </row>
    <row r="7043">
      <c r="B7043" s="25" t="n"/>
      <c r="I7043" s="25" t="n"/>
      <c r="U7043" s="19">
        <f>IF($V7043&lt;&gt;'設定'!$C$4,N(U7042),IF(OR(NOT(COUNTIF('商品マスタ'!$B$6:$B$1005,$W7043)=0),COUNTIFS('①在庫を貼る'!$V$6:$V$10005,$V7043,'①在庫を貼る'!$W$6:$W$10005,$W7043)&gt;0),N(U7042),N(U7042)+1))</f>
        <v/>
      </c>
      <c r="V7043" s="19">
        <f>IF($B7043="","",TEXT($B7043,"0000"))</f>
        <v/>
      </c>
      <c r="W7043" s="19">
        <f>IF($I7043="","",IF(ISNUMBER($I7043),TEXT($I7043,"0"),$I7043))</f>
        <v/>
      </c>
    </row>
    <row r="7044">
      <c r="B7044" s="25" t="n"/>
      <c r="I7044" s="25" t="n"/>
      <c r="U7044" s="19">
        <f>IF($V7044&lt;&gt;'設定'!$C$4,N(U7043),IF(OR(NOT(COUNTIF('商品マスタ'!$B$6:$B$1005,$W7044)=0),COUNTIFS('①在庫を貼る'!$V$6:$V$10005,$V7044,'①在庫を貼る'!$W$6:$W$10005,$W7044)&gt;0),N(U7043),N(U7043)+1))</f>
        <v/>
      </c>
      <c r="V7044" s="19">
        <f>IF($B7044="","",TEXT($B7044,"0000"))</f>
        <v/>
      </c>
      <c r="W7044" s="19">
        <f>IF($I7044="","",IF(ISNUMBER($I7044),TEXT($I7044,"0"),$I7044))</f>
        <v/>
      </c>
    </row>
    <row r="7045">
      <c r="B7045" s="25" t="n"/>
      <c r="I7045" s="25" t="n"/>
      <c r="U7045" s="19">
        <f>IF($V7045&lt;&gt;'設定'!$C$4,N(U7044),IF(OR(NOT(COUNTIF('商品マスタ'!$B$6:$B$1005,$W7045)=0),COUNTIFS('①在庫を貼る'!$V$6:$V$10005,$V7045,'①在庫を貼る'!$W$6:$W$10005,$W7045)&gt;0),N(U7044),N(U7044)+1))</f>
        <v/>
      </c>
      <c r="V7045" s="19">
        <f>IF($B7045="","",TEXT($B7045,"0000"))</f>
        <v/>
      </c>
      <c r="W7045" s="19">
        <f>IF($I7045="","",IF(ISNUMBER($I7045),TEXT($I7045,"0"),$I7045))</f>
        <v/>
      </c>
    </row>
    <row r="7046">
      <c r="B7046" s="25" t="n"/>
      <c r="I7046" s="25" t="n"/>
      <c r="U7046" s="19">
        <f>IF($V7046&lt;&gt;'設定'!$C$4,N(U7045),IF(OR(NOT(COUNTIF('商品マスタ'!$B$6:$B$1005,$W7046)=0),COUNTIFS('①在庫を貼る'!$V$6:$V$10005,$V7046,'①在庫を貼る'!$W$6:$W$10005,$W7046)&gt;0),N(U7045),N(U7045)+1))</f>
        <v/>
      </c>
      <c r="V7046" s="19">
        <f>IF($B7046="","",TEXT($B7046,"0000"))</f>
        <v/>
      </c>
      <c r="W7046" s="19">
        <f>IF($I7046="","",IF(ISNUMBER($I7046),TEXT($I7046,"0"),$I7046))</f>
        <v/>
      </c>
    </row>
    <row r="7047">
      <c r="B7047" s="25" t="n"/>
      <c r="I7047" s="25" t="n"/>
      <c r="U7047" s="19">
        <f>IF($V7047&lt;&gt;'設定'!$C$4,N(U7046),IF(OR(NOT(COUNTIF('商品マスタ'!$B$6:$B$1005,$W7047)=0),COUNTIFS('①在庫を貼る'!$V$6:$V$10005,$V7047,'①在庫を貼る'!$W$6:$W$10005,$W7047)&gt;0),N(U7046),N(U7046)+1))</f>
        <v/>
      </c>
      <c r="V7047" s="19">
        <f>IF($B7047="","",TEXT($B7047,"0000"))</f>
        <v/>
      </c>
      <c r="W7047" s="19">
        <f>IF($I7047="","",IF(ISNUMBER($I7047),TEXT($I7047,"0"),$I7047))</f>
        <v/>
      </c>
    </row>
    <row r="7048">
      <c r="B7048" s="25" t="n"/>
      <c r="I7048" s="25" t="n"/>
      <c r="U7048" s="19">
        <f>IF($V7048&lt;&gt;'設定'!$C$4,N(U7047),IF(OR(NOT(COUNTIF('商品マスタ'!$B$6:$B$1005,$W7048)=0),COUNTIFS('①在庫を貼る'!$V$6:$V$10005,$V7048,'①在庫を貼る'!$W$6:$W$10005,$W7048)&gt;0),N(U7047),N(U7047)+1))</f>
        <v/>
      </c>
      <c r="V7048" s="19">
        <f>IF($B7048="","",TEXT($B7048,"0000"))</f>
        <v/>
      </c>
      <c r="W7048" s="19">
        <f>IF($I7048="","",IF(ISNUMBER($I7048),TEXT($I7048,"0"),$I7048))</f>
        <v/>
      </c>
    </row>
    <row r="7049">
      <c r="B7049" s="25" t="n"/>
      <c r="I7049" s="25" t="n"/>
      <c r="U7049" s="19">
        <f>IF($V7049&lt;&gt;'設定'!$C$4,N(U7048),IF(OR(NOT(COUNTIF('商品マスタ'!$B$6:$B$1005,$W7049)=0),COUNTIFS('①在庫を貼る'!$V$6:$V$10005,$V7049,'①在庫を貼る'!$W$6:$W$10005,$W7049)&gt;0),N(U7048),N(U7048)+1))</f>
        <v/>
      </c>
      <c r="V7049" s="19">
        <f>IF($B7049="","",TEXT($B7049,"0000"))</f>
        <v/>
      </c>
      <c r="W7049" s="19">
        <f>IF($I7049="","",IF(ISNUMBER($I7049),TEXT($I7049,"0"),$I7049))</f>
        <v/>
      </c>
    </row>
    <row r="7050">
      <c r="B7050" s="25" t="n"/>
      <c r="I7050" s="25" t="n"/>
      <c r="U7050" s="19">
        <f>IF($V7050&lt;&gt;'設定'!$C$4,N(U7049),IF(OR(NOT(COUNTIF('商品マスタ'!$B$6:$B$1005,$W7050)=0),COUNTIFS('①在庫を貼る'!$V$6:$V$10005,$V7050,'①在庫を貼る'!$W$6:$W$10005,$W7050)&gt;0),N(U7049),N(U7049)+1))</f>
        <v/>
      </c>
      <c r="V7050" s="19">
        <f>IF($B7050="","",TEXT($B7050,"0000"))</f>
        <v/>
      </c>
      <c r="W7050" s="19">
        <f>IF($I7050="","",IF(ISNUMBER($I7050),TEXT($I7050,"0"),$I7050))</f>
        <v/>
      </c>
    </row>
    <row r="7051">
      <c r="B7051" s="25" t="n"/>
      <c r="I7051" s="25" t="n"/>
      <c r="U7051" s="19">
        <f>IF($V7051&lt;&gt;'設定'!$C$4,N(U7050),IF(OR(NOT(COUNTIF('商品マスタ'!$B$6:$B$1005,$W7051)=0),COUNTIFS('①在庫を貼る'!$V$6:$V$10005,$V7051,'①在庫を貼る'!$W$6:$W$10005,$W7051)&gt;0),N(U7050),N(U7050)+1))</f>
        <v/>
      </c>
      <c r="V7051" s="19">
        <f>IF($B7051="","",TEXT($B7051,"0000"))</f>
        <v/>
      </c>
      <c r="W7051" s="19">
        <f>IF($I7051="","",IF(ISNUMBER($I7051),TEXT($I7051,"0"),$I7051))</f>
        <v/>
      </c>
    </row>
    <row r="7052">
      <c r="B7052" s="25" t="n"/>
      <c r="I7052" s="25" t="n"/>
      <c r="U7052" s="19">
        <f>IF($V7052&lt;&gt;'設定'!$C$4,N(U7051),IF(OR(NOT(COUNTIF('商品マスタ'!$B$6:$B$1005,$W7052)=0),COUNTIFS('①在庫を貼る'!$V$6:$V$10005,$V7052,'①在庫を貼る'!$W$6:$W$10005,$W7052)&gt;0),N(U7051),N(U7051)+1))</f>
        <v/>
      </c>
      <c r="V7052" s="19">
        <f>IF($B7052="","",TEXT($B7052,"0000"))</f>
        <v/>
      </c>
      <c r="W7052" s="19">
        <f>IF($I7052="","",IF(ISNUMBER($I7052),TEXT($I7052,"0"),$I7052))</f>
        <v/>
      </c>
    </row>
    <row r="7053">
      <c r="B7053" s="25" t="n"/>
      <c r="I7053" s="25" t="n"/>
      <c r="U7053" s="19">
        <f>IF($V7053&lt;&gt;'設定'!$C$4,N(U7052),IF(OR(NOT(COUNTIF('商品マスタ'!$B$6:$B$1005,$W7053)=0),COUNTIFS('①在庫を貼る'!$V$6:$V$10005,$V7053,'①在庫を貼る'!$W$6:$W$10005,$W7053)&gt;0),N(U7052),N(U7052)+1))</f>
        <v/>
      </c>
      <c r="V7053" s="19">
        <f>IF($B7053="","",TEXT($B7053,"0000"))</f>
        <v/>
      </c>
      <c r="W7053" s="19">
        <f>IF($I7053="","",IF(ISNUMBER($I7053),TEXT($I7053,"0"),$I7053))</f>
        <v/>
      </c>
    </row>
    <row r="7054">
      <c r="B7054" s="25" t="n"/>
      <c r="I7054" s="25" t="n"/>
      <c r="U7054" s="19">
        <f>IF($V7054&lt;&gt;'設定'!$C$4,N(U7053),IF(OR(NOT(COUNTIF('商品マスタ'!$B$6:$B$1005,$W7054)=0),COUNTIFS('①在庫を貼る'!$V$6:$V$10005,$V7054,'①在庫を貼る'!$W$6:$W$10005,$W7054)&gt;0),N(U7053),N(U7053)+1))</f>
        <v/>
      </c>
      <c r="V7054" s="19">
        <f>IF($B7054="","",TEXT($B7054,"0000"))</f>
        <v/>
      </c>
      <c r="W7054" s="19">
        <f>IF($I7054="","",IF(ISNUMBER($I7054),TEXT($I7054,"0"),$I7054))</f>
        <v/>
      </c>
    </row>
    <row r="7055">
      <c r="B7055" s="25" t="n"/>
      <c r="I7055" s="25" t="n"/>
      <c r="U7055" s="19">
        <f>IF($V7055&lt;&gt;'設定'!$C$4,N(U7054),IF(OR(NOT(COUNTIF('商品マスタ'!$B$6:$B$1005,$W7055)=0),COUNTIFS('①在庫を貼る'!$V$6:$V$10005,$V7055,'①在庫を貼る'!$W$6:$W$10005,$W7055)&gt;0),N(U7054),N(U7054)+1))</f>
        <v/>
      </c>
      <c r="V7055" s="19">
        <f>IF($B7055="","",TEXT($B7055,"0000"))</f>
        <v/>
      </c>
      <c r="W7055" s="19">
        <f>IF($I7055="","",IF(ISNUMBER($I7055),TEXT($I7055,"0"),$I7055))</f>
        <v/>
      </c>
    </row>
    <row r="7056">
      <c r="B7056" s="25" t="n"/>
      <c r="I7056" s="25" t="n"/>
      <c r="U7056" s="19">
        <f>IF($V7056&lt;&gt;'設定'!$C$4,N(U7055),IF(OR(NOT(COUNTIF('商品マスタ'!$B$6:$B$1005,$W7056)=0),COUNTIFS('①在庫を貼る'!$V$6:$V$10005,$V7056,'①在庫を貼る'!$W$6:$W$10005,$W7056)&gt;0),N(U7055),N(U7055)+1))</f>
        <v/>
      </c>
      <c r="V7056" s="19">
        <f>IF($B7056="","",TEXT($B7056,"0000"))</f>
        <v/>
      </c>
      <c r="W7056" s="19">
        <f>IF($I7056="","",IF(ISNUMBER($I7056),TEXT($I7056,"0"),$I7056))</f>
        <v/>
      </c>
    </row>
    <row r="7057">
      <c r="B7057" s="25" t="n"/>
      <c r="I7057" s="25" t="n"/>
      <c r="U7057" s="19">
        <f>IF($V7057&lt;&gt;'設定'!$C$4,N(U7056),IF(OR(NOT(COUNTIF('商品マスタ'!$B$6:$B$1005,$W7057)=0),COUNTIFS('①在庫を貼る'!$V$6:$V$10005,$V7057,'①在庫を貼る'!$W$6:$W$10005,$W7057)&gt;0),N(U7056),N(U7056)+1))</f>
        <v/>
      </c>
      <c r="V7057" s="19">
        <f>IF($B7057="","",TEXT($B7057,"0000"))</f>
        <v/>
      </c>
      <c r="W7057" s="19">
        <f>IF($I7057="","",IF(ISNUMBER($I7057),TEXT($I7057,"0"),$I7057))</f>
        <v/>
      </c>
    </row>
    <row r="7058">
      <c r="B7058" s="25" t="n"/>
      <c r="I7058" s="25" t="n"/>
      <c r="U7058" s="19">
        <f>IF($V7058&lt;&gt;'設定'!$C$4,N(U7057),IF(OR(NOT(COUNTIF('商品マスタ'!$B$6:$B$1005,$W7058)=0),COUNTIFS('①在庫を貼る'!$V$6:$V$10005,$V7058,'①在庫を貼る'!$W$6:$W$10005,$W7058)&gt;0),N(U7057),N(U7057)+1))</f>
        <v/>
      </c>
      <c r="V7058" s="19">
        <f>IF($B7058="","",TEXT($B7058,"0000"))</f>
        <v/>
      </c>
      <c r="W7058" s="19">
        <f>IF($I7058="","",IF(ISNUMBER($I7058),TEXT($I7058,"0"),$I7058))</f>
        <v/>
      </c>
    </row>
    <row r="7059">
      <c r="B7059" s="25" t="n"/>
      <c r="I7059" s="25" t="n"/>
      <c r="U7059" s="19">
        <f>IF($V7059&lt;&gt;'設定'!$C$4,N(U7058),IF(OR(NOT(COUNTIF('商品マスタ'!$B$6:$B$1005,$W7059)=0),COUNTIFS('①在庫を貼る'!$V$6:$V$10005,$V7059,'①在庫を貼る'!$W$6:$W$10005,$W7059)&gt;0),N(U7058),N(U7058)+1))</f>
        <v/>
      </c>
      <c r="V7059" s="19">
        <f>IF($B7059="","",TEXT($B7059,"0000"))</f>
        <v/>
      </c>
      <c r="W7059" s="19">
        <f>IF($I7059="","",IF(ISNUMBER($I7059),TEXT($I7059,"0"),$I7059))</f>
        <v/>
      </c>
    </row>
    <row r="7060">
      <c r="B7060" s="25" t="n"/>
      <c r="I7060" s="25" t="n"/>
      <c r="U7060" s="19">
        <f>IF($V7060&lt;&gt;'設定'!$C$4,N(U7059),IF(OR(NOT(COUNTIF('商品マスタ'!$B$6:$B$1005,$W7060)=0),COUNTIFS('①在庫を貼る'!$V$6:$V$10005,$V7060,'①在庫を貼る'!$W$6:$W$10005,$W7060)&gt;0),N(U7059),N(U7059)+1))</f>
        <v/>
      </c>
      <c r="V7060" s="19">
        <f>IF($B7060="","",TEXT($B7060,"0000"))</f>
        <v/>
      </c>
      <c r="W7060" s="19">
        <f>IF($I7060="","",IF(ISNUMBER($I7060),TEXT($I7060,"0"),$I7060))</f>
        <v/>
      </c>
    </row>
    <row r="7061">
      <c r="B7061" s="25" t="n"/>
      <c r="I7061" s="25" t="n"/>
      <c r="U7061" s="19">
        <f>IF($V7061&lt;&gt;'設定'!$C$4,N(U7060),IF(OR(NOT(COUNTIF('商品マスタ'!$B$6:$B$1005,$W7061)=0),COUNTIFS('①在庫を貼る'!$V$6:$V$10005,$V7061,'①在庫を貼る'!$W$6:$W$10005,$W7061)&gt;0),N(U7060),N(U7060)+1))</f>
        <v/>
      </c>
      <c r="V7061" s="19">
        <f>IF($B7061="","",TEXT($B7061,"0000"))</f>
        <v/>
      </c>
      <c r="W7061" s="19">
        <f>IF($I7061="","",IF(ISNUMBER($I7061),TEXT($I7061,"0"),$I7061))</f>
        <v/>
      </c>
    </row>
    <row r="7062">
      <c r="B7062" s="25" t="n"/>
      <c r="I7062" s="25" t="n"/>
      <c r="U7062" s="19">
        <f>IF($V7062&lt;&gt;'設定'!$C$4,N(U7061),IF(OR(NOT(COUNTIF('商品マスタ'!$B$6:$B$1005,$W7062)=0),COUNTIFS('①在庫を貼る'!$V$6:$V$10005,$V7062,'①在庫を貼る'!$W$6:$W$10005,$W7062)&gt;0),N(U7061),N(U7061)+1))</f>
        <v/>
      </c>
      <c r="V7062" s="19">
        <f>IF($B7062="","",TEXT($B7062,"0000"))</f>
        <v/>
      </c>
      <c r="W7062" s="19">
        <f>IF($I7062="","",IF(ISNUMBER($I7062),TEXT($I7062,"0"),$I7062))</f>
        <v/>
      </c>
    </row>
    <row r="7063">
      <c r="B7063" s="25" t="n"/>
      <c r="I7063" s="25" t="n"/>
      <c r="U7063" s="19">
        <f>IF($V7063&lt;&gt;'設定'!$C$4,N(U7062),IF(OR(NOT(COUNTIF('商品マスタ'!$B$6:$B$1005,$W7063)=0),COUNTIFS('①在庫を貼る'!$V$6:$V$10005,$V7063,'①在庫を貼る'!$W$6:$W$10005,$W7063)&gt;0),N(U7062),N(U7062)+1))</f>
        <v/>
      </c>
      <c r="V7063" s="19">
        <f>IF($B7063="","",TEXT($B7063,"0000"))</f>
        <v/>
      </c>
      <c r="W7063" s="19">
        <f>IF($I7063="","",IF(ISNUMBER($I7063),TEXT($I7063,"0"),$I7063))</f>
        <v/>
      </c>
    </row>
    <row r="7064">
      <c r="B7064" s="25" t="n"/>
      <c r="I7064" s="25" t="n"/>
      <c r="U7064" s="19">
        <f>IF($V7064&lt;&gt;'設定'!$C$4,N(U7063),IF(OR(NOT(COUNTIF('商品マスタ'!$B$6:$B$1005,$W7064)=0),COUNTIFS('①在庫を貼る'!$V$6:$V$10005,$V7064,'①在庫を貼る'!$W$6:$W$10005,$W7064)&gt;0),N(U7063),N(U7063)+1))</f>
        <v/>
      </c>
      <c r="V7064" s="19">
        <f>IF($B7064="","",TEXT($B7064,"0000"))</f>
        <v/>
      </c>
      <c r="W7064" s="19">
        <f>IF($I7064="","",IF(ISNUMBER($I7064),TEXT($I7064,"0"),$I7064))</f>
        <v/>
      </c>
    </row>
    <row r="7065">
      <c r="B7065" s="25" t="n"/>
      <c r="I7065" s="25" t="n"/>
      <c r="U7065" s="19">
        <f>IF($V7065&lt;&gt;'設定'!$C$4,N(U7064),IF(OR(NOT(COUNTIF('商品マスタ'!$B$6:$B$1005,$W7065)=0),COUNTIFS('①在庫を貼る'!$V$6:$V$10005,$V7065,'①在庫を貼る'!$W$6:$W$10005,$W7065)&gt;0),N(U7064),N(U7064)+1))</f>
        <v/>
      </c>
      <c r="V7065" s="19">
        <f>IF($B7065="","",TEXT($B7065,"0000"))</f>
        <v/>
      </c>
      <c r="W7065" s="19">
        <f>IF($I7065="","",IF(ISNUMBER($I7065),TEXT($I7065,"0"),$I7065))</f>
        <v/>
      </c>
    </row>
    <row r="7066">
      <c r="B7066" s="25" t="n"/>
      <c r="I7066" s="25" t="n"/>
      <c r="U7066" s="19">
        <f>IF($V7066&lt;&gt;'設定'!$C$4,N(U7065),IF(OR(NOT(COUNTIF('商品マスタ'!$B$6:$B$1005,$W7066)=0),COUNTIFS('①在庫を貼る'!$V$6:$V$10005,$V7066,'①在庫を貼る'!$W$6:$W$10005,$W7066)&gt;0),N(U7065),N(U7065)+1))</f>
        <v/>
      </c>
      <c r="V7066" s="19">
        <f>IF($B7066="","",TEXT($B7066,"0000"))</f>
        <v/>
      </c>
      <c r="W7066" s="19">
        <f>IF($I7066="","",IF(ISNUMBER($I7066),TEXT($I7066,"0"),$I7066))</f>
        <v/>
      </c>
    </row>
    <row r="7067">
      <c r="B7067" s="25" t="n"/>
      <c r="I7067" s="25" t="n"/>
      <c r="U7067" s="19">
        <f>IF($V7067&lt;&gt;'設定'!$C$4,N(U7066),IF(OR(NOT(COUNTIF('商品マスタ'!$B$6:$B$1005,$W7067)=0),COUNTIFS('①在庫を貼る'!$V$6:$V$10005,$V7067,'①在庫を貼る'!$W$6:$W$10005,$W7067)&gt;0),N(U7066),N(U7066)+1))</f>
        <v/>
      </c>
      <c r="V7067" s="19">
        <f>IF($B7067="","",TEXT($B7067,"0000"))</f>
        <v/>
      </c>
      <c r="W7067" s="19">
        <f>IF($I7067="","",IF(ISNUMBER($I7067),TEXT($I7067,"0"),$I7067))</f>
        <v/>
      </c>
    </row>
    <row r="7068">
      <c r="B7068" s="25" t="n"/>
      <c r="I7068" s="25" t="n"/>
      <c r="U7068" s="19">
        <f>IF($V7068&lt;&gt;'設定'!$C$4,N(U7067),IF(OR(NOT(COUNTIF('商品マスタ'!$B$6:$B$1005,$W7068)=0),COUNTIFS('①在庫を貼る'!$V$6:$V$10005,$V7068,'①在庫を貼る'!$W$6:$W$10005,$W7068)&gt;0),N(U7067),N(U7067)+1))</f>
        <v/>
      </c>
      <c r="V7068" s="19">
        <f>IF($B7068="","",TEXT($B7068,"0000"))</f>
        <v/>
      </c>
      <c r="W7068" s="19">
        <f>IF($I7068="","",IF(ISNUMBER($I7068),TEXT($I7068,"0"),$I7068))</f>
        <v/>
      </c>
    </row>
    <row r="7069">
      <c r="B7069" s="25" t="n"/>
      <c r="I7069" s="25" t="n"/>
      <c r="U7069" s="19">
        <f>IF($V7069&lt;&gt;'設定'!$C$4,N(U7068),IF(OR(NOT(COUNTIF('商品マスタ'!$B$6:$B$1005,$W7069)=0),COUNTIFS('①在庫を貼る'!$V$6:$V$10005,$V7069,'①在庫を貼る'!$W$6:$W$10005,$W7069)&gt;0),N(U7068),N(U7068)+1))</f>
        <v/>
      </c>
      <c r="V7069" s="19">
        <f>IF($B7069="","",TEXT($B7069,"0000"))</f>
        <v/>
      </c>
      <c r="W7069" s="19">
        <f>IF($I7069="","",IF(ISNUMBER($I7069),TEXT($I7069,"0"),$I7069))</f>
        <v/>
      </c>
    </row>
    <row r="7070">
      <c r="B7070" s="25" t="n"/>
      <c r="I7070" s="25" t="n"/>
      <c r="U7070" s="19">
        <f>IF($V7070&lt;&gt;'設定'!$C$4,N(U7069),IF(OR(NOT(COUNTIF('商品マスタ'!$B$6:$B$1005,$W7070)=0),COUNTIFS('①在庫を貼る'!$V$6:$V$10005,$V7070,'①在庫を貼る'!$W$6:$W$10005,$W7070)&gt;0),N(U7069),N(U7069)+1))</f>
        <v/>
      </c>
      <c r="V7070" s="19">
        <f>IF($B7070="","",TEXT($B7070,"0000"))</f>
        <v/>
      </c>
      <c r="W7070" s="19">
        <f>IF($I7070="","",IF(ISNUMBER($I7070),TEXT($I7070,"0"),$I7070))</f>
        <v/>
      </c>
    </row>
    <row r="7071">
      <c r="B7071" s="25" t="n"/>
      <c r="I7071" s="25" t="n"/>
      <c r="U7071" s="19">
        <f>IF($V7071&lt;&gt;'設定'!$C$4,N(U7070),IF(OR(NOT(COUNTIF('商品マスタ'!$B$6:$B$1005,$W7071)=0),COUNTIFS('①在庫を貼る'!$V$6:$V$10005,$V7071,'①在庫を貼る'!$W$6:$W$10005,$W7071)&gt;0),N(U7070),N(U7070)+1))</f>
        <v/>
      </c>
      <c r="V7071" s="19">
        <f>IF($B7071="","",TEXT($B7071,"0000"))</f>
        <v/>
      </c>
      <c r="W7071" s="19">
        <f>IF($I7071="","",IF(ISNUMBER($I7071),TEXT($I7071,"0"),$I7071))</f>
        <v/>
      </c>
    </row>
    <row r="7072">
      <c r="B7072" s="25" t="n"/>
      <c r="I7072" s="25" t="n"/>
      <c r="U7072" s="19">
        <f>IF($V7072&lt;&gt;'設定'!$C$4,N(U7071),IF(OR(NOT(COUNTIF('商品マスタ'!$B$6:$B$1005,$W7072)=0),COUNTIFS('①在庫を貼る'!$V$6:$V$10005,$V7072,'①在庫を貼る'!$W$6:$W$10005,$W7072)&gt;0),N(U7071),N(U7071)+1))</f>
        <v/>
      </c>
      <c r="V7072" s="19">
        <f>IF($B7072="","",TEXT($B7072,"0000"))</f>
        <v/>
      </c>
      <c r="W7072" s="19">
        <f>IF($I7072="","",IF(ISNUMBER($I7072),TEXT($I7072,"0"),$I7072))</f>
        <v/>
      </c>
    </row>
    <row r="7073">
      <c r="B7073" s="25" t="n"/>
      <c r="I7073" s="25" t="n"/>
      <c r="U7073" s="19">
        <f>IF($V7073&lt;&gt;'設定'!$C$4,N(U7072),IF(OR(NOT(COUNTIF('商品マスタ'!$B$6:$B$1005,$W7073)=0),COUNTIFS('①在庫を貼る'!$V$6:$V$10005,$V7073,'①在庫を貼る'!$W$6:$W$10005,$W7073)&gt;0),N(U7072),N(U7072)+1))</f>
        <v/>
      </c>
      <c r="V7073" s="19">
        <f>IF($B7073="","",TEXT($B7073,"0000"))</f>
        <v/>
      </c>
      <c r="W7073" s="19">
        <f>IF($I7073="","",IF(ISNUMBER($I7073),TEXT($I7073,"0"),$I7073))</f>
        <v/>
      </c>
    </row>
    <row r="7074">
      <c r="B7074" s="25" t="n"/>
      <c r="I7074" s="25" t="n"/>
      <c r="U7074" s="19">
        <f>IF($V7074&lt;&gt;'設定'!$C$4,N(U7073),IF(OR(NOT(COUNTIF('商品マスタ'!$B$6:$B$1005,$W7074)=0),COUNTIFS('①在庫を貼る'!$V$6:$V$10005,$V7074,'①在庫を貼る'!$W$6:$W$10005,$W7074)&gt;0),N(U7073),N(U7073)+1))</f>
        <v/>
      </c>
      <c r="V7074" s="19">
        <f>IF($B7074="","",TEXT($B7074,"0000"))</f>
        <v/>
      </c>
      <c r="W7074" s="19">
        <f>IF($I7074="","",IF(ISNUMBER($I7074),TEXT($I7074,"0"),$I7074))</f>
        <v/>
      </c>
    </row>
    <row r="7075">
      <c r="B7075" s="25" t="n"/>
      <c r="I7075" s="25" t="n"/>
      <c r="U7075" s="19">
        <f>IF($V7075&lt;&gt;'設定'!$C$4,N(U7074),IF(OR(NOT(COUNTIF('商品マスタ'!$B$6:$B$1005,$W7075)=0),COUNTIFS('①在庫を貼る'!$V$6:$V$10005,$V7075,'①在庫を貼る'!$W$6:$W$10005,$W7075)&gt;0),N(U7074),N(U7074)+1))</f>
        <v/>
      </c>
      <c r="V7075" s="19">
        <f>IF($B7075="","",TEXT($B7075,"0000"))</f>
        <v/>
      </c>
      <c r="W7075" s="19">
        <f>IF($I7075="","",IF(ISNUMBER($I7075),TEXT($I7075,"0"),$I7075))</f>
        <v/>
      </c>
    </row>
    <row r="7076">
      <c r="B7076" s="25" t="n"/>
      <c r="I7076" s="25" t="n"/>
      <c r="U7076" s="19">
        <f>IF($V7076&lt;&gt;'設定'!$C$4,N(U7075),IF(OR(NOT(COUNTIF('商品マスタ'!$B$6:$B$1005,$W7076)=0),COUNTIFS('①在庫を貼る'!$V$6:$V$10005,$V7076,'①在庫を貼る'!$W$6:$W$10005,$W7076)&gt;0),N(U7075),N(U7075)+1))</f>
        <v/>
      </c>
      <c r="V7076" s="19">
        <f>IF($B7076="","",TEXT($B7076,"0000"))</f>
        <v/>
      </c>
      <c r="W7076" s="19">
        <f>IF($I7076="","",IF(ISNUMBER($I7076),TEXT($I7076,"0"),$I7076))</f>
        <v/>
      </c>
    </row>
    <row r="7077">
      <c r="B7077" s="25" t="n"/>
      <c r="I7077" s="25" t="n"/>
      <c r="U7077" s="19">
        <f>IF($V7077&lt;&gt;'設定'!$C$4,N(U7076),IF(OR(NOT(COUNTIF('商品マスタ'!$B$6:$B$1005,$W7077)=0),COUNTIFS('①在庫を貼る'!$V$6:$V$10005,$V7077,'①在庫を貼る'!$W$6:$W$10005,$W7077)&gt;0),N(U7076),N(U7076)+1))</f>
        <v/>
      </c>
      <c r="V7077" s="19">
        <f>IF($B7077="","",TEXT($B7077,"0000"))</f>
        <v/>
      </c>
      <c r="W7077" s="19">
        <f>IF($I7077="","",IF(ISNUMBER($I7077),TEXT($I7077,"0"),$I7077))</f>
        <v/>
      </c>
    </row>
    <row r="7078">
      <c r="B7078" s="25" t="n"/>
      <c r="I7078" s="25" t="n"/>
      <c r="U7078" s="19">
        <f>IF($V7078&lt;&gt;'設定'!$C$4,N(U7077),IF(OR(NOT(COUNTIF('商品マスタ'!$B$6:$B$1005,$W7078)=0),COUNTIFS('①在庫を貼る'!$V$6:$V$10005,$V7078,'①在庫を貼る'!$W$6:$W$10005,$W7078)&gt;0),N(U7077),N(U7077)+1))</f>
        <v/>
      </c>
      <c r="V7078" s="19">
        <f>IF($B7078="","",TEXT($B7078,"0000"))</f>
        <v/>
      </c>
      <c r="W7078" s="19">
        <f>IF($I7078="","",IF(ISNUMBER($I7078),TEXT($I7078,"0"),$I7078))</f>
        <v/>
      </c>
    </row>
    <row r="7079">
      <c r="B7079" s="25" t="n"/>
      <c r="I7079" s="25" t="n"/>
      <c r="U7079" s="19">
        <f>IF($V7079&lt;&gt;'設定'!$C$4,N(U7078),IF(OR(NOT(COUNTIF('商品マスタ'!$B$6:$B$1005,$W7079)=0),COUNTIFS('①在庫を貼る'!$V$6:$V$10005,$V7079,'①在庫を貼る'!$W$6:$W$10005,$W7079)&gt;0),N(U7078),N(U7078)+1))</f>
        <v/>
      </c>
      <c r="V7079" s="19">
        <f>IF($B7079="","",TEXT($B7079,"0000"))</f>
        <v/>
      </c>
      <c r="W7079" s="19">
        <f>IF($I7079="","",IF(ISNUMBER($I7079),TEXT($I7079,"0"),$I7079))</f>
        <v/>
      </c>
    </row>
    <row r="7080">
      <c r="B7080" s="25" t="n"/>
      <c r="I7080" s="25" t="n"/>
      <c r="U7080" s="19">
        <f>IF($V7080&lt;&gt;'設定'!$C$4,N(U7079),IF(OR(NOT(COUNTIF('商品マスタ'!$B$6:$B$1005,$W7080)=0),COUNTIFS('①在庫を貼る'!$V$6:$V$10005,$V7080,'①在庫を貼る'!$W$6:$W$10005,$W7080)&gt;0),N(U7079),N(U7079)+1))</f>
        <v/>
      </c>
      <c r="V7080" s="19">
        <f>IF($B7080="","",TEXT($B7080,"0000"))</f>
        <v/>
      </c>
      <c r="W7080" s="19">
        <f>IF($I7080="","",IF(ISNUMBER($I7080),TEXT($I7080,"0"),$I7080))</f>
        <v/>
      </c>
    </row>
    <row r="7081">
      <c r="B7081" s="25" t="n"/>
      <c r="I7081" s="25" t="n"/>
      <c r="U7081" s="19">
        <f>IF($V7081&lt;&gt;'設定'!$C$4,N(U7080),IF(OR(NOT(COUNTIF('商品マスタ'!$B$6:$B$1005,$W7081)=0),COUNTIFS('①在庫を貼る'!$V$6:$V$10005,$V7081,'①在庫を貼る'!$W$6:$W$10005,$W7081)&gt;0),N(U7080),N(U7080)+1))</f>
        <v/>
      </c>
      <c r="V7081" s="19">
        <f>IF($B7081="","",TEXT($B7081,"0000"))</f>
        <v/>
      </c>
      <c r="W7081" s="19">
        <f>IF($I7081="","",IF(ISNUMBER($I7081),TEXT($I7081,"0"),$I7081))</f>
        <v/>
      </c>
    </row>
    <row r="7082">
      <c r="B7082" s="25" t="n"/>
      <c r="I7082" s="25" t="n"/>
      <c r="U7082" s="19">
        <f>IF($V7082&lt;&gt;'設定'!$C$4,N(U7081),IF(OR(NOT(COUNTIF('商品マスタ'!$B$6:$B$1005,$W7082)=0),COUNTIFS('①在庫を貼る'!$V$6:$V$10005,$V7082,'①在庫を貼る'!$W$6:$W$10005,$W7082)&gt;0),N(U7081),N(U7081)+1))</f>
        <v/>
      </c>
      <c r="V7082" s="19">
        <f>IF($B7082="","",TEXT($B7082,"0000"))</f>
        <v/>
      </c>
      <c r="W7082" s="19">
        <f>IF($I7082="","",IF(ISNUMBER($I7082),TEXT($I7082,"0"),$I7082))</f>
        <v/>
      </c>
    </row>
    <row r="7083">
      <c r="B7083" s="25" t="n"/>
      <c r="I7083" s="25" t="n"/>
      <c r="U7083" s="19">
        <f>IF($V7083&lt;&gt;'設定'!$C$4,N(U7082),IF(OR(NOT(COUNTIF('商品マスタ'!$B$6:$B$1005,$W7083)=0),COUNTIFS('①在庫を貼る'!$V$6:$V$10005,$V7083,'①在庫を貼る'!$W$6:$W$10005,$W7083)&gt;0),N(U7082),N(U7082)+1))</f>
        <v/>
      </c>
      <c r="V7083" s="19">
        <f>IF($B7083="","",TEXT($B7083,"0000"))</f>
        <v/>
      </c>
      <c r="W7083" s="19">
        <f>IF($I7083="","",IF(ISNUMBER($I7083),TEXT($I7083,"0"),$I7083))</f>
        <v/>
      </c>
    </row>
    <row r="7084">
      <c r="B7084" s="25" t="n"/>
      <c r="I7084" s="25" t="n"/>
      <c r="U7084" s="19">
        <f>IF($V7084&lt;&gt;'設定'!$C$4,N(U7083),IF(OR(NOT(COUNTIF('商品マスタ'!$B$6:$B$1005,$W7084)=0),COUNTIFS('①在庫を貼る'!$V$6:$V$10005,$V7084,'①在庫を貼る'!$W$6:$W$10005,$W7084)&gt;0),N(U7083),N(U7083)+1))</f>
        <v/>
      </c>
      <c r="V7084" s="19">
        <f>IF($B7084="","",TEXT($B7084,"0000"))</f>
        <v/>
      </c>
      <c r="W7084" s="19">
        <f>IF($I7084="","",IF(ISNUMBER($I7084),TEXT($I7084,"0"),$I7084))</f>
        <v/>
      </c>
    </row>
    <row r="7085">
      <c r="B7085" s="25" t="n"/>
      <c r="I7085" s="25" t="n"/>
      <c r="U7085" s="19">
        <f>IF($V7085&lt;&gt;'設定'!$C$4,N(U7084),IF(OR(NOT(COUNTIF('商品マスタ'!$B$6:$B$1005,$W7085)=0),COUNTIFS('①在庫を貼る'!$V$6:$V$10005,$V7085,'①在庫を貼る'!$W$6:$W$10005,$W7085)&gt;0),N(U7084),N(U7084)+1))</f>
        <v/>
      </c>
      <c r="V7085" s="19">
        <f>IF($B7085="","",TEXT($B7085,"0000"))</f>
        <v/>
      </c>
      <c r="W7085" s="19">
        <f>IF($I7085="","",IF(ISNUMBER($I7085),TEXT($I7085,"0"),$I7085))</f>
        <v/>
      </c>
    </row>
    <row r="7086">
      <c r="B7086" s="25" t="n"/>
      <c r="I7086" s="25" t="n"/>
      <c r="U7086" s="19">
        <f>IF($V7086&lt;&gt;'設定'!$C$4,N(U7085),IF(OR(NOT(COUNTIF('商品マスタ'!$B$6:$B$1005,$W7086)=0),COUNTIFS('①在庫を貼る'!$V$6:$V$10005,$V7086,'①在庫を貼る'!$W$6:$W$10005,$W7086)&gt;0),N(U7085),N(U7085)+1))</f>
        <v/>
      </c>
      <c r="V7086" s="19">
        <f>IF($B7086="","",TEXT($B7086,"0000"))</f>
        <v/>
      </c>
      <c r="W7086" s="19">
        <f>IF($I7086="","",IF(ISNUMBER($I7086),TEXT($I7086,"0"),$I7086))</f>
        <v/>
      </c>
    </row>
    <row r="7087">
      <c r="B7087" s="25" t="n"/>
      <c r="I7087" s="25" t="n"/>
      <c r="U7087" s="19">
        <f>IF($V7087&lt;&gt;'設定'!$C$4,N(U7086),IF(OR(NOT(COUNTIF('商品マスタ'!$B$6:$B$1005,$W7087)=0),COUNTIFS('①在庫を貼る'!$V$6:$V$10005,$V7087,'①在庫を貼る'!$W$6:$W$10005,$W7087)&gt;0),N(U7086),N(U7086)+1))</f>
        <v/>
      </c>
      <c r="V7087" s="19">
        <f>IF($B7087="","",TEXT($B7087,"0000"))</f>
        <v/>
      </c>
      <c r="W7087" s="19">
        <f>IF($I7087="","",IF(ISNUMBER($I7087),TEXT($I7087,"0"),$I7087))</f>
        <v/>
      </c>
    </row>
    <row r="7088">
      <c r="B7088" s="25" t="n"/>
      <c r="I7088" s="25" t="n"/>
      <c r="U7088" s="19">
        <f>IF($V7088&lt;&gt;'設定'!$C$4,N(U7087),IF(OR(NOT(COUNTIF('商品マスタ'!$B$6:$B$1005,$W7088)=0),COUNTIFS('①在庫を貼る'!$V$6:$V$10005,$V7088,'①在庫を貼る'!$W$6:$W$10005,$W7088)&gt;0),N(U7087),N(U7087)+1))</f>
        <v/>
      </c>
      <c r="V7088" s="19">
        <f>IF($B7088="","",TEXT($B7088,"0000"))</f>
        <v/>
      </c>
      <c r="W7088" s="19">
        <f>IF($I7088="","",IF(ISNUMBER($I7088),TEXT($I7088,"0"),$I7088))</f>
        <v/>
      </c>
    </row>
    <row r="7089">
      <c r="B7089" s="25" t="n"/>
      <c r="I7089" s="25" t="n"/>
      <c r="U7089" s="19">
        <f>IF($V7089&lt;&gt;'設定'!$C$4,N(U7088),IF(OR(NOT(COUNTIF('商品マスタ'!$B$6:$B$1005,$W7089)=0),COUNTIFS('①在庫を貼る'!$V$6:$V$10005,$V7089,'①在庫を貼る'!$W$6:$W$10005,$W7089)&gt;0),N(U7088),N(U7088)+1))</f>
        <v/>
      </c>
      <c r="V7089" s="19">
        <f>IF($B7089="","",TEXT($B7089,"0000"))</f>
        <v/>
      </c>
      <c r="W7089" s="19">
        <f>IF($I7089="","",IF(ISNUMBER($I7089),TEXT($I7089,"0"),$I7089))</f>
        <v/>
      </c>
    </row>
    <row r="7090">
      <c r="B7090" s="25" t="n"/>
      <c r="I7090" s="25" t="n"/>
      <c r="U7090" s="19">
        <f>IF($V7090&lt;&gt;'設定'!$C$4,N(U7089),IF(OR(NOT(COUNTIF('商品マスタ'!$B$6:$B$1005,$W7090)=0),COUNTIFS('①在庫を貼る'!$V$6:$V$10005,$V7090,'①在庫を貼る'!$W$6:$W$10005,$W7090)&gt;0),N(U7089),N(U7089)+1))</f>
        <v/>
      </c>
      <c r="V7090" s="19">
        <f>IF($B7090="","",TEXT($B7090,"0000"))</f>
        <v/>
      </c>
      <c r="W7090" s="19">
        <f>IF($I7090="","",IF(ISNUMBER($I7090),TEXT($I7090,"0"),$I7090))</f>
        <v/>
      </c>
    </row>
    <row r="7091">
      <c r="B7091" s="25" t="n"/>
      <c r="I7091" s="25" t="n"/>
      <c r="U7091" s="19">
        <f>IF($V7091&lt;&gt;'設定'!$C$4,N(U7090),IF(OR(NOT(COUNTIF('商品マスタ'!$B$6:$B$1005,$W7091)=0),COUNTIFS('①在庫を貼る'!$V$6:$V$10005,$V7091,'①在庫を貼る'!$W$6:$W$10005,$W7091)&gt;0),N(U7090),N(U7090)+1))</f>
        <v/>
      </c>
      <c r="V7091" s="19">
        <f>IF($B7091="","",TEXT($B7091,"0000"))</f>
        <v/>
      </c>
      <c r="W7091" s="19">
        <f>IF($I7091="","",IF(ISNUMBER($I7091),TEXT($I7091,"0"),$I7091))</f>
        <v/>
      </c>
    </row>
    <row r="7092">
      <c r="B7092" s="25" t="n"/>
      <c r="I7092" s="25" t="n"/>
      <c r="U7092" s="19">
        <f>IF($V7092&lt;&gt;'設定'!$C$4,N(U7091),IF(OR(NOT(COUNTIF('商品マスタ'!$B$6:$B$1005,$W7092)=0),COUNTIFS('①在庫を貼る'!$V$6:$V$10005,$V7092,'①在庫を貼る'!$W$6:$W$10005,$W7092)&gt;0),N(U7091),N(U7091)+1))</f>
        <v/>
      </c>
      <c r="V7092" s="19">
        <f>IF($B7092="","",TEXT($B7092,"0000"))</f>
        <v/>
      </c>
      <c r="W7092" s="19">
        <f>IF($I7092="","",IF(ISNUMBER($I7092),TEXT($I7092,"0"),$I7092))</f>
        <v/>
      </c>
    </row>
    <row r="7093">
      <c r="B7093" s="25" t="n"/>
      <c r="I7093" s="25" t="n"/>
      <c r="U7093" s="19">
        <f>IF($V7093&lt;&gt;'設定'!$C$4,N(U7092),IF(OR(NOT(COUNTIF('商品マスタ'!$B$6:$B$1005,$W7093)=0),COUNTIFS('①在庫を貼る'!$V$6:$V$10005,$V7093,'①在庫を貼る'!$W$6:$W$10005,$W7093)&gt;0),N(U7092),N(U7092)+1))</f>
        <v/>
      </c>
      <c r="V7093" s="19">
        <f>IF($B7093="","",TEXT($B7093,"0000"))</f>
        <v/>
      </c>
      <c r="W7093" s="19">
        <f>IF($I7093="","",IF(ISNUMBER($I7093),TEXT($I7093,"0"),$I7093))</f>
        <v/>
      </c>
    </row>
    <row r="7094">
      <c r="B7094" s="25" t="n"/>
      <c r="I7094" s="25" t="n"/>
      <c r="U7094" s="19">
        <f>IF($V7094&lt;&gt;'設定'!$C$4,N(U7093),IF(OR(NOT(COUNTIF('商品マスタ'!$B$6:$B$1005,$W7094)=0),COUNTIFS('①在庫を貼る'!$V$6:$V$10005,$V7094,'①在庫を貼る'!$W$6:$W$10005,$W7094)&gt;0),N(U7093),N(U7093)+1))</f>
        <v/>
      </c>
      <c r="V7094" s="19">
        <f>IF($B7094="","",TEXT($B7094,"0000"))</f>
        <v/>
      </c>
      <c r="W7094" s="19">
        <f>IF($I7094="","",IF(ISNUMBER($I7094),TEXT($I7094,"0"),$I7094))</f>
        <v/>
      </c>
    </row>
    <row r="7095">
      <c r="B7095" s="25" t="n"/>
      <c r="I7095" s="25" t="n"/>
      <c r="U7095" s="19">
        <f>IF($V7095&lt;&gt;'設定'!$C$4,N(U7094),IF(OR(NOT(COUNTIF('商品マスタ'!$B$6:$B$1005,$W7095)=0),COUNTIFS('①在庫を貼る'!$V$6:$V$10005,$V7095,'①在庫を貼る'!$W$6:$W$10005,$W7095)&gt;0),N(U7094),N(U7094)+1))</f>
        <v/>
      </c>
      <c r="V7095" s="19">
        <f>IF($B7095="","",TEXT($B7095,"0000"))</f>
        <v/>
      </c>
      <c r="W7095" s="19">
        <f>IF($I7095="","",IF(ISNUMBER($I7095),TEXT($I7095,"0"),$I7095))</f>
        <v/>
      </c>
    </row>
    <row r="7096">
      <c r="B7096" s="25" t="n"/>
      <c r="I7096" s="25" t="n"/>
      <c r="U7096" s="19">
        <f>IF($V7096&lt;&gt;'設定'!$C$4,N(U7095),IF(OR(NOT(COUNTIF('商品マスタ'!$B$6:$B$1005,$W7096)=0),COUNTIFS('①在庫を貼る'!$V$6:$V$10005,$V7096,'①在庫を貼る'!$W$6:$W$10005,$W7096)&gt;0),N(U7095),N(U7095)+1))</f>
        <v/>
      </c>
      <c r="V7096" s="19">
        <f>IF($B7096="","",TEXT($B7096,"0000"))</f>
        <v/>
      </c>
      <c r="W7096" s="19">
        <f>IF($I7096="","",IF(ISNUMBER($I7096),TEXT($I7096,"0"),$I7096))</f>
        <v/>
      </c>
    </row>
    <row r="7097">
      <c r="B7097" s="25" t="n"/>
      <c r="I7097" s="25" t="n"/>
      <c r="U7097" s="19">
        <f>IF($V7097&lt;&gt;'設定'!$C$4,N(U7096),IF(OR(NOT(COUNTIF('商品マスタ'!$B$6:$B$1005,$W7097)=0),COUNTIFS('①在庫を貼る'!$V$6:$V$10005,$V7097,'①在庫を貼る'!$W$6:$W$10005,$W7097)&gt;0),N(U7096),N(U7096)+1))</f>
        <v/>
      </c>
      <c r="V7097" s="19">
        <f>IF($B7097="","",TEXT($B7097,"0000"))</f>
        <v/>
      </c>
      <c r="W7097" s="19">
        <f>IF($I7097="","",IF(ISNUMBER($I7097),TEXT($I7097,"0"),$I7097))</f>
        <v/>
      </c>
    </row>
    <row r="7098">
      <c r="B7098" s="25" t="n"/>
      <c r="I7098" s="25" t="n"/>
      <c r="U7098" s="19">
        <f>IF($V7098&lt;&gt;'設定'!$C$4,N(U7097),IF(OR(NOT(COUNTIF('商品マスタ'!$B$6:$B$1005,$W7098)=0),COUNTIFS('①在庫を貼る'!$V$6:$V$10005,$V7098,'①在庫を貼る'!$W$6:$W$10005,$W7098)&gt;0),N(U7097),N(U7097)+1))</f>
        <v/>
      </c>
      <c r="V7098" s="19">
        <f>IF($B7098="","",TEXT($B7098,"0000"))</f>
        <v/>
      </c>
      <c r="W7098" s="19">
        <f>IF($I7098="","",IF(ISNUMBER($I7098),TEXT($I7098,"0"),$I7098))</f>
        <v/>
      </c>
    </row>
    <row r="7099">
      <c r="B7099" s="25" t="n"/>
      <c r="I7099" s="25" t="n"/>
      <c r="U7099" s="19">
        <f>IF($V7099&lt;&gt;'設定'!$C$4,N(U7098),IF(OR(NOT(COUNTIF('商品マスタ'!$B$6:$B$1005,$W7099)=0),COUNTIFS('①在庫を貼る'!$V$6:$V$10005,$V7099,'①在庫を貼る'!$W$6:$W$10005,$W7099)&gt;0),N(U7098),N(U7098)+1))</f>
        <v/>
      </c>
      <c r="V7099" s="19">
        <f>IF($B7099="","",TEXT($B7099,"0000"))</f>
        <v/>
      </c>
      <c r="W7099" s="19">
        <f>IF($I7099="","",IF(ISNUMBER($I7099),TEXT($I7099,"0"),$I7099))</f>
        <v/>
      </c>
    </row>
    <row r="7100">
      <c r="B7100" s="25" t="n"/>
      <c r="I7100" s="25" t="n"/>
      <c r="U7100" s="19">
        <f>IF($V7100&lt;&gt;'設定'!$C$4,N(U7099),IF(OR(NOT(COUNTIF('商品マスタ'!$B$6:$B$1005,$W7100)=0),COUNTIFS('①在庫を貼る'!$V$6:$V$10005,$V7100,'①在庫を貼る'!$W$6:$W$10005,$W7100)&gt;0),N(U7099),N(U7099)+1))</f>
        <v/>
      </c>
      <c r="V7100" s="19">
        <f>IF($B7100="","",TEXT($B7100,"0000"))</f>
        <v/>
      </c>
      <c r="W7100" s="19">
        <f>IF($I7100="","",IF(ISNUMBER($I7100),TEXT($I7100,"0"),$I7100))</f>
        <v/>
      </c>
    </row>
    <row r="7101">
      <c r="B7101" s="25" t="n"/>
      <c r="I7101" s="25" t="n"/>
      <c r="U7101" s="19">
        <f>IF($V7101&lt;&gt;'設定'!$C$4,N(U7100),IF(OR(NOT(COUNTIF('商品マスタ'!$B$6:$B$1005,$W7101)=0),COUNTIFS('①在庫を貼る'!$V$6:$V$10005,$V7101,'①在庫を貼る'!$W$6:$W$10005,$W7101)&gt;0),N(U7100),N(U7100)+1))</f>
        <v/>
      </c>
      <c r="V7101" s="19">
        <f>IF($B7101="","",TEXT($B7101,"0000"))</f>
        <v/>
      </c>
      <c r="W7101" s="19">
        <f>IF($I7101="","",IF(ISNUMBER($I7101),TEXT($I7101,"0"),$I7101))</f>
        <v/>
      </c>
    </row>
    <row r="7102">
      <c r="B7102" s="25" t="n"/>
      <c r="I7102" s="25" t="n"/>
      <c r="U7102" s="19">
        <f>IF($V7102&lt;&gt;'設定'!$C$4,N(U7101),IF(OR(NOT(COUNTIF('商品マスタ'!$B$6:$B$1005,$W7102)=0),COUNTIFS('①在庫を貼る'!$V$6:$V$10005,$V7102,'①在庫を貼る'!$W$6:$W$10005,$W7102)&gt;0),N(U7101),N(U7101)+1))</f>
        <v/>
      </c>
      <c r="V7102" s="19">
        <f>IF($B7102="","",TEXT($B7102,"0000"))</f>
        <v/>
      </c>
      <c r="W7102" s="19">
        <f>IF($I7102="","",IF(ISNUMBER($I7102),TEXT($I7102,"0"),$I7102))</f>
        <v/>
      </c>
    </row>
    <row r="7103">
      <c r="B7103" s="25" t="n"/>
      <c r="I7103" s="25" t="n"/>
      <c r="U7103" s="19">
        <f>IF($V7103&lt;&gt;'設定'!$C$4,N(U7102),IF(OR(NOT(COUNTIF('商品マスタ'!$B$6:$B$1005,$W7103)=0),COUNTIFS('①在庫を貼る'!$V$6:$V$10005,$V7103,'①在庫を貼る'!$W$6:$W$10005,$W7103)&gt;0),N(U7102),N(U7102)+1))</f>
        <v/>
      </c>
      <c r="V7103" s="19">
        <f>IF($B7103="","",TEXT($B7103,"0000"))</f>
        <v/>
      </c>
      <c r="W7103" s="19">
        <f>IF($I7103="","",IF(ISNUMBER($I7103),TEXT($I7103,"0"),$I7103))</f>
        <v/>
      </c>
    </row>
    <row r="7104">
      <c r="B7104" s="25" t="n"/>
      <c r="I7104" s="25" t="n"/>
      <c r="U7104" s="19">
        <f>IF($V7104&lt;&gt;'設定'!$C$4,N(U7103),IF(OR(NOT(COUNTIF('商品マスタ'!$B$6:$B$1005,$W7104)=0),COUNTIFS('①在庫を貼る'!$V$6:$V$10005,$V7104,'①在庫を貼る'!$W$6:$W$10005,$W7104)&gt;0),N(U7103),N(U7103)+1))</f>
        <v/>
      </c>
      <c r="V7104" s="19">
        <f>IF($B7104="","",TEXT($B7104,"0000"))</f>
        <v/>
      </c>
      <c r="W7104" s="19">
        <f>IF($I7104="","",IF(ISNUMBER($I7104),TEXT($I7104,"0"),$I7104))</f>
        <v/>
      </c>
    </row>
    <row r="7105">
      <c r="B7105" s="25" t="n"/>
      <c r="I7105" s="25" t="n"/>
      <c r="U7105" s="19">
        <f>IF($V7105&lt;&gt;'設定'!$C$4,N(U7104),IF(OR(NOT(COUNTIF('商品マスタ'!$B$6:$B$1005,$W7105)=0),COUNTIFS('①在庫を貼る'!$V$6:$V$10005,$V7105,'①在庫を貼る'!$W$6:$W$10005,$W7105)&gt;0),N(U7104),N(U7104)+1))</f>
        <v/>
      </c>
      <c r="V7105" s="19">
        <f>IF($B7105="","",TEXT($B7105,"0000"))</f>
        <v/>
      </c>
      <c r="W7105" s="19">
        <f>IF($I7105="","",IF(ISNUMBER($I7105),TEXT($I7105,"0"),$I7105))</f>
        <v/>
      </c>
    </row>
    <row r="7106">
      <c r="B7106" s="25" t="n"/>
      <c r="I7106" s="25" t="n"/>
      <c r="U7106" s="19">
        <f>IF($V7106&lt;&gt;'設定'!$C$4,N(U7105),IF(OR(NOT(COUNTIF('商品マスタ'!$B$6:$B$1005,$W7106)=0),COUNTIFS('①在庫を貼る'!$V$6:$V$10005,$V7106,'①在庫を貼る'!$W$6:$W$10005,$W7106)&gt;0),N(U7105),N(U7105)+1))</f>
        <v/>
      </c>
      <c r="V7106" s="19">
        <f>IF($B7106="","",TEXT($B7106,"0000"))</f>
        <v/>
      </c>
      <c r="W7106" s="19">
        <f>IF($I7106="","",IF(ISNUMBER($I7106),TEXT($I7106,"0"),$I7106))</f>
        <v/>
      </c>
    </row>
    <row r="7107">
      <c r="B7107" s="25" t="n"/>
      <c r="I7107" s="25" t="n"/>
      <c r="U7107" s="19">
        <f>IF($V7107&lt;&gt;'設定'!$C$4,N(U7106),IF(OR(NOT(COUNTIF('商品マスタ'!$B$6:$B$1005,$W7107)=0),COUNTIFS('①在庫を貼る'!$V$6:$V$10005,$V7107,'①在庫を貼る'!$W$6:$W$10005,$W7107)&gt;0),N(U7106),N(U7106)+1))</f>
        <v/>
      </c>
      <c r="V7107" s="19">
        <f>IF($B7107="","",TEXT($B7107,"0000"))</f>
        <v/>
      </c>
      <c r="W7107" s="19">
        <f>IF($I7107="","",IF(ISNUMBER($I7107),TEXT($I7107,"0"),$I7107))</f>
        <v/>
      </c>
    </row>
    <row r="7108">
      <c r="B7108" s="25" t="n"/>
      <c r="I7108" s="25" t="n"/>
      <c r="U7108" s="19">
        <f>IF($V7108&lt;&gt;'設定'!$C$4,N(U7107),IF(OR(NOT(COUNTIF('商品マスタ'!$B$6:$B$1005,$W7108)=0),COUNTIFS('①在庫を貼る'!$V$6:$V$10005,$V7108,'①在庫を貼る'!$W$6:$W$10005,$W7108)&gt;0),N(U7107),N(U7107)+1))</f>
        <v/>
      </c>
      <c r="V7108" s="19">
        <f>IF($B7108="","",TEXT($B7108,"0000"))</f>
        <v/>
      </c>
      <c r="W7108" s="19">
        <f>IF($I7108="","",IF(ISNUMBER($I7108),TEXT($I7108,"0"),$I7108))</f>
        <v/>
      </c>
    </row>
    <row r="7109">
      <c r="B7109" s="25" t="n"/>
      <c r="I7109" s="25" t="n"/>
      <c r="U7109" s="19">
        <f>IF($V7109&lt;&gt;'設定'!$C$4,N(U7108),IF(OR(NOT(COUNTIF('商品マスタ'!$B$6:$B$1005,$W7109)=0),COUNTIFS('①在庫を貼る'!$V$6:$V$10005,$V7109,'①在庫を貼る'!$W$6:$W$10005,$W7109)&gt;0),N(U7108),N(U7108)+1))</f>
        <v/>
      </c>
      <c r="V7109" s="19">
        <f>IF($B7109="","",TEXT($B7109,"0000"))</f>
        <v/>
      </c>
      <c r="W7109" s="19">
        <f>IF($I7109="","",IF(ISNUMBER($I7109),TEXT($I7109,"0"),$I7109))</f>
        <v/>
      </c>
    </row>
    <row r="7110">
      <c r="B7110" s="25" t="n"/>
      <c r="I7110" s="25" t="n"/>
      <c r="U7110" s="19">
        <f>IF($V7110&lt;&gt;'設定'!$C$4,N(U7109),IF(OR(NOT(COUNTIF('商品マスタ'!$B$6:$B$1005,$W7110)=0),COUNTIFS('①在庫を貼る'!$V$6:$V$10005,$V7110,'①在庫を貼る'!$W$6:$W$10005,$W7110)&gt;0),N(U7109),N(U7109)+1))</f>
        <v/>
      </c>
      <c r="V7110" s="19">
        <f>IF($B7110="","",TEXT($B7110,"0000"))</f>
        <v/>
      </c>
      <c r="W7110" s="19">
        <f>IF($I7110="","",IF(ISNUMBER($I7110),TEXT($I7110,"0"),$I7110))</f>
        <v/>
      </c>
    </row>
    <row r="7111">
      <c r="B7111" s="25" t="n"/>
      <c r="I7111" s="25" t="n"/>
      <c r="U7111" s="19">
        <f>IF($V7111&lt;&gt;'設定'!$C$4,N(U7110),IF(OR(NOT(COUNTIF('商品マスタ'!$B$6:$B$1005,$W7111)=0),COUNTIFS('①在庫を貼る'!$V$6:$V$10005,$V7111,'①在庫を貼る'!$W$6:$W$10005,$W7111)&gt;0),N(U7110),N(U7110)+1))</f>
        <v/>
      </c>
      <c r="V7111" s="19">
        <f>IF($B7111="","",TEXT($B7111,"0000"))</f>
        <v/>
      </c>
      <c r="W7111" s="19">
        <f>IF($I7111="","",IF(ISNUMBER($I7111),TEXT($I7111,"0"),$I7111))</f>
        <v/>
      </c>
    </row>
    <row r="7112">
      <c r="B7112" s="25" t="n"/>
      <c r="I7112" s="25" t="n"/>
      <c r="U7112" s="19">
        <f>IF($V7112&lt;&gt;'設定'!$C$4,N(U7111),IF(OR(NOT(COUNTIF('商品マスタ'!$B$6:$B$1005,$W7112)=0),COUNTIFS('①在庫を貼る'!$V$6:$V$10005,$V7112,'①在庫を貼る'!$W$6:$W$10005,$W7112)&gt;0),N(U7111),N(U7111)+1))</f>
        <v/>
      </c>
      <c r="V7112" s="19">
        <f>IF($B7112="","",TEXT($B7112,"0000"))</f>
        <v/>
      </c>
      <c r="W7112" s="19">
        <f>IF($I7112="","",IF(ISNUMBER($I7112),TEXT($I7112,"0"),$I7112))</f>
        <v/>
      </c>
    </row>
    <row r="7113">
      <c r="B7113" s="25" t="n"/>
      <c r="I7113" s="25" t="n"/>
      <c r="U7113" s="19">
        <f>IF($V7113&lt;&gt;'設定'!$C$4,N(U7112),IF(OR(NOT(COUNTIF('商品マスタ'!$B$6:$B$1005,$W7113)=0),COUNTIFS('①在庫を貼る'!$V$6:$V$10005,$V7113,'①在庫を貼る'!$W$6:$W$10005,$W7113)&gt;0),N(U7112),N(U7112)+1))</f>
        <v/>
      </c>
      <c r="V7113" s="19">
        <f>IF($B7113="","",TEXT($B7113,"0000"))</f>
        <v/>
      </c>
      <c r="W7113" s="19">
        <f>IF($I7113="","",IF(ISNUMBER($I7113),TEXT($I7113,"0"),$I7113))</f>
        <v/>
      </c>
    </row>
    <row r="7114">
      <c r="B7114" s="25" t="n"/>
      <c r="I7114" s="25" t="n"/>
      <c r="U7114" s="19">
        <f>IF($V7114&lt;&gt;'設定'!$C$4,N(U7113),IF(OR(NOT(COUNTIF('商品マスタ'!$B$6:$B$1005,$W7114)=0),COUNTIFS('①在庫を貼る'!$V$6:$V$10005,$V7114,'①在庫を貼る'!$W$6:$W$10005,$W7114)&gt;0),N(U7113),N(U7113)+1))</f>
        <v/>
      </c>
      <c r="V7114" s="19">
        <f>IF($B7114="","",TEXT($B7114,"0000"))</f>
        <v/>
      </c>
      <c r="W7114" s="19">
        <f>IF($I7114="","",IF(ISNUMBER($I7114),TEXT($I7114,"0"),$I7114))</f>
        <v/>
      </c>
    </row>
    <row r="7115">
      <c r="B7115" s="25" t="n"/>
      <c r="I7115" s="25" t="n"/>
      <c r="U7115" s="19">
        <f>IF($V7115&lt;&gt;'設定'!$C$4,N(U7114),IF(OR(NOT(COUNTIF('商品マスタ'!$B$6:$B$1005,$W7115)=0),COUNTIFS('①在庫を貼る'!$V$6:$V$10005,$V7115,'①在庫を貼る'!$W$6:$W$10005,$W7115)&gt;0),N(U7114),N(U7114)+1))</f>
        <v/>
      </c>
      <c r="V7115" s="19">
        <f>IF($B7115="","",TEXT($B7115,"0000"))</f>
        <v/>
      </c>
      <c r="W7115" s="19">
        <f>IF($I7115="","",IF(ISNUMBER($I7115),TEXT($I7115,"0"),$I7115))</f>
        <v/>
      </c>
    </row>
    <row r="7116">
      <c r="B7116" s="25" t="n"/>
      <c r="I7116" s="25" t="n"/>
      <c r="U7116" s="19">
        <f>IF($V7116&lt;&gt;'設定'!$C$4,N(U7115),IF(OR(NOT(COUNTIF('商品マスタ'!$B$6:$B$1005,$W7116)=0),COUNTIFS('①在庫を貼る'!$V$6:$V$10005,$V7116,'①在庫を貼る'!$W$6:$W$10005,$W7116)&gt;0),N(U7115),N(U7115)+1))</f>
        <v/>
      </c>
      <c r="V7116" s="19">
        <f>IF($B7116="","",TEXT($B7116,"0000"))</f>
        <v/>
      </c>
      <c r="W7116" s="19">
        <f>IF($I7116="","",IF(ISNUMBER($I7116),TEXT($I7116,"0"),$I7116))</f>
        <v/>
      </c>
    </row>
    <row r="7117">
      <c r="B7117" s="25" t="n"/>
      <c r="I7117" s="25" t="n"/>
      <c r="U7117" s="19">
        <f>IF($V7117&lt;&gt;'設定'!$C$4,N(U7116),IF(OR(NOT(COUNTIF('商品マスタ'!$B$6:$B$1005,$W7117)=0),COUNTIFS('①在庫を貼る'!$V$6:$V$10005,$V7117,'①在庫を貼る'!$W$6:$W$10005,$W7117)&gt;0),N(U7116),N(U7116)+1))</f>
        <v/>
      </c>
      <c r="V7117" s="19">
        <f>IF($B7117="","",TEXT($B7117,"0000"))</f>
        <v/>
      </c>
      <c r="W7117" s="19">
        <f>IF($I7117="","",IF(ISNUMBER($I7117),TEXT($I7117,"0"),$I7117))</f>
        <v/>
      </c>
    </row>
    <row r="7118">
      <c r="B7118" s="25" t="n"/>
      <c r="I7118" s="25" t="n"/>
      <c r="U7118" s="19">
        <f>IF($V7118&lt;&gt;'設定'!$C$4,N(U7117),IF(OR(NOT(COUNTIF('商品マスタ'!$B$6:$B$1005,$W7118)=0),COUNTIFS('①在庫を貼る'!$V$6:$V$10005,$V7118,'①在庫を貼る'!$W$6:$W$10005,$W7118)&gt;0),N(U7117),N(U7117)+1))</f>
        <v/>
      </c>
      <c r="V7118" s="19">
        <f>IF($B7118="","",TEXT($B7118,"0000"))</f>
        <v/>
      </c>
      <c r="W7118" s="19">
        <f>IF($I7118="","",IF(ISNUMBER($I7118),TEXT($I7118,"0"),$I7118))</f>
        <v/>
      </c>
    </row>
    <row r="7119">
      <c r="B7119" s="25" t="n"/>
      <c r="I7119" s="25" t="n"/>
      <c r="U7119" s="19">
        <f>IF($V7119&lt;&gt;'設定'!$C$4,N(U7118),IF(OR(NOT(COUNTIF('商品マスタ'!$B$6:$B$1005,$W7119)=0),COUNTIFS('①在庫を貼る'!$V$6:$V$10005,$V7119,'①在庫を貼る'!$W$6:$W$10005,$W7119)&gt;0),N(U7118),N(U7118)+1))</f>
        <v/>
      </c>
      <c r="V7119" s="19">
        <f>IF($B7119="","",TEXT($B7119,"0000"))</f>
        <v/>
      </c>
      <c r="W7119" s="19">
        <f>IF($I7119="","",IF(ISNUMBER($I7119),TEXT($I7119,"0"),$I7119))</f>
        <v/>
      </c>
    </row>
    <row r="7120">
      <c r="B7120" s="25" t="n"/>
      <c r="I7120" s="25" t="n"/>
      <c r="U7120" s="19">
        <f>IF($V7120&lt;&gt;'設定'!$C$4,N(U7119),IF(OR(NOT(COUNTIF('商品マスタ'!$B$6:$B$1005,$W7120)=0),COUNTIFS('①在庫を貼る'!$V$6:$V$10005,$V7120,'①在庫を貼る'!$W$6:$W$10005,$W7120)&gt;0),N(U7119),N(U7119)+1))</f>
        <v/>
      </c>
      <c r="V7120" s="19">
        <f>IF($B7120="","",TEXT($B7120,"0000"))</f>
        <v/>
      </c>
      <c r="W7120" s="19">
        <f>IF($I7120="","",IF(ISNUMBER($I7120),TEXT($I7120,"0"),$I7120))</f>
        <v/>
      </c>
    </row>
    <row r="7121">
      <c r="B7121" s="25" t="n"/>
      <c r="I7121" s="25" t="n"/>
      <c r="U7121" s="19">
        <f>IF($V7121&lt;&gt;'設定'!$C$4,N(U7120),IF(OR(NOT(COUNTIF('商品マスタ'!$B$6:$B$1005,$W7121)=0),COUNTIFS('①在庫を貼る'!$V$6:$V$10005,$V7121,'①在庫を貼る'!$W$6:$W$10005,$W7121)&gt;0),N(U7120),N(U7120)+1))</f>
        <v/>
      </c>
      <c r="V7121" s="19">
        <f>IF($B7121="","",TEXT($B7121,"0000"))</f>
        <v/>
      </c>
      <c r="W7121" s="19">
        <f>IF($I7121="","",IF(ISNUMBER($I7121),TEXT($I7121,"0"),$I7121))</f>
        <v/>
      </c>
    </row>
    <row r="7122">
      <c r="B7122" s="25" t="n"/>
      <c r="I7122" s="25" t="n"/>
      <c r="U7122" s="19">
        <f>IF($V7122&lt;&gt;'設定'!$C$4,N(U7121),IF(OR(NOT(COUNTIF('商品マスタ'!$B$6:$B$1005,$W7122)=0),COUNTIFS('①在庫を貼る'!$V$6:$V$10005,$V7122,'①在庫を貼る'!$W$6:$W$10005,$W7122)&gt;0),N(U7121),N(U7121)+1))</f>
        <v/>
      </c>
      <c r="V7122" s="19">
        <f>IF($B7122="","",TEXT($B7122,"0000"))</f>
        <v/>
      </c>
      <c r="W7122" s="19">
        <f>IF($I7122="","",IF(ISNUMBER($I7122),TEXT($I7122,"0"),$I7122))</f>
        <v/>
      </c>
    </row>
    <row r="7123">
      <c r="B7123" s="25" t="n"/>
      <c r="I7123" s="25" t="n"/>
      <c r="U7123" s="19">
        <f>IF($V7123&lt;&gt;'設定'!$C$4,N(U7122),IF(OR(NOT(COUNTIF('商品マスタ'!$B$6:$B$1005,$W7123)=0),COUNTIFS('①在庫を貼る'!$V$6:$V$10005,$V7123,'①在庫を貼る'!$W$6:$W$10005,$W7123)&gt;0),N(U7122),N(U7122)+1))</f>
        <v/>
      </c>
      <c r="V7123" s="19">
        <f>IF($B7123="","",TEXT($B7123,"0000"))</f>
        <v/>
      </c>
      <c r="W7123" s="19">
        <f>IF($I7123="","",IF(ISNUMBER($I7123),TEXT($I7123,"0"),$I7123))</f>
        <v/>
      </c>
    </row>
    <row r="7124">
      <c r="B7124" s="25" t="n"/>
      <c r="I7124" s="25" t="n"/>
      <c r="U7124" s="19">
        <f>IF($V7124&lt;&gt;'設定'!$C$4,N(U7123),IF(OR(NOT(COUNTIF('商品マスタ'!$B$6:$B$1005,$W7124)=0),COUNTIFS('①在庫を貼る'!$V$6:$V$10005,$V7124,'①在庫を貼る'!$W$6:$W$10005,$W7124)&gt;0),N(U7123),N(U7123)+1))</f>
        <v/>
      </c>
      <c r="V7124" s="19">
        <f>IF($B7124="","",TEXT($B7124,"0000"))</f>
        <v/>
      </c>
      <c r="W7124" s="19">
        <f>IF($I7124="","",IF(ISNUMBER($I7124),TEXT($I7124,"0"),$I7124))</f>
        <v/>
      </c>
    </row>
    <row r="7125">
      <c r="B7125" s="25" t="n"/>
      <c r="I7125" s="25" t="n"/>
      <c r="U7125" s="19">
        <f>IF($V7125&lt;&gt;'設定'!$C$4,N(U7124),IF(OR(NOT(COUNTIF('商品マスタ'!$B$6:$B$1005,$W7125)=0),COUNTIFS('①在庫を貼る'!$V$6:$V$10005,$V7125,'①在庫を貼る'!$W$6:$W$10005,$W7125)&gt;0),N(U7124),N(U7124)+1))</f>
        <v/>
      </c>
      <c r="V7125" s="19">
        <f>IF($B7125="","",TEXT($B7125,"0000"))</f>
        <v/>
      </c>
      <c r="W7125" s="19">
        <f>IF($I7125="","",IF(ISNUMBER($I7125),TEXT($I7125,"0"),$I7125))</f>
        <v/>
      </c>
    </row>
    <row r="7126">
      <c r="B7126" s="25" t="n"/>
      <c r="I7126" s="25" t="n"/>
      <c r="U7126" s="19">
        <f>IF($V7126&lt;&gt;'設定'!$C$4,N(U7125),IF(OR(NOT(COUNTIF('商品マスタ'!$B$6:$B$1005,$W7126)=0),COUNTIFS('①在庫を貼る'!$V$6:$V$10005,$V7126,'①在庫を貼る'!$W$6:$W$10005,$W7126)&gt;0),N(U7125),N(U7125)+1))</f>
        <v/>
      </c>
      <c r="V7126" s="19">
        <f>IF($B7126="","",TEXT($B7126,"0000"))</f>
        <v/>
      </c>
      <c r="W7126" s="19">
        <f>IF($I7126="","",IF(ISNUMBER($I7126),TEXT($I7126,"0"),$I7126))</f>
        <v/>
      </c>
    </row>
    <row r="7127">
      <c r="B7127" s="25" t="n"/>
      <c r="I7127" s="25" t="n"/>
      <c r="U7127" s="19">
        <f>IF($V7127&lt;&gt;'設定'!$C$4,N(U7126),IF(OR(NOT(COUNTIF('商品マスタ'!$B$6:$B$1005,$W7127)=0),COUNTIFS('①在庫を貼る'!$V$6:$V$10005,$V7127,'①在庫を貼る'!$W$6:$W$10005,$W7127)&gt;0),N(U7126),N(U7126)+1))</f>
        <v/>
      </c>
      <c r="V7127" s="19">
        <f>IF($B7127="","",TEXT($B7127,"0000"))</f>
        <v/>
      </c>
      <c r="W7127" s="19">
        <f>IF($I7127="","",IF(ISNUMBER($I7127),TEXT($I7127,"0"),$I7127))</f>
        <v/>
      </c>
    </row>
    <row r="7128">
      <c r="B7128" s="25" t="n"/>
      <c r="I7128" s="25" t="n"/>
      <c r="U7128" s="19">
        <f>IF($V7128&lt;&gt;'設定'!$C$4,N(U7127),IF(OR(NOT(COUNTIF('商品マスタ'!$B$6:$B$1005,$W7128)=0),COUNTIFS('①在庫を貼る'!$V$6:$V$10005,$V7128,'①在庫を貼る'!$W$6:$W$10005,$W7128)&gt;0),N(U7127),N(U7127)+1))</f>
        <v/>
      </c>
      <c r="V7128" s="19">
        <f>IF($B7128="","",TEXT($B7128,"0000"))</f>
        <v/>
      </c>
      <c r="W7128" s="19">
        <f>IF($I7128="","",IF(ISNUMBER($I7128),TEXT($I7128,"0"),$I7128))</f>
        <v/>
      </c>
    </row>
    <row r="7129">
      <c r="B7129" s="25" t="n"/>
      <c r="I7129" s="25" t="n"/>
      <c r="U7129" s="19">
        <f>IF($V7129&lt;&gt;'設定'!$C$4,N(U7128),IF(OR(NOT(COUNTIF('商品マスタ'!$B$6:$B$1005,$W7129)=0),COUNTIFS('①在庫を貼る'!$V$6:$V$10005,$V7129,'①在庫を貼る'!$W$6:$W$10005,$W7129)&gt;0),N(U7128),N(U7128)+1))</f>
        <v/>
      </c>
      <c r="V7129" s="19">
        <f>IF($B7129="","",TEXT($B7129,"0000"))</f>
        <v/>
      </c>
      <c r="W7129" s="19">
        <f>IF($I7129="","",IF(ISNUMBER($I7129),TEXT($I7129,"0"),$I7129))</f>
        <v/>
      </c>
    </row>
    <row r="7130">
      <c r="B7130" s="25" t="n"/>
      <c r="I7130" s="25" t="n"/>
      <c r="U7130" s="19">
        <f>IF($V7130&lt;&gt;'設定'!$C$4,N(U7129),IF(OR(NOT(COUNTIF('商品マスタ'!$B$6:$B$1005,$W7130)=0),COUNTIFS('①在庫を貼る'!$V$6:$V$10005,$V7130,'①在庫を貼る'!$W$6:$W$10005,$W7130)&gt;0),N(U7129),N(U7129)+1))</f>
        <v/>
      </c>
      <c r="V7130" s="19">
        <f>IF($B7130="","",TEXT($B7130,"0000"))</f>
        <v/>
      </c>
      <c r="W7130" s="19">
        <f>IF($I7130="","",IF(ISNUMBER($I7130),TEXT($I7130,"0"),$I7130))</f>
        <v/>
      </c>
    </row>
    <row r="7131">
      <c r="B7131" s="25" t="n"/>
      <c r="I7131" s="25" t="n"/>
      <c r="U7131" s="19">
        <f>IF($V7131&lt;&gt;'設定'!$C$4,N(U7130),IF(OR(NOT(COUNTIF('商品マスタ'!$B$6:$B$1005,$W7131)=0),COUNTIFS('①在庫を貼る'!$V$6:$V$10005,$V7131,'①在庫を貼る'!$W$6:$W$10005,$W7131)&gt;0),N(U7130),N(U7130)+1))</f>
        <v/>
      </c>
      <c r="V7131" s="19">
        <f>IF($B7131="","",TEXT($B7131,"0000"))</f>
        <v/>
      </c>
      <c r="W7131" s="19">
        <f>IF($I7131="","",IF(ISNUMBER($I7131),TEXT($I7131,"0"),$I7131))</f>
        <v/>
      </c>
    </row>
    <row r="7132">
      <c r="B7132" s="25" t="n"/>
      <c r="I7132" s="25" t="n"/>
      <c r="U7132" s="19">
        <f>IF($V7132&lt;&gt;'設定'!$C$4,N(U7131),IF(OR(NOT(COUNTIF('商品マスタ'!$B$6:$B$1005,$W7132)=0),COUNTIFS('①在庫を貼る'!$V$6:$V$10005,$V7132,'①在庫を貼る'!$W$6:$W$10005,$W7132)&gt;0),N(U7131),N(U7131)+1))</f>
        <v/>
      </c>
      <c r="V7132" s="19">
        <f>IF($B7132="","",TEXT($B7132,"0000"))</f>
        <v/>
      </c>
      <c r="W7132" s="19">
        <f>IF($I7132="","",IF(ISNUMBER($I7132),TEXT($I7132,"0"),$I7132))</f>
        <v/>
      </c>
    </row>
    <row r="7133">
      <c r="B7133" s="25" t="n"/>
      <c r="I7133" s="25" t="n"/>
      <c r="U7133" s="19">
        <f>IF($V7133&lt;&gt;'設定'!$C$4,N(U7132),IF(OR(NOT(COUNTIF('商品マスタ'!$B$6:$B$1005,$W7133)=0),COUNTIFS('①在庫を貼る'!$V$6:$V$10005,$V7133,'①在庫を貼る'!$W$6:$W$10005,$W7133)&gt;0),N(U7132),N(U7132)+1))</f>
        <v/>
      </c>
      <c r="V7133" s="19">
        <f>IF($B7133="","",TEXT($B7133,"0000"))</f>
        <v/>
      </c>
      <c r="W7133" s="19">
        <f>IF($I7133="","",IF(ISNUMBER($I7133),TEXT($I7133,"0"),$I7133))</f>
        <v/>
      </c>
    </row>
    <row r="7134">
      <c r="B7134" s="25" t="n"/>
      <c r="I7134" s="25" t="n"/>
      <c r="U7134" s="19">
        <f>IF($V7134&lt;&gt;'設定'!$C$4,N(U7133),IF(OR(NOT(COUNTIF('商品マスタ'!$B$6:$B$1005,$W7134)=0),COUNTIFS('①在庫を貼る'!$V$6:$V$10005,$V7134,'①在庫を貼る'!$W$6:$W$10005,$W7134)&gt;0),N(U7133),N(U7133)+1))</f>
        <v/>
      </c>
      <c r="V7134" s="19">
        <f>IF($B7134="","",TEXT($B7134,"0000"))</f>
        <v/>
      </c>
      <c r="W7134" s="19">
        <f>IF($I7134="","",IF(ISNUMBER($I7134),TEXT($I7134,"0"),$I7134))</f>
        <v/>
      </c>
    </row>
    <row r="7135">
      <c r="B7135" s="25" t="n"/>
      <c r="I7135" s="25" t="n"/>
      <c r="U7135" s="19">
        <f>IF($V7135&lt;&gt;'設定'!$C$4,N(U7134),IF(OR(NOT(COUNTIF('商品マスタ'!$B$6:$B$1005,$W7135)=0),COUNTIFS('①在庫を貼る'!$V$6:$V$10005,$V7135,'①在庫を貼る'!$W$6:$W$10005,$W7135)&gt;0),N(U7134),N(U7134)+1))</f>
        <v/>
      </c>
      <c r="V7135" s="19">
        <f>IF($B7135="","",TEXT($B7135,"0000"))</f>
        <v/>
      </c>
      <c r="W7135" s="19">
        <f>IF($I7135="","",IF(ISNUMBER($I7135),TEXT($I7135,"0"),$I7135))</f>
        <v/>
      </c>
    </row>
    <row r="7136">
      <c r="B7136" s="25" t="n"/>
      <c r="I7136" s="25" t="n"/>
      <c r="U7136" s="19">
        <f>IF($V7136&lt;&gt;'設定'!$C$4,N(U7135),IF(OR(NOT(COUNTIF('商品マスタ'!$B$6:$B$1005,$W7136)=0),COUNTIFS('①在庫を貼る'!$V$6:$V$10005,$V7136,'①在庫を貼る'!$W$6:$W$10005,$W7136)&gt;0),N(U7135),N(U7135)+1))</f>
        <v/>
      </c>
      <c r="V7136" s="19">
        <f>IF($B7136="","",TEXT($B7136,"0000"))</f>
        <v/>
      </c>
      <c r="W7136" s="19">
        <f>IF($I7136="","",IF(ISNUMBER($I7136),TEXT($I7136,"0"),$I7136))</f>
        <v/>
      </c>
    </row>
    <row r="7137">
      <c r="B7137" s="25" t="n"/>
      <c r="I7137" s="25" t="n"/>
      <c r="U7137" s="19">
        <f>IF($V7137&lt;&gt;'設定'!$C$4,N(U7136),IF(OR(NOT(COUNTIF('商品マスタ'!$B$6:$B$1005,$W7137)=0),COUNTIFS('①在庫を貼る'!$V$6:$V$10005,$V7137,'①在庫を貼る'!$W$6:$W$10005,$W7137)&gt;0),N(U7136),N(U7136)+1))</f>
        <v/>
      </c>
      <c r="V7137" s="19">
        <f>IF($B7137="","",TEXT($B7137,"0000"))</f>
        <v/>
      </c>
      <c r="W7137" s="19">
        <f>IF($I7137="","",IF(ISNUMBER($I7137),TEXT($I7137,"0"),$I7137))</f>
        <v/>
      </c>
    </row>
    <row r="7138">
      <c r="B7138" s="25" t="n"/>
      <c r="I7138" s="25" t="n"/>
      <c r="U7138" s="19">
        <f>IF($V7138&lt;&gt;'設定'!$C$4,N(U7137),IF(OR(NOT(COUNTIF('商品マスタ'!$B$6:$B$1005,$W7138)=0),COUNTIFS('①在庫を貼る'!$V$6:$V$10005,$V7138,'①在庫を貼る'!$W$6:$W$10005,$W7138)&gt;0),N(U7137),N(U7137)+1))</f>
        <v/>
      </c>
      <c r="V7138" s="19">
        <f>IF($B7138="","",TEXT($B7138,"0000"))</f>
        <v/>
      </c>
      <c r="W7138" s="19">
        <f>IF($I7138="","",IF(ISNUMBER($I7138),TEXT($I7138,"0"),$I7138))</f>
        <v/>
      </c>
    </row>
    <row r="7139">
      <c r="B7139" s="25" t="n"/>
      <c r="I7139" s="25" t="n"/>
      <c r="U7139" s="19">
        <f>IF($V7139&lt;&gt;'設定'!$C$4,N(U7138),IF(OR(NOT(COUNTIF('商品マスタ'!$B$6:$B$1005,$W7139)=0),COUNTIFS('①在庫を貼る'!$V$6:$V$10005,$V7139,'①在庫を貼る'!$W$6:$W$10005,$W7139)&gt;0),N(U7138),N(U7138)+1))</f>
        <v/>
      </c>
      <c r="V7139" s="19">
        <f>IF($B7139="","",TEXT($B7139,"0000"))</f>
        <v/>
      </c>
      <c r="W7139" s="19">
        <f>IF($I7139="","",IF(ISNUMBER($I7139),TEXT($I7139,"0"),$I7139))</f>
        <v/>
      </c>
    </row>
    <row r="7140">
      <c r="B7140" s="25" t="n"/>
      <c r="I7140" s="25" t="n"/>
      <c r="U7140" s="19">
        <f>IF($V7140&lt;&gt;'設定'!$C$4,N(U7139),IF(OR(NOT(COUNTIF('商品マスタ'!$B$6:$B$1005,$W7140)=0),COUNTIFS('①在庫を貼る'!$V$6:$V$10005,$V7140,'①在庫を貼る'!$W$6:$W$10005,$W7140)&gt;0),N(U7139),N(U7139)+1))</f>
        <v/>
      </c>
      <c r="V7140" s="19">
        <f>IF($B7140="","",TEXT($B7140,"0000"))</f>
        <v/>
      </c>
      <c r="W7140" s="19">
        <f>IF($I7140="","",IF(ISNUMBER($I7140),TEXT($I7140,"0"),$I7140))</f>
        <v/>
      </c>
    </row>
    <row r="7141">
      <c r="B7141" s="25" t="n"/>
      <c r="I7141" s="25" t="n"/>
      <c r="U7141" s="19">
        <f>IF($V7141&lt;&gt;'設定'!$C$4,N(U7140),IF(OR(NOT(COUNTIF('商品マスタ'!$B$6:$B$1005,$W7141)=0),COUNTIFS('①在庫を貼る'!$V$6:$V$10005,$V7141,'①在庫を貼る'!$W$6:$W$10005,$W7141)&gt;0),N(U7140),N(U7140)+1))</f>
        <v/>
      </c>
      <c r="V7141" s="19">
        <f>IF($B7141="","",TEXT($B7141,"0000"))</f>
        <v/>
      </c>
      <c r="W7141" s="19">
        <f>IF($I7141="","",IF(ISNUMBER($I7141),TEXT($I7141,"0"),$I7141))</f>
        <v/>
      </c>
    </row>
    <row r="7142">
      <c r="B7142" s="25" t="n"/>
      <c r="I7142" s="25" t="n"/>
      <c r="U7142" s="19">
        <f>IF($V7142&lt;&gt;'設定'!$C$4,N(U7141),IF(OR(NOT(COUNTIF('商品マスタ'!$B$6:$B$1005,$W7142)=0),COUNTIFS('①在庫を貼る'!$V$6:$V$10005,$V7142,'①在庫を貼る'!$W$6:$W$10005,$W7142)&gt;0),N(U7141),N(U7141)+1))</f>
        <v/>
      </c>
      <c r="V7142" s="19">
        <f>IF($B7142="","",TEXT($B7142,"0000"))</f>
        <v/>
      </c>
      <c r="W7142" s="19">
        <f>IF($I7142="","",IF(ISNUMBER($I7142),TEXT($I7142,"0"),$I7142))</f>
        <v/>
      </c>
    </row>
    <row r="7143">
      <c r="B7143" s="25" t="n"/>
      <c r="I7143" s="25" t="n"/>
      <c r="U7143" s="19">
        <f>IF($V7143&lt;&gt;'設定'!$C$4,N(U7142),IF(OR(NOT(COUNTIF('商品マスタ'!$B$6:$B$1005,$W7143)=0),COUNTIFS('①在庫を貼る'!$V$6:$V$10005,$V7143,'①在庫を貼る'!$W$6:$W$10005,$W7143)&gt;0),N(U7142),N(U7142)+1))</f>
        <v/>
      </c>
      <c r="V7143" s="19">
        <f>IF($B7143="","",TEXT($B7143,"0000"))</f>
        <v/>
      </c>
      <c r="W7143" s="19">
        <f>IF($I7143="","",IF(ISNUMBER($I7143),TEXT($I7143,"0"),$I7143))</f>
        <v/>
      </c>
    </row>
    <row r="7144">
      <c r="B7144" s="25" t="n"/>
      <c r="I7144" s="25" t="n"/>
      <c r="U7144" s="19">
        <f>IF($V7144&lt;&gt;'設定'!$C$4,N(U7143),IF(OR(NOT(COUNTIF('商品マスタ'!$B$6:$B$1005,$W7144)=0),COUNTIFS('①在庫を貼る'!$V$6:$V$10005,$V7144,'①在庫を貼る'!$W$6:$W$10005,$W7144)&gt;0),N(U7143),N(U7143)+1))</f>
        <v/>
      </c>
      <c r="V7144" s="19">
        <f>IF($B7144="","",TEXT($B7144,"0000"))</f>
        <v/>
      </c>
      <c r="W7144" s="19">
        <f>IF($I7144="","",IF(ISNUMBER($I7144),TEXT($I7144,"0"),$I7144))</f>
        <v/>
      </c>
    </row>
    <row r="7145">
      <c r="B7145" s="25" t="n"/>
      <c r="I7145" s="25" t="n"/>
      <c r="U7145" s="19">
        <f>IF($V7145&lt;&gt;'設定'!$C$4,N(U7144),IF(OR(NOT(COUNTIF('商品マスタ'!$B$6:$B$1005,$W7145)=0),COUNTIFS('①在庫を貼る'!$V$6:$V$10005,$V7145,'①在庫を貼る'!$W$6:$W$10005,$W7145)&gt;0),N(U7144),N(U7144)+1))</f>
        <v/>
      </c>
      <c r="V7145" s="19">
        <f>IF($B7145="","",TEXT($B7145,"0000"))</f>
        <v/>
      </c>
      <c r="W7145" s="19">
        <f>IF($I7145="","",IF(ISNUMBER($I7145),TEXT($I7145,"0"),$I7145))</f>
        <v/>
      </c>
    </row>
    <row r="7146">
      <c r="B7146" s="25" t="n"/>
      <c r="I7146" s="25" t="n"/>
      <c r="U7146" s="19">
        <f>IF($V7146&lt;&gt;'設定'!$C$4,N(U7145),IF(OR(NOT(COUNTIF('商品マスタ'!$B$6:$B$1005,$W7146)=0),COUNTIFS('①在庫を貼る'!$V$6:$V$10005,$V7146,'①在庫を貼る'!$W$6:$W$10005,$W7146)&gt;0),N(U7145),N(U7145)+1))</f>
        <v/>
      </c>
      <c r="V7146" s="19">
        <f>IF($B7146="","",TEXT($B7146,"0000"))</f>
        <v/>
      </c>
      <c r="W7146" s="19">
        <f>IF($I7146="","",IF(ISNUMBER($I7146),TEXT($I7146,"0"),$I7146))</f>
        <v/>
      </c>
    </row>
    <row r="7147">
      <c r="B7147" s="25" t="n"/>
      <c r="I7147" s="25" t="n"/>
      <c r="U7147" s="19">
        <f>IF($V7147&lt;&gt;'設定'!$C$4,N(U7146),IF(OR(NOT(COUNTIF('商品マスタ'!$B$6:$B$1005,$W7147)=0),COUNTIFS('①在庫を貼る'!$V$6:$V$10005,$V7147,'①在庫を貼る'!$W$6:$W$10005,$W7147)&gt;0),N(U7146),N(U7146)+1))</f>
        <v/>
      </c>
      <c r="V7147" s="19">
        <f>IF($B7147="","",TEXT($B7147,"0000"))</f>
        <v/>
      </c>
      <c r="W7147" s="19">
        <f>IF($I7147="","",IF(ISNUMBER($I7147),TEXT($I7147,"0"),$I7147))</f>
        <v/>
      </c>
    </row>
    <row r="7148">
      <c r="B7148" s="25" t="n"/>
      <c r="I7148" s="25" t="n"/>
      <c r="U7148" s="19">
        <f>IF($V7148&lt;&gt;'設定'!$C$4,N(U7147),IF(OR(NOT(COUNTIF('商品マスタ'!$B$6:$B$1005,$W7148)=0),COUNTIFS('①在庫を貼る'!$V$6:$V$10005,$V7148,'①在庫を貼る'!$W$6:$W$10005,$W7148)&gt;0),N(U7147),N(U7147)+1))</f>
        <v/>
      </c>
      <c r="V7148" s="19">
        <f>IF($B7148="","",TEXT($B7148,"0000"))</f>
        <v/>
      </c>
      <c r="W7148" s="19">
        <f>IF($I7148="","",IF(ISNUMBER($I7148),TEXT($I7148,"0"),$I7148))</f>
        <v/>
      </c>
    </row>
    <row r="7149">
      <c r="B7149" s="25" t="n"/>
      <c r="I7149" s="25" t="n"/>
      <c r="U7149" s="19">
        <f>IF($V7149&lt;&gt;'設定'!$C$4,N(U7148),IF(OR(NOT(COUNTIF('商品マスタ'!$B$6:$B$1005,$W7149)=0),COUNTIFS('①在庫を貼る'!$V$6:$V$10005,$V7149,'①在庫を貼る'!$W$6:$W$10005,$W7149)&gt;0),N(U7148),N(U7148)+1))</f>
        <v/>
      </c>
      <c r="V7149" s="19">
        <f>IF($B7149="","",TEXT($B7149,"0000"))</f>
        <v/>
      </c>
      <c r="W7149" s="19">
        <f>IF($I7149="","",IF(ISNUMBER($I7149),TEXT($I7149,"0"),$I7149))</f>
        <v/>
      </c>
    </row>
    <row r="7150">
      <c r="B7150" s="25" t="n"/>
      <c r="I7150" s="25" t="n"/>
      <c r="U7150" s="19">
        <f>IF($V7150&lt;&gt;'設定'!$C$4,N(U7149),IF(OR(NOT(COUNTIF('商品マスタ'!$B$6:$B$1005,$W7150)=0),COUNTIFS('①在庫を貼る'!$V$6:$V$10005,$V7150,'①在庫を貼る'!$W$6:$W$10005,$W7150)&gt;0),N(U7149),N(U7149)+1))</f>
        <v/>
      </c>
      <c r="V7150" s="19">
        <f>IF($B7150="","",TEXT($B7150,"0000"))</f>
        <v/>
      </c>
      <c r="W7150" s="19">
        <f>IF($I7150="","",IF(ISNUMBER($I7150),TEXT($I7150,"0"),$I7150))</f>
        <v/>
      </c>
    </row>
    <row r="7151">
      <c r="B7151" s="25" t="n"/>
      <c r="I7151" s="25" t="n"/>
      <c r="U7151" s="19">
        <f>IF($V7151&lt;&gt;'設定'!$C$4,N(U7150),IF(OR(NOT(COUNTIF('商品マスタ'!$B$6:$B$1005,$W7151)=0),COUNTIFS('①在庫を貼る'!$V$6:$V$10005,$V7151,'①在庫を貼る'!$W$6:$W$10005,$W7151)&gt;0),N(U7150),N(U7150)+1))</f>
        <v/>
      </c>
      <c r="V7151" s="19">
        <f>IF($B7151="","",TEXT($B7151,"0000"))</f>
        <v/>
      </c>
      <c r="W7151" s="19">
        <f>IF($I7151="","",IF(ISNUMBER($I7151),TEXT($I7151,"0"),$I7151))</f>
        <v/>
      </c>
    </row>
    <row r="7152">
      <c r="B7152" s="25" t="n"/>
      <c r="I7152" s="25" t="n"/>
      <c r="U7152" s="19">
        <f>IF($V7152&lt;&gt;'設定'!$C$4,N(U7151),IF(OR(NOT(COUNTIF('商品マスタ'!$B$6:$B$1005,$W7152)=0),COUNTIFS('①在庫を貼る'!$V$6:$V$10005,$V7152,'①在庫を貼る'!$W$6:$W$10005,$W7152)&gt;0),N(U7151),N(U7151)+1))</f>
        <v/>
      </c>
      <c r="V7152" s="19">
        <f>IF($B7152="","",TEXT($B7152,"0000"))</f>
        <v/>
      </c>
      <c r="W7152" s="19">
        <f>IF($I7152="","",IF(ISNUMBER($I7152),TEXT($I7152,"0"),$I7152))</f>
        <v/>
      </c>
    </row>
    <row r="7153">
      <c r="B7153" s="25" t="n"/>
      <c r="I7153" s="25" t="n"/>
      <c r="U7153" s="19">
        <f>IF($V7153&lt;&gt;'設定'!$C$4,N(U7152),IF(OR(NOT(COUNTIF('商品マスタ'!$B$6:$B$1005,$W7153)=0),COUNTIFS('①在庫を貼る'!$V$6:$V$10005,$V7153,'①在庫を貼る'!$W$6:$W$10005,$W7153)&gt;0),N(U7152),N(U7152)+1))</f>
        <v/>
      </c>
      <c r="V7153" s="19">
        <f>IF($B7153="","",TEXT($B7153,"0000"))</f>
        <v/>
      </c>
      <c r="W7153" s="19">
        <f>IF($I7153="","",IF(ISNUMBER($I7153),TEXT($I7153,"0"),$I7153))</f>
        <v/>
      </c>
    </row>
    <row r="7154">
      <c r="B7154" s="25" t="n"/>
      <c r="I7154" s="25" t="n"/>
      <c r="U7154" s="19">
        <f>IF($V7154&lt;&gt;'設定'!$C$4,N(U7153),IF(OR(NOT(COUNTIF('商品マスタ'!$B$6:$B$1005,$W7154)=0),COUNTIFS('①在庫を貼る'!$V$6:$V$10005,$V7154,'①在庫を貼る'!$W$6:$W$10005,$W7154)&gt;0),N(U7153),N(U7153)+1))</f>
        <v/>
      </c>
      <c r="V7154" s="19">
        <f>IF($B7154="","",TEXT($B7154,"0000"))</f>
        <v/>
      </c>
      <c r="W7154" s="19">
        <f>IF($I7154="","",IF(ISNUMBER($I7154),TEXT($I7154,"0"),$I7154))</f>
        <v/>
      </c>
    </row>
    <row r="7155">
      <c r="B7155" s="25" t="n"/>
      <c r="I7155" s="25" t="n"/>
      <c r="U7155" s="19">
        <f>IF($V7155&lt;&gt;'設定'!$C$4,N(U7154),IF(OR(NOT(COUNTIF('商品マスタ'!$B$6:$B$1005,$W7155)=0),COUNTIFS('①在庫を貼る'!$V$6:$V$10005,$V7155,'①在庫を貼る'!$W$6:$W$10005,$W7155)&gt;0),N(U7154),N(U7154)+1))</f>
        <v/>
      </c>
      <c r="V7155" s="19">
        <f>IF($B7155="","",TEXT($B7155,"0000"))</f>
        <v/>
      </c>
      <c r="W7155" s="19">
        <f>IF($I7155="","",IF(ISNUMBER($I7155),TEXT($I7155,"0"),$I7155))</f>
        <v/>
      </c>
    </row>
    <row r="7156">
      <c r="B7156" s="25" t="n"/>
      <c r="I7156" s="25" t="n"/>
      <c r="U7156" s="19">
        <f>IF($V7156&lt;&gt;'設定'!$C$4,N(U7155),IF(OR(NOT(COUNTIF('商品マスタ'!$B$6:$B$1005,$W7156)=0),COUNTIFS('①在庫を貼る'!$V$6:$V$10005,$V7156,'①在庫を貼る'!$W$6:$W$10005,$W7156)&gt;0),N(U7155),N(U7155)+1))</f>
        <v/>
      </c>
      <c r="V7156" s="19">
        <f>IF($B7156="","",TEXT($B7156,"0000"))</f>
        <v/>
      </c>
      <c r="W7156" s="19">
        <f>IF($I7156="","",IF(ISNUMBER($I7156),TEXT($I7156,"0"),$I7156))</f>
        <v/>
      </c>
    </row>
    <row r="7157">
      <c r="B7157" s="25" t="n"/>
      <c r="I7157" s="25" t="n"/>
      <c r="U7157" s="19">
        <f>IF($V7157&lt;&gt;'設定'!$C$4,N(U7156),IF(OR(NOT(COUNTIF('商品マスタ'!$B$6:$B$1005,$W7157)=0),COUNTIFS('①在庫を貼る'!$V$6:$V$10005,$V7157,'①在庫を貼る'!$W$6:$W$10005,$W7157)&gt;0),N(U7156),N(U7156)+1))</f>
        <v/>
      </c>
      <c r="V7157" s="19">
        <f>IF($B7157="","",TEXT($B7157,"0000"))</f>
        <v/>
      </c>
      <c r="W7157" s="19">
        <f>IF($I7157="","",IF(ISNUMBER($I7157),TEXT($I7157,"0"),$I7157))</f>
        <v/>
      </c>
    </row>
    <row r="7158">
      <c r="B7158" s="25" t="n"/>
      <c r="I7158" s="25" t="n"/>
      <c r="U7158" s="19">
        <f>IF($V7158&lt;&gt;'設定'!$C$4,N(U7157),IF(OR(NOT(COUNTIF('商品マスタ'!$B$6:$B$1005,$W7158)=0),COUNTIFS('①在庫を貼る'!$V$6:$V$10005,$V7158,'①在庫を貼る'!$W$6:$W$10005,$W7158)&gt;0),N(U7157),N(U7157)+1))</f>
        <v/>
      </c>
      <c r="V7158" s="19">
        <f>IF($B7158="","",TEXT($B7158,"0000"))</f>
        <v/>
      </c>
      <c r="W7158" s="19">
        <f>IF($I7158="","",IF(ISNUMBER($I7158),TEXT($I7158,"0"),$I7158))</f>
        <v/>
      </c>
    </row>
    <row r="7159">
      <c r="B7159" s="25" t="n"/>
      <c r="I7159" s="25" t="n"/>
      <c r="U7159" s="19">
        <f>IF($V7159&lt;&gt;'設定'!$C$4,N(U7158),IF(OR(NOT(COUNTIF('商品マスタ'!$B$6:$B$1005,$W7159)=0),COUNTIFS('①在庫を貼る'!$V$6:$V$10005,$V7159,'①在庫を貼る'!$W$6:$W$10005,$W7159)&gt;0),N(U7158),N(U7158)+1))</f>
        <v/>
      </c>
      <c r="V7159" s="19">
        <f>IF($B7159="","",TEXT($B7159,"0000"))</f>
        <v/>
      </c>
      <c r="W7159" s="19">
        <f>IF($I7159="","",IF(ISNUMBER($I7159),TEXT($I7159,"0"),$I7159))</f>
        <v/>
      </c>
    </row>
    <row r="7160">
      <c r="B7160" s="25" t="n"/>
      <c r="I7160" s="25" t="n"/>
      <c r="U7160" s="19">
        <f>IF($V7160&lt;&gt;'設定'!$C$4,N(U7159),IF(OR(NOT(COUNTIF('商品マスタ'!$B$6:$B$1005,$W7160)=0),COUNTIFS('①在庫を貼る'!$V$6:$V$10005,$V7160,'①在庫を貼る'!$W$6:$W$10005,$W7160)&gt;0),N(U7159),N(U7159)+1))</f>
        <v/>
      </c>
      <c r="V7160" s="19">
        <f>IF($B7160="","",TEXT($B7160,"0000"))</f>
        <v/>
      </c>
      <c r="W7160" s="19">
        <f>IF($I7160="","",IF(ISNUMBER($I7160),TEXT($I7160,"0"),$I7160))</f>
        <v/>
      </c>
    </row>
    <row r="7161">
      <c r="B7161" s="25" t="n"/>
      <c r="I7161" s="25" t="n"/>
      <c r="U7161" s="19">
        <f>IF($V7161&lt;&gt;'設定'!$C$4,N(U7160),IF(OR(NOT(COUNTIF('商品マスタ'!$B$6:$B$1005,$W7161)=0),COUNTIFS('①在庫を貼る'!$V$6:$V$10005,$V7161,'①在庫を貼る'!$W$6:$W$10005,$W7161)&gt;0),N(U7160),N(U7160)+1))</f>
        <v/>
      </c>
      <c r="V7161" s="19">
        <f>IF($B7161="","",TEXT($B7161,"0000"))</f>
        <v/>
      </c>
      <c r="W7161" s="19">
        <f>IF($I7161="","",IF(ISNUMBER($I7161),TEXT($I7161,"0"),$I7161))</f>
        <v/>
      </c>
    </row>
    <row r="7162">
      <c r="B7162" s="25" t="n"/>
      <c r="I7162" s="25" t="n"/>
      <c r="U7162" s="19">
        <f>IF($V7162&lt;&gt;'設定'!$C$4,N(U7161),IF(OR(NOT(COUNTIF('商品マスタ'!$B$6:$B$1005,$W7162)=0),COUNTIFS('①在庫を貼る'!$V$6:$V$10005,$V7162,'①在庫を貼る'!$W$6:$W$10005,$W7162)&gt;0),N(U7161),N(U7161)+1))</f>
        <v/>
      </c>
      <c r="V7162" s="19">
        <f>IF($B7162="","",TEXT($B7162,"0000"))</f>
        <v/>
      </c>
      <c r="W7162" s="19">
        <f>IF($I7162="","",IF(ISNUMBER($I7162),TEXT($I7162,"0"),$I7162))</f>
        <v/>
      </c>
    </row>
    <row r="7163">
      <c r="B7163" s="25" t="n"/>
      <c r="I7163" s="25" t="n"/>
      <c r="U7163" s="19">
        <f>IF($V7163&lt;&gt;'設定'!$C$4,N(U7162),IF(OR(NOT(COUNTIF('商品マスタ'!$B$6:$B$1005,$W7163)=0),COUNTIFS('①在庫を貼る'!$V$6:$V$10005,$V7163,'①在庫を貼る'!$W$6:$W$10005,$W7163)&gt;0),N(U7162),N(U7162)+1))</f>
        <v/>
      </c>
      <c r="V7163" s="19">
        <f>IF($B7163="","",TEXT($B7163,"0000"))</f>
        <v/>
      </c>
      <c r="W7163" s="19">
        <f>IF($I7163="","",IF(ISNUMBER($I7163),TEXT($I7163,"0"),$I7163))</f>
        <v/>
      </c>
    </row>
    <row r="7164">
      <c r="B7164" s="25" t="n"/>
      <c r="I7164" s="25" t="n"/>
      <c r="U7164" s="19">
        <f>IF($V7164&lt;&gt;'設定'!$C$4,N(U7163),IF(OR(NOT(COUNTIF('商品マスタ'!$B$6:$B$1005,$W7164)=0),COUNTIFS('①在庫を貼る'!$V$6:$V$10005,$V7164,'①在庫を貼る'!$W$6:$W$10005,$W7164)&gt;0),N(U7163),N(U7163)+1))</f>
        <v/>
      </c>
      <c r="V7164" s="19">
        <f>IF($B7164="","",TEXT($B7164,"0000"))</f>
        <v/>
      </c>
      <c r="W7164" s="19">
        <f>IF($I7164="","",IF(ISNUMBER($I7164),TEXT($I7164,"0"),$I7164))</f>
        <v/>
      </c>
    </row>
    <row r="7165">
      <c r="B7165" s="25" t="n"/>
      <c r="I7165" s="25" t="n"/>
      <c r="U7165" s="19">
        <f>IF($V7165&lt;&gt;'設定'!$C$4,N(U7164),IF(OR(NOT(COUNTIF('商品マスタ'!$B$6:$B$1005,$W7165)=0),COUNTIFS('①在庫を貼る'!$V$6:$V$10005,$V7165,'①在庫を貼る'!$W$6:$W$10005,$W7165)&gt;0),N(U7164),N(U7164)+1))</f>
        <v/>
      </c>
      <c r="V7165" s="19">
        <f>IF($B7165="","",TEXT($B7165,"0000"))</f>
        <v/>
      </c>
      <c r="W7165" s="19">
        <f>IF($I7165="","",IF(ISNUMBER($I7165),TEXT($I7165,"0"),$I7165))</f>
        <v/>
      </c>
    </row>
    <row r="7166">
      <c r="B7166" s="25" t="n"/>
      <c r="I7166" s="25" t="n"/>
      <c r="U7166" s="19">
        <f>IF($V7166&lt;&gt;'設定'!$C$4,N(U7165),IF(OR(NOT(COUNTIF('商品マスタ'!$B$6:$B$1005,$W7166)=0),COUNTIFS('①在庫を貼る'!$V$6:$V$10005,$V7166,'①在庫を貼る'!$W$6:$W$10005,$W7166)&gt;0),N(U7165),N(U7165)+1))</f>
        <v/>
      </c>
      <c r="V7166" s="19">
        <f>IF($B7166="","",TEXT($B7166,"0000"))</f>
        <v/>
      </c>
      <c r="W7166" s="19">
        <f>IF($I7166="","",IF(ISNUMBER($I7166),TEXT($I7166,"0"),$I7166))</f>
        <v/>
      </c>
    </row>
    <row r="7167">
      <c r="B7167" s="25" t="n"/>
      <c r="I7167" s="25" t="n"/>
      <c r="U7167" s="19">
        <f>IF($V7167&lt;&gt;'設定'!$C$4,N(U7166),IF(OR(NOT(COUNTIF('商品マスタ'!$B$6:$B$1005,$W7167)=0),COUNTIFS('①在庫を貼る'!$V$6:$V$10005,$V7167,'①在庫を貼る'!$W$6:$W$10005,$W7167)&gt;0),N(U7166),N(U7166)+1))</f>
        <v/>
      </c>
      <c r="V7167" s="19">
        <f>IF($B7167="","",TEXT($B7167,"0000"))</f>
        <v/>
      </c>
      <c r="W7167" s="19">
        <f>IF($I7167="","",IF(ISNUMBER($I7167),TEXT($I7167,"0"),$I7167))</f>
        <v/>
      </c>
    </row>
    <row r="7168">
      <c r="B7168" s="25" t="n"/>
      <c r="I7168" s="25" t="n"/>
      <c r="U7168" s="19">
        <f>IF($V7168&lt;&gt;'設定'!$C$4,N(U7167),IF(OR(NOT(COUNTIF('商品マスタ'!$B$6:$B$1005,$W7168)=0),COUNTIFS('①在庫を貼る'!$V$6:$V$10005,$V7168,'①在庫を貼る'!$W$6:$W$10005,$W7168)&gt;0),N(U7167),N(U7167)+1))</f>
        <v/>
      </c>
      <c r="V7168" s="19">
        <f>IF($B7168="","",TEXT($B7168,"0000"))</f>
        <v/>
      </c>
      <c r="W7168" s="19">
        <f>IF($I7168="","",IF(ISNUMBER($I7168),TEXT($I7168,"0"),$I7168))</f>
        <v/>
      </c>
    </row>
    <row r="7169">
      <c r="B7169" s="25" t="n"/>
      <c r="I7169" s="25" t="n"/>
      <c r="U7169" s="19">
        <f>IF($V7169&lt;&gt;'設定'!$C$4,N(U7168),IF(OR(NOT(COUNTIF('商品マスタ'!$B$6:$B$1005,$W7169)=0),COUNTIFS('①在庫を貼る'!$V$6:$V$10005,$V7169,'①在庫を貼る'!$W$6:$W$10005,$W7169)&gt;0),N(U7168),N(U7168)+1))</f>
        <v/>
      </c>
      <c r="V7169" s="19">
        <f>IF($B7169="","",TEXT($B7169,"0000"))</f>
        <v/>
      </c>
      <c r="W7169" s="19">
        <f>IF($I7169="","",IF(ISNUMBER($I7169),TEXT($I7169,"0"),$I7169))</f>
        <v/>
      </c>
    </row>
    <row r="7170">
      <c r="B7170" s="25" t="n"/>
      <c r="I7170" s="25" t="n"/>
      <c r="U7170" s="19">
        <f>IF($V7170&lt;&gt;'設定'!$C$4,N(U7169),IF(OR(NOT(COUNTIF('商品マスタ'!$B$6:$B$1005,$W7170)=0),COUNTIFS('①在庫を貼る'!$V$6:$V$10005,$V7170,'①在庫を貼る'!$W$6:$W$10005,$W7170)&gt;0),N(U7169),N(U7169)+1))</f>
        <v/>
      </c>
      <c r="V7170" s="19">
        <f>IF($B7170="","",TEXT($B7170,"0000"))</f>
        <v/>
      </c>
      <c r="W7170" s="19">
        <f>IF($I7170="","",IF(ISNUMBER($I7170),TEXT($I7170,"0"),$I7170))</f>
        <v/>
      </c>
    </row>
    <row r="7171">
      <c r="B7171" s="25" t="n"/>
      <c r="I7171" s="25" t="n"/>
      <c r="U7171" s="19">
        <f>IF($V7171&lt;&gt;'設定'!$C$4,N(U7170),IF(OR(NOT(COUNTIF('商品マスタ'!$B$6:$B$1005,$W7171)=0),COUNTIFS('①在庫を貼る'!$V$6:$V$10005,$V7171,'①在庫を貼る'!$W$6:$W$10005,$W7171)&gt;0),N(U7170),N(U7170)+1))</f>
        <v/>
      </c>
      <c r="V7171" s="19">
        <f>IF($B7171="","",TEXT($B7171,"0000"))</f>
        <v/>
      </c>
      <c r="W7171" s="19">
        <f>IF($I7171="","",IF(ISNUMBER($I7171),TEXT($I7171,"0"),$I7171))</f>
        <v/>
      </c>
    </row>
    <row r="7172">
      <c r="B7172" s="25" t="n"/>
      <c r="I7172" s="25" t="n"/>
      <c r="U7172" s="19">
        <f>IF($V7172&lt;&gt;'設定'!$C$4,N(U7171),IF(OR(NOT(COUNTIF('商品マスタ'!$B$6:$B$1005,$W7172)=0),COUNTIFS('①在庫を貼る'!$V$6:$V$10005,$V7172,'①在庫を貼る'!$W$6:$W$10005,$W7172)&gt;0),N(U7171),N(U7171)+1))</f>
        <v/>
      </c>
      <c r="V7172" s="19">
        <f>IF($B7172="","",TEXT($B7172,"0000"))</f>
        <v/>
      </c>
      <c r="W7172" s="19">
        <f>IF($I7172="","",IF(ISNUMBER($I7172),TEXT($I7172,"0"),$I7172))</f>
        <v/>
      </c>
    </row>
    <row r="7173">
      <c r="B7173" s="25" t="n"/>
      <c r="I7173" s="25" t="n"/>
      <c r="U7173" s="19">
        <f>IF($V7173&lt;&gt;'設定'!$C$4,N(U7172),IF(OR(NOT(COUNTIF('商品マスタ'!$B$6:$B$1005,$W7173)=0),COUNTIFS('①在庫を貼る'!$V$6:$V$10005,$V7173,'①在庫を貼る'!$W$6:$W$10005,$W7173)&gt;0),N(U7172),N(U7172)+1))</f>
        <v/>
      </c>
      <c r="V7173" s="19">
        <f>IF($B7173="","",TEXT($B7173,"0000"))</f>
        <v/>
      </c>
      <c r="W7173" s="19">
        <f>IF($I7173="","",IF(ISNUMBER($I7173),TEXT($I7173,"0"),$I7173))</f>
        <v/>
      </c>
    </row>
    <row r="7174">
      <c r="B7174" s="25" t="n"/>
      <c r="I7174" s="25" t="n"/>
      <c r="U7174" s="19">
        <f>IF($V7174&lt;&gt;'設定'!$C$4,N(U7173),IF(OR(NOT(COUNTIF('商品マスタ'!$B$6:$B$1005,$W7174)=0),COUNTIFS('①在庫を貼る'!$V$6:$V$10005,$V7174,'①在庫を貼る'!$W$6:$W$10005,$W7174)&gt;0),N(U7173),N(U7173)+1))</f>
        <v/>
      </c>
      <c r="V7174" s="19">
        <f>IF($B7174="","",TEXT($B7174,"0000"))</f>
        <v/>
      </c>
      <c r="W7174" s="19">
        <f>IF($I7174="","",IF(ISNUMBER($I7174),TEXT($I7174,"0"),$I7174))</f>
        <v/>
      </c>
    </row>
    <row r="7175">
      <c r="B7175" s="25" t="n"/>
      <c r="I7175" s="25" t="n"/>
      <c r="U7175" s="19">
        <f>IF($V7175&lt;&gt;'設定'!$C$4,N(U7174),IF(OR(NOT(COUNTIF('商品マスタ'!$B$6:$B$1005,$W7175)=0),COUNTIFS('①在庫を貼る'!$V$6:$V$10005,$V7175,'①在庫を貼る'!$W$6:$W$10005,$W7175)&gt;0),N(U7174),N(U7174)+1))</f>
        <v/>
      </c>
      <c r="V7175" s="19">
        <f>IF($B7175="","",TEXT($B7175,"0000"))</f>
        <v/>
      </c>
      <c r="W7175" s="19">
        <f>IF($I7175="","",IF(ISNUMBER($I7175),TEXT($I7175,"0"),$I7175))</f>
        <v/>
      </c>
    </row>
    <row r="7176">
      <c r="B7176" s="25" t="n"/>
      <c r="I7176" s="25" t="n"/>
      <c r="U7176" s="19">
        <f>IF($V7176&lt;&gt;'設定'!$C$4,N(U7175),IF(OR(NOT(COUNTIF('商品マスタ'!$B$6:$B$1005,$W7176)=0),COUNTIFS('①在庫を貼る'!$V$6:$V$10005,$V7176,'①在庫を貼る'!$W$6:$W$10005,$W7176)&gt;0),N(U7175),N(U7175)+1))</f>
        <v/>
      </c>
      <c r="V7176" s="19">
        <f>IF($B7176="","",TEXT($B7176,"0000"))</f>
        <v/>
      </c>
      <c r="W7176" s="19">
        <f>IF($I7176="","",IF(ISNUMBER($I7176),TEXT($I7176,"0"),$I7176))</f>
        <v/>
      </c>
    </row>
    <row r="7177">
      <c r="B7177" s="25" t="n"/>
      <c r="I7177" s="25" t="n"/>
      <c r="U7177" s="19">
        <f>IF($V7177&lt;&gt;'設定'!$C$4,N(U7176),IF(OR(NOT(COUNTIF('商品マスタ'!$B$6:$B$1005,$W7177)=0),COUNTIFS('①在庫を貼る'!$V$6:$V$10005,$V7177,'①在庫を貼る'!$W$6:$W$10005,$W7177)&gt;0),N(U7176),N(U7176)+1))</f>
        <v/>
      </c>
      <c r="V7177" s="19">
        <f>IF($B7177="","",TEXT($B7177,"0000"))</f>
        <v/>
      </c>
      <c r="W7177" s="19">
        <f>IF($I7177="","",IF(ISNUMBER($I7177),TEXT($I7177,"0"),$I7177))</f>
        <v/>
      </c>
    </row>
    <row r="7178">
      <c r="B7178" s="25" t="n"/>
      <c r="I7178" s="25" t="n"/>
      <c r="U7178" s="19">
        <f>IF($V7178&lt;&gt;'設定'!$C$4,N(U7177),IF(OR(NOT(COUNTIF('商品マスタ'!$B$6:$B$1005,$W7178)=0),COUNTIFS('①在庫を貼る'!$V$6:$V$10005,$V7178,'①在庫を貼る'!$W$6:$W$10005,$W7178)&gt;0),N(U7177),N(U7177)+1))</f>
        <v/>
      </c>
      <c r="V7178" s="19">
        <f>IF($B7178="","",TEXT($B7178,"0000"))</f>
        <v/>
      </c>
      <c r="W7178" s="19">
        <f>IF($I7178="","",IF(ISNUMBER($I7178),TEXT($I7178,"0"),$I7178))</f>
        <v/>
      </c>
    </row>
    <row r="7179">
      <c r="B7179" s="25" t="n"/>
      <c r="I7179" s="25" t="n"/>
      <c r="U7179" s="19">
        <f>IF($V7179&lt;&gt;'設定'!$C$4,N(U7178),IF(OR(NOT(COUNTIF('商品マスタ'!$B$6:$B$1005,$W7179)=0),COUNTIFS('①在庫を貼る'!$V$6:$V$10005,$V7179,'①在庫を貼る'!$W$6:$W$10005,$W7179)&gt;0),N(U7178),N(U7178)+1))</f>
        <v/>
      </c>
      <c r="V7179" s="19">
        <f>IF($B7179="","",TEXT($B7179,"0000"))</f>
        <v/>
      </c>
      <c r="W7179" s="19">
        <f>IF($I7179="","",IF(ISNUMBER($I7179),TEXT($I7179,"0"),$I7179))</f>
        <v/>
      </c>
    </row>
    <row r="7180">
      <c r="B7180" s="25" t="n"/>
      <c r="I7180" s="25" t="n"/>
      <c r="U7180" s="19">
        <f>IF($V7180&lt;&gt;'設定'!$C$4,N(U7179),IF(OR(NOT(COUNTIF('商品マスタ'!$B$6:$B$1005,$W7180)=0),COUNTIFS('①在庫を貼る'!$V$6:$V$10005,$V7180,'①在庫を貼る'!$W$6:$W$10005,$W7180)&gt;0),N(U7179),N(U7179)+1))</f>
        <v/>
      </c>
      <c r="V7180" s="19">
        <f>IF($B7180="","",TEXT($B7180,"0000"))</f>
        <v/>
      </c>
      <c r="W7180" s="19">
        <f>IF($I7180="","",IF(ISNUMBER($I7180),TEXT($I7180,"0"),$I7180))</f>
        <v/>
      </c>
    </row>
    <row r="7181">
      <c r="B7181" s="25" t="n"/>
      <c r="I7181" s="25" t="n"/>
      <c r="U7181" s="19">
        <f>IF($V7181&lt;&gt;'設定'!$C$4,N(U7180),IF(OR(NOT(COUNTIF('商品マスタ'!$B$6:$B$1005,$W7181)=0),COUNTIFS('①在庫を貼る'!$V$6:$V$10005,$V7181,'①在庫を貼る'!$W$6:$W$10005,$W7181)&gt;0),N(U7180),N(U7180)+1))</f>
        <v/>
      </c>
      <c r="V7181" s="19">
        <f>IF($B7181="","",TEXT($B7181,"0000"))</f>
        <v/>
      </c>
      <c r="W7181" s="19">
        <f>IF($I7181="","",IF(ISNUMBER($I7181),TEXT($I7181,"0"),$I7181))</f>
        <v/>
      </c>
    </row>
    <row r="7182">
      <c r="B7182" s="25" t="n"/>
      <c r="I7182" s="25" t="n"/>
      <c r="U7182" s="19">
        <f>IF($V7182&lt;&gt;'設定'!$C$4,N(U7181),IF(OR(NOT(COUNTIF('商品マスタ'!$B$6:$B$1005,$W7182)=0),COUNTIFS('①在庫を貼る'!$V$6:$V$10005,$V7182,'①在庫を貼る'!$W$6:$W$10005,$W7182)&gt;0),N(U7181),N(U7181)+1))</f>
        <v/>
      </c>
      <c r="V7182" s="19">
        <f>IF($B7182="","",TEXT($B7182,"0000"))</f>
        <v/>
      </c>
      <c r="W7182" s="19">
        <f>IF($I7182="","",IF(ISNUMBER($I7182),TEXT($I7182,"0"),$I7182))</f>
        <v/>
      </c>
    </row>
    <row r="7183">
      <c r="B7183" s="25" t="n"/>
      <c r="I7183" s="25" t="n"/>
      <c r="U7183" s="19">
        <f>IF($V7183&lt;&gt;'設定'!$C$4,N(U7182),IF(OR(NOT(COUNTIF('商品マスタ'!$B$6:$B$1005,$W7183)=0),COUNTIFS('①在庫を貼る'!$V$6:$V$10005,$V7183,'①在庫を貼る'!$W$6:$W$10005,$W7183)&gt;0),N(U7182),N(U7182)+1))</f>
        <v/>
      </c>
      <c r="V7183" s="19">
        <f>IF($B7183="","",TEXT($B7183,"0000"))</f>
        <v/>
      </c>
      <c r="W7183" s="19">
        <f>IF($I7183="","",IF(ISNUMBER($I7183),TEXT($I7183,"0"),$I7183))</f>
        <v/>
      </c>
    </row>
    <row r="7184">
      <c r="B7184" s="25" t="n"/>
      <c r="I7184" s="25" t="n"/>
      <c r="U7184" s="19">
        <f>IF($V7184&lt;&gt;'設定'!$C$4,N(U7183),IF(OR(NOT(COUNTIF('商品マスタ'!$B$6:$B$1005,$W7184)=0),COUNTIFS('①在庫を貼る'!$V$6:$V$10005,$V7184,'①在庫を貼る'!$W$6:$W$10005,$W7184)&gt;0),N(U7183),N(U7183)+1))</f>
        <v/>
      </c>
      <c r="V7184" s="19">
        <f>IF($B7184="","",TEXT($B7184,"0000"))</f>
        <v/>
      </c>
      <c r="W7184" s="19">
        <f>IF($I7184="","",IF(ISNUMBER($I7184),TEXT($I7184,"0"),$I7184))</f>
        <v/>
      </c>
    </row>
    <row r="7185">
      <c r="B7185" s="25" t="n"/>
      <c r="I7185" s="25" t="n"/>
      <c r="U7185" s="19">
        <f>IF($V7185&lt;&gt;'設定'!$C$4,N(U7184),IF(OR(NOT(COUNTIF('商品マスタ'!$B$6:$B$1005,$W7185)=0),COUNTIFS('①在庫を貼る'!$V$6:$V$10005,$V7185,'①在庫を貼る'!$W$6:$W$10005,$W7185)&gt;0),N(U7184),N(U7184)+1))</f>
        <v/>
      </c>
      <c r="V7185" s="19">
        <f>IF($B7185="","",TEXT($B7185,"0000"))</f>
        <v/>
      </c>
      <c r="W7185" s="19">
        <f>IF($I7185="","",IF(ISNUMBER($I7185),TEXT($I7185,"0"),$I7185))</f>
        <v/>
      </c>
    </row>
    <row r="7186">
      <c r="B7186" s="25" t="n"/>
      <c r="I7186" s="25" t="n"/>
      <c r="U7186" s="19">
        <f>IF($V7186&lt;&gt;'設定'!$C$4,N(U7185),IF(OR(NOT(COUNTIF('商品マスタ'!$B$6:$B$1005,$W7186)=0),COUNTIFS('①在庫を貼る'!$V$6:$V$10005,$V7186,'①在庫を貼る'!$W$6:$W$10005,$W7186)&gt;0),N(U7185),N(U7185)+1))</f>
        <v/>
      </c>
      <c r="V7186" s="19">
        <f>IF($B7186="","",TEXT($B7186,"0000"))</f>
        <v/>
      </c>
      <c r="W7186" s="19">
        <f>IF($I7186="","",IF(ISNUMBER($I7186),TEXT($I7186,"0"),$I7186))</f>
        <v/>
      </c>
    </row>
    <row r="7187">
      <c r="B7187" s="25" t="n"/>
      <c r="I7187" s="25" t="n"/>
      <c r="U7187" s="19">
        <f>IF($V7187&lt;&gt;'設定'!$C$4,N(U7186),IF(OR(NOT(COUNTIF('商品マスタ'!$B$6:$B$1005,$W7187)=0),COUNTIFS('①在庫を貼る'!$V$6:$V$10005,$V7187,'①在庫を貼る'!$W$6:$W$10005,$W7187)&gt;0),N(U7186),N(U7186)+1))</f>
        <v/>
      </c>
      <c r="V7187" s="19">
        <f>IF($B7187="","",TEXT($B7187,"0000"))</f>
        <v/>
      </c>
      <c r="W7187" s="19">
        <f>IF($I7187="","",IF(ISNUMBER($I7187),TEXT($I7187,"0"),$I7187))</f>
        <v/>
      </c>
    </row>
    <row r="7188">
      <c r="B7188" s="25" t="n"/>
      <c r="I7188" s="25" t="n"/>
      <c r="U7188" s="19">
        <f>IF($V7188&lt;&gt;'設定'!$C$4,N(U7187),IF(OR(NOT(COUNTIF('商品マスタ'!$B$6:$B$1005,$W7188)=0),COUNTIFS('①在庫を貼る'!$V$6:$V$10005,$V7188,'①在庫を貼る'!$W$6:$W$10005,$W7188)&gt;0),N(U7187),N(U7187)+1))</f>
        <v/>
      </c>
      <c r="V7188" s="19">
        <f>IF($B7188="","",TEXT($B7188,"0000"))</f>
        <v/>
      </c>
      <c r="W7188" s="19">
        <f>IF($I7188="","",IF(ISNUMBER($I7188),TEXT($I7188,"0"),$I7188))</f>
        <v/>
      </c>
    </row>
    <row r="7189">
      <c r="B7189" s="25" t="n"/>
      <c r="I7189" s="25" t="n"/>
      <c r="U7189" s="19">
        <f>IF($V7189&lt;&gt;'設定'!$C$4,N(U7188),IF(OR(NOT(COUNTIF('商品マスタ'!$B$6:$B$1005,$W7189)=0),COUNTIFS('①在庫を貼る'!$V$6:$V$10005,$V7189,'①在庫を貼る'!$W$6:$W$10005,$W7189)&gt;0),N(U7188),N(U7188)+1))</f>
        <v/>
      </c>
      <c r="V7189" s="19">
        <f>IF($B7189="","",TEXT($B7189,"0000"))</f>
        <v/>
      </c>
      <c r="W7189" s="19">
        <f>IF($I7189="","",IF(ISNUMBER($I7189),TEXT($I7189,"0"),$I7189))</f>
        <v/>
      </c>
    </row>
    <row r="7190">
      <c r="B7190" s="25" t="n"/>
      <c r="I7190" s="25" t="n"/>
      <c r="U7190" s="19">
        <f>IF($V7190&lt;&gt;'設定'!$C$4,N(U7189),IF(OR(NOT(COUNTIF('商品マスタ'!$B$6:$B$1005,$W7190)=0),COUNTIFS('①在庫を貼る'!$V$6:$V$10005,$V7190,'①在庫を貼る'!$W$6:$W$10005,$W7190)&gt;0),N(U7189),N(U7189)+1))</f>
        <v/>
      </c>
      <c r="V7190" s="19">
        <f>IF($B7190="","",TEXT($B7190,"0000"))</f>
        <v/>
      </c>
      <c r="W7190" s="19">
        <f>IF($I7190="","",IF(ISNUMBER($I7190),TEXT($I7190,"0"),$I7190))</f>
        <v/>
      </c>
    </row>
    <row r="7191">
      <c r="B7191" s="25" t="n"/>
      <c r="I7191" s="25" t="n"/>
      <c r="U7191" s="19">
        <f>IF($V7191&lt;&gt;'設定'!$C$4,N(U7190),IF(OR(NOT(COUNTIF('商品マスタ'!$B$6:$B$1005,$W7191)=0),COUNTIFS('①在庫を貼る'!$V$6:$V$10005,$V7191,'①在庫を貼る'!$W$6:$W$10005,$W7191)&gt;0),N(U7190),N(U7190)+1))</f>
        <v/>
      </c>
      <c r="V7191" s="19">
        <f>IF($B7191="","",TEXT($B7191,"0000"))</f>
        <v/>
      </c>
      <c r="W7191" s="19">
        <f>IF($I7191="","",IF(ISNUMBER($I7191),TEXT($I7191,"0"),$I7191))</f>
        <v/>
      </c>
    </row>
    <row r="7192">
      <c r="B7192" s="25" t="n"/>
      <c r="I7192" s="25" t="n"/>
      <c r="U7192" s="19">
        <f>IF($V7192&lt;&gt;'設定'!$C$4,N(U7191),IF(OR(NOT(COUNTIF('商品マスタ'!$B$6:$B$1005,$W7192)=0),COUNTIFS('①在庫を貼る'!$V$6:$V$10005,$V7192,'①在庫を貼る'!$W$6:$W$10005,$W7192)&gt;0),N(U7191),N(U7191)+1))</f>
        <v/>
      </c>
      <c r="V7192" s="19">
        <f>IF($B7192="","",TEXT($B7192,"0000"))</f>
        <v/>
      </c>
      <c r="W7192" s="19">
        <f>IF($I7192="","",IF(ISNUMBER($I7192),TEXT($I7192,"0"),$I7192))</f>
        <v/>
      </c>
    </row>
    <row r="7193">
      <c r="B7193" s="25" t="n"/>
      <c r="I7193" s="25" t="n"/>
      <c r="U7193" s="19">
        <f>IF($V7193&lt;&gt;'設定'!$C$4,N(U7192),IF(OR(NOT(COUNTIF('商品マスタ'!$B$6:$B$1005,$W7193)=0),COUNTIFS('①在庫を貼る'!$V$6:$V$10005,$V7193,'①在庫を貼る'!$W$6:$W$10005,$W7193)&gt;0),N(U7192),N(U7192)+1))</f>
        <v/>
      </c>
      <c r="V7193" s="19">
        <f>IF($B7193="","",TEXT($B7193,"0000"))</f>
        <v/>
      </c>
      <c r="W7193" s="19">
        <f>IF($I7193="","",IF(ISNUMBER($I7193),TEXT($I7193,"0"),$I7193))</f>
        <v/>
      </c>
    </row>
    <row r="7194">
      <c r="B7194" s="25" t="n"/>
      <c r="I7194" s="25" t="n"/>
      <c r="U7194" s="19">
        <f>IF($V7194&lt;&gt;'設定'!$C$4,N(U7193),IF(OR(NOT(COUNTIF('商品マスタ'!$B$6:$B$1005,$W7194)=0),COUNTIFS('①在庫を貼る'!$V$6:$V$10005,$V7194,'①在庫を貼る'!$W$6:$W$10005,$W7194)&gt;0),N(U7193),N(U7193)+1))</f>
        <v/>
      </c>
      <c r="V7194" s="19">
        <f>IF($B7194="","",TEXT($B7194,"0000"))</f>
        <v/>
      </c>
      <c r="W7194" s="19">
        <f>IF($I7194="","",IF(ISNUMBER($I7194),TEXT($I7194,"0"),$I7194))</f>
        <v/>
      </c>
    </row>
    <row r="7195">
      <c r="B7195" s="25" t="n"/>
      <c r="I7195" s="25" t="n"/>
      <c r="U7195" s="19">
        <f>IF($V7195&lt;&gt;'設定'!$C$4,N(U7194),IF(OR(NOT(COUNTIF('商品マスタ'!$B$6:$B$1005,$W7195)=0),COUNTIFS('①在庫を貼る'!$V$6:$V$10005,$V7195,'①在庫を貼る'!$W$6:$W$10005,$W7195)&gt;0),N(U7194),N(U7194)+1))</f>
        <v/>
      </c>
      <c r="V7195" s="19">
        <f>IF($B7195="","",TEXT($B7195,"0000"))</f>
        <v/>
      </c>
      <c r="W7195" s="19">
        <f>IF($I7195="","",IF(ISNUMBER($I7195),TEXT($I7195,"0"),$I7195))</f>
        <v/>
      </c>
    </row>
    <row r="7196">
      <c r="B7196" s="25" t="n"/>
      <c r="I7196" s="25" t="n"/>
      <c r="U7196" s="19">
        <f>IF($V7196&lt;&gt;'設定'!$C$4,N(U7195),IF(OR(NOT(COUNTIF('商品マスタ'!$B$6:$B$1005,$W7196)=0),COUNTIFS('①在庫を貼る'!$V$6:$V$10005,$V7196,'①在庫を貼る'!$W$6:$W$10005,$W7196)&gt;0),N(U7195),N(U7195)+1))</f>
        <v/>
      </c>
      <c r="V7196" s="19">
        <f>IF($B7196="","",TEXT($B7196,"0000"))</f>
        <v/>
      </c>
      <c r="W7196" s="19">
        <f>IF($I7196="","",IF(ISNUMBER($I7196),TEXT($I7196,"0"),$I7196))</f>
        <v/>
      </c>
    </row>
    <row r="7197">
      <c r="B7197" s="25" t="n"/>
      <c r="I7197" s="25" t="n"/>
      <c r="U7197" s="19">
        <f>IF($V7197&lt;&gt;'設定'!$C$4,N(U7196),IF(OR(NOT(COUNTIF('商品マスタ'!$B$6:$B$1005,$W7197)=0),COUNTIFS('①在庫を貼る'!$V$6:$V$10005,$V7197,'①在庫を貼る'!$W$6:$W$10005,$W7197)&gt;0),N(U7196),N(U7196)+1))</f>
        <v/>
      </c>
      <c r="V7197" s="19">
        <f>IF($B7197="","",TEXT($B7197,"0000"))</f>
        <v/>
      </c>
      <c r="W7197" s="19">
        <f>IF($I7197="","",IF(ISNUMBER($I7197),TEXT($I7197,"0"),$I7197))</f>
        <v/>
      </c>
    </row>
    <row r="7198">
      <c r="B7198" s="25" t="n"/>
      <c r="I7198" s="25" t="n"/>
      <c r="U7198" s="19">
        <f>IF($V7198&lt;&gt;'設定'!$C$4,N(U7197),IF(OR(NOT(COUNTIF('商品マスタ'!$B$6:$B$1005,$W7198)=0),COUNTIFS('①在庫を貼る'!$V$6:$V$10005,$V7198,'①在庫を貼る'!$W$6:$W$10005,$W7198)&gt;0),N(U7197),N(U7197)+1))</f>
        <v/>
      </c>
      <c r="V7198" s="19">
        <f>IF($B7198="","",TEXT($B7198,"0000"))</f>
        <v/>
      </c>
      <c r="W7198" s="19">
        <f>IF($I7198="","",IF(ISNUMBER($I7198),TEXT($I7198,"0"),$I7198))</f>
        <v/>
      </c>
    </row>
    <row r="7199">
      <c r="B7199" s="25" t="n"/>
      <c r="I7199" s="25" t="n"/>
      <c r="U7199" s="19">
        <f>IF($V7199&lt;&gt;'設定'!$C$4,N(U7198),IF(OR(NOT(COUNTIF('商品マスタ'!$B$6:$B$1005,$W7199)=0),COUNTIFS('①在庫を貼る'!$V$6:$V$10005,$V7199,'①在庫を貼る'!$W$6:$W$10005,$W7199)&gt;0),N(U7198),N(U7198)+1))</f>
        <v/>
      </c>
      <c r="V7199" s="19">
        <f>IF($B7199="","",TEXT($B7199,"0000"))</f>
        <v/>
      </c>
      <c r="W7199" s="19">
        <f>IF($I7199="","",IF(ISNUMBER($I7199),TEXT($I7199,"0"),$I7199))</f>
        <v/>
      </c>
    </row>
    <row r="7200">
      <c r="B7200" s="25" t="n"/>
      <c r="I7200" s="25" t="n"/>
      <c r="U7200" s="19">
        <f>IF($V7200&lt;&gt;'設定'!$C$4,N(U7199),IF(OR(NOT(COUNTIF('商品マスタ'!$B$6:$B$1005,$W7200)=0),COUNTIFS('①在庫を貼る'!$V$6:$V$10005,$V7200,'①在庫を貼る'!$W$6:$W$10005,$W7200)&gt;0),N(U7199),N(U7199)+1))</f>
        <v/>
      </c>
      <c r="V7200" s="19">
        <f>IF($B7200="","",TEXT($B7200,"0000"))</f>
        <v/>
      </c>
      <c r="W7200" s="19">
        <f>IF($I7200="","",IF(ISNUMBER($I7200),TEXT($I7200,"0"),$I7200))</f>
        <v/>
      </c>
    </row>
    <row r="7201">
      <c r="B7201" s="25" t="n"/>
      <c r="I7201" s="25" t="n"/>
      <c r="U7201" s="19">
        <f>IF($V7201&lt;&gt;'設定'!$C$4,N(U7200),IF(OR(NOT(COUNTIF('商品マスタ'!$B$6:$B$1005,$W7201)=0),COUNTIFS('①在庫を貼る'!$V$6:$V$10005,$V7201,'①在庫を貼る'!$W$6:$W$10005,$W7201)&gt;0),N(U7200),N(U7200)+1))</f>
        <v/>
      </c>
      <c r="V7201" s="19">
        <f>IF($B7201="","",TEXT($B7201,"0000"))</f>
        <v/>
      </c>
      <c r="W7201" s="19">
        <f>IF($I7201="","",IF(ISNUMBER($I7201),TEXT($I7201,"0"),$I7201))</f>
        <v/>
      </c>
    </row>
    <row r="7202">
      <c r="B7202" s="25" t="n"/>
      <c r="I7202" s="25" t="n"/>
      <c r="U7202" s="19">
        <f>IF($V7202&lt;&gt;'設定'!$C$4,N(U7201),IF(OR(NOT(COUNTIF('商品マスタ'!$B$6:$B$1005,$W7202)=0),COUNTIFS('①在庫を貼る'!$V$6:$V$10005,$V7202,'①在庫を貼る'!$W$6:$W$10005,$W7202)&gt;0),N(U7201),N(U7201)+1))</f>
        <v/>
      </c>
      <c r="V7202" s="19">
        <f>IF($B7202="","",TEXT($B7202,"0000"))</f>
        <v/>
      </c>
      <c r="W7202" s="19">
        <f>IF($I7202="","",IF(ISNUMBER($I7202),TEXT($I7202,"0"),$I7202))</f>
        <v/>
      </c>
    </row>
    <row r="7203">
      <c r="B7203" s="25" t="n"/>
      <c r="I7203" s="25" t="n"/>
      <c r="U7203" s="19">
        <f>IF($V7203&lt;&gt;'設定'!$C$4,N(U7202),IF(OR(NOT(COUNTIF('商品マスタ'!$B$6:$B$1005,$W7203)=0),COUNTIFS('①在庫を貼る'!$V$6:$V$10005,$V7203,'①在庫を貼る'!$W$6:$W$10005,$W7203)&gt;0),N(U7202),N(U7202)+1))</f>
        <v/>
      </c>
      <c r="V7203" s="19">
        <f>IF($B7203="","",TEXT($B7203,"0000"))</f>
        <v/>
      </c>
      <c r="W7203" s="19">
        <f>IF($I7203="","",IF(ISNUMBER($I7203),TEXT($I7203,"0"),$I7203))</f>
        <v/>
      </c>
    </row>
    <row r="7204">
      <c r="B7204" s="25" t="n"/>
      <c r="I7204" s="25" t="n"/>
      <c r="U7204" s="19">
        <f>IF($V7204&lt;&gt;'設定'!$C$4,N(U7203),IF(OR(NOT(COUNTIF('商品マスタ'!$B$6:$B$1005,$W7204)=0),COUNTIFS('①在庫を貼る'!$V$6:$V$10005,$V7204,'①在庫を貼る'!$W$6:$W$10005,$W7204)&gt;0),N(U7203),N(U7203)+1))</f>
        <v/>
      </c>
      <c r="V7204" s="19">
        <f>IF($B7204="","",TEXT($B7204,"0000"))</f>
        <v/>
      </c>
      <c r="W7204" s="19">
        <f>IF($I7204="","",IF(ISNUMBER($I7204),TEXT($I7204,"0"),$I7204))</f>
        <v/>
      </c>
    </row>
    <row r="7205">
      <c r="B7205" s="25" t="n"/>
      <c r="I7205" s="25" t="n"/>
      <c r="U7205" s="19">
        <f>IF($V7205&lt;&gt;'設定'!$C$4,N(U7204),IF(OR(NOT(COUNTIF('商品マスタ'!$B$6:$B$1005,$W7205)=0),COUNTIFS('①在庫を貼る'!$V$6:$V$10005,$V7205,'①在庫を貼る'!$W$6:$W$10005,$W7205)&gt;0),N(U7204),N(U7204)+1))</f>
        <v/>
      </c>
      <c r="V7205" s="19">
        <f>IF($B7205="","",TEXT($B7205,"0000"))</f>
        <v/>
      </c>
      <c r="W7205" s="19">
        <f>IF($I7205="","",IF(ISNUMBER($I7205),TEXT($I7205,"0"),$I7205))</f>
        <v/>
      </c>
    </row>
    <row r="7206">
      <c r="B7206" s="25" t="n"/>
      <c r="I7206" s="25" t="n"/>
      <c r="U7206" s="19">
        <f>IF($V7206&lt;&gt;'設定'!$C$4,N(U7205),IF(OR(NOT(COUNTIF('商品マスタ'!$B$6:$B$1005,$W7206)=0),COUNTIFS('①在庫を貼る'!$V$6:$V$10005,$V7206,'①在庫を貼る'!$W$6:$W$10005,$W7206)&gt;0),N(U7205),N(U7205)+1))</f>
        <v/>
      </c>
      <c r="V7206" s="19">
        <f>IF($B7206="","",TEXT($B7206,"0000"))</f>
        <v/>
      </c>
      <c r="W7206" s="19">
        <f>IF($I7206="","",IF(ISNUMBER($I7206),TEXT($I7206,"0"),$I7206))</f>
        <v/>
      </c>
    </row>
    <row r="7207">
      <c r="B7207" s="25" t="n"/>
      <c r="I7207" s="25" t="n"/>
      <c r="U7207" s="19">
        <f>IF($V7207&lt;&gt;'設定'!$C$4,N(U7206),IF(OR(NOT(COUNTIF('商品マスタ'!$B$6:$B$1005,$W7207)=0),COUNTIFS('①在庫を貼る'!$V$6:$V$10005,$V7207,'①在庫を貼る'!$W$6:$W$10005,$W7207)&gt;0),N(U7206),N(U7206)+1))</f>
        <v/>
      </c>
      <c r="V7207" s="19">
        <f>IF($B7207="","",TEXT($B7207,"0000"))</f>
        <v/>
      </c>
      <c r="W7207" s="19">
        <f>IF($I7207="","",IF(ISNUMBER($I7207),TEXT($I7207,"0"),$I7207))</f>
        <v/>
      </c>
    </row>
    <row r="7208">
      <c r="B7208" s="25" t="n"/>
      <c r="I7208" s="25" t="n"/>
      <c r="U7208" s="19">
        <f>IF($V7208&lt;&gt;'設定'!$C$4,N(U7207),IF(OR(NOT(COUNTIF('商品マスタ'!$B$6:$B$1005,$W7208)=0),COUNTIFS('①在庫を貼る'!$V$6:$V$10005,$V7208,'①在庫を貼る'!$W$6:$W$10005,$W7208)&gt;0),N(U7207),N(U7207)+1))</f>
        <v/>
      </c>
      <c r="V7208" s="19">
        <f>IF($B7208="","",TEXT($B7208,"0000"))</f>
        <v/>
      </c>
      <c r="W7208" s="19">
        <f>IF($I7208="","",IF(ISNUMBER($I7208),TEXT($I7208,"0"),$I7208))</f>
        <v/>
      </c>
    </row>
    <row r="7209">
      <c r="B7209" s="25" t="n"/>
      <c r="I7209" s="25" t="n"/>
      <c r="U7209" s="19">
        <f>IF($V7209&lt;&gt;'設定'!$C$4,N(U7208),IF(OR(NOT(COUNTIF('商品マスタ'!$B$6:$B$1005,$W7209)=0),COUNTIFS('①在庫を貼る'!$V$6:$V$10005,$V7209,'①在庫を貼る'!$W$6:$W$10005,$W7209)&gt;0),N(U7208),N(U7208)+1))</f>
        <v/>
      </c>
      <c r="V7209" s="19">
        <f>IF($B7209="","",TEXT($B7209,"0000"))</f>
        <v/>
      </c>
      <c r="W7209" s="19">
        <f>IF($I7209="","",IF(ISNUMBER($I7209),TEXT($I7209,"0"),$I7209))</f>
        <v/>
      </c>
    </row>
    <row r="7210">
      <c r="B7210" s="25" t="n"/>
      <c r="I7210" s="25" t="n"/>
      <c r="U7210" s="19">
        <f>IF($V7210&lt;&gt;'設定'!$C$4,N(U7209),IF(OR(NOT(COUNTIF('商品マスタ'!$B$6:$B$1005,$W7210)=0),COUNTIFS('①在庫を貼る'!$V$6:$V$10005,$V7210,'①在庫を貼る'!$W$6:$W$10005,$W7210)&gt;0),N(U7209),N(U7209)+1))</f>
        <v/>
      </c>
      <c r="V7210" s="19">
        <f>IF($B7210="","",TEXT($B7210,"0000"))</f>
        <v/>
      </c>
      <c r="W7210" s="19">
        <f>IF($I7210="","",IF(ISNUMBER($I7210),TEXT($I7210,"0"),$I7210))</f>
        <v/>
      </c>
    </row>
    <row r="7211">
      <c r="B7211" s="25" t="n"/>
      <c r="I7211" s="25" t="n"/>
      <c r="U7211" s="19">
        <f>IF($V7211&lt;&gt;'設定'!$C$4,N(U7210),IF(OR(NOT(COUNTIF('商品マスタ'!$B$6:$B$1005,$W7211)=0),COUNTIFS('①在庫を貼る'!$V$6:$V$10005,$V7211,'①在庫を貼る'!$W$6:$W$10005,$W7211)&gt;0),N(U7210),N(U7210)+1))</f>
        <v/>
      </c>
      <c r="V7211" s="19">
        <f>IF($B7211="","",TEXT($B7211,"0000"))</f>
        <v/>
      </c>
      <c r="W7211" s="19">
        <f>IF($I7211="","",IF(ISNUMBER($I7211),TEXT($I7211,"0"),$I7211))</f>
        <v/>
      </c>
    </row>
    <row r="7212">
      <c r="B7212" s="25" t="n"/>
      <c r="I7212" s="25" t="n"/>
      <c r="U7212" s="19">
        <f>IF($V7212&lt;&gt;'設定'!$C$4,N(U7211),IF(OR(NOT(COUNTIF('商品マスタ'!$B$6:$B$1005,$W7212)=0),COUNTIFS('①在庫を貼る'!$V$6:$V$10005,$V7212,'①在庫を貼る'!$W$6:$W$10005,$W7212)&gt;0),N(U7211),N(U7211)+1))</f>
        <v/>
      </c>
      <c r="V7212" s="19">
        <f>IF($B7212="","",TEXT($B7212,"0000"))</f>
        <v/>
      </c>
      <c r="W7212" s="19">
        <f>IF($I7212="","",IF(ISNUMBER($I7212),TEXT($I7212,"0"),$I7212))</f>
        <v/>
      </c>
    </row>
    <row r="7213">
      <c r="B7213" s="25" t="n"/>
      <c r="I7213" s="25" t="n"/>
      <c r="U7213" s="19">
        <f>IF($V7213&lt;&gt;'設定'!$C$4,N(U7212),IF(OR(NOT(COUNTIF('商品マスタ'!$B$6:$B$1005,$W7213)=0),COUNTIFS('①在庫を貼る'!$V$6:$V$10005,$V7213,'①在庫を貼る'!$W$6:$W$10005,$W7213)&gt;0),N(U7212),N(U7212)+1))</f>
        <v/>
      </c>
      <c r="V7213" s="19">
        <f>IF($B7213="","",TEXT($B7213,"0000"))</f>
        <v/>
      </c>
      <c r="W7213" s="19">
        <f>IF($I7213="","",IF(ISNUMBER($I7213),TEXT($I7213,"0"),$I7213))</f>
        <v/>
      </c>
    </row>
    <row r="7214">
      <c r="B7214" s="25" t="n"/>
      <c r="I7214" s="25" t="n"/>
      <c r="U7214" s="19">
        <f>IF($V7214&lt;&gt;'設定'!$C$4,N(U7213),IF(OR(NOT(COUNTIF('商品マスタ'!$B$6:$B$1005,$W7214)=0),COUNTIFS('①在庫を貼る'!$V$6:$V$10005,$V7214,'①在庫を貼る'!$W$6:$W$10005,$W7214)&gt;0),N(U7213),N(U7213)+1))</f>
        <v/>
      </c>
      <c r="V7214" s="19">
        <f>IF($B7214="","",TEXT($B7214,"0000"))</f>
        <v/>
      </c>
      <c r="W7214" s="19">
        <f>IF($I7214="","",IF(ISNUMBER($I7214),TEXT($I7214,"0"),$I7214))</f>
        <v/>
      </c>
    </row>
    <row r="7215">
      <c r="B7215" s="25" t="n"/>
      <c r="I7215" s="25" t="n"/>
      <c r="U7215" s="19">
        <f>IF($V7215&lt;&gt;'設定'!$C$4,N(U7214),IF(OR(NOT(COUNTIF('商品マスタ'!$B$6:$B$1005,$W7215)=0),COUNTIFS('①在庫を貼る'!$V$6:$V$10005,$V7215,'①在庫を貼る'!$W$6:$W$10005,$W7215)&gt;0),N(U7214),N(U7214)+1))</f>
        <v/>
      </c>
      <c r="V7215" s="19">
        <f>IF($B7215="","",TEXT($B7215,"0000"))</f>
        <v/>
      </c>
      <c r="W7215" s="19">
        <f>IF($I7215="","",IF(ISNUMBER($I7215),TEXT($I7215,"0"),$I7215))</f>
        <v/>
      </c>
    </row>
    <row r="7216">
      <c r="B7216" s="25" t="n"/>
      <c r="I7216" s="25" t="n"/>
      <c r="U7216" s="19">
        <f>IF($V7216&lt;&gt;'設定'!$C$4,N(U7215),IF(OR(NOT(COUNTIF('商品マスタ'!$B$6:$B$1005,$W7216)=0),COUNTIFS('①在庫を貼る'!$V$6:$V$10005,$V7216,'①在庫を貼る'!$W$6:$W$10005,$W7216)&gt;0),N(U7215),N(U7215)+1))</f>
        <v/>
      </c>
      <c r="V7216" s="19">
        <f>IF($B7216="","",TEXT($B7216,"0000"))</f>
        <v/>
      </c>
      <c r="W7216" s="19">
        <f>IF($I7216="","",IF(ISNUMBER($I7216),TEXT($I7216,"0"),$I7216))</f>
        <v/>
      </c>
    </row>
    <row r="7217">
      <c r="B7217" s="25" t="n"/>
      <c r="I7217" s="25" t="n"/>
      <c r="U7217" s="19">
        <f>IF($V7217&lt;&gt;'設定'!$C$4,N(U7216),IF(OR(NOT(COUNTIF('商品マスタ'!$B$6:$B$1005,$W7217)=0),COUNTIFS('①在庫を貼る'!$V$6:$V$10005,$V7217,'①在庫を貼る'!$W$6:$W$10005,$W7217)&gt;0),N(U7216),N(U7216)+1))</f>
        <v/>
      </c>
      <c r="V7217" s="19">
        <f>IF($B7217="","",TEXT($B7217,"0000"))</f>
        <v/>
      </c>
      <c r="W7217" s="19">
        <f>IF($I7217="","",IF(ISNUMBER($I7217),TEXT($I7217,"0"),$I7217))</f>
        <v/>
      </c>
    </row>
    <row r="7218">
      <c r="B7218" s="25" t="n"/>
      <c r="I7218" s="25" t="n"/>
      <c r="U7218" s="19">
        <f>IF($V7218&lt;&gt;'設定'!$C$4,N(U7217),IF(OR(NOT(COUNTIF('商品マスタ'!$B$6:$B$1005,$W7218)=0),COUNTIFS('①在庫を貼る'!$V$6:$V$10005,$V7218,'①在庫を貼る'!$W$6:$W$10005,$W7218)&gt;0),N(U7217),N(U7217)+1))</f>
        <v/>
      </c>
      <c r="V7218" s="19">
        <f>IF($B7218="","",TEXT($B7218,"0000"))</f>
        <v/>
      </c>
      <c r="W7218" s="19">
        <f>IF($I7218="","",IF(ISNUMBER($I7218),TEXT($I7218,"0"),$I7218))</f>
        <v/>
      </c>
    </row>
    <row r="7219">
      <c r="B7219" s="25" t="n"/>
      <c r="I7219" s="25" t="n"/>
      <c r="U7219" s="19">
        <f>IF($V7219&lt;&gt;'設定'!$C$4,N(U7218),IF(OR(NOT(COUNTIF('商品マスタ'!$B$6:$B$1005,$W7219)=0),COUNTIFS('①在庫を貼る'!$V$6:$V$10005,$V7219,'①在庫を貼る'!$W$6:$W$10005,$W7219)&gt;0),N(U7218),N(U7218)+1))</f>
        <v/>
      </c>
      <c r="V7219" s="19">
        <f>IF($B7219="","",TEXT($B7219,"0000"))</f>
        <v/>
      </c>
      <c r="W7219" s="19">
        <f>IF($I7219="","",IF(ISNUMBER($I7219),TEXT($I7219,"0"),$I7219))</f>
        <v/>
      </c>
    </row>
    <row r="7220">
      <c r="B7220" s="25" t="n"/>
      <c r="I7220" s="25" t="n"/>
      <c r="U7220" s="19">
        <f>IF($V7220&lt;&gt;'設定'!$C$4,N(U7219),IF(OR(NOT(COUNTIF('商品マスタ'!$B$6:$B$1005,$W7220)=0),COUNTIFS('①在庫を貼る'!$V$6:$V$10005,$V7220,'①在庫を貼る'!$W$6:$W$10005,$W7220)&gt;0),N(U7219),N(U7219)+1))</f>
        <v/>
      </c>
      <c r="V7220" s="19">
        <f>IF($B7220="","",TEXT($B7220,"0000"))</f>
        <v/>
      </c>
      <c r="W7220" s="19">
        <f>IF($I7220="","",IF(ISNUMBER($I7220),TEXT($I7220,"0"),$I7220))</f>
        <v/>
      </c>
    </row>
    <row r="7221">
      <c r="B7221" s="25" t="n"/>
      <c r="I7221" s="25" t="n"/>
      <c r="U7221" s="19">
        <f>IF($V7221&lt;&gt;'設定'!$C$4,N(U7220),IF(OR(NOT(COUNTIF('商品マスタ'!$B$6:$B$1005,$W7221)=0),COUNTIFS('①在庫を貼る'!$V$6:$V$10005,$V7221,'①在庫を貼る'!$W$6:$W$10005,$W7221)&gt;0),N(U7220),N(U7220)+1))</f>
        <v/>
      </c>
      <c r="V7221" s="19">
        <f>IF($B7221="","",TEXT($B7221,"0000"))</f>
        <v/>
      </c>
      <c r="W7221" s="19">
        <f>IF($I7221="","",IF(ISNUMBER($I7221),TEXT($I7221,"0"),$I7221))</f>
        <v/>
      </c>
    </row>
    <row r="7222">
      <c r="B7222" s="25" t="n"/>
      <c r="I7222" s="25" t="n"/>
      <c r="U7222" s="19">
        <f>IF($V7222&lt;&gt;'設定'!$C$4,N(U7221),IF(OR(NOT(COUNTIF('商品マスタ'!$B$6:$B$1005,$W7222)=0),COUNTIFS('①在庫を貼る'!$V$6:$V$10005,$V7222,'①在庫を貼る'!$W$6:$W$10005,$W7222)&gt;0),N(U7221),N(U7221)+1))</f>
        <v/>
      </c>
      <c r="V7222" s="19">
        <f>IF($B7222="","",TEXT($B7222,"0000"))</f>
        <v/>
      </c>
      <c r="W7222" s="19">
        <f>IF($I7222="","",IF(ISNUMBER($I7222),TEXT($I7222,"0"),$I7222))</f>
        <v/>
      </c>
    </row>
    <row r="7223">
      <c r="B7223" s="25" t="n"/>
      <c r="I7223" s="25" t="n"/>
      <c r="U7223" s="19">
        <f>IF($V7223&lt;&gt;'設定'!$C$4,N(U7222),IF(OR(NOT(COUNTIF('商品マスタ'!$B$6:$B$1005,$W7223)=0),COUNTIFS('①在庫を貼る'!$V$6:$V$10005,$V7223,'①在庫を貼る'!$W$6:$W$10005,$W7223)&gt;0),N(U7222),N(U7222)+1))</f>
        <v/>
      </c>
      <c r="V7223" s="19">
        <f>IF($B7223="","",TEXT($B7223,"0000"))</f>
        <v/>
      </c>
      <c r="W7223" s="19">
        <f>IF($I7223="","",IF(ISNUMBER($I7223),TEXT($I7223,"0"),$I7223))</f>
        <v/>
      </c>
    </row>
    <row r="7224">
      <c r="B7224" s="25" t="n"/>
      <c r="I7224" s="25" t="n"/>
      <c r="U7224" s="19">
        <f>IF($V7224&lt;&gt;'設定'!$C$4,N(U7223),IF(OR(NOT(COUNTIF('商品マスタ'!$B$6:$B$1005,$W7224)=0),COUNTIFS('①在庫を貼る'!$V$6:$V$10005,$V7224,'①在庫を貼る'!$W$6:$W$10005,$W7224)&gt;0),N(U7223),N(U7223)+1))</f>
        <v/>
      </c>
      <c r="V7224" s="19">
        <f>IF($B7224="","",TEXT($B7224,"0000"))</f>
        <v/>
      </c>
      <c r="W7224" s="19">
        <f>IF($I7224="","",IF(ISNUMBER($I7224),TEXT($I7224,"0"),$I7224))</f>
        <v/>
      </c>
    </row>
    <row r="7225">
      <c r="B7225" s="25" t="n"/>
      <c r="I7225" s="25" t="n"/>
      <c r="U7225" s="19">
        <f>IF($V7225&lt;&gt;'設定'!$C$4,N(U7224),IF(OR(NOT(COUNTIF('商品マスタ'!$B$6:$B$1005,$W7225)=0),COUNTIFS('①在庫を貼る'!$V$6:$V$10005,$V7225,'①在庫を貼る'!$W$6:$W$10005,$W7225)&gt;0),N(U7224),N(U7224)+1))</f>
        <v/>
      </c>
      <c r="V7225" s="19">
        <f>IF($B7225="","",TEXT($B7225,"0000"))</f>
        <v/>
      </c>
      <c r="W7225" s="19">
        <f>IF($I7225="","",IF(ISNUMBER($I7225),TEXT($I7225,"0"),$I7225))</f>
        <v/>
      </c>
    </row>
    <row r="7226">
      <c r="B7226" s="25" t="n"/>
      <c r="I7226" s="25" t="n"/>
      <c r="U7226" s="19">
        <f>IF($V7226&lt;&gt;'設定'!$C$4,N(U7225),IF(OR(NOT(COUNTIF('商品マスタ'!$B$6:$B$1005,$W7226)=0),COUNTIFS('①在庫を貼る'!$V$6:$V$10005,$V7226,'①在庫を貼る'!$W$6:$W$10005,$W7226)&gt;0),N(U7225),N(U7225)+1))</f>
        <v/>
      </c>
      <c r="V7226" s="19">
        <f>IF($B7226="","",TEXT($B7226,"0000"))</f>
        <v/>
      </c>
      <c r="W7226" s="19">
        <f>IF($I7226="","",IF(ISNUMBER($I7226),TEXT($I7226,"0"),$I7226))</f>
        <v/>
      </c>
    </row>
    <row r="7227">
      <c r="B7227" s="25" t="n"/>
      <c r="I7227" s="25" t="n"/>
      <c r="U7227" s="19">
        <f>IF($V7227&lt;&gt;'設定'!$C$4,N(U7226),IF(OR(NOT(COUNTIF('商品マスタ'!$B$6:$B$1005,$W7227)=0),COUNTIFS('①在庫を貼る'!$V$6:$V$10005,$V7227,'①在庫を貼る'!$W$6:$W$10005,$W7227)&gt;0),N(U7226),N(U7226)+1))</f>
        <v/>
      </c>
      <c r="V7227" s="19">
        <f>IF($B7227="","",TEXT($B7227,"0000"))</f>
        <v/>
      </c>
      <c r="W7227" s="19">
        <f>IF($I7227="","",IF(ISNUMBER($I7227),TEXT($I7227,"0"),$I7227))</f>
        <v/>
      </c>
    </row>
    <row r="7228">
      <c r="B7228" s="25" t="n"/>
      <c r="I7228" s="25" t="n"/>
      <c r="U7228" s="19">
        <f>IF($V7228&lt;&gt;'設定'!$C$4,N(U7227),IF(OR(NOT(COUNTIF('商品マスタ'!$B$6:$B$1005,$W7228)=0),COUNTIFS('①在庫を貼る'!$V$6:$V$10005,$V7228,'①在庫を貼る'!$W$6:$W$10005,$W7228)&gt;0),N(U7227),N(U7227)+1))</f>
        <v/>
      </c>
      <c r="V7228" s="19">
        <f>IF($B7228="","",TEXT($B7228,"0000"))</f>
        <v/>
      </c>
      <c r="W7228" s="19">
        <f>IF($I7228="","",IF(ISNUMBER($I7228),TEXT($I7228,"0"),$I7228))</f>
        <v/>
      </c>
    </row>
    <row r="7229">
      <c r="B7229" s="25" t="n"/>
      <c r="I7229" s="25" t="n"/>
      <c r="U7229" s="19">
        <f>IF($V7229&lt;&gt;'設定'!$C$4,N(U7228),IF(OR(NOT(COUNTIF('商品マスタ'!$B$6:$B$1005,$W7229)=0),COUNTIFS('①在庫を貼る'!$V$6:$V$10005,$V7229,'①在庫を貼る'!$W$6:$W$10005,$W7229)&gt;0),N(U7228),N(U7228)+1))</f>
        <v/>
      </c>
      <c r="V7229" s="19">
        <f>IF($B7229="","",TEXT($B7229,"0000"))</f>
        <v/>
      </c>
      <c r="W7229" s="19">
        <f>IF($I7229="","",IF(ISNUMBER($I7229),TEXT($I7229,"0"),$I7229))</f>
        <v/>
      </c>
    </row>
    <row r="7230">
      <c r="B7230" s="25" t="n"/>
      <c r="I7230" s="25" t="n"/>
      <c r="U7230" s="19">
        <f>IF($V7230&lt;&gt;'設定'!$C$4,N(U7229),IF(OR(NOT(COUNTIF('商品マスタ'!$B$6:$B$1005,$W7230)=0),COUNTIFS('①在庫を貼る'!$V$6:$V$10005,$V7230,'①在庫を貼る'!$W$6:$W$10005,$W7230)&gt;0),N(U7229),N(U7229)+1))</f>
        <v/>
      </c>
      <c r="V7230" s="19">
        <f>IF($B7230="","",TEXT($B7230,"0000"))</f>
        <v/>
      </c>
      <c r="W7230" s="19">
        <f>IF($I7230="","",IF(ISNUMBER($I7230),TEXT($I7230,"0"),$I7230))</f>
        <v/>
      </c>
    </row>
    <row r="7231">
      <c r="B7231" s="25" t="n"/>
      <c r="I7231" s="25" t="n"/>
      <c r="U7231" s="19">
        <f>IF($V7231&lt;&gt;'設定'!$C$4,N(U7230),IF(OR(NOT(COUNTIF('商品マスタ'!$B$6:$B$1005,$W7231)=0),COUNTIFS('①在庫を貼る'!$V$6:$V$10005,$V7231,'①在庫を貼る'!$W$6:$W$10005,$W7231)&gt;0),N(U7230),N(U7230)+1))</f>
        <v/>
      </c>
      <c r="V7231" s="19">
        <f>IF($B7231="","",TEXT($B7231,"0000"))</f>
        <v/>
      </c>
      <c r="W7231" s="19">
        <f>IF($I7231="","",IF(ISNUMBER($I7231),TEXT($I7231,"0"),$I7231))</f>
        <v/>
      </c>
    </row>
    <row r="7232">
      <c r="B7232" s="25" t="n"/>
      <c r="I7232" s="25" t="n"/>
      <c r="U7232" s="19">
        <f>IF($V7232&lt;&gt;'設定'!$C$4,N(U7231),IF(OR(NOT(COUNTIF('商品マスタ'!$B$6:$B$1005,$W7232)=0),COUNTIFS('①在庫を貼る'!$V$6:$V$10005,$V7232,'①在庫を貼る'!$W$6:$W$10005,$W7232)&gt;0),N(U7231),N(U7231)+1))</f>
        <v/>
      </c>
      <c r="V7232" s="19">
        <f>IF($B7232="","",TEXT($B7232,"0000"))</f>
        <v/>
      </c>
      <c r="W7232" s="19">
        <f>IF($I7232="","",IF(ISNUMBER($I7232),TEXT($I7232,"0"),$I7232))</f>
        <v/>
      </c>
    </row>
    <row r="7233">
      <c r="B7233" s="25" t="n"/>
      <c r="I7233" s="25" t="n"/>
      <c r="U7233" s="19">
        <f>IF($V7233&lt;&gt;'設定'!$C$4,N(U7232),IF(OR(NOT(COUNTIF('商品マスタ'!$B$6:$B$1005,$W7233)=0),COUNTIFS('①在庫を貼る'!$V$6:$V$10005,$V7233,'①在庫を貼る'!$W$6:$W$10005,$W7233)&gt;0),N(U7232),N(U7232)+1))</f>
        <v/>
      </c>
      <c r="V7233" s="19">
        <f>IF($B7233="","",TEXT($B7233,"0000"))</f>
        <v/>
      </c>
      <c r="W7233" s="19">
        <f>IF($I7233="","",IF(ISNUMBER($I7233),TEXT($I7233,"0"),$I7233))</f>
        <v/>
      </c>
    </row>
    <row r="7234">
      <c r="B7234" s="25" t="n"/>
      <c r="I7234" s="25" t="n"/>
      <c r="U7234" s="19">
        <f>IF($V7234&lt;&gt;'設定'!$C$4,N(U7233),IF(OR(NOT(COUNTIF('商品マスタ'!$B$6:$B$1005,$W7234)=0),COUNTIFS('①在庫を貼る'!$V$6:$V$10005,$V7234,'①在庫を貼る'!$W$6:$W$10005,$W7234)&gt;0),N(U7233),N(U7233)+1))</f>
        <v/>
      </c>
      <c r="V7234" s="19">
        <f>IF($B7234="","",TEXT($B7234,"0000"))</f>
        <v/>
      </c>
      <c r="W7234" s="19">
        <f>IF($I7234="","",IF(ISNUMBER($I7234),TEXT($I7234,"0"),$I7234))</f>
        <v/>
      </c>
    </row>
    <row r="7235">
      <c r="B7235" s="25" t="n"/>
      <c r="I7235" s="25" t="n"/>
      <c r="U7235" s="19">
        <f>IF($V7235&lt;&gt;'設定'!$C$4,N(U7234),IF(OR(NOT(COUNTIF('商品マスタ'!$B$6:$B$1005,$W7235)=0),COUNTIFS('①在庫を貼る'!$V$6:$V$10005,$V7235,'①在庫を貼る'!$W$6:$W$10005,$W7235)&gt;0),N(U7234),N(U7234)+1))</f>
        <v/>
      </c>
      <c r="V7235" s="19">
        <f>IF($B7235="","",TEXT($B7235,"0000"))</f>
        <v/>
      </c>
      <c r="W7235" s="19">
        <f>IF($I7235="","",IF(ISNUMBER($I7235),TEXT($I7235,"0"),$I7235))</f>
        <v/>
      </c>
    </row>
    <row r="7236">
      <c r="B7236" s="25" t="n"/>
      <c r="I7236" s="25" t="n"/>
      <c r="U7236" s="19">
        <f>IF($V7236&lt;&gt;'設定'!$C$4,N(U7235),IF(OR(NOT(COUNTIF('商品マスタ'!$B$6:$B$1005,$W7236)=0),COUNTIFS('①在庫を貼る'!$V$6:$V$10005,$V7236,'①在庫を貼る'!$W$6:$W$10005,$W7236)&gt;0),N(U7235),N(U7235)+1))</f>
        <v/>
      </c>
      <c r="V7236" s="19">
        <f>IF($B7236="","",TEXT($B7236,"0000"))</f>
        <v/>
      </c>
      <c r="W7236" s="19">
        <f>IF($I7236="","",IF(ISNUMBER($I7236),TEXT($I7236,"0"),$I7236))</f>
        <v/>
      </c>
    </row>
    <row r="7237">
      <c r="B7237" s="25" t="n"/>
      <c r="I7237" s="25" t="n"/>
      <c r="U7237" s="19">
        <f>IF($V7237&lt;&gt;'設定'!$C$4,N(U7236),IF(OR(NOT(COUNTIF('商品マスタ'!$B$6:$B$1005,$W7237)=0),COUNTIFS('①在庫を貼る'!$V$6:$V$10005,$V7237,'①在庫を貼る'!$W$6:$W$10005,$W7237)&gt;0),N(U7236),N(U7236)+1))</f>
        <v/>
      </c>
      <c r="V7237" s="19">
        <f>IF($B7237="","",TEXT($B7237,"0000"))</f>
        <v/>
      </c>
      <c r="W7237" s="19">
        <f>IF($I7237="","",IF(ISNUMBER($I7237),TEXT($I7237,"0"),$I7237))</f>
        <v/>
      </c>
    </row>
    <row r="7238">
      <c r="B7238" s="25" t="n"/>
      <c r="I7238" s="25" t="n"/>
      <c r="U7238" s="19">
        <f>IF($V7238&lt;&gt;'設定'!$C$4,N(U7237),IF(OR(NOT(COUNTIF('商品マスタ'!$B$6:$B$1005,$W7238)=0),COUNTIFS('①在庫を貼る'!$V$6:$V$10005,$V7238,'①在庫を貼る'!$W$6:$W$10005,$W7238)&gt;0),N(U7237),N(U7237)+1))</f>
        <v/>
      </c>
      <c r="V7238" s="19">
        <f>IF($B7238="","",TEXT($B7238,"0000"))</f>
        <v/>
      </c>
      <c r="W7238" s="19">
        <f>IF($I7238="","",IF(ISNUMBER($I7238),TEXT($I7238,"0"),$I7238))</f>
        <v/>
      </c>
    </row>
    <row r="7239">
      <c r="B7239" s="25" t="n"/>
      <c r="I7239" s="25" t="n"/>
      <c r="U7239" s="19">
        <f>IF($V7239&lt;&gt;'設定'!$C$4,N(U7238),IF(OR(NOT(COUNTIF('商品マスタ'!$B$6:$B$1005,$W7239)=0),COUNTIFS('①在庫を貼る'!$V$6:$V$10005,$V7239,'①在庫を貼る'!$W$6:$W$10005,$W7239)&gt;0),N(U7238),N(U7238)+1))</f>
        <v/>
      </c>
      <c r="V7239" s="19">
        <f>IF($B7239="","",TEXT($B7239,"0000"))</f>
        <v/>
      </c>
      <c r="W7239" s="19">
        <f>IF($I7239="","",IF(ISNUMBER($I7239),TEXT($I7239,"0"),$I7239))</f>
        <v/>
      </c>
    </row>
    <row r="7240">
      <c r="B7240" s="25" t="n"/>
      <c r="I7240" s="25" t="n"/>
      <c r="U7240" s="19">
        <f>IF($V7240&lt;&gt;'設定'!$C$4,N(U7239),IF(OR(NOT(COUNTIF('商品マスタ'!$B$6:$B$1005,$W7240)=0),COUNTIFS('①在庫を貼る'!$V$6:$V$10005,$V7240,'①在庫を貼る'!$W$6:$W$10005,$W7240)&gt;0),N(U7239),N(U7239)+1))</f>
        <v/>
      </c>
      <c r="V7240" s="19">
        <f>IF($B7240="","",TEXT($B7240,"0000"))</f>
        <v/>
      </c>
      <c r="W7240" s="19">
        <f>IF($I7240="","",IF(ISNUMBER($I7240),TEXT($I7240,"0"),$I7240))</f>
        <v/>
      </c>
    </row>
    <row r="7241">
      <c r="B7241" s="25" t="n"/>
      <c r="I7241" s="25" t="n"/>
      <c r="U7241" s="19">
        <f>IF($V7241&lt;&gt;'設定'!$C$4,N(U7240),IF(OR(NOT(COUNTIF('商品マスタ'!$B$6:$B$1005,$W7241)=0),COUNTIFS('①在庫を貼る'!$V$6:$V$10005,$V7241,'①在庫を貼る'!$W$6:$W$10005,$W7241)&gt;0),N(U7240),N(U7240)+1))</f>
        <v/>
      </c>
      <c r="V7241" s="19">
        <f>IF($B7241="","",TEXT($B7241,"0000"))</f>
        <v/>
      </c>
      <c r="W7241" s="19">
        <f>IF($I7241="","",IF(ISNUMBER($I7241),TEXT($I7241,"0"),$I7241))</f>
        <v/>
      </c>
    </row>
    <row r="7242">
      <c r="B7242" s="25" t="n"/>
      <c r="I7242" s="25" t="n"/>
      <c r="U7242" s="19">
        <f>IF($V7242&lt;&gt;'設定'!$C$4,N(U7241),IF(OR(NOT(COUNTIF('商品マスタ'!$B$6:$B$1005,$W7242)=0),COUNTIFS('①在庫を貼る'!$V$6:$V$10005,$V7242,'①在庫を貼る'!$W$6:$W$10005,$W7242)&gt;0),N(U7241),N(U7241)+1))</f>
        <v/>
      </c>
      <c r="V7242" s="19">
        <f>IF($B7242="","",TEXT($B7242,"0000"))</f>
        <v/>
      </c>
      <c r="W7242" s="19">
        <f>IF($I7242="","",IF(ISNUMBER($I7242),TEXT($I7242,"0"),$I7242))</f>
        <v/>
      </c>
    </row>
    <row r="7243">
      <c r="B7243" s="25" t="n"/>
      <c r="I7243" s="25" t="n"/>
      <c r="U7243" s="19">
        <f>IF($V7243&lt;&gt;'設定'!$C$4,N(U7242),IF(OR(NOT(COUNTIF('商品マスタ'!$B$6:$B$1005,$W7243)=0),COUNTIFS('①在庫を貼る'!$V$6:$V$10005,$V7243,'①在庫を貼る'!$W$6:$W$10005,$W7243)&gt;0),N(U7242),N(U7242)+1))</f>
        <v/>
      </c>
      <c r="V7243" s="19">
        <f>IF($B7243="","",TEXT($B7243,"0000"))</f>
        <v/>
      </c>
      <c r="W7243" s="19">
        <f>IF($I7243="","",IF(ISNUMBER($I7243),TEXT($I7243,"0"),$I7243))</f>
        <v/>
      </c>
    </row>
    <row r="7244">
      <c r="B7244" s="25" t="n"/>
      <c r="I7244" s="25" t="n"/>
      <c r="U7244" s="19">
        <f>IF($V7244&lt;&gt;'設定'!$C$4,N(U7243),IF(OR(NOT(COUNTIF('商品マスタ'!$B$6:$B$1005,$W7244)=0),COUNTIFS('①在庫を貼る'!$V$6:$V$10005,$V7244,'①在庫を貼る'!$W$6:$W$10005,$W7244)&gt;0),N(U7243),N(U7243)+1))</f>
        <v/>
      </c>
      <c r="V7244" s="19">
        <f>IF($B7244="","",TEXT($B7244,"0000"))</f>
        <v/>
      </c>
      <c r="W7244" s="19">
        <f>IF($I7244="","",IF(ISNUMBER($I7244),TEXT($I7244,"0"),$I7244))</f>
        <v/>
      </c>
    </row>
    <row r="7245">
      <c r="B7245" s="25" t="n"/>
      <c r="I7245" s="25" t="n"/>
      <c r="U7245" s="19">
        <f>IF($V7245&lt;&gt;'設定'!$C$4,N(U7244),IF(OR(NOT(COUNTIF('商品マスタ'!$B$6:$B$1005,$W7245)=0),COUNTIFS('①在庫を貼る'!$V$6:$V$10005,$V7245,'①在庫を貼る'!$W$6:$W$10005,$W7245)&gt;0),N(U7244),N(U7244)+1))</f>
        <v/>
      </c>
      <c r="V7245" s="19">
        <f>IF($B7245="","",TEXT($B7245,"0000"))</f>
        <v/>
      </c>
      <c r="W7245" s="19">
        <f>IF($I7245="","",IF(ISNUMBER($I7245),TEXT($I7245,"0"),$I7245))</f>
        <v/>
      </c>
    </row>
    <row r="7246">
      <c r="B7246" s="25" t="n"/>
      <c r="I7246" s="25" t="n"/>
      <c r="U7246" s="19">
        <f>IF($V7246&lt;&gt;'設定'!$C$4,N(U7245),IF(OR(NOT(COUNTIF('商品マスタ'!$B$6:$B$1005,$W7246)=0),COUNTIFS('①在庫を貼る'!$V$6:$V$10005,$V7246,'①在庫を貼る'!$W$6:$W$10005,$W7246)&gt;0),N(U7245),N(U7245)+1))</f>
        <v/>
      </c>
      <c r="V7246" s="19">
        <f>IF($B7246="","",TEXT($B7246,"0000"))</f>
        <v/>
      </c>
      <c r="W7246" s="19">
        <f>IF($I7246="","",IF(ISNUMBER($I7246),TEXT($I7246,"0"),$I7246))</f>
        <v/>
      </c>
    </row>
    <row r="7247">
      <c r="B7247" s="25" t="n"/>
      <c r="I7247" s="25" t="n"/>
      <c r="U7247" s="19">
        <f>IF($V7247&lt;&gt;'設定'!$C$4,N(U7246),IF(OR(NOT(COUNTIF('商品マスタ'!$B$6:$B$1005,$W7247)=0),COUNTIFS('①在庫を貼る'!$V$6:$V$10005,$V7247,'①在庫を貼る'!$W$6:$W$10005,$W7247)&gt;0),N(U7246),N(U7246)+1))</f>
        <v/>
      </c>
      <c r="V7247" s="19">
        <f>IF($B7247="","",TEXT($B7247,"0000"))</f>
        <v/>
      </c>
      <c r="W7247" s="19">
        <f>IF($I7247="","",IF(ISNUMBER($I7247),TEXT($I7247,"0"),$I7247))</f>
        <v/>
      </c>
    </row>
    <row r="7248">
      <c r="B7248" s="25" t="n"/>
      <c r="I7248" s="25" t="n"/>
      <c r="U7248" s="19">
        <f>IF($V7248&lt;&gt;'設定'!$C$4,N(U7247),IF(OR(NOT(COUNTIF('商品マスタ'!$B$6:$B$1005,$W7248)=0),COUNTIFS('①在庫を貼る'!$V$6:$V$10005,$V7248,'①在庫を貼る'!$W$6:$W$10005,$W7248)&gt;0),N(U7247),N(U7247)+1))</f>
        <v/>
      </c>
      <c r="V7248" s="19">
        <f>IF($B7248="","",TEXT($B7248,"0000"))</f>
        <v/>
      </c>
      <c r="W7248" s="19">
        <f>IF($I7248="","",IF(ISNUMBER($I7248),TEXT($I7248,"0"),$I7248))</f>
        <v/>
      </c>
    </row>
    <row r="7249">
      <c r="B7249" s="25" t="n"/>
      <c r="I7249" s="25" t="n"/>
      <c r="U7249" s="19">
        <f>IF($V7249&lt;&gt;'設定'!$C$4,N(U7248),IF(OR(NOT(COUNTIF('商品マスタ'!$B$6:$B$1005,$W7249)=0),COUNTIFS('①在庫を貼る'!$V$6:$V$10005,$V7249,'①在庫を貼る'!$W$6:$W$10005,$W7249)&gt;0),N(U7248),N(U7248)+1))</f>
        <v/>
      </c>
      <c r="V7249" s="19">
        <f>IF($B7249="","",TEXT($B7249,"0000"))</f>
        <v/>
      </c>
      <c r="W7249" s="19">
        <f>IF($I7249="","",IF(ISNUMBER($I7249),TEXT($I7249,"0"),$I7249))</f>
        <v/>
      </c>
    </row>
    <row r="7250">
      <c r="B7250" s="25" t="n"/>
      <c r="I7250" s="25" t="n"/>
      <c r="U7250" s="19">
        <f>IF($V7250&lt;&gt;'設定'!$C$4,N(U7249),IF(OR(NOT(COUNTIF('商品マスタ'!$B$6:$B$1005,$W7250)=0),COUNTIFS('①在庫を貼る'!$V$6:$V$10005,$V7250,'①在庫を貼る'!$W$6:$W$10005,$W7250)&gt;0),N(U7249),N(U7249)+1))</f>
        <v/>
      </c>
      <c r="V7250" s="19">
        <f>IF($B7250="","",TEXT($B7250,"0000"))</f>
        <v/>
      </c>
      <c r="W7250" s="19">
        <f>IF($I7250="","",IF(ISNUMBER($I7250),TEXT($I7250,"0"),$I7250))</f>
        <v/>
      </c>
    </row>
    <row r="7251">
      <c r="B7251" s="25" t="n"/>
      <c r="I7251" s="25" t="n"/>
      <c r="U7251" s="19">
        <f>IF($V7251&lt;&gt;'設定'!$C$4,N(U7250),IF(OR(NOT(COUNTIF('商品マスタ'!$B$6:$B$1005,$W7251)=0),COUNTIFS('①在庫を貼る'!$V$6:$V$10005,$V7251,'①在庫を貼る'!$W$6:$W$10005,$W7251)&gt;0),N(U7250),N(U7250)+1))</f>
        <v/>
      </c>
      <c r="V7251" s="19">
        <f>IF($B7251="","",TEXT($B7251,"0000"))</f>
        <v/>
      </c>
      <c r="W7251" s="19">
        <f>IF($I7251="","",IF(ISNUMBER($I7251),TEXT($I7251,"0"),$I7251))</f>
        <v/>
      </c>
    </row>
    <row r="7252">
      <c r="B7252" s="25" t="n"/>
      <c r="I7252" s="25" t="n"/>
      <c r="U7252" s="19">
        <f>IF($V7252&lt;&gt;'設定'!$C$4,N(U7251),IF(OR(NOT(COUNTIF('商品マスタ'!$B$6:$B$1005,$W7252)=0),COUNTIFS('①在庫を貼る'!$V$6:$V$10005,$V7252,'①在庫を貼る'!$W$6:$W$10005,$W7252)&gt;0),N(U7251),N(U7251)+1))</f>
        <v/>
      </c>
      <c r="V7252" s="19">
        <f>IF($B7252="","",TEXT($B7252,"0000"))</f>
        <v/>
      </c>
      <c r="W7252" s="19">
        <f>IF($I7252="","",IF(ISNUMBER($I7252),TEXT($I7252,"0"),$I7252))</f>
        <v/>
      </c>
    </row>
    <row r="7253">
      <c r="B7253" s="25" t="n"/>
      <c r="I7253" s="25" t="n"/>
      <c r="U7253" s="19">
        <f>IF($V7253&lt;&gt;'設定'!$C$4,N(U7252),IF(OR(NOT(COUNTIF('商品マスタ'!$B$6:$B$1005,$W7253)=0),COUNTIFS('①在庫を貼る'!$V$6:$V$10005,$V7253,'①在庫を貼る'!$W$6:$W$10005,$W7253)&gt;0),N(U7252),N(U7252)+1))</f>
        <v/>
      </c>
      <c r="V7253" s="19">
        <f>IF($B7253="","",TEXT($B7253,"0000"))</f>
        <v/>
      </c>
      <c r="W7253" s="19">
        <f>IF($I7253="","",IF(ISNUMBER($I7253),TEXT($I7253,"0"),$I7253))</f>
        <v/>
      </c>
    </row>
    <row r="7254">
      <c r="B7254" s="25" t="n"/>
      <c r="I7254" s="25" t="n"/>
      <c r="U7254" s="19">
        <f>IF($V7254&lt;&gt;'設定'!$C$4,N(U7253),IF(OR(NOT(COUNTIF('商品マスタ'!$B$6:$B$1005,$W7254)=0),COUNTIFS('①在庫を貼る'!$V$6:$V$10005,$V7254,'①在庫を貼る'!$W$6:$W$10005,$W7254)&gt;0),N(U7253),N(U7253)+1))</f>
        <v/>
      </c>
      <c r="V7254" s="19">
        <f>IF($B7254="","",TEXT($B7254,"0000"))</f>
        <v/>
      </c>
      <c r="W7254" s="19">
        <f>IF($I7254="","",IF(ISNUMBER($I7254),TEXT($I7254,"0"),$I7254))</f>
        <v/>
      </c>
    </row>
    <row r="7255">
      <c r="B7255" s="25" t="n"/>
      <c r="I7255" s="25" t="n"/>
      <c r="U7255" s="19">
        <f>IF($V7255&lt;&gt;'設定'!$C$4,N(U7254),IF(OR(NOT(COUNTIF('商品マスタ'!$B$6:$B$1005,$W7255)=0),COUNTIFS('①在庫を貼る'!$V$6:$V$10005,$V7255,'①在庫を貼る'!$W$6:$W$10005,$W7255)&gt;0),N(U7254),N(U7254)+1))</f>
        <v/>
      </c>
      <c r="V7255" s="19">
        <f>IF($B7255="","",TEXT($B7255,"0000"))</f>
        <v/>
      </c>
      <c r="W7255" s="19">
        <f>IF($I7255="","",IF(ISNUMBER($I7255),TEXT($I7255,"0"),$I7255))</f>
        <v/>
      </c>
    </row>
    <row r="7256">
      <c r="B7256" s="25" t="n"/>
      <c r="I7256" s="25" t="n"/>
      <c r="U7256" s="19">
        <f>IF($V7256&lt;&gt;'設定'!$C$4,N(U7255),IF(OR(NOT(COUNTIF('商品マスタ'!$B$6:$B$1005,$W7256)=0),COUNTIFS('①在庫を貼る'!$V$6:$V$10005,$V7256,'①在庫を貼る'!$W$6:$W$10005,$W7256)&gt;0),N(U7255),N(U7255)+1))</f>
        <v/>
      </c>
      <c r="V7256" s="19">
        <f>IF($B7256="","",TEXT($B7256,"0000"))</f>
        <v/>
      </c>
      <c r="W7256" s="19">
        <f>IF($I7256="","",IF(ISNUMBER($I7256),TEXT($I7256,"0"),$I7256))</f>
        <v/>
      </c>
    </row>
    <row r="7257">
      <c r="B7257" s="25" t="n"/>
      <c r="I7257" s="25" t="n"/>
      <c r="U7257" s="19">
        <f>IF($V7257&lt;&gt;'設定'!$C$4,N(U7256),IF(OR(NOT(COUNTIF('商品マスタ'!$B$6:$B$1005,$W7257)=0),COUNTIFS('①在庫を貼る'!$V$6:$V$10005,$V7257,'①在庫を貼る'!$W$6:$W$10005,$W7257)&gt;0),N(U7256),N(U7256)+1))</f>
        <v/>
      </c>
      <c r="V7257" s="19">
        <f>IF($B7257="","",TEXT($B7257,"0000"))</f>
        <v/>
      </c>
      <c r="W7257" s="19">
        <f>IF($I7257="","",IF(ISNUMBER($I7257),TEXT($I7257,"0"),$I7257))</f>
        <v/>
      </c>
    </row>
    <row r="7258">
      <c r="B7258" s="25" t="n"/>
      <c r="I7258" s="25" t="n"/>
      <c r="U7258" s="19">
        <f>IF($V7258&lt;&gt;'設定'!$C$4,N(U7257),IF(OR(NOT(COUNTIF('商品マスタ'!$B$6:$B$1005,$W7258)=0),COUNTIFS('①在庫を貼る'!$V$6:$V$10005,$V7258,'①在庫を貼る'!$W$6:$W$10005,$W7258)&gt;0),N(U7257),N(U7257)+1))</f>
        <v/>
      </c>
      <c r="V7258" s="19">
        <f>IF($B7258="","",TEXT($B7258,"0000"))</f>
        <v/>
      </c>
      <c r="W7258" s="19">
        <f>IF($I7258="","",IF(ISNUMBER($I7258),TEXT($I7258,"0"),$I7258))</f>
        <v/>
      </c>
    </row>
    <row r="7259">
      <c r="B7259" s="25" t="n"/>
      <c r="I7259" s="25" t="n"/>
      <c r="U7259" s="19">
        <f>IF($V7259&lt;&gt;'設定'!$C$4,N(U7258),IF(OR(NOT(COUNTIF('商品マスタ'!$B$6:$B$1005,$W7259)=0),COUNTIFS('①在庫を貼る'!$V$6:$V$10005,$V7259,'①在庫を貼る'!$W$6:$W$10005,$W7259)&gt;0),N(U7258),N(U7258)+1))</f>
        <v/>
      </c>
      <c r="V7259" s="19">
        <f>IF($B7259="","",TEXT($B7259,"0000"))</f>
        <v/>
      </c>
      <c r="W7259" s="19">
        <f>IF($I7259="","",IF(ISNUMBER($I7259),TEXT($I7259,"0"),$I7259))</f>
        <v/>
      </c>
    </row>
    <row r="7260">
      <c r="B7260" s="25" t="n"/>
      <c r="I7260" s="25" t="n"/>
      <c r="U7260" s="19">
        <f>IF($V7260&lt;&gt;'設定'!$C$4,N(U7259),IF(OR(NOT(COUNTIF('商品マスタ'!$B$6:$B$1005,$W7260)=0),COUNTIFS('①在庫を貼る'!$V$6:$V$10005,$V7260,'①在庫を貼る'!$W$6:$W$10005,$W7260)&gt;0),N(U7259),N(U7259)+1))</f>
        <v/>
      </c>
      <c r="V7260" s="19">
        <f>IF($B7260="","",TEXT($B7260,"0000"))</f>
        <v/>
      </c>
      <c r="W7260" s="19">
        <f>IF($I7260="","",IF(ISNUMBER($I7260),TEXT($I7260,"0"),$I7260))</f>
        <v/>
      </c>
    </row>
    <row r="7261">
      <c r="B7261" s="25" t="n"/>
      <c r="I7261" s="25" t="n"/>
      <c r="U7261" s="19">
        <f>IF($V7261&lt;&gt;'設定'!$C$4,N(U7260),IF(OR(NOT(COUNTIF('商品マスタ'!$B$6:$B$1005,$W7261)=0),COUNTIFS('①在庫を貼る'!$V$6:$V$10005,$V7261,'①在庫を貼る'!$W$6:$W$10005,$W7261)&gt;0),N(U7260),N(U7260)+1))</f>
        <v/>
      </c>
      <c r="V7261" s="19">
        <f>IF($B7261="","",TEXT($B7261,"0000"))</f>
        <v/>
      </c>
      <c r="W7261" s="19">
        <f>IF($I7261="","",IF(ISNUMBER($I7261),TEXT($I7261,"0"),$I7261))</f>
        <v/>
      </c>
    </row>
    <row r="7262">
      <c r="B7262" s="25" t="n"/>
      <c r="I7262" s="25" t="n"/>
      <c r="U7262" s="19">
        <f>IF($V7262&lt;&gt;'設定'!$C$4,N(U7261),IF(OR(NOT(COUNTIF('商品マスタ'!$B$6:$B$1005,$W7262)=0),COUNTIFS('①在庫を貼る'!$V$6:$V$10005,$V7262,'①在庫を貼る'!$W$6:$W$10005,$W7262)&gt;0),N(U7261),N(U7261)+1))</f>
        <v/>
      </c>
      <c r="V7262" s="19">
        <f>IF($B7262="","",TEXT($B7262,"0000"))</f>
        <v/>
      </c>
      <c r="W7262" s="19">
        <f>IF($I7262="","",IF(ISNUMBER($I7262),TEXT($I7262,"0"),$I7262))</f>
        <v/>
      </c>
    </row>
    <row r="7263">
      <c r="B7263" s="25" t="n"/>
      <c r="I7263" s="25" t="n"/>
      <c r="U7263" s="19">
        <f>IF($V7263&lt;&gt;'設定'!$C$4,N(U7262),IF(OR(NOT(COUNTIF('商品マスタ'!$B$6:$B$1005,$W7263)=0),COUNTIFS('①在庫を貼る'!$V$6:$V$10005,$V7263,'①在庫を貼る'!$W$6:$W$10005,$W7263)&gt;0),N(U7262),N(U7262)+1))</f>
        <v/>
      </c>
      <c r="V7263" s="19">
        <f>IF($B7263="","",TEXT($B7263,"0000"))</f>
        <v/>
      </c>
      <c r="W7263" s="19">
        <f>IF($I7263="","",IF(ISNUMBER($I7263),TEXT($I7263,"0"),$I7263))</f>
        <v/>
      </c>
    </row>
    <row r="7264">
      <c r="B7264" s="25" t="n"/>
      <c r="I7264" s="25" t="n"/>
      <c r="U7264" s="19">
        <f>IF($V7264&lt;&gt;'設定'!$C$4,N(U7263),IF(OR(NOT(COUNTIF('商品マスタ'!$B$6:$B$1005,$W7264)=0),COUNTIFS('①在庫を貼る'!$V$6:$V$10005,$V7264,'①在庫を貼る'!$W$6:$W$10005,$W7264)&gt;0),N(U7263),N(U7263)+1))</f>
        <v/>
      </c>
      <c r="V7264" s="19">
        <f>IF($B7264="","",TEXT($B7264,"0000"))</f>
        <v/>
      </c>
      <c r="W7264" s="19">
        <f>IF($I7264="","",IF(ISNUMBER($I7264),TEXT($I7264,"0"),$I7264))</f>
        <v/>
      </c>
    </row>
    <row r="7265">
      <c r="B7265" s="25" t="n"/>
      <c r="I7265" s="25" t="n"/>
      <c r="U7265" s="19">
        <f>IF($V7265&lt;&gt;'設定'!$C$4,N(U7264),IF(OR(NOT(COUNTIF('商品マスタ'!$B$6:$B$1005,$W7265)=0),COUNTIFS('①在庫を貼る'!$V$6:$V$10005,$V7265,'①在庫を貼る'!$W$6:$W$10005,$W7265)&gt;0),N(U7264),N(U7264)+1))</f>
        <v/>
      </c>
      <c r="V7265" s="19">
        <f>IF($B7265="","",TEXT($B7265,"0000"))</f>
        <v/>
      </c>
      <c r="W7265" s="19">
        <f>IF($I7265="","",IF(ISNUMBER($I7265),TEXT($I7265,"0"),$I7265))</f>
        <v/>
      </c>
    </row>
    <row r="7266">
      <c r="B7266" s="25" t="n"/>
      <c r="I7266" s="25" t="n"/>
      <c r="U7266" s="19">
        <f>IF($V7266&lt;&gt;'設定'!$C$4,N(U7265),IF(OR(NOT(COUNTIF('商品マスタ'!$B$6:$B$1005,$W7266)=0),COUNTIFS('①在庫を貼る'!$V$6:$V$10005,$V7266,'①在庫を貼る'!$W$6:$W$10005,$W7266)&gt;0),N(U7265),N(U7265)+1))</f>
        <v/>
      </c>
      <c r="V7266" s="19">
        <f>IF($B7266="","",TEXT($B7266,"0000"))</f>
        <v/>
      </c>
      <c r="W7266" s="19">
        <f>IF($I7266="","",IF(ISNUMBER($I7266),TEXT($I7266,"0"),$I7266))</f>
        <v/>
      </c>
    </row>
    <row r="7267">
      <c r="B7267" s="25" t="n"/>
      <c r="I7267" s="25" t="n"/>
      <c r="U7267" s="19">
        <f>IF($V7267&lt;&gt;'設定'!$C$4,N(U7266),IF(OR(NOT(COUNTIF('商品マスタ'!$B$6:$B$1005,$W7267)=0),COUNTIFS('①在庫を貼る'!$V$6:$V$10005,$V7267,'①在庫を貼る'!$W$6:$W$10005,$W7267)&gt;0),N(U7266),N(U7266)+1))</f>
        <v/>
      </c>
      <c r="V7267" s="19">
        <f>IF($B7267="","",TEXT($B7267,"0000"))</f>
        <v/>
      </c>
      <c r="W7267" s="19">
        <f>IF($I7267="","",IF(ISNUMBER($I7267),TEXT($I7267,"0"),$I7267))</f>
        <v/>
      </c>
    </row>
    <row r="7268">
      <c r="B7268" s="25" t="n"/>
      <c r="I7268" s="25" t="n"/>
      <c r="U7268" s="19">
        <f>IF($V7268&lt;&gt;'設定'!$C$4,N(U7267),IF(OR(NOT(COUNTIF('商品マスタ'!$B$6:$B$1005,$W7268)=0),COUNTIFS('①在庫を貼る'!$V$6:$V$10005,$V7268,'①在庫を貼る'!$W$6:$W$10005,$W7268)&gt;0),N(U7267),N(U7267)+1))</f>
        <v/>
      </c>
      <c r="V7268" s="19">
        <f>IF($B7268="","",TEXT($B7268,"0000"))</f>
        <v/>
      </c>
      <c r="W7268" s="19">
        <f>IF($I7268="","",IF(ISNUMBER($I7268),TEXT($I7268,"0"),$I7268))</f>
        <v/>
      </c>
    </row>
    <row r="7269">
      <c r="B7269" s="25" t="n"/>
      <c r="I7269" s="25" t="n"/>
      <c r="U7269" s="19">
        <f>IF($V7269&lt;&gt;'設定'!$C$4,N(U7268),IF(OR(NOT(COUNTIF('商品マスタ'!$B$6:$B$1005,$W7269)=0),COUNTIFS('①在庫を貼る'!$V$6:$V$10005,$V7269,'①在庫を貼る'!$W$6:$W$10005,$W7269)&gt;0),N(U7268),N(U7268)+1))</f>
        <v/>
      </c>
      <c r="V7269" s="19">
        <f>IF($B7269="","",TEXT($B7269,"0000"))</f>
        <v/>
      </c>
      <c r="W7269" s="19">
        <f>IF($I7269="","",IF(ISNUMBER($I7269),TEXT($I7269,"0"),$I7269))</f>
        <v/>
      </c>
    </row>
    <row r="7270">
      <c r="B7270" s="25" t="n"/>
      <c r="I7270" s="25" t="n"/>
      <c r="U7270" s="19">
        <f>IF($V7270&lt;&gt;'設定'!$C$4,N(U7269),IF(OR(NOT(COUNTIF('商品マスタ'!$B$6:$B$1005,$W7270)=0),COUNTIFS('①在庫を貼る'!$V$6:$V$10005,$V7270,'①在庫を貼る'!$W$6:$W$10005,$W7270)&gt;0),N(U7269),N(U7269)+1))</f>
        <v/>
      </c>
      <c r="V7270" s="19">
        <f>IF($B7270="","",TEXT($B7270,"0000"))</f>
        <v/>
      </c>
      <c r="W7270" s="19">
        <f>IF($I7270="","",IF(ISNUMBER($I7270),TEXT($I7270,"0"),$I7270))</f>
        <v/>
      </c>
    </row>
    <row r="7271">
      <c r="B7271" s="25" t="n"/>
      <c r="I7271" s="25" t="n"/>
      <c r="U7271" s="19">
        <f>IF($V7271&lt;&gt;'設定'!$C$4,N(U7270),IF(OR(NOT(COUNTIF('商品マスタ'!$B$6:$B$1005,$W7271)=0),COUNTIFS('①在庫を貼る'!$V$6:$V$10005,$V7271,'①在庫を貼る'!$W$6:$W$10005,$W7271)&gt;0),N(U7270),N(U7270)+1))</f>
        <v/>
      </c>
      <c r="V7271" s="19">
        <f>IF($B7271="","",TEXT($B7271,"0000"))</f>
        <v/>
      </c>
      <c r="W7271" s="19">
        <f>IF($I7271="","",IF(ISNUMBER($I7271),TEXT($I7271,"0"),$I7271))</f>
        <v/>
      </c>
    </row>
    <row r="7272">
      <c r="B7272" s="25" t="n"/>
      <c r="I7272" s="25" t="n"/>
      <c r="U7272" s="19">
        <f>IF($V7272&lt;&gt;'設定'!$C$4,N(U7271),IF(OR(NOT(COUNTIF('商品マスタ'!$B$6:$B$1005,$W7272)=0),COUNTIFS('①在庫を貼る'!$V$6:$V$10005,$V7272,'①在庫を貼る'!$W$6:$W$10005,$W7272)&gt;0),N(U7271),N(U7271)+1))</f>
        <v/>
      </c>
      <c r="V7272" s="19">
        <f>IF($B7272="","",TEXT($B7272,"0000"))</f>
        <v/>
      </c>
      <c r="W7272" s="19">
        <f>IF($I7272="","",IF(ISNUMBER($I7272),TEXT($I7272,"0"),$I7272))</f>
        <v/>
      </c>
    </row>
    <row r="7273">
      <c r="B7273" s="25" t="n"/>
      <c r="I7273" s="25" t="n"/>
      <c r="U7273" s="19">
        <f>IF($V7273&lt;&gt;'設定'!$C$4,N(U7272),IF(OR(NOT(COUNTIF('商品マスタ'!$B$6:$B$1005,$W7273)=0),COUNTIFS('①在庫を貼る'!$V$6:$V$10005,$V7273,'①在庫を貼る'!$W$6:$W$10005,$W7273)&gt;0),N(U7272),N(U7272)+1))</f>
        <v/>
      </c>
      <c r="V7273" s="19">
        <f>IF($B7273="","",TEXT($B7273,"0000"))</f>
        <v/>
      </c>
      <c r="W7273" s="19">
        <f>IF($I7273="","",IF(ISNUMBER($I7273),TEXT($I7273,"0"),$I7273))</f>
        <v/>
      </c>
    </row>
    <row r="7274">
      <c r="B7274" s="25" t="n"/>
      <c r="I7274" s="25" t="n"/>
      <c r="U7274" s="19">
        <f>IF($V7274&lt;&gt;'設定'!$C$4,N(U7273),IF(OR(NOT(COUNTIF('商品マスタ'!$B$6:$B$1005,$W7274)=0),COUNTIFS('①在庫を貼る'!$V$6:$V$10005,$V7274,'①在庫を貼る'!$W$6:$W$10005,$W7274)&gt;0),N(U7273),N(U7273)+1))</f>
        <v/>
      </c>
      <c r="V7274" s="19">
        <f>IF($B7274="","",TEXT($B7274,"0000"))</f>
        <v/>
      </c>
      <c r="W7274" s="19">
        <f>IF($I7274="","",IF(ISNUMBER($I7274),TEXT($I7274,"0"),$I7274))</f>
        <v/>
      </c>
    </row>
    <row r="7275">
      <c r="B7275" s="25" t="n"/>
      <c r="I7275" s="25" t="n"/>
      <c r="U7275" s="19">
        <f>IF($V7275&lt;&gt;'設定'!$C$4,N(U7274),IF(OR(NOT(COUNTIF('商品マスタ'!$B$6:$B$1005,$W7275)=0),COUNTIFS('①在庫を貼る'!$V$6:$V$10005,$V7275,'①在庫を貼る'!$W$6:$W$10005,$W7275)&gt;0),N(U7274),N(U7274)+1))</f>
        <v/>
      </c>
      <c r="V7275" s="19">
        <f>IF($B7275="","",TEXT($B7275,"0000"))</f>
        <v/>
      </c>
      <c r="W7275" s="19">
        <f>IF($I7275="","",IF(ISNUMBER($I7275),TEXT($I7275,"0"),$I7275))</f>
        <v/>
      </c>
    </row>
    <row r="7276">
      <c r="B7276" s="25" t="n"/>
      <c r="I7276" s="25" t="n"/>
      <c r="U7276" s="19">
        <f>IF($V7276&lt;&gt;'設定'!$C$4,N(U7275),IF(OR(NOT(COUNTIF('商品マスタ'!$B$6:$B$1005,$W7276)=0),COUNTIFS('①在庫を貼る'!$V$6:$V$10005,$V7276,'①在庫を貼る'!$W$6:$W$10005,$W7276)&gt;0),N(U7275),N(U7275)+1))</f>
        <v/>
      </c>
      <c r="V7276" s="19">
        <f>IF($B7276="","",TEXT($B7276,"0000"))</f>
        <v/>
      </c>
      <c r="W7276" s="19">
        <f>IF($I7276="","",IF(ISNUMBER($I7276),TEXT($I7276,"0"),$I7276))</f>
        <v/>
      </c>
    </row>
    <row r="7277">
      <c r="B7277" s="25" t="n"/>
      <c r="I7277" s="25" t="n"/>
      <c r="U7277" s="19">
        <f>IF($V7277&lt;&gt;'設定'!$C$4,N(U7276),IF(OR(NOT(COUNTIF('商品マスタ'!$B$6:$B$1005,$W7277)=0),COUNTIFS('①在庫を貼る'!$V$6:$V$10005,$V7277,'①在庫を貼る'!$W$6:$W$10005,$W7277)&gt;0),N(U7276),N(U7276)+1))</f>
        <v/>
      </c>
      <c r="V7277" s="19">
        <f>IF($B7277="","",TEXT($B7277,"0000"))</f>
        <v/>
      </c>
      <c r="W7277" s="19">
        <f>IF($I7277="","",IF(ISNUMBER($I7277),TEXT($I7277,"0"),$I7277))</f>
        <v/>
      </c>
    </row>
    <row r="7278">
      <c r="B7278" s="25" t="n"/>
      <c r="I7278" s="25" t="n"/>
      <c r="U7278" s="19">
        <f>IF($V7278&lt;&gt;'設定'!$C$4,N(U7277),IF(OR(NOT(COUNTIF('商品マスタ'!$B$6:$B$1005,$W7278)=0),COUNTIFS('①在庫を貼る'!$V$6:$V$10005,$V7278,'①在庫を貼る'!$W$6:$W$10005,$W7278)&gt;0),N(U7277),N(U7277)+1))</f>
        <v/>
      </c>
      <c r="V7278" s="19">
        <f>IF($B7278="","",TEXT($B7278,"0000"))</f>
        <v/>
      </c>
      <c r="W7278" s="19">
        <f>IF($I7278="","",IF(ISNUMBER($I7278),TEXT($I7278,"0"),$I7278))</f>
        <v/>
      </c>
    </row>
    <row r="7279">
      <c r="B7279" s="25" t="n"/>
      <c r="I7279" s="25" t="n"/>
      <c r="U7279" s="19">
        <f>IF($V7279&lt;&gt;'設定'!$C$4,N(U7278),IF(OR(NOT(COUNTIF('商品マスタ'!$B$6:$B$1005,$W7279)=0),COUNTIFS('①在庫を貼る'!$V$6:$V$10005,$V7279,'①在庫を貼る'!$W$6:$W$10005,$W7279)&gt;0),N(U7278),N(U7278)+1))</f>
        <v/>
      </c>
      <c r="V7279" s="19">
        <f>IF($B7279="","",TEXT($B7279,"0000"))</f>
        <v/>
      </c>
      <c r="W7279" s="19">
        <f>IF($I7279="","",IF(ISNUMBER($I7279),TEXT($I7279,"0"),$I7279))</f>
        <v/>
      </c>
    </row>
    <row r="7280">
      <c r="B7280" s="25" t="n"/>
      <c r="I7280" s="25" t="n"/>
      <c r="U7280" s="19">
        <f>IF($V7280&lt;&gt;'設定'!$C$4,N(U7279),IF(OR(NOT(COUNTIF('商品マスタ'!$B$6:$B$1005,$W7280)=0),COUNTIFS('①在庫を貼る'!$V$6:$V$10005,$V7280,'①在庫を貼る'!$W$6:$W$10005,$W7280)&gt;0),N(U7279),N(U7279)+1))</f>
        <v/>
      </c>
      <c r="V7280" s="19">
        <f>IF($B7280="","",TEXT($B7280,"0000"))</f>
        <v/>
      </c>
      <c r="W7280" s="19">
        <f>IF($I7280="","",IF(ISNUMBER($I7280),TEXT($I7280,"0"),$I7280))</f>
        <v/>
      </c>
    </row>
    <row r="7281">
      <c r="B7281" s="25" t="n"/>
      <c r="I7281" s="25" t="n"/>
      <c r="U7281" s="19">
        <f>IF($V7281&lt;&gt;'設定'!$C$4,N(U7280),IF(OR(NOT(COUNTIF('商品マスタ'!$B$6:$B$1005,$W7281)=0),COUNTIFS('①在庫を貼る'!$V$6:$V$10005,$V7281,'①在庫を貼る'!$W$6:$W$10005,$W7281)&gt;0),N(U7280),N(U7280)+1))</f>
        <v/>
      </c>
      <c r="V7281" s="19">
        <f>IF($B7281="","",TEXT($B7281,"0000"))</f>
        <v/>
      </c>
      <c r="W7281" s="19">
        <f>IF($I7281="","",IF(ISNUMBER($I7281),TEXT($I7281,"0"),$I7281))</f>
        <v/>
      </c>
    </row>
    <row r="7282">
      <c r="B7282" s="25" t="n"/>
      <c r="I7282" s="25" t="n"/>
      <c r="U7282" s="19">
        <f>IF($V7282&lt;&gt;'設定'!$C$4,N(U7281),IF(OR(NOT(COUNTIF('商品マスタ'!$B$6:$B$1005,$W7282)=0),COUNTIFS('①在庫を貼る'!$V$6:$V$10005,$V7282,'①在庫を貼る'!$W$6:$W$10005,$W7282)&gt;0),N(U7281),N(U7281)+1))</f>
        <v/>
      </c>
      <c r="V7282" s="19">
        <f>IF($B7282="","",TEXT($B7282,"0000"))</f>
        <v/>
      </c>
      <c r="W7282" s="19">
        <f>IF($I7282="","",IF(ISNUMBER($I7282),TEXT($I7282,"0"),$I7282))</f>
        <v/>
      </c>
    </row>
    <row r="7283">
      <c r="B7283" s="25" t="n"/>
      <c r="I7283" s="25" t="n"/>
      <c r="U7283" s="19">
        <f>IF($V7283&lt;&gt;'設定'!$C$4,N(U7282),IF(OR(NOT(COUNTIF('商品マスタ'!$B$6:$B$1005,$W7283)=0),COUNTIFS('①在庫を貼る'!$V$6:$V$10005,$V7283,'①在庫を貼る'!$W$6:$W$10005,$W7283)&gt;0),N(U7282),N(U7282)+1))</f>
        <v/>
      </c>
      <c r="V7283" s="19">
        <f>IF($B7283="","",TEXT($B7283,"0000"))</f>
        <v/>
      </c>
      <c r="W7283" s="19">
        <f>IF($I7283="","",IF(ISNUMBER($I7283),TEXT($I7283,"0"),$I7283))</f>
        <v/>
      </c>
    </row>
    <row r="7284">
      <c r="B7284" s="25" t="n"/>
      <c r="I7284" s="25" t="n"/>
      <c r="U7284" s="19">
        <f>IF($V7284&lt;&gt;'設定'!$C$4,N(U7283),IF(OR(NOT(COUNTIF('商品マスタ'!$B$6:$B$1005,$W7284)=0),COUNTIFS('①在庫を貼る'!$V$6:$V$10005,$V7284,'①在庫を貼る'!$W$6:$W$10005,$W7284)&gt;0),N(U7283),N(U7283)+1))</f>
        <v/>
      </c>
      <c r="V7284" s="19">
        <f>IF($B7284="","",TEXT($B7284,"0000"))</f>
        <v/>
      </c>
      <c r="W7284" s="19">
        <f>IF($I7284="","",IF(ISNUMBER($I7284),TEXT($I7284,"0"),$I7284))</f>
        <v/>
      </c>
    </row>
    <row r="7285">
      <c r="B7285" s="25" t="n"/>
      <c r="I7285" s="25" t="n"/>
      <c r="U7285" s="19">
        <f>IF($V7285&lt;&gt;'設定'!$C$4,N(U7284),IF(OR(NOT(COUNTIF('商品マスタ'!$B$6:$B$1005,$W7285)=0),COUNTIFS('①在庫を貼る'!$V$6:$V$10005,$V7285,'①在庫を貼る'!$W$6:$W$10005,$W7285)&gt;0),N(U7284),N(U7284)+1))</f>
        <v/>
      </c>
      <c r="V7285" s="19">
        <f>IF($B7285="","",TEXT($B7285,"0000"))</f>
        <v/>
      </c>
      <c r="W7285" s="19">
        <f>IF($I7285="","",IF(ISNUMBER($I7285),TEXT($I7285,"0"),$I7285))</f>
        <v/>
      </c>
    </row>
    <row r="7286">
      <c r="B7286" s="25" t="n"/>
      <c r="I7286" s="25" t="n"/>
      <c r="U7286" s="19">
        <f>IF($V7286&lt;&gt;'設定'!$C$4,N(U7285),IF(OR(NOT(COUNTIF('商品マスタ'!$B$6:$B$1005,$W7286)=0),COUNTIFS('①在庫を貼る'!$V$6:$V$10005,$V7286,'①在庫を貼る'!$W$6:$W$10005,$W7286)&gt;0),N(U7285),N(U7285)+1))</f>
        <v/>
      </c>
      <c r="V7286" s="19">
        <f>IF($B7286="","",TEXT($B7286,"0000"))</f>
        <v/>
      </c>
      <c r="W7286" s="19">
        <f>IF($I7286="","",IF(ISNUMBER($I7286),TEXT($I7286,"0"),$I7286))</f>
        <v/>
      </c>
    </row>
    <row r="7287">
      <c r="B7287" s="25" t="n"/>
      <c r="I7287" s="25" t="n"/>
      <c r="U7287" s="19">
        <f>IF($V7287&lt;&gt;'設定'!$C$4,N(U7286),IF(OR(NOT(COUNTIF('商品マスタ'!$B$6:$B$1005,$W7287)=0),COUNTIFS('①在庫を貼る'!$V$6:$V$10005,$V7287,'①在庫を貼る'!$W$6:$W$10005,$W7287)&gt;0),N(U7286),N(U7286)+1))</f>
        <v/>
      </c>
      <c r="V7287" s="19">
        <f>IF($B7287="","",TEXT($B7287,"0000"))</f>
        <v/>
      </c>
      <c r="W7287" s="19">
        <f>IF($I7287="","",IF(ISNUMBER($I7287),TEXT($I7287,"0"),$I7287))</f>
        <v/>
      </c>
    </row>
    <row r="7288">
      <c r="B7288" s="25" t="n"/>
      <c r="I7288" s="25" t="n"/>
      <c r="U7288" s="19">
        <f>IF($V7288&lt;&gt;'設定'!$C$4,N(U7287),IF(OR(NOT(COUNTIF('商品マスタ'!$B$6:$B$1005,$W7288)=0),COUNTIFS('①在庫を貼る'!$V$6:$V$10005,$V7288,'①在庫を貼る'!$W$6:$W$10005,$W7288)&gt;0),N(U7287),N(U7287)+1))</f>
        <v/>
      </c>
      <c r="V7288" s="19">
        <f>IF($B7288="","",TEXT($B7288,"0000"))</f>
        <v/>
      </c>
      <c r="W7288" s="19">
        <f>IF($I7288="","",IF(ISNUMBER($I7288),TEXT($I7288,"0"),$I7288))</f>
        <v/>
      </c>
    </row>
    <row r="7289">
      <c r="B7289" s="25" t="n"/>
      <c r="I7289" s="25" t="n"/>
      <c r="U7289" s="19">
        <f>IF($V7289&lt;&gt;'設定'!$C$4,N(U7288),IF(OR(NOT(COUNTIF('商品マスタ'!$B$6:$B$1005,$W7289)=0),COUNTIFS('①在庫を貼る'!$V$6:$V$10005,$V7289,'①在庫を貼る'!$W$6:$W$10005,$W7289)&gt;0),N(U7288),N(U7288)+1))</f>
        <v/>
      </c>
      <c r="V7289" s="19">
        <f>IF($B7289="","",TEXT($B7289,"0000"))</f>
        <v/>
      </c>
      <c r="W7289" s="19">
        <f>IF($I7289="","",IF(ISNUMBER($I7289),TEXT($I7289,"0"),$I7289))</f>
        <v/>
      </c>
    </row>
    <row r="7290">
      <c r="B7290" s="25" t="n"/>
      <c r="I7290" s="25" t="n"/>
      <c r="U7290" s="19">
        <f>IF($V7290&lt;&gt;'設定'!$C$4,N(U7289),IF(OR(NOT(COUNTIF('商品マスタ'!$B$6:$B$1005,$W7290)=0),COUNTIFS('①在庫を貼る'!$V$6:$V$10005,$V7290,'①在庫を貼る'!$W$6:$W$10005,$W7290)&gt;0),N(U7289),N(U7289)+1))</f>
        <v/>
      </c>
      <c r="V7290" s="19">
        <f>IF($B7290="","",TEXT($B7290,"0000"))</f>
        <v/>
      </c>
      <c r="W7290" s="19">
        <f>IF($I7290="","",IF(ISNUMBER($I7290),TEXT($I7290,"0"),$I7290))</f>
        <v/>
      </c>
    </row>
    <row r="7291">
      <c r="B7291" s="25" t="n"/>
      <c r="I7291" s="25" t="n"/>
      <c r="U7291" s="19">
        <f>IF($V7291&lt;&gt;'設定'!$C$4,N(U7290),IF(OR(NOT(COUNTIF('商品マスタ'!$B$6:$B$1005,$W7291)=0),COUNTIFS('①在庫を貼る'!$V$6:$V$10005,$V7291,'①在庫を貼る'!$W$6:$W$10005,$W7291)&gt;0),N(U7290),N(U7290)+1))</f>
        <v/>
      </c>
      <c r="V7291" s="19">
        <f>IF($B7291="","",TEXT($B7291,"0000"))</f>
        <v/>
      </c>
      <c r="W7291" s="19">
        <f>IF($I7291="","",IF(ISNUMBER($I7291),TEXT($I7291,"0"),$I7291))</f>
        <v/>
      </c>
    </row>
    <row r="7292">
      <c r="B7292" s="25" t="n"/>
      <c r="I7292" s="25" t="n"/>
      <c r="U7292" s="19">
        <f>IF($V7292&lt;&gt;'設定'!$C$4,N(U7291),IF(OR(NOT(COUNTIF('商品マスタ'!$B$6:$B$1005,$W7292)=0),COUNTIFS('①在庫を貼る'!$V$6:$V$10005,$V7292,'①在庫を貼る'!$W$6:$W$10005,$W7292)&gt;0),N(U7291),N(U7291)+1))</f>
        <v/>
      </c>
      <c r="V7292" s="19">
        <f>IF($B7292="","",TEXT($B7292,"0000"))</f>
        <v/>
      </c>
      <c r="W7292" s="19">
        <f>IF($I7292="","",IF(ISNUMBER($I7292),TEXT($I7292,"0"),$I7292))</f>
        <v/>
      </c>
    </row>
    <row r="7293">
      <c r="B7293" s="25" t="n"/>
      <c r="I7293" s="25" t="n"/>
      <c r="U7293" s="19">
        <f>IF($V7293&lt;&gt;'設定'!$C$4,N(U7292),IF(OR(NOT(COUNTIF('商品マスタ'!$B$6:$B$1005,$W7293)=0),COUNTIFS('①在庫を貼る'!$V$6:$V$10005,$V7293,'①在庫を貼る'!$W$6:$W$10005,$W7293)&gt;0),N(U7292),N(U7292)+1))</f>
        <v/>
      </c>
      <c r="V7293" s="19">
        <f>IF($B7293="","",TEXT($B7293,"0000"))</f>
        <v/>
      </c>
      <c r="W7293" s="19">
        <f>IF($I7293="","",IF(ISNUMBER($I7293),TEXT($I7293,"0"),$I7293))</f>
        <v/>
      </c>
    </row>
    <row r="7294">
      <c r="B7294" s="25" t="n"/>
      <c r="I7294" s="25" t="n"/>
      <c r="U7294" s="19">
        <f>IF($V7294&lt;&gt;'設定'!$C$4,N(U7293),IF(OR(NOT(COUNTIF('商品マスタ'!$B$6:$B$1005,$W7294)=0),COUNTIFS('①在庫を貼る'!$V$6:$V$10005,$V7294,'①在庫を貼る'!$W$6:$W$10005,$W7294)&gt;0),N(U7293),N(U7293)+1))</f>
        <v/>
      </c>
      <c r="V7294" s="19">
        <f>IF($B7294="","",TEXT($B7294,"0000"))</f>
        <v/>
      </c>
      <c r="W7294" s="19">
        <f>IF($I7294="","",IF(ISNUMBER($I7294),TEXT($I7294,"0"),$I7294))</f>
        <v/>
      </c>
    </row>
    <row r="7295">
      <c r="B7295" s="25" t="n"/>
      <c r="I7295" s="25" t="n"/>
      <c r="U7295" s="19">
        <f>IF($V7295&lt;&gt;'設定'!$C$4,N(U7294),IF(OR(NOT(COUNTIF('商品マスタ'!$B$6:$B$1005,$W7295)=0),COUNTIFS('①在庫を貼る'!$V$6:$V$10005,$V7295,'①在庫を貼る'!$W$6:$W$10005,$W7295)&gt;0),N(U7294),N(U7294)+1))</f>
        <v/>
      </c>
      <c r="V7295" s="19">
        <f>IF($B7295="","",TEXT($B7295,"0000"))</f>
        <v/>
      </c>
      <c r="W7295" s="19">
        <f>IF($I7295="","",IF(ISNUMBER($I7295),TEXT($I7295,"0"),$I7295))</f>
        <v/>
      </c>
    </row>
    <row r="7296">
      <c r="B7296" s="25" t="n"/>
      <c r="I7296" s="25" t="n"/>
      <c r="U7296" s="19">
        <f>IF($V7296&lt;&gt;'設定'!$C$4,N(U7295),IF(OR(NOT(COUNTIF('商品マスタ'!$B$6:$B$1005,$W7296)=0),COUNTIFS('①在庫を貼る'!$V$6:$V$10005,$V7296,'①在庫を貼る'!$W$6:$W$10005,$W7296)&gt;0),N(U7295),N(U7295)+1))</f>
        <v/>
      </c>
      <c r="V7296" s="19">
        <f>IF($B7296="","",TEXT($B7296,"0000"))</f>
        <v/>
      </c>
      <c r="W7296" s="19">
        <f>IF($I7296="","",IF(ISNUMBER($I7296),TEXT($I7296,"0"),$I7296))</f>
        <v/>
      </c>
    </row>
    <row r="7297">
      <c r="B7297" s="25" t="n"/>
      <c r="I7297" s="25" t="n"/>
      <c r="U7297" s="19">
        <f>IF($V7297&lt;&gt;'設定'!$C$4,N(U7296),IF(OR(NOT(COUNTIF('商品マスタ'!$B$6:$B$1005,$W7297)=0),COUNTIFS('①在庫を貼る'!$V$6:$V$10005,$V7297,'①在庫を貼る'!$W$6:$W$10005,$W7297)&gt;0),N(U7296),N(U7296)+1))</f>
        <v/>
      </c>
      <c r="V7297" s="19">
        <f>IF($B7297="","",TEXT($B7297,"0000"))</f>
        <v/>
      </c>
      <c r="W7297" s="19">
        <f>IF($I7297="","",IF(ISNUMBER($I7297),TEXT($I7297,"0"),$I7297))</f>
        <v/>
      </c>
    </row>
    <row r="7298">
      <c r="B7298" s="25" t="n"/>
      <c r="I7298" s="25" t="n"/>
      <c r="U7298" s="19">
        <f>IF($V7298&lt;&gt;'設定'!$C$4,N(U7297),IF(OR(NOT(COUNTIF('商品マスタ'!$B$6:$B$1005,$W7298)=0),COUNTIFS('①在庫を貼る'!$V$6:$V$10005,$V7298,'①在庫を貼る'!$W$6:$W$10005,$W7298)&gt;0),N(U7297),N(U7297)+1))</f>
        <v/>
      </c>
      <c r="V7298" s="19">
        <f>IF($B7298="","",TEXT($B7298,"0000"))</f>
        <v/>
      </c>
      <c r="W7298" s="19">
        <f>IF($I7298="","",IF(ISNUMBER($I7298),TEXT($I7298,"0"),$I7298))</f>
        <v/>
      </c>
    </row>
    <row r="7299">
      <c r="B7299" s="25" t="n"/>
      <c r="I7299" s="25" t="n"/>
      <c r="U7299" s="19">
        <f>IF($V7299&lt;&gt;'設定'!$C$4,N(U7298),IF(OR(NOT(COUNTIF('商品マスタ'!$B$6:$B$1005,$W7299)=0),COUNTIFS('①在庫を貼る'!$V$6:$V$10005,$V7299,'①在庫を貼る'!$W$6:$W$10005,$W7299)&gt;0),N(U7298),N(U7298)+1))</f>
        <v/>
      </c>
      <c r="V7299" s="19">
        <f>IF($B7299="","",TEXT($B7299,"0000"))</f>
        <v/>
      </c>
      <c r="W7299" s="19">
        <f>IF($I7299="","",IF(ISNUMBER($I7299),TEXT($I7299,"0"),$I7299))</f>
        <v/>
      </c>
    </row>
    <row r="7300">
      <c r="B7300" s="25" t="n"/>
      <c r="I7300" s="25" t="n"/>
      <c r="U7300" s="19">
        <f>IF($V7300&lt;&gt;'設定'!$C$4,N(U7299),IF(OR(NOT(COUNTIF('商品マスタ'!$B$6:$B$1005,$W7300)=0),COUNTIFS('①在庫を貼る'!$V$6:$V$10005,$V7300,'①在庫を貼る'!$W$6:$W$10005,$W7300)&gt;0),N(U7299),N(U7299)+1))</f>
        <v/>
      </c>
      <c r="V7300" s="19">
        <f>IF($B7300="","",TEXT($B7300,"0000"))</f>
        <v/>
      </c>
      <c r="W7300" s="19">
        <f>IF($I7300="","",IF(ISNUMBER($I7300),TEXT($I7300,"0"),$I7300))</f>
        <v/>
      </c>
    </row>
    <row r="7301">
      <c r="B7301" s="25" t="n"/>
      <c r="I7301" s="25" t="n"/>
      <c r="U7301" s="19">
        <f>IF($V7301&lt;&gt;'設定'!$C$4,N(U7300),IF(OR(NOT(COUNTIF('商品マスタ'!$B$6:$B$1005,$W7301)=0),COUNTIFS('①在庫を貼る'!$V$6:$V$10005,$V7301,'①在庫を貼る'!$W$6:$W$10005,$W7301)&gt;0),N(U7300),N(U7300)+1))</f>
        <v/>
      </c>
      <c r="V7301" s="19">
        <f>IF($B7301="","",TEXT($B7301,"0000"))</f>
        <v/>
      </c>
      <c r="W7301" s="19">
        <f>IF($I7301="","",IF(ISNUMBER($I7301),TEXT($I7301,"0"),$I7301))</f>
        <v/>
      </c>
    </row>
    <row r="7302">
      <c r="B7302" s="25" t="n"/>
      <c r="I7302" s="25" t="n"/>
      <c r="U7302" s="19">
        <f>IF($V7302&lt;&gt;'設定'!$C$4,N(U7301),IF(OR(NOT(COUNTIF('商品マスタ'!$B$6:$B$1005,$W7302)=0),COUNTIFS('①在庫を貼る'!$V$6:$V$10005,$V7302,'①在庫を貼る'!$W$6:$W$10005,$W7302)&gt;0),N(U7301),N(U7301)+1))</f>
        <v/>
      </c>
      <c r="V7302" s="19">
        <f>IF($B7302="","",TEXT($B7302,"0000"))</f>
        <v/>
      </c>
      <c r="W7302" s="19">
        <f>IF($I7302="","",IF(ISNUMBER($I7302),TEXT($I7302,"0"),$I7302))</f>
        <v/>
      </c>
    </row>
    <row r="7303">
      <c r="B7303" s="25" t="n"/>
      <c r="I7303" s="25" t="n"/>
      <c r="U7303" s="19">
        <f>IF($V7303&lt;&gt;'設定'!$C$4,N(U7302),IF(OR(NOT(COUNTIF('商品マスタ'!$B$6:$B$1005,$W7303)=0),COUNTIFS('①在庫を貼る'!$V$6:$V$10005,$V7303,'①在庫を貼る'!$W$6:$W$10005,$W7303)&gt;0),N(U7302),N(U7302)+1))</f>
        <v/>
      </c>
      <c r="V7303" s="19">
        <f>IF($B7303="","",TEXT($B7303,"0000"))</f>
        <v/>
      </c>
      <c r="W7303" s="19">
        <f>IF($I7303="","",IF(ISNUMBER($I7303),TEXT($I7303,"0"),$I7303))</f>
        <v/>
      </c>
    </row>
    <row r="7304">
      <c r="B7304" s="25" t="n"/>
      <c r="I7304" s="25" t="n"/>
      <c r="U7304" s="19">
        <f>IF($V7304&lt;&gt;'設定'!$C$4,N(U7303),IF(OR(NOT(COUNTIF('商品マスタ'!$B$6:$B$1005,$W7304)=0),COUNTIFS('①在庫を貼る'!$V$6:$V$10005,$V7304,'①在庫を貼る'!$W$6:$W$10005,$W7304)&gt;0),N(U7303),N(U7303)+1))</f>
        <v/>
      </c>
      <c r="V7304" s="19">
        <f>IF($B7304="","",TEXT($B7304,"0000"))</f>
        <v/>
      </c>
      <c r="W7304" s="19">
        <f>IF($I7304="","",IF(ISNUMBER($I7304),TEXT($I7304,"0"),$I7304))</f>
        <v/>
      </c>
    </row>
    <row r="7305">
      <c r="B7305" s="25" t="n"/>
      <c r="I7305" s="25" t="n"/>
      <c r="U7305" s="19">
        <f>IF($V7305&lt;&gt;'設定'!$C$4,N(U7304),IF(OR(NOT(COUNTIF('商品マスタ'!$B$6:$B$1005,$W7305)=0),COUNTIFS('①在庫を貼る'!$V$6:$V$10005,$V7305,'①在庫を貼る'!$W$6:$W$10005,$W7305)&gt;0),N(U7304),N(U7304)+1))</f>
        <v/>
      </c>
      <c r="V7305" s="19">
        <f>IF($B7305="","",TEXT($B7305,"0000"))</f>
        <v/>
      </c>
      <c r="W7305" s="19">
        <f>IF($I7305="","",IF(ISNUMBER($I7305),TEXT($I7305,"0"),$I7305))</f>
        <v/>
      </c>
    </row>
    <row r="7306">
      <c r="B7306" s="25" t="n"/>
      <c r="I7306" s="25" t="n"/>
      <c r="U7306" s="19">
        <f>IF($V7306&lt;&gt;'設定'!$C$4,N(U7305),IF(OR(NOT(COUNTIF('商品マスタ'!$B$6:$B$1005,$W7306)=0),COUNTIFS('①在庫を貼る'!$V$6:$V$10005,$V7306,'①在庫を貼る'!$W$6:$W$10005,$W7306)&gt;0),N(U7305),N(U7305)+1))</f>
        <v/>
      </c>
      <c r="V7306" s="19">
        <f>IF($B7306="","",TEXT($B7306,"0000"))</f>
        <v/>
      </c>
      <c r="W7306" s="19">
        <f>IF($I7306="","",IF(ISNUMBER($I7306),TEXT($I7306,"0"),$I7306))</f>
        <v/>
      </c>
    </row>
    <row r="7307">
      <c r="B7307" s="25" t="n"/>
      <c r="I7307" s="25" t="n"/>
      <c r="U7307" s="19">
        <f>IF($V7307&lt;&gt;'設定'!$C$4,N(U7306),IF(OR(NOT(COUNTIF('商品マスタ'!$B$6:$B$1005,$W7307)=0),COUNTIFS('①在庫を貼る'!$V$6:$V$10005,$V7307,'①在庫を貼る'!$W$6:$W$10005,$W7307)&gt;0),N(U7306),N(U7306)+1))</f>
        <v/>
      </c>
      <c r="V7307" s="19">
        <f>IF($B7307="","",TEXT($B7307,"0000"))</f>
        <v/>
      </c>
      <c r="W7307" s="19">
        <f>IF($I7307="","",IF(ISNUMBER($I7307),TEXT($I7307,"0"),$I7307))</f>
        <v/>
      </c>
    </row>
    <row r="7308">
      <c r="B7308" s="25" t="n"/>
      <c r="I7308" s="25" t="n"/>
      <c r="U7308" s="19">
        <f>IF($V7308&lt;&gt;'設定'!$C$4,N(U7307),IF(OR(NOT(COUNTIF('商品マスタ'!$B$6:$B$1005,$W7308)=0),COUNTIFS('①在庫を貼る'!$V$6:$V$10005,$V7308,'①在庫を貼る'!$W$6:$W$10005,$W7308)&gt;0),N(U7307),N(U7307)+1))</f>
        <v/>
      </c>
      <c r="V7308" s="19">
        <f>IF($B7308="","",TEXT($B7308,"0000"))</f>
        <v/>
      </c>
      <c r="W7308" s="19">
        <f>IF($I7308="","",IF(ISNUMBER($I7308),TEXT($I7308,"0"),$I7308))</f>
        <v/>
      </c>
    </row>
    <row r="7309">
      <c r="B7309" s="25" t="n"/>
      <c r="I7309" s="25" t="n"/>
      <c r="U7309" s="19">
        <f>IF($V7309&lt;&gt;'設定'!$C$4,N(U7308),IF(OR(NOT(COUNTIF('商品マスタ'!$B$6:$B$1005,$W7309)=0),COUNTIFS('①在庫を貼る'!$V$6:$V$10005,$V7309,'①在庫を貼る'!$W$6:$W$10005,$W7309)&gt;0),N(U7308),N(U7308)+1))</f>
        <v/>
      </c>
      <c r="V7309" s="19">
        <f>IF($B7309="","",TEXT($B7309,"0000"))</f>
        <v/>
      </c>
      <c r="W7309" s="19">
        <f>IF($I7309="","",IF(ISNUMBER($I7309),TEXT($I7309,"0"),$I7309))</f>
        <v/>
      </c>
    </row>
    <row r="7310">
      <c r="B7310" s="25" t="n"/>
      <c r="I7310" s="25" t="n"/>
      <c r="U7310" s="19">
        <f>IF($V7310&lt;&gt;'設定'!$C$4,N(U7309),IF(OR(NOT(COUNTIF('商品マスタ'!$B$6:$B$1005,$W7310)=0),COUNTIFS('①在庫を貼る'!$V$6:$V$10005,$V7310,'①在庫を貼る'!$W$6:$W$10005,$W7310)&gt;0),N(U7309),N(U7309)+1))</f>
        <v/>
      </c>
      <c r="V7310" s="19">
        <f>IF($B7310="","",TEXT($B7310,"0000"))</f>
        <v/>
      </c>
      <c r="W7310" s="19">
        <f>IF($I7310="","",IF(ISNUMBER($I7310),TEXT($I7310,"0"),$I7310))</f>
        <v/>
      </c>
    </row>
    <row r="7311">
      <c r="B7311" s="25" t="n"/>
      <c r="I7311" s="25" t="n"/>
      <c r="U7311" s="19">
        <f>IF($V7311&lt;&gt;'設定'!$C$4,N(U7310),IF(OR(NOT(COUNTIF('商品マスタ'!$B$6:$B$1005,$W7311)=0),COUNTIFS('①在庫を貼る'!$V$6:$V$10005,$V7311,'①在庫を貼る'!$W$6:$W$10005,$W7311)&gt;0),N(U7310),N(U7310)+1))</f>
        <v/>
      </c>
      <c r="V7311" s="19">
        <f>IF($B7311="","",TEXT($B7311,"0000"))</f>
        <v/>
      </c>
      <c r="W7311" s="19">
        <f>IF($I7311="","",IF(ISNUMBER($I7311),TEXT($I7311,"0"),$I7311))</f>
        <v/>
      </c>
    </row>
    <row r="7312">
      <c r="B7312" s="25" t="n"/>
      <c r="I7312" s="25" t="n"/>
      <c r="U7312" s="19">
        <f>IF($V7312&lt;&gt;'設定'!$C$4,N(U7311),IF(OR(NOT(COUNTIF('商品マスタ'!$B$6:$B$1005,$W7312)=0),COUNTIFS('①在庫を貼る'!$V$6:$V$10005,$V7312,'①在庫を貼る'!$W$6:$W$10005,$W7312)&gt;0),N(U7311),N(U7311)+1))</f>
        <v/>
      </c>
      <c r="V7312" s="19">
        <f>IF($B7312="","",TEXT($B7312,"0000"))</f>
        <v/>
      </c>
      <c r="W7312" s="19">
        <f>IF($I7312="","",IF(ISNUMBER($I7312),TEXT($I7312,"0"),$I7312))</f>
        <v/>
      </c>
    </row>
    <row r="7313">
      <c r="B7313" s="25" t="n"/>
      <c r="I7313" s="25" t="n"/>
      <c r="U7313" s="19">
        <f>IF($V7313&lt;&gt;'設定'!$C$4,N(U7312),IF(OR(NOT(COUNTIF('商品マスタ'!$B$6:$B$1005,$W7313)=0),COUNTIFS('①在庫を貼る'!$V$6:$V$10005,$V7313,'①在庫を貼る'!$W$6:$W$10005,$W7313)&gt;0),N(U7312),N(U7312)+1))</f>
        <v/>
      </c>
      <c r="V7313" s="19">
        <f>IF($B7313="","",TEXT($B7313,"0000"))</f>
        <v/>
      </c>
      <c r="W7313" s="19">
        <f>IF($I7313="","",IF(ISNUMBER($I7313),TEXT($I7313,"0"),$I7313))</f>
        <v/>
      </c>
    </row>
    <row r="7314">
      <c r="B7314" s="25" t="n"/>
      <c r="I7314" s="25" t="n"/>
      <c r="U7314" s="19">
        <f>IF($V7314&lt;&gt;'設定'!$C$4,N(U7313),IF(OR(NOT(COUNTIF('商品マスタ'!$B$6:$B$1005,$W7314)=0),COUNTIFS('①在庫を貼る'!$V$6:$V$10005,$V7314,'①在庫を貼る'!$W$6:$W$10005,$W7314)&gt;0),N(U7313),N(U7313)+1))</f>
        <v/>
      </c>
      <c r="V7314" s="19">
        <f>IF($B7314="","",TEXT($B7314,"0000"))</f>
        <v/>
      </c>
      <c r="W7314" s="19">
        <f>IF($I7314="","",IF(ISNUMBER($I7314),TEXT($I7314,"0"),$I7314))</f>
        <v/>
      </c>
    </row>
    <row r="7315">
      <c r="B7315" s="25" t="n"/>
      <c r="I7315" s="25" t="n"/>
      <c r="U7315" s="19">
        <f>IF($V7315&lt;&gt;'設定'!$C$4,N(U7314),IF(OR(NOT(COUNTIF('商品マスタ'!$B$6:$B$1005,$W7315)=0),COUNTIFS('①在庫を貼る'!$V$6:$V$10005,$V7315,'①在庫を貼る'!$W$6:$W$10005,$W7315)&gt;0),N(U7314),N(U7314)+1))</f>
        <v/>
      </c>
      <c r="V7315" s="19">
        <f>IF($B7315="","",TEXT($B7315,"0000"))</f>
        <v/>
      </c>
      <c r="W7315" s="19">
        <f>IF($I7315="","",IF(ISNUMBER($I7315),TEXT($I7315,"0"),$I7315))</f>
        <v/>
      </c>
    </row>
    <row r="7316">
      <c r="B7316" s="25" t="n"/>
      <c r="I7316" s="25" t="n"/>
      <c r="U7316" s="19">
        <f>IF($V7316&lt;&gt;'設定'!$C$4,N(U7315),IF(OR(NOT(COUNTIF('商品マスタ'!$B$6:$B$1005,$W7316)=0),COUNTIFS('①在庫を貼る'!$V$6:$V$10005,$V7316,'①在庫を貼る'!$W$6:$W$10005,$W7316)&gt;0),N(U7315),N(U7315)+1))</f>
        <v/>
      </c>
      <c r="V7316" s="19">
        <f>IF($B7316="","",TEXT($B7316,"0000"))</f>
        <v/>
      </c>
      <c r="W7316" s="19">
        <f>IF($I7316="","",IF(ISNUMBER($I7316),TEXT($I7316,"0"),$I7316))</f>
        <v/>
      </c>
    </row>
    <row r="7317">
      <c r="B7317" s="25" t="n"/>
      <c r="I7317" s="25" t="n"/>
      <c r="U7317" s="19">
        <f>IF($V7317&lt;&gt;'設定'!$C$4,N(U7316),IF(OR(NOT(COUNTIF('商品マスタ'!$B$6:$B$1005,$W7317)=0),COUNTIFS('①在庫を貼る'!$V$6:$V$10005,$V7317,'①在庫を貼る'!$W$6:$W$10005,$W7317)&gt;0),N(U7316),N(U7316)+1))</f>
        <v/>
      </c>
      <c r="V7317" s="19">
        <f>IF($B7317="","",TEXT($B7317,"0000"))</f>
        <v/>
      </c>
      <c r="W7317" s="19">
        <f>IF($I7317="","",IF(ISNUMBER($I7317),TEXT($I7317,"0"),$I7317))</f>
        <v/>
      </c>
    </row>
    <row r="7318">
      <c r="B7318" s="25" t="n"/>
      <c r="I7318" s="25" t="n"/>
      <c r="U7318" s="19">
        <f>IF($V7318&lt;&gt;'設定'!$C$4,N(U7317),IF(OR(NOT(COUNTIF('商品マスタ'!$B$6:$B$1005,$W7318)=0),COUNTIFS('①在庫を貼る'!$V$6:$V$10005,$V7318,'①在庫を貼る'!$W$6:$W$10005,$W7318)&gt;0),N(U7317),N(U7317)+1))</f>
        <v/>
      </c>
      <c r="V7318" s="19">
        <f>IF($B7318="","",TEXT($B7318,"0000"))</f>
        <v/>
      </c>
      <c r="W7318" s="19">
        <f>IF($I7318="","",IF(ISNUMBER($I7318),TEXT($I7318,"0"),$I7318))</f>
        <v/>
      </c>
    </row>
    <row r="7319">
      <c r="B7319" s="25" t="n"/>
      <c r="I7319" s="25" t="n"/>
      <c r="U7319" s="19">
        <f>IF($V7319&lt;&gt;'設定'!$C$4,N(U7318),IF(OR(NOT(COUNTIF('商品マスタ'!$B$6:$B$1005,$W7319)=0),COUNTIFS('①在庫を貼る'!$V$6:$V$10005,$V7319,'①在庫を貼る'!$W$6:$W$10005,$W7319)&gt;0),N(U7318),N(U7318)+1))</f>
        <v/>
      </c>
      <c r="V7319" s="19">
        <f>IF($B7319="","",TEXT($B7319,"0000"))</f>
        <v/>
      </c>
      <c r="W7319" s="19">
        <f>IF($I7319="","",IF(ISNUMBER($I7319),TEXT($I7319,"0"),$I7319))</f>
        <v/>
      </c>
    </row>
    <row r="7320">
      <c r="B7320" s="25" t="n"/>
      <c r="I7320" s="25" t="n"/>
      <c r="U7320" s="19">
        <f>IF($V7320&lt;&gt;'設定'!$C$4,N(U7319),IF(OR(NOT(COUNTIF('商品マスタ'!$B$6:$B$1005,$W7320)=0),COUNTIFS('①在庫を貼る'!$V$6:$V$10005,$V7320,'①在庫を貼る'!$W$6:$W$10005,$W7320)&gt;0),N(U7319),N(U7319)+1))</f>
        <v/>
      </c>
      <c r="V7320" s="19">
        <f>IF($B7320="","",TEXT($B7320,"0000"))</f>
        <v/>
      </c>
      <c r="W7320" s="19">
        <f>IF($I7320="","",IF(ISNUMBER($I7320),TEXT($I7320,"0"),$I7320))</f>
        <v/>
      </c>
    </row>
    <row r="7321">
      <c r="B7321" s="25" t="n"/>
      <c r="I7321" s="25" t="n"/>
      <c r="U7321" s="19">
        <f>IF($V7321&lt;&gt;'設定'!$C$4,N(U7320),IF(OR(NOT(COUNTIF('商品マスタ'!$B$6:$B$1005,$W7321)=0),COUNTIFS('①在庫を貼る'!$V$6:$V$10005,$V7321,'①在庫を貼る'!$W$6:$W$10005,$W7321)&gt;0),N(U7320),N(U7320)+1))</f>
        <v/>
      </c>
      <c r="V7321" s="19">
        <f>IF($B7321="","",TEXT($B7321,"0000"))</f>
        <v/>
      </c>
      <c r="W7321" s="19">
        <f>IF($I7321="","",IF(ISNUMBER($I7321),TEXT($I7321,"0"),$I7321))</f>
        <v/>
      </c>
    </row>
    <row r="7322">
      <c r="B7322" s="25" t="n"/>
      <c r="I7322" s="25" t="n"/>
      <c r="U7322" s="19">
        <f>IF($V7322&lt;&gt;'設定'!$C$4,N(U7321),IF(OR(NOT(COUNTIF('商品マスタ'!$B$6:$B$1005,$W7322)=0),COUNTIFS('①在庫を貼る'!$V$6:$V$10005,$V7322,'①在庫を貼る'!$W$6:$W$10005,$W7322)&gt;0),N(U7321),N(U7321)+1))</f>
        <v/>
      </c>
      <c r="V7322" s="19">
        <f>IF($B7322="","",TEXT($B7322,"0000"))</f>
        <v/>
      </c>
      <c r="W7322" s="19">
        <f>IF($I7322="","",IF(ISNUMBER($I7322),TEXT($I7322,"0"),$I7322))</f>
        <v/>
      </c>
    </row>
    <row r="7323">
      <c r="B7323" s="25" t="n"/>
      <c r="I7323" s="25" t="n"/>
      <c r="U7323" s="19">
        <f>IF($V7323&lt;&gt;'設定'!$C$4,N(U7322),IF(OR(NOT(COUNTIF('商品マスタ'!$B$6:$B$1005,$W7323)=0),COUNTIFS('①在庫を貼る'!$V$6:$V$10005,$V7323,'①在庫を貼る'!$W$6:$W$10005,$W7323)&gt;0),N(U7322),N(U7322)+1))</f>
        <v/>
      </c>
      <c r="V7323" s="19">
        <f>IF($B7323="","",TEXT($B7323,"0000"))</f>
        <v/>
      </c>
      <c r="W7323" s="19">
        <f>IF($I7323="","",IF(ISNUMBER($I7323),TEXT($I7323,"0"),$I7323))</f>
        <v/>
      </c>
    </row>
    <row r="7324">
      <c r="B7324" s="25" t="n"/>
      <c r="I7324" s="25" t="n"/>
      <c r="U7324" s="19">
        <f>IF($V7324&lt;&gt;'設定'!$C$4,N(U7323),IF(OR(NOT(COUNTIF('商品マスタ'!$B$6:$B$1005,$W7324)=0),COUNTIFS('①在庫を貼る'!$V$6:$V$10005,$V7324,'①在庫を貼る'!$W$6:$W$10005,$W7324)&gt;0),N(U7323),N(U7323)+1))</f>
        <v/>
      </c>
      <c r="V7324" s="19">
        <f>IF($B7324="","",TEXT($B7324,"0000"))</f>
        <v/>
      </c>
      <c r="W7324" s="19">
        <f>IF($I7324="","",IF(ISNUMBER($I7324),TEXT($I7324,"0"),$I7324))</f>
        <v/>
      </c>
    </row>
    <row r="7325">
      <c r="B7325" s="25" t="n"/>
      <c r="I7325" s="25" t="n"/>
      <c r="U7325" s="19">
        <f>IF($V7325&lt;&gt;'設定'!$C$4,N(U7324),IF(OR(NOT(COUNTIF('商品マスタ'!$B$6:$B$1005,$W7325)=0),COUNTIFS('①在庫を貼る'!$V$6:$V$10005,$V7325,'①在庫を貼る'!$W$6:$W$10005,$W7325)&gt;0),N(U7324),N(U7324)+1))</f>
        <v/>
      </c>
      <c r="V7325" s="19">
        <f>IF($B7325="","",TEXT($B7325,"0000"))</f>
        <v/>
      </c>
      <c r="W7325" s="19">
        <f>IF($I7325="","",IF(ISNUMBER($I7325),TEXT($I7325,"0"),$I7325))</f>
        <v/>
      </c>
    </row>
    <row r="7326">
      <c r="B7326" s="25" t="n"/>
      <c r="I7326" s="25" t="n"/>
      <c r="U7326" s="19">
        <f>IF($V7326&lt;&gt;'設定'!$C$4,N(U7325),IF(OR(NOT(COUNTIF('商品マスタ'!$B$6:$B$1005,$W7326)=0),COUNTIFS('①在庫を貼る'!$V$6:$V$10005,$V7326,'①在庫を貼る'!$W$6:$W$10005,$W7326)&gt;0),N(U7325),N(U7325)+1))</f>
        <v/>
      </c>
      <c r="V7326" s="19">
        <f>IF($B7326="","",TEXT($B7326,"0000"))</f>
        <v/>
      </c>
      <c r="W7326" s="19">
        <f>IF($I7326="","",IF(ISNUMBER($I7326),TEXT($I7326,"0"),$I7326))</f>
        <v/>
      </c>
    </row>
    <row r="7327">
      <c r="B7327" s="25" t="n"/>
      <c r="I7327" s="25" t="n"/>
      <c r="U7327" s="19">
        <f>IF($V7327&lt;&gt;'設定'!$C$4,N(U7326),IF(OR(NOT(COUNTIF('商品マスタ'!$B$6:$B$1005,$W7327)=0),COUNTIFS('①在庫を貼る'!$V$6:$V$10005,$V7327,'①在庫を貼る'!$W$6:$W$10005,$W7327)&gt;0),N(U7326),N(U7326)+1))</f>
        <v/>
      </c>
      <c r="V7327" s="19">
        <f>IF($B7327="","",TEXT($B7327,"0000"))</f>
        <v/>
      </c>
      <c r="W7327" s="19">
        <f>IF($I7327="","",IF(ISNUMBER($I7327),TEXT($I7327,"0"),$I7327))</f>
        <v/>
      </c>
    </row>
    <row r="7328">
      <c r="B7328" s="25" t="n"/>
      <c r="I7328" s="25" t="n"/>
      <c r="U7328" s="19">
        <f>IF($V7328&lt;&gt;'設定'!$C$4,N(U7327),IF(OR(NOT(COUNTIF('商品マスタ'!$B$6:$B$1005,$W7328)=0),COUNTIFS('①在庫を貼る'!$V$6:$V$10005,$V7328,'①在庫を貼る'!$W$6:$W$10005,$W7328)&gt;0),N(U7327),N(U7327)+1))</f>
        <v/>
      </c>
      <c r="V7328" s="19">
        <f>IF($B7328="","",TEXT($B7328,"0000"))</f>
        <v/>
      </c>
      <c r="W7328" s="19">
        <f>IF($I7328="","",IF(ISNUMBER($I7328),TEXT($I7328,"0"),$I7328))</f>
        <v/>
      </c>
    </row>
    <row r="7329">
      <c r="B7329" s="25" t="n"/>
      <c r="I7329" s="25" t="n"/>
      <c r="U7329" s="19">
        <f>IF($V7329&lt;&gt;'設定'!$C$4,N(U7328),IF(OR(NOT(COUNTIF('商品マスタ'!$B$6:$B$1005,$W7329)=0),COUNTIFS('①在庫を貼る'!$V$6:$V$10005,$V7329,'①在庫を貼る'!$W$6:$W$10005,$W7329)&gt;0),N(U7328),N(U7328)+1))</f>
        <v/>
      </c>
      <c r="V7329" s="19">
        <f>IF($B7329="","",TEXT($B7329,"0000"))</f>
        <v/>
      </c>
      <c r="W7329" s="19">
        <f>IF($I7329="","",IF(ISNUMBER($I7329),TEXT($I7329,"0"),$I7329))</f>
        <v/>
      </c>
    </row>
    <row r="7330">
      <c r="B7330" s="25" t="n"/>
      <c r="I7330" s="25" t="n"/>
      <c r="U7330" s="19">
        <f>IF($V7330&lt;&gt;'設定'!$C$4,N(U7329),IF(OR(NOT(COUNTIF('商品マスタ'!$B$6:$B$1005,$W7330)=0),COUNTIFS('①在庫を貼る'!$V$6:$V$10005,$V7330,'①在庫を貼る'!$W$6:$W$10005,$W7330)&gt;0),N(U7329),N(U7329)+1))</f>
        <v/>
      </c>
      <c r="V7330" s="19">
        <f>IF($B7330="","",TEXT($B7330,"0000"))</f>
        <v/>
      </c>
      <c r="W7330" s="19">
        <f>IF($I7330="","",IF(ISNUMBER($I7330),TEXT($I7330,"0"),$I7330))</f>
        <v/>
      </c>
    </row>
    <row r="7331">
      <c r="B7331" s="25" t="n"/>
      <c r="I7331" s="25" t="n"/>
      <c r="U7331" s="19">
        <f>IF($V7331&lt;&gt;'設定'!$C$4,N(U7330),IF(OR(NOT(COUNTIF('商品マスタ'!$B$6:$B$1005,$W7331)=0),COUNTIFS('①在庫を貼る'!$V$6:$V$10005,$V7331,'①在庫を貼る'!$W$6:$W$10005,$W7331)&gt;0),N(U7330),N(U7330)+1))</f>
        <v/>
      </c>
      <c r="V7331" s="19">
        <f>IF($B7331="","",TEXT($B7331,"0000"))</f>
        <v/>
      </c>
      <c r="W7331" s="19">
        <f>IF($I7331="","",IF(ISNUMBER($I7331),TEXT($I7331,"0"),$I7331))</f>
        <v/>
      </c>
    </row>
    <row r="7332">
      <c r="B7332" s="25" t="n"/>
      <c r="I7332" s="25" t="n"/>
      <c r="U7332" s="19">
        <f>IF($V7332&lt;&gt;'設定'!$C$4,N(U7331),IF(OR(NOT(COUNTIF('商品マスタ'!$B$6:$B$1005,$W7332)=0),COUNTIFS('①在庫を貼る'!$V$6:$V$10005,$V7332,'①在庫を貼る'!$W$6:$W$10005,$W7332)&gt;0),N(U7331),N(U7331)+1))</f>
        <v/>
      </c>
      <c r="V7332" s="19">
        <f>IF($B7332="","",TEXT($B7332,"0000"))</f>
        <v/>
      </c>
      <c r="W7332" s="19">
        <f>IF($I7332="","",IF(ISNUMBER($I7332),TEXT($I7332,"0"),$I7332))</f>
        <v/>
      </c>
    </row>
    <row r="7333">
      <c r="B7333" s="25" t="n"/>
      <c r="I7333" s="25" t="n"/>
      <c r="U7333" s="19">
        <f>IF($V7333&lt;&gt;'設定'!$C$4,N(U7332),IF(OR(NOT(COUNTIF('商品マスタ'!$B$6:$B$1005,$W7333)=0),COUNTIFS('①在庫を貼る'!$V$6:$V$10005,$V7333,'①在庫を貼る'!$W$6:$W$10005,$W7333)&gt;0),N(U7332),N(U7332)+1))</f>
        <v/>
      </c>
      <c r="V7333" s="19">
        <f>IF($B7333="","",TEXT($B7333,"0000"))</f>
        <v/>
      </c>
      <c r="W7333" s="19">
        <f>IF($I7333="","",IF(ISNUMBER($I7333),TEXT($I7333,"0"),$I7333))</f>
        <v/>
      </c>
    </row>
    <row r="7334">
      <c r="B7334" s="25" t="n"/>
      <c r="I7334" s="25" t="n"/>
      <c r="U7334" s="19">
        <f>IF($V7334&lt;&gt;'設定'!$C$4,N(U7333),IF(OR(NOT(COUNTIF('商品マスタ'!$B$6:$B$1005,$W7334)=0),COUNTIFS('①在庫を貼る'!$V$6:$V$10005,$V7334,'①在庫を貼る'!$W$6:$W$10005,$W7334)&gt;0),N(U7333),N(U7333)+1))</f>
        <v/>
      </c>
      <c r="V7334" s="19">
        <f>IF($B7334="","",TEXT($B7334,"0000"))</f>
        <v/>
      </c>
      <c r="W7334" s="19">
        <f>IF($I7334="","",IF(ISNUMBER($I7334),TEXT($I7334,"0"),$I7334))</f>
        <v/>
      </c>
    </row>
    <row r="7335">
      <c r="B7335" s="25" t="n"/>
      <c r="I7335" s="25" t="n"/>
      <c r="U7335" s="19">
        <f>IF($V7335&lt;&gt;'設定'!$C$4,N(U7334),IF(OR(NOT(COUNTIF('商品マスタ'!$B$6:$B$1005,$W7335)=0),COUNTIFS('①在庫を貼る'!$V$6:$V$10005,$V7335,'①在庫を貼る'!$W$6:$W$10005,$W7335)&gt;0),N(U7334),N(U7334)+1))</f>
        <v/>
      </c>
      <c r="V7335" s="19">
        <f>IF($B7335="","",TEXT($B7335,"0000"))</f>
        <v/>
      </c>
      <c r="W7335" s="19">
        <f>IF($I7335="","",IF(ISNUMBER($I7335),TEXT($I7335,"0"),$I7335))</f>
        <v/>
      </c>
    </row>
    <row r="7336">
      <c r="B7336" s="25" t="n"/>
      <c r="I7336" s="25" t="n"/>
      <c r="U7336" s="19">
        <f>IF($V7336&lt;&gt;'設定'!$C$4,N(U7335),IF(OR(NOT(COUNTIF('商品マスタ'!$B$6:$B$1005,$W7336)=0),COUNTIFS('①在庫を貼る'!$V$6:$V$10005,$V7336,'①在庫を貼る'!$W$6:$W$10005,$W7336)&gt;0),N(U7335),N(U7335)+1))</f>
        <v/>
      </c>
      <c r="V7336" s="19">
        <f>IF($B7336="","",TEXT($B7336,"0000"))</f>
        <v/>
      </c>
      <c r="W7336" s="19">
        <f>IF($I7336="","",IF(ISNUMBER($I7336),TEXT($I7336,"0"),$I7336))</f>
        <v/>
      </c>
    </row>
    <row r="7337">
      <c r="B7337" s="25" t="n"/>
      <c r="I7337" s="25" t="n"/>
      <c r="U7337" s="19">
        <f>IF($V7337&lt;&gt;'設定'!$C$4,N(U7336),IF(OR(NOT(COUNTIF('商品マスタ'!$B$6:$B$1005,$W7337)=0),COUNTIFS('①在庫を貼る'!$V$6:$V$10005,$V7337,'①在庫を貼る'!$W$6:$W$10005,$W7337)&gt;0),N(U7336),N(U7336)+1))</f>
        <v/>
      </c>
      <c r="V7337" s="19">
        <f>IF($B7337="","",TEXT($B7337,"0000"))</f>
        <v/>
      </c>
      <c r="W7337" s="19">
        <f>IF($I7337="","",IF(ISNUMBER($I7337),TEXT($I7337,"0"),$I7337))</f>
        <v/>
      </c>
    </row>
    <row r="7338">
      <c r="B7338" s="25" t="n"/>
      <c r="I7338" s="25" t="n"/>
      <c r="U7338" s="19">
        <f>IF($V7338&lt;&gt;'設定'!$C$4,N(U7337),IF(OR(NOT(COUNTIF('商品マスタ'!$B$6:$B$1005,$W7338)=0),COUNTIFS('①在庫を貼る'!$V$6:$V$10005,$V7338,'①在庫を貼る'!$W$6:$W$10005,$W7338)&gt;0),N(U7337),N(U7337)+1))</f>
        <v/>
      </c>
      <c r="V7338" s="19">
        <f>IF($B7338="","",TEXT($B7338,"0000"))</f>
        <v/>
      </c>
      <c r="W7338" s="19">
        <f>IF($I7338="","",IF(ISNUMBER($I7338),TEXT($I7338,"0"),$I7338))</f>
        <v/>
      </c>
    </row>
    <row r="7339">
      <c r="B7339" s="25" t="n"/>
      <c r="I7339" s="25" t="n"/>
      <c r="U7339" s="19">
        <f>IF($V7339&lt;&gt;'設定'!$C$4,N(U7338),IF(OR(NOT(COUNTIF('商品マスタ'!$B$6:$B$1005,$W7339)=0),COUNTIFS('①在庫を貼る'!$V$6:$V$10005,$V7339,'①在庫を貼る'!$W$6:$W$10005,$W7339)&gt;0),N(U7338),N(U7338)+1))</f>
        <v/>
      </c>
      <c r="V7339" s="19">
        <f>IF($B7339="","",TEXT($B7339,"0000"))</f>
        <v/>
      </c>
      <c r="W7339" s="19">
        <f>IF($I7339="","",IF(ISNUMBER($I7339),TEXT($I7339,"0"),$I7339))</f>
        <v/>
      </c>
    </row>
    <row r="7340">
      <c r="B7340" s="25" t="n"/>
      <c r="I7340" s="25" t="n"/>
      <c r="U7340" s="19">
        <f>IF($V7340&lt;&gt;'設定'!$C$4,N(U7339),IF(OR(NOT(COUNTIF('商品マスタ'!$B$6:$B$1005,$W7340)=0),COUNTIFS('①在庫を貼る'!$V$6:$V$10005,$V7340,'①在庫を貼る'!$W$6:$W$10005,$W7340)&gt;0),N(U7339),N(U7339)+1))</f>
        <v/>
      </c>
      <c r="V7340" s="19">
        <f>IF($B7340="","",TEXT($B7340,"0000"))</f>
        <v/>
      </c>
      <c r="W7340" s="19">
        <f>IF($I7340="","",IF(ISNUMBER($I7340),TEXT($I7340,"0"),$I7340))</f>
        <v/>
      </c>
    </row>
    <row r="7341">
      <c r="B7341" s="25" t="n"/>
      <c r="I7341" s="25" t="n"/>
      <c r="U7341" s="19">
        <f>IF($V7341&lt;&gt;'設定'!$C$4,N(U7340),IF(OR(NOT(COUNTIF('商品マスタ'!$B$6:$B$1005,$W7341)=0),COUNTIFS('①在庫を貼る'!$V$6:$V$10005,$V7341,'①在庫を貼る'!$W$6:$W$10005,$W7341)&gt;0),N(U7340),N(U7340)+1))</f>
        <v/>
      </c>
      <c r="V7341" s="19">
        <f>IF($B7341="","",TEXT($B7341,"0000"))</f>
        <v/>
      </c>
      <c r="W7341" s="19">
        <f>IF($I7341="","",IF(ISNUMBER($I7341),TEXT($I7341,"0"),$I7341))</f>
        <v/>
      </c>
    </row>
    <row r="7342">
      <c r="B7342" s="25" t="n"/>
      <c r="I7342" s="25" t="n"/>
      <c r="U7342" s="19">
        <f>IF($V7342&lt;&gt;'設定'!$C$4,N(U7341),IF(OR(NOT(COUNTIF('商品マスタ'!$B$6:$B$1005,$W7342)=0),COUNTIFS('①在庫を貼る'!$V$6:$V$10005,$V7342,'①在庫を貼る'!$W$6:$W$10005,$W7342)&gt;0),N(U7341),N(U7341)+1))</f>
        <v/>
      </c>
      <c r="V7342" s="19">
        <f>IF($B7342="","",TEXT($B7342,"0000"))</f>
        <v/>
      </c>
      <c r="W7342" s="19">
        <f>IF($I7342="","",IF(ISNUMBER($I7342),TEXT($I7342,"0"),$I7342))</f>
        <v/>
      </c>
    </row>
    <row r="7343">
      <c r="B7343" s="25" t="n"/>
      <c r="I7343" s="25" t="n"/>
      <c r="U7343" s="19">
        <f>IF($V7343&lt;&gt;'設定'!$C$4,N(U7342),IF(OR(NOT(COUNTIF('商品マスタ'!$B$6:$B$1005,$W7343)=0),COUNTIFS('①在庫を貼る'!$V$6:$V$10005,$V7343,'①在庫を貼る'!$W$6:$W$10005,$W7343)&gt;0),N(U7342),N(U7342)+1))</f>
        <v/>
      </c>
      <c r="V7343" s="19">
        <f>IF($B7343="","",TEXT($B7343,"0000"))</f>
        <v/>
      </c>
      <c r="W7343" s="19">
        <f>IF($I7343="","",IF(ISNUMBER($I7343),TEXT($I7343,"0"),$I7343))</f>
        <v/>
      </c>
    </row>
    <row r="7344">
      <c r="B7344" s="25" t="n"/>
      <c r="I7344" s="25" t="n"/>
      <c r="U7344" s="19">
        <f>IF($V7344&lt;&gt;'設定'!$C$4,N(U7343),IF(OR(NOT(COUNTIF('商品マスタ'!$B$6:$B$1005,$W7344)=0),COUNTIFS('①在庫を貼る'!$V$6:$V$10005,$V7344,'①在庫を貼る'!$W$6:$W$10005,$W7344)&gt;0),N(U7343),N(U7343)+1))</f>
        <v/>
      </c>
      <c r="V7344" s="19">
        <f>IF($B7344="","",TEXT($B7344,"0000"))</f>
        <v/>
      </c>
      <c r="W7344" s="19">
        <f>IF($I7344="","",IF(ISNUMBER($I7344),TEXT($I7344,"0"),$I7344))</f>
        <v/>
      </c>
    </row>
    <row r="7345">
      <c r="B7345" s="25" t="n"/>
      <c r="I7345" s="25" t="n"/>
      <c r="U7345" s="19">
        <f>IF($V7345&lt;&gt;'設定'!$C$4,N(U7344),IF(OR(NOT(COUNTIF('商品マスタ'!$B$6:$B$1005,$W7345)=0),COUNTIFS('①在庫を貼る'!$V$6:$V$10005,$V7345,'①在庫を貼る'!$W$6:$W$10005,$W7345)&gt;0),N(U7344),N(U7344)+1))</f>
        <v/>
      </c>
      <c r="V7345" s="19">
        <f>IF($B7345="","",TEXT($B7345,"0000"))</f>
        <v/>
      </c>
      <c r="W7345" s="19">
        <f>IF($I7345="","",IF(ISNUMBER($I7345),TEXT($I7345,"0"),$I7345))</f>
        <v/>
      </c>
    </row>
    <row r="7346">
      <c r="B7346" s="25" t="n"/>
      <c r="I7346" s="25" t="n"/>
      <c r="U7346" s="19">
        <f>IF($V7346&lt;&gt;'設定'!$C$4,N(U7345),IF(OR(NOT(COUNTIF('商品マスタ'!$B$6:$B$1005,$W7346)=0),COUNTIFS('①在庫を貼る'!$V$6:$V$10005,$V7346,'①在庫を貼る'!$W$6:$W$10005,$W7346)&gt;0),N(U7345),N(U7345)+1))</f>
        <v/>
      </c>
      <c r="V7346" s="19">
        <f>IF($B7346="","",TEXT($B7346,"0000"))</f>
        <v/>
      </c>
      <c r="W7346" s="19">
        <f>IF($I7346="","",IF(ISNUMBER($I7346),TEXT($I7346,"0"),$I7346))</f>
        <v/>
      </c>
    </row>
    <row r="7347">
      <c r="B7347" s="25" t="n"/>
      <c r="I7347" s="25" t="n"/>
      <c r="U7347" s="19">
        <f>IF($V7347&lt;&gt;'設定'!$C$4,N(U7346),IF(OR(NOT(COUNTIF('商品マスタ'!$B$6:$B$1005,$W7347)=0),COUNTIFS('①在庫を貼る'!$V$6:$V$10005,$V7347,'①在庫を貼る'!$W$6:$W$10005,$W7347)&gt;0),N(U7346),N(U7346)+1))</f>
        <v/>
      </c>
      <c r="V7347" s="19">
        <f>IF($B7347="","",TEXT($B7347,"0000"))</f>
        <v/>
      </c>
      <c r="W7347" s="19">
        <f>IF($I7347="","",IF(ISNUMBER($I7347),TEXT($I7347,"0"),$I7347))</f>
        <v/>
      </c>
    </row>
    <row r="7348">
      <c r="B7348" s="25" t="n"/>
      <c r="I7348" s="25" t="n"/>
      <c r="U7348" s="19">
        <f>IF($V7348&lt;&gt;'設定'!$C$4,N(U7347),IF(OR(NOT(COUNTIF('商品マスタ'!$B$6:$B$1005,$W7348)=0),COUNTIFS('①在庫を貼る'!$V$6:$V$10005,$V7348,'①在庫を貼る'!$W$6:$W$10005,$W7348)&gt;0),N(U7347),N(U7347)+1))</f>
        <v/>
      </c>
      <c r="V7348" s="19">
        <f>IF($B7348="","",TEXT($B7348,"0000"))</f>
        <v/>
      </c>
      <c r="W7348" s="19">
        <f>IF($I7348="","",IF(ISNUMBER($I7348),TEXT($I7348,"0"),$I7348))</f>
        <v/>
      </c>
    </row>
    <row r="7349">
      <c r="B7349" s="25" t="n"/>
      <c r="I7349" s="25" t="n"/>
      <c r="U7349" s="19">
        <f>IF($V7349&lt;&gt;'設定'!$C$4,N(U7348),IF(OR(NOT(COUNTIF('商品マスタ'!$B$6:$B$1005,$W7349)=0),COUNTIFS('①在庫を貼る'!$V$6:$V$10005,$V7349,'①在庫を貼る'!$W$6:$W$10005,$W7349)&gt;0),N(U7348),N(U7348)+1))</f>
        <v/>
      </c>
      <c r="V7349" s="19">
        <f>IF($B7349="","",TEXT($B7349,"0000"))</f>
        <v/>
      </c>
      <c r="W7349" s="19">
        <f>IF($I7349="","",IF(ISNUMBER($I7349),TEXT($I7349,"0"),$I7349))</f>
        <v/>
      </c>
    </row>
    <row r="7350">
      <c r="B7350" s="25" t="n"/>
      <c r="I7350" s="25" t="n"/>
      <c r="U7350" s="19">
        <f>IF($V7350&lt;&gt;'設定'!$C$4,N(U7349),IF(OR(NOT(COUNTIF('商品マスタ'!$B$6:$B$1005,$W7350)=0),COUNTIFS('①在庫を貼る'!$V$6:$V$10005,$V7350,'①在庫を貼る'!$W$6:$W$10005,$W7350)&gt;0),N(U7349),N(U7349)+1))</f>
        <v/>
      </c>
      <c r="V7350" s="19">
        <f>IF($B7350="","",TEXT($B7350,"0000"))</f>
        <v/>
      </c>
      <c r="W7350" s="19">
        <f>IF($I7350="","",IF(ISNUMBER($I7350),TEXT($I7350,"0"),$I7350))</f>
        <v/>
      </c>
    </row>
    <row r="7351">
      <c r="B7351" s="25" t="n"/>
      <c r="I7351" s="25" t="n"/>
      <c r="U7351" s="19">
        <f>IF($V7351&lt;&gt;'設定'!$C$4,N(U7350),IF(OR(NOT(COUNTIF('商品マスタ'!$B$6:$B$1005,$W7351)=0),COUNTIFS('①在庫を貼る'!$V$6:$V$10005,$V7351,'①在庫を貼る'!$W$6:$W$10005,$W7351)&gt;0),N(U7350),N(U7350)+1))</f>
        <v/>
      </c>
      <c r="V7351" s="19">
        <f>IF($B7351="","",TEXT($B7351,"0000"))</f>
        <v/>
      </c>
      <c r="W7351" s="19">
        <f>IF($I7351="","",IF(ISNUMBER($I7351),TEXT($I7351,"0"),$I7351))</f>
        <v/>
      </c>
    </row>
    <row r="7352">
      <c r="B7352" s="25" t="n"/>
      <c r="I7352" s="25" t="n"/>
      <c r="U7352" s="19">
        <f>IF($V7352&lt;&gt;'設定'!$C$4,N(U7351),IF(OR(NOT(COUNTIF('商品マスタ'!$B$6:$B$1005,$W7352)=0),COUNTIFS('①在庫を貼る'!$V$6:$V$10005,$V7352,'①在庫を貼る'!$W$6:$W$10005,$W7352)&gt;0),N(U7351),N(U7351)+1))</f>
        <v/>
      </c>
      <c r="V7352" s="19">
        <f>IF($B7352="","",TEXT($B7352,"0000"))</f>
        <v/>
      </c>
      <c r="W7352" s="19">
        <f>IF($I7352="","",IF(ISNUMBER($I7352),TEXT($I7352,"0"),$I7352))</f>
        <v/>
      </c>
    </row>
    <row r="7353">
      <c r="B7353" s="25" t="n"/>
      <c r="I7353" s="25" t="n"/>
      <c r="U7353" s="19">
        <f>IF($V7353&lt;&gt;'設定'!$C$4,N(U7352),IF(OR(NOT(COUNTIF('商品マスタ'!$B$6:$B$1005,$W7353)=0),COUNTIFS('①在庫を貼る'!$V$6:$V$10005,$V7353,'①在庫を貼る'!$W$6:$W$10005,$W7353)&gt;0),N(U7352),N(U7352)+1))</f>
        <v/>
      </c>
      <c r="V7353" s="19">
        <f>IF($B7353="","",TEXT($B7353,"0000"))</f>
        <v/>
      </c>
      <c r="W7353" s="19">
        <f>IF($I7353="","",IF(ISNUMBER($I7353),TEXT($I7353,"0"),$I7353))</f>
        <v/>
      </c>
    </row>
    <row r="7354">
      <c r="B7354" s="25" t="n"/>
      <c r="I7354" s="25" t="n"/>
      <c r="U7354" s="19">
        <f>IF($V7354&lt;&gt;'設定'!$C$4,N(U7353),IF(OR(NOT(COUNTIF('商品マスタ'!$B$6:$B$1005,$W7354)=0),COUNTIFS('①在庫を貼る'!$V$6:$V$10005,$V7354,'①在庫を貼る'!$W$6:$W$10005,$W7354)&gt;0),N(U7353),N(U7353)+1))</f>
        <v/>
      </c>
      <c r="V7354" s="19">
        <f>IF($B7354="","",TEXT($B7354,"0000"))</f>
        <v/>
      </c>
      <c r="W7354" s="19">
        <f>IF($I7354="","",IF(ISNUMBER($I7354),TEXT($I7354,"0"),$I7354))</f>
        <v/>
      </c>
    </row>
    <row r="7355">
      <c r="B7355" s="25" t="n"/>
      <c r="I7355" s="25" t="n"/>
      <c r="U7355" s="19">
        <f>IF($V7355&lt;&gt;'設定'!$C$4,N(U7354),IF(OR(NOT(COUNTIF('商品マスタ'!$B$6:$B$1005,$W7355)=0),COUNTIFS('①在庫を貼る'!$V$6:$V$10005,$V7355,'①在庫を貼る'!$W$6:$W$10005,$W7355)&gt;0),N(U7354),N(U7354)+1))</f>
        <v/>
      </c>
      <c r="V7355" s="19">
        <f>IF($B7355="","",TEXT($B7355,"0000"))</f>
        <v/>
      </c>
      <c r="W7355" s="19">
        <f>IF($I7355="","",IF(ISNUMBER($I7355),TEXT($I7355,"0"),$I7355))</f>
        <v/>
      </c>
    </row>
    <row r="7356">
      <c r="B7356" s="25" t="n"/>
      <c r="I7356" s="25" t="n"/>
      <c r="U7356" s="19">
        <f>IF($V7356&lt;&gt;'設定'!$C$4,N(U7355),IF(OR(NOT(COUNTIF('商品マスタ'!$B$6:$B$1005,$W7356)=0),COUNTIFS('①在庫を貼る'!$V$6:$V$10005,$V7356,'①在庫を貼る'!$W$6:$W$10005,$W7356)&gt;0),N(U7355),N(U7355)+1))</f>
        <v/>
      </c>
      <c r="V7356" s="19">
        <f>IF($B7356="","",TEXT($B7356,"0000"))</f>
        <v/>
      </c>
      <c r="W7356" s="19">
        <f>IF($I7356="","",IF(ISNUMBER($I7356),TEXT($I7356,"0"),$I7356))</f>
        <v/>
      </c>
    </row>
    <row r="7357">
      <c r="B7357" s="25" t="n"/>
      <c r="I7357" s="25" t="n"/>
      <c r="U7357" s="19">
        <f>IF($V7357&lt;&gt;'設定'!$C$4,N(U7356),IF(OR(NOT(COUNTIF('商品マスタ'!$B$6:$B$1005,$W7357)=0),COUNTIFS('①在庫を貼る'!$V$6:$V$10005,$V7357,'①在庫を貼る'!$W$6:$W$10005,$W7357)&gt;0),N(U7356),N(U7356)+1))</f>
        <v/>
      </c>
      <c r="V7357" s="19">
        <f>IF($B7357="","",TEXT($B7357,"0000"))</f>
        <v/>
      </c>
      <c r="W7357" s="19">
        <f>IF($I7357="","",IF(ISNUMBER($I7357),TEXT($I7357,"0"),$I7357))</f>
        <v/>
      </c>
    </row>
    <row r="7358">
      <c r="B7358" s="25" t="n"/>
      <c r="I7358" s="25" t="n"/>
      <c r="U7358" s="19">
        <f>IF($V7358&lt;&gt;'設定'!$C$4,N(U7357),IF(OR(NOT(COUNTIF('商品マスタ'!$B$6:$B$1005,$W7358)=0),COUNTIFS('①在庫を貼る'!$V$6:$V$10005,$V7358,'①在庫を貼る'!$W$6:$W$10005,$W7358)&gt;0),N(U7357),N(U7357)+1))</f>
        <v/>
      </c>
      <c r="V7358" s="19">
        <f>IF($B7358="","",TEXT($B7358,"0000"))</f>
        <v/>
      </c>
      <c r="W7358" s="19">
        <f>IF($I7358="","",IF(ISNUMBER($I7358),TEXT($I7358,"0"),$I7358))</f>
        <v/>
      </c>
    </row>
    <row r="7359">
      <c r="B7359" s="25" t="n"/>
      <c r="I7359" s="25" t="n"/>
      <c r="U7359" s="19">
        <f>IF($V7359&lt;&gt;'設定'!$C$4,N(U7358),IF(OR(NOT(COUNTIF('商品マスタ'!$B$6:$B$1005,$W7359)=0),COUNTIFS('①在庫を貼る'!$V$6:$V$10005,$V7359,'①在庫を貼る'!$W$6:$W$10005,$W7359)&gt;0),N(U7358),N(U7358)+1))</f>
        <v/>
      </c>
      <c r="V7359" s="19">
        <f>IF($B7359="","",TEXT($B7359,"0000"))</f>
        <v/>
      </c>
      <c r="W7359" s="19">
        <f>IF($I7359="","",IF(ISNUMBER($I7359),TEXT($I7359,"0"),$I7359))</f>
        <v/>
      </c>
    </row>
    <row r="7360">
      <c r="B7360" s="25" t="n"/>
      <c r="I7360" s="25" t="n"/>
      <c r="U7360" s="19">
        <f>IF($V7360&lt;&gt;'設定'!$C$4,N(U7359),IF(OR(NOT(COUNTIF('商品マスタ'!$B$6:$B$1005,$W7360)=0),COUNTIFS('①在庫を貼る'!$V$6:$V$10005,$V7360,'①在庫を貼る'!$W$6:$W$10005,$W7360)&gt;0),N(U7359),N(U7359)+1))</f>
        <v/>
      </c>
      <c r="V7360" s="19">
        <f>IF($B7360="","",TEXT($B7360,"0000"))</f>
        <v/>
      </c>
      <c r="W7360" s="19">
        <f>IF($I7360="","",IF(ISNUMBER($I7360),TEXT($I7360,"0"),$I7360))</f>
        <v/>
      </c>
    </row>
    <row r="7361">
      <c r="B7361" s="25" t="n"/>
      <c r="I7361" s="25" t="n"/>
      <c r="U7361" s="19">
        <f>IF($V7361&lt;&gt;'設定'!$C$4,N(U7360),IF(OR(NOT(COUNTIF('商品マスタ'!$B$6:$B$1005,$W7361)=0),COUNTIFS('①在庫を貼る'!$V$6:$V$10005,$V7361,'①在庫を貼る'!$W$6:$W$10005,$W7361)&gt;0),N(U7360),N(U7360)+1))</f>
        <v/>
      </c>
      <c r="V7361" s="19">
        <f>IF($B7361="","",TEXT($B7361,"0000"))</f>
        <v/>
      </c>
      <c r="W7361" s="19">
        <f>IF($I7361="","",IF(ISNUMBER($I7361),TEXT($I7361,"0"),$I7361))</f>
        <v/>
      </c>
    </row>
    <row r="7362">
      <c r="B7362" s="25" t="n"/>
      <c r="I7362" s="25" t="n"/>
      <c r="U7362" s="19">
        <f>IF($V7362&lt;&gt;'設定'!$C$4,N(U7361),IF(OR(NOT(COUNTIF('商品マスタ'!$B$6:$B$1005,$W7362)=0),COUNTIFS('①在庫を貼る'!$V$6:$V$10005,$V7362,'①在庫を貼る'!$W$6:$W$10005,$W7362)&gt;0),N(U7361),N(U7361)+1))</f>
        <v/>
      </c>
      <c r="V7362" s="19">
        <f>IF($B7362="","",TEXT($B7362,"0000"))</f>
        <v/>
      </c>
      <c r="W7362" s="19">
        <f>IF($I7362="","",IF(ISNUMBER($I7362),TEXT($I7362,"0"),$I7362))</f>
        <v/>
      </c>
    </row>
    <row r="7363">
      <c r="B7363" s="25" t="n"/>
      <c r="I7363" s="25" t="n"/>
      <c r="U7363" s="19">
        <f>IF($V7363&lt;&gt;'設定'!$C$4,N(U7362),IF(OR(NOT(COUNTIF('商品マスタ'!$B$6:$B$1005,$W7363)=0),COUNTIFS('①在庫を貼る'!$V$6:$V$10005,$V7363,'①在庫を貼る'!$W$6:$W$10005,$W7363)&gt;0),N(U7362),N(U7362)+1))</f>
        <v/>
      </c>
      <c r="V7363" s="19">
        <f>IF($B7363="","",TEXT($B7363,"0000"))</f>
        <v/>
      </c>
      <c r="W7363" s="19">
        <f>IF($I7363="","",IF(ISNUMBER($I7363),TEXT($I7363,"0"),$I7363))</f>
        <v/>
      </c>
    </row>
    <row r="7364">
      <c r="B7364" s="25" t="n"/>
      <c r="I7364" s="25" t="n"/>
      <c r="U7364" s="19">
        <f>IF($V7364&lt;&gt;'設定'!$C$4,N(U7363),IF(OR(NOT(COUNTIF('商品マスタ'!$B$6:$B$1005,$W7364)=0),COUNTIFS('①在庫を貼る'!$V$6:$V$10005,$V7364,'①在庫を貼る'!$W$6:$W$10005,$W7364)&gt;0),N(U7363),N(U7363)+1))</f>
        <v/>
      </c>
      <c r="V7364" s="19">
        <f>IF($B7364="","",TEXT($B7364,"0000"))</f>
        <v/>
      </c>
      <c r="W7364" s="19">
        <f>IF($I7364="","",IF(ISNUMBER($I7364),TEXT($I7364,"0"),$I7364))</f>
        <v/>
      </c>
    </row>
    <row r="7365">
      <c r="B7365" s="25" t="n"/>
      <c r="I7365" s="25" t="n"/>
      <c r="U7365" s="19">
        <f>IF($V7365&lt;&gt;'設定'!$C$4,N(U7364),IF(OR(NOT(COUNTIF('商品マスタ'!$B$6:$B$1005,$W7365)=0),COUNTIFS('①在庫を貼る'!$V$6:$V$10005,$V7365,'①在庫を貼る'!$W$6:$W$10005,$W7365)&gt;0),N(U7364),N(U7364)+1))</f>
        <v/>
      </c>
      <c r="V7365" s="19">
        <f>IF($B7365="","",TEXT($B7365,"0000"))</f>
        <v/>
      </c>
      <c r="W7365" s="19">
        <f>IF($I7365="","",IF(ISNUMBER($I7365),TEXT($I7365,"0"),$I7365))</f>
        <v/>
      </c>
    </row>
    <row r="7366">
      <c r="B7366" s="25" t="n"/>
      <c r="I7366" s="25" t="n"/>
      <c r="U7366" s="19">
        <f>IF($V7366&lt;&gt;'設定'!$C$4,N(U7365),IF(OR(NOT(COUNTIF('商品マスタ'!$B$6:$B$1005,$W7366)=0),COUNTIFS('①在庫を貼る'!$V$6:$V$10005,$V7366,'①在庫を貼る'!$W$6:$W$10005,$W7366)&gt;0),N(U7365),N(U7365)+1))</f>
        <v/>
      </c>
      <c r="V7366" s="19">
        <f>IF($B7366="","",TEXT($B7366,"0000"))</f>
        <v/>
      </c>
      <c r="W7366" s="19">
        <f>IF($I7366="","",IF(ISNUMBER($I7366),TEXT($I7366,"0"),$I7366))</f>
        <v/>
      </c>
    </row>
    <row r="7367">
      <c r="B7367" s="25" t="n"/>
      <c r="I7367" s="25" t="n"/>
      <c r="U7367" s="19">
        <f>IF($V7367&lt;&gt;'設定'!$C$4,N(U7366),IF(OR(NOT(COUNTIF('商品マスタ'!$B$6:$B$1005,$W7367)=0),COUNTIFS('①在庫を貼る'!$V$6:$V$10005,$V7367,'①在庫を貼る'!$W$6:$W$10005,$W7367)&gt;0),N(U7366),N(U7366)+1))</f>
        <v/>
      </c>
      <c r="V7367" s="19">
        <f>IF($B7367="","",TEXT($B7367,"0000"))</f>
        <v/>
      </c>
      <c r="W7367" s="19">
        <f>IF($I7367="","",IF(ISNUMBER($I7367),TEXT($I7367,"0"),$I7367))</f>
        <v/>
      </c>
    </row>
    <row r="7368">
      <c r="B7368" s="25" t="n"/>
      <c r="I7368" s="25" t="n"/>
      <c r="U7368" s="19">
        <f>IF($V7368&lt;&gt;'設定'!$C$4,N(U7367),IF(OR(NOT(COUNTIF('商品マスタ'!$B$6:$B$1005,$W7368)=0),COUNTIFS('①在庫を貼る'!$V$6:$V$10005,$V7368,'①在庫を貼る'!$W$6:$W$10005,$W7368)&gt;0),N(U7367),N(U7367)+1))</f>
        <v/>
      </c>
      <c r="V7368" s="19">
        <f>IF($B7368="","",TEXT($B7368,"0000"))</f>
        <v/>
      </c>
      <c r="W7368" s="19">
        <f>IF($I7368="","",IF(ISNUMBER($I7368),TEXT($I7368,"0"),$I7368))</f>
        <v/>
      </c>
    </row>
    <row r="7369">
      <c r="B7369" s="25" t="n"/>
      <c r="I7369" s="25" t="n"/>
      <c r="U7369" s="19">
        <f>IF($V7369&lt;&gt;'設定'!$C$4,N(U7368),IF(OR(NOT(COUNTIF('商品マスタ'!$B$6:$B$1005,$W7369)=0),COUNTIFS('①在庫を貼る'!$V$6:$V$10005,$V7369,'①在庫を貼る'!$W$6:$W$10005,$W7369)&gt;0),N(U7368),N(U7368)+1))</f>
        <v/>
      </c>
      <c r="V7369" s="19">
        <f>IF($B7369="","",TEXT($B7369,"0000"))</f>
        <v/>
      </c>
      <c r="W7369" s="19">
        <f>IF($I7369="","",IF(ISNUMBER($I7369),TEXT($I7369,"0"),$I7369))</f>
        <v/>
      </c>
    </row>
    <row r="7370">
      <c r="B7370" s="25" t="n"/>
      <c r="I7370" s="25" t="n"/>
      <c r="U7370" s="19">
        <f>IF($V7370&lt;&gt;'設定'!$C$4,N(U7369),IF(OR(NOT(COUNTIF('商品マスタ'!$B$6:$B$1005,$W7370)=0),COUNTIFS('①在庫を貼る'!$V$6:$V$10005,$V7370,'①在庫を貼る'!$W$6:$W$10005,$W7370)&gt;0),N(U7369),N(U7369)+1))</f>
        <v/>
      </c>
      <c r="V7370" s="19">
        <f>IF($B7370="","",TEXT($B7370,"0000"))</f>
        <v/>
      </c>
      <c r="W7370" s="19">
        <f>IF($I7370="","",IF(ISNUMBER($I7370),TEXT($I7370,"0"),$I7370))</f>
        <v/>
      </c>
    </row>
    <row r="7371">
      <c r="B7371" s="25" t="n"/>
      <c r="I7371" s="25" t="n"/>
      <c r="U7371" s="19">
        <f>IF($V7371&lt;&gt;'設定'!$C$4,N(U7370),IF(OR(NOT(COUNTIF('商品マスタ'!$B$6:$B$1005,$W7371)=0),COUNTIFS('①在庫を貼る'!$V$6:$V$10005,$V7371,'①在庫を貼る'!$W$6:$W$10005,$W7371)&gt;0),N(U7370),N(U7370)+1))</f>
        <v/>
      </c>
      <c r="V7371" s="19">
        <f>IF($B7371="","",TEXT($B7371,"0000"))</f>
        <v/>
      </c>
      <c r="W7371" s="19">
        <f>IF($I7371="","",IF(ISNUMBER($I7371),TEXT($I7371,"0"),$I7371))</f>
        <v/>
      </c>
    </row>
    <row r="7372">
      <c r="B7372" s="25" t="n"/>
      <c r="I7372" s="25" t="n"/>
      <c r="U7372" s="19">
        <f>IF($V7372&lt;&gt;'設定'!$C$4,N(U7371),IF(OR(NOT(COUNTIF('商品マスタ'!$B$6:$B$1005,$W7372)=0),COUNTIFS('①在庫を貼る'!$V$6:$V$10005,$V7372,'①在庫を貼る'!$W$6:$W$10005,$W7372)&gt;0),N(U7371),N(U7371)+1))</f>
        <v/>
      </c>
      <c r="V7372" s="19">
        <f>IF($B7372="","",TEXT($B7372,"0000"))</f>
        <v/>
      </c>
      <c r="W7372" s="19">
        <f>IF($I7372="","",IF(ISNUMBER($I7372),TEXT($I7372,"0"),$I7372))</f>
        <v/>
      </c>
    </row>
    <row r="7373">
      <c r="B7373" s="25" t="n"/>
      <c r="I7373" s="25" t="n"/>
      <c r="U7373" s="19">
        <f>IF($V7373&lt;&gt;'設定'!$C$4,N(U7372),IF(OR(NOT(COUNTIF('商品マスタ'!$B$6:$B$1005,$W7373)=0),COUNTIFS('①在庫を貼る'!$V$6:$V$10005,$V7373,'①在庫を貼る'!$W$6:$W$10005,$W7373)&gt;0),N(U7372),N(U7372)+1))</f>
        <v/>
      </c>
      <c r="V7373" s="19">
        <f>IF($B7373="","",TEXT($B7373,"0000"))</f>
        <v/>
      </c>
      <c r="W7373" s="19">
        <f>IF($I7373="","",IF(ISNUMBER($I7373),TEXT($I7373,"0"),$I7373))</f>
        <v/>
      </c>
    </row>
    <row r="7374">
      <c r="B7374" s="25" t="n"/>
      <c r="I7374" s="25" t="n"/>
      <c r="U7374" s="19">
        <f>IF($V7374&lt;&gt;'設定'!$C$4,N(U7373),IF(OR(NOT(COUNTIF('商品マスタ'!$B$6:$B$1005,$W7374)=0),COUNTIFS('①在庫を貼る'!$V$6:$V$10005,$V7374,'①在庫を貼る'!$W$6:$W$10005,$W7374)&gt;0),N(U7373),N(U7373)+1))</f>
        <v/>
      </c>
      <c r="V7374" s="19">
        <f>IF($B7374="","",TEXT($B7374,"0000"))</f>
        <v/>
      </c>
      <c r="W7374" s="19">
        <f>IF($I7374="","",IF(ISNUMBER($I7374),TEXT($I7374,"0"),$I7374))</f>
        <v/>
      </c>
    </row>
    <row r="7375">
      <c r="B7375" s="25" t="n"/>
      <c r="I7375" s="25" t="n"/>
      <c r="U7375" s="19">
        <f>IF($V7375&lt;&gt;'設定'!$C$4,N(U7374),IF(OR(NOT(COUNTIF('商品マスタ'!$B$6:$B$1005,$W7375)=0),COUNTIFS('①在庫を貼る'!$V$6:$V$10005,$V7375,'①在庫を貼る'!$W$6:$W$10005,$W7375)&gt;0),N(U7374),N(U7374)+1))</f>
        <v/>
      </c>
      <c r="V7375" s="19">
        <f>IF($B7375="","",TEXT($B7375,"0000"))</f>
        <v/>
      </c>
      <c r="W7375" s="19">
        <f>IF($I7375="","",IF(ISNUMBER($I7375),TEXT($I7375,"0"),$I7375))</f>
        <v/>
      </c>
    </row>
    <row r="7376">
      <c r="B7376" s="25" t="n"/>
      <c r="I7376" s="25" t="n"/>
      <c r="U7376" s="19">
        <f>IF($V7376&lt;&gt;'設定'!$C$4,N(U7375),IF(OR(NOT(COUNTIF('商品マスタ'!$B$6:$B$1005,$W7376)=0),COUNTIFS('①在庫を貼る'!$V$6:$V$10005,$V7376,'①在庫を貼る'!$W$6:$W$10005,$W7376)&gt;0),N(U7375),N(U7375)+1))</f>
        <v/>
      </c>
      <c r="V7376" s="19">
        <f>IF($B7376="","",TEXT($B7376,"0000"))</f>
        <v/>
      </c>
      <c r="W7376" s="19">
        <f>IF($I7376="","",IF(ISNUMBER($I7376),TEXT($I7376,"0"),$I7376))</f>
        <v/>
      </c>
    </row>
    <row r="7377">
      <c r="B7377" s="25" t="n"/>
      <c r="I7377" s="25" t="n"/>
      <c r="U7377" s="19">
        <f>IF($V7377&lt;&gt;'設定'!$C$4,N(U7376),IF(OR(NOT(COUNTIF('商品マスタ'!$B$6:$B$1005,$W7377)=0),COUNTIFS('①在庫を貼る'!$V$6:$V$10005,$V7377,'①在庫を貼る'!$W$6:$W$10005,$W7377)&gt;0),N(U7376),N(U7376)+1))</f>
        <v/>
      </c>
      <c r="V7377" s="19">
        <f>IF($B7377="","",TEXT($B7377,"0000"))</f>
        <v/>
      </c>
      <c r="W7377" s="19">
        <f>IF($I7377="","",IF(ISNUMBER($I7377),TEXT($I7377,"0"),$I7377))</f>
        <v/>
      </c>
    </row>
    <row r="7378">
      <c r="B7378" s="25" t="n"/>
      <c r="I7378" s="25" t="n"/>
      <c r="U7378" s="19">
        <f>IF($V7378&lt;&gt;'設定'!$C$4,N(U7377),IF(OR(NOT(COUNTIF('商品マスタ'!$B$6:$B$1005,$W7378)=0),COUNTIFS('①在庫を貼る'!$V$6:$V$10005,$V7378,'①在庫を貼る'!$W$6:$W$10005,$W7378)&gt;0),N(U7377),N(U7377)+1))</f>
        <v/>
      </c>
      <c r="V7378" s="19">
        <f>IF($B7378="","",TEXT($B7378,"0000"))</f>
        <v/>
      </c>
      <c r="W7378" s="19">
        <f>IF($I7378="","",IF(ISNUMBER($I7378),TEXT($I7378,"0"),$I7378))</f>
        <v/>
      </c>
    </row>
    <row r="7379">
      <c r="B7379" s="25" t="n"/>
      <c r="I7379" s="25" t="n"/>
      <c r="U7379" s="19">
        <f>IF($V7379&lt;&gt;'設定'!$C$4,N(U7378),IF(OR(NOT(COUNTIF('商品マスタ'!$B$6:$B$1005,$W7379)=0),COUNTIFS('①在庫を貼る'!$V$6:$V$10005,$V7379,'①在庫を貼る'!$W$6:$W$10005,$W7379)&gt;0),N(U7378),N(U7378)+1))</f>
        <v/>
      </c>
      <c r="V7379" s="19">
        <f>IF($B7379="","",TEXT($B7379,"0000"))</f>
        <v/>
      </c>
      <c r="W7379" s="19">
        <f>IF($I7379="","",IF(ISNUMBER($I7379),TEXT($I7379,"0"),$I7379))</f>
        <v/>
      </c>
    </row>
    <row r="7380">
      <c r="B7380" s="25" t="n"/>
      <c r="I7380" s="25" t="n"/>
      <c r="U7380" s="19">
        <f>IF($V7380&lt;&gt;'設定'!$C$4,N(U7379),IF(OR(NOT(COUNTIF('商品マスタ'!$B$6:$B$1005,$W7380)=0),COUNTIFS('①在庫を貼る'!$V$6:$V$10005,$V7380,'①在庫を貼る'!$W$6:$W$10005,$W7380)&gt;0),N(U7379),N(U7379)+1))</f>
        <v/>
      </c>
      <c r="V7380" s="19">
        <f>IF($B7380="","",TEXT($B7380,"0000"))</f>
        <v/>
      </c>
      <c r="W7380" s="19">
        <f>IF($I7380="","",IF(ISNUMBER($I7380),TEXT($I7380,"0"),$I7380))</f>
        <v/>
      </c>
    </row>
    <row r="7381">
      <c r="B7381" s="25" t="n"/>
      <c r="I7381" s="25" t="n"/>
      <c r="U7381" s="19">
        <f>IF($V7381&lt;&gt;'設定'!$C$4,N(U7380),IF(OR(NOT(COUNTIF('商品マスタ'!$B$6:$B$1005,$W7381)=0),COUNTIFS('①在庫を貼る'!$V$6:$V$10005,$V7381,'①在庫を貼る'!$W$6:$W$10005,$W7381)&gt;0),N(U7380),N(U7380)+1))</f>
        <v/>
      </c>
      <c r="V7381" s="19">
        <f>IF($B7381="","",TEXT($B7381,"0000"))</f>
        <v/>
      </c>
      <c r="W7381" s="19">
        <f>IF($I7381="","",IF(ISNUMBER($I7381),TEXT($I7381,"0"),$I7381))</f>
        <v/>
      </c>
    </row>
    <row r="7382">
      <c r="B7382" s="25" t="n"/>
      <c r="I7382" s="25" t="n"/>
      <c r="U7382" s="19">
        <f>IF($V7382&lt;&gt;'設定'!$C$4,N(U7381),IF(OR(NOT(COUNTIF('商品マスタ'!$B$6:$B$1005,$W7382)=0),COUNTIFS('①在庫を貼る'!$V$6:$V$10005,$V7382,'①在庫を貼る'!$W$6:$W$10005,$W7382)&gt;0),N(U7381),N(U7381)+1))</f>
        <v/>
      </c>
      <c r="V7382" s="19">
        <f>IF($B7382="","",TEXT($B7382,"0000"))</f>
        <v/>
      </c>
      <c r="W7382" s="19">
        <f>IF($I7382="","",IF(ISNUMBER($I7382),TEXT($I7382,"0"),$I7382))</f>
        <v/>
      </c>
    </row>
    <row r="7383">
      <c r="B7383" s="25" t="n"/>
      <c r="I7383" s="25" t="n"/>
      <c r="U7383" s="19">
        <f>IF($V7383&lt;&gt;'設定'!$C$4,N(U7382),IF(OR(NOT(COUNTIF('商品マスタ'!$B$6:$B$1005,$W7383)=0),COUNTIFS('①在庫を貼る'!$V$6:$V$10005,$V7383,'①在庫を貼る'!$W$6:$W$10005,$W7383)&gt;0),N(U7382),N(U7382)+1))</f>
        <v/>
      </c>
      <c r="V7383" s="19">
        <f>IF($B7383="","",TEXT($B7383,"0000"))</f>
        <v/>
      </c>
      <c r="W7383" s="19">
        <f>IF($I7383="","",IF(ISNUMBER($I7383),TEXT($I7383,"0"),$I7383))</f>
        <v/>
      </c>
    </row>
    <row r="7384">
      <c r="B7384" s="25" t="n"/>
      <c r="I7384" s="25" t="n"/>
      <c r="U7384" s="19">
        <f>IF($V7384&lt;&gt;'設定'!$C$4,N(U7383),IF(OR(NOT(COUNTIF('商品マスタ'!$B$6:$B$1005,$W7384)=0),COUNTIFS('①在庫を貼る'!$V$6:$V$10005,$V7384,'①在庫を貼る'!$W$6:$W$10005,$W7384)&gt;0),N(U7383),N(U7383)+1))</f>
        <v/>
      </c>
      <c r="V7384" s="19">
        <f>IF($B7384="","",TEXT($B7384,"0000"))</f>
        <v/>
      </c>
      <c r="W7384" s="19">
        <f>IF($I7384="","",IF(ISNUMBER($I7384),TEXT($I7384,"0"),$I7384))</f>
        <v/>
      </c>
    </row>
    <row r="7385">
      <c r="B7385" s="25" t="n"/>
      <c r="I7385" s="25" t="n"/>
      <c r="U7385" s="19">
        <f>IF($V7385&lt;&gt;'設定'!$C$4,N(U7384),IF(OR(NOT(COUNTIF('商品マスタ'!$B$6:$B$1005,$W7385)=0),COUNTIFS('①在庫を貼る'!$V$6:$V$10005,$V7385,'①在庫を貼る'!$W$6:$W$10005,$W7385)&gt;0),N(U7384),N(U7384)+1))</f>
        <v/>
      </c>
      <c r="V7385" s="19">
        <f>IF($B7385="","",TEXT($B7385,"0000"))</f>
        <v/>
      </c>
      <c r="W7385" s="19">
        <f>IF($I7385="","",IF(ISNUMBER($I7385),TEXT($I7385,"0"),$I7385))</f>
        <v/>
      </c>
    </row>
    <row r="7386">
      <c r="B7386" s="25" t="n"/>
      <c r="I7386" s="25" t="n"/>
      <c r="U7386" s="19">
        <f>IF($V7386&lt;&gt;'設定'!$C$4,N(U7385),IF(OR(NOT(COUNTIF('商品マスタ'!$B$6:$B$1005,$W7386)=0),COUNTIFS('①在庫を貼る'!$V$6:$V$10005,$V7386,'①在庫を貼る'!$W$6:$W$10005,$W7386)&gt;0),N(U7385),N(U7385)+1))</f>
        <v/>
      </c>
      <c r="V7386" s="19">
        <f>IF($B7386="","",TEXT($B7386,"0000"))</f>
        <v/>
      </c>
      <c r="W7386" s="19">
        <f>IF($I7386="","",IF(ISNUMBER($I7386),TEXT($I7386,"0"),$I7386))</f>
        <v/>
      </c>
    </row>
    <row r="7387">
      <c r="B7387" s="25" t="n"/>
      <c r="I7387" s="25" t="n"/>
      <c r="U7387" s="19">
        <f>IF($V7387&lt;&gt;'設定'!$C$4,N(U7386),IF(OR(NOT(COUNTIF('商品マスタ'!$B$6:$B$1005,$W7387)=0),COUNTIFS('①在庫を貼る'!$V$6:$V$10005,$V7387,'①在庫を貼る'!$W$6:$W$10005,$W7387)&gt;0),N(U7386),N(U7386)+1))</f>
        <v/>
      </c>
      <c r="V7387" s="19">
        <f>IF($B7387="","",TEXT($B7387,"0000"))</f>
        <v/>
      </c>
      <c r="W7387" s="19">
        <f>IF($I7387="","",IF(ISNUMBER($I7387),TEXT($I7387,"0"),$I7387))</f>
        <v/>
      </c>
    </row>
    <row r="7388">
      <c r="B7388" s="25" t="n"/>
      <c r="I7388" s="25" t="n"/>
      <c r="U7388" s="19">
        <f>IF($V7388&lt;&gt;'設定'!$C$4,N(U7387),IF(OR(NOT(COUNTIF('商品マスタ'!$B$6:$B$1005,$W7388)=0),COUNTIFS('①在庫を貼る'!$V$6:$V$10005,$V7388,'①在庫を貼る'!$W$6:$W$10005,$W7388)&gt;0),N(U7387),N(U7387)+1))</f>
        <v/>
      </c>
      <c r="V7388" s="19">
        <f>IF($B7388="","",TEXT($B7388,"0000"))</f>
        <v/>
      </c>
      <c r="W7388" s="19">
        <f>IF($I7388="","",IF(ISNUMBER($I7388),TEXT($I7388,"0"),$I7388))</f>
        <v/>
      </c>
    </row>
    <row r="7389">
      <c r="B7389" s="25" t="n"/>
      <c r="I7389" s="25" t="n"/>
      <c r="U7389" s="19">
        <f>IF($V7389&lt;&gt;'設定'!$C$4,N(U7388),IF(OR(NOT(COUNTIF('商品マスタ'!$B$6:$B$1005,$W7389)=0),COUNTIFS('①在庫を貼る'!$V$6:$V$10005,$V7389,'①在庫を貼る'!$W$6:$W$10005,$W7389)&gt;0),N(U7388),N(U7388)+1))</f>
        <v/>
      </c>
      <c r="V7389" s="19">
        <f>IF($B7389="","",TEXT($B7389,"0000"))</f>
        <v/>
      </c>
      <c r="W7389" s="19">
        <f>IF($I7389="","",IF(ISNUMBER($I7389),TEXT($I7389,"0"),$I7389))</f>
        <v/>
      </c>
    </row>
    <row r="7390">
      <c r="B7390" s="25" t="n"/>
      <c r="I7390" s="25" t="n"/>
      <c r="U7390" s="19">
        <f>IF($V7390&lt;&gt;'設定'!$C$4,N(U7389),IF(OR(NOT(COUNTIF('商品マスタ'!$B$6:$B$1005,$W7390)=0),COUNTIFS('①在庫を貼る'!$V$6:$V$10005,$V7390,'①在庫を貼る'!$W$6:$W$10005,$W7390)&gt;0),N(U7389),N(U7389)+1))</f>
        <v/>
      </c>
      <c r="V7390" s="19">
        <f>IF($B7390="","",TEXT($B7390,"0000"))</f>
        <v/>
      </c>
      <c r="W7390" s="19">
        <f>IF($I7390="","",IF(ISNUMBER($I7390),TEXT($I7390,"0"),$I7390))</f>
        <v/>
      </c>
    </row>
    <row r="7391">
      <c r="B7391" s="25" t="n"/>
      <c r="I7391" s="25" t="n"/>
      <c r="U7391" s="19">
        <f>IF($V7391&lt;&gt;'設定'!$C$4,N(U7390),IF(OR(NOT(COUNTIF('商品マスタ'!$B$6:$B$1005,$W7391)=0),COUNTIFS('①在庫を貼る'!$V$6:$V$10005,$V7391,'①在庫を貼る'!$W$6:$W$10005,$W7391)&gt;0),N(U7390),N(U7390)+1))</f>
        <v/>
      </c>
      <c r="V7391" s="19">
        <f>IF($B7391="","",TEXT($B7391,"0000"))</f>
        <v/>
      </c>
      <c r="W7391" s="19">
        <f>IF($I7391="","",IF(ISNUMBER($I7391),TEXT($I7391,"0"),$I7391))</f>
        <v/>
      </c>
    </row>
    <row r="7392">
      <c r="B7392" s="25" t="n"/>
      <c r="I7392" s="25" t="n"/>
      <c r="U7392" s="19">
        <f>IF($V7392&lt;&gt;'設定'!$C$4,N(U7391),IF(OR(NOT(COUNTIF('商品マスタ'!$B$6:$B$1005,$W7392)=0),COUNTIFS('①在庫を貼る'!$V$6:$V$10005,$V7392,'①在庫を貼る'!$W$6:$W$10005,$W7392)&gt;0),N(U7391),N(U7391)+1))</f>
        <v/>
      </c>
      <c r="V7392" s="19">
        <f>IF($B7392="","",TEXT($B7392,"0000"))</f>
        <v/>
      </c>
      <c r="W7392" s="19">
        <f>IF($I7392="","",IF(ISNUMBER($I7392),TEXT($I7392,"0"),$I7392))</f>
        <v/>
      </c>
    </row>
    <row r="7393">
      <c r="B7393" s="25" t="n"/>
      <c r="I7393" s="25" t="n"/>
      <c r="U7393" s="19">
        <f>IF($V7393&lt;&gt;'設定'!$C$4,N(U7392),IF(OR(NOT(COUNTIF('商品マスタ'!$B$6:$B$1005,$W7393)=0),COUNTIFS('①在庫を貼る'!$V$6:$V$10005,$V7393,'①在庫を貼る'!$W$6:$W$10005,$W7393)&gt;0),N(U7392),N(U7392)+1))</f>
        <v/>
      </c>
      <c r="V7393" s="19">
        <f>IF($B7393="","",TEXT($B7393,"0000"))</f>
        <v/>
      </c>
      <c r="W7393" s="19">
        <f>IF($I7393="","",IF(ISNUMBER($I7393),TEXT($I7393,"0"),$I7393))</f>
        <v/>
      </c>
    </row>
    <row r="7394">
      <c r="B7394" s="25" t="n"/>
      <c r="I7394" s="25" t="n"/>
      <c r="U7394" s="19">
        <f>IF($V7394&lt;&gt;'設定'!$C$4,N(U7393),IF(OR(NOT(COUNTIF('商品マスタ'!$B$6:$B$1005,$W7394)=0),COUNTIFS('①在庫を貼る'!$V$6:$V$10005,$V7394,'①在庫を貼る'!$W$6:$W$10005,$W7394)&gt;0),N(U7393),N(U7393)+1))</f>
        <v/>
      </c>
      <c r="V7394" s="19">
        <f>IF($B7394="","",TEXT($B7394,"0000"))</f>
        <v/>
      </c>
      <c r="W7394" s="19">
        <f>IF($I7394="","",IF(ISNUMBER($I7394),TEXT($I7394,"0"),$I7394))</f>
        <v/>
      </c>
    </row>
    <row r="7395">
      <c r="B7395" s="25" t="n"/>
      <c r="I7395" s="25" t="n"/>
      <c r="U7395" s="19">
        <f>IF($V7395&lt;&gt;'設定'!$C$4,N(U7394),IF(OR(NOT(COUNTIF('商品マスタ'!$B$6:$B$1005,$W7395)=0),COUNTIFS('①在庫を貼る'!$V$6:$V$10005,$V7395,'①在庫を貼る'!$W$6:$W$10005,$W7395)&gt;0),N(U7394),N(U7394)+1))</f>
        <v/>
      </c>
      <c r="V7395" s="19">
        <f>IF($B7395="","",TEXT($B7395,"0000"))</f>
        <v/>
      </c>
      <c r="W7395" s="19">
        <f>IF($I7395="","",IF(ISNUMBER($I7395),TEXT($I7395,"0"),$I7395))</f>
        <v/>
      </c>
    </row>
    <row r="7396">
      <c r="B7396" s="25" t="n"/>
      <c r="I7396" s="25" t="n"/>
      <c r="U7396" s="19">
        <f>IF($V7396&lt;&gt;'設定'!$C$4,N(U7395),IF(OR(NOT(COUNTIF('商品マスタ'!$B$6:$B$1005,$W7396)=0),COUNTIFS('①在庫を貼る'!$V$6:$V$10005,$V7396,'①在庫を貼る'!$W$6:$W$10005,$W7396)&gt;0),N(U7395),N(U7395)+1))</f>
        <v/>
      </c>
      <c r="V7396" s="19">
        <f>IF($B7396="","",TEXT($B7396,"0000"))</f>
        <v/>
      </c>
      <c r="W7396" s="19">
        <f>IF($I7396="","",IF(ISNUMBER($I7396),TEXT($I7396,"0"),$I7396))</f>
        <v/>
      </c>
    </row>
    <row r="7397">
      <c r="B7397" s="25" t="n"/>
      <c r="I7397" s="25" t="n"/>
      <c r="U7397" s="19">
        <f>IF($V7397&lt;&gt;'設定'!$C$4,N(U7396),IF(OR(NOT(COUNTIF('商品マスタ'!$B$6:$B$1005,$W7397)=0),COUNTIFS('①在庫を貼る'!$V$6:$V$10005,$V7397,'①在庫を貼る'!$W$6:$W$10005,$W7397)&gt;0),N(U7396),N(U7396)+1))</f>
        <v/>
      </c>
      <c r="V7397" s="19">
        <f>IF($B7397="","",TEXT($B7397,"0000"))</f>
        <v/>
      </c>
      <c r="W7397" s="19">
        <f>IF($I7397="","",IF(ISNUMBER($I7397),TEXT($I7397,"0"),$I7397))</f>
        <v/>
      </c>
    </row>
    <row r="7398">
      <c r="B7398" s="25" t="n"/>
      <c r="I7398" s="25" t="n"/>
      <c r="U7398" s="19">
        <f>IF($V7398&lt;&gt;'設定'!$C$4,N(U7397),IF(OR(NOT(COUNTIF('商品マスタ'!$B$6:$B$1005,$W7398)=0),COUNTIFS('①在庫を貼る'!$V$6:$V$10005,$V7398,'①在庫を貼る'!$W$6:$W$10005,$W7398)&gt;0),N(U7397),N(U7397)+1))</f>
        <v/>
      </c>
      <c r="V7398" s="19">
        <f>IF($B7398="","",TEXT($B7398,"0000"))</f>
        <v/>
      </c>
      <c r="W7398" s="19">
        <f>IF($I7398="","",IF(ISNUMBER($I7398),TEXT($I7398,"0"),$I7398))</f>
        <v/>
      </c>
    </row>
    <row r="7399">
      <c r="B7399" s="25" t="n"/>
      <c r="I7399" s="25" t="n"/>
      <c r="U7399" s="19">
        <f>IF($V7399&lt;&gt;'設定'!$C$4,N(U7398),IF(OR(NOT(COUNTIF('商品マスタ'!$B$6:$B$1005,$W7399)=0),COUNTIFS('①在庫を貼る'!$V$6:$V$10005,$V7399,'①在庫を貼る'!$W$6:$W$10005,$W7399)&gt;0),N(U7398),N(U7398)+1))</f>
        <v/>
      </c>
      <c r="V7399" s="19">
        <f>IF($B7399="","",TEXT($B7399,"0000"))</f>
        <v/>
      </c>
      <c r="W7399" s="19">
        <f>IF($I7399="","",IF(ISNUMBER($I7399),TEXT($I7399,"0"),$I7399))</f>
        <v/>
      </c>
    </row>
    <row r="7400">
      <c r="B7400" s="25" t="n"/>
      <c r="I7400" s="25" t="n"/>
      <c r="U7400" s="19">
        <f>IF($V7400&lt;&gt;'設定'!$C$4,N(U7399),IF(OR(NOT(COUNTIF('商品マスタ'!$B$6:$B$1005,$W7400)=0),COUNTIFS('①在庫を貼る'!$V$6:$V$10005,$V7400,'①在庫を貼る'!$W$6:$W$10005,$W7400)&gt;0),N(U7399),N(U7399)+1))</f>
        <v/>
      </c>
      <c r="V7400" s="19">
        <f>IF($B7400="","",TEXT($B7400,"0000"))</f>
        <v/>
      </c>
      <c r="W7400" s="19">
        <f>IF($I7400="","",IF(ISNUMBER($I7400),TEXT($I7400,"0"),$I7400))</f>
        <v/>
      </c>
    </row>
    <row r="7401">
      <c r="B7401" s="25" t="n"/>
      <c r="I7401" s="25" t="n"/>
      <c r="U7401" s="19">
        <f>IF($V7401&lt;&gt;'設定'!$C$4,N(U7400),IF(OR(NOT(COUNTIF('商品マスタ'!$B$6:$B$1005,$W7401)=0),COUNTIFS('①在庫を貼る'!$V$6:$V$10005,$V7401,'①在庫を貼る'!$W$6:$W$10005,$W7401)&gt;0),N(U7400),N(U7400)+1))</f>
        <v/>
      </c>
      <c r="V7401" s="19">
        <f>IF($B7401="","",TEXT($B7401,"0000"))</f>
        <v/>
      </c>
      <c r="W7401" s="19">
        <f>IF($I7401="","",IF(ISNUMBER($I7401),TEXT($I7401,"0"),$I7401))</f>
        <v/>
      </c>
    </row>
    <row r="7402">
      <c r="B7402" s="25" t="n"/>
      <c r="I7402" s="25" t="n"/>
      <c r="U7402" s="19">
        <f>IF($V7402&lt;&gt;'設定'!$C$4,N(U7401),IF(OR(NOT(COUNTIF('商品マスタ'!$B$6:$B$1005,$W7402)=0),COUNTIFS('①在庫を貼る'!$V$6:$V$10005,$V7402,'①在庫を貼る'!$W$6:$W$10005,$W7402)&gt;0),N(U7401),N(U7401)+1))</f>
        <v/>
      </c>
      <c r="V7402" s="19">
        <f>IF($B7402="","",TEXT($B7402,"0000"))</f>
        <v/>
      </c>
      <c r="W7402" s="19">
        <f>IF($I7402="","",IF(ISNUMBER($I7402),TEXT($I7402,"0"),$I7402))</f>
        <v/>
      </c>
    </row>
    <row r="7403">
      <c r="B7403" s="25" t="n"/>
      <c r="I7403" s="25" t="n"/>
      <c r="U7403" s="19">
        <f>IF($V7403&lt;&gt;'設定'!$C$4,N(U7402),IF(OR(NOT(COUNTIF('商品マスタ'!$B$6:$B$1005,$W7403)=0),COUNTIFS('①在庫を貼る'!$V$6:$V$10005,$V7403,'①在庫を貼る'!$W$6:$W$10005,$W7403)&gt;0),N(U7402),N(U7402)+1))</f>
        <v/>
      </c>
      <c r="V7403" s="19">
        <f>IF($B7403="","",TEXT($B7403,"0000"))</f>
        <v/>
      </c>
      <c r="W7403" s="19">
        <f>IF($I7403="","",IF(ISNUMBER($I7403),TEXT($I7403,"0"),$I7403))</f>
        <v/>
      </c>
    </row>
    <row r="7404">
      <c r="B7404" s="25" t="n"/>
      <c r="I7404" s="25" t="n"/>
      <c r="U7404" s="19">
        <f>IF($V7404&lt;&gt;'設定'!$C$4,N(U7403),IF(OR(NOT(COUNTIF('商品マスタ'!$B$6:$B$1005,$W7404)=0),COUNTIFS('①在庫を貼る'!$V$6:$V$10005,$V7404,'①在庫を貼る'!$W$6:$W$10005,$W7404)&gt;0),N(U7403),N(U7403)+1))</f>
        <v/>
      </c>
      <c r="V7404" s="19">
        <f>IF($B7404="","",TEXT($B7404,"0000"))</f>
        <v/>
      </c>
      <c r="W7404" s="19">
        <f>IF($I7404="","",IF(ISNUMBER($I7404),TEXT($I7404,"0"),$I7404))</f>
        <v/>
      </c>
    </row>
    <row r="7405">
      <c r="B7405" s="25" t="n"/>
      <c r="I7405" s="25" t="n"/>
      <c r="U7405" s="19">
        <f>IF($V7405&lt;&gt;'設定'!$C$4,N(U7404),IF(OR(NOT(COUNTIF('商品マスタ'!$B$6:$B$1005,$W7405)=0),COUNTIFS('①在庫を貼る'!$V$6:$V$10005,$V7405,'①在庫を貼る'!$W$6:$W$10005,$W7405)&gt;0),N(U7404),N(U7404)+1))</f>
        <v/>
      </c>
      <c r="V7405" s="19">
        <f>IF($B7405="","",TEXT($B7405,"0000"))</f>
        <v/>
      </c>
      <c r="W7405" s="19">
        <f>IF($I7405="","",IF(ISNUMBER($I7405),TEXT($I7405,"0"),$I7405))</f>
        <v/>
      </c>
    </row>
    <row r="7406">
      <c r="B7406" s="25" t="n"/>
      <c r="I7406" s="25" t="n"/>
      <c r="U7406" s="19">
        <f>IF($V7406&lt;&gt;'設定'!$C$4,N(U7405),IF(OR(NOT(COUNTIF('商品マスタ'!$B$6:$B$1005,$W7406)=0),COUNTIFS('①在庫を貼る'!$V$6:$V$10005,$V7406,'①在庫を貼る'!$W$6:$W$10005,$W7406)&gt;0),N(U7405),N(U7405)+1))</f>
        <v/>
      </c>
      <c r="V7406" s="19">
        <f>IF($B7406="","",TEXT($B7406,"0000"))</f>
        <v/>
      </c>
      <c r="W7406" s="19">
        <f>IF($I7406="","",IF(ISNUMBER($I7406),TEXT($I7406,"0"),$I7406))</f>
        <v/>
      </c>
    </row>
    <row r="7407">
      <c r="B7407" s="25" t="n"/>
      <c r="I7407" s="25" t="n"/>
      <c r="U7407" s="19">
        <f>IF($V7407&lt;&gt;'設定'!$C$4,N(U7406),IF(OR(NOT(COUNTIF('商品マスタ'!$B$6:$B$1005,$W7407)=0),COUNTIFS('①在庫を貼る'!$V$6:$V$10005,$V7407,'①在庫を貼る'!$W$6:$W$10005,$W7407)&gt;0),N(U7406),N(U7406)+1))</f>
        <v/>
      </c>
      <c r="V7407" s="19">
        <f>IF($B7407="","",TEXT($B7407,"0000"))</f>
        <v/>
      </c>
      <c r="W7407" s="19">
        <f>IF($I7407="","",IF(ISNUMBER($I7407),TEXT($I7407,"0"),$I7407))</f>
        <v/>
      </c>
    </row>
    <row r="7408">
      <c r="B7408" s="25" t="n"/>
      <c r="I7408" s="25" t="n"/>
      <c r="U7408" s="19">
        <f>IF($V7408&lt;&gt;'設定'!$C$4,N(U7407),IF(OR(NOT(COUNTIF('商品マスタ'!$B$6:$B$1005,$W7408)=0),COUNTIFS('①在庫を貼る'!$V$6:$V$10005,$V7408,'①在庫を貼る'!$W$6:$W$10005,$W7408)&gt;0),N(U7407),N(U7407)+1))</f>
        <v/>
      </c>
      <c r="V7408" s="19">
        <f>IF($B7408="","",TEXT($B7408,"0000"))</f>
        <v/>
      </c>
      <c r="W7408" s="19">
        <f>IF($I7408="","",IF(ISNUMBER($I7408),TEXT($I7408,"0"),$I7408))</f>
        <v/>
      </c>
    </row>
    <row r="7409">
      <c r="B7409" s="25" t="n"/>
      <c r="I7409" s="25" t="n"/>
      <c r="U7409" s="19">
        <f>IF($V7409&lt;&gt;'設定'!$C$4,N(U7408),IF(OR(NOT(COUNTIF('商品マスタ'!$B$6:$B$1005,$W7409)=0),COUNTIFS('①在庫を貼る'!$V$6:$V$10005,$V7409,'①在庫を貼る'!$W$6:$W$10005,$W7409)&gt;0),N(U7408),N(U7408)+1))</f>
        <v/>
      </c>
      <c r="V7409" s="19">
        <f>IF($B7409="","",TEXT($B7409,"0000"))</f>
        <v/>
      </c>
      <c r="W7409" s="19">
        <f>IF($I7409="","",IF(ISNUMBER($I7409),TEXT($I7409,"0"),$I7409))</f>
        <v/>
      </c>
    </row>
    <row r="7410">
      <c r="B7410" s="25" t="n"/>
      <c r="I7410" s="25" t="n"/>
      <c r="U7410" s="19">
        <f>IF($V7410&lt;&gt;'設定'!$C$4,N(U7409),IF(OR(NOT(COUNTIF('商品マスタ'!$B$6:$B$1005,$W7410)=0),COUNTIFS('①在庫を貼る'!$V$6:$V$10005,$V7410,'①在庫を貼る'!$W$6:$W$10005,$W7410)&gt;0),N(U7409),N(U7409)+1))</f>
        <v/>
      </c>
      <c r="V7410" s="19">
        <f>IF($B7410="","",TEXT($B7410,"0000"))</f>
        <v/>
      </c>
      <c r="W7410" s="19">
        <f>IF($I7410="","",IF(ISNUMBER($I7410),TEXT($I7410,"0"),$I7410))</f>
        <v/>
      </c>
    </row>
    <row r="7411">
      <c r="B7411" s="25" t="n"/>
      <c r="I7411" s="25" t="n"/>
      <c r="U7411" s="19">
        <f>IF($V7411&lt;&gt;'設定'!$C$4,N(U7410),IF(OR(NOT(COUNTIF('商品マスタ'!$B$6:$B$1005,$W7411)=0),COUNTIFS('①在庫を貼る'!$V$6:$V$10005,$V7411,'①在庫を貼る'!$W$6:$W$10005,$W7411)&gt;0),N(U7410),N(U7410)+1))</f>
        <v/>
      </c>
      <c r="V7411" s="19">
        <f>IF($B7411="","",TEXT($B7411,"0000"))</f>
        <v/>
      </c>
      <c r="W7411" s="19">
        <f>IF($I7411="","",IF(ISNUMBER($I7411),TEXT($I7411,"0"),$I7411))</f>
        <v/>
      </c>
    </row>
    <row r="7412">
      <c r="B7412" s="25" t="n"/>
      <c r="I7412" s="25" t="n"/>
      <c r="U7412" s="19">
        <f>IF($V7412&lt;&gt;'設定'!$C$4,N(U7411),IF(OR(NOT(COUNTIF('商品マスタ'!$B$6:$B$1005,$W7412)=0),COUNTIFS('①在庫を貼る'!$V$6:$V$10005,$V7412,'①在庫を貼る'!$W$6:$W$10005,$W7412)&gt;0),N(U7411),N(U7411)+1))</f>
        <v/>
      </c>
      <c r="V7412" s="19">
        <f>IF($B7412="","",TEXT($B7412,"0000"))</f>
        <v/>
      </c>
      <c r="W7412" s="19">
        <f>IF($I7412="","",IF(ISNUMBER($I7412),TEXT($I7412,"0"),$I7412))</f>
        <v/>
      </c>
    </row>
    <row r="7413">
      <c r="B7413" s="25" t="n"/>
      <c r="I7413" s="25" t="n"/>
      <c r="U7413" s="19">
        <f>IF($V7413&lt;&gt;'設定'!$C$4,N(U7412),IF(OR(NOT(COUNTIF('商品マスタ'!$B$6:$B$1005,$W7413)=0),COUNTIFS('①在庫を貼る'!$V$6:$V$10005,$V7413,'①在庫を貼る'!$W$6:$W$10005,$W7413)&gt;0),N(U7412),N(U7412)+1))</f>
        <v/>
      </c>
      <c r="V7413" s="19">
        <f>IF($B7413="","",TEXT($B7413,"0000"))</f>
        <v/>
      </c>
      <c r="W7413" s="19">
        <f>IF($I7413="","",IF(ISNUMBER($I7413),TEXT($I7413,"0"),$I7413))</f>
        <v/>
      </c>
    </row>
    <row r="7414">
      <c r="B7414" s="25" t="n"/>
      <c r="I7414" s="25" t="n"/>
      <c r="U7414" s="19">
        <f>IF($V7414&lt;&gt;'設定'!$C$4,N(U7413),IF(OR(NOT(COUNTIF('商品マスタ'!$B$6:$B$1005,$W7414)=0),COUNTIFS('①在庫を貼る'!$V$6:$V$10005,$V7414,'①在庫を貼る'!$W$6:$W$10005,$W7414)&gt;0),N(U7413),N(U7413)+1))</f>
        <v/>
      </c>
      <c r="V7414" s="19">
        <f>IF($B7414="","",TEXT($B7414,"0000"))</f>
        <v/>
      </c>
      <c r="W7414" s="19">
        <f>IF($I7414="","",IF(ISNUMBER($I7414),TEXT($I7414,"0"),$I7414))</f>
        <v/>
      </c>
    </row>
    <row r="7415">
      <c r="B7415" s="25" t="n"/>
      <c r="I7415" s="25" t="n"/>
      <c r="U7415" s="19">
        <f>IF($V7415&lt;&gt;'設定'!$C$4,N(U7414),IF(OR(NOT(COUNTIF('商品マスタ'!$B$6:$B$1005,$W7415)=0),COUNTIFS('①在庫を貼る'!$V$6:$V$10005,$V7415,'①在庫を貼る'!$W$6:$W$10005,$W7415)&gt;0),N(U7414),N(U7414)+1))</f>
        <v/>
      </c>
      <c r="V7415" s="19">
        <f>IF($B7415="","",TEXT($B7415,"0000"))</f>
        <v/>
      </c>
      <c r="W7415" s="19">
        <f>IF($I7415="","",IF(ISNUMBER($I7415),TEXT($I7415,"0"),$I7415))</f>
        <v/>
      </c>
    </row>
    <row r="7416">
      <c r="B7416" s="25" t="n"/>
      <c r="I7416" s="25" t="n"/>
      <c r="U7416" s="19">
        <f>IF($V7416&lt;&gt;'設定'!$C$4,N(U7415),IF(OR(NOT(COUNTIF('商品マスタ'!$B$6:$B$1005,$W7416)=0),COUNTIFS('①在庫を貼る'!$V$6:$V$10005,$V7416,'①在庫を貼る'!$W$6:$W$10005,$W7416)&gt;0),N(U7415),N(U7415)+1))</f>
        <v/>
      </c>
      <c r="V7416" s="19">
        <f>IF($B7416="","",TEXT($B7416,"0000"))</f>
        <v/>
      </c>
      <c r="W7416" s="19">
        <f>IF($I7416="","",IF(ISNUMBER($I7416),TEXT($I7416,"0"),$I7416))</f>
        <v/>
      </c>
    </row>
    <row r="7417">
      <c r="B7417" s="25" t="n"/>
      <c r="I7417" s="25" t="n"/>
      <c r="U7417" s="19">
        <f>IF($V7417&lt;&gt;'設定'!$C$4,N(U7416),IF(OR(NOT(COUNTIF('商品マスタ'!$B$6:$B$1005,$W7417)=0),COUNTIFS('①在庫を貼る'!$V$6:$V$10005,$V7417,'①在庫を貼る'!$W$6:$W$10005,$W7417)&gt;0),N(U7416),N(U7416)+1))</f>
        <v/>
      </c>
      <c r="V7417" s="19">
        <f>IF($B7417="","",TEXT($B7417,"0000"))</f>
        <v/>
      </c>
      <c r="W7417" s="19">
        <f>IF($I7417="","",IF(ISNUMBER($I7417),TEXT($I7417,"0"),$I7417))</f>
        <v/>
      </c>
    </row>
    <row r="7418">
      <c r="B7418" s="25" t="n"/>
      <c r="I7418" s="25" t="n"/>
      <c r="U7418" s="19">
        <f>IF($V7418&lt;&gt;'設定'!$C$4,N(U7417),IF(OR(NOT(COUNTIF('商品マスタ'!$B$6:$B$1005,$W7418)=0),COUNTIFS('①在庫を貼る'!$V$6:$V$10005,$V7418,'①在庫を貼る'!$W$6:$W$10005,$W7418)&gt;0),N(U7417),N(U7417)+1))</f>
        <v/>
      </c>
      <c r="V7418" s="19">
        <f>IF($B7418="","",TEXT($B7418,"0000"))</f>
        <v/>
      </c>
      <c r="W7418" s="19">
        <f>IF($I7418="","",IF(ISNUMBER($I7418),TEXT($I7418,"0"),$I7418))</f>
        <v/>
      </c>
    </row>
    <row r="7419">
      <c r="B7419" s="25" t="n"/>
      <c r="I7419" s="25" t="n"/>
      <c r="U7419" s="19">
        <f>IF($V7419&lt;&gt;'設定'!$C$4,N(U7418),IF(OR(NOT(COUNTIF('商品マスタ'!$B$6:$B$1005,$W7419)=0),COUNTIFS('①在庫を貼る'!$V$6:$V$10005,$V7419,'①在庫を貼る'!$W$6:$W$10005,$W7419)&gt;0),N(U7418),N(U7418)+1))</f>
        <v/>
      </c>
      <c r="V7419" s="19">
        <f>IF($B7419="","",TEXT($B7419,"0000"))</f>
        <v/>
      </c>
      <c r="W7419" s="19">
        <f>IF($I7419="","",IF(ISNUMBER($I7419),TEXT($I7419,"0"),$I7419))</f>
        <v/>
      </c>
    </row>
    <row r="7420">
      <c r="B7420" s="25" t="n"/>
      <c r="I7420" s="25" t="n"/>
      <c r="U7420" s="19">
        <f>IF($V7420&lt;&gt;'設定'!$C$4,N(U7419),IF(OR(NOT(COUNTIF('商品マスタ'!$B$6:$B$1005,$W7420)=0),COUNTIFS('①在庫を貼る'!$V$6:$V$10005,$V7420,'①在庫を貼る'!$W$6:$W$10005,$W7420)&gt;0),N(U7419),N(U7419)+1))</f>
        <v/>
      </c>
      <c r="V7420" s="19">
        <f>IF($B7420="","",TEXT($B7420,"0000"))</f>
        <v/>
      </c>
      <c r="W7420" s="19">
        <f>IF($I7420="","",IF(ISNUMBER($I7420),TEXT($I7420,"0"),$I7420))</f>
        <v/>
      </c>
    </row>
    <row r="7421">
      <c r="B7421" s="25" t="n"/>
      <c r="I7421" s="25" t="n"/>
      <c r="U7421" s="19">
        <f>IF($V7421&lt;&gt;'設定'!$C$4,N(U7420),IF(OR(NOT(COUNTIF('商品マスタ'!$B$6:$B$1005,$W7421)=0),COUNTIFS('①在庫を貼る'!$V$6:$V$10005,$V7421,'①在庫を貼る'!$W$6:$W$10005,$W7421)&gt;0),N(U7420),N(U7420)+1))</f>
        <v/>
      </c>
      <c r="V7421" s="19">
        <f>IF($B7421="","",TEXT($B7421,"0000"))</f>
        <v/>
      </c>
      <c r="W7421" s="19">
        <f>IF($I7421="","",IF(ISNUMBER($I7421),TEXT($I7421,"0"),$I7421))</f>
        <v/>
      </c>
    </row>
    <row r="7422">
      <c r="B7422" s="25" t="n"/>
      <c r="I7422" s="25" t="n"/>
      <c r="U7422" s="19">
        <f>IF($V7422&lt;&gt;'設定'!$C$4,N(U7421),IF(OR(NOT(COUNTIF('商品マスタ'!$B$6:$B$1005,$W7422)=0),COUNTIFS('①在庫を貼る'!$V$6:$V$10005,$V7422,'①在庫を貼る'!$W$6:$W$10005,$W7422)&gt;0),N(U7421),N(U7421)+1))</f>
        <v/>
      </c>
      <c r="V7422" s="19">
        <f>IF($B7422="","",TEXT($B7422,"0000"))</f>
        <v/>
      </c>
      <c r="W7422" s="19">
        <f>IF($I7422="","",IF(ISNUMBER($I7422),TEXT($I7422,"0"),$I7422))</f>
        <v/>
      </c>
    </row>
    <row r="7423">
      <c r="B7423" s="25" t="n"/>
      <c r="I7423" s="25" t="n"/>
      <c r="U7423" s="19">
        <f>IF($V7423&lt;&gt;'設定'!$C$4,N(U7422),IF(OR(NOT(COUNTIF('商品マスタ'!$B$6:$B$1005,$W7423)=0),COUNTIFS('①在庫を貼る'!$V$6:$V$10005,$V7423,'①在庫を貼る'!$W$6:$W$10005,$W7423)&gt;0),N(U7422),N(U7422)+1))</f>
        <v/>
      </c>
      <c r="V7423" s="19">
        <f>IF($B7423="","",TEXT($B7423,"0000"))</f>
        <v/>
      </c>
      <c r="W7423" s="19">
        <f>IF($I7423="","",IF(ISNUMBER($I7423),TEXT($I7423,"0"),$I7423))</f>
        <v/>
      </c>
    </row>
    <row r="7424">
      <c r="B7424" s="25" t="n"/>
      <c r="I7424" s="25" t="n"/>
      <c r="U7424" s="19">
        <f>IF($V7424&lt;&gt;'設定'!$C$4,N(U7423),IF(OR(NOT(COUNTIF('商品マスタ'!$B$6:$B$1005,$W7424)=0),COUNTIFS('①在庫を貼る'!$V$6:$V$10005,$V7424,'①在庫を貼る'!$W$6:$W$10005,$W7424)&gt;0),N(U7423),N(U7423)+1))</f>
        <v/>
      </c>
      <c r="V7424" s="19">
        <f>IF($B7424="","",TEXT($B7424,"0000"))</f>
        <v/>
      </c>
      <c r="W7424" s="19">
        <f>IF($I7424="","",IF(ISNUMBER($I7424),TEXT($I7424,"0"),$I7424))</f>
        <v/>
      </c>
    </row>
    <row r="7425">
      <c r="B7425" s="25" t="n"/>
      <c r="I7425" s="25" t="n"/>
      <c r="U7425" s="19">
        <f>IF($V7425&lt;&gt;'設定'!$C$4,N(U7424),IF(OR(NOT(COUNTIF('商品マスタ'!$B$6:$B$1005,$W7425)=0),COUNTIFS('①在庫を貼る'!$V$6:$V$10005,$V7425,'①在庫を貼る'!$W$6:$W$10005,$W7425)&gt;0),N(U7424),N(U7424)+1))</f>
        <v/>
      </c>
      <c r="V7425" s="19">
        <f>IF($B7425="","",TEXT($B7425,"0000"))</f>
        <v/>
      </c>
      <c r="W7425" s="19">
        <f>IF($I7425="","",IF(ISNUMBER($I7425),TEXT($I7425,"0"),$I7425))</f>
        <v/>
      </c>
    </row>
    <row r="7426">
      <c r="B7426" s="25" t="n"/>
      <c r="I7426" s="25" t="n"/>
      <c r="U7426" s="19">
        <f>IF($V7426&lt;&gt;'設定'!$C$4,N(U7425),IF(OR(NOT(COUNTIF('商品マスタ'!$B$6:$B$1005,$W7426)=0),COUNTIFS('①在庫を貼る'!$V$6:$V$10005,$V7426,'①在庫を貼る'!$W$6:$W$10005,$W7426)&gt;0),N(U7425),N(U7425)+1))</f>
        <v/>
      </c>
      <c r="V7426" s="19">
        <f>IF($B7426="","",TEXT($B7426,"0000"))</f>
        <v/>
      </c>
      <c r="W7426" s="19">
        <f>IF($I7426="","",IF(ISNUMBER($I7426),TEXT($I7426,"0"),$I7426))</f>
        <v/>
      </c>
    </row>
    <row r="7427">
      <c r="B7427" s="25" t="n"/>
      <c r="I7427" s="25" t="n"/>
      <c r="U7427" s="19">
        <f>IF($V7427&lt;&gt;'設定'!$C$4,N(U7426),IF(OR(NOT(COUNTIF('商品マスタ'!$B$6:$B$1005,$W7427)=0),COUNTIFS('①在庫を貼る'!$V$6:$V$10005,$V7427,'①在庫を貼る'!$W$6:$W$10005,$W7427)&gt;0),N(U7426),N(U7426)+1))</f>
        <v/>
      </c>
      <c r="V7427" s="19">
        <f>IF($B7427="","",TEXT($B7427,"0000"))</f>
        <v/>
      </c>
      <c r="W7427" s="19">
        <f>IF($I7427="","",IF(ISNUMBER($I7427),TEXT($I7427,"0"),$I7427))</f>
        <v/>
      </c>
    </row>
    <row r="7428">
      <c r="B7428" s="25" t="n"/>
      <c r="I7428" s="25" t="n"/>
      <c r="U7428" s="19">
        <f>IF($V7428&lt;&gt;'設定'!$C$4,N(U7427),IF(OR(NOT(COUNTIF('商品マスタ'!$B$6:$B$1005,$W7428)=0),COUNTIFS('①在庫を貼る'!$V$6:$V$10005,$V7428,'①在庫を貼る'!$W$6:$W$10005,$W7428)&gt;0),N(U7427),N(U7427)+1))</f>
        <v/>
      </c>
      <c r="V7428" s="19">
        <f>IF($B7428="","",TEXT($B7428,"0000"))</f>
        <v/>
      </c>
      <c r="W7428" s="19">
        <f>IF($I7428="","",IF(ISNUMBER($I7428),TEXT($I7428,"0"),$I7428))</f>
        <v/>
      </c>
    </row>
    <row r="7429">
      <c r="B7429" s="25" t="n"/>
      <c r="I7429" s="25" t="n"/>
      <c r="U7429" s="19">
        <f>IF($V7429&lt;&gt;'設定'!$C$4,N(U7428),IF(OR(NOT(COUNTIF('商品マスタ'!$B$6:$B$1005,$W7429)=0),COUNTIFS('①在庫を貼る'!$V$6:$V$10005,$V7429,'①在庫を貼る'!$W$6:$W$10005,$W7429)&gt;0),N(U7428),N(U7428)+1))</f>
        <v/>
      </c>
      <c r="V7429" s="19">
        <f>IF($B7429="","",TEXT($B7429,"0000"))</f>
        <v/>
      </c>
      <c r="W7429" s="19">
        <f>IF($I7429="","",IF(ISNUMBER($I7429),TEXT($I7429,"0"),$I7429))</f>
        <v/>
      </c>
    </row>
    <row r="7430">
      <c r="B7430" s="25" t="n"/>
      <c r="I7430" s="25" t="n"/>
      <c r="U7430" s="19">
        <f>IF($V7430&lt;&gt;'設定'!$C$4,N(U7429),IF(OR(NOT(COUNTIF('商品マスタ'!$B$6:$B$1005,$W7430)=0),COUNTIFS('①在庫を貼る'!$V$6:$V$10005,$V7430,'①在庫を貼る'!$W$6:$W$10005,$W7430)&gt;0),N(U7429),N(U7429)+1))</f>
        <v/>
      </c>
      <c r="V7430" s="19">
        <f>IF($B7430="","",TEXT($B7430,"0000"))</f>
        <v/>
      </c>
      <c r="W7430" s="19">
        <f>IF($I7430="","",IF(ISNUMBER($I7430),TEXT($I7430,"0"),$I7430))</f>
        <v/>
      </c>
    </row>
    <row r="7431">
      <c r="B7431" s="25" t="n"/>
      <c r="I7431" s="25" t="n"/>
      <c r="U7431" s="19">
        <f>IF($V7431&lt;&gt;'設定'!$C$4,N(U7430),IF(OR(NOT(COUNTIF('商品マスタ'!$B$6:$B$1005,$W7431)=0),COUNTIFS('①在庫を貼る'!$V$6:$V$10005,$V7431,'①在庫を貼る'!$W$6:$W$10005,$W7431)&gt;0),N(U7430),N(U7430)+1))</f>
        <v/>
      </c>
      <c r="V7431" s="19">
        <f>IF($B7431="","",TEXT($B7431,"0000"))</f>
        <v/>
      </c>
      <c r="W7431" s="19">
        <f>IF($I7431="","",IF(ISNUMBER($I7431),TEXT($I7431,"0"),$I7431))</f>
        <v/>
      </c>
    </row>
    <row r="7432">
      <c r="B7432" s="25" t="n"/>
      <c r="I7432" s="25" t="n"/>
      <c r="U7432" s="19">
        <f>IF($V7432&lt;&gt;'設定'!$C$4,N(U7431),IF(OR(NOT(COUNTIF('商品マスタ'!$B$6:$B$1005,$W7432)=0),COUNTIFS('①在庫を貼る'!$V$6:$V$10005,$V7432,'①在庫を貼る'!$W$6:$W$10005,$W7432)&gt;0),N(U7431),N(U7431)+1))</f>
        <v/>
      </c>
      <c r="V7432" s="19">
        <f>IF($B7432="","",TEXT($B7432,"0000"))</f>
        <v/>
      </c>
      <c r="W7432" s="19">
        <f>IF($I7432="","",IF(ISNUMBER($I7432),TEXT($I7432,"0"),$I7432))</f>
        <v/>
      </c>
    </row>
    <row r="7433">
      <c r="B7433" s="25" t="n"/>
      <c r="I7433" s="25" t="n"/>
      <c r="U7433" s="19">
        <f>IF($V7433&lt;&gt;'設定'!$C$4,N(U7432),IF(OR(NOT(COUNTIF('商品マスタ'!$B$6:$B$1005,$W7433)=0),COUNTIFS('①在庫を貼る'!$V$6:$V$10005,$V7433,'①在庫を貼る'!$W$6:$W$10005,$W7433)&gt;0),N(U7432),N(U7432)+1))</f>
        <v/>
      </c>
      <c r="V7433" s="19">
        <f>IF($B7433="","",TEXT($B7433,"0000"))</f>
        <v/>
      </c>
      <c r="W7433" s="19">
        <f>IF($I7433="","",IF(ISNUMBER($I7433),TEXT($I7433,"0"),$I7433))</f>
        <v/>
      </c>
    </row>
    <row r="7434">
      <c r="B7434" s="25" t="n"/>
      <c r="I7434" s="25" t="n"/>
      <c r="U7434" s="19">
        <f>IF($V7434&lt;&gt;'設定'!$C$4,N(U7433),IF(OR(NOT(COUNTIF('商品マスタ'!$B$6:$B$1005,$W7434)=0),COUNTIFS('①在庫を貼る'!$V$6:$V$10005,$V7434,'①在庫を貼る'!$W$6:$W$10005,$W7434)&gt;0),N(U7433),N(U7433)+1))</f>
        <v/>
      </c>
      <c r="V7434" s="19">
        <f>IF($B7434="","",TEXT($B7434,"0000"))</f>
        <v/>
      </c>
      <c r="W7434" s="19">
        <f>IF($I7434="","",IF(ISNUMBER($I7434),TEXT($I7434,"0"),$I7434))</f>
        <v/>
      </c>
    </row>
    <row r="7435">
      <c r="B7435" s="25" t="n"/>
      <c r="I7435" s="25" t="n"/>
      <c r="U7435" s="19">
        <f>IF($V7435&lt;&gt;'設定'!$C$4,N(U7434),IF(OR(NOT(COUNTIF('商品マスタ'!$B$6:$B$1005,$W7435)=0),COUNTIFS('①在庫を貼る'!$V$6:$V$10005,$V7435,'①在庫を貼る'!$W$6:$W$10005,$W7435)&gt;0),N(U7434),N(U7434)+1))</f>
        <v/>
      </c>
      <c r="V7435" s="19">
        <f>IF($B7435="","",TEXT($B7435,"0000"))</f>
        <v/>
      </c>
      <c r="W7435" s="19">
        <f>IF($I7435="","",IF(ISNUMBER($I7435),TEXT($I7435,"0"),$I7435))</f>
        <v/>
      </c>
    </row>
    <row r="7436">
      <c r="B7436" s="25" t="n"/>
      <c r="I7436" s="25" t="n"/>
      <c r="U7436" s="19">
        <f>IF($V7436&lt;&gt;'設定'!$C$4,N(U7435),IF(OR(NOT(COUNTIF('商品マスタ'!$B$6:$B$1005,$W7436)=0),COUNTIFS('①在庫を貼る'!$V$6:$V$10005,$V7436,'①在庫を貼る'!$W$6:$W$10005,$W7436)&gt;0),N(U7435),N(U7435)+1))</f>
        <v/>
      </c>
      <c r="V7436" s="19">
        <f>IF($B7436="","",TEXT($B7436,"0000"))</f>
        <v/>
      </c>
      <c r="W7436" s="19">
        <f>IF($I7436="","",IF(ISNUMBER($I7436),TEXT($I7436,"0"),$I7436))</f>
        <v/>
      </c>
    </row>
    <row r="7437">
      <c r="B7437" s="25" t="n"/>
      <c r="I7437" s="25" t="n"/>
      <c r="U7437" s="19">
        <f>IF($V7437&lt;&gt;'設定'!$C$4,N(U7436),IF(OR(NOT(COUNTIF('商品マスタ'!$B$6:$B$1005,$W7437)=0),COUNTIFS('①在庫を貼る'!$V$6:$V$10005,$V7437,'①在庫を貼る'!$W$6:$W$10005,$W7437)&gt;0),N(U7436),N(U7436)+1))</f>
        <v/>
      </c>
      <c r="V7437" s="19">
        <f>IF($B7437="","",TEXT($B7437,"0000"))</f>
        <v/>
      </c>
      <c r="W7437" s="19">
        <f>IF($I7437="","",IF(ISNUMBER($I7437),TEXT($I7437,"0"),$I7437))</f>
        <v/>
      </c>
    </row>
    <row r="7438">
      <c r="B7438" s="25" t="n"/>
      <c r="I7438" s="25" t="n"/>
      <c r="U7438" s="19">
        <f>IF($V7438&lt;&gt;'設定'!$C$4,N(U7437),IF(OR(NOT(COUNTIF('商品マスタ'!$B$6:$B$1005,$W7438)=0),COUNTIFS('①在庫を貼る'!$V$6:$V$10005,$V7438,'①在庫を貼る'!$W$6:$W$10005,$W7438)&gt;0),N(U7437),N(U7437)+1))</f>
        <v/>
      </c>
      <c r="V7438" s="19">
        <f>IF($B7438="","",TEXT($B7438,"0000"))</f>
        <v/>
      </c>
      <c r="W7438" s="19">
        <f>IF($I7438="","",IF(ISNUMBER($I7438),TEXT($I7438,"0"),$I7438))</f>
        <v/>
      </c>
    </row>
    <row r="7439">
      <c r="B7439" s="25" t="n"/>
      <c r="I7439" s="25" t="n"/>
      <c r="U7439" s="19">
        <f>IF($V7439&lt;&gt;'設定'!$C$4,N(U7438),IF(OR(NOT(COUNTIF('商品マスタ'!$B$6:$B$1005,$W7439)=0),COUNTIFS('①在庫を貼る'!$V$6:$V$10005,$V7439,'①在庫を貼る'!$W$6:$W$10005,$W7439)&gt;0),N(U7438),N(U7438)+1))</f>
        <v/>
      </c>
      <c r="V7439" s="19">
        <f>IF($B7439="","",TEXT($B7439,"0000"))</f>
        <v/>
      </c>
      <c r="W7439" s="19">
        <f>IF($I7439="","",IF(ISNUMBER($I7439),TEXT($I7439,"0"),$I7439))</f>
        <v/>
      </c>
    </row>
    <row r="7440">
      <c r="B7440" s="25" t="n"/>
      <c r="I7440" s="25" t="n"/>
      <c r="U7440" s="19">
        <f>IF($V7440&lt;&gt;'設定'!$C$4,N(U7439),IF(OR(NOT(COUNTIF('商品マスタ'!$B$6:$B$1005,$W7440)=0),COUNTIFS('①在庫を貼る'!$V$6:$V$10005,$V7440,'①在庫を貼る'!$W$6:$W$10005,$W7440)&gt;0),N(U7439),N(U7439)+1))</f>
        <v/>
      </c>
      <c r="V7440" s="19">
        <f>IF($B7440="","",TEXT($B7440,"0000"))</f>
        <v/>
      </c>
      <c r="W7440" s="19">
        <f>IF($I7440="","",IF(ISNUMBER($I7440),TEXT($I7440,"0"),$I7440))</f>
        <v/>
      </c>
    </row>
    <row r="7441">
      <c r="B7441" s="25" t="n"/>
      <c r="I7441" s="25" t="n"/>
      <c r="U7441" s="19">
        <f>IF($V7441&lt;&gt;'設定'!$C$4,N(U7440),IF(OR(NOT(COUNTIF('商品マスタ'!$B$6:$B$1005,$W7441)=0),COUNTIFS('①在庫を貼る'!$V$6:$V$10005,$V7441,'①在庫を貼る'!$W$6:$W$10005,$W7441)&gt;0),N(U7440),N(U7440)+1))</f>
        <v/>
      </c>
      <c r="V7441" s="19">
        <f>IF($B7441="","",TEXT($B7441,"0000"))</f>
        <v/>
      </c>
      <c r="W7441" s="19">
        <f>IF($I7441="","",IF(ISNUMBER($I7441),TEXT($I7441,"0"),$I7441))</f>
        <v/>
      </c>
    </row>
    <row r="7442">
      <c r="B7442" s="25" t="n"/>
      <c r="I7442" s="25" t="n"/>
      <c r="U7442" s="19">
        <f>IF($V7442&lt;&gt;'設定'!$C$4,N(U7441),IF(OR(NOT(COUNTIF('商品マスタ'!$B$6:$B$1005,$W7442)=0),COUNTIFS('①在庫を貼る'!$V$6:$V$10005,$V7442,'①在庫を貼る'!$W$6:$W$10005,$W7442)&gt;0),N(U7441),N(U7441)+1))</f>
        <v/>
      </c>
      <c r="V7442" s="19">
        <f>IF($B7442="","",TEXT($B7442,"0000"))</f>
        <v/>
      </c>
      <c r="W7442" s="19">
        <f>IF($I7442="","",IF(ISNUMBER($I7442),TEXT($I7442,"0"),$I7442))</f>
        <v/>
      </c>
    </row>
    <row r="7443">
      <c r="B7443" s="25" t="n"/>
      <c r="I7443" s="25" t="n"/>
      <c r="U7443" s="19">
        <f>IF($V7443&lt;&gt;'設定'!$C$4,N(U7442),IF(OR(NOT(COUNTIF('商品マスタ'!$B$6:$B$1005,$W7443)=0),COUNTIFS('①在庫を貼る'!$V$6:$V$10005,$V7443,'①在庫を貼る'!$W$6:$W$10005,$W7443)&gt;0),N(U7442),N(U7442)+1))</f>
        <v/>
      </c>
      <c r="V7443" s="19">
        <f>IF($B7443="","",TEXT($B7443,"0000"))</f>
        <v/>
      </c>
      <c r="W7443" s="19">
        <f>IF($I7443="","",IF(ISNUMBER($I7443),TEXT($I7443,"0"),$I7443))</f>
        <v/>
      </c>
    </row>
    <row r="7444">
      <c r="B7444" s="25" t="n"/>
      <c r="I7444" s="25" t="n"/>
      <c r="U7444" s="19">
        <f>IF($V7444&lt;&gt;'設定'!$C$4,N(U7443),IF(OR(NOT(COUNTIF('商品マスタ'!$B$6:$B$1005,$W7444)=0),COUNTIFS('①在庫を貼る'!$V$6:$V$10005,$V7444,'①在庫を貼る'!$W$6:$W$10005,$W7444)&gt;0),N(U7443),N(U7443)+1))</f>
        <v/>
      </c>
      <c r="V7444" s="19">
        <f>IF($B7444="","",TEXT($B7444,"0000"))</f>
        <v/>
      </c>
      <c r="W7444" s="19">
        <f>IF($I7444="","",IF(ISNUMBER($I7444),TEXT($I7444,"0"),$I7444))</f>
        <v/>
      </c>
    </row>
    <row r="7445">
      <c r="B7445" s="25" t="n"/>
      <c r="I7445" s="25" t="n"/>
      <c r="U7445" s="19">
        <f>IF($V7445&lt;&gt;'設定'!$C$4,N(U7444),IF(OR(NOT(COUNTIF('商品マスタ'!$B$6:$B$1005,$W7445)=0),COUNTIFS('①在庫を貼る'!$V$6:$V$10005,$V7445,'①在庫を貼る'!$W$6:$W$10005,$W7445)&gt;0),N(U7444),N(U7444)+1))</f>
        <v/>
      </c>
      <c r="V7445" s="19">
        <f>IF($B7445="","",TEXT($B7445,"0000"))</f>
        <v/>
      </c>
      <c r="W7445" s="19">
        <f>IF($I7445="","",IF(ISNUMBER($I7445),TEXT($I7445,"0"),$I7445))</f>
        <v/>
      </c>
    </row>
    <row r="7446">
      <c r="B7446" s="25" t="n"/>
      <c r="I7446" s="25" t="n"/>
      <c r="U7446" s="19">
        <f>IF($V7446&lt;&gt;'設定'!$C$4,N(U7445),IF(OR(NOT(COUNTIF('商品マスタ'!$B$6:$B$1005,$W7446)=0),COUNTIFS('①在庫を貼る'!$V$6:$V$10005,$V7446,'①在庫を貼る'!$W$6:$W$10005,$W7446)&gt;0),N(U7445),N(U7445)+1))</f>
        <v/>
      </c>
      <c r="V7446" s="19">
        <f>IF($B7446="","",TEXT($B7446,"0000"))</f>
        <v/>
      </c>
      <c r="W7446" s="19">
        <f>IF($I7446="","",IF(ISNUMBER($I7446),TEXT($I7446,"0"),$I7446))</f>
        <v/>
      </c>
    </row>
    <row r="7447">
      <c r="B7447" s="25" t="n"/>
      <c r="I7447" s="25" t="n"/>
      <c r="U7447" s="19">
        <f>IF($V7447&lt;&gt;'設定'!$C$4,N(U7446),IF(OR(NOT(COUNTIF('商品マスタ'!$B$6:$B$1005,$W7447)=0),COUNTIFS('①在庫を貼る'!$V$6:$V$10005,$V7447,'①在庫を貼る'!$W$6:$W$10005,$W7447)&gt;0),N(U7446),N(U7446)+1))</f>
        <v/>
      </c>
      <c r="V7447" s="19">
        <f>IF($B7447="","",TEXT($B7447,"0000"))</f>
        <v/>
      </c>
      <c r="W7447" s="19">
        <f>IF($I7447="","",IF(ISNUMBER($I7447),TEXT($I7447,"0"),$I7447))</f>
        <v/>
      </c>
    </row>
    <row r="7448">
      <c r="B7448" s="25" t="n"/>
      <c r="I7448" s="25" t="n"/>
      <c r="U7448" s="19">
        <f>IF($V7448&lt;&gt;'設定'!$C$4,N(U7447),IF(OR(NOT(COUNTIF('商品マスタ'!$B$6:$B$1005,$W7448)=0),COUNTIFS('①在庫を貼る'!$V$6:$V$10005,$V7448,'①在庫を貼る'!$W$6:$W$10005,$W7448)&gt;0),N(U7447),N(U7447)+1))</f>
        <v/>
      </c>
      <c r="V7448" s="19">
        <f>IF($B7448="","",TEXT($B7448,"0000"))</f>
        <v/>
      </c>
      <c r="W7448" s="19">
        <f>IF($I7448="","",IF(ISNUMBER($I7448),TEXT($I7448,"0"),$I7448))</f>
        <v/>
      </c>
    </row>
    <row r="7449">
      <c r="B7449" s="25" t="n"/>
      <c r="I7449" s="25" t="n"/>
      <c r="U7449" s="19">
        <f>IF($V7449&lt;&gt;'設定'!$C$4,N(U7448),IF(OR(NOT(COUNTIF('商品マスタ'!$B$6:$B$1005,$W7449)=0),COUNTIFS('①在庫を貼る'!$V$6:$V$10005,$V7449,'①在庫を貼る'!$W$6:$W$10005,$W7449)&gt;0),N(U7448),N(U7448)+1))</f>
        <v/>
      </c>
      <c r="V7449" s="19">
        <f>IF($B7449="","",TEXT($B7449,"0000"))</f>
        <v/>
      </c>
      <c r="W7449" s="19">
        <f>IF($I7449="","",IF(ISNUMBER($I7449),TEXT($I7449,"0"),$I7449))</f>
        <v/>
      </c>
    </row>
    <row r="7450">
      <c r="B7450" s="25" t="n"/>
      <c r="I7450" s="25" t="n"/>
      <c r="U7450" s="19">
        <f>IF($V7450&lt;&gt;'設定'!$C$4,N(U7449),IF(OR(NOT(COUNTIF('商品マスタ'!$B$6:$B$1005,$W7450)=0),COUNTIFS('①在庫を貼る'!$V$6:$V$10005,$V7450,'①在庫を貼る'!$W$6:$W$10005,$W7450)&gt;0),N(U7449),N(U7449)+1))</f>
        <v/>
      </c>
      <c r="V7450" s="19">
        <f>IF($B7450="","",TEXT($B7450,"0000"))</f>
        <v/>
      </c>
      <c r="W7450" s="19">
        <f>IF($I7450="","",IF(ISNUMBER($I7450),TEXT($I7450,"0"),$I7450))</f>
        <v/>
      </c>
    </row>
    <row r="7451">
      <c r="B7451" s="25" t="n"/>
      <c r="I7451" s="25" t="n"/>
      <c r="U7451" s="19">
        <f>IF($V7451&lt;&gt;'設定'!$C$4,N(U7450),IF(OR(NOT(COUNTIF('商品マスタ'!$B$6:$B$1005,$W7451)=0),COUNTIFS('①在庫を貼る'!$V$6:$V$10005,$V7451,'①在庫を貼る'!$W$6:$W$10005,$W7451)&gt;0),N(U7450),N(U7450)+1))</f>
        <v/>
      </c>
      <c r="V7451" s="19">
        <f>IF($B7451="","",TEXT($B7451,"0000"))</f>
        <v/>
      </c>
      <c r="W7451" s="19">
        <f>IF($I7451="","",IF(ISNUMBER($I7451),TEXT($I7451,"0"),$I7451))</f>
        <v/>
      </c>
    </row>
    <row r="7452">
      <c r="B7452" s="25" t="n"/>
      <c r="I7452" s="25" t="n"/>
      <c r="U7452" s="19">
        <f>IF($V7452&lt;&gt;'設定'!$C$4,N(U7451),IF(OR(NOT(COUNTIF('商品マスタ'!$B$6:$B$1005,$W7452)=0),COUNTIFS('①在庫を貼る'!$V$6:$V$10005,$V7452,'①在庫を貼る'!$W$6:$W$10005,$W7452)&gt;0),N(U7451),N(U7451)+1))</f>
        <v/>
      </c>
      <c r="V7452" s="19">
        <f>IF($B7452="","",TEXT($B7452,"0000"))</f>
        <v/>
      </c>
      <c r="W7452" s="19">
        <f>IF($I7452="","",IF(ISNUMBER($I7452),TEXT($I7452,"0"),$I7452))</f>
        <v/>
      </c>
    </row>
    <row r="7453">
      <c r="B7453" s="25" t="n"/>
      <c r="I7453" s="25" t="n"/>
      <c r="U7453" s="19">
        <f>IF($V7453&lt;&gt;'設定'!$C$4,N(U7452),IF(OR(NOT(COUNTIF('商品マスタ'!$B$6:$B$1005,$W7453)=0),COUNTIFS('①在庫を貼る'!$V$6:$V$10005,$V7453,'①在庫を貼る'!$W$6:$W$10005,$W7453)&gt;0),N(U7452),N(U7452)+1))</f>
        <v/>
      </c>
      <c r="V7453" s="19">
        <f>IF($B7453="","",TEXT($B7453,"0000"))</f>
        <v/>
      </c>
      <c r="W7453" s="19">
        <f>IF($I7453="","",IF(ISNUMBER($I7453),TEXT($I7453,"0"),$I7453))</f>
        <v/>
      </c>
    </row>
    <row r="7454">
      <c r="B7454" s="25" t="n"/>
      <c r="I7454" s="25" t="n"/>
      <c r="U7454" s="19">
        <f>IF($V7454&lt;&gt;'設定'!$C$4,N(U7453),IF(OR(NOT(COUNTIF('商品マスタ'!$B$6:$B$1005,$W7454)=0),COUNTIFS('①在庫を貼る'!$V$6:$V$10005,$V7454,'①在庫を貼る'!$W$6:$W$10005,$W7454)&gt;0),N(U7453),N(U7453)+1))</f>
        <v/>
      </c>
      <c r="V7454" s="19">
        <f>IF($B7454="","",TEXT($B7454,"0000"))</f>
        <v/>
      </c>
      <c r="W7454" s="19">
        <f>IF($I7454="","",IF(ISNUMBER($I7454),TEXT($I7454,"0"),$I7454))</f>
        <v/>
      </c>
    </row>
    <row r="7455">
      <c r="B7455" s="25" t="n"/>
      <c r="I7455" s="25" t="n"/>
      <c r="U7455" s="19">
        <f>IF($V7455&lt;&gt;'設定'!$C$4,N(U7454),IF(OR(NOT(COUNTIF('商品マスタ'!$B$6:$B$1005,$W7455)=0),COUNTIFS('①在庫を貼る'!$V$6:$V$10005,$V7455,'①在庫を貼る'!$W$6:$W$10005,$W7455)&gt;0),N(U7454),N(U7454)+1))</f>
        <v/>
      </c>
      <c r="V7455" s="19">
        <f>IF($B7455="","",TEXT($B7455,"0000"))</f>
        <v/>
      </c>
      <c r="W7455" s="19">
        <f>IF($I7455="","",IF(ISNUMBER($I7455),TEXT($I7455,"0"),$I7455))</f>
        <v/>
      </c>
    </row>
    <row r="7456">
      <c r="B7456" s="25" t="n"/>
      <c r="I7456" s="25" t="n"/>
      <c r="U7456" s="19">
        <f>IF($V7456&lt;&gt;'設定'!$C$4,N(U7455),IF(OR(NOT(COUNTIF('商品マスタ'!$B$6:$B$1005,$W7456)=0),COUNTIFS('①在庫を貼る'!$V$6:$V$10005,$V7456,'①在庫を貼る'!$W$6:$W$10005,$W7456)&gt;0),N(U7455),N(U7455)+1))</f>
        <v/>
      </c>
      <c r="V7456" s="19">
        <f>IF($B7456="","",TEXT($B7456,"0000"))</f>
        <v/>
      </c>
      <c r="W7456" s="19">
        <f>IF($I7456="","",IF(ISNUMBER($I7456),TEXT($I7456,"0"),$I7456))</f>
        <v/>
      </c>
    </row>
    <row r="7457">
      <c r="B7457" s="25" t="n"/>
      <c r="I7457" s="25" t="n"/>
      <c r="U7457" s="19">
        <f>IF($V7457&lt;&gt;'設定'!$C$4,N(U7456),IF(OR(NOT(COUNTIF('商品マスタ'!$B$6:$B$1005,$W7457)=0),COUNTIFS('①在庫を貼る'!$V$6:$V$10005,$V7457,'①在庫を貼る'!$W$6:$W$10005,$W7457)&gt;0),N(U7456),N(U7456)+1))</f>
        <v/>
      </c>
      <c r="V7457" s="19">
        <f>IF($B7457="","",TEXT($B7457,"0000"))</f>
        <v/>
      </c>
      <c r="W7457" s="19">
        <f>IF($I7457="","",IF(ISNUMBER($I7457),TEXT($I7457,"0"),$I7457))</f>
        <v/>
      </c>
    </row>
    <row r="7458">
      <c r="B7458" s="25" t="n"/>
      <c r="I7458" s="25" t="n"/>
      <c r="U7458" s="19">
        <f>IF($V7458&lt;&gt;'設定'!$C$4,N(U7457),IF(OR(NOT(COUNTIF('商品マスタ'!$B$6:$B$1005,$W7458)=0),COUNTIFS('①在庫を貼る'!$V$6:$V$10005,$V7458,'①在庫を貼る'!$W$6:$W$10005,$W7458)&gt;0),N(U7457),N(U7457)+1))</f>
        <v/>
      </c>
      <c r="V7458" s="19">
        <f>IF($B7458="","",TEXT($B7458,"0000"))</f>
        <v/>
      </c>
      <c r="W7458" s="19">
        <f>IF($I7458="","",IF(ISNUMBER($I7458),TEXT($I7458,"0"),$I7458))</f>
        <v/>
      </c>
    </row>
    <row r="7459">
      <c r="B7459" s="25" t="n"/>
      <c r="I7459" s="25" t="n"/>
      <c r="U7459" s="19">
        <f>IF($V7459&lt;&gt;'設定'!$C$4,N(U7458),IF(OR(NOT(COUNTIF('商品マスタ'!$B$6:$B$1005,$W7459)=0),COUNTIFS('①在庫を貼る'!$V$6:$V$10005,$V7459,'①在庫を貼る'!$W$6:$W$10005,$W7459)&gt;0),N(U7458),N(U7458)+1))</f>
        <v/>
      </c>
      <c r="V7459" s="19">
        <f>IF($B7459="","",TEXT($B7459,"0000"))</f>
        <v/>
      </c>
      <c r="W7459" s="19">
        <f>IF($I7459="","",IF(ISNUMBER($I7459),TEXT($I7459,"0"),$I7459))</f>
        <v/>
      </c>
    </row>
    <row r="7460">
      <c r="B7460" s="25" t="n"/>
      <c r="I7460" s="25" t="n"/>
      <c r="U7460" s="19">
        <f>IF($V7460&lt;&gt;'設定'!$C$4,N(U7459),IF(OR(NOT(COUNTIF('商品マスタ'!$B$6:$B$1005,$W7460)=0),COUNTIFS('①在庫を貼る'!$V$6:$V$10005,$V7460,'①在庫を貼る'!$W$6:$W$10005,$W7460)&gt;0),N(U7459),N(U7459)+1))</f>
        <v/>
      </c>
      <c r="V7460" s="19">
        <f>IF($B7460="","",TEXT($B7460,"0000"))</f>
        <v/>
      </c>
      <c r="W7460" s="19">
        <f>IF($I7460="","",IF(ISNUMBER($I7460),TEXT($I7460,"0"),$I7460))</f>
        <v/>
      </c>
    </row>
    <row r="7461">
      <c r="B7461" s="25" t="n"/>
      <c r="I7461" s="25" t="n"/>
      <c r="U7461" s="19">
        <f>IF($V7461&lt;&gt;'設定'!$C$4,N(U7460),IF(OR(NOT(COUNTIF('商品マスタ'!$B$6:$B$1005,$W7461)=0),COUNTIFS('①在庫を貼る'!$V$6:$V$10005,$V7461,'①在庫を貼る'!$W$6:$W$10005,$W7461)&gt;0),N(U7460),N(U7460)+1))</f>
        <v/>
      </c>
      <c r="V7461" s="19">
        <f>IF($B7461="","",TEXT($B7461,"0000"))</f>
        <v/>
      </c>
      <c r="W7461" s="19">
        <f>IF($I7461="","",IF(ISNUMBER($I7461),TEXT($I7461,"0"),$I7461))</f>
        <v/>
      </c>
    </row>
    <row r="7462">
      <c r="B7462" s="25" t="n"/>
      <c r="I7462" s="25" t="n"/>
      <c r="U7462" s="19">
        <f>IF($V7462&lt;&gt;'設定'!$C$4,N(U7461),IF(OR(NOT(COUNTIF('商品マスタ'!$B$6:$B$1005,$W7462)=0),COUNTIFS('①在庫を貼る'!$V$6:$V$10005,$V7462,'①在庫を貼る'!$W$6:$W$10005,$W7462)&gt;0),N(U7461),N(U7461)+1))</f>
        <v/>
      </c>
      <c r="V7462" s="19">
        <f>IF($B7462="","",TEXT($B7462,"0000"))</f>
        <v/>
      </c>
      <c r="W7462" s="19">
        <f>IF($I7462="","",IF(ISNUMBER($I7462),TEXT($I7462,"0"),$I7462))</f>
        <v/>
      </c>
    </row>
    <row r="7463">
      <c r="B7463" s="25" t="n"/>
      <c r="I7463" s="25" t="n"/>
      <c r="U7463" s="19">
        <f>IF($V7463&lt;&gt;'設定'!$C$4,N(U7462),IF(OR(NOT(COUNTIF('商品マスタ'!$B$6:$B$1005,$W7463)=0),COUNTIFS('①在庫を貼る'!$V$6:$V$10005,$V7463,'①在庫を貼る'!$W$6:$W$10005,$W7463)&gt;0),N(U7462),N(U7462)+1))</f>
        <v/>
      </c>
      <c r="V7463" s="19">
        <f>IF($B7463="","",TEXT($B7463,"0000"))</f>
        <v/>
      </c>
      <c r="W7463" s="19">
        <f>IF($I7463="","",IF(ISNUMBER($I7463),TEXT($I7463,"0"),$I7463))</f>
        <v/>
      </c>
    </row>
    <row r="7464">
      <c r="B7464" s="25" t="n"/>
      <c r="I7464" s="25" t="n"/>
      <c r="U7464" s="19">
        <f>IF($V7464&lt;&gt;'設定'!$C$4,N(U7463),IF(OR(NOT(COUNTIF('商品マスタ'!$B$6:$B$1005,$W7464)=0),COUNTIFS('①在庫を貼る'!$V$6:$V$10005,$V7464,'①在庫を貼る'!$W$6:$W$10005,$W7464)&gt;0),N(U7463),N(U7463)+1))</f>
        <v/>
      </c>
      <c r="V7464" s="19">
        <f>IF($B7464="","",TEXT($B7464,"0000"))</f>
        <v/>
      </c>
      <c r="W7464" s="19">
        <f>IF($I7464="","",IF(ISNUMBER($I7464),TEXT($I7464,"0"),$I7464))</f>
        <v/>
      </c>
    </row>
    <row r="7465">
      <c r="B7465" s="25" t="n"/>
      <c r="I7465" s="25" t="n"/>
      <c r="U7465" s="19">
        <f>IF($V7465&lt;&gt;'設定'!$C$4,N(U7464),IF(OR(NOT(COUNTIF('商品マスタ'!$B$6:$B$1005,$W7465)=0),COUNTIFS('①在庫を貼る'!$V$6:$V$10005,$V7465,'①在庫を貼る'!$W$6:$W$10005,$W7465)&gt;0),N(U7464),N(U7464)+1))</f>
        <v/>
      </c>
      <c r="V7465" s="19">
        <f>IF($B7465="","",TEXT($B7465,"0000"))</f>
        <v/>
      </c>
      <c r="W7465" s="19">
        <f>IF($I7465="","",IF(ISNUMBER($I7465),TEXT($I7465,"0"),$I7465))</f>
        <v/>
      </c>
    </row>
    <row r="7466">
      <c r="B7466" s="25" t="n"/>
      <c r="I7466" s="25" t="n"/>
      <c r="U7466" s="19">
        <f>IF($V7466&lt;&gt;'設定'!$C$4,N(U7465),IF(OR(NOT(COUNTIF('商品マスタ'!$B$6:$B$1005,$W7466)=0),COUNTIFS('①在庫を貼る'!$V$6:$V$10005,$V7466,'①在庫を貼る'!$W$6:$W$10005,$W7466)&gt;0),N(U7465),N(U7465)+1))</f>
        <v/>
      </c>
      <c r="V7466" s="19">
        <f>IF($B7466="","",TEXT($B7466,"0000"))</f>
        <v/>
      </c>
      <c r="W7466" s="19">
        <f>IF($I7466="","",IF(ISNUMBER($I7466),TEXT($I7466,"0"),$I7466))</f>
        <v/>
      </c>
    </row>
    <row r="7467">
      <c r="B7467" s="25" t="n"/>
      <c r="I7467" s="25" t="n"/>
      <c r="U7467" s="19">
        <f>IF($V7467&lt;&gt;'設定'!$C$4,N(U7466),IF(OR(NOT(COUNTIF('商品マスタ'!$B$6:$B$1005,$W7467)=0),COUNTIFS('①在庫を貼る'!$V$6:$V$10005,$V7467,'①在庫を貼る'!$W$6:$W$10005,$W7467)&gt;0),N(U7466),N(U7466)+1))</f>
        <v/>
      </c>
      <c r="V7467" s="19">
        <f>IF($B7467="","",TEXT($B7467,"0000"))</f>
        <v/>
      </c>
      <c r="W7467" s="19">
        <f>IF($I7467="","",IF(ISNUMBER($I7467),TEXT($I7467,"0"),$I7467))</f>
        <v/>
      </c>
    </row>
    <row r="7468">
      <c r="B7468" s="25" t="n"/>
      <c r="I7468" s="25" t="n"/>
      <c r="U7468" s="19">
        <f>IF($V7468&lt;&gt;'設定'!$C$4,N(U7467),IF(OR(NOT(COUNTIF('商品マスタ'!$B$6:$B$1005,$W7468)=0),COUNTIFS('①在庫を貼る'!$V$6:$V$10005,$V7468,'①在庫を貼る'!$W$6:$W$10005,$W7468)&gt;0),N(U7467),N(U7467)+1))</f>
        <v/>
      </c>
      <c r="V7468" s="19">
        <f>IF($B7468="","",TEXT($B7468,"0000"))</f>
        <v/>
      </c>
      <c r="W7468" s="19">
        <f>IF($I7468="","",IF(ISNUMBER($I7468),TEXT($I7468,"0"),$I7468))</f>
        <v/>
      </c>
    </row>
    <row r="7469">
      <c r="B7469" s="25" t="n"/>
      <c r="I7469" s="25" t="n"/>
      <c r="U7469" s="19">
        <f>IF($V7469&lt;&gt;'設定'!$C$4,N(U7468),IF(OR(NOT(COUNTIF('商品マスタ'!$B$6:$B$1005,$W7469)=0),COUNTIFS('①在庫を貼る'!$V$6:$V$10005,$V7469,'①在庫を貼る'!$W$6:$W$10005,$W7469)&gt;0),N(U7468),N(U7468)+1))</f>
        <v/>
      </c>
      <c r="V7469" s="19">
        <f>IF($B7469="","",TEXT($B7469,"0000"))</f>
        <v/>
      </c>
      <c r="W7469" s="19">
        <f>IF($I7469="","",IF(ISNUMBER($I7469),TEXT($I7469,"0"),$I7469))</f>
        <v/>
      </c>
    </row>
    <row r="7470">
      <c r="B7470" s="25" t="n"/>
      <c r="I7470" s="25" t="n"/>
      <c r="U7470" s="19">
        <f>IF($V7470&lt;&gt;'設定'!$C$4,N(U7469),IF(OR(NOT(COUNTIF('商品マスタ'!$B$6:$B$1005,$W7470)=0),COUNTIFS('①在庫を貼る'!$V$6:$V$10005,$V7470,'①在庫を貼る'!$W$6:$W$10005,$W7470)&gt;0),N(U7469),N(U7469)+1))</f>
        <v/>
      </c>
      <c r="V7470" s="19">
        <f>IF($B7470="","",TEXT($B7470,"0000"))</f>
        <v/>
      </c>
      <c r="W7470" s="19">
        <f>IF($I7470="","",IF(ISNUMBER($I7470),TEXT($I7470,"0"),$I7470))</f>
        <v/>
      </c>
    </row>
    <row r="7471">
      <c r="B7471" s="25" t="n"/>
      <c r="I7471" s="25" t="n"/>
      <c r="U7471" s="19">
        <f>IF($V7471&lt;&gt;'設定'!$C$4,N(U7470),IF(OR(NOT(COUNTIF('商品マスタ'!$B$6:$B$1005,$W7471)=0),COUNTIFS('①在庫を貼る'!$V$6:$V$10005,$V7471,'①在庫を貼る'!$W$6:$W$10005,$W7471)&gt;0),N(U7470),N(U7470)+1))</f>
        <v/>
      </c>
      <c r="V7471" s="19">
        <f>IF($B7471="","",TEXT($B7471,"0000"))</f>
        <v/>
      </c>
      <c r="W7471" s="19">
        <f>IF($I7471="","",IF(ISNUMBER($I7471),TEXT($I7471,"0"),$I7471))</f>
        <v/>
      </c>
    </row>
    <row r="7472">
      <c r="B7472" s="25" t="n"/>
      <c r="I7472" s="25" t="n"/>
      <c r="U7472" s="19">
        <f>IF($V7472&lt;&gt;'設定'!$C$4,N(U7471),IF(OR(NOT(COUNTIF('商品マスタ'!$B$6:$B$1005,$W7472)=0),COUNTIFS('①在庫を貼る'!$V$6:$V$10005,$V7472,'①在庫を貼る'!$W$6:$W$10005,$W7472)&gt;0),N(U7471),N(U7471)+1))</f>
        <v/>
      </c>
      <c r="V7472" s="19">
        <f>IF($B7472="","",TEXT($B7472,"0000"))</f>
        <v/>
      </c>
      <c r="W7472" s="19">
        <f>IF($I7472="","",IF(ISNUMBER($I7472),TEXT($I7472,"0"),$I7472))</f>
        <v/>
      </c>
    </row>
    <row r="7473">
      <c r="B7473" s="25" t="n"/>
      <c r="I7473" s="25" t="n"/>
      <c r="U7473" s="19">
        <f>IF($V7473&lt;&gt;'設定'!$C$4,N(U7472),IF(OR(NOT(COUNTIF('商品マスタ'!$B$6:$B$1005,$W7473)=0),COUNTIFS('①在庫を貼る'!$V$6:$V$10005,$V7473,'①在庫を貼る'!$W$6:$W$10005,$W7473)&gt;0),N(U7472),N(U7472)+1))</f>
        <v/>
      </c>
      <c r="V7473" s="19">
        <f>IF($B7473="","",TEXT($B7473,"0000"))</f>
        <v/>
      </c>
      <c r="W7473" s="19">
        <f>IF($I7473="","",IF(ISNUMBER($I7473),TEXT($I7473,"0"),$I7473))</f>
        <v/>
      </c>
    </row>
    <row r="7474">
      <c r="B7474" s="25" t="n"/>
      <c r="I7474" s="25" t="n"/>
      <c r="U7474" s="19">
        <f>IF($V7474&lt;&gt;'設定'!$C$4,N(U7473),IF(OR(NOT(COUNTIF('商品マスタ'!$B$6:$B$1005,$W7474)=0),COUNTIFS('①在庫を貼る'!$V$6:$V$10005,$V7474,'①在庫を貼る'!$W$6:$W$10005,$W7474)&gt;0),N(U7473),N(U7473)+1))</f>
        <v/>
      </c>
      <c r="V7474" s="19">
        <f>IF($B7474="","",TEXT($B7474,"0000"))</f>
        <v/>
      </c>
      <c r="W7474" s="19">
        <f>IF($I7474="","",IF(ISNUMBER($I7474),TEXT($I7474,"0"),$I7474))</f>
        <v/>
      </c>
    </row>
    <row r="7475">
      <c r="B7475" s="25" t="n"/>
      <c r="I7475" s="25" t="n"/>
      <c r="U7475" s="19">
        <f>IF($V7475&lt;&gt;'設定'!$C$4,N(U7474),IF(OR(NOT(COUNTIF('商品マスタ'!$B$6:$B$1005,$W7475)=0),COUNTIFS('①在庫を貼る'!$V$6:$V$10005,$V7475,'①在庫を貼る'!$W$6:$W$10005,$W7475)&gt;0),N(U7474),N(U7474)+1))</f>
        <v/>
      </c>
      <c r="V7475" s="19">
        <f>IF($B7475="","",TEXT($B7475,"0000"))</f>
        <v/>
      </c>
      <c r="W7475" s="19">
        <f>IF($I7475="","",IF(ISNUMBER($I7475),TEXT($I7475,"0"),$I7475))</f>
        <v/>
      </c>
    </row>
    <row r="7476">
      <c r="B7476" s="25" t="n"/>
      <c r="I7476" s="25" t="n"/>
      <c r="U7476" s="19">
        <f>IF($V7476&lt;&gt;'設定'!$C$4,N(U7475),IF(OR(NOT(COUNTIF('商品マスタ'!$B$6:$B$1005,$W7476)=0),COUNTIFS('①在庫を貼る'!$V$6:$V$10005,$V7476,'①在庫を貼る'!$W$6:$W$10005,$W7476)&gt;0),N(U7475),N(U7475)+1))</f>
        <v/>
      </c>
      <c r="V7476" s="19">
        <f>IF($B7476="","",TEXT($B7476,"0000"))</f>
        <v/>
      </c>
      <c r="W7476" s="19">
        <f>IF($I7476="","",IF(ISNUMBER($I7476),TEXT($I7476,"0"),$I7476))</f>
        <v/>
      </c>
    </row>
    <row r="7477">
      <c r="B7477" s="25" t="n"/>
      <c r="I7477" s="25" t="n"/>
      <c r="U7477" s="19">
        <f>IF($V7477&lt;&gt;'設定'!$C$4,N(U7476),IF(OR(NOT(COUNTIF('商品マスタ'!$B$6:$B$1005,$W7477)=0),COUNTIFS('①在庫を貼る'!$V$6:$V$10005,$V7477,'①在庫を貼る'!$W$6:$W$10005,$W7477)&gt;0),N(U7476),N(U7476)+1))</f>
        <v/>
      </c>
      <c r="V7477" s="19">
        <f>IF($B7477="","",TEXT($B7477,"0000"))</f>
        <v/>
      </c>
      <c r="W7477" s="19">
        <f>IF($I7477="","",IF(ISNUMBER($I7477),TEXT($I7477,"0"),$I7477))</f>
        <v/>
      </c>
    </row>
    <row r="7478">
      <c r="B7478" s="25" t="n"/>
      <c r="I7478" s="25" t="n"/>
      <c r="U7478" s="19">
        <f>IF($V7478&lt;&gt;'設定'!$C$4,N(U7477),IF(OR(NOT(COUNTIF('商品マスタ'!$B$6:$B$1005,$W7478)=0),COUNTIFS('①在庫を貼る'!$V$6:$V$10005,$V7478,'①在庫を貼る'!$W$6:$W$10005,$W7478)&gt;0),N(U7477),N(U7477)+1))</f>
        <v/>
      </c>
      <c r="V7478" s="19">
        <f>IF($B7478="","",TEXT($B7478,"0000"))</f>
        <v/>
      </c>
      <c r="W7478" s="19">
        <f>IF($I7478="","",IF(ISNUMBER($I7478),TEXT($I7478,"0"),$I7478))</f>
        <v/>
      </c>
    </row>
    <row r="7479">
      <c r="B7479" s="25" t="n"/>
      <c r="I7479" s="25" t="n"/>
      <c r="U7479" s="19">
        <f>IF($V7479&lt;&gt;'設定'!$C$4,N(U7478),IF(OR(NOT(COUNTIF('商品マスタ'!$B$6:$B$1005,$W7479)=0),COUNTIFS('①在庫を貼る'!$V$6:$V$10005,$V7479,'①在庫を貼る'!$W$6:$W$10005,$W7479)&gt;0),N(U7478),N(U7478)+1))</f>
        <v/>
      </c>
      <c r="V7479" s="19">
        <f>IF($B7479="","",TEXT($B7479,"0000"))</f>
        <v/>
      </c>
      <c r="W7479" s="19">
        <f>IF($I7479="","",IF(ISNUMBER($I7479),TEXT($I7479,"0"),$I7479))</f>
        <v/>
      </c>
    </row>
    <row r="7480">
      <c r="B7480" s="25" t="n"/>
      <c r="I7480" s="25" t="n"/>
      <c r="U7480" s="19">
        <f>IF($V7480&lt;&gt;'設定'!$C$4,N(U7479),IF(OR(NOT(COUNTIF('商品マスタ'!$B$6:$B$1005,$W7480)=0),COUNTIFS('①在庫を貼る'!$V$6:$V$10005,$V7480,'①在庫を貼る'!$W$6:$W$10005,$W7480)&gt;0),N(U7479),N(U7479)+1))</f>
        <v/>
      </c>
      <c r="V7480" s="19">
        <f>IF($B7480="","",TEXT($B7480,"0000"))</f>
        <v/>
      </c>
      <c r="W7480" s="19">
        <f>IF($I7480="","",IF(ISNUMBER($I7480),TEXT($I7480,"0"),$I7480))</f>
        <v/>
      </c>
    </row>
    <row r="7481">
      <c r="B7481" s="25" t="n"/>
      <c r="I7481" s="25" t="n"/>
      <c r="U7481" s="19">
        <f>IF($V7481&lt;&gt;'設定'!$C$4,N(U7480),IF(OR(NOT(COUNTIF('商品マスタ'!$B$6:$B$1005,$W7481)=0),COUNTIFS('①在庫を貼る'!$V$6:$V$10005,$V7481,'①在庫を貼る'!$W$6:$W$10005,$W7481)&gt;0),N(U7480),N(U7480)+1))</f>
        <v/>
      </c>
      <c r="V7481" s="19">
        <f>IF($B7481="","",TEXT($B7481,"0000"))</f>
        <v/>
      </c>
      <c r="W7481" s="19">
        <f>IF($I7481="","",IF(ISNUMBER($I7481),TEXT($I7481,"0"),$I7481))</f>
        <v/>
      </c>
    </row>
    <row r="7482">
      <c r="B7482" s="25" t="n"/>
      <c r="I7482" s="25" t="n"/>
      <c r="U7482" s="19">
        <f>IF($V7482&lt;&gt;'設定'!$C$4,N(U7481),IF(OR(NOT(COUNTIF('商品マスタ'!$B$6:$B$1005,$W7482)=0),COUNTIFS('①在庫を貼る'!$V$6:$V$10005,$V7482,'①在庫を貼る'!$W$6:$W$10005,$W7482)&gt;0),N(U7481),N(U7481)+1))</f>
        <v/>
      </c>
      <c r="V7482" s="19">
        <f>IF($B7482="","",TEXT($B7482,"0000"))</f>
        <v/>
      </c>
      <c r="W7482" s="19">
        <f>IF($I7482="","",IF(ISNUMBER($I7482),TEXT($I7482,"0"),$I7482))</f>
        <v/>
      </c>
    </row>
    <row r="7483">
      <c r="B7483" s="25" t="n"/>
      <c r="I7483" s="25" t="n"/>
      <c r="U7483" s="19">
        <f>IF($V7483&lt;&gt;'設定'!$C$4,N(U7482),IF(OR(NOT(COUNTIF('商品マスタ'!$B$6:$B$1005,$W7483)=0),COUNTIFS('①在庫を貼る'!$V$6:$V$10005,$V7483,'①在庫を貼る'!$W$6:$W$10005,$W7483)&gt;0),N(U7482),N(U7482)+1))</f>
        <v/>
      </c>
      <c r="V7483" s="19">
        <f>IF($B7483="","",TEXT($B7483,"0000"))</f>
        <v/>
      </c>
      <c r="W7483" s="19">
        <f>IF($I7483="","",IF(ISNUMBER($I7483),TEXT($I7483,"0"),$I7483))</f>
        <v/>
      </c>
    </row>
    <row r="7484">
      <c r="B7484" s="25" t="n"/>
      <c r="I7484" s="25" t="n"/>
      <c r="U7484" s="19">
        <f>IF($V7484&lt;&gt;'設定'!$C$4,N(U7483),IF(OR(NOT(COUNTIF('商品マスタ'!$B$6:$B$1005,$W7484)=0),COUNTIFS('①在庫を貼る'!$V$6:$V$10005,$V7484,'①在庫を貼る'!$W$6:$W$10005,$W7484)&gt;0),N(U7483),N(U7483)+1))</f>
        <v/>
      </c>
      <c r="V7484" s="19">
        <f>IF($B7484="","",TEXT($B7484,"0000"))</f>
        <v/>
      </c>
      <c r="W7484" s="19">
        <f>IF($I7484="","",IF(ISNUMBER($I7484),TEXT($I7484,"0"),$I7484))</f>
        <v/>
      </c>
    </row>
    <row r="7485">
      <c r="B7485" s="25" t="n"/>
      <c r="I7485" s="25" t="n"/>
      <c r="U7485" s="19">
        <f>IF($V7485&lt;&gt;'設定'!$C$4,N(U7484),IF(OR(NOT(COUNTIF('商品マスタ'!$B$6:$B$1005,$W7485)=0),COUNTIFS('①在庫を貼る'!$V$6:$V$10005,$V7485,'①在庫を貼る'!$W$6:$W$10005,$W7485)&gt;0),N(U7484),N(U7484)+1))</f>
        <v/>
      </c>
      <c r="V7485" s="19">
        <f>IF($B7485="","",TEXT($B7485,"0000"))</f>
        <v/>
      </c>
      <c r="W7485" s="19">
        <f>IF($I7485="","",IF(ISNUMBER($I7485),TEXT($I7485,"0"),$I7485))</f>
        <v/>
      </c>
    </row>
    <row r="7486">
      <c r="B7486" s="25" t="n"/>
      <c r="I7486" s="25" t="n"/>
      <c r="U7486" s="19">
        <f>IF($V7486&lt;&gt;'設定'!$C$4,N(U7485),IF(OR(NOT(COUNTIF('商品マスタ'!$B$6:$B$1005,$W7486)=0),COUNTIFS('①在庫を貼る'!$V$6:$V$10005,$V7486,'①在庫を貼る'!$W$6:$W$10005,$W7486)&gt;0),N(U7485),N(U7485)+1))</f>
        <v/>
      </c>
      <c r="V7486" s="19">
        <f>IF($B7486="","",TEXT($B7486,"0000"))</f>
        <v/>
      </c>
      <c r="W7486" s="19">
        <f>IF($I7486="","",IF(ISNUMBER($I7486),TEXT($I7486,"0"),$I7486))</f>
        <v/>
      </c>
    </row>
    <row r="7487">
      <c r="B7487" s="25" t="n"/>
      <c r="I7487" s="25" t="n"/>
      <c r="U7487" s="19">
        <f>IF($V7487&lt;&gt;'設定'!$C$4,N(U7486),IF(OR(NOT(COUNTIF('商品マスタ'!$B$6:$B$1005,$W7487)=0),COUNTIFS('①在庫を貼る'!$V$6:$V$10005,$V7487,'①在庫を貼る'!$W$6:$W$10005,$W7487)&gt;0),N(U7486),N(U7486)+1))</f>
        <v/>
      </c>
      <c r="V7487" s="19">
        <f>IF($B7487="","",TEXT($B7487,"0000"))</f>
        <v/>
      </c>
      <c r="W7487" s="19">
        <f>IF($I7487="","",IF(ISNUMBER($I7487),TEXT($I7487,"0"),$I7487))</f>
        <v/>
      </c>
    </row>
    <row r="7488">
      <c r="B7488" s="25" t="n"/>
      <c r="I7488" s="25" t="n"/>
      <c r="U7488" s="19">
        <f>IF($V7488&lt;&gt;'設定'!$C$4,N(U7487),IF(OR(NOT(COUNTIF('商品マスタ'!$B$6:$B$1005,$W7488)=0),COUNTIFS('①在庫を貼る'!$V$6:$V$10005,$V7488,'①在庫を貼る'!$W$6:$W$10005,$W7488)&gt;0),N(U7487),N(U7487)+1))</f>
        <v/>
      </c>
      <c r="V7488" s="19">
        <f>IF($B7488="","",TEXT($B7488,"0000"))</f>
        <v/>
      </c>
      <c r="W7488" s="19">
        <f>IF($I7488="","",IF(ISNUMBER($I7488),TEXT($I7488,"0"),$I7488))</f>
        <v/>
      </c>
    </row>
    <row r="7489">
      <c r="B7489" s="25" t="n"/>
      <c r="I7489" s="25" t="n"/>
      <c r="U7489" s="19">
        <f>IF($V7489&lt;&gt;'設定'!$C$4,N(U7488),IF(OR(NOT(COUNTIF('商品マスタ'!$B$6:$B$1005,$W7489)=0),COUNTIFS('①在庫を貼る'!$V$6:$V$10005,$V7489,'①在庫を貼る'!$W$6:$W$10005,$W7489)&gt;0),N(U7488),N(U7488)+1))</f>
        <v/>
      </c>
      <c r="V7489" s="19">
        <f>IF($B7489="","",TEXT($B7489,"0000"))</f>
        <v/>
      </c>
      <c r="W7489" s="19">
        <f>IF($I7489="","",IF(ISNUMBER($I7489),TEXT($I7489,"0"),$I7489))</f>
        <v/>
      </c>
    </row>
    <row r="7490">
      <c r="B7490" s="25" t="n"/>
      <c r="I7490" s="25" t="n"/>
      <c r="U7490" s="19">
        <f>IF($V7490&lt;&gt;'設定'!$C$4,N(U7489),IF(OR(NOT(COUNTIF('商品マスタ'!$B$6:$B$1005,$W7490)=0),COUNTIFS('①在庫を貼る'!$V$6:$V$10005,$V7490,'①在庫を貼る'!$W$6:$W$10005,$W7490)&gt;0),N(U7489),N(U7489)+1))</f>
        <v/>
      </c>
      <c r="V7490" s="19">
        <f>IF($B7490="","",TEXT($B7490,"0000"))</f>
        <v/>
      </c>
      <c r="W7490" s="19">
        <f>IF($I7490="","",IF(ISNUMBER($I7490),TEXT($I7490,"0"),$I7490))</f>
        <v/>
      </c>
    </row>
    <row r="7491">
      <c r="B7491" s="25" t="n"/>
      <c r="I7491" s="25" t="n"/>
      <c r="U7491" s="19">
        <f>IF($V7491&lt;&gt;'設定'!$C$4,N(U7490),IF(OR(NOT(COUNTIF('商品マスタ'!$B$6:$B$1005,$W7491)=0),COUNTIFS('①在庫を貼る'!$V$6:$V$10005,$V7491,'①在庫を貼る'!$W$6:$W$10005,$W7491)&gt;0),N(U7490),N(U7490)+1))</f>
        <v/>
      </c>
      <c r="V7491" s="19">
        <f>IF($B7491="","",TEXT($B7491,"0000"))</f>
        <v/>
      </c>
      <c r="W7491" s="19">
        <f>IF($I7491="","",IF(ISNUMBER($I7491),TEXT($I7491,"0"),$I7491))</f>
        <v/>
      </c>
    </row>
    <row r="7492">
      <c r="B7492" s="25" t="n"/>
      <c r="I7492" s="25" t="n"/>
      <c r="U7492" s="19">
        <f>IF($V7492&lt;&gt;'設定'!$C$4,N(U7491),IF(OR(NOT(COUNTIF('商品マスタ'!$B$6:$B$1005,$W7492)=0),COUNTIFS('①在庫を貼る'!$V$6:$V$10005,$V7492,'①在庫を貼る'!$W$6:$W$10005,$W7492)&gt;0),N(U7491),N(U7491)+1))</f>
        <v/>
      </c>
      <c r="V7492" s="19">
        <f>IF($B7492="","",TEXT($B7492,"0000"))</f>
        <v/>
      </c>
      <c r="W7492" s="19">
        <f>IF($I7492="","",IF(ISNUMBER($I7492),TEXT($I7492,"0"),$I7492))</f>
        <v/>
      </c>
    </row>
    <row r="7493">
      <c r="B7493" s="25" t="n"/>
      <c r="I7493" s="25" t="n"/>
      <c r="U7493" s="19">
        <f>IF($V7493&lt;&gt;'設定'!$C$4,N(U7492),IF(OR(NOT(COUNTIF('商品マスタ'!$B$6:$B$1005,$W7493)=0),COUNTIFS('①在庫を貼る'!$V$6:$V$10005,$V7493,'①在庫を貼る'!$W$6:$W$10005,$W7493)&gt;0),N(U7492),N(U7492)+1))</f>
        <v/>
      </c>
      <c r="V7493" s="19">
        <f>IF($B7493="","",TEXT($B7493,"0000"))</f>
        <v/>
      </c>
      <c r="W7493" s="19">
        <f>IF($I7493="","",IF(ISNUMBER($I7493),TEXT($I7493,"0"),$I7493))</f>
        <v/>
      </c>
    </row>
    <row r="7494">
      <c r="B7494" s="25" t="n"/>
      <c r="I7494" s="25" t="n"/>
      <c r="U7494" s="19">
        <f>IF($V7494&lt;&gt;'設定'!$C$4,N(U7493),IF(OR(NOT(COUNTIF('商品マスタ'!$B$6:$B$1005,$W7494)=0),COUNTIFS('①在庫を貼る'!$V$6:$V$10005,$V7494,'①在庫を貼る'!$W$6:$W$10005,$W7494)&gt;0),N(U7493),N(U7493)+1))</f>
        <v/>
      </c>
      <c r="V7494" s="19">
        <f>IF($B7494="","",TEXT($B7494,"0000"))</f>
        <v/>
      </c>
      <c r="W7494" s="19">
        <f>IF($I7494="","",IF(ISNUMBER($I7494),TEXT($I7494,"0"),$I7494))</f>
        <v/>
      </c>
    </row>
    <row r="7495">
      <c r="B7495" s="25" t="n"/>
      <c r="I7495" s="25" t="n"/>
      <c r="U7495" s="19">
        <f>IF($V7495&lt;&gt;'設定'!$C$4,N(U7494),IF(OR(NOT(COUNTIF('商品マスタ'!$B$6:$B$1005,$W7495)=0),COUNTIFS('①在庫を貼る'!$V$6:$V$10005,$V7495,'①在庫を貼る'!$W$6:$W$10005,$W7495)&gt;0),N(U7494),N(U7494)+1))</f>
        <v/>
      </c>
      <c r="V7495" s="19">
        <f>IF($B7495="","",TEXT($B7495,"0000"))</f>
        <v/>
      </c>
      <c r="W7495" s="19">
        <f>IF($I7495="","",IF(ISNUMBER($I7495),TEXT($I7495,"0"),$I7495))</f>
        <v/>
      </c>
    </row>
    <row r="7496">
      <c r="B7496" s="25" t="n"/>
      <c r="I7496" s="25" t="n"/>
      <c r="U7496" s="19">
        <f>IF($V7496&lt;&gt;'設定'!$C$4,N(U7495),IF(OR(NOT(COUNTIF('商品マスタ'!$B$6:$B$1005,$W7496)=0),COUNTIFS('①在庫を貼る'!$V$6:$V$10005,$V7496,'①在庫を貼る'!$W$6:$W$10005,$W7496)&gt;0),N(U7495),N(U7495)+1))</f>
        <v/>
      </c>
      <c r="V7496" s="19">
        <f>IF($B7496="","",TEXT($B7496,"0000"))</f>
        <v/>
      </c>
      <c r="W7496" s="19">
        <f>IF($I7496="","",IF(ISNUMBER($I7496),TEXT($I7496,"0"),$I7496))</f>
        <v/>
      </c>
    </row>
    <row r="7497">
      <c r="B7497" s="25" t="n"/>
      <c r="I7497" s="25" t="n"/>
      <c r="U7497" s="19">
        <f>IF($V7497&lt;&gt;'設定'!$C$4,N(U7496),IF(OR(NOT(COUNTIF('商品マスタ'!$B$6:$B$1005,$W7497)=0),COUNTIFS('①在庫を貼る'!$V$6:$V$10005,$V7497,'①在庫を貼る'!$W$6:$W$10005,$W7497)&gt;0),N(U7496),N(U7496)+1))</f>
        <v/>
      </c>
      <c r="V7497" s="19">
        <f>IF($B7497="","",TEXT($B7497,"0000"))</f>
        <v/>
      </c>
      <c r="W7497" s="19">
        <f>IF($I7497="","",IF(ISNUMBER($I7497),TEXT($I7497,"0"),$I7497))</f>
        <v/>
      </c>
    </row>
    <row r="7498">
      <c r="B7498" s="25" t="n"/>
      <c r="I7498" s="25" t="n"/>
      <c r="U7498" s="19">
        <f>IF($V7498&lt;&gt;'設定'!$C$4,N(U7497),IF(OR(NOT(COUNTIF('商品マスタ'!$B$6:$B$1005,$W7498)=0),COUNTIFS('①在庫を貼る'!$V$6:$V$10005,$V7498,'①在庫を貼る'!$W$6:$W$10005,$W7498)&gt;0),N(U7497),N(U7497)+1))</f>
        <v/>
      </c>
      <c r="V7498" s="19">
        <f>IF($B7498="","",TEXT($B7498,"0000"))</f>
        <v/>
      </c>
      <c r="W7498" s="19">
        <f>IF($I7498="","",IF(ISNUMBER($I7498),TEXT($I7498,"0"),$I7498))</f>
        <v/>
      </c>
    </row>
    <row r="7499">
      <c r="B7499" s="25" t="n"/>
      <c r="I7499" s="25" t="n"/>
      <c r="U7499" s="19">
        <f>IF($V7499&lt;&gt;'設定'!$C$4,N(U7498),IF(OR(NOT(COUNTIF('商品マスタ'!$B$6:$B$1005,$W7499)=0),COUNTIFS('①在庫を貼る'!$V$6:$V$10005,$V7499,'①在庫を貼る'!$W$6:$W$10005,$W7499)&gt;0),N(U7498),N(U7498)+1))</f>
        <v/>
      </c>
      <c r="V7499" s="19">
        <f>IF($B7499="","",TEXT($B7499,"0000"))</f>
        <v/>
      </c>
      <c r="W7499" s="19">
        <f>IF($I7499="","",IF(ISNUMBER($I7499),TEXT($I7499,"0"),$I7499))</f>
        <v/>
      </c>
    </row>
    <row r="7500">
      <c r="B7500" s="25" t="n"/>
      <c r="I7500" s="25" t="n"/>
      <c r="U7500" s="19">
        <f>IF($V7500&lt;&gt;'設定'!$C$4,N(U7499),IF(OR(NOT(COUNTIF('商品マスタ'!$B$6:$B$1005,$W7500)=0),COUNTIFS('①在庫を貼る'!$V$6:$V$10005,$V7500,'①在庫を貼る'!$W$6:$W$10005,$W7500)&gt;0),N(U7499),N(U7499)+1))</f>
        <v/>
      </c>
      <c r="V7500" s="19">
        <f>IF($B7500="","",TEXT($B7500,"0000"))</f>
        <v/>
      </c>
      <c r="W7500" s="19">
        <f>IF($I7500="","",IF(ISNUMBER($I7500),TEXT($I7500,"0"),$I7500))</f>
        <v/>
      </c>
    </row>
    <row r="7501">
      <c r="B7501" s="25" t="n"/>
      <c r="I7501" s="25" t="n"/>
      <c r="U7501" s="19">
        <f>IF($V7501&lt;&gt;'設定'!$C$4,N(U7500),IF(OR(NOT(COUNTIF('商品マスタ'!$B$6:$B$1005,$W7501)=0),COUNTIFS('①在庫を貼る'!$V$6:$V$10005,$V7501,'①在庫を貼る'!$W$6:$W$10005,$W7501)&gt;0),N(U7500),N(U7500)+1))</f>
        <v/>
      </c>
      <c r="V7501" s="19">
        <f>IF($B7501="","",TEXT($B7501,"0000"))</f>
        <v/>
      </c>
      <c r="W7501" s="19">
        <f>IF($I7501="","",IF(ISNUMBER($I7501),TEXT($I7501,"0"),$I7501))</f>
        <v/>
      </c>
    </row>
    <row r="7502">
      <c r="B7502" s="25" t="n"/>
      <c r="I7502" s="25" t="n"/>
      <c r="U7502" s="19">
        <f>IF($V7502&lt;&gt;'設定'!$C$4,N(U7501),IF(OR(NOT(COUNTIF('商品マスタ'!$B$6:$B$1005,$W7502)=0),COUNTIFS('①在庫を貼る'!$V$6:$V$10005,$V7502,'①在庫を貼る'!$W$6:$W$10005,$W7502)&gt;0),N(U7501),N(U7501)+1))</f>
        <v/>
      </c>
      <c r="V7502" s="19">
        <f>IF($B7502="","",TEXT($B7502,"0000"))</f>
        <v/>
      </c>
      <c r="W7502" s="19">
        <f>IF($I7502="","",IF(ISNUMBER($I7502),TEXT($I7502,"0"),$I7502))</f>
        <v/>
      </c>
    </row>
    <row r="7503">
      <c r="B7503" s="25" t="n"/>
      <c r="I7503" s="25" t="n"/>
      <c r="U7503" s="19">
        <f>IF($V7503&lt;&gt;'設定'!$C$4,N(U7502),IF(OR(NOT(COUNTIF('商品マスタ'!$B$6:$B$1005,$W7503)=0),COUNTIFS('①在庫を貼る'!$V$6:$V$10005,$V7503,'①在庫を貼る'!$W$6:$W$10005,$W7503)&gt;0),N(U7502),N(U7502)+1))</f>
        <v/>
      </c>
      <c r="V7503" s="19">
        <f>IF($B7503="","",TEXT($B7503,"0000"))</f>
        <v/>
      </c>
      <c r="W7503" s="19">
        <f>IF($I7503="","",IF(ISNUMBER($I7503),TEXT($I7503,"0"),$I7503))</f>
        <v/>
      </c>
    </row>
    <row r="7504">
      <c r="B7504" s="25" t="n"/>
      <c r="I7504" s="25" t="n"/>
      <c r="U7504" s="19">
        <f>IF($V7504&lt;&gt;'設定'!$C$4,N(U7503),IF(OR(NOT(COUNTIF('商品マスタ'!$B$6:$B$1005,$W7504)=0),COUNTIFS('①在庫を貼る'!$V$6:$V$10005,$V7504,'①在庫を貼る'!$W$6:$W$10005,$W7504)&gt;0),N(U7503),N(U7503)+1))</f>
        <v/>
      </c>
      <c r="V7504" s="19">
        <f>IF($B7504="","",TEXT($B7504,"0000"))</f>
        <v/>
      </c>
      <c r="W7504" s="19">
        <f>IF($I7504="","",IF(ISNUMBER($I7504),TEXT($I7504,"0"),$I7504))</f>
        <v/>
      </c>
    </row>
    <row r="7505">
      <c r="B7505" s="25" t="n"/>
      <c r="I7505" s="25" t="n"/>
      <c r="U7505" s="19">
        <f>IF($V7505&lt;&gt;'設定'!$C$4,N(U7504),IF(OR(NOT(COUNTIF('商品マスタ'!$B$6:$B$1005,$W7505)=0),COUNTIFS('①在庫を貼る'!$V$6:$V$10005,$V7505,'①在庫を貼る'!$W$6:$W$10005,$W7505)&gt;0),N(U7504),N(U7504)+1))</f>
        <v/>
      </c>
      <c r="V7505" s="19">
        <f>IF($B7505="","",TEXT($B7505,"0000"))</f>
        <v/>
      </c>
      <c r="W7505" s="19">
        <f>IF($I7505="","",IF(ISNUMBER($I7505),TEXT($I7505,"0"),$I7505))</f>
        <v/>
      </c>
    </row>
    <row r="7506">
      <c r="B7506" s="25" t="n"/>
      <c r="I7506" s="25" t="n"/>
      <c r="U7506" s="19">
        <f>IF($V7506&lt;&gt;'設定'!$C$4,N(U7505),IF(OR(NOT(COUNTIF('商品マスタ'!$B$6:$B$1005,$W7506)=0),COUNTIFS('①在庫を貼る'!$V$6:$V$10005,$V7506,'①在庫を貼る'!$W$6:$W$10005,$W7506)&gt;0),N(U7505),N(U7505)+1))</f>
        <v/>
      </c>
      <c r="V7506" s="19">
        <f>IF($B7506="","",TEXT($B7506,"0000"))</f>
        <v/>
      </c>
      <c r="W7506" s="19">
        <f>IF($I7506="","",IF(ISNUMBER($I7506),TEXT($I7506,"0"),$I7506))</f>
        <v/>
      </c>
    </row>
    <row r="7507">
      <c r="B7507" s="25" t="n"/>
      <c r="I7507" s="25" t="n"/>
      <c r="U7507" s="19">
        <f>IF($V7507&lt;&gt;'設定'!$C$4,N(U7506),IF(OR(NOT(COUNTIF('商品マスタ'!$B$6:$B$1005,$W7507)=0),COUNTIFS('①在庫を貼る'!$V$6:$V$10005,$V7507,'①在庫を貼る'!$W$6:$W$10005,$W7507)&gt;0),N(U7506),N(U7506)+1))</f>
        <v/>
      </c>
      <c r="V7507" s="19">
        <f>IF($B7507="","",TEXT($B7507,"0000"))</f>
        <v/>
      </c>
      <c r="W7507" s="19">
        <f>IF($I7507="","",IF(ISNUMBER($I7507),TEXT($I7507,"0"),$I7507))</f>
        <v/>
      </c>
    </row>
    <row r="7508">
      <c r="B7508" s="25" t="n"/>
      <c r="I7508" s="25" t="n"/>
      <c r="U7508" s="19">
        <f>IF($V7508&lt;&gt;'設定'!$C$4,N(U7507),IF(OR(NOT(COUNTIF('商品マスタ'!$B$6:$B$1005,$W7508)=0),COUNTIFS('①在庫を貼る'!$V$6:$V$10005,$V7508,'①在庫を貼る'!$W$6:$W$10005,$W7508)&gt;0),N(U7507),N(U7507)+1))</f>
        <v/>
      </c>
      <c r="V7508" s="19">
        <f>IF($B7508="","",TEXT($B7508,"0000"))</f>
        <v/>
      </c>
      <c r="W7508" s="19">
        <f>IF($I7508="","",IF(ISNUMBER($I7508),TEXT($I7508,"0"),$I7508))</f>
        <v/>
      </c>
    </row>
    <row r="7509">
      <c r="B7509" s="25" t="n"/>
      <c r="I7509" s="25" t="n"/>
      <c r="U7509" s="19">
        <f>IF($V7509&lt;&gt;'設定'!$C$4,N(U7508),IF(OR(NOT(COUNTIF('商品マスタ'!$B$6:$B$1005,$W7509)=0),COUNTIFS('①在庫を貼る'!$V$6:$V$10005,$V7509,'①在庫を貼る'!$W$6:$W$10005,$W7509)&gt;0),N(U7508),N(U7508)+1))</f>
        <v/>
      </c>
      <c r="V7509" s="19">
        <f>IF($B7509="","",TEXT($B7509,"0000"))</f>
        <v/>
      </c>
      <c r="W7509" s="19">
        <f>IF($I7509="","",IF(ISNUMBER($I7509),TEXT($I7509,"0"),$I7509))</f>
        <v/>
      </c>
    </row>
    <row r="7510">
      <c r="B7510" s="25" t="n"/>
      <c r="I7510" s="25" t="n"/>
      <c r="U7510" s="19">
        <f>IF($V7510&lt;&gt;'設定'!$C$4,N(U7509),IF(OR(NOT(COUNTIF('商品マスタ'!$B$6:$B$1005,$W7510)=0),COUNTIFS('①在庫を貼る'!$V$6:$V$10005,$V7510,'①在庫を貼る'!$W$6:$W$10005,$W7510)&gt;0),N(U7509),N(U7509)+1))</f>
        <v/>
      </c>
      <c r="V7510" s="19">
        <f>IF($B7510="","",TEXT($B7510,"0000"))</f>
        <v/>
      </c>
      <c r="W7510" s="19">
        <f>IF($I7510="","",IF(ISNUMBER($I7510),TEXT($I7510,"0"),$I7510))</f>
        <v/>
      </c>
    </row>
    <row r="7511">
      <c r="B7511" s="25" t="n"/>
      <c r="I7511" s="25" t="n"/>
      <c r="U7511" s="19">
        <f>IF($V7511&lt;&gt;'設定'!$C$4,N(U7510),IF(OR(NOT(COUNTIF('商品マスタ'!$B$6:$B$1005,$W7511)=0),COUNTIFS('①在庫を貼る'!$V$6:$V$10005,$V7511,'①在庫を貼る'!$W$6:$W$10005,$W7511)&gt;0),N(U7510),N(U7510)+1))</f>
        <v/>
      </c>
      <c r="V7511" s="19">
        <f>IF($B7511="","",TEXT($B7511,"0000"))</f>
        <v/>
      </c>
      <c r="W7511" s="19">
        <f>IF($I7511="","",IF(ISNUMBER($I7511),TEXT($I7511,"0"),$I7511))</f>
        <v/>
      </c>
    </row>
    <row r="7512">
      <c r="B7512" s="25" t="n"/>
      <c r="I7512" s="25" t="n"/>
      <c r="U7512" s="19">
        <f>IF($V7512&lt;&gt;'設定'!$C$4,N(U7511),IF(OR(NOT(COUNTIF('商品マスタ'!$B$6:$B$1005,$W7512)=0),COUNTIFS('①在庫を貼る'!$V$6:$V$10005,$V7512,'①在庫を貼る'!$W$6:$W$10005,$W7512)&gt;0),N(U7511),N(U7511)+1))</f>
        <v/>
      </c>
      <c r="V7512" s="19">
        <f>IF($B7512="","",TEXT($B7512,"0000"))</f>
        <v/>
      </c>
      <c r="W7512" s="19">
        <f>IF($I7512="","",IF(ISNUMBER($I7512),TEXT($I7512,"0"),$I7512))</f>
        <v/>
      </c>
    </row>
    <row r="7513">
      <c r="B7513" s="25" t="n"/>
      <c r="I7513" s="25" t="n"/>
      <c r="U7513" s="19">
        <f>IF($V7513&lt;&gt;'設定'!$C$4,N(U7512),IF(OR(NOT(COUNTIF('商品マスタ'!$B$6:$B$1005,$W7513)=0),COUNTIFS('①在庫を貼る'!$V$6:$V$10005,$V7513,'①在庫を貼る'!$W$6:$W$10005,$W7513)&gt;0),N(U7512),N(U7512)+1))</f>
        <v/>
      </c>
      <c r="V7513" s="19">
        <f>IF($B7513="","",TEXT($B7513,"0000"))</f>
        <v/>
      </c>
      <c r="W7513" s="19">
        <f>IF($I7513="","",IF(ISNUMBER($I7513),TEXT($I7513,"0"),$I7513))</f>
        <v/>
      </c>
    </row>
    <row r="7514">
      <c r="B7514" s="25" t="n"/>
      <c r="I7514" s="25" t="n"/>
      <c r="U7514" s="19">
        <f>IF($V7514&lt;&gt;'設定'!$C$4,N(U7513),IF(OR(NOT(COUNTIF('商品マスタ'!$B$6:$B$1005,$W7514)=0),COUNTIFS('①在庫を貼る'!$V$6:$V$10005,$V7514,'①在庫を貼る'!$W$6:$W$10005,$W7514)&gt;0),N(U7513),N(U7513)+1))</f>
        <v/>
      </c>
      <c r="V7514" s="19">
        <f>IF($B7514="","",TEXT($B7514,"0000"))</f>
        <v/>
      </c>
      <c r="W7514" s="19">
        <f>IF($I7514="","",IF(ISNUMBER($I7514),TEXT($I7514,"0"),$I7514))</f>
        <v/>
      </c>
    </row>
    <row r="7515">
      <c r="B7515" s="25" t="n"/>
      <c r="I7515" s="25" t="n"/>
      <c r="U7515" s="19">
        <f>IF($V7515&lt;&gt;'設定'!$C$4,N(U7514),IF(OR(NOT(COUNTIF('商品マスタ'!$B$6:$B$1005,$W7515)=0),COUNTIFS('①在庫を貼る'!$V$6:$V$10005,$V7515,'①在庫を貼る'!$W$6:$W$10005,$W7515)&gt;0),N(U7514),N(U7514)+1))</f>
        <v/>
      </c>
      <c r="V7515" s="19">
        <f>IF($B7515="","",TEXT($B7515,"0000"))</f>
        <v/>
      </c>
      <c r="W7515" s="19">
        <f>IF($I7515="","",IF(ISNUMBER($I7515),TEXT($I7515,"0"),$I7515))</f>
        <v/>
      </c>
    </row>
    <row r="7516">
      <c r="B7516" s="25" t="n"/>
      <c r="I7516" s="25" t="n"/>
      <c r="U7516" s="19">
        <f>IF($V7516&lt;&gt;'設定'!$C$4,N(U7515),IF(OR(NOT(COUNTIF('商品マスタ'!$B$6:$B$1005,$W7516)=0),COUNTIFS('①在庫を貼る'!$V$6:$V$10005,$V7516,'①在庫を貼る'!$W$6:$W$10005,$W7516)&gt;0),N(U7515),N(U7515)+1))</f>
        <v/>
      </c>
      <c r="V7516" s="19">
        <f>IF($B7516="","",TEXT($B7516,"0000"))</f>
        <v/>
      </c>
      <c r="W7516" s="19">
        <f>IF($I7516="","",IF(ISNUMBER($I7516),TEXT($I7516,"0"),$I7516))</f>
        <v/>
      </c>
    </row>
    <row r="7517">
      <c r="B7517" s="25" t="n"/>
      <c r="I7517" s="25" t="n"/>
      <c r="U7517" s="19">
        <f>IF($V7517&lt;&gt;'設定'!$C$4,N(U7516),IF(OR(NOT(COUNTIF('商品マスタ'!$B$6:$B$1005,$W7517)=0),COUNTIFS('①在庫を貼る'!$V$6:$V$10005,$V7517,'①在庫を貼る'!$W$6:$W$10005,$W7517)&gt;0),N(U7516),N(U7516)+1))</f>
        <v/>
      </c>
      <c r="V7517" s="19">
        <f>IF($B7517="","",TEXT($B7517,"0000"))</f>
        <v/>
      </c>
      <c r="W7517" s="19">
        <f>IF($I7517="","",IF(ISNUMBER($I7517),TEXT($I7517,"0"),$I7517))</f>
        <v/>
      </c>
    </row>
    <row r="7518">
      <c r="B7518" s="25" t="n"/>
      <c r="I7518" s="25" t="n"/>
      <c r="U7518" s="19">
        <f>IF($V7518&lt;&gt;'設定'!$C$4,N(U7517),IF(OR(NOT(COUNTIF('商品マスタ'!$B$6:$B$1005,$W7518)=0),COUNTIFS('①在庫を貼る'!$V$6:$V$10005,$V7518,'①在庫を貼る'!$W$6:$W$10005,$W7518)&gt;0),N(U7517),N(U7517)+1))</f>
        <v/>
      </c>
      <c r="V7518" s="19">
        <f>IF($B7518="","",TEXT($B7518,"0000"))</f>
        <v/>
      </c>
      <c r="W7518" s="19">
        <f>IF($I7518="","",IF(ISNUMBER($I7518),TEXT($I7518,"0"),$I7518))</f>
        <v/>
      </c>
    </row>
    <row r="7519">
      <c r="B7519" s="25" t="n"/>
      <c r="I7519" s="25" t="n"/>
      <c r="U7519" s="19">
        <f>IF($V7519&lt;&gt;'設定'!$C$4,N(U7518),IF(OR(NOT(COUNTIF('商品マスタ'!$B$6:$B$1005,$W7519)=0),COUNTIFS('①在庫を貼る'!$V$6:$V$10005,$V7519,'①在庫を貼る'!$W$6:$W$10005,$W7519)&gt;0),N(U7518),N(U7518)+1))</f>
        <v/>
      </c>
      <c r="V7519" s="19">
        <f>IF($B7519="","",TEXT($B7519,"0000"))</f>
        <v/>
      </c>
      <c r="W7519" s="19">
        <f>IF($I7519="","",IF(ISNUMBER($I7519),TEXT($I7519,"0"),$I7519))</f>
        <v/>
      </c>
    </row>
    <row r="7520">
      <c r="B7520" s="25" t="n"/>
      <c r="I7520" s="25" t="n"/>
      <c r="U7520" s="19">
        <f>IF($V7520&lt;&gt;'設定'!$C$4,N(U7519),IF(OR(NOT(COUNTIF('商品マスタ'!$B$6:$B$1005,$W7520)=0),COUNTIFS('①在庫を貼る'!$V$6:$V$10005,$V7520,'①在庫を貼る'!$W$6:$W$10005,$W7520)&gt;0),N(U7519),N(U7519)+1))</f>
        <v/>
      </c>
      <c r="V7520" s="19">
        <f>IF($B7520="","",TEXT($B7520,"0000"))</f>
        <v/>
      </c>
      <c r="W7520" s="19">
        <f>IF($I7520="","",IF(ISNUMBER($I7520),TEXT($I7520,"0"),$I7520))</f>
        <v/>
      </c>
    </row>
    <row r="7521">
      <c r="B7521" s="25" t="n"/>
      <c r="I7521" s="25" t="n"/>
      <c r="U7521" s="19">
        <f>IF($V7521&lt;&gt;'設定'!$C$4,N(U7520),IF(OR(NOT(COUNTIF('商品マスタ'!$B$6:$B$1005,$W7521)=0),COUNTIFS('①在庫を貼る'!$V$6:$V$10005,$V7521,'①在庫を貼る'!$W$6:$W$10005,$W7521)&gt;0),N(U7520),N(U7520)+1))</f>
        <v/>
      </c>
      <c r="V7521" s="19">
        <f>IF($B7521="","",TEXT($B7521,"0000"))</f>
        <v/>
      </c>
      <c r="W7521" s="19">
        <f>IF($I7521="","",IF(ISNUMBER($I7521),TEXT($I7521,"0"),$I7521))</f>
        <v/>
      </c>
    </row>
    <row r="7522">
      <c r="B7522" s="25" t="n"/>
      <c r="I7522" s="25" t="n"/>
      <c r="U7522" s="19">
        <f>IF($V7522&lt;&gt;'設定'!$C$4,N(U7521),IF(OR(NOT(COUNTIF('商品マスタ'!$B$6:$B$1005,$W7522)=0),COUNTIFS('①在庫を貼る'!$V$6:$V$10005,$V7522,'①在庫を貼る'!$W$6:$W$10005,$W7522)&gt;0),N(U7521),N(U7521)+1))</f>
        <v/>
      </c>
      <c r="V7522" s="19">
        <f>IF($B7522="","",TEXT($B7522,"0000"))</f>
        <v/>
      </c>
      <c r="W7522" s="19">
        <f>IF($I7522="","",IF(ISNUMBER($I7522),TEXT($I7522,"0"),$I7522))</f>
        <v/>
      </c>
    </row>
    <row r="7523">
      <c r="B7523" s="25" t="n"/>
      <c r="I7523" s="25" t="n"/>
      <c r="U7523" s="19">
        <f>IF($V7523&lt;&gt;'設定'!$C$4,N(U7522),IF(OR(NOT(COUNTIF('商品マスタ'!$B$6:$B$1005,$W7523)=0),COUNTIFS('①在庫を貼る'!$V$6:$V$10005,$V7523,'①在庫を貼る'!$W$6:$W$10005,$W7523)&gt;0),N(U7522),N(U7522)+1))</f>
        <v/>
      </c>
      <c r="V7523" s="19">
        <f>IF($B7523="","",TEXT($B7523,"0000"))</f>
        <v/>
      </c>
      <c r="W7523" s="19">
        <f>IF($I7523="","",IF(ISNUMBER($I7523),TEXT($I7523,"0"),$I7523))</f>
        <v/>
      </c>
    </row>
    <row r="7524">
      <c r="B7524" s="25" t="n"/>
      <c r="I7524" s="25" t="n"/>
      <c r="U7524" s="19">
        <f>IF($V7524&lt;&gt;'設定'!$C$4,N(U7523),IF(OR(NOT(COUNTIF('商品マスタ'!$B$6:$B$1005,$W7524)=0),COUNTIFS('①在庫を貼る'!$V$6:$V$10005,$V7524,'①在庫を貼る'!$W$6:$W$10005,$W7524)&gt;0),N(U7523),N(U7523)+1))</f>
        <v/>
      </c>
      <c r="V7524" s="19">
        <f>IF($B7524="","",TEXT($B7524,"0000"))</f>
        <v/>
      </c>
      <c r="W7524" s="19">
        <f>IF($I7524="","",IF(ISNUMBER($I7524),TEXT($I7524,"0"),$I7524))</f>
        <v/>
      </c>
    </row>
    <row r="7525">
      <c r="B7525" s="25" t="n"/>
      <c r="I7525" s="25" t="n"/>
      <c r="U7525" s="19">
        <f>IF($V7525&lt;&gt;'設定'!$C$4,N(U7524),IF(OR(NOT(COUNTIF('商品マスタ'!$B$6:$B$1005,$W7525)=0),COUNTIFS('①在庫を貼る'!$V$6:$V$10005,$V7525,'①在庫を貼る'!$W$6:$W$10005,$W7525)&gt;0),N(U7524),N(U7524)+1))</f>
        <v/>
      </c>
      <c r="V7525" s="19">
        <f>IF($B7525="","",TEXT($B7525,"0000"))</f>
        <v/>
      </c>
      <c r="W7525" s="19">
        <f>IF($I7525="","",IF(ISNUMBER($I7525),TEXT($I7525,"0"),$I7525))</f>
        <v/>
      </c>
    </row>
    <row r="7526">
      <c r="B7526" s="25" t="n"/>
      <c r="I7526" s="25" t="n"/>
      <c r="U7526" s="19">
        <f>IF($V7526&lt;&gt;'設定'!$C$4,N(U7525),IF(OR(NOT(COUNTIF('商品マスタ'!$B$6:$B$1005,$W7526)=0),COUNTIFS('①在庫を貼る'!$V$6:$V$10005,$V7526,'①在庫を貼る'!$W$6:$W$10005,$W7526)&gt;0),N(U7525),N(U7525)+1))</f>
        <v/>
      </c>
      <c r="V7526" s="19">
        <f>IF($B7526="","",TEXT($B7526,"0000"))</f>
        <v/>
      </c>
      <c r="W7526" s="19">
        <f>IF($I7526="","",IF(ISNUMBER($I7526),TEXT($I7526,"0"),$I7526))</f>
        <v/>
      </c>
    </row>
    <row r="7527">
      <c r="B7527" s="25" t="n"/>
      <c r="I7527" s="25" t="n"/>
      <c r="U7527" s="19">
        <f>IF($V7527&lt;&gt;'設定'!$C$4,N(U7526),IF(OR(NOT(COUNTIF('商品マスタ'!$B$6:$B$1005,$W7527)=0),COUNTIFS('①在庫を貼る'!$V$6:$V$10005,$V7527,'①在庫を貼る'!$W$6:$W$10005,$W7527)&gt;0),N(U7526),N(U7526)+1))</f>
        <v/>
      </c>
      <c r="V7527" s="19">
        <f>IF($B7527="","",TEXT($B7527,"0000"))</f>
        <v/>
      </c>
      <c r="W7527" s="19">
        <f>IF($I7527="","",IF(ISNUMBER($I7527),TEXT($I7527,"0"),$I7527))</f>
        <v/>
      </c>
    </row>
    <row r="7528">
      <c r="B7528" s="25" t="n"/>
      <c r="I7528" s="25" t="n"/>
      <c r="U7528" s="19">
        <f>IF($V7528&lt;&gt;'設定'!$C$4,N(U7527),IF(OR(NOT(COUNTIF('商品マスタ'!$B$6:$B$1005,$W7528)=0),COUNTIFS('①在庫を貼る'!$V$6:$V$10005,$V7528,'①在庫を貼る'!$W$6:$W$10005,$W7528)&gt;0),N(U7527),N(U7527)+1))</f>
        <v/>
      </c>
      <c r="V7528" s="19">
        <f>IF($B7528="","",TEXT($B7528,"0000"))</f>
        <v/>
      </c>
      <c r="W7528" s="19">
        <f>IF($I7528="","",IF(ISNUMBER($I7528),TEXT($I7528,"0"),$I7528))</f>
        <v/>
      </c>
    </row>
    <row r="7529">
      <c r="B7529" s="25" t="n"/>
      <c r="I7529" s="25" t="n"/>
      <c r="U7529" s="19">
        <f>IF($V7529&lt;&gt;'設定'!$C$4,N(U7528),IF(OR(NOT(COUNTIF('商品マスタ'!$B$6:$B$1005,$W7529)=0),COUNTIFS('①在庫を貼る'!$V$6:$V$10005,$V7529,'①在庫を貼る'!$W$6:$W$10005,$W7529)&gt;0),N(U7528),N(U7528)+1))</f>
        <v/>
      </c>
      <c r="V7529" s="19">
        <f>IF($B7529="","",TEXT($B7529,"0000"))</f>
        <v/>
      </c>
      <c r="W7529" s="19">
        <f>IF($I7529="","",IF(ISNUMBER($I7529),TEXT($I7529,"0"),$I7529))</f>
        <v/>
      </c>
    </row>
    <row r="7530">
      <c r="B7530" s="25" t="n"/>
      <c r="I7530" s="25" t="n"/>
      <c r="U7530" s="19">
        <f>IF($V7530&lt;&gt;'設定'!$C$4,N(U7529),IF(OR(NOT(COUNTIF('商品マスタ'!$B$6:$B$1005,$W7530)=0),COUNTIFS('①在庫を貼る'!$V$6:$V$10005,$V7530,'①在庫を貼る'!$W$6:$W$10005,$W7530)&gt;0),N(U7529),N(U7529)+1))</f>
        <v/>
      </c>
      <c r="V7530" s="19">
        <f>IF($B7530="","",TEXT($B7530,"0000"))</f>
        <v/>
      </c>
      <c r="W7530" s="19">
        <f>IF($I7530="","",IF(ISNUMBER($I7530),TEXT($I7530,"0"),$I7530))</f>
        <v/>
      </c>
    </row>
    <row r="7531">
      <c r="B7531" s="25" t="n"/>
      <c r="I7531" s="25" t="n"/>
      <c r="U7531" s="19">
        <f>IF($V7531&lt;&gt;'設定'!$C$4,N(U7530),IF(OR(NOT(COUNTIF('商品マスタ'!$B$6:$B$1005,$W7531)=0),COUNTIFS('①在庫を貼る'!$V$6:$V$10005,$V7531,'①在庫を貼る'!$W$6:$W$10005,$W7531)&gt;0),N(U7530),N(U7530)+1))</f>
        <v/>
      </c>
      <c r="V7531" s="19">
        <f>IF($B7531="","",TEXT($B7531,"0000"))</f>
        <v/>
      </c>
      <c r="W7531" s="19">
        <f>IF($I7531="","",IF(ISNUMBER($I7531),TEXT($I7531,"0"),$I7531))</f>
        <v/>
      </c>
    </row>
    <row r="7532">
      <c r="B7532" s="25" t="n"/>
      <c r="I7532" s="25" t="n"/>
      <c r="U7532" s="19">
        <f>IF($V7532&lt;&gt;'設定'!$C$4,N(U7531),IF(OR(NOT(COUNTIF('商品マスタ'!$B$6:$B$1005,$W7532)=0),COUNTIFS('①在庫を貼る'!$V$6:$V$10005,$V7532,'①在庫を貼る'!$W$6:$W$10005,$W7532)&gt;0),N(U7531),N(U7531)+1))</f>
        <v/>
      </c>
      <c r="V7532" s="19">
        <f>IF($B7532="","",TEXT($B7532,"0000"))</f>
        <v/>
      </c>
      <c r="W7532" s="19">
        <f>IF($I7532="","",IF(ISNUMBER($I7532),TEXT($I7532,"0"),$I7532))</f>
        <v/>
      </c>
    </row>
    <row r="7533">
      <c r="B7533" s="25" t="n"/>
      <c r="I7533" s="25" t="n"/>
      <c r="U7533" s="19">
        <f>IF($V7533&lt;&gt;'設定'!$C$4,N(U7532),IF(OR(NOT(COUNTIF('商品マスタ'!$B$6:$B$1005,$W7533)=0),COUNTIFS('①在庫を貼る'!$V$6:$V$10005,$V7533,'①在庫を貼る'!$W$6:$W$10005,$W7533)&gt;0),N(U7532),N(U7532)+1))</f>
        <v/>
      </c>
      <c r="V7533" s="19">
        <f>IF($B7533="","",TEXT($B7533,"0000"))</f>
        <v/>
      </c>
      <c r="W7533" s="19">
        <f>IF($I7533="","",IF(ISNUMBER($I7533),TEXT($I7533,"0"),$I7533))</f>
        <v/>
      </c>
    </row>
    <row r="7534">
      <c r="B7534" s="25" t="n"/>
      <c r="I7534" s="25" t="n"/>
      <c r="U7534" s="19">
        <f>IF($V7534&lt;&gt;'設定'!$C$4,N(U7533),IF(OR(NOT(COUNTIF('商品マスタ'!$B$6:$B$1005,$W7534)=0),COUNTIFS('①在庫を貼る'!$V$6:$V$10005,$V7534,'①在庫を貼る'!$W$6:$W$10005,$W7534)&gt;0),N(U7533),N(U7533)+1))</f>
        <v/>
      </c>
      <c r="V7534" s="19">
        <f>IF($B7534="","",TEXT($B7534,"0000"))</f>
        <v/>
      </c>
      <c r="W7534" s="19">
        <f>IF($I7534="","",IF(ISNUMBER($I7534),TEXT($I7534,"0"),$I7534))</f>
        <v/>
      </c>
    </row>
    <row r="7535">
      <c r="B7535" s="25" t="n"/>
      <c r="I7535" s="25" t="n"/>
      <c r="U7535" s="19">
        <f>IF($V7535&lt;&gt;'設定'!$C$4,N(U7534),IF(OR(NOT(COUNTIF('商品マスタ'!$B$6:$B$1005,$W7535)=0),COUNTIFS('①在庫を貼る'!$V$6:$V$10005,$V7535,'①在庫を貼る'!$W$6:$W$10005,$W7535)&gt;0),N(U7534),N(U7534)+1))</f>
        <v/>
      </c>
      <c r="V7535" s="19">
        <f>IF($B7535="","",TEXT($B7535,"0000"))</f>
        <v/>
      </c>
      <c r="W7535" s="19">
        <f>IF($I7535="","",IF(ISNUMBER($I7535),TEXT($I7535,"0"),$I7535))</f>
        <v/>
      </c>
    </row>
    <row r="7536">
      <c r="B7536" s="25" t="n"/>
      <c r="I7536" s="25" t="n"/>
      <c r="U7536" s="19">
        <f>IF($V7536&lt;&gt;'設定'!$C$4,N(U7535),IF(OR(NOT(COUNTIF('商品マスタ'!$B$6:$B$1005,$W7536)=0),COUNTIFS('①在庫を貼る'!$V$6:$V$10005,$V7536,'①在庫を貼る'!$W$6:$W$10005,$W7536)&gt;0),N(U7535),N(U7535)+1))</f>
        <v/>
      </c>
      <c r="V7536" s="19">
        <f>IF($B7536="","",TEXT($B7536,"0000"))</f>
        <v/>
      </c>
      <c r="W7536" s="19">
        <f>IF($I7536="","",IF(ISNUMBER($I7536),TEXT($I7536,"0"),$I7536))</f>
        <v/>
      </c>
    </row>
    <row r="7537">
      <c r="B7537" s="25" t="n"/>
      <c r="I7537" s="25" t="n"/>
      <c r="U7537" s="19">
        <f>IF($V7537&lt;&gt;'設定'!$C$4,N(U7536),IF(OR(NOT(COUNTIF('商品マスタ'!$B$6:$B$1005,$W7537)=0),COUNTIFS('①在庫を貼る'!$V$6:$V$10005,$V7537,'①在庫を貼る'!$W$6:$W$10005,$W7537)&gt;0),N(U7536),N(U7536)+1))</f>
        <v/>
      </c>
      <c r="V7537" s="19">
        <f>IF($B7537="","",TEXT($B7537,"0000"))</f>
        <v/>
      </c>
      <c r="W7537" s="19">
        <f>IF($I7537="","",IF(ISNUMBER($I7537),TEXT($I7537,"0"),$I7537))</f>
        <v/>
      </c>
    </row>
    <row r="7538">
      <c r="B7538" s="25" t="n"/>
      <c r="I7538" s="25" t="n"/>
      <c r="U7538" s="19">
        <f>IF($V7538&lt;&gt;'設定'!$C$4,N(U7537),IF(OR(NOT(COUNTIF('商品マスタ'!$B$6:$B$1005,$W7538)=0),COUNTIFS('①在庫を貼る'!$V$6:$V$10005,$V7538,'①在庫を貼る'!$W$6:$W$10005,$W7538)&gt;0),N(U7537),N(U7537)+1))</f>
        <v/>
      </c>
      <c r="V7538" s="19">
        <f>IF($B7538="","",TEXT($B7538,"0000"))</f>
        <v/>
      </c>
      <c r="W7538" s="19">
        <f>IF($I7538="","",IF(ISNUMBER($I7538),TEXT($I7538,"0"),$I7538))</f>
        <v/>
      </c>
    </row>
    <row r="7539">
      <c r="B7539" s="25" t="n"/>
      <c r="I7539" s="25" t="n"/>
      <c r="U7539" s="19">
        <f>IF($V7539&lt;&gt;'設定'!$C$4,N(U7538),IF(OR(NOT(COUNTIF('商品マスタ'!$B$6:$B$1005,$W7539)=0),COUNTIFS('①在庫を貼る'!$V$6:$V$10005,$V7539,'①在庫を貼る'!$W$6:$W$10005,$W7539)&gt;0),N(U7538),N(U7538)+1))</f>
        <v/>
      </c>
      <c r="V7539" s="19">
        <f>IF($B7539="","",TEXT($B7539,"0000"))</f>
        <v/>
      </c>
      <c r="W7539" s="19">
        <f>IF($I7539="","",IF(ISNUMBER($I7539),TEXT($I7539,"0"),$I7539))</f>
        <v/>
      </c>
    </row>
    <row r="7540">
      <c r="B7540" s="25" t="n"/>
      <c r="I7540" s="25" t="n"/>
      <c r="U7540" s="19">
        <f>IF($V7540&lt;&gt;'設定'!$C$4,N(U7539),IF(OR(NOT(COUNTIF('商品マスタ'!$B$6:$B$1005,$W7540)=0),COUNTIFS('①在庫を貼る'!$V$6:$V$10005,$V7540,'①在庫を貼る'!$W$6:$W$10005,$W7540)&gt;0),N(U7539),N(U7539)+1))</f>
        <v/>
      </c>
      <c r="V7540" s="19">
        <f>IF($B7540="","",TEXT($B7540,"0000"))</f>
        <v/>
      </c>
      <c r="W7540" s="19">
        <f>IF($I7540="","",IF(ISNUMBER($I7540),TEXT($I7540,"0"),$I7540))</f>
        <v/>
      </c>
    </row>
    <row r="7541">
      <c r="B7541" s="25" t="n"/>
      <c r="I7541" s="25" t="n"/>
      <c r="U7541" s="19">
        <f>IF($V7541&lt;&gt;'設定'!$C$4,N(U7540),IF(OR(NOT(COUNTIF('商品マスタ'!$B$6:$B$1005,$W7541)=0),COUNTIFS('①在庫を貼る'!$V$6:$V$10005,$V7541,'①在庫を貼る'!$W$6:$W$10005,$W7541)&gt;0),N(U7540),N(U7540)+1))</f>
        <v/>
      </c>
      <c r="V7541" s="19">
        <f>IF($B7541="","",TEXT($B7541,"0000"))</f>
        <v/>
      </c>
      <c r="W7541" s="19">
        <f>IF($I7541="","",IF(ISNUMBER($I7541),TEXT($I7541,"0"),$I7541))</f>
        <v/>
      </c>
    </row>
    <row r="7542">
      <c r="B7542" s="25" t="n"/>
      <c r="I7542" s="25" t="n"/>
      <c r="U7542" s="19">
        <f>IF($V7542&lt;&gt;'設定'!$C$4,N(U7541),IF(OR(NOT(COUNTIF('商品マスタ'!$B$6:$B$1005,$W7542)=0),COUNTIFS('①在庫を貼る'!$V$6:$V$10005,$V7542,'①在庫を貼る'!$W$6:$W$10005,$W7542)&gt;0),N(U7541),N(U7541)+1))</f>
        <v/>
      </c>
      <c r="V7542" s="19">
        <f>IF($B7542="","",TEXT($B7542,"0000"))</f>
        <v/>
      </c>
      <c r="W7542" s="19">
        <f>IF($I7542="","",IF(ISNUMBER($I7542),TEXT($I7542,"0"),$I7542))</f>
        <v/>
      </c>
    </row>
    <row r="7543">
      <c r="B7543" s="25" t="n"/>
      <c r="I7543" s="25" t="n"/>
      <c r="U7543" s="19">
        <f>IF($V7543&lt;&gt;'設定'!$C$4,N(U7542),IF(OR(NOT(COUNTIF('商品マスタ'!$B$6:$B$1005,$W7543)=0),COUNTIFS('①在庫を貼る'!$V$6:$V$10005,$V7543,'①在庫を貼る'!$W$6:$W$10005,$W7543)&gt;0),N(U7542),N(U7542)+1))</f>
        <v/>
      </c>
      <c r="V7543" s="19">
        <f>IF($B7543="","",TEXT($B7543,"0000"))</f>
        <v/>
      </c>
      <c r="W7543" s="19">
        <f>IF($I7543="","",IF(ISNUMBER($I7543),TEXT($I7543,"0"),$I7543))</f>
        <v/>
      </c>
    </row>
    <row r="7544">
      <c r="B7544" s="25" t="n"/>
      <c r="I7544" s="25" t="n"/>
      <c r="U7544" s="19">
        <f>IF($V7544&lt;&gt;'設定'!$C$4,N(U7543),IF(OR(NOT(COUNTIF('商品マスタ'!$B$6:$B$1005,$W7544)=0),COUNTIFS('①在庫を貼る'!$V$6:$V$10005,$V7544,'①在庫を貼る'!$W$6:$W$10005,$W7544)&gt;0),N(U7543),N(U7543)+1))</f>
        <v/>
      </c>
      <c r="V7544" s="19">
        <f>IF($B7544="","",TEXT($B7544,"0000"))</f>
        <v/>
      </c>
      <c r="W7544" s="19">
        <f>IF($I7544="","",IF(ISNUMBER($I7544),TEXT($I7544,"0"),$I7544))</f>
        <v/>
      </c>
    </row>
    <row r="7545">
      <c r="B7545" s="25" t="n"/>
      <c r="I7545" s="25" t="n"/>
      <c r="U7545" s="19">
        <f>IF($V7545&lt;&gt;'設定'!$C$4,N(U7544),IF(OR(NOT(COUNTIF('商品マスタ'!$B$6:$B$1005,$W7545)=0),COUNTIFS('①在庫を貼る'!$V$6:$V$10005,$V7545,'①在庫を貼る'!$W$6:$W$10005,$W7545)&gt;0),N(U7544),N(U7544)+1))</f>
        <v/>
      </c>
      <c r="V7545" s="19">
        <f>IF($B7545="","",TEXT($B7545,"0000"))</f>
        <v/>
      </c>
      <c r="W7545" s="19">
        <f>IF($I7545="","",IF(ISNUMBER($I7545),TEXT($I7545,"0"),$I7545))</f>
        <v/>
      </c>
    </row>
    <row r="7546">
      <c r="B7546" s="25" t="n"/>
      <c r="I7546" s="25" t="n"/>
      <c r="U7546" s="19">
        <f>IF($V7546&lt;&gt;'設定'!$C$4,N(U7545),IF(OR(NOT(COUNTIF('商品マスタ'!$B$6:$B$1005,$W7546)=0),COUNTIFS('①在庫を貼る'!$V$6:$V$10005,$V7546,'①在庫を貼る'!$W$6:$W$10005,$W7546)&gt;0),N(U7545),N(U7545)+1))</f>
        <v/>
      </c>
      <c r="V7546" s="19">
        <f>IF($B7546="","",TEXT($B7546,"0000"))</f>
        <v/>
      </c>
      <c r="W7546" s="19">
        <f>IF($I7546="","",IF(ISNUMBER($I7546),TEXT($I7546,"0"),$I7546))</f>
        <v/>
      </c>
    </row>
    <row r="7547">
      <c r="B7547" s="25" t="n"/>
      <c r="I7547" s="25" t="n"/>
      <c r="U7547" s="19">
        <f>IF($V7547&lt;&gt;'設定'!$C$4,N(U7546),IF(OR(NOT(COUNTIF('商品マスタ'!$B$6:$B$1005,$W7547)=0),COUNTIFS('①在庫を貼る'!$V$6:$V$10005,$V7547,'①在庫を貼る'!$W$6:$W$10005,$W7547)&gt;0),N(U7546),N(U7546)+1))</f>
        <v/>
      </c>
      <c r="V7547" s="19">
        <f>IF($B7547="","",TEXT($B7547,"0000"))</f>
        <v/>
      </c>
      <c r="W7547" s="19">
        <f>IF($I7547="","",IF(ISNUMBER($I7547),TEXT($I7547,"0"),$I7547))</f>
        <v/>
      </c>
    </row>
    <row r="7548">
      <c r="B7548" s="25" t="n"/>
      <c r="I7548" s="25" t="n"/>
      <c r="U7548" s="19">
        <f>IF($V7548&lt;&gt;'設定'!$C$4,N(U7547),IF(OR(NOT(COUNTIF('商品マスタ'!$B$6:$B$1005,$W7548)=0),COUNTIFS('①在庫を貼る'!$V$6:$V$10005,$V7548,'①在庫を貼る'!$W$6:$W$10005,$W7548)&gt;0),N(U7547),N(U7547)+1))</f>
        <v/>
      </c>
      <c r="V7548" s="19">
        <f>IF($B7548="","",TEXT($B7548,"0000"))</f>
        <v/>
      </c>
      <c r="W7548" s="19">
        <f>IF($I7548="","",IF(ISNUMBER($I7548),TEXT($I7548,"0"),$I7548))</f>
        <v/>
      </c>
    </row>
    <row r="7549">
      <c r="B7549" s="25" t="n"/>
      <c r="I7549" s="25" t="n"/>
      <c r="U7549" s="19">
        <f>IF($V7549&lt;&gt;'設定'!$C$4,N(U7548),IF(OR(NOT(COUNTIF('商品マスタ'!$B$6:$B$1005,$W7549)=0),COUNTIFS('①在庫を貼る'!$V$6:$V$10005,$V7549,'①在庫を貼る'!$W$6:$W$10005,$W7549)&gt;0),N(U7548),N(U7548)+1))</f>
        <v/>
      </c>
      <c r="V7549" s="19">
        <f>IF($B7549="","",TEXT($B7549,"0000"))</f>
        <v/>
      </c>
      <c r="W7549" s="19">
        <f>IF($I7549="","",IF(ISNUMBER($I7549),TEXT($I7549,"0"),$I7549))</f>
        <v/>
      </c>
    </row>
    <row r="7550">
      <c r="B7550" s="25" t="n"/>
      <c r="I7550" s="25" t="n"/>
      <c r="U7550" s="19">
        <f>IF($V7550&lt;&gt;'設定'!$C$4,N(U7549),IF(OR(NOT(COUNTIF('商品マスタ'!$B$6:$B$1005,$W7550)=0),COUNTIFS('①在庫を貼る'!$V$6:$V$10005,$V7550,'①在庫を貼る'!$W$6:$W$10005,$W7550)&gt;0),N(U7549),N(U7549)+1))</f>
        <v/>
      </c>
      <c r="V7550" s="19">
        <f>IF($B7550="","",TEXT($B7550,"0000"))</f>
        <v/>
      </c>
      <c r="W7550" s="19">
        <f>IF($I7550="","",IF(ISNUMBER($I7550),TEXT($I7550,"0"),$I7550))</f>
        <v/>
      </c>
    </row>
    <row r="7551">
      <c r="B7551" s="25" t="n"/>
      <c r="I7551" s="25" t="n"/>
      <c r="U7551" s="19">
        <f>IF($V7551&lt;&gt;'設定'!$C$4,N(U7550),IF(OR(NOT(COUNTIF('商品マスタ'!$B$6:$B$1005,$W7551)=0),COUNTIFS('①在庫を貼る'!$V$6:$V$10005,$V7551,'①在庫を貼る'!$W$6:$W$10005,$W7551)&gt;0),N(U7550),N(U7550)+1))</f>
        <v/>
      </c>
      <c r="V7551" s="19">
        <f>IF($B7551="","",TEXT($B7551,"0000"))</f>
        <v/>
      </c>
      <c r="W7551" s="19">
        <f>IF($I7551="","",IF(ISNUMBER($I7551),TEXT($I7551,"0"),$I7551))</f>
        <v/>
      </c>
    </row>
    <row r="7552">
      <c r="B7552" s="25" t="n"/>
      <c r="I7552" s="25" t="n"/>
      <c r="U7552" s="19">
        <f>IF($V7552&lt;&gt;'設定'!$C$4,N(U7551),IF(OR(NOT(COUNTIF('商品マスタ'!$B$6:$B$1005,$W7552)=0),COUNTIFS('①在庫を貼る'!$V$6:$V$10005,$V7552,'①在庫を貼る'!$W$6:$W$10005,$W7552)&gt;0),N(U7551),N(U7551)+1))</f>
        <v/>
      </c>
      <c r="V7552" s="19">
        <f>IF($B7552="","",TEXT($B7552,"0000"))</f>
        <v/>
      </c>
      <c r="W7552" s="19">
        <f>IF($I7552="","",IF(ISNUMBER($I7552),TEXT($I7552,"0"),$I7552))</f>
        <v/>
      </c>
    </row>
    <row r="7553">
      <c r="B7553" s="25" t="n"/>
      <c r="I7553" s="25" t="n"/>
      <c r="U7553" s="19">
        <f>IF($V7553&lt;&gt;'設定'!$C$4,N(U7552),IF(OR(NOT(COUNTIF('商品マスタ'!$B$6:$B$1005,$W7553)=0),COUNTIFS('①在庫を貼る'!$V$6:$V$10005,$V7553,'①在庫を貼る'!$W$6:$W$10005,$W7553)&gt;0),N(U7552),N(U7552)+1))</f>
        <v/>
      </c>
      <c r="V7553" s="19">
        <f>IF($B7553="","",TEXT($B7553,"0000"))</f>
        <v/>
      </c>
      <c r="W7553" s="19">
        <f>IF($I7553="","",IF(ISNUMBER($I7553),TEXT($I7553,"0"),$I7553))</f>
        <v/>
      </c>
    </row>
    <row r="7554">
      <c r="B7554" s="25" t="n"/>
      <c r="I7554" s="25" t="n"/>
      <c r="U7554" s="19">
        <f>IF($V7554&lt;&gt;'設定'!$C$4,N(U7553),IF(OR(NOT(COUNTIF('商品マスタ'!$B$6:$B$1005,$W7554)=0),COUNTIFS('①在庫を貼る'!$V$6:$V$10005,$V7554,'①在庫を貼る'!$W$6:$W$10005,$W7554)&gt;0),N(U7553),N(U7553)+1))</f>
        <v/>
      </c>
      <c r="V7554" s="19">
        <f>IF($B7554="","",TEXT($B7554,"0000"))</f>
        <v/>
      </c>
      <c r="W7554" s="19">
        <f>IF($I7554="","",IF(ISNUMBER($I7554),TEXT($I7554,"0"),$I7554))</f>
        <v/>
      </c>
    </row>
    <row r="7555">
      <c r="B7555" s="25" t="n"/>
      <c r="I7555" s="25" t="n"/>
      <c r="U7555" s="19">
        <f>IF($V7555&lt;&gt;'設定'!$C$4,N(U7554),IF(OR(NOT(COUNTIF('商品マスタ'!$B$6:$B$1005,$W7555)=0),COUNTIFS('①在庫を貼る'!$V$6:$V$10005,$V7555,'①在庫を貼る'!$W$6:$W$10005,$W7555)&gt;0),N(U7554),N(U7554)+1))</f>
        <v/>
      </c>
      <c r="V7555" s="19">
        <f>IF($B7555="","",TEXT($B7555,"0000"))</f>
        <v/>
      </c>
      <c r="W7555" s="19">
        <f>IF($I7555="","",IF(ISNUMBER($I7555),TEXT($I7555,"0"),$I7555))</f>
        <v/>
      </c>
    </row>
    <row r="7556">
      <c r="B7556" s="25" t="n"/>
      <c r="I7556" s="25" t="n"/>
      <c r="U7556" s="19">
        <f>IF($V7556&lt;&gt;'設定'!$C$4,N(U7555),IF(OR(NOT(COUNTIF('商品マスタ'!$B$6:$B$1005,$W7556)=0),COUNTIFS('①在庫を貼る'!$V$6:$V$10005,$V7556,'①在庫を貼る'!$W$6:$W$10005,$W7556)&gt;0),N(U7555),N(U7555)+1))</f>
        <v/>
      </c>
      <c r="V7556" s="19">
        <f>IF($B7556="","",TEXT($B7556,"0000"))</f>
        <v/>
      </c>
      <c r="W7556" s="19">
        <f>IF($I7556="","",IF(ISNUMBER($I7556),TEXT($I7556,"0"),$I7556))</f>
        <v/>
      </c>
    </row>
    <row r="7557">
      <c r="B7557" s="25" t="n"/>
      <c r="I7557" s="25" t="n"/>
      <c r="U7557" s="19">
        <f>IF($V7557&lt;&gt;'設定'!$C$4,N(U7556),IF(OR(NOT(COUNTIF('商品マスタ'!$B$6:$B$1005,$W7557)=0),COUNTIFS('①在庫を貼る'!$V$6:$V$10005,$V7557,'①在庫を貼る'!$W$6:$W$10005,$W7557)&gt;0),N(U7556),N(U7556)+1))</f>
        <v/>
      </c>
      <c r="V7557" s="19">
        <f>IF($B7557="","",TEXT($B7557,"0000"))</f>
        <v/>
      </c>
      <c r="W7557" s="19">
        <f>IF($I7557="","",IF(ISNUMBER($I7557),TEXT($I7557,"0"),$I7557))</f>
        <v/>
      </c>
    </row>
    <row r="7558">
      <c r="B7558" s="25" t="n"/>
      <c r="I7558" s="25" t="n"/>
      <c r="U7558" s="19">
        <f>IF($V7558&lt;&gt;'設定'!$C$4,N(U7557),IF(OR(NOT(COUNTIF('商品マスタ'!$B$6:$B$1005,$W7558)=0),COUNTIFS('①在庫を貼る'!$V$6:$V$10005,$V7558,'①在庫を貼る'!$W$6:$W$10005,$W7558)&gt;0),N(U7557),N(U7557)+1))</f>
        <v/>
      </c>
      <c r="V7558" s="19">
        <f>IF($B7558="","",TEXT($B7558,"0000"))</f>
        <v/>
      </c>
      <c r="W7558" s="19">
        <f>IF($I7558="","",IF(ISNUMBER($I7558),TEXT($I7558,"0"),$I7558))</f>
        <v/>
      </c>
    </row>
    <row r="7559">
      <c r="B7559" s="25" t="n"/>
      <c r="I7559" s="25" t="n"/>
      <c r="U7559" s="19">
        <f>IF($V7559&lt;&gt;'設定'!$C$4,N(U7558),IF(OR(NOT(COUNTIF('商品マスタ'!$B$6:$B$1005,$W7559)=0),COUNTIFS('①在庫を貼る'!$V$6:$V$10005,$V7559,'①在庫を貼る'!$W$6:$W$10005,$W7559)&gt;0),N(U7558),N(U7558)+1))</f>
        <v/>
      </c>
      <c r="V7559" s="19">
        <f>IF($B7559="","",TEXT($B7559,"0000"))</f>
        <v/>
      </c>
      <c r="W7559" s="19">
        <f>IF($I7559="","",IF(ISNUMBER($I7559),TEXT($I7559,"0"),$I7559))</f>
        <v/>
      </c>
    </row>
    <row r="7560">
      <c r="B7560" s="25" t="n"/>
      <c r="I7560" s="25" t="n"/>
      <c r="U7560" s="19">
        <f>IF($V7560&lt;&gt;'設定'!$C$4,N(U7559),IF(OR(NOT(COUNTIF('商品マスタ'!$B$6:$B$1005,$W7560)=0),COUNTIFS('①在庫を貼る'!$V$6:$V$10005,$V7560,'①在庫を貼る'!$W$6:$W$10005,$W7560)&gt;0),N(U7559),N(U7559)+1))</f>
        <v/>
      </c>
      <c r="V7560" s="19">
        <f>IF($B7560="","",TEXT($B7560,"0000"))</f>
        <v/>
      </c>
      <c r="W7560" s="19">
        <f>IF($I7560="","",IF(ISNUMBER($I7560),TEXT($I7560,"0"),$I7560))</f>
        <v/>
      </c>
    </row>
    <row r="7561">
      <c r="B7561" s="25" t="n"/>
      <c r="I7561" s="25" t="n"/>
      <c r="U7561" s="19">
        <f>IF($V7561&lt;&gt;'設定'!$C$4,N(U7560),IF(OR(NOT(COUNTIF('商品マスタ'!$B$6:$B$1005,$W7561)=0),COUNTIFS('①在庫を貼る'!$V$6:$V$10005,$V7561,'①在庫を貼る'!$W$6:$W$10005,$W7561)&gt;0),N(U7560),N(U7560)+1))</f>
        <v/>
      </c>
      <c r="V7561" s="19">
        <f>IF($B7561="","",TEXT($B7561,"0000"))</f>
        <v/>
      </c>
      <c r="W7561" s="19">
        <f>IF($I7561="","",IF(ISNUMBER($I7561),TEXT($I7561,"0"),$I7561))</f>
        <v/>
      </c>
    </row>
    <row r="7562">
      <c r="B7562" s="25" t="n"/>
      <c r="I7562" s="25" t="n"/>
      <c r="U7562" s="19">
        <f>IF($V7562&lt;&gt;'設定'!$C$4,N(U7561),IF(OR(NOT(COUNTIF('商品マスタ'!$B$6:$B$1005,$W7562)=0),COUNTIFS('①在庫を貼る'!$V$6:$V$10005,$V7562,'①在庫を貼る'!$W$6:$W$10005,$W7562)&gt;0),N(U7561),N(U7561)+1))</f>
        <v/>
      </c>
      <c r="V7562" s="19">
        <f>IF($B7562="","",TEXT($B7562,"0000"))</f>
        <v/>
      </c>
      <c r="W7562" s="19">
        <f>IF($I7562="","",IF(ISNUMBER($I7562),TEXT($I7562,"0"),$I7562))</f>
        <v/>
      </c>
    </row>
    <row r="7563">
      <c r="B7563" s="25" t="n"/>
      <c r="I7563" s="25" t="n"/>
      <c r="U7563" s="19">
        <f>IF($V7563&lt;&gt;'設定'!$C$4,N(U7562),IF(OR(NOT(COUNTIF('商品マスタ'!$B$6:$B$1005,$W7563)=0),COUNTIFS('①在庫を貼る'!$V$6:$V$10005,$V7563,'①在庫を貼る'!$W$6:$W$10005,$W7563)&gt;0),N(U7562),N(U7562)+1))</f>
        <v/>
      </c>
      <c r="V7563" s="19">
        <f>IF($B7563="","",TEXT($B7563,"0000"))</f>
        <v/>
      </c>
      <c r="W7563" s="19">
        <f>IF($I7563="","",IF(ISNUMBER($I7563),TEXT($I7563,"0"),$I7563))</f>
        <v/>
      </c>
    </row>
    <row r="7564">
      <c r="B7564" s="25" t="n"/>
      <c r="I7564" s="25" t="n"/>
      <c r="U7564" s="19">
        <f>IF($V7564&lt;&gt;'設定'!$C$4,N(U7563),IF(OR(NOT(COUNTIF('商品マスタ'!$B$6:$B$1005,$W7564)=0),COUNTIFS('①在庫を貼る'!$V$6:$V$10005,$V7564,'①在庫を貼る'!$W$6:$W$10005,$W7564)&gt;0),N(U7563),N(U7563)+1))</f>
        <v/>
      </c>
      <c r="V7564" s="19">
        <f>IF($B7564="","",TEXT($B7564,"0000"))</f>
        <v/>
      </c>
      <c r="W7564" s="19">
        <f>IF($I7564="","",IF(ISNUMBER($I7564),TEXT($I7564,"0"),$I7564))</f>
        <v/>
      </c>
    </row>
    <row r="7565">
      <c r="B7565" s="25" t="n"/>
      <c r="I7565" s="25" t="n"/>
      <c r="U7565" s="19">
        <f>IF($V7565&lt;&gt;'設定'!$C$4,N(U7564),IF(OR(NOT(COUNTIF('商品マスタ'!$B$6:$B$1005,$W7565)=0),COUNTIFS('①在庫を貼る'!$V$6:$V$10005,$V7565,'①在庫を貼る'!$W$6:$W$10005,$W7565)&gt;0),N(U7564),N(U7564)+1))</f>
        <v/>
      </c>
      <c r="V7565" s="19">
        <f>IF($B7565="","",TEXT($B7565,"0000"))</f>
        <v/>
      </c>
      <c r="W7565" s="19">
        <f>IF($I7565="","",IF(ISNUMBER($I7565),TEXT($I7565,"0"),$I7565))</f>
        <v/>
      </c>
    </row>
    <row r="7566">
      <c r="B7566" s="25" t="n"/>
      <c r="I7566" s="25" t="n"/>
      <c r="U7566" s="19">
        <f>IF($V7566&lt;&gt;'設定'!$C$4,N(U7565),IF(OR(NOT(COUNTIF('商品マスタ'!$B$6:$B$1005,$W7566)=0),COUNTIFS('①在庫を貼る'!$V$6:$V$10005,$V7566,'①在庫を貼る'!$W$6:$W$10005,$W7566)&gt;0),N(U7565),N(U7565)+1))</f>
        <v/>
      </c>
      <c r="V7566" s="19">
        <f>IF($B7566="","",TEXT($B7566,"0000"))</f>
        <v/>
      </c>
      <c r="W7566" s="19">
        <f>IF($I7566="","",IF(ISNUMBER($I7566),TEXT($I7566,"0"),$I7566))</f>
        <v/>
      </c>
    </row>
    <row r="7567">
      <c r="B7567" s="25" t="n"/>
      <c r="I7567" s="25" t="n"/>
      <c r="U7567" s="19">
        <f>IF($V7567&lt;&gt;'設定'!$C$4,N(U7566),IF(OR(NOT(COUNTIF('商品マスタ'!$B$6:$B$1005,$W7567)=0),COUNTIFS('①在庫を貼る'!$V$6:$V$10005,$V7567,'①在庫を貼る'!$W$6:$W$10005,$W7567)&gt;0),N(U7566),N(U7566)+1))</f>
        <v/>
      </c>
      <c r="V7567" s="19">
        <f>IF($B7567="","",TEXT($B7567,"0000"))</f>
        <v/>
      </c>
      <c r="W7567" s="19">
        <f>IF($I7567="","",IF(ISNUMBER($I7567),TEXT($I7567,"0"),$I7567))</f>
        <v/>
      </c>
    </row>
    <row r="7568">
      <c r="B7568" s="25" t="n"/>
      <c r="I7568" s="25" t="n"/>
      <c r="U7568" s="19">
        <f>IF($V7568&lt;&gt;'設定'!$C$4,N(U7567),IF(OR(NOT(COUNTIF('商品マスタ'!$B$6:$B$1005,$W7568)=0),COUNTIFS('①在庫を貼る'!$V$6:$V$10005,$V7568,'①在庫を貼る'!$W$6:$W$10005,$W7568)&gt;0),N(U7567),N(U7567)+1))</f>
        <v/>
      </c>
      <c r="V7568" s="19">
        <f>IF($B7568="","",TEXT($B7568,"0000"))</f>
        <v/>
      </c>
      <c r="W7568" s="19">
        <f>IF($I7568="","",IF(ISNUMBER($I7568),TEXT($I7568,"0"),$I7568))</f>
        <v/>
      </c>
    </row>
    <row r="7569">
      <c r="B7569" s="25" t="n"/>
      <c r="I7569" s="25" t="n"/>
      <c r="U7569" s="19">
        <f>IF($V7569&lt;&gt;'設定'!$C$4,N(U7568),IF(OR(NOT(COUNTIF('商品マスタ'!$B$6:$B$1005,$W7569)=0),COUNTIFS('①在庫を貼る'!$V$6:$V$10005,$V7569,'①在庫を貼る'!$W$6:$W$10005,$W7569)&gt;0),N(U7568),N(U7568)+1))</f>
        <v/>
      </c>
      <c r="V7569" s="19">
        <f>IF($B7569="","",TEXT($B7569,"0000"))</f>
        <v/>
      </c>
      <c r="W7569" s="19">
        <f>IF($I7569="","",IF(ISNUMBER($I7569),TEXT($I7569,"0"),$I7569))</f>
        <v/>
      </c>
    </row>
    <row r="7570">
      <c r="B7570" s="25" t="n"/>
      <c r="I7570" s="25" t="n"/>
      <c r="U7570" s="19">
        <f>IF($V7570&lt;&gt;'設定'!$C$4,N(U7569),IF(OR(NOT(COUNTIF('商品マスタ'!$B$6:$B$1005,$W7570)=0),COUNTIFS('①在庫を貼る'!$V$6:$V$10005,$V7570,'①在庫を貼る'!$W$6:$W$10005,$W7570)&gt;0),N(U7569),N(U7569)+1))</f>
        <v/>
      </c>
      <c r="V7570" s="19">
        <f>IF($B7570="","",TEXT($B7570,"0000"))</f>
        <v/>
      </c>
      <c r="W7570" s="19">
        <f>IF($I7570="","",IF(ISNUMBER($I7570),TEXT($I7570,"0"),$I7570))</f>
        <v/>
      </c>
    </row>
    <row r="7571">
      <c r="B7571" s="25" t="n"/>
      <c r="I7571" s="25" t="n"/>
      <c r="U7571" s="19">
        <f>IF($V7571&lt;&gt;'設定'!$C$4,N(U7570),IF(OR(NOT(COUNTIF('商品マスタ'!$B$6:$B$1005,$W7571)=0),COUNTIFS('①在庫を貼る'!$V$6:$V$10005,$V7571,'①在庫を貼る'!$W$6:$W$10005,$W7571)&gt;0),N(U7570),N(U7570)+1))</f>
        <v/>
      </c>
      <c r="V7571" s="19">
        <f>IF($B7571="","",TEXT($B7571,"0000"))</f>
        <v/>
      </c>
      <c r="W7571" s="19">
        <f>IF($I7571="","",IF(ISNUMBER($I7571),TEXT($I7571,"0"),$I7571))</f>
        <v/>
      </c>
    </row>
    <row r="7572">
      <c r="B7572" s="25" t="n"/>
      <c r="I7572" s="25" t="n"/>
      <c r="U7572" s="19">
        <f>IF($V7572&lt;&gt;'設定'!$C$4,N(U7571),IF(OR(NOT(COUNTIF('商品マスタ'!$B$6:$B$1005,$W7572)=0),COUNTIFS('①在庫を貼る'!$V$6:$V$10005,$V7572,'①在庫を貼る'!$W$6:$W$10005,$W7572)&gt;0),N(U7571),N(U7571)+1))</f>
        <v/>
      </c>
      <c r="V7572" s="19">
        <f>IF($B7572="","",TEXT($B7572,"0000"))</f>
        <v/>
      </c>
      <c r="W7572" s="19">
        <f>IF($I7572="","",IF(ISNUMBER($I7572),TEXT($I7572,"0"),$I7572))</f>
        <v/>
      </c>
    </row>
    <row r="7573">
      <c r="B7573" s="25" t="n"/>
      <c r="I7573" s="25" t="n"/>
      <c r="U7573" s="19">
        <f>IF($V7573&lt;&gt;'設定'!$C$4,N(U7572),IF(OR(NOT(COUNTIF('商品マスタ'!$B$6:$B$1005,$W7573)=0),COUNTIFS('①在庫を貼る'!$V$6:$V$10005,$V7573,'①在庫を貼る'!$W$6:$W$10005,$W7573)&gt;0),N(U7572),N(U7572)+1))</f>
        <v/>
      </c>
      <c r="V7573" s="19">
        <f>IF($B7573="","",TEXT($B7573,"0000"))</f>
        <v/>
      </c>
      <c r="W7573" s="19">
        <f>IF($I7573="","",IF(ISNUMBER($I7573),TEXT($I7573,"0"),$I7573))</f>
        <v/>
      </c>
    </row>
    <row r="7574">
      <c r="B7574" s="25" t="n"/>
      <c r="I7574" s="25" t="n"/>
      <c r="U7574" s="19">
        <f>IF($V7574&lt;&gt;'設定'!$C$4,N(U7573),IF(OR(NOT(COUNTIF('商品マスタ'!$B$6:$B$1005,$W7574)=0),COUNTIFS('①在庫を貼る'!$V$6:$V$10005,$V7574,'①在庫を貼る'!$W$6:$W$10005,$W7574)&gt;0),N(U7573),N(U7573)+1))</f>
        <v/>
      </c>
      <c r="V7574" s="19">
        <f>IF($B7574="","",TEXT($B7574,"0000"))</f>
        <v/>
      </c>
      <c r="W7574" s="19">
        <f>IF($I7574="","",IF(ISNUMBER($I7574),TEXT($I7574,"0"),$I7574))</f>
        <v/>
      </c>
    </row>
    <row r="7575">
      <c r="B7575" s="25" t="n"/>
      <c r="I7575" s="25" t="n"/>
      <c r="U7575" s="19">
        <f>IF($V7575&lt;&gt;'設定'!$C$4,N(U7574),IF(OR(NOT(COUNTIF('商品マスタ'!$B$6:$B$1005,$W7575)=0),COUNTIFS('①在庫を貼る'!$V$6:$V$10005,$V7575,'①在庫を貼る'!$W$6:$W$10005,$W7575)&gt;0),N(U7574),N(U7574)+1))</f>
        <v/>
      </c>
      <c r="V7575" s="19">
        <f>IF($B7575="","",TEXT($B7575,"0000"))</f>
        <v/>
      </c>
      <c r="W7575" s="19">
        <f>IF($I7575="","",IF(ISNUMBER($I7575),TEXT($I7575,"0"),$I7575))</f>
        <v/>
      </c>
    </row>
    <row r="7576">
      <c r="B7576" s="25" t="n"/>
      <c r="I7576" s="25" t="n"/>
      <c r="U7576" s="19">
        <f>IF($V7576&lt;&gt;'設定'!$C$4,N(U7575),IF(OR(NOT(COUNTIF('商品マスタ'!$B$6:$B$1005,$W7576)=0),COUNTIFS('①在庫を貼る'!$V$6:$V$10005,$V7576,'①在庫を貼る'!$W$6:$W$10005,$W7576)&gt;0),N(U7575),N(U7575)+1))</f>
        <v/>
      </c>
      <c r="V7576" s="19">
        <f>IF($B7576="","",TEXT($B7576,"0000"))</f>
        <v/>
      </c>
      <c r="W7576" s="19">
        <f>IF($I7576="","",IF(ISNUMBER($I7576),TEXT($I7576,"0"),$I7576))</f>
        <v/>
      </c>
    </row>
    <row r="7577">
      <c r="B7577" s="25" t="n"/>
      <c r="I7577" s="25" t="n"/>
      <c r="U7577" s="19">
        <f>IF($V7577&lt;&gt;'設定'!$C$4,N(U7576),IF(OR(NOT(COUNTIF('商品マスタ'!$B$6:$B$1005,$W7577)=0),COUNTIFS('①在庫を貼る'!$V$6:$V$10005,$V7577,'①在庫を貼る'!$W$6:$W$10005,$W7577)&gt;0),N(U7576),N(U7576)+1))</f>
        <v/>
      </c>
      <c r="V7577" s="19">
        <f>IF($B7577="","",TEXT($B7577,"0000"))</f>
        <v/>
      </c>
      <c r="W7577" s="19">
        <f>IF($I7577="","",IF(ISNUMBER($I7577),TEXT($I7577,"0"),$I7577))</f>
        <v/>
      </c>
    </row>
    <row r="7578">
      <c r="B7578" s="25" t="n"/>
      <c r="I7578" s="25" t="n"/>
      <c r="U7578" s="19">
        <f>IF($V7578&lt;&gt;'設定'!$C$4,N(U7577),IF(OR(NOT(COUNTIF('商品マスタ'!$B$6:$B$1005,$W7578)=0),COUNTIFS('①在庫を貼る'!$V$6:$V$10005,$V7578,'①在庫を貼る'!$W$6:$W$10005,$W7578)&gt;0),N(U7577),N(U7577)+1))</f>
        <v/>
      </c>
      <c r="V7578" s="19">
        <f>IF($B7578="","",TEXT($B7578,"0000"))</f>
        <v/>
      </c>
      <c r="W7578" s="19">
        <f>IF($I7578="","",IF(ISNUMBER($I7578),TEXT($I7578,"0"),$I7578))</f>
        <v/>
      </c>
    </row>
    <row r="7579">
      <c r="B7579" s="25" t="n"/>
      <c r="I7579" s="25" t="n"/>
      <c r="U7579" s="19">
        <f>IF($V7579&lt;&gt;'設定'!$C$4,N(U7578),IF(OR(NOT(COUNTIF('商品マスタ'!$B$6:$B$1005,$W7579)=0),COUNTIFS('①在庫を貼る'!$V$6:$V$10005,$V7579,'①在庫を貼る'!$W$6:$W$10005,$W7579)&gt;0),N(U7578),N(U7578)+1))</f>
        <v/>
      </c>
      <c r="V7579" s="19">
        <f>IF($B7579="","",TEXT($B7579,"0000"))</f>
        <v/>
      </c>
      <c r="W7579" s="19">
        <f>IF($I7579="","",IF(ISNUMBER($I7579),TEXT($I7579,"0"),$I7579))</f>
        <v/>
      </c>
    </row>
    <row r="7580">
      <c r="B7580" s="25" t="n"/>
      <c r="I7580" s="25" t="n"/>
      <c r="U7580" s="19">
        <f>IF($V7580&lt;&gt;'設定'!$C$4,N(U7579),IF(OR(NOT(COUNTIF('商品マスタ'!$B$6:$B$1005,$W7580)=0),COUNTIFS('①在庫を貼る'!$V$6:$V$10005,$V7580,'①在庫を貼る'!$W$6:$W$10005,$W7580)&gt;0),N(U7579),N(U7579)+1))</f>
        <v/>
      </c>
      <c r="V7580" s="19">
        <f>IF($B7580="","",TEXT($B7580,"0000"))</f>
        <v/>
      </c>
      <c r="W7580" s="19">
        <f>IF($I7580="","",IF(ISNUMBER($I7580),TEXT($I7580,"0"),$I7580))</f>
        <v/>
      </c>
    </row>
    <row r="7581">
      <c r="B7581" s="25" t="n"/>
      <c r="I7581" s="25" t="n"/>
      <c r="U7581" s="19">
        <f>IF($V7581&lt;&gt;'設定'!$C$4,N(U7580),IF(OR(NOT(COUNTIF('商品マスタ'!$B$6:$B$1005,$W7581)=0),COUNTIFS('①在庫を貼る'!$V$6:$V$10005,$V7581,'①在庫を貼る'!$W$6:$W$10005,$W7581)&gt;0),N(U7580),N(U7580)+1))</f>
        <v/>
      </c>
      <c r="V7581" s="19">
        <f>IF($B7581="","",TEXT($B7581,"0000"))</f>
        <v/>
      </c>
      <c r="W7581" s="19">
        <f>IF($I7581="","",IF(ISNUMBER($I7581),TEXT($I7581,"0"),$I7581))</f>
        <v/>
      </c>
    </row>
    <row r="7582">
      <c r="B7582" s="25" t="n"/>
      <c r="I7582" s="25" t="n"/>
      <c r="U7582" s="19">
        <f>IF($V7582&lt;&gt;'設定'!$C$4,N(U7581),IF(OR(NOT(COUNTIF('商品マスタ'!$B$6:$B$1005,$W7582)=0),COUNTIFS('①在庫を貼る'!$V$6:$V$10005,$V7582,'①在庫を貼る'!$W$6:$W$10005,$W7582)&gt;0),N(U7581),N(U7581)+1))</f>
        <v/>
      </c>
      <c r="V7582" s="19">
        <f>IF($B7582="","",TEXT($B7582,"0000"))</f>
        <v/>
      </c>
      <c r="W7582" s="19">
        <f>IF($I7582="","",IF(ISNUMBER($I7582),TEXT($I7582,"0"),$I7582))</f>
        <v/>
      </c>
    </row>
    <row r="7583">
      <c r="B7583" s="25" t="n"/>
      <c r="I7583" s="25" t="n"/>
      <c r="U7583" s="19">
        <f>IF($V7583&lt;&gt;'設定'!$C$4,N(U7582),IF(OR(NOT(COUNTIF('商品マスタ'!$B$6:$B$1005,$W7583)=0),COUNTIFS('①在庫を貼る'!$V$6:$V$10005,$V7583,'①在庫を貼る'!$W$6:$W$10005,$W7583)&gt;0),N(U7582),N(U7582)+1))</f>
        <v/>
      </c>
      <c r="V7583" s="19">
        <f>IF($B7583="","",TEXT($B7583,"0000"))</f>
        <v/>
      </c>
      <c r="W7583" s="19">
        <f>IF($I7583="","",IF(ISNUMBER($I7583),TEXT($I7583,"0"),$I7583))</f>
        <v/>
      </c>
    </row>
    <row r="7584">
      <c r="B7584" s="25" t="n"/>
      <c r="I7584" s="25" t="n"/>
      <c r="U7584" s="19">
        <f>IF($V7584&lt;&gt;'設定'!$C$4,N(U7583),IF(OR(NOT(COUNTIF('商品マスタ'!$B$6:$B$1005,$W7584)=0),COUNTIFS('①在庫を貼る'!$V$6:$V$10005,$V7584,'①在庫を貼る'!$W$6:$W$10005,$W7584)&gt;0),N(U7583),N(U7583)+1))</f>
        <v/>
      </c>
      <c r="V7584" s="19">
        <f>IF($B7584="","",TEXT($B7584,"0000"))</f>
        <v/>
      </c>
      <c r="W7584" s="19">
        <f>IF($I7584="","",IF(ISNUMBER($I7584),TEXT($I7584,"0"),$I7584))</f>
        <v/>
      </c>
    </row>
    <row r="7585">
      <c r="B7585" s="25" t="n"/>
      <c r="I7585" s="25" t="n"/>
      <c r="U7585" s="19">
        <f>IF($V7585&lt;&gt;'設定'!$C$4,N(U7584),IF(OR(NOT(COUNTIF('商品マスタ'!$B$6:$B$1005,$W7585)=0),COUNTIFS('①在庫を貼る'!$V$6:$V$10005,$V7585,'①在庫を貼る'!$W$6:$W$10005,$W7585)&gt;0),N(U7584),N(U7584)+1))</f>
        <v/>
      </c>
      <c r="V7585" s="19">
        <f>IF($B7585="","",TEXT($B7585,"0000"))</f>
        <v/>
      </c>
      <c r="W7585" s="19">
        <f>IF($I7585="","",IF(ISNUMBER($I7585),TEXT($I7585,"0"),$I7585))</f>
        <v/>
      </c>
    </row>
    <row r="7586">
      <c r="B7586" s="25" t="n"/>
      <c r="I7586" s="25" t="n"/>
      <c r="U7586" s="19">
        <f>IF($V7586&lt;&gt;'設定'!$C$4,N(U7585),IF(OR(NOT(COUNTIF('商品マスタ'!$B$6:$B$1005,$W7586)=0),COUNTIFS('①在庫を貼る'!$V$6:$V$10005,$V7586,'①在庫を貼る'!$W$6:$W$10005,$W7586)&gt;0),N(U7585),N(U7585)+1))</f>
        <v/>
      </c>
      <c r="V7586" s="19">
        <f>IF($B7586="","",TEXT($B7586,"0000"))</f>
        <v/>
      </c>
      <c r="W7586" s="19">
        <f>IF($I7586="","",IF(ISNUMBER($I7586),TEXT($I7586,"0"),$I7586))</f>
        <v/>
      </c>
    </row>
    <row r="7587">
      <c r="B7587" s="25" t="n"/>
      <c r="I7587" s="25" t="n"/>
      <c r="U7587" s="19">
        <f>IF($V7587&lt;&gt;'設定'!$C$4,N(U7586),IF(OR(NOT(COUNTIF('商品マスタ'!$B$6:$B$1005,$W7587)=0),COUNTIFS('①在庫を貼る'!$V$6:$V$10005,$V7587,'①在庫を貼る'!$W$6:$W$10005,$W7587)&gt;0),N(U7586),N(U7586)+1))</f>
        <v/>
      </c>
      <c r="V7587" s="19">
        <f>IF($B7587="","",TEXT($B7587,"0000"))</f>
        <v/>
      </c>
      <c r="W7587" s="19">
        <f>IF($I7587="","",IF(ISNUMBER($I7587),TEXT($I7587,"0"),$I7587))</f>
        <v/>
      </c>
    </row>
    <row r="7588">
      <c r="B7588" s="25" t="n"/>
      <c r="I7588" s="25" t="n"/>
      <c r="U7588" s="19">
        <f>IF($V7588&lt;&gt;'設定'!$C$4,N(U7587),IF(OR(NOT(COUNTIF('商品マスタ'!$B$6:$B$1005,$W7588)=0),COUNTIFS('①在庫を貼る'!$V$6:$V$10005,$V7588,'①在庫を貼る'!$W$6:$W$10005,$W7588)&gt;0),N(U7587),N(U7587)+1))</f>
        <v/>
      </c>
      <c r="V7588" s="19">
        <f>IF($B7588="","",TEXT($B7588,"0000"))</f>
        <v/>
      </c>
      <c r="W7588" s="19">
        <f>IF($I7588="","",IF(ISNUMBER($I7588),TEXT($I7588,"0"),$I7588))</f>
        <v/>
      </c>
    </row>
    <row r="7589">
      <c r="B7589" s="25" t="n"/>
      <c r="I7589" s="25" t="n"/>
      <c r="U7589" s="19">
        <f>IF($V7589&lt;&gt;'設定'!$C$4,N(U7588),IF(OR(NOT(COUNTIF('商品マスタ'!$B$6:$B$1005,$W7589)=0),COUNTIFS('①在庫を貼る'!$V$6:$V$10005,$V7589,'①在庫を貼る'!$W$6:$W$10005,$W7589)&gt;0),N(U7588),N(U7588)+1))</f>
        <v/>
      </c>
      <c r="V7589" s="19">
        <f>IF($B7589="","",TEXT($B7589,"0000"))</f>
        <v/>
      </c>
      <c r="W7589" s="19">
        <f>IF($I7589="","",IF(ISNUMBER($I7589),TEXT($I7589,"0"),$I7589))</f>
        <v/>
      </c>
    </row>
    <row r="7590">
      <c r="B7590" s="25" t="n"/>
      <c r="I7590" s="25" t="n"/>
      <c r="U7590" s="19">
        <f>IF($V7590&lt;&gt;'設定'!$C$4,N(U7589),IF(OR(NOT(COUNTIF('商品マスタ'!$B$6:$B$1005,$W7590)=0),COUNTIFS('①在庫を貼る'!$V$6:$V$10005,$V7590,'①在庫を貼る'!$W$6:$W$10005,$W7590)&gt;0),N(U7589),N(U7589)+1))</f>
        <v/>
      </c>
      <c r="V7590" s="19">
        <f>IF($B7590="","",TEXT($B7590,"0000"))</f>
        <v/>
      </c>
      <c r="W7590" s="19">
        <f>IF($I7590="","",IF(ISNUMBER($I7590),TEXT($I7590,"0"),$I7590))</f>
        <v/>
      </c>
    </row>
    <row r="7591">
      <c r="B7591" s="25" t="n"/>
      <c r="I7591" s="25" t="n"/>
      <c r="U7591" s="19">
        <f>IF($V7591&lt;&gt;'設定'!$C$4,N(U7590),IF(OR(NOT(COUNTIF('商品マスタ'!$B$6:$B$1005,$W7591)=0),COUNTIFS('①在庫を貼る'!$V$6:$V$10005,$V7591,'①在庫を貼る'!$W$6:$W$10005,$W7591)&gt;0),N(U7590),N(U7590)+1))</f>
        <v/>
      </c>
      <c r="V7591" s="19">
        <f>IF($B7591="","",TEXT($B7591,"0000"))</f>
        <v/>
      </c>
      <c r="W7591" s="19">
        <f>IF($I7591="","",IF(ISNUMBER($I7591),TEXT($I7591,"0"),$I7591))</f>
        <v/>
      </c>
    </row>
    <row r="7592">
      <c r="B7592" s="25" t="n"/>
      <c r="I7592" s="25" t="n"/>
      <c r="U7592" s="19">
        <f>IF($V7592&lt;&gt;'設定'!$C$4,N(U7591),IF(OR(NOT(COUNTIF('商品マスタ'!$B$6:$B$1005,$W7592)=0),COUNTIFS('①在庫を貼る'!$V$6:$V$10005,$V7592,'①在庫を貼る'!$W$6:$W$10005,$W7592)&gt;0),N(U7591),N(U7591)+1))</f>
        <v/>
      </c>
      <c r="V7592" s="19">
        <f>IF($B7592="","",TEXT($B7592,"0000"))</f>
        <v/>
      </c>
      <c r="W7592" s="19">
        <f>IF($I7592="","",IF(ISNUMBER($I7592),TEXT($I7592,"0"),$I7592))</f>
        <v/>
      </c>
    </row>
    <row r="7593">
      <c r="B7593" s="25" t="n"/>
      <c r="I7593" s="25" t="n"/>
      <c r="U7593" s="19">
        <f>IF($V7593&lt;&gt;'設定'!$C$4,N(U7592),IF(OR(NOT(COUNTIF('商品マスタ'!$B$6:$B$1005,$W7593)=0),COUNTIFS('①在庫を貼る'!$V$6:$V$10005,$V7593,'①在庫を貼る'!$W$6:$W$10005,$W7593)&gt;0),N(U7592),N(U7592)+1))</f>
        <v/>
      </c>
      <c r="V7593" s="19">
        <f>IF($B7593="","",TEXT($B7593,"0000"))</f>
        <v/>
      </c>
      <c r="W7593" s="19">
        <f>IF($I7593="","",IF(ISNUMBER($I7593),TEXT($I7593,"0"),$I7593))</f>
        <v/>
      </c>
    </row>
    <row r="7594">
      <c r="B7594" s="25" t="n"/>
      <c r="I7594" s="25" t="n"/>
      <c r="U7594" s="19">
        <f>IF($V7594&lt;&gt;'設定'!$C$4,N(U7593),IF(OR(NOT(COUNTIF('商品マスタ'!$B$6:$B$1005,$W7594)=0),COUNTIFS('①在庫を貼る'!$V$6:$V$10005,$V7594,'①在庫を貼る'!$W$6:$W$10005,$W7594)&gt;0),N(U7593),N(U7593)+1))</f>
        <v/>
      </c>
      <c r="V7594" s="19">
        <f>IF($B7594="","",TEXT($B7594,"0000"))</f>
        <v/>
      </c>
      <c r="W7594" s="19">
        <f>IF($I7594="","",IF(ISNUMBER($I7594),TEXT($I7594,"0"),$I7594))</f>
        <v/>
      </c>
    </row>
    <row r="7595">
      <c r="B7595" s="25" t="n"/>
      <c r="I7595" s="25" t="n"/>
      <c r="U7595" s="19">
        <f>IF($V7595&lt;&gt;'設定'!$C$4,N(U7594),IF(OR(NOT(COUNTIF('商品マスタ'!$B$6:$B$1005,$W7595)=0),COUNTIFS('①在庫を貼る'!$V$6:$V$10005,$V7595,'①在庫を貼る'!$W$6:$W$10005,$W7595)&gt;0),N(U7594),N(U7594)+1))</f>
        <v/>
      </c>
      <c r="V7595" s="19">
        <f>IF($B7595="","",TEXT($B7595,"0000"))</f>
        <v/>
      </c>
      <c r="W7595" s="19">
        <f>IF($I7595="","",IF(ISNUMBER($I7595),TEXT($I7595,"0"),$I7595))</f>
        <v/>
      </c>
    </row>
    <row r="7596">
      <c r="B7596" s="25" t="n"/>
      <c r="I7596" s="25" t="n"/>
      <c r="U7596" s="19">
        <f>IF($V7596&lt;&gt;'設定'!$C$4,N(U7595),IF(OR(NOT(COUNTIF('商品マスタ'!$B$6:$B$1005,$W7596)=0),COUNTIFS('①在庫を貼る'!$V$6:$V$10005,$V7596,'①在庫を貼る'!$W$6:$W$10005,$W7596)&gt;0),N(U7595),N(U7595)+1))</f>
        <v/>
      </c>
      <c r="V7596" s="19">
        <f>IF($B7596="","",TEXT($B7596,"0000"))</f>
        <v/>
      </c>
      <c r="W7596" s="19">
        <f>IF($I7596="","",IF(ISNUMBER($I7596),TEXT($I7596,"0"),$I7596))</f>
        <v/>
      </c>
    </row>
    <row r="7597">
      <c r="B7597" s="25" t="n"/>
      <c r="I7597" s="25" t="n"/>
      <c r="U7597" s="19">
        <f>IF($V7597&lt;&gt;'設定'!$C$4,N(U7596),IF(OR(NOT(COUNTIF('商品マスタ'!$B$6:$B$1005,$W7597)=0),COUNTIFS('①在庫を貼る'!$V$6:$V$10005,$V7597,'①在庫を貼る'!$W$6:$W$10005,$W7597)&gt;0),N(U7596),N(U7596)+1))</f>
        <v/>
      </c>
      <c r="V7597" s="19">
        <f>IF($B7597="","",TEXT($B7597,"0000"))</f>
        <v/>
      </c>
      <c r="W7597" s="19">
        <f>IF($I7597="","",IF(ISNUMBER($I7597),TEXT($I7597,"0"),$I7597))</f>
        <v/>
      </c>
    </row>
    <row r="7598">
      <c r="B7598" s="25" t="n"/>
      <c r="I7598" s="25" t="n"/>
      <c r="U7598" s="19">
        <f>IF($V7598&lt;&gt;'設定'!$C$4,N(U7597),IF(OR(NOT(COUNTIF('商品マスタ'!$B$6:$B$1005,$W7598)=0),COUNTIFS('①在庫を貼る'!$V$6:$V$10005,$V7598,'①在庫を貼る'!$W$6:$W$10005,$W7598)&gt;0),N(U7597),N(U7597)+1))</f>
        <v/>
      </c>
      <c r="V7598" s="19">
        <f>IF($B7598="","",TEXT($B7598,"0000"))</f>
        <v/>
      </c>
      <c r="W7598" s="19">
        <f>IF($I7598="","",IF(ISNUMBER($I7598),TEXT($I7598,"0"),$I7598))</f>
        <v/>
      </c>
    </row>
    <row r="7599">
      <c r="B7599" s="25" t="n"/>
      <c r="I7599" s="25" t="n"/>
      <c r="U7599" s="19">
        <f>IF($V7599&lt;&gt;'設定'!$C$4,N(U7598),IF(OR(NOT(COUNTIF('商品マスタ'!$B$6:$B$1005,$W7599)=0),COUNTIFS('①在庫を貼る'!$V$6:$V$10005,$V7599,'①在庫を貼る'!$W$6:$W$10005,$W7599)&gt;0),N(U7598),N(U7598)+1))</f>
        <v/>
      </c>
      <c r="V7599" s="19">
        <f>IF($B7599="","",TEXT($B7599,"0000"))</f>
        <v/>
      </c>
      <c r="W7599" s="19">
        <f>IF($I7599="","",IF(ISNUMBER($I7599),TEXT($I7599,"0"),$I7599))</f>
        <v/>
      </c>
    </row>
    <row r="7600">
      <c r="B7600" s="25" t="n"/>
      <c r="I7600" s="25" t="n"/>
      <c r="U7600" s="19">
        <f>IF($V7600&lt;&gt;'設定'!$C$4,N(U7599),IF(OR(NOT(COUNTIF('商品マスタ'!$B$6:$B$1005,$W7600)=0),COUNTIFS('①在庫を貼る'!$V$6:$V$10005,$V7600,'①在庫を貼る'!$W$6:$W$10005,$W7600)&gt;0),N(U7599),N(U7599)+1))</f>
        <v/>
      </c>
      <c r="V7600" s="19">
        <f>IF($B7600="","",TEXT($B7600,"0000"))</f>
        <v/>
      </c>
      <c r="W7600" s="19">
        <f>IF($I7600="","",IF(ISNUMBER($I7600),TEXT($I7600,"0"),$I7600))</f>
        <v/>
      </c>
    </row>
    <row r="7601">
      <c r="B7601" s="25" t="n"/>
      <c r="I7601" s="25" t="n"/>
      <c r="U7601" s="19">
        <f>IF($V7601&lt;&gt;'設定'!$C$4,N(U7600),IF(OR(NOT(COUNTIF('商品マスタ'!$B$6:$B$1005,$W7601)=0),COUNTIFS('①在庫を貼る'!$V$6:$V$10005,$V7601,'①在庫を貼る'!$W$6:$W$10005,$W7601)&gt;0),N(U7600),N(U7600)+1))</f>
        <v/>
      </c>
      <c r="V7601" s="19">
        <f>IF($B7601="","",TEXT($B7601,"0000"))</f>
        <v/>
      </c>
      <c r="W7601" s="19">
        <f>IF($I7601="","",IF(ISNUMBER($I7601),TEXT($I7601,"0"),$I7601))</f>
        <v/>
      </c>
    </row>
    <row r="7602">
      <c r="B7602" s="25" t="n"/>
      <c r="I7602" s="25" t="n"/>
      <c r="U7602" s="19">
        <f>IF($V7602&lt;&gt;'設定'!$C$4,N(U7601),IF(OR(NOT(COUNTIF('商品マスタ'!$B$6:$B$1005,$W7602)=0),COUNTIFS('①在庫を貼る'!$V$6:$V$10005,$V7602,'①在庫を貼る'!$W$6:$W$10005,$W7602)&gt;0),N(U7601),N(U7601)+1))</f>
        <v/>
      </c>
      <c r="V7602" s="19">
        <f>IF($B7602="","",TEXT($B7602,"0000"))</f>
        <v/>
      </c>
      <c r="W7602" s="19">
        <f>IF($I7602="","",IF(ISNUMBER($I7602),TEXT($I7602,"0"),$I7602))</f>
        <v/>
      </c>
    </row>
    <row r="7603">
      <c r="B7603" s="25" t="n"/>
      <c r="I7603" s="25" t="n"/>
      <c r="U7603" s="19">
        <f>IF($V7603&lt;&gt;'設定'!$C$4,N(U7602),IF(OR(NOT(COUNTIF('商品マスタ'!$B$6:$B$1005,$W7603)=0),COUNTIFS('①在庫を貼る'!$V$6:$V$10005,$V7603,'①在庫を貼る'!$W$6:$W$10005,$W7603)&gt;0),N(U7602),N(U7602)+1))</f>
        <v/>
      </c>
      <c r="V7603" s="19">
        <f>IF($B7603="","",TEXT($B7603,"0000"))</f>
        <v/>
      </c>
      <c r="W7603" s="19">
        <f>IF($I7603="","",IF(ISNUMBER($I7603),TEXT($I7603,"0"),$I7603))</f>
        <v/>
      </c>
    </row>
    <row r="7604">
      <c r="B7604" s="25" t="n"/>
      <c r="I7604" s="25" t="n"/>
      <c r="U7604" s="19">
        <f>IF($V7604&lt;&gt;'設定'!$C$4,N(U7603),IF(OR(NOT(COUNTIF('商品マスタ'!$B$6:$B$1005,$W7604)=0),COUNTIFS('①在庫を貼る'!$V$6:$V$10005,$V7604,'①在庫を貼る'!$W$6:$W$10005,$W7604)&gt;0),N(U7603),N(U7603)+1))</f>
        <v/>
      </c>
      <c r="V7604" s="19">
        <f>IF($B7604="","",TEXT($B7604,"0000"))</f>
        <v/>
      </c>
      <c r="W7604" s="19">
        <f>IF($I7604="","",IF(ISNUMBER($I7604),TEXT($I7604,"0"),$I7604))</f>
        <v/>
      </c>
    </row>
    <row r="7605">
      <c r="B7605" s="25" t="n"/>
      <c r="I7605" s="25" t="n"/>
      <c r="U7605" s="19">
        <f>IF($V7605&lt;&gt;'設定'!$C$4,N(U7604),IF(OR(NOT(COUNTIF('商品マスタ'!$B$6:$B$1005,$W7605)=0),COUNTIFS('①在庫を貼る'!$V$6:$V$10005,$V7605,'①在庫を貼る'!$W$6:$W$10005,$W7605)&gt;0),N(U7604),N(U7604)+1))</f>
        <v/>
      </c>
      <c r="V7605" s="19">
        <f>IF($B7605="","",TEXT($B7605,"0000"))</f>
        <v/>
      </c>
      <c r="W7605" s="19">
        <f>IF($I7605="","",IF(ISNUMBER($I7605),TEXT($I7605,"0"),$I7605))</f>
        <v/>
      </c>
    </row>
    <row r="7606">
      <c r="B7606" s="25" t="n"/>
      <c r="I7606" s="25" t="n"/>
      <c r="U7606" s="19">
        <f>IF($V7606&lt;&gt;'設定'!$C$4,N(U7605),IF(OR(NOT(COUNTIF('商品マスタ'!$B$6:$B$1005,$W7606)=0),COUNTIFS('①在庫を貼る'!$V$6:$V$10005,$V7606,'①在庫を貼る'!$W$6:$W$10005,$W7606)&gt;0),N(U7605),N(U7605)+1))</f>
        <v/>
      </c>
      <c r="V7606" s="19">
        <f>IF($B7606="","",TEXT($B7606,"0000"))</f>
        <v/>
      </c>
      <c r="W7606" s="19">
        <f>IF($I7606="","",IF(ISNUMBER($I7606),TEXT($I7606,"0"),$I7606))</f>
        <v/>
      </c>
    </row>
    <row r="7607">
      <c r="B7607" s="25" t="n"/>
      <c r="I7607" s="25" t="n"/>
      <c r="U7607" s="19">
        <f>IF($V7607&lt;&gt;'設定'!$C$4,N(U7606),IF(OR(NOT(COUNTIF('商品マスタ'!$B$6:$B$1005,$W7607)=0),COUNTIFS('①在庫を貼る'!$V$6:$V$10005,$V7607,'①在庫を貼る'!$W$6:$W$10005,$W7607)&gt;0),N(U7606),N(U7606)+1))</f>
        <v/>
      </c>
      <c r="V7607" s="19">
        <f>IF($B7607="","",TEXT($B7607,"0000"))</f>
        <v/>
      </c>
      <c r="W7607" s="19">
        <f>IF($I7607="","",IF(ISNUMBER($I7607),TEXT($I7607,"0"),$I7607))</f>
        <v/>
      </c>
    </row>
    <row r="7608">
      <c r="B7608" s="25" t="n"/>
      <c r="I7608" s="25" t="n"/>
      <c r="U7608" s="19">
        <f>IF($V7608&lt;&gt;'設定'!$C$4,N(U7607),IF(OR(NOT(COUNTIF('商品マスタ'!$B$6:$B$1005,$W7608)=0),COUNTIFS('①在庫を貼る'!$V$6:$V$10005,$V7608,'①在庫を貼る'!$W$6:$W$10005,$W7608)&gt;0),N(U7607),N(U7607)+1))</f>
        <v/>
      </c>
      <c r="V7608" s="19">
        <f>IF($B7608="","",TEXT($B7608,"0000"))</f>
        <v/>
      </c>
      <c r="W7608" s="19">
        <f>IF($I7608="","",IF(ISNUMBER($I7608),TEXT($I7608,"0"),$I7608))</f>
        <v/>
      </c>
    </row>
    <row r="7609">
      <c r="B7609" s="25" t="n"/>
      <c r="I7609" s="25" t="n"/>
      <c r="U7609" s="19">
        <f>IF($V7609&lt;&gt;'設定'!$C$4,N(U7608),IF(OR(NOT(COUNTIF('商品マスタ'!$B$6:$B$1005,$W7609)=0),COUNTIFS('①在庫を貼る'!$V$6:$V$10005,$V7609,'①在庫を貼る'!$W$6:$W$10005,$W7609)&gt;0),N(U7608),N(U7608)+1))</f>
        <v/>
      </c>
      <c r="V7609" s="19">
        <f>IF($B7609="","",TEXT($B7609,"0000"))</f>
        <v/>
      </c>
      <c r="W7609" s="19">
        <f>IF($I7609="","",IF(ISNUMBER($I7609),TEXT($I7609,"0"),$I7609))</f>
        <v/>
      </c>
    </row>
    <row r="7610">
      <c r="B7610" s="25" t="n"/>
      <c r="I7610" s="25" t="n"/>
      <c r="U7610" s="19">
        <f>IF($V7610&lt;&gt;'設定'!$C$4,N(U7609),IF(OR(NOT(COUNTIF('商品マスタ'!$B$6:$B$1005,$W7610)=0),COUNTIFS('①在庫を貼る'!$V$6:$V$10005,$V7610,'①在庫を貼る'!$W$6:$W$10005,$W7610)&gt;0),N(U7609),N(U7609)+1))</f>
        <v/>
      </c>
      <c r="V7610" s="19">
        <f>IF($B7610="","",TEXT($B7610,"0000"))</f>
        <v/>
      </c>
      <c r="W7610" s="19">
        <f>IF($I7610="","",IF(ISNUMBER($I7610),TEXT($I7610,"0"),$I7610))</f>
        <v/>
      </c>
    </row>
    <row r="7611">
      <c r="B7611" s="25" t="n"/>
      <c r="I7611" s="25" t="n"/>
      <c r="U7611" s="19">
        <f>IF($V7611&lt;&gt;'設定'!$C$4,N(U7610),IF(OR(NOT(COUNTIF('商品マスタ'!$B$6:$B$1005,$W7611)=0),COUNTIFS('①在庫を貼る'!$V$6:$V$10005,$V7611,'①在庫を貼る'!$W$6:$W$10005,$W7611)&gt;0),N(U7610),N(U7610)+1))</f>
        <v/>
      </c>
      <c r="V7611" s="19">
        <f>IF($B7611="","",TEXT($B7611,"0000"))</f>
        <v/>
      </c>
      <c r="W7611" s="19">
        <f>IF($I7611="","",IF(ISNUMBER($I7611),TEXT($I7611,"0"),$I7611))</f>
        <v/>
      </c>
    </row>
    <row r="7612">
      <c r="B7612" s="25" t="n"/>
      <c r="I7612" s="25" t="n"/>
      <c r="U7612" s="19">
        <f>IF($V7612&lt;&gt;'設定'!$C$4,N(U7611),IF(OR(NOT(COUNTIF('商品マスタ'!$B$6:$B$1005,$W7612)=0),COUNTIFS('①在庫を貼る'!$V$6:$V$10005,$V7612,'①在庫を貼る'!$W$6:$W$10005,$W7612)&gt;0),N(U7611),N(U7611)+1))</f>
        <v/>
      </c>
      <c r="V7612" s="19">
        <f>IF($B7612="","",TEXT($B7612,"0000"))</f>
        <v/>
      </c>
      <c r="W7612" s="19">
        <f>IF($I7612="","",IF(ISNUMBER($I7612),TEXT($I7612,"0"),$I7612))</f>
        <v/>
      </c>
    </row>
    <row r="7613">
      <c r="B7613" s="25" t="n"/>
      <c r="I7613" s="25" t="n"/>
      <c r="U7613" s="19">
        <f>IF($V7613&lt;&gt;'設定'!$C$4,N(U7612),IF(OR(NOT(COUNTIF('商品マスタ'!$B$6:$B$1005,$W7613)=0),COUNTIFS('①在庫を貼る'!$V$6:$V$10005,$V7613,'①在庫を貼る'!$W$6:$W$10005,$W7613)&gt;0),N(U7612),N(U7612)+1))</f>
        <v/>
      </c>
      <c r="V7613" s="19">
        <f>IF($B7613="","",TEXT($B7613,"0000"))</f>
        <v/>
      </c>
      <c r="W7613" s="19">
        <f>IF($I7613="","",IF(ISNUMBER($I7613),TEXT($I7613,"0"),$I7613))</f>
        <v/>
      </c>
    </row>
    <row r="7614">
      <c r="B7614" s="25" t="n"/>
      <c r="I7614" s="25" t="n"/>
      <c r="U7614" s="19">
        <f>IF($V7614&lt;&gt;'設定'!$C$4,N(U7613),IF(OR(NOT(COUNTIF('商品マスタ'!$B$6:$B$1005,$W7614)=0),COUNTIFS('①在庫を貼る'!$V$6:$V$10005,$V7614,'①在庫を貼る'!$W$6:$W$10005,$W7614)&gt;0),N(U7613),N(U7613)+1))</f>
        <v/>
      </c>
      <c r="V7614" s="19">
        <f>IF($B7614="","",TEXT($B7614,"0000"))</f>
        <v/>
      </c>
      <c r="W7614" s="19">
        <f>IF($I7614="","",IF(ISNUMBER($I7614),TEXT($I7614,"0"),$I7614))</f>
        <v/>
      </c>
    </row>
    <row r="7615">
      <c r="B7615" s="25" t="n"/>
      <c r="I7615" s="25" t="n"/>
      <c r="U7615" s="19">
        <f>IF($V7615&lt;&gt;'設定'!$C$4,N(U7614),IF(OR(NOT(COUNTIF('商品マスタ'!$B$6:$B$1005,$W7615)=0),COUNTIFS('①在庫を貼る'!$V$6:$V$10005,$V7615,'①在庫を貼る'!$W$6:$W$10005,$W7615)&gt;0),N(U7614),N(U7614)+1))</f>
        <v/>
      </c>
      <c r="V7615" s="19">
        <f>IF($B7615="","",TEXT($B7615,"0000"))</f>
        <v/>
      </c>
      <c r="W7615" s="19">
        <f>IF($I7615="","",IF(ISNUMBER($I7615),TEXT($I7615,"0"),$I7615))</f>
        <v/>
      </c>
    </row>
    <row r="7616">
      <c r="B7616" s="25" t="n"/>
      <c r="I7616" s="25" t="n"/>
      <c r="U7616" s="19">
        <f>IF($V7616&lt;&gt;'設定'!$C$4,N(U7615),IF(OR(NOT(COUNTIF('商品マスタ'!$B$6:$B$1005,$W7616)=0),COUNTIFS('①在庫を貼る'!$V$6:$V$10005,$V7616,'①在庫を貼る'!$W$6:$W$10005,$W7616)&gt;0),N(U7615),N(U7615)+1))</f>
        <v/>
      </c>
      <c r="V7616" s="19">
        <f>IF($B7616="","",TEXT($B7616,"0000"))</f>
        <v/>
      </c>
      <c r="W7616" s="19">
        <f>IF($I7616="","",IF(ISNUMBER($I7616),TEXT($I7616,"0"),$I7616))</f>
        <v/>
      </c>
    </row>
    <row r="7617">
      <c r="B7617" s="25" t="n"/>
      <c r="I7617" s="25" t="n"/>
      <c r="U7617" s="19">
        <f>IF($V7617&lt;&gt;'設定'!$C$4,N(U7616),IF(OR(NOT(COUNTIF('商品マスタ'!$B$6:$B$1005,$W7617)=0),COUNTIFS('①在庫を貼る'!$V$6:$V$10005,$V7617,'①在庫を貼る'!$W$6:$W$10005,$W7617)&gt;0),N(U7616),N(U7616)+1))</f>
        <v/>
      </c>
      <c r="V7617" s="19">
        <f>IF($B7617="","",TEXT($B7617,"0000"))</f>
        <v/>
      </c>
      <c r="W7617" s="19">
        <f>IF($I7617="","",IF(ISNUMBER($I7617),TEXT($I7617,"0"),$I7617))</f>
        <v/>
      </c>
    </row>
    <row r="7618">
      <c r="B7618" s="25" t="n"/>
      <c r="I7618" s="25" t="n"/>
      <c r="U7618" s="19">
        <f>IF($V7618&lt;&gt;'設定'!$C$4,N(U7617),IF(OR(NOT(COUNTIF('商品マスタ'!$B$6:$B$1005,$W7618)=0),COUNTIFS('①在庫を貼る'!$V$6:$V$10005,$V7618,'①在庫を貼る'!$W$6:$W$10005,$W7618)&gt;0),N(U7617),N(U7617)+1))</f>
        <v/>
      </c>
      <c r="V7618" s="19">
        <f>IF($B7618="","",TEXT($B7618,"0000"))</f>
        <v/>
      </c>
      <c r="W7618" s="19">
        <f>IF($I7618="","",IF(ISNUMBER($I7618),TEXT($I7618,"0"),$I7618))</f>
        <v/>
      </c>
    </row>
    <row r="7619">
      <c r="B7619" s="25" t="n"/>
      <c r="I7619" s="25" t="n"/>
      <c r="U7619" s="19">
        <f>IF($V7619&lt;&gt;'設定'!$C$4,N(U7618),IF(OR(NOT(COUNTIF('商品マスタ'!$B$6:$B$1005,$W7619)=0),COUNTIFS('①在庫を貼る'!$V$6:$V$10005,$V7619,'①在庫を貼る'!$W$6:$W$10005,$W7619)&gt;0),N(U7618),N(U7618)+1))</f>
        <v/>
      </c>
      <c r="V7619" s="19">
        <f>IF($B7619="","",TEXT($B7619,"0000"))</f>
        <v/>
      </c>
      <c r="W7619" s="19">
        <f>IF($I7619="","",IF(ISNUMBER($I7619),TEXT($I7619,"0"),$I7619))</f>
        <v/>
      </c>
    </row>
    <row r="7620">
      <c r="B7620" s="25" t="n"/>
      <c r="I7620" s="25" t="n"/>
      <c r="U7620" s="19">
        <f>IF($V7620&lt;&gt;'設定'!$C$4,N(U7619),IF(OR(NOT(COUNTIF('商品マスタ'!$B$6:$B$1005,$W7620)=0),COUNTIFS('①在庫を貼る'!$V$6:$V$10005,$V7620,'①在庫を貼る'!$W$6:$W$10005,$W7620)&gt;0),N(U7619),N(U7619)+1))</f>
        <v/>
      </c>
      <c r="V7620" s="19">
        <f>IF($B7620="","",TEXT($B7620,"0000"))</f>
        <v/>
      </c>
      <c r="W7620" s="19">
        <f>IF($I7620="","",IF(ISNUMBER($I7620),TEXT($I7620,"0"),$I7620))</f>
        <v/>
      </c>
    </row>
    <row r="7621">
      <c r="B7621" s="25" t="n"/>
      <c r="I7621" s="25" t="n"/>
      <c r="U7621" s="19">
        <f>IF($V7621&lt;&gt;'設定'!$C$4,N(U7620),IF(OR(NOT(COUNTIF('商品マスタ'!$B$6:$B$1005,$W7621)=0),COUNTIFS('①在庫を貼る'!$V$6:$V$10005,$V7621,'①在庫を貼る'!$W$6:$W$10005,$W7621)&gt;0),N(U7620),N(U7620)+1))</f>
        <v/>
      </c>
      <c r="V7621" s="19">
        <f>IF($B7621="","",TEXT($B7621,"0000"))</f>
        <v/>
      </c>
      <c r="W7621" s="19">
        <f>IF($I7621="","",IF(ISNUMBER($I7621),TEXT($I7621,"0"),$I7621))</f>
        <v/>
      </c>
    </row>
    <row r="7622">
      <c r="B7622" s="25" t="n"/>
      <c r="I7622" s="25" t="n"/>
      <c r="U7622" s="19">
        <f>IF($V7622&lt;&gt;'設定'!$C$4,N(U7621),IF(OR(NOT(COUNTIF('商品マスタ'!$B$6:$B$1005,$W7622)=0),COUNTIFS('①在庫を貼る'!$V$6:$V$10005,$V7622,'①在庫を貼る'!$W$6:$W$10005,$W7622)&gt;0),N(U7621),N(U7621)+1))</f>
        <v/>
      </c>
      <c r="V7622" s="19">
        <f>IF($B7622="","",TEXT($B7622,"0000"))</f>
        <v/>
      </c>
      <c r="W7622" s="19">
        <f>IF($I7622="","",IF(ISNUMBER($I7622),TEXT($I7622,"0"),$I7622))</f>
        <v/>
      </c>
    </row>
    <row r="7623">
      <c r="B7623" s="25" t="n"/>
      <c r="I7623" s="25" t="n"/>
      <c r="U7623" s="19">
        <f>IF($V7623&lt;&gt;'設定'!$C$4,N(U7622),IF(OR(NOT(COUNTIF('商品マスタ'!$B$6:$B$1005,$W7623)=0),COUNTIFS('①在庫を貼る'!$V$6:$V$10005,$V7623,'①在庫を貼る'!$W$6:$W$10005,$W7623)&gt;0),N(U7622),N(U7622)+1))</f>
        <v/>
      </c>
      <c r="V7623" s="19">
        <f>IF($B7623="","",TEXT($B7623,"0000"))</f>
        <v/>
      </c>
      <c r="W7623" s="19">
        <f>IF($I7623="","",IF(ISNUMBER($I7623),TEXT($I7623,"0"),$I7623))</f>
        <v/>
      </c>
    </row>
    <row r="7624">
      <c r="B7624" s="25" t="n"/>
      <c r="I7624" s="25" t="n"/>
      <c r="U7624" s="19">
        <f>IF($V7624&lt;&gt;'設定'!$C$4,N(U7623),IF(OR(NOT(COUNTIF('商品マスタ'!$B$6:$B$1005,$W7624)=0),COUNTIFS('①在庫を貼る'!$V$6:$V$10005,$V7624,'①在庫を貼る'!$W$6:$W$10005,$W7624)&gt;0),N(U7623),N(U7623)+1))</f>
        <v/>
      </c>
      <c r="V7624" s="19">
        <f>IF($B7624="","",TEXT($B7624,"0000"))</f>
        <v/>
      </c>
      <c r="W7624" s="19">
        <f>IF($I7624="","",IF(ISNUMBER($I7624),TEXT($I7624,"0"),$I7624))</f>
        <v/>
      </c>
    </row>
    <row r="7625">
      <c r="B7625" s="25" t="n"/>
      <c r="I7625" s="25" t="n"/>
      <c r="U7625" s="19">
        <f>IF($V7625&lt;&gt;'設定'!$C$4,N(U7624),IF(OR(NOT(COUNTIF('商品マスタ'!$B$6:$B$1005,$W7625)=0),COUNTIFS('①在庫を貼る'!$V$6:$V$10005,$V7625,'①在庫を貼る'!$W$6:$W$10005,$W7625)&gt;0),N(U7624),N(U7624)+1))</f>
        <v/>
      </c>
      <c r="V7625" s="19">
        <f>IF($B7625="","",TEXT($B7625,"0000"))</f>
        <v/>
      </c>
      <c r="W7625" s="19">
        <f>IF($I7625="","",IF(ISNUMBER($I7625),TEXT($I7625,"0"),$I7625))</f>
        <v/>
      </c>
    </row>
    <row r="7626">
      <c r="B7626" s="25" t="n"/>
      <c r="I7626" s="25" t="n"/>
      <c r="U7626" s="19">
        <f>IF($V7626&lt;&gt;'設定'!$C$4,N(U7625),IF(OR(NOT(COUNTIF('商品マスタ'!$B$6:$B$1005,$W7626)=0),COUNTIFS('①在庫を貼る'!$V$6:$V$10005,$V7626,'①在庫を貼る'!$W$6:$W$10005,$W7626)&gt;0),N(U7625),N(U7625)+1))</f>
        <v/>
      </c>
      <c r="V7626" s="19">
        <f>IF($B7626="","",TEXT($B7626,"0000"))</f>
        <v/>
      </c>
      <c r="W7626" s="19">
        <f>IF($I7626="","",IF(ISNUMBER($I7626),TEXT($I7626,"0"),$I7626))</f>
        <v/>
      </c>
    </row>
    <row r="7627">
      <c r="B7627" s="25" t="n"/>
      <c r="I7627" s="25" t="n"/>
      <c r="U7627" s="19">
        <f>IF($V7627&lt;&gt;'設定'!$C$4,N(U7626),IF(OR(NOT(COUNTIF('商品マスタ'!$B$6:$B$1005,$W7627)=0),COUNTIFS('①在庫を貼る'!$V$6:$V$10005,$V7627,'①在庫を貼る'!$W$6:$W$10005,$W7627)&gt;0),N(U7626),N(U7626)+1))</f>
        <v/>
      </c>
      <c r="V7627" s="19">
        <f>IF($B7627="","",TEXT($B7627,"0000"))</f>
        <v/>
      </c>
      <c r="W7627" s="19">
        <f>IF($I7627="","",IF(ISNUMBER($I7627),TEXT($I7627,"0"),$I7627))</f>
        <v/>
      </c>
    </row>
    <row r="7628">
      <c r="B7628" s="25" t="n"/>
      <c r="I7628" s="25" t="n"/>
      <c r="U7628" s="19">
        <f>IF($V7628&lt;&gt;'設定'!$C$4,N(U7627),IF(OR(NOT(COUNTIF('商品マスタ'!$B$6:$B$1005,$W7628)=0),COUNTIFS('①在庫を貼る'!$V$6:$V$10005,$V7628,'①在庫を貼る'!$W$6:$W$10005,$W7628)&gt;0),N(U7627),N(U7627)+1))</f>
        <v/>
      </c>
      <c r="V7628" s="19">
        <f>IF($B7628="","",TEXT($B7628,"0000"))</f>
        <v/>
      </c>
      <c r="W7628" s="19">
        <f>IF($I7628="","",IF(ISNUMBER($I7628),TEXT($I7628,"0"),$I7628))</f>
        <v/>
      </c>
    </row>
    <row r="7629">
      <c r="B7629" s="25" t="n"/>
      <c r="I7629" s="25" t="n"/>
      <c r="U7629" s="19">
        <f>IF($V7629&lt;&gt;'設定'!$C$4,N(U7628),IF(OR(NOT(COUNTIF('商品マスタ'!$B$6:$B$1005,$W7629)=0),COUNTIFS('①在庫を貼る'!$V$6:$V$10005,$V7629,'①在庫を貼る'!$W$6:$W$10005,$W7629)&gt;0),N(U7628),N(U7628)+1))</f>
        <v/>
      </c>
      <c r="V7629" s="19">
        <f>IF($B7629="","",TEXT($B7629,"0000"))</f>
        <v/>
      </c>
      <c r="W7629" s="19">
        <f>IF($I7629="","",IF(ISNUMBER($I7629),TEXT($I7629,"0"),$I7629))</f>
        <v/>
      </c>
    </row>
    <row r="7630">
      <c r="B7630" s="25" t="n"/>
      <c r="I7630" s="25" t="n"/>
      <c r="U7630" s="19">
        <f>IF($V7630&lt;&gt;'設定'!$C$4,N(U7629),IF(OR(NOT(COUNTIF('商品マスタ'!$B$6:$B$1005,$W7630)=0),COUNTIFS('①在庫を貼る'!$V$6:$V$10005,$V7630,'①在庫を貼る'!$W$6:$W$10005,$W7630)&gt;0),N(U7629),N(U7629)+1))</f>
        <v/>
      </c>
      <c r="V7630" s="19">
        <f>IF($B7630="","",TEXT($B7630,"0000"))</f>
        <v/>
      </c>
      <c r="W7630" s="19">
        <f>IF($I7630="","",IF(ISNUMBER($I7630),TEXT($I7630,"0"),$I7630))</f>
        <v/>
      </c>
    </row>
    <row r="7631">
      <c r="B7631" s="25" t="n"/>
      <c r="I7631" s="25" t="n"/>
      <c r="U7631" s="19">
        <f>IF($V7631&lt;&gt;'設定'!$C$4,N(U7630),IF(OR(NOT(COUNTIF('商品マスタ'!$B$6:$B$1005,$W7631)=0),COUNTIFS('①在庫を貼る'!$V$6:$V$10005,$V7631,'①在庫を貼る'!$W$6:$W$10005,$W7631)&gt;0),N(U7630),N(U7630)+1))</f>
        <v/>
      </c>
      <c r="V7631" s="19">
        <f>IF($B7631="","",TEXT($B7631,"0000"))</f>
        <v/>
      </c>
      <c r="W7631" s="19">
        <f>IF($I7631="","",IF(ISNUMBER($I7631),TEXT($I7631,"0"),$I7631))</f>
        <v/>
      </c>
    </row>
    <row r="7632">
      <c r="B7632" s="25" t="n"/>
      <c r="I7632" s="25" t="n"/>
      <c r="U7632" s="19">
        <f>IF($V7632&lt;&gt;'設定'!$C$4,N(U7631),IF(OR(NOT(COUNTIF('商品マスタ'!$B$6:$B$1005,$W7632)=0),COUNTIFS('①在庫を貼る'!$V$6:$V$10005,$V7632,'①在庫を貼る'!$W$6:$W$10005,$W7632)&gt;0),N(U7631),N(U7631)+1))</f>
        <v/>
      </c>
      <c r="V7632" s="19">
        <f>IF($B7632="","",TEXT($B7632,"0000"))</f>
        <v/>
      </c>
      <c r="W7632" s="19">
        <f>IF($I7632="","",IF(ISNUMBER($I7632),TEXT($I7632,"0"),$I7632))</f>
        <v/>
      </c>
    </row>
    <row r="7633">
      <c r="B7633" s="25" t="n"/>
      <c r="I7633" s="25" t="n"/>
      <c r="U7633" s="19">
        <f>IF($V7633&lt;&gt;'設定'!$C$4,N(U7632),IF(OR(NOT(COUNTIF('商品マスタ'!$B$6:$B$1005,$W7633)=0),COUNTIFS('①在庫を貼る'!$V$6:$V$10005,$V7633,'①在庫を貼る'!$W$6:$W$10005,$W7633)&gt;0),N(U7632),N(U7632)+1))</f>
        <v/>
      </c>
      <c r="V7633" s="19">
        <f>IF($B7633="","",TEXT($B7633,"0000"))</f>
        <v/>
      </c>
      <c r="W7633" s="19">
        <f>IF($I7633="","",IF(ISNUMBER($I7633),TEXT($I7633,"0"),$I7633))</f>
        <v/>
      </c>
    </row>
    <row r="7634">
      <c r="B7634" s="25" t="n"/>
      <c r="I7634" s="25" t="n"/>
      <c r="U7634" s="19">
        <f>IF($V7634&lt;&gt;'設定'!$C$4,N(U7633),IF(OR(NOT(COUNTIF('商品マスタ'!$B$6:$B$1005,$W7634)=0),COUNTIFS('①在庫を貼る'!$V$6:$V$10005,$V7634,'①在庫を貼る'!$W$6:$W$10005,$W7634)&gt;0),N(U7633),N(U7633)+1))</f>
        <v/>
      </c>
      <c r="V7634" s="19">
        <f>IF($B7634="","",TEXT($B7634,"0000"))</f>
        <v/>
      </c>
      <c r="W7634" s="19">
        <f>IF($I7634="","",IF(ISNUMBER($I7634),TEXT($I7634,"0"),$I7634))</f>
        <v/>
      </c>
    </row>
    <row r="7635">
      <c r="B7635" s="25" t="n"/>
      <c r="I7635" s="25" t="n"/>
      <c r="U7635" s="19">
        <f>IF($V7635&lt;&gt;'設定'!$C$4,N(U7634),IF(OR(NOT(COUNTIF('商品マスタ'!$B$6:$B$1005,$W7635)=0),COUNTIFS('①在庫を貼る'!$V$6:$V$10005,$V7635,'①在庫を貼る'!$W$6:$W$10005,$W7635)&gt;0),N(U7634),N(U7634)+1))</f>
        <v/>
      </c>
      <c r="V7635" s="19">
        <f>IF($B7635="","",TEXT($B7635,"0000"))</f>
        <v/>
      </c>
      <c r="W7635" s="19">
        <f>IF($I7635="","",IF(ISNUMBER($I7635),TEXT($I7635,"0"),$I7635))</f>
        <v/>
      </c>
    </row>
    <row r="7636">
      <c r="B7636" s="25" t="n"/>
      <c r="I7636" s="25" t="n"/>
      <c r="U7636" s="19">
        <f>IF($V7636&lt;&gt;'設定'!$C$4,N(U7635),IF(OR(NOT(COUNTIF('商品マスタ'!$B$6:$B$1005,$W7636)=0),COUNTIFS('①在庫を貼る'!$V$6:$V$10005,$V7636,'①在庫を貼る'!$W$6:$W$10005,$W7636)&gt;0),N(U7635),N(U7635)+1))</f>
        <v/>
      </c>
      <c r="V7636" s="19">
        <f>IF($B7636="","",TEXT($B7636,"0000"))</f>
        <v/>
      </c>
      <c r="W7636" s="19">
        <f>IF($I7636="","",IF(ISNUMBER($I7636),TEXT($I7636,"0"),$I7636))</f>
        <v/>
      </c>
    </row>
    <row r="7637">
      <c r="B7637" s="25" t="n"/>
      <c r="I7637" s="25" t="n"/>
      <c r="U7637" s="19">
        <f>IF($V7637&lt;&gt;'設定'!$C$4,N(U7636),IF(OR(NOT(COUNTIF('商品マスタ'!$B$6:$B$1005,$W7637)=0),COUNTIFS('①在庫を貼る'!$V$6:$V$10005,$V7637,'①在庫を貼る'!$W$6:$W$10005,$W7637)&gt;0),N(U7636),N(U7636)+1))</f>
        <v/>
      </c>
      <c r="V7637" s="19">
        <f>IF($B7637="","",TEXT($B7637,"0000"))</f>
        <v/>
      </c>
      <c r="W7637" s="19">
        <f>IF($I7637="","",IF(ISNUMBER($I7637),TEXT($I7637,"0"),$I7637))</f>
        <v/>
      </c>
    </row>
    <row r="7638">
      <c r="B7638" s="25" t="n"/>
      <c r="I7638" s="25" t="n"/>
      <c r="U7638" s="19">
        <f>IF($V7638&lt;&gt;'設定'!$C$4,N(U7637),IF(OR(NOT(COUNTIF('商品マスタ'!$B$6:$B$1005,$W7638)=0),COUNTIFS('①在庫を貼る'!$V$6:$V$10005,$V7638,'①在庫を貼る'!$W$6:$W$10005,$W7638)&gt;0),N(U7637),N(U7637)+1))</f>
        <v/>
      </c>
      <c r="V7638" s="19">
        <f>IF($B7638="","",TEXT($B7638,"0000"))</f>
        <v/>
      </c>
      <c r="W7638" s="19">
        <f>IF($I7638="","",IF(ISNUMBER($I7638),TEXT($I7638,"0"),$I7638))</f>
        <v/>
      </c>
    </row>
    <row r="7639">
      <c r="B7639" s="25" t="n"/>
      <c r="I7639" s="25" t="n"/>
      <c r="U7639" s="19">
        <f>IF($V7639&lt;&gt;'設定'!$C$4,N(U7638),IF(OR(NOT(COUNTIF('商品マスタ'!$B$6:$B$1005,$W7639)=0),COUNTIFS('①在庫を貼る'!$V$6:$V$10005,$V7639,'①在庫を貼る'!$W$6:$W$10005,$W7639)&gt;0),N(U7638),N(U7638)+1))</f>
        <v/>
      </c>
      <c r="V7639" s="19">
        <f>IF($B7639="","",TEXT($B7639,"0000"))</f>
        <v/>
      </c>
      <c r="W7639" s="19">
        <f>IF($I7639="","",IF(ISNUMBER($I7639),TEXT($I7639,"0"),$I7639))</f>
        <v/>
      </c>
    </row>
    <row r="7640">
      <c r="B7640" s="25" t="n"/>
      <c r="I7640" s="25" t="n"/>
      <c r="U7640" s="19">
        <f>IF($V7640&lt;&gt;'設定'!$C$4,N(U7639),IF(OR(NOT(COUNTIF('商品マスタ'!$B$6:$B$1005,$W7640)=0),COUNTIFS('①在庫を貼る'!$V$6:$V$10005,$V7640,'①在庫を貼る'!$W$6:$W$10005,$W7640)&gt;0),N(U7639),N(U7639)+1))</f>
        <v/>
      </c>
      <c r="V7640" s="19">
        <f>IF($B7640="","",TEXT($B7640,"0000"))</f>
        <v/>
      </c>
      <c r="W7640" s="19">
        <f>IF($I7640="","",IF(ISNUMBER($I7640),TEXT($I7640,"0"),$I7640))</f>
        <v/>
      </c>
    </row>
    <row r="7641">
      <c r="B7641" s="25" t="n"/>
      <c r="I7641" s="25" t="n"/>
      <c r="U7641" s="19">
        <f>IF($V7641&lt;&gt;'設定'!$C$4,N(U7640),IF(OR(NOT(COUNTIF('商品マスタ'!$B$6:$B$1005,$W7641)=0),COUNTIFS('①在庫を貼る'!$V$6:$V$10005,$V7641,'①在庫を貼る'!$W$6:$W$10005,$W7641)&gt;0),N(U7640),N(U7640)+1))</f>
        <v/>
      </c>
      <c r="V7641" s="19">
        <f>IF($B7641="","",TEXT($B7641,"0000"))</f>
        <v/>
      </c>
      <c r="W7641" s="19">
        <f>IF($I7641="","",IF(ISNUMBER($I7641),TEXT($I7641,"0"),$I7641))</f>
        <v/>
      </c>
    </row>
    <row r="7642">
      <c r="B7642" s="25" t="n"/>
      <c r="I7642" s="25" t="n"/>
      <c r="U7642" s="19">
        <f>IF($V7642&lt;&gt;'設定'!$C$4,N(U7641),IF(OR(NOT(COUNTIF('商品マスタ'!$B$6:$B$1005,$W7642)=0),COUNTIFS('①在庫を貼る'!$V$6:$V$10005,$V7642,'①在庫を貼る'!$W$6:$W$10005,$W7642)&gt;0),N(U7641),N(U7641)+1))</f>
        <v/>
      </c>
      <c r="V7642" s="19">
        <f>IF($B7642="","",TEXT($B7642,"0000"))</f>
        <v/>
      </c>
      <c r="W7642" s="19">
        <f>IF($I7642="","",IF(ISNUMBER($I7642),TEXT($I7642,"0"),$I7642))</f>
        <v/>
      </c>
    </row>
    <row r="7643">
      <c r="B7643" s="25" t="n"/>
      <c r="I7643" s="25" t="n"/>
      <c r="U7643" s="19">
        <f>IF($V7643&lt;&gt;'設定'!$C$4,N(U7642),IF(OR(NOT(COUNTIF('商品マスタ'!$B$6:$B$1005,$W7643)=0),COUNTIFS('①在庫を貼る'!$V$6:$V$10005,$V7643,'①在庫を貼る'!$W$6:$W$10005,$W7643)&gt;0),N(U7642),N(U7642)+1))</f>
        <v/>
      </c>
      <c r="V7643" s="19">
        <f>IF($B7643="","",TEXT($B7643,"0000"))</f>
        <v/>
      </c>
      <c r="W7643" s="19">
        <f>IF($I7643="","",IF(ISNUMBER($I7643),TEXT($I7643,"0"),$I7643))</f>
        <v/>
      </c>
    </row>
    <row r="7644">
      <c r="B7644" s="25" t="n"/>
      <c r="I7644" s="25" t="n"/>
      <c r="U7644" s="19">
        <f>IF($V7644&lt;&gt;'設定'!$C$4,N(U7643),IF(OR(NOT(COUNTIF('商品マスタ'!$B$6:$B$1005,$W7644)=0),COUNTIFS('①在庫を貼る'!$V$6:$V$10005,$V7644,'①在庫を貼る'!$W$6:$W$10005,$W7644)&gt;0),N(U7643),N(U7643)+1))</f>
        <v/>
      </c>
      <c r="V7644" s="19">
        <f>IF($B7644="","",TEXT($B7644,"0000"))</f>
        <v/>
      </c>
      <c r="W7644" s="19">
        <f>IF($I7644="","",IF(ISNUMBER($I7644),TEXT($I7644,"0"),$I7644))</f>
        <v/>
      </c>
    </row>
    <row r="7645">
      <c r="B7645" s="25" t="n"/>
      <c r="I7645" s="25" t="n"/>
      <c r="U7645" s="19">
        <f>IF($V7645&lt;&gt;'設定'!$C$4,N(U7644),IF(OR(NOT(COUNTIF('商品マスタ'!$B$6:$B$1005,$W7645)=0),COUNTIFS('①在庫を貼る'!$V$6:$V$10005,$V7645,'①在庫を貼る'!$W$6:$W$10005,$W7645)&gt;0),N(U7644),N(U7644)+1))</f>
        <v/>
      </c>
      <c r="V7645" s="19">
        <f>IF($B7645="","",TEXT($B7645,"0000"))</f>
        <v/>
      </c>
      <c r="W7645" s="19">
        <f>IF($I7645="","",IF(ISNUMBER($I7645),TEXT($I7645,"0"),$I7645))</f>
        <v/>
      </c>
    </row>
    <row r="7646">
      <c r="B7646" s="25" t="n"/>
      <c r="I7646" s="25" t="n"/>
      <c r="U7646" s="19">
        <f>IF($V7646&lt;&gt;'設定'!$C$4,N(U7645),IF(OR(NOT(COUNTIF('商品マスタ'!$B$6:$B$1005,$W7646)=0),COUNTIFS('①在庫を貼る'!$V$6:$V$10005,$V7646,'①在庫を貼る'!$W$6:$W$10005,$W7646)&gt;0),N(U7645),N(U7645)+1))</f>
        <v/>
      </c>
      <c r="V7646" s="19">
        <f>IF($B7646="","",TEXT($B7646,"0000"))</f>
        <v/>
      </c>
      <c r="W7646" s="19">
        <f>IF($I7646="","",IF(ISNUMBER($I7646),TEXT($I7646,"0"),$I7646))</f>
        <v/>
      </c>
    </row>
    <row r="7647">
      <c r="B7647" s="25" t="n"/>
      <c r="I7647" s="25" t="n"/>
      <c r="U7647" s="19">
        <f>IF($V7647&lt;&gt;'設定'!$C$4,N(U7646),IF(OR(NOT(COUNTIF('商品マスタ'!$B$6:$B$1005,$W7647)=0),COUNTIFS('①在庫を貼る'!$V$6:$V$10005,$V7647,'①在庫を貼る'!$W$6:$W$10005,$W7647)&gt;0),N(U7646),N(U7646)+1))</f>
        <v/>
      </c>
      <c r="V7647" s="19">
        <f>IF($B7647="","",TEXT($B7647,"0000"))</f>
        <v/>
      </c>
      <c r="W7647" s="19">
        <f>IF($I7647="","",IF(ISNUMBER($I7647),TEXT($I7647,"0"),$I7647))</f>
        <v/>
      </c>
    </row>
    <row r="7648">
      <c r="B7648" s="25" t="n"/>
      <c r="I7648" s="25" t="n"/>
      <c r="U7648" s="19">
        <f>IF($V7648&lt;&gt;'設定'!$C$4,N(U7647),IF(OR(NOT(COUNTIF('商品マスタ'!$B$6:$B$1005,$W7648)=0),COUNTIFS('①在庫を貼る'!$V$6:$V$10005,$V7648,'①在庫を貼る'!$W$6:$W$10005,$W7648)&gt;0),N(U7647),N(U7647)+1))</f>
        <v/>
      </c>
      <c r="V7648" s="19">
        <f>IF($B7648="","",TEXT($B7648,"0000"))</f>
        <v/>
      </c>
      <c r="W7648" s="19">
        <f>IF($I7648="","",IF(ISNUMBER($I7648),TEXT($I7648,"0"),$I7648))</f>
        <v/>
      </c>
    </row>
    <row r="7649">
      <c r="B7649" s="25" t="n"/>
      <c r="I7649" s="25" t="n"/>
      <c r="U7649" s="19">
        <f>IF($V7649&lt;&gt;'設定'!$C$4,N(U7648),IF(OR(NOT(COUNTIF('商品マスタ'!$B$6:$B$1005,$W7649)=0),COUNTIFS('①在庫を貼る'!$V$6:$V$10005,$V7649,'①在庫を貼る'!$W$6:$W$10005,$W7649)&gt;0),N(U7648),N(U7648)+1))</f>
        <v/>
      </c>
      <c r="V7649" s="19">
        <f>IF($B7649="","",TEXT($B7649,"0000"))</f>
        <v/>
      </c>
      <c r="W7649" s="19">
        <f>IF($I7649="","",IF(ISNUMBER($I7649),TEXT($I7649,"0"),$I7649))</f>
        <v/>
      </c>
    </row>
    <row r="7650">
      <c r="B7650" s="25" t="n"/>
      <c r="I7650" s="25" t="n"/>
      <c r="U7650" s="19">
        <f>IF($V7650&lt;&gt;'設定'!$C$4,N(U7649),IF(OR(NOT(COUNTIF('商品マスタ'!$B$6:$B$1005,$W7650)=0),COUNTIFS('①在庫を貼る'!$V$6:$V$10005,$V7650,'①在庫を貼る'!$W$6:$W$10005,$W7650)&gt;0),N(U7649),N(U7649)+1))</f>
        <v/>
      </c>
      <c r="V7650" s="19">
        <f>IF($B7650="","",TEXT($B7650,"0000"))</f>
        <v/>
      </c>
      <c r="W7650" s="19">
        <f>IF($I7650="","",IF(ISNUMBER($I7650),TEXT($I7650,"0"),$I7650))</f>
        <v/>
      </c>
    </row>
    <row r="7651">
      <c r="B7651" s="25" t="n"/>
      <c r="I7651" s="25" t="n"/>
      <c r="U7651" s="19">
        <f>IF($V7651&lt;&gt;'設定'!$C$4,N(U7650),IF(OR(NOT(COUNTIF('商品マスタ'!$B$6:$B$1005,$W7651)=0),COUNTIFS('①在庫を貼る'!$V$6:$V$10005,$V7651,'①在庫を貼る'!$W$6:$W$10005,$W7651)&gt;0),N(U7650),N(U7650)+1))</f>
        <v/>
      </c>
      <c r="V7651" s="19">
        <f>IF($B7651="","",TEXT($B7651,"0000"))</f>
        <v/>
      </c>
      <c r="W7651" s="19">
        <f>IF($I7651="","",IF(ISNUMBER($I7651),TEXT($I7651,"0"),$I7651))</f>
        <v/>
      </c>
    </row>
    <row r="7652">
      <c r="B7652" s="25" t="n"/>
      <c r="I7652" s="25" t="n"/>
      <c r="U7652" s="19">
        <f>IF($V7652&lt;&gt;'設定'!$C$4,N(U7651),IF(OR(NOT(COUNTIF('商品マスタ'!$B$6:$B$1005,$W7652)=0),COUNTIFS('①在庫を貼る'!$V$6:$V$10005,$V7652,'①在庫を貼る'!$W$6:$W$10005,$W7652)&gt;0),N(U7651),N(U7651)+1))</f>
        <v/>
      </c>
      <c r="V7652" s="19">
        <f>IF($B7652="","",TEXT($B7652,"0000"))</f>
        <v/>
      </c>
      <c r="W7652" s="19">
        <f>IF($I7652="","",IF(ISNUMBER($I7652),TEXT($I7652,"0"),$I7652))</f>
        <v/>
      </c>
    </row>
    <row r="7653">
      <c r="B7653" s="25" t="n"/>
      <c r="I7653" s="25" t="n"/>
      <c r="U7653" s="19">
        <f>IF($V7653&lt;&gt;'設定'!$C$4,N(U7652),IF(OR(NOT(COUNTIF('商品マスタ'!$B$6:$B$1005,$W7653)=0),COUNTIFS('①在庫を貼る'!$V$6:$V$10005,$V7653,'①在庫を貼る'!$W$6:$W$10005,$W7653)&gt;0),N(U7652),N(U7652)+1))</f>
        <v/>
      </c>
      <c r="V7653" s="19">
        <f>IF($B7653="","",TEXT($B7653,"0000"))</f>
        <v/>
      </c>
      <c r="W7653" s="19">
        <f>IF($I7653="","",IF(ISNUMBER($I7653),TEXT($I7653,"0"),$I7653))</f>
        <v/>
      </c>
    </row>
    <row r="7654">
      <c r="B7654" s="25" t="n"/>
      <c r="I7654" s="25" t="n"/>
      <c r="U7654" s="19">
        <f>IF($V7654&lt;&gt;'設定'!$C$4,N(U7653),IF(OR(NOT(COUNTIF('商品マスタ'!$B$6:$B$1005,$W7654)=0),COUNTIFS('①在庫を貼る'!$V$6:$V$10005,$V7654,'①在庫を貼る'!$W$6:$W$10005,$W7654)&gt;0),N(U7653),N(U7653)+1))</f>
        <v/>
      </c>
      <c r="V7654" s="19">
        <f>IF($B7654="","",TEXT($B7654,"0000"))</f>
        <v/>
      </c>
      <c r="W7654" s="19">
        <f>IF($I7654="","",IF(ISNUMBER($I7654),TEXT($I7654,"0"),$I7654))</f>
        <v/>
      </c>
    </row>
    <row r="7655">
      <c r="B7655" s="25" t="n"/>
      <c r="I7655" s="25" t="n"/>
      <c r="U7655" s="19">
        <f>IF($V7655&lt;&gt;'設定'!$C$4,N(U7654),IF(OR(NOT(COUNTIF('商品マスタ'!$B$6:$B$1005,$W7655)=0),COUNTIFS('①在庫を貼る'!$V$6:$V$10005,$V7655,'①在庫を貼る'!$W$6:$W$10005,$W7655)&gt;0),N(U7654),N(U7654)+1))</f>
        <v/>
      </c>
      <c r="V7655" s="19">
        <f>IF($B7655="","",TEXT($B7655,"0000"))</f>
        <v/>
      </c>
      <c r="W7655" s="19">
        <f>IF($I7655="","",IF(ISNUMBER($I7655),TEXT($I7655,"0"),$I7655))</f>
        <v/>
      </c>
    </row>
    <row r="7656">
      <c r="B7656" s="25" t="n"/>
      <c r="I7656" s="25" t="n"/>
      <c r="U7656" s="19">
        <f>IF($V7656&lt;&gt;'設定'!$C$4,N(U7655),IF(OR(NOT(COUNTIF('商品マスタ'!$B$6:$B$1005,$W7656)=0),COUNTIFS('①在庫を貼る'!$V$6:$V$10005,$V7656,'①在庫を貼る'!$W$6:$W$10005,$W7656)&gt;0),N(U7655),N(U7655)+1))</f>
        <v/>
      </c>
      <c r="V7656" s="19">
        <f>IF($B7656="","",TEXT($B7656,"0000"))</f>
        <v/>
      </c>
      <c r="W7656" s="19">
        <f>IF($I7656="","",IF(ISNUMBER($I7656),TEXT($I7656,"0"),$I7656))</f>
        <v/>
      </c>
    </row>
    <row r="7657">
      <c r="B7657" s="25" t="n"/>
      <c r="I7657" s="25" t="n"/>
      <c r="U7657" s="19">
        <f>IF($V7657&lt;&gt;'設定'!$C$4,N(U7656),IF(OR(NOT(COUNTIF('商品マスタ'!$B$6:$B$1005,$W7657)=0),COUNTIFS('①在庫を貼る'!$V$6:$V$10005,$V7657,'①在庫を貼る'!$W$6:$W$10005,$W7657)&gt;0),N(U7656),N(U7656)+1))</f>
        <v/>
      </c>
      <c r="V7657" s="19">
        <f>IF($B7657="","",TEXT($B7657,"0000"))</f>
        <v/>
      </c>
      <c r="W7657" s="19">
        <f>IF($I7657="","",IF(ISNUMBER($I7657),TEXT($I7657,"0"),$I7657))</f>
        <v/>
      </c>
    </row>
    <row r="7658">
      <c r="B7658" s="25" t="n"/>
      <c r="I7658" s="25" t="n"/>
      <c r="U7658" s="19">
        <f>IF($V7658&lt;&gt;'設定'!$C$4,N(U7657),IF(OR(NOT(COUNTIF('商品マスタ'!$B$6:$B$1005,$W7658)=0),COUNTIFS('①在庫を貼る'!$V$6:$V$10005,$V7658,'①在庫を貼る'!$W$6:$W$10005,$W7658)&gt;0),N(U7657),N(U7657)+1))</f>
        <v/>
      </c>
      <c r="V7658" s="19">
        <f>IF($B7658="","",TEXT($B7658,"0000"))</f>
        <v/>
      </c>
      <c r="W7658" s="19">
        <f>IF($I7658="","",IF(ISNUMBER($I7658),TEXT($I7658,"0"),$I7658))</f>
        <v/>
      </c>
    </row>
    <row r="7659">
      <c r="B7659" s="25" t="n"/>
      <c r="I7659" s="25" t="n"/>
      <c r="U7659" s="19">
        <f>IF($V7659&lt;&gt;'設定'!$C$4,N(U7658),IF(OR(NOT(COUNTIF('商品マスタ'!$B$6:$B$1005,$W7659)=0),COUNTIFS('①在庫を貼る'!$V$6:$V$10005,$V7659,'①在庫を貼る'!$W$6:$W$10005,$W7659)&gt;0),N(U7658),N(U7658)+1))</f>
        <v/>
      </c>
      <c r="V7659" s="19">
        <f>IF($B7659="","",TEXT($B7659,"0000"))</f>
        <v/>
      </c>
      <c r="W7659" s="19">
        <f>IF($I7659="","",IF(ISNUMBER($I7659),TEXT($I7659,"0"),$I7659))</f>
        <v/>
      </c>
    </row>
    <row r="7660">
      <c r="B7660" s="25" t="n"/>
      <c r="I7660" s="25" t="n"/>
      <c r="U7660" s="19">
        <f>IF($V7660&lt;&gt;'設定'!$C$4,N(U7659),IF(OR(NOT(COUNTIF('商品マスタ'!$B$6:$B$1005,$W7660)=0),COUNTIFS('①在庫を貼る'!$V$6:$V$10005,$V7660,'①在庫を貼る'!$W$6:$W$10005,$W7660)&gt;0),N(U7659),N(U7659)+1))</f>
        <v/>
      </c>
      <c r="V7660" s="19">
        <f>IF($B7660="","",TEXT($B7660,"0000"))</f>
        <v/>
      </c>
      <c r="W7660" s="19">
        <f>IF($I7660="","",IF(ISNUMBER($I7660),TEXT($I7660,"0"),$I7660))</f>
        <v/>
      </c>
    </row>
    <row r="7661">
      <c r="B7661" s="25" t="n"/>
      <c r="I7661" s="25" t="n"/>
      <c r="U7661" s="19">
        <f>IF($V7661&lt;&gt;'設定'!$C$4,N(U7660),IF(OR(NOT(COUNTIF('商品マスタ'!$B$6:$B$1005,$W7661)=0),COUNTIFS('①在庫を貼る'!$V$6:$V$10005,$V7661,'①在庫を貼る'!$W$6:$W$10005,$W7661)&gt;0),N(U7660),N(U7660)+1))</f>
        <v/>
      </c>
      <c r="V7661" s="19">
        <f>IF($B7661="","",TEXT($B7661,"0000"))</f>
        <v/>
      </c>
      <c r="W7661" s="19">
        <f>IF($I7661="","",IF(ISNUMBER($I7661),TEXT($I7661,"0"),$I7661))</f>
        <v/>
      </c>
    </row>
    <row r="7662">
      <c r="B7662" s="25" t="n"/>
      <c r="I7662" s="25" t="n"/>
      <c r="U7662" s="19">
        <f>IF($V7662&lt;&gt;'設定'!$C$4,N(U7661),IF(OR(NOT(COUNTIF('商品マスタ'!$B$6:$B$1005,$W7662)=0),COUNTIFS('①在庫を貼る'!$V$6:$V$10005,$V7662,'①在庫を貼る'!$W$6:$W$10005,$W7662)&gt;0),N(U7661),N(U7661)+1))</f>
        <v/>
      </c>
      <c r="V7662" s="19">
        <f>IF($B7662="","",TEXT($B7662,"0000"))</f>
        <v/>
      </c>
      <c r="W7662" s="19">
        <f>IF($I7662="","",IF(ISNUMBER($I7662),TEXT($I7662,"0"),$I7662))</f>
        <v/>
      </c>
    </row>
    <row r="7663">
      <c r="B7663" s="25" t="n"/>
      <c r="I7663" s="25" t="n"/>
      <c r="U7663" s="19">
        <f>IF($V7663&lt;&gt;'設定'!$C$4,N(U7662),IF(OR(NOT(COUNTIF('商品マスタ'!$B$6:$B$1005,$W7663)=0),COUNTIFS('①在庫を貼る'!$V$6:$V$10005,$V7663,'①在庫を貼る'!$W$6:$W$10005,$W7663)&gt;0),N(U7662),N(U7662)+1))</f>
        <v/>
      </c>
      <c r="V7663" s="19">
        <f>IF($B7663="","",TEXT($B7663,"0000"))</f>
        <v/>
      </c>
      <c r="W7663" s="19">
        <f>IF($I7663="","",IF(ISNUMBER($I7663),TEXT($I7663,"0"),$I7663))</f>
        <v/>
      </c>
    </row>
    <row r="7664">
      <c r="B7664" s="25" t="n"/>
      <c r="I7664" s="25" t="n"/>
      <c r="U7664" s="19">
        <f>IF($V7664&lt;&gt;'設定'!$C$4,N(U7663),IF(OR(NOT(COUNTIF('商品マスタ'!$B$6:$B$1005,$W7664)=0),COUNTIFS('①在庫を貼る'!$V$6:$V$10005,$V7664,'①在庫を貼る'!$W$6:$W$10005,$W7664)&gt;0),N(U7663),N(U7663)+1))</f>
        <v/>
      </c>
      <c r="V7664" s="19">
        <f>IF($B7664="","",TEXT($B7664,"0000"))</f>
        <v/>
      </c>
      <c r="W7664" s="19">
        <f>IF($I7664="","",IF(ISNUMBER($I7664),TEXT($I7664,"0"),$I7664))</f>
        <v/>
      </c>
    </row>
    <row r="7665">
      <c r="B7665" s="25" t="n"/>
      <c r="I7665" s="25" t="n"/>
      <c r="U7665" s="19">
        <f>IF($V7665&lt;&gt;'設定'!$C$4,N(U7664),IF(OR(NOT(COUNTIF('商品マスタ'!$B$6:$B$1005,$W7665)=0),COUNTIFS('①在庫を貼る'!$V$6:$V$10005,$V7665,'①在庫を貼る'!$W$6:$W$10005,$W7665)&gt;0),N(U7664),N(U7664)+1))</f>
        <v/>
      </c>
      <c r="V7665" s="19">
        <f>IF($B7665="","",TEXT($B7665,"0000"))</f>
        <v/>
      </c>
      <c r="W7665" s="19">
        <f>IF($I7665="","",IF(ISNUMBER($I7665),TEXT($I7665,"0"),$I7665))</f>
        <v/>
      </c>
    </row>
    <row r="7666">
      <c r="B7666" s="25" t="n"/>
      <c r="I7666" s="25" t="n"/>
      <c r="U7666" s="19">
        <f>IF($V7666&lt;&gt;'設定'!$C$4,N(U7665),IF(OR(NOT(COUNTIF('商品マスタ'!$B$6:$B$1005,$W7666)=0),COUNTIFS('①在庫を貼る'!$V$6:$V$10005,$V7666,'①在庫を貼る'!$W$6:$W$10005,$W7666)&gt;0),N(U7665),N(U7665)+1))</f>
        <v/>
      </c>
      <c r="V7666" s="19">
        <f>IF($B7666="","",TEXT($B7666,"0000"))</f>
        <v/>
      </c>
      <c r="W7666" s="19">
        <f>IF($I7666="","",IF(ISNUMBER($I7666),TEXT($I7666,"0"),$I7666))</f>
        <v/>
      </c>
    </row>
    <row r="7667">
      <c r="B7667" s="25" t="n"/>
      <c r="I7667" s="25" t="n"/>
      <c r="U7667" s="19">
        <f>IF($V7667&lt;&gt;'設定'!$C$4,N(U7666),IF(OR(NOT(COUNTIF('商品マスタ'!$B$6:$B$1005,$W7667)=0),COUNTIFS('①在庫を貼る'!$V$6:$V$10005,$V7667,'①在庫を貼る'!$W$6:$W$10005,$W7667)&gt;0),N(U7666),N(U7666)+1))</f>
        <v/>
      </c>
      <c r="V7667" s="19">
        <f>IF($B7667="","",TEXT($B7667,"0000"))</f>
        <v/>
      </c>
      <c r="W7667" s="19">
        <f>IF($I7667="","",IF(ISNUMBER($I7667),TEXT($I7667,"0"),$I7667))</f>
        <v/>
      </c>
    </row>
    <row r="7668">
      <c r="B7668" s="25" t="n"/>
      <c r="I7668" s="25" t="n"/>
      <c r="U7668" s="19">
        <f>IF($V7668&lt;&gt;'設定'!$C$4,N(U7667),IF(OR(NOT(COUNTIF('商品マスタ'!$B$6:$B$1005,$W7668)=0),COUNTIFS('①在庫を貼る'!$V$6:$V$10005,$V7668,'①在庫を貼る'!$W$6:$W$10005,$W7668)&gt;0),N(U7667),N(U7667)+1))</f>
        <v/>
      </c>
      <c r="V7668" s="19">
        <f>IF($B7668="","",TEXT($B7668,"0000"))</f>
        <v/>
      </c>
      <c r="W7668" s="19">
        <f>IF($I7668="","",IF(ISNUMBER($I7668),TEXT($I7668,"0"),$I7668))</f>
        <v/>
      </c>
    </row>
    <row r="7669">
      <c r="B7669" s="25" t="n"/>
      <c r="I7669" s="25" t="n"/>
      <c r="U7669" s="19">
        <f>IF($V7669&lt;&gt;'設定'!$C$4,N(U7668),IF(OR(NOT(COUNTIF('商品マスタ'!$B$6:$B$1005,$W7669)=0),COUNTIFS('①在庫を貼る'!$V$6:$V$10005,$V7669,'①在庫を貼る'!$W$6:$W$10005,$W7669)&gt;0),N(U7668),N(U7668)+1))</f>
        <v/>
      </c>
      <c r="V7669" s="19">
        <f>IF($B7669="","",TEXT($B7669,"0000"))</f>
        <v/>
      </c>
      <c r="W7669" s="19">
        <f>IF($I7669="","",IF(ISNUMBER($I7669),TEXT($I7669,"0"),$I7669))</f>
        <v/>
      </c>
    </row>
    <row r="7670">
      <c r="B7670" s="25" t="n"/>
      <c r="I7670" s="25" t="n"/>
      <c r="U7670" s="19">
        <f>IF($V7670&lt;&gt;'設定'!$C$4,N(U7669),IF(OR(NOT(COUNTIF('商品マスタ'!$B$6:$B$1005,$W7670)=0),COUNTIFS('①在庫を貼る'!$V$6:$V$10005,$V7670,'①在庫を貼る'!$W$6:$W$10005,$W7670)&gt;0),N(U7669),N(U7669)+1))</f>
        <v/>
      </c>
      <c r="V7670" s="19">
        <f>IF($B7670="","",TEXT($B7670,"0000"))</f>
        <v/>
      </c>
      <c r="W7670" s="19">
        <f>IF($I7670="","",IF(ISNUMBER($I7670),TEXT($I7670,"0"),$I7670))</f>
        <v/>
      </c>
    </row>
    <row r="7671">
      <c r="B7671" s="25" t="n"/>
      <c r="I7671" s="25" t="n"/>
      <c r="U7671" s="19">
        <f>IF($V7671&lt;&gt;'設定'!$C$4,N(U7670),IF(OR(NOT(COUNTIF('商品マスタ'!$B$6:$B$1005,$W7671)=0),COUNTIFS('①在庫を貼る'!$V$6:$V$10005,$V7671,'①在庫を貼る'!$W$6:$W$10005,$W7671)&gt;0),N(U7670),N(U7670)+1))</f>
        <v/>
      </c>
      <c r="V7671" s="19">
        <f>IF($B7671="","",TEXT($B7671,"0000"))</f>
        <v/>
      </c>
      <c r="W7671" s="19">
        <f>IF($I7671="","",IF(ISNUMBER($I7671),TEXT($I7671,"0"),$I7671))</f>
        <v/>
      </c>
    </row>
    <row r="7672">
      <c r="B7672" s="25" t="n"/>
      <c r="I7672" s="25" t="n"/>
      <c r="U7672" s="19">
        <f>IF($V7672&lt;&gt;'設定'!$C$4,N(U7671),IF(OR(NOT(COUNTIF('商品マスタ'!$B$6:$B$1005,$W7672)=0),COUNTIFS('①在庫を貼る'!$V$6:$V$10005,$V7672,'①在庫を貼る'!$W$6:$W$10005,$W7672)&gt;0),N(U7671),N(U7671)+1))</f>
        <v/>
      </c>
      <c r="V7672" s="19">
        <f>IF($B7672="","",TEXT($B7672,"0000"))</f>
        <v/>
      </c>
      <c r="W7672" s="19">
        <f>IF($I7672="","",IF(ISNUMBER($I7672),TEXT($I7672,"0"),$I7672))</f>
        <v/>
      </c>
    </row>
    <row r="7673">
      <c r="B7673" s="25" t="n"/>
      <c r="I7673" s="25" t="n"/>
      <c r="U7673" s="19">
        <f>IF($V7673&lt;&gt;'設定'!$C$4,N(U7672),IF(OR(NOT(COUNTIF('商品マスタ'!$B$6:$B$1005,$W7673)=0),COUNTIFS('①在庫を貼る'!$V$6:$V$10005,$V7673,'①在庫を貼る'!$W$6:$W$10005,$W7673)&gt;0),N(U7672),N(U7672)+1))</f>
        <v/>
      </c>
      <c r="V7673" s="19">
        <f>IF($B7673="","",TEXT($B7673,"0000"))</f>
        <v/>
      </c>
      <c r="W7673" s="19">
        <f>IF($I7673="","",IF(ISNUMBER($I7673),TEXT($I7673,"0"),$I7673))</f>
        <v/>
      </c>
    </row>
    <row r="7674">
      <c r="B7674" s="25" t="n"/>
      <c r="I7674" s="25" t="n"/>
      <c r="U7674" s="19">
        <f>IF($V7674&lt;&gt;'設定'!$C$4,N(U7673),IF(OR(NOT(COUNTIF('商品マスタ'!$B$6:$B$1005,$W7674)=0),COUNTIFS('①在庫を貼る'!$V$6:$V$10005,$V7674,'①在庫を貼る'!$W$6:$W$10005,$W7674)&gt;0),N(U7673),N(U7673)+1))</f>
        <v/>
      </c>
      <c r="V7674" s="19">
        <f>IF($B7674="","",TEXT($B7674,"0000"))</f>
        <v/>
      </c>
      <c r="W7674" s="19">
        <f>IF($I7674="","",IF(ISNUMBER($I7674),TEXT($I7674,"0"),$I7674))</f>
        <v/>
      </c>
    </row>
    <row r="7675">
      <c r="B7675" s="25" t="n"/>
      <c r="I7675" s="25" t="n"/>
      <c r="U7675" s="19">
        <f>IF($V7675&lt;&gt;'設定'!$C$4,N(U7674),IF(OR(NOT(COUNTIF('商品マスタ'!$B$6:$B$1005,$W7675)=0),COUNTIFS('①在庫を貼る'!$V$6:$V$10005,$V7675,'①在庫を貼る'!$W$6:$W$10005,$W7675)&gt;0),N(U7674),N(U7674)+1))</f>
        <v/>
      </c>
      <c r="V7675" s="19">
        <f>IF($B7675="","",TEXT($B7675,"0000"))</f>
        <v/>
      </c>
      <c r="W7675" s="19">
        <f>IF($I7675="","",IF(ISNUMBER($I7675),TEXT($I7675,"0"),$I7675))</f>
        <v/>
      </c>
    </row>
    <row r="7676">
      <c r="B7676" s="25" t="n"/>
      <c r="I7676" s="25" t="n"/>
      <c r="U7676" s="19">
        <f>IF($V7676&lt;&gt;'設定'!$C$4,N(U7675),IF(OR(NOT(COUNTIF('商品マスタ'!$B$6:$B$1005,$W7676)=0),COUNTIFS('①在庫を貼る'!$V$6:$V$10005,$V7676,'①在庫を貼る'!$W$6:$W$10005,$W7676)&gt;0),N(U7675),N(U7675)+1))</f>
        <v/>
      </c>
      <c r="V7676" s="19">
        <f>IF($B7676="","",TEXT($B7676,"0000"))</f>
        <v/>
      </c>
      <c r="W7676" s="19">
        <f>IF($I7676="","",IF(ISNUMBER($I7676),TEXT($I7676,"0"),$I7676))</f>
        <v/>
      </c>
    </row>
    <row r="7677">
      <c r="B7677" s="25" t="n"/>
      <c r="I7677" s="25" t="n"/>
      <c r="U7677" s="19">
        <f>IF($V7677&lt;&gt;'設定'!$C$4,N(U7676),IF(OR(NOT(COUNTIF('商品マスタ'!$B$6:$B$1005,$W7677)=0),COUNTIFS('①在庫を貼る'!$V$6:$V$10005,$V7677,'①在庫を貼る'!$W$6:$W$10005,$W7677)&gt;0),N(U7676),N(U7676)+1))</f>
        <v/>
      </c>
      <c r="V7677" s="19">
        <f>IF($B7677="","",TEXT($B7677,"0000"))</f>
        <v/>
      </c>
      <c r="W7677" s="19">
        <f>IF($I7677="","",IF(ISNUMBER($I7677),TEXT($I7677,"0"),$I7677))</f>
        <v/>
      </c>
    </row>
    <row r="7678">
      <c r="B7678" s="25" t="n"/>
      <c r="I7678" s="25" t="n"/>
      <c r="U7678" s="19">
        <f>IF($V7678&lt;&gt;'設定'!$C$4,N(U7677),IF(OR(NOT(COUNTIF('商品マスタ'!$B$6:$B$1005,$W7678)=0),COUNTIFS('①在庫を貼る'!$V$6:$V$10005,$V7678,'①在庫を貼る'!$W$6:$W$10005,$W7678)&gt;0),N(U7677),N(U7677)+1))</f>
        <v/>
      </c>
      <c r="V7678" s="19">
        <f>IF($B7678="","",TEXT($B7678,"0000"))</f>
        <v/>
      </c>
      <c r="W7678" s="19">
        <f>IF($I7678="","",IF(ISNUMBER($I7678),TEXT($I7678,"0"),$I7678))</f>
        <v/>
      </c>
    </row>
    <row r="7679">
      <c r="B7679" s="25" t="n"/>
      <c r="I7679" s="25" t="n"/>
      <c r="U7679" s="19">
        <f>IF($V7679&lt;&gt;'設定'!$C$4,N(U7678),IF(OR(NOT(COUNTIF('商品マスタ'!$B$6:$B$1005,$W7679)=0),COUNTIFS('①在庫を貼る'!$V$6:$V$10005,$V7679,'①在庫を貼る'!$W$6:$W$10005,$W7679)&gt;0),N(U7678),N(U7678)+1))</f>
        <v/>
      </c>
      <c r="V7679" s="19">
        <f>IF($B7679="","",TEXT($B7679,"0000"))</f>
        <v/>
      </c>
      <c r="W7679" s="19">
        <f>IF($I7679="","",IF(ISNUMBER($I7679),TEXT($I7679,"0"),$I7679))</f>
        <v/>
      </c>
    </row>
    <row r="7680">
      <c r="B7680" s="25" t="n"/>
      <c r="I7680" s="25" t="n"/>
      <c r="U7680" s="19">
        <f>IF($V7680&lt;&gt;'設定'!$C$4,N(U7679),IF(OR(NOT(COUNTIF('商品マスタ'!$B$6:$B$1005,$W7680)=0),COUNTIFS('①在庫を貼る'!$V$6:$V$10005,$V7680,'①在庫を貼る'!$W$6:$W$10005,$W7680)&gt;0),N(U7679),N(U7679)+1))</f>
        <v/>
      </c>
      <c r="V7680" s="19">
        <f>IF($B7680="","",TEXT($B7680,"0000"))</f>
        <v/>
      </c>
      <c r="W7680" s="19">
        <f>IF($I7680="","",IF(ISNUMBER($I7680),TEXT($I7680,"0"),$I7680))</f>
        <v/>
      </c>
    </row>
    <row r="7681">
      <c r="B7681" s="25" t="n"/>
      <c r="I7681" s="25" t="n"/>
      <c r="U7681" s="19">
        <f>IF($V7681&lt;&gt;'設定'!$C$4,N(U7680),IF(OR(NOT(COUNTIF('商品マスタ'!$B$6:$B$1005,$W7681)=0),COUNTIFS('①在庫を貼る'!$V$6:$V$10005,$V7681,'①在庫を貼る'!$W$6:$W$10005,$W7681)&gt;0),N(U7680),N(U7680)+1))</f>
        <v/>
      </c>
      <c r="V7681" s="19">
        <f>IF($B7681="","",TEXT($B7681,"0000"))</f>
        <v/>
      </c>
      <c r="W7681" s="19">
        <f>IF($I7681="","",IF(ISNUMBER($I7681),TEXT($I7681,"0"),$I7681))</f>
        <v/>
      </c>
    </row>
    <row r="7682">
      <c r="B7682" s="25" t="n"/>
      <c r="I7682" s="25" t="n"/>
      <c r="U7682" s="19">
        <f>IF($V7682&lt;&gt;'設定'!$C$4,N(U7681),IF(OR(NOT(COUNTIF('商品マスタ'!$B$6:$B$1005,$W7682)=0),COUNTIFS('①在庫を貼る'!$V$6:$V$10005,$V7682,'①在庫を貼る'!$W$6:$W$10005,$W7682)&gt;0),N(U7681),N(U7681)+1))</f>
        <v/>
      </c>
      <c r="V7682" s="19">
        <f>IF($B7682="","",TEXT($B7682,"0000"))</f>
        <v/>
      </c>
      <c r="W7682" s="19">
        <f>IF($I7682="","",IF(ISNUMBER($I7682),TEXT($I7682,"0"),$I7682))</f>
        <v/>
      </c>
    </row>
    <row r="7683">
      <c r="B7683" s="25" t="n"/>
      <c r="I7683" s="25" t="n"/>
      <c r="U7683" s="19">
        <f>IF($V7683&lt;&gt;'設定'!$C$4,N(U7682),IF(OR(NOT(COUNTIF('商品マスタ'!$B$6:$B$1005,$W7683)=0),COUNTIFS('①在庫を貼る'!$V$6:$V$10005,$V7683,'①在庫を貼る'!$W$6:$W$10005,$W7683)&gt;0),N(U7682),N(U7682)+1))</f>
        <v/>
      </c>
      <c r="V7683" s="19">
        <f>IF($B7683="","",TEXT($B7683,"0000"))</f>
        <v/>
      </c>
      <c r="W7683" s="19">
        <f>IF($I7683="","",IF(ISNUMBER($I7683),TEXT($I7683,"0"),$I7683))</f>
        <v/>
      </c>
    </row>
    <row r="7684">
      <c r="B7684" s="25" t="n"/>
      <c r="I7684" s="25" t="n"/>
      <c r="U7684" s="19">
        <f>IF($V7684&lt;&gt;'設定'!$C$4,N(U7683),IF(OR(NOT(COUNTIF('商品マスタ'!$B$6:$B$1005,$W7684)=0),COUNTIFS('①在庫を貼る'!$V$6:$V$10005,$V7684,'①在庫を貼る'!$W$6:$W$10005,$W7684)&gt;0),N(U7683),N(U7683)+1))</f>
        <v/>
      </c>
      <c r="V7684" s="19">
        <f>IF($B7684="","",TEXT($B7684,"0000"))</f>
        <v/>
      </c>
      <c r="W7684" s="19">
        <f>IF($I7684="","",IF(ISNUMBER($I7684),TEXT($I7684,"0"),$I7684))</f>
        <v/>
      </c>
    </row>
    <row r="7685">
      <c r="B7685" s="25" t="n"/>
      <c r="I7685" s="25" t="n"/>
      <c r="U7685" s="19">
        <f>IF($V7685&lt;&gt;'設定'!$C$4,N(U7684),IF(OR(NOT(COUNTIF('商品マスタ'!$B$6:$B$1005,$W7685)=0),COUNTIFS('①在庫を貼る'!$V$6:$V$10005,$V7685,'①在庫を貼る'!$W$6:$W$10005,$W7685)&gt;0),N(U7684),N(U7684)+1))</f>
        <v/>
      </c>
      <c r="V7685" s="19">
        <f>IF($B7685="","",TEXT($B7685,"0000"))</f>
        <v/>
      </c>
      <c r="W7685" s="19">
        <f>IF($I7685="","",IF(ISNUMBER($I7685),TEXT($I7685,"0"),$I7685))</f>
        <v/>
      </c>
    </row>
    <row r="7686">
      <c r="B7686" s="25" t="n"/>
      <c r="I7686" s="25" t="n"/>
      <c r="U7686" s="19">
        <f>IF($V7686&lt;&gt;'設定'!$C$4,N(U7685),IF(OR(NOT(COUNTIF('商品マスタ'!$B$6:$B$1005,$W7686)=0),COUNTIFS('①在庫を貼る'!$V$6:$V$10005,$V7686,'①在庫を貼る'!$W$6:$W$10005,$W7686)&gt;0),N(U7685),N(U7685)+1))</f>
        <v/>
      </c>
      <c r="V7686" s="19">
        <f>IF($B7686="","",TEXT($B7686,"0000"))</f>
        <v/>
      </c>
      <c r="W7686" s="19">
        <f>IF($I7686="","",IF(ISNUMBER($I7686),TEXT($I7686,"0"),$I7686))</f>
        <v/>
      </c>
    </row>
    <row r="7687">
      <c r="B7687" s="25" t="n"/>
      <c r="I7687" s="25" t="n"/>
      <c r="U7687" s="19">
        <f>IF($V7687&lt;&gt;'設定'!$C$4,N(U7686),IF(OR(NOT(COUNTIF('商品マスタ'!$B$6:$B$1005,$W7687)=0),COUNTIFS('①在庫を貼る'!$V$6:$V$10005,$V7687,'①在庫を貼る'!$W$6:$W$10005,$W7687)&gt;0),N(U7686),N(U7686)+1))</f>
        <v/>
      </c>
      <c r="V7687" s="19">
        <f>IF($B7687="","",TEXT($B7687,"0000"))</f>
        <v/>
      </c>
      <c r="W7687" s="19">
        <f>IF($I7687="","",IF(ISNUMBER($I7687),TEXT($I7687,"0"),$I7687))</f>
        <v/>
      </c>
    </row>
    <row r="7688">
      <c r="B7688" s="25" t="n"/>
      <c r="I7688" s="25" t="n"/>
      <c r="U7688" s="19">
        <f>IF($V7688&lt;&gt;'設定'!$C$4,N(U7687),IF(OR(NOT(COUNTIF('商品マスタ'!$B$6:$B$1005,$W7688)=0),COUNTIFS('①在庫を貼る'!$V$6:$V$10005,$V7688,'①在庫を貼る'!$W$6:$W$10005,$W7688)&gt;0),N(U7687),N(U7687)+1))</f>
        <v/>
      </c>
      <c r="V7688" s="19">
        <f>IF($B7688="","",TEXT($B7688,"0000"))</f>
        <v/>
      </c>
      <c r="W7688" s="19">
        <f>IF($I7688="","",IF(ISNUMBER($I7688),TEXT($I7688,"0"),$I7688))</f>
        <v/>
      </c>
    </row>
    <row r="7689">
      <c r="B7689" s="25" t="n"/>
      <c r="I7689" s="25" t="n"/>
      <c r="U7689" s="19">
        <f>IF($V7689&lt;&gt;'設定'!$C$4,N(U7688),IF(OR(NOT(COUNTIF('商品マスタ'!$B$6:$B$1005,$W7689)=0),COUNTIFS('①在庫を貼る'!$V$6:$V$10005,$V7689,'①在庫を貼る'!$W$6:$W$10005,$W7689)&gt;0),N(U7688),N(U7688)+1))</f>
        <v/>
      </c>
      <c r="V7689" s="19">
        <f>IF($B7689="","",TEXT($B7689,"0000"))</f>
        <v/>
      </c>
      <c r="W7689" s="19">
        <f>IF($I7689="","",IF(ISNUMBER($I7689),TEXT($I7689,"0"),$I7689))</f>
        <v/>
      </c>
    </row>
    <row r="7690">
      <c r="B7690" s="25" t="n"/>
      <c r="I7690" s="25" t="n"/>
      <c r="U7690" s="19">
        <f>IF($V7690&lt;&gt;'設定'!$C$4,N(U7689),IF(OR(NOT(COUNTIF('商品マスタ'!$B$6:$B$1005,$W7690)=0),COUNTIFS('①在庫を貼る'!$V$6:$V$10005,$V7690,'①在庫を貼る'!$W$6:$W$10005,$W7690)&gt;0),N(U7689),N(U7689)+1))</f>
        <v/>
      </c>
      <c r="V7690" s="19">
        <f>IF($B7690="","",TEXT($B7690,"0000"))</f>
        <v/>
      </c>
      <c r="W7690" s="19">
        <f>IF($I7690="","",IF(ISNUMBER($I7690),TEXT($I7690,"0"),$I7690))</f>
        <v/>
      </c>
    </row>
    <row r="7691">
      <c r="B7691" s="25" t="n"/>
      <c r="I7691" s="25" t="n"/>
      <c r="U7691" s="19">
        <f>IF($V7691&lt;&gt;'設定'!$C$4,N(U7690),IF(OR(NOT(COUNTIF('商品マスタ'!$B$6:$B$1005,$W7691)=0),COUNTIFS('①在庫を貼る'!$V$6:$V$10005,$V7691,'①在庫を貼る'!$W$6:$W$10005,$W7691)&gt;0),N(U7690),N(U7690)+1))</f>
        <v/>
      </c>
      <c r="V7691" s="19">
        <f>IF($B7691="","",TEXT($B7691,"0000"))</f>
        <v/>
      </c>
      <c r="W7691" s="19">
        <f>IF($I7691="","",IF(ISNUMBER($I7691),TEXT($I7691,"0"),$I7691))</f>
        <v/>
      </c>
    </row>
    <row r="7692">
      <c r="B7692" s="25" t="n"/>
      <c r="I7692" s="25" t="n"/>
      <c r="U7692" s="19">
        <f>IF($V7692&lt;&gt;'設定'!$C$4,N(U7691),IF(OR(NOT(COUNTIF('商品マスタ'!$B$6:$B$1005,$W7692)=0),COUNTIFS('①在庫を貼る'!$V$6:$V$10005,$V7692,'①在庫を貼る'!$W$6:$W$10005,$W7692)&gt;0),N(U7691),N(U7691)+1))</f>
        <v/>
      </c>
      <c r="V7692" s="19">
        <f>IF($B7692="","",TEXT($B7692,"0000"))</f>
        <v/>
      </c>
      <c r="W7692" s="19">
        <f>IF($I7692="","",IF(ISNUMBER($I7692),TEXT($I7692,"0"),$I7692))</f>
        <v/>
      </c>
    </row>
    <row r="7693">
      <c r="B7693" s="25" t="n"/>
      <c r="I7693" s="25" t="n"/>
      <c r="U7693" s="19">
        <f>IF($V7693&lt;&gt;'設定'!$C$4,N(U7692),IF(OR(NOT(COUNTIF('商品マスタ'!$B$6:$B$1005,$W7693)=0),COUNTIFS('①在庫を貼る'!$V$6:$V$10005,$V7693,'①在庫を貼る'!$W$6:$W$10005,$W7693)&gt;0),N(U7692),N(U7692)+1))</f>
        <v/>
      </c>
      <c r="V7693" s="19">
        <f>IF($B7693="","",TEXT($B7693,"0000"))</f>
        <v/>
      </c>
      <c r="W7693" s="19">
        <f>IF($I7693="","",IF(ISNUMBER($I7693),TEXT($I7693,"0"),$I7693))</f>
        <v/>
      </c>
    </row>
    <row r="7694">
      <c r="B7694" s="25" t="n"/>
      <c r="I7694" s="25" t="n"/>
      <c r="U7694" s="19">
        <f>IF($V7694&lt;&gt;'設定'!$C$4,N(U7693),IF(OR(NOT(COUNTIF('商品マスタ'!$B$6:$B$1005,$W7694)=0),COUNTIFS('①在庫を貼る'!$V$6:$V$10005,$V7694,'①在庫を貼る'!$W$6:$W$10005,$W7694)&gt;0),N(U7693),N(U7693)+1))</f>
        <v/>
      </c>
      <c r="V7694" s="19">
        <f>IF($B7694="","",TEXT($B7694,"0000"))</f>
        <v/>
      </c>
      <c r="W7694" s="19">
        <f>IF($I7694="","",IF(ISNUMBER($I7694),TEXT($I7694,"0"),$I7694))</f>
        <v/>
      </c>
    </row>
    <row r="7695">
      <c r="B7695" s="25" t="n"/>
      <c r="I7695" s="25" t="n"/>
      <c r="U7695" s="19">
        <f>IF($V7695&lt;&gt;'設定'!$C$4,N(U7694),IF(OR(NOT(COUNTIF('商品マスタ'!$B$6:$B$1005,$W7695)=0),COUNTIFS('①在庫を貼る'!$V$6:$V$10005,$V7695,'①在庫を貼る'!$W$6:$W$10005,$W7695)&gt;0),N(U7694),N(U7694)+1))</f>
        <v/>
      </c>
      <c r="V7695" s="19">
        <f>IF($B7695="","",TEXT($B7695,"0000"))</f>
        <v/>
      </c>
      <c r="W7695" s="19">
        <f>IF($I7695="","",IF(ISNUMBER($I7695),TEXT($I7695,"0"),$I7695))</f>
        <v/>
      </c>
    </row>
    <row r="7696">
      <c r="B7696" s="25" t="n"/>
      <c r="I7696" s="25" t="n"/>
      <c r="U7696" s="19">
        <f>IF($V7696&lt;&gt;'設定'!$C$4,N(U7695),IF(OR(NOT(COUNTIF('商品マスタ'!$B$6:$B$1005,$W7696)=0),COUNTIFS('①在庫を貼る'!$V$6:$V$10005,$V7696,'①在庫を貼る'!$W$6:$W$10005,$W7696)&gt;0),N(U7695),N(U7695)+1))</f>
        <v/>
      </c>
      <c r="V7696" s="19">
        <f>IF($B7696="","",TEXT($B7696,"0000"))</f>
        <v/>
      </c>
      <c r="W7696" s="19">
        <f>IF($I7696="","",IF(ISNUMBER($I7696),TEXT($I7696,"0"),$I7696))</f>
        <v/>
      </c>
    </row>
    <row r="7697">
      <c r="B7697" s="25" t="n"/>
      <c r="I7697" s="25" t="n"/>
      <c r="U7697" s="19">
        <f>IF($V7697&lt;&gt;'設定'!$C$4,N(U7696),IF(OR(NOT(COUNTIF('商品マスタ'!$B$6:$B$1005,$W7697)=0),COUNTIFS('①在庫を貼る'!$V$6:$V$10005,$V7697,'①在庫を貼る'!$W$6:$W$10005,$W7697)&gt;0),N(U7696),N(U7696)+1))</f>
        <v/>
      </c>
      <c r="V7697" s="19">
        <f>IF($B7697="","",TEXT($B7697,"0000"))</f>
        <v/>
      </c>
      <c r="W7697" s="19">
        <f>IF($I7697="","",IF(ISNUMBER($I7697),TEXT($I7697,"0"),$I7697))</f>
        <v/>
      </c>
    </row>
    <row r="7698">
      <c r="B7698" s="25" t="n"/>
      <c r="I7698" s="25" t="n"/>
      <c r="U7698" s="19">
        <f>IF($V7698&lt;&gt;'設定'!$C$4,N(U7697),IF(OR(NOT(COUNTIF('商品マスタ'!$B$6:$B$1005,$W7698)=0),COUNTIFS('①在庫を貼る'!$V$6:$V$10005,$V7698,'①在庫を貼る'!$W$6:$W$10005,$W7698)&gt;0),N(U7697),N(U7697)+1))</f>
        <v/>
      </c>
      <c r="V7698" s="19">
        <f>IF($B7698="","",TEXT($B7698,"0000"))</f>
        <v/>
      </c>
      <c r="W7698" s="19">
        <f>IF($I7698="","",IF(ISNUMBER($I7698),TEXT($I7698,"0"),$I7698))</f>
        <v/>
      </c>
    </row>
    <row r="7699">
      <c r="B7699" s="25" t="n"/>
      <c r="I7699" s="25" t="n"/>
      <c r="U7699" s="19">
        <f>IF($V7699&lt;&gt;'設定'!$C$4,N(U7698),IF(OR(NOT(COUNTIF('商品マスタ'!$B$6:$B$1005,$W7699)=0),COUNTIFS('①在庫を貼る'!$V$6:$V$10005,$V7699,'①在庫を貼る'!$W$6:$W$10005,$W7699)&gt;0),N(U7698),N(U7698)+1))</f>
        <v/>
      </c>
      <c r="V7699" s="19">
        <f>IF($B7699="","",TEXT($B7699,"0000"))</f>
        <v/>
      </c>
      <c r="W7699" s="19">
        <f>IF($I7699="","",IF(ISNUMBER($I7699),TEXT($I7699,"0"),$I7699))</f>
        <v/>
      </c>
    </row>
    <row r="7700">
      <c r="B7700" s="25" t="n"/>
      <c r="I7700" s="25" t="n"/>
      <c r="U7700" s="19">
        <f>IF($V7700&lt;&gt;'設定'!$C$4,N(U7699),IF(OR(NOT(COUNTIF('商品マスタ'!$B$6:$B$1005,$W7700)=0),COUNTIFS('①在庫を貼る'!$V$6:$V$10005,$V7700,'①在庫を貼る'!$W$6:$W$10005,$W7700)&gt;0),N(U7699),N(U7699)+1))</f>
        <v/>
      </c>
      <c r="V7700" s="19">
        <f>IF($B7700="","",TEXT($B7700,"0000"))</f>
        <v/>
      </c>
      <c r="W7700" s="19">
        <f>IF($I7700="","",IF(ISNUMBER($I7700),TEXT($I7700,"0"),$I7700))</f>
        <v/>
      </c>
    </row>
    <row r="7701">
      <c r="B7701" s="25" t="n"/>
      <c r="I7701" s="25" t="n"/>
      <c r="U7701" s="19">
        <f>IF($V7701&lt;&gt;'設定'!$C$4,N(U7700),IF(OR(NOT(COUNTIF('商品マスタ'!$B$6:$B$1005,$W7701)=0),COUNTIFS('①在庫を貼る'!$V$6:$V$10005,$V7701,'①在庫を貼る'!$W$6:$W$10005,$W7701)&gt;0),N(U7700),N(U7700)+1))</f>
        <v/>
      </c>
      <c r="V7701" s="19">
        <f>IF($B7701="","",TEXT($B7701,"0000"))</f>
        <v/>
      </c>
      <c r="W7701" s="19">
        <f>IF($I7701="","",IF(ISNUMBER($I7701),TEXT($I7701,"0"),$I7701))</f>
        <v/>
      </c>
    </row>
    <row r="7702">
      <c r="B7702" s="25" t="n"/>
      <c r="I7702" s="25" t="n"/>
      <c r="U7702" s="19">
        <f>IF($V7702&lt;&gt;'設定'!$C$4,N(U7701),IF(OR(NOT(COUNTIF('商品マスタ'!$B$6:$B$1005,$W7702)=0),COUNTIFS('①在庫を貼る'!$V$6:$V$10005,$V7702,'①在庫を貼る'!$W$6:$W$10005,$W7702)&gt;0),N(U7701),N(U7701)+1))</f>
        <v/>
      </c>
      <c r="V7702" s="19">
        <f>IF($B7702="","",TEXT($B7702,"0000"))</f>
        <v/>
      </c>
      <c r="W7702" s="19">
        <f>IF($I7702="","",IF(ISNUMBER($I7702),TEXT($I7702,"0"),$I7702))</f>
        <v/>
      </c>
    </row>
    <row r="7703">
      <c r="B7703" s="25" t="n"/>
      <c r="I7703" s="25" t="n"/>
      <c r="U7703" s="19">
        <f>IF($V7703&lt;&gt;'設定'!$C$4,N(U7702),IF(OR(NOT(COUNTIF('商品マスタ'!$B$6:$B$1005,$W7703)=0),COUNTIFS('①在庫を貼る'!$V$6:$V$10005,$V7703,'①在庫を貼る'!$W$6:$W$10005,$W7703)&gt;0),N(U7702),N(U7702)+1))</f>
        <v/>
      </c>
      <c r="V7703" s="19">
        <f>IF($B7703="","",TEXT($B7703,"0000"))</f>
        <v/>
      </c>
      <c r="W7703" s="19">
        <f>IF($I7703="","",IF(ISNUMBER($I7703),TEXT($I7703,"0"),$I7703))</f>
        <v/>
      </c>
    </row>
    <row r="7704">
      <c r="B7704" s="25" t="n"/>
      <c r="I7704" s="25" t="n"/>
      <c r="U7704" s="19">
        <f>IF($V7704&lt;&gt;'設定'!$C$4,N(U7703),IF(OR(NOT(COUNTIF('商品マスタ'!$B$6:$B$1005,$W7704)=0),COUNTIFS('①在庫を貼る'!$V$6:$V$10005,$V7704,'①在庫を貼る'!$W$6:$W$10005,$W7704)&gt;0),N(U7703),N(U7703)+1))</f>
        <v/>
      </c>
      <c r="V7704" s="19">
        <f>IF($B7704="","",TEXT($B7704,"0000"))</f>
        <v/>
      </c>
      <c r="W7704" s="19">
        <f>IF($I7704="","",IF(ISNUMBER($I7704),TEXT($I7704,"0"),$I7704))</f>
        <v/>
      </c>
    </row>
    <row r="7705">
      <c r="B7705" s="25" t="n"/>
      <c r="I7705" s="25" t="n"/>
      <c r="U7705" s="19">
        <f>IF($V7705&lt;&gt;'設定'!$C$4,N(U7704),IF(OR(NOT(COUNTIF('商品マスタ'!$B$6:$B$1005,$W7705)=0),COUNTIFS('①在庫を貼る'!$V$6:$V$10005,$V7705,'①在庫を貼る'!$W$6:$W$10005,$W7705)&gt;0),N(U7704),N(U7704)+1))</f>
        <v/>
      </c>
      <c r="V7705" s="19">
        <f>IF($B7705="","",TEXT($B7705,"0000"))</f>
        <v/>
      </c>
      <c r="W7705" s="19">
        <f>IF($I7705="","",IF(ISNUMBER($I7705),TEXT($I7705,"0"),$I7705))</f>
        <v/>
      </c>
    </row>
    <row r="7706">
      <c r="B7706" s="25" t="n"/>
      <c r="I7706" s="25" t="n"/>
      <c r="U7706" s="19">
        <f>IF($V7706&lt;&gt;'設定'!$C$4,N(U7705),IF(OR(NOT(COUNTIF('商品マスタ'!$B$6:$B$1005,$W7706)=0),COUNTIFS('①在庫を貼る'!$V$6:$V$10005,$V7706,'①在庫を貼る'!$W$6:$W$10005,$W7706)&gt;0),N(U7705),N(U7705)+1))</f>
        <v/>
      </c>
      <c r="V7706" s="19">
        <f>IF($B7706="","",TEXT($B7706,"0000"))</f>
        <v/>
      </c>
      <c r="W7706" s="19">
        <f>IF($I7706="","",IF(ISNUMBER($I7706),TEXT($I7706,"0"),$I7706))</f>
        <v/>
      </c>
    </row>
    <row r="7707">
      <c r="B7707" s="25" t="n"/>
      <c r="I7707" s="25" t="n"/>
      <c r="U7707" s="19">
        <f>IF($V7707&lt;&gt;'設定'!$C$4,N(U7706),IF(OR(NOT(COUNTIF('商品マスタ'!$B$6:$B$1005,$W7707)=0),COUNTIFS('①在庫を貼る'!$V$6:$V$10005,$V7707,'①在庫を貼る'!$W$6:$W$10005,$W7707)&gt;0),N(U7706),N(U7706)+1))</f>
        <v/>
      </c>
      <c r="V7707" s="19">
        <f>IF($B7707="","",TEXT($B7707,"0000"))</f>
        <v/>
      </c>
      <c r="W7707" s="19">
        <f>IF($I7707="","",IF(ISNUMBER($I7707),TEXT($I7707,"0"),$I7707))</f>
        <v/>
      </c>
    </row>
    <row r="7708">
      <c r="B7708" s="25" t="n"/>
      <c r="I7708" s="25" t="n"/>
      <c r="U7708" s="19">
        <f>IF($V7708&lt;&gt;'設定'!$C$4,N(U7707),IF(OR(NOT(COUNTIF('商品マスタ'!$B$6:$B$1005,$W7708)=0),COUNTIFS('①在庫を貼る'!$V$6:$V$10005,$V7708,'①在庫を貼る'!$W$6:$W$10005,$W7708)&gt;0),N(U7707),N(U7707)+1))</f>
        <v/>
      </c>
      <c r="V7708" s="19">
        <f>IF($B7708="","",TEXT($B7708,"0000"))</f>
        <v/>
      </c>
      <c r="W7708" s="19">
        <f>IF($I7708="","",IF(ISNUMBER($I7708),TEXT($I7708,"0"),$I7708))</f>
        <v/>
      </c>
    </row>
    <row r="7709">
      <c r="B7709" s="25" t="n"/>
      <c r="I7709" s="25" t="n"/>
      <c r="U7709" s="19">
        <f>IF($V7709&lt;&gt;'設定'!$C$4,N(U7708),IF(OR(NOT(COUNTIF('商品マスタ'!$B$6:$B$1005,$W7709)=0),COUNTIFS('①在庫を貼る'!$V$6:$V$10005,$V7709,'①在庫を貼る'!$W$6:$W$10005,$W7709)&gt;0),N(U7708),N(U7708)+1))</f>
        <v/>
      </c>
      <c r="V7709" s="19">
        <f>IF($B7709="","",TEXT($B7709,"0000"))</f>
        <v/>
      </c>
      <c r="W7709" s="19">
        <f>IF($I7709="","",IF(ISNUMBER($I7709),TEXT($I7709,"0"),$I7709))</f>
        <v/>
      </c>
    </row>
    <row r="7710">
      <c r="B7710" s="25" t="n"/>
      <c r="I7710" s="25" t="n"/>
      <c r="U7710" s="19">
        <f>IF($V7710&lt;&gt;'設定'!$C$4,N(U7709),IF(OR(NOT(COUNTIF('商品マスタ'!$B$6:$B$1005,$W7710)=0),COUNTIFS('①在庫を貼る'!$V$6:$V$10005,$V7710,'①在庫を貼る'!$W$6:$W$10005,$W7710)&gt;0),N(U7709),N(U7709)+1))</f>
        <v/>
      </c>
      <c r="V7710" s="19">
        <f>IF($B7710="","",TEXT($B7710,"0000"))</f>
        <v/>
      </c>
      <c r="W7710" s="19">
        <f>IF($I7710="","",IF(ISNUMBER($I7710),TEXT($I7710,"0"),$I7710))</f>
        <v/>
      </c>
    </row>
    <row r="7711">
      <c r="B7711" s="25" t="n"/>
      <c r="I7711" s="25" t="n"/>
      <c r="U7711" s="19">
        <f>IF($V7711&lt;&gt;'設定'!$C$4,N(U7710),IF(OR(NOT(COUNTIF('商品マスタ'!$B$6:$B$1005,$W7711)=0),COUNTIFS('①在庫を貼る'!$V$6:$V$10005,$V7711,'①在庫を貼る'!$W$6:$W$10005,$W7711)&gt;0),N(U7710),N(U7710)+1))</f>
        <v/>
      </c>
      <c r="V7711" s="19">
        <f>IF($B7711="","",TEXT($B7711,"0000"))</f>
        <v/>
      </c>
      <c r="W7711" s="19">
        <f>IF($I7711="","",IF(ISNUMBER($I7711),TEXT($I7711,"0"),$I7711))</f>
        <v/>
      </c>
    </row>
    <row r="7712">
      <c r="B7712" s="25" t="n"/>
      <c r="I7712" s="25" t="n"/>
      <c r="U7712" s="19">
        <f>IF($V7712&lt;&gt;'設定'!$C$4,N(U7711),IF(OR(NOT(COUNTIF('商品マスタ'!$B$6:$B$1005,$W7712)=0),COUNTIFS('①在庫を貼る'!$V$6:$V$10005,$V7712,'①在庫を貼る'!$W$6:$W$10005,$W7712)&gt;0),N(U7711),N(U7711)+1))</f>
        <v/>
      </c>
      <c r="V7712" s="19">
        <f>IF($B7712="","",TEXT($B7712,"0000"))</f>
        <v/>
      </c>
      <c r="W7712" s="19">
        <f>IF($I7712="","",IF(ISNUMBER($I7712),TEXT($I7712,"0"),$I7712))</f>
        <v/>
      </c>
    </row>
    <row r="7713">
      <c r="B7713" s="25" t="n"/>
      <c r="I7713" s="25" t="n"/>
      <c r="U7713" s="19">
        <f>IF($V7713&lt;&gt;'設定'!$C$4,N(U7712),IF(OR(NOT(COUNTIF('商品マスタ'!$B$6:$B$1005,$W7713)=0),COUNTIFS('①在庫を貼る'!$V$6:$V$10005,$V7713,'①在庫を貼る'!$W$6:$W$10005,$W7713)&gt;0),N(U7712),N(U7712)+1))</f>
        <v/>
      </c>
      <c r="V7713" s="19">
        <f>IF($B7713="","",TEXT($B7713,"0000"))</f>
        <v/>
      </c>
      <c r="W7713" s="19">
        <f>IF($I7713="","",IF(ISNUMBER($I7713),TEXT($I7713,"0"),$I7713))</f>
        <v/>
      </c>
    </row>
    <row r="7714">
      <c r="B7714" s="25" t="n"/>
      <c r="I7714" s="25" t="n"/>
      <c r="U7714" s="19">
        <f>IF($V7714&lt;&gt;'設定'!$C$4,N(U7713),IF(OR(NOT(COUNTIF('商品マスタ'!$B$6:$B$1005,$W7714)=0),COUNTIFS('①在庫を貼る'!$V$6:$V$10005,$V7714,'①在庫を貼る'!$W$6:$W$10005,$W7714)&gt;0),N(U7713),N(U7713)+1))</f>
        <v/>
      </c>
      <c r="V7714" s="19">
        <f>IF($B7714="","",TEXT($B7714,"0000"))</f>
        <v/>
      </c>
      <c r="W7714" s="19">
        <f>IF($I7714="","",IF(ISNUMBER($I7714),TEXT($I7714,"0"),$I7714))</f>
        <v/>
      </c>
    </row>
    <row r="7715">
      <c r="B7715" s="25" t="n"/>
      <c r="I7715" s="25" t="n"/>
      <c r="U7715" s="19">
        <f>IF($V7715&lt;&gt;'設定'!$C$4,N(U7714),IF(OR(NOT(COUNTIF('商品マスタ'!$B$6:$B$1005,$W7715)=0),COUNTIFS('①在庫を貼る'!$V$6:$V$10005,$V7715,'①在庫を貼る'!$W$6:$W$10005,$W7715)&gt;0),N(U7714),N(U7714)+1))</f>
        <v/>
      </c>
      <c r="V7715" s="19">
        <f>IF($B7715="","",TEXT($B7715,"0000"))</f>
        <v/>
      </c>
      <c r="W7715" s="19">
        <f>IF($I7715="","",IF(ISNUMBER($I7715),TEXT($I7715,"0"),$I7715))</f>
        <v/>
      </c>
    </row>
    <row r="7716">
      <c r="B7716" s="25" t="n"/>
      <c r="I7716" s="25" t="n"/>
      <c r="U7716" s="19">
        <f>IF($V7716&lt;&gt;'設定'!$C$4,N(U7715),IF(OR(NOT(COUNTIF('商品マスタ'!$B$6:$B$1005,$W7716)=0),COUNTIFS('①在庫を貼る'!$V$6:$V$10005,$V7716,'①在庫を貼る'!$W$6:$W$10005,$W7716)&gt;0),N(U7715),N(U7715)+1))</f>
        <v/>
      </c>
      <c r="V7716" s="19">
        <f>IF($B7716="","",TEXT($B7716,"0000"))</f>
        <v/>
      </c>
      <c r="W7716" s="19">
        <f>IF($I7716="","",IF(ISNUMBER($I7716),TEXT($I7716,"0"),$I7716))</f>
        <v/>
      </c>
    </row>
    <row r="7717">
      <c r="B7717" s="25" t="n"/>
      <c r="I7717" s="25" t="n"/>
      <c r="U7717" s="19">
        <f>IF($V7717&lt;&gt;'設定'!$C$4,N(U7716),IF(OR(NOT(COUNTIF('商品マスタ'!$B$6:$B$1005,$W7717)=0),COUNTIFS('①在庫を貼る'!$V$6:$V$10005,$V7717,'①在庫を貼る'!$W$6:$W$10005,$W7717)&gt;0),N(U7716),N(U7716)+1))</f>
        <v/>
      </c>
      <c r="V7717" s="19">
        <f>IF($B7717="","",TEXT($B7717,"0000"))</f>
        <v/>
      </c>
      <c r="W7717" s="19">
        <f>IF($I7717="","",IF(ISNUMBER($I7717),TEXT($I7717,"0"),$I7717))</f>
        <v/>
      </c>
    </row>
    <row r="7718">
      <c r="B7718" s="25" t="n"/>
      <c r="I7718" s="25" t="n"/>
      <c r="U7718" s="19">
        <f>IF($V7718&lt;&gt;'設定'!$C$4,N(U7717),IF(OR(NOT(COUNTIF('商品マスタ'!$B$6:$B$1005,$W7718)=0),COUNTIFS('①在庫を貼る'!$V$6:$V$10005,$V7718,'①在庫を貼る'!$W$6:$W$10005,$W7718)&gt;0),N(U7717),N(U7717)+1))</f>
        <v/>
      </c>
      <c r="V7718" s="19">
        <f>IF($B7718="","",TEXT($B7718,"0000"))</f>
        <v/>
      </c>
      <c r="W7718" s="19">
        <f>IF($I7718="","",IF(ISNUMBER($I7718),TEXT($I7718,"0"),$I7718))</f>
        <v/>
      </c>
    </row>
    <row r="7719">
      <c r="B7719" s="25" t="n"/>
      <c r="I7719" s="25" t="n"/>
      <c r="U7719" s="19">
        <f>IF($V7719&lt;&gt;'設定'!$C$4,N(U7718),IF(OR(NOT(COUNTIF('商品マスタ'!$B$6:$B$1005,$W7719)=0),COUNTIFS('①在庫を貼る'!$V$6:$V$10005,$V7719,'①在庫を貼る'!$W$6:$W$10005,$W7719)&gt;0),N(U7718),N(U7718)+1))</f>
        <v/>
      </c>
      <c r="V7719" s="19">
        <f>IF($B7719="","",TEXT($B7719,"0000"))</f>
        <v/>
      </c>
      <c r="W7719" s="19">
        <f>IF($I7719="","",IF(ISNUMBER($I7719),TEXT($I7719,"0"),$I7719))</f>
        <v/>
      </c>
    </row>
    <row r="7720">
      <c r="B7720" s="25" t="n"/>
      <c r="I7720" s="25" t="n"/>
      <c r="U7720" s="19">
        <f>IF($V7720&lt;&gt;'設定'!$C$4,N(U7719),IF(OR(NOT(COUNTIF('商品マスタ'!$B$6:$B$1005,$W7720)=0),COUNTIFS('①在庫を貼る'!$V$6:$V$10005,$V7720,'①在庫を貼る'!$W$6:$W$10005,$W7720)&gt;0),N(U7719),N(U7719)+1))</f>
        <v/>
      </c>
      <c r="V7720" s="19">
        <f>IF($B7720="","",TEXT($B7720,"0000"))</f>
        <v/>
      </c>
      <c r="W7720" s="19">
        <f>IF($I7720="","",IF(ISNUMBER($I7720),TEXT($I7720,"0"),$I7720))</f>
        <v/>
      </c>
    </row>
    <row r="7721">
      <c r="B7721" s="25" t="n"/>
      <c r="I7721" s="25" t="n"/>
      <c r="U7721" s="19">
        <f>IF($V7721&lt;&gt;'設定'!$C$4,N(U7720),IF(OR(NOT(COUNTIF('商品マスタ'!$B$6:$B$1005,$W7721)=0),COUNTIFS('①在庫を貼る'!$V$6:$V$10005,$V7721,'①在庫を貼る'!$W$6:$W$10005,$W7721)&gt;0),N(U7720),N(U7720)+1))</f>
        <v/>
      </c>
      <c r="V7721" s="19">
        <f>IF($B7721="","",TEXT($B7721,"0000"))</f>
        <v/>
      </c>
      <c r="W7721" s="19">
        <f>IF($I7721="","",IF(ISNUMBER($I7721),TEXT($I7721,"0"),$I7721))</f>
        <v/>
      </c>
    </row>
    <row r="7722">
      <c r="B7722" s="25" t="n"/>
      <c r="I7722" s="25" t="n"/>
      <c r="U7722" s="19">
        <f>IF($V7722&lt;&gt;'設定'!$C$4,N(U7721),IF(OR(NOT(COUNTIF('商品マスタ'!$B$6:$B$1005,$W7722)=0),COUNTIFS('①在庫を貼る'!$V$6:$V$10005,$V7722,'①在庫を貼る'!$W$6:$W$10005,$W7722)&gt;0),N(U7721),N(U7721)+1))</f>
        <v/>
      </c>
      <c r="V7722" s="19">
        <f>IF($B7722="","",TEXT($B7722,"0000"))</f>
        <v/>
      </c>
      <c r="W7722" s="19">
        <f>IF($I7722="","",IF(ISNUMBER($I7722),TEXT($I7722,"0"),$I7722))</f>
        <v/>
      </c>
    </row>
    <row r="7723">
      <c r="B7723" s="25" t="n"/>
      <c r="I7723" s="25" t="n"/>
      <c r="U7723" s="19">
        <f>IF($V7723&lt;&gt;'設定'!$C$4,N(U7722),IF(OR(NOT(COUNTIF('商品マスタ'!$B$6:$B$1005,$W7723)=0),COUNTIFS('①在庫を貼る'!$V$6:$V$10005,$V7723,'①在庫を貼る'!$W$6:$W$10005,$W7723)&gt;0),N(U7722),N(U7722)+1))</f>
        <v/>
      </c>
      <c r="V7723" s="19">
        <f>IF($B7723="","",TEXT($B7723,"0000"))</f>
        <v/>
      </c>
      <c r="W7723" s="19">
        <f>IF($I7723="","",IF(ISNUMBER($I7723),TEXT($I7723,"0"),$I7723))</f>
        <v/>
      </c>
    </row>
    <row r="7724">
      <c r="B7724" s="25" t="n"/>
      <c r="I7724" s="25" t="n"/>
      <c r="U7724" s="19">
        <f>IF($V7724&lt;&gt;'設定'!$C$4,N(U7723),IF(OR(NOT(COUNTIF('商品マスタ'!$B$6:$B$1005,$W7724)=0),COUNTIFS('①在庫を貼る'!$V$6:$V$10005,$V7724,'①在庫を貼る'!$W$6:$W$10005,$W7724)&gt;0),N(U7723),N(U7723)+1))</f>
        <v/>
      </c>
      <c r="V7724" s="19">
        <f>IF($B7724="","",TEXT($B7724,"0000"))</f>
        <v/>
      </c>
      <c r="W7724" s="19">
        <f>IF($I7724="","",IF(ISNUMBER($I7724),TEXT($I7724,"0"),$I7724))</f>
        <v/>
      </c>
    </row>
    <row r="7725">
      <c r="B7725" s="25" t="n"/>
      <c r="I7725" s="25" t="n"/>
      <c r="U7725" s="19">
        <f>IF($V7725&lt;&gt;'設定'!$C$4,N(U7724),IF(OR(NOT(COUNTIF('商品マスタ'!$B$6:$B$1005,$W7725)=0),COUNTIFS('①在庫を貼る'!$V$6:$V$10005,$V7725,'①在庫を貼る'!$W$6:$W$10005,$W7725)&gt;0),N(U7724),N(U7724)+1))</f>
        <v/>
      </c>
      <c r="V7725" s="19">
        <f>IF($B7725="","",TEXT($B7725,"0000"))</f>
        <v/>
      </c>
      <c r="W7725" s="19">
        <f>IF($I7725="","",IF(ISNUMBER($I7725),TEXT($I7725,"0"),$I7725))</f>
        <v/>
      </c>
    </row>
    <row r="7726">
      <c r="B7726" s="25" t="n"/>
      <c r="I7726" s="25" t="n"/>
      <c r="U7726" s="19">
        <f>IF($V7726&lt;&gt;'設定'!$C$4,N(U7725),IF(OR(NOT(COUNTIF('商品マスタ'!$B$6:$B$1005,$W7726)=0),COUNTIFS('①在庫を貼る'!$V$6:$V$10005,$V7726,'①在庫を貼る'!$W$6:$W$10005,$W7726)&gt;0),N(U7725),N(U7725)+1))</f>
        <v/>
      </c>
      <c r="V7726" s="19">
        <f>IF($B7726="","",TEXT($B7726,"0000"))</f>
        <v/>
      </c>
      <c r="W7726" s="19">
        <f>IF($I7726="","",IF(ISNUMBER($I7726),TEXT($I7726,"0"),$I7726))</f>
        <v/>
      </c>
    </row>
    <row r="7727">
      <c r="B7727" s="25" t="n"/>
      <c r="I7727" s="25" t="n"/>
      <c r="U7727" s="19">
        <f>IF($V7727&lt;&gt;'設定'!$C$4,N(U7726),IF(OR(NOT(COUNTIF('商品マスタ'!$B$6:$B$1005,$W7727)=0),COUNTIFS('①在庫を貼る'!$V$6:$V$10005,$V7727,'①在庫を貼る'!$W$6:$W$10005,$W7727)&gt;0),N(U7726),N(U7726)+1))</f>
        <v/>
      </c>
      <c r="V7727" s="19">
        <f>IF($B7727="","",TEXT($B7727,"0000"))</f>
        <v/>
      </c>
      <c r="W7727" s="19">
        <f>IF($I7727="","",IF(ISNUMBER($I7727),TEXT($I7727,"0"),$I7727))</f>
        <v/>
      </c>
    </row>
    <row r="7728">
      <c r="B7728" s="25" t="n"/>
      <c r="I7728" s="25" t="n"/>
      <c r="U7728" s="19">
        <f>IF($V7728&lt;&gt;'設定'!$C$4,N(U7727),IF(OR(NOT(COUNTIF('商品マスタ'!$B$6:$B$1005,$W7728)=0),COUNTIFS('①在庫を貼る'!$V$6:$V$10005,$V7728,'①在庫を貼る'!$W$6:$W$10005,$W7728)&gt;0),N(U7727),N(U7727)+1))</f>
        <v/>
      </c>
      <c r="V7728" s="19">
        <f>IF($B7728="","",TEXT($B7728,"0000"))</f>
        <v/>
      </c>
      <c r="W7728" s="19">
        <f>IF($I7728="","",IF(ISNUMBER($I7728),TEXT($I7728,"0"),$I7728))</f>
        <v/>
      </c>
    </row>
    <row r="7729">
      <c r="B7729" s="25" t="n"/>
      <c r="I7729" s="25" t="n"/>
      <c r="U7729" s="19">
        <f>IF($V7729&lt;&gt;'設定'!$C$4,N(U7728),IF(OR(NOT(COUNTIF('商品マスタ'!$B$6:$B$1005,$W7729)=0),COUNTIFS('①在庫を貼る'!$V$6:$V$10005,$V7729,'①在庫を貼る'!$W$6:$W$10005,$W7729)&gt;0),N(U7728),N(U7728)+1))</f>
        <v/>
      </c>
      <c r="V7729" s="19">
        <f>IF($B7729="","",TEXT($B7729,"0000"))</f>
        <v/>
      </c>
      <c r="W7729" s="19">
        <f>IF($I7729="","",IF(ISNUMBER($I7729),TEXT($I7729,"0"),$I7729))</f>
        <v/>
      </c>
    </row>
    <row r="7730">
      <c r="B7730" s="25" t="n"/>
      <c r="I7730" s="25" t="n"/>
      <c r="U7730" s="19">
        <f>IF($V7730&lt;&gt;'設定'!$C$4,N(U7729),IF(OR(NOT(COUNTIF('商品マスタ'!$B$6:$B$1005,$W7730)=0),COUNTIFS('①在庫を貼る'!$V$6:$V$10005,$V7730,'①在庫を貼る'!$W$6:$W$10005,$W7730)&gt;0),N(U7729),N(U7729)+1))</f>
        <v/>
      </c>
      <c r="V7730" s="19">
        <f>IF($B7730="","",TEXT($B7730,"0000"))</f>
        <v/>
      </c>
      <c r="W7730" s="19">
        <f>IF($I7730="","",IF(ISNUMBER($I7730),TEXT($I7730,"0"),$I7730))</f>
        <v/>
      </c>
    </row>
    <row r="7731">
      <c r="B7731" s="25" t="n"/>
      <c r="I7731" s="25" t="n"/>
      <c r="U7731" s="19">
        <f>IF($V7731&lt;&gt;'設定'!$C$4,N(U7730),IF(OR(NOT(COUNTIF('商品マスタ'!$B$6:$B$1005,$W7731)=0),COUNTIFS('①在庫を貼る'!$V$6:$V$10005,$V7731,'①在庫を貼る'!$W$6:$W$10005,$W7731)&gt;0),N(U7730),N(U7730)+1))</f>
        <v/>
      </c>
      <c r="V7731" s="19">
        <f>IF($B7731="","",TEXT($B7731,"0000"))</f>
        <v/>
      </c>
      <c r="W7731" s="19">
        <f>IF($I7731="","",IF(ISNUMBER($I7731),TEXT($I7731,"0"),$I7731))</f>
        <v/>
      </c>
    </row>
    <row r="7732">
      <c r="B7732" s="25" t="n"/>
      <c r="I7732" s="25" t="n"/>
      <c r="U7732" s="19">
        <f>IF($V7732&lt;&gt;'設定'!$C$4,N(U7731),IF(OR(NOT(COUNTIF('商品マスタ'!$B$6:$B$1005,$W7732)=0),COUNTIFS('①在庫を貼る'!$V$6:$V$10005,$V7732,'①在庫を貼る'!$W$6:$W$10005,$W7732)&gt;0),N(U7731),N(U7731)+1))</f>
        <v/>
      </c>
      <c r="V7732" s="19">
        <f>IF($B7732="","",TEXT($B7732,"0000"))</f>
        <v/>
      </c>
      <c r="W7732" s="19">
        <f>IF($I7732="","",IF(ISNUMBER($I7732),TEXT($I7732,"0"),$I7732))</f>
        <v/>
      </c>
    </row>
    <row r="7733">
      <c r="B7733" s="25" t="n"/>
      <c r="I7733" s="25" t="n"/>
      <c r="U7733" s="19">
        <f>IF($V7733&lt;&gt;'設定'!$C$4,N(U7732),IF(OR(NOT(COUNTIF('商品マスタ'!$B$6:$B$1005,$W7733)=0),COUNTIFS('①在庫を貼る'!$V$6:$V$10005,$V7733,'①在庫を貼る'!$W$6:$W$10005,$W7733)&gt;0),N(U7732),N(U7732)+1))</f>
        <v/>
      </c>
      <c r="V7733" s="19">
        <f>IF($B7733="","",TEXT($B7733,"0000"))</f>
        <v/>
      </c>
      <c r="W7733" s="19">
        <f>IF($I7733="","",IF(ISNUMBER($I7733),TEXT($I7733,"0"),$I7733))</f>
        <v/>
      </c>
    </row>
    <row r="7734">
      <c r="B7734" s="25" t="n"/>
      <c r="I7734" s="25" t="n"/>
      <c r="U7734" s="19">
        <f>IF($V7734&lt;&gt;'設定'!$C$4,N(U7733),IF(OR(NOT(COUNTIF('商品マスタ'!$B$6:$B$1005,$W7734)=0),COUNTIFS('①在庫を貼る'!$V$6:$V$10005,$V7734,'①在庫を貼る'!$W$6:$W$10005,$W7734)&gt;0),N(U7733),N(U7733)+1))</f>
        <v/>
      </c>
      <c r="V7734" s="19">
        <f>IF($B7734="","",TEXT($B7734,"0000"))</f>
        <v/>
      </c>
      <c r="W7734" s="19">
        <f>IF($I7734="","",IF(ISNUMBER($I7734),TEXT($I7734,"0"),$I7734))</f>
        <v/>
      </c>
    </row>
    <row r="7735">
      <c r="B7735" s="25" t="n"/>
      <c r="I7735" s="25" t="n"/>
      <c r="U7735" s="19">
        <f>IF($V7735&lt;&gt;'設定'!$C$4,N(U7734),IF(OR(NOT(COUNTIF('商品マスタ'!$B$6:$B$1005,$W7735)=0),COUNTIFS('①在庫を貼る'!$V$6:$V$10005,$V7735,'①在庫を貼る'!$W$6:$W$10005,$W7735)&gt;0),N(U7734),N(U7734)+1))</f>
        <v/>
      </c>
      <c r="V7735" s="19">
        <f>IF($B7735="","",TEXT($B7735,"0000"))</f>
        <v/>
      </c>
      <c r="W7735" s="19">
        <f>IF($I7735="","",IF(ISNUMBER($I7735),TEXT($I7735,"0"),$I7735))</f>
        <v/>
      </c>
    </row>
    <row r="7736">
      <c r="B7736" s="25" t="n"/>
      <c r="I7736" s="25" t="n"/>
      <c r="U7736" s="19">
        <f>IF($V7736&lt;&gt;'設定'!$C$4,N(U7735),IF(OR(NOT(COUNTIF('商品マスタ'!$B$6:$B$1005,$W7736)=0),COUNTIFS('①在庫を貼る'!$V$6:$V$10005,$V7736,'①在庫を貼る'!$W$6:$W$10005,$W7736)&gt;0),N(U7735),N(U7735)+1))</f>
        <v/>
      </c>
      <c r="V7736" s="19">
        <f>IF($B7736="","",TEXT($B7736,"0000"))</f>
        <v/>
      </c>
      <c r="W7736" s="19">
        <f>IF($I7736="","",IF(ISNUMBER($I7736),TEXT($I7736,"0"),$I7736))</f>
        <v/>
      </c>
    </row>
    <row r="7737">
      <c r="B7737" s="25" t="n"/>
      <c r="I7737" s="25" t="n"/>
      <c r="U7737" s="19">
        <f>IF($V7737&lt;&gt;'設定'!$C$4,N(U7736),IF(OR(NOT(COUNTIF('商品マスタ'!$B$6:$B$1005,$W7737)=0),COUNTIFS('①在庫を貼る'!$V$6:$V$10005,$V7737,'①在庫を貼る'!$W$6:$W$10005,$W7737)&gt;0),N(U7736),N(U7736)+1))</f>
        <v/>
      </c>
      <c r="V7737" s="19">
        <f>IF($B7737="","",TEXT($B7737,"0000"))</f>
        <v/>
      </c>
      <c r="W7737" s="19">
        <f>IF($I7737="","",IF(ISNUMBER($I7737),TEXT($I7737,"0"),$I7737))</f>
        <v/>
      </c>
    </row>
    <row r="7738">
      <c r="B7738" s="25" t="n"/>
      <c r="I7738" s="25" t="n"/>
      <c r="U7738" s="19">
        <f>IF($V7738&lt;&gt;'設定'!$C$4,N(U7737),IF(OR(NOT(COUNTIF('商品マスタ'!$B$6:$B$1005,$W7738)=0),COUNTIFS('①在庫を貼る'!$V$6:$V$10005,$V7738,'①在庫を貼る'!$W$6:$W$10005,$W7738)&gt;0),N(U7737),N(U7737)+1))</f>
        <v/>
      </c>
      <c r="V7738" s="19">
        <f>IF($B7738="","",TEXT($B7738,"0000"))</f>
        <v/>
      </c>
      <c r="W7738" s="19">
        <f>IF($I7738="","",IF(ISNUMBER($I7738),TEXT($I7738,"0"),$I7738))</f>
        <v/>
      </c>
    </row>
    <row r="7739">
      <c r="B7739" s="25" t="n"/>
      <c r="I7739" s="25" t="n"/>
      <c r="U7739" s="19">
        <f>IF($V7739&lt;&gt;'設定'!$C$4,N(U7738),IF(OR(NOT(COUNTIF('商品マスタ'!$B$6:$B$1005,$W7739)=0),COUNTIFS('①在庫を貼る'!$V$6:$V$10005,$V7739,'①在庫を貼る'!$W$6:$W$10005,$W7739)&gt;0),N(U7738),N(U7738)+1))</f>
        <v/>
      </c>
      <c r="V7739" s="19">
        <f>IF($B7739="","",TEXT($B7739,"0000"))</f>
        <v/>
      </c>
      <c r="W7739" s="19">
        <f>IF($I7739="","",IF(ISNUMBER($I7739),TEXT($I7739,"0"),$I7739))</f>
        <v/>
      </c>
    </row>
    <row r="7740">
      <c r="B7740" s="25" t="n"/>
      <c r="I7740" s="25" t="n"/>
      <c r="U7740" s="19">
        <f>IF($V7740&lt;&gt;'設定'!$C$4,N(U7739),IF(OR(NOT(COUNTIF('商品マスタ'!$B$6:$B$1005,$W7740)=0),COUNTIFS('①在庫を貼る'!$V$6:$V$10005,$V7740,'①在庫を貼る'!$W$6:$W$10005,$W7740)&gt;0),N(U7739),N(U7739)+1))</f>
        <v/>
      </c>
      <c r="V7740" s="19">
        <f>IF($B7740="","",TEXT($B7740,"0000"))</f>
        <v/>
      </c>
      <c r="W7740" s="19">
        <f>IF($I7740="","",IF(ISNUMBER($I7740),TEXT($I7740,"0"),$I7740))</f>
        <v/>
      </c>
    </row>
    <row r="7741">
      <c r="B7741" s="25" t="n"/>
      <c r="I7741" s="25" t="n"/>
      <c r="U7741" s="19">
        <f>IF($V7741&lt;&gt;'設定'!$C$4,N(U7740),IF(OR(NOT(COUNTIF('商品マスタ'!$B$6:$B$1005,$W7741)=0),COUNTIFS('①在庫を貼る'!$V$6:$V$10005,$V7741,'①在庫を貼る'!$W$6:$W$10005,$W7741)&gt;0),N(U7740),N(U7740)+1))</f>
        <v/>
      </c>
      <c r="V7741" s="19">
        <f>IF($B7741="","",TEXT($B7741,"0000"))</f>
        <v/>
      </c>
      <c r="W7741" s="19">
        <f>IF($I7741="","",IF(ISNUMBER($I7741),TEXT($I7741,"0"),$I7741))</f>
        <v/>
      </c>
    </row>
    <row r="7742">
      <c r="B7742" s="25" t="n"/>
      <c r="I7742" s="25" t="n"/>
      <c r="U7742" s="19">
        <f>IF($V7742&lt;&gt;'設定'!$C$4,N(U7741),IF(OR(NOT(COUNTIF('商品マスタ'!$B$6:$B$1005,$W7742)=0),COUNTIFS('①在庫を貼る'!$V$6:$V$10005,$V7742,'①在庫を貼る'!$W$6:$W$10005,$W7742)&gt;0),N(U7741),N(U7741)+1))</f>
        <v/>
      </c>
      <c r="V7742" s="19">
        <f>IF($B7742="","",TEXT($B7742,"0000"))</f>
        <v/>
      </c>
      <c r="W7742" s="19">
        <f>IF($I7742="","",IF(ISNUMBER($I7742),TEXT($I7742,"0"),$I7742))</f>
        <v/>
      </c>
    </row>
    <row r="7743">
      <c r="B7743" s="25" t="n"/>
      <c r="I7743" s="25" t="n"/>
      <c r="U7743" s="19">
        <f>IF($V7743&lt;&gt;'設定'!$C$4,N(U7742),IF(OR(NOT(COUNTIF('商品マスタ'!$B$6:$B$1005,$W7743)=0),COUNTIFS('①在庫を貼る'!$V$6:$V$10005,$V7743,'①在庫を貼る'!$W$6:$W$10005,$W7743)&gt;0),N(U7742),N(U7742)+1))</f>
        <v/>
      </c>
      <c r="V7743" s="19">
        <f>IF($B7743="","",TEXT($B7743,"0000"))</f>
        <v/>
      </c>
      <c r="W7743" s="19">
        <f>IF($I7743="","",IF(ISNUMBER($I7743),TEXT($I7743,"0"),$I7743))</f>
        <v/>
      </c>
    </row>
    <row r="7744">
      <c r="B7744" s="25" t="n"/>
      <c r="I7744" s="25" t="n"/>
      <c r="U7744" s="19">
        <f>IF($V7744&lt;&gt;'設定'!$C$4,N(U7743),IF(OR(NOT(COUNTIF('商品マスタ'!$B$6:$B$1005,$W7744)=0),COUNTIFS('①在庫を貼る'!$V$6:$V$10005,$V7744,'①在庫を貼る'!$W$6:$W$10005,$W7744)&gt;0),N(U7743),N(U7743)+1))</f>
        <v/>
      </c>
      <c r="V7744" s="19">
        <f>IF($B7744="","",TEXT($B7744,"0000"))</f>
        <v/>
      </c>
      <c r="W7744" s="19">
        <f>IF($I7744="","",IF(ISNUMBER($I7744),TEXT($I7744,"0"),$I7744))</f>
        <v/>
      </c>
    </row>
    <row r="7745">
      <c r="B7745" s="25" t="n"/>
      <c r="I7745" s="25" t="n"/>
      <c r="U7745" s="19">
        <f>IF($V7745&lt;&gt;'設定'!$C$4,N(U7744),IF(OR(NOT(COUNTIF('商品マスタ'!$B$6:$B$1005,$W7745)=0),COUNTIFS('①在庫を貼る'!$V$6:$V$10005,$V7745,'①在庫を貼る'!$W$6:$W$10005,$W7745)&gt;0),N(U7744),N(U7744)+1))</f>
        <v/>
      </c>
      <c r="V7745" s="19">
        <f>IF($B7745="","",TEXT($B7745,"0000"))</f>
        <v/>
      </c>
      <c r="W7745" s="19">
        <f>IF($I7745="","",IF(ISNUMBER($I7745),TEXT($I7745,"0"),$I7745))</f>
        <v/>
      </c>
    </row>
    <row r="7746">
      <c r="B7746" s="25" t="n"/>
      <c r="I7746" s="25" t="n"/>
      <c r="U7746" s="19">
        <f>IF($V7746&lt;&gt;'設定'!$C$4,N(U7745),IF(OR(NOT(COUNTIF('商品マスタ'!$B$6:$B$1005,$W7746)=0),COUNTIFS('①在庫を貼る'!$V$6:$V$10005,$V7746,'①在庫を貼る'!$W$6:$W$10005,$W7746)&gt;0),N(U7745),N(U7745)+1))</f>
        <v/>
      </c>
      <c r="V7746" s="19">
        <f>IF($B7746="","",TEXT($B7746,"0000"))</f>
        <v/>
      </c>
      <c r="W7746" s="19">
        <f>IF($I7746="","",IF(ISNUMBER($I7746),TEXT($I7746,"0"),$I7746))</f>
        <v/>
      </c>
    </row>
    <row r="7747">
      <c r="B7747" s="25" t="n"/>
      <c r="I7747" s="25" t="n"/>
      <c r="U7747" s="19">
        <f>IF($V7747&lt;&gt;'設定'!$C$4,N(U7746),IF(OR(NOT(COUNTIF('商品マスタ'!$B$6:$B$1005,$W7747)=0),COUNTIFS('①在庫を貼る'!$V$6:$V$10005,$V7747,'①在庫を貼る'!$W$6:$W$10005,$W7747)&gt;0),N(U7746),N(U7746)+1))</f>
        <v/>
      </c>
      <c r="V7747" s="19">
        <f>IF($B7747="","",TEXT($B7747,"0000"))</f>
        <v/>
      </c>
      <c r="W7747" s="19">
        <f>IF($I7747="","",IF(ISNUMBER($I7747),TEXT($I7747,"0"),$I7747))</f>
        <v/>
      </c>
    </row>
    <row r="7748">
      <c r="B7748" s="25" t="n"/>
      <c r="I7748" s="25" t="n"/>
      <c r="U7748" s="19">
        <f>IF($V7748&lt;&gt;'設定'!$C$4,N(U7747),IF(OR(NOT(COUNTIF('商品マスタ'!$B$6:$B$1005,$W7748)=0),COUNTIFS('①在庫を貼る'!$V$6:$V$10005,$V7748,'①在庫を貼る'!$W$6:$W$10005,$W7748)&gt;0),N(U7747),N(U7747)+1))</f>
        <v/>
      </c>
      <c r="V7748" s="19">
        <f>IF($B7748="","",TEXT($B7748,"0000"))</f>
        <v/>
      </c>
      <c r="W7748" s="19">
        <f>IF($I7748="","",IF(ISNUMBER($I7748),TEXT($I7748,"0"),$I7748))</f>
        <v/>
      </c>
    </row>
    <row r="7749">
      <c r="B7749" s="25" t="n"/>
      <c r="I7749" s="25" t="n"/>
      <c r="U7749" s="19">
        <f>IF($V7749&lt;&gt;'設定'!$C$4,N(U7748),IF(OR(NOT(COUNTIF('商品マスタ'!$B$6:$B$1005,$W7749)=0),COUNTIFS('①在庫を貼る'!$V$6:$V$10005,$V7749,'①在庫を貼る'!$W$6:$W$10005,$W7749)&gt;0),N(U7748),N(U7748)+1))</f>
        <v/>
      </c>
      <c r="V7749" s="19">
        <f>IF($B7749="","",TEXT($B7749,"0000"))</f>
        <v/>
      </c>
      <c r="W7749" s="19">
        <f>IF($I7749="","",IF(ISNUMBER($I7749),TEXT($I7749,"0"),$I7749))</f>
        <v/>
      </c>
    </row>
    <row r="7750">
      <c r="B7750" s="25" t="n"/>
      <c r="I7750" s="25" t="n"/>
      <c r="U7750" s="19">
        <f>IF($V7750&lt;&gt;'設定'!$C$4,N(U7749),IF(OR(NOT(COUNTIF('商品マスタ'!$B$6:$B$1005,$W7750)=0),COUNTIFS('①在庫を貼る'!$V$6:$V$10005,$V7750,'①在庫を貼る'!$W$6:$W$10005,$W7750)&gt;0),N(U7749),N(U7749)+1))</f>
        <v/>
      </c>
      <c r="V7750" s="19">
        <f>IF($B7750="","",TEXT($B7750,"0000"))</f>
        <v/>
      </c>
      <c r="W7750" s="19">
        <f>IF($I7750="","",IF(ISNUMBER($I7750),TEXT($I7750,"0"),$I7750))</f>
        <v/>
      </c>
    </row>
    <row r="7751">
      <c r="B7751" s="25" t="n"/>
      <c r="I7751" s="25" t="n"/>
      <c r="U7751" s="19">
        <f>IF($V7751&lt;&gt;'設定'!$C$4,N(U7750),IF(OR(NOT(COUNTIF('商品マスタ'!$B$6:$B$1005,$W7751)=0),COUNTIFS('①在庫を貼る'!$V$6:$V$10005,$V7751,'①在庫を貼る'!$W$6:$W$10005,$W7751)&gt;0),N(U7750),N(U7750)+1))</f>
        <v/>
      </c>
      <c r="V7751" s="19">
        <f>IF($B7751="","",TEXT($B7751,"0000"))</f>
        <v/>
      </c>
      <c r="W7751" s="19">
        <f>IF($I7751="","",IF(ISNUMBER($I7751),TEXT($I7751,"0"),$I7751))</f>
        <v/>
      </c>
    </row>
    <row r="7752">
      <c r="B7752" s="25" t="n"/>
      <c r="I7752" s="25" t="n"/>
      <c r="U7752" s="19">
        <f>IF($V7752&lt;&gt;'設定'!$C$4,N(U7751),IF(OR(NOT(COUNTIF('商品マスタ'!$B$6:$B$1005,$W7752)=0),COUNTIFS('①在庫を貼る'!$V$6:$V$10005,$V7752,'①在庫を貼る'!$W$6:$W$10005,$W7752)&gt;0),N(U7751),N(U7751)+1))</f>
        <v/>
      </c>
      <c r="V7752" s="19">
        <f>IF($B7752="","",TEXT($B7752,"0000"))</f>
        <v/>
      </c>
      <c r="W7752" s="19">
        <f>IF($I7752="","",IF(ISNUMBER($I7752),TEXT($I7752,"0"),$I7752))</f>
        <v/>
      </c>
    </row>
    <row r="7753">
      <c r="B7753" s="25" t="n"/>
      <c r="I7753" s="25" t="n"/>
      <c r="U7753" s="19">
        <f>IF($V7753&lt;&gt;'設定'!$C$4,N(U7752),IF(OR(NOT(COUNTIF('商品マスタ'!$B$6:$B$1005,$W7753)=0),COUNTIFS('①在庫を貼る'!$V$6:$V$10005,$V7753,'①在庫を貼る'!$W$6:$W$10005,$W7753)&gt;0),N(U7752),N(U7752)+1))</f>
        <v/>
      </c>
      <c r="V7753" s="19">
        <f>IF($B7753="","",TEXT($B7753,"0000"))</f>
        <v/>
      </c>
      <c r="W7753" s="19">
        <f>IF($I7753="","",IF(ISNUMBER($I7753),TEXT($I7753,"0"),$I7753))</f>
        <v/>
      </c>
    </row>
    <row r="7754">
      <c r="B7754" s="25" t="n"/>
      <c r="I7754" s="25" t="n"/>
      <c r="U7754" s="19">
        <f>IF($V7754&lt;&gt;'設定'!$C$4,N(U7753),IF(OR(NOT(COUNTIF('商品マスタ'!$B$6:$B$1005,$W7754)=0),COUNTIFS('①在庫を貼る'!$V$6:$V$10005,$V7754,'①在庫を貼る'!$W$6:$W$10005,$W7754)&gt;0),N(U7753),N(U7753)+1))</f>
        <v/>
      </c>
      <c r="V7754" s="19">
        <f>IF($B7754="","",TEXT($B7754,"0000"))</f>
        <v/>
      </c>
      <c r="W7754" s="19">
        <f>IF($I7754="","",IF(ISNUMBER($I7754),TEXT($I7754,"0"),$I7754))</f>
        <v/>
      </c>
    </row>
    <row r="7755">
      <c r="B7755" s="25" t="n"/>
      <c r="I7755" s="25" t="n"/>
      <c r="U7755" s="19">
        <f>IF($V7755&lt;&gt;'設定'!$C$4,N(U7754),IF(OR(NOT(COUNTIF('商品マスタ'!$B$6:$B$1005,$W7755)=0),COUNTIFS('①在庫を貼る'!$V$6:$V$10005,$V7755,'①在庫を貼る'!$W$6:$W$10005,$W7755)&gt;0),N(U7754),N(U7754)+1))</f>
        <v/>
      </c>
      <c r="V7755" s="19">
        <f>IF($B7755="","",TEXT($B7755,"0000"))</f>
        <v/>
      </c>
      <c r="W7755" s="19">
        <f>IF($I7755="","",IF(ISNUMBER($I7755),TEXT($I7755,"0"),$I7755))</f>
        <v/>
      </c>
    </row>
    <row r="7756">
      <c r="B7756" s="25" t="n"/>
      <c r="I7756" s="25" t="n"/>
      <c r="U7756" s="19">
        <f>IF($V7756&lt;&gt;'設定'!$C$4,N(U7755),IF(OR(NOT(COUNTIF('商品マスタ'!$B$6:$B$1005,$W7756)=0),COUNTIFS('①在庫を貼る'!$V$6:$V$10005,$V7756,'①在庫を貼る'!$W$6:$W$10005,$W7756)&gt;0),N(U7755),N(U7755)+1))</f>
        <v/>
      </c>
      <c r="V7756" s="19">
        <f>IF($B7756="","",TEXT($B7756,"0000"))</f>
        <v/>
      </c>
      <c r="W7756" s="19">
        <f>IF($I7756="","",IF(ISNUMBER($I7756),TEXT($I7756,"0"),$I7756))</f>
        <v/>
      </c>
    </row>
    <row r="7757">
      <c r="B7757" s="25" t="n"/>
      <c r="I7757" s="25" t="n"/>
      <c r="U7757" s="19">
        <f>IF($V7757&lt;&gt;'設定'!$C$4,N(U7756),IF(OR(NOT(COUNTIF('商品マスタ'!$B$6:$B$1005,$W7757)=0),COUNTIFS('①在庫を貼る'!$V$6:$V$10005,$V7757,'①在庫を貼る'!$W$6:$W$10005,$W7757)&gt;0),N(U7756),N(U7756)+1))</f>
        <v/>
      </c>
      <c r="V7757" s="19">
        <f>IF($B7757="","",TEXT($B7757,"0000"))</f>
        <v/>
      </c>
      <c r="W7757" s="19">
        <f>IF($I7757="","",IF(ISNUMBER($I7757),TEXT($I7757,"0"),$I7757))</f>
        <v/>
      </c>
    </row>
    <row r="7758">
      <c r="B7758" s="25" t="n"/>
      <c r="I7758" s="25" t="n"/>
      <c r="U7758" s="19">
        <f>IF($V7758&lt;&gt;'設定'!$C$4,N(U7757),IF(OR(NOT(COUNTIF('商品マスタ'!$B$6:$B$1005,$W7758)=0),COUNTIFS('①在庫を貼る'!$V$6:$V$10005,$V7758,'①在庫を貼る'!$W$6:$W$10005,$W7758)&gt;0),N(U7757),N(U7757)+1))</f>
        <v/>
      </c>
      <c r="V7758" s="19">
        <f>IF($B7758="","",TEXT($B7758,"0000"))</f>
        <v/>
      </c>
      <c r="W7758" s="19">
        <f>IF($I7758="","",IF(ISNUMBER($I7758),TEXT($I7758,"0"),$I7758))</f>
        <v/>
      </c>
    </row>
    <row r="7759">
      <c r="B7759" s="25" t="n"/>
      <c r="I7759" s="25" t="n"/>
      <c r="U7759" s="19">
        <f>IF($V7759&lt;&gt;'設定'!$C$4,N(U7758),IF(OR(NOT(COUNTIF('商品マスタ'!$B$6:$B$1005,$W7759)=0),COUNTIFS('①在庫を貼る'!$V$6:$V$10005,$V7759,'①在庫を貼る'!$W$6:$W$10005,$W7759)&gt;0),N(U7758),N(U7758)+1))</f>
        <v/>
      </c>
      <c r="V7759" s="19">
        <f>IF($B7759="","",TEXT($B7759,"0000"))</f>
        <v/>
      </c>
      <c r="W7759" s="19">
        <f>IF($I7759="","",IF(ISNUMBER($I7759),TEXT($I7759,"0"),$I7759))</f>
        <v/>
      </c>
    </row>
    <row r="7760">
      <c r="B7760" s="25" t="n"/>
      <c r="I7760" s="25" t="n"/>
      <c r="U7760" s="19">
        <f>IF($V7760&lt;&gt;'設定'!$C$4,N(U7759),IF(OR(NOT(COUNTIF('商品マスタ'!$B$6:$B$1005,$W7760)=0),COUNTIFS('①在庫を貼る'!$V$6:$V$10005,$V7760,'①在庫を貼る'!$W$6:$W$10005,$W7760)&gt;0),N(U7759),N(U7759)+1))</f>
        <v/>
      </c>
      <c r="V7760" s="19">
        <f>IF($B7760="","",TEXT($B7760,"0000"))</f>
        <v/>
      </c>
      <c r="W7760" s="19">
        <f>IF($I7760="","",IF(ISNUMBER($I7760),TEXT($I7760,"0"),$I7760))</f>
        <v/>
      </c>
    </row>
    <row r="7761">
      <c r="B7761" s="25" t="n"/>
      <c r="I7761" s="25" t="n"/>
      <c r="U7761" s="19">
        <f>IF($V7761&lt;&gt;'設定'!$C$4,N(U7760),IF(OR(NOT(COUNTIF('商品マスタ'!$B$6:$B$1005,$W7761)=0),COUNTIFS('①在庫を貼る'!$V$6:$V$10005,$V7761,'①在庫を貼る'!$W$6:$W$10005,$W7761)&gt;0),N(U7760),N(U7760)+1))</f>
        <v/>
      </c>
      <c r="V7761" s="19">
        <f>IF($B7761="","",TEXT($B7761,"0000"))</f>
        <v/>
      </c>
      <c r="W7761" s="19">
        <f>IF($I7761="","",IF(ISNUMBER($I7761),TEXT($I7761,"0"),$I7761))</f>
        <v/>
      </c>
    </row>
    <row r="7762">
      <c r="B7762" s="25" t="n"/>
      <c r="I7762" s="25" t="n"/>
      <c r="U7762" s="19">
        <f>IF($V7762&lt;&gt;'設定'!$C$4,N(U7761),IF(OR(NOT(COUNTIF('商品マスタ'!$B$6:$B$1005,$W7762)=0),COUNTIFS('①在庫を貼る'!$V$6:$V$10005,$V7762,'①在庫を貼る'!$W$6:$W$10005,$W7762)&gt;0),N(U7761),N(U7761)+1))</f>
        <v/>
      </c>
      <c r="V7762" s="19">
        <f>IF($B7762="","",TEXT($B7762,"0000"))</f>
        <v/>
      </c>
      <c r="W7762" s="19">
        <f>IF($I7762="","",IF(ISNUMBER($I7762),TEXT($I7762,"0"),$I7762))</f>
        <v/>
      </c>
    </row>
    <row r="7763">
      <c r="B7763" s="25" t="n"/>
      <c r="I7763" s="25" t="n"/>
      <c r="U7763" s="19">
        <f>IF($V7763&lt;&gt;'設定'!$C$4,N(U7762),IF(OR(NOT(COUNTIF('商品マスタ'!$B$6:$B$1005,$W7763)=0),COUNTIFS('①在庫を貼る'!$V$6:$V$10005,$V7763,'①在庫を貼る'!$W$6:$W$10005,$W7763)&gt;0),N(U7762),N(U7762)+1))</f>
        <v/>
      </c>
      <c r="V7763" s="19">
        <f>IF($B7763="","",TEXT($B7763,"0000"))</f>
        <v/>
      </c>
      <c r="W7763" s="19">
        <f>IF($I7763="","",IF(ISNUMBER($I7763),TEXT($I7763,"0"),$I7763))</f>
        <v/>
      </c>
    </row>
    <row r="7764">
      <c r="B7764" s="25" t="n"/>
      <c r="I7764" s="25" t="n"/>
      <c r="U7764" s="19">
        <f>IF($V7764&lt;&gt;'設定'!$C$4,N(U7763),IF(OR(NOT(COUNTIF('商品マスタ'!$B$6:$B$1005,$W7764)=0),COUNTIFS('①在庫を貼る'!$V$6:$V$10005,$V7764,'①在庫を貼る'!$W$6:$W$10005,$W7764)&gt;0),N(U7763),N(U7763)+1))</f>
        <v/>
      </c>
      <c r="V7764" s="19">
        <f>IF($B7764="","",TEXT($B7764,"0000"))</f>
        <v/>
      </c>
      <c r="W7764" s="19">
        <f>IF($I7764="","",IF(ISNUMBER($I7764),TEXT($I7764,"0"),$I7764))</f>
        <v/>
      </c>
    </row>
    <row r="7765">
      <c r="B7765" s="25" t="n"/>
      <c r="I7765" s="25" t="n"/>
      <c r="U7765" s="19">
        <f>IF($V7765&lt;&gt;'設定'!$C$4,N(U7764),IF(OR(NOT(COUNTIF('商品マスタ'!$B$6:$B$1005,$W7765)=0),COUNTIFS('①在庫を貼る'!$V$6:$V$10005,$V7765,'①在庫を貼る'!$W$6:$W$10005,$W7765)&gt;0),N(U7764),N(U7764)+1))</f>
        <v/>
      </c>
      <c r="V7765" s="19">
        <f>IF($B7765="","",TEXT($B7765,"0000"))</f>
        <v/>
      </c>
      <c r="W7765" s="19">
        <f>IF($I7765="","",IF(ISNUMBER($I7765),TEXT($I7765,"0"),$I7765))</f>
        <v/>
      </c>
    </row>
    <row r="7766">
      <c r="B7766" s="25" t="n"/>
      <c r="I7766" s="25" t="n"/>
      <c r="U7766" s="19">
        <f>IF($V7766&lt;&gt;'設定'!$C$4,N(U7765),IF(OR(NOT(COUNTIF('商品マスタ'!$B$6:$B$1005,$W7766)=0),COUNTIFS('①在庫を貼る'!$V$6:$V$10005,$V7766,'①在庫を貼る'!$W$6:$W$10005,$W7766)&gt;0),N(U7765),N(U7765)+1))</f>
        <v/>
      </c>
      <c r="V7766" s="19">
        <f>IF($B7766="","",TEXT($B7766,"0000"))</f>
        <v/>
      </c>
      <c r="W7766" s="19">
        <f>IF($I7766="","",IF(ISNUMBER($I7766),TEXT($I7766,"0"),$I7766))</f>
        <v/>
      </c>
    </row>
    <row r="7767">
      <c r="B7767" s="25" t="n"/>
      <c r="I7767" s="25" t="n"/>
      <c r="U7767" s="19">
        <f>IF($V7767&lt;&gt;'設定'!$C$4,N(U7766),IF(OR(NOT(COUNTIF('商品マスタ'!$B$6:$B$1005,$W7767)=0),COUNTIFS('①在庫を貼る'!$V$6:$V$10005,$V7767,'①在庫を貼る'!$W$6:$W$10005,$W7767)&gt;0),N(U7766),N(U7766)+1))</f>
        <v/>
      </c>
      <c r="V7767" s="19">
        <f>IF($B7767="","",TEXT($B7767,"0000"))</f>
        <v/>
      </c>
      <c r="W7767" s="19">
        <f>IF($I7767="","",IF(ISNUMBER($I7767),TEXT($I7767,"0"),$I7767))</f>
        <v/>
      </c>
    </row>
    <row r="7768">
      <c r="B7768" s="25" t="n"/>
      <c r="I7768" s="25" t="n"/>
      <c r="U7768" s="19">
        <f>IF($V7768&lt;&gt;'設定'!$C$4,N(U7767),IF(OR(NOT(COUNTIF('商品マスタ'!$B$6:$B$1005,$W7768)=0),COUNTIFS('①在庫を貼る'!$V$6:$V$10005,$V7768,'①在庫を貼る'!$W$6:$W$10005,$W7768)&gt;0),N(U7767),N(U7767)+1))</f>
        <v/>
      </c>
      <c r="V7768" s="19">
        <f>IF($B7768="","",TEXT($B7768,"0000"))</f>
        <v/>
      </c>
      <c r="W7768" s="19">
        <f>IF($I7768="","",IF(ISNUMBER($I7768),TEXT($I7768,"0"),$I7768))</f>
        <v/>
      </c>
    </row>
    <row r="7769">
      <c r="B7769" s="25" t="n"/>
      <c r="I7769" s="25" t="n"/>
      <c r="U7769" s="19">
        <f>IF($V7769&lt;&gt;'設定'!$C$4,N(U7768),IF(OR(NOT(COUNTIF('商品マスタ'!$B$6:$B$1005,$W7769)=0),COUNTIFS('①在庫を貼る'!$V$6:$V$10005,$V7769,'①在庫を貼る'!$W$6:$W$10005,$W7769)&gt;0),N(U7768),N(U7768)+1))</f>
        <v/>
      </c>
      <c r="V7769" s="19">
        <f>IF($B7769="","",TEXT($B7769,"0000"))</f>
        <v/>
      </c>
      <c r="W7769" s="19">
        <f>IF($I7769="","",IF(ISNUMBER($I7769),TEXT($I7769,"0"),$I7769))</f>
        <v/>
      </c>
    </row>
    <row r="7770">
      <c r="B7770" s="25" t="n"/>
      <c r="I7770" s="25" t="n"/>
      <c r="U7770" s="19">
        <f>IF($V7770&lt;&gt;'設定'!$C$4,N(U7769),IF(OR(NOT(COUNTIF('商品マスタ'!$B$6:$B$1005,$W7770)=0),COUNTIFS('①在庫を貼る'!$V$6:$V$10005,$V7770,'①在庫を貼る'!$W$6:$W$10005,$W7770)&gt;0),N(U7769),N(U7769)+1))</f>
        <v/>
      </c>
      <c r="V7770" s="19">
        <f>IF($B7770="","",TEXT($B7770,"0000"))</f>
        <v/>
      </c>
      <c r="W7770" s="19">
        <f>IF($I7770="","",IF(ISNUMBER($I7770),TEXT($I7770,"0"),$I7770))</f>
        <v/>
      </c>
    </row>
    <row r="7771">
      <c r="B7771" s="25" t="n"/>
      <c r="I7771" s="25" t="n"/>
      <c r="U7771" s="19">
        <f>IF($V7771&lt;&gt;'設定'!$C$4,N(U7770),IF(OR(NOT(COUNTIF('商品マスタ'!$B$6:$B$1005,$W7771)=0),COUNTIFS('①在庫を貼る'!$V$6:$V$10005,$V7771,'①在庫を貼る'!$W$6:$W$10005,$W7771)&gt;0),N(U7770),N(U7770)+1))</f>
        <v/>
      </c>
      <c r="V7771" s="19">
        <f>IF($B7771="","",TEXT($B7771,"0000"))</f>
        <v/>
      </c>
      <c r="W7771" s="19">
        <f>IF($I7771="","",IF(ISNUMBER($I7771),TEXT($I7771,"0"),$I7771))</f>
        <v/>
      </c>
    </row>
    <row r="7772">
      <c r="B7772" s="25" t="n"/>
      <c r="I7772" s="25" t="n"/>
      <c r="U7772" s="19">
        <f>IF($V7772&lt;&gt;'設定'!$C$4,N(U7771),IF(OR(NOT(COUNTIF('商品マスタ'!$B$6:$B$1005,$W7772)=0),COUNTIFS('①在庫を貼る'!$V$6:$V$10005,$V7772,'①在庫を貼る'!$W$6:$W$10005,$W7772)&gt;0),N(U7771),N(U7771)+1))</f>
        <v/>
      </c>
      <c r="V7772" s="19">
        <f>IF($B7772="","",TEXT($B7772,"0000"))</f>
        <v/>
      </c>
      <c r="W7772" s="19">
        <f>IF($I7772="","",IF(ISNUMBER($I7772),TEXT($I7772,"0"),$I7772))</f>
        <v/>
      </c>
    </row>
    <row r="7773">
      <c r="B7773" s="25" t="n"/>
      <c r="I7773" s="25" t="n"/>
      <c r="U7773" s="19">
        <f>IF($V7773&lt;&gt;'設定'!$C$4,N(U7772),IF(OR(NOT(COUNTIF('商品マスタ'!$B$6:$B$1005,$W7773)=0),COUNTIFS('①在庫を貼る'!$V$6:$V$10005,$V7773,'①在庫を貼る'!$W$6:$W$10005,$W7773)&gt;0),N(U7772),N(U7772)+1))</f>
        <v/>
      </c>
      <c r="V7773" s="19">
        <f>IF($B7773="","",TEXT($B7773,"0000"))</f>
        <v/>
      </c>
      <c r="W7773" s="19">
        <f>IF($I7773="","",IF(ISNUMBER($I7773),TEXT($I7773,"0"),$I7773))</f>
        <v/>
      </c>
    </row>
    <row r="7774">
      <c r="B7774" s="25" t="n"/>
      <c r="I7774" s="25" t="n"/>
      <c r="U7774" s="19">
        <f>IF($V7774&lt;&gt;'設定'!$C$4,N(U7773),IF(OR(NOT(COUNTIF('商品マスタ'!$B$6:$B$1005,$W7774)=0),COUNTIFS('①在庫を貼る'!$V$6:$V$10005,$V7774,'①在庫を貼る'!$W$6:$W$10005,$W7774)&gt;0),N(U7773),N(U7773)+1))</f>
        <v/>
      </c>
      <c r="V7774" s="19">
        <f>IF($B7774="","",TEXT($B7774,"0000"))</f>
        <v/>
      </c>
      <c r="W7774" s="19">
        <f>IF($I7774="","",IF(ISNUMBER($I7774),TEXT($I7774,"0"),$I7774))</f>
        <v/>
      </c>
    </row>
    <row r="7775">
      <c r="B7775" s="25" t="n"/>
      <c r="I7775" s="25" t="n"/>
      <c r="U7775" s="19">
        <f>IF($V7775&lt;&gt;'設定'!$C$4,N(U7774),IF(OR(NOT(COUNTIF('商品マスタ'!$B$6:$B$1005,$W7775)=0),COUNTIFS('①在庫を貼る'!$V$6:$V$10005,$V7775,'①在庫を貼る'!$W$6:$W$10005,$W7775)&gt;0),N(U7774),N(U7774)+1))</f>
        <v/>
      </c>
      <c r="V7775" s="19">
        <f>IF($B7775="","",TEXT($B7775,"0000"))</f>
        <v/>
      </c>
      <c r="W7775" s="19">
        <f>IF($I7775="","",IF(ISNUMBER($I7775),TEXT($I7775,"0"),$I7775))</f>
        <v/>
      </c>
    </row>
    <row r="7776">
      <c r="B7776" s="25" t="n"/>
      <c r="I7776" s="25" t="n"/>
      <c r="U7776" s="19">
        <f>IF($V7776&lt;&gt;'設定'!$C$4,N(U7775),IF(OR(NOT(COUNTIF('商品マスタ'!$B$6:$B$1005,$W7776)=0),COUNTIFS('①在庫を貼る'!$V$6:$V$10005,$V7776,'①在庫を貼る'!$W$6:$W$10005,$W7776)&gt;0),N(U7775),N(U7775)+1))</f>
        <v/>
      </c>
      <c r="V7776" s="19">
        <f>IF($B7776="","",TEXT($B7776,"0000"))</f>
        <v/>
      </c>
      <c r="W7776" s="19">
        <f>IF($I7776="","",IF(ISNUMBER($I7776),TEXT($I7776,"0"),$I7776))</f>
        <v/>
      </c>
    </row>
    <row r="7777">
      <c r="B7777" s="25" t="n"/>
      <c r="I7777" s="25" t="n"/>
      <c r="U7777" s="19">
        <f>IF($V7777&lt;&gt;'設定'!$C$4,N(U7776),IF(OR(NOT(COUNTIF('商品マスタ'!$B$6:$B$1005,$W7777)=0),COUNTIFS('①在庫を貼る'!$V$6:$V$10005,$V7777,'①在庫を貼る'!$W$6:$W$10005,$W7777)&gt;0),N(U7776),N(U7776)+1))</f>
        <v/>
      </c>
      <c r="V7777" s="19">
        <f>IF($B7777="","",TEXT($B7777,"0000"))</f>
        <v/>
      </c>
      <c r="W7777" s="19">
        <f>IF($I7777="","",IF(ISNUMBER($I7777),TEXT($I7777,"0"),$I7777))</f>
        <v/>
      </c>
    </row>
    <row r="7778">
      <c r="B7778" s="25" t="n"/>
      <c r="I7778" s="25" t="n"/>
      <c r="U7778" s="19">
        <f>IF($V7778&lt;&gt;'設定'!$C$4,N(U7777),IF(OR(NOT(COUNTIF('商品マスタ'!$B$6:$B$1005,$W7778)=0),COUNTIFS('①在庫を貼る'!$V$6:$V$10005,$V7778,'①在庫を貼る'!$W$6:$W$10005,$W7778)&gt;0),N(U7777),N(U7777)+1))</f>
        <v/>
      </c>
      <c r="V7778" s="19">
        <f>IF($B7778="","",TEXT($B7778,"0000"))</f>
        <v/>
      </c>
      <c r="W7778" s="19">
        <f>IF($I7778="","",IF(ISNUMBER($I7778),TEXT($I7778,"0"),$I7778))</f>
        <v/>
      </c>
    </row>
    <row r="7779">
      <c r="B7779" s="25" t="n"/>
      <c r="I7779" s="25" t="n"/>
      <c r="U7779" s="19">
        <f>IF($V7779&lt;&gt;'設定'!$C$4,N(U7778),IF(OR(NOT(COUNTIF('商品マスタ'!$B$6:$B$1005,$W7779)=0),COUNTIFS('①在庫を貼る'!$V$6:$V$10005,$V7779,'①在庫を貼る'!$W$6:$W$10005,$W7779)&gt;0),N(U7778),N(U7778)+1))</f>
        <v/>
      </c>
      <c r="V7779" s="19">
        <f>IF($B7779="","",TEXT($B7779,"0000"))</f>
        <v/>
      </c>
      <c r="W7779" s="19">
        <f>IF($I7779="","",IF(ISNUMBER($I7779),TEXT($I7779,"0"),$I7779))</f>
        <v/>
      </c>
    </row>
    <row r="7780">
      <c r="B7780" s="25" t="n"/>
      <c r="I7780" s="25" t="n"/>
      <c r="U7780" s="19">
        <f>IF($V7780&lt;&gt;'設定'!$C$4,N(U7779),IF(OR(NOT(COUNTIF('商品マスタ'!$B$6:$B$1005,$W7780)=0),COUNTIFS('①在庫を貼る'!$V$6:$V$10005,$V7780,'①在庫を貼る'!$W$6:$W$10005,$W7780)&gt;0),N(U7779),N(U7779)+1))</f>
        <v/>
      </c>
      <c r="V7780" s="19">
        <f>IF($B7780="","",TEXT($B7780,"0000"))</f>
        <v/>
      </c>
      <c r="W7780" s="19">
        <f>IF($I7780="","",IF(ISNUMBER($I7780),TEXT($I7780,"0"),$I7780))</f>
        <v/>
      </c>
    </row>
    <row r="7781">
      <c r="B7781" s="25" t="n"/>
      <c r="I7781" s="25" t="n"/>
      <c r="U7781" s="19">
        <f>IF($V7781&lt;&gt;'設定'!$C$4,N(U7780),IF(OR(NOT(COUNTIF('商品マスタ'!$B$6:$B$1005,$W7781)=0),COUNTIFS('①在庫を貼る'!$V$6:$V$10005,$V7781,'①在庫を貼る'!$W$6:$W$10005,$W7781)&gt;0),N(U7780),N(U7780)+1))</f>
        <v/>
      </c>
      <c r="V7781" s="19">
        <f>IF($B7781="","",TEXT($B7781,"0000"))</f>
        <v/>
      </c>
      <c r="W7781" s="19">
        <f>IF($I7781="","",IF(ISNUMBER($I7781),TEXT($I7781,"0"),$I7781))</f>
        <v/>
      </c>
    </row>
    <row r="7782">
      <c r="B7782" s="25" t="n"/>
      <c r="I7782" s="25" t="n"/>
      <c r="U7782" s="19">
        <f>IF($V7782&lt;&gt;'設定'!$C$4,N(U7781),IF(OR(NOT(COUNTIF('商品マスタ'!$B$6:$B$1005,$W7782)=0),COUNTIFS('①在庫を貼る'!$V$6:$V$10005,$V7782,'①在庫を貼る'!$W$6:$W$10005,$W7782)&gt;0),N(U7781),N(U7781)+1))</f>
        <v/>
      </c>
      <c r="V7782" s="19">
        <f>IF($B7782="","",TEXT($B7782,"0000"))</f>
        <v/>
      </c>
      <c r="W7782" s="19">
        <f>IF($I7782="","",IF(ISNUMBER($I7782),TEXT($I7782,"0"),$I7782))</f>
        <v/>
      </c>
    </row>
    <row r="7783">
      <c r="B7783" s="25" t="n"/>
      <c r="I7783" s="25" t="n"/>
      <c r="U7783" s="19">
        <f>IF($V7783&lt;&gt;'設定'!$C$4,N(U7782),IF(OR(NOT(COUNTIF('商品マスタ'!$B$6:$B$1005,$W7783)=0),COUNTIFS('①在庫を貼る'!$V$6:$V$10005,$V7783,'①在庫を貼る'!$W$6:$W$10005,$W7783)&gt;0),N(U7782),N(U7782)+1))</f>
        <v/>
      </c>
      <c r="V7783" s="19">
        <f>IF($B7783="","",TEXT($B7783,"0000"))</f>
        <v/>
      </c>
      <c r="W7783" s="19">
        <f>IF($I7783="","",IF(ISNUMBER($I7783),TEXT($I7783,"0"),$I7783))</f>
        <v/>
      </c>
    </row>
    <row r="7784">
      <c r="B7784" s="25" t="n"/>
      <c r="I7784" s="25" t="n"/>
      <c r="U7784" s="19">
        <f>IF($V7784&lt;&gt;'設定'!$C$4,N(U7783),IF(OR(NOT(COUNTIF('商品マスタ'!$B$6:$B$1005,$W7784)=0),COUNTIFS('①在庫を貼る'!$V$6:$V$10005,$V7784,'①在庫を貼る'!$W$6:$W$10005,$W7784)&gt;0),N(U7783),N(U7783)+1))</f>
        <v/>
      </c>
      <c r="V7784" s="19">
        <f>IF($B7784="","",TEXT($B7784,"0000"))</f>
        <v/>
      </c>
      <c r="W7784" s="19">
        <f>IF($I7784="","",IF(ISNUMBER($I7784),TEXT($I7784,"0"),$I7784))</f>
        <v/>
      </c>
    </row>
    <row r="7785">
      <c r="B7785" s="25" t="n"/>
      <c r="I7785" s="25" t="n"/>
      <c r="U7785" s="19">
        <f>IF($V7785&lt;&gt;'設定'!$C$4,N(U7784),IF(OR(NOT(COUNTIF('商品マスタ'!$B$6:$B$1005,$W7785)=0),COUNTIFS('①在庫を貼る'!$V$6:$V$10005,$V7785,'①在庫を貼る'!$W$6:$W$10005,$W7785)&gt;0),N(U7784),N(U7784)+1))</f>
        <v/>
      </c>
      <c r="V7785" s="19">
        <f>IF($B7785="","",TEXT($B7785,"0000"))</f>
        <v/>
      </c>
      <c r="W7785" s="19">
        <f>IF($I7785="","",IF(ISNUMBER($I7785),TEXT($I7785,"0"),$I7785))</f>
        <v/>
      </c>
    </row>
    <row r="7786">
      <c r="B7786" s="25" t="n"/>
      <c r="I7786" s="25" t="n"/>
      <c r="U7786" s="19">
        <f>IF($V7786&lt;&gt;'設定'!$C$4,N(U7785),IF(OR(NOT(COUNTIF('商品マスタ'!$B$6:$B$1005,$W7786)=0),COUNTIFS('①在庫を貼る'!$V$6:$V$10005,$V7786,'①在庫を貼る'!$W$6:$W$10005,$W7786)&gt;0),N(U7785),N(U7785)+1))</f>
        <v/>
      </c>
      <c r="V7786" s="19">
        <f>IF($B7786="","",TEXT($B7786,"0000"))</f>
        <v/>
      </c>
      <c r="W7786" s="19">
        <f>IF($I7786="","",IF(ISNUMBER($I7786),TEXT($I7786,"0"),$I7786))</f>
        <v/>
      </c>
    </row>
    <row r="7787">
      <c r="B7787" s="25" t="n"/>
      <c r="I7787" s="25" t="n"/>
      <c r="U7787" s="19">
        <f>IF($V7787&lt;&gt;'設定'!$C$4,N(U7786),IF(OR(NOT(COUNTIF('商品マスタ'!$B$6:$B$1005,$W7787)=0),COUNTIFS('①在庫を貼る'!$V$6:$V$10005,$V7787,'①在庫を貼る'!$W$6:$W$10005,$W7787)&gt;0),N(U7786),N(U7786)+1))</f>
        <v/>
      </c>
      <c r="V7787" s="19">
        <f>IF($B7787="","",TEXT($B7787,"0000"))</f>
        <v/>
      </c>
      <c r="W7787" s="19">
        <f>IF($I7787="","",IF(ISNUMBER($I7787),TEXT($I7787,"0"),$I7787))</f>
        <v/>
      </c>
    </row>
    <row r="7788">
      <c r="B7788" s="25" t="n"/>
      <c r="I7788" s="25" t="n"/>
      <c r="U7788" s="19">
        <f>IF($V7788&lt;&gt;'設定'!$C$4,N(U7787),IF(OR(NOT(COUNTIF('商品マスタ'!$B$6:$B$1005,$W7788)=0),COUNTIFS('①在庫を貼る'!$V$6:$V$10005,$V7788,'①在庫を貼る'!$W$6:$W$10005,$W7788)&gt;0),N(U7787),N(U7787)+1))</f>
        <v/>
      </c>
      <c r="V7788" s="19">
        <f>IF($B7788="","",TEXT($B7788,"0000"))</f>
        <v/>
      </c>
      <c r="W7788" s="19">
        <f>IF($I7788="","",IF(ISNUMBER($I7788),TEXT($I7788,"0"),$I7788))</f>
        <v/>
      </c>
    </row>
    <row r="7789">
      <c r="B7789" s="25" t="n"/>
      <c r="I7789" s="25" t="n"/>
      <c r="U7789" s="19">
        <f>IF($V7789&lt;&gt;'設定'!$C$4,N(U7788),IF(OR(NOT(COUNTIF('商品マスタ'!$B$6:$B$1005,$W7789)=0),COUNTIFS('①在庫を貼る'!$V$6:$V$10005,$V7789,'①在庫を貼る'!$W$6:$W$10005,$W7789)&gt;0),N(U7788),N(U7788)+1))</f>
        <v/>
      </c>
      <c r="V7789" s="19">
        <f>IF($B7789="","",TEXT($B7789,"0000"))</f>
        <v/>
      </c>
      <c r="W7789" s="19">
        <f>IF($I7789="","",IF(ISNUMBER($I7789),TEXT($I7789,"0"),$I7789))</f>
        <v/>
      </c>
    </row>
    <row r="7790">
      <c r="B7790" s="25" t="n"/>
      <c r="I7790" s="25" t="n"/>
      <c r="U7790" s="19">
        <f>IF($V7790&lt;&gt;'設定'!$C$4,N(U7789),IF(OR(NOT(COUNTIF('商品マスタ'!$B$6:$B$1005,$W7790)=0),COUNTIFS('①在庫を貼る'!$V$6:$V$10005,$V7790,'①在庫を貼る'!$W$6:$W$10005,$W7790)&gt;0),N(U7789),N(U7789)+1))</f>
        <v/>
      </c>
      <c r="V7790" s="19">
        <f>IF($B7790="","",TEXT($B7790,"0000"))</f>
        <v/>
      </c>
      <c r="W7790" s="19">
        <f>IF($I7790="","",IF(ISNUMBER($I7790),TEXT($I7790,"0"),$I7790))</f>
        <v/>
      </c>
    </row>
    <row r="7791">
      <c r="B7791" s="25" t="n"/>
      <c r="I7791" s="25" t="n"/>
      <c r="U7791" s="19">
        <f>IF($V7791&lt;&gt;'設定'!$C$4,N(U7790),IF(OR(NOT(COUNTIF('商品マスタ'!$B$6:$B$1005,$W7791)=0),COUNTIFS('①在庫を貼る'!$V$6:$V$10005,$V7791,'①在庫を貼る'!$W$6:$W$10005,$W7791)&gt;0),N(U7790),N(U7790)+1))</f>
        <v/>
      </c>
      <c r="V7791" s="19">
        <f>IF($B7791="","",TEXT($B7791,"0000"))</f>
        <v/>
      </c>
      <c r="W7791" s="19">
        <f>IF($I7791="","",IF(ISNUMBER($I7791),TEXT($I7791,"0"),$I7791))</f>
        <v/>
      </c>
    </row>
    <row r="7792">
      <c r="B7792" s="25" t="n"/>
      <c r="I7792" s="25" t="n"/>
      <c r="U7792" s="19">
        <f>IF($V7792&lt;&gt;'設定'!$C$4,N(U7791),IF(OR(NOT(COUNTIF('商品マスタ'!$B$6:$B$1005,$W7792)=0),COUNTIFS('①在庫を貼る'!$V$6:$V$10005,$V7792,'①在庫を貼る'!$W$6:$W$10005,$W7792)&gt;0),N(U7791),N(U7791)+1))</f>
        <v/>
      </c>
      <c r="V7792" s="19">
        <f>IF($B7792="","",TEXT($B7792,"0000"))</f>
        <v/>
      </c>
      <c r="W7792" s="19">
        <f>IF($I7792="","",IF(ISNUMBER($I7792),TEXT($I7792,"0"),$I7792))</f>
        <v/>
      </c>
    </row>
    <row r="7793">
      <c r="B7793" s="25" t="n"/>
      <c r="I7793" s="25" t="n"/>
      <c r="U7793" s="19">
        <f>IF($V7793&lt;&gt;'設定'!$C$4,N(U7792),IF(OR(NOT(COUNTIF('商品マスタ'!$B$6:$B$1005,$W7793)=0),COUNTIFS('①在庫を貼る'!$V$6:$V$10005,$V7793,'①在庫を貼る'!$W$6:$W$10005,$W7793)&gt;0),N(U7792),N(U7792)+1))</f>
        <v/>
      </c>
      <c r="V7793" s="19">
        <f>IF($B7793="","",TEXT($B7793,"0000"))</f>
        <v/>
      </c>
      <c r="W7793" s="19">
        <f>IF($I7793="","",IF(ISNUMBER($I7793),TEXT($I7793,"0"),$I7793))</f>
        <v/>
      </c>
    </row>
    <row r="7794">
      <c r="B7794" s="25" t="n"/>
      <c r="I7794" s="25" t="n"/>
      <c r="U7794" s="19">
        <f>IF($V7794&lt;&gt;'設定'!$C$4,N(U7793),IF(OR(NOT(COUNTIF('商品マスタ'!$B$6:$B$1005,$W7794)=0),COUNTIFS('①在庫を貼る'!$V$6:$V$10005,$V7794,'①在庫を貼る'!$W$6:$W$10005,$W7794)&gt;0),N(U7793),N(U7793)+1))</f>
        <v/>
      </c>
      <c r="V7794" s="19">
        <f>IF($B7794="","",TEXT($B7794,"0000"))</f>
        <v/>
      </c>
      <c r="W7794" s="19">
        <f>IF($I7794="","",IF(ISNUMBER($I7794),TEXT($I7794,"0"),$I7794))</f>
        <v/>
      </c>
    </row>
    <row r="7795">
      <c r="B7795" s="25" t="n"/>
      <c r="I7795" s="25" t="n"/>
      <c r="U7795" s="19">
        <f>IF($V7795&lt;&gt;'設定'!$C$4,N(U7794),IF(OR(NOT(COUNTIF('商品マスタ'!$B$6:$B$1005,$W7795)=0),COUNTIFS('①在庫を貼る'!$V$6:$V$10005,$V7795,'①在庫を貼る'!$W$6:$W$10005,$W7795)&gt;0),N(U7794),N(U7794)+1))</f>
        <v/>
      </c>
      <c r="V7795" s="19">
        <f>IF($B7795="","",TEXT($B7795,"0000"))</f>
        <v/>
      </c>
      <c r="W7795" s="19">
        <f>IF($I7795="","",IF(ISNUMBER($I7795),TEXT($I7795,"0"),$I7795))</f>
        <v/>
      </c>
    </row>
    <row r="7796">
      <c r="B7796" s="25" t="n"/>
      <c r="I7796" s="25" t="n"/>
      <c r="U7796" s="19">
        <f>IF($V7796&lt;&gt;'設定'!$C$4,N(U7795),IF(OR(NOT(COUNTIF('商品マスタ'!$B$6:$B$1005,$W7796)=0),COUNTIFS('①在庫を貼る'!$V$6:$V$10005,$V7796,'①在庫を貼る'!$W$6:$W$10005,$W7796)&gt;0),N(U7795),N(U7795)+1))</f>
        <v/>
      </c>
      <c r="V7796" s="19">
        <f>IF($B7796="","",TEXT($B7796,"0000"))</f>
        <v/>
      </c>
      <c r="W7796" s="19">
        <f>IF($I7796="","",IF(ISNUMBER($I7796),TEXT($I7796,"0"),$I7796))</f>
        <v/>
      </c>
    </row>
    <row r="7797">
      <c r="B7797" s="25" t="n"/>
      <c r="I7797" s="25" t="n"/>
      <c r="U7797" s="19">
        <f>IF($V7797&lt;&gt;'設定'!$C$4,N(U7796),IF(OR(NOT(COUNTIF('商品マスタ'!$B$6:$B$1005,$W7797)=0),COUNTIFS('①在庫を貼る'!$V$6:$V$10005,$V7797,'①在庫を貼る'!$W$6:$W$10005,$W7797)&gt;0),N(U7796),N(U7796)+1))</f>
        <v/>
      </c>
      <c r="V7797" s="19">
        <f>IF($B7797="","",TEXT($B7797,"0000"))</f>
        <v/>
      </c>
      <c r="W7797" s="19">
        <f>IF($I7797="","",IF(ISNUMBER($I7797),TEXT($I7797,"0"),$I7797))</f>
        <v/>
      </c>
    </row>
    <row r="7798">
      <c r="B7798" s="25" t="n"/>
      <c r="I7798" s="25" t="n"/>
      <c r="U7798" s="19">
        <f>IF($V7798&lt;&gt;'設定'!$C$4,N(U7797),IF(OR(NOT(COUNTIF('商品マスタ'!$B$6:$B$1005,$W7798)=0),COUNTIFS('①在庫を貼る'!$V$6:$V$10005,$V7798,'①在庫を貼る'!$W$6:$W$10005,$W7798)&gt;0),N(U7797),N(U7797)+1))</f>
        <v/>
      </c>
      <c r="V7798" s="19">
        <f>IF($B7798="","",TEXT($B7798,"0000"))</f>
        <v/>
      </c>
      <c r="W7798" s="19">
        <f>IF($I7798="","",IF(ISNUMBER($I7798),TEXT($I7798,"0"),$I7798))</f>
        <v/>
      </c>
    </row>
    <row r="7799">
      <c r="B7799" s="25" t="n"/>
      <c r="I7799" s="25" t="n"/>
      <c r="U7799" s="19">
        <f>IF($V7799&lt;&gt;'設定'!$C$4,N(U7798),IF(OR(NOT(COUNTIF('商品マスタ'!$B$6:$B$1005,$W7799)=0),COUNTIFS('①在庫を貼る'!$V$6:$V$10005,$V7799,'①在庫を貼る'!$W$6:$W$10005,$W7799)&gt;0),N(U7798),N(U7798)+1))</f>
        <v/>
      </c>
      <c r="V7799" s="19">
        <f>IF($B7799="","",TEXT($B7799,"0000"))</f>
        <v/>
      </c>
      <c r="W7799" s="19">
        <f>IF($I7799="","",IF(ISNUMBER($I7799),TEXT($I7799,"0"),$I7799))</f>
        <v/>
      </c>
    </row>
    <row r="7800">
      <c r="B7800" s="25" t="n"/>
      <c r="I7800" s="25" t="n"/>
      <c r="U7800" s="19">
        <f>IF($V7800&lt;&gt;'設定'!$C$4,N(U7799),IF(OR(NOT(COUNTIF('商品マスタ'!$B$6:$B$1005,$W7800)=0),COUNTIFS('①在庫を貼る'!$V$6:$V$10005,$V7800,'①在庫を貼る'!$W$6:$W$10005,$W7800)&gt;0),N(U7799),N(U7799)+1))</f>
        <v/>
      </c>
      <c r="V7800" s="19">
        <f>IF($B7800="","",TEXT($B7800,"0000"))</f>
        <v/>
      </c>
      <c r="W7800" s="19">
        <f>IF($I7800="","",IF(ISNUMBER($I7800),TEXT($I7800,"0"),$I7800))</f>
        <v/>
      </c>
    </row>
    <row r="7801">
      <c r="B7801" s="25" t="n"/>
      <c r="I7801" s="25" t="n"/>
      <c r="U7801" s="19">
        <f>IF($V7801&lt;&gt;'設定'!$C$4,N(U7800),IF(OR(NOT(COUNTIF('商品マスタ'!$B$6:$B$1005,$W7801)=0),COUNTIFS('①在庫を貼る'!$V$6:$V$10005,$V7801,'①在庫を貼る'!$W$6:$W$10005,$W7801)&gt;0),N(U7800),N(U7800)+1))</f>
        <v/>
      </c>
      <c r="V7801" s="19">
        <f>IF($B7801="","",TEXT($B7801,"0000"))</f>
        <v/>
      </c>
      <c r="W7801" s="19">
        <f>IF($I7801="","",IF(ISNUMBER($I7801),TEXT($I7801,"0"),$I7801))</f>
        <v/>
      </c>
    </row>
    <row r="7802">
      <c r="B7802" s="25" t="n"/>
      <c r="I7802" s="25" t="n"/>
      <c r="U7802" s="19">
        <f>IF($V7802&lt;&gt;'設定'!$C$4,N(U7801),IF(OR(NOT(COUNTIF('商品マスタ'!$B$6:$B$1005,$W7802)=0),COUNTIFS('①在庫を貼る'!$V$6:$V$10005,$V7802,'①在庫を貼る'!$W$6:$W$10005,$W7802)&gt;0),N(U7801),N(U7801)+1))</f>
        <v/>
      </c>
      <c r="V7802" s="19">
        <f>IF($B7802="","",TEXT($B7802,"0000"))</f>
        <v/>
      </c>
      <c r="W7802" s="19">
        <f>IF($I7802="","",IF(ISNUMBER($I7802),TEXT($I7802,"0"),$I7802))</f>
        <v/>
      </c>
    </row>
    <row r="7803">
      <c r="B7803" s="25" t="n"/>
      <c r="I7803" s="25" t="n"/>
      <c r="U7803" s="19">
        <f>IF($V7803&lt;&gt;'設定'!$C$4,N(U7802),IF(OR(NOT(COUNTIF('商品マスタ'!$B$6:$B$1005,$W7803)=0),COUNTIFS('①在庫を貼る'!$V$6:$V$10005,$V7803,'①在庫を貼る'!$W$6:$W$10005,$W7803)&gt;0),N(U7802),N(U7802)+1))</f>
        <v/>
      </c>
      <c r="V7803" s="19">
        <f>IF($B7803="","",TEXT($B7803,"0000"))</f>
        <v/>
      </c>
      <c r="W7803" s="19">
        <f>IF($I7803="","",IF(ISNUMBER($I7803),TEXT($I7803,"0"),$I7803))</f>
        <v/>
      </c>
    </row>
    <row r="7804">
      <c r="B7804" s="25" t="n"/>
      <c r="I7804" s="25" t="n"/>
      <c r="U7804" s="19">
        <f>IF($V7804&lt;&gt;'設定'!$C$4,N(U7803),IF(OR(NOT(COUNTIF('商品マスタ'!$B$6:$B$1005,$W7804)=0),COUNTIFS('①在庫を貼る'!$V$6:$V$10005,$V7804,'①在庫を貼る'!$W$6:$W$10005,$W7804)&gt;0),N(U7803),N(U7803)+1))</f>
        <v/>
      </c>
      <c r="V7804" s="19">
        <f>IF($B7804="","",TEXT($B7804,"0000"))</f>
        <v/>
      </c>
      <c r="W7804" s="19">
        <f>IF($I7804="","",IF(ISNUMBER($I7804),TEXT($I7804,"0"),$I7804))</f>
        <v/>
      </c>
    </row>
    <row r="7805">
      <c r="B7805" s="25" t="n"/>
      <c r="I7805" s="25" t="n"/>
      <c r="U7805" s="19">
        <f>IF($V7805&lt;&gt;'設定'!$C$4,N(U7804),IF(OR(NOT(COUNTIF('商品マスタ'!$B$6:$B$1005,$W7805)=0),COUNTIFS('①在庫を貼る'!$V$6:$V$10005,$V7805,'①在庫を貼る'!$W$6:$W$10005,$W7805)&gt;0),N(U7804),N(U7804)+1))</f>
        <v/>
      </c>
      <c r="V7805" s="19">
        <f>IF($B7805="","",TEXT($B7805,"0000"))</f>
        <v/>
      </c>
      <c r="W7805" s="19">
        <f>IF($I7805="","",IF(ISNUMBER($I7805),TEXT($I7805,"0"),$I7805))</f>
        <v/>
      </c>
    </row>
    <row r="7806">
      <c r="B7806" s="25" t="n"/>
      <c r="I7806" s="25" t="n"/>
      <c r="U7806" s="19">
        <f>IF($V7806&lt;&gt;'設定'!$C$4,N(U7805),IF(OR(NOT(COUNTIF('商品マスタ'!$B$6:$B$1005,$W7806)=0),COUNTIFS('①在庫を貼る'!$V$6:$V$10005,$V7806,'①在庫を貼る'!$W$6:$W$10005,$W7806)&gt;0),N(U7805),N(U7805)+1))</f>
        <v/>
      </c>
      <c r="V7806" s="19">
        <f>IF($B7806="","",TEXT($B7806,"0000"))</f>
        <v/>
      </c>
      <c r="W7806" s="19">
        <f>IF($I7806="","",IF(ISNUMBER($I7806),TEXT($I7806,"0"),$I7806))</f>
        <v/>
      </c>
    </row>
    <row r="7807">
      <c r="B7807" s="25" t="n"/>
      <c r="I7807" s="25" t="n"/>
      <c r="U7807" s="19">
        <f>IF($V7807&lt;&gt;'設定'!$C$4,N(U7806),IF(OR(NOT(COUNTIF('商品マスタ'!$B$6:$B$1005,$W7807)=0),COUNTIFS('①在庫を貼る'!$V$6:$V$10005,$V7807,'①在庫を貼る'!$W$6:$W$10005,$W7807)&gt;0),N(U7806),N(U7806)+1))</f>
        <v/>
      </c>
      <c r="V7807" s="19">
        <f>IF($B7807="","",TEXT($B7807,"0000"))</f>
        <v/>
      </c>
      <c r="W7807" s="19">
        <f>IF($I7807="","",IF(ISNUMBER($I7807),TEXT($I7807,"0"),$I7807))</f>
        <v/>
      </c>
    </row>
    <row r="7808">
      <c r="B7808" s="25" t="n"/>
      <c r="I7808" s="25" t="n"/>
      <c r="U7808" s="19">
        <f>IF($V7808&lt;&gt;'設定'!$C$4,N(U7807),IF(OR(NOT(COUNTIF('商品マスタ'!$B$6:$B$1005,$W7808)=0),COUNTIFS('①在庫を貼る'!$V$6:$V$10005,$V7808,'①在庫を貼る'!$W$6:$W$10005,$W7808)&gt;0),N(U7807),N(U7807)+1))</f>
        <v/>
      </c>
      <c r="V7808" s="19">
        <f>IF($B7808="","",TEXT($B7808,"0000"))</f>
        <v/>
      </c>
      <c r="W7808" s="19">
        <f>IF($I7808="","",IF(ISNUMBER($I7808),TEXT($I7808,"0"),$I7808))</f>
        <v/>
      </c>
    </row>
    <row r="7809">
      <c r="B7809" s="25" t="n"/>
      <c r="I7809" s="25" t="n"/>
      <c r="U7809" s="19">
        <f>IF($V7809&lt;&gt;'設定'!$C$4,N(U7808),IF(OR(NOT(COUNTIF('商品マスタ'!$B$6:$B$1005,$W7809)=0),COUNTIFS('①在庫を貼る'!$V$6:$V$10005,$V7809,'①在庫を貼る'!$W$6:$W$10005,$W7809)&gt;0),N(U7808),N(U7808)+1))</f>
        <v/>
      </c>
      <c r="V7809" s="19">
        <f>IF($B7809="","",TEXT($B7809,"0000"))</f>
        <v/>
      </c>
      <c r="W7809" s="19">
        <f>IF($I7809="","",IF(ISNUMBER($I7809),TEXT($I7809,"0"),$I7809))</f>
        <v/>
      </c>
    </row>
    <row r="7810">
      <c r="B7810" s="25" t="n"/>
      <c r="I7810" s="25" t="n"/>
      <c r="U7810" s="19">
        <f>IF($V7810&lt;&gt;'設定'!$C$4,N(U7809),IF(OR(NOT(COUNTIF('商品マスタ'!$B$6:$B$1005,$W7810)=0),COUNTIFS('①在庫を貼る'!$V$6:$V$10005,$V7810,'①在庫を貼る'!$W$6:$W$10005,$W7810)&gt;0),N(U7809),N(U7809)+1))</f>
        <v/>
      </c>
      <c r="V7810" s="19">
        <f>IF($B7810="","",TEXT($B7810,"0000"))</f>
        <v/>
      </c>
      <c r="W7810" s="19">
        <f>IF($I7810="","",IF(ISNUMBER($I7810),TEXT($I7810,"0"),$I7810))</f>
        <v/>
      </c>
    </row>
    <row r="7811">
      <c r="B7811" s="25" t="n"/>
      <c r="I7811" s="25" t="n"/>
      <c r="U7811" s="19">
        <f>IF($V7811&lt;&gt;'設定'!$C$4,N(U7810),IF(OR(NOT(COUNTIF('商品マスタ'!$B$6:$B$1005,$W7811)=0),COUNTIFS('①在庫を貼る'!$V$6:$V$10005,$V7811,'①在庫を貼る'!$W$6:$W$10005,$W7811)&gt;0),N(U7810),N(U7810)+1))</f>
        <v/>
      </c>
      <c r="V7811" s="19">
        <f>IF($B7811="","",TEXT($B7811,"0000"))</f>
        <v/>
      </c>
      <c r="W7811" s="19">
        <f>IF($I7811="","",IF(ISNUMBER($I7811),TEXT($I7811,"0"),$I7811))</f>
        <v/>
      </c>
    </row>
    <row r="7812">
      <c r="B7812" s="25" t="n"/>
      <c r="I7812" s="25" t="n"/>
      <c r="U7812" s="19">
        <f>IF($V7812&lt;&gt;'設定'!$C$4,N(U7811),IF(OR(NOT(COUNTIF('商品マスタ'!$B$6:$B$1005,$W7812)=0),COUNTIFS('①在庫を貼る'!$V$6:$V$10005,$V7812,'①在庫を貼る'!$W$6:$W$10005,$W7812)&gt;0),N(U7811),N(U7811)+1))</f>
        <v/>
      </c>
      <c r="V7812" s="19">
        <f>IF($B7812="","",TEXT($B7812,"0000"))</f>
        <v/>
      </c>
      <c r="W7812" s="19">
        <f>IF($I7812="","",IF(ISNUMBER($I7812),TEXT($I7812,"0"),$I7812))</f>
        <v/>
      </c>
    </row>
    <row r="7813">
      <c r="B7813" s="25" t="n"/>
      <c r="I7813" s="25" t="n"/>
      <c r="U7813" s="19">
        <f>IF($V7813&lt;&gt;'設定'!$C$4,N(U7812),IF(OR(NOT(COUNTIF('商品マスタ'!$B$6:$B$1005,$W7813)=0),COUNTIFS('①在庫を貼る'!$V$6:$V$10005,$V7813,'①在庫を貼る'!$W$6:$W$10005,$W7813)&gt;0),N(U7812),N(U7812)+1))</f>
        <v/>
      </c>
      <c r="V7813" s="19">
        <f>IF($B7813="","",TEXT($B7813,"0000"))</f>
        <v/>
      </c>
      <c r="W7813" s="19">
        <f>IF($I7813="","",IF(ISNUMBER($I7813),TEXT($I7813,"0"),$I7813))</f>
        <v/>
      </c>
    </row>
    <row r="7814">
      <c r="B7814" s="25" t="n"/>
      <c r="I7814" s="25" t="n"/>
      <c r="U7814" s="19">
        <f>IF($V7814&lt;&gt;'設定'!$C$4,N(U7813),IF(OR(NOT(COUNTIF('商品マスタ'!$B$6:$B$1005,$W7814)=0),COUNTIFS('①在庫を貼る'!$V$6:$V$10005,$V7814,'①在庫を貼る'!$W$6:$W$10005,$W7814)&gt;0),N(U7813),N(U7813)+1))</f>
        <v/>
      </c>
      <c r="V7814" s="19">
        <f>IF($B7814="","",TEXT($B7814,"0000"))</f>
        <v/>
      </c>
      <c r="W7814" s="19">
        <f>IF($I7814="","",IF(ISNUMBER($I7814),TEXT($I7814,"0"),$I7814))</f>
        <v/>
      </c>
    </row>
    <row r="7815">
      <c r="B7815" s="25" t="n"/>
      <c r="I7815" s="25" t="n"/>
      <c r="U7815" s="19">
        <f>IF($V7815&lt;&gt;'設定'!$C$4,N(U7814),IF(OR(NOT(COUNTIF('商品マスタ'!$B$6:$B$1005,$W7815)=0),COUNTIFS('①在庫を貼る'!$V$6:$V$10005,$V7815,'①在庫を貼る'!$W$6:$W$10005,$W7815)&gt;0),N(U7814),N(U7814)+1))</f>
        <v/>
      </c>
      <c r="V7815" s="19">
        <f>IF($B7815="","",TEXT($B7815,"0000"))</f>
        <v/>
      </c>
      <c r="W7815" s="19">
        <f>IF($I7815="","",IF(ISNUMBER($I7815),TEXT($I7815,"0"),$I7815))</f>
        <v/>
      </c>
    </row>
    <row r="7816">
      <c r="B7816" s="25" t="n"/>
      <c r="I7816" s="25" t="n"/>
      <c r="U7816" s="19">
        <f>IF($V7816&lt;&gt;'設定'!$C$4,N(U7815),IF(OR(NOT(COUNTIF('商品マスタ'!$B$6:$B$1005,$W7816)=0),COUNTIFS('①在庫を貼る'!$V$6:$V$10005,$V7816,'①在庫を貼る'!$W$6:$W$10005,$W7816)&gt;0),N(U7815),N(U7815)+1))</f>
        <v/>
      </c>
      <c r="V7816" s="19">
        <f>IF($B7816="","",TEXT($B7816,"0000"))</f>
        <v/>
      </c>
      <c r="W7816" s="19">
        <f>IF($I7816="","",IF(ISNUMBER($I7816),TEXT($I7816,"0"),$I7816))</f>
        <v/>
      </c>
    </row>
    <row r="7817">
      <c r="B7817" s="25" t="n"/>
      <c r="I7817" s="25" t="n"/>
      <c r="U7817" s="19">
        <f>IF($V7817&lt;&gt;'設定'!$C$4,N(U7816),IF(OR(NOT(COUNTIF('商品マスタ'!$B$6:$B$1005,$W7817)=0),COUNTIFS('①在庫を貼る'!$V$6:$V$10005,$V7817,'①在庫を貼る'!$W$6:$W$10005,$W7817)&gt;0),N(U7816),N(U7816)+1))</f>
        <v/>
      </c>
      <c r="V7817" s="19">
        <f>IF($B7817="","",TEXT($B7817,"0000"))</f>
        <v/>
      </c>
      <c r="W7817" s="19">
        <f>IF($I7817="","",IF(ISNUMBER($I7817),TEXT($I7817,"0"),$I7817))</f>
        <v/>
      </c>
    </row>
    <row r="7818">
      <c r="B7818" s="25" t="n"/>
      <c r="I7818" s="25" t="n"/>
      <c r="U7818" s="19">
        <f>IF($V7818&lt;&gt;'設定'!$C$4,N(U7817),IF(OR(NOT(COUNTIF('商品マスタ'!$B$6:$B$1005,$W7818)=0),COUNTIFS('①在庫を貼る'!$V$6:$V$10005,$V7818,'①在庫を貼る'!$W$6:$W$10005,$W7818)&gt;0),N(U7817),N(U7817)+1))</f>
        <v/>
      </c>
      <c r="V7818" s="19">
        <f>IF($B7818="","",TEXT($B7818,"0000"))</f>
        <v/>
      </c>
      <c r="W7818" s="19">
        <f>IF($I7818="","",IF(ISNUMBER($I7818),TEXT($I7818,"0"),$I7818))</f>
        <v/>
      </c>
    </row>
    <row r="7819">
      <c r="B7819" s="25" t="n"/>
      <c r="I7819" s="25" t="n"/>
      <c r="U7819" s="19">
        <f>IF($V7819&lt;&gt;'設定'!$C$4,N(U7818),IF(OR(NOT(COUNTIF('商品マスタ'!$B$6:$B$1005,$W7819)=0),COUNTIFS('①在庫を貼る'!$V$6:$V$10005,$V7819,'①在庫を貼る'!$W$6:$W$10005,$W7819)&gt;0),N(U7818),N(U7818)+1))</f>
        <v/>
      </c>
      <c r="V7819" s="19">
        <f>IF($B7819="","",TEXT($B7819,"0000"))</f>
        <v/>
      </c>
      <c r="W7819" s="19">
        <f>IF($I7819="","",IF(ISNUMBER($I7819),TEXT($I7819,"0"),$I7819))</f>
        <v/>
      </c>
    </row>
    <row r="7820">
      <c r="B7820" s="25" t="n"/>
      <c r="I7820" s="25" t="n"/>
      <c r="U7820" s="19">
        <f>IF($V7820&lt;&gt;'設定'!$C$4,N(U7819),IF(OR(NOT(COUNTIF('商品マスタ'!$B$6:$B$1005,$W7820)=0),COUNTIFS('①在庫を貼る'!$V$6:$V$10005,$V7820,'①在庫を貼る'!$W$6:$W$10005,$W7820)&gt;0),N(U7819),N(U7819)+1))</f>
        <v/>
      </c>
      <c r="V7820" s="19">
        <f>IF($B7820="","",TEXT($B7820,"0000"))</f>
        <v/>
      </c>
      <c r="W7820" s="19">
        <f>IF($I7820="","",IF(ISNUMBER($I7820),TEXT($I7820,"0"),$I7820))</f>
        <v/>
      </c>
    </row>
    <row r="7821">
      <c r="B7821" s="25" t="n"/>
      <c r="I7821" s="25" t="n"/>
      <c r="U7821" s="19">
        <f>IF($V7821&lt;&gt;'設定'!$C$4,N(U7820),IF(OR(NOT(COUNTIF('商品マスタ'!$B$6:$B$1005,$W7821)=0),COUNTIFS('①在庫を貼る'!$V$6:$V$10005,$V7821,'①在庫を貼る'!$W$6:$W$10005,$W7821)&gt;0),N(U7820),N(U7820)+1))</f>
        <v/>
      </c>
      <c r="V7821" s="19">
        <f>IF($B7821="","",TEXT($B7821,"0000"))</f>
        <v/>
      </c>
      <c r="W7821" s="19">
        <f>IF($I7821="","",IF(ISNUMBER($I7821),TEXT($I7821,"0"),$I7821))</f>
        <v/>
      </c>
    </row>
    <row r="7822">
      <c r="B7822" s="25" t="n"/>
      <c r="I7822" s="25" t="n"/>
      <c r="U7822" s="19">
        <f>IF($V7822&lt;&gt;'設定'!$C$4,N(U7821),IF(OR(NOT(COUNTIF('商品マスタ'!$B$6:$B$1005,$W7822)=0),COUNTIFS('①在庫を貼る'!$V$6:$V$10005,$V7822,'①在庫を貼る'!$W$6:$W$10005,$W7822)&gt;0),N(U7821),N(U7821)+1))</f>
        <v/>
      </c>
      <c r="V7822" s="19">
        <f>IF($B7822="","",TEXT($B7822,"0000"))</f>
        <v/>
      </c>
      <c r="W7822" s="19">
        <f>IF($I7822="","",IF(ISNUMBER($I7822),TEXT($I7822,"0"),$I7822))</f>
        <v/>
      </c>
    </row>
    <row r="7823">
      <c r="B7823" s="25" t="n"/>
      <c r="I7823" s="25" t="n"/>
      <c r="U7823" s="19">
        <f>IF($V7823&lt;&gt;'設定'!$C$4,N(U7822),IF(OR(NOT(COUNTIF('商品マスタ'!$B$6:$B$1005,$W7823)=0),COUNTIFS('①在庫を貼る'!$V$6:$V$10005,$V7823,'①在庫を貼る'!$W$6:$W$10005,$W7823)&gt;0),N(U7822),N(U7822)+1))</f>
        <v/>
      </c>
      <c r="V7823" s="19">
        <f>IF($B7823="","",TEXT($B7823,"0000"))</f>
        <v/>
      </c>
      <c r="W7823" s="19">
        <f>IF($I7823="","",IF(ISNUMBER($I7823),TEXT($I7823,"0"),$I7823))</f>
        <v/>
      </c>
    </row>
    <row r="7824">
      <c r="B7824" s="25" t="n"/>
      <c r="I7824" s="25" t="n"/>
      <c r="U7824" s="19">
        <f>IF($V7824&lt;&gt;'設定'!$C$4,N(U7823),IF(OR(NOT(COUNTIF('商品マスタ'!$B$6:$B$1005,$W7824)=0),COUNTIFS('①在庫を貼る'!$V$6:$V$10005,$V7824,'①在庫を貼る'!$W$6:$W$10005,$W7824)&gt;0),N(U7823),N(U7823)+1))</f>
        <v/>
      </c>
      <c r="V7824" s="19">
        <f>IF($B7824="","",TEXT($B7824,"0000"))</f>
        <v/>
      </c>
      <c r="W7824" s="19">
        <f>IF($I7824="","",IF(ISNUMBER($I7824),TEXT($I7824,"0"),$I7824))</f>
        <v/>
      </c>
    </row>
    <row r="7825">
      <c r="B7825" s="25" t="n"/>
      <c r="I7825" s="25" t="n"/>
      <c r="U7825" s="19">
        <f>IF($V7825&lt;&gt;'設定'!$C$4,N(U7824),IF(OR(NOT(COUNTIF('商品マスタ'!$B$6:$B$1005,$W7825)=0),COUNTIFS('①在庫を貼る'!$V$6:$V$10005,$V7825,'①在庫を貼る'!$W$6:$W$10005,$W7825)&gt;0),N(U7824),N(U7824)+1))</f>
        <v/>
      </c>
      <c r="V7825" s="19">
        <f>IF($B7825="","",TEXT($B7825,"0000"))</f>
        <v/>
      </c>
      <c r="W7825" s="19">
        <f>IF($I7825="","",IF(ISNUMBER($I7825),TEXT($I7825,"0"),$I7825))</f>
        <v/>
      </c>
    </row>
    <row r="7826">
      <c r="B7826" s="25" t="n"/>
      <c r="I7826" s="25" t="n"/>
      <c r="U7826" s="19">
        <f>IF($V7826&lt;&gt;'設定'!$C$4,N(U7825),IF(OR(NOT(COUNTIF('商品マスタ'!$B$6:$B$1005,$W7826)=0),COUNTIFS('①在庫を貼る'!$V$6:$V$10005,$V7826,'①在庫を貼る'!$W$6:$W$10005,$W7826)&gt;0),N(U7825),N(U7825)+1))</f>
        <v/>
      </c>
      <c r="V7826" s="19">
        <f>IF($B7826="","",TEXT($B7826,"0000"))</f>
        <v/>
      </c>
      <c r="W7826" s="19">
        <f>IF($I7826="","",IF(ISNUMBER($I7826),TEXT($I7826,"0"),$I7826))</f>
        <v/>
      </c>
    </row>
    <row r="7827">
      <c r="B7827" s="25" t="n"/>
      <c r="I7827" s="25" t="n"/>
      <c r="U7827" s="19">
        <f>IF($V7827&lt;&gt;'設定'!$C$4,N(U7826),IF(OR(NOT(COUNTIF('商品マスタ'!$B$6:$B$1005,$W7827)=0),COUNTIFS('①在庫を貼る'!$V$6:$V$10005,$V7827,'①在庫を貼る'!$W$6:$W$10005,$W7827)&gt;0),N(U7826),N(U7826)+1))</f>
        <v/>
      </c>
      <c r="V7827" s="19">
        <f>IF($B7827="","",TEXT($B7827,"0000"))</f>
        <v/>
      </c>
      <c r="W7827" s="19">
        <f>IF($I7827="","",IF(ISNUMBER($I7827),TEXT($I7827,"0"),$I7827))</f>
        <v/>
      </c>
    </row>
    <row r="7828">
      <c r="B7828" s="25" t="n"/>
      <c r="I7828" s="25" t="n"/>
      <c r="U7828" s="19">
        <f>IF($V7828&lt;&gt;'設定'!$C$4,N(U7827),IF(OR(NOT(COUNTIF('商品マスタ'!$B$6:$B$1005,$W7828)=0),COUNTIFS('①在庫を貼る'!$V$6:$V$10005,$V7828,'①在庫を貼る'!$W$6:$W$10005,$W7828)&gt;0),N(U7827),N(U7827)+1))</f>
        <v/>
      </c>
      <c r="V7828" s="19">
        <f>IF($B7828="","",TEXT($B7828,"0000"))</f>
        <v/>
      </c>
      <c r="W7828" s="19">
        <f>IF($I7828="","",IF(ISNUMBER($I7828),TEXT($I7828,"0"),$I7828))</f>
        <v/>
      </c>
    </row>
    <row r="7829">
      <c r="B7829" s="25" t="n"/>
      <c r="I7829" s="25" t="n"/>
      <c r="U7829" s="19">
        <f>IF($V7829&lt;&gt;'設定'!$C$4,N(U7828),IF(OR(NOT(COUNTIF('商品マスタ'!$B$6:$B$1005,$W7829)=0),COUNTIFS('①在庫を貼る'!$V$6:$V$10005,$V7829,'①在庫を貼る'!$W$6:$W$10005,$W7829)&gt;0),N(U7828),N(U7828)+1))</f>
        <v/>
      </c>
      <c r="V7829" s="19">
        <f>IF($B7829="","",TEXT($B7829,"0000"))</f>
        <v/>
      </c>
      <c r="W7829" s="19">
        <f>IF($I7829="","",IF(ISNUMBER($I7829),TEXT($I7829,"0"),$I7829))</f>
        <v/>
      </c>
    </row>
    <row r="7830">
      <c r="B7830" s="25" t="n"/>
      <c r="I7830" s="25" t="n"/>
      <c r="U7830" s="19">
        <f>IF($V7830&lt;&gt;'設定'!$C$4,N(U7829),IF(OR(NOT(COUNTIF('商品マスタ'!$B$6:$B$1005,$W7830)=0),COUNTIFS('①在庫を貼る'!$V$6:$V$10005,$V7830,'①在庫を貼る'!$W$6:$W$10005,$W7830)&gt;0),N(U7829),N(U7829)+1))</f>
        <v/>
      </c>
      <c r="V7830" s="19">
        <f>IF($B7830="","",TEXT($B7830,"0000"))</f>
        <v/>
      </c>
      <c r="W7830" s="19">
        <f>IF($I7830="","",IF(ISNUMBER($I7830),TEXT($I7830,"0"),$I7830))</f>
        <v/>
      </c>
    </row>
    <row r="7831">
      <c r="B7831" s="25" t="n"/>
      <c r="I7831" s="25" t="n"/>
      <c r="U7831" s="19">
        <f>IF($V7831&lt;&gt;'設定'!$C$4,N(U7830),IF(OR(NOT(COUNTIF('商品マスタ'!$B$6:$B$1005,$W7831)=0),COUNTIFS('①在庫を貼る'!$V$6:$V$10005,$V7831,'①在庫を貼る'!$W$6:$W$10005,$W7831)&gt;0),N(U7830),N(U7830)+1))</f>
        <v/>
      </c>
      <c r="V7831" s="19">
        <f>IF($B7831="","",TEXT($B7831,"0000"))</f>
        <v/>
      </c>
      <c r="W7831" s="19">
        <f>IF($I7831="","",IF(ISNUMBER($I7831),TEXT($I7831,"0"),$I7831))</f>
        <v/>
      </c>
    </row>
    <row r="7832">
      <c r="B7832" s="25" t="n"/>
      <c r="I7832" s="25" t="n"/>
      <c r="U7832" s="19">
        <f>IF($V7832&lt;&gt;'設定'!$C$4,N(U7831),IF(OR(NOT(COUNTIF('商品マスタ'!$B$6:$B$1005,$W7832)=0),COUNTIFS('①在庫を貼る'!$V$6:$V$10005,$V7832,'①在庫を貼る'!$W$6:$W$10005,$W7832)&gt;0),N(U7831),N(U7831)+1))</f>
        <v/>
      </c>
      <c r="V7832" s="19">
        <f>IF($B7832="","",TEXT($B7832,"0000"))</f>
        <v/>
      </c>
      <c r="W7832" s="19">
        <f>IF($I7832="","",IF(ISNUMBER($I7832),TEXT($I7832,"0"),$I7832))</f>
        <v/>
      </c>
    </row>
    <row r="7833">
      <c r="B7833" s="25" t="n"/>
      <c r="I7833" s="25" t="n"/>
      <c r="U7833" s="19">
        <f>IF($V7833&lt;&gt;'設定'!$C$4,N(U7832),IF(OR(NOT(COUNTIF('商品マスタ'!$B$6:$B$1005,$W7833)=0),COUNTIFS('①在庫を貼る'!$V$6:$V$10005,$V7833,'①在庫を貼る'!$W$6:$W$10005,$W7833)&gt;0),N(U7832),N(U7832)+1))</f>
        <v/>
      </c>
      <c r="V7833" s="19">
        <f>IF($B7833="","",TEXT($B7833,"0000"))</f>
        <v/>
      </c>
      <c r="W7833" s="19">
        <f>IF($I7833="","",IF(ISNUMBER($I7833),TEXT($I7833,"0"),$I7833))</f>
        <v/>
      </c>
    </row>
    <row r="7834">
      <c r="B7834" s="25" t="n"/>
      <c r="I7834" s="25" t="n"/>
      <c r="U7834" s="19">
        <f>IF($V7834&lt;&gt;'設定'!$C$4,N(U7833),IF(OR(NOT(COUNTIF('商品マスタ'!$B$6:$B$1005,$W7834)=0),COUNTIFS('①在庫を貼る'!$V$6:$V$10005,$V7834,'①在庫を貼る'!$W$6:$W$10005,$W7834)&gt;0),N(U7833),N(U7833)+1))</f>
        <v/>
      </c>
      <c r="V7834" s="19">
        <f>IF($B7834="","",TEXT($B7834,"0000"))</f>
        <v/>
      </c>
      <c r="W7834" s="19">
        <f>IF($I7834="","",IF(ISNUMBER($I7834),TEXT($I7834,"0"),$I7834))</f>
        <v/>
      </c>
    </row>
    <row r="7835">
      <c r="B7835" s="25" t="n"/>
      <c r="I7835" s="25" t="n"/>
      <c r="U7835" s="19">
        <f>IF($V7835&lt;&gt;'設定'!$C$4,N(U7834),IF(OR(NOT(COUNTIF('商品マスタ'!$B$6:$B$1005,$W7835)=0),COUNTIFS('①在庫を貼る'!$V$6:$V$10005,$V7835,'①在庫を貼る'!$W$6:$W$10005,$W7835)&gt;0),N(U7834),N(U7834)+1))</f>
        <v/>
      </c>
      <c r="V7835" s="19">
        <f>IF($B7835="","",TEXT($B7835,"0000"))</f>
        <v/>
      </c>
      <c r="W7835" s="19">
        <f>IF($I7835="","",IF(ISNUMBER($I7835),TEXT($I7835,"0"),$I7835))</f>
        <v/>
      </c>
    </row>
    <row r="7836">
      <c r="B7836" s="25" t="n"/>
      <c r="I7836" s="25" t="n"/>
      <c r="U7836" s="19">
        <f>IF($V7836&lt;&gt;'設定'!$C$4,N(U7835),IF(OR(NOT(COUNTIF('商品マスタ'!$B$6:$B$1005,$W7836)=0),COUNTIFS('①在庫を貼る'!$V$6:$V$10005,$V7836,'①在庫を貼る'!$W$6:$W$10005,$W7836)&gt;0),N(U7835),N(U7835)+1))</f>
        <v/>
      </c>
      <c r="V7836" s="19">
        <f>IF($B7836="","",TEXT($B7836,"0000"))</f>
        <v/>
      </c>
      <c r="W7836" s="19">
        <f>IF($I7836="","",IF(ISNUMBER($I7836),TEXT($I7836,"0"),$I7836))</f>
        <v/>
      </c>
    </row>
    <row r="7837">
      <c r="B7837" s="25" t="n"/>
      <c r="I7837" s="25" t="n"/>
      <c r="U7837" s="19">
        <f>IF($V7837&lt;&gt;'設定'!$C$4,N(U7836),IF(OR(NOT(COUNTIF('商品マスタ'!$B$6:$B$1005,$W7837)=0),COUNTIFS('①在庫を貼る'!$V$6:$V$10005,$V7837,'①在庫を貼る'!$W$6:$W$10005,$W7837)&gt;0),N(U7836),N(U7836)+1))</f>
        <v/>
      </c>
      <c r="V7837" s="19">
        <f>IF($B7837="","",TEXT($B7837,"0000"))</f>
        <v/>
      </c>
      <c r="W7837" s="19">
        <f>IF($I7837="","",IF(ISNUMBER($I7837),TEXT($I7837,"0"),$I7837))</f>
        <v/>
      </c>
    </row>
    <row r="7838">
      <c r="B7838" s="25" t="n"/>
      <c r="I7838" s="25" t="n"/>
      <c r="U7838" s="19">
        <f>IF($V7838&lt;&gt;'設定'!$C$4,N(U7837),IF(OR(NOT(COUNTIF('商品マスタ'!$B$6:$B$1005,$W7838)=0),COUNTIFS('①在庫を貼る'!$V$6:$V$10005,$V7838,'①在庫を貼る'!$W$6:$W$10005,$W7838)&gt;0),N(U7837),N(U7837)+1))</f>
        <v/>
      </c>
      <c r="V7838" s="19">
        <f>IF($B7838="","",TEXT($B7838,"0000"))</f>
        <v/>
      </c>
      <c r="W7838" s="19">
        <f>IF($I7838="","",IF(ISNUMBER($I7838),TEXT($I7838,"0"),$I7838))</f>
        <v/>
      </c>
    </row>
    <row r="7839">
      <c r="B7839" s="25" t="n"/>
      <c r="I7839" s="25" t="n"/>
      <c r="U7839" s="19">
        <f>IF($V7839&lt;&gt;'設定'!$C$4,N(U7838),IF(OR(NOT(COUNTIF('商品マスタ'!$B$6:$B$1005,$W7839)=0),COUNTIFS('①在庫を貼る'!$V$6:$V$10005,$V7839,'①在庫を貼る'!$W$6:$W$10005,$W7839)&gt;0),N(U7838),N(U7838)+1))</f>
        <v/>
      </c>
      <c r="V7839" s="19">
        <f>IF($B7839="","",TEXT($B7839,"0000"))</f>
        <v/>
      </c>
      <c r="W7839" s="19">
        <f>IF($I7839="","",IF(ISNUMBER($I7839),TEXT($I7839,"0"),$I7839))</f>
        <v/>
      </c>
    </row>
    <row r="7840">
      <c r="B7840" s="25" t="n"/>
      <c r="I7840" s="25" t="n"/>
      <c r="U7840" s="19">
        <f>IF($V7840&lt;&gt;'設定'!$C$4,N(U7839),IF(OR(NOT(COUNTIF('商品マスタ'!$B$6:$B$1005,$W7840)=0),COUNTIFS('①在庫を貼る'!$V$6:$V$10005,$V7840,'①在庫を貼る'!$W$6:$W$10005,$W7840)&gt;0),N(U7839),N(U7839)+1))</f>
        <v/>
      </c>
      <c r="V7840" s="19">
        <f>IF($B7840="","",TEXT($B7840,"0000"))</f>
        <v/>
      </c>
      <c r="W7840" s="19">
        <f>IF($I7840="","",IF(ISNUMBER($I7840),TEXT($I7840,"0"),$I7840))</f>
        <v/>
      </c>
    </row>
    <row r="7841">
      <c r="B7841" s="25" t="n"/>
      <c r="I7841" s="25" t="n"/>
      <c r="U7841" s="19">
        <f>IF($V7841&lt;&gt;'設定'!$C$4,N(U7840),IF(OR(NOT(COUNTIF('商品マスタ'!$B$6:$B$1005,$W7841)=0),COUNTIFS('①在庫を貼る'!$V$6:$V$10005,$V7841,'①在庫を貼る'!$W$6:$W$10005,$W7841)&gt;0),N(U7840),N(U7840)+1))</f>
        <v/>
      </c>
      <c r="V7841" s="19">
        <f>IF($B7841="","",TEXT($B7841,"0000"))</f>
        <v/>
      </c>
      <c r="W7841" s="19">
        <f>IF($I7841="","",IF(ISNUMBER($I7841),TEXT($I7841,"0"),$I7841))</f>
        <v/>
      </c>
    </row>
    <row r="7842">
      <c r="B7842" s="25" t="n"/>
      <c r="I7842" s="25" t="n"/>
      <c r="U7842" s="19">
        <f>IF($V7842&lt;&gt;'設定'!$C$4,N(U7841),IF(OR(NOT(COUNTIF('商品マスタ'!$B$6:$B$1005,$W7842)=0),COUNTIFS('①在庫を貼る'!$V$6:$V$10005,$V7842,'①在庫を貼る'!$W$6:$W$10005,$W7842)&gt;0),N(U7841),N(U7841)+1))</f>
        <v/>
      </c>
      <c r="V7842" s="19">
        <f>IF($B7842="","",TEXT($B7842,"0000"))</f>
        <v/>
      </c>
      <c r="W7842" s="19">
        <f>IF($I7842="","",IF(ISNUMBER($I7842),TEXT($I7842,"0"),$I7842))</f>
        <v/>
      </c>
    </row>
    <row r="7843">
      <c r="B7843" s="25" t="n"/>
      <c r="I7843" s="25" t="n"/>
      <c r="U7843" s="19">
        <f>IF($V7843&lt;&gt;'設定'!$C$4,N(U7842),IF(OR(NOT(COUNTIF('商品マスタ'!$B$6:$B$1005,$W7843)=0),COUNTIFS('①在庫を貼る'!$V$6:$V$10005,$V7843,'①在庫を貼る'!$W$6:$W$10005,$W7843)&gt;0),N(U7842),N(U7842)+1))</f>
        <v/>
      </c>
      <c r="V7843" s="19">
        <f>IF($B7843="","",TEXT($B7843,"0000"))</f>
        <v/>
      </c>
      <c r="W7843" s="19">
        <f>IF($I7843="","",IF(ISNUMBER($I7843),TEXT($I7843,"0"),$I7843))</f>
        <v/>
      </c>
    </row>
    <row r="7844">
      <c r="B7844" s="25" t="n"/>
      <c r="I7844" s="25" t="n"/>
      <c r="U7844" s="19">
        <f>IF($V7844&lt;&gt;'設定'!$C$4,N(U7843),IF(OR(NOT(COUNTIF('商品マスタ'!$B$6:$B$1005,$W7844)=0),COUNTIFS('①在庫を貼る'!$V$6:$V$10005,$V7844,'①在庫を貼る'!$W$6:$W$10005,$W7844)&gt;0),N(U7843),N(U7843)+1))</f>
        <v/>
      </c>
      <c r="V7844" s="19">
        <f>IF($B7844="","",TEXT($B7844,"0000"))</f>
        <v/>
      </c>
      <c r="W7844" s="19">
        <f>IF($I7844="","",IF(ISNUMBER($I7844),TEXT($I7844,"0"),$I7844))</f>
        <v/>
      </c>
    </row>
    <row r="7845">
      <c r="B7845" s="25" t="n"/>
      <c r="I7845" s="25" t="n"/>
      <c r="U7845" s="19">
        <f>IF($V7845&lt;&gt;'設定'!$C$4,N(U7844),IF(OR(NOT(COUNTIF('商品マスタ'!$B$6:$B$1005,$W7845)=0),COUNTIFS('①在庫を貼る'!$V$6:$V$10005,$V7845,'①在庫を貼る'!$W$6:$W$10005,$W7845)&gt;0),N(U7844),N(U7844)+1))</f>
        <v/>
      </c>
      <c r="V7845" s="19">
        <f>IF($B7845="","",TEXT($B7845,"0000"))</f>
        <v/>
      </c>
      <c r="W7845" s="19">
        <f>IF($I7845="","",IF(ISNUMBER($I7845),TEXT($I7845,"0"),$I7845))</f>
        <v/>
      </c>
    </row>
    <row r="7846">
      <c r="B7846" s="25" t="n"/>
      <c r="I7846" s="25" t="n"/>
      <c r="U7846" s="19">
        <f>IF($V7846&lt;&gt;'設定'!$C$4,N(U7845),IF(OR(NOT(COUNTIF('商品マスタ'!$B$6:$B$1005,$W7846)=0),COUNTIFS('①在庫を貼る'!$V$6:$V$10005,$V7846,'①在庫を貼る'!$W$6:$W$10005,$W7846)&gt;0),N(U7845),N(U7845)+1))</f>
        <v/>
      </c>
      <c r="V7846" s="19">
        <f>IF($B7846="","",TEXT($B7846,"0000"))</f>
        <v/>
      </c>
      <c r="W7846" s="19">
        <f>IF($I7846="","",IF(ISNUMBER($I7846),TEXT($I7846,"0"),$I7846))</f>
        <v/>
      </c>
    </row>
    <row r="7847">
      <c r="B7847" s="25" t="n"/>
      <c r="I7847" s="25" t="n"/>
      <c r="U7847" s="19">
        <f>IF($V7847&lt;&gt;'設定'!$C$4,N(U7846),IF(OR(NOT(COUNTIF('商品マスタ'!$B$6:$B$1005,$W7847)=0),COUNTIFS('①在庫を貼る'!$V$6:$V$10005,$V7847,'①在庫を貼る'!$W$6:$W$10005,$W7847)&gt;0),N(U7846),N(U7846)+1))</f>
        <v/>
      </c>
      <c r="V7847" s="19">
        <f>IF($B7847="","",TEXT($B7847,"0000"))</f>
        <v/>
      </c>
      <c r="W7847" s="19">
        <f>IF($I7847="","",IF(ISNUMBER($I7847),TEXT($I7847,"0"),$I7847))</f>
        <v/>
      </c>
    </row>
    <row r="7848">
      <c r="B7848" s="25" t="n"/>
      <c r="I7848" s="25" t="n"/>
      <c r="U7848" s="19">
        <f>IF($V7848&lt;&gt;'設定'!$C$4,N(U7847),IF(OR(NOT(COUNTIF('商品マスタ'!$B$6:$B$1005,$W7848)=0),COUNTIFS('①在庫を貼る'!$V$6:$V$10005,$V7848,'①在庫を貼る'!$W$6:$W$10005,$W7848)&gt;0),N(U7847),N(U7847)+1))</f>
        <v/>
      </c>
      <c r="V7848" s="19">
        <f>IF($B7848="","",TEXT($B7848,"0000"))</f>
        <v/>
      </c>
      <c r="W7848" s="19">
        <f>IF($I7848="","",IF(ISNUMBER($I7848),TEXT($I7848,"0"),$I7848))</f>
        <v/>
      </c>
    </row>
    <row r="7849">
      <c r="B7849" s="25" t="n"/>
      <c r="I7849" s="25" t="n"/>
      <c r="U7849" s="19">
        <f>IF($V7849&lt;&gt;'設定'!$C$4,N(U7848),IF(OR(NOT(COUNTIF('商品マスタ'!$B$6:$B$1005,$W7849)=0),COUNTIFS('①在庫を貼る'!$V$6:$V$10005,$V7849,'①在庫を貼る'!$W$6:$W$10005,$W7849)&gt;0),N(U7848),N(U7848)+1))</f>
        <v/>
      </c>
      <c r="V7849" s="19">
        <f>IF($B7849="","",TEXT($B7849,"0000"))</f>
        <v/>
      </c>
      <c r="W7849" s="19">
        <f>IF($I7849="","",IF(ISNUMBER($I7849),TEXT($I7849,"0"),$I7849))</f>
        <v/>
      </c>
    </row>
    <row r="7850">
      <c r="B7850" s="25" t="n"/>
      <c r="I7850" s="25" t="n"/>
      <c r="U7850" s="19">
        <f>IF($V7850&lt;&gt;'設定'!$C$4,N(U7849),IF(OR(NOT(COUNTIF('商品マスタ'!$B$6:$B$1005,$W7850)=0),COUNTIFS('①在庫を貼る'!$V$6:$V$10005,$V7850,'①在庫を貼る'!$W$6:$W$10005,$W7850)&gt;0),N(U7849),N(U7849)+1))</f>
        <v/>
      </c>
      <c r="V7850" s="19">
        <f>IF($B7850="","",TEXT($B7850,"0000"))</f>
        <v/>
      </c>
      <c r="W7850" s="19">
        <f>IF($I7850="","",IF(ISNUMBER($I7850),TEXT($I7850,"0"),$I7850))</f>
        <v/>
      </c>
    </row>
    <row r="7851">
      <c r="B7851" s="25" t="n"/>
      <c r="I7851" s="25" t="n"/>
      <c r="U7851" s="19">
        <f>IF($V7851&lt;&gt;'設定'!$C$4,N(U7850),IF(OR(NOT(COUNTIF('商品マスタ'!$B$6:$B$1005,$W7851)=0),COUNTIFS('①在庫を貼る'!$V$6:$V$10005,$V7851,'①在庫を貼る'!$W$6:$W$10005,$W7851)&gt;0),N(U7850),N(U7850)+1))</f>
        <v/>
      </c>
      <c r="V7851" s="19">
        <f>IF($B7851="","",TEXT($B7851,"0000"))</f>
        <v/>
      </c>
      <c r="W7851" s="19">
        <f>IF($I7851="","",IF(ISNUMBER($I7851),TEXT($I7851,"0"),$I7851))</f>
        <v/>
      </c>
    </row>
    <row r="7852">
      <c r="B7852" s="25" t="n"/>
      <c r="I7852" s="25" t="n"/>
      <c r="U7852" s="19">
        <f>IF($V7852&lt;&gt;'設定'!$C$4,N(U7851),IF(OR(NOT(COUNTIF('商品マスタ'!$B$6:$B$1005,$W7852)=0),COUNTIFS('①在庫を貼る'!$V$6:$V$10005,$V7852,'①在庫を貼る'!$W$6:$W$10005,$W7852)&gt;0),N(U7851),N(U7851)+1))</f>
        <v/>
      </c>
      <c r="V7852" s="19">
        <f>IF($B7852="","",TEXT($B7852,"0000"))</f>
        <v/>
      </c>
      <c r="W7852" s="19">
        <f>IF($I7852="","",IF(ISNUMBER($I7852),TEXT($I7852,"0"),$I7852))</f>
        <v/>
      </c>
    </row>
    <row r="7853">
      <c r="B7853" s="25" t="n"/>
      <c r="I7853" s="25" t="n"/>
      <c r="U7853" s="19">
        <f>IF($V7853&lt;&gt;'設定'!$C$4,N(U7852),IF(OR(NOT(COUNTIF('商品マスタ'!$B$6:$B$1005,$W7853)=0),COUNTIFS('①在庫を貼る'!$V$6:$V$10005,$V7853,'①在庫を貼る'!$W$6:$W$10005,$W7853)&gt;0),N(U7852),N(U7852)+1))</f>
        <v/>
      </c>
      <c r="V7853" s="19">
        <f>IF($B7853="","",TEXT($B7853,"0000"))</f>
        <v/>
      </c>
      <c r="W7853" s="19">
        <f>IF($I7853="","",IF(ISNUMBER($I7853),TEXT($I7853,"0"),$I7853))</f>
        <v/>
      </c>
    </row>
    <row r="7854">
      <c r="B7854" s="25" t="n"/>
      <c r="I7854" s="25" t="n"/>
      <c r="U7854" s="19">
        <f>IF($V7854&lt;&gt;'設定'!$C$4,N(U7853),IF(OR(NOT(COUNTIF('商品マスタ'!$B$6:$B$1005,$W7854)=0),COUNTIFS('①在庫を貼る'!$V$6:$V$10005,$V7854,'①在庫を貼る'!$W$6:$W$10005,$W7854)&gt;0),N(U7853),N(U7853)+1))</f>
        <v/>
      </c>
      <c r="V7854" s="19">
        <f>IF($B7854="","",TEXT($B7854,"0000"))</f>
        <v/>
      </c>
      <c r="W7854" s="19">
        <f>IF($I7854="","",IF(ISNUMBER($I7854),TEXT($I7854,"0"),$I7854))</f>
        <v/>
      </c>
    </row>
    <row r="7855">
      <c r="B7855" s="25" t="n"/>
      <c r="I7855" s="25" t="n"/>
      <c r="U7855" s="19">
        <f>IF($V7855&lt;&gt;'設定'!$C$4,N(U7854),IF(OR(NOT(COUNTIF('商品マスタ'!$B$6:$B$1005,$W7855)=0),COUNTIFS('①在庫を貼る'!$V$6:$V$10005,$V7855,'①在庫を貼る'!$W$6:$W$10005,$W7855)&gt;0),N(U7854),N(U7854)+1))</f>
        <v/>
      </c>
      <c r="V7855" s="19">
        <f>IF($B7855="","",TEXT($B7855,"0000"))</f>
        <v/>
      </c>
      <c r="W7855" s="19">
        <f>IF($I7855="","",IF(ISNUMBER($I7855),TEXT($I7855,"0"),$I7855))</f>
        <v/>
      </c>
    </row>
    <row r="7856">
      <c r="B7856" s="25" t="n"/>
      <c r="I7856" s="25" t="n"/>
      <c r="U7856" s="19">
        <f>IF($V7856&lt;&gt;'設定'!$C$4,N(U7855),IF(OR(NOT(COUNTIF('商品マスタ'!$B$6:$B$1005,$W7856)=0),COUNTIFS('①在庫を貼る'!$V$6:$V$10005,$V7856,'①在庫を貼る'!$W$6:$W$10005,$W7856)&gt;0),N(U7855),N(U7855)+1))</f>
        <v/>
      </c>
      <c r="V7856" s="19">
        <f>IF($B7856="","",TEXT($B7856,"0000"))</f>
        <v/>
      </c>
      <c r="W7856" s="19">
        <f>IF($I7856="","",IF(ISNUMBER($I7856),TEXT($I7856,"0"),$I7856))</f>
        <v/>
      </c>
    </row>
    <row r="7857">
      <c r="B7857" s="25" t="n"/>
      <c r="I7857" s="25" t="n"/>
      <c r="U7857" s="19">
        <f>IF($V7857&lt;&gt;'設定'!$C$4,N(U7856),IF(OR(NOT(COUNTIF('商品マスタ'!$B$6:$B$1005,$W7857)=0),COUNTIFS('①在庫を貼る'!$V$6:$V$10005,$V7857,'①在庫を貼る'!$W$6:$W$10005,$W7857)&gt;0),N(U7856),N(U7856)+1))</f>
        <v/>
      </c>
      <c r="V7857" s="19">
        <f>IF($B7857="","",TEXT($B7857,"0000"))</f>
        <v/>
      </c>
      <c r="W7857" s="19">
        <f>IF($I7857="","",IF(ISNUMBER($I7857),TEXT($I7857,"0"),$I7857))</f>
        <v/>
      </c>
    </row>
    <row r="7858">
      <c r="B7858" s="25" t="n"/>
      <c r="I7858" s="25" t="n"/>
      <c r="U7858" s="19">
        <f>IF($V7858&lt;&gt;'設定'!$C$4,N(U7857),IF(OR(NOT(COUNTIF('商品マスタ'!$B$6:$B$1005,$W7858)=0),COUNTIFS('①在庫を貼る'!$V$6:$V$10005,$V7858,'①在庫を貼る'!$W$6:$W$10005,$W7858)&gt;0),N(U7857),N(U7857)+1))</f>
        <v/>
      </c>
      <c r="V7858" s="19">
        <f>IF($B7858="","",TEXT($B7858,"0000"))</f>
        <v/>
      </c>
      <c r="W7858" s="19">
        <f>IF($I7858="","",IF(ISNUMBER($I7858),TEXT($I7858,"0"),$I7858))</f>
        <v/>
      </c>
    </row>
    <row r="7859">
      <c r="B7859" s="25" t="n"/>
      <c r="I7859" s="25" t="n"/>
      <c r="U7859" s="19">
        <f>IF($V7859&lt;&gt;'設定'!$C$4,N(U7858),IF(OR(NOT(COUNTIF('商品マスタ'!$B$6:$B$1005,$W7859)=0),COUNTIFS('①在庫を貼る'!$V$6:$V$10005,$V7859,'①在庫を貼る'!$W$6:$W$10005,$W7859)&gt;0),N(U7858),N(U7858)+1))</f>
        <v/>
      </c>
      <c r="V7859" s="19">
        <f>IF($B7859="","",TEXT($B7859,"0000"))</f>
        <v/>
      </c>
      <c r="W7859" s="19">
        <f>IF($I7859="","",IF(ISNUMBER($I7859),TEXT($I7859,"0"),$I7859))</f>
        <v/>
      </c>
    </row>
    <row r="7860">
      <c r="B7860" s="25" t="n"/>
      <c r="I7860" s="25" t="n"/>
      <c r="U7860" s="19">
        <f>IF($V7860&lt;&gt;'設定'!$C$4,N(U7859),IF(OR(NOT(COUNTIF('商品マスタ'!$B$6:$B$1005,$W7860)=0),COUNTIFS('①在庫を貼る'!$V$6:$V$10005,$V7860,'①在庫を貼る'!$W$6:$W$10005,$W7860)&gt;0),N(U7859),N(U7859)+1))</f>
        <v/>
      </c>
      <c r="V7860" s="19">
        <f>IF($B7860="","",TEXT($B7860,"0000"))</f>
        <v/>
      </c>
      <c r="W7860" s="19">
        <f>IF($I7860="","",IF(ISNUMBER($I7860),TEXT($I7860,"0"),$I7860))</f>
        <v/>
      </c>
    </row>
    <row r="7861">
      <c r="B7861" s="25" t="n"/>
      <c r="I7861" s="25" t="n"/>
      <c r="U7861" s="19">
        <f>IF($V7861&lt;&gt;'設定'!$C$4,N(U7860),IF(OR(NOT(COUNTIF('商品マスタ'!$B$6:$B$1005,$W7861)=0),COUNTIFS('①在庫を貼る'!$V$6:$V$10005,$V7861,'①在庫を貼る'!$W$6:$W$10005,$W7861)&gt;0),N(U7860),N(U7860)+1))</f>
        <v/>
      </c>
      <c r="V7861" s="19">
        <f>IF($B7861="","",TEXT($B7861,"0000"))</f>
        <v/>
      </c>
      <c r="W7861" s="19">
        <f>IF($I7861="","",IF(ISNUMBER($I7861),TEXT($I7861,"0"),$I7861))</f>
        <v/>
      </c>
    </row>
    <row r="7862">
      <c r="B7862" s="25" t="n"/>
      <c r="I7862" s="25" t="n"/>
      <c r="U7862" s="19">
        <f>IF($V7862&lt;&gt;'設定'!$C$4,N(U7861),IF(OR(NOT(COUNTIF('商品マスタ'!$B$6:$B$1005,$W7862)=0),COUNTIFS('①在庫を貼る'!$V$6:$V$10005,$V7862,'①在庫を貼る'!$W$6:$W$10005,$W7862)&gt;0),N(U7861),N(U7861)+1))</f>
        <v/>
      </c>
      <c r="V7862" s="19">
        <f>IF($B7862="","",TEXT($B7862,"0000"))</f>
        <v/>
      </c>
      <c r="W7862" s="19">
        <f>IF($I7862="","",IF(ISNUMBER($I7862),TEXT($I7862,"0"),$I7862))</f>
        <v/>
      </c>
    </row>
    <row r="7863">
      <c r="B7863" s="25" t="n"/>
      <c r="I7863" s="25" t="n"/>
      <c r="U7863" s="19">
        <f>IF($V7863&lt;&gt;'設定'!$C$4,N(U7862),IF(OR(NOT(COUNTIF('商品マスタ'!$B$6:$B$1005,$W7863)=0),COUNTIFS('①在庫を貼る'!$V$6:$V$10005,$V7863,'①在庫を貼る'!$W$6:$W$10005,$W7863)&gt;0),N(U7862),N(U7862)+1))</f>
        <v/>
      </c>
      <c r="V7863" s="19">
        <f>IF($B7863="","",TEXT($B7863,"0000"))</f>
        <v/>
      </c>
      <c r="W7863" s="19">
        <f>IF($I7863="","",IF(ISNUMBER($I7863),TEXT($I7863,"0"),$I7863))</f>
        <v/>
      </c>
    </row>
    <row r="7864">
      <c r="B7864" s="25" t="n"/>
      <c r="I7864" s="25" t="n"/>
      <c r="U7864" s="19">
        <f>IF($V7864&lt;&gt;'設定'!$C$4,N(U7863),IF(OR(NOT(COUNTIF('商品マスタ'!$B$6:$B$1005,$W7864)=0),COUNTIFS('①在庫を貼る'!$V$6:$V$10005,$V7864,'①在庫を貼る'!$W$6:$W$10005,$W7864)&gt;0),N(U7863),N(U7863)+1))</f>
        <v/>
      </c>
      <c r="V7864" s="19">
        <f>IF($B7864="","",TEXT($B7864,"0000"))</f>
        <v/>
      </c>
      <c r="W7864" s="19">
        <f>IF($I7864="","",IF(ISNUMBER($I7864),TEXT($I7864,"0"),$I7864))</f>
        <v/>
      </c>
    </row>
    <row r="7865">
      <c r="B7865" s="25" t="n"/>
      <c r="I7865" s="25" t="n"/>
      <c r="U7865" s="19">
        <f>IF($V7865&lt;&gt;'設定'!$C$4,N(U7864),IF(OR(NOT(COUNTIF('商品マスタ'!$B$6:$B$1005,$W7865)=0),COUNTIFS('①在庫を貼る'!$V$6:$V$10005,$V7865,'①在庫を貼る'!$W$6:$W$10005,$W7865)&gt;0),N(U7864),N(U7864)+1))</f>
        <v/>
      </c>
      <c r="V7865" s="19">
        <f>IF($B7865="","",TEXT($B7865,"0000"))</f>
        <v/>
      </c>
      <c r="W7865" s="19">
        <f>IF($I7865="","",IF(ISNUMBER($I7865),TEXT($I7865,"0"),$I7865))</f>
        <v/>
      </c>
    </row>
    <row r="7866">
      <c r="B7866" s="25" t="n"/>
      <c r="I7866" s="25" t="n"/>
      <c r="U7866" s="19">
        <f>IF($V7866&lt;&gt;'設定'!$C$4,N(U7865),IF(OR(NOT(COUNTIF('商品マスタ'!$B$6:$B$1005,$W7866)=0),COUNTIFS('①在庫を貼る'!$V$6:$V$10005,$V7866,'①在庫を貼る'!$W$6:$W$10005,$W7866)&gt;0),N(U7865),N(U7865)+1))</f>
        <v/>
      </c>
      <c r="V7866" s="19">
        <f>IF($B7866="","",TEXT($B7866,"0000"))</f>
        <v/>
      </c>
      <c r="W7866" s="19">
        <f>IF($I7866="","",IF(ISNUMBER($I7866),TEXT($I7866,"0"),$I7866))</f>
        <v/>
      </c>
    </row>
    <row r="7867">
      <c r="B7867" s="25" t="n"/>
      <c r="I7867" s="25" t="n"/>
      <c r="U7867" s="19">
        <f>IF($V7867&lt;&gt;'設定'!$C$4,N(U7866),IF(OR(NOT(COUNTIF('商品マスタ'!$B$6:$B$1005,$W7867)=0),COUNTIFS('①在庫を貼る'!$V$6:$V$10005,$V7867,'①在庫を貼る'!$W$6:$W$10005,$W7867)&gt;0),N(U7866),N(U7866)+1))</f>
        <v/>
      </c>
      <c r="V7867" s="19">
        <f>IF($B7867="","",TEXT($B7867,"0000"))</f>
        <v/>
      </c>
      <c r="W7867" s="19">
        <f>IF($I7867="","",IF(ISNUMBER($I7867),TEXT($I7867,"0"),$I7867))</f>
        <v/>
      </c>
    </row>
    <row r="7868">
      <c r="B7868" s="25" t="n"/>
      <c r="I7868" s="25" t="n"/>
      <c r="U7868" s="19">
        <f>IF($V7868&lt;&gt;'設定'!$C$4,N(U7867),IF(OR(NOT(COUNTIF('商品マスタ'!$B$6:$B$1005,$W7868)=0),COUNTIFS('①在庫を貼る'!$V$6:$V$10005,$V7868,'①在庫を貼る'!$W$6:$W$10005,$W7868)&gt;0),N(U7867),N(U7867)+1))</f>
        <v/>
      </c>
      <c r="V7868" s="19">
        <f>IF($B7868="","",TEXT($B7868,"0000"))</f>
        <v/>
      </c>
      <c r="W7868" s="19">
        <f>IF($I7868="","",IF(ISNUMBER($I7868),TEXT($I7868,"0"),$I7868))</f>
        <v/>
      </c>
    </row>
    <row r="7869">
      <c r="B7869" s="25" t="n"/>
      <c r="I7869" s="25" t="n"/>
      <c r="U7869" s="19">
        <f>IF($V7869&lt;&gt;'設定'!$C$4,N(U7868),IF(OR(NOT(COUNTIF('商品マスタ'!$B$6:$B$1005,$W7869)=0),COUNTIFS('①在庫を貼る'!$V$6:$V$10005,$V7869,'①在庫を貼る'!$W$6:$W$10005,$W7869)&gt;0),N(U7868),N(U7868)+1))</f>
        <v/>
      </c>
      <c r="V7869" s="19">
        <f>IF($B7869="","",TEXT($B7869,"0000"))</f>
        <v/>
      </c>
      <c r="W7869" s="19">
        <f>IF($I7869="","",IF(ISNUMBER($I7869),TEXT($I7869,"0"),$I7869))</f>
        <v/>
      </c>
    </row>
    <row r="7870">
      <c r="B7870" s="25" t="n"/>
      <c r="I7870" s="25" t="n"/>
      <c r="U7870" s="19">
        <f>IF($V7870&lt;&gt;'設定'!$C$4,N(U7869),IF(OR(NOT(COUNTIF('商品マスタ'!$B$6:$B$1005,$W7870)=0),COUNTIFS('①在庫を貼る'!$V$6:$V$10005,$V7870,'①在庫を貼る'!$W$6:$W$10005,$W7870)&gt;0),N(U7869),N(U7869)+1))</f>
        <v/>
      </c>
      <c r="V7870" s="19">
        <f>IF($B7870="","",TEXT($B7870,"0000"))</f>
        <v/>
      </c>
      <c r="W7870" s="19">
        <f>IF($I7870="","",IF(ISNUMBER($I7870),TEXT($I7870,"0"),$I7870))</f>
        <v/>
      </c>
    </row>
    <row r="7871">
      <c r="B7871" s="25" t="n"/>
      <c r="I7871" s="25" t="n"/>
      <c r="U7871" s="19">
        <f>IF($V7871&lt;&gt;'設定'!$C$4,N(U7870),IF(OR(NOT(COUNTIF('商品マスタ'!$B$6:$B$1005,$W7871)=0),COUNTIFS('①在庫を貼る'!$V$6:$V$10005,$V7871,'①在庫を貼る'!$W$6:$W$10005,$W7871)&gt;0),N(U7870),N(U7870)+1))</f>
        <v/>
      </c>
      <c r="V7871" s="19">
        <f>IF($B7871="","",TEXT($B7871,"0000"))</f>
        <v/>
      </c>
      <c r="W7871" s="19">
        <f>IF($I7871="","",IF(ISNUMBER($I7871),TEXT($I7871,"0"),$I7871))</f>
        <v/>
      </c>
    </row>
    <row r="7872">
      <c r="B7872" s="25" t="n"/>
      <c r="I7872" s="25" t="n"/>
      <c r="U7872" s="19">
        <f>IF($V7872&lt;&gt;'設定'!$C$4,N(U7871),IF(OR(NOT(COUNTIF('商品マスタ'!$B$6:$B$1005,$W7872)=0),COUNTIFS('①在庫を貼る'!$V$6:$V$10005,$V7872,'①在庫を貼る'!$W$6:$W$10005,$W7872)&gt;0),N(U7871),N(U7871)+1))</f>
        <v/>
      </c>
      <c r="V7872" s="19">
        <f>IF($B7872="","",TEXT($B7872,"0000"))</f>
        <v/>
      </c>
      <c r="W7872" s="19">
        <f>IF($I7872="","",IF(ISNUMBER($I7872),TEXT($I7872,"0"),$I7872))</f>
        <v/>
      </c>
    </row>
    <row r="7873">
      <c r="B7873" s="25" t="n"/>
      <c r="I7873" s="25" t="n"/>
      <c r="U7873" s="19">
        <f>IF($V7873&lt;&gt;'設定'!$C$4,N(U7872),IF(OR(NOT(COUNTIF('商品マスタ'!$B$6:$B$1005,$W7873)=0),COUNTIFS('①在庫を貼る'!$V$6:$V$10005,$V7873,'①在庫を貼る'!$W$6:$W$10005,$W7873)&gt;0),N(U7872),N(U7872)+1))</f>
        <v/>
      </c>
      <c r="V7873" s="19">
        <f>IF($B7873="","",TEXT($B7873,"0000"))</f>
        <v/>
      </c>
      <c r="W7873" s="19">
        <f>IF($I7873="","",IF(ISNUMBER($I7873),TEXT($I7873,"0"),$I7873))</f>
        <v/>
      </c>
    </row>
    <row r="7874">
      <c r="B7874" s="25" t="n"/>
      <c r="I7874" s="25" t="n"/>
      <c r="U7874" s="19">
        <f>IF($V7874&lt;&gt;'設定'!$C$4,N(U7873),IF(OR(NOT(COUNTIF('商品マスタ'!$B$6:$B$1005,$W7874)=0),COUNTIFS('①在庫を貼る'!$V$6:$V$10005,$V7874,'①在庫を貼る'!$W$6:$W$10005,$W7874)&gt;0),N(U7873),N(U7873)+1))</f>
        <v/>
      </c>
      <c r="V7874" s="19">
        <f>IF($B7874="","",TEXT($B7874,"0000"))</f>
        <v/>
      </c>
      <c r="W7874" s="19">
        <f>IF($I7874="","",IF(ISNUMBER($I7874),TEXT($I7874,"0"),$I7874))</f>
        <v/>
      </c>
    </row>
    <row r="7875">
      <c r="B7875" s="25" t="n"/>
      <c r="I7875" s="25" t="n"/>
      <c r="U7875" s="19">
        <f>IF($V7875&lt;&gt;'設定'!$C$4,N(U7874),IF(OR(NOT(COUNTIF('商品マスタ'!$B$6:$B$1005,$W7875)=0),COUNTIFS('①在庫を貼る'!$V$6:$V$10005,$V7875,'①在庫を貼る'!$W$6:$W$10005,$W7875)&gt;0),N(U7874),N(U7874)+1))</f>
        <v/>
      </c>
      <c r="V7875" s="19">
        <f>IF($B7875="","",TEXT($B7875,"0000"))</f>
        <v/>
      </c>
      <c r="W7875" s="19">
        <f>IF($I7875="","",IF(ISNUMBER($I7875),TEXT($I7875,"0"),$I7875))</f>
        <v/>
      </c>
    </row>
    <row r="7876">
      <c r="B7876" s="25" t="n"/>
      <c r="I7876" s="25" t="n"/>
      <c r="U7876" s="19">
        <f>IF($V7876&lt;&gt;'設定'!$C$4,N(U7875),IF(OR(NOT(COUNTIF('商品マスタ'!$B$6:$B$1005,$W7876)=0),COUNTIFS('①在庫を貼る'!$V$6:$V$10005,$V7876,'①在庫を貼る'!$W$6:$W$10005,$W7876)&gt;0),N(U7875),N(U7875)+1))</f>
        <v/>
      </c>
      <c r="V7876" s="19">
        <f>IF($B7876="","",TEXT($B7876,"0000"))</f>
        <v/>
      </c>
      <c r="W7876" s="19">
        <f>IF($I7876="","",IF(ISNUMBER($I7876),TEXT($I7876,"0"),$I7876))</f>
        <v/>
      </c>
    </row>
    <row r="7877">
      <c r="B7877" s="25" t="n"/>
      <c r="I7877" s="25" t="n"/>
      <c r="U7877" s="19">
        <f>IF($V7877&lt;&gt;'設定'!$C$4,N(U7876),IF(OR(NOT(COUNTIF('商品マスタ'!$B$6:$B$1005,$W7877)=0),COUNTIFS('①在庫を貼る'!$V$6:$V$10005,$V7877,'①在庫を貼る'!$W$6:$W$10005,$W7877)&gt;0),N(U7876),N(U7876)+1))</f>
        <v/>
      </c>
      <c r="V7877" s="19">
        <f>IF($B7877="","",TEXT($B7877,"0000"))</f>
        <v/>
      </c>
      <c r="W7877" s="19">
        <f>IF($I7877="","",IF(ISNUMBER($I7877),TEXT($I7877,"0"),$I7877))</f>
        <v/>
      </c>
    </row>
    <row r="7878">
      <c r="B7878" s="25" t="n"/>
      <c r="I7878" s="25" t="n"/>
      <c r="U7878" s="19">
        <f>IF($V7878&lt;&gt;'設定'!$C$4,N(U7877),IF(OR(NOT(COUNTIF('商品マスタ'!$B$6:$B$1005,$W7878)=0),COUNTIFS('①在庫を貼る'!$V$6:$V$10005,$V7878,'①在庫を貼る'!$W$6:$W$10005,$W7878)&gt;0),N(U7877),N(U7877)+1))</f>
        <v/>
      </c>
      <c r="V7878" s="19">
        <f>IF($B7878="","",TEXT($B7878,"0000"))</f>
        <v/>
      </c>
      <c r="W7878" s="19">
        <f>IF($I7878="","",IF(ISNUMBER($I7878),TEXT($I7878,"0"),$I7878))</f>
        <v/>
      </c>
    </row>
    <row r="7879">
      <c r="B7879" s="25" t="n"/>
      <c r="I7879" s="25" t="n"/>
      <c r="U7879" s="19">
        <f>IF($V7879&lt;&gt;'設定'!$C$4,N(U7878),IF(OR(NOT(COUNTIF('商品マスタ'!$B$6:$B$1005,$W7879)=0),COUNTIFS('①在庫を貼る'!$V$6:$V$10005,$V7879,'①在庫を貼る'!$W$6:$W$10005,$W7879)&gt;0),N(U7878),N(U7878)+1))</f>
        <v/>
      </c>
      <c r="V7879" s="19">
        <f>IF($B7879="","",TEXT($B7879,"0000"))</f>
        <v/>
      </c>
      <c r="W7879" s="19">
        <f>IF($I7879="","",IF(ISNUMBER($I7879),TEXT($I7879,"0"),$I7879))</f>
        <v/>
      </c>
    </row>
    <row r="7880">
      <c r="B7880" s="25" t="n"/>
      <c r="I7880" s="25" t="n"/>
      <c r="U7880" s="19">
        <f>IF($V7880&lt;&gt;'設定'!$C$4,N(U7879),IF(OR(NOT(COUNTIF('商品マスタ'!$B$6:$B$1005,$W7880)=0),COUNTIFS('①在庫を貼る'!$V$6:$V$10005,$V7880,'①在庫を貼る'!$W$6:$W$10005,$W7880)&gt;0),N(U7879),N(U7879)+1))</f>
        <v/>
      </c>
      <c r="V7880" s="19">
        <f>IF($B7880="","",TEXT($B7880,"0000"))</f>
        <v/>
      </c>
      <c r="W7880" s="19">
        <f>IF($I7880="","",IF(ISNUMBER($I7880),TEXT($I7880,"0"),$I7880))</f>
        <v/>
      </c>
    </row>
    <row r="7881">
      <c r="B7881" s="25" t="n"/>
      <c r="I7881" s="25" t="n"/>
      <c r="U7881" s="19">
        <f>IF($V7881&lt;&gt;'設定'!$C$4,N(U7880),IF(OR(NOT(COUNTIF('商品マスタ'!$B$6:$B$1005,$W7881)=0),COUNTIFS('①在庫を貼る'!$V$6:$V$10005,$V7881,'①在庫を貼る'!$W$6:$W$10005,$W7881)&gt;0),N(U7880),N(U7880)+1))</f>
        <v/>
      </c>
      <c r="V7881" s="19">
        <f>IF($B7881="","",TEXT($B7881,"0000"))</f>
        <v/>
      </c>
      <c r="W7881" s="19">
        <f>IF($I7881="","",IF(ISNUMBER($I7881),TEXT($I7881,"0"),$I7881))</f>
        <v/>
      </c>
    </row>
    <row r="7882">
      <c r="B7882" s="25" t="n"/>
      <c r="I7882" s="25" t="n"/>
      <c r="U7882" s="19">
        <f>IF($V7882&lt;&gt;'設定'!$C$4,N(U7881),IF(OR(NOT(COUNTIF('商品マスタ'!$B$6:$B$1005,$W7882)=0),COUNTIFS('①在庫を貼る'!$V$6:$V$10005,$V7882,'①在庫を貼る'!$W$6:$W$10005,$W7882)&gt;0),N(U7881),N(U7881)+1))</f>
        <v/>
      </c>
      <c r="V7882" s="19">
        <f>IF($B7882="","",TEXT($B7882,"0000"))</f>
        <v/>
      </c>
      <c r="W7882" s="19">
        <f>IF($I7882="","",IF(ISNUMBER($I7882),TEXT($I7882,"0"),$I7882))</f>
        <v/>
      </c>
    </row>
    <row r="7883">
      <c r="B7883" s="25" t="n"/>
      <c r="I7883" s="25" t="n"/>
      <c r="U7883" s="19">
        <f>IF($V7883&lt;&gt;'設定'!$C$4,N(U7882),IF(OR(NOT(COUNTIF('商品マスタ'!$B$6:$B$1005,$W7883)=0),COUNTIFS('①在庫を貼る'!$V$6:$V$10005,$V7883,'①在庫を貼る'!$W$6:$W$10005,$W7883)&gt;0),N(U7882),N(U7882)+1))</f>
        <v/>
      </c>
      <c r="V7883" s="19">
        <f>IF($B7883="","",TEXT($B7883,"0000"))</f>
        <v/>
      </c>
      <c r="W7883" s="19">
        <f>IF($I7883="","",IF(ISNUMBER($I7883),TEXT($I7883,"0"),$I7883))</f>
        <v/>
      </c>
    </row>
    <row r="7884">
      <c r="B7884" s="25" t="n"/>
      <c r="I7884" s="25" t="n"/>
      <c r="U7884" s="19">
        <f>IF($V7884&lt;&gt;'設定'!$C$4,N(U7883),IF(OR(NOT(COUNTIF('商品マスタ'!$B$6:$B$1005,$W7884)=0),COUNTIFS('①在庫を貼る'!$V$6:$V$10005,$V7884,'①在庫を貼る'!$W$6:$W$10005,$W7884)&gt;0),N(U7883),N(U7883)+1))</f>
        <v/>
      </c>
      <c r="V7884" s="19">
        <f>IF($B7884="","",TEXT($B7884,"0000"))</f>
        <v/>
      </c>
      <c r="W7884" s="19">
        <f>IF($I7884="","",IF(ISNUMBER($I7884),TEXT($I7884,"0"),$I7884))</f>
        <v/>
      </c>
    </row>
    <row r="7885">
      <c r="B7885" s="25" t="n"/>
      <c r="I7885" s="25" t="n"/>
      <c r="U7885" s="19">
        <f>IF($V7885&lt;&gt;'設定'!$C$4,N(U7884),IF(OR(NOT(COUNTIF('商品マスタ'!$B$6:$B$1005,$W7885)=0),COUNTIFS('①在庫を貼る'!$V$6:$V$10005,$V7885,'①在庫を貼る'!$W$6:$W$10005,$W7885)&gt;0),N(U7884),N(U7884)+1))</f>
        <v/>
      </c>
      <c r="V7885" s="19">
        <f>IF($B7885="","",TEXT($B7885,"0000"))</f>
        <v/>
      </c>
      <c r="W7885" s="19">
        <f>IF($I7885="","",IF(ISNUMBER($I7885),TEXT($I7885,"0"),$I7885))</f>
        <v/>
      </c>
    </row>
    <row r="7886">
      <c r="B7886" s="25" t="n"/>
      <c r="I7886" s="25" t="n"/>
      <c r="U7886" s="19">
        <f>IF($V7886&lt;&gt;'設定'!$C$4,N(U7885),IF(OR(NOT(COUNTIF('商品マスタ'!$B$6:$B$1005,$W7886)=0),COUNTIFS('①在庫を貼る'!$V$6:$V$10005,$V7886,'①在庫を貼る'!$W$6:$W$10005,$W7886)&gt;0),N(U7885),N(U7885)+1))</f>
        <v/>
      </c>
      <c r="V7886" s="19">
        <f>IF($B7886="","",TEXT($B7886,"0000"))</f>
        <v/>
      </c>
      <c r="W7886" s="19">
        <f>IF($I7886="","",IF(ISNUMBER($I7886),TEXT($I7886,"0"),$I7886))</f>
        <v/>
      </c>
    </row>
    <row r="7887">
      <c r="B7887" s="25" t="n"/>
      <c r="I7887" s="25" t="n"/>
      <c r="U7887" s="19">
        <f>IF($V7887&lt;&gt;'設定'!$C$4,N(U7886),IF(OR(NOT(COUNTIF('商品マスタ'!$B$6:$B$1005,$W7887)=0),COUNTIFS('①在庫を貼る'!$V$6:$V$10005,$V7887,'①在庫を貼る'!$W$6:$W$10005,$W7887)&gt;0),N(U7886),N(U7886)+1))</f>
        <v/>
      </c>
      <c r="V7887" s="19">
        <f>IF($B7887="","",TEXT($B7887,"0000"))</f>
        <v/>
      </c>
      <c r="W7887" s="19">
        <f>IF($I7887="","",IF(ISNUMBER($I7887),TEXT($I7887,"0"),$I7887))</f>
        <v/>
      </c>
    </row>
    <row r="7888">
      <c r="B7888" s="25" t="n"/>
      <c r="I7888" s="25" t="n"/>
      <c r="U7888" s="19">
        <f>IF($V7888&lt;&gt;'設定'!$C$4,N(U7887),IF(OR(NOT(COUNTIF('商品マスタ'!$B$6:$B$1005,$W7888)=0),COUNTIFS('①在庫を貼る'!$V$6:$V$10005,$V7888,'①在庫を貼る'!$W$6:$W$10005,$W7888)&gt;0),N(U7887),N(U7887)+1))</f>
        <v/>
      </c>
      <c r="V7888" s="19">
        <f>IF($B7888="","",TEXT($B7888,"0000"))</f>
        <v/>
      </c>
      <c r="W7888" s="19">
        <f>IF($I7888="","",IF(ISNUMBER($I7888),TEXT($I7888,"0"),$I7888))</f>
        <v/>
      </c>
    </row>
    <row r="7889">
      <c r="B7889" s="25" t="n"/>
      <c r="I7889" s="25" t="n"/>
      <c r="U7889" s="19">
        <f>IF($V7889&lt;&gt;'設定'!$C$4,N(U7888),IF(OR(NOT(COUNTIF('商品マスタ'!$B$6:$B$1005,$W7889)=0),COUNTIFS('①在庫を貼る'!$V$6:$V$10005,$V7889,'①在庫を貼る'!$W$6:$W$10005,$W7889)&gt;0),N(U7888),N(U7888)+1))</f>
        <v/>
      </c>
      <c r="V7889" s="19">
        <f>IF($B7889="","",TEXT($B7889,"0000"))</f>
        <v/>
      </c>
      <c r="W7889" s="19">
        <f>IF($I7889="","",IF(ISNUMBER($I7889),TEXT($I7889,"0"),$I7889))</f>
        <v/>
      </c>
    </row>
    <row r="7890">
      <c r="B7890" s="25" t="n"/>
      <c r="I7890" s="25" t="n"/>
      <c r="U7890" s="19">
        <f>IF($V7890&lt;&gt;'設定'!$C$4,N(U7889),IF(OR(NOT(COUNTIF('商品マスタ'!$B$6:$B$1005,$W7890)=0),COUNTIFS('①在庫を貼る'!$V$6:$V$10005,$V7890,'①在庫を貼る'!$W$6:$W$10005,$W7890)&gt;0),N(U7889),N(U7889)+1))</f>
        <v/>
      </c>
      <c r="V7890" s="19">
        <f>IF($B7890="","",TEXT($B7890,"0000"))</f>
        <v/>
      </c>
      <c r="W7890" s="19">
        <f>IF($I7890="","",IF(ISNUMBER($I7890),TEXT($I7890,"0"),$I7890))</f>
        <v/>
      </c>
    </row>
    <row r="7891">
      <c r="B7891" s="25" t="n"/>
      <c r="I7891" s="25" t="n"/>
      <c r="U7891" s="19">
        <f>IF($V7891&lt;&gt;'設定'!$C$4,N(U7890),IF(OR(NOT(COUNTIF('商品マスタ'!$B$6:$B$1005,$W7891)=0),COUNTIFS('①在庫を貼る'!$V$6:$V$10005,$V7891,'①在庫を貼る'!$W$6:$W$10005,$W7891)&gt;0),N(U7890),N(U7890)+1))</f>
        <v/>
      </c>
      <c r="V7891" s="19">
        <f>IF($B7891="","",TEXT($B7891,"0000"))</f>
        <v/>
      </c>
      <c r="W7891" s="19">
        <f>IF($I7891="","",IF(ISNUMBER($I7891),TEXT($I7891,"0"),$I7891))</f>
        <v/>
      </c>
    </row>
    <row r="7892">
      <c r="B7892" s="25" t="n"/>
      <c r="I7892" s="25" t="n"/>
      <c r="U7892" s="19">
        <f>IF($V7892&lt;&gt;'設定'!$C$4,N(U7891),IF(OR(NOT(COUNTIF('商品マスタ'!$B$6:$B$1005,$W7892)=0),COUNTIFS('①在庫を貼る'!$V$6:$V$10005,$V7892,'①在庫を貼る'!$W$6:$W$10005,$W7892)&gt;0),N(U7891),N(U7891)+1))</f>
        <v/>
      </c>
      <c r="V7892" s="19">
        <f>IF($B7892="","",TEXT($B7892,"0000"))</f>
        <v/>
      </c>
      <c r="W7892" s="19">
        <f>IF($I7892="","",IF(ISNUMBER($I7892),TEXT($I7892,"0"),$I7892))</f>
        <v/>
      </c>
    </row>
    <row r="7893">
      <c r="B7893" s="25" t="n"/>
      <c r="I7893" s="25" t="n"/>
      <c r="U7893" s="19">
        <f>IF($V7893&lt;&gt;'設定'!$C$4,N(U7892),IF(OR(NOT(COUNTIF('商品マスタ'!$B$6:$B$1005,$W7893)=0),COUNTIFS('①在庫を貼る'!$V$6:$V$10005,$V7893,'①在庫を貼る'!$W$6:$W$10005,$W7893)&gt;0),N(U7892),N(U7892)+1))</f>
        <v/>
      </c>
      <c r="V7893" s="19">
        <f>IF($B7893="","",TEXT($B7893,"0000"))</f>
        <v/>
      </c>
      <c r="W7893" s="19">
        <f>IF($I7893="","",IF(ISNUMBER($I7893),TEXT($I7893,"0"),$I7893))</f>
        <v/>
      </c>
    </row>
    <row r="7894">
      <c r="B7894" s="25" t="n"/>
      <c r="I7894" s="25" t="n"/>
      <c r="U7894" s="19">
        <f>IF($V7894&lt;&gt;'設定'!$C$4,N(U7893),IF(OR(NOT(COUNTIF('商品マスタ'!$B$6:$B$1005,$W7894)=0),COUNTIFS('①在庫を貼る'!$V$6:$V$10005,$V7894,'①在庫を貼る'!$W$6:$W$10005,$W7894)&gt;0),N(U7893),N(U7893)+1))</f>
        <v/>
      </c>
      <c r="V7894" s="19">
        <f>IF($B7894="","",TEXT($B7894,"0000"))</f>
        <v/>
      </c>
      <c r="W7894" s="19">
        <f>IF($I7894="","",IF(ISNUMBER($I7894),TEXT($I7894,"0"),$I7894))</f>
        <v/>
      </c>
    </row>
    <row r="7895">
      <c r="B7895" s="25" t="n"/>
      <c r="I7895" s="25" t="n"/>
      <c r="U7895" s="19">
        <f>IF($V7895&lt;&gt;'設定'!$C$4,N(U7894),IF(OR(NOT(COUNTIF('商品マスタ'!$B$6:$B$1005,$W7895)=0),COUNTIFS('①在庫を貼る'!$V$6:$V$10005,$V7895,'①在庫を貼る'!$W$6:$W$10005,$W7895)&gt;0),N(U7894),N(U7894)+1))</f>
        <v/>
      </c>
      <c r="V7895" s="19">
        <f>IF($B7895="","",TEXT($B7895,"0000"))</f>
        <v/>
      </c>
      <c r="W7895" s="19">
        <f>IF($I7895="","",IF(ISNUMBER($I7895),TEXT($I7895,"0"),$I7895))</f>
        <v/>
      </c>
    </row>
    <row r="7896">
      <c r="B7896" s="25" t="n"/>
      <c r="I7896" s="25" t="n"/>
      <c r="U7896" s="19">
        <f>IF($V7896&lt;&gt;'設定'!$C$4,N(U7895),IF(OR(NOT(COUNTIF('商品マスタ'!$B$6:$B$1005,$W7896)=0),COUNTIFS('①在庫を貼る'!$V$6:$V$10005,$V7896,'①在庫を貼る'!$W$6:$W$10005,$W7896)&gt;0),N(U7895),N(U7895)+1))</f>
        <v/>
      </c>
      <c r="V7896" s="19">
        <f>IF($B7896="","",TEXT($B7896,"0000"))</f>
        <v/>
      </c>
      <c r="W7896" s="19">
        <f>IF($I7896="","",IF(ISNUMBER($I7896),TEXT($I7896,"0"),$I7896))</f>
        <v/>
      </c>
    </row>
    <row r="7897">
      <c r="B7897" s="25" t="n"/>
      <c r="I7897" s="25" t="n"/>
      <c r="U7897" s="19">
        <f>IF($V7897&lt;&gt;'設定'!$C$4,N(U7896),IF(OR(NOT(COUNTIF('商品マスタ'!$B$6:$B$1005,$W7897)=0),COUNTIFS('①在庫を貼る'!$V$6:$V$10005,$V7897,'①在庫を貼る'!$W$6:$W$10005,$W7897)&gt;0),N(U7896),N(U7896)+1))</f>
        <v/>
      </c>
      <c r="V7897" s="19">
        <f>IF($B7897="","",TEXT($B7897,"0000"))</f>
        <v/>
      </c>
      <c r="W7897" s="19">
        <f>IF($I7897="","",IF(ISNUMBER($I7897),TEXT($I7897,"0"),$I7897))</f>
        <v/>
      </c>
    </row>
    <row r="7898">
      <c r="B7898" s="25" t="n"/>
      <c r="I7898" s="25" t="n"/>
      <c r="U7898" s="19">
        <f>IF($V7898&lt;&gt;'設定'!$C$4,N(U7897),IF(OR(NOT(COUNTIF('商品マスタ'!$B$6:$B$1005,$W7898)=0),COUNTIFS('①在庫を貼る'!$V$6:$V$10005,$V7898,'①在庫を貼る'!$W$6:$W$10005,$W7898)&gt;0),N(U7897),N(U7897)+1))</f>
        <v/>
      </c>
      <c r="V7898" s="19">
        <f>IF($B7898="","",TEXT($B7898,"0000"))</f>
        <v/>
      </c>
      <c r="W7898" s="19">
        <f>IF($I7898="","",IF(ISNUMBER($I7898),TEXT($I7898,"0"),$I7898))</f>
        <v/>
      </c>
    </row>
    <row r="7899">
      <c r="B7899" s="25" t="n"/>
      <c r="I7899" s="25" t="n"/>
      <c r="U7899" s="19">
        <f>IF($V7899&lt;&gt;'設定'!$C$4,N(U7898),IF(OR(NOT(COUNTIF('商品マスタ'!$B$6:$B$1005,$W7899)=0),COUNTIFS('①在庫を貼る'!$V$6:$V$10005,$V7899,'①在庫を貼る'!$W$6:$W$10005,$W7899)&gt;0),N(U7898),N(U7898)+1))</f>
        <v/>
      </c>
      <c r="V7899" s="19">
        <f>IF($B7899="","",TEXT($B7899,"0000"))</f>
        <v/>
      </c>
      <c r="W7899" s="19">
        <f>IF($I7899="","",IF(ISNUMBER($I7899),TEXT($I7899,"0"),$I7899))</f>
        <v/>
      </c>
    </row>
    <row r="7900">
      <c r="B7900" s="25" t="n"/>
      <c r="I7900" s="25" t="n"/>
      <c r="U7900" s="19">
        <f>IF($V7900&lt;&gt;'設定'!$C$4,N(U7899),IF(OR(NOT(COUNTIF('商品マスタ'!$B$6:$B$1005,$W7900)=0),COUNTIFS('①在庫を貼る'!$V$6:$V$10005,$V7900,'①在庫を貼る'!$W$6:$W$10005,$W7900)&gt;0),N(U7899),N(U7899)+1))</f>
        <v/>
      </c>
      <c r="V7900" s="19">
        <f>IF($B7900="","",TEXT($B7900,"0000"))</f>
        <v/>
      </c>
      <c r="W7900" s="19">
        <f>IF($I7900="","",IF(ISNUMBER($I7900),TEXT($I7900,"0"),$I7900))</f>
        <v/>
      </c>
    </row>
    <row r="7901">
      <c r="B7901" s="25" t="n"/>
      <c r="I7901" s="25" t="n"/>
      <c r="U7901" s="19">
        <f>IF($V7901&lt;&gt;'設定'!$C$4,N(U7900),IF(OR(NOT(COUNTIF('商品マスタ'!$B$6:$B$1005,$W7901)=0),COUNTIFS('①在庫を貼る'!$V$6:$V$10005,$V7901,'①在庫を貼る'!$W$6:$W$10005,$W7901)&gt;0),N(U7900),N(U7900)+1))</f>
        <v/>
      </c>
      <c r="V7901" s="19">
        <f>IF($B7901="","",TEXT($B7901,"0000"))</f>
        <v/>
      </c>
      <c r="W7901" s="19">
        <f>IF($I7901="","",IF(ISNUMBER($I7901),TEXT($I7901,"0"),$I7901))</f>
        <v/>
      </c>
    </row>
    <row r="7902">
      <c r="B7902" s="25" t="n"/>
      <c r="I7902" s="25" t="n"/>
      <c r="U7902" s="19">
        <f>IF($V7902&lt;&gt;'設定'!$C$4,N(U7901),IF(OR(NOT(COUNTIF('商品マスタ'!$B$6:$B$1005,$W7902)=0),COUNTIFS('①在庫を貼る'!$V$6:$V$10005,$V7902,'①在庫を貼る'!$W$6:$W$10005,$W7902)&gt;0),N(U7901),N(U7901)+1))</f>
        <v/>
      </c>
      <c r="V7902" s="19">
        <f>IF($B7902="","",TEXT($B7902,"0000"))</f>
        <v/>
      </c>
      <c r="W7902" s="19">
        <f>IF($I7902="","",IF(ISNUMBER($I7902),TEXT($I7902,"0"),$I7902))</f>
        <v/>
      </c>
    </row>
    <row r="7903">
      <c r="B7903" s="25" t="n"/>
      <c r="I7903" s="25" t="n"/>
      <c r="U7903" s="19">
        <f>IF($V7903&lt;&gt;'設定'!$C$4,N(U7902),IF(OR(NOT(COUNTIF('商品マスタ'!$B$6:$B$1005,$W7903)=0),COUNTIFS('①在庫を貼る'!$V$6:$V$10005,$V7903,'①在庫を貼る'!$W$6:$W$10005,$W7903)&gt;0),N(U7902),N(U7902)+1))</f>
        <v/>
      </c>
      <c r="V7903" s="19">
        <f>IF($B7903="","",TEXT($B7903,"0000"))</f>
        <v/>
      </c>
      <c r="W7903" s="19">
        <f>IF($I7903="","",IF(ISNUMBER($I7903),TEXT($I7903,"0"),$I7903))</f>
        <v/>
      </c>
    </row>
    <row r="7904">
      <c r="B7904" s="25" t="n"/>
      <c r="I7904" s="25" t="n"/>
      <c r="U7904" s="19">
        <f>IF($V7904&lt;&gt;'設定'!$C$4,N(U7903),IF(OR(NOT(COUNTIF('商品マスタ'!$B$6:$B$1005,$W7904)=0),COUNTIFS('①在庫を貼る'!$V$6:$V$10005,$V7904,'①在庫を貼る'!$W$6:$W$10005,$W7904)&gt;0),N(U7903),N(U7903)+1))</f>
        <v/>
      </c>
      <c r="V7904" s="19">
        <f>IF($B7904="","",TEXT($B7904,"0000"))</f>
        <v/>
      </c>
      <c r="W7904" s="19">
        <f>IF($I7904="","",IF(ISNUMBER($I7904),TEXT($I7904,"0"),$I7904))</f>
        <v/>
      </c>
    </row>
    <row r="7905">
      <c r="B7905" s="25" t="n"/>
      <c r="I7905" s="25" t="n"/>
      <c r="U7905" s="19">
        <f>IF($V7905&lt;&gt;'設定'!$C$4,N(U7904),IF(OR(NOT(COUNTIF('商品マスタ'!$B$6:$B$1005,$W7905)=0),COUNTIFS('①在庫を貼る'!$V$6:$V$10005,$V7905,'①在庫を貼る'!$W$6:$W$10005,$W7905)&gt;0),N(U7904),N(U7904)+1))</f>
        <v/>
      </c>
      <c r="V7905" s="19">
        <f>IF($B7905="","",TEXT($B7905,"0000"))</f>
        <v/>
      </c>
      <c r="W7905" s="19">
        <f>IF($I7905="","",IF(ISNUMBER($I7905),TEXT($I7905,"0"),$I7905))</f>
        <v/>
      </c>
    </row>
    <row r="7906">
      <c r="B7906" s="25" t="n"/>
      <c r="I7906" s="25" t="n"/>
      <c r="U7906" s="19">
        <f>IF($V7906&lt;&gt;'設定'!$C$4,N(U7905),IF(OR(NOT(COUNTIF('商品マスタ'!$B$6:$B$1005,$W7906)=0),COUNTIFS('①在庫を貼る'!$V$6:$V$10005,$V7906,'①在庫を貼る'!$W$6:$W$10005,$W7906)&gt;0),N(U7905),N(U7905)+1))</f>
        <v/>
      </c>
      <c r="V7906" s="19">
        <f>IF($B7906="","",TEXT($B7906,"0000"))</f>
        <v/>
      </c>
      <c r="W7906" s="19">
        <f>IF($I7906="","",IF(ISNUMBER($I7906),TEXT($I7906,"0"),$I7906))</f>
        <v/>
      </c>
    </row>
    <row r="7907">
      <c r="B7907" s="25" t="n"/>
      <c r="I7907" s="25" t="n"/>
      <c r="U7907" s="19">
        <f>IF($V7907&lt;&gt;'設定'!$C$4,N(U7906),IF(OR(NOT(COUNTIF('商品マスタ'!$B$6:$B$1005,$W7907)=0),COUNTIFS('①在庫を貼る'!$V$6:$V$10005,$V7907,'①在庫を貼る'!$W$6:$W$10005,$W7907)&gt;0),N(U7906),N(U7906)+1))</f>
        <v/>
      </c>
      <c r="V7907" s="19">
        <f>IF($B7907="","",TEXT($B7907,"0000"))</f>
        <v/>
      </c>
      <c r="W7907" s="19">
        <f>IF($I7907="","",IF(ISNUMBER($I7907),TEXT($I7907,"0"),$I7907))</f>
        <v/>
      </c>
    </row>
    <row r="7908">
      <c r="B7908" s="25" t="n"/>
      <c r="I7908" s="25" t="n"/>
      <c r="U7908" s="19">
        <f>IF($V7908&lt;&gt;'設定'!$C$4,N(U7907),IF(OR(NOT(COUNTIF('商品マスタ'!$B$6:$B$1005,$W7908)=0),COUNTIFS('①在庫を貼る'!$V$6:$V$10005,$V7908,'①在庫を貼る'!$W$6:$W$10005,$W7908)&gt;0),N(U7907),N(U7907)+1))</f>
        <v/>
      </c>
      <c r="V7908" s="19">
        <f>IF($B7908="","",TEXT($B7908,"0000"))</f>
        <v/>
      </c>
      <c r="W7908" s="19">
        <f>IF($I7908="","",IF(ISNUMBER($I7908),TEXT($I7908,"0"),$I7908))</f>
        <v/>
      </c>
    </row>
    <row r="7909">
      <c r="B7909" s="25" t="n"/>
      <c r="I7909" s="25" t="n"/>
      <c r="U7909" s="19">
        <f>IF($V7909&lt;&gt;'設定'!$C$4,N(U7908),IF(OR(NOT(COUNTIF('商品マスタ'!$B$6:$B$1005,$W7909)=0),COUNTIFS('①在庫を貼る'!$V$6:$V$10005,$V7909,'①在庫を貼る'!$W$6:$W$10005,$W7909)&gt;0),N(U7908),N(U7908)+1))</f>
        <v/>
      </c>
      <c r="V7909" s="19">
        <f>IF($B7909="","",TEXT($B7909,"0000"))</f>
        <v/>
      </c>
      <c r="W7909" s="19">
        <f>IF($I7909="","",IF(ISNUMBER($I7909),TEXT($I7909,"0"),$I7909))</f>
        <v/>
      </c>
    </row>
    <row r="7910">
      <c r="B7910" s="25" t="n"/>
      <c r="I7910" s="25" t="n"/>
      <c r="U7910" s="19">
        <f>IF($V7910&lt;&gt;'設定'!$C$4,N(U7909),IF(OR(NOT(COUNTIF('商品マスタ'!$B$6:$B$1005,$W7910)=0),COUNTIFS('①在庫を貼る'!$V$6:$V$10005,$V7910,'①在庫を貼る'!$W$6:$W$10005,$W7910)&gt;0),N(U7909),N(U7909)+1))</f>
        <v/>
      </c>
      <c r="V7910" s="19">
        <f>IF($B7910="","",TEXT($B7910,"0000"))</f>
        <v/>
      </c>
      <c r="W7910" s="19">
        <f>IF($I7910="","",IF(ISNUMBER($I7910),TEXT($I7910,"0"),$I7910))</f>
        <v/>
      </c>
    </row>
    <row r="7911">
      <c r="B7911" s="25" t="n"/>
      <c r="I7911" s="25" t="n"/>
      <c r="U7911" s="19">
        <f>IF($V7911&lt;&gt;'設定'!$C$4,N(U7910),IF(OR(NOT(COUNTIF('商品マスタ'!$B$6:$B$1005,$W7911)=0),COUNTIFS('①在庫を貼る'!$V$6:$V$10005,$V7911,'①在庫を貼る'!$W$6:$W$10005,$W7911)&gt;0),N(U7910),N(U7910)+1))</f>
        <v/>
      </c>
      <c r="V7911" s="19">
        <f>IF($B7911="","",TEXT($B7911,"0000"))</f>
        <v/>
      </c>
      <c r="W7911" s="19">
        <f>IF($I7911="","",IF(ISNUMBER($I7911),TEXT($I7911,"0"),$I7911))</f>
        <v/>
      </c>
    </row>
    <row r="7912">
      <c r="B7912" s="25" t="n"/>
      <c r="I7912" s="25" t="n"/>
      <c r="U7912" s="19">
        <f>IF($V7912&lt;&gt;'設定'!$C$4,N(U7911),IF(OR(NOT(COUNTIF('商品マスタ'!$B$6:$B$1005,$W7912)=0),COUNTIFS('①在庫を貼る'!$V$6:$V$10005,$V7912,'①在庫を貼る'!$W$6:$W$10005,$W7912)&gt;0),N(U7911),N(U7911)+1))</f>
        <v/>
      </c>
      <c r="V7912" s="19">
        <f>IF($B7912="","",TEXT($B7912,"0000"))</f>
        <v/>
      </c>
      <c r="W7912" s="19">
        <f>IF($I7912="","",IF(ISNUMBER($I7912),TEXT($I7912,"0"),$I7912))</f>
        <v/>
      </c>
    </row>
    <row r="7913">
      <c r="B7913" s="25" t="n"/>
      <c r="I7913" s="25" t="n"/>
      <c r="U7913" s="19">
        <f>IF($V7913&lt;&gt;'設定'!$C$4,N(U7912),IF(OR(NOT(COUNTIF('商品マスタ'!$B$6:$B$1005,$W7913)=0),COUNTIFS('①在庫を貼る'!$V$6:$V$10005,$V7913,'①在庫を貼る'!$W$6:$W$10005,$W7913)&gt;0),N(U7912),N(U7912)+1))</f>
        <v/>
      </c>
      <c r="V7913" s="19">
        <f>IF($B7913="","",TEXT($B7913,"0000"))</f>
        <v/>
      </c>
      <c r="W7913" s="19">
        <f>IF($I7913="","",IF(ISNUMBER($I7913),TEXT($I7913,"0"),$I7913))</f>
        <v/>
      </c>
    </row>
    <row r="7914">
      <c r="B7914" s="25" t="n"/>
      <c r="I7914" s="25" t="n"/>
      <c r="U7914" s="19">
        <f>IF($V7914&lt;&gt;'設定'!$C$4,N(U7913),IF(OR(NOT(COUNTIF('商品マスタ'!$B$6:$B$1005,$W7914)=0),COUNTIFS('①在庫を貼る'!$V$6:$V$10005,$V7914,'①在庫を貼る'!$W$6:$W$10005,$W7914)&gt;0),N(U7913),N(U7913)+1))</f>
        <v/>
      </c>
      <c r="V7914" s="19">
        <f>IF($B7914="","",TEXT($B7914,"0000"))</f>
        <v/>
      </c>
      <c r="W7914" s="19">
        <f>IF($I7914="","",IF(ISNUMBER($I7914),TEXT($I7914,"0"),$I7914))</f>
        <v/>
      </c>
    </row>
    <row r="7915">
      <c r="B7915" s="25" t="n"/>
      <c r="I7915" s="25" t="n"/>
      <c r="U7915" s="19">
        <f>IF($V7915&lt;&gt;'設定'!$C$4,N(U7914),IF(OR(NOT(COUNTIF('商品マスタ'!$B$6:$B$1005,$W7915)=0),COUNTIFS('①在庫を貼る'!$V$6:$V$10005,$V7915,'①在庫を貼る'!$W$6:$W$10005,$W7915)&gt;0),N(U7914),N(U7914)+1))</f>
        <v/>
      </c>
      <c r="V7915" s="19">
        <f>IF($B7915="","",TEXT($B7915,"0000"))</f>
        <v/>
      </c>
      <c r="W7915" s="19">
        <f>IF($I7915="","",IF(ISNUMBER($I7915),TEXT($I7915,"0"),$I7915))</f>
        <v/>
      </c>
    </row>
    <row r="7916">
      <c r="B7916" s="25" t="n"/>
      <c r="I7916" s="25" t="n"/>
      <c r="U7916" s="19">
        <f>IF($V7916&lt;&gt;'設定'!$C$4,N(U7915),IF(OR(NOT(COUNTIF('商品マスタ'!$B$6:$B$1005,$W7916)=0),COUNTIFS('①在庫を貼る'!$V$6:$V$10005,$V7916,'①在庫を貼る'!$W$6:$W$10005,$W7916)&gt;0),N(U7915),N(U7915)+1))</f>
        <v/>
      </c>
      <c r="V7916" s="19">
        <f>IF($B7916="","",TEXT($B7916,"0000"))</f>
        <v/>
      </c>
      <c r="W7916" s="19">
        <f>IF($I7916="","",IF(ISNUMBER($I7916),TEXT($I7916,"0"),$I7916))</f>
        <v/>
      </c>
    </row>
    <row r="7917">
      <c r="B7917" s="25" t="n"/>
      <c r="I7917" s="25" t="n"/>
      <c r="U7917" s="19">
        <f>IF($V7917&lt;&gt;'設定'!$C$4,N(U7916),IF(OR(NOT(COUNTIF('商品マスタ'!$B$6:$B$1005,$W7917)=0),COUNTIFS('①在庫を貼る'!$V$6:$V$10005,$V7917,'①在庫を貼る'!$W$6:$W$10005,$W7917)&gt;0),N(U7916),N(U7916)+1))</f>
        <v/>
      </c>
      <c r="V7917" s="19">
        <f>IF($B7917="","",TEXT($B7917,"0000"))</f>
        <v/>
      </c>
      <c r="W7917" s="19">
        <f>IF($I7917="","",IF(ISNUMBER($I7917),TEXT($I7917,"0"),$I7917))</f>
        <v/>
      </c>
    </row>
    <row r="7918">
      <c r="B7918" s="25" t="n"/>
      <c r="I7918" s="25" t="n"/>
      <c r="U7918" s="19">
        <f>IF($V7918&lt;&gt;'設定'!$C$4,N(U7917),IF(OR(NOT(COUNTIF('商品マスタ'!$B$6:$B$1005,$W7918)=0),COUNTIFS('①在庫を貼る'!$V$6:$V$10005,$V7918,'①在庫を貼る'!$W$6:$W$10005,$W7918)&gt;0),N(U7917),N(U7917)+1))</f>
        <v/>
      </c>
      <c r="V7918" s="19">
        <f>IF($B7918="","",TEXT($B7918,"0000"))</f>
        <v/>
      </c>
      <c r="W7918" s="19">
        <f>IF($I7918="","",IF(ISNUMBER($I7918),TEXT($I7918,"0"),$I7918))</f>
        <v/>
      </c>
    </row>
    <row r="7919">
      <c r="B7919" s="25" t="n"/>
      <c r="I7919" s="25" t="n"/>
      <c r="U7919" s="19">
        <f>IF($V7919&lt;&gt;'設定'!$C$4,N(U7918),IF(OR(NOT(COUNTIF('商品マスタ'!$B$6:$B$1005,$W7919)=0),COUNTIFS('①在庫を貼る'!$V$6:$V$10005,$V7919,'①在庫を貼る'!$W$6:$W$10005,$W7919)&gt;0),N(U7918),N(U7918)+1))</f>
        <v/>
      </c>
      <c r="V7919" s="19">
        <f>IF($B7919="","",TEXT($B7919,"0000"))</f>
        <v/>
      </c>
      <c r="W7919" s="19">
        <f>IF($I7919="","",IF(ISNUMBER($I7919),TEXT($I7919,"0"),$I7919))</f>
        <v/>
      </c>
    </row>
    <row r="7920">
      <c r="B7920" s="25" t="n"/>
      <c r="I7920" s="25" t="n"/>
      <c r="U7920" s="19">
        <f>IF($V7920&lt;&gt;'設定'!$C$4,N(U7919),IF(OR(NOT(COUNTIF('商品マスタ'!$B$6:$B$1005,$W7920)=0),COUNTIFS('①在庫を貼る'!$V$6:$V$10005,$V7920,'①在庫を貼る'!$W$6:$W$10005,$W7920)&gt;0),N(U7919),N(U7919)+1))</f>
        <v/>
      </c>
      <c r="V7920" s="19">
        <f>IF($B7920="","",TEXT($B7920,"0000"))</f>
        <v/>
      </c>
      <c r="W7920" s="19">
        <f>IF($I7920="","",IF(ISNUMBER($I7920),TEXT($I7920,"0"),$I7920))</f>
        <v/>
      </c>
    </row>
    <row r="7921">
      <c r="B7921" s="25" t="n"/>
      <c r="I7921" s="25" t="n"/>
      <c r="U7921" s="19">
        <f>IF($V7921&lt;&gt;'設定'!$C$4,N(U7920),IF(OR(NOT(COUNTIF('商品マスタ'!$B$6:$B$1005,$W7921)=0),COUNTIFS('①在庫を貼る'!$V$6:$V$10005,$V7921,'①在庫を貼る'!$W$6:$W$10005,$W7921)&gt;0),N(U7920),N(U7920)+1))</f>
        <v/>
      </c>
      <c r="V7921" s="19">
        <f>IF($B7921="","",TEXT($B7921,"0000"))</f>
        <v/>
      </c>
      <c r="W7921" s="19">
        <f>IF($I7921="","",IF(ISNUMBER($I7921),TEXT($I7921,"0"),$I7921))</f>
        <v/>
      </c>
    </row>
    <row r="7922">
      <c r="B7922" s="25" t="n"/>
      <c r="I7922" s="25" t="n"/>
      <c r="U7922" s="19">
        <f>IF($V7922&lt;&gt;'設定'!$C$4,N(U7921),IF(OR(NOT(COUNTIF('商品マスタ'!$B$6:$B$1005,$W7922)=0),COUNTIFS('①在庫を貼る'!$V$6:$V$10005,$V7922,'①在庫を貼る'!$W$6:$W$10005,$W7922)&gt;0),N(U7921),N(U7921)+1))</f>
        <v/>
      </c>
      <c r="V7922" s="19">
        <f>IF($B7922="","",TEXT($B7922,"0000"))</f>
        <v/>
      </c>
      <c r="W7922" s="19">
        <f>IF($I7922="","",IF(ISNUMBER($I7922),TEXT($I7922,"0"),$I7922))</f>
        <v/>
      </c>
    </row>
    <row r="7923">
      <c r="B7923" s="25" t="n"/>
      <c r="I7923" s="25" t="n"/>
      <c r="U7923" s="19">
        <f>IF($V7923&lt;&gt;'設定'!$C$4,N(U7922),IF(OR(NOT(COUNTIF('商品マスタ'!$B$6:$B$1005,$W7923)=0),COUNTIFS('①在庫を貼る'!$V$6:$V$10005,$V7923,'①在庫を貼る'!$W$6:$W$10005,$W7923)&gt;0),N(U7922),N(U7922)+1))</f>
        <v/>
      </c>
      <c r="V7923" s="19">
        <f>IF($B7923="","",TEXT($B7923,"0000"))</f>
        <v/>
      </c>
      <c r="W7923" s="19">
        <f>IF($I7923="","",IF(ISNUMBER($I7923),TEXT($I7923,"0"),$I7923))</f>
        <v/>
      </c>
    </row>
    <row r="7924">
      <c r="B7924" s="25" t="n"/>
      <c r="I7924" s="25" t="n"/>
      <c r="U7924" s="19">
        <f>IF($V7924&lt;&gt;'設定'!$C$4,N(U7923),IF(OR(NOT(COUNTIF('商品マスタ'!$B$6:$B$1005,$W7924)=0),COUNTIFS('①在庫を貼る'!$V$6:$V$10005,$V7924,'①在庫を貼る'!$W$6:$W$10005,$W7924)&gt;0),N(U7923),N(U7923)+1))</f>
        <v/>
      </c>
      <c r="V7924" s="19">
        <f>IF($B7924="","",TEXT($B7924,"0000"))</f>
        <v/>
      </c>
      <c r="W7924" s="19">
        <f>IF($I7924="","",IF(ISNUMBER($I7924),TEXT($I7924,"0"),$I7924))</f>
        <v/>
      </c>
    </row>
    <row r="7925">
      <c r="B7925" s="25" t="n"/>
      <c r="I7925" s="25" t="n"/>
      <c r="U7925" s="19">
        <f>IF($V7925&lt;&gt;'設定'!$C$4,N(U7924),IF(OR(NOT(COUNTIF('商品マスタ'!$B$6:$B$1005,$W7925)=0),COUNTIFS('①在庫を貼る'!$V$6:$V$10005,$V7925,'①在庫を貼る'!$W$6:$W$10005,$W7925)&gt;0),N(U7924),N(U7924)+1))</f>
        <v/>
      </c>
      <c r="V7925" s="19">
        <f>IF($B7925="","",TEXT($B7925,"0000"))</f>
        <v/>
      </c>
      <c r="W7925" s="19">
        <f>IF($I7925="","",IF(ISNUMBER($I7925),TEXT($I7925,"0"),$I7925))</f>
        <v/>
      </c>
    </row>
    <row r="7926">
      <c r="B7926" s="25" t="n"/>
      <c r="I7926" s="25" t="n"/>
      <c r="U7926" s="19">
        <f>IF($V7926&lt;&gt;'設定'!$C$4,N(U7925),IF(OR(NOT(COUNTIF('商品マスタ'!$B$6:$B$1005,$W7926)=0),COUNTIFS('①在庫を貼る'!$V$6:$V$10005,$V7926,'①在庫を貼る'!$W$6:$W$10005,$W7926)&gt;0),N(U7925),N(U7925)+1))</f>
        <v/>
      </c>
      <c r="V7926" s="19">
        <f>IF($B7926="","",TEXT($B7926,"0000"))</f>
        <v/>
      </c>
      <c r="W7926" s="19">
        <f>IF($I7926="","",IF(ISNUMBER($I7926),TEXT($I7926,"0"),$I7926))</f>
        <v/>
      </c>
    </row>
    <row r="7927">
      <c r="B7927" s="25" t="n"/>
      <c r="I7927" s="25" t="n"/>
      <c r="U7927" s="19">
        <f>IF($V7927&lt;&gt;'設定'!$C$4,N(U7926),IF(OR(NOT(COUNTIF('商品マスタ'!$B$6:$B$1005,$W7927)=0),COUNTIFS('①在庫を貼る'!$V$6:$V$10005,$V7927,'①在庫を貼る'!$W$6:$W$10005,$W7927)&gt;0),N(U7926),N(U7926)+1))</f>
        <v/>
      </c>
      <c r="V7927" s="19">
        <f>IF($B7927="","",TEXT($B7927,"0000"))</f>
        <v/>
      </c>
      <c r="W7927" s="19">
        <f>IF($I7927="","",IF(ISNUMBER($I7927),TEXT($I7927,"0"),$I7927))</f>
        <v/>
      </c>
    </row>
    <row r="7928">
      <c r="B7928" s="25" t="n"/>
      <c r="I7928" s="25" t="n"/>
      <c r="U7928" s="19">
        <f>IF($V7928&lt;&gt;'設定'!$C$4,N(U7927),IF(OR(NOT(COUNTIF('商品マスタ'!$B$6:$B$1005,$W7928)=0),COUNTIFS('①在庫を貼る'!$V$6:$V$10005,$V7928,'①在庫を貼る'!$W$6:$W$10005,$W7928)&gt;0),N(U7927),N(U7927)+1))</f>
        <v/>
      </c>
      <c r="V7928" s="19">
        <f>IF($B7928="","",TEXT($B7928,"0000"))</f>
        <v/>
      </c>
      <c r="W7928" s="19">
        <f>IF($I7928="","",IF(ISNUMBER($I7928),TEXT($I7928,"0"),$I7928))</f>
        <v/>
      </c>
    </row>
    <row r="7929">
      <c r="B7929" s="25" t="n"/>
      <c r="I7929" s="25" t="n"/>
      <c r="U7929" s="19">
        <f>IF($V7929&lt;&gt;'設定'!$C$4,N(U7928),IF(OR(NOT(COUNTIF('商品マスタ'!$B$6:$B$1005,$W7929)=0),COUNTIFS('①在庫を貼る'!$V$6:$V$10005,$V7929,'①在庫を貼る'!$W$6:$W$10005,$W7929)&gt;0),N(U7928),N(U7928)+1))</f>
        <v/>
      </c>
      <c r="V7929" s="19">
        <f>IF($B7929="","",TEXT($B7929,"0000"))</f>
        <v/>
      </c>
      <c r="W7929" s="19">
        <f>IF($I7929="","",IF(ISNUMBER($I7929),TEXT($I7929,"0"),$I7929))</f>
        <v/>
      </c>
    </row>
    <row r="7930">
      <c r="B7930" s="25" t="n"/>
      <c r="I7930" s="25" t="n"/>
      <c r="U7930" s="19">
        <f>IF($V7930&lt;&gt;'設定'!$C$4,N(U7929),IF(OR(NOT(COUNTIF('商品マスタ'!$B$6:$B$1005,$W7930)=0),COUNTIFS('①在庫を貼る'!$V$6:$V$10005,$V7930,'①在庫を貼る'!$W$6:$W$10005,$W7930)&gt;0),N(U7929),N(U7929)+1))</f>
        <v/>
      </c>
      <c r="V7930" s="19">
        <f>IF($B7930="","",TEXT($B7930,"0000"))</f>
        <v/>
      </c>
      <c r="W7930" s="19">
        <f>IF($I7930="","",IF(ISNUMBER($I7930),TEXT($I7930,"0"),$I7930))</f>
        <v/>
      </c>
    </row>
    <row r="7931">
      <c r="B7931" s="25" t="n"/>
      <c r="I7931" s="25" t="n"/>
      <c r="U7931" s="19">
        <f>IF($V7931&lt;&gt;'設定'!$C$4,N(U7930),IF(OR(NOT(COUNTIF('商品マスタ'!$B$6:$B$1005,$W7931)=0),COUNTIFS('①在庫を貼る'!$V$6:$V$10005,$V7931,'①在庫を貼る'!$W$6:$W$10005,$W7931)&gt;0),N(U7930),N(U7930)+1))</f>
        <v/>
      </c>
      <c r="V7931" s="19">
        <f>IF($B7931="","",TEXT($B7931,"0000"))</f>
        <v/>
      </c>
      <c r="W7931" s="19">
        <f>IF($I7931="","",IF(ISNUMBER($I7931),TEXT($I7931,"0"),$I7931))</f>
        <v/>
      </c>
    </row>
    <row r="7932">
      <c r="B7932" s="25" t="n"/>
      <c r="I7932" s="25" t="n"/>
      <c r="U7932" s="19">
        <f>IF($V7932&lt;&gt;'設定'!$C$4,N(U7931),IF(OR(NOT(COUNTIF('商品マスタ'!$B$6:$B$1005,$W7932)=0),COUNTIFS('①在庫を貼る'!$V$6:$V$10005,$V7932,'①在庫を貼る'!$W$6:$W$10005,$W7932)&gt;0),N(U7931),N(U7931)+1))</f>
        <v/>
      </c>
      <c r="V7932" s="19">
        <f>IF($B7932="","",TEXT($B7932,"0000"))</f>
        <v/>
      </c>
      <c r="W7932" s="19">
        <f>IF($I7932="","",IF(ISNUMBER($I7932),TEXT($I7932,"0"),$I7932))</f>
        <v/>
      </c>
    </row>
    <row r="7933">
      <c r="B7933" s="25" t="n"/>
      <c r="I7933" s="25" t="n"/>
      <c r="U7933" s="19">
        <f>IF($V7933&lt;&gt;'設定'!$C$4,N(U7932),IF(OR(NOT(COUNTIF('商品マスタ'!$B$6:$B$1005,$W7933)=0),COUNTIFS('①在庫を貼る'!$V$6:$V$10005,$V7933,'①在庫を貼る'!$W$6:$W$10005,$W7933)&gt;0),N(U7932),N(U7932)+1))</f>
        <v/>
      </c>
      <c r="V7933" s="19">
        <f>IF($B7933="","",TEXT($B7933,"0000"))</f>
        <v/>
      </c>
      <c r="W7933" s="19">
        <f>IF($I7933="","",IF(ISNUMBER($I7933),TEXT($I7933,"0"),$I7933))</f>
        <v/>
      </c>
    </row>
    <row r="7934">
      <c r="B7934" s="25" t="n"/>
      <c r="I7934" s="25" t="n"/>
      <c r="U7934" s="19">
        <f>IF($V7934&lt;&gt;'設定'!$C$4,N(U7933),IF(OR(NOT(COUNTIF('商品マスタ'!$B$6:$B$1005,$W7934)=0),COUNTIFS('①在庫を貼る'!$V$6:$V$10005,$V7934,'①在庫を貼る'!$W$6:$W$10005,$W7934)&gt;0),N(U7933),N(U7933)+1))</f>
        <v/>
      </c>
      <c r="V7934" s="19">
        <f>IF($B7934="","",TEXT($B7934,"0000"))</f>
        <v/>
      </c>
      <c r="W7934" s="19">
        <f>IF($I7934="","",IF(ISNUMBER($I7934),TEXT($I7934,"0"),$I7934))</f>
        <v/>
      </c>
    </row>
    <row r="7935">
      <c r="B7935" s="25" t="n"/>
      <c r="I7935" s="25" t="n"/>
      <c r="U7935" s="19">
        <f>IF($V7935&lt;&gt;'設定'!$C$4,N(U7934),IF(OR(NOT(COUNTIF('商品マスタ'!$B$6:$B$1005,$W7935)=0),COUNTIFS('①在庫を貼る'!$V$6:$V$10005,$V7935,'①在庫を貼る'!$W$6:$W$10005,$W7935)&gt;0),N(U7934),N(U7934)+1))</f>
        <v/>
      </c>
      <c r="V7935" s="19">
        <f>IF($B7935="","",TEXT($B7935,"0000"))</f>
        <v/>
      </c>
      <c r="W7935" s="19">
        <f>IF($I7935="","",IF(ISNUMBER($I7935),TEXT($I7935,"0"),$I7935))</f>
        <v/>
      </c>
    </row>
    <row r="7936">
      <c r="B7936" s="25" t="n"/>
      <c r="I7936" s="25" t="n"/>
      <c r="U7936" s="19">
        <f>IF($V7936&lt;&gt;'設定'!$C$4,N(U7935),IF(OR(NOT(COUNTIF('商品マスタ'!$B$6:$B$1005,$W7936)=0),COUNTIFS('①在庫を貼る'!$V$6:$V$10005,$V7936,'①在庫を貼る'!$W$6:$W$10005,$W7936)&gt;0),N(U7935),N(U7935)+1))</f>
        <v/>
      </c>
      <c r="V7936" s="19">
        <f>IF($B7936="","",TEXT($B7936,"0000"))</f>
        <v/>
      </c>
      <c r="W7936" s="19">
        <f>IF($I7936="","",IF(ISNUMBER($I7936),TEXT($I7936,"0"),$I7936))</f>
        <v/>
      </c>
    </row>
    <row r="7937">
      <c r="B7937" s="25" t="n"/>
      <c r="I7937" s="25" t="n"/>
      <c r="U7937" s="19">
        <f>IF($V7937&lt;&gt;'設定'!$C$4,N(U7936),IF(OR(NOT(COUNTIF('商品マスタ'!$B$6:$B$1005,$W7937)=0),COUNTIFS('①在庫を貼る'!$V$6:$V$10005,$V7937,'①在庫を貼る'!$W$6:$W$10005,$W7937)&gt;0),N(U7936),N(U7936)+1))</f>
        <v/>
      </c>
      <c r="V7937" s="19">
        <f>IF($B7937="","",TEXT($B7937,"0000"))</f>
        <v/>
      </c>
      <c r="W7937" s="19">
        <f>IF($I7937="","",IF(ISNUMBER($I7937),TEXT($I7937,"0"),$I7937))</f>
        <v/>
      </c>
    </row>
    <row r="7938">
      <c r="B7938" s="25" t="n"/>
      <c r="I7938" s="25" t="n"/>
      <c r="U7938" s="19">
        <f>IF($V7938&lt;&gt;'設定'!$C$4,N(U7937),IF(OR(NOT(COUNTIF('商品マスタ'!$B$6:$B$1005,$W7938)=0),COUNTIFS('①在庫を貼る'!$V$6:$V$10005,$V7938,'①在庫を貼る'!$W$6:$W$10005,$W7938)&gt;0),N(U7937),N(U7937)+1))</f>
        <v/>
      </c>
      <c r="V7938" s="19">
        <f>IF($B7938="","",TEXT($B7938,"0000"))</f>
        <v/>
      </c>
      <c r="W7938" s="19">
        <f>IF($I7938="","",IF(ISNUMBER($I7938),TEXT($I7938,"0"),$I7938))</f>
        <v/>
      </c>
    </row>
    <row r="7939">
      <c r="B7939" s="25" t="n"/>
      <c r="I7939" s="25" t="n"/>
      <c r="U7939" s="19">
        <f>IF($V7939&lt;&gt;'設定'!$C$4,N(U7938),IF(OR(NOT(COUNTIF('商品マスタ'!$B$6:$B$1005,$W7939)=0),COUNTIFS('①在庫を貼る'!$V$6:$V$10005,$V7939,'①在庫を貼る'!$W$6:$W$10005,$W7939)&gt;0),N(U7938),N(U7938)+1))</f>
        <v/>
      </c>
      <c r="V7939" s="19">
        <f>IF($B7939="","",TEXT($B7939,"0000"))</f>
        <v/>
      </c>
      <c r="W7939" s="19">
        <f>IF($I7939="","",IF(ISNUMBER($I7939),TEXT($I7939,"0"),$I7939))</f>
        <v/>
      </c>
    </row>
    <row r="7940">
      <c r="B7940" s="25" t="n"/>
      <c r="I7940" s="25" t="n"/>
      <c r="U7940" s="19">
        <f>IF($V7940&lt;&gt;'設定'!$C$4,N(U7939),IF(OR(NOT(COUNTIF('商品マスタ'!$B$6:$B$1005,$W7940)=0),COUNTIFS('①在庫を貼る'!$V$6:$V$10005,$V7940,'①在庫を貼る'!$W$6:$W$10005,$W7940)&gt;0),N(U7939),N(U7939)+1))</f>
        <v/>
      </c>
      <c r="V7940" s="19">
        <f>IF($B7940="","",TEXT($B7940,"0000"))</f>
        <v/>
      </c>
      <c r="W7940" s="19">
        <f>IF($I7940="","",IF(ISNUMBER($I7940),TEXT($I7940,"0"),$I7940))</f>
        <v/>
      </c>
    </row>
    <row r="7941">
      <c r="B7941" s="25" t="n"/>
      <c r="I7941" s="25" t="n"/>
      <c r="U7941" s="19">
        <f>IF($V7941&lt;&gt;'設定'!$C$4,N(U7940),IF(OR(NOT(COUNTIF('商品マスタ'!$B$6:$B$1005,$W7941)=0),COUNTIFS('①在庫を貼る'!$V$6:$V$10005,$V7941,'①在庫を貼る'!$W$6:$W$10005,$W7941)&gt;0),N(U7940),N(U7940)+1))</f>
        <v/>
      </c>
      <c r="V7941" s="19">
        <f>IF($B7941="","",TEXT($B7941,"0000"))</f>
        <v/>
      </c>
      <c r="W7941" s="19">
        <f>IF($I7941="","",IF(ISNUMBER($I7941),TEXT($I7941,"0"),$I7941))</f>
        <v/>
      </c>
    </row>
    <row r="7942">
      <c r="B7942" s="25" t="n"/>
      <c r="I7942" s="25" t="n"/>
      <c r="U7942" s="19">
        <f>IF($V7942&lt;&gt;'設定'!$C$4,N(U7941),IF(OR(NOT(COUNTIF('商品マスタ'!$B$6:$B$1005,$W7942)=0),COUNTIFS('①在庫を貼る'!$V$6:$V$10005,$V7942,'①在庫を貼る'!$W$6:$W$10005,$W7942)&gt;0),N(U7941),N(U7941)+1))</f>
        <v/>
      </c>
      <c r="V7942" s="19">
        <f>IF($B7942="","",TEXT($B7942,"0000"))</f>
        <v/>
      </c>
      <c r="W7942" s="19">
        <f>IF($I7942="","",IF(ISNUMBER($I7942),TEXT($I7942,"0"),$I7942))</f>
        <v/>
      </c>
    </row>
    <row r="7943">
      <c r="B7943" s="25" t="n"/>
      <c r="I7943" s="25" t="n"/>
      <c r="U7943" s="19">
        <f>IF($V7943&lt;&gt;'設定'!$C$4,N(U7942),IF(OR(NOT(COUNTIF('商品マスタ'!$B$6:$B$1005,$W7943)=0),COUNTIFS('①在庫を貼る'!$V$6:$V$10005,$V7943,'①在庫を貼る'!$W$6:$W$10005,$W7943)&gt;0),N(U7942),N(U7942)+1))</f>
        <v/>
      </c>
      <c r="V7943" s="19">
        <f>IF($B7943="","",TEXT($B7943,"0000"))</f>
        <v/>
      </c>
      <c r="W7943" s="19">
        <f>IF($I7943="","",IF(ISNUMBER($I7943),TEXT($I7943,"0"),$I7943))</f>
        <v/>
      </c>
    </row>
    <row r="7944">
      <c r="B7944" s="25" t="n"/>
      <c r="I7944" s="25" t="n"/>
      <c r="U7944" s="19">
        <f>IF($V7944&lt;&gt;'設定'!$C$4,N(U7943),IF(OR(NOT(COUNTIF('商品マスタ'!$B$6:$B$1005,$W7944)=0),COUNTIFS('①在庫を貼る'!$V$6:$V$10005,$V7944,'①在庫を貼る'!$W$6:$W$10005,$W7944)&gt;0),N(U7943),N(U7943)+1))</f>
        <v/>
      </c>
      <c r="V7944" s="19">
        <f>IF($B7944="","",TEXT($B7944,"0000"))</f>
        <v/>
      </c>
      <c r="W7944" s="19">
        <f>IF($I7944="","",IF(ISNUMBER($I7944),TEXT($I7944,"0"),$I7944))</f>
        <v/>
      </c>
    </row>
    <row r="7945">
      <c r="B7945" s="25" t="n"/>
      <c r="I7945" s="25" t="n"/>
      <c r="U7945" s="19">
        <f>IF($V7945&lt;&gt;'設定'!$C$4,N(U7944),IF(OR(NOT(COUNTIF('商品マスタ'!$B$6:$B$1005,$W7945)=0),COUNTIFS('①在庫を貼る'!$V$6:$V$10005,$V7945,'①在庫を貼る'!$W$6:$W$10005,$W7945)&gt;0),N(U7944),N(U7944)+1))</f>
        <v/>
      </c>
      <c r="V7945" s="19">
        <f>IF($B7945="","",TEXT($B7945,"0000"))</f>
        <v/>
      </c>
      <c r="W7945" s="19">
        <f>IF($I7945="","",IF(ISNUMBER($I7945),TEXT($I7945,"0"),$I7945))</f>
        <v/>
      </c>
    </row>
    <row r="7946">
      <c r="B7946" s="25" t="n"/>
      <c r="I7946" s="25" t="n"/>
      <c r="U7946" s="19">
        <f>IF($V7946&lt;&gt;'設定'!$C$4,N(U7945),IF(OR(NOT(COUNTIF('商品マスタ'!$B$6:$B$1005,$W7946)=0),COUNTIFS('①在庫を貼る'!$V$6:$V$10005,$V7946,'①在庫を貼る'!$W$6:$W$10005,$W7946)&gt;0),N(U7945),N(U7945)+1))</f>
        <v/>
      </c>
      <c r="V7946" s="19">
        <f>IF($B7946="","",TEXT($B7946,"0000"))</f>
        <v/>
      </c>
      <c r="W7946" s="19">
        <f>IF($I7946="","",IF(ISNUMBER($I7946),TEXT($I7946,"0"),$I7946))</f>
        <v/>
      </c>
    </row>
    <row r="7947">
      <c r="B7947" s="25" t="n"/>
      <c r="I7947" s="25" t="n"/>
      <c r="U7947" s="19">
        <f>IF($V7947&lt;&gt;'設定'!$C$4,N(U7946),IF(OR(NOT(COUNTIF('商品マスタ'!$B$6:$B$1005,$W7947)=0),COUNTIFS('①在庫を貼る'!$V$6:$V$10005,$V7947,'①在庫を貼る'!$W$6:$W$10005,$W7947)&gt;0),N(U7946),N(U7946)+1))</f>
        <v/>
      </c>
      <c r="V7947" s="19">
        <f>IF($B7947="","",TEXT($B7947,"0000"))</f>
        <v/>
      </c>
      <c r="W7947" s="19">
        <f>IF($I7947="","",IF(ISNUMBER($I7947),TEXT($I7947,"0"),$I7947))</f>
        <v/>
      </c>
    </row>
    <row r="7948">
      <c r="B7948" s="25" t="n"/>
      <c r="I7948" s="25" t="n"/>
      <c r="U7948" s="19">
        <f>IF($V7948&lt;&gt;'設定'!$C$4,N(U7947),IF(OR(NOT(COUNTIF('商品マスタ'!$B$6:$B$1005,$W7948)=0),COUNTIFS('①在庫を貼る'!$V$6:$V$10005,$V7948,'①在庫を貼る'!$W$6:$W$10005,$W7948)&gt;0),N(U7947),N(U7947)+1))</f>
        <v/>
      </c>
      <c r="V7948" s="19">
        <f>IF($B7948="","",TEXT($B7948,"0000"))</f>
        <v/>
      </c>
      <c r="W7948" s="19">
        <f>IF($I7948="","",IF(ISNUMBER($I7948),TEXT($I7948,"0"),$I7948))</f>
        <v/>
      </c>
    </row>
    <row r="7949">
      <c r="B7949" s="25" t="n"/>
      <c r="I7949" s="25" t="n"/>
      <c r="U7949" s="19">
        <f>IF($V7949&lt;&gt;'設定'!$C$4,N(U7948),IF(OR(NOT(COUNTIF('商品マスタ'!$B$6:$B$1005,$W7949)=0),COUNTIFS('①在庫を貼る'!$V$6:$V$10005,$V7949,'①在庫を貼る'!$W$6:$W$10005,$W7949)&gt;0),N(U7948),N(U7948)+1))</f>
        <v/>
      </c>
      <c r="V7949" s="19">
        <f>IF($B7949="","",TEXT($B7949,"0000"))</f>
        <v/>
      </c>
      <c r="W7949" s="19">
        <f>IF($I7949="","",IF(ISNUMBER($I7949),TEXT($I7949,"0"),$I7949))</f>
        <v/>
      </c>
    </row>
    <row r="7950">
      <c r="B7950" s="25" t="n"/>
      <c r="I7950" s="25" t="n"/>
      <c r="U7950" s="19">
        <f>IF($V7950&lt;&gt;'設定'!$C$4,N(U7949),IF(OR(NOT(COUNTIF('商品マスタ'!$B$6:$B$1005,$W7950)=0),COUNTIFS('①在庫を貼る'!$V$6:$V$10005,$V7950,'①在庫を貼る'!$W$6:$W$10005,$W7950)&gt;0),N(U7949),N(U7949)+1))</f>
        <v/>
      </c>
      <c r="V7950" s="19">
        <f>IF($B7950="","",TEXT($B7950,"0000"))</f>
        <v/>
      </c>
      <c r="W7950" s="19">
        <f>IF($I7950="","",IF(ISNUMBER($I7950),TEXT($I7950,"0"),$I7950))</f>
        <v/>
      </c>
    </row>
    <row r="7951">
      <c r="B7951" s="25" t="n"/>
      <c r="I7951" s="25" t="n"/>
      <c r="U7951" s="19">
        <f>IF($V7951&lt;&gt;'設定'!$C$4,N(U7950),IF(OR(NOT(COUNTIF('商品マスタ'!$B$6:$B$1005,$W7951)=0),COUNTIFS('①在庫を貼る'!$V$6:$V$10005,$V7951,'①在庫を貼る'!$W$6:$W$10005,$W7951)&gt;0),N(U7950),N(U7950)+1))</f>
        <v/>
      </c>
      <c r="V7951" s="19">
        <f>IF($B7951="","",TEXT($B7951,"0000"))</f>
        <v/>
      </c>
      <c r="W7951" s="19">
        <f>IF($I7951="","",IF(ISNUMBER($I7951),TEXT($I7951,"0"),$I7951))</f>
        <v/>
      </c>
    </row>
    <row r="7952">
      <c r="B7952" s="25" t="n"/>
      <c r="I7952" s="25" t="n"/>
      <c r="U7952" s="19">
        <f>IF($V7952&lt;&gt;'設定'!$C$4,N(U7951),IF(OR(NOT(COUNTIF('商品マスタ'!$B$6:$B$1005,$W7952)=0),COUNTIFS('①在庫を貼る'!$V$6:$V$10005,$V7952,'①在庫を貼る'!$W$6:$W$10005,$W7952)&gt;0),N(U7951),N(U7951)+1))</f>
        <v/>
      </c>
      <c r="V7952" s="19">
        <f>IF($B7952="","",TEXT($B7952,"0000"))</f>
        <v/>
      </c>
      <c r="W7952" s="19">
        <f>IF($I7952="","",IF(ISNUMBER($I7952),TEXT($I7952,"0"),$I7952))</f>
        <v/>
      </c>
    </row>
    <row r="7953">
      <c r="B7953" s="25" t="n"/>
      <c r="I7953" s="25" t="n"/>
      <c r="U7953" s="19">
        <f>IF($V7953&lt;&gt;'設定'!$C$4,N(U7952),IF(OR(NOT(COUNTIF('商品マスタ'!$B$6:$B$1005,$W7953)=0),COUNTIFS('①在庫を貼る'!$V$6:$V$10005,$V7953,'①在庫を貼る'!$W$6:$W$10005,$W7953)&gt;0),N(U7952),N(U7952)+1))</f>
        <v/>
      </c>
      <c r="V7953" s="19">
        <f>IF($B7953="","",TEXT($B7953,"0000"))</f>
        <v/>
      </c>
      <c r="W7953" s="19">
        <f>IF($I7953="","",IF(ISNUMBER($I7953),TEXT($I7953,"0"),$I7953))</f>
        <v/>
      </c>
    </row>
    <row r="7954">
      <c r="B7954" s="25" t="n"/>
      <c r="I7954" s="25" t="n"/>
      <c r="U7954" s="19">
        <f>IF($V7954&lt;&gt;'設定'!$C$4,N(U7953),IF(OR(NOT(COUNTIF('商品マスタ'!$B$6:$B$1005,$W7954)=0),COUNTIFS('①在庫を貼る'!$V$6:$V$10005,$V7954,'①在庫を貼る'!$W$6:$W$10005,$W7954)&gt;0),N(U7953),N(U7953)+1))</f>
        <v/>
      </c>
      <c r="V7954" s="19">
        <f>IF($B7954="","",TEXT($B7954,"0000"))</f>
        <v/>
      </c>
      <c r="W7954" s="19">
        <f>IF($I7954="","",IF(ISNUMBER($I7954),TEXT($I7954,"0"),$I7954))</f>
        <v/>
      </c>
    </row>
    <row r="7955">
      <c r="B7955" s="25" t="n"/>
      <c r="I7955" s="25" t="n"/>
      <c r="U7955" s="19">
        <f>IF($V7955&lt;&gt;'設定'!$C$4,N(U7954),IF(OR(NOT(COUNTIF('商品マスタ'!$B$6:$B$1005,$W7955)=0),COUNTIFS('①在庫を貼る'!$V$6:$V$10005,$V7955,'①在庫を貼る'!$W$6:$W$10005,$W7955)&gt;0),N(U7954),N(U7954)+1))</f>
        <v/>
      </c>
      <c r="V7955" s="19">
        <f>IF($B7955="","",TEXT($B7955,"0000"))</f>
        <v/>
      </c>
      <c r="W7955" s="19">
        <f>IF($I7955="","",IF(ISNUMBER($I7955),TEXT($I7955,"0"),$I7955))</f>
        <v/>
      </c>
    </row>
    <row r="7956">
      <c r="B7956" s="25" t="n"/>
      <c r="I7956" s="25" t="n"/>
      <c r="U7956" s="19">
        <f>IF($V7956&lt;&gt;'設定'!$C$4,N(U7955),IF(OR(NOT(COUNTIF('商品マスタ'!$B$6:$B$1005,$W7956)=0),COUNTIFS('①在庫を貼る'!$V$6:$V$10005,$V7956,'①在庫を貼る'!$W$6:$W$10005,$W7956)&gt;0),N(U7955),N(U7955)+1))</f>
        <v/>
      </c>
      <c r="V7956" s="19">
        <f>IF($B7956="","",TEXT($B7956,"0000"))</f>
        <v/>
      </c>
      <c r="W7956" s="19">
        <f>IF($I7956="","",IF(ISNUMBER($I7956),TEXT($I7956,"0"),$I7956))</f>
        <v/>
      </c>
    </row>
    <row r="7957">
      <c r="B7957" s="25" t="n"/>
      <c r="I7957" s="25" t="n"/>
      <c r="U7957" s="19">
        <f>IF($V7957&lt;&gt;'設定'!$C$4,N(U7956),IF(OR(NOT(COUNTIF('商品マスタ'!$B$6:$B$1005,$W7957)=0),COUNTIFS('①在庫を貼る'!$V$6:$V$10005,$V7957,'①在庫を貼る'!$W$6:$W$10005,$W7957)&gt;0),N(U7956),N(U7956)+1))</f>
        <v/>
      </c>
      <c r="V7957" s="19">
        <f>IF($B7957="","",TEXT($B7957,"0000"))</f>
        <v/>
      </c>
      <c r="W7957" s="19">
        <f>IF($I7957="","",IF(ISNUMBER($I7957),TEXT($I7957,"0"),$I7957))</f>
        <v/>
      </c>
    </row>
    <row r="7958">
      <c r="B7958" s="25" t="n"/>
      <c r="I7958" s="25" t="n"/>
      <c r="U7958" s="19">
        <f>IF($V7958&lt;&gt;'設定'!$C$4,N(U7957),IF(OR(NOT(COUNTIF('商品マスタ'!$B$6:$B$1005,$W7958)=0),COUNTIFS('①在庫を貼る'!$V$6:$V$10005,$V7958,'①在庫を貼る'!$W$6:$W$10005,$W7958)&gt;0),N(U7957),N(U7957)+1))</f>
        <v/>
      </c>
      <c r="V7958" s="19">
        <f>IF($B7958="","",TEXT($B7958,"0000"))</f>
        <v/>
      </c>
      <c r="W7958" s="19">
        <f>IF($I7958="","",IF(ISNUMBER($I7958),TEXT($I7958,"0"),$I7958))</f>
        <v/>
      </c>
    </row>
    <row r="7959">
      <c r="B7959" s="25" t="n"/>
      <c r="I7959" s="25" t="n"/>
      <c r="U7959" s="19">
        <f>IF($V7959&lt;&gt;'設定'!$C$4,N(U7958),IF(OR(NOT(COUNTIF('商品マスタ'!$B$6:$B$1005,$W7959)=0),COUNTIFS('①在庫を貼る'!$V$6:$V$10005,$V7959,'①在庫を貼る'!$W$6:$W$10005,$W7959)&gt;0),N(U7958),N(U7958)+1))</f>
        <v/>
      </c>
      <c r="V7959" s="19">
        <f>IF($B7959="","",TEXT($B7959,"0000"))</f>
        <v/>
      </c>
      <c r="W7959" s="19">
        <f>IF($I7959="","",IF(ISNUMBER($I7959),TEXT($I7959,"0"),$I7959))</f>
        <v/>
      </c>
    </row>
    <row r="7960">
      <c r="B7960" s="25" t="n"/>
      <c r="I7960" s="25" t="n"/>
      <c r="U7960" s="19">
        <f>IF($V7960&lt;&gt;'設定'!$C$4,N(U7959),IF(OR(NOT(COUNTIF('商品マスタ'!$B$6:$B$1005,$W7960)=0),COUNTIFS('①在庫を貼る'!$V$6:$V$10005,$V7960,'①在庫を貼る'!$W$6:$W$10005,$W7960)&gt;0),N(U7959),N(U7959)+1))</f>
        <v/>
      </c>
      <c r="V7960" s="19">
        <f>IF($B7960="","",TEXT($B7960,"0000"))</f>
        <v/>
      </c>
      <c r="W7960" s="19">
        <f>IF($I7960="","",IF(ISNUMBER($I7960),TEXT($I7960,"0"),$I7960))</f>
        <v/>
      </c>
    </row>
    <row r="7961">
      <c r="B7961" s="25" t="n"/>
      <c r="I7961" s="25" t="n"/>
      <c r="U7961" s="19">
        <f>IF($V7961&lt;&gt;'設定'!$C$4,N(U7960),IF(OR(NOT(COUNTIF('商品マスタ'!$B$6:$B$1005,$W7961)=0),COUNTIFS('①在庫を貼る'!$V$6:$V$10005,$V7961,'①在庫を貼る'!$W$6:$W$10005,$W7961)&gt;0),N(U7960),N(U7960)+1))</f>
        <v/>
      </c>
      <c r="V7961" s="19">
        <f>IF($B7961="","",TEXT($B7961,"0000"))</f>
        <v/>
      </c>
      <c r="W7961" s="19">
        <f>IF($I7961="","",IF(ISNUMBER($I7961),TEXT($I7961,"0"),$I7961))</f>
        <v/>
      </c>
    </row>
    <row r="7962">
      <c r="B7962" s="25" t="n"/>
      <c r="I7962" s="25" t="n"/>
      <c r="U7962" s="19">
        <f>IF($V7962&lt;&gt;'設定'!$C$4,N(U7961),IF(OR(NOT(COUNTIF('商品マスタ'!$B$6:$B$1005,$W7962)=0),COUNTIFS('①在庫を貼る'!$V$6:$V$10005,$V7962,'①在庫を貼る'!$W$6:$W$10005,$W7962)&gt;0),N(U7961),N(U7961)+1))</f>
        <v/>
      </c>
      <c r="V7962" s="19">
        <f>IF($B7962="","",TEXT($B7962,"0000"))</f>
        <v/>
      </c>
      <c r="W7962" s="19">
        <f>IF($I7962="","",IF(ISNUMBER($I7962),TEXT($I7962,"0"),$I7962))</f>
        <v/>
      </c>
    </row>
    <row r="7963">
      <c r="B7963" s="25" t="n"/>
      <c r="I7963" s="25" t="n"/>
      <c r="U7963" s="19">
        <f>IF($V7963&lt;&gt;'設定'!$C$4,N(U7962),IF(OR(NOT(COUNTIF('商品マスタ'!$B$6:$B$1005,$W7963)=0),COUNTIFS('①在庫を貼る'!$V$6:$V$10005,$V7963,'①在庫を貼る'!$W$6:$W$10005,$W7963)&gt;0),N(U7962),N(U7962)+1))</f>
        <v/>
      </c>
      <c r="V7963" s="19">
        <f>IF($B7963="","",TEXT($B7963,"0000"))</f>
        <v/>
      </c>
      <c r="W7963" s="19">
        <f>IF($I7963="","",IF(ISNUMBER($I7963),TEXT($I7963,"0"),$I7963))</f>
        <v/>
      </c>
    </row>
    <row r="7964">
      <c r="B7964" s="25" t="n"/>
      <c r="I7964" s="25" t="n"/>
      <c r="U7964" s="19">
        <f>IF($V7964&lt;&gt;'設定'!$C$4,N(U7963),IF(OR(NOT(COUNTIF('商品マスタ'!$B$6:$B$1005,$W7964)=0),COUNTIFS('①在庫を貼る'!$V$6:$V$10005,$V7964,'①在庫を貼る'!$W$6:$W$10005,$W7964)&gt;0),N(U7963),N(U7963)+1))</f>
        <v/>
      </c>
      <c r="V7964" s="19">
        <f>IF($B7964="","",TEXT($B7964,"0000"))</f>
        <v/>
      </c>
      <c r="W7964" s="19">
        <f>IF($I7964="","",IF(ISNUMBER($I7964),TEXT($I7964,"0"),$I7964))</f>
        <v/>
      </c>
    </row>
    <row r="7965">
      <c r="B7965" s="25" t="n"/>
      <c r="I7965" s="25" t="n"/>
      <c r="U7965" s="19">
        <f>IF($V7965&lt;&gt;'設定'!$C$4,N(U7964),IF(OR(NOT(COUNTIF('商品マスタ'!$B$6:$B$1005,$W7965)=0),COUNTIFS('①在庫を貼る'!$V$6:$V$10005,$V7965,'①在庫を貼る'!$W$6:$W$10005,$W7965)&gt;0),N(U7964),N(U7964)+1))</f>
        <v/>
      </c>
      <c r="V7965" s="19">
        <f>IF($B7965="","",TEXT($B7965,"0000"))</f>
        <v/>
      </c>
      <c r="W7965" s="19">
        <f>IF($I7965="","",IF(ISNUMBER($I7965),TEXT($I7965,"0"),$I7965))</f>
        <v/>
      </c>
    </row>
    <row r="7966">
      <c r="B7966" s="25" t="n"/>
      <c r="I7966" s="25" t="n"/>
      <c r="U7966" s="19">
        <f>IF($V7966&lt;&gt;'設定'!$C$4,N(U7965),IF(OR(NOT(COUNTIF('商品マスタ'!$B$6:$B$1005,$W7966)=0),COUNTIFS('①在庫を貼る'!$V$6:$V$10005,$V7966,'①在庫を貼る'!$W$6:$W$10005,$W7966)&gt;0),N(U7965),N(U7965)+1))</f>
        <v/>
      </c>
      <c r="V7966" s="19">
        <f>IF($B7966="","",TEXT($B7966,"0000"))</f>
        <v/>
      </c>
      <c r="W7966" s="19">
        <f>IF($I7966="","",IF(ISNUMBER($I7966),TEXT($I7966,"0"),$I7966))</f>
        <v/>
      </c>
    </row>
    <row r="7967">
      <c r="B7967" s="25" t="n"/>
      <c r="I7967" s="25" t="n"/>
      <c r="U7967" s="19">
        <f>IF($V7967&lt;&gt;'設定'!$C$4,N(U7966),IF(OR(NOT(COUNTIF('商品マスタ'!$B$6:$B$1005,$W7967)=0),COUNTIFS('①在庫を貼る'!$V$6:$V$10005,$V7967,'①在庫を貼る'!$W$6:$W$10005,$W7967)&gt;0),N(U7966),N(U7966)+1))</f>
        <v/>
      </c>
      <c r="V7967" s="19">
        <f>IF($B7967="","",TEXT($B7967,"0000"))</f>
        <v/>
      </c>
      <c r="W7967" s="19">
        <f>IF($I7967="","",IF(ISNUMBER($I7967),TEXT($I7967,"0"),$I7967))</f>
        <v/>
      </c>
    </row>
    <row r="7968">
      <c r="B7968" s="25" t="n"/>
      <c r="I7968" s="25" t="n"/>
      <c r="U7968" s="19">
        <f>IF($V7968&lt;&gt;'設定'!$C$4,N(U7967),IF(OR(NOT(COUNTIF('商品マスタ'!$B$6:$B$1005,$W7968)=0),COUNTIFS('①在庫を貼る'!$V$6:$V$10005,$V7968,'①在庫を貼る'!$W$6:$W$10005,$W7968)&gt;0),N(U7967),N(U7967)+1))</f>
        <v/>
      </c>
      <c r="V7968" s="19">
        <f>IF($B7968="","",TEXT($B7968,"0000"))</f>
        <v/>
      </c>
      <c r="W7968" s="19">
        <f>IF($I7968="","",IF(ISNUMBER($I7968),TEXT($I7968,"0"),$I7968))</f>
        <v/>
      </c>
    </row>
    <row r="7969">
      <c r="B7969" s="25" t="n"/>
      <c r="I7969" s="25" t="n"/>
      <c r="U7969" s="19">
        <f>IF($V7969&lt;&gt;'設定'!$C$4,N(U7968),IF(OR(NOT(COUNTIF('商品マスタ'!$B$6:$B$1005,$W7969)=0),COUNTIFS('①在庫を貼る'!$V$6:$V$10005,$V7969,'①在庫を貼る'!$W$6:$W$10005,$W7969)&gt;0),N(U7968),N(U7968)+1))</f>
        <v/>
      </c>
      <c r="V7969" s="19">
        <f>IF($B7969="","",TEXT($B7969,"0000"))</f>
        <v/>
      </c>
      <c r="W7969" s="19">
        <f>IF($I7969="","",IF(ISNUMBER($I7969),TEXT($I7969,"0"),$I7969))</f>
        <v/>
      </c>
    </row>
    <row r="7970">
      <c r="B7970" s="25" t="n"/>
      <c r="I7970" s="25" t="n"/>
      <c r="U7970" s="19">
        <f>IF($V7970&lt;&gt;'設定'!$C$4,N(U7969),IF(OR(NOT(COUNTIF('商品マスタ'!$B$6:$B$1005,$W7970)=0),COUNTIFS('①在庫を貼る'!$V$6:$V$10005,$V7970,'①在庫を貼る'!$W$6:$W$10005,$W7970)&gt;0),N(U7969),N(U7969)+1))</f>
        <v/>
      </c>
      <c r="V7970" s="19">
        <f>IF($B7970="","",TEXT($B7970,"0000"))</f>
        <v/>
      </c>
      <c r="W7970" s="19">
        <f>IF($I7970="","",IF(ISNUMBER($I7970),TEXT($I7970,"0"),$I7970))</f>
        <v/>
      </c>
    </row>
    <row r="7971">
      <c r="B7971" s="25" t="n"/>
      <c r="I7971" s="25" t="n"/>
      <c r="U7971" s="19">
        <f>IF($V7971&lt;&gt;'設定'!$C$4,N(U7970),IF(OR(NOT(COUNTIF('商品マスタ'!$B$6:$B$1005,$W7971)=0),COUNTIFS('①在庫を貼る'!$V$6:$V$10005,$V7971,'①在庫を貼る'!$W$6:$W$10005,$W7971)&gt;0),N(U7970),N(U7970)+1))</f>
        <v/>
      </c>
      <c r="V7971" s="19">
        <f>IF($B7971="","",TEXT($B7971,"0000"))</f>
        <v/>
      </c>
      <c r="W7971" s="19">
        <f>IF($I7971="","",IF(ISNUMBER($I7971),TEXT($I7971,"0"),$I7971))</f>
        <v/>
      </c>
    </row>
    <row r="7972">
      <c r="B7972" s="25" t="n"/>
      <c r="I7972" s="25" t="n"/>
      <c r="U7972" s="19">
        <f>IF($V7972&lt;&gt;'設定'!$C$4,N(U7971),IF(OR(NOT(COUNTIF('商品マスタ'!$B$6:$B$1005,$W7972)=0),COUNTIFS('①在庫を貼る'!$V$6:$V$10005,$V7972,'①在庫を貼る'!$W$6:$W$10005,$W7972)&gt;0),N(U7971),N(U7971)+1))</f>
        <v/>
      </c>
      <c r="V7972" s="19">
        <f>IF($B7972="","",TEXT($B7972,"0000"))</f>
        <v/>
      </c>
      <c r="W7972" s="19">
        <f>IF($I7972="","",IF(ISNUMBER($I7972),TEXT($I7972,"0"),$I7972))</f>
        <v/>
      </c>
    </row>
    <row r="7973">
      <c r="B7973" s="25" t="n"/>
      <c r="I7973" s="25" t="n"/>
      <c r="U7973" s="19">
        <f>IF($V7973&lt;&gt;'設定'!$C$4,N(U7972),IF(OR(NOT(COUNTIF('商品マスタ'!$B$6:$B$1005,$W7973)=0),COUNTIFS('①在庫を貼る'!$V$6:$V$10005,$V7973,'①在庫を貼る'!$W$6:$W$10005,$W7973)&gt;0),N(U7972),N(U7972)+1))</f>
        <v/>
      </c>
      <c r="V7973" s="19">
        <f>IF($B7973="","",TEXT($B7973,"0000"))</f>
        <v/>
      </c>
      <c r="W7973" s="19">
        <f>IF($I7973="","",IF(ISNUMBER($I7973),TEXT($I7973,"0"),$I7973))</f>
        <v/>
      </c>
    </row>
    <row r="7974">
      <c r="B7974" s="25" t="n"/>
      <c r="I7974" s="25" t="n"/>
      <c r="U7974" s="19">
        <f>IF($V7974&lt;&gt;'設定'!$C$4,N(U7973),IF(OR(NOT(COUNTIF('商品マスタ'!$B$6:$B$1005,$W7974)=0),COUNTIFS('①在庫を貼る'!$V$6:$V$10005,$V7974,'①在庫を貼る'!$W$6:$W$10005,$W7974)&gt;0),N(U7973),N(U7973)+1))</f>
        <v/>
      </c>
      <c r="V7974" s="19">
        <f>IF($B7974="","",TEXT($B7974,"0000"))</f>
        <v/>
      </c>
      <c r="W7974" s="19">
        <f>IF($I7974="","",IF(ISNUMBER($I7974),TEXT($I7974,"0"),$I7974))</f>
        <v/>
      </c>
    </row>
    <row r="7975">
      <c r="B7975" s="25" t="n"/>
      <c r="I7975" s="25" t="n"/>
      <c r="U7975" s="19">
        <f>IF($V7975&lt;&gt;'設定'!$C$4,N(U7974),IF(OR(NOT(COUNTIF('商品マスタ'!$B$6:$B$1005,$W7975)=0),COUNTIFS('①在庫を貼る'!$V$6:$V$10005,$V7975,'①在庫を貼る'!$W$6:$W$10005,$W7975)&gt;0),N(U7974),N(U7974)+1))</f>
        <v/>
      </c>
      <c r="V7975" s="19">
        <f>IF($B7975="","",TEXT($B7975,"0000"))</f>
        <v/>
      </c>
      <c r="W7975" s="19">
        <f>IF($I7975="","",IF(ISNUMBER($I7975),TEXT($I7975,"0"),$I7975))</f>
        <v/>
      </c>
    </row>
    <row r="7976">
      <c r="B7976" s="25" t="n"/>
      <c r="I7976" s="25" t="n"/>
      <c r="U7976" s="19">
        <f>IF($V7976&lt;&gt;'設定'!$C$4,N(U7975),IF(OR(NOT(COUNTIF('商品マスタ'!$B$6:$B$1005,$W7976)=0),COUNTIFS('①在庫を貼る'!$V$6:$V$10005,$V7976,'①在庫を貼る'!$W$6:$W$10005,$W7976)&gt;0),N(U7975),N(U7975)+1))</f>
        <v/>
      </c>
      <c r="V7976" s="19">
        <f>IF($B7976="","",TEXT($B7976,"0000"))</f>
        <v/>
      </c>
      <c r="W7976" s="19">
        <f>IF($I7976="","",IF(ISNUMBER($I7976),TEXT($I7976,"0"),$I7976))</f>
        <v/>
      </c>
    </row>
    <row r="7977">
      <c r="B7977" s="25" t="n"/>
      <c r="I7977" s="25" t="n"/>
      <c r="U7977" s="19">
        <f>IF($V7977&lt;&gt;'設定'!$C$4,N(U7976),IF(OR(NOT(COUNTIF('商品マスタ'!$B$6:$B$1005,$W7977)=0),COUNTIFS('①在庫を貼る'!$V$6:$V$10005,$V7977,'①在庫を貼る'!$W$6:$W$10005,$W7977)&gt;0),N(U7976),N(U7976)+1))</f>
        <v/>
      </c>
      <c r="V7977" s="19">
        <f>IF($B7977="","",TEXT($B7977,"0000"))</f>
        <v/>
      </c>
      <c r="W7977" s="19">
        <f>IF($I7977="","",IF(ISNUMBER($I7977),TEXT($I7977,"0"),$I7977))</f>
        <v/>
      </c>
    </row>
    <row r="7978">
      <c r="B7978" s="25" t="n"/>
      <c r="I7978" s="25" t="n"/>
      <c r="U7978" s="19">
        <f>IF($V7978&lt;&gt;'設定'!$C$4,N(U7977),IF(OR(NOT(COUNTIF('商品マスタ'!$B$6:$B$1005,$W7978)=0),COUNTIFS('①在庫を貼る'!$V$6:$V$10005,$V7978,'①在庫を貼る'!$W$6:$W$10005,$W7978)&gt;0),N(U7977),N(U7977)+1))</f>
        <v/>
      </c>
      <c r="V7978" s="19">
        <f>IF($B7978="","",TEXT($B7978,"0000"))</f>
        <v/>
      </c>
      <c r="W7978" s="19">
        <f>IF($I7978="","",IF(ISNUMBER($I7978),TEXT($I7978,"0"),$I7978))</f>
        <v/>
      </c>
    </row>
    <row r="7979">
      <c r="B7979" s="25" t="n"/>
      <c r="I7979" s="25" t="n"/>
      <c r="U7979" s="19">
        <f>IF($V7979&lt;&gt;'設定'!$C$4,N(U7978),IF(OR(NOT(COUNTIF('商品マスタ'!$B$6:$B$1005,$W7979)=0),COUNTIFS('①在庫を貼る'!$V$6:$V$10005,$V7979,'①在庫を貼る'!$W$6:$W$10005,$W7979)&gt;0),N(U7978),N(U7978)+1))</f>
        <v/>
      </c>
      <c r="V7979" s="19">
        <f>IF($B7979="","",TEXT($B7979,"0000"))</f>
        <v/>
      </c>
      <c r="W7979" s="19">
        <f>IF($I7979="","",IF(ISNUMBER($I7979),TEXT($I7979,"0"),$I7979))</f>
        <v/>
      </c>
    </row>
    <row r="7980">
      <c r="B7980" s="25" t="n"/>
      <c r="I7980" s="25" t="n"/>
      <c r="U7980" s="19">
        <f>IF($V7980&lt;&gt;'設定'!$C$4,N(U7979),IF(OR(NOT(COUNTIF('商品マスタ'!$B$6:$B$1005,$W7980)=0),COUNTIFS('①在庫を貼る'!$V$6:$V$10005,$V7980,'①在庫を貼る'!$W$6:$W$10005,$W7980)&gt;0),N(U7979),N(U7979)+1))</f>
        <v/>
      </c>
      <c r="V7980" s="19">
        <f>IF($B7980="","",TEXT($B7980,"0000"))</f>
        <v/>
      </c>
      <c r="W7980" s="19">
        <f>IF($I7980="","",IF(ISNUMBER($I7980),TEXT($I7980,"0"),$I7980))</f>
        <v/>
      </c>
    </row>
    <row r="7981">
      <c r="B7981" s="25" t="n"/>
      <c r="I7981" s="25" t="n"/>
      <c r="U7981" s="19">
        <f>IF($V7981&lt;&gt;'設定'!$C$4,N(U7980),IF(OR(NOT(COUNTIF('商品マスタ'!$B$6:$B$1005,$W7981)=0),COUNTIFS('①在庫を貼る'!$V$6:$V$10005,$V7981,'①在庫を貼る'!$W$6:$W$10005,$W7981)&gt;0),N(U7980),N(U7980)+1))</f>
        <v/>
      </c>
      <c r="V7981" s="19">
        <f>IF($B7981="","",TEXT($B7981,"0000"))</f>
        <v/>
      </c>
      <c r="W7981" s="19">
        <f>IF($I7981="","",IF(ISNUMBER($I7981),TEXT($I7981,"0"),$I7981))</f>
        <v/>
      </c>
    </row>
    <row r="7982">
      <c r="B7982" s="25" t="n"/>
      <c r="I7982" s="25" t="n"/>
      <c r="U7982" s="19">
        <f>IF($V7982&lt;&gt;'設定'!$C$4,N(U7981),IF(OR(NOT(COUNTIF('商品マスタ'!$B$6:$B$1005,$W7982)=0),COUNTIFS('①在庫を貼る'!$V$6:$V$10005,$V7982,'①在庫を貼る'!$W$6:$W$10005,$W7982)&gt;0),N(U7981),N(U7981)+1))</f>
        <v/>
      </c>
      <c r="V7982" s="19">
        <f>IF($B7982="","",TEXT($B7982,"0000"))</f>
        <v/>
      </c>
      <c r="W7982" s="19">
        <f>IF($I7982="","",IF(ISNUMBER($I7982),TEXT($I7982,"0"),$I7982))</f>
        <v/>
      </c>
    </row>
    <row r="7983">
      <c r="B7983" s="25" t="n"/>
      <c r="I7983" s="25" t="n"/>
      <c r="U7983" s="19">
        <f>IF($V7983&lt;&gt;'設定'!$C$4,N(U7982),IF(OR(NOT(COUNTIF('商品マスタ'!$B$6:$B$1005,$W7983)=0),COUNTIFS('①在庫を貼る'!$V$6:$V$10005,$V7983,'①在庫を貼る'!$W$6:$W$10005,$W7983)&gt;0),N(U7982),N(U7982)+1))</f>
        <v/>
      </c>
      <c r="V7983" s="19">
        <f>IF($B7983="","",TEXT($B7983,"0000"))</f>
        <v/>
      </c>
      <c r="W7983" s="19">
        <f>IF($I7983="","",IF(ISNUMBER($I7983),TEXT($I7983,"0"),$I7983))</f>
        <v/>
      </c>
    </row>
    <row r="7984">
      <c r="B7984" s="25" t="n"/>
      <c r="I7984" s="25" t="n"/>
      <c r="U7984" s="19">
        <f>IF($V7984&lt;&gt;'設定'!$C$4,N(U7983),IF(OR(NOT(COUNTIF('商品マスタ'!$B$6:$B$1005,$W7984)=0),COUNTIFS('①在庫を貼る'!$V$6:$V$10005,$V7984,'①在庫を貼る'!$W$6:$W$10005,$W7984)&gt;0),N(U7983),N(U7983)+1))</f>
        <v/>
      </c>
      <c r="V7984" s="19">
        <f>IF($B7984="","",TEXT($B7984,"0000"))</f>
        <v/>
      </c>
      <c r="W7984" s="19">
        <f>IF($I7984="","",IF(ISNUMBER($I7984),TEXT($I7984,"0"),$I7984))</f>
        <v/>
      </c>
    </row>
    <row r="7985">
      <c r="B7985" s="25" t="n"/>
      <c r="I7985" s="25" t="n"/>
      <c r="U7985" s="19">
        <f>IF($V7985&lt;&gt;'設定'!$C$4,N(U7984),IF(OR(NOT(COUNTIF('商品マスタ'!$B$6:$B$1005,$W7985)=0),COUNTIFS('①在庫を貼る'!$V$6:$V$10005,$V7985,'①在庫を貼る'!$W$6:$W$10005,$W7985)&gt;0),N(U7984),N(U7984)+1))</f>
        <v/>
      </c>
      <c r="V7985" s="19">
        <f>IF($B7985="","",TEXT($B7985,"0000"))</f>
        <v/>
      </c>
      <c r="W7985" s="19">
        <f>IF($I7985="","",IF(ISNUMBER($I7985),TEXT($I7985,"0"),$I7985))</f>
        <v/>
      </c>
    </row>
    <row r="7986">
      <c r="B7986" s="25" t="n"/>
      <c r="I7986" s="25" t="n"/>
      <c r="U7986" s="19">
        <f>IF($V7986&lt;&gt;'設定'!$C$4,N(U7985),IF(OR(NOT(COUNTIF('商品マスタ'!$B$6:$B$1005,$W7986)=0),COUNTIFS('①在庫を貼る'!$V$6:$V$10005,$V7986,'①在庫を貼る'!$W$6:$W$10005,$W7986)&gt;0),N(U7985),N(U7985)+1))</f>
        <v/>
      </c>
      <c r="V7986" s="19">
        <f>IF($B7986="","",TEXT($B7986,"0000"))</f>
        <v/>
      </c>
      <c r="W7986" s="19">
        <f>IF($I7986="","",IF(ISNUMBER($I7986),TEXT($I7986,"0"),$I7986))</f>
        <v/>
      </c>
    </row>
    <row r="7987">
      <c r="B7987" s="25" t="n"/>
      <c r="I7987" s="25" t="n"/>
      <c r="U7987" s="19">
        <f>IF($V7987&lt;&gt;'設定'!$C$4,N(U7986),IF(OR(NOT(COUNTIF('商品マスタ'!$B$6:$B$1005,$W7987)=0),COUNTIFS('①在庫を貼る'!$V$6:$V$10005,$V7987,'①在庫を貼る'!$W$6:$W$10005,$W7987)&gt;0),N(U7986),N(U7986)+1))</f>
        <v/>
      </c>
      <c r="V7987" s="19">
        <f>IF($B7987="","",TEXT($B7987,"0000"))</f>
        <v/>
      </c>
      <c r="W7987" s="19">
        <f>IF($I7987="","",IF(ISNUMBER($I7987),TEXT($I7987,"0"),$I7987))</f>
        <v/>
      </c>
    </row>
    <row r="7988">
      <c r="B7988" s="25" t="n"/>
      <c r="I7988" s="25" t="n"/>
      <c r="U7988" s="19">
        <f>IF($V7988&lt;&gt;'設定'!$C$4,N(U7987),IF(OR(NOT(COUNTIF('商品マスタ'!$B$6:$B$1005,$W7988)=0),COUNTIFS('①在庫を貼る'!$V$6:$V$10005,$V7988,'①在庫を貼る'!$W$6:$W$10005,$W7988)&gt;0),N(U7987),N(U7987)+1))</f>
        <v/>
      </c>
      <c r="V7988" s="19">
        <f>IF($B7988="","",TEXT($B7988,"0000"))</f>
        <v/>
      </c>
      <c r="W7988" s="19">
        <f>IF($I7988="","",IF(ISNUMBER($I7988),TEXT($I7988,"0"),$I7988))</f>
        <v/>
      </c>
    </row>
    <row r="7989">
      <c r="B7989" s="25" t="n"/>
      <c r="I7989" s="25" t="n"/>
      <c r="U7989" s="19">
        <f>IF($V7989&lt;&gt;'設定'!$C$4,N(U7988),IF(OR(NOT(COUNTIF('商品マスタ'!$B$6:$B$1005,$W7989)=0),COUNTIFS('①在庫を貼る'!$V$6:$V$10005,$V7989,'①在庫を貼る'!$W$6:$W$10005,$W7989)&gt;0),N(U7988),N(U7988)+1))</f>
        <v/>
      </c>
      <c r="V7989" s="19">
        <f>IF($B7989="","",TEXT($B7989,"0000"))</f>
        <v/>
      </c>
      <c r="W7989" s="19">
        <f>IF($I7989="","",IF(ISNUMBER($I7989),TEXT($I7989,"0"),$I7989))</f>
        <v/>
      </c>
    </row>
    <row r="7990">
      <c r="B7990" s="25" t="n"/>
      <c r="I7990" s="25" t="n"/>
      <c r="U7990" s="19">
        <f>IF($V7990&lt;&gt;'設定'!$C$4,N(U7989),IF(OR(NOT(COUNTIF('商品マスタ'!$B$6:$B$1005,$W7990)=0),COUNTIFS('①在庫を貼る'!$V$6:$V$10005,$V7990,'①在庫を貼る'!$W$6:$W$10005,$W7990)&gt;0),N(U7989),N(U7989)+1))</f>
        <v/>
      </c>
      <c r="V7990" s="19">
        <f>IF($B7990="","",TEXT($B7990,"0000"))</f>
        <v/>
      </c>
      <c r="W7990" s="19">
        <f>IF($I7990="","",IF(ISNUMBER($I7990),TEXT($I7990,"0"),$I7990))</f>
        <v/>
      </c>
    </row>
    <row r="7991">
      <c r="B7991" s="25" t="n"/>
      <c r="I7991" s="25" t="n"/>
      <c r="U7991" s="19">
        <f>IF($V7991&lt;&gt;'設定'!$C$4,N(U7990),IF(OR(NOT(COUNTIF('商品マスタ'!$B$6:$B$1005,$W7991)=0),COUNTIFS('①在庫を貼る'!$V$6:$V$10005,$V7991,'①在庫を貼る'!$W$6:$W$10005,$W7991)&gt;0),N(U7990),N(U7990)+1))</f>
        <v/>
      </c>
      <c r="V7991" s="19">
        <f>IF($B7991="","",TEXT($B7991,"0000"))</f>
        <v/>
      </c>
      <c r="W7991" s="19">
        <f>IF($I7991="","",IF(ISNUMBER($I7991),TEXT($I7991,"0"),$I7991))</f>
        <v/>
      </c>
    </row>
    <row r="7992">
      <c r="B7992" s="25" t="n"/>
      <c r="I7992" s="25" t="n"/>
      <c r="U7992" s="19">
        <f>IF($V7992&lt;&gt;'設定'!$C$4,N(U7991),IF(OR(NOT(COUNTIF('商品マスタ'!$B$6:$B$1005,$W7992)=0),COUNTIFS('①在庫を貼る'!$V$6:$V$10005,$V7992,'①在庫を貼る'!$W$6:$W$10005,$W7992)&gt;0),N(U7991),N(U7991)+1))</f>
        <v/>
      </c>
      <c r="V7992" s="19">
        <f>IF($B7992="","",TEXT($B7992,"0000"))</f>
        <v/>
      </c>
      <c r="W7992" s="19">
        <f>IF($I7992="","",IF(ISNUMBER($I7992),TEXT($I7992,"0"),$I7992))</f>
        <v/>
      </c>
    </row>
    <row r="7993">
      <c r="B7993" s="25" t="n"/>
      <c r="I7993" s="25" t="n"/>
      <c r="U7993" s="19">
        <f>IF($V7993&lt;&gt;'設定'!$C$4,N(U7992),IF(OR(NOT(COUNTIF('商品マスタ'!$B$6:$B$1005,$W7993)=0),COUNTIFS('①在庫を貼る'!$V$6:$V$10005,$V7993,'①在庫を貼る'!$W$6:$W$10005,$W7993)&gt;0),N(U7992),N(U7992)+1))</f>
        <v/>
      </c>
      <c r="V7993" s="19">
        <f>IF($B7993="","",TEXT($B7993,"0000"))</f>
        <v/>
      </c>
      <c r="W7993" s="19">
        <f>IF($I7993="","",IF(ISNUMBER($I7993),TEXT($I7993,"0"),$I7993))</f>
        <v/>
      </c>
    </row>
    <row r="7994">
      <c r="B7994" s="25" t="n"/>
      <c r="I7994" s="25" t="n"/>
      <c r="U7994" s="19">
        <f>IF($V7994&lt;&gt;'設定'!$C$4,N(U7993),IF(OR(NOT(COUNTIF('商品マスタ'!$B$6:$B$1005,$W7994)=0),COUNTIFS('①在庫を貼る'!$V$6:$V$10005,$V7994,'①在庫を貼る'!$W$6:$W$10005,$W7994)&gt;0),N(U7993),N(U7993)+1))</f>
        <v/>
      </c>
      <c r="V7994" s="19">
        <f>IF($B7994="","",TEXT($B7994,"0000"))</f>
        <v/>
      </c>
      <c r="W7994" s="19">
        <f>IF($I7994="","",IF(ISNUMBER($I7994),TEXT($I7994,"0"),$I7994))</f>
        <v/>
      </c>
    </row>
    <row r="7995">
      <c r="B7995" s="25" t="n"/>
      <c r="I7995" s="25" t="n"/>
      <c r="U7995" s="19">
        <f>IF($V7995&lt;&gt;'設定'!$C$4,N(U7994),IF(OR(NOT(COUNTIF('商品マスタ'!$B$6:$B$1005,$W7995)=0),COUNTIFS('①在庫を貼る'!$V$6:$V$10005,$V7995,'①在庫を貼る'!$W$6:$W$10005,$W7995)&gt;0),N(U7994),N(U7994)+1))</f>
        <v/>
      </c>
      <c r="V7995" s="19">
        <f>IF($B7995="","",TEXT($B7995,"0000"))</f>
        <v/>
      </c>
      <c r="W7995" s="19">
        <f>IF($I7995="","",IF(ISNUMBER($I7995),TEXT($I7995,"0"),$I7995))</f>
        <v/>
      </c>
    </row>
    <row r="7996">
      <c r="B7996" s="25" t="n"/>
      <c r="I7996" s="25" t="n"/>
      <c r="U7996" s="19">
        <f>IF($V7996&lt;&gt;'設定'!$C$4,N(U7995),IF(OR(NOT(COUNTIF('商品マスタ'!$B$6:$B$1005,$W7996)=0),COUNTIFS('①在庫を貼る'!$V$6:$V$10005,$V7996,'①在庫を貼る'!$W$6:$W$10005,$W7996)&gt;0),N(U7995),N(U7995)+1))</f>
        <v/>
      </c>
      <c r="V7996" s="19">
        <f>IF($B7996="","",TEXT($B7996,"0000"))</f>
        <v/>
      </c>
      <c r="W7996" s="19">
        <f>IF($I7996="","",IF(ISNUMBER($I7996),TEXT($I7996,"0"),$I7996))</f>
        <v/>
      </c>
    </row>
    <row r="7997">
      <c r="B7997" s="25" t="n"/>
      <c r="I7997" s="25" t="n"/>
      <c r="U7997" s="19">
        <f>IF($V7997&lt;&gt;'設定'!$C$4,N(U7996),IF(OR(NOT(COUNTIF('商品マスタ'!$B$6:$B$1005,$W7997)=0),COUNTIFS('①在庫を貼る'!$V$6:$V$10005,$V7997,'①在庫を貼る'!$W$6:$W$10005,$W7997)&gt;0),N(U7996),N(U7996)+1))</f>
        <v/>
      </c>
      <c r="V7997" s="19">
        <f>IF($B7997="","",TEXT($B7997,"0000"))</f>
        <v/>
      </c>
      <c r="W7997" s="19">
        <f>IF($I7997="","",IF(ISNUMBER($I7997),TEXT($I7997,"0"),$I7997))</f>
        <v/>
      </c>
    </row>
    <row r="7998">
      <c r="B7998" s="25" t="n"/>
      <c r="I7998" s="25" t="n"/>
      <c r="U7998" s="19">
        <f>IF($V7998&lt;&gt;'設定'!$C$4,N(U7997),IF(OR(NOT(COUNTIF('商品マスタ'!$B$6:$B$1005,$W7998)=0),COUNTIFS('①在庫を貼る'!$V$6:$V$10005,$V7998,'①在庫を貼る'!$W$6:$W$10005,$W7998)&gt;0),N(U7997),N(U7997)+1))</f>
        <v/>
      </c>
      <c r="V7998" s="19">
        <f>IF($B7998="","",TEXT($B7998,"0000"))</f>
        <v/>
      </c>
      <c r="W7998" s="19">
        <f>IF($I7998="","",IF(ISNUMBER($I7998),TEXT($I7998,"0"),$I7998))</f>
        <v/>
      </c>
    </row>
    <row r="7999">
      <c r="B7999" s="25" t="n"/>
      <c r="I7999" s="25" t="n"/>
      <c r="U7999" s="19">
        <f>IF($V7999&lt;&gt;'設定'!$C$4,N(U7998),IF(OR(NOT(COUNTIF('商品マスタ'!$B$6:$B$1005,$W7999)=0),COUNTIFS('①在庫を貼る'!$V$6:$V$10005,$V7999,'①在庫を貼る'!$W$6:$W$10005,$W7999)&gt;0),N(U7998),N(U7998)+1))</f>
        <v/>
      </c>
      <c r="V7999" s="19">
        <f>IF($B7999="","",TEXT($B7999,"0000"))</f>
        <v/>
      </c>
      <c r="W7999" s="19">
        <f>IF($I7999="","",IF(ISNUMBER($I7999),TEXT($I7999,"0"),$I7999))</f>
        <v/>
      </c>
    </row>
    <row r="8000">
      <c r="B8000" s="25" t="n"/>
      <c r="I8000" s="25" t="n"/>
      <c r="U8000" s="19">
        <f>IF($V8000&lt;&gt;'設定'!$C$4,N(U7999),IF(OR(NOT(COUNTIF('商品マスタ'!$B$6:$B$1005,$W8000)=0),COUNTIFS('①在庫を貼る'!$V$6:$V$10005,$V8000,'①在庫を貼る'!$W$6:$W$10005,$W8000)&gt;0),N(U7999),N(U7999)+1))</f>
        <v/>
      </c>
      <c r="V8000" s="19">
        <f>IF($B8000="","",TEXT($B8000,"0000"))</f>
        <v/>
      </c>
      <c r="W8000" s="19">
        <f>IF($I8000="","",IF(ISNUMBER($I8000),TEXT($I8000,"0"),$I8000))</f>
        <v/>
      </c>
    </row>
    <row r="8001">
      <c r="B8001" s="25" t="n"/>
      <c r="I8001" s="25" t="n"/>
      <c r="U8001" s="19">
        <f>IF($V8001&lt;&gt;'設定'!$C$4,N(U8000),IF(OR(NOT(COUNTIF('商品マスタ'!$B$6:$B$1005,$W8001)=0),COUNTIFS('①在庫を貼る'!$V$6:$V$10005,$V8001,'①在庫を貼る'!$W$6:$W$10005,$W8001)&gt;0),N(U8000),N(U8000)+1))</f>
        <v/>
      </c>
      <c r="V8001" s="19">
        <f>IF($B8001="","",TEXT($B8001,"0000"))</f>
        <v/>
      </c>
      <c r="W8001" s="19">
        <f>IF($I8001="","",IF(ISNUMBER($I8001),TEXT($I8001,"0"),$I8001))</f>
        <v/>
      </c>
    </row>
    <row r="8002">
      <c r="B8002" s="25" t="n"/>
      <c r="I8002" s="25" t="n"/>
      <c r="U8002" s="19">
        <f>IF($V8002&lt;&gt;'設定'!$C$4,N(U8001),IF(OR(NOT(COUNTIF('商品マスタ'!$B$6:$B$1005,$W8002)=0),COUNTIFS('①在庫を貼る'!$V$6:$V$10005,$V8002,'①在庫を貼る'!$W$6:$W$10005,$W8002)&gt;0),N(U8001),N(U8001)+1))</f>
        <v/>
      </c>
      <c r="V8002" s="19">
        <f>IF($B8002="","",TEXT($B8002,"0000"))</f>
        <v/>
      </c>
      <c r="W8002" s="19">
        <f>IF($I8002="","",IF(ISNUMBER($I8002),TEXT($I8002,"0"),$I8002))</f>
        <v/>
      </c>
    </row>
    <row r="8003">
      <c r="B8003" s="25" t="n"/>
      <c r="I8003" s="25" t="n"/>
      <c r="U8003" s="19">
        <f>IF($V8003&lt;&gt;'設定'!$C$4,N(U8002),IF(OR(NOT(COUNTIF('商品マスタ'!$B$6:$B$1005,$W8003)=0),COUNTIFS('①在庫を貼る'!$V$6:$V$10005,$V8003,'①在庫を貼る'!$W$6:$W$10005,$W8003)&gt;0),N(U8002),N(U8002)+1))</f>
        <v/>
      </c>
      <c r="V8003" s="19">
        <f>IF($B8003="","",TEXT($B8003,"0000"))</f>
        <v/>
      </c>
      <c r="W8003" s="19">
        <f>IF($I8003="","",IF(ISNUMBER($I8003),TEXT($I8003,"0"),$I8003))</f>
        <v/>
      </c>
    </row>
    <row r="8004">
      <c r="B8004" s="25" t="n"/>
      <c r="I8004" s="25" t="n"/>
      <c r="U8004" s="19">
        <f>IF($V8004&lt;&gt;'設定'!$C$4,N(U8003),IF(OR(NOT(COUNTIF('商品マスタ'!$B$6:$B$1005,$W8004)=0),COUNTIFS('①在庫を貼る'!$V$6:$V$10005,$V8004,'①在庫を貼る'!$W$6:$W$10005,$W8004)&gt;0),N(U8003),N(U8003)+1))</f>
        <v/>
      </c>
      <c r="V8004" s="19">
        <f>IF($B8004="","",TEXT($B8004,"0000"))</f>
        <v/>
      </c>
      <c r="W8004" s="19">
        <f>IF($I8004="","",IF(ISNUMBER($I8004),TEXT($I8004,"0"),$I8004))</f>
        <v/>
      </c>
    </row>
    <row r="8005">
      <c r="B8005" s="25" t="n"/>
      <c r="I8005" s="25" t="n"/>
      <c r="U8005" s="19">
        <f>IF($V8005&lt;&gt;'設定'!$C$4,N(U8004),IF(OR(NOT(COUNTIF('商品マスタ'!$B$6:$B$1005,$W8005)=0),COUNTIFS('①在庫を貼る'!$V$6:$V$10005,$V8005,'①在庫を貼る'!$W$6:$W$10005,$W8005)&gt;0),N(U8004),N(U8004)+1))</f>
        <v/>
      </c>
      <c r="V8005" s="19">
        <f>IF($B8005="","",TEXT($B8005,"0000"))</f>
        <v/>
      </c>
      <c r="W8005" s="19">
        <f>IF($I8005="","",IF(ISNUMBER($I8005),TEXT($I8005,"0"),$I8005))</f>
        <v/>
      </c>
    </row>
    <row r="8006">
      <c r="B8006" s="25" t="n"/>
      <c r="I8006" s="25" t="n"/>
      <c r="U8006" s="19">
        <f>IF($V8006&lt;&gt;'設定'!$C$4,N(U8005),IF(OR(NOT(COUNTIF('商品マスタ'!$B$6:$B$1005,$W8006)=0),COUNTIFS('①在庫を貼る'!$V$6:$V$10005,$V8006,'①在庫を貼る'!$W$6:$W$10005,$W8006)&gt;0),N(U8005),N(U8005)+1))</f>
        <v/>
      </c>
      <c r="V8006" s="19">
        <f>IF($B8006="","",TEXT($B8006,"0000"))</f>
        <v/>
      </c>
      <c r="W8006" s="19">
        <f>IF($I8006="","",IF(ISNUMBER($I8006),TEXT($I8006,"0"),$I8006))</f>
        <v/>
      </c>
    </row>
    <row r="8007">
      <c r="B8007" s="25" t="n"/>
      <c r="I8007" s="25" t="n"/>
      <c r="U8007" s="19">
        <f>IF($V8007&lt;&gt;'設定'!$C$4,N(U8006),IF(OR(NOT(COUNTIF('商品マスタ'!$B$6:$B$1005,$W8007)=0),COUNTIFS('①在庫を貼る'!$V$6:$V$10005,$V8007,'①在庫を貼る'!$W$6:$W$10005,$W8007)&gt;0),N(U8006),N(U8006)+1))</f>
        <v/>
      </c>
      <c r="V8007" s="19">
        <f>IF($B8007="","",TEXT($B8007,"0000"))</f>
        <v/>
      </c>
      <c r="W8007" s="19">
        <f>IF($I8007="","",IF(ISNUMBER($I8007),TEXT($I8007,"0"),$I8007))</f>
        <v/>
      </c>
    </row>
    <row r="8008">
      <c r="B8008" s="25" t="n"/>
      <c r="I8008" s="25" t="n"/>
      <c r="U8008" s="19">
        <f>IF($V8008&lt;&gt;'設定'!$C$4,N(U8007),IF(OR(NOT(COUNTIF('商品マスタ'!$B$6:$B$1005,$W8008)=0),COUNTIFS('①在庫を貼る'!$V$6:$V$10005,$V8008,'①在庫を貼る'!$W$6:$W$10005,$W8008)&gt;0),N(U8007),N(U8007)+1))</f>
        <v/>
      </c>
      <c r="V8008" s="19">
        <f>IF($B8008="","",TEXT($B8008,"0000"))</f>
        <v/>
      </c>
      <c r="W8008" s="19">
        <f>IF($I8008="","",IF(ISNUMBER($I8008),TEXT($I8008,"0"),$I8008))</f>
        <v/>
      </c>
    </row>
    <row r="8009">
      <c r="B8009" s="25" t="n"/>
      <c r="I8009" s="25" t="n"/>
      <c r="U8009" s="19">
        <f>IF($V8009&lt;&gt;'設定'!$C$4,N(U8008),IF(OR(NOT(COUNTIF('商品マスタ'!$B$6:$B$1005,$W8009)=0),COUNTIFS('①在庫を貼る'!$V$6:$V$10005,$V8009,'①在庫を貼る'!$W$6:$W$10005,$W8009)&gt;0),N(U8008),N(U8008)+1))</f>
        <v/>
      </c>
      <c r="V8009" s="19">
        <f>IF($B8009="","",TEXT($B8009,"0000"))</f>
        <v/>
      </c>
      <c r="W8009" s="19">
        <f>IF($I8009="","",IF(ISNUMBER($I8009),TEXT($I8009,"0"),$I8009))</f>
        <v/>
      </c>
    </row>
    <row r="8010">
      <c r="B8010" s="25" t="n"/>
      <c r="I8010" s="25" t="n"/>
      <c r="U8010" s="19">
        <f>IF($V8010&lt;&gt;'設定'!$C$4,N(U8009),IF(OR(NOT(COUNTIF('商品マスタ'!$B$6:$B$1005,$W8010)=0),COUNTIFS('①在庫を貼る'!$V$6:$V$10005,$V8010,'①在庫を貼る'!$W$6:$W$10005,$W8010)&gt;0),N(U8009),N(U8009)+1))</f>
        <v/>
      </c>
      <c r="V8010" s="19">
        <f>IF($B8010="","",TEXT($B8010,"0000"))</f>
        <v/>
      </c>
      <c r="W8010" s="19">
        <f>IF($I8010="","",IF(ISNUMBER($I8010),TEXT($I8010,"0"),$I8010))</f>
        <v/>
      </c>
    </row>
    <row r="8011">
      <c r="B8011" s="25" t="n"/>
      <c r="I8011" s="25" t="n"/>
      <c r="U8011" s="19">
        <f>IF($V8011&lt;&gt;'設定'!$C$4,N(U8010),IF(OR(NOT(COUNTIF('商品マスタ'!$B$6:$B$1005,$W8011)=0),COUNTIFS('①在庫を貼る'!$V$6:$V$10005,$V8011,'①在庫を貼る'!$W$6:$W$10005,$W8011)&gt;0),N(U8010),N(U8010)+1))</f>
        <v/>
      </c>
      <c r="V8011" s="19">
        <f>IF($B8011="","",TEXT($B8011,"0000"))</f>
        <v/>
      </c>
      <c r="W8011" s="19">
        <f>IF($I8011="","",IF(ISNUMBER($I8011),TEXT($I8011,"0"),$I8011))</f>
        <v/>
      </c>
    </row>
    <row r="8012">
      <c r="B8012" s="25" t="n"/>
      <c r="I8012" s="25" t="n"/>
      <c r="U8012" s="19">
        <f>IF($V8012&lt;&gt;'設定'!$C$4,N(U8011),IF(OR(NOT(COUNTIF('商品マスタ'!$B$6:$B$1005,$W8012)=0),COUNTIFS('①在庫を貼る'!$V$6:$V$10005,$V8012,'①在庫を貼る'!$W$6:$W$10005,$W8012)&gt;0),N(U8011),N(U8011)+1))</f>
        <v/>
      </c>
      <c r="V8012" s="19">
        <f>IF($B8012="","",TEXT($B8012,"0000"))</f>
        <v/>
      </c>
      <c r="W8012" s="19">
        <f>IF($I8012="","",IF(ISNUMBER($I8012),TEXT($I8012,"0"),$I8012))</f>
        <v/>
      </c>
    </row>
    <row r="8013">
      <c r="B8013" s="25" t="n"/>
      <c r="I8013" s="25" t="n"/>
      <c r="U8013" s="19">
        <f>IF($V8013&lt;&gt;'設定'!$C$4,N(U8012),IF(OR(NOT(COUNTIF('商品マスタ'!$B$6:$B$1005,$W8013)=0),COUNTIFS('①在庫を貼る'!$V$6:$V$10005,$V8013,'①在庫を貼る'!$W$6:$W$10005,$W8013)&gt;0),N(U8012),N(U8012)+1))</f>
        <v/>
      </c>
      <c r="V8013" s="19">
        <f>IF($B8013="","",TEXT($B8013,"0000"))</f>
        <v/>
      </c>
      <c r="W8013" s="19">
        <f>IF($I8013="","",IF(ISNUMBER($I8013),TEXT($I8013,"0"),$I8013))</f>
        <v/>
      </c>
    </row>
    <row r="8014">
      <c r="B8014" s="25" t="n"/>
      <c r="I8014" s="25" t="n"/>
      <c r="U8014" s="19">
        <f>IF($V8014&lt;&gt;'設定'!$C$4,N(U8013),IF(OR(NOT(COUNTIF('商品マスタ'!$B$6:$B$1005,$W8014)=0),COUNTIFS('①在庫を貼る'!$V$6:$V$10005,$V8014,'①在庫を貼る'!$W$6:$W$10005,$W8014)&gt;0),N(U8013),N(U8013)+1))</f>
        <v/>
      </c>
      <c r="V8014" s="19">
        <f>IF($B8014="","",TEXT($B8014,"0000"))</f>
        <v/>
      </c>
      <c r="W8014" s="19">
        <f>IF($I8014="","",IF(ISNUMBER($I8014),TEXT($I8014,"0"),$I8014))</f>
        <v/>
      </c>
    </row>
    <row r="8015">
      <c r="B8015" s="25" t="n"/>
      <c r="I8015" s="25" t="n"/>
      <c r="U8015" s="19">
        <f>IF($V8015&lt;&gt;'設定'!$C$4,N(U8014),IF(OR(NOT(COUNTIF('商品マスタ'!$B$6:$B$1005,$W8015)=0),COUNTIFS('①在庫を貼る'!$V$6:$V$10005,$V8015,'①在庫を貼る'!$W$6:$W$10005,$W8015)&gt;0),N(U8014),N(U8014)+1))</f>
        <v/>
      </c>
      <c r="V8015" s="19">
        <f>IF($B8015="","",TEXT($B8015,"0000"))</f>
        <v/>
      </c>
      <c r="W8015" s="19">
        <f>IF($I8015="","",IF(ISNUMBER($I8015),TEXT($I8015,"0"),$I8015))</f>
        <v/>
      </c>
    </row>
    <row r="8016">
      <c r="B8016" s="25" t="n"/>
      <c r="I8016" s="25" t="n"/>
      <c r="U8016" s="19">
        <f>IF($V8016&lt;&gt;'設定'!$C$4,N(U8015),IF(OR(NOT(COUNTIF('商品マスタ'!$B$6:$B$1005,$W8016)=0),COUNTIFS('①在庫を貼る'!$V$6:$V$10005,$V8016,'①在庫を貼る'!$W$6:$W$10005,$W8016)&gt;0),N(U8015),N(U8015)+1))</f>
        <v/>
      </c>
      <c r="V8016" s="19">
        <f>IF($B8016="","",TEXT($B8016,"0000"))</f>
        <v/>
      </c>
      <c r="W8016" s="19">
        <f>IF($I8016="","",IF(ISNUMBER($I8016),TEXT($I8016,"0"),$I8016))</f>
        <v/>
      </c>
    </row>
    <row r="8017">
      <c r="B8017" s="25" t="n"/>
      <c r="I8017" s="25" t="n"/>
      <c r="U8017" s="19">
        <f>IF($V8017&lt;&gt;'設定'!$C$4,N(U8016),IF(OR(NOT(COUNTIF('商品マスタ'!$B$6:$B$1005,$W8017)=0),COUNTIFS('①在庫を貼る'!$V$6:$V$10005,$V8017,'①在庫を貼る'!$W$6:$W$10005,$W8017)&gt;0),N(U8016),N(U8016)+1))</f>
        <v/>
      </c>
      <c r="V8017" s="19">
        <f>IF($B8017="","",TEXT($B8017,"0000"))</f>
        <v/>
      </c>
      <c r="W8017" s="19">
        <f>IF($I8017="","",IF(ISNUMBER($I8017),TEXT($I8017,"0"),$I8017))</f>
        <v/>
      </c>
    </row>
    <row r="8018">
      <c r="B8018" s="25" t="n"/>
      <c r="I8018" s="25" t="n"/>
      <c r="U8018" s="19">
        <f>IF($V8018&lt;&gt;'設定'!$C$4,N(U8017),IF(OR(NOT(COUNTIF('商品マスタ'!$B$6:$B$1005,$W8018)=0),COUNTIFS('①在庫を貼る'!$V$6:$V$10005,$V8018,'①在庫を貼る'!$W$6:$W$10005,$W8018)&gt;0),N(U8017),N(U8017)+1))</f>
        <v/>
      </c>
      <c r="V8018" s="19">
        <f>IF($B8018="","",TEXT($B8018,"0000"))</f>
        <v/>
      </c>
      <c r="W8018" s="19">
        <f>IF($I8018="","",IF(ISNUMBER($I8018),TEXT($I8018,"0"),$I8018))</f>
        <v/>
      </c>
    </row>
    <row r="8019">
      <c r="B8019" s="25" t="n"/>
      <c r="I8019" s="25" t="n"/>
      <c r="U8019" s="19">
        <f>IF($V8019&lt;&gt;'設定'!$C$4,N(U8018),IF(OR(NOT(COUNTIF('商品マスタ'!$B$6:$B$1005,$W8019)=0),COUNTIFS('①在庫を貼る'!$V$6:$V$10005,$V8019,'①在庫を貼る'!$W$6:$W$10005,$W8019)&gt;0),N(U8018),N(U8018)+1))</f>
        <v/>
      </c>
      <c r="V8019" s="19">
        <f>IF($B8019="","",TEXT($B8019,"0000"))</f>
        <v/>
      </c>
      <c r="W8019" s="19">
        <f>IF($I8019="","",IF(ISNUMBER($I8019),TEXT($I8019,"0"),$I8019))</f>
        <v/>
      </c>
    </row>
    <row r="8020">
      <c r="B8020" s="25" t="n"/>
      <c r="I8020" s="25" t="n"/>
      <c r="U8020" s="19">
        <f>IF($V8020&lt;&gt;'設定'!$C$4,N(U8019),IF(OR(NOT(COUNTIF('商品マスタ'!$B$6:$B$1005,$W8020)=0),COUNTIFS('①在庫を貼る'!$V$6:$V$10005,$V8020,'①在庫を貼る'!$W$6:$W$10005,$W8020)&gt;0),N(U8019),N(U8019)+1))</f>
        <v/>
      </c>
      <c r="V8020" s="19">
        <f>IF($B8020="","",TEXT($B8020,"0000"))</f>
        <v/>
      </c>
      <c r="W8020" s="19">
        <f>IF($I8020="","",IF(ISNUMBER($I8020),TEXT($I8020,"0"),$I8020))</f>
        <v/>
      </c>
    </row>
    <row r="8021">
      <c r="B8021" s="25" t="n"/>
      <c r="I8021" s="25" t="n"/>
      <c r="U8021" s="19">
        <f>IF($V8021&lt;&gt;'設定'!$C$4,N(U8020),IF(OR(NOT(COUNTIF('商品マスタ'!$B$6:$B$1005,$W8021)=0),COUNTIFS('①在庫を貼る'!$V$6:$V$10005,$V8021,'①在庫を貼る'!$W$6:$W$10005,$W8021)&gt;0),N(U8020),N(U8020)+1))</f>
        <v/>
      </c>
      <c r="V8021" s="19">
        <f>IF($B8021="","",TEXT($B8021,"0000"))</f>
        <v/>
      </c>
      <c r="W8021" s="19">
        <f>IF($I8021="","",IF(ISNUMBER($I8021),TEXT($I8021,"0"),$I8021))</f>
        <v/>
      </c>
    </row>
    <row r="8022">
      <c r="B8022" s="25" t="n"/>
      <c r="I8022" s="25" t="n"/>
      <c r="U8022" s="19">
        <f>IF($V8022&lt;&gt;'設定'!$C$4,N(U8021),IF(OR(NOT(COUNTIF('商品マスタ'!$B$6:$B$1005,$W8022)=0),COUNTIFS('①在庫を貼る'!$V$6:$V$10005,$V8022,'①在庫を貼る'!$W$6:$W$10005,$W8022)&gt;0),N(U8021),N(U8021)+1))</f>
        <v/>
      </c>
      <c r="V8022" s="19">
        <f>IF($B8022="","",TEXT($B8022,"0000"))</f>
        <v/>
      </c>
      <c r="W8022" s="19">
        <f>IF($I8022="","",IF(ISNUMBER($I8022),TEXT($I8022,"0"),$I8022))</f>
        <v/>
      </c>
    </row>
    <row r="8023">
      <c r="B8023" s="25" t="n"/>
      <c r="I8023" s="25" t="n"/>
      <c r="U8023" s="19">
        <f>IF($V8023&lt;&gt;'設定'!$C$4,N(U8022),IF(OR(NOT(COUNTIF('商品マスタ'!$B$6:$B$1005,$W8023)=0),COUNTIFS('①在庫を貼る'!$V$6:$V$10005,$V8023,'①在庫を貼る'!$W$6:$W$10005,$W8023)&gt;0),N(U8022),N(U8022)+1))</f>
        <v/>
      </c>
      <c r="V8023" s="19">
        <f>IF($B8023="","",TEXT($B8023,"0000"))</f>
        <v/>
      </c>
      <c r="W8023" s="19">
        <f>IF($I8023="","",IF(ISNUMBER($I8023),TEXT($I8023,"0"),$I8023))</f>
        <v/>
      </c>
    </row>
    <row r="8024">
      <c r="B8024" s="25" t="n"/>
      <c r="I8024" s="25" t="n"/>
      <c r="U8024" s="19">
        <f>IF($V8024&lt;&gt;'設定'!$C$4,N(U8023),IF(OR(NOT(COUNTIF('商品マスタ'!$B$6:$B$1005,$W8024)=0),COUNTIFS('①在庫を貼る'!$V$6:$V$10005,$V8024,'①在庫を貼る'!$W$6:$W$10005,$W8024)&gt;0),N(U8023),N(U8023)+1))</f>
        <v/>
      </c>
      <c r="V8024" s="19">
        <f>IF($B8024="","",TEXT($B8024,"0000"))</f>
        <v/>
      </c>
      <c r="W8024" s="19">
        <f>IF($I8024="","",IF(ISNUMBER($I8024),TEXT($I8024,"0"),$I8024))</f>
        <v/>
      </c>
    </row>
    <row r="8025">
      <c r="B8025" s="25" t="n"/>
      <c r="I8025" s="25" t="n"/>
      <c r="U8025" s="19">
        <f>IF($V8025&lt;&gt;'設定'!$C$4,N(U8024),IF(OR(NOT(COUNTIF('商品マスタ'!$B$6:$B$1005,$W8025)=0),COUNTIFS('①在庫を貼る'!$V$6:$V$10005,$V8025,'①在庫を貼る'!$W$6:$W$10005,$W8025)&gt;0),N(U8024),N(U8024)+1))</f>
        <v/>
      </c>
      <c r="V8025" s="19">
        <f>IF($B8025="","",TEXT($B8025,"0000"))</f>
        <v/>
      </c>
      <c r="W8025" s="19">
        <f>IF($I8025="","",IF(ISNUMBER($I8025),TEXT($I8025,"0"),$I8025))</f>
        <v/>
      </c>
    </row>
    <row r="8026">
      <c r="B8026" s="25" t="n"/>
      <c r="I8026" s="25" t="n"/>
      <c r="U8026" s="19">
        <f>IF($V8026&lt;&gt;'設定'!$C$4,N(U8025),IF(OR(NOT(COUNTIF('商品マスタ'!$B$6:$B$1005,$W8026)=0),COUNTIFS('①在庫を貼る'!$V$6:$V$10005,$V8026,'①在庫を貼る'!$W$6:$W$10005,$W8026)&gt;0),N(U8025),N(U8025)+1))</f>
        <v/>
      </c>
      <c r="V8026" s="19">
        <f>IF($B8026="","",TEXT($B8026,"0000"))</f>
        <v/>
      </c>
      <c r="W8026" s="19">
        <f>IF($I8026="","",IF(ISNUMBER($I8026),TEXT($I8026,"0"),$I8026))</f>
        <v/>
      </c>
    </row>
    <row r="8027">
      <c r="B8027" s="25" t="n"/>
      <c r="I8027" s="25" t="n"/>
      <c r="U8027" s="19">
        <f>IF($V8027&lt;&gt;'設定'!$C$4,N(U8026),IF(OR(NOT(COUNTIF('商品マスタ'!$B$6:$B$1005,$W8027)=0),COUNTIFS('①在庫を貼る'!$V$6:$V$10005,$V8027,'①在庫を貼る'!$W$6:$W$10005,$W8027)&gt;0),N(U8026),N(U8026)+1))</f>
        <v/>
      </c>
      <c r="V8027" s="19">
        <f>IF($B8027="","",TEXT($B8027,"0000"))</f>
        <v/>
      </c>
      <c r="W8027" s="19">
        <f>IF($I8027="","",IF(ISNUMBER($I8027),TEXT($I8027,"0"),$I8027))</f>
        <v/>
      </c>
    </row>
    <row r="8028">
      <c r="B8028" s="25" t="n"/>
      <c r="I8028" s="25" t="n"/>
      <c r="U8028" s="19">
        <f>IF($V8028&lt;&gt;'設定'!$C$4,N(U8027),IF(OR(NOT(COUNTIF('商品マスタ'!$B$6:$B$1005,$W8028)=0),COUNTIFS('①在庫を貼る'!$V$6:$V$10005,$V8028,'①在庫を貼る'!$W$6:$W$10005,$W8028)&gt;0),N(U8027),N(U8027)+1))</f>
        <v/>
      </c>
      <c r="V8028" s="19">
        <f>IF($B8028="","",TEXT($B8028,"0000"))</f>
        <v/>
      </c>
      <c r="W8028" s="19">
        <f>IF($I8028="","",IF(ISNUMBER($I8028),TEXT($I8028,"0"),$I8028))</f>
        <v/>
      </c>
    </row>
    <row r="8029">
      <c r="B8029" s="25" t="n"/>
      <c r="I8029" s="25" t="n"/>
      <c r="U8029" s="19">
        <f>IF($V8029&lt;&gt;'設定'!$C$4,N(U8028),IF(OR(NOT(COUNTIF('商品マスタ'!$B$6:$B$1005,$W8029)=0),COUNTIFS('①在庫を貼る'!$V$6:$V$10005,$V8029,'①在庫を貼る'!$W$6:$W$10005,$W8029)&gt;0),N(U8028),N(U8028)+1))</f>
        <v/>
      </c>
      <c r="V8029" s="19">
        <f>IF($B8029="","",TEXT($B8029,"0000"))</f>
        <v/>
      </c>
      <c r="W8029" s="19">
        <f>IF($I8029="","",IF(ISNUMBER($I8029),TEXT($I8029,"0"),$I8029))</f>
        <v/>
      </c>
    </row>
    <row r="8030">
      <c r="B8030" s="25" t="n"/>
      <c r="I8030" s="25" t="n"/>
      <c r="U8030" s="19">
        <f>IF($V8030&lt;&gt;'設定'!$C$4,N(U8029),IF(OR(NOT(COUNTIF('商品マスタ'!$B$6:$B$1005,$W8030)=0),COUNTIFS('①在庫を貼る'!$V$6:$V$10005,$V8030,'①在庫を貼る'!$W$6:$W$10005,$W8030)&gt;0),N(U8029),N(U8029)+1))</f>
        <v/>
      </c>
      <c r="V8030" s="19">
        <f>IF($B8030="","",TEXT($B8030,"0000"))</f>
        <v/>
      </c>
      <c r="W8030" s="19">
        <f>IF($I8030="","",IF(ISNUMBER($I8030),TEXT($I8030,"0"),$I8030))</f>
        <v/>
      </c>
    </row>
    <row r="8031">
      <c r="B8031" s="25" t="n"/>
      <c r="I8031" s="25" t="n"/>
      <c r="U8031" s="19">
        <f>IF($V8031&lt;&gt;'設定'!$C$4,N(U8030),IF(OR(NOT(COUNTIF('商品マスタ'!$B$6:$B$1005,$W8031)=0),COUNTIFS('①在庫を貼る'!$V$6:$V$10005,$V8031,'①在庫を貼る'!$W$6:$W$10005,$W8031)&gt;0),N(U8030),N(U8030)+1))</f>
        <v/>
      </c>
      <c r="V8031" s="19">
        <f>IF($B8031="","",TEXT($B8031,"0000"))</f>
        <v/>
      </c>
      <c r="W8031" s="19">
        <f>IF($I8031="","",IF(ISNUMBER($I8031),TEXT($I8031,"0"),$I8031))</f>
        <v/>
      </c>
    </row>
    <row r="8032">
      <c r="B8032" s="25" t="n"/>
      <c r="I8032" s="25" t="n"/>
      <c r="U8032" s="19">
        <f>IF($V8032&lt;&gt;'設定'!$C$4,N(U8031),IF(OR(NOT(COUNTIF('商品マスタ'!$B$6:$B$1005,$W8032)=0),COUNTIFS('①在庫を貼る'!$V$6:$V$10005,$V8032,'①在庫を貼る'!$W$6:$W$10005,$W8032)&gt;0),N(U8031),N(U8031)+1))</f>
        <v/>
      </c>
      <c r="V8032" s="19">
        <f>IF($B8032="","",TEXT($B8032,"0000"))</f>
        <v/>
      </c>
      <c r="W8032" s="19">
        <f>IF($I8032="","",IF(ISNUMBER($I8032),TEXT($I8032,"0"),$I8032))</f>
        <v/>
      </c>
    </row>
    <row r="8033">
      <c r="B8033" s="25" t="n"/>
      <c r="I8033" s="25" t="n"/>
      <c r="U8033" s="19">
        <f>IF($V8033&lt;&gt;'設定'!$C$4,N(U8032),IF(OR(NOT(COUNTIF('商品マスタ'!$B$6:$B$1005,$W8033)=0),COUNTIFS('①在庫を貼る'!$V$6:$V$10005,$V8033,'①在庫を貼る'!$W$6:$W$10005,$W8033)&gt;0),N(U8032),N(U8032)+1))</f>
        <v/>
      </c>
      <c r="V8033" s="19">
        <f>IF($B8033="","",TEXT($B8033,"0000"))</f>
        <v/>
      </c>
      <c r="W8033" s="19">
        <f>IF($I8033="","",IF(ISNUMBER($I8033),TEXT($I8033,"0"),$I8033))</f>
        <v/>
      </c>
    </row>
    <row r="8034">
      <c r="B8034" s="25" t="n"/>
      <c r="I8034" s="25" t="n"/>
      <c r="U8034" s="19">
        <f>IF($V8034&lt;&gt;'設定'!$C$4,N(U8033),IF(OR(NOT(COUNTIF('商品マスタ'!$B$6:$B$1005,$W8034)=0),COUNTIFS('①在庫を貼る'!$V$6:$V$10005,$V8034,'①在庫を貼る'!$W$6:$W$10005,$W8034)&gt;0),N(U8033),N(U8033)+1))</f>
        <v/>
      </c>
      <c r="V8034" s="19">
        <f>IF($B8034="","",TEXT($B8034,"0000"))</f>
        <v/>
      </c>
      <c r="W8034" s="19">
        <f>IF($I8034="","",IF(ISNUMBER($I8034),TEXT($I8034,"0"),$I8034))</f>
        <v/>
      </c>
    </row>
    <row r="8035">
      <c r="B8035" s="25" t="n"/>
      <c r="I8035" s="25" t="n"/>
      <c r="U8035" s="19">
        <f>IF($V8035&lt;&gt;'設定'!$C$4,N(U8034),IF(OR(NOT(COUNTIF('商品マスタ'!$B$6:$B$1005,$W8035)=0),COUNTIFS('①在庫を貼る'!$V$6:$V$10005,$V8035,'①在庫を貼る'!$W$6:$W$10005,$W8035)&gt;0),N(U8034),N(U8034)+1))</f>
        <v/>
      </c>
      <c r="V8035" s="19">
        <f>IF($B8035="","",TEXT($B8035,"0000"))</f>
        <v/>
      </c>
      <c r="W8035" s="19">
        <f>IF($I8035="","",IF(ISNUMBER($I8035),TEXT($I8035,"0"),$I8035))</f>
        <v/>
      </c>
    </row>
    <row r="8036">
      <c r="B8036" s="25" t="n"/>
      <c r="I8036" s="25" t="n"/>
      <c r="U8036" s="19">
        <f>IF($V8036&lt;&gt;'設定'!$C$4,N(U8035),IF(OR(NOT(COUNTIF('商品マスタ'!$B$6:$B$1005,$W8036)=0),COUNTIFS('①在庫を貼る'!$V$6:$V$10005,$V8036,'①在庫を貼る'!$W$6:$W$10005,$W8036)&gt;0),N(U8035),N(U8035)+1))</f>
        <v/>
      </c>
      <c r="V8036" s="19">
        <f>IF($B8036="","",TEXT($B8036,"0000"))</f>
        <v/>
      </c>
      <c r="W8036" s="19">
        <f>IF($I8036="","",IF(ISNUMBER($I8036),TEXT($I8036,"0"),$I8036))</f>
        <v/>
      </c>
    </row>
    <row r="8037">
      <c r="B8037" s="25" t="n"/>
      <c r="I8037" s="25" t="n"/>
      <c r="U8037" s="19">
        <f>IF($V8037&lt;&gt;'設定'!$C$4,N(U8036),IF(OR(NOT(COUNTIF('商品マスタ'!$B$6:$B$1005,$W8037)=0),COUNTIFS('①在庫を貼る'!$V$6:$V$10005,$V8037,'①在庫を貼る'!$W$6:$W$10005,$W8037)&gt;0),N(U8036),N(U8036)+1))</f>
        <v/>
      </c>
      <c r="V8037" s="19">
        <f>IF($B8037="","",TEXT($B8037,"0000"))</f>
        <v/>
      </c>
      <c r="W8037" s="19">
        <f>IF($I8037="","",IF(ISNUMBER($I8037),TEXT($I8037,"0"),$I8037))</f>
        <v/>
      </c>
    </row>
    <row r="8038">
      <c r="B8038" s="25" t="n"/>
      <c r="I8038" s="25" t="n"/>
      <c r="U8038" s="19">
        <f>IF($V8038&lt;&gt;'設定'!$C$4,N(U8037),IF(OR(NOT(COUNTIF('商品マスタ'!$B$6:$B$1005,$W8038)=0),COUNTIFS('①在庫を貼る'!$V$6:$V$10005,$V8038,'①在庫を貼る'!$W$6:$W$10005,$W8038)&gt;0),N(U8037),N(U8037)+1))</f>
        <v/>
      </c>
      <c r="V8038" s="19">
        <f>IF($B8038="","",TEXT($B8038,"0000"))</f>
        <v/>
      </c>
      <c r="W8038" s="19">
        <f>IF($I8038="","",IF(ISNUMBER($I8038),TEXT($I8038,"0"),$I8038))</f>
        <v/>
      </c>
    </row>
    <row r="8039">
      <c r="B8039" s="25" t="n"/>
      <c r="I8039" s="25" t="n"/>
      <c r="U8039" s="19">
        <f>IF($V8039&lt;&gt;'設定'!$C$4,N(U8038),IF(OR(NOT(COUNTIF('商品マスタ'!$B$6:$B$1005,$W8039)=0),COUNTIFS('①在庫を貼る'!$V$6:$V$10005,$V8039,'①在庫を貼る'!$W$6:$W$10005,$W8039)&gt;0),N(U8038),N(U8038)+1))</f>
        <v/>
      </c>
      <c r="V8039" s="19">
        <f>IF($B8039="","",TEXT($B8039,"0000"))</f>
        <v/>
      </c>
      <c r="W8039" s="19">
        <f>IF($I8039="","",IF(ISNUMBER($I8039),TEXT($I8039,"0"),$I8039))</f>
        <v/>
      </c>
    </row>
    <row r="8040">
      <c r="B8040" s="25" t="n"/>
      <c r="I8040" s="25" t="n"/>
      <c r="U8040" s="19">
        <f>IF($V8040&lt;&gt;'設定'!$C$4,N(U8039),IF(OR(NOT(COUNTIF('商品マスタ'!$B$6:$B$1005,$W8040)=0),COUNTIFS('①在庫を貼る'!$V$6:$V$10005,$V8040,'①在庫を貼る'!$W$6:$W$10005,$W8040)&gt;0),N(U8039),N(U8039)+1))</f>
        <v/>
      </c>
      <c r="V8040" s="19">
        <f>IF($B8040="","",TEXT($B8040,"0000"))</f>
        <v/>
      </c>
      <c r="W8040" s="19">
        <f>IF($I8040="","",IF(ISNUMBER($I8040),TEXT($I8040,"0"),$I8040))</f>
        <v/>
      </c>
    </row>
    <row r="8041">
      <c r="B8041" s="25" t="n"/>
      <c r="I8041" s="25" t="n"/>
      <c r="U8041" s="19">
        <f>IF($V8041&lt;&gt;'設定'!$C$4,N(U8040),IF(OR(NOT(COUNTIF('商品マスタ'!$B$6:$B$1005,$W8041)=0),COUNTIFS('①在庫を貼る'!$V$6:$V$10005,$V8041,'①在庫を貼る'!$W$6:$W$10005,$W8041)&gt;0),N(U8040),N(U8040)+1))</f>
        <v/>
      </c>
      <c r="V8041" s="19">
        <f>IF($B8041="","",TEXT($B8041,"0000"))</f>
        <v/>
      </c>
      <c r="W8041" s="19">
        <f>IF($I8041="","",IF(ISNUMBER($I8041),TEXT($I8041,"0"),$I8041))</f>
        <v/>
      </c>
    </row>
    <row r="8042">
      <c r="B8042" s="25" t="n"/>
      <c r="I8042" s="25" t="n"/>
      <c r="U8042" s="19">
        <f>IF($V8042&lt;&gt;'設定'!$C$4,N(U8041),IF(OR(NOT(COUNTIF('商品マスタ'!$B$6:$B$1005,$W8042)=0),COUNTIFS('①在庫を貼る'!$V$6:$V$10005,$V8042,'①在庫を貼る'!$W$6:$W$10005,$W8042)&gt;0),N(U8041),N(U8041)+1))</f>
        <v/>
      </c>
      <c r="V8042" s="19">
        <f>IF($B8042="","",TEXT($B8042,"0000"))</f>
        <v/>
      </c>
      <c r="W8042" s="19">
        <f>IF($I8042="","",IF(ISNUMBER($I8042),TEXT($I8042,"0"),$I8042))</f>
        <v/>
      </c>
    </row>
    <row r="8043">
      <c r="B8043" s="25" t="n"/>
      <c r="I8043" s="25" t="n"/>
      <c r="U8043" s="19">
        <f>IF($V8043&lt;&gt;'設定'!$C$4,N(U8042),IF(OR(NOT(COUNTIF('商品マスタ'!$B$6:$B$1005,$W8043)=0),COUNTIFS('①在庫を貼る'!$V$6:$V$10005,$V8043,'①在庫を貼る'!$W$6:$W$10005,$W8043)&gt;0),N(U8042),N(U8042)+1))</f>
        <v/>
      </c>
      <c r="V8043" s="19">
        <f>IF($B8043="","",TEXT($B8043,"0000"))</f>
        <v/>
      </c>
      <c r="W8043" s="19">
        <f>IF($I8043="","",IF(ISNUMBER($I8043),TEXT($I8043,"0"),$I8043))</f>
        <v/>
      </c>
    </row>
    <row r="8044">
      <c r="B8044" s="25" t="n"/>
      <c r="I8044" s="25" t="n"/>
      <c r="U8044" s="19">
        <f>IF($V8044&lt;&gt;'設定'!$C$4,N(U8043),IF(OR(NOT(COUNTIF('商品マスタ'!$B$6:$B$1005,$W8044)=0),COUNTIFS('①在庫を貼る'!$V$6:$V$10005,$V8044,'①在庫を貼る'!$W$6:$W$10005,$W8044)&gt;0),N(U8043),N(U8043)+1))</f>
        <v/>
      </c>
      <c r="V8044" s="19">
        <f>IF($B8044="","",TEXT($B8044,"0000"))</f>
        <v/>
      </c>
      <c r="W8044" s="19">
        <f>IF($I8044="","",IF(ISNUMBER($I8044),TEXT($I8044,"0"),$I8044))</f>
        <v/>
      </c>
    </row>
    <row r="8045">
      <c r="B8045" s="25" t="n"/>
      <c r="I8045" s="25" t="n"/>
      <c r="U8045" s="19">
        <f>IF($V8045&lt;&gt;'設定'!$C$4,N(U8044),IF(OR(NOT(COUNTIF('商品マスタ'!$B$6:$B$1005,$W8045)=0),COUNTIFS('①在庫を貼る'!$V$6:$V$10005,$V8045,'①在庫を貼る'!$W$6:$W$10005,$W8045)&gt;0),N(U8044),N(U8044)+1))</f>
        <v/>
      </c>
      <c r="V8045" s="19">
        <f>IF($B8045="","",TEXT($B8045,"0000"))</f>
        <v/>
      </c>
      <c r="W8045" s="19">
        <f>IF($I8045="","",IF(ISNUMBER($I8045),TEXT($I8045,"0"),$I8045))</f>
        <v/>
      </c>
    </row>
    <row r="8046">
      <c r="B8046" s="25" t="n"/>
      <c r="I8046" s="25" t="n"/>
      <c r="U8046" s="19">
        <f>IF($V8046&lt;&gt;'設定'!$C$4,N(U8045),IF(OR(NOT(COUNTIF('商品マスタ'!$B$6:$B$1005,$W8046)=0),COUNTIFS('①在庫を貼る'!$V$6:$V$10005,$V8046,'①在庫を貼る'!$W$6:$W$10005,$W8046)&gt;0),N(U8045),N(U8045)+1))</f>
        <v/>
      </c>
      <c r="V8046" s="19">
        <f>IF($B8046="","",TEXT($B8046,"0000"))</f>
        <v/>
      </c>
      <c r="W8046" s="19">
        <f>IF($I8046="","",IF(ISNUMBER($I8046),TEXT($I8046,"0"),$I8046))</f>
        <v/>
      </c>
    </row>
    <row r="8047">
      <c r="B8047" s="25" t="n"/>
      <c r="I8047" s="25" t="n"/>
      <c r="U8047" s="19">
        <f>IF($V8047&lt;&gt;'設定'!$C$4,N(U8046),IF(OR(NOT(COUNTIF('商品マスタ'!$B$6:$B$1005,$W8047)=0),COUNTIFS('①在庫を貼る'!$V$6:$V$10005,$V8047,'①在庫を貼る'!$W$6:$W$10005,$W8047)&gt;0),N(U8046),N(U8046)+1))</f>
        <v/>
      </c>
      <c r="V8047" s="19">
        <f>IF($B8047="","",TEXT($B8047,"0000"))</f>
        <v/>
      </c>
      <c r="W8047" s="19">
        <f>IF($I8047="","",IF(ISNUMBER($I8047),TEXT($I8047,"0"),$I8047))</f>
        <v/>
      </c>
    </row>
    <row r="8048">
      <c r="B8048" s="25" t="n"/>
      <c r="I8048" s="25" t="n"/>
      <c r="U8048" s="19">
        <f>IF($V8048&lt;&gt;'設定'!$C$4,N(U8047),IF(OR(NOT(COUNTIF('商品マスタ'!$B$6:$B$1005,$W8048)=0),COUNTIFS('①在庫を貼る'!$V$6:$V$10005,$V8048,'①在庫を貼る'!$W$6:$W$10005,$W8048)&gt;0),N(U8047),N(U8047)+1))</f>
        <v/>
      </c>
      <c r="V8048" s="19">
        <f>IF($B8048="","",TEXT($B8048,"0000"))</f>
        <v/>
      </c>
      <c r="W8048" s="19">
        <f>IF($I8048="","",IF(ISNUMBER($I8048),TEXT($I8048,"0"),$I8048))</f>
        <v/>
      </c>
    </row>
    <row r="8049">
      <c r="B8049" s="25" t="n"/>
      <c r="I8049" s="25" t="n"/>
      <c r="U8049" s="19">
        <f>IF($V8049&lt;&gt;'設定'!$C$4,N(U8048),IF(OR(NOT(COUNTIF('商品マスタ'!$B$6:$B$1005,$W8049)=0),COUNTIFS('①在庫を貼る'!$V$6:$V$10005,$V8049,'①在庫を貼る'!$W$6:$W$10005,$W8049)&gt;0),N(U8048),N(U8048)+1))</f>
        <v/>
      </c>
      <c r="V8049" s="19">
        <f>IF($B8049="","",TEXT($B8049,"0000"))</f>
        <v/>
      </c>
      <c r="W8049" s="19">
        <f>IF($I8049="","",IF(ISNUMBER($I8049),TEXT($I8049,"0"),$I8049))</f>
        <v/>
      </c>
    </row>
    <row r="8050">
      <c r="B8050" s="25" t="n"/>
      <c r="I8050" s="25" t="n"/>
      <c r="U8050" s="19">
        <f>IF($V8050&lt;&gt;'設定'!$C$4,N(U8049),IF(OR(NOT(COUNTIF('商品マスタ'!$B$6:$B$1005,$W8050)=0),COUNTIFS('①在庫を貼る'!$V$6:$V$10005,$V8050,'①在庫を貼る'!$W$6:$W$10005,$W8050)&gt;0),N(U8049),N(U8049)+1))</f>
        <v/>
      </c>
      <c r="V8050" s="19">
        <f>IF($B8050="","",TEXT($B8050,"0000"))</f>
        <v/>
      </c>
      <c r="W8050" s="19">
        <f>IF($I8050="","",IF(ISNUMBER($I8050),TEXT($I8050,"0"),$I8050))</f>
        <v/>
      </c>
    </row>
    <row r="8051">
      <c r="B8051" s="25" t="n"/>
      <c r="I8051" s="25" t="n"/>
      <c r="U8051" s="19">
        <f>IF($V8051&lt;&gt;'設定'!$C$4,N(U8050),IF(OR(NOT(COUNTIF('商品マスタ'!$B$6:$B$1005,$W8051)=0),COUNTIFS('①在庫を貼る'!$V$6:$V$10005,$V8051,'①在庫を貼る'!$W$6:$W$10005,$W8051)&gt;0),N(U8050),N(U8050)+1))</f>
        <v/>
      </c>
      <c r="V8051" s="19">
        <f>IF($B8051="","",TEXT($B8051,"0000"))</f>
        <v/>
      </c>
      <c r="W8051" s="19">
        <f>IF($I8051="","",IF(ISNUMBER($I8051),TEXT($I8051,"0"),$I8051))</f>
        <v/>
      </c>
    </row>
    <row r="8052">
      <c r="B8052" s="25" t="n"/>
      <c r="I8052" s="25" t="n"/>
      <c r="U8052" s="19">
        <f>IF($V8052&lt;&gt;'設定'!$C$4,N(U8051),IF(OR(NOT(COUNTIF('商品マスタ'!$B$6:$B$1005,$W8052)=0),COUNTIFS('①在庫を貼る'!$V$6:$V$10005,$V8052,'①在庫を貼る'!$W$6:$W$10005,$W8052)&gt;0),N(U8051),N(U8051)+1))</f>
        <v/>
      </c>
      <c r="V8052" s="19">
        <f>IF($B8052="","",TEXT($B8052,"0000"))</f>
        <v/>
      </c>
      <c r="W8052" s="19">
        <f>IF($I8052="","",IF(ISNUMBER($I8052),TEXT($I8052,"0"),$I8052))</f>
        <v/>
      </c>
    </row>
    <row r="8053">
      <c r="B8053" s="25" t="n"/>
      <c r="I8053" s="25" t="n"/>
      <c r="U8053" s="19">
        <f>IF($V8053&lt;&gt;'設定'!$C$4,N(U8052),IF(OR(NOT(COUNTIF('商品マスタ'!$B$6:$B$1005,$W8053)=0),COUNTIFS('①在庫を貼る'!$V$6:$V$10005,$V8053,'①在庫を貼る'!$W$6:$W$10005,$W8053)&gt;0),N(U8052),N(U8052)+1))</f>
        <v/>
      </c>
      <c r="V8053" s="19">
        <f>IF($B8053="","",TEXT($B8053,"0000"))</f>
        <v/>
      </c>
      <c r="W8053" s="19">
        <f>IF($I8053="","",IF(ISNUMBER($I8053),TEXT($I8053,"0"),$I8053))</f>
        <v/>
      </c>
    </row>
    <row r="8054">
      <c r="B8054" s="25" t="n"/>
      <c r="I8054" s="25" t="n"/>
      <c r="U8054" s="19">
        <f>IF($V8054&lt;&gt;'設定'!$C$4,N(U8053),IF(OR(NOT(COUNTIF('商品マスタ'!$B$6:$B$1005,$W8054)=0),COUNTIFS('①在庫を貼る'!$V$6:$V$10005,$V8054,'①在庫を貼る'!$W$6:$W$10005,$W8054)&gt;0),N(U8053),N(U8053)+1))</f>
        <v/>
      </c>
      <c r="V8054" s="19">
        <f>IF($B8054="","",TEXT($B8054,"0000"))</f>
        <v/>
      </c>
      <c r="W8054" s="19">
        <f>IF($I8054="","",IF(ISNUMBER($I8054),TEXT($I8054,"0"),$I8054))</f>
        <v/>
      </c>
    </row>
    <row r="8055">
      <c r="B8055" s="25" t="n"/>
      <c r="I8055" s="25" t="n"/>
      <c r="U8055" s="19">
        <f>IF($V8055&lt;&gt;'設定'!$C$4,N(U8054),IF(OR(NOT(COUNTIF('商品マスタ'!$B$6:$B$1005,$W8055)=0),COUNTIFS('①在庫を貼る'!$V$6:$V$10005,$V8055,'①在庫を貼る'!$W$6:$W$10005,$W8055)&gt;0),N(U8054),N(U8054)+1))</f>
        <v/>
      </c>
      <c r="V8055" s="19">
        <f>IF($B8055="","",TEXT($B8055,"0000"))</f>
        <v/>
      </c>
      <c r="W8055" s="19">
        <f>IF($I8055="","",IF(ISNUMBER($I8055),TEXT($I8055,"0"),$I8055))</f>
        <v/>
      </c>
    </row>
    <row r="8056">
      <c r="B8056" s="25" t="n"/>
      <c r="I8056" s="25" t="n"/>
      <c r="U8056" s="19">
        <f>IF($V8056&lt;&gt;'設定'!$C$4,N(U8055),IF(OR(NOT(COUNTIF('商品マスタ'!$B$6:$B$1005,$W8056)=0),COUNTIFS('①在庫を貼る'!$V$6:$V$10005,$V8056,'①在庫を貼る'!$W$6:$W$10005,$W8056)&gt;0),N(U8055),N(U8055)+1))</f>
        <v/>
      </c>
      <c r="V8056" s="19">
        <f>IF($B8056="","",TEXT($B8056,"0000"))</f>
        <v/>
      </c>
      <c r="W8056" s="19">
        <f>IF($I8056="","",IF(ISNUMBER($I8056),TEXT($I8056,"0"),$I8056))</f>
        <v/>
      </c>
    </row>
    <row r="8057">
      <c r="B8057" s="25" t="n"/>
      <c r="I8057" s="25" t="n"/>
      <c r="U8057" s="19">
        <f>IF($V8057&lt;&gt;'設定'!$C$4,N(U8056),IF(OR(NOT(COUNTIF('商品マスタ'!$B$6:$B$1005,$W8057)=0),COUNTIFS('①在庫を貼る'!$V$6:$V$10005,$V8057,'①在庫を貼る'!$W$6:$W$10005,$W8057)&gt;0),N(U8056),N(U8056)+1))</f>
        <v/>
      </c>
      <c r="V8057" s="19">
        <f>IF($B8057="","",TEXT($B8057,"0000"))</f>
        <v/>
      </c>
      <c r="W8057" s="19">
        <f>IF($I8057="","",IF(ISNUMBER($I8057),TEXT($I8057,"0"),$I8057))</f>
        <v/>
      </c>
    </row>
    <row r="8058">
      <c r="B8058" s="25" t="n"/>
      <c r="I8058" s="25" t="n"/>
      <c r="U8058" s="19">
        <f>IF($V8058&lt;&gt;'設定'!$C$4,N(U8057),IF(OR(NOT(COUNTIF('商品マスタ'!$B$6:$B$1005,$W8058)=0),COUNTIFS('①在庫を貼る'!$V$6:$V$10005,$V8058,'①在庫を貼る'!$W$6:$W$10005,$W8058)&gt;0),N(U8057),N(U8057)+1))</f>
        <v/>
      </c>
      <c r="V8058" s="19">
        <f>IF($B8058="","",TEXT($B8058,"0000"))</f>
        <v/>
      </c>
      <c r="W8058" s="19">
        <f>IF($I8058="","",IF(ISNUMBER($I8058),TEXT($I8058,"0"),$I8058))</f>
        <v/>
      </c>
    </row>
    <row r="8059">
      <c r="B8059" s="25" t="n"/>
      <c r="I8059" s="25" t="n"/>
      <c r="U8059" s="19">
        <f>IF($V8059&lt;&gt;'設定'!$C$4,N(U8058),IF(OR(NOT(COUNTIF('商品マスタ'!$B$6:$B$1005,$W8059)=0),COUNTIFS('①在庫を貼る'!$V$6:$V$10005,$V8059,'①在庫を貼る'!$W$6:$W$10005,$W8059)&gt;0),N(U8058),N(U8058)+1))</f>
        <v/>
      </c>
      <c r="V8059" s="19">
        <f>IF($B8059="","",TEXT($B8059,"0000"))</f>
        <v/>
      </c>
      <c r="W8059" s="19">
        <f>IF($I8059="","",IF(ISNUMBER($I8059),TEXT($I8059,"0"),$I8059))</f>
        <v/>
      </c>
    </row>
    <row r="8060">
      <c r="B8060" s="25" t="n"/>
      <c r="I8060" s="25" t="n"/>
      <c r="U8060" s="19">
        <f>IF($V8060&lt;&gt;'設定'!$C$4,N(U8059),IF(OR(NOT(COUNTIF('商品マスタ'!$B$6:$B$1005,$W8060)=0),COUNTIFS('①在庫を貼る'!$V$6:$V$10005,$V8060,'①在庫を貼る'!$W$6:$W$10005,$W8060)&gt;0),N(U8059),N(U8059)+1))</f>
        <v/>
      </c>
      <c r="V8060" s="19">
        <f>IF($B8060="","",TEXT($B8060,"0000"))</f>
        <v/>
      </c>
      <c r="W8060" s="19">
        <f>IF($I8060="","",IF(ISNUMBER($I8060),TEXT($I8060,"0"),$I8060))</f>
        <v/>
      </c>
    </row>
    <row r="8061">
      <c r="B8061" s="25" t="n"/>
      <c r="I8061" s="25" t="n"/>
      <c r="U8061" s="19">
        <f>IF($V8061&lt;&gt;'設定'!$C$4,N(U8060),IF(OR(NOT(COUNTIF('商品マスタ'!$B$6:$B$1005,$W8061)=0),COUNTIFS('①在庫を貼る'!$V$6:$V$10005,$V8061,'①在庫を貼る'!$W$6:$W$10005,$W8061)&gt;0),N(U8060),N(U8060)+1))</f>
        <v/>
      </c>
      <c r="V8061" s="19">
        <f>IF($B8061="","",TEXT($B8061,"0000"))</f>
        <v/>
      </c>
      <c r="W8061" s="19">
        <f>IF($I8061="","",IF(ISNUMBER($I8061),TEXT($I8061,"0"),$I8061))</f>
        <v/>
      </c>
    </row>
    <row r="8062">
      <c r="B8062" s="25" t="n"/>
      <c r="I8062" s="25" t="n"/>
      <c r="U8062" s="19">
        <f>IF($V8062&lt;&gt;'設定'!$C$4,N(U8061),IF(OR(NOT(COUNTIF('商品マスタ'!$B$6:$B$1005,$W8062)=0),COUNTIFS('①在庫を貼る'!$V$6:$V$10005,$V8062,'①在庫を貼る'!$W$6:$W$10005,$W8062)&gt;0),N(U8061),N(U8061)+1))</f>
        <v/>
      </c>
      <c r="V8062" s="19">
        <f>IF($B8062="","",TEXT($B8062,"0000"))</f>
        <v/>
      </c>
      <c r="W8062" s="19">
        <f>IF($I8062="","",IF(ISNUMBER($I8062),TEXT($I8062,"0"),$I8062))</f>
        <v/>
      </c>
    </row>
    <row r="8063">
      <c r="B8063" s="25" t="n"/>
      <c r="I8063" s="25" t="n"/>
      <c r="U8063" s="19">
        <f>IF($V8063&lt;&gt;'設定'!$C$4,N(U8062),IF(OR(NOT(COUNTIF('商品マスタ'!$B$6:$B$1005,$W8063)=0),COUNTIFS('①在庫を貼る'!$V$6:$V$10005,$V8063,'①在庫を貼る'!$W$6:$W$10005,$W8063)&gt;0),N(U8062),N(U8062)+1))</f>
        <v/>
      </c>
      <c r="V8063" s="19">
        <f>IF($B8063="","",TEXT($B8063,"0000"))</f>
        <v/>
      </c>
      <c r="W8063" s="19">
        <f>IF($I8063="","",IF(ISNUMBER($I8063),TEXT($I8063,"0"),$I8063))</f>
        <v/>
      </c>
    </row>
    <row r="8064">
      <c r="B8064" s="25" t="n"/>
      <c r="I8064" s="25" t="n"/>
      <c r="U8064" s="19">
        <f>IF($V8064&lt;&gt;'設定'!$C$4,N(U8063),IF(OR(NOT(COUNTIF('商品マスタ'!$B$6:$B$1005,$W8064)=0),COUNTIFS('①在庫を貼る'!$V$6:$V$10005,$V8064,'①在庫を貼る'!$W$6:$W$10005,$W8064)&gt;0),N(U8063),N(U8063)+1))</f>
        <v/>
      </c>
      <c r="V8064" s="19">
        <f>IF($B8064="","",TEXT($B8064,"0000"))</f>
        <v/>
      </c>
      <c r="W8064" s="19">
        <f>IF($I8064="","",IF(ISNUMBER($I8064),TEXT($I8064,"0"),$I8064))</f>
        <v/>
      </c>
    </row>
    <row r="8065">
      <c r="B8065" s="25" t="n"/>
      <c r="I8065" s="25" t="n"/>
      <c r="U8065" s="19">
        <f>IF($V8065&lt;&gt;'設定'!$C$4,N(U8064),IF(OR(NOT(COUNTIF('商品マスタ'!$B$6:$B$1005,$W8065)=0),COUNTIFS('①在庫を貼る'!$V$6:$V$10005,$V8065,'①在庫を貼る'!$W$6:$W$10005,$W8065)&gt;0),N(U8064),N(U8064)+1))</f>
        <v/>
      </c>
      <c r="V8065" s="19">
        <f>IF($B8065="","",TEXT($B8065,"0000"))</f>
        <v/>
      </c>
      <c r="W8065" s="19">
        <f>IF($I8065="","",IF(ISNUMBER($I8065),TEXT($I8065,"0"),$I8065))</f>
        <v/>
      </c>
    </row>
    <row r="8066">
      <c r="B8066" s="25" t="n"/>
      <c r="I8066" s="25" t="n"/>
      <c r="U8066" s="19">
        <f>IF($V8066&lt;&gt;'設定'!$C$4,N(U8065),IF(OR(NOT(COUNTIF('商品マスタ'!$B$6:$B$1005,$W8066)=0),COUNTIFS('①在庫を貼る'!$V$6:$V$10005,$V8066,'①在庫を貼る'!$W$6:$W$10005,$W8066)&gt;0),N(U8065),N(U8065)+1))</f>
        <v/>
      </c>
      <c r="V8066" s="19">
        <f>IF($B8066="","",TEXT($B8066,"0000"))</f>
        <v/>
      </c>
      <c r="W8066" s="19">
        <f>IF($I8066="","",IF(ISNUMBER($I8066),TEXT($I8066,"0"),$I8066))</f>
        <v/>
      </c>
    </row>
    <row r="8067">
      <c r="B8067" s="25" t="n"/>
      <c r="I8067" s="25" t="n"/>
      <c r="U8067" s="19">
        <f>IF($V8067&lt;&gt;'設定'!$C$4,N(U8066),IF(OR(NOT(COUNTIF('商品マスタ'!$B$6:$B$1005,$W8067)=0),COUNTIFS('①在庫を貼る'!$V$6:$V$10005,$V8067,'①在庫を貼る'!$W$6:$W$10005,$W8067)&gt;0),N(U8066),N(U8066)+1))</f>
        <v/>
      </c>
      <c r="V8067" s="19">
        <f>IF($B8067="","",TEXT($B8067,"0000"))</f>
        <v/>
      </c>
      <c r="W8067" s="19">
        <f>IF($I8067="","",IF(ISNUMBER($I8067),TEXT($I8067,"0"),$I8067))</f>
        <v/>
      </c>
    </row>
    <row r="8068">
      <c r="B8068" s="25" t="n"/>
      <c r="I8068" s="25" t="n"/>
      <c r="U8068" s="19">
        <f>IF($V8068&lt;&gt;'設定'!$C$4,N(U8067),IF(OR(NOT(COUNTIF('商品マスタ'!$B$6:$B$1005,$W8068)=0),COUNTIFS('①在庫を貼る'!$V$6:$V$10005,$V8068,'①在庫を貼る'!$W$6:$W$10005,$W8068)&gt;0),N(U8067),N(U8067)+1))</f>
        <v/>
      </c>
      <c r="V8068" s="19">
        <f>IF($B8068="","",TEXT($B8068,"0000"))</f>
        <v/>
      </c>
      <c r="W8068" s="19">
        <f>IF($I8068="","",IF(ISNUMBER($I8068),TEXT($I8068,"0"),$I8068))</f>
        <v/>
      </c>
    </row>
    <row r="8069">
      <c r="B8069" s="25" t="n"/>
      <c r="I8069" s="25" t="n"/>
      <c r="U8069" s="19">
        <f>IF($V8069&lt;&gt;'設定'!$C$4,N(U8068),IF(OR(NOT(COUNTIF('商品マスタ'!$B$6:$B$1005,$W8069)=0),COUNTIFS('①在庫を貼る'!$V$6:$V$10005,$V8069,'①在庫を貼る'!$W$6:$W$10005,$W8069)&gt;0),N(U8068),N(U8068)+1))</f>
        <v/>
      </c>
      <c r="V8069" s="19">
        <f>IF($B8069="","",TEXT($B8069,"0000"))</f>
        <v/>
      </c>
      <c r="W8069" s="19">
        <f>IF($I8069="","",IF(ISNUMBER($I8069),TEXT($I8069,"0"),$I8069))</f>
        <v/>
      </c>
    </row>
    <row r="8070">
      <c r="B8070" s="25" t="n"/>
      <c r="I8070" s="25" t="n"/>
      <c r="U8070" s="19">
        <f>IF($V8070&lt;&gt;'設定'!$C$4,N(U8069),IF(OR(NOT(COUNTIF('商品マスタ'!$B$6:$B$1005,$W8070)=0),COUNTIFS('①在庫を貼る'!$V$6:$V$10005,$V8070,'①在庫を貼る'!$W$6:$W$10005,$W8070)&gt;0),N(U8069),N(U8069)+1))</f>
        <v/>
      </c>
      <c r="V8070" s="19">
        <f>IF($B8070="","",TEXT($B8070,"0000"))</f>
        <v/>
      </c>
      <c r="W8070" s="19">
        <f>IF($I8070="","",IF(ISNUMBER($I8070),TEXT($I8070,"0"),$I8070))</f>
        <v/>
      </c>
    </row>
    <row r="8071">
      <c r="B8071" s="25" t="n"/>
      <c r="I8071" s="25" t="n"/>
      <c r="U8071" s="19">
        <f>IF($V8071&lt;&gt;'設定'!$C$4,N(U8070),IF(OR(NOT(COUNTIF('商品マスタ'!$B$6:$B$1005,$W8071)=0),COUNTIFS('①在庫を貼る'!$V$6:$V$10005,$V8071,'①在庫を貼る'!$W$6:$W$10005,$W8071)&gt;0),N(U8070),N(U8070)+1))</f>
        <v/>
      </c>
      <c r="V8071" s="19">
        <f>IF($B8071="","",TEXT($B8071,"0000"))</f>
        <v/>
      </c>
      <c r="W8071" s="19">
        <f>IF($I8071="","",IF(ISNUMBER($I8071),TEXT($I8071,"0"),$I8071))</f>
        <v/>
      </c>
    </row>
    <row r="8072">
      <c r="B8072" s="25" t="n"/>
      <c r="I8072" s="25" t="n"/>
      <c r="U8072" s="19">
        <f>IF($V8072&lt;&gt;'設定'!$C$4,N(U8071),IF(OR(NOT(COUNTIF('商品マスタ'!$B$6:$B$1005,$W8072)=0),COUNTIFS('①在庫を貼る'!$V$6:$V$10005,$V8072,'①在庫を貼る'!$W$6:$W$10005,$W8072)&gt;0),N(U8071),N(U8071)+1))</f>
        <v/>
      </c>
      <c r="V8072" s="19">
        <f>IF($B8072="","",TEXT($B8072,"0000"))</f>
        <v/>
      </c>
      <c r="W8072" s="19">
        <f>IF($I8072="","",IF(ISNUMBER($I8072),TEXT($I8072,"0"),$I8072))</f>
        <v/>
      </c>
    </row>
    <row r="8073">
      <c r="B8073" s="25" t="n"/>
      <c r="I8073" s="25" t="n"/>
      <c r="U8073" s="19">
        <f>IF($V8073&lt;&gt;'設定'!$C$4,N(U8072),IF(OR(NOT(COUNTIF('商品マスタ'!$B$6:$B$1005,$W8073)=0),COUNTIFS('①在庫を貼る'!$V$6:$V$10005,$V8073,'①在庫を貼る'!$W$6:$W$10005,$W8073)&gt;0),N(U8072),N(U8072)+1))</f>
        <v/>
      </c>
      <c r="V8073" s="19">
        <f>IF($B8073="","",TEXT($B8073,"0000"))</f>
        <v/>
      </c>
      <c r="W8073" s="19">
        <f>IF($I8073="","",IF(ISNUMBER($I8073),TEXT($I8073,"0"),$I8073))</f>
        <v/>
      </c>
    </row>
    <row r="8074">
      <c r="B8074" s="25" t="n"/>
      <c r="I8074" s="25" t="n"/>
      <c r="U8074" s="19">
        <f>IF($V8074&lt;&gt;'設定'!$C$4,N(U8073),IF(OR(NOT(COUNTIF('商品マスタ'!$B$6:$B$1005,$W8074)=0),COUNTIFS('①在庫を貼る'!$V$6:$V$10005,$V8074,'①在庫を貼る'!$W$6:$W$10005,$W8074)&gt;0),N(U8073),N(U8073)+1))</f>
        <v/>
      </c>
      <c r="V8074" s="19">
        <f>IF($B8074="","",TEXT($B8074,"0000"))</f>
        <v/>
      </c>
      <c r="W8074" s="19">
        <f>IF($I8074="","",IF(ISNUMBER($I8074),TEXT($I8074,"0"),$I8074))</f>
        <v/>
      </c>
    </row>
    <row r="8075">
      <c r="B8075" s="25" t="n"/>
      <c r="I8075" s="25" t="n"/>
      <c r="U8075" s="19">
        <f>IF($V8075&lt;&gt;'設定'!$C$4,N(U8074),IF(OR(NOT(COUNTIF('商品マスタ'!$B$6:$B$1005,$W8075)=0),COUNTIFS('①在庫を貼る'!$V$6:$V$10005,$V8075,'①在庫を貼る'!$W$6:$W$10005,$W8075)&gt;0),N(U8074),N(U8074)+1))</f>
        <v/>
      </c>
      <c r="V8075" s="19">
        <f>IF($B8075="","",TEXT($B8075,"0000"))</f>
        <v/>
      </c>
      <c r="W8075" s="19">
        <f>IF($I8075="","",IF(ISNUMBER($I8075),TEXT($I8075,"0"),$I8075))</f>
        <v/>
      </c>
    </row>
    <row r="8076">
      <c r="B8076" s="25" t="n"/>
      <c r="I8076" s="25" t="n"/>
      <c r="U8076" s="19">
        <f>IF($V8076&lt;&gt;'設定'!$C$4,N(U8075),IF(OR(NOT(COUNTIF('商品マスタ'!$B$6:$B$1005,$W8076)=0),COUNTIFS('①在庫を貼る'!$V$6:$V$10005,$V8076,'①在庫を貼る'!$W$6:$W$10005,$W8076)&gt;0),N(U8075),N(U8075)+1))</f>
        <v/>
      </c>
      <c r="V8076" s="19">
        <f>IF($B8076="","",TEXT($B8076,"0000"))</f>
        <v/>
      </c>
      <c r="W8076" s="19">
        <f>IF($I8076="","",IF(ISNUMBER($I8076),TEXT($I8076,"0"),$I8076))</f>
        <v/>
      </c>
    </row>
    <row r="8077">
      <c r="B8077" s="25" t="n"/>
      <c r="I8077" s="25" t="n"/>
      <c r="U8077" s="19">
        <f>IF($V8077&lt;&gt;'設定'!$C$4,N(U8076),IF(OR(NOT(COUNTIF('商品マスタ'!$B$6:$B$1005,$W8077)=0),COUNTIFS('①在庫を貼る'!$V$6:$V$10005,$V8077,'①在庫を貼る'!$W$6:$W$10005,$W8077)&gt;0),N(U8076),N(U8076)+1))</f>
        <v/>
      </c>
      <c r="V8077" s="19">
        <f>IF($B8077="","",TEXT($B8077,"0000"))</f>
        <v/>
      </c>
      <c r="W8077" s="19">
        <f>IF($I8077="","",IF(ISNUMBER($I8077),TEXT($I8077,"0"),$I8077))</f>
        <v/>
      </c>
    </row>
    <row r="8078">
      <c r="B8078" s="25" t="n"/>
      <c r="I8078" s="25" t="n"/>
      <c r="U8078" s="19">
        <f>IF($V8078&lt;&gt;'設定'!$C$4,N(U8077),IF(OR(NOT(COUNTIF('商品マスタ'!$B$6:$B$1005,$W8078)=0),COUNTIFS('①在庫を貼る'!$V$6:$V$10005,$V8078,'①在庫を貼る'!$W$6:$W$10005,$W8078)&gt;0),N(U8077),N(U8077)+1))</f>
        <v/>
      </c>
      <c r="V8078" s="19">
        <f>IF($B8078="","",TEXT($B8078,"0000"))</f>
        <v/>
      </c>
      <c r="W8078" s="19">
        <f>IF($I8078="","",IF(ISNUMBER($I8078),TEXT($I8078,"0"),$I8078))</f>
        <v/>
      </c>
    </row>
    <row r="8079">
      <c r="B8079" s="25" t="n"/>
      <c r="I8079" s="25" t="n"/>
      <c r="U8079" s="19">
        <f>IF($V8079&lt;&gt;'設定'!$C$4,N(U8078),IF(OR(NOT(COUNTIF('商品マスタ'!$B$6:$B$1005,$W8079)=0),COUNTIFS('①在庫を貼る'!$V$6:$V$10005,$V8079,'①在庫を貼る'!$W$6:$W$10005,$W8079)&gt;0),N(U8078),N(U8078)+1))</f>
        <v/>
      </c>
      <c r="V8079" s="19">
        <f>IF($B8079="","",TEXT($B8079,"0000"))</f>
        <v/>
      </c>
      <c r="W8079" s="19">
        <f>IF($I8079="","",IF(ISNUMBER($I8079),TEXT($I8079,"0"),$I8079))</f>
        <v/>
      </c>
    </row>
    <row r="8080">
      <c r="B8080" s="25" t="n"/>
      <c r="I8080" s="25" t="n"/>
      <c r="U8080" s="19">
        <f>IF($V8080&lt;&gt;'設定'!$C$4,N(U8079),IF(OR(NOT(COUNTIF('商品マスタ'!$B$6:$B$1005,$W8080)=0),COUNTIFS('①在庫を貼る'!$V$6:$V$10005,$V8080,'①在庫を貼る'!$W$6:$W$10005,$W8080)&gt;0),N(U8079),N(U8079)+1))</f>
        <v/>
      </c>
      <c r="V8080" s="19">
        <f>IF($B8080="","",TEXT($B8080,"0000"))</f>
        <v/>
      </c>
      <c r="W8080" s="19">
        <f>IF($I8080="","",IF(ISNUMBER($I8080),TEXT($I8080,"0"),$I8080))</f>
        <v/>
      </c>
    </row>
    <row r="8081">
      <c r="B8081" s="25" t="n"/>
      <c r="I8081" s="25" t="n"/>
      <c r="U8081" s="19">
        <f>IF($V8081&lt;&gt;'設定'!$C$4,N(U8080),IF(OR(NOT(COUNTIF('商品マスタ'!$B$6:$B$1005,$W8081)=0),COUNTIFS('①在庫を貼る'!$V$6:$V$10005,$V8081,'①在庫を貼る'!$W$6:$W$10005,$W8081)&gt;0),N(U8080),N(U8080)+1))</f>
        <v/>
      </c>
      <c r="V8081" s="19">
        <f>IF($B8081="","",TEXT($B8081,"0000"))</f>
        <v/>
      </c>
      <c r="W8081" s="19">
        <f>IF($I8081="","",IF(ISNUMBER($I8081),TEXT($I8081,"0"),$I8081))</f>
        <v/>
      </c>
    </row>
    <row r="8082">
      <c r="B8082" s="25" t="n"/>
      <c r="I8082" s="25" t="n"/>
      <c r="U8082" s="19">
        <f>IF($V8082&lt;&gt;'設定'!$C$4,N(U8081),IF(OR(NOT(COUNTIF('商品マスタ'!$B$6:$B$1005,$W8082)=0),COUNTIFS('①在庫を貼る'!$V$6:$V$10005,$V8082,'①在庫を貼る'!$W$6:$W$10005,$W8082)&gt;0),N(U8081),N(U8081)+1))</f>
        <v/>
      </c>
      <c r="V8082" s="19">
        <f>IF($B8082="","",TEXT($B8082,"0000"))</f>
        <v/>
      </c>
      <c r="W8082" s="19">
        <f>IF($I8082="","",IF(ISNUMBER($I8082),TEXT($I8082,"0"),$I8082))</f>
        <v/>
      </c>
    </row>
    <row r="8083">
      <c r="B8083" s="25" t="n"/>
      <c r="I8083" s="25" t="n"/>
      <c r="U8083" s="19">
        <f>IF($V8083&lt;&gt;'設定'!$C$4,N(U8082),IF(OR(NOT(COUNTIF('商品マスタ'!$B$6:$B$1005,$W8083)=0),COUNTIFS('①在庫を貼る'!$V$6:$V$10005,$V8083,'①在庫を貼る'!$W$6:$W$10005,$W8083)&gt;0),N(U8082),N(U8082)+1))</f>
        <v/>
      </c>
      <c r="V8083" s="19">
        <f>IF($B8083="","",TEXT($B8083,"0000"))</f>
        <v/>
      </c>
      <c r="W8083" s="19">
        <f>IF($I8083="","",IF(ISNUMBER($I8083),TEXT($I8083,"0"),$I8083))</f>
        <v/>
      </c>
    </row>
    <row r="8084">
      <c r="B8084" s="25" t="n"/>
      <c r="I8084" s="25" t="n"/>
      <c r="U8084" s="19">
        <f>IF($V8084&lt;&gt;'設定'!$C$4,N(U8083),IF(OR(NOT(COUNTIF('商品マスタ'!$B$6:$B$1005,$W8084)=0),COUNTIFS('①在庫を貼る'!$V$6:$V$10005,$V8084,'①在庫を貼る'!$W$6:$W$10005,$W8084)&gt;0),N(U8083),N(U8083)+1))</f>
        <v/>
      </c>
      <c r="V8084" s="19">
        <f>IF($B8084="","",TEXT($B8084,"0000"))</f>
        <v/>
      </c>
      <c r="W8084" s="19">
        <f>IF($I8084="","",IF(ISNUMBER($I8084),TEXT($I8084,"0"),$I8084))</f>
        <v/>
      </c>
    </row>
    <row r="8085">
      <c r="B8085" s="25" t="n"/>
      <c r="I8085" s="25" t="n"/>
      <c r="U8085" s="19">
        <f>IF($V8085&lt;&gt;'設定'!$C$4,N(U8084),IF(OR(NOT(COUNTIF('商品マスタ'!$B$6:$B$1005,$W8085)=0),COUNTIFS('①在庫を貼る'!$V$6:$V$10005,$V8085,'①在庫を貼る'!$W$6:$W$10005,$W8085)&gt;0),N(U8084),N(U8084)+1))</f>
        <v/>
      </c>
      <c r="V8085" s="19">
        <f>IF($B8085="","",TEXT($B8085,"0000"))</f>
        <v/>
      </c>
      <c r="W8085" s="19">
        <f>IF($I8085="","",IF(ISNUMBER($I8085),TEXT($I8085,"0"),$I8085))</f>
        <v/>
      </c>
    </row>
    <row r="8086">
      <c r="B8086" s="25" t="n"/>
      <c r="I8086" s="25" t="n"/>
      <c r="U8086" s="19">
        <f>IF($V8086&lt;&gt;'設定'!$C$4,N(U8085),IF(OR(NOT(COUNTIF('商品マスタ'!$B$6:$B$1005,$W8086)=0),COUNTIFS('①在庫を貼る'!$V$6:$V$10005,$V8086,'①在庫を貼る'!$W$6:$W$10005,$W8086)&gt;0),N(U8085),N(U8085)+1))</f>
        <v/>
      </c>
      <c r="V8086" s="19">
        <f>IF($B8086="","",TEXT($B8086,"0000"))</f>
        <v/>
      </c>
      <c r="W8086" s="19">
        <f>IF($I8086="","",IF(ISNUMBER($I8086),TEXT($I8086,"0"),$I8086))</f>
        <v/>
      </c>
    </row>
    <row r="8087">
      <c r="B8087" s="25" t="n"/>
      <c r="I8087" s="25" t="n"/>
      <c r="U8087" s="19">
        <f>IF($V8087&lt;&gt;'設定'!$C$4,N(U8086),IF(OR(NOT(COUNTIF('商品マスタ'!$B$6:$B$1005,$W8087)=0),COUNTIFS('①在庫を貼る'!$V$6:$V$10005,$V8087,'①在庫を貼る'!$W$6:$W$10005,$W8087)&gt;0),N(U8086),N(U8086)+1))</f>
        <v/>
      </c>
      <c r="V8087" s="19">
        <f>IF($B8087="","",TEXT($B8087,"0000"))</f>
        <v/>
      </c>
      <c r="W8087" s="19">
        <f>IF($I8087="","",IF(ISNUMBER($I8087),TEXT($I8087,"0"),$I8087))</f>
        <v/>
      </c>
    </row>
    <row r="8088">
      <c r="B8088" s="25" t="n"/>
      <c r="I8088" s="25" t="n"/>
      <c r="U8088" s="19">
        <f>IF($V8088&lt;&gt;'設定'!$C$4,N(U8087),IF(OR(NOT(COUNTIF('商品マスタ'!$B$6:$B$1005,$W8088)=0),COUNTIFS('①在庫を貼る'!$V$6:$V$10005,$V8088,'①在庫を貼る'!$W$6:$W$10005,$W8088)&gt;0),N(U8087),N(U8087)+1))</f>
        <v/>
      </c>
      <c r="V8088" s="19">
        <f>IF($B8088="","",TEXT($B8088,"0000"))</f>
        <v/>
      </c>
      <c r="W8088" s="19">
        <f>IF($I8088="","",IF(ISNUMBER($I8088),TEXT($I8088,"0"),$I8088))</f>
        <v/>
      </c>
    </row>
    <row r="8089">
      <c r="B8089" s="25" t="n"/>
      <c r="I8089" s="25" t="n"/>
      <c r="U8089" s="19">
        <f>IF($V8089&lt;&gt;'設定'!$C$4,N(U8088),IF(OR(NOT(COUNTIF('商品マスタ'!$B$6:$B$1005,$W8089)=0),COUNTIFS('①在庫を貼る'!$V$6:$V$10005,$V8089,'①在庫を貼る'!$W$6:$W$10005,$W8089)&gt;0),N(U8088),N(U8088)+1))</f>
        <v/>
      </c>
      <c r="V8089" s="19">
        <f>IF($B8089="","",TEXT($B8089,"0000"))</f>
        <v/>
      </c>
      <c r="W8089" s="19">
        <f>IF($I8089="","",IF(ISNUMBER($I8089),TEXT($I8089,"0"),$I8089))</f>
        <v/>
      </c>
    </row>
    <row r="8090">
      <c r="B8090" s="25" t="n"/>
      <c r="I8090" s="25" t="n"/>
      <c r="U8090" s="19">
        <f>IF($V8090&lt;&gt;'設定'!$C$4,N(U8089),IF(OR(NOT(COUNTIF('商品マスタ'!$B$6:$B$1005,$W8090)=0),COUNTIFS('①在庫を貼る'!$V$6:$V$10005,$V8090,'①在庫を貼る'!$W$6:$W$10005,$W8090)&gt;0),N(U8089),N(U8089)+1))</f>
        <v/>
      </c>
      <c r="V8090" s="19">
        <f>IF($B8090="","",TEXT($B8090,"0000"))</f>
        <v/>
      </c>
      <c r="W8090" s="19">
        <f>IF($I8090="","",IF(ISNUMBER($I8090),TEXT($I8090,"0"),$I8090))</f>
        <v/>
      </c>
    </row>
    <row r="8091">
      <c r="B8091" s="25" t="n"/>
      <c r="I8091" s="25" t="n"/>
      <c r="U8091" s="19">
        <f>IF($V8091&lt;&gt;'設定'!$C$4,N(U8090),IF(OR(NOT(COUNTIF('商品マスタ'!$B$6:$B$1005,$W8091)=0),COUNTIFS('①在庫を貼る'!$V$6:$V$10005,$V8091,'①在庫を貼る'!$W$6:$W$10005,$W8091)&gt;0),N(U8090),N(U8090)+1))</f>
        <v/>
      </c>
      <c r="V8091" s="19">
        <f>IF($B8091="","",TEXT($B8091,"0000"))</f>
        <v/>
      </c>
      <c r="W8091" s="19">
        <f>IF($I8091="","",IF(ISNUMBER($I8091),TEXT($I8091,"0"),$I8091))</f>
        <v/>
      </c>
    </row>
    <row r="8092">
      <c r="B8092" s="25" t="n"/>
      <c r="I8092" s="25" t="n"/>
      <c r="U8092" s="19">
        <f>IF($V8092&lt;&gt;'設定'!$C$4,N(U8091),IF(OR(NOT(COUNTIF('商品マスタ'!$B$6:$B$1005,$W8092)=0),COUNTIFS('①在庫を貼る'!$V$6:$V$10005,$V8092,'①在庫を貼る'!$W$6:$W$10005,$W8092)&gt;0),N(U8091),N(U8091)+1))</f>
        <v/>
      </c>
      <c r="V8092" s="19">
        <f>IF($B8092="","",TEXT($B8092,"0000"))</f>
        <v/>
      </c>
      <c r="W8092" s="19">
        <f>IF($I8092="","",IF(ISNUMBER($I8092),TEXT($I8092,"0"),$I8092))</f>
        <v/>
      </c>
    </row>
    <row r="8093">
      <c r="B8093" s="25" t="n"/>
      <c r="I8093" s="25" t="n"/>
      <c r="U8093" s="19">
        <f>IF($V8093&lt;&gt;'設定'!$C$4,N(U8092),IF(OR(NOT(COUNTIF('商品マスタ'!$B$6:$B$1005,$W8093)=0),COUNTIFS('①在庫を貼る'!$V$6:$V$10005,$V8093,'①在庫を貼る'!$W$6:$W$10005,$W8093)&gt;0),N(U8092),N(U8092)+1))</f>
        <v/>
      </c>
      <c r="V8093" s="19">
        <f>IF($B8093="","",TEXT($B8093,"0000"))</f>
        <v/>
      </c>
      <c r="W8093" s="19">
        <f>IF($I8093="","",IF(ISNUMBER($I8093),TEXT($I8093,"0"),$I8093))</f>
        <v/>
      </c>
    </row>
    <row r="8094">
      <c r="B8094" s="25" t="n"/>
      <c r="I8094" s="25" t="n"/>
      <c r="U8094" s="19">
        <f>IF($V8094&lt;&gt;'設定'!$C$4,N(U8093),IF(OR(NOT(COUNTIF('商品マスタ'!$B$6:$B$1005,$W8094)=0),COUNTIFS('①在庫を貼る'!$V$6:$V$10005,$V8094,'①在庫を貼る'!$W$6:$W$10005,$W8094)&gt;0),N(U8093),N(U8093)+1))</f>
        <v/>
      </c>
      <c r="V8094" s="19">
        <f>IF($B8094="","",TEXT($B8094,"0000"))</f>
        <v/>
      </c>
      <c r="W8094" s="19">
        <f>IF($I8094="","",IF(ISNUMBER($I8094),TEXT($I8094,"0"),$I8094))</f>
        <v/>
      </c>
    </row>
    <row r="8095">
      <c r="B8095" s="25" t="n"/>
      <c r="I8095" s="25" t="n"/>
      <c r="U8095" s="19">
        <f>IF($V8095&lt;&gt;'設定'!$C$4,N(U8094),IF(OR(NOT(COUNTIF('商品マスタ'!$B$6:$B$1005,$W8095)=0),COUNTIFS('①在庫を貼る'!$V$6:$V$10005,$V8095,'①在庫を貼る'!$W$6:$W$10005,$W8095)&gt;0),N(U8094),N(U8094)+1))</f>
        <v/>
      </c>
      <c r="V8095" s="19">
        <f>IF($B8095="","",TEXT($B8095,"0000"))</f>
        <v/>
      </c>
      <c r="W8095" s="19">
        <f>IF($I8095="","",IF(ISNUMBER($I8095),TEXT($I8095,"0"),$I8095))</f>
        <v/>
      </c>
    </row>
    <row r="8096">
      <c r="B8096" s="25" t="n"/>
      <c r="I8096" s="25" t="n"/>
      <c r="U8096" s="19">
        <f>IF($V8096&lt;&gt;'設定'!$C$4,N(U8095),IF(OR(NOT(COUNTIF('商品マスタ'!$B$6:$B$1005,$W8096)=0),COUNTIFS('①在庫を貼る'!$V$6:$V$10005,$V8096,'①在庫を貼る'!$W$6:$W$10005,$W8096)&gt;0),N(U8095),N(U8095)+1))</f>
        <v/>
      </c>
      <c r="V8096" s="19">
        <f>IF($B8096="","",TEXT($B8096,"0000"))</f>
        <v/>
      </c>
      <c r="W8096" s="19">
        <f>IF($I8096="","",IF(ISNUMBER($I8096),TEXT($I8096,"0"),$I8096))</f>
        <v/>
      </c>
    </row>
    <row r="8097">
      <c r="B8097" s="25" t="n"/>
      <c r="I8097" s="25" t="n"/>
      <c r="U8097" s="19">
        <f>IF($V8097&lt;&gt;'設定'!$C$4,N(U8096),IF(OR(NOT(COUNTIF('商品マスタ'!$B$6:$B$1005,$W8097)=0),COUNTIFS('①在庫を貼る'!$V$6:$V$10005,$V8097,'①在庫を貼る'!$W$6:$W$10005,$W8097)&gt;0),N(U8096),N(U8096)+1))</f>
        <v/>
      </c>
      <c r="V8097" s="19">
        <f>IF($B8097="","",TEXT($B8097,"0000"))</f>
        <v/>
      </c>
      <c r="W8097" s="19">
        <f>IF($I8097="","",IF(ISNUMBER($I8097),TEXT($I8097,"0"),$I8097))</f>
        <v/>
      </c>
    </row>
    <row r="8098">
      <c r="B8098" s="25" t="n"/>
      <c r="I8098" s="25" t="n"/>
      <c r="U8098" s="19">
        <f>IF($V8098&lt;&gt;'設定'!$C$4,N(U8097),IF(OR(NOT(COUNTIF('商品マスタ'!$B$6:$B$1005,$W8098)=0),COUNTIFS('①在庫を貼る'!$V$6:$V$10005,$V8098,'①在庫を貼る'!$W$6:$W$10005,$W8098)&gt;0),N(U8097),N(U8097)+1))</f>
        <v/>
      </c>
      <c r="V8098" s="19">
        <f>IF($B8098="","",TEXT($B8098,"0000"))</f>
        <v/>
      </c>
      <c r="W8098" s="19">
        <f>IF($I8098="","",IF(ISNUMBER($I8098),TEXT($I8098,"0"),$I8098))</f>
        <v/>
      </c>
    </row>
    <row r="8099">
      <c r="B8099" s="25" t="n"/>
      <c r="I8099" s="25" t="n"/>
      <c r="U8099" s="19">
        <f>IF($V8099&lt;&gt;'設定'!$C$4,N(U8098),IF(OR(NOT(COUNTIF('商品マスタ'!$B$6:$B$1005,$W8099)=0),COUNTIFS('①在庫を貼る'!$V$6:$V$10005,$V8099,'①在庫を貼る'!$W$6:$W$10005,$W8099)&gt;0),N(U8098),N(U8098)+1))</f>
        <v/>
      </c>
      <c r="V8099" s="19">
        <f>IF($B8099="","",TEXT($B8099,"0000"))</f>
        <v/>
      </c>
      <c r="W8099" s="19">
        <f>IF($I8099="","",IF(ISNUMBER($I8099),TEXT($I8099,"0"),$I8099))</f>
        <v/>
      </c>
    </row>
    <row r="8100">
      <c r="B8100" s="25" t="n"/>
      <c r="I8100" s="25" t="n"/>
      <c r="U8100" s="19">
        <f>IF($V8100&lt;&gt;'設定'!$C$4,N(U8099),IF(OR(NOT(COUNTIF('商品マスタ'!$B$6:$B$1005,$W8100)=0),COUNTIFS('①在庫を貼る'!$V$6:$V$10005,$V8100,'①在庫を貼る'!$W$6:$W$10005,$W8100)&gt;0),N(U8099),N(U8099)+1))</f>
        <v/>
      </c>
      <c r="V8100" s="19">
        <f>IF($B8100="","",TEXT($B8100,"0000"))</f>
        <v/>
      </c>
      <c r="W8100" s="19">
        <f>IF($I8100="","",IF(ISNUMBER($I8100),TEXT($I8100,"0"),$I8100))</f>
        <v/>
      </c>
    </row>
    <row r="8101">
      <c r="B8101" s="25" t="n"/>
      <c r="I8101" s="25" t="n"/>
      <c r="U8101" s="19">
        <f>IF($V8101&lt;&gt;'設定'!$C$4,N(U8100),IF(OR(NOT(COUNTIF('商品マスタ'!$B$6:$B$1005,$W8101)=0),COUNTIFS('①在庫を貼る'!$V$6:$V$10005,$V8101,'①在庫を貼る'!$W$6:$W$10005,$W8101)&gt;0),N(U8100),N(U8100)+1))</f>
        <v/>
      </c>
      <c r="V8101" s="19">
        <f>IF($B8101="","",TEXT($B8101,"0000"))</f>
        <v/>
      </c>
      <c r="W8101" s="19">
        <f>IF($I8101="","",IF(ISNUMBER($I8101),TEXT($I8101,"0"),$I8101))</f>
        <v/>
      </c>
    </row>
    <row r="8102">
      <c r="B8102" s="25" t="n"/>
      <c r="I8102" s="25" t="n"/>
      <c r="U8102" s="19">
        <f>IF($V8102&lt;&gt;'設定'!$C$4,N(U8101),IF(OR(NOT(COUNTIF('商品マスタ'!$B$6:$B$1005,$W8102)=0),COUNTIFS('①在庫を貼る'!$V$6:$V$10005,$V8102,'①在庫を貼る'!$W$6:$W$10005,$W8102)&gt;0),N(U8101),N(U8101)+1))</f>
        <v/>
      </c>
      <c r="V8102" s="19">
        <f>IF($B8102="","",TEXT($B8102,"0000"))</f>
        <v/>
      </c>
      <c r="W8102" s="19">
        <f>IF($I8102="","",IF(ISNUMBER($I8102),TEXT($I8102,"0"),$I8102))</f>
        <v/>
      </c>
    </row>
    <row r="8103">
      <c r="B8103" s="25" t="n"/>
      <c r="I8103" s="25" t="n"/>
      <c r="U8103" s="19">
        <f>IF($V8103&lt;&gt;'設定'!$C$4,N(U8102),IF(OR(NOT(COUNTIF('商品マスタ'!$B$6:$B$1005,$W8103)=0),COUNTIFS('①在庫を貼る'!$V$6:$V$10005,$V8103,'①在庫を貼る'!$W$6:$W$10005,$W8103)&gt;0),N(U8102),N(U8102)+1))</f>
        <v/>
      </c>
      <c r="V8103" s="19">
        <f>IF($B8103="","",TEXT($B8103,"0000"))</f>
        <v/>
      </c>
      <c r="W8103" s="19">
        <f>IF($I8103="","",IF(ISNUMBER($I8103),TEXT($I8103,"0"),$I8103))</f>
        <v/>
      </c>
    </row>
    <row r="8104">
      <c r="B8104" s="25" t="n"/>
      <c r="I8104" s="25" t="n"/>
      <c r="U8104" s="19">
        <f>IF($V8104&lt;&gt;'設定'!$C$4,N(U8103),IF(OR(NOT(COUNTIF('商品マスタ'!$B$6:$B$1005,$W8104)=0),COUNTIFS('①在庫を貼る'!$V$6:$V$10005,$V8104,'①在庫を貼る'!$W$6:$W$10005,$W8104)&gt;0),N(U8103),N(U8103)+1))</f>
        <v/>
      </c>
      <c r="V8104" s="19">
        <f>IF($B8104="","",TEXT($B8104,"0000"))</f>
        <v/>
      </c>
      <c r="W8104" s="19">
        <f>IF($I8104="","",IF(ISNUMBER($I8104),TEXT($I8104,"0"),$I8104))</f>
        <v/>
      </c>
    </row>
    <row r="8105">
      <c r="B8105" s="25" t="n"/>
      <c r="I8105" s="25" t="n"/>
      <c r="U8105" s="19">
        <f>IF($V8105&lt;&gt;'設定'!$C$4,N(U8104),IF(OR(NOT(COUNTIF('商品マスタ'!$B$6:$B$1005,$W8105)=0),COUNTIFS('①在庫を貼る'!$V$6:$V$10005,$V8105,'①在庫を貼る'!$W$6:$W$10005,$W8105)&gt;0),N(U8104),N(U8104)+1))</f>
        <v/>
      </c>
      <c r="V8105" s="19">
        <f>IF($B8105="","",TEXT($B8105,"0000"))</f>
        <v/>
      </c>
      <c r="W8105" s="19">
        <f>IF($I8105="","",IF(ISNUMBER($I8105),TEXT($I8105,"0"),$I8105))</f>
        <v/>
      </c>
    </row>
    <row r="8106">
      <c r="B8106" s="25" t="n"/>
      <c r="I8106" s="25" t="n"/>
      <c r="U8106" s="19">
        <f>IF($V8106&lt;&gt;'設定'!$C$4,N(U8105),IF(OR(NOT(COUNTIF('商品マスタ'!$B$6:$B$1005,$W8106)=0),COUNTIFS('①在庫を貼る'!$V$6:$V$10005,$V8106,'①在庫を貼る'!$W$6:$W$10005,$W8106)&gt;0),N(U8105),N(U8105)+1))</f>
        <v/>
      </c>
      <c r="V8106" s="19">
        <f>IF($B8106="","",TEXT($B8106,"0000"))</f>
        <v/>
      </c>
      <c r="W8106" s="19">
        <f>IF($I8106="","",IF(ISNUMBER($I8106),TEXT($I8106,"0"),$I8106))</f>
        <v/>
      </c>
    </row>
    <row r="8107">
      <c r="B8107" s="25" t="n"/>
      <c r="I8107" s="25" t="n"/>
      <c r="U8107" s="19">
        <f>IF($V8107&lt;&gt;'設定'!$C$4,N(U8106),IF(OR(NOT(COUNTIF('商品マスタ'!$B$6:$B$1005,$W8107)=0),COUNTIFS('①在庫を貼る'!$V$6:$V$10005,$V8107,'①在庫を貼る'!$W$6:$W$10005,$W8107)&gt;0),N(U8106),N(U8106)+1))</f>
        <v/>
      </c>
      <c r="V8107" s="19">
        <f>IF($B8107="","",TEXT($B8107,"0000"))</f>
        <v/>
      </c>
      <c r="W8107" s="19">
        <f>IF($I8107="","",IF(ISNUMBER($I8107),TEXT($I8107,"0"),$I8107))</f>
        <v/>
      </c>
    </row>
    <row r="8108">
      <c r="B8108" s="25" t="n"/>
      <c r="I8108" s="25" t="n"/>
      <c r="U8108" s="19">
        <f>IF($V8108&lt;&gt;'設定'!$C$4,N(U8107),IF(OR(NOT(COUNTIF('商品マスタ'!$B$6:$B$1005,$W8108)=0),COUNTIFS('①在庫を貼る'!$V$6:$V$10005,$V8108,'①在庫を貼る'!$W$6:$W$10005,$W8108)&gt;0),N(U8107),N(U8107)+1))</f>
        <v/>
      </c>
      <c r="V8108" s="19">
        <f>IF($B8108="","",TEXT($B8108,"0000"))</f>
        <v/>
      </c>
      <c r="W8108" s="19">
        <f>IF($I8108="","",IF(ISNUMBER($I8108),TEXT($I8108,"0"),$I8108))</f>
        <v/>
      </c>
    </row>
    <row r="8109">
      <c r="B8109" s="25" t="n"/>
      <c r="I8109" s="25" t="n"/>
      <c r="U8109" s="19">
        <f>IF($V8109&lt;&gt;'設定'!$C$4,N(U8108),IF(OR(NOT(COUNTIF('商品マスタ'!$B$6:$B$1005,$W8109)=0),COUNTIFS('①在庫を貼る'!$V$6:$V$10005,$V8109,'①在庫を貼る'!$W$6:$W$10005,$W8109)&gt;0),N(U8108),N(U8108)+1))</f>
        <v/>
      </c>
      <c r="V8109" s="19">
        <f>IF($B8109="","",TEXT($B8109,"0000"))</f>
        <v/>
      </c>
      <c r="W8109" s="19">
        <f>IF($I8109="","",IF(ISNUMBER($I8109),TEXT($I8109,"0"),$I8109))</f>
        <v/>
      </c>
    </row>
    <row r="8110">
      <c r="B8110" s="25" t="n"/>
      <c r="I8110" s="25" t="n"/>
      <c r="U8110" s="19">
        <f>IF($V8110&lt;&gt;'設定'!$C$4,N(U8109),IF(OR(NOT(COUNTIF('商品マスタ'!$B$6:$B$1005,$W8110)=0),COUNTIFS('①在庫を貼る'!$V$6:$V$10005,$V8110,'①在庫を貼る'!$W$6:$W$10005,$W8110)&gt;0),N(U8109),N(U8109)+1))</f>
        <v/>
      </c>
      <c r="V8110" s="19">
        <f>IF($B8110="","",TEXT($B8110,"0000"))</f>
        <v/>
      </c>
      <c r="W8110" s="19">
        <f>IF($I8110="","",IF(ISNUMBER($I8110),TEXT($I8110,"0"),$I8110))</f>
        <v/>
      </c>
    </row>
    <row r="8111">
      <c r="B8111" s="25" t="n"/>
      <c r="I8111" s="25" t="n"/>
      <c r="U8111" s="19">
        <f>IF($V8111&lt;&gt;'設定'!$C$4,N(U8110),IF(OR(NOT(COUNTIF('商品マスタ'!$B$6:$B$1005,$W8111)=0),COUNTIFS('①在庫を貼る'!$V$6:$V$10005,$V8111,'①在庫を貼る'!$W$6:$W$10005,$W8111)&gt;0),N(U8110),N(U8110)+1))</f>
        <v/>
      </c>
      <c r="V8111" s="19">
        <f>IF($B8111="","",TEXT($B8111,"0000"))</f>
        <v/>
      </c>
      <c r="W8111" s="19">
        <f>IF($I8111="","",IF(ISNUMBER($I8111),TEXT($I8111,"0"),$I8111))</f>
        <v/>
      </c>
    </row>
    <row r="8112">
      <c r="B8112" s="25" t="n"/>
      <c r="I8112" s="25" t="n"/>
      <c r="U8112" s="19">
        <f>IF($V8112&lt;&gt;'設定'!$C$4,N(U8111),IF(OR(NOT(COUNTIF('商品マスタ'!$B$6:$B$1005,$W8112)=0),COUNTIFS('①在庫を貼る'!$V$6:$V$10005,$V8112,'①在庫を貼る'!$W$6:$W$10005,$W8112)&gt;0),N(U8111),N(U8111)+1))</f>
        <v/>
      </c>
      <c r="V8112" s="19">
        <f>IF($B8112="","",TEXT($B8112,"0000"))</f>
        <v/>
      </c>
      <c r="W8112" s="19">
        <f>IF($I8112="","",IF(ISNUMBER($I8112),TEXT($I8112,"0"),$I8112))</f>
        <v/>
      </c>
    </row>
    <row r="8113">
      <c r="B8113" s="25" t="n"/>
      <c r="I8113" s="25" t="n"/>
      <c r="U8113" s="19">
        <f>IF($V8113&lt;&gt;'設定'!$C$4,N(U8112),IF(OR(NOT(COUNTIF('商品マスタ'!$B$6:$B$1005,$W8113)=0),COUNTIFS('①在庫を貼る'!$V$6:$V$10005,$V8113,'①在庫を貼る'!$W$6:$W$10005,$W8113)&gt;0),N(U8112),N(U8112)+1))</f>
        <v/>
      </c>
      <c r="V8113" s="19">
        <f>IF($B8113="","",TEXT($B8113,"0000"))</f>
        <v/>
      </c>
      <c r="W8113" s="19">
        <f>IF($I8113="","",IF(ISNUMBER($I8113),TEXT($I8113,"0"),$I8113))</f>
        <v/>
      </c>
    </row>
    <row r="8114">
      <c r="B8114" s="25" t="n"/>
      <c r="I8114" s="25" t="n"/>
      <c r="U8114" s="19">
        <f>IF($V8114&lt;&gt;'設定'!$C$4,N(U8113),IF(OR(NOT(COUNTIF('商品マスタ'!$B$6:$B$1005,$W8114)=0),COUNTIFS('①在庫を貼る'!$V$6:$V$10005,$V8114,'①在庫を貼る'!$W$6:$W$10005,$W8114)&gt;0),N(U8113),N(U8113)+1))</f>
        <v/>
      </c>
      <c r="V8114" s="19">
        <f>IF($B8114="","",TEXT($B8114,"0000"))</f>
        <v/>
      </c>
      <c r="W8114" s="19">
        <f>IF($I8114="","",IF(ISNUMBER($I8114),TEXT($I8114,"0"),$I8114))</f>
        <v/>
      </c>
    </row>
    <row r="8115">
      <c r="B8115" s="25" t="n"/>
      <c r="I8115" s="25" t="n"/>
      <c r="U8115" s="19">
        <f>IF($V8115&lt;&gt;'設定'!$C$4,N(U8114),IF(OR(NOT(COUNTIF('商品マスタ'!$B$6:$B$1005,$W8115)=0),COUNTIFS('①在庫を貼る'!$V$6:$V$10005,$V8115,'①在庫を貼る'!$W$6:$W$10005,$W8115)&gt;0),N(U8114),N(U8114)+1))</f>
        <v/>
      </c>
      <c r="V8115" s="19">
        <f>IF($B8115="","",TEXT($B8115,"0000"))</f>
        <v/>
      </c>
      <c r="W8115" s="19">
        <f>IF($I8115="","",IF(ISNUMBER($I8115),TEXT($I8115,"0"),$I8115))</f>
        <v/>
      </c>
    </row>
    <row r="8116">
      <c r="B8116" s="25" t="n"/>
      <c r="I8116" s="25" t="n"/>
      <c r="U8116" s="19">
        <f>IF($V8116&lt;&gt;'設定'!$C$4,N(U8115),IF(OR(NOT(COUNTIF('商品マスタ'!$B$6:$B$1005,$W8116)=0),COUNTIFS('①在庫を貼る'!$V$6:$V$10005,$V8116,'①在庫を貼る'!$W$6:$W$10005,$W8116)&gt;0),N(U8115),N(U8115)+1))</f>
        <v/>
      </c>
      <c r="V8116" s="19">
        <f>IF($B8116="","",TEXT($B8116,"0000"))</f>
        <v/>
      </c>
      <c r="W8116" s="19">
        <f>IF($I8116="","",IF(ISNUMBER($I8116),TEXT($I8116,"0"),$I8116))</f>
        <v/>
      </c>
    </row>
    <row r="8117">
      <c r="B8117" s="25" t="n"/>
      <c r="I8117" s="25" t="n"/>
      <c r="U8117" s="19">
        <f>IF($V8117&lt;&gt;'設定'!$C$4,N(U8116),IF(OR(NOT(COUNTIF('商品マスタ'!$B$6:$B$1005,$W8117)=0),COUNTIFS('①在庫を貼る'!$V$6:$V$10005,$V8117,'①在庫を貼る'!$W$6:$W$10005,$W8117)&gt;0),N(U8116),N(U8116)+1))</f>
        <v/>
      </c>
      <c r="V8117" s="19">
        <f>IF($B8117="","",TEXT($B8117,"0000"))</f>
        <v/>
      </c>
      <c r="W8117" s="19">
        <f>IF($I8117="","",IF(ISNUMBER($I8117),TEXT($I8117,"0"),$I8117))</f>
        <v/>
      </c>
    </row>
    <row r="8118">
      <c r="B8118" s="25" t="n"/>
      <c r="I8118" s="25" t="n"/>
      <c r="U8118" s="19">
        <f>IF($V8118&lt;&gt;'設定'!$C$4,N(U8117),IF(OR(NOT(COUNTIF('商品マスタ'!$B$6:$B$1005,$W8118)=0),COUNTIFS('①在庫を貼る'!$V$6:$V$10005,$V8118,'①在庫を貼る'!$W$6:$W$10005,$W8118)&gt;0),N(U8117),N(U8117)+1))</f>
        <v/>
      </c>
      <c r="V8118" s="19">
        <f>IF($B8118="","",TEXT($B8118,"0000"))</f>
        <v/>
      </c>
      <c r="W8118" s="19">
        <f>IF($I8118="","",IF(ISNUMBER($I8118),TEXT($I8118,"0"),$I8118))</f>
        <v/>
      </c>
    </row>
    <row r="8119">
      <c r="B8119" s="25" t="n"/>
      <c r="I8119" s="25" t="n"/>
      <c r="U8119" s="19">
        <f>IF($V8119&lt;&gt;'設定'!$C$4,N(U8118),IF(OR(NOT(COUNTIF('商品マスタ'!$B$6:$B$1005,$W8119)=0),COUNTIFS('①在庫を貼る'!$V$6:$V$10005,$V8119,'①在庫を貼る'!$W$6:$W$10005,$W8119)&gt;0),N(U8118),N(U8118)+1))</f>
        <v/>
      </c>
      <c r="V8119" s="19">
        <f>IF($B8119="","",TEXT($B8119,"0000"))</f>
        <v/>
      </c>
      <c r="W8119" s="19">
        <f>IF($I8119="","",IF(ISNUMBER($I8119),TEXT($I8119,"0"),$I8119))</f>
        <v/>
      </c>
    </row>
    <row r="8120">
      <c r="B8120" s="25" t="n"/>
      <c r="I8120" s="25" t="n"/>
      <c r="U8120" s="19">
        <f>IF($V8120&lt;&gt;'設定'!$C$4,N(U8119),IF(OR(NOT(COUNTIF('商品マスタ'!$B$6:$B$1005,$W8120)=0),COUNTIFS('①在庫を貼る'!$V$6:$V$10005,$V8120,'①在庫を貼る'!$W$6:$W$10005,$W8120)&gt;0),N(U8119),N(U8119)+1))</f>
        <v/>
      </c>
      <c r="V8120" s="19">
        <f>IF($B8120="","",TEXT($B8120,"0000"))</f>
        <v/>
      </c>
      <c r="W8120" s="19">
        <f>IF($I8120="","",IF(ISNUMBER($I8120),TEXT($I8120,"0"),$I8120))</f>
        <v/>
      </c>
    </row>
    <row r="8121">
      <c r="B8121" s="25" t="n"/>
      <c r="I8121" s="25" t="n"/>
      <c r="U8121" s="19">
        <f>IF($V8121&lt;&gt;'設定'!$C$4,N(U8120),IF(OR(NOT(COUNTIF('商品マスタ'!$B$6:$B$1005,$W8121)=0),COUNTIFS('①在庫を貼る'!$V$6:$V$10005,$V8121,'①在庫を貼る'!$W$6:$W$10005,$W8121)&gt;0),N(U8120),N(U8120)+1))</f>
        <v/>
      </c>
      <c r="V8121" s="19">
        <f>IF($B8121="","",TEXT($B8121,"0000"))</f>
        <v/>
      </c>
      <c r="W8121" s="19">
        <f>IF($I8121="","",IF(ISNUMBER($I8121),TEXT($I8121,"0"),$I8121))</f>
        <v/>
      </c>
    </row>
    <row r="8122">
      <c r="B8122" s="25" t="n"/>
      <c r="I8122" s="25" t="n"/>
      <c r="U8122" s="19">
        <f>IF($V8122&lt;&gt;'設定'!$C$4,N(U8121),IF(OR(NOT(COUNTIF('商品マスタ'!$B$6:$B$1005,$W8122)=0),COUNTIFS('①在庫を貼る'!$V$6:$V$10005,$V8122,'①在庫を貼る'!$W$6:$W$10005,$W8122)&gt;0),N(U8121),N(U8121)+1))</f>
        <v/>
      </c>
      <c r="V8122" s="19">
        <f>IF($B8122="","",TEXT($B8122,"0000"))</f>
        <v/>
      </c>
      <c r="W8122" s="19">
        <f>IF($I8122="","",IF(ISNUMBER($I8122),TEXT($I8122,"0"),$I8122))</f>
        <v/>
      </c>
    </row>
    <row r="8123">
      <c r="B8123" s="25" t="n"/>
      <c r="I8123" s="25" t="n"/>
      <c r="U8123" s="19">
        <f>IF($V8123&lt;&gt;'設定'!$C$4,N(U8122),IF(OR(NOT(COUNTIF('商品マスタ'!$B$6:$B$1005,$W8123)=0),COUNTIFS('①在庫を貼る'!$V$6:$V$10005,$V8123,'①在庫を貼る'!$W$6:$W$10005,$W8123)&gt;0),N(U8122),N(U8122)+1))</f>
        <v/>
      </c>
      <c r="V8123" s="19">
        <f>IF($B8123="","",TEXT($B8123,"0000"))</f>
        <v/>
      </c>
      <c r="W8123" s="19">
        <f>IF($I8123="","",IF(ISNUMBER($I8123),TEXT($I8123,"0"),$I8123))</f>
        <v/>
      </c>
    </row>
    <row r="8124">
      <c r="B8124" s="25" t="n"/>
      <c r="I8124" s="25" t="n"/>
      <c r="U8124" s="19">
        <f>IF($V8124&lt;&gt;'設定'!$C$4,N(U8123),IF(OR(NOT(COUNTIF('商品マスタ'!$B$6:$B$1005,$W8124)=0),COUNTIFS('①在庫を貼る'!$V$6:$V$10005,$V8124,'①在庫を貼る'!$W$6:$W$10005,$W8124)&gt;0),N(U8123),N(U8123)+1))</f>
        <v/>
      </c>
      <c r="V8124" s="19">
        <f>IF($B8124="","",TEXT($B8124,"0000"))</f>
        <v/>
      </c>
      <c r="W8124" s="19">
        <f>IF($I8124="","",IF(ISNUMBER($I8124),TEXT($I8124,"0"),$I8124))</f>
        <v/>
      </c>
    </row>
    <row r="8125">
      <c r="B8125" s="25" t="n"/>
      <c r="I8125" s="25" t="n"/>
      <c r="U8125" s="19">
        <f>IF($V8125&lt;&gt;'設定'!$C$4,N(U8124),IF(OR(NOT(COUNTIF('商品マスタ'!$B$6:$B$1005,$W8125)=0),COUNTIFS('①在庫を貼る'!$V$6:$V$10005,$V8125,'①在庫を貼る'!$W$6:$W$10005,$W8125)&gt;0),N(U8124),N(U8124)+1))</f>
        <v/>
      </c>
      <c r="V8125" s="19">
        <f>IF($B8125="","",TEXT($B8125,"0000"))</f>
        <v/>
      </c>
      <c r="W8125" s="19">
        <f>IF($I8125="","",IF(ISNUMBER($I8125),TEXT($I8125,"0"),$I8125))</f>
        <v/>
      </c>
    </row>
    <row r="8126">
      <c r="B8126" s="25" t="n"/>
      <c r="I8126" s="25" t="n"/>
      <c r="U8126" s="19">
        <f>IF($V8126&lt;&gt;'設定'!$C$4,N(U8125),IF(OR(NOT(COUNTIF('商品マスタ'!$B$6:$B$1005,$W8126)=0),COUNTIFS('①在庫を貼る'!$V$6:$V$10005,$V8126,'①在庫を貼る'!$W$6:$W$10005,$W8126)&gt;0),N(U8125),N(U8125)+1))</f>
        <v/>
      </c>
      <c r="V8126" s="19">
        <f>IF($B8126="","",TEXT($B8126,"0000"))</f>
        <v/>
      </c>
      <c r="W8126" s="19">
        <f>IF($I8126="","",IF(ISNUMBER($I8126),TEXT($I8126,"0"),$I8126))</f>
        <v/>
      </c>
    </row>
    <row r="8127">
      <c r="B8127" s="25" t="n"/>
      <c r="I8127" s="25" t="n"/>
      <c r="U8127" s="19">
        <f>IF($V8127&lt;&gt;'設定'!$C$4,N(U8126),IF(OR(NOT(COUNTIF('商品マスタ'!$B$6:$B$1005,$W8127)=0),COUNTIFS('①在庫を貼る'!$V$6:$V$10005,$V8127,'①在庫を貼る'!$W$6:$W$10005,$W8127)&gt;0),N(U8126),N(U8126)+1))</f>
        <v/>
      </c>
      <c r="V8127" s="19">
        <f>IF($B8127="","",TEXT($B8127,"0000"))</f>
        <v/>
      </c>
      <c r="W8127" s="19">
        <f>IF($I8127="","",IF(ISNUMBER($I8127),TEXT($I8127,"0"),$I8127))</f>
        <v/>
      </c>
    </row>
    <row r="8128">
      <c r="B8128" s="25" t="n"/>
      <c r="I8128" s="25" t="n"/>
      <c r="U8128" s="19">
        <f>IF($V8128&lt;&gt;'設定'!$C$4,N(U8127),IF(OR(NOT(COUNTIF('商品マスタ'!$B$6:$B$1005,$W8128)=0),COUNTIFS('①在庫を貼る'!$V$6:$V$10005,$V8128,'①在庫を貼る'!$W$6:$W$10005,$W8128)&gt;0),N(U8127),N(U8127)+1))</f>
        <v/>
      </c>
      <c r="V8128" s="19">
        <f>IF($B8128="","",TEXT($B8128,"0000"))</f>
        <v/>
      </c>
      <c r="W8128" s="19">
        <f>IF($I8128="","",IF(ISNUMBER($I8128),TEXT($I8128,"0"),$I8128))</f>
        <v/>
      </c>
    </row>
    <row r="8129">
      <c r="B8129" s="25" t="n"/>
      <c r="I8129" s="25" t="n"/>
      <c r="U8129" s="19">
        <f>IF($V8129&lt;&gt;'設定'!$C$4,N(U8128),IF(OR(NOT(COUNTIF('商品マスタ'!$B$6:$B$1005,$W8129)=0),COUNTIFS('①在庫を貼る'!$V$6:$V$10005,$V8129,'①在庫を貼る'!$W$6:$W$10005,$W8129)&gt;0),N(U8128),N(U8128)+1))</f>
        <v/>
      </c>
      <c r="V8129" s="19">
        <f>IF($B8129="","",TEXT($B8129,"0000"))</f>
        <v/>
      </c>
      <c r="W8129" s="19">
        <f>IF($I8129="","",IF(ISNUMBER($I8129),TEXT($I8129,"0"),$I8129))</f>
        <v/>
      </c>
    </row>
    <row r="8130">
      <c r="B8130" s="25" t="n"/>
      <c r="I8130" s="25" t="n"/>
      <c r="U8130" s="19">
        <f>IF($V8130&lt;&gt;'設定'!$C$4,N(U8129),IF(OR(NOT(COUNTIF('商品マスタ'!$B$6:$B$1005,$W8130)=0),COUNTIFS('①在庫を貼る'!$V$6:$V$10005,$V8130,'①在庫を貼る'!$W$6:$W$10005,$W8130)&gt;0),N(U8129),N(U8129)+1))</f>
        <v/>
      </c>
      <c r="V8130" s="19">
        <f>IF($B8130="","",TEXT($B8130,"0000"))</f>
        <v/>
      </c>
      <c r="W8130" s="19">
        <f>IF($I8130="","",IF(ISNUMBER($I8130),TEXT($I8130,"0"),$I8130))</f>
        <v/>
      </c>
    </row>
    <row r="8131">
      <c r="B8131" s="25" t="n"/>
      <c r="I8131" s="25" t="n"/>
      <c r="U8131" s="19">
        <f>IF($V8131&lt;&gt;'設定'!$C$4,N(U8130),IF(OR(NOT(COUNTIF('商品マスタ'!$B$6:$B$1005,$W8131)=0),COUNTIFS('①在庫を貼る'!$V$6:$V$10005,$V8131,'①在庫を貼る'!$W$6:$W$10005,$W8131)&gt;0),N(U8130),N(U8130)+1))</f>
        <v/>
      </c>
      <c r="V8131" s="19">
        <f>IF($B8131="","",TEXT($B8131,"0000"))</f>
        <v/>
      </c>
      <c r="W8131" s="19">
        <f>IF($I8131="","",IF(ISNUMBER($I8131),TEXT($I8131,"0"),$I8131))</f>
        <v/>
      </c>
    </row>
    <row r="8132">
      <c r="B8132" s="25" t="n"/>
      <c r="I8132" s="25" t="n"/>
      <c r="U8132" s="19">
        <f>IF($V8132&lt;&gt;'設定'!$C$4,N(U8131),IF(OR(NOT(COUNTIF('商品マスタ'!$B$6:$B$1005,$W8132)=0),COUNTIFS('①在庫を貼る'!$V$6:$V$10005,$V8132,'①在庫を貼る'!$W$6:$W$10005,$W8132)&gt;0),N(U8131),N(U8131)+1))</f>
        <v/>
      </c>
      <c r="V8132" s="19">
        <f>IF($B8132="","",TEXT($B8132,"0000"))</f>
        <v/>
      </c>
      <c r="W8132" s="19">
        <f>IF($I8132="","",IF(ISNUMBER($I8132),TEXT($I8132,"0"),$I8132))</f>
        <v/>
      </c>
    </row>
    <row r="8133">
      <c r="B8133" s="25" t="n"/>
      <c r="I8133" s="25" t="n"/>
      <c r="U8133" s="19">
        <f>IF($V8133&lt;&gt;'設定'!$C$4,N(U8132),IF(OR(NOT(COUNTIF('商品マスタ'!$B$6:$B$1005,$W8133)=0),COUNTIFS('①在庫を貼る'!$V$6:$V$10005,$V8133,'①在庫を貼る'!$W$6:$W$10005,$W8133)&gt;0),N(U8132),N(U8132)+1))</f>
        <v/>
      </c>
      <c r="V8133" s="19">
        <f>IF($B8133="","",TEXT($B8133,"0000"))</f>
        <v/>
      </c>
      <c r="W8133" s="19">
        <f>IF($I8133="","",IF(ISNUMBER($I8133),TEXT($I8133,"0"),$I8133))</f>
        <v/>
      </c>
    </row>
    <row r="8134">
      <c r="B8134" s="25" t="n"/>
      <c r="I8134" s="25" t="n"/>
      <c r="U8134" s="19">
        <f>IF($V8134&lt;&gt;'設定'!$C$4,N(U8133),IF(OR(NOT(COUNTIF('商品マスタ'!$B$6:$B$1005,$W8134)=0),COUNTIFS('①在庫を貼る'!$V$6:$V$10005,$V8134,'①在庫を貼る'!$W$6:$W$10005,$W8134)&gt;0),N(U8133),N(U8133)+1))</f>
        <v/>
      </c>
      <c r="V8134" s="19">
        <f>IF($B8134="","",TEXT($B8134,"0000"))</f>
        <v/>
      </c>
      <c r="W8134" s="19">
        <f>IF($I8134="","",IF(ISNUMBER($I8134),TEXT($I8134,"0"),$I8134))</f>
        <v/>
      </c>
    </row>
    <row r="8135">
      <c r="B8135" s="25" t="n"/>
      <c r="I8135" s="25" t="n"/>
      <c r="U8135" s="19">
        <f>IF($V8135&lt;&gt;'設定'!$C$4,N(U8134),IF(OR(NOT(COUNTIF('商品マスタ'!$B$6:$B$1005,$W8135)=0),COUNTIFS('①在庫を貼る'!$V$6:$V$10005,$V8135,'①在庫を貼る'!$W$6:$W$10005,$W8135)&gt;0),N(U8134),N(U8134)+1))</f>
        <v/>
      </c>
      <c r="V8135" s="19">
        <f>IF($B8135="","",TEXT($B8135,"0000"))</f>
        <v/>
      </c>
      <c r="W8135" s="19">
        <f>IF($I8135="","",IF(ISNUMBER($I8135),TEXT($I8135,"0"),$I8135))</f>
        <v/>
      </c>
    </row>
    <row r="8136">
      <c r="B8136" s="25" t="n"/>
      <c r="I8136" s="25" t="n"/>
      <c r="U8136" s="19">
        <f>IF($V8136&lt;&gt;'設定'!$C$4,N(U8135),IF(OR(NOT(COUNTIF('商品マスタ'!$B$6:$B$1005,$W8136)=0),COUNTIFS('①在庫を貼る'!$V$6:$V$10005,$V8136,'①在庫を貼る'!$W$6:$W$10005,$W8136)&gt;0),N(U8135),N(U8135)+1))</f>
        <v/>
      </c>
      <c r="V8136" s="19">
        <f>IF($B8136="","",TEXT($B8136,"0000"))</f>
        <v/>
      </c>
      <c r="W8136" s="19">
        <f>IF($I8136="","",IF(ISNUMBER($I8136),TEXT($I8136,"0"),$I8136))</f>
        <v/>
      </c>
    </row>
    <row r="8137">
      <c r="B8137" s="25" t="n"/>
      <c r="I8137" s="25" t="n"/>
      <c r="U8137" s="19">
        <f>IF($V8137&lt;&gt;'設定'!$C$4,N(U8136),IF(OR(NOT(COUNTIF('商品マスタ'!$B$6:$B$1005,$W8137)=0),COUNTIFS('①在庫を貼る'!$V$6:$V$10005,$V8137,'①在庫を貼る'!$W$6:$W$10005,$W8137)&gt;0),N(U8136),N(U8136)+1))</f>
        <v/>
      </c>
      <c r="V8137" s="19">
        <f>IF($B8137="","",TEXT($B8137,"0000"))</f>
        <v/>
      </c>
      <c r="W8137" s="19">
        <f>IF($I8137="","",IF(ISNUMBER($I8137),TEXT($I8137,"0"),$I8137))</f>
        <v/>
      </c>
    </row>
    <row r="8138">
      <c r="B8138" s="25" t="n"/>
      <c r="I8138" s="25" t="n"/>
      <c r="U8138" s="19">
        <f>IF($V8138&lt;&gt;'設定'!$C$4,N(U8137),IF(OR(NOT(COUNTIF('商品マスタ'!$B$6:$B$1005,$W8138)=0),COUNTIFS('①在庫を貼る'!$V$6:$V$10005,$V8138,'①在庫を貼る'!$W$6:$W$10005,$W8138)&gt;0),N(U8137),N(U8137)+1))</f>
        <v/>
      </c>
      <c r="V8138" s="19">
        <f>IF($B8138="","",TEXT($B8138,"0000"))</f>
        <v/>
      </c>
      <c r="W8138" s="19">
        <f>IF($I8138="","",IF(ISNUMBER($I8138),TEXT($I8138,"0"),$I8138))</f>
        <v/>
      </c>
    </row>
    <row r="8139">
      <c r="B8139" s="25" t="n"/>
      <c r="I8139" s="25" t="n"/>
      <c r="U8139" s="19">
        <f>IF($V8139&lt;&gt;'設定'!$C$4,N(U8138),IF(OR(NOT(COUNTIF('商品マスタ'!$B$6:$B$1005,$W8139)=0),COUNTIFS('①在庫を貼る'!$V$6:$V$10005,$V8139,'①在庫を貼る'!$W$6:$W$10005,$W8139)&gt;0),N(U8138),N(U8138)+1))</f>
        <v/>
      </c>
      <c r="V8139" s="19">
        <f>IF($B8139="","",TEXT($B8139,"0000"))</f>
        <v/>
      </c>
      <c r="W8139" s="19">
        <f>IF($I8139="","",IF(ISNUMBER($I8139),TEXT($I8139,"0"),$I8139))</f>
        <v/>
      </c>
    </row>
    <row r="8140">
      <c r="B8140" s="25" t="n"/>
      <c r="I8140" s="25" t="n"/>
      <c r="U8140" s="19">
        <f>IF($V8140&lt;&gt;'設定'!$C$4,N(U8139),IF(OR(NOT(COUNTIF('商品マスタ'!$B$6:$B$1005,$W8140)=0),COUNTIFS('①在庫を貼る'!$V$6:$V$10005,$V8140,'①在庫を貼る'!$W$6:$W$10005,$W8140)&gt;0),N(U8139),N(U8139)+1))</f>
        <v/>
      </c>
      <c r="V8140" s="19">
        <f>IF($B8140="","",TEXT($B8140,"0000"))</f>
        <v/>
      </c>
      <c r="W8140" s="19">
        <f>IF($I8140="","",IF(ISNUMBER($I8140),TEXT($I8140,"0"),$I8140))</f>
        <v/>
      </c>
    </row>
    <row r="8141">
      <c r="B8141" s="25" t="n"/>
      <c r="I8141" s="25" t="n"/>
      <c r="U8141" s="19">
        <f>IF($V8141&lt;&gt;'設定'!$C$4,N(U8140),IF(OR(NOT(COUNTIF('商品マスタ'!$B$6:$B$1005,$W8141)=0),COUNTIFS('①在庫を貼る'!$V$6:$V$10005,$V8141,'①在庫を貼る'!$W$6:$W$10005,$W8141)&gt;0),N(U8140),N(U8140)+1))</f>
        <v/>
      </c>
      <c r="V8141" s="19">
        <f>IF($B8141="","",TEXT($B8141,"0000"))</f>
        <v/>
      </c>
      <c r="W8141" s="19">
        <f>IF($I8141="","",IF(ISNUMBER($I8141),TEXT($I8141,"0"),$I8141))</f>
        <v/>
      </c>
    </row>
    <row r="8142">
      <c r="B8142" s="25" t="n"/>
      <c r="I8142" s="25" t="n"/>
      <c r="U8142" s="19">
        <f>IF($V8142&lt;&gt;'設定'!$C$4,N(U8141),IF(OR(NOT(COUNTIF('商品マスタ'!$B$6:$B$1005,$W8142)=0),COUNTIFS('①在庫を貼る'!$V$6:$V$10005,$V8142,'①在庫を貼る'!$W$6:$W$10005,$W8142)&gt;0),N(U8141),N(U8141)+1))</f>
        <v/>
      </c>
      <c r="V8142" s="19">
        <f>IF($B8142="","",TEXT($B8142,"0000"))</f>
        <v/>
      </c>
      <c r="W8142" s="19">
        <f>IF($I8142="","",IF(ISNUMBER($I8142),TEXT($I8142,"0"),$I8142))</f>
        <v/>
      </c>
    </row>
    <row r="8143">
      <c r="B8143" s="25" t="n"/>
      <c r="I8143" s="25" t="n"/>
      <c r="U8143" s="19">
        <f>IF($V8143&lt;&gt;'設定'!$C$4,N(U8142),IF(OR(NOT(COUNTIF('商品マスタ'!$B$6:$B$1005,$W8143)=0),COUNTIFS('①在庫を貼る'!$V$6:$V$10005,$V8143,'①在庫を貼る'!$W$6:$W$10005,$W8143)&gt;0),N(U8142),N(U8142)+1))</f>
        <v/>
      </c>
      <c r="V8143" s="19">
        <f>IF($B8143="","",TEXT($B8143,"0000"))</f>
        <v/>
      </c>
      <c r="W8143" s="19">
        <f>IF($I8143="","",IF(ISNUMBER($I8143),TEXT($I8143,"0"),$I8143))</f>
        <v/>
      </c>
    </row>
    <row r="8144">
      <c r="B8144" s="25" t="n"/>
      <c r="I8144" s="25" t="n"/>
      <c r="U8144" s="19">
        <f>IF($V8144&lt;&gt;'設定'!$C$4,N(U8143),IF(OR(NOT(COUNTIF('商品マスタ'!$B$6:$B$1005,$W8144)=0),COUNTIFS('①在庫を貼る'!$V$6:$V$10005,$V8144,'①在庫を貼る'!$W$6:$W$10005,$W8144)&gt;0),N(U8143),N(U8143)+1))</f>
        <v/>
      </c>
      <c r="V8144" s="19">
        <f>IF($B8144="","",TEXT($B8144,"0000"))</f>
        <v/>
      </c>
      <c r="W8144" s="19">
        <f>IF($I8144="","",IF(ISNUMBER($I8144),TEXT($I8144,"0"),$I8144))</f>
        <v/>
      </c>
    </row>
    <row r="8145">
      <c r="B8145" s="25" t="n"/>
      <c r="I8145" s="25" t="n"/>
      <c r="U8145" s="19">
        <f>IF($V8145&lt;&gt;'設定'!$C$4,N(U8144),IF(OR(NOT(COUNTIF('商品マスタ'!$B$6:$B$1005,$W8145)=0),COUNTIFS('①在庫を貼る'!$V$6:$V$10005,$V8145,'①在庫を貼る'!$W$6:$W$10005,$W8145)&gt;0),N(U8144),N(U8144)+1))</f>
        <v/>
      </c>
      <c r="V8145" s="19">
        <f>IF($B8145="","",TEXT($B8145,"0000"))</f>
        <v/>
      </c>
      <c r="W8145" s="19">
        <f>IF($I8145="","",IF(ISNUMBER($I8145),TEXT($I8145,"0"),$I8145))</f>
        <v/>
      </c>
    </row>
    <row r="8146">
      <c r="B8146" s="25" t="n"/>
      <c r="I8146" s="25" t="n"/>
      <c r="U8146" s="19">
        <f>IF($V8146&lt;&gt;'設定'!$C$4,N(U8145),IF(OR(NOT(COUNTIF('商品マスタ'!$B$6:$B$1005,$W8146)=0),COUNTIFS('①在庫を貼る'!$V$6:$V$10005,$V8146,'①在庫を貼る'!$W$6:$W$10005,$W8146)&gt;0),N(U8145),N(U8145)+1))</f>
        <v/>
      </c>
      <c r="V8146" s="19">
        <f>IF($B8146="","",TEXT($B8146,"0000"))</f>
        <v/>
      </c>
      <c r="W8146" s="19">
        <f>IF($I8146="","",IF(ISNUMBER($I8146),TEXT($I8146,"0"),$I8146))</f>
        <v/>
      </c>
    </row>
    <row r="8147">
      <c r="B8147" s="25" t="n"/>
      <c r="I8147" s="25" t="n"/>
      <c r="U8147" s="19">
        <f>IF($V8147&lt;&gt;'設定'!$C$4,N(U8146),IF(OR(NOT(COUNTIF('商品マスタ'!$B$6:$B$1005,$W8147)=0),COUNTIFS('①在庫を貼る'!$V$6:$V$10005,$V8147,'①在庫を貼る'!$W$6:$W$10005,$W8147)&gt;0),N(U8146),N(U8146)+1))</f>
        <v/>
      </c>
      <c r="V8147" s="19">
        <f>IF($B8147="","",TEXT($B8147,"0000"))</f>
        <v/>
      </c>
      <c r="W8147" s="19">
        <f>IF($I8147="","",IF(ISNUMBER($I8147),TEXT($I8147,"0"),$I8147))</f>
        <v/>
      </c>
    </row>
    <row r="8148">
      <c r="B8148" s="25" t="n"/>
      <c r="I8148" s="25" t="n"/>
      <c r="U8148" s="19">
        <f>IF($V8148&lt;&gt;'設定'!$C$4,N(U8147),IF(OR(NOT(COUNTIF('商品マスタ'!$B$6:$B$1005,$W8148)=0),COUNTIFS('①在庫を貼る'!$V$6:$V$10005,$V8148,'①在庫を貼る'!$W$6:$W$10005,$W8148)&gt;0),N(U8147),N(U8147)+1))</f>
        <v/>
      </c>
      <c r="V8148" s="19">
        <f>IF($B8148="","",TEXT($B8148,"0000"))</f>
        <v/>
      </c>
      <c r="W8148" s="19">
        <f>IF($I8148="","",IF(ISNUMBER($I8148),TEXT($I8148,"0"),$I8148))</f>
        <v/>
      </c>
    </row>
    <row r="8149">
      <c r="B8149" s="25" t="n"/>
      <c r="I8149" s="25" t="n"/>
      <c r="U8149" s="19">
        <f>IF($V8149&lt;&gt;'設定'!$C$4,N(U8148),IF(OR(NOT(COUNTIF('商品マスタ'!$B$6:$B$1005,$W8149)=0),COUNTIFS('①在庫を貼る'!$V$6:$V$10005,$V8149,'①在庫を貼る'!$W$6:$W$10005,$W8149)&gt;0),N(U8148),N(U8148)+1))</f>
        <v/>
      </c>
      <c r="V8149" s="19">
        <f>IF($B8149="","",TEXT($B8149,"0000"))</f>
        <v/>
      </c>
      <c r="W8149" s="19">
        <f>IF($I8149="","",IF(ISNUMBER($I8149),TEXT($I8149,"0"),$I8149))</f>
        <v/>
      </c>
    </row>
    <row r="8150">
      <c r="B8150" s="25" t="n"/>
      <c r="I8150" s="25" t="n"/>
      <c r="U8150" s="19">
        <f>IF($V8150&lt;&gt;'設定'!$C$4,N(U8149),IF(OR(NOT(COUNTIF('商品マスタ'!$B$6:$B$1005,$W8150)=0),COUNTIFS('①在庫を貼る'!$V$6:$V$10005,$V8150,'①在庫を貼る'!$W$6:$W$10005,$W8150)&gt;0),N(U8149),N(U8149)+1))</f>
        <v/>
      </c>
      <c r="V8150" s="19">
        <f>IF($B8150="","",TEXT($B8150,"0000"))</f>
        <v/>
      </c>
      <c r="W8150" s="19">
        <f>IF($I8150="","",IF(ISNUMBER($I8150),TEXT($I8150,"0"),$I8150))</f>
        <v/>
      </c>
    </row>
    <row r="8151">
      <c r="B8151" s="25" t="n"/>
      <c r="I8151" s="25" t="n"/>
      <c r="U8151" s="19">
        <f>IF($V8151&lt;&gt;'設定'!$C$4,N(U8150),IF(OR(NOT(COUNTIF('商品マスタ'!$B$6:$B$1005,$W8151)=0),COUNTIFS('①在庫を貼る'!$V$6:$V$10005,$V8151,'①在庫を貼る'!$W$6:$W$10005,$W8151)&gt;0),N(U8150),N(U8150)+1))</f>
        <v/>
      </c>
      <c r="V8151" s="19">
        <f>IF($B8151="","",TEXT($B8151,"0000"))</f>
        <v/>
      </c>
      <c r="W8151" s="19">
        <f>IF($I8151="","",IF(ISNUMBER($I8151),TEXT($I8151,"0"),$I8151))</f>
        <v/>
      </c>
    </row>
    <row r="8152">
      <c r="B8152" s="25" t="n"/>
      <c r="I8152" s="25" t="n"/>
      <c r="U8152" s="19">
        <f>IF($V8152&lt;&gt;'設定'!$C$4,N(U8151),IF(OR(NOT(COUNTIF('商品マスタ'!$B$6:$B$1005,$W8152)=0),COUNTIFS('①在庫を貼る'!$V$6:$V$10005,$V8152,'①在庫を貼る'!$W$6:$W$10005,$W8152)&gt;0),N(U8151),N(U8151)+1))</f>
        <v/>
      </c>
      <c r="V8152" s="19">
        <f>IF($B8152="","",TEXT($B8152,"0000"))</f>
        <v/>
      </c>
      <c r="W8152" s="19">
        <f>IF($I8152="","",IF(ISNUMBER($I8152),TEXT($I8152,"0"),$I8152))</f>
        <v/>
      </c>
    </row>
    <row r="8153">
      <c r="B8153" s="25" t="n"/>
      <c r="I8153" s="25" t="n"/>
      <c r="U8153" s="19">
        <f>IF($V8153&lt;&gt;'設定'!$C$4,N(U8152),IF(OR(NOT(COUNTIF('商品マスタ'!$B$6:$B$1005,$W8153)=0),COUNTIFS('①在庫を貼る'!$V$6:$V$10005,$V8153,'①在庫を貼る'!$W$6:$W$10005,$W8153)&gt;0),N(U8152),N(U8152)+1))</f>
        <v/>
      </c>
      <c r="V8153" s="19">
        <f>IF($B8153="","",TEXT($B8153,"0000"))</f>
        <v/>
      </c>
      <c r="W8153" s="19">
        <f>IF($I8153="","",IF(ISNUMBER($I8153),TEXT($I8153,"0"),$I8153))</f>
        <v/>
      </c>
    </row>
    <row r="8154">
      <c r="B8154" s="25" t="n"/>
      <c r="I8154" s="25" t="n"/>
      <c r="U8154" s="19">
        <f>IF($V8154&lt;&gt;'設定'!$C$4,N(U8153),IF(OR(NOT(COUNTIF('商品マスタ'!$B$6:$B$1005,$W8154)=0),COUNTIFS('①在庫を貼る'!$V$6:$V$10005,$V8154,'①在庫を貼る'!$W$6:$W$10005,$W8154)&gt;0),N(U8153),N(U8153)+1))</f>
        <v/>
      </c>
      <c r="V8154" s="19">
        <f>IF($B8154="","",TEXT($B8154,"0000"))</f>
        <v/>
      </c>
      <c r="W8154" s="19">
        <f>IF($I8154="","",IF(ISNUMBER($I8154),TEXT($I8154,"0"),$I8154))</f>
        <v/>
      </c>
    </row>
    <row r="8155">
      <c r="B8155" s="25" t="n"/>
      <c r="I8155" s="25" t="n"/>
      <c r="U8155" s="19">
        <f>IF($V8155&lt;&gt;'設定'!$C$4,N(U8154),IF(OR(NOT(COUNTIF('商品マスタ'!$B$6:$B$1005,$W8155)=0),COUNTIFS('①在庫を貼る'!$V$6:$V$10005,$V8155,'①在庫を貼る'!$W$6:$W$10005,$W8155)&gt;0),N(U8154),N(U8154)+1))</f>
        <v/>
      </c>
      <c r="V8155" s="19">
        <f>IF($B8155="","",TEXT($B8155,"0000"))</f>
        <v/>
      </c>
      <c r="W8155" s="19">
        <f>IF($I8155="","",IF(ISNUMBER($I8155),TEXT($I8155,"0"),$I8155))</f>
        <v/>
      </c>
    </row>
    <row r="8156">
      <c r="B8156" s="25" t="n"/>
      <c r="I8156" s="25" t="n"/>
      <c r="U8156" s="19">
        <f>IF($V8156&lt;&gt;'設定'!$C$4,N(U8155),IF(OR(NOT(COUNTIF('商品マスタ'!$B$6:$B$1005,$W8156)=0),COUNTIFS('①在庫を貼る'!$V$6:$V$10005,$V8156,'①在庫を貼る'!$W$6:$W$10005,$W8156)&gt;0),N(U8155),N(U8155)+1))</f>
        <v/>
      </c>
      <c r="V8156" s="19">
        <f>IF($B8156="","",TEXT($B8156,"0000"))</f>
        <v/>
      </c>
      <c r="W8156" s="19">
        <f>IF($I8156="","",IF(ISNUMBER($I8156),TEXT($I8156,"0"),$I8156))</f>
        <v/>
      </c>
    </row>
    <row r="8157">
      <c r="B8157" s="25" t="n"/>
      <c r="I8157" s="25" t="n"/>
      <c r="U8157" s="19">
        <f>IF($V8157&lt;&gt;'設定'!$C$4,N(U8156),IF(OR(NOT(COUNTIF('商品マスタ'!$B$6:$B$1005,$W8157)=0),COUNTIFS('①在庫を貼る'!$V$6:$V$10005,$V8157,'①在庫を貼る'!$W$6:$W$10005,$W8157)&gt;0),N(U8156),N(U8156)+1))</f>
        <v/>
      </c>
      <c r="V8157" s="19">
        <f>IF($B8157="","",TEXT($B8157,"0000"))</f>
        <v/>
      </c>
      <c r="W8157" s="19">
        <f>IF($I8157="","",IF(ISNUMBER($I8157),TEXT($I8157,"0"),$I8157))</f>
        <v/>
      </c>
    </row>
    <row r="8158">
      <c r="B8158" s="25" t="n"/>
      <c r="I8158" s="25" t="n"/>
      <c r="U8158" s="19">
        <f>IF($V8158&lt;&gt;'設定'!$C$4,N(U8157),IF(OR(NOT(COUNTIF('商品マスタ'!$B$6:$B$1005,$W8158)=0),COUNTIFS('①在庫を貼る'!$V$6:$V$10005,$V8158,'①在庫を貼る'!$W$6:$W$10005,$W8158)&gt;0),N(U8157),N(U8157)+1))</f>
        <v/>
      </c>
      <c r="V8158" s="19">
        <f>IF($B8158="","",TEXT($B8158,"0000"))</f>
        <v/>
      </c>
      <c r="W8158" s="19">
        <f>IF($I8158="","",IF(ISNUMBER($I8158),TEXT($I8158,"0"),$I8158))</f>
        <v/>
      </c>
    </row>
    <row r="8159">
      <c r="B8159" s="25" t="n"/>
      <c r="I8159" s="25" t="n"/>
      <c r="U8159" s="19">
        <f>IF($V8159&lt;&gt;'設定'!$C$4,N(U8158),IF(OR(NOT(COUNTIF('商品マスタ'!$B$6:$B$1005,$W8159)=0),COUNTIFS('①在庫を貼る'!$V$6:$V$10005,$V8159,'①在庫を貼る'!$W$6:$W$10005,$W8159)&gt;0),N(U8158),N(U8158)+1))</f>
        <v/>
      </c>
      <c r="V8159" s="19">
        <f>IF($B8159="","",TEXT($B8159,"0000"))</f>
        <v/>
      </c>
      <c r="W8159" s="19">
        <f>IF($I8159="","",IF(ISNUMBER($I8159),TEXT($I8159,"0"),$I8159))</f>
        <v/>
      </c>
    </row>
    <row r="8160">
      <c r="B8160" s="25" t="n"/>
      <c r="I8160" s="25" t="n"/>
      <c r="U8160" s="19">
        <f>IF($V8160&lt;&gt;'設定'!$C$4,N(U8159),IF(OR(NOT(COUNTIF('商品マスタ'!$B$6:$B$1005,$W8160)=0),COUNTIFS('①在庫を貼る'!$V$6:$V$10005,$V8160,'①在庫を貼る'!$W$6:$W$10005,$W8160)&gt;0),N(U8159),N(U8159)+1))</f>
        <v/>
      </c>
      <c r="V8160" s="19">
        <f>IF($B8160="","",TEXT($B8160,"0000"))</f>
        <v/>
      </c>
      <c r="W8160" s="19">
        <f>IF($I8160="","",IF(ISNUMBER($I8160),TEXT($I8160,"0"),$I8160))</f>
        <v/>
      </c>
    </row>
    <row r="8161">
      <c r="B8161" s="25" t="n"/>
      <c r="I8161" s="25" t="n"/>
      <c r="U8161" s="19">
        <f>IF($V8161&lt;&gt;'設定'!$C$4,N(U8160),IF(OR(NOT(COUNTIF('商品マスタ'!$B$6:$B$1005,$W8161)=0),COUNTIFS('①在庫を貼る'!$V$6:$V$10005,$V8161,'①在庫を貼る'!$W$6:$W$10005,$W8161)&gt;0),N(U8160),N(U8160)+1))</f>
        <v/>
      </c>
      <c r="V8161" s="19">
        <f>IF($B8161="","",TEXT($B8161,"0000"))</f>
        <v/>
      </c>
      <c r="W8161" s="19">
        <f>IF($I8161="","",IF(ISNUMBER($I8161),TEXT($I8161,"0"),$I8161))</f>
        <v/>
      </c>
    </row>
    <row r="8162">
      <c r="B8162" s="25" t="n"/>
      <c r="I8162" s="25" t="n"/>
      <c r="U8162" s="19">
        <f>IF($V8162&lt;&gt;'設定'!$C$4,N(U8161),IF(OR(NOT(COUNTIF('商品マスタ'!$B$6:$B$1005,$W8162)=0),COUNTIFS('①在庫を貼る'!$V$6:$V$10005,$V8162,'①在庫を貼る'!$W$6:$W$10005,$W8162)&gt;0),N(U8161),N(U8161)+1))</f>
        <v/>
      </c>
      <c r="V8162" s="19">
        <f>IF($B8162="","",TEXT($B8162,"0000"))</f>
        <v/>
      </c>
      <c r="W8162" s="19">
        <f>IF($I8162="","",IF(ISNUMBER($I8162),TEXT($I8162,"0"),$I8162))</f>
        <v/>
      </c>
    </row>
    <row r="8163">
      <c r="B8163" s="25" t="n"/>
      <c r="I8163" s="25" t="n"/>
      <c r="U8163" s="19">
        <f>IF($V8163&lt;&gt;'設定'!$C$4,N(U8162),IF(OR(NOT(COUNTIF('商品マスタ'!$B$6:$B$1005,$W8163)=0),COUNTIFS('①在庫を貼る'!$V$6:$V$10005,$V8163,'①在庫を貼る'!$W$6:$W$10005,$W8163)&gt;0),N(U8162),N(U8162)+1))</f>
        <v/>
      </c>
      <c r="V8163" s="19">
        <f>IF($B8163="","",TEXT($B8163,"0000"))</f>
        <v/>
      </c>
      <c r="W8163" s="19">
        <f>IF($I8163="","",IF(ISNUMBER($I8163),TEXT($I8163,"0"),$I8163))</f>
        <v/>
      </c>
    </row>
    <row r="8164">
      <c r="B8164" s="25" t="n"/>
      <c r="I8164" s="25" t="n"/>
      <c r="U8164" s="19">
        <f>IF($V8164&lt;&gt;'設定'!$C$4,N(U8163),IF(OR(NOT(COUNTIF('商品マスタ'!$B$6:$B$1005,$W8164)=0),COUNTIFS('①在庫を貼る'!$V$6:$V$10005,$V8164,'①在庫を貼る'!$W$6:$W$10005,$W8164)&gt;0),N(U8163),N(U8163)+1))</f>
        <v/>
      </c>
      <c r="V8164" s="19">
        <f>IF($B8164="","",TEXT($B8164,"0000"))</f>
        <v/>
      </c>
      <c r="W8164" s="19">
        <f>IF($I8164="","",IF(ISNUMBER($I8164),TEXT($I8164,"0"),$I8164))</f>
        <v/>
      </c>
    </row>
    <row r="8165">
      <c r="B8165" s="25" t="n"/>
      <c r="I8165" s="25" t="n"/>
      <c r="U8165" s="19">
        <f>IF($V8165&lt;&gt;'設定'!$C$4,N(U8164),IF(OR(NOT(COUNTIF('商品マスタ'!$B$6:$B$1005,$W8165)=0),COUNTIFS('①在庫を貼る'!$V$6:$V$10005,$V8165,'①在庫を貼る'!$W$6:$W$10005,$W8165)&gt;0),N(U8164),N(U8164)+1))</f>
        <v/>
      </c>
      <c r="V8165" s="19">
        <f>IF($B8165="","",TEXT($B8165,"0000"))</f>
        <v/>
      </c>
      <c r="W8165" s="19">
        <f>IF($I8165="","",IF(ISNUMBER($I8165),TEXT($I8165,"0"),$I8165))</f>
        <v/>
      </c>
    </row>
    <row r="8166">
      <c r="B8166" s="25" t="n"/>
      <c r="I8166" s="25" t="n"/>
      <c r="U8166" s="19">
        <f>IF($V8166&lt;&gt;'設定'!$C$4,N(U8165),IF(OR(NOT(COUNTIF('商品マスタ'!$B$6:$B$1005,$W8166)=0),COUNTIFS('①在庫を貼る'!$V$6:$V$10005,$V8166,'①在庫を貼る'!$W$6:$W$10005,$W8166)&gt;0),N(U8165),N(U8165)+1))</f>
        <v/>
      </c>
      <c r="V8166" s="19">
        <f>IF($B8166="","",TEXT($B8166,"0000"))</f>
        <v/>
      </c>
      <c r="W8166" s="19">
        <f>IF($I8166="","",IF(ISNUMBER($I8166),TEXT($I8166,"0"),$I8166))</f>
        <v/>
      </c>
    </row>
    <row r="8167">
      <c r="B8167" s="25" t="n"/>
      <c r="I8167" s="25" t="n"/>
      <c r="U8167" s="19">
        <f>IF($V8167&lt;&gt;'設定'!$C$4,N(U8166),IF(OR(NOT(COUNTIF('商品マスタ'!$B$6:$B$1005,$W8167)=0),COUNTIFS('①在庫を貼る'!$V$6:$V$10005,$V8167,'①在庫を貼る'!$W$6:$W$10005,$W8167)&gt;0),N(U8166),N(U8166)+1))</f>
        <v/>
      </c>
      <c r="V8167" s="19">
        <f>IF($B8167="","",TEXT($B8167,"0000"))</f>
        <v/>
      </c>
      <c r="W8167" s="19">
        <f>IF($I8167="","",IF(ISNUMBER($I8167),TEXT($I8167,"0"),$I8167))</f>
        <v/>
      </c>
    </row>
    <row r="8168">
      <c r="B8168" s="25" t="n"/>
      <c r="I8168" s="25" t="n"/>
      <c r="U8168" s="19">
        <f>IF($V8168&lt;&gt;'設定'!$C$4,N(U8167),IF(OR(NOT(COUNTIF('商品マスタ'!$B$6:$B$1005,$W8168)=0),COUNTIFS('①在庫を貼る'!$V$6:$V$10005,$V8168,'①在庫を貼る'!$W$6:$W$10005,$W8168)&gt;0),N(U8167),N(U8167)+1))</f>
        <v/>
      </c>
      <c r="V8168" s="19">
        <f>IF($B8168="","",TEXT($B8168,"0000"))</f>
        <v/>
      </c>
      <c r="W8168" s="19">
        <f>IF($I8168="","",IF(ISNUMBER($I8168),TEXT($I8168,"0"),$I8168))</f>
        <v/>
      </c>
    </row>
    <row r="8169">
      <c r="B8169" s="25" t="n"/>
      <c r="I8169" s="25" t="n"/>
      <c r="U8169" s="19">
        <f>IF($V8169&lt;&gt;'設定'!$C$4,N(U8168),IF(OR(NOT(COUNTIF('商品マスタ'!$B$6:$B$1005,$W8169)=0),COUNTIFS('①在庫を貼る'!$V$6:$V$10005,$V8169,'①在庫を貼る'!$W$6:$W$10005,$W8169)&gt;0),N(U8168),N(U8168)+1))</f>
        <v/>
      </c>
      <c r="V8169" s="19">
        <f>IF($B8169="","",TEXT($B8169,"0000"))</f>
        <v/>
      </c>
      <c r="W8169" s="19">
        <f>IF($I8169="","",IF(ISNUMBER($I8169),TEXT($I8169,"0"),$I8169))</f>
        <v/>
      </c>
    </row>
    <row r="8170">
      <c r="B8170" s="25" t="n"/>
      <c r="I8170" s="25" t="n"/>
      <c r="U8170" s="19">
        <f>IF($V8170&lt;&gt;'設定'!$C$4,N(U8169),IF(OR(NOT(COUNTIF('商品マスタ'!$B$6:$B$1005,$W8170)=0),COUNTIFS('①在庫を貼る'!$V$6:$V$10005,$V8170,'①在庫を貼る'!$W$6:$W$10005,$W8170)&gt;0),N(U8169),N(U8169)+1))</f>
        <v/>
      </c>
      <c r="V8170" s="19">
        <f>IF($B8170="","",TEXT($B8170,"0000"))</f>
        <v/>
      </c>
      <c r="W8170" s="19">
        <f>IF($I8170="","",IF(ISNUMBER($I8170),TEXT($I8170,"0"),$I8170))</f>
        <v/>
      </c>
    </row>
    <row r="8171">
      <c r="B8171" s="25" t="n"/>
      <c r="I8171" s="25" t="n"/>
      <c r="U8171" s="19">
        <f>IF($V8171&lt;&gt;'設定'!$C$4,N(U8170),IF(OR(NOT(COUNTIF('商品マスタ'!$B$6:$B$1005,$W8171)=0),COUNTIFS('①在庫を貼る'!$V$6:$V$10005,$V8171,'①在庫を貼る'!$W$6:$W$10005,$W8171)&gt;0),N(U8170),N(U8170)+1))</f>
        <v/>
      </c>
      <c r="V8171" s="19">
        <f>IF($B8171="","",TEXT($B8171,"0000"))</f>
        <v/>
      </c>
      <c r="W8171" s="19">
        <f>IF($I8171="","",IF(ISNUMBER($I8171),TEXT($I8171,"0"),$I8171))</f>
        <v/>
      </c>
    </row>
    <row r="8172">
      <c r="B8172" s="25" t="n"/>
      <c r="I8172" s="25" t="n"/>
      <c r="U8172" s="19">
        <f>IF($V8172&lt;&gt;'設定'!$C$4,N(U8171),IF(OR(NOT(COUNTIF('商品マスタ'!$B$6:$B$1005,$W8172)=0),COUNTIFS('①在庫を貼る'!$V$6:$V$10005,$V8172,'①在庫を貼る'!$W$6:$W$10005,$W8172)&gt;0),N(U8171),N(U8171)+1))</f>
        <v/>
      </c>
      <c r="V8172" s="19">
        <f>IF($B8172="","",TEXT($B8172,"0000"))</f>
        <v/>
      </c>
      <c r="W8172" s="19">
        <f>IF($I8172="","",IF(ISNUMBER($I8172),TEXT($I8172,"0"),$I8172))</f>
        <v/>
      </c>
    </row>
    <row r="8173">
      <c r="B8173" s="25" t="n"/>
      <c r="I8173" s="25" t="n"/>
      <c r="U8173" s="19">
        <f>IF($V8173&lt;&gt;'設定'!$C$4,N(U8172),IF(OR(NOT(COUNTIF('商品マスタ'!$B$6:$B$1005,$W8173)=0),COUNTIFS('①在庫を貼る'!$V$6:$V$10005,$V8173,'①在庫を貼る'!$W$6:$W$10005,$W8173)&gt;0),N(U8172),N(U8172)+1))</f>
        <v/>
      </c>
      <c r="V8173" s="19">
        <f>IF($B8173="","",TEXT($B8173,"0000"))</f>
        <v/>
      </c>
      <c r="W8173" s="19">
        <f>IF($I8173="","",IF(ISNUMBER($I8173),TEXT($I8173,"0"),$I8173))</f>
        <v/>
      </c>
    </row>
    <row r="8174">
      <c r="B8174" s="25" t="n"/>
      <c r="I8174" s="25" t="n"/>
      <c r="U8174" s="19">
        <f>IF($V8174&lt;&gt;'設定'!$C$4,N(U8173),IF(OR(NOT(COUNTIF('商品マスタ'!$B$6:$B$1005,$W8174)=0),COUNTIFS('①在庫を貼る'!$V$6:$V$10005,$V8174,'①在庫を貼る'!$W$6:$W$10005,$W8174)&gt;0),N(U8173),N(U8173)+1))</f>
        <v/>
      </c>
      <c r="V8174" s="19">
        <f>IF($B8174="","",TEXT($B8174,"0000"))</f>
        <v/>
      </c>
      <c r="W8174" s="19">
        <f>IF($I8174="","",IF(ISNUMBER($I8174),TEXT($I8174,"0"),$I8174))</f>
        <v/>
      </c>
    </row>
    <row r="8175">
      <c r="B8175" s="25" t="n"/>
      <c r="I8175" s="25" t="n"/>
      <c r="U8175" s="19">
        <f>IF($V8175&lt;&gt;'設定'!$C$4,N(U8174),IF(OR(NOT(COUNTIF('商品マスタ'!$B$6:$B$1005,$W8175)=0),COUNTIFS('①在庫を貼る'!$V$6:$V$10005,$V8175,'①在庫を貼る'!$W$6:$W$10005,$W8175)&gt;0),N(U8174),N(U8174)+1))</f>
        <v/>
      </c>
      <c r="V8175" s="19">
        <f>IF($B8175="","",TEXT($B8175,"0000"))</f>
        <v/>
      </c>
      <c r="W8175" s="19">
        <f>IF($I8175="","",IF(ISNUMBER($I8175),TEXT($I8175,"0"),$I8175))</f>
        <v/>
      </c>
    </row>
    <row r="8176">
      <c r="B8176" s="25" t="n"/>
      <c r="I8176" s="25" t="n"/>
      <c r="U8176" s="19">
        <f>IF($V8176&lt;&gt;'設定'!$C$4,N(U8175),IF(OR(NOT(COUNTIF('商品マスタ'!$B$6:$B$1005,$W8176)=0),COUNTIFS('①在庫を貼る'!$V$6:$V$10005,$V8176,'①在庫を貼る'!$W$6:$W$10005,$W8176)&gt;0),N(U8175),N(U8175)+1))</f>
        <v/>
      </c>
      <c r="V8176" s="19">
        <f>IF($B8176="","",TEXT($B8176,"0000"))</f>
        <v/>
      </c>
      <c r="W8176" s="19">
        <f>IF($I8176="","",IF(ISNUMBER($I8176),TEXT($I8176,"0"),$I8176))</f>
        <v/>
      </c>
    </row>
    <row r="8177">
      <c r="B8177" s="25" t="n"/>
      <c r="I8177" s="25" t="n"/>
      <c r="U8177" s="19">
        <f>IF($V8177&lt;&gt;'設定'!$C$4,N(U8176),IF(OR(NOT(COUNTIF('商品マスタ'!$B$6:$B$1005,$W8177)=0),COUNTIFS('①在庫を貼る'!$V$6:$V$10005,$V8177,'①在庫を貼る'!$W$6:$W$10005,$W8177)&gt;0),N(U8176),N(U8176)+1))</f>
        <v/>
      </c>
      <c r="V8177" s="19">
        <f>IF($B8177="","",TEXT($B8177,"0000"))</f>
        <v/>
      </c>
      <c r="W8177" s="19">
        <f>IF($I8177="","",IF(ISNUMBER($I8177),TEXT($I8177,"0"),$I8177))</f>
        <v/>
      </c>
    </row>
    <row r="8178">
      <c r="B8178" s="25" t="n"/>
      <c r="I8178" s="25" t="n"/>
      <c r="U8178" s="19">
        <f>IF($V8178&lt;&gt;'設定'!$C$4,N(U8177),IF(OR(NOT(COUNTIF('商品マスタ'!$B$6:$B$1005,$W8178)=0),COUNTIFS('①在庫を貼る'!$V$6:$V$10005,$V8178,'①在庫を貼る'!$W$6:$W$10005,$W8178)&gt;0),N(U8177),N(U8177)+1))</f>
        <v/>
      </c>
      <c r="V8178" s="19">
        <f>IF($B8178="","",TEXT($B8178,"0000"))</f>
        <v/>
      </c>
      <c r="W8178" s="19">
        <f>IF($I8178="","",IF(ISNUMBER($I8178),TEXT($I8178,"0"),$I8178))</f>
        <v/>
      </c>
    </row>
    <row r="8179">
      <c r="B8179" s="25" t="n"/>
      <c r="I8179" s="25" t="n"/>
      <c r="U8179" s="19">
        <f>IF($V8179&lt;&gt;'設定'!$C$4,N(U8178),IF(OR(NOT(COUNTIF('商品マスタ'!$B$6:$B$1005,$W8179)=0),COUNTIFS('①在庫を貼る'!$V$6:$V$10005,$V8179,'①在庫を貼る'!$W$6:$W$10005,$W8179)&gt;0),N(U8178),N(U8178)+1))</f>
        <v/>
      </c>
      <c r="V8179" s="19">
        <f>IF($B8179="","",TEXT($B8179,"0000"))</f>
        <v/>
      </c>
      <c r="W8179" s="19">
        <f>IF($I8179="","",IF(ISNUMBER($I8179),TEXT($I8179,"0"),$I8179))</f>
        <v/>
      </c>
    </row>
    <row r="8180">
      <c r="B8180" s="25" t="n"/>
      <c r="I8180" s="25" t="n"/>
      <c r="U8180" s="19">
        <f>IF($V8180&lt;&gt;'設定'!$C$4,N(U8179),IF(OR(NOT(COUNTIF('商品マスタ'!$B$6:$B$1005,$W8180)=0),COUNTIFS('①在庫を貼る'!$V$6:$V$10005,$V8180,'①在庫を貼る'!$W$6:$W$10005,$W8180)&gt;0),N(U8179),N(U8179)+1))</f>
        <v/>
      </c>
      <c r="V8180" s="19">
        <f>IF($B8180="","",TEXT($B8180,"0000"))</f>
        <v/>
      </c>
      <c r="W8180" s="19">
        <f>IF($I8180="","",IF(ISNUMBER($I8180),TEXT($I8180,"0"),$I8180))</f>
        <v/>
      </c>
    </row>
    <row r="8181">
      <c r="B8181" s="25" t="n"/>
      <c r="I8181" s="25" t="n"/>
      <c r="U8181" s="19">
        <f>IF($V8181&lt;&gt;'設定'!$C$4,N(U8180),IF(OR(NOT(COUNTIF('商品マスタ'!$B$6:$B$1005,$W8181)=0),COUNTIFS('①在庫を貼る'!$V$6:$V$10005,$V8181,'①在庫を貼る'!$W$6:$W$10005,$W8181)&gt;0),N(U8180),N(U8180)+1))</f>
        <v/>
      </c>
      <c r="V8181" s="19">
        <f>IF($B8181="","",TEXT($B8181,"0000"))</f>
        <v/>
      </c>
      <c r="W8181" s="19">
        <f>IF($I8181="","",IF(ISNUMBER($I8181),TEXT($I8181,"0"),$I8181))</f>
        <v/>
      </c>
    </row>
    <row r="8182">
      <c r="B8182" s="25" t="n"/>
      <c r="I8182" s="25" t="n"/>
      <c r="U8182" s="19">
        <f>IF($V8182&lt;&gt;'設定'!$C$4,N(U8181),IF(OR(NOT(COUNTIF('商品マスタ'!$B$6:$B$1005,$W8182)=0),COUNTIFS('①在庫を貼る'!$V$6:$V$10005,$V8182,'①在庫を貼る'!$W$6:$W$10005,$W8182)&gt;0),N(U8181),N(U8181)+1))</f>
        <v/>
      </c>
      <c r="V8182" s="19">
        <f>IF($B8182="","",TEXT($B8182,"0000"))</f>
        <v/>
      </c>
      <c r="W8182" s="19">
        <f>IF($I8182="","",IF(ISNUMBER($I8182),TEXT($I8182,"0"),$I8182))</f>
        <v/>
      </c>
    </row>
    <row r="8183">
      <c r="B8183" s="25" t="n"/>
      <c r="I8183" s="25" t="n"/>
      <c r="U8183" s="19">
        <f>IF($V8183&lt;&gt;'設定'!$C$4,N(U8182),IF(OR(NOT(COUNTIF('商品マスタ'!$B$6:$B$1005,$W8183)=0),COUNTIFS('①在庫を貼る'!$V$6:$V$10005,$V8183,'①在庫を貼る'!$W$6:$W$10005,$W8183)&gt;0),N(U8182),N(U8182)+1))</f>
        <v/>
      </c>
      <c r="V8183" s="19">
        <f>IF($B8183="","",TEXT($B8183,"0000"))</f>
        <v/>
      </c>
      <c r="W8183" s="19">
        <f>IF($I8183="","",IF(ISNUMBER($I8183),TEXT($I8183,"0"),$I8183))</f>
        <v/>
      </c>
    </row>
    <row r="8184">
      <c r="B8184" s="25" t="n"/>
      <c r="I8184" s="25" t="n"/>
      <c r="U8184" s="19">
        <f>IF($V8184&lt;&gt;'設定'!$C$4,N(U8183),IF(OR(NOT(COUNTIF('商品マスタ'!$B$6:$B$1005,$W8184)=0),COUNTIFS('①在庫を貼る'!$V$6:$V$10005,$V8184,'①在庫を貼る'!$W$6:$W$10005,$W8184)&gt;0),N(U8183),N(U8183)+1))</f>
        <v/>
      </c>
      <c r="V8184" s="19">
        <f>IF($B8184="","",TEXT($B8184,"0000"))</f>
        <v/>
      </c>
      <c r="W8184" s="19">
        <f>IF($I8184="","",IF(ISNUMBER($I8184),TEXT($I8184,"0"),$I8184))</f>
        <v/>
      </c>
    </row>
    <row r="8185">
      <c r="B8185" s="25" t="n"/>
      <c r="I8185" s="25" t="n"/>
      <c r="U8185" s="19">
        <f>IF($V8185&lt;&gt;'設定'!$C$4,N(U8184),IF(OR(NOT(COUNTIF('商品マスタ'!$B$6:$B$1005,$W8185)=0),COUNTIFS('①在庫を貼る'!$V$6:$V$10005,$V8185,'①在庫を貼る'!$W$6:$W$10005,$W8185)&gt;0),N(U8184),N(U8184)+1))</f>
        <v/>
      </c>
      <c r="V8185" s="19">
        <f>IF($B8185="","",TEXT($B8185,"0000"))</f>
        <v/>
      </c>
      <c r="W8185" s="19">
        <f>IF($I8185="","",IF(ISNUMBER($I8185),TEXT($I8185,"0"),$I8185))</f>
        <v/>
      </c>
    </row>
    <row r="8186">
      <c r="B8186" s="25" t="n"/>
      <c r="I8186" s="25" t="n"/>
      <c r="U8186" s="19">
        <f>IF($V8186&lt;&gt;'設定'!$C$4,N(U8185),IF(OR(NOT(COUNTIF('商品マスタ'!$B$6:$B$1005,$W8186)=0),COUNTIFS('①在庫を貼る'!$V$6:$V$10005,$V8186,'①在庫を貼る'!$W$6:$W$10005,$W8186)&gt;0),N(U8185),N(U8185)+1))</f>
        <v/>
      </c>
      <c r="V8186" s="19">
        <f>IF($B8186="","",TEXT($B8186,"0000"))</f>
        <v/>
      </c>
      <c r="W8186" s="19">
        <f>IF($I8186="","",IF(ISNUMBER($I8186),TEXT($I8186,"0"),$I8186))</f>
        <v/>
      </c>
    </row>
    <row r="8187">
      <c r="B8187" s="25" t="n"/>
      <c r="I8187" s="25" t="n"/>
      <c r="U8187" s="19">
        <f>IF($V8187&lt;&gt;'設定'!$C$4,N(U8186),IF(OR(NOT(COUNTIF('商品マスタ'!$B$6:$B$1005,$W8187)=0),COUNTIFS('①在庫を貼る'!$V$6:$V$10005,$V8187,'①在庫を貼る'!$W$6:$W$10005,$W8187)&gt;0),N(U8186),N(U8186)+1))</f>
        <v/>
      </c>
      <c r="V8187" s="19">
        <f>IF($B8187="","",TEXT($B8187,"0000"))</f>
        <v/>
      </c>
      <c r="W8187" s="19">
        <f>IF($I8187="","",IF(ISNUMBER($I8187),TEXT($I8187,"0"),$I8187))</f>
        <v/>
      </c>
    </row>
    <row r="8188">
      <c r="B8188" s="25" t="n"/>
      <c r="I8188" s="25" t="n"/>
      <c r="U8188" s="19">
        <f>IF($V8188&lt;&gt;'設定'!$C$4,N(U8187),IF(OR(NOT(COUNTIF('商品マスタ'!$B$6:$B$1005,$W8188)=0),COUNTIFS('①在庫を貼る'!$V$6:$V$10005,$V8188,'①在庫を貼る'!$W$6:$W$10005,$W8188)&gt;0),N(U8187),N(U8187)+1))</f>
        <v/>
      </c>
      <c r="V8188" s="19">
        <f>IF($B8188="","",TEXT($B8188,"0000"))</f>
        <v/>
      </c>
      <c r="W8188" s="19">
        <f>IF($I8188="","",IF(ISNUMBER($I8188),TEXT($I8188,"0"),$I8188))</f>
        <v/>
      </c>
    </row>
    <row r="8189">
      <c r="B8189" s="25" t="n"/>
      <c r="I8189" s="25" t="n"/>
      <c r="U8189" s="19">
        <f>IF($V8189&lt;&gt;'設定'!$C$4,N(U8188),IF(OR(NOT(COUNTIF('商品マスタ'!$B$6:$B$1005,$W8189)=0),COUNTIFS('①在庫を貼る'!$V$6:$V$10005,$V8189,'①在庫を貼る'!$W$6:$W$10005,$W8189)&gt;0),N(U8188),N(U8188)+1))</f>
        <v/>
      </c>
      <c r="V8189" s="19">
        <f>IF($B8189="","",TEXT($B8189,"0000"))</f>
        <v/>
      </c>
      <c r="W8189" s="19">
        <f>IF($I8189="","",IF(ISNUMBER($I8189),TEXT($I8189,"0"),$I8189))</f>
        <v/>
      </c>
    </row>
    <row r="8190">
      <c r="B8190" s="25" t="n"/>
      <c r="I8190" s="25" t="n"/>
      <c r="U8190" s="19">
        <f>IF($V8190&lt;&gt;'設定'!$C$4,N(U8189),IF(OR(NOT(COUNTIF('商品マスタ'!$B$6:$B$1005,$W8190)=0),COUNTIFS('①在庫を貼る'!$V$6:$V$10005,$V8190,'①在庫を貼る'!$W$6:$W$10005,$W8190)&gt;0),N(U8189),N(U8189)+1))</f>
        <v/>
      </c>
      <c r="V8190" s="19">
        <f>IF($B8190="","",TEXT($B8190,"0000"))</f>
        <v/>
      </c>
      <c r="W8190" s="19">
        <f>IF($I8190="","",IF(ISNUMBER($I8190),TEXT($I8190,"0"),$I8190))</f>
        <v/>
      </c>
    </row>
    <row r="8191">
      <c r="B8191" s="25" t="n"/>
      <c r="I8191" s="25" t="n"/>
      <c r="U8191" s="19">
        <f>IF($V8191&lt;&gt;'設定'!$C$4,N(U8190),IF(OR(NOT(COUNTIF('商品マスタ'!$B$6:$B$1005,$W8191)=0),COUNTIFS('①在庫を貼る'!$V$6:$V$10005,$V8191,'①在庫を貼る'!$W$6:$W$10005,$W8191)&gt;0),N(U8190),N(U8190)+1))</f>
        <v/>
      </c>
      <c r="V8191" s="19">
        <f>IF($B8191="","",TEXT($B8191,"0000"))</f>
        <v/>
      </c>
      <c r="W8191" s="19">
        <f>IF($I8191="","",IF(ISNUMBER($I8191),TEXT($I8191,"0"),$I8191))</f>
        <v/>
      </c>
    </row>
    <row r="8192">
      <c r="B8192" s="25" t="n"/>
      <c r="I8192" s="25" t="n"/>
      <c r="U8192" s="19">
        <f>IF($V8192&lt;&gt;'設定'!$C$4,N(U8191),IF(OR(NOT(COUNTIF('商品マスタ'!$B$6:$B$1005,$W8192)=0),COUNTIFS('①在庫を貼る'!$V$6:$V$10005,$V8192,'①在庫を貼る'!$W$6:$W$10005,$W8192)&gt;0),N(U8191),N(U8191)+1))</f>
        <v/>
      </c>
      <c r="V8192" s="19">
        <f>IF($B8192="","",TEXT($B8192,"0000"))</f>
        <v/>
      </c>
      <c r="W8192" s="19">
        <f>IF($I8192="","",IF(ISNUMBER($I8192),TEXT($I8192,"0"),$I8192))</f>
        <v/>
      </c>
    </row>
    <row r="8193">
      <c r="B8193" s="25" t="n"/>
      <c r="I8193" s="25" t="n"/>
      <c r="U8193" s="19">
        <f>IF($V8193&lt;&gt;'設定'!$C$4,N(U8192),IF(OR(NOT(COUNTIF('商品マスタ'!$B$6:$B$1005,$W8193)=0),COUNTIFS('①在庫を貼る'!$V$6:$V$10005,$V8193,'①在庫を貼る'!$W$6:$W$10005,$W8193)&gt;0),N(U8192),N(U8192)+1))</f>
        <v/>
      </c>
      <c r="V8193" s="19">
        <f>IF($B8193="","",TEXT($B8193,"0000"))</f>
        <v/>
      </c>
      <c r="W8193" s="19">
        <f>IF($I8193="","",IF(ISNUMBER($I8193),TEXT($I8193,"0"),$I8193))</f>
        <v/>
      </c>
    </row>
    <row r="8194">
      <c r="B8194" s="25" t="n"/>
      <c r="I8194" s="25" t="n"/>
      <c r="U8194" s="19">
        <f>IF($V8194&lt;&gt;'設定'!$C$4,N(U8193),IF(OR(NOT(COUNTIF('商品マスタ'!$B$6:$B$1005,$W8194)=0),COUNTIFS('①在庫を貼る'!$V$6:$V$10005,$V8194,'①在庫を貼る'!$W$6:$W$10005,$W8194)&gt;0),N(U8193),N(U8193)+1))</f>
        <v/>
      </c>
      <c r="V8194" s="19">
        <f>IF($B8194="","",TEXT($B8194,"0000"))</f>
        <v/>
      </c>
      <c r="W8194" s="19">
        <f>IF($I8194="","",IF(ISNUMBER($I8194),TEXT($I8194,"0"),$I8194))</f>
        <v/>
      </c>
    </row>
    <row r="8195">
      <c r="B8195" s="25" t="n"/>
      <c r="I8195" s="25" t="n"/>
      <c r="U8195" s="19">
        <f>IF($V8195&lt;&gt;'設定'!$C$4,N(U8194),IF(OR(NOT(COUNTIF('商品マスタ'!$B$6:$B$1005,$W8195)=0),COUNTIFS('①在庫を貼る'!$V$6:$V$10005,$V8195,'①在庫を貼る'!$W$6:$W$10005,$W8195)&gt;0),N(U8194),N(U8194)+1))</f>
        <v/>
      </c>
      <c r="V8195" s="19">
        <f>IF($B8195="","",TEXT($B8195,"0000"))</f>
        <v/>
      </c>
      <c r="W8195" s="19">
        <f>IF($I8195="","",IF(ISNUMBER($I8195),TEXT($I8195,"0"),$I8195))</f>
        <v/>
      </c>
    </row>
    <row r="8196">
      <c r="B8196" s="25" t="n"/>
      <c r="I8196" s="25" t="n"/>
      <c r="U8196" s="19">
        <f>IF($V8196&lt;&gt;'設定'!$C$4,N(U8195),IF(OR(NOT(COUNTIF('商品マスタ'!$B$6:$B$1005,$W8196)=0),COUNTIFS('①在庫を貼る'!$V$6:$V$10005,$V8196,'①在庫を貼る'!$W$6:$W$10005,$W8196)&gt;0),N(U8195),N(U8195)+1))</f>
        <v/>
      </c>
      <c r="V8196" s="19">
        <f>IF($B8196="","",TEXT($B8196,"0000"))</f>
        <v/>
      </c>
      <c r="W8196" s="19">
        <f>IF($I8196="","",IF(ISNUMBER($I8196),TEXT($I8196,"0"),$I8196))</f>
        <v/>
      </c>
    </row>
    <row r="8197">
      <c r="B8197" s="25" t="n"/>
      <c r="I8197" s="25" t="n"/>
      <c r="U8197" s="19">
        <f>IF($V8197&lt;&gt;'設定'!$C$4,N(U8196),IF(OR(NOT(COUNTIF('商品マスタ'!$B$6:$B$1005,$W8197)=0),COUNTIFS('①在庫を貼る'!$V$6:$V$10005,$V8197,'①在庫を貼る'!$W$6:$W$10005,$W8197)&gt;0),N(U8196),N(U8196)+1))</f>
        <v/>
      </c>
      <c r="V8197" s="19">
        <f>IF($B8197="","",TEXT($B8197,"0000"))</f>
        <v/>
      </c>
      <c r="W8197" s="19">
        <f>IF($I8197="","",IF(ISNUMBER($I8197),TEXT($I8197,"0"),$I8197))</f>
        <v/>
      </c>
    </row>
    <row r="8198">
      <c r="B8198" s="25" t="n"/>
      <c r="I8198" s="25" t="n"/>
      <c r="U8198" s="19">
        <f>IF($V8198&lt;&gt;'設定'!$C$4,N(U8197),IF(OR(NOT(COUNTIF('商品マスタ'!$B$6:$B$1005,$W8198)=0),COUNTIFS('①在庫を貼る'!$V$6:$V$10005,$V8198,'①在庫を貼る'!$W$6:$W$10005,$W8198)&gt;0),N(U8197),N(U8197)+1))</f>
        <v/>
      </c>
      <c r="V8198" s="19">
        <f>IF($B8198="","",TEXT($B8198,"0000"))</f>
        <v/>
      </c>
      <c r="W8198" s="19">
        <f>IF($I8198="","",IF(ISNUMBER($I8198),TEXT($I8198,"0"),$I8198))</f>
        <v/>
      </c>
    </row>
    <row r="8199">
      <c r="B8199" s="25" t="n"/>
      <c r="I8199" s="25" t="n"/>
      <c r="U8199" s="19">
        <f>IF($V8199&lt;&gt;'設定'!$C$4,N(U8198),IF(OR(NOT(COUNTIF('商品マスタ'!$B$6:$B$1005,$W8199)=0),COUNTIFS('①在庫を貼る'!$V$6:$V$10005,$V8199,'①在庫を貼る'!$W$6:$W$10005,$W8199)&gt;0),N(U8198),N(U8198)+1))</f>
        <v/>
      </c>
      <c r="V8199" s="19">
        <f>IF($B8199="","",TEXT($B8199,"0000"))</f>
        <v/>
      </c>
      <c r="W8199" s="19">
        <f>IF($I8199="","",IF(ISNUMBER($I8199),TEXT($I8199,"0"),$I8199))</f>
        <v/>
      </c>
    </row>
    <row r="8200">
      <c r="B8200" s="25" t="n"/>
      <c r="I8200" s="25" t="n"/>
      <c r="U8200" s="19">
        <f>IF($V8200&lt;&gt;'設定'!$C$4,N(U8199),IF(OR(NOT(COUNTIF('商品マスタ'!$B$6:$B$1005,$W8200)=0),COUNTIFS('①在庫を貼る'!$V$6:$V$10005,$V8200,'①在庫を貼る'!$W$6:$W$10005,$W8200)&gt;0),N(U8199),N(U8199)+1))</f>
        <v/>
      </c>
      <c r="V8200" s="19">
        <f>IF($B8200="","",TEXT($B8200,"0000"))</f>
        <v/>
      </c>
      <c r="W8200" s="19">
        <f>IF($I8200="","",IF(ISNUMBER($I8200),TEXT($I8200,"0"),$I8200))</f>
        <v/>
      </c>
    </row>
    <row r="8201">
      <c r="B8201" s="25" t="n"/>
      <c r="I8201" s="25" t="n"/>
      <c r="U8201" s="19">
        <f>IF($V8201&lt;&gt;'設定'!$C$4,N(U8200),IF(OR(NOT(COUNTIF('商品マスタ'!$B$6:$B$1005,$W8201)=0),COUNTIFS('①在庫を貼る'!$V$6:$V$10005,$V8201,'①在庫を貼る'!$W$6:$W$10005,$W8201)&gt;0),N(U8200),N(U8200)+1))</f>
        <v/>
      </c>
      <c r="V8201" s="19">
        <f>IF($B8201="","",TEXT($B8201,"0000"))</f>
        <v/>
      </c>
      <c r="W8201" s="19">
        <f>IF($I8201="","",IF(ISNUMBER($I8201),TEXT($I8201,"0"),$I8201))</f>
        <v/>
      </c>
    </row>
    <row r="8202">
      <c r="B8202" s="25" t="n"/>
      <c r="I8202" s="25" t="n"/>
      <c r="U8202" s="19">
        <f>IF($V8202&lt;&gt;'設定'!$C$4,N(U8201),IF(OR(NOT(COUNTIF('商品マスタ'!$B$6:$B$1005,$W8202)=0),COUNTIFS('①在庫を貼る'!$V$6:$V$10005,$V8202,'①在庫を貼る'!$W$6:$W$10005,$W8202)&gt;0),N(U8201),N(U8201)+1))</f>
        <v/>
      </c>
      <c r="V8202" s="19">
        <f>IF($B8202="","",TEXT($B8202,"0000"))</f>
        <v/>
      </c>
      <c r="W8202" s="19">
        <f>IF($I8202="","",IF(ISNUMBER($I8202),TEXT($I8202,"0"),$I8202))</f>
        <v/>
      </c>
    </row>
    <row r="8203">
      <c r="B8203" s="25" t="n"/>
      <c r="I8203" s="25" t="n"/>
      <c r="U8203" s="19">
        <f>IF($V8203&lt;&gt;'設定'!$C$4,N(U8202),IF(OR(NOT(COUNTIF('商品マスタ'!$B$6:$B$1005,$W8203)=0),COUNTIFS('①在庫を貼る'!$V$6:$V$10005,$V8203,'①在庫を貼る'!$W$6:$W$10005,$W8203)&gt;0),N(U8202),N(U8202)+1))</f>
        <v/>
      </c>
      <c r="V8203" s="19">
        <f>IF($B8203="","",TEXT($B8203,"0000"))</f>
        <v/>
      </c>
      <c r="W8203" s="19">
        <f>IF($I8203="","",IF(ISNUMBER($I8203),TEXT($I8203,"0"),$I8203))</f>
        <v/>
      </c>
    </row>
    <row r="8204">
      <c r="B8204" s="25" t="n"/>
      <c r="I8204" s="25" t="n"/>
      <c r="U8204" s="19">
        <f>IF($V8204&lt;&gt;'設定'!$C$4,N(U8203),IF(OR(NOT(COUNTIF('商品マスタ'!$B$6:$B$1005,$W8204)=0),COUNTIFS('①在庫を貼る'!$V$6:$V$10005,$V8204,'①在庫を貼る'!$W$6:$W$10005,$W8204)&gt;0),N(U8203),N(U8203)+1))</f>
        <v/>
      </c>
      <c r="V8204" s="19">
        <f>IF($B8204="","",TEXT($B8204,"0000"))</f>
        <v/>
      </c>
      <c r="W8204" s="19">
        <f>IF($I8204="","",IF(ISNUMBER($I8204),TEXT($I8204,"0"),$I8204))</f>
        <v/>
      </c>
    </row>
    <row r="8205">
      <c r="B8205" s="25" t="n"/>
      <c r="I8205" s="25" t="n"/>
      <c r="U8205" s="19">
        <f>IF($V8205&lt;&gt;'設定'!$C$4,N(U8204),IF(OR(NOT(COUNTIF('商品マスタ'!$B$6:$B$1005,$W8205)=0),COUNTIFS('①在庫を貼る'!$V$6:$V$10005,$V8205,'①在庫を貼る'!$W$6:$W$10005,$W8205)&gt;0),N(U8204),N(U8204)+1))</f>
        <v/>
      </c>
      <c r="V8205" s="19">
        <f>IF($B8205="","",TEXT($B8205,"0000"))</f>
        <v/>
      </c>
      <c r="W8205" s="19">
        <f>IF($I8205="","",IF(ISNUMBER($I8205),TEXT($I8205,"0"),$I8205))</f>
        <v/>
      </c>
    </row>
    <row r="8206">
      <c r="B8206" s="25" t="n"/>
      <c r="I8206" s="25" t="n"/>
      <c r="U8206" s="19">
        <f>IF($V8206&lt;&gt;'設定'!$C$4,N(U8205),IF(OR(NOT(COUNTIF('商品マスタ'!$B$6:$B$1005,$W8206)=0),COUNTIFS('①在庫を貼る'!$V$6:$V$10005,$V8206,'①在庫を貼る'!$W$6:$W$10005,$W8206)&gt;0),N(U8205),N(U8205)+1))</f>
        <v/>
      </c>
      <c r="V8206" s="19">
        <f>IF($B8206="","",TEXT($B8206,"0000"))</f>
        <v/>
      </c>
      <c r="W8206" s="19">
        <f>IF($I8206="","",IF(ISNUMBER($I8206),TEXT($I8206,"0"),$I8206))</f>
        <v/>
      </c>
    </row>
    <row r="8207">
      <c r="B8207" s="25" t="n"/>
      <c r="I8207" s="25" t="n"/>
      <c r="U8207" s="19">
        <f>IF($V8207&lt;&gt;'設定'!$C$4,N(U8206),IF(OR(NOT(COUNTIF('商品マスタ'!$B$6:$B$1005,$W8207)=0),COUNTIFS('①在庫を貼る'!$V$6:$V$10005,$V8207,'①在庫を貼る'!$W$6:$W$10005,$W8207)&gt;0),N(U8206),N(U8206)+1))</f>
        <v/>
      </c>
      <c r="V8207" s="19">
        <f>IF($B8207="","",TEXT($B8207,"0000"))</f>
        <v/>
      </c>
      <c r="W8207" s="19">
        <f>IF($I8207="","",IF(ISNUMBER($I8207),TEXT($I8207,"0"),$I8207))</f>
        <v/>
      </c>
    </row>
    <row r="8208">
      <c r="B8208" s="25" t="n"/>
      <c r="I8208" s="25" t="n"/>
      <c r="U8208" s="19">
        <f>IF($V8208&lt;&gt;'設定'!$C$4,N(U8207),IF(OR(NOT(COUNTIF('商品マスタ'!$B$6:$B$1005,$W8208)=0),COUNTIFS('①在庫を貼る'!$V$6:$V$10005,$V8208,'①在庫を貼る'!$W$6:$W$10005,$W8208)&gt;0),N(U8207),N(U8207)+1))</f>
        <v/>
      </c>
      <c r="V8208" s="19">
        <f>IF($B8208="","",TEXT($B8208,"0000"))</f>
        <v/>
      </c>
      <c r="W8208" s="19">
        <f>IF($I8208="","",IF(ISNUMBER($I8208),TEXT($I8208,"0"),$I8208))</f>
        <v/>
      </c>
    </row>
    <row r="8209">
      <c r="B8209" s="25" t="n"/>
      <c r="I8209" s="25" t="n"/>
      <c r="U8209" s="19">
        <f>IF($V8209&lt;&gt;'設定'!$C$4,N(U8208),IF(OR(NOT(COUNTIF('商品マスタ'!$B$6:$B$1005,$W8209)=0),COUNTIFS('①在庫を貼る'!$V$6:$V$10005,$V8209,'①在庫を貼る'!$W$6:$W$10005,$W8209)&gt;0),N(U8208),N(U8208)+1))</f>
        <v/>
      </c>
      <c r="V8209" s="19">
        <f>IF($B8209="","",TEXT($B8209,"0000"))</f>
        <v/>
      </c>
      <c r="W8209" s="19">
        <f>IF($I8209="","",IF(ISNUMBER($I8209),TEXT($I8209,"0"),$I8209))</f>
        <v/>
      </c>
    </row>
    <row r="8210">
      <c r="B8210" s="25" t="n"/>
      <c r="I8210" s="25" t="n"/>
      <c r="U8210" s="19">
        <f>IF($V8210&lt;&gt;'設定'!$C$4,N(U8209),IF(OR(NOT(COUNTIF('商品マスタ'!$B$6:$B$1005,$W8210)=0),COUNTIFS('①在庫を貼る'!$V$6:$V$10005,$V8210,'①在庫を貼る'!$W$6:$W$10005,$W8210)&gt;0),N(U8209),N(U8209)+1))</f>
        <v/>
      </c>
      <c r="V8210" s="19">
        <f>IF($B8210="","",TEXT($B8210,"0000"))</f>
        <v/>
      </c>
      <c r="W8210" s="19">
        <f>IF($I8210="","",IF(ISNUMBER($I8210),TEXT($I8210,"0"),$I8210))</f>
        <v/>
      </c>
    </row>
    <row r="8211">
      <c r="B8211" s="25" t="n"/>
      <c r="I8211" s="25" t="n"/>
      <c r="U8211" s="19">
        <f>IF($V8211&lt;&gt;'設定'!$C$4,N(U8210),IF(OR(NOT(COUNTIF('商品マスタ'!$B$6:$B$1005,$W8211)=0),COUNTIFS('①在庫を貼る'!$V$6:$V$10005,$V8211,'①在庫を貼る'!$W$6:$W$10005,$W8211)&gt;0),N(U8210),N(U8210)+1))</f>
        <v/>
      </c>
      <c r="V8211" s="19">
        <f>IF($B8211="","",TEXT($B8211,"0000"))</f>
        <v/>
      </c>
      <c r="W8211" s="19">
        <f>IF($I8211="","",IF(ISNUMBER($I8211),TEXT($I8211,"0"),$I8211))</f>
        <v/>
      </c>
    </row>
    <row r="8212">
      <c r="B8212" s="25" t="n"/>
      <c r="I8212" s="25" t="n"/>
      <c r="U8212" s="19">
        <f>IF($V8212&lt;&gt;'設定'!$C$4,N(U8211),IF(OR(NOT(COUNTIF('商品マスタ'!$B$6:$B$1005,$W8212)=0),COUNTIFS('①在庫を貼る'!$V$6:$V$10005,$V8212,'①在庫を貼る'!$W$6:$W$10005,$W8212)&gt;0),N(U8211),N(U8211)+1))</f>
        <v/>
      </c>
      <c r="V8212" s="19">
        <f>IF($B8212="","",TEXT($B8212,"0000"))</f>
        <v/>
      </c>
      <c r="W8212" s="19">
        <f>IF($I8212="","",IF(ISNUMBER($I8212),TEXT($I8212,"0"),$I8212))</f>
        <v/>
      </c>
    </row>
    <row r="8213">
      <c r="B8213" s="25" t="n"/>
      <c r="I8213" s="25" t="n"/>
      <c r="U8213" s="19">
        <f>IF($V8213&lt;&gt;'設定'!$C$4,N(U8212),IF(OR(NOT(COUNTIF('商品マスタ'!$B$6:$B$1005,$W8213)=0),COUNTIFS('①在庫を貼る'!$V$6:$V$10005,$V8213,'①在庫を貼る'!$W$6:$W$10005,$W8213)&gt;0),N(U8212),N(U8212)+1))</f>
        <v/>
      </c>
      <c r="V8213" s="19">
        <f>IF($B8213="","",TEXT($B8213,"0000"))</f>
        <v/>
      </c>
      <c r="W8213" s="19">
        <f>IF($I8213="","",IF(ISNUMBER($I8213),TEXT($I8213,"0"),$I8213))</f>
        <v/>
      </c>
    </row>
    <row r="8214">
      <c r="B8214" s="25" t="n"/>
      <c r="I8214" s="25" t="n"/>
      <c r="U8214" s="19">
        <f>IF($V8214&lt;&gt;'設定'!$C$4,N(U8213),IF(OR(NOT(COUNTIF('商品マスタ'!$B$6:$B$1005,$W8214)=0),COUNTIFS('①在庫を貼る'!$V$6:$V$10005,$V8214,'①在庫を貼る'!$W$6:$W$10005,$W8214)&gt;0),N(U8213),N(U8213)+1))</f>
        <v/>
      </c>
      <c r="V8214" s="19">
        <f>IF($B8214="","",TEXT($B8214,"0000"))</f>
        <v/>
      </c>
      <c r="W8214" s="19">
        <f>IF($I8214="","",IF(ISNUMBER($I8214),TEXT($I8214,"0"),$I8214))</f>
        <v/>
      </c>
    </row>
    <row r="8215">
      <c r="B8215" s="25" t="n"/>
      <c r="I8215" s="25" t="n"/>
      <c r="U8215" s="19">
        <f>IF($V8215&lt;&gt;'設定'!$C$4,N(U8214),IF(OR(NOT(COUNTIF('商品マスタ'!$B$6:$B$1005,$W8215)=0),COUNTIFS('①在庫を貼る'!$V$6:$V$10005,$V8215,'①在庫を貼る'!$W$6:$W$10005,$W8215)&gt;0),N(U8214),N(U8214)+1))</f>
        <v/>
      </c>
      <c r="V8215" s="19">
        <f>IF($B8215="","",TEXT($B8215,"0000"))</f>
        <v/>
      </c>
      <c r="W8215" s="19">
        <f>IF($I8215="","",IF(ISNUMBER($I8215),TEXT($I8215,"0"),$I8215))</f>
        <v/>
      </c>
    </row>
    <row r="8216">
      <c r="B8216" s="25" t="n"/>
      <c r="I8216" s="25" t="n"/>
      <c r="U8216" s="19">
        <f>IF($V8216&lt;&gt;'設定'!$C$4,N(U8215),IF(OR(NOT(COUNTIF('商品マスタ'!$B$6:$B$1005,$W8216)=0),COUNTIFS('①在庫を貼る'!$V$6:$V$10005,$V8216,'①在庫を貼る'!$W$6:$W$10005,$W8216)&gt;0),N(U8215),N(U8215)+1))</f>
        <v/>
      </c>
      <c r="V8216" s="19">
        <f>IF($B8216="","",TEXT($B8216,"0000"))</f>
        <v/>
      </c>
      <c r="W8216" s="19">
        <f>IF($I8216="","",IF(ISNUMBER($I8216),TEXT($I8216,"0"),$I8216))</f>
        <v/>
      </c>
    </row>
    <row r="8217">
      <c r="B8217" s="25" t="n"/>
      <c r="I8217" s="25" t="n"/>
      <c r="U8217" s="19">
        <f>IF($V8217&lt;&gt;'設定'!$C$4,N(U8216),IF(OR(NOT(COUNTIF('商品マスタ'!$B$6:$B$1005,$W8217)=0),COUNTIFS('①在庫を貼る'!$V$6:$V$10005,$V8217,'①在庫を貼る'!$W$6:$W$10005,$W8217)&gt;0),N(U8216),N(U8216)+1))</f>
        <v/>
      </c>
      <c r="V8217" s="19">
        <f>IF($B8217="","",TEXT($B8217,"0000"))</f>
        <v/>
      </c>
      <c r="W8217" s="19">
        <f>IF($I8217="","",IF(ISNUMBER($I8217),TEXT($I8217,"0"),$I8217))</f>
        <v/>
      </c>
    </row>
    <row r="8218">
      <c r="B8218" s="25" t="n"/>
      <c r="I8218" s="25" t="n"/>
      <c r="U8218" s="19">
        <f>IF($V8218&lt;&gt;'設定'!$C$4,N(U8217),IF(OR(NOT(COUNTIF('商品マスタ'!$B$6:$B$1005,$W8218)=0),COUNTIFS('①在庫を貼る'!$V$6:$V$10005,$V8218,'①在庫を貼る'!$W$6:$W$10005,$W8218)&gt;0),N(U8217),N(U8217)+1))</f>
        <v/>
      </c>
      <c r="V8218" s="19">
        <f>IF($B8218="","",TEXT($B8218,"0000"))</f>
        <v/>
      </c>
      <c r="W8218" s="19">
        <f>IF($I8218="","",IF(ISNUMBER($I8218),TEXT($I8218,"0"),$I8218))</f>
        <v/>
      </c>
    </row>
    <row r="8219">
      <c r="B8219" s="25" t="n"/>
      <c r="I8219" s="25" t="n"/>
      <c r="U8219" s="19">
        <f>IF($V8219&lt;&gt;'設定'!$C$4,N(U8218),IF(OR(NOT(COUNTIF('商品マスタ'!$B$6:$B$1005,$W8219)=0),COUNTIFS('①在庫を貼る'!$V$6:$V$10005,$V8219,'①在庫を貼る'!$W$6:$W$10005,$W8219)&gt;0),N(U8218),N(U8218)+1))</f>
        <v/>
      </c>
      <c r="V8219" s="19">
        <f>IF($B8219="","",TEXT($B8219,"0000"))</f>
        <v/>
      </c>
      <c r="W8219" s="19">
        <f>IF($I8219="","",IF(ISNUMBER($I8219),TEXT($I8219,"0"),$I8219))</f>
        <v/>
      </c>
    </row>
    <row r="8220">
      <c r="B8220" s="25" t="n"/>
      <c r="I8220" s="25" t="n"/>
      <c r="U8220" s="19">
        <f>IF($V8220&lt;&gt;'設定'!$C$4,N(U8219),IF(OR(NOT(COUNTIF('商品マスタ'!$B$6:$B$1005,$W8220)=0),COUNTIFS('①在庫を貼る'!$V$6:$V$10005,$V8220,'①在庫を貼る'!$W$6:$W$10005,$W8220)&gt;0),N(U8219),N(U8219)+1))</f>
        <v/>
      </c>
      <c r="V8220" s="19">
        <f>IF($B8220="","",TEXT($B8220,"0000"))</f>
        <v/>
      </c>
      <c r="W8220" s="19">
        <f>IF($I8220="","",IF(ISNUMBER($I8220),TEXT($I8220,"0"),$I8220))</f>
        <v/>
      </c>
    </row>
    <row r="8221">
      <c r="B8221" s="25" t="n"/>
      <c r="I8221" s="25" t="n"/>
      <c r="U8221" s="19">
        <f>IF($V8221&lt;&gt;'設定'!$C$4,N(U8220),IF(OR(NOT(COUNTIF('商品マスタ'!$B$6:$B$1005,$W8221)=0),COUNTIFS('①在庫を貼る'!$V$6:$V$10005,$V8221,'①在庫を貼る'!$W$6:$W$10005,$W8221)&gt;0),N(U8220),N(U8220)+1))</f>
        <v/>
      </c>
      <c r="V8221" s="19">
        <f>IF($B8221="","",TEXT($B8221,"0000"))</f>
        <v/>
      </c>
      <c r="W8221" s="19">
        <f>IF($I8221="","",IF(ISNUMBER($I8221),TEXT($I8221,"0"),$I8221))</f>
        <v/>
      </c>
    </row>
    <row r="8222">
      <c r="B8222" s="25" t="n"/>
      <c r="I8222" s="25" t="n"/>
      <c r="U8222" s="19">
        <f>IF($V8222&lt;&gt;'設定'!$C$4,N(U8221),IF(OR(NOT(COUNTIF('商品マスタ'!$B$6:$B$1005,$W8222)=0),COUNTIFS('①在庫を貼る'!$V$6:$V$10005,$V8222,'①在庫を貼る'!$W$6:$W$10005,$W8222)&gt;0),N(U8221),N(U8221)+1))</f>
        <v/>
      </c>
      <c r="V8222" s="19">
        <f>IF($B8222="","",TEXT($B8222,"0000"))</f>
        <v/>
      </c>
      <c r="W8222" s="19">
        <f>IF($I8222="","",IF(ISNUMBER($I8222),TEXT($I8222,"0"),$I8222))</f>
        <v/>
      </c>
    </row>
    <row r="8223">
      <c r="B8223" s="25" t="n"/>
      <c r="I8223" s="25" t="n"/>
      <c r="U8223" s="19">
        <f>IF($V8223&lt;&gt;'設定'!$C$4,N(U8222),IF(OR(NOT(COUNTIF('商品マスタ'!$B$6:$B$1005,$W8223)=0),COUNTIFS('①在庫を貼る'!$V$6:$V$10005,$V8223,'①在庫を貼る'!$W$6:$W$10005,$W8223)&gt;0),N(U8222),N(U8222)+1))</f>
        <v/>
      </c>
      <c r="V8223" s="19">
        <f>IF($B8223="","",TEXT($B8223,"0000"))</f>
        <v/>
      </c>
      <c r="W8223" s="19">
        <f>IF($I8223="","",IF(ISNUMBER($I8223),TEXT($I8223,"0"),$I8223))</f>
        <v/>
      </c>
    </row>
    <row r="8224">
      <c r="B8224" s="25" t="n"/>
      <c r="I8224" s="25" t="n"/>
      <c r="U8224" s="19">
        <f>IF($V8224&lt;&gt;'設定'!$C$4,N(U8223),IF(OR(NOT(COUNTIF('商品マスタ'!$B$6:$B$1005,$W8224)=0),COUNTIFS('①在庫を貼る'!$V$6:$V$10005,$V8224,'①在庫を貼る'!$W$6:$W$10005,$W8224)&gt;0),N(U8223),N(U8223)+1))</f>
        <v/>
      </c>
      <c r="V8224" s="19">
        <f>IF($B8224="","",TEXT($B8224,"0000"))</f>
        <v/>
      </c>
      <c r="W8224" s="19">
        <f>IF($I8224="","",IF(ISNUMBER($I8224),TEXT($I8224,"0"),$I8224))</f>
        <v/>
      </c>
    </row>
    <row r="8225">
      <c r="B8225" s="25" t="n"/>
      <c r="I8225" s="25" t="n"/>
      <c r="U8225" s="19">
        <f>IF($V8225&lt;&gt;'設定'!$C$4,N(U8224),IF(OR(NOT(COUNTIF('商品マスタ'!$B$6:$B$1005,$W8225)=0),COUNTIFS('①在庫を貼る'!$V$6:$V$10005,$V8225,'①在庫を貼る'!$W$6:$W$10005,$W8225)&gt;0),N(U8224),N(U8224)+1))</f>
        <v/>
      </c>
      <c r="V8225" s="19">
        <f>IF($B8225="","",TEXT($B8225,"0000"))</f>
        <v/>
      </c>
      <c r="W8225" s="19">
        <f>IF($I8225="","",IF(ISNUMBER($I8225),TEXT($I8225,"0"),$I8225))</f>
        <v/>
      </c>
    </row>
    <row r="8226">
      <c r="B8226" s="25" t="n"/>
      <c r="I8226" s="25" t="n"/>
      <c r="U8226" s="19">
        <f>IF($V8226&lt;&gt;'設定'!$C$4,N(U8225),IF(OR(NOT(COUNTIF('商品マスタ'!$B$6:$B$1005,$W8226)=0),COUNTIFS('①在庫を貼る'!$V$6:$V$10005,$V8226,'①在庫を貼る'!$W$6:$W$10005,$W8226)&gt;0),N(U8225),N(U8225)+1))</f>
        <v/>
      </c>
      <c r="V8226" s="19">
        <f>IF($B8226="","",TEXT($B8226,"0000"))</f>
        <v/>
      </c>
      <c r="W8226" s="19">
        <f>IF($I8226="","",IF(ISNUMBER($I8226),TEXT($I8226,"0"),$I8226))</f>
        <v/>
      </c>
    </row>
    <row r="8227">
      <c r="B8227" s="25" t="n"/>
      <c r="I8227" s="25" t="n"/>
      <c r="U8227" s="19">
        <f>IF($V8227&lt;&gt;'設定'!$C$4,N(U8226),IF(OR(NOT(COUNTIF('商品マスタ'!$B$6:$B$1005,$W8227)=0),COUNTIFS('①在庫を貼る'!$V$6:$V$10005,$V8227,'①在庫を貼る'!$W$6:$W$10005,$W8227)&gt;0),N(U8226),N(U8226)+1))</f>
        <v/>
      </c>
      <c r="V8227" s="19">
        <f>IF($B8227="","",TEXT($B8227,"0000"))</f>
        <v/>
      </c>
      <c r="W8227" s="19">
        <f>IF($I8227="","",IF(ISNUMBER($I8227),TEXT($I8227,"0"),$I8227))</f>
        <v/>
      </c>
    </row>
    <row r="8228">
      <c r="B8228" s="25" t="n"/>
      <c r="I8228" s="25" t="n"/>
      <c r="U8228" s="19">
        <f>IF($V8228&lt;&gt;'設定'!$C$4,N(U8227),IF(OR(NOT(COUNTIF('商品マスタ'!$B$6:$B$1005,$W8228)=0),COUNTIFS('①在庫を貼る'!$V$6:$V$10005,$V8228,'①在庫を貼る'!$W$6:$W$10005,$W8228)&gt;0),N(U8227),N(U8227)+1))</f>
        <v/>
      </c>
      <c r="V8228" s="19">
        <f>IF($B8228="","",TEXT($B8228,"0000"))</f>
        <v/>
      </c>
      <c r="W8228" s="19">
        <f>IF($I8228="","",IF(ISNUMBER($I8228),TEXT($I8228,"0"),$I8228))</f>
        <v/>
      </c>
    </row>
    <row r="8229">
      <c r="B8229" s="25" t="n"/>
      <c r="I8229" s="25" t="n"/>
      <c r="U8229" s="19">
        <f>IF($V8229&lt;&gt;'設定'!$C$4,N(U8228),IF(OR(NOT(COUNTIF('商品マスタ'!$B$6:$B$1005,$W8229)=0),COUNTIFS('①在庫を貼る'!$V$6:$V$10005,$V8229,'①在庫を貼る'!$W$6:$W$10005,$W8229)&gt;0),N(U8228),N(U8228)+1))</f>
        <v/>
      </c>
      <c r="V8229" s="19">
        <f>IF($B8229="","",TEXT($B8229,"0000"))</f>
        <v/>
      </c>
      <c r="W8229" s="19">
        <f>IF($I8229="","",IF(ISNUMBER($I8229),TEXT($I8229,"0"),$I8229))</f>
        <v/>
      </c>
    </row>
    <row r="8230">
      <c r="B8230" s="25" t="n"/>
      <c r="I8230" s="25" t="n"/>
      <c r="U8230" s="19">
        <f>IF($V8230&lt;&gt;'設定'!$C$4,N(U8229),IF(OR(NOT(COUNTIF('商品マスタ'!$B$6:$B$1005,$W8230)=0),COUNTIFS('①在庫を貼る'!$V$6:$V$10005,$V8230,'①在庫を貼る'!$W$6:$W$10005,$W8230)&gt;0),N(U8229),N(U8229)+1))</f>
        <v/>
      </c>
      <c r="V8230" s="19">
        <f>IF($B8230="","",TEXT($B8230,"0000"))</f>
        <v/>
      </c>
      <c r="W8230" s="19">
        <f>IF($I8230="","",IF(ISNUMBER($I8230),TEXT($I8230,"0"),$I8230))</f>
        <v/>
      </c>
    </row>
    <row r="8231">
      <c r="B8231" s="25" t="n"/>
      <c r="I8231" s="25" t="n"/>
      <c r="U8231" s="19">
        <f>IF($V8231&lt;&gt;'設定'!$C$4,N(U8230),IF(OR(NOT(COUNTIF('商品マスタ'!$B$6:$B$1005,$W8231)=0),COUNTIFS('①在庫を貼る'!$V$6:$V$10005,$V8231,'①在庫を貼る'!$W$6:$W$10005,$W8231)&gt;0),N(U8230),N(U8230)+1))</f>
        <v/>
      </c>
      <c r="V8231" s="19">
        <f>IF($B8231="","",TEXT($B8231,"0000"))</f>
        <v/>
      </c>
      <c r="W8231" s="19">
        <f>IF($I8231="","",IF(ISNUMBER($I8231),TEXT($I8231,"0"),$I8231))</f>
        <v/>
      </c>
    </row>
    <row r="8232">
      <c r="B8232" s="25" t="n"/>
      <c r="I8232" s="25" t="n"/>
      <c r="U8232" s="19">
        <f>IF($V8232&lt;&gt;'設定'!$C$4,N(U8231),IF(OR(NOT(COUNTIF('商品マスタ'!$B$6:$B$1005,$W8232)=0),COUNTIFS('①在庫を貼る'!$V$6:$V$10005,$V8232,'①在庫を貼る'!$W$6:$W$10005,$W8232)&gt;0),N(U8231),N(U8231)+1))</f>
        <v/>
      </c>
      <c r="V8232" s="19">
        <f>IF($B8232="","",TEXT($B8232,"0000"))</f>
        <v/>
      </c>
      <c r="W8232" s="19">
        <f>IF($I8232="","",IF(ISNUMBER($I8232),TEXT($I8232,"0"),$I8232))</f>
        <v/>
      </c>
    </row>
    <row r="8233">
      <c r="B8233" s="25" t="n"/>
      <c r="I8233" s="25" t="n"/>
      <c r="U8233" s="19">
        <f>IF($V8233&lt;&gt;'設定'!$C$4,N(U8232),IF(OR(NOT(COUNTIF('商品マスタ'!$B$6:$B$1005,$W8233)=0),COUNTIFS('①在庫を貼る'!$V$6:$V$10005,$V8233,'①在庫を貼る'!$W$6:$W$10005,$W8233)&gt;0),N(U8232),N(U8232)+1))</f>
        <v/>
      </c>
      <c r="V8233" s="19">
        <f>IF($B8233="","",TEXT($B8233,"0000"))</f>
        <v/>
      </c>
      <c r="W8233" s="19">
        <f>IF($I8233="","",IF(ISNUMBER($I8233),TEXT($I8233,"0"),$I8233))</f>
        <v/>
      </c>
    </row>
    <row r="8234">
      <c r="B8234" s="25" t="n"/>
      <c r="I8234" s="25" t="n"/>
      <c r="U8234" s="19">
        <f>IF($V8234&lt;&gt;'設定'!$C$4,N(U8233),IF(OR(NOT(COUNTIF('商品マスタ'!$B$6:$B$1005,$W8234)=0),COUNTIFS('①在庫を貼る'!$V$6:$V$10005,$V8234,'①在庫を貼る'!$W$6:$W$10005,$W8234)&gt;0),N(U8233),N(U8233)+1))</f>
        <v/>
      </c>
      <c r="V8234" s="19">
        <f>IF($B8234="","",TEXT($B8234,"0000"))</f>
        <v/>
      </c>
      <c r="W8234" s="19">
        <f>IF($I8234="","",IF(ISNUMBER($I8234),TEXT($I8234,"0"),$I8234))</f>
        <v/>
      </c>
    </row>
    <row r="8235">
      <c r="B8235" s="25" t="n"/>
      <c r="I8235" s="25" t="n"/>
      <c r="U8235" s="19">
        <f>IF($V8235&lt;&gt;'設定'!$C$4,N(U8234),IF(OR(NOT(COUNTIF('商品マスタ'!$B$6:$B$1005,$W8235)=0),COUNTIFS('①在庫を貼る'!$V$6:$V$10005,$V8235,'①在庫を貼る'!$W$6:$W$10005,$W8235)&gt;0),N(U8234),N(U8234)+1))</f>
        <v/>
      </c>
      <c r="V8235" s="19">
        <f>IF($B8235="","",TEXT($B8235,"0000"))</f>
        <v/>
      </c>
      <c r="W8235" s="19">
        <f>IF($I8235="","",IF(ISNUMBER($I8235),TEXT($I8235,"0"),$I8235))</f>
        <v/>
      </c>
    </row>
    <row r="8236">
      <c r="B8236" s="25" t="n"/>
      <c r="I8236" s="25" t="n"/>
      <c r="U8236" s="19">
        <f>IF($V8236&lt;&gt;'設定'!$C$4,N(U8235),IF(OR(NOT(COUNTIF('商品マスタ'!$B$6:$B$1005,$W8236)=0),COUNTIFS('①在庫を貼る'!$V$6:$V$10005,$V8236,'①在庫を貼る'!$W$6:$W$10005,$W8236)&gt;0),N(U8235),N(U8235)+1))</f>
        <v/>
      </c>
      <c r="V8236" s="19">
        <f>IF($B8236="","",TEXT($B8236,"0000"))</f>
        <v/>
      </c>
      <c r="W8236" s="19">
        <f>IF($I8236="","",IF(ISNUMBER($I8236),TEXT($I8236,"0"),$I8236))</f>
        <v/>
      </c>
    </row>
    <row r="8237">
      <c r="B8237" s="25" t="n"/>
      <c r="I8237" s="25" t="n"/>
      <c r="U8237" s="19">
        <f>IF($V8237&lt;&gt;'設定'!$C$4,N(U8236),IF(OR(NOT(COUNTIF('商品マスタ'!$B$6:$B$1005,$W8237)=0),COUNTIFS('①在庫を貼る'!$V$6:$V$10005,$V8237,'①在庫を貼る'!$W$6:$W$10005,$W8237)&gt;0),N(U8236),N(U8236)+1))</f>
        <v/>
      </c>
      <c r="V8237" s="19">
        <f>IF($B8237="","",TEXT($B8237,"0000"))</f>
        <v/>
      </c>
      <c r="W8237" s="19">
        <f>IF($I8237="","",IF(ISNUMBER($I8237),TEXT($I8237,"0"),$I8237))</f>
        <v/>
      </c>
    </row>
    <row r="8238">
      <c r="B8238" s="25" t="n"/>
      <c r="I8238" s="25" t="n"/>
      <c r="U8238" s="19">
        <f>IF($V8238&lt;&gt;'設定'!$C$4,N(U8237),IF(OR(NOT(COUNTIF('商品マスタ'!$B$6:$B$1005,$W8238)=0),COUNTIFS('①在庫を貼る'!$V$6:$V$10005,$V8238,'①在庫を貼る'!$W$6:$W$10005,$W8238)&gt;0),N(U8237),N(U8237)+1))</f>
        <v/>
      </c>
      <c r="V8238" s="19">
        <f>IF($B8238="","",TEXT($B8238,"0000"))</f>
        <v/>
      </c>
      <c r="W8238" s="19">
        <f>IF($I8238="","",IF(ISNUMBER($I8238),TEXT($I8238,"0"),$I8238))</f>
        <v/>
      </c>
    </row>
    <row r="8239">
      <c r="B8239" s="25" t="n"/>
      <c r="I8239" s="25" t="n"/>
      <c r="U8239" s="19">
        <f>IF($V8239&lt;&gt;'設定'!$C$4,N(U8238),IF(OR(NOT(COUNTIF('商品マスタ'!$B$6:$B$1005,$W8239)=0),COUNTIFS('①在庫を貼る'!$V$6:$V$10005,$V8239,'①在庫を貼る'!$W$6:$W$10005,$W8239)&gt;0),N(U8238),N(U8238)+1))</f>
        <v/>
      </c>
      <c r="V8239" s="19">
        <f>IF($B8239="","",TEXT($B8239,"0000"))</f>
        <v/>
      </c>
      <c r="W8239" s="19">
        <f>IF($I8239="","",IF(ISNUMBER($I8239),TEXT($I8239,"0"),$I8239))</f>
        <v/>
      </c>
    </row>
    <row r="8240">
      <c r="B8240" s="25" t="n"/>
      <c r="I8240" s="25" t="n"/>
      <c r="U8240" s="19">
        <f>IF($V8240&lt;&gt;'設定'!$C$4,N(U8239),IF(OR(NOT(COUNTIF('商品マスタ'!$B$6:$B$1005,$W8240)=0),COUNTIFS('①在庫を貼る'!$V$6:$V$10005,$V8240,'①在庫を貼る'!$W$6:$W$10005,$W8240)&gt;0),N(U8239),N(U8239)+1))</f>
        <v/>
      </c>
      <c r="V8240" s="19">
        <f>IF($B8240="","",TEXT($B8240,"0000"))</f>
        <v/>
      </c>
      <c r="W8240" s="19">
        <f>IF($I8240="","",IF(ISNUMBER($I8240),TEXT($I8240,"0"),$I8240))</f>
        <v/>
      </c>
    </row>
    <row r="8241">
      <c r="B8241" s="25" t="n"/>
      <c r="I8241" s="25" t="n"/>
      <c r="U8241" s="19">
        <f>IF($V8241&lt;&gt;'設定'!$C$4,N(U8240),IF(OR(NOT(COUNTIF('商品マスタ'!$B$6:$B$1005,$W8241)=0),COUNTIFS('①在庫を貼る'!$V$6:$V$10005,$V8241,'①在庫を貼る'!$W$6:$W$10005,$W8241)&gt;0),N(U8240),N(U8240)+1))</f>
        <v/>
      </c>
      <c r="V8241" s="19">
        <f>IF($B8241="","",TEXT($B8241,"0000"))</f>
        <v/>
      </c>
      <c r="W8241" s="19">
        <f>IF($I8241="","",IF(ISNUMBER($I8241),TEXT($I8241,"0"),$I8241))</f>
        <v/>
      </c>
    </row>
    <row r="8242">
      <c r="B8242" s="25" t="n"/>
      <c r="I8242" s="25" t="n"/>
      <c r="U8242" s="19">
        <f>IF($V8242&lt;&gt;'設定'!$C$4,N(U8241),IF(OR(NOT(COUNTIF('商品マスタ'!$B$6:$B$1005,$W8242)=0),COUNTIFS('①在庫を貼る'!$V$6:$V$10005,$V8242,'①在庫を貼る'!$W$6:$W$10005,$W8242)&gt;0),N(U8241),N(U8241)+1))</f>
        <v/>
      </c>
      <c r="V8242" s="19">
        <f>IF($B8242="","",TEXT($B8242,"0000"))</f>
        <v/>
      </c>
      <c r="W8242" s="19">
        <f>IF($I8242="","",IF(ISNUMBER($I8242),TEXT($I8242,"0"),$I8242))</f>
        <v/>
      </c>
    </row>
    <row r="8243">
      <c r="B8243" s="25" t="n"/>
      <c r="I8243" s="25" t="n"/>
      <c r="U8243" s="19">
        <f>IF($V8243&lt;&gt;'設定'!$C$4,N(U8242),IF(OR(NOT(COUNTIF('商品マスタ'!$B$6:$B$1005,$W8243)=0),COUNTIFS('①在庫を貼る'!$V$6:$V$10005,$V8243,'①在庫を貼る'!$W$6:$W$10005,$W8243)&gt;0),N(U8242),N(U8242)+1))</f>
        <v/>
      </c>
      <c r="V8243" s="19">
        <f>IF($B8243="","",TEXT($B8243,"0000"))</f>
        <v/>
      </c>
      <c r="W8243" s="19">
        <f>IF($I8243="","",IF(ISNUMBER($I8243),TEXT($I8243,"0"),$I8243))</f>
        <v/>
      </c>
    </row>
    <row r="8244">
      <c r="B8244" s="25" t="n"/>
      <c r="I8244" s="25" t="n"/>
      <c r="U8244" s="19">
        <f>IF($V8244&lt;&gt;'設定'!$C$4,N(U8243),IF(OR(NOT(COUNTIF('商品マスタ'!$B$6:$B$1005,$W8244)=0),COUNTIFS('①在庫を貼る'!$V$6:$V$10005,$V8244,'①在庫を貼る'!$W$6:$W$10005,$W8244)&gt;0),N(U8243),N(U8243)+1))</f>
        <v/>
      </c>
      <c r="V8244" s="19">
        <f>IF($B8244="","",TEXT($B8244,"0000"))</f>
        <v/>
      </c>
      <c r="W8244" s="19">
        <f>IF($I8244="","",IF(ISNUMBER($I8244),TEXT($I8244,"0"),$I8244))</f>
        <v/>
      </c>
    </row>
    <row r="8245">
      <c r="B8245" s="25" t="n"/>
      <c r="I8245" s="25" t="n"/>
      <c r="U8245" s="19">
        <f>IF($V8245&lt;&gt;'設定'!$C$4,N(U8244),IF(OR(NOT(COUNTIF('商品マスタ'!$B$6:$B$1005,$W8245)=0),COUNTIFS('①在庫を貼る'!$V$6:$V$10005,$V8245,'①在庫を貼る'!$W$6:$W$10005,$W8245)&gt;0),N(U8244),N(U8244)+1))</f>
        <v/>
      </c>
      <c r="V8245" s="19">
        <f>IF($B8245="","",TEXT($B8245,"0000"))</f>
        <v/>
      </c>
      <c r="W8245" s="19">
        <f>IF($I8245="","",IF(ISNUMBER($I8245),TEXT($I8245,"0"),$I8245))</f>
        <v/>
      </c>
    </row>
    <row r="8246">
      <c r="B8246" s="25" t="n"/>
      <c r="I8246" s="25" t="n"/>
      <c r="U8246" s="19">
        <f>IF($V8246&lt;&gt;'設定'!$C$4,N(U8245),IF(OR(NOT(COUNTIF('商品マスタ'!$B$6:$B$1005,$W8246)=0),COUNTIFS('①在庫を貼る'!$V$6:$V$10005,$V8246,'①在庫を貼る'!$W$6:$W$10005,$W8246)&gt;0),N(U8245),N(U8245)+1))</f>
        <v/>
      </c>
      <c r="V8246" s="19">
        <f>IF($B8246="","",TEXT($B8246,"0000"))</f>
        <v/>
      </c>
      <c r="W8246" s="19">
        <f>IF($I8246="","",IF(ISNUMBER($I8246),TEXT($I8246,"0"),$I8246))</f>
        <v/>
      </c>
    </row>
    <row r="8247">
      <c r="B8247" s="25" t="n"/>
      <c r="I8247" s="25" t="n"/>
      <c r="U8247" s="19">
        <f>IF($V8247&lt;&gt;'設定'!$C$4,N(U8246),IF(OR(NOT(COUNTIF('商品マスタ'!$B$6:$B$1005,$W8247)=0),COUNTIFS('①在庫を貼る'!$V$6:$V$10005,$V8247,'①在庫を貼る'!$W$6:$W$10005,$W8247)&gt;0),N(U8246),N(U8246)+1))</f>
        <v/>
      </c>
      <c r="V8247" s="19">
        <f>IF($B8247="","",TEXT($B8247,"0000"))</f>
        <v/>
      </c>
      <c r="W8247" s="19">
        <f>IF($I8247="","",IF(ISNUMBER($I8247),TEXT($I8247,"0"),$I8247))</f>
        <v/>
      </c>
    </row>
    <row r="8248">
      <c r="B8248" s="25" t="n"/>
      <c r="I8248" s="25" t="n"/>
      <c r="U8248" s="19">
        <f>IF($V8248&lt;&gt;'設定'!$C$4,N(U8247),IF(OR(NOT(COUNTIF('商品マスタ'!$B$6:$B$1005,$W8248)=0),COUNTIFS('①在庫を貼る'!$V$6:$V$10005,$V8248,'①在庫を貼る'!$W$6:$W$10005,$W8248)&gt;0),N(U8247),N(U8247)+1))</f>
        <v/>
      </c>
      <c r="V8248" s="19">
        <f>IF($B8248="","",TEXT($B8248,"0000"))</f>
        <v/>
      </c>
      <c r="W8248" s="19">
        <f>IF($I8248="","",IF(ISNUMBER($I8248),TEXT($I8248,"0"),$I8248))</f>
        <v/>
      </c>
    </row>
    <row r="8249">
      <c r="B8249" s="25" t="n"/>
      <c r="I8249" s="25" t="n"/>
      <c r="U8249" s="19">
        <f>IF($V8249&lt;&gt;'設定'!$C$4,N(U8248),IF(OR(NOT(COUNTIF('商品マスタ'!$B$6:$B$1005,$W8249)=0),COUNTIFS('①在庫を貼る'!$V$6:$V$10005,$V8249,'①在庫を貼る'!$W$6:$W$10005,$W8249)&gt;0),N(U8248),N(U8248)+1))</f>
        <v/>
      </c>
      <c r="V8249" s="19">
        <f>IF($B8249="","",TEXT($B8249,"0000"))</f>
        <v/>
      </c>
      <c r="W8249" s="19">
        <f>IF($I8249="","",IF(ISNUMBER($I8249),TEXT($I8249,"0"),$I8249))</f>
        <v/>
      </c>
    </row>
    <row r="8250">
      <c r="B8250" s="25" t="n"/>
      <c r="I8250" s="25" t="n"/>
      <c r="U8250" s="19">
        <f>IF($V8250&lt;&gt;'設定'!$C$4,N(U8249),IF(OR(NOT(COUNTIF('商品マスタ'!$B$6:$B$1005,$W8250)=0),COUNTIFS('①在庫を貼る'!$V$6:$V$10005,$V8250,'①在庫を貼る'!$W$6:$W$10005,$W8250)&gt;0),N(U8249),N(U8249)+1))</f>
        <v/>
      </c>
      <c r="V8250" s="19">
        <f>IF($B8250="","",TEXT($B8250,"0000"))</f>
        <v/>
      </c>
      <c r="W8250" s="19">
        <f>IF($I8250="","",IF(ISNUMBER($I8250),TEXT($I8250,"0"),$I8250))</f>
        <v/>
      </c>
    </row>
    <row r="8251">
      <c r="B8251" s="25" t="n"/>
      <c r="I8251" s="25" t="n"/>
      <c r="U8251" s="19">
        <f>IF($V8251&lt;&gt;'設定'!$C$4,N(U8250),IF(OR(NOT(COUNTIF('商品マスタ'!$B$6:$B$1005,$W8251)=0),COUNTIFS('①在庫を貼る'!$V$6:$V$10005,$V8251,'①在庫を貼る'!$W$6:$W$10005,$W8251)&gt;0),N(U8250),N(U8250)+1))</f>
        <v/>
      </c>
      <c r="V8251" s="19">
        <f>IF($B8251="","",TEXT($B8251,"0000"))</f>
        <v/>
      </c>
      <c r="W8251" s="19">
        <f>IF($I8251="","",IF(ISNUMBER($I8251),TEXT($I8251,"0"),$I8251))</f>
        <v/>
      </c>
    </row>
    <row r="8252">
      <c r="B8252" s="25" t="n"/>
      <c r="I8252" s="25" t="n"/>
      <c r="U8252" s="19">
        <f>IF($V8252&lt;&gt;'設定'!$C$4,N(U8251),IF(OR(NOT(COUNTIF('商品マスタ'!$B$6:$B$1005,$W8252)=0),COUNTIFS('①在庫を貼る'!$V$6:$V$10005,$V8252,'①在庫を貼る'!$W$6:$W$10005,$W8252)&gt;0),N(U8251),N(U8251)+1))</f>
        <v/>
      </c>
      <c r="V8252" s="19">
        <f>IF($B8252="","",TEXT($B8252,"0000"))</f>
        <v/>
      </c>
      <c r="W8252" s="19">
        <f>IF($I8252="","",IF(ISNUMBER($I8252),TEXT($I8252,"0"),$I8252))</f>
        <v/>
      </c>
    </row>
    <row r="8253">
      <c r="B8253" s="25" t="n"/>
      <c r="I8253" s="25" t="n"/>
      <c r="U8253" s="19">
        <f>IF($V8253&lt;&gt;'設定'!$C$4,N(U8252),IF(OR(NOT(COUNTIF('商品マスタ'!$B$6:$B$1005,$W8253)=0),COUNTIFS('①在庫を貼る'!$V$6:$V$10005,$V8253,'①在庫を貼る'!$W$6:$W$10005,$W8253)&gt;0),N(U8252),N(U8252)+1))</f>
        <v/>
      </c>
      <c r="V8253" s="19">
        <f>IF($B8253="","",TEXT($B8253,"0000"))</f>
        <v/>
      </c>
      <c r="W8253" s="19">
        <f>IF($I8253="","",IF(ISNUMBER($I8253),TEXT($I8253,"0"),$I8253))</f>
        <v/>
      </c>
    </row>
    <row r="8254">
      <c r="B8254" s="25" t="n"/>
      <c r="I8254" s="25" t="n"/>
      <c r="U8254" s="19">
        <f>IF($V8254&lt;&gt;'設定'!$C$4,N(U8253),IF(OR(NOT(COUNTIF('商品マスタ'!$B$6:$B$1005,$W8254)=0),COUNTIFS('①在庫を貼る'!$V$6:$V$10005,$V8254,'①在庫を貼る'!$W$6:$W$10005,$W8254)&gt;0),N(U8253),N(U8253)+1))</f>
        <v/>
      </c>
      <c r="V8254" s="19">
        <f>IF($B8254="","",TEXT($B8254,"0000"))</f>
        <v/>
      </c>
      <c r="W8254" s="19">
        <f>IF($I8254="","",IF(ISNUMBER($I8254),TEXT($I8254,"0"),$I8254))</f>
        <v/>
      </c>
    </row>
    <row r="8255">
      <c r="B8255" s="25" t="n"/>
      <c r="I8255" s="25" t="n"/>
      <c r="U8255" s="19">
        <f>IF($V8255&lt;&gt;'設定'!$C$4,N(U8254),IF(OR(NOT(COUNTIF('商品マスタ'!$B$6:$B$1005,$W8255)=0),COUNTIFS('①在庫を貼る'!$V$6:$V$10005,$V8255,'①在庫を貼る'!$W$6:$W$10005,$W8255)&gt;0),N(U8254),N(U8254)+1))</f>
        <v/>
      </c>
      <c r="V8255" s="19">
        <f>IF($B8255="","",TEXT($B8255,"0000"))</f>
        <v/>
      </c>
      <c r="W8255" s="19">
        <f>IF($I8255="","",IF(ISNUMBER($I8255),TEXT($I8255,"0"),$I8255))</f>
        <v/>
      </c>
    </row>
    <row r="8256">
      <c r="B8256" s="25" t="n"/>
      <c r="I8256" s="25" t="n"/>
      <c r="U8256" s="19">
        <f>IF($V8256&lt;&gt;'設定'!$C$4,N(U8255),IF(OR(NOT(COUNTIF('商品マスタ'!$B$6:$B$1005,$W8256)=0),COUNTIFS('①在庫を貼る'!$V$6:$V$10005,$V8256,'①在庫を貼る'!$W$6:$W$10005,$W8256)&gt;0),N(U8255),N(U8255)+1))</f>
        <v/>
      </c>
      <c r="V8256" s="19">
        <f>IF($B8256="","",TEXT($B8256,"0000"))</f>
        <v/>
      </c>
      <c r="W8256" s="19">
        <f>IF($I8256="","",IF(ISNUMBER($I8256),TEXT($I8256,"0"),$I8256))</f>
        <v/>
      </c>
    </row>
    <row r="8257">
      <c r="B8257" s="25" t="n"/>
      <c r="I8257" s="25" t="n"/>
      <c r="U8257" s="19">
        <f>IF($V8257&lt;&gt;'設定'!$C$4,N(U8256),IF(OR(NOT(COUNTIF('商品マスタ'!$B$6:$B$1005,$W8257)=0),COUNTIFS('①在庫を貼る'!$V$6:$V$10005,$V8257,'①在庫を貼る'!$W$6:$W$10005,$W8257)&gt;0),N(U8256),N(U8256)+1))</f>
        <v/>
      </c>
      <c r="V8257" s="19">
        <f>IF($B8257="","",TEXT($B8257,"0000"))</f>
        <v/>
      </c>
      <c r="W8257" s="19">
        <f>IF($I8257="","",IF(ISNUMBER($I8257),TEXT($I8257,"0"),$I8257))</f>
        <v/>
      </c>
    </row>
    <row r="8258">
      <c r="B8258" s="25" t="n"/>
      <c r="I8258" s="25" t="n"/>
      <c r="U8258" s="19">
        <f>IF($V8258&lt;&gt;'設定'!$C$4,N(U8257),IF(OR(NOT(COUNTIF('商品マスタ'!$B$6:$B$1005,$W8258)=0),COUNTIFS('①在庫を貼る'!$V$6:$V$10005,$V8258,'①在庫を貼る'!$W$6:$W$10005,$W8258)&gt;0),N(U8257),N(U8257)+1))</f>
        <v/>
      </c>
      <c r="V8258" s="19">
        <f>IF($B8258="","",TEXT($B8258,"0000"))</f>
        <v/>
      </c>
      <c r="W8258" s="19">
        <f>IF($I8258="","",IF(ISNUMBER($I8258),TEXT($I8258,"0"),$I8258))</f>
        <v/>
      </c>
    </row>
    <row r="8259">
      <c r="B8259" s="25" t="n"/>
      <c r="I8259" s="25" t="n"/>
      <c r="U8259" s="19">
        <f>IF($V8259&lt;&gt;'設定'!$C$4,N(U8258),IF(OR(NOT(COUNTIF('商品マスタ'!$B$6:$B$1005,$W8259)=0),COUNTIFS('①在庫を貼る'!$V$6:$V$10005,$V8259,'①在庫を貼る'!$W$6:$W$10005,$W8259)&gt;0),N(U8258),N(U8258)+1))</f>
        <v/>
      </c>
      <c r="V8259" s="19">
        <f>IF($B8259="","",TEXT($B8259,"0000"))</f>
        <v/>
      </c>
      <c r="W8259" s="19">
        <f>IF($I8259="","",IF(ISNUMBER($I8259),TEXT($I8259,"0"),$I8259))</f>
        <v/>
      </c>
    </row>
    <row r="8260">
      <c r="B8260" s="25" t="n"/>
      <c r="I8260" s="25" t="n"/>
      <c r="U8260" s="19">
        <f>IF($V8260&lt;&gt;'設定'!$C$4,N(U8259),IF(OR(NOT(COUNTIF('商品マスタ'!$B$6:$B$1005,$W8260)=0),COUNTIFS('①在庫を貼る'!$V$6:$V$10005,$V8260,'①在庫を貼る'!$W$6:$W$10005,$W8260)&gt;0),N(U8259),N(U8259)+1))</f>
        <v/>
      </c>
      <c r="V8260" s="19">
        <f>IF($B8260="","",TEXT($B8260,"0000"))</f>
        <v/>
      </c>
      <c r="W8260" s="19">
        <f>IF($I8260="","",IF(ISNUMBER($I8260),TEXT($I8260,"0"),$I8260))</f>
        <v/>
      </c>
    </row>
    <row r="8261">
      <c r="B8261" s="25" t="n"/>
      <c r="I8261" s="25" t="n"/>
      <c r="U8261" s="19">
        <f>IF($V8261&lt;&gt;'設定'!$C$4,N(U8260),IF(OR(NOT(COUNTIF('商品マスタ'!$B$6:$B$1005,$W8261)=0),COUNTIFS('①在庫を貼る'!$V$6:$V$10005,$V8261,'①在庫を貼る'!$W$6:$W$10005,$W8261)&gt;0),N(U8260),N(U8260)+1))</f>
        <v/>
      </c>
      <c r="V8261" s="19">
        <f>IF($B8261="","",TEXT($B8261,"0000"))</f>
        <v/>
      </c>
      <c r="W8261" s="19">
        <f>IF($I8261="","",IF(ISNUMBER($I8261),TEXT($I8261,"0"),$I8261))</f>
        <v/>
      </c>
    </row>
    <row r="8262">
      <c r="B8262" s="25" t="n"/>
      <c r="I8262" s="25" t="n"/>
      <c r="U8262" s="19">
        <f>IF($V8262&lt;&gt;'設定'!$C$4,N(U8261),IF(OR(NOT(COUNTIF('商品マスタ'!$B$6:$B$1005,$W8262)=0),COUNTIFS('①在庫を貼る'!$V$6:$V$10005,$V8262,'①在庫を貼る'!$W$6:$W$10005,$W8262)&gt;0),N(U8261),N(U8261)+1))</f>
        <v/>
      </c>
      <c r="V8262" s="19">
        <f>IF($B8262="","",TEXT($B8262,"0000"))</f>
        <v/>
      </c>
      <c r="W8262" s="19">
        <f>IF($I8262="","",IF(ISNUMBER($I8262),TEXT($I8262,"0"),$I8262))</f>
        <v/>
      </c>
    </row>
    <row r="8263">
      <c r="B8263" s="25" t="n"/>
      <c r="I8263" s="25" t="n"/>
      <c r="U8263" s="19">
        <f>IF($V8263&lt;&gt;'設定'!$C$4,N(U8262),IF(OR(NOT(COUNTIF('商品マスタ'!$B$6:$B$1005,$W8263)=0),COUNTIFS('①在庫を貼る'!$V$6:$V$10005,$V8263,'①在庫を貼る'!$W$6:$W$10005,$W8263)&gt;0),N(U8262),N(U8262)+1))</f>
        <v/>
      </c>
      <c r="V8263" s="19">
        <f>IF($B8263="","",TEXT($B8263,"0000"))</f>
        <v/>
      </c>
      <c r="W8263" s="19">
        <f>IF($I8263="","",IF(ISNUMBER($I8263),TEXT($I8263,"0"),$I8263))</f>
        <v/>
      </c>
    </row>
    <row r="8264">
      <c r="B8264" s="25" t="n"/>
      <c r="I8264" s="25" t="n"/>
      <c r="U8264" s="19">
        <f>IF($V8264&lt;&gt;'設定'!$C$4,N(U8263),IF(OR(NOT(COUNTIF('商品マスタ'!$B$6:$B$1005,$W8264)=0),COUNTIFS('①在庫を貼る'!$V$6:$V$10005,$V8264,'①在庫を貼る'!$W$6:$W$10005,$W8264)&gt;0),N(U8263),N(U8263)+1))</f>
        <v/>
      </c>
      <c r="V8264" s="19">
        <f>IF($B8264="","",TEXT($B8264,"0000"))</f>
        <v/>
      </c>
      <c r="W8264" s="19">
        <f>IF($I8264="","",IF(ISNUMBER($I8264),TEXT($I8264,"0"),$I8264))</f>
        <v/>
      </c>
    </row>
    <row r="8265">
      <c r="B8265" s="25" t="n"/>
      <c r="I8265" s="25" t="n"/>
      <c r="U8265" s="19">
        <f>IF($V8265&lt;&gt;'設定'!$C$4,N(U8264),IF(OR(NOT(COUNTIF('商品マスタ'!$B$6:$B$1005,$W8265)=0),COUNTIFS('①在庫を貼る'!$V$6:$V$10005,$V8265,'①在庫を貼る'!$W$6:$W$10005,$W8265)&gt;0),N(U8264),N(U8264)+1))</f>
        <v/>
      </c>
      <c r="V8265" s="19">
        <f>IF($B8265="","",TEXT($B8265,"0000"))</f>
        <v/>
      </c>
      <c r="W8265" s="19">
        <f>IF($I8265="","",IF(ISNUMBER($I8265),TEXT($I8265,"0"),$I8265))</f>
        <v/>
      </c>
    </row>
    <row r="8266">
      <c r="B8266" s="25" t="n"/>
      <c r="I8266" s="25" t="n"/>
      <c r="U8266" s="19">
        <f>IF($V8266&lt;&gt;'設定'!$C$4,N(U8265),IF(OR(NOT(COUNTIF('商品マスタ'!$B$6:$B$1005,$W8266)=0),COUNTIFS('①在庫を貼る'!$V$6:$V$10005,$V8266,'①在庫を貼る'!$W$6:$W$10005,$W8266)&gt;0),N(U8265),N(U8265)+1))</f>
        <v/>
      </c>
      <c r="V8266" s="19">
        <f>IF($B8266="","",TEXT($B8266,"0000"))</f>
        <v/>
      </c>
      <c r="W8266" s="19">
        <f>IF($I8266="","",IF(ISNUMBER($I8266),TEXT($I8266,"0"),$I8266))</f>
        <v/>
      </c>
    </row>
    <row r="8267">
      <c r="B8267" s="25" t="n"/>
      <c r="I8267" s="25" t="n"/>
      <c r="U8267" s="19">
        <f>IF($V8267&lt;&gt;'設定'!$C$4,N(U8266),IF(OR(NOT(COUNTIF('商品マスタ'!$B$6:$B$1005,$W8267)=0),COUNTIFS('①在庫を貼る'!$V$6:$V$10005,$V8267,'①在庫を貼る'!$W$6:$W$10005,$W8267)&gt;0),N(U8266),N(U8266)+1))</f>
        <v/>
      </c>
      <c r="V8267" s="19">
        <f>IF($B8267="","",TEXT($B8267,"0000"))</f>
        <v/>
      </c>
      <c r="W8267" s="19">
        <f>IF($I8267="","",IF(ISNUMBER($I8267),TEXT($I8267,"0"),$I8267))</f>
        <v/>
      </c>
    </row>
    <row r="8268">
      <c r="B8268" s="25" t="n"/>
      <c r="I8268" s="25" t="n"/>
      <c r="U8268" s="19">
        <f>IF($V8268&lt;&gt;'設定'!$C$4,N(U8267),IF(OR(NOT(COUNTIF('商品マスタ'!$B$6:$B$1005,$W8268)=0),COUNTIFS('①在庫を貼る'!$V$6:$V$10005,$V8268,'①在庫を貼る'!$W$6:$W$10005,$W8268)&gt;0),N(U8267),N(U8267)+1))</f>
        <v/>
      </c>
      <c r="V8268" s="19">
        <f>IF($B8268="","",TEXT($B8268,"0000"))</f>
        <v/>
      </c>
      <c r="W8268" s="19">
        <f>IF($I8268="","",IF(ISNUMBER($I8268),TEXT($I8268,"0"),$I8268))</f>
        <v/>
      </c>
    </row>
    <row r="8269">
      <c r="B8269" s="25" t="n"/>
      <c r="I8269" s="25" t="n"/>
      <c r="U8269" s="19">
        <f>IF($V8269&lt;&gt;'設定'!$C$4,N(U8268),IF(OR(NOT(COUNTIF('商品マスタ'!$B$6:$B$1005,$W8269)=0),COUNTIFS('①在庫を貼る'!$V$6:$V$10005,$V8269,'①在庫を貼る'!$W$6:$W$10005,$W8269)&gt;0),N(U8268),N(U8268)+1))</f>
        <v/>
      </c>
      <c r="V8269" s="19">
        <f>IF($B8269="","",TEXT($B8269,"0000"))</f>
        <v/>
      </c>
      <c r="W8269" s="19">
        <f>IF($I8269="","",IF(ISNUMBER($I8269),TEXT($I8269,"0"),$I8269))</f>
        <v/>
      </c>
    </row>
    <row r="8270">
      <c r="B8270" s="25" t="n"/>
      <c r="I8270" s="25" t="n"/>
      <c r="U8270" s="19">
        <f>IF($V8270&lt;&gt;'設定'!$C$4,N(U8269),IF(OR(NOT(COUNTIF('商品マスタ'!$B$6:$B$1005,$W8270)=0),COUNTIFS('①在庫を貼る'!$V$6:$V$10005,$V8270,'①在庫を貼る'!$W$6:$W$10005,$W8270)&gt;0),N(U8269),N(U8269)+1))</f>
        <v/>
      </c>
      <c r="V8270" s="19">
        <f>IF($B8270="","",TEXT($B8270,"0000"))</f>
        <v/>
      </c>
      <c r="W8270" s="19">
        <f>IF($I8270="","",IF(ISNUMBER($I8270),TEXT($I8270,"0"),$I8270))</f>
        <v/>
      </c>
    </row>
    <row r="8271">
      <c r="B8271" s="25" t="n"/>
      <c r="I8271" s="25" t="n"/>
      <c r="U8271" s="19">
        <f>IF($V8271&lt;&gt;'設定'!$C$4,N(U8270),IF(OR(NOT(COUNTIF('商品マスタ'!$B$6:$B$1005,$W8271)=0),COUNTIFS('①在庫を貼る'!$V$6:$V$10005,$V8271,'①在庫を貼る'!$W$6:$W$10005,$W8271)&gt;0),N(U8270),N(U8270)+1))</f>
        <v/>
      </c>
      <c r="V8271" s="19">
        <f>IF($B8271="","",TEXT($B8271,"0000"))</f>
        <v/>
      </c>
      <c r="W8271" s="19">
        <f>IF($I8271="","",IF(ISNUMBER($I8271),TEXT($I8271,"0"),$I8271))</f>
        <v/>
      </c>
    </row>
    <row r="8272">
      <c r="B8272" s="25" t="n"/>
      <c r="I8272" s="25" t="n"/>
      <c r="U8272" s="19">
        <f>IF($V8272&lt;&gt;'設定'!$C$4,N(U8271),IF(OR(NOT(COUNTIF('商品マスタ'!$B$6:$B$1005,$W8272)=0),COUNTIFS('①在庫を貼る'!$V$6:$V$10005,$V8272,'①在庫を貼る'!$W$6:$W$10005,$W8272)&gt;0),N(U8271),N(U8271)+1))</f>
        <v/>
      </c>
      <c r="V8272" s="19">
        <f>IF($B8272="","",TEXT($B8272,"0000"))</f>
        <v/>
      </c>
      <c r="W8272" s="19">
        <f>IF($I8272="","",IF(ISNUMBER($I8272),TEXT($I8272,"0"),$I8272))</f>
        <v/>
      </c>
    </row>
    <row r="8273">
      <c r="B8273" s="25" t="n"/>
      <c r="I8273" s="25" t="n"/>
      <c r="U8273" s="19">
        <f>IF($V8273&lt;&gt;'設定'!$C$4,N(U8272),IF(OR(NOT(COUNTIF('商品マスタ'!$B$6:$B$1005,$W8273)=0),COUNTIFS('①在庫を貼る'!$V$6:$V$10005,$V8273,'①在庫を貼る'!$W$6:$W$10005,$W8273)&gt;0),N(U8272),N(U8272)+1))</f>
        <v/>
      </c>
      <c r="V8273" s="19">
        <f>IF($B8273="","",TEXT($B8273,"0000"))</f>
        <v/>
      </c>
      <c r="W8273" s="19">
        <f>IF($I8273="","",IF(ISNUMBER($I8273),TEXT($I8273,"0"),$I8273))</f>
        <v/>
      </c>
    </row>
    <row r="8274">
      <c r="B8274" s="25" t="n"/>
      <c r="I8274" s="25" t="n"/>
      <c r="U8274" s="19">
        <f>IF($V8274&lt;&gt;'設定'!$C$4,N(U8273),IF(OR(NOT(COUNTIF('商品マスタ'!$B$6:$B$1005,$W8274)=0),COUNTIFS('①在庫を貼る'!$V$6:$V$10005,$V8274,'①在庫を貼る'!$W$6:$W$10005,$W8274)&gt;0),N(U8273),N(U8273)+1))</f>
        <v/>
      </c>
      <c r="V8274" s="19">
        <f>IF($B8274="","",TEXT($B8274,"0000"))</f>
        <v/>
      </c>
      <c r="W8274" s="19">
        <f>IF($I8274="","",IF(ISNUMBER($I8274),TEXT($I8274,"0"),$I8274))</f>
        <v/>
      </c>
    </row>
    <row r="8275">
      <c r="B8275" s="25" t="n"/>
      <c r="I8275" s="25" t="n"/>
      <c r="U8275" s="19">
        <f>IF($V8275&lt;&gt;'設定'!$C$4,N(U8274),IF(OR(NOT(COUNTIF('商品マスタ'!$B$6:$B$1005,$W8275)=0),COUNTIFS('①在庫を貼る'!$V$6:$V$10005,$V8275,'①在庫を貼る'!$W$6:$W$10005,$W8275)&gt;0),N(U8274),N(U8274)+1))</f>
        <v/>
      </c>
      <c r="V8275" s="19">
        <f>IF($B8275="","",TEXT($B8275,"0000"))</f>
        <v/>
      </c>
      <c r="W8275" s="19">
        <f>IF($I8275="","",IF(ISNUMBER($I8275),TEXT($I8275,"0"),$I8275))</f>
        <v/>
      </c>
    </row>
    <row r="8276">
      <c r="B8276" s="25" t="n"/>
      <c r="I8276" s="25" t="n"/>
      <c r="U8276" s="19">
        <f>IF($V8276&lt;&gt;'設定'!$C$4,N(U8275),IF(OR(NOT(COUNTIF('商品マスタ'!$B$6:$B$1005,$W8276)=0),COUNTIFS('①在庫を貼る'!$V$6:$V$10005,$V8276,'①在庫を貼る'!$W$6:$W$10005,$W8276)&gt;0),N(U8275),N(U8275)+1))</f>
        <v/>
      </c>
      <c r="V8276" s="19">
        <f>IF($B8276="","",TEXT($B8276,"0000"))</f>
        <v/>
      </c>
      <c r="W8276" s="19">
        <f>IF($I8276="","",IF(ISNUMBER($I8276),TEXT($I8276,"0"),$I8276))</f>
        <v/>
      </c>
    </row>
    <row r="8277">
      <c r="B8277" s="25" t="n"/>
      <c r="I8277" s="25" t="n"/>
      <c r="U8277" s="19">
        <f>IF($V8277&lt;&gt;'設定'!$C$4,N(U8276),IF(OR(NOT(COUNTIF('商品マスタ'!$B$6:$B$1005,$W8277)=0),COUNTIFS('①在庫を貼る'!$V$6:$V$10005,$V8277,'①在庫を貼る'!$W$6:$W$10005,$W8277)&gt;0),N(U8276),N(U8276)+1))</f>
        <v/>
      </c>
      <c r="V8277" s="19">
        <f>IF($B8277="","",TEXT($B8277,"0000"))</f>
        <v/>
      </c>
      <c r="W8277" s="19">
        <f>IF($I8277="","",IF(ISNUMBER($I8277),TEXT($I8277,"0"),$I8277))</f>
        <v/>
      </c>
    </row>
    <row r="8278">
      <c r="B8278" s="25" t="n"/>
      <c r="I8278" s="25" t="n"/>
      <c r="U8278" s="19">
        <f>IF($V8278&lt;&gt;'設定'!$C$4,N(U8277),IF(OR(NOT(COUNTIF('商品マスタ'!$B$6:$B$1005,$W8278)=0),COUNTIFS('①在庫を貼る'!$V$6:$V$10005,$V8278,'①在庫を貼る'!$W$6:$W$10005,$W8278)&gt;0),N(U8277),N(U8277)+1))</f>
        <v/>
      </c>
      <c r="V8278" s="19">
        <f>IF($B8278="","",TEXT($B8278,"0000"))</f>
        <v/>
      </c>
      <c r="W8278" s="19">
        <f>IF($I8278="","",IF(ISNUMBER($I8278),TEXT($I8278,"0"),$I8278))</f>
        <v/>
      </c>
    </row>
    <row r="8279">
      <c r="B8279" s="25" t="n"/>
      <c r="I8279" s="25" t="n"/>
      <c r="U8279" s="19">
        <f>IF($V8279&lt;&gt;'設定'!$C$4,N(U8278),IF(OR(NOT(COUNTIF('商品マスタ'!$B$6:$B$1005,$W8279)=0),COUNTIFS('①在庫を貼る'!$V$6:$V$10005,$V8279,'①在庫を貼る'!$W$6:$W$10005,$W8279)&gt;0),N(U8278),N(U8278)+1))</f>
        <v/>
      </c>
      <c r="V8279" s="19">
        <f>IF($B8279="","",TEXT($B8279,"0000"))</f>
        <v/>
      </c>
      <c r="W8279" s="19">
        <f>IF($I8279="","",IF(ISNUMBER($I8279),TEXT($I8279,"0"),$I8279))</f>
        <v/>
      </c>
    </row>
    <row r="8280">
      <c r="B8280" s="25" t="n"/>
      <c r="I8280" s="25" t="n"/>
      <c r="U8280" s="19">
        <f>IF($V8280&lt;&gt;'設定'!$C$4,N(U8279),IF(OR(NOT(COUNTIF('商品マスタ'!$B$6:$B$1005,$W8280)=0),COUNTIFS('①在庫を貼る'!$V$6:$V$10005,$V8280,'①在庫を貼る'!$W$6:$W$10005,$W8280)&gt;0),N(U8279),N(U8279)+1))</f>
        <v/>
      </c>
      <c r="V8280" s="19">
        <f>IF($B8280="","",TEXT($B8280,"0000"))</f>
        <v/>
      </c>
      <c r="W8280" s="19">
        <f>IF($I8280="","",IF(ISNUMBER($I8280),TEXT($I8280,"0"),$I8280))</f>
        <v/>
      </c>
    </row>
    <row r="8281">
      <c r="B8281" s="25" t="n"/>
      <c r="I8281" s="25" t="n"/>
      <c r="U8281" s="19">
        <f>IF($V8281&lt;&gt;'設定'!$C$4,N(U8280),IF(OR(NOT(COUNTIF('商品マスタ'!$B$6:$B$1005,$W8281)=0),COUNTIFS('①在庫を貼る'!$V$6:$V$10005,$V8281,'①在庫を貼る'!$W$6:$W$10005,$W8281)&gt;0),N(U8280),N(U8280)+1))</f>
        <v/>
      </c>
      <c r="V8281" s="19">
        <f>IF($B8281="","",TEXT($B8281,"0000"))</f>
        <v/>
      </c>
      <c r="W8281" s="19">
        <f>IF($I8281="","",IF(ISNUMBER($I8281),TEXT($I8281,"0"),$I8281))</f>
        <v/>
      </c>
    </row>
    <row r="8282">
      <c r="B8282" s="25" t="n"/>
      <c r="I8282" s="25" t="n"/>
      <c r="U8282" s="19">
        <f>IF($V8282&lt;&gt;'設定'!$C$4,N(U8281),IF(OR(NOT(COUNTIF('商品マスタ'!$B$6:$B$1005,$W8282)=0),COUNTIFS('①在庫を貼る'!$V$6:$V$10005,$V8282,'①在庫を貼る'!$W$6:$W$10005,$W8282)&gt;0),N(U8281),N(U8281)+1))</f>
        <v/>
      </c>
      <c r="V8282" s="19">
        <f>IF($B8282="","",TEXT($B8282,"0000"))</f>
        <v/>
      </c>
      <c r="W8282" s="19">
        <f>IF($I8282="","",IF(ISNUMBER($I8282),TEXT($I8282,"0"),$I8282))</f>
        <v/>
      </c>
    </row>
    <row r="8283">
      <c r="B8283" s="25" t="n"/>
      <c r="I8283" s="25" t="n"/>
      <c r="U8283" s="19">
        <f>IF($V8283&lt;&gt;'設定'!$C$4,N(U8282),IF(OR(NOT(COUNTIF('商品マスタ'!$B$6:$B$1005,$W8283)=0),COUNTIFS('①在庫を貼る'!$V$6:$V$10005,$V8283,'①在庫を貼る'!$W$6:$W$10005,$W8283)&gt;0),N(U8282),N(U8282)+1))</f>
        <v/>
      </c>
      <c r="V8283" s="19">
        <f>IF($B8283="","",TEXT($B8283,"0000"))</f>
        <v/>
      </c>
      <c r="W8283" s="19">
        <f>IF($I8283="","",IF(ISNUMBER($I8283),TEXT($I8283,"0"),$I8283))</f>
        <v/>
      </c>
    </row>
    <row r="8284">
      <c r="B8284" s="25" t="n"/>
      <c r="I8284" s="25" t="n"/>
      <c r="U8284" s="19">
        <f>IF($V8284&lt;&gt;'設定'!$C$4,N(U8283),IF(OR(NOT(COUNTIF('商品マスタ'!$B$6:$B$1005,$W8284)=0),COUNTIFS('①在庫を貼る'!$V$6:$V$10005,$V8284,'①在庫を貼る'!$W$6:$W$10005,$W8284)&gt;0),N(U8283),N(U8283)+1))</f>
        <v/>
      </c>
      <c r="V8284" s="19">
        <f>IF($B8284="","",TEXT($B8284,"0000"))</f>
        <v/>
      </c>
      <c r="W8284" s="19">
        <f>IF($I8284="","",IF(ISNUMBER($I8284),TEXT($I8284,"0"),$I8284))</f>
        <v/>
      </c>
    </row>
    <row r="8285">
      <c r="B8285" s="25" t="n"/>
      <c r="I8285" s="25" t="n"/>
      <c r="U8285" s="19">
        <f>IF($V8285&lt;&gt;'設定'!$C$4,N(U8284),IF(OR(NOT(COUNTIF('商品マスタ'!$B$6:$B$1005,$W8285)=0),COUNTIFS('①在庫を貼る'!$V$6:$V$10005,$V8285,'①在庫を貼る'!$W$6:$W$10005,$W8285)&gt;0),N(U8284),N(U8284)+1))</f>
        <v/>
      </c>
      <c r="V8285" s="19">
        <f>IF($B8285="","",TEXT($B8285,"0000"))</f>
        <v/>
      </c>
      <c r="W8285" s="19">
        <f>IF($I8285="","",IF(ISNUMBER($I8285),TEXT($I8285,"0"),$I8285))</f>
        <v/>
      </c>
    </row>
    <row r="8286">
      <c r="B8286" s="25" t="n"/>
      <c r="I8286" s="25" t="n"/>
      <c r="U8286" s="19">
        <f>IF($V8286&lt;&gt;'設定'!$C$4,N(U8285),IF(OR(NOT(COUNTIF('商品マスタ'!$B$6:$B$1005,$W8286)=0),COUNTIFS('①在庫を貼る'!$V$6:$V$10005,$V8286,'①在庫を貼る'!$W$6:$W$10005,$W8286)&gt;0),N(U8285),N(U8285)+1))</f>
        <v/>
      </c>
      <c r="V8286" s="19">
        <f>IF($B8286="","",TEXT($B8286,"0000"))</f>
        <v/>
      </c>
      <c r="W8286" s="19">
        <f>IF($I8286="","",IF(ISNUMBER($I8286),TEXT($I8286,"0"),$I8286))</f>
        <v/>
      </c>
    </row>
    <row r="8287">
      <c r="B8287" s="25" t="n"/>
      <c r="I8287" s="25" t="n"/>
      <c r="U8287" s="19">
        <f>IF($V8287&lt;&gt;'設定'!$C$4,N(U8286),IF(OR(NOT(COUNTIF('商品マスタ'!$B$6:$B$1005,$W8287)=0),COUNTIFS('①在庫を貼る'!$V$6:$V$10005,$V8287,'①在庫を貼る'!$W$6:$W$10005,$W8287)&gt;0),N(U8286),N(U8286)+1))</f>
        <v/>
      </c>
      <c r="V8287" s="19">
        <f>IF($B8287="","",TEXT($B8287,"0000"))</f>
        <v/>
      </c>
      <c r="W8287" s="19">
        <f>IF($I8287="","",IF(ISNUMBER($I8287),TEXT($I8287,"0"),$I8287))</f>
        <v/>
      </c>
    </row>
    <row r="8288">
      <c r="B8288" s="25" t="n"/>
      <c r="I8288" s="25" t="n"/>
      <c r="U8288" s="19">
        <f>IF($V8288&lt;&gt;'設定'!$C$4,N(U8287),IF(OR(NOT(COUNTIF('商品マスタ'!$B$6:$B$1005,$W8288)=0),COUNTIFS('①在庫を貼る'!$V$6:$V$10005,$V8288,'①在庫を貼る'!$W$6:$W$10005,$W8288)&gt;0),N(U8287),N(U8287)+1))</f>
        <v/>
      </c>
      <c r="V8288" s="19">
        <f>IF($B8288="","",TEXT($B8288,"0000"))</f>
        <v/>
      </c>
      <c r="W8288" s="19">
        <f>IF($I8288="","",IF(ISNUMBER($I8288),TEXT($I8288,"0"),$I8288))</f>
        <v/>
      </c>
    </row>
    <row r="8289">
      <c r="B8289" s="25" t="n"/>
      <c r="I8289" s="25" t="n"/>
      <c r="U8289" s="19">
        <f>IF($V8289&lt;&gt;'設定'!$C$4,N(U8288),IF(OR(NOT(COUNTIF('商品マスタ'!$B$6:$B$1005,$W8289)=0),COUNTIFS('①在庫を貼る'!$V$6:$V$10005,$V8289,'①在庫を貼る'!$W$6:$W$10005,$W8289)&gt;0),N(U8288),N(U8288)+1))</f>
        <v/>
      </c>
      <c r="V8289" s="19">
        <f>IF($B8289="","",TEXT($B8289,"0000"))</f>
        <v/>
      </c>
      <c r="W8289" s="19">
        <f>IF($I8289="","",IF(ISNUMBER($I8289),TEXT($I8289,"0"),$I8289))</f>
        <v/>
      </c>
    </row>
    <row r="8290">
      <c r="B8290" s="25" t="n"/>
      <c r="I8290" s="25" t="n"/>
      <c r="U8290" s="19">
        <f>IF($V8290&lt;&gt;'設定'!$C$4,N(U8289),IF(OR(NOT(COUNTIF('商品マスタ'!$B$6:$B$1005,$W8290)=0),COUNTIFS('①在庫を貼る'!$V$6:$V$10005,$V8290,'①在庫を貼る'!$W$6:$W$10005,$W8290)&gt;0),N(U8289),N(U8289)+1))</f>
        <v/>
      </c>
      <c r="V8290" s="19">
        <f>IF($B8290="","",TEXT($B8290,"0000"))</f>
        <v/>
      </c>
      <c r="W8290" s="19">
        <f>IF($I8290="","",IF(ISNUMBER($I8290),TEXT($I8290,"0"),$I8290))</f>
        <v/>
      </c>
    </row>
    <row r="8291">
      <c r="B8291" s="25" t="n"/>
      <c r="I8291" s="25" t="n"/>
      <c r="U8291" s="19">
        <f>IF($V8291&lt;&gt;'設定'!$C$4,N(U8290),IF(OR(NOT(COUNTIF('商品マスタ'!$B$6:$B$1005,$W8291)=0),COUNTIFS('①在庫を貼る'!$V$6:$V$10005,$V8291,'①在庫を貼る'!$W$6:$W$10005,$W8291)&gt;0),N(U8290),N(U8290)+1))</f>
        <v/>
      </c>
      <c r="V8291" s="19">
        <f>IF($B8291="","",TEXT($B8291,"0000"))</f>
        <v/>
      </c>
      <c r="W8291" s="19">
        <f>IF($I8291="","",IF(ISNUMBER($I8291),TEXT($I8291,"0"),$I8291))</f>
        <v/>
      </c>
    </row>
    <row r="8292">
      <c r="B8292" s="25" t="n"/>
      <c r="I8292" s="25" t="n"/>
      <c r="U8292" s="19">
        <f>IF($V8292&lt;&gt;'設定'!$C$4,N(U8291),IF(OR(NOT(COUNTIF('商品マスタ'!$B$6:$B$1005,$W8292)=0),COUNTIFS('①在庫を貼る'!$V$6:$V$10005,$V8292,'①在庫を貼る'!$W$6:$W$10005,$W8292)&gt;0),N(U8291),N(U8291)+1))</f>
        <v/>
      </c>
      <c r="V8292" s="19">
        <f>IF($B8292="","",TEXT($B8292,"0000"))</f>
        <v/>
      </c>
      <c r="W8292" s="19">
        <f>IF($I8292="","",IF(ISNUMBER($I8292),TEXT($I8292,"0"),$I8292))</f>
        <v/>
      </c>
    </row>
    <row r="8293">
      <c r="B8293" s="25" t="n"/>
      <c r="I8293" s="25" t="n"/>
      <c r="U8293" s="19">
        <f>IF($V8293&lt;&gt;'設定'!$C$4,N(U8292),IF(OR(NOT(COUNTIF('商品マスタ'!$B$6:$B$1005,$W8293)=0),COUNTIFS('①在庫を貼る'!$V$6:$V$10005,$V8293,'①在庫を貼る'!$W$6:$W$10005,$W8293)&gt;0),N(U8292),N(U8292)+1))</f>
        <v/>
      </c>
      <c r="V8293" s="19">
        <f>IF($B8293="","",TEXT($B8293,"0000"))</f>
        <v/>
      </c>
      <c r="W8293" s="19">
        <f>IF($I8293="","",IF(ISNUMBER($I8293),TEXT($I8293,"0"),$I8293))</f>
        <v/>
      </c>
    </row>
    <row r="8294">
      <c r="B8294" s="25" t="n"/>
      <c r="I8294" s="25" t="n"/>
      <c r="U8294" s="19">
        <f>IF($V8294&lt;&gt;'設定'!$C$4,N(U8293),IF(OR(NOT(COUNTIF('商品マスタ'!$B$6:$B$1005,$W8294)=0),COUNTIFS('①在庫を貼る'!$V$6:$V$10005,$V8294,'①在庫を貼る'!$W$6:$W$10005,$W8294)&gt;0),N(U8293),N(U8293)+1))</f>
        <v/>
      </c>
      <c r="V8294" s="19">
        <f>IF($B8294="","",TEXT($B8294,"0000"))</f>
        <v/>
      </c>
      <c r="W8294" s="19">
        <f>IF($I8294="","",IF(ISNUMBER($I8294),TEXT($I8294,"0"),$I8294))</f>
        <v/>
      </c>
    </row>
    <row r="8295">
      <c r="B8295" s="25" t="n"/>
      <c r="I8295" s="25" t="n"/>
      <c r="U8295" s="19">
        <f>IF($V8295&lt;&gt;'設定'!$C$4,N(U8294),IF(OR(NOT(COUNTIF('商品マスタ'!$B$6:$B$1005,$W8295)=0),COUNTIFS('①在庫を貼る'!$V$6:$V$10005,$V8295,'①在庫を貼る'!$W$6:$W$10005,$W8295)&gt;0),N(U8294),N(U8294)+1))</f>
        <v/>
      </c>
      <c r="V8295" s="19">
        <f>IF($B8295="","",TEXT($B8295,"0000"))</f>
        <v/>
      </c>
      <c r="W8295" s="19">
        <f>IF($I8295="","",IF(ISNUMBER($I8295),TEXT($I8295,"0"),$I8295))</f>
        <v/>
      </c>
    </row>
    <row r="8296">
      <c r="B8296" s="25" t="n"/>
      <c r="I8296" s="25" t="n"/>
      <c r="U8296" s="19">
        <f>IF($V8296&lt;&gt;'設定'!$C$4,N(U8295),IF(OR(NOT(COUNTIF('商品マスタ'!$B$6:$B$1005,$W8296)=0),COUNTIFS('①在庫を貼る'!$V$6:$V$10005,$V8296,'①在庫を貼る'!$W$6:$W$10005,$W8296)&gt;0),N(U8295),N(U8295)+1))</f>
        <v/>
      </c>
      <c r="V8296" s="19">
        <f>IF($B8296="","",TEXT($B8296,"0000"))</f>
        <v/>
      </c>
      <c r="W8296" s="19">
        <f>IF($I8296="","",IF(ISNUMBER($I8296),TEXT($I8296,"0"),$I8296))</f>
        <v/>
      </c>
    </row>
    <row r="8297">
      <c r="B8297" s="25" t="n"/>
      <c r="I8297" s="25" t="n"/>
      <c r="U8297" s="19">
        <f>IF($V8297&lt;&gt;'設定'!$C$4,N(U8296),IF(OR(NOT(COUNTIF('商品マスタ'!$B$6:$B$1005,$W8297)=0),COUNTIFS('①在庫を貼る'!$V$6:$V$10005,$V8297,'①在庫を貼る'!$W$6:$W$10005,$W8297)&gt;0),N(U8296),N(U8296)+1))</f>
        <v/>
      </c>
      <c r="V8297" s="19">
        <f>IF($B8297="","",TEXT($B8297,"0000"))</f>
        <v/>
      </c>
      <c r="W8297" s="19">
        <f>IF($I8297="","",IF(ISNUMBER($I8297),TEXT($I8297,"0"),$I8297))</f>
        <v/>
      </c>
    </row>
    <row r="8298">
      <c r="B8298" s="25" t="n"/>
      <c r="I8298" s="25" t="n"/>
      <c r="U8298" s="19">
        <f>IF($V8298&lt;&gt;'設定'!$C$4,N(U8297),IF(OR(NOT(COUNTIF('商品マスタ'!$B$6:$B$1005,$W8298)=0),COUNTIFS('①在庫を貼る'!$V$6:$V$10005,$V8298,'①在庫を貼る'!$W$6:$W$10005,$W8298)&gt;0),N(U8297),N(U8297)+1))</f>
        <v/>
      </c>
      <c r="V8298" s="19">
        <f>IF($B8298="","",TEXT($B8298,"0000"))</f>
        <v/>
      </c>
      <c r="W8298" s="19">
        <f>IF($I8298="","",IF(ISNUMBER($I8298),TEXT($I8298,"0"),$I8298))</f>
        <v/>
      </c>
    </row>
    <row r="8299">
      <c r="B8299" s="25" t="n"/>
      <c r="I8299" s="25" t="n"/>
      <c r="U8299" s="19">
        <f>IF($V8299&lt;&gt;'設定'!$C$4,N(U8298),IF(OR(NOT(COUNTIF('商品マスタ'!$B$6:$B$1005,$W8299)=0),COUNTIFS('①在庫を貼る'!$V$6:$V$10005,$V8299,'①在庫を貼る'!$W$6:$W$10005,$W8299)&gt;0),N(U8298),N(U8298)+1))</f>
        <v/>
      </c>
      <c r="V8299" s="19">
        <f>IF($B8299="","",TEXT($B8299,"0000"))</f>
        <v/>
      </c>
      <c r="W8299" s="19">
        <f>IF($I8299="","",IF(ISNUMBER($I8299),TEXT($I8299,"0"),$I8299))</f>
        <v/>
      </c>
    </row>
    <row r="8300">
      <c r="B8300" s="25" t="n"/>
      <c r="I8300" s="25" t="n"/>
      <c r="U8300" s="19">
        <f>IF($V8300&lt;&gt;'設定'!$C$4,N(U8299),IF(OR(NOT(COUNTIF('商品マスタ'!$B$6:$B$1005,$W8300)=0),COUNTIFS('①在庫を貼る'!$V$6:$V$10005,$V8300,'①在庫を貼る'!$W$6:$W$10005,$W8300)&gt;0),N(U8299),N(U8299)+1))</f>
        <v/>
      </c>
      <c r="V8300" s="19">
        <f>IF($B8300="","",TEXT($B8300,"0000"))</f>
        <v/>
      </c>
      <c r="W8300" s="19">
        <f>IF($I8300="","",IF(ISNUMBER($I8300),TEXT($I8300,"0"),$I8300))</f>
        <v/>
      </c>
    </row>
    <row r="8301">
      <c r="B8301" s="25" t="n"/>
      <c r="I8301" s="25" t="n"/>
      <c r="U8301" s="19">
        <f>IF($V8301&lt;&gt;'設定'!$C$4,N(U8300),IF(OR(NOT(COUNTIF('商品マスタ'!$B$6:$B$1005,$W8301)=0),COUNTIFS('①在庫を貼る'!$V$6:$V$10005,$V8301,'①在庫を貼る'!$W$6:$W$10005,$W8301)&gt;0),N(U8300),N(U8300)+1))</f>
        <v/>
      </c>
      <c r="V8301" s="19">
        <f>IF($B8301="","",TEXT($B8301,"0000"))</f>
        <v/>
      </c>
      <c r="W8301" s="19">
        <f>IF($I8301="","",IF(ISNUMBER($I8301),TEXT($I8301,"0"),$I8301))</f>
        <v/>
      </c>
    </row>
    <row r="8302">
      <c r="B8302" s="25" t="n"/>
      <c r="I8302" s="25" t="n"/>
      <c r="U8302" s="19">
        <f>IF($V8302&lt;&gt;'設定'!$C$4,N(U8301),IF(OR(NOT(COUNTIF('商品マスタ'!$B$6:$B$1005,$W8302)=0),COUNTIFS('①在庫を貼る'!$V$6:$V$10005,$V8302,'①在庫を貼る'!$W$6:$W$10005,$W8302)&gt;0),N(U8301),N(U8301)+1))</f>
        <v/>
      </c>
      <c r="V8302" s="19">
        <f>IF($B8302="","",TEXT($B8302,"0000"))</f>
        <v/>
      </c>
      <c r="W8302" s="19">
        <f>IF($I8302="","",IF(ISNUMBER($I8302),TEXT($I8302,"0"),$I8302))</f>
        <v/>
      </c>
    </row>
    <row r="8303">
      <c r="B8303" s="25" t="n"/>
      <c r="I8303" s="25" t="n"/>
      <c r="U8303" s="19">
        <f>IF($V8303&lt;&gt;'設定'!$C$4,N(U8302),IF(OR(NOT(COUNTIF('商品マスタ'!$B$6:$B$1005,$W8303)=0),COUNTIFS('①在庫を貼る'!$V$6:$V$10005,$V8303,'①在庫を貼る'!$W$6:$W$10005,$W8303)&gt;0),N(U8302),N(U8302)+1))</f>
        <v/>
      </c>
      <c r="V8303" s="19">
        <f>IF($B8303="","",TEXT($B8303,"0000"))</f>
        <v/>
      </c>
      <c r="W8303" s="19">
        <f>IF($I8303="","",IF(ISNUMBER($I8303),TEXT($I8303,"0"),$I8303))</f>
        <v/>
      </c>
    </row>
    <row r="8304">
      <c r="B8304" s="25" t="n"/>
      <c r="I8304" s="25" t="n"/>
      <c r="U8304" s="19">
        <f>IF($V8304&lt;&gt;'設定'!$C$4,N(U8303),IF(OR(NOT(COUNTIF('商品マスタ'!$B$6:$B$1005,$W8304)=0),COUNTIFS('①在庫を貼る'!$V$6:$V$10005,$V8304,'①在庫を貼る'!$W$6:$W$10005,$W8304)&gt;0),N(U8303),N(U8303)+1))</f>
        <v/>
      </c>
      <c r="V8304" s="19">
        <f>IF($B8304="","",TEXT($B8304,"0000"))</f>
        <v/>
      </c>
      <c r="W8304" s="19">
        <f>IF($I8304="","",IF(ISNUMBER($I8304),TEXT($I8304,"0"),$I8304))</f>
        <v/>
      </c>
    </row>
    <row r="8305">
      <c r="B8305" s="25" t="n"/>
      <c r="I8305" s="25" t="n"/>
      <c r="U8305" s="19">
        <f>IF($V8305&lt;&gt;'設定'!$C$4,N(U8304),IF(OR(NOT(COUNTIF('商品マスタ'!$B$6:$B$1005,$W8305)=0),COUNTIFS('①在庫を貼る'!$V$6:$V$10005,$V8305,'①在庫を貼る'!$W$6:$W$10005,$W8305)&gt;0),N(U8304),N(U8304)+1))</f>
        <v/>
      </c>
      <c r="V8305" s="19">
        <f>IF($B8305="","",TEXT($B8305,"0000"))</f>
        <v/>
      </c>
      <c r="W8305" s="19">
        <f>IF($I8305="","",IF(ISNUMBER($I8305),TEXT($I8305,"0"),$I8305))</f>
        <v/>
      </c>
    </row>
    <row r="8306">
      <c r="B8306" s="25" t="n"/>
      <c r="I8306" s="25" t="n"/>
      <c r="U8306" s="19">
        <f>IF($V8306&lt;&gt;'設定'!$C$4,N(U8305),IF(OR(NOT(COUNTIF('商品マスタ'!$B$6:$B$1005,$W8306)=0),COUNTIFS('①在庫を貼る'!$V$6:$V$10005,$V8306,'①在庫を貼る'!$W$6:$W$10005,$W8306)&gt;0),N(U8305),N(U8305)+1))</f>
        <v/>
      </c>
      <c r="V8306" s="19">
        <f>IF($B8306="","",TEXT($B8306,"0000"))</f>
        <v/>
      </c>
      <c r="W8306" s="19">
        <f>IF($I8306="","",IF(ISNUMBER($I8306),TEXT($I8306,"0"),$I8306))</f>
        <v/>
      </c>
    </row>
    <row r="8307">
      <c r="B8307" s="25" t="n"/>
      <c r="I8307" s="25" t="n"/>
      <c r="U8307" s="19">
        <f>IF($V8307&lt;&gt;'設定'!$C$4,N(U8306),IF(OR(NOT(COUNTIF('商品マスタ'!$B$6:$B$1005,$W8307)=0),COUNTIFS('①在庫を貼る'!$V$6:$V$10005,$V8307,'①在庫を貼る'!$W$6:$W$10005,$W8307)&gt;0),N(U8306),N(U8306)+1))</f>
        <v/>
      </c>
      <c r="V8307" s="19">
        <f>IF($B8307="","",TEXT($B8307,"0000"))</f>
        <v/>
      </c>
      <c r="W8307" s="19">
        <f>IF($I8307="","",IF(ISNUMBER($I8307),TEXT($I8307,"0"),$I8307))</f>
        <v/>
      </c>
    </row>
    <row r="8308">
      <c r="B8308" s="25" t="n"/>
      <c r="I8308" s="25" t="n"/>
      <c r="U8308" s="19">
        <f>IF($V8308&lt;&gt;'設定'!$C$4,N(U8307),IF(OR(NOT(COUNTIF('商品マスタ'!$B$6:$B$1005,$W8308)=0),COUNTIFS('①在庫を貼る'!$V$6:$V$10005,$V8308,'①在庫を貼る'!$W$6:$W$10005,$W8308)&gt;0),N(U8307),N(U8307)+1))</f>
        <v/>
      </c>
      <c r="V8308" s="19">
        <f>IF($B8308="","",TEXT($B8308,"0000"))</f>
        <v/>
      </c>
      <c r="W8308" s="19">
        <f>IF($I8308="","",IF(ISNUMBER($I8308),TEXT($I8308,"0"),$I8308))</f>
        <v/>
      </c>
    </row>
    <row r="8309">
      <c r="B8309" s="25" t="n"/>
      <c r="I8309" s="25" t="n"/>
      <c r="U8309" s="19">
        <f>IF($V8309&lt;&gt;'設定'!$C$4,N(U8308),IF(OR(NOT(COUNTIF('商品マスタ'!$B$6:$B$1005,$W8309)=0),COUNTIFS('①在庫を貼る'!$V$6:$V$10005,$V8309,'①在庫を貼る'!$W$6:$W$10005,$W8309)&gt;0),N(U8308),N(U8308)+1))</f>
        <v/>
      </c>
      <c r="V8309" s="19">
        <f>IF($B8309="","",TEXT($B8309,"0000"))</f>
        <v/>
      </c>
      <c r="W8309" s="19">
        <f>IF($I8309="","",IF(ISNUMBER($I8309),TEXT($I8309,"0"),$I8309))</f>
        <v/>
      </c>
    </row>
    <row r="8310">
      <c r="B8310" s="25" t="n"/>
      <c r="I8310" s="25" t="n"/>
      <c r="U8310" s="19">
        <f>IF($V8310&lt;&gt;'設定'!$C$4,N(U8309),IF(OR(NOT(COUNTIF('商品マスタ'!$B$6:$B$1005,$W8310)=0),COUNTIFS('①在庫を貼る'!$V$6:$V$10005,$V8310,'①在庫を貼る'!$W$6:$W$10005,$W8310)&gt;0),N(U8309),N(U8309)+1))</f>
        <v/>
      </c>
      <c r="V8310" s="19">
        <f>IF($B8310="","",TEXT($B8310,"0000"))</f>
        <v/>
      </c>
      <c r="W8310" s="19">
        <f>IF($I8310="","",IF(ISNUMBER($I8310),TEXT($I8310,"0"),$I8310))</f>
        <v/>
      </c>
    </row>
    <row r="8311">
      <c r="B8311" s="25" t="n"/>
      <c r="I8311" s="25" t="n"/>
      <c r="U8311" s="19">
        <f>IF($V8311&lt;&gt;'設定'!$C$4,N(U8310),IF(OR(NOT(COUNTIF('商品マスタ'!$B$6:$B$1005,$W8311)=0),COUNTIFS('①在庫を貼る'!$V$6:$V$10005,$V8311,'①在庫を貼る'!$W$6:$W$10005,$W8311)&gt;0),N(U8310),N(U8310)+1))</f>
        <v/>
      </c>
      <c r="V8311" s="19">
        <f>IF($B8311="","",TEXT($B8311,"0000"))</f>
        <v/>
      </c>
      <c r="W8311" s="19">
        <f>IF($I8311="","",IF(ISNUMBER($I8311),TEXT($I8311,"0"),$I8311))</f>
        <v/>
      </c>
    </row>
    <row r="8312">
      <c r="B8312" s="25" t="n"/>
      <c r="I8312" s="25" t="n"/>
      <c r="U8312" s="19">
        <f>IF($V8312&lt;&gt;'設定'!$C$4,N(U8311),IF(OR(NOT(COUNTIF('商品マスタ'!$B$6:$B$1005,$W8312)=0),COUNTIFS('①在庫を貼る'!$V$6:$V$10005,$V8312,'①在庫を貼る'!$W$6:$W$10005,$W8312)&gt;0),N(U8311),N(U8311)+1))</f>
        <v/>
      </c>
      <c r="V8312" s="19">
        <f>IF($B8312="","",TEXT($B8312,"0000"))</f>
        <v/>
      </c>
      <c r="W8312" s="19">
        <f>IF($I8312="","",IF(ISNUMBER($I8312),TEXT($I8312,"0"),$I8312))</f>
        <v/>
      </c>
    </row>
    <row r="8313">
      <c r="B8313" s="25" t="n"/>
      <c r="I8313" s="25" t="n"/>
      <c r="U8313" s="19">
        <f>IF($V8313&lt;&gt;'設定'!$C$4,N(U8312),IF(OR(NOT(COUNTIF('商品マスタ'!$B$6:$B$1005,$W8313)=0),COUNTIFS('①在庫を貼る'!$V$6:$V$10005,$V8313,'①在庫を貼る'!$W$6:$W$10005,$W8313)&gt;0),N(U8312),N(U8312)+1))</f>
        <v/>
      </c>
      <c r="V8313" s="19">
        <f>IF($B8313="","",TEXT($B8313,"0000"))</f>
        <v/>
      </c>
      <c r="W8313" s="19">
        <f>IF($I8313="","",IF(ISNUMBER($I8313),TEXT($I8313,"0"),$I8313))</f>
        <v/>
      </c>
    </row>
    <row r="8314">
      <c r="B8314" s="25" t="n"/>
      <c r="I8314" s="25" t="n"/>
      <c r="U8314" s="19">
        <f>IF($V8314&lt;&gt;'設定'!$C$4,N(U8313),IF(OR(NOT(COUNTIF('商品マスタ'!$B$6:$B$1005,$W8314)=0),COUNTIFS('①在庫を貼る'!$V$6:$V$10005,$V8314,'①在庫を貼る'!$W$6:$W$10005,$W8314)&gt;0),N(U8313),N(U8313)+1))</f>
        <v/>
      </c>
      <c r="V8314" s="19">
        <f>IF($B8314="","",TEXT($B8314,"0000"))</f>
        <v/>
      </c>
      <c r="W8314" s="19">
        <f>IF($I8314="","",IF(ISNUMBER($I8314),TEXT($I8314,"0"),$I8314))</f>
        <v/>
      </c>
    </row>
    <row r="8315">
      <c r="B8315" s="25" t="n"/>
      <c r="I8315" s="25" t="n"/>
      <c r="U8315" s="19">
        <f>IF($V8315&lt;&gt;'設定'!$C$4,N(U8314),IF(OR(NOT(COUNTIF('商品マスタ'!$B$6:$B$1005,$W8315)=0),COUNTIFS('①在庫を貼る'!$V$6:$V$10005,$V8315,'①在庫を貼る'!$W$6:$W$10005,$W8315)&gt;0),N(U8314),N(U8314)+1))</f>
        <v/>
      </c>
      <c r="V8315" s="19">
        <f>IF($B8315="","",TEXT($B8315,"0000"))</f>
        <v/>
      </c>
      <c r="W8315" s="19">
        <f>IF($I8315="","",IF(ISNUMBER($I8315),TEXT($I8315,"0"),$I8315))</f>
        <v/>
      </c>
    </row>
    <row r="8316">
      <c r="B8316" s="25" t="n"/>
      <c r="I8316" s="25" t="n"/>
      <c r="U8316" s="19">
        <f>IF($V8316&lt;&gt;'設定'!$C$4,N(U8315),IF(OR(NOT(COUNTIF('商品マスタ'!$B$6:$B$1005,$W8316)=0),COUNTIFS('①在庫を貼る'!$V$6:$V$10005,$V8316,'①在庫を貼る'!$W$6:$W$10005,$W8316)&gt;0),N(U8315),N(U8315)+1))</f>
        <v/>
      </c>
      <c r="V8316" s="19">
        <f>IF($B8316="","",TEXT($B8316,"0000"))</f>
        <v/>
      </c>
      <c r="W8316" s="19">
        <f>IF($I8316="","",IF(ISNUMBER($I8316),TEXT($I8316,"0"),$I8316))</f>
        <v/>
      </c>
    </row>
    <row r="8317">
      <c r="B8317" s="25" t="n"/>
      <c r="I8317" s="25" t="n"/>
      <c r="U8317" s="19">
        <f>IF($V8317&lt;&gt;'設定'!$C$4,N(U8316),IF(OR(NOT(COUNTIF('商品マスタ'!$B$6:$B$1005,$W8317)=0),COUNTIFS('①在庫を貼る'!$V$6:$V$10005,$V8317,'①在庫を貼る'!$W$6:$W$10005,$W8317)&gt;0),N(U8316),N(U8316)+1))</f>
        <v/>
      </c>
      <c r="V8317" s="19">
        <f>IF($B8317="","",TEXT($B8317,"0000"))</f>
        <v/>
      </c>
      <c r="W8317" s="19">
        <f>IF($I8317="","",IF(ISNUMBER($I8317),TEXT($I8317,"0"),$I8317))</f>
        <v/>
      </c>
    </row>
    <row r="8318">
      <c r="B8318" s="25" t="n"/>
      <c r="I8318" s="25" t="n"/>
      <c r="U8318" s="19">
        <f>IF($V8318&lt;&gt;'設定'!$C$4,N(U8317),IF(OR(NOT(COUNTIF('商品マスタ'!$B$6:$B$1005,$W8318)=0),COUNTIFS('①在庫を貼る'!$V$6:$V$10005,$V8318,'①在庫を貼る'!$W$6:$W$10005,$W8318)&gt;0),N(U8317),N(U8317)+1))</f>
        <v/>
      </c>
      <c r="V8318" s="19">
        <f>IF($B8318="","",TEXT($B8318,"0000"))</f>
        <v/>
      </c>
      <c r="W8318" s="19">
        <f>IF($I8318="","",IF(ISNUMBER($I8318),TEXT($I8318,"0"),$I8318))</f>
        <v/>
      </c>
    </row>
    <row r="8319">
      <c r="B8319" s="25" t="n"/>
      <c r="I8319" s="25" t="n"/>
      <c r="U8319" s="19">
        <f>IF($V8319&lt;&gt;'設定'!$C$4,N(U8318),IF(OR(NOT(COUNTIF('商品マスタ'!$B$6:$B$1005,$W8319)=0),COUNTIFS('①在庫を貼る'!$V$6:$V$10005,$V8319,'①在庫を貼る'!$W$6:$W$10005,$W8319)&gt;0),N(U8318),N(U8318)+1))</f>
        <v/>
      </c>
      <c r="V8319" s="19">
        <f>IF($B8319="","",TEXT($B8319,"0000"))</f>
        <v/>
      </c>
      <c r="W8319" s="19">
        <f>IF($I8319="","",IF(ISNUMBER($I8319),TEXT($I8319,"0"),$I8319))</f>
        <v/>
      </c>
    </row>
    <row r="8320">
      <c r="B8320" s="25" t="n"/>
      <c r="I8320" s="25" t="n"/>
      <c r="U8320" s="19">
        <f>IF($V8320&lt;&gt;'設定'!$C$4,N(U8319),IF(OR(NOT(COUNTIF('商品マスタ'!$B$6:$B$1005,$W8320)=0),COUNTIFS('①在庫を貼る'!$V$6:$V$10005,$V8320,'①在庫を貼る'!$W$6:$W$10005,$W8320)&gt;0),N(U8319),N(U8319)+1))</f>
        <v/>
      </c>
      <c r="V8320" s="19">
        <f>IF($B8320="","",TEXT($B8320,"0000"))</f>
        <v/>
      </c>
      <c r="W8320" s="19">
        <f>IF($I8320="","",IF(ISNUMBER($I8320),TEXT($I8320,"0"),$I8320))</f>
        <v/>
      </c>
    </row>
    <row r="8321">
      <c r="B8321" s="25" t="n"/>
      <c r="I8321" s="25" t="n"/>
      <c r="U8321" s="19">
        <f>IF($V8321&lt;&gt;'設定'!$C$4,N(U8320),IF(OR(NOT(COUNTIF('商品マスタ'!$B$6:$B$1005,$W8321)=0),COUNTIFS('①在庫を貼る'!$V$6:$V$10005,$V8321,'①在庫を貼る'!$W$6:$W$10005,$W8321)&gt;0),N(U8320),N(U8320)+1))</f>
        <v/>
      </c>
      <c r="V8321" s="19">
        <f>IF($B8321="","",TEXT($B8321,"0000"))</f>
        <v/>
      </c>
      <c r="W8321" s="19">
        <f>IF($I8321="","",IF(ISNUMBER($I8321),TEXT($I8321,"0"),$I8321))</f>
        <v/>
      </c>
    </row>
    <row r="8322">
      <c r="B8322" s="25" t="n"/>
      <c r="I8322" s="25" t="n"/>
      <c r="U8322" s="19">
        <f>IF($V8322&lt;&gt;'設定'!$C$4,N(U8321),IF(OR(NOT(COUNTIF('商品マスタ'!$B$6:$B$1005,$W8322)=0),COUNTIFS('①在庫を貼る'!$V$6:$V$10005,$V8322,'①在庫を貼る'!$W$6:$W$10005,$W8322)&gt;0),N(U8321),N(U8321)+1))</f>
        <v/>
      </c>
      <c r="V8322" s="19">
        <f>IF($B8322="","",TEXT($B8322,"0000"))</f>
        <v/>
      </c>
      <c r="W8322" s="19">
        <f>IF($I8322="","",IF(ISNUMBER($I8322),TEXT($I8322,"0"),$I8322))</f>
        <v/>
      </c>
    </row>
    <row r="8323">
      <c r="B8323" s="25" t="n"/>
      <c r="I8323" s="25" t="n"/>
      <c r="U8323" s="19">
        <f>IF($V8323&lt;&gt;'設定'!$C$4,N(U8322),IF(OR(NOT(COUNTIF('商品マスタ'!$B$6:$B$1005,$W8323)=0),COUNTIFS('①在庫を貼る'!$V$6:$V$10005,$V8323,'①在庫を貼る'!$W$6:$W$10005,$W8323)&gt;0),N(U8322),N(U8322)+1))</f>
        <v/>
      </c>
      <c r="V8323" s="19">
        <f>IF($B8323="","",TEXT($B8323,"0000"))</f>
        <v/>
      </c>
      <c r="W8323" s="19">
        <f>IF($I8323="","",IF(ISNUMBER($I8323),TEXT($I8323,"0"),$I8323))</f>
        <v/>
      </c>
    </row>
    <row r="8324">
      <c r="B8324" s="25" t="n"/>
      <c r="I8324" s="25" t="n"/>
      <c r="U8324" s="19">
        <f>IF($V8324&lt;&gt;'設定'!$C$4,N(U8323),IF(OR(NOT(COUNTIF('商品マスタ'!$B$6:$B$1005,$W8324)=0),COUNTIFS('①在庫を貼る'!$V$6:$V$10005,$V8324,'①在庫を貼る'!$W$6:$W$10005,$W8324)&gt;0),N(U8323),N(U8323)+1))</f>
        <v/>
      </c>
      <c r="V8324" s="19">
        <f>IF($B8324="","",TEXT($B8324,"0000"))</f>
        <v/>
      </c>
      <c r="W8324" s="19">
        <f>IF($I8324="","",IF(ISNUMBER($I8324),TEXT($I8324,"0"),$I8324))</f>
        <v/>
      </c>
    </row>
    <row r="8325">
      <c r="B8325" s="25" t="n"/>
      <c r="I8325" s="25" t="n"/>
      <c r="U8325" s="19">
        <f>IF($V8325&lt;&gt;'設定'!$C$4,N(U8324),IF(OR(NOT(COUNTIF('商品マスタ'!$B$6:$B$1005,$W8325)=0),COUNTIFS('①在庫を貼る'!$V$6:$V$10005,$V8325,'①在庫を貼る'!$W$6:$W$10005,$W8325)&gt;0),N(U8324),N(U8324)+1))</f>
        <v/>
      </c>
      <c r="V8325" s="19">
        <f>IF($B8325="","",TEXT($B8325,"0000"))</f>
        <v/>
      </c>
      <c r="W8325" s="19">
        <f>IF($I8325="","",IF(ISNUMBER($I8325),TEXT($I8325,"0"),$I8325))</f>
        <v/>
      </c>
    </row>
    <row r="8326">
      <c r="B8326" s="25" t="n"/>
      <c r="I8326" s="25" t="n"/>
      <c r="U8326" s="19">
        <f>IF($V8326&lt;&gt;'設定'!$C$4,N(U8325),IF(OR(NOT(COUNTIF('商品マスタ'!$B$6:$B$1005,$W8326)=0),COUNTIFS('①在庫を貼る'!$V$6:$V$10005,$V8326,'①在庫を貼る'!$W$6:$W$10005,$W8326)&gt;0),N(U8325),N(U8325)+1))</f>
        <v/>
      </c>
      <c r="V8326" s="19">
        <f>IF($B8326="","",TEXT($B8326,"0000"))</f>
        <v/>
      </c>
      <c r="W8326" s="19">
        <f>IF($I8326="","",IF(ISNUMBER($I8326),TEXT($I8326,"0"),$I8326))</f>
        <v/>
      </c>
    </row>
    <row r="8327">
      <c r="B8327" s="25" t="n"/>
      <c r="I8327" s="25" t="n"/>
      <c r="U8327" s="19">
        <f>IF($V8327&lt;&gt;'設定'!$C$4,N(U8326),IF(OR(NOT(COUNTIF('商品マスタ'!$B$6:$B$1005,$W8327)=0),COUNTIFS('①在庫を貼る'!$V$6:$V$10005,$V8327,'①在庫を貼る'!$W$6:$W$10005,$W8327)&gt;0),N(U8326),N(U8326)+1))</f>
        <v/>
      </c>
      <c r="V8327" s="19">
        <f>IF($B8327="","",TEXT($B8327,"0000"))</f>
        <v/>
      </c>
      <c r="W8327" s="19">
        <f>IF($I8327="","",IF(ISNUMBER($I8327),TEXT($I8327,"0"),$I8327))</f>
        <v/>
      </c>
    </row>
    <row r="8328">
      <c r="B8328" s="25" t="n"/>
      <c r="I8328" s="25" t="n"/>
      <c r="U8328" s="19">
        <f>IF($V8328&lt;&gt;'設定'!$C$4,N(U8327),IF(OR(NOT(COUNTIF('商品マスタ'!$B$6:$B$1005,$W8328)=0),COUNTIFS('①在庫を貼る'!$V$6:$V$10005,$V8328,'①在庫を貼る'!$W$6:$W$10005,$W8328)&gt;0),N(U8327),N(U8327)+1))</f>
        <v/>
      </c>
      <c r="V8328" s="19">
        <f>IF($B8328="","",TEXT($B8328,"0000"))</f>
        <v/>
      </c>
      <c r="W8328" s="19">
        <f>IF($I8328="","",IF(ISNUMBER($I8328),TEXT($I8328,"0"),$I8328))</f>
        <v/>
      </c>
    </row>
    <row r="8329">
      <c r="B8329" s="25" t="n"/>
      <c r="I8329" s="25" t="n"/>
      <c r="U8329" s="19">
        <f>IF($V8329&lt;&gt;'設定'!$C$4,N(U8328),IF(OR(NOT(COUNTIF('商品マスタ'!$B$6:$B$1005,$W8329)=0),COUNTIFS('①在庫を貼る'!$V$6:$V$10005,$V8329,'①在庫を貼る'!$W$6:$W$10005,$W8329)&gt;0),N(U8328),N(U8328)+1))</f>
        <v/>
      </c>
      <c r="V8329" s="19">
        <f>IF($B8329="","",TEXT($B8329,"0000"))</f>
        <v/>
      </c>
      <c r="W8329" s="19">
        <f>IF($I8329="","",IF(ISNUMBER($I8329),TEXT($I8329,"0"),$I8329))</f>
        <v/>
      </c>
    </row>
    <row r="8330">
      <c r="B8330" s="25" t="n"/>
      <c r="I8330" s="25" t="n"/>
      <c r="U8330" s="19">
        <f>IF($V8330&lt;&gt;'設定'!$C$4,N(U8329),IF(OR(NOT(COUNTIF('商品マスタ'!$B$6:$B$1005,$W8330)=0),COUNTIFS('①在庫を貼る'!$V$6:$V$10005,$V8330,'①在庫を貼る'!$W$6:$W$10005,$W8330)&gt;0),N(U8329),N(U8329)+1))</f>
        <v/>
      </c>
      <c r="V8330" s="19">
        <f>IF($B8330="","",TEXT($B8330,"0000"))</f>
        <v/>
      </c>
      <c r="W8330" s="19">
        <f>IF($I8330="","",IF(ISNUMBER($I8330),TEXT($I8330,"0"),$I8330))</f>
        <v/>
      </c>
    </row>
    <row r="8331">
      <c r="B8331" s="25" t="n"/>
      <c r="I8331" s="25" t="n"/>
      <c r="U8331" s="19">
        <f>IF($V8331&lt;&gt;'設定'!$C$4,N(U8330),IF(OR(NOT(COUNTIF('商品マスタ'!$B$6:$B$1005,$W8331)=0),COUNTIFS('①在庫を貼る'!$V$6:$V$10005,$V8331,'①在庫を貼る'!$W$6:$W$10005,$W8331)&gt;0),N(U8330),N(U8330)+1))</f>
        <v/>
      </c>
      <c r="V8331" s="19">
        <f>IF($B8331="","",TEXT($B8331,"0000"))</f>
        <v/>
      </c>
      <c r="W8331" s="19">
        <f>IF($I8331="","",IF(ISNUMBER($I8331),TEXT($I8331,"0"),$I8331))</f>
        <v/>
      </c>
    </row>
    <row r="8332">
      <c r="B8332" s="25" t="n"/>
      <c r="I8332" s="25" t="n"/>
      <c r="U8332" s="19">
        <f>IF($V8332&lt;&gt;'設定'!$C$4,N(U8331),IF(OR(NOT(COUNTIF('商品マスタ'!$B$6:$B$1005,$W8332)=0),COUNTIFS('①在庫を貼る'!$V$6:$V$10005,$V8332,'①在庫を貼る'!$W$6:$W$10005,$W8332)&gt;0),N(U8331),N(U8331)+1))</f>
        <v/>
      </c>
      <c r="V8332" s="19">
        <f>IF($B8332="","",TEXT($B8332,"0000"))</f>
        <v/>
      </c>
      <c r="W8332" s="19">
        <f>IF($I8332="","",IF(ISNUMBER($I8332),TEXT($I8332,"0"),$I8332))</f>
        <v/>
      </c>
    </row>
    <row r="8333">
      <c r="B8333" s="25" t="n"/>
      <c r="I8333" s="25" t="n"/>
      <c r="U8333" s="19">
        <f>IF($V8333&lt;&gt;'設定'!$C$4,N(U8332),IF(OR(NOT(COUNTIF('商品マスタ'!$B$6:$B$1005,$W8333)=0),COUNTIFS('①在庫を貼る'!$V$6:$V$10005,$V8333,'①在庫を貼る'!$W$6:$W$10005,$W8333)&gt;0),N(U8332),N(U8332)+1))</f>
        <v/>
      </c>
      <c r="V8333" s="19">
        <f>IF($B8333="","",TEXT($B8333,"0000"))</f>
        <v/>
      </c>
      <c r="W8333" s="19">
        <f>IF($I8333="","",IF(ISNUMBER($I8333),TEXT($I8333,"0"),$I8333))</f>
        <v/>
      </c>
    </row>
    <row r="8334">
      <c r="B8334" s="25" t="n"/>
      <c r="I8334" s="25" t="n"/>
      <c r="U8334" s="19">
        <f>IF($V8334&lt;&gt;'設定'!$C$4,N(U8333),IF(OR(NOT(COUNTIF('商品マスタ'!$B$6:$B$1005,$W8334)=0),COUNTIFS('①在庫を貼る'!$V$6:$V$10005,$V8334,'①在庫を貼る'!$W$6:$W$10005,$W8334)&gt;0),N(U8333),N(U8333)+1))</f>
        <v/>
      </c>
      <c r="V8334" s="19">
        <f>IF($B8334="","",TEXT($B8334,"0000"))</f>
        <v/>
      </c>
      <c r="W8334" s="19">
        <f>IF($I8334="","",IF(ISNUMBER($I8334),TEXT($I8334,"0"),$I8334))</f>
        <v/>
      </c>
    </row>
    <row r="8335">
      <c r="B8335" s="25" t="n"/>
      <c r="I8335" s="25" t="n"/>
      <c r="U8335" s="19">
        <f>IF($V8335&lt;&gt;'設定'!$C$4,N(U8334),IF(OR(NOT(COUNTIF('商品マスタ'!$B$6:$B$1005,$W8335)=0),COUNTIFS('①在庫を貼る'!$V$6:$V$10005,$V8335,'①在庫を貼る'!$W$6:$W$10005,$W8335)&gt;0),N(U8334),N(U8334)+1))</f>
        <v/>
      </c>
      <c r="V8335" s="19">
        <f>IF($B8335="","",TEXT($B8335,"0000"))</f>
        <v/>
      </c>
      <c r="W8335" s="19">
        <f>IF($I8335="","",IF(ISNUMBER($I8335),TEXT($I8335,"0"),$I8335))</f>
        <v/>
      </c>
    </row>
    <row r="8336">
      <c r="B8336" s="25" t="n"/>
      <c r="I8336" s="25" t="n"/>
      <c r="U8336" s="19">
        <f>IF($V8336&lt;&gt;'設定'!$C$4,N(U8335),IF(OR(NOT(COUNTIF('商品マスタ'!$B$6:$B$1005,$W8336)=0),COUNTIFS('①在庫を貼る'!$V$6:$V$10005,$V8336,'①在庫を貼る'!$W$6:$W$10005,$W8336)&gt;0),N(U8335),N(U8335)+1))</f>
        <v/>
      </c>
      <c r="V8336" s="19">
        <f>IF($B8336="","",TEXT($B8336,"0000"))</f>
        <v/>
      </c>
      <c r="W8336" s="19">
        <f>IF($I8336="","",IF(ISNUMBER($I8336),TEXT($I8336,"0"),$I8336))</f>
        <v/>
      </c>
    </row>
    <row r="8337">
      <c r="B8337" s="25" t="n"/>
      <c r="I8337" s="25" t="n"/>
      <c r="U8337" s="19">
        <f>IF($V8337&lt;&gt;'設定'!$C$4,N(U8336),IF(OR(NOT(COUNTIF('商品マスタ'!$B$6:$B$1005,$W8337)=0),COUNTIFS('①在庫を貼る'!$V$6:$V$10005,$V8337,'①在庫を貼る'!$W$6:$W$10005,$W8337)&gt;0),N(U8336),N(U8336)+1))</f>
        <v/>
      </c>
      <c r="V8337" s="19">
        <f>IF($B8337="","",TEXT($B8337,"0000"))</f>
        <v/>
      </c>
      <c r="W8337" s="19">
        <f>IF($I8337="","",IF(ISNUMBER($I8337),TEXT($I8337,"0"),$I8337))</f>
        <v/>
      </c>
    </row>
    <row r="8338">
      <c r="B8338" s="25" t="n"/>
      <c r="I8338" s="25" t="n"/>
      <c r="U8338" s="19">
        <f>IF($V8338&lt;&gt;'設定'!$C$4,N(U8337),IF(OR(NOT(COUNTIF('商品マスタ'!$B$6:$B$1005,$W8338)=0),COUNTIFS('①在庫を貼る'!$V$6:$V$10005,$V8338,'①在庫を貼る'!$W$6:$W$10005,$W8338)&gt;0),N(U8337),N(U8337)+1))</f>
        <v/>
      </c>
      <c r="V8338" s="19">
        <f>IF($B8338="","",TEXT($B8338,"0000"))</f>
        <v/>
      </c>
      <c r="W8338" s="19">
        <f>IF($I8338="","",IF(ISNUMBER($I8338),TEXT($I8338,"0"),$I8338))</f>
        <v/>
      </c>
    </row>
    <row r="8339">
      <c r="B8339" s="25" t="n"/>
      <c r="I8339" s="25" t="n"/>
      <c r="U8339" s="19">
        <f>IF($V8339&lt;&gt;'設定'!$C$4,N(U8338),IF(OR(NOT(COUNTIF('商品マスタ'!$B$6:$B$1005,$W8339)=0),COUNTIFS('①在庫を貼る'!$V$6:$V$10005,$V8339,'①在庫を貼る'!$W$6:$W$10005,$W8339)&gt;0),N(U8338),N(U8338)+1))</f>
        <v/>
      </c>
      <c r="V8339" s="19">
        <f>IF($B8339="","",TEXT($B8339,"0000"))</f>
        <v/>
      </c>
      <c r="W8339" s="19">
        <f>IF($I8339="","",IF(ISNUMBER($I8339),TEXT($I8339,"0"),$I8339))</f>
        <v/>
      </c>
    </row>
    <row r="8340">
      <c r="B8340" s="25" t="n"/>
      <c r="I8340" s="25" t="n"/>
      <c r="U8340" s="19">
        <f>IF($V8340&lt;&gt;'設定'!$C$4,N(U8339),IF(OR(NOT(COUNTIF('商品マスタ'!$B$6:$B$1005,$W8340)=0),COUNTIFS('①在庫を貼る'!$V$6:$V$10005,$V8340,'①在庫を貼る'!$W$6:$W$10005,$W8340)&gt;0),N(U8339),N(U8339)+1))</f>
        <v/>
      </c>
      <c r="V8340" s="19">
        <f>IF($B8340="","",TEXT($B8340,"0000"))</f>
        <v/>
      </c>
      <c r="W8340" s="19">
        <f>IF($I8340="","",IF(ISNUMBER($I8340),TEXT($I8340,"0"),$I8340))</f>
        <v/>
      </c>
    </row>
    <row r="8341">
      <c r="B8341" s="25" t="n"/>
      <c r="I8341" s="25" t="n"/>
      <c r="U8341" s="19">
        <f>IF($V8341&lt;&gt;'設定'!$C$4,N(U8340),IF(OR(NOT(COUNTIF('商品マスタ'!$B$6:$B$1005,$W8341)=0),COUNTIFS('①在庫を貼る'!$V$6:$V$10005,$V8341,'①在庫を貼る'!$W$6:$W$10005,$W8341)&gt;0),N(U8340),N(U8340)+1))</f>
        <v/>
      </c>
      <c r="V8341" s="19">
        <f>IF($B8341="","",TEXT($B8341,"0000"))</f>
        <v/>
      </c>
      <c r="W8341" s="19">
        <f>IF($I8341="","",IF(ISNUMBER($I8341),TEXT($I8341,"0"),$I8341))</f>
        <v/>
      </c>
    </row>
    <row r="8342">
      <c r="B8342" s="25" t="n"/>
      <c r="I8342" s="25" t="n"/>
      <c r="U8342" s="19">
        <f>IF($V8342&lt;&gt;'設定'!$C$4,N(U8341),IF(OR(NOT(COUNTIF('商品マスタ'!$B$6:$B$1005,$W8342)=0),COUNTIFS('①在庫を貼る'!$V$6:$V$10005,$V8342,'①在庫を貼る'!$W$6:$W$10005,$W8342)&gt;0),N(U8341),N(U8341)+1))</f>
        <v/>
      </c>
      <c r="V8342" s="19">
        <f>IF($B8342="","",TEXT($B8342,"0000"))</f>
        <v/>
      </c>
      <c r="W8342" s="19">
        <f>IF($I8342="","",IF(ISNUMBER($I8342),TEXT($I8342,"0"),$I8342))</f>
        <v/>
      </c>
    </row>
    <row r="8343">
      <c r="B8343" s="25" t="n"/>
      <c r="I8343" s="25" t="n"/>
      <c r="U8343" s="19">
        <f>IF($V8343&lt;&gt;'設定'!$C$4,N(U8342),IF(OR(NOT(COUNTIF('商品マスタ'!$B$6:$B$1005,$W8343)=0),COUNTIFS('①在庫を貼る'!$V$6:$V$10005,$V8343,'①在庫を貼る'!$W$6:$W$10005,$W8343)&gt;0),N(U8342),N(U8342)+1))</f>
        <v/>
      </c>
      <c r="V8343" s="19">
        <f>IF($B8343="","",TEXT($B8343,"0000"))</f>
        <v/>
      </c>
      <c r="W8343" s="19">
        <f>IF($I8343="","",IF(ISNUMBER($I8343),TEXT($I8343,"0"),$I8343))</f>
        <v/>
      </c>
    </row>
    <row r="8344">
      <c r="B8344" s="25" t="n"/>
      <c r="I8344" s="25" t="n"/>
      <c r="U8344" s="19">
        <f>IF($V8344&lt;&gt;'設定'!$C$4,N(U8343),IF(OR(NOT(COUNTIF('商品マスタ'!$B$6:$B$1005,$W8344)=0),COUNTIFS('①在庫を貼る'!$V$6:$V$10005,$V8344,'①在庫を貼る'!$W$6:$W$10005,$W8344)&gt;0),N(U8343),N(U8343)+1))</f>
        <v/>
      </c>
      <c r="V8344" s="19">
        <f>IF($B8344="","",TEXT($B8344,"0000"))</f>
        <v/>
      </c>
      <c r="W8344" s="19">
        <f>IF($I8344="","",IF(ISNUMBER($I8344),TEXT($I8344,"0"),$I8344))</f>
        <v/>
      </c>
    </row>
    <row r="8345">
      <c r="B8345" s="25" t="n"/>
      <c r="I8345" s="25" t="n"/>
      <c r="U8345" s="19">
        <f>IF($V8345&lt;&gt;'設定'!$C$4,N(U8344),IF(OR(NOT(COUNTIF('商品マスタ'!$B$6:$B$1005,$W8345)=0),COUNTIFS('①在庫を貼る'!$V$6:$V$10005,$V8345,'①在庫を貼る'!$W$6:$W$10005,$W8345)&gt;0),N(U8344),N(U8344)+1))</f>
        <v/>
      </c>
      <c r="V8345" s="19">
        <f>IF($B8345="","",TEXT($B8345,"0000"))</f>
        <v/>
      </c>
      <c r="W8345" s="19">
        <f>IF($I8345="","",IF(ISNUMBER($I8345),TEXT($I8345,"0"),$I8345))</f>
        <v/>
      </c>
    </row>
    <row r="8346">
      <c r="B8346" s="25" t="n"/>
      <c r="I8346" s="25" t="n"/>
      <c r="U8346" s="19">
        <f>IF($V8346&lt;&gt;'設定'!$C$4,N(U8345),IF(OR(NOT(COUNTIF('商品マスタ'!$B$6:$B$1005,$W8346)=0),COUNTIFS('①在庫を貼る'!$V$6:$V$10005,$V8346,'①在庫を貼る'!$W$6:$W$10005,$W8346)&gt;0),N(U8345),N(U8345)+1))</f>
        <v/>
      </c>
      <c r="V8346" s="19">
        <f>IF($B8346="","",TEXT($B8346,"0000"))</f>
        <v/>
      </c>
      <c r="W8346" s="19">
        <f>IF($I8346="","",IF(ISNUMBER($I8346),TEXT($I8346,"0"),$I8346))</f>
        <v/>
      </c>
    </row>
    <row r="8347">
      <c r="B8347" s="25" t="n"/>
      <c r="I8347" s="25" t="n"/>
      <c r="U8347" s="19">
        <f>IF($V8347&lt;&gt;'設定'!$C$4,N(U8346),IF(OR(NOT(COUNTIF('商品マスタ'!$B$6:$B$1005,$W8347)=0),COUNTIFS('①在庫を貼る'!$V$6:$V$10005,$V8347,'①在庫を貼る'!$W$6:$W$10005,$W8347)&gt;0),N(U8346),N(U8346)+1))</f>
        <v/>
      </c>
      <c r="V8347" s="19">
        <f>IF($B8347="","",TEXT($B8347,"0000"))</f>
        <v/>
      </c>
      <c r="W8347" s="19">
        <f>IF($I8347="","",IF(ISNUMBER($I8347),TEXT($I8347,"0"),$I8347))</f>
        <v/>
      </c>
    </row>
    <row r="8348">
      <c r="B8348" s="25" t="n"/>
      <c r="I8348" s="25" t="n"/>
      <c r="U8348" s="19">
        <f>IF($V8348&lt;&gt;'設定'!$C$4,N(U8347),IF(OR(NOT(COUNTIF('商品マスタ'!$B$6:$B$1005,$W8348)=0),COUNTIFS('①在庫を貼る'!$V$6:$V$10005,$V8348,'①在庫を貼る'!$W$6:$W$10005,$W8348)&gt;0),N(U8347),N(U8347)+1))</f>
        <v/>
      </c>
      <c r="V8348" s="19">
        <f>IF($B8348="","",TEXT($B8348,"0000"))</f>
        <v/>
      </c>
      <c r="W8348" s="19">
        <f>IF($I8348="","",IF(ISNUMBER($I8348),TEXT($I8348,"0"),$I8348))</f>
        <v/>
      </c>
    </row>
    <row r="8349">
      <c r="B8349" s="25" t="n"/>
      <c r="I8349" s="25" t="n"/>
      <c r="U8349" s="19">
        <f>IF($V8349&lt;&gt;'設定'!$C$4,N(U8348),IF(OR(NOT(COUNTIF('商品マスタ'!$B$6:$B$1005,$W8349)=0),COUNTIFS('①在庫を貼る'!$V$6:$V$10005,$V8349,'①在庫を貼る'!$W$6:$W$10005,$W8349)&gt;0),N(U8348),N(U8348)+1))</f>
        <v/>
      </c>
      <c r="V8349" s="19">
        <f>IF($B8349="","",TEXT($B8349,"0000"))</f>
        <v/>
      </c>
      <c r="W8349" s="19">
        <f>IF($I8349="","",IF(ISNUMBER($I8349),TEXT($I8349,"0"),$I8349))</f>
        <v/>
      </c>
    </row>
    <row r="8350">
      <c r="B8350" s="25" t="n"/>
      <c r="I8350" s="25" t="n"/>
      <c r="U8350" s="19">
        <f>IF($V8350&lt;&gt;'設定'!$C$4,N(U8349),IF(OR(NOT(COUNTIF('商品マスタ'!$B$6:$B$1005,$W8350)=0),COUNTIFS('①在庫を貼る'!$V$6:$V$10005,$V8350,'①在庫を貼る'!$W$6:$W$10005,$W8350)&gt;0),N(U8349),N(U8349)+1))</f>
        <v/>
      </c>
      <c r="V8350" s="19">
        <f>IF($B8350="","",TEXT($B8350,"0000"))</f>
        <v/>
      </c>
      <c r="W8350" s="19">
        <f>IF($I8350="","",IF(ISNUMBER($I8350),TEXT($I8350,"0"),$I8350))</f>
        <v/>
      </c>
    </row>
    <row r="8351">
      <c r="B8351" s="25" t="n"/>
      <c r="I8351" s="25" t="n"/>
      <c r="U8351" s="19">
        <f>IF($V8351&lt;&gt;'設定'!$C$4,N(U8350),IF(OR(NOT(COUNTIF('商品マスタ'!$B$6:$B$1005,$W8351)=0),COUNTIFS('①在庫を貼る'!$V$6:$V$10005,$V8351,'①在庫を貼る'!$W$6:$W$10005,$W8351)&gt;0),N(U8350),N(U8350)+1))</f>
        <v/>
      </c>
      <c r="V8351" s="19">
        <f>IF($B8351="","",TEXT($B8351,"0000"))</f>
        <v/>
      </c>
      <c r="W8351" s="19">
        <f>IF($I8351="","",IF(ISNUMBER($I8351),TEXT($I8351,"0"),$I8351))</f>
        <v/>
      </c>
    </row>
    <row r="8352">
      <c r="B8352" s="25" t="n"/>
      <c r="I8352" s="25" t="n"/>
      <c r="U8352" s="19">
        <f>IF($V8352&lt;&gt;'設定'!$C$4,N(U8351),IF(OR(NOT(COUNTIF('商品マスタ'!$B$6:$B$1005,$W8352)=0),COUNTIFS('①在庫を貼る'!$V$6:$V$10005,$V8352,'①在庫を貼る'!$W$6:$W$10005,$W8352)&gt;0),N(U8351),N(U8351)+1))</f>
        <v/>
      </c>
      <c r="V8352" s="19">
        <f>IF($B8352="","",TEXT($B8352,"0000"))</f>
        <v/>
      </c>
      <c r="W8352" s="19">
        <f>IF($I8352="","",IF(ISNUMBER($I8352),TEXT($I8352,"0"),$I8352))</f>
        <v/>
      </c>
    </row>
    <row r="8353">
      <c r="B8353" s="25" t="n"/>
      <c r="I8353" s="25" t="n"/>
      <c r="U8353" s="19">
        <f>IF($V8353&lt;&gt;'設定'!$C$4,N(U8352),IF(OR(NOT(COUNTIF('商品マスタ'!$B$6:$B$1005,$W8353)=0),COUNTIFS('①在庫を貼る'!$V$6:$V$10005,$V8353,'①在庫を貼る'!$W$6:$W$10005,$W8353)&gt;0),N(U8352),N(U8352)+1))</f>
        <v/>
      </c>
      <c r="V8353" s="19">
        <f>IF($B8353="","",TEXT($B8353,"0000"))</f>
        <v/>
      </c>
      <c r="W8353" s="19">
        <f>IF($I8353="","",IF(ISNUMBER($I8353),TEXT($I8353,"0"),$I8353))</f>
        <v/>
      </c>
    </row>
    <row r="8354">
      <c r="B8354" s="25" t="n"/>
      <c r="I8354" s="25" t="n"/>
      <c r="U8354" s="19">
        <f>IF($V8354&lt;&gt;'設定'!$C$4,N(U8353),IF(OR(NOT(COUNTIF('商品マスタ'!$B$6:$B$1005,$W8354)=0),COUNTIFS('①在庫を貼る'!$V$6:$V$10005,$V8354,'①在庫を貼る'!$W$6:$W$10005,$W8354)&gt;0),N(U8353),N(U8353)+1))</f>
        <v/>
      </c>
      <c r="V8354" s="19">
        <f>IF($B8354="","",TEXT($B8354,"0000"))</f>
        <v/>
      </c>
      <c r="W8354" s="19">
        <f>IF($I8354="","",IF(ISNUMBER($I8354),TEXT($I8354,"0"),$I8354))</f>
        <v/>
      </c>
    </row>
    <row r="8355">
      <c r="B8355" s="25" t="n"/>
      <c r="I8355" s="25" t="n"/>
      <c r="U8355" s="19">
        <f>IF($V8355&lt;&gt;'設定'!$C$4,N(U8354),IF(OR(NOT(COUNTIF('商品マスタ'!$B$6:$B$1005,$W8355)=0),COUNTIFS('①在庫を貼る'!$V$6:$V$10005,$V8355,'①在庫を貼る'!$W$6:$W$10005,$W8355)&gt;0),N(U8354),N(U8354)+1))</f>
        <v/>
      </c>
      <c r="V8355" s="19">
        <f>IF($B8355="","",TEXT($B8355,"0000"))</f>
        <v/>
      </c>
      <c r="W8355" s="19">
        <f>IF($I8355="","",IF(ISNUMBER($I8355),TEXT($I8355,"0"),$I8355))</f>
        <v/>
      </c>
    </row>
    <row r="8356">
      <c r="B8356" s="25" t="n"/>
      <c r="I8356" s="25" t="n"/>
      <c r="U8356" s="19">
        <f>IF($V8356&lt;&gt;'設定'!$C$4,N(U8355),IF(OR(NOT(COUNTIF('商品マスタ'!$B$6:$B$1005,$W8356)=0),COUNTIFS('①在庫を貼る'!$V$6:$V$10005,$V8356,'①在庫を貼る'!$W$6:$W$10005,$W8356)&gt;0),N(U8355),N(U8355)+1))</f>
        <v/>
      </c>
      <c r="V8356" s="19">
        <f>IF($B8356="","",TEXT($B8356,"0000"))</f>
        <v/>
      </c>
      <c r="W8356" s="19">
        <f>IF($I8356="","",IF(ISNUMBER($I8356),TEXT($I8356,"0"),$I8356))</f>
        <v/>
      </c>
    </row>
    <row r="8357">
      <c r="B8357" s="25" t="n"/>
      <c r="I8357" s="25" t="n"/>
      <c r="U8357" s="19">
        <f>IF($V8357&lt;&gt;'設定'!$C$4,N(U8356),IF(OR(NOT(COUNTIF('商品マスタ'!$B$6:$B$1005,$W8357)=0),COUNTIFS('①在庫を貼る'!$V$6:$V$10005,$V8357,'①在庫を貼る'!$W$6:$W$10005,$W8357)&gt;0),N(U8356),N(U8356)+1))</f>
        <v/>
      </c>
      <c r="V8357" s="19">
        <f>IF($B8357="","",TEXT($B8357,"0000"))</f>
        <v/>
      </c>
      <c r="W8357" s="19">
        <f>IF($I8357="","",IF(ISNUMBER($I8357),TEXT($I8357,"0"),$I8357))</f>
        <v/>
      </c>
    </row>
    <row r="8358">
      <c r="B8358" s="25" t="n"/>
      <c r="I8358" s="25" t="n"/>
      <c r="U8358" s="19">
        <f>IF($V8358&lt;&gt;'設定'!$C$4,N(U8357),IF(OR(NOT(COUNTIF('商品マスタ'!$B$6:$B$1005,$W8358)=0),COUNTIFS('①在庫を貼る'!$V$6:$V$10005,$V8358,'①在庫を貼る'!$W$6:$W$10005,$W8358)&gt;0),N(U8357),N(U8357)+1))</f>
        <v/>
      </c>
      <c r="V8358" s="19">
        <f>IF($B8358="","",TEXT($B8358,"0000"))</f>
        <v/>
      </c>
      <c r="W8358" s="19">
        <f>IF($I8358="","",IF(ISNUMBER($I8358),TEXT($I8358,"0"),$I8358))</f>
        <v/>
      </c>
    </row>
    <row r="8359">
      <c r="B8359" s="25" t="n"/>
      <c r="I8359" s="25" t="n"/>
      <c r="U8359" s="19">
        <f>IF($V8359&lt;&gt;'設定'!$C$4,N(U8358),IF(OR(NOT(COUNTIF('商品マスタ'!$B$6:$B$1005,$W8359)=0),COUNTIFS('①在庫を貼る'!$V$6:$V$10005,$V8359,'①在庫を貼る'!$W$6:$W$10005,$W8359)&gt;0),N(U8358),N(U8358)+1))</f>
        <v/>
      </c>
      <c r="V8359" s="19">
        <f>IF($B8359="","",TEXT($B8359,"0000"))</f>
        <v/>
      </c>
      <c r="W8359" s="19">
        <f>IF($I8359="","",IF(ISNUMBER($I8359),TEXT($I8359,"0"),$I8359))</f>
        <v/>
      </c>
    </row>
    <row r="8360">
      <c r="B8360" s="25" t="n"/>
      <c r="I8360" s="25" t="n"/>
      <c r="U8360" s="19">
        <f>IF($V8360&lt;&gt;'設定'!$C$4,N(U8359),IF(OR(NOT(COUNTIF('商品マスタ'!$B$6:$B$1005,$W8360)=0),COUNTIFS('①在庫を貼る'!$V$6:$V$10005,$V8360,'①在庫を貼る'!$W$6:$W$10005,$W8360)&gt;0),N(U8359),N(U8359)+1))</f>
        <v/>
      </c>
      <c r="V8360" s="19">
        <f>IF($B8360="","",TEXT($B8360,"0000"))</f>
        <v/>
      </c>
      <c r="W8360" s="19">
        <f>IF($I8360="","",IF(ISNUMBER($I8360),TEXT($I8360,"0"),$I8360))</f>
        <v/>
      </c>
    </row>
    <row r="8361">
      <c r="B8361" s="25" t="n"/>
      <c r="I8361" s="25" t="n"/>
      <c r="U8361" s="19">
        <f>IF($V8361&lt;&gt;'設定'!$C$4,N(U8360),IF(OR(NOT(COUNTIF('商品マスタ'!$B$6:$B$1005,$W8361)=0),COUNTIFS('①在庫を貼る'!$V$6:$V$10005,$V8361,'①在庫を貼る'!$W$6:$W$10005,$W8361)&gt;0),N(U8360),N(U8360)+1))</f>
        <v/>
      </c>
      <c r="V8361" s="19">
        <f>IF($B8361="","",TEXT($B8361,"0000"))</f>
        <v/>
      </c>
      <c r="W8361" s="19">
        <f>IF($I8361="","",IF(ISNUMBER($I8361),TEXT($I8361,"0"),$I8361))</f>
        <v/>
      </c>
    </row>
    <row r="8362">
      <c r="B8362" s="25" t="n"/>
      <c r="I8362" s="25" t="n"/>
      <c r="U8362" s="19">
        <f>IF($V8362&lt;&gt;'設定'!$C$4,N(U8361),IF(OR(NOT(COUNTIF('商品マスタ'!$B$6:$B$1005,$W8362)=0),COUNTIFS('①在庫を貼る'!$V$6:$V$10005,$V8362,'①在庫を貼る'!$W$6:$W$10005,$W8362)&gt;0),N(U8361),N(U8361)+1))</f>
        <v/>
      </c>
      <c r="V8362" s="19">
        <f>IF($B8362="","",TEXT($B8362,"0000"))</f>
        <v/>
      </c>
      <c r="W8362" s="19">
        <f>IF($I8362="","",IF(ISNUMBER($I8362),TEXT($I8362,"0"),$I8362))</f>
        <v/>
      </c>
    </row>
    <row r="8363">
      <c r="B8363" s="25" t="n"/>
      <c r="I8363" s="25" t="n"/>
      <c r="U8363" s="19">
        <f>IF($V8363&lt;&gt;'設定'!$C$4,N(U8362),IF(OR(NOT(COUNTIF('商品マスタ'!$B$6:$B$1005,$W8363)=0),COUNTIFS('①在庫を貼る'!$V$6:$V$10005,$V8363,'①在庫を貼る'!$W$6:$W$10005,$W8363)&gt;0),N(U8362),N(U8362)+1))</f>
        <v/>
      </c>
      <c r="V8363" s="19">
        <f>IF($B8363="","",TEXT($B8363,"0000"))</f>
        <v/>
      </c>
      <c r="W8363" s="19">
        <f>IF($I8363="","",IF(ISNUMBER($I8363),TEXT($I8363,"0"),$I8363))</f>
        <v/>
      </c>
    </row>
    <row r="8364">
      <c r="B8364" s="25" t="n"/>
      <c r="I8364" s="25" t="n"/>
      <c r="U8364" s="19">
        <f>IF($V8364&lt;&gt;'設定'!$C$4,N(U8363),IF(OR(NOT(COUNTIF('商品マスタ'!$B$6:$B$1005,$W8364)=0),COUNTIFS('①在庫を貼る'!$V$6:$V$10005,$V8364,'①在庫を貼る'!$W$6:$W$10005,$W8364)&gt;0),N(U8363),N(U8363)+1))</f>
        <v/>
      </c>
      <c r="V8364" s="19">
        <f>IF($B8364="","",TEXT($B8364,"0000"))</f>
        <v/>
      </c>
      <c r="W8364" s="19">
        <f>IF($I8364="","",IF(ISNUMBER($I8364),TEXT($I8364,"0"),$I8364))</f>
        <v/>
      </c>
    </row>
    <row r="8365">
      <c r="B8365" s="25" t="n"/>
      <c r="I8365" s="25" t="n"/>
      <c r="U8365" s="19">
        <f>IF($V8365&lt;&gt;'設定'!$C$4,N(U8364),IF(OR(NOT(COUNTIF('商品マスタ'!$B$6:$B$1005,$W8365)=0),COUNTIFS('①在庫を貼る'!$V$6:$V$10005,$V8365,'①在庫を貼る'!$W$6:$W$10005,$W8365)&gt;0),N(U8364),N(U8364)+1))</f>
        <v/>
      </c>
      <c r="V8365" s="19">
        <f>IF($B8365="","",TEXT($B8365,"0000"))</f>
        <v/>
      </c>
      <c r="W8365" s="19">
        <f>IF($I8365="","",IF(ISNUMBER($I8365),TEXT($I8365,"0"),$I8365))</f>
        <v/>
      </c>
    </row>
    <row r="8366">
      <c r="B8366" s="25" t="n"/>
      <c r="I8366" s="25" t="n"/>
      <c r="U8366" s="19">
        <f>IF($V8366&lt;&gt;'設定'!$C$4,N(U8365),IF(OR(NOT(COUNTIF('商品マスタ'!$B$6:$B$1005,$W8366)=0),COUNTIFS('①在庫を貼る'!$V$6:$V$10005,$V8366,'①在庫を貼る'!$W$6:$W$10005,$W8366)&gt;0),N(U8365),N(U8365)+1))</f>
        <v/>
      </c>
      <c r="V8366" s="19">
        <f>IF($B8366="","",TEXT($B8366,"0000"))</f>
        <v/>
      </c>
      <c r="W8366" s="19">
        <f>IF($I8366="","",IF(ISNUMBER($I8366),TEXT($I8366,"0"),$I8366))</f>
        <v/>
      </c>
    </row>
    <row r="8367">
      <c r="B8367" s="25" t="n"/>
      <c r="I8367" s="25" t="n"/>
      <c r="U8367" s="19">
        <f>IF($V8367&lt;&gt;'設定'!$C$4,N(U8366),IF(OR(NOT(COUNTIF('商品マスタ'!$B$6:$B$1005,$W8367)=0),COUNTIFS('①在庫を貼る'!$V$6:$V$10005,$V8367,'①在庫を貼る'!$W$6:$W$10005,$W8367)&gt;0),N(U8366),N(U8366)+1))</f>
        <v/>
      </c>
      <c r="V8367" s="19">
        <f>IF($B8367="","",TEXT($B8367,"0000"))</f>
        <v/>
      </c>
      <c r="W8367" s="19">
        <f>IF($I8367="","",IF(ISNUMBER($I8367),TEXT($I8367,"0"),$I8367))</f>
        <v/>
      </c>
    </row>
    <row r="8368">
      <c r="B8368" s="25" t="n"/>
      <c r="I8368" s="25" t="n"/>
      <c r="U8368" s="19">
        <f>IF($V8368&lt;&gt;'設定'!$C$4,N(U8367),IF(OR(NOT(COUNTIF('商品マスタ'!$B$6:$B$1005,$W8368)=0),COUNTIFS('①在庫を貼る'!$V$6:$V$10005,$V8368,'①在庫を貼る'!$W$6:$W$10005,$W8368)&gt;0),N(U8367),N(U8367)+1))</f>
        <v/>
      </c>
      <c r="V8368" s="19">
        <f>IF($B8368="","",TEXT($B8368,"0000"))</f>
        <v/>
      </c>
      <c r="W8368" s="19">
        <f>IF($I8368="","",IF(ISNUMBER($I8368),TEXT($I8368,"0"),$I8368))</f>
        <v/>
      </c>
    </row>
    <row r="8369">
      <c r="B8369" s="25" t="n"/>
      <c r="I8369" s="25" t="n"/>
      <c r="U8369" s="19">
        <f>IF($V8369&lt;&gt;'設定'!$C$4,N(U8368),IF(OR(NOT(COUNTIF('商品マスタ'!$B$6:$B$1005,$W8369)=0),COUNTIFS('①在庫を貼る'!$V$6:$V$10005,$V8369,'①在庫を貼る'!$W$6:$W$10005,$W8369)&gt;0),N(U8368),N(U8368)+1))</f>
        <v/>
      </c>
      <c r="V8369" s="19">
        <f>IF($B8369="","",TEXT($B8369,"0000"))</f>
        <v/>
      </c>
      <c r="W8369" s="19">
        <f>IF($I8369="","",IF(ISNUMBER($I8369),TEXT($I8369,"0"),$I8369))</f>
        <v/>
      </c>
    </row>
    <row r="8370">
      <c r="B8370" s="25" t="n"/>
      <c r="I8370" s="25" t="n"/>
      <c r="U8370" s="19">
        <f>IF($V8370&lt;&gt;'設定'!$C$4,N(U8369),IF(OR(NOT(COUNTIF('商品マスタ'!$B$6:$B$1005,$W8370)=0),COUNTIFS('①在庫を貼る'!$V$6:$V$10005,$V8370,'①在庫を貼る'!$W$6:$W$10005,$W8370)&gt;0),N(U8369),N(U8369)+1))</f>
        <v/>
      </c>
      <c r="V8370" s="19">
        <f>IF($B8370="","",TEXT($B8370,"0000"))</f>
        <v/>
      </c>
      <c r="W8370" s="19">
        <f>IF($I8370="","",IF(ISNUMBER($I8370),TEXT($I8370,"0"),$I8370))</f>
        <v/>
      </c>
    </row>
    <row r="8371">
      <c r="B8371" s="25" t="n"/>
      <c r="I8371" s="25" t="n"/>
      <c r="U8371" s="19">
        <f>IF($V8371&lt;&gt;'設定'!$C$4,N(U8370),IF(OR(NOT(COUNTIF('商品マスタ'!$B$6:$B$1005,$W8371)=0),COUNTIFS('①在庫を貼る'!$V$6:$V$10005,$V8371,'①在庫を貼る'!$W$6:$W$10005,$W8371)&gt;0),N(U8370),N(U8370)+1))</f>
        <v/>
      </c>
      <c r="V8371" s="19">
        <f>IF($B8371="","",TEXT($B8371,"0000"))</f>
        <v/>
      </c>
      <c r="W8371" s="19">
        <f>IF($I8371="","",IF(ISNUMBER($I8371),TEXT($I8371,"0"),$I8371))</f>
        <v/>
      </c>
    </row>
    <row r="8372">
      <c r="B8372" s="25" t="n"/>
      <c r="I8372" s="25" t="n"/>
      <c r="U8372" s="19">
        <f>IF($V8372&lt;&gt;'設定'!$C$4,N(U8371),IF(OR(NOT(COUNTIF('商品マスタ'!$B$6:$B$1005,$W8372)=0),COUNTIFS('①在庫を貼る'!$V$6:$V$10005,$V8372,'①在庫を貼る'!$W$6:$W$10005,$W8372)&gt;0),N(U8371),N(U8371)+1))</f>
        <v/>
      </c>
      <c r="V8372" s="19">
        <f>IF($B8372="","",TEXT($B8372,"0000"))</f>
        <v/>
      </c>
      <c r="W8372" s="19">
        <f>IF($I8372="","",IF(ISNUMBER($I8372),TEXT($I8372,"0"),$I8372))</f>
        <v/>
      </c>
    </row>
    <row r="8373">
      <c r="B8373" s="25" t="n"/>
      <c r="I8373" s="25" t="n"/>
      <c r="U8373" s="19">
        <f>IF($V8373&lt;&gt;'設定'!$C$4,N(U8372),IF(OR(NOT(COUNTIF('商品マスタ'!$B$6:$B$1005,$W8373)=0),COUNTIFS('①在庫を貼る'!$V$6:$V$10005,$V8373,'①在庫を貼る'!$W$6:$W$10005,$W8373)&gt;0),N(U8372),N(U8372)+1))</f>
        <v/>
      </c>
      <c r="V8373" s="19">
        <f>IF($B8373="","",TEXT($B8373,"0000"))</f>
        <v/>
      </c>
      <c r="W8373" s="19">
        <f>IF($I8373="","",IF(ISNUMBER($I8373),TEXT($I8373,"0"),$I8373))</f>
        <v/>
      </c>
    </row>
    <row r="8374">
      <c r="B8374" s="25" t="n"/>
      <c r="I8374" s="25" t="n"/>
      <c r="U8374" s="19">
        <f>IF($V8374&lt;&gt;'設定'!$C$4,N(U8373),IF(OR(NOT(COUNTIF('商品マスタ'!$B$6:$B$1005,$W8374)=0),COUNTIFS('①在庫を貼る'!$V$6:$V$10005,$V8374,'①在庫を貼る'!$W$6:$W$10005,$W8374)&gt;0),N(U8373),N(U8373)+1))</f>
        <v/>
      </c>
      <c r="V8374" s="19">
        <f>IF($B8374="","",TEXT($B8374,"0000"))</f>
        <v/>
      </c>
      <c r="W8374" s="19">
        <f>IF($I8374="","",IF(ISNUMBER($I8374),TEXT($I8374,"0"),$I8374))</f>
        <v/>
      </c>
    </row>
    <row r="8375">
      <c r="B8375" s="25" t="n"/>
      <c r="I8375" s="25" t="n"/>
      <c r="U8375" s="19">
        <f>IF($V8375&lt;&gt;'設定'!$C$4,N(U8374),IF(OR(NOT(COUNTIF('商品マスタ'!$B$6:$B$1005,$W8375)=0),COUNTIFS('①在庫を貼る'!$V$6:$V$10005,$V8375,'①在庫を貼る'!$W$6:$W$10005,$W8375)&gt;0),N(U8374),N(U8374)+1))</f>
        <v/>
      </c>
      <c r="V8375" s="19">
        <f>IF($B8375="","",TEXT($B8375,"0000"))</f>
        <v/>
      </c>
      <c r="W8375" s="19">
        <f>IF($I8375="","",IF(ISNUMBER($I8375),TEXT($I8375,"0"),$I8375))</f>
        <v/>
      </c>
    </row>
    <row r="8376">
      <c r="B8376" s="25" t="n"/>
      <c r="I8376" s="25" t="n"/>
      <c r="U8376" s="19">
        <f>IF($V8376&lt;&gt;'設定'!$C$4,N(U8375),IF(OR(NOT(COUNTIF('商品マスタ'!$B$6:$B$1005,$W8376)=0),COUNTIFS('①在庫を貼る'!$V$6:$V$10005,$V8376,'①在庫を貼る'!$W$6:$W$10005,$W8376)&gt;0),N(U8375),N(U8375)+1))</f>
        <v/>
      </c>
      <c r="V8376" s="19">
        <f>IF($B8376="","",TEXT($B8376,"0000"))</f>
        <v/>
      </c>
      <c r="W8376" s="19">
        <f>IF($I8376="","",IF(ISNUMBER($I8376),TEXT($I8376,"0"),$I8376))</f>
        <v/>
      </c>
    </row>
    <row r="8377">
      <c r="B8377" s="25" t="n"/>
      <c r="I8377" s="25" t="n"/>
      <c r="U8377" s="19">
        <f>IF($V8377&lt;&gt;'設定'!$C$4,N(U8376),IF(OR(NOT(COUNTIF('商品マスタ'!$B$6:$B$1005,$W8377)=0),COUNTIFS('①在庫を貼る'!$V$6:$V$10005,$V8377,'①在庫を貼る'!$W$6:$W$10005,$W8377)&gt;0),N(U8376),N(U8376)+1))</f>
        <v/>
      </c>
      <c r="V8377" s="19">
        <f>IF($B8377="","",TEXT($B8377,"0000"))</f>
        <v/>
      </c>
      <c r="W8377" s="19">
        <f>IF($I8377="","",IF(ISNUMBER($I8377),TEXT($I8377,"0"),$I8377))</f>
        <v/>
      </c>
    </row>
    <row r="8378">
      <c r="B8378" s="25" t="n"/>
      <c r="I8378" s="25" t="n"/>
      <c r="U8378" s="19">
        <f>IF($V8378&lt;&gt;'設定'!$C$4,N(U8377),IF(OR(NOT(COUNTIF('商品マスタ'!$B$6:$B$1005,$W8378)=0),COUNTIFS('①在庫を貼る'!$V$6:$V$10005,$V8378,'①在庫を貼る'!$W$6:$W$10005,$W8378)&gt;0),N(U8377),N(U8377)+1))</f>
        <v/>
      </c>
      <c r="V8378" s="19">
        <f>IF($B8378="","",TEXT($B8378,"0000"))</f>
        <v/>
      </c>
      <c r="W8378" s="19">
        <f>IF($I8378="","",IF(ISNUMBER($I8378),TEXT($I8378,"0"),$I8378))</f>
        <v/>
      </c>
    </row>
    <row r="8379">
      <c r="B8379" s="25" t="n"/>
      <c r="I8379" s="25" t="n"/>
      <c r="U8379" s="19">
        <f>IF($V8379&lt;&gt;'設定'!$C$4,N(U8378),IF(OR(NOT(COUNTIF('商品マスタ'!$B$6:$B$1005,$W8379)=0),COUNTIFS('①在庫を貼る'!$V$6:$V$10005,$V8379,'①在庫を貼る'!$W$6:$W$10005,$W8379)&gt;0),N(U8378),N(U8378)+1))</f>
        <v/>
      </c>
      <c r="V8379" s="19">
        <f>IF($B8379="","",TEXT($B8379,"0000"))</f>
        <v/>
      </c>
      <c r="W8379" s="19">
        <f>IF($I8379="","",IF(ISNUMBER($I8379),TEXT($I8379,"0"),$I8379))</f>
        <v/>
      </c>
    </row>
    <row r="8380">
      <c r="B8380" s="25" t="n"/>
      <c r="I8380" s="25" t="n"/>
      <c r="U8380" s="19">
        <f>IF($V8380&lt;&gt;'設定'!$C$4,N(U8379),IF(OR(NOT(COUNTIF('商品マスタ'!$B$6:$B$1005,$W8380)=0),COUNTIFS('①在庫を貼る'!$V$6:$V$10005,$V8380,'①在庫を貼る'!$W$6:$W$10005,$W8380)&gt;0),N(U8379),N(U8379)+1))</f>
        <v/>
      </c>
      <c r="V8380" s="19">
        <f>IF($B8380="","",TEXT($B8380,"0000"))</f>
        <v/>
      </c>
      <c r="W8380" s="19">
        <f>IF($I8380="","",IF(ISNUMBER($I8380),TEXT($I8380,"0"),$I8380))</f>
        <v/>
      </c>
    </row>
    <row r="8381">
      <c r="B8381" s="25" t="n"/>
      <c r="I8381" s="25" t="n"/>
      <c r="U8381" s="19">
        <f>IF($V8381&lt;&gt;'設定'!$C$4,N(U8380),IF(OR(NOT(COUNTIF('商品マスタ'!$B$6:$B$1005,$W8381)=0),COUNTIFS('①在庫を貼る'!$V$6:$V$10005,$V8381,'①在庫を貼る'!$W$6:$W$10005,$W8381)&gt;0),N(U8380),N(U8380)+1))</f>
        <v/>
      </c>
      <c r="V8381" s="19">
        <f>IF($B8381="","",TEXT($B8381,"0000"))</f>
        <v/>
      </c>
      <c r="W8381" s="19">
        <f>IF($I8381="","",IF(ISNUMBER($I8381),TEXT($I8381,"0"),$I8381))</f>
        <v/>
      </c>
    </row>
    <row r="8382">
      <c r="B8382" s="25" t="n"/>
      <c r="I8382" s="25" t="n"/>
      <c r="U8382" s="19">
        <f>IF($V8382&lt;&gt;'設定'!$C$4,N(U8381),IF(OR(NOT(COUNTIF('商品マスタ'!$B$6:$B$1005,$W8382)=0),COUNTIFS('①在庫を貼る'!$V$6:$V$10005,$V8382,'①在庫を貼る'!$W$6:$W$10005,$W8382)&gt;0),N(U8381),N(U8381)+1))</f>
        <v/>
      </c>
      <c r="V8382" s="19">
        <f>IF($B8382="","",TEXT($B8382,"0000"))</f>
        <v/>
      </c>
      <c r="W8382" s="19">
        <f>IF($I8382="","",IF(ISNUMBER($I8382),TEXT($I8382,"0"),$I8382))</f>
        <v/>
      </c>
    </row>
    <row r="8383">
      <c r="B8383" s="25" t="n"/>
      <c r="I8383" s="25" t="n"/>
      <c r="U8383" s="19">
        <f>IF($V8383&lt;&gt;'設定'!$C$4,N(U8382),IF(OR(NOT(COUNTIF('商品マスタ'!$B$6:$B$1005,$W8383)=0),COUNTIFS('①在庫を貼る'!$V$6:$V$10005,$V8383,'①在庫を貼る'!$W$6:$W$10005,$W8383)&gt;0),N(U8382),N(U8382)+1))</f>
        <v/>
      </c>
      <c r="V8383" s="19">
        <f>IF($B8383="","",TEXT($B8383,"0000"))</f>
        <v/>
      </c>
      <c r="W8383" s="19">
        <f>IF($I8383="","",IF(ISNUMBER($I8383),TEXT($I8383,"0"),$I8383))</f>
        <v/>
      </c>
    </row>
    <row r="8384">
      <c r="B8384" s="25" t="n"/>
      <c r="I8384" s="25" t="n"/>
      <c r="U8384" s="19">
        <f>IF($V8384&lt;&gt;'設定'!$C$4,N(U8383),IF(OR(NOT(COUNTIF('商品マスタ'!$B$6:$B$1005,$W8384)=0),COUNTIFS('①在庫を貼る'!$V$6:$V$10005,$V8384,'①在庫を貼る'!$W$6:$W$10005,$W8384)&gt;0),N(U8383),N(U8383)+1))</f>
        <v/>
      </c>
      <c r="V8384" s="19">
        <f>IF($B8384="","",TEXT($B8384,"0000"))</f>
        <v/>
      </c>
      <c r="W8384" s="19">
        <f>IF($I8384="","",IF(ISNUMBER($I8384),TEXT($I8384,"0"),$I8384))</f>
        <v/>
      </c>
    </row>
    <row r="8385">
      <c r="B8385" s="25" t="n"/>
      <c r="I8385" s="25" t="n"/>
      <c r="U8385" s="19">
        <f>IF($V8385&lt;&gt;'設定'!$C$4,N(U8384),IF(OR(NOT(COUNTIF('商品マスタ'!$B$6:$B$1005,$W8385)=0),COUNTIFS('①在庫を貼る'!$V$6:$V$10005,$V8385,'①在庫を貼る'!$W$6:$W$10005,$W8385)&gt;0),N(U8384),N(U8384)+1))</f>
        <v/>
      </c>
      <c r="V8385" s="19">
        <f>IF($B8385="","",TEXT($B8385,"0000"))</f>
        <v/>
      </c>
      <c r="W8385" s="19">
        <f>IF($I8385="","",IF(ISNUMBER($I8385),TEXT($I8385,"0"),$I8385))</f>
        <v/>
      </c>
    </row>
    <row r="8386">
      <c r="B8386" s="25" t="n"/>
      <c r="I8386" s="25" t="n"/>
      <c r="U8386" s="19">
        <f>IF($V8386&lt;&gt;'設定'!$C$4,N(U8385),IF(OR(NOT(COUNTIF('商品マスタ'!$B$6:$B$1005,$W8386)=0),COUNTIFS('①在庫を貼る'!$V$6:$V$10005,$V8386,'①在庫を貼る'!$W$6:$W$10005,$W8386)&gt;0),N(U8385),N(U8385)+1))</f>
        <v/>
      </c>
      <c r="V8386" s="19">
        <f>IF($B8386="","",TEXT($B8386,"0000"))</f>
        <v/>
      </c>
      <c r="W8386" s="19">
        <f>IF($I8386="","",IF(ISNUMBER($I8386),TEXT($I8386,"0"),$I8386))</f>
        <v/>
      </c>
    </row>
    <row r="8387">
      <c r="B8387" s="25" t="n"/>
      <c r="I8387" s="25" t="n"/>
      <c r="U8387" s="19">
        <f>IF($V8387&lt;&gt;'設定'!$C$4,N(U8386),IF(OR(NOT(COUNTIF('商品マスタ'!$B$6:$B$1005,$W8387)=0),COUNTIFS('①在庫を貼る'!$V$6:$V$10005,$V8387,'①在庫を貼る'!$W$6:$W$10005,$W8387)&gt;0),N(U8386),N(U8386)+1))</f>
        <v/>
      </c>
      <c r="V8387" s="19">
        <f>IF($B8387="","",TEXT($B8387,"0000"))</f>
        <v/>
      </c>
      <c r="W8387" s="19">
        <f>IF($I8387="","",IF(ISNUMBER($I8387),TEXT($I8387,"0"),$I8387))</f>
        <v/>
      </c>
    </row>
    <row r="8388">
      <c r="B8388" s="25" t="n"/>
      <c r="I8388" s="25" t="n"/>
      <c r="U8388" s="19">
        <f>IF($V8388&lt;&gt;'設定'!$C$4,N(U8387),IF(OR(NOT(COUNTIF('商品マスタ'!$B$6:$B$1005,$W8388)=0),COUNTIFS('①在庫を貼る'!$V$6:$V$10005,$V8388,'①在庫を貼る'!$W$6:$W$10005,$W8388)&gt;0),N(U8387),N(U8387)+1))</f>
        <v/>
      </c>
      <c r="V8388" s="19">
        <f>IF($B8388="","",TEXT($B8388,"0000"))</f>
        <v/>
      </c>
      <c r="W8388" s="19">
        <f>IF($I8388="","",IF(ISNUMBER($I8388),TEXT($I8388,"0"),$I8388))</f>
        <v/>
      </c>
    </row>
    <row r="8389">
      <c r="B8389" s="25" t="n"/>
      <c r="I8389" s="25" t="n"/>
      <c r="U8389" s="19">
        <f>IF($V8389&lt;&gt;'設定'!$C$4,N(U8388),IF(OR(NOT(COUNTIF('商品マスタ'!$B$6:$B$1005,$W8389)=0),COUNTIFS('①在庫を貼る'!$V$6:$V$10005,$V8389,'①在庫を貼る'!$W$6:$W$10005,$W8389)&gt;0),N(U8388),N(U8388)+1))</f>
        <v/>
      </c>
      <c r="V8389" s="19">
        <f>IF($B8389="","",TEXT($B8389,"0000"))</f>
        <v/>
      </c>
      <c r="W8389" s="19">
        <f>IF($I8389="","",IF(ISNUMBER($I8389),TEXT($I8389,"0"),$I8389))</f>
        <v/>
      </c>
    </row>
    <row r="8390">
      <c r="B8390" s="25" t="n"/>
      <c r="I8390" s="25" t="n"/>
      <c r="U8390" s="19">
        <f>IF($V8390&lt;&gt;'設定'!$C$4,N(U8389),IF(OR(NOT(COUNTIF('商品マスタ'!$B$6:$B$1005,$W8390)=0),COUNTIFS('①在庫を貼る'!$V$6:$V$10005,$V8390,'①在庫を貼る'!$W$6:$W$10005,$W8390)&gt;0),N(U8389),N(U8389)+1))</f>
        <v/>
      </c>
      <c r="V8390" s="19">
        <f>IF($B8390="","",TEXT($B8390,"0000"))</f>
        <v/>
      </c>
      <c r="W8390" s="19">
        <f>IF($I8390="","",IF(ISNUMBER($I8390),TEXT($I8390,"0"),$I8390))</f>
        <v/>
      </c>
    </row>
    <row r="8391">
      <c r="B8391" s="25" t="n"/>
      <c r="I8391" s="25" t="n"/>
      <c r="U8391" s="19">
        <f>IF($V8391&lt;&gt;'設定'!$C$4,N(U8390),IF(OR(NOT(COUNTIF('商品マスタ'!$B$6:$B$1005,$W8391)=0),COUNTIFS('①在庫を貼る'!$V$6:$V$10005,$V8391,'①在庫を貼る'!$W$6:$W$10005,$W8391)&gt;0),N(U8390),N(U8390)+1))</f>
        <v/>
      </c>
      <c r="V8391" s="19">
        <f>IF($B8391="","",TEXT($B8391,"0000"))</f>
        <v/>
      </c>
      <c r="W8391" s="19">
        <f>IF($I8391="","",IF(ISNUMBER($I8391),TEXT($I8391,"0"),$I8391))</f>
        <v/>
      </c>
    </row>
    <row r="8392">
      <c r="B8392" s="25" t="n"/>
      <c r="I8392" s="25" t="n"/>
      <c r="U8392" s="19">
        <f>IF($V8392&lt;&gt;'設定'!$C$4,N(U8391),IF(OR(NOT(COUNTIF('商品マスタ'!$B$6:$B$1005,$W8392)=0),COUNTIFS('①在庫を貼る'!$V$6:$V$10005,$V8392,'①在庫を貼る'!$W$6:$W$10005,$W8392)&gt;0),N(U8391),N(U8391)+1))</f>
        <v/>
      </c>
      <c r="V8392" s="19">
        <f>IF($B8392="","",TEXT($B8392,"0000"))</f>
        <v/>
      </c>
      <c r="W8392" s="19">
        <f>IF($I8392="","",IF(ISNUMBER($I8392),TEXT($I8392,"0"),$I8392))</f>
        <v/>
      </c>
    </row>
    <row r="8393">
      <c r="B8393" s="25" t="n"/>
      <c r="I8393" s="25" t="n"/>
      <c r="U8393" s="19">
        <f>IF($V8393&lt;&gt;'設定'!$C$4,N(U8392),IF(OR(NOT(COUNTIF('商品マスタ'!$B$6:$B$1005,$W8393)=0),COUNTIFS('①在庫を貼る'!$V$6:$V$10005,$V8393,'①在庫を貼る'!$W$6:$W$10005,$W8393)&gt;0),N(U8392),N(U8392)+1))</f>
        <v/>
      </c>
      <c r="V8393" s="19">
        <f>IF($B8393="","",TEXT($B8393,"0000"))</f>
        <v/>
      </c>
      <c r="W8393" s="19">
        <f>IF($I8393="","",IF(ISNUMBER($I8393),TEXT($I8393,"0"),$I8393))</f>
        <v/>
      </c>
    </row>
    <row r="8394">
      <c r="B8394" s="25" t="n"/>
      <c r="I8394" s="25" t="n"/>
      <c r="U8394" s="19">
        <f>IF($V8394&lt;&gt;'設定'!$C$4,N(U8393),IF(OR(NOT(COUNTIF('商品マスタ'!$B$6:$B$1005,$W8394)=0),COUNTIFS('①在庫を貼る'!$V$6:$V$10005,$V8394,'①在庫を貼る'!$W$6:$W$10005,$W8394)&gt;0),N(U8393),N(U8393)+1))</f>
        <v/>
      </c>
      <c r="V8394" s="19">
        <f>IF($B8394="","",TEXT($B8394,"0000"))</f>
        <v/>
      </c>
      <c r="W8394" s="19">
        <f>IF($I8394="","",IF(ISNUMBER($I8394),TEXT($I8394,"0"),$I8394))</f>
        <v/>
      </c>
    </row>
    <row r="8395">
      <c r="B8395" s="25" t="n"/>
      <c r="I8395" s="25" t="n"/>
      <c r="U8395" s="19">
        <f>IF($V8395&lt;&gt;'設定'!$C$4,N(U8394),IF(OR(NOT(COUNTIF('商品マスタ'!$B$6:$B$1005,$W8395)=0),COUNTIFS('①在庫を貼る'!$V$6:$V$10005,$V8395,'①在庫を貼る'!$W$6:$W$10005,$W8395)&gt;0),N(U8394),N(U8394)+1))</f>
        <v/>
      </c>
      <c r="V8395" s="19">
        <f>IF($B8395="","",TEXT($B8395,"0000"))</f>
        <v/>
      </c>
      <c r="W8395" s="19">
        <f>IF($I8395="","",IF(ISNUMBER($I8395),TEXT($I8395,"0"),$I8395))</f>
        <v/>
      </c>
    </row>
    <row r="8396">
      <c r="B8396" s="25" t="n"/>
      <c r="I8396" s="25" t="n"/>
      <c r="U8396" s="19">
        <f>IF($V8396&lt;&gt;'設定'!$C$4,N(U8395),IF(OR(NOT(COUNTIF('商品マスタ'!$B$6:$B$1005,$W8396)=0),COUNTIFS('①在庫を貼る'!$V$6:$V$10005,$V8396,'①在庫を貼る'!$W$6:$W$10005,$W8396)&gt;0),N(U8395),N(U8395)+1))</f>
        <v/>
      </c>
      <c r="V8396" s="19">
        <f>IF($B8396="","",TEXT($B8396,"0000"))</f>
        <v/>
      </c>
      <c r="W8396" s="19">
        <f>IF($I8396="","",IF(ISNUMBER($I8396),TEXT($I8396,"0"),$I8396))</f>
        <v/>
      </c>
    </row>
    <row r="8397">
      <c r="B8397" s="25" t="n"/>
      <c r="I8397" s="25" t="n"/>
      <c r="U8397" s="19">
        <f>IF($V8397&lt;&gt;'設定'!$C$4,N(U8396),IF(OR(NOT(COUNTIF('商品マスタ'!$B$6:$B$1005,$W8397)=0),COUNTIFS('①在庫を貼る'!$V$6:$V$10005,$V8397,'①在庫を貼る'!$W$6:$W$10005,$W8397)&gt;0),N(U8396),N(U8396)+1))</f>
        <v/>
      </c>
      <c r="V8397" s="19">
        <f>IF($B8397="","",TEXT($B8397,"0000"))</f>
        <v/>
      </c>
      <c r="W8397" s="19">
        <f>IF($I8397="","",IF(ISNUMBER($I8397),TEXT($I8397,"0"),$I8397))</f>
        <v/>
      </c>
    </row>
    <row r="8398">
      <c r="B8398" s="25" t="n"/>
      <c r="I8398" s="25" t="n"/>
      <c r="U8398" s="19">
        <f>IF($V8398&lt;&gt;'設定'!$C$4,N(U8397),IF(OR(NOT(COUNTIF('商品マスタ'!$B$6:$B$1005,$W8398)=0),COUNTIFS('①在庫を貼る'!$V$6:$V$10005,$V8398,'①在庫を貼る'!$W$6:$W$10005,$W8398)&gt;0),N(U8397),N(U8397)+1))</f>
        <v/>
      </c>
      <c r="V8398" s="19">
        <f>IF($B8398="","",TEXT($B8398,"0000"))</f>
        <v/>
      </c>
      <c r="W8398" s="19">
        <f>IF($I8398="","",IF(ISNUMBER($I8398),TEXT($I8398,"0"),$I8398))</f>
        <v/>
      </c>
    </row>
    <row r="8399">
      <c r="B8399" s="25" t="n"/>
      <c r="I8399" s="25" t="n"/>
      <c r="U8399" s="19">
        <f>IF($V8399&lt;&gt;'設定'!$C$4,N(U8398),IF(OR(NOT(COUNTIF('商品マスタ'!$B$6:$B$1005,$W8399)=0),COUNTIFS('①在庫を貼る'!$V$6:$V$10005,$V8399,'①在庫を貼る'!$W$6:$W$10005,$W8399)&gt;0),N(U8398),N(U8398)+1))</f>
        <v/>
      </c>
      <c r="V8399" s="19">
        <f>IF($B8399="","",TEXT($B8399,"0000"))</f>
        <v/>
      </c>
      <c r="W8399" s="19">
        <f>IF($I8399="","",IF(ISNUMBER($I8399),TEXT($I8399,"0"),$I8399))</f>
        <v/>
      </c>
    </row>
    <row r="8400">
      <c r="B8400" s="25" t="n"/>
      <c r="I8400" s="25" t="n"/>
      <c r="U8400" s="19">
        <f>IF($V8400&lt;&gt;'設定'!$C$4,N(U8399),IF(OR(NOT(COUNTIF('商品マスタ'!$B$6:$B$1005,$W8400)=0),COUNTIFS('①在庫を貼る'!$V$6:$V$10005,$V8400,'①在庫を貼る'!$W$6:$W$10005,$W8400)&gt;0),N(U8399),N(U8399)+1))</f>
        <v/>
      </c>
      <c r="V8400" s="19">
        <f>IF($B8400="","",TEXT($B8400,"0000"))</f>
        <v/>
      </c>
      <c r="W8400" s="19">
        <f>IF($I8400="","",IF(ISNUMBER($I8400),TEXT($I8400,"0"),$I8400))</f>
        <v/>
      </c>
    </row>
    <row r="8401">
      <c r="B8401" s="25" t="n"/>
      <c r="I8401" s="25" t="n"/>
      <c r="U8401" s="19">
        <f>IF($V8401&lt;&gt;'設定'!$C$4,N(U8400),IF(OR(NOT(COUNTIF('商品マスタ'!$B$6:$B$1005,$W8401)=0),COUNTIFS('①在庫を貼る'!$V$6:$V$10005,$V8401,'①在庫を貼る'!$W$6:$W$10005,$W8401)&gt;0),N(U8400),N(U8400)+1))</f>
        <v/>
      </c>
      <c r="V8401" s="19">
        <f>IF($B8401="","",TEXT($B8401,"0000"))</f>
        <v/>
      </c>
      <c r="W8401" s="19">
        <f>IF($I8401="","",IF(ISNUMBER($I8401),TEXT($I8401,"0"),$I8401))</f>
        <v/>
      </c>
    </row>
    <row r="8402">
      <c r="B8402" s="25" t="n"/>
      <c r="I8402" s="25" t="n"/>
      <c r="U8402" s="19">
        <f>IF($V8402&lt;&gt;'設定'!$C$4,N(U8401),IF(OR(NOT(COUNTIF('商品マスタ'!$B$6:$B$1005,$W8402)=0),COUNTIFS('①在庫を貼る'!$V$6:$V$10005,$V8402,'①在庫を貼る'!$W$6:$W$10005,$W8402)&gt;0),N(U8401),N(U8401)+1))</f>
        <v/>
      </c>
      <c r="V8402" s="19">
        <f>IF($B8402="","",TEXT($B8402,"0000"))</f>
        <v/>
      </c>
      <c r="W8402" s="19">
        <f>IF($I8402="","",IF(ISNUMBER($I8402),TEXT($I8402,"0"),$I8402))</f>
        <v/>
      </c>
    </row>
    <row r="8403">
      <c r="B8403" s="25" t="n"/>
      <c r="I8403" s="25" t="n"/>
      <c r="U8403" s="19">
        <f>IF($V8403&lt;&gt;'設定'!$C$4,N(U8402),IF(OR(NOT(COUNTIF('商品マスタ'!$B$6:$B$1005,$W8403)=0),COUNTIFS('①在庫を貼る'!$V$6:$V$10005,$V8403,'①在庫を貼る'!$W$6:$W$10005,$W8403)&gt;0),N(U8402),N(U8402)+1))</f>
        <v/>
      </c>
      <c r="V8403" s="19">
        <f>IF($B8403="","",TEXT($B8403,"0000"))</f>
        <v/>
      </c>
      <c r="W8403" s="19">
        <f>IF($I8403="","",IF(ISNUMBER($I8403),TEXT($I8403,"0"),$I8403))</f>
        <v/>
      </c>
    </row>
    <row r="8404">
      <c r="B8404" s="25" t="n"/>
      <c r="I8404" s="25" t="n"/>
      <c r="U8404" s="19">
        <f>IF($V8404&lt;&gt;'設定'!$C$4,N(U8403),IF(OR(NOT(COUNTIF('商品マスタ'!$B$6:$B$1005,$W8404)=0),COUNTIFS('①在庫を貼る'!$V$6:$V$10005,$V8404,'①在庫を貼る'!$W$6:$W$10005,$W8404)&gt;0),N(U8403),N(U8403)+1))</f>
        <v/>
      </c>
      <c r="V8404" s="19">
        <f>IF($B8404="","",TEXT($B8404,"0000"))</f>
        <v/>
      </c>
      <c r="W8404" s="19">
        <f>IF($I8404="","",IF(ISNUMBER($I8404),TEXT($I8404,"0"),$I8404))</f>
        <v/>
      </c>
    </row>
    <row r="8405">
      <c r="B8405" s="25" t="n"/>
      <c r="I8405" s="25" t="n"/>
      <c r="U8405" s="19">
        <f>IF($V8405&lt;&gt;'設定'!$C$4,N(U8404),IF(OR(NOT(COUNTIF('商品マスタ'!$B$6:$B$1005,$W8405)=0),COUNTIFS('①在庫を貼る'!$V$6:$V$10005,$V8405,'①在庫を貼る'!$W$6:$W$10005,$W8405)&gt;0),N(U8404),N(U8404)+1))</f>
        <v/>
      </c>
      <c r="V8405" s="19">
        <f>IF($B8405="","",TEXT($B8405,"0000"))</f>
        <v/>
      </c>
      <c r="W8405" s="19">
        <f>IF($I8405="","",IF(ISNUMBER($I8405),TEXT($I8405,"0"),$I8405))</f>
        <v/>
      </c>
    </row>
    <row r="8406">
      <c r="B8406" s="25" t="n"/>
      <c r="I8406" s="25" t="n"/>
      <c r="U8406" s="19">
        <f>IF($V8406&lt;&gt;'設定'!$C$4,N(U8405),IF(OR(NOT(COUNTIF('商品マスタ'!$B$6:$B$1005,$W8406)=0),COUNTIFS('①在庫を貼る'!$V$6:$V$10005,$V8406,'①在庫を貼る'!$W$6:$W$10005,$W8406)&gt;0),N(U8405),N(U8405)+1))</f>
        <v/>
      </c>
      <c r="V8406" s="19">
        <f>IF($B8406="","",TEXT($B8406,"0000"))</f>
        <v/>
      </c>
      <c r="W8406" s="19">
        <f>IF($I8406="","",IF(ISNUMBER($I8406),TEXT($I8406,"0"),$I8406))</f>
        <v/>
      </c>
    </row>
    <row r="8407">
      <c r="B8407" s="25" t="n"/>
      <c r="I8407" s="25" t="n"/>
      <c r="U8407" s="19">
        <f>IF($V8407&lt;&gt;'設定'!$C$4,N(U8406),IF(OR(NOT(COUNTIF('商品マスタ'!$B$6:$B$1005,$W8407)=0),COUNTIFS('①在庫を貼る'!$V$6:$V$10005,$V8407,'①在庫を貼る'!$W$6:$W$10005,$W8407)&gt;0),N(U8406),N(U8406)+1))</f>
        <v/>
      </c>
      <c r="V8407" s="19">
        <f>IF($B8407="","",TEXT($B8407,"0000"))</f>
        <v/>
      </c>
      <c r="W8407" s="19">
        <f>IF($I8407="","",IF(ISNUMBER($I8407),TEXT($I8407,"0"),$I8407))</f>
        <v/>
      </c>
    </row>
    <row r="8408">
      <c r="B8408" s="25" t="n"/>
      <c r="I8408" s="25" t="n"/>
      <c r="U8408" s="19">
        <f>IF($V8408&lt;&gt;'設定'!$C$4,N(U8407),IF(OR(NOT(COUNTIF('商品マスタ'!$B$6:$B$1005,$W8408)=0),COUNTIFS('①在庫を貼る'!$V$6:$V$10005,$V8408,'①在庫を貼る'!$W$6:$W$10005,$W8408)&gt;0),N(U8407),N(U8407)+1))</f>
        <v/>
      </c>
      <c r="V8408" s="19">
        <f>IF($B8408="","",TEXT($B8408,"0000"))</f>
        <v/>
      </c>
      <c r="W8408" s="19">
        <f>IF($I8408="","",IF(ISNUMBER($I8408),TEXT($I8408,"0"),$I8408))</f>
        <v/>
      </c>
    </row>
    <row r="8409">
      <c r="B8409" s="25" t="n"/>
      <c r="I8409" s="25" t="n"/>
      <c r="U8409" s="19">
        <f>IF($V8409&lt;&gt;'設定'!$C$4,N(U8408),IF(OR(NOT(COUNTIF('商品マスタ'!$B$6:$B$1005,$W8409)=0),COUNTIFS('①在庫を貼る'!$V$6:$V$10005,$V8409,'①在庫を貼る'!$W$6:$W$10005,$W8409)&gt;0),N(U8408),N(U8408)+1))</f>
        <v/>
      </c>
      <c r="V8409" s="19">
        <f>IF($B8409="","",TEXT($B8409,"0000"))</f>
        <v/>
      </c>
      <c r="W8409" s="19">
        <f>IF($I8409="","",IF(ISNUMBER($I8409),TEXT($I8409,"0"),$I8409))</f>
        <v/>
      </c>
    </row>
    <row r="8410">
      <c r="B8410" s="25" t="n"/>
      <c r="I8410" s="25" t="n"/>
      <c r="U8410" s="19">
        <f>IF($V8410&lt;&gt;'設定'!$C$4,N(U8409),IF(OR(NOT(COUNTIF('商品マスタ'!$B$6:$B$1005,$W8410)=0),COUNTIFS('①在庫を貼る'!$V$6:$V$10005,$V8410,'①在庫を貼る'!$W$6:$W$10005,$W8410)&gt;0),N(U8409),N(U8409)+1))</f>
        <v/>
      </c>
      <c r="V8410" s="19">
        <f>IF($B8410="","",TEXT($B8410,"0000"))</f>
        <v/>
      </c>
      <c r="W8410" s="19">
        <f>IF($I8410="","",IF(ISNUMBER($I8410),TEXT($I8410,"0"),$I8410))</f>
        <v/>
      </c>
    </row>
    <row r="8411">
      <c r="B8411" s="25" t="n"/>
      <c r="I8411" s="25" t="n"/>
      <c r="U8411" s="19">
        <f>IF($V8411&lt;&gt;'設定'!$C$4,N(U8410),IF(OR(NOT(COUNTIF('商品マスタ'!$B$6:$B$1005,$W8411)=0),COUNTIFS('①在庫を貼る'!$V$6:$V$10005,$V8411,'①在庫を貼る'!$W$6:$W$10005,$W8411)&gt;0),N(U8410),N(U8410)+1))</f>
        <v/>
      </c>
      <c r="V8411" s="19">
        <f>IF($B8411="","",TEXT($B8411,"0000"))</f>
        <v/>
      </c>
      <c r="W8411" s="19">
        <f>IF($I8411="","",IF(ISNUMBER($I8411),TEXT($I8411,"0"),$I8411))</f>
        <v/>
      </c>
    </row>
    <row r="8412">
      <c r="B8412" s="25" t="n"/>
      <c r="I8412" s="25" t="n"/>
      <c r="U8412" s="19">
        <f>IF($V8412&lt;&gt;'設定'!$C$4,N(U8411),IF(OR(NOT(COUNTIF('商品マスタ'!$B$6:$B$1005,$W8412)=0),COUNTIFS('①在庫を貼る'!$V$6:$V$10005,$V8412,'①在庫を貼る'!$W$6:$W$10005,$W8412)&gt;0),N(U8411),N(U8411)+1))</f>
        <v/>
      </c>
      <c r="V8412" s="19">
        <f>IF($B8412="","",TEXT($B8412,"0000"))</f>
        <v/>
      </c>
      <c r="W8412" s="19">
        <f>IF($I8412="","",IF(ISNUMBER($I8412),TEXT($I8412,"0"),$I8412))</f>
        <v/>
      </c>
    </row>
    <row r="8413">
      <c r="B8413" s="25" t="n"/>
      <c r="I8413" s="25" t="n"/>
      <c r="U8413" s="19">
        <f>IF($V8413&lt;&gt;'設定'!$C$4,N(U8412),IF(OR(NOT(COUNTIF('商品マスタ'!$B$6:$B$1005,$W8413)=0),COUNTIFS('①在庫を貼る'!$V$6:$V$10005,$V8413,'①在庫を貼る'!$W$6:$W$10005,$W8413)&gt;0),N(U8412),N(U8412)+1))</f>
        <v/>
      </c>
      <c r="V8413" s="19">
        <f>IF($B8413="","",TEXT($B8413,"0000"))</f>
        <v/>
      </c>
      <c r="W8413" s="19">
        <f>IF($I8413="","",IF(ISNUMBER($I8413),TEXT($I8413,"0"),$I8413))</f>
        <v/>
      </c>
    </row>
    <row r="8414">
      <c r="B8414" s="25" t="n"/>
      <c r="I8414" s="25" t="n"/>
      <c r="U8414" s="19">
        <f>IF($V8414&lt;&gt;'設定'!$C$4,N(U8413),IF(OR(NOT(COUNTIF('商品マスタ'!$B$6:$B$1005,$W8414)=0),COUNTIFS('①在庫を貼る'!$V$6:$V$10005,$V8414,'①在庫を貼る'!$W$6:$W$10005,$W8414)&gt;0),N(U8413),N(U8413)+1))</f>
        <v/>
      </c>
      <c r="V8414" s="19">
        <f>IF($B8414="","",TEXT($B8414,"0000"))</f>
        <v/>
      </c>
      <c r="W8414" s="19">
        <f>IF($I8414="","",IF(ISNUMBER($I8414),TEXT($I8414,"0"),$I8414))</f>
        <v/>
      </c>
    </row>
    <row r="8415">
      <c r="B8415" s="25" t="n"/>
      <c r="I8415" s="25" t="n"/>
      <c r="U8415" s="19">
        <f>IF($V8415&lt;&gt;'設定'!$C$4,N(U8414),IF(OR(NOT(COUNTIF('商品マスタ'!$B$6:$B$1005,$W8415)=0),COUNTIFS('①在庫を貼る'!$V$6:$V$10005,$V8415,'①在庫を貼る'!$W$6:$W$10005,$W8415)&gt;0),N(U8414),N(U8414)+1))</f>
        <v/>
      </c>
      <c r="V8415" s="19">
        <f>IF($B8415="","",TEXT($B8415,"0000"))</f>
        <v/>
      </c>
      <c r="W8415" s="19">
        <f>IF($I8415="","",IF(ISNUMBER($I8415),TEXT($I8415,"0"),$I8415))</f>
        <v/>
      </c>
    </row>
    <row r="8416">
      <c r="B8416" s="25" t="n"/>
      <c r="I8416" s="25" t="n"/>
      <c r="U8416" s="19">
        <f>IF($V8416&lt;&gt;'設定'!$C$4,N(U8415),IF(OR(NOT(COUNTIF('商品マスタ'!$B$6:$B$1005,$W8416)=0),COUNTIFS('①在庫を貼る'!$V$6:$V$10005,$V8416,'①在庫を貼る'!$W$6:$W$10005,$W8416)&gt;0),N(U8415),N(U8415)+1))</f>
        <v/>
      </c>
      <c r="V8416" s="19">
        <f>IF($B8416="","",TEXT($B8416,"0000"))</f>
        <v/>
      </c>
      <c r="W8416" s="19">
        <f>IF($I8416="","",IF(ISNUMBER($I8416),TEXT($I8416,"0"),$I8416))</f>
        <v/>
      </c>
    </row>
    <row r="8417">
      <c r="B8417" s="25" t="n"/>
      <c r="I8417" s="25" t="n"/>
      <c r="U8417" s="19">
        <f>IF($V8417&lt;&gt;'設定'!$C$4,N(U8416),IF(OR(NOT(COUNTIF('商品マスタ'!$B$6:$B$1005,$W8417)=0),COUNTIFS('①在庫を貼る'!$V$6:$V$10005,$V8417,'①在庫を貼る'!$W$6:$W$10005,$W8417)&gt;0),N(U8416),N(U8416)+1))</f>
        <v/>
      </c>
      <c r="V8417" s="19">
        <f>IF($B8417="","",TEXT($B8417,"0000"))</f>
        <v/>
      </c>
      <c r="W8417" s="19">
        <f>IF($I8417="","",IF(ISNUMBER($I8417),TEXT($I8417,"0"),$I8417))</f>
        <v/>
      </c>
    </row>
    <row r="8418">
      <c r="B8418" s="25" t="n"/>
      <c r="I8418" s="25" t="n"/>
      <c r="U8418" s="19">
        <f>IF($V8418&lt;&gt;'設定'!$C$4,N(U8417),IF(OR(NOT(COUNTIF('商品マスタ'!$B$6:$B$1005,$W8418)=0),COUNTIFS('①在庫を貼る'!$V$6:$V$10005,$V8418,'①在庫を貼る'!$W$6:$W$10005,$W8418)&gt;0),N(U8417),N(U8417)+1))</f>
        <v/>
      </c>
      <c r="V8418" s="19">
        <f>IF($B8418="","",TEXT($B8418,"0000"))</f>
        <v/>
      </c>
      <c r="W8418" s="19">
        <f>IF($I8418="","",IF(ISNUMBER($I8418),TEXT($I8418,"0"),$I8418))</f>
        <v/>
      </c>
    </row>
    <row r="8419">
      <c r="B8419" s="25" t="n"/>
      <c r="I8419" s="25" t="n"/>
      <c r="U8419" s="19">
        <f>IF($V8419&lt;&gt;'設定'!$C$4,N(U8418),IF(OR(NOT(COUNTIF('商品マスタ'!$B$6:$B$1005,$W8419)=0),COUNTIFS('①在庫を貼る'!$V$6:$V$10005,$V8419,'①在庫を貼る'!$W$6:$W$10005,$W8419)&gt;0),N(U8418),N(U8418)+1))</f>
        <v/>
      </c>
      <c r="V8419" s="19">
        <f>IF($B8419="","",TEXT($B8419,"0000"))</f>
        <v/>
      </c>
      <c r="W8419" s="19">
        <f>IF($I8419="","",IF(ISNUMBER($I8419),TEXT($I8419,"0"),$I8419))</f>
        <v/>
      </c>
    </row>
    <row r="8420">
      <c r="B8420" s="25" t="n"/>
      <c r="I8420" s="25" t="n"/>
      <c r="U8420" s="19">
        <f>IF($V8420&lt;&gt;'設定'!$C$4,N(U8419),IF(OR(NOT(COUNTIF('商品マスタ'!$B$6:$B$1005,$W8420)=0),COUNTIFS('①在庫を貼る'!$V$6:$V$10005,$V8420,'①在庫を貼る'!$W$6:$W$10005,$W8420)&gt;0),N(U8419),N(U8419)+1))</f>
        <v/>
      </c>
      <c r="V8420" s="19">
        <f>IF($B8420="","",TEXT($B8420,"0000"))</f>
        <v/>
      </c>
      <c r="W8420" s="19">
        <f>IF($I8420="","",IF(ISNUMBER($I8420),TEXT($I8420,"0"),$I8420))</f>
        <v/>
      </c>
    </row>
    <row r="8421">
      <c r="B8421" s="25" t="n"/>
      <c r="I8421" s="25" t="n"/>
      <c r="U8421" s="19">
        <f>IF($V8421&lt;&gt;'設定'!$C$4,N(U8420),IF(OR(NOT(COUNTIF('商品マスタ'!$B$6:$B$1005,$W8421)=0),COUNTIFS('①在庫を貼る'!$V$6:$V$10005,$V8421,'①在庫を貼る'!$W$6:$W$10005,$W8421)&gt;0),N(U8420),N(U8420)+1))</f>
        <v/>
      </c>
      <c r="V8421" s="19">
        <f>IF($B8421="","",TEXT($B8421,"0000"))</f>
        <v/>
      </c>
      <c r="W8421" s="19">
        <f>IF($I8421="","",IF(ISNUMBER($I8421),TEXT($I8421,"0"),$I8421))</f>
        <v/>
      </c>
    </row>
    <row r="8422">
      <c r="B8422" s="25" t="n"/>
      <c r="I8422" s="25" t="n"/>
      <c r="U8422" s="19">
        <f>IF($V8422&lt;&gt;'設定'!$C$4,N(U8421),IF(OR(NOT(COUNTIF('商品マスタ'!$B$6:$B$1005,$W8422)=0),COUNTIFS('①在庫を貼る'!$V$6:$V$10005,$V8422,'①在庫を貼る'!$W$6:$W$10005,$W8422)&gt;0),N(U8421),N(U8421)+1))</f>
        <v/>
      </c>
      <c r="V8422" s="19">
        <f>IF($B8422="","",TEXT($B8422,"0000"))</f>
        <v/>
      </c>
      <c r="W8422" s="19">
        <f>IF($I8422="","",IF(ISNUMBER($I8422),TEXT($I8422,"0"),$I8422))</f>
        <v/>
      </c>
    </row>
    <row r="8423">
      <c r="B8423" s="25" t="n"/>
      <c r="I8423" s="25" t="n"/>
      <c r="U8423" s="19">
        <f>IF($V8423&lt;&gt;'設定'!$C$4,N(U8422),IF(OR(NOT(COUNTIF('商品マスタ'!$B$6:$B$1005,$W8423)=0),COUNTIFS('①在庫を貼る'!$V$6:$V$10005,$V8423,'①在庫を貼る'!$W$6:$W$10005,$W8423)&gt;0),N(U8422),N(U8422)+1))</f>
        <v/>
      </c>
      <c r="V8423" s="19">
        <f>IF($B8423="","",TEXT($B8423,"0000"))</f>
        <v/>
      </c>
      <c r="W8423" s="19">
        <f>IF($I8423="","",IF(ISNUMBER($I8423),TEXT($I8423,"0"),$I8423))</f>
        <v/>
      </c>
    </row>
    <row r="8424">
      <c r="B8424" s="25" t="n"/>
      <c r="I8424" s="25" t="n"/>
      <c r="U8424" s="19">
        <f>IF($V8424&lt;&gt;'設定'!$C$4,N(U8423),IF(OR(NOT(COUNTIF('商品マスタ'!$B$6:$B$1005,$W8424)=0),COUNTIFS('①在庫を貼る'!$V$6:$V$10005,$V8424,'①在庫を貼る'!$W$6:$W$10005,$W8424)&gt;0),N(U8423),N(U8423)+1))</f>
        <v/>
      </c>
      <c r="V8424" s="19">
        <f>IF($B8424="","",TEXT($B8424,"0000"))</f>
        <v/>
      </c>
      <c r="W8424" s="19">
        <f>IF($I8424="","",IF(ISNUMBER($I8424),TEXT($I8424,"0"),$I8424))</f>
        <v/>
      </c>
    </row>
    <row r="8425">
      <c r="B8425" s="25" t="n"/>
      <c r="I8425" s="25" t="n"/>
      <c r="U8425" s="19">
        <f>IF($V8425&lt;&gt;'設定'!$C$4,N(U8424),IF(OR(NOT(COUNTIF('商品マスタ'!$B$6:$B$1005,$W8425)=0),COUNTIFS('①在庫を貼る'!$V$6:$V$10005,$V8425,'①在庫を貼る'!$W$6:$W$10005,$W8425)&gt;0),N(U8424),N(U8424)+1))</f>
        <v/>
      </c>
      <c r="V8425" s="19">
        <f>IF($B8425="","",TEXT($B8425,"0000"))</f>
        <v/>
      </c>
      <c r="W8425" s="19">
        <f>IF($I8425="","",IF(ISNUMBER($I8425),TEXT($I8425,"0"),$I8425))</f>
        <v/>
      </c>
    </row>
    <row r="8426">
      <c r="B8426" s="25" t="n"/>
      <c r="I8426" s="25" t="n"/>
      <c r="U8426" s="19">
        <f>IF($V8426&lt;&gt;'設定'!$C$4,N(U8425),IF(OR(NOT(COUNTIF('商品マスタ'!$B$6:$B$1005,$W8426)=0),COUNTIFS('①在庫を貼る'!$V$6:$V$10005,$V8426,'①在庫を貼る'!$W$6:$W$10005,$W8426)&gt;0),N(U8425),N(U8425)+1))</f>
        <v/>
      </c>
      <c r="V8426" s="19">
        <f>IF($B8426="","",TEXT($B8426,"0000"))</f>
        <v/>
      </c>
      <c r="W8426" s="19">
        <f>IF($I8426="","",IF(ISNUMBER($I8426),TEXT($I8426,"0"),$I8426))</f>
        <v/>
      </c>
    </row>
    <row r="8427">
      <c r="B8427" s="25" t="n"/>
      <c r="I8427" s="25" t="n"/>
      <c r="U8427" s="19">
        <f>IF($V8427&lt;&gt;'設定'!$C$4,N(U8426),IF(OR(NOT(COUNTIF('商品マスタ'!$B$6:$B$1005,$W8427)=0),COUNTIFS('①在庫を貼る'!$V$6:$V$10005,$V8427,'①在庫を貼る'!$W$6:$W$10005,$W8427)&gt;0),N(U8426),N(U8426)+1))</f>
        <v/>
      </c>
      <c r="V8427" s="19">
        <f>IF($B8427="","",TEXT($B8427,"0000"))</f>
        <v/>
      </c>
      <c r="W8427" s="19">
        <f>IF($I8427="","",IF(ISNUMBER($I8427),TEXT($I8427,"0"),$I8427))</f>
        <v/>
      </c>
    </row>
    <row r="8428">
      <c r="B8428" s="25" t="n"/>
      <c r="I8428" s="25" t="n"/>
      <c r="U8428" s="19">
        <f>IF($V8428&lt;&gt;'設定'!$C$4,N(U8427),IF(OR(NOT(COUNTIF('商品マスタ'!$B$6:$B$1005,$W8428)=0),COUNTIFS('①在庫を貼る'!$V$6:$V$10005,$V8428,'①在庫を貼る'!$W$6:$W$10005,$W8428)&gt;0),N(U8427),N(U8427)+1))</f>
        <v/>
      </c>
      <c r="V8428" s="19">
        <f>IF($B8428="","",TEXT($B8428,"0000"))</f>
        <v/>
      </c>
      <c r="W8428" s="19">
        <f>IF($I8428="","",IF(ISNUMBER($I8428),TEXT($I8428,"0"),$I8428))</f>
        <v/>
      </c>
    </row>
    <row r="8429">
      <c r="B8429" s="25" t="n"/>
      <c r="I8429" s="25" t="n"/>
      <c r="U8429" s="19">
        <f>IF($V8429&lt;&gt;'設定'!$C$4,N(U8428),IF(OR(NOT(COUNTIF('商品マスタ'!$B$6:$B$1005,$W8429)=0),COUNTIFS('①在庫を貼る'!$V$6:$V$10005,$V8429,'①在庫を貼る'!$W$6:$W$10005,$W8429)&gt;0),N(U8428),N(U8428)+1))</f>
        <v/>
      </c>
      <c r="V8429" s="19">
        <f>IF($B8429="","",TEXT($B8429,"0000"))</f>
        <v/>
      </c>
      <c r="W8429" s="19">
        <f>IF($I8429="","",IF(ISNUMBER($I8429),TEXT($I8429,"0"),$I8429))</f>
        <v/>
      </c>
    </row>
    <row r="8430">
      <c r="B8430" s="25" t="n"/>
      <c r="I8430" s="25" t="n"/>
      <c r="U8430" s="19">
        <f>IF($V8430&lt;&gt;'設定'!$C$4,N(U8429),IF(OR(NOT(COUNTIF('商品マスタ'!$B$6:$B$1005,$W8430)=0),COUNTIFS('①在庫を貼る'!$V$6:$V$10005,$V8430,'①在庫を貼る'!$W$6:$W$10005,$W8430)&gt;0),N(U8429),N(U8429)+1))</f>
        <v/>
      </c>
      <c r="V8430" s="19">
        <f>IF($B8430="","",TEXT($B8430,"0000"))</f>
        <v/>
      </c>
      <c r="W8430" s="19">
        <f>IF($I8430="","",IF(ISNUMBER($I8430),TEXT($I8430,"0"),$I8430))</f>
        <v/>
      </c>
    </row>
    <row r="8431">
      <c r="B8431" s="25" t="n"/>
      <c r="I8431" s="25" t="n"/>
      <c r="U8431" s="19">
        <f>IF($V8431&lt;&gt;'設定'!$C$4,N(U8430),IF(OR(NOT(COUNTIF('商品マスタ'!$B$6:$B$1005,$W8431)=0),COUNTIFS('①在庫を貼る'!$V$6:$V$10005,$V8431,'①在庫を貼る'!$W$6:$W$10005,$W8431)&gt;0),N(U8430),N(U8430)+1))</f>
        <v/>
      </c>
      <c r="V8431" s="19">
        <f>IF($B8431="","",TEXT($B8431,"0000"))</f>
        <v/>
      </c>
      <c r="W8431" s="19">
        <f>IF($I8431="","",IF(ISNUMBER($I8431),TEXT($I8431,"0"),$I8431))</f>
        <v/>
      </c>
    </row>
    <row r="8432">
      <c r="B8432" s="25" t="n"/>
      <c r="I8432" s="25" t="n"/>
      <c r="U8432" s="19">
        <f>IF($V8432&lt;&gt;'設定'!$C$4,N(U8431),IF(OR(NOT(COUNTIF('商品マスタ'!$B$6:$B$1005,$W8432)=0),COUNTIFS('①在庫を貼る'!$V$6:$V$10005,$V8432,'①在庫を貼る'!$W$6:$W$10005,$W8432)&gt;0),N(U8431),N(U8431)+1))</f>
        <v/>
      </c>
      <c r="V8432" s="19">
        <f>IF($B8432="","",TEXT($B8432,"0000"))</f>
        <v/>
      </c>
      <c r="W8432" s="19">
        <f>IF($I8432="","",IF(ISNUMBER($I8432),TEXT($I8432,"0"),$I8432))</f>
        <v/>
      </c>
    </row>
    <row r="8433">
      <c r="B8433" s="25" t="n"/>
      <c r="I8433" s="25" t="n"/>
      <c r="U8433" s="19">
        <f>IF($V8433&lt;&gt;'設定'!$C$4,N(U8432),IF(OR(NOT(COUNTIF('商品マスタ'!$B$6:$B$1005,$W8433)=0),COUNTIFS('①在庫を貼る'!$V$6:$V$10005,$V8433,'①在庫を貼る'!$W$6:$W$10005,$W8433)&gt;0),N(U8432),N(U8432)+1))</f>
        <v/>
      </c>
      <c r="V8433" s="19">
        <f>IF($B8433="","",TEXT($B8433,"0000"))</f>
        <v/>
      </c>
      <c r="W8433" s="19">
        <f>IF($I8433="","",IF(ISNUMBER($I8433),TEXT($I8433,"0"),$I8433))</f>
        <v/>
      </c>
    </row>
    <row r="8434">
      <c r="B8434" s="25" t="n"/>
      <c r="I8434" s="25" t="n"/>
      <c r="U8434" s="19">
        <f>IF($V8434&lt;&gt;'設定'!$C$4,N(U8433),IF(OR(NOT(COUNTIF('商品マスタ'!$B$6:$B$1005,$W8434)=0),COUNTIFS('①在庫を貼る'!$V$6:$V$10005,$V8434,'①在庫を貼る'!$W$6:$W$10005,$W8434)&gt;0),N(U8433),N(U8433)+1))</f>
        <v/>
      </c>
      <c r="V8434" s="19">
        <f>IF($B8434="","",TEXT($B8434,"0000"))</f>
        <v/>
      </c>
      <c r="W8434" s="19">
        <f>IF($I8434="","",IF(ISNUMBER($I8434),TEXT($I8434,"0"),$I8434))</f>
        <v/>
      </c>
    </row>
    <row r="8435">
      <c r="B8435" s="25" t="n"/>
      <c r="I8435" s="25" t="n"/>
      <c r="U8435" s="19">
        <f>IF($V8435&lt;&gt;'設定'!$C$4,N(U8434),IF(OR(NOT(COUNTIF('商品マスタ'!$B$6:$B$1005,$W8435)=0),COUNTIFS('①在庫を貼る'!$V$6:$V$10005,$V8435,'①在庫を貼る'!$W$6:$W$10005,$W8435)&gt;0),N(U8434),N(U8434)+1))</f>
        <v/>
      </c>
      <c r="V8435" s="19">
        <f>IF($B8435="","",TEXT($B8435,"0000"))</f>
        <v/>
      </c>
      <c r="W8435" s="19">
        <f>IF($I8435="","",IF(ISNUMBER($I8435),TEXT($I8435,"0"),$I8435))</f>
        <v/>
      </c>
    </row>
    <row r="8436">
      <c r="B8436" s="25" t="n"/>
      <c r="I8436" s="25" t="n"/>
      <c r="U8436" s="19">
        <f>IF($V8436&lt;&gt;'設定'!$C$4,N(U8435),IF(OR(NOT(COUNTIF('商品マスタ'!$B$6:$B$1005,$W8436)=0),COUNTIFS('①在庫を貼る'!$V$6:$V$10005,$V8436,'①在庫を貼る'!$W$6:$W$10005,$W8436)&gt;0),N(U8435),N(U8435)+1))</f>
        <v/>
      </c>
      <c r="V8436" s="19">
        <f>IF($B8436="","",TEXT($B8436,"0000"))</f>
        <v/>
      </c>
      <c r="W8436" s="19">
        <f>IF($I8436="","",IF(ISNUMBER($I8436),TEXT($I8436,"0"),$I8436))</f>
        <v/>
      </c>
    </row>
    <row r="8437">
      <c r="B8437" s="25" t="n"/>
      <c r="I8437" s="25" t="n"/>
      <c r="U8437" s="19">
        <f>IF($V8437&lt;&gt;'設定'!$C$4,N(U8436),IF(OR(NOT(COUNTIF('商品マスタ'!$B$6:$B$1005,$W8437)=0),COUNTIFS('①在庫を貼る'!$V$6:$V$10005,$V8437,'①在庫を貼る'!$W$6:$W$10005,$W8437)&gt;0),N(U8436),N(U8436)+1))</f>
        <v/>
      </c>
      <c r="V8437" s="19">
        <f>IF($B8437="","",TEXT($B8437,"0000"))</f>
        <v/>
      </c>
      <c r="W8437" s="19">
        <f>IF($I8437="","",IF(ISNUMBER($I8437),TEXT($I8437,"0"),$I8437))</f>
        <v/>
      </c>
    </row>
    <row r="8438">
      <c r="B8438" s="25" t="n"/>
      <c r="I8438" s="25" t="n"/>
      <c r="U8438" s="19">
        <f>IF($V8438&lt;&gt;'設定'!$C$4,N(U8437),IF(OR(NOT(COUNTIF('商品マスタ'!$B$6:$B$1005,$W8438)=0),COUNTIFS('①在庫を貼る'!$V$6:$V$10005,$V8438,'①在庫を貼る'!$W$6:$W$10005,$W8438)&gt;0),N(U8437),N(U8437)+1))</f>
        <v/>
      </c>
      <c r="V8438" s="19">
        <f>IF($B8438="","",TEXT($B8438,"0000"))</f>
        <v/>
      </c>
      <c r="W8438" s="19">
        <f>IF($I8438="","",IF(ISNUMBER($I8438),TEXT($I8438,"0"),$I8438))</f>
        <v/>
      </c>
    </row>
    <row r="8439">
      <c r="B8439" s="25" t="n"/>
      <c r="I8439" s="25" t="n"/>
      <c r="U8439" s="19">
        <f>IF($V8439&lt;&gt;'設定'!$C$4,N(U8438),IF(OR(NOT(COUNTIF('商品マスタ'!$B$6:$B$1005,$W8439)=0),COUNTIFS('①在庫を貼る'!$V$6:$V$10005,$V8439,'①在庫を貼る'!$W$6:$W$10005,$W8439)&gt;0),N(U8438),N(U8438)+1))</f>
        <v/>
      </c>
      <c r="V8439" s="19">
        <f>IF($B8439="","",TEXT($B8439,"0000"))</f>
        <v/>
      </c>
      <c r="W8439" s="19">
        <f>IF($I8439="","",IF(ISNUMBER($I8439),TEXT($I8439,"0"),$I8439))</f>
        <v/>
      </c>
    </row>
    <row r="8440">
      <c r="B8440" s="25" t="n"/>
      <c r="I8440" s="25" t="n"/>
      <c r="U8440" s="19">
        <f>IF($V8440&lt;&gt;'設定'!$C$4,N(U8439),IF(OR(NOT(COUNTIF('商品マスタ'!$B$6:$B$1005,$W8440)=0),COUNTIFS('①在庫を貼る'!$V$6:$V$10005,$V8440,'①在庫を貼る'!$W$6:$W$10005,$W8440)&gt;0),N(U8439),N(U8439)+1))</f>
        <v/>
      </c>
      <c r="V8440" s="19">
        <f>IF($B8440="","",TEXT($B8440,"0000"))</f>
        <v/>
      </c>
      <c r="W8440" s="19">
        <f>IF($I8440="","",IF(ISNUMBER($I8440),TEXT($I8440,"0"),$I8440))</f>
        <v/>
      </c>
    </row>
    <row r="8441">
      <c r="B8441" s="25" t="n"/>
      <c r="I8441" s="25" t="n"/>
      <c r="U8441" s="19">
        <f>IF($V8441&lt;&gt;'設定'!$C$4,N(U8440),IF(OR(NOT(COUNTIF('商品マスタ'!$B$6:$B$1005,$W8441)=0),COUNTIFS('①在庫を貼る'!$V$6:$V$10005,$V8441,'①在庫を貼る'!$W$6:$W$10005,$W8441)&gt;0),N(U8440),N(U8440)+1))</f>
        <v/>
      </c>
      <c r="V8441" s="19">
        <f>IF($B8441="","",TEXT($B8441,"0000"))</f>
        <v/>
      </c>
      <c r="W8441" s="19">
        <f>IF($I8441="","",IF(ISNUMBER($I8441),TEXT($I8441,"0"),$I8441))</f>
        <v/>
      </c>
    </row>
    <row r="8442">
      <c r="B8442" s="25" t="n"/>
      <c r="I8442" s="25" t="n"/>
      <c r="U8442" s="19">
        <f>IF($V8442&lt;&gt;'設定'!$C$4,N(U8441),IF(OR(NOT(COUNTIF('商品マスタ'!$B$6:$B$1005,$W8442)=0),COUNTIFS('①在庫を貼る'!$V$6:$V$10005,$V8442,'①在庫を貼る'!$W$6:$W$10005,$W8442)&gt;0),N(U8441),N(U8441)+1))</f>
        <v/>
      </c>
      <c r="V8442" s="19">
        <f>IF($B8442="","",TEXT($B8442,"0000"))</f>
        <v/>
      </c>
      <c r="W8442" s="19">
        <f>IF($I8442="","",IF(ISNUMBER($I8442),TEXT($I8442,"0"),$I8442))</f>
        <v/>
      </c>
    </row>
    <row r="8443">
      <c r="B8443" s="25" t="n"/>
      <c r="I8443" s="25" t="n"/>
      <c r="U8443" s="19">
        <f>IF($V8443&lt;&gt;'設定'!$C$4,N(U8442),IF(OR(NOT(COUNTIF('商品マスタ'!$B$6:$B$1005,$W8443)=0),COUNTIFS('①在庫を貼る'!$V$6:$V$10005,$V8443,'①在庫を貼る'!$W$6:$W$10005,$W8443)&gt;0),N(U8442),N(U8442)+1))</f>
        <v/>
      </c>
      <c r="V8443" s="19">
        <f>IF($B8443="","",TEXT($B8443,"0000"))</f>
        <v/>
      </c>
      <c r="W8443" s="19">
        <f>IF($I8443="","",IF(ISNUMBER($I8443),TEXT($I8443,"0"),$I8443))</f>
        <v/>
      </c>
    </row>
    <row r="8444">
      <c r="B8444" s="25" t="n"/>
      <c r="I8444" s="25" t="n"/>
      <c r="U8444" s="19">
        <f>IF($V8444&lt;&gt;'設定'!$C$4,N(U8443),IF(OR(NOT(COUNTIF('商品マスタ'!$B$6:$B$1005,$W8444)=0),COUNTIFS('①在庫を貼る'!$V$6:$V$10005,$V8444,'①在庫を貼る'!$W$6:$W$10005,$W8444)&gt;0),N(U8443),N(U8443)+1))</f>
        <v/>
      </c>
      <c r="V8444" s="19">
        <f>IF($B8444="","",TEXT($B8444,"0000"))</f>
        <v/>
      </c>
      <c r="W8444" s="19">
        <f>IF($I8444="","",IF(ISNUMBER($I8444),TEXT($I8444,"0"),$I8444))</f>
        <v/>
      </c>
    </row>
    <row r="8445">
      <c r="B8445" s="25" t="n"/>
      <c r="I8445" s="25" t="n"/>
      <c r="U8445" s="19">
        <f>IF($V8445&lt;&gt;'設定'!$C$4,N(U8444),IF(OR(NOT(COUNTIF('商品マスタ'!$B$6:$B$1005,$W8445)=0),COUNTIFS('①在庫を貼る'!$V$6:$V$10005,$V8445,'①在庫を貼る'!$W$6:$W$10005,$W8445)&gt;0),N(U8444),N(U8444)+1))</f>
        <v/>
      </c>
      <c r="V8445" s="19">
        <f>IF($B8445="","",TEXT($B8445,"0000"))</f>
        <v/>
      </c>
      <c r="W8445" s="19">
        <f>IF($I8445="","",IF(ISNUMBER($I8445),TEXT($I8445,"0"),$I8445))</f>
        <v/>
      </c>
    </row>
    <row r="8446">
      <c r="B8446" s="25" t="n"/>
      <c r="I8446" s="25" t="n"/>
      <c r="U8446" s="19">
        <f>IF($V8446&lt;&gt;'設定'!$C$4,N(U8445),IF(OR(NOT(COUNTIF('商品マスタ'!$B$6:$B$1005,$W8446)=0),COUNTIFS('①在庫を貼る'!$V$6:$V$10005,$V8446,'①在庫を貼る'!$W$6:$W$10005,$W8446)&gt;0),N(U8445),N(U8445)+1))</f>
        <v/>
      </c>
      <c r="V8446" s="19">
        <f>IF($B8446="","",TEXT($B8446,"0000"))</f>
        <v/>
      </c>
      <c r="W8446" s="19">
        <f>IF($I8446="","",IF(ISNUMBER($I8446),TEXT($I8446,"0"),$I8446))</f>
        <v/>
      </c>
    </row>
    <row r="8447">
      <c r="B8447" s="25" t="n"/>
      <c r="I8447" s="25" t="n"/>
      <c r="U8447" s="19">
        <f>IF($V8447&lt;&gt;'設定'!$C$4,N(U8446),IF(OR(NOT(COUNTIF('商品マスタ'!$B$6:$B$1005,$W8447)=0),COUNTIFS('①在庫を貼る'!$V$6:$V$10005,$V8447,'①在庫を貼る'!$W$6:$W$10005,$W8447)&gt;0),N(U8446),N(U8446)+1))</f>
        <v/>
      </c>
      <c r="V8447" s="19">
        <f>IF($B8447="","",TEXT($B8447,"0000"))</f>
        <v/>
      </c>
      <c r="W8447" s="19">
        <f>IF($I8447="","",IF(ISNUMBER($I8447),TEXT($I8447,"0"),$I8447))</f>
        <v/>
      </c>
    </row>
    <row r="8448">
      <c r="B8448" s="25" t="n"/>
      <c r="I8448" s="25" t="n"/>
      <c r="U8448" s="19">
        <f>IF($V8448&lt;&gt;'設定'!$C$4,N(U8447),IF(OR(NOT(COUNTIF('商品マスタ'!$B$6:$B$1005,$W8448)=0),COUNTIFS('①在庫を貼る'!$V$6:$V$10005,$V8448,'①在庫を貼る'!$W$6:$W$10005,$W8448)&gt;0),N(U8447),N(U8447)+1))</f>
        <v/>
      </c>
      <c r="V8448" s="19">
        <f>IF($B8448="","",TEXT($B8448,"0000"))</f>
        <v/>
      </c>
      <c r="W8448" s="19">
        <f>IF($I8448="","",IF(ISNUMBER($I8448),TEXT($I8448,"0"),$I8448))</f>
        <v/>
      </c>
    </row>
    <row r="8449">
      <c r="B8449" s="25" t="n"/>
      <c r="I8449" s="25" t="n"/>
      <c r="U8449" s="19">
        <f>IF($V8449&lt;&gt;'設定'!$C$4,N(U8448),IF(OR(NOT(COUNTIF('商品マスタ'!$B$6:$B$1005,$W8449)=0),COUNTIFS('①在庫を貼る'!$V$6:$V$10005,$V8449,'①在庫を貼る'!$W$6:$W$10005,$W8449)&gt;0),N(U8448),N(U8448)+1))</f>
        <v/>
      </c>
      <c r="V8449" s="19">
        <f>IF($B8449="","",TEXT($B8449,"0000"))</f>
        <v/>
      </c>
      <c r="W8449" s="19">
        <f>IF($I8449="","",IF(ISNUMBER($I8449),TEXT($I8449,"0"),$I8449))</f>
        <v/>
      </c>
    </row>
    <row r="8450">
      <c r="B8450" s="25" t="n"/>
      <c r="I8450" s="25" t="n"/>
      <c r="U8450" s="19">
        <f>IF($V8450&lt;&gt;'設定'!$C$4,N(U8449),IF(OR(NOT(COUNTIF('商品マスタ'!$B$6:$B$1005,$W8450)=0),COUNTIFS('①在庫を貼る'!$V$6:$V$10005,$V8450,'①在庫を貼る'!$W$6:$W$10005,$W8450)&gt;0),N(U8449),N(U8449)+1))</f>
        <v/>
      </c>
      <c r="V8450" s="19">
        <f>IF($B8450="","",TEXT($B8450,"0000"))</f>
        <v/>
      </c>
      <c r="W8450" s="19">
        <f>IF($I8450="","",IF(ISNUMBER($I8450),TEXT($I8450,"0"),$I8450))</f>
        <v/>
      </c>
    </row>
    <row r="8451">
      <c r="B8451" s="25" t="n"/>
      <c r="I8451" s="25" t="n"/>
      <c r="U8451" s="19">
        <f>IF($V8451&lt;&gt;'設定'!$C$4,N(U8450),IF(OR(NOT(COUNTIF('商品マスタ'!$B$6:$B$1005,$W8451)=0),COUNTIFS('①在庫を貼る'!$V$6:$V$10005,$V8451,'①在庫を貼る'!$W$6:$W$10005,$W8451)&gt;0),N(U8450),N(U8450)+1))</f>
        <v/>
      </c>
      <c r="V8451" s="19">
        <f>IF($B8451="","",TEXT($B8451,"0000"))</f>
        <v/>
      </c>
      <c r="W8451" s="19">
        <f>IF($I8451="","",IF(ISNUMBER($I8451),TEXT($I8451,"0"),$I8451))</f>
        <v/>
      </c>
    </row>
    <row r="8452">
      <c r="B8452" s="25" t="n"/>
      <c r="I8452" s="25" t="n"/>
      <c r="U8452" s="19">
        <f>IF($V8452&lt;&gt;'設定'!$C$4,N(U8451),IF(OR(NOT(COUNTIF('商品マスタ'!$B$6:$B$1005,$W8452)=0),COUNTIFS('①在庫を貼る'!$V$6:$V$10005,$V8452,'①在庫を貼る'!$W$6:$W$10005,$W8452)&gt;0),N(U8451),N(U8451)+1))</f>
        <v/>
      </c>
      <c r="V8452" s="19">
        <f>IF($B8452="","",TEXT($B8452,"0000"))</f>
        <v/>
      </c>
      <c r="W8452" s="19">
        <f>IF($I8452="","",IF(ISNUMBER($I8452),TEXT($I8452,"0"),$I8452))</f>
        <v/>
      </c>
    </row>
    <row r="8453">
      <c r="B8453" s="25" t="n"/>
      <c r="I8453" s="25" t="n"/>
      <c r="U8453" s="19">
        <f>IF($V8453&lt;&gt;'設定'!$C$4,N(U8452),IF(OR(NOT(COUNTIF('商品マスタ'!$B$6:$B$1005,$W8453)=0),COUNTIFS('①在庫を貼る'!$V$6:$V$10005,$V8453,'①在庫を貼る'!$W$6:$W$10005,$W8453)&gt;0),N(U8452),N(U8452)+1))</f>
        <v/>
      </c>
      <c r="V8453" s="19">
        <f>IF($B8453="","",TEXT($B8453,"0000"))</f>
        <v/>
      </c>
      <c r="W8453" s="19">
        <f>IF($I8453="","",IF(ISNUMBER($I8453),TEXT($I8453,"0"),$I8453))</f>
        <v/>
      </c>
    </row>
    <row r="8454">
      <c r="B8454" s="25" t="n"/>
      <c r="I8454" s="25" t="n"/>
      <c r="U8454" s="19">
        <f>IF($V8454&lt;&gt;'設定'!$C$4,N(U8453),IF(OR(NOT(COUNTIF('商品マスタ'!$B$6:$B$1005,$W8454)=0),COUNTIFS('①在庫を貼る'!$V$6:$V$10005,$V8454,'①在庫を貼る'!$W$6:$W$10005,$W8454)&gt;0),N(U8453),N(U8453)+1))</f>
        <v/>
      </c>
      <c r="V8454" s="19">
        <f>IF($B8454="","",TEXT($B8454,"0000"))</f>
        <v/>
      </c>
      <c r="W8454" s="19">
        <f>IF($I8454="","",IF(ISNUMBER($I8454),TEXT($I8454,"0"),$I8454))</f>
        <v/>
      </c>
    </row>
    <row r="8455">
      <c r="B8455" s="25" t="n"/>
      <c r="I8455" s="25" t="n"/>
      <c r="U8455" s="19">
        <f>IF($V8455&lt;&gt;'設定'!$C$4,N(U8454),IF(OR(NOT(COUNTIF('商品マスタ'!$B$6:$B$1005,$W8455)=0),COUNTIFS('①在庫を貼る'!$V$6:$V$10005,$V8455,'①在庫を貼る'!$W$6:$W$10005,$W8455)&gt;0),N(U8454),N(U8454)+1))</f>
        <v/>
      </c>
      <c r="V8455" s="19">
        <f>IF($B8455="","",TEXT($B8455,"0000"))</f>
        <v/>
      </c>
      <c r="W8455" s="19">
        <f>IF($I8455="","",IF(ISNUMBER($I8455),TEXT($I8455,"0"),$I8455))</f>
        <v/>
      </c>
    </row>
    <row r="8456">
      <c r="B8456" s="25" t="n"/>
      <c r="I8456" s="25" t="n"/>
      <c r="U8456" s="19">
        <f>IF($V8456&lt;&gt;'設定'!$C$4,N(U8455),IF(OR(NOT(COUNTIF('商品マスタ'!$B$6:$B$1005,$W8456)=0),COUNTIFS('①在庫を貼る'!$V$6:$V$10005,$V8456,'①在庫を貼る'!$W$6:$W$10005,$W8456)&gt;0),N(U8455),N(U8455)+1))</f>
        <v/>
      </c>
      <c r="V8456" s="19">
        <f>IF($B8456="","",TEXT($B8456,"0000"))</f>
        <v/>
      </c>
      <c r="W8456" s="19">
        <f>IF($I8456="","",IF(ISNUMBER($I8456),TEXT($I8456,"0"),$I8456))</f>
        <v/>
      </c>
    </row>
    <row r="8457">
      <c r="B8457" s="25" t="n"/>
      <c r="I8457" s="25" t="n"/>
      <c r="U8457" s="19">
        <f>IF($V8457&lt;&gt;'設定'!$C$4,N(U8456),IF(OR(NOT(COUNTIF('商品マスタ'!$B$6:$B$1005,$W8457)=0),COUNTIFS('①在庫を貼る'!$V$6:$V$10005,$V8457,'①在庫を貼る'!$W$6:$W$10005,$W8457)&gt;0),N(U8456),N(U8456)+1))</f>
        <v/>
      </c>
      <c r="V8457" s="19">
        <f>IF($B8457="","",TEXT($B8457,"0000"))</f>
        <v/>
      </c>
      <c r="W8457" s="19">
        <f>IF($I8457="","",IF(ISNUMBER($I8457),TEXT($I8457,"0"),$I8457))</f>
        <v/>
      </c>
    </row>
    <row r="8458">
      <c r="B8458" s="25" t="n"/>
      <c r="I8458" s="25" t="n"/>
      <c r="U8458" s="19">
        <f>IF($V8458&lt;&gt;'設定'!$C$4,N(U8457),IF(OR(NOT(COUNTIF('商品マスタ'!$B$6:$B$1005,$W8458)=0),COUNTIFS('①在庫を貼る'!$V$6:$V$10005,$V8458,'①在庫を貼る'!$W$6:$W$10005,$W8458)&gt;0),N(U8457),N(U8457)+1))</f>
        <v/>
      </c>
      <c r="V8458" s="19">
        <f>IF($B8458="","",TEXT($B8458,"0000"))</f>
        <v/>
      </c>
      <c r="W8458" s="19">
        <f>IF($I8458="","",IF(ISNUMBER($I8458),TEXT($I8458,"0"),$I8458))</f>
        <v/>
      </c>
    </row>
    <row r="8459">
      <c r="B8459" s="25" t="n"/>
      <c r="I8459" s="25" t="n"/>
      <c r="U8459" s="19">
        <f>IF($V8459&lt;&gt;'設定'!$C$4,N(U8458),IF(OR(NOT(COUNTIF('商品マスタ'!$B$6:$B$1005,$W8459)=0),COUNTIFS('①在庫を貼る'!$V$6:$V$10005,$V8459,'①在庫を貼る'!$W$6:$W$10005,$W8459)&gt;0),N(U8458),N(U8458)+1))</f>
        <v/>
      </c>
      <c r="V8459" s="19">
        <f>IF($B8459="","",TEXT($B8459,"0000"))</f>
        <v/>
      </c>
      <c r="W8459" s="19">
        <f>IF($I8459="","",IF(ISNUMBER($I8459),TEXT($I8459,"0"),$I8459))</f>
        <v/>
      </c>
    </row>
    <row r="8460">
      <c r="B8460" s="25" t="n"/>
      <c r="I8460" s="25" t="n"/>
      <c r="U8460" s="19">
        <f>IF($V8460&lt;&gt;'設定'!$C$4,N(U8459),IF(OR(NOT(COUNTIF('商品マスタ'!$B$6:$B$1005,$W8460)=0),COUNTIFS('①在庫を貼る'!$V$6:$V$10005,$V8460,'①在庫を貼る'!$W$6:$W$10005,$W8460)&gt;0),N(U8459),N(U8459)+1))</f>
        <v/>
      </c>
      <c r="V8460" s="19">
        <f>IF($B8460="","",TEXT($B8460,"0000"))</f>
        <v/>
      </c>
      <c r="W8460" s="19">
        <f>IF($I8460="","",IF(ISNUMBER($I8460),TEXT($I8460,"0"),$I8460))</f>
        <v/>
      </c>
    </row>
    <row r="8461">
      <c r="B8461" s="25" t="n"/>
      <c r="I8461" s="25" t="n"/>
      <c r="U8461" s="19">
        <f>IF($V8461&lt;&gt;'設定'!$C$4,N(U8460),IF(OR(NOT(COUNTIF('商品マスタ'!$B$6:$B$1005,$W8461)=0),COUNTIFS('①在庫を貼る'!$V$6:$V$10005,$V8461,'①在庫を貼る'!$W$6:$W$10005,$W8461)&gt;0),N(U8460),N(U8460)+1))</f>
        <v/>
      </c>
      <c r="V8461" s="19">
        <f>IF($B8461="","",TEXT($B8461,"0000"))</f>
        <v/>
      </c>
      <c r="W8461" s="19">
        <f>IF($I8461="","",IF(ISNUMBER($I8461),TEXT($I8461,"0"),$I8461))</f>
        <v/>
      </c>
    </row>
    <row r="8462">
      <c r="B8462" s="25" t="n"/>
      <c r="I8462" s="25" t="n"/>
      <c r="U8462" s="19">
        <f>IF($V8462&lt;&gt;'設定'!$C$4,N(U8461),IF(OR(NOT(COUNTIF('商品マスタ'!$B$6:$B$1005,$W8462)=0),COUNTIFS('①在庫を貼る'!$V$6:$V$10005,$V8462,'①在庫を貼る'!$W$6:$W$10005,$W8462)&gt;0),N(U8461),N(U8461)+1))</f>
        <v/>
      </c>
      <c r="V8462" s="19">
        <f>IF($B8462="","",TEXT($B8462,"0000"))</f>
        <v/>
      </c>
      <c r="W8462" s="19">
        <f>IF($I8462="","",IF(ISNUMBER($I8462),TEXT($I8462,"0"),$I8462))</f>
        <v/>
      </c>
    </row>
    <row r="8463">
      <c r="B8463" s="25" t="n"/>
      <c r="I8463" s="25" t="n"/>
      <c r="U8463" s="19">
        <f>IF($V8463&lt;&gt;'設定'!$C$4,N(U8462),IF(OR(NOT(COUNTIF('商品マスタ'!$B$6:$B$1005,$W8463)=0),COUNTIFS('①在庫を貼る'!$V$6:$V$10005,$V8463,'①在庫を貼る'!$W$6:$W$10005,$W8463)&gt;0),N(U8462),N(U8462)+1))</f>
        <v/>
      </c>
      <c r="V8463" s="19">
        <f>IF($B8463="","",TEXT($B8463,"0000"))</f>
        <v/>
      </c>
      <c r="W8463" s="19">
        <f>IF($I8463="","",IF(ISNUMBER($I8463),TEXT($I8463,"0"),$I8463))</f>
        <v/>
      </c>
    </row>
    <row r="8464">
      <c r="B8464" s="25" t="n"/>
      <c r="I8464" s="25" t="n"/>
      <c r="U8464" s="19">
        <f>IF($V8464&lt;&gt;'設定'!$C$4,N(U8463),IF(OR(NOT(COUNTIF('商品マスタ'!$B$6:$B$1005,$W8464)=0),COUNTIFS('①在庫を貼る'!$V$6:$V$10005,$V8464,'①在庫を貼る'!$W$6:$W$10005,$W8464)&gt;0),N(U8463),N(U8463)+1))</f>
        <v/>
      </c>
      <c r="V8464" s="19">
        <f>IF($B8464="","",TEXT($B8464,"0000"))</f>
        <v/>
      </c>
      <c r="W8464" s="19">
        <f>IF($I8464="","",IF(ISNUMBER($I8464),TEXT($I8464,"0"),$I8464))</f>
        <v/>
      </c>
    </row>
    <row r="8465">
      <c r="B8465" s="25" t="n"/>
      <c r="I8465" s="25" t="n"/>
      <c r="U8465" s="19">
        <f>IF($V8465&lt;&gt;'設定'!$C$4,N(U8464),IF(OR(NOT(COUNTIF('商品マスタ'!$B$6:$B$1005,$W8465)=0),COUNTIFS('①在庫を貼る'!$V$6:$V$10005,$V8465,'①在庫を貼る'!$W$6:$W$10005,$W8465)&gt;0),N(U8464),N(U8464)+1))</f>
        <v/>
      </c>
      <c r="V8465" s="19">
        <f>IF($B8465="","",TEXT($B8465,"0000"))</f>
        <v/>
      </c>
      <c r="W8465" s="19">
        <f>IF($I8465="","",IF(ISNUMBER($I8465),TEXT($I8465,"0"),$I8465))</f>
        <v/>
      </c>
    </row>
    <row r="8466">
      <c r="B8466" s="25" t="n"/>
      <c r="I8466" s="25" t="n"/>
      <c r="U8466" s="19">
        <f>IF($V8466&lt;&gt;'設定'!$C$4,N(U8465),IF(OR(NOT(COUNTIF('商品マスタ'!$B$6:$B$1005,$W8466)=0),COUNTIFS('①在庫を貼る'!$V$6:$V$10005,$V8466,'①在庫を貼る'!$W$6:$W$10005,$W8466)&gt;0),N(U8465),N(U8465)+1))</f>
        <v/>
      </c>
      <c r="V8466" s="19">
        <f>IF($B8466="","",TEXT($B8466,"0000"))</f>
        <v/>
      </c>
      <c r="W8466" s="19">
        <f>IF($I8466="","",IF(ISNUMBER($I8466),TEXT($I8466,"0"),$I8466))</f>
        <v/>
      </c>
    </row>
    <row r="8467">
      <c r="B8467" s="25" t="n"/>
      <c r="I8467" s="25" t="n"/>
      <c r="U8467" s="19">
        <f>IF($V8467&lt;&gt;'設定'!$C$4,N(U8466),IF(OR(NOT(COUNTIF('商品マスタ'!$B$6:$B$1005,$W8467)=0),COUNTIFS('①在庫を貼る'!$V$6:$V$10005,$V8467,'①在庫を貼る'!$W$6:$W$10005,$W8467)&gt;0),N(U8466),N(U8466)+1))</f>
        <v/>
      </c>
      <c r="V8467" s="19">
        <f>IF($B8467="","",TEXT($B8467,"0000"))</f>
        <v/>
      </c>
      <c r="W8467" s="19">
        <f>IF($I8467="","",IF(ISNUMBER($I8467),TEXT($I8467,"0"),$I8467))</f>
        <v/>
      </c>
    </row>
    <row r="8468">
      <c r="B8468" s="25" t="n"/>
      <c r="I8468" s="25" t="n"/>
      <c r="U8468" s="19">
        <f>IF($V8468&lt;&gt;'設定'!$C$4,N(U8467),IF(OR(NOT(COUNTIF('商品マスタ'!$B$6:$B$1005,$W8468)=0),COUNTIFS('①在庫を貼る'!$V$6:$V$10005,$V8468,'①在庫を貼る'!$W$6:$W$10005,$W8468)&gt;0),N(U8467),N(U8467)+1))</f>
        <v/>
      </c>
      <c r="V8468" s="19">
        <f>IF($B8468="","",TEXT($B8468,"0000"))</f>
        <v/>
      </c>
      <c r="W8468" s="19">
        <f>IF($I8468="","",IF(ISNUMBER($I8468),TEXT($I8468,"0"),$I8468))</f>
        <v/>
      </c>
    </row>
    <row r="8469">
      <c r="B8469" s="25" t="n"/>
      <c r="I8469" s="25" t="n"/>
      <c r="U8469" s="19">
        <f>IF($V8469&lt;&gt;'設定'!$C$4,N(U8468),IF(OR(NOT(COUNTIF('商品マスタ'!$B$6:$B$1005,$W8469)=0),COUNTIFS('①在庫を貼る'!$V$6:$V$10005,$V8469,'①在庫を貼る'!$W$6:$W$10005,$W8469)&gt;0),N(U8468),N(U8468)+1))</f>
        <v/>
      </c>
      <c r="V8469" s="19">
        <f>IF($B8469="","",TEXT($B8469,"0000"))</f>
        <v/>
      </c>
      <c r="W8469" s="19">
        <f>IF($I8469="","",IF(ISNUMBER($I8469),TEXT($I8469,"0"),$I8469))</f>
        <v/>
      </c>
    </row>
    <row r="8470">
      <c r="B8470" s="25" t="n"/>
      <c r="I8470" s="25" t="n"/>
      <c r="U8470" s="19">
        <f>IF($V8470&lt;&gt;'設定'!$C$4,N(U8469),IF(OR(NOT(COUNTIF('商品マスタ'!$B$6:$B$1005,$W8470)=0),COUNTIFS('①在庫を貼る'!$V$6:$V$10005,$V8470,'①在庫を貼る'!$W$6:$W$10005,$W8470)&gt;0),N(U8469),N(U8469)+1))</f>
        <v/>
      </c>
      <c r="V8470" s="19">
        <f>IF($B8470="","",TEXT($B8470,"0000"))</f>
        <v/>
      </c>
      <c r="W8470" s="19">
        <f>IF($I8470="","",IF(ISNUMBER($I8470),TEXT($I8470,"0"),$I8470))</f>
        <v/>
      </c>
    </row>
    <row r="8471">
      <c r="B8471" s="25" t="n"/>
      <c r="I8471" s="25" t="n"/>
      <c r="U8471" s="19">
        <f>IF($V8471&lt;&gt;'設定'!$C$4,N(U8470),IF(OR(NOT(COUNTIF('商品マスタ'!$B$6:$B$1005,$W8471)=0),COUNTIFS('①在庫を貼る'!$V$6:$V$10005,$V8471,'①在庫を貼る'!$W$6:$W$10005,$W8471)&gt;0),N(U8470),N(U8470)+1))</f>
        <v/>
      </c>
      <c r="V8471" s="19">
        <f>IF($B8471="","",TEXT($B8471,"0000"))</f>
        <v/>
      </c>
      <c r="W8471" s="19">
        <f>IF($I8471="","",IF(ISNUMBER($I8471),TEXT($I8471,"0"),$I8471))</f>
        <v/>
      </c>
    </row>
    <row r="8472">
      <c r="B8472" s="25" t="n"/>
      <c r="I8472" s="25" t="n"/>
      <c r="U8472" s="19">
        <f>IF($V8472&lt;&gt;'設定'!$C$4,N(U8471),IF(OR(NOT(COUNTIF('商品マスタ'!$B$6:$B$1005,$W8472)=0),COUNTIFS('①在庫を貼る'!$V$6:$V$10005,$V8472,'①在庫を貼る'!$W$6:$W$10005,$W8472)&gt;0),N(U8471),N(U8471)+1))</f>
        <v/>
      </c>
      <c r="V8472" s="19">
        <f>IF($B8472="","",TEXT($B8472,"0000"))</f>
        <v/>
      </c>
      <c r="W8472" s="19">
        <f>IF($I8472="","",IF(ISNUMBER($I8472),TEXT($I8472,"0"),$I8472))</f>
        <v/>
      </c>
    </row>
    <row r="8473">
      <c r="B8473" s="25" t="n"/>
      <c r="I8473" s="25" t="n"/>
      <c r="U8473" s="19">
        <f>IF($V8473&lt;&gt;'設定'!$C$4,N(U8472),IF(OR(NOT(COUNTIF('商品マスタ'!$B$6:$B$1005,$W8473)=0),COUNTIFS('①在庫を貼る'!$V$6:$V$10005,$V8473,'①在庫を貼る'!$W$6:$W$10005,$W8473)&gt;0),N(U8472),N(U8472)+1))</f>
        <v/>
      </c>
      <c r="V8473" s="19">
        <f>IF($B8473="","",TEXT($B8473,"0000"))</f>
        <v/>
      </c>
      <c r="W8473" s="19">
        <f>IF($I8473="","",IF(ISNUMBER($I8473),TEXT($I8473,"0"),$I8473))</f>
        <v/>
      </c>
    </row>
    <row r="8474">
      <c r="B8474" s="25" t="n"/>
      <c r="I8474" s="25" t="n"/>
      <c r="U8474" s="19">
        <f>IF($V8474&lt;&gt;'設定'!$C$4,N(U8473),IF(OR(NOT(COUNTIF('商品マスタ'!$B$6:$B$1005,$W8474)=0),COUNTIFS('①在庫を貼る'!$V$6:$V$10005,$V8474,'①在庫を貼る'!$W$6:$W$10005,$W8474)&gt;0),N(U8473),N(U8473)+1))</f>
        <v/>
      </c>
      <c r="V8474" s="19">
        <f>IF($B8474="","",TEXT($B8474,"0000"))</f>
        <v/>
      </c>
      <c r="W8474" s="19">
        <f>IF($I8474="","",IF(ISNUMBER($I8474),TEXT($I8474,"0"),$I8474))</f>
        <v/>
      </c>
    </row>
    <row r="8475">
      <c r="B8475" s="25" t="n"/>
      <c r="I8475" s="25" t="n"/>
      <c r="U8475" s="19">
        <f>IF($V8475&lt;&gt;'設定'!$C$4,N(U8474),IF(OR(NOT(COUNTIF('商品マスタ'!$B$6:$B$1005,$W8475)=0),COUNTIFS('①在庫を貼る'!$V$6:$V$10005,$V8475,'①在庫を貼る'!$W$6:$W$10005,$W8475)&gt;0),N(U8474),N(U8474)+1))</f>
        <v/>
      </c>
      <c r="V8475" s="19">
        <f>IF($B8475="","",TEXT($B8475,"0000"))</f>
        <v/>
      </c>
      <c r="W8475" s="19">
        <f>IF($I8475="","",IF(ISNUMBER($I8475),TEXT($I8475,"0"),$I8475))</f>
        <v/>
      </c>
    </row>
    <row r="8476">
      <c r="B8476" s="25" t="n"/>
      <c r="I8476" s="25" t="n"/>
      <c r="U8476" s="19">
        <f>IF($V8476&lt;&gt;'設定'!$C$4,N(U8475),IF(OR(NOT(COUNTIF('商品マスタ'!$B$6:$B$1005,$W8476)=0),COUNTIFS('①在庫を貼る'!$V$6:$V$10005,$V8476,'①在庫を貼る'!$W$6:$W$10005,$W8476)&gt;0),N(U8475),N(U8475)+1))</f>
        <v/>
      </c>
      <c r="V8476" s="19">
        <f>IF($B8476="","",TEXT($B8476,"0000"))</f>
        <v/>
      </c>
      <c r="W8476" s="19">
        <f>IF($I8476="","",IF(ISNUMBER($I8476),TEXT($I8476,"0"),$I8476))</f>
        <v/>
      </c>
    </row>
    <row r="8477">
      <c r="B8477" s="25" t="n"/>
      <c r="I8477" s="25" t="n"/>
      <c r="U8477" s="19">
        <f>IF($V8477&lt;&gt;'設定'!$C$4,N(U8476),IF(OR(NOT(COUNTIF('商品マスタ'!$B$6:$B$1005,$W8477)=0),COUNTIFS('①在庫を貼る'!$V$6:$V$10005,$V8477,'①在庫を貼る'!$W$6:$W$10005,$W8477)&gt;0),N(U8476),N(U8476)+1))</f>
        <v/>
      </c>
      <c r="V8477" s="19">
        <f>IF($B8477="","",TEXT($B8477,"0000"))</f>
        <v/>
      </c>
      <c r="W8477" s="19">
        <f>IF($I8477="","",IF(ISNUMBER($I8477),TEXT($I8477,"0"),$I8477))</f>
        <v/>
      </c>
    </row>
    <row r="8478">
      <c r="B8478" s="25" t="n"/>
      <c r="I8478" s="25" t="n"/>
      <c r="U8478" s="19">
        <f>IF($V8478&lt;&gt;'設定'!$C$4,N(U8477),IF(OR(NOT(COUNTIF('商品マスタ'!$B$6:$B$1005,$W8478)=0),COUNTIFS('①在庫を貼る'!$V$6:$V$10005,$V8478,'①在庫を貼る'!$W$6:$W$10005,$W8478)&gt;0),N(U8477),N(U8477)+1))</f>
        <v/>
      </c>
      <c r="V8478" s="19">
        <f>IF($B8478="","",TEXT($B8478,"0000"))</f>
        <v/>
      </c>
      <c r="W8478" s="19">
        <f>IF($I8478="","",IF(ISNUMBER($I8478),TEXT($I8478,"0"),$I8478))</f>
        <v/>
      </c>
    </row>
    <row r="8479">
      <c r="B8479" s="25" t="n"/>
      <c r="I8479" s="25" t="n"/>
      <c r="U8479" s="19">
        <f>IF($V8479&lt;&gt;'設定'!$C$4,N(U8478),IF(OR(NOT(COUNTIF('商品マスタ'!$B$6:$B$1005,$W8479)=0),COUNTIFS('①在庫を貼る'!$V$6:$V$10005,$V8479,'①在庫を貼る'!$W$6:$W$10005,$W8479)&gt;0),N(U8478),N(U8478)+1))</f>
        <v/>
      </c>
      <c r="V8479" s="19">
        <f>IF($B8479="","",TEXT($B8479,"0000"))</f>
        <v/>
      </c>
      <c r="W8479" s="19">
        <f>IF($I8479="","",IF(ISNUMBER($I8479),TEXT($I8479,"0"),$I8479))</f>
        <v/>
      </c>
    </row>
    <row r="8480">
      <c r="B8480" s="25" t="n"/>
      <c r="I8480" s="25" t="n"/>
      <c r="U8480" s="19">
        <f>IF($V8480&lt;&gt;'設定'!$C$4,N(U8479),IF(OR(NOT(COUNTIF('商品マスタ'!$B$6:$B$1005,$W8480)=0),COUNTIFS('①在庫を貼る'!$V$6:$V$10005,$V8480,'①在庫を貼る'!$W$6:$W$10005,$W8480)&gt;0),N(U8479),N(U8479)+1))</f>
        <v/>
      </c>
      <c r="V8480" s="19">
        <f>IF($B8480="","",TEXT($B8480,"0000"))</f>
        <v/>
      </c>
      <c r="W8480" s="19">
        <f>IF($I8480="","",IF(ISNUMBER($I8480),TEXT($I8480,"0"),$I8480))</f>
        <v/>
      </c>
    </row>
    <row r="8481">
      <c r="B8481" s="25" t="n"/>
      <c r="I8481" s="25" t="n"/>
      <c r="U8481" s="19">
        <f>IF($V8481&lt;&gt;'設定'!$C$4,N(U8480),IF(OR(NOT(COUNTIF('商品マスタ'!$B$6:$B$1005,$W8481)=0),COUNTIFS('①在庫を貼る'!$V$6:$V$10005,$V8481,'①在庫を貼る'!$W$6:$W$10005,$W8481)&gt;0),N(U8480),N(U8480)+1))</f>
        <v/>
      </c>
      <c r="V8481" s="19">
        <f>IF($B8481="","",TEXT($B8481,"0000"))</f>
        <v/>
      </c>
      <c r="W8481" s="19">
        <f>IF($I8481="","",IF(ISNUMBER($I8481),TEXT($I8481,"0"),$I8481))</f>
        <v/>
      </c>
    </row>
    <row r="8482">
      <c r="B8482" s="25" t="n"/>
      <c r="I8482" s="25" t="n"/>
      <c r="U8482" s="19">
        <f>IF($V8482&lt;&gt;'設定'!$C$4,N(U8481),IF(OR(NOT(COUNTIF('商品マスタ'!$B$6:$B$1005,$W8482)=0),COUNTIFS('①在庫を貼る'!$V$6:$V$10005,$V8482,'①在庫を貼る'!$W$6:$W$10005,$W8482)&gt;0),N(U8481),N(U8481)+1))</f>
        <v/>
      </c>
      <c r="V8482" s="19">
        <f>IF($B8482="","",TEXT($B8482,"0000"))</f>
        <v/>
      </c>
      <c r="W8482" s="19">
        <f>IF($I8482="","",IF(ISNUMBER($I8482),TEXT($I8482,"0"),$I8482))</f>
        <v/>
      </c>
    </row>
    <row r="8483">
      <c r="B8483" s="25" t="n"/>
      <c r="I8483" s="25" t="n"/>
      <c r="U8483" s="19">
        <f>IF($V8483&lt;&gt;'設定'!$C$4,N(U8482),IF(OR(NOT(COUNTIF('商品マスタ'!$B$6:$B$1005,$W8483)=0),COUNTIFS('①在庫を貼る'!$V$6:$V$10005,$V8483,'①在庫を貼る'!$W$6:$W$10005,$W8483)&gt;0),N(U8482),N(U8482)+1))</f>
        <v/>
      </c>
      <c r="V8483" s="19">
        <f>IF($B8483="","",TEXT($B8483,"0000"))</f>
        <v/>
      </c>
      <c r="W8483" s="19">
        <f>IF($I8483="","",IF(ISNUMBER($I8483),TEXT($I8483,"0"),$I8483))</f>
        <v/>
      </c>
    </row>
    <row r="8484">
      <c r="B8484" s="25" t="n"/>
      <c r="I8484" s="25" t="n"/>
      <c r="U8484" s="19">
        <f>IF($V8484&lt;&gt;'設定'!$C$4,N(U8483),IF(OR(NOT(COUNTIF('商品マスタ'!$B$6:$B$1005,$W8484)=0),COUNTIFS('①在庫を貼る'!$V$6:$V$10005,$V8484,'①在庫を貼る'!$W$6:$W$10005,$W8484)&gt;0),N(U8483),N(U8483)+1))</f>
        <v/>
      </c>
      <c r="V8484" s="19">
        <f>IF($B8484="","",TEXT($B8484,"0000"))</f>
        <v/>
      </c>
      <c r="W8484" s="19">
        <f>IF($I8484="","",IF(ISNUMBER($I8484),TEXT($I8484,"0"),$I8484))</f>
        <v/>
      </c>
    </row>
    <row r="8485">
      <c r="B8485" s="25" t="n"/>
      <c r="I8485" s="25" t="n"/>
      <c r="U8485" s="19">
        <f>IF($V8485&lt;&gt;'設定'!$C$4,N(U8484),IF(OR(NOT(COUNTIF('商品マスタ'!$B$6:$B$1005,$W8485)=0),COUNTIFS('①在庫を貼る'!$V$6:$V$10005,$V8485,'①在庫を貼る'!$W$6:$W$10005,$W8485)&gt;0),N(U8484),N(U8484)+1))</f>
        <v/>
      </c>
      <c r="V8485" s="19">
        <f>IF($B8485="","",TEXT($B8485,"0000"))</f>
        <v/>
      </c>
      <c r="W8485" s="19">
        <f>IF($I8485="","",IF(ISNUMBER($I8485),TEXT($I8485,"0"),$I8485))</f>
        <v/>
      </c>
    </row>
    <row r="8486">
      <c r="B8486" s="25" t="n"/>
      <c r="I8486" s="25" t="n"/>
      <c r="U8486" s="19">
        <f>IF($V8486&lt;&gt;'設定'!$C$4,N(U8485),IF(OR(NOT(COUNTIF('商品マスタ'!$B$6:$B$1005,$W8486)=0),COUNTIFS('①在庫を貼る'!$V$6:$V$10005,$V8486,'①在庫を貼る'!$W$6:$W$10005,$W8486)&gt;0),N(U8485),N(U8485)+1))</f>
        <v/>
      </c>
      <c r="V8486" s="19">
        <f>IF($B8486="","",TEXT($B8486,"0000"))</f>
        <v/>
      </c>
      <c r="W8486" s="19">
        <f>IF($I8486="","",IF(ISNUMBER($I8486),TEXT($I8486,"0"),$I8486))</f>
        <v/>
      </c>
    </row>
    <row r="8487">
      <c r="B8487" s="25" t="n"/>
      <c r="I8487" s="25" t="n"/>
      <c r="U8487" s="19">
        <f>IF($V8487&lt;&gt;'設定'!$C$4,N(U8486),IF(OR(NOT(COUNTIF('商品マスタ'!$B$6:$B$1005,$W8487)=0),COUNTIFS('①在庫を貼る'!$V$6:$V$10005,$V8487,'①在庫を貼る'!$W$6:$W$10005,$W8487)&gt;0),N(U8486),N(U8486)+1))</f>
        <v/>
      </c>
      <c r="V8487" s="19">
        <f>IF($B8487="","",TEXT($B8487,"0000"))</f>
        <v/>
      </c>
      <c r="W8487" s="19">
        <f>IF($I8487="","",IF(ISNUMBER($I8487),TEXT($I8487,"0"),$I8487))</f>
        <v/>
      </c>
    </row>
    <row r="8488">
      <c r="B8488" s="25" t="n"/>
      <c r="I8488" s="25" t="n"/>
      <c r="U8488" s="19">
        <f>IF($V8488&lt;&gt;'設定'!$C$4,N(U8487),IF(OR(NOT(COUNTIF('商品マスタ'!$B$6:$B$1005,$W8488)=0),COUNTIFS('①在庫を貼る'!$V$6:$V$10005,$V8488,'①在庫を貼る'!$W$6:$W$10005,$W8488)&gt;0),N(U8487),N(U8487)+1))</f>
        <v/>
      </c>
      <c r="V8488" s="19">
        <f>IF($B8488="","",TEXT($B8488,"0000"))</f>
        <v/>
      </c>
      <c r="W8488" s="19">
        <f>IF($I8488="","",IF(ISNUMBER($I8488),TEXT($I8488,"0"),$I8488))</f>
        <v/>
      </c>
    </row>
    <row r="8489">
      <c r="B8489" s="25" t="n"/>
      <c r="I8489" s="25" t="n"/>
      <c r="U8489" s="19">
        <f>IF($V8489&lt;&gt;'設定'!$C$4,N(U8488),IF(OR(NOT(COUNTIF('商品マスタ'!$B$6:$B$1005,$W8489)=0),COUNTIFS('①在庫を貼る'!$V$6:$V$10005,$V8489,'①在庫を貼る'!$W$6:$W$10005,$W8489)&gt;0),N(U8488),N(U8488)+1))</f>
        <v/>
      </c>
      <c r="V8489" s="19">
        <f>IF($B8489="","",TEXT($B8489,"0000"))</f>
        <v/>
      </c>
      <c r="W8489" s="19">
        <f>IF($I8489="","",IF(ISNUMBER($I8489),TEXT($I8489,"0"),$I8489))</f>
        <v/>
      </c>
    </row>
    <row r="8490">
      <c r="B8490" s="25" t="n"/>
      <c r="I8490" s="25" t="n"/>
      <c r="U8490" s="19">
        <f>IF($V8490&lt;&gt;'設定'!$C$4,N(U8489),IF(OR(NOT(COUNTIF('商品マスタ'!$B$6:$B$1005,$W8490)=0),COUNTIFS('①在庫を貼る'!$V$6:$V$10005,$V8490,'①在庫を貼る'!$W$6:$W$10005,$W8490)&gt;0),N(U8489),N(U8489)+1))</f>
        <v/>
      </c>
      <c r="V8490" s="19">
        <f>IF($B8490="","",TEXT($B8490,"0000"))</f>
        <v/>
      </c>
      <c r="W8490" s="19">
        <f>IF($I8490="","",IF(ISNUMBER($I8490),TEXT($I8490,"0"),$I8490))</f>
        <v/>
      </c>
    </row>
    <row r="8491">
      <c r="B8491" s="25" t="n"/>
      <c r="I8491" s="25" t="n"/>
      <c r="U8491" s="19">
        <f>IF($V8491&lt;&gt;'設定'!$C$4,N(U8490),IF(OR(NOT(COUNTIF('商品マスタ'!$B$6:$B$1005,$W8491)=0),COUNTIFS('①在庫を貼る'!$V$6:$V$10005,$V8491,'①在庫を貼る'!$W$6:$W$10005,$W8491)&gt;0),N(U8490),N(U8490)+1))</f>
        <v/>
      </c>
      <c r="V8491" s="19">
        <f>IF($B8491="","",TEXT($B8491,"0000"))</f>
        <v/>
      </c>
      <c r="W8491" s="19">
        <f>IF($I8491="","",IF(ISNUMBER($I8491),TEXT($I8491,"0"),$I8491))</f>
        <v/>
      </c>
    </row>
    <row r="8492">
      <c r="B8492" s="25" t="n"/>
      <c r="I8492" s="25" t="n"/>
      <c r="U8492" s="19">
        <f>IF($V8492&lt;&gt;'設定'!$C$4,N(U8491),IF(OR(NOT(COUNTIF('商品マスタ'!$B$6:$B$1005,$W8492)=0),COUNTIFS('①在庫を貼る'!$V$6:$V$10005,$V8492,'①在庫を貼る'!$W$6:$W$10005,$W8492)&gt;0),N(U8491),N(U8491)+1))</f>
        <v/>
      </c>
      <c r="V8492" s="19">
        <f>IF($B8492="","",TEXT($B8492,"0000"))</f>
        <v/>
      </c>
      <c r="W8492" s="19">
        <f>IF($I8492="","",IF(ISNUMBER($I8492),TEXT($I8492,"0"),$I8492))</f>
        <v/>
      </c>
    </row>
    <row r="8493">
      <c r="B8493" s="25" t="n"/>
      <c r="I8493" s="25" t="n"/>
      <c r="U8493" s="19">
        <f>IF($V8493&lt;&gt;'設定'!$C$4,N(U8492),IF(OR(NOT(COUNTIF('商品マスタ'!$B$6:$B$1005,$W8493)=0),COUNTIFS('①在庫を貼る'!$V$6:$V$10005,$V8493,'①在庫を貼る'!$W$6:$W$10005,$W8493)&gt;0),N(U8492),N(U8492)+1))</f>
        <v/>
      </c>
      <c r="V8493" s="19">
        <f>IF($B8493="","",TEXT($B8493,"0000"))</f>
        <v/>
      </c>
      <c r="W8493" s="19">
        <f>IF($I8493="","",IF(ISNUMBER($I8493),TEXT($I8493,"0"),$I8493))</f>
        <v/>
      </c>
    </row>
    <row r="8494">
      <c r="B8494" s="25" t="n"/>
      <c r="I8494" s="25" t="n"/>
      <c r="U8494" s="19">
        <f>IF($V8494&lt;&gt;'設定'!$C$4,N(U8493),IF(OR(NOT(COUNTIF('商品マスタ'!$B$6:$B$1005,$W8494)=0),COUNTIFS('①在庫を貼る'!$V$6:$V$10005,$V8494,'①在庫を貼る'!$W$6:$W$10005,$W8494)&gt;0),N(U8493),N(U8493)+1))</f>
        <v/>
      </c>
      <c r="V8494" s="19">
        <f>IF($B8494="","",TEXT($B8494,"0000"))</f>
        <v/>
      </c>
      <c r="W8494" s="19">
        <f>IF($I8494="","",IF(ISNUMBER($I8494),TEXT($I8494,"0"),$I8494))</f>
        <v/>
      </c>
    </row>
    <row r="8495">
      <c r="B8495" s="25" t="n"/>
      <c r="I8495" s="25" t="n"/>
      <c r="U8495" s="19">
        <f>IF($V8495&lt;&gt;'設定'!$C$4,N(U8494),IF(OR(NOT(COUNTIF('商品マスタ'!$B$6:$B$1005,$W8495)=0),COUNTIFS('①在庫を貼る'!$V$6:$V$10005,$V8495,'①在庫を貼る'!$W$6:$W$10005,$W8495)&gt;0),N(U8494),N(U8494)+1))</f>
        <v/>
      </c>
      <c r="V8495" s="19">
        <f>IF($B8495="","",TEXT($B8495,"0000"))</f>
        <v/>
      </c>
      <c r="W8495" s="19">
        <f>IF($I8495="","",IF(ISNUMBER($I8495),TEXT($I8495,"0"),$I8495))</f>
        <v/>
      </c>
    </row>
    <row r="8496">
      <c r="B8496" s="25" t="n"/>
      <c r="I8496" s="25" t="n"/>
      <c r="U8496" s="19">
        <f>IF($V8496&lt;&gt;'設定'!$C$4,N(U8495),IF(OR(NOT(COUNTIF('商品マスタ'!$B$6:$B$1005,$W8496)=0),COUNTIFS('①在庫を貼る'!$V$6:$V$10005,$V8496,'①在庫を貼る'!$W$6:$W$10005,$W8496)&gt;0),N(U8495),N(U8495)+1))</f>
        <v/>
      </c>
      <c r="V8496" s="19">
        <f>IF($B8496="","",TEXT($B8496,"0000"))</f>
        <v/>
      </c>
      <c r="W8496" s="19">
        <f>IF($I8496="","",IF(ISNUMBER($I8496),TEXT($I8496,"0"),$I8496))</f>
        <v/>
      </c>
    </row>
    <row r="8497">
      <c r="B8497" s="25" t="n"/>
      <c r="I8497" s="25" t="n"/>
      <c r="U8497" s="19">
        <f>IF($V8497&lt;&gt;'設定'!$C$4,N(U8496),IF(OR(NOT(COUNTIF('商品マスタ'!$B$6:$B$1005,$W8497)=0),COUNTIFS('①在庫を貼る'!$V$6:$V$10005,$V8497,'①在庫を貼る'!$W$6:$W$10005,$W8497)&gt;0),N(U8496),N(U8496)+1))</f>
        <v/>
      </c>
      <c r="V8497" s="19">
        <f>IF($B8497="","",TEXT($B8497,"0000"))</f>
        <v/>
      </c>
      <c r="W8497" s="19">
        <f>IF($I8497="","",IF(ISNUMBER($I8497),TEXT($I8497,"0"),$I8497))</f>
        <v/>
      </c>
    </row>
    <row r="8498">
      <c r="B8498" s="25" t="n"/>
      <c r="I8498" s="25" t="n"/>
      <c r="U8498" s="19">
        <f>IF($V8498&lt;&gt;'設定'!$C$4,N(U8497),IF(OR(NOT(COUNTIF('商品マスタ'!$B$6:$B$1005,$W8498)=0),COUNTIFS('①在庫を貼る'!$V$6:$V$10005,$V8498,'①在庫を貼る'!$W$6:$W$10005,$W8498)&gt;0),N(U8497),N(U8497)+1))</f>
        <v/>
      </c>
      <c r="V8498" s="19">
        <f>IF($B8498="","",TEXT($B8498,"0000"))</f>
        <v/>
      </c>
      <c r="W8498" s="19">
        <f>IF($I8498="","",IF(ISNUMBER($I8498),TEXT($I8498,"0"),$I8498))</f>
        <v/>
      </c>
    </row>
    <row r="8499">
      <c r="B8499" s="25" t="n"/>
      <c r="I8499" s="25" t="n"/>
      <c r="U8499" s="19">
        <f>IF($V8499&lt;&gt;'設定'!$C$4,N(U8498),IF(OR(NOT(COUNTIF('商品マスタ'!$B$6:$B$1005,$W8499)=0),COUNTIFS('①在庫を貼る'!$V$6:$V$10005,$V8499,'①在庫を貼る'!$W$6:$W$10005,$W8499)&gt;0),N(U8498),N(U8498)+1))</f>
        <v/>
      </c>
      <c r="V8499" s="19">
        <f>IF($B8499="","",TEXT($B8499,"0000"))</f>
        <v/>
      </c>
      <c r="W8499" s="19">
        <f>IF($I8499="","",IF(ISNUMBER($I8499),TEXT($I8499,"0"),$I8499))</f>
        <v/>
      </c>
    </row>
    <row r="8500">
      <c r="B8500" s="25" t="n"/>
      <c r="I8500" s="25" t="n"/>
      <c r="U8500" s="19">
        <f>IF($V8500&lt;&gt;'設定'!$C$4,N(U8499),IF(OR(NOT(COUNTIF('商品マスタ'!$B$6:$B$1005,$W8500)=0),COUNTIFS('①在庫を貼る'!$V$6:$V$10005,$V8500,'①在庫を貼る'!$W$6:$W$10005,$W8500)&gt;0),N(U8499),N(U8499)+1))</f>
        <v/>
      </c>
      <c r="V8500" s="19">
        <f>IF($B8500="","",TEXT($B8500,"0000"))</f>
        <v/>
      </c>
      <c r="W8500" s="19">
        <f>IF($I8500="","",IF(ISNUMBER($I8500),TEXT($I8500,"0"),$I8500))</f>
        <v/>
      </c>
    </row>
    <row r="8501">
      <c r="B8501" s="25" t="n"/>
      <c r="I8501" s="25" t="n"/>
      <c r="U8501" s="19">
        <f>IF($V8501&lt;&gt;'設定'!$C$4,N(U8500),IF(OR(NOT(COUNTIF('商品マスタ'!$B$6:$B$1005,$W8501)=0),COUNTIFS('①在庫を貼る'!$V$6:$V$10005,$V8501,'①在庫を貼る'!$W$6:$W$10005,$W8501)&gt;0),N(U8500),N(U8500)+1))</f>
        <v/>
      </c>
      <c r="V8501" s="19">
        <f>IF($B8501="","",TEXT($B8501,"0000"))</f>
        <v/>
      </c>
      <c r="W8501" s="19">
        <f>IF($I8501="","",IF(ISNUMBER($I8501),TEXT($I8501,"0"),$I8501))</f>
        <v/>
      </c>
    </row>
    <row r="8502">
      <c r="B8502" s="25" t="n"/>
      <c r="I8502" s="25" t="n"/>
      <c r="U8502" s="19">
        <f>IF($V8502&lt;&gt;'設定'!$C$4,N(U8501),IF(OR(NOT(COUNTIF('商品マスタ'!$B$6:$B$1005,$W8502)=0),COUNTIFS('①在庫を貼る'!$V$6:$V$10005,$V8502,'①在庫を貼る'!$W$6:$W$10005,$W8502)&gt;0),N(U8501),N(U8501)+1))</f>
        <v/>
      </c>
      <c r="V8502" s="19">
        <f>IF($B8502="","",TEXT($B8502,"0000"))</f>
        <v/>
      </c>
      <c r="W8502" s="19">
        <f>IF($I8502="","",IF(ISNUMBER($I8502),TEXT($I8502,"0"),$I8502))</f>
        <v/>
      </c>
    </row>
    <row r="8503">
      <c r="B8503" s="25" t="n"/>
      <c r="I8503" s="25" t="n"/>
      <c r="U8503" s="19">
        <f>IF($V8503&lt;&gt;'設定'!$C$4,N(U8502),IF(OR(NOT(COUNTIF('商品マスタ'!$B$6:$B$1005,$W8503)=0),COUNTIFS('①在庫を貼る'!$V$6:$V$10005,$V8503,'①在庫を貼る'!$W$6:$W$10005,$W8503)&gt;0),N(U8502),N(U8502)+1))</f>
        <v/>
      </c>
      <c r="V8503" s="19">
        <f>IF($B8503="","",TEXT($B8503,"0000"))</f>
        <v/>
      </c>
      <c r="W8503" s="19">
        <f>IF($I8503="","",IF(ISNUMBER($I8503),TEXT($I8503,"0"),$I8503))</f>
        <v/>
      </c>
    </row>
    <row r="8504">
      <c r="B8504" s="25" t="n"/>
      <c r="I8504" s="25" t="n"/>
      <c r="U8504" s="19">
        <f>IF($V8504&lt;&gt;'設定'!$C$4,N(U8503),IF(OR(NOT(COUNTIF('商品マスタ'!$B$6:$B$1005,$W8504)=0),COUNTIFS('①在庫を貼る'!$V$6:$V$10005,$V8504,'①在庫を貼る'!$W$6:$W$10005,$W8504)&gt;0),N(U8503),N(U8503)+1))</f>
        <v/>
      </c>
      <c r="V8504" s="19">
        <f>IF($B8504="","",TEXT($B8504,"0000"))</f>
        <v/>
      </c>
      <c r="W8504" s="19">
        <f>IF($I8504="","",IF(ISNUMBER($I8504),TEXT($I8504,"0"),$I8504))</f>
        <v/>
      </c>
    </row>
    <row r="8505">
      <c r="B8505" s="25" t="n"/>
      <c r="I8505" s="25" t="n"/>
      <c r="U8505" s="19">
        <f>IF($V8505&lt;&gt;'設定'!$C$4,N(U8504),IF(OR(NOT(COUNTIF('商品マスタ'!$B$6:$B$1005,$W8505)=0),COUNTIFS('①在庫を貼る'!$V$6:$V$10005,$V8505,'①在庫を貼る'!$W$6:$W$10005,$W8505)&gt;0),N(U8504),N(U8504)+1))</f>
        <v/>
      </c>
      <c r="V8505" s="19">
        <f>IF($B8505="","",TEXT($B8505,"0000"))</f>
        <v/>
      </c>
      <c r="W8505" s="19">
        <f>IF($I8505="","",IF(ISNUMBER($I8505),TEXT($I8505,"0"),$I8505))</f>
        <v/>
      </c>
    </row>
    <row r="8506">
      <c r="B8506" s="25" t="n"/>
      <c r="I8506" s="25" t="n"/>
      <c r="U8506" s="19">
        <f>IF($V8506&lt;&gt;'設定'!$C$4,N(U8505),IF(OR(NOT(COUNTIF('商品マスタ'!$B$6:$B$1005,$W8506)=0),COUNTIFS('①在庫を貼る'!$V$6:$V$10005,$V8506,'①在庫を貼る'!$W$6:$W$10005,$W8506)&gt;0),N(U8505),N(U8505)+1))</f>
        <v/>
      </c>
      <c r="V8506" s="19">
        <f>IF($B8506="","",TEXT($B8506,"0000"))</f>
        <v/>
      </c>
      <c r="W8506" s="19">
        <f>IF($I8506="","",IF(ISNUMBER($I8506),TEXT($I8506,"0"),$I8506))</f>
        <v/>
      </c>
    </row>
    <row r="8507">
      <c r="B8507" s="25" t="n"/>
      <c r="I8507" s="25" t="n"/>
      <c r="U8507" s="19">
        <f>IF($V8507&lt;&gt;'設定'!$C$4,N(U8506),IF(OR(NOT(COUNTIF('商品マスタ'!$B$6:$B$1005,$W8507)=0),COUNTIFS('①在庫を貼る'!$V$6:$V$10005,$V8507,'①在庫を貼る'!$W$6:$W$10005,$W8507)&gt;0),N(U8506),N(U8506)+1))</f>
        <v/>
      </c>
      <c r="V8507" s="19">
        <f>IF($B8507="","",TEXT($B8507,"0000"))</f>
        <v/>
      </c>
      <c r="W8507" s="19">
        <f>IF($I8507="","",IF(ISNUMBER($I8507),TEXT($I8507,"0"),$I8507))</f>
        <v/>
      </c>
    </row>
    <row r="8508">
      <c r="B8508" s="25" t="n"/>
      <c r="I8508" s="25" t="n"/>
      <c r="U8508" s="19">
        <f>IF($V8508&lt;&gt;'設定'!$C$4,N(U8507),IF(OR(NOT(COUNTIF('商品マスタ'!$B$6:$B$1005,$W8508)=0),COUNTIFS('①在庫を貼る'!$V$6:$V$10005,$V8508,'①在庫を貼る'!$W$6:$W$10005,$W8508)&gt;0),N(U8507),N(U8507)+1))</f>
        <v/>
      </c>
      <c r="V8508" s="19">
        <f>IF($B8508="","",TEXT($B8508,"0000"))</f>
        <v/>
      </c>
      <c r="W8508" s="19">
        <f>IF($I8508="","",IF(ISNUMBER($I8508),TEXT($I8508,"0"),$I8508))</f>
        <v/>
      </c>
    </row>
    <row r="8509">
      <c r="B8509" s="25" t="n"/>
      <c r="I8509" s="25" t="n"/>
      <c r="U8509" s="19">
        <f>IF($V8509&lt;&gt;'設定'!$C$4,N(U8508),IF(OR(NOT(COUNTIF('商品マスタ'!$B$6:$B$1005,$W8509)=0),COUNTIFS('①在庫を貼る'!$V$6:$V$10005,$V8509,'①在庫を貼る'!$W$6:$W$10005,$W8509)&gt;0),N(U8508),N(U8508)+1))</f>
        <v/>
      </c>
      <c r="V8509" s="19">
        <f>IF($B8509="","",TEXT($B8509,"0000"))</f>
        <v/>
      </c>
      <c r="W8509" s="19">
        <f>IF($I8509="","",IF(ISNUMBER($I8509),TEXT($I8509,"0"),$I8509))</f>
        <v/>
      </c>
    </row>
    <row r="8510">
      <c r="B8510" s="25" t="n"/>
      <c r="I8510" s="25" t="n"/>
      <c r="U8510" s="19">
        <f>IF($V8510&lt;&gt;'設定'!$C$4,N(U8509),IF(OR(NOT(COUNTIF('商品マスタ'!$B$6:$B$1005,$W8510)=0),COUNTIFS('①在庫を貼る'!$V$6:$V$10005,$V8510,'①在庫を貼る'!$W$6:$W$10005,$W8510)&gt;0),N(U8509),N(U8509)+1))</f>
        <v/>
      </c>
      <c r="V8510" s="19">
        <f>IF($B8510="","",TEXT($B8510,"0000"))</f>
        <v/>
      </c>
      <c r="W8510" s="19">
        <f>IF($I8510="","",IF(ISNUMBER($I8510),TEXT($I8510,"0"),$I8510))</f>
        <v/>
      </c>
    </row>
    <row r="8511">
      <c r="B8511" s="25" t="n"/>
      <c r="I8511" s="25" t="n"/>
      <c r="U8511" s="19">
        <f>IF($V8511&lt;&gt;'設定'!$C$4,N(U8510),IF(OR(NOT(COUNTIF('商品マスタ'!$B$6:$B$1005,$W8511)=0),COUNTIFS('①在庫を貼る'!$V$6:$V$10005,$V8511,'①在庫を貼る'!$W$6:$W$10005,$W8511)&gt;0),N(U8510),N(U8510)+1))</f>
        <v/>
      </c>
      <c r="V8511" s="19">
        <f>IF($B8511="","",TEXT($B8511,"0000"))</f>
        <v/>
      </c>
      <c r="W8511" s="19">
        <f>IF($I8511="","",IF(ISNUMBER($I8511),TEXT($I8511,"0"),$I8511))</f>
        <v/>
      </c>
    </row>
    <row r="8512">
      <c r="B8512" s="25" t="n"/>
      <c r="I8512" s="25" t="n"/>
      <c r="U8512" s="19">
        <f>IF($V8512&lt;&gt;'設定'!$C$4,N(U8511),IF(OR(NOT(COUNTIF('商品マスタ'!$B$6:$B$1005,$W8512)=0),COUNTIFS('①在庫を貼る'!$V$6:$V$10005,$V8512,'①在庫を貼る'!$W$6:$W$10005,$W8512)&gt;0),N(U8511),N(U8511)+1))</f>
        <v/>
      </c>
      <c r="V8512" s="19">
        <f>IF($B8512="","",TEXT($B8512,"0000"))</f>
        <v/>
      </c>
      <c r="W8512" s="19">
        <f>IF($I8512="","",IF(ISNUMBER($I8512),TEXT($I8512,"0"),$I8512))</f>
        <v/>
      </c>
    </row>
    <row r="8513">
      <c r="B8513" s="25" t="n"/>
      <c r="I8513" s="25" t="n"/>
      <c r="U8513" s="19">
        <f>IF($V8513&lt;&gt;'設定'!$C$4,N(U8512),IF(OR(NOT(COUNTIF('商品マスタ'!$B$6:$B$1005,$W8513)=0),COUNTIFS('①在庫を貼る'!$V$6:$V$10005,$V8513,'①在庫を貼る'!$W$6:$W$10005,$W8513)&gt;0),N(U8512),N(U8512)+1))</f>
        <v/>
      </c>
      <c r="V8513" s="19">
        <f>IF($B8513="","",TEXT($B8513,"0000"))</f>
        <v/>
      </c>
      <c r="W8513" s="19">
        <f>IF($I8513="","",IF(ISNUMBER($I8513),TEXT($I8513,"0"),$I8513))</f>
        <v/>
      </c>
    </row>
    <row r="8514">
      <c r="B8514" s="25" t="n"/>
      <c r="I8514" s="25" t="n"/>
      <c r="U8514" s="19">
        <f>IF($V8514&lt;&gt;'設定'!$C$4,N(U8513),IF(OR(NOT(COUNTIF('商品マスタ'!$B$6:$B$1005,$W8514)=0),COUNTIFS('①在庫を貼る'!$V$6:$V$10005,$V8514,'①在庫を貼る'!$W$6:$W$10005,$W8514)&gt;0),N(U8513),N(U8513)+1))</f>
        <v/>
      </c>
      <c r="V8514" s="19">
        <f>IF($B8514="","",TEXT($B8514,"0000"))</f>
        <v/>
      </c>
      <c r="W8514" s="19">
        <f>IF($I8514="","",IF(ISNUMBER($I8514),TEXT($I8514,"0"),$I8514))</f>
        <v/>
      </c>
    </row>
    <row r="8515">
      <c r="B8515" s="25" t="n"/>
      <c r="I8515" s="25" t="n"/>
      <c r="U8515" s="19">
        <f>IF($V8515&lt;&gt;'設定'!$C$4,N(U8514),IF(OR(NOT(COUNTIF('商品マスタ'!$B$6:$B$1005,$W8515)=0),COUNTIFS('①在庫を貼る'!$V$6:$V$10005,$V8515,'①在庫を貼る'!$W$6:$W$10005,$W8515)&gt;0),N(U8514),N(U8514)+1))</f>
        <v/>
      </c>
      <c r="V8515" s="19">
        <f>IF($B8515="","",TEXT($B8515,"0000"))</f>
        <v/>
      </c>
      <c r="W8515" s="19">
        <f>IF($I8515="","",IF(ISNUMBER($I8515),TEXT($I8515,"0"),$I8515))</f>
        <v/>
      </c>
    </row>
    <row r="8516">
      <c r="B8516" s="25" t="n"/>
      <c r="I8516" s="25" t="n"/>
      <c r="U8516" s="19">
        <f>IF($V8516&lt;&gt;'設定'!$C$4,N(U8515),IF(OR(NOT(COUNTIF('商品マスタ'!$B$6:$B$1005,$W8516)=0),COUNTIFS('①在庫を貼る'!$V$6:$V$10005,$V8516,'①在庫を貼る'!$W$6:$W$10005,$W8516)&gt;0),N(U8515),N(U8515)+1))</f>
        <v/>
      </c>
      <c r="V8516" s="19">
        <f>IF($B8516="","",TEXT($B8516,"0000"))</f>
        <v/>
      </c>
      <c r="W8516" s="19">
        <f>IF($I8516="","",IF(ISNUMBER($I8516),TEXT($I8516,"0"),$I8516))</f>
        <v/>
      </c>
    </row>
    <row r="8517">
      <c r="B8517" s="25" t="n"/>
      <c r="I8517" s="25" t="n"/>
      <c r="U8517" s="19">
        <f>IF($V8517&lt;&gt;'設定'!$C$4,N(U8516),IF(OR(NOT(COUNTIF('商品マスタ'!$B$6:$B$1005,$W8517)=0),COUNTIFS('①在庫を貼る'!$V$6:$V$10005,$V8517,'①在庫を貼る'!$W$6:$W$10005,$W8517)&gt;0),N(U8516),N(U8516)+1))</f>
        <v/>
      </c>
      <c r="V8517" s="19">
        <f>IF($B8517="","",TEXT($B8517,"0000"))</f>
        <v/>
      </c>
      <c r="W8517" s="19">
        <f>IF($I8517="","",IF(ISNUMBER($I8517),TEXT($I8517,"0"),$I8517))</f>
        <v/>
      </c>
    </row>
    <row r="8518">
      <c r="B8518" s="25" t="n"/>
      <c r="I8518" s="25" t="n"/>
      <c r="U8518" s="19">
        <f>IF($V8518&lt;&gt;'設定'!$C$4,N(U8517),IF(OR(NOT(COUNTIF('商品マスタ'!$B$6:$B$1005,$W8518)=0),COUNTIFS('①在庫を貼る'!$V$6:$V$10005,$V8518,'①在庫を貼る'!$W$6:$W$10005,$W8518)&gt;0),N(U8517),N(U8517)+1))</f>
        <v/>
      </c>
      <c r="V8518" s="19">
        <f>IF($B8518="","",TEXT($B8518,"0000"))</f>
        <v/>
      </c>
      <c r="W8518" s="19">
        <f>IF($I8518="","",IF(ISNUMBER($I8518),TEXT($I8518,"0"),$I8518))</f>
        <v/>
      </c>
    </row>
    <row r="8519">
      <c r="B8519" s="25" t="n"/>
      <c r="I8519" s="25" t="n"/>
      <c r="U8519" s="19">
        <f>IF($V8519&lt;&gt;'設定'!$C$4,N(U8518),IF(OR(NOT(COUNTIF('商品マスタ'!$B$6:$B$1005,$W8519)=0),COUNTIFS('①在庫を貼る'!$V$6:$V$10005,$V8519,'①在庫を貼る'!$W$6:$W$10005,$W8519)&gt;0),N(U8518),N(U8518)+1))</f>
        <v/>
      </c>
      <c r="V8519" s="19">
        <f>IF($B8519="","",TEXT($B8519,"0000"))</f>
        <v/>
      </c>
      <c r="W8519" s="19">
        <f>IF($I8519="","",IF(ISNUMBER($I8519),TEXT($I8519,"0"),$I8519))</f>
        <v/>
      </c>
    </row>
    <row r="8520">
      <c r="B8520" s="25" t="n"/>
      <c r="I8520" s="25" t="n"/>
      <c r="U8520" s="19">
        <f>IF($V8520&lt;&gt;'設定'!$C$4,N(U8519),IF(OR(NOT(COUNTIF('商品マスタ'!$B$6:$B$1005,$W8520)=0),COUNTIFS('①在庫を貼る'!$V$6:$V$10005,$V8520,'①在庫を貼る'!$W$6:$W$10005,$W8520)&gt;0),N(U8519),N(U8519)+1))</f>
        <v/>
      </c>
      <c r="V8520" s="19">
        <f>IF($B8520="","",TEXT($B8520,"0000"))</f>
        <v/>
      </c>
      <c r="W8520" s="19">
        <f>IF($I8520="","",IF(ISNUMBER($I8520),TEXT($I8520,"0"),$I8520))</f>
        <v/>
      </c>
    </row>
    <row r="8521">
      <c r="B8521" s="25" t="n"/>
      <c r="I8521" s="25" t="n"/>
      <c r="U8521" s="19">
        <f>IF($V8521&lt;&gt;'設定'!$C$4,N(U8520),IF(OR(NOT(COUNTIF('商品マスタ'!$B$6:$B$1005,$W8521)=0),COUNTIFS('①在庫を貼る'!$V$6:$V$10005,$V8521,'①在庫を貼る'!$W$6:$W$10005,$W8521)&gt;0),N(U8520),N(U8520)+1))</f>
        <v/>
      </c>
      <c r="V8521" s="19">
        <f>IF($B8521="","",TEXT($B8521,"0000"))</f>
        <v/>
      </c>
      <c r="W8521" s="19">
        <f>IF($I8521="","",IF(ISNUMBER($I8521),TEXT($I8521,"0"),$I8521))</f>
        <v/>
      </c>
    </row>
    <row r="8522">
      <c r="B8522" s="25" t="n"/>
      <c r="I8522" s="25" t="n"/>
      <c r="U8522" s="19">
        <f>IF($V8522&lt;&gt;'設定'!$C$4,N(U8521),IF(OR(NOT(COUNTIF('商品マスタ'!$B$6:$B$1005,$W8522)=0),COUNTIFS('①在庫を貼る'!$V$6:$V$10005,$V8522,'①在庫を貼る'!$W$6:$W$10005,$W8522)&gt;0),N(U8521),N(U8521)+1))</f>
        <v/>
      </c>
      <c r="V8522" s="19">
        <f>IF($B8522="","",TEXT($B8522,"0000"))</f>
        <v/>
      </c>
      <c r="W8522" s="19">
        <f>IF($I8522="","",IF(ISNUMBER($I8522),TEXT($I8522,"0"),$I8522))</f>
        <v/>
      </c>
    </row>
    <row r="8523">
      <c r="B8523" s="25" t="n"/>
      <c r="I8523" s="25" t="n"/>
      <c r="U8523" s="19">
        <f>IF($V8523&lt;&gt;'設定'!$C$4,N(U8522),IF(OR(NOT(COUNTIF('商品マスタ'!$B$6:$B$1005,$W8523)=0),COUNTIFS('①在庫を貼る'!$V$6:$V$10005,$V8523,'①在庫を貼る'!$W$6:$W$10005,$W8523)&gt;0),N(U8522),N(U8522)+1))</f>
        <v/>
      </c>
      <c r="V8523" s="19">
        <f>IF($B8523="","",TEXT($B8523,"0000"))</f>
        <v/>
      </c>
      <c r="W8523" s="19">
        <f>IF($I8523="","",IF(ISNUMBER($I8523),TEXT($I8523,"0"),$I8523))</f>
        <v/>
      </c>
    </row>
    <row r="8524">
      <c r="B8524" s="25" t="n"/>
      <c r="I8524" s="25" t="n"/>
      <c r="U8524" s="19">
        <f>IF($V8524&lt;&gt;'設定'!$C$4,N(U8523),IF(OR(NOT(COUNTIF('商品マスタ'!$B$6:$B$1005,$W8524)=0),COUNTIFS('①在庫を貼る'!$V$6:$V$10005,$V8524,'①在庫を貼る'!$W$6:$W$10005,$W8524)&gt;0),N(U8523),N(U8523)+1))</f>
        <v/>
      </c>
      <c r="V8524" s="19">
        <f>IF($B8524="","",TEXT($B8524,"0000"))</f>
        <v/>
      </c>
      <c r="W8524" s="19">
        <f>IF($I8524="","",IF(ISNUMBER($I8524),TEXT($I8524,"0"),$I8524))</f>
        <v/>
      </c>
    </row>
    <row r="8525">
      <c r="B8525" s="25" t="n"/>
      <c r="I8525" s="25" t="n"/>
      <c r="U8525" s="19">
        <f>IF($V8525&lt;&gt;'設定'!$C$4,N(U8524),IF(OR(NOT(COUNTIF('商品マスタ'!$B$6:$B$1005,$W8525)=0),COUNTIFS('①在庫を貼る'!$V$6:$V$10005,$V8525,'①在庫を貼る'!$W$6:$W$10005,$W8525)&gt;0),N(U8524),N(U8524)+1))</f>
        <v/>
      </c>
      <c r="V8525" s="19">
        <f>IF($B8525="","",TEXT($B8525,"0000"))</f>
        <v/>
      </c>
      <c r="W8525" s="19">
        <f>IF($I8525="","",IF(ISNUMBER($I8525),TEXT($I8525,"0"),$I8525))</f>
        <v/>
      </c>
    </row>
    <row r="8526">
      <c r="B8526" s="25" t="n"/>
      <c r="I8526" s="25" t="n"/>
      <c r="U8526" s="19">
        <f>IF($V8526&lt;&gt;'設定'!$C$4,N(U8525),IF(OR(NOT(COUNTIF('商品マスタ'!$B$6:$B$1005,$W8526)=0),COUNTIFS('①在庫を貼る'!$V$6:$V$10005,$V8526,'①在庫を貼る'!$W$6:$W$10005,$W8526)&gt;0),N(U8525),N(U8525)+1))</f>
        <v/>
      </c>
      <c r="V8526" s="19">
        <f>IF($B8526="","",TEXT($B8526,"0000"))</f>
        <v/>
      </c>
      <c r="W8526" s="19">
        <f>IF($I8526="","",IF(ISNUMBER($I8526),TEXT($I8526,"0"),$I8526))</f>
        <v/>
      </c>
    </row>
    <row r="8527">
      <c r="B8527" s="25" t="n"/>
      <c r="I8527" s="25" t="n"/>
      <c r="U8527" s="19">
        <f>IF($V8527&lt;&gt;'設定'!$C$4,N(U8526),IF(OR(NOT(COUNTIF('商品マスタ'!$B$6:$B$1005,$W8527)=0),COUNTIFS('①在庫を貼る'!$V$6:$V$10005,$V8527,'①在庫を貼る'!$W$6:$W$10005,$W8527)&gt;0),N(U8526),N(U8526)+1))</f>
        <v/>
      </c>
      <c r="V8527" s="19">
        <f>IF($B8527="","",TEXT($B8527,"0000"))</f>
        <v/>
      </c>
      <c r="W8527" s="19">
        <f>IF($I8527="","",IF(ISNUMBER($I8527),TEXT($I8527,"0"),$I8527))</f>
        <v/>
      </c>
    </row>
    <row r="8528">
      <c r="B8528" s="25" t="n"/>
      <c r="I8528" s="25" t="n"/>
      <c r="U8528" s="19">
        <f>IF($V8528&lt;&gt;'設定'!$C$4,N(U8527),IF(OR(NOT(COUNTIF('商品マスタ'!$B$6:$B$1005,$W8528)=0),COUNTIFS('①在庫を貼る'!$V$6:$V$10005,$V8528,'①在庫を貼る'!$W$6:$W$10005,$W8528)&gt;0),N(U8527),N(U8527)+1))</f>
        <v/>
      </c>
      <c r="V8528" s="19">
        <f>IF($B8528="","",TEXT($B8528,"0000"))</f>
        <v/>
      </c>
      <c r="W8528" s="19">
        <f>IF($I8528="","",IF(ISNUMBER($I8528),TEXT($I8528,"0"),$I8528))</f>
        <v/>
      </c>
    </row>
    <row r="8529">
      <c r="B8529" s="25" t="n"/>
      <c r="I8529" s="25" t="n"/>
      <c r="U8529" s="19">
        <f>IF($V8529&lt;&gt;'設定'!$C$4,N(U8528),IF(OR(NOT(COUNTIF('商品マスタ'!$B$6:$B$1005,$W8529)=0),COUNTIFS('①在庫を貼る'!$V$6:$V$10005,$V8529,'①在庫を貼る'!$W$6:$W$10005,$W8529)&gt;0),N(U8528),N(U8528)+1))</f>
        <v/>
      </c>
      <c r="V8529" s="19">
        <f>IF($B8529="","",TEXT($B8529,"0000"))</f>
        <v/>
      </c>
      <c r="W8529" s="19">
        <f>IF($I8529="","",IF(ISNUMBER($I8529),TEXT($I8529,"0"),$I8529))</f>
        <v/>
      </c>
    </row>
    <row r="8530">
      <c r="B8530" s="25" t="n"/>
      <c r="I8530" s="25" t="n"/>
      <c r="U8530" s="19">
        <f>IF($V8530&lt;&gt;'設定'!$C$4,N(U8529),IF(OR(NOT(COUNTIF('商品マスタ'!$B$6:$B$1005,$W8530)=0),COUNTIFS('①在庫を貼る'!$V$6:$V$10005,$V8530,'①在庫を貼る'!$W$6:$W$10005,$W8530)&gt;0),N(U8529),N(U8529)+1))</f>
        <v/>
      </c>
      <c r="V8530" s="19">
        <f>IF($B8530="","",TEXT($B8530,"0000"))</f>
        <v/>
      </c>
      <c r="W8530" s="19">
        <f>IF($I8530="","",IF(ISNUMBER($I8530),TEXT($I8530,"0"),$I8530))</f>
        <v/>
      </c>
    </row>
    <row r="8531">
      <c r="B8531" s="25" t="n"/>
      <c r="I8531" s="25" t="n"/>
      <c r="U8531" s="19">
        <f>IF($V8531&lt;&gt;'設定'!$C$4,N(U8530),IF(OR(NOT(COUNTIF('商品マスタ'!$B$6:$B$1005,$W8531)=0),COUNTIFS('①在庫を貼る'!$V$6:$V$10005,$V8531,'①在庫を貼る'!$W$6:$W$10005,$W8531)&gt;0),N(U8530),N(U8530)+1))</f>
        <v/>
      </c>
      <c r="V8531" s="19">
        <f>IF($B8531="","",TEXT($B8531,"0000"))</f>
        <v/>
      </c>
      <c r="W8531" s="19">
        <f>IF($I8531="","",IF(ISNUMBER($I8531),TEXT($I8531,"0"),$I8531))</f>
        <v/>
      </c>
    </row>
    <row r="8532">
      <c r="B8532" s="25" t="n"/>
      <c r="I8532" s="25" t="n"/>
      <c r="U8532" s="19">
        <f>IF($V8532&lt;&gt;'設定'!$C$4,N(U8531),IF(OR(NOT(COUNTIF('商品マスタ'!$B$6:$B$1005,$W8532)=0),COUNTIFS('①在庫を貼る'!$V$6:$V$10005,$V8532,'①在庫を貼る'!$W$6:$W$10005,$W8532)&gt;0),N(U8531),N(U8531)+1))</f>
        <v/>
      </c>
      <c r="V8532" s="19">
        <f>IF($B8532="","",TEXT($B8532,"0000"))</f>
        <v/>
      </c>
      <c r="W8532" s="19">
        <f>IF($I8532="","",IF(ISNUMBER($I8532),TEXT($I8532,"0"),$I8532))</f>
        <v/>
      </c>
    </row>
    <row r="8533">
      <c r="B8533" s="25" t="n"/>
      <c r="I8533" s="25" t="n"/>
      <c r="U8533" s="19">
        <f>IF($V8533&lt;&gt;'設定'!$C$4,N(U8532),IF(OR(NOT(COUNTIF('商品マスタ'!$B$6:$B$1005,$W8533)=0),COUNTIFS('①在庫を貼る'!$V$6:$V$10005,$V8533,'①在庫を貼る'!$W$6:$W$10005,$W8533)&gt;0),N(U8532),N(U8532)+1))</f>
        <v/>
      </c>
      <c r="V8533" s="19">
        <f>IF($B8533="","",TEXT($B8533,"0000"))</f>
        <v/>
      </c>
      <c r="W8533" s="19">
        <f>IF($I8533="","",IF(ISNUMBER($I8533),TEXT($I8533,"0"),$I8533))</f>
        <v/>
      </c>
    </row>
    <row r="8534">
      <c r="B8534" s="25" t="n"/>
      <c r="I8534" s="25" t="n"/>
      <c r="U8534" s="19">
        <f>IF($V8534&lt;&gt;'設定'!$C$4,N(U8533),IF(OR(NOT(COUNTIF('商品マスタ'!$B$6:$B$1005,$W8534)=0),COUNTIFS('①在庫を貼る'!$V$6:$V$10005,$V8534,'①在庫を貼る'!$W$6:$W$10005,$W8534)&gt;0),N(U8533),N(U8533)+1))</f>
        <v/>
      </c>
      <c r="V8534" s="19">
        <f>IF($B8534="","",TEXT($B8534,"0000"))</f>
        <v/>
      </c>
      <c r="W8534" s="19">
        <f>IF($I8534="","",IF(ISNUMBER($I8534),TEXT($I8534,"0"),$I8534))</f>
        <v/>
      </c>
    </row>
    <row r="8535">
      <c r="B8535" s="25" t="n"/>
      <c r="I8535" s="25" t="n"/>
      <c r="U8535" s="19">
        <f>IF($V8535&lt;&gt;'設定'!$C$4,N(U8534),IF(OR(NOT(COUNTIF('商品マスタ'!$B$6:$B$1005,$W8535)=0),COUNTIFS('①在庫を貼る'!$V$6:$V$10005,$V8535,'①在庫を貼る'!$W$6:$W$10005,$W8535)&gt;0),N(U8534),N(U8534)+1))</f>
        <v/>
      </c>
      <c r="V8535" s="19">
        <f>IF($B8535="","",TEXT($B8535,"0000"))</f>
        <v/>
      </c>
      <c r="W8535" s="19">
        <f>IF($I8535="","",IF(ISNUMBER($I8535),TEXT($I8535,"0"),$I8535))</f>
        <v/>
      </c>
    </row>
    <row r="8536">
      <c r="B8536" s="25" t="n"/>
      <c r="I8536" s="25" t="n"/>
      <c r="U8536" s="19">
        <f>IF($V8536&lt;&gt;'設定'!$C$4,N(U8535),IF(OR(NOT(COUNTIF('商品マスタ'!$B$6:$B$1005,$W8536)=0),COUNTIFS('①在庫を貼る'!$V$6:$V$10005,$V8536,'①在庫を貼る'!$W$6:$W$10005,$W8536)&gt;0),N(U8535),N(U8535)+1))</f>
        <v/>
      </c>
      <c r="V8536" s="19">
        <f>IF($B8536="","",TEXT($B8536,"0000"))</f>
        <v/>
      </c>
      <c r="W8536" s="19">
        <f>IF($I8536="","",IF(ISNUMBER($I8536),TEXT($I8536,"0"),$I8536))</f>
        <v/>
      </c>
    </row>
    <row r="8537">
      <c r="B8537" s="25" t="n"/>
      <c r="I8537" s="25" t="n"/>
      <c r="U8537" s="19">
        <f>IF($V8537&lt;&gt;'設定'!$C$4,N(U8536),IF(OR(NOT(COUNTIF('商品マスタ'!$B$6:$B$1005,$W8537)=0),COUNTIFS('①在庫を貼る'!$V$6:$V$10005,$V8537,'①在庫を貼る'!$W$6:$W$10005,$W8537)&gt;0),N(U8536),N(U8536)+1))</f>
        <v/>
      </c>
      <c r="V8537" s="19">
        <f>IF($B8537="","",TEXT($B8537,"0000"))</f>
        <v/>
      </c>
      <c r="W8537" s="19">
        <f>IF($I8537="","",IF(ISNUMBER($I8537),TEXT($I8537,"0"),$I8537))</f>
        <v/>
      </c>
    </row>
    <row r="8538">
      <c r="B8538" s="25" t="n"/>
      <c r="I8538" s="25" t="n"/>
      <c r="U8538" s="19">
        <f>IF($V8538&lt;&gt;'設定'!$C$4,N(U8537),IF(OR(NOT(COUNTIF('商品マスタ'!$B$6:$B$1005,$W8538)=0),COUNTIFS('①在庫を貼る'!$V$6:$V$10005,$V8538,'①在庫を貼る'!$W$6:$W$10005,$W8538)&gt;0),N(U8537),N(U8537)+1))</f>
        <v/>
      </c>
      <c r="V8538" s="19">
        <f>IF($B8538="","",TEXT($B8538,"0000"))</f>
        <v/>
      </c>
      <c r="W8538" s="19">
        <f>IF($I8538="","",IF(ISNUMBER($I8538),TEXT($I8538,"0"),$I8538))</f>
        <v/>
      </c>
    </row>
    <row r="8539">
      <c r="B8539" s="25" t="n"/>
      <c r="I8539" s="25" t="n"/>
      <c r="U8539" s="19">
        <f>IF($V8539&lt;&gt;'設定'!$C$4,N(U8538),IF(OR(NOT(COUNTIF('商品マスタ'!$B$6:$B$1005,$W8539)=0),COUNTIFS('①在庫を貼る'!$V$6:$V$10005,$V8539,'①在庫を貼る'!$W$6:$W$10005,$W8539)&gt;0),N(U8538),N(U8538)+1))</f>
        <v/>
      </c>
      <c r="V8539" s="19">
        <f>IF($B8539="","",TEXT($B8539,"0000"))</f>
        <v/>
      </c>
      <c r="W8539" s="19">
        <f>IF($I8539="","",IF(ISNUMBER($I8539),TEXT($I8539,"0"),$I8539))</f>
        <v/>
      </c>
    </row>
    <row r="8540">
      <c r="B8540" s="25" t="n"/>
      <c r="I8540" s="25" t="n"/>
      <c r="U8540" s="19">
        <f>IF($V8540&lt;&gt;'設定'!$C$4,N(U8539),IF(OR(NOT(COUNTIF('商品マスタ'!$B$6:$B$1005,$W8540)=0),COUNTIFS('①在庫を貼る'!$V$6:$V$10005,$V8540,'①在庫を貼る'!$W$6:$W$10005,$W8540)&gt;0),N(U8539),N(U8539)+1))</f>
        <v/>
      </c>
      <c r="V8540" s="19">
        <f>IF($B8540="","",TEXT($B8540,"0000"))</f>
        <v/>
      </c>
      <c r="W8540" s="19">
        <f>IF($I8540="","",IF(ISNUMBER($I8540),TEXT($I8540,"0"),$I8540))</f>
        <v/>
      </c>
    </row>
    <row r="8541">
      <c r="B8541" s="25" t="n"/>
      <c r="I8541" s="25" t="n"/>
      <c r="U8541" s="19">
        <f>IF($V8541&lt;&gt;'設定'!$C$4,N(U8540),IF(OR(NOT(COUNTIF('商品マスタ'!$B$6:$B$1005,$W8541)=0),COUNTIFS('①在庫を貼る'!$V$6:$V$10005,$V8541,'①在庫を貼る'!$W$6:$W$10005,$W8541)&gt;0),N(U8540),N(U8540)+1))</f>
        <v/>
      </c>
      <c r="V8541" s="19">
        <f>IF($B8541="","",TEXT($B8541,"0000"))</f>
        <v/>
      </c>
      <c r="W8541" s="19">
        <f>IF($I8541="","",IF(ISNUMBER($I8541),TEXT($I8541,"0"),$I8541))</f>
        <v/>
      </c>
    </row>
    <row r="8542">
      <c r="B8542" s="25" t="n"/>
      <c r="I8542" s="25" t="n"/>
      <c r="U8542" s="19">
        <f>IF($V8542&lt;&gt;'設定'!$C$4,N(U8541),IF(OR(NOT(COUNTIF('商品マスタ'!$B$6:$B$1005,$W8542)=0),COUNTIFS('①在庫を貼る'!$V$6:$V$10005,$V8542,'①在庫を貼る'!$W$6:$W$10005,$W8542)&gt;0),N(U8541),N(U8541)+1))</f>
        <v/>
      </c>
      <c r="V8542" s="19">
        <f>IF($B8542="","",TEXT($B8542,"0000"))</f>
        <v/>
      </c>
      <c r="W8542" s="19">
        <f>IF($I8542="","",IF(ISNUMBER($I8542),TEXT($I8542,"0"),$I8542))</f>
        <v/>
      </c>
    </row>
    <row r="8543">
      <c r="B8543" s="25" t="n"/>
      <c r="I8543" s="25" t="n"/>
      <c r="U8543" s="19">
        <f>IF($V8543&lt;&gt;'設定'!$C$4,N(U8542),IF(OR(NOT(COUNTIF('商品マスタ'!$B$6:$B$1005,$W8543)=0),COUNTIFS('①在庫を貼る'!$V$6:$V$10005,$V8543,'①在庫を貼る'!$W$6:$W$10005,$W8543)&gt;0),N(U8542),N(U8542)+1))</f>
        <v/>
      </c>
      <c r="V8543" s="19">
        <f>IF($B8543="","",TEXT($B8543,"0000"))</f>
        <v/>
      </c>
      <c r="W8543" s="19">
        <f>IF($I8543="","",IF(ISNUMBER($I8543),TEXT($I8543,"0"),$I8543))</f>
        <v/>
      </c>
    </row>
    <row r="8544">
      <c r="B8544" s="25" t="n"/>
      <c r="I8544" s="25" t="n"/>
      <c r="U8544" s="19">
        <f>IF($V8544&lt;&gt;'設定'!$C$4,N(U8543),IF(OR(NOT(COUNTIF('商品マスタ'!$B$6:$B$1005,$W8544)=0),COUNTIFS('①在庫を貼る'!$V$6:$V$10005,$V8544,'①在庫を貼る'!$W$6:$W$10005,$W8544)&gt;0),N(U8543),N(U8543)+1))</f>
        <v/>
      </c>
      <c r="V8544" s="19">
        <f>IF($B8544="","",TEXT($B8544,"0000"))</f>
        <v/>
      </c>
      <c r="W8544" s="19">
        <f>IF($I8544="","",IF(ISNUMBER($I8544),TEXT($I8544,"0"),$I8544))</f>
        <v/>
      </c>
    </row>
    <row r="8545">
      <c r="B8545" s="25" t="n"/>
      <c r="I8545" s="25" t="n"/>
      <c r="U8545" s="19">
        <f>IF($V8545&lt;&gt;'設定'!$C$4,N(U8544),IF(OR(NOT(COUNTIF('商品マスタ'!$B$6:$B$1005,$W8545)=0),COUNTIFS('①在庫を貼る'!$V$6:$V$10005,$V8545,'①在庫を貼る'!$W$6:$W$10005,$W8545)&gt;0),N(U8544),N(U8544)+1))</f>
        <v/>
      </c>
      <c r="V8545" s="19">
        <f>IF($B8545="","",TEXT($B8545,"0000"))</f>
        <v/>
      </c>
      <c r="W8545" s="19">
        <f>IF($I8545="","",IF(ISNUMBER($I8545),TEXT($I8545,"0"),$I8545))</f>
        <v/>
      </c>
    </row>
    <row r="8546">
      <c r="B8546" s="25" t="n"/>
      <c r="I8546" s="25" t="n"/>
      <c r="U8546" s="19">
        <f>IF($V8546&lt;&gt;'設定'!$C$4,N(U8545),IF(OR(NOT(COUNTIF('商品マスタ'!$B$6:$B$1005,$W8546)=0),COUNTIFS('①在庫を貼る'!$V$6:$V$10005,$V8546,'①在庫を貼る'!$W$6:$W$10005,$W8546)&gt;0),N(U8545),N(U8545)+1))</f>
        <v/>
      </c>
      <c r="V8546" s="19">
        <f>IF($B8546="","",TEXT($B8546,"0000"))</f>
        <v/>
      </c>
      <c r="W8546" s="19">
        <f>IF($I8546="","",IF(ISNUMBER($I8546),TEXT($I8546,"0"),$I8546))</f>
        <v/>
      </c>
    </row>
    <row r="8547">
      <c r="B8547" s="25" t="n"/>
      <c r="I8547" s="25" t="n"/>
      <c r="U8547" s="19">
        <f>IF($V8547&lt;&gt;'設定'!$C$4,N(U8546),IF(OR(NOT(COUNTIF('商品マスタ'!$B$6:$B$1005,$W8547)=0),COUNTIFS('①在庫を貼る'!$V$6:$V$10005,$V8547,'①在庫を貼る'!$W$6:$W$10005,$W8547)&gt;0),N(U8546),N(U8546)+1))</f>
        <v/>
      </c>
      <c r="V8547" s="19">
        <f>IF($B8547="","",TEXT($B8547,"0000"))</f>
        <v/>
      </c>
      <c r="W8547" s="19">
        <f>IF($I8547="","",IF(ISNUMBER($I8547),TEXT($I8547,"0"),$I8547))</f>
        <v/>
      </c>
    </row>
    <row r="8548">
      <c r="B8548" s="25" t="n"/>
      <c r="I8548" s="25" t="n"/>
      <c r="U8548" s="19">
        <f>IF($V8548&lt;&gt;'設定'!$C$4,N(U8547),IF(OR(NOT(COUNTIF('商品マスタ'!$B$6:$B$1005,$W8548)=0),COUNTIFS('①在庫を貼る'!$V$6:$V$10005,$V8548,'①在庫を貼る'!$W$6:$W$10005,$W8548)&gt;0),N(U8547),N(U8547)+1))</f>
        <v/>
      </c>
      <c r="V8548" s="19">
        <f>IF($B8548="","",TEXT($B8548,"0000"))</f>
        <v/>
      </c>
      <c r="W8548" s="19">
        <f>IF($I8548="","",IF(ISNUMBER($I8548),TEXT($I8548,"0"),$I8548))</f>
        <v/>
      </c>
    </row>
    <row r="8549">
      <c r="B8549" s="25" t="n"/>
      <c r="I8549" s="25" t="n"/>
      <c r="U8549" s="19">
        <f>IF($V8549&lt;&gt;'設定'!$C$4,N(U8548),IF(OR(NOT(COUNTIF('商品マスタ'!$B$6:$B$1005,$W8549)=0),COUNTIFS('①在庫を貼る'!$V$6:$V$10005,$V8549,'①在庫を貼る'!$W$6:$W$10005,$W8549)&gt;0),N(U8548),N(U8548)+1))</f>
        <v/>
      </c>
      <c r="V8549" s="19">
        <f>IF($B8549="","",TEXT($B8549,"0000"))</f>
        <v/>
      </c>
      <c r="W8549" s="19">
        <f>IF($I8549="","",IF(ISNUMBER($I8549),TEXT($I8549,"0"),$I8549))</f>
        <v/>
      </c>
    </row>
    <row r="8550">
      <c r="B8550" s="25" t="n"/>
      <c r="I8550" s="25" t="n"/>
      <c r="U8550" s="19">
        <f>IF($V8550&lt;&gt;'設定'!$C$4,N(U8549),IF(OR(NOT(COUNTIF('商品マスタ'!$B$6:$B$1005,$W8550)=0),COUNTIFS('①在庫を貼る'!$V$6:$V$10005,$V8550,'①在庫を貼る'!$W$6:$W$10005,$W8550)&gt;0),N(U8549),N(U8549)+1))</f>
        <v/>
      </c>
      <c r="V8550" s="19">
        <f>IF($B8550="","",TEXT($B8550,"0000"))</f>
        <v/>
      </c>
      <c r="W8550" s="19">
        <f>IF($I8550="","",IF(ISNUMBER($I8550),TEXT($I8550,"0"),$I8550))</f>
        <v/>
      </c>
    </row>
    <row r="8551">
      <c r="B8551" s="25" t="n"/>
      <c r="I8551" s="25" t="n"/>
      <c r="U8551" s="19">
        <f>IF($V8551&lt;&gt;'設定'!$C$4,N(U8550),IF(OR(NOT(COUNTIF('商品マスタ'!$B$6:$B$1005,$W8551)=0),COUNTIFS('①在庫を貼る'!$V$6:$V$10005,$V8551,'①在庫を貼る'!$W$6:$W$10005,$W8551)&gt;0),N(U8550),N(U8550)+1))</f>
        <v/>
      </c>
      <c r="V8551" s="19">
        <f>IF($B8551="","",TEXT($B8551,"0000"))</f>
        <v/>
      </c>
      <c r="W8551" s="19">
        <f>IF($I8551="","",IF(ISNUMBER($I8551),TEXT($I8551,"0"),$I8551))</f>
        <v/>
      </c>
    </row>
    <row r="8552">
      <c r="B8552" s="25" t="n"/>
      <c r="I8552" s="25" t="n"/>
      <c r="U8552" s="19">
        <f>IF($V8552&lt;&gt;'設定'!$C$4,N(U8551),IF(OR(NOT(COUNTIF('商品マスタ'!$B$6:$B$1005,$W8552)=0),COUNTIFS('①在庫を貼る'!$V$6:$V$10005,$V8552,'①在庫を貼る'!$W$6:$W$10005,$W8552)&gt;0),N(U8551),N(U8551)+1))</f>
        <v/>
      </c>
      <c r="V8552" s="19">
        <f>IF($B8552="","",TEXT($B8552,"0000"))</f>
        <v/>
      </c>
      <c r="W8552" s="19">
        <f>IF($I8552="","",IF(ISNUMBER($I8552),TEXT($I8552,"0"),$I8552))</f>
        <v/>
      </c>
    </row>
    <row r="8553">
      <c r="B8553" s="25" t="n"/>
      <c r="I8553" s="25" t="n"/>
      <c r="U8553" s="19">
        <f>IF($V8553&lt;&gt;'設定'!$C$4,N(U8552),IF(OR(NOT(COUNTIF('商品マスタ'!$B$6:$B$1005,$W8553)=0),COUNTIFS('①在庫を貼る'!$V$6:$V$10005,$V8553,'①在庫を貼る'!$W$6:$W$10005,$W8553)&gt;0),N(U8552),N(U8552)+1))</f>
        <v/>
      </c>
      <c r="V8553" s="19">
        <f>IF($B8553="","",TEXT($B8553,"0000"))</f>
        <v/>
      </c>
      <c r="W8553" s="19">
        <f>IF($I8553="","",IF(ISNUMBER($I8553),TEXT($I8553,"0"),$I8553))</f>
        <v/>
      </c>
    </row>
    <row r="8554">
      <c r="B8554" s="25" t="n"/>
      <c r="I8554" s="25" t="n"/>
      <c r="U8554" s="19">
        <f>IF($V8554&lt;&gt;'設定'!$C$4,N(U8553),IF(OR(NOT(COUNTIF('商品マスタ'!$B$6:$B$1005,$W8554)=0),COUNTIFS('①在庫を貼る'!$V$6:$V$10005,$V8554,'①在庫を貼る'!$W$6:$W$10005,$W8554)&gt;0),N(U8553),N(U8553)+1))</f>
        <v/>
      </c>
      <c r="V8554" s="19">
        <f>IF($B8554="","",TEXT($B8554,"0000"))</f>
        <v/>
      </c>
      <c r="W8554" s="19">
        <f>IF($I8554="","",IF(ISNUMBER($I8554),TEXT($I8554,"0"),$I8554))</f>
        <v/>
      </c>
    </row>
    <row r="8555">
      <c r="B8555" s="25" t="n"/>
      <c r="I8555" s="25" t="n"/>
      <c r="U8555" s="19">
        <f>IF($V8555&lt;&gt;'設定'!$C$4,N(U8554),IF(OR(NOT(COUNTIF('商品マスタ'!$B$6:$B$1005,$W8555)=0),COUNTIFS('①在庫を貼る'!$V$6:$V$10005,$V8555,'①在庫を貼る'!$W$6:$W$10005,$W8555)&gt;0),N(U8554),N(U8554)+1))</f>
        <v/>
      </c>
      <c r="V8555" s="19">
        <f>IF($B8555="","",TEXT($B8555,"0000"))</f>
        <v/>
      </c>
      <c r="W8555" s="19">
        <f>IF($I8555="","",IF(ISNUMBER($I8555),TEXT($I8555,"0"),$I8555))</f>
        <v/>
      </c>
    </row>
    <row r="8556">
      <c r="B8556" s="25" t="n"/>
      <c r="I8556" s="25" t="n"/>
      <c r="U8556" s="19">
        <f>IF($V8556&lt;&gt;'設定'!$C$4,N(U8555),IF(OR(NOT(COUNTIF('商品マスタ'!$B$6:$B$1005,$W8556)=0),COUNTIFS('①在庫を貼る'!$V$6:$V$10005,$V8556,'①在庫を貼る'!$W$6:$W$10005,$W8556)&gt;0),N(U8555),N(U8555)+1))</f>
        <v/>
      </c>
      <c r="V8556" s="19">
        <f>IF($B8556="","",TEXT($B8556,"0000"))</f>
        <v/>
      </c>
      <c r="W8556" s="19">
        <f>IF($I8556="","",IF(ISNUMBER($I8556),TEXT($I8556,"0"),$I8556))</f>
        <v/>
      </c>
    </row>
    <row r="8557">
      <c r="B8557" s="25" t="n"/>
      <c r="I8557" s="25" t="n"/>
      <c r="U8557" s="19">
        <f>IF($V8557&lt;&gt;'設定'!$C$4,N(U8556),IF(OR(NOT(COUNTIF('商品マスタ'!$B$6:$B$1005,$W8557)=0),COUNTIFS('①在庫を貼る'!$V$6:$V$10005,$V8557,'①在庫を貼る'!$W$6:$W$10005,$W8557)&gt;0),N(U8556),N(U8556)+1))</f>
        <v/>
      </c>
      <c r="V8557" s="19">
        <f>IF($B8557="","",TEXT($B8557,"0000"))</f>
        <v/>
      </c>
      <c r="W8557" s="19">
        <f>IF($I8557="","",IF(ISNUMBER($I8557),TEXT($I8557,"0"),$I8557))</f>
        <v/>
      </c>
    </row>
    <row r="8558">
      <c r="B8558" s="25" t="n"/>
      <c r="I8558" s="25" t="n"/>
      <c r="U8558" s="19">
        <f>IF($V8558&lt;&gt;'設定'!$C$4,N(U8557),IF(OR(NOT(COUNTIF('商品マスタ'!$B$6:$B$1005,$W8558)=0),COUNTIFS('①在庫を貼る'!$V$6:$V$10005,$V8558,'①在庫を貼る'!$W$6:$W$10005,$W8558)&gt;0),N(U8557),N(U8557)+1))</f>
        <v/>
      </c>
      <c r="V8558" s="19">
        <f>IF($B8558="","",TEXT($B8558,"0000"))</f>
        <v/>
      </c>
      <c r="W8558" s="19">
        <f>IF($I8558="","",IF(ISNUMBER($I8558),TEXT($I8558,"0"),$I8558))</f>
        <v/>
      </c>
    </row>
    <row r="8559">
      <c r="B8559" s="25" t="n"/>
      <c r="I8559" s="25" t="n"/>
      <c r="U8559" s="19">
        <f>IF($V8559&lt;&gt;'設定'!$C$4,N(U8558),IF(OR(NOT(COUNTIF('商品マスタ'!$B$6:$B$1005,$W8559)=0),COUNTIFS('①在庫を貼る'!$V$6:$V$10005,$V8559,'①在庫を貼る'!$W$6:$W$10005,$W8559)&gt;0),N(U8558),N(U8558)+1))</f>
        <v/>
      </c>
      <c r="V8559" s="19">
        <f>IF($B8559="","",TEXT($B8559,"0000"))</f>
        <v/>
      </c>
      <c r="W8559" s="19">
        <f>IF($I8559="","",IF(ISNUMBER($I8559),TEXT($I8559,"0"),$I8559))</f>
        <v/>
      </c>
    </row>
    <row r="8560">
      <c r="B8560" s="25" t="n"/>
      <c r="I8560" s="25" t="n"/>
      <c r="U8560" s="19">
        <f>IF($V8560&lt;&gt;'設定'!$C$4,N(U8559),IF(OR(NOT(COUNTIF('商品マスタ'!$B$6:$B$1005,$W8560)=0),COUNTIFS('①在庫を貼る'!$V$6:$V$10005,$V8560,'①在庫を貼る'!$W$6:$W$10005,$W8560)&gt;0),N(U8559),N(U8559)+1))</f>
        <v/>
      </c>
      <c r="V8560" s="19">
        <f>IF($B8560="","",TEXT($B8560,"0000"))</f>
        <v/>
      </c>
      <c r="W8560" s="19">
        <f>IF($I8560="","",IF(ISNUMBER($I8560),TEXT($I8560,"0"),$I8560))</f>
        <v/>
      </c>
    </row>
    <row r="8561">
      <c r="B8561" s="25" t="n"/>
      <c r="I8561" s="25" t="n"/>
      <c r="U8561" s="19">
        <f>IF($V8561&lt;&gt;'設定'!$C$4,N(U8560),IF(OR(NOT(COUNTIF('商品マスタ'!$B$6:$B$1005,$W8561)=0),COUNTIFS('①在庫を貼る'!$V$6:$V$10005,$V8561,'①在庫を貼る'!$W$6:$W$10005,$W8561)&gt;0),N(U8560),N(U8560)+1))</f>
        <v/>
      </c>
      <c r="V8561" s="19">
        <f>IF($B8561="","",TEXT($B8561,"0000"))</f>
        <v/>
      </c>
      <c r="W8561" s="19">
        <f>IF($I8561="","",IF(ISNUMBER($I8561),TEXT($I8561,"0"),$I8561))</f>
        <v/>
      </c>
    </row>
    <row r="8562">
      <c r="B8562" s="25" t="n"/>
      <c r="I8562" s="25" t="n"/>
      <c r="U8562" s="19">
        <f>IF($V8562&lt;&gt;'設定'!$C$4,N(U8561),IF(OR(NOT(COUNTIF('商品マスタ'!$B$6:$B$1005,$W8562)=0),COUNTIFS('①在庫を貼る'!$V$6:$V$10005,$V8562,'①在庫を貼る'!$W$6:$W$10005,$W8562)&gt;0),N(U8561),N(U8561)+1))</f>
        <v/>
      </c>
      <c r="V8562" s="19">
        <f>IF($B8562="","",TEXT($B8562,"0000"))</f>
        <v/>
      </c>
      <c r="W8562" s="19">
        <f>IF($I8562="","",IF(ISNUMBER($I8562),TEXT($I8562,"0"),$I8562))</f>
        <v/>
      </c>
    </row>
    <row r="8563">
      <c r="B8563" s="25" t="n"/>
      <c r="I8563" s="25" t="n"/>
      <c r="U8563" s="19">
        <f>IF($V8563&lt;&gt;'設定'!$C$4,N(U8562),IF(OR(NOT(COUNTIF('商品マスタ'!$B$6:$B$1005,$W8563)=0),COUNTIFS('①在庫を貼る'!$V$6:$V$10005,$V8563,'①在庫を貼る'!$W$6:$W$10005,$W8563)&gt;0),N(U8562),N(U8562)+1))</f>
        <v/>
      </c>
      <c r="V8563" s="19">
        <f>IF($B8563="","",TEXT($B8563,"0000"))</f>
        <v/>
      </c>
      <c r="W8563" s="19">
        <f>IF($I8563="","",IF(ISNUMBER($I8563),TEXT($I8563,"0"),$I8563))</f>
        <v/>
      </c>
    </row>
    <row r="8564">
      <c r="B8564" s="25" t="n"/>
      <c r="I8564" s="25" t="n"/>
      <c r="U8564" s="19">
        <f>IF($V8564&lt;&gt;'設定'!$C$4,N(U8563),IF(OR(NOT(COUNTIF('商品マスタ'!$B$6:$B$1005,$W8564)=0),COUNTIFS('①在庫を貼る'!$V$6:$V$10005,$V8564,'①在庫を貼る'!$W$6:$W$10005,$W8564)&gt;0),N(U8563),N(U8563)+1))</f>
        <v/>
      </c>
      <c r="V8564" s="19">
        <f>IF($B8564="","",TEXT($B8564,"0000"))</f>
        <v/>
      </c>
      <c r="W8564" s="19">
        <f>IF($I8564="","",IF(ISNUMBER($I8564),TEXT($I8564,"0"),$I8564))</f>
        <v/>
      </c>
    </row>
    <row r="8565">
      <c r="B8565" s="25" t="n"/>
      <c r="I8565" s="25" t="n"/>
      <c r="U8565" s="19">
        <f>IF($V8565&lt;&gt;'設定'!$C$4,N(U8564),IF(OR(NOT(COUNTIF('商品マスタ'!$B$6:$B$1005,$W8565)=0),COUNTIFS('①在庫を貼る'!$V$6:$V$10005,$V8565,'①在庫を貼る'!$W$6:$W$10005,$W8565)&gt;0),N(U8564),N(U8564)+1))</f>
        <v/>
      </c>
      <c r="V8565" s="19">
        <f>IF($B8565="","",TEXT($B8565,"0000"))</f>
        <v/>
      </c>
      <c r="W8565" s="19">
        <f>IF($I8565="","",IF(ISNUMBER($I8565),TEXT($I8565,"0"),$I8565))</f>
        <v/>
      </c>
    </row>
    <row r="8566">
      <c r="B8566" s="25" t="n"/>
      <c r="I8566" s="25" t="n"/>
      <c r="U8566" s="19">
        <f>IF($V8566&lt;&gt;'設定'!$C$4,N(U8565),IF(OR(NOT(COUNTIF('商品マスタ'!$B$6:$B$1005,$W8566)=0),COUNTIFS('①在庫を貼る'!$V$6:$V$10005,$V8566,'①在庫を貼る'!$W$6:$W$10005,$W8566)&gt;0),N(U8565),N(U8565)+1))</f>
        <v/>
      </c>
      <c r="V8566" s="19">
        <f>IF($B8566="","",TEXT($B8566,"0000"))</f>
        <v/>
      </c>
      <c r="W8566" s="19">
        <f>IF($I8566="","",IF(ISNUMBER($I8566),TEXT($I8566,"0"),$I8566))</f>
        <v/>
      </c>
    </row>
    <row r="8567">
      <c r="B8567" s="25" t="n"/>
      <c r="I8567" s="25" t="n"/>
      <c r="U8567" s="19">
        <f>IF($V8567&lt;&gt;'設定'!$C$4,N(U8566),IF(OR(NOT(COUNTIF('商品マスタ'!$B$6:$B$1005,$W8567)=0),COUNTIFS('①在庫を貼る'!$V$6:$V$10005,$V8567,'①在庫を貼る'!$W$6:$W$10005,$W8567)&gt;0),N(U8566),N(U8566)+1))</f>
        <v/>
      </c>
      <c r="V8567" s="19">
        <f>IF($B8567="","",TEXT($B8567,"0000"))</f>
        <v/>
      </c>
      <c r="W8567" s="19">
        <f>IF($I8567="","",IF(ISNUMBER($I8567),TEXT($I8567,"0"),$I8567))</f>
        <v/>
      </c>
    </row>
    <row r="8568">
      <c r="B8568" s="25" t="n"/>
      <c r="I8568" s="25" t="n"/>
      <c r="U8568" s="19">
        <f>IF($V8568&lt;&gt;'設定'!$C$4,N(U8567),IF(OR(NOT(COUNTIF('商品マスタ'!$B$6:$B$1005,$W8568)=0),COUNTIFS('①在庫を貼る'!$V$6:$V$10005,$V8568,'①在庫を貼る'!$W$6:$W$10005,$W8568)&gt;0),N(U8567),N(U8567)+1))</f>
        <v/>
      </c>
      <c r="V8568" s="19">
        <f>IF($B8568="","",TEXT($B8568,"0000"))</f>
        <v/>
      </c>
      <c r="W8568" s="19">
        <f>IF($I8568="","",IF(ISNUMBER($I8568),TEXT($I8568,"0"),$I8568))</f>
        <v/>
      </c>
    </row>
    <row r="8569">
      <c r="B8569" s="25" t="n"/>
      <c r="I8569" s="25" t="n"/>
      <c r="U8569" s="19">
        <f>IF($V8569&lt;&gt;'設定'!$C$4,N(U8568),IF(OR(NOT(COUNTIF('商品マスタ'!$B$6:$B$1005,$W8569)=0),COUNTIFS('①在庫を貼る'!$V$6:$V$10005,$V8569,'①在庫を貼る'!$W$6:$W$10005,$W8569)&gt;0),N(U8568),N(U8568)+1))</f>
        <v/>
      </c>
      <c r="V8569" s="19">
        <f>IF($B8569="","",TEXT($B8569,"0000"))</f>
        <v/>
      </c>
      <c r="W8569" s="19">
        <f>IF($I8569="","",IF(ISNUMBER($I8569),TEXT($I8569,"0"),$I8569))</f>
        <v/>
      </c>
    </row>
    <row r="8570">
      <c r="B8570" s="25" t="n"/>
      <c r="I8570" s="25" t="n"/>
      <c r="U8570" s="19">
        <f>IF($V8570&lt;&gt;'設定'!$C$4,N(U8569),IF(OR(NOT(COUNTIF('商品マスタ'!$B$6:$B$1005,$W8570)=0),COUNTIFS('①在庫を貼る'!$V$6:$V$10005,$V8570,'①在庫を貼る'!$W$6:$W$10005,$W8570)&gt;0),N(U8569),N(U8569)+1))</f>
        <v/>
      </c>
      <c r="V8570" s="19">
        <f>IF($B8570="","",TEXT($B8570,"0000"))</f>
        <v/>
      </c>
      <c r="W8570" s="19">
        <f>IF($I8570="","",IF(ISNUMBER($I8570),TEXT($I8570,"0"),$I8570))</f>
        <v/>
      </c>
    </row>
    <row r="8571">
      <c r="B8571" s="25" t="n"/>
      <c r="I8571" s="25" t="n"/>
      <c r="U8571" s="19">
        <f>IF($V8571&lt;&gt;'設定'!$C$4,N(U8570),IF(OR(NOT(COUNTIF('商品マスタ'!$B$6:$B$1005,$W8571)=0),COUNTIFS('①在庫を貼る'!$V$6:$V$10005,$V8571,'①在庫を貼る'!$W$6:$W$10005,$W8571)&gt;0),N(U8570),N(U8570)+1))</f>
        <v/>
      </c>
      <c r="V8571" s="19">
        <f>IF($B8571="","",TEXT($B8571,"0000"))</f>
        <v/>
      </c>
      <c r="W8571" s="19">
        <f>IF($I8571="","",IF(ISNUMBER($I8571),TEXT($I8571,"0"),$I8571))</f>
        <v/>
      </c>
    </row>
    <row r="8572">
      <c r="B8572" s="25" t="n"/>
      <c r="I8572" s="25" t="n"/>
      <c r="U8572" s="19">
        <f>IF($V8572&lt;&gt;'設定'!$C$4,N(U8571),IF(OR(NOT(COUNTIF('商品マスタ'!$B$6:$B$1005,$W8572)=0),COUNTIFS('①在庫を貼る'!$V$6:$V$10005,$V8572,'①在庫を貼る'!$W$6:$W$10005,$W8572)&gt;0),N(U8571),N(U8571)+1))</f>
        <v/>
      </c>
      <c r="V8572" s="19">
        <f>IF($B8572="","",TEXT($B8572,"0000"))</f>
        <v/>
      </c>
      <c r="W8572" s="19">
        <f>IF($I8572="","",IF(ISNUMBER($I8572),TEXT($I8572,"0"),$I8572))</f>
        <v/>
      </c>
    </row>
    <row r="8573">
      <c r="B8573" s="25" t="n"/>
      <c r="I8573" s="25" t="n"/>
      <c r="U8573" s="19">
        <f>IF($V8573&lt;&gt;'設定'!$C$4,N(U8572),IF(OR(NOT(COUNTIF('商品マスタ'!$B$6:$B$1005,$W8573)=0),COUNTIFS('①在庫を貼る'!$V$6:$V$10005,$V8573,'①在庫を貼る'!$W$6:$W$10005,$W8573)&gt;0),N(U8572),N(U8572)+1))</f>
        <v/>
      </c>
      <c r="V8573" s="19">
        <f>IF($B8573="","",TEXT($B8573,"0000"))</f>
        <v/>
      </c>
      <c r="W8573" s="19">
        <f>IF($I8573="","",IF(ISNUMBER($I8573),TEXT($I8573,"0"),$I8573))</f>
        <v/>
      </c>
    </row>
    <row r="8574">
      <c r="B8574" s="25" t="n"/>
      <c r="I8574" s="25" t="n"/>
      <c r="U8574" s="19">
        <f>IF($V8574&lt;&gt;'設定'!$C$4,N(U8573),IF(OR(NOT(COUNTIF('商品マスタ'!$B$6:$B$1005,$W8574)=0),COUNTIFS('①在庫を貼る'!$V$6:$V$10005,$V8574,'①在庫を貼る'!$W$6:$W$10005,$W8574)&gt;0),N(U8573),N(U8573)+1))</f>
        <v/>
      </c>
      <c r="V8574" s="19">
        <f>IF($B8574="","",TEXT($B8574,"0000"))</f>
        <v/>
      </c>
      <c r="W8574" s="19">
        <f>IF($I8574="","",IF(ISNUMBER($I8574),TEXT($I8574,"0"),$I8574))</f>
        <v/>
      </c>
    </row>
    <row r="8575">
      <c r="B8575" s="25" t="n"/>
      <c r="I8575" s="25" t="n"/>
      <c r="U8575" s="19">
        <f>IF($V8575&lt;&gt;'設定'!$C$4,N(U8574),IF(OR(NOT(COUNTIF('商品マスタ'!$B$6:$B$1005,$W8575)=0),COUNTIFS('①在庫を貼る'!$V$6:$V$10005,$V8575,'①在庫を貼る'!$W$6:$W$10005,$W8575)&gt;0),N(U8574),N(U8574)+1))</f>
        <v/>
      </c>
      <c r="V8575" s="19">
        <f>IF($B8575="","",TEXT($B8575,"0000"))</f>
        <v/>
      </c>
      <c r="W8575" s="19">
        <f>IF($I8575="","",IF(ISNUMBER($I8575),TEXT($I8575,"0"),$I8575))</f>
        <v/>
      </c>
    </row>
    <row r="8576">
      <c r="B8576" s="25" t="n"/>
      <c r="I8576" s="25" t="n"/>
      <c r="U8576" s="19">
        <f>IF($V8576&lt;&gt;'設定'!$C$4,N(U8575),IF(OR(NOT(COUNTIF('商品マスタ'!$B$6:$B$1005,$W8576)=0),COUNTIFS('①在庫を貼る'!$V$6:$V$10005,$V8576,'①在庫を貼る'!$W$6:$W$10005,$W8576)&gt;0),N(U8575),N(U8575)+1))</f>
        <v/>
      </c>
      <c r="V8576" s="19">
        <f>IF($B8576="","",TEXT($B8576,"0000"))</f>
        <v/>
      </c>
      <c r="W8576" s="19">
        <f>IF($I8576="","",IF(ISNUMBER($I8576),TEXT($I8576,"0"),$I8576))</f>
        <v/>
      </c>
    </row>
    <row r="8577">
      <c r="B8577" s="25" t="n"/>
      <c r="I8577" s="25" t="n"/>
      <c r="U8577" s="19">
        <f>IF($V8577&lt;&gt;'設定'!$C$4,N(U8576),IF(OR(NOT(COUNTIF('商品マスタ'!$B$6:$B$1005,$W8577)=0),COUNTIFS('①在庫を貼る'!$V$6:$V$10005,$V8577,'①在庫を貼る'!$W$6:$W$10005,$W8577)&gt;0),N(U8576),N(U8576)+1))</f>
        <v/>
      </c>
      <c r="V8577" s="19">
        <f>IF($B8577="","",TEXT($B8577,"0000"))</f>
        <v/>
      </c>
      <c r="W8577" s="19">
        <f>IF($I8577="","",IF(ISNUMBER($I8577),TEXT($I8577,"0"),$I8577))</f>
        <v/>
      </c>
    </row>
    <row r="8578">
      <c r="B8578" s="25" t="n"/>
      <c r="I8578" s="25" t="n"/>
      <c r="U8578" s="19">
        <f>IF($V8578&lt;&gt;'設定'!$C$4,N(U8577),IF(OR(NOT(COUNTIF('商品マスタ'!$B$6:$B$1005,$W8578)=0),COUNTIFS('①在庫を貼る'!$V$6:$V$10005,$V8578,'①在庫を貼る'!$W$6:$W$10005,$W8578)&gt;0),N(U8577),N(U8577)+1))</f>
        <v/>
      </c>
      <c r="V8578" s="19">
        <f>IF($B8578="","",TEXT($B8578,"0000"))</f>
        <v/>
      </c>
      <c r="W8578" s="19">
        <f>IF($I8578="","",IF(ISNUMBER($I8578),TEXT($I8578,"0"),$I8578))</f>
        <v/>
      </c>
    </row>
    <row r="8579">
      <c r="B8579" s="25" t="n"/>
      <c r="I8579" s="25" t="n"/>
      <c r="U8579" s="19">
        <f>IF($V8579&lt;&gt;'設定'!$C$4,N(U8578),IF(OR(NOT(COUNTIF('商品マスタ'!$B$6:$B$1005,$W8579)=0),COUNTIFS('①在庫を貼る'!$V$6:$V$10005,$V8579,'①在庫を貼る'!$W$6:$W$10005,$W8579)&gt;0),N(U8578),N(U8578)+1))</f>
        <v/>
      </c>
      <c r="V8579" s="19">
        <f>IF($B8579="","",TEXT($B8579,"0000"))</f>
        <v/>
      </c>
      <c r="W8579" s="19">
        <f>IF($I8579="","",IF(ISNUMBER($I8579),TEXT($I8579,"0"),$I8579))</f>
        <v/>
      </c>
    </row>
    <row r="8580">
      <c r="B8580" s="25" t="n"/>
      <c r="I8580" s="25" t="n"/>
      <c r="U8580" s="19">
        <f>IF($V8580&lt;&gt;'設定'!$C$4,N(U8579),IF(OR(NOT(COUNTIF('商品マスタ'!$B$6:$B$1005,$W8580)=0),COUNTIFS('①在庫を貼る'!$V$6:$V$10005,$V8580,'①在庫を貼る'!$W$6:$W$10005,$W8580)&gt;0),N(U8579),N(U8579)+1))</f>
        <v/>
      </c>
      <c r="V8580" s="19">
        <f>IF($B8580="","",TEXT($B8580,"0000"))</f>
        <v/>
      </c>
      <c r="W8580" s="19">
        <f>IF($I8580="","",IF(ISNUMBER($I8580),TEXT($I8580,"0"),$I8580))</f>
        <v/>
      </c>
    </row>
    <row r="8581">
      <c r="B8581" s="25" t="n"/>
      <c r="I8581" s="25" t="n"/>
      <c r="U8581" s="19">
        <f>IF($V8581&lt;&gt;'設定'!$C$4,N(U8580),IF(OR(NOT(COUNTIF('商品マスタ'!$B$6:$B$1005,$W8581)=0),COUNTIFS('①在庫を貼る'!$V$6:$V$10005,$V8581,'①在庫を貼る'!$W$6:$W$10005,$W8581)&gt;0),N(U8580),N(U8580)+1))</f>
        <v/>
      </c>
      <c r="V8581" s="19">
        <f>IF($B8581="","",TEXT($B8581,"0000"))</f>
        <v/>
      </c>
      <c r="W8581" s="19">
        <f>IF($I8581="","",IF(ISNUMBER($I8581),TEXT($I8581,"0"),$I8581))</f>
        <v/>
      </c>
    </row>
    <row r="8582">
      <c r="B8582" s="25" t="n"/>
      <c r="I8582" s="25" t="n"/>
      <c r="U8582" s="19">
        <f>IF($V8582&lt;&gt;'設定'!$C$4,N(U8581),IF(OR(NOT(COUNTIF('商品マスタ'!$B$6:$B$1005,$W8582)=0),COUNTIFS('①在庫を貼る'!$V$6:$V$10005,$V8582,'①在庫を貼る'!$W$6:$W$10005,$W8582)&gt;0),N(U8581),N(U8581)+1))</f>
        <v/>
      </c>
      <c r="V8582" s="19">
        <f>IF($B8582="","",TEXT($B8582,"0000"))</f>
        <v/>
      </c>
      <c r="W8582" s="19">
        <f>IF($I8582="","",IF(ISNUMBER($I8582),TEXT($I8582,"0"),$I8582))</f>
        <v/>
      </c>
    </row>
    <row r="8583">
      <c r="B8583" s="25" t="n"/>
      <c r="I8583" s="25" t="n"/>
      <c r="U8583" s="19">
        <f>IF($V8583&lt;&gt;'設定'!$C$4,N(U8582),IF(OR(NOT(COUNTIF('商品マスタ'!$B$6:$B$1005,$W8583)=0),COUNTIFS('①在庫を貼る'!$V$6:$V$10005,$V8583,'①在庫を貼る'!$W$6:$W$10005,$W8583)&gt;0),N(U8582),N(U8582)+1))</f>
        <v/>
      </c>
      <c r="V8583" s="19">
        <f>IF($B8583="","",TEXT($B8583,"0000"))</f>
        <v/>
      </c>
      <c r="W8583" s="19">
        <f>IF($I8583="","",IF(ISNUMBER($I8583),TEXT($I8583,"0"),$I8583))</f>
        <v/>
      </c>
    </row>
    <row r="8584">
      <c r="B8584" s="25" t="n"/>
      <c r="I8584" s="25" t="n"/>
      <c r="U8584" s="19">
        <f>IF($V8584&lt;&gt;'設定'!$C$4,N(U8583),IF(OR(NOT(COUNTIF('商品マスタ'!$B$6:$B$1005,$W8584)=0),COUNTIFS('①在庫を貼る'!$V$6:$V$10005,$V8584,'①在庫を貼る'!$W$6:$W$10005,$W8584)&gt;0),N(U8583),N(U8583)+1))</f>
        <v/>
      </c>
      <c r="V8584" s="19">
        <f>IF($B8584="","",TEXT($B8584,"0000"))</f>
        <v/>
      </c>
      <c r="W8584" s="19">
        <f>IF($I8584="","",IF(ISNUMBER($I8584),TEXT($I8584,"0"),$I8584))</f>
        <v/>
      </c>
    </row>
    <row r="8585">
      <c r="B8585" s="25" t="n"/>
      <c r="I8585" s="25" t="n"/>
      <c r="U8585" s="19">
        <f>IF($V8585&lt;&gt;'設定'!$C$4,N(U8584),IF(OR(NOT(COUNTIF('商品マスタ'!$B$6:$B$1005,$W8585)=0),COUNTIFS('①在庫を貼る'!$V$6:$V$10005,$V8585,'①在庫を貼る'!$W$6:$W$10005,$W8585)&gt;0),N(U8584),N(U8584)+1))</f>
        <v/>
      </c>
      <c r="V8585" s="19">
        <f>IF($B8585="","",TEXT($B8585,"0000"))</f>
        <v/>
      </c>
      <c r="W8585" s="19">
        <f>IF($I8585="","",IF(ISNUMBER($I8585),TEXT($I8585,"0"),$I8585))</f>
        <v/>
      </c>
    </row>
    <row r="8586">
      <c r="B8586" s="25" t="n"/>
      <c r="I8586" s="25" t="n"/>
      <c r="U8586" s="19">
        <f>IF($V8586&lt;&gt;'設定'!$C$4,N(U8585),IF(OR(NOT(COUNTIF('商品マスタ'!$B$6:$B$1005,$W8586)=0),COUNTIFS('①在庫を貼る'!$V$6:$V$10005,$V8586,'①在庫を貼る'!$W$6:$W$10005,$W8586)&gt;0),N(U8585),N(U8585)+1))</f>
        <v/>
      </c>
      <c r="V8586" s="19">
        <f>IF($B8586="","",TEXT($B8586,"0000"))</f>
        <v/>
      </c>
      <c r="W8586" s="19">
        <f>IF($I8586="","",IF(ISNUMBER($I8586),TEXT($I8586,"0"),$I8586))</f>
        <v/>
      </c>
    </row>
    <row r="8587">
      <c r="B8587" s="25" t="n"/>
      <c r="I8587" s="25" t="n"/>
      <c r="U8587" s="19">
        <f>IF($V8587&lt;&gt;'設定'!$C$4,N(U8586),IF(OR(NOT(COUNTIF('商品マスタ'!$B$6:$B$1005,$W8587)=0),COUNTIFS('①在庫を貼る'!$V$6:$V$10005,$V8587,'①在庫を貼る'!$W$6:$W$10005,$W8587)&gt;0),N(U8586),N(U8586)+1))</f>
        <v/>
      </c>
      <c r="V8587" s="19">
        <f>IF($B8587="","",TEXT($B8587,"0000"))</f>
        <v/>
      </c>
      <c r="W8587" s="19">
        <f>IF($I8587="","",IF(ISNUMBER($I8587),TEXT($I8587,"0"),$I8587))</f>
        <v/>
      </c>
    </row>
    <row r="8588">
      <c r="B8588" s="25" t="n"/>
      <c r="I8588" s="25" t="n"/>
      <c r="U8588" s="19">
        <f>IF($V8588&lt;&gt;'設定'!$C$4,N(U8587),IF(OR(NOT(COUNTIF('商品マスタ'!$B$6:$B$1005,$W8588)=0),COUNTIFS('①在庫を貼る'!$V$6:$V$10005,$V8588,'①在庫を貼る'!$W$6:$W$10005,$W8588)&gt;0),N(U8587),N(U8587)+1))</f>
        <v/>
      </c>
      <c r="V8588" s="19">
        <f>IF($B8588="","",TEXT($B8588,"0000"))</f>
        <v/>
      </c>
      <c r="W8588" s="19">
        <f>IF($I8588="","",IF(ISNUMBER($I8588),TEXT($I8588,"0"),$I8588))</f>
        <v/>
      </c>
    </row>
    <row r="8589">
      <c r="B8589" s="25" t="n"/>
      <c r="I8589" s="25" t="n"/>
      <c r="U8589" s="19">
        <f>IF($V8589&lt;&gt;'設定'!$C$4,N(U8588),IF(OR(NOT(COUNTIF('商品マスタ'!$B$6:$B$1005,$W8589)=0),COUNTIFS('①在庫を貼る'!$V$6:$V$10005,$V8589,'①在庫を貼る'!$W$6:$W$10005,$W8589)&gt;0),N(U8588),N(U8588)+1))</f>
        <v/>
      </c>
      <c r="V8589" s="19">
        <f>IF($B8589="","",TEXT($B8589,"0000"))</f>
        <v/>
      </c>
      <c r="W8589" s="19">
        <f>IF($I8589="","",IF(ISNUMBER($I8589),TEXT($I8589,"0"),$I8589))</f>
        <v/>
      </c>
    </row>
    <row r="8590">
      <c r="B8590" s="25" t="n"/>
      <c r="I8590" s="25" t="n"/>
      <c r="U8590" s="19">
        <f>IF($V8590&lt;&gt;'設定'!$C$4,N(U8589),IF(OR(NOT(COUNTIF('商品マスタ'!$B$6:$B$1005,$W8590)=0),COUNTIFS('①在庫を貼る'!$V$6:$V$10005,$V8590,'①在庫を貼る'!$W$6:$W$10005,$W8590)&gt;0),N(U8589),N(U8589)+1))</f>
        <v/>
      </c>
      <c r="V8590" s="19">
        <f>IF($B8590="","",TEXT($B8590,"0000"))</f>
        <v/>
      </c>
      <c r="W8590" s="19">
        <f>IF($I8590="","",IF(ISNUMBER($I8590),TEXT($I8590,"0"),$I8590))</f>
        <v/>
      </c>
    </row>
    <row r="8591">
      <c r="B8591" s="25" t="n"/>
      <c r="I8591" s="25" t="n"/>
      <c r="U8591" s="19">
        <f>IF($V8591&lt;&gt;'設定'!$C$4,N(U8590),IF(OR(NOT(COUNTIF('商品マスタ'!$B$6:$B$1005,$W8591)=0),COUNTIFS('①在庫を貼る'!$V$6:$V$10005,$V8591,'①在庫を貼る'!$W$6:$W$10005,$W8591)&gt;0),N(U8590),N(U8590)+1))</f>
        <v/>
      </c>
      <c r="V8591" s="19">
        <f>IF($B8591="","",TEXT($B8591,"0000"))</f>
        <v/>
      </c>
      <c r="W8591" s="19">
        <f>IF($I8591="","",IF(ISNUMBER($I8591),TEXT($I8591,"0"),$I8591))</f>
        <v/>
      </c>
    </row>
    <row r="8592">
      <c r="B8592" s="25" t="n"/>
      <c r="I8592" s="25" t="n"/>
      <c r="U8592" s="19">
        <f>IF($V8592&lt;&gt;'設定'!$C$4,N(U8591),IF(OR(NOT(COUNTIF('商品マスタ'!$B$6:$B$1005,$W8592)=0),COUNTIFS('①在庫を貼る'!$V$6:$V$10005,$V8592,'①在庫を貼る'!$W$6:$W$10005,$W8592)&gt;0),N(U8591),N(U8591)+1))</f>
        <v/>
      </c>
      <c r="V8592" s="19">
        <f>IF($B8592="","",TEXT($B8592,"0000"))</f>
        <v/>
      </c>
      <c r="W8592" s="19">
        <f>IF($I8592="","",IF(ISNUMBER($I8592),TEXT($I8592,"0"),$I8592))</f>
        <v/>
      </c>
    </row>
    <row r="8593">
      <c r="B8593" s="25" t="n"/>
      <c r="I8593" s="25" t="n"/>
      <c r="U8593" s="19">
        <f>IF($V8593&lt;&gt;'設定'!$C$4,N(U8592),IF(OR(NOT(COUNTIF('商品マスタ'!$B$6:$B$1005,$W8593)=0),COUNTIFS('①在庫を貼る'!$V$6:$V$10005,$V8593,'①在庫を貼る'!$W$6:$W$10005,$W8593)&gt;0),N(U8592),N(U8592)+1))</f>
        <v/>
      </c>
      <c r="V8593" s="19">
        <f>IF($B8593="","",TEXT($B8593,"0000"))</f>
        <v/>
      </c>
      <c r="W8593" s="19">
        <f>IF($I8593="","",IF(ISNUMBER($I8593),TEXT($I8593,"0"),$I8593))</f>
        <v/>
      </c>
    </row>
    <row r="8594">
      <c r="B8594" s="25" t="n"/>
      <c r="I8594" s="25" t="n"/>
      <c r="U8594" s="19">
        <f>IF($V8594&lt;&gt;'設定'!$C$4,N(U8593),IF(OR(NOT(COUNTIF('商品マスタ'!$B$6:$B$1005,$W8594)=0),COUNTIFS('①在庫を貼る'!$V$6:$V$10005,$V8594,'①在庫を貼る'!$W$6:$W$10005,$W8594)&gt;0),N(U8593),N(U8593)+1))</f>
        <v/>
      </c>
      <c r="V8594" s="19">
        <f>IF($B8594="","",TEXT($B8594,"0000"))</f>
        <v/>
      </c>
      <c r="W8594" s="19">
        <f>IF($I8594="","",IF(ISNUMBER($I8594),TEXT($I8594,"0"),$I8594))</f>
        <v/>
      </c>
    </row>
    <row r="8595">
      <c r="B8595" s="25" t="n"/>
      <c r="I8595" s="25" t="n"/>
      <c r="U8595" s="19">
        <f>IF($V8595&lt;&gt;'設定'!$C$4,N(U8594),IF(OR(NOT(COUNTIF('商品マスタ'!$B$6:$B$1005,$W8595)=0),COUNTIFS('①在庫を貼る'!$V$6:$V$10005,$V8595,'①在庫を貼る'!$W$6:$W$10005,$W8595)&gt;0),N(U8594),N(U8594)+1))</f>
        <v/>
      </c>
      <c r="V8595" s="19">
        <f>IF($B8595="","",TEXT($B8595,"0000"))</f>
        <v/>
      </c>
      <c r="W8595" s="19">
        <f>IF($I8595="","",IF(ISNUMBER($I8595),TEXT($I8595,"0"),$I8595))</f>
        <v/>
      </c>
    </row>
    <row r="8596">
      <c r="B8596" s="25" t="n"/>
      <c r="I8596" s="25" t="n"/>
      <c r="U8596" s="19">
        <f>IF($V8596&lt;&gt;'設定'!$C$4,N(U8595),IF(OR(NOT(COUNTIF('商品マスタ'!$B$6:$B$1005,$W8596)=0),COUNTIFS('①在庫を貼る'!$V$6:$V$10005,$V8596,'①在庫を貼る'!$W$6:$W$10005,$W8596)&gt;0),N(U8595),N(U8595)+1))</f>
        <v/>
      </c>
      <c r="V8596" s="19">
        <f>IF($B8596="","",TEXT($B8596,"0000"))</f>
        <v/>
      </c>
      <c r="W8596" s="19">
        <f>IF($I8596="","",IF(ISNUMBER($I8596),TEXT($I8596,"0"),$I8596))</f>
        <v/>
      </c>
    </row>
    <row r="8597">
      <c r="B8597" s="25" t="n"/>
      <c r="I8597" s="25" t="n"/>
      <c r="U8597" s="19">
        <f>IF($V8597&lt;&gt;'設定'!$C$4,N(U8596),IF(OR(NOT(COUNTIF('商品マスタ'!$B$6:$B$1005,$W8597)=0),COUNTIFS('①在庫を貼る'!$V$6:$V$10005,$V8597,'①在庫を貼る'!$W$6:$W$10005,$W8597)&gt;0),N(U8596),N(U8596)+1))</f>
        <v/>
      </c>
      <c r="V8597" s="19">
        <f>IF($B8597="","",TEXT($B8597,"0000"))</f>
        <v/>
      </c>
      <c r="W8597" s="19">
        <f>IF($I8597="","",IF(ISNUMBER($I8597),TEXT($I8597,"0"),$I8597))</f>
        <v/>
      </c>
    </row>
    <row r="8598">
      <c r="B8598" s="25" t="n"/>
      <c r="I8598" s="25" t="n"/>
      <c r="U8598" s="19">
        <f>IF($V8598&lt;&gt;'設定'!$C$4,N(U8597),IF(OR(NOT(COUNTIF('商品マスタ'!$B$6:$B$1005,$W8598)=0),COUNTIFS('①在庫を貼る'!$V$6:$V$10005,$V8598,'①在庫を貼る'!$W$6:$W$10005,$W8598)&gt;0),N(U8597),N(U8597)+1))</f>
        <v/>
      </c>
      <c r="V8598" s="19">
        <f>IF($B8598="","",TEXT($B8598,"0000"))</f>
        <v/>
      </c>
      <c r="W8598" s="19">
        <f>IF($I8598="","",IF(ISNUMBER($I8598),TEXT($I8598,"0"),$I8598))</f>
        <v/>
      </c>
    </row>
    <row r="8599">
      <c r="B8599" s="25" t="n"/>
      <c r="I8599" s="25" t="n"/>
      <c r="U8599" s="19">
        <f>IF($V8599&lt;&gt;'設定'!$C$4,N(U8598),IF(OR(NOT(COUNTIF('商品マスタ'!$B$6:$B$1005,$W8599)=0),COUNTIFS('①在庫を貼る'!$V$6:$V$10005,$V8599,'①在庫を貼る'!$W$6:$W$10005,$W8599)&gt;0),N(U8598),N(U8598)+1))</f>
        <v/>
      </c>
      <c r="V8599" s="19">
        <f>IF($B8599="","",TEXT($B8599,"0000"))</f>
        <v/>
      </c>
      <c r="W8599" s="19">
        <f>IF($I8599="","",IF(ISNUMBER($I8599),TEXT($I8599,"0"),$I8599))</f>
        <v/>
      </c>
    </row>
    <row r="8600">
      <c r="B8600" s="25" t="n"/>
      <c r="I8600" s="25" t="n"/>
      <c r="U8600" s="19">
        <f>IF($V8600&lt;&gt;'設定'!$C$4,N(U8599),IF(OR(NOT(COUNTIF('商品マスタ'!$B$6:$B$1005,$W8600)=0),COUNTIFS('①在庫を貼る'!$V$6:$V$10005,$V8600,'①在庫を貼る'!$W$6:$W$10005,$W8600)&gt;0),N(U8599),N(U8599)+1))</f>
        <v/>
      </c>
      <c r="V8600" s="19">
        <f>IF($B8600="","",TEXT($B8600,"0000"))</f>
        <v/>
      </c>
      <c r="W8600" s="19">
        <f>IF($I8600="","",IF(ISNUMBER($I8600),TEXT($I8600,"0"),$I8600))</f>
        <v/>
      </c>
    </row>
    <row r="8601">
      <c r="B8601" s="25" t="n"/>
      <c r="I8601" s="25" t="n"/>
      <c r="U8601" s="19">
        <f>IF($V8601&lt;&gt;'設定'!$C$4,N(U8600),IF(OR(NOT(COUNTIF('商品マスタ'!$B$6:$B$1005,$W8601)=0),COUNTIFS('①在庫を貼る'!$V$6:$V$10005,$V8601,'①在庫を貼る'!$W$6:$W$10005,$W8601)&gt;0),N(U8600),N(U8600)+1))</f>
        <v/>
      </c>
      <c r="V8601" s="19">
        <f>IF($B8601="","",TEXT($B8601,"0000"))</f>
        <v/>
      </c>
      <c r="W8601" s="19">
        <f>IF($I8601="","",IF(ISNUMBER($I8601),TEXT($I8601,"0"),$I8601))</f>
        <v/>
      </c>
    </row>
    <row r="8602">
      <c r="B8602" s="25" t="n"/>
      <c r="I8602" s="25" t="n"/>
      <c r="U8602" s="19">
        <f>IF($V8602&lt;&gt;'設定'!$C$4,N(U8601),IF(OR(NOT(COUNTIF('商品マスタ'!$B$6:$B$1005,$W8602)=0),COUNTIFS('①在庫を貼る'!$V$6:$V$10005,$V8602,'①在庫を貼る'!$W$6:$W$10005,$W8602)&gt;0),N(U8601),N(U8601)+1))</f>
        <v/>
      </c>
      <c r="V8602" s="19">
        <f>IF($B8602="","",TEXT($B8602,"0000"))</f>
        <v/>
      </c>
      <c r="W8602" s="19">
        <f>IF($I8602="","",IF(ISNUMBER($I8602),TEXT($I8602,"0"),$I8602))</f>
        <v/>
      </c>
    </row>
    <row r="8603">
      <c r="B8603" s="25" t="n"/>
      <c r="I8603" s="25" t="n"/>
      <c r="U8603" s="19">
        <f>IF($V8603&lt;&gt;'設定'!$C$4,N(U8602),IF(OR(NOT(COUNTIF('商品マスタ'!$B$6:$B$1005,$W8603)=0),COUNTIFS('①在庫を貼る'!$V$6:$V$10005,$V8603,'①在庫を貼る'!$W$6:$W$10005,$W8603)&gt;0),N(U8602),N(U8602)+1))</f>
        <v/>
      </c>
      <c r="V8603" s="19">
        <f>IF($B8603="","",TEXT($B8603,"0000"))</f>
        <v/>
      </c>
      <c r="W8603" s="19">
        <f>IF($I8603="","",IF(ISNUMBER($I8603),TEXT($I8603,"0"),$I8603))</f>
        <v/>
      </c>
    </row>
    <row r="8604">
      <c r="B8604" s="25" t="n"/>
      <c r="I8604" s="25" t="n"/>
      <c r="U8604" s="19">
        <f>IF($V8604&lt;&gt;'設定'!$C$4,N(U8603),IF(OR(NOT(COUNTIF('商品マスタ'!$B$6:$B$1005,$W8604)=0),COUNTIFS('①在庫を貼る'!$V$6:$V$10005,$V8604,'①在庫を貼る'!$W$6:$W$10005,$W8604)&gt;0),N(U8603),N(U8603)+1))</f>
        <v/>
      </c>
      <c r="V8604" s="19">
        <f>IF($B8604="","",TEXT($B8604,"0000"))</f>
        <v/>
      </c>
      <c r="W8604" s="19">
        <f>IF($I8604="","",IF(ISNUMBER($I8604),TEXT($I8604,"0"),$I8604))</f>
        <v/>
      </c>
    </row>
    <row r="8605">
      <c r="B8605" s="25" t="n"/>
      <c r="I8605" s="25" t="n"/>
      <c r="U8605" s="19">
        <f>IF($V8605&lt;&gt;'設定'!$C$4,N(U8604),IF(OR(NOT(COUNTIF('商品マスタ'!$B$6:$B$1005,$W8605)=0),COUNTIFS('①在庫を貼る'!$V$6:$V$10005,$V8605,'①在庫を貼る'!$W$6:$W$10005,$W8605)&gt;0),N(U8604),N(U8604)+1))</f>
        <v/>
      </c>
      <c r="V8605" s="19">
        <f>IF($B8605="","",TEXT($B8605,"0000"))</f>
        <v/>
      </c>
      <c r="W8605" s="19">
        <f>IF($I8605="","",IF(ISNUMBER($I8605),TEXT($I8605,"0"),$I8605))</f>
        <v/>
      </c>
    </row>
    <row r="8606">
      <c r="B8606" s="25" t="n"/>
      <c r="I8606" s="25" t="n"/>
      <c r="U8606" s="19">
        <f>IF($V8606&lt;&gt;'設定'!$C$4,N(U8605),IF(OR(NOT(COUNTIF('商品マスタ'!$B$6:$B$1005,$W8606)=0),COUNTIFS('①在庫を貼る'!$V$6:$V$10005,$V8606,'①在庫を貼る'!$W$6:$W$10005,$W8606)&gt;0),N(U8605),N(U8605)+1))</f>
        <v/>
      </c>
      <c r="V8606" s="19">
        <f>IF($B8606="","",TEXT($B8606,"0000"))</f>
        <v/>
      </c>
      <c r="W8606" s="19">
        <f>IF($I8606="","",IF(ISNUMBER($I8606),TEXT($I8606,"0"),$I8606))</f>
        <v/>
      </c>
    </row>
    <row r="8607">
      <c r="B8607" s="25" t="n"/>
      <c r="I8607" s="25" t="n"/>
      <c r="U8607" s="19">
        <f>IF($V8607&lt;&gt;'設定'!$C$4,N(U8606),IF(OR(NOT(COUNTIF('商品マスタ'!$B$6:$B$1005,$W8607)=0),COUNTIFS('①在庫を貼る'!$V$6:$V$10005,$V8607,'①在庫を貼る'!$W$6:$W$10005,$W8607)&gt;0),N(U8606),N(U8606)+1))</f>
        <v/>
      </c>
      <c r="V8607" s="19">
        <f>IF($B8607="","",TEXT($B8607,"0000"))</f>
        <v/>
      </c>
      <c r="W8607" s="19">
        <f>IF($I8607="","",IF(ISNUMBER($I8607),TEXT($I8607,"0"),$I8607))</f>
        <v/>
      </c>
    </row>
    <row r="8608">
      <c r="B8608" s="25" t="n"/>
      <c r="I8608" s="25" t="n"/>
      <c r="U8608" s="19">
        <f>IF($V8608&lt;&gt;'設定'!$C$4,N(U8607),IF(OR(NOT(COUNTIF('商品マスタ'!$B$6:$B$1005,$W8608)=0),COUNTIFS('①在庫を貼る'!$V$6:$V$10005,$V8608,'①在庫を貼る'!$W$6:$W$10005,$W8608)&gt;0),N(U8607),N(U8607)+1))</f>
        <v/>
      </c>
      <c r="V8608" s="19">
        <f>IF($B8608="","",TEXT($B8608,"0000"))</f>
        <v/>
      </c>
      <c r="W8608" s="19">
        <f>IF($I8608="","",IF(ISNUMBER($I8608),TEXT($I8608,"0"),$I8608))</f>
        <v/>
      </c>
    </row>
    <row r="8609">
      <c r="B8609" s="25" t="n"/>
      <c r="I8609" s="25" t="n"/>
      <c r="U8609" s="19">
        <f>IF($V8609&lt;&gt;'設定'!$C$4,N(U8608),IF(OR(NOT(COUNTIF('商品マスタ'!$B$6:$B$1005,$W8609)=0),COUNTIFS('①在庫を貼る'!$V$6:$V$10005,$V8609,'①在庫を貼る'!$W$6:$W$10005,$W8609)&gt;0),N(U8608),N(U8608)+1))</f>
        <v/>
      </c>
      <c r="V8609" s="19">
        <f>IF($B8609="","",TEXT($B8609,"0000"))</f>
        <v/>
      </c>
      <c r="W8609" s="19">
        <f>IF($I8609="","",IF(ISNUMBER($I8609),TEXT($I8609,"0"),$I8609))</f>
        <v/>
      </c>
    </row>
    <row r="8610">
      <c r="B8610" s="25" t="n"/>
      <c r="I8610" s="25" t="n"/>
      <c r="U8610" s="19">
        <f>IF($V8610&lt;&gt;'設定'!$C$4,N(U8609),IF(OR(NOT(COUNTIF('商品マスタ'!$B$6:$B$1005,$W8610)=0),COUNTIFS('①在庫を貼る'!$V$6:$V$10005,$V8610,'①在庫を貼る'!$W$6:$W$10005,$W8610)&gt;0),N(U8609),N(U8609)+1))</f>
        <v/>
      </c>
      <c r="V8610" s="19">
        <f>IF($B8610="","",TEXT($B8610,"0000"))</f>
        <v/>
      </c>
      <c r="W8610" s="19">
        <f>IF($I8610="","",IF(ISNUMBER($I8610),TEXT($I8610,"0"),$I8610))</f>
        <v/>
      </c>
    </row>
    <row r="8611">
      <c r="B8611" s="25" t="n"/>
      <c r="I8611" s="25" t="n"/>
      <c r="U8611" s="19">
        <f>IF($V8611&lt;&gt;'設定'!$C$4,N(U8610),IF(OR(NOT(COUNTIF('商品マスタ'!$B$6:$B$1005,$W8611)=0),COUNTIFS('①在庫を貼る'!$V$6:$V$10005,$V8611,'①在庫を貼る'!$W$6:$W$10005,$W8611)&gt;0),N(U8610),N(U8610)+1))</f>
        <v/>
      </c>
      <c r="V8611" s="19">
        <f>IF($B8611="","",TEXT($B8611,"0000"))</f>
        <v/>
      </c>
      <c r="W8611" s="19">
        <f>IF($I8611="","",IF(ISNUMBER($I8611),TEXT($I8611,"0"),$I8611))</f>
        <v/>
      </c>
    </row>
    <row r="8612">
      <c r="B8612" s="25" t="n"/>
      <c r="I8612" s="25" t="n"/>
      <c r="U8612" s="19">
        <f>IF($V8612&lt;&gt;'設定'!$C$4,N(U8611),IF(OR(NOT(COUNTIF('商品マスタ'!$B$6:$B$1005,$W8612)=0),COUNTIFS('①在庫を貼る'!$V$6:$V$10005,$V8612,'①在庫を貼る'!$W$6:$W$10005,$W8612)&gt;0),N(U8611),N(U8611)+1))</f>
        <v/>
      </c>
      <c r="V8612" s="19">
        <f>IF($B8612="","",TEXT($B8612,"0000"))</f>
        <v/>
      </c>
      <c r="W8612" s="19">
        <f>IF($I8612="","",IF(ISNUMBER($I8612),TEXT($I8612,"0"),$I8612))</f>
        <v/>
      </c>
    </row>
    <row r="8613">
      <c r="B8613" s="25" t="n"/>
      <c r="I8613" s="25" t="n"/>
      <c r="U8613" s="19">
        <f>IF($V8613&lt;&gt;'設定'!$C$4,N(U8612),IF(OR(NOT(COUNTIF('商品マスタ'!$B$6:$B$1005,$W8613)=0),COUNTIFS('①在庫を貼る'!$V$6:$V$10005,$V8613,'①在庫を貼る'!$W$6:$W$10005,$W8613)&gt;0),N(U8612),N(U8612)+1))</f>
        <v/>
      </c>
      <c r="V8613" s="19">
        <f>IF($B8613="","",TEXT($B8613,"0000"))</f>
        <v/>
      </c>
      <c r="W8613" s="19">
        <f>IF($I8613="","",IF(ISNUMBER($I8613),TEXT($I8613,"0"),$I8613))</f>
        <v/>
      </c>
    </row>
    <row r="8614">
      <c r="B8614" s="25" t="n"/>
      <c r="I8614" s="25" t="n"/>
      <c r="U8614" s="19">
        <f>IF($V8614&lt;&gt;'設定'!$C$4,N(U8613),IF(OR(NOT(COUNTIF('商品マスタ'!$B$6:$B$1005,$W8614)=0),COUNTIFS('①在庫を貼る'!$V$6:$V$10005,$V8614,'①在庫を貼る'!$W$6:$W$10005,$W8614)&gt;0),N(U8613),N(U8613)+1))</f>
        <v/>
      </c>
      <c r="V8614" s="19">
        <f>IF($B8614="","",TEXT($B8614,"0000"))</f>
        <v/>
      </c>
      <c r="W8614" s="19">
        <f>IF($I8614="","",IF(ISNUMBER($I8614),TEXT($I8614,"0"),$I8614))</f>
        <v/>
      </c>
    </row>
    <row r="8615">
      <c r="B8615" s="25" t="n"/>
      <c r="I8615" s="25" t="n"/>
      <c r="U8615" s="19">
        <f>IF($V8615&lt;&gt;'設定'!$C$4,N(U8614),IF(OR(NOT(COUNTIF('商品マスタ'!$B$6:$B$1005,$W8615)=0),COUNTIFS('①在庫を貼る'!$V$6:$V$10005,$V8615,'①在庫を貼る'!$W$6:$W$10005,$W8615)&gt;0),N(U8614),N(U8614)+1))</f>
        <v/>
      </c>
      <c r="V8615" s="19">
        <f>IF($B8615="","",TEXT($B8615,"0000"))</f>
        <v/>
      </c>
      <c r="W8615" s="19">
        <f>IF($I8615="","",IF(ISNUMBER($I8615),TEXT($I8615,"0"),$I8615))</f>
        <v/>
      </c>
    </row>
    <row r="8616">
      <c r="B8616" s="25" t="n"/>
      <c r="I8616" s="25" t="n"/>
      <c r="U8616" s="19">
        <f>IF($V8616&lt;&gt;'設定'!$C$4,N(U8615),IF(OR(NOT(COUNTIF('商品マスタ'!$B$6:$B$1005,$W8616)=0),COUNTIFS('①在庫を貼る'!$V$6:$V$10005,$V8616,'①在庫を貼る'!$W$6:$W$10005,$W8616)&gt;0),N(U8615),N(U8615)+1))</f>
        <v/>
      </c>
      <c r="V8616" s="19">
        <f>IF($B8616="","",TEXT($B8616,"0000"))</f>
        <v/>
      </c>
      <c r="W8616" s="19">
        <f>IF($I8616="","",IF(ISNUMBER($I8616),TEXT($I8616,"0"),$I8616))</f>
        <v/>
      </c>
    </row>
    <row r="8617">
      <c r="B8617" s="25" t="n"/>
      <c r="I8617" s="25" t="n"/>
      <c r="U8617" s="19">
        <f>IF($V8617&lt;&gt;'設定'!$C$4,N(U8616),IF(OR(NOT(COUNTIF('商品マスタ'!$B$6:$B$1005,$W8617)=0),COUNTIFS('①在庫を貼る'!$V$6:$V$10005,$V8617,'①在庫を貼る'!$W$6:$W$10005,$W8617)&gt;0),N(U8616),N(U8616)+1))</f>
        <v/>
      </c>
      <c r="V8617" s="19">
        <f>IF($B8617="","",TEXT($B8617,"0000"))</f>
        <v/>
      </c>
      <c r="W8617" s="19">
        <f>IF($I8617="","",IF(ISNUMBER($I8617),TEXT($I8617,"0"),$I8617))</f>
        <v/>
      </c>
    </row>
    <row r="8618">
      <c r="B8618" s="25" t="n"/>
      <c r="I8618" s="25" t="n"/>
      <c r="U8618" s="19">
        <f>IF($V8618&lt;&gt;'設定'!$C$4,N(U8617),IF(OR(NOT(COUNTIF('商品マスタ'!$B$6:$B$1005,$W8618)=0),COUNTIFS('①在庫を貼る'!$V$6:$V$10005,$V8618,'①在庫を貼る'!$W$6:$W$10005,$W8618)&gt;0),N(U8617),N(U8617)+1))</f>
        <v/>
      </c>
      <c r="V8618" s="19">
        <f>IF($B8618="","",TEXT($B8618,"0000"))</f>
        <v/>
      </c>
      <c r="W8618" s="19">
        <f>IF($I8618="","",IF(ISNUMBER($I8618),TEXT($I8618,"0"),$I8618))</f>
        <v/>
      </c>
    </row>
    <row r="8619">
      <c r="B8619" s="25" t="n"/>
      <c r="I8619" s="25" t="n"/>
      <c r="U8619" s="19">
        <f>IF($V8619&lt;&gt;'設定'!$C$4,N(U8618),IF(OR(NOT(COUNTIF('商品マスタ'!$B$6:$B$1005,$W8619)=0),COUNTIFS('①在庫を貼る'!$V$6:$V$10005,$V8619,'①在庫を貼る'!$W$6:$W$10005,$W8619)&gt;0),N(U8618),N(U8618)+1))</f>
        <v/>
      </c>
      <c r="V8619" s="19">
        <f>IF($B8619="","",TEXT($B8619,"0000"))</f>
        <v/>
      </c>
      <c r="W8619" s="19">
        <f>IF($I8619="","",IF(ISNUMBER($I8619),TEXT($I8619,"0"),$I8619))</f>
        <v/>
      </c>
    </row>
    <row r="8620">
      <c r="B8620" s="25" t="n"/>
      <c r="I8620" s="25" t="n"/>
      <c r="U8620" s="19">
        <f>IF($V8620&lt;&gt;'設定'!$C$4,N(U8619),IF(OR(NOT(COUNTIF('商品マスタ'!$B$6:$B$1005,$W8620)=0),COUNTIFS('①在庫を貼る'!$V$6:$V$10005,$V8620,'①在庫を貼る'!$W$6:$W$10005,$W8620)&gt;0),N(U8619),N(U8619)+1))</f>
        <v/>
      </c>
      <c r="V8620" s="19">
        <f>IF($B8620="","",TEXT($B8620,"0000"))</f>
        <v/>
      </c>
      <c r="W8620" s="19">
        <f>IF($I8620="","",IF(ISNUMBER($I8620),TEXT($I8620,"0"),$I8620))</f>
        <v/>
      </c>
    </row>
    <row r="8621">
      <c r="B8621" s="25" t="n"/>
      <c r="I8621" s="25" t="n"/>
      <c r="U8621" s="19">
        <f>IF($V8621&lt;&gt;'設定'!$C$4,N(U8620),IF(OR(NOT(COUNTIF('商品マスタ'!$B$6:$B$1005,$W8621)=0),COUNTIFS('①在庫を貼る'!$V$6:$V$10005,$V8621,'①在庫を貼る'!$W$6:$W$10005,$W8621)&gt;0),N(U8620),N(U8620)+1))</f>
        <v/>
      </c>
      <c r="V8621" s="19">
        <f>IF($B8621="","",TEXT($B8621,"0000"))</f>
        <v/>
      </c>
      <c r="W8621" s="19">
        <f>IF($I8621="","",IF(ISNUMBER($I8621),TEXT($I8621,"0"),$I8621))</f>
        <v/>
      </c>
    </row>
    <row r="8622">
      <c r="B8622" s="25" t="n"/>
      <c r="I8622" s="25" t="n"/>
      <c r="U8622" s="19">
        <f>IF($V8622&lt;&gt;'設定'!$C$4,N(U8621),IF(OR(NOT(COUNTIF('商品マスタ'!$B$6:$B$1005,$W8622)=0),COUNTIFS('①在庫を貼る'!$V$6:$V$10005,$V8622,'①在庫を貼る'!$W$6:$W$10005,$W8622)&gt;0),N(U8621),N(U8621)+1))</f>
        <v/>
      </c>
      <c r="V8622" s="19">
        <f>IF($B8622="","",TEXT($B8622,"0000"))</f>
        <v/>
      </c>
      <c r="W8622" s="19">
        <f>IF($I8622="","",IF(ISNUMBER($I8622),TEXT($I8622,"0"),$I8622))</f>
        <v/>
      </c>
    </row>
    <row r="8623">
      <c r="B8623" s="25" t="n"/>
      <c r="I8623" s="25" t="n"/>
      <c r="U8623" s="19">
        <f>IF($V8623&lt;&gt;'設定'!$C$4,N(U8622),IF(OR(NOT(COUNTIF('商品マスタ'!$B$6:$B$1005,$W8623)=0),COUNTIFS('①在庫を貼る'!$V$6:$V$10005,$V8623,'①在庫を貼る'!$W$6:$W$10005,$W8623)&gt;0),N(U8622),N(U8622)+1))</f>
        <v/>
      </c>
      <c r="V8623" s="19">
        <f>IF($B8623="","",TEXT($B8623,"0000"))</f>
        <v/>
      </c>
      <c r="W8623" s="19">
        <f>IF($I8623="","",IF(ISNUMBER($I8623),TEXT($I8623,"0"),$I8623))</f>
        <v/>
      </c>
    </row>
    <row r="8624">
      <c r="B8624" s="25" t="n"/>
      <c r="I8624" s="25" t="n"/>
      <c r="U8624" s="19">
        <f>IF($V8624&lt;&gt;'設定'!$C$4,N(U8623),IF(OR(NOT(COUNTIF('商品マスタ'!$B$6:$B$1005,$W8624)=0),COUNTIFS('①在庫を貼る'!$V$6:$V$10005,$V8624,'①在庫を貼る'!$W$6:$W$10005,$W8624)&gt;0),N(U8623),N(U8623)+1))</f>
        <v/>
      </c>
      <c r="V8624" s="19">
        <f>IF($B8624="","",TEXT($B8624,"0000"))</f>
        <v/>
      </c>
      <c r="W8624" s="19">
        <f>IF($I8624="","",IF(ISNUMBER($I8624),TEXT($I8624,"0"),$I8624))</f>
        <v/>
      </c>
    </row>
    <row r="8625">
      <c r="B8625" s="25" t="n"/>
      <c r="I8625" s="25" t="n"/>
      <c r="U8625" s="19">
        <f>IF($V8625&lt;&gt;'設定'!$C$4,N(U8624),IF(OR(NOT(COUNTIF('商品マスタ'!$B$6:$B$1005,$W8625)=0),COUNTIFS('①在庫を貼る'!$V$6:$V$10005,$V8625,'①在庫を貼る'!$W$6:$W$10005,$W8625)&gt;0),N(U8624),N(U8624)+1))</f>
        <v/>
      </c>
      <c r="V8625" s="19">
        <f>IF($B8625="","",TEXT($B8625,"0000"))</f>
        <v/>
      </c>
      <c r="W8625" s="19">
        <f>IF($I8625="","",IF(ISNUMBER($I8625),TEXT($I8625,"0"),$I8625))</f>
        <v/>
      </c>
    </row>
    <row r="8626">
      <c r="B8626" s="25" t="n"/>
      <c r="I8626" s="25" t="n"/>
      <c r="U8626" s="19">
        <f>IF($V8626&lt;&gt;'設定'!$C$4,N(U8625),IF(OR(NOT(COUNTIF('商品マスタ'!$B$6:$B$1005,$W8626)=0),COUNTIFS('①在庫を貼る'!$V$6:$V$10005,$V8626,'①在庫を貼る'!$W$6:$W$10005,$W8626)&gt;0),N(U8625),N(U8625)+1))</f>
        <v/>
      </c>
      <c r="V8626" s="19">
        <f>IF($B8626="","",TEXT($B8626,"0000"))</f>
        <v/>
      </c>
      <c r="W8626" s="19">
        <f>IF($I8626="","",IF(ISNUMBER($I8626),TEXT($I8626,"0"),$I8626))</f>
        <v/>
      </c>
    </row>
    <row r="8627">
      <c r="B8627" s="25" t="n"/>
      <c r="I8627" s="25" t="n"/>
      <c r="U8627" s="19">
        <f>IF($V8627&lt;&gt;'設定'!$C$4,N(U8626),IF(OR(NOT(COUNTIF('商品マスタ'!$B$6:$B$1005,$W8627)=0),COUNTIFS('①在庫を貼る'!$V$6:$V$10005,$V8627,'①在庫を貼る'!$W$6:$W$10005,$W8627)&gt;0),N(U8626),N(U8626)+1))</f>
        <v/>
      </c>
      <c r="V8627" s="19">
        <f>IF($B8627="","",TEXT($B8627,"0000"))</f>
        <v/>
      </c>
      <c r="W8627" s="19">
        <f>IF($I8627="","",IF(ISNUMBER($I8627),TEXT($I8627,"0"),$I8627))</f>
        <v/>
      </c>
    </row>
    <row r="8628">
      <c r="B8628" s="25" t="n"/>
      <c r="I8628" s="25" t="n"/>
      <c r="U8628" s="19">
        <f>IF($V8628&lt;&gt;'設定'!$C$4,N(U8627),IF(OR(NOT(COUNTIF('商品マスタ'!$B$6:$B$1005,$W8628)=0),COUNTIFS('①在庫を貼る'!$V$6:$V$10005,$V8628,'①在庫を貼る'!$W$6:$W$10005,$W8628)&gt;0),N(U8627),N(U8627)+1))</f>
        <v/>
      </c>
      <c r="V8628" s="19">
        <f>IF($B8628="","",TEXT($B8628,"0000"))</f>
        <v/>
      </c>
      <c r="W8628" s="19">
        <f>IF($I8628="","",IF(ISNUMBER($I8628),TEXT($I8628,"0"),$I8628))</f>
        <v/>
      </c>
    </row>
    <row r="8629">
      <c r="B8629" s="25" t="n"/>
      <c r="I8629" s="25" t="n"/>
      <c r="U8629" s="19">
        <f>IF($V8629&lt;&gt;'設定'!$C$4,N(U8628),IF(OR(NOT(COUNTIF('商品マスタ'!$B$6:$B$1005,$W8629)=0),COUNTIFS('①在庫を貼る'!$V$6:$V$10005,$V8629,'①在庫を貼る'!$W$6:$W$10005,$W8629)&gt;0),N(U8628),N(U8628)+1))</f>
        <v/>
      </c>
      <c r="V8629" s="19">
        <f>IF($B8629="","",TEXT($B8629,"0000"))</f>
        <v/>
      </c>
      <c r="W8629" s="19">
        <f>IF($I8629="","",IF(ISNUMBER($I8629),TEXT($I8629,"0"),$I8629))</f>
        <v/>
      </c>
    </row>
    <row r="8630">
      <c r="B8630" s="25" t="n"/>
      <c r="I8630" s="25" t="n"/>
      <c r="U8630" s="19">
        <f>IF($V8630&lt;&gt;'設定'!$C$4,N(U8629),IF(OR(NOT(COUNTIF('商品マスタ'!$B$6:$B$1005,$W8630)=0),COUNTIFS('①在庫を貼る'!$V$6:$V$10005,$V8630,'①在庫を貼る'!$W$6:$W$10005,$W8630)&gt;0),N(U8629),N(U8629)+1))</f>
        <v/>
      </c>
      <c r="V8630" s="19">
        <f>IF($B8630="","",TEXT($B8630,"0000"))</f>
        <v/>
      </c>
      <c r="W8630" s="19">
        <f>IF($I8630="","",IF(ISNUMBER($I8630),TEXT($I8630,"0"),$I8630))</f>
        <v/>
      </c>
    </row>
    <row r="8631">
      <c r="B8631" s="25" t="n"/>
      <c r="I8631" s="25" t="n"/>
      <c r="U8631" s="19">
        <f>IF($V8631&lt;&gt;'設定'!$C$4,N(U8630),IF(OR(NOT(COUNTIF('商品マスタ'!$B$6:$B$1005,$W8631)=0),COUNTIFS('①在庫を貼る'!$V$6:$V$10005,$V8631,'①在庫を貼る'!$W$6:$W$10005,$W8631)&gt;0),N(U8630),N(U8630)+1))</f>
        <v/>
      </c>
      <c r="V8631" s="19">
        <f>IF($B8631="","",TEXT($B8631,"0000"))</f>
        <v/>
      </c>
      <c r="W8631" s="19">
        <f>IF($I8631="","",IF(ISNUMBER($I8631),TEXT($I8631,"0"),$I8631))</f>
        <v/>
      </c>
    </row>
    <row r="8632">
      <c r="B8632" s="25" t="n"/>
      <c r="I8632" s="25" t="n"/>
      <c r="U8632" s="19">
        <f>IF($V8632&lt;&gt;'設定'!$C$4,N(U8631),IF(OR(NOT(COUNTIF('商品マスタ'!$B$6:$B$1005,$W8632)=0),COUNTIFS('①在庫を貼る'!$V$6:$V$10005,$V8632,'①在庫を貼る'!$W$6:$W$10005,$W8632)&gt;0),N(U8631),N(U8631)+1))</f>
        <v/>
      </c>
      <c r="V8632" s="19">
        <f>IF($B8632="","",TEXT($B8632,"0000"))</f>
        <v/>
      </c>
      <c r="W8632" s="19">
        <f>IF($I8632="","",IF(ISNUMBER($I8632),TEXT($I8632,"0"),$I8632))</f>
        <v/>
      </c>
    </row>
    <row r="8633">
      <c r="B8633" s="25" t="n"/>
      <c r="I8633" s="25" t="n"/>
      <c r="U8633" s="19">
        <f>IF($V8633&lt;&gt;'設定'!$C$4,N(U8632),IF(OR(NOT(COUNTIF('商品マスタ'!$B$6:$B$1005,$W8633)=0),COUNTIFS('①在庫を貼る'!$V$6:$V$10005,$V8633,'①在庫を貼る'!$W$6:$W$10005,$W8633)&gt;0),N(U8632),N(U8632)+1))</f>
        <v/>
      </c>
      <c r="V8633" s="19">
        <f>IF($B8633="","",TEXT($B8633,"0000"))</f>
        <v/>
      </c>
      <c r="W8633" s="19">
        <f>IF($I8633="","",IF(ISNUMBER($I8633),TEXT($I8633,"0"),$I8633))</f>
        <v/>
      </c>
    </row>
    <row r="8634">
      <c r="B8634" s="25" t="n"/>
      <c r="I8634" s="25" t="n"/>
      <c r="U8634" s="19">
        <f>IF($V8634&lt;&gt;'設定'!$C$4,N(U8633),IF(OR(NOT(COUNTIF('商品マスタ'!$B$6:$B$1005,$W8634)=0),COUNTIFS('①在庫を貼る'!$V$6:$V$10005,$V8634,'①在庫を貼る'!$W$6:$W$10005,$W8634)&gt;0),N(U8633),N(U8633)+1))</f>
        <v/>
      </c>
      <c r="V8634" s="19">
        <f>IF($B8634="","",TEXT($B8634,"0000"))</f>
        <v/>
      </c>
      <c r="W8634" s="19">
        <f>IF($I8634="","",IF(ISNUMBER($I8634),TEXT($I8634,"0"),$I8634))</f>
        <v/>
      </c>
    </row>
    <row r="8635">
      <c r="B8635" s="25" t="n"/>
      <c r="I8635" s="25" t="n"/>
      <c r="U8635" s="19">
        <f>IF($V8635&lt;&gt;'設定'!$C$4,N(U8634),IF(OR(NOT(COUNTIF('商品マスタ'!$B$6:$B$1005,$W8635)=0),COUNTIFS('①在庫を貼る'!$V$6:$V$10005,$V8635,'①在庫を貼る'!$W$6:$W$10005,$W8635)&gt;0),N(U8634),N(U8634)+1))</f>
        <v/>
      </c>
      <c r="V8635" s="19">
        <f>IF($B8635="","",TEXT($B8635,"0000"))</f>
        <v/>
      </c>
      <c r="W8635" s="19">
        <f>IF($I8635="","",IF(ISNUMBER($I8635),TEXT($I8635,"0"),$I8635))</f>
        <v/>
      </c>
    </row>
    <row r="8636">
      <c r="B8636" s="25" t="n"/>
      <c r="I8636" s="25" t="n"/>
      <c r="U8636" s="19">
        <f>IF($V8636&lt;&gt;'設定'!$C$4,N(U8635),IF(OR(NOT(COUNTIF('商品マスタ'!$B$6:$B$1005,$W8636)=0),COUNTIFS('①在庫を貼る'!$V$6:$V$10005,$V8636,'①在庫を貼る'!$W$6:$W$10005,$W8636)&gt;0),N(U8635),N(U8635)+1))</f>
        <v/>
      </c>
      <c r="V8636" s="19">
        <f>IF($B8636="","",TEXT($B8636,"0000"))</f>
        <v/>
      </c>
      <c r="W8636" s="19">
        <f>IF($I8636="","",IF(ISNUMBER($I8636),TEXT($I8636,"0"),$I8636))</f>
        <v/>
      </c>
    </row>
    <row r="8637">
      <c r="B8637" s="25" t="n"/>
      <c r="I8637" s="25" t="n"/>
      <c r="U8637" s="19">
        <f>IF($V8637&lt;&gt;'設定'!$C$4,N(U8636),IF(OR(NOT(COUNTIF('商品マスタ'!$B$6:$B$1005,$W8637)=0),COUNTIFS('①在庫を貼る'!$V$6:$V$10005,$V8637,'①在庫を貼る'!$W$6:$W$10005,$W8637)&gt;0),N(U8636),N(U8636)+1))</f>
        <v/>
      </c>
      <c r="V8637" s="19">
        <f>IF($B8637="","",TEXT($B8637,"0000"))</f>
        <v/>
      </c>
      <c r="W8637" s="19">
        <f>IF($I8637="","",IF(ISNUMBER($I8637),TEXT($I8637,"0"),$I8637))</f>
        <v/>
      </c>
    </row>
    <row r="8638">
      <c r="B8638" s="25" t="n"/>
      <c r="I8638" s="25" t="n"/>
      <c r="U8638" s="19">
        <f>IF($V8638&lt;&gt;'設定'!$C$4,N(U8637),IF(OR(NOT(COUNTIF('商品マスタ'!$B$6:$B$1005,$W8638)=0),COUNTIFS('①在庫を貼る'!$V$6:$V$10005,$V8638,'①在庫を貼る'!$W$6:$W$10005,$W8638)&gt;0),N(U8637),N(U8637)+1))</f>
        <v/>
      </c>
      <c r="V8638" s="19">
        <f>IF($B8638="","",TEXT($B8638,"0000"))</f>
        <v/>
      </c>
      <c r="W8638" s="19">
        <f>IF($I8638="","",IF(ISNUMBER($I8638),TEXT($I8638,"0"),$I8638))</f>
        <v/>
      </c>
    </row>
    <row r="8639">
      <c r="B8639" s="25" t="n"/>
      <c r="I8639" s="25" t="n"/>
      <c r="U8639" s="19">
        <f>IF($V8639&lt;&gt;'設定'!$C$4,N(U8638),IF(OR(NOT(COUNTIF('商品マスタ'!$B$6:$B$1005,$W8639)=0),COUNTIFS('①在庫を貼る'!$V$6:$V$10005,$V8639,'①在庫を貼る'!$W$6:$W$10005,$W8639)&gt;0),N(U8638),N(U8638)+1))</f>
        <v/>
      </c>
      <c r="V8639" s="19">
        <f>IF($B8639="","",TEXT($B8639,"0000"))</f>
        <v/>
      </c>
      <c r="W8639" s="19">
        <f>IF($I8639="","",IF(ISNUMBER($I8639),TEXT($I8639,"0"),$I8639))</f>
        <v/>
      </c>
    </row>
    <row r="8640">
      <c r="B8640" s="25" t="n"/>
      <c r="I8640" s="25" t="n"/>
      <c r="U8640" s="19">
        <f>IF($V8640&lt;&gt;'設定'!$C$4,N(U8639),IF(OR(NOT(COUNTIF('商品マスタ'!$B$6:$B$1005,$W8640)=0),COUNTIFS('①在庫を貼る'!$V$6:$V$10005,$V8640,'①在庫を貼る'!$W$6:$W$10005,$W8640)&gt;0),N(U8639),N(U8639)+1))</f>
        <v/>
      </c>
      <c r="V8640" s="19">
        <f>IF($B8640="","",TEXT($B8640,"0000"))</f>
        <v/>
      </c>
      <c r="W8640" s="19">
        <f>IF($I8640="","",IF(ISNUMBER($I8640),TEXT($I8640,"0"),$I8640))</f>
        <v/>
      </c>
    </row>
    <row r="8641">
      <c r="B8641" s="25" t="n"/>
      <c r="I8641" s="25" t="n"/>
      <c r="U8641" s="19">
        <f>IF($V8641&lt;&gt;'設定'!$C$4,N(U8640),IF(OR(NOT(COUNTIF('商品マスタ'!$B$6:$B$1005,$W8641)=0),COUNTIFS('①在庫を貼る'!$V$6:$V$10005,$V8641,'①在庫を貼る'!$W$6:$W$10005,$W8641)&gt;0),N(U8640),N(U8640)+1))</f>
        <v/>
      </c>
      <c r="V8641" s="19">
        <f>IF($B8641="","",TEXT($B8641,"0000"))</f>
        <v/>
      </c>
      <c r="W8641" s="19">
        <f>IF($I8641="","",IF(ISNUMBER($I8641),TEXT($I8641,"0"),$I8641))</f>
        <v/>
      </c>
    </row>
    <row r="8642">
      <c r="B8642" s="25" t="n"/>
      <c r="I8642" s="25" t="n"/>
      <c r="U8642" s="19">
        <f>IF($V8642&lt;&gt;'設定'!$C$4,N(U8641),IF(OR(NOT(COUNTIF('商品マスタ'!$B$6:$B$1005,$W8642)=0),COUNTIFS('①在庫を貼る'!$V$6:$V$10005,$V8642,'①在庫を貼る'!$W$6:$W$10005,$W8642)&gt;0),N(U8641),N(U8641)+1))</f>
        <v/>
      </c>
      <c r="V8642" s="19">
        <f>IF($B8642="","",TEXT($B8642,"0000"))</f>
        <v/>
      </c>
      <c r="W8642" s="19">
        <f>IF($I8642="","",IF(ISNUMBER($I8642),TEXT($I8642,"0"),$I8642))</f>
        <v/>
      </c>
    </row>
    <row r="8643">
      <c r="B8643" s="25" t="n"/>
      <c r="I8643" s="25" t="n"/>
      <c r="U8643" s="19">
        <f>IF($V8643&lt;&gt;'設定'!$C$4,N(U8642),IF(OR(NOT(COUNTIF('商品マスタ'!$B$6:$B$1005,$W8643)=0),COUNTIFS('①在庫を貼る'!$V$6:$V$10005,$V8643,'①在庫を貼る'!$W$6:$W$10005,$W8643)&gt;0),N(U8642),N(U8642)+1))</f>
        <v/>
      </c>
      <c r="V8643" s="19">
        <f>IF($B8643="","",TEXT($B8643,"0000"))</f>
        <v/>
      </c>
      <c r="W8643" s="19">
        <f>IF($I8643="","",IF(ISNUMBER($I8643),TEXT($I8643,"0"),$I8643))</f>
        <v/>
      </c>
    </row>
    <row r="8644">
      <c r="B8644" s="25" t="n"/>
      <c r="I8644" s="25" t="n"/>
      <c r="U8644" s="19">
        <f>IF($V8644&lt;&gt;'設定'!$C$4,N(U8643),IF(OR(NOT(COUNTIF('商品マスタ'!$B$6:$B$1005,$W8644)=0),COUNTIFS('①在庫を貼る'!$V$6:$V$10005,$V8644,'①在庫を貼る'!$W$6:$W$10005,$W8644)&gt;0),N(U8643),N(U8643)+1))</f>
        <v/>
      </c>
      <c r="V8644" s="19">
        <f>IF($B8644="","",TEXT($B8644,"0000"))</f>
        <v/>
      </c>
      <c r="W8644" s="19">
        <f>IF($I8644="","",IF(ISNUMBER($I8644),TEXT($I8644,"0"),$I8644))</f>
        <v/>
      </c>
    </row>
    <row r="8645">
      <c r="B8645" s="25" t="n"/>
      <c r="I8645" s="25" t="n"/>
      <c r="U8645" s="19">
        <f>IF($V8645&lt;&gt;'設定'!$C$4,N(U8644),IF(OR(NOT(COUNTIF('商品マスタ'!$B$6:$B$1005,$W8645)=0),COUNTIFS('①在庫を貼る'!$V$6:$V$10005,$V8645,'①在庫を貼る'!$W$6:$W$10005,$W8645)&gt;0),N(U8644),N(U8644)+1))</f>
        <v/>
      </c>
      <c r="V8645" s="19">
        <f>IF($B8645="","",TEXT($B8645,"0000"))</f>
        <v/>
      </c>
      <c r="W8645" s="19">
        <f>IF($I8645="","",IF(ISNUMBER($I8645),TEXT($I8645,"0"),$I8645))</f>
        <v/>
      </c>
    </row>
    <row r="8646">
      <c r="B8646" s="25" t="n"/>
      <c r="I8646" s="25" t="n"/>
      <c r="U8646" s="19">
        <f>IF($V8646&lt;&gt;'設定'!$C$4,N(U8645),IF(OR(NOT(COUNTIF('商品マスタ'!$B$6:$B$1005,$W8646)=0),COUNTIFS('①在庫を貼る'!$V$6:$V$10005,$V8646,'①在庫を貼る'!$W$6:$W$10005,$W8646)&gt;0),N(U8645),N(U8645)+1))</f>
        <v/>
      </c>
      <c r="V8646" s="19">
        <f>IF($B8646="","",TEXT($B8646,"0000"))</f>
        <v/>
      </c>
      <c r="W8646" s="19">
        <f>IF($I8646="","",IF(ISNUMBER($I8646),TEXT($I8646,"0"),$I8646))</f>
        <v/>
      </c>
    </row>
    <row r="8647">
      <c r="B8647" s="25" t="n"/>
      <c r="I8647" s="25" t="n"/>
      <c r="U8647" s="19">
        <f>IF($V8647&lt;&gt;'設定'!$C$4,N(U8646),IF(OR(NOT(COUNTIF('商品マスタ'!$B$6:$B$1005,$W8647)=0),COUNTIFS('①在庫を貼る'!$V$6:$V$10005,$V8647,'①在庫を貼る'!$W$6:$W$10005,$W8647)&gt;0),N(U8646),N(U8646)+1))</f>
        <v/>
      </c>
      <c r="V8647" s="19">
        <f>IF($B8647="","",TEXT($B8647,"0000"))</f>
        <v/>
      </c>
      <c r="W8647" s="19">
        <f>IF($I8647="","",IF(ISNUMBER($I8647),TEXT($I8647,"0"),$I8647))</f>
        <v/>
      </c>
    </row>
    <row r="8648">
      <c r="B8648" s="25" t="n"/>
      <c r="I8648" s="25" t="n"/>
      <c r="U8648" s="19">
        <f>IF($V8648&lt;&gt;'設定'!$C$4,N(U8647),IF(OR(NOT(COUNTIF('商品マスタ'!$B$6:$B$1005,$W8648)=0),COUNTIFS('①在庫を貼る'!$V$6:$V$10005,$V8648,'①在庫を貼る'!$W$6:$W$10005,$W8648)&gt;0),N(U8647),N(U8647)+1))</f>
        <v/>
      </c>
      <c r="V8648" s="19">
        <f>IF($B8648="","",TEXT($B8648,"0000"))</f>
        <v/>
      </c>
      <c r="W8648" s="19">
        <f>IF($I8648="","",IF(ISNUMBER($I8648),TEXT($I8648,"0"),$I8648))</f>
        <v/>
      </c>
    </row>
    <row r="8649">
      <c r="B8649" s="25" t="n"/>
      <c r="I8649" s="25" t="n"/>
      <c r="U8649" s="19">
        <f>IF($V8649&lt;&gt;'設定'!$C$4,N(U8648),IF(OR(NOT(COUNTIF('商品マスタ'!$B$6:$B$1005,$W8649)=0),COUNTIFS('①在庫を貼る'!$V$6:$V$10005,$V8649,'①在庫を貼る'!$W$6:$W$10005,$W8649)&gt;0),N(U8648),N(U8648)+1))</f>
        <v/>
      </c>
      <c r="V8649" s="19">
        <f>IF($B8649="","",TEXT($B8649,"0000"))</f>
        <v/>
      </c>
      <c r="W8649" s="19">
        <f>IF($I8649="","",IF(ISNUMBER($I8649),TEXT($I8649,"0"),$I8649))</f>
        <v/>
      </c>
    </row>
    <row r="8650">
      <c r="B8650" s="25" t="n"/>
      <c r="I8650" s="25" t="n"/>
      <c r="U8650" s="19">
        <f>IF($V8650&lt;&gt;'設定'!$C$4,N(U8649),IF(OR(NOT(COUNTIF('商品マスタ'!$B$6:$B$1005,$W8650)=0),COUNTIFS('①在庫を貼る'!$V$6:$V$10005,$V8650,'①在庫を貼る'!$W$6:$W$10005,$W8650)&gt;0),N(U8649),N(U8649)+1))</f>
        <v/>
      </c>
      <c r="V8650" s="19">
        <f>IF($B8650="","",TEXT($B8650,"0000"))</f>
        <v/>
      </c>
      <c r="W8650" s="19">
        <f>IF($I8650="","",IF(ISNUMBER($I8650),TEXT($I8650,"0"),$I8650))</f>
        <v/>
      </c>
    </row>
    <row r="8651">
      <c r="B8651" s="25" t="n"/>
      <c r="I8651" s="25" t="n"/>
      <c r="U8651" s="19">
        <f>IF($V8651&lt;&gt;'設定'!$C$4,N(U8650),IF(OR(NOT(COUNTIF('商品マスタ'!$B$6:$B$1005,$W8651)=0),COUNTIFS('①在庫を貼る'!$V$6:$V$10005,$V8651,'①在庫を貼る'!$W$6:$W$10005,$W8651)&gt;0),N(U8650),N(U8650)+1))</f>
        <v/>
      </c>
      <c r="V8651" s="19">
        <f>IF($B8651="","",TEXT($B8651,"0000"))</f>
        <v/>
      </c>
      <c r="W8651" s="19">
        <f>IF($I8651="","",IF(ISNUMBER($I8651),TEXT($I8651,"0"),$I8651))</f>
        <v/>
      </c>
    </row>
    <row r="8652">
      <c r="B8652" s="25" t="n"/>
      <c r="I8652" s="25" t="n"/>
      <c r="U8652" s="19">
        <f>IF($V8652&lt;&gt;'設定'!$C$4,N(U8651),IF(OR(NOT(COUNTIF('商品マスタ'!$B$6:$B$1005,$W8652)=0),COUNTIFS('①在庫を貼る'!$V$6:$V$10005,$V8652,'①在庫を貼る'!$W$6:$W$10005,$W8652)&gt;0),N(U8651),N(U8651)+1))</f>
        <v/>
      </c>
      <c r="V8652" s="19">
        <f>IF($B8652="","",TEXT($B8652,"0000"))</f>
        <v/>
      </c>
      <c r="W8652" s="19">
        <f>IF($I8652="","",IF(ISNUMBER($I8652),TEXT($I8652,"0"),$I8652))</f>
        <v/>
      </c>
    </row>
    <row r="8653">
      <c r="B8653" s="25" t="n"/>
      <c r="I8653" s="25" t="n"/>
      <c r="U8653" s="19">
        <f>IF($V8653&lt;&gt;'設定'!$C$4,N(U8652),IF(OR(NOT(COUNTIF('商品マスタ'!$B$6:$B$1005,$W8653)=0),COUNTIFS('①在庫を貼る'!$V$6:$V$10005,$V8653,'①在庫を貼る'!$W$6:$W$10005,$W8653)&gt;0),N(U8652),N(U8652)+1))</f>
        <v/>
      </c>
      <c r="V8653" s="19">
        <f>IF($B8653="","",TEXT($B8653,"0000"))</f>
        <v/>
      </c>
      <c r="W8653" s="19">
        <f>IF($I8653="","",IF(ISNUMBER($I8653),TEXT($I8653,"0"),$I8653))</f>
        <v/>
      </c>
    </row>
    <row r="8654">
      <c r="B8654" s="25" t="n"/>
      <c r="I8654" s="25" t="n"/>
      <c r="U8654" s="19">
        <f>IF($V8654&lt;&gt;'設定'!$C$4,N(U8653),IF(OR(NOT(COUNTIF('商品マスタ'!$B$6:$B$1005,$W8654)=0),COUNTIFS('①在庫を貼る'!$V$6:$V$10005,$V8654,'①在庫を貼る'!$W$6:$W$10005,$W8654)&gt;0),N(U8653),N(U8653)+1))</f>
        <v/>
      </c>
      <c r="V8654" s="19">
        <f>IF($B8654="","",TEXT($B8654,"0000"))</f>
        <v/>
      </c>
      <c r="W8654" s="19">
        <f>IF($I8654="","",IF(ISNUMBER($I8654),TEXT($I8654,"0"),$I8654))</f>
        <v/>
      </c>
    </row>
    <row r="8655">
      <c r="B8655" s="25" t="n"/>
      <c r="I8655" s="25" t="n"/>
      <c r="U8655" s="19">
        <f>IF($V8655&lt;&gt;'設定'!$C$4,N(U8654),IF(OR(NOT(COUNTIF('商品マスタ'!$B$6:$B$1005,$W8655)=0),COUNTIFS('①在庫を貼る'!$V$6:$V$10005,$V8655,'①在庫を貼る'!$W$6:$W$10005,$W8655)&gt;0),N(U8654),N(U8654)+1))</f>
        <v/>
      </c>
      <c r="V8655" s="19">
        <f>IF($B8655="","",TEXT($B8655,"0000"))</f>
        <v/>
      </c>
      <c r="W8655" s="19">
        <f>IF($I8655="","",IF(ISNUMBER($I8655),TEXT($I8655,"0"),$I8655))</f>
        <v/>
      </c>
    </row>
    <row r="8656">
      <c r="B8656" s="25" t="n"/>
      <c r="I8656" s="25" t="n"/>
      <c r="U8656" s="19">
        <f>IF($V8656&lt;&gt;'設定'!$C$4,N(U8655),IF(OR(NOT(COUNTIF('商品マスタ'!$B$6:$B$1005,$W8656)=0),COUNTIFS('①在庫を貼る'!$V$6:$V$10005,$V8656,'①在庫を貼る'!$W$6:$W$10005,$W8656)&gt;0),N(U8655),N(U8655)+1))</f>
        <v/>
      </c>
      <c r="V8656" s="19">
        <f>IF($B8656="","",TEXT($B8656,"0000"))</f>
        <v/>
      </c>
      <c r="W8656" s="19">
        <f>IF($I8656="","",IF(ISNUMBER($I8656),TEXT($I8656,"0"),$I8656))</f>
        <v/>
      </c>
    </row>
    <row r="8657">
      <c r="B8657" s="25" t="n"/>
      <c r="I8657" s="25" t="n"/>
      <c r="U8657" s="19">
        <f>IF($V8657&lt;&gt;'設定'!$C$4,N(U8656),IF(OR(NOT(COUNTIF('商品マスタ'!$B$6:$B$1005,$W8657)=0),COUNTIFS('①在庫を貼る'!$V$6:$V$10005,$V8657,'①在庫を貼る'!$W$6:$W$10005,$W8657)&gt;0),N(U8656),N(U8656)+1))</f>
        <v/>
      </c>
      <c r="V8657" s="19">
        <f>IF($B8657="","",TEXT($B8657,"0000"))</f>
        <v/>
      </c>
      <c r="W8657" s="19">
        <f>IF($I8657="","",IF(ISNUMBER($I8657),TEXT($I8657,"0"),$I8657))</f>
        <v/>
      </c>
    </row>
    <row r="8658">
      <c r="B8658" s="25" t="n"/>
      <c r="I8658" s="25" t="n"/>
      <c r="U8658" s="19">
        <f>IF($V8658&lt;&gt;'設定'!$C$4,N(U8657),IF(OR(NOT(COUNTIF('商品マスタ'!$B$6:$B$1005,$W8658)=0),COUNTIFS('①在庫を貼る'!$V$6:$V$10005,$V8658,'①在庫を貼る'!$W$6:$W$10005,$W8658)&gt;0),N(U8657),N(U8657)+1))</f>
        <v/>
      </c>
      <c r="V8658" s="19">
        <f>IF($B8658="","",TEXT($B8658,"0000"))</f>
        <v/>
      </c>
      <c r="W8658" s="19">
        <f>IF($I8658="","",IF(ISNUMBER($I8658),TEXT($I8658,"0"),$I8658))</f>
        <v/>
      </c>
    </row>
    <row r="8659">
      <c r="B8659" s="25" t="n"/>
      <c r="I8659" s="25" t="n"/>
      <c r="U8659" s="19">
        <f>IF($V8659&lt;&gt;'設定'!$C$4,N(U8658),IF(OR(NOT(COUNTIF('商品マスタ'!$B$6:$B$1005,$W8659)=0),COUNTIFS('①在庫を貼る'!$V$6:$V$10005,$V8659,'①在庫を貼る'!$W$6:$W$10005,$W8659)&gt;0),N(U8658),N(U8658)+1))</f>
        <v/>
      </c>
      <c r="V8659" s="19">
        <f>IF($B8659="","",TEXT($B8659,"0000"))</f>
        <v/>
      </c>
      <c r="W8659" s="19">
        <f>IF($I8659="","",IF(ISNUMBER($I8659),TEXT($I8659,"0"),$I8659))</f>
        <v/>
      </c>
    </row>
    <row r="8660">
      <c r="B8660" s="25" t="n"/>
      <c r="I8660" s="25" t="n"/>
      <c r="U8660" s="19">
        <f>IF($V8660&lt;&gt;'設定'!$C$4,N(U8659),IF(OR(NOT(COUNTIF('商品マスタ'!$B$6:$B$1005,$W8660)=0),COUNTIFS('①在庫を貼る'!$V$6:$V$10005,$V8660,'①在庫を貼る'!$W$6:$W$10005,$W8660)&gt;0),N(U8659),N(U8659)+1))</f>
        <v/>
      </c>
      <c r="V8660" s="19">
        <f>IF($B8660="","",TEXT($B8660,"0000"))</f>
        <v/>
      </c>
      <c r="W8660" s="19">
        <f>IF($I8660="","",IF(ISNUMBER($I8660),TEXT($I8660,"0"),$I8660))</f>
        <v/>
      </c>
    </row>
    <row r="8661">
      <c r="B8661" s="25" t="n"/>
      <c r="I8661" s="25" t="n"/>
      <c r="U8661" s="19">
        <f>IF($V8661&lt;&gt;'設定'!$C$4,N(U8660),IF(OR(NOT(COUNTIF('商品マスタ'!$B$6:$B$1005,$W8661)=0),COUNTIFS('①在庫を貼る'!$V$6:$V$10005,$V8661,'①在庫を貼る'!$W$6:$W$10005,$W8661)&gt;0),N(U8660),N(U8660)+1))</f>
        <v/>
      </c>
      <c r="V8661" s="19">
        <f>IF($B8661="","",TEXT($B8661,"0000"))</f>
        <v/>
      </c>
      <c r="W8661" s="19">
        <f>IF($I8661="","",IF(ISNUMBER($I8661),TEXT($I8661,"0"),$I8661))</f>
        <v/>
      </c>
    </row>
    <row r="8662">
      <c r="B8662" s="25" t="n"/>
      <c r="I8662" s="25" t="n"/>
      <c r="U8662" s="19">
        <f>IF($V8662&lt;&gt;'設定'!$C$4,N(U8661),IF(OR(NOT(COUNTIF('商品マスタ'!$B$6:$B$1005,$W8662)=0),COUNTIFS('①在庫を貼る'!$V$6:$V$10005,$V8662,'①在庫を貼る'!$W$6:$W$10005,$W8662)&gt;0),N(U8661),N(U8661)+1))</f>
        <v/>
      </c>
      <c r="V8662" s="19">
        <f>IF($B8662="","",TEXT($B8662,"0000"))</f>
        <v/>
      </c>
      <c r="W8662" s="19">
        <f>IF($I8662="","",IF(ISNUMBER($I8662),TEXT($I8662,"0"),$I8662))</f>
        <v/>
      </c>
    </row>
    <row r="8663">
      <c r="B8663" s="25" t="n"/>
      <c r="I8663" s="25" t="n"/>
      <c r="U8663" s="19">
        <f>IF($V8663&lt;&gt;'設定'!$C$4,N(U8662),IF(OR(NOT(COUNTIF('商品マスタ'!$B$6:$B$1005,$W8663)=0),COUNTIFS('①在庫を貼る'!$V$6:$V$10005,$V8663,'①在庫を貼る'!$W$6:$W$10005,$W8663)&gt;0),N(U8662),N(U8662)+1))</f>
        <v/>
      </c>
      <c r="V8663" s="19">
        <f>IF($B8663="","",TEXT($B8663,"0000"))</f>
        <v/>
      </c>
      <c r="W8663" s="19">
        <f>IF($I8663="","",IF(ISNUMBER($I8663),TEXT($I8663,"0"),$I8663))</f>
        <v/>
      </c>
    </row>
    <row r="8664">
      <c r="B8664" s="25" t="n"/>
      <c r="I8664" s="25" t="n"/>
      <c r="U8664" s="19">
        <f>IF($V8664&lt;&gt;'設定'!$C$4,N(U8663),IF(OR(NOT(COUNTIF('商品マスタ'!$B$6:$B$1005,$W8664)=0),COUNTIFS('①在庫を貼る'!$V$6:$V$10005,$V8664,'①在庫を貼る'!$W$6:$W$10005,$W8664)&gt;0),N(U8663),N(U8663)+1))</f>
        <v/>
      </c>
      <c r="V8664" s="19">
        <f>IF($B8664="","",TEXT($B8664,"0000"))</f>
        <v/>
      </c>
      <c r="W8664" s="19">
        <f>IF($I8664="","",IF(ISNUMBER($I8664),TEXT($I8664,"0"),$I8664))</f>
        <v/>
      </c>
    </row>
    <row r="8665">
      <c r="B8665" s="25" t="n"/>
      <c r="I8665" s="25" t="n"/>
      <c r="U8665" s="19">
        <f>IF($V8665&lt;&gt;'設定'!$C$4,N(U8664),IF(OR(NOT(COUNTIF('商品マスタ'!$B$6:$B$1005,$W8665)=0),COUNTIFS('①在庫を貼る'!$V$6:$V$10005,$V8665,'①在庫を貼る'!$W$6:$W$10005,$W8665)&gt;0),N(U8664),N(U8664)+1))</f>
        <v/>
      </c>
      <c r="V8665" s="19">
        <f>IF($B8665="","",TEXT($B8665,"0000"))</f>
        <v/>
      </c>
      <c r="W8665" s="19">
        <f>IF($I8665="","",IF(ISNUMBER($I8665),TEXT($I8665,"0"),$I8665))</f>
        <v/>
      </c>
    </row>
    <row r="8666">
      <c r="B8666" s="25" t="n"/>
      <c r="I8666" s="25" t="n"/>
      <c r="U8666" s="19">
        <f>IF($V8666&lt;&gt;'設定'!$C$4,N(U8665),IF(OR(NOT(COUNTIF('商品マスタ'!$B$6:$B$1005,$W8666)=0),COUNTIFS('①在庫を貼る'!$V$6:$V$10005,$V8666,'①在庫を貼る'!$W$6:$W$10005,$W8666)&gt;0),N(U8665),N(U8665)+1))</f>
        <v/>
      </c>
      <c r="V8666" s="19">
        <f>IF($B8666="","",TEXT($B8666,"0000"))</f>
        <v/>
      </c>
      <c r="W8666" s="19">
        <f>IF($I8666="","",IF(ISNUMBER($I8666),TEXT($I8666,"0"),$I8666))</f>
        <v/>
      </c>
    </row>
    <row r="8667">
      <c r="B8667" s="25" t="n"/>
      <c r="I8667" s="25" t="n"/>
      <c r="U8667" s="19">
        <f>IF($V8667&lt;&gt;'設定'!$C$4,N(U8666),IF(OR(NOT(COUNTIF('商品マスタ'!$B$6:$B$1005,$W8667)=0),COUNTIFS('①在庫を貼る'!$V$6:$V$10005,$V8667,'①在庫を貼る'!$W$6:$W$10005,$W8667)&gt;0),N(U8666),N(U8666)+1))</f>
        <v/>
      </c>
      <c r="V8667" s="19">
        <f>IF($B8667="","",TEXT($B8667,"0000"))</f>
        <v/>
      </c>
      <c r="W8667" s="19">
        <f>IF($I8667="","",IF(ISNUMBER($I8667),TEXT($I8667,"0"),$I8667))</f>
        <v/>
      </c>
    </row>
    <row r="8668">
      <c r="B8668" s="25" t="n"/>
      <c r="I8668" s="25" t="n"/>
      <c r="U8668" s="19">
        <f>IF($V8668&lt;&gt;'設定'!$C$4,N(U8667),IF(OR(NOT(COUNTIF('商品マスタ'!$B$6:$B$1005,$W8668)=0),COUNTIFS('①在庫を貼る'!$V$6:$V$10005,$V8668,'①在庫を貼る'!$W$6:$W$10005,$W8668)&gt;0),N(U8667),N(U8667)+1))</f>
        <v/>
      </c>
      <c r="V8668" s="19">
        <f>IF($B8668="","",TEXT($B8668,"0000"))</f>
        <v/>
      </c>
      <c r="W8668" s="19">
        <f>IF($I8668="","",IF(ISNUMBER($I8668),TEXT($I8668,"0"),$I8668))</f>
        <v/>
      </c>
    </row>
    <row r="8669">
      <c r="B8669" s="25" t="n"/>
      <c r="I8669" s="25" t="n"/>
      <c r="U8669" s="19">
        <f>IF($V8669&lt;&gt;'設定'!$C$4,N(U8668),IF(OR(NOT(COUNTIF('商品マスタ'!$B$6:$B$1005,$W8669)=0),COUNTIFS('①在庫を貼る'!$V$6:$V$10005,$V8669,'①在庫を貼る'!$W$6:$W$10005,$W8669)&gt;0),N(U8668),N(U8668)+1))</f>
        <v/>
      </c>
      <c r="V8669" s="19">
        <f>IF($B8669="","",TEXT($B8669,"0000"))</f>
        <v/>
      </c>
      <c r="W8669" s="19">
        <f>IF($I8669="","",IF(ISNUMBER($I8669),TEXT($I8669,"0"),$I8669))</f>
        <v/>
      </c>
    </row>
    <row r="8670">
      <c r="B8670" s="25" t="n"/>
      <c r="I8670" s="25" t="n"/>
      <c r="U8670" s="19">
        <f>IF($V8670&lt;&gt;'設定'!$C$4,N(U8669),IF(OR(NOT(COUNTIF('商品マスタ'!$B$6:$B$1005,$W8670)=0),COUNTIFS('①在庫を貼る'!$V$6:$V$10005,$V8670,'①在庫を貼る'!$W$6:$W$10005,$W8670)&gt;0),N(U8669),N(U8669)+1))</f>
        <v/>
      </c>
      <c r="V8670" s="19">
        <f>IF($B8670="","",TEXT($B8670,"0000"))</f>
        <v/>
      </c>
      <c r="W8670" s="19">
        <f>IF($I8670="","",IF(ISNUMBER($I8670),TEXT($I8670,"0"),$I8670))</f>
        <v/>
      </c>
    </row>
    <row r="8671">
      <c r="B8671" s="25" t="n"/>
      <c r="I8671" s="25" t="n"/>
      <c r="U8671" s="19">
        <f>IF($V8671&lt;&gt;'設定'!$C$4,N(U8670),IF(OR(NOT(COUNTIF('商品マスタ'!$B$6:$B$1005,$W8671)=0),COUNTIFS('①在庫を貼る'!$V$6:$V$10005,$V8671,'①在庫を貼る'!$W$6:$W$10005,$W8671)&gt;0),N(U8670),N(U8670)+1))</f>
        <v/>
      </c>
      <c r="V8671" s="19">
        <f>IF($B8671="","",TEXT($B8671,"0000"))</f>
        <v/>
      </c>
      <c r="W8671" s="19">
        <f>IF($I8671="","",IF(ISNUMBER($I8671),TEXT($I8671,"0"),$I8671))</f>
        <v/>
      </c>
    </row>
    <row r="8672">
      <c r="B8672" s="25" t="n"/>
      <c r="I8672" s="25" t="n"/>
      <c r="U8672" s="19">
        <f>IF($V8672&lt;&gt;'設定'!$C$4,N(U8671),IF(OR(NOT(COUNTIF('商品マスタ'!$B$6:$B$1005,$W8672)=0),COUNTIFS('①在庫を貼る'!$V$6:$V$10005,$V8672,'①在庫を貼る'!$W$6:$W$10005,$W8672)&gt;0),N(U8671),N(U8671)+1))</f>
        <v/>
      </c>
      <c r="V8672" s="19">
        <f>IF($B8672="","",TEXT($B8672,"0000"))</f>
        <v/>
      </c>
      <c r="W8672" s="19">
        <f>IF($I8672="","",IF(ISNUMBER($I8672),TEXT($I8672,"0"),$I8672))</f>
        <v/>
      </c>
    </row>
    <row r="8673">
      <c r="B8673" s="25" t="n"/>
      <c r="I8673" s="25" t="n"/>
      <c r="U8673" s="19">
        <f>IF($V8673&lt;&gt;'設定'!$C$4,N(U8672),IF(OR(NOT(COUNTIF('商品マスタ'!$B$6:$B$1005,$W8673)=0),COUNTIFS('①在庫を貼る'!$V$6:$V$10005,$V8673,'①在庫を貼る'!$W$6:$W$10005,$W8673)&gt;0),N(U8672),N(U8672)+1))</f>
        <v/>
      </c>
      <c r="V8673" s="19">
        <f>IF($B8673="","",TEXT($B8673,"0000"))</f>
        <v/>
      </c>
      <c r="W8673" s="19">
        <f>IF($I8673="","",IF(ISNUMBER($I8673),TEXT($I8673,"0"),$I8673))</f>
        <v/>
      </c>
    </row>
    <row r="8674">
      <c r="B8674" s="25" t="n"/>
      <c r="I8674" s="25" t="n"/>
      <c r="U8674" s="19">
        <f>IF($V8674&lt;&gt;'設定'!$C$4,N(U8673),IF(OR(NOT(COUNTIF('商品マスタ'!$B$6:$B$1005,$W8674)=0),COUNTIFS('①在庫を貼る'!$V$6:$V$10005,$V8674,'①在庫を貼る'!$W$6:$W$10005,$W8674)&gt;0),N(U8673),N(U8673)+1))</f>
        <v/>
      </c>
      <c r="V8674" s="19">
        <f>IF($B8674="","",TEXT($B8674,"0000"))</f>
        <v/>
      </c>
      <c r="W8674" s="19">
        <f>IF($I8674="","",IF(ISNUMBER($I8674),TEXT($I8674,"0"),$I8674))</f>
        <v/>
      </c>
    </row>
    <row r="8675">
      <c r="B8675" s="25" t="n"/>
      <c r="I8675" s="25" t="n"/>
      <c r="U8675" s="19">
        <f>IF($V8675&lt;&gt;'設定'!$C$4,N(U8674),IF(OR(NOT(COUNTIF('商品マスタ'!$B$6:$B$1005,$W8675)=0),COUNTIFS('①在庫を貼る'!$V$6:$V$10005,$V8675,'①在庫を貼る'!$W$6:$W$10005,$W8675)&gt;0),N(U8674),N(U8674)+1))</f>
        <v/>
      </c>
      <c r="V8675" s="19">
        <f>IF($B8675="","",TEXT($B8675,"0000"))</f>
        <v/>
      </c>
      <c r="W8675" s="19">
        <f>IF($I8675="","",IF(ISNUMBER($I8675),TEXT($I8675,"0"),$I8675))</f>
        <v/>
      </c>
    </row>
    <row r="8676">
      <c r="B8676" s="25" t="n"/>
      <c r="I8676" s="25" t="n"/>
      <c r="U8676" s="19">
        <f>IF($V8676&lt;&gt;'設定'!$C$4,N(U8675),IF(OR(NOT(COUNTIF('商品マスタ'!$B$6:$B$1005,$W8676)=0),COUNTIFS('①在庫を貼る'!$V$6:$V$10005,$V8676,'①在庫を貼る'!$W$6:$W$10005,$W8676)&gt;0),N(U8675),N(U8675)+1))</f>
        <v/>
      </c>
      <c r="V8676" s="19">
        <f>IF($B8676="","",TEXT($B8676,"0000"))</f>
        <v/>
      </c>
      <c r="W8676" s="19">
        <f>IF($I8676="","",IF(ISNUMBER($I8676),TEXT($I8676,"0"),$I8676))</f>
        <v/>
      </c>
    </row>
    <row r="8677">
      <c r="B8677" s="25" t="n"/>
      <c r="I8677" s="25" t="n"/>
      <c r="U8677" s="19">
        <f>IF($V8677&lt;&gt;'設定'!$C$4,N(U8676),IF(OR(NOT(COUNTIF('商品マスタ'!$B$6:$B$1005,$W8677)=0),COUNTIFS('①在庫を貼る'!$V$6:$V$10005,$V8677,'①在庫を貼る'!$W$6:$W$10005,$W8677)&gt;0),N(U8676),N(U8676)+1))</f>
        <v/>
      </c>
      <c r="V8677" s="19">
        <f>IF($B8677="","",TEXT($B8677,"0000"))</f>
        <v/>
      </c>
      <c r="W8677" s="19">
        <f>IF($I8677="","",IF(ISNUMBER($I8677),TEXT($I8677,"0"),$I8677))</f>
        <v/>
      </c>
    </row>
    <row r="8678">
      <c r="B8678" s="25" t="n"/>
      <c r="I8678" s="25" t="n"/>
      <c r="U8678" s="19">
        <f>IF($V8678&lt;&gt;'設定'!$C$4,N(U8677),IF(OR(NOT(COUNTIF('商品マスタ'!$B$6:$B$1005,$W8678)=0),COUNTIFS('①在庫を貼る'!$V$6:$V$10005,$V8678,'①在庫を貼る'!$W$6:$W$10005,$W8678)&gt;0),N(U8677),N(U8677)+1))</f>
        <v/>
      </c>
      <c r="V8678" s="19">
        <f>IF($B8678="","",TEXT($B8678,"0000"))</f>
        <v/>
      </c>
      <c r="W8678" s="19">
        <f>IF($I8678="","",IF(ISNUMBER($I8678),TEXT($I8678,"0"),$I8678))</f>
        <v/>
      </c>
    </row>
    <row r="8679">
      <c r="B8679" s="25" t="n"/>
      <c r="I8679" s="25" t="n"/>
      <c r="U8679" s="19">
        <f>IF($V8679&lt;&gt;'設定'!$C$4,N(U8678),IF(OR(NOT(COUNTIF('商品マスタ'!$B$6:$B$1005,$W8679)=0),COUNTIFS('①在庫を貼る'!$V$6:$V$10005,$V8679,'①在庫を貼る'!$W$6:$W$10005,$W8679)&gt;0),N(U8678),N(U8678)+1))</f>
        <v/>
      </c>
      <c r="V8679" s="19">
        <f>IF($B8679="","",TEXT($B8679,"0000"))</f>
        <v/>
      </c>
      <c r="W8679" s="19">
        <f>IF($I8679="","",IF(ISNUMBER($I8679),TEXT($I8679,"0"),$I8679))</f>
        <v/>
      </c>
    </row>
    <row r="8680">
      <c r="B8680" s="25" t="n"/>
      <c r="I8680" s="25" t="n"/>
      <c r="U8680" s="19">
        <f>IF($V8680&lt;&gt;'設定'!$C$4,N(U8679),IF(OR(NOT(COUNTIF('商品マスタ'!$B$6:$B$1005,$W8680)=0),COUNTIFS('①在庫を貼る'!$V$6:$V$10005,$V8680,'①在庫を貼る'!$W$6:$W$10005,$W8680)&gt;0),N(U8679),N(U8679)+1))</f>
        <v/>
      </c>
      <c r="V8680" s="19">
        <f>IF($B8680="","",TEXT($B8680,"0000"))</f>
        <v/>
      </c>
      <c r="W8680" s="19">
        <f>IF($I8680="","",IF(ISNUMBER($I8680),TEXT($I8680,"0"),$I8680))</f>
        <v/>
      </c>
    </row>
    <row r="8681">
      <c r="B8681" s="25" t="n"/>
      <c r="I8681" s="25" t="n"/>
      <c r="U8681" s="19">
        <f>IF($V8681&lt;&gt;'設定'!$C$4,N(U8680),IF(OR(NOT(COUNTIF('商品マスタ'!$B$6:$B$1005,$W8681)=0),COUNTIFS('①在庫を貼る'!$V$6:$V$10005,$V8681,'①在庫を貼る'!$W$6:$W$10005,$W8681)&gt;0),N(U8680),N(U8680)+1))</f>
        <v/>
      </c>
      <c r="V8681" s="19">
        <f>IF($B8681="","",TEXT($B8681,"0000"))</f>
        <v/>
      </c>
      <c r="W8681" s="19">
        <f>IF($I8681="","",IF(ISNUMBER($I8681),TEXT($I8681,"0"),$I8681))</f>
        <v/>
      </c>
    </row>
    <row r="8682">
      <c r="B8682" s="25" t="n"/>
      <c r="I8682" s="25" t="n"/>
      <c r="U8682" s="19">
        <f>IF($V8682&lt;&gt;'設定'!$C$4,N(U8681),IF(OR(NOT(COUNTIF('商品マスタ'!$B$6:$B$1005,$W8682)=0),COUNTIFS('①在庫を貼る'!$V$6:$V$10005,$V8682,'①在庫を貼る'!$W$6:$W$10005,$W8682)&gt;0),N(U8681),N(U8681)+1))</f>
        <v/>
      </c>
      <c r="V8682" s="19">
        <f>IF($B8682="","",TEXT($B8682,"0000"))</f>
        <v/>
      </c>
      <c r="W8682" s="19">
        <f>IF($I8682="","",IF(ISNUMBER($I8682),TEXT($I8682,"0"),$I8682))</f>
        <v/>
      </c>
    </row>
    <row r="8683">
      <c r="B8683" s="25" t="n"/>
      <c r="I8683" s="25" t="n"/>
      <c r="U8683" s="19">
        <f>IF($V8683&lt;&gt;'設定'!$C$4,N(U8682),IF(OR(NOT(COUNTIF('商品マスタ'!$B$6:$B$1005,$W8683)=0),COUNTIFS('①在庫を貼る'!$V$6:$V$10005,$V8683,'①在庫を貼る'!$W$6:$W$10005,$W8683)&gt;0),N(U8682),N(U8682)+1))</f>
        <v/>
      </c>
      <c r="V8683" s="19">
        <f>IF($B8683="","",TEXT($B8683,"0000"))</f>
        <v/>
      </c>
      <c r="W8683" s="19">
        <f>IF($I8683="","",IF(ISNUMBER($I8683),TEXT($I8683,"0"),$I8683))</f>
        <v/>
      </c>
    </row>
    <row r="8684">
      <c r="B8684" s="25" t="n"/>
      <c r="I8684" s="25" t="n"/>
      <c r="U8684" s="19">
        <f>IF($V8684&lt;&gt;'設定'!$C$4,N(U8683),IF(OR(NOT(COUNTIF('商品マスタ'!$B$6:$B$1005,$W8684)=0),COUNTIFS('①在庫を貼る'!$V$6:$V$10005,$V8684,'①在庫を貼る'!$W$6:$W$10005,$W8684)&gt;0),N(U8683),N(U8683)+1))</f>
        <v/>
      </c>
      <c r="V8684" s="19">
        <f>IF($B8684="","",TEXT($B8684,"0000"))</f>
        <v/>
      </c>
      <c r="W8684" s="19">
        <f>IF($I8684="","",IF(ISNUMBER($I8684),TEXT($I8684,"0"),$I8684))</f>
        <v/>
      </c>
    </row>
    <row r="8685">
      <c r="B8685" s="25" t="n"/>
      <c r="I8685" s="25" t="n"/>
      <c r="U8685" s="19">
        <f>IF($V8685&lt;&gt;'設定'!$C$4,N(U8684),IF(OR(NOT(COUNTIF('商品マスタ'!$B$6:$B$1005,$W8685)=0),COUNTIFS('①在庫を貼る'!$V$6:$V$10005,$V8685,'①在庫を貼る'!$W$6:$W$10005,$W8685)&gt;0),N(U8684),N(U8684)+1))</f>
        <v/>
      </c>
      <c r="V8685" s="19">
        <f>IF($B8685="","",TEXT($B8685,"0000"))</f>
        <v/>
      </c>
      <c r="W8685" s="19">
        <f>IF($I8685="","",IF(ISNUMBER($I8685),TEXT($I8685,"0"),$I8685))</f>
        <v/>
      </c>
    </row>
    <row r="8686">
      <c r="B8686" s="25" t="n"/>
      <c r="I8686" s="25" t="n"/>
      <c r="U8686" s="19">
        <f>IF($V8686&lt;&gt;'設定'!$C$4,N(U8685),IF(OR(NOT(COUNTIF('商品マスタ'!$B$6:$B$1005,$W8686)=0),COUNTIFS('①在庫を貼る'!$V$6:$V$10005,$V8686,'①在庫を貼る'!$W$6:$W$10005,$W8686)&gt;0),N(U8685),N(U8685)+1))</f>
        <v/>
      </c>
      <c r="V8686" s="19">
        <f>IF($B8686="","",TEXT($B8686,"0000"))</f>
        <v/>
      </c>
      <c r="W8686" s="19">
        <f>IF($I8686="","",IF(ISNUMBER($I8686),TEXT($I8686,"0"),$I8686))</f>
        <v/>
      </c>
    </row>
    <row r="8687">
      <c r="B8687" s="25" t="n"/>
      <c r="I8687" s="25" t="n"/>
      <c r="U8687" s="19">
        <f>IF($V8687&lt;&gt;'設定'!$C$4,N(U8686),IF(OR(NOT(COUNTIF('商品マスタ'!$B$6:$B$1005,$W8687)=0),COUNTIFS('①在庫を貼る'!$V$6:$V$10005,$V8687,'①在庫を貼る'!$W$6:$W$10005,$W8687)&gt;0),N(U8686),N(U8686)+1))</f>
        <v/>
      </c>
      <c r="V8687" s="19">
        <f>IF($B8687="","",TEXT($B8687,"0000"))</f>
        <v/>
      </c>
      <c r="W8687" s="19">
        <f>IF($I8687="","",IF(ISNUMBER($I8687),TEXT($I8687,"0"),$I8687))</f>
        <v/>
      </c>
    </row>
    <row r="8688">
      <c r="B8688" s="25" t="n"/>
      <c r="I8688" s="25" t="n"/>
      <c r="U8688" s="19">
        <f>IF($V8688&lt;&gt;'設定'!$C$4,N(U8687),IF(OR(NOT(COUNTIF('商品マスタ'!$B$6:$B$1005,$W8688)=0),COUNTIFS('①在庫を貼る'!$V$6:$V$10005,$V8688,'①在庫を貼る'!$W$6:$W$10005,$W8688)&gt;0),N(U8687),N(U8687)+1))</f>
        <v/>
      </c>
      <c r="V8688" s="19">
        <f>IF($B8688="","",TEXT($B8688,"0000"))</f>
        <v/>
      </c>
      <c r="W8688" s="19">
        <f>IF($I8688="","",IF(ISNUMBER($I8688),TEXT($I8688,"0"),$I8688))</f>
        <v/>
      </c>
    </row>
    <row r="8689">
      <c r="B8689" s="25" t="n"/>
      <c r="I8689" s="25" t="n"/>
      <c r="U8689" s="19">
        <f>IF($V8689&lt;&gt;'設定'!$C$4,N(U8688),IF(OR(NOT(COUNTIF('商品マスタ'!$B$6:$B$1005,$W8689)=0),COUNTIFS('①在庫を貼る'!$V$6:$V$10005,$V8689,'①在庫を貼る'!$W$6:$W$10005,$W8689)&gt;0),N(U8688),N(U8688)+1))</f>
        <v/>
      </c>
      <c r="V8689" s="19">
        <f>IF($B8689="","",TEXT($B8689,"0000"))</f>
        <v/>
      </c>
      <c r="W8689" s="19">
        <f>IF($I8689="","",IF(ISNUMBER($I8689),TEXT($I8689,"0"),$I8689))</f>
        <v/>
      </c>
    </row>
    <row r="8690">
      <c r="B8690" s="25" t="n"/>
      <c r="I8690" s="25" t="n"/>
      <c r="U8690" s="19">
        <f>IF($V8690&lt;&gt;'設定'!$C$4,N(U8689),IF(OR(NOT(COUNTIF('商品マスタ'!$B$6:$B$1005,$W8690)=0),COUNTIFS('①在庫を貼る'!$V$6:$V$10005,$V8690,'①在庫を貼る'!$W$6:$W$10005,$W8690)&gt;0),N(U8689),N(U8689)+1))</f>
        <v/>
      </c>
      <c r="V8690" s="19">
        <f>IF($B8690="","",TEXT($B8690,"0000"))</f>
        <v/>
      </c>
      <c r="W8690" s="19">
        <f>IF($I8690="","",IF(ISNUMBER($I8690),TEXT($I8690,"0"),$I8690))</f>
        <v/>
      </c>
    </row>
    <row r="8691">
      <c r="B8691" s="25" t="n"/>
      <c r="I8691" s="25" t="n"/>
      <c r="U8691" s="19">
        <f>IF($V8691&lt;&gt;'設定'!$C$4,N(U8690),IF(OR(NOT(COUNTIF('商品マスタ'!$B$6:$B$1005,$W8691)=0),COUNTIFS('①在庫を貼る'!$V$6:$V$10005,$V8691,'①在庫を貼る'!$W$6:$W$10005,$W8691)&gt;0),N(U8690),N(U8690)+1))</f>
        <v/>
      </c>
      <c r="V8691" s="19">
        <f>IF($B8691="","",TEXT($B8691,"0000"))</f>
        <v/>
      </c>
      <c r="W8691" s="19">
        <f>IF($I8691="","",IF(ISNUMBER($I8691),TEXT($I8691,"0"),$I8691))</f>
        <v/>
      </c>
    </row>
    <row r="8692">
      <c r="B8692" s="25" t="n"/>
      <c r="I8692" s="25" t="n"/>
      <c r="U8692" s="19">
        <f>IF($V8692&lt;&gt;'設定'!$C$4,N(U8691),IF(OR(NOT(COUNTIF('商品マスタ'!$B$6:$B$1005,$W8692)=0),COUNTIFS('①在庫を貼る'!$V$6:$V$10005,$V8692,'①在庫を貼る'!$W$6:$W$10005,$W8692)&gt;0),N(U8691),N(U8691)+1))</f>
        <v/>
      </c>
      <c r="V8692" s="19">
        <f>IF($B8692="","",TEXT($B8692,"0000"))</f>
        <v/>
      </c>
      <c r="W8692" s="19">
        <f>IF($I8692="","",IF(ISNUMBER($I8692),TEXT($I8692,"0"),$I8692))</f>
        <v/>
      </c>
    </row>
    <row r="8693">
      <c r="B8693" s="25" t="n"/>
      <c r="I8693" s="25" t="n"/>
      <c r="U8693" s="19">
        <f>IF($V8693&lt;&gt;'設定'!$C$4,N(U8692),IF(OR(NOT(COUNTIF('商品マスタ'!$B$6:$B$1005,$W8693)=0),COUNTIFS('①在庫を貼る'!$V$6:$V$10005,$V8693,'①在庫を貼る'!$W$6:$W$10005,$W8693)&gt;0),N(U8692),N(U8692)+1))</f>
        <v/>
      </c>
      <c r="V8693" s="19">
        <f>IF($B8693="","",TEXT($B8693,"0000"))</f>
        <v/>
      </c>
      <c r="W8693" s="19">
        <f>IF($I8693="","",IF(ISNUMBER($I8693),TEXT($I8693,"0"),$I8693))</f>
        <v/>
      </c>
    </row>
    <row r="8694">
      <c r="B8694" s="25" t="n"/>
      <c r="I8694" s="25" t="n"/>
      <c r="U8694" s="19">
        <f>IF($V8694&lt;&gt;'設定'!$C$4,N(U8693),IF(OR(NOT(COUNTIF('商品マスタ'!$B$6:$B$1005,$W8694)=0),COUNTIFS('①在庫を貼る'!$V$6:$V$10005,$V8694,'①在庫を貼る'!$W$6:$W$10005,$W8694)&gt;0),N(U8693),N(U8693)+1))</f>
        <v/>
      </c>
      <c r="V8694" s="19">
        <f>IF($B8694="","",TEXT($B8694,"0000"))</f>
        <v/>
      </c>
      <c r="W8694" s="19">
        <f>IF($I8694="","",IF(ISNUMBER($I8694),TEXT($I8694,"0"),$I8694))</f>
        <v/>
      </c>
    </row>
    <row r="8695">
      <c r="B8695" s="25" t="n"/>
      <c r="I8695" s="25" t="n"/>
      <c r="U8695" s="19">
        <f>IF($V8695&lt;&gt;'設定'!$C$4,N(U8694),IF(OR(NOT(COUNTIF('商品マスタ'!$B$6:$B$1005,$W8695)=0),COUNTIFS('①在庫を貼る'!$V$6:$V$10005,$V8695,'①在庫を貼る'!$W$6:$W$10005,$W8695)&gt;0),N(U8694),N(U8694)+1))</f>
        <v/>
      </c>
      <c r="V8695" s="19">
        <f>IF($B8695="","",TEXT($B8695,"0000"))</f>
        <v/>
      </c>
      <c r="W8695" s="19">
        <f>IF($I8695="","",IF(ISNUMBER($I8695),TEXT($I8695,"0"),$I8695))</f>
        <v/>
      </c>
    </row>
    <row r="8696">
      <c r="B8696" s="25" t="n"/>
      <c r="I8696" s="25" t="n"/>
      <c r="U8696" s="19">
        <f>IF($V8696&lt;&gt;'設定'!$C$4,N(U8695),IF(OR(NOT(COUNTIF('商品マスタ'!$B$6:$B$1005,$W8696)=0),COUNTIFS('①在庫を貼る'!$V$6:$V$10005,$V8696,'①在庫を貼る'!$W$6:$W$10005,$W8696)&gt;0),N(U8695),N(U8695)+1))</f>
        <v/>
      </c>
      <c r="V8696" s="19">
        <f>IF($B8696="","",TEXT($B8696,"0000"))</f>
        <v/>
      </c>
      <c r="W8696" s="19">
        <f>IF($I8696="","",IF(ISNUMBER($I8696),TEXT($I8696,"0"),$I8696))</f>
        <v/>
      </c>
    </row>
    <row r="8697">
      <c r="B8697" s="25" t="n"/>
      <c r="I8697" s="25" t="n"/>
      <c r="U8697" s="19">
        <f>IF($V8697&lt;&gt;'設定'!$C$4,N(U8696),IF(OR(NOT(COUNTIF('商品マスタ'!$B$6:$B$1005,$W8697)=0),COUNTIFS('①在庫を貼る'!$V$6:$V$10005,$V8697,'①在庫を貼る'!$W$6:$W$10005,$W8697)&gt;0),N(U8696),N(U8696)+1))</f>
        <v/>
      </c>
      <c r="V8697" s="19">
        <f>IF($B8697="","",TEXT($B8697,"0000"))</f>
        <v/>
      </c>
      <c r="W8697" s="19">
        <f>IF($I8697="","",IF(ISNUMBER($I8697),TEXT($I8697,"0"),$I8697))</f>
        <v/>
      </c>
    </row>
    <row r="8698">
      <c r="B8698" s="25" t="n"/>
      <c r="I8698" s="25" t="n"/>
      <c r="U8698" s="19">
        <f>IF($V8698&lt;&gt;'設定'!$C$4,N(U8697),IF(OR(NOT(COUNTIF('商品マスタ'!$B$6:$B$1005,$W8698)=0),COUNTIFS('①在庫を貼る'!$V$6:$V$10005,$V8698,'①在庫を貼る'!$W$6:$W$10005,$W8698)&gt;0),N(U8697),N(U8697)+1))</f>
        <v/>
      </c>
      <c r="V8698" s="19">
        <f>IF($B8698="","",TEXT($B8698,"0000"))</f>
        <v/>
      </c>
      <c r="W8698" s="19">
        <f>IF($I8698="","",IF(ISNUMBER($I8698),TEXT($I8698,"0"),$I8698))</f>
        <v/>
      </c>
    </row>
    <row r="8699">
      <c r="B8699" s="25" t="n"/>
      <c r="I8699" s="25" t="n"/>
      <c r="U8699" s="19">
        <f>IF($V8699&lt;&gt;'設定'!$C$4,N(U8698),IF(OR(NOT(COUNTIF('商品マスタ'!$B$6:$B$1005,$W8699)=0),COUNTIFS('①在庫を貼る'!$V$6:$V$10005,$V8699,'①在庫を貼る'!$W$6:$W$10005,$W8699)&gt;0),N(U8698),N(U8698)+1))</f>
        <v/>
      </c>
      <c r="V8699" s="19">
        <f>IF($B8699="","",TEXT($B8699,"0000"))</f>
        <v/>
      </c>
      <c r="W8699" s="19">
        <f>IF($I8699="","",IF(ISNUMBER($I8699),TEXT($I8699,"0"),$I8699))</f>
        <v/>
      </c>
    </row>
    <row r="8700">
      <c r="B8700" s="25" t="n"/>
      <c r="I8700" s="25" t="n"/>
      <c r="U8700" s="19">
        <f>IF($V8700&lt;&gt;'設定'!$C$4,N(U8699),IF(OR(NOT(COUNTIF('商品マスタ'!$B$6:$B$1005,$W8700)=0),COUNTIFS('①在庫を貼る'!$V$6:$V$10005,$V8700,'①在庫を貼る'!$W$6:$W$10005,$W8700)&gt;0),N(U8699),N(U8699)+1))</f>
        <v/>
      </c>
      <c r="V8700" s="19">
        <f>IF($B8700="","",TEXT($B8700,"0000"))</f>
        <v/>
      </c>
      <c r="W8700" s="19">
        <f>IF($I8700="","",IF(ISNUMBER($I8700),TEXT($I8700,"0"),$I8700))</f>
        <v/>
      </c>
    </row>
    <row r="8701">
      <c r="B8701" s="25" t="n"/>
      <c r="I8701" s="25" t="n"/>
      <c r="U8701" s="19">
        <f>IF($V8701&lt;&gt;'設定'!$C$4,N(U8700),IF(OR(NOT(COUNTIF('商品マスタ'!$B$6:$B$1005,$W8701)=0),COUNTIFS('①在庫を貼る'!$V$6:$V$10005,$V8701,'①在庫を貼る'!$W$6:$W$10005,$W8701)&gt;0),N(U8700),N(U8700)+1))</f>
        <v/>
      </c>
      <c r="V8701" s="19">
        <f>IF($B8701="","",TEXT($B8701,"0000"))</f>
        <v/>
      </c>
      <c r="W8701" s="19">
        <f>IF($I8701="","",IF(ISNUMBER($I8701),TEXT($I8701,"0"),$I8701))</f>
        <v/>
      </c>
    </row>
    <row r="8702">
      <c r="B8702" s="25" t="n"/>
      <c r="I8702" s="25" t="n"/>
      <c r="U8702" s="19">
        <f>IF($V8702&lt;&gt;'設定'!$C$4,N(U8701),IF(OR(NOT(COUNTIF('商品マスタ'!$B$6:$B$1005,$W8702)=0),COUNTIFS('①在庫を貼る'!$V$6:$V$10005,$V8702,'①在庫を貼る'!$W$6:$W$10005,$W8702)&gt;0),N(U8701),N(U8701)+1))</f>
        <v/>
      </c>
      <c r="V8702" s="19">
        <f>IF($B8702="","",TEXT($B8702,"0000"))</f>
        <v/>
      </c>
      <c r="W8702" s="19">
        <f>IF($I8702="","",IF(ISNUMBER($I8702),TEXT($I8702,"0"),$I8702))</f>
        <v/>
      </c>
    </row>
    <row r="8703">
      <c r="B8703" s="25" t="n"/>
      <c r="I8703" s="25" t="n"/>
      <c r="U8703" s="19">
        <f>IF($V8703&lt;&gt;'設定'!$C$4,N(U8702),IF(OR(NOT(COUNTIF('商品マスタ'!$B$6:$B$1005,$W8703)=0),COUNTIFS('①在庫を貼る'!$V$6:$V$10005,$V8703,'①在庫を貼る'!$W$6:$W$10005,$W8703)&gt;0),N(U8702),N(U8702)+1))</f>
        <v/>
      </c>
      <c r="V8703" s="19">
        <f>IF($B8703="","",TEXT($B8703,"0000"))</f>
        <v/>
      </c>
      <c r="W8703" s="19">
        <f>IF($I8703="","",IF(ISNUMBER($I8703),TEXT($I8703,"0"),$I8703))</f>
        <v/>
      </c>
    </row>
    <row r="8704">
      <c r="B8704" s="25" t="n"/>
      <c r="I8704" s="25" t="n"/>
      <c r="U8704" s="19">
        <f>IF($V8704&lt;&gt;'設定'!$C$4,N(U8703),IF(OR(NOT(COUNTIF('商品マスタ'!$B$6:$B$1005,$W8704)=0),COUNTIFS('①在庫を貼る'!$V$6:$V$10005,$V8704,'①在庫を貼る'!$W$6:$W$10005,$W8704)&gt;0),N(U8703),N(U8703)+1))</f>
        <v/>
      </c>
      <c r="V8704" s="19">
        <f>IF($B8704="","",TEXT($B8704,"0000"))</f>
        <v/>
      </c>
      <c r="W8704" s="19">
        <f>IF($I8704="","",IF(ISNUMBER($I8704),TEXT($I8704,"0"),$I8704))</f>
        <v/>
      </c>
    </row>
    <row r="8705">
      <c r="B8705" s="25" t="n"/>
      <c r="I8705" s="25" t="n"/>
      <c r="U8705" s="19">
        <f>IF($V8705&lt;&gt;'設定'!$C$4,N(U8704),IF(OR(NOT(COUNTIF('商品マスタ'!$B$6:$B$1005,$W8705)=0),COUNTIFS('①在庫を貼る'!$V$6:$V$10005,$V8705,'①在庫を貼る'!$W$6:$W$10005,$W8705)&gt;0),N(U8704),N(U8704)+1))</f>
        <v/>
      </c>
      <c r="V8705" s="19">
        <f>IF($B8705="","",TEXT($B8705,"0000"))</f>
        <v/>
      </c>
      <c r="W8705" s="19">
        <f>IF($I8705="","",IF(ISNUMBER($I8705),TEXT($I8705,"0"),$I8705))</f>
        <v/>
      </c>
    </row>
    <row r="8706">
      <c r="B8706" s="25" t="n"/>
      <c r="I8706" s="25" t="n"/>
      <c r="U8706" s="19">
        <f>IF($V8706&lt;&gt;'設定'!$C$4,N(U8705),IF(OR(NOT(COUNTIF('商品マスタ'!$B$6:$B$1005,$W8706)=0),COUNTIFS('①在庫を貼る'!$V$6:$V$10005,$V8706,'①在庫を貼る'!$W$6:$W$10005,$W8706)&gt;0),N(U8705),N(U8705)+1))</f>
        <v/>
      </c>
      <c r="V8706" s="19">
        <f>IF($B8706="","",TEXT($B8706,"0000"))</f>
        <v/>
      </c>
      <c r="W8706" s="19">
        <f>IF($I8706="","",IF(ISNUMBER($I8706),TEXT($I8706,"0"),$I8706))</f>
        <v/>
      </c>
    </row>
    <row r="8707">
      <c r="B8707" s="25" t="n"/>
      <c r="I8707" s="25" t="n"/>
      <c r="U8707" s="19">
        <f>IF($V8707&lt;&gt;'設定'!$C$4,N(U8706),IF(OR(NOT(COUNTIF('商品マスタ'!$B$6:$B$1005,$W8707)=0),COUNTIFS('①在庫を貼る'!$V$6:$V$10005,$V8707,'①在庫を貼る'!$W$6:$W$10005,$W8707)&gt;0),N(U8706),N(U8706)+1))</f>
        <v/>
      </c>
      <c r="V8707" s="19">
        <f>IF($B8707="","",TEXT($B8707,"0000"))</f>
        <v/>
      </c>
      <c r="W8707" s="19">
        <f>IF($I8707="","",IF(ISNUMBER($I8707),TEXT($I8707,"0"),$I8707))</f>
        <v/>
      </c>
    </row>
    <row r="8708">
      <c r="B8708" s="25" t="n"/>
      <c r="I8708" s="25" t="n"/>
      <c r="U8708" s="19">
        <f>IF($V8708&lt;&gt;'設定'!$C$4,N(U8707),IF(OR(NOT(COUNTIF('商品マスタ'!$B$6:$B$1005,$W8708)=0),COUNTIFS('①在庫を貼る'!$V$6:$V$10005,$V8708,'①在庫を貼る'!$W$6:$W$10005,$W8708)&gt;0),N(U8707),N(U8707)+1))</f>
        <v/>
      </c>
      <c r="V8708" s="19">
        <f>IF($B8708="","",TEXT($B8708,"0000"))</f>
        <v/>
      </c>
      <c r="W8708" s="19">
        <f>IF($I8708="","",IF(ISNUMBER($I8708),TEXT($I8708,"0"),$I8708))</f>
        <v/>
      </c>
    </row>
    <row r="8709">
      <c r="B8709" s="25" t="n"/>
      <c r="I8709" s="25" t="n"/>
      <c r="U8709" s="19">
        <f>IF($V8709&lt;&gt;'設定'!$C$4,N(U8708),IF(OR(NOT(COUNTIF('商品マスタ'!$B$6:$B$1005,$W8709)=0),COUNTIFS('①在庫を貼る'!$V$6:$V$10005,$V8709,'①在庫を貼る'!$W$6:$W$10005,$W8709)&gt;0),N(U8708),N(U8708)+1))</f>
        <v/>
      </c>
      <c r="V8709" s="19">
        <f>IF($B8709="","",TEXT($B8709,"0000"))</f>
        <v/>
      </c>
      <c r="W8709" s="19">
        <f>IF($I8709="","",IF(ISNUMBER($I8709),TEXT($I8709,"0"),$I8709))</f>
        <v/>
      </c>
    </row>
    <row r="8710">
      <c r="B8710" s="25" t="n"/>
      <c r="I8710" s="25" t="n"/>
      <c r="U8710" s="19">
        <f>IF($V8710&lt;&gt;'設定'!$C$4,N(U8709),IF(OR(NOT(COUNTIF('商品マスタ'!$B$6:$B$1005,$W8710)=0),COUNTIFS('①在庫を貼る'!$V$6:$V$10005,$V8710,'①在庫を貼る'!$W$6:$W$10005,$W8710)&gt;0),N(U8709),N(U8709)+1))</f>
        <v/>
      </c>
      <c r="V8710" s="19">
        <f>IF($B8710="","",TEXT($B8710,"0000"))</f>
        <v/>
      </c>
      <c r="W8710" s="19">
        <f>IF($I8710="","",IF(ISNUMBER($I8710),TEXT($I8710,"0"),$I8710))</f>
        <v/>
      </c>
    </row>
    <row r="8711">
      <c r="B8711" s="25" t="n"/>
      <c r="I8711" s="25" t="n"/>
      <c r="U8711" s="19">
        <f>IF($V8711&lt;&gt;'設定'!$C$4,N(U8710),IF(OR(NOT(COUNTIF('商品マスタ'!$B$6:$B$1005,$W8711)=0),COUNTIFS('①在庫を貼る'!$V$6:$V$10005,$V8711,'①在庫を貼る'!$W$6:$W$10005,$W8711)&gt;0),N(U8710),N(U8710)+1))</f>
        <v/>
      </c>
      <c r="V8711" s="19">
        <f>IF($B8711="","",TEXT($B8711,"0000"))</f>
        <v/>
      </c>
      <c r="W8711" s="19">
        <f>IF($I8711="","",IF(ISNUMBER($I8711),TEXT($I8711,"0"),$I8711))</f>
        <v/>
      </c>
    </row>
    <row r="8712">
      <c r="B8712" s="25" t="n"/>
      <c r="I8712" s="25" t="n"/>
      <c r="U8712" s="19">
        <f>IF($V8712&lt;&gt;'設定'!$C$4,N(U8711),IF(OR(NOT(COUNTIF('商品マスタ'!$B$6:$B$1005,$W8712)=0),COUNTIFS('①在庫を貼る'!$V$6:$V$10005,$V8712,'①在庫を貼る'!$W$6:$W$10005,$W8712)&gt;0),N(U8711),N(U8711)+1))</f>
        <v/>
      </c>
      <c r="V8712" s="19">
        <f>IF($B8712="","",TEXT($B8712,"0000"))</f>
        <v/>
      </c>
      <c r="W8712" s="19">
        <f>IF($I8712="","",IF(ISNUMBER($I8712),TEXT($I8712,"0"),$I8712))</f>
        <v/>
      </c>
    </row>
    <row r="8713">
      <c r="B8713" s="25" t="n"/>
      <c r="I8713" s="25" t="n"/>
      <c r="U8713" s="19">
        <f>IF($V8713&lt;&gt;'設定'!$C$4,N(U8712),IF(OR(NOT(COUNTIF('商品マスタ'!$B$6:$B$1005,$W8713)=0),COUNTIFS('①在庫を貼る'!$V$6:$V$10005,$V8713,'①在庫を貼る'!$W$6:$W$10005,$W8713)&gt;0),N(U8712),N(U8712)+1))</f>
        <v/>
      </c>
      <c r="V8713" s="19">
        <f>IF($B8713="","",TEXT($B8713,"0000"))</f>
        <v/>
      </c>
      <c r="W8713" s="19">
        <f>IF($I8713="","",IF(ISNUMBER($I8713),TEXT($I8713,"0"),$I8713))</f>
        <v/>
      </c>
    </row>
    <row r="8714">
      <c r="B8714" s="25" t="n"/>
      <c r="I8714" s="25" t="n"/>
      <c r="U8714" s="19">
        <f>IF($V8714&lt;&gt;'設定'!$C$4,N(U8713),IF(OR(NOT(COUNTIF('商品マスタ'!$B$6:$B$1005,$W8714)=0),COUNTIFS('①在庫を貼る'!$V$6:$V$10005,$V8714,'①在庫を貼る'!$W$6:$W$10005,$W8714)&gt;0),N(U8713),N(U8713)+1))</f>
        <v/>
      </c>
      <c r="V8714" s="19">
        <f>IF($B8714="","",TEXT($B8714,"0000"))</f>
        <v/>
      </c>
      <c r="W8714" s="19">
        <f>IF($I8714="","",IF(ISNUMBER($I8714),TEXT($I8714,"0"),$I8714))</f>
        <v/>
      </c>
    </row>
    <row r="8715">
      <c r="B8715" s="25" t="n"/>
      <c r="I8715" s="25" t="n"/>
      <c r="U8715" s="19">
        <f>IF($V8715&lt;&gt;'設定'!$C$4,N(U8714),IF(OR(NOT(COUNTIF('商品マスタ'!$B$6:$B$1005,$W8715)=0),COUNTIFS('①在庫を貼る'!$V$6:$V$10005,$V8715,'①在庫を貼る'!$W$6:$W$10005,$W8715)&gt;0),N(U8714),N(U8714)+1))</f>
        <v/>
      </c>
      <c r="V8715" s="19">
        <f>IF($B8715="","",TEXT($B8715,"0000"))</f>
        <v/>
      </c>
      <c r="W8715" s="19">
        <f>IF($I8715="","",IF(ISNUMBER($I8715),TEXT($I8715,"0"),$I8715))</f>
        <v/>
      </c>
    </row>
    <row r="8716">
      <c r="B8716" s="25" t="n"/>
      <c r="I8716" s="25" t="n"/>
      <c r="U8716" s="19">
        <f>IF($V8716&lt;&gt;'設定'!$C$4,N(U8715),IF(OR(NOT(COUNTIF('商品マスタ'!$B$6:$B$1005,$W8716)=0),COUNTIFS('①在庫を貼る'!$V$6:$V$10005,$V8716,'①在庫を貼る'!$W$6:$W$10005,$W8716)&gt;0),N(U8715),N(U8715)+1))</f>
        <v/>
      </c>
      <c r="V8716" s="19">
        <f>IF($B8716="","",TEXT($B8716,"0000"))</f>
        <v/>
      </c>
      <c r="W8716" s="19">
        <f>IF($I8716="","",IF(ISNUMBER($I8716),TEXT($I8716,"0"),$I8716))</f>
        <v/>
      </c>
    </row>
    <row r="8717">
      <c r="B8717" s="25" t="n"/>
      <c r="I8717" s="25" t="n"/>
      <c r="U8717" s="19">
        <f>IF($V8717&lt;&gt;'設定'!$C$4,N(U8716),IF(OR(NOT(COUNTIF('商品マスタ'!$B$6:$B$1005,$W8717)=0),COUNTIFS('①在庫を貼る'!$V$6:$V$10005,$V8717,'①在庫を貼る'!$W$6:$W$10005,$W8717)&gt;0),N(U8716),N(U8716)+1))</f>
        <v/>
      </c>
      <c r="V8717" s="19">
        <f>IF($B8717="","",TEXT($B8717,"0000"))</f>
        <v/>
      </c>
      <c r="W8717" s="19">
        <f>IF($I8717="","",IF(ISNUMBER($I8717),TEXT($I8717,"0"),$I8717))</f>
        <v/>
      </c>
    </row>
    <row r="8718">
      <c r="B8718" s="25" t="n"/>
      <c r="I8718" s="25" t="n"/>
      <c r="U8718" s="19">
        <f>IF($V8718&lt;&gt;'設定'!$C$4,N(U8717),IF(OR(NOT(COUNTIF('商品マスタ'!$B$6:$B$1005,$W8718)=0),COUNTIFS('①在庫を貼る'!$V$6:$V$10005,$V8718,'①在庫を貼る'!$W$6:$W$10005,$W8718)&gt;0),N(U8717),N(U8717)+1))</f>
        <v/>
      </c>
      <c r="V8718" s="19">
        <f>IF($B8718="","",TEXT($B8718,"0000"))</f>
        <v/>
      </c>
      <c r="W8718" s="19">
        <f>IF($I8718="","",IF(ISNUMBER($I8718),TEXT($I8718,"0"),$I8718))</f>
        <v/>
      </c>
    </row>
    <row r="8719">
      <c r="B8719" s="25" t="n"/>
      <c r="I8719" s="25" t="n"/>
      <c r="U8719" s="19">
        <f>IF($V8719&lt;&gt;'設定'!$C$4,N(U8718),IF(OR(NOT(COUNTIF('商品マスタ'!$B$6:$B$1005,$W8719)=0),COUNTIFS('①在庫を貼る'!$V$6:$V$10005,$V8719,'①在庫を貼る'!$W$6:$W$10005,$W8719)&gt;0),N(U8718),N(U8718)+1))</f>
        <v/>
      </c>
      <c r="V8719" s="19">
        <f>IF($B8719="","",TEXT($B8719,"0000"))</f>
        <v/>
      </c>
      <c r="W8719" s="19">
        <f>IF($I8719="","",IF(ISNUMBER($I8719),TEXT($I8719,"0"),$I8719))</f>
        <v/>
      </c>
    </row>
    <row r="8720">
      <c r="B8720" s="25" t="n"/>
      <c r="I8720" s="25" t="n"/>
      <c r="U8720" s="19">
        <f>IF($V8720&lt;&gt;'設定'!$C$4,N(U8719),IF(OR(NOT(COUNTIF('商品マスタ'!$B$6:$B$1005,$W8720)=0),COUNTIFS('①在庫を貼る'!$V$6:$V$10005,$V8720,'①在庫を貼る'!$W$6:$W$10005,$W8720)&gt;0),N(U8719),N(U8719)+1))</f>
        <v/>
      </c>
      <c r="V8720" s="19">
        <f>IF($B8720="","",TEXT($B8720,"0000"))</f>
        <v/>
      </c>
      <c r="W8720" s="19">
        <f>IF($I8720="","",IF(ISNUMBER($I8720),TEXT($I8720,"0"),$I8720))</f>
        <v/>
      </c>
    </row>
    <row r="8721">
      <c r="B8721" s="25" t="n"/>
      <c r="I8721" s="25" t="n"/>
      <c r="U8721" s="19">
        <f>IF($V8721&lt;&gt;'設定'!$C$4,N(U8720),IF(OR(NOT(COUNTIF('商品マスタ'!$B$6:$B$1005,$W8721)=0),COUNTIFS('①在庫を貼る'!$V$6:$V$10005,$V8721,'①在庫を貼る'!$W$6:$W$10005,$W8721)&gt;0),N(U8720),N(U8720)+1))</f>
        <v/>
      </c>
      <c r="V8721" s="19">
        <f>IF($B8721="","",TEXT($B8721,"0000"))</f>
        <v/>
      </c>
      <c r="W8721" s="19">
        <f>IF($I8721="","",IF(ISNUMBER($I8721),TEXT($I8721,"0"),$I8721))</f>
        <v/>
      </c>
    </row>
    <row r="8722">
      <c r="B8722" s="25" t="n"/>
      <c r="I8722" s="25" t="n"/>
      <c r="U8722" s="19">
        <f>IF($V8722&lt;&gt;'設定'!$C$4,N(U8721),IF(OR(NOT(COUNTIF('商品マスタ'!$B$6:$B$1005,$W8722)=0),COUNTIFS('①在庫を貼る'!$V$6:$V$10005,$V8722,'①在庫を貼る'!$W$6:$W$10005,$W8722)&gt;0),N(U8721),N(U8721)+1))</f>
        <v/>
      </c>
      <c r="V8722" s="19">
        <f>IF($B8722="","",TEXT($B8722,"0000"))</f>
        <v/>
      </c>
      <c r="W8722" s="19">
        <f>IF($I8722="","",IF(ISNUMBER($I8722),TEXT($I8722,"0"),$I8722))</f>
        <v/>
      </c>
    </row>
    <row r="8723">
      <c r="B8723" s="25" t="n"/>
      <c r="I8723" s="25" t="n"/>
      <c r="U8723" s="19">
        <f>IF($V8723&lt;&gt;'設定'!$C$4,N(U8722),IF(OR(NOT(COUNTIF('商品マスタ'!$B$6:$B$1005,$W8723)=0),COUNTIFS('①在庫を貼る'!$V$6:$V$10005,$V8723,'①在庫を貼る'!$W$6:$W$10005,$W8723)&gt;0),N(U8722),N(U8722)+1))</f>
        <v/>
      </c>
      <c r="V8723" s="19">
        <f>IF($B8723="","",TEXT($B8723,"0000"))</f>
        <v/>
      </c>
      <c r="W8723" s="19">
        <f>IF($I8723="","",IF(ISNUMBER($I8723),TEXT($I8723,"0"),$I8723))</f>
        <v/>
      </c>
    </row>
    <row r="8724">
      <c r="B8724" s="25" t="n"/>
      <c r="I8724" s="25" t="n"/>
      <c r="U8724" s="19">
        <f>IF($V8724&lt;&gt;'設定'!$C$4,N(U8723),IF(OR(NOT(COUNTIF('商品マスタ'!$B$6:$B$1005,$W8724)=0),COUNTIFS('①在庫を貼る'!$V$6:$V$10005,$V8724,'①在庫を貼る'!$W$6:$W$10005,$W8724)&gt;0),N(U8723),N(U8723)+1))</f>
        <v/>
      </c>
      <c r="V8724" s="19">
        <f>IF($B8724="","",TEXT($B8724,"0000"))</f>
        <v/>
      </c>
      <c r="W8724" s="19">
        <f>IF($I8724="","",IF(ISNUMBER($I8724),TEXT($I8724,"0"),$I8724))</f>
        <v/>
      </c>
    </row>
    <row r="8725">
      <c r="B8725" s="25" t="n"/>
      <c r="I8725" s="25" t="n"/>
      <c r="U8725" s="19">
        <f>IF($V8725&lt;&gt;'設定'!$C$4,N(U8724),IF(OR(NOT(COUNTIF('商品マスタ'!$B$6:$B$1005,$W8725)=0),COUNTIFS('①在庫を貼る'!$V$6:$V$10005,$V8725,'①在庫を貼る'!$W$6:$W$10005,$W8725)&gt;0),N(U8724),N(U8724)+1))</f>
        <v/>
      </c>
      <c r="V8725" s="19">
        <f>IF($B8725="","",TEXT($B8725,"0000"))</f>
        <v/>
      </c>
      <c r="W8725" s="19">
        <f>IF($I8725="","",IF(ISNUMBER($I8725),TEXT($I8725,"0"),$I8725))</f>
        <v/>
      </c>
    </row>
    <row r="8726">
      <c r="B8726" s="25" t="n"/>
      <c r="I8726" s="25" t="n"/>
      <c r="U8726" s="19">
        <f>IF($V8726&lt;&gt;'設定'!$C$4,N(U8725),IF(OR(NOT(COUNTIF('商品マスタ'!$B$6:$B$1005,$W8726)=0),COUNTIFS('①在庫を貼る'!$V$6:$V$10005,$V8726,'①在庫を貼る'!$W$6:$W$10005,$W8726)&gt;0),N(U8725),N(U8725)+1))</f>
        <v/>
      </c>
      <c r="V8726" s="19">
        <f>IF($B8726="","",TEXT($B8726,"0000"))</f>
        <v/>
      </c>
      <c r="W8726" s="19">
        <f>IF($I8726="","",IF(ISNUMBER($I8726),TEXT($I8726,"0"),$I8726))</f>
        <v/>
      </c>
    </row>
    <row r="8727">
      <c r="B8727" s="25" t="n"/>
      <c r="I8727" s="25" t="n"/>
      <c r="U8727" s="19">
        <f>IF($V8727&lt;&gt;'設定'!$C$4,N(U8726),IF(OR(NOT(COUNTIF('商品マスタ'!$B$6:$B$1005,$W8727)=0),COUNTIFS('①在庫を貼る'!$V$6:$V$10005,$V8727,'①在庫を貼る'!$W$6:$W$10005,$W8727)&gt;0),N(U8726),N(U8726)+1))</f>
        <v/>
      </c>
      <c r="V8727" s="19">
        <f>IF($B8727="","",TEXT($B8727,"0000"))</f>
        <v/>
      </c>
      <c r="W8727" s="19">
        <f>IF($I8727="","",IF(ISNUMBER($I8727),TEXT($I8727,"0"),$I8727))</f>
        <v/>
      </c>
    </row>
    <row r="8728">
      <c r="B8728" s="25" t="n"/>
      <c r="I8728" s="25" t="n"/>
      <c r="U8728" s="19">
        <f>IF($V8728&lt;&gt;'設定'!$C$4,N(U8727),IF(OR(NOT(COUNTIF('商品マスタ'!$B$6:$B$1005,$W8728)=0),COUNTIFS('①在庫を貼る'!$V$6:$V$10005,$V8728,'①在庫を貼る'!$W$6:$W$10005,$W8728)&gt;0),N(U8727),N(U8727)+1))</f>
        <v/>
      </c>
      <c r="V8728" s="19">
        <f>IF($B8728="","",TEXT($B8728,"0000"))</f>
        <v/>
      </c>
      <c r="W8728" s="19">
        <f>IF($I8728="","",IF(ISNUMBER($I8728),TEXT($I8728,"0"),$I8728))</f>
        <v/>
      </c>
    </row>
    <row r="8729">
      <c r="B8729" s="25" t="n"/>
      <c r="I8729" s="25" t="n"/>
      <c r="U8729" s="19">
        <f>IF($V8729&lt;&gt;'設定'!$C$4,N(U8728),IF(OR(NOT(COUNTIF('商品マスタ'!$B$6:$B$1005,$W8729)=0),COUNTIFS('①在庫を貼る'!$V$6:$V$10005,$V8729,'①在庫を貼る'!$W$6:$W$10005,$W8729)&gt;0),N(U8728),N(U8728)+1))</f>
        <v/>
      </c>
      <c r="V8729" s="19">
        <f>IF($B8729="","",TEXT($B8729,"0000"))</f>
        <v/>
      </c>
      <c r="W8729" s="19">
        <f>IF($I8729="","",IF(ISNUMBER($I8729),TEXT($I8729,"0"),$I8729))</f>
        <v/>
      </c>
    </row>
    <row r="8730">
      <c r="B8730" s="25" t="n"/>
      <c r="I8730" s="25" t="n"/>
      <c r="U8730" s="19">
        <f>IF($V8730&lt;&gt;'設定'!$C$4,N(U8729),IF(OR(NOT(COUNTIF('商品マスタ'!$B$6:$B$1005,$W8730)=0),COUNTIFS('①在庫を貼る'!$V$6:$V$10005,$V8730,'①在庫を貼る'!$W$6:$W$10005,$W8730)&gt;0),N(U8729),N(U8729)+1))</f>
        <v/>
      </c>
      <c r="V8730" s="19">
        <f>IF($B8730="","",TEXT($B8730,"0000"))</f>
        <v/>
      </c>
      <c r="W8730" s="19">
        <f>IF($I8730="","",IF(ISNUMBER($I8730),TEXT($I8730,"0"),$I8730))</f>
        <v/>
      </c>
    </row>
    <row r="8731">
      <c r="B8731" s="25" t="n"/>
      <c r="I8731" s="25" t="n"/>
      <c r="U8731" s="19">
        <f>IF($V8731&lt;&gt;'設定'!$C$4,N(U8730),IF(OR(NOT(COUNTIF('商品マスタ'!$B$6:$B$1005,$W8731)=0),COUNTIFS('①在庫を貼る'!$V$6:$V$10005,$V8731,'①在庫を貼る'!$W$6:$W$10005,$W8731)&gt;0),N(U8730),N(U8730)+1))</f>
        <v/>
      </c>
      <c r="V8731" s="19">
        <f>IF($B8731="","",TEXT($B8731,"0000"))</f>
        <v/>
      </c>
      <c r="W8731" s="19">
        <f>IF($I8731="","",IF(ISNUMBER($I8731),TEXT($I8731,"0"),$I8731))</f>
        <v/>
      </c>
    </row>
    <row r="8732">
      <c r="B8732" s="25" t="n"/>
      <c r="I8732" s="25" t="n"/>
      <c r="U8732" s="19">
        <f>IF($V8732&lt;&gt;'設定'!$C$4,N(U8731),IF(OR(NOT(COUNTIF('商品マスタ'!$B$6:$B$1005,$W8732)=0),COUNTIFS('①在庫を貼る'!$V$6:$V$10005,$V8732,'①在庫を貼る'!$W$6:$W$10005,$W8732)&gt;0),N(U8731),N(U8731)+1))</f>
        <v/>
      </c>
      <c r="V8732" s="19">
        <f>IF($B8732="","",TEXT($B8732,"0000"))</f>
        <v/>
      </c>
      <c r="W8732" s="19">
        <f>IF($I8732="","",IF(ISNUMBER($I8732),TEXT($I8732,"0"),$I8732))</f>
        <v/>
      </c>
    </row>
    <row r="8733">
      <c r="B8733" s="25" t="n"/>
      <c r="I8733" s="25" t="n"/>
      <c r="U8733" s="19">
        <f>IF($V8733&lt;&gt;'設定'!$C$4,N(U8732),IF(OR(NOT(COUNTIF('商品マスタ'!$B$6:$B$1005,$W8733)=0),COUNTIFS('①在庫を貼る'!$V$6:$V$10005,$V8733,'①在庫を貼る'!$W$6:$W$10005,$W8733)&gt;0),N(U8732),N(U8732)+1))</f>
        <v/>
      </c>
      <c r="V8733" s="19">
        <f>IF($B8733="","",TEXT($B8733,"0000"))</f>
        <v/>
      </c>
      <c r="W8733" s="19">
        <f>IF($I8733="","",IF(ISNUMBER($I8733),TEXT($I8733,"0"),$I8733))</f>
        <v/>
      </c>
    </row>
    <row r="8734">
      <c r="B8734" s="25" t="n"/>
      <c r="I8734" s="25" t="n"/>
      <c r="U8734" s="19">
        <f>IF($V8734&lt;&gt;'設定'!$C$4,N(U8733),IF(OR(NOT(COUNTIF('商品マスタ'!$B$6:$B$1005,$W8734)=0),COUNTIFS('①在庫を貼る'!$V$6:$V$10005,$V8734,'①在庫を貼る'!$W$6:$W$10005,$W8734)&gt;0),N(U8733),N(U8733)+1))</f>
        <v/>
      </c>
      <c r="V8734" s="19">
        <f>IF($B8734="","",TEXT($B8734,"0000"))</f>
        <v/>
      </c>
      <c r="W8734" s="19">
        <f>IF($I8734="","",IF(ISNUMBER($I8734),TEXT($I8734,"0"),$I8734))</f>
        <v/>
      </c>
    </row>
    <row r="8735">
      <c r="B8735" s="25" t="n"/>
      <c r="I8735" s="25" t="n"/>
      <c r="U8735" s="19">
        <f>IF($V8735&lt;&gt;'設定'!$C$4,N(U8734),IF(OR(NOT(COUNTIF('商品マスタ'!$B$6:$B$1005,$W8735)=0),COUNTIFS('①在庫を貼る'!$V$6:$V$10005,$V8735,'①在庫を貼る'!$W$6:$W$10005,$W8735)&gt;0),N(U8734),N(U8734)+1))</f>
        <v/>
      </c>
      <c r="V8735" s="19">
        <f>IF($B8735="","",TEXT($B8735,"0000"))</f>
        <v/>
      </c>
      <c r="W8735" s="19">
        <f>IF($I8735="","",IF(ISNUMBER($I8735),TEXT($I8735,"0"),$I8735))</f>
        <v/>
      </c>
    </row>
    <row r="8736">
      <c r="B8736" s="25" t="n"/>
      <c r="I8736" s="25" t="n"/>
      <c r="U8736" s="19">
        <f>IF($V8736&lt;&gt;'設定'!$C$4,N(U8735),IF(OR(NOT(COUNTIF('商品マスタ'!$B$6:$B$1005,$W8736)=0),COUNTIFS('①在庫を貼る'!$V$6:$V$10005,$V8736,'①在庫を貼る'!$W$6:$W$10005,$W8736)&gt;0),N(U8735),N(U8735)+1))</f>
        <v/>
      </c>
      <c r="V8736" s="19">
        <f>IF($B8736="","",TEXT($B8736,"0000"))</f>
        <v/>
      </c>
      <c r="W8736" s="19">
        <f>IF($I8736="","",IF(ISNUMBER($I8736),TEXT($I8736,"0"),$I8736))</f>
        <v/>
      </c>
    </row>
    <row r="8737">
      <c r="B8737" s="25" t="n"/>
      <c r="I8737" s="25" t="n"/>
      <c r="U8737" s="19">
        <f>IF($V8737&lt;&gt;'設定'!$C$4,N(U8736),IF(OR(NOT(COUNTIF('商品マスタ'!$B$6:$B$1005,$W8737)=0),COUNTIFS('①在庫を貼る'!$V$6:$V$10005,$V8737,'①在庫を貼る'!$W$6:$W$10005,$W8737)&gt;0),N(U8736),N(U8736)+1))</f>
        <v/>
      </c>
      <c r="V8737" s="19">
        <f>IF($B8737="","",TEXT($B8737,"0000"))</f>
        <v/>
      </c>
      <c r="W8737" s="19">
        <f>IF($I8737="","",IF(ISNUMBER($I8737),TEXT($I8737,"0"),$I8737))</f>
        <v/>
      </c>
    </row>
    <row r="8738">
      <c r="B8738" s="25" t="n"/>
      <c r="I8738" s="25" t="n"/>
      <c r="U8738" s="19">
        <f>IF($V8738&lt;&gt;'設定'!$C$4,N(U8737),IF(OR(NOT(COUNTIF('商品マスタ'!$B$6:$B$1005,$W8738)=0),COUNTIFS('①在庫を貼る'!$V$6:$V$10005,$V8738,'①在庫を貼る'!$W$6:$W$10005,$W8738)&gt;0),N(U8737),N(U8737)+1))</f>
        <v/>
      </c>
      <c r="V8738" s="19">
        <f>IF($B8738="","",TEXT($B8738,"0000"))</f>
        <v/>
      </c>
      <c r="W8738" s="19">
        <f>IF($I8738="","",IF(ISNUMBER($I8738),TEXT($I8738,"0"),$I8738))</f>
        <v/>
      </c>
    </row>
    <row r="8739">
      <c r="B8739" s="25" t="n"/>
      <c r="I8739" s="25" t="n"/>
      <c r="U8739" s="19">
        <f>IF($V8739&lt;&gt;'設定'!$C$4,N(U8738),IF(OR(NOT(COUNTIF('商品マスタ'!$B$6:$B$1005,$W8739)=0),COUNTIFS('①在庫を貼る'!$V$6:$V$10005,$V8739,'①在庫を貼る'!$W$6:$W$10005,$W8739)&gt;0),N(U8738),N(U8738)+1))</f>
        <v/>
      </c>
      <c r="V8739" s="19">
        <f>IF($B8739="","",TEXT($B8739,"0000"))</f>
        <v/>
      </c>
      <c r="W8739" s="19">
        <f>IF($I8739="","",IF(ISNUMBER($I8739),TEXT($I8739,"0"),$I8739))</f>
        <v/>
      </c>
    </row>
    <row r="8740">
      <c r="B8740" s="25" t="n"/>
      <c r="I8740" s="25" t="n"/>
      <c r="U8740" s="19">
        <f>IF($V8740&lt;&gt;'設定'!$C$4,N(U8739),IF(OR(NOT(COUNTIF('商品マスタ'!$B$6:$B$1005,$W8740)=0),COUNTIFS('①在庫を貼る'!$V$6:$V$10005,$V8740,'①在庫を貼る'!$W$6:$W$10005,$W8740)&gt;0),N(U8739),N(U8739)+1))</f>
        <v/>
      </c>
      <c r="V8740" s="19">
        <f>IF($B8740="","",TEXT($B8740,"0000"))</f>
        <v/>
      </c>
      <c r="W8740" s="19">
        <f>IF($I8740="","",IF(ISNUMBER($I8740),TEXT($I8740,"0"),$I8740))</f>
        <v/>
      </c>
    </row>
    <row r="8741">
      <c r="B8741" s="25" t="n"/>
      <c r="I8741" s="25" t="n"/>
      <c r="U8741" s="19">
        <f>IF($V8741&lt;&gt;'設定'!$C$4,N(U8740),IF(OR(NOT(COUNTIF('商品マスタ'!$B$6:$B$1005,$W8741)=0),COUNTIFS('①在庫を貼る'!$V$6:$V$10005,$V8741,'①在庫を貼る'!$W$6:$W$10005,$W8741)&gt;0),N(U8740),N(U8740)+1))</f>
        <v/>
      </c>
      <c r="V8741" s="19">
        <f>IF($B8741="","",TEXT($B8741,"0000"))</f>
        <v/>
      </c>
      <c r="W8741" s="19">
        <f>IF($I8741="","",IF(ISNUMBER($I8741),TEXT($I8741,"0"),$I8741))</f>
        <v/>
      </c>
    </row>
    <row r="8742">
      <c r="B8742" s="25" t="n"/>
      <c r="I8742" s="25" t="n"/>
      <c r="U8742" s="19">
        <f>IF($V8742&lt;&gt;'設定'!$C$4,N(U8741),IF(OR(NOT(COUNTIF('商品マスタ'!$B$6:$B$1005,$W8742)=0),COUNTIFS('①在庫を貼る'!$V$6:$V$10005,$V8742,'①在庫を貼る'!$W$6:$W$10005,$W8742)&gt;0),N(U8741),N(U8741)+1))</f>
        <v/>
      </c>
      <c r="V8742" s="19">
        <f>IF($B8742="","",TEXT($B8742,"0000"))</f>
        <v/>
      </c>
      <c r="W8742" s="19">
        <f>IF($I8742="","",IF(ISNUMBER($I8742),TEXT($I8742,"0"),$I8742))</f>
        <v/>
      </c>
    </row>
    <row r="8743">
      <c r="B8743" s="25" t="n"/>
      <c r="I8743" s="25" t="n"/>
      <c r="U8743" s="19">
        <f>IF($V8743&lt;&gt;'設定'!$C$4,N(U8742),IF(OR(NOT(COUNTIF('商品マスタ'!$B$6:$B$1005,$W8743)=0),COUNTIFS('①在庫を貼る'!$V$6:$V$10005,$V8743,'①在庫を貼る'!$W$6:$W$10005,$W8743)&gt;0),N(U8742),N(U8742)+1))</f>
        <v/>
      </c>
      <c r="V8743" s="19">
        <f>IF($B8743="","",TEXT($B8743,"0000"))</f>
        <v/>
      </c>
      <c r="W8743" s="19">
        <f>IF($I8743="","",IF(ISNUMBER($I8743),TEXT($I8743,"0"),$I8743))</f>
        <v/>
      </c>
    </row>
    <row r="8744">
      <c r="B8744" s="25" t="n"/>
      <c r="I8744" s="25" t="n"/>
      <c r="U8744" s="19">
        <f>IF($V8744&lt;&gt;'設定'!$C$4,N(U8743),IF(OR(NOT(COUNTIF('商品マスタ'!$B$6:$B$1005,$W8744)=0),COUNTIFS('①在庫を貼る'!$V$6:$V$10005,$V8744,'①在庫を貼る'!$W$6:$W$10005,$W8744)&gt;0),N(U8743),N(U8743)+1))</f>
        <v/>
      </c>
      <c r="V8744" s="19">
        <f>IF($B8744="","",TEXT($B8744,"0000"))</f>
        <v/>
      </c>
      <c r="W8744" s="19">
        <f>IF($I8744="","",IF(ISNUMBER($I8744),TEXT($I8744,"0"),$I8744))</f>
        <v/>
      </c>
    </row>
    <row r="8745">
      <c r="B8745" s="25" t="n"/>
      <c r="I8745" s="25" t="n"/>
      <c r="U8745" s="19">
        <f>IF($V8745&lt;&gt;'設定'!$C$4,N(U8744),IF(OR(NOT(COUNTIF('商品マスタ'!$B$6:$B$1005,$W8745)=0),COUNTIFS('①在庫を貼る'!$V$6:$V$10005,$V8745,'①在庫を貼る'!$W$6:$W$10005,$W8745)&gt;0),N(U8744),N(U8744)+1))</f>
        <v/>
      </c>
      <c r="V8745" s="19">
        <f>IF($B8745="","",TEXT($B8745,"0000"))</f>
        <v/>
      </c>
      <c r="W8745" s="19">
        <f>IF($I8745="","",IF(ISNUMBER($I8745),TEXT($I8745,"0"),$I8745))</f>
        <v/>
      </c>
    </row>
    <row r="8746">
      <c r="B8746" s="25" t="n"/>
      <c r="I8746" s="25" t="n"/>
      <c r="U8746" s="19">
        <f>IF($V8746&lt;&gt;'設定'!$C$4,N(U8745),IF(OR(NOT(COUNTIF('商品マスタ'!$B$6:$B$1005,$W8746)=0),COUNTIFS('①在庫を貼る'!$V$6:$V$10005,$V8746,'①在庫を貼る'!$W$6:$W$10005,$W8746)&gt;0),N(U8745),N(U8745)+1))</f>
        <v/>
      </c>
      <c r="V8746" s="19">
        <f>IF($B8746="","",TEXT($B8746,"0000"))</f>
        <v/>
      </c>
      <c r="W8746" s="19">
        <f>IF($I8746="","",IF(ISNUMBER($I8746),TEXT($I8746,"0"),$I8746))</f>
        <v/>
      </c>
    </row>
    <row r="8747">
      <c r="B8747" s="25" t="n"/>
      <c r="I8747" s="25" t="n"/>
      <c r="U8747" s="19">
        <f>IF($V8747&lt;&gt;'設定'!$C$4,N(U8746),IF(OR(NOT(COUNTIF('商品マスタ'!$B$6:$B$1005,$W8747)=0),COUNTIFS('①在庫を貼る'!$V$6:$V$10005,$V8747,'①在庫を貼る'!$W$6:$W$10005,$W8747)&gt;0),N(U8746),N(U8746)+1))</f>
        <v/>
      </c>
      <c r="V8747" s="19">
        <f>IF($B8747="","",TEXT($B8747,"0000"))</f>
        <v/>
      </c>
      <c r="W8747" s="19">
        <f>IF($I8747="","",IF(ISNUMBER($I8747),TEXT($I8747,"0"),$I8747))</f>
        <v/>
      </c>
    </row>
    <row r="8748">
      <c r="B8748" s="25" t="n"/>
      <c r="I8748" s="25" t="n"/>
      <c r="U8748" s="19">
        <f>IF($V8748&lt;&gt;'設定'!$C$4,N(U8747),IF(OR(NOT(COUNTIF('商品マスタ'!$B$6:$B$1005,$W8748)=0),COUNTIFS('①在庫を貼る'!$V$6:$V$10005,$V8748,'①在庫を貼る'!$W$6:$W$10005,$W8748)&gt;0),N(U8747),N(U8747)+1))</f>
        <v/>
      </c>
      <c r="V8748" s="19">
        <f>IF($B8748="","",TEXT($B8748,"0000"))</f>
        <v/>
      </c>
      <c r="W8748" s="19">
        <f>IF($I8748="","",IF(ISNUMBER($I8748),TEXT($I8748,"0"),$I8748))</f>
        <v/>
      </c>
    </row>
    <row r="8749">
      <c r="B8749" s="25" t="n"/>
      <c r="I8749" s="25" t="n"/>
      <c r="U8749" s="19">
        <f>IF($V8749&lt;&gt;'設定'!$C$4,N(U8748),IF(OR(NOT(COUNTIF('商品マスタ'!$B$6:$B$1005,$W8749)=0),COUNTIFS('①在庫を貼る'!$V$6:$V$10005,$V8749,'①在庫を貼る'!$W$6:$W$10005,$W8749)&gt;0),N(U8748),N(U8748)+1))</f>
        <v/>
      </c>
      <c r="V8749" s="19">
        <f>IF($B8749="","",TEXT($B8749,"0000"))</f>
        <v/>
      </c>
      <c r="W8749" s="19">
        <f>IF($I8749="","",IF(ISNUMBER($I8749),TEXT($I8749,"0"),$I8749))</f>
        <v/>
      </c>
    </row>
    <row r="8750">
      <c r="B8750" s="25" t="n"/>
      <c r="I8750" s="25" t="n"/>
      <c r="U8750" s="19">
        <f>IF($V8750&lt;&gt;'設定'!$C$4,N(U8749),IF(OR(NOT(COUNTIF('商品マスタ'!$B$6:$B$1005,$W8750)=0),COUNTIFS('①在庫を貼る'!$V$6:$V$10005,$V8750,'①在庫を貼る'!$W$6:$W$10005,$W8750)&gt;0),N(U8749),N(U8749)+1))</f>
        <v/>
      </c>
      <c r="V8750" s="19">
        <f>IF($B8750="","",TEXT($B8750,"0000"))</f>
        <v/>
      </c>
      <c r="W8750" s="19">
        <f>IF($I8750="","",IF(ISNUMBER($I8750),TEXT($I8750,"0"),$I8750))</f>
        <v/>
      </c>
    </row>
    <row r="8751">
      <c r="B8751" s="25" t="n"/>
      <c r="I8751" s="25" t="n"/>
      <c r="U8751" s="19">
        <f>IF($V8751&lt;&gt;'設定'!$C$4,N(U8750),IF(OR(NOT(COUNTIF('商品マスタ'!$B$6:$B$1005,$W8751)=0),COUNTIFS('①在庫を貼る'!$V$6:$V$10005,$V8751,'①在庫を貼る'!$W$6:$W$10005,$W8751)&gt;0),N(U8750),N(U8750)+1))</f>
        <v/>
      </c>
      <c r="V8751" s="19">
        <f>IF($B8751="","",TEXT($B8751,"0000"))</f>
        <v/>
      </c>
      <c r="W8751" s="19">
        <f>IF($I8751="","",IF(ISNUMBER($I8751),TEXT($I8751,"0"),$I8751))</f>
        <v/>
      </c>
    </row>
    <row r="8752">
      <c r="B8752" s="25" t="n"/>
      <c r="I8752" s="25" t="n"/>
      <c r="U8752" s="19">
        <f>IF($V8752&lt;&gt;'設定'!$C$4,N(U8751),IF(OR(NOT(COUNTIF('商品マスタ'!$B$6:$B$1005,$W8752)=0),COUNTIFS('①在庫を貼る'!$V$6:$V$10005,$V8752,'①在庫を貼る'!$W$6:$W$10005,$W8752)&gt;0),N(U8751),N(U8751)+1))</f>
        <v/>
      </c>
      <c r="V8752" s="19">
        <f>IF($B8752="","",TEXT($B8752,"0000"))</f>
        <v/>
      </c>
      <c r="W8752" s="19">
        <f>IF($I8752="","",IF(ISNUMBER($I8752),TEXT($I8752,"0"),$I8752))</f>
        <v/>
      </c>
    </row>
    <row r="8753">
      <c r="B8753" s="25" t="n"/>
      <c r="I8753" s="25" t="n"/>
      <c r="U8753" s="19">
        <f>IF($V8753&lt;&gt;'設定'!$C$4,N(U8752),IF(OR(NOT(COUNTIF('商品マスタ'!$B$6:$B$1005,$W8753)=0),COUNTIFS('①在庫を貼る'!$V$6:$V$10005,$V8753,'①在庫を貼る'!$W$6:$W$10005,$W8753)&gt;0),N(U8752),N(U8752)+1))</f>
        <v/>
      </c>
      <c r="V8753" s="19">
        <f>IF($B8753="","",TEXT($B8753,"0000"))</f>
        <v/>
      </c>
      <c r="W8753" s="19">
        <f>IF($I8753="","",IF(ISNUMBER($I8753),TEXT($I8753,"0"),$I8753))</f>
        <v/>
      </c>
    </row>
    <row r="8754">
      <c r="B8754" s="25" t="n"/>
      <c r="I8754" s="25" t="n"/>
      <c r="U8754" s="19">
        <f>IF($V8754&lt;&gt;'設定'!$C$4,N(U8753),IF(OR(NOT(COUNTIF('商品マスタ'!$B$6:$B$1005,$W8754)=0),COUNTIFS('①在庫を貼る'!$V$6:$V$10005,$V8754,'①在庫を貼る'!$W$6:$W$10005,$W8754)&gt;0),N(U8753),N(U8753)+1))</f>
        <v/>
      </c>
      <c r="V8754" s="19">
        <f>IF($B8754="","",TEXT($B8754,"0000"))</f>
        <v/>
      </c>
      <c r="W8754" s="19">
        <f>IF($I8754="","",IF(ISNUMBER($I8754),TEXT($I8754,"0"),$I8754))</f>
        <v/>
      </c>
    </row>
    <row r="8755">
      <c r="B8755" s="25" t="n"/>
      <c r="I8755" s="25" t="n"/>
      <c r="U8755" s="19">
        <f>IF($V8755&lt;&gt;'設定'!$C$4,N(U8754),IF(OR(NOT(COUNTIF('商品マスタ'!$B$6:$B$1005,$W8755)=0),COUNTIFS('①在庫を貼る'!$V$6:$V$10005,$V8755,'①在庫を貼る'!$W$6:$W$10005,$W8755)&gt;0),N(U8754),N(U8754)+1))</f>
        <v/>
      </c>
      <c r="V8755" s="19">
        <f>IF($B8755="","",TEXT($B8755,"0000"))</f>
        <v/>
      </c>
      <c r="W8755" s="19">
        <f>IF($I8755="","",IF(ISNUMBER($I8755),TEXT($I8755,"0"),$I8755))</f>
        <v/>
      </c>
    </row>
    <row r="8756">
      <c r="B8756" s="25" t="n"/>
      <c r="I8756" s="25" t="n"/>
      <c r="U8756" s="19">
        <f>IF($V8756&lt;&gt;'設定'!$C$4,N(U8755),IF(OR(NOT(COUNTIF('商品マスタ'!$B$6:$B$1005,$W8756)=0),COUNTIFS('①在庫を貼る'!$V$6:$V$10005,$V8756,'①在庫を貼る'!$W$6:$W$10005,$W8756)&gt;0),N(U8755),N(U8755)+1))</f>
        <v/>
      </c>
      <c r="V8756" s="19">
        <f>IF($B8756="","",TEXT($B8756,"0000"))</f>
        <v/>
      </c>
      <c r="W8756" s="19">
        <f>IF($I8756="","",IF(ISNUMBER($I8756),TEXT($I8756,"0"),$I8756))</f>
        <v/>
      </c>
    </row>
    <row r="8757">
      <c r="B8757" s="25" t="n"/>
      <c r="I8757" s="25" t="n"/>
      <c r="U8757" s="19">
        <f>IF($V8757&lt;&gt;'設定'!$C$4,N(U8756),IF(OR(NOT(COUNTIF('商品マスタ'!$B$6:$B$1005,$W8757)=0),COUNTIFS('①在庫を貼る'!$V$6:$V$10005,$V8757,'①在庫を貼る'!$W$6:$W$10005,$W8757)&gt;0),N(U8756),N(U8756)+1))</f>
        <v/>
      </c>
      <c r="V8757" s="19">
        <f>IF($B8757="","",TEXT($B8757,"0000"))</f>
        <v/>
      </c>
      <c r="W8757" s="19">
        <f>IF($I8757="","",IF(ISNUMBER($I8757),TEXT($I8757,"0"),$I8757))</f>
        <v/>
      </c>
    </row>
    <row r="8758">
      <c r="B8758" s="25" t="n"/>
      <c r="I8758" s="25" t="n"/>
      <c r="U8758" s="19">
        <f>IF($V8758&lt;&gt;'設定'!$C$4,N(U8757),IF(OR(NOT(COUNTIF('商品マスタ'!$B$6:$B$1005,$W8758)=0),COUNTIFS('①在庫を貼る'!$V$6:$V$10005,$V8758,'①在庫を貼る'!$W$6:$W$10005,$W8758)&gt;0),N(U8757),N(U8757)+1))</f>
        <v/>
      </c>
      <c r="V8758" s="19">
        <f>IF($B8758="","",TEXT($B8758,"0000"))</f>
        <v/>
      </c>
      <c r="W8758" s="19">
        <f>IF($I8758="","",IF(ISNUMBER($I8758),TEXT($I8758,"0"),$I8758))</f>
        <v/>
      </c>
    </row>
    <row r="8759">
      <c r="B8759" s="25" t="n"/>
      <c r="I8759" s="25" t="n"/>
      <c r="U8759" s="19">
        <f>IF($V8759&lt;&gt;'設定'!$C$4,N(U8758),IF(OR(NOT(COUNTIF('商品マスタ'!$B$6:$B$1005,$W8759)=0),COUNTIFS('①在庫を貼る'!$V$6:$V$10005,$V8759,'①在庫を貼る'!$W$6:$W$10005,$W8759)&gt;0),N(U8758),N(U8758)+1))</f>
        <v/>
      </c>
      <c r="V8759" s="19">
        <f>IF($B8759="","",TEXT($B8759,"0000"))</f>
        <v/>
      </c>
      <c r="W8759" s="19">
        <f>IF($I8759="","",IF(ISNUMBER($I8759),TEXT($I8759,"0"),$I8759))</f>
        <v/>
      </c>
    </row>
    <row r="8760">
      <c r="B8760" s="25" t="n"/>
      <c r="I8760" s="25" t="n"/>
      <c r="U8760" s="19">
        <f>IF($V8760&lt;&gt;'設定'!$C$4,N(U8759),IF(OR(NOT(COUNTIF('商品マスタ'!$B$6:$B$1005,$W8760)=0),COUNTIFS('①在庫を貼る'!$V$6:$V$10005,$V8760,'①在庫を貼る'!$W$6:$W$10005,$W8760)&gt;0),N(U8759),N(U8759)+1))</f>
        <v/>
      </c>
      <c r="V8760" s="19">
        <f>IF($B8760="","",TEXT($B8760,"0000"))</f>
        <v/>
      </c>
      <c r="W8760" s="19">
        <f>IF($I8760="","",IF(ISNUMBER($I8760),TEXT($I8760,"0"),$I8760))</f>
        <v/>
      </c>
    </row>
    <row r="8761">
      <c r="B8761" s="25" t="n"/>
      <c r="I8761" s="25" t="n"/>
      <c r="U8761" s="19">
        <f>IF($V8761&lt;&gt;'設定'!$C$4,N(U8760),IF(OR(NOT(COUNTIF('商品マスタ'!$B$6:$B$1005,$W8761)=0),COUNTIFS('①在庫を貼る'!$V$6:$V$10005,$V8761,'①在庫を貼る'!$W$6:$W$10005,$W8761)&gt;0),N(U8760),N(U8760)+1))</f>
        <v/>
      </c>
      <c r="V8761" s="19">
        <f>IF($B8761="","",TEXT($B8761,"0000"))</f>
        <v/>
      </c>
      <c r="W8761" s="19">
        <f>IF($I8761="","",IF(ISNUMBER($I8761),TEXT($I8761,"0"),$I8761))</f>
        <v/>
      </c>
    </row>
    <row r="8762">
      <c r="B8762" s="25" t="n"/>
      <c r="I8762" s="25" t="n"/>
      <c r="U8762" s="19">
        <f>IF($V8762&lt;&gt;'設定'!$C$4,N(U8761),IF(OR(NOT(COUNTIF('商品マスタ'!$B$6:$B$1005,$W8762)=0),COUNTIFS('①在庫を貼る'!$V$6:$V$10005,$V8762,'①在庫を貼る'!$W$6:$W$10005,$W8762)&gt;0),N(U8761),N(U8761)+1))</f>
        <v/>
      </c>
      <c r="V8762" s="19">
        <f>IF($B8762="","",TEXT($B8762,"0000"))</f>
        <v/>
      </c>
      <c r="W8762" s="19">
        <f>IF($I8762="","",IF(ISNUMBER($I8762),TEXT($I8762,"0"),$I8762))</f>
        <v/>
      </c>
    </row>
    <row r="8763">
      <c r="B8763" s="25" t="n"/>
      <c r="I8763" s="25" t="n"/>
      <c r="U8763" s="19">
        <f>IF($V8763&lt;&gt;'設定'!$C$4,N(U8762),IF(OR(NOT(COUNTIF('商品マスタ'!$B$6:$B$1005,$W8763)=0),COUNTIFS('①在庫を貼る'!$V$6:$V$10005,$V8763,'①在庫を貼る'!$W$6:$W$10005,$W8763)&gt;0),N(U8762),N(U8762)+1))</f>
        <v/>
      </c>
      <c r="V8763" s="19">
        <f>IF($B8763="","",TEXT($B8763,"0000"))</f>
        <v/>
      </c>
      <c r="W8763" s="19">
        <f>IF($I8763="","",IF(ISNUMBER($I8763),TEXT($I8763,"0"),$I8763))</f>
        <v/>
      </c>
    </row>
    <row r="8764">
      <c r="B8764" s="25" t="n"/>
      <c r="I8764" s="25" t="n"/>
      <c r="U8764" s="19">
        <f>IF($V8764&lt;&gt;'設定'!$C$4,N(U8763),IF(OR(NOT(COUNTIF('商品マスタ'!$B$6:$B$1005,$W8764)=0),COUNTIFS('①在庫を貼る'!$V$6:$V$10005,$V8764,'①在庫を貼る'!$W$6:$W$10005,$W8764)&gt;0),N(U8763),N(U8763)+1))</f>
        <v/>
      </c>
      <c r="V8764" s="19">
        <f>IF($B8764="","",TEXT($B8764,"0000"))</f>
        <v/>
      </c>
      <c r="W8764" s="19">
        <f>IF($I8764="","",IF(ISNUMBER($I8764),TEXT($I8764,"0"),$I8764))</f>
        <v/>
      </c>
    </row>
    <row r="8765">
      <c r="B8765" s="25" t="n"/>
      <c r="I8765" s="25" t="n"/>
      <c r="U8765" s="19">
        <f>IF($V8765&lt;&gt;'設定'!$C$4,N(U8764),IF(OR(NOT(COUNTIF('商品マスタ'!$B$6:$B$1005,$W8765)=0),COUNTIFS('①在庫を貼る'!$V$6:$V$10005,$V8765,'①在庫を貼る'!$W$6:$W$10005,$W8765)&gt;0),N(U8764),N(U8764)+1))</f>
        <v/>
      </c>
      <c r="V8765" s="19">
        <f>IF($B8765="","",TEXT($B8765,"0000"))</f>
        <v/>
      </c>
      <c r="W8765" s="19">
        <f>IF($I8765="","",IF(ISNUMBER($I8765),TEXT($I8765,"0"),$I8765))</f>
        <v/>
      </c>
    </row>
    <row r="8766">
      <c r="B8766" s="25" t="n"/>
      <c r="I8766" s="25" t="n"/>
      <c r="U8766" s="19">
        <f>IF($V8766&lt;&gt;'設定'!$C$4,N(U8765),IF(OR(NOT(COUNTIF('商品マスタ'!$B$6:$B$1005,$W8766)=0),COUNTIFS('①在庫を貼る'!$V$6:$V$10005,$V8766,'①在庫を貼る'!$W$6:$W$10005,$W8766)&gt;0),N(U8765),N(U8765)+1))</f>
        <v/>
      </c>
      <c r="V8766" s="19">
        <f>IF($B8766="","",TEXT($B8766,"0000"))</f>
        <v/>
      </c>
      <c r="W8766" s="19">
        <f>IF($I8766="","",IF(ISNUMBER($I8766),TEXT($I8766,"0"),$I8766))</f>
        <v/>
      </c>
    </row>
    <row r="8767">
      <c r="B8767" s="25" t="n"/>
      <c r="I8767" s="25" t="n"/>
      <c r="U8767" s="19">
        <f>IF($V8767&lt;&gt;'設定'!$C$4,N(U8766),IF(OR(NOT(COUNTIF('商品マスタ'!$B$6:$B$1005,$W8767)=0),COUNTIFS('①在庫を貼る'!$V$6:$V$10005,$V8767,'①在庫を貼る'!$W$6:$W$10005,$W8767)&gt;0),N(U8766),N(U8766)+1))</f>
        <v/>
      </c>
      <c r="V8767" s="19">
        <f>IF($B8767="","",TEXT($B8767,"0000"))</f>
        <v/>
      </c>
      <c r="W8767" s="19">
        <f>IF($I8767="","",IF(ISNUMBER($I8767),TEXT($I8767,"0"),$I8767))</f>
        <v/>
      </c>
    </row>
    <row r="8768">
      <c r="B8768" s="25" t="n"/>
      <c r="I8768" s="25" t="n"/>
      <c r="U8768" s="19">
        <f>IF($V8768&lt;&gt;'設定'!$C$4,N(U8767),IF(OR(NOT(COUNTIF('商品マスタ'!$B$6:$B$1005,$W8768)=0),COUNTIFS('①在庫を貼る'!$V$6:$V$10005,$V8768,'①在庫を貼る'!$W$6:$W$10005,$W8768)&gt;0),N(U8767),N(U8767)+1))</f>
        <v/>
      </c>
      <c r="V8768" s="19">
        <f>IF($B8768="","",TEXT($B8768,"0000"))</f>
        <v/>
      </c>
      <c r="W8768" s="19">
        <f>IF($I8768="","",IF(ISNUMBER($I8768),TEXT($I8768,"0"),$I8768))</f>
        <v/>
      </c>
    </row>
    <row r="8769">
      <c r="B8769" s="25" t="n"/>
      <c r="I8769" s="25" t="n"/>
      <c r="U8769" s="19">
        <f>IF($V8769&lt;&gt;'設定'!$C$4,N(U8768),IF(OR(NOT(COUNTIF('商品マスタ'!$B$6:$B$1005,$W8769)=0),COUNTIFS('①在庫を貼る'!$V$6:$V$10005,$V8769,'①在庫を貼る'!$W$6:$W$10005,$W8769)&gt;0),N(U8768),N(U8768)+1))</f>
        <v/>
      </c>
      <c r="V8769" s="19">
        <f>IF($B8769="","",TEXT($B8769,"0000"))</f>
        <v/>
      </c>
      <c r="W8769" s="19">
        <f>IF($I8769="","",IF(ISNUMBER($I8769),TEXT($I8769,"0"),$I8769))</f>
        <v/>
      </c>
    </row>
    <row r="8770">
      <c r="B8770" s="25" t="n"/>
      <c r="I8770" s="25" t="n"/>
      <c r="U8770" s="19">
        <f>IF($V8770&lt;&gt;'設定'!$C$4,N(U8769),IF(OR(NOT(COUNTIF('商品マスタ'!$B$6:$B$1005,$W8770)=0),COUNTIFS('①在庫を貼る'!$V$6:$V$10005,$V8770,'①在庫を貼る'!$W$6:$W$10005,$W8770)&gt;0),N(U8769),N(U8769)+1))</f>
        <v/>
      </c>
      <c r="V8770" s="19">
        <f>IF($B8770="","",TEXT($B8770,"0000"))</f>
        <v/>
      </c>
      <c r="W8770" s="19">
        <f>IF($I8770="","",IF(ISNUMBER($I8770),TEXT($I8770,"0"),$I8770))</f>
        <v/>
      </c>
    </row>
    <row r="8771">
      <c r="B8771" s="25" t="n"/>
      <c r="I8771" s="25" t="n"/>
      <c r="U8771" s="19">
        <f>IF($V8771&lt;&gt;'設定'!$C$4,N(U8770),IF(OR(NOT(COUNTIF('商品マスタ'!$B$6:$B$1005,$W8771)=0),COUNTIFS('①在庫を貼る'!$V$6:$V$10005,$V8771,'①在庫を貼る'!$W$6:$W$10005,$W8771)&gt;0),N(U8770),N(U8770)+1))</f>
        <v/>
      </c>
      <c r="V8771" s="19">
        <f>IF($B8771="","",TEXT($B8771,"0000"))</f>
        <v/>
      </c>
      <c r="W8771" s="19">
        <f>IF($I8771="","",IF(ISNUMBER($I8771),TEXT($I8771,"0"),$I8771))</f>
        <v/>
      </c>
    </row>
    <row r="8772">
      <c r="B8772" s="25" t="n"/>
      <c r="I8772" s="25" t="n"/>
      <c r="U8772" s="19">
        <f>IF($V8772&lt;&gt;'設定'!$C$4,N(U8771),IF(OR(NOT(COUNTIF('商品マスタ'!$B$6:$B$1005,$W8772)=0),COUNTIFS('①在庫を貼る'!$V$6:$V$10005,$V8772,'①在庫を貼る'!$W$6:$W$10005,$W8772)&gt;0),N(U8771),N(U8771)+1))</f>
        <v/>
      </c>
      <c r="V8772" s="19">
        <f>IF($B8772="","",TEXT($B8772,"0000"))</f>
        <v/>
      </c>
      <c r="W8772" s="19">
        <f>IF($I8772="","",IF(ISNUMBER($I8772),TEXT($I8772,"0"),$I8772))</f>
        <v/>
      </c>
    </row>
    <row r="8773">
      <c r="B8773" s="25" t="n"/>
      <c r="I8773" s="25" t="n"/>
      <c r="U8773" s="19">
        <f>IF($V8773&lt;&gt;'設定'!$C$4,N(U8772),IF(OR(NOT(COUNTIF('商品マスタ'!$B$6:$B$1005,$W8773)=0),COUNTIFS('①在庫を貼る'!$V$6:$V$10005,$V8773,'①在庫を貼る'!$W$6:$W$10005,$W8773)&gt;0),N(U8772),N(U8772)+1))</f>
        <v/>
      </c>
      <c r="V8773" s="19">
        <f>IF($B8773="","",TEXT($B8773,"0000"))</f>
        <v/>
      </c>
      <c r="W8773" s="19">
        <f>IF($I8773="","",IF(ISNUMBER($I8773),TEXT($I8773,"0"),$I8773))</f>
        <v/>
      </c>
    </row>
    <row r="8774">
      <c r="B8774" s="25" t="n"/>
      <c r="I8774" s="25" t="n"/>
      <c r="U8774" s="19">
        <f>IF($V8774&lt;&gt;'設定'!$C$4,N(U8773),IF(OR(NOT(COUNTIF('商品マスタ'!$B$6:$B$1005,$W8774)=0),COUNTIFS('①在庫を貼る'!$V$6:$V$10005,$V8774,'①在庫を貼る'!$W$6:$W$10005,$W8774)&gt;0),N(U8773),N(U8773)+1))</f>
        <v/>
      </c>
      <c r="V8774" s="19">
        <f>IF($B8774="","",TEXT($B8774,"0000"))</f>
        <v/>
      </c>
      <c r="W8774" s="19">
        <f>IF($I8774="","",IF(ISNUMBER($I8774),TEXT($I8774,"0"),$I8774))</f>
        <v/>
      </c>
    </row>
    <row r="8775">
      <c r="B8775" s="25" t="n"/>
      <c r="I8775" s="25" t="n"/>
      <c r="U8775" s="19">
        <f>IF($V8775&lt;&gt;'設定'!$C$4,N(U8774),IF(OR(NOT(COUNTIF('商品マスタ'!$B$6:$B$1005,$W8775)=0),COUNTIFS('①在庫を貼る'!$V$6:$V$10005,$V8775,'①在庫を貼る'!$W$6:$W$10005,$W8775)&gt;0),N(U8774),N(U8774)+1))</f>
        <v/>
      </c>
      <c r="V8775" s="19">
        <f>IF($B8775="","",TEXT($B8775,"0000"))</f>
        <v/>
      </c>
      <c r="W8775" s="19">
        <f>IF($I8775="","",IF(ISNUMBER($I8775),TEXT($I8775,"0"),$I8775))</f>
        <v/>
      </c>
    </row>
    <row r="8776">
      <c r="B8776" s="25" t="n"/>
      <c r="I8776" s="25" t="n"/>
      <c r="U8776" s="19">
        <f>IF($V8776&lt;&gt;'設定'!$C$4,N(U8775),IF(OR(NOT(COUNTIF('商品マスタ'!$B$6:$B$1005,$W8776)=0),COUNTIFS('①在庫を貼る'!$V$6:$V$10005,$V8776,'①在庫を貼る'!$W$6:$W$10005,$W8776)&gt;0),N(U8775),N(U8775)+1))</f>
        <v/>
      </c>
      <c r="V8776" s="19">
        <f>IF($B8776="","",TEXT($B8776,"0000"))</f>
        <v/>
      </c>
      <c r="W8776" s="19">
        <f>IF($I8776="","",IF(ISNUMBER($I8776),TEXT($I8776,"0"),$I8776))</f>
        <v/>
      </c>
    </row>
    <row r="8777">
      <c r="B8777" s="25" t="n"/>
      <c r="I8777" s="25" t="n"/>
      <c r="U8777" s="19">
        <f>IF($V8777&lt;&gt;'設定'!$C$4,N(U8776),IF(OR(NOT(COUNTIF('商品マスタ'!$B$6:$B$1005,$W8777)=0),COUNTIFS('①在庫を貼る'!$V$6:$V$10005,$V8777,'①在庫を貼る'!$W$6:$W$10005,$W8777)&gt;0),N(U8776),N(U8776)+1))</f>
        <v/>
      </c>
      <c r="V8777" s="19">
        <f>IF($B8777="","",TEXT($B8777,"0000"))</f>
        <v/>
      </c>
      <c r="W8777" s="19">
        <f>IF($I8777="","",IF(ISNUMBER($I8777),TEXT($I8777,"0"),$I8777))</f>
        <v/>
      </c>
    </row>
    <row r="8778">
      <c r="B8778" s="25" t="n"/>
      <c r="I8778" s="25" t="n"/>
      <c r="U8778" s="19">
        <f>IF($V8778&lt;&gt;'設定'!$C$4,N(U8777),IF(OR(NOT(COUNTIF('商品マスタ'!$B$6:$B$1005,$W8778)=0),COUNTIFS('①在庫を貼る'!$V$6:$V$10005,$V8778,'①在庫を貼る'!$W$6:$W$10005,$W8778)&gt;0),N(U8777),N(U8777)+1))</f>
        <v/>
      </c>
      <c r="V8778" s="19">
        <f>IF($B8778="","",TEXT($B8778,"0000"))</f>
        <v/>
      </c>
      <c r="W8778" s="19">
        <f>IF($I8778="","",IF(ISNUMBER($I8778),TEXT($I8778,"0"),$I8778))</f>
        <v/>
      </c>
    </row>
    <row r="8779">
      <c r="B8779" s="25" t="n"/>
      <c r="I8779" s="25" t="n"/>
      <c r="U8779" s="19">
        <f>IF($V8779&lt;&gt;'設定'!$C$4,N(U8778),IF(OR(NOT(COUNTIF('商品マスタ'!$B$6:$B$1005,$W8779)=0),COUNTIFS('①在庫を貼る'!$V$6:$V$10005,$V8779,'①在庫を貼る'!$W$6:$W$10005,$W8779)&gt;0),N(U8778),N(U8778)+1))</f>
        <v/>
      </c>
      <c r="V8779" s="19">
        <f>IF($B8779="","",TEXT($B8779,"0000"))</f>
        <v/>
      </c>
      <c r="W8779" s="19">
        <f>IF($I8779="","",IF(ISNUMBER($I8779),TEXT($I8779,"0"),$I8779))</f>
        <v/>
      </c>
    </row>
    <row r="8780">
      <c r="B8780" s="25" t="n"/>
      <c r="I8780" s="25" t="n"/>
      <c r="U8780" s="19">
        <f>IF($V8780&lt;&gt;'設定'!$C$4,N(U8779),IF(OR(NOT(COUNTIF('商品マスタ'!$B$6:$B$1005,$W8780)=0),COUNTIFS('①在庫を貼る'!$V$6:$V$10005,$V8780,'①在庫を貼る'!$W$6:$W$10005,$W8780)&gt;0),N(U8779),N(U8779)+1))</f>
        <v/>
      </c>
      <c r="V8780" s="19">
        <f>IF($B8780="","",TEXT($B8780,"0000"))</f>
        <v/>
      </c>
      <c r="W8780" s="19">
        <f>IF($I8780="","",IF(ISNUMBER($I8780),TEXT($I8780,"0"),$I8780))</f>
        <v/>
      </c>
    </row>
    <row r="8781">
      <c r="B8781" s="25" t="n"/>
      <c r="I8781" s="25" t="n"/>
      <c r="U8781" s="19">
        <f>IF($V8781&lt;&gt;'設定'!$C$4,N(U8780),IF(OR(NOT(COUNTIF('商品マスタ'!$B$6:$B$1005,$W8781)=0),COUNTIFS('①在庫を貼る'!$V$6:$V$10005,$V8781,'①在庫を貼る'!$W$6:$W$10005,$W8781)&gt;0),N(U8780),N(U8780)+1))</f>
        <v/>
      </c>
      <c r="V8781" s="19">
        <f>IF($B8781="","",TEXT($B8781,"0000"))</f>
        <v/>
      </c>
      <c r="W8781" s="19">
        <f>IF($I8781="","",IF(ISNUMBER($I8781),TEXT($I8781,"0"),$I8781))</f>
        <v/>
      </c>
    </row>
    <row r="8782">
      <c r="B8782" s="25" t="n"/>
      <c r="I8782" s="25" t="n"/>
      <c r="U8782" s="19">
        <f>IF($V8782&lt;&gt;'設定'!$C$4,N(U8781),IF(OR(NOT(COUNTIF('商品マスタ'!$B$6:$B$1005,$W8782)=0),COUNTIFS('①在庫を貼る'!$V$6:$V$10005,$V8782,'①在庫を貼る'!$W$6:$W$10005,$W8782)&gt;0),N(U8781),N(U8781)+1))</f>
        <v/>
      </c>
      <c r="V8782" s="19">
        <f>IF($B8782="","",TEXT($B8782,"0000"))</f>
        <v/>
      </c>
      <c r="W8782" s="19">
        <f>IF($I8782="","",IF(ISNUMBER($I8782),TEXT($I8782,"0"),$I8782))</f>
        <v/>
      </c>
    </row>
    <row r="8783">
      <c r="B8783" s="25" t="n"/>
      <c r="I8783" s="25" t="n"/>
      <c r="U8783" s="19">
        <f>IF($V8783&lt;&gt;'設定'!$C$4,N(U8782),IF(OR(NOT(COUNTIF('商品マスタ'!$B$6:$B$1005,$W8783)=0),COUNTIFS('①在庫を貼る'!$V$6:$V$10005,$V8783,'①在庫を貼る'!$W$6:$W$10005,$W8783)&gt;0),N(U8782),N(U8782)+1))</f>
        <v/>
      </c>
      <c r="V8783" s="19">
        <f>IF($B8783="","",TEXT($B8783,"0000"))</f>
        <v/>
      </c>
      <c r="W8783" s="19">
        <f>IF($I8783="","",IF(ISNUMBER($I8783),TEXT($I8783,"0"),$I8783))</f>
        <v/>
      </c>
    </row>
    <row r="8784">
      <c r="B8784" s="25" t="n"/>
      <c r="I8784" s="25" t="n"/>
      <c r="U8784" s="19">
        <f>IF($V8784&lt;&gt;'設定'!$C$4,N(U8783),IF(OR(NOT(COUNTIF('商品マスタ'!$B$6:$B$1005,$W8784)=0),COUNTIFS('①在庫を貼る'!$V$6:$V$10005,$V8784,'①在庫を貼る'!$W$6:$W$10005,$W8784)&gt;0),N(U8783),N(U8783)+1))</f>
        <v/>
      </c>
      <c r="V8784" s="19">
        <f>IF($B8784="","",TEXT($B8784,"0000"))</f>
        <v/>
      </c>
      <c r="W8784" s="19">
        <f>IF($I8784="","",IF(ISNUMBER($I8784),TEXT($I8784,"0"),$I8784))</f>
        <v/>
      </c>
    </row>
    <row r="8785">
      <c r="B8785" s="25" t="n"/>
      <c r="I8785" s="25" t="n"/>
      <c r="U8785" s="19">
        <f>IF($V8785&lt;&gt;'設定'!$C$4,N(U8784),IF(OR(NOT(COUNTIF('商品マスタ'!$B$6:$B$1005,$W8785)=0),COUNTIFS('①在庫を貼る'!$V$6:$V$10005,$V8785,'①在庫を貼る'!$W$6:$W$10005,$W8785)&gt;0),N(U8784),N(U8784)+1))</f>
        <v/>
      </c>
      <c r="V8785" s="19">
        <f>IF($B8785="","",TEXT($B8785,"0000"))</f>
        <v/>
      </c>
      <c r="W8785" s="19">
        <f>IF($I8785="","",IF(ISNUMBER($I8785),TEXT($I8785,"0"),$I8785))</f>
        <v/>
      </c>
    </row>
    <row r="8786">
      <c r="B8786" s="25" t="n"/>
      <c r="I8786" s="25" t="n"/>
      <c r="U8786" s="19">
        <f>IF($V8786&lt;&gt;'設定'!$C$4,N(U8785),IF(OR(NOT(COUNTIF('商品マスタ'!$B$6:$B$1005,$W8786)=0),COUNTIFS('①在庫を貼る'!$V$6:$V$10005,$V8786,'①在庫を貼る'!$W$6:$W$10005,$W8786)&gt;0),N(U8785),N(U8785)+1))</f>
        <v/>
      </c>
      <c r="V8786" s="19">
        <f>IF($B8786="","",TEXT($B8786,"0000"))</f>
        <v/>
      </c>
      <c r="W8786" s="19">
        <f>IF($I8786="","",IF(ISNUMBER($I8786),TEXT($I8786,"0"),$I8786))</f>
        <v/>
      </c>
    </row>
    <row r="8787">
      <c r="B8787" s="25" t="n"/>
      <c r="I8787" s="25" t="n"/>
      <c r="U8787" s="19">
        <f>IF($V8787&lt;&gt;'設定'!$C$4,N(U8786),IF(OR(NOT(COUNTIF('商品マスタ'!$B$6:$B$1005,$W8787)=0),COUNTIFS('①在庫を貼る'!$V$6:$V$10005,$V8787,'①在庫を貼る'!$W$6:$W$10005,$W8787)&gt;0),N(U8786),N(U8786)+1))</f>
        <v/>
      </c>
      <c r="V8787" s="19">
        <f>IF($B8787="","",TEXT($B8787,"0000"))</f>
        <v/>
      </c>
      <c r="W8787" s="19">
        <f>IF($I8787="","",IF(ISNUMBER($I8787),TEXT($I8787,"0"),$I8787))</f>
        <v/>
      </c>
    </row>
    <row r="8788">
      <c r="B8788" s="25" t="n"/>
      <c r="I8788" s="25" t="n"/>
      <c r="U8788" s="19">
        <f>IF($V8788&lt;&gt;'設定'!$C$4,N(U8787),IF(OR(NOT(COUNTIF('商品マスタ'!$B$6:$B$1005,$W8788)=0),COUNTIFS('①在庫を貼る'!$V$6:$V$10005,$V8788,'①在庫を貼る'!$W$6:$W$10005,$W8788)&gt;0),N(U8787),N(U8787)+1))</f>
        <v/>
      </c>
      <c r="V8788" s="19">
        <f>IF($B8788="","",TEXT($B8788,"0000"))</f>
        <v/>
      </c>
      <c r="W8788" s="19">
        <f>IF($I8788="","",IF(ISNUMBER($I8788),TEXT($I8788,"0"),$I8788))</f>
        <v/>
      </c>
    </row>
    <row r="8789">
      <c r="B8789" s="25" t="n"/>
      <c r="I8789" s="25" t="n"/>
      <c r="U8789" s="19">
        <f>IF($V8789&lt;&gt;'設定'!$C$4,N(U8788),IF(OR(NOT(COUNTIF('商品マスタ'!$B$6:$B$1005,$W8789)=0),COUNTIFS('①在庫を貼る'!$V$6:$V$10005,$V8789,'①在庫を貼る'!$W$6:$W$10005,$W8789)&gt;0),N(U8788),N(U8788)+1))</f>
        <v/>
      </c>
      <c r="V8789" s="19">
        <f>IF($B8789="","",TEXT($B8789,"0000"))</f>
        <v/>
      </c>
      <c r="W8789" s="19">
        <f>IF($I8789="","",IF(ISNUMBER($I8789),TEXT($I8789,"0"),$I8789))</f>
        <v/>
      </c>
    </row>
    <row r="8790">
      <c r="B8790" s="25" t="n"/>
      <c r="I8790" s="25" t="n"/>
      <c r="U8790" s="19">
        <f>IF($V8790&lt;&gt;'設定'!$C$4,N(U8789),IF(OR(NOT(COUNTIF('商品マスタ'!$B$6:$B$1005,$W8790)=0),COUNTIFS('①在庫を貼る'!$V$6:$V$10005,$V8790,'①在庫を貼る'!$W$6:$W$10005,$W8790)&gt;0),N(U8789),N(U8789)+1))</f>
        <v/>
      </c>
      <c r="V8790" s="19">
        <f>IF($B8790="","",TEXT($B8790,"0000"))</f>
        <v/>
      </c>
      <c r="W8790" s="19">
        <f>IF($I8790="","",IF(ISNUMBER($I8790),TEXT($I8790,"0"),$I8790))</f>
        <v/>
      </c>
    </row>
    <row r="8791">
      <c r="B8791" s="25" t="n"/>
      <c r="I8791" s="25" t="n"/>
      <c r="U8791" s="19">
        <f>IF($V8791&lt;&gt;'設定'!$C$4,N(U8790),IF(OR(NOT(COUNTIF('商品マスタ'!$B$6:$B$1005,$W8791)=0),COUNTIFS('①在庫を貼る'!$V$6:$V$10005,$V8791,'①在庫を貼る'!$W$6:$W$10005,$W8791)&gt;0),N(U8790),N(U8790)+1))</f>
        <v/>
      </c>
      <c r="V8791" s="19">
        <f>IF($B8791="","",TEXT($B8791,"0000"))</f>
        <v/>
      </c>
      <c r="W8791" s="19">
        <f>IF($I8791="","",IF(ISNUMBER($I8791),TEXT($I8791,"0"),$I8791))</f>
        <v/>
      </c>
    </row>
    <row r="8792">
      <c r="B8792" s="25" t="n"/>
      <c r="I8792" s="25" t="n"/>
      <c r="U8792" s="19">
        <f>IF($V8792&lt;&gt;'設定'!$C$4,N(U8791),IF(OR(NOT(COUNTIF('商品マスタ'!$B$6:$B$1005,$W8792)=0),COUNTIFS('①在庫を貼る'!$V$6:$V$10005,$V8792,'①在庫を貼る'!$W$6:$W$10005,$W8792)&gt;0),N(U8791),N(U8791)+1))</f>
        <v/>
      </c>
      <c r="V8792" s="19">
        <f>IF($B8792="","",TEXT($B8792,"0000"))</f>
        <v/>
      </c>
      <c r="W8792" s="19">
        <f>IF($I8792="","",IF(ISNUMBER($I8792),TEXT($I8792,"0"),$I8792))</f>
        <v/>
      </c>
    </row>
    <row r="8793">
      <c r="B8793" s="25" t="n"/>
      <c r="I8793" s="25" t="n"/>
      <c r="U8793" s="19">
        <f>IF($V8793&lt;&gt;'設定'!$C$4,N(U8792),IF(OR(NOT(COUNTIF('商品マスタ'!$B$6:$B$1005,$W8793)=0),COUNTIFS('①在庫を貼る'!$V$6:$V$10005,$V8793,'①在庫を貼る'!$W$6:$W$10005,$W8793)&gt;0),N(U8792),N(U8792)+1))</f>
        <v/>
      </c>
      <c r="V8793" s="19">
        <f>IF($B8793="","",TEXT($B8793,"0000"))</f>
        <v/>
      </c>
      <c r="W8793" s="19">
        <f>IF($I8793="","",IF(ISNUMBER($I8793),TEXT($I8793,"0"),$I8793))</f>
        <v/>
      </c>
    </row>
    <row r="8794">
      <c r="B8794" s="25" t="n"/>
      <c r="I8794" s="25" t="n"/>
      <c r="U8794" s="19">
        <f>IF($V8794&lt;&gt;'設定'!$C$4,N(U8793),IF(OR(NOT(COUNTIF('商品マスタ'!$B$6:$B$1005,$W8794)=0),COUNTIFS('①在庫を貼る'!$V$6:$V$10005,$V8794,'①在庫を貼る'!$W$6:$W$10005,$W8794)&gt;0),N(U8793),N(U8793)+1))</f>
        <v/>
      </c>
      <c r="V8794" s="19">
        <f>IF($B8794="","",TEXT($B8794,"0000"))</f>
        <v/>
      </c>
      <c r="W8794" s="19">
        <f>IF($I8794="","",IF(ISNUMBER($I8794),TEXT($I8794,"0"),$I8794))</f>
        <v/>
      </c>
    </row>
    <row r="8795">
      <c r="B8795" s="25" t="n"/>
      <c r="I8795" s="25" t="n"/>
      <c r="U8795" s="19">
        <f>IF($V8795&lt;&gt;'設定'!$C$4,N(U8794),IF(OR(NOT(COUNTIF('商品マスタ'!$B$6:$B$1005,$W8795)=0),COUNTIFS('①在庫を貼る'!$V$6:$V$10005,$V8795,'①在庫を貼る'!$W$6:$W$10005,$W8795)&gt;0),N(U8794),N(U8794)+1))</f>
        <v/>
      </c>
      <c r="V8795" s="19">
        <f>IF($B8795="","",TEXT($B8795,"0000"))</f>
        <v/>
      </c>
      <c r="W8795" s="19">
        <f>IF($I8795="","",IF(ISNUMBER($I8795),TEXT($I8795,"0"),$I8795))</f>
        <v/>
      </c>
    </row>
    <row r="8796">
      <c r="B8796" s="25" t="n"/>
      <c r="I8796" s="25" t="n"/>
      <c r="U8796" s="19">
        <f>IF($V8796&lt;&gt;'設定'!$C$4,N(U8795),IF(OR(NOT(COUNTIF('商品マスタ'!$B$6:$B$1005,$W8796)=0),COUNTIFS('①在庫を貼る'!$V$6:$V$10005,$V8796,'①在庫を貼る'!$W$6:$W$10005,$W8796)&gt;0),N(U8795),N(U8795)+1))</f>
        <v/>
      </c>
      <c r="V8796" s="19">
        <f>IF($B8796="","",TEXT($B8796,"0000"))</f>
        <v/>
      </c>
      <c r="W8796" s="19">
        <f>IF($I8796="","",IF(ISNUMBER($I8796),TEXT($I8796,"0"),$I8796))</f>
        <v/>
      </c>
    </row>
    <row r="8797">
      <c r="B8797" s="25" t="n"/>
      <c r="I8797" s="25" t="n"/>
      <c r="U8797" s="19">
        <f>IF($V8797&lt;&gt;'設定'!$C$4,N(U8796),IF(OR(NOT(COUNTIF('商品マスタ'!$B$6:$B$1005,$W8797)=0),COUNTIFS('①在庫を貼る'!$V$6:$V$10005,$V8797,'①在庫を貼る'!$W$6:$W$10005,$W8797)&gt;0),N(U8796),N(U8796)+1))</f>
        <v/>
      </c>
      <c r="V8797" s="19">
        <f>IF($B8797="","",TEXT($B8797,"0000"))</f>
        <v/>
      </c>
      <c r="W8797" s="19">
        <f>IF($I8797="","",IF(ISNUMBER($I8797),TEXT($I8797,"0"),$I8797))</f>
        <v/>
      </c>
    </row>
    <row r="8798">
      <c r="B8798" s="25" t="n"/>
      <c r="I8798" s="25" t="n"/>
      <c r="U8798" s="19">
        <f>IF($V8798&lt;&gt;'設定'!$C$4,N(U8797),IF(OR(NOT(COUNTIF('商品マスタ'!$B$6:$B$1005,$W8798)=0),COUNTIFS('①在庫を貼る'!$V$6:$V$10005,$V8798,'①在庫を貼る'!$W$6:$W$10005,$W8798)&gt;0),N(U8797),N(U8797)+1))</f>
        <v/>
      </c>
      <c r="V8798" s="19">
        <f>IF($B8798="","",TEXT($B8798,"0000"))</f>
        <v/>
      </c>
      <c r="W8798" s="19">
        <f>IF($I8798="","",IF(ISNUMBER($I8798),TEXT($I8798,"0"),$I8798))</f>
        <v/>
      </c>
    </row>
    <row r="8799">
      <c r="B8799" s="25" t="n"/>
      <c r="I8799" s="25" t="n"/>
      <c r="U8799" s="19">
        <f>IF($V8799&lt;&gt;'設定'!$C$4,N(U8798),IF(OR(NOT(COUNTIF('商品マスタ'!$B$6:$B$1005,$W8799)=0),COUNTIFS('①在庫を貼る'!$V$6:$V$10005,$V8799,'①在庫を貼る'!$W$6:$W$10005,$W8799)&gt;0),N(U8798),N(U8798)+1))</f>
        <v/>
      </c>
      <c r="V8799" s="19">
        <f>IF($B8799="","",TEXT($B8799,"0000"))</f>
        <v/>
      </c>
      <c r="W8799" s="19">
        <f>IF($I8799="","",IF(ISNUMBER($I8799),TEXT($I8799,"0"),$I8799))</f>
        <v/>
      </c>
    </row>
    <row r="8800">
      <c r="B8800" s="25" t="n"/>
      <c r="I8800" s="25" t="n"/>
      <c r="U8800" s="19">
        <f>IF($V8800&lt;&gt;'設定'!$C$4,N(U8799),IF(OR(NOT(COUNTIF('商品マスタ'!$B$6:$B$1005,$W8800)=0),COUNTIFS('①在庫を貼る'!$V$6:$V$10005,$V8800,'①在庫を貼る'!$W$6:$W$10005,$W8800)&gt;0),N(U8799),N(U8799)+1))</f>
        <v/>
      </c>
      <c r="V8800" s="19">
        <f>IF($B8800="","",TEXT($B8800,"0000"))</f>
        <v/>
      </c>
      <c r="W8800" s="19">
        <f>IF($I8800="","",IF(ISNUMBER($I8800),TEXT($I8800,"0"),$I8800))</f>
        <v/>
      </c>
    </row>
    <row r="8801">
      <c r="B8801" s="25" t="n"/>
      <c r="I8801" s="25" t="n"/>
      <c r="U8801" s="19">
        <f>IF($V8801&lt;&gt;'設定'!$C$4,N(U8800),IF(OR(NOT(COUNTIF('商品マスタ'!$B$6:$B$1005,$W8801)=0),COUNTIFS('①在庫を貼る'!$V$6:$V$10005,$V8801,'①在庫を貼る'!$W$6:$W$10005,$W8801)&gt;0),N(U8800),N(U8800)+1))</f>
        <v/>
      </c>
      <c r="V8801" s="19">
        <f>IF($B8801="","",TEXT($B8801,"0000"))</f>
        <v/>
      </c>
      <c r="W8801" s="19">
        <f>IF($I8801="","",IF(ISNUMBER($I8801),TEXT($I8801,"0"),$I8801))</f>
        <v/>
      </c>
    </row>
    <row r="8802">
      <c r="B8802" s="25" t="n"/>
      <c r="I8802" s="25" t="n"/>
      <c r="U8802" s="19">
        <f>IF($V8802&lt;&gt;'設定'!$C$4,N(U8801),IF(OR(NOT(COUNTIF('商品マスタ'!$B$6:$B$1005,$W8802)=0),COUNTIFS('①在庫を貼る'!$V$6:$V$10005,$V8802,'①在庫を貼る'!$W$6:$W$10005,$W8802)&gt;0),N(U8801),N(U8801)+1))</f>
        <v/>
      </c>
      <c r="V8802" s="19">
        <f>IF($B8802="","",TEXT($B8802,"0000"))</f>
        <v/>
      </c>
      <c r="W8802" s="19">
        <f>IF($I8802="","",IF(ISNUMBER($I8802),TEXT($I8802,"0"),$I8802))</f>
        <v/>
      </c>
    </row>
    <row r="8803">
      <c r="B8803" s="25" t="n"/>
      <c r="I8803" s="25" t="n"/>
      <c r="U8803" s="19">
        <f>IF($V8803&lt;&gt;'設定'!$C$4,N(U8802),IF(OR(NOT(COUNTIF('商品マスタ'!$B$6:$B$1005,$W8803)=0),COUNTIFS('①在庫を貼る'!$V$6:$V$10005,$V8803,'①在庫を貼る'!$W$6:$W$10005,$W8803)&gt;0),N(U8802),N(U8802)+1))</f>
        <v/>
      </c>
      <c r="V8803" s="19">
        <f>IF($B8803="","",TEXT($B8803,"0000"))</f>
        <v/>
      </c>
      <c r="W8803" s="19">
        <f>IF($I8803="","",IF(ISNUMBER($I8803),TEXT($I8803,"0"),$I8803))</f>
        <v/>
      </c>
    </row>
    <row r="8804">
      <c r="B8804" s="25" t="n"/>
      <c r="I8804" s="25" t="n"/>
      <c r="U8804" s="19">
        <f>IF($V8804&lt;&gt;'設定'!$C$4,N(U8803),IF(OR(NOT(COUNTIF('商品マスタ'!$B$6:$B$1005,$W8804)=0),COUNTIFS('①在庫を貼る'!$V$6:$V$10005,$V8804,'①在庫を貼る'!$W$6:$W$10005,$W8804)&gt;0),N(U8803),N(U8803)+1))</f>
        <v/>
      </c>
      <c r="V8804" s="19">
        <f>IF($B8804="","",TEXT($B8804,"0000"))</f>
        <v/>
      </c>
      <c r="W8804" s="19">
        <f>IF($I8804="","",IF(ISNUMBER($I8804),TEXT($I8804,"0"),$I8804))</f>
        <v/>
      </c>
    </row>
    <row r="8805">
      <c r="B8805" s="25" t="n"/>
      <c r="I8805" s="25" t="n"/>
      <c r="U8805" s="19">
        <f>IF($V8805&lt;&gt;'設定'!$C$4,N(U8804),IF(OR(NOT(COUNTIF('商品マスタ'!$B$6:$B$1005,$W8805)=0),COUNTIFS('①在庫を貼る'!$V$6:$V$10005,$V8805,'①在庫を貼る'!$W$6:$W$10005,$W8805)&gt;0),N(U8804),N(U8804)+1))</f>
        <v/>
      </c>
      <c r="V8805" s="19">
        <f>IF($B8805="","",TEXT($B8805,"0000"))</f>
        <v/>
      </c>
      <c r="W8805" s="19">
        <f>IF($I8805="","",IF(ISNUMBER($I8805),TEXT($I8805,"0"),$I8805))</f>
        <v/>
      </c>
    </row>
    <row r="8806">
      <c r="B8806" s="25" t="n"/>
      <c r="I8806" s="25" t="n"/>
      <c r="U8806" s="19">
        <f>IF($V8806&lt;&gt;'設定'!$C$4,N(U8805),IF(OR(NOT(COUNTIF('商品マスタ'!$B$6:$B$1005,$W8806)=0),COUNTIFS('①在庫を貼る'!$V$6:$V$10005,$V8806,'①在庫を貼る'!$W$6:$W$10005,$W8806)&gt;0),N(U8805),N(U8805)+1))</f>
        <v/>
      </c>
      <c r="V8806" s="19">
        <f>IF($B8806="","",TEXT($B8806,"0000"))</f>
        <v/>
      </c>
      <c r="W8806" s="19">
        <f>IF($I8806="","",IF(ISNUMBER($I8806),TEXT($I8806,"0"),$I8806))</f>
        <v/>
      </c>
    </row>
    <row r="8807">
      <c r="B8807" s="25" t="n"/>
      <c r="I8807" s="25" t="n"/>
      <c r="U8807" s="19">
        <f>IF($V8807&lt;&gt;'設定'!$C$4,N(U8806),IF(OR(NOT(COUNTIF('商品マスタ'!$B$6:$B$1005,$W8807)=0),COUNTIFS('①在庫を貼る'!$V$6:$V$10005,$V8807,'①在庫を貼る'!$W$6:$W$10005,$W8807)&gt;0),N(U8806),N(U8806)+1))</f>
        <v/>
      </c>
      <c r="V8807" s="19">
        <f>IF($B8807="","",TEXT($B8807,"0000"))</f>
        <v/>
      </c>
      <c r="W8807" s="19">
        <f>IF($I8807="","",IF(ISNUMBER($I8807),TEXT($I8807,"0"),$I8807))</f>
        <v/>
      </c>
    </row>
    <row r="8808">
      <c r="B8808" s="25" t="n"/>
      <c r="I8808" s="25" t="n"/>
      <c r="U8808" s="19">
        <f>IF($V8808&lt;&gt;'設定'!$C$4,N(U8807),IF(OR(NOT(COUNTIF('商品マスタ'!$B$6:$B$1005,$W8808)=0),COUNTIFS('①在庫を貼る'!$V$6:$V$10005,$V8808,'①在庫を貼る'!$W$6:$W$10005,$W8808)&gt;0),N(U8807),N(U8807)+1))</f>
        <v/>
      </c>
      <c r="V8808" s="19">
        <f>IF($B8808="","",TEXT($B8808,"0000"))</f>
        <v/>
      </c>
      <c r="W8808" s="19">
        <f>IF($I8808="","",IF(ISNUMBER($I8808),TEXT($I8808,"0"),$I8808))</f>
        <v/>
      </c>
    </row>
    <row r="8809">
      <c r="B8809" s="25" t="n"/>
      <c r="I8809" s="25" t="n"/>
      <c r="U8809" s="19">
        <f>IF($V8809&lt;&gt;'設定'!$C$4,N(U8808),IF(OR(NOT(COUNTIF('商品マスタ'!$B$6:$B$1005,$W8809)=0),COUNTIFS('①在庫を貼る'!$V$6:$V$10005,$V8809,'①在庫を貼る'!$W$6:$W$10005,$W8809)&gt;0),N(U8808),N(U8808)+1))</f>
        <v/>
      </c>
      <c r="V8809" s="19">
        <f>IF($B8809="","",TEXT($B8809,"0000"))</f>
        <v/>
      </c>
      <c r="W8809" s="19">
        <f>IF($I8809="","",IF(ISNUMBER($I8809),TEXT($I8809,"0"),$I8809))</f>
        <v/>
      </c>
    </row>
    <row r="8810">
      <c r="B8810" s="25" t="n"/>
      <c r="I8810" s="25" t="n"/>
      <c r="U8810" s="19">
        <f>IF($V8810&lt;&gt;'設定'!$C$4,N(U8809),IF(OR(NOT(COUNTIF('商品マスタ'!$B$6:$B$1005,$W8810)=0),COUNTIFS('①在庫を貼る'!$V$6:$V$10005,$V8810,'①在庫を貼る'!$W$6:$W$10005,$W8810)&gt;0),N(U8809),N(U8809)+1))</f>
        <v/>
      </c>
      <c r="V8810" s="19">
        <f>IF($B8810="","",TEXT($B8810,"0000"))</f>
        <v/>
      </c>
      <c r="W8810" s="19">
        <f>IF($I8810="","",IF(ISNUMBER($I8810),TEXT($I8810,"0"),$I8810))</f>
        <v/>
      </c>
    </row>
    <row r="8811">
      <c r="B8811" s="25" t="n"/>
      <c r="I8811" s="25" t="n"/>
      <c r="U8811" s="19">
        <f>IF($V8811&lt;&gt;'設定'!$C$4,N(U8810),IF(OR(NOT(COUNTIF('商品マスタ'!$B$6:$B$1005,$W8811)=0),COUNTIFS('①在庫を貼る'!$V$6:$V$10005,$V8811,'①在庫を貼る'!$W$6:$W$10005,$W8811)&gt;0),N(U8810),N(U8810)+1))</f>
        <v/>
      </c>
      <c r="V8811" s="19">
        <f>IF($B8811="","",TEXT($B8811,"0000"))</f>
        <v/>
      </c>
      <c r="W8811" s="19">
        <f>IF($I8811="","",IF(ISNUMBER($I8811),TEXT($I8811,"0"),$I8811))</f>
        <v/>
      </c>
    </row>
    <row r="8812">
      <c r="B8812" s="25" t="n"/>
      <c r="I8812" s="25" t="n"/>
      <c r="U8812" s="19">
        <f>IF($V8812&lt;&gt;'設定'!$C$4,N(U8811),IF(OR(NOT(COUNTIF('商品マスタ'!$B$6:$B$1005,$W8812)=0),COUNTIFS('①在庫を貼る'!$V$6:$V$10005,$V8812,'①在庫を貼る'!$W$6:$W$10005,$W8812)&gt;0),N(U8811),N(U8811)+1))</f>
        <v/>
      </c>
      <c r="V8812" s="19">
        <f>IF($B8812="","",TEXT($B8812,"0000"))</f>
        <v/>
      </c>
      <c r="W8812" s="19">
        <f>IF($I8812="","",IF(ISNUMBER($I8812),TEXT($I8812,"0"),$I8812))</f>
        <v/>
      </c>
    </row>
    <row r="8813">
      <c r="B8813" s="25" t="n"/>
      <c r="I8813" s="25" t="n"/>
      <c r="U8813" s="19">
        <f>IF($V8813&lt;&gt;'設定'!$C$4,N(U8812),IF(OR(NOT(COUNTIF('商品マスタ'!$B$6:$B$1005,$W8813)=0),COUNTIFS('①在庫を貼る'!$V$6:$V$10005,$V8813,'①在庫を貼る'!$W$6:$W$10005,$W8813)&gt;0),N(U8812),N(U8812)+1))</f>
        <v/>
      </c>
      <c r="V8813" s="19">
        <f>IF($B8813="","",TEXT($B8813,"0000"))</f>
        <v/>
      </c>
      <c r="W8813" s="19">
        <f>IF($I8813="","",IF(ISNUMBER($I8813),TEXT($I8813,"0"),$I8813))</f>
        <v/>
      </c>
    </row>
    <row r="8814">
      <c r="B8814" s="25" t="n"/>
      <c r="I8814" s="25" t="n"/>
      <c r="U8814" s="19">
        <f>IF($V8814&lt;&gt;'設定'!$C$4,N(U8813),IF(OR(NOT(COUNTIF('商品マスタ'!$B$6:$B$1005,$W8814)=0),COUNTIFS('①在庫を貼る'!$V$6:$V$10005,$V8814,'①在庫を貼る'!$W$6:$W$10005,$W8814)&gt;0),N(U8813),N(U8813)+1))</f>
        <v/>
      </c>
      <c r="V8814" s="19">
        <f>IF($B8814="","",TEXT($B8814,"0000"))</f>
        <v/>
      </c>
      <c r="W8814" s="19">
        <f>IF($I8814="","",IF(ISNUMBER($I8814),TEXT($I8814,"0"),$I8814))</f>
        <v/>
      </c>
    </row>
    <row r="8815">
      <c r="B8815" s="25" t="n"/>
      <c r="I8815" s="25" t="n"/>
      <c r="U8815" s="19">
        <f>IF($V8815&lt;&gt;'設定'!$C$4,N(U8814),IF(OR(NOT(COUNTIF('商品マスタ'!$B$6:$B$1005,$W8815)=0),COUNTIFS('①在庫を貼る'!$V$6:$V$10005,$V8815,'①在庫を貼る'!$W$6:$W$10005,$W8815)&gt;0),N(U8814),N(U8814)+1))</f>
        <v/>
      </c>
      <c r="V8815" s="19">
        <f>IF($B8815="","",TEXT($B8815,"0000"))</f>
        <v/>
      </c>
      <c r="W8815" s="19">
        <f>IF($I8815="","",IF(ISNUMBER($I8815),TEXT($I8815,"0"),$I8815))</f>
        <v/>
      </c>
    </row>
    <row r="8816">
      <c r="B8816" s="25" t="n"/>
      <c r="I8816" s="25" t="n"/>
      <c r="U8816" s="19">
        <f>IF($V8816&lt;&gt;'設定'!$C$4,N(U8815),IF(OR(NOT(COUNTIF('商品マスタ'!$B$6:$B$1005,$W8816)=0),COUNTIFS('①在庫を貼る'!$V$6:$V$10005,$V8816,'①在庫を貼る'!$W$6:$W$10005,$W8816)&gt;0),N(U8815),N(U8815)+1))</f>
        <v/>
      </c>
      <c r="V8816" s="19">
        <f>IF($B8816="","",TEXT($B8816,"0000"))</f>
        <v/>
      </c>
      <c r="W8816" s="19">
        <f>IF($I8816="","",IF(ISNUMBER($I8816),TEXT($I8816,"0"),$I8816))</f>
        <v/>
      </c>
    </row>
    <row r="8817">
      <c r="B8817" s="25" t="n"/>
      <c r="I8817" s="25" t="n"/>
      <c r="U8817" s="19">
        <f>IF($V8817&lt;&gt;'設定'!$C$4,N(U8816),IF(OR(NOT(COUNTIF('商品マスタ'!$B$6:$B$1005,$W8817)=0),COUNTIFS('①在庫を貼る'!$V$6:$V$10005,$V8817,'①在庫を貼る'!$W$6:$W$10005,$W8817)&gt;0),N(U8816),N(U8816)+1))</f>
        <v/>
      </c>
      <c r="V8817" s="19">
        <f>IF($B8817="","",TEXT($B8817,"0000"))</f>
        <v/>
      </c>
      <c r="W8817" s="19">
        <f>IF($I8817="","",IF(ISNUMBER($I8817),TEXT($I8817,"0"),$I8817))</f>
        <v/>
      </c>
    </row>
    <row r="8818">
      <c r="B8818" s="25" t="n"/>
      <c r="I8818" s="25" t="n"/>
      <c r="U8818" s="19">
        <f>IF($V8818&lt;&gt;'設定'!$C$4,N(U8817),IF(OR(NOT(COUNTIF('商品マスタ'!$B$6:$B$1005,$W8818)=0),COUNTIFS('①在庫を貼る'!$V$6:$V$10005,$V8818,'①在庫を貼る'!$W$6:$W$10005,$W8818)&gt;0),N(U8817),N(U8817)+1))</f>
        <v/>
      </c>
      <c r="V8818" s="19">
        <f>IF($B8818="","",TEXT($B8818,"0000"))</f>
        <v/>
      </c>
      <c r="W8818" s="19">
        <f>IF($I8818="","",IF(ISNUMBER($I8818),TEXT($I8818,"0"),$I8818))</f>
        <v/>
      </c>
    </row>
    <row r="8819">
      <c r="B8819" s="25" t="n"/>
      <c r="I8819" s="25" t="n"/>
      <c r="U8819" s="19">
        <f>IF($V8819&lt;&gt;'設定'!$C$4,N(U8818),IF(OR(NOT(COUNTIF('商品マスタ'!$B$6:$B$1005,$W8819)=0),COUNTIFS('①在庫を貼る'!$V$6:$V$10005,$V8819,'①在庫を貼る'!$W$6:$W$10005,$W8819)&gt;0),N(U8818),N(U8818)+1))</f>
        <v/>
      </c>
      <c r="V8819" s="19">
        <f>IF($B8819="","",TEXT($B8819,"0000"))</f>
        <v/>
      </c>
      <c r="W8819" s="19">
        <f>IF($I8819="","",IF(ISNUMBER($I8819),TEXT($I8819,"0"),$I8819))</f>
        <v/>
      </c>
    </row>
    <row r="8820">
      <c r="B8820" s="25" t="n"/>
      <c r="I8820" s="25" t="n"/>
      <c r="U8820" s="19">
        <f>IF($V8820&lt;&gt;'設定'!$C$4,N(U8819),IF(OR(NOT(COUNTIF('商品マスタ'!$B$6:$B$1005,$W8820)=0),COUNTIFS('①在庫を貼る'!$V$6:$V$10005,$V8820,'①在庫を貼る'!$W$6:$W$10005,$W8820)&gt;0),N(U8819),N(U8819)+1))</f>
        <v/>
      </c>
      <c r="V8820" s="19">
        <f>IF($B8820="","",TEXT($B8820,"0000"))</f>
        <v/>
      </c>
      <c r="W8820" s="19">
        <f>IF($I8820="","",IF(ISNUMBER($I8820),TEXT($I8820,"0"),$I8820))</f>
        <v/>
      </c>
    </row>
    <row r="8821">
      <c r="B8821" s="25" t="n"/>
      <c r="I8821" s="25" t="n"/>
      <c r="U8821" s="19">
        <f>IF($V8821&lt;&gt;'設定'!$C$4,N(U8820),IF(OR(NOT(COUNTIF('商品マスタ'!$B$6:$B$1005,$W8821)=0),COUNTIFS('①在庫を貼る'!$V$6:$V$10005,$V8821,'①在庫を貼る'!$W$6:$W$10005,$W8821)&gt;0),N(U8820),N(U8820)+1))</f>
        <v/>
      </c>
      <c r="V8821" s="19">
        <f>IF($B8821="","",TEXT($B8821,"0000"))</f>
        <v/>
      </c>
      <c r="W8821" s="19">
        <f>IF($I8821="","",IF(ISNUMBER($I8821),TEXT($I8821,"0"),$I8821))</f>
        <v/>
      </c>
    </row>
    <row r="8822">
      <c r="B8822" s="25" t="n"/>
      <c r="I8822" s="25" t="n"/>
      <c r="U8822" s="19">
        <f>IF($V8822&lt;&gt;'設定'!$C$4,N(U8821),IF(OR(NOT(COUNTIF('商品マスタ'!$B$6:$B$1005,$W8822)=0),COUNTIFS('①在庫を貼る'!$V$6:$V$10005,$V8822,'①在庫を貼る'!$W$6:$W$10005,$W8822)&gt;0),N(U8821),N(U8821)+1))</f>
        <v/>
      </c>
      <c r="V8822" s="19">
        <f>IF($B8822="","",TEXT($B8822,"0000"))</f>
        <v/>
      </c>
      <c r="W8822" s="19">
        <f>IF($I8822="","",IF(ISNUMBER($I8822),TEXT($I8822,"0"),$I8822))</f>
        <v/>
      </c>
    </row>
    <row r="8823">
      <c r="B8823" s="25" t="n"/>
      <c r="I8823" s="25" t="n"/>
      <c r="U8823" s="19">
        <f>IF($V8823&lt;&gt;'設定'!$C$4,N(U8822),IF(OR(NOT(COUNTIF('商品マスタ'!$B$6:$B$1005,$W8823)=0),COUNTIFS('①在庫を貼る'!$V$6:$V$10005,$V8823,'①在庫を貼る'!$W$6:$W$10005,$W8823)&gt;0),N(U8822),N(U8822)+1))</f>
        <v/>
      </c>
      <c r="V8823" s="19">
        <f>IF($B8823="","",TEXT($B8823,"0000"))</f>
        <v/>
      </c>
      <c r="W8823" s="19">
        <f>IF($I8823="","",IF(ISNUMBER($I8823),TEXT($I8823,"0"),$I8823))</f>
        <v/>
      </c>
    </row>
    <row r="8824">
      <c r="B8824" s="25" t="n"/>
      <c r="I8824" s="25" t="n"/>
      <c r="U8824" s="19">
        <f>IF($V8824&lt;&gt;'設定'!$C$4,N(U8823),IF(OR(NOT(COUNTIF('商品マスタ'!$B$6:$B$1005,$W8824)=0),COUNTIFS('①在庫を貼る'!$V$6:$V$10005,$V8824,'①在庫を貼る'!$W$6:$W$10005,$W8824)&gt;0),N(U8823),N(U8823)+1))</f>
        <v/>
      </c>
      <c r="V8824" s="19">
        <f>IF($B8824="","",TEXT($B8824,"0000"))</f>
        <v/>
      </c>
      <c r="W8824" s="19">
        <f>IF($I8824="","",IF(ISNUMBER($I8824),TEXT($I8824,"0"),$I8824))</f>
        <v/>
      </c>
    </row>
    <row r="8825">
      <c r="B8825" s="25" t="n"/>
      <c r="I8825" s="25" t="n"/>
      <c r="U8825" s="19">
        <f>IF($V8825&lt;&gt;'設定'!$C$4,N(U8824),IF(OR(NOT(COUNTIF('商品マスタ'!$B$6:$B$1005,$W8825)=0),COUNTIFS('①在庫を貼る'!$V$6:$V$10005,$V8825,'①在庫を貼る'!$W$6:$W$10005,$W8825)&gt;0),N(U8824),N(U8824)+1))</f>
        <v/>
      </c>
      <c r="V8825" s="19">
        <f>IF($B8825="","",TEXT($B8825,"0000"))</f>
        <v/>
      </c>
      <c r="W8825" s="19">
        <f>IF($I8825="","",IF(ISNUMBER($I8825),TEXT($I8825,"0"),$I8825))</f>
        <v/>
      </c>
    </row>
    <row r="8826">
      <c r="B8826" s="25" t="n"/>
      <c r="I8826" s="25" t="n"/>
      <c r="U8826" s="19">
        <f>IF($V8826&lt;&gt;'設定'!$C$4,N(U8825),IF(OR(NOT(COUNTIF('商品マスタ'!$B$6:$B$1005,$W8826)=0),COUNTIFS('①在庫を貼る'!$V$6:$V$10005,$V8826,'①在庫を貼る'!$W$6:$W$10005,$W8826)&gt;0),N(U8825),N(U8825)+1))</f>
        <v/>
      </c>
      <c r="V8826" s="19">
        <f>IF($B8826="","",TEXT($B8826,"0000"))</f>
        <v/>
      </c>
      <c r="W8826" s="19">
        <f>IF($I8826="","",IF(ISNUMBER($I8826),TEXT($I8826,"0"),$I8826))</f>
        <v/>
      </c>
    </row>
    <row r="8827">
      <c r="B8827" s="25" t="n"/>
      <c r="I8827" s="25" t="n"/>
      <c r="U8827" s="19">
        <f>IF($V8827&lt;&gt;'設定'!$C$4,N(U8826),IF(OR(NOT(COUNTIF('商品マスタ'!$B$6:$B$1005,$W8827)=0),COUNTIFS('①在庫を貼る'!$V$6:$V$10005,$V8827,'①在庫を貼る'!$W$6:$W$10005,$W8827)&gt;0),N(U8826),N(U8826)+1))</f>
        <v/>
      </c>
      <c r="V8827" s="19">
        <f>IF($B8827="","",TEXT($B8827,"0000"))</f>
        <v/>
      </c>
      <c r="W8827" s="19">
        <f>IF($I8827="","",IF(ISNUMBER($I8827),TEXT($I8827,"0"),$I8827))</f>
        <v/>
      </c>
    </row>
    <row r="8828">
      <c r="B8828" s="25" t="n"/>
      <c r="I8828" s="25" t="n"/>
      <c r="U8828" s="19">
        <f>IF($V8828&lt;&gt;'設定'!$C$4,N(U8827),IF(OR(NOT(COUNTIF('商品マスタ'!$B$6:$B$1005,$W8828)=0),COUNTIFS('①在庫を貼る'!$V$6:$V$10005,$V8828,'①在庫を貼る'!$W$6:$W$10005,$W8828)&gt;0),N(U8827),N(U8827)+1))</f>
        <v/>
      </c>
      <c r="V8828" s="19">
        <f>IF($B8828="","",TEXT($B8828,"0000"))</f>
        <v/>
      </c>
      <c r="W8828" s="19">
        <f>IF($I8828="","",IF(ISNUMBER($I8828),TEXT($I8828,"0"),$I8828))</f>
        <v/>
      </c>
    </row>
    <row r="8829">
      <c r="B8829" s="25" t="n"/>
      <c r="I8829" s="25" t="n"/>
      <c r="U8829" s="19">
        <f>IF($V8829&lt;&gt;'設定'!$C$4,N(U8828),IF(OR(NOT(COUNTIF('商品マスタ'!$B$6:$B$1005,$W8829)=0),COUNTIFS('①在庫を貼る'!$V$6:$V$10005,$V8829,'①在庫を貼る'!$W$6:$W$10005,$W8829)&gt;0),N(U8828),N(U8828)+1))</f>
        <v/>
      </c>
      <c r="V8829" s="19">
        <f>IF($B8829="","",TEXT($B8829,"0000"))</f>
        <v/>
      </c>
      <c r="W8829" s="19">
        <f>IF($I8829="","",IF(ISNUMBER($I8829),TEXT($I8829,"0"),$I8829))</f>
        <v/>
      </c>
    </row>
    <row r="8830">
      <c r="B8830" s="25" t="n"/>
      <c r="I8830" s="25" t="n"/>
      <c r="U8830" s="19">
        <f>IF($V8830&lt;&gt;'設定'!$C$4,N(U8829),IF(OR(NOT(COUNTIF('商品マスタ'!$B$6:$B$1005,$W8830)=0),COUNTIFS('①在庫を貼る'!$V$6:$V$10005,$V8830,'①在庫を貼る'!$W$6:$W$10005,$W8830)&gt;0),N(U8829),N(U8829)+1))</f>
        <v/>
      </c>
      <c r="V8830" s="19">
        <f>IF($B8830="","",TEXT($B8830,"0000"))</f>
        <v/>
      </c>
      <c r="W8830" s="19">
        <f>IF($I8830="","",IF(ISNUMBER($I8830),TEXT($I8830,"0"),$I8830))</f>
        <v/>
      </c>
    </row>
    <row r="8831">
      <c r="B8831" s="25" t="n"/>
      <c r="I8831" s="25" t="n"/>
      <c r="U8831" s="19">
        <f>IF($V8831&lt;&gt;'設定'!$C$4,N(U8830),IF(OR(NOT(COUNTIF('商品マスタ'!$B$6:$B$1005,$W8831)=0),COUNTIFS('①在庫を貼る'!$V$6:$V$10005,$V8831,'①在庫を貼る'!$W$6:$W$10005,$W8831)&gt;0),N(U8830),N(U8830)+1))</f>
        <v/>
      </c>
      <c r="V8831" s="19">
        <f>IF($B8831="","",TEXT($B8831,"0000"))</f>
        <v/>
      </c>
      <c r="W8831" s="19">
        <f>IF($I8831="","",IF(ISNUMBER($I8831),TEXT($I8831,"0"),$I8831))</f>
        <v/>
      </c>
    </row>
    <row r="8832">
      <c r="B8832" s="25" t="n"/>
      <c r="I8832" s="25" t="n"/>
      <c r="U8832" s="19">
        <f>IF($V8832&lt;&gt;'設定'!$C$4,N(U8831),IF(OR(NOT(COUNTIF('商品マスタ'!$B$6:$B$1005,$W8832)=0),COUNTIFS('①在庫を貼る'!$V$6:$V$10005,$V8832,'①在庫を貼る'!$W$6:$W$10005,$W8832)&gt;0),N(U8831),N(U8831)+1))</f>
        <v/>
      </c>
      <c r="V8832" s="19">
        <f>IF($B8832="","",TEXT($B8832,"0000"))</f>
        <v/>
      </c>
      <c r="W8832" s="19">
        <f>IF($I8832="","",IF(ISNUMBER($I8832),TEXT($I8832,"0"),$I8832))</f>
        <v/>
      </c>
    </row>
    <row r="8833">
      <c r="B8833" s="25" t="n"/>
      <c r="I8833" s="25" t="n"/>
      <c r="U8833" s="19">
        <f>IF($V8833&lt;&gt;'設定'!$C$4,N(U8832),IF(OR(NOT(COUNTIF('商品マスタ'!$B$6:$B$1005,$W8833)=0),COUNTIFS('①在庫を貼る'!$V$6:$V$10005,$V8833,'①在庫を貼る'!$W$6:$W$10005,$W8833)&gt;0),N(U8832),N(U8832)+1))</f>
        <v/>
      </c>
      <c r="V8833" s="19">
        <f>IF($B8833="","",TEXT($B8833,"0000"))</f>
        <v/>
      </c>
      <c r="W8833" s="19">
        <f>IF($I8833="","",IF(ISNUMBER($I8833),TEXT($I8833,"0"),$I8833))</f>
        <v/>
      </c>
    </row>
    <row r="8834">
      <c r="B8834" s="25" t="n"/>
      <c r="I8834" s="25" t="n"/>
      <c r="U8834" s="19">
        <f>IF($V8834&lt;&gt;'設定'!$C$4,N(U8833),IF(OR(NOT(COUNTIF('商品マスタ'!$B$6:$B$1005,$W8834)=0),COUNTIFS('①在庫を貼る'!$V$6:$V$10005,$V8834,'①在庫を貼る'!$W$6:$W$10005,$W8834)&gt;0),N(U8833),N(U8833)+1))</f>
        <v/>
      </c>
      <c r="V8834" s="19">
        <f>IF($B8834="","",TEXT($B8834,"0000"))</f>
        <v/>
      </c>
      <c r="W8834" s="19">
        <f>IF($I8834="","",IF(ISNUMBER($I8834),TEXT($I8834,"0"),$I8834))</f>
        <v/>
      </c>
    </row>
    <row r="8835">
      <c r="B8835" s="25" t="n"/>
      <c r="I8835" s="25" t="n"/>
      <c r="U8835" s="19">
        <f>IF($V8835&lt;&gt;'設定'!$C$4,N(U8834),IF(OR(NOT(COUNTIF('商品マスタ'!$B$6:$B$1005,$W8835)=0),COUNTIFS('①在庫を貼る'!$V$6:$V$10005,$V8835,'①在庫を貼る'!$W$6:$W$10005,$W8835)&gt;0),N(U8834),N(U8834)+1))</f>
        <v/>
      </c>
      <c r="V8835" s="19">
        <f>IF($B8835="","",TEXT($B8835,"0000"))</f>
        <v/>
      </c>
      <c r="W8835" s="19">
        <f>IF($I8835="","",IF(ISNUMBER($I8835),TEXT($I8835,"0"),$I8835))</f>
        <v/>
      </c>
    </row>
    <row r="8836">
      <c r="B8836" s="25" t="n"/>
      <c r="I8836" s="25" t="n"/>
      <c r="U8836" s="19">
        <f>IF($V8836&lt;&gt;'設定'!$C$4,N(U8835),IF(OR(NOT(COUNTIF('商品マスタ'!$B$6:$B$1005,$W8836)=0),COUNTIFS('①在庫を貼る'!$V$6:$V$10005,$V8836,'①在庫を貼る'!$W$6:$W$10005,$W8836)&gt;0),N(U8835),N(U8835)+1))</f>
        <v/>
      </c>
      <c r="V8836" s="19">
        <f>IF($B8836="","",TEXT($B8836,"0000"))</f>
        <v/>
      </c>
      <c r="W8836" s="19">
        <f>IF($I8836="","",IF(ISNUMBER($I8836),TEXT($I8836,"0"),$I8836))</f>
        <v/>
      </c>
    </row>
    <row r="8837">
      <c r="B8837" s="25" t="n"/>
      <c r="I8837" s="25" t="n"/>
      <c r="U8837" s="19">
        <f>IF($V8837&lt;&gt;'設定'!$C$4,N(U8836),IF(OR(NOT(COUNTIF('商品マスタ'!$B$6:$B$1005,$W8837)=0),COUNTIFS('①在庫を貼る'!$V$6:$V$10005,$V8837,'①在庫を貼る'!$W$6:$W$10005,$W8837)&gt;0),N(U8836),N(U8836)+1))</f>
        <v/>
      </c>
      <c r="V8837" s="19">
        <f>IF($B8837="","",TEXT($B8837,"0000"))</f>
        <v/>
      </c>
      <c r="W8837" s="19">
        <f>IF($I8837="","",IF(ISNUMBER($I8837),TEXT($I8837,"0"),$I8837))</f>
        <v/>
      </c>
    </row>
    <row r="8838">
      <c r="B8838" s="25" t="n"/>
      <c r="I8838" s="25" t="n"/>
      <c r="U8838" s="19">
        <f>IF($V8838&lt;&gt;'設定'!$C$4,N(U8837),IF(OR(NOT(COUNTIF('商品マスタ'!$B$6:$B$1005,$W8838)=0),COUNTIFS('①在庫を貼る'!$V$6:$V$10005,$V8838,'①在庫を貼る'!$W$6:$W$10005,$W8838)&gt;0),N(U8837),N(U8837)+1))</f>
        <v/>
      </c>
      <c r="V8838" s="19">
        <f>IF($B8838="","",TEXT($B8838,"0000"))</f>
        <v/>
      </c>
      <c r="W8838" s="19">
        <f>IF($I8838="","",IF(ISNUMBER($I8838),TEXT($I8838,"0"),$I8838))</f>
        <v/>
      </c>
    </row>
    <row r="8839">
      <c r="B8839" s="25" t="n"/>
      <c r="I8839" s="25" t="n"/>
      <c r="U8839" s="19">
        <f>IF($V8839&lt;&gt;'設定'!$C$4,N(U8838),IF(OR(NOT(COUNTIF('商品マスタ'!$B$6:$B$1005,$W8839)=0),COUNTIFS('①在庫を貼る'!$V$6:$V$10005,$V8839,'①在庫を貼る'!$W$6:$W$10005,$W8839)&gt;0),N(U8838),N(U8838)+1))</f>
        <v/>
      </c>
      <c r="V8839" s="19">
        <f>IF($B8839="","",TEXT($B8839,"0000"))</f>
        <v/>
      </c>
      <c r="W8839" s="19">
        <f>IF($I8839="","",IF(ISNUMBER($I8839),TEXT($I8839,"0"),$I8839))</f>
        <v/>
      </c>
    </row>
    <row r="8840">
      <c r="B8840" s="25" t="n"/>
      <c r="I8840" s="25" t="n"/>
      <c r="U8840" s="19">
        <f>IF($V8840&lt;&gt;'設定'!$C$4,N(U8839),IF(OR(NOT(COUNTIF('商品マスタ'!$B$6:$B$1005,$W8840)=0),COUNTIFS('①在庫を貼る'!$V$6:$V$10005,$V8840,'①在庫を貼る'!$W$6:$W$10005,$W8840)&gt;0),N(U8839),N(U8839)+1))</f>
        <v/>
      </c>
      <c r="V8840" s="19">
        <f>IF($B8840="","",TEXT($B8840,"0000"))</f>
        <v/>
      </c>
      <c r="W8840" s="19">
        <f>IF($I8840="","",IF(ISNUMBER($I8840),TEXT($I8840,"0"),$I8840))</f>
        <v/>
      </c>
    </row>
    <row r="8841">
      <c r="B8841" s="25" t="n"/>
      <c r="I8841" s="25" t="n"/>
      <c r="U8841" s="19">
        <f>IF($V8841&lt;&gt;'設定'!$C$4,N(U8840),IF(OR(NOT(COUNTIF('商品マスタ'!$B$6:$B$1005,$W8841)=0),COUNTIFS('①在庫を貼る'!$V$6:$V$10005,$V8841,'①在庫を貼る'!$W$6:$W$10005,$W8841)&gt;0),N(U8840),N(U8840)+1))</f>
        <v/>
      </c>
      <c r="V8841" s="19">
        <f>IF($B8841="","",TEXT($B8841,"0000"))</f>
        <v/>
      </c>
      <c r="W8841" s="19">
        <f>IF($I8841="","",IF(ISNUMBER($I8841),TEXT($I8841,"0"),$I8841))</f>
        <v/>
      </c>
    </row>
    <row r="8842">
      <c r="B8842" s="25" t="n"/>
      <c r="I8842" s="25" t="n"/>
      <c r="U8842" s="19">
        <f>IF($V8842&lt;&gt;'設定'!$C$4,N(U8841),IF(OR(NOT(COUNTIF('商品マスタ'!$B$6:$B$1005,$W8842)=0),COUNTIFS('①在庫を貼る'!$V$6:$V$10005,$V8842,'①在庫を貼る'!$W$6:$W$10005,$W8842)&gt;0),N(U8841),N(U8841)+1))</f>
        <v/>
      </c>
      <c r="V8842" s="19">
        <f>IF($B8842="","",TEXT($B8842,"0000"))</f>
        <v/>
      </c>
      <c r="W8842" s="19">
        <f>IF($I8842="","",IF(ISNUMBER($I8842),TEXT($I8842,"0"),$I8842))</f>
        <v/>
      </c>
    </row>
    <row r="8843">
      <c r="B8843" s="25" t="n"/>
      <c r="I8843" s="25" t="n"/>
      <c r="U8843" s="19">
        <f>IF($V8843&lt;&gt;'設定'!$C$4,N(U8842),IF(OR(NOT(COUNTIF('商品マスタ'!$B$6:$B$1005,$W8843)=0),COUNTIFS('①在庫を貼る'!$V$6:$V$10005,$V8843,'①在庫を貼る'!$W$6:$W$10005,$W8843)&gt;0),N(U8842),N(U8842)+1))</f>
        <v/>
      </c>
      <c r="V8843" s="19">
        <f>IF($B8843="","",TEXT($B8843,"0000"))</f>
        <v/>
      </c>
      <c r="W8843" s="19">
        <f>IF($I8843="","",IF(ISNUMBER($I8843),TEXT($I8843,"0"),$I8843))</f>
        <v/>
      </c>
    </row>
    <row r="8844">
      <c r="B8844" s="25" t="n"/>
      <c r="I8844" s="25" t="n"/>
      <c r="U8844" s="19">
        <f>IF($V8844&lt;&gt;'設定'!$C$4,N(U8843),IF(OR(NOT(COUNTIF('商品マスタ'!$B$6:$B$1005,$W8844)=0),COUNTIFS('①在庫を貼る'!$V$6:$V$10005,$V8844,'①在庫を貼る'!$W$6:$W$10005,$W8844)&gt;0),N(U8843),N(U8843)+1))</f>
        <v/>
      </c>
      <c r="V8844" s="19">
        <f>IF($B8844="","",TEXT($B8844,"0000"))</f>
        <v/>
      </c>
      <c r="W8844" s="19">
        <f>IF($I8844="","",IF(ISNUMBER($I8844),TEXT($I8844,"0"),$I8844))</f>
        <v/>
      </c>
    </row>
    <row r="8845">
      <c r="B8845" s="25" t="n"/>
      <c r="I8845" s="25" t="n"/>
      <c r="U8845" s="19">
        <f>IF($V8845&lt;&gt;'設定'!$C$4,N(U8844),IF(OR(NOT(COUNTIF('商品マスタ'!$B$6:$B$1005,$W8845)=0),COUNTIFS('①在庫を貼る'!$V$6:$V$10005,$V8845,'①在庫を貼る'!$W$6:$W$10005,$W8845)&gt;0),N(U8844),N(U8844)+1))</f>
        <v/>
      </c>
      <c r="V8845" s="19">
        <f>IF($B8845="","",TEXT($B8845,"0000"))</f>
        <v/>
      </c>
      <c r="W8845" s="19">
        <f>IF($I8845="","",IF(ISNUMBER($I8845),TEXT($I8845,"0"),$I8845))</f>
        <v/>
      </c>
    </row>
    <row r="8846">
      <c r="B8846" s="25" t="n"/>
      <c r="I8846" s="25" t="n"/>
      <c r="U8846" s="19">
        <f>IF($V8846&lt;&gt;'設定'!$C$4,N(U8845),IF(OR(NOT(COUNTIF('商品マスタ'!$B$6:$B$1005,$W8846)=0),COUNTIFS('①在庫を貼る'!$V$6:$V$10005,$V8846,'①在庫を貼る'!$W$6:$W$10005,$W8846)&gt;0),N(U8845),N(U8845)+1))</f>
        <v/>
      </c>
      <c r="V8846" s="19">
        <f>IF($B8846="","",TEXT($B8846,"0000"))</f>
        <v/>
      </c>
      <c r="W8846" s="19">
        <f>IF($I8846="","",IF(ISNUMBER($I8846),TEXT($I8846,"0"),$I8846))</f>
        <v/>
      </c>
    </row>
    <row r="8847">
      <c r="B8847" s="25" t="n"/>
      <c r="I8847" s="25" t="n"/>
      <c r="U8847" s="19">
        <f>IF($V8847&lt;&gt;'設定'!$C$4,N(U8846),IF(OR(NOT(COUNTIF('商品マスタ'!$B$6:$B$1005,$W8847)=0),COUNTIFS('①在庫を貼る'!$V$6:$V$10005,$V8847,'①在庫を貼る'!$W$6:$W$10005,$W8847)&gt;0),N(U8846),N(U8846)+1))</f>
        <v/>
      </c>
      <c r="V8847" s="19">
        <f>IF($B8847="","",TEXT($B8847,"0000"))</f>
        <v/>
      </c>
      <c r="W8847" s="19">
        <f>IF($I8847="","",IF(ISNUMBER($I8847),TEXT($I8847,"0"),$I8847))</f>
        <v/>
      </c>
    </row>
    <row r="8848">
      <c r="B8848" s="25" t="n"/>
      <c r="I8848" s="25" t="n"/>
      <c r="U8848" s="19">
        <f>IF($V8848&lt;&gt;'設定'!$C$4,N(U8847),IF(OR(NOT(COUNTIF('商品マスタ'!$B$6:$B$1005,$W8848)=0),COUNTIFS('①在庫を貼る'!$V$6:$V$10005,$V8848,'①在庫を貼る'!$W$6:$W$10005,$W8848)&gt;0),N(U8847),N(U8847)+1))</f>
        <v/>
      </c>
      <c r="V8848" s="19">
        <f>IF($B8848="","",TEXT($B8848,"0000"))</f>
        <v/>
      </c>
      <c r="W8848" s="19">
        <f>IF($I8848="","",IF(ISNUMBER($I8848),TEXT($I8848,"0"),$I8848))</f>
        <v/>
      </c>
    </row>
    <row r="8849">
      <c r="B8849" s="25" t="n"/>
      <c r="I8849" s="25" t="n"/>
      <c r="U8849" s="19">
        <f>IF($V8849&lt;&gt;'設定'!$C$4,N(U8848),IF(OR(NOT(COUNTIF('商品マスタ'!$B$6:$B$1005,$W8849)=0),COUNTIFS('①在庫を貼る'!$V$6:$V$10005,$V8849,'①在庫を貼る'!$W$6:$W$10005,$W8849)&gt;0),N(U8848),N(U8848)+1))</f>
        <v/>
      </c>
      <c r="V8849" s="19">
        <f>IF($B8849="","",TEXT($B8849,"0000"))</f>
        <v/>
      </c>
      <c r="W8849" s="19">
        <f>IF($I8849="","",IF(ISNUMBER($I8849),TEXT($I8849,"0"),$I8849))</f>
        <v/>
      </c>
    </row>
    <row r="8850">
      <c r="B8850" s="25" t="n"/>
      <c r="I8850" s="25" t="n"/>
      <c r="U8850" s="19">
        <f>IF($V8850&lt;&gt;'設定'!$C$4,N(U8849),IF(OR(NOT(COUNTIF('商品マスタ'!$B$6:$B$1005,$W8850)=0),COUNTIFS('①在庫を貼る'!$V$6:$V$10005,$V8850,'①在庫を貼る'!$W$6:$W$10005,$W8850)&gt;0),N(U8849),N(U8849)+1))</f>
        <v/>
      </c>
      <c r="V8850" s="19">
        <f>IF($B8850="","",TEXT($B8850,"0000"))</f>
        <v/>
      </c>
      <c r="W8850" s="19">
        <f>IF($I8850="","",IF(ISNUMBER($I8850),TEXT($I8850,"0"),$I8850))</f>
        <v/>
      </c>
    </row>
    <row r="8851">
      <c r="B8851" s="25" t="n"/>
      <c r="I8851" s="25" t="n"/>
      <c r="U8851" s="19">
        <f>IF($V8851&lt;&gt;'設定'!$C$4,N(U8850),IF(OR(NOT(COUNTIF('商品マスタ'!$B$6:$B$1005,$W8851)=0),COUNTIFS('①在庫を貼る'!$V$6:$V$10005,$V8851,'①在庫を貼る'!$W$6:$W$10005,$W8851)&gt;0),N(U8850),N(U8850)+1))</f>
        <v/>
      </c>
      <c r="V8851" s="19">
        <f>IF($B8851="","",TEXT($B8851,"0000"))</f>
        <v/>
      </c>
      <c r="W8851" s="19">
        <f>IF($I8851="","",IF(ISNUMBER($I8851),TEXT($I8851,"0"),$I8851))</f>
        <v/>
      </c>
    </row>
    <row r="8852">
      <c r="B8852" s="25" t="n"/>
      <c r="I8852" s="25" t="n"/>
      <c r="U8852" s="19">
        <f>IF($V8852&lt;&gt;'設定'!$C$4,N(U8851),IF(OR(NOT(COUNTIF('商品マスタ'!$B$6:$B$1005,$W8852)=0),COUNTIFS('①在庫を貼る'!$V$6:$V$10005,$V8852,'①在庫を貼る'!$W$6:$W$10005,$W8852)&gt;0),N(U8851),N(U8851)+1))</f>
        <v/>
      </c>
      <c r="V8852" s="19">
        <f>IF($B8852="","",TEXT($B8852,"0000"))</f>
        <v/>
      </c>
      <c r="W8852" s="19">
        <f>IF($I8852="","",IF(ISNUMBER($I8852),TEXT($I8852,"0"),$I8852))</f>
        <v/>
      </c>
    </row>
    <row r="8853">
      <c r="B8853" s="25" t="n"/>
      <c r="I8853" s="25" t="n"/>
      <c r="U8853" s="19">
        <f>IF($V8853&lt;&gt;'設定'!$C$4,N(U8852),IF(OR(NOT(COUNTIF('商品マスタ'!$B$6:$B$1005,$W8853)=0),COUNTIFS('①在庫を貼る'!$V$6:$V$10005,$V8853,'①在庫を貼る'!$W$6:$W$10005,$W8853)&gt;0),N(U8852),N(U8852)+1))</f>
        <v/>
      </c>
      <c r="V8853" s="19">
        <f>IF($B8853="","",TEXT($B8853,"0000"))</f>
        <v/>
      </c>
      <c r="W8853" s="19">
        <f>IF($I8853="","",IF(ISNUMBER($I8853),TEXT($I8853,"0"),$I8853))</f>
        <v/>
      </c>
    </row>
    <row r="8854">
      <c r="B8854" s="25" t="n"/>
      <c r="I8854" s="25" t="n"/>
      <c r="U8854" s="19">
        <f>IF($V8854&lt;&gt;'設定'!$C$4,N(U8853),IF(OR(NOT(COUNTIF('商品マスタ'!$B$6:$B$1005,$W8854)=0),COUNTIFS('①在庫を貼る'!$V$6:$V$10005,$V8854,'①在庫を貼る'!$W$6:$W$10005,$W8854)&gt;0),N(U8853),N(U8853)+1))</f>
        <v/>
      </c>
      <c r="V8854" s="19">
        <f>IF($B8854="","",TEXT($B8854,"0000"))</f>
        <v/>
      </c>
      <c r="W8854" s="19">
        <f>IF($I8854="","",IF(ISNUMBER($I8854),TEXT($I8854,"0"),$I8854))</f>
        <v/>
      </c>
    </row>
    <row r="8855">
      <c r="B8855" s="25" t="n"/>
      <c r="I8855" s="25" t="n"/>
      <c r="U8855" s="19">
        <f>IF($V8855&lt;&gt;'設定'!$C$4,N(U8854),IF(OR(NOT(COUNTIF('商品マスタ'!$B$6:$B$1005,$W8855)=0),COUNTIFS('①在庫を貼る'!$V$6:$V$10005,$V8855,'①在庫を貼る'!$W$6:$W$10005,$W8855)&gt;0),N(U8854),N(U8854)+1))</f>
        <v/>
      </c>
      <c r="V8855" s="19">
        <f>IF($B8855="","",TEXT($B8855,"0000"))</f>
        <v/>
      </c>
      <c r="W8855" s="19">
        <f>IF($I8855="","",IF(ISNUMBER($I8855),TEXT($I8855,"0"),$I8855))</f>
        <v/>
      </c>
    </row>
    <row r="8856">
      <c r="B8856" s="25" t="n"/>
      <c r="I8856" s="25" t="n"/>
      <c r="U8856" s="19">
        <f>IF($V8856&lt;&gt;'設定'!$C$4,N(U8855),IF(OR(NOT(COUNTIF('商品マスタ'!$B$6:$B$1005,$W8856)=0),COUNTIFS('①在庫を貼る'!$V$6:$V$10005,$V8856,'①在庫を貼る'!$W$6:$W$10005,$W8856)&gt;0),N(U8855),N(U8855)+1))</f>
        <v/>
      </c>
      <c r="V8856" s="19">
        <f>IF($B8856="","",TEXT($B8856,"0000"))</f>
        <v/>
      </c>
      <c r="W8856" s="19">
        <f>IF($I8856="","",IF(ISNUMBER($I8856),TEXT($I8856,"0"),$I8856))</f>
        <v/>
      </c>
    </row>
    <row r="8857">
      <c r="B8857" s="25" t="n"/>
      <c r="I8857" s="25" t="n"/>
      <c r="U8857" s="19">
        <f>IF($V8857&lt;&gt;'設定'!$C$4,N(U8856),IF(OR(NOT(COUNTIF('商品マスタ'!$B$6:$B$1005,$W8857)=0),COUNTIFS('①在庫を貼る'!$V$6:$V$10005,$V8857,'①在庫を貼る'!$W$6:$W$10005,$W8857)&gt;0),N(U8856),N(U8856)+1))</f>
        <v/>
      </c>
      <c r="V8857" s="19">
        <f>IF($B8857="","",TEXT($B8857,"0000"))</f>
        <v/>
      </c>
      <c r="W8857" s="19">
        <f>IF($I8857="","",IF(ISNUMBER($I8857),TEXT($I8857,"0"),$I8857))</f>
        <v/>
      </c>
    </row>
    <row r="8858">
      <c r="B8858" s="25" t="n"/>
      <c r="I8858" s="25" t="n"/>
      <c r="U8858" s="19">
        <f>IF($V8858&lt;&gt;'設定'!$C$4,N(U8857),IF(OR(NOT(COUNTIF('商品マスタ'!$B$6:$B$1005,$W8858)=0),COUNTIFS('①在庫を貼る'!$V$6:$V$10005,$V8858,'①在庫を貼る'!$W$6:$W$10005,$W8858)&gt;0),N(U8857),N(U8857)+1))</f>
        <v/>
      </c>
      <c r="V8858" s="19">
        <f>IF($B8858="","",TEXT($B8858,"0000"))</f>
        <v/>
      </c>
      <c r="W8858" s="19">
        <f>IF($I8858="","",IF(ISNUMBER($I8858),TEXT($I8858,"0"),$I8858))</f>
        <v/>
      </c>
    </row>
    <row r="8859">
      <c r="B8859" s="25" t="n"/>
      <c r="I8859" s="25" t="n"/>
      <c r="U8859" s="19">
        <f>IF($V8859&lt;&gt;'設定'!$C$4,N(U8858),IF(OR(NOT(COUNTIF('商品マスタ'!$B$6:$B$1005,$W8859)=0),COUNTIFS('①在庫を貼る'!$V$6:$V$10005,$V8859,'①在庫を貼る'!$W$6:$W$10005,$W8859)&gt;0),N(U8858),N(U8858)+1))</f>
        <v/>
      </c>
      <c r="V8859" s="19">
        <f>IF($B8859="","",TEXT($B8859,"0000"))</f>
        <v/>
      </c>
      <c r="W8859" s="19">
        <f>IF($I8859="","",IF(ISNUMBER($I8859),TEXT($I8859,"0"),$I8859))</f>
        <v/>
      </c>
    </row>
    <row r="8860">
      <c r="B8860" s="25" t="n"/>
      <c r="I8860" s="25" t="n"/>
      <c r="U8860" s="19">
        <f>IF($V8860&lt;&gt;'設定'!$C$4,N(U8859),IF(OR(NOT(COUNTIF('商品マスタ'!$B$6:$B$1005,$W8860)=0),COUNTIFS('①在庫を貼る'!$V$6:$V$10005,$V8860,'①在庫を貼る'!$W$6:$W$10005,$W8860)&gt;0),N(U8859),N(U8859)+1))</f>
        <v/>
      </c>
      <c r="V8860" s="19">
        <f>IF($B8860="","",TEXT($B8860,"0000"))</f>
        <v/>
      </c>
      <c r="W8860" s="19">
        <f>IF($I8860="","",IF(ISNUMBER($I8860),TEXT($I8860,"0"),$I8860))</f>
        <v/>
      </c>
    </row>
    <row r="8861">
      <c r="B8861" s="25" t="n"/>
      <c r="I8861" s="25" t="n"/>
      <c r="U8861" s="19">
        <f>IF($V8861&lt;&gt;'設定'!$C$4,N(U8860),IF(OR(NOT(COUNTIF('商品マスタ'!$B$6:$B$1005,$W8861)=0),COUNTIFS('①在庫を貼る'!$V$6:$V$10005,$V8861,'①在庫を貼る'!$W$6:$W$10005,$W8861)&gt;0),N(U8860),N(U8860)+1))</f>
        <v/>
      </c>
      <c r="V8861" s="19">
        <f>IF($B8861="","",TEXT($B8861,"0000"))</f>
        <v/>
      </c>
      <c r="W8861" s="19">
        <f>IF($I8861="","",IF(ISNUMBER($I8861),TEXT($I8861,"0"),$I8861))</f>
        <v/>
      </c>
    </row>
    <row r="8862">
      <c r="B8862" s="25" t="n"/>
      <c r="I8862" s="25" t="n"/>
      <c r="U8862" s="19">
        <f>IF($V8862&lt;&gt;'設定'!$C$4,N(U8861),IF(OR(NOT(COUNTIF('商品マスタ'!$B$6:$B$1005,$W8862)=0),COUNTIFS('①在庫を貼る'!$V$6:$V$10005,$V8862,'①在庫を貼る'!$W$6:$W$10005,$W8862)&gt;0),N(U8861),N(U8861)+1))</f>
        <v/>
      </c>
      <c r="V8862" s="19">
        <f>IF($B8862="","",TEXT($B8862,"0000"))</f>
        <v/>
      </c>
      <c r="W8862" s="19">
        <f>IF($I8862="","",IF(ISNUMBER($I8862),TEXT($I8862,"0"),$I8862))</f>
        <v/>
      </c>
    </row>
    <row r="8863">
      <c r="B8863" s="25" t="n"/>
      <c r="I8863" s="25" t="n"/>
      <c r="U8863" s="19">
        <f>IF($V8863&lt;&gt;'設定'!$C$4,N(U8862),IF(OR(NOT(COUNTIF('商品マスタ'!$B$6:$B$1005,$W8863)=0),COUNTIFS('①在庫を貼る'!$V$6:$V$10005,$V8863,'①在庫を貼る'!$W$6:$W$10005,$W8863)&gt;0),N(U8862),N(U8862)+1))</f>
        <v/>
      </c>
      <c r="V8863" s="19">
        <f>IF($B8863="","",TEXT($B8863,"0000"))</f>
        <v/>
      </c>
      <c r="W8863" s="19">
        <f>IF($I8863="","",IF(ISNUMBER($I8863),TEXT($I8863,"0"),$I8863))</f>
        <v/>
      </c>
    </row>
    <row r="8864">
      <c r="B8864" s="25" t="n"/>
      <c r="I8864" s="25" t="n"/>
      <c r="U8864" s="19">
        <f>IF($V8864&lt;&gt;'設定'!$C$4,N(U8863),IF(OR(NOT(COUNTIF('商品マスタ'!$B$6:$B$1005,$W8864)=0),COUNTIFS('①在庫を貼る'!$V$6:$V$10005,$V8864,'①在庫を貼る'!$W$6:$W$10005,$W8864)&gt;0),N(U8863),N(U8863)+1))</f>
        <v/>
      </c>
      <c r="V8864" s="19">
        <f>IF($B8864="","",TEXT($B8864,"0000"))</f>
        <v/>
      </c>
      <c r="W8864" s="19">
        <f>IF($I8864="","",IF(ISNUMBER($I8864),TEXT($I8864,"0"),$I8864))</f>
        <v/>
      </c>
    </row>
    <row r="8865">
      <c r="B8865" s="25" t="n"/>
      <c r="I8865" s="25" t="n"/>
      <c r="U8865" s="19">
        <f>IF($V8865&lt;&gt;'設定'!$C$4,N(U8864),IF(OR(NOT(COUNTIF('商品マスタ'!$B$6:$B$1005,$W8865)=0),COUNTIFS('①在庫を貼る'!$V$6:$V$10005,$V8865,'①在庫を貼る'!$W$6:$W$10005,$W8865)&gt;0),N(U8864),N(U8864)+1))</f>
        <v/>
      </c>
      <c r="V8865" s="19">
        <f>IF($B8865="","",TEXT($B8865,"0000"))</f>
        <v/>
      </c>
      <c r="W8865" s="19">
        <f>IF($I8865="","",IF(ISNUMBER($I8865),TEXT($I8865,"0"),$I8865))</f>
        <v/>
      </c>
    </row>
    <row r="8866">
      <c r="B8866" s="25" t="n"/>
      <c r="I8866" s="25" t="n"/>
      <c r="U8866" s="19">
        <f>IF($V8866&lt;&gt;'設定'!$C$4,N(U8865),IF(OR(NOT(COUNTIF('商品マスタ'!$B$6:$B$1005,$W8866)=0),COUNTIFS('①在庫を貼る'!$V$6:$V$10005,$V8866,'①在庫を貼る'!$W$6:$W$10005,$W8866)&gt;0),N(U8865),N(U8865)+1))</f>
        <v/>
      </c>
      <c r="V8866" s="19">
        <f>IF($B8866="","",TEXT($B8866,"0000"))</f>
        <v/>
      </c>
      <c r="W8866" s="19">
        <f>IF($I8866="","",IF(ISNUMBER($I8866),TEXT($I8866,"0"),$I8866))</f>
        <v/>
      </c>
    </row>
    <row r="8867">
      <c r="B8867" s="25" t="n"/>
      <c r="I8867" s="25" t="n"/>
      <c r="U8867" s="19">
        <f>IF($V8867&lt;&gt;'設定'!$C$4,N(U8866),IF(OR(NOT(COUNTIF('商品マスタ'!$B$6:$B$1005,$W8867)=0),COUNTIFS('①在庫を貼る'!$V$6:$V$10005,$V8867,'①在庫を貼る'!$W$6:$W$10005,$W8867)&gt;0),N(U8866),N(U8866)+1))</f>
        <v/>
      </c>
      <c r="V8867" s="19">
        <f>IF($B8867="","",TEXT($B8867,"0000"))</f>
        <v/>
      </c>
      <c r="W8867" s="19">
        <f>IF($I8867="","",IF(ISNUMBER($I8867),TEXT($I8867,"0"),$I8867))</f>
        <v/>
      </c>
    </row>
    <row r="8868">
      <c r="B8868" s="25" t="n"/>
      <c r="I8868" s="25" t="n"/>
      <c r="U8868" s="19">
        <f>IF($V8868&lt;&gt;'設定'!$C$4,N(U8867),IF(OR(NOT(COUNTIF('商品マスタ'!$B$6:$B$1005,$W8868)=0),COUNTIFS('①在庫を貼る'!$V$6:$V$10005,$V8868,'①在庫を貼る'!$W$6:$W$10005,$W8868)&gt;0),N(U8867),N(U8867)+1))</f>
        <v/>
      </c>
      <c r="V8868" s="19">
        <f>IF($B8868="","",TEXT($B8868,"0000"))</f>
        <v/>
      </c>
      <c r="W8868" s="19">
        <f>IF($I8868="","",IF(ISNUMBER($I8868),TEXT($I8868,"0"),$I8868))</f>
        <v/>
      </c>
    </row>
    <row r="8869">
      <c r="B8869" s="25" t="n"/>
      <c r="I8869" s="25" t="n"/>
      <c r="U8869" s="19">
        <f>IF($V8869&lt;&gt;'設定'!$C$4,N(U8868),IF(OR(NOT(COUNTIF('商品マスタ'!$B$6:$B$1005,$W8869)=0),COUNTIFS('①在庫を貼る'!$V$6:$V$10005,$V8869,'①在庫を貼る'!$W$6:$W$10005,$W8869)&gt;0),N(U8868),N(U8868)+1))</f>
        <v/>
      </c>
      <c r="V8869" s="19">
        <f>IF($B8869="","",TEXT($B8869,"0000"))</f>
        <v/>
      </c>
      <c r="W8869" s="19">
        <f>IF($I8869="","",IF(ISNUMBER($I8869),TEXT($I8869,"0"),$I8869))</f>
        <v/>
      </c>
    </row>
    <row r="8870">
      <c r="B8870" s="25" t="n"/>
      <c r="I8870" s="25" t="n"/>
      <c r="U8870" s="19">
        <f>IF($V8870&lt;&gt;'設定'!$C$4,N(U8869),IF(OR(NOT(COUNTIF('商品マスタ'!$B$6:$B$1005,$W8870)=0),COUNTIFS('①在庫を貼る'!$V$6:$V$10005,$V8870,'①在庫を貼る'!$W$6:$W$10005,$W8870)&gt;0),N(U8869),N(U8869)+1))</f>
        <v/>
      </c>
      <c r="V8870" s="19">
        <f>IF($B8870="","",TEXT($B8870,"0000"))</f>
        <v/>
      </c>
      <c r="W8870" s="19">
        <f>IF($I8870="","",IF(ISNUMBER($I8870),TEXT($I8870,"0"),$I8870))</f>
        <v/>
      </c>
    </row>
    <row r="8871">
      <c r="B8871" s="25" t="n"/>
      <c r="I8871" s="25" t="n"/>
      <c r="U8871" s="19">
        <f>IF($V8871&lt;&gt;'設定'!$C$4,N(U8870),IF(OR(NOT(COUNTIF('商品マスタ'!$B$6:$B$1005,$W8871)=0),COUNTIFS('①在庫を貼る'!$V$6:$V$10005,$V8871,'①在庫を貼る'!$W$6:$W$10005,$W8871)&gt;0),N(U8870),N(U8870)+1))</f>
        <v/>
      </c>
      <c r="V8871" s="19">
        <f>IF($B8871="","",TEXT($B8871,"0000"))</f>
        <v/>
      </c>
      <c r="W8871" s="19">
        <f>IF($I8871="","",IF(ISNUMBER($I8871),TEXT($I8871,"0"),$I8871))</f>
        <v/>
      </c>
    </row>
    <row r="8872">
      <c r="B8872" s="25" t="n"/>
      <c r="I8872" s="25" t="n"/>
      <c r="U8872" s="19">
        <f>IF($V8872&lt;&gt;'設定'!$C$4,N(U8871),IF(OR(NOT(COUNTIF('商品マスタ'!$B$6:$B$1005,$W8872)=0),COUNTIFS('①在庫を貼る'!$V$6:$V$10005,$V8872,'①在庫を貼る'!$W$6:$W$10005,$W8872)&gt;0),N(U8871),N(U8871)+1))</f>
        <v/>
      </c>
      <c r="V8872" s="19">
        <f>IF($B8872="","",TEXT($B8872,"0000"))</f>
        <v/>
      </c>
      <c r="W8872" s="19">
        <f>IF($I8872="","",IF(ISNUMBER($I8872),TEXT($I8872,"0"),$I8872))</f>
        <v/>
      </c>
    </row>
    <row r="8873">
      <c r="B8873" s="25" t="n"/>
      <c r="I8873" s="25" t="n"/>
      <c r="U8873" s="19">
        <f>IF($V8873&lt;&gt;'設定'!$C$4,N(U8872),IF(OR(NOT(COUNTIF('商品マスタ'!$B$6:$B$1005,$W8873)=0),COUNTIFS('①在庫を貼る'!$V$6:$V$10005,$V8873,'①在庫を貼る'!$W$6:$W$10005,$W8873)&gt;0),N(U8872),N(U8872)+1))</f>
        <v/>
      </c>
      <c r="V8873" s="19">
        <f>IF($B8873="","",TEXT($B8873,"0000"))</f>
        <v/>
      </c>
      <c r="W8873" s="19">
        <f>IF($I8873="","",IF(ISNUMBER($I8873),TEXT($I8873,"0"),$I8873))</f>
        <v/>
      </c>
    </row>
    <row r="8874">
      <c r="B8874" s="25" t="n"/>
      <c r="I8874" s="25" t="n"/>
      <c r="U8874" s="19">
        <f>IF($V8874&lt;&gt;'設定'!$C$4,N(U8873),IF(OR(NOT(COUNTIF('商品マスタ'!$B$6:$B$1005,$W8874)=0),COUNTIFS('①在庫を貼る'!$V$6:$V$10005,$V8874,'①在庫を貼る'!$W$6:$W$10005,$W8874)&gt;0),N(U8873),N(U8873)+1))</f>
        <v/>
      </c>
      <c r="V8874" s="19">
        <f>IF($B8874="","",TEXT($B8874,"0000"))</f>
        <v/>
      </c>
      <c r="W8874" s="19">
        <f>IF($I8874="","",IF(ISNUMBER($I8874),TEXT($I8874,"0"),$I8874))</f>
        <v/>
      </c>
    </row>
    <row r="8875">
      <c r="B8875" s="25" t="n"/>
      <c r="I8875" s="25" t="n"/>
      <c r="U8875" s="19">
        <f>IF($V8875&lt;&gt;'設定'!$C$4,N(U8874),IF(OR(NOT(COUNTIF('商品マスタ'!$B$6:$B$1005,$W8875)=0),COUNTIFS('①在庫を貼る'!$V$6:$V$10005,$V8875,'①在庫を貼る'!$W$6:$W$10005,$W8875)&gt;0),N(U8874),N(U8874)+1))</f>
        <v/>
      </c>
      <c r="V8875" s="19">
        <f>IF($B8875="","",TEXT($B8875,"0000"))</f>
        <v/>
      </c>
      <c r="W8875" s="19">
        <f>IF($I8875="","",IF(ISNUMBER($I8875),TEXT($I8875,"0"),$I8875))</f>
        <v/>
      </c>
    </row>
    <row r="8876">
      <c r="B8876" s="25" t="n"/>
      <c r="I8876" s="25" t="n"/>
      <c r="U8876" s="19">
        <f>IF($V8876&lt;&gt;'設定'!$C$4,N(U8875),IF(OR(NOT(COUNTIF('商品マスタ'!$B$6:$B$1005,$W8876)=0),COUNTIFS('①在庫を貼る'!$V$6:$V$10005,$V8876,'①在庫を貼る'!$W$6:$W$10005,$W8876)&gt;0),N(U8875),N(U8875)+1))</f>
        <v/>
      </c>
      <c r="V8876" s="19">
        <f>IF($B8876="","",TEXT($B8876,"0000"))</f>
        <v/>
      </c>
      <c r="W8876" s="19">
        <f>IF($I8876="","",IF(ISNUMBER($I8876),TEXT($I8876,"0"),$I8876))</f>
        <v/>
      </c>
    </row>
    <row r="8877">
      <c r="B8877" s="25" t="n"/>
      <c r="I8877" s="25" t="n"/>
      <c r="U8877" s="19">
        <f>IF($V8877&lt;&gt;'設定'!$C$4,N(U8876),IF(OR(NOT(COUNTIF('商品マスタ'!$B$6:$B$1005,$W8877)=0),COUNTIFS('①在庫を貼る'!$V$6:$V$10005,$V8877,'①在庫を貼る'!$W$6:$W$10005,$W8877)&gt;0),N(U8876),N(U8876)+1))</f>
        <v/>
      </c>
      <c r="V8877" s="19">
        <f>IF($B8877="","",TEXT($B8877,"0000"))</f>
        <v/>
      </c>
      <c r="W8877" s="19">
        <f>IF($I8877="","",IF(ISNUMBER($I8877),TEXT($I8877,"0"),$I8877))</f>
        <v/>
      </c>
    </row>
    <row r="8878">
      <c r="B8878" s="25" t="n"/>
      <c r="I8878" s="25" t="n"/>
      <c r="U8878" s="19">
        <f>IF($V8878&lt;&gt;'設定'!$C$4,N(U8877),IF(OR(NOT(COUNTIF('商品マスタ'!$B$6:$B$1005,$W8878)=0),COUNTIFS('①在庫を貼る'!$V$6:$V$10005,$V8878,'①在庫を貼る'!$W$6:$W$10005,$W8878)&gt;0),N(U8877),N(U8877)+1))</f>
        <v/>
      </c>
      <c r="V8878" s="19">
        <f>IF($B8878="","",TEXT($B8878,"0000"))</f>
        <v/>
      </c>
      <c r="W8878" s="19">
        <f>IF($I8878="","",IF(ISNUMBER($I8878),TEXT($I8878,"0"),$I8878))</f>
        <v/>
      </c>
    </row>
    <row r="8879">
      <c r="B8879" s="25" t="n"/>
      <c r="I8879" s="25" t="n"/>
      <c r="U8879" s="19">
        <f>IF($V8879&lt;&gt;'設定'!$C$4,N(U8878),IF(OR(NOT(COUNTIF('商品マスタ'!$B$6:$B$1005,$W8879)=0),COUNTIFS('①在庫を貼る'!$V$6:$V$10005,$V8879,'①在庫を貼る'!$W$6:$W$10005,$W8879)&gt;0),N(U8878),N(U8878)+1))</f>
        <v/>
      </c>
      <c r="V8879" s="19">
        <f>IF($B8879="","",TEXT($B8879,"0000"))</f>
        <v/>
      </c>
      <c r="W8879" s="19">
        <f>IF($I8879="","",IF(ISNUMBER($I8879),TEXT($I8879,"0"),$I8879))</f>
        <v/>
      </c>
    </row>
    <row r="8880">
      <c r="B8880" s="25" t="n"/>
      <c r="I8880" s="25" t="n"/>
      <c r="U8880" s="19">
        <f>IF($V8880&lt;&gt;'設定'!$C$4,N(U8879),IF(OR(NOT(COUNTIF('商品マスタ'!$B$6:$B$1005,$W8880)=0),COUNTIFS('①在庫を貼る'!$V$6:$V$10005,$V8880,'①在庫を貼る'!$W$6:$W$10005,$W8880)&gt;0),N(U8879),N(U8879)+1))</f>
        <v/>
      </c>
      <c r="V8880" s="19">
        <f>IF($B8880="","",TEXT($B8880,"0000"))</f>
        <v/>
      </c>
      <c r="W8880" s="19">
        <f>IF($I8880="","",IF(ISNUMBER($I8880),TEXT($I8880,"0"),$I8880))</f>
        <v/>
      </c>
    </row>
    <row r="8881">
      <c r="B8881" s="25" t="n"/>
      <c r="I8881" s="25" t="n"/>
      <c r="U8881" s="19">
        <f>IF($V8881&lt;&gt;'設定'!$C$4,N(U8880),IF(OR(NOT(COUNTIF('商品マスタ'!$B$6:$B$1005,$W8881)=0),COUNTIFS('①在庫を貼る'!$V$6:$V$10005,$V8881,'①在庫を貼る'!$W$6:$W$10005,$W8881)&gt;0),N(U8880),N(U8880)+1))</f>
        <v/>
      </c>
      <c r="V8881" s="19">
        <f>IF($B8881="","",TEXT($B8881,"0000"))</f>
        <v/>
      </c>
      <c r="W8881" s="19">
        <f>IF($I8881="","",IF(ISNUMBER($I8881),TEXT($I8881,"0"),$I8881))</f>
        <v/>
      </c>
    </row>
    <row r="8882">
      <c r="B8882" s="25" t="n"/>
      <c r="I8882" s="25" t="n"/>
      <c r="U8882" s="19">
        <f>IF($V8882&lt;&gt;'設定'!$C$4,N(U8881),IF(OR(NOT(COUNTIF('商品マスタ'!$B$6:$B$1005,$W8882)=0),COUNTIFS('①在庫を貼る'!$V$6:$V$10005,$V8882,'①在庫を貼る'!$W$6:$W$10005,$W8882)&gt;0),N(U8881),N(U8881)+1))</f>
        <v/>
      </c>
      <c r="V8882" s="19">
        <f>IF($B8882="","",TEXT($B8882,"0000"))</f>
        <v/>
      </c>
      <c r="W8882" s="19">
        <f>IF($I8882="","",IF(ISNUMBER($I8882),TEXT($I8882,"0"),$I8882))</f>
        <v/>
      </c>
    </row>
    <row r="8883">
      <c r="B8883" s="25" t="n"/>
      <c r="I8883" s="25" t="n"/>
      <c r="U8883" s="19">
        <f>IF($V8883&lt;&gt;'設定'!$C$4,N(U8882),IF(OR(NOT(COUNTIF('商品マスタ'!$B$6:$B$1005,$W8883)=0),COUNTIFS('①在庫を貼る'!$V$6:$V$10005,$V8883,'①在庫を貼る'!$W$6:$W$10005,$W8883)&gt;0),N(U8882),N(U8882)+1))</f>
        <v/>
      </c>
      <c r="V8883" s="19">
        <f>IF($B8883="","",TEXT($B8883,"0000"))</f>
        <v/>
      </c>
      <c r="W8883" s="19">
        <f>IF($I8883="","",IF(ISNUMBER($I8883),TEXT($I8883,"0"),$I8883))</f>
        <v/>
      </c>
    </row>
    <row r="8884">
      <c r="B8884" s="25" t="n"/>
      <c r="I8884" s="25" t="n"/>
      <c r="U8884" s="19">
        <f>IF($V8884&lt;&gt;'設定'!$C$4,N(U8883),IF(OR(NOT(COUNTIF('商品マスタ'!$B$6:$B$1005,$W8884)=0),COUNTIFS('①在庫を貼る'!$V$6:$V$10005,$V8884,'①在庫を貼る'!$W$6:$W$10005,$W8884)&gt;0),N(U8883),N(U8883)+1))</f>
        <v/>
      </c>
      <c r="V8884" s="19">
        <f>IF($B8884="","",TEXT($B8884,"0000"))</f>
        <v/>
      </c>
      <c r="W8884" s="19">
        <f>IF($I8884="","",IF(ISNUMBER($I8884),TEXT($I8884,"0"),$I8884))</f>
        <v/>
      </c>
    </row>
    <row r="8885">
      <c r="B8885" s="25" t="n"/>
      <c r="I8885" s="25" t="n"/>
      <c r="U8885" s="19">
        <f>IF($V8885&lt;&gt;'設定'!$C$4,N(U8884),IF(OR(NOT(COUNTIF('商品マスタ'!$B$6:$B$1005,$W8885)=0),COUNTIFS('①在庫を貼る'!$V$6:$V$10005,$V8885,'①在庫を貼る'!$W$6:$W$10005,$W8885)&gt;0),N(U8884),N(U8884)+1))</f>
        <v/>
      </c>
      <c r="V8885" s="19">
        <f>IF($B8885="","",TEXT($B8885,"0000"))</f>
        <v/>
      </c>
      <c r="W8885" s="19">
        <f>IF($I8885="","",IF(ISNUMBER($I8885),TEXT($I8885,"0"),$I8885))</f>
        <v/>
      </c>
    </row>
    <row r="8886">
      <c r="B8886" s="25" t="n"/>
      <c r="I8886" s="25" t="n"/>
      <c r="U8886" s="19">
        <f>IF($V8886&lt;&gt;'設定'!$C$4,N(U8885),IF(OR(NOT(COUNTIF('商品マスタ'!$B$6:$B$1005,$W8886)=0),COUNTIFS('①在庫を貼る'!$V$6:$V$10005,$V8886,'①在庫を貼る'!$W$6:$W$10005,$W8886)&gt;0),N(U8885),N(U8885)+1))</f>
        <v/>
      </c>
      <c r="V8886" s="19">
        <f>IF($B8886="","",TEXT($B8886,"0000"))</f>
        <v/>
      </c>
      <c r="W8886" s="19">
        <f>IF($I8886="","",IF(ISNUMBER($I8886),TEXT($I8886,"0"),$I8886))</f>
        <v/>
      </c>
    </row>
    <row r="8887">
      <c r="B8887" s="25" t="n"/>
      <c r="I8887" s="25" t="n"/>
      <c r="U8887" s="19">
        <f>IF($V8887&lt;&gt;'設定'!$C$4,N(U8886),IF(OR(NOT(COUNTIF('商品マスタ'!$B$6:$B$1005,$W8887)=0),COUNTIFS('①在庫を貼る'!$V$6:$V$10005,$V8887,'①在庫を貼る'!$W$6:$W$10005,$W8887)&gt;0),N(U8886),N(U8886)+1))</f>
        <v/>
      </c>
      <c r="V8887" s="19">
        <f>IF($B8887="","",TEXT($B8887,"0000"))</f>
        <v/>
      </c>
      <c r="W8887" s="19">
        <f>IF($I8887="","",IF(ISNUMBER($I8887),TEXT($I8887,"0"),$I8887))</f>
        <v/>
      </c>
    </row>
    <row r="8888">
      <c r="B8888" s="25" t="n"/>
      <c r="I8888" s="25" t="n"/>
      <c r="U8888" s="19">
        <f>IF($V8888&lt;&gt;'設定'!$C$4,N(U8887),IF(OR(NOT(COUNTIF('商品マスタ'!$B$6:$B$1005,$W8888)=0),COUNTIFS('①在庫を貼る'!$V$6:$V$10005,$V8888,'①在庫を貼る'!$W$6:$W$10005,$W8888)&gt;0),N(U8887),N(U8887)+1))</f>
        <v/>
      </c>
      <c r="V8888" s="19">
        <f>IF($B8888="","",TEXT($B8888,"0000"))</f>
        <v/>
      </c>
      <c r="W8888" s="19">
        <f>IF($I8888="","",IF(ISNUMBER($I8888),TEXT($I8888,"0"),$I8888))</f>
        <v/>
      </c>
    </row>
    <row r="8889">
      <c r="B8889" s="25" t="n"/>
      <c r="I8889" s="25" t="n"/>
      <c r="U8889" s="19">
        <f>IF($V8889&lt;&gt;'設定'!$C$4,N(U8888),IF(OR(NOT(COUNTIF('商品マスタ'!$B$6:$B$1005,$W8889)=0),COUNTIFS('①在庫を貼る'!$V$6:$V$10005,$V8889,'①在庫を貼る'!$W$6:$W$10005,$W8889)&gt;0),N(U8888),N(U8888)+1))</f>
        <v/>
      </c>
      <c r="V8889" s="19">
        <f>IF($B8889="","",TEXT($B8889,"0000"))</f>
        <v/>
      </c>
      <c r="W8889" s="19">
        <f>IF($I8889="","",IF(ISNUMBER($I8889),TEXT($I8889,"0"),$I8889))</f>
        <v/>
      </c>
    </row>
    <row r="8890">
      <c r="B8890" s="25" t="n"/>
      <c r="I8890" s="25" t="n"/>
      <c r="U8890" s="19">
        <f>IF($V8890&lt;&gt;'設定'!$C$4,N(U8889),IF(OR(NOT(COUNTIF('商品マスタ'!$B$6:$B$1005,$W8890)=0),COUNTIFS('①在庫を貼る'!$V$6:$V$10005,$V8890,'①在庫を貼る'!$W$6:$W$10005,$W8890)&gt;0),N(U8889),N(U8889)+1))</f>
        <v/>
      </c>
      <c r="V8890" s="19">
        <f>IF($B8890="","",TEXT($B8890,"0000"))</f>
        <v/>
      </c>
      <c r="W8890" s="19">
        <f>IF($I8890="","",IF(ISNUMBER($I8890),TEXT($I8890,"0"),$I8890))</f>
        <v/>
      </c>
    </row>
    <row r="8891">
      <c r="B8891" s="25" t="n"/>
      <c r="I8891" s="25" t="n"/>
      <c r="U8891" s="19">
        <f>IF($V8891&lt;&gt;'設定'!$C$4,N(U8890),IF(OR(NOT(COUNTIF('商品マスタ'!$B$6:$B$1005,$W8891)=0),COUNTIFS('①在庫を貼る'!$V$6:$V$10005,$V8891,'①在庫を貼る'!$W$6:$W$10005,$W8891)&gt;0),N(U8890),N(U8890)+1))</f>
        <v/>
      </c>
      <c r="V8891" s="19">
        <f>IF($B8891="","",TEXT($B8891,"0000"))</f>
        <v/>
      </c>
      <c r="W8891" s="19">
        <f>IF($I8891="","",IF(ISNUMBER($I8891),TEXT($I8891,"0"),$I8891))</f>
        <v/>
      </c>
    </row>
    <row r="8892">
      <c r="B8892" s="25" t="n"/>
      <c r="I8892" s="25" t="n"/>
      <c r="U8892" s="19">
        <f>IF($V8892&lt;&gt;'設定'!$C$4,N(U8891),IF(OR(NOT(COUNTIF('商品マスタ'!$B$6:$B$1005,$W8892)=0),COUNTIFS('①在庫を貼る'!$V$6:$V$10005,$V8892,'①在庫を貼る'!$W$6:$W$10005,$W8892)&gt;0),N(U8891),N(U8891)+1))</f>
        <v/>
      </c>
      <c r="V8892" s="19">
        <f>IF($B8892="","",TEXT($B8892,"0000"))</f>
        <v/>
      </c>
      <c r="W8892" s="19">
        <f>IF($I8892="","",IF(ISNUMBER($I8892),TEXT($I8892,"0"),$I8892))</f>
        <v/>
      </c>
    </row>
    <row r="8893">
      <c r="B8893" s="25" t="n"/>
      <c r="I8893" s="25" t="n"/>
      <c r="U8893" s="19">
        <f>IF($V8893&lt;&gt;'設定'!$C$4,N(U8892),IF(OR(NOT(COUNTIF('商品マスタ'!$B$6:$B$1005,$W8893)=0),COUNTIFS('①在庫を貼る'!$V$6:$V$10005,$V8893,'①在庫を貼る'!$W$6:$W$10005,$W8893)&gt;0),N(U8892),N(U8892)+1))</f>
        <v/>
      </c>
      <c r="V8893" s="19">
        <f>IF($B8893="","",TEXT($B8893,"0000"))</f>
        <v/>
      </c>
      <c r="W8893" s="19">
        <f>IF($I8893="","",IF(ISNUMBER($I8893),TEXT($I8893,"0"),$I8893))</f>
        <v/>
      </c>
    </row>
    <row r="8894">
      <c r="B8894" s="25" t="n"/>
      <c r="I8894" s="25" t="n"/>
      <c r="U8894" s="19">
        <f>IF($V8894&lt;&gt;'設定'!$C$4,N(U8893),IF(OR(NOT(COUNTIF('商品マスタ'!$B$6:$B$1005,$W8894)=0),COUNTIFS('①在庫を貼る'!$V$6:$V$10005,$V8894,'①在庫を貼る'!$W$6:$W$10005,$W8894)&gt;0),N(U8893),N(U8893)+1))</f>
        <v/>
      </c>
      <c r="V8894" s="19">
        <f>IF($B8894="","",TEXT($B8894,"0000"))</f>
        <v/>
      </c>
      <c r="W8894" s="19">
        <f>IF($I8894="","",IF(ISNUMBER($I8894),TEXT($I8894,"0"),$I8894))</f>
        <v/>
      </c>
    </row>
    <row r="8895">
      <c r="B8895" s="25" t="n"/>
      <c r="I8895" s="25" t="n"/>
      <c r="U8895" s="19">
        <f>IF($V8895&lt;&gt;'設定'!$C$4,N(U8894),IF(OR(NOT(COUNTIF('商品マスタ'!$B$6:$B$1005,$W8895)=0),COUNTIFS('①在庫を貼る'!$V$6:$V$10005,$V8895,'①在庫を貼る'!$W$6:$W$10005,$W8895)&gt;0),N(U8894),N(U8894)+1))</f>
        <v/>
      </c>
      <c r="V8895" s="19">
        <f>IF($B8895="","",TEXT($B8895,"0000"))</f>
        <v/>
      </c>
      <c r="W8895" s="19">
        <f>IF($I8895="","",IF(ISNUMBER($I8895),TEXT($I8895,"0"),$I8895))</f>
        <v/>
      </c>
    </row>
    <row r="8896">
      <c r="B8896" s="25" t="n"/>
      <c r="I8896" s="25" t="n"/>
      <c r="U8896" s="19">
        <f>IF($V8896&lt;&gt;'設定'!$C$4,N(U8895),IF(OR(NOT(COUNTIF('商品マスタ'!$B$6:$B$1005,$W8896)=0),COUNTIFS('①在庫を貼る'!$V$6:$V$10005,$V8896,'①在庫を貼る'!$W$6:$W$10005,$W8896)&gt;0),N(U8895),N(U8895)+1))</f>
        <v/>
      </c>
      <c r="V8896" s="19">
        <f>IF($B8896="","",TEXT($B8896,"0000"))</f>
        <v/>
      </c>
      <c r="W8896" s="19">
        <f>IF($I8896="","",IF(ISNUMBER($I8896),TEXT($I8896,"0"),$I8896))</f>
        <v/>
      </c>
    </row>
    <row r="8897">
      <c r="B8897" s="25" t="n"/>
      <c r="I8897" s="25" t="n"/>
      <c r="U8897" s="19">
        <f>IF($V8897&lt;&gt;'設定'!$C$4,N(U8896),IF(OR(NOT(COUNTIF('商品マスタ'!$B$6:$B$1005,$W8897)=0),COUNTIFS('①在庫を貼る'!$V$6:$V$10005,$V8897,'①在庫を貼る'!$W$6:$W$10005,$W8897)&gt;0),N(U8896),N(U8896)+1))</f>
        <v/>
      </c>
      <c r="V8897" s="19">
        <f>IF($B8897="","",TEXT($B8897,"0000"))</f>
        <v/>
      </c>
      <c r="W8897" s="19">
        <f>IF($I8897="","",IF(ISNUMBER($I8897),TEXT($I8897,"0"),$I8897))</f>
        <v/>
      </c>
    </row>
    <row r="8898">
      <c r="B8898" s="25" t="n"/>
      <c r="I8898" s="25" t="n"/>
      <c r="U8898" s="19">
        <f>IF($V8898&lt;&gt;'設定'!$C$4,N(U8897),IF(OR(NOT(COUNTIF('商品マスタ'!$B$6:$B$1005,$W8898)=0),COUNTIFS('①在庫を貼る'!$V$6:$V$10005,$V8898,'①在庫を貼る'!$W$6:$W$10005,$W8898)&gt;0),N(U8897),N(U8897)+1))</f>
        <v/>
      </c>
      <c r="V8898" s="19">
        <f>IF($B8898="","",TEXT($B8898,"0000"))</f>
        <v/>
      </c>
      <c r="W8898" s="19">
        <f>IF($I8898="","",IF(ISNUMBER($I8898),TEXT($I8898,"0"),$I8898))</f>
        <v/>
      </c>
    </row>
    <row r="8899">
      <c r="B8899" s="25" t="n"/>
      <c r="I8899" s="25" t="n"/>
      <c r="U8899" s="19">
        <f>IF($V8899&lt;&gt;'設定'!$C$4,N(U8898),IF(OR(NOT(COUNTIF('商品マスタ'!$B$6:$B$1005,$W8899)=0),COUNTIFS('①在庫を貼る'!$V$6:$V$10005,$V8899,'①在庫を貼る'!$W$6:$W$10005,$W8899)&gt;0),N(U8898),N(U8898)+1))</f>
        <v/>
      </c>
      <c r="V8899" s="19">
        <f>IF($B8899="","",TEXT($B8899,"0000"))</f>
        <v/>
      </c>
      <c r="W8899" s="19">
        <f>IF($I8899="","",IF(ISNUMBER($I8899),TEXT($I8899,"0"),$I8899))</f>
        <v/>
      </c>
    </row>
    <row r="8900">
      <c r="B8900" s="25" t="n"/>
      <c r="I8900" s="25" t="n"/>
      <c r="U8900" s="19">
        <f>IF($V8900&lt;&gt;'設定'!$C$4,N(U8899),IF(OR(NOT(COUNTIF('商品マスタ'!$B$6:$B$1005,$W8900)=0),COUNTIFS('①在庫を貼る'!$V$6:$V$10005,$V8900,'①在庫を貼る'!$W$6:$W$10005,$W8900)&gt;0),N(U8899),N(U8899)+1))</f>
        <v/>
      </c>
      <c r="V8900" s="19">
        <f>IF($B8900="","",TEXT($B8900,"0000"))</f>
        <v/>
      </c>
      <c r="W8900" s="19">
        <f>IF($I8900="","",IF(ISNUMBER($I8900),TEXT($I8900,"0"),$I8900))</f>
        <v/>
      </c>
    </row>
    <row r="8901">
      <c r="B8901" s="25" t="n"/>
      <c r="I8901" s="25" t="n"/>
      <c r="U8901" s="19">
        <f>IF($V8901&lt;&gt;'設定'!$C$4,N(U8900),IF(OR(NOT(COUNTIF('商品マスタ'!$B$6:$B$1005,$W8901)=0),COUNTIFS('①在庫を貼る'!$V$6:$V$10005,$V8901,'①在庫を貼る'!$W$6:$W$10005,$W8901)&gt;0),N(U8900),N(U8900)+1))</f>
        <v/>
      </c>
      <c r="V8901" s="19">
        <f>IF($B8901="","",TEXT($B8901,"0000"))</f>
        <v/>
      </c>
      <c r="W8901" s="19">
        <f>IF($I8901="","",IF(ISNUMBER($I8901),TEXT($I8901,"0"),$I8901))</f>
        <v/>
      </c>
    </row>
    <row r="8902">
      <c r="B8902" s="25" t="n"/>
      <c r="I8902" s="25" t="n"/>
      <c r="U8902" s="19">
        <f>IF($V8902&lt;&gt;'設定'!$C$4,N(U8901),IF(OR(NOT(COUNTIF('商品マスタ'!$B$6:$B$1005,$W8902)=0),COUNTIFS('①在庫を貼る'!$V$6:$V$10005,$V8902,'①在庫を貼る'!$W$6:$W$10005,$W8902)&gt;0),N(U8901),N(U8901)+1))</f>
        <v/>
      </c>
      <c r="V8902" s="19">
        <f>IF($B8902="","",TEXT($B8902,"0000"))</f>
        <v/>
      </c>
      <c r="W8902" s="19">
        <f>IF($I8902="","",IF(ISNUMBER($I8902),TEXT($I8902,"0"),$I8902))</f>
        <v/>
      </c>
    </row>
    <row r="8903">
      <c r="B8903" s="25" t="n"/>
      <c r="I8903" s="25" t="n"/>
      <c r="U8903" s="19">
        <f>IF($V8903&lt;&gt;'設定'!$C$4,N(U8902),IF(OR(NOT(COUNTIF('商品マスタ'!$B$6:$B$1005,$W8903)=0),COUNTIFS('①在庫を貼る'!$V$6:$V$10005,$V8903,'①在庫を貼る'!$W$6:$W$10005,$W8903)&gt;0),N(U8902),N(U8902)+1))</f>
        <v/>
      </c>
      <c r="V8903" s="19">
        <f>IF($B8903="","",TEXT($B8903,"0000"))</f>
        <v/>
      </c>
      <c r="W8903" s="19">
        <f>IF($I8903="","",IF(ISNUMBER($I8903),TEXT($I8903,"0"),$I8903))</f>
        <v/>
      </c>
    </row>
    <row r="8904">
      <c r="B8904" s="25" t="n"/>
      <c r="I8904" s="25" t="n"/>
      <c r="U8904" s="19">
        <f>IF($V8904&lt;&gt;'設定'!$C$4,N(U8903),IF(OR(NOT(COUNTIF('商品マスタ'!$B$6:$B$1005,$W8904)=0),COUNTIFS('①在庫を貼る'!$V$6:$V$10005,$V8904,'①在庫を貼る'!$W$6:$W$10005,$W8904)&gt;0),N(U8903),N(U8903)+1))</f>
        <v/>
      </c>
      <c r="V8904" s="19">
        <f>IF($B8904="","",TEXT($B8904,"0000"))</f>
        <v/>
      </c>
      <c r="W8904" s="19">
        <f>IF($I8904="","",IF(ISNUMBER($I8904),TEXT($I8904,"0"),$I8904))</f>
        <v/>
      </c>
    </row>
    <row r="8905">
      <c r="B8905" s="25" t="n"/>
      <c r="I8905" s="25" t="n"/>
      <c r="U8905" s="19">
        <f>IF($V8905&lt;&gt;'設定'!$C$4,N(U8904),IF(OR(NOT(COUNTIF('商品マスタ'!$B$6:$B$1005,$W8905)=0),COUNTIFS('①在庫を貼る'!$V$6:$V$10005,$V8905,'①在庫を貼る'!$W$6:$W$10005,$W8905)&gt;0),N(U8904),N(U8904)+1))</f>
        <v/>
      </c>
      <c r="V8905" s="19">
        <f>IF($B8905="","",TEXT($B8905,"0000"))</f>
        <v/>
      </c>
      <c r="W8905" s="19">
        <f>IF($I8905="","",IF(ISNUMBER($I8905),TEXT($I8905,"0"),$I8905))</f>
        <v/>
      </c>
    </row>
    <row r="8906">
      <c r="B8906" s="25" t="n"/>
      <c r="I8906" s="25" t="n"/>
      <c r="U8906" s="19">
        <f>IF($V8906&lt;&gt;'設定'!$C$4,N(U8905),IF(OR(NOT(COUNTIF('商品マスタ'!$B$6:$B$1005,$W8906)=0),COUNTIFS('①在庫を貼る'!$V$6:$V$10005,$V8906,'①在庫を貼る'!$W$6:$W$10005,$W8906)&gt;0),N(U8905),N(U8905)+1))</f>
        <v/>
      </c>
      <c r="V8906" s="19">
        <f>IF($B8906="","",TEXT($B8906,"0000"))</f>
        <v/>
      </c>
      <c r="W8906" s="19">
        <f>IF($I8906="","",IF(ISNUMBER($I8906),TEXT($I8906,"0"),$I8906))</f>
        <v/>
      </c>
    </row>
    <row r="8907">
      <c r="B8907" s="25" t="n"/>
      <c r="I8907" s="25" t="n"/>
      <c r="U8907" s="19">
        <f>IF($V8907&lt;&gt;'設定'!$C$4,N(U8906),IF(OR(NOT(COUNTIF('商品マスタ'!$B$6:$B$1005,$W8907)=0),COUNTIFS('①在庫を貼る'!$V$6:$V$10005,$V8907,'①在庫を貼る'!$W$6:$W$10005,$W8907)&gt;0),N(U8906),N(U8906)+1))</f>
        <v/>
      </c>
      <c r="V8907" s="19">
        <f>IF($B8907="","",TEXT($B8907,"0000"))</f>
        <v/>
      </c>
      <c r="W8907" s="19">
        <f>IF($I8907="","",IF(ISNUMBER($I8907),TEXT($I8907,"0"),$I8907))</f>
        <v/>
      </c>
    </row>
    <row r="8908">
      <c r="B8908" s="25" t="n"/>
      <c r="I8908" s="25" t="n"/>
      <c r="U8908" s="19">
        <f>IF($V8908&lt;&gt;'設定'!$C$4,N(U8907),IF(OR(NOT(COUNTIF('商品マスタ'!$B$6:$B$1005,$W8908)=0),COUNTIFS('①在庫を貼る'!$V$6:$V$10005,$V8908,'①在庫を貼る'!$W$6:$W$10005,$W8908)&gt;0),N(U8907),N(U8907)+1))</f>
        <v/>
      </c>
      <c r="V8908" s="19">
        <f>IF($B8908="","",TEXT($B8908,"0000"))</f>
        <v/>
      </c>
      <c r="W8908" s="19">
        <f>IF($I8908="","",IF(ISNUMBER($I8908),TEXT($I8908,"0"),$I8908))</f>
        <v/>
      </c>
    </row>
    <row r="8909">
      <c r="B8909" s="25" t="n"/>
      <c r="I8909" s="25" t="n"/>
      <c r="U8909" s="19">
        <f>IF($V8909&lt;&gt;'設定'!$C$4,N(U8908),IF(OR(NOT(COUNTIF('商品マスタ'!$B$6:$B$1005,$W8909)=0),COUNTIFS('①在庫を貼る'!$V$6:$V$10005,$V8909,'①在庫を貼る'!$W$6:$W$10005,$W8909)&gt;0),N(U8908),N(U8908)+1))</f>
        <v/>
      </c>
      <c r="V8909" s="19">
        <f>IF($B8909="","",TEXT($B8909,"0000"))</f>
        <v/>
      </c>
      <c r="W8909" s="19">
        <f>IF($I8909="","",IF(ISNUMBER($I8909),TEXT($I8909,"0"),$I8909))</f>
        <v/>
      </c>
    </row>
    <row r="8910">
      <c r="B8910" s="25" t="n"/>
      <c r="I8910" s="25" t="n"/>
      <c r="U8910" s="19">
        <f>IF($V8910&lt;&gt;'設定'!$C$4,N(U8909),IF(OR(NOT(COUNTIF('商品マスタ'!$B$6:$B$1005,$W8910)=0),COUNTIFS('①在庫を貼る'!$V$6:$V$10005,$V8910,'①在庫を貼る'!$W$6:$W$10005,$W8910)&gt;0),N(U8909),N(U8909)+1))</f>
        <v/>
      </c>
      <c r="V8910" s="19">
        <f>IF($B8910="","",TEXT($B8910,"0000"))</f>
        <v/>
      </c>
      <c r="W8910" s="19">
        <f>IF($I8910="","",IF(ISNUMBER($I8910),TEXT($I8910,"0"),$I8910))</f>
        <v/>
      </c>
    </row>
    <row r="8911">
      <c r="B8911" s="25" t="n"/>
      <c r="I8911" s="25" t="n"/>
      <c r="U8911" s="19">
        <f>IF($V8911&lt;&gt;'設定'!$C$4,N(U8910),IF(OR(NOT(COUNTIF('商品マスタ'!$B$6:$B$1005,$W8911)=0),COUNTIFS('①在庫を貼る'!$V$6:$V$10005,$V8911,'①在庫を貼る'!$W$6:$W$10005,$W8911)&gt;0),N(U8910),N(U8910)+1))</f>
        <v/>
      </c>
      <c r="V8911" s="19">
        <f>IF($B8911="","",TEXT($B8911,"0000"))</f>
        <v/>
      </c>
      <c r="W8911" s="19">
        <f>IF($I8911="","",IF(ISNUMBER($I8911),TEXT($I8911,"0"),$I8911))</f>
        <v/>
      </c>
    </row>
    <row r="8912">
      <c r="B8912" s="25" t="n"/>
      <c r="I8912" s="25" t="n"/>
      <c r="U8912" s="19">
        <f>IF($V8912&lt;&gt;'設定'!$C$4,N(U8911),IF(OR(NOT(COUNTIF('商品マスタ'!$B$6:$B$1005,$W8912)=0),COUNTIFS('①在庫を貼る'!$V$6:$V$10005,$V8912,'①在庫を貼る'!$W$6:$W$10005,$W8912)&gt;0),N(U8911),N(U8911)+1))</f>
        <v/>
      </c>
      <c r="V8912" s="19">
        <f>IF($B8912="","",TEXT($B8912,"0000"))</f>
        <v/>
      </c>
      <c r="W8912" s="19">
        <f>IF($I8912="","",IF(ISNUMBER($I8912),TEXT($I8912,"0"),$I8912))</f>
        <v/>
      </c>
    </row>
    <row r="8913">
      <c r="B8913" s="25" t="n"/>
      <c r="I8913" s="25" t="n"/>
      <c r="U8913" s="19">
        <f>IF($V8913&lt;&gt;'設定'!$C$4,N(U8912),IF(OR(NOT(COUNTIF('商品マスタ'!$B$6:$B$1005,$W8913)=0),COUNTIFS('①在庫を貼る'!$V$6:$V$10005,$V8913,'①在庫を貼る'!$W$6:$W$10005,$W8913)&gt;0),N(U8912),N(U8912)+1))</f>
        <v/>
      </c>
      <c r="V8913" s="19">
        <f>IF($B8913="","",TEXT($B8913,"0000"))</f>
        <v/>
      </c>
      <c r="W8913" s="19">
        <f>IF($I8913="","",IF(ISNUMBER($I8913),TEXT($I8913,"0"),$I8913))</f>
        <v/>
      </c>
    </row>
    <row r="8914">
      <c r="B8914" s="25" t="n"/>
      <c r="I8914" s="25" t="n"/>
      <c r="U8914" s="19">
        <f>IF($V8914&lt;&gt;'設定'!$C$4,N(U8913),IF(OR(NOT(COUNTIF('商品マスタ'!$B$6:$B$1005,$W8914)=0),COUNTIFS('①在庫を貼る'!$V$6:$V$10005,$V8914,'①在庫を貼る'!$W$6:$W$10005,$W8914)&gt;0),N(U8913),N(U8913)+1))</f>
        <v/>
      </c>
      <c r="V8914" s="19">
        <f>IF($B8914="","",TEXT($B8914,"0000"))</f>
        <v/>
      </c>
      <c r="W8914" s="19">
        <f>IF($I8914="","",IF(ISNUMBER($I8914),TEXT($I8914,"0"),$I8914))</f>
        <v/>
      </c>
    </row>
    <row r="8915">
      <c r="B8915" s="25" t="n"/>
      <c r="I8915" s="25" t="n"/>
      <c r="U8915" s="19">
        <f>IF($V8915&lt;&gt;'設定'!$C$4,N(U8914),IF(OR(NOT(COUNTIF('商品マスタ'!$B$6:$B$1005,$W8915)=0),COUNTIFS('①在庫を貼る'!$V$6:$V$10005,$V8915,'①在庫を貼る'!$W$6:$W$10005,$W8915)&gt;0),N(U8914),N(U8914)+1))</f>
        <v/>
      </c>
      <c r="V8915" s="19">
        <f>IF($B8915="","",TEXT($B8915,"0000"))</f>
        <v/>
      </c>
      <c r="W8915" s="19">
        <f>IF($I8915="","",IF(ISNUMBER($I8915),TEXT($I8915,"0"),$I8915))</f>
        <v/>
      </c>
    </row>
    <row r="8916">
      <c r="B8916" s="25" t="n"/>
      <c r="I8916" s="25" t="n"/>
      <c r="U8916" s="19">
        <f>IF($V8916&lt;&gt;'設定'!$C$4,N(U8915),IF(OR(NOT(COUNTIF('商品マスタ'!$B$6:$B$1005,$W8916)=0),COUNTIFS('①在庫を貼る'!$V$6:$V$10005,$V8916,'①在庫を貼る'!$W$6:$W$10005,$W8916)&gt;0),N(U8915),N(U8915)+1))</f>
        <v/>
      </c>
      <c r="V8916" s="19">
        <f>IF($B8916="","",TEXT($B8916,"0000"))</f>
        <v/>
      </c>
      <c r="W8916" s="19">
        <f>IF($I8916="","",IF(ISNUMBER($I8916),TEXT($I8916,"0"),$I8916))</f>
        <v/>
      </c>
    </row>
    <row r="8917">
      <c r="B8917" s="25" t="n"/>
      <c r="I8917" s="25" t="n"/>
      <c r="U8917" s="19">
        <f>IF($V8917&lt;&gt;'設定'!$C$4,N(U8916),IF(OR(NOT(COUNTIF('商品マスタ'!$B$6:$B$1005,$W8917)=0),COUNTIFS('①在庫を貼る'!$V$6:$V$10005,$V8917,'①在庫を貼る'!$W$6:$W$10005,$W8917)&gt;0),N(U8916),N(U8916)+1))</f>
        <v/>
      </c>
      <c r="V8917" s="19">
        <f>IF($B8917="","",TEXT($B8917,"0000"))</f>
        <v/>
      </c>
      <c r="W8917" s="19">
        <f>IF($I8917="","",IF(ISNUMBER($I8917),TEXT($I8917,"0"),$I8917))</f>
        <v/>
      </c>
    </row>
    <row r="8918">
      <c r="B8918" s="25" t="n"/>
      <c r="I8918" s="25" t="n"/>
      <c r="U8918" s="19">
        <f>IF($V8918&lt;&gt;'設定'!$C$4,N(U8917),IF(OR(NOT(COUNTIF('商品マスタ'!$B$6:$B$1005,$W8918)=0),COUNTIFS('①在庫を貼る'!$V$6:$V$10005,$V8918,'①在庫を貼る'!$W$6:$W$10005,$W8918)&gt;0),N(U8917),N(U8917)+1))</f>
        <v/>
      </c>
      <c r="V8918" s="19">
        <f>IF($B8918="","",TEXT($B8918,"0000"))</f>
        <v/>
      </c>
      <c r="W8918" s="19">
        <f>IF($I8918="","",IF(ISNUMBER($I8918),TEXT($I8918,"0"),$I8918))</f>
        <v/>
      </c>
    </row>
    <row r="8919">
      <c r="B8919" s="25" t="n"/>
      <c r="I8919" s="25" t="n"/>
      <c r="U8919" s="19">
        <f>IF($V8919&lt;&gt;'設定'!$C$4,N(U8918),IF(OR(NOT(COUNTIF('商品マスタ'!$B$6:$B$1005,$W8919)=0),COUNTIFS('①在庫を貼る'!$V$6:$V$10005,$V8919,'①在庫を貼る'!$W$6:$W$10005,$W8919)&gt;0),N(U8918),N(U8918)+1))</f>
        <v/>
      </c>
      <c r="V8919" s="19">
        <f>IF($B8919="","",TEXT($B8919,"0000"))</f>
        <v/>
      </c>
      <c r="W8919" s="19">
        <f>IF($I8919="","",IF(ISNUMBER($I8919),TEXT($I8919,"0"),$I8919))</f>
        <v/>
      </c>
    </row>
    <row r="8920">
      <c r="B8920" s="25" t="n"/>
      <c r="I8920" s="25" t="n"/>
      <c r="U8920" s="19">
        <f>IF($V8920&lt;&gt;'設定'!$C$4,N(U8919),IF(OR(NOT(COUNTIF('商品マスタ'!$B$6:$B$1005,$W8920)=0),COUNTIFS('①在庫を貼る'!$V$6:$V$10005,$V8920,'①在庫を貼る'!$W$6:$W$10005,$W8920)&gt;0),N(U8919),N(U8919)+1))</f>
        <v/>
      </c>
      <c r="V8920" s="19">
        <f>IF($B8920="","",TEXT($B8920,"0000"))</f>
        <v/>
      </c>
      <c r="W8920" s="19">
        <f>IF($I8920="","",IF(ISNUMBER($I8920),TEXT($I8920,"0"),$I8920))</f>
        <v/>
      </c>
    </row>
    <row r="8921">
      <c r="B8921" s="25" t="n"/>
      <c r="I8921" s="25" t="n"/>
      <c r="U8921" s="19">
        <f>IF($V8921&lt;&gt;'設定'!$C$4,N(U8920),IF(OR(NOT(COUNTIF('商品マスタ'!$B$6:$B$1005,$W8921)=0),COUNTIFS('①在庫を貼る'!$V$6:$V$10005,$V8921,'①在庫を貼る'!$W$6:$W$10005,$W8921)&gt;0),N(U8920),N(U8920)+1))</f>
        <v/>
      </c>
      <c r="V8921" s="19">
        <f>IF($B8921="","",TEXT($B8921,"0000"))</f>
        <v/>
      </c>
      <c r="W8921" s="19">
        <f>IF($I8921="","",IF(ISNUMBER($I8921),TEXT($I8921,"0"),$I8921))</f>
        <v/>
      </c>
    </row>
    <row r="8922">
      <c r="B8922" s="25" t="n"/>
      <c r="I8922" s="25" t="n"/>
      <c r="U8922" s="19">
        <f>IF($V8922&lt;&gt;'設定'!$C$4,N(U8921),IF(OR(NOT(COUNTIF('商品マスタ'!$B$6:$B$1005,$W8922)=0),COUNTIFS('①在庫を貼る'!$V$6:$V$10005,$V8922,'①在庫を貼る'!$W$6:$W$10005,$W8922)&gt;0),N(U8921),N(U8921)+1))</f>
        <v/>
      </c>
      <c r="V8922" s="19">
        <f>IF($B8922="","",TEXT($B8922,"0000"))</f>
        <v/>
      </c>
      <c r="W8922" s="19">
        <f>IF($I8922="","",IF(ISNUMBER($I8922),TEXT($I8922,"0"),$I8922))</f>
        <v/>
      </c>
    </row>
    <row r="8923">
      <c r="B8923" s="25" t="n"/>
      <c r="I8923" s="25" t="n"/>
      <c r="U8923" s="19">
        <f>IF($V8923&lt;&gt;'設定'!$C$4,N(U8922),IF(OR(NOT(COUNTIF('商品マスタ'!$B$6:$B$1005,$W8923)=0),COUNTIFS('①在庫を貼る'!$V$6:$V$10005,$V8923,'①在庫を貼る'!$W$6:$W$10005,$W8923)&gt;0),N(U8922),N(U8922)+1))</f>
        <v/>
      </c>
      <c r="V8923" s="19">
        <f>IF($B8923="","",TEXT($B8923,"0000"))</f>
        <v/>
      </c>
      <c r="W8923" s="19">
        <f>IF($I8923="","",IF(ISNUMBER($I8923),TEXT($I8923,"0"),$I8923))</f>
        <v/>
      </c>
    </row>
    <row r="8924">
      <c r="B8924" s="25" t="n"/>
      <c r="I8924" s="25" t="n"/>
      <c r="U8924" s="19">
        <f>IF($V8924&lt;&gt;'設定'!$C$4,N(U8923),IF(OR(NOT(COUNTIF('商品マスタ'!$B$6:$B$1005,$W8924)=0),COUNTIFS('①在庫を貼る'!$V$6:$V$10005,$V8924,'①在庫を貼る'!$W$6:$W$10005,$W8924)&gt;0),N(U8923),N(U8923)+1))</f>
        <v/>
      </c>
      <c r="V8924" s="19">
        <f>IF($B8924="","",TEXT($B8924,"0000"))</f>
        <v/>
      </c>
      <c r="W8924" s="19">
        <f>IF($I8924="","",IF(ISNUMBER($I8924),TEXT($I8924,"0"),$I8924))</f>
        <v/>
      </c>
    </row>
    <row r="8925">
      <c r="B8925" s="25" t="n"/>
      <c r="I8925" s="25" t="n"/>
      <c r="U8925" s="19">
        <f>IF($V8925&lt;&gt;'設定'!$C$4,N(U8924),IF(OR(NOT(COUNTIF('商品マスタ'!$B$6:$B$1005,$W8925)=0),COUNTIFS('①在庫を貼る'!$V$6:$V$10005,$V8925,'①在庫を貼る'!$W$6:$W$10005,$W8925)&gt;0),N(U8924),N(U8924)+1))</f>
        <v/>
      </c>
      <c r="V8925" s="19">
        <f>IF($B8925="","",TEXT($B8925,"0000"))</f>
        <v/>
      </c>
      <c r="W8925" s="19">
        <f>IF($I8925="","",IF(ISNUMBER($I8925),TEXT($I8925,"0"),$I8925))</f>
        <v/>
      </c>
    </row>
    <row r="8926">
      <c r="B8926" s="25" t="n"/>
      <c r="I8926" s="25" t="n"/>
      <c r="U8926" s="19">
        <f>IF($V8926&lt;&gt;'設定'!$C$4,N(U8925),IF(OR(NOT(COUNTIF('商品マスタ'!$B$6:$B$1005,$W8926)=0),COUNTIFS('①在庫を貼る'!$V$6:$V$10005,$V8926,'①在庫を貼る'!$W$6:$W$10005,$W8926)&gt;0),N(U8925),N(U8925)+1))</f>
        <v/>
      </c>
      <c r="V8926" s="19">
        <f>IF($B8926="","",TEXT($B8926,"0000"))</f>
        <v/>
      </c>
      <c r="W8926" s="19">
        <f>IF($I8926="","",IF(ISNUMBER($I8926),TEXT($I8926,"0"),$I8926))</f>
        <v/>
      </c>
    </row>
    <row r="8927">
      <c r="B8927" s="25" t="n"/>
      <c r="I8927" s="25" t="n"/>
      <c r="U8927" s="19">
        <f>IF($V8927&lt;&gt;'設定'!$C$4,N(U8926),IF(OR(NOT(COUNTIF('商品マスタ'!$B$6:$B$1005,$W8927)=0),COUNTIFS('①在庫を貼る'!$V$6:$V$10005,$V8927,'①在庫を貼る'!$W$6:$W$10005,$W8927)&gt;0),N(U8926),N(U8926)+1))</f>
        <v/>
      </c>
      <c r="V8927" s="19">
        <f>IF($B8927="","",TEXT($B8927,"0000"))</f>
        <v/>
      </c>
      <c r="W8927" s="19">
        <f>IF($I8927="","",IF(ISNUMBER($I8927),TEXT($I8927,"0"),$I8927))</f>
        <v/>
      </c>
    </row>
    <row r="8928">
      <c r="B8928" s="25" t="n"/>
      <c r="I8928" s="25" t="n"/>
      <c r="U8928" s="19">
        <f>IF($V8928&lt;&gt;'設定'!$C$4,N(U8927),IF(OR(NOT(COUNTIF('商品マスタ'!$B$6:$B$1005,$W8928)=0),COUNTIFS('①在庫を貼る'!$V$6:$V$10005,$V8928,'①在庫を貼る'!$W$6:$W$10005,$W8928)&gt;0),N(U8927),N(U8927)+1))</f>
        <v/>
      </c>
      <c r="V8928" s="19">
        <f>IF($B8928="","",TEXT($B8928,"0000"))</f>
        <v/>
      </c>
      <c r="W8928" s="19">
        <f>IF($I8928="","",IF(ISNUMBER($I8928),TEXT($I8928,"0"),$I8928))</f>
        <v/>
      </c>
    </row>
    <row r="8929">
      <c r="B8929" s="25" t="n"/>
      <c r="I8929" s="25" t="n"/>
      <c r="U8929" s="19">
        <f>IF($V8929&lt;&gt;'設定'!$C$4,N(U8928),IF(OR(NOT(COUNTIF('商品マスタ'!$B$6:$B$1005,$W8929)=0),COUNTIFS('①在庫を貼る'!$V$6:$V$10005,$V8929,'①在庫を貼る'!$W$6:$W$10005,$W8929)&gt;0),N(U8928),N(U8928)+1))</f>
        <v/>
      </c>
      <c r="V8929" s="19">
        <f>IF($B8929="","",TEXT($B8929,"0000"))</f>
        <v/>
      </c>
      <c r="W8929" s="19">
        <f>IF($I8929="","",IF(ISNUMBER($I8929),TEXT($I8929,"0"),$I8929))</f>
        <v/>
      </c>
    </row>
    <row r="8930">
      <c r="B8930" s="25" t="n"/>
      <c r="I8930" s="25" t="n"/>
      <c r="U8930" s="19">
        <f>IF($V8930&lt;&gt;'設定'!$C$4,N(U8929),IF(OR(NOT(COUNTIF('商品マスタ'!$B$6:$B$1005,$W8930)=0),COUNTIFS('①在庫を貼る'!$V$6:$V$10005,$V8930,'①在庫を貼る'!$W$6:$W$10005,$W8930)&gt;0),N(U8929),N(U8929)+1))</f>
        <v/>
      </c>
      <c r="V8930" s="19">
        <f>IF($B8930="","",TEXT($B8930,"0000"))</f>
        <v/>
      </c>
      <c r="W8930" s="19">
        <f>IF($I8930="","",IF(ISNUMBER($I8930),TEXT($I8930,"0"),$I8930))</f>
        <v/>
      </c>
    </row>
    <row r="8931">
      <c r="B8931" s="25" t="n"/>
      <c r="I8931" s="25" t="n"/>
      <c r="U8931" s="19">
        <f>IF($V8931&lt;&gt;'設定'!$C$4,N(U8930),IF(OR(NOT(COUNTIF('商品マスタ'!$B$6:$B$1005,$W8931)=0),COUNTIFS('①在庫を貼る'!$V$6:$V$10005,$V8931,'①在庫を貼る'!$W$6:$W$10005,$W8931)&gt;0),N(U8930),N(U8930)+1))</f>
        <v/>
      </c>
      <c r="V8931" s="19">
        <f>IF($B8931="","",TEXT($B8931,"0000"))</f>
        <v/>
      </c>
      <c r="W8931" s="19">
        <f>IF($I8931="","",IF(ISNUMBER($I8931),TEXT($I8931,"0"),$I8931))</f>
        <v/>
      </c>
    </row>
    <row r="8932">
      <c r="B8932" s="25" t="n"/>
      <c r="I8932" s="25" t="n"/>
      <c r="U8932" s="19">
        <f>IF($V8932&lt;&gt;'設定'!$C$4,N(U8931),IF(OR(NOT(COUNTIF('商品マスタ'!$B$6:$B$1005,$W8932)=0),COUNTIFS('①在庫を貼る'!$V$6:$V$10005,$V8932,'①在庫を貼る'!$W$6:$W$10005,$W8932)&gt;0),N(U8931),N(U8931)+1))</f>
        <v/>
      </c>
      <c r="V8932" s="19">
        <f>IF($B8932="","",TEXT($B8932,"0000"))</f>
        <v/>
      </c>
      <c r="W8932" s="19">
        <f>IF($I8932="","",IF(ISNUMBER($I8932),TEXT($I8932,"0"),$I8932))</f>
        <v/>
      </c>
    </row>
    <row r="8933">
      <c r="B8933" s="25" t="n"/>
      <c r="I8933" s="25" t="n"/>
      <c r="U8933" s="19">
        <f>IF($V8933&lt;&gt;'設定'!$C$4,N(U8932),IF(OR(NOT(COUNTIF('商品マスタ'!$B$6:$B$1005,$W8933)=0),COUNTIFS('①在庫を貼る'!$V$6:$V$10005,$V8933,'①在庫を貼る'!$W$6:$W$10005,$W8933)&gt;0),N(U8932),N(U8932)+1))</f>
        <v/>
      </c>
      <c r="V8933" s="19">
        <f>IF($B8933="","",TEXT($B8933,"0000"))</f>
        <v/>
      </c>
      <c r="W8933" s="19">
        <f>IF($I8933="","",IF(ISNUMBER($I8933),TEXT($I8933,"0"),$I8933))</f>
        <v/>
      </c>
    </row>
    <row r="8934">
      <c r="B8934" s="25" t="n"/>
      <c r="I8934" s="25" t="n"/>
      <c r="U8934" s="19">
        <f>IF($V8934&lt;&gt;'設定'!$C$4,N(U8933),IF(OR(NOT(COUNTIF('商品マスタ'!$B$6:$B$1005,$W8934)=0),COUNTIFS('①在庫を貼る'!$V$6:$V$10005,$V8934,'①在庫を貼る'!$W$6:$W$10005,$W8934)&gt;0),N(U8933),N(U8933)+1))</f>
        <v/>
      </c>
      <c r="V8934" s="19">
        <f>IF($B8934="","",TEXT($B8934,"0000"))</f>
        <v/>
      </c>
      <c r="W8934" s="19">
        <f>IF($I8934="","",IF(ISNUMBER($I8934),TEXT($I8934,"0"),$I8934))</f>
        <v/>
      </c>
    </row>
    <row r="8935">
      <c r="B8935" s="25" t="n"/>
      <c r="I8935" s="25" t="n"/>
      <c r="U8935" s="19">
        <f>IF($V8935&lt;&gt;'設定'!$C$4,N(U8934),IF(OR(NOT(COUNTIF('商品マスタ'!$B$6:$B$1005,$W8935)=0),COUNTIFS('①在庫を貼る'!$V$6:$V$10005,$V8935,'①在庫を貼る'!$W$6:$W$10005,$W8935)&gt;0),N(U8934),N(U8934)+1))</f>
        <v/>
      </c>
      <c r="V8935" s="19">
        <f>IF($B8935="","",TEXT($B8935,"0000"))</f>
        <v/>
      </c>
      <c r="W8935" s="19">
        <f>IF($I8935="","",IF(ISNUMBER($I8935),TEXT($I8935,"0"),$I8935))</f>
        <v/>
      </c>
    </row>
    <row r="8936">
      <c r="B8936" s="25" t="n"/>
      <c r="I8936" s="25" t="n"/>
      <c r="U8936" s="19">
        <f>IF($V8936&lt;&gt;'設定'!$C$4,N(U8935),IF(OR(NOT(COUNTIF('商品マスタ'!$B$6:$B$1005,$W8936)=0),COUNTIFS('①在庫を貼る'!$V$6:$V$10005,$V8936,'①在庫を貼る'!$W$6:$W$10005,$W8936)&gt;0),N(U8935),N(U8935)+1))</f>
        <v/>
      </c>
      <c r="V8936" s="19">
        <f>IF($B8936="","",TEXT($B8936,"0000"))</f>
        <v/>
      </c>
      <c r="W8936" s="19">
        <f>IF($I8936="","",IF(ISNUMBER($I8936),TEXT($I8936,"0"),$I8936))</f>
        <v/>
      </c>
    </row>
    <row r="8937">
      <c r="B8937" s="25" t="n"/>
      <c r="I8937" s="25" t="n"/>
      <c r="U8937" s="19">
        <f>IF($V8937&lt;&gt;'設定'!$C$4,N(U8936),IF(OR(NOT(COUNTIF('商品マスタ'!$B$6:$B$1005,$W8937)=0),COUNTIFS('①在庫を貼る'!$V$6:$V$10005,$V8937,'①在庫を貼る'!$W$6:$W$10005,$W8937)&gt;0),N(U8936),N(U8936)+1))</f>
        <v/>
      </c>
      <c r="V8937" s="19">
        <f>IF($B8937="","",TEXT($B8937,"0000"))</f>
        <v/>
      </c>
      <c r="W8937" s="19">
        <f>IF($I8937="","",IF(ISNUMBER($I8937),TEXT($I8937,"0"),$I8937))</f>
        <v/>
      </c>
    </row>
    <row r="8938">
      <c r="B8938" s="25" t="n"/>
      <c r="I8938" s="25" t="n"/>
      <c r="U8938" s="19">
        <f>IF($V8938&lt;&gt;'設定'!$C$4,N(U8937),IF(OR(NOT(COUNTIF('商品マスタ'!$B$6:$B$1005,$W8938)=0),COUNTIFS('①在庫を貼る'!$V$6:$V$10005,$V8938,'①在庫を貼る'!$W$6:$W$10005,$W8938)&gt;0),N(U8937),N(U8937)+1))</f>
        <v/>
      </c>
      <c r="V8938" s="19">
        <f>IF($B8938="","",TEXT($B8938,"0000"))</f>
        <v/>
      </c>
      <c r="W8938" s="19">
        <f>IF($I8938="","",IF(ISNUMBER($I8938),TEXT($I8938,"0"),$I8938))</f>
        <v/>
      </c>
    </row>
    <row r="8939">
      <c r="B8939" s="25" t="n"/>
      <c r="I8939" s="25" t="n"/>
      <c r="U8939" s="19">
        <f>IF($V8939&lt;&gt;'設定'!$C$4,N(U8938),IF(OR(NOT(COUNTIF('商品マスタ'!$B$6:$B$1005,$W8939)=0),COUNTIFS('①在庫を貼る'!$V$6:$V$10005,$V8939,'①在庫を貼る'!$W$6:$W$10005,$W8939)&gt;0),N(U8938),N(U8938)+1))</f>
        <v/>
      </c>
      <c r="V8939" s="19">
        <f>IF($B8939="","",TEXT($B8939,"0000"))</f>
        <v/>
      </c>
      <c r="W8939" s="19">
        <f>IF($I8939="","",IF(ISNUMBER($I8939),TEXT($I8939,"0"),$I8939))</f>
        <v/>
      </c>
    </row>
    <row r="8940">
      <c r="B8940" s="25" t="n"/>
      <c r="I8940" s="25" t="n"/>
      <c r="U8940" s="19">
        <f>IF($V8940&lt;&gt;'設定'!$C$4,N(U8939),IF(OR(NOT(COUNTIF('商品マスタ'!$B$6:$B$1005,$W8940)=0),COUNTIFS('①在庫を貼る'!$V$6:$V$10005,$V8940,'①在庫を貼る'!$W$6:$W$10005,$W8940)&gt;0),N(U8939),N(U8939)+1))</f>
        <v/>
      </c>
      <c r="V8940" s="19">
        <f>IF($B8940="","",TEXT($B8940,"0000"))</f>
        <v/>
      </c>
      <c r="W8940" s="19">
        <f>IF($I8940="","",IF(ISNUMBER($I8940),TEXT($I8940,"0"),$I8940))</f>
        <v/>
      </c>
    </row>
    <row r="8941">
      <c r="B8941" s="25" t="n"/>
      <c r="I8941" s="25" t="n"/>
      <c r="U8941" s="19">
        <f>IF($V8941&lt;&gt;'設定'!$C$4,N(U8940),IF(OR(NOT(COUNTIF('商品マスタ'!$B$6:$B$1005,$W8941)=0),COUNTIFS('①在庫を貼る'!$V$6:$V$10005,$V8941,'①在庫を貼る'!$W$6:$W$10005,$W8941)&gt;0),N(U8940),N(U8940)+1))</f>
        <v/>
      </c>
      <c r="V8941" s="19">
        <f>IF($B8941="","",TEXT($B8941,"0000"))</f>
        <v/>
      </c>
      <c r="W8941" s="19">
        <f>IF($I8941="","",IF(ISNUMBER($I8941),TEXT($I8941,"0"),$I8941))</f>
        <v/>
      </c>
    </row>
    <row r="8942">
      <c r="B8942" s="25" t="n"/>
      <c r="I8942" s="25" t="n"/>
      <c r="U8942" s="19">
        <f>IF($V8942&lt;&gt;'設定'!$C$4,N(U8941),IF(OR(NOT(COUNTIF('商品マスタ'!$B$6:$B$1005,$W8942)=0),COUNTIFS('①在庫を貼る'!$V$6:$V$10005,$V8942,'①在庫を貼る'!$W$6:$W$10005,$W8942)&gt;0),N(U8941),N(U8941)+1))</f>
        <v/>
      </c>
      <c r="V8942" s="19">
        <f>IF($B8942="","",TEXT($B8942,"0000"))</f>
        <v/>
      </c>
      <c r="W8942" s="19">
        <f>IF($I8942="","",IF(ISNUMBER($I8942),TEXT($I8942,"0"),$I8942))</f>
        <v/>
      </c>
    </row>
    <row r="8943">
      <c r="B8943" s="25" t="n"/>
      <c r="I8943" s="25" t="n"/>
      <c r="U8943" s="19">
        <f>IF($V8943&lt;&gt;'設定'!$C$4,N(U8942),IF(OR(NOT(COUNTIF('商品マスタ'!$B$6:$B$1005,$W8943)=0),COUNTIFS('①在庫を貼る'!$V$6:$V$10005,$V8943,'①在庫を貼る'!$W$6:$W$10005,$W8943)&gt;0),N(U8942),N(U8942)+1))</f>
        <v/>
      </c>
      <c r="V8943" s="19">
        <f>IF($B8943="","",TEXT($B8943,"0000"))</f>
        <v/>
      </c>
      <c r="W8943" s="19">
        <f>IF($I8943="","",IF(ISNUMBER($I8943),TEXT($I8943,"0"),$I8943))</f>
        <v/>
      </c>
    </row>
    <row r="8944">
      <c r="B8944" s="25" t="n"/>
      <c r="I8944" s="25" t="n"/>
      <c r="U8944" s="19">
        <f>IF($V8944&lt;&gt;'設定'!$C$4,N(U8943),IF(OR(NOT(COUNTIF('商品マスタ'!$B$6:$B$1005,$W8944)=0),COUNTIFS('①在庫を貼る'!$V$6:$V$10005,$V8944,'①在庫を貼る'!$W$6:$W$10005,$W8944)&gt;0),N(U8943),N(U8943)+1))</f>
        <v/>
      </c>
      <c r="V8944" s="19">
        <f>IF($B8944="","",TEXT($B8944,"0000"))</f>
        <v/>
      </c>
      <c r="W8944" s="19">
        <f>IF($I8944="","",IF(ISNUMBER($I8944),TEXT($I8944,"0"),$I8944))</f>
        <v/>
      </c>
    </row>
    <row r="8945">
      <c r="B8945" s="25" t="n"/>
      <c r="I8945" s="25" t="n"/>
      <c r="U8945" s="19">
        <f>IF($V8945&lt;&gt;'設定'!$C$4,N(U8944),IF(OR(NOT(COUNTIF('商品マスタ'!$B$6:$B$1005,$W8945)=0),COUNTIFS('①在庫を貼る'!$V$6:$V$10005,$V8945,'①在庫を貼る'!$W$6:$W$10005,$W8945)&gt;0),N(U8944),N(U8944)+1))</f>
        <v/>
      </c>
      <c r="V8945" s="19">
        <f>IF($B8945="","",TEXT($B8945,"0000"))</f>
        <v/>
      </c>
      <c r="W8945" s="19">
        <f>IF($I8945="","",IF(ISNUMBER($I8945),TEXT($I8945,"0"),$I8945))</f>
        <v/>
      </c>
    </row>
    <row r="8946">
      <c r="B8946" s="25" t="n"/>
      <c r="I8946" s="25" t="n"/>
      <c r="U8946" s="19">
        <f>IF($V8946&lt;&gt;'設定'!$C$4,N(U8945),IF(OR(NOT(COUNTIF('商品マスタ'!$B$6:$B$1005,$W8946)=0),COUNTIFS('①在庫を貼る'!$V$6:$V$10005,$V8946,'①在庫を貼る'!$W$6:$W$10005,$W8946)&gt;0),N(U8945),N(U8945)+1))</f>
        <v/>
      </c>
      <c r="V8946" s="19">
        <f>IF($B8946="","",TEXT($B8946,"0000"))</f>
        <v/>
      </c>
      <c r="W8946" s="19">
        <f>IF($I8946="","",IF(ISNUMBER($I8946),TEXT($I8946,"0"),$I8946))</f>
        <v/>
      </c>
    </row>
    <row r="8947">
      <c r="B8947" s="25" t="n"/>
      <c r="I8947" s="25" t="n"/>
      <c r="U8947" s="19">
        <f>IF($V8947&lt;&gt;'設定'!$C$4,N(U8946),IF(OR(NOT(COUNTIF('商品マスタ'!$B$6:$B$1005,$W8947)=0),COUNTIFS('①在庫を貼る'!$V$6:$V$10005,$V8947,'①在庫を貼る'!$W$6:$W$10005,$W8947)&gt;0),N(U8946),N(U8946)+1))</f>
        <v/>
      </c>
      <c r="V8947" s="19">
        <f>IF($B8947="","",TEXT($B8947,"0000"))</f>
        <v/>
      </c>
      <c r="W8947" s="19">
        <f>IF($I8947="","",IF(ISNUMBER($I8947),TEXT($I8947,"0"),$I8947))</f>
        <v/>
      </c>
    </row>
    <row r="8948">
      <c r="B8948" s="25" t="n"/>
      <c r="I8948" s="25" t="n"/>
      <c r="U8948" s="19">
        <f>IF($V8948&lt;&gt;'設定'!$C$4,N(U8947),IF(OR(NOT(COUNTIF('商品マスタ'!$B$6:$B$1005,$W8948)=0),COUNTIFS('①在庫を貼る'!$V$6:$V$10005,$V8948,'①在庫を貼る'!$W$6:$W$10005,$W8948)&gt;0),N(U8947),N(U8947)+1))</f>
        <v/>
      </c>
      <c r="V8948" s="19">
        <f>IF($B8948="","",TEXT($B8948,"0000"))</f>
        <v/>
      </c>
      <c r="W8948" s="19">
        <f>IF($I8948="","",IF(ISNUMBER($I8948),TEXT($I8948,"0"),$I8948))</f>
        <v/>
      </c>
    </row>
    <row r="8949">
      <c r="B8949" s="25" t="n"/>
      <c r="I8949" s="25" t="n"/>
      <c r="U8949" s="19">
        <f>IF($V8949&lt;&gt;'設定'!$C$4,N(U8948),IF(OR(NOT(COUNTIF('商品マスタ'!$B$6:$B$1005,$W8949)=0),COUNTIFS('①在庫を貼る'!$V$6:$V$10005,$V8949,'①在庫を貼る'!$W$6:$W$10005,$W8949)&gt;0),N(U8948),N(U8948)+1))</f>
        <v/>
      </c>
      <c r="V8949" s="19">
        <f>IF($B8949="","",TEXT($B8949,"0000"))</f>
        <v/>
      </c>
      <c r="W8949" s="19">
        <f>IF($I8949="","",IF(ISNUMBER($I8949),TEXT($I8949,"0"),$I8949))</f>
        <v/>
      </c>
    </row>
    <row r="8950">
      <c r="B8950" s="25" t="n"/>
      <c r="I8950" s="25" t="n"/>
      <c r="U8950" s="19">
        <f>IF($V8950&lt;&gt;'設定'!$C$4,N(U8949),IF(OR(NOT(COUNTIF('商品マスタ'!$B$6:$B$1005,$W8950)=0),COUNTIFS('①在庫を貼る'!$V$6:$V$10005,$V8950,'①在庫を貼る'!$W$6:$W$10005,$W8950)&gt;0),N(U8949),N(U8949)+1))</f>
        <v/>
      </c>
      <c r="V8950" s="19">
        <f>IF($B8950="","",TEXT($B8950,"0000"))</f>
        <v/>
      </c>
      <c r="W8950" s="19">
        <f>IF($I8950="","",IF(ISNUMBER($I8950),TEXT($I8950,"0"),$I8950))</f>
        <v/>
      </c>
    </row>
    <row r="8951">
      <c r="B8951" s="25" t="n"/>
      <c r="I8951" s="25" t="n"/>
      <c r="U8951" s="19">
        <f>IF($V8951&lt;&gt;'設定'!$C$4,N(U8950),IF(OR(NOT(COUNTIF('商品マスタ'!$B$6:$B$1005,$W8951)=0),COUNTIFS('①在庫を貼る'!$V$6:$V$10005,$V8951,'①在庫を貼る'!$W$6:$W$10005,$W8951)&gt;0),N(U8950),N(U8950)+1))</f>
        <v/>
      </c>
      <c r="V8951" s="19">
        <f>IF($B8951="","",TEXT($B8951,"0000"))</f>
        <v/>
      </c>
      <c r="W8951" s="19">
        <f>IF($I8951="","",IF(ISNUMBER($I8951),TEXT($I8951,"0"),$I8951))</f>
        <v/>
      </c>
    </row>
    <row r="8952">
      <c r="B8952" s="25" t="n"/>
      <c r="I8952" s="25" t="n"/>
      <c r="U8952" s="19">
        <f>IF($V8952&lt;&gt;'設定'!$C$4,N(U8951),IF(OR(NOT(COUNTIF('商品マスタ'!$B$6:$B$1005,$W8952)=0),COUNTIFS('①在庫を貼る'!$V$6:$V$10005,$V8952,'①在庫を貼る'!$W$6:$W$10005,$W8952)&gt;0),N(U8951),N(U8951)+1))</f>
        <v/>
      </c>
      <c r="V8952" s="19">
        <f>IF($B8952="","",TEXT($B8952,"0000"))</f>
        <v/>
      </c>
      <c r="W8952" s="19">
        <f>IF($I8952="","",IF(ISNUMBER($I8952),TEXT($I8952,"0"),$I8952))</f>
        <v/>
      </c>
    </row>
    <row r="8953">
      <c r="B8953" s="25" t="n"/>
      <c r="I8953" s="25" t="n"/>
      <c r="U8953" s="19">
        <f>IF($V8953&lt;&gt;'設定'!$C$4,N(U8952),IF(OR(NOT(COUNTIF('商品マスタ'!$B$6:$B$1005,$W8953)=0),COUNTIFS('①在庫を貼る'!$V$6:$V$10005,$V8953,'①在庫を貼る'!$W$6:$W$10005,$W8953)&gt;0),N(U8952),N(U8952)+1))</f>
        <v/>
      </c>
      <c r="V8953" s="19">
        <f>IF($B8953="","",TEXT($B8953,"0000"))</f>
        <v/>
      </c>
      <c r="W8953" s="19">
        <f>IF($I8953="","",IF(ISNUMBER($I8953),TEXT($I8953,"0"),$I8953))</f>
        <v/>
      </c>
    </row>
    <row r="8954">
      <c r="B8954" s="25" t="n"/>
      <c r="I8954" s="25" t="n"/>
      <c r="U8954" s="19">
        <f>IF($V8954&lt;&gt;'設定'!$C$4,N(U8953),IF(OR(NOT(COUNTIF('商品マスタ'!$B$6:$B$1005,$W8954)=0),COUNTIFS('①在庫を貼る'!$V$6:$V$10005,$V8954,'①在庫を貼る'!$W$6:$W$10005,$W8954)&gt;0),N(U8953),N(U8953)+1))</f>
        <v/>
      </c>
      <c r="V8954" s="19">
        <f>IF($B8954="","",TEXT($B8954,"0000"))</f>
        <v/>
      </c>
      <c r="W8954" s="19">
        <f>IF($I8954="","",IF(ISNUMBER($I8954),TEXT($I8954,"0"),$I8954))</f>
        <v/>
      </c>
    </row>
    <row r="8955">
      <c r="B8955" s="25" t="n"/>
      <c r="I8955" s="25" t="n"/>
      <c r="U8955" s="19">
        <f>IF($V8955&lt;&gt;'設定'!$C$4,N(U8954),IF(OR(NOT(COUNTIF('商品マスタ'!$B$6:$B$1005,$W8955)=0),COUNTIFS('①在庫を貼る'!$V$6:$V$10005,$V8955,'①在庫を貼る'!$W$6:$W$10005,$W8955)&gt;0),N(U8954),N(U8954)+1))</f>
        <v/>
      </c>
      <c r="V8955" s="19">
        <f>IF($B8955="","",TEXT($B8955,"0000"))</f>
        <v/>
      </c>
      <c r="W8955" s="19">
        <f>IF($I8955="","",IF(ISNUMBER($I8955),TEXT($I8955,"0"),$I8955))</f>
        <v/>
      </c>
    </row>
    <row r="8956">
      <c r="B8956" s="25" t="n"/>
      <c r="I8956" s="25" t="n"/>
      <c r="U8956" s="19">
        <f>IF($V8956&lt;&gt;'設定'!$C$4,N(U8955),IF(OR(NOT(COUNTIF('商品マスタ'!$B$6:$B$1005,$W8956)=0),COUNTIFS('①在庫を貼る'!$V$6:$V$10005,$V8956,'①在庫を貼る'!$W$6:$W$10005,$W8956)&gt;0),N(U8955),N(U8955)+1))</f>
        <v/>
      </c>
      <c r="V8956" s="19">
        <f>IF($B8956="","",TEXT($B8956,"0000"))</f>
        <v/>
      </c>
      <c r="W8956" s="19">
        <f>IF($I8956="","",IF(ISNUMBER($I8956),TEXT($I8956,"0"),$I8956))</f>
        <v/>
      </c>
    </row>
    <row r="8957">
      <c r="B8957" s="25" t="n"/>
      <c r="I8957" s="25" t="n"/>
      <c r="U8957" s="19">
        <f>IF($V8957&lt;&gt;'設定'!$C$4,N(U8956),IF(OR(NOT(COUNTIF('商品マスタ'!$B$6:$B$1005,$W8957)=0),COUNTIFS('①在庫を貼る'!$V$6:$V$10005,$V8957,'①在庫を貼る'!$W$6:$W$10005,$W8957)&gt;0),N(U8956),N(U8956)+1))</f>
        <v/>
      </c>
      <c r="V8957" s="19">
        <f>IF($B8957="","",TEXT($B8957,"0000"))</f>
        <v/>
      </c>
      <c r="W8957" s="19">
        <f>IF($I8957="","",IF(ISNUMBER($I8957),TEXT($I8957,"0"),$I8957))</f>
        <v/>
      </c>
    </row>
    <row r="8958">
      <c r="B8958" s="25" t="n"/>
      <c r="I8958" s="25" t="n"/>
      <c r="U8958" s="19">
        <f>IF($V8958&lt;&gt;'設定'!$C$4,N(U8957),IF(OR(NOT(COUNTIF('商品マスタ'!$B$6:$B$1005,$W8958)=0),COUNTIFS('①在庫を貼る'!$V$6:$V$10005,$V8958,'①在庫を貼る'!$W$6:$W$10005,$W8958)&gt;0),N(U8957),N(U8957)+1))</f>
        <v/>
      </c>
      <c r="V8958" s="19">
        <f>IF($B8958="","",TEXT($B8958,"0000"))</f>
        <v/>
      </c>
      <c r="W8958" s="19">
        <f>IF($I8958="","",IF(ISNUMBER($I8958),TEXT($I8958,"0"),$I8958))</f>
        <v/>
      </c>
    </row>
    <row r="8959">
      <c r="B8959" s="25" t="n"/>
      <c r="I8959" s="25" t="n"/>
      <c r="U8959" s="19">
        <f>IF($V8959&lt;&gt;'設定'!$C$4,N(U8958),IF(OR(NOT(COUNTIF('商品マスタ'!$B$6:$B$1005,$W8959)=0),COUNTIFS('①在庫を貼る'!$V$6:$V$10005,$V8959,'①在庫を貼る'!$W$6:$W$10005,$W8959)&gt;0),N(U8958),N(U8958)+1))</f>
        <v/>
      </c>
      <c r="V8959" s="19">
        <f>IF($B8959="","",TEXT($B8959,"0000"))</f>
        <v/>
      </c>
      <c r="W8959" s="19">
        <f>IF($I8959="","",IF(ISNUMBER($I8959),TEXT($I8959,"0"),$I8959))</f>
        <v/>
      </c>
    </row>
    <row r="8960">
      <c r="B8960" s="25" t="n"/>
      <c r="I8960" s="25" t="n"/>
      <c r="U8960" s="19">
        <f>IF($V8960&lt;&gt;'設定'!$C$4,N(U8959),IF(OR(NOT(COUNTIF('商品マスタ'!$B$6:$B$1005,$W8960)=0),COUNTIFS('①在庫を貼る'!$V$6:$V$10005,$V8960,'①在庫を貼る'!$W$6:$W$10005,$W8960)&gt;0),N(U8959),N(U8959)+1))</f>
        <v/>
      </c>
      <c r="V8960" s="19">
        <f>IF($B8960="","",TEXT($B8960,"0000"))</f>
        <v/>
      </c>
      <c r="W8960" s="19">
        <f>IF($I8960="","",IF(ISNUMBER($I8960),TEXT($I8960,"0"),$I8960))</f>
        <v/>
      </c>
    </row>
    <row r="8961">
      <c r="B8961" s="25" t="n"/>
      <c r="I8961" s="25" t="n"/>
      <c r="U8961" s="19">
        <f>IF($V8961&lt;&gt;'設定'!$C$4,N(U8960),IF(OR(NOT(COUNTIF('商品マスタ'!$B$6:$B$1005,$W8961)=0),COUNTIFS('①在庫を貼る'!$V$6:$V$10005,$V8961,'①在庫を貼る'!$W$6:$W$10005,$W8961)&gt;0),N(U8960),N(U8960)+1))</f>
        <v/>
      </c>
      <c r="V8961" s="19">
        <f>IF($B8961="","",TEXT($B8961,"0000"))</f>
        <v/>
      </c>
      <c r="W8961" s="19">
        <f>IF($I8961="","",IF(ISNUMBER($I8961),TEXT($I8961,"0"),$I8961))</f>
        <v/>
      </c>
    </row>
    <row r="8962">
      <c r="B8962" s="25" t="n"/>
      <c r="I8962" s="25" t="n"/>
      <c r="U8962" s="19">
        <f>IF($V8962&lt;&gt;'設定'!$C$4,N(U8961),IF(OR(NOT(COUNTIF('商品マスタ'!$B$6:$B$1005,$W8962)=0),COUNTIFS('①在庫を貼る'!$V$6:$V$10005,$V8962,'①在庫を貼る'!$W$6:$W$10005,$W8962)&gt;0),N(U8961),N(U8961)+1))</f>
        <v/>
      </c>
      <c r="V8962" s="19">
        <f>IF($B8962="","",TEXT($B8962,"0000"))</f>
        <v/>
      </c>
      <c r="W8962" s="19">
        <f>IF($I8962="","",IF(ISNUMBER($I8962),TEXT($I8962,"0"),$I8962))</f>
        <v/>
      </c>
    </row>
    <row r="8963">
      <c r="B8963" s="25" t="n"/>
      <c r="I8963" s="25" t="n"/>
      <c r="U8963" s="19">
        <f>IF($V8963&lt;&gt;'設定'!$C$4,N(U8962),IF(OR(NOT(COUNTIF('商品マスタ'!$B$6:$B$1005,$W8963)=0),COUNTIFS('①在庫を貼る'!$V$6:$V$10005,$V8963,'①在庫を貼る'!$W$6:$W$10005,$W8963)&gt;0),N(U8962),N(U8962)+1))</f>
        <v/>
      </c>
      <c r="V8963" s="19">
        <f>IF($B8963="","",TEXT($B8963,"0000"))</f>
        <v/>
      </c>
      <c r="W8963" s="19">
        <f>IF($I8963="","",IF(ISNUMBER($I8963),TEXT($I8963,"0"),$I8963))</f>
        <v/>
      </c>
    </row>
    <row r="8964">
      <c r="B8964" s="25" t="n"/>
      <c r="I8964" s="25" t="n"/>
      <c r="U8964" s="19">
        <f>IF($V8964&lt;&gt;'設定'!$C$4,N(U8963),IF(OR(NOT(COUNTIF('商品マスタ'!$B$6:$B$1005,$W8964)=0),COUNTIFS('①在庫を貼る'!$V$6:$V$10005,$V8964,'①在庫を貼る'!$W$6:$W$10005,$W8964)&gt;0),N(U8963),N(U8963)+1))</f>
        <v/>
      </c>
      <c r="V8964" s="19">
        <f>IF($B8964="","",TEXT($B8964,"0000"))</f>
        <v/>
      </c>
      <c r="W8964" s="19">
        <f>IF($I8964="","",IF(ISNUMBER($I8964),TEXT($I8964,"0"),$I8964))</f>
        <v/>
      </c>
    </row>
    <row r="8965">
      <c r="B8965" s="25" t="n"/>
      <c r="I8965" s="25" t="n"/>
      <c r="U8965" s="19">
        <f>IF($V8965&lt;&gt;'設定'!$C$4,N(U8964),IF(OR(NOT(COUNTIF('商品マスタ'!$B$6:$B$1005,$W8965)=0),COUNTIFS('①在庫を貼る'!$V$6:$V$10005,$V8965,'①在庫を貼る'!$W$6:$W$10005,$W8965)&gt;0),N(U8964),N(U8964)+1))</f>
        <v/>
      </c>
      <c r="V8965" s="19">
        <f>IF($B8965="","",TEXT($B8965,"0000"))</f>
        <v/>
      </c>
      <c r="W8965" s="19">
        <f>IF($I8965="","",IF(ISNUMBER($I8965),TEXT($I8965,"0"),$I8965))</f>
        <v/>
      </c>
    </row>
    <row r="8966">
      <c r="B8966" s="25" t="n"/>
      <c r="I8966" s="25" t="n"/>
      <c r="U8966" s="19">
        <f>IF($V8966&lt;&gt;'設定'!$C$4,N(U8965),IF(OR(NOT(COUNTIF('商品マスタ'!$B$6:$B$1005,$W8966)=0),COUNTIFS('①在庫を貼る'!$V$6:$V$10005,$V8966,'①在庫を貼る'!$W$6:$W$10005,$W8966)&gt;0),N(U8965),N(U8965)+1))</f>
        <v/>
      </c>
      <c r="V8966" s="19">
        <f>IF($B8966="","",TEXT($B8966,"0000"))</f>
        <v/>
      </c>
      <c r="W8966" s="19">
        <f>IF($I8966="","",IF(ISNUMBER($I8966),TEXT($I8966,"0"),$I8966))</f>
        <v/>
      </c>
    </row>
    <row r="8967">
      <c r="B8967" s="25" t="n"/>
      <c r="I8967" s="25" t="n"/>
      <c r="U8967" s="19">
        <f>IF($V8967&lt;&gt;'設定'!$C$4,N(U8966),IF(OR(NOT(COUNTIF('商品マスタ'!$B$6:$B$1005,$W8967)=0),COUNTIFS('①在庫を貼る'!$V$6:$V$10005,$V8967,'①在庫を貼る'!$W$6:$W$10005,$W8967)&gt;0),N(U8966),N(U8966)+1))</f>
        <v/>
      </c>
      <c r="V8967" s="19">
        <f>IF($B8967="","",TEXT($B8967,"0000"))</f>
        <v/>
      </c>
      <c r="W8967" s="19">
        <f>IF($I8967="","",IF(ISNUMBER($I8967),TEXT($I8967,"0"),$I8967))</f>
        <v/>
      </c>
    </row>
    <row r="8968">
      <c r="B8968" s="25" t="n"/>
      <c r="I8968" s="25" t="n"/>
      <c r="U8968" s="19">
        <f>IF($V8968&lt;&gt;'設定'!$C$4,N(U8967),IF(OR(NOT(COUNTIF('商品マスタ'!$B$6:$B$1005,$W8968)=0),COUNTIFS('①在庫を貼る'!$V$6:$V$10005,$V8968,'①在庫を貼る'!$W$6:$W$10005,$W8968)&gt;0),N(U8967),N(U8967)+1))</f>
        <v/>
      </c>
      <c r="V8968" s="19">
        <f>IF($B8968="","",TEXT($B8968,"0000"))</f>
        <v/>
      </c>
      <c r="W8968" s="19">
        <f>IF($I8968="","",IF(ISNUMBER($I8968),TEXT($I8968,"0"),$I8968))</f>
        <v/>
      </c>
    </row>
    <row r="8969">
      <c r="B8969" s="25" t="n"/>
      <c r="I8969" s="25" t="n"/>
      <c r="U8969" s="19">
        <f>IF($V8969&lt;&gt;'設定'!$C$4,N(U8968),IF(OR(NOT(COUNTIF('商品マスタ'!$B$6:$B$1005,$W8969)=0),COUNTIFS('①在庫を貼る'!$V$6:$V$10005,$V8969,'①在庫を貼る'!$W$6:$W$10005,$W8969)&gt;0),N(U8968),N(U8968)+1))</f>
        <v/>
      </c>
      <c r="V8969" s="19">
        <f>IF($B8969="","",TEXT($B8969,"0000"))</f>
        <v/>
      </c>
      <c r="W8969" s="19">
        <f>IF($I8969="","",IF(ISNUMBER($I8969),TEXT($I8969,"0"),$I8969))</f>
        <v/>
      </c>
    </row>
    <row r="8970">
      <c r="B8970" s="25" t="n"/>
      <c r="I8970" s="25" t="n"/>
      <c r="U8970" s="19">
        <f>IF($V8970&lt;&gt;'設定'!$C$4,N(U8969),IF(OR(NOT(COUNTIF('商品マスタ'!$B$6:$B$1005,$W8970)=0),COUNTIFS('①在庫を貼る'!$V$6:$V$10005,$V8970,'①在庫を貼る'!$W$6:$W$10005,$W8970)&gt;0),N(U8969),N(U8969)+1))</f>
        <v/>
      </c>
      <c r="V8970" s="19">
        <f>IF($B8970="","",TEXT($B8970,"0000"))</f>
        <v/>
      </c>
      <c r="W8970" s="19">
        <f>IF($I8970="","",IF(ISNUMBER($I8970),TEXT($I8970,"0"),$I8970))</f>
        <v/>
      </c>
    </row>
    <row r="8971">
      <c r="B8971" s="25" t="n"/>
      <c r="I8971" s="25" t="n"/>
      <c r="U8971" s="19">
        <f>IF($V8971&lt;&gt;'設定'!$C$4,N(U8970),IF(OR(NOT(COUNTIF('商品マスタ'!$B$6:$B$1005,$W8971)=0),COUNTIFS('①在庫を貼る'!$V$6:$V$10005,$V8971,'①在庫を貼る'!$W$6:$W$10005,$W8971)&gt;0),N(U8970),N(U8970)+1))</f>
        <v/>
      </c>
      <c r="V8971" s="19">
        <f>IF($B8971="","",TEXT($B8971,"0000"))</f>
        <v/>
      </c>
      <c r="W8971" s="19">
        <f>IF($I8971="","",IF(ISNUMBER($I8971),TEXT($I8971,"0"),$I8971))</f>
        <v/>
      </c>
    </row>
    <row r="8972">
      <c r="B8972" s="25" t="n"/>
      <c r="I8972" s="25" t="n"/>
      <c r="U8972" s="19">
        <f>IF($V8972&lt;&gt;'設定'!$C$4,N(U8971),IF(OR(NOT(COUNTIF('商品マスタ'!$B$6:$B$1005,$W8972)=0),COUNTIFS('①在庫を貼る'!$V$6:$V$10005,$V8972,'①在庫を貼る'!$W$6:$W$10005,$W8972)&gt;0),N(U8971),N(U8971)+1))</f>
        <v/>
      </c>
      <c r="V8972" s="19">
        <f>IF($B8972="","",TEXT($B8972,"0000"))</f>
        <v/>
      </c>
      <c r="W8972" s="19">
        <f>IF($I8972="","",IF(ISNUMBER($I8972),TEXT($I8972,"0"),$I8972))</f>
        <v/>
      </c>
    </row>
    <row r="8973">
      <c r="B8973" s="25" t="n"/>
      <c r="I8973" s="25" t="n"/>
      <c r="U8973" s="19">
        <f>IF($V8973&lt;&gt;'設定'!$C$4,N(U8972),IF(OR(NOT(COUNTIF('商品マスタ'!$B$6:$B$1005,$W8973)=0),COUNTIFS('①在庫を貼る'!$V$6:$V$10005,$V8973,'①在庫を貼る'!$W$6:$W$10005,$W8973)&gt;0),N(U8972),N(U8972)+1))</f>
        <v/>
      </c>
      <c r="V8973" s="19">
        <f>IF($B8973="","",TEXT($B8973,"0000"))</f>
        <v/>
      </c>
      <c r="W8973" s="19">
        <f>IF($I8973="","",IF(ISNUMBER($I8973),TEXT($I8973,"0"),$I8973))</f>
        <v/>
      </c>
    </row>
    <row r="8974">
      <c r="B8974" s="25" t="n"/>
      <c r="I8974" s="25" t="n"/>
      <c r="U8974" s="19">
        <f>IF($V8974&lt;&gt;'設定'!$C$4,N(U8973),IF(OR(NOT(COUNTIF('商品マスタ'!$B$6:$B$1005,$W8974)=0),COUNTIFS('①在庫を貼る'!$V$6:$V$10005,$V8974,'①在庫を貼る'!$W$6:$W$10005,$W8974)&gt;0),N(U8973),N(U8973)+1))</f>
        <v/>
      </c>
      <c r="V8974" s="19">
        <f>IF($B8974="","",TEXT($B8974,"0000"))</f>
        <v/>
      </c>
      <c r="W8974" s="19">
        <f>IF($I8974="","",IF(ISNUMBER($I8974),TEXT($I8974,"0"),$I8974))</f>
        <v/>
      </c>
    </row>
    <row r="8975">
      <c r="B8975" s="25" t="n"/>
      <c r="I8975" s="25" t="n"/>
      <c r="U8975" s="19">
        <f>IF($V8975&lt;&gt;'設定'!$C$4,N(U8974),IF(OR(NOT(COUNTIF('商品マスタ'!$B$6:$B$1005,$W8975)=0),COUNTIFS('①在庫を貼る'!$V$6:$V$10005,$V8975,'①在庫を貼る'!$W$6:$W$10005,$W8975)&gt;0),N(U8974),N(U8974)+1))</f>
        <v/>
      </c>
      <c r="V8975" s="19">
        <f>IF($B8975="","",TEXT($B8975,"0000"))</f>
        <v/>
      </c>
      <c r="W8975" s="19">
        <f>IF($I8975="","",IF(ISNUMBER($I8975),TEXT($I8975,"0"),$I8975))</f>
        <v/>
      </c>
    </row>
    <row r="8976">
      <c r="B8976" s="25" t="n"/>
      <c r="I8976" s="25" t="n"/>
      <c r="U8976" s="19">
        <f>IF($V8976&lt;&gt;'設定'!$C$4,N(U8975),IF(OR(NOT(COUNTIF('商品マスタ'!$B$6:$B$1005,$W8976)=0),COUNTIFS('①在庫を貼る'!$V$6:$V$10005,$V8976,'①在庫を貼る'!$W$6:$W$10005,$W8976)&gt;0),N(U8975),N(U8975)+1))</f>
        <v/>
      </c>
      <c r="V8976" s="19">
        <f>IF($B8976="","",TEXT($B8976,"0000"))</f>
        <v/>
      </c>
      <c r="W8976" s="19">
        <f>IF($I8976="","",IF(ISNUMBER($I8976),TEXT($I8976,"0"),$I8976))</f>
        <v/>
      </c>
    </row>
    <row r="8977">
      <c r="B8977" s="25" t="n"/>
      <c r="I8977" s="25" t="n"/>
      <c r="U8977" s="19">
        <f>IF($V8977&lt;&gt;'設定'!$C$4,N(U8976),IF(OR(NOT(COUNTIF('商品マスタ'!$B$6:$B$1005,$W8977)=0),COUNTIFS('①在庫を貼る'!$V$6:$V$10005,$V8977,'①在庫を貼る'!$W$6:$W$10005,$W8977)&gt;0),N(U8976),N(U8976)+1))</f>
        <v/>
      </c>
      <c r="V8977" s="19">
        <f>IF($B8977="","",TEXT($B8977,"0000"))</f>
        <v/>
      </c>
      <c r="W8977" s="19">
        <f>IF($I8977="","",IF(ISNUMBER($I8977),TEXT($I8977,"0"),$I8977))</f>
        <v/>
      </c>
    </row>
    <row r="8978">
      <c r="B8978" s="25" t="n"/>
      <c r="I8978" s="25" t="n"/>
      <c r="U8978" s="19">
        <f>IF($V8978&lt;&gt;'設定'!$C$4,N(U8977),IF(OR(NOT(COUNTIF('商品マスタ'!$B$6:$B$1005,$W8978)=0),COUNTIFS('①在庫を貼る'!$V$6:$V$10005,$V8978,'①在庫を貼る'!$W$6:$W$10005,$W8978)&gt;0),N(U8977),N(U8977)+1))</f>
        <v/>
      </c>
      <c r="V8978" s="19">
        <f>IF($B8978="","",TEXT($B8978,"0000"))</f>
        <v/>
      </c>
      <c r="W8978" s="19">
        <f>IF($I8978="","",IF(ISNUMBER($I8978),TEXT($I8978,"0"),$I8978))</f>
        <v/>
      </c>
    </row>
    <row r="8979">
      <c r="B8979" s="25" t="n"/>
      <c r="I8979" s="25" t="n"/>
      <c r="U8979" s="19">
        <f>IF($V8979&lt;&gt;'設定'!$C$4,N(U8978),IF(OR(NOT(COUNTIF('商品マスタ'!$B$6:$B$1005,$W8979)=0),COUNTIFS('①在庫を貼る'!$V$6:$V$10005,$V8979,'①在庫を貼る'!$W$6:$W$10005,$W8979)&gt;0),N(U8978),N(U8978)+1))</f>
        <v/>
      </c>
      <c r="V8979" s="19">
        <f>IF($B8979="","",TEXT($B8979,"0000"))</f>
        <v/>
      </c>
      <c r="W8979" s="19">
        <f>IF($I8979="","",IF(ISNUMBER($I8979),TEXT($I8979,"0"),$I8979))</f>
        <v/>
      </c>
    </row>
    <row r="8980">
      <c r="B8980" s="25" t="n"/>
      <c r="I8980" s="25" t="n"/>
      <c r="U8980" s="19">
        <f>IF($V8980&lt;&gt;'設定'!$C$4,N(U8979),IF(OR(NOT(COUNTIF('商品マスタ'!$B$6:$B$1005,$W8980)=0),COUNTIFS('①在庫を貼る'!$V$6:$V$10005,$V8980,'①在庫を貼る'!$W$6:$W$10005,$W8980)&gt;0),N(U8979),N(U8979)+1))</f>
        <v/>
      </c>
      <c r="V8980" s="19">
        <f>IF($B8980="","",TEXT($B8980,"0000"))</f>
        <v/>
      </c>
      <c r="W8980" s="19">
        <f>IF($I8980="","",IF(ISNUMBER($I8980),TEXT($I8980,"0"),$I8980))</f>
        <v/>
      </c>
    </row>
    <row r="8981">
      <c r="B8981" s="25" t="n"/>
      <c r="I8981" s="25" t="n"/>
      <c r="U8981" s="19">
        <f>IF($V8981&lt;&gt;'設定'!$C$4,N(U8980),IF(OR(NOT(COUNTIF('商品マスタ'!$B$6:$B$1005,$W8981)=0),COUNTIFS('①在庫を貼る'!$V$6:$V$10005,$V8981,'①在庫を貼る'!$W$6:$W$10005,$W8981)&gt;0),N(U8980),N(U8980)+1))</f>
        <v/>
      </c>
      <c r="V8981" s="19">
        <f>IF($B8981="","",TEXT($B8981,"0000"))</f>
        <v/>
      </c>
      <c r="W8981" s="19">
        <f>IF($I8981="","",IF(ISNUMBER($I8981),TEXT($I8981,"0"),$I8981))</f>
        <v/>
      </c>
    </row>
    <row r="8982">
      <c r="B8982" s="25" t="n"/>
      <c r="I8982" s="25" t="n"/>
      <c r="U8982" s="19">
        <f>IF($V8982&lt;&gt;'設定'!$C$4,N(U8981),IF(OR(NOT(COUNTIF('商品マスタ'!$B$6:$B$1005,$W8982)=0),COUNTIFS('①在庫を貼る'!$V$6:$V$10005,$V8982,'①在庫を貼る'!$W$6:$W$10005,$W8982)&gt;0),N(U8981),N(U8981)+1))</f>
        <v/>
      </c>
      <c r="V8982" s="19">
        <f>IF($B8982="","",TEXT($B8982,"0000"))</f>
        <v/>
      </c>
      <c r="W8982" s="19">
        <f>IF($I8982="","",IF(ISNUMBER($I8982),TEXT($I8982,"0"),$I8982))</f>
        <v/>
      </c>
    </row>
    <row r="8983">
      <c r="B8983" s="25" t="n"/>
      <c r="I8983" s="25" t="n"/>
      <c r="U8983" s="19">
        <f>IF($V8983&lt;&gt;'設定'!$C$4,N(U8982),IF(OR(NOT(COUNTIF('商品マスタ'!$B$6:$B$1005,$W8983)=0),COUNTIFS('①在庫を貼る'!$V$6:$V$10005,$V8983,'①在庫を貼る'!$W$6:$W$10005,$W8983)&gt;0),N(U8982),N(U8982)+1))</f>
        <v/>
      </c>
      <c r="V8983" s="19">
        <f>IF($B8983="","",TEXT($B8983,"0000"))</f>
        <v/>
      </c>
      <c r="W8983" s="19">
        <f>IF($I8983="","",IF(ISNUMBER($I8983),TEXT($I8983,"0"),$I8983))</f>
        <v/>
      </c>
    </row>
    <row r="8984">
      <c r="B8984" s="25" t="n"/>
      <c r="I8984" s="25" t="n"/>
      <c r="U8984" s="19">
        <f>IF($V8984&lt;&gt;'設定'!$C$4,N(U8983),IF(OR(NOT(COUNTIF('商品マスタ'!$B$6:$B$1005,$W8984)=0),COUNTIFS('①在庫を貼る'!$V$6:$V$10005,$V8984,'①在庫を貼る'!$W$6:$W$10005,$W8984)&gt;0),N(U8983),N(U8983)+1))</f>
        <v/>
      </c>
      <c r="V8984" s="19">
        <f>IF($B8984="","",TEXT($B8984,"0000"))</f>
        <v/>
      </c>
      <c r="W8984" s="19">
        <f>IF($I8984="","",IF(ISNUMBER($I8984),TEXT($I8984,"0"),$I8984))</f>
        <v/>
      </c>
    </row>
    <row r="8985">
      <c r="B8985" s="25" t="n"/>
      <c r="I8985" s="25" t="n"/>
      <c r="U8985" s="19">
        <f>IF($V8985&lt;&gt;'設定'!$C$4,N(U8984),IF(OR(NOT(COUNTIF('商品マスタ'!$B$6:$B$1005,$W8985)=0),COUNTIFS('①在庫を貼る'!$V$6:$V$10005,$V8985,'①在庫を貼る'!$W$6:$W$10005,$W8985)&gt;0),N(U8984),N(U8984)+1))</f>
        <v/>
      </c>
      <c r="V8985" s="19">
        <f>IF($B8985="","",TEXT($B8985,"0000"))</f>
        <v/>
      </c>
      <c r="W8985" s="19">
        <f>IF($I8985="","",IF(ISNUMBER($I8985),TEXT($I8985,"0"),$I8985))</f>
        <v/>
      </c>
    </row>
    <row r="8986">
      <c r="B8986" s="25" t="n"/>
      <c r="I8986" s="25" t="n"/>
      <c r="U8986" s="19">
        <f>IF($V8986&lt;&gt;'設定'!$C$4,N(U8985),IF(OR(NOT(COUNTIF('商品マスタ'!$B$6:$B$1005,$W8986)=0),COUNTIFS('①在庫を貼る'!$V$6:$V$10005,$V8986,'①在庫を貼る'!$W$6:$W$10005,$W8986)&gt;0),N(U8985),N(U8985)+1))</f>
        <v/>
      </c>
      <c r="V8986" s="19">
        <f>IF($B8986="","",TEXT($B8986,"0000"))</f>
        <v/>
      </c>
      <c r="W8986" s="19">
        <f>IF($I8986="","",IF(ISNUMBER($I8986),TEXT($I8986,"0"),$I8986))</f>
        <v/>
      </c>
    </row>
    <row r="8987">
      <c r="B8987" s="25" t="n"/>
      <c r="I8987" s="25" t="n"/>
      <c r="U8987" s="19">
        <f>IF($V8987&lt;&gt;'設定'!$C$4,N(U8986),IF(OR(NOT(COUNTIF('商品マスタ'!$B$6:$B$1005,$W8987)=0),COUNTIFS('①在庫を貼る'!$V$6:$V$10005,$V8987,'①在庫を貼る'!$W$6:$W$10005,$W8987)&gt;0),N(U8986),N(U8986)+1))</f>
        <v/>
      </c>
      <c r="V8987" s="19">
        <f>IF($B8987="","",TEXT($B8987,"0000"))</f>
        <v/>
      </c>
      <c r="W8987" s="19">
        <f>IF($I8987="","",IF(ISNUMBER($I8987),TEXT($I8987,"0"),$I8987))</f>
        <v/>
      </c>
    </row>
    <row r="8988">
      <c r="B8988" s="25" t="n"/>
      <c r="I8988" s="25" t="n"/>
      <c r="U8988" s="19">
        <f>IF($V8988&lt;&gt;'設定'!$C$4,N(U8987),IF(OR(NOT(COUNTIF('商品マスタ'!$B$6:$B$1005,$W8988)=0),COUNTIFS('①在庫を貼る'!$V$6:$V$10005,$V8988,'①在庫を貼る'!$W$6:$W$10005,$W8988)&gt;0),N(U8987),N(U8987)+1))</f>
        <v/>
      </c>
      <c r="V8988" s="19">
        <f>IF($B8988="","",TEXT($B8988,"0000"))</f>
        <v/>
      </c>
      <c r="W8988" s="19">
        <f>IF($I8988="","",IF(ISNUMBER($I8988),TEXT($I8988,"0"),$I8988))</f>
        <v/>
      </c>
    </row>
    <row r="8989">
      <c r="B8989" s="25" t="n"/>
      <c r="I8989" s="25" t="n"/>
      <c r="U8989" s="19">
        <f>IF($V8989&lt;&gt;'設定'!$C$4,N(U8988),IF(OR(NOT(COUNTIF('商品マスタ'!$B$6:$B$1005,$W8989)=0),COUNTIFS('①在庫を貼る'!$V$6:$V$10005,$V8989,'①在庫を貼る'!$W$6:$W$10005,$W8989)&gt;0),N(U8988),N(U8988)+1))</f>
        <v/>
      </c>
      <c r="V8989" s="19">
        <f>IF($B8989="","",TEXT($B8989,"0000"))</f>
        <v/>
      </c>
      <c r="W8989" s="19">
        <f>IF($I8989="","",IF(ISNUMBER($I8989),TEXT($I8989,"0"),$I8989))</f>
        <v/>
      </c>
    </row>
    <row r="8990">
      <c r="B8990" s="25" t="n"/>
      <c r="I8990" s="25" t="n"/>
      <c r="U8990" s="19">
        <f>IF($V8990&lt;&gt;'設定'!$C$4,N(U8989),IF(OR(NOT(COUNTIF('商品マスタ'!$B$6:$B$1005,$W8990)=0),COUNTIFS('①在庫を貼る'!$V$6:$V$10005,$V8990,'①在庫を貼る'!$W$6:$W$10005,$W8990)&gt;0),N(U8989),N(U8989)+1))</f>
        <v/>
      </c>
      <c r="V8990" s="19">
        <f>IF($B8990="","",TEXT($B8990,"0000"))</f>
        <v/>
      </c>
      <c r="W8990" s="19">
        <f>IF($I8990="","",IF(ISNUMBER($I8990),TEXT($I8990,"0"),$I8990))</f>
        <v/>
      </c>
    </row>
    <row r="8991">
      <c r="B8991" s="25" t="n"/>
      <c r="I8991" s="25" t="n"/>
      <c r="U8991" s="19">
        <f>IF($V8991&lt;&gt;'設定'!$C$4,N(U8990),IF(OR(NOT(COUNTIF('商品マスタ'!$B$6:$B$1005,$W8991)=0),COUNTIFS('①在庫を貼る'!$V$6:$V$10005,$V8991,'①在庫を貼る'!$W$6:$W$10005,$W8991)&gt;0),N(U8990),N(U8990)+1))</f>
        <v/>
      </c>
      <c r="V8991" s="19">
        <f>IF($B8991="","",TEXT($B8991,"0000"))</f>
        <v/>
      </c>
      <c r="W8991" s="19">
        <f>IF($I8991="","",IF(ISNUMBER($I8991),TEXT($I8991,"0"),$I8991))</f>
        <v/>
      </c>
    </row>
    <row r="8992">
      <c r="B8992" s="25" t="n"/>
      <c r="I8992" s="25" t="n"/>
      <c r="U8992" s="19">
        <f>IF($V8992&lt;&gt;'設定'!$C$4,N(U8991),IF(OR(NOT(COUNTIF('商品マスタ'!$B$6:$B$1005,$W8992)=0),COUNTIFS('①在庫を貼る'!$V$6:$V$10005,$V8992,'①在庫を貼る'!$W$6:$W$10005,$W8992)&gt;0),N(U8991),N(U8991)+1))</f>
        <v/>
      </c>
      <c r="V8992" s="19">
        <f>IF($B8992="","",TEXT($B8992,"0000"))</f>
        <v/>
      </c>
      <c r="W8992" s="19">
        <f>IF($I8992="","",IF(ISNUMBER($I8992),TEXT($I8992,"0"),$I8992))</f>
        <v/>
      </c>
    </row>
    <row r="8993">
      <c r="B8993" s="25" t="n"/>
      <c r="I8993" s="25" t="n"/>
      <c r="U8993" s="19">
        <f>IF($V8993&lt;&gt;'設定'!$C$4,N(U8992),IF(OR(NOT(COUNTIF('商品マスタ'!$B$6:$B$1005,$W8993)=0),COUNTIFS('①在庫を貼る'!$V$6:$V$10005,$V8993,'①在庫を貼る'!$W$6:$W$10005,$W8993)&gt;0),N(U8992),N(U8992)+1))</f>
        <v/>
      </c>
      <c r="V8993" s="19">
        <f>IF($B8993="","",TEXT($B8993,"0000"))</f>
        <v/>
      </c>
      <c r="W8993" s="19">
        <f>IF($I8993="","",IF(ISNUMBER($I8993),TEXT($I8993,"0"),$I8993))</f>
        <v/>
      </c>
    </row>
    <row r="8994">
      <c r="B8994" s="25" t="n"/>
      <c r="I8994" s="25" t="n"/>
      <c r="U8994" s="19">
        <f>IF($V8994&lt;&gt;'設定'!$C$4,N(U8993),IF(OR(NOT(COUNTIF('商品マスタ'!$B$6:$B$1005,$W8994)=0),COUNTIFS('①在庫を貼る'!$V$6:$V$10005,$V8994,'①在庫を貼る'!$W$6:$W$10005,$W8994)&gt;0),N(U8993),N(U8993)+1))</f>
        <v/>
      </c>
      <c r="V8994" s="19">
        <f>IF($B8994="","",TEXT($B8994,"0000"))</f>
        <v/>
      </c>
      <c r="W8994" s="19">
        <f>IF($I8994="","",IF(ISNUMBER($I8994),TEXT($I8994,"0"),$I8994))</f>
        <v/>
      </c>
    </row>
    <row r="8995">
      <c r="B8995" s="25" t="n"/>
      <c r="I8995" s="25" t="n"/>
      <c r="U8995" s="19">
        <f>IF($V8995&lt;&gt;'設定'!$C$4,N(U8994),IF(OR(NOT(COUNTIF('商品マスタ'!$B$6:$B$1005,$W8995)=0),COUNTIFS('①在庫を貼る'!$V$6:$V$10005,$V8995,'①在庫を貼る'!$W$6:$W$10005,$W8995)&gt;0),N(U8994),N(U8994)+1))</f>
        <v/>
      </c>
      <c r="V8995" s="19">
        <f>IF($B8995="","",TEXT($B8995,"0000"))</f>
        <v/>
      </c>
      <c r="W8995" s="19">
        <f>IF($I8995="","",IF(ISNUMBER($I8995),TEXT($I8995,"0"),$I8995))</f>
        <v/>
      </c>
    </row>
    <row r="8996">
      <c r="B8996" s="25" t="n"/>
      <c r="I8996" s="25" t="n"/>
      <c r="U8996" s="19">
        <f>IF($V8996&lt;&gt;'設定'!$C$4,N(U8995),IF(OR(NOT(COUNTIF('商品マスタ'!$B$6:$B$1005,$W8996)=0),COUNTIFS('①在庫を貼る'!$V$6:$V$10005,$V8996,'①在庫を貼る'!$W$6:$W$10005,$W8996)&gt;0),N(U8995),N(U8995)+1))</f>
        <v/>
      </c>
      <c r="V8996" s="19">
        <f>IF($B8996="","",TEXT($B8996,"0000"))</f>
        <v/>
      </c>
      <c r="W8996" s="19">
        <f>IF($I8996="","",IF(ISNUMBER($I8996),TEXT($I8996,"0"),$I8996))</f>
        <v/>
      </c>
    </row>
    <row r="8997">
      <c r="B8997" s="25" t="n"/>
      <c r="I8997" s="25" t="n"/>
      <c r="U8997" s="19">
        <f>IF($V8997&lt;&gt;'設定'!$C$4,N(U8996),IF(OR(NOT(COUNTIF('商品マスタ'!$B$6:$B$1005,$W8997)=0),COUNTIFS('①在庫を貼る'!$V$6:$V$10005,$V8997,'①在庫を貼る'!$W$6:$W$10005,$W8997)&gt;0),N(U8996),N(U8996)+1))</f>
        <v/>
      </c>
      <c r="V8997" s="19">
        <f>IF($B8997="","",TEXT($B8997,"0000"))</f>
        <v/>
      </c>
      <c r="W8997" s="19">
        <f>IF($I8997="","",IF(ISNUMBER($I8997),TEXT($I8997,"0"),$I8997))</f>
        <v/>
      </c>
    </row>
    <row r="8998">
      <c r="B8998" s="25" t="n"/>
      <c r="I8998" s="25" t="n"/>
      <c r="U8998" s="19">
        <f>IF($V8998&lt;&gt;'設定'!$C$4,N(U8997),IF(OR(NOT(COUNTIF('商品マスタ'!$B$6:$B$1005,$W8998)=0),COUNTIFS('①在庫を貼る'!$V$6:$V$10005,$V8998,'①在庫を貼る'!$W$6:$W$10005,$W8998)&gt;0),N(U8997),N(U8997)+1))</f>
        <v/>
      </c>
      <c r="V8998" s="19">
        <f>IF($B8998="","",TEXT($B8998,"0000"))</f>
        <v/>
      </c>
      <c r="W8998" s="19">
        <f>IF($I8998="","",IF(ISNUMBER($I8998),TEXT($I8998,"0"),$I8998))</f>
        <v/>
      </c>
    </row>
    <row r="8999">
      <c r="B8999" s="25" t="n"/>
      <c r="I8999" s="25" t="n"/>
      <c r="U8999" s="19">
        <f>IF($V8999&lt;&gt;'設定'!$C$4,N(U8998),IF(OR(NOT(COUNTIF('商品マスタ'!$B$6:$B$1005,$W8999)=0),COUNTIFS('①在庫を貼る'!$V$6:$V$10005,$V8999,'①在庫を貼る'!$W$6:$W$10005,$W8999)&gt;0),N(U8998),N(U8998)+1))</f>
        <v/>
      </c>
      <c r="V8999" s="19">
        <f>IF($B8999="","",TEXT($B8999,"0000"))</f>
        <v/>
      </c>
      <c r="W8999" s="19">
        <f>IF($I8999="","",IF(ISNUMBER($I8999),TEXT($I8999,"0"),$I8999))</f>
        <v/>
      </c>
    </row>
    <row r="9000">
      <c r="B9000" s="25" t="n"/>
      <c r="I9000" s="25" t="n"/>
      <c r="U9000" s="19">
        <f>IF($V9000&lt;&gt;'設定'!$C$4,N(U8999),IF(OR(NOT(COUNTIF('商品マスタ'!$B$6:$B$1005,$W9000)=0),COUNTIFS('①在庫を貼る'!$V$6:$V$10005,$V9000,'①在庫を貼る'!$W$6:$W$10005,$W9000)&gt;0),N(U8999),N(U8999)+1))</f>
        <v/>
      </c>
      <c r="V9000" s="19">
        <f>IF($B9000="","",TEXT($B9000,"0000"))</f>
        <v/>
      </c>
      <c r="W9000" s="19">
        <f>IF($I9000="","",IF(ISNUMBER($I9000),TEXT($I9000,"0"),$I9000))</f>
        <v/>
      </c>
    </row>
    <row r="9001">
      <c r="B9001" s="25" t="n"/>
      <c r="I9001" s="25" t="n"/>
      <c r="U9001" s="19">
        <f>IF($V9001&lt;&gt;'設定'!$C$4,N(U9000),IF(OR(NOT(COUNTIF('商品マスタ'!$B$6:$B$1005,$W9001)=0),COUNTIFS('①在庫を貼る'!$V$6:$V$10005,$V9001,'①在庫を貼る'!$W$6:$W$10005,$W9001)&gt;0),N(U9000),N(U9000)+1))</f>
        <v/>
      </c>
      <c r="V9001" s="19">
        <f>IF($B9001="","",TEXT($B9001,"0000"))</f>
        <v/>
      </c>
      <c r="W9001" s="19">
        <f>IF($I9001="","",IF(ISNUMBER($I9001),TEXT($I9001,"0"),$I9001))</f>
        <v/>
      </c>
    </row>
    <row r="9002">
      <c r="B9002" s="25" t="n"/>
      <c r="I9002" s="25" t="n"/>
      <c r="U9002" s="19">
        <f>IF($V9002&lt;&gt;'設定'!$C$4,N(U9001),IF(OR(NOT(COUNTIF('商品マスタ'!$B$6:$B$1005,$W9002)=0),COUNTIFS('①在庫を貼る'!$V$6:$V$10005,$V9002,'①在庫を貼る'!$W$6:$W$10005,$W9002)&gt;0),N(U9001),N(U9001)+1))</f>
        <v/>
      </c>
      <c r="V9002" s="19">
        <f>IF($B9002="","",TEXT($B9002,"0000"))</f>
        <v/>
      </c>
      <c r="W9002" s="19">
        <f>IF($I9002="","",IF(ISNUMBER($I9002),TEXT($I9002,"0"),$I9002))</f>
        <v/>
      </c>
    </row>
    <row r="9003">
      <c r="B9003" s="25" t="n"/>
      <c r="I9003" s="25" t="n"/>
      <c r="U9003" s="19">
        <f>IF($V9003&lt;&gt;'設定'!$C$4,N(U9002),IF(OR(NOT(COUNTIF('商品マスタ'!$B$6:$B$1005,$W9003)=0),COUNTIFS('①在庫を貼る'!$V$6:$V$10005,$V9003,'①在庫を貼る'!$W$6:$W$10005,$W9003)&gt;0),N(U9002),N(U9002)+1))</f>
        <v/>
      </c>
      <c r="V9003" s="19">
        <f>IF($B9003="","",TEXT($B9003,"0000"))</f>
        <v/>
      </c>
      <c r="W9003" s="19">
        <f>IF($I9003="","",IF(ISNUMBER($I9003),TEXT($I9003,"0"),$I9003))</f>
        <v/>
      </c>
    </row>
    <row r="9004">
      <c r="B9004" s="25" t="n"/>
      <c r="I9004" s="25" t="n"/>
      <c r="U9004" s="19">
        <f>IF($V9004&lt;&gt;'設定'!$C$4,N(U9003),IF(OR(NOT(COUNTIF('商品マスタ'!$B$6:$B$1005,$W9004)=0),COUNTIFS('①在庫を貼る'!$V$6:$V$10005,$V9004,'①在庫を貼る'!$W$6:$W$10005,$W9004)&gt;0),N(U9003),N(U9003)+1))</f>
        <v/>
      </c>
      <c r="V9004" s="19">
        <f>IF($B9004="","",TEXT($B9004,"0000"))</f>
        <v/>
      </c>
      <c r="W9004" s="19">
        <f>IF($I9004="","",IF(ISNUMBER($I9004),TEXT($I9004,"0"),$I9004))</f>
        <v/>
      </c>
    </row>
    <row r="9005">
      <c r="B9005" s="25" t="n"/>
      <c r="I9005" s="25" t="n"/>
      <c r="U9005" s="19">
        <f>IF($V9005&lt;&gt;'設定'!$C$4,N(U9004),IF(OR(NOT(COUNTIF('商品マスタ'!$B$6:$B$1005,$W9005)=0),COUNTIFS('①在庫を貼る'!$V$6:$V$10005,$V9005,'①在庫を貼る'!$W$6:$W$10005,$W9005)&gt;0),N(U9004),N(U9004)+1))</f>
        <v/>
      </c>
      <c r="V9005" s="19">
        <f>IF($B9005="","",TEXT($B9005,"0000"))</f>
        <v/>
      </c>
      <c r="W9005" s="19">
        <f>IF($I9005="","",IF(ISNUMBER($I9005),TEXT($I9005,"0"),$I9005))</f>
        <v/>
      </c>
    </row>
    <row r="9006">
      <c r="B9006" s="25" t="n"/>
      <c r="I9006" s="25" t="n"/>
      <c r="U9006" s="19">
        <f>IF($V9006&lt;&gt;'設定'!$C$4,N(U9005),IF(OR(NOT(COUNTIF('商品マスタ'!$B$6:$B$1005,$W9006)=0),COUNTIFS('①在庫を貼る'!$V$6:$V$10005,$V9006,'①在庫を貼る'!$W$6:$W$10005,$W9006)&gt;0),N(U9005),N(U9005)+1))</f>
        <v/>
      </c>
      <c r="V9006" s="19">
        <f>IF($B9006="","",TEXT($B9006,"0000"))</f>
        <v/>
      </c>
      <c r="W9006" s="19">
        <f>IF($I9006="","",IF(ISNUMBER($I9006),TEXT($I9006,"0"),$I9006))</f>
        <v/>
      </c>
    </row>
    <row r="9007">
      <c r="B9007" s="25" t="n"/>
      <c r="I9007" s="25" t="n"/>
      <c r="U9007" s="19">
        <f>IF($V9007&lt;&gt;'設定'!$C$4,N(U9006),IF(OR(NOT(COUNTIF('商品マスタ'!$B$6:$B$1005,$W9007)=0),COUNTIFS('①在庫を貼る'!$V$6:$V$10005,$V9007,'①在庫を貼る'!$W$6:$W$10005,$W9007)&gt;0),N(U9006),N(U9006)+1))</f>
        <v/>
      </c>
      <c r="V9007" s="19">
        <f>IF($B9007="","",TEXT($B9007,"0000"))</f>
        <v/>
      </c>
      <c r="W9007" s="19">
        <f>IF($I9007="","",IF(ISNUMBER($I9007),TEXT($I9007,"0"),$I9007))</f>
        <v/>
      </c>
    </row>
    <row r="9008">
      <c r="B9008" s="25" t="n"/>
      <c r="I9008" s="25" t="n"/>
      <c r="U9008" s="19">
        <f>IF($V9008&lt;&gt;'設定'!$C$4,N(U9007),IF(OR(NOT(COUNTIF('商品マスタ'!$B$6:$B$1005,$W9008)=0),COUNTIFS('①在庫を貼る'!$V$6:$V$10005,$V9008,'①在庫を貼る'!$W$6:$W$10005,$W9008)&gt;0),N(U9007),N(U9007)+1))</f>
        <v/>
      </c>
      <c r="V9008" s="19">
        <f>IF($B9008="","",TEXT($B9008,"0000"))</f>
        <v/>
      </c>
      <c r="W9008" s="19">
        <f>IF($I9008="","",IF(ISNUMBER($I9008),TEXT($I9008,"0"),$I9008))</f>
        <v/>
      </c>
    </row>
    <row r="9009">
      <c r="B9009" s="25" t="n"/>
      <c r="I9009" s="25" t="n"/>
      <c r="U9009" s="19">
        <f>IF($V9009&lt;&gt;'設定'!$C$4,N(U9008),IF(OR(NOT(COUNTIF('商品マスタ'!$B$6:$B$1005,$W9009)=0),COUNTIFS('①在庫を貼る'!$V$6:$V$10005,$V9009,'①在庫を貼る'!$W$6:$W$10005,$W9009)&gt;0),N(U9008),N(U9008)+1))</f>
        <v/>
      </c>
      <c r="V9009" s="19">
        <f>IF($B9009="","",TEXT($B9009,"0000"))</f>
        <v/>
      </c>
      <c r="W9009" s="19">
        <f>IF($I9009="","",IF(ISNUMBER($I9009),TEXT($I9009,"0"),$I9009))</f>
        <v/>
      </c>
    </row>
    <row r="9010">
      <c r="B9010" s="25" t="n"/>
      <c r="I9010" s="25" t="n"/>
      <c r="U9010" s="19">
        <f>IF($V9010&lt;&gt;'設定'!$C$4,N(U9009),IF(OR(NOT(COUNTIF('商品マスタ'!$B$6:$B$1005,$W9010)=0),COUNTIFS('①在庫を貼る'!$V$6:$V$10005,$V9010,'①在庫を貼る'!$W$6:$W$10005,$W9010)&gt;0),N(U9009),N(U9009)+1))</f>
        <v/>
      </c>
      <c r="V9010" s="19">
        <f>IF($B9010="","",TEXT($B9010,"0000"))</f>
        <v/>
      </c>
      <c r="W9010" s="19">
        <f>IF($I9010="","",IF(ISNUMBER($I9010),TEXT($I9010,"0"),$I9010))</f>
        <v/>
      </c>
    </row>
    <row r="9011">
      <c r="B9011" s="25" t="n"/>
      <c r="I9011" s="25" t="n"/>
      <c r="U9011" s="19">
        <f>IF($V9011&lt;&gt;'設定'!$C$4,N(U9010),IF(OR(NOT(COUNTIF('商品マスタ'!$B$6:$B$1005,$W9011)=0),COUNTIFS('①在庫を貼る'!$V$6:$V$10005,$V9011,'①在庫を貼る'!$W$6:$W$10005,$W9011)&gt;0),N(U9010),N(U9010)+1))</f>
        <v/>
      </c>
      <c r="V9011" s="19">
        <f>IF($B9011="","",TEXT($B9011,"0000"))</f>
        <v/>
      </c>
      <c r="W9011" s="19">
        <f>IF($I9011="","",IF(ISNUMBER($I9011),TEXT($I9011,"0"),$I9011))</f>
        <v/>
      </c>
    </row>
    <row r="9012">
      <c r="B9012" s="25" t="n"/>
      <c r="I9012" s="25" t="n"/>
      <c r="U9012" s="19">
        <f>IF($V9012&lt;&gt;'設定'!$C$4,N(U9011),IF(OR(NOT(COUNTIF('商品マスタ'!$B$6:$B$1005,$W9012)=0),COUNTIFS('①在庫を貼る'!$V$6:$V$10005,$V9012,'①在庫を貼る'!$W$6:$W$10005,$W9012)&gt;0),N(U9011),N(U9011)+1))</f>
        <v/>
      </c>
      <c r="V9012" s="19">
        <f>IF($B9012="","",TEXT($B9012,"0000"))</f>
        <v/>
      </c>
      <c r="W9012" s="19">
        <f>IF($I9012="","",IF(ISNUMBER($I9012),TEXT($I9012,"0"),$I9012))</f>
        <v/>
      </c>
    </row>
    <row r="9013">
      <c r="B9013" s="25" t="n"/>
      <c r="I9013" s="25" t="n"/>
      <c r="U9013" s="19">
        <f>IF($V9013&lt;&gt;'設定'!$C$4,N(U9012),IF(OR(NOT(COUNTIF('商品マスタ'!$B$6:$B$1005,$W9013)=0),COUNTIFS('①在庫を貼る'!$V$6:$V$10005,$V9013,'①在庫を貼る'!$W$6:$W$10005,$W9013)&gt;0),N(U9012),N(U9012)+1))</f>
        <v/>
      </c>
      <c r="V9013" s="19">
        <f>IF($B9013="","",TEXT($B9013,"0000"))</f>
        <v/>
      </c>
      <c r="W9013" s="19">
        <f>IF($I9013="","",IF(ISNUMBER($I9013),TEXT($I9013,"0"),$I9013))</f>
        <v/>
      </c>
    </row>
    <row r="9014">
      <c r="B9014" s="25" t="n"/>
      <c r="I9014" s="25" t="n"/>
      <c r="U9014" s="19">
        <f>IF($V9014&lt;&gt;'設定'!$C$4,N(U9013),IF(OR(NOT(COUNTIF('商品マスタ'!$B$6:$B$1005,$W9014)=0),COUNTIFS('①在庫を貼る'!$V$6:$V$10005,$V9014,'①在庫を貼る'!$W$6:$W$10005,$W9014)&gt;0),N(U9013),N(U9013)+1))</f>
        <v/>
      </c>
      <c r="V9014" s="19">
        <f>IF($B9014="","",TEXT($B9014,"0000"))</f>
        <v/>
      </c>
      <c r="W9014" s="19">
        <f>IF($I9014="","",IF(ISNUMBER($I9014),TEXT($I9014,"0"),$I9014))</f>
        <v/>
      </c>
    </row>
    <row r="9015">
      <c r="B9015" s="25" t="n"/>
      <c r="I9015" s="25" t="n"/>
      <c r="U9015" s="19">
        <f>IF($V9015&lt;&gt;'設定'!$C$4,N(U9014),IF(OR(NOT(COUNTIF('商品マスタ'!$B$6:$B$1005,$W9015)=0),COUNTIFS('①在庫を貼る'!$V$6:$V$10005,$V9015,'①在庫を貼る'!$W$6:$W$10005,$W9015)&gt;0),N(U9014),N(U9014)+1))</f>
        <v/>
      </c>
      <c r="V9015" s="19">
        <f>IF($B9015="","",TEXT($B9015,"0000"))</f>
        <v/>
      </c>
      <c r="W9015" s="19">
        <f>IF($I9015="","",IF(ISNUMBER($I9015),TEXT($I9015,"0"),$I9015))</f>
        <v/>
      </c>
    </row>
    <row r="9016">
      <c r="B9016" s="25" t="n"/>
      <c r="I9016" s="25" t="n"/>
      <c r="U9016" s="19">
        <f>IF($V9016&lt;&gt;'設定'!$C$4,N(U9015),IF(OR(NOT(COUNTIF('商品マスタ'!$B$6:$B$1005,$W9016)=0),COUNTIFS('①在庫を貼る'!$V$6:$V$10005,$V9016,'①在庫を貼る'!$W$6:$W$10005,$W9016)&gt;0),N(U9015),N(U9015)+1))</f>
        <v/>
      </c>
      <c r="V9016" s="19">
        <f>IF($B9016="","",TEXT($B9016,"0000"))</f>
        <v/>
      </c>
      <c r="W9016" s="19">
        <f>IF($I9016="","",IF(ISNUMBER($I9016),TEXT($I9016,"0"),$I9016))</f>
        <v/>
      </c>
    </row>
    <row r="9017">
      <c r="B9017" s="25" t="n"/>
      <c r="I9017" s="25" t="n"/>
      <c r="U9017" s="19">
        <f>IF($V9017&lt;&gt;'設定'!$C$4,N(U9016),IF(OR(NOT(COUNTIF('商品マスタ'!$B$6:$B$1005,$W9017)=0),COUNTIFS('①在庫を貼る'!$V$6:$V$10005,$V9017,'①在庫を貼る'!$W$6:$W$10005,$W9017)&gt;0),N(U9016),N(U9016)+1))</f>
        <v/>
      </c>
      <c r="V9017" s="19">
        <f>IF($B9017="","",TEXT($B9017,"0000"))</f>
        <v/>
      </c>
      <c r="W9017" s="19">
        <f>IF($I9017="","",IF(ISNUMBER($I9017),TEXT($I9017,"0"),$I9017))</f>
        <v/>
      </c>
    </row>
    <row r="9018">
      <c r="B9018" s="25" t="n"/>
      <c r="I9018" s="25" t="n"/>
      <c r="U9018" s="19">
        <f>IF($V9018&lt;&gt;'設定'!$C$4,N(U9017),IF(OR(NOT(COUNTIF('商品マスタ'!$B$6:$B$1005,$W9018)=0),COUNTIFS('①在庫を貼る'!$V$6:$V$10005,$V9018,'①在庫を貼る'!$W$6:$W$10005,$W9018)&gt;0),N(U9017),N(U9017)+1))</f>
        <v/>
      </c>
      <c r="V9018" s="19">
        <f>IF($B9018="","",TEXT($B9018,"0000"))</f>
        <v/>
      </c>
      <c r="W9018" s="19">
        <f>IF($I9018="","",IF(ISNUMBER($I9018),TEXT($I9018,"0"),$I9018))</f>
        <v/>
      </c>
    </row>
    <row r="9019">
      <c r="B9019" s="25" t="n"/>
      <c r="I9019" s="25" t="n"/>
      <c r="U9019" s="19">
        <f>IF($V9019&lt;&gt;'設定'!$C$4,N(U9018),IF(OR(NOT(COUNTIF('商品マスタ'!$B$6:$B$1005,$W9019)=0),COUNTIFS('①在庫を貼る'!$V$6:$V$10005,$V9019,'①在庫を貼る'!$W$6:$W$10005,$W9019)&gt;0),N(U9018),N(U9018)+1))</f>
        <v/>
      </c>
      <c r="V9019" s="19">
        <f>IF($B9019="","",TEXT($B9019,"0000"))</f>
        <v/>
      </c>
      <c r="W9019" s="19">
        <f>IF($I9019="","",IF(ISNUMBER($I9019),TEXT($I9019,"0"),$I9019))</f>
        <v/>
      </c>
    </row>
    <row r="9020">
      <c r="B9020" s="25" t="n"/>
      <c r="I9020" s="25" t="n"/>
      <c r="U9020" s="19">
        <f>IF($V9020&lt;&gt;'設定'!$C$4,N(U9019),IF(OR(NOT(COUNTIF('商品マスタ'!$B$6:$B$1005,$W9020)=0),COUNTIFS('①在庫を貼る'!$V$6:$V$10005,$V9020,'①在庫を貼る'!$W$6:$W$10005,$W9020)&gt;0),N(U9019),N(U9019)+1))</f>
        <v/>
      </c>
      <c r="V9020" s="19">
        <f>IF($B9020="","",TEXT($B9020,"0000"))</f>
        <v/>
      </c>
      <c r="W9020" s="19">
        <f>IF($I9020="","",IF(ISNUMBER($I9020),TEXT($I9020,"0"),$I9020))</f>
        <v/>
      </c>
    </row>
    <row r="9021">
      <c r="B9021" s="25" t="n"/>
      <c r="I9021" s="25" t="n"/>
      <c r="U9021" s="19">
        <f>IF($V9021&lt;&gt;'設定'!$C$4,N(U9020),IF(OR(NOT(COUNTIF('商品マスタ'!$B$6:$B$1005,$W9021)=0),COUNTIFS('①在庫を貼る'!$V$6:$V$10005,$V9021,'①在庫を貼る'!$W$6:$W$10005,$W9021)&gt;0),N(U9020),N(U9020)+1))</f>
        <v/>
      </c>
      <c r="V9021" s="19">
        <f>IF($B9021="","",TEXT($B9021,"0000"))</f>
        <v/>
      </c>
      <c r="W9021" s="19">
        <f>IF($I9021="","",IF(ISNUMBER($I9021),TEXT($I9021,"0"),$I9021))</f>
        <v/>
      </c>
    </row>
    <row r="9022">
      <c r="B9022" s="25" t="n"/>
      <c r="I9022" s="25" t="n"/>
      <c r="U9022" s="19">
        <f>IF($V9022&lt;&gt;'設定'!$C$4,N(U9021),IF(OR(NOT(COUNTIF('商品マスタ'!$B$6:$B$1005,$W9022)=0),COUNTIFS('①在庫を貼る'!$V$6:$V$10005,$V9022,'①在庫を貼る'!$W$6:$W$10005,$W9022)&gt;0),N(U9021),N(U9021)+1))</f>
        <v/>
      </c>
      <c r="V9022" s="19">
        <f>IF($B9022="","",TEXT($B9022,"0000"))</f>
        <v/>
      </c>
      <c r="W9022" s="19">
        <f>IF($I9022="","",IF(ISNUMBER($I9022),TEXT($I9022,"0"),$I9022))</f>
        <v/>
      </c>
    </row>
    <row r="9023">
      <c r="B9023" s="25" t="n"/>
      <c r="I9023" s="25" t="n"/>
      <c r="U9023" s="19">
        <f>IF($V9023&lt;&gt;'設定'!$C$4,N(U9022),IF(OR(NOT(COUNTIF('商品マスタ'!$B$6:$B$1005,$W9023)=0),COUNTIFS('①在庫を貼る'!$V$6:$V$10005,$V9023,'①在庫を貼る'!$W$6:$W$10005,$W9023)&gt;0),N(U9022),N(U9022)+1))</f>
        <v/>
      </c>
      <c r="V9023" s="19">
        <f>IF($B9023="","",TEXT($B9023,"0000"))</f>
        <v/>
      </c>
      <c r="W9023" s="19">
        <f>IF($I9023="","",IF(ISNUMBER($I9023),TEXT($I9023,"0"),$I9023))</f>
        <v/>
      </c>
    </row>
    <row r="9024">
      <c r="B9024" s="25" t="n"/>
      <c r="I9024" s="25" t="n"/>
      <c r="U9024" s="19">
        <f>IF($V9024&lt;&gt;'設定'!$C$4,N(U9023),IF(OR(NOT(COUNTIF('商品マスタ'!$B$6:$B$1005,$W9024)=0),COUNTIFS('①在庫を貼る'!$V$6:$V$10005,$V9024,'①在庫を貼る'!$W$6:$W$10005,$W9024)&gt;0),N(U9023),N(U9023)+1))</f>
        <v/>
      </c>
      <c r="V9024" s="19">
        <f>IF($B9024="","",TEXT($B9024,"0000"))</f>
        <v/>
      </c>
      <c r="W9024" s="19">
        <f>IF($I9024="","",IF(ISNUMBER($I9024),TEXT($I9024,"0"),$I9024))</f>
        <v/>
      </c>
    </row>
    <row r="9025">
      <c r="B9025" s="25" t="n"/>
      <c r="I9025" s="25" t="n"/>
      <c r="U9025" s="19">
        <f>IF($V9025&lt;&gt;'設定'!$C$4,N(U9024),IF(OR(NOT(COUNTIF('商品マスタ'!$B$6:$B$1005,$W9025)=0),COUNTIFS('①在庫を貼る'!$V$6:$V$10005,$V9025,'①在庫を貼る'!$W$6:$W$10005,$W9025)&gt;0),N(U9024),N(U9024)+1))</f>
        <v/>
      </c>
      <c r="V9025" s="19">
        <f>IF($B9025="","",TEXT($B9025,"0000"))</f>
        <v/>
      </c>
      <c r="W9025" s="19">
        <f>IF($I9025="","",IF(ISNUMBER($I9025),TEXT($I9025,"0"),$I9025))</f>
        <v/>
      </c>
    </row>
    <row r="9026">
      <c r="B9026" s="25" t="n"/>
      <c r="I9026" s="25" t="n"/>
      <c r="U9026" s="19">
        <f>IF($V9026&lt;&gt;'設定'!$C$4,N(U9025),IF(OR(NOT(COUNTIF('商品マスタ'!$B$6:$B$1005,$W9026)=0),COUNTIFS('①在庫を貼る'!$V$6:$V$10005,$V9026,'①在庫を貼る'!$W$6:$W$10005,$W9026)&gt;0),N(U9025),N(U9025)+1))</f>
        <v/>
      </c>
      <c r="V9026" s="19">
        <f>IF($B9026="","",TEXT($B9026,"0000"))</f>
        <v/>
      </c>
      <c r="W9026" s="19">
        <f>IF($I9026="","",IF(ISNUMBER($I9026),TEXT($I9026,"0"),$I9026))</f>
        <v/>
      </c>
    </row>
    <row r="9027">
      <c r="B9027" s="25" t="n"/>
      <c r="I9027" s="25" t="n"/>
      <c r="U9027" s="19">
        <f>IF($V9027&lt;&gt;'設定'!$C$4,N(U9026),IF(OR(NOT(COUNTIF('商品マスタ'!$B$6:$B$1005,$W9027)=0),COUNTIFS('①在庫を貼る'!$V$6:$V$10005,$V9027,'①在庫を貼る'!$W$6:$W$10005,$W9027)&gt;0),N(U9026),N(U9026)+1))</f>
        <v/>
      </c>
      <c r="V9027" s="19">
        <f>IF($B9027="","",TEXT($B9027,"0000"))</f>
        <v/>
      </c>
      <c r="W9027" s="19">
        <f>IF($I9027="","",IF(ISNUMBER($I9027),TEXT($I9027,"0"),$I9027))</f>
        <v/>
      </c>
    </row>
    <row r="9028">
      <c r="B9028" s="25" t="n"/>
      <c r="I9028" s="25" t="n"/>
      <c r="U9028" s="19">
        <f>IF($V9028&lt;&gt;'設定'!$C$4,N(U9027),IF(OR(NOT(COUNTIF('商品マスタ'!$B$6:$B$1005,$W9028)=0),COUNTIFS('①在庫を貼る'!$V$6:$V$10005,$V9028,'①在庫を貼る'!$W$6:$W$10005,$W9028)&gt;0),N(U9027),N(U9027)+1))</f>
        <v/>
      </c>
      <c r="V9028" s="19">
        <f>IF($B9028="","",TEXT($B9028,"0000"))</f>
        <v/>
      </c>
      <c r="W9028" s="19">
        <f>IF($I9028="","",IF(ISNUMBER($I9028),TEXT($I9028,"0"),$I9028))</f>
        <v/>
      </c>
    </row>
    <row r="9029">
      <c r="B9029" s="25" t="n"/>
      <c r="I9029" s="25" t="n"/>
      <c r="U9029" s="19">
        <f>IF($V9029&lt;&gt;'設定'!$C$4,N(U9028),IF(OR(NOT(COUNTIF('商品マスタ'!$B$6:$B$1005,$W9029)=0),COUNTIFS('①在庫を貼る'!$V$6:$V$10005,$V9029,'①在庫を貼る'!$W$6:$W$10005,$W9029)&gt;0),N(U9028),N(U9028)+1))</f>
        <v/>
      </c>
      <c r="V9029" s="19">
        <f>IF($B9029="","",TEXT($B9029,"0000"))</f>
        <v/>
      </c>
      <c r="W9029" s="19">
        <f>IF($I9029="","",IF(ISNUMBER($I9029),TEXT($I9029,"0"),$I9029))</f>
        <v/>
      </c>
    </row>
    <row r="9030">
      <c r="B9030" s="25" t="n"/>
      <c r="I9030" s="25" t="n"/>
      <c r="U9030" s="19">
        <f>IF($V9030&lt;&gt;'設定'!$C$4,N(U9029),IF(OR(NOT(COUNTIF('商品マスタ'!$B$6:$B$1005,$W9030)=0),COUNTIFS('①在庫を貼る'!$V$6:$V$10005,$V9030,'①在庫を貼る'!$W$6:$W$10005,$W9030)&gt;0),N(U9029),N(U9029)+1))</f>
        <v/>
      </c>
      <c r="V9030" s="19">
        <f>IF($B9030="","",TEXT($B9030,"0000"))</f>
        <v/>
      </c>
      <c r="W9030" s="19">
        <f>IF($I9030="","",IF(ISNUMBER($I9030),TEXT($I9030,"0"),$I9030))</f>
        <v/>
      </c>
    </row>
    <row r="9031">
      <c r="B9031" s="25" t="n"/>
      <c r="I9031" s="25" t="n"/>
      <c r="U9031" s="19">
        <f>IF($V9031&lt;&gt;'設定'!$C$4,N(U9030),IF(OR(NOT(COUNTIF('商品マスタ'!$B$6:$B$1005,$W9031)=0),COUNTIFS('①在庫を貼る'!$V$6:$V$10005,$V9031,'①在庫を貼る'!$W$6:$W$10005,$W9031)&gt;0),N(U9030),N(U9030)+1))</f>
        <v/>
      </c>
      <c r="V9031" s="19">
        <f>IF($B9031="","",TEXT($B9031,"0000"))</f>
        <v/>
      </c>
      <c r="W9031" s="19">
        <f>IF($I9031="","",IF(ISNUMBER($I9031),TEXT($I9031,"0"),$I9031))</f>
        <v/>
      </c>
    </row>
    <row r="9032">
      <c r="B9032" s="25" t="n"/>
      <c r="I9032" s="25" t="n"/>
      <c r="U9032" s="19">
        <f>IF($V9032&lt;&gt;'設定'!$C$4,N(U9031),IF(OR(NOT(COUNTIF('商品マスタ'!$B$6:$B$1005,$W9032)=0),COUNTIFS('①在庫を貼る'!$V$6:$V$10005,$V9032,'①在庫を貼る'!$W$6:$W$10005,$W9032)&gt;0),N(U9031),N(U9031)+1))</f>
        <v/>
      </c>
      <c r="V9032" s="19">
        <f>IF($B9032="","",TEXT($B9032,"0000"))</f>
        <v/>
      </c>
      <c r="W9032" s="19">
        <f>IF($I9032="","",IF(ISNUMBER($I9032),TEXT($I9032,"0"),$I9032))</f>
        <v/>
      </c>
    </row>
    <row r="9033">
      <c r="B9033" s="25" t="n"/>
      <c r="I9033" s="25" t="n"/>
      <c r="U9033" s="19">
        <f>IF($V9033&lt;&gt;'設定'!$C$4,N(U9032),IF(OR(NOT(COUNTIF('商品マスタ'!$B$6:$B$1005,$W9033)=0),COUNTIFS('①在庫を貼る'!$V$6:$V$10005,$V9033,'①在庫を貼る'!$W$6:$W$10005,$W9033)&gt;0),N(U9032),N(U9032)+1))</f>
        <v/>
      </c>
      <c r="V9033" s="19">
        <f>IF($B9033="","",TEXT($B9033,"0000"))</f>
        <v/>
      </c>
      <c r="W9033" s="19">
        <f>IF($I9033="","",IF(ISNUMBER($I9033),TEXT($I9033,"0"),$I9033))</f>
        <v/>
      </c>
    </row>
    <row r="9034">
      <c r="B9034" s="25" t="n"/>
      <c r="I9034" s="25" t="n"/>
      <c r="U9034" s="19">
        <f>IF($V9034&lt;&gt;'設定'!$C$4,N(U9033),IF(OR(NOT(COUNTIF('商品マスタ'!$B$6:$B$1005,$W9034)=0),COUNTIFS('①在庫を貼る'!$V$6:$V$10005,$V9034,'①在庫を貼る'!$W$6:$W$10005,$W9034)&gt;0),N(U9033),N(U9033)+1))</f>
        <v/>
      </c>
      <c r="V9034" s="19">
        <f>IF($B9034="","",TEXT($B9034,"0000"))</f>
        <v/>
      </c>
      <c r="W9034" s="19">
        <f>IF($I9034="","",IF(ISNUMBER($I9034),TEXT($I9034,"0"),$I9034))</f>
        <v/>
      </c>
    </row>
    <row r="9035">
      <c r="B9035" s="25" t="n"/>
      <c r="I9035" s="25" t="n"/>
      <c r="U9035" s="19">
        <f>IF($V9035&lt;&gt;'設定'!$C$4,N(U9034),IF(OR(NOT(COUNTIF('商品マスタ'!$B$6:$B$1005,$W9035)=0),COUNTIFS('①在庫を貼る'!$V$6:$V$10005,$V9035,'①在庫を貼る'!$W$6:$W$10005,$W9035)&gt;0),N(U9034),N(U9034)+1))</f>
        <v/>
      </c>
      <c r="V9035" s="19">
        <f>IF($B9035="","",TEXT($B9035,"0000"))</f>
        <v/>
      </c>
      <c r="W9035" s="19">
        <f>IF($I9035="","",IF(ISNUMBER($I9035),TEXT($I9035,"0"),$I9035))</f>
        <v/>
      </c>
    </row>
    <row r="9036">
      <c r="B9036" s="25" t="n"/>
      <c r="I9036" s="25" t="n"/>
      <c r="U9036" s="19">
        <f>IF($V9036&lt;&gt;'設定'!$C$4,N(U9035),IF(OR(NOT(COUNTIF('商品マスタ'!$B$6:$B$1005,$W9036)=0),COUNTIFS('①在庫を貼る'!$V$6:$V$10005,$V9036,'①在庫を貼る'!$W$6:$W$10005,$W9036)&gt;0),N(U9035),N(U9035)+1))</f>
        <v/>
      </c>
      <c r="V9036" s="19">
        <f>IF($B9036="","",TEXT($B9036,"0000"))</f>
        <v/>
      </c>
      <c r="W9036" s="19">
        <f>IF($I9036="","",IF(ISNUMBER($I9036),TEXT($I9036,"0"),$I9036))</f>
        <v/>
      </c>
    </row>
    <row r="9037">
      <c r="B9037" s="25" t="n"/>
      <c r="I9037" s="25" t="n"/>
      <c r="U9037" s="19">
        <f>IF($V9037&lt;&gt;'設定'!$C$4,N(U9036),IF(OR(NOT(COUNTIF('商品マスタ'!$B$6:$B$1005,$W9037)=0),COUNTIFS('①在庫を貼る'!$V$6:$V$10005,$V9037,'①在庫を貼る'!$W$6:$W$10005,$W9037)&gt;0),N(U9036),N(U9036)+1))</f>
        <v/>
      </c>
      <c r="V9037" s="19">
        <f>IF($B9037="","",TEXT($B9037,"0000"))</f>
        <v/>
      </c>
      <c r="W9037" s="19">
        <f>IF($I9037="","",IF(ISNUMBER($I9037),TEXT($I9037,"0"),$I9037))</f>
        <v/>
      </c>
    </row>
    <row r="9038">
      <c r="B9038" s="25" t="n"/>
      <c r="I9038" s="25" t="n"/>
      <c r="U9038" s="19">
        <f>IF($V9038&lt;&gt;'設定'!$C$4,N(U9037),IF(OR(NOT(COUNTIF('商品マスタ'!$B$6:$B$1005,$W9038)=0),COUNTIFS('①在庫を貼る'!$V$6:$V$10005,$V9038,'①在庫を貼る'!$W$6:$W$10005,$W9038)&gt;0),N(U9037),N(U9037)+1))</f>
        <v/>
      </c>
      <c r="V9038" s="19">
        <f>IF($B9038="","",TEXT($B9038,"0000"))</f>
        <v/>
      </c>
      <c r="W9038" s="19">
        <f>IF($I9038="","",IF(ISNUMBER($I9038),TEXT($I9038,"0"),$I9038))</f>
        <v/>
      </c>
    </row>
    <row r="9039">
      <c r="B9039" s="25" t="n"/>
      <c r="I9039" s="25" t="n"/>
      <c r="U9039" s="19">
        <f>IF($V9039&lt;&gt;'設定'!$C$4,N(U9038),IF(OR(NOT(COUNTIF('商品マスタ'!$B$6:$B$1005,$W9039)=0),COUNTIFS('①在庫を貼る'!$V$6:$V$10005,$V9039,'①在庫を貼る'!$W$6:$W$10005,$W9039)&gt;0),N(U9038),N(U9038)+1))</f>
        <v/>
      </c>
      <c r="V9039" s="19">
        <f>IF($B9039="","",TEXT($B9039,"0000"))</f>
        <v/>
      </c>
      <c r="W9039" s="19">
        <f>IF($I9039="","",IF(ISNUMBER($I9039),TEXT($I9039,"0"),$I9039))</f>
        <v/>
      </c>
    </row>
    <row r="9040">
      <c r="B9040" s="25" t="n"/>
      <c r="I9040" s="25" t="n"/>
      <c r="U9040" s="19">
        <f>IF($V9040&lt;&gt;'設定'!$C$4,N(U9039),IF(OR(NOT(COUNTIF('商品マスタ'!$B$6:$B$1005,$W9040)=0),COUNTIFS('①在庫を貼る'!$V$6:$V$10005,$V9040,'①在庫を貼る'!$W$6:$W$10005,$W9040)&gt;0),N(U9039),N(U9039)+1))</f>
        <v/>
      </c>
      <c r="V9040" s="19">
        <f>IF($B9040="","",TEXT($B9040,"0000"))</f>
        <v/>
      </c>
      <c r="W9040" s="19">
        <f>IF($I9040="","",IF(ISNUMBER($I9040),TEXT($I9040,"0"),$I9040))</f>
        <v/>
      </c>
    </row>
    <row r="9041">
      <c r="B9041" s="25" t="n"/>
      <c r="I9041" s="25" t="n"/>
      <c r="U9041" s="19">
        <f>IF($V9041&lt;&gt;'設定'!$C$4,N(U9040),IF(OR(NOT(COUNTIF('商品マスタ'!$B$6:$B$1005,$W9041)=0),COUNTIFS('①在庫を貼る'!$V$6:$V$10005,$V9041,'①在庫を貼る'!$W$6:$W$10005,$W9041)&gt;0),N(U9040),N(U9040)+1))</f>
        <v/>
      </c>
      <c r="V9041" s="19">
        <f>IF($B9041="","",TEXT($B9041,"0000"))</f>
        <v/>
      </c>
      <c r="W9041" s="19">
        <f>IF($I9041="","",IF(ISNUMBER($I9041),TEXT($I9041,"0"),$I9041))</f>
        <v/>
      </c>
    </row>
    <row r="9042">
      <c r="B9042" s="25" t="n"/>
      <c r="I9042" s="25" t="n"/>
      <c r="U9042" s="19">
        <f>IF($V9042&lt;&gt;'設定'!$C$4,N(U9041),IF(OR(NOT(COUNTIF('商品マスタ'!$B$6:$B$1005,$W9042)=0),COUNTIFS('①在庫を貼る'!$V$6:$V$10005,$V9042,'①在庫を貼る'!$W$6:$W$10005,$W9042)&gt;0),N(U9041),N(U9041)+1))</f>
        <v/>
      </c>
      <c r="V9042" s="19">
        <f>IF($B9042="","",TEXT($B9042,"0000"))</f>
        <v/>
      </c>
      <c r="W9042" s="19">
        <f>IF($I9042="","",IF(ISNUMBER($I9042),TEXT($I9042,"0"),$I9042))</f>
        <v/>
      </c>
    </row>
    <row r="9043">
      <c r="B9043" s="25" t="n"/>
      <c r="I9043" s="25" t="n"/>
      <c r="U9043" s="19">
        <f>IF($V9043&lt;&gt;'設定'!$C$4,N(U9042),IF(OR(NOT(COUNTIF('商品マスタ'!$B$6:$B$1005,$W9043)=0),COUNTIFS('①在庫を貼る'!$V$6:$V$10005,$V9043,'①在庫を貼る'!$W$6:$W$10005,$W9043)&gt;0),N(U9042),N(U9042)+1))</f>
        <v/>
      </c>
      <c r="V9043" s="19">
        <f>IF($B9043="","",TEXT($B9043,"0000"))</f>
        <v/>
      </c>
      <c r="W9043" s="19">
        <f>IF($I9043="","",IF(ISNUMBER($I9043),TEXT($I9043,"0"),$I9043))</f>
        <v/>
      </c>
    </row>
    <row r="9044">
      <c r="B9044" s="25" t="n"/>
      <c r="I9044" s="25" t="n"/>
      <c r="U9044" s="19">
        <f>IF($V9044&lt;&gt;'設定'!$C$4,N(U9043),IF(OR(NOT(COUNTIF('商品マスタ'!$B$6:$B$1005,$W9044)=0),COUNTIFS('①在庫を貼る'!$V$6:$V$10005,$V9044,'①在庫を貼る'!$W$6:$W$10005,$W9044)&gt;0),N(U9043),N(U9043)+1))</f>
        <v/>
      </c>
      <c r="V9044" s="19">
        <f>IF($B9044="","",TEXT($B9044,"0000"))</f>
        <v/>
      </c>
      <c r="W9044" s="19">
        <f>IF($I9044="","",IF(ISNUMBER($I9044),TEXT($I9044,"0"),$I9044))</f>
        <v/>
      </c>
    </row>
    <row r="9045">
      <c r="B9045" s="25" t="n"/>
      <c r="I9045" s="25" t="n"/>
      <c r="U9045" s="19">
        <f>IF($V9045&lt;&gt;'設定'!$C$4,N(U9044),IF(OR(NOT(COUNTIF('商品マスタ'!$B$6:$B$1005,$W9045)=0),COUNTIFS('①在庫を貼る'!$V$6:$V$10005,$V9045,'①在庫を貼る'!$W$6:$W$10005,$W9045)&gt;0),N(U9044),N(U9044)+1))</f>
        <v/>
      </c>
      <c r="V9045" s="19">
        <f>IF($B9045="","",TEXT($B9045,"0000"))</f>
        <v/>
      </c>
      <c r="W9045" s="19">
        <f>IF($I9045="","",IF(ISNUMBER($I9045),TEXT($I9045,"0"),$I9045))</f>
        <v/>
      </c>
    </row>
    <row r="9046">
      <c r="B9046" s="25" t="n"/>
      <c r="I9046" s="25" t="n"/>
      <c r="U9046" s="19">
        <f>IF($V9046&lt;&gt;'設定'!$C$4,N(U9045),IF(OR(NOT(COUNTIF('商品マスタ'!$B$6:$B$1005,$W9046)=0),COUNTIFS('①在庫を貼る'!$V$6:$V$10005,$V9046,'①在庫を貼る'!$W$6:$W$10005,$W9046)&gt;0),N(U9045),N(U9045)+1))</f>
        <v/>
      </c>
      <c r="V9046" s="19">
        <f>IF($B9046="","",TEXT($B9046,"0000"))</f>
        <v/>
      </c>
      <c r="W9046" s="19">
        <f>IF($I9046="","",IF(ISNUMBER($I9046),TEXT($I9046,"0"),$I9046))</f>
        <v/>
      </c>
    </row>
    <row r="9047">
      <c r="B9047" s="25" t="n"/>
      <c r="I9047" s="25" t="n"/>
      <c r="U9047" s="19">
        <f>IF($V9047&lt;&gt;'設定'!$C$4,N(U9046),IF(OR(NOT(COUNTIF('商品マスタ'!$B$6:$B$1005,$W9047)=0),COUNTIFS('①在庫を貼る'!$V$6:$V$10005,$V9047,'①在庫を貼る'!$W$6:$W$10005,$W9047)&gt;0),N(U9046),N(U9046)+1))</f>
        <v/>
      </c>
      <c r="V9047" s="19">
        <f>IF($B9047="","",TEXT($B9047,"0000"))</f>
        <v/>
      </c>
      <c r="W9047" s="19">
        <f>IF($I9047="","",IF(ISNUMBER($I9047),TEXT($I9047,"0"),$I9047))</f>
        <v/>
      </c>
    </row>
    <row r="9048">
      <c r="B9048" s="25" t="n"/>
      <c r="I9048" s="25" t="n"/>
      <c r="U9048" s="19">
        <f>IF($V9048&lt;&gt;'設定'!$C$4,N(U9047),IF(OR(NOT(COUNTIF('商品マスタ'!$B$6:$B$1005,$W9048)=0),COUNTIFS('①在庫を貼る'!$V$6:$V$10005,$V9048,'①在庫を貼る'!$W$6:$W$10005,$W9048)&gt;0),N(U9047),N(U9047)+1))</f>
        <v/>
      </c>
      <c r="V9048" s="19">
        <f>IF($B9048="","",TEXT($B9048,"0000"))</f>
        <v/>
      </c>
      <c r="W9048" s="19">
        <f>IF($I9048="","",IF(ISNUMBER($I9048),TEXT($I9048,"0"),$I9048))</f>
        <v/>
      </c>
    </row>
    <row r="9049">
      <c r="B9049" s="25" t="n"/>
      <c r="I9049" s="25" t="n"/>
      <c r="U9049" s="19">
        <f>IF($V9049&lt;&gt;'設定'!$C$4,N(U9048),IF(OR(NOT(COUNTIF('商品マスタ'!$B$6:$B$1005,$W9049)=0),COUNTIFS('①在庫を貼る'!$V$6:$V$10005,$V9049,'①在庫を貼る'!$W$6:$W$10005,$W9049)&gt;0),N(U9048),N(U9048)+1))</f>
        <v/>
      </c>
      <c r="V9049" s="19">
        <f>IF($B9049="","",TEXT($B9049,"0000"))</f>
        <v/>
      </c>
      <c r="W9049" s="19">
        <f>IF($I9049="","",IF(ISNUMBER($I9049),TEXT($I9049,"0"),$I9049))</f>
        <v/>
      </c>
    </row>
    <row r="9050">
      <c r="B9050" s="25" t="n"/>
      <c r="I9050" s="25" t="n"/>
      <c r="U9050" s="19">
        <f>IF($V9050&lt;&gt;'設定'!$C$4,N(U9049),IF(OR(NOT(COUNTIF('商品マスタ'!$B$6:$B$1005,$W9050)=0),COUNTIFS('①在庫を貼る'!$V$6:$V$10005,$V9050,'①在庫を貼る'!$W$6:$W$10005,$W9050)&gt;0),N(U9049),N(U9049)+1))</f>
        <v/>
      </c>
      <c r="V9050" s="19">
        <f>IF($B9050="","",TEXT($B9050,"0000"))</f>
        <v/>
      </c>
      <c r="W9050" s="19">
        <f>IF($I9050="","",IF(ISNUMBER($I9050),TEXT($I9050,"0"),$I9050))</f>
        <v/>
      </c>
    </row>
    <row r="9051">
      <c r="B9051" s="25" t="n"/>
      <c r="I9051" s="25" t="n"/>
      <c r="U9051" s="19">
        <f>IF($V9051&lt;&gt;'設定'!$C$4,N(U9050),IF(OR(NOT(COUNTIF('商品マスタ'!$B$6:$B$1005,$W9051)=0),COUNTIFS('①在庫を貼る'!$V$6:$V$10005,$V9051,'①在庫を貼る'!$W$6:$W$10005,$W9051)&gt;0),N(U9050),N(U9050)+1))</f>
        <v/>
      </c>
      <c r="V9051" s="19">
        <f>IF($B9051="","",TEXT($B9051,"0000"))</f>
        <v/>
      </c>
      <c r="W9051" s="19">
        <f>IF($I9051="","",IF(ISNUMBER($I9051),TEXT($I9051,"0"),$I9051))</f>
        <v/>
      </c>
    </row>
    <row r="9052">
      <c r="B9052" s="25" t="n"/>
      <c r="I9052" s="25" t="n"/>
      <c r="U9052" s="19">
        <f>IF($V9052&lt;&gt;'設定'!$C$4,N(U9051),IF(OR(NOT(COUNTIF('商品マスタ'!$B$6:$B$1005,$W9052)=0),COUNTIFS('①在庫を貼る'!$V$6:$V$10005,$V9052,'①在庫を貼る'!$W$6:$W$10005,$W9052)&gt;0),N(U9051),N(U9051)+1))</f>
        <v/>
      </c>
      <c r="V9052" s="19">
        <f>IF($B9052="","",TEXT($B9052,"0000"))</f>
        <v/>
      </c>
      <c r="W9052" s="19">
        <f>IF($I9052="","",IF(ISNUMBER($I9052),TEXT($I9052,"0"),$I9052))</f>
        <v/>
      </c>
    </row>
    <row r="9053">
      <c r="B9053" s="25" t="n"/>
      <c r="I9053" s="25" t="n"/>
      <c r="U9053" s="19">
        <f>IF($V9053&lt;&gt;'設定'!$C$4,N(U9052),IF(OR(NOT(COUNTIF('商品マスタ'!$B$6:$B$1005,$W9053)=0),COUNTIFS('①在庫を貼る'!$V$6:$V$10005,$V9053,'①在庫を貼る'!$W$6:$W$10005,$W9053)&gt;0),N(U9052),N(U9052)+1))</f>
        <v/>
      </c>
      <c r="V9053" s="19">
        <f>IF($B9053="","",TEXT($B9053,"0000"))</f>
        <v/>
      </c>
      <c r="W9053" s="19">
        <f>IF($I9053="","",IF(ISNUMBER($I9053),TEXT($I9053,"0"),$I9053))</f>
        <v/>
      </c>
    </row>
    <row r="9054">
      <c r="B9054" s="25" t="n"/>
      <c r="I9054" s="25" t="n"/>
      <c r="U9054" s="19">
        <f>IF($V9054&lt;&gt;'設定'!$C$4,N(U9053),IF(OR(NOT(COUNTIF('商品マスタ'!$B$6:$B$1005,$W9054)=0),COUNTIFS('①在庫を貼る'!$V$6:$V$10005,$V9054,'①在庫を貼る'!$W$6:$W$10005,$W9054)&gt;0),N(U9053),N(U9053)+1))</f>
        <v/>
      </c>
      <c r="V9054" s="19">
        <f>IF($B9054="","",TEXT($B9054,"0000"))</f>
        <v/>
      </c>
      <c r="W9054" s="19">
        <f>IF($I9054="","",IF(ISNUMBER($I9054),TEXT($I9054,"0"),$I9054))</f>
        <v/>
      </c>
    </row>
    <row r="9055">
      <c r="B9055" s="25" t="n"/>
      <c r="I9055" s="25" t="n"/>
      <c r="U9055" s="19">
        <f>IF($V9055&lt;&gt;'設定'!$C$4,N(U9054),IF(OR(NOT(COUNTIF('商品マスタ'!$B$6:$B$1005,$W9055)=0),COUNTIFS('①在庫を貼る'!$V$6:$V$10005,$V9055,'①在庫を貼る'!$W$6:$W$10005,$W9055)&gt;0),N(U9054),N(U9054)+1))</f>
        <v/>
      </c>
      <c r="V9055" s="19">
        <f>IF($B9055="","",TEXT($B9055,"0000"))</f>
        <v/>
      </c>
      <c r="W9055" s="19">
        <f>IF($I9055="","",IF(ISNUMBER($I9055),TEXT($I9055,"0"),$I9055))</f>
        <v/>
      </c>
    </row>
    <row r="9056">
      <c r="B9056" s="25" t="n"/>
      <c r="I9056" s="25" t="n"/>
      <c r="U9056" s="19">
        <f>IF($V9056&lt;&gt;'設定'!$C$4,N(U9055),IF(OR(NOT(COUNTIF('商品マスタ'!$B$6:$B$1005,$W9056)=0),COUNTIFS('①在庫を貼る'!$V$6:$V$10005,$V9056,'①在庫を貼る'!$W$6:$W$10005,$W9056)&gt;0),N(U9055),N(U9055)+1))</f>
        <v/>
      </c>
      <c r="V9056" s="19">
        <f>IF($B9056="","",TEXT($B9056,"0000"))</f>
        <v/>
      </c>
      <c r="W9056" s="19">
        <f>IF($I9056="","",IF(ISNUMBER($I9056),TEXT($I9056,"0"),$I9056))</f>
        <v/>
      </c>
    </row>
    <row r="9057">
      <c r="B9057" s="25" t="n"/>
      <c r="I9057" s="25" t="n"/>
      <c r="U9057" s="19">
        <f>IF($V9057&lt;&gt;'設定'!$C$4,N(U9056),IF(OR(NOT(COUNTIF('商品マスタ'!$B$6:$B$1005,$W9057)=0),COUNTIFS('①在庫を貼る'!$V$6:$V$10005,$V9057,'①在庫を貼る'!$W$6:$W$10005,$W9057)&gt;0),N(U9056),N(U9056)+1))</f>
        <v/>
      </c>
      <c r="V9057" s="19">
        <f>IF($B9057="","",TEXT($B9057,"0000"))</f>
        <v/>
      </c>
      <c r="W9057" s="19">
        <f>IF($I9057="","",IF(ISNUMBER($I9057),TEXT($I9057,"0"),$I9057))</f>
        <v/>
      </c>
    </row>
    <row r="9058">
      <c r="B9058" s="25" t="n"/>
      <c r="I9058" s="25" t="n"/>
      <c r="U9058" s="19">
        <f>IF($V9058&lt;&gt;'設定'!$C$4,N(U9057),IF(OR(NOT(COUNTIF('商品マスタ'!$B$6:$B$1005,$W9058)=0),COUNTIFS('①在庫を貼る'!$V$6:$V$10005,$V9058,'①在庫を貼る'!$W$6:$W$10005,$W9058)&gt;0),N(U9057),N(U9057)+1))</f>
        <v/>
      </c>
      <c r="V9058" s="19">
        <f>IF($B9058="","",TEXT($B9058,"0000"))</f>
        <v/>
      </c>
      <c r="W9058" s="19">
        <f>IF($I9058="","",IF(ISNUMBER($I9058),TEXT($I9058,"0"),$I9058))</f>
        <v/>
      </c>
    </row>
    <row r="9059">
      <c r="B9059" s="25" t="n"/>
      <c r="I9059" s="25" t="n"/>
      <c r="U9059" s="19">
        <f>IF($V9059&lt;&gt;'設定'!$C$4,N(U9058),IF(OR(NOT(COUNTIF('商品マスタ'!$B$6:$B$1005,$W9059)=0),COUNTIFS('①在庫を貼る'!$V$6:$V$10005,$V9059,'①在庫を貼る'!$W$6:$W$10005,$W9059)&gt;0),N(U9058),N(U9058)+1))</f>
        <v/>
      </c>
      <c r="V9059" s="19">
        <f>IF($B9059="","",TEXT($B9059,"0000"))</f>
        <v/>
      </c>
      <c r="W9059" s="19">
        <f>IF($I9059="","",IF(ISNUMBER($I9059),TEXT($I9059,"0"),$I9059))</f>
        <v/>
      </c>
    </row>
    <row r="9060">
      <c r="B9060" s="25" t="n"/>
      <c r="I9060" s="25" t="n"/>
      <c r="U9060" s="19">
        <f>IF($V9060&lt;&gt;'設定'!$C$4,N(U9059),IF(OR(NOT(COUNTIF('商品マスタ'!$B$6:$B$1005,$W9060)=0),COUNTIFS('①在庫を貼る'!$V$6:$V$10005,$V9060,'①在庫を貼る'!$W$6:$W$10005,$W9060)&gt;0),N(U9059),N(U9059)+1))</f>
        <v/>
      </c>
      <c r="V9060" s="19">
        <f>IF($B9060="","",TEXT($B9060,"0000"))</f>
        <v/>
      </c>
      <c r="W9060" s="19">
        <f>IF($I9060="","",IF(ISNUMBER($I9060),TEXT($I9060,"0"),$I9060))</f>
        <v/>
      </c>
    </row>
    <row r="9061">
      <c r="B9061" s="25" t="n"/>
      <c r="I9061" s="25" t="n"/>
      <c r="U9061" s="19">
        <f>IF($V9061&lt;&gt;'設定'!$C$4,N(U9060),IF(OR(NOT(COUNTIF('商品マスタ'!$B$6:$B$1005,$W9061)=0),COUNTIFS('①在庫を貼る'!$V$6:$V$10005,$V9061,'①在庫を貼る'!$W$6:$W$10005,$W9061)&gt;0),N(U9060),N(U9060)+1))</f>
        <v/>
      </c>
      <c r="V9061" s="19">
        <f>IF($B9061="","",TEXT($B9061,"0000"))</f>
        <v/>
      </c>
      <c r="W9061" s="19">
        <f>IF($I9061="","",IF(ISNUMBER($I9061),TEXT($I9061,"0"),$I9061))</f>
        <v/>
      </c>
    </row>
    <row r="9062">
      <c r="B9062" s="25" t="n"/>
      <c r="I9062" s="25" t="n"/>
      <c r="U9062" s="19">
        <f>IF($V9062&lt;&gt;'設定'!$C$4,N(U9061),IF(OR(NOT(COUNTIF('商品マスタ'!$B$6:$B$1005,$W9062)=0),COUNTIFS('①在庫を貼る'!$V$6:$V$10005,$V9062,'①在庫を貼る'!$W$6:$W$10005,$W9062)&gt;0),N(U9061),N(U9061)+1))</f>
        <v/>
      </c>
      <c r="V9062" s="19">
        <f>IF($B9062="","",TEXT($B9062,"0000"))</f>
        <v/>
      </c>
      <c r="W9062" s="19">
        <f>IF($I9062="","",IF(ISNUMBER($I9062),TEXT($I9062,"0"),$I9062))</f>
        <v/>
      </c>
    </row>
    <row r="9063">
      <c r="B9063" s="25" t="n"/>
      <c r="I9063" s="25" t="n"/>
      <c r="U9063" s="19">
        <f>IF($V9063&lt;&gt;'設定'!$C$4,N(U9062),IF(OR(NOT(COUNTIF('商品マスタ'!$B$6:$B$1005,$W9063)=0),COUNTIFS('①在庫を貼る'!$V$6:$V$10005,$V9063,'①在庫を貼る'!$W$6:$W$10005,$W9063)&gt;0),N(U9062),N(U9062)+1))</f>
        <v/>
      </c>
      <c r="V9063" s="19">
        <f>IF($B9063="","",TEXT($B9063,"0000"))</f>
        <v/>
      </c>
      <c r="W9063" s="19">
        <f>IF($I9063="","",IF(ISNUMBER($I9063),TEXT($I9063,"0"),$I9063))</f>
        <v/>
      </c>
    </row>
    <row r="9064">
      <c r="B9064" s="25" t="n"/>
      <c r="I9064" s="25" t="n"/>
      <c r="U9064" s="19">
        <f>IF($V9064&lt;&gt;'設定'!$C$4,N(U9063),IF(OR(NOT(COUNTIF('商品マスタ'!$B$6:$B$1005,$W9064)=0),COUNTIFS('①在庫を貼る'!$V$6:$V$10005,$V9064,'①在庫を貼る'!$W$6:$W$10005,$W9064)&gt;0),N(U9063),N(U9063)+1))</f>
        <v/>
      </c>
      <c r="V9064" s="19">
        <f>IF($B9064="","",TEXT($B9064,"0000"))</f>
        <v/>
      </c>
      <c r="W9064" s="19">
        <f>IF($I9064="","",IF(ISNUMBER($I9064),TEXT($I9064,"0"),$I9064))</f>
        <v/>
      </c>
    </row>
    <row r="9065">
      <c r="B9065" s="25" t="n"/>
      <c r="I9065" s="25" t="n"/>
      <c r="U9065" s="19">
        <f>IF($V9065&lt;&gt;'設定'!$C$4,N(U9064),IF(OR(NOT(COUNTIF('商品マスタ'!$B$6:$B$1005,$W9065)=0),COUNTIFS('①在庫を貼る'!$V$6:$V$10005,$V9065,'①在庫を貼る'!$W$6:$W$10005,$W9065)&gt;0),N(U9064),N(U9064)+1))</f>
        <v/>
      </c>
      <c r="V9065" s="19">
        <f>IF($B9065="","",TEXT($B9065,"0000"))</f>
        <v/>
      </c>
      <c r="W9065" s="19">
        <f>IF($I9065="","",IF(ISNUMBER($I9065),TEXT($I9065,"0"),$I9065))</f>
        <v/>
      </c>
    </row>
    <row r="9066">
      <c r="B9066" s="25" t="n"/>
      <c r="I9066" s="25" t="n"/>
      <c r="U9066" s="19">
        <f>IF($V9066&lt;&gt;'設定'!$C$4,N(U9065),IF(OR(NOT(COUNTIF('商品マスタ'!$B$6:$B$1005,$W9066)=0),COUNTIFS('①在庫を貼る'!$V$6:$V$10005,$V9066,'①在庫を貼る'!$W$6:$W$10005,$W9066)&gt;0),N(U9065),N(U9065)+1))</f>
        <v/>
      </c>
      <c r="V9066" s="19">
        <f>IF($B9066="","",TEXT($B9066,"0000"))</f>
        <v/>
      </c>
      <c r="W9066" s="19">
        <f>IF($I9066="","",IF(ISNUMBER($I9066),TEXT($I9066,"0"),$I9066))</f>
        <v/>
      </c>
    </row>
    <row r="9067">
      <c r="B9067" s="25" t="n"/>
      <c r="I9067" s="25" t="n"/>
      <c r="U9067" s="19">
        <f>IF($V9067&lt;&gt;'設定'!$C$4,N(U9066),IF(OR(NOT(COUNTIF('商品マスタ'!$B$6:$B$1005,$W9067)=0),COUNTIFS('①在庫を貼る'!$V$6:$V$10005,$V9067,'①在庫を貼る'!$W$6:$W$10005,$W9067)&gt;0),N(U9066),N(U9066)+1))</f>
        <v/>
      </c>
      <c r="V9067" s="19">
        <f>IF($B9067="","",TEXT($B9067,"0000"))</f>
        <v/>
      </c>
      <c r="W9067" s="19">
        <f>IF($I9067="","",IF(ISNUMBER($I9067),TEXT($I9067,"0"),$I9067))</f>
        <v/>
      </c>
    </row>
    <row r="9068">
      <c r="B9068" s="25" t="n"/>
      <c r="I9068" s="25" t="n"/>
      <c r="U9068" s="19">
        <f>IF($V9068&lt;&gt;'設定'!$C$4,N(U9067),IF(OR(NOT(COUNTIF('商品マスタ'!$B$6:$B$1005,$W9068)=0),COUNTIFS('①在庫を貼る'!$V$6:$V$10005,$V9068,'①在庫を貼る'!$W$6:$W$10005,$W9068)&gt;0),N(U9067),N(U9067)+1))</f>
        <v/>
      </c>
      <c r="V9068" s="19">
        <f>IF($B9068="","",TEXT($B9068,"0000"))</f>
        <v/>
      </c>
      <c r="W9068" s="19">
        <f>IF($I9068="","",IF(ISNUMBER($I9068),TEXT($I9068,"0"),$I9068))</f>
        <v/>
      </c>
    </row>
    <row r="9069">
      <c r="B9069" s="25" t="n"/>
      <c r="I9069" s="25" t="n"/>
      <c r="U9069" s="19">
        <f>IF($V9069&lt;&gt;'設定'!$C$4,N(U9068),IF(OR(NOT(COUNTIF('商品マスタ'!$B$6:$B$1005,$W9069)=0),COUNTIFS('①在庫を貼る'!$V$6:$V$10005,$V9069,'①在庫を貼る'!$W$6:$W$10005,$W9069)&gt;0),N(U9068),N(U9068)+1))</f>
        <v/>
      </c>
      <c r="V9069" s="19">
        <f>IF($B9069="","",TEXT($B9069,"0000"))</f>
        <v/>
      </c>
      <c r="W9069" s="19">
        <f>IF($I9069="","",IF(ISNUMBER($I9069),TEXT($I9069,"0"),$I9069))</f>
        <v/>
      </c>
    </row>
    <row r="9070">
      <c r="B9070" s="25" t="n"/>
      <c r="I9070" s="25" t="n"/>
      <c r="U9070" s="19">
        <f>IF($V9070&lt;&gt;'設定'!$C$4,N(U9069),IF(OR(NOT(COUNTIF('商品マスタ'!$B$6:$B$1005,$W9070)=0),COUNTIFS('①在庫を貼る'!$V$6:$V$10005,$V9070,'①在庫を貼る'!$W$6:$W$10005,$W9070)&gt;0),N(U9069),N(U9069)+1))</f>
        <v/>
      </c>
      <c r="V9070" s="19">
        <f>IF($B9070="","",TEXT($B9070,"0000"))</f>
        <v/>
      </c>
      <c r="W9070" s="19">
        <f>IF($I9070="","",IF(ISNUMBER($I9070),TEXT($I9070,"0"),$I9070))</f>
        <v/>
      </c>
    </row>
    <row r="9071">
      <c r="B9071" s="25" t="n"/>
      <c r="I9071" s="25" t="n"/>
      <c r="U9071" s="19">
        <f>IF($V9071&lt;&gt;'設定'!$C$4,N(U9070),IF(OR(NOT(COUNTIF('商品マスタ'!$B$6:$B$1005,$W9071)=0),COUNTIFS('①在庫を貼る'!$V$6:$V$10005,$V9071,'①在庫を貼る'!$W$6:$W$10005,$W9071)&gt;0),N(U9070),N(U9070)+1))</f>
        <v/>
      </c>
      <c r="V9071" s="19">
        <f>IF($B9071="","",TEXT($B9071,"0000"))</f>
        <v/>
      </c>
      <c r="W9071" s="19">
        <f>IF($I9071="","",IF(ISNUMBER($I9071),TEXT($I9071,"0"),$I9071))</f>
        <v/>
      </c>
    </row>
    <row r="9072">
      <c r="B9072" s="25" t="n"/>
      <c r="I9072" s="25" t="n"/>
      <c r="U9072" s="19">
        <f>IF($V9072&lt;&gt;'設定'!$C$4,N(U9071),IF(OR(NOT(COUNTIF('商品マスタ'!$B$6:$B$1005,$W9072)=0),COUNTIFS('①在庫を貼る'!$V$6:$V$10005,$V9072,'①在庫を貼る'!$W$6:$W$10005,$W9072)&gt;0),N(U9071),N(U9071)+1))</f>
        <v/>
      </c>
      <c r="V9072" s="19">
        <f>IF($B9072="","",TEXT($B9072,"0000"))</f>
        <v/>
      </c>
      <c r="W9072" s="19">
        <f>IF($I9072="","",IF(ISNUMBER($I9072),TEXT($I9072,"0"),$I9072))</f>
        <v/>
      </c>
    </row>
    <row r="9073">
      <c r="B9073" s="25" t="n"/>
      <c r="I9073" s="25" t="n"/>
      <c r="U9073" s="19">
        <f>IF($V9073&lt;&gt;'設定'!$C$4,N(U9072),IF(OR(NOT(COUNTIF('商品マスタ'!$B$6:$B$1005,$W9073)=0),COUNTIFS('①在庫を貼る'!$V$6:$V$10005,$V9073,'①在庫を貼る'!$W$6:$W$10005,$W9073)&gt;0),N(U9072),N(U9072)+1))</f>
        <v/>
      </c>
      <c r="V9073" s="19">
        <f>IF($B9073="","",TEXT($B9073,"0000"))</f>
        <v/>
      </c>
      <c r="W9073" s="19">
        <f>IF($I9073="","",IF(ISNUMBER($I9073),TEXT($I9073,"0"),$I9073))</f>
        <v/>
      </c>
    </row>
    <row r="9074">
      <c r="B9074" s="25" t="n"/>
      <c r="I9074" s="25" t="n"/>
      <c r="U9074" s="19">
        <f>IF($V9074&lt;&gt;'設定'!$C$4,N(U9073),IF(OR(NOT(COUNTIF('商品マスタ'!$B$6:$B$1005,$W9074)=0),COUNTIFS('①在庫を貼る'!$V$6:$V$10005,$V9074,'①在庫を貼る'!$W$6:$W$10005,$W9074)&gt;0),N(U9073),N(U9073)+1))</f>
        <v/>
      </c>
      <c r="V9074" s="19">
        <f>IF($B9074="","",TEXT($B9074,"0000"))</f>
        <v/>
      </c>
      <c r="W9074" s="19">
        <f>IF($I9074="","",IF(ISNUMBER($I9074),TEXT($I9074,"0"),$I9074))</f>
        <v/>
      </c>
    </row>
    <row r="9075">
      <c r="B9075" s="25" t="n"/>
      <c r="I9075" s="25" t="n"/>
      <c r="U9075" s="19">
        <f>IF($V9075&lt;&gt;'設定'!$C$4,N(U9074),IF(OR(NOT(COUNTIF('商品マスタ'!$B$6:$B$1005,$W9075)=0),COUNTIFS('①在庫を貼る'!$V$6:$V$10005,$V9075,'①在庫を貼る'!$W$6:$W$10005,$W9075)&gt;0),N(U9074),N(U9074)+1))</f>
        <v/>
      </c>
      <c r="V9075" s="19">
        <f>IF($B9075="","",TEXT($B9075,"0000"))</f>
        <v/>
      </c>
      <c r="W9075" s="19">
        <f>IF($I9075="","",IF(ISNUMBER($I9075),TEXT($I9075,"0"),$I9075))</f>
        <v/>
      </c>
    </row>
    <row r="9076">
      <c r="B9076" s="25" t="n"/>
      <c r="I9076" s="25" t="n"/>
      <c r="U9076" s="19">
        <f>IF($V9076&lt;&gt;'設定'!$C$4,N(U9075),IF(OR(NOT(COUNTIF('商品マスタ'!$B$6:$B$1005,$W9076)=0),COUNTIFS('①在庫を貼る'!$V$6:$V$10005,$V9076,'①在庫を貼る'!$W$6:$W$10005,$W9076)&gt;0),N(U9075),N(U9075)+1))</f>
        <v/>
      </c>
      <c r="V9076" s="19">
        <f>IF($B9076="","",TEXT($B9076,"0000"))</f>
        <v/>
      </c>
      <c r="W9076" s="19">
        <f>IF($I9076="","",IF(ISNUMBER($I9076),TEXT($I9076,"0"),$I9076))</f>
        <v/>
      </c>
    </row>
    <row r="9077">
      <c r="B9077" s="25" t="n"/>
      <c r="I9077" s="25" t="n"/>
      <c r="U9077" s="19">
        <f>IF($V9077&lt;&gt;'設定'!$C$4,N(U9076),IF(OR(NOT(COUNTIF('商品マスタ'!$B$6:$B$1005,$W9077)=0),COUNTIFS('①在庫を貼る'!$V$6:$V$10005,$V9077,'①在庫を貼る'!$W$6:$W$10005,$W9077)&gt;0),N(U9076),N(U9076)+1))</f>
        <v/>
      </c>
      <c r="V9077" s="19">
        <f>IF($B9077="","",TEXT($B9077,"0000"))</f>
        <v/>
      </c>
      <c r="W9077" s="19">
        <f>IF($I9077="","",IF(ISNUMBER($I9077),TEXT($I9077,"0"),$I9077))</f>
        <v/>
      </c>
    </row>
    <row r="9078">
      <c r="B9078" s="25" t="n"/>
      <c r="I9078" s="25" t="n"/>
      <c r="U9078" s="19">
        <f>IF($V9078&lt;&gt;'設定'!$C$4,N(U9077),IF(OR(NOT(COUNTIF('商品マスタ'!$B$6:$B$1005,$W9078)=0),COUNTIFS('①在庫を貼る'!$V$6:$V$10005,$V9078,'①在庫を貼る'!$W$6:$W$10005,$W9078)&gt;0),N(U9077),N(U9077)+1))</f>
        <v/>
      </c>
      <c r="V9078" s="19">
        <f>IF($B9078="","",TEXT($B9078,"0000"))</f>
        <v/>
      </c>
      <c r="W9078" s="19">
        <f>IF($I9078="","",IF(ISNUMBER($I9078),TEXT($I9078,"0"),$I9078))</f>
        <v/>
      </c>
    </row>
    <row r="9079">
      <c r="B9079" s="25" t="n"/>
      <c r="I9079" s="25" t="n"/>
      <c r="U9079" s="19">
        <f>IF($V9079&lt;&gt;'設定'!$C$4,N(U9078),IF(OR(NOT(COUNTIF('商品マスタ'!$B$6:$B$1005,$W9079)=0),COUNTIFS('①在庫を貼る'!$V$6:$V$10005,$V9079,'①在庫を貼る'!$W$6:$W$10005,$W9079)&gt;0),N(U9078),N(U9078)+1))</f>
        <v/>
      </c>
      <c r="V9079" s="19">
        <f>IF($B9079="","",TEXT($B9079,"0000"))</f>
        <v/>
      </c>
      <c r="W9079" s="19">
        <f>IF($I9079="","",IF(ISNUMBER($I9079),TEXT($I9079,"0"),$I9079))</f>
        <v/>
      </c>
    </row>
    <row r="9080">
      <c r="B9080" s="25" t="n"/>
      <c r="I9080" s="25" t="n"/>
      <c r="U9080" s="19">
        <f>IF($V9080&lt;&gt;'設定'!$C$4,N(U9079),IF(OR(NOT(COUNTIF('商品マスタ'!$B$6:$B$1005,$W9080)=0),COUNTIFS('①在庫を貼る'!$V$6:$V$10005,$V9080,'①在庫を貼る'!$W$6:$W$10005,$W9080)&gt;0),N(U9079),N(U9079)+1))</f>
        <v/>
      </c>
      <c r="V9080" s="19">
        <f>IF($B9080="","",TEXT($B9080,"0000"))</f>
        <v/>
      </c>
      <c r="W9080" s="19">
        <f>IF($I9080="","",IF(ISNUMBER($I9080),TEXT($I9080,"0"),$I9080))</f>
        <v/>
      </c>
    </row>
    <row r="9081">
      <c r="B9081" s="25" t="n"/>
      <c r="I9081" s="25" t="n"/>
      <c r="U9081" s="19">
        <f>IF($V9081&lt;&gt;'設定'!$C$4,N(U9080),IF(OR(NOT(COUNTIF('商品マスタ'!$B$6:$B$1005,$W9081)=0),COUNTIFS('①在庫を貼る'!$V$6:$V$10005,$V9081,'①在庫を貼る'!$W$6:$W$10005,$W9081)&gt;0),N(U9080),N(U9080)+1))</f>
        <v/>
      </c>
      <c r="V9081" s="19">
        <f>IF($B9081="","",TEXT($B9081,"0000"))</f>
        <v/>
      </c>
      <c r="W9081" s="19">
        <f>IF($I9081="","",IF(ISNUMBER($I9081),TEXT($I9081,"0"),$I9081))</f>
        <v/>
      </c>
    </row>
    <row r="9082">
      <c r="B9082" s="25" t="n"/>
      <c r="I9082" s="25" t="n"/>
      <c r="U9082" s="19">
        <f>IF($V9082&lt;&gt;'設定'!$C$4,N(U9081),IF(OR(NOT(COUNTIF('商品マスタ'!$B$6:$B$1005,$W9082)=0),COUNTIFS('①在庫を貼る'!$V$6:$V$10005,$V9082,'①在庫を貼る'!$W$6:$W$10005,$W9082)&gt;0),N(U9081),N(U9081)+1))</f>
        <v/>
      </c>
      <c r="V9082" s="19">
        <f>IF($B9082="","",TEXT($B9082,"0000"))</f>
        <v/>
      </c>
      <c r="W9082" s="19">
        <f>IF($I9082="","",IF(ISNUMBER($I9082),TEXT($I9082,"0"),$I9082))</f>
        <v/>
      </c>
    </row>
    <row r="9083">
      <c r="B9083" s="25" t="n"/>
      <c r="I9083" s="25" t="n"/>
      <c r="U9083" s="19">
        <f>IF($V9083&lt;&gt;'設定'!$C$4,N(U9082),IF(OR(NOT(COUNTIF('商品マスタ'!$B$6:$B$1005,$W9083)=0),COUNTIFS('①在庫を貼る'!$V$6:$V$10005,$V9083,'①在庫を貼る'!$W$6:$W$10005,$W9083)&gt;0),N(U9082),N(U9082)+1))</f>
        <v/>
      </c>
      <c r="V9083" s="19">
        <f>IF($B9083="","",TEXT($B9083,"0000"))</f>
        <v/>
      </c>
      <c r="W9083" s="19">
        <f>IF($I9083="","",IF(ISNUMBER($I9083),TEXT($I9083,"0"),$I9083))</f>
        <v/>
      </c>
    </row>
    <row r="9084">
      <c r="B9084" s="25" t="n"/>
      <c r="I9084" s="25" t="n"/>
      <c r="U9084" s="19">
        <f>IF($V9084&lt;&gt;'設定'!$C$4,N(U9083),IF(OR(NOT(COUNTIF('商品マスタ'!$B$6:$B$1005,$W9084)=0),COUNTIFS('①在庫を貼る'!$V$6:$V$10005,$V9084,'①在庫を貼る'!$W$6:$W$10005,$W9084)&gt;0),N(U9083),N(U9083)+1))</f>
        <v/>
      </c>
      <c r="V9084" s="19">
        <f>IF($B9084="","",TEXT($B9084,"0000"))</f>
        <v/>
      </c>
      <c r="W9084" s="19">
        <f>IF($I9084="","",IF(ISNUMBER($I9084),TEXT($I9084,"0"),$I9084))</f>
        <v/>
      </c>
    </row>
    <row r="9085">
      <c r="B9085" s="25" t="n"/>
      <c r="I9085" s="25" t="n"/>
      <c r="U9085" s="19">
        <f>IF($V9085&lt;&gt;'設定'!$C$4,N(U9084),IF(OR(NOT(COUNTIF('商品マスタ'!$B$6:$B$1005,$W9085)=0),COUNTIFS('①在庫を貼る'!$V$6:$V$10005,$V9085,'①在庫を貼る'!$W$6:$W$10005,$W9085)&gt;0),N(U9084),N(U9084)+1))</f>
        <v/>
      </c>
      <c r="V9085" s="19">
        <f>IF($B9085="","",TEXT($B9085,"0000"))</f>
        <v/>
      </c>
      <c r="W9085" s="19">
        <f>IF($I9085="","",IF(ISNUMBER($I9085),TEXT($I9085,"0"),$I9085))</f>
        <v/>
      </c>
    </row>
    <row r="9086">
      <c r="B9086" s="25" t="n"/>
      <c r="I9086" s="25" t="n"/>
      <c r="U9086" s="19">
        <f>IF($V9086&lt;&gt;'設定'!$C$4,N(U9085),IF(OR(NOT(COUNTIF('商品マスタ'!$B$6:$B$1005,$W9086)=0),COUNTIFS('①在庫を貼る'!$V$6:$V$10005,$V9086,'①在庫を貼る'!$W$6:$W$10005,$W9086)&gt;0),N(U9085),N(U9085)+1))</f>
        <v/>
      </c>
      <c r="V9086" s="19">
        <f>IF($B9086="","",TEXT($B9086,"0000"))</f>
        <v/>
      </c>
      <c r="W9086" s="19">
        <f>IF($I9086="","",IF(ISNUMBER($I9086),TEXT($I9086,"0"),$I9086))</f>
        <v/>
      </c>
    </row>
    <row r="9087">
      <c r="B9087" s="25" t="n"/>
      <c r="I9087" s="25" t="n"/>
      <c r="U9087" s="19">
        <f>IF($V9087&lt;&gt;'設定'!$C$4,N(U9086),IF(OR(NOT(COUNTIF('商品マスタ'!$B$6:$B$1005,$W9087)=0),COUNTIFS('①在庫を貼る'!$V$6:$V$10005,$V9087,'①在庫を貼る'!$W$6:$W$10005,$W9087)&gt;0),N(U9086),N(U9086)+1))</f>
        <v/>
      </c>
      <c r="V9087" s="19">
        <f>IF($B9087="","",TEXT($B9087,"0000"))</f>
        <v/>
      </c>
      <c r="W9087" s="19">
        <f>IF($I9087="","",IF(ISNUMBER($I9087),TEXT($I9087,"0"),$I9087))</f>
        <v/>
      </c>
    </row>
    <row r="9088">
      <c r="B9088" s="25" t="n"/>
      <c r="I9088" s="25" t="n"/>
      <c r="U9088" s="19">
        <f>IF($V9088&lt;&gt;'設定'!$C$4,N(U9087),IF(OR(NOT(COUNTIF('商品マスタ'!$B$6:$B$1005,$W9088)=0),COUNTIFS('①在庫を貼る'!$V$6:$V$10005,$V9088,'①在庫を貼る'!$W$6:$W$10005,$W9088)&gt;0),N(U9087),N(U9087)+1))</f>
        <v/>
      </c>
      <c r="V9088" s="19">
        <f>IF($B9088="","",TEXT($B9088,"0000"))</f>
        <v/>
      </c>
      <c r="W9088" s="19">
        <f>IF($I9088="","",IF(ISNUMBER($I9088),TEXT($I9088,"0"),$I9088))</f>
        <v/>
      </c>
    </row>
    <row r="9089">
      <c r="B9089" s="25" t="n"/>
      <c r="I9089" s="25" t="n"/>
      <c r="U9089" s="19">
        <f>IF($V9089&lt;&gt;'設定'!$C$4,N(U9088),IF(OR(NOT(COUNTIF('商品マスタ'!$B$6:$B$1005,$W9089)=0),COUNTIFS('①在庫を貼る'!$V$6:$V$10005,$V9089,'①在庫を貼る'!$W$6:$W$10005,$W9089)&gt;0),N(U9088),N(U9088)+1))</f>
        <v/>
      </c>
      <c r="V9089" s="19">
        <f>IF($B9089="","",TEXT($B9089,"0000"))</f>
        <v/>
      </c>
      <c r="W9089" s="19">
        <f>IF($I9089="","",IF(ISNUMBER($I9089),TEXT($I9089,"0"),$I9089))</f>
        <v/>
      </c>
    </row>
    <row r="9090">
      <c r="B9090" s="25" t="n"/>
      <c r="I9090" s="25" t="n"/>
      <c r="U9090" s="19">
        <f>IF($V9090&lt;&gt;'設定'!$C$4,N(U9089),IF(OR(NOT(COUNTIF('商品マスタ'!$B$6:$B$1005,$W9090)=0),COUNTIFS('①在庫を貼る'!$V$6:$V$10005,$V9090,'①在庫を貼る'!$W$6:$W$10005,$W9090)&gt;0),N(U9089),N(U9089)+1))</f>
        <v/>
      </c>
      <c r="V9090" s="19">
        <f>IF($B9090="","",TEXT($B9090,"0000"))</f>
        <v/>
      </c>
      <c r="W9090" s="19">
        <f>IF($I9090="","",IF(ISNUMBER($I9090),TEXT($I9090,"0"),$I9090))</f>
        <v/>
      </c>
    </row>
    <row r="9091">
      <c r="B9091" s="25" t="n"/>
      <c r="I9091" s="25" t="n"/>
      <c r="U9091" s="19">
        <f>IF($V9091&lt;&gt;'設定'!$C$4,N(U9090),IF(OR(NOT(COUNTIF('商品マスタ'!$B$6:$B$1005,$W9091)=0),COUNTIFS('①在庫を貼る'!$V$6:$V$10005,$V9091,'①在庫を貼る'!$W$6:$W$10005,$W9091)&gt;0),N(U9090),N(U9090)+1))</f>
        <v/>
      </c>
      <c r="V9091" s="19">
        <f>IF($B9091="","",TEXT($B9091,"0000"))</f>
        <v/>
      </c>
      <c r="W9091" s="19">
        <f>IF($I9091="","",IF(ISNUMBER($I9091),TEXT($I9091,"0"),$I9091))</f>
        <v/>
      </c>
    </row>
    <row r="9092">
      <c r="B9092" s="25" t="n"/>
      <c r="I9092" s="25" t="n"/>
      <c r="U9092" s="19">
        <f>IF($V9092&lt;&gt;'設定'!$C$4,N(U9091),IF(OR(NOT(COUNTIF('商品マスタ'!$B$6:$B$1005,$W9092)=0),COUNTIFS('①在庫を貼る'!$V$6:$V$10005,$V9092,'①在庫を貼る'!$W$6:$W$10005,$W9092)&gt;0),N(U9091),N(U9091)+1))</f>
        <v/>
      </c>
      <c r="V9092" s="19">
        <f>IF($B9092="","",TEXT($B9092,"0000"))</f>
        <v/>
      </c>
      <c r="W9092" s="19">
        <f>IF($I9092="","",IF(ISNUMBER($I9092),TEXT($I9092,"0"),$I9092))</f>
        <v/>
      </c>
    </row>
    <row r="9093">
      <c r="B9093" s="25" t="n"/>
      <c r="I9093" s="25" t="n"/>
      <c r="U9093" s="19">
        <f>IF($V9093&lt;&gt;'設定'!$C$4,N(U9092),IF(OR(NOT(COUNTIF('商品マスタ'!$B$6:$B$1005,$W9093)=0),COUNTIFS('①在庫を貼る'!$V$6:$V$10005,$V9093,'①在庫を貼る'!$W$6:$W$10005,$W9093)&gt;0),N(U9092),N(U9092)+1))</f>
        <v/>
      </c>
      <c r="V9093" s="19">
        <f>IF($B9093="","",TEXT($B9093,"0000"))</f>
        <v/>
      </c>
      <c r="W9093" s="19">
        <f>IF($I9093="","",IF(ISNUMBER($I9093),TEXT($I9093,"0"),$I9093))</f>
        <v/>
      </c>
    </row>
    <row r="9094">
      <c r="B9094" s="25" t="n"/>
      <c r="I9094" s="25" t="n"/>
      <c r="U9094" s="19">
        <f>IF($V9094&lt;&gt;'設定'!$C$4,N(U9093),IF(OR(NOT(COUNTIF('商品マスタ'!$B$6:$B$1005,$W9094)=0),COUNTIFS('①在庫を貼る'!$V$6:$V$10005,$V9094,'①在庫を貼る'!$W$6:$W$10005,$W9094)&gt;0),N(U9093),N(U9093)+1))</f>
        <v/>
      </c>
      <c r="V9094" s="19">
        <f>IF($B9094="","",TEXT($B9094,"0000"))</f>
        <v/>
      </c>
      <c r="W9094" s="19">
        <f>IF($I9094="","",IF(ISNUMBER($I9094),TEXT($I9094,"0"),$I9094))</f>
        <v/>
      </c>
    </row>
    <row r="9095">
      <c r="B9095" s="25" t="n"/>
      <c r="I9095" s="25" t="n"/>
      <c r="U9095" s="19">
        <f>IF($V9095&lt;&gt;'設定'!$C$4,N(U9094),IF(OR(NOT(COUNTIF('商品マスタ'!$B$6:$B$1005,$W9095)=0),COUNTIFS('①在庫を貼る'!$V$6:$V$10005,$V9095,'①在庫を貼る'!$W$6:$W$10005,$W9095)&gt;0),N(U9094),N(U9094)+1))</f>
        <v/>
      </c>
      <c r="V9095" s="19">
        <f>IF($B9095="","",TEXT($B9095,"0000"))</f>
        <v/>
      </c>
      <c r="W9095" s="19">
        <f>IF($I9095="","",IF(ISNUMBER($I9095),TEXT($I9095,"0"),$I9095))</f>
        <v/>
      </c>
    </row>
    <row r="9096">
      <c r="B9096" s="25" t="n"/>
      <c r="I9096" s="25" t="n"/>
      <c r="U9096" s="19">
        <f>IF($V9096&lt;&gt;'設定'!$C$4,N(U9095),IF(OR(NOT(COUNTIF('商品マスタ'!$B$6:$B$1005,$W9096)=0),COUNTIFS('①在庫を貼る'!$V$6:$V$10005,$V9096,'①在庫を貼る'!$W$6:$W$10005,$W9096)&gt;0),N(U9095),N(U9095)+1))</f>
        <v/>
      </c>
      <c r="V9096" s="19">
        <f>IF($B9096="","",TEXT($B9096,"0000"))</f>
        <v/>
      </c>
      <c r="W9096" s="19">
        <f>IF($I9096="","",IF(ISNUMBER($I9096),TEXT($I9096,"0"),$I9096))</f>
        <v/>
      </c>
    </row>
    <row r="9097">
      <c r="B9097" s="25" t="n"/>
      <c r="I9097" s="25" t="n"/>
      <c r="U9097" s="19">
        <f>IF($V9097&lt;&gt;'設定'!$C$4,N(U9096),IF(OR(NOT(COUNTIF('商品マスタ'!$B$6:$B$1005,$W9097)=0),COUNTIFS('①在庫を貼る'!$V$6:$V$10005,$V9097,'①在庫を貼る'!$W$6:$W$10005,$W9097)&gt;0),N(U9096),N(U9096)+1))</f>
        <v/>
      </c>
      <c r="V9097" s="19">
        <f>IF($B9097="","",TEXT($B9097,"0000"))</f>
        <v/>
      </c>
      <c r="W9097" s="19">
        <f>IF($I9097="","",IF(ISNUMBER($I9097),TEXT($I9097,"0"),$I9097))</f>
        <v/>
      </c>
    </row>
    <row r="9098">
      <c r="B9098" s="25" t="n"/>
      <c r="I9098" s="25" t="n"/>
      <c r="U9098" s="19">
        <f>IF($V9098&lt;&gt;'設定'!$C$4,N(U9097),IF(OR(NOT(COUNTIF('商品マスタ'!$B$6:$B$1005,$W9098)=0),COUNTIFS('①在庫を貼る'!$V$6:$V$10005,$V9098,'①在庫を貼る'!$W$6:$W$10005,$W9098)&gt;0),N(U9097),N(U9097)+1))</f>
        <v/>
      </c>
      <c r="V9098" s="19">
        <f>IF($B9098="","",TEXT($B9098,"0000"))</f>
        <v/>
      </c>
      <c r="W9098" s="19">
        <f>IF($I9098="","",IF(ISNUMBER($I9098),TEXT($I9098,"0"),$I9098))</f>
        <v/>
      </c>
    </row>
    <row r="9099">
      <c r="B9099" s="25" t="n"/>
      <c r="I9099" s="25" t="n"/>
      <c r="U9099" s="19">
        <f>IF($V9099&lt;&gt;'設定'!$C$4,N(U9098),IF(OR(NOT(COUNTIF('商品マスタ'!$B$6:$B$1005,$W9099)=0),COUNTIFS('①在庫を貼る'!$V$6:$V$10005,$V9099,'①在庫を貼る'!$W$6:$W$10005,$W9099)&gt;0),N(U9098),N(U9098)+1))</f>
        <v/>
      </c>
      <c r="V9099" s="19">
        <f>IF($B9099="","",TEXT($B9099,"0000"))</f>
        <v/>
      </c>
      <c r="W9099" s="19">
        <f>IF($I9099="","",IF(ISNUMBER($I9099),TEXT($I9099,"0"),$I9099))</f>
        <v/>
      </c>
    </row>
    <row r="9100">
      <c r="B9100" s="25" t="n"/>
      <c r="I9100" s="25" t="n"/>
      <c r="U9100" s="19">
        <f>IF($V9100&lt;&gt;'設定'!$C$4,N(U9099),IF(OR(NOT(COUNTIF('商品マスタ'!$B$6:$B$1005,$W9100)=0),COUNTIFS('①在庫を貼る'!$V$6:$V$10005,$V9100,'①在庫を貼る'!$W$6:$W$10005,$W9100)&gt;0),N(U9099),N(U9099)+1))</f>
        <v/>
      </c>
      <c r="V9100" s="19">
        <f>IF($B9100="","",TEXT($B9100,"0000"))</f>
        <v/>
      </c>
      <c r="W9100" s="19">
        <f>IF($I9100="","",IF(ISNUMBER($I9100),TEXT($I9100,"0"),$I9100))</f>
        <v/>
      </c>
    </row>
    <row r="9101">
      <c r="B9101" s="25" t="n"/>
      <c r="I9101" s="25" t="n"/>
      <c r="U9101" s="19">
        <f>IF($V9101&lt;&gt;'設定'!$C$4,N(U9100),IF(OR(NOT(COUNTIF('商品マスタ'!$B$6:$B$1005,$W9101)=0),COUNTIFS('①在庫を貼る'!$V$6:$V$10005,$V9101,'①在庫を貼る'!$W$6:$W$10005,$W9101)&gt;0),N(U9100),N(U9100)+1))</f>
        <v/>
      </c>
      <c r="V9101" s="19">
        <f>IF($B9101="","",TEXT($B9101,"0000"))</f>
        <v/>
      </c>
      <c r="W9101" s="19">
        <f>IF($I9101="","",IF(ISNUMBER($I9101),TEXT($I9101,"0"),$I9101))</f>
        <v/>
      </c>
    </row>
    <row r="9102">
      <c r="B9102" s="25" t="n"/>
      <c r="I9102" s="25" t="n"/>
      <c r="U9102" s="19">
        <f>IF($V9102&lt;&gt;'設定'!$C$4,N(U9101),IF(OR(NOT(COUNTIF('商品マスタ'!$B$6:$B$1005,$W9102)=0),COUNTIFS('①在庫を貼る'!$V$6:$V$10005,$V9102,'①在庫を貼る'!$W$6:$W$10005,$W9102)&gt;0),N(U9101),N(U9101)+1))</f>
        <v/>
      </c>
      <c r="V9102" s="19">
        <f>IF($B9102="","",TEXT($B9102,"0000"))</f>
        <v/>
      </c>
      <c r="W9102" s="19">
        <f>IF($I9102="","",IF(ISNUMBER($I9102),TEXT($I9102,"0"),$I9102))</f>
        <v/>
      </c>
    </row>
    <row r="9103">
      <c r="B9103" s="25" t="n"/>
      <c r="I9103" s="25" t="n"/>
      <c r="U9103" s="19">
        <f>IF($V9103&lt;&gt;'設定'!$C$4,N(U9102),IF(OR(NOT(COUNTIF('商品マスタ'!$B$6:$B$1005,$W9103)=0),COUNTIFS('①在庫を貼る'!$V$6:$V$10005,$V9103,'①在庫を貼る'!$W$6:$W$10005,$W9103)&gt;0),N(U9102),N(U9102)+1))</f>
        <v/>
      </c>
      <c r="V9103" s="19">
        <f>IF($B9103="","",TEXT($B9103,"0000"))</f>
        <v/>
      </c>
      <c r="W9103" s="19">
        <f>IF($I9103="","",IF(ISNUMBER($I9103),TEXT($I9103,"0"),$I9103))</f>
        <v/>
      </c>
    </row>
    <row r="9104">
      <c r="B9104" s="25" t="n"/>
      <c r="I9104" s="25" t="n"/>
      <c r="U9104" s="19">
        <f>IF($V9104&lt;&gt;'設定'!$C$4,N(U9103),IF(OR(NOT(COUNTIF('商品マスタ'!$B$6:$B$1005,$W9104)=0),COUNTIFS('①在庫を貼る'!$V$6:$V$10005,$V9104,'①在庫を貼る'!$W$6:$W$10005,$W9104)&gt;0),N(U9103),N(U9103)+1))</f>
        <v/>
      </c>
      <c r="V9104" s="19">
        <f>IF($B9104="","",TEXT($B9104,"0000"))</f>
        <v/>
      </c>
      <c r="W9104" s="19">
        <f>IF($I9104="","",IF(ISNUMBER($I9104),TEXT($I9104,"0"),$I9104))</f>
        <v/>
      </c>
    </row>
    <row r="9105">
      <c r="B9105" s="25" t="n"/>
      <c r="I9105" s="25" t="n"/>
      <c r="U9105" s="19">
        <f>IF($V9105&lt;&gt;'設定'!$C$4,N(U9104),IF(OR(NOT(COUNTIF('商品マスタ'!$B$6:$B$1005,$W9105)=0),COUNTIFS('①在庫を貼る'!$V$6:$V$10005,$V9105,'①在庫を貼る'!$W$6:$W$10005,$W9105)&gt;0),N(U9104),N(U9104)+1))</f>
        <v/>
      </c>
      <c r="V9105" s="19">
        <f>IF($B9105="","",TEXT($B9105,"0000"))</f>
        <v/>
      </c>
      <c r="W9105" s="19">
        <f>IF($I9105="","",IF(ISNUMBER($I9105),TEXT($I9105,"0"),$I9105))</f>
        <v/>
      </c>
    </row>
    <row r="9106">
      <c r="B9106" s="25" t="n"/>
      <c r="I9106" s="25" t="n"/>
      <c r="U9106" s="19">
        <f>IF($V9106&lt;&gt;'設定'!$C$4,N(U9105),IF(OR(NOT(COUNTIF('商品マスタ'!$B$6:$B$1005,$W9106)=0),COUNTIFS('①在庫を貼る'!$V$6:$V$10005,$V9106,'①在庫を貼る'!$W$6:$W$10005,$W9106)&gt;0),N(U9105),N(U9105)+1))</f>
        <v/>
      </c>
      <c r="V9106" s="19">
        <f>IF($B9106="","",TEXT($B9106,"0000"))</f>
        <v/>
      </c>
      <c r="W9106" s="19">
        <f>IF($I9106="","",IF(ISNUMBER($I9106),TEXT($I9106,"0"),$I9106))</f>
        <v/>
      </c>
    </row>
    <row r="9107">
      <c r="B9107" s="25" t="n"/>
      <c r="I9107" s="25" t="n"/>
      <c r="U9107" s="19">
        <f>IF($V9107&lt;&gt;'設定'!$C$4,N(U9106),IF(OR(NOT(COUNTIF('商品マスタ'!$B$6:$B$1005,$W9107)=0),COUNTIFS('①在庫を貼る'!$V$6:$V$10005,$V9107,'①在庫を貼る'!$W$6:$W$10005,$W9107)&gt;0),N(U9106),N(U9106)+1))</f>
        <v/>
      </c>
      <c r="V9107" s="19">
        <f>IF($B9107="","",TEXT($B9107,"0000"))</f>
        <v/>
      </c>
      <c r="W9107" s="19">
        <f>IF($I9107="","",IF(ISNUMBER($I9107),TEXT($I9107,"0"),$I9107))</f>
        <v/>
      </c>
    </row>
    <row r="9108">
      <c r="B9108" s="25" t="n"/>
      <c r="I9108" s="25" t="n"/>
      <c r="U9108" s="19">
        <f>IF($V9108&lt;&gt;'設定'!$C$4,N(U9107),IF(OR(NOT(COUNTIF('商品マスタ'!$B$6:$B$1005,$W9108)=0),COUNTIFS('①在庫を貼る'!$V$6:$V$10005,$V9108,'①在庫を貼る'!$W$6:$W$10005,$W9108)&gt;0),N(U9107),N(U9107)+1))</f>
        <v/>
      </c>
      <c r="V9108" s="19">
        <f>IF($B9108="","",TEXT($B9108,"0000"))</f>
        <v/>
      </c>
      <c r="W9108" s="19">
        <f>IF($I9108="","",IF(ISNUMBER($I9108),TEXT($I9108,"0"),$I9108))</f>
        <v/>
      </c>
    </row>
    <row r="9109">
      <c r="B9109" s="25" t="n"/>
      <c r="I9109" s="25" t="n"/>
      <c r="U9109" s="19">
        <f>IF($V9109&lt;&gt;'設定'!$C$4,N(U9108),IF(OR(NOT(COUNTIF('商品マスタ'!$B$6:$B$1005,$W9109)=0),COUNTIFS('①在庫を貼る'!$V$6:$V$10005,$V9109,'①在庫を貼る'!$W$6:$W$10005,$W9109)&gt;0),N(U9108),N(U9108)+1))</f>
        <v/>
      </c>
      <c r="V9109" s="19">
        <f>IF($B9109="","",TEXT($B9109,"0000"))</f>
        <v/>
      </c>
      <c r="W9109" s="19">
        <f>IF($I9109="","",IF(ISNUMBER($I9109),TEXT($I9109,"0"),$I9109))</f>
        <v/>
      </c>
    </row>
    <row r="9110">
      <c r="B9110" s="25" t="n"/>
      <c r="I9110" s="25" t="n"/>
      <c r="U9110" s="19">
        <f>IF($V9110&lt;&gt;'設定'!$C$4,N(U9109),IF(OR(NOT(COUNTIF('商品マスタ'!$B$6:$B$1005,$W9110)=0),COUNTIFS('①在庫を貼る'!$V$6:$V$10005,$V9110,'①在庫を貼る'!$W$6:$W$10005,$W9110)&gt;0),N(U9109),N(U9109)+1))</f>
        <v/>
      </c>
      <c r="V9110" s="19">
        <f>IF($B9110="","",TEXT($B9110,"0000"))</f>
        <v/>
      </c>
      <c r="W9110" s="19">
        <f>IF($I9110="","",IF(ISNUMBER($I9110),TEXT($I9110,"0"),$I9110))</f>
        <v/>
      </c>
    </row>
    <row r="9111">
      <c r="B9111" s="25" t="n"/>
      <c r="I9111" s="25" t="n"/>
      <c r="U9111" s="19">
        <f>IF($V9111&lt;&gt;'設定'!$C$4,N(U9110),IF(OR(NOT(COUNTIF('商品マスタ'!$B$6:$B$1005,$W9111)=0),COUNTIFS('①在庫を貼る'!$V$6:$V$10005,$V9111,'①在庫を貼る'!$W$6:$W$10005,$W9111)&gt;0),N(U9110),N(U9110)+1))</f>
        <v/>
      </c>
      <c r="V9111" s="19">
        <f>IF($B9111="","",TEXT($B9111,"0000"))</f>
        <v/>
      </c>
      <c r="W9111" s="19">
        <f>IF($I9111="","",IF(ISNUMBER($I9111),TEXT($I9111,"0"),$I9111))</f>
        <v/>
      </c>
    </row>
    <row r="9112">
      <c r="B9112" s="25" t="n"/>
      <c r="I9112" s="25" t="n"/>
      <c r="U9112" s="19">
        <f>IF($V9112&lt;&gt;'設定'!$C$4,N(U9111),IF(OR(NOT(COUNTIF('商品マスタ'!$B$6:$B$1005,$W9112)=0),COUNTIFS('①在庫を貼る'!$V$6:$V$10005,$V9112,'①在庫を貼る'!$W$6:$W$10005,$W9112)&gt;0),N(U9111),N(U9111)+1))</f>
        <v/>
      </c>
      <c r="V9112" s="19">
        <f>IF($B9112="","",TEXT($B9112,"0000"))</f>
        <v/>
      </c>
      <c r="W9112" s="19">
        <f>IF($I9112="","",IF(ISNUMBER($I9112),TEXT($I9112,"0"),$I9112))</f>
        <v/>
      </c>
    </row>
    <row r="9113">
      <c r="B9113" s="25" t="n"/>
      <c r="I9113" s="25" t="n"/>
      <c r="U9113" s="19">
        <f>IF($V9113&lt;&gt;'設定'!$C$4,N(U9112),IF(OR(NOT(COUNTIF('商品マスタ'!$B$6:$B$1005,$W9113)=0),COUNTIFS('①在庫を貼る'!$V$6:$V$10005,$V9113,'①在庫を貼る'!$W$6:$W$10005,$W9113)&gt;0),N(U9112),N(U9112)+1))</f>
        <v/>
      </c>
      <c r="V9113" s="19">
        <f>IF($B9113="","",TEXT($B9113,"0000"))</f>
        <v/>
      </c>
      <c r="W9113" s="19">
        <f>IF($I9113="","",IF(ISNUMBER($I9113),TEXT($I9113,"0"),$I9113))</f>
        <v/>
      </c>
    </row>
    <row r="9114">
      <c r="B9114" s="25" t="n"/>
      <c r="I9114" s="25" t="n"/>
      <c r="U9114" s="19">
        <f>IF($V9114&lt;&gt;'設定'!$C$4,N(U9113),IF(OR(NOT(COUNTIF('商品マスタ'!$B$6:$B$1005,$W9114)=0),COUNTIFS('①在庫を貼る'!$V$6:$V$10005,$V9114,'①在庫を貼る'!$W$6:$W$10005,$W9114)&gt;0),N(U9113),N(U9113)+1))</f>
        <v/>
      </c>
      <c r="V9114" s="19">
        <f>IF($B9114="","",TEXT($B9114,"0000"))</f>
        <v/>
      </c>
      <c r="W9114" s="19">
        <f>IF($I9114="","",IF(ISNUMBER($I9114),TEXT($I9114,"0"),$I9114))</f>
        <v/>
      </c>
    </row>
    <row r="9115">
      <c r="B9115" s="25" t="n"/>
      <c r="I9115" s="25" t="n"/>
      <c r="U9115" s="19">
        <f>IF($V9115&lt;&gt;'設定'!$C$4,N(U9114),IF(OR(NOT(COUNTIF('商品マスタ'!$B$6:$B$1005,$W9115)=0),COUNTIFS('①在庫を貼る'!$V$6:$V$10005,$V9115,'①在庫を貼る'!$W$6:$W$10005,$W9115)&gt;0),N(U9114),N(U9114)+1))</f>
        <v/>
      </c>
      <c r="V9115" s="19">
        <f>IF($B9115="","",TEXT($B9115,"0000"))</f>
        <v/>
      </c>
      <c r="W9115" s="19">
        <f>IF($I9115="","",IF(ISNUMBER($I9115),TEXT($I9115,"0"),$I9115))</f>
        <v/>
      </c>
    </row>
    <row r="9116">
      <c r="B9116" s="25" t="n"/>
      <c r="I9116" s="25" t="n"/>
      <c r="U9116" s="19">
        <f>IF($V9116&lt;&gt;'設定'!$C$4,N(U9115),IF(OR(NOT(COUNTIF('商品マスタ'!$B$6:$B$1005,$W9116)=0),COUNTIFS('①在庫を貼る'!$V$6:$V$10005,$V9116,'①在庫を貼る'!$W$6:$W$10005,$W9116)&gt;0),N(U9115),N(U9115)+1))</f>
        <v/>
      </c>
      <c r="V9116" s="19">
        <f>IF($B9116="","",TEXT($B9116,"0000"))</f>
        <v/>
      </c>
      <c r="W9116" s="19">
        <f>IF($I9116="","",IF(ISNUMBER($I9116),TEXT($I9116,"0"),$I9116))</f>
        <v/>
      </c>
    </row>
    <row r="9117">
      <c r="B9117" s="25" t="n"/>
      <c r="I9117" s="25" t="n"/>
      <c r="U9117" s="19">
        <f>IF($V9117&lt;&gt;'設定'!$C$4,N(U9116),IF(OR(NOT(COUNTIF('商品マスタ'!$B$6:$B$1005,$W9117)=0),COUNTIFS('①在庫を貼る'!$V$6:$V$10005,$V9117,'①在庫を貼る'!$W$6:$W$10005,$W9117)&gt;0),N(U9116),N(U9116)+1))</f>
        <v/>
      </c>
      <c r="V9117" s="19">
        <f>IF($B9117="","",TEXT($B9117,"0000"))</f>
        <v/>
      </c>
      <c r="W9117" s="19">
        <f>IF($I9117="","",IF(ISNUMBER($I9117),TEXT($I9117,"0"),$I9117))</f>
        <v/>
      </c>
    </row>
    <row r="9118">
      <c r="B9118" s="25" t="n"/>
      <c r="I9118" s="25" t="n"/>
      <c r="U9118" s="19">
        <f>IF($V9118&lt;&gt;'設定'!$C$4,N(U9117),IF(OR(NOT(COUNTIF('商品マスタ'!$B$6:$B$1005,$W9118)=0),COUNTIFS('①在庫を貼る'!$V$6:$V$10005,$V9118,'①在庫を貼る'!$W$6:$W$10005,$W9118)&gt;0),N(U9117),N(U9117)+1))</f>
        <v/>
      </c>
      <c r="V9118" s="19">
        <f>IF($B9118="","",TEXT($B9118,"0000"))</f>
        <v/>
      </c>
      <c r="W9118" s="19">
        <f>IF($I9118="","",IF(ISNUMBER($I9118),TEXT($I9118,"0"),$I9118))</f>
        <v/>
      </c>
    </row>
    <row r="9119">
      <c r="B9119" s="25" t="n"/>
      <c r="I9119" s="25" t="n"/>
      <c r="U9119" s="19">
        <f>IF($V9119&lt;&gt;'設定'!$C$4,N(U9118),IF(OR(NOT(COUNTIF('商品マスタ'!$B$6:$B$1005,$W9119)=0),COUNTIFS('①在庫を貼る'!$V$6:$V$10005,$V9119,'①在庫を貼る'!$W$6:$W$10005,$W9119)&gt;0),N(U9118),N(U9118)+1))</f>
        <v/>
      </c>
      <c r="V9119" s="19">
        <f>IF($B9119="","",TEXT($B9119,"0000"))</f>
        <v/>
      </c>
      <c r="W9119" s="19">
        <f>IF($I9119="","",IF(ISNUMBER($I9119),TEXT($I9119,"0"),$I9119))</f>
        <v/>
      </c>
    </row>
    <row r="9120">
      <c r="B9120" s="25" t="n"/>
      <c r="I9120" s="25" t="n"/>
      <c r="U9120" s="19">
        <f>IF($V9120&lt;&gt;'設定'!$C$4,N(U9119),IF(OR(NOT(COUNTIF('商品マスタ'!$B$6:$B$1005,$W9120)=0),COUNTIFS('①在庫を貼る'!$V$6:$V$10005,$V9120,'①在庫を貼る'!$W$6:$W$10005,$W9120)&gt;0),N(U9119),N(U9119)+1))</f>
        <v/>
      </c>
      <c r="V9120" s="19">
        <f>IF($B9120="","",TEXT($B9120,"0000"))</f>
        <v/>
      </c>
      <c r="W9120" s="19">
        <f>IF($I9120="","",IF(ISNUMBER($I9120),TEXT($I9120,"0"),$I9120))</f>
        <v/>
      </c>
    </row>
    <row r="9121">
      <c r="B9121" s="25" t="n"/>
      <c r="I9121" s="25" t="n"/>
      <c r="U9121" s="19">
        <f>IF($V9121&lt;&gt;'設定'!$C$4,N(U9120),IF(OR(NOT(COUNTIF('商品マスタ'!$B$6:$B$1005,$W9121)=0),COUNTIFS('①在庫を貼る'!$V$6:$V$10005,$V9121,'①在庫を貼る'!$W$6:$W$10005,$W9121)&gt;0),N(U9120),N(U9120)+1))</f>
        <v/>
      </c>
      <c r="V9121" s="19">
        <f>IF($B9121="","",TEXT($B9121,"0000"))</f>
        <v/>
      </c>
      <c r="W9121" s="19">
        <f>IF($I9121="","",IF(ISNUMBER($I9121),TEXT($I9121,"0"),$I9121))</f>
        <v/>
      </c>
    </row>
    <row r="9122">
      <c r="B9122" s="25" t="n"/>
      <c r="I9122" s="25" t="n"/>
      <c r="U9122" s="19">
        <f>IF($V9122&lt;&gt;'設定'!$C$4,N(U9121),IF(OR(NOT(COUNTIF('商品マスタ'!$B$6:$B$1005,$W9122)=0),COUNTIFS('①在庫を貼る'!$V$6:$V$10005,$V9122,'①在庫を貼る'!$W$6:$W$10005,$W9122)&gt;0),N(U9121),N(U9121)+1))</f>
        <v/>
      </c>
      <c r="V9122" s="19">
        <f>IF($B9122="","",TEXT($B9122,"0000"))</f>
        <v/>
      </c>
      <c r="W9122" s="19">
        <f>IF($I9122="","",IF(ISNUMBER($I9122),TEXT($I9122,"0"),$I9122))</f>
        <v/>
      </c>
    </row>
    <row r="9123">
      <c r="B9123" s="25" t="n"/>
      <c r="I9123" s="25" t="n"/>
      <c r="U9123" s="19">
        <f>IF($V9123&lt;&gt;'設定'!$C$4,N(U9122),IF(OR(NOT(COUNTIF('商品マスタ'!$B$6:$B$1005,$W9123)=0),COUNTIFS('①在庫を貼る'!$V$6:$V$10005,$V9123,'①在庫を貼る'!$W$6:$W$10005,$W9123)&gt;0),N(U9122),N(U9122)+1))</f>
        <v/>
      </c>
      <c r="V9123" s="19">
        <f>IF($B9123="","",TEXT($B9123,"0000"))</f>
        <v/>
      </c>
      <c r="W9123" s="19">
        <f>IF($I9123="","",IF(ISNUMBER($I9123),TEXT($I9123,"0"),$I9123))</f>
        <v/>
      </c>
    </row>
    <row r="9124">
      <c r="B9124" s="25" t="n"/>
      <c r="I9124" s="25" t="n"/>
      <c r="U9124" s="19">
        <f>IF($V9124&lt;&gt;'設定'!$C$4,N(U9123),IF(OR(NOT(COUNTIF('商品マスタ'!$B$6:$B$1005,$W9124)=0),COUNTIFS('①在庫を貼る'!$V$6:$V$10005,$V9124,'①在庫を貼る'!$W$6:$W$10005,$W9124)&gt;0),N(U9123),N(U9123)+1))</f>
        <v/>
      </c>
      <c r="V9124" s="19">
        <f>IF($B9124="","",TEXT($B9124,"0000"))</f>
        <v/>
      </c>
      <c r="W9124" s="19">
        <f>IF($I9124="","",IF(ISNUMBER($I9124),TEXT($I9124,"0"),$I9124))</f>
        <v/>
      </c>
    </row>
    <row r="9125">
      <c r="B9125" s="25" t="n"/>
      <c r="I9125" s="25" t="n"/>
      <c r="U9125" s="19">
        <f>IF($V9125&lt;&gt;'設定'!$C$4,N(U9124),IF(OR(NOT(COUNTIF('商品マスタ'!$B$6:$B$1005,$W9125)=0),COUNTIFS('①在庫を貼る'!$V$6:$V$10005,$V9125,'①在庫を貼る'!$W$6:$W$10005,$W9125)&gt;0),N(U9124),N(U9124)+1))</f>
        <v/>
      </c>
      <c r="V9125" s="19">
        <f>IF($B9125="","",TEXT($B9125,"0000"))</f>
        <v/>
      </c>
      <c r="W9125" s="19">
        <f>IF($I9125="","",IF(ISNUMBER($I9125),TEXT($I9125,"0"),$I9125))</f>
        <v/>
      </c>
    </row>
    <row r="9126">
      <c r="B9126" s="25" t="n"/>
      <c r="I9126" s="25" t="n"/>
      <c r="U9126" s="19">
        <f>IF($V9126&lt;&gt;'設定'!$C$4,N(U9125),IF(OR(NOT(COUNTIF('商品マスタ'!$B$6:$B$1005,$W9126)=0),COUNTIFS('①在庫を貼る'!$V$6:$V$10005,$V9126,'①在庫を貼る'!$W$6:$W$10005,$W9126)&gt;0),N(U9125),N(U9125)+1))</f>
        <v/>
      </c>
      <c r="V9126" s="19">
        <f>IF($B9126="","",TEXT($B9126,"0000"))</f>
        <v/>
      </c>
      <c r="W9126" s="19">
        <f>IF($I9126="","",IF(ISNUMBER($I9126),TEXT($I9126,"0"),$I9126))</f>
        <v/>
      </c>
    </row>
    <row r="9127">
      <c r="B9127" s="25" t="n"/>
      <c r="I9127" s="25" t="n"/>
      <c r="U9127" s="19">
        <f>IF($V9127&lt;&gt;'設定'!$C$4,N(U9126),IF(OR(NOT(COUNTIF('商品マスタ'!$B$6:$B$1005,$W9127)=0),COUNTIFS('①在庫を貼る'!$V$6:$V$10005,$V9127,'①在庫を貼る'!$W$6:$W$10005,$W9127)&gt;0),N(U9126),N(U9126)+1))</f>
        <v/>
      </c>
      <c r="V9127" s="19">
        <f>IF($B9127="","",TEXT($B9127,"0000"))</f>
        <v/>
      </c>
      <c r="W9127" s="19">
        <f>IF($I9127="","",IF(ISNUMBER($I9127),TEXT($I9127,"0"),$I9127))</f>
        <v/>
      </c>
    </row>
    <row r="9128">
      <c r="B9128" s="25" t="n"/>
      <c r="I9128" s="25" t="n"/>
      <c r="U9128" s="19">
        <f>IF($V9128&lt;&gt;'設定'!$C$4,N(U9127),IF(OR(NOT(COUNTIF('商品マスタ'!$B$6:$B$1005,$W9128)=0),COUNTIFS('①在庫を貼る'!$V$6:$V$10005,$V9128,'①在庫を貼る'!$W$6:$W$10005,$W9128)&gt;0),N(U9127),N(U9127)+1))</f>
        <v/>
      </c>
      <c r="V9128" s="19">
        <f>IF($B9128="","",TEXT($B9128,"0000"))</f>
        <v/>
      </c>
      <c r="W9128" s="19">
        <f>IF($I9128="","",IF(ISNUMBER($I9128),TEXT($I9128,"0"),$I9128))</f>
        <v/>
      </c>
    </row>
    <row r="9129">
      <c r="B9129" s="25" t="n"/>
      <c r="I9129" s="25" t="n"/>
      <c r="U9129" s="19">
        <f>IF($V9129&lt;&gt;'設定'!$C$4,N(U9128),IF(OR(NOT(COUNTIF('商品マスタ'!$B$6:$B$1005,$W9129)=0),COUNTIFS('①在庫を貼る'!$V$6:$V$10005,$V9129,'①在庫を貼る'!$W$6:$W$10005,$W9129)&gt;0),N(U9128),N(U9128)+1))</f>
        <v/>
      </c>
      <c r="V9129" s="19">
        <f>IF($B9129="","",TEXT($B9129,"0000"))</f>
        <v/>
      </c>
      <c r="W9129" s="19">
        <f>IF($I9129="","",IF(ISNUMBER($I9129),TEXT($I9129,"0"),$I9129))</f>
        <v/>
      </c>
    </row>
    <row r="9130">
      <c r="B9130" s="25" t="n"/>
      <c r="I9130" s="25" t="n"/>
      <c r="U9130" s="19">
        <f>IF($V9130&lt;&gt;'設定'!$C$4,N(U9129),IF(OR(NOT(COUNTIF('商品マスタ'!$B$6:$B$1005,$W9130)=0),COUNTIFS('①在庫を貼る'!$V$6:$V$10005,$V9130,'①在庫を貼る'!$W$6:$W$10005,$W9130)&gt;0),N(U9129),N(U9129)+1))</f>
        <v/>
      </c>
      <c r="V9130" s="19">
        <f>IF($B9130="","",TEXT($B9130,"0000"))</f>
        <v/>
      </c>
      <c r="W9130" s="19">
        <f>IF($I9130="","",IF(ISNUMBER($I9130),TEXT($I9130,"0"),$I9130))</f>
        <v/>
      </c>
    </row>
    <row r="9131">
      <c r="B9131" s="25" t="n"/>
      <c r="I9131" s="25" t="n"/>
      <c r="U9131" s="19">
        <f>IF($V9131&lt;&gt;'設定'!$C$4,N(U9130),IF(OR(NOT(COUNTIF('商品マスタ'!$B$6:$B$1005,$W9131)=0),COUNTIFS('①在庫を貼る'!$V$6:$V$10005,$V9131,'①在庫を貼る'!$W$6:$W$10005,$W9131)&gt;0),N(U9130),N(U9130)+1))</f>
        <v/>
      </c>
      <c r="V9131" s="19">
        <f>IF($B9131="","",TEXT($B9131,"0000"))</f>
        <v/>
      </c>
      <c r="W9131" s="19">
        <f>IF($I9131="","",IF(ISNUMBER($I9131),TEXT($I9131,"0"),$I9131))</f>
        <v/>
      </c>
    </row>
    <row r="9132">
      <c r="B9132" s="25" t="n"/>
      <c r="I9132" s="25" t="n"/>
      <c r="U9132" s="19">
        <f>IF($V9132&lt;&gt;'設定'!$C$4,N(U9131),IF(OR(NOT(COUNTIF('商品マスタ'!$B$6:$B$1005,$W9132)=0),COUNTIFS('①在庫を貼る'!$V$6:$V$10005,$V9132,'①在庫を貼る'!$W$6:$W$10005,$W9132)&gt;0),N(U9131),N(U9131)+1))</f>
        <v/>
      </c>
      <c r="V9132" s="19">
        <f>IF($B9132="","",TEXT($B9132,"0000"))</f>
        <v/>
      </c>
      <c r="W9132" s="19">
        <f>IF($I9132="","",IF(ISNUMBER($I9132),TEXT($I9132,"0"),$I9132))</f>
        <v/>
      </c>
    </row>
    <row r="9133">
      <c r="B9133" s="25" t="n"/>
      <c r="I9133" s="25" t="n"/>
      <c r="U9133" s="19">
        <f>IF($V9133&lt;&gt;'設定'!$C$4,N(U9132),IF(OR(NOT(COUNTIF('商品マスタ'!$B$6:$B$1005,$W9133)=0),COUNTIFS('①在庫を貼る'!$V$6:$V$10005,$V9133,'①在庫を貼る'!$W$6:$W$10005,$W9133)&gt;0),N(U9132),N(U9132)+1))</f>
        <v/>
      </c>
      <c r="V9133" s="19">
        <f>IF($B9133="","",TEXT($B9133,"0000"))</f>
        <v/>
      </c>
      <c r="W9133" s="19">
        <f>IF($I9133="","",IF(ISNUMBER($I9133),TEXT($I9133,"0"),$I9133))</f>
        <v/>
      </c>
    </row>
    <row r="9134">
      <c r="B9134" s="25" t="n"/>
      <c r="I9134" s="25" t="n"/>
      <c r="U9134" s="19">
        <f>IF($V9134&lt;&gt;'設定'!$C$4,N(U9133),IF(OR(NOT(COUNTIF('商品マスタ'!$B$6:$B$1005,$W9134)=0),COUNTIFS('①在庫を貼る'!$V$6:$V$10005,$V9134,'①在庫を貼る'!$W$6:$W$10005,$W9134)&gt;0),N(U9133),N(U9133)+1))</f>
        <v/>
      </c>
      <c r="V9134" s="19">
        <f>IF($B9134="","",TEXT($B9134,"0000"))</f>
        <v/>
      </c>
      <c r="W9134" s="19">
        <f>IF($I9134="","",IF(ISNUMBER($I9134),TEXT($I9134,"0"),$I9134))</f>
        <v/>
      </c>
    </row>
    <row r="9135">
      <c r="B9135" s="25" t="n"/>
      <c r="I9135" s="25" t="n"/>
      <c r="U9135" s="19">
        <f>IF($V9135&lt;&gt;'設定'!$C$4,N(U9134),IF(OR(NOT(COUNTIF('商品マスタ'!$B$6:$B$1005,$W9135)=0),COUNTIFS('①在庫を貼る'!$V$6:$V$10005,$V9135,'①在庫を貼る'!$W$6:$W$10005,$W9135)&gt;0),N(U9134),N(U9134)+1))</f>
        <v/>
      </c>
      <c r="V9135" s="19">
        <f>IF($B9135="","",TEXT($B9135,"0000"))</f>
        <v/>
      </c>
      <c r="W9135" s="19">
        <f>IF($I9135="","",IF(ISNUMBER($I9135),TEXT($I9135,"0"),$I9135))</f>
        <v/>
      </c>
    </row>
    <row r="9136">
      <c r="B9136" s="25" t="n"/>
      <c r="I9136" s="25" t="n"/>
      <c r="U9136" s="19">
        <f>IF($V9136&lt;&gt;'設定'!$C$4,N(U9135),IF(OR(NOT(COUNTIF('商品マスタ'!$B$6:$B$1005,$W9136)=0),COUNTIFS('①在庫を貼る'!$V$6:$V$10005,$V9136,'①在庫を貼る'!$W$6:$W$10005,$W9136)&gt;0),N(U9135),N(U9135)+1))</f>
        <v/>
      </c>
      <c r="V9136" s="19">
        <f>IF($B9136="","",TEXT($B9136,"0000"))</f>
        <v/>
      </c>
      <c r="W9136" s="19">
        <f>IF($I9136="","",IF(ISNUMBER($I9136),TEXT($I9136,"0"),$I9136))</f>
        <v/>
      </c>
    </row>
    <row r="9137">
      <c r="B9137" s="25" t="n"/>
      <c r="I9137" s="25" t="n"/>
      <c r="U9137" s="19">
        <f>IF($V9137&lt;&gt;'設定'!$C$4,N(U9136),IF(OR(NOT(COUNTIF('商品マスタ'!$B$6:$B$1005,$W9137)=0),COUNTIFS('①在庫を貼る'!$V$6:$V$10005,$V9137,'①在庫を貼る'!$W$6:$W$10005,$W9137)&gt;0),N(U9136),N(U9136)+1))</f>
        <v/>
      </c>
      <c r="V9137" s="19">
        <f>IF($B9137="","",TEXT($B9137,"0000"))</f>
        <v/>
      </c>
      <c r="W9137" s="19">
        <f>IF($I9137="","",IF(ISNUMBER($I9137),TEXT($I9137,"0"),$I9137))</f>
        <v/>
      </c>
    </row>
    <row r="9138">
      <c r="B9138" s="25" t="n"/>
      <c r="I9138" s="25" t="n"/>
      <c r="U9138" s="19">
        <f>IF($V9138&lt;&gt;'設定'!$C$4,N(U9137),IF(OR(NOT(COUNTIF('商品マスタ'!$B$6:$B$1005,$W9138)=0),COUNTIFS('①在庫を貼る'!$V$6:$V$10005,$V9138,'①在庫を貼る'!$W$6:$W$10005,$W9138)&gt;0),N(U9137),N(U9137)+1))</f>
        <v/>
      </c>
      <c r="V9138" s="19">
        <f>IF($B9138="","",TEXT($B9138,"0000"))</f>
        <v/>
      </c>
      <c r="W9138" s="19">
        <f>IF($I9138="","",IF(ISNUMBER($I9138),TEXT($I9138,"0"),$I9138))</f>
        <v/>
      </c>
    </row>
    <row r="9139">
      <c r="B9139" s="25" t="n"/>
      <c r="I9139" s="25" t="n"/>
      <c r="U9139" s="19">
        <f>IF($V9139&lt;&gt;'設定'!$C$4,N(U9138),IF(OR(NOT(COUNTIF('商品マスタ'!$B$6:$B$1005,$W9139)=0),COUNTIFS('①在庫を貼る'!$V$6:$V$10005,$V9139,'①在庫を貼る'!$W$6:$W$10005,$W9139)&gt;0),N(U9138),N(U9138)+1))</f>
        <v/>
      </c>
      <c r="V9139" s="19">
        <f>IF($B9139="","",TEXT($B9139,"0000"))</f>
        <v/>
      </c>
      <c r="W9139" s="19">
        <f>IF($I9139="","",IF(ISNUMBER($I9139),TEXT($I9139,"0"),$I9139))</f>
        <v/>
      </c>
    </row>
    <row r="9140">
      <c r="B9140" s="25" t="n"/>
      <c r="I9140" s="25" t="n"/>
      <c r="U9140" s="19">
        <f>IF($V9140&lt;&gt;'設定'!$C$4,N(U9139),IF(OR(NOT(COUNTIF('商品マスタ'!$B$6:$B$1005,$W9140)=0),COUNTIFS('①在庫を貼る'!$V$6:$V$10005,$V9140,'①在庫を貼る'!$W$6:$W$10005,$W9140)&gt;0),N(U9139),N(U9139)+1))</f>
        <v/>
      </c>
      <c r="V9140" s="19">
        <f>IF($B9140="","",TEXT($B9140,"0000"))</f>
        <v/>
      </c>
      <c r="W9140" s="19">
        <f>IF($I9140="","",IF(ISNUMBER($I9140),TEXT($I9140,"0"),$I9140))</f>
        <v/>
      </c>
    </row>
    <row r="9141">
      <c r="B9141" s="25" t="n"/>
      <c r="I9141" s="25" t="n"/>
      <c r="U9141" s="19">
        <f>IF($V9141&lt;&gt;'設定'!$C$4,N(U9140),IF(OR(NOT(COUNTIF('商品マスタ'!$B$6:$B$1005,$W9141)=0),COUNTIFS('①在庫を貼る'!$V$6:$V$10005,$V9141,'①在庫を貼る'!$W$6:$W$10005,$W9141)&gt;0),N(U9140),N(U9140)+1))</f>
        <v/>
      </c>
      <c r="V9141" s="19">
        <f>IF($B9141="","",TEXT($B9141,"0000"))</f>
        <v/>
      </c>
      <c r="W9141" s="19">
        <f>IF($I9141="","",IF(ISNUMBER($I9141),TEXT($I9141,"0"),$I9141))</f>
        <v/>
      </c>
    </row>
    <row r="9142">
      <c r="B9142" s="25" t="n"/>
      <c r="I9142" s="25" t="n"/>
      <c r="U9142" s="19">
        <f>IF($V9142&lt;&gt;'設定'!$C$4,N(U9141),IF(OR(NOT(COUNTIF('商品マスタ'!$B$6:$B$1005,$W9142)=0),COUNTIFS('①在庫を貼る'!$V$6:$V$10005,$V9142,'①在庫を貼る'!$W$6:$W$10005,$W9142)&gt;0),N(U9141),N(U9141)+1))</f>
        <v/>
      </c>
      <c r="V9142" s="19">
        <f>IF($B9142="","",TEXT($B9142,"0000"))</f>
        <v/>
      </c>
      <c r="W9142" s="19">
        <f>IF($I9142="","",IF(ISNUMBER($I9142),TEXT($I9142,"0"),$I9142))</f>
        <v/>
      </c>
    </row>
    <row r="9143">
      <c r="B9143" s="25" t="n"/>
      <c r="I9143" s="25" t="n"/>
      <c r="U9143" s="19">
        <f>IF($V9143&lt;&gt;'設定'!$C$4,N(U9142),IF(OR(NOT(COUNTIF('商品マスタ'!$B$6:$B$1005,$W9143)=0),COUNTIFS('①在庫を貼る'!$V$6:$V$10005,$V9143,'①在庫を貼る'!$W$6:$W$10005,$W9143)&gt;0),N(U9142),N(U9142)+1))</f>
        <v/>
      </c>
      <c r="V9143" s="19">
        <f>IF($B9143="","",TEXT($B9143,"0000"))</f>
        <v/>
      </c>
      <c r="W9143" s="19">
        <f>IF($I9143="","",IF(ISNUMBER($I9143),TEXT($I9143,"0"),$I9143))</f>
        <v/>
      </c>
    </row>
    <row r="9144">
      <c r="B9144" s="25" t="n"/>
      <c r="I9144" s="25" t="n"/>
      <c r="U9144" s="19">
        <f>IF($V9144&lt;&gt;'設定'!$C$4,N(U9143),IF(OR(NOT(COUNTIF('商品マスタ'!$B$6:$B$1005,$W9144)=0),COUNTIFS('①在庫を貼る'!$V$6:$V$10005,$V9144,'①在庫を貼る'!$W$6:$W$10005,$W9144)&gt;0),N(U9143),N(U9143)+1))</f>
        <v/>
      </c>
      <c r="V9144" s="19">
        <f>IF($B9144="","",TEXT($B9144,"0000"))</f>
        <v/>
      </c>
      <c r="W9144" s="19">
        <f>IF($I9144="","",IF(ISNUMBER($I9144),TEXT($I9144,"0"),$I9144))</f>
        <v/>
      </c>
    </row>
    <row r="9145">
      <c r="B9145" s="25" t="n"/>
      <c r="I9145" s="25" t="n"/>
      <c r="U9145" s="19">
        <f>IF($V9145&lt;&gt;'設定'!$C$4,N(U9144),IF(OR(NOT(COUNTIF('商品マスタ'!$B$6:$B$1005,$W9145)=0),COUNTIFS('①在庫を貼る'!$V$6:$V$10005,$V9145,'①在庫を貼る'!$W$6:$W$10005,$W9145)&gt;0),N(U9144),N(U9144)+1))</f>
        <v/>
      </c>
      <c r="V9145" s="19">
        <f>IF($B9145="","",TEXT($B9145,"0000"))</f>
        <v/>
      </c>
      <c r="W9145" s="19">
        <f>IF($I9145="","",IF(ISNUMBER($I9145),TEXT($I9145,"0"),$I9145))</f>
        <v/>
      </c>
    </row>
    <row r="9146">
      <c r="B9146" s="25" t="n"/>
      <c r="I9146" s="25" t="n"/>
      <c r="U9146" s="19">
        <f>IF($V9146&lt;&gt;'設定'!$C$4,N(U9145),IF(OR(NOT(COUNTIF('商品マスタ'!$B$6:$B$1005,$W9146)=0),COUNTIFS('①在庫を貼る'!$V$6:$V$10005,$V9146,'①在庫を貼る'!$W$6:$W$10005,$W9146)&gt;0),N(U9145),N(U9145)+1))</f>
        <v/>
      </c>
      <c r="V9146" s="19">
        <f>IF($B9146="","",TEXT($B9146,"0000"))</f>
        <v/>
      </c>
      <c r="W9146" s="19">
        <f>IF($I9146="","",IF(ISNUMBER($I9146),TEXT($I9146,"0"),$I9146))</f>
        <v/>
      </c>
    </row>
    <row r="9147">
      <c r="B9147" s="25" t="n"/>
      <c r="I9147" s="25" t="n"/>
      <c r="U9147" s="19">
        <f>IF($V9147&lt;&gt;'設定'!$C$4,N(U9146),IF(OR(NOT(COUNTIF('商品マスタ'!$B$6:$B$1005,$W9147)=0),COUNTIFS('①在庫を貼る'!$V$6:$V$10005,$V9147,'①在庫を貼る'!$W$6:$W$10005,$W9147)&gt;0),N(U9146),N(U9146)+1))</f>
        <v/>
      </c>
      <c r="V9147" s="19">
        <f>IF($B9147="","",TEXT($B9147,"0000"))</f>
        <v/>
      </c>
      <c r="W9147" s="19">
        <f>IF($I9147="","",IF(ISNUMBER($I9147),TEXT($I9147,"0"),$I9147))</f>
        <v/>
      </c>
    </row>
    <row r="9148">
      <c r="B9148" s="25" t="n"/>
      <c r="I9148" s="25" t="n"/>
      <c r="U9148" s="19">
        <f>IF($V9148&lt;&gt;'設定'!$C$4,N(U9147),IF(OR(NOT(COUNTIF('商品マスタ'!$B$6:$B$1005,$W9148)=0),COUNTIFS('①在庫を貼る'!$V$6:$V$10005,$V9148,'①在庫を貼る'!$W$6:$W$10005,$W9148)&gt;0),N(U9147),N(U9147)+1))</f>
        <v/>
      </c>
      <c r="V9148" s="19">
        <f>IF($B9148="","",TEXT($B9148,"0000"))</f>
        <v/>
      </c>
      <c r="W9148" s="19">
        <f>IF($I9148="","",IF(ISNUMBER($I9148),TEXT($I9148,"0"),$I9148))</f>
        <v/>
      </c>
    </row>
    <row r="9149">
      <c r="B9149" s="25" t="n"/>
      <c r="I9149" s="25" t="n"/>
      <c r="U9149" s="19">
        <f>IF($V9149&lt;&gt;'設定'!$C$4,N(U9148),IF(OR(NOT(COUNTIF('商品マスタ'!$B$6:$B$1005,$W9149)=0),COUNTIFS('①在庫を貼る'!$V$6:$V$10005,$V9149,'①在庫を貼る'!$W$6:$W$10005,$W9149)&gt;0),N(U9148),N(U9148)+1))</f>
        <v/>
      </c>
      <c r="V9149" s="19">
        <f>IF($B9149="","",TEXT($B9149,"0000"))</f>
        <v/>
      </c>
      <c r="W9149" s="19">
        <f>IF($I9149="","",IF(ISNUMBER($I9149),TEXT($I9149,"0"),$I9149))</f>
        <v/>
      </c>
    </row>
    <row r="9150">
      <c r="B9150" s="25" t="n"/>
      <c r="I9150" s="25" t="n"/>
      <c r="U9150" s="19">
        <f>IF($V9150&lt;&gt;'設定'!$C$4,N(U9149),IF(OR(NOT(COUNTIF('商品マスタ'!$B$6:$B$1005,$W9150)=0),COUNTIFS('①在庫を貼る'!$V$6:$V$10005,$V9150,'①在庫を貼る'!$W$6:$W$10005,$W9150)&gt;0),N(U9149),N(U9149)+1))</f>
        <v/>
      </c>
      <c r="V9150" s="19">
        <f>IF($B9150="","",TEXT($B9150,"0000"))</f>
        <v/>
      </c>
      <c r="W9150" s="19">
        <f>IF($I9150="","",IF(ISNUMBER($I9150),TEXT($I9150,"0"),$I9150))</f>
        <v/>
      </c>
    </row>
    <row r="9151">
      <c r="B9151" s="25" t="n"/>
      <c r="I9151" s="25" t="n"/>
      <c r="U9151" s="19">
        <f>IF($V9151&lt;&gt;'設定'!$C$4,N(U9150),IF(OR(NOT(COUNTIF('商品マスタ'!$B$6:$B$1005,$W9151)=0),COUNTIFS('①在庫を貼る'!$V$6:$V$10005,$V9151,'①在庫を貼る'!$W$6:$W$10005,$W9151)&gt;0),N(U9150),N(U9150)+1))</f>
        <v/>
      </c>
      <c r="V9151" s="19">
        <f>IF($B9151="","",TEXT($B9151,"0000"))</f>
        <v/>
      </c>
      <c r="W9151" s="19">
        <f>IF($I9151="","",IF(ISNUMBER($I9151),TEXT($I9151,"0"),$I9151))</f>
        <v/>
      </c>
    </row>
    <row r="9152">
      <c r="B9152" s="25" t="n"/>
      <c r="I9152" s="25" t="n"/>
      <c r="U9152" s="19">
        <f>IF($V9152&lt;&gt;'設定'!$C$4,N(U9151),IF(OR(NOT(COUNTIF('商品マスタ'!$B$6:$B$1005,$W9152)=0),COUNTIFS('①在庫を貼る'!$V$6:$V$10005,$V9152,'①在庫を貼る'!$W$6:$W$10005,$W9152)&gt;0),N(U9151),N(U9151)+1))</f>
        <v/>
      </c>
      <c r="V9152" s="19">
        <f>IF($B9152="","",TEXT($B9152,"0000"))</f>
        <v/>
      </c>
      <c r="W9152" s="19">
        <f>IF($I9152="","",IF(ISNUMBER($I9152),TEXT($I9152,"0"),$I9152))</f>
        <v/>
      </c>
    </row>
    <row r="9153">
      <c r="B9153" s="25" t="n"/>
      <c r="I9153" s="25" t="n"/>
      <c r="U9153" s="19">
        <f>IF($V9153&lt;&gt;'設定'!$C$4,N(U9152),IF(OR(NOT(COUNTIF('商品マスタ'!$B$6:$B$1005,$W9153)=0),COUNTIFS('①在庫を貼る'!$V$6:$V$10005,$V9153,'①在庫を貼る'!$W$6:$W$10005,$W9153)&gt;0),N(U9152),N(U9152)+1))</f>
        <v/>
      </c>
      <c r="V9153" s="19">
        <f>IF($B9153="","",TEXT($B9153,"0000"))</f>
        <v/>
      </c>
      <c r="W9153" s="19">
        <f>IF($I9153="","",IF(ISNUMBER($I9153),TEXT($I9153,"0"),$I9153))</f>
        <v/>
      </c>
    </row>
    <row r="9154">
      <c r="B9154" s="25" t="n"/>
      <c r="I9154" s="25" t="n"/>
      <c r="U9154" s="19">
        <f>IF($V9154&lt;&gt;'設定'!$C$4,N(U9153),IF(OR(NOT(COUNTIF('商品マスタ'!$B$6:$B$1005,$W9154)=0),COUNTIFS('①在庫を貼る'!$V$6:$V$10005,$V9154,'①在庫を貼る'!$W$6:$W$10005,$W9154)&gt;0),N(U9153),N(U9153)+1))</f>
        <v/>
      </c>
      <c r="V9154" s="19">
        <f>IF($B9154="","",TEXT($B9154,"0000"))</f>
        <v/>
      </c>
      <c r="W9154" s="19">
        <f>IF($I9154="","",IF(ISNUMBER($I9154),TEXT($I9154,"0"),$I9154))</f>
        <v/>
      </c>
    </row>
    <row r="9155">
      <c r="B9155" s="25" t="n"/>
      <c r="I9155" s="25" t="n"/>
      <c r="U9155" s="19">
        <f>IF($V9155&lt;&gt;'設定'!$C$4,N(U9154),IF(OR(NOT(COUNTIF('商品マスタ'!$B$6:$B$1005,$W9155)=0),COUNTIFS('①在庫を貼る'!$V$6:$V$10005,$V9155,'①在庫を貼る'!$W$6:$W$10005,$W9155)&gt;0),N(U9154),N(U9154)+1))</f>
        <v/>
      </c>
      <c r="V9155" s="19">
        <f>IF($B9155="","",TEXT($B9155,"0000"))</f>
        <v/>
      </c>
      <c r="W9155" s="19">
        <f>IF($I9155="","",IF(ISNUMBER($I9155),TEXT($I9155,"0"),$I9155))</f>
        <v/>
      </c>
    </row>
    <row r="9156">
      <c r="B9156" s="25" t="n"/>
      <c r="I9156" s="25" t="n"/>
      <c r="U9156" s="19">
        <f>IF($V9156&lt;&gt;'設定'!$C$4,N(U9155),IF(OR(NOT(COUNTIF('商品マスタ'!$B$6:$B$1005,$W9156)=0),COUNTIFS('①在庫を貼る'!$V$6:$V$10005,$V9156,'①在庫を貼る'!$W$6:$W$10005,$W9156)&gt;0),N(U9155),N(U9155)+1))</f>
        <v/>
      </c>
      <c r="V9156" s="19">
        <f>IF($B9156="","",TEXT($B9156,"0000"))</f>
        <v/>
      </c>
      <c r="W9156" s="19">
        <f>IF($I9156="","",IF(ISNUMBER($I9156),TEXT($I9156,"0"),$I9156))</f>
        <v/>
      </c>
    </row>
    <row r="9157">
      <c r="B9157" s="25" t="n"/>
      <c r="I9157" s="25" t="n"/>
      <c r="U9157" s="19">
        <f>IF($V9157&lt;&gt;'設定'!$C$4,N(U9156),IF(OR(NOT(COUNTIF('商品マスタ'!$B$6:$B$1005,$W9157)=0),COUNTIFS('①在庫を貼る'!$V$6:$V$10005,$V9157,'①在庫を貼る'!$W$6:$W$10005,$W9157)&gt;0),N(U9156),N(U9156)+1))</f>
        <v/>
      </c>
      <c r="V9157" s="19">
        <f>IF($B9157="","",TEXT($B9157,"0000"))</f>
        <v/>
      </c>
      <c r="W9157" s="19">
        <f>IF($I9157="","",IF(ISNUMBER($I9157),TEXT($I9157,"0"),$I9157))</f>
        <v/>
      </c>
    </row>
    <row r="9158">
      <c r="B9158" s="25" t="n"/>
      <c r="I9158" s="25" t="n"/>
      <c r="U9158" s="19">
        <f>IF($V9158&lt;&gt;'設定'!$C$4,N(U9157),IF(OR(NOT(COUNTIF('商品マスタ'!$B$6:$B$1005,$W9158)=0),COUNTIFS('①在庫を貼る'!$V$6:$V$10005,$V9158,'①在庫を貼る'!$W$6:$W$10005,$W9158)&gt;0),N(U9157),N(U9157)+1))</f>
        <v/>
      </c>
      <c r="V9158" s="19">
        <f>IF($B9158="","",TEXT($B9158,"0000"))</f>
        <v/>
      </c>
      <c r="W9158" s="19">
        <f>IF($I9158="","",IF(ISNUMBER($I9158),TEXT($I9158,"0"),$I9158))</f>
        <v/>
      </c>
    </row>
    <row r="9159">
      <c r="B9159" s="25" t="n"/>
      <c r="I9159" s="25" t="n"/>
      <c r="U9159" s="19">
        <f>IF($V9159&lt;&gt;'設定'!$C$4,N(U9158),IF(OR(NOT(COUNTIF('商品マスタ'!$B$6:$B$1005,$W9159)=0),COUNTIFS('①在庫を貼る'!$V$6:$V$10005,$V9159,'①在庫を貼る'!$W$6:$W$10005,$W9159)&gt;0),N(U9158),N(U9158)+1))</f>
        <v/>
      </c>
      <c r="V9159" s="19">
        <f>IF($B9159="","",TEXT($B9159,"0000"))</f>
        <v/>
      </c>
      <c r="W9159" s="19">
        <f>IF($I9159="","",IF(ISNUMBER($I9159),TEXT($I9159,"0"),$I9159))</f>
        <v/>
      </c>
    </row>
    <row r="9160">
      <c r="B9160" s="25" t="n"/>
      <c r="I9160" s="25" t="n"/>
      <c r="U9160" s="19">
        <f>IF($V9160&lt;&gt;'設定'!$C$4,N(U9159),IF(OR(NOT(COUNTIF('商品マスタ'!$B$6:$B$1005,$W9160)=0),COUNTIFS('①在庫を貼る'!$V$6:$V$10005,$V9160,'①在庫を貼る'!$W$6:$W$10005,$W9160)&gt;0),N(U9159),N(U9159)+1))</f>
        <v/>
      </c>
      <c r="V9160" s="19">
        <f>IF($B9160="","",TEXT($B9160,"0000"))</f>
        <v/>
      </c>
      <c r="W9160" s="19">
        <f>IF($I9160="","",IF(ISNUMBER($I9160),TEXT($I9160,"0"),$I9160))</f>
        <v/>
      </c>
    </row>
    <row r="9161">
      <c r="B9161" s="25" t="n"/>
      <c r="I9161" s="25" t="n"/>
      <c r="U9161" s="19">
        <f>IF($V9161&lt;&gt;'設定'!$C$4,N(U9160),IF(OR(NOT(COUNTIF('商品マスタ'!$B$6:$B$1005,$W9161)=0),COUNTIFS('①在庫を貼る'!$V$6:$V$10005,$V9161,'①在庫を貼る'!$W$6:$W$10005,$W9161)&gt;0),N(U9160),N(U9160)+1))</f>
        <v/>
      </c>
      <c r="V9161" s="19">
        <f>IF($B9161="","",TEXT($B9161,"0000"))</f>
        <v/>
      </c>
      <c r="W9161" s="19">
        <f>IF($I9161="","",IF(ISNUMBER($I9161),TEXT($I9161,"0"),$I9161))</f>
        <v/>
      </c>
    </row>
    <row r="9162">
      <c r="B9162" s="25" t="n"/>
      <c r="I9162" s="25" t="n"/>
      <c r="U9162" s="19">
        <f>IF($V9162&lt;&gt;'設定'!$C$4,N(U9161),IF(OR(NOT(COUNTIF('商品マスタ'!$B$6:$B$1005,$W9162)=0),COUNTIFS('①在庫を貼る'!$V$6:$V$10005,$V9162,'①在庫を貼る'!$W$6:$W$10005,$W9162)&gt;0),N(U9161),N(U9161)+1))</f>
        <v/>
      </c>
      <c r="V9162" s="19">
        <f>IF($B9162="","",TEXT($B9162,"0000"))</f>
        <v/>
      </c>
      <c r="W9162" s="19">
        <f>IF($I9162="","",IF(ISNUMBER($I9162),TEXT($I9162,"0"),$I9162))</f>
        <v/>
      </c>
    </row>
    <row r="9163">
      <c r="B9163" s="25" t="n"/>
      <c r="I9163" s="25" t="n"/>
      <c r="U9163" s="19">
        <f>IF($V9163&lt;&gt;'設定'!$C$4,N(U9162),IF(OR(NOT(COUNTIF('商品マスタ'!$B$6:$B$1005,$W9163)=0),COUNTIFS('①在庫を貼る'!$V$6:$V$10005,$V9163,'①在庫を貼る'!$W$6:$W$10005,$W9163)&gt;0),N(U9162),N(U9162)+1))</f>
        <v/>
      </c>
      <c r="V9163" s="19">
        <f>IF($B9163="","",TEXT($B9163,"0000"))</f>
        <v/>
      </c>
      <c r="W9163" s="19">
        <f>IF($I9163="","",IF(ISNUMBER($I9163),TEXT($I9163,"0"),$I9163))</f>
        <v/>
      </c>
    </row>
    <row r="9164">
      <c r="B9164" s="25" t="n"/>
      <c r="I9164" s="25" t="n"/>
      <c r="U9164" s="19">
        <f>IF($V9164&lt;&gt;'設定'!$C$4,N(U9163),IF(OR(NOT(COUNTIF('商品マスタ'!$B$6:$B$1005,$W9164)=0),COUNTIFS('①在庫を貼る'!$V$6:$V$10005,$V9164,'①在庫を貼る'!$W$6:$W$10005,$W9164)&gt;0),N(U9163),N(U9163)+1))</f>
        <v/>
      </c>
      <c r="V9164" s="19">
        <f>IF($B9164="","",TEXT($B9164,"0000"))</f>
        <v/>
      </c>
      <c r="W9164" s="19">
        <f>IF($I9164="","",IF(ISNUMBER($I9164),TEXT($I9164,"0"),$I9164))</f>
        <v/>
      </c>
    </row>
    <row r="9165">
      <c r="B9165" s="25" t="n"/>
      <c r="I9165" s="25" t="n"/>
      <c r="U9165" s="19">
        <f>IF($V9165&lt;&gt;'設定'!$C$4,N(U9164),IF(OR(NOT(COUNTIF('商品マスタ'!$B$6:$B$1005,$W9165)=0),COUNTIFS('①在庫を貼る'!$V$6:$V$10005,$V9165,'①在庫を貼る'!$W$6:$W$10005,$W9165)&gt;0),N(U9164),N(U9164)+1))</f>
        <v/>
      </c>
      <c r="V9165" s="19">
        <f>IF($B9165="","",TEXT($B9165,"0000"))</f>
        <v/>
      </c>
      <c r="W9165" s="19">
        <f>IF($I9165="","",IF(ISNUMBER($I9165),TEXT($I9165,"0"),$I9165))</f>
        <v/>
      </c>
    </row>
    <row r="9166">
      <c r="B9166" s="25" t="n"/>
      <c r="I9166" s="25" t="n"/>
      <c r="U9166" s="19">
        <f>IF($V9166&lt;&gt;'設定'!$C$4,N(U9165),IF(OR(NOT(COUNTIF('商品マスタ'!$B$6:$B$1005,$W9166)=0),COUNTIFS('①在庫を貼る'!$V$6:$V$10005,$V9166,'①在庫を貼る'!$W$6:$W$10005,$W9166)&gt;0),N(U9165),N(U9165)+1))</f>
        <v/>
      </c>
      <c r="V9166" s="19">
        <f>IF($B9166="","",TEXT($B9166,"0000"))</f>
        <v/>
      </c>
      <c r="W9166" s="19">
        <f>IF($I9166="","",IF(ISNUMBER($I9166),TEXT($I9166,"0"),$I9166))</f>
        <v/>
      </c>
    </row>
    <row r="9167">
      <c r="B9167" s="25" t="n"/>
      <c r="I9167" s="25" t="n"/>
      <c r="U9167" s="19">
        <f>IF($V9167&lt;&gt;'設定'!$C$4,N(U9166),IF(OR(NOT(COUNTIF('商品マスタ'!$B$6:$B$1005,$W9167)=0),COUNTIFS('①在庫を貼る'!$V$6:$V$10005,$V9167,'①在庫を貼る'!$W$6:$W$10005,$W9167)&gt;0),N(U9166),N(U9166)+1))</f>
        <v/>
      </c>
      <c r="V9167" s="19">
        <f>IF($B9167="","",TEXT($B9167,"0000"))</f>
        <v/>
      </c>
      <c r="W9167" s="19">
        <f>IF($I9167="","",IF(ISNUMBER($I9167),TEXT($I9167,"0"),$I9167))</f>
        <v/>
      </c>
    </row>
    <row r="9168">
      <c r="B9168" s="25" t="n"/>
      <c r="I9168" s="25" t="n"/>
      <c r="U9168" s="19">
        <f>IF($V9168&lt;&gt;'設定'!$C$4,N(U9167),IF(OR(NOT(COUNTIF('商品マスタ'!$B$6:$B$1005,$W9168)=0),COUNTIFS('①在庫を貼る'!$V$6:$V$10005,$V9168,'①在庫を貼る'!$W$6:$W$10005,$W9168)&gt;0),N(U9167),N(U9167)+1))</f>
        <v/>
      </c>
      <c r="V9168" s="19">
        <f>IF($B9168="","",TEXT($B9168,"0000"))</f>
        <v/>
      </c>
      <c r="W9168" s="19">
        <f>IF($I9168="","",IF(ISNUMBER($I9168),TEXT($I9168,"0"),$I9168))</f>
        <v/>
      </c>
    </row>
    <row r="9169">
      <c r="B9169" s="25" t="n"/>
      <c r="I9169" s="25" t="n"/>
      <c r="U9169" s="19">
        <f>IF($V9169&lt;&gt;'設定'!$C$4,N(U9168),IF(OR(NOT(COUNTIF('商品マスタ'!$B$6:$B$1005,$W9169)=0),COUNTIFS('①在庫を貼る'!$V$6:$V$10005,$V9169,'①在庫を貼る'!$W$6:$W$10005,$W9169)&gt;0),N(U9168),N(U9168)+1))</f>
        <v/>
      </c>
      <c r="V9169" s="19">
        <f>IF($B9169="","",TEXT($B9169,"0000"))</f>
        <v/>
      </c>
      <c r="W9169" s="19">
        <f>IF($I9169="","",IF(ISNUMBER($I9169),TEXT($I9169,"0"),$I9169))</f>
        <v/>
      </c>
    </row>
    <row r="9170">
      <c r="B9170" s="25" t="n"/>
      <c r="I9170" s="25" t="n"/>
      <c r="U9170" s="19">
        <f>IF($V9170&lt;&gt;'設定'!$C$4,N(U9169),IF(OR(NOT(COUNTIF('商品マスタ'!$B$6:$B$1005,$W9170)=0),COUNTIFS('①在庫を貼る'!$V$6:$V$10005,$V9170,'①在庫を貼る'!$W$6:$W$10005,$W9170)&gt;0),N(U9169),N(U9169)+1))</f>
        <v/>
      </c>
      <c r="V9170" s="19">
        <f>IF($B9170="","",TEXT($B9170,"0000"))</f>
        <v/>
      </c>
      <c r="W9170" s="19">
        <f>IF($I9170="","",IF(ISNUMBER($I9170),TEXT($I9170,"0"),$I9170))</f>
        <v/>
      </c>
    </row>
    <row r="9171">
      <c r="B9171" s="25" t="n"/>
      <c r="I9171" s="25" t="n"/>
      <c r="U9171" s="19">
        <f>IF($V9171&lt;&gt;'設定'!$C$4,N(U9170),IF(OR(NOT(COUNTIF('商品マスタ'!$B$6:$B$1005,$W9171)=0),COUNTIFS('①在庫を貼る'!$V$6:$V$10005,$V9171,'①在庫を貼る'!$W$6:$W$10005,$W9171)&gt;0),N(U9170),N(U9170)+1))</f>
        <v/>
      </c>
      <c r="V9171" s="19">
        <f>IF($B9171="","",TEXT($B9171,"0000"))</f>
        <v/>
      </c>
      <c r="W9171" s="19">
        <f>IF($I9171="","",IF(ISNUMBER($I9171),TEXT($I9171,"0"),$I9171))</f>
        <v/>
      </c>
    </row>
    <row r="9172">
      <c r="B9172" s="25" t="n"/>
      <c r="I9172" s="25" t="n"/>
      <c r="U9172" s="19">
        <f>IF($V9172&lt;&gt;'設定'!$C$4,N(U9171),IF(OR(NOT(COUNTIF('商品マスタ'!$B$6:$B$1005,$W9172)=0),COUNTIFS('①在庫を貼る'!$V$6:$V$10005,$V9172,'①在庫を貼る'!$W$6:$W$10005,$W9172)&gt;0),N(U9171),N(U9171)+1))</f>
        <v/>
      </c>
      <c r="V9172" s="19">
        <f>IF($B9172="","",TEXT($B9172,"0000"))</f>
        <v/>
      </c>
      <c r="W9172" s="19">
        <f>IF($I9172="","",IF(ISNUMBER($I9172),TEXT($I9172,"0"),$I9172))</f>
        <v/>
      </c>
    </row>
    <row r="9173">
      <c r="B9173" s="25" t="n"/>
      <c r="I9173" s="25" t="n"/>
      <c r="U9173" s="19">
        <f>IF($V9173&lt;&gt;'設定'!$C$4,N(U9172),IF(OR(NOT(COUNTIF('商品マスタ'!$B$6:$B$1005,$W9173)=0),COUNTIFS('①在庫を貼る'!$V$6:$V$10005,$V9173,'①在庫を貼る'!$W$6:$W$10005,$W9173)&gt;0),N(U9172),N(U9172)+1))</f>
        <v/>
      </c>
      <c r="V9173" s="19">
        <f>IF($B9173="","",TEXT($B9173,"0000"))</f>
        <v/>
      </c>
      <c r="W9173" s="19">
        <f>IF($I9173="","",IF(ISNUMBER($I9173),TEXT($I9173,"0"),$I9173))</f>
        <v/>
      </c>
    </row>
    <row r="9174">
      <c r="B9174" s="25" t="n"/>
      <c r="I9174" s="25" t="n"/>
      <c r="U9174" s="19">
        <f>IF($V9174&lt;&gt;'設定'!$C$4,N(U9173),IF(OR(NOT(COUNTIF('商品マスタ'!$B$6:$B$1005,$W9174)=0),COUNTIFS('①在庫を貼る'!$V$6:$V$10005,$V9174,'①在庫を貼る'!$W$6:$W$10005,$W9174)&gt;0),N(U9173),N(U9173)+1))</f>
        <v/>
      </c>
      <c r="V9174" s="19">
        <f>IF($B9174="","",TEXT($B9174,"0000"))</f>
        <v/>
      </c>
      <c r="W9174" s="19">
        <f>IF($I9174="","",IF(ISNUMBER($I9174),TEXT($I9174,"0"),$I9174))</f>
        <v/>
      </c>
    </row>
    <row r="9175">
      <c r="B9175" s="25" t="n"/>
      <c r="I9175" s="25" t="n"/>
      <c r="U9175" s="19">
        <f>IF($V9175&lt;&gt;'設定'!$C$4,N(U9174),IF(OR(NOT(COUNTIF('商品マスタ'!$B$6:$B$1005,$W9175)=0),COUNTIFS('①在庫を貼る'!$V$6:$V$10005,$V9175,'①在庫を貼る'!$W$6:$W$10005,$W9175)&gt;0),N(U9174),N(U9174)+1))</f>
        <v/>
      </c>
      <c r="V9175" s="19">
        <f>IF($B9175="","",TEXT($B9175,"0000"))</f>
        <v/>
      </c>
      <c r="W9175" s="19">
        <f>IF($I9175="","",IF(ISNUMBER($I9175),TEXT($I9175,"0"),$I9175))</f>
        <v/>
      </c>
    </row>
    <row r="9176">
      <c r="B9176" s="25" t="n"/>
      <c r="I9176" s="25" t="n"/>
      <c r="U9176" s="19">
        <f>IF($V9176&lt;&gt;'設定'!$C$4,N(U9175),IF(OR(NOT(COUNTIF('商品マスタ'!$B$6:$B$1005,$W9176)=0),COUNTIFS('①在庫を貼る'!$V$6:$V$10005,$V9176,'①在庫を貼る'!$W$6:$W$10005,$W9176)&gt;0),N(U9175),N(U9175)+1))</f>
        <v/>
      </c>
      <c r="V9176" s="19">
        <f>IF($B9176="","",TEXT($B9176,"0000"))</f>
        <v/>
      </c>
      <c r="W9176" s="19">
        <f>IF($I9176="","",IF(ISNUMBER($I9176),TEXT($I9176,"0"),$I9176))</f>
        <v/>
      </c>
    </row>
    <row r="9177">
      <c r="B9177" s="25" t="n"/>
      <c r="I9177" s="25" t="n"/>
      <c r="U9177" s="19">
        <f>IF($V9177&lt;&gt;'設定'!$C$4,N(U9176),IF(OR(NOT(COUNTIF('商品マスタ'!$B$6:$B$1005,$W9177)=0),COUNTIFS('①在庫を貼る'!$V$6:$V$10005,$V9177,'①在庫を貼る'!$W$6:$W$10005,$W9177)&gt;0),N(U9176),N(U9176)+1))</f>
        <v/>
      </c>
      <c r="V9177" s="19">
        <f>IF($B9177="","",TEXT($B9177,"0000"))</f>
        <v/>
      </c>
      <c r="W9177" s="19">
        <f>IF($I9177="","",IF(ISNUMBER($I9177),TEXT($I9177,"0"),$I9177))</f>
        <v/>
      </c>
    </row>
    <row r="9178">
      <c r="B9178" s="25" t="n"/>
      <c r="I9178" s="25" t="n"/>
      <c r="U9178" s="19">
        <f>IF($V9178&lt;&gt;'設定'!$C$4,N(U9177),IF(OR(NOT(COUNTIF('商品マスタ'!$B$6:$B$1005,$W9178)=0),COUNTIFS('①在庫を貼る'!$V$6:$V$10005,$V9178,'①在庫を貼る'!$W$6:$W$10005,$W9178)&gt;0),N(U9177),N(U9177)+1))</f>
        <v/>
      </c>
      <c r="V9178" s="19">
        <f>IF($B9178="","",TEXT($B9178,"0000"))</f>
        <v/>
      </c>
      <c r="W9178" s="19">
        <f>IF($I9178="","",IF(ISNUMBER($I9178),TEXT($I9178,"0"),$I9178))</f>
        <v/>
      </c>
    </row>
    <row r="9179">
      <c r="B9179" s="25" t="n"/>
      <c r="I9179" s="25" t="n"/>
      <c r="U9179" s="19">
        <f>IF($V9179&lt;&gt;'設定'!$C$4,N(U9178),IF(OR(NOT(COUNTIF('商品マスタ'!$B$6:$B$1005,$W9179)=0),COUNTIFS('①在庫を貼る'!$V$6:$V$10005,$V9179,'①在庫を貼る'!$W$6:$W$10005,$W9179)&gt;0),N(U9178),N(U9178)+1))</f>
        <v/>
      </c>
      <c r="V9179" s="19">
        <f>IF($B9179="","",TEXT($B9179,"0000"))</f>
        <v/>
      </c>
      <c r="W9179" s="19">
        <f>IF($I9179="","",IF(ISNUMBER($I9179),TEXT($I9179,"0"),$I9179))</f>
        <v/>
      </c>
    </row>
    <row r="9180">
      <c r="B9180" s="25" t="n"/>
      <c r="I9180" s="25" t="n"/>
      <c r="U9180" s="19">
        <f>IF($V9180&lt;&gt;'設定'!$C$4,N(U9179),IF(OR(NOT(COUNTIF('商品マスタ'!$B$6:$B$1005,$W9180)=0),COUNTIFS('①在庫を貼る'!$V$6:$V$10005,$V9180,'①在庫を貼る'!$W$6:$W$10005,$W9180)&gt;0),N(U9179),N(U9179)+1))</f>
        <v/>
      </c>
      <c r="V9180" s="19">
        <f>IF($B9180="","",TEXT($B9180,"0000"))</f>
        <v/>
      </c>
      <c r="W9180" s="19">
        <f>IF($I9180="","",IF(ISNUMBER($I9180),TEXT($I9180,"0"),$I9180))</f>
        <v/>
      </c>
    </row>
    <row r="9181">
      <c r="B9181" s="25" t="n"/>
      <c r="I9181" s="25" t="n"/>
      <c r="U9181" s="19">
        <f>IF($V9181&lt;&gt;'設定'!$C$4,N(U9180),IF(OR(NOT(COUNTIF('商品マスタ'!$B$6:$B$1005,$W9181)=0),COUNTIFS('①在庫を貼る'!$V$6:$V$10005,$V9181,'①在庫を貼る'!$W$6:$W$10005,$W9181)&gt;0),N(U9180),N(U9180)+1))</f>
        <v/>
      </c>
      <c r="V9181" s="19">
        <f>IF($B9181="","",TEXT($B9181,"0000"))</f>
        <v/>
      </c>
      <c r="W9181" s="19">
        <f>IF($I9181="","",IF(ISNUMBER($I9181),TEXT($I9181,"0"),$I9181))</f>
        <v/>
      </c>
    </row>
    <row r="9182">
      <c r="B9182" s="25" t="n"/>
      <c r="I9182" s="25" t="n"/>
      <c r="U9182" s="19">
        <f>IF($V9182&lt;&gt;'設定'!$C$4,N(U9181),IF(OR(NOT(COUNTIF('商品マスタ'!$B$6:$B$1005,$W9182)=0),COUNTIFS('①在庫を貼る'!$V$6:$V$10005,$V9182,'①在庫を貼る'!$W$6:$W$10005,$W9182)&gt;0),N(U9181),N(U9181)+1))</f>
        <v/>
      </c>
      <c r="V9182" s="19">
        <f>IF($B9182="","",TEXT($B9182,"0000"))</f>
        <v/>
      </c>
      <c r="W9182" s="19">
        <f>IF($I9182="","",IF(ISNUMBER($I9182),TEXT($I9182,"0"),$I9182))</f>
        <v/>
      </c>
    </row>
    <row r="9183">
      <c r="B9183" s="25" t="n"/>
      <c r="I9183" s="25" t="n"/>
      <c r="U9183" s="19">
        <f>IF($V9183&lt;&gt;'設定'!$C$4,N(U9182),IF(OR(NOT(COUNTIF('商品マスタ'!$B$6:$B$1005,$W9183)=0),COUNTIFS('①在庫を貼る'!$V$6:$V$10005,$V9183,'①在庫を貼る'!$W$6:$W$10005,$W9183)&gt;0),N(U9182),N(U9182)+1))</f>
        <v/>
      </c>
      <c r="V9183" s="19">
        <f>IF($B9183="","",TEXT($B9183,"0000"))</f>
        <v/>
      </c>
      <c r="W9183" s="19">
        <f>IF($I9183="","",IF(ISNUMBER($I9183),TEXT($I9183,"0"),$I9183))</f>
        <v/>
      </c>
    </row>
    <row r="9184">
      <c r="B9184" s="25" t="n"/>
      <c r="I9184" s="25" t="n"/>
      <c r="U9184" s="19">
        <f>IF($V9184&lt;&gt;'設定'!$C$4,N(U9183),IF(OR(NOT(COUNTIF('商品マスタ'!$B$6:$B$1005,$W9184)=0),COUNTIFS('①在庫を貼る'!$V$6:$V$10005,$V9184,'①在庫を貼る'!$W$6:$W$10005,$W9184)&gt;0),N(U9183),N(U9183)+1))</f>
        <v/>
      </c>
      <c r="V9184" s="19">
        <f>IF($B9184="","",TEXT($B9184,"0000"))</f>
        <v/>
      </c>
      <c r="W9184" s="19">
        <f>IF($I9184="","",IF(ISNUMBER($I9184),TEXT($I9184,"0"),$I9184))</f>
        <v/>
      </c>
    </row>
    <row r="9185">
      <c r="B9185" s="25" t="n"/>
      <c r="I9185" s="25" t="n"/>
      <c r="U9185" s="19">
        <f>IF($V9185&lt;&gt;'設定'!$C$4,N(U9184),IF(OR(NOT(COUNTIF('商品マスタ'!$B$6:$B$1005,$W9185)=0),COUNTIFS('①在庫を貼る'!$V$6:$V$10005,$V9185,'①在庫を貼る'!$W$6:$W$10005,$W9185)&gt;0),N(U9184),N(U9184)+1))</f>
        <v/>
      </c>
      <c r="V9185" s="19">
        <f>IF($B9185="","",TEXT($B9185,"0000"))</f>
        <v/>
      </c>
      <c r="W9185" s="19">
        <f>IF($I9185="","",IF(ISNUMBER($I9185),TEXT($I9185,"0"),$I9185))</f>
        <v/>
      </c>
    </row>
    <row r="9186">
      <c r="B9186" s="25" t="n"/>
      <c r="I9186" s="25" t="n"/>
      <c r="U9186" s="19">
        <f>IF($V9186&lt;&gt;'設定'!$C$4,N(U9185),IF(OR(NOT(COUNTIF('商品マスタ'!$B$6:$B$1005,$W9186)=0),COUNTIFS('①在庫を貼る'!$V$6:$V$10005,$V9186,'①在庫を貼る'!$W$6:$W$10005,$W9186)&gt;0),N(U9185),N(U9185)+1))</f>
        <v/>
      </c>
      <c r="V9186" s="19">
        <f>IF($B9186="","",TEXT($B9186,"0000"))</f>
        <v/>
      </c>
      <c r="W9186" s="19">
        <f>IF($I9186="","",IF(ISNUMBER($I9186),TEXT($I9186,"0"),$I9186))</f>
        <v/>
      </c>
    </row>
    <row r="9187">
      <c r="B9187" s="25" t="n"/>
      <c r="I9187" s="25" t="n"/>
      <c r="U9187" s="19">
        <f>IF($V9187&lt;&gt;'設定'!$C$4,N(U9186),IF(OR(NOT(COUNTIF('商品マスタ'!$B$6:$B$1005,$W9187)=0),COUNTIFS('①在庫を貼る'!$V$6:$V$10005,$V9187,'①在庫を貼る'!$W$6:$W$10005,$W9187)&gt;0),N(U9186),N(U9186)+1))</f>
        <v/>
      </c>
      <c r="V9187" s="19">
        <f>IF($B9187="","",TEXT($B9187,"0000"))</f>
        <v/>
      </c>
      <c r="W9187" s="19">
        <f>IF($I9187="","",IF(ISNUMBER($I9187),TEXT($I9187,"0"),$I9187))</f>
        <v/>
      </c>
    </row>
    <row r="9188">
      <c r="B9188" s="25" t="n"/>
      <c r="I9188" s="25" t="n"/>
      <c r="U9188" s="19">
        <f>IF($V9188&lt;&gt;'設定'!$C$4,N(U9187),IF(OR(NOT(COUNTIF('商品マスタ'!$B$6:$B$1005,$W9188)=0),COUNTIFS('①在庫を貼る'!$V$6:$V$10005,$V9188,'①在庫を貼る'!$W$6:$W$10005,$W9188)&gt;0),N(U9187),N(U9187)+1))</f>
        <v/>
      </c>
      <c r="V9188" s="19">
        <f>IF($B9188="","",TEXT($B9188,"0000"))</f>
        <v/>
      </c>
      <c r="W9188" s="19">
        <f>IF($I9188="","",IF(ISNUMBER($I9188),TEXT($I9188,"0"),$I9188))</f>
        <v/>
      </c>
    </row>
    <row r="9189">
      <c r="B9189" s="25" t="n"/>
      <c r="I9189" s="25" t="n"/>
      <c r="U9189" s="19">
        <f>IF($V9189&lt;&gt;'設定'!$C$4,N(U9188),IF(OR(NOT(COUNTIF('商品マスタ'!$B$6:$B$1005,$W9189)=0),COUNTIFS('①在庫を貼る'!$V$6:$V$10005,$V9189,'①在庫を貼る'!$W$6:$W$10005,$W9189)&gt;0),N(U9188),N(U9188)+1))</f>
        <v/>
      </c>
      <c r="V9189" s="19">
        <f>IF($B9189="","",TEXT($B9189,"0000"))</f>
        <v/>
      </c>
      <c r="W9189" s="19">
        <f>IF($I9189="","",IF(ISNUMBER($I9189),TEXT($I9189,"0"),$I9189))</f>
        <v/>
      </c>
    </row>
    <row r="9190">
      <c r="B9190" s="25" t="n"/>
      <c r="I9190" s="25" t="n"/>
      <c r="U9190" s="19">
        <f>IF($V9190&lt;&gt;'設定'!$C$4,N(U9189),IF(OR(NOT(COUNTIF('商品マスタ'!$B$6:$B$1005,$W9190)=0),COUNTIFS('①在庫を貼る'!$V$6:$V$10005,$V9190,'①在庫を貼る'!$W$6:$W$10005,$W9190)&gt;0),N(U9189),N(U9189)+1))</f>
        <v/>
      </c>
      <c r="V9190" s="19">
        <f>IF($B9190="","",TEXT($B9190,"0000"))</f>
        <v/>
      </c>
      <c r="W9190" s="19">
        <f>IF($I9190="","",IF(ISNUMBER($I9190),TEXT($I9190,"0"),$I9190))</f>
        <v/>
      </c>
    </row>
    <row r="9191">
      <c r="B9191" s="25" t="n"/>
      <c r="I9191" s="25" t="n"/>
      <c r="U9191" s="19">
        <f>IF($V9191&lt;&gt;'設定'!$C$4,N(U9190),IF(OR(NOT(COUNTIF('商品マスタ'!$B$6:$B$1005,$W9191)=0),COUNTIFS('①在庫を貼る'!$V$6:$V$10005,$V9191,'①在庫を貼る'!$W$6:$W$10005,$W9191)&gt;0),N(U9190),N(U9190)+1))</f>
        <v/>
      </c>
      <c r="V9191" s="19">
        <f>IF($B9191="","",TEXT($B9191,"0000"))</f>
        <v/>
      </c>
      <c r="W9191" s="19">
        <f>IF($I9191="","",IF(ISNUMBER($I9191),TEXT($I9191,"0"),$I9191))</f>
        <v/>
      </c>
    </row>
    <row r="9192">
      <c r="B9192" s="25" t="n"/>
      <c r="I9192" s="25" t="n"/>
      <c r="U9192" s="19">
        <f>IF($V9192&lt;&gt;'設定'!$C$4,N(U9191),IF(OR(NOT(COUNTIF('商品マスタ'!$B$6:$B$1005,$W9192)=0),COUNTIFS('①在庫を貼る'!$V$6:$V$10005,$V9192,'①在庫を貼る'!$W$6:$W$10005,$W9192)&gt;0),N(U9191),N(U9191)+1))</f>
        <v/>
      </c>
      <c r="V9192" s="19">
        <f>IF($B9192="","",TEXT($B9192,"0000"))</f>
        <v/>
      </c>
      <c r="W9192" s="19">
        <f>IF($I9192="","",IF(ISNUMBER($I9192),TEXT($I9192,"0"),$I9192))</f>
        <v/>
      </c>
    </row>
    <row r="9193">
      <c r="B9193" s="25" t="n"/>
      <c r="I9193" s="25" t="n"/>
      <c r="U9193" s="19">
        <f>IF($V9193&lt;&gt;'設定'!$C$4,N(U9192),IF(OR(NOT(COUNTIF('商品マスタ'!$B$6:$B$1005,$W9193)=0),COUNTIFS('①在庫を貼る'!$V$6:$V$10005,$V9193,'①在庫を貼る'!$W$6:$W$10005,$W9193)&gt;0),N(U9192),N(U9192)+1))</f>
        <v/>
      </c>
      <c r="V9193" s="19">
        <f>IF($B9193="","",TEXT($B9193,"0000"))</f>
        <v/>
      </c>
      <c r="W9193" s="19">
        <f>IF($I9193="","",IF(ISNUMBER($I9193),TEXT($I9193,"0"),$I9193))</f>
        <v/>
      </c>
    </row>
    <row r="9194">
      <c r="B9194" s="25" t="n"/>
      <c r="I9194" s="25" t="n"/>
      <c r="U9194" s="19">
        <f>IF($V9194&lt;&gt;'設定'!$C$4,N(U9193),IF(OR(NOT(COUNTIF('商品マスタ'!$B$6:$B$1005,$W9194)=0),COUNTIFS('①在庫を貼る'!$V$6:$V$10005,$V9194,'①在庫を貼る'!$W$6:$W$10005,$W9194)&gt;0),N(U9193),N(U9193)+1))</f>
        <v/>
      </c>
      <c r="V9194" s="19">
        <f>IF($B9194="","",TEXT($B9194,"0000"))</f>
        <v/>
      </c>
      <c r="W9194" s="19">
        <f>IF($I9194="","",IF(ISNUMBER($I9194),TEXT($I9194,"0"),$I9194))</f>
        <v/>
      </c>
    </row>
    <row r="9195">
      <c r="B9195" s="25" t="n"/>
      <c r="I9195" s="25" t="n"/>
      <c r="U9195" s="19">
        <f>IF($V9195&lt;&gt;'設定'!$C$4,N(U9194),IF(OR(NOT(COUNTIF('商品マスタ'!$B$6:$B$1005,$W9195)=0),COUNTIFS('①在庫を貼る'!$V$6:$V$10005,$V9195,'①在庫を貼る'!$W$6:$W$10005,$W9195)&gt;0),N(U9194),N(U9194)+1))</f>
        <v/>
      </c>
      <c r="V9195" s="19">
        <f>IF($B9195="","",TEXT($B9195,"0000"))</f>
        <v/>
      </c>
      <c r="W9195" s="19">
        <f>IF($I9195="","",IF(ISNUMBER($I9195),TEXT($I9195,"0"),$I9195))</f>
        <v/>
      </c>
    </row>
    <row r="9196">
      <c r="B9196" s="25" t="n"/>
      <c r="I9196" s="25" t="n"/>
      <c r="U9196" s="19">
        <f>IF($V9196&lt;&gt;'設定'!$C$4,N(U9195),IF(OR(NOT(COUNTIF('商品マスタ'!$B$6:$B$1005,$W9196)=0),COUNTIFS('①在庫を貼る'!$V$6:$V$10005,$V9196,'①在庫を貼る'!$W$6:$W$10005,$W9196)&gt;0),N(U9195),N(U9195)+1))</f>
        <v/>
      </c>
      <c r="V9196" s="19">
        <f>IF($B9196="","",TEXT($B9196,"0000"))</f>
        <v/>
      </c>
      <c r="W9196" s="19">
        <f>IF($I9196="","",IF(ISNUMBER($I9196),TEXT($I9196,"0"),$I9196))</f>
        <v/>
      </c>
    </row>
    <row r="9197">
      <c r="B9197" s="25" t="n"/>
      <c r="I9197" s="25" t="n"/>
      <c r="U9197" s="19">
        <f>IF($V9197&lt;&gt;'設定'!$C$4,N(U9196),IF(OR(NOT(COUNTIF('商品マスタ'!$B$6:$B$1005,$W9197)=0),COUNTIFS('①在庫を貼る'!$V$6:$V$10005,$V9197,'①在庫を貼る'!$W$6:$W$10005,$W9197)&gt;0),N(U9196),N(U9196)+1))</f>
        <v/>
      </c>
      <c r="V9197" s="19">
        <f>IF($B9197="","",TEXT($B9197,"0000"))</f>
        <v/>
      </c>
      <c r="W9197" s="19">
        <f>IF($I9197="","",IF(ISNUMBER($I9197),TEXT($I9197,"0"),$I9197))</f>
        <v/>
      </c>
    </row>
    <row r="9198">
      <c r="B9198" s="25" t="n"/>
      <c r="I9198" s="25" t="n"/>
      <c r="U9198" s="19">
        <f>IF($V9198&lt;&gt;'設定'!$C$4,N(U9197),IF(OR(NOT(COUNTIF('商品マスタ'!$B$6:$B$1005,$W9198)=0),COUNTIFS('①在庫を貼る'!$V$6:$V$10005,$V9198,'①在庫を貼る'!$W$6:$W$10005,$W9198)&gt;0),N(U9197),N(U9197)+1))</f>
        <v/>
      </c>
      <c r="V9198" s="19">
        <f>IF($B9198="","",TEXT($B9198,"0000"))</f>
        <v/>
      </c>
      <c r="W9198" s="19">
        <f>IF($I9198="","",IF(ISNUMBER($I9198),TEXT($I9198,"0"),$I9198))</f>
        <v/>
      </c>
    </row>
    <row r="9199">
      <c r="B9199" s="25" t="n"/>
      <c r="I9199" s="25" t="n"/>
      <c r="U9199" s="19">
        <f>IF($V9199&lt;&gt;'設定'!$C$4,N(U9198),IF(OR(NOT(COUNTIF('商品マスタ'!$B$6:$B$1005,$W9199)=0),COUNTIFS('①在庫を貼る'!$V$6:$V$10005,$V9199,'①在庫を貼る'!$W$6:$W$10005,$W9199)&gt;0),N(U9198),N(U9198)+1))</f>
        <v/>
      </c>
      <c r="V9199" s="19">
        <f>IF($B9199="","",TEXT($B9199,"0000"))</f>
        <v/>
      </c>
      <c r="W9199" s="19">
        <f>IF($I9199="","",IF(ISNUMBER($I9199),TEXT($I9199,"0"),$I9199))</f>
        <v/>
      </c>
    </row>
    <row r="9200">
      <c r="B9200" s="25" t="n"/>
      <c r="I9200" s="25" t="n"/>
      <c r="U9200" s="19">
        <f>IF($V9200&lt;&gt;'設定'!$C$4,N(U9199),IF(OR(NOT(COUNTIF('商品マスタ'!$B$6:$B$1005,$W9200)=0),COUNTIFS('①在庫を貼る'!$V$6:$V$10005,$V9200,'①在庫を貼る'!$W$6:$W$10005,$W9200)&gt;0),N(U9199),N(U9199)+1))</f>
        <v/>
      </c>
      <c r="V9200" s="19">
        <f>IF($B9200="","",TEXT($B9200,"0000"))</f>
        <v/>
      </c>
      <c r="W9200" s="19">
        <f>IF($I9200="","",IF(ISNUMBER($I9200),TEXT($I9200,"0"),$I9200))</f>
        <v/>
      </c>
    </row>
    <row r="9201">
      <c r="B9201" s="25" t="n"/>
      <c r="I9201" s="25" t="n"/>
      <c r="U9201" s="19">
        <f>IF($V9201&lt;&gt;'設定'!$C$4,N(U9200),IF(OR(NOT(COUNTIF('商品マスタ'!$B$6:$B$1005,$W9201)=0),COUNTIFS('①在庫を貼る'!$V$6:$V$10005,$V9201,'①在庫を貼る'!$W$6:$W$10005,$W9201)&gt;0),N(U9200),N(U9200)+1))</f>
        <v/>
      </c>
      <c r="V9201" s="19">
        <f>IF($B9201="","",TEXT($B9201,"0000"))</f>
        <v/>
      </c>
      <c r="W9201" s="19">
        <f>IF($I9201="","",IF(ISNUMBER($I9201),TEXT($I9201,"0"),$I9201))</f>
        <v/>
      </c>
    </row>
    <row r="9202">
      <c r="B9202" s="25" t="n"/>
      <c r="I9202" s="25" t="n"/>
      <c r="U9202" s="19">
        <f>IF($V9202&lt;&gt;'設定'!$C$4,N(U9201),IF(OR(NOT(COUNTIF('商品マスタ'!$B$6:$B$1005,$W9202)=0),COUNTIFS('①在庫を貼る'!$V$6:$V$10005,$V9202,'①在庫を貼る'!$W$6:$W$10005,$W9202)&gt;0),N(U9201),N(U9201)+1))</f>
        <v/>
      </c>
      <c r="V9202" s="19">
        <f>IF($B9202="","",TEXT($B9202,"0000"))</f>
        <v/>
      </c>
      <c r="W9202" s="19">
        <f>IF($I9202="","",IF(ISNUMBER($I9202),TEXT($I9202,"0"),$I9202))</f>
        <v/>
      </c>
    </row>
    <row r="9203">
      <c r="B9203" s="25" t="n"/>
      <c r="I9203" s="25" t="n"/>
      <c r="U9203" s="19">
        <f>IF($V9203&lt;&gt;'設定'!$C$4,N(U9202),IF(OR(NOT(COUNTIF('商品マスタ'!$B$6:$B$1005,$W9203)=0),COUNTIFS('①在庫を貼る'!$V$6:$V$10005,$V9203,'①在庫を貼る'!$W$6:$W$10005,$W9203)&gt;0),N(U9202),N(U9202)+1))</f>
        <v/>
      </c>
      <c r="V9203" s="19">
        <f>IF($B9203="","",TEXT($B9203,"0000"))</f>
        <v/>
      </c>
      <c r="W9203" s="19">
        <f>IF($I9203="","",IF(ISNUMBER($I9203),TEXT($I9203,"0"),$I9203))</f>
        <v/>
      </c>
    </row>
    <row r="9204">
      <c r="B9204" s="25" t="n"/>
      <c r="I9204" s="25" t="n"/>
      <c r="U9204" s="19">
        <f>IF($V9204&lt;&gt;'設定'!$C$4,N(U9203),IF(OR(NOT(COUNTIF('商品マスタ'!$B$6:$B$1005,$W9204)=0),COUNTIFS('①在庫を貼る'!$V$6:$V$10005,$V9204,'①在庫を貼る'!$W$6:$W$10005,$W9204)&gt;0),N(U9203),N(U9203)+1))</f>
        <v/>
      </c>
      <c r="V9204" s="19">
        <f>IF($B9204="","",TEXT($B9204,"0000"))</f>
        <v/>
      </c>
      <c r="W9204" s="19">
        <f>IF($I9204="","",IF(ISNUMBER($I9204),TEXT($I9204,"0"),$I9204))</f>
        <v/>
      </c>
    </row>
    <row r="9205">
      <c r="B9205" s="25" t="n"/>
      <c r="I9205" s="25" t="n"/>
      <c r="U9205" s="19">
        <f>IF($V9205&lt;&gt;'設定'!$C$4,N(U9204),IF(OR(NOT(COUNTIF('商品マスタ'!$B$6:$B$1005,$W9205)=0),COUNTIFS('①在庫を貼る'!$V$6:$V$10005,$V9205,'①在庫を貼る'!$W$6:$W$10005,$W9205)&gt;0),N(U9204),N(U9204)+1))</f>
        <v/>
      </c>
      <c r="V9205" s="19">
        <f>IF($B9205="","",TEXT($B9205,"0000"))</f>
        <v/>
      </c>
      <c r="W9205" s="19">
        <f>IF($I9205="","",IF(ISNUMBER($I9205),TEXT($I9205,"0"),$I9205))</f>
        <v/>
      </c>
    </row>
    <row r="9206">
      <c r="B9206" s="25" t="n"/>
      <c r="I9206" s="25" t="n"/>
      <c r="U9206" s="19">
        <f>IF($V9206&lt;&gt;'設定'!$C$4,N(U9205),IF(OR(NOT(COUNTIF('商品マスタ'!$B$6:$B$1005,$W9206)=0),COUNTIFS('①在庫を貼る'!$V$6:$V$10005,$V9206,'①在庫を貼る'!$W$6:$W$10005,$W9206)&gt;0),N(U9205),N(U9205)+1))</f>
        <v/>
      </c>
      <c r="V9206" s="19">
        <f>IF($B9206="","",TEXT($B9206,"0000"))</f>
        <v/>
      </c>
      <c r="W9206" s="19">
        <f>IF($I9206="","",IF(ISNUMBER($I9206),TEXT($I9206,"0"),$I9206))</f>
        <v/>
      </c>
    </row>
    <row r="9207">
      <c r="B9207" s="25" t="n"/>
      <c r="I9207" s="25" t="n"/>
      <c r="U9207" s="19">
        <f>IF($V9207&lt;&gt;'設定'!$C$4,N(U9206),IF(OR(NOT(COUNTIF('商品マスタ'!$B$6:$B$1005,$W9207)=0),COUNTIFS('①在庫を貼る'!$V$6:$V$10005,$V9207,'①在庫を貼る'!$W$6:$W$10005,$W9207)&gt;0),N(U9206),N(U9206)+1))</f>
        <v/>
      </c>
      <c r="V9207" s="19">
        <f>IF($B9207="","",TEXT($B9207,"0000"))</f>
        <v/>
      </c>
      <c r="W9207" s="19">
        <f>IF($I9207="","",IF(ISNUMBER($I9207),TEXT($I9207,"0"),$I9207))</f>
        <v/>
      </c>
    </row>
    <row r="9208">
      <c r="B9208" s="25" t="n"/>
      <c r="I9208" s="25" t="n"/>
      <c r="U9208" s="19">
        <f>IF($V9208&lt;&gt;'設定'!$C$4,N(U9207),IF(OR(NOT(COUNTIF('商品マスタ'!$B$6:$B$1005,$W9208)=0),COUNTIFS('①在庫を貼る'!$V$6:$V$10005,$V9208,'①在庫を貼る'!$W$6:$W$10005,$W9208)&gt;0),N(U9207),N(U9207)+1))</f>
        <v/>
      </c>
      <c r="V9208" s="19">
        <f>IF($B9208="","",TEXT($B9208,"0000"))</f>
        <v/>
      </c>
      <c r="W9208" s="19">
        <f>IF($I9208="","",IF(ISNUMBER($I9208),TEXT($I9208,"0"),$I9208))</f>
        <v/>
      </c>
    </row>
    <row r="9209">
      <c r="B9209" s="25" t="n"/>
      <c r="I9209" s="25" t="n"/>
      <c r="U9209" s="19">
        <f>IF($V9209&lt;&gt;'設定'!$C$4,N(U9208),IF(OR(NOT(COUNTIF('商品マスタ'!$B$6:$B$1005,$W9209)=0),COUNTIFS('①在庫を貼る'!$V$6:$V$10005,$V9209,'①在庫を貼る'!$W$6:$W$10005,$W9209)&gt;0),N(U9208),N(U9208)+1))</f>
        <v/>
      </c>
      <c r="V9209" s="19">
        <f>IF($B9209="","",TEXT($B9209,"0000"))</f>
        <v/>
      </c>
      <c r="W9209" s="19">
        <f>IF($I9209="","",IF(ISNUMBER($I9209),TEXT($I9209,"0"),$I9209))</f>
        <v/>
      </c>
    </row>
    <row r="9210">
      <c r="B9210" s="25" t="n"/>
      <c r="I9210" s="25" t="n"/>
      <c r="U9210" s="19">
        <f>IF($V9210&lt;&gt;'設定'!$C$4,N(U9209),IF(OR(NOT(COUNTIF('商品マスタ'!$B$6:$B$1005,$W9210)=0),COUNTIFS('①在庫を貼る'!$V$6:$V$10005,$V9210,'①在庫を貼る'!$W$6:$W$10005,$W9210)&gt;0),N(U9209),N(U9209)+1))</f>
        <v/>
      </c>
      <c r="V9210" s="19">
        <f>IF($B9210="","",TEXT($B9210,"0000"))</f>
        <v/>
      </c>
      <c r="W9210" s="19">
        <f>IF($I9210="","",IF(ISNUMBER($I9210),TEXT($I9210,"0"),$I9210))</f>
        <v/>
      </c>
    </row>
    <row r="9211">
      <c r="B9211" s="25" t="n"/>
      <c r="I9211" s="25" t="n"/>
      <c r="U9211" s="19">
        <f>IF($V9211&lt;&gt;'設定'!$C$4,N(U9210),IF(OR(NOT(COUNTIF('商品マスタ'!$B$6:$B$1005,$W9211)=0),COUNTIFS('①在庫を貼る'!$V$6:$V$10005,$V9211,'①在庫を貼る'!$W$6:$W$10005,$W9211)&gt;0),N(U9210),N(U9210)+1))</f>
        <v/>
      </c>
      <c r="V9211" s="19">
        <f>IF($B9211="","",TEXT($B9211,"0000"))</f>
        <v/>
      </c>
      <c r="W9211" s="19">
        <f>IF($I9211="","",IF(ISNUMBER($I9211),TEXT($I9211,"0"),$I9211))</f>
        <v/>
      </c>
    </row>
    <row r="9212">
      <c r="B9212" s="25" t="n"/>
      <c r="I9212" s="25" t="n"/>
      <c r="U9212" s="19">
        <f>IF($V9212&lt;&gt;'設定'!$C$4,N(U9211),IF(OR(NOT(COUNTIF('商品マスタ'!$B$6:$B$1005,$W9212)=0),COUNTIFS('①在庫を貼る'!$V$6:$V$10005,$V9212,'①在庫を貼る'!$W$6:$W$10005,$W9212)&gt;0),N(U9211),N(U9211)+1))</f>
        <v/>
      </c>
      <c r="V9212" s="19">
        <f>IF($B9212="","",TEXT($B9212,"0000"))</f>
        <v/>
      </c>
      <c r="W9212" s="19">
        <f>IF($I9212="","",IF(ISNUMBER($I9212),TEXT($I9212,"0"),$I9212))</f>
        <v/>
      </c>
    </row>
    <row r="9213">
      <c r="B9213" s="25" t="n"/>
      <c r="I9213" s="25" t="n"/>
      <c r="U9213" s="19">
        <f>IF($V9213&lt;&gt;'設定'!$C$4,N(U9212),IF(OR(NOT(COUNTIF('商品マスタ'!$B$6:$B$1005,$W9213)=0),COUNTIFS('①在庫を貼る'!$V$6:$V$10005,$V9213,'①在庫を貼る'!$W$6:$W$10005,$W9213)&gt;0),N(U9212),N(U9212)+1))</f>
        <v/>
      </c>
      <c r="V9213" s="19">
        <f>IF($B9213="","",TEXT($B9213,"0000"))</f>
        <v/>
      </c>
      <c r="W9213" s="19">
        <f>IF($I9213="","",IF(ISNUMBER($I9213),TEXT($I9213,"0"),$I9213))</f>
        <v/>
      </c>
    </row>
    <row r="9214">
      <c r="B9214" s="25" t="n"/>
      <c r="I9214" s="25" t="n"/>
      <c r="U9214" s="19">
        <f>IF($V9214&lt;&gt;'設定'!$C$4,N(U9213),IF(OR(NOT(COUNTIF('商品マスタ'!$B$6:$B$1005,$W9214)=0),COUNTIFS('①在庫を貼る'!$V$6:$V$10005,$V9214,'①在庫を貼る'!$W$6:$W$10005,$W9214)&gt;0),N(U9213),N(U9213)+1))</f>
        <v/>
      </c>
      <c r="V9214" s="19">
        <f>IF($B9214="","",TEXT($B9214,"0000"))</f>
        <v/>
      </c>
      <c r="W9214" s="19">
        <f>IF($I9214="","",IF(ISNUMBER($I9214),TEXT($I9214,"0"),$I9214))</f>
        <v/>
      </c>
    </row>
    <row r="9215">
      <c r="B9215" s="25" t="n"/>
      <c r="I9215" s="25" t="n"/>
      <c r="U9215" s="19">
        <f>IF($V9215&lt;&gt;'設定'!$C$4,N(U9214),IF(OR(NOT(COUNTIF('商品マスタ'!$B$6:$B$1005,$W9215)=0),COUNTIFS('①在庫を貼る'!$V$6:$V$10005,$V9215,'①在庫を貼る'!$W$6:$W$10005,$W9215)&gt;0),N(U9214),N(U9214)+1))</f>
        <v/>
      </c>
      <c r="V9215" s="19">
        <f>IF($B9215="","",TEXT($B9215,"0000"))</f>
        <v/>
      </c>
      <c r="W9215" s="19">
        <f>IF($I9215="","",IF(ISNUMBER($I9215),TEXT($I9215,"0"),$I9215))</f>
        <v/>
      </c>
    </row>
    <row r="9216">
      <c r="B9216" s="25" t="n"/>
      <c r="I9216" s="25" t="n"/>
      <c r="U9216" s="19">
        <f>IF($V9216&lt;&gt;'設定'!$C$4,N(U9215),IF(OR(NOT(COUNTIF('商品マスタ'!$B$6:$B$1005,$W9216)=0),COUNTIFS('①在庫を貼る'!$V$6:$V$10005,$V9216,'①在庫を貼る'!$W$6:$W$10005,$W9216)&gt;0),N(U9215),N(U9215)+1))</f>
        <v/>
      </c>
      <c r="V9216" s="19">
        <f>IF($B9216="","",TEXT($B9216,"0000"))</f>
        <v/>
      </c>
      <c r="W9216" s="19">
        <f>IF($I9216="","",IF(ISNUMBER($I9216),TEXT($I9216,"0"),$I9216))</f>
        <v/>
      </c>
    </row>
    <row r="9217">
      <c r="B9217" s="25" t="n"/>
      <c r="I9217" s="25" t="n"/>
      <c r="U9217" s="19">
        <f>IF($V9217&lt;&gt;'設定'!$C$4,N(U9216),IF(OR(NOT(COUNTIF('商品マスタ'!$B$6:$B$1005,$W9217)=0),COUNTIFS('①在庫を貼る'!$V$6:$V$10005,$V9217,'①在庫を貼る'!$W$6:$W$10005,$W9217)&gt;0),N(U9216),N(U9216)+1))</f>
        <v/>
      </c>
      <c r="V9217" s="19">
        <f>IF($B9217="","",TEXT($B9217,"0000"))</f>
        <v/>
      </c>
      <c r="W9217" s="19">
        <f>IF($I9217="","",IF(ISNUMBER($I9217),TEXT($I9217,"0"),$I9217))</f>
        <v/>
      </c>
    </row>
    <row r="9218">
      <c r="B9218" s="25" t="n"/>
      <c r="I9218" s="25" t="n"/>
      <c r="U9218" s="19">
        <f>IF($V9218&lt;&gt;'設定'!$C$4,N(U9217),IF(OR(NOT(COUNTIF('商品マスタ'!$B$6:$B$1005,$W9218)=0),COUNTIFS('①在庫を貼る'!$V$6:$V$10005,$V9218,'①在庫を貼る'!$W$6:$W$10005,$W9218)&gt;0),N(U9217),N(U9217)+1))</f>
        <v/>
      </c>
      <c r="V9218" s="19">
        <f>IF($B9218="","",TEXT($B9218,"0000"))</f>
        <v/>
      </c>
      <c r="W9218" s="19">
        <f>IF($I9218="","",IF(ISNUMBER($I9218),TEXT($I9218,"0"),$I9218))</f>
        <v/>
      </c>
    </row>
    <row r="9219">
      <c r="B9219" s="25" t="n"/>
      <c r="I9219" s="25" t="n"/>
      <c r="U9219" s="19">
        <f>IF($V9219&lt;&gt;'設定'!$C$4,N(U9218),IF(OR(NOT(COUNTIF('商品マスタ'!$B$6:$B$1005,$W9219)=0),COUNTIFS('①在庫を貼る'!$V$6:$V$10005,$V9219,'①在庫を貼る'!$W$6:$W$10005,$W9219)&gt;0),N(U9218),N(U9218)+1))</f>
        <v/>
      </c>
      <c r="V9219" s="19">
        <f>IF($B9219="","",TEXT($B9219,"0000"))</f>
        <v/>
      </c>
      <c r="W9219" s="19">
        <f>IF($I9219="","",IF(ISNUMBER($I9219),TEXT($I9219,"0"),$I9219))</f>
        <v/>
      </c>
    </row>
    <row r="9220">
      <c r="B9220" s="25" t="n"/>
      <c r="I9220" s="25" t="n"/>
      <c r="U9220" s="19">
        <f>IF($V9220&lt;&gt;'設定'!$C$4,N(U9219),IF(OR(NOT(COUNTIF('商品マスタ'!$B$6:$B$1005,$W9220)=0),COUNTIFS('①在庫を貼る'!$V$6:$V$10005,$V9220,'①在庫を貼る'!$W$6:$W$10005,$W9220)&gt;0),N(U9219),N(U9219)+1))</f>
        <v/>
      </c>
      <c r="V9220" s="19">
        <f>IF($B9220="","",TEXT($B9220,"0000"))</f>
        <v/>
      </c>
      <c r="W9220" s="19">
        <f>IF($I9220="","",IF(ISNUMBER($I9220),TEXT($I9220,"0"),$I9220))</f>
        <v/>
      </c>
    </row>
    <row r="9221">
      <c r="B9221" s="25" t="n"/>
      <c r="I9221" s="25" t="n"/>
      <c r="U9221" s="19">
        <f>IF($V9221&lt;&gt;'設定'!$C$4,N(U9220),IF(OR(NOT(COUNTIF('商品マスタ'!$B$6:$B$1005,$W9221)=0),COUNTIFS('①在庫を貼る'!$V$6:$V$10005,$V9221,'①在庫を貼る'!$W$6:$W$10005,$W9221)&gt;0),N(U9220),N(U9220)+1))</f>
        <v/>
      </c>
      <c r="V9221" s="19">
        <f>IF($B9221="","",TEXT($B9221,"0000"))</f>
        <v/>
      </c>
      <c r="W9221" s="19">
        <f>IF($I9221="","",IF(ISNUMBER($I9221),TEXT($I9221,"0"),$I9221))</f>
        <v/>
      </c>
    </row>
    <row r="9222">
      <c r="B9222" s="25" t="n"/>
      <c r="I9222" s="25" t="n"/>
      <c r="U9222" s="19">
        <f>IF($V9222&lt;&gt;'設定'!$C$4,N(U9221),IF(OR(NOT(COUNTIF('商品マスタ'!$B$6:$B$1005,$W9222)=0),COUNTIFS('①在庫を貼る'!$V$6:$V$10005,$V9222,'①在庫を貼る'!$W$6:$W$10005,$W9222)&gt;0),N(U9221),N(U9221)+1))</f>
        <v/>
      </c>
      <c r="V9222" s="19">
        <f>IF($B9222="","",TEXT($B9222,"0000"))</f>
        <v/>
      </c>
      <c r="W9222" s="19">
        <f>IF($I9222="","",IF(ISNUMBER($I9222),TEXT($I9222,"0"),$I9222))</f>
        <v/>
      </c>
    </row>
    <row r="9223">
      <c r="B9223" s="25" t="n"/>
      <c r="I9223" s="25" t="n"/>
      <c r="U9223" s="19">
        <f>IF($V9223&lt;&gt;'設定'!$C$4,N(U9222),IF(OR(NOT(COUNTIF('商品マスタ'!$B$6:$B$1005,$W9223)=0),COUNTIFS('①在庫を貼る'!$V$6:$V$10005,$V9223,'①在庫を貼る'!$W$6:$W$10005,$W9223)&gt;0),N(U9222),N(U9222)+1))</f>
        <v/>
      </c>
      <c r="V9223" s="19">
        <f>IF($B9223="","",TEXT($B9223,"0000"))</f>
        <v/>
      </c>
      <c r="W9223" s="19">
        <f>IF($I9223="","",IF(ISNUMBER($I9223),TEXT($I9223,"0"),$I9223))</f>
        <v/>
      </c>
    </row>
    <row r="9224">
      <c r="B9224" s="25" t="n"/>
      <c r="I9224" s="25" t="n"/>
      <c r="U9224" s="19">
        <f>IF($V9224&lt;&gt;'設定'!$C$4,N(U9223),IF(OR(NOT(COUNTIF('商品マスタ'!$B$6:$B$1005,$W9224)=0),COUNTIFS('①在庫を貼る'!$V$6:$V$10005,$V9224,'①在庫を貼る'!$W$6:$W$10005,$W9224)&gt;0),N(U9223),N(U9223)+1))</f>
        <v/>
      </c>
      <c r="V9224" s="19">
        <f>IF($B9224="","",TEXT($B9224,"0000"))</f>
        <v/>
      </c>
      <c r="W9224" s="19">
        <f>IF($I9224="","",IF(ISNUMBER($I9224),TEXT($I9224,"0"),$I9224))</f>
        <v/>
      </c>
    </row>
    <row r="9225">
      <c r="B9225" s="25" t="n"/>
      <c r="I9225" s="25" t="n"/>
      <c r="U9225" s="19">
        <f>IF($V9225&lt;&gt;'設定'!$C$4,N(U9224),IF(OR(NOT(COUNTIF('商品マスタ'!$B$6:$B$1005,$W9225)=0),COUNTIFS('①在庫を貼る'!$V$6:$V$10005,$V9225,'①在庫を貼る'!$W$6:$W$10005,$W9225)&gt;0),N(U9224),N(U9224)+1))</f>
        <v/>
      </c>
      <c r="V9225" s="19">
        <f>IF($B9225="","",TEXT($B9225,"0000"))</f>
        <v/>
      </c>
      <c r="W9225" s="19">
        <f>IF($I9225="","",IF(ISNUMBER($I9225),TEXT($I9225,"0"),$I9225))</f>
        <v/>
      </c>
    </row>
    <row r="9226">
      <c r="B9226" s="25" t="n"/>
      <c r="I9226" s="25" t="n"/>
      <c r="U9226" s="19">
        <f>IF($V9226&lt;&gt;'設定'!$C$4,N(U9225),IF(OR(NOT(COUNTIF('商品マスタ'!$B$6:$B$1005,$W9226)=0),COUNTIFS('①在庫を貼る'!$V$6:$V$10005,$V9226,'①在庫を貼る'!$W$6:$W$10005,$W9226)&gt;0),N(U9225),N(U9225)+1))</f>
        <v/>
      </c>
      <c r="V9226" s="19">
        <f>IF($B9226="","",TEXT($B9226,"0000"))</f>
        <v/>
      </c>
      <c r="W9226" s="19">
        <f>IF($I9226="","",IF(ISNUMBER($I9226),TEXT($I9226,"0"),$I9226))</f>
        <v/>
      </c>
    </row>
    <row r="9227">
      <c r="B9227" s="25" t="n"/>
      <c r="I9227" s="25" t="n"/>
      <c r="U9227" s="19">
        <f>IF($V9227&lt;&gt;'設定'!$C$4,N(U9226),IF(OR(NOT(COUNTIF('商品マスタ'!$B$6:$B$1005,$W9227)=0),COUNTIFS('①在庫を貼る'!$V$6:$V$10005,$V9227,'①在庫を貼る'!$W$6:$W$10005,$W9227)&gt;0),N(U9226),N(U9226)+1))</f>
        <v/>
      </c>
      <c r="V9227" s="19">
        <f>IF($B9227="","",TEXT($B9227,"0000"))</f>
        <v/>
      </c>
      <c r="W9227" s="19">
        <f>IF($I9227="","",IF(ISNUMBER($I9227),TEXT($I9227,"0"),$I9227))</f>
        <v/>
      </c>
    </row>
    <row r="9228">
      <c r="B9228" s="25" t="n"/>
      <c r="I9228" s="25" t="n"/>
      <c r="U9228" s="19">
        <f>IF($V9228&lt;&gt;'設定'!$C$4,N(U9227),IF(OR(NOT(COUNTIF('商品マスタ'!$B$6:$B$1005,$W9228)=0),COUNTIFS('①在庫を貼る'!$V$6:$V$10005,$V9228,'①在庫を貼る'!$W$6:$W$10005,$W9228)&gt;0),N(U9227),N(U9227)+1))</f>
        <v/>
      </c>
      <c r="V9228" s="19">
        <f>IF($B9228="","",TEXT($B9228,"0000"))</f>
        <v/>
      </c>
      <c r="W9228" s="19">
        <f>IF($I9228="","",IF(ISNUMBER($I9228),TEXT($I9228,"0"),$I9228))</f>
        <v/>
      </c>
    </row>
    <row r="9229">
      <c r="B9229" s="25" t="n"/>
      <c r="I9229" s="25" t="n"/>
      <c r="U9229" s="19">
        <f>IF($V9229&lt;&gt;'設定'!$C$4,N(U9228),IF(OR(NOT(COUNTIF('商品マスタ'!$B$6:$B$1005,$W9229)=0),COUNTIFS('①在庫を貼る'!$V$6:$V$10005,$V9229,'①在庫を貼る'!$W$6:$W$10005,$W9229)&gt;0),N(U9228),N(U9228)+1))</f>
        <v/>
      </c>
      <c r="V9229" s="19">
        <f>IF($B9229="","",TEXT($B9229,"0000"))</f>
        <v/>
      </c>
      <c r="W9229" s="19">
        <f>IF($I9229="","",IF(ISNUMBER($I9229),TEXT($I9229,"0"),$I9229))</f>
        <v/>
      </c>
    </row>
    <row r="9230">
      <c r="B9230" s="25" t="n"/>
      <c r="I9230" s="25" t="n"/>
      <c r="U9230" s="19">
        <f>IF($V9230&lt;&gt;'設定'!$C$4,N(U9229),IF(OR(NOT(COUNTIF('商品マスタ'!$B$6:$B$1005,$W9230)=0),COUNTIFS('①在庫を貼る'!$V$6:$V$10005,$V9230,'①在庫を貼る'!$W$6:$W$10005,$W9230)&gt;0),N(U9229),N(U9229)+1))</f>
        <v/>
      </c>
      <c r="V9230" s="19">
        <f>IF($B9230="","",TEXT($B9230,"0000"))</f>
        <v/>
      </c>
      <c r="W9230" s="19">
        <f>IF($I9230="","",IF(ISNUMBER($I9230),TEXT($I9230,"0"),$I9230))</f>
        <v/>
      </c>
    </row>
    <row r="9231">
      <c r="B9231" s="25" t="n"/>
      <c r="I9231" s="25" t="n"/>
      <c r="U9231" s="19">
        <f>IF($V9231&lt;&gt;'設定'!$C$4,N(U9230),IF(OR(NOT(COUNTIF('商品マスタ'!$B$6:$B$1005,$W9231)=0),COUNTIFS('①在庫を貼る'!$V$6:$V$10005,$V9231,'①在庫を貼る'!$W$6:$W$10005,$W9231)&gt;0),N(U9230),N(U9230)+1))</f>
        <v/>
      </c>
      <c r="V9231" s="19">
        <f>IF($B9231="","",TEXT($B9231,"0000"))</f>
        <v/>
      </c>
      <c r="W9231" s="19">
        <f>IF($I9231="","",IF(ISNUMBER($I9231),TEXT($I9231,"0"),$I9231))</f>
        <v/>
      </c>
    </row>
    <row r="9232">
      <c r="B9232" s="25" t="n"/>
      <c r="I9232" s="25" t="n"/>
      <c r="U9232" s="19">
        <f>IF($V9232&lt;&gt;'設定'!$C$4,N(U9231),IF(OR(NOT(COUNTIF('商品マスタ'!$B$6:$B$1005,$W9232)=0),COUNTIFS('①在庫を貼る'!$V$6:$V$10005,$V9232,'①在庫を貼る'!$W$6:$W$10005,$W9232)&gt;0),N(U9231),N(U9231)+1))</f>
        <v/>
      </c>
      <c r="V9232" s="19">
        <f>IF($B9232="","",TEXT($B9232,"0000"))</f>
        <v/>
      </c>
      <c r="W9232" s="19">
        <f>IF($I9232="","",IF(ISNUMBER($I9232),TEXT($I9232,"0"),$I9232))</f>
        <v/>
      </c>
    </row>
    <row r="9233">
      <c r="B9233" s="25" t="n"/>
      <c r="I9233" s="25" t="n"/>
      <c r="U9233" s="19">
        <f>IF($V9233&lt;&gt;'設定'!$C$4,N(U9232),IF(OR(NOT(COUNTIF('商品マスタ'!$B$6:$B$1005,$W9233)=0),COUNTIFS('①在庫を貼る'!$V$6:$V$10005,$V9233,'①在庫を貼る'!$W$6:$W$10005,$W9233)&gt;0),N(U9232),N(U9232)+1))</f>
        <v/>
      </c>
      <c r="V9233" s="19">
        <f>IF($B9233="","",TEXT($B9233,"0000"))</f>
        <v/>
      </c>
      <c r="W9233" s="19">
        <f>IF($I9233="","",IF(ISNUMBER($I9233),TEXT($I9233,"0"),$I9233))</f>
        <v/>
      </c>
    </row>
    <row r="9234">
      <c r="B9234" s="25" t="n"/>
      <c r="I9234" s="25" t="n"/>
      <c r="U9234" s="19">
        <f>IF($V9234&lt;&gt;'設定'!$C$4,N(U9233),IF(OR(NOT(COUNTIF('商品マスタ'!$B$6:$B$1005,$W9234)=0),COUNTIFS('①在庫を貼る'!$V$6:$V$10005,$V9234,'①在庫を貼る'!$W$6:$W$10005,$W9234)&gt;0),N(U9233),N(U9233)+1))</f>
        <v/>
      </c>
      <c r="V9234" s="19">
        <f>IF($B9234="","",TEXT($B9234,"0000"))</f>
        <v/>
      </c>
      <c r="W9234" s="19">
        <f>IF($I9234="","",IF(ISNUMBER($I9234),TEXT($I9234,"0"),$I9234))</f>
        <v/>
      </c>
    </row>
    <row r="9235">
      <c r="B9235" s="25" t="n"/>
      <c r="I9235" s="25" t="n"/>
      <c r="U9235" s="19">
        <f>IF($V9235&lt;&gt;'設定'!$C$4,N(U9234),IF(OR(NOT(COUNTIF('商品マスタ'!$B$6:$B$1005,$W9235)=0),COUNTIFS('①在庫を貼る'!$V$6:$V$10005,$V9235,'①在庫を貼る'!$W$6:$W$10005,$W9235)&gt;0),N(U9234),N(U9234)+1))</f>
        <v/>
      </c>
      <c r="V9235" s="19">
        <f>IF($B9235="","",TEXT($B9235,"0000"))</f>
        <v/>
      </c>
      <c r="W9235" s="19">
        <f>IF($I9235="","",IF(ISNUMBER($I9235),TEXT($I9235,"0"),$I9235))</f>
        <v/>
      </c>
    </row>
    <row r="9236">
      <c r="B9236" s="25" t="n"/>
      <c r="I9236" s="25" t="n"/>
      <c r="U9236" s="19">
        <f>IF($V9236&lt;&gt;'設定'!$C$4,N(U9235),IF(OR(NOT(COUNTIF('商品マスタ'!$B$6:$B$1005,$W9236)=0),COUNTIFS('①在庫を貼る'!$V$6:$V$10005,$V9236,'①在庫を貼る'!$W$6:$W$10005,$W9236)&gt;0),N(U9235),N(U9235)+1))</f>
        <v/>
      </c>
      <c r="V9236" s="19">
        <f>IF($B9236="","",TEXT($B9236,"0000"))</f>
        <v/>
      </c>
      <c r="W9236" s="19">
        <f>IF($I9236="","",IF(ISNUMBER($I9236),TEXT($I9236,"0"),$I9236))</f>
        <v/>
      </c>
    </row>
    <row r="9237">
      <c r="B9237" s="25" t="n"/>
      <c r="I9237" s="25" t="n"/>
      <c r="U9237" s="19">
        <f>IF($V9237&lt;&gt;'設定'!$C$4,N(U9236),IF(OR(NOT(COUNTIF('商品マスタ'!$B$6:$B$1005,$W9237)=0),COUNTIFS('①在庫を貼る'!$V$6:$V$10005,$V9237,'①在庫を貼る'!$W$6:$W$10005,$W9237)&gt;0),N(U9236),N(U9236)+1))</f>
        <v/>
      </c>
      <c r="V9237" s="19">
        <f>IF($B9237="","",TEXT($B9237,"0000"))</f>
        <v/>
      </c>
      <c r="W9237" s="19">
        <f>IF($I9237="","",IF(ISNUMBER($I9237),TEXT($I9237,"0"),$I9237))</f>
        <v/>
      </c>
    </row>
    <row r="9238">
      <c r="B9238" s="25" t="n"/>
      <c r="I9238" s="25" t="n"/>
      <c r="U9238" s="19">
        <f>IF($V9238&lt;&gt;'設定'!$C$4,N(U9237),IF(OR(NOT(COUNTIF('商品マスタ'!$B$6:$B$1005,$W9238)=0),COUNTIFS('①在庫を貼る'!$V$6:$V$10005,$V9238,'①在庫を貼る'!$W$6:$W$10005,$W9238)&gt;0),N(U9237),N(U9237)+1))</f>
        <v/>
      </c>
      <c r="V9238" s="19">
        <f>IF($B9238="","",TEXT($B9238,"0000"))</f>
        <v/>
      </c>
      <c r="W9238" s="19">
        <f>IF($I9238="","",IF(ISNUMBER($I9238),TEXT($I9238,"0"),$I9238))</f>
        <v/>
      </c>
    </row>
    <row r="9239">
      <c r="B9239" s="25" t="n"/>
      <c r="I9239" s="25" t="n"/>
      <c r="U9239" s="19">
        <f>IF($V9239&lt;&gt;'設定'!$C$4,N(U9238),IF(OR(NOT(COUNTIF('商品マスタ'!$B$6:$B$1005,$W9239)=0),COUNTIFS('①在庫を貼る'!$V$6:$V$10005,$V9239,'①在庫を貼る'!$W$6:$W$10005,$W9239)&gt;0),N(U9238),N(U9238)+1))</f>
        <v/>
      </c>
      <c r="V9239" s="19">
        <f>IF($B9239="","",TEXT($B9239,"0000"))</f>
        <v/>
      </c>
      <c r="W9239" s="19">
        <f>IF($I9239="","",IF(ISNUMBER($I9239),TEXT($I9239,"0"),$I9239))</f>
        <v/>
      </c>
    </row>
    <row r="9240">
      <c r="B9240" s="25" t="n"/>
      <c r="I9240" s="25" t="n"/>
      <c r="U9240" s="19">
        <f>IF($V9240&lt;&gt;'設定'!$C$4,N(U9239),IF(OR(NOT(COUNTIF('商品マスタ'!$B$6:$B$1005,$W9240)=0),COUNTIFS('①在庫を貼る'!$V$6:$V$10005,$V9240,'①在庫を貼る'!$W$6:$W$10005,$W9240)&gt;0),N(U9239),N(U9239)+1))</f>
        <v/>
      </c>
      <c r="V9240" s="19">
        <f>IF($B9240="","",TEXT($B9240,"0000"))</f>
        <v/>
      </c>
      <c r="W9240" s="19">
        <f>IF($I9240="","",IF(ISNUMBER($I9240),TEXT($I9240,"0"),$I9240))</f>
        <v/>
      </c>
    </row>
    <row r="9241">
      <c r="B9241" s="25" t="n"/>
      <c r="I9241" s="25" t="n"/>
      <c r="U9241" s="19">
        <f>IF($V9241&lt;&gt;'設定'!$C$4,N(U9240),IF(OR(NOT(COUNTIF('商品マスタ'!$B$6:$B$1005,$W9241)=0),COUNTIFS('①在庫を貼る'!$V$6:$V$10005,$V9241,'①在庫を貼る'!$W$6:$W$10005,$W9241)&gt;0),N(U9240),N(U9240)+1))</f>
        <v/>
      </c>
      <c r="V9241" s="19">
        <f>IF($B9241="","",TEXT($B9241,"0000"))</f>
        <v/>
      </c>
      <c r="W9241" s="19">
        <f>IF($I9241="","",IF(ISNUMBER($I9241),TEXT($I9241,"0"),$I9241))</f>
        <v/>
      </c>
    </row>
    <row r="9242">
      <c r="B9242" s="25" t="n"/>
      <c r="I9242" s="25" t="n"/>
      <c r="U9242" s="19">
        <f>IF($V9242&lt;&gt;'設定'!$C$4,N(U9241),IF(OR(NOT(COUNTIF('商品マスタ'!$B$6:$B$1005,$W9242)=0),COUNTIFS('①在庫を貼る'!$V$6:$V$10005,$V9242,'①在庫を貼る'!$W$6:$W$10005,$W9242)&gt;0),N(U9241),N(U9241)+1))</f>
        <v/>
      </c>
      <c r="V9242" s="19">
        <f>IF($B9242="","",TEXT($B9242,"0000"))</f>
        <v/>
      </c>
      <c r="W9242" s="19">
        <f>IF($I9242="","",IF(ISNUMBER($I9242),TEXT($I9242,"0"),$I9242))</f>
        <v/>
      </c>
    </row>
    <row r="9243">
      <c r="B9243" s="25" t="n"/>
      <c r="I9243" s="25" t="n"/>
      <c r="U9243" s="19">
        <f>IF($V9243&lt;&gt;'設定'!$C$4,N(U9242),IF(OR(NOT(COUNTIF('商品マスタ'!$B$6:$B$1005,$W9243)=0),COUNTIFS('①在庫を貼る'!$V$6:$V$10005,$V9243,'①在庫を貼る'!$W$6:$W$10005,$W9243)&gt;0),N(U9242),N(U9242)+1))</f>
        <v/>
      </c>
      <c r="V9243" s="19">
        <f>IF($B9243="","",TEXT($B9243,"0000"))</f>
        <v/>
      </c>
      <c r="W9243" s="19">
        <f>IF($I9243="","",IF(ISNUMBER($I9243),TEXT($I9243,"0"),$I9243))</f>
        <v/>
      </c>
    </row>
    <row r="9244">
      <c r="B9244" s="25" t="n"/>
      <c r="I9244" s="25" t="n"/>
      <c r="U9244" s="19">
        <f>IF($V9244&lt;&gt;'設定'!$C$4,N(U9243),IF(OR(NOT(COUNTIF('商品マスタ'!$B$6:$B$1005,$W9244)=0),COUNTIFS('①在庫を貼る'!$V$6:$V$10005,$V9244,'①在庫を貼る'!$W$6:$W$10005,$W9244)&gt;0),N(U9243),N(U9243)+1))</f>
        <v/>
      </c>
      <c r="V9244" s="19">
        <f>IF($B9244="","",TEXT($B9244,"0000"))</f>
        <v/>
      </c>
      <c r="W9244" s="19">
        <f>IF($I9244="","",IF(ISNUMBER($I9244),TEXT($I9244,"0"),$I9244))</f>
        <v/>
      </c>
    </row>
    <row r="9245">
      <c r="B9245" s="25" t="n"/>
      <c r="I9245" s="25" t="n"/>
      <c r="U9245" s="19">
        <f>IF($V9245&lt;&gt;'設定'!$C$4,N(U9244),IF(OR(NOT(COUNTIF('商品マスタ'!$B$6:$B$1005,$W9245)=0),COUNTIFS('①在庫を貼る'!$V$6:$V$10005,$V9245,'①在庫を貼る'!$W$6:$W$10005,$W9245)&gt;0),N(U9244),N(U9244)+1))</f>
        <v/>
      </c>
      <c r="V9245" s="19">
        <f>IF($B9245="","",TEXT($B9245,"0000"))</f>
        <v/>
      </c>
      <c r="W9245" s="19">
        <f>IF($I9245="","",IF(ISNUMBER($I9245),TEXT($I9245,"0"),$I9245))</f>
        <v/>
      </c>
    </row>
    <row r="9246">
      <c r="B9246" s="25" t="n"/>
      <c r="I9246" s="25" t="n"/>
      <c r="U9246" s="19">
        <f>IF($V9246&lt;&gt;'設定'!$C$4,N(U9245),IF(OR(NOT(COUNTIF('商品マスタ'!$B$6:$B$1005,$W9246)=0),COUNTIFS('①在庫を貼る'!$V$6:$V$10005,$V9246,'①在庫を貼る'!$W$6:$W$10005,$W9246)&gt;0),N(U9245),N(U9245)+1))</f>
        <v/>
      </c>
      <c r="V9246" s="19">
        <f>IF($B9246="","",TEXT($B9246,"0000"))</f>
        <v/>
      </c>
      <c r="W9246" s="19">
        <f>IF($I9246="","",IF(ISNUMBER($I9246),TEXT($I9246,"0"),$I9246))</f>
        <v/>
      </c>
    </row>
    <row r="9247">
      <c r="B9247" s="25" t="n"/>
      <c r="I9247" s="25" t="n"/>
      <c r="U9247" s="19">
        <f>IF($V9247&lt;&gt;'設定'!$C$4,N(U9246),IF(OR(NOT(COUNTIF('商品マスタ'!$B$6:$B$1005,$W9247)=0),COUNTIFS('①在庫を貼る'!$V$6:$V$10005,$V9247,'①在庫を貼る'!$W$6:$W$10005,$W9247)&gt;0),N(U9246),N(U9246)+1))</f>
        <v/>
      </c>
      <c r="V9247" s="19">
        <f>IF($B9247="","",TEXT($B9247,"0000"))</f>
        <v/>
      </c>
      <c r="W9247" s="19">
        <f>IF($I9247="","",IF(ISNUMBER($I9247),TEXT($I9247,"0"),$I9247))</f>
        <v/>
      </c>
    </row>
    <row r="9248">
      <c r="B9248" s="25" t="n"/>
      <c r="I9248" s="25" t="n"/>
      <c r="U9248" s="19">
        <f>IF($V9248&lt;&gt;'設定'!$C$4,N(U9247),IF(OR(NOT(COUNTIF('商品マスタ'!$B$6:$B$1005,$W9248)=0),COUNTIFS('①在庫を貼る'!$V$6:$V$10005,$V9248,'①在庫を貼る'!$W$6:$W$10005,$W9248)&gt;0),N(U9247),N(U9247)+1))</f>
        <v/>
      </c>
      <c r="V9248" s="19">
        <f>IF($B9248="","",TEXT($B9248,"0000"))</f>
        <v/>
      </c>
      <c r="W9248" s="19">
        <f>IF($I9248="","",IF(ISNUMBER($I9248),TEXT($I9248,"0"),$I9248))</f>
        <v/>
      </c>
    </row>
    <row r="9249">
      <c r="B9249" s="25" t="n"/>
      <c r="I9249" s="25" t="n"/>
      <c r="U9249" s="19">
        <f>IF($V9249&lt;&gt;'設定'!$C$4,N(U9248),IF(OR(NOT(COUNTIF('商品マスタ'!$B$6:$B$1005,$W9249)=0),COUNTIFS('①在庫を貼る'!$V$6:$V$10005,$V9249,'①在庫を貼る'!$W$6:$W$10005,$W9249)&gt;0),N(U9248),N(U9248)+1))</f>
        <v/>
      </c>
      <c r="V9249" s="19">
        <f>IF($B9249="","",TEXT($B9249,"0000"))</f>
        <v/>
      </c>
      <c r="W9249" s="19">
        <f>IF($I9249="","",IF(ISNUMBER($I9249),TEXT($I9249,"0"),$I9249))</f>
        <v/>
      </c>
    </row>
    <row r="9250">
      <c r="B9250" s="25" t="n"/>
      <c r="I9250" s="25" t="n"/>
      <c r="U9250" s="19">
        <f>IF($V9250&lt;&gt;'設定'!$C$4,N(U9249),IF(OR(NOT(COUNTIF('商品マスタ'!$B$6:$B$1005,$W9250)=0),COUNTIFS('①在庫を貼る'!$V$6:$V$10005,$V9250,'①在庫を貼る'!$W$6:$W$10005,$W9250)&gt;0),N(U9249),N(U9249)+1))</f>
        <v/>
      </c>
      <c r="V9250" s="19">
        <f>IF($B9250="","",TEXT($B9250,"0000"))</f>
        <v/>
      </c>
      <c r="W9250" s="19">
        <f>IF($I9250="","",IF(ISNUMBER($I9250),TEXT($I9250,"0"),$I9250))</f>
        <v/>
      </c>
    </row>
    <row r="9251">
      <c r="B9251" s="25" t="n"/>
      <c r="I9251" s="25" t="n"/>
      <c r="U9251" s="19">
        <f>IF($V9251&lt;&gt;'設定'!$C$4,N(U9250),IF(OR(NOT(COUNTIF('商品マスタ'!$B$6:$B$1005,$W9251)=0),COUNTIFS('①在庫を貼る'!$V$6:$V$10005,$V9251,'①在庫を貼る'!$W$6:$W$10005,$W9251)&gt;0),N(U9250),N(U9250)+1))</f>
        <v/>
      </c>
      <c r="V9251" s="19">
        <f>IF($B9251="","",TEXT($B9251,"0000"))</f>
        <v/>
      </c>
      <c r="W9251" s="19">
        <f>IF($I9251="","",IF(ISNUMBER($I9251),TEXT($I9251,"0"),$I9251))</f>
        <v/>
      </c>
    </row>
    <row r="9252">
      <c r="B9252" s="25" t="n"/>
      <c r="I9252" s="25" t="n"/>
      <c r="U9252" s="19">
        <f>IF($V9252&lt;&gt;'設定'!$C$4,N(U9251),IF(OR(NOT(COUNTIF('商品マスタ'!$B$6:$B$1005,$W9252)=0),COUNTIFS('①在庫を貼る'!$V$6:$V$10005,$V9252,'①在庫を貼る'!$W$6:$W$10005,$W9252)&gt;0),N(U9251),N(U9251)+1))</f>
        <v/>
      </c>
      <c r="V9252" s="19">
        <f>IF($B9252="","",TEXT($B9252,"0000"))</f>
        <v/>
      </c>
      <c r="W9252" s="19">
        <f>IF($I9252="","",IF(ISNUMBER($I9252),TEXT($I9252,"0"),$I9252))</f>
        <v/>
      </c>
    </row>
    <row r="9253">
      <c r="B9253" s="25" t="n"/>
      <c r="I9253" s="25" t="n"/>
      <c r="U9253" s="19">
        <f>IF($V9253&lt;&gt;'設定'!$C$4,N(U9252),IF(OR(NOT(COUNTIF('商品マスタ'!$B$6:$B$1005,$W9253)=0),COUNTIFS('①在庫を貼る'!$V$6:$V$10005,$V9253,'①在庫を貼る'!$W$6:$W$10005,$W9253)&gt;0),N(U9252),N(U9252)+1))</f>
        <v/>
      </c>
      <c r="V9253" s="19">
        <f>IF($B9253="","",TEXT($B9253,"0000"))</f>
        <v/>
      </c>
      <c r="W9253" s="19">
        <f>IF($I9253="","",IF(ISNUMBER($I9253),TEXT($I9253,"0"),$I9253))</f>
        <v/>
      </c>
    </row>
    <row r="9254">
      <c r="B9254" s="25" t="n"/>
      <c r="I9254" s="25" t="n"/>
      <c r="U9254" s="19">
        <f>IF($V9254&lt;&gt;'設定'!$C$4,N(U9253),IF(OR(NOT(COUNTIF('商品マスタ'!$B$6:$B$1005,$W9254)=0),COUNTIFS('①在庫を貼る'!$V$6:$V$10005,$V9254,'①在庫を貼る'!$W$6:$W$10005,$W9254)&gt;0),N(U9253),N(U9253)+1))</f>
        <v/>
      </c>
      <c r="V9254" s="19">
        <f>IF($B9254="","",TEXT($B9254,"0000"))</f>
        <v/>
      </c>
      <c r="W9254" s="19">
        <f>IF($I9254="","",IF(ISNUMBER($I9254),TEXT($I9254,"0"),$I9254))</f>
        <v/>
      </c>
    </row>
    <row r="9255">
      <c r="B9255" s="25" t="n"/>
      <c r="I9255" s="25" t="n"/>
      <c r="U9255" s="19">
        <f>IF($V9255&lt;&gt;'設定'!$C$4,N(U9254),IF(OR(NOT(COUNTIF('商品マスタ'!$B$6:$B$1005,$W9255)=0),COUNTIFS('①在庫を貼る'!$V$6:$V$10005,$V9255,'①在庫を貼る'!$W$6:$W$10005,$W9255)&gt;0),N(U9254),N(U9254)+1))</f>
        <v/>
      </c>
      <c r="V9255" s="19">
        <f>IF($B9255="","",TEXT($B9255,"0000"))</f>
        <v/>
      </c>
      <c r="W9255" s="19">
        <f>IF($I9255="","",IF(ISNUMBER($I9255),TEXT($I9255,"0"),$I9255))</f>
        <v/>
      </c>
    </row>
    <row r="9256">
      <c r="B9256" s="25" t="n"/>
      <c r="I9256" s="25" t="n"/>
      <c r="U9256" s="19">
        <f>IF($V9256&lt;&gt;'設定'!$C$4,N(U9255),IF(OR(NOT(COUNTIF('商品マスタ'!$B$6:$B$1005,$W9256)=0),COUNTIFS('①在庫を貼る'!$V$6:$V$10005,$V9256,'①在庫を貼る'!$W$6:$W$10005,$W9256)&gt;0),N(U9255),N(U9255)+1))</f>
        <v/>
      </c>
      <c r="V9256" s="19">
        <f>IF($B9256="","",TEXT($B9256,"0000"))</f>
        <v/>
      </c>
      <c r="W9256" s="19">
        <f>IF($I9256="","",IF(ISNUMBER($I9256),TEXT($I9256,"0"),$I9256))</f>
        <v/>
      </c>
    </row>
    <row r="9257">
      <c r="B9257" s="25" t="n"/>
      <c r="I9257" s="25" t="n"/>
      <c r="U9257" s="19">
        <f>IF($V9257&lt;&gt;'設定'!$C$4,N(U9256),IF(OR(NOT(COUNTIF('商品マスタ'!$B$6:$B$1005,$W9257)=0),COUNTIFS('①在庫を貼る'!$V$6:$V$10005,$V9257,'①在庫を貼る'!$W$6:$W$10005,$W9257)&gt;0),N(U9256),N(U9256)+1))</f>
        <v/>
      </c>
      <c r="V9257" s="19">
        <f>IF($B9257="","",TEXT($B9257,"0000"))</f>
        <v/>
      </c>
      <c r="W9257" s="19">
        <f>IF($I9257="","",IF(ISNUMBER($I9257),TEXT($I9257,"0"),$I9257))</f>
        <v/>
      </c>
    </row>
    <row r="9258">
      <c r="B9258" s="25" t="n"/>
      <c r="I9258" s="25" t="n"/>
      <c r="U9258" s="19">
        <f>IF($V9258&lt;&gt;'設定'!$C$4,N(U9257),IF(OR(NOT(COUNTIF('商品マスタ'!$B$6:$B$1005,$W9258)=0),COUNTIFS('①在庫を貼る'!$V$6:$V$10005,$V9258,'①在庫を貼る'!$W$6:$W$10005,$W9258)&gt;0),N(U9257),N(U9257)+1))</f>
        <v/>
      </c>
      <c r="V9258" s="19">
        <f>IF($B9258="","",TEXT($B9258,"0000"))</f>
        <v/>
      </c>
      <c r="W9258" s="19">
        <f>IF($I9258="","",IF(ISNUMBER($I9258),TEXT($I9258,"0"),$I9258))</f>
        <v/>
      </c>
    </row>
    <row r="9259">
      <c r="B9259" s="25" t="n"/>
      <c r="I9259" s="25" t="n"/>
      <c r="U9259" s="19">
        <f>IF($V9259&lt;&gt;'設定'!$C$4,N(U9258),IF(OR(NOT(COUNTIF('商品マスタ'!$B$6:$B$1005,$W9259)=0),COUNTIFS('①在庫を貼る'!$V$6:$V$10005,$V9259,'①在庫を貼る'!$W$6:$W$10005,$W9259)&gt;0),N(U9258),N(U9258)+1))</f>
        <v/>
      </c>
      <c r="V9259" s="19">
        <f>IF($B9259="","",TEXT($B9259,"0000"))</f>
        <v/>
      </c>
      <c r="W9259" s="19">
        <f>IF($I9259="","",IF(ISNUMBER($I9259),TEXT($I9259,"0"),$I9259))</f>
        <v/>
      </c>
    </row>
    <row r="9260">
      <c r="B9260" s="25" t="n"/>
      <c r="I9260" s="25" t="n"/>
      <c r="U9260" s="19">
        <f>IF($V9260&lt;&gt;'設定'!$C$4,N(U9259),IF(OR(NOT(COUNTIF('商品マスタ'!$B$6:$B$1005,$W9260)=0),COUNTIFS('①在庫を貼る'!$V$6:$V$10005,$V9260,'①在庫を貼る'!$W$6:$W$10005,$W9260)&gt;0),N(U9259),N(U9259)+1))</f>
        <v/>
      </c>
      <c r="V9260" s="19">
        <f>IF($B9260="","",TEXT($B9260,"0000"))</f>
        <v/>
      </c>
      <c r="W9260" s="19">
        <f>IF($I9260="","",IF(ISNUMBER($I9260),TEXT($I9260,"0"),$I9260))</f>
        <v/>
      </c>
    </row>
    <row r="9261">
      <c r="B9261" s="25" t="n"/>
      <c r="I9261" s="25" t="n"/>
      <c r="U9261" s="19">
        <f>IF($V9261&lt;&gt;'設定'!$C$4,N(U9260),IF(OR(NOT(COUNTIF('商品マスタ'!$B$6:$B$1005,$W9261)=0),COUNTIFS('①在庫を貼る'!$V$6:$V$10005,$V9261,'①在庫を貼る'!$W$6:$W$10005,$W9261)&gt;0),N(U9260),N(U9260)+1))</f>
        <v/>
      </c>
      <c r="V9261" s="19">
        <f>IF($B9261="","",TEXT($B9261,"0000"))</f>
        <v/>
      </c>
      <c r="W9261" s="19">
        <f>IF($I9261="","",IF(ISNUMBER($I9261),TEXT($I9261,"0"),$I9261))</f>
        <v/>
      </c>
    </row>
    <row r="9262">
      <c r="B9262" s="25" t="n"/>
      <c r="I9262" s="25" t="n"/>
      <c r="U9262" s="19">
        <f>IF($V9262&lt;&gt;'設定'!$C$4,N(U9261),IF(OR(NOT(COUNTIF('商品マスタ'!$B$6:$B$1005,$W9262)=0),COUNTIFS('①在庫を貼る'!$V$6:$V$10005,$V9262,'①在庫を貼る'!$W$6:$W$10005,$W9262)&gt;0),N(U9261),N(U9261)+1))</f>
        <v/>
      </c>
      <c r="V9262" s="19">
        <f>IF($B9262="","",TEXT($B9262,"0000"))</f>
        <v/>
      </c>
      <c r="W9262" s="19">
        <f>IF($I9262="","",IF(ISNUMBER($I9262),TEXT($I9262,"0"),$I9262))</f>
        <v/>
      </c>
    </row>
    <row r="9263">
      <c r="B9263" s="25" t="n"/>
      <c r="I9263" s="25" t="n"/>
      <c r="U9263" s="19">
        <f>IF($V9263&lt;&gt;'設定'!$C$4,N(U9262),IF(OR(NOT(COUNTIF('商品マスタ'!$B$6:$B$1005,$W9263)=0),COUNTIFS('①在庫を貼る'!$V$6:$V$10005,$V9263,'①在庫を貼る'!$W$6:$W$10005,$W9263)&gt;0),N(U9262),N(U9262)+1))</f>
        <v/>
      </c>
      <c r="V9263" s="19">
        <f>IF($B9263="","",TEXT($B9263,"0000"))</f>
        <v/>
      </c>
      <c r="W9263" s="19">
        <f>IF($I9263="","",IF(ISNUMBER($I9263),TEXT($I9263,"0"),$I9263))</f>
        <v/>
      </c>
    </row>
    <row r="9264">
      <c r="B9264" s="25" t="n"/>
      <c r="I9264" s="25" t="n"/>
      <c r="U9264" s="19">
        <f>IF($V9264&lt;&gt;'設定'!$C$4,N(U9263),IF(OR(NOT(COUNTIF('商品マスタ'!$B$6:$B$1005,$W9264)=0),COUNTIFS('①在庫を貼る'!$V$6:$V$10005,$V9264,'①在庫を貼る'!$W$6:$W$10005,$W9264)&gt;0),N(U9263),N(U9263)+1))</f>
        <v/>
      </c>
      <c r="V9264" s="19">
        <f>IF($B9264="","",TEXT($B9264,"0000"))</f>
        <v/>
      </c>
      <c r="W9264" s="19">
        <f>IF($I9264="","",IF(ISNUMBER($I9264),TEXT($I9264,"0"),$I9264))</f>
        <v/>
      </c>
    </row>
    <row r="9265">
      <c r="B9265" s="25" t="n"/>
      <c r="I9265" s="25" t="n"/>
      <c r="U9265" s="19">
        <f>IF($V9265&lt;&gt;'設定'!$C$4,N(U9264),IF(OR(NOT(COUNTIF('商品マスタ'!$B$6:$B$1005,$W9265)=0),COUNTIFS('①在庫を貼る'!$V$6:$V$10005,$V9265,'①在庫を貼る'!$W$6:$W$10005,$W9265)&gt;0),N(U9264),N(U9264)+1))</f>
        <v/>
      </c>
      <c r="V9265" s="19">
        <f>IF($B9265="","",TEXT($B9265,"0000"))</f>
        <v/>
      </c>
      <c r="W9265" s="19">
        <f>IF($I9265="","",IF(ISNUMBER($I9265),TEXT($I9265,"0"),$I9265))</f>
        <v/>
      </c>
    </row>
    <row r="9266">
      <c r="B9266" s="25" t="n"/>
      <c r="I9266" s="25" t="n"/>
      <c r="U9266" s="19">
        <f>IF($V9266&lt;&gt;'設定'!$C$4,N(U9265),IF(OR(NOT(COUNTIF('商品マスタ'!$B$6:$B$1005,$W9266)=0),COUNTIFS('①在庫を貼る'!$V$6:$V$10005,$V9266,'①在庫を貼る'!$W$6:$W$10005,$W9266)&gt;0),N(U9265),N(U9265)+1))</f>
        <v/>
      </c>
      <c r="V9266" s="19">
        <f>IF($B9266="","",TEXT($B9266,"0000"))</f>
        <v/>
      </c>
      <c r="W9266" s="19">
        <f>IF($I9266="","",IF(ISNUMBER($I9266),TEXT($I9266,"0"),$I9266))</f>
        <v/>
      </c>
    </row>
    <row r="9267">
      <c r="B9267" s="25" t="n"/>
      <c r="I9267" s="25" t="n"/>
      <c r="U9267" s="19">
        <f>IF($V9267&lt;&gt;'設定'!$C$4,N(U9266),IF(OR(NOT(COUNTIF('商品マスタ'!$B$6:$B$1005,$W9267)=0),COUNTIFS('①在庫を貼る'!$V$6:$V$10005,$V9267,'①在庫を貼る'!$W$6:$W$10005,$W9267)&gt;0),N(U9266),N(U9266)+1))</f>
        <v/>
      </c>
      <c r="V9267" s="19">
        <f>IF($B9267="","",TEXT($B9267,"0000"))</f>
        <v/>
      </c>
      <c r="W9267" s="19">
        <f>IF($I9267="","",IF(ISNUMBER($I9267),TEXT($I9267,"0"),$I9267))</f>
        <v/>
      </c>
    </row>
    <row r="9268">
      <c r="B9268" s="25" t="n"/>
      <c r="I9268" s="25" t="n"/>
      <c r="U9268" s="19">
        <f>IF($V9268&lt;&gt;'設定'!$C$4,N(U9267),IF(OR(NOT(COUNTIF('商品マスタ'!$B$6:$B$1005,$W9268)=0),COUNTIFS('①在庫を貼る'!$V$6:$V$10005,$V9268,'①在庫を貼る'!$W$6:$W$10005,$W9268)&gt;0),N(U9267),N(U9267)+1))</f>
        <v/>
      </c>
      <c r="V9268" s="19">
        <f>IF($B9268="","",TEXT($B9268,"0000"))</f>
        <v/>
      </c>
      <c r="W9268" s="19">
        <f>IF($I9268="","",IF(ISNUMBER($I9268),TEXT($I9268,"0"),$I9268))</f>
        <v/>
      </c>
    </row>
    <row r="9269">
      <c r="B9269" s="25" t="n"/>
      <c r="I9269" s="25" t="n"/>
      <c r="U9269" s="19">
        <f>IF($V9269&lt;&gt;'設定'!$C$4,N(U9268),IF(OR(NOT(COUNTIF('商品マスタ'!$B$6:$B$1005,$W9269)=0),COUNTIFS('①在庫を貼る'!$V$6:$V$10005,$V9269,'①在庫を貼る'!$W$6:$W$10005,$W9269)&gt;0),N(U9268),N(U9268)+1))</f>
        <v/>
      </c>
      <c r="V9269" s="19">
        <f>IF($B9269="","",TEXT($B9269,"0000"))</f>
        <v/>
      </c>
      <c r="W9269" s="19">
        <f>IF($I9269="","",IF(ISNUMBER($I9269),TEXT($I9269,"0"),$I9269))</f>
        <v/>
      </c>
    </row>
    <row r="9270">
      <c r="B9270" s="25" t="n"/>
      <c r="I9270" s="25" t="n"/>
      <c r="U9270" s="19">
        <f>IF($V9270&lt;&gt;'設定'!$C$4,N(U9269),IF(OR(NOT(COUNTIF('商品マスタ'!$B$6:$B$1005,$W9270)=0),COUNTIFS('①在庫を貼る'!$V$6:$V$10005,$V9270,'①在庫を貼る'!$W$6:$W$10005,$W9270)&gt;0),N(U9269),N(U9269)+1))</f>
        <v/>
      </c>
      <c r="V9270" s="19">
        <f>IF($B9270="","",TEXT($B9270,"0000"))</f>
        <v/>
      </c>
      <c r="W9270" s="19">
        <f>IF($I9270="","",IF(ISNUMBER($I9270),TEXT($I9270,"0"),$I9270))</f>
        <v/>
      </c>
    </row>
    <row r="9271">
      <c r="B9271" s="25" t="n"/>
      <c r="I9271" s="25" t="n"/>
      <c r="U9271" s="19">
        <f>IF($V9271&lt;&gt;'設定'!$C$4,N(U9270),IF(OR(NOT(COUNTIF('商品マスタ'!$B$6:$B$1005,$W9271)=0),COUNTIFS('①在庫を貼る'!$V$6:$V$10005,$V9271,'①在庫を貼る'!$W$6:$W$10005,$W9271)&gt;0),N(U9270),N(U9270)+1))</f>
        <v/>
      </c>
      <c r="V9271" s="19">
        <f>IF($B9271="","",TEXT($B9271,"0000"))</f>
        <v/>
      </c>
      <c r="W9271" s="19">
        <f>IF($I9271="","",IF(ISNUMBER($I9271),TEXT($I9271,"0"),$I9271))</f>
        <v/>
      </c>
    </row>
    <row r="9272">
      <c r="B9272" s="25" t="n"/>
      <c r="I9272" s="25" t="n"/>
      <c r="U9272" s="19">
        <f>IF($V9272&lt;&gt;'設定'!$C$4,N(U9271),IF(OR(NOT(COUNTIF('商品マスタ'!$B$6:$B$1005,$W9272)=0),COUNTIFS('①在庫を貼る'!$V$6:$V$10005,$V9272,'①在庫を貼る'!$W$6:$W$10005,$W9272)&gt;0),N(U9271),N(U9271)+1))</f>
        <v/>
      </c>
      <c r="V9272" s="19">
        <f>IF($B9272="","",TEXT($B9272,"0000"))</f>
        <v/>
      </c>
      <c r="W9272" s="19">
        <f>IF($I9272="","",IF(ISNUMBER($I9272),TEXT($I9272,"0"),$I9272))</f>
        <v/>
      </c>
    </row>
    <row r="9273">
      <c r="B9273" s="25" t="n"/>
      <c r="I9273" s="25" t="n"/>
      <c r="U9273" s="19">
        <f>IF($V9273&lt;&gt;'設定'!$C$4,N(U9272),IF(OR(NOT(COUNTIF('商品マスタ'!$B$6:$B$1005,$W9273)=0),COUNTIFS('①在庫を貼る'!$V$6:$V$10005,$V9273,'①在庫を貼る'!$W$6:$W$10005,$W9273)&gt;0),N(U9272),N(U9272)+1))</f>
        <v/>
      </c>
      <c r="V9273" s="19">
        <f>IF($B9273="","",TEXT($B9273,"0000"))</f>
        <v/>
      </c>
      <c r="W9273" s="19">
        <f>IF($I9273="","",IF(ISNUMBER($I9273),TEXT($I9273,"0"),$I9273))</f>
        <v/>
      </c>
    </row>
    <row r="9274">
      <c r="B9274" s="25" t="n"/>
      <c r="I9274" s="25" t="n"/>
      <c r="U9274" s="19">
        <f>IF($V9274&lt;&gt;'設定'!$C$4,N(U9273),IF(OR(NOT(COUNTIF('商品マスタ'!$B$6:$B$1005,$W9274)=0),COUNTIFS('①在庫を貼る'!$V$6:$V$10005,$V9274,'①在庫を貼る'!$W$6:$W$10005,$W9274)&gt;0),N(U9273),N(U9273)+1))</f>
        <v/>
      </c>
      <c r="V9274" s="19">
        <f>IF($B9274="","",TEXT($B9274,"0000"))</f>
        <v/>
      </c>
      <c r="W9274" s="19">
        <f>IF($I9274="","",IF(ISNUMBER($I9274),TEXT($I9274,"0"),$I9274))</f>
        <v/>
      </c>
    </row>
    <row r="9275">
      <c r="B9275" s="25" t="n"/>
      <c r="I9275" s="25" t="n"/>
      <c r="U9275" s="19">
        <f>IF($V9275&lt;&gt;'設定'!$C$4,N(U9274),IF(OR(NOT(COUNTIF('商品マスタ'!$B$6:$B$1005,$W9275)=0),COUNTIFS('①在庫を貼る'!$V$6:$V$10005,$V9275,'①在庫を貼る'!$W$6:$W$10005,$W9275)&gt;0),N(U9274),N(U9274)+1))</f>
        <v/>
      </c>
      <c r="V9275" s="19">
        <f>IF($B9275="","",TEXT($B9275,"0000"))</f>
        <v/>
      </c>
      <c r="W9275" s="19">
        <f>IF($I9275="","",IF(ISNUMBER($I9275),TEXT($I9275,"0"),$I9275))</f>
        <v/>
      </c>
    </row>
    <row r="9276">
      <c r="B9276" s="25" t="n"/>
      <c r="I9276" s="25" t="n"/>
      <c r="U9276" s="19">
        <f>IF($V9276&lt;&gt;'設定'!$C$4,N(U9275),IF(OR(NOT(COUNTIF('商品マスタ'!$B$6:$B$1005,$W9276)=0),COUNTIFS('①在庫を貼る'!$V$6:$V$10005,$V9276,'①在庫を貼る'!$W$6:$W$10005,$W9276)&gt;0),N(U9275),N(U9275)+1))</f>
        <v/>
      </c>
      <c r="V9276" s="19">
        <f>IF($B9276="","",TEXT($B9276,"0000"))</f>
        <v/>
      </c>
      <c r="W9276" s="19">
        <f>IF($I9276="","",IF(ISNUMBER($I9276),TEXT($I9276,"0"),$I9276))</f>
        <v/>
      </c>
    </row>
    <row r="9277">
      <c r="B9277" s="25" t="n"/>
      <c r="I9277" s="25" t="n"/>
      <c r="U9277" s="19">
        <f>IF($V9277&lt;&gt;'設定'!$C$4,N(U9276),IF(OR(NOT(COUNTIF('商品マスタ'!$B$6:$B$1005,$W9277)=0),COUNTIFS('①在庫を貼る'!$V$6:$V$10005,$V9277,'①在庫を貼る'!$W$6:$W$10005,$W9277)&gt;0),N(U9276),N(U9276)+1))</f>
        <v/>
      </c>
      <c r="V9277" s="19">
        <f>IF($B9277="","",TEXT($B9277,"0000"))</f>
        <v/>
      </c>
      <c r="W9277" s="19">
        <f>IF($I9277="","",IF(ISNUMBER($I9277),TEXT($I9277,"0"),$I9277))</f>
        <v/>
      </c>
    </row>
    <row r="9278">
      <c r="B9278" s="25" t="n"/>
      <c r="I9278" s="25" t="n"/>
      <c r="U9278" s="19">
        <f>IF($V9278&lt;&gt;'設定'!$C$4,N(U9277),IF(OR(NOT(COUNTIF('商品マスタ'!$B$6:$B$1005,$W9278)=0),COUNTIFS('①在庫を貼る'!$V$6:$V$10005,$V9278,'①在庫を貼る'!$W$6:$W$10005,$W9278)&gt;0),N(U9277),N(U9277)+1))</f>
        <v/>
      </c>
      <c r="V9278" s="19">
        <f>IF($B9278="","",TEXT($B9278,"0000"))</f>
        <v/>
      </c>
      <c r="W9278" s="19">
        <f>IF($I9278="","",IF(ISNUMBER($I9278),TEXT($I9278,"0"),$I9278))</f>
        <v/>
      </c>
    </row>
    <row r="9279">
      <c r="B9279" s="25" t="n"/>
      <c r="I9279" s="25" t="n"/>
      <c r="U9279" s="19">
        <f>IF($V9279&lt;&gt;'設定'!$C$4,N(U9278),IF(OR(NOT(COUNTIF('商品マスタ'!$B$6:$B$1005,$W9279)=0),COUNTIFS('①在庫を貼る'!$V$6:$V$10005,$V9279,'①在庫を貼る'!$W$6:$W$10005,$W9279)&gt;0),N(U9278),N(U9278)+1))</f>
        <v/>
      </c>
      <c r="V9279" s="19">
        <f>IF($B9279="","",TEXT($B9279,"0000"))</f>
        <v/>
      </c>
      <c r="W9279" s="19">
        <f>IF($I9279="","",IF(ISNUMBER($I9279),TEXT($I9279,"0"),$I9279))</f>
        <v/>
      </c>
    </row>
    <row r="9280">
      <c r="B9280" s="25" t="n"/>
      <c r="I9280" s="25" t="n"/>
      <c r="U9280" s="19">
        <f>IF($V9280&lt;&gt;'設定'!$C$4,N(U9279),IF(OR(NOT(COUNTIF('商品マスタ'!$B$6:$B$1005,$W9280)=0),COUNTIFS('①在庫を貼る'!$V$6:$V$10005,$V9280,'①在庫を貼る'!$W$6:$W$10005,$W9280)&gt;0),N(U9279),N(U9279)+1))</f>
        <v/>
      </c>
      <c r="V9280" s="19">
        <f>IF($B9280="","",TEXT($B9280,"0000"))</f>
        <v/>
      </c>
      <c r="W9280" s="19">
        <f>IF($I9280="","",IF(ISNUMBER($I9280),TEXT($I9280,"0"),$I9280))</f>
        <v/>
      </c>
    </row>
    <row r="9281">
      <c r="B9281" s="25" t="n"/>
      <c r="I9281" s="25" t="n"/>
      <c r="U9281" s="19">
        <f>IF($V9281&lt;&gt;'設定'!$C$4,N(U9280),IF(OR(NOT(COUNTIF('商品マスタ'!$B$6:$B$1005,$W9281)=0),COUNTIFS('①在庫を貼る'!$V$6:$V$10005,$V9281,'①在庫を貼る'!$W$6:$W$10005,$W9281)&gt;0),N(U9280),N(U9280)+1))</f>
        <v/>
      </c>
      <c r="V9281" s="19">
        <f>IF($B9281="","",TEXT($B9281,"0000"))</f>
        <v/>
      </c>
      <c r="W9281" s="19">
        <f>IF($I9281="","",IF(ISNUMBER($I9281),TEXT($I9281,"0"),$I9281))</f>
        <v/>
      </c>
    </row>
    <row r="9282">
      <c r="B9282" s="25" t="n"/>
      <c r="I9282" s="25" t="n"/>
      <c r="U9282" s="19">
        <f>IF($V9282&lt;&gt;'設定'!$C$4,N(U9281),IF(OR(NOT(COUNTIF('商品マスタ'!$B$6:$B$1005,$W9282)=0),COUNTIFS('①在庫を貼る'!$V$6:$V$10005,$V9282,'①在庫を貼る'!$W$6:$W$10005,$W9282)&gt;0),N(U9281),N(U9281)+1))</f>
        <v/>
      </c>
      <c r="V9282" s="19">
        <f>IF($B9282="","",TEXT($B9282,"0000"))</f>
        <v/>
      </c>
      <c r="W9282" s="19">
        <f>IF($I9282="","",IF(ISNUMBER($I9282),TEXT($I9282,"0"),$I9282))</f>
        <v/>
      </c>
    </row>
    <row r="9283">
      <c r="B9283" s="25" t="n"/>
      <c r="I9283" s="25" t="n"/>
      <c r="U9283" s="19">
        <f>IF($V9283&lt;&gt;'設定'!$C$4,N(U9282),IF(OR(NOT(COUNTIF('商品マスタ'!$B$6:$B$1005,$W9283)=0),COUNTIFS('①在庫を貼る'!$V$6:$V$10005,$V9283,'①在庫を貼る'!$W$6:$W$10005,$W9283)&gt;0),N(U9282),N(U9282)+1))</f>
        <v/>
      </c>
      <c r="V9283" s="19">
        <f>IF($B9283="","",TEXT($B9283,"0000"))</f>
        <v/>
      </c>
      <c r="W9283" s="19">
        <f>IF($I9283="","",IF(ISNUMBER($I9283),TEXT($I9283,"0"),$I9283))</f>
        <v/>
      </c>
    </row>
    <row r="9284">
      <c r="B9284" s="25" t="n"/>
      <c r="I9284" s="25" t="n"/>
      <c r="U9284" s="19">
        <f>IF($V9284&lt;&gt;'設定'!$C$4,N(U9283),IF(OR(NOT(COUNTIF('商品マスタ'!$B$6:$B$1005,$W9284)=0),COUNTIFS('①在庫を貼る'!$V$6:$V$10005,$V9284,'①在庫を貼る'!$W$6:$W$10005,$W9284)&gt;0),N(U9283),N(U9283)+1))</f>
        <v/>
      </c>
      <c r="V9284" s="19">
        <f>IF($B9284="","",TEXT($B9284,"0000"))</f>
        <v/>
      </c>
      <c r="W9284" s="19">
        <f>IF($I9284="","",IF(ISNUMBER($I9284),TEXT($I9284,"0"),$I9284))</f>
        <v/>
      </c>
    </row>
    <row r="9285">
      <c r="B9285" s="25" t="n"/>
      <c r="I9285" s="25" t="n"/>
      <c r="U9285" s="19">
        <f>IF($V9285&lt;&gt;'設定'!$C$4,N(U9284),IF(OR(NOT(COUNTIF('商品マスタ'!$B$6:$B$1005,$W9285)=0),COUNTIFS('①在庫を貼る'!$V$6:$V$10005,$V9285,'①在庫を貼る'!$W$6:$W$10005,$W9285)&gt;0),N(U9284),N(U9284)+1))</f>
        <v/>
      </c>
      <c r="V9285" s="19">
        <f>IF($B9285="","",TEXT($B9285,"0000"))</f>
        <v/>
      </c>
      <c r="W9285" s="19">
        <f>IF($I9285="","",IF(ISNUMBER($I9285),TEXT($I9285,"0"),$I9285))</f>
        <v/>
      </c>
    </row>
    <row r="9286">
      <c r="B9286" s="25" t="n"/>
      <c r="I9286" s="25" t="n"/>
      <c r="U9286" s="19">
        <f>IF($V9286&lt;&gt;'設定'!$C$4,N(U9285),IF(OR(NOT(COUNTIF('商品マスタ'!$B$6:$B$1005,$W9286)=0),COUNTIFS('①在庫を貼る'!$V$6:$V$10005,$V9286,'①在庫を貼る'!$W$6:$W$10005,$W9286)&gt;0),N(U9285),N(U9285)+1))</f>
        <v/>
      </c>
      <c r="V9286" s="19">
        <f>IF($B9286="","",TEXT($B9286,"0000"))</f>
        <v/>
      </c>
      <c r="W9286" s="19">
        <f>IF($I9286="","",IF(ISNUMBER($I9286),TEXT($I9286,"0"),$I9286))</f>
        <v/>
      </c>
    </row>
    <row r="9287">
      <c r="B9287" s="25" t="n"/>
      <c r="I9287" s="25" t="n"/>
      <c r="U9287" s="19">
        <f>IF($V9287&lt;&gt;'設定'!$C$4,N(U9286),IF(OR(NOT(COUNTIF('商品マスタ'!$B$6:$B$1005,$W9287)=0),COUNTIFS('①在庫を貼る'!$V$6:$V$10005,$V9287,'①在庫を貼る'!$W$6:$W$10005,$W9287)&gt;0),N(U9286),N(U9286)+1))</f>
        <v/>
      </c>
      <c r="V9287" s="19">
        <f>IF($B9287="","",TEXT($B9287,"0000"))</f>
        <v/>
      </c>
      <c r="W9287" s="19">
        <f>IF($I9287="","",IF(ISNUMBER($I9287),TEXT($I9287,"0"),$I9287))</f>
        <v/>
      </c>
    </row>
    <row r="9288">
      <c r="B9288" s="25" t="n"/>
      <c r="I9288" s="25" t="n"/>
      <c r="U9288" s="19">
        <f>IF($V9288&lt;&gt;'設定'!$C$4,N(U9287),IF(OR(NOT(COUNTIF('商品マスタ'!$B$6:$B$1005,$W9288)=0),COUNTIFS('①在庫を貼る'!$V$6:$V$10005,$V9288,'①在庫を貼る'!$W$6:$W$10005,$W9288)&gt;0),N(U9287),N(U9287)+1))</f>
        <v/>
      </c>
      <c r="V9288" s="19">
        <f>IF($B9288="","",TEXT($B9288,"0000"))</f>
        <v/>
      </c>
      <c r="W9288" s="19">
        <f>IF($I9288="","",IF(ISNUMBER($I9288),TEXT($I9288,"0"),$I9288))</f>
        <v/>
      </c>
    </row>
    <row r="9289">
      <c r="B9289" s="25" t="n"/>
      <c r="I9289" s="25" t="n"/>
      <c r="U9289" s="19">
        <f>IF($V9289&lt;&gt;'設定'!$C$4,N(U9288),IF(OR(NOT(COUNTIF('商品マスタ'!$B$6:$B$1005,$W9289)=0),COUNTIFS('①在庫を貼る'!$V$6:$V$10005,$V9289,'①在庫を貼る'!$W$6:$W$10005,$W9289)&gt;0),N(U9288),N(U9288)+1))</f>
        <v/>
      </c>
      <c r="V9289" s="19">
        <f>IF($B9289="","",TEXT($B9289,"0000"))</f>
        <v/>
      </c>
      <c r="W9289" s="19">
        <f>IF($I9289="","",IF(ISNUMBER($I9289),TEXT($I9289,"0"),$I9289))</f>
        <v/>
      </c>
    </row>
    <row r="9290">
      <c r="B9290" s="25" t="n"/>
      <c r="I9290" s="25" t="n"/>
      <c r="U9290" s="19">
        <f>IF($V9290&lt;&gt;'設定'!$C$4,N(U9289),IF(OR(NOT(COUNTIF('商品マスタ'!$B$6:$B$1005,$W9290)=0),COUNTIFS('①在庫を貼る'!$V$6:$V$10005,$V9290,'①在庫を貼る'!$W$6:$W$10005,$W9290)&gt;0),N(U9289),N(U9289)+1))</f>
        <v/>
      </c>
      <c r="V9290" s="19">
        <f>IF($B9290="","",TEXT($B9290,"0000"))</f>
        <v/>
      </c>
      <c r="W9290" s="19">
        <f>IF($I9290="","",IF(ISNUMBER($I9290),TEXT($I9290,"0"),$I9290))</f>
        <v/>
      </c>
    </row>
    <row r="9291">
      <c r="B9291" s="25" t="n"/>
      <c r="I9291" s="25" t="n"/>
      <c r="U9291" s="19">
        <f>IF($V9291&lt;&gt;'設定'!$C$4,N(U9290),IF(OR(NOT(COUNTIF('商品マスタ'!$B$6:$B$1005,$W9291)=0),COUNTIFS('①在庫を貼る'!$V$6:$V$10005,$V9291,'①在庫を貼る'!$W$6:$W$10005,$W9291)&gt;0),N(U9290),N(U9290)+1))</f>
        <v/>
      </c>
      <c r="V9291" s="19">
        <f>IF($B9291="","",TEXT($B9291,"0000"))</f>
        <v/>
      </c>
      <c r="W9291" s="19">
        <f>IF($I9291="","",IF(ISNUMBER($I9291),TEXT($I9291,"0"),$I9291))</f>
        <v/>
      </c>
    </row>
    <row r="9292">
      <c r="B9292" s="25" t="n"/>
      <c r="I9292" s="25" t="n"/>
      <c r="U9292" s="19">
        <f>IF($V9292&lt;&gt;'設定'!$C$4,N(U9291),IF(OR(NOT(COUNTIF('商品マスタ'!$B$6:$B$1005,$W9292)=0),COUNTIFS('①在庫を貼る'!$V$6:$V$10005,$V9292,'①在庫を貼る'!$W$6:$W$10005,$W9292)&gt;0),N(U9291),N(U9291)+1))</f>
        <v/>
      </c>
      <c r="V9292" s="19">
        <f>IF($B9292="","",TEXT($B9292,"0000"))</f>
        <v/>
      </c>
      <c r="W9292" s="19">
        <f>IF($I9292="","",IF(ISNUMBER($I9292),TEXT($I9292,"0"),$I9292))</f>
        <v/>
      </c>
    </row>
    <row r="9293">
      <c r="B9293" s="25" t="n"/>
      <c r="I9293" s="25" t="n"/>
      <c r="U9293" s="19">
        <f>IF($V9293&lt;&gt;'設定'!$C$4,N(U9292),IF(OR(NOT(COUNTIF('商品マスタ'!$B$6:$B$1005,$W9293)=0),COUNTIFS('①在庫を貼る'!$V$6:$V$10005,$V9293,'①在庫を貼る'!$W$6:$W$10005,$W9293)&gt;0),N(U9292),N(U9292)+1))</f>
        <v/>
      </c>
      <c r="V9293" s="19">
        <f>IF($B9293="","",TEXT($B9293,"0000"))</f>
        <v/>
      </c>
      <c r="W9293" s="19">
        <f>IF($I9293="","",IF(ISNUMBER($I9293),TEXT($I9293,"0"),$I9293))</f>
        <v/>
      </c>
    </row>
    <row r="9294">
      <c r="B9294" s="25" t="n"/>
      <c r="I9294" s="25" t="n"/>
      <c r="U9294" s="19">
        <f>IF($V9294&lt;&gt;'設定'!$C$4,N(U9293),IF(OR(NOT(COUNTIF('商品マスタ'!$B$6:$B$1005,$W9294)=0),COUNTIFS('①在庫を貼る'!$V$6:$V$10005,$V9294,'①在庫を貼る'!$W$6:$W$10005,$W9294)&gt;0),N(U9293),N(U9293)+1))</f>
        <v/>
      </c>
      <c r="V9294" s="19">
        <f>IF($B9294="","",TEXT($B9294,"0000"))</f>
        <v/>
      </c>
      <c r="W9294" s="19">
        <f>IF($I9294="","",IF(ISNUMBER($I9294),TEXT($I9294,"0"),$I9294))</f>
        <v/>
      </c>
    </row>
    <row r="9295">
      <c r="B9295" s="25" t="n"/>
      <c r="I9295" s="25" t="n"/>
      <c r="U9295" s="19">
        <f>IF($V9295&lt;&gt;'設定'!$C$4,N(U9294),IF(OR(NOT(COUNTIF('商品マスタ'!$B$6:$B$1005,$W9295)=0),COUNTIFS('①在庫を貼る'!$V$6:$V$10005,$V9295,'①在庫を貼る'!$W$6:$W$10005,$W9295)&gt;0),N(U9294),N(U9294)+1))</f>
        <v/>
      </c>
      <c r="V9295" s="19">
        <f>IF($B9295="","",TEXT($B9295,"0000"))</f>
        <v/>
      </c>
      <c r="W9295" s="19">
        <f>IF($I9295="","",IF(ISNUMBER($I9295),TEXT($I9295,"0"),$I9295))</f>
        <v/>
      </c>
    </row>
    <row r="9296">
      <c r="B9296" s="25" t="n"/>
      <c r="I9296" s="25" t="n"/>
      <c r="U9296" s="19">
        <f>IF($V9296&lt;&gt;'設定'!$C$4,N(U9295),IF(OR(NOT(COUNTIF('商品マスタ'!$B$6:$B$1005,$W9296)=0),COUNTIFS('①在庫を貼る'!$V$6:$V$10005,$V9296,'①在庫を貼る'!$W$6:$W$10005,$W9296)&gt;0),N(U9295),N(U9295)+1))</f>
        <v/>
      </c>
      <c r="V9296" s="19">
        <f>IF($B9296="","",TEXT($B9296,"0000"))</f>
        <v/>
      </c>
      <c r="W9296" s="19">
        <f>IF($I9296="","",IF(ISNUMBER($I9296),TEXT($I9296,"0"),$I9296))</f>
        <v/>
      </c>
    </row>
    <row r="9297">
      <c r="B9297" s="25" t="n"/>
      <c r="I9297" s="25" t="n"/>
      <c r="U9297" s="19">
        <f>IF($V9297&lt;&gt;'設定'!$C$4,N(U9296),IF(OR(NOT(COUNTIF('商品マスタ'!$B$6:$B$1005,$W9297)=0),COUNTIFS('①在庫を貼る'!$V$6:$V$10005,$V9297,'①在庫を貼る'!$W$6:$W$10005,$W9297)&gt;0),N(U9296),N(U9296)+1))</f>
        <v/>
      </c>
      <c r="V9297" s="19">
        <f>IF($B9297="","",TEXT($B9297,"0000"))</f>
        <v/>
      </c>
      <c r="W9297" s="19">
        <f>IF($I9297="","",IF(ISNUMBER($I9297),TEXT($I9297,"0"),$I9297))</f>
        <v/>
      </c>
    </row>
    <row r="9298">
      <c r="B9298" s="25" t="n"/>
      <c r="I9298" s="25" t="n"/>
      <c r="U9298" s="19">
        <f>IF($V9298&lt;&gt;'設定'!$C$4,N(U9297),IF(OR(NOT(COUNTIF('商品マスタ'!$B$6:$B$1005,$W9298)=0),COUNTIFS('①在庫を貼る'!$V$6:$V$10005,$V9298,'①在庫を貼る'!$W$6:$W$10005,$W9298)&gt;0),N(U9297),N(U9297)+1))</f>
        <v/>
      </c>
      <c r="V9298" s="19">
        <f>IF($B9298="","",TEXT($B9298,"0000"))</f>
        <v/>
      </c>
      <c r="W9298" s="19">
        <f>IF($I9298="","",IF(ISNUMBER($I9298),TEXT($I9298,"0"),$I9298))</f>
        <v/>
      </c>
    </row>
    <row r="9299">
      <c r="B9299" s="25" t="n"/>
      <c r="I9299" s="25" t="n"/>
      <c r="U9299" s="19">
        <f>IF($V9299&lt;&gt;'設定'!$C$4,N(U9298),IF(OR(NOT(COUNTIF('商品マスタ'!$B$6:$B$1005,$W9299)=0),COUNTIFS('①在庫を貼る'!$V$6:$V$10005,$V9299,'①在庫を貼る'!$W$6:$W$10005,$W9299)&gt;0),N(U9298),N(U9298)+1))</f>
        <v/>
      </c>
      <c r="V9299" s="19">
        <f>IF($B9299="","",TEXT($B9299,"0000"))</f>
        <v/>
      </c>
      <c r="W9299" s="19">
        <f>IF($I9299="","",IF(ISNUMBER($I9299),TEXT($I9299,"0"),$I9299))</f>
        <v/>
      </c>
    </row>
    <row r="9300">
      <c r="B9300" s="25" t="n"/>
      <c r="I9300" s="25" t="n"/>
      <c r="U9300" s="19">
        <f>IF($V9300&lt;&gt;'設定'!$C$4,N(U9299),IF(OR(NOT(COUNTIF('商品マスタ'!$B$6:$B$1005,$W9300)=0),COUNTIFS('①在庫を貼る'!$V$6:$V$10005,$V9300,'①在庫を貼る'!$W$6:$W$10005,$W9300)&gt;0),N(U9299),N(U9299)+1))</f>
        <v/>
      </c>
      <c r="V9300" s="19">
        <f>IF($B9300="","",TEXT($B9300,"0000"))</f>
        <v/>
      </c>
      <c r="W9300" s="19">
        <f>IF($I9300="","",IF(ISNUMBER($I9300),TEXT($I9300,"0"),$I9300))</f>
        <v/>
      </c>
    </row>
    <row r="9301">
      <c r="B9301" s="25" t="n"/>
      <c r="I9301" s="25" t="n"/>
      <c r="U9301" s="19">
        <f>IF($V9301&lt;&gt;'設定'!$C$4,N(U9300),IF(OR(NOT(COUNTIF('商品マスタ'!$B$6:$B$1005,$W9301)=0),COUNTIFS('①在庫を貼る'!$V$6:$V$10005,$V9301,'①在庫を貼る'!$W$6:$W$10005,$W9301)&gt;0),N(U9300),N(U9300)+1))</f>
        <v/>
      </c>
      <c r="V9301" s="19">
        <f>IF($B9301="","",TEXT($B9301,"0000"))</f>
        <v/>
      </c>
      <c r="W9301" s="19">
        <f>IF($I9301="","",IF(ISNUMBER($I9301),TEXT($I9301,"0"),$I9301))</f>
        <v/>
      </c>
    </row>
    <row r="9302">
      <c r="B9302" s="25" t="n"/>
      <c r="I9302" s="25" t="n"/>
      <c r="U9302" s="19">
        <f>IF($V9302&lt;&gt;'設定'!$C$4,N(U9301),IF(OR(NOT(COUNTIF('商品マスタ'!$B$6:$B$1005,$W9302)=0),COUNTIFS('①在庫を貼る'!$V$6:$V$10005,$V9302,'①在庫を貼る'!$W$6:$W$10005,$W9302)&gt;0),N(U9301),N(U9301)+1))</f>
        <v/>
      </c>
      <c r="V9302" s="19">
        <f>IF($B9302="","",TEXT($B9302,"0000"))</f>
        <v/>
      </c>
      <c r="W9302" s="19">
        <f>IF($I9302="","",IF(ISNUMBER($I9302),TEXT($I9302,"0"),$I9302))</f>
        <v/>
      </c>
    </row>
    <row r="9303">
      <c r="B9303" s="25" t="n"/>
      <c r="I9303" s="25" t="n"/>
      <c r="U9303" s="19">
        <f>IF($V9303&lt;&gt;'設定'!$C$4,N(U9302),IF(OR(NOT(COUNTIF('商品マスタ'!$B$6:$B$1005,$W9303)=0),COUNTIFS('①在庫を貼る'!$V$6:$V$10005,$V9303,'①在庫を貼る'!$W$6:$W$10005,$W9303)&gt;0),N(U9302),N(U9302)+1))</f>
        <v/>
      </c>
      <c r="V9303" s="19">
        <f>IF($B9303="","",TEXT($B9303,"0000"))</f>
        <v/>
      </c>
      <c r="W9303" s="19">
        <f>IF($I9303="","",IF(ISNUMBER($I9303),TEXT($I9303,"0"),$I9303))</f>
        <v/>
      </c>
    </row>
    <row r="9304">
      <c r="B9304" s="25" t="n"/>
      <c r="I9304" s="25" t="n"/>
      <c r="U9304" s="19">
        <f>IF($V9304&lt;&gt;'設定'!$C$4,N(U9303),IF(OR(NOT(COUNTIF('商品マスタ'!$B$6:$B$1005,$W9304)=0),COUNTIFS('①在庫を貼る'!$V$6:$V$10005,$V9304,'①在庫を貼る'!$W$6:$W$10005,$W9304)&gt;0),N(U9303),N(U9303)+1))</f>
        <v/>
      </c>
      <c r="V9304" s="19">
        <f>IF($B9304="","",TEXT($B9304,"0000"))</f>
        <v/>
      </c>
      <c r="W9304" s="19">
        <f>IF($I9304="","",IF(ISNUMBER($I9304),TEXT($I9304,"0"),$I9304))</f>
        <v/>
      </c>
    </row>
    <row r="9305">
      <c r="B9305" s="25" t="n"/>
      <c r="I9305" s="25" t="n"/>
      <c r="U9305" s="19">
        <f>IF($V9305&lt;&gt;'設定'!$C$4,N(U9304),IF(OR(NOT(COUNTIF('商品マスタ'!$B$6:$B$1005,$W9305)=0),COUNTIFS('①在庫を貼る'!$V$6:$V$10005,$V9305,'①在庫を貼る'!$W$6:$W$10005,$W9305)&gt;0),N(U9304),N(U9304)+1))</f>
        <v/>
      </c>
      <c r="V9305" s="19">
        <f>IF($B9305="","",TEXT($B9305,"0000"))</f>
        <v/>
      </c>
      <c r="W9305" s="19">
        <f>IF($I9305="","",IF(ISNUMBER($I9305),TEXT($I9305,"0"),$I9305))</f>
        <v/>
      </c>
    </row>
    <row r="9306">
      <c r="B9306" s="25" t="n"/>
      <c r="I9306" s="25" t="n"/>
      <c r="U9306" s="19">
        <f>IF($V9306&lt;&gt;'設定'!$C$4,N(U9305),IF(OR(NOT(COUNTIF('商品マスタ'!$B$6:$B$1005,$W9306)=0),COUNTIFS('①在庫を貼る'!$V$6:$V$10005,$V9306,'①在庫を貼る'!$W$6:$W$10005,$W9306)&gt;0),N(U9305),N(U9305)+1))</f>
        <v/>
      </c>
      <c r="V9306" s="19">
        <f>IF($B9306="","",TEXT($B9306,"0000"))</f>
        <v/>
      </c>
      <c r="W9306" s="19">
        <f>IF($I9306="","",IF(ISNUMBER($I9306),TEXT($I9306,"0"),$I9306))</f>
        <v/>
      </c>
    </row>
    <row r="9307">
      <c r="B9307" s="25" t="n"/>
      <c r="I9307" s="25" t="n"/>
      <c r="U9307" s="19">
        <f>IF($V9307&lt;&gt;'設定'!$C$4,N(U9306),IF(OR(NOT(COUNTIF('商品マスタ'!$B$6:$B$1005,$W9307)=0),COUNTIFS('①在庫を貼る'!$V$6:$V$10005,$V9307,'①在庫を貼る'!$W$6:$W$10005,$W9307)&gt;0),N(U9306),N(U9306)+1))</f>
        <v/>
      </c>
      <c r="V9307" s="19">
        <f>IF($B9307="","",TEXT($B9307,"0000"))</f>
        <v/>
      </c>
      <c r="W9307" s="19">
        <f>IF($I9307="","",IF(ISNUMBER($I9307),TEXT($I9307,"0"),$I9307))</f>
        <v/>
      </c>
    </row>
    <row r="9308">
      <c r="B9308" s="25" t="n"/>
      <c r="I9308" s="25" t="n"/>
      <c r="U9308" s="19">
        <f>IF($V9308&lt;&gt;'設定'!$C$4,N(U9307),IF(OR(NOT(COUNTIF('商品マスタ'!$B$6:$B$1005,$W9308)=0),COUNTIFS('①在庫を貼る'!$V$6:$V$10005,$V9308,'①在庫を貼る'!$W$6:$W$10005,$W9308)&gt;0),N(U9307),N(U9307)+1))</f>
        <v/>
      </c>
      <c r="V9308" s="19">
        <f>IF($B9308="","",TEXT($B9308,"0000"))</f>
        <v/>
      </c>
      <c r="W9308" s="19">
        <f>IF($I9308="","",IF(ISNUMBER($I9308),TEXT($I9308,"0"),$I9308))</f>
        <v/>
      </c>
    </row>
    <row r="9309">
      <c r="B9309" s="25" t="n"/>
      <c r="I9309" s="25" t="n"/>
      <c r="U9309" s="19">
        <f>IF($V9309&lt;&gt;'設定'!$C$4,N(U9308),IF(OR(NOT(COUNTIF('商品マスタ'!$B$6:$B$1005,$W9309)=0),COUNTIFS('①在庫を貼る'!$V$6:$V$10005,$V9309,'①在庫を貼る'!$W$6:$W$10005,$W9309)&gt;0),N(U9308),N(U9308)+1))</f>
        <v/>
      </c>
      <c r="V9309" s="19">
        <f>IF($B9309="","",TEXT($B9309,"0000"))</f>
        <v/>
      </c>
      <c r="W9309" s="19">
        <f>IF($I9309="","",IF(ISNUMBER($I9309),TEXT($I9309,"0"),$I9309))</f>
        <v/>
      </c>
    </row>
    <row r="9310">
      <c r="B9310" s="25" t="n"/>
      <c r="I9310" s="25" t="n"/>
      <c r="U9310" s="19">
        <f>IF($V9310&lt;&gt;'設定'!$C$4,N(U9309),IF(OR(NOT(COUNTIF('商品マスタ'!$B$6:$B$1005,$W9310)=0),COUNTIFS('①在庫を貼る'!$V$6:$V$10005,$V9310,'①在庫を貼る'!$W$6:$W$10005,$W9310)&gt;0),N(U9309),N(U9309)+1))</f>
        <v/>
      </c>
      <c r="V9310" s="19">
        <f>IF($B9310="","",TEXT($B9310,"0000"))</f>
        <v/>
      </c>
      <c r="W9310" s="19">
        <f>IF($I9310="","",IF(ISNUMBER($I9310),TEXT($I9310,"0"),$I9310))</f>
        <v/>
      </c>
    </row>
    <row r="9311">
      <c r="B9311" s="25" t="n"/>
      <c r="I9311" s="25" t="n"/>
      <c r="U9311" s="19">
        <f>IF($V9311&lt;&gt;'設定'!$C$4,N(U9310),IF(OR(NOT(COUNTIF('商品マスタ'!$B$6:$B$1005,$W9311)=0),COUNTIFS('①在庫を貼る'!$V$6:$V$10005,$V9311,'①在庫を貼る'!$W$6:$W$10005,$W9311)&gt;0),N(U9310),N(U9310)+1))</f>
        <v/>
      </c>
      <c r="V9311" s="19">
        <f>IF($B9311="","",TEXT($B9311,"0000"))</f>
        <v/>
      </c>
      <c r="W9311" s="19">
        <f>IF($I9311="","",IF(ISNUMBER($I9311),TEXT($I9311,"0"),$I9311))</f>
        <v/>
      </c>
    </row>
    <row r="9312">
      <c r="B9312" s="25" t="n"/>
      <c r="I9312" s="25" t="n"/>
      <c r="U9312" s="19">
        <f>IF($V9312&lt;&gt;'設定'!$C$4,N(U9311),IF(OR(NOT(COUNTIF('商品マスタ'!$B$6:$B$1005,$W9312)=0),COUNTIFS('①在庫を貼る'!$V$6:$V$10005,$V9312,'①在庫を貼る'!$W$6:$W$10005,$W9312)&gt;0),N(U9311),N(U9311)+1))</f>
        <v/>
      </c>
      <c r="V9312" s="19">
        <f>IF($B9312="","",TEXT($B9312,"0000"))</f>
        <v/>
      </c>
      <c r="W9312" s="19">
        <f>IF($I9312="","",IF(ISNUMBER($I9312),TEXT($I9312,"0"),$I9312))</f>
        <v/>
      </c>
    </row>
    <row r="9313">
      <c r="B9313" s="25" t="n"/>
      <c r="I9313" s="25" t="n"/>
      <c r="U9313" s="19">
        <f>IF($V9313&lt;&gt;'設定'!$C$4,N(U9312),IF(OR(NOT(COUNTIF('商品マスタ'!$B$6:$B$1005,$W9313)=0),COUNTIFS('①在庫を貼る'!$V$6:$V$10005,$V9313,'①在庫を貼る'!$W$6:$W$10005,$W9313)&gt;0),N(U9312),N(U9312)+1))</f>
        <v/>
      </c>
      <c r="V9313" s="19">
        <f>IF($B9313="","",TEXT($B9313,"0000"))</f>
        <v/>
      </c>
      <c r="W9313" s="19">
        <f>IF($I9313="","",IF(ISNUMBER($I9313),TEXT($I9313,"0"),$I9313))</f>
        <v/>
      </c>
    </row>
    <row r="9314">
      <c r="B9314" s="25" t="n"/>
      <c r="I9314" s="25" t="n"/>
      <c r="U9314" s="19">
        <f>IF($V9314&lt;&gt;'設定'!$C$4,N(U9313),IF(OR(NOT(COUNTIF('商品マスタ'!$B$6:$B$1005,$W9314)=0),COUNTIFS('①在庫を貼る'!$V$6:$V$10005,$V9314,'①在庫を貼る'!$W$6:$W$10005,$W9314)&gt;0),N(U9313),N(U9313)+1))</f>
        <v/>
      </c>
      <c r="V9314" s="19">
        <f>IF($B9314="","",TEXT($B9314,"0000"))</f>
        <v/>
      </c>
      <c r="W9314" s="19">
        <f>IF($I9314="","",IF(ISNUMBER($I9314),TEXT($I9314,"0"),$I9314))</f>
        <v/>
      </c>
    </row>
    <row r="9315">
      <c r="B9315" s="25" t="n"/>
      <c r="I9315" s="25" t="n"/>
      <c r="U9315" s="19">
        <f>IF($V9315&lt;&gt;'設定'!$C$4,N(U9314),IF(OR(NOT(COUNTIF('商品マスタ'!$B$6:$B$1005,$W9315)=0),COUNTIFS('①在庫を貼る'!$V$6:$V$10005,$V9315,'①在庫を貼る'!$W$6:$W$10005,$W9315)&gt;0),N(U9314),N(U9314)+1))</f>
        <v/>
      </c>
      <c r="V9315" s="19">
        <f>IF($B9315="","",TEXT($B9315,"0000"))</f>
        <v/>
      </c>
      <c r="W9315" s="19">
        <f>IF($I9315="","",IF(ISNUMBER($I9315),TEXT($I9315,"0"),$I9315))</f>
        <v/>
      </c>
    </row>
    <row r="9316">
      <c r="B9316" s="25" t="n"/>
      <c r="I9316" s="25" t="n"/>
      <c r="U9316" s="19">
        <f>IF($V9316&lt;&gt;'設定'!$C$4,N(U9315),IF(OR(NOT(COUNTIF('商品マスタ'!$B$6:$B$1005,$W9316)=0),COUNTIFS('①在庫を貼る'!$V$6:$V$10005,$V9316,'①在庫を貼る'!$W$6:$W$10005,$W9316)&gt;0),N(U9315),N(U9315)+1))</f>
        <v/>
      </c>
      <c r="V9316" s="19">
        <f>IF($B9316="","",TEXT($B9316,"0000"))</f>
        <v/>
      </c>
      <c r="W9316" s="19">
        <f>IF($I9316="","",IF(ISNUMBER($I9316),TEXT($I9316,"0"),$I9316))</f>
        <v/>
      </c>
    </row>
    <row r="9317">
      <c r="B9317" s="25" t="n"/>
      <c r="I9317" s="25" t="n"/>
      <c r="U9317" s="19">
        <f>IF($V9317&lt;&gt;'設定'!$C$4,N(U9316),IF(OR(NOT(COUNTIF('商品マスタ'!$B$6:$B$1005,$W9317)=0),COUNTIFS('①在庫を貼る'!$V$6:$V$10005,$V9317,'①在庫を貼る'!$W$6:$W$10005,$W9317)&gt;0),N(U9316),N(U9316)+1))</f>
        <v/>
      </c>
      <c r="V9317" s="19">
        <f>IF($B9317="","",TEXT($B9317,"0000"))</f>
        <v/>
      </c>
      <c r="W9317" s="19">
        <f>IF($I9317="","",IF(ISNUMBER($I9317),TEXT($I9317,"0"),$I9317))</f>
        <v/>
      </c>
    </row>
    <row r="9318">
      <c r="B9318" s="25" t="n"/>
      <c r="I9318" s="25" t="n"/>
      <c r="U9318" s="19">
        <f>IF($V9318&lt;&gt;'設定'!$C$4,N(U9317),IF(OR(NOT(COUNTIF('商品マスタ'!$B$6:$B$1005,$W9318)=0),COUNTIFS('①在庫を貼る'!$V$6:$V$10005,$V9318,'①在庫を貼る'!$W$6:$W$10005,$W9318)&gt;0),N(U9317),N(U9317)+1))</f>
        <v/>
      </c>
      <c r="V9318" s="19">
        <f>IF($B9318="","",TEXT($B9318,"0000"))</f>
        <v/>
      </c>
      <c r="W9318" s="19">
        <f>IF($I9318="","",IF(ISNUMBER($I9318),TEXT($I9318,"0"),$I9318))</f>
        <v/>
      </c>
    </row>
    <row r="9319">
      <c r="B9319" s="25" t="n"/>
      <c r="I9319" s="25" t="n"/>
      <c r="U9319" s="19">
        <f>IF($V9319&lt;&gt;'設定'!$C$4,N(U9318),IF(OR(NOT(COUNTIF('商品マスタ'!$B$6:$B$1005,$W9319)=0),COUNTIFS('①在庫を貼る'!$V$6:$V$10005,$V9319,'①在庫を貼る'!$W$6:$W$10005,$W9319)&gt;0),N(U9318),N(U9318)+1))</f>
        <v/>
      </c>
      <c r="V9319" s="19">
        <f>IF($B9319="","",TEXT($B9319,"0000"))</f>
        <v/>
      </c>
      <c r="W9319" s="19">
        <f>IF($I9319="","",IF(ISNUMBER($I9319),TEXT($I9319,"0"),$I9319))</f>
        <v/>
      </c>
    </row>
    <row r="9320">
      <c r="B9320" s="25" t="n"/>
      <c r="I9320" s="25" t="n"/>
      <c r="U9320" s="19">
        <f>IF($V9320&lt;&gt;'設定'!$C$4,N(U9319),IF(OR(NOT(COUNTIF('商品マスタ'!$B$6:$B$1005,$W9320)=0),COUNTIFS('①在庫を貼る'!$V$6:$V$10005,$V9320,'①在庫を貼る'!$W$6:$W$10005,$W9320)&gt;0),N(U9319),N(U9319)+1))</f>
        <v/>
      </c>
      <c r="V9320" s="19">
        <f>IF($B9320="","",TEXT($B9320,"0000"))</f>
        <v/>
      </c>
      <c r="W9320" s="19">
        <f>IF($I9320="","",IF(ISNUMBER($I9320),TEXT($I9320,"0"),$I9320))</f>
        <v/>
      </c>
    </row>
    <row r="9321">
      <c r="B9321" s="25" t="n"/>
      <c r="I9321" s="25" t="n"/>
      <c r="U9321" s="19">
        <f>IF($V9321&lt;&gt;'設定'!$C$4,N(U9320),IF(OR(NOT(COUNTIF('商品マスタ'!$B$6:$B$1005,$W9321)=0),COUNTIFS('①在庫を貼る'!$V$6:$V$10005,$V9321,'①在庫を貼る'!$W$6:$W$10005,$W9321)&gt;0),N(U9320),N(U9320)+1))</f>
        <v/>
      </c>
      <c r="V9321" s="19">
        <f>IF($B9321="","",TEXT($B9321,"0000"))</f>
        <v/>
      </c>
      <c r="W9321" s="19">
        <f>IF($I9321="","",IF(ISNUMBER($I9321),TEXT($I9321,"0"),$I9321))</f>
        <v/>
      </c>
    </row>
    <row r="9322">
      <c r="B9322" s="25" t="n"/>
      <c r="I9322" s="25" t="n"/>
      <c r="U9322" s="19">
        <f>IF($V9322&lt;&gt;'設定'!$C$4,N(U9321),IF(OR(NOT(COUNTIF('商品マスタ'!$B$6:$B$1005,$W9322)=0),COUNTIFS('①在庫を貼る'!$V$6:$V$10005,$V9322,'①在庫を貼る'!$W$6:$W$10005,$W9322)&gt;0),N(U9321),N(U9321)+1))</f>
        <v/>
      </c>
      <c r="V9322" s="19">
        <f>IF($B9322="","",TEXT($B9322,"0000"))</f>
        <v/>
      </c>
      <c r="W9322" s="19">
        <f>IF($I9322="","",IF(ISNUMBER($I9322),TEXT($I9322,"0"),$I9322))</f>
        <v/>
      </c>
    </row>
    <row r="9323">
      <c r="B9323" s="25" t="n"/>
      <c r="I9323" s="25" t="n"/>
      <c r="U9323" s="19">
        <f>IF($V9323&lt;&gt;'設定'!$C$4,N(U9322),IF(OR(NOT(COUNTIF('商品マスタ'!$B$6:$B$1005,$W9323)=0),COUNTIFS('①在庫を貼る'!$V$6:$V$10005,$V9323,'①在庫を貼る'!$W$6:$W$10005,$W9323)&gt;0),N(U9322),N(U9322)+1))</f>
        <v/>
      </c>
      <c r="V9323" s="19">
        <f>IF($B9323="","",TEXT($B9323,"0000"))</f>
        <v/>
      </c>
      <c r="W9323" s="19">
        <f>IF($I9323="","",IF(ISNUMBER($I9323),TEXT($I9323,"0"),$I9323))</f>
        <v/>
      </c>
    </row>
    <row r="9324">
      <c r="B9324" s="25" t="n"/>
      <c r="I9324" s="25" t="n"/>
      <c r="U9324" s="19">
        <f>IF($V9324&lt;&gt;'設定'!$C$4,N(U9323),IF(OR(NOT(COUNTIF('商品マスタ'!$B$6:$B$1005,$W9324)=0),COUNTIFS('①在庫を貼る'!$V$6:$V$10005,$V9324,'①在庫を貼る'!$W$6:$W$10005,$W9324)&gt;0),N(U9323),N(U9323)+1))</f>
        <v/>
      </c>
      <c r="V9324" s="19">
        <f>IF($B9324="","",TEXT($B9324,"0000"))</f>
        <v/>
      </c>
      <c r="W9324" s="19">
        <f>IF($I9324="","",IF(ISNUMBER($I9324),TEXT($I9324,"0"),$I9324))</f>
        <v/>
      </c>
    </row>
    <row r="9325">
      <c r="B9325" s="25" t="n"/>
      <c r="I9325" s="25" t="n"/>
      <c r="U9325" s="19">
        <f>IF($V9325&lt;&gt;'設定'!$C$4,N(U9324),IF(OR(NOT(COUNTIF('商品マスタ'!$B$6:$B$1005,$W9325)=0),COUNTIFS('①在庫を貼る'!$V$6:$V$10005,$V9325,'①在庫を貼る'!$W$6:$W$10005,$W9325)&gt;0),N(U9324),N(U9324)+1))</f>
        <v/>
      </c>
      <c r="V9325" s="19">
        <f>IF($B9325="","",TEXT($B9325,"0000"))</f>
        <v/>
      </c>
      <c r="W9325" s="19">
        <f>IF($I9325="","",IF(ISNUMBER($I9325),TEXT($I9325,"0"),$I9325))</f>
        <v/>
      </c>
    </row>
    <row r="9326">
      <c r="B9326" s="25" t="n"/>
      <c r="I9326" s="25" t="n"/>
      <c r="U9326" s="19">
        <f>IF($V9326&lt;&gt;'設定'!$C$4,N(U9325),IF(OR(NOT(COUNTIF('商品マスタ'!$B$6:$B$1005,$W9326)=0),COUNTIFS('①在庫を貼る'!$V$6:$V$10005,$V9326,'①在庫を貼る'!$W$6:$W$10005,$W9326)&gt;0),N(U9325),N(U9325)+1))</f>
        <v/>
      </c>
      <c r="V9326" s="19">
        <f>IF($B9326="","",TEXT($B9326,"0000"))</f>
        <v/>
      </c>
      <c r="W9326" s="19">
        <f>IF($I9326="","",IF(ISNUMBER($I9326),TEXT($I9326,"0"),$I9326))</f>
        <v/>
      </c>
    </row>
    <row r="9327">
      <c r="B9327" s="25" t="n"/>
      <c r="I9327" s="25" t="n"/>
      <c r="U9327" s="19">
        <f>IF($V9327&lt;&gt;'設定'!$C$4,N(U9326),IF(OR(NOT(COUNTIF('商品マスタ'!$B$6:$B$1005,$W9327)=0),COUNTIFS('①在庫を貼る'!$V$6:$V$10005,$V9327,'①在庫を貼る'!$W$6:$W$10005,$W9327)&gt;0),N(U9326),N(U9326)+1))</f>
        <v/>
      </c>
      <c r="V9327" s="19">
        <f>IF($B9327="","",TEXT($B9327,"0000"))</f>
        <v/>
      </c>
      <c r="W9327" s="19">
        <f>IF($I9327="","",IF(ISNUMBER($I9327),TEXT($I9327,"0"),$I9327))</f>
        <v/>
      </c>
    </row>
    <row r="9328">
      <c r="B9328" s="25" t="n"/>
      <c r="I9328" s="25" t="n"/>
      <c r="U9328" s="19">
        <f>IF($V9328&lt;&gt;'設定'!$C$4,N(U9327),IF(OR(NOT(COUNTIF('商品マスタ'!$B$6:$B$1005,$W9328)=0),COUNTIFS('①在庫を貼る'!$V$6:$V$10005,$V9328,'①在庫を貼る'!$W$6:$W$10005,$W9328)&gt;0),N(U9327),N(U9327)+1))</f>
        <v/>
      </c>
      <c r="V9328" s="19">
        <f>IF($B9328="","",TEXT($B9328,"0000"))</f>
        <v/>
      </c>
      <c r="W9328" s="19">
        <f>IF($I9328="","",IF(ISNUMBER($I9328),TEXT($I9328,"0"),$I9328))</f>
        <v/>
      </c>
    </row>
    <row r="9329">
      <c r="B9329" s="25" t="n"/>
      <c r="I9329" s="25" t="n"/>
      <c r="U9329" s="19">
        <f>IF($V9329&lt;&gt;'設定'!$C$4,N(U9328),IF(OR(NOT(COUNTIF('商品マスタ'!$B$6:$B$1005,$W9329)=0),COUNTIFS('①在庫を貼る'!$V$6:$V$10005,$V9329,'①在庫を貼る'!$W$6:$W$10005,$W9329)&gt;0),N(U9328),N(U9328)+1))</f>
        <v/>
      </c>
      <c r="V9329" s="19">
        <f>IF($B9329="","",TEXT($B9329,"0000"))</f>
        <v/>
      </c>
      <c r="W9329" s="19">
        <f>IF($I9329="","",IF(ISNUMBER($I9329),TEXT($I9329,"0"),$I9329))</f>
        <v/>
      </c>
    </row>
    <row r="9330">
      <c r="B9330" s="25" t="n"/>
      <c r="I9330" s="25" t="n"/>
      <c r="U9330" s="19">
        <f>IF($V9330&lt;&gt;'設定'!$C$4,N(U9329),IF(OR(NOT(COUNTIF('商品マスタ'!$B$6:$B$1005,$W9330)=0),COUNTIFS('①在庫を貼る'!$V$6:$V$10005,$V9330,'①在庫を貼る'!$W$6:$W$10005,$W9330)&gt;0),N(U9329),N(U9329)+1))</f>
        <v/>
      </c>
      <c r="V9330" s="19">
        <f>IF($B9330="","",TEXT($B9330,"0000"))</f>
        <v/>
      </c>
      <c r="W9330" s="19">
        <f>IF($I9330="","",IF(ISNUMBER($I9330),TEXT($I9330,"0"),$I9330))</f>
        <v/>
      </c>
    </row>
    <row r="9331">
      <c r="B9331" s="25" t="n"/>
      <c r="I9331" s="25" t="n"/>
      <c r="U9331" s="19">
        <f>IF($V9331&lt;&gt;'設定'!$C$4,N(U9330),IF(OR(NOT(COUNTIF('商品マスタ'!$B$6:$B$1005,$W9331)=0),COUNTIFS('①在庫を貼る'!$V$6:$V$10005,$V9331,'①在庫を貼る'!$W$6:$W$10005,$W9331)&gt;0),N(U9330),N(U9330)+1))</f>
        <v/>
      </c>
      <c r="V9331" s="19">
        <f>IF($B9331="","",TEXT($B9331,"0000"))</f>
        <v/>
      </c>
      <c r="W9331" s="19">
        <f>IF($I9331="","",IF(ISNUMBER($I9331),TEXT($I9331,"0"),$I9331))</f>
        <v/>
      </c>
    </row>
    <row r="9332">
      <c r="B9332" s="25" t="n"/>
      <c r="I9332" s="25" t="n"/>
      <c r="U9332" s="19">
        <f>IF($V9332&lt;&gt;'設定'!$C$4,N(U9331),IF(OR(NOT(COUNTIF('商品マスタ'!$B$6:$B$1005,$W9332)=0),COUNTIFS('①在庫を貼る'!$V$6:$V$10005,$V9332,'①在庫を貼る'!$W$6:$W$10005,$W9332)&gt;0),N(U9331),N(U9331)+1))</f>
        <v/>
      </c>
      <c r="V9332" s="19">
        <f>IF($B9332="","",TEXT($B9332,"0000"))</f>
        <v/>
      </c>
      <c r="W9332" s="19">
        <f>IF($I9332="","",IF(ISNUMBER($I9332),TEXT($I9332,"0"),$I9332))</f>
        <v/>
      </c>
    </row>
    <row r="9333">
      <c r="B9333" s="25" t="n"/>
      <c r="I9333" s="25" t="n"/>
      <c r="U9333" s="19">
        <f>IF($V9333&lt;&gt;'設定'!$C$4,N(U9332),IF(OR(NOT(COUNTIF('商品マスタ'!$B$6:$B$1005,$W9333)=0),COUNTIFS('①在庫を貼る'!$V$6:$V$10005,$V9333,'①在庫を貼る'!$W$6:$W$10005,$W9333)&gt;0),N(U9332),N(U9332)+1))</f>
        <v/>
      </c>
      <c r="V9333" s="19">
        <f>IF($B9333="","",TEXT($B9333,"0000"))</f>
        <v/>
      </c>
      <c r="W9333" s="19">
        <f>IF($I9333="","",IF(ISNUMBER($I9333),TEXT($I9333,"0"),$I9333))</f>
        <v/>
      </c>
    </row>
    <row r="9334">
      <c r="B9334" s="25" t="n"/>
      <c r="I9334" s="25" t="n"/>
      <c r="U9334" s="19">
        <f>IF($V9334&lt;&gt;'設定'!$C$4,N(U9333),IF(OR(NOT(COUNTIF('商品マスタ'!$B$6:$B$1005,$W9334)=0),COUNTIFS('①在庫を貼る'!$V$6:$V$10005,$V9334,'①在庫を貼る'!$W$6:$W$10005,$W9334)&gt;0),N(U9333),N(U9333)+1))</f>
        <v/>
      </c>
      <c r="V9334" s="19">
        <f>IF($B9334="","",TEXT($B9334,"0000"))</f>
        <v/>
      </c>
      <c r="W9334" s="19">
        <f>IF($I9334="","",IF(ISNUMBER($I9334),TEXT($I9334,"0"),$I9334))</f>
        <v/>
      </c>
    </row>
    <row r="9335">
      <c r="B9335" s="25" t="n"/>
      <c r="I9335" s="25" t="n"/>
      <c r="U9335" s="19">
        <f>IF($V9335&lt;&gt;'設定'!$C$4,N(U9334),IF(OR(NOT(COUNTIF('商品マスタ'!$B$6:$B$1005,$W9335)=0),COUNTIFS('①在庫を貼る'!$V$6:$V$10005,$V9335,'①在庫を貼る'!$W$6:$W$10005,$W9335)&gt;0),N(U9334),N(U9334)+1))</f>
        <v/>
      </c>
      <c r="V9335" s="19">
        <f>IF($B9335="","",TEXT($B9335,"0000"))</f>
        <v/>
      </c>
      <c r="W9335" s="19">
        <f>IF($I9335="","",IF(ISNUMBER($I9335),TEXT($I9335,"0"),$I9335))</f>
        <v/>
      </c>
    </row>
    <row r="9336">
      <c r="B9336" s="25" t="n"/>
      <c r="I9336" s="25" t="n"/>
      <c r="U9336" s="19">
        <f>IF($V9336&lt;&gt;'設定'!$C$4,N(U9335),IF(OR(NOT(COUNTIF('商品マスタ'!$B$6:$B$1005,$W9336)=0),COUNTIFS('①在庫を貼る'!$V$6:$V$10005,$V9336,'①在庫を貼る'!$W$6:$W$10005,$W9336)&gt;0),N(U9335),N(U9335)+1))</f>
        <v/>
      </c>
      <c r="V9336" s="19">
        <f>IF($B9336="","",TEXT($B9336,"0000"))</f>
        <v/>
      </c>
      <c r="W9336" s="19">
        <f>IF($I9336="","",IF(ISNUMBER($I9336),TEXT($I9336,"0"),$I9336))</f>
        <v/>
      </c>
    </row>
    <row r="9337">
      <c r="B9337" s="25" t="n"/>
      <c r="I9337" s="25" t="n"/>
      <c r="U9337" s="19">
        <f>IF($V9337&lt;&gt;'設定'!$C$4,N(U9336),IF(OR(NOT(COUNTIF('商品マスタ'!$B$6:$B$1005,$W9337)=0),COUNTIFS('①在庫を貼る'!$V$6:$V$10005,$V9337,'①在庫を貼る'!$W$6:$W$10005,$W9337)&gt;0),N(U9336),N(U9336)+1))</f>
        <v/>
      </c>
      <c r="V9337" s="19">
        <f>IF($B9337="","",TEXT($B9337,"0000"))</f>
        <v/>
      </c>
      <c r="W9337" s="19">
        <f>IF($I9337="","",IF(ISNUMBER($I9337),TEXT($I9337,"0"),$I9337))</f>
        <v/>
      </c>
    </row>
    <row r="9338">
      <c r="B9338" s="25" t="n"/>
      <c r="I9338" s="25" t="n"/>
      <c r="U9338" s="19">
        <f>IF($V9338&lt;&gt;'設定'!$C$4,N(U9337),IF(OR(NOT(COUNTIF('商品マスタ'!$B$6:$B$1005,$W9338)=0),COUNTIFS('①在庫を貼る'!$V$6:$V$10005,$V9338,'①在庫を貼る'!$W$6:$W$10005,$W9338)&gt;0),N(U9337),N(U9337)+1))</f>
        <v/>
      </c>
      <c r="V9338" s="19">
        <f>IF($B9338="","",TEXT($B9338,"0000"))</f>
        <v/>
      </c>
      <c r="W9338" s="19">
        <f>IF($I9338="","",IF(ISNUMBER($I9338),TEXT($I9338,"0"),$I9338))</f>
        <v/>
      </c>
    </row>
    <row r="9339">
      <c r="B9339" s="25" t="n"/>
      <c r="I9339" s="25" t="n"/>
      <c r="U9339" s="19">
        <f>IF($V9339&lt;&gt;'設定'!$C$4,N(U9338),IF(OR(NOT(COUNTIF('商品マスタ'!$B$6:$B$1005,$W9339)=0),COUNTIFS('①在庫を貼る'!$V$6:$V$10005,$V9339,'①在庫を貼る'!$W$6:$W$10005,$W9339)&gt;0),N(U9338),N(U9338)+1))</f>
        <v/>
      </c>
      <c r="V9339" s="19">
        <f>IF($B9339="","",TEXT($B9339,"0000"))</f>
        <v/>
      </c>
      <c r="W9339" s="19">
        <f>IF($I9339="","",IF(ISNUMBER($I9339),TEXT($I9339,"0"),$I9339))</f>
        <v/>
      </c>
    </row>
    <row r="9340">
      <c r="B9340" s="25" t="n"/>
      <c r="I9340" s="25" t="n"/>
      <c r="U9340" s="19">
        <f>IF($V9340&lt;&gt;'設定'!$C$4,N(U9339),IF(OR(NOT(COUNTIF('商品マスタ'!$B$6:$B$1005,$W9340)=0),COUNTIFS('①在庫を貼る'!$V$6:$V$10005,$V9340,'①在庫を貼る'!$W$6:$W$10005,$W9340)&gt;0),N(U9339),N(U9339)+1))</f>
        <v/>
      </c>
      <c r="V9340" s="19">
        <f>IF($B9340="","",TEXT($B9340,"0000"))</f>
        <v/>
      </c>
      <c r="W9340" s="19">
        <f>IF($I9340="","",IF(ISNUMBER($I9340),TEXT($I9340,"0"),$I9340))</f>
        <v/>
      </c>
    </row>
    <row r="9341">
      <c r="B9341" s="25" t="n"/>
      <c r="I9341" s="25" t="n"/>
      <c r="U9341" s="19">
        <f>IF($V9341&lt;&gt;'設定'!$C$4,N(U9340),IF(OR(NOT(COUNTIF('商品マスタ'!$B$6:$B$1005,$W9341)=0),COUNTIFS('①在庫を貼る'!$V$6:$V$10005,$V9341,'①在庫を貼る'!$W$6:$W$10005,$W9341)&gt;0),N(U9340),N(U9340)+1))</f>
        <v/>
      </c>
      <c r="V9341" s="19">
        <f>IF($B9341="","",TEXT($B9341,"0000"))</f>
        <v/>
      </c>
      <c r="W9341" s="19">
        <f>IF($I9341="","",IF(ISNUMBER($I9341),TEXT($I9341,"0"),$I9341))</f>
        <v/>
      </c>
    </row>
    <row r="9342">
      <c r="B9342" s="25" t="n"/>
      <c r="I9342" s="25" t="n"/>
      <c r="U9342" s="19">
        <f>IF($V9342&lt;&gt;'設定'!$C$4,N(U9341),IF(OR(NOT(COUNTIF('商品マスタ'!$B$6:$B$1005,$W9342)=0),COUNTIFS('①在庫を貼る'!$V$6:$V$10005,$V9342,'①在庫を貼る'!$W$6:$W$10005,$W9342)&gt;0),N(U9341),N(U9341)+1))</f>
        <v/>
      </c>
      <c r="V9342" s="19">
        <f>IF($B9342="","",TEXT($B9342,"0000"))</f>
        <v/>
      </c>
      <c r="W9342" s="19">
        <f>IF($I9342="","",IF(ISNUMBER($I9342),TEXT($I9342,"0"),$I9342))</f>
        <v/>
      </c>
    </row>
    <row r="9343">
      <c r="B9343" s="25" t="n"/>
      <c r="I9343" s="25" t="n"/>
      <c r="U9343" s="19">
        <f>IF($V9343&lt;&gt;'設定'!$C$4,N(U9342),IF(OR(NOT(COUNTIF('商品マスタ'!$B$6:$B$1005,$W9343)=0),COUNTIFS('①在庫を貼る'!$V$6:$V$10005,$V9343,'①在庫を貼る'!$W$6:$W$10005,$W9343)&gt;0),N(U9342),N(U9342)+1))</f>
        <v/>
      </c>
      <c r="V9343" s="19">
        <f>IF($B9343="","",TEXT($B9343,"0000"))</f>
        <v/>
      </c>
      <c r="W9343" s="19">
        <f>IF($I9343="","",IF(ISNUMBER($I9343),TEXT($I9343,"0"),$I9343))</f>
        <v/>
      </c>
    </row>
    <row r="9344">
      <c r="B9344" s="25" t="n"/>
      <c r="I9344" s="25" t="n"/>
      <c r="U9344" s="19">
        <f>IF($V9344&lt;&gt;'設定'!$C$4,N(U9343),IF(OR(NOT(COUNTIF('商品マスタ'!$B$6:$B$1005,$W9344)=0),COUNTIFS('①在庫を貼る'!$V$6:$V$10005,$V9344,'①在庫を貼る'!$W$6:$W$10005,$W9344)&gt;0),N(U9343),N(U9343)+1))</f>
        <v/>
      </c>
      <c r="V9344" s="19">
        <f>IF($B9344="","",TEXT($B9344,"0000"))</f>
        <v/>
      </c>
      <c r="W9344" s="19">
        <f>IF($I9344="","",IF(ISNUMBER($I9344),TEXT($I9344,"0"),$I9344))</f>
        <v/>
      </c>
    </row>
    <row r="9345">
      <c r="B9345" s="25" t="n"/>
      <c r="I9345" s="25" t="n"/>
      <c r="U9345" s="19">
        <f>IF($V9345&lt;&gt;'設定'!$C$4,N(U9344),IF(OR(NOT(COUNTIF('商品マスタ'!$B$6:$B$1005,$W9345)=0),COUNTIFS('①在庫を貼る'!$V$6:$V$10005,$V9345,'①在庫を貼る'!$W$6:$W$10005,$W9345)&gt;0),N(U9344),N(U9344)+1))</f>
        <v/>
      </c>
      <c r="V9345" s="19">
        <f>IF($B9345="","",TEXT($B9345,"0000"))</f>
        <v/>
      </c>
      <c r="W9345" s="19">
        <f>IF($I9345="","",IF(ISNUMBER($I9345),TEXT($I9345,"0"),$I9345))</f>
        <v/>
      </c>
    </row>
    <row r="9346">
      <c r="B9346" s="25" t="n"/>
      <c r="I9346" s="25" t="n"/>
      <c r="U9346" s="19">
        <f>IF($V9346&lt;&gt;'設定'!$C$4,N(U9345),IF(OR(NOT(COUNTIF('商品マスタ'!$B$6:$B$1005,$W9346)=0),COUNTIFS('①在庫を貼る'!$V$6:$V$10005,$V9346,'①在庫を貼る'!$W$6:$W$10005,$W9346)&gt;0),N(U9345),N(U9345)+1))</f>
        <v/>
      </c>
      <c r="V9346" s="19">
        <f>IF($B9346="","",TEXT($B9346,"0000"))</f>
        <v/>
      </c>
      <c r="W9346" s="19">
        <f>IF($I9346="","",IF(ISNUMBER($I9346),TEXT($I9346,"0"),$I9346))</f>
        <v/>
      </c>
    </row>
    <row r="9347">
      <c r="B9347" s="25" t="n"/>
      <c r="I9347" s="25" t="n"/>
      <c r="U9347" s="19">
        <f>IF($V9347&lt;&gt;'設定'!$C$4,N(U9346),IF(OR(NOT(COUNTIF('商品マスタ'!$B$6:$B$1005,$W9347)=0),COUNTIFS('①在庫を貼る'!$V$6:$V$10005,$V9347,'①在庫を貼る'!$W$6:$W$10005,$W9347)&gt;0),N(U9346),N(U9346)+1))</f>
        <v/>
      </c>
      <c r="V9347" s="19">
        <f>IF($B9347="","",TEXT($B9347,"0000"))</f>
        <v/>
      </c>
      <c r="W9347" s="19">
        <f>IF($I9347="","",IF(ISNUMBER($I9347),TEXT($I9347,"0"),$I9347))</f>
        <v/>
      </c>
    </row>
    <row r="9348">
      <c r="B9348" s="25" t="n"/>
      <c r="I9348" s="25" t="n"/>
      <c r="U9348" s="19">
        <f>IF($V9348&lt;&gt;'設定'!$C$4,N(U9347),IF(OR(NOT(COUNTIF('商品マスタ'!$B$6:$B$1005,$W9348)=0),COUNTIFS('①在庫を貼る'!$V$6:$V$10005,$V9348,'①在庫を貼る'!$W$6:$W$10005,$W9348)&gt;0),N(U9347),N(U9347)+1))</f>
        <v/>
      </c>
      <c r="V9348" s="19">
        <f>IF($B9348="","",TEXT($B9348,"0000"))</f>
        <v/>
      </c>
      <c r="W9348" s="19">
        <f>IF($I9348="","",IF(ISNUMBER($I9348),TEXT($I9348,"0"),$I9348))</f>
        <v/>
      </c>
    </row>
    <row r="9349">
      <c r="B9349" s="25" t="n"/>
      <c r="I9349" s="25" t="n"/>
      <c r="U9349" s="19">
        <f>IF($V9349&lt;&gt;'設定'!$C$4,N(U9348),IF(OR(NOT(COUNTIF('商品マスタ'!$B$6:$B$1005,$W9349)=0),COUNTIFS('①在庫を貼る'!$V$6:$V$10005,$V9349,'①在庫を貼る'!$W$6:$W$10005,$W9349)&gt;0),N(U9348),N(U9348)+1))</f>
        <v/>
      </c>
      <c r="V9349" s="19">
        <f>IF($B9349="","",TEXT($B9349,"0000"))</f>
        <v/>
      </c>
      <c r="W9349" s="19">
        <f>IF($I9349="","",IF(ISNUMBER($I9349),TEXT($I9349,"0"),$I9349))</f>
        <v/>
      </c>
    </row>
    <row r="9350">
      <c r="B9350" s="25" t="n"/>
      <c r="I9350" s="25" t="n"/>
      <c r="U9350" s="19">
        <f>IF($V9350&lt;&gt;'設定'!$C$4,N(U9349),IF(OR(NOT(COUNTIF('商品マスタ'!$B$6:$B$1005,$W9350)=0),COUNTIFS('①在庫を貼る'!$V$6:$V$10005,$V9350,'①在庫を貼る'!$W$6:$W$10005,$W9350)&gt;0),N(U9349),N(U9349)+1))</f>
        <v/>
      </c>
      <c r="V9350" s="19">
        <f>IF($B9350="","",TEXT($B9350,"0000"))</f>
        <v/>
      </c>
      <c r="W9350" s="19">
        <f>IF($I9350="","",IF(ISNUMBER($I9350),TEXT($I9350,"0"),$I9350))</f>
        <v/>
      </c>
    </row>
    <row r="9351">
      <c r="B9351" s="25" t="n"/>
      <c r="I9351" s="25" t="n"/>
      <c r="U9351" s="19">
        <f>IF($V9351&lt;&gt;'設定'!$C$4,N(U9350),IF(OR(NOT(COUNTIF('商品マスタ'!$B$6:$B$1005,$W9351)=0),COUNTIFS('①在庫を貼る'!$V$6:$V$10005,$V9351,'①在庫を貼る'!$W$6:$W$10005,$W9351)&gt;0),N(U9350),N(U9350)+1))</f>
        <v/>
      </c>
      <c r="V9351" s="19">
        <f>IF($B9351="","",TEXT($B9351,"0000"))</f>
        <v/>
      </c>
      <c r="W9351" s="19">
        <f>IF($I9351="","",IF(ISNUMBER($I9351),TEXT($I9351,"0"),$I9351))</f>
        <v/>
      </c>
    </row>
    <row r="9352">
      <c r="B9352" s="25" t="n"/>
      <c r="I9352" s="25" t="n"/>
      <c r="U9352" s="19">
        <f>IF($V9352&lt;&gt;'設定'!$C$4,N(U9351),IF(OR(NOT(COUNTIF('商品マスタ'!$B$6:$B$1005,$W9352)=0),COUNTIFS('①在庫を貼る'!$V$6:$V$10005,$V9352,'①在庫を貼る'!$W$6:$W$10005,$W9352)&gt;0),N(U9351),N(U9351)+1))</f>
        <v/>
      </c>
      <c r="V9352" s="19">
        <f>IF($B9352="","",TEXT($B9352,"0000"))</f>
        <v/>
      </c>
      <c r="W9352" s="19">
        <f>IF($I9352="","",IF(ISNUMBER($I9352),TEXT($I9352,"0"),$I9352))</f>
        <v/>
      </c>
    </row>
    <row r="9353">
      <c r="B9353" s="25" t="n"/>
      <c r="I9353" s="25" t="n"/>
      <c r="U9353" s="19">
        <f>IF($V9353&lt;&gt;'設定'!$C$4,N(U9352),IF(OR(NOT(COUNTIF('商品マスタ'!$B$6:$B$1005,$W9353)=0),COUNTIFS('①在庫を貼る'!$V$6:$V$10005,$V9353,'①在庫を貼る'!$W$6:$W$10005,$W9353)&gt;0),N(U9352),N(U9352)+1))</f>
        <v/>
      </c>
      <c r="V9353" s="19">
        <f>IF($B9353="","",TEXT($B9353,"0000"))</f>
        <v/>
      </c>
      <c r="W9353" s="19">
        <f>IF($I9353="","",IF(ISNUMBER($I9353),TEXT($I9353,"0"),$I9353))</f>
        <v/>
      </c>
    </row>
    <row r="9354">
      <c r="B9354" s="25" t="n"/>
      <c r="I9354" s="25" t="n"/>
      <c r="U9354" s="19">
        <f>IF($V9354&lt;&gt;'設定'!$C$4,N(U9353),IF(OR(NOT(COUNTIF('商品マスタ'!$B$6:$B$1005,$W9354)=0),COUNTIFS('①在庫を貼る'!$V$6:$V$10005,$V9354,'①在庫を貼る'!$W$6:$W$10005,$W9354)&gt;0),N(U9353),N(U9353)+1))</f>
        <v/>
      </c>
      <c r="V9354" s="19">
        <f>IF($B9354="","",TEXT($B9354,"0000"))</f>
        <v/>
      </c>
      <c r="W9354" s="19">
        <f>IF($I9354="","",IF(ISNUMBER($I9354),TEXT($I9354,"0"),$I9354))</f>
        <v/>
      </c>
    </row>
    <row r="9355">
      <c r="B9355" s="25" t="n"/>
      <c r="I9355" s="25" t="n"/>
      <c r="U9355" s="19">
        <f>IF($V9355&lt;&gt;'設定'!$C$4,N(U9354),IF(OR(NOT(COUNTIF('商品マスタ'!$B$6:$B$1005,$W9355)=0),COUNTIFS('①在庫を貼る'!$V$6:$V$10005,$V9355,'①在庫を貼る'!$W$6:$W$10005,$W9355)&gt;0),N(U9354),N(U9354)+1))</f>
        <v/>
      </c>
      <c r="V9355" s="19">
        <f>IF($B9355="","",TEXT($B9355,"0000"))</f>
        <v/>
      </c>
      <c r="W9355" s="19">
        <f>IF($I9355="","",IF(ISNUMBER($I9355),TEXT($I9355,"0"),$I9355))</f>
        <v/>
      </c>
    </row>
    <row r="9356">
      <c r="B9356" s="25" t="n"/>
      <c r="I9356" s="25" t="n"/>
      <c r="U9356" s="19">
        <f>IF($V9356&lt;&gt;'設定'!$C$4,N(U9355),IF(OR(NOT(COUNTIF('商品マスタ'!$B$6:$B$1005,$W9356)=0),COUNTIFS('①在庫を貼る'!$V$6:$V$10005,$V9356,'①在庫を貼る'!$W$6:$W$10005,$W9356)&gt;0),N(U9355),N(U9355)+1))</f>
        <v/>
      </c>
      <c r="V9356" s="19">
        <f>IF($B9356="","",TEXT($B9356,"0000"))</f>
        <v/>
      </c>
      <c r="W9356" s="19">
        <f>IF($I9356="","",IF(ISNUMBER($I9356),TEXT($I9356,"0"),$I9356))</f>
        <v/>
      </c>
    </row>
    <row r="9357">
      <c r="B9357" s="25" t="n"/>
      <c r="I9357" s="25" t="n"/>
      <c r="U9357" s="19">
        <f>IF($V9357&lt;&gt;'設定'!$C$4,N(U9356),IF(OR(NOT(COUNTIF('商品マスタ'!$B$6:$B$1005,$W9357)=0),COUNTIFS('①在庫を貼る'!$V$6:$V$10005,$V9357,'①在庫を貼る'!$W$6:$W$10005,$W9357)&gt;0),N(U9356),N(U9356)+1))</f>
        <v/>
      </c>
      <c r="V9357" s="19">
        <f>IF($B9357="","",TEXT($B9357,"0000"))</f>
        <v/>
      </c>
      <c r="W9357" s="19">
        <f>IF($I9357="","",IF(ISNUMBER($I9357),TEXT($I9357,"0"),$I9357))</f>
        <v/>
      </c>
    </row>
    <row r="9358">
      <c r="B9358" s="25" t="n"/>
      <c r="I9358" s="25" t="n"/>
      <c r="U9358" s="19">
        <f>IF($V9358&lt;&gt;'設定'!$C$4,N(U9357),IF(OR(NOT(COUNTIF('商品マスタ'!$B$6:$B$1005,$W9358)=0),COUNTIFS('①在庫を貼る'!$V$6:$V$10005,$V9358,'①在庫を貼る'!$W$6:$W$10005,$W9358)&gt;0),N(U9357),N(U9357)+1))</f>
        <v/>
      </c>
      <c r="V9358" s="19">
        <f>IF($B9358="","",TEXT($B9358,"0000"))</f>
        <v/>
      </c>
      <c r="W9358" s="19">
        <f>IF($I9358="","",IF(ISNUMBER($I9358),TEXT($I9358,"0"),$I9358))</f>
        <v/>
      </c>
    </row>
    <row r="9359">
      <c r="B9359" s="25" t="n"/>
      <c r="I9359" s="25" t="n"/>
      <c r="U9359" s="19">
        <f>IF($V9359&lt;&gt;'設定'!$C$4,N(U9358),IF(OR(NOT(COUNTIF('商品マスタ'!$B$6:$B$1005,$W9359)=0),COUNTIFS('①在庫を貼る'!$V$6:$V$10005,$V9359,'①在庫を貼る'!$W$6:$W$10005,$W9359)&gt;0),N(U9358),N(U9358)+1))</f>
        <v/>
      </c>
      <c r="V9359" s="19">
        <f>IF($B9359="","",TEXT($B9359,"0000"))</f>
        <v/>
      </c>
      <c r="W9359" s="19">
        <f>IF($I9359="","",IF(ISNUMBER($I9359),TEXT($I9359,"0"),$I9359))</f>
        <v/>
      </c>
    </row>
    <row r="9360">
      <c r="B9360" s="25" t="n"/>
      <c r="I9360" s="25" t="n"/>
      <c r="U9360" s="19">
        <f>IF($V9360&lt;&gt;'設定'!$C$4,N(U9359),IF(OR(NOT(COUNTIF('商品マスタ'!$B$6:$B$1005,$W9360)=0),COUNTIFS('①在庫を貼る'!$V$6:$V$10005,$V9360,'①在庫を貼る'!$W$6:$W$10005,$W9360)&gt;0),N(U9359),N(U9359)+1))</f>
        <v/>
      </c>
      <c r="V9360" s="19">
        <f>IF($B9360="","",TEXT($B9360,"0000"))</f>
        <v/>
      </c>
      <c r="W9360" s="19">
        <f>IF($I9360="","",IF(ISNUMBER($I9360),TEXT($I9360,"0"),$I9360))</f>
        <v/>
      </c>
    </row>
    <row r="9361">
      <c r="B9361" s="25" t="n"/>
      <c r="I9361" s="25" t="n"/>
      <c r="U9361" s="19">
        <f>IF($V9361&lt;&gt;'設定'!$C$4,N(U9360),IF(OR(NOT(COUNTIF('商品マスタ'!$B$6:$B$1005,$W9361)=0),COUNTIFS('①在庫を貼る'!$V$6:$V$10005,$V9361,'①在庫を貼る'!$W$6:$W$10005,$W9361)&gt;0),N(U9360),N(U9360)+1))</f>
        <v/>
      </c>
      <c r="V9361" s="19">
        <f>IF($B9361="","",TEXT($B9361,"0000"))</f>
        <v/>
      </c>
      <c r="W9361" s="19">
        <f>IF($I9361="","",IF(ISNUMBER($I9361),TEXT($I9361,"0"),$I9361))</f>
        <v/>
      </c>
    </row>
    <row r="9362">
      <c r="B9362" s="25" t="n"/>
      <c r="I9362" s="25" t="n"/>
      <c r="U9362" s="19">
        <f>IF($V9362&lt;&gt;'設定'!$C$4,N(U9361),IF(OR(NOT(COUNTIF('商品マスタ'!$B$6:$B$1005,$W9362)=0),COUNTIFS('①在庫を貼る'!$V$6:$V$10005,$V9362,'①在庫を貼る'!$W$6:$W$10005,$W9362)&gt;0),N(U9361),N(U9361)+1))</f>
        <v/>
      </c>
      <c r="V9362" s="19">
        <f>IF($B9362="","",TEXT($B9362,"0000"))</f>
        <v/>
      </c>
      <c r="W9362" s="19">
        <f>IF($I9362="","",IF(ISNUMBER($I9362),TEXT($I9362,"0"),$I9362))</f>
        <v/>
      </c>
    </row>
    <row r="9363">
      <c r="B9363" s="25" t="n"/>
      <c r="I9363" s="25" t="n"/>
      <c r="U9363" s="19">
        <f>IF($V9363&lt;&gt;'設定'!$C$4,N(U9362),IF(OR(NOT(COUNTIF('商品マスタ'!$B$6:$B$1005,$W9363)=0),COUNTIFS('①在庫を貼る'!$V$6:$V$10005,$V9363,'①在庫を貼る'!$W$6:$W$10005,$W9363)&gt;0),N(U9362),N(U9362)+1))</f>
        <v/>
      </c>
      <c r="V9363" s="19">
        <f>IF($B9363="","",TEXT($B9363,"0000"))</f>
        <v/>
      </c>
      <c r="W9363" s="19">
        <f>IF($I9363="","",IF(ISNUMBER($I9363),TEXT($I9363,"0"),$I9363))</f>
        <v/>
      </c>
    </row>
    <row r="9364">
      <c r="B9364" s="25" t="n"/>
      <c r="I9364" s="25" t="n"/>
      <c r="U9364" s="19">
        <f>IF($V9364&lt;&gt;'設定'!$C$4,N(U9363),IF(OR(NOT(COUNTIF('商品マスタ'!$B$6:$B$1005,$W9364)=0),COUNTIFS('①在庫を貼る'!$V$6:$V$10005,$V9364,'①在庫を貼る'!$W$6:$W$10005,$W9364)&gt;0),N(U9363),N(U9363)+1))</f>
        <v/>
      </c>
      <c r="V9364" s="19">
        <f>IF($B9364="","",TEXT($B9364,"0000"))</f>
        <v/>
      </c>
      <c r="W9364" s="19">
        <f>IF($I9364="","",IF(ISNUMBER($I9364),TEXT($I9364,"0"),$I9364))</f>
        <v/>
      </c>
    </row>
    <row r="9365">
      <c r="B9365" s="25" t="n"/>
      <c r="I9365" s="25" t="n"/>
      <c r="U9365" s="19">
        <f>IF($V9365&lt;&gt;'設定'!$C$4,N(U9364),IF(OR(NOT(COUNTIF('商品マスタ'!$B$6:$B$1005,$W9365)=0),COUNTIFS('①在庫を貼る'!$V$6:$V$10005,$V9365,'①在庫を貼る'!$W$6:$W$10005,$W9365)&gt;0),N(U9364),N(U9364)+1))</f>
        <v/>
      </c>
      <c r="V9365" s="19">
        <f>IF($B9365="","",TEXT($B9365,"0000"))</f>
        <v/>
      </c>
      <c r="W9365" s="19">
        <f>IF($I9365="","",IF(ISNUMBER($I9365),TEXT($I9365,"0"),$I9365))</f>
        <v/>
      </c>
    </row>
    <row r="9366">
      <c r="B9366" s="25" t="n"/>
      <c r="I9366" s="25" t="n"/>
      <c r="U9366" s="19">
        <f>IF($V9366&lt;&gt;'設定'!$C$4,N(U9365),IF(OR(NOT(COUNTIF('商品マスタ'!$B$6:$B$1005,$W9366)=0),COUNTIFS('①在庫を貼る'!$V$6:$V$10005,$V9366,'①在庫を貼る'!$W$6:$W$10005,$W9366)&gt;0),N(U9365),N(U9365)+1))</f>
        <v/>
      </c>
      <c r="V9366" s="19">
        <f>IF($B9366="","",TEXT($B9366,"0000"))</f>
        <v/>
      </c>
      <c r="W9366" s="19">
        <f>IF($I9366="","",IF(ISNUMBER($I9366),TEXT($I9366,"0"),$I9366))</f>
        <v/>
      </c>
    </row>
    <row r="9367">
      <c r="B9367" s="25" t="n"/>
      <c r="I9367" s="25" t="n"/>
      <c r="U9367" s="19">
        <f>IF($V9367&lt;&gt;'設定'!$C$4,N(U9366),IF(OR(NOT(COUNTIF('商品マスタ'!$B$6:$B$1005,$W9367)=0),COUNTIFS('①在庫を貼る'!$V$6:$V$10005,$V9367,'①在庫を貼る'!$W$6:$W$10005,$W9367)&gt;0),N(U9366),N(U9366)+1))</f>
        <v/>
      </c>
      <c r="V9367" s="19">
        <f>IF($B9367="","",TEXT($B9367,"0000"))</f>
        <v/>
      </c>
      <c r="W9367" s="19">
        <f>IF($I9367="","",IF(ISNUMBER($I9367),TEXT($I9367,"0"),$I9367))</f>
        <v/>
      </c>
    </row>
    <row r="9368">
      <c r="B9368" s="25" t="n"/>
      <c r="I9368" s="25" t="n"/>
      <c r="U9368" s="19">
        <f>IF($V9368&lt;&gt;'設定'!$C$4,N(U9367),IF(OR(NOT(COUNTIF('商品マスタ'!$B$6:$B$1005,$W9368)=0),COUNTIFS('①在庫を貼る'!$V$6:$V$10005,$V9368,'①在庫を貼る'!$W$6:$W$10005,$W9368)&gt;0),N(U9367),N(U9367)+1))</f>
        <v/>
      </c>
      <c r="V9368" s="19">
        <f>IF($B9368="","",TEXT($B9368,"0000"))</f>
        <v/>
      </c>
      <c r="W9368" s="19">
        <f>IF($I9368="","",IF(ISNUMBER($I9368),TEXT($I9368,"0"),$I9368))</f>
        <v/>
      </c>
    </row>
    <row r="9369">
      <c r="B9369" s="25" t="n"/>
      <c r="I9369" s="25" t="n"/>
      <c r="U9369" s="19">
        <f>IF($V9369&lt;&gt;'設定'!$C$4,N(U9368),IF(OR(NOT(COUNTIF('商品マスタ'!$B$6:$B$1005,$W9369)=0),COUNTIFS('①在庫を貼る'!$V$6:$V$10005,$V9369,'①在庫を貼る'!$W$6:$W$10005,$W9369)&gt;0),N(U9368),N(U9368)+1))</f>
        <v/>
      </c>
      <c r="V9369" s="19">
        <f>IF($B9369="","",TEXT($B9369,"0000"))</f>
        <v/>
      </c>
      <c r="W9369" s="19">
        <f>IF($I9369="","",IF(ISNUMBER($I9369),TEXT($I9369,"0"),$I9369))</f>
        <v/>
      </c>
    </row>
    <row r="9370">
      <c r="B9370" s="25" t="n"/>
      <c r="I9370" s="25" t="n"/>
      <c r="U9370" s="19">
        <f>IF($V9370&lt;&gt;'設定'!$C$4,N(U9369),IF(OR(NOT(COUNTIF('商品マスタ'!$B$6:$B$1005,$W9370)=0),COUNTIFS('①在庫を貼る'!$V$6:$V$10005,$V9370,'①在庫を貼る'!$W$6:$W$10005,$W9370)&gt;0),N(U9369),N(U9369)+1))</f>
        <v/>
      </c>
      <c r="V9370" s="19">
        <f>IF($B9370="","",TEXT($B9370,"0000"))</f>
        <v/>
      </c>
      <c r="W9370" s="19">
        <f>IF($I9370="","",IF(ISNUMBER($I9370),TEXT($I9370,"0"),$I9370))</f>
        <v/>
      </c>
    </row>
    <row r="9371">
      <c r="B9371" s="25" t="n"/>
      <c r="I9371" s="25" t="n"/>
      <c r="U9371" s="19">
        <f>IF($V9371&lt;&gt;'設定'!$C$4,N(U9370),IF(OR(NOT(COUNTIF('商品マスタ'!$B$6:$B$1005,$W9371)=0),COUNTIFS('①在庫を貼る'!$V$6:$V$10005,$V9371,'①在庫を貼る'!$W$6:$W$10005,$W9371)&gt;0),N(U9370),N(U9370)+1))</f>
        <v/>
      </c>
      <c r="V9371" s="19">
        <f>IF($B9371="","",TEXT($B9371,"0000"))</f>
        <v/>
      </c>
      <c r="W9371" s="19">
        <f>IF($I9371="","",IF(ISNUMBER($I9371),TEXT($I9371,"0"),$I9371))</f>
        <v/>
      </c>
    </row>
    <row r="9372">
      <c r="B9372" s="25" t="n"/>
      <c r="I9372" s="25" t="n"/>
      <c r="U9372" s="19">
        <f>IF($V9372&lt;&gt;'設定'!$C$4,N(U9371),IF(OR(NOT(COUNTIF('商品マスタ'!$B$6:$B$1005,$W9372)=0),COUNTIFS('①在庫を貼る'!$V$6:$V$10005,$V9372,'①在庫を貼る'!$W$6:$W$10005,$W9372)&gt;0),N(U9371),N(U9371)+1))</f>
        <v/>
      </c>
      <c r="V9372" s="19">
        <f>IF($B9372="","",TEXT($B9372,"0000"))</f>
        <v/>
      </c>
      <c r="W9372" s="19">
        <f>IF($I9372="","",IF(ISNUMBER($I9372),TEXT($I9372,"0"),$I9372))</f>
        <v/>
      </c>
    </row>
    <row r="9373">
      <c r="B9373" s="25" t="n"/>
      <c r="I9373" s="25" t="n"/>
      <c r="U9373" s="19">
        <f>IF($V9373&lt;&gt;'設定'!$C$4,N(U9372),IF(OR(NOT(COUNTIF('商品マスタ'!$B$6:$B$1005,$W9373)=0),COUNTIFS('①在庫を貼る'!$V$6:$V$10005,$V9373,'①在庫を貼る'!$W$6:$W$10005,$W9373)&gt;0),N(U9372),N(U9372)+1))</f>
        <v/>
      </c>
      <c r="V9373" s="19">
        <f>IF($B9373="","",TEXT($B9373,"0000"))</f>
        <v/>
      </c>
      <c r="W9373" s="19">
        <f>IF($I9373="","",IF(ISNUMBER($I9373),TEXT($I9373,"0"),$I9373))</f>
        <v/>
      </c>
    </row>
    <row r="9374">
      <c r="B9374" s="25" t="n"/>
      <c r="I9374" s="25" t="n"/>
      <c r="U9374" s="19">
        <f>IF($V9374&lt;&gt;'設定'!$C$4,N(U9373),IF(OR(NOT(COUNTIF('商品マスタ'!$B$6:$B$1005,$W9374)=0),COUNTIFS('①在庫を貼る'!$V$6:$V$10005,$V9374,'①在庫を貼る'!$W$6:$W$10005,$W9374)&gt;0),N(U9373),N(U9373)+1))</f>
        <v/>
      </c>
      <c r="V9374" s="19">
        <f>IF($B9374="","",TEXT($B9374,"0000"))</f>
        <v/>
      </c>
      <c r="W9374" s="19">
        <f>IF($I9374="","",IF(ISNUMBER($I9374),TEXT($I9374,"0"),$I9374))</f>
        <v/>
      </c>
    </row>
    <row r="9375">
      <c r="B9375" s="25" t="n"/>
      <c r="I9375" s="25" t="n"/>
      <c r="U9375" s="19">
        <f>IF($V9375&lt;&gt;'設定'!$C$4,N(U9374),IF(OR(NOT(COUNTIF('商品マスタ'!$B$6:$B$1005,$W9375)=0),COUNTIFS('①在庫を貼る'!$V$6:$V$10005,$V9375,'①在庫を貼る'!$W$6:$W$10005,$W9375)&gt;0),N(U9374),N(U9374)+1))</f>
        <v/>
      </c>
      <c r="V9375" s="19">
        <f>IF($B9375="","",TEXT($B9375,"0000"))</f>
        <v/>
      </c>
      <c r="W9375" s="19">
        <f>IF($I9375="","",IF(ISNUMBER($I9375),TEXT($I9375,"0"),$I9375))</f>
        <v/>
      </c>
    </row>
    <row r="9376">
      <c r="B9376" s="25" t="n"/>
      <c r="I9376" s="25" t="n"/>
      <c r="U9376" s="19">
        <f>IF($V9376&lt;&gt;'設定'!$C$4,N(U9375),IF(OR(NOT(COUNTIF('商品マスタ'!$B$6:$B$1005,$W9376)=0),COUNTIFS('①在庫を貼る'!$V$6:$V$10005,$V9376,'①在庫を貼る'!$W$6:$W$10005,$W9376)&gt;0),N(U9375),N(U9375)+1))</f>
        <v/>
      </c>
      <c r="V9376" s="19">
        <f>IF($B9376="","",TEXT($B9376,"0000"))</f>
        <v/>
      </c>
      <c r="W9376" s="19">
        <f>IF($I9376="","",IF(ISNUMBER($I9376),TEXT($I9376,"0"),$I9376))</f>
        <v/>
      </c>
    </row>
    <row r="9377">
      <c r="B9377" s="25" t="n"/>
      <c r="I9377" s="25" t="n"/>
      <c r="U9377" s="19">
        <f>IF($V9377&lt;&gt;'設定'!$C$4,N(U9376),IF(OR(NOT(COUNTIF('商品マスタ'!$B$6:$B$1005,$W9377)=0),COUNTIFS('①在庫を貼る'!$V$6:$V$10005,$V9377,'①在庫を貼る'!$W$6:$W$10005,$W9377)&gt;0),N(U9376),N(U9376)+1))</f>
        <v/>
      </c>
      <c r="V9377" s="19">
        <f>IF($B9377="","",TEXT($B9377,"0000"))</f>
        <v/>
      </c>
      <c r="W9377" s="19">
        <f>IF($I9377="","",IF(ISNUMBER($I9377),TEXT($I9377,"0"),$I9377))</f>
        <v/>
      </c>
    </row>
    <row r="9378">
      <c r="B9378" s="25" t="n"/>
      <c r="I9378" s="25" t="n"/>
      <c r="U9378" s="19">
        <f>IF($V9378&lt;&gt;'設定'!$C$4,N(U9377),IF(OR(NOT(COUNTIF('商品マスタ'!$B$6:$B$1005,$W9378)=0),COUNTIFS('①在庫を貼る'!$V$6:$V$10005,$V9378,'①在庫を貼る'!$W$6:$W$10005,$W9378)&gt;0),N(U9377),N(U9377)+1))</f>
        <v/>
      </c>
      <c r="V9378" s="19">
        <f>IF($B9378="","",TEXT($B9378,"0000"))</f>
        <v/>
      </c>
      <c r="W9378" s="19">
        <f>IF($I9378="","",IF(ISNUMBER($I9378),TEXT($I9378,"0"),$I9378))</f>
        <v/>
      </c>
    </row>
    <row r="9379">
      <c r="B9379" s="25" t="n"/>
      <c r="I9379" s="25" t="n"/>
      <c r="U9379" s="19">
        <f>IF($V9379&lt;&gt;'設定'!$C$4,N(U9378),IF(OR(NOT(COUNTIF('商品マスタ'!$B$6:$B$1005,$W9379)=0),COUNTIFS('①在庫を貼る'!$V$6:$V$10005,$V9379,'①在庫を貼る'!$W$6:$W$10005,$W9379)&gt;0),N(U9378),N(U9378)+1))</f>
        <v/>
      </c>
      <c r="V9379" s="19">
        <f>IF($B9379="","",TEXT($B9379,"0000"))</f>
        <v/>
      </c>
      <c r="W9379" s="19">
        <f>IF($I9379="","",IF(ISNUMBER($I9379),TEXT($I9379,"0"),$I9379))</f>
        <v/>
      </c>
    </row>
    <row r="9380">
      <c r="B9380" s="25" t="n"/>
      <c r="I9380" s="25" t="n"/>
      <c r="U9380" s="19">
        <f>IF($V9380&lt;&gt;'設定'!$C$4,N(U9379),IF(OR(NOT(COUNTIF('商品マスタ'!$B$6:$B$1005,$W9380)=0),COUNTIFS('①在庫を貼る'!$V$6:$V$10005,$V9380,'①在庫を貼る'!$W$6:$W$10005,$W9380)&gt;0),N(U9379),N(U9379)+1))</f>
        <v/>
      </c>
      <c r="V9380" s="19">
        <f>IF($B9380="","",TEXT($B9380,"0000"))</f>
        <v/>
      </c>
      <c r="W9380" s="19">
        <f>IF($I9380="","",IF(ISNUMBER($I9380),TEXT($I9380,"0"),$I9380))</f>
        <v/>
      </c>
    </row>
    <row r="9381">
      <c r="B9381" s="25" t="n"/>
      <c r="I9381" s="25" t="n"/>
      <c r="U9381" s="19">
        <f>IF($V9381&lt;&gt;'設定'!$C$4,N(U9380),IF(OR(NOT(COUNTIF('商品マスタ'!$B$6:$B$1005,$W9381)=0),COUNTIFS('①在庫を貼る'!$V$6:$V$10005,$V9381,'①在庫を貼る'!$W$6:$W$10005,$W9381)&gt;0),N(U9380),N(U9380)+1))</f>
        <v/>
      </c>
      <c r="V9381" s="19">
        <f>IF($B9381="","",TEXT($B9381,"0000"))</f>
        <v/>
      </c>
      <c r="W9381" s="19">
        <f>IF($I9381="","",IF(ISNUMBER($I9381),TEXT($I9381,"0"),$I9381))</f>
        <v/>
      </c>
    </row>
    <row r="9382">
      <c r="B9382" s="25" t="n"/>
      <c r="I9382" s="25" t="n"/>
      <c r="U9382" s="19">
        <f>IF($V9382&lt;&gt;'設定'!$C$4,N(U9381),IF(OR(NOT(COUNTIF('商品マスタ'!$B$6:$B$1005,$W9382)=0),COUNTIFS('①在庫を貼る'!$V$6:$V$10005,$V9382,'①在庫を貼る'!$W$6:$W$10005,$W9382)&gt;0),N(U9381),N(U9381)+1))</f>
        <v/>
      </c>
      <c r="V9382" s="19">
        <f>IF($B9382="","",TEXT($B9382,"0000"))</f>
        <v/>
      </c>
      <c r="W9382" s="19">
        <f>IF($I9382="","",IF(ISNUMBER($I9382),TEXT($I9382,"0"),$I9382))</f>
        <v/>
      </c>
    </row>
    <row r="9383">
      <c r="B9383" s="25" t="n"/>
      <c r="I9383" s="25" t="n"/>
      <c r="U9383" s="19">
        <f>IF($V9383&lt;&gt;'設定'!$C$4,N(U9382),IF(OR(NOT(COUNTIF('商品マスタ'!$B$6:$B$1005,$W9383)=0),COUNTIFS('①在庫を貼る'!$V$6:$V$10005,$V9383,'①在庫を貼る'!$W$6:$W$10005,$W9383)&gt;0),N(U9382),N(U9382)+1))</f>
        <v/>
      </c>
      <c r="V9383" s="19">
        <f>IF($B9383="","",TEXT($B9383,"0000"))</f>
        <v/>
      </c>
      <c r="W9383" s="19">
        <f>IF($I9383="","",IF(ISNUMBER($I9383),TEXT($I9383,"0"),$I9383))</f>
        <v/>
      </c>
    </row>
    <row r="9384">
      <c r="B9384" s="25" t="n"/>
      <c r="I9384" s="25" t="n"/>
      <c r="U9384" s="19">
        <f>IF($V9384&lt;&gt;'設定'!$C$4,N(U9383),IF(OR(NOT(COUNTIF('商品マスタ'!$B$6:$B$1005,$W9384)=0),COUNTIFS('①在庫を貼る'!$V$6:$V$10005,$V9384,'①在庫を貼る'!$W$6:$W$10005,$W9384)&gt;0),N(U9383),N(U9383)+1))</f>
        <v/>
      </c>
      <c r="V9384" s="19">
        <f>IF($B9384="","",TEXT($B9384,"0000"))</f>
        <v/>
      </c>
      <c r="W9384" s="19">
        <f>IF($I9384="","",IF(ISNUMBER($I9384),TEXT($I9384,"0"),$I9384))</f>
        <v/>
      </c>
    </row>
    <row r="9385">
      <c r="B9385" s="25" t="n"/>
      <c r="I9385" s="25" t="n"/>
      <c r="U9385" s="19">
        <f>IF($V9385&lt;&gt;'設定'!$C$4,N(U9384),IF(OR(NOT(COUNTIF('商品マスタ'!$B$6:$B$1005,$W9385)=0),COUNTIFS('①在庫を貼る'!$V$6:$V$10005,$V9385,'①在庫を貼る'!$W$6:$W$10005,$W9385)&gt;0),N(U9384),N(U9384)+1))</f>
        <v/>
      </c>
      <c r="V9385" s="19">
        <f>IF($B9385="","",TEXT($B9385,"0000"))</f>
        <v/>
      </c>
      <c r="W9385" s="19">
        <f>IF($I9385="","",IF(ISNUMBER($I9385),TEXT($I9385,"0"),$I9385))</f>
        <v/>
      </c>
    </row>
    <row r="9386">
      <c r="B9386" s="25" t="n"/>
      <c r="I9386" s="25" t="n"/>
      <c r="U9386" s="19">
        <f>IF($V9386&lt;&gt;'設定'!$C$4,N(U9385),IF(OR(NOT(COUNTIF('商品マスタ'!$B$6:$B$1005,$W9386)=0),COUNTIFS('①在庫を貼る'!$V$6:$V$10005,$V9386,'①在庫を貼る'!$W$6:$W$10005,$W9386)&gt;0),N(U9385),N(U9385)+1))</f>
        <v/>
      </c>
      <c r="V9386" s="19">
        <f>IF($B9386="","",TEXT($B9386,"0000"))</f>
        <v/>
      </c>
      <c r="W9386" s="19">
        <f>IF($I9386="","",IF(ISNUMBER($I9386),TEXT($I9386,"0"),$I9386))</f>
        <v/>
      </c>
    </row>
    <row r="9387">
      <c r="B9387" s="25" t="n"/>
      <c r="I9387" s="25" t="n"/>
      <c r="U9387" s="19">
        <f>IF($V9387&lt;&gt;'設定'!$C$4,N(U9386),IF(OR(NOT(COUNTIF('商品マスタ'!$B$6:$B$1005,$W9387)=0),COUNTIFS('①在庫を貼る'!$V$6:$V$10005,$V9387,'①在庫を貼る'!$W$6:$W$10005,$W9387)&gt;0),N(U9386),N(U9386)+1))</f>
        <v/>
      </c>
      <c r="V9387" s="19">
        <f>IF($B9387="","",TEXT($B9387,"0000"))</f>
        <v/>
      </c>
      <c r="W9387" s="19">
        <f>IF($I9387="","",IF(ISNUMBER($I9387),TEXT($I9387,"0"),$I9387))</f>
        <v/>
      </c>
    </row>
    <row r="9388">
      <c r="B9388" s="25" t="n"/>
      <c r="I9388" s="25" t="n"/>
      <c r="U9388" s="19">
        <f>IF($V9388&lt;&gt;'設定'!$C$4,N(U9387),IF(OR(NOT(COUNTIF('商品マスタ'!$B$6:$B$1005,$W9388)=0),COUNTIFS('①在庫を貼る'!$V$6:$V$10005,$V9388,'①在庫を貼る'!$W$6:$W$10005,$W9388)&gt;0),N(U9387),N(U9387)+1))</f>
        <v/>
      </c>
      <c r="V9388" s="19">
        <f>IF($B9388="","",TEXT($B9388,"0000"))</f>
        <v/>
      </c>
      <c r="W9388" s="19">
        <f>IF($I9388="","",IF(ISNUMBER($I9388),TEXT($I9388,"0"),$I9388))</f>
        <v/>
      </c>
    </row>
    <row r="9389">
      <c r="B9389" s="25" t="n"/>
      <c r="I9389" s="25" t="n"/>
      <c r="U9389" s="19">
        <f>IF($V9389&lt;&gt;'設定'!$C$4,N(U9388),IF(OR(NOT(COUNTIF('商品マスタ'!$B$6:$B$1005,$W9389)=0),COUNTIFS('①在庫を貼る'!$V$6:$V$10005,$V9389,'①在庫を貼る'!$W$6:$W$10005,$W9389)&gt;0),N(U9388),N(U9388)+1))</f>
        <v/>
      </c>
      <c r="V9389" s="19">
        <f>IF($B9389="","",TEXT($B9389,"0000"))</f>
        <v/>
      </c>
      <c r="W9389" s="19">
        <f>IF($I9389="","",IF(ISNUMBER($I9389),TEXT($I9389,"0"),$I9389))</f>
        <v/>
      </c>
    </row>
    <row r="9390">
      <c r="B9390" s="25" t="n"/>
      <c r="I9390" s="25" t="n"/>
      <c r="U9390" s="19">
        <f>IF($V9390&lt;&gt;'設定'!$C$4,N(U9389),IF(OR(NOT(COUNTIF('商品マスタ'!$B$6:$B$1005,$W9390)=0),COUNTIFS('①在庫を貼る'!$V$6:$V$10005,$V9390,'①在庫を貼る'!$W$6:$W$10005,$W9390)&gt;0),N(U9389),N(U9389)+1))</f>
        <v/>
      </c>
      <c r="V9390" s="19">
        <f>IF($B9390="","",TEXT($B9390,"0000"))</f>
        <v/>
      </c>
      <c r="W9390" s="19">
        <f>IF($I9390="","",IF(ISNUMBER($I9390),TEXT($I9390,"0"),$I9390))</f>
        <v/>
      </c>
    </row>
    <row r="9391">
      <c r="B9391" s="25" t="n"/>
      <c r="I9391" s="25" t="n"/>
      <c r="U9391" s="19">
        <f>IF($V9391&lt;&gt;'設定'!$C$4,N(U9390),IF(OR(NOT(COUNTIF('商品マスタ'!$B$6:$B$1005,$W9391)=0),COUNTIFS('①在庫を貼る'!$V$6:$V$10005,$V9391,'①在庫を貼る'!$W$6:$W$10005,$W9391)&gt;0),N(U9390),N(U9390)+1))</f>
        <v/>
      </c>
      <c r="V9391" s="19">
        <f>IF($B9391="","",TEXT($B9391,"0000"))</f>
        <v/>
      </c>
      <c r="W9391" s="19">
        <f>IF($I9391="","",IF(ISNUMBER($I9391),TEXT($I9391,"0"),$I9391))</f>
        <v/>
      </c>
    </row>
    <row r="9392">
      <c r="B9392" s="25" t="n"/>
      <c r="I9392" s="25" t="n"/>
      <c r="U9392" s="19">
        <f>IF($V9392&lt;&gt;'設定'!$C$4,N(U9391),IF(OR(NOT(COUNTIF('商品マスタ'!$B$6:$B$1005,$W9392)=0),COUNTIFS('①在庫を貼る'!$V$6:$V$10005,$V9392,'①在庫を貼る'!$W$6:$W$10005,$W9392)&gt;0),N(U9391),N(U9391)+1))</f>
        <v/>
      </c>
      <c r="V9392" s="19">
        <f>IF($B9392="","",TEXT($B9392,"0000"))</f>
        <v/>
      </c>
      <c r="W9392" s="19">
        <f>IF($I9392="","",IF(ISNUMBER($I9392),TEXT($I9392,"0"),$I9392))</f>
        <v/>
      </c>
    </row>
    <row r="9393">
      <c r="B9393" s="25" t="n"/>
      <c r="I9393" s="25" t="n"/>
      <c r="U9393" s="19">
        <f>IF($V9393&lt;&gt;'設定'!$C$4,N(U9392),IF(OR(NOT(COUNTIF('商品マスタ'!$B$6:$B$1005,$W9393)=0),COUNTIFS('①在庫を貼る'!$V$6:$V$10005,$V9393,'①在庫を貼る'!$W$6:$W$10005,$W9393)&gt;0),N(U9392),N(U9392)+1))</f>
        <v/>
      </c>
      <c r="V9393" s="19">
        <f>IF($B9393="","",TEXT($B9393,"0000"))</f>
        <v/>
      </c>
      <c r="W9393" s="19">
        <f>IF($I9393="","",IF(ISNUMBER($I9393),TEXT($I9393,"0"),$I9393))</f>
        <v/>
      </c>
    </row>
    <row r="9394">
      <c r="B9394" s="25" t="n"/>
      <c r="I9394" s="25" t="n"/>
      <c r="U9394" s="19">
        <f>IF($V9394&lt;&gt;'設定'!$C$4,N(U9393),IF(OR(NOT(COUNTIF('商品マスタ'!$B$6:$B$1005,$W9394)=0),COUNTIFS('①在庫を貼る'!$V$6:$V$10005,$V9394,'①在庫を貼る'!$W$6:$W$10005,$W9394)&gt;0),N(U9393),N(U9393)+1))</f>
        <v/>
      </c>
      <c r="V9394" s="19">
        <f>IF($B9394="","",TEXT($B9394,"0000"))</f>
        <v/>
      </c>
      <c r="W9394" s="19">
        <f>IF($I9394="","",IF(ISNUMBER($I9394),TEXT($I9394,"0"),$I9394))</f>
        <v/>
      </c>
    </row>
    <row r="9395">
      <c r="B9395" s="25" t="n"/>
      <c r="I9395" s="25" t="n"/>
      <c r="U9395" s="19">
        <f>IF($V9395&lt;&gt;'設定'!$C$4,N(U9394),IF(OR(NOT(COUNTIF('商品マスタ'!$B$6:$B$1005,$W9395)=0),COUNTIFS('①在庫を貼る'!$V$6:$V$10005,$V9395,'①在庫を貼る'!$W$6:$W$10005,$W9395)&gt;0),N(U9394),N(U9394)+1))</f>
        <v/>
      </c>
      <c r="V9395" s="19">
        <f>IF($B9395="","",TEXT($B9395,"0000"))</f>
        <v/>
      </c>
      <c r="W9395" s="19">
        <f>IF($I9395="","",IF(ISNUMBER($I9395),TEXT($I9395,"0"),$I9395))</f>
        <v/>
      </c>
    </row>
    <row r="9396">
      <c r="B9396" s="25" t="n"/>
      <c r="I9396" s="25" t="n"/>
      <c r="U9396" s="19">
        <f>IF($V9396&lt;&gt;'設定'!$C$4,N(U9395),IF(OR(NOT(COUNTIF('商品マスタ'!$B$6:$B$1005,$W9396)=0),COUNTIFS('①在庫を貼る'!$V$6:$V$10005,$V9396,'①在庫を貼る'!$W$6:$W$10005,$W9396)&gt;0),N(U9395),N(U9395)+1))</f>
        <v/>
      </c>
      <c r="V9396" s="19">
        <f>IF($B9396="","",TEXT($B9396,"0000"))</f>
        <v/>
      </c>
      <c r="W9396" s="19">
        <f>IF($I9396="","",IF(ISNUMBER($I9396),TEXT($I9396,"0"),$I9396))</f>
        <v/>
      </c>
    </row>
    <row r="9397">
      <c r="B9397" s="25" t="n"/>
      <c r="I9397" s="25" t="n"/>
      <c r="U9397" s="19">
        <f>IF($V9397&lt;&gt;'設定'!$C$4,N(U9396),IF(OR(NOT(COUNTIF('商品マスタ'!$B$6:$B$1005,$W9397)=0),COUNTIFS('①在庫を貼る'!$V$6:$V$10005,$V9397,'①在庫を貼る'!$W$6:$W$10005,$W9397)&gt;0),N(U9396),N(U9396)+1))</f>
        <v/>
      </c>
      <c r="V9397" s="19">
        <f>IF($B9397="","",TEXT($B9397,"0000"))</f>
        <v/>
      </c>
      <c r="W9397" s="19">
        <f>IF($I9397="","",IF(ISNUMBER($I9397),TEXT($I9397,"0"),$I9397))</f>
        <v/>
      </c>
    </row>
    <row r="9398">
      <c r="B9398" s="25" t="n"/>
      <c r="I9398" s="25" t="n"/>
      <c r="U9398" s="19">
        <f>IF($V9398&lt;&gt;'設定'!$C$4,N(U9397),IF(OR(NOT(COUNTIF('商品マスタ'!$B$6:$B$1005,$W9398)=0),COUNTIFS('①在庫を貼る'!$V$6:$V$10005,$V9398,'①在庫を貼る'!$W$6:$W$10005,$W9398)&gt;0),N(U9397),N(U9397)+1))</f>
        <v/>
      </c>
      <c r="V9398" s="19">
        <f>IF($B9398="","",TEXT($B9398,"0000"))</f>
        <v/>
      </c>
      <c r="W9398" s="19">
        <f>IF($I9398="","",IF(ISNUMBER($I9398),TEXT($I9398,"0"),$I9398))</f>
        <v/>
      </c>
    </row>
    <row r="9399">
      <c r="B9399" s="25" t="n"/>
      <c r="I9399" s="25" t="n"/>
      <c r="U9399" s="19">
        <f>IF($V9399&lt;&gt;'設定'!$C$4,N(U9398),IF(OR(NOT(COUNTIF('商品マスタ'!$B$6:$B$1005,$W9399)=0),COUNTIFS('①在庫を貼る'!$V$6:$V$10005,$V9399,'①在庫を貼る'!$W$6:$W$10005,$W9399)&gt;0),N(U9398),N(U9398)+1))</f>
        <v/>
      </c>
      <c r="V9399" s="19">
        <f>IF($B9399="","",TEXT($B9399,"0000"))</f>
        <v/>
      </c>
      <c r="W9399" s="19">
        <f>IF($I9399="","",IF(ISNUMBER($I9399),TEXT($I9399,"0"),$I9399))</f>
        <v/>
      </c>
    </row>
    <row r="9400">
      <c r="B9400" s="25" t="n"/>
      <c r="I9400" s="25" t="n"/>
      <c r="U9400" s="19">
        <f>IF($V9400&lt;&gt;'設定'!$C$4,N(U9399),IF(OR(NOT(COUNTIF('商品マスタ'!$B$6:$B$1005,$W9400)=0),COUNTIFS('①在庫を貼る'!$V$6:$V$10005,$V9400,'①在庫を貼る'!$W$6:$W$10005,$W9400)&gt;0),N(U9399),N(U9399)+1))</f>
        <v/>
      </c>
      <c r="V9400" s="19">
        <f>IF($B9400="","",TEXT($B9400,"0000"))</f>
        <v/>
      </c>
      <c r="W9400" s="19">
        <f>IF($I9400="","",IF(ISNUMBER($I9400),TEXT($I9400,"0"),$I9400))</f>
        <v/>
      </c>
    </row>
    <row r="9401">
      <c r="B9401" s="25" t="n"/>
      <c r="I9401" s="25" t="n"/>
      <c r="U9401" s="19">
        <f>IF($V9401&lt;&gt;'設定'!$C$4,N(U9400),IF(OR(NOT(COUNTIF('商品マスタ'!$B$6:$B$1005,$W9401)=0),COUNTIFS('①在庫を貼る'!$V$6:$V$10005,$V9401,'①在庫を貼る'!$W$6:$W$10005,$W9401)&gt;0),N(U9400),N(U9400)+1))</f>
        <v/>
      </c>
      <c r="V9401" s="19">
        <f>IF($B9401="","",TEXT($B9401,"0000"))</f>
        <v/>
      </c>
      <c r="W9401" s="19">
        <f>IF($I9401="","",IF(ISNUMBER($I9401),TEXT($I9401,"0"),$I9401))</f>
        <v/>
      </c>
    </row>
    <row r="9402">
      <c r="B9402" s="25" t="n"/>
      <c r="I9402" s="25" t="n"/>
      <c r="U9402" s="19">
        <f>IF($V9402&lt;&gt;'設定'!$C$4,N(U9401),IF(OR(NOT(COUNTIF('商品マスタ'!$B$6:$B$1005,$W9402)=0),COUNTIFS('①在庫を貼る'!$V$6:$V$10005,$V9402,'①在庫を貼る'!$W$6:$W$10005,$W9402)&gt;0),N(U9401),N(U9401)+1))</f>
        <v/>
      </c>
      <c r="V9402" s="19">
        <f>IF($B9402="","",TEXT($B9402,"0000"))</f>
        <v/>
      </c>
      <c r="W9402" s="19">
        <f>IF($I9402="","",IF(ISNUMBER($I9402),TEXT($I9402,"0"),$I9402))</f>
        <v/>
      </c>
    </row>
    <row r="9403">
      <c r="B9403" s="25" t="n"/>
      <c r="I9403" s="25" t="n"/>
      <c r="U9403" s="19">
        <f>IF($V9403&lt;&gt;'設定'!$C$4,N(U9402),IF(OR(NOT(COUNTIF('商品マスタ'!$B$6:$B$1005,$W9403)=0),COUNTIFS('①在庫を貼る'!$V$6:$V$10005,$V9403,'①在庫を貼る'!$W$6:$W$10005,$W9403)&gt;0),N(U9402),N(U9402)+1))</f>
        <v/>
      </c>
      <c r="V9403" s="19">
        <f>IF($B9403="","",TEXT($B9403,"0000"))</f>
        <v/>
      </c>
      <c r="W9403" s="19">
        <f>IF($I9403="","",IF(ISNUMBER($I9403),TEXT($I9403,"0"),$I9403))</f>
        <v/>
      </c>
    </row>
    <row r="9404">
      <c r="B9404" s="25" t="n"/>
      <c r="I9404" s="25" t="n"/>
      <c r="U9404" s="19">
        <f>IF($V9404&lt;&gt;'設定'!$C$4,N(U9403),IF(OR(NOT(COUNTIF('商品マスタ'!$B$6:$B$1005,$W9404)=0),COUNTIFS('①在庫を貼る'!$V$6:$V$10005,$V9404,'①在庫を貼る'!$W$6:$W$10005,$W9404)&gt;0),N(U9403),N(U9403)+1))</f>
        <v/>
      </c>
      <c r="V9404" s="19">
        <f>IF($B9404="","",TEXT($B9404,"0000"))</f>
        <v/>
      </c>
      <c r="W9404" s="19">
        <f>IF($I9404="","",IF(ISNUMBER($I9404),TEXT($I9404,"0"),$I9404))</f>
        <v/>
      </c>
    </row>
    <row r="9405">
      <c r="B9405" s="25" t="n"/>
      <c r="I9405" s="25" t="n"/>
      <c r="U9405" s="19">
        <f>IF($V9405&lt;&gt;'設定'!$C$4,N(U9404),IF(OR(NOT(COUNTIF('商品マスタ'!$B$6:$B$1005,$W9405)=0),COUNTIFS('①在庫を貼る'!$V$6:$V$10005,$V9405,'①在庫を貼る'!$W$6:$W$10005,$W9405)&gt;0),N(U9404),N(U9404)+1))</f>
        <v/>
      </c>
      <c r="V9405" s="19">
        <f>IF($B9405="","",TEXT($B9405,"0000"))</f>
        <v/>
      </c>
      <c r="W9405" s="19">
        <f>IF($I9405="","",IF(ISNUMBER($I9405),TEXT($I9405,"0"),$I9405))</f>
        <v/>
      </c>
    </row>
    <row r="9406">
      <c r="B9406" s="25" t="n"/>
      <c r="I9406" s="25" t="n"/>
      <c r="U9406" s="19">
        <f>IF($V9406&lt;&gt;'設定'!$C$4,N(U9405),IF(OR(NOT(COUNTIF('商品マスタ'!$B$6:$B$1005,$W9406)=0),COUNTIFS('①在庫を貼る'!$V$6:$V$10005,$V9406,'①在庫を貼る'!$W$6:$W$10005,$W9406)&gt;0),N(U9405),N(U9405)+1))</f>
        <v/>
      </c>
      <c r="V9406" s="19">
        <f>IF($B9406="","",TEXT($B9406,"0000"))</f>
        <v/>
      </c>
      <c r="W9406" s="19">
        <f>IF($I9406="","",IF(ISNUMBER($I9406),TEXT($I9406,"0"),$I9406))</f>
        <v/>
      </c>
    </row>
    <row r="9407">
      <c r="B9407" s="25" t="n"/>
      <c r="I9407" s="25" t="n"/>
      <c r="U9407" s="19">
        <f>IF($V9407&lt;&gt;'設定'!$C$4,N(U9406),IF(OR(NOT(COUNTIF('商品マスタ'!$B$6:$B$1005,$W9407)=0),COUNTIFS('①在庫を貼る'!$V$6:$V$10005,$V9407,'①在庫を貼る'!$W$6:$W$10005,$W9407)&gt;0),N(U9406),N(U9406)+1))</f>
        <v/>
      </c>
      <c r="V9407" s="19">
        <f>IF($B9407="","",TEXT($B9407,"0000"))</f>
        <v/>
      </c>
      <c r="W9407" s="19">
        <f>IF($I9407="","",IF(ISNUMBER($I9407),TEXT($I9407,"0"),$I9407))</f>
        <v/>
      </c>
    </row>
    <row r="9408">
      <c r="B9408" s="25" t="n"/>
      <c r="I9408" s="25" t="n"/>
      <c r="U9408" s="19">
        <f>IF($V9408&lt;&gt;'設定'!$C$4,N(U9407),IF(OR(NOT(COUNTIF('商品マスタ'!$B$6:$B$1005,$W9408)=0),COUNTIFS('①在庫を貼る'!$V$6:$V$10005,$V9408,'①在庫を貼る'!$W$6:$W$10005,$W9408)&gt;0),N(U9407),N(U9407)+1))</f>
        <v/>
      </c>
      <c r="V9408" s="19">
        <f>IF($B9408="","",TEXT($B9408,"0000"))</f>
        <v/>
      </c>
      <c r="W9408" s="19">
        <f>IF($I9408="","",IF(ISNUMBER($I9408),TEXT($I9408,"0"),$I9408))</f>
        <v/>
      </c>
    </row>
    <row r="9409">
      <c r="B9409" s="25" t="n"/>
      <c r="I9409" s="25" t="n"/>
      <c r="U9409" s="19">
        <f>IF($V9409&lt;&gt;'設定'!$C$4,N(U9408),IF(OR(NOT(COUNTIF('商品マスタ'!$B$6:$B$1005,$W9409)=0),COUNTIFS('①在庫を貼る'!$V$6:$V$10005,$V9409,'①在庫を貼る'!$W$6:$W$10005,$W9409)&gt;0),N(U9408),N(U9408)+1))</f>
        <v/>
      </c>
      <c r="V9409" s="19">
        <f>IF($B9409="","",TEXT($B9409,"0000"))</f>
        <v/>
      </c>
      <c r="W9409" s="19">
        <f>IF($I9409="","",IF(ISNUMBER($I9409),TEXT($I9409,"0"),$I9409))</f>
        <v/>
      </c>
    </row>
    <row r="9410">
      <c r="B9410" s="25" t="n"/>
      <c r="I9410" s="25" t="n"/>
      <c r="U9410" s="19">
        <f>IF($V9410&lt;&gt;'設定'!$C$4,N(U9409),IF(OR(NOT(COUNTIF('商品マスタ'!$B$6:$B$1005,$W9410)=0),COUNTIFS('①在庫を貼る'!$V$6:$V$10005,$V9410,'①在庫を貼る'!$W$6:$W$10005,$W9410)&gt;0),N(U9409),N(U9409)+1))</f>
        <v/>
      </c>
      <c r="V9410" s="19">
        <f>IF($B9410="","",TEXT($B9410,"0000"))</f>
        <v/>
      </c>
      <c r="W9410" s="19">
        <f>IF($I9410="","",IF(ISNUMBER($I9410),TEXT($I9410,"0"),$I9410))</f>
        <v/>
      </c>
    </row>
    <row r="9411">
      <c r="B9411" s="25" t="n"/>
      <c r="I9411" s="25" t="n"/>
      <c r="U9411" s="19">
        <f>IF($V9411&lt;&gt;'設定'!$C$4,N(U9410),IF(OR(NOT(COUNTIF('商品マスタ'!$B$6:$B$1005,$W9411)=0),COUNTIFS('①在庫を貼る'!$V$6:$V$10005,$V9411,'①在庫を貼る'!$W$6:$W$10005,$W9411)&gt;0),N(U9410),N(U9410)+1))</f>
        <v/>
      </c>
      <c r="V9411" s="19">
        <f>IF($B9411="","",TEXT($B9411,"0000"))</f>
        <v/>
      </c>
      <c r="W9411" s="19">
        <f>IF($I9411="","",IF(ISNUMBER($I9411),TEXT($I9411,"0"),$I9411))</f>
        <v/>
      </c>
    </row>
    <row r="9412">
      <c r="B9412" s="25" t="n"/>
      <c r="I9412" s="25" t="n"/>
      <c r="U9412" s="19">
        <f>IF($V9412&lt;&gt;'設定'!$C$4,N(U9411),IF(OR(NOT(COUNTIF('商品マスタ'!$B$6:$B$1005,$W9412)=0),COUNTIFS('①在庫を貼る'!$V$6:$V$10005,$V9412,'①在庫を貼る'!$W$6:$W$10005,$W9412)&gt;0),N(U9411),N(U9411)+1))</f>
        <v/>
      </c>
      <c r="V9412" s="19">
        <f>IF($B9412="","",TEXT($B9412,"0000"))</f>
        <v/>
      </c>
      <c r="W9412" s="19">
        <f>IF($I9412="","",IF(ISNUMBER($I9412),TEXT($I9412,"0"),$I9412))</f>
        <v/>
      </c>
    </row>
    <row r="9413">
      <c r="B9413" s="25" t="n"/>
      <c r="I9413" s="25" t="n"/>
      <c r="U9413" s="19">
        <f>IF($V9413&lt;&gt;'設定'!$C$4,N(U9412),IF(OR(NOT(COUNTIF('商品マスタ'!$B$6:$B$1005,$W9413)=0),COUNTIFS('①在庫を貼る'!$V$6:$V$10005,$V9413,'①在庫を貼る'!$W$6:$W$10005,$W9413)&gt;0),N(U9412),N(U9412)+1))</f>
        <v/>
      </c>
      <c r="V9413" s="19">
        <f>IF($B9413="","",TEXT($B9413,"0000"))</f>
        <v/>
      </c>
      <c r="W9413" s="19">
        <f>IF($I9413="","",IF(ISNUMBER($I9413),TEXT($I9413,"0"),$I9413))</f>
        <v/>
      </c>
    </row>
    <row r="9414">
      <c r="B9414" s="25" t="n"/>
      <c r="I9414" s="25" t="n"/>
      <c r="U9414" s="19">
        <f>IF($V9414&lt;&gt;'設定'!$C$4,N(U9413),IF(OR(NOT(COUNTIF('商品マスタ'!$B$6:$B$1005,$W9414)=0),COUNTIFS('①在庫を貼る'!$V$6:$V$10005,$V9414,'①在庫を貼る'!$W$6:$W$10005,$W9414)&gt;0),N(U9413),N(U9413)+1))</f>
        <v/>
      </c>
      <c r="V9414" s="19">
        <f>IF($B9414="","",TEXT($B9414,"0000"))</f>
        <v/>
      </c>
      <c r="W9414" s="19">
        <f>IF($I9414="","",IF(ISNUMBER($I9414),TEXT($I9414,"0"),$I9414))</f>
        <v/>
      </c>
    </row>
    <row r="9415">
      <c r="B9415" s="25" t="n"/>
      <c r="I9415" s="25" t="n"/>
      <c r="U9415" s="19">
        <f>IF($V9415&lt;&gt;'設定'!$C$4,N(U9414),IF(OR(NOT(COUNTIF('商品マスタ'!$B$6:$B$1005,$W9415)=0),COUNTIFS('①在庫を貼る'!$V$6:$V$10005,$V9415,'①在庫を貼る'!$W$6:$W$10005,$W9415)&gt;0),N(U9414),N(U9414)+1))</f>
        <v/>
      </c>
      <c r="V9415" s="19">
        <f>IF($B9415="","",TEXT($B9415,"0000"))</f>
        <v/>
      </c>
      <c r="W9415" s="19">
        <f>IF($I9415="","",IF(ISNUMBER($I9415),TEXT($I9415,"0"),$I9415))</f>
        <v/>
      </c>
    </row>
    <row r="9416">
      <c r="B9416" s="25" t="n"/>
      <c r="I9416" s="25" t="n"/>
      <c r="U9416" s="19">
        <f>IF($V9416&lt;&gt;'設定'!$C$4,N(U9415),IF(OR(NOT(COUNTIF('商品マスタ'!$B$6:$B$1005,$W9416)=0),COUNTIFS('①在庫を貼る'!$V$6:$V$10005,$V9416,'①在庫を貼る'!$W$6:$W$10005,$W9416)&gt;0),N(U9415),N(U9415)+1))</f>
        <v/>
      </c>
      <c r="V9416" s="19">
        <f>IF($B9416="","",TEXT($B9416,"0000"))</f>
        <v/>
      </c>
      <c r="W9416" s="19">
        <f>IF($I9416="","",IF(ISNUMBER($I9416),TEXT($I9416,"0"),$I9416))</f>
        <v/>
      </c>
    </row>
    <row r="9417">
      <c r="B9417" s="25" t="n"/>
      <c r="I9417" s="25" t="n"/>
      <c r="U9417" s="19">
        <f>IF($V9417&lt;&gt;'設定'!$C$4,N(U9416),IF(OR(NOT(COUNTIF('商品マスタ'!$B$6:$B$1005,$W9417)=0),COUNTIFS('①在庫を貼る'!$V$6:$V$10005,$V9417,'①在庫を貼る'!$W$6:$W$10005,$W9417)&gt;0),N(U9416),N(U9416)+1))</f>
        <v/>
      </c>
      <c r="V9417" s="19">
        <f>IF($B9417="","",TEXT($B9417,"0000"))</f>
        <v/>
      </c>
      <c r="W9417" s="19">
        <f>IF($I9417="","",IF(ISNUMBER($I9417),TEXT($I9417,"0"),$I9417))</f>
        <v/>
      </c>
    </row>
    <row r="9418">
      <c r="B9418" s="25" t="n"/>
      <c r="I9418" s="25" t="n"/>
      <c r="U9418" s="19">
        <f>IF($V9418&lt;&gt;'設定'!$C$4,N(U9417),IF(OR(NOT(COUNTIF('商品マスタ'!$B$6:$B$1005,$W9418)=0),COUNTIFS('①在庫を貼る'!$V$6:$V$10005,$V9418,'①在庫を貼る'!$W$6:$W$10005,$W9418)&gt;0),N(U9417),N(U9417)+1))</f>
        <v/>
      </c>
      <c r="V9418" s="19">
        <f>IF($B9418="","",TEXT($B9418,"0000"))</f>
        <v/>
      </c>
      <c r="W9418" s="19">
        <f>IF($I9418="","",IF(ISNUMBER($I9418),TEXT($I9418,"0"),$I9418))</f>
        <v/>
      </c>
    </row>
    <row r="9419">
      <c r="B9419" s="25" t="n"/>
      <c r="I9419" s="25" t="n"/>
      <c r="U9419" s="19">
        <f>IF($V9419&lt;&gt;'設定'!$C$4,N(U9418),IF(OR(NOT(COUNTIF('商品マスタ'!$B$6:$B$1005,$W9419)=0),COUNTIFS('①在庫を貼る'!$V$6:$V$10005,$V9419,'①在庫を貼る'!$W$6:$W$10005,$W9419)&gt;0),N(U9418),N(U9418)+1))</f>
        <v/>
      </c>
      <c r="V9419" s="19">
        <f>IF($B9419="","",TEXT($B9419,"0000"))</f>
        <v/>
      </c>
      <c r="W9419" s="19">
        <f>IF($I9419="","",IF(ISNUMBER($I9419),TEXT($I9419,"0"),$I9419))</f>
        <v/>
      </c>
    </row>
    <row r="9420">
      <c r="B9420" s="25" t="n"/>
      <c r="I9420" s="25" t="n"/>
      <c r="U9420" s="19">
        <f>IF($V9420&lt;&gt;'設定'!$C$4,N(U9419),IF(OR(NOT(COUNTIF('商品マスタ'!$B$6:$B$1005,$W9420)=0),COUNTIFS('①在庫を貼る'!$V$6:$V$10005,$V9420,'①在庫を貼る'!$W$6:$W$10005,$W9420)&gt;0),N(U9419),N(U9419)+1))</f>
        <v/>
      </c>
      <c r="V9420" s="19">
        <f>IF($B9420="","",TEXT($B9420,"0000"))</f>
        <v/>
      </c>
      <c r="W9420" s="19">
        <f>IF($I9420="","",IF(ISNUMBER($I9420),TEXT($I9420,"0"),$I9420))</f>
        <v/>
      </c>
    </row>
    <row r="9421">
      <c r="B9421" s="25" t="n"/>
      <c r="I9421" s="25" t="n"/>
      <c r="U9421" s="19">
        <f>IF($V9421&lt;&gt;'設定'!$C$4,N(U9420),IF(OR(NOT(COUNTIF('商品マスタ'!$B$6:$B$1005,$W9421)=0),COUNTIFS('①在庫を貼る'!$V$6:$V$10005,$V9421,'①在庫を貼る'!$W$6:$W$10005,$W9421)&gt;0),N(U9420),N(U9420)+1))</f>
        <v/>
      </c>
      <c r="V9421" s="19">
        <f>IF($B9421="","",TEXT($B9421,"0000"))</f>
        <v/>
      </c>
      <c r="W9421" s="19">
        <f>IF($I9421="","",IF(ISNUMBER($I9421),TEXT($I9421,"0"),$I9421))</f>
        <v/>
      </c>
    </row>
    <row r="9422">
      <c r="B9422" s="25" t="n"/>
      <c r="I9422" s="25" t="n"/>
      <c r="U9422" s="19">
        <f>IF($V9422&lt;&gt;'設定'!$C$4,N(U9421),IF(OR(NOT(COUNTIF('商品マスタ'!$B$6:$B$1005,$W9422)=0),COUNTIFS('①在庫を貼る'!$V$6:$V$10005,$V9422,'①在庫を貼る'!$W$6:$W$10005,$W9422)&gt;0),N(U9421),N(U9421)+1))</f>
        <v/>
      </c>
      <c r="V9422" s="19">
        <f>IF($B9422="","",TEXT($B9422,"0000"))</f>
        <v/>
      </c>
      <c r="W9422" s="19">
        <f>IF($I9422="","",IF(ISNUMBER($I9422),TEXT($I9422,"0"),$I9422))</f>
        <v/>
      </c>
    </row>
    <row r="9423">
      <c r="B9423" s="25" t="n"/>
      <c r="I9423" s="25" t="n"/>
      <c r="U9423" s="19">
        <f>IF($V9423&lt;&gt;'設定'!$C$4,N(U9422),IF(OR(NOT(COUNTIF('商品マスタ'!$B$6:$B$1005,$W9423)=0),COUNTIFS('①在庫を貼る'!$V$6:$V$10005,$V9423,'①在庫を貼る'!$W$6:$W$10005,$W9423)&gt;0),N(U9422),N(U9422)+1))</f>
        <v/>
      </c>
      <c r="V9423" s="19">
        <f>IF($B9423="","",TEXT($B9423,"0000"))</f>
        <v/>
      </c>
      <c r="W9423" s="19">
        <f>IF($I9423="","",IF(ISNUMBER($I9423),TEXT($I9423,"0"),$I9423))</f>
        <v/>
      </c>
    </row>
    <row r="9424">
      <c r="B9424" s="25" t="n"/>
      <c r="I9424" s="25" t="n"/>
      <c r="U9424" s="19">
        <f>IF($V9424&lt;&gt;'設定'!$C$4,N(U9423),IF(OR(NOT(COUNTIF('商品マスタ'!$B$6:$B$1005,$W9424)=0),COUNTIFS('①在庫を貼る'!$V$6:$V$10005,$V9424,'①在庫を貼る'!$W$6:$W$10005,$W9424)&gt;0),N(U9423),N(U9423)+1))</f>
        <v/>
      </c>
      <c r="V9424" s="19">
        <f>IF($B9424="","",TEXT($B9424,"0000"))</f>
        <v/>
      </c>
      <c r="W9424" s="19">
        <f>IF($I9424="","",IF(ISNUMBER($I9424),TEXT($I9424,"0"),$I9424))</f>
        <v/>
      </c>
    </row>
    <row r="9425">
      <c r="B9425" s="25" t="n"/>
      <c r="I9425" s="25" t="n"/>
      <c r="U9425" s="19">
        <f>IF($V9425&lt;&gt;'設定'!$C$4,N(U9424),IF(OR(NOT(COUNTIF('商品マスタ'!$B$6:$B$1005,$W9425)=0),COUNTIFS('①在庫を貼る'!$V$6:$V$10005,$V9425,'①在庫を貼る'!$W$6:$W$10005,$W9425)&gt;0),N(U9424),N(U9424)+1))</f>
        <v/>
      </c>
      <c r="V9425" s="19">
        <f>IF($B9425="","",TEXT($B9425,"0000"))</f>
        <v/>
      </c>
      <c r="W9425" s="19">
        <f>IF($I9425="","",IF(ISNUMBER($I9425),TEXT($I9425,"0"),$I9425))</f>
        <v/>
      </c>
    </row>
    <row r="9426">
      <c r="B9426" s="25" t="n"/>
      <c r="I9426" s="25" t="n"/>
      <c r="U9426" s="19">
        <f>IF($V9426&lt;&gt;'設定'!$C$4,N(U9425),IF(OR(NOT(COUNTIF('商品マスタ'!$B$6:$B$1005,$W9426)=0),COUNTIFS('①在庫を貼る'!$V$6:$V$10005,$V9426,'①在庫を貼る'!$W$6:$W$10005,$W9426)&gt;0),N(U9425),N(U9425)+1))</f>
        <v/>
      </c>
      <c r="V9426" s="19">
        <f>IF($B9426="","",TEXT($B9426,"0000"))</f>
        <v/>
      </c>
      <c r="W9426" s="19">
        <f>IF($I9426="","",IF(ISNUMBER($I9426),TEXT($I9426,"0"),$I9426))</f>
        <v/>
      </c>
    </row>
    <row r="9427">
      <c r="B9427" s="25" t="n"/>
      <c r="I9427" s="25" t="n"/>
      <c r="U9427" s="19">
        <f>IF($V9427&lt;&gt;'設定'!$C$4,N(U9426),IF(OR(NOT(COUNTIF('商品マスタ'!$B$6:$B$1005,$W9427)=0),COUNTIFS('①在庫を貼る'!$V$6:$V$10005,$V9427,'①在庫を貼る'!$W$6:$W$10005,$W9427)&gt;0),N(U9426),N(U9426)+1))</f>
        <v/>
      </c>
      <c r="V9427" s="19">
        <f>IF($B9427="","",TEXT($B9427,"0000"))</f>
        <v/>
      </c>
      <c r="W9427" s="19">
        <f>IF($I9427="","",IF(ISNUMBER($I9427),TEXT($I9427,"0"),$I9427))</f>
        <v/>
      </c>
    </row>
    <row r="9428">
      <c r="B9428" s="25" t="n"/>
      <c r="I9428" s="25" t="n"/>
      <c r="U9428" s="19">
        <f>IF($V9428&lt;&gt;'設定'!$C$4,N(U9427),IF(OR(NOT(COUNTIF('商品マスタ'!$B$6:$B$1005,$W9428)=0),COUNTIFS('①在庫を貼る'!$V$6:$V$10005,$V9428,'①在庫を貼る'!$W$6:$W$10005,$W9428)&gt;0),N(U9427),N(U9427)+1))</f>
        <v/>
      </c>
      <c r="V9428" s="19">
        <f>IF($B9428="","",TEXT($B9428,"0000"))</f>
        <v/>
      </c>
      <c r="W9428" s="19">
        <f>IF($I9428="","",IF(ISNUMBER($I9428),TEXT($I9428,"0"),$I9428))</f>
        <v/>
      </c>
    </row>
    <row r="9429">
      <c r="B9429" s="25" t="n"/>
      <c r="I9429" s="25" t="n"/>
      <c r="U9429" s="19">
        <f>IF($V9429&lt;&gt;'設定'!$C$4,N(U9428),IF(OR(NOT(COUNTIF('商品マスタ'!$B$6:$B$1005,$W9429)=0),COUNTIFS('①在庫を貼る'!$V$6:$V$10005,$V9429,'①在庫を貼る'!$W$6:$W$10005,$W9429)&gt;0),N(U9428),N(U9428)+1))</f>
        <v/>
      </c>
      <c r="V9429" s="19">
        <f>IF($B9429="","",TEXT($B9429,"0000"))</f>
        <v/>
      </c>
      <c r="W9429" s="19">
        <f>IF($I9429="","",IF(ISNUMBER($I9429),TEXT($I9429,"0"),$I9429))</f>
        <v/>
      </c>
    </row>
    <row r="9430">
      <c r="B9430" s="25" t="n"/>
      <c r="I9430" s="25" t="n"/>
      <c r="U9430" s="19">
        <f>IF($V9430&lt;&gt;'設定'!$C$4,N(U9429),IF(OR(NOT(COUNTIF('商品マスタ'!$B$6:$B$1005,$W9430)=0),COUNTIFS('①在庫を貼る'!$V$6:$V$10005,$V9430,'①在庫を貼る'!$W$6:$W$10005,$W9430)&gt;0),N(U9429),N(U9429)+1))</f>
        <v/>
      </c>
      <c r="V9430" s="19">
        <f>IF($B9430="","",TEXT($B9430,"0000"))</f>
        <v/>
      </c>
      <c r="W9430" s="19">
        <f>IF($I9430="","",IF(ISNUMBER($I9430),TEXT($I9430,"0"),$I9430))</f>
        <v/>
      </c>
    </row>
    <row r="9431">
      <c r="B9431" s="25" t="n"/>
      <c r="I9431" s="25" t="n"/>
      <c r="U9431" s="19">
        <f>IF($V9431&lt;&gt;'設定'!$C$4,N(U9430),IF(OR(NOT(COUNTIF('商品マスタ'!$B$6:$B$1005,$W9431)=0),COUNTIFS('①在庫を貼る'!$V$6:$V$10005,$V9431,'①在庫を貼る'!$W$6:$W$10005,$W9431)&gt;0),N(U9430),N(U9430)+1))</f>
        <v/>
      </c>
      <c r="V9431" s="19">
        <f>IF($B9431="","",TEXT($B9431,"0000"))</f>
        <v/>
      </c>
      <c r="W9431" s="19">
        <f>IF($I9431="","",IF(ISNUMBER($I9431),TEXT($I9431,"0"),$I9431))</f>
        <v/>
      </c>
    </row>
    <row r="9432">
      <c r="B9432" s="25" t="n"/>
      <c r="I9432" s="25" t="n"/>
      <c r="U9432" s="19">
        <f>IF($V9432&lt;&gt;'設定'!$C$4,N(U9431),IF(OR(NOT(COUNTIF('商品マスタ'!$B$6:$B$1005,$W9432)=0),COUNTIFS('①在庫を貼る'!$V$6:$V$10005,$V9432,'①在庫を貼る'!$W$6:$W$10005,$W9432)&gt;0),N(U9431),N(U9431)+1))</f>
        <v/>
      </c>
      <c r="V9432" s="19">
        <f>IF($B9432="","",TEXT($B9432,"0000"))</f>
        <v/>
      </c>
      <c r="W9432" s="19">
        <f>IF($I9432="","",IF(ISNUMBER($I9432),TEXT($I9432,"0"),$I9432))</f>
        <v/>
      </c>
    </row>
    <row r="9433">
      <c r="B9433" s="25" t="n"/>
      <c r="I9433" s="25" t="n"/>
      <c r="U9433" s="19">
        <f>IF($V9433&lt;&gt;'設定'!$C$4,N(U9432),IF(OR(NOT(COUNTIF('商品マスタ'!$B$6:$B$1005,$W9433)=0),COUNTIFS('①在庫を貼る'!$V$6:$V$10005,$V9433,'①在庫を貼る'!$W$6:$W$10005,$W9433)&gt;0),N(U9432),N(U9432)+1))</f>
        <v/>
      </c>
      <c r="V9433" s="19">
        <f>IF($B9433="","",TEXT($B9433,"0000"))</f>
        <v/>
      </c>
      <c r="W9433" s="19">
        <f>IF($I9433="","",IF(ISNUMBER($I9433),TEXT($I9433,"0"),$I9433))</f>
        <v/>
      </c>
    </row>
    <row r="9434">
      <c r="B9434" s="25" t="n"/>
      <c r="I9434" s="25" t="n"/>
      <c r="U9434" s="19">
        <f>IF($V9434&lt;&gt;'設定'!$C$4,N(U9433),IF(OR(NOT(COUNTIF('商品マスタ'!$B$6:$B$1005,$W9434)=0),COUNTIFS('①在庫を貼る'!$V$6:$V$10005,$V9434,'①在庫を貼る'!$W$6:$W$10005,$W9434)&gt;0),N(U9433),N(U9433)+1))</f>
        <v/>
      </c>
      <c r="V9434" s="19">
        <f>IF($B9434="","",TEXT($B9434,"0000"))</f>
        <v/>
      </c>
      <c r="W9434" s="19">
        <f>IF($I9434="","",IF(ISNUMBER($I9434),TEXT($I9434,"0"),$I9434))</f>
        <v/>
      </c>
    </row>
    <row r="9435">
      <c r="B9435" s="25" t="n"/>
      <c r="I9435" s="25" t="n"/>
      <c r="U9435" s="19">
        <f>IF($V9435&lt;&gt;'設定'!$C$4,N(U9434),IF(OR(NOT(COUNTIF('商品マスタ'!$B$6:$B$1005,$W9435)=0),COUNTIFS('①在庫を貼る'!$V$6:$V$10005,$V9435,'①在庫を貼る'!$W$6:$W$10005,$W9435)&gt;0),N(U9434),N(U9434)+1))</f>
        <v/>
      </c>
      <c r="V9435" s="19">
        <f>IF($B9435="","",TEXT($B9435,"0000"))</f>
        <v/>
      </c>
      <c r="W9435" s="19">
        <f>IF($I9435="","",IF(ISNUMBER($I9435),TEXT($I9435,"0"),$I9435))</f>
        <v/>
      </c>
    </row>
    <row r="9436">
      <c r="B9436" s="25" t="n"/>
      <c r="I9436" s="25" t="n"/>
      <c r="U9436" s="19">
        <f>IF($V9436&lt;&gt;'設定'!$C$4,N(U9435),IF(OR(NOT(COUNTIF('商品マスタ'!$B$6:$B$1005,$W9436)=0),COUNTIFS('①在庫を貼る'!$V$6:$V$10005,$V9436,'①在庫を貼る'!$W$6:$W$10005,$W9436)&gt;0),N(U9435),N(U9435)+1))</f>
        <v/>
      </c>
      <c r="V9436" s="19">
        <f>IF($B9436="","",TEXT($B9436,"0000"))</f>
        <v/>
      </c>
      <c r="W9436" s="19">
        <f>IF($I9436="","",IF(ISNUMBER($I9436),TEXT($I9436,"0"),$I9436))</f>
        <v/>
      </c>
    </row>
    <row r="9437">
      <c r="B9437" s="25" t="n"/>
      <c r="I9437" s="25" t="n"/>
      <c r="U9437" s="19">
        <f>IF($V9437&lt;&gt;'設定'!$C$4,N(U9436),IF(OR(NOT(COUNTIF('商品マスタ'!$B$6:$B$1005,$W9437)=0),COUNTIFS('①在庫を貼る'!$V$6:$V$10005,$V9437,'①在庫を貼る'!$W$6:$W$10005,$W9437)&gt;0),N(U9436),N(U9436)+1))</f>
        <v/>
      </c>
      <c r="V9437" s="19">
        <f>IF($B9437="","",TEXT($B9437,"0000"))</f>
        <v/>
      </c>
      <c r="W9437" s="19">
        <f>IF($I9437="","",IF(ISNUMBER($I9437),TEXT($I9437,"0"),$I9437))</f>
        <v/>
      </c>
    </row>
    <row r="9438">
      <c r="B9438" s="25" t="n"/>
      <c r="I9438" s="25" t="n"/>
      <c r="U9438" s="19">
        <f>IF($V9438&lt;&gt;'設定'!$C$4,N(U9437),IF(OR(NOT(COUNTIF('商品マスタ'!$B$6:$B$1005,$W9438)=0),COUNTIFS('①在庫を貼る'!$V$6:$V$10005,$V9438,'①在庫を貼る'!$W$6:$W$10005,$W9438)&gt;0),N(U9437),N(U9437)+1))</f>
        <v/>
      </c>
      <c r="V9438" s="19">
        <f>IF($B9438="","",TEXT($B9438,"0000"))</f>
        <v/>
      </c>
      <c r="W9438" s="19">
        <f>IF($I9438="","",IF(ISNUMBER($I9438),TEXT($I9438,"0"),$I9438))</f>
        <v/>
      </c>
    </row>
    <row r="9439">
      <c r="B9439" s="25" t="n"/>
      <c r="I9439" s="25" t="n"/>
      <c r="U9439" s="19">
        <f>IF($V9439&lt;&gt;'設定'!$C$4,N(U9438),IF(OR(NOT(COUNTIF('商品マスタ'!$B$6:$B$1005,$W9439)=0),COUNTIFS('①在庫を貼る'!$V$6:$V$10005,$V9439,'①在庫を貼る'!$W$6:$W$10005,$W9439)&gt;0),N(U9438),N(U9438)+1))</f>
        <v/>
      </c>
      <c r="V9439" s="19">
        <f>IF($B9439="","",TEXT($B9439,"0000"))</f>
        <v/>
      </c>
      <c r="W9439" s="19">
        <f>IF($I9439="","",IF(ISNUMBER($I9439),TEXT($I9439,"0"),$I9439))</f>
        <v/>
      </c>
    </row>
    <row r="9440">
      <c r="B9440" s="25" t="n"/>
      <c r="I9440" s="25" t="n"/>
      <c r="U9440" s="19">
        <f>IF($V9440&lt;&gt;'設定'!$C$4,N(U9439),IF(OR(NOT(COUNTIF('商品マスタ'!$B$6:$B$1005,$W9440)=0),COUNTIFS('①在庫を貼る'!$V$6:$V$10005,$V9440,'①在庫を貼る'!$W$6:$W$10005,$W9440)&gt;0),N(U9439),N(U9439)+1))</f>
        <v/>
      </c>
      <c r="V9440" s="19">
        <f>IF($B9440="","",TEXT($B9440,"0000"))</f>
        <v/>
      </c>
      <c r="W9440" s="19">
        <f>IF($I9440="","",IF(ISNUMBER($I9440),TEXT($I9440,"0"),$I9440))</f>
        <v/>
      </c>
    </row>
    <row r="9441">
      <c r="B9441" s="25" t="n"/>
      <c r="I9441" s="25" t="n"/>
      <c r="U9441" s="19">
        <f>IF($V9441&lt;&gt;'設定'!$C$4,N(U9440),IF(OR(NOT(COUNTIF('商品マスタ'!$B$6:$B$1005,$W9441)=0),COUNTIFS('①在庫を貼る'!$V$6:$V$10005,$V9441,'①在庫を貼る'!$W$6:$W$10005,$W9441)&gt;0),N(U9440),N(U9440)+1))</f>
        <v/>
      </c>
      <c r="V9441" s="19">
        <f>IF($B9441="","",TEXT($B9441,"0000"))</f>
        <v/>
      </c>
      <c r="W9441" s="19">
        <f>IF($I9441="","",IF(ISNUMBER($I9441),TEXT($I9441,"0"),$I9441))</f>
        <v/>
      </c>
    </row>
    <row r="9442">
      <c r="B9442" s="25" t="n"/>
      <c r="I9442" s="25" t="n"/>
      <c r="U9442" s="19">
        <f>IF($V9442&lt;&gt;'設定'!$C$4,N(U9441),IF(OR(NOT(COUNTIF('商品マスタ'!$B$6:$B$1005,$W9442)=0),COUNTIFS('①在庫を貼る'!$V$6:$V$10005,$V9442,'①在庫を貼る'!$W$6:$W$10005,$W9442)&gt;0),N(U9441),N(U9441)+1))</f>
        <v/>
      </c>
      <c r="V9442" s="19">
        <f>IF($B9442="","",TEXT($B9442,"0000"))</f>
        <v/>
      </c>
      <c r="W9442" s="19">
        <f>IF($I9442="","",IF(ISNUMBER($I9442),TEXT($I9442,"0"),$I9442))</f>
        <v/>
      </c>
    </row>
    <row r="9443">
      <c r="B9443" s="25" t="n"/>
      <c r="I9443" s="25" t="n"/>
      <c r="U9443" s="19">
        <f>IF($V9443&lt;&gt;'設定'!$C$4,N(U9442),IF(OR(NOT(COUNTIF('商品マスタ'!$B$6:$B$1005,$W9443)=0),COUNTIFS('①在庫を貼る'!$V$6:$V$10005,$V9443,'①在庫を貼る'!$W$6:$W$10005,$W9443)&gt;0),N(U9442),N(U9442)+1))</f>
        <v/>
      </c>
      <c r="V9443" s="19">
        <f>IF($B9443="","",TEXT($B9443,"0000"))</f>
        <v/>
      </c>
      <c r="W9443" s="19">
        <f>IF($I9443="","",IF(ISNUMBER($I9443),TEXT($I9443,"0"),$I9443))</f>
        <v/>
      </c>
    </row>
    <row r="9444">
      <c r="B9444" s="25" t="n"/>
      <c r="I9444" s="25" t="n"/>
      <c r="U9444" s="19">
        <f>IF($V9444&lt;&gt;'設定'!$C$4,N(U9443),IF(OR(NOT(COUNTIF('商品マスタ'!$B$6:$B$1005,$W9444)=0),COUNTIFS('①在庫を貼る'!$V$6:$V$10005,$V9444,'①在庫を貼る'!$W$6:$W$10005,$W9444)&gt;0),N(U9443),N(U9443)+1))</f>
        <v/>
      </c>
      <c r="V9444" s="19">
        <f>IF($B9444="","",TEXT($B9444,"0000"))</f>
        <v/>
      </c>
      <c r="W9444" s="19">
        <f>IF($I9444="","",IF(ISNUMBER($I9444),TEXT($I9444,"0"),$I9444))</f>
        <v/>
      </c>
    </row>
    <row r="9445">
      <c r="B9445" s="25" t="n"/>
      <c r="I9445" s="25" t="n"/>
      <c r="U9445" s="19">
        <f>IF($V9445&lt;&gt;'設定'!$C$4,N(U9444),IF(OR(NOT(COUNTIF('商品マスタ'!$B$6:$B$1005,$W9445)=0),COUNTIFS('①在庫を貼る'!$V$6:$V$10005,$V9445,'①在庫を貼る'!$W$6:$W$10005,$W9445)&gt;0),N(U9444),N(U9444)+1))</f>
        <v/>
      </c>
      <c r="V9445" s="19">
        <f>IF($B9445="","",TEXT($B9445,"0000"))</f>
        <v/>
      </c>
      <c r="W9445" s="19">
        <f>IF($I9445="","",IF(ISNUMBER($I9445),TEXT($I9445,"0"),$I9445))</f>
        <v/>
      </c>
    </row>
    <row r="9446">
      <c r="B9446" s="25" t="n"/>
      <c r="I9446" s="25" t="n"/>
      <c r="U9446" s="19">
        <f>IF($V9446&lt;&gt;'設定'!$C$4,N(U9445),IF(OR(NOT(COUNTIF('商品マスタ'!$B$6:$B$1005,$W9446)=0),COUNTIFS('①在庫を貼る'!$V$6:$V$10005,$V9446,'①在庫を貼る'!$W$6:$W$10005,$W9446)&gt;0),N(U9445),N(U9445)+1))</f>
        <v/>
      </c>
      <c r="V9446" s="19">
        <f>IF($B9446="","",TEXT($B9446,"0000"))</f>
        <v/>
      </c>
      <c r="W9446" s="19">
        <f>IF($I9446="","",IF(ISNUMBER($I9446),TEXT($I9446,"0"),$I9446))</f>
        <v/>
      </c>
    </row>
    <row r="9447">
      <c r="B9447" s="25" t="n"/>
      <c r="I9447" s="25" t="n"/>
      <c r="U9447" s="19">
        <f>IF($V9447&lt;&gt;'設定'!$C$4,N(U9446),IF(OR(NOT(COUNTIF('商品マスタ'!$B$6:$B$1005,$W9447)=0),COUNTIFS('①在庫を貼る'!$V$6:$V$10005,$V9447,'①在庫を貼る'!$W$6:$W$10005,$W9447)&gt;0),N(U9446),N(U9446)+1))</f>
        <v/>
      </c>
      <c r="V9447" s="19">
        <f>IF($B9447="","",TEXT($B9447,"0000"))</f>
        <v/>
      </c>
      <c r="W9447" s="19">
        <f>IF($I9447="","",IF(ISNUMBER($I9447),TEXT($I9447,"0"),$I9447))</f>
        <v/>
      </c>
    </row>
    <row r="9448">
      <c r="B9448" s="25" t="n"/>
      <c r="I9448" s="25" t="n"/>
      <c r="U9448" s="19">
        <f>IF($V9448&lt;&gt;'設定'!$C$4,N(U9447),IF(OR(NOT(COUNTIF('商品マスタ'!$B$6:$B$1005,$W9448)=0),COUNTIFS('①在庫を貼る'!$V$6:$V$10005,$V9448,'①在庫を貼る'!$W$6:$W$10005,$W9448)&gt;0),N(U9447),N(U9447)+1))</f>
        <v/>
      </c>
      <c r="V9448" s="19">
        <f>IF($B9448="","",TEXT($B9448,"0000"))</f>
        <v/>
      </c>
      <c r="W9448" s="19">
        <f>IF($I9448="","",IF(ISNUMBER($I9448),TEXT($I9448,"0"),$I9448))</f>
        <v/>
      </c>
    </row>
    <row r="9449">
      <c r="B9449" s="25" t="n"/>
      <c r="I9449" s="25" t="n"/>
      <c r="U9449" s="19">
        <f>IF($V9449&lt;&gt;'設定'!$C$4,N(U9448),IF(OR(NOT(COUNTIF('商品マスタ'!$B$6:$B$1005,$W9449)=0),COUNTIFS('①在庫を貼る'!$V$6:$V$10005,$V9449,'①在庫を貼る'!$W$6:$W$10005,$W9449)&gt;0),N(U9448),N(U9448)+1))</f>
        <v/>
      </c>
      <c r="V9449" s="19">
        <f>IF($B9449="","",TEXT($B9449,"0000"))</f>
        <v/>
      </c>
      <c r="W9449" s="19">
        <f>IF($I9449="","",IF(ISNUMBER($I9449),TEXT($I9449,"0"),$I9449))</f>
        <v/>
      </c>
    </row>
    <row r="9450">
      <c r="B9450" s="25" t="n"/>
      <c r="I9450" s="25" t="n"/>
      <c r="U9450" s="19">
        <f>IF($V9450&lt;&gt;'設定'!$C$4,N(U9449),IF(OR(NOT(COUNTIF('商品マスタ'!$B$6:$B$1005,$W9450)=0),COUNTIFS('①在庫を貼る'!$V$6:$V$10005,$V9450,'①在庫を貼る'!$W$6:$W$10005,$W9450)&gt;0),N(U9449),N(U9449)+1))</f>
        <v/>
      </c>
      <c r="V9450" s="19">
        <f>IF($B9450="","",TEXT($B9450,"0000"))</f>
        <v/>
      </c>
      <c r="W9450" s="19">
        <f>IF($I9450="","",IF(ISNUMBER($I9450),TEXT($I9450,"0"),$I9450))</f>
        <v/>
      </c>
    </row>
    <row r="9451">
      <c r="B9451" s="25" t="n"/>
      <c r="I9451" s="25" t="n"/>
      <c r="U9451" s="19">
        <f>IF($V9451&lt;&gt;'設定'!$C$4,N(U9450),IF(OR(NOT(COUNTIF('商品マスタ'!$B$6:$B$1005,$W9451)=0),COUNTIFS('①在庫を貼る'!$V$6:$V$10005,$V9451,'①在庫を貼る'!$W$6:$W$10005,$W9451)&gt;0),N(U9450),N(U9450)+1))</f>
        <v/>
      </c>
      <c r="V9451" s="19">
        <f>IF($B9451="","",TEXT($B9451,"0000"))</f>
        <v/>
      </c>
      <c r="W9451" s="19">
        <f>IF($I9451="","",IF(ISNUMBER($I9451),TEXT($I9451,"0"),$I9451))</f>
        <v/>
      </c>
    </row>
    <row r="9452">
      <c r="B9452" s="25" t="n"/>
      <c r="I9452" s="25" t="n"/>
      <c r="U9452" s="19">
        <f>IF($V9452&lt;&gt;'設定'!$C$4,N(U9451),IF(OR(NOT(COUNTIF('商品マスタ'!$B$6:$B$1005,$W9452)=0),COUNTIFS('①在庫を貼る'!$V$6:$V$10005,$V9452,'①在庫を貼る'!$W$6:$W$10005,$W9452)&gt;0),N(U9451),N(U9451)+1))</f>
        <v/>
      </c>
      <c r="V9452" s="19">
        <f>IF($B9452="","",TEXT($B9452,"0000"))</f>
        <v/>
      </c>
      <c r="W9452" s="19">
        <f>IF($I9452="","",IF(ISNUMBER($I9452),TEXT($I9452,"0"),$I9452))</f>
        <v/>
      </c>
    </row>
    <row r="9453">
      <c r="B9453" s="25" t="n"/>
      <c r="I9453" s="25" t="n"/>
      <c r="U9453" s="19">
        <f>IF($V9453&lt;&gt;'設定'!$C$4,N(U9452),IF(OR(NOT(COUNTIF('商品マスタ'!$B$6:$B$1005,$W9453)=0),COUNTIFS('①在庫を貼る'!$V$6:$V$10005,$V9453,'①在庫を貼る'!$W$6:$W$10005,$W9453)&gt;0),N(U9452),N(U9452)+1))</f>
        <v/>
      </c>
      <c r="V9453" s="19">
        <f>IF($B9453="","",TEXT($B9453,"0000"))</f>
        <v/>
      </c>
      <c r="W9453" s="19">
        <f>IF($I9453="","",IF(ISNUMBER($I9453),TEXT($I9453,"0"),$I9453))</f>
        <v/>
      </c>
    </row>
    <row r="9454">
      <c r="B9454" s="25" t="n"/>
      <c r="I9454" s="25" t="n"/>
      <c r="U9454" s="19">
        <f>IF($V9454&lt;&gt;'設定'!$C$4,N(U9453),IF(OR(NOT(COUNTIF('商品マスタ'!$B$6:$B$1005,$W9454)=0),COUNTIFS('①在庫を貼る'!$V$6:$V$10005,$V9454,'①在庫を貼る'!$W$6:$W$10005,$W9454)&gt;0),N(U9453),N(U9453)+1))</f>
        <v/>
      </c>
      <c r="V9454" s="19">
        <f>IF($B9454="","",TEXT($B9454,"0000"))</f>
        <v/>
      </c>
      <c r="W9454" s="19">
        <f>IF($I9454="","",IF(ISNUMBER($I9454),TEXT($I9454,"0"),$I9454))</f>
        <v/>
      </c>
    </row>
    <row r="9455">
      <c r="B9455" s="25" t="n"/>
      <c r="I9455" s="25" t="n"/>
      <c r="U9455" s="19">
        <f>IF($V9455&lt;&gt;'設定'!$C$4,N(U9454),IF(OR(NOT(COUNTIF('商品マスタ'!$B$6:$B$1005,$W9455)=0),COUNTIFS('①在庫を貼る'!$V$6:$V$10005,$V9455,'①在庫を貼る'!$W$6:$W$10005,$W9455)&gt;0),N(U9454),N(U9454)+1))</f>
        <v/>
      </c>
      <c r="V9455" s="19">
        <f>IF($B9455="","",TEXT($B9455,"0000"))</f>
        <v/>
      </c>
      <c r="W9455" s="19">
        <f>IF($I9455="","",IF(ISNUMBER($I9455),TEXT($I9455,"0"),$I9455))</f>
        <v/>
      </c>
    </row>
    <row r="9456">
      <c r="B9456" s="25" t="n"/>
      <c r="I9456" s="25" t="n"/>
      <c r="U9456" s="19">
        <f>IF($V9456&lt;&gt;'設定'!$C$4,N(U9455),IF(OR(NOT(COUNTIF('商品マスタ'!$B$6:$B$1005,$W9456)=0),COUNTIFS('①在庫を貼る'!$V$6:$V$10005,$V9456,'①在庫を貼る'!$W$6:$W$10005,$W9456)&gt;0),N(U9455),N(U9455)+1))</f>
        <v/>
      </c>
      <c r="V9456" s="19">
        <f>IF($B9456="","",TEXT($B9456,"0000"))</f>
        <v/>
      </c>
      <c r="W9456" s="19">
        <f>IF($I9456="","",IF(ISNUMBER($I9456),TEXT($I9456,"0"),$I9456))</f>
        <v/>
      </c>
    </row>
    <row r="9457">
      <c r="B9457" s="25" t="n"/>
      <c r="I9457" s="25" t="n"/>
      <c r="U9457" s="19">
        <f>IF($V9457&lt;&gt;'設定'!$C$4,N(U9456),IF(OR(NOT(COUNTIF('商品マスタ'!$B$6:$B$1005,$W9457)=0),COUNTIFS('①在庫を貼る'!$V$6:$V$10005,$V9457,'①在庫を貼る'!$W$6:$W$10005,$W9457)&gt;0),N(U9456),N(U9456)+1))</f>
        <v/>
      </c>
      <c r="V9457" s="19">
        <f>IF($B9457="","",TEXT($B9457,"0000"))</f>
        <v/>
      </c>
      <c r="W9457" s="19">
        <f>IF($I9457="","",IF(ISNUMBER($I9457),TEXT($I9457,"0"),$I9457))</f>
        <v/>
      </c>
    </row>
    <row r="9458">
      <c r="B9458" s="25" t="n"/>
      <c r="I9458" s="25" t="n"/>
      <c r="U9458" s="19">
        <f>IF($V9458&lt;&gt;'設定'!$C$4,N(U9457),IF(OR(NOT(COUNTIF('商品マスタ'!$B$6:$B$1005,$W9458)=0),COUNTIFS('①在庫を貼る'!$V$6:$V$10005,$V9458,'①在庫を貼る'!$W$6:$W$10005,$W9458)&gt;0),N(U9457),N(U9457)+1))</f>
        <v/>
      </c>
      <c r="V9458" s="19">
        <f>IF($B9458="","",TEXT($B9458,"0000"))</f>
        <v/>
      </c>
      <c r="W9458" s="19">
        <f>IF($I9458="","",IF(ISNUMBER($I9458),TEXT($I9458,"0"),$I9458))</f>
        <v/>
      </c>
    </row>
    <row r="9459">
      <c r="B9459" s="25" t="n"/>
      <c r="I9459" s="25" t="n"/>
      <c r="U9459" s="19">
        <f>IF($V9459&lt;&gt;'設定'!$C$4,N(U9458),IF(OR(NOT(COUNTIF('商品マスタ'!$B$6:$B$1005,$W9459)=0),COUNTIFS('①在庫を貼る'!$V$6:$V$10005,$V9459,'①在庫を貼る'!$W$6:$W$10005,$W9459)&gt;0),N(U9458),N(U9458)+1))</f>
        <v/>
      </c>
      <c r="V9459" s="19">
        <f>IF($B9459="","",TEXT($B9459,"0000"))</f>
        <v/>
      </c>
      <c r="W9459" s="19">
        <f>IF($I9459="","",IF(ISNUMBER($I9459),TEXT($I9459,"0"),$I9459))</f>
        <v/>
      </c>
    </row>
    <row r="9460">
      <c r="B9460" s="25" t="n"/>
      <c r="I9460" s="25" t="n"/>
      <c r="U9460" s="19">
        <f>IF($V9460&lt;&gt;'設定'!$C$4,N(U9459),IF(OR(NOT(COUNTIF('商品マスタ'!$B$6:$B$1005,$W9460)=0),COUNTIFS('①在庫を貼る'!$V$6:$V$10005,$V9460,'①在庫を貼る'!$W$6:$W$10005,$W9460)&gt;0),N(U9459),N(U9459)+1))</f>
        <v/>
      </c>
      <c r="V9460" s="19">
        <f>IF($B9460="","",TEXT($B9460,"0000"))</f>
        <v/>
      </c>
      <c r="W9460" s="19">
        <f>IF($I9460="","",IF(ISNUMBER($I9460),TEXT($I9460,"0"),$I9460))</f>
        <v/>
      </c>
    </row>
    <row r="9461">
      <c r="B9461" s="25" t="n"/>
      <c r="I9461" s="25" t="n"/>
      <c r="U9461" s="19">
        <f>IF($V9461&lt;&gt;'設定'!$C$4,N(U9460),IF(OR(NOT(COUNTIF('商品マスタ'!$B$6:$B$1005,$W9461)=0),COUNTIFS('①在庫を貼る'!$V$6:$V$10005,$V9461,'①在庫を貼る'!$W$6:$W$10005,$W9461)&gt;0),N(U9460),N(U9460)+1))</f>
        <v/>
      </c>
      <c r="V9461" s="19">
        <f>IF($B9461="","",TEXT($B9461,"0000"))</f>
        <v/>
      </c>
      <c r="W9461" s="19">
        <f>IF($I9461="","",IF(ISNUMBER($I9461),TEXT($I9461,"0"),$I9461))</f>
        <v/>
      </c>
    </row>
    <row r="9462">
      <c r="B9462" s="25" t="n"/>
      <c r="I9462" s="25" t="n"/>
      <c r="U9462" s="19">
        <f>IF($V9462&lt;&gt;'設定'!$C$4,N(U9461),IF(OR(NOT(COUNTIF('商品マスタ'!$B$6:$B$1005,$W9462)=0),COUNTIFS('①在庫を貼る'!$V$6:$V$10005,$V9462,'①在庫を貼る'!$W$6:$W$10005,$W9462)&gt;0),N(U9461),N(U9461)+1))</f>
        <v/>
      </c>
      <c r="V9462" s="19">
        <f>IF($B9462="","",TEXT($B9462,"0000"))</f>
        <v/>
      </c>
      <c r="W9462" s="19">
        <f>IF($I9462="","",IF(ISNUMBER($I9462),TEXT($I9462,"0"),$I9462))</f>
        <v/>
      </c>
    </row>
    <row r="9463">
      <c r="B9463" s="25" t="n"/>
      <c r="I9463" s="25" t="n"/>
      <c r="U9463" s="19">
        <f>IF($V9463&lt;&gt;'設定'!$C$4,N(U9462),IF(OR(NOT(COUNTIF('商品マスタ'!$B$6:$B$1005,$W9463)=0),COUNTIFS('①在庫を貼る'!$V$6:$V$10005,$V9463,'①在庫を貼る'!$W$6:$W$10005,$W9463)&gt;0),N(U9462),N(U9462)+1))</f>
        <v/>
      </c>
      <c r="V9463" s="19">
        <f>IF($B9463="","",TEXT($B9463,"0000"))</f>
        <v/>
      </c>
      <c r="W9463" s="19">
        <f>IF($I9463="","",IF(ISNUMBER($I9463),TEXT($I9463,"0"),$I9463))</f>
        <v/>
      </c>
    </row>
    <row r="9464">
      <c r="B9464" s="25" t="n"/>
      <c r="I9464" s="25" t="n"/>
      <c r="U9464" s="19">
        <f>IF($V9464&lt;&gt;'設定'!$C$4,N(U9463),IF(OR(NOT(COUNTIF('商品マスタ'!$B$6:$B$1005,$W9464)=0),COUNTIFS('①在庫を貼る'!$V$6:$V$10005,$V9464,'①在庫を貼る'!$W$6:$W$10005,$W9464)&gt;0),N(U9463),N(U9463)+1))</f>
        <v/>
      </c>
      <c r="V9464" s="19">
        <f>IF($B9464="","",TEXT($B9464,"0000"))</f>
        <v/>
      </c>
      <c r="W9464" s="19">
        <f>IF($I9464="","",IF(ISNUMBER($I9464),TEXT($I9464,"0"),$I9464))</f>
        <v/>
      </c>
    </row>
    <row r="9465">
      <c r="B9465" s="25" t="n"/>
      <c r="I9465" s="25" t="n"/>
      <c r="U9465" s="19">
        <f>IF($V9465&lt;&gt;'設定'!$C$4,N(U9464),IF(OR(NOT(COUNTIF('商品マスタ'!$B$6:$B$1005,$W9465)=0),COUNTIFS('①在庫を貼る'!$V$6:$V$10005,$V9465,'①在庫を貼る'!$W$6:$W$10005,$W9465)&gt;0),N(U9464),N(U9464)+1))</f>
        <v/>
      </c>
      <c r="V9465" s="19">
        <f>IF($B9465="","",TEXT($B9465,"0000"))</f>
        <v/>
      </c>
      <c r="W9465" s="19">
        <f>IF($I9465="","",IF(ISNUMBER($I9465),TEXT($I9465,"0"),$I9465))</f>
        <v/>
      </c>
    </row>
    <row r="9466">
      <c r="B9466" s="25" t="n"/>
      <c r="I9466" s="25" t="n"/>
      <c r="U9466" s="19">
        <f>IF($V9466&lt;&gt;'設定'!$C$4,N(U9465),IF(OR(NOT(COUNTIF('商品マスタ'!$B$6:$B$1005,$W9466)=0),COUNTIFS('①在庫を貼る'!$V$6:$V$10005,$V9466,'①在庫を貼る'!$W$6:$W$10005,$W9466)&gt;0),N(U9465),N(U9465)+1))</f>
        <v/>
      </c>
      <c r="V9466" s="19">
        <f>IF($B9466="","",TEXT($B9466,"0000"))</f>
        <v/>
      </c>
      <c r="W9466" s="19">
        <f>IF($I9466="","",IF(ISNUMBER($I9466),TEXT($I9466,"0"),$I9466))</f>
        <v/>
      </c>
    </row>
    <row r="9467">
      <c r="B9467" s="25" t="n"/>
      <c r="I9467" s="25" t="n"/>
      <c r="U9467" s="19">
        <f>IF($V9467&lt;&gt;'設定'!$C$4,N(U9466),IF(OR(NOT(COUNTIF('商品マスタ'!$B$6:$B$1005,$W9467)=0),COUNTIFS('①在庫を貼る'!$V$6:$V$10005,$V9467,'①在庫を貼る'!$W$6:$W$10005,$W9467)&gt;0),N(U9466),N(U9466)+1))</f>
        <v/>
      </c>
      <c r="V9467" s="19">
        <f>IF($B9467="","",TEXT($B9467,"0000"))</f>
        <v/>
      </c>
      <c r="W9467" s="19">
        <f>IF($I9467="","",IF(ISNUMBER($I9467),TEXT($I9467,"0"),$I9467))</f>
        <v/>
      </c>
    </row>
    <row r="9468">
      <c r="B9468" s="25" t="n"/>
      <c r="I9468" s="25" t="n"/>
      <c r="U9468" s="19">
        <f>IF($V9468&lt;&gt;'設定'!$C$4,N(U9467),IF(OR(NOT(COUNTIF('商品マスタ'!$B$6:$B$1005,$W9468)=0),COUNTIFS('①在庫を貼る'!$V$6:$V$10005,$V9468,'①在庫を貼る'!$W$6:$W$10005,$W9468)&gt;0),N(U9467),N(U9467)+1))</f>
        <v/>
      </c>
      <c r="V9468" s="19">
        <f>IF($B9468="","",TEXT($B9468,"0000"))</f>
        <v/>
      </c>
      <c r="W9468" s="19">
        <f>IF($I9468="","",IF(ISNUMBER($I9468),TEXT($I9468,"0"),$I9468))</f>
        <v/>
      </c>
    </row>
    <row r="9469">
      <c r="B9469" s="25" t="n"/>
      <c r="I9469" s="25" t="n"/>
      <c r="U9469" s="19">
        <f>IF($V9469&lt;&gt;'設定'!$C$4,N(U9468),IF(OR(NOT(COUNTIF('商品マスタ'!$B$6:$B$1005,$W9469)=0),COUNTIFS('①在庫を貼る'!$V$6:$V$10005,$V9469,'①在庫を貼る'!$W$6:$W$10005,$W9469)&gt;0),N(U9468),N(U9468)+1))</f>
        <v/>
      </c>
      <c r="V9469" s="19">
        <f>IF($B9469="","",TEXT($B9469,"0000"))</f>
        <v/>
      </c>
      <c r="W9469" s="19">
        <f>IF($I9469="","",IF(ISNUMBER($I9469),TEXT($I9469,"0"),$I9469))</f>
        <v/>
      </c>
    </row>
    <row r="9470">
      <c r="B9470" s="25" t="n"/>
      <c r="I9470" s="25" t="n"/>
      <c r="U9470" s="19">
        <f>IF($V9470&lt;&gt;'設定'!$C$4,N(U9469),IF(OR(NOT(COUNTIF('商品マスタ'!$B$6:$B$1005,$W9470)=0),COUNTIFS('①在庫を貼る'!$V$6:$V$10005,$V9470,'①在庫を貼る'!$W$6:$W$10005,$W9470)&gt;0),N(U9469),N(U9469)+1))</f>
        <v/>
      </c>
      <c r="V9470" s="19">
        <f>IF($B9470="","",TEXT($B9470,"0000"))</f>
        <v/>
      </c>
      <c r="W9470" s="19">
        <f>IF($I9470="","",IF(ISNUMBER($I9470),TEXT($I9470,"0"),$I9470))</f>
        <v/>
      </c>
    </row>
    <row r="9471">
      <c r="B9471" s="25" t="n"/>
      <c r="I9471" s="25" t="n"/>
      <c r="U9471" s="19">
        <f>IF($V9471&lt;&gt;'設定'!$C$4,N(U9470),IF(OR(NOT(COUNTIF('商品マスタ'!$B$6:$B$1005,$W9471)=0),COUNTIFS('①在庫を貼る'!$V$6:$V$10005,$V9471,'①在庫を貼る'!$W$6:$W$10005,$W9471)&gt;0),N(U9470),N(U9470)+1))</f>
        <v/>
      </c>
      <c r="V9471" s="19">
        <f>IF($B9471="","",TEXT($B9471,"0000"))</f>
        <v/>
      </c>
      <c r="W9471" s="19">
        <f>IF($I9471="","",IF(ISNUMBER($I9471),TEXT($I9471,"0"),$I9471))</f>
        <v/>
      </c>
    </row>
    <row r="9472">
      <c r="B9472" s="25" t="n"/>
      <c r="I9472" s="25" t="n"/>
      <c r="U9472" s="19">
        <f>IF($V9472&lt;&gt;'設定'!$C$4,N(U9471),IF(OR(NOT(COUNTIF('商品マスタ'!$B$6:$B$1005,$W9472)=0),COUNTIFS('①在庫を貼る'!$V$6:$V$10005,$V9472,'①在庫を貼る'!$W$6:$W$10005,$W9472)&gt;0),N(U9471),N(U9471)+1))</f>
        <v/>
      </c>
      <c r="V9472" s="19">
        <f>IF($B9472="","",TEXT($B9472,"0000"))</f>
        <v/>
      </c>
      <c r="W9472" s="19">
        <f>IF($I9472="","",IF(ISNUMBER($I9472),TEXT($I9472,"0"),$I9472))</f>
        <v/>
      </c>
    </row>
    <row r="9473">
      <c r="B9473" s="25" t="n"/>
      <c r="I9473" s="25" t="n"/>
      <c r="U9473" s="19">
        <f>IF($V9473&lt;&gt;'設定'!$C$4,N(U9472),IF(OR(NOT(COUNTIF('商品マスタ'!$B$6:$B$1005,$W9473)=0),COUNTIFS('①在庫を貼る'!$V$6:$V$10005,$V9473,'①在庫を貼る'!$W$6:$W$10005,$W9473)&gt;0),N(U9472),N(U9472)+1))</f>
        <v/>
      </c>
      <c r="V9473" s="19">
        <f>IF($B9473="","",TEXT($B9473,"0000"))</f>
        <v/>
      </c>
      <c r="W9473" s="19">
        <f>IF($I9473="","",IF(ISNUMBER($I9473),TEXT($I9473,"0"),$I9473))</f>
        <v/>
      </c>
    </row>
    <row r="9474">
      <c r="B9474" s="25" t="n"/>
      <c r="I9474" s="25" t="n"/>
      <c r="U9474" s="19">
        <f>IF($V9474&lt;&gt;'設定'!$C$4,N(U9473),IF(OR(NOT(COUNTIF('商品マスタ'!$B$6:$B$1005,$W9474)=0),COUNTIFS('①在庫を貼る'!$V$6:$V$10005,$V9474,'①在庫を貼る'!$W$6:$W$10005,$W9474)&gt;0),N(U9473),N(U9473)+1))</f>
        <v/>
      </c>
      <c r="V9474" s="19">
        <f>IF($B9474="","",TEXT($B9474,"0000"))</f>
        <v/>
      </c>
      <c r="W9474" s="19">
        <f>IF($I9474="","",IF(ISNUMBER($I9474),TEXT($I9474,"0"),$I9474))</f>
        <v/>
      </c>
    </row>
    <row r="9475">
      <c r="B9475" s="25" t="n"/>
      <c r="I9475" s="25" t="n"/>
      <c r="U9475" s="19">
        <f>IF($V9475&lt;&gt;'設定'!$C$4,N(U9474),IF(OR(NOT(COUNTIF('商品マスタ'!$B$6:$B$1005,$W9475)=0),COUNTIFS('①在庫を貼る'!$V$6:$V$10005,$V9475,'①在庫を貼る'!$W$6:$W$10005,$W9475)&gt;0),N(U9474),N(U9474)+1))</f>
        <v/>
      </c>
      <c r="V9475" s="19">
        <f>IF($B9475="","",TEXT($B9475,"0000"))</f>
        <v/>
      </c>
      <c r="W9475" s="19">
        <f>IF($I9475="","",IF(ISNUMBER($I9475),TEXT($I9475,"0"),$I9475))</f>
        <v/>
      </c>
    </row>
    <row r="9476">
      <c r="B9476" s="25" t="n"/>
      <c r="I9476" s="25" t="n"/>
      <c r="U9476" s="19">
        <f>IF($V9476&lt;&gt;'設定'!$C$4,N(U9475),IF(OR(NOT(COUNTIF('商品マスタ'!$B$6:$B$1005,$W9476)=0),COUNTIFS('①在庫を貼る'!$V$6:$V$10005,$V9476,'①在庫を貼る'!$W$6:$W$10005,$W9476)&gt;0),N(U9475),N(U9475)+1))</f>
        <v/>
      </c>
      <c r="V9476" s="19">
        <f>IF($B9476="","",TEXT($B9476,"0000"))</f>
        <v/>
      </c>
      <c r="W9476" s="19">
        <f>IF($I9476="","",IF(ISNUMBER($I9476),TEXT($I9476,"0"),$I9476))</f>
        <v/>
      </c>
    </row>
    <row r="9477">
      <c r="B9477" s="25" t="n"/>
      <c r="I9477" s="25" t="n"/>
      <c r="U9477" s="19">
        <f>IF($V9477&lt;&gt;'設定'!$C$4,N(U9476),IF(OR(NOT(COUNTIF('商品マスタ'!$B$6:$B$1005,$W9477)=0),COUNTIFS('①在庫を貼る'!$V$6:$V$10005,$V9477,'①在庫を貼る'!$W$6:$W$10005,$W9477)&gt;0),N(U9476),N(U9476)+1))</f>
        <v/>
      </c>
      <c r="V9477" s="19">
        <f>IF($B9477="","",TEXT($B9477,"0000"))</f>
        <v/>
      </c>
      <c r="W9477" s="19">
        <f>IF($I9477="","",IF(ISNUMBER($I9477),TEXT($I9477,"0"),$I9477))</f>
        <v/>
      </c>
    </row>
    <row r="9478">
      <c r="B9478" s="25" t="n"/>
      <c r="I9478" s="25" t="n"/>
      <c r="U9478" s="19">
        <f>IF($V9478&lt;&gt;'設定'!$C$4,N(U9477),IF(OR(NOT(COUNTIF('商品マスタ'!$B$6:$B$1005,$W9478)=0),COUNTIFS('①在庫を貼る'!$V$6:$V$10005,$V9478,'①在庫を貼る'!$W$6:$W$10005,$W9478)&gt;0),N(U9477),N(U9477)+1))</f>
        <v/>
      </c>
      <c r="V9478" s="19">
        <f>IF($B9478="","",TEXT($B9478,"0000"))</f>
        <v/>
      </c>
      <c r="W9478" s="19">
        <f>IF($I9478="","",IF(ISNUMBER($I9478),TEXT($I9478,"0"),$I9478))</f>
        <v/>
      </c>
    </row>
    <row r="9479">
      <c r="B9479" s="25" t="n"/>
      <c r="I9479" s="25" t="n"/>
      <c r="U9479" s="19">
        <f>IF($V9479&lt;&gt;'設定'!$C$4,N(U9478),IF(OR(NOT(COUNTIF('商品マスタ'!$B$6:$B$1005,$W9479)=0),COUNTIFS('①在庫を貼る'!$V$6:$V$10005,$V9479,'①在庫を貼る'!$W$6:$W$10005,$W9479)&gt;0),N(U9478),N(U9478)+1))</f>
        <v/>
      </c>
      <c r="V9479" s="19">
        <f>IF($B9479="","",TEXT($B9479,"0000"))</f>
        <v/>
      </c>
      <c r="W9479" s="19">
        <f>IF($I9479="","",IF(ISNUMBER($I9479),TEXT($I9479,"0"),$I9479))</f>
        <v/>
      </c>
    </row>
    <row r="9480">
      <c r="B9480" s="25" t="n"/>
      <c r="I9480" s="25" t="n"/>
      <c r="U9480" s="19">
        <f>IF($V9480&lt;&gt;'設定'!$C$4,N(U9479),IF(OR(NOT(COUNTIF('商品マスタ'!$B$6:$B$1005,$W9480)=0),COUNTIFS('①在庫を貼る'!$V$6:$V$10005,$V9480,'①在庫を貼る'!$W$6:$W$10005,$W9480)&gt;0),N(U9479),N(U9479)+1))</f>
        <v/>
      </c>
      <c r="V9480" s="19">
        <f>IF($B9480="","",TEXT($B9480,"0000"))</f>
        <v/>
      </c>
      <c r="W9480" s="19">
        <f>IF($I9480="","",IF(ISNUMBER($I9480),TEXT($I9480,"0"),$I9480))</f>
        <v/>
      </c>
    </row>
    <row r="9481">
      <c r="B9481" s="25" t="n"/>
      <c r="I9481" s="25" t="n"/>
      <c r="U9481" s="19">
        <f>IF($V9481&lt;&gt;'設定'!$C$4,N(U9480),IF(OR(NOT(COUNTIF('商品マスタ'!$B$6:$B$1005,$W9481)=0),COUNTIFS('①在庫を貼る'!$V$6:$V$10005,$V9481,'①在庫を貼る'!$W$6:$W$10005,$W9481)&gt;0),N(U9480),N(U9480)+1))</f>
        <v/>
      </c>
      <c r="V9481" s="19">
        <f>IF($B9481="","",TEXT($B9481,"0000"))</f>
        <v/>
      </c>
      <c r="W9481" s="19">
        <f>IF($I9481="","",IF(ISNUMBER($I9481),TEXT($I9481,"0"),$I9481))</f>
        <v/>
      </c>
    </row>
    <row r="9482">
      <c r="B9482" s="25" t="n"/>
      <c r="I9482" s="25" t="n"/>
      <c r="U9482" s="19">
        <f>IF($V9482&lt;&gt;'設定'!$C$4,N(U9481),IF(OR(NOT(COUNTIF('商品マスタ'!$B$6:$B$1005,$W9482)=0),COUNTIFS('①在庫を貼る'!$V$6:$V$10005,$V9482,'①在庫を貼る'!$W$6:$W$10005,$W9482)&gt;0),N(U9481),N(U9481)+1))</f>
        <v/>
      </c>
      <c r="V9482" s="19">
        <f>IF($B9482="","",TEXT($B9482,"0000"))</f>
        <v/>
      </c>
      <c r="W9482" s="19">
        <f>IF($I9482="","",IF(ISNUMBER($I9482),TEXT($I9482,"0"),$I9482))</f>
        <v/>
      </c>
    </row>
    <row r="9483">
      <c r="B9483" s="25" t="n"/>
      <c r="I9483" s="25" t="n"/>
      <c r="U9483" s="19">
        <f>IF($V9483&lt;&gt;'設定'!$C$4,N(U9482),IF(OR(NOT(COUNTIF('商品マスタ'!$B$6:$B$1005,$W9483)=0),COUNTIFS('①在庫を貼る'!$V$6:$V$10005,$V9483,'①在庫を貼る'!$W$6:$W$10005,$W9483)&gt;0),N(U9482),N(U9482)+1))</f>
        <v/>
      </c>
      <c r="V9483" s="19">
        <f>IF($B9483="","",TEXT($B9483,"0000"))</f>
        <v/>
      </c>
      <c r="W9483" s="19">
        <f>IF($I9483="","",IF(ISNUMBER($I9483),TEXT($I9483,"0"),$I9483))</f>
        <v/>
      </c>
    </row>
    <row r="9484">
      <c r="B9484" s="25" t="n"/>
      <c r="I9484" s="25" t="n"/>
      <c r="U9484" s="19">
        <f>IF($V9484&lt;&gt;'設定'!$C$4,N(U9483),IF(OR(NOT(COUNTIF('商品マスタ'!$B$6:$B$1005,$W9484)=0),COUNTIFS('①在庫を貼る'!$V$6:$V$10005,$V9484,'①在庫を貼る'!$W$6:$W$10005,$W9484)&gt;0),N(U9483),N(U9483)+1))</f>
        <v/>
      </c>
      <c r="V9484" s="19">
        <f>IF($B9484="","",TEXT($B9484,"0000"))</f>
        <v/>
      </c>
      <c r="W9484" s="19">
        <f>IF($I9484="","",IF(ISNUMBER($I9484),TEXT($I9484,"0"),$I9484))</f>
        <v/>
      </c>
    </row>
    <row r="9485">
      <c r="B9485" s="25" t="n"/>
      <c r="I9485" s="25" t="n"/>
      <c r="U9485" s="19">
        <f>IF($V9485&lt;&gt;'設定'!$C$4,N(U9484),IF(OR(NOT(COUNTIF('商品マスタ'!$B$6:$B$1005,$W9485)=0),COUNTIFS('①在庫を貼る'!$V$6:$V$10005,$V9485,'①在庫を貼る'!$W$6:$W$10005,$W9485)&gt;0),N(U9484),N(U9484)+1))</f>
        <v/>
      </c>
      <c r="V9485" s="19">
        <f>IF($B9485="","",TEXT($B9485,"0000"))</f>
        <v/>
      </c>
      <c r="W9485" s="19">
        <f>IF($I9485="","",IF(ISNUMBER($I9485),TEXT($I9485,"0"),$I9485))</f>
        <v/>
      </c>
    </row>
    <row r="9486">
      <c r="B9486" s="25" t="n"/>
      <c r="I9486" s="25" t="n"/>
      <c r="U9486" s="19">
        <f>IF($V9486&lt;&gt;'設定'!$C$4,N(U9485),IF(OR(NOT(COUNTIF('商品マスタ'!$B$6:$B$1005,$W9486)=0),COUNTIFS('①在庫を貼る'!$V$6:$V$10005,$V9486,'①在庫を貼る'!$W$6:$W$10005,$W9486)&gt;0),N(U9485),N(U9485)+1))</f>
        <v/>
      </c>
      <c r="V9486" s="19">
        <f>IF($B9486="","",TEXT($B9486,"0000"))</f>
        <v/>
      </c>
      <c r="W9486" s="19">
        <f>IF($I9486="","",IF(ISNUMBER($I9486),TEXT($I9486,"0"),$I9486))</f>
        <v/>
      </c>
    </row>
    <row r="9487">
      <c r="B9487" s="25" t="n"/>
      <c r="I9487" s="25" t="n"/>
      <c r="U9487" s="19">
        <f>IF($V9487&lt;&gt;'設定'!$C$4,N(U9486),IF(OR(NOT(COUNTIF('商品マスタ'!$B$6:$B$1005,$W9487)=0),COUNTIFS('①在庫を貼る'!$V$6:$V$10005,$V9487,'①在庫を貼る'!$W$6:$W$10005,$W9487)&gt;0),N(U9486),N(U9486)+1))</f>
        <v/>
      </c>
      <c r="V9487" s="19">
        <f>IF($B9487="","",TEXT($B9487,"0000"))</f>
        <v/>
      </c>
      <c r="W9487" s="19">
        <f>IF($I9487="","",IF(ISNUMBER($I9487),TEXT($I9487,"0"),$I9487))</f>
        <v/>
      </c>
    </row>
    <row r="9488">
      <c r="B9488" s="25" t="n"/>
      <c r="I9488" s="25" t="n"/>
      <c r="U9488" s="19">
        <f>IF($V9488&lt;&gt;'設定'!$C$4,N(U9487),IF(OR(NOT(COUNTIF('商品マスタ'!$B$6:$B$1005,$W9488)=0),COUNTIFS('①在庫を貼る'!$V$6:$V$10005,$V9488,'①在庫を貼る'!$W$6:$W$10005,$W9488)&gt;0),N(U9487),N(U9487)+1))</f>
        <v/>
      </c>
      <c r="V9488" s="19">
        <f>IF($B9488="","",TEXT($B9488,"0000"))</f>
        <v/>
      </c>
      <c r="W9488" s="19">
        <f>IF($I9488="","",IF(ISNUMBER($I9488),TEXT($I9488,"0"),$I9488))</f>
        <v/>
      </c>
    </row>
    <row r="9489">
      <c r="B9489" s="25" t="n"/>
      <c r="I9489" s="25" t="n"/>
      <c r="U9489" s="19">
        <f>IF($V9489&lt;&gt;'設定'!$C$4,N(U9488),IF(OR(NOT(COUNTIF('商品マスタ'!$B$6:$B$1005,$W9489)=0),COUNTIFS('①在庫を貼る'!$V$6:$V$10005,$V9489,'①在庫を貼る'!$W$6:$W$10005,$W9489)&gt;0),N(U9488),N(U9488)+1))</f>
        <v/>
      </c>
      <c r="V9489" s="19">
        <f>IF($B9489="","",TEXT($B9489,"0000"))</f>
        <v/>
      </c>
      <c r="W9489" s="19">
        <f>IF($I9489="","",IF(ISNUMBER($I9489),TEXT($I9489,"0"),$I9489))</f>
        <v/>
      </c>
    </row>
    <row r="9490">
      <c r="B9490" s="25" t="n"/>
      <c r="I9490" s="25" t="n"/>
      <c r="U9490" s="19">
        <f>IF($V9490&lt;&gt;'設定'!$C$4,N(U9489),IF(OR(NOT(COUNTIF('商品マスタ'!$B$6:$B$1005,$W9490)=0),COUNTIFS('①在庫を貼る'!$V$6:$V$10005,$V9490,'①在庫を貼る'!$W$6:$W$10005,$W9490)&gt;0),N(U9489),N(U9489)+1))</f>
        <v/>
      </c>
      <c r="V9490" s="19">
        <f>IF($B9490="","",TEXT($B9490,"0000"))</f>
        <v/>
      </c>
      <c r="W9490" s="19">
        <f>IF($I9490="","",IF(ISNUMBER($I9490),TEXT($I9490,"0"),$I9490))</f>
        <v/>
      </c>
    </row>
    <row r="9491">
      <c r="B9491" s="25" t="n"/>
      <c r="I9491" s="25" t="n"/>
      <c r="U9491" s="19">
        <f>IF($V9491&lt;&gt;'設定'!$C$4,N(U9490),IF(OR(NOT(COUNTIF('商品マスタ'!$B$6:$B$1005,$W9491)=0),COUNTIFS('①在庫を貼る'!$V$6:$V$10005,$V9491,'①在庫を貼る'!$W$6:$W$10005,$W9491)&gt;0),N(U9490),N(U9490)+1))</f>
        <v/>
      </c>
      <c r="V9491" s="19">
        <f>IF($B9491="","",TEXT($B9491,"0000"))</f>
        <v/>
      </c>
      <c r="W9491" s="19">
        <f>IF($I9491="","",IF(ISNUMBER($I9491),TEXT($I9491,"0"),$I9491))</f>
        <v/>
      </c>
    </row>
    <row r="9492">
      <c r="B9492" s="25" t="n"/>
      <c r="I9492" s="25" t="n"/>
      <c r="U9492" s="19">
        <f>IF($V9492&lt;&gt;'設定'!$C$4,N(U9491),IF(OR(NOT(COUNTIF('商品マスタ'!$B$6:$B$1005,$W9492)=0),COUNTIFS('①在庫を貼る'!$V$6:$V$10005,$V9492,'①在庫を貼る'!$W$6:$W$10005,$W9492)&gt;0),N(U9491),N(U9491)+1))</f>
        <v/>
      </c>
      <c r="V9492" s="19">
        <f>IF($B9492="","",TEXT($B9492,"0000"))</f>
        <v/>
      </c>
      <c r="W9492" s="19">
        <f>IF($I9492="","",IF(ISNUMBER($I9492),TEXT($I9492,"0"),$I9492))</f>
        <v/>
      </c>
    </row>
    <row r="9493">
      <c r="B9493" s="25" t="n"/>
      <c r="I9493" s="25" t="n"/>
      <c r="U9493" s="19">
        <f>IF($V9493&lt;&gt;'設定'!$C$4,N(U9492),IF(OR(NOT(COUNTIF('商品マスタ'!$B$6:$B$1005,$W9493)=0),COUNTIFS('①在庫を貼る'!$V$6:$V$10005,$V9493,'①在庫を貼る'!$W$6:$W$10005,$W9493)&gt;0),N(U9492),N(U9492)+1))</f>
        <v/>
      </c>
      <c r="V9493" s="19">
        <f>IF($B9493="","",TEXT($B9493,"0000"))</f>
        <v/>
      </c>
      <c r="W9493" s="19">
        <f>IF($I9493="","",IF(ISNUMBER($I9493),TEXT($I9493,"0"),$I9493))</f>
        <v/>
      </c>
    </row>
    <row r="9494">
      <c r="B9494" s="25" t="n"/>
      <c r="I9494" s="25" t="n"/>
      <c r="U9494" s="19">
        <f>IF($V9494&lt;&gt;'設定'!$C$4,N(U9493),IF(OR(NOT(COUNTIF('商品マスタ'!$B$6:$B$1005,$W9494)=0),COUNTIFS('①在庫を貼る'!$V$6:$V$10005,$V9494,'①在庫を貼る'!$W$6:$W$10005,$W9494)&gt;0),N(U9493),N(U9493)+1))</f>
        <v/>
      </c>
      <c r="V9494" s="19">
        <f>IF($B9494="","",TEXT($B9494,"0000"))</f>
        <v/>
      </c>
      <c r="W9494" s="19">
        <f>IF($I9494="","",IF(ISNUMBER($I9494),TEXT($I9494,"0"),$I9494))</f>
        <v/>
      </c>
    </row>
    <row r="9495">
      <c r="B9495" s="25" t="n"/>
      <c r="I9495" s="25" t="n"/>
      <c r="U9495" s="19">
        <f>IF($V9495&lt;&gt;'設定'!$C$4,N(U9494),IF(OR(NOT(COUNTIF('商品マスタ'!$B$6:$B$1005,$W9495)=0),COUNTIFS('①在庫を貼る'!$V$6:$V$10005,$V9495,'①在庫を貼る'!$W$6:$W$10005,$W9495)&gt;0),N(U9494),N(U9494)+1))</f>
        <v/>
      </c>
      <c r="V9495" s="19">
        <f>IF($B9495="","",TEXT($B9495,"0000"))</f>
        <v/>
      </c>
      <c r="W9495" s="19">
        <f>IF($I9495="","",IF(ISNUMBER($I9495),TEXT($I9495,"0"),$I9495))</f>
        <v/>
      </c>
    </row>
    <row r="9496">
      <c r="B9496" s="25" t="n"/>
      <c r="I9496" s="25" t="n"/>
      <c r="U9496" s="19">
        <f>IF($V9496&lt;&gt;'設定'!$C$4,N(U9495),IF(OR(NOT(COUNTIF('商品マスタ'!$B$6:$B$1005,$W9496)=0),COUNTIFS('①在庫を貼る'!$V$6:$V$10005,$V9496,'①在庫を貼る'!$W$6:$W$10005,$W9496)&gt;0),N(U9495),N(U9495)+1))</f>
        <v/>
      </c>
      <c r="V9496" s="19">
        <f>IF($B9496="","",TEXT($B9496,"0000"))</f>
        <v/>
      </c>
      <c r="W9496" s="19">
        <f>IF($I9496="","",IF(ISNUMBER($I9496),TEXT($I9496,"0"),$I9496))</f>
        <v/>
      </c>
    </row>
    <row r="9497">
      <c r="B9497" s="25" t="n"/>
      <c r="I9497" s="25" t="n"/>
      <c r="U9497" s="19">
        <f>IF($V9497&lt;&gt;'設定'!$C$4,N(U9496),IF(OR(NOT(COUNTIF('商品マスタ'!$B$6:$B$1005,$W9497)=0),COUNTIFS('①在庫を貼る'!$V$6:$V$10005,$V9497,'①在庫を貼る'!$W$6:$W$10005,$W9497)&gt;0),N(U9496),N(U9496)+1))</f>
        <v/>
      </c>
      <c r="V9497" s="19">
        <f>IF($B9497="","",TEXT($B9497,"0000"))</f>
        <v/>
      </c>
      <c r="W9497" s="19">
        <f>IF($I9497="","",IF(ISNUMBER($I9497),TEXT($I9497,"0"),$I9497))</f>
        <v/>
      </c>
    </row>
    <row r="9498">
      <c r="B9498" s="25" t="n"/>
      <c r="I9498" s="25" t="n"/>
      <c r="U9498" s="19">
        <f>IF($V9498&lt;&gt;'設定'!$C$4,N(U9497),IF(OR(NOT(COUNTIF('商品マスタ'!$B$6:$B$1005,$W9498)=0),COUNTIFS('①在庫を貼る'!$V$6:$V$10005,$V9498,'①在庫を貼る'!$W$6:$W$10005,$W9498)&gt;0),N(U9497),N(U9497)+1))</f>
        <v/>
      </c>
      <c r="V9498" s="19">
        <f>IF($B9498="","",TEXT($B9498,"0000"))</f>
        <v/>
      </c>
      <c r="W9498" s="19">
        <f>IF($I9498="","",IF(ISNUMBER($I9498),TEXT($I9498,"0"),$I9498))</f>
        <v/>
      </c>
    </row>
    <row r="9499">
      <c r="B9499" s="25" t="n"/>
      <c r="I9499" s="25" t="n"/>
      <c r="U9499" s="19">
        <f>IF($V9499&lt;&gt;'設定'!$C$4,N(U9498),IF(OR(NOT(COUNTIF('商品マスタ'!$B$6:$B$1005,$W9499)=0),COUNTIFS('①在庫を貼る'!$V$6:$V$10005,$V9499,'①在庫を貼る'!$W$6:$W$10005,$W9499)&gt;0),N(U9498),N(U9498)+1))</f>
        <v/>
      </c>
      <c r="V9499" s="19">
        <f>IF($B9499="","",TEXT($B9499,"0000"))</f>
        <v/>
      </c>
      <c r="W9499" s="19">
        <f>IF($I9499="","",IF(ISNUMBER($I9499),TEXT($I9499,"0"),$I9499))</f>
        <v/>
      </c>
    </row>
    <row r="9500">
      <c r="B9500" s="25" t="n"/>
      <c r="I9500" s="25" t="n"/>
      <c r="U9500" s="19">
        <f>IF($V9500&lt;&gt;'設定'!$C$4,N(U9499),IF(OR(NOT(COUNTIF('商品マスタ'!$B$6:$B$1005,$W9500)=0),COUNTIFS('①在庫を貼る'!$V$6:$V$10005,$V9500,'①在庫を貼る'!$W$6:$W$10005,$W9500)&gt;0),N(U9499),N(U9499)+1))</f>
        <v/>
      </c>
      <c r="V9500" s="19">
        <f>IF($B9500="","",TEXT($B9500,"0000"))</f>
        <v/>
      </c>
      <c r="W9500" s="19">
        <f>IF($I9500="","",IF(ISNUMBER($I9500),TEXT($I9500,"0"),$I9500))</f>
        <v/>
      </c>
    </row>
    <row r="9501">
      <c r="B9501" s="25" t="n"/>
      <c r="I9501" s="25" t="n"/>
      <c r="U9501" s="19">
        <f>IF($V9501&lt;&gt;'設定'!$C$4,N(U9500),IF(OR(NOT(COUNTIF('商品マスタ'!$B$6:$B$1005,$W9501)=0),COUNTIFS('①在庫を貼る'!$V$6:$V$10005,$V9501,'①在庫を貼る'!$W$6:$W$10005,$W9501)&gt;0),N(U9500),N(U9500)+1))</f>
        <v/>
      </c>
      <c r="V9501" s="19">
        <f>IF($B9501="","",TEXT($B9501,"0000"))</f>
        <v/>
      </c>
      <c r="W9501" s="19">
        <f>IF($I9501="","",IF(ISNUMBER($I9501),TEXT($I9501,"0"),$I9501))</f>
        <v/>
      </c>
    </row>
    <row r="9502">
      <c r="B9502" s="25" t="n"/>
      <c r="I9502" s="25" t="n"/>
      <c r="U9502" s="19">
        <f>IF($V9502&lt;&gt;'設定'!$C$4,N(U9501),IF(OR(NOT(COUNTIF('商品マスタ'!$B$6:$B$1005,$W9502)=0),COUNTIFS('①在庫を貼る'!$V$6:$V$10005,$V9502,'①在庫を貼る'!$W$6:$W$10005,$W9502)&gt;0),N(U9501),N(U9501)+1))</f>
        <v/>
      </c>
      <c r="V9502" s="19">
        <f>IF($B9502="","",TEXT($B9502,"0000"))</f>
        <v/>
      </c>
      <c r="W9502" s="19">
        <f>IF($I9502="","",IF(ISNUMBER($I9502),TEXT($I9502,"0"),$I9502))</f>
        <v/>
      </c>
    </row>
    <row r="9503">
      <c r="B9503" s="25" t="n"/>
      <c r="I9503" s="25" t="n"/>
      <c r="U9503" s="19">
        <f>IF($V9503&lt;&gt;'設定'!$C$4,N(U9502),IF(OR(NOT(COUNTIF('商品マスタ'!$B$6:$B$1005,$W9503)=0),COUNTIFS('①在庫を貼る'!$V$6:$V$10005,$V9503,'①在庫を貼る'!$W$6:$W$10005,$W9503)&gt;0),N(U9502),N(U9502)+1))</f>
        <v/>
      </c>
      <c r="V9503" s="19">
        <f>IF($B9503="","",TEXT($B9503,"0000"))</f>
        <v/>
      </c>
      <c r="W9503" s="19">
        <f>IF($I9503="","",IF(ISNUMBER($I9503),TEXT($I9503,"0"),$I9503))</f>
        <v/>
      </c>
    </row>
    <row r="9504">
      <c r="B9504" s="25" t="n"/>
      <c r="I9504" s="25" t="n"/>
      <c r="U9504" s="19">
        <f>IF($V9504&lt;&gt;'設定'!$C$4,N(U9503),IF(OR(NOT(COUNTIF('商品マスタ'!$B$6:$B$1005,$W9504)=0),COUNTIFS('①在庫を貼る'!$V$6:$V$10005,$V9504,'①在庫を貼る'!$W$6:$W$10005,$W9504)&gt;0),N(U9503),N(U9503)+1))</f>
        <v/>
      </c>
      <c r="V9504" s="19">
        <f>IF($B9504="","",TEXT($B9504,"0000"))</f>
        <v/>
      </c>
      <c r="W9504" s="19">
        <f>IF($I9504="","",IF(ISNUMBER($I9504),TEXT($I9504,"0"),$I9504))</f>
        <v/>
      </c>
    </row>
    <row r="9505">
      <c r="B9505" s="25" t="n"/>
      <c r="I9505" s="25" t="n"/>
      <c r="U9505" s="19">
        <f>IF($V9505&lt;&gt;'設定'!$C$4,N(U9504),IF(OR(NOT(COUNTIF('商品マスタ'!$B$6:$B$1005,$W9505)=0),COUNTIFS('①在庫を貼る'!$V$6:$V$10005,$V9505,'①在庫を貼る'!$W$6:$W$10005,$W9505)&gt;0),N(U9504),N(U9504)+1))</f>
        <v/>
      </c>
      <c r="V9505" s="19">
        <f>IF($B9505="","",TEXT($B9505,"0000"))</f>
        <v/>
      </c>
      <c r="W9505" s="19">
        <f>IF($I9505="","",IF(ISNUMBER($I9505),TEXT($I9505,"0"),$I9505))</f>
        <v/>
      </c>
    </row>
    <row r="9506">
      <c r="B9506" s="25" t="n"/>
      <c r="I9506" s="25" t="n"/>
      <c r="U9506" s="19">
        <f>IF($V9506&lt;&gt;'設定'!$C$4,N(U9505),IF(OR(NOT(COUNTIF('商品マスタ'!$B$6:$B$1005,$W9506)=0),COUNTIFS('①在庫を貼る'!$V$6:$V$10005,$V9506,'①在庫を貼る'!$W$6:$W$10005,$W9506)&gt;0),N(U9505),N(U9505)+1))</f>
        <v/>
      </c>
      <c r="V9506" s="19">
        <f>IF($B9506="","",TEXT($B9506,"0000"))</f>
        <v/>
      </c>
      <c r="W9506" s="19">
        <f>IF($I9506="","",IF(ISNUMBER($I9506),TEXT($I9506,"0"),$I9506))</f>
        <v/>
      </c>
    </row>
    <row r="9507">
      <c r="B9507" s="25" t="n"/>
      <c r="I9507" s="25" t="n"/>
      <c r="U9507" s="19">
        <f>IF($V9507&lt;&gt;'設定'!$C$4,N(U9506),IF(OR(NOT(COUNTIF('商品マスタ'!$B$6:$B$1005,$W9507)=0),COUNTIFS('①在庫を貼る'!$V$6:$V$10005,$V9507,'①在庫を貼る'!$W$6:$W$10005,$W9507)&gt;0),N(U9506),N(U9506)+1))</f>
        <v/>
      </c>
      <c r="V9507" s="19">
        <f>IF($B9507="","",TEXT($B9507,"0000"))</f>
        <v/>
      </c>
      <c r="W9507" s="19">
        <f>IF($I9507="","",IF(ISNUMBER($I9507),TEXT($I9507,"0"),$I9507))</f>
        <v/>
      </c>
    </row>
    <row r="9508">
      <c r="B9508" s="25" t="n"/>
      <c r="I9508" s="25" t="n"/>
      <c r="U9508" s="19">
        <f>IF($V9508&lt;&gt;'設定'!$C$4,N(U9507),IF(OR(NOT(COUNTIF('商品マスタ'!$B$6:$B$1005,$W9508)=0),COUNTIFS('①在庫を貼る'!$V$6:$V$10005,$V9508,'①在庫を貼る'!$W$6:$W$10005,$W9508)&gt;0),N(U9507),N(U9507)+1))</f>
        <v/>
      </c>
      <c r="V9508" s="19">
        <f>IF($B9508="","",TEXT($B9508,"0000"))</f>
        <v/>
      </c>
      <c r="W9508" s="19">
        <f>IF($I9508="","",IF(ISNUMBER($I9508),TEXT($I9508,"0"),$I9508))</f>
        <v/>
      </c>
    </row>
    <row r="9509">
      <c r="B9509" s="25" t="n"/>
      <c r="I9509" s="25" t="n"/>
      <c r="U9509" s="19">
        <f>IF($V9509&lt;&gt;'設定'!$C$4,N(U9508),IF(OR(NOT(COUNTIF('商品マスタ'!$B$6:$B$1005,$W9509)=0),COUNTIFS('①在庫を貼る'!$V$6:$V$10005,$V9509,'①在庫を貼る'!$W$6:$W$10005,$W9509)&gt;0),N(U9508),N(U9508)+1))</f>
        <v/>
      </c>
      <c r="V9509" s="19">
        <f>IF($B9509="","",TEXT($B9509,"0000"))</f>
        <v/>
      </c>
      <c r="W9509" s="19">
        <f>IF($I9509="","",IF(ISNUMBER($I9509),TEXT($I9509,"0"),$I9509))</f>
        <v/>
      </c>
    </row>
    <row r="9510">
      <c r="B9510" s="25" t="n"/>
      <c r="I9510" s="25" t="n"/>
      <c r="U9510" s="19">
        <f>IF($V9510&lt;&gt;'設定'!$C$4,N(U9509),IF(OR(NOT(COUNTIF('商品マスタ'!$B$6:$B$1005,$W9510)=0),COUNTIFS('①在庫を貼る'!$V$6:$V$10005,$V9510,'①在庫を貼る'!$W$6:$W$10005,$W9510)&gt;0),N(U9509),N(U9509)+1))</f>
        <v/>
      </c>
      <c r="V9510" s="19">
        <f>IF($B9510="","",TEXT($B9510,"0000"))</f>
        <v/>
      </c>
      <c r="W9510" s="19">
        <f>IF($I9510="","",IF(ISNUMBER($I9510),TEXT($I9510,"0"),$I9510))</f>
        <v/>
      </c>
    </row>
    <row r="9511">
      <c r="B9511" s="25" t="n"/>
      <c r="I9511" s="25" t="n"/>
      <c r="U9511" s="19">
        <f>IF($V9511&lt;&gt;'設定'!$C$4,N(U9510),IF(OR(NOT(COUNTIF('商品マスタ'!$B$6:$B$1005,$W9511)=0),COUNTIFS('①在庫を貼る'!$V$6:$V$10005,$V9511,'①在庫を貼る'!$W$6:$W$10005,$W9511)&gt;0),N(U9510),N(U9510)+1))</f>
        <v/>
      </c>
      <c r="V9511" s="19">
        <f>IF($B9511="","",TEXT($B9511,"0000"))</f>
        <v/>
      </c>
      <c r="W9511" s="19">
        <f>IF($I9511="","",IF(ISNUMBER($I9511),TEXT($I9511,"0"),$I9511))</f>
        <v/>
      </c>
    </row>
    <row r="9512">
      <c r="B9512" s="25" t="n"/>
      <c r="I9512" s="25" t="n"/>
      <c r="U9512" s="19">
        <f>IF($V9512&lt;&gt;'設定'!$C$4,N(U9511),IF(OR(NOT(COUNTIF('商品マスタ'!$B$6:$B$1005,$W9512)=0),COUNTIFS('①在庫を貼る'!$V$6:$V$10005,$V9512,'①在庫を貼る'!$W$6:$W$10005,$W9512)&gt;0),N(U9511),N(U9511)+1))</f>
        <v/>
      </c>
      <c r="V9512" s="19">
        <f>IF($B9512="","",TEXT($B9512,"0000"))</f>
        <v/>
      </c>
      <c r="W9512" s="19">
        <f>IF($I9512="","",IF(ISNUMBER($I9512),TEXT($I9512,"0"),$I9512))</f>
        <v/>
      </c>
    </row>
    <row r="9513">
      <c r="B9513" s="25" t="n"/>
      <c r="I9513" s="25" t="n"/>
      <c r="U9513" s="19">
        <f>IF($V9513&lt;&gt;'設定'!$C$4,N(U9512),IF(OR(NOT(COUNTIF('商品マスタ'!$B$6:$B$1005,$W9513)=0),COUNTIFS('①在庫を貼る'!$V$6:$V$10005,$V9513,'①在庫を貼る'!$W$6:$W$10005,$W9513)&gt;0),N(U9512),N(U9512)+1))</f>
        <v/>
      </c>
      <c r="V9513" s="19">
        <f>IF($B9513="","",TEXT($B9513,"0000"))</f>
        <v/>
      </c>
      <c r="W9513" s="19">
        <f>IF($I9513="","",IF(ISNUMBER($I9513),TEXT($I9513,"0"),$I9513))</f>
        <v/>
      </c>
    </row>
    <row r="9514">
      <c r="B9514" s="25" t="n"/>
      <c r="I9514" s="25" t="n"/>
      <c r="U9514" s="19">
        <f>IF($V9514&lt;&gt;'設定'!$C$4,N(U9513),IF(OR(NOT(COUNTIF('商品マスタ'!$B$6:$B$1005,$W9514)=0),COUNTIFS('①在庫を貼る'!$V$6:$V$10005,$V9514,'①在庫を貼る'!$W$6:$W$10005,$W9514)&gt;0),N(U9513),N(U9513)+1))</f>
        <v/>
      </c>
      <c r="V9514" s="19">
        <f>IF($B9514="","",TEXT($B9514,"0000"))</f>
        <v/>
      </c>
      <c r="W9514" s="19">
        <f>IF($I9514="","",IF(ISNUMBER($I9514),TEXT($I9514,"0"),$I9514))</f>
        <v/>
      </c>
    </row>
    <row r="9515">
      <c r="B9515" s="25" t="n"/>
      <c r="I9515" s="25" t="n"/>
      <c r="U9515" s="19">
        <f>IF($V9515&lt;&gt;'設定'!$C$4,N(U9514),IF(OR(NOT(COUNTIF('商品マスタ'!$B$6:$B$1005,$W9515)=0),COUNTIFS('①在庫を貼る'!$V$6:$V$10005,$V9515,'①在庫を貼る'!$W$6:$W$10005,$W9515)&gt;0),N(U9514),N(U9514)+1))</f>
        <v/>
      </c>
      <c r="V9515" s="19">
        <f>IF($B9515="","",TEXT($B9515,"0000"))</f>
        <v/>
      </c>
      <c r="W9515" s="19">
        <f>IF($I9515="","",IF(ISNUMBER($I9515),TEXT($I9515,"0"),$I9515))</f>
        <v/>
      </c>
    </row>
    <row r="9516">
      <c r="B9516" s="25" t="n"/>
      <c r="I9516" s="25" t="n"/>
      <c r="U9516" s="19">
        <f>IF($V9516&lt;&gt;'設定'!$C$4,N(U9515),IF(OR(NOT(COUNTIF('商品マスタ'!$B$6:$B$1005,$W9516)=0),COUNTIFS('①在庫を貼る'!$V$6:$V$10005,$V9516,'①在庫を貼る'!$W$6:$W$10005,$W9516)&gt;0),N(U9515),N(U9515)+1))</f>
        <v/>
      </c>
      <c r="V9516" s="19">
        <f>IF($B9516="","",TEXT($B9516,"0000"))</f>
        <v/>
      </c>
      <c r="W9516" s="19">
        <f>IF($I9516="","",IF(ISNUMBER($I9516),TEXT($I9516,"0"),$I9516))</f>
        <v/>
      </c>
    </row>
    <row r="9517">
      <c r="B9517" s="25" t="n"/>
      <c r="I9517" s="25" t="n"/>
      <c r="U9517" s="19">
        <f>IF($V9517&lt;&gt;'設定'!$C$4,N(U9516),IF(OR(NOT(COUNTIF('商品マスタ'!$B$6:$B$1005,$W9517)=0),COUNTIFS('①在庫を貼る'!$V$6:$V$10005,$V9517,'①在庫を貼る'!$W$6:$W$10005,$W9517)&gt;0),N(U9516),N(U9516)+1))</f>
        <v/>
      </c>
      <c r="V9517" s="19">
        <f>IF($B9517="","",TEXT($B9517,"0000"))</f>
        <v/>
      </c>
      <c r="W9517" s="19">
        <f>IF($I9517="","",IF(ISNUMBER($I9517),TEXT($I9517,"0"),$I9517))</f>
        <v/>
      </c>
    </row>
    <row r="9518">
      <c r="B9518" s="25" t="n"/>
      <c r="I9518" s="25" t="n"/>
      <c r="U9518" s="19">
        <f>IF($V9518&lt;&gt;'設定'!$C$4,N(U9517),IF(OR(NOT(COUNTIF('商品マスタ'!$B$6:$B$1005,$W9518)=0),COUNTIFS('①在庫を貼る'!$V$6:$V$10005,$V9518,'①在庫を貼る'!$W$6:$W$10005,$W9518)&gt;0),N(U9517),N(U9517)+1))</f>
        <v/>
      </c>
      <c r="V9518" s="19">
        <f>IF($B9518="","",TEXT($B9518,"0000"))</f>
        <v/>
      </c>
      <c r="W9518" s="19">
        <f>IF($I9518="","",IF(ISNUMBER($I9518),TEXT($I9518,"0"),$I9518))</f>
        <v/>
      </c>
    </row>
    <row r="9519">
      <c r="B9519" s="25" t="n"/>
      <c r="I9519" s="25" t="n"/>
      <c r="U9519" s="19">
        <f>IF($V9519&lt;&gt;'設定'!$C$4,N(U9518),IF(OR(NOT(COUNTIF('商品マスタ'!$B$6:$B$1005,$W9519)=0),COUNTIFS('①在庫を貼る'!$V$6:$V$10005,$V9519,'①在庫を貼る'!$W$6:$W$10005,$W9519)&gt;0),N(U9518),N(U9518)+1))</f>
        <v/>
      </c>
      <c r="V9519" s="19">
        <f>IF($B9519="","",TEXT($B9519,"0000"))</f>
        <v/>
      </c>
      <c r="W9519" s="19">
        <f>IF($I9519="","",IF(ISNUMBER($I9519),TEXT($I9519,"0"),$I9519))</f>
        <v/>
      </c>
    </row>
    <row r="9520">
      <c r="B9520" s="25" t="n"/>
      <c r="I9520" s="25" t="n"/>
      <c r="U9520" s="19">
        <f>IF($V9520&lt;&gt;'設定'!$C$4,N(U9519),IF(OR(NOT(COUNTIF('商品マスタ'!$B$6:$B$1005,$W9520)=0),COUNTIFS('①在庫を貼る'!$V$6:$V$10005,$V9520,'①在庫を貼る'!$W$6:$W$10005,$W9520)&gt;0),N(U9519),N(U9519)+1))</f>
        <v/>
      </c>
      <c r="V9520" s="19">
        <f>IF($B9520="","",TEXT($B9520,"0000"))</f>
        <v/>
      </c>
      <c r="W9520" s="19">
        <f>IF($I9520="","",IF(ISNUMBER($I9520),TEXT($I9520,"0"),$I9520))</f>
        <v/>
      </c>
    </row>
    <row r="9521">
      <c r="B9521" s="25" t="n"/>
      <c r="I9521" s="25" t="n"/>
      <c r="U9521" s="19">
        <f>IF($V9521&lt;&gt;'設定'!$C$4,N(U9520),IF(OR(NOT(COUNTIF('商品マスタ'!$B$6:$B$1005,$W9521)=0),COUNTIFS('①在庫を貼る'!$V$6:$V$10005,$V9521,'①在庫を貼る'!$W$6:$W$10005,$W9521)&gt;0),N(U9520),N(U9520)+1))</f>
        <v/>
      </c>
      <c r="V9521" s="19">
        <f>IF($B9521="","",TEXT($B9521,"0000"))</f>
        <v/>
      </c>
      <c r="W9521" s="19">
        <f>IF($I9521="","",IF(ISNUMBER($I9521),TEXT($I9521,"0"),$I9521))</f>
        <v/>
      </c>
    </row>
    <row r="9522">
      <c r="B9522" s="25" t="n"/>
      <c r="I9522" s="25" t="n"/>
      <c r="U9522" s="19">
        <f>IF($V9522&lt;&gt;'設定'!$C$4,N(U9521),IF(OR(NOT(COUNTIF('商品マスタ'!$B$6:$B$1005,$W9522)=0),COUNTIFS('①在庫を貼る'!$V$6:$V$10005,$V9522,'①在庫を貼る'!$W$6:$W$10005,$W9522)&gt;0),N(U9521),N(U9521)+1))</f>
        <v/>
      </c>
      <c r="V9522" s="19">
        <f>IF($B9522="","",TEXT($B9522,"0000"))</f>
        <v/>
      </c>
      <c r="W9522" s="19">
        <f>IF($I9522="","",IF(ISNUMBER($I9522),TEXT($I9522,"0"),$I9522))</f>
        <v/>
      </c>
    </row>
    <row r="9523">
      <c r="B9523" s="25" t="n"/>
      <c r="I9523" s="25" t="n"/>
      <c r="U9523" s="19">
        <f>IF($V9523&lt;&gt;'設定'!$C$4,N(U9522),IF(OR(NOT(COUNTIF('商品マスタ'!$B$6:$B$1005,$W9523)=0),COUNTIFS('①在庫を貼る'!$V$6:$V$10005,$V9523,'①在庫を貼る'!$W$6:$W$10005,$W9523)&gt;0),N(U9522),N(U9522)+1))</f>
        <v/>
      </c>
      <c r="V9523" s="19">
        <f>IF($B9523="","",TEXT($B9523,"0000"))</f>
        <v/>
      </c>
      <c r="W9523" s="19">
        <f>IF($I9523="","",IF(ISNUMBER($I9523),TEXT($I9523,"0"),$I9523))</f>
        <v/>
      </c>
    </row>
    <row r="9524">
      <c r="B9524" s="25" t="n"/>
      <c r="I9524" s="25" t="n"/>
      <c r="U9524" s="19">
        <f>IF($V9524&lt;&gt;'設定'!$C$4,N(U9523),IF(OR(NOT(COUNTIF('商品マスタ'!$B$6:$B$1005,$W9524)=0),COUNTIFS('①在庫を貼る'!$V$6:$V$10005,$V9524,'①在庫を貼る'!$W$6:$W$10005,$W9524)&gt;0),N(U9523),N(U9523)+1))</f>
        <v/>
      </c>
      <c r="V9524" s="19">
        <f>IF($B9524="","",TEXT($B9524,"0000"))</f>
        <v/>
      </c>
      <c r="W9524" s="19">
        <f>IF($I9524="","",IF(ISNUMBER($I9524),TEXT($I9524,"0"),$I9524))</f>
        <v/>
      </c>
    </row>
    <row r="9525">
      <c r="B9525" s="25" t="n"/>
      <c r="I9525" s="25" t="n"/>
      <c r="U9525" s="19">
        <f>IF($V9525&lt;&gt;'設定'!$C$4,N(U9524),IF(OR(NOT(COUNTIF('商品マスタ'!$B$6:$B$1005,$W9525)=0),COUNTIFS('①在庫を貼る'!$V$6:$V$10005,$V9525,'①在庫を貼る'!$W$6:$W$10005,$W9525)&gt;0),N(U9524),N(U9524)+1))</f>
        <v/>
      </c>
      <c r="V9525" s="19">
        <f>IF($B9525="","",TEXT($B9525,"0000"))</f>
        <v/>
      </c>
      <c r="W9525" s="19">
        <f>IF($I9525="","",IF(ISNUMBER($I9525),TEXT($I9525,"0"),$I9525))</f>
        <v/>
      </c>
    </row>
    <row r="9526">
      <c r="B9526" s="25" t="n"/>
      <c r="I9526" s="25" t="n"/>
      <c r="U9526" s="19">
        <f>IF($V9526&lt;&gt;'設定'!$C$4,N(U9525),IF(OR(NOT(COUNTIF('商品マスタ'!$B$6:$B$1005,$W9526)=0),COUNTIFS('①在庫を貼る'!$V$6:$V$10005,$V9526,'①在庫を貼る'!$W$6:$W$10005,$W9526)&gt;0),N(U9525),N(U9525)+1))</f>
        <v/>
      </c>
      <c r="V9526" s="19">
        <f>IF($B9526="","",TEXT($B9526,"0000"))</f>
        <v/>
      </c>
      <c r="W9526" s="19">
        <f>IF($I9526="","",IF(ISNUMBER($I9526),TEXT($I9526,"0"),$I9526))</f>
        <v/>
      </c>
    </row>
    <row r="9527">
      <c r="B9527" s="25" t="n"/>
      <c r="I9527" s="25" t="n"/>
      <c r="U9527" s="19">
        <f>IF($V9527&lt;&gt;'設定'!$C$4,N(U9526),IF(OR(NOT(COUNTIF('商品マスタ'!$B$6:$B$1005,$W9527)=0),COUNTIFS('①在庫を貼る'!$V$6:$V$10005,$V9527,'①在庫を貼る'!$W$6:$W$10005,$W9527)&gt;0),N(U9526),N(U9526)+1))</f>
        <v/>
      </c>
      <c r="V9527" s="19">
        <f>IF($B9527="","",TEXT($B9527,"0000"))</f>
        <v/>
      </c>
      <c r="W9527" s="19">
        <f>IF($I9527="","",IF(ISNUMBER($I9527),TEXT($I9527,"0"),$I9527))</f>
        <v/>
      </c>
    </row>
    <row r="9528">
      <c r="B9528" s="25" t="n"/>
      <c r="I9528" s="25" t="n"/>
      <c r="U9528" s="19">
        <f>IF($V9528&lt;&gt;'設定'!$C$4,N(U9527),IF(OR(NOT(COUNTIF('商品マスタ'!$B$6:$B$1005,$W9528)=0),COUNTIFS('①在庫を貼る'!$V$6:$V$10005,$V9528,'①在庫を貼る'!$W$6:$W$10005,$W9528)&gt;0),N(U9527),N(U9527)+1))</f>
        <v/>
      </c>
      <c r="V9528" s="19">
        <f>IF($B9528="","",TEXT($B9528,"0000"))</f>
        <v/>
      </c>
      <c r="W9528" s="19">
        <f>IF($I9528="","",IF(ISNUMBER($I9528),TEXT($I9528,"0"),$I9528))</f>
        <v/>
      </c>
    </row>
    <row r="9529">
      <c r="B9529" s="25" t="n"/>
      <c r="I9529" s="25" t="n"/>
      <c r="U9529" s="19">
        <f>IF($V9529&lt;&gt;'設定'!$C$4,N(U9528),IF(OR(NOT(COUNTIF('商品マスタ'!$B$6:$B$1005,$W9529)=0),COUNTIFS('①在庫を貼る'!$V$6:$V$10005,$V9529,'①在庫を貼る'!$W$6:$W$10005,$W9529)&gt;0),N(U9528),N(U9528)+1))</f>
        <v/>
      </c>
      <c r="V9529" s="19">
        <f>IF($B9529="","",TEXT($B9529,"0000"))</f>
        <v/>
      </c>
      <c r="W9529" s="19">
        <f>IF($I9529="","",IF(ISNUMBER($I9529),TEXT($I9529,"0"),$I9529))</f>
        <v/>
      </c>
    </row>
    <row r="9530">
      <c r="B9530" s="25" t="n"/>
      <c r="I9530" s="25" t="n"/>
      <c r="U9530" s="19">
        <f>IF($V9530&lt;&gt;'設定'!$C$4,N(U9529),IF(OR(NOT(COUNTIF('商品マスタ'!$B$6:$B$1005,$W9530)=0),COUNTIFS('①在庫を貼る'!$V$6:$V$10005,$V9530,'①在庫を貼る'!$W$6:$W$10005,$W9530)&gt;0),N(U9529),N(U9529)+1))</f>
        <v/>
      </c>
      <c r="V9530" s="19">
        <f>IF($B9530="","",TEXT($B9530,"0000"))</f>
        <v/>
      </c>
      <c r="W9530" s="19">
        <f>IF($I9530="","",IF(ISNUMBER($I9530),TEXT($I9530,"0"),$I9530))</f>
        <v/>
      </c>
    </row>
    <row r="9531">
      <c r="B9531" s="25" t="n"/>
      <c r="I9531" s="25" t="n"/>
      <c r="U9531" s="19">
        <f>IF($V9531&lt;&gt;'設定'!$C$4,N(U9530),IF(OR(NOT(COUNTIF('商品マスタ'!$B$6:$B$1005,$W9531)=0),COUNTIFS('①在庫を貼る'!$V$6:$V$10005,$V9531,'①在庫を貼る'!$W$6:$W$10005,$W9531)&gt;0),N(U9530),N(U9530)+1))</f>
        <v/>
      </c>
      <c r="V9531" s="19">
        <f>IF($B9531="","",TEXT($B9531,"0000"))</f>
        <v/>
      </c>
      <c r="W9531" s="19">
        <f>IF($I9531="","",IF(ISNUMBER($I9531),TEXT($I9531,"0"),$I9531))</f>
        <v/>
      </c>
    </row>
    <row r="9532">
      <c r="B9532" s="25" t="n"/>
      <c r="I9532" s="25" t="n"/>
      <c r="U9532" s="19">
        <f>IF($V9532&lt;&gt;'設定'!$C$4,N(U9531),IF(OR(NOT(COUNTIF('商品マスタ'!$B$6:$B$1005,$W9532)=0),COUNTIFS('①在庫を貼る'!$V$6:$V$10005,$V9532,'①在庫を貼る'!$W$6:$W$10005,$W9532)&gt;0),N(U9531),N(U9531)+1))</f>
        <v/>
      </c>
      <c r="V9532" s="19">
        <f>IF($B9532="","",TEXT($B9532,"0000"))</f>
        <v/>
      </c>
      <c r="W9532" s="19">
        <f>IF($I9532="","",IF(ISNUMBER($I9532),TEXT($I9532,"0"),$I9532))</f>
        <v/>
      </c>
    </row>
    <row r="9533">
      <c r="B9533" s="25" t="n"/>
      <c r="I9533" s="25" t="n"/>
      <c r="U9533" s="19">
        <f>IF($V9533&lt;&gt;'設定'!$C$4,N(U9532),IF(OR(NOT(COUNTIF('商品マスタ'!$B$6:$B$1005,$W9533)=0),COUNTIFS('①在庫を貼る'!$V$6:$V$10005,$V9533,'①在庫を貼る'!$W$6:$W$10005,$W9533)&gt;0),N(U9532),N(U9532)+1))</f>
        <v/>
      </c>
      <c r="V9533" s="19">
        <f>IF($B9533="","",TEXT($B9533,"0000"))</f>
        <v/>
      </c>
      <c r="W9533" s="19">
        <f>IF($I9533="","",IF(ISNUMBER($I9533),TEXT($I9533,"0"),$I9533))</f>
        <v/>
      </c>
    </row>
    <row r="9534">
      <c r="B9534" s="25" t="n"/>
      <c r="I9534" s="25" t="n"/>
      <c r="U9534" s="19">
        <f>IF($V9534&lt;&gt;'設定'!$C$4,N(U9533),IF(OR(NOT(COUNTIF('商品マスタ'!$B$6:$B$1005,$W9534)=0),COUNTIFS('①在庫を貼る'!$V$6:$V$10005,$V9534,'①在庫を貼る'!$W$6:$W$10005,$W9534)&gt;0),N(U9533),N(U9533)+1))</f>
        <v/>
      </c>
      <c r="V9534" s="19">
        <f>IF($B9534="","",TEXT($B9534,"0000"))</f>
        <v/>
      </c>
      <c r="W9534" s="19">
        <f>IF($I9534="","",IF(ISNUMBER($I9534),TEXT($I9534,"0"),$I9534))</f>
        <v/>
      </c>
    </row>
    <row r="9535">
      <c r="B9535" s="25" t="n"/>
      <c r="I9535" s="25" t="n"/>
      <c r="U9535" s="19">
        <f>IF($V9535&lt;&gt;'設定'!$C$4,N(U9534),IF(OR(NOT(COUNTIF('商品マスタ'!$B$6:$B$1005,$W9535)=0),COUNTIFS('①在庫を貼る'!$V$6:$V$10005,$V9535,'①在庫を貼る'!$W$6:$W$10005,$W9535)&gt;0),N(U9534),N(U9534)+1))</f>
        <v/>
      </c>
      <c r="V9535" s="19">
        <f>IF($B9535="","",TEXT($B9535,"0000"))</f>
        <v/>
      </c>
      <c r="W9535" s="19">
        <f>IF($I9535="","",IF(ISNUMBER($I9535),TEXT($I9535,"0"),$I9535))</f>
        <v/>
      </c>
    </row>
    <row r="9536">
      <c r="B9536" s="25" t="n"/>
      <c r="I9536" s="25" t="n"/>
      <c r="U9536" s="19">
        <f>IF($V9536&lt;&gt;'設定'!$C$4,N(U9535),IF(OR(NOT(COUNTIF('商品マスタ'!$B$6:$B$1005,$W9536)=0),COUNTIFS('①在庫を貼る'!$V$6:$V$10005,$V9536,'①在庫を貼る'!$W$6:$W$10005,$W9536)&gt;0),N(U9535),N(U9535)+1))</f>
        <v/>
      </c>
      <c r="V9536" s="19">
        <f>IF($B9536="","",TEXT($B9536,"0000"))</f>
        <v/>
      </c>
      <c r="W9536" s="19">
        <f>IF($I9536="","",IF(ISNUMBER($I9536),TEXT($I9536,"0"),$I9536))</f>
        <v/>
      </c>
    </row>
    <row r="9537">
      <c r="B9537" s="25" t="n"/>
      <c r="I9537" s="25" t="n"/>
      <c r="U9537" s="19">
        <f>IF($V9537&lt;&gt;'設定'!$C$4,N(U9536),IF(OR(NOT(COUNTIF('商品マスタ'!$B$6:$B$1005,$W9537)=0),COUNTIFS('①在庫を貼る'!$V$6:$V$10005,$V9537,'①在庫を貼る'!$W$6:$W$10005,$W9537)&gt;0),N(U9536),N(U9536)+1))</f>
        <v/>
      </c>
      <c r="V9537" s="19">
        <f>IF($B9537="","",TEXT($B9537,"0000"))</f>
        <v/>
      </c>
      <c r="W9537" s="19">
        <f>IF($I9537="","",IF(ISNUMBER($I9537),TEXT($I9537,"0"),$I9537))</f>
        <v/>
      </c>
    </row>
    <row r="9538">
      <c r="B9538" s="25" t="n"/>
      <c r="I9538" s="25" t="n"/>
      <c r="U9538" s="19">
        <f>IF($V9538&lt;&gt;'設定'!$C$4,N(U9537),IF(OR(NOT(COUNTIF('商品マスタ'!$B$6:$B$1005,$W9538)=0),COUNTIFS('①在庫を貼る'!$V$6:$V$10005,$V9538,'①在庫を貼る'!$W$6:$W$10005,$W9538)&gt;0),N(U9537),N(U9537)+1))</f>
        <v/>
      </c>
      <c r="V9538" s="19">
        <f>IF($B9538="","",TEXT($B9538,"0000"))</f>
        <v/>
      </c>
      <c r="W9538" s="19">
        <f>IF($I9538="","",IF(ISNUMBER($I9538),TEXT($I9538,"0"),$I9538))</f>
        <v/>
      </c>
    </row>
    <row r="9539">
      <c r="B9539" s="25" t="n"/>
      <c r="I9539" s="25" t="n"/>
      <c r="U9539" s="19">
        <f>IF($V9539&lt;&gt;'設定'!$C$4,N(U9538),IF(OR(NOT(COUNTIF('商品マスタ'!$B$6:$B$1005,$W9539)=0),COUNTIFS('①在庫を貼る'!$V$6:$V$10005,$V9539,'①在庫を貼る'!$W$6:$W$10005,$W9539)&gt;0),N(U9538),N(U9538)+1))</f>
        <v/>
      </c>
      <c r="V9539" s="19">
        <f>IF($B9539="","",TEXT($B9539,"0000"))</f>
        <v/>
      </c>
      <c r="W9539" s="19">
        <f>IF($I9539="","",IF(ISNUMBER($I9539),TEXT($I9539,"0"),$I9539))</f>
        <v/>
      </c>
    </row>
    <row r="9540">
      <c r="B9540" s="25" t="n"/>
      <c r="I9540" s="25" t="n"/>
      <c r="U9540" s="19">
        <f>IF($V9540&lt;&gt;'設定'!$C$4,N(U9539),IF(OR(NOT(COUNTIF('商品マスタ'!$B$6:$B$1005,$W9540)=0),COUNTIFS('①在庫を貼る'!$V$6:$V$10005,$V9540,'①在庫を貼る'!$W$6:$W$10005,$W9540)&gt;0),N(U9539),N(U9539)+1))</f>
        <v/>
      </c>
      <c r="V9540" s="19">
        <f>IF($B9540="","",TEXT($B9540,"0000"))</f>
        <v/>
      </c>
      <c r="W9540" s="19">
        <f>IF($I9540="","",IF(ISNUMBER($I9540),TEXT($I9540,"0"),$I9540))</f>
        <v/>
      </c>
    </row>
    <row r="9541">
      <c r="B9541" s="25" t="n"/>
      <c r="I9541" s="25" t="n"/>
      <c r="U9541" s="19">
        <f>IF($V9541&lt;&gt;'設定'!$C$4,N(U9540),IF(OR(NOT(COUNTIF('商品マスタ'!$B$6:$B$1005,$W9541)=0),COUNTIFS('①在庫を貼る'!$V$6:$V$10005,$V9541,'①在庫を貼る'!$W$6:$W$10005,$W9541)&gt;0),N(U9540),N(U9540)+1))</f>
        <v/>
      </c>
      <c r="V9541" s="19">
        <f>IF($B9541="","",TEXT($B9541,"0000"))</f>
        <v/>
      </c>
      <c r="W9541" s="19">
        <f>IF($I9541="","",IF(ISNUMBER($I9541),TEXT($I9541,"0"),$I9541))</f>
        <v/>
      </c>
    </row>
    <row r="9542">
      <c r="B9542" s="25" t="n"/>
      <c r="I9542" s="25" t="n"/>
      <c r="U9542" s="19">
        <f>IF($V9542&lt;&gt;'設定'!$C$4,N(U9541),IF(OR(NOT(COUNTIF('商品マスタ'!$B$6:$B$1005,$W9542)=0),COUNTIFS('①在庫を貼る'!$V$6:$V$10005,$V9542,'①在庫を貼る'!$W$6:$W$10005,$W9542)&gt;0),N(U9541),N(U9541)+1))</f>
        <v/>
      </c>
      <c r="V9542" s="19">
        <f>IF($B9542="","",TEXT($B9542,"0000"))</f>
        <v/>
      </c>
      <c r="W9542" s="19">
        <f>IF($I9542="","",IF(ISNUMBER($I9542),TEXT($I9542,"0"),$I9542))</f>
        <v/>
      </c>
    </row>
    <row r="9543">
      <c r="B9543" s="25" t="n"/>
      <c r="I9543" s="25" t="n"/>
      <c r="U9543" s="19">
        <f>IF($V9543&lt;&gt;'設定'!$C$4,N(U9542),IF(OR(NOT(COUNTIF('商品マスタ'!$B$6:$B$1005,$W9543)=0),COUNTIFS('①在庫を貼る'!$V$6:$V$10005,$V9543,'①在庫を貼る'!$W$6:$W$10005,$W9543)&gt;0),N(U9542),N(U9542)+1))</f>
        <v/>
      </c>
      <c r="V9543" s="19">
        <f>IF($B9543="","",TEXT($B9543,"0000"))</f>
        <v/>
      </c>
      <c r="W9543" s="19">
        <f>IF($I9543="","",IF(ISNUMBER($I9543),TEXT($I9543,"0"),$I9543))</f>
        <v/>
      </c>
    </row>
    <row r="9544">
      <c r="B9544" s="25" t="n"/>
      <c r="I9544" s="25" t="n"/>
      <c r="U9544" s="19">
        <f>IF($V9544&lt;&gt;'設定'!$C$4,N(U9543),IF(OR(NOT(COUNTIF('商品マスタ'!$B$6:$B$1005,$W9544)=0),COUNTIFS('①在庫を貼る'!$V$6:$V$10005,$V9544,'①在庫を貼る'!$W$6:$W$10005,$W9544)&gt;0),N(U9543),N(U9543)+1))</f>
        <v/>
      </c>
      <c r="V9544" s="19">
        <f>IF($B9544="","",TEXT($B9544,"0000"))</f>
        <v/>
      </c>
      <c r="W9544" s="19">
        <f>IF($I9544="","",IF(ISNUMBER($I9544),TEXT($I9544,"0"),$I9544))</f>
        <v/>
      </c>
    </row>
    <row r="9545">
      <c r="B9545" s="25" t="n"/>
      <c r="I9545" s="25" t="n"/>
      <c r="U9545" s="19">
        <f>IF($V9545&lt;&gt;'設定'!$C$4,N(U9544),IF(OR(NOT(COUNTIF('商品マスタ'!$B$6:$B$1005,$W9545)=0),COUNTIFS('①在庫を貼る'!$V$6:$V$10005,$V9545,'①在庫を貼る'!$W$6:$W$10005,$W9545)&gt;0),N(U9544),N(U9544)+1))</f>
        <v/>
      </c>
      <c r="V9545" s="19">
        <f>IF($B9545="","",TEXT($B9545,"0000"))</f>
        <v/>
      </c>
      <c r="W9545" s="19">
        <f>IF($I9545="","",IF(ISNUMBER($I9545),TEXT($I9545,"0"),$I9545))</f>
        <v/>
      </c>
    </row>
    <row r="9546">
      <c r="B9546" s="25" t="n"/>
      <c r="I9546" s="25" t="n"/>
      <c r="U9546" s="19">
        <f>IF($V9546&lt;&gt;'設定'!$C$4,N(U9545),IF(OR(NOT(COUNTIF('商品マスタ'!$B$6:$B$1005,$W9546)=0),COUNTIFS('①在庫を貼る'!$V$6:$V$10005,$V9546,'①在庫を貼る'!$W$6:$W$10005,$W9546)&gt;0),N(U9545),N(U9545)+1))</f>
        <v/>
      </c>
      <c r="V9546" s="19">
        <f>IF($B9546="","",TEXT($B9546,"0000"))</f>
        <v/>
      </c>
      <c r="W9546" s="19">
        <f>IF($I9546="","",IF(ISNUMBER($I9546),TEXT($I9546,"0"),$I9546))</f>
        <v/>
      </c>
    </row>
    <row r="9547">
      <c r="B9547" s="25" t="n"/>
      <c r="I9547" s="25" t="n"/>
      <c r="U9547" s="19">
        <f>IF($V9547&lt;&gt;'設定'!$C$4,N(U9546),IF(OR(NOT(COUNTIF('商品マスタ'!$B$6:$B$1005,$W9547)=0),COUNTIFS('①在庫を貼る'!$V$6:$V$10005,$V9547,'①在庫を貼る'!$W$6:$W$10005,$W9547)&gt;0),N(U9546),N(U9546)+1))</f>
        <v/>
      </c>
      <c r="V9547" s="19">
        <f>IF($B9547="","",TEXT($B9547,"0000"))</f>
        <v/>
      </c>
      <c r="W9547" s="19">
        <f>IF($I9547="","",IF(ISNUMBER($I9547),TEXT($I9547,"0"),$I9547))</f>
        <v/>
      </c>
    </row>
    <row r="9548">
      <c r="B9548" s="25" t="n"/>
      <c r="I9548" s="25" t="n"/>
      <c r="U9548" s="19">
        <f>IF($V9548&lt;&gt;'設定'!$C$4,N(U9547),IF(OR(NOT(COUNTIF('商品マスタ'!$B$6:$B$1005,$W9548)=0),COUNTIFS('①在庫を貼る'!$V$6:$V$10005,$V9548,'①在庫を貼る'!$W$6:$W$10005,$W9548)&gt;0),N(U9547),N(U9547)+1))</f>
        <v/>
      </c>
      <c r="V9548" s="19">
        <f>IF($B9548="","",TEXT($B9548,"0000"))</f>
        <v/>
      </c>
      <c r="W9548" s="19">
        <f>IF($I9548="","",IF(ISNUMBER($I9548),TEXT($I9548,"0"),$I9548))</f>
        <v/>
      </c>
    </row>
    <row r="9549">
      <c r="B9549" s="25" t="n"/>
      <c r="I9549" s="25" t="n"/>
      <c r="U9549" s="19">
        <f>IF($V9549&lt;&gt;'設定'!$C$4,N(U9548),IF(OR(NOT(COUNTIF('商品マスタ'!$B$6:$B$1005,$W9549)=0),COUNTIFS('①在庫を貼る'!$V$6:$V$10005,$V9549,'①在庫を貼る'!$W$6:$W$10005,$W9549)&gt;0),N(U9548),N(U9548)+1))</f>
        <v/>
      </c>
      <c r="V9549" s="19">
        <f>IF($B9549="","",TEXT($B9549,"0000"))</f>
        <v/>
      </c>
      <c r="W9549" s="19">
        <f>IF($I9549="","",IF(ISNUMBER($I9549),TEXT($I9549,"0"),$I9549))</f>
        <v/>
      </c>
    </row>
    <row r="9550">
      <c r="B9550" s="25" t="n"/>
      <c r="I9550" s="25" t="n"/>
      <c r="U9550" s="19">
        <f>IF($V9550&lt;&gt;'設定'!$C$4,N(U9549),IF(OR(NOT(COUNTIF('商品マスタ'!$B$6:$B$1005,$W9550)=0),COUNTIFS('①在庫を貼る'!$V$6:$V$10005,$V9550,'①在庫を貼る'!$W$6:$W$10005,$W9550)&gt;0),N(U9549),N(U9549)+1))</f>
        <v/>
      </c>
      <c r="V9550" s="19">
        <f>IF($B9550="","",TEXT($B9550,"0000"))</f>
        <v/>
      </c>
      <c r="W9550" s="19">
        <f>IF($I9550="","",IF(ISNUMBER($I9550),TEXT($I9550,"0"),$I9550))</f>
        <v/>
      </c>
    </row>
    <row r="9551">
      <c r="B9551" s="25" t="n"/>
      <c r="I9551" s="25" t="n"/>
      <c r="U9551" s="19">
        <f>IF($V9551&lt;&gt;'設定'!$C$4,N(U9550),IF(OR(NOT(COUNTIF('商品マスタ'!$B$6:$B$1005,$W9551)=0),COUNTIFS('①在庫を貼る'!$V$6:$V$10005,$V9551,'①在庫を貼る'!$W$6:$W$10005,$W9551)&gt;0),N(U9550),N(U9550)+1))</f>
        <v/>
      </c>
      <c r="V9551" s="19">
        <f>IF($B9551="","",TEXT($B9551,"0000"))</f>
        <v/>
      </c>
      <c r="W9551" s="19">
        <f>IF($I9551="","",IF(ISNUMBER($I9551),TEXT($I9551,"0"),$I9551))</f>
        <v/>
      </c>
    </row>
    <row r="9552">
      <c r="B9552" s="25" t="n"/>
      <c r="I9552" s="25" t="n"/>
      <c r="U9552" s="19">
        <f>IF($V9552&lt;&gt;'設定'!$C$4,N(U9551),IF(OR(NOT(COUNTIF('商品マスタ'!$B$6:$B$1005,$W9552)=0),COUNTIFS('①在庫を貼る'!$V$6:$V$10005,$V9552,'①在庫を貼る'!$W$6:$W$10005,$W9552)&gt;0),N(U9551),N(U9551)+1))</f>
        <v/>
      </c>
      <c r="V9552" s="19">
        <f>IF($B9552="","",TEXT($B9552,"0000"))</f>
        <v/>
      </c>
      <c r="W9552" s="19">
        <f>IF($I9552="","",IF(ISNUMBER($I9552),TEXT($I9552,"0"),$I9552))</f>
        <v/>
      </c>
    </row>
    <row r="9553">
      <c r="B9553" s="25" t="n"/>
      <c r="I9553" s="25" t="n"/>
      <c r="U9553" s="19">
        <f>IF($V9553&lt;&gt;'設定'!$C$4,N(U9552),IF(OR(NOT(COUNTIF('商品マスタ'!$B$6:$B$1005,$W9553)=0),COUNTIFS('①在庫を貼る'!$V$6:$V$10005,$V9553,'①在庫を貼る'!$W$6:$W$10005,$W9553)&gt;0),N(U9552),N(U9552)+1))</f>
        <v/>
      </c>
      <c r="V9553" s="19">
        <f>IF($B9553="","",TEXT($B9553,"0000"))</f>
        <v/>
      </c>
      <c r="W9553" s="19">
        <f>IF($I9553="","",IF(ISNUMBER($I9553),TEXT($I9553,"0"),$I9553))</f>
        <v/>
      </c>
    </row>
    <row r="9554">
      <c r="B9554" s="25" t="n"/>
      <c r="I9554" s="25" t="n"/>
      <c r="U9554" s="19">
        <f>IF($V9554&lt;&gt;'設定'!$C$4,N(U9553),IF(OR(NOT(COUNTIF('商品マスタ'!$B$6:$B$1005,$W9554)=0),COUNTIFS('①在庫を貼る'!$V$6:$V$10005,$V9554,'①在庫を貼る'!$W$6:$W$10005,$W9554)&gt;0),N(U9553),N(U9553)+1))</f>
        <v/>
      </c>
      <c r="V9554" s="19">
        <f>IF($B9554="","",TEXT($B9554,"0000"))</f>
        <v/>
      </c>
      <c r="W9554" s="19">
        <f>IF($I9554="","",IF(ISNUMBER($I9554),TEXT($I9554,"0"),$I9554))</f>
        <v/>
      </c>
    </row>
    <row r="9555">
      <c r="B9555" s="25" t="n"/>
      <c r="I9555" s="25" t="n"/>
      <c r="U9555" s="19">
        <f>IF($V9555&lt;&gt;'設定'!$C$4,N(U9554),IF(OR(NOT(COUNTIF('商品マスタ'!$B$6:$B$1005,$W9555)=0),COUNTIFS('①在庫を貼る'!$V$6:$V$10005,$V9555,'①在庫を貼る'!$W$6:$W$10005,$W9555)&gt;0),N(U9554),N(U9554)+1))</f>
        <v/>
      </c>
      <c r="V9555" s="19">
        <f>IF($B9555="","",TEXT($B9555,"0000"))</f>
        <v/>
      </c>
      <c r="W9555" s="19">
        <f>IF($I9555="","",IF(ISNUMBER($I9555),TEXT($I9555,"0"),$I9555))</f>
        <v/>
      </c>
    </row>
    <row r="9556">
      <c r="B9556" s="25" t="n"/>
      <c r="I9556" s="25" t="n"/>
      <c r="U9556" s="19">
        <f>IF($V9556&lt;&gt;'設定'!$C$4,N(U9555),IF(OR(NOT(COUNTIF('商品マスタ'!$B$6:$B$1005,$W9556)=0),COUNTIFS('①在庫を貼る'!$V$6:$V$10005,$V9556,'①在庫を貼る'!$W$6:$W$10005,$W9556)&gt;0),N(U9555),N(U9555)+1))</f>
        <v/>
      </c>
      <c r="V9556" s="19">
        <f>IF($B9556="","",TEXT($B9556,"0000"))</f>
        <v/>
      </c>
      <c r="W9556" s="19">
        <f>IF($I9556="","",IF(ISNUMBER($I9556),TEXT($I9556,"0"),$I9556))</f>
        <v/>
      </c>
    </row>
    <row r="9557">
      <c r="B9557" s="25" t="n"/>
      <c r="I9557" s="25" t="n"/>
      <c r="U9557" s="19">
        <f>IF($V9557&lt;&gt;'設定'!$C$4,N(U9556),IF(OR(NOT(COUNTIF('商品マスタ'!$B$6:$B$1005,$W9557)=0),COUNTIFS('①在庫を貼る'!$V$6:$V$10005,$V9557,'①在庫を貼る'!$W$6:$W$10005,$W9557)&gt;0),N(U9556),N(U9556)+1))</f>
        <v/>
      </c>
      <c r="V9557" s="19">
        <f>IF($B9557="","",TEXT($B9557,"0000"))</f>
        <v/>
      </c>
      <c r="W9557" s="19">
        <f>IF($I9557="","",IF(ISNUMBER($I9557),TEXT($I9557,"0"),$I9557))</f>
        <v/>
      </c>
    </row>
    <row r="9558">
      <c r="B9558" s="25" t="n"/>
      <c r="I9558" s="25" t="n"/>
      <c r="U9558" s="19">
        <f>IF($V9558&lt;&gt;'設定'!$C$4,N(U9557),IF(OR(NOT(COUNTIF('商品マスタ'!$B$6:$B$1005,$W9558)=0),COUNTIFS('①在庫を貼る'!$V$6:$V$10005,$V9558,'①在庫を貼る'!$W$6:$W$10005,$W9558)&gt;0),N(U9557),N(U9557)+1))</f>
        <v/>
      </c>
      <c r="V9558" s="19">
        <f>IF($B9558="","",TEXT($B9558,"0000"))</f>
        <v/>
      </c>
      <c r="W9558" s="19">
        <f>IF($I9558="","",IF(ISNUMBER($I9558),TEXT($I9558,"0"),$I9558))</f>
        <v/>
      </c>
    </row>
    <row r="9559">
      <c r="B9559" s="25" t="n"/>
      <c r="I9559" s="25" t="n"/>
      <c r="U9559" s="19">
        <f>IF($V9559&lt;&gt;'設定'!$C$4,N(U9558),IF(OR(NOT(COUNTIF('商品マスタ'!$B$6:$B$1005,$W9559)=0),COUNTIFS('①在庫を貼る'!$V$6:$V$10005,$V9559,'①在庫を貼る'!$W$6:$W$10005,$W9559)&gt;0),N(U9558),N(U9558)+1))</f>
        <v/>
      </c>
      <c r="V9559" s="19">
        <f>IF($B9559="","",TEXT($B9559,"0000"))</f>
        <v/>
      </c>
      <c r="W9559" s="19">
        <f>IF($I9559="","",IF(ISNUMBER($I9559),TEXT($I9559,"0"),$I9559))</f>
        <v/>
      </c>
    </row>
    <row r="9560">
      <c r="B9560" s="25" t="n"/>
      <c r="I9560" s="25" t="n"/>
      <c r="U9560" s="19">
        <f>IF($V9560&lt;&gt;'設定'!$C$4,N(U9559),IF(OR(NOT(COUNTIF('商品マスタ'!$B$6:$B$1005,$W9560)=0),COUNTIFS('①在庫を貼る'!$V$6:$V$10005,$V9560,'①在庫を貼る'!$W$6:$W$10005,$W9560)&gt;0),N(U9559),N(U9559)+1))</f>
        <v/>
      </c>
      <c r="V9560" s="19">
        <f>IF($B9560="","",TEXT($B9560,"0000"))</f>
        <v/>
      </c>
      <c r="W9560" s="19">
        <f>IF($I9560="","",IF(ISNUMBER($I9560),TEXT($I9560,"0"),$I9560))</f>
        <v/>
      </c>
    </row>
    <row r="9561">
      <c r="B9561" s="25" t="n"/>
      <c r="I9561" s="25" t="n"/>
      <c r="U9561" s="19">
        <f>IF($V9561&lt;&gt;'設定'!$C$4,N(U9560),IF(OR(NOT(COUNTIF('商品マスタ'!$B$6:$B$1005,$W9561)=0),COUNTIFS('①在庫を貼る'!$V$6:$V$10005,$V9561,'①在庫を貼る'!$W$6:$W$10005,$W9561)&gt;0),N(U9560),N(U9560)+1))</f>
        <v/>
      </c>
      <c r="V9561" s="19">
        <f>IF($B9561="","",TEXT($B9561,"0000"))</f>
        <v/>
      </c>
      <c r="W9561" s="19">
        <f>IF($I9561="","",IF(ISNUMBER($I9561),TEXT($I9561,"0"),$I9561))</f>
        <v/>
      </c>
    </row>
    <row r="9562">
      <c r="B9562" s="25" t="n"/>
      <c r="I9562" s="25" t="n"/>
      <c r="U9562" s="19">
        <f>IF($V9562&lt;&gt;'設定'!$C$4,N(U9561),IF(OR(NOT(COUNTIF('商品マスタ'!$B$6:$B$1005,$W9562)=0),COUNTIFS('①在庫を貼る'!$V$6:$V$10005,$V9562,'①在庫を貼る'!$W$6:$W$10005,$W9562)&gt;0),N(U9561),N(U9561)+1))</f>
        <v/>
      </c>
      <c r="V9562" s="19">
        <f>IF($B9562="","",TEXT($B9562,"0000"))</f>
        <v/>
      </c>
      <c r="W9562" s="19">
        <f>IF($I9562="","",IF(ISNUMBER($I9562),TEXT($I9562,"0"),$I9562))</f>
        <v/>
      </c>
    </row>
    <row r="9563">
      <c r="B9563" s="25" t="n"/>
      <c r="I9563" s="25" t="n"/>
      <c r="U9563" s="19">
        <f>IF($V9563&lt;&gt;'設定'!$C$4,N(U9562),IF(OR(NOT(COUNTIF('商品マスタ'!$B$6:$B$1005,$W9563)=0),COUNTIFS('①在庫を貼る'!$V$6:$V$10005,$V9563,'①在庫を貼る'!$W$6:$W$10005,$W9563)&gt;0),N(U9562),N(U9562)+1))</f>
        <v/>
      </c>
      <c r="V9563" s="19">
        <f>IF($B9563="","",TEXT($B9563,"0000"))</f>
        <v/>
      </c>
      <c r="W9563" s="19">
        <f>IF($I9563="","",IF(ISNUMBER($I9563),TEXT($I9563,"0"),$I9563))</f>
        <v/>
      </c>
    </row>
    <row r="9564">
      <c r="B9564" s="25" t="n"/>
      <c r="I9564" s="25" t="n"/>
      <c r="U9564" s="19">
        <f>IF($V9564&lt;&gt;'設定'!$C$4,N(U9563),IF(OR(NOT(COUNTIF('商品マスタ'!$B$6:$B$1005,$W9564)=0),COUNTIFS('①在庫を貼る'!$V$6:$V$10005,$V9564,'①在庫を貼る'!$W$6:$W$10005,$W9564)&gt;0),N(U9563),N(U9563)+1))</f>
        <v/>
      </c>
      <c r="V9564" s="19">
        <f>IF($B9564="","",TEXT($B9564,"0000"))</f>
        <v/>
      </c>
      <c r="W9564" s="19">
        <f>IF($I9564="","",IF(ISNUMBER($I9564),TEXT($I9564,"0"),$I9564))</f>
        <v/>
      </c>
    </row>
    <row r="9565">
      <c r="B9565" s="25" t="n"/>
      <c r="I9565" s="25" t="n"/>
      <c r="U9565" s="19">
        <f>IF($V9565&lt;&gt;'設定'!$C$4,N(U9564),IF(OR(NOT(COUNTIF('商品マスタ'!$B$6:$B$1005,$W9565)=0),COUNTIFS('①在庫を貼る'!$V$6:$V$10005,$V9565,'①在庫を貼る'!$W$6:$W$10005,$W9565)&gt;0),N(U9564),N(U9564)+1))</f>
        <v/>
      </c>
      <c r="V9565" s="19">
        <f>IF($B9565="","",TEXT($B9565,"0000"))</f>
        <v/>
      </c>
      <c r="W9565" s="19">
        <f>IF($I9565="","",IF(ISNUMBER($I9565),TEXT($I9565,"0"),$I9565))</f>
        <v/>
      </c>
    </row>
    <row r="9566">
      <c r="B9566" s="25" t="n"/>
      <c r="I9566" s="25" t="n"/>
      <c r="U9566" s="19">
        <f>IF($V9566&lt;&gt;'設定'!$C$4,N(U9565),IF(OR(NOT(COUNTIF('商品マスタ'!$B$6:$B$1005,$W9566)=0),COUNTIFS('①在庫を貼る'!$V$6:$V$10005,$V9566,'①在庫を貼る'!$W$6:$W$10005,$W9566)&gt;0),N(U9565),N(U9565)+1))</f>
        <v/>
      </c>
      <c r="V9566" s="19">
        <f>IF($B9566="","",TEXT($B9566,"0000"))</f>
        <v/>
      </c>
      <c r="W9566" s="19">
        <f>IF($I9566="","",IF(ISNUMBER($I9566),TEXT($I9566,"0"),$I9566))</f>
        <v/>
      </c>
    </row>
    <row r="9567">
      <c r="B9567" s="25" t="n"/>
      <c r="I9567" s="25" t="n"/>
      <c r="U9567" s="19">
        <f>IF($V9567&lt;&gt;'設定'!$C$4,N(U9566),IF(OR(NOT(COUNTIF('商品マスタ'!$B$6:$B$1005,$W9567)=0),COUNTIFS('①在庫を貼る'!$V$6:$V$10005,$V9567,'①在庫を貼る'!$W$6:$W$10005,$W9567)&gt;0),N(U9566),N(U9566)+1))</f>
        <v/>
      </c>
      <c r="V9567" s="19">
        <f>IF($B9567="","",TEXT($B9567,"0000"))</f>
        <v/>
      </c>
      <c r="W9567" s="19">
        <f>IF($I9567="","",IF(ISNUMBER($I9567),TEXT($I9567,"0"),$I9567))</f>
        <v/>
      </c>
    </row>
    <row r="9568">
      <c r="B9568" s="25" t="n"/>
      <c r="I9568" s="25" t="n"/>
      <c r="U9568" s="19">
        <f>IF($V9568&lt;&gt;'設定'!$C$4,N(U9567),IF(OR(NOT(COUNTIF('商品マスタ'!$B$6:$B$1005,$W9568)=0),COUNTIFS('①在庫を貼る'!$V$6:$V$10005,$V9568,'①在庫を貼る'!$W$6:$W$10005,$W9568)&gt;0),N(U9567),N(U9567)+1))</f>
        <v/>
      </c>
      <c r="V9568" s="19">
        <f>IF($B9568="","",TEXT($B9568,"0000"))</f>
        <v/>
      </c>
      <c r="W9568" s="19">
        <f>IF($I9568="","",IF(ISNUMBER($I9568),TEXT($I9568,"0"),$I9568))</f>
        <v/>
      </c>
    </row>
    <row r="9569">
      <c r="B9569" s="25" t="n"/>
      <c r="I9569" s="25" t="n"/>
      <c r="U9569" s="19">
        <f>IF($V9569&lt;&gt;'設定'!$C$4,N(U9568),IF(OR(NOT(COUNTIF('商品マスタ'!$B$6:$B$1005,$W9569)=0),COUNTIFS('①在庫を貼る'!$V$6:$V$10005,$V9569,'①在庫を貼る'!$W$6:$W$10005,$W9569)&gt;0),N(U9568),N(U9568)+1))</f>
        <v/>
      </c>
      <c r="V9569" s="19">
        <f>IF($B9569="","",TEXT($B9569,"0000"))</f>
        <v/>
      </c>
      <c r="W9569" s="19">
        <f>IF($I9569="","",IF(ISNUMBER($I9569),TEXT($I9569,"0"),$I9569))</f>
        <v/>
      </c>
    </row>
    <row r="9570">
      <c r="B9570" s="25" t="n"/>
      <c r="I9570" s="25" t="n"/>
      <c r="U9570" s="19">
        <f>IF($V9570&lt;&gt;'設定'!$C$4,N(U9569),IF(OR(NOT(COUNTIF('商品マスタ'!$B$6:$B$1005,$W9570)=0),COUNTIFS('①在庫を貼る'!$V$6:$V$10005,$V9570,'①在庫を貼る'!$W$6:$W$10005,$W9570)&gt;0),N(U9569),N(U9569)+1))</f>
        <v/>
      </c>
      <c r="V9570" s="19">
        <f>IF($B9570="","",TEXT($B9570,"0000"))</f>
        <v/>
      </c>
      <c r="W9570" s="19">
        <f>IF($I9570="","",IF(ISNUMBER($I9570),TEXT($I9570,"0"),$I9570))</f>
        <v/>
      </c>
    </row>
    <row r="9571">
      <c r="B9571" s="25" t="n"/>
      <c r="I9571" s="25" t="n"/>
      <c r="U9571" s="19">
        <f>IF($V9571&lt;&gt;'設定'!$C$4,N(U9570),IF(OR(NOT(COUNTIF('商品マスタ'!$B$6:$B$1005,$W9571)=0),COUNTIFS('①在庫を貼る'!$V$6:$V$10005,$V9571,'①在庫を貼る'!$W$6:$W$10005,$W9571)&gt;0),N(U9570),N(U9570)+1))</f>
        <v/>
      </c>
      <c r="V9571" s="19">
        <f>IF($B9571="","",TEXT($B9571,"0000"))</f>
        <v/>
      </c>
      <c r="W9571" s="19">
        <f>IF($I9571="","",IF(ISNUMBER($I9571),TEXT($I9571,"0"),$I9571))</f>
        <v/>
      </c>
    </row>
    <row r="9572">
      <c r="B9572" s="25" t="n"/>
      <c r="I9572" s="25" t="n"/>
      <c r="U9572" s="19">
        <f>IF($V9572&lt;&gt;'設定'!$C$4,N(U9571),IF(OR(NOT(COUNTIF('商品マスタ'!$B$6:$B$1005,$W9572)=0),COUNTIFS('①在庫を貼る'!$V$6:$V$10005,$V9572,'①在庫を貼る'!$W$6:$W$10005,$W9572)&gt;0),N(U9571),N(U9571)+1))</f>
        <v/>
      </c>
      <c r="V9572" s="19">
        <f>IF($B9572="","",TEXT($B9572,"0000"))</f>
        <v/>
      </c>
      <c r="W9572" s="19">
        <f>IF($I9572="","",IF(ISNUMBER($I9572),TEXT($I9572,"0"),$I9572))</f>
        <v/>
      </c>
    </row>
    <row r="9573">
      <c r="B9573" s="25" t="n"/>
      <c r="I9573" s="25" t="n"/>
      <c r="U9573" s="19">
        <f>IF($V9573&lt;&gt;'設定'!$C$4,N(U9572),IF(OR(NOT(COUNTIF('商品マスタ'!$B$6:$B$1005,$W9573)=0),COUNTIFS('①在庫を貼る'!$V$6:$V$10005,$V9573,'①在庫を貼る'!$W$6:$W$10005,$W9573)&gt;0),N(U9572),N(U9572)+1))</f>
        <v/>
      </c>
      <c r="V9573" s="19">
        <f>IF($B9573="","",TEXT($B9573,"0000"))</f>
        <v/>
      </c>
      <c r="W9573" s="19">
        <f>IF($I9573="","",IF(ISNUMBER($I9573),TEXT($I9573,"0"),$I9573))</f>
        <v/>
      </c>
    </row>
    <row r="9574">
      <c r="B9574" s="25" t="n"/>
      <c r="I9574" s="25" t="n"/>
      <c r="U9574" s="19">
        <f>IF($V9574&lt;&gt;'設定'!$C$4,N(U9573),IF(OR(NOT(COUNTIF('商品マスタ'!$B$6:$B$1005,$W9574)=0),COUNTIFS('①在庫を貼る'!$V$6:$V$10005,$V9574,'①在庫を貼る'!$W$6:$W$10005,$W9574)&gt;0),N(U9573),N(U9573)+1))</f>
        <v/>
      </c>
      <c r="V9574" s="19">
        <f>IF($B9574="","",TEXT($B9574,"0000"))</f>
        <v/>
      </c>
      <c r="W9574" s="19">
        <f>IF($I9574="","",IF(ISNUMBER($I9574),TEXT($I9574,"0"),$I9574))</f>
        <v/>
      </c>
    </row>
    <row r="9575">
      <c r="B9575" s="25" t="n"/>
      <c r="I9575" s="25" t="n"/>
      <c r="U9575" s="19">
        <f>IF($V9575&lt;&gt;'設定'!$C$4,N(U9574),IF(OR(NOT(COUNTIF('商品マスタ'!$B$6:$B$1005,$W9575)=0),COUNTIFS('①在庫を貼る'!$V$6:$V$10005,$V9575,'①在庫を貼る'!$W$6:$W$10005,$W9575)&gt;0),N(U9574),N(U9574)+1))</f>
        <v/>
      </c>
      <c r="V9575" s="19">
        <f>IF($B9575="","",TEXT($B9575,"0000"))</f>
        <v/>
      </c>
      <c r="W9575" s="19">
        <f>IF($I9575="","",IF(ISNUMBER($I9575),TEXT($I9575,"0"),$I9575))</f>
        <v/>
      </c>
    </row>
    <row r="9576">
      <c r="B9576" s="25" t="n"/>
      <c r="I9576" s="25" t="n"/>
      <c r="U9576" s="19">
        <f>IF($V9576&lt;&gt;'設定'!$C$4,N(U9575),IF(OR(NOT(COUNTIF('商品マスタ'!$B$6:$B$1005,$W9576)=0),COUNTIFS('①在庫を貼る'!$V$6:$V$10005,$V9576,'①在庫を貼る'!$W$6:$W$10005,$W9576)&gt;0),N(U9575),N(U9575)+1))</f>
        <v/>
      </c>
      <c r="V9576" s="19">
        <f>IF($B9576="","",TEXT($B9576,"0000"))</f>
        <v/>
      </c>
      <c r="W9576" s="19">
        <f>IF($I9576="","",IF(ISNUMBER($I9576),TEXT($I9576,"0"),$I9576))</f>
        <v/>
      </c>
    </row>
    <row r="9577">
      <c r="B9577" s="25" t="n"/>
      <c r="I9577" s="25" t="n"/>
      <c r="U9577" s="19">
        <f>IF($V9577&lt;&gt;'設定'!$C$4,N(U9576),IF(OR(NOT(COUNTIF('商品マスタ'!$B$6:$B$1005,$W9577)=0),COUNTIFS('①在庫を貼る'!$V$6:$V$10005,$V9577,'①在庫を貼る'!$W$6:$W$10005,$W9577)&gt;0),N(U9576),N(U9576)+1))</f>
        <v/>
      </c>
      <c r="V9577" s="19">
        <f>IF($B9577="","",TEXT($B9577,"0000"))</f>
        <v/>
      </c>
      <c r="W9577" s="19">
        <f>IF($I9577="","",IF(ISNUMBER($I9577),TEXT($I9577,"0"),$I9577))</f>
        <v/>
      </c>
    </row>
    <row r="9578">
      <c r="B9578" s="25" t="n"/>
      <c r="I9578" s="25" t="n"/>
      <c r="U9578" s="19">
        <f>IF($V9578&lt;&gt;'設定'!$C$4,N(U9577),IF(OR(NOT(COUNTIF('商品マスタ'!$B$6:$B$1005,$W9578)=0),COUNTIFS('①在庫を貼る'!$V$6:$V$10005,$V9578,'①在庫を貼る'!$W$6:$W$10005,$W9578)&gt;0),N(U9577),N(U9577)+1))</f>
        <v/>
      </c>
      <c r="V9578" s="19">
        <f>IF($B9578="","",TEXT($B9578,"0000"))</f>
        <v/>
      </c>
      <c r="W9578" s="19">
        <f>IF($I9578="","",IF(ISNUMBER($I9578),TEXT($I9578,"0"),$I9578))</f>
        <v/>
      </c>
    </row>
    <row r="9579">
      <c r="B9579" s="25" t="n"/>
      <c r="I9579" s="25" t="n"/>
      <c r="U9579" s="19">
        <f>IF($V9579&lt;&gt;'設定'!$C$4,N(U9578),IF(OR(NOT(COUNTIF('商品マスタ'!$B$6:$B$1005,$W9579)=0),COUNTIFS('①在庫を貼る'!$V$6:$V$10005,$V9579,'①在庫を貼る'!$W$6:$W$10005,$W9579)&gt;0),N(U9578),N(U9578)+1))</f>
        <v/>
      </c>
      <c r="V9579" s="19">
        <f>IF($B9579="","",TEXT($B9579,"0000"))</f>
        <v/>
      </c>
      <c r="W9579" s="19">
        <f>IF($I9579="","",IF(ISNUMBER($I9579),TEXT($I9579,"0"),$I9579))</f>
        <v/>
      </c>
    </row>
    <row r="9580">
      <c r="B9580" s="25" t="n"/>
      <c r="I9580" s="25" t="n"/>
      <c r="U9580" s="19">
        <f>IF($V9580&lt;&gt;'設定'!$C$4,N(U9579),IF(OR(NOT(COUNTIF('商品マスタ'!$B$6:$B$1005,$W9580)=0),COUNTIFS('①在庫を貼る'!$V$6:$V$10005,$V9580,'①在庫を貼る'!$W$6:$W$10005,$W9580)&gt;0),N(U9579),N(U9579)+1))</f>
        <v/>
      </c>
      <c r="V9580" s="19">
        <f>IF($B9580="","",TEXT($B9580,"0000"))</f>
        <v/>
      </c>
      <c r="W9580" s="19">
        <f>IF($I9580="","",IF(ISNUMBER($I9580),TEXT($I9580,"0"),$I9580))</f>
        <v/>
      </c>
    </row>
    <row r="9581">
      <c r="B9581" s="25" t="n"/>
      <c r="I9581" s="25" t="n"/>
      <c r="U9581" s="19">
        <f>IF($V9581&lt;&gt;'設定'!$C$4,N(U9580),IF(OR(NOT(COUNTIF('商品マスタ'!$B$6:$B$1005,$W9581)=0),COUNTIFS('①在庫を貼る'!$V$6:$V$10005,$V9581,'①在庫を貼る'!$W$6:$W$10005,$W9581)&gt;0),N(U9580),N(U9580)+1))</f>
        <v/>
      </c>
      <c r="V9581" s="19">
        <f>IF($B9581="","",TEXT($B9581,"0000"))</f>
        <v/>
      </c>
      <c r="W9581" s="19">
        <f>IF($I9581="","",IF(ISNUMBER($I9581),TEXT($I9581,"0"),$I9581))</f>
        <v/>
      </c>
    </row>
    <row r="9582">
      <c r="B9582" s="25" t="n"/>
      <c r="I9582" s="25" t="n"/>
      <c r="U9582" s="19">
        <f>IF($V9582&lt;&gt;'設定'!$C$4,N(U9581),IF(OR(NOT(COUNTIF('商品マスタ'!$B$6:$B$1005,$W9582)=0),COUNTIFS('①在庫を貼る'!$V$6:$V$10005,$V9582,'①在庫を貼る'!$W$6:$W$10005,$W9582)&gt;0),N(U9581),N(U9581)+1))</f>
        <v/>
      </c>
      <c r="V9582" s="19">
        <f>IF($B9582="","",TEXT($B9582,"0000"))</f>
        <v/>
      </c>
      <c r="W9582" s="19">
        <f>IF($I9582="","",IF(ISNUMBER($I9582),TEXT($I9582,"0"),$I9582))</f>
        <v/>
      </c>
    </row>
    <row r="9583">
      <c r="B9583" s="25" t="n"/>
      <c r="I9583" s="25" t="n"/>
      <c r="U9583" s="19">
        <f>IF($V9583&lt;&gt;'設定'!$C$4,N(U9582),IF(OR(NOT(COUNTIF('商品マスタ'!$B$6:$B$1005,$W9583)=0),COUNTIFS('①在庫を貼る'!$V$6:$V$10005,$V9583,'①在庫を貼る'!$W$6:$W$10005,$W9583)&gt;0),N(U9582),N(U9582)+1))</f>
        <v/>
      </c>
      <c r="V9583" s="19">
        <f>IF($B9583="","",TEXT($B9583,"0000"))</f>
        <v/>
      </c>
      <c r="W9583" s="19">
        <f>IF($I9583="","",IF(ISNUMBER($I9583),TEXT($I9583,"0"),$I9583))</f>
        <v/>
      </c>
    </row>
    <row r="9584">
      <c r="B9584" s="25" t="n"/>
      <c r="I9584" s="25" t="n"/>
      <c r="U9584" s="19">
        <f>IF($V9584&lt;&gt;'設定'!$C$4,N(U9583),IF(OR(NOT(COUNTIF('商品マスタ'!$B$6:$B$1005,$W9584)=0),COUNTIFS('①在庫を貼る'!$V$6:$V$10005,$V9584,'①在庫を貼る'!$W$6:$W$10005,$W9584)&gt;0),N(U9583),N(U9583)+1))</f>
        <v/>
      </c>
      <c r="V9584" s="19">
        <f>IF($B9584="","",TEXT($B9584,"0000"))</f>
        <v/>
      </c>
      <c r="W9584" s="19">
        <f>IF($I9584="","",IF(ISNUMBER($I9584),TEXT($I9584,"0"),$I9584))</f>
        <v/>
      </c>
    </row>
    <row r="9585">
      <c r="B9585" s="25" t="n"/>
      <c r="I9585" s="25" t="n"/>
      <c r="U9585" s="19">
        <f>IF($V9585&lt;&gt;'設定'!$C$4,N(U9584),IF(OR(NOT(COUNTIF('商品マスタ'!$B$6:$B$1005,$W9585)=0),COUNTIFS('①在庫を貼る'!$V$6:$V$10005,$V9585,'①在庫を貼る'!$W$6:$W$10005,$W9585)&gt;0),N(U9584),N(U9584)+1))</f>
        <v/>
      </c>
      <c r="V9585" s="19">
        <f>IF($B9585="","",TEXT($B9585,"0000"))</f>
        <v/>
      </c>
      <c r="W9585" s="19">
        <f>IF($I9585="","",IF(ISNUMBER($I9585),TEXT($I9585,"0"),$I9585))</f>
        <v/>
      </c>
    </row>
    <row r="9586">
      <c r="B9586" s="25" t="n"/>
      <c r="I9586" s="25" t="n"/>
      <c r="U9586" s="19">
        <f>IF($V9586&lt;&gt;'設定'!$C$4,N(U9585),IF(OR(NOT(COUNTIF('商品マスタ'!$B$6:$B$1005,$W9586)=0),COUNTIFS('①在庫を貼る'!$V$6:$V$10005,$V9586,'①在庫を貼る'!$W$6:$W$10005,$W9586)&gt;0),N(U9585),N(U9585)+1))</f>
        <v/>
      </c>
      <c r="V9586" s="19">
        <f>IF($B9586="","",TEXT($B9586,"0000"))</f>
        <v/>
      </c>
      <c r="W9586" s="19">
        <f>IF($I9586="","",IF(ISNUMBER($I9586),TEXT($I9586,"0"),$I9586))</f>
        <v/>
      </c>
    </row>
    <row r="9587">
      <c r="B9587" s="25" t="n"/>
      <c r="I9587" s="25" t="n"/>
      <c r="U9587" s="19">
        <f>IF($V9587&lt;&gt;'設定'!$C$4,N(U9586),IF(OR(NOT(COUNTIF('商品マスタ'!$B$6:$B$1005,$W9587)=0),COUNTIFS('①在庫を貼る'!$V$6:$V$10005,$V9587,'①在庫を貼る'!$W$6:$W$10005,$W9587)&gt;0),N(U9586),N(U9586)+1))</f>
        <v/>
      </c>
      <c r="V9587" s="19">
        <f>IF($B9587="","",TEXT($B9587,"0000"))</f>
        <v/>
      </c>
      <c r="W9587" s="19">
        <f>IF($I9587="","",IF(ISNUMBER($I9587),TEXT($I9587,"0"),$I9587))</f>
        <v/>
      </c>
    </row>
    <row r="9588">
      <c r="B9588" s="25" t="n"/>
      <c r="I9588" s="25" t="n"/>
      <c r="U9588" s="19">
        <f>IF($V9588&lt;&gt;'設定'!$C$4,N(U9587),IF(OR(NOT(COUNTIF('商品マスタ'!$B$6:$B$1005,$W9588)=0),COUNTIFS('①在庫を貼る'!$V$6:$V$10005,$V9588,'①在庫を貼る'!$W$6:$W$10005,$W9588)&gt;0),N(U9587),N(U9587)+1))</f>
        <v/>
      </c>
      <c r="V9588" s="19">
        <f>IF($B9588="","",TEXT($B9588,"0000"))</f>
        <v/>
      </c>
      <c r="W9588" s="19">
        <f>IF($I9588="","",IF(ISNUMBER($I9588),TEXT($I9588,"0"),$I9588))</f>
        <v/>
      </c>
    </row>
    <row r="9589">
      <c r="B9589" s="25" t="n"/>
      <c r="I9589" s="25" t="n"/>
      <c r="U9589" s="19">
        <f>IF($V9589&lt;&gt;'設定'!$C$4,N(U9588),IF(OR(NOT(COUNTIF('商品マスタ'!$B$6:$B$1005,$W9589)=0),COUNTIFS('①在庫を貼る'!$V$6:$V$10005,$V9589,'①在庫を貼る'!$W$6:$W$10005,$W9589)&gt;0),N(U9588),N(U9588)+1))</f>
        <v/>
      </c>
      <c r="V9589" s="19">
        <f>IF($B9589="","",TEXT($B9589,"0000"))</f>
        <v/>
      </c>
      <c r="W9589" s="19">
        <f>IF($I9589="","",IF(ISNUMBER($I9589),TEXT($I9589,"0"),$I9589))</f>
        <v/>
      </c>
    </row>
    <row r="9590">
      <c r="B9590" s="25" t="n"/>
      <c r="I9590" s="25" t="n"/>
      <c r="U9590" s="19">
        <f>IF($V9590&lt;&gt;'設定'!$C$4,N(U9589),IF(OR(NOT(COUNTIF('商品マスタ'!$B$6:$B$1005,$W9590)=0),COUNTIFS('①在庫を貼る'!$V$6:$V$10005,$V9590,'①在庫を貼る'!$W$6:$W$10005,$W9590)&gt;0),N(U9589),N(U9589)+1))</f>
        <v/>
      </c>
      <c r="V9590" s="19">
        <f>IF($B9590="","",TEXT($B9590,"0000"))</f>
        <v/>
      </c>
      <c r="W9590" s="19">
        <f>IF($I9590="","",IF(ISNUMBER($I9590),TEXT($I9590,"0"),$I9590))</f>
        <v/>
      </c>
    </row>
    <row r="9591">
      <c r="B9591" s="25" t="n"/>
      <c r="I9591" s="25" t="n"/>
      <c r="U9591" s="19">
        <f>IF($V9591&lt;&gt;'設定'!$C$4,N(U9590),IF(OR(NOT(COUNTIF('商品マスタ'!$B$6:$B$1005,$W9591)=0),COUNTIFS('①在庫を貼る'!$V$6:$V$10005,$V9591,'①在庫を貼る'!$W$6:$W$10005,$W9591)&gt;0),N(U9590),N(U9590)+1))</f>
        <v/>
      </c>
      <c r="V9591" s="19">
        <f>IF($B9591="","",TEXT($B9591,"0000"))</f>
        <v/>
      </c>
      <c r="W9591" s="19">
        <f>IF($I9591="","",IF(ISNUMBER($I9591),TEXT($I9591,"0"),$I9591))</f>
        <v/>
      </c>
    </row>
    <row r="9592">
      <c r="B9592" s="25" t="n"/>
      <c r="I9592" s="25" t="n"/>
      <c r="U9592" s="19">
        <f>IF($V9592&lt;&gt;'設定'!$C$4,N(U9591),IF(OR(NOT(COUNTIF('商品マスタ'!$B$6:$B$1005,$W9592)=0),COUNTIFS('①在庫を貼る'!$V$6:$V$10005,$V9592,'①在庫を貼る'!$W$6:$W$10005,$W9592)&gt;0),N(U9591),N(U9591)+1))</f>
        <v/>
      </c>
      <c r="V9592" s="19">
        <f>IF($B9592="","",TEXT($B9592,"0000"))</f>
        <v/>
      </c>
      <c r="W9592" s="19">
        <f>IF($I9592="","",IF(ISNUMBER($I9592),TEXT($I9592,"0"),$I9592))</f>
        <v/>
      </c>
    </row>
    <row r="9593">
      <c r="B9593" s="25" t="n"/>
      <c r="I9593" s="25" t="n"/>
      <c r="U9593" s="19">
        <f>IF($V9593&lt;&gt;'設定'!$C$4,N(U9592),IF(OR(NOT(COUNTIF('商品マスタ'!$B$6:$B$1005,$W9593)=0),COUNTIFS('①在庫を貼る'!$V$6:$V$10005,$V9593,'①在庫を貼る'!$W$6:$W$10005,$W9593)&gt;0),N(U9592),N(U9592)+1))</f>
        <v/>
      </c>
      <c r="V9593" s="19">
        <f>IF($B9593="","",TEXT($B9593,"0000"))</f>
        <v/>
      </c>
      <c r="W9593" s="19">
        <f>IF($I9593="","",IF(ISNUMBER($I9593),TEXT($I9593,"0"),$I9593))</f>
        <v/>
      </c>
    </row>
    <row r="9594">
      <c r="B9594" s="25" t="n"/>
      <c r="I9594" s="25" t="n"/>
      <c r="U9594" s="19">
        <f>IF($V9594&lt;&gt;'設定'!$C$4,N(U9593),IF(OR(NOT(COUNTIF('商品マスタ'!$B$6:$B$1005,$W9594)=0),COUNTIFS('①在庫を貼る'!$V$6:$V$10005,$V9594,'①在庫を貼る'!$W$6:$W$10005,$W9594)&gt;0),N(U9593),N(U9593)+1))</f>
        <v/>
      </c>
      <c r="V9594" s="19">
        <f>IF($B9594="","",TEXT($B9594,"0000"))</f>
        <v/>
      </c>
      <c r="W9594" s="19">
        <f>IF($I9594="","",IF(ISNUMBER($I9594),TEXT($I9594,"0"),$I9594))</f>
        <v/>
      </c>
    </row>
    <row r="9595">
      <c r="B9595" s="25" t="n"/>
      <c r="I9595" s="25" t="n"/>
      <c r="U9595" s="19">
        <f>IF($V9595&lt;&gt;'設定'!$C$4,N(U9594),IF(OR(NOT(COUNTIF('商品マスタ'!$B$6:$B$1005,$W9595)=0),COUNTIFS('①在庫を貼る'!$V$6:$V$10005,$V9595,'①在庫を貼る'!$W$6:$W$10005,$W9595)&gt;0),N(U9594),N(U9594)+1))</f>
        <v/>
      </c>
      <c r="V9595" s="19">
        <f>IF($B9595="","",TEXT($B9595,"0000"))</f>
        <v/>
      </c>
      <c r="W9595" s="19">
        <f>IF($I9595="","",IF(ISNUMBER($I9595),TEXT($I9595,"0"),$I9595))</f>
        <v/>
      </c>
    </row>
    <row r="9596">
      <c r="B9596" s="25" t="n"/>
      <c r="I9596" s="25" t="n"/>
      <c r="U9596" s="19">
        <f>IF($V9596&lt;&gt;'設定'!$C$4,N(U9595),IF(OR(NOT(COUNTIF('商品マスタ'!$B$6:$B$1005,$W9596)=0),COUNTIFS('①在庫を貼る'!$V$6:$V$10005,$V9596,'①在庫を貼る'!$W$6:$W$10005,$W9596)&gt;0),N(U9595),N(U9595)+1))</f>
        <v/>
      </c>
      <c r="V9596" s="19">
        <f>IF($B9596="","",TEXT($B9596,"0000"))</f>
        <v/>
      </c>
      <c r="W9596" s="19">
        <f>IF($I9596="","",IF(ISNUMBER($I9596),TEXT($I9596,"0"),$I9596))</f>
        <v/>
      </c>
    </row>
    <row r="9597">
      <c r="B9597" s="25" t="n"/>
      <c r="I9597" s="25" t="n"/>
      <c r="U9597" s="19">
        <f>IF($V9597&lt;&gt;'設定'!$C$4,N(U9596),IF(OR(NOT(COUNTIF('商品マスタ'!$B$6:$B$1005,$W9597)=0),COUNTIFS('①在庫を貼る'!$V$6:$V$10005,$V9597,'①在庫を貼る'!$W$6:$W$10005,$W9597)&gt;0),N(U9596),N(U9596)+1))</f>
        <v/>
      </c>
      <c r="V9597" s="19">
        <f>IF($B9597="","",TEXT($B9597,"0000"))</f>
        <v/>
      </c>
      <c r="W9597" s="19">
        <f>IF($I9597="","",IF(ISNUMBER($I9597),TEXT($I9597,"0"),$I9597))</f>
        <v/>
      </c>
    </row>
    <row r="9598">
      <c r="B9598" s="25" t="n"/>
      <c r="I9598" s="25" t="n"/>
      <c r="U9598" s="19">
        <f>IF($V9598&lt;&gt;'設定'!$C$4,N(U9597),IF(OR(NOT(COUNTIF('商品マスタ'!$B$6:$B$1005,$W9598)=0),COUNTIFS('①在庫を貼る'!$V$6:$V$10005,$V9598,'①在庫を貼る'!$W$6:$W$10005,$W9598)&gt;0),N(U9597),N(U9597)+1))</f>
        <v/>
      </c>
      <c r="V9598" s="19">
        <f>IF($B9598="","",TEXT($B9598,"0000"))</f>
        <v/>
      </c>
      <c r="W9598" s="19">
        <f>IF($I9598="","",IF(ISNUMBER($I9598),TEXT($I9598,"0"),$I9598))</f>
        <v/>
      </c>
    </row>
    <row r="9599">
      <c r="B9599" s="25" t="n"/>
      <c r="I9599" s="25" t="n"/>
      <c r="U9599" s="19">
        <f>IF($V9599&lt;&gt;'設定'!$C$4,N(U9598),IF(OR(NOT(COUNTIF('商品マスタ'!$B$6:$B$1005,$W9599)=0),COUNTIFS('①在庫を貼る'!$V$6:$V$10005,$V9599,'①在庫を貼る'!$W$6:$W$10005,$W9599)&gt;0),N(U9598),N(U9598)+1))</f>
        <v/>
      </c>
      <c r="V9599" s="19">
        <f>IF($B9599="","",TEXT($B9599,"0000"))</f>
        <v/>
      </c>
      <c r="W9599" s="19">
        <f>IF($I9599="","",IF(ISNUMBER($I9599),TEXT($I9599,"0"),$I9599))</f>
        <v/>
      </c>
    </row>
    <row r="9600">
      <c r="B9600" s="25" t="n"/>
      <c r="I9600" s="25" t="n"/>
      <c r="U9600" s="19">
        <f>IF($V9600&lt;&gt;'設定'!$C$4,N(U9599),IF(OR(NOT(COUNTIF('商品マスタ'!$B$6:$B$1005,$W9600)=0),COUNTIFS('①在庫を貼る'!$V$6:$V$10005,$V9600,'①在庫を貼る'!$W$6:$W$10005,$W9600)&gt;0),N(U9599),N(U9599)+1))</f>
        <v/>
      </c>
      <c r="V9600" s="19">
        <f>IF($B9600="","",TEXT($B9600,"0000"))</f>
        <v/>
      </c>
      <c r="W9600" s="19">
        <f>IF($I9600="","",IF(ISNUMBER($I9600),TEXT($I9600,"0"),$I9600))</f>
        <v/>
      </c>
    </row>
    <row r="9601">
      <c r="B9601" s="25" t="n"/>
      <c r="I9601" s="25" t="n"/>
      <c r="U9601" s="19">
        <f>IF($V9601&lt;&gt;'設定'!$C$4,N(U9600),IF(OR(NOT(COUNTIF('商品マスタ'!$B$6:$B$1005,$W9601)=0),COUNTIFS('①在庫を貼る'!$V$6:$V$10005,$V9601,'①在庫を貼る'!$W$6:$W$10005,$W9601)&gt;0),N(U9600),N(U9600)+1))</f>
        <v/>
      </c>
      <c r="V9601" s="19">
        <f>IF($B9601="","",TEXT($B9601,"0000"))</f>
        <v/>
      </c>
      <c r="W9601" s="19">
        <f>IF($I9601="","",IF(ISNUMBER($I9601),TEXT($I9601,"0"),$I9601))</f>
        <v/>
      </c>
    </row>
    <row r="9602">
      <c r="B9602" s="25" t="n"/>
      <c r="I9602" s="25" t="n"/>
      <c r="U9602" s="19">
        <f>IF($V9602&lt;&gt;'設定'!$C$4,N(U9601),IF(OR(NOT(COUNTIF('商品マスタ'!$B$6:$B$1005,$W9602)=0),COUNTIFS('①在庫を貼る'!$V$6:$V$10005,$V9602,'①在庫を貼る'!$W$6:$W$10005,$W9602)&gt;0),N(U9601),N(U9601)+1))</f>
        <v/>
      </c>
      <c r="V9602" s="19">
        <f>IF($B9602="","",TEXT($B9602,"0000"))</f>
        <v/>
      </c>
      <c r="W9602" s="19">
        <f>IF($I9602="","",IF(ISNUMBER($I9602),TEXT($I9602,"0"),$I9602))</f>
        <v/>
      </c>
    </row>
    <row r="9603">
      <c r="B9603" s="25" t="n"/>
      <c r="I9603" s="25" t="n"/>
      <c r="U9603" s="19">
        <f>IF($V9603&lt;&gt;'設定'!$C$4,N(U9602),IF(OR(NOT(COUNTIF('商品マスタ'!$B$6:$B$1005,$W9603)=0),COUNTIFS('①在庫を貼る'!$V$6:$V$10005,$V9603,'①在庫を貼る'!$W$6:$W$10005,$W9603)&gt;0),N(U9602),N(U9602)+1))</f>
        <v/>
      </c>
      <c r="V9603" s="19">
        <f>IF($B9603="","",TEXT($B9603,"0000"))</f>
        <v/>
      </c>
      <c r="W9603" s="19">
        <f>IF($I9603="","",IF(ISNUMBER($I9603),TEXT($I9603,"0"),$I9603))</f>
        <v/>
      </c>
    </row>
    <row r="9604">
      <c r="B9604" s="25" t="n"/>
      <c r="I9604" s="25" t="n"/>
      <c r="U9604" s="19">
        <f>IF($V9604&lt;&gt;'設定'!$C$4,N(U9603),IF(OR(NOT(COUNTIF('商品マスタ'!$B$6:$B$1005,$W9604)=0),COUNTIFS('①在庫を貼る'!$V$6:$V$10005,$V9604,'①在庫を貼る'!$W$6:$W$10005,$W9604)&gt;0),N(U9603),N(U9603)+1))</f>
        <v/>
      </c>
      <c r="V9604" s="19">
        <f>IF($B9604="","",TEXT($B9604,"0000"))</f>
        <v/>
      </c>
      <c r="W9604" s="19">
        <f>IF($I9604="","",IF(ISNUMBER($I9604),TEXT($I9604,"0"),$I9604))</f>
        <v/>
      </c>
    </row>
    <row r="9605">
      <c r="B9605" s="25" t="n"/>
      <c r="I9605" s="25" t="n"/>
      <c r="U9605" s="19">
        <f>IF($V9605&lt;&gt;'設定'!$C$4,N(U9604),IF(OR(NOT(COUNTIF('商品マスタ'!$B$6:$B$1005,$W9605)=0),COUNTIFS('①在庫を貼る'!$V$6:$V$10005,$V9605,'①在庫を貼る'!$W$6:$W$10005,$W9605)&gt;0),N(U9604),N(U9604)+1))</f>
        <v/>
      </c>
      <c r="V9605" s="19">
        <f>IF($B9605="","",TEXT($B9605,"0000"))</f>
        <v/>
      </c>
      <c r="W9605" s="19">
        <f>IF($I9605="","",IF(ISNUMBER($I9605),TEXT($I9605,"0"),$I9605))</f>
        <v/>
      </c>
    </row>
    <row r="9606">
      <c r="B9606" s="25" t="n"/>
      <c r="I9606" s="25" t="n"/>
      <c r="U9606" s="19">
        <f>IF($V9606&lt;&gt;'設定'!$C$4,N(U9605),IF(OR(NOT(COUNTIF('商品マスタ'!$B$6:$B$1005,$W9606)=0),COUNTIFS('①在庫を貼る'!$V$6:$V$10005,$V9606,'①在庫を貼る'!$W$6:$W$10005,$W9606)&gt;0),N(U9605),N(U9605)+1))</f>
        <v/>
      </c>
      <c r="V9606" s="19">
        <f>IF($B9606="","",TEXT($B9606,"0000"))</f>
        <v/>
      </c>
      <c r="W9606" s="19">
        <f>IF($I9606="","",IF(ISNUMBER($I9606),TEXT($I9606,"0"),$I9606))</f>
        <v/>
      </c>
    </row>
    <row r="9607">
      <c r="B9607" s="25" t="n"/>
      <c r="I9607" s="25" t="n"/>
      <c r="U9607" s="19">
        <f>IF($V9607&lt;&gt;'設定'!$C$4,N(U9606),IF(OR(NOT(COUNTIF('商品マスタ'!$B$6:$B$1005,$W9607)=0),COUNTIFS('①在庫を貼る'!$V$6:$V$10005,$V9607,'①在庫を貼る'!$W$6:$W$10005,$W9607)&gt;0),N(U9606),N(U9606)+1))</f>
        <v/>
      </c>
      <c r="V9607" s="19">
        <f>IF($B9607="","",TEXT($B9607,"0000"))</f>
        <v/>
      </c>
      <c r="W9607" s="19">
        <f>IF($I9607="","",IF(ISNUMBER($I9607),TEXT($I9607,"0"),$I9607))</f>
        <v/>
      </c>
    </row>
    <row r="9608">
      <c r="B9608" s="25" t="n"/>
      <c r="I9608" s="25" t="n"/>
      <c r="U9608" s="19">
        <f>IF($V9608&lt;&gt;'設定'!$C$4,N(U9607),IF(OR(NOT(COUNTIF('商品マスタ'!$B$6:$B$1005,$W9608)=0),COUNTIFS('①在庫を貼る'!$V$6:$V$10005,$V9608,'①在庫を貼る'!$W$6:$W$10005,$W9608)&gt;0),N(U9607),N(U9607)+1))</f>
        <v/>
      </c>
      <c r="V9608" s="19">
        <f>IF($B9608="","",TEXT($B9608,"0000"))</f>
        <v/>
      </c>
      <c r="W9608" s="19">
        <f>IF($I9608="","",IF(ISNUMBER($I9608),TEXT($I9608,"0"),$I9608))</f>
        <v/>
      </c>
    </row>
    <row r="9609">
      <c r="B9609" s="25" t="n"/>
      <c r="I9609" s="25" t="n"/>
      <c r="U9609" s="19">
        <f>IF($V9609&lt;&gt;'設定'!$C$4,N(U9608),IF(OR(NOT(COUNTIF('商品マスタ'!$B$6:$B$1005,$W9609)=0),COUNTIFS('①在庫を貼る'!$V$6:$V$10005,$V9609,'①在庫を貼る'!$W$6:$W$10005,$W9609)&gt;0),N(U9608),N(U9608)+1))</f>
        <v/>
      </c>
      <c r="V9609" s="19">
        <f>IF($B9609="","",TEXT($B9609,"0000"))</f>
        <v/>
      </c>
      <c r="W9609" s="19">
        <f>IF($I9609="","",IF(ISNUMBER($I9609),TEXT($I9609,"0"),$I9609))</f>
        <v/>
      </c>
    </row>
    <row r="9610">
      <c r="B9610" s="25" t="n"/>
      <c r="I9610" s="25" t="n"/>
      <c r="U9610" s="19">
        <f>IF($V9610&lt;&gt;'設定'!$C$4,N(U9609),IF(OR(NOT(COUNTIF('商品マスタ'!$B$6:$B$1005,$W9610)=0),COUNTIFS('①在庫を貼る'!$V$6:$V$10005,$V9610,'①在庫を貼る'!$W$6:$W$10005,$W9610)&gt;0),N(U9609),N(U9609)+1))</f>
        <v/>
      </c>
      <c r="V9610" s="19">
        <f>IF($B9610="","",TEXT($B9610,"0000"))</f>
        <v/>
      </c>
      <c r="W9610" s="19">
        <f>IF($I9610="","",IF(ISNUMBER($I9610),TEXT($I9610,"0"),$I9610))</f>
        <v/>
      </c>
    </row>
    <row r="9611">
      <c r="B9611" s="25" t="n"/>
      <c r="I9611" s="25" t="n"/>
      <c r="U9611" s="19">
        <f>IF($V9611&lt;&gt;'設定'!$C$4,N(U9610),IF(OR(NOT(COUNTIF('商品マスタ'!$B$6:$B$1005,$W9611)=0),COUNTIFS('①在庫を貼る'!$V$6:$V$10005,$V9611,'①在庫を貼る'!$W$6:$W$10005,$W9611)&gt;0),N(U9610),N(U9610)+1))</f>
        <v/>
      </c>
      <c r="V9611" s="19">
        <f>IF($B9611="","",TEXT($B9611,"0000"))</f>
        <v/>
      </c>
      <c r="W9611" s="19">
        <f>IF($I9611="","",IF(ISNUMBER($I9611),TEXT($I9611,"0"),$I9611))</f>
        <v/>
      </c>
    </row>
    <row r="9612">
      <c r="B9612" s="25" t="n"/>
      <c r="I9612" s="25" t="n"/>
      <c r="U9612" s="19">
        <f>IF($V9612&lt;&gt;'設定'!$C$4,N(U9611),IF(OR(NOT(COUNTIF('商品マスタ'!$B$6:$B$1005,$W9612)=0),COUNTIFS('①在庫を貼る'!$V$6:$V$10005,$V9612,'①在庫を貼る'!$W$6:$W$10005,$W9612)&gt;0),N(U9611),N(U9611)+1))</f>
        <v/>
      </c>
      <c r="V9612" s="19">
        <f>IF($B9612="","",TEXT($B9612,"0000"))</f>
        <v/>
      </c>
      <c r="W9612" s="19">
        <f>IF($I9612="","",IF(ISNUMBER($I9612),TEXT($I9612,"0"),$I9612))</f>
        <v/>
      </c>
    </row>
    <row r="9613">
      <c r="B9613" s="25" t="n"/>
      <c r="I9613" s="25" t="n"/>
      <c r="U9613" s="19">
        <f>IF($V9613&lt;&gt;'設定'!$C$4,N(U9612),IF(OR(NOT(COUNTIF('商品マスタ'!$B$6:$B$1005,$W9613)=0),COUNTIFS('①在庫を貼る'!$V$6:$V$10005,$V9613,'①在庫を貼る'!$W$6:$W$10005,$W9613)&gt;0),N(U9612),N(U9612)+1))</f>
        <v/>
      </c>
      <c r="V9613" s="19">
        <f>IF($B9613="","",TEXT($B9613,"0000"))</f>
        <v/>
      </c>
      <c r="W9613" s="19">
        <f>IF($I9613="","",IF(ISNUMBER($I9613),TEXT($I9613,"0"),$I9613))</f>
        <v/>
      </c>
    </row>
    <row r="9614">
      <c r="B9614" s="25" t="n"/>
      <c r="I9614" s="25" t="n"/>
      <c r="U9614" s="19">
        <f>IF($V9614&lt;&gt;'設定'!$C$4,N(U9613),IF(OR(NOT(COUNTIF('商品マスタ'!$B$6:$B$1005,$W9614)=0),COUNTIFS('①在庫を貼る'!$V$6:$V$10005,$V9614,'①在庫を貼る'!$W$6:$W$10005,$W9614)&gt;0),N(U9613),N(U9613)+1))</f>
        <v/>
      </c>
      <c r="V9614" s="19">
        <f>IF($B9614="","",TEXT($B9614,"0000"))</f>
        <v/>
      </c>
      <c r="W9614" s="19">
        <f>IF($I9614="","",IF(ISNUMBER($I9614),TEXT($I9614,"0"),$I9614))</f>
        <v/>
      </c>
    </row>
    <row r="9615">
      <c r="B9615" s="25" t="n"/>
      <c r="I9615" s="25" t="n"/>
      <c r="U9615" s="19">
        <f>IF($V9615&lt;&gt;'設定'!$C$4,N(U9614),IF(OR(NOT(COUNTIF('商品マスタ'!$B$6:$B$1005,$W9615)=0),COUNTIFS('①在庫を貼る'!$V$6:$V$10005,$V9615,'①在庫を貼る'!$W$6:$W$10005,$W9615)&gt;0),N(U9614),N(U9614)+1))</f>
        <v/>
      </c>
      <c r="V9615" s="19">
        <f>IF($B9615="","",TEXT($B9615,"0000"))</f>
        <v/>
      </c>
      <c r="W9615" s="19">
        <f>IF($I9615="","",IF(ISNUMBER($I9615),TEXT($I9615,"0"),$I9615))</f>
        <v/>
      </c>
    </row>
    <row r="9616">
      <c r="B9616" s="25" t="n"/>
      <c r="I9616" s="25" t="n"/>
      <c r="U9616" s="19">
        <f>IF($V9616&lt;&gt;'設定'!$C$4,N(U9615),IF(OR(NOT(COUNTIF('商品マスタ'!$B$6:$B$1005,$W9616)=0),COUNTIFS('①在庫を貼る'!$V$6:$V$10005,$V9616,'①在庫を貼る'!$W$6:$W$10005,$W9616)&gt;0),N(U9615),N(U9615)+1))</f>
        <v/>
      </c>
      <c r="V9616" s="19">
        <f>IF($B9616="","",TEXT($B9616,"0000"))</f>
        <v/>
      </c>
      <c r="W9616" s="19">
        <f>IF($I9616="","",IF(ISNUMBER($I9616),TEXT($I9616,"0"),$I9616))</f>
        <v/>
      </c>
    </row>
    <row r="9617">
      <c r="B9617" s="25" t="n"/>
      <c r="I9617" s="25" t="n"/>
      <c r="U9617" s="19">
        <f>IF($V9617&lt;&gt;'設定'!$C$4,N(U9616),IF(OR(NOT(COUNTIF('商品マスタ'!$B$6:$B$1005,$W9617)=0),COUNTIFS('①在庫を貼る'!$V$6:$V$10005,$V9617,'①在庫を貼る'!$W$6:$W$10005,$W9617)&gt;0),N(U9616),N(U9616)+1))</f>
        <v/>
      </c>
      <c r="V9617" s="19">
        <f>IF($B9617="","",TEXT($B9617,"0000"))</f>
        <v/>
      </c>
      <c r="W9617" s="19">
        <f>IF($I9617="","",IF(ISNUMBER($I9617),TEXT($I9617,"0"),$I9617))</f>
        <v/>
      </c>
    </row>
    <row r="9618">
      <c r="B9618" s="25" t="n"/>
      <c r="I9618" s="25" t="n"/>
      <c r="U9618" s="19">
        <f>IF($V9618&lt;&gt;'設定'!$C$4,N(U9617),IF(OR(NOT(COUNTIF('商品マスタ'!$B$6:$B$1005,$W9618)=0),COUNTIFS('①在庫を貼る'!$V$6:$V$10005,$V9618,'①在庫を貼る'!$W$6:$W$10005,$W9618)&gt;0),N(U9617),N(U9617)+1))</f>
        <v/>
      </c>
      <c r="V9618" s="19">
        <f>IF($B9618="","",TEXT($B9618,"0000"))</f>
        <v/>
      </c>
      <c r="W9618" s="19">
        <f>IF($I9618="","",IF(ISNUMBER($I9618),TEXT($I9618,"0"),$I9618))</f>
        <v/>
      </c>
    </row>
    <row r="9619">
      <c r="B9619" s="25" t="n"/>
      <c r="I9619" s="25" t="n"/>
      <c r="U9619" s="19">
        <f>IF($V9619&lt;&gt;'設定'!$C$4,N(U9618),IF(OR(NOT(COUNTIF('商品マスタ'!$B$6:$B$1005,$W9619)=0),COUNTIFS('①在庫を貼る'!$V$6:$V$10005,$V9619,'①在庫を貼る'!$W$6:$W$10005,$W9619)&gt;0),N(U9618),N(U9618)+1))</f>
        <v/>
      </c>
      <c r="V9619" s="19">
        <f>IF($B9619="","",TEXT($B9619,"0000"))</f>
        <v/>
      </c>
      <c r="W9619" s="19">
        <f>IF($I9619="","",IF(ISNUMBER($I9619),TEXT($I9619,"0"),$I9619))</f>
        <v/>
      </c>
    </row>
    <row r="9620">
      <c r="B9620" s="25" t="n"/>
      <c r="I9620" s="25" t="n"/>
      <c r="U9620" s="19">
        <f>IF($V9620&lt;&gt;'設定'!$C$4,N(U9619),IF(OR(NOT(COUNTIF('商品マスタ'!$B$6:$B$1005,$W9620)=0),COUNTIFS('①在庫を貼る'!$V$6:$V$10005,$V9620,'①在庫を貼る'!$W$6:$W$10005,$W9620)&gt;0),N(U9619),N(U9619)+1))</f>
        <v/>
      </c>
      <c r="V9620" s="19">
        <f>IF($B9620="","",TEXT($B9620,"0000"))</f>
        <v/>
      </c>
      <c r="W9620" s="19">
        <f>IF($I9620="","",IF(ISNUMBER($I9620),TEXT($I9620,"0"),$I9620))</f>
        <v/>
      </c>
    </row>
    <row r="9621">
      <c r="B9621" s="25" t="n"/>
      <c r="I9621" s="25" t="n"/>
      <c r="U9621" s="19">
        <f>IF($V9621&lt;&gt;'設定'!$C$4,N(U9620),IF(OR(NOT(COUNTIF('商品マスタ'!$B$6:$B$1005,$W9621)=0),COUNTIFS('①在庫を貼る'!$V$6:$V$10005,$V9621,'①在庫を貼る'!$W$6:$W$10005,$W9621)&gt;0),N(U9620),N(U9620)+1))</f>
        <v/>
      </c>
      <c r="V9621" s="19">
        <f>IF($B9621="","",TEXT($B9621,"0000"))</f>
        <v/>
      </c>
      <c r="W9621" s="19">
        <f>IF($I9621="","",IF(ISNUMBER($I9621),TEXT($I9621,"0"),$I9621))</f>
        <v/>
      </c>
    </row>
    <row r="9622">
      <c r="B9622" s="25" t="n"/>
      <c r="I9622" s="25" t="n"/>
      <c r="U9622" s="19">
        <f>IF($V9622&lt;&gt;'設定'!$C$4,N(U9621),IF(OR(NOT(COUNTIF('商品マスタ'!$B$6:$B$1005,$W9622)=0),COUNTIFS('①在庫を貼る'!$V$6:$V$10005,$V9622,'①在庫を貼る'!$W$6:$W$10005,$W9622)&gt;0),N(U9621),N(U9621)+1))</f>
        <v/>
      </c>
      <c r="V9622" s="19">
        <f>IF($B9622="","",TEXT($B9622,"0000"))</f>
        <v/>
      </c>
      <c r="W9622" s="19">
        <f>IF($I9622="","",IF(ISNUMBER($I9622),TEXT($I9622,"0"),$I9622))</f>
        <v/>
      </c>
    </row>
    <row r="9623">
      <c r="B9623" s="25" t="n"/>
      <c r="I9623" s="25" t="n"/>
      <c r="U9623" s="19">
        <f>IF($V9623&lt;&gt;'設定'!$C$4,N(U9622),IF(OR(NOT(COUNTIF('商品マスタ'!$B$6:$B$1005,$W9623)=0),COUNTIFS('①在庫を貼る'!$V$6:$V$10005,$V9623,'①在庫を貼る'!$W$6:$W$10005,$W9623)&gt;0),N(U9622),N(U9622)+1))</f>
        <v/>
      </c>
      <c r="V9623" s="19">
        <f>IF($B9623="","",TEXT($B9623,"0000"))</f>
        <v/>
      </c>
      <c r="W9623" s="19">
        <f>IF($I9623="","",IF(ISNUMBER($I9623),TEXT($I9623,"0"),$I9623))</f>
        <v/>
      </c>
    </row>
    <row r="9624">
      <c r="B9624" s="25" t="n"/>
      <c r="I9624" s="25" t="n"/>
      <c r="U9624" s="19">
        <f>IF($V9624&lt;&gt;'設定'!$C$4,N(U9623),IF(OR(NOT(COUNTIF('商品マスタ'!$B$6:$B$1005,$W9624)=0),COUNTIFS('①在庫を貼る'!$V$6:$V$10005,$V9624,'①在庫を貼る'!$W$6:$W$10005,$W9624)&gt;0),N(U9623),N(U9623)+1))</f>
        <v/>
      </c>
      <c r="V9624" s="19">
        <f>IF($B9624="","",TEXT($B9624,"0000"))</f>
        <v/>
      </c>
      <c r="W9624" s="19">
        <f>IF($I9624="","",IF(ISNUMBER($I9624),TEXT($I9624,"0"),$I9624))</f>
        <v/>
      </c>
    </row>
    <row r="9625">
      <c r="B9625" s="25" t="n"/>
      <c r="I9625" s="25" t="n"/>
      <c r="U9625" s="19">
        <f>IF($V9625&lt;&gt;'設定'!$C$4,N(U9624),IF(OR(NOT(COUNTIF('商品マスタ'!$B$6:$B$1005,$W9625)=0),COUNTIFS('①在庫を貼る'!$V$6:$V$10005,$V9625,'①在庫を貼る'!$W$6:$W$10005,$W9625)&gt;0),N(U9624),N(U9624)+1))</f>
        <v/>
      </c>
      <c r="V9625" s="19">
        <f>IF($B9625="","",TEXT($B9625,"0000"))</f>
        <v/>
      </c>
      <c r="W9625" s="19">
        <f>IF($I9625="","",IF(ISNUMBER($I9625),TEXT($I9625,"0"),$I9625))</f>
        <v/>
      </c>
    </row>
    <row r="9626">
      <c r="B9626" s="25" t="n"/>
      <c r="I9626" s="25" t="n"/>
      <c r="U9626" s="19">
        <f>IF($V9626&lt;&gt;'設定'!$C$4,N(U9625),IF(OR(NOT(COUNTIF('商品マスタ'!$B$6:$B$1005,$W9626)=0),COUNTIFS('①在庫を貼る'!$V$6:$V$10005,$V9626,'①在庫を貼る'!$W$6:$W$10005,$W9626)&gt;0),N(U9625),N(U9625)+1))</f>
        <v/>
      </c>
      <c r="V9626" s="19">
        <f>IF($B9626="","",TEXT($B9626,"0000"))</f>
        <v/>
      </c>
      <c r="W9626" s="19">
        <f>IF($I9626="","",IF(ISNUMBER($I9626),TEXT($I9626,"0"),$I9626))</f>
        <v/>
      </c>
    </row>
    <row r="9627">
      <c r="B9627" s="25" t="n"/>
      <c r="I9627" s="25" t="n"/>
      <c r="U9627" s="19">
        <f>IF($V9627&lt;&gt;'設定'!$C$4,N(U9626),IF(OR(NOT(COUNTIF('商品マスタ'!$B$6:$B$1005,$W9627)=0),COUNTIFS('①在庫を貼る'!$V$6:$V$10005,$V9627,'①在庫を貼る'!$W$6:$W$10005,$W9627)&gt;0),N(U9626),N(U9626)+1))</f>
        <v/>
      </c>
      <c r="V9627" s="19">
        <f>IF($B9627="","",TEXT($B9627,"0000"))</f>
        <v/>
      </c>
      <c r="W9627" s="19">
        <f>IF($I9627="","",IF(ISNUMBER($I9627),TEXT($I9627,"0"),$I9627))</f>
        <v/>
      </c>
    </row>
    <row r="9628">
      <c r="B9628" s="25" t="n"/>
      <c r="I9628" s="25" t="n"/>
      <c r="U9628" s="19">
        <f>IF($V9628&lt;&gt;'設定'!$C$4,N(U9627),IF(OR(NOT(COUNTIF('商品マスタ'!$B$6:$B$1005,$W9628)=0),COUNTIFS('①在庫を貼る'!$V$6:$V$10005,$V9628,'①在庫を貼る'!$W$6:$W$10005,$W9628)&gt;0),N(U9627),N(U9627)+1))</f>
        <v/>
      </c>
      <c r="V9628" s="19">
        <f>IF($B9628="","",TEXT($B9628,"0000"))</f>
        <v/>
      </c>
      <c r="W9628" s="19">
        <f>IF($I9628="","",IF(ISNUMBER($I9628),TEXT($I9628,"0"),$I9628))</f>
        <v/>
      </c>
    </row>
    <row r="9629">
      <c r="B9629" s="25" t="n"/>
      <c r="I9629" s="25" t="n"/>
      <c r="U9629" s="19">
        <f>IF($V9629&lt;&gt;'設定'!$C$4,N(U9628),IF(OR(NOT(COUNTIF('商品マスタ'!$B$6:$B$1005,$W9629)=0),COUNTIFS('①在庫を貼る'!$V$6:$V$10005,$V9629,'①在庫を貼る'!$W$6:$W$10005,$W9629)&gt;0),N(U9628),N(U9628)+1))</f>
        <v/>
      </c>
      <c r="V9629" s="19">
        <f>IF($B9629="","",TEXT($B9629,"0000"))</f>
        <v/>
      </c>
      <c r="W9629" s="19">
        <f>IF($I9629="","",IF(ISNUMBER($I9629),TEXT($I9629,"0"),$I9629))</f>
        <v/>
      </c>
    </row>
    <row r="9630">
      <c r="B9630" s="25" t="n"/>
      <c r="I9630" s="25" t="n"/>
      <c r="U9630" s="19">
        <f>IF($V9630&lt;&gt;'設定'!$C$4,N(U9629),IF(OR(NOT(COUNTIF('商品マスタ'!$B$6:$B$1005,$W9630)=0),COUNTIFS('①在庫を貼る'!$V$6:$V$10005,$V9630,'①在庫を貼る'!$W$6:$W$10005,$W9630)&gt;0),N(U9629),N(U9629)+1))</f>
        <v/>
      </c>
      <c r="V9630" s="19">
        <f>IF($B9630="","",TEXT($B9630,"0000"))</f>
        <v/>
      </c>
      <c r="W9630" s="19">
        <f>IF($I9630="","",IF(ISNUMBER($I9630),TEXT($I9630,"0"),$I9630))</f>
        <v/>
      </c>
    </row>
    <row r="9631">
      <c r="B9631" s="25" t="n"/>
      <c r="I9631" s="25" t="n"/>
      <c r="U9631" s="19">
        <f>IF($V9631&lt;&gt;'設定'!$C$4,N(U9630),IF(OR(NOT(COUNTIF('商品マスタ'!$B$6:$B$1005,$W9631)=0),COUNTIFS('①在庫を貼る'!$V$6:$V$10005,$V9631,'①在庫を貼る'!$W$6:$W$10005,$W9631)&gt;0),N(U9630),N(U9630)+1))</f>
        <v/>
      </c>
      <c r="V9631" s="19">
        <f>IF($B9631="","",TEXT($B9631,"0000"))</f>
        <v/>
      </c>
      <c r="W9631" s="19">
        <f>IF($I9631="","",IF(ISNUMBER($I9631),TEXT($I9631,"0"),$I9631))</f>
        <v/>
      </c>
    </row>
    <row r="9632">
      <c r="B9632" s="25" t="n"/>
      <c r="I9632" s="25" t="n"/>
      <c r="U9632" s="19">
        <f>IF($V9632&lt;&gt;'設定'!$C$4,N(U9631),IF(OR(NOT(COUNTIF('商品マスタ'!$B$6:$B$1005,$W9632)=0),COUNTIFS('①在庫を貼る'!$V$6:$V$10005,$V9632,'①在庫を貼る'!$W$6:$W$10005,$W9632)&gt;0),N(U9631),N(U9631)+1))</f>
        <v/>
      </c>
      <c r="V9632" s="19">
        <f>IF($B9632="","",TEXT($B9632,"0000"))</f>
        <v/>
      </c>
      <c r="W9632" s="19">
        <f>IF($I9632="","",IF(ISNUMBER($I9632),TEXT($I9632,"0"),$I9632))</f>
        <v/>
      </c>
    </row>
    <row r="9633">
      <c r="B9633" s="25" t="n"/>
      <c r="I9633" s="25" t="n"/>
      <c r="U9633" s="19">
        <f>IF($V9633&lt;&gt;'設定'!$C$4,N(U9632),IF(OR(NOT(COUNTIF('商品マスタ'!$B$6:$B$1005,$W9633)=0),COUNTIFS('①在庫を貼る'!$V$6:$V$10005,$V9633,'①在庫を貼る'!$W$6:$W$10005,$W9633)&gt;0),N(U9632),N(U9632)+1))</f>
        <v/>
      </c>
      <c r="V9633" s="19">
        <f>IF($B9633="","",TEXT($B9633,"0000"))</f>
        <v/>
      </c>
      <c r="W9633" s="19">
        <f>IF($I9633="","",IF(ISNUMBER($I9633),TEXT($I9633,"0"),$I9633))</f>
        <v/>
      </c>
    </row>
    <row r="9634">
      <c r="B9634" s="25" t="n"/>
      <c r="I9634" s="25" t="n"/>
      <c r="U9634" s="19">
        <f>IF($V9634&lt;&gt;'設定'!$C$4,N(U9633),IF(OR(NOT(COUNTIF('商品マスタ'!$B$6:$B$1005,$W9634)=0),COUNTIFS('①在庫を貼る'!$V$6:$V$10005,$V9634,'①在庫を貼る'!$W$6:$W$10005,$W9634)&gt;0),N(U9633),N(U9633)+1))</f>
        <v/>
      </c>
      <c r="V9634" s="19">
        <f>IF($B9634="","",TEXT($B9634,"0000"))</f>
        <v/>
      </c>
      <c r="W9634" s="19">
        <f>IF($I9634="","",IF(ISNUMBER($I9634),TEXT($I9634,"0"),$I9634))</f>
        <v/>
      </c>
    </row>
    <row r="9635">
      <c r="B9635" s="25" t="n"/>
      <c r="I9635" s="25" t="n"/>
      <c r="U9635" s="19">
        <f>IF($V9635&lt;&gt;'設定'!$C$4,N(U9634),IF(OR(NOT(COUNTIF('商品マスタ'!$B$6:$B$1005,$W9635)=0),COUNTIFS('①在庫を貼る'!$V$6:$V$10005,$V9635,'①在庫を貼る'!$W$6:$W$10005,$W9635)&gt;0),N(U9634),N(U9634)+1))</f>
        <v/>
      </c>
      <c r="V9635" s="19">
        <f>IF($B9635="","",TEXT($B9635,"0000"))</f>
        <v/>
      </c>
      <c r="W9635" s="19">
        <f>IF($I9635="","",IF(ISNUMBER($I9635),TEXT($I9635,"0"),$I9635))</f>
        <v/>
      </c>
    </row>
    <row r="9636">
      <c r="B9636" s="25" t="n"/>
      <c r="I9636" s="25" t="n"/>
      <c r="U9636" s="19">
        <f>IF($V9636&lt;&gt;'設定'!$C$4,N(U9635),IF(OR(NOT(COUNTIF('商品マスタ'!$B$6:$B$1005,$W9636)=0),COUNTIFS('①在庫を貼る'!$V$6:$V$10005,$V9636,'①在庫を貼る'!$W$6:$W$10005,$W9636)&gt;0),N(U9635),N(U9635)+1))</f>
        <v/>
      </c>
      <c r="V9636" s="19">
        <f>IF($B9636="","",TEXT($B9636,"0000"))</f>
        <v/>
      </c>
      <c r="W9636" s="19">
        <f>IF($I9636="","",IF(ISNUMBER($I9636),TEXT($I9636,"0"),$I9636))</f>
        <v/>
      </c>
    </row>
    <row r="9637">
      <c r="B9637" s="25" t="n"/>
      <c r="I9637" s="25" t="n"/>
      <c r="U9637" s="19">
        <f>IF($V9637&lt;&gt;'設定'!$C$4,N(U9636),IF(OR(NOT(COUNTIF('商品マスタ'!$B$6:$B$1005,$W9637)=0),COUNTIFS('①在庫を貼る'!$V$6:$V$10005,$V9637,'①在庫を貼る'!$W$6:$W$10005,$W9637)&gt;0),N(U9636),N(U9636)+1))</f>
        <v/>
      </c>
      <c r="V9637" s="19">
        <f>IF($B9637="","",TEXT($B9637,"0000"))</f>
        <v/>
      </c>
      <c r="W9637" s="19">
        <f>IF($I9637="","",IF(ISNUMBER($I9637),TEXT($I9637,"0"),$I9637))</f>
        <v/>
      </c>
    </row>
    <row r="9638">
      <c r="B9638" s="25" t="n"/>
      <c r="I9638" s="25" t="n"/>
      <c r="U9638" s="19">
        <f>IF($V9638&lt;&gt;'設定'!$C$4,N(U9637),IF(OR(NOT(COUNTIF('商品マスタ'!$B$6:$B$1005,$W9638)=0),COUNTIFS('①在庫を貼る'!$V$6:$V$10005,$V9638,'①在庫を貼る'!$W$6:$W$10005,$W9638)&gt;0),N(U9637),N(U9637)+1))</f>
        <v/>
      </c>
      <c r="V9638" s="19">
        <f>IF($B9638="","",TEXT($B9638,"0000"))</f>
        <v/>
      </c>
      <c r="W9638" s="19">
        <f>IF($I9638="","",IF(ISNUMBER($I9638),TEXT($I9638,"0"),$I9638))</f>
        <v/>
      </c>
    </row>
    <row r="9639">
      <c r="B9639" s="25" t="n"/>
      <c r="I9639" s="25" t="n"/>
      <c r="U9639" s="19">
        <f>IF($V9639&lt;&gt;'設定'!$C$4,N(U9638),IF(OR(NOT(COUNTIF('商品マスタ'!$B$6:$B$1005,$W9639)=0),COUNTIFS('①在庫を貼る'!$V$6:$V$10005,$V9639,'①在庫を貼る'!$W$6:$W$10005,$W9639)&gt;0),N(U9638),N(U9638)+1))</f>
        <v/>
      </c>
      <c r="V9639" s="19">
        <f>IF($B9639="","",TEXT($B9639,"0000"))</f>
        <v/>
      </c>
      <c r="W9639" s="19">
        <f>IF($I9639="","",IF(ISNUMBER($I9639),TEXT($I9639,"0"),$I9639))</f>
        <v/>
      </c>
    </row>
    <row r="9640">
      <c r="B9640" s="25" t="n"/>
      <c r="I9640" s="25" t="n"/>
      <c r="U9640" s="19">
        <f>IF($V9640&lt;&gt;'設定'!$C$4,N(U9639),IF(OR(NOT(COUNTIF('商品マスタ'!$B$6:$B$1005,$W9640)=0),COUNTIFS('①在庫を貼る'!$V$6:$V$10005,$V9640,'①在庫を貼る'!$W$6:$W$10005,$W9640)&gt;0),N(U9639),N(U9639)+1))</f>
        <v/>
      </c>
      <c r="V9640" s="19">
        <f>IF($B9640="","",TEXT($B9640,"0000"))</f>
        <v/>
      </c>
      <c r="W9640" s="19">
        <f>IF($I9640="","",IF(ISNUMBER($I9640),TEXT($I9640,"0"),$I9640))</f>
        <v/>
      </c>
    </row>
    <row r="9641">
      <c r="B9641" s="25" t="n"/>
      <c r="I9641" s="25" t="n"/>
      <c r="U9641" s="19">
        <f>IF($V9641&lt;&gt;'設定'!$C$4,N(U9640),IF(OR(NOT(COUNTIF('商品マスタ'!$B$6:$B$1005,$W9641)=0),COUNTIFS('①在庫を貼る'!$V$6:$V$10005,$V9641,'①在庫を貼る'!$W$6:$W$10005,$W9641)&gt;0),N(U9640),N(U9640)+1))</f>
        <v/>
      </c>
      <c r="V9641" s="19">
        <f>IF($B9641="","",TEXT($B9641,"0000"))</f>
        <v/>
      </c>
      <c r="W9641" s="19">
        <f>IF($I9641="","",IF(ISNUMBER($I9641),TEXT($I9641,"0"),$I9641))</f>
        <v/>
      </c>
    </row>
    <row r="9642">
      <c r="B9642" s="25" t="n"/>
      <c r="I9642" s="25" t="n"/>
      <c r="U9642" s="19">
        <f>IF($V9642&lt;&gt;'設定'!$C$4,N(U9641),IF(OR(NOT(COUNTIF('商品マスタ'!$B$6:$B$1005,$W9642)=0),COUNTIFS('①在庫を貼る'!$V$6:$V$10005,$V9642,'①在庫を貼る'!$W$6:$W$10005,$W9642)&gt;0),N(U9641),N(U9641)+1))</f>
        <v/>
      </c>
      <c r="V9642" s="19">
        <f>IF($B9642="","",TEXT($B9642,"0000"))</f>
        <v/>
      </c>
      <c r="W9642" s="19">
        <f>IF($I9642="","",IF(ISNUMBER($I9642),TEXT($I9642,"0"),$I9642))</f>
        <v/>
      </c>
    </row>
    <row r="9643">
      <c r="B9643" s="25" t="n"/>
      <c r="I9643" s="25" t="n"/>
      <c r="U9643" s="19">
        <f>IF($V9643&lt;&gt;'設定'!$C$4,N(U9642),IF(OR(NOT(COUNTIF('商品マスタ'!$B$6:$B$1005,$W9643)=0),COUNTIFS('①在庫を貼る'!$V$6:$V$10005,$V9643,'①在庫を貼る'!$W$6:$W$10005,$W9643)&gt;0),N(U9642),N(U9642)+1))</f>
        <v/>
      </c>
      <c r="V9643" s="19">
        <f>IF($B9643="","",TEXT($B9643,"0000"))</f>
        <v/>
      </c>
      <c r="W9643" s="19">
        <f>IF($I9643="","",IF(ISNUMBER($I9643),TEXT($I9643,"0"),$I9643))</f>
        <v/>
      </c>
    </row>
    <row r="9644">
      <c r="B9644" s="25" t="n"/>
      <c r="I9644" s="25" t="n"/>
      <c r="U9644" s="19">
        <f>IF($V9644&lt;&gt;'設定'!$C$4,N(U9643),IF(OR(NOT(COUNTIF('商品マスタ'!$B$6:$B$1005,$W9644)=0),COUNTIFS('①在庫を貼る'!$V$6:$V$10005,$V9644,'①在庫を貼る'!$W$6:$W$10005,$W9644)&gt;0),N(U9643),N(U9643)+1))</f>
        <v/>
      </c>
      <c r="V9644" s="19">
        <f>IF($B9644="","",TEXT($B9644,"0000"))</f>
        <v/>
      </c>
      <c r="W9644" s="19">
        <f>IF($I9644="","",IF(ISNUMBER($I9644),TEXT($I9644,"0"),$I9644))</f>
        <v/>
      </c>
    </row>
    <row r="9645">
      <c r="B9645" s="25" t="n"/>
      <c r="I9645" s="25" t="n"/>
      <c r="U9645" s="19">
        <f>IF($V9645&lt;&gt;'設定'!$C$4,N(U9644),IF(OR(NOT(COUNTIF('商品マスタ'!$B$6:$B$1005,$W9645)=0),COUNTIFS('①在庫を貼る'!$V$6:$V$10005,$V9645,'①在庫を貼る'!$W$6:$W$10005,$W9645)&gt;0),N(U9644),N(U9644)+1))</f>
        <v/>
      </c>
      <c r="V9645" s="19">
        <f>IF($B9645="","",TEXT($B9645,"0000"))</f>
        <v/>
      </c>
      <c r="W9645" s="19">
        <f>IF($I9645="","",IF(ISNUMBER($I9645),TEXT($I9645,"0"),$I9645))</f>
        <v/>
      </c>
    </row>
    <row r="9646">
      <c r="B9646" s="25" t="n"/>
      <c r="I9646" s="25" t="n"/>
      <c r="U9646" s="19">
        <f>IF($V9646&lt;&gt;'設定'!$C$4,N(U9645),IF(OR(NOT(COUNTIF('商品マスタ'!$B$6:$B$1005,$W9646)=0),COUNTIFS('①在庫を貼る'!$V$6:$V$10005,$V9646,'①在庫を貼る'!$W$6:$W$10005,$W9646)&gt;0),N(U9645),N(U9645)+1))</f>
        <v/>
      </c>
      <c r="V9646" s="19">
        <f>IF($B9646="","",TEXT($B9646,"0000"))</f>
        <v/>
      </c>
      <c r="W9646" s="19">
        <f>IF($I9646="","",IF(ISNUMBER($I9646),TEXT($I9646,"0"),$I9646))</f>
        <v/>
      </c>
    </row>
    <row r="9647">
      <c r="B9647" s="25" t="n"/>
      <c r="I9647" s="25" t="n"/>
      <c r="U9647" s="19">
        <f>IF($V9647&lt;&gt;'設定'!$C$4,N(U9646),IF(OR(NOT(COUNTIF('商品マスタ'!$B$6:$B$1005,$W9647)=0),COUNTIFS('①在庫を貼る'!$V$6:$V$10005,$V9647,'①在庫を貼る'!$W$6:$W$10005,$W9647)&gt;0),N(U9646),N(U9646)+1))</f>
        <v/>
      </c>
      <c r="V9647" s="19">
        <f>IF($B9647="","",TEXT($B9647,"0000"))</f>
        <v/>
      </c>
      <c r="W9647" s="19">
        <f>IF($I9647="","",IF(ISNUMBER($I9647),TEXT($I9647,"0"),$I9647))</f>
        <v/>
      </c>
    </row>
    <row r="9648">
      <c r="B9648" s="25" t="n"/>
      <c r="I9648" s="25" t="n"/>
      <c r="U9648" s="19">
        <f>IF($V9648&lt;&gt;'設定'!$C$4,N(U9647),IF(OR(NOT(COUNTIF('商品マスタ'!$B$6:$B$1005,$W9648)=0),COUNTIFS('①在庫を貼る'!$V$6:$V$10005,$V9648,'①在庫を貼る'!$W$6:$W$10005,$W9648)&gt;0),N(U9647),N(U9647)+1))</f>
        <v/>
      </c>
      <c r="V9648" s="19">
        <f>IF($B9648="","",TEXT($B9648,"0000"))</f>
        <v/>
      </c>
      <c r="W9648" s="19">
        <f>IF($I9648="","",IF(ISNUMBER($I9648),TEXT($I9648,"0"),$I9648))</f>
        <v/>
      </c>
    </row>
    <row r="9649">
      <c r="B9649" s="25" t="n"/>
      <c r="I9649" s="25" t="n"/>
      <c r="U9649" s="19">
        <f>IF($V9649&lt;&gt;'設定'!$C$4,N(U9648),IF(OR(NOT(COUNTIF('商品マスタ'!$B$6:$B$1005,$W9649)=0),COUNTIFS('①在庫を貼る'!$V$6:$V$10005,$V9649,'①在庫を貼る'!$W$6:$W$10005,$W9649)&gt;0),N(U9648),N(U9648)+1))</f>
        <v/>
      </c>
      <c r="V9649" s="19">
        <f>IF($B9649="","",TEXT($B9649,"0000"))</f>
        <v/>
      </c>
      <c r="W9649" s="19">
        <f>IF($I9649="","",IF(ISNUMBER($I9649),TEXT($I9649,"0"),$I9649))</f>
        <v/>
      </c>
    </row>
    <row r="9650">
      <c r="B9650" s="25" t="n"/>
      <c r="I9650" s="25" t="n"/>
      <c r="U9650" s="19">
        <f>IF($V9650&lt;&gt;'設定'!$C$4,N(U9649),IF(OR(NOT(COUNTIF('商品マスタ'!$B$6:$B$1005,$W9650)=0),COUNTIFS('①在庫を貼る'!$V$6:$V$10005,$V9650,'①在庫を貼る'!$W$6:$W$10005,$W9650)&gt;0),N(U9649),N(U9649)+1))</f>
        <v/>
      </c>
      <c r="V9650" s="19">
        <f>IF($B9650="","",TEXT($B9650,"0000"))</f>
        <v/>
      </c>
      <c r="W9650" s="19">
        <f>IF($I9650="","",IF(ISNUMBER($I9650),TEXT($I9650,"0"),$I9650))</f>
        <v/>
      </c>
    </row>
    <row r="9651">
      <c r="B9651" s="25" t="n"/>
      <c r="I9651" s="25" t="n"/>
      <c r="U9651" s="19">
        <f>IF($V9651&lt;&gt;'設定'!$C$4,N(U9650),IF(OR(NOT(COUNTIF('商品マスタ'!$B$6:$B$1005,$W9651)=0),COUNTIFS('①在庫を貼る'!$V$6:$V$10005,$V9651,'①在庫を貼る'!$W$6:$W$10005,$W9651)&gt;0),N(U9650),N(U9650)+1))</f>
        <v/>
      </c>
      <c r="V9651" s="19">
        <f>IF($B9651="","",TEXT($B9651,"0000"))</f>
        <v/>
      </c>
      <c r="W9651" s="19">
        <f>IF($I9651="","",IF(ISNUMBER($I9651),TEXT($I9651,"0"),$I9651))</f>
        <v/>
      </c>
    </row>
    <row r="9652">
      <c r="B9652" s="25" t="n"/>
      <c r="I9652" s="25" t="n"/>
      <c r="U9652" s="19">
        <f>IF($V9652&lt;&gt;'設定'!$C$4,N(U9651),IF(OR(NOT(COUNTIF('商品マスタ'!$B$6:$B$1005,$W9652)=0),COUNTIFS('①在庫を貼る'!$V$6:$V$10005,$V9652,'①在庫を貼る'!$W$6:$W$10005,$W9652)&gt;0),N(U9651),N(U9651)+1))</f>
        <v/>
      </c>
      <c r="V9652" s="19">
        <f>IF($B9652="","",TEXT($B9652,"0000"))</f>
        <v/>
      </c>
      <c r="W9652" s="19">
        <f>IF($I9652="","",IF(ISNUMBER($I9652),TEXT($I9652,"0"),$I9652))</f>
        <v/>
      </c>
    </row>
    <row r="9653">
      <c r="B9653" s="25" t="n"/>
      <c r="I9653" s="25" t="n"/>
      <c r="U9653" s="19">
        <f>IF($V9653&lt;&gt;'設定'!$C$4,N(U9652),IF(OR(NOT(COUNTIF('商品マスタ'!$B$6:$B$1005,$W9653)=0),COUNTIFS('①在庫を貼る'!$V$6:$V$10005,$V9653,'①在庫を貼る'!$W$6:$W$10005,$W9653)&gt;0),N(U9652),N(U9652)+1))</f>
        <v/>
      </c>
      <c r="V9653" s="19">
        <f>IF($B9653="","",TEXT($B9653,"0000"))</f>
        <v/>
      </c>
      <c r="W9653" s="19">
        <f>IF($I9653="","",IF(ISNUMBER($I9653),TEXT($I9653,"0"),$I9653))</f>
        <v/>
      </c>
    </row>
    <row r="9654">
      <c r="B9654" s="25" t="n"/>
      <c r="I9654" s="25" t="n"/>
      <c r="U9654" s="19">
        <f>IF($V9654&lt;&gt;'設定'!$C$4,N(U9653),IF(OR(NOT(COUNTIF('商品マスタ'!$B$6:$B$1005,$W9654)=0),COUNTIFS('①在庫を貼る'!$V$6:$V$10005,$V9654,'①在庫を貼る'!$W$6:$W$10005,$W9654)&gt;0),N(U9653),N(U9653)+1))</f>
        <v/>
      </c>
      <c r="V9654" s="19">
        <f>IF($B9654="","",TEXT($B9654,"0000"))</f>
        <v/>
      </c>
      <c r="W9654" s="19">
        <f>IF($I9654="","",IF(ISNUMBER($I9654),TEXT($I9654,"0"),$I9654))</f>
        <v/>
      </c>
    </row>
    <row r="9655">
      <c r="B9655" s="25" t="n"/>
      <c r="I9655" s="25" t="n"/>
      <c r="U9655" s="19">
        <f>IF($V9655&lt;&gt;'設定'!$C$4,N(U9654),IF(OR(NOT(COUNTIF('商品マスタ'!$B$6:$B$1005,$W9655)=0),COUNTIFS('①在庫を貼る'!$V$6:$V$10005,$V9655,'①在庫を貼る'!$W$6:$W$10005,$W9655)&gt;0),N(U9654),N(U9654)+1))</f>
        <v/>
      </c>
      <c r="V9655" s="19">
        <f>IF($B9655="","",TEXT($B9655,"0000"))</f>
        <v/>
      </c>
      <c r="W9655" s="19">
        <f>IF($I9655="","",IF(ISNUMBER($I9655),TEXT($I9655,"0"),$I9655))</f>
        <v/>
      </c>
    </row>
    <row r="9656">
      <c r="B9656" s="25" t="n"/>
      <c r="I9656" s="25" t="n"/>
      <c r="U9656" s="19">
        <f>IF($V9656&lt;&gt;'設定'!$C$4,N(U9655),IF(OR(NOT(COUNTIF('商品マスタ'!$B$6:$B$1005,$W9656)=0),COUNTIFS('①在庫を貼る'!$V$6:$V$10005,$V9656,'①在庫を貼る'!$W$6:$W$10005,$W9656)&gt;0),N(U9655),N(U9655)+1))</f>
        <v/>
      </c>
      <c r="V9656" s="19">
        <f>IF($B9656="","",TEXT($B9656,"0000"))</f>
        <v/>
      </c>
      <c r="W9656" s="19">
        <f>IF($I9656="","",IF(ISNUMBER($I9656),TEXT($I9656,"0"),$I9656))</f>
        <v/>
      </c>
    </row>
    <row r="9657">
      <c r="B9657" s="25" t="n"/>
      <c r="I9657" s="25" t="n"/>
      <c r="U9657" s="19">
        <f>IF($V9657&lt;&gt;'設定'!$C$4,N(U9656),IF(OR(NOT(COUNTIF('商品マスタ'!$B$6:$B$1005,$W9657)=0),COUNTIFS('①在庫を貼る'!$V$6:$V$10005,$V9657,'①在庫を貼る'!$W$6:$W$10005,$W9657)&gt;0),N(U9656),N(U9656)+1))</f>
        <v/>
      </c>
      <c r="V9657" s="19">
        <f>IF($B9657="","",TEXT($B9657,"0000"))</f>
        <v/>
      </c>
      <c r="W9657" s="19">
        <f>IF($I9657="","",IF(ISNUMBER($I9657),TEXT($I9657,"0"),$I9657))</f>
        <v/>
      </c>
    </row>
    <row r="9658">
      <c r="B9658" s="25" t="n"/>
      <c r="I9658" s="25" t="n"/>
      <c r="U9658" s="19">
        <f>IF($V9658&lt;&gt;'設定'!$C$4,N(U9657),IF(OR(NOT(COUNTIF('商品マスタ'!$B$6:$B$1005,$W9658)=0),COUNTIFS('①在庫を貼る'!$V$6:$V$10005,$V9658,'①在庫を貼る'!$W$6:$W$10005,$W9658)&gt;0),N(U9657),N(U9657)+1))</f>
        <v/>
      </c>
      <c r="V9658" s="19">
        <f>IF($B9658="","",TEXT($B9658,"0000"))</f>
        <v/>
      </c>
      <c r="W9658" s="19">
        <f>IF($I9658="","",IF(ISNUMBER($I9658),TEXT($I9658,"0"),$I9658))</f>
        <v/>
      </c>
    </row>
    <row r="9659">
      <c r="B9659" s="25" t="n"/>
      <c r="I9659" s="25" t="n"/>
      <c r="U9659" s="19">
        <f>IF($V9659&lt;&gt;'設定'!$C$4,N(U9658),IF(OR(NOT(COUNTIF('商品マスタ'!$B$6:$B$1005,$W9659)=0),COUNTIFS('①在庫を貼る'!$V$6:$V$10005,$V9659,'①在庫を貼る'!$W$6:$W$10005,$W9659)&gt;0),N(U9658),N(U9658)+1))</f>
        <v/>
      </c>
      <c r="V9659" s="19">
        <f>IF($B9659="","",TEXT($B9659,"0000"))</f>
        <v/>
      </c>
      <c r="W9659" s="19">
        <f>IF($I9659="","",IF(ISNUMBER($I9659),TEXT($I9659,"0"),$I9659))</f>
        <v/>
      </c>
    </row>
    <row r="9660">
      <c r="B9660" s="25" t="n"/>
      <c r="I9660" s="25" t="n"/>
      <c r="U9660" s="19">
        <f>IF($V9660&lt;&gt;'設定'!$C$4,N(U9659),IF(OR(NOT(COUNTIF('商品マスタ'!$B$6:$B$1005,$W9660)=0),COUNTIFS('①在庫を貼る'!$V$6:$V$10005,$V9660,'①在庫を貼る'!$W$6:$W$10005,$W9660)&gt;0),N(U9659),N(U9659)+1))</f>
        <v/>
      </c>
      <c r="V9660" s="19">
        <f>IF($B9660="","",TEXT($B9660,"0000"))</f>
        <v/>
      </c>
      <c r="W9660" s="19">
        <f>IF($I9660="","",IF(ISNUMBER($I9660),TEXT($I9660,"0"),$I9660))</f>
        <v/>
      </c>
    </row>
    <row r="9661">
      <c r="B9661" s="25" t="n"/>
      <c r="I9661" s="25" t="n"/>
      <c r="U9661" s="19">
        <f>IF($V9661&lt;&gt;'設定'!$C$4,N(U9660),IF(OR(NOT(COUNTIF('商品マスタ'!$B$6:$B$1005,$W9661)=0),COUNTIFS('①在庫を貼る'!$V$6:$V$10005,$V9661,'①在庫を貼る'!$W$6:$W$10005,$W9661)&gt;0),N(U9660),N(U9660)+1))</f>
        <v/>
      </c>
      <c r="V9661" s="19">
        <f>IF($B9661="","",TEXT($B9661,"0000"))</f>
        <v/>
      </c>
      <c r="W9661" s="19">
        <f>IF($I9661="","",IF(ISNUMBER($I9661),TEXT($I9661,"0"),$I9661))</f>
        <v/>
      </c>
    </row>
    <row r="9662">
      <c r="B9662" s="25" t="n"/>
      <c r="I9662" s="25" t="n"/>
      <c r="U9662" s="19">
        <f>IF($V9662&lt;&gt;'設定'!$C$4,N(U9661),IF(OR(NOT(COUNTIF('商品マスタ'!$B$6:$B$1005,$W9662)=0),COUNTIFS('①在庫を貼る'!$V$6:$V$10005,$V9662,'①在庫を貼る'!$W$6:$W$10005,$W9662)&gt;0),N(U9661),N(U9661)+1))</f>
        <v/>
      </c>
      <c r="V9662" s="19">
        <f>IF($B9662="","",TEXT($B9662,"0000"))</f>
        <v/>
      </c>
      <c r="W9662" s="19">
        <f>IF($I9662="","",IF(ISNUMBER($I9662),TEXT($I9662,"0"),$I9662))</f>
        <v/>
      </c>
    </row>
    <row r="9663">
      <c r="B9663" s="25" t="n"/>
      <c r="I9663" s="25" t="n"/>
      <c r="U9663" s="19">
        <f>IF($V9663&lt;&gt;'設定'!$C$4,N(U9662),IF(OR(NOT(COUNTIF('商品マスタ'!$B$6:$B$1005,$W9663)=0),COUNTIFS('①在庫を貼る'!$V$6:$V$10005,$V9663,'①在庫を貼る'!$W$6:$W$10005,$W9663)&gt;0),N(U9662),N(U9662)+1))</f>
        <v/>
      </c>
      <c r="V9663" s="19">
        <f>IF($B9663="","",TEXT($B9663,"0000"))</f>
        <v/>
      </c>
      <c r="W9663" s="19">
        <f>IF($I9663="","",IF(ISNUMBER($I9663),TEXT($I9663,"0"),$I9663))</f>
        <v/>
      </c>
    </row>
    <row r="9664">
      <c r="B9664" s="25" t="n"/>
      <c r="I9664" s="25" t="n"/>
      <c r="U9664" s="19">
        <f>IF($V9664&lt;&gt;'設定'!$C$4,N(U9663),IF(OR(NOT(COUNTIF('商品マスタ'!$B$6:$B$1005,$W9664)=0),COUNTIFS('①在庫を貼る'!$V$6:$V$10005,$V9664,'①在庫を貼る'!$W$6:$W$10005,$W9664)&gt;0),N(U9663),N(U9663)+1))</f>
        <v/>
      </c>
      <c r="V9664" s="19">
        <f>IF($B9664="","",TEXT($B9664,"0000"))</f>
        <v/>
      </c>
      <c r="W9664" s="19">
        <f>IF($I9664="","",IF(ISNUMBER($I9664),TEXT($I9664,"0"),$I9664))</f>
        <v/>
      </c>
    </row>
    <row r="9665">
      <c r="B9665" s="25" t="n"/>
      <c r="I9665" s="25" t="n"/>
      <c r="U9665" s="19">
        <f>IF($V9665&lt;&gt;'設定'!$C$4,N(U9664),IF(OR(NOT(COUNTIF('商品マスタ'!$B$6:$B$1005,$W9665)=0),COUNTIFS('①在庫を貼る'!$V$6:$V$10005,$V9665,'①在庫を貼る'!$W$6:$W$10005,$W9665)&gt;0),N(U9664),N(U9664)+1))</f>
        <v/>
      </c>
      <c r="V9665" s="19">
        <f>IF($B9665="","",TEXT($B9665,"0000"))</f>
        <v/>
      </c>
      <c r="W9665" s="19">
        <f>IF($I9665="","",IF(ISNUMBER($I9665),TEXT($I9665,"0"),$I9665))</f>
        <v/>
      </c>
    </row>
    <row r="9666">
      <c r="B9666" s="25" t="n"/>
      <c r="I9666" s="25" t="n"/>
      <c r="U9666" s="19">
        <f>IF($V9666&lt;&gt;'設定'!$C$4,N(U9665),IF(OR(NOT(COUNTIF('商品マスタ'!$B$6:$B$1005,$W9666)=0),COUNTIFS('①在庫を貼る'!$V$6:$V$10005,$V9666,'①在庫を貼る'!$W$6:$W$10005,$W9666)&gt;0),N(U9665),N(U9665)+1))</f>
        <v/>
      </c>
      <c r="V9666" s="19">
        <f>IF($B9666="","",TEXT($B9666,"0000"))</f>
        <v/>
      </c>
      <c r="W9666" s="19">
        <f>IF($I9666="","",IF(ISNUMBER($I9666),TEXT($I9666,"0"),$I9666))</f>
        <v/>
      </c>
    </row>
    <row r="9667">
      <c r="B9667" s="25" t="n"/>
      <c r="I9667" s="25" t="n"/>
      <c r="U9667" s="19">
        <f>IF($V9667&lt;&gt;'設定'!$C$4,N(U9666),IF(OR(NOT(COUNTIF('商品マスタ'!$B$6:$B$1005,$W9667)=0),COUNTIFS('①在庫を貼る'!$V$6:$V$10005,$V9667,'①在庫を貼る'!$W$6:$W$10005,$W9667)&gt;0),N(U9666),N(U9666)+1))</f>
        <v/>
      </c>
      <c r="V9667" s="19">
        <f>IF($B9667="","",TEXT($B9667,"0000"))</f>
        <v/>
      </c>
      <c r="W9667" s="19">
        <f>IF($I9667="","",IF(ISNUMBER($I9667),TEXT($I9667,"0"),$I9667))</f>
        <v/>
      </c>
    </row>
    <row r="9668">
      <c r="B9668" s="25" t="n"/>
      <c r="I9668" s="25" t="n"/>
      <c r="U9668" s="19">
        <f>IF($V9668&lt;&gt;'設定'!$C$4,N(U9667),IF(OR(NOT(COUNTIF('商品マスタ'!$B$6:$B$1005,$W9668)=0),COUNTIFS('①在庫を貼る'!$V$6:$V$10005,$V9668,'①在庫を貼る'!$W$6:$W$10005,$W9668)&gt;0),N(U9667),N(U9667)+1))</f>
        <v/>
      </c>
      <c r="V9668" s="19">
        <f>IF($B9668="","",TEXT($B9668,"0000"))</f>
        <v/>
      </c>
      <c r="W9668" s="19">
        <f>IF($I9668="","",IF(ISNUMBER($I9668),TEXT($I9668,"0"),$I9668))</f>
        <v/>
      </c>
    </row>
    <row r="9669">
      <c r="B9669" s="25" t="n"/>
      <c r="I9669" s="25" t="n"/>
      <c r="U9669" s="19">
        <f>IF($V9669&lt;&gt;'設定'!$C$4,N(U9668),IF(OR(NOT(COUNTIF('商品マスタ'!$B$6:$B$1005,$W9669)=0),COUNTIFS('①在庫を貼る'!$V$6:$V$10005,$V9669,'①在庫を貼る'!$W$6:$W$10005,$W9669)&gt;0),N(U9668),N(U9668)+1))</f>
        <v/>
      </c>
      <c r="V9669" s="19">
        <f>IF($B9669="","",TEXT($B9669,"0000"))</f>
        <v/>
      </c>
      <c r="W9669" s="19">
        <f>IF($I9669="","",IF(ISNUMBER($I9669),TEXT($I9669,"0"),$I9669))</f>
        <v/>
      </c>
    </row>
    <row r="9670">
      <c r="B9670" s="25" t="n"/>
      <c r="I9670" s="25" t="n"/>
      <c r="U9670" s="19">
        <f>IF($V9670&lt;&gt;'設定'!$C$4,N(U9669),IF(OR(NOT(COUNTIF('商品マスタ'!$B$6:$B$1005,$W9670)=0),COUNTIFS('①在庫を貼る'!$V$6:$V$10005,$V9670,'①在庫を貼る'!$W$6:$W$10005,$W9670)&gt;0),N(U9669),N(U9669)+1))</f>
        <v/>
      </c>
      <c r="V9670" s="19">
        <f>IF($B9670="","",TEXT($B9670,"0000"))</f>
        <v/>
      </c>
      <c r="W9670" s="19">
        <f>IF($I9670="","",IF(ISNUMBER($I9670),TEXT($I9670,"0"),$I9670))</f>
        <v/>
      </c>
    </row>
    <row r="9671">
      <c r="B9671" s="25" t="n"/>
      <c r="I9671" s="25" t="n"/>
      <c r="U9671" s="19">
        <f>IF($V9671&lt;&gt;'設定'!$C$4,N(U9670),IF(OR(NOT(COUNTIF('商品マスタ'!$B$6:$B$1005,$W9671)=0),COUNTIFS('①在庫を貼る'!$V$6:$V$10005,$V9671,'①在庫を貼る'!$W$6:$W$10005,$W9671)&gt;0),N(U9670),N(U9670)+1))</f>
        <v/>
      </c>
      <c r="V9671" s="19">
        <f>IF($B9671="","",TEXT($B9671,"0000"))</f>
        <v/>
      </c>
      <c r="W9671" s="19">
        <f>IF($I9671="","",IF(ISNUMBER($I9671),TEXT($I9671,"0"),$I9671))</f>
        <v/>
      </c>
    </row>
    <row r="9672">
      <c r="B9672" s="25" t="n"/>
      <c r="I9672" s="25" t="n"/>
      <c r="U9672" s="19">
        <f>IF($V9672&lt;&gt;'設定'!$C$4,N(U9671),IF(OR(NOT(COUNTIF('商品マスタ'!$B$6:$B$1005,$W9672)=0),COUNTIFS('①在庫を貼る'!$V$6:$V$10005,$V9672,'①在庫を貼る'!$W$6:$W$10005,$W9672)&gt;0),N(U9671),N(U9671)+1))</f>
        <v/>
      </c>
      <c r="V9672" s="19">
        <f>IF($B9672="","",TEXT($B9672,"0000"))</f>
        <v/>
      </c>
      <c r="W9672" s="19">
        <f>IF($I9672="","",IF(ISNUMBER($I9672),TEXT($I9672,"0"),$I9672))</f>
        <v/>
      </c>
    </row>
    <row r="9673">
      <c r="B9673" s="25" t="n"/>
      <c r="I9673" s="25" t="n"/>
      <c r="U9673" s="19">
        <f>IF($V9673&lt;&gt;'設定'!$C$4,N(U9672),IF(OR(NOT(COUNTIF('商品マスタ'!$B$6:$B$1005,$W9673)=0),COUNTIFS('①在庫を貼る'!$V$6:$V$10005,$V9673,'①在庫を貼る'!$W$6:$W$10005,$W9673)&gt;0),N(U9672),N(U9672)+1))</f>
        <v/>
      </c>
      <c r="V9673" s="19">
        <f>IF($B9673="","",TEXT($B9673,"0000"))</f>
        <v/>
      </c>
      <c r="W9673" s="19">
        <f>IF($I9673="","",IF(ISNUMBER($I9673),TEXT($I9673,"0"),$I9673))</f>
        <v/>
      </c>
    </row>
    <row r="9674">
      <c r="B9674" s="25" t="n"/>
      <c r="I9674" s="25" t="n"/>
      <c r="U9674" s="19">
        <f>IF($V9674&lt;&gt;'設定'!$C$4,N(U9673),IF(OR(NOT(COUNTIF('商品マスタ'!$B$6:$B$1005,$W9674)=0),COUNTIFS('①在庫を貼る'!$V$6:$V$10005,$V9674,'①在庫を貼る'!$W$6:$W$10005,$W9674)&gt;0),N(U9673),N(U9673)+1))</f>
        <v/>
      </c>
      <c r="V9674" s="19">
        <f>IF($B9674="","",TEXT($B9674,"0000"))</f>
        <v/>
      </c>
      <c r="W9674" s="19">
        <f>IF($I9674="","",IF(ISNUMBER($I9674),TEXT($I9674,"0"),$I9674))</f>
        <v/>
      </c>
    </row>
    <row r="9675">
      <c r="B9675" s="25" t="n"/>
      <c r="I9675" s="25" t="n"/>
      <c r="U9675" s="19">
        <f>IF($V9675&lt;&gt;'設定'!$C$4,N(U9674),IF(OR(NOT(COUNTIF('商品マスタ'!$B$6:$B$1005,$W9675)=0),COUNTIFS('①在庫を貼る'!$V$6:$V$10005,$V9675,'①在庫を貼る'!$W$6:$W$10005,$W9675)&gt;0),N(U9674),N(U9674)+1))</f>
        <v/>
      </c>
      <c r="V9675" s="19">
        <f>IF($B9675="","",TEXT($B9675,"0000"))</f>
        <v/>
      </c>
      <c r="W9675" s="19">
        <f>IF($I9675="","",IF(ISNUMBER($I9675),TEXT($I9675,"0"),$I9675))</f>
        <v/>
      </c>
    </row>
    <row r="9676">
      <c r="B9676" s="25" t="n"/>
      <c r="I9676" s="25" t="n"/>
      <c r="U9676" s="19">
        <f>IF($V9676&lt;&gt;'設定'!$C$4,N(U9675),IF(OR(NOT(COUNTIF('商品マスタ'!$B$6:$B$1005,$W9676)=0),COUNTIFS('①在庫を貼る'!$V$6:$V$10005,$V9676,'①在庫を貼る'!$W$6:$W$10005,$W9676)&gt;0),N(U9675),N(U9675)+1))</f>
        <v/>
      </c>
      <c r="V9676" s="19">
        <f>IF($B9676="","",TEXT($B9676,"0000"))</f>
        <v/>
      </c>
      <c r="W9676" s="19">
        <f>IF($I9676="","",IF(ISNUMBER($I9676),TEXT($I9676,"0"),$I9676))</f>
        <v/>
      </c>
    </row>
    <row r="9677">
      <c r="B9677" s="25" t="n"/>
      <c r="I9677" s="25" t="n"/>
      <c r="U9677" s="19">
        <f>IF($V9677&lt;&gt;'設定'!$C$4,N(U9676),IF(OR(NOT(COUNTIF('商品マスタ'!$B$6:$B$1005,$W9677)=0),COUNTIFS('①在庫を貼る'!$V$6:$V$10005,$V9677,'①在庫を貼る'!$W$6:$W$10005,$W9677)&gt;0),N(U9676),N(U9676)+1))</f>
        <v/>
      </c>
      <c r="V9677" s="19">
        <f>IF($B9677="","",TEXT($B9677,"0000"))</f>
        <v/>
      </c>
      <c r="W9677" s="19">
        <f>IF($I9677="","",IF(ISNUMBER($I9677),TEXT($I9677,"0"),$I9677))</f>
        <v/>
      </c>
    </row>
    <row r="9678">
      <c r="B9678" s="25" t="n"/>
      <c r="I9678" s="25" t="n"/>
      <c r="U9678" s="19">
        <f>IF($V9678&lt;&gt;'設定'!$C$4,N(U9677),IF(OR(NOT(COUNTIF('商品マスタ'!$B$6:$B$1005,$W9678)=0),COUNTIFS('①在庫を貼る'!$V$6:$V$10005,$V9678,'①在庫を貼る'!$W$6:$W$10005,$W9678)&gt;0),N(U9677),N(U9677)+1))</f>
        <v/>
      </c>
      <c r="V9678" s="19">
        <f>IF($B9678="","",TEXT($B9678,"0000"))</f>
        <v/>
      </c>
      <c r="W9678" s="19">
        <f>IF($I9678="","",IF(ISNUMBER($I9678),TEXT($I9678,"0"),$I9678))</f>
        <v/>
      </c>
    </row>
    <row r="9679">
      <c r="B9679" s="25" t="n"/>
      <c r="I9679" s="25" t="n"/>
      <c r="U9679" s="19">
        <f>IF($V9679&lt;&gt;'設定'!$C$4,N(U9678),IF(OR(NOT(COUNTIF('商品マスタ'!$B$6:$B$1005,$W9679)=0),COUNTIFS('①在庫を貼る'!$V$6:$V$10005,$V9679,'①在庫を貼る'!$W$6:$W$10005,$W9679)&gt;0),N(U9678),N(U9678)+1))</f>
        <v/>
      </c>
      <c r="V9679" s="19">
        <f>IF($B9679="","",TEXT($B9679,"0000"))</f>
        <v/>
      </c>
      <c r="W9679" s="19">
        <f>IF($I9679="","",IF(ISNUMBER($I9679),TEXT($I9679,"0"),$I9679))</f>
        <v/>
      </c>
    </row>
    <row r="9680">
      <c r="B9680" s="25" t="n"/>
      <c r="I9680" s="25" t="n"/>
      <c r="U9680" s="19">
        <f>IF($V9680&lt;&gt;'設定'!$C$4,N(U9679),IF(OR(NOT(COUNTIF('商品マスタ'!$B$6:$B$1005,$W9680)=0),COUNTIFS('①在庫を貼る'!$V$6:$V$10005,$V9680,'①在庫を貼る'!$W$6:$W$10005,$W9680)&gt;0),N(U9679),N(U9679)+1))</f>
        <v/>
      </c>
      <c r="V9680" s="19">
        <f>IF($B9680="","",TEXT($B9680,"0000"))</f>
        <v/>
      </c>
      <c r="W9680" s="19">
        <f>IF($I9680="","",IF(ISNUMBER($I9680),TEXT($I9680,"0"),$I9680))</f>
        <v/>
      </c>
    </row>
    <row r="9681">
      <c r="B9681" s="25" t="n"/>
      <c r="I9681" s="25" t="n"/>
      <c r="U9681" s="19">
        <f>IF($V9681&lt;&gt;'設定'!$C$4,N(U9680),IF(OR(NOT(COUNTIF('商品マスタ'!$B$6:$B$1005,$W9681)=0),COUNTIFS('①在庫を貼る'!$V$6:$V$10005,$V9681,'①在庫を貼る'!$W$6:$W$10005,$W9681)&gt;0),N(U9680),N(U9680)+1))</f>
        <v/>
      </c>
      <c r="V9681" s="19">
        <f>IF($B9681="","",TEXT($B9681,"0000"))</f>
        <v/>
      </c>
      <c r="W9681" s="19">
        <f>IF($I9681="","",IF(ISNUMBER($I9681),TEXT($I9681,"0"),$I9681))</f>
        <v/>
      </c>
    </row>
    <row r="9682">
      <c r="B9682" s="25" t="n"/>
      <c r="I9682" s="25" t="n"/>
      <c r="U9682" s="19">
        <f>IF($V9682&lt;&gt;'設定'!$C$4,N(U9681),IF(OR(NOT(COUNTIF('商品マスタ'!$B$6:$B$1005,$W9682)=0),COUNTIFS('①在庫を貼る'!$V$6:$V$10005,$V9682,'①在庫を貼る'!$W$6:$W$10005,$W9682)&gt;0),N(U9681),N(U9681)+1))</f>
        <v/>
      </c>
      <c r="V9682" s="19">
        <f>IF($B9682="","",TEXT($B9682,"0000"))</f>
        <v/>
      </c>
      <c r="W9682" s="19">
        <f>IF($I9682="","",IF(ISNUMBER($I9682),TEXT($I9682,"0"),$I9682))</f>
        <v/>
      </c>
    </row>
    <row r="9683">
      <c r="B9683" s="25" t="n"/>
      <c r="I9683" s="25" t="n"/>
      <c r="U9683" s="19">
        <f>IF($V9683&lt;&gt;'設定'!$C$4,N(U9682),IF(OR(NOT(COUNTIF('商品マスタ'!$B$6:$B$1005,$W9683)=0),COUNTIFS('①在庫を貼る'!$V$6:$V$10005,$V9683,'①在庫を貼る'!$W$6:$W$10005,$W9683)&gt;0),N(U9682),N(U9682)+1))</f>
        <v/>
      </c>
      <c r="V9683" s="19">
        <f>IF($B9683="","",TEXT($B9683,"0000"))</f>
        <v/>
      </c>
      <c r="W9683" s="19">
        <f>IF($I9683="","",IF(ISNUMBER($I9683),TEXT($I9683,"0"),$I9683))</f>
        <v/>
      </c>
    </row>
    <row r="9684">
      <c r="B9684" s="25" t="n"/>
      <c r="I9684" s="25" t="n"/>
      <c r="U9684" s="19">
        <f>IF($V9684&lt;&gt;'設定'!$C$4,N(U9683),IF(OR(NOT(COUNTIF('商品マスタ'!$B$6:$B$1005,$W9684)=0),COUNTIFS('①在庫を貼る'!$V$6:$V$10005,$V9684,'①在庫を貼る'!$W$6:$W$10005,$W9684)&gt;0),N(U9683),N(U9683)+1))</f>
        <v/>
      </c>
      <c r="V9684" s="19">
        <f>IF($B9684="","",TEXT($B9684,"0000"))</f>
        <v/>
      </c>
      <c r="W9684" s="19">
        <f>IF($I9684="","",IF(ISNUMBER($I9684),TEXT($I9684,"0"),$I9684))</f>
        <v/>
      </c>
    </row>
    <row r="9685">
      <c r="B9685" s="25" t="n"/>
      <c r="I9685" s="25" t="n"/>
      <c r="U9685" s="19">
        <f>IF($V9685&lt;&gt;'設定'!$C$4,N(U9684),IF(OR(NOT(COUNTIF('商品マスタ'!$B$6:$B$1005,$W9685)=0),COUNTIFS('①在庫を貼る'!$V$6:$V$10005,$V9685,'①在庫を貼る'!$W$6:$W$10005,$W9685)&gt;0),N(U9684),N(U9684)+1))</f>
        <v/>
      </c>
      <c r="V9685" s="19">
        <f>IF($B9685="","",TEXT($B9685,"0000"))</f>
        <v/>
      </c>
      <c r="W9685" s="19">
        <f>IF($I9685="","",IF(ISNUMBER($I9685),TEXT($I9685,"0"),$I9685))</f>
        <v/>
      </c>
    </row>
    <row r="9686">
      <c r="B9686" s="25" t="n"/>
      <c r="I9686" s="25" t="n"/>
      <c r="U9686" s="19">
        <f>IF($V9686&lt;&gt;'設定'!$C$4,N(U9685),IF(OR(NOT(COUNTIF('商品マスタ'!$B$6:$B$1005,$W9686)=0),COUNTIFS('①在庫を貼る'!$V$6:$V$10005,$V9686,'①在庫を貼る'!$W$6:$W$10005,$W9686)&gt;0),N(U9685),N(U9685)+1))</f>
        <v/>
      </c>
      <c r="V9686" s="19">
        <f>IF($B9686="","",TEXT($B9686,"0000"))</f>
        <v/>
      </c>
      <c r="W9686" s="19">
        <f>IF($I9686="","",IF(ISNUMBER($I9686),TEXT($I9686,"0"),$I9686))</f>
        <v/>
      </c>
    </row>
    <row r="9687">
      <c r="B9687" s="25" t="n"/>
      <c r="I9687" s="25" t="n"/>
      <c r="U9687" s="19">
        <f>IF($V9687&lt;&gt;'設定'!$C$4,N(U9686),IF(OR(NOT(COUNTIF('商品マスタ'!$B$6:$B$1005,$W9687)=0),COUNTIFS('①在庫を貼る'!$V$6:$V$10005,$V9687,'①在庫を貼る'!$W$6:$W$10005,$W9687)&gt;0),N(U9686),N(U9686)+1))</f>
        <v/>
      </c>
      <c r="V9687" s="19">
        <f>IF($B9687="","",TEXT($B9687,"0000"))</f>
        <v/>
      </c>
      <c r="W9687" s="19">
        <f>IF($I9687="","",IF(ISNUMBER($I9687),TEXT($I9687,"0"),$I9687))</f>
        <v/>
      </c>
    </row>
    <row r="9688">
      <c r="B9688" s="25" t="n"/>
      <c r="I9688" s="25" t="n"/>
      <c r="U9688" s="19">
        <f>IF($V9688&lt;&gt;'設定'!$C$4,N(U9687),IF(OR(NOT(COUNTIF('商品マスタ'!$B$6:$B$1005,$W9688)=0),COUNTIFS('①在庫を貼る'!$V$6:$V$10005,$V9688,'①在庫を貼る'!$W$6:$W$10005,$W9688)&gt;0),N(U9687),N(U9687)+1))</f>
        <v/>
      </c>
      <c r="V9688" s="19">
        <f>IF($B9688="","",TEXT($B9688,"0000"))</f>
        <v/>
      </c>
      <c r="W9688" s="19">
        <f>IF($I9688="","",IF(ISNUMBER($I9688),TEXT($I9688,"0"),$I9688))</f>
        <v/>
      </c>
    </row>
    <row r="9689">
      <c r="B9689" s="25" t="n"/>
      <c r="I9689" s="25" t="n"/>
      <c r="U9689" s="19">
        <f>IF($V9689&lt;&gt;'設定'!$C$4,N(U9688),IF(OR(NOT(COUNTIF('商品マスタ'!$B$6:$B$1005,$W9689)=0),COUNTIFS('①在庫を貼る'!$V$6:$V$10005,$V9689,'①在庫を貼る'!$W$6:$W$10005,$W9689)&gt;0),N(U9688),N(U9688)+1))</f>
        <v/>
      </c>
      <c r="V9689" s="19">
        <f>IF($B9689="","",TEXT($B9689,"0000"))</f>
        <v/>
      </c>
      <c r="W9689" s="19">
        <f>IF($I9689="","",IF(ISNUMBER($I9689),TEXT($I9689,"0"),$I9689))</f>
        <v/>
      </c>
    </row>
    <row r="9690">
      <c r="B9690" s="25" t="n"/>
      <c r="I9690" s="25" t="n"/>
      <c r="U9690" s="19">
        <f>IF($V9690&lt;&gt;'設定'!$C$4,N(U9689),IF(OR(NOT(COUNTIF('商品マスタ'!$B$6:$B$1005,$W9690)=0),COUNTIFS('①在庫を貼る'!$V$6:$V$10005,$V9690,'①在庫を貼る'!$W$6:$W$10005,$W9690)&gt;0),N(U9689),N(U9689)+1))</f>
        <v/>
      </c>
      <c r="V9690" s="19">
        <f>IF($B9690="","",TEXT($B9690,"0000"))</f>
        <v/>
      </c>
      <c r="W9690" s="19">
        <f>IF($I9690="","",IF(ISNUMBER($I9690),TEXT($I9690,"0"),$I9690))</f>
        <v/>
      </c>
    </row>
    <row r="9691">
      <c r="B9691" s="25" t="n"/>
      <c r="I9691" s="25" t="n"/>
      <c r="U9691" s="19">
        <f>IF($V9691&lt;&gt;'設定'!$C$4,N(U9690),IF(OR(NOT(COUNTIF('商品マスタ'!$B$6:$B$1005,$W9691)=0),COUNTIFS('①在庫を貼る'!$V$6:$V$10005,$V9691,'①在庫を貼る'!$W$6:$W$10005,$W9691)&gt;0),N(U9690),N(U9690)+1))</f>
        <v/>
      </c>
      <c r="V9691" s="19">
        <f>IF($B9691="","",TEXT($B9691,"0000"))</f>
        <v/>
      </c>
      <c r="W9691" s="19">
        <f>IF($I9691="","",IF(ISNUMBER($I9691),TEXT($I9691,"0"),$I9691))</f>
        <v/>
      </c>
    </row>
    <row r="9692">
      <c r="B9692" s="25" t="n"/>
      <c r="I9692" s="25" t="n"/>
      <c r="U9692" s="19">
        <f>IF($V9692&lt;&gt;'設定'!$C$4,N(U9691),IF(OR(NOT(COUNTIF('商品マスタ'!$B$6:$B$1005,$W9692)=0),COUNTIFS('①在庫を貼る'!$V$6:$V$10005,$V9692,'①在庫を貼る'!$W$6:$W$10005,$W9692)&gt;0),N(U9691),N(U9691)+1))</f>
        <v/>
      </c>
      <c r="V9692" s="19">
        <f>IF($B9692="","",TEXT($B9692,"0000"))</f>
        <v/>
      </c>
      <c r="W9692" s="19">
        <f>IF($I9692="","",IF(ISNUMBER($I9692),TEXT($I9692,"0"),$I9692))</f>
        <v/>
      </c>
    </row>
    <row r="9693">
      <c r="B9693" s="25" t="n"/>
      <c r="I9693" s="25" t="n"/>
      <c r="U9693" s="19">
        <f>IF($V9693&lt;&gt;'設定'!$C$4,N(U9692),IF(OR(NOT(COUNTIF('商品マスタ'!$B$6:$B$1005,$W9693)=0),COUNTIFS('①在庫を貼る'!$V$6:$V$10005,$V9693,'①在庫を貼る'!$W$6:$W$10005,$W9693)&gt;0),N(U9692),N(U9692)+1))</f>
        <v/>
      </c>
      <c r="V9693" s="19">
        <f>IF($B9693="","",TEXT($B9693,"0000"))</f>
        <v/>
      </c>
      <c r="W9693" s="19">
        <f>IF($I9693="","",IF(ISNUMBER($I9693),TEXT($I9693,"0"),$I9693))</f>
        <v/>
      </c>
    </row>
    <row r="9694">
      <c r="B9694" s="25" t="n"/>
      <c r="I9694" s="25" t="n"/>
      <c r="U9694" s="19">
        <f>IF($V9694&lt;&gt;'設定'!$C$4,N(U9693),IF(OR(NOT(COUNTIF('商品マスタ'!$B$6:$B$1005,$W9694)=0),COUNTIFS('①在庫を貼る'!$V$6:$V$10005,$V9694,'①在庫を貼る'!$W$6:$W$10005,$W9694)&gt;0),N(U9693),N(U9693)+1))</f>
        <v/>
      </c>
      <c r="V9694" s="19">
        <f>IF($B9694="","",TEXT($B9694,"0000"))</f>
        <v/>
      </c>
      <c r="W9694" s="19">
        <f>IF($I9694="","",IF(ISNUMBER($I9694),TEXT($I9694,"0"),$I9694))</f>
        <v/>
      </c>
    </row>
    <row r="9695">
      <c r="B9695" s="25" t="n"/>
      <c r="I9695" s="25" t="n"/>
      <c r="U9695" s="19">
        <f>IF($V9695&lt;&gt;'設定'!$C$4,N(U9694),IF(OR(NOT(COUNTIF('商品マスタ'!$B$6:$B$1005,$W9695)=0),COUNTIFS('①在庫を貼る'!$V$6:$V$10005,$V9695,'①在庫を貼る'!$W$6:$W$10005,$W9695)&gt;0),N(U9694),N(U9694)+1))</f>
        <v/>
      </c>
      <c r="V9695" s="19">
        <f>IF($B9695="","",TEXT($B9695,"0000"))</f>
        <v/>
      </c>
      <c r="W9695" s="19">
        <f>IF($I9695="","",IF(ISNUMBER($I9695),TEXT($I9695,"0"),$I9695))</f>
        <v/>
      </c>
    </row>
    <row r="9696">
      <c r="B9696" s="25" t="n"/>
      <c r="I9696" s="25" t="n"/>
      <c r="U9696" s="19">
        <f>IF($V9696&lt;&gt;'設定'!$C$4,N(U9695),IF(OR(NOT(COUNTIF('商品マスタ'!$B$6:$B$1005,$W9696)=0),COUNTIFS('①在庫を貼る'!$V$6:$V$10005,$V9696,'①在庫を貼る'!$W$6:$W$10005,$W9696)&gt;0),N(U9695),N(U9695)+1))</f>
        <v/>
      </c>
      <c r="V9696" s="19">
        <f>IF($B9696="","",TEXT($B9696,"0000"))</f>
        <v/>
      </c>
      <c r="W9696" s="19">
        <f>IF($I9696="","",IF(ISNUMBER($I9696),TEXT($I9696,"0"),$I9696))</f>
        <v/>
      </c>
    </row>
    <row r="9697">
      <c r="B9697" s="25" t="n"/>
      <c r="I9697" s="25" t="n"/>
      <c r="U9697" s="19">
        <f>IF($V9697&lt;&gt;'設定'!$C$4,N(U9696),IF(OR(NOT(COUNTIF('商品マスタ'!$B$6:$B$1005,$W9697)=0),COUNTIFS('①在庫を貼る'!$V$6:$V$10005,$V9697,'①在庫を貼る'!$W$6:$W$10005,$W9697)&gt;0),N(U9696),N(U9696)+1))</f>
        <v/>
      </c>
      <c r="V9697" s="19">
        <f>IF($B9697="","",TEXT($B9697,"0000"))</f>
        <v/>
      </c>
      <c r="W9697" s="19">
        <f>IF($I9697="","",IF(ISNUMBER($I9697),TEXT($I9697,"0"),$I9697))</f>
        <v/>
      </c>
    </row>
    <row r="9698">
      <c r="B9698" s="25" t="n"/>
      <c r="I9698" s="25" t="n"/>
      <c r="U9698" s="19">
        <f>IF($V9698&lt;&gt;'設定'!$C$4,N(U9697),IF(OR(NOT(COUNTIF('商品マスタ'!$B$6:$B$1005,$W9698)=0),COUNTIFS('①在庫を貼る'!$V$6:$V$10005,$V9698,'①在庫を貼る'!$W$6:$W$10005,$W9698)&gt;0),N(U9697),N(U9697)+1))</f>
        <v/>
      </c>
      <c r="V9698" s="19">
        <f>IF($B9698="","",TEXT($B9698,"0000"))</f>
        <v/>
      </c>
      <c r="W9698" s="19">
        <f>IF($I9698="","",IF(ISNUMBER($I9698),TEXT($I9698,"0"),$I9698))</f>
        <v/>
      </c>
    </row>
    <row r="9699">
      <c r="B9699" s="25" t="n"/>
      <c r="I9699" s="25" t="n"/>
      <c r="U9699" s="19">
        <f>IF($V9699&lt;&gt;'設定'!$C$4,N(U9698),IF(OR(NOT(COUNTIF('商品マスタ'!$B$6:$B$1005,$W9699)=0),COUNTIFS('①在庫を貼る'!$V$6:$V$10005,$V9699,'①在庫を貼る'!$W$6:$W$10005,$W9699)&gt;0),N(U9698),N(U9698)+1))</f>
        <v/>
      </c>
      <c r="V9699" s="19">
        <f>IF($B9699="","",TEXT($B9699,"0000"))</f>
        <v/>
      </c>
      <c r="W9699" s="19">
        <f>IF($I9699="","",IF(ISNUMBER($I9699),TEXT($I9699,"0"),$I9699))</f>
        <v/>
      </c>
    </row>
    <row r="9700">
      <c r="B9700" s="25" t="n"/>
      <c r="I9700" s="25" t="n"/>
      <c r="U9700" s="19">
        <f>IF($V9700&lt;&gt;'設定'!$C$4,N(U9699),IF(OR(NOT(COUNTIF('商品マスタ'!$B$6:$B$1005,$W9700)=0),COUNTIFS('①在庫を貼る'!$V$6:$V$10005,$V9700,'①在庫を貼る'!$W$6:$W$10005,$W9700)&gt;0),N(U9699),N(U9699)+1))</f>
        <v/>
      </c>
      <c r="V9700" s="19">
        <f>IF($B9700="","",TEXT($B9700,"0000"))</f>
        <v/>
      </c>
      <c r="W9700" s="19">
        <f>IF($I9700="","",IF(ISNUMBER($I9700),TEXT($I9700,"0"),$I9700))</f>
        <v/>
      </c>
    </row>
    <row r="9701">
      <c r="B9701" s="25" t="n"/>
      <c r="I9701" s="25" t="n"/>
      <c r="U9701" s="19">
        <f>IF($V9701&lt;&gt;'設定'!$C$4,N(U9700),IF(OR(NOT(COUNTIF('商品マスタ'!$B$6:$B$1005,$W9701)=0),COUNTIFS('①在庫を貼る'!$V$6:$V$10005,$V9701,'①在庫を貼る'!$W$6:$W$10005,$W9701)&gt;0),N(U9700),N(U9700)+1))</f>
        <v/>
      </c>
      <c r="V9701" s="19">
        <f>IF($B9701="","",TEXT($B9701,"0000"))</f>
        <v/>
      </c>
      <c r="W9701" s="19">
        <f>IF($I9701="","",IF(ISNUMBER($I9701),TEXT($I9701,"0"),$I9701))</f>
        <v/>
      </c>
    </row>
    <row r="9702">
      <c r="B9702" s="25" t="n"/>
      <c r="I9702" s="25" t="n"/>
      <c r="U9702" s="19">
        <f>IF($V9702&lt;&gt;'設定'!$C$4,N(U9701),IF(OR(NOT(COUNTIF('商品マスタ'!$B$6:$B$1005,$W9702)=0),COUNTIFS('①在庫を貼る'!$V$6:$V$10005,$V9702,'①在庫を貼る'!$W$6:$W$10005,$W9702)&gt;0),N(U9701),N(U9701)+1))</f>
        <v/>
      </c>
      <c r="V9702" s="19">
        <f>IF($B9702="","",TEXT($B9702,"0000"))</f>
        <v/>
      </c>
      <c r="W9702" s="19">
        <f>IF($I9702="","",IF(ISNUMBER($I9702),TEXT($I9702,"0"),$I9702))</f>
        <v/>
      </c>
    </row>
    <row r="9703">
      <c r="B9703" s="25" t="n"/>
      <c r="I9703" s="25" t="n"/>
      <c r="U9703" s="19">
        <f>IF($V9703&lt;&gt;'設定'!$C$4,N(U9702),IF(OR(NOT(COUNTIF('商品マスタ'!$B$6:$B$1005,$W9703)=0),COUNTIFS('①在庫を貼る'!$V$6:$V$10005,$V9703,'①在庫を貼る'!$W$6:$W$10005,$W9703)&gt;0),N(U9702),N(U9702)+1))</f>
        <v/>
      </c>
      <c r="V9703" s="19">
        <f>IF($B9703="","",TEXT($B9703,"0000"))</f>
        <v/>
      </c>
      <c r="W9703" s="19">
        <f>IF($I9703="","",IF(ISNUMBER($I9703),TEXT($I9703,"0"),$I9703))</f>
        <v/>
      </c>
    </row>
    <row r="9704">
      <c r="B9704" s="25" t="n"/>
      <c r="I9704" s="25" t="n"/>
      <c r="U9704" s="19">
        <f>IF($V9704&lt;&gt;'設定'!$C$4,N(U9703),IF(OR(NOT(COUNTIF('商品マスタ'!$B$6:$B$1005,$W9704)=0),COUNTIFS('①在庫を貼る'!$V$6:$V$10005,$V9704,'①在庫を貼る'!$W$6:$W$10005,$W9704)&gt;0),N(U9703),N(U9703)+1))</f>
        <v/>
      </c>
      <c r="V9704" s="19">
        <f>IF($B9704="","",TEXT($B9704,"0000"))</f>
        <v/>
      </c>
      <c r="W9704" s="19">
        <f>IF($I9704="","",IF(ISNUMBER($I9704),TEXT($I9704,"0"),$I9704))</f>
        <v/>
      </c>
    </row>
    <row r="9705">
      <c r="B9705" s="25" t="n"/>
      <c r="I9705" s="25" t="n"/>
      <c r="U9705" s="19">
        <f>IF($V9705&lt;&gt;'設定'!$C$4,N(U9704),IF(OR(NOT(COUNTIF('商品マスタ'!$B$6:$B$1005,$W9705)=0),COUNTIFS('①在庫を貼る'!$V$6:$V$10005,$V9705,'①在庫を貼る'!$W$6:$W$10005,$W9705)&gt;0),N(U9704),N(U9704)+1))</f>
        <v/>
      </c>
      <c r="V9705" s="19">
        <f>IF($B9705="","",TEXT($B9705,"0000"))</f>
        <v/>
      </c>
      <c r="W9705" s="19">
        <f>IF($I9705="","",IF(ISNUMBER($I9705),TEXT($I9705,"0"),$I9705))</f>
        <v/>
      </c>
    </row>
    <row r="9706">
      <c r="B9706" s="25" t="n"/>
      <c r="I9706" s="25" t="n"/>
      <c r="U9706" s="19">
        <f>IF($V9706&lt;&gt;'設定'!$C$4,N(U9705),IF(OR(NOT(COUNTIF('商品マスタ'!$B$6:$B$1005,$W9706)=0),COUNTIFS('①在庫を貼る'!$V$6:$V$10005,$V9706,'①在庫を貼る'!$W$6:$W$10005,$W9706)&gt;0),N(U9705),N(U9705)+1))</f>
        <v/>
      </c>
      <c r="V9706" s="19">
        <f>IF($B9706="","",TEXT($B9706,"0000"))</f>
        <v/>
      </c>
      <c r="W9706" s="19">
        <f>IF($I9706="","",IF(ISNUMBER($I9706),TEXT($I9706,"0"),$I9706))</f>
        <v/>
      </c>
    </row>
    <row r="9707">
      <c r="B9707" s="25" t="n"/>
      <c r="I9707" s="25" t="n"/>
      <c r="U9707" s="19">
        <f>IF($V9707&lt;&gt;'設定'!$C$4,N(U9706),IF(OR(NOT(COUNTIF('商品マスタ'!$B$6:$B$1005,$W9707)=0),COUNTIFS('①在庫を貼る'!$V$6:$V$10005,$V9707,'①在庫を貼る'!$W$6:$W$10005,$W9707)&gt;0),N(U9706),N(U9706)+1))</f>
        <v/>
      </c>
      <c r="V9707" s="19">
        <f>IF($B9707="","",TEXT($B9707,"0000"))</f>
        <v/>
      </c>
      <c r="W9707" s="19">
        <f>IF($I9707="","",IF(ISNUMBER($I9707),TEXT($I9707,"0"),$I9707))</f>
        <v/>
      </c>
    </row>
    <row r="9708">
      <c r="B9708" s="25" t="n"/>
      <c r="I9708" s="25" t="n"/>
      <c r="U9708" s="19">
        <f>IF($V9708&lt;&gt;'設定'!$C$4,N(U9707),IF(OR(NOT(COUNTIF('商品マスタ'!$B$6:$B$1005,$W9708)=0),COUNTIFS('①在庫を貼る'!$V$6:$V$10005,$V9708,'①在庫を貼る'!$W$6:$W$10005,$W9708)&gt;0),N(U9707),N(U9707)+1))</f>
        <v/>
      </c>
      <c r="V9708" s="19">
        <f>IF($B9708="","",TEXT($B9708,"0000"))</f>
        <v/>
      </c>
      <c r="W9708" s="19">
        <f>IF($I9708="","",IF(ISNUMBER($I9708),TEXT($I9708,"0"),$I9708))</f>
        <v/>
      </c>
    </row>
    <row r="9709">
      <c r="B9709" s="25" t="n"/>
      <c r="I9709" s="25" t="n"/>
      <c r="U9709" s="19">
        <f>IF($V9709&lt;&gt;'設定'!$C$4,N(U9708),IF(OR(NOT(COUNTIF('商品マスタ'!$B$6:$B$1005,$W9709)=0),COUNTIFS('①在庫を貼る'!$V$6:$V$10005,$V9709,'①在庫を貼る'!$W$6:$W$10005,$W9709)&gt;0),N(U9708),N(U9708)+1))</f>
        <v/>
      </c>
      <c r="V9709" s="19">
        <f>IF($B9709="","",TEXT($B9709,"0000"))</f>
        <v/>
      </c>
      <c r="W9709" s="19">
        <f>IF($I9709="","",IF(ISNUMBER($I9709),TEXT($I9709,"0"),$I9709))</f>
        <v/>
      </c>
    </row>
    <row r="9710">
      <c r="B9710" s="25" t="n"/>
      <c r="I9710" s="25" t="n"/>
      <c r="U9710" s="19">
        <f>IF($V9710&lt;&gt;'設定'!$C$4,N(U9709),IF(OR(NOT(COUNTIF('商品マスタ'!$B$6:$B$1005,$W9710)=0),COUNTIFS('①在庫を貼る'!$V$6:$V$10005,$V9710,'①在庫を貼る'!$W$6:$W$10005,$W9710)&gt;0),N(U9709),N(U9709)+1))</f>
        <v/>
      </c>
      <c r="V9710" s="19">
        <f>IF($B9710="","",TEXT($B9710,"0000"))</f>
        <v/>
      </c>
      <c r="W9710" s="19">
        <f>IF($I9710="","",IF(ISNUMBER($I9710),TEXT($I9710,"0"),$I9710))</f>
        <v/>
      </c>
    </row>
    <row r="9711">
      <c r="B9711" s="25" t="n"/>
      <c r="I9711" s="25" t="n"/>
      <c r="U9711" s="19">
        <f>IF($V9711&lt;&gt;'設定'!$C$4,N(U9710),IF(OR(NOT(COUNTIF('商品マスタ'!$B$6:$B$1005,$W9711)=0),COUNTIFS('①在庫を貼る'!$V$6:$V$10005,$V9711,'①在庫を貼る'!$W$6:$W$10005,$W9711)&gt;0),N(U9710),N(U9710)+1))</f>
        <v/>
      </c>
      <c r="V9711" s="19">
        <f>IF($B9711="","",TEXT($B9711,"0000"))</f>
        <v/>
      </c>
      <c r="W9711" s="19">
        <f>IF($I9711="","",IF(ISNUMBER($I9711),TEXT($I9711,"0"),$I9711))</f>
        <v/>
      </c>
    </row>
    <row r="9712">
      <c r="B9712" s="25" t="n"/>
      <c r="I9712" s="25" t="n"/>
      <c r="U9712" s="19">
        <f>IF($V9712&lt;&gt;'設定'!$C$4,N(U9711),IF(OR(NOT(COUNTIF('商品マスタ'!$B$6:$B$1005,$W9712)=0),COUNTIFS('①在庫を貼る'!$V$6:$V$10005,$V9712,'①在庫を貼る'!$W$6:$W$10005,$W9712)&gt;0),N(U9711),N(U9711)+1))</f>
        <v/>
      </c>
      <c r="V9712" s="19">
        <f>IF($B9712="","",TEXT($B9712,"0000"))</f>
        <v/>
      </c>
      <c r="W9712" s="19">
        <f>IF($I9712="","",IF(ISNUMBER($I9712),TEXT($I9712,"0"),$I9712))</f>
        <v/>
      </c>
    </row>
    <row r="9713">
      <c r="B9713" s="25" t="n"/>
      <c r="I9713" s="25" t="n"/>
      <c r="U9713" s="19">
        <f>IF($V9713&lt;&gt;'設定'!$C$4,N(U9712),IF(OR(NOT(COUNTIF('商品マスタ'!$B$6:$B$1005,$W9713)=0),COUNTIFS('①在庫を貼る'!$V$6:$V$10005,$V9713,'①在庫を貼る'!$W$6:$W$10005,$W9713)&gt;0),N(U9712),N(U9712)+1))</f>
        <v/>
      </c>
      <c r="V9713" s="19">
        <f>IF($B9713="","",TEXT($B9713,"0000"))</f>
        <v/>
      </c>
      <c r="W9713" s="19">
        <f>IF($I9713="","",IF(ISNUMBER($I9713),TEXT($I9713,"0"),$I9713))</f>
        <v/>
      </c>
    </row>
    <row r="9714">
      <c r="B9714" s="25" t="n"/>
      <c r="I9714" s="25" t="n"/>
      <c r="U9714" s="19">
        <f>IF($V9714&lt;&gt;'設定'!$C$4,N(U9713),IF(OR(NOT(COUNTIF('商品マスタ'!$B$6:$B$1005,$W9714)=0),COUNTIFS('①在庫を貼る'!$V$6:$V$10005,$V9714,'①在庫を貼る'!$W$6:$W$10005,$W9714)&gt;0),N(U9713),N(U9713)+1))</f>
        <v/>
      </c>
      <c r="V9714" s="19">
        <f>IF($B9714="","",TEXT($B9714,"0000"))</f>
        <v/>
      </c>
      <c r="W9714" s="19">
        <f>IF($I9714="","",IF(ISNUMBER($I9714),TEXT($I9714,"0"),$I9714))</f>
        <v/>
      </c>
    </row>
    <row r="9715">
      <c r="B9715" s="25" t="n"/>
      <c r="I9715" s="25" t="n"/>
      <c r="U9715" s="19">
        <f>IF($V9715&lt;&gt;'設定'!$C$4,N(U9714),IF(OR(NOT(COUNTIF('商品マスタ'!$B$6:$B$1005,$W9715)=0),COUNTIFS('①在庫を貼る'!$V$6:$V$10005,$V9715,'①在庫を貼る'!$W$6:$W$10005,$W9715)&gt;0),N(U9714),N(U9714)+1))</f>
        <v/>
      </c>
      <c r="V9715" s="19">
        <f>IF($B9715="","",TEXT($B9715,"0000"))</f>
        <v/>
      </c>
      <c r="W9715" s="19">
        <f>IF($I9715="","",IF(ISNUMBER($I9715),TEXT($I9715,"0"),$I9715))</f>
        <v/>
      </c>
    </row>
    <row r="9716">
      <c r="B9716" s="25" t="n"/>
      <c r="I9716" s="25" t="n"/>
      <c r="U9716" s="19">
        <f>IF($V9716&lt;&gt;'設定'!$C$4,N(U9715),IF(OR(NOT(COUNTIF('商品マスタ'!$B$6:$B$1005,$W9716)=0),COUNTIFS('①在庫を貼る'!$V$6:$V$10005,$V9716,'①在庫を貼る'!$W$6:$W$10005,$W9716)&gt;0),N(U9715),N(U9715)+1))</f>
        <v/>
      </c>
      <c r="V9716" s="19">
        <f>IF($B9716="","",TEXT($B9716,"0000"))</f>
        <v/>
      </c>
      <c r="W9716" s="19">
        <f>IF($I9716="","",IF(ISNUMBER($I9716),TEXT($I9716,"0"),$I9716))</f>
        <v/>
      </c>
    </row>
    <row r="9717">
      <c r="B9717" s="25" t="n"/>
      <c r="I9717" s="25" t="n"/>
      <c r="U9717" s="19">
        <f>IF($V9717&lt;&gt;'設定'!$C$4,N(U9716),IF(OR(NOT(COUNTIF('商品マスタ'!$B$6:$B$1005,$W9717)=0),COUNTIFS('①在庫を貼る'!$V$6:$V$10005,$V9717,'①在庫を貼る'!$W$6:$W$10005,$W9717)&gt;0),N(U9716),N(U9716)+1))</f>
        <v/>
      </c>
      <c r="V9717" s="19">
        <f>IF($B9717="","",TEXT($B9717,"0000"))</f>
        <v/>
      </c>
      <c r="W9717" s="19">
        <f>IF($I9717="","",IF(ISNUMBER($I9717),TEXT($I9717,"0"),$I9717))</f>
        <v/>
      </c>
    </row>
    <row r="9718">
      <c r="B9718" s="25" t="n"/>
      <c r="I9718" s="25" t="n"/>
      <c r="U9718" s="19">
        <f>IF($V9718&lt;&gt;'設定'!$C$4,N(U9717),IF(OR(NOT(COUNTIF('商品マスタ'!$B$6:$B$1005,$W9718)=0),COUNTIFS('①在庫を貼る'!$V$6:$V$10005,$V9718,'①在庫を貼る'!$W$6:$W$10005,$W9718)&gt;0),N(U9717),N(U9717)+1))</f>
        <v/>
      </c>
      <c r="V9718" s="19">
        <f>IF($B9718="","",TEXT($B9718,"0000"))</f>
        <v/>
      </c>
      <c r="W9718" s="19">
        <f>IF($I9718="","",IF(ISNUMBER($I9718),TEXT($I9718,"0"),$I9718))</f>
        <v/>
      </c>
    </row>
    <row r="9719">
      <c r="B9719" s="25" t="n"/>
      <c r="I9719" s="25" t="n"/>
      <c r="U9719" s="19">
        <f>IF($V9719&lt;&gt;'設定'!$C$4,N(U9718),IF(OR(NOT(COUNTIF('商品マスタ'!$B$6:$B$1005,$W9719)=0),COUNTIFS('①在庫を貼る'!$V$6:$V$10005,$V9719,'①在庫を貼る'!$W$6:$W$10005,$W9719)&gt;0),N(U9718),N(U9718)+1))</f>
        <v/>
      </c>
      <c r="V9719" s="19">
        <f>IF($B9719="","",TEXT($B9719,"0000"))</f>
        <v/>
      </c>
      <c r="W9719" s="19">
        <f>IF($I9719="","",IF(ISNUMBER($I9719),TEXT($I9719,"0"),$I9719))</f>
        <v/>
      </c>
    </row>
    <row r="9720">
      <c r="B9720" s="25" t="n"/>
      <c r="I9720" s="25" t="n"/>
      <c r="U9720" s="19">
        <f>IF($V9720&lt;&gt;'設定'!$C$4,N(U9719),IF(OR(NOT(COUNTIF('商品マスタ'!$B$6:$B$1005,$W9720)=0),COUNTIFS('①在庫を貼る'!$V$6:$V$10005,$V9720,'①在庫を貼る'!$W$6:$W$10005,$W9720)&gt;0),N(U9719),N(U9719)+1))</f>
        <v/>
      </c>
      <c r="V9720" s="19">
        <f>IF($B9720="","",TEXT($B9720,"0000"))</f>
        <v/>
      </c>
      <c r="W9720" s="19">
        <f>IF($I9720="","",IF(ISNUMBER($I9720),TEXT($I9720,"0"),$I9720))</f>
        <v/>
      </c>
    </row>
    <row r="9721">
      <c r="B9721" s="25" t="n"/>
      <c r="I9721" s="25" t="n"/>
      <c r="U9721" s="19">
        <f>IF($V9721&lt;&gt;'設定'!$C$4,N(U9720),IF(OR(NOT(COUNTIF('商品マスタ'!$B$6:$B$1005,$W9721)=0),COUNTIFS('①在庫を貼る'!$V$6:$V$10005,$V9721,'①在庫を貼る'!$W$6:$W$10005,$W9721)&gt;0),N(U9720),N(U9720)+1))</f>
        <v/>
      </c>
      <c r="V9721" s="19">
        <f>IF($B9721="","",TEXT($B9721,"0000"))</f>
        <v/>
      </c>
      <c r="W9721" s="19">
        <f>IF($I9721="","",IF(ISNUMBER($I9721),TEXT($I9721,"0"),$I9721))</f>
        <v/>
      </c>
    </row>
    <row r="9722">
      <c r="B9722" s="25" t="n"/>
      <c r="I9722" s="25" t="n"/>
      <c r="U9722" s="19">
        <f>IF($V9722&lt;&gt;'設定'!$C$4,N(U9721),IF(OR(NOT(COUNTIF('商品マスタ'!$B$6:$B$1005,$W9722)=0),COUNTIFS('①在庫を貼る'!$V$6:$V$10005,$V9722,'①在庫を貼る'!$W$6:$W$10005,$W9722)&gt;0),N(U9721),N(U9721)+1))</f>
        <v/>
      </c>
      <c r="V9722" s="19">
        <f>IF($B9722="","",TEXT($B9722,"0000"))</f>
        <v/>
      </c>
      <c r="W9722" s="19">
        <f>IF($I9722="","",IF(ISNUMBER($I9722),TEXT($I9722,"0"),$I9722))</f>
        <v/>
      </c>
    </row>
    <row r="9723">
      <c r="B9723" s="25" t="n"/>
      <c r="I9723" s="25" t="n"/>
      <c r="U9723" s="19">
        <f>IF($V9723&lt;&gt;'設定'!$C$4,N(U9722),IF(OR(NOT(COUNTIF('商品マスタ'!$B$6:$B$1005,$W9723)=0),COUNTIFS('①在庫を貼る'!$V$6:$V$10005,$V9723,'①在庫を貼る'!$W$6:$W$10005,$W9723)&gt;0),N(U9722),N(U9722)+1))</f>
        <v/>
      </c>
      <c r="V9723" s="19">
        <f>IF($B9723="","",TEXT($B9723,"0000"))</f>
        <v/>
      </c>
      <c r="W9723" s="19">
        <f>IF($I9723="","",IF(ISNUMBER($I9723),TEXT($I9723,"0"),$I9723))</f>
        <v/>
      </c>
    </row>
    <row r="9724">
      <c r="B9724" s="25" t="n"/>
      <c r="I9724" s="25" t="n"/>
      <c r="U9724" s="19">
        <f>IF($V9724&lt;&gt;'設定'!$C$4,N(U9723),IF(OR(NOT(COUNTIF('商品マスタ'!$B$6:$B$1005,$W9724)=0),COUNTIFS('①在庫を貼る'!$V$6:$V$10005,$V9724,'①在庫を貼る'!$W$6:$W$10005,$W9724)&gt;0),N(U9723),N(U9723)+1))</f>
        <v/>
      </c>
      <c r="V9724" s="19">
        <f>IF($B9724="","",TEXT($B9724,"0000"))</f>
        <v/>
      </c>
      <c r="W9724" s="19">
        <f>IF($I9724="","",IF(ISNUMBER($I9724),TEXT($I9724,"0"),$I9724))</f>
        <v/>
      </c>
    </row>
    <row r="9725">
      <c r="B9725" s="25" t="n"/>
      <c r="I9725" s="25" t="n"/>
      <c r="U9725" s="19">
        <f>IF($V9725&lt;&gt;'設定'!$C$4,N(U9724),IF(OR(NOT(COUNTIF('商品マスタ'!$B$6:$B$1005,$W9725)=0),COUNTIFS('①在庫を貼る'!$V$6:$V$10005,$V9725,'①在庫を貼る'!$W$6:$W$10005,$W9725)&gt;0),N(U9724),N(U9724)+1))</f>
        <v/>
      </c>
      <c r="V9725" s="19">
        <f>IF($B9725="","",TEXT($B9725,"0000"))</f>
        <v/>
      </c>
      <c r="W9725" s="19">
        <f>IF($I9725="","",IF(ISNUMBER($I9725),TEXT($I9725,"0"),$I9725))</f>
        <v/>
      </c>
    </row>
    <row r="9726">
      <c r="B9726" s="25" t="n"/>
      <c r="I9726" s="25" t="n"/>
      <c r="U9726" s="19">
        <f>IF($V9726&lt;&gt;'設定'!$C$4,N(U9725),IF(OR(NOT(COUNTIF('商品マスタ'!$B$6:$B$1005,$W9726)=0),COUNTIFS('①在庫を貼る'!$V$6:$V$10005,$V9726,'①在庫を貼る'!$W$6:$W$10005,$W9726)&gt;0),N(U9725),N(U9725)+1))</f>
        <v/>
      </c>
      <c r="V9726" s="19">
        <f>IF($B9726="","",TEXT($B9726,"0000"))</f>
        <v/>
      </c>
      <c r="W9726" s="19">
        <f>IF($I9726="","",IF(ISNUMBER($I9726),TEXT($I9726,"0"),$I9726))</f>
        <v/>
      </c>
    </row>
    <row r="9727">
      <c r="B9727" s="25" t="n"/>
      <c r="I9727" s="25" t="n"/>
      <c r="U9727" s="19">
        <f>IF($V9727&lt;&gt;'設定'!$C$4,N(U9726),IF(OR(NOT(COUNTIF('商品マスタ'!$B$6:$B$1005,$W9727)=0),COUNTIFS('①在庫を貼る'!$V$6:$V$10005,$V9727,'①在庫を貼る'!$W$6:$W$10005,$W9727)&gt;0),N(U9726),N(U9726)+1))</f>
        <v/>
      </c>
      <c r="V9727" s="19">
        <f>IF($B9727="","",TEXT($B9727,"0000"))</f>
        <v/>
      </c>
      <c r="W9727" s="19">
        <f>IF($I9727="","",IF(ISNUMBER($I9727),TEXT($I9727,"0"),$I9727))</f>
        <v/>
      </c>
    </row>
    <row r="9728">
      <c r="B9728" s="25" t="n"/>
      <c r="I9728" s="25" t="n"/>
      <c r="U9728" s="19">
        <f>IF($V9728&lt;&gt;'設定'!$C$4,N(U9727),IF(OR(NOT(COUNTIF('商品マスタ'!$B$6:$B$1005,$W9728)=0),COUNTIFS('①在庫を貼る'!$V$6:$V$10005,$V9728,'①在庫を貼る'!$W$6:$W$10005,$W9728)&gt;0),N(U9727),N(U9727)+1))</f>
        <v/>
      </c>
      <c r="V9728" s="19">
        <f>IF($B9728="","",TEXT($B9728,"0000"))</f>
        <v/>
      </c>
      <c r="W9728" s="19">
        <f>IF($I9728="","",IF(ISNUMBER($I9728),TEXT($I9728,"0"),$I9728))</f>
        <v/>
      </c>
    </row>
    <row r="9729">
      <c r="B9729" s="25" t="n"/>
      <c r="I9729" s="25" t="n"/>
      <c r="U9729" s="19">
        <f>IF($V9729&lt;&gt;'設定'!$C$4,N(U9728),IF(OR(NOT(COUNTIF('商品マスタ'!$B$6:$B$1005,$W9729)=0),COUNTIFS('①在庫を貼る'!$V$6:$V$10005,$V9729,'①在庫を貼る'!$W$6:$W$10005,$W9729)&gt;0),N(U9728),N(U9728)+1))</f>
        <v/>
      </c>
      <c r="V9729" s="19">
        <f>IF($B9729="","",TEXT($B9729,"0000"))</f>
        <v/>
      </c>
      <c r="W9729" s="19">
        <f>IF($I9729="","",IF(ISNUMBER($I9729),TEXT($I9729,"0"),$I9729))</f>
        <v/>
      </c>
    </row>
    <row r="9730">
      <c r="B9730" s="25" t="n"/>
      <c r="I9730" s="25" t="n"/>
      <c r="U9730" s="19">
        <f>IF($V9730&lt;&gt;'設定'!$C$4,N(U9729),IF(OR(NOT(COUNTIF('商品マスタ'!$B$6:$B$1005,$W9730)=0),COUNTIFS('①在庫を貼る'!$V$6:$V$10005,$V9730,'①在庫を貼る'!$W$6:$W$10005,$W9730)&gt;0),N(U9729),N(U9729)+1))</f>
        <v/>
      </c>
      <c r="V9730" s="19">
        <f>IF($B9730="","",TEXT($B9730,"0000"))</f>
        <v/>
      </c>
      <c r="W9730" s="19">
        <f>IF($I9730="","",IF(ISNUMBER($I9730),TEXT($I9730,"0"),$I9730))</f>
        <v/>
      </c>
    </row>
    <row r="9731">
      <c r="B9731" s="25" t="n"/>
      <c r="I9731" s="25" t="n"/>
      <c r="U9731" s="19">
        <f>IF($V9731&lt;&gt;'設定'!$C$4,N(U9730),IF(OR(NOT(COUNTIF('商品マスタ'!$B$6:$B$1005,$W9731)=0),COUNTIFS('①在庫を貼る'!$V$6:$V$10005,$V9731,'①在庫を貼る'!$W$6:$W$10005,$W9731)&gt;0),N(U9730),N(U9730)+1))</f>
        <v/>
      </c>
      <c r="V9731" s="19">
        <f>IF($B9731="","",TEXT($B9731,"0000"))</f>
        <v/>
      </c>
      <c r="W9731" s="19">
        <f>IF($I9731="","",IF(ISNUMBER($I9731),TEXT($I9731,"0"),$I9731))</f>
        <v/>
      </c>
    </row>
    <row r="9732">
      <c r="B9732" s="25" t="n"/>
      <c r="I9732" s="25" t="n"/>
      <c r="U9732" s="19">
        <f>IF($V9732&lt;&gt;'設定'!$C$4,N(U9731),IF(OR(NOT(COUNTIF('商品マスタ'!$B$6:$B$1005,$W9732)=0),COUNTIFS('①在庫を貼る'!$V$6:$V$10005,$V9732,'①在庫を貼る'!$W$6:$W$10005,$W9732)&gt;0),N(U9731),N(U9731)+1))</f>
        <v/>
      </c>
      <c r="V9732" s="19">
        <f>IF($B9732="","",TEXT($B9732,"0000"))</f>
        <v/>
      </c>
      <c r="W9732" s="19">
        <f>IF($I9732="","",IF(ISNUMBER($I9732),TEXT($I9732,"0"),$I9732))</f>
        <v/>
      </c>
    </row>
    <row r="9733">
      <c r="B9733" s="25" t="n"/>
      <c r="I9733" s="25" t="n"/>
      <c r="U9733" s="19">
        <f>IF($V9733&lt;&gt;'設定'!$C$4,N(U9732),IF(OR(NOT(COUNTIF('商品マスタ'!$B$6:$B$1005,$W9733)=0),COUNTIFS('①在庫を貼る'!$V$6:$V$10005,$V9733,'①在庫を貼る'!$W$6:$W$10005,$W9733)&gt;0),N(U9732),N(U9732)+1))</f>
        <v/>
      </c>
      <c r="V9733" s="19">
        <f>IF($B9733="","",TEXT($B9733,"0000"))</f>
        <v/>
      </c>
      <c r="W9733" s="19">
        <f>IF($I9733="","",IF(ISNUMBER($I9733),TEXT($I9733,"0"),$I9733))</f>
        <v/>
      </c>
    </row>
    <row r="9734">
      <c r="B9734" s="25" t="n"/>
      <c r="I9734" s="25" t="n"/>
      <c r="U9734" s="19">
        <f>IF($V9734&lt;&gt;'設定'!$C$4,N(U9733),IF(OR(NOT(COUNTIF('商品マスタ'!$B$6:$B$1005,$W9734)=0),COUNTIFS('①在庫を貼る'!$V$6:$V$10005,$V9734,'①在庫を貼る'!$W$6:$W$10005,$W9734)&gt;0),N(U9733),N(U9733)+1))</f>
        <v/>
      </c>
      <c r="V9734" s="19">
        <f>IF($B9734="","",TEXT($B9734,"0000"))</f>
        <v/>
      </c>
      <c r="W9734" s="19">
        <f>IF($I9734="","",IF(ISNUMBER($I9734),TEXT($I9734,"0"),$I9734))</f>
        <v/>
      </c>
    </row>
    <row r="9735">
      <c r="B9735" s="25" t="n"/>
      <c r="I9735" s="25" t="n"/>
      <c r="U9735" s="19">
        <f>IF($V9735&lt;&gt;'設定'!$C$4,N(U9734),IF(OR(NOT(COUNTIF('商品マスタ'!$B$6:$B$1005,$W9735)=0),COUNTIFS('①在庫を貼る'!$V$6:$V$10005,$V9735,'①在庫を貼る'!$W$6:$W$10005,$W9735)&gt;0),N(U9734),N(U9734)+1))</f>
        <v/>
      </c>
      <c r="V9735" s="19">
        <f>IF($B9735="","",TEXT($B9735,"0000"))</f>
        <v/>
      </c>
      <c r="W9735" s="19">
        <f>IF($I9735="","",IF(ISNUMBER($I9735),TEXT($I9735,"0"),$I9735))</f>
        <v/>
      </c>
    </row>
    <row r="9736">
      <c r="B9736" s="25" t="n"/>
      <c r="I9736" s="25" t="n"/>
      <c r="U9736" s="19">
        <f>IF($V9736&lt;&gt;'設定'!$C$4,N(U9735),IF(OR(NOT(COUNTIF('商品マスタ'!$B$6:$B$1005,$W9736)=0),COUNTIFS('①在庫を貼る'!$V$6:$V$10005,$V9736,'①在庫を貼る'!$W$6:$W$10005,$W9736)&gt;0),N(U9735),N(U9735)+1))</f>
        <v/>
      </c>
      <c r="V9736" s="19">
        <f>IF($B9736="","",TEXT($B9736,"0000"))</f>
        <v/>
      </c>
      <c r="W9736" s="19">
        <f>IF($I9736="","",IF(ISNUMBER($I9736),TEXT($I9736,"0"),$I9736))</f>
        <v/>
      </c>
    </row>
    <row r="9737">
      <c r="B9737" s="25" t="n"/>
      <c r="I9737" s="25" t="n"/>
      <c r="U9737" s="19">
        <f>IF($V9737&lt;&gt;'設定'!$C$4,N(U9736),IF(OR(NOT(COUNTIF('商品マスタ'!$B$6:$B$1005,$W9737)=0),COUNTIFS('①在庫を貼る'!$V$6:$V$10005,$V9737,'①在庫を貼る'!$W$6:$W$10005,$W9737)&gt;0),N(U9736),N(U9736)+1))</f>
        <v/>
      </c>
      <c r="V9737" s="19">
        <f>IF($B9737="","",TEXT($B9737,"0000"))</f>
        <v/>
      </c>
      <c r="W9737" s="19">
        <f>IF($I9737="","",IF(ISNUMBER($I9737),TEXT($I9737,"0"),$I9737))</f>
        <v/>
      </c>
    </row>
    <row r="9738">
      <c r="B9738" s="25" t="n"/>
      <c r="I9738" s="25" t="n"/>
      <c r="U9738" s="19">
        <f>IF($V9738&lt;&gt;'設定'!$C$4,N(U9737),IF(OR(NOT(COUNTIF('商品マスタ'!$B$6:$B$1005,$W9738)=0),COUNTIFS('①在庫を貼る'!$V$6:$V$10005,$V9738,'①在庫を貼る'!$W$6:$W$10005,$W9738)&gt;0),N(U9737),N(U9737)+1))</f>
        <v/>
      </c>
      <c r="V9738" s="19">
        <f>IF($B9738="","",TEXT($B9738,"0000"))</f>
        <v/>
      </c>
      <c r="W9738" s="19">
        <f>IF($I9738="","",IF(ISNUMBER($I9738),TEXT($I9738,"0"),$I9738))</f>
        <v/>
      </c>
    </row>
    <row r="9739">
      <c r="B9739" s="25" t="n"/>
      <c r="I9739" s="25" t="n"/>
      <c r="U9739" s="19">
        <f>IF($V9739&lt;&gt;'設定'!$C$4,N(U9738),IF(OR(NOT(COUNTIF('商品マスタ'!$B$6:$B$1005,$W9739)=0),COUNTIFS('①在庫を貼る'!$V$6:$V$10005,$V9739,'①在庫を貼る'!$W$6:$W$10005,$W9739)&gt;0),N(U9738),N(U9738)+1))</f>
        <v/>
      </c>
      <c r="V9739" s="19">
        <f>IF($B9739="","",TEXT($B9739,"0000"))</f>
        <v/>
      </c>
      <c r="W9739" s="19">
        <f>IF($I9739="","",IF(ISNUMBER($I9739),TEXT($I9739,"0"),$I9739))</f>
        <v/>
      </c>
    </row>
    <row r="9740">
      <c r="B9740" s="25" t="n"/>
      <c r="I9740" s="25" t="n"/>
      <c r="U9740" s="19">
        <f>IF($V9740&lt;&gt;'設定'!$C$4,N(U9739),IF(OR(NOT(COUNTIF('商品マスタ'!$B$6:$B$1005,$W9740)=0),COUNTIFS('①在庫を貼る'!$V$6:$V$10005,$V9740,'①在庫を貼る'!$W$6:$W$10005,$W9740)&gt;0),N(U9739),N(U9739)+1))</f>
        <v/>
      </c>
      <c r="V9740" s="19">
        <f>IF($B9740="","",TEXT($B9740,"0000"))</f>
        <v/>
      </c>
      <c r="W9740" s="19">
        <f>IF($I9740="","",IF(ISNUMBER($I9740),TEXT($I9740,"0"),$I9740))</f>
        <v/>
      </c>
    </row>
    <row r="9741">
      <c r="B9741" s="25" t="n"/>
      <c r="I9741" s="25" t="n"/>
      <c r="U9741" s="19">
        <f>IF($V9741&lt;&gt;'設定'!$C$4,N(U9740),IF(OR(NOT(COUNTIF('商品マスタ'!$B$6:$B$1005,$W9741)=0),COUNTIFS('①在庫を貼る'!$V$6:$V$10005,$V9741,'①在庫を貼る'!$W$6:$W$10005,$W9741)&gt;0),N(U9740),N(U9740)+1))</f>
        <v/>
      </c>
      <c r="V9741" s="19">
        <f>IF($B9741="","",TEXT($B9741,"0000"))</f>
        <v/>
      </c>
      <c r="W9741" s="19">
        <f>IF($I9741="","",IF(ISNUMBER($I9741),TEXT($I9741,"0"),$I9741))</f>
        <v/>
      </c>
    </row>
    <row r="9742">
      <c r="B9742" s="25" t="n"/>
      <c r="I9742" s="25" t="n"/>
      <c r="U9742" s="19">
        <f>IF($V9742&lt;&gt;'設定'!$C$4,N(U9741),IF(OR(NOT(COUNTIF('商品マスタ'!$B$6:$B$1005,$W9742)=0),COUNTIFS('①在庫を貼る'!$V$6:$V$10005,$V9742,'①在庫を貼る'!$W$6:$W$10005,$W9742)&gt;0),N(U9741),N(U9741)+1))</f>
        <v/>
      </c>
      <c r="V9742" s="19">
        <f>IF($B9742="","",TEXT($B9742,"0000"))</f>
        <v/>
      </c>
      <c r="W9742" s="19">
        <f>IF($I9742="","",IF(ISNUMBER($I9742),TEXT($I9742,"0"),$I9742))</f>
        <v/>
      </c>
    </row>
    <row r="9743">
      <c r="B9743" s="25" t="n"/>
      <c r="I9743" s="25" t="n"/>
      <c r="U9743" s="19">
        <f>IF($V9743&lt;&gt;'設定'!$C$4,N(U9742),IF(OR(NOT(COUNTIF('商品マスタ'!$B$6:$B$1005,$W9743)=0),COUNTIFS('①在庫を貼る'!$V$6:$V$10005,$V9743,'①在庫を貼る'!$W$6:$W$10005,$W9743)&gt;0),N(U9742),N(U9742)+1))</f>
        <v/>
      </c>
      <c r="V9743" s="19">
        <f>IF($B9743="","",TEXT($B9743,"0000"))</f>
        <v/>
      </c>
      <c r="W9743" s="19">
        <f>IF($I9743="","",IF(ISNUMBER($I9743),TEXT($I9743,"0"),$I9743))</f>
        <v/>
      </c>
    </row>
    <row r="9744">
      <c r="B9744" s="25" t="n"/>
      <c r="I9744" s="25" t="n"/>
      <c r="U9744" s="19">
        <f>IF($V9744&lt;&gt;'設定'!$C$4,N(U9743),IF(OR(NOT(COUNTIF('商品マスタ'!$B$6:$B$1005,$W9744)=0),COUNTIFS('①在庫を貼る'!$V$6:$V$10005,$V9744,'①在庫を貼る'!$W$6:$W$10005,$W9744)&gt;0),N(U9743),N(U9743)+1))</f>
        <v/>
      </c>
      <c r="V9744" s="19">
        <f>IF($B9744="","",TEXT($B9744,"0000"))</f>
        <v/>
      </c>
      <c r="W9744" s="19">
        <f>IF($I9744="","",IF(ISNUMBER($I9744),TEXT($I9744,"0"),$I9744))</f>
        <v/>
      </c>
    </row>
    <row r="9745">
      <c r="B9745" s="25" t="n"/>
      <c r="I9745" s="25" t="n"/>
      <c r="U9745" s="19">
        <f>IF($V9745&lt;&gt;'設定'!$C$4,N(U9744),IF(OR(NOT(COUNTIF('商品マスタ'!$B$6:$B$1005,$W9745)=0),COUNTIFS('①在庫を貼る'!$V$6:$V$10005,$V9745,'①在庫を貼る'!$W$6:$W$10005,$W9745)&gt;0),N(U9744),N(U9744)+1))</f>
        <v/>
      </c>
      <c r="V9745" s="19">
        <f>IF($B9745="","",TEXT($B9745,"0000"))</f>
        <v/>
      </c>
      <c r="W9745" s="19">
        <f>IF($I9745="","",IF(ISNUMBER($I9745),TEXT($I9745,"0"),$I9745))</f>
        <v/>
      </c>
    </row>
    <row r="9746">
      <c r="B9746" s="25" t="n"/>
      <c r="I9746" s="25" t="n"/>
      <c r="U9746" s="19">
        <f>IF($V9746&lt;&gt;'設定'!$C$4,N(U9745),IF(OR(NOT(COUNTIF('商品マスタ'!$B$6:$B$1005,$W9746)=0),COUNTIFS('①在庫を貼る'!$V$6:$V$10005,$V9746,'①在庫を貼る'!$W$6:$W$10005,$W9746)&gt;0),N(U9745),N(U9745)+1))</f>
        <v/>
      </c>
      <c r="V9746" s="19">
        <f>IF($B9746="","",TEXT($B9746,"0000"))</f>
        <v/>
      </c>
      <c r="W9746" s="19">
        <f>IF($I9746="","",IF(ISNUMBER($I9746),TEXT($I9746,"0"),$I9746))</f>
        <v/>
      </c>
    </row>
    <row r="9747">
      <c r="B9747" s="25" t="n"/>
      <c r="I9747" s="25" t="n"/>
      <c r="U9747" s="19">
        <f>IF($V9747&lt;&gt;'設定'!$C$4,N(U9746),IF(OR(NOT(COUNTIF('商品マスタ'!$B$6:$B$1005,$W9747)=0),COUNTIFS('①在庫を貼る'!$V$6:$V$10005,$V9747,'①在庫を貼る'!$W$6:$W$10005,$W9747)&gt;0),N(U9746),N(U9746)+1))</f>
        <v/>
      </c>
      <c r="V9747" s="19">
        <f>IF($B9747="","",TEXT($B9747,"0000"))</f>
        <v/>
      </c>
      <c r="W9747" s="19">
        <f>IF($I9747="","",IF(ISNUMBER($I9747),TEXT($I9747,"0"),$I9747))</f>
        <v/>
      </c>
    </row>
    <row r="9748">
      <c r="B9748" s="25" t="n"/>
      <c r="I9748" s="25" t="n"/>
      <c r="U9748" s="19">
        <f>IF($V9748&lt;&gt;'設定'!$C$4,N(U9747),IF(OR(NOT(COUNTIF('商品マスタ'!$B$6:$B$1005,$W9748)=0),COUNTIFS('①在庫を貼る'!$V$6:$V$10005,$V9748,'①在庫を貼る'!$W$6:$W$10005,$W9748)&gt;0),N(U9747),N(U9747)+1))</f>
        <v/>
      </c>
      <c r="V9748" s="19">
        <f>IF($B9748="","",TEXT($B9748,"0000"))</f>
        <v/>
      </c>
      <c r="W9748" s="19">
        <f>IF($I9748="","",IF(ISNUMBER($I9748),TEXT($I9748,"0"),$I9748))</f>
        <v/>
      </c>
    </row>
    <row r="9749">
      <c r="B9749" s="25" t="n"/>
      <c r="I9749" s="25" t="n"/>
      <c r="U9749" s="19">
        <f>IF($V9749&lt;&gt;'設定'!$C$4,N(U9748),IF(OR(NOT(COUNTIF('商品マスタ'!$B$6:$B$1005,$W9749)=0),COUNTIFS('①在庫を貼る'!$V$6:$V$10005,$V9749,'①在庫を貼る'!$W$6:$W$10005,$W9749)&gt;0),N(U9748),N(U9748)+1))</f>
        <v/>
      </c>
      <c r="V9749" s="19">
        <f>IF($B9749="","",TEXT($B9749,"0000"))</f>
        <v/>
      </c>
      <c r="W9749" s="19">
        <f>IF($I9749="","",IF(ISNUMBER($I9749),TEXT($I9749,"0"),$I9749))</f>
        <v/>
      </c>
    </row>
    <row r="9750">
      <c r="B9750" s="25" t="n"/>
      <c r="I9750" s="25" t="n"/>
      <c r="U9750" s="19">
        <f>IF($V9750&lt;&gt;'設定'!$C$4,N(U9749),IF(OR(NOT(COUNTIF('商品マスタ'!$B$6:$B$1005,$W9750)=0),COUNTIFS('①在庫を貼る'!$V$6:$V$10005,$V9750,'①在庫を貼る'!$W$6:$W$10005,$W9750)&gt;0),N(U9749),N(U9749)+1))</f>
        <v/>
      </c>
      <c r="V9750" s="19">
        <f>IF($B9750="","",TEXT($B9750,"0000"))</f>
        <v/>
      </c>
      <c r="W9750" s="19">
        <f>IF($I9750="","",IF(ISNUMBER($I9750),TEXT($I9750,"0"),$I9750))</f>
        <v/>
      </c>
    </row>
    <row r="9751">
      <c r="B9751" s="25" t="n"/>
      <c r="I9751" s="25" t="n"/>
      <c r="U9751" s="19">
        <f>IF($V9751&lt;&gt;'設定'!$C$4,N(U9750),IF(OR(NOT(COUNTIF('商品マスタ'!$B$6:$B$1005,$W9751)=0),COUNTIFS('①在庫を貼る'!$V$6:$V$10005,$V9751,'①在庫を貼る'!$W$6:$W$10005,$W9751)&gt;0),N(U9750),N(U9750)+1))</f>
        <v/>
      </c>
      <c r="V9751" s="19">
        <f>IF($B9751="","",TEXT($B9751,"0000"))</f>
        <v/>
      </c>
      <c r="W9751" s="19">
        <f>IF($I9751="","",IF(ISNUMBER($I9751),TEXT($I9751,"0"),$I9751))</f>
        <v/>
      </c>
    </row>
    <row r="9752">
      <c r="B9752" s="25" t="n"/>
      <c r="I9752" s="25" t="n"/>
      <c r="U9752" s="19">
        <f>IF($V9752&lt;&gt;'設定'!$C$4,N(U9751),IF(OR(NOT(COUNTIF('商品マスタ'!$B$6:$B$1005,$W9752)=0),COUNTIFS('①在庫を貼る'!$V$6:$V$10005,$V9752,'①在庫を貼る'!$W$6:$W$10005,$W9752)&gt;0),N(U9751),N(U9751)+1))</f>
        <v/>
      </c>
      <c r="V9752" s="19">
        <f>IF($B9752="","",TEXT($B9752,"0000"))</f>
        <v/>
      </c>
      <c r="W9752" s="19">
        <f>IF($I9752="","",IF(ISNUMBER($I9752),TEXT($I9752,"0"),$I9752))</f>
        <v/>
      </c>
    </row>
    <row r="9753">
      <c r="B9753" s="25" t="n"/>
      <c r="I9753" s="25" t="n"/>
      <c r="U9753" s="19">
        <f>IF($V9753&lt;&gt;'設定'!$C$4,N(U9752),IF(OR(NOT(COUNTIF('商品マスタ'!$B$6:$B$1005,$W9753)=0),COUNTIFS('①在庫を貼る'!$V$6:$V$10005,$V9753,'①在庫を貼る'!$W$6:$W$10005,$W9753)&gt;0),N(U9752),N(U9752)+1))</f>
        <v/>
      </c>
      <c r="V9753" s="19">
        <f>IF($B9753="","",TEXT($B9753,"0000"))</f>
        <v/>
      </c>
      <c r="W9753" s="19">
        <f>IF($I9753="","",IF(ISNUMBER($I9753),TEXT($I9753,"0"),$I9753))</f>
        <v/>
      </c>
    </row>
    <row r="9754">
      <c r="B9754" s="25" t="n"/>
      <c r="I9754" s="25" t="n"/>
      <c r="U9754" s="19">
        <f>IF($V9754&lt;&gt;'設定'!$C$4,N(U9753),IF(OR(NOT(COUNTIF('商品マスタ'!$B$6:$B$1005,$W9754)=0),COUNTIFS('①在庫を貼る'!$V$6:$V$10005,$V9754,'①在庫を貼る'!$W$6:$W$10005,$W9754)&gt;0),N(U9753),N(U9753)+1))</f>
        <v/>
      </c>
      <c r="V9754" s="19">
        <f>IF($B9754="","",TEXT($B9754,"0000"))</f>
        <v/>
      </c>
      <c r="W9754" s="19">
        <f>IF($I9754="","",IF(ISNUMBER($I9754),TEXT($I9754,"0"),$I9754))</f>
        <v/>
      </c>
    </row>
    <row r="9755">
      <c r="B9755" s="25" t="n"/>
      <c r="I9755" s="25" t="n"/>
      <c r="U9755" s="19">
        <f>IF($V9755&lt;&gt;'設定'!$C$4,N(U9754),IF(OR(NOT(COUNTIF('商品マスタ'!$B$6:$B$1005,$W9755)=0),COUNTIFS('①在庫を貼る'!$V$6:$V$10005,$V9755,'①在庫を貼る'!$W$6:$W$10005,$W9755)&gt;0),N(U9754),N(U9754)+1))</f>
        <v/>
      </c>
      <c r="V9755" s="19">
        <f>IF($B9755="","",TEXT($B9755,"0000"))</f>
        <v/>
      </c>
      <c r="W9755" s="19">
        <f>IF($I9755="","",IF(ISNUMBER($I9755),TEXT($I9755,"0"),$I9755))</f>
        <v/>
      </c>
    </row>
    <row r="9756">
      <c r="B9756" s="25" t="n"/>
      <c r="I9756" s="25" t="n"/>
      <c r="U9756" s="19">
        <f>IF($V9756&lt;&gt;'設定'!$C$4,N(U9755),IF(OR(NOT(COUNTIF('商品マスタ'!$B$6:$B$1005,$W9756)=0),COUNTIFS('①在庫を貼る'!$V$6:$V$10005,$V9756,'①在庫を貼る'!$W$6:$W$10005,$W9756)&gt;0),N(U9755),N(U9755)+1))</f>
        <v/>
      </c>
      <c r="V9756" s="19">
        <f>IF($B9756="","",TEXT($B9756,"0000"))</f>
        <v/>
      </c>
      <c r="W9756" s="19">
        <f>IF($I9756="","",IF(ISNUMBER($I9756),TEXT($I9756,"0"),$I9756))</f>
        <v/>
      </c>
    </row>
    <row r="9757">
      <c r="B9757" s="25" t="n"/>
      <c r="I9757" s="25" t="n"/>
      <c r="U9757" s="19">
        <f>IF($V9757&lt;&gt;'設定'!$C$4,N(U9756),IF(OR(NOT(COUNTIF('商品マスタ'!$B$6:$B$1005,$W9757)=0),COUNTIFS('①在庫を貼る'!$V$6:$V$10005,$V9757,'①在庫を貼る'!$W$6:$W$10005,$W9757)&gt;0),N(U9756),N(U9756)+1))</f>
        <v/>
      </c>
      <c r="V9757" s="19">
        <f>IF($B9757="","",TEXT($B9757,"0000"))</f>
        <v/>
      </c>
      <c r="W9757" s="19">
        <f>IF($I9757="","",IF(ISNUMBER($I9757),TEXT($I9757,"0"),$I9757))</f>
        <v/>
      </c>
    </row>
    <row r="9758">
      <c r="B9758" s="25" t="n"/>
      <c r="I9758" s="25" t="n"/>
      <c r="U9758" s="19">
        <f>IF($V9758&lt;&gt;'設定'!$C$4,N(U9757),IF(OR(NOT(COUNTIF('商品マスタ'!$B$6:$B$1005,$W9758)=0),COUNTIFS('①在庫を貼る'!$V$6:$V$10005,$V9758,'①在庫を貼る'!$W$6:$W$10005,$W9758)&gt;0),N(U9757),N(U9757)+1))</f>
        <v/>
      </c>
      <c r="V9758" s="19">
        <f>IF($B9758="","",TEXT($B9758,"0000"))</f>
        <v/>
      </c>
      <c r="W9758" s="19">
        <f>IF($I9758="","",IF(ISNUMBER($I9758),TEXT($I9758,"0"),$I9758))</f>
        <v/>
      </c>
    </row>
    <row r="9759">
      <c r="B9759" s="25" t="n"/>
      <c r="I9759" s="25" t="n"/>
      <c r="U9759" s="19">
        <f>IF($V9759&lt;&gt;'設定'!$C$4,N(U9758),IF(OR(NOT(COUNTIF('商品マスタ'!$B$6:$B$1005,$W9759)=0),COUNTIFS('①在庫を貼る'!$V$6:$V$10005,$V9759,'①在庫を貼る'!$W$6:$W$10005,$W9759)&gt;0),N(U9758),N(U9758)+1))</f>
        <v/>
      </c>
      <c r="V9759" s="19">
        <f>IF($B9759="","",TEXT($B9759,"0000"))</f>
        <v/>
      </c>
      <c r="W9759" s="19">
        <f>IF($I9759="","",IF(ISNUMBER($I9759),TEXT($I9759,"0"),$I9759))</f>
        <v/>
      </c>
    </row>
    <row r="9760">
      <c r="B9760" s="25" t="n"/>
      <c r="I9760" s="25" t="n"/>
      <c r="U9760" s="19">
        <f>IF($V9760&lt;&gt;'設定'!$C$4,N(U9759),IF(OR(NOT(COUNTIF('商品マスタ'!$B$6:$B$1005,$W9760)=0),COUNTIFS('①在庫を貼る'!$V$6:$V$10005,$V9760,'①在庫を貼る'!$W$6:$W$10005,$W9760)&gt;0),N(U9759),N(U9759)+1))</f>
        <v/>
      </c>
      <c r="V9760" s="19">
        <f>IF($B9760="","",TEXT($B9760,"0000"))</f>
        <v/>
      </c>
      <c r="W9760" s="19">
        <f>IF($I9760="","",IF(ISNUMBER($I9760),TEXT($I9760,"0"),$I9760))</f>
        <v/>
      </c>
    </row>
    <row r="9761">
      <c r="B9761" s="25" t="n"/>
      <c r="I9761" s="25" t="n"/>
      <c r="U9761" s="19">
        <f>IF($V9761&lt;&gt;'設定'!$C$4,N(U9760),IF(OR(NOT(COUNTIF('商品マスタ'!$B$6:$B$1005,$W9761)=0),COUNTIFS('①在庫を貼る'!$V$6:$V$10005,$V9761,'①在庫を貼る'!$W$6:$W$10005,$W9761)&gt;0),N(U9760),N(U9760)+1))</f>
        <v/>
      </c>
      <c r="V9761" s="19">
        <f>IF($B9761="","",TEXT($B9761,"0000"))</f>
        <v/>
      </c>
      <c r="W9761" s="19">
        <f>IF($I9761="","",IF(ISNUMBER($I9761),TEXT($I9761,"0"),$I9761))</f>
        <v/>
      </c>
    </row>
    <row r="9762">
      <c r="B9762" s="25" t="n"/>
      <c r="I9762" s="25" t="n"/>
      <c r="U9762" s="19">
        <f>IF($V9762&lt;&gt;'設定'!$C$4,N(U9761),IF(OR(NOT(COUNTIF('商品マスタ'!$B$6:$B$1005,$W9762)=0),COUNTIFS('①在庫を貼る'!$V$6:$V$10005,$V9762,'①在庫を貼る'!$W$6:$W$10005,$W9762)&gt;0),N(U9761),N(U9761)+1))</f>
        <v/>
      </c>
      <c r="V9762" s="19">
        <f>IF($B9762="","",TEXT($B9762,"0000"))</f>
        <v/>
      </c>
      <c r="W9762" s="19">
        <f>IF($I9762="","",IF(ISNUMBER($I9762),TEXT($I9762,"0"),$I9762))</f>
        <v/>
      </c>
    </row>
    <row r="9763">
      <c r="B9763" s="25" t="n"/>
      <c r="I9763" s="25" t="n"/>
      <c r="U9763" s="19">
        <f>IF($V9763&lt;&gt;'設定'!$C$4,N(U9762),IF(OR(NOT(COUNTIF('商品マスタ'!$B$6:$B$1005,$W9763)=0),COUNTIFS('①在庫を貼る'!$V$6:$V$10005,$V9763,'①在庫を貼る'!$W$6:$W$10005,$W9763)&gt;0),N(U9762),N(U9762)+1))</f>
        <v/>
      </c>
      <c r="V9763" s="19">
        <f>IF($B9763="","",TEXT($B9763,"0000"))</f>
        <v/>
      </c>
      <c r="W9763" s="19">
        <f>IF($I9763="","",IF(ISNUMBER($I9763),TEXT($I9763,"0"),$I9763))</f>
        <v/>
      </c>
    </row>
    <row r="9764">
      <c r="B9764" s="25" t="n"/>
      <c r="I9764" s="25" t="n"/>
      <c r="U9764" s="19">
        <f>IF($V9764&lt;&gt;'設定'!$C$4,N(U9763),IF(OR(NOT(COUNTIF('商品マスタ'!$B$6:$B$1005,$W9764)=0),COUNTIFS('①在庫を貼る'!$V$6:$V$10005,$V9764,'①在庫を貼る'!$W$6:$W$10005,$W9764)&gt;0),N(U9763),N(U9763)+1))</f>
        <v/>
      </c>
      <c r="V9764" s="19">
        <f>IF($B9764="","",TEXT($B9764,"0000"))</f>
        <v/>
      </c>
      <c r="W9764" s="19">
        <f>IF($I9764="","",IF(ISNUMBER($I9764),TEXT($I9764,"0"),$I9764))</f>
        <v/>
      </c>
    </row>
    <row r="9765">
      <c r="B9765" s="25" t="n"/>
      <c r="I9765" s="25" t="n"/>
      <c r="U9765" s="19">
        <f>IF($V9765&lt;&gt;'設定'!$C$4,N(U9764),IF(OR(NOT(COUNTIF('商品マスタ'!$B$6:$B$1005,$W9765)=0),COUNTIFS('①在庫を貼る'!$V$6:$V$10005,$V9765,'①在庫を貼る'!$W$6:$W$10005,$W9765)&gt;0),N(U9764),N(U9764)+1))</f>
        <v/>
      </c>
      <c r="V9765" s="19">
        <f>IF($B9765="","",TEXT($B9765,"0000"))</f>
        <v/>
      </c>
      <c r="W9765" s="19">
        <f>IF($I9765="","",IF(ISNUMBER($I9765),TEXT($I9765,"0"),$I9765))</f>
        <v/>
      </c>
    </row>
    <row r="9766">
      <c r="B9766" s="25" t="n"/>
      <c r="I9766" s="25" t="n"/>
      <c r="U9766" s="19">
        <f>IF($V9766&lt;&gt;'設定'!$C$4,N(U9765),IF(OR(NOT(COUNTIF('商品マスタ'!$B$6:$B$1005,$W9766)=0),COUNTIFS('①在庫を貼る'!$V$6:$V$10005,$V9766,'①在庫を貼る'!$W$6:$W$10005,$W9766)&gt;0),N(U9765),N(U9765)+1))</f>
        <v/>
      </c>
      <c r="V9766" s="19">
        <f>IF($B9766="","",TEXT($B9766,"0000"))</f>
        <v/>
      </c>
      <c r="W9766" s="19">
        <f>IF($I9766="","",IF(ISNUMBER($I9766),TEXT($I9766,"0"),$I9766))</f>
        <v/>
      </c>
    </row>
    <row r="9767">
      <c r="B9767" s="25" t="n"/>
      <c r="I9767" s="25" t="n"/>
      <c r="U9767" s="19">
        <f>IF($V9767&lt;&gt;'設定'!$C$4,N(U9766),IF(OR(NOT(COUNTIF('商品マスタ'!$B$6:$B$1005,$W9767)=0),COUNTIFS('①在庫を貼る'!$V$6:$V$10005,$V9767,'①在庫を貼る'!$W$6:$W$10005,$W9767)&gt;0),N(U9766),N(U9766)+1))</f>
        <v/>
      </c>
      <c r="V9767" s="19">
        <f>IF($B9767="","",TEXT($B9767,"0000"))</f>
        <v/>
      </c>
      <c r="W9767" s="19">
        <f>IF($I9767="","",IF(ISNUMBER($I9767),TEXT($I9767,"0"),$I9767))</f>
        <v/>
      </c>
    </row>
    <row r="9768">
      <c r="B9768" s="25" t="n"/>
      <c r="I9768" s="25" t="n"/>
      <c r="U9768" s="19">
        <f>IF($V9768&lt;&gt;'設定'!$C$4,N(U9767),IF(OR(NOT(COUNTIF('商品マスタ'!$B$6:$B$1005,$W9768)=0),COUNTIFS('①在庫を貼る'!$V$6:$V$10005,$V9768,'①在庫を貼る'!$W$6:$W$10005,$W9768)&gt;0),N(U9767),N(U9767)+1))</f>
        <v/>
      </c>
      <c r="V9768" s="19">
        <f>IF($B9768="","",TEXT($B9768,"0000"))</f>
        <v/>
      </c>
      <c r="W9768" s="19">
        <f>IF($I9768="","",IF(ISNUMBER($I9768),TEXT($I9768,"0"),$I9768))</f>
        <v/>
      </c>
    </row>
    <row r="9769">
      <c r="B9769" s="25" t="n"/>
      <c r="I9769" s="25" t="n"/>
      <c r="U9769" s="19">
        <f>IF($V9769&lt;&gt;'設定'!$C$4,N(U9768),IF(OR(NOT(COUNTIF('商品マスタ'!$B$6:$B$1005,$W9769)=0),COUNTIFS('①在庫を貼る'!$V$6:$V$10005,$V9769,'①在庫を貼る'!$W$6:$W$10005,$W9769)&gt;0),N(U9768),N(U9768)+1))</f>
        <v/>
      </c>
      <c r="V9769" s="19">
        <f>IF($B9769="","",TEXT($B9769,"0000"))</f>
        <v/>
      </c>
      <c r="W9769" s="19">
        <f>IF($I9769="","",IF(ISNUMBER($I9769),TEXT($I9769,"0"),$I9769))</f>
        <v/>
      </c>
    </row>
    <row r="9770">
      <c r="B9770" s="25" t="n"/>
      <c r="I9770" s="25" t="n"/>
      <c r="U9770" s="19">
        <f>IF($V9770&lt;&gt;'設定'!$C$4,N(U9769),IF(OR(NOT(COUNTIF('商品マスタ'!$B$6:$B$1005,$W9770)=0),COUNTIFS('①在庫を貼る'!$V$6:$V$10005,$V9770,'①在庫を貼る'!$W$6:$W$10005,$W9770)&gt;0),N(U9769),N(U9769)+1))</f>
        <v/>
      </c>
      <c r="V9770" s="19">
        <f>IF($B9770="","",TEXT($B9770,"0000"))</f>
        <v/>
      </c>
      <c r="W9770" s="19">
        <f>IF($I9770="","",IF(ISNUMBER($I9770),TEXT($I9770,"0"),$I9770))</f>
        <v/>
      </c>
    </row>
    <row r="9771">
      <c r="B9771" s="25" t="n"/>
      <c r="I9771" s="25" t="n"/>
      <c r="U9771" s="19">
        <f>IF($V9771&lt;&gt;'設定'!$C$4,N(U9770),IF(OR(NOT(COUNTIF('商品マスタ'!$B$6:$B$1005,$W9771)=0),COUNTIFS('①在庫を貼る'!$V$6:$V$10005,$V9771,'①在庫を貼る'!$W$6:$W$10005,$W9771)&gt;0),N(U9770),N(U9770)+1))</f>
        <v/>
      </c>
      <c r="V9771" s="19">
        <f>IF($B9771="","",TEXT($B9771,"0000"))</f>
        <v/>
      </c>
      <c r="W9771" s="19">
        <f>IF($I9771="","",IF(ISNUMBER($I9771),TEXT($I9771,"0"),$I9771))</f>
        <v/>
      </c>
    </row>
    <row r="9772">
      <c r="B9772" s="25" t="n"/>
      <c r="I9772" s="25" t="n"/>
      <c r="U9772" s="19">
        <f>IF($V9772&lt;&gt;'設定'!$C$4,N(U9771),IF(OR(NOT(COUNTIF('商品マスタ'!$B$6:$B$1005,$W9772)=0),COUNTIFS('①在庫を貼る'!$V$6:$V$10005,$V9772,'①在庫を貼る'!$W$6:$W$10005,$W9772)&gt;0),N(U9771),N(U9771)+1))</f>
        <v/>
      </c>
      <c r="V9772" s="19">
        <f>IF($B9772="","",TEXT($B9772,"0000"))</f>
        <v/>
      </c>
      <c r="W9772" s="19">
        <f>IF($I9772="","",IF(ISNUMBER($I9772),TEXT($I9772,"0"),$I9772))</f>
        <v/>
      </c>
    </row>
    <row r="9773">
      <c r="B9773" s="25" t="n"/>
      <c r="I9773" s="25" t="n"/>
      <c r="U9773" s="19">
        <f>IF($V9773&lt;&gt;'設定'!$C$4,N(U9772),IF(OR(NOT(COUNTIF('商品マスタ'!$B$6:$B$1005,$W9773)=0),COUNTIFS('①在庫を貼る'!$V$6:$V$10005,$V9773,'①在庫を貼る'!$W$6:$W$10005,$W9773)&gt;0),N(U9772),N(U9772)+1))</f>
        <v/>
      </c>
      <c r="V9773" s="19">
        <f>IF($B9773="","",TEXT($B9773,"0000"))</f>
        <v/>
      </c>
      <c r="W9773" s="19">
        <f>IF($I9773="","",IF(ISNUMBER($I9773),TEXT($I9773,"0"),$I9773))</f>
        <v/>
      </c>
    </row>
    <row r="9774">
      <c r="B9774" s="25" t="n"/>
      <c r="I9774" s="25" t="n"/>
      <c r="U9774" s="19">
        <f>IF($V9774&lt;&gt;'設定'!$C$4,N(U9773),IF(OR(NOT(COUNTIF('商品マスタ'!$B$6:$B$1005,$W9774)=0),COUNTIFS('①在庫を貼る'!$V$6:$V$10005,$V9774,'①在庫を貼る'!$W$6:$W$10005,$W9774)&gt;0),N(U9773),N(U9773)+1))</f>
        <v/>
      </c>
      <c r="V9774" s="19">
        <f>IF($B9774="","",TEXT($B9774,"0000"))</f>
        <v/>
      </c>
      <c r="W9774" s="19">
        <f>IF($I9774="","",IF(ISNUMBER($I9774),TEXT($I9774,"0"),$I9774))</f>
        <v/>
      </c>
    </row>
    <row r="9775">
      <c r="B9775" s="25" t="n"/>
      <c r="I9775" s="25" t="n"/>
      <c r="U9775" s="19">
        <f>IF($V9775&lt;&gt;'設定'!$C$4,N(U9774),IF(OR(NOT(COUNTIF('商品マスタ'!$B$6:$B$1005,$W9775)=0),COUNTIFS('①在庫を貼る'!$V$6:$V$10005,$V9775,'①在庫を貼る'!$W$6:$W$10005,$W9775)&gt;0),N(U9774),N(U9774)+1))</f>
        <v/>
      </c>
      <c r="V9775" s="19">
        <f>IF($B9775="","",TEXT($B9775,"0000"))</f>
        <v/>
      </c>
      <c r="W9775" s="19">
        <f>IF($I9775="","",IF(ISNUMBER($I9775),TEXT($I9775,"0"),$I9775))</f>
        <v/>
      </c>
    </row>
    <row r="9776">
      <c r="B9776" s="25" t="n"/>
      <c r="I9776" s="25" t="n"/>
      <c r="U9776" s="19">
        <f>IF($V9776&lt;&gt;'設定'!$C$4,N(U9775),IF(OR(NOT(COUNTIF('商品マスタ'!$B$6:$B$1005,$W9776)=0),COUNTIFS('①在庫を貼る'!$V$6:$V$10005,$V9776,'①在庫を貼る'!$W$6:$W$10005,$W9776)&gt;0),N(U9775),N(U9775)+1))</f>
        <v/>
      </c>
      <c r="V9776" s="19">
        <f>IF($B9776="","",TEXT($B9776,"0000"))</f>
        <v/>
      </c>
      <c r="W9776" s="19">
        <f>IF($I9776="","",IF(ISNUMBER($I9776),TEXT($I9776,"0"),$I9776))</f>
        <v/>
      </c>
    </row>
    <row r="9777">
      <c r="B9777" s="25" t="n"/>
      <c r="I9777" s="25" t="n"/>
      <c r="U9777" s="19">
        <f>IF($V9777&lt;&gt;'設定'!$C$4,N(U9776),IF(OR(NOT(COUNTIF('商品マスタ'!$B$6:$B$1005,$W9777)=0),COUNTIFS('①在庫を貼る'!$V$6:$V$10005,$V9777,'①在庫を貼る'!$W$6:$W$10005,$W9777)&gt;0),N(U9776),N(U9776)+1))</f>
        <v/>
      </c>
      <c r="V9777" s="19">
        <f>IF($B9777="","",TEXT($B9777,"0000"))</f>
        <v/>
      </c>
      <c r="W9777" s="19">
        <f>IF($I9777="","",IF(ISNUMBER($I9777),TEXT($I9777,"0"),$I9777))</f>
        <v/>
      </c>
    </row>
    <row r="9778">
      <c r="B9778" s="25" t="n"/>
      <c r="I9778" s="25" t="n"/>
      <c r="U9778" s="19">
        <f>IF($V9778&lt;&gt;'設定'!$C$4,N(U9777),IF(OR(NOT(COUNTIF('商品マスタ'!$B$6:$B$1005,$W9778)=0),COUNTIFS('①在庫を貼る'!$V$6:$V$10005,$V9778,'①在庫を貼る'!$W$6:$W$10005,$W9778)&gt;0),N(U9777),N(U9777)+1))</f>
        <v/>
      </c>
      <c r="V9778" s="19">
        <f>IF($B9778="","",TEXT($B9778,"0000"))</f>
        <v/>
      </c>
      <c r="W9778" s="19">
        <f>IF($I9778="","",IF(ISNUMBER($I9778),TEXT($I9778,"0"),$I9778))</f>
        <v/>
      </c>
    </row>
    <row r="9779">
      <c r="B9779" s="25" t="n"/>
      <c r="I9779" s="25" t="n"/>
      <c r="U9779" s="19">
        <f>IF($V9779&lt;&gt;'設定'!$C$4,N(U9778),IF(OR(NOT(COUNTIF('商品マスタ'!$B$6:$B$1005,$W9779)=0),COUNTIFS('①在庫を貼る'!$V$6:$V$10005,$V9779,'①在庫を貼る'!$W$6:$W$10005,$W9779)&gt;0),N(U9778),N(U9778)+1))</f>
        <v/>
      </c>
      <c r="V9779" s="19">
        <f>IF($B9779="","",TEXT($B9779,"0000"))</f>
        <v/>
      </c>
      <c r="W9779" s="19">
        <f>IF($I9779="","",IF(ISNUMBER($I9779),TEXT($I9779,"0"),$I9779))</f>
        <v/>
      </c>
    </row>
    <row r="9780">
      <c r="B9780" s="25" t="n"/>
      <c r="I9780" s="25" t="n"/>
      <c r="U9780" s="19">
        <f>IF($V9780&lt;&gt;'設定'!$C$4,N(U9779),IF(OR(NOT(COUNTIF('商品マスタ'!$B$6:$B$1005,$W9780)=0),COUNTIFS('①在庫を貼る'!$V$6:$V$10005,$V9780,'①在庫を貼る'!$W$6:$W$10005,$W9780)&gt;0),N(U9779),N(U9779)+1))</f>
        <v/>
      </c>
      <c r="V9780" s="19">
        <f>IF($B9780="","",TEXT($B9780,"0000"))</f>
        <v/>
      </c>
      <c r="W9780" s="19">
        <f>IF($I9780="","",IF(ISNUMBER($I9780),TEXT($I9780,"0"),$I9780))</f>
        <v/>
      </c>
    </row>
    <row r="9781">
      <c r="B9781" s="25" t="n"/>
      <c r="I9781" s="25" t="n"/>
      <c r="U9781" s="19">
        <f>IF($V9781&lt;&gt;'設定'!$C$4,N(U9780),IF(OR(NOT(COUNTIF('商品マスタ'!$B$6:$B$1005,$W9781)=0),COUNTIFS('①在庫を貼る'!$V$6:$V$10005,$V9781,'①在庫を貼る'!$W$6:$W$10005,$W9781)&gt;0),N(U9780),N(U9780)+1))</f>
        <v/>
      </c>
      <c r="V9781" s="19">
        <f>IF($B9781="","",TEXT($B9781,"0000"))</f>
        <v/>
      </c>
      <c r="W9781" s="19">
        <f>IF($I9781="","",IF(ISNUMBER($I9781),TEXT($I9781,"0"),$I9781))</f>
        <v/>
      </c>
    </row>
    <row r="9782">
      <c r="B9782" s="25" t="n"/>
      <c r="I9782" s="25" t="n"/>
      <c r="U9782" s="19">
        <f>IF($V9782&lt;&gt;'設定'!$C$4,N(U9781),IF(OR(NOT(COUNTIF('商品マスタ'!$B$6:$B$1005,$W9782)=0),COUNTIFS('①在庫を貼る'!$V$6:$V$10005,$V9782,'①在庫を貼る'!$W$6:$W$10005,$W9782)&gt;0),N(U9781),N(U9781)+1))</f>
        <v/>
      </c>
      <c r="V9782" s="19">
        <f>IF($B9782="","",TEXT($B9782,"0000"))</f>
        <v/>
      </c>
      <c r="W9782" s="19">
        <f>IF($I9782="","",IF(ISNUMBER($I9782),TEXT($I9782,"0"),$I9782))</f>
        <v/>
      </c>
    </row>
    <row r="9783">
      <c r="B9783" s="25" t="n"/>
      <c r="I9783" s="25" t="n"/>
      <c r="U9783" s="19">
        <f>IF($V9783&lt;&gt;'設定'!$C$4,N(U9782),IF(OR(NOT(COUNTIF('商品マスタ'!$B$6:$B$1005,$W9783)=0),COUNTIFS('①在庫を貼る'!$V$6:$V$10005,$V9783,'①在庫を貼る'!$W$6:$W$10005,$W9783)&gt;0),N(U9782),N(U9782)+1))</f>
        <v/>
      </c>
      <c r="V9783" s="19">
        <f>IF($B9783="","",TEXT($B9783,"0000"))</f>
        <v/>
      </c>
      <c r="W9783" s="19">
        <f>IF($I9783="","",IF(ISNUMBER($I9783),TEXT($I9783,"0"),$I9783))</f>
        <v/>
      </c>
    </row>
    <row r="9784">
      <c r="B9784" s="25" t="n"/>
      <c r="I9784" s="25" t="n"/>
      <c r="U9784" s="19">
        <f>IF($V9784&lt;&gt;'設定'!$C$4,N(U9783),IF(OR(NOT(COUNTIF('商品マスタ'!$B$6:$B$1005,$W9784)=0),COUNTIFS('①在庫を貼る'!$V$6:$V$10005,$V9784,'①在庫を貼る'!$W$6:$W$10005,$W9784)&gt;0),N(U9783),N(U9783)+1))</f>
        <v/>
      </c>
      <c r="V9784" s="19">
        <f>IF($B9784="","",TEXT($B9784,"0000"))</f>
        <v/>
      </c>
      <c r="W9784" s="19">
        <f>IF($I9784="","",IF(ISNUMBER($I9784),TEXT($I9784,"0"),$I9784))</f>
        <v/>
      </c>
    </row>
    <row r="9785">
      <c r="B9785" s="25" t="n"/>
      <c r="I9785" s="25" t="n"/>
      <c r="U9785" s="19">
        <f>IF($V9785&lt;&gt;'設定'!$C$4,N(U9784),IF(OR(NOT(COUNTIF('商品マスタ'!$B$6:$B$1005,$W9785)=0),COUNTIFS('①在庫を貼る'!$V$6:$V$10005,$V9785,'①在庫を貼る'!$W$6:$W$10005,$W9785)&gt;0),N(U9784),N(U9784)+1))</f>
        <v/>
      </c>
      <c r="V9785" s="19">
        <f>IF($B9785="","",TEXT($B9785,"0000"))</f>
        <v/>
      </c>
      <c r="W9785" s="19">
        <f>IF($I9785="","",IF(ISNUMBER($I9785),TEXT($I9785,"0"),$I9785))</f>
        <v/>
      </c>
    </row>
    <row r="9786">
      <c r="B9786" s="25" t="n"/>
      <c r="I9786" s="25" t="n"/>
      <c r="U9786" s="19">
        <f>IF($V9786&lt;&gt;'設定'!$C$4,N(U9785),IF(OR(NOT(COUNTIF('商品マスタ'!$B$6:$B$1005,$W9786)=0),COUNTIFS('①在庫を貼る'!$V$6:$V$10005,$V9786,'①在庫を貼る'!$W$6:$W$10005,$W9786)&gt;0),N(U9785),N(U9785)+1))</f>
        <v/>
      </c>
      <c r="V9786" s="19">
        <f>IF($B9786="","",TEXT($B9786,"0000"))</f>
        <v/>
      </c>
      <c r="W9786" s="19">
        <f>IF($I9786="","",IF(ISNUMBER($I9786),TEXT($I9786,"0"),$I9786))</f>
        <v/>
      </c>
    </row>
    <row r="9787">
      <c r="B9787" s="25" t="n"/>
      <c r="I9787" s="25" t="n"/>
      <c r="U9787" s="19">
        <f>IF($V9787&lt;&gt;'設定'!$C$4,N(U9786),IF(OR(NOT(COUNTIF('商品マスタ'!$B$6:$B$1005,$W9787)=0),COUNTIFS('①在庫を貼る'!$V$6:$V$10005,$V9787,'①在庫を貼る'!$W$6:$W$10005,$W9787)&gt;0),N(U9786),N(U9786)+1))</f>
        <v/>
      </c>
      <c r="V9787" s="19">
        <f>IF($B9787="","",TEXT($B9787,"0000"))</f>
        <v/>
      </c>
      <c r="W9787" s="19">
        <f>IF($I9787="","",IF(ISNUMBER($I9787),TEXT($I9787,"0"),$I9787))</f>
        <v/>
      </c>
    </row>
    <row r="9788">
      <c r="B9788" s="25" t="n"/>
      <c r="I9788" s="25" t="n"/>
      <c r="U9788" s="19">
        <f>IF($V9788&lt;&gt;'設定'!$C$4,N(U9787),IF(OR(NOT(COUNTIF('商品マスタ'!$B$6:$B$1005,$W9788)=0),COUNTIFS('①在庫を貼る'!$V$6:$V$10005,$V9788,'①在庫を貼る'!$W$6:$W$10005,$W9788)&gt;0),N(U9787),N(U9787)+1))</f>
        <v/>
      </c>
      <c r="V9788" s="19">
        <f>IF($B9788="","",TEXT($B9788,"0000"))</f>
        <v/>
      </c>
      <c r="W9788" s="19">
        <f>IF($I9788="","",IF(ISNUMBER($I9788),TEXT($I9788,"0"),$I9788))</f>
        <v/>
      </c>
    </row>
    <row r="9789">
      <c r="B9789" s="25" t="n"/>
      <c r="I9789" s="25" t="n"/>
      <c r="U9789" s="19">
        <f>IF($V9789&lt;&gt;'設定'!$C$4,N(U9788),IF(OR(NOT(COUNTIF('商品マスタ'!$B$6:$B$1005,$W9789)=0),COUNTIFS('①在庫を貼る'!$V$6:$V$10005,$V9789,'①在庫を貼る'!$W$6:$W$10005,$W9789)&gt;0),N(U9788),N(U9788)+1))</f>
        <v/>
      </c>
      <c r="V9789" s="19">
        <f>IF($B9789="","",TEXT($B9789,"0000"))</f>
        <v/>
      </c>
      <c r="W9789" s="19">
        <f>IF($I9789="","",IF(ISNUMBER($I9789),TEXT($I9789,"0"),$I9789))</f>
        <v/>
      </c>
    </row>
    <row r="9790">
      <c r="B9790" s="25" t="n"/>
      <c r="I9790" s="25" t="n"/>
      <c r="U9790" s="19">
        <f>IF($V9790&lt;&gt;'設定'!$C$4,N(U9789),IF(OR(NOT(COUNTIF('商品マスタ'!$B$6:$B$1005,$W9790)=0),COUNTIFS('①在庫を貼る'!$V$6:$V$10005,$V9790,'①在庫を貼る'!$W$6:$W$10005,$W9790)&gt;0),N(U9789),N(U9789)+1))</f>
        <v/>
      </c>
      <c r="V9790" s="19">
        <f>IF($B9790="","",TEXT($B9790,"0000"))</f>
        <v/>
      </c>
      <c r="W9790" s="19">
        <f>IF($I9790="","",IF(ISNUMBER($I9790),TEXT($I9790,"0"),$I9790))</f>
        <v/>
      </c>
    </row>
    <row r="9791">
      <c r="B9791" s="25" t="n"/>
      <c r="I9791" s="25" t="n"/>
      <c r="U9791" s="19">
        <f>IF($V9791&lt;&gt;'設定'!$C$4,N(U9790),IF(OR(NOT(COUNTIF('商品マスタ'!$B$6:$B$1005,$W9791)=0),COUNTIFS('①在庫を貼る'!$V$6:$V$10005,$V9791,'①在庫を貼る'!$W$6:$W$10005,$W9791)&gt;0),N(U9790),N(U9790)+1))</f>
        <v/>
      </c>
      <c r="V9791" s="19">
        <f>IF($B9791="","",TEXT($B9791,"0000"))</f>
        <v/>
      </c>
      <c r="W9791" s="19">
        <f>IF($I9791="","",IF(ISNUMBER($I9791),TEXT($I9791,"0"),$I9791))</f>
        <v/>
      </c>
    </row>
    <row r="9792">
      <c r="B9792" s="25" t="n"/>
      <c r="I9792" s="25" t="n"/>
      <c r="U9792" s="19">
        <f>IF($V9792&lt;&gt;'設定'!$C$4,N(U9791),IF(OR(NOT(COUNTIF('商品マスタ'!$B$6:$B$1005,$W9792)=0),COUNTIFS('①在庫を貼る'!$V$6:$V$10005,$V9792,'①在庫を貼る'!$W$6:$W$10005,$W9792)&gt;0),N(U9791),N(U9791)+1))</f>
        <v/>
      </c>
      <c r="V9792" s="19">
        <f>IF($B9792="","",TEXT($B9792,"0000"))</f>
        <v/>
      </c>
      <c r="W9792" s="19">
        <f>IF($I9792="","",IF(ISNUMBER($I9792),TEXT($I9792,"0"),$I9792))</f>
        <v/>
      </c>
    </row>
    <row r="9793">
      <c r="B9793" s="25" t="n"/>
      <c r="I9793" s="25" t="n"/>
      <c r="U9793" s="19">
        <f>IF($V9793&lt;&gt;'設定'!$C$4,N(U9792),IF(OR(NOT(COUNTIF('商品マスタ'!$B$6:$B$1005,$W9793)=0),COUNTIFS('①在庫を貼る'!$V$6:$V$10005,$V9793,'①在庫を貼る'!$W$6:$W$10005,$W9793)&gt;0),N(U9792),N(U9792)+1))</f>
        <v/>
      </c>
      <c r="V9793" s="19">
        <f>IF($B9793="","",TEXT($B9793,"0000"))</f>
        <v/>
      </c>
      <c r="W9793" s="19">
        <f>IF($I9793="","",IF(ISNUMBER($I9793),TEXT($I9793,"0"),$I9793))</f>
        <v/>
      </c>
    </row>
    <row r="9794">
      <c r="B9794" s="25" t="n"/>
      <c r="I9794" s="25" t="n"/>
      <c r="U9794" s="19">
        <f>IF($V9794&lt;&gt;'設定'!$C$4,N(U9793),IF(OR(NOT(COUNTIF('商品マスタ'!$B$6:$B$1005,$W9794)=0),COUNTIFS('①在庫を貼る'!$V$6:$V$10005,$V9794,'①在庫を貼る'!$W$6:$W$10005,$W9794)&gt;0),N(U9793),N(U9793)+1))</f>
        <v/>
      </c>
      <c r="V9794" s="19">
        <f>IF($B9794="","",TEXT($B9794,"0000"))</f>
        <v/>
      </c>
      <c r="W9794" s="19">
        <f>IF($I9794="","",IF(ISNUMBER($I9794),TEXT($I9794,"0"),$I9794))</f>
        <v/>
      </c>
    </row>
    <row r="9795">
      <c r="B9795" s="25" t="n"/>
      <c r="I9795" s="25" t="n"/>
      <c r="U9795" s="19">
        <f>IF($V9795&lt;&gt;'設定'!$C$4,N(U9794),IF(OR(NOT(COUNTIF('商品マスタ'!$B$6:$B$1005,$W9795)=0),COUNTIFS('①在庫を貼る'!$V$6:$V$10005,$V9795,'①在庫を貼る'!$W$6:$W$10005,$W9795)&gt;0),N(U9794),N(U9794)+1))</f>
        <v/>
      </c>
      <c r="V9795" s="19">
        <f>IF($B9795="","",TEXT($B9795,"0000"))</f>
        <v/>
      </c>
      <c r="W9795" s="19">
        <f>IF($I9795="","",IF(ISNUMBER($I9795),TEXT($I9795,"0"),$I9795))</f>
        <v/>
      </c>
    </row>
    <row r="9796">
      <c r="B9796" s="25" t="n"/>
      <c r="I9796" s="25" t="n"/>
      <c r="U9796" s="19">
        <f>IF($V9796&lt;&gt;'設定'!$C$4,N(U9795),IF(OR(NOT(COUNTIF('商品マスタ'!$B$6:$B$1005,$W9796)=0),COUNTIFS('①在庫を貼る'!$V$6:$V$10005,$V9796,'①在庫を貼る'!$W$6:$W$10005,$W9796)&gt;0),N(U9795),N(U9795)+1))</f>
        <v/>
      </c>
      <c r="V9796" s="19">
        <f>IF($B9796="","",TEXT($B9796,"0000"))</f>
        <v/>
      </c>
      <c r="W9796" s="19">
        <f>IF($I9796="","",IF(ISNUMBER($I9796),TEXT($I9796,"0"),$I9796))</f>
        <v/>
      </c>
    </row>
    <row r="9797">
      <c r="B9797" s="25" t="n"/>
      <c r="I9797" s="25" t="n"/>
      <c r="U9797" s="19">
        <f>IF($V9797&lt;&gt;'設定'!$C$4,N(U9796),IF(OR(NOT(COUNTIF('商品マスタ'!$B$6:$B$1005,$W9797)=0),COUNTIFS('①在庫を貼る'!$V$6:$V$10005,$V9797,'①在庫を貼る'!$W$6:$W$10005,$W9797)&gt;0),N(U9796),N(U9796)+1))</f>
        <v/>
      </c>
      <c r="V9797" s="19">
        <f>IF($B9797="","",TEXT($B9797,"0000"))</f>
        <v/>
      </c>
      <c r="W9797" s="19">
        <f>IF($I9797="","",IF(ISNUMBER($I9797),TEXT($I9797,"0"),$I9797))</f>
        <v/>
      </c>
    </row>
    <row r="9798">
      <c r="B9798" s="25" t="n"/>
      <c r="I9798" s="25" t="n"/>
      <c r="U9798" s="19">
        <f>IF($V9798&lt;&gt;'設定'!$C$4,N(U9797),IF(OR(NOT(COUNTIF('商品マスタ'!$B$6:$B$1005,$W9798)=0),COUNTIFS('①在庫を貼る'!$V$6:$V$10005,$V9798,'①在庫を貼る'!$W$6:$W$10005,$W9798)&gt;0),N(U9797),N(U9797)+1))</f>
        <v/>
      </c>
      <c r="V9798" s="19">
        <f>IF($B9798="","",TEXT($B9798,"0000"))</f>
        <v/>
      </c>
      <c r="W9798" s="19">
        <f>IF($I9798="","",IF(ISNUMBER($I9798),TEXT($I9798,"0"),$I9798))</f>
        <v/>
      </c>
    </row>
    <row r="9799">
      <c r="B9799" s="25" t="n"/>
      <c r="I9799" s="25" t="n"/>
      <c r="U9799" s="19">
        <f>IF($V9799&lt;&gt;'設定'!$C$4,N(U9798),IF(OR(NOT(COUNTIF('商品マスタ'!$B$6:$B$1005,$W9799)=0),COUNTIFS('①在庫を貼る'!$V$6:$V$10005,$V9799,'①在庫を貼る'!$W$6:$W$10005,$W9799)&gt;0),N(U9798),N(U9798)+1))</f>
        <v/>
      </c>
      <c r="V9799" s="19">
        <f>IF($B9799="","",TEXT($B9799,"0000"))</f>
        <v/>
      </c>
      <c r="W9799" s="19">
        <f>IF($I9799="","",IF(ISNUMBER($I9799),TEXT($I9799,"0"),$I9799))</f>
        <v/>
      </c>
    </row>
    <row r="9800">
      <c r="B9800" s="25" t="n"/>
      <c r="I9800" s="25" t="n"/>
      <c r="U9800" s="19">
        <f>IF($V9800&lt;&gt;'設定'!$C$4,N(U9799),IF(OR(NOT(COUNTIF('商品マスタ'!$B$6:$B$1005,$W9800)=0),COUNTIFS('①在庫を貼る'!$V$6:$V$10005,$V9800,'①在庫を貼る'!$W$6:$W$10005,$W9800)&gt;0),N(U9799),N(U9799)+1))</f>
        <v/>
      </c>
      <c r="V9800" s="19">
        <f>IF($B9800="","",TEXT($B9800,"0000"))</f>
        <v/>
      </c>
      <c r="W9800" s="19">
        <f>IF($I9800="","",IF(ISNUMBER($I9800),TEXT($I9800,"0"),$I9800))</f>
        <v/>
      </c>
    </row>
    <row r="9801">
      <c r="B9801" s="25" t="n"/>
      <c r="I9801" s="25" t="n"/>
      <c r="U9801" s="19">
        <f>IF($V9801&lt;&gt;'設定'!$C$4,N(U9800),IF(OR(NOT(COUNTIF('商品マスタ'!$B$6:$B$1005,$W9801)=0),COUNTIFS('①在庫を貼る'!$V$6:$V$10005,$V9801,'①在庫を貼る'!$W$6:$W$10005,$W9801)&gt;0),N(U9800),N(U9800)+1))</f>
        <v/>
      </c>
      <c r="V9801" s="19">
        <f>IF($B9801="","",TEXT($B9801,"0000"))</f>
        <v/>
      </c>
      <c r="W9801" s="19">
        <f>IF($I9801="","",IF(ISNUMBER($I9801),TEXT($I9801,"0"),$I9801))</f>
        <v/>
      </c>
    </row>
    <row r="9802">
      <c r="B9802" s="25" t="n"/>
      <c r="I9802" s="25" t="n"/>
      <c r="U9802" s="19">
        <f>IF($V9802&lt;&gt;'設定'!$C$4,N(U9801),IF(OR(NOT(COUNTIF('商品マスタ'!$B$6:$B$1005,$W9802)=0),COUNTIFS('①在庫を貼る'!$V$6:$V$10005,$V9802,'①在庫を貼る'!$W$6:$W$10005,$W9802)&gt;0),N(U9801),N(U9801)+1))</f>
        <v/>
      </c>
      <c r="V9802" s="19">
        <f>IF($B9802="","",TEXT($B9802,"0000"))</f>
        <v/>
      </c>
      <c r="W9802" s="19">
        <f>IF($I9802="","",IF(ISNUMBER($I9802),TEXT($I9802,"0"),$I9802))</f>
        <v/>
      </c>
    </row>
    <row r="9803">
      <c r="B9803" s="25" t="n"/>
      <c r="I9803" s="25" t="n"/>
      <c r="U9803" s="19">
        <f>IF($V9803&lt;&gt;'設定'!$C$4,N(U9802),IF(OR(NOT(COUNTIF('商品マスタ'!$B$6:$B$1005,$W9803)=0),COUNTIFS('①在庫を貼る'!$V$6:$V$10005,$V9803,'①在庫を貼る'!$W$6:$W$10005,$W9803)&gt;0),N(U9802),N(U9802)+1))</f>
        <v/>
      </c>
      <c r="V9803" s="19">
        <f>IF($B9803="","",TEXT($B9803,"0000"))</f>
        <v/>
      </c>
      <c r="W9803" s="19">
        <f>IF($I9803="","",IF(ISNUMBER($I9803),TEXT($I9803,"0"),$I9803))</f>
        <v/>
      </c>
    </row>
    <row r="9804">
      <c r="B9804" s="25" t="n"/>
      <c r="I9804" s="25" t="n"/>
      <c r="U9804" s="19">
        <f>IF($V9804&lt;&gt;'設定'!$C$4,N(U9803),IF(OR(NOT(COUNTIF('商品マスタ'!$B$6:$B$1005,$W9804)=0),COUNTIFS('①在庫を貼る'!$V$6:$V$10005,$V9804,'①在庫を貼る'!$W$6:$W$10005,$W9804)&gt;0),N(U9803),N(U9803)+1))</f>
        <v/>
      </c>
      <c r="V9804" s="19">
        <f>IF($B9804="","",TEXT($B9804,"0000"))</f>
        <v/>
      </c>
      <c r="W9804" s="19">
        <f>IF($I9804="","",IF(ISNUMBER($I9804),TEXT($I9804,"0"),$I9804))</f>
        <v/>
      </c>
    </row>
    <row r="9805">
      <c r="B9805" s="25" t="n"/>
      <c r="I9805" s="25" t="n"/>
      <c r="U9805" s="19">
        <f>IF($V9805&lt;&gt;'設定'!$C$4,N(U9804),IF(OR(NOT(COUNTIF('商品マスタ'!$B$6:$B$1005,$W9805)=0),COUNTIFS('①在庫を貼る'!$V$6:$V$10005,$V9805,'①在庫を貼る'!$W$6:$W$10005,$W9805)&gt;0),N(U9804),N(U9804)+1))</f>
        <v/>
      </c>
      <c r="V9805" s="19">
        <f>IF($B9805="","",TEXT($B9805,"0000"))</f>
        <v/>
      </c>
      <c r="W9805" s="19">
        <f>IF($I9805="","",IF(ISNUMBER($I9805),TEXT($I9805,"0"),$I9805))</f>
        <v/>
      </c>
    </row>
    <row r="9806">
      <c r="B9806" s="25" t="n"/>
      <c r="I9806" s="25" t="n"/>
      <c r="U9806" s="19">
        <f>IF($V9806&lt;&gt;'設定'!$C$4,N(U9805),IF(OR(NOT(COUNTIF('商品マスタ'!$B$6:$B$1005,$W9806)=0),COUNTIFS('①在庫を貼る'!$V$6:$V$10005,$V9806,'①在庫を貼る'!$W$6:$W$10005,$W9806)&gt;0),N(U9805),N(U9805)+1))</f>
        <v/>
      </c>
      <c r="V9806" s="19">
        <f>IF($B9806="","",TEXT($B9806,"0000"))</f>
        <v/>
      </c>
      <c r="W9806" s="19">
        <f>IF($I9806="","",IF(ISNUMBER($I9806),TEXT($I9806,"0"),$I9806))</f>
        <v/>
      </c>
    </row>
    <row r="9807">
      <c r="B9807" s="25" t="n"/>
      <c r="I9807" s="25" t="n"/>
      <c r="U9807" s="19">
        <f>IF($V9807&lt;&gt;'設定'!$C$4,N(U9806),IF(OR(NOT(COUNTIF('商品マスタ'!$B$6:$B$1005,$W9807)=0),COUNTIFS('①在庫を貼る'!$V$6:$V$10005,$V9807,'①在庫を貼る'!$W$6:$W$10005,$W9807)&gt;0),N(U9806),N(U9806)+1))</f>
        <v/>
      </c>
      <c r="V9807" s="19">
        <f>IF($B9807="","",TEXT($B9807,"0000"))</f>
        <v/>
      </c>
      <c r="W9807" s="19">
        <f>IF($I9807="","",IF(ISNUMBER($I9807),TEXT($I9807,"0"),$I9807))</f>
        <v/>
      </c>
    </row>
    <row r="9808">
      <c r="B9808" s="25" t="n"/>
      <c r="I9808" s="25" t="n"/>
      <c r="U9808" s="19">
        <f>IF($V9808&lt;&gt;'設定'!$C$4,N(U9807),IF(OR(NOT(COUNTIF('商品マスタ'!$B$6:$B$1005,$W9808)=0),COUNTIFS('①在庫を貼る'!$V$6:$V$10005,$V9808,'①在庫を貼る'!$W$6:$W$10005,$W9808)&gt;0),N(U9807),N(U9807)+1))</f>
        <v/>
      </c>
      <c r="V9808" s="19">
        <f>IF($B9808="","",TEXT($B9808,"0000"))</f>
        <v/>
      </c>
      <c r="W9808" s="19">
        <f>IF($I9808="","",IF(ISNUMBER($I9808),TEXT($I9808,"0"),$I9808))</f>
        <v/>
      </c>
    </row>
    <row r="9809">
      <c r="B9809" s="25" t="n"/>
      <c r="I9809" s="25" t="n"/>
      <c r="U9809" s="19">
        <f>IF($V9809&lt;&gt;'設定'!$C$4,N(U9808),IF(OR(NOT(COUNTIF('商品マスタ'!$B$6:$B$1005,$W9809)=0),COUNTIFS('①在庫を貼る'!$V$6:$V$10005,$V9809,'①在庫を貼る'!$W$6:$W$10005,$W9809)&gt;0),N(U9808),N(U9808)+1))</f>
        <v/>
      </c>
      <c r="V9809" s="19">
        <f>IF($B9809="","",TEXT($B9809,"0000"))</f>
        <v/>
      </c>
      <c r="W9809" s="19">
        <f>IF($I9809="","",IF(ISNUMBER($I9809),TEXT($I9809,"0"),$I9809))</f>
        <v/>
      </c>
    </row>
    <row r="9810">
      <c r="B9810" s="25" t="n"/>
      <c r="I9810" s="25" t="n"/>
      <c r="U9810" s="19">
        <f>IF($V9810&lt;&gt;'設定'!$C$4,N(U9809),IF(OR(NOT(COUNTIF('商品マスタ'!$B$6:$B$1005,$W9810)=0),COUNTIFS('①在庫を貼る'!$V$6:$V$10005,$V9810,'①在庫を貼る'!$W$6:$W$10005,$W9810)&gt;0),N(U9809),N(U9809)+1))</f>
        <v/>
      </c>
      <c r="V9810" s="19">
        <f>IF($B9810="","",TEXT($B9810,"0000"))</f>
        <v/>
      </c>
      <c r="W9810" s="19">
        <f>IF($I9810="","",IF(ISNUMBER($I9810),TEXT($I9810,"0"),$I9810))</f>
        <v/>
      </c>
    </row>
    <row r="9811">
      <c r="B9811" s="25" t="n"/>
      <c r="I9811" s="25" t="n"/>
      <c r="U9811" s="19">
        <f>IF($V9811&lt;&gt;'設定'!$C$4,N(U9810),IF(OR(NOT(COUNTIF('商品マスタ'!$B$6:$B$1005,$W9811)=0),COUNTIFS('①在庫を貼る'!$V$6:$V$10005,$V9811,'①在庫を貼る'!$W$6:$W$10005,$W9811)&gt;0),N(U9810),N(U9810)+1))</f>
        <v/>
      </c>
      <c r="V9811" s="19">
        <f>IF($B9811="","",TEXT($B9811,"0000"))</f>
        <v/>
      </c>
      <c r="W9811" s="19">
        <f>IF($I9811="","",IF(ISNUMBER($I9811),TEXT($I9811,"0"),$I9811))</f>
        <v/>
      </c>
    </row>
    <row r="9812">
      <c r="B9812" s="25" t="n"/>
      <c r="I9812" s="25" t="n"/>
      <c r="U9812" s="19">
        <f>IF($V9812&lt;&gt;'設定'!$C$4,N(U9811),IF(OR(NOT(COUNTIF('商品マスタ'!$B$6:$B$1005,$W9812)=0),COUNTIFS('①在庫を貼る'!$V$6:$V$10005,$V9812,'①在庫を貼る'!$W$6:$W$10005,$W9812)&gt;0),N(U9811),N(U9811)+1))</f>
        <v/>
      </c>
      <c r="V9812" s="19">
        <f>IF($B9812="","",TEXT($B9812,"0000"))</f>
        <v/>
      </c>
      <c r="W9812" s="19">
        <f>IF($I9812="","",IF(ISNUMBER($I9812),TEXT($I9812,"0"),$I9812))</f>
        <v/>
      </c>
    </row>
    <row r="9813">
      <c r="B9813" s="25" t="n"/>
      <c r="I9813" s="25" t="n"/>
      <c r="U9813" s="19">
        <f>IF($V9813&lt;&gt;'設定'!$C$4,N(U9812),IF(OR(NOT(COUNTIF('商品マスタ'!$B$6:$B$1005,$W9813)=0),COUNTIFS('①在庫を貼る'!$V$6:$V$10005,$V9813,'①在庫を貼る'!$W$6:$W$10005,$W9813)&gt;0),N(U9812),N(U9812)+1))</f>
        <v/>
      </c>
      <c r="V9813" s="19">
        <f>IF($B9813="","",TEXT($B9813,"0000"))</f>
        <v/>
      </c>
      <c r="W9813" s="19">
        <f>IF($I9813="","",IF(ISNUMBER($I9813),TEXT($I9813,"0"),$I9813))</f>
        <v/>
      </c>
    </row>
    <row r="9814">
      <c r="B9814" s="25" t="n"/>
      <c r="I9814" s="25" t="n"/>
      <c r="U9814" s="19">
        <f>IF($V9814&lt;&gt;'設定'!$C$4,N(U9813),IF(OR(NOT(COUNTIF('商品マスタ'!$B$6:$B$1005,$W9814)=0),COUNTIFS('①在庫を貼る'!$V$6:$V$10005,$V9814,'①在庫を貼る'!$W$6:$W$10005,$W9814)&gt;0),N(U9813),N(U9813)+1))</f>
        <v/>
      </c>
      <c r="V9814" s="19">
        <f>IF($B9814="","",TEXT($B9814,"0000"))</f>
        <v/>
      </c>
      <c r="W9814" s="19">
        <f>IF($I9814="","",IF(ISNUMBER($I9814),TEXT($I9814,"0"),$I9814))</f>
        <v/>
      </c>
    </row>
    <row r="9815">
      <c r="B9815" s="25" t="n"/>
      <c r="I9815" s="25" t="n"/>
      <c r="U9815" s="19">
        <f>IF($V9815&lt;&gt;'設定'!$C$4,N(U9814),IF(OR(NOT(COUNTIF('商品マスタ'!$B$6:$B$1005,$W9815)=0),COUNTIFS('①在庫を貼る'!$V$6:$V$10005,$V9815,'①在庫を貼る'!$W$6:$W$10005,$W9815)&gt;0),N(U9814),N(U9814)+1))</f>
        <v/>
      </c>
      <c r="V9815" s="19">
        <f>IF($B9815="","",TEXT($B9815,"0000"))</f>
        <v/>
      </c>
      <c r="W9815" s="19">
        <f>IF($I9815="","",IF(ISNUMBER($I9815),TEXT($I9815,"0"),$I9815))</f>
        <v/>
      </c>
    </row>
    <row r="9816">
      <c r="B9816" s="25" t="n"/>
      <c r="I9816" s="25" t="n"/>
      <c r="U9816" s="19">
        <f>IF($V9816&lt;&gt;'設定'!$C$4,N(U9815),IF(OR(NOT(COUNTIF('商品マスタ'!$B$6:$B$1005,$W9816)=0),COUNTIFS('①在庫を貼る'!$V$6:$V$10005,$V9816,'①在庫を貼る'!$W$6:$W$10005,$W9816)&gt;0),N(U9815),N(U9815)+1))</f>
        <v/>
      </c>
      <c r="V9816" s="19">
        <f>IF($B9816="","",TEXT($B9816,"0000"))</f>
        <v/>
      </c>
      <c r="W9816" s="19">
        <f>IF($I9816="","",IF(ISNUMBER($I9816),TEXT($I9816,"0"),$I9816))</f>
        <v/>
      </c>
    </row>
    <row r="9817">
      <c r="B9817" s="25" t="n"/>
      <c r="I9817" s="25" t="n"/>
      <c r="U9817" s="19">
        <f>IF($V9817&lt;&gt;'設定'!$C$4,N(U9816),IF(OR(NOT(COUNTIF('商品マスタ'!$B$6:$B$1005,$W9817)=0),COUNTIFS('①在庫を貼る'!$V$6:$V$10005,$V9817,'①在庫を貼る'!$W$6:$W$10005,$W9817)&gt;0),N(U9816),N(U9816)+1))</f>
        <v/>
      </c>
      <c r="V9817" s="19">
        <f>IF($B9817="","",TEXT($B9817,"0000"))</f>
        <v/>
      </c>
      <c r="W9817" s="19">
        <f>IF($I9817="","",IF(ISNUMBER($I9817),TEXT($I9817,"0"),$I9817))</f>
        <v/>
      </c>
    </row>
    <row r="9818">
      <c r="B9818" s="25" t="n"/>
      <c r="I9818" s="25" t="n"/>
      <c r="U9818" s="19">
        <f>IF($V9818&lt;&gt;'設定'!$C$4,N(U9817),IF(OR(NOT(COUNTIF('商品マスタ'!$B$6:$B$1005,$W9818)=0),COUNTIFS('①在庫を貼る'!$V$6:$V$10005,$V9818,'①在庫を貼る'!$W$6:$W$10005,$W9818)&gt;0),N(U9817),N(U9817)+1))</f>
        <v/>
      </c>
      <c r="V9818" s="19">
        <f>IF($B9818="","",TEXT($B9818,"0000"))</f>
        <v/>
      </c>
      <c r="W9818" s="19">
        <f>IF($I9818="","",IF(ISNUMBER($I9818),TEXT($I9818,"0"),$I9818))</f>
        <v/>
      </c>
    </row>
    <row r="9819">
      <c r="B9819" s="25" t="n"/>
      <c r="I9819" s="25" t="n"/>
      <c r="U9819" s="19">
        <f>IF($V9819&lt;&gt;'設定'!$C$4,N(U9818),IF(OR(NOT(COUNTIF('商品マスタ'!$B$6:$B$1005,$W9819)=0),COUNTIFS('①在庫を貼る'!$V$6:$V$10005,$V9819,'①在庫を貼る'!$W$6:$W$10005,$W9819)&gt;0),N(U9818),N(U9818)+1))</f>
        <v/>
      </c>
      <c r="V9819" s="19">
        <f>IF($B9819="","",TEXT($B9819,"0000"))</f>
        <v/>
      </c>
      <c r="W9819" s="19">
        <f>IF($I9819="","",IF(ISNUMBER($I9819),TEXT($I9819,"0"),$I9819))</f>
        <v/>
      </c>
    </row>
    <row r="9820">
      <c r="B9820" s="25" t="n"/>
      <c r="I9820" s="25" t="n"/>
      <c r="U9820" s="19">
        <f>IF($V9820&lt;&gt;'設定'!$C$4,N(U9819),IF(OR(NOT(COUNTIF('商品マスタ'!$B$6:$B$1005,$W9820)=0),COUNTIFS('①在庫を貼る'!$V$6:$V$10005,$V9820,'①在庫を貼る'!$W$6:$W$10005,$W9820)&gt;0),N(U9819),N(U9819)+1))</f>
        <v/>
      </c>
      <c r="V9820" s="19">
        <f>IF($B9820="","",TEXT($B9820,"0000"))</f>
        <v/>
      </c>
      <c r="W9820" s="19">
        <f>IF($I9820="","",IF(ISNUMBER($I9820),TEXT($I9820,"0"),$I9820))</f>
        <v/>
      </c>
    </row>
    <row r="9821">
      <c r="B9821" s="25" t="n"/>
      <c r="I9821" s="25" t="n"/>
      <c r="U9821" s="19">
        <f>IF($V9821&lt;&gt;'設定'!$C$4,N(U9820),IF(OR(NOT(COUNTIF('商品マスタ'!$B$6:$B$1005,$W9821)=0),COUNTIFS('①在庫を貼る'!$V$6:$V$10005,$V9821,'①在庫を貼る'!$W$6:$W$10005,$W9821)&gt;0),N(U9820),N(U9820)+1))</f>
        <v/>
      </c>
      <c r="V9821" s="19">
        <f>IF($B9821="","",TEXT($B9821,"0000"))</f>
        <v/>
      </c>
      <c r="W9821" s="19">
        <f>IF($I9821="","",IF(ISNUMBER($I9821),TEXT($I9821,"0"),$I9821))</f>
        <v/>
      </c>
    </row>
    <row r="9822">
      <c r="B9822" s="25" t="n"/>
      <c r="I9822" s="25" t="n"/>
      <c r="U9822" s="19">
        <f>IF($V9822&lt;&gt;'設定'!$C$4,N(U9821),IF(OR(NOT(COUNTIF('商品マスタ'!$B$6:$B$1005,$W9822)=0),COUNTIFS('①在庫を貼る'!$V$6:$V$10005,$V9822,'①在庫を貼る'!$W$6:$W$10005,$W9822)&gt;0),N(U9821),N(U9821)+1))</f>
        <v/>
      </c>
      <c r="V9822" s="19">
        <f>IF($B9822="","",TEXT($B9822,"0000"))</f>
        <v/>
      </c>
      <c r="W9822" s="19">
        <f>IF($I9822="","",IF(ISNUMBER($I9822),TEXT($I9822,"0"),$I9822))</f>
        <v/>
      </c>
    </row>
    <row r="9823">
      <c r="B9823" s="25" t="n"/>
      <c r="I9823" s="25" t="n"/>
      <c r="U9823" s="19">
        <f>IF($V9823&lt;&gt;'設定'!$C$4,N(U9822),IF(OR(NOT(COUNTIF('商品マスタ'!$B$6:$B$1005,$W9823)=0),COUNTIFS('①在庫を貼る'!$V$6:$V$10005,$V9823,'①在庫を貼る'!$W$6:$W$10005,$W9823)&gt;0),N(U9822),N(U9822)+1))</f>
        <v/>
      </c>
      <c r="V9823" s="19">
        <f>IF($B9823="","",TEXT($B9823,"0000"))</f>
        <v/>
      </c>
      <c r="W9823" s="19">
        <f>IF($I9823="","",IF(ISNUMBER($I9823),TEXT($I9823,"0"),$I9823))</f>
        <v/>
      </c>
    </row>
    <row r="9824">
      <c r="B9824" s="25" t="n"/>
      <c r="I9824" s="25" t="n"/>
      <c r="U9824" s="19">
        <f>IF($V9824&lt;&gt;'設定'!$C$4,N(U9823),IF(OR(NOT(COUNTIF('商品マスタ'!$B$6:$B$1005,$W9824)=0),COUNTIFS('①在庫を貼る'!$V$6:$V$10005,$V9824,'①在庫を貼る'!$W$6:$W$10005,$W9824)&gt;0),N(U9823),N(U9823)+1))</f>
        <v/>
      </c>
      <c r="V9824" s="19">
        <f>IF($B9824="","",TEXT($B9824,"0000"))</f>
        <v/>
      </c>
      <c r="W9824" s="19">
        <f>IF($I9824="","",IF(ISNUMBER($I9824),TEXT($I9824,"0"),$I9824))</f>
        <v/>
      </c>
    </row>
    <row r="9825">
      <c r="B9825" s="25" t="n"/>
      <c r="I9825" s="25" t="n"/>
      <c r="U9825" s="19">
        <f>IF($V9825&lt;&gt;'設定'!$C$4,N(U9824),IF(OR(NOT(COUNTIF('商品マスタ'!$B$6:$B$1005,$W9825)=0),COUNTIFS('①在庫を貼る'!$V$6:$V$10005,$V9825,'①在庫を貼る'!$W$6:$W$10005,$W9825)&gt;0),N(U9824),N(U9824)+1))</f>
        <v/>
      </c>
      <c r="V9825" s="19">
        <f>IF($B9825="","",TEXT($B9825,"0000"))</f>
        <v/>
      </c>
      <c r="W9825" s="19">
        <f>IF($I9825="","",IF(ISNUMBER($I9825),TEXT($I9825,"0"),$I9825))</f>
        <v/>
      </c>
    </row>
    <row r="9826">
      <c r="B9826" s="25" t="n"/>
      <c r="I9826" s="25" t="n"/>
      <c r="U9826" s="19">
        <f>IF($V9826&lt;&gt;'設定'!$C$4,N(U9825),IF(OR(NOT(COUNTIF('商品マスタ'!$B$6:$B$1005,$W9826)=0),COUNTIFS('①在庫を貼る'!$V$6:$V$10005,$V9826,'①在庫を貼る'!$W$6:$W$10005,$W9826)&gt;0),N(U9825),N(U9825)+1))</f>
        <v/>
      </c>
      <c r="V9826" s="19">
        <f>IF($B9826="","",TEXT($B9826,"0000"))</f>
        <v/>
      </c>
      <c r="W9826" s="19">
        <f>IF($I9826="","",IF(ISNUMBER($I9826),TEXT($I9826,"0"),$I9826))</f>
        <v/>
      </c>
    </row>
    <row r="9827">
      <c r="B9827" s="25" t="n"/>
      <c r="I9827" s="25" t="n"/>
      <c r="U9827" s="19">
        <f>IF($V9827&lt;&gt;'設定'!$C$4,N(U9826),IF(OR(NOT(COUNTIF('商品マスタ'!$B$6:$B$1005,$W9827)=0),COUNTIFS('①在庫を貼る'!$V$6:$V$10005,$V9827,'①在庫を貼る'!$W$6:$W$10005,$W9827)&gt;0),N(U9826),N(U9826)+1))</f>
        <v/>
      </c>
      <c r="V9827" s="19">
        <f>IF($B9827="","",TEXT($B9827,"0000"))</f>
        <v/>
      </c>
      <c r="W9827" s="19">
        <f>IF($I9827="","",IF(ISNUMBER($I9827),TEXT($I9827,"0"),$I9827))</f>
        <v/>
      </c>
    </row>
    <row r="9828">
      <c r="B9828" s="25" t="n"/>
      <c r="I9828" s="25" t="n"/>
      <c r="U9828" s="19">
        <f>IF($V9828&lt;&gt;'設定'!$C$4,N(U9827),IF(OR(NOT(COUNTIF('商品マスタ'!$B$6:$B$1005,$W9828)=0),COUNTIFS('①在庫を貼る'!$V$6:$V$10005,$V9828,'①在庫を貼る'!$W$6:$W$10005,$W9828)&gt;0),N(U9827),N(U9827)+1))</f>
        <v/>
      </c>
      <c r="V9828" s="19">
        <f>IF($B9828="","",TEXT($B9828,"0000"))</f>
        <v/>
      </c>
      <c r="W9828" s="19">
        <f>IF($I9828="","",IF(ISNUMBER($I9828),TEXT($I9828,"0"),$I9828))</f>
        <v/>
      </c>
    </row>
    <row r="9829">
      <c r="B9829" s="25" t="n"/>
      <c r="I9829" s="25" t="n"/>
      <c r="U9829" s="19">
        <f>IF($V9829&lt;&gt;'設定'!$C$4,N(U9828),IF(OR(NOT(COUNTIF('商品マスタ'!$B$6:$B$1005,$W9829)=0),COUNTIFS('①在庫を貼る'!$V$6:$V$10005,$V9829,'①在庫を貼る'!$W$6:$W$10005,$W9829)&gt;0),N(U9828),N(U9828)+1))</f>
        <v/>
      </c>
      <c r="V9829" s="19">
        <f>IF($B9829="","",TEXT($B9829,"0000"))</f>
        <v/>
      </c>
      <c r="W9829" s="19">
        <f>IF($I9829="","",IF(ISNUMBER($I9829),TEXT($I9829,"0"),$I9829))</f>
        <v/>
      </c>
    </row>
    <row r="9830">
      <c r="B9830" s="25" t="n"/>
      <c r="I9830" s="25" t="n"/>
      <c r="U9830" s="19">
        <f>IF($V9830&lt;&gt;'設定'!$C$4,N(U9829),IF(OR(NOT(COUNTIF('商品マスタ'!$B$6:$B$1005,$W9830)=0),COUNTIFS('①在庫を貼る'!$V$6:$V$10005,$V9830,'①在庫を貼る'!$W$6:$W$10005,$W9830)&gt;0),N(U9829),N(U9829)+1))</f>
        <v/>
      </c>
      <c r="V9830" s="19">
        <f>IF($B9830="","",TEXT($B9830,"0000"))</f>
        <v/>
      </c>
      <c r="W9830" s="19">
        <f>IF($I9830="","",IF(ISNUMBER($I9830),TEXT($I9830,"0"),$I9830))</f>
        <v/>
      </c>
    </row>
    <row r="9831">
      <c r="B9831" s="25" t="n"/>
      <c r="I9831" s="25" t="n"/>
      <c r="U9831" s="19">
        <f>IF($V9831&lt;&gt;'設定'!$C$4,N(U9830),IF(OR(NOT(COUNTIF('商品マスタ'!$B$6:$B$1005,$W9831)=0),COUNTIFS('①在庫を貼る'!$V$6:$V$10005,$V9831,'①在庫を貼る'!$W$6:$W$10005,$W9831)&gt;0),N(U9830),N(U9830)+1))</f>
        <v/>
      </c>
      <c r="V9831" s="19">
        <f>IF($B9831="","",TEXT($B9831,"0000"))</f>
        <v/>
      </c>
      <c r="W9831" s="19">
        <f>IF($I9831="","",IF(ISNUMBER($I9831),TEXT($I9831,"0"),$I9831))</f>
        <v/>
      </c>
    </row>
    <row r="9832">
      <c r="B9832" s="25" t="n"/>
      <c r="I9832" s="25" t="n"/>
      <c r="U9832" s="19">
        <f>IF($V9832&lt;&gt;'設定'!$C$4,N(U9831),IF(OR(NOT(COUNTIF('商品マスタ'!$B$6:$B$1005,$W9832)=0),COUNTIFS('①在庫を貼る'!$V$6:$V$10005,$V9832,'①在庫を貼る'!$W$6:$W$10005,$W9832)&gt;0),N(U9831),N(U9831)+1))</f>
        <v/>
      </c>
      <c r="V9832" s="19">
        <f>IF($B9832="","",TEXT($B9832,"0000"))</f>
        <v/>
      </c>
      <c r="W9832" s="19">
        <f>IF($I9832="","",IF(ISNUMBER($I9832),TEXT($I9832,"0"),$I9832))</f>
        <v/>
      </c>
    </row>
    <row r="9833">
      <c r="B9833" s="25" t="n"/>
      <c r="I9833" s="25" t="n"/>
      <c r="U9833" s="19">
        <f>IF($V9833&lt;&gt;'設定'!$C$4,N(U9832),IF(OR(NOT(COUNTIF('商品マスタ'!$B$6:$B$1005,$W9833)=0),COUNTIFS('①在庫を貼る'!$V$6:$V$10005,$V9833,'①在庫を貼る'!$W$6:$W$10005,$W9833)&gt;0),N(U9832),N(U9832)+1))</f>
        <v/>
      </c>
      <c r="V9833" s="19">
        <f>IF($B9833="","",TEXT($B9833,"0000"))</f>
        <v/>
      </c>
      <c r="W9833" s="19">
        <f>IF($I9833="","",IF(ISNUMBER($I9833),TEXT($I9833,"0"),$I9833))</f>
        <v/>
      </c>
    </row>
    <row r="9834">
      <c r="B9834" s="25" t="n"/>
      <c r="I9834" s="25" t="n"/>
      <c r="U9834" s="19">
        <f>IF($V9834&lt;&gt;'設定'!$C$4,N(U9833),IF(OR(NOT(COUNTIF('商品マスタ'!$B$6:$B$1005,$W9834)=0),COUNTIFS('①在庫を貼る'!$V$6:$V$10005,$V9834,'①在庫を貼る'!$W$6:$W$10005,$W9834)&gt;0),N(U9833),N(U9833)+1))</f>
        <v/>
      </c>
      <c r="V9834" s="19">
        <f>IF($B9834="","",TEXT($B9834,"0000"))</f>
        <v/>
      </c>
      <c r="W9834" s="19">
        <f>IF($I9834="","",IF(ISNUMBER($I9834),TEXT($I9834,"0"),$I9834))</f>
        <v/>
      </c>
    </row>
    <row r="9835">
      <c r="B9835" s="25" t="n"/>
      <c r="I9835" s="25" t="n"/>
      <c r="U9835" s="19">
        <f>IF($V9835&lt;&gt;'設定'!$C$4,N(U9834),IF(OR(NOT(COUNTIF('商品マスタ'!$B$6:$B$1005,$W9835)=0),COUNTIFS('①在庫を貼る'!$V$6:$V$10005,$V9835,'①在庫を貼る'!$W$6:$W$10005,$W9835)&gt;0),N(U9834),N(U9834)+1))</f>
        <v/>
      </c>
      <c r="V9835" s="19">
        <f>IF($B9835="","",TEXT($B9835,"0000"))</f>
        <v/>
      </c>
      <c r="W9835" s="19">
        <f>IF($I9835="","",IF(ISNUMBER($I9835),TEXT($I9835,"0"),$I9835))</f>
        <v/>
      </c>
    </row>
    <row r="9836">
      <c r="B9836" s="25" t="n"/>
      <c r="I9836" s="25" t="n"/>
      <c r="U9836" s="19">
        <f>IF($V9836&lt;&gt;'設定'!$C$4,N(U9835),IF(OR(NOT(COUNTIF('商品マスタ'!$B$6:$B$1005,$W9836)=0),COUNTIFS('①在庫を貼る'!$V$6:$V$10005,$V9836,'①在庫を貼る'!$W$6:$W$10005,$W9836)&gt;0),N(U9835),N(U9835)+1))</f>
        <v/>
      </c>
      <c r="V9836" s="19">
        <f>IF($B9836="","",TEXT($B9836,"0000"))</f>
        <v/>
      </c>
      <c r="W9836" s="19">
        <f>IF($I9836="","",IF(ISNUMBER($I9836),TEXT($I9836,"0"),$I9836))</f>
        <v/>
      </c>
    </row>
    <row r="9837">
      <c r="B9837" s="25" t="n"/>
      <c r="I9837" s="25" t="n"/>
      <c r="U9837" s="19">
        <f>IF($V9837&lt;&gt;'設定'!$C$4,N(U9836),IF(OR(NOT(COUNTIF('商品マスタ'!$B$6:$B$1005,$W9837)=0),COUNTIFS('①在庫を貼る'!$V$6:$V$10005,$V9837,'①在庫を貼る'!$W$6:$W$10005,$W9837)&gt;0),N(U9836),N(U9836)+1))</f>
        <v/>
      </c>
      <c r="V9837" s="19">
        <f>IF($B9837="","",TEXT($B9837,"0000"))</f>
        <v/>
      </c>
      <c r="W9837" s="19">
        <f>IF($I9837="","",IF(ISNUMBER($I9837),TEXT($I9837,"0"),$I9837))</f>
        <v/>
      </c>
    </row>
    <row r="9838">
      <c r="B9838" s="25" t="n"/>
      <c r="I9838" s="25" t="n"/>
      <c r="U9838" s="19">
        <f>IF($V9838&lt;&gt;'設定'!$C$4,N(U9837),IF(OR(NOT(COUNTIF('商品マスタ'!$B$6:$B$1005,$W9838)=0),COUNTIFS('①在庫を貼る'!$V$6:$V$10005,$V9838,'①在庫を貼る'!$W$6:$W$10005,$W9838)&gt;0),N(U9837),N(U9837)+1))</f>
        <v/>
      </c>
      <c r="V9838" s="19">
        <f>IF($B9838="","",TEXT($B9838,"0000"))</f>
        <v/>
      </c>
      <c r="W9838" s="19">
        <f>IF($I9838="","",IF(ISNUMBER($I9838),TEXT($I9838,"0"),$I9838))</f>
        <v/>
      </c>
    </row>
    <row r="9839">
      <c r="B9839" s="25" t="n"/>
      <c r="I9839" s="25" t="n"/>
      <c r="U9839" s="19">
        <f>IF($V9839&lt;&gt;'設定'!$C$4,N(U9838),IF(OR(NOT(COUNTIF('商品マスタ'!$B$6:$B$1005,$W9839)=0),COUNTIFS('①在庫を貼る'!$V$6:$V$10005,$V9839,'①在庫を貼る'!$W$6:$W$10005,$W9839)&gt;0),N(U9838),N(U9838)+1))</f>
        <v/>
      </c>
      <c r="V9839" s="19">
        <f>IF($B9839="","",TEXT($B9839,"0000"))</f>
        <v/>
      </c>
      <c r="W9839" s="19">
        <f>IF($I9839="","",IF(ISNUMBER($I9839),TEXT($I9839,"0"),$I9839))</f>
        <v/>
      </c>
    </row>
    <row r="9840">
      <c r="B9840" s="25" t="n"/>
      <c r="I9840" s="25" t="n"/>
      <c r="U9840" s="19">
        <f>IF($V9840&lt;&gt;'設定'!$C$4,N(U9839),IF(OR(NOT(COUNTIF('商品マスタ'!$B$6:$B$1005,$W9840)=0),COUNTIFS('①在庫を貼る'!$V$6:$V$10005,$V9840,'①在庫を貼る'!$W$6:$W$10005,$W9840)&gt;0),N(U9839),N(U9839)+1))</f>
        <v/>
      </c>
      <c r="V9840" s="19">
        <f>IF($B9840="","",TEXT($B9840,"0000"))</f>
        <v/>
      </c>
      <c r="W9840" s="19">
        <f>IF($I9840="","",IF(ISNUMBER($I9840),TEXT($I9840,"0"),$I9840))</f>
        <v/>
      </c>
    </row>
    <row r="9841">
      <c r="B9841" s="25" t="n"/>
      <c r="I9841" s="25" t="n"/>
      <c r="U9841" s="19">
        <f>IF($V9841&lt;&gt;'設定'!$C$4,N(U9840),IF(OR(NOT(COUNTIF('商品マスタ'!$B$6:$B$1005,$W9841)=0),COUNTIFS('①在庫を貼る'!$V$6:$V$10005,$V9841,'①在庫を貼る'!$W$6:$W$10005,$W9841)&gt;0),N(U9840),N(U9840)+1))</f>
        <v/>
      </c>
      <c r="V9841" s="19">
        <f>IF($B9841="","",TEXT($B9841,"0000"))</f>
        <v/>
      </c>
      <c r="W9841" s="19">
        <f>IF($I9841="","",IF(ISNUMBER($I9841),TEXT($I9841,"0"),$I9841))</f>
        <v/>
      </c>
    </row>
    <row r="9842">
      <c r="B9842" s="25" t="n"/>
      <c r="I9842" s="25" t="n"/>
      <c r="U9842" s="19">
        <f>IF($V9842&lt;&gt;'設定'!$C$4,N(U9841),IF(OR(NOT(COUNTIF('商品マスタ'!$B$6:$B$1005,$W9842)=0),COUNTIFS('①在庫を貼る'!$V$6:$V$10005,$V9842,'①在庫を貼る'!$W$6:$W$10005,$W9842)&gt;0),N(U9841),N(U9841)+1))</f>
        <v/>
      </c>
      <c r="V9842" s="19">
        <f>IF($B9842="","",TEXT($B9842,"0000"))</f>
        <v/>
      </c>
      <c r="W9842" s="19">
        <f>IF($I9842="","",IF(ISNUMBER($I9842),TEXT($I9842,"0"),$I9842))</f>
        <v/>
      </c>
    </row>
    <row r="9843">
      <c r="B9843" s="25" t="n"/>
      <c r="I9843" s="25" t="n"/>
      <c r="U9843" s="19">
        <f>IF($V9843&lt;&gt;'設定'!$C$4,N(U9842),IF(OR(NOT(COUNTIF('商品マスタ'!$B$6:$B$1005,$W9843)=0),COUNTIFS('①在庫を貼る'!$V$6:$V$10005,$V9843,'①在庫を貼る'!$W$6:$W$10005,$W9843)&gt;0),N(U9842),N(U9842)+1))</f>
        <v/>
      </c>
      <c r="V9843" s="19">
        <f>IF($B9843="","",TEXT($B9843,"0000"))</f>
        <v/>
      </c>
      <c r="W9843" s="19">
        <f>IF($I9843="","",IF(ISNUMBER($I9843),TEXT($I9843,"0"),$I9843))</f>
        <v/>
      </c>
    </row>
    <row r="9844">
      <c r="B9844" s="25" t="n"/>
      <c r="I9844" s="25" t="n"/>
      <c r="U9844" s="19">
        <f>IF($V9844&lt;&gt;'設定'!$C$4,N(U9843),IF(OR(NOT(COUNTIF('商品マスタ'!$B$6:$B$1005,$W9844)=0),COUNTIFS('①在庫を貼る'!$V$6:$V$10005,$V9844,'①在庫を貼る'!$W$6:$W$10005,$W9844)&gt;0),N(U9843),N(U9843)+1))</f>
        <v/>
      </c>
      <c r="V9844" s="19">
        <f>IF($B9844="","",TEXT($B9844,"0000"))</f>
        <v/>
      </c>
      <c r="W9844" s="19">
        <f>IF($I9844="","",IF(ISNUMBER($I9844),TEXT($I9844,"0"),$I9844))</f>
        <v/>
      </c>
    </row>
    <row r="9845">
      <c r="B9845" s="25" t="n"/>
      <c r="I9845" s="25" t="n"/>
      <c r="U9845" s="19">
        <f>IF($V9845&lt;&gt;'設定'!$C$4,N(U9844),IF(OR(NOT(COUNTIF('商品マスタ'!$B$6:$B$1005,$W9845)=0),COUNTIFS('①在庫を貼る'!$V$6:$V$10005,$V9845,'①在庫を貼る'!$W$6:$W$10005,$W9845)&gt;0),N(U9844),N(U9844)+1))</f>
        <v/>
      </c>
      <c r="V9845" s="19">
        <f>IF($B9845="","",TEXT($B9845,"0000"))</f>
        <v/>
      </c>
      <c r="W9845" s="19">
        <f>IF($I9845="","",IF(ISNUMBER($I9845),TEXT($I9845,"0"),$I9845))</f>
        <v/>
      </c>
    </row>
    <row r="9846">
      <c r="B9846" s="25" t="n"/>
      <c r="I9846" s="25" t="n"/>
      <c r="U9846" s="19">
        <f>IF($V9846&lt;&gt;'設定'!$C$4,N(U9845),IF(OR(NOT(COUNTIF('商品マスタ'!$B$6:$B$1005,$W9846)=0),COUNTIFS('①在庫を貼る'!$V$6:$V$10005,$V9846,'①在庫を貼る'!$W$6:$W$10005,$W9846)&gt;0),N(U9845),N(U9845)+1))</f>
        <v/>
      </c>
      <c r="V9846" s="19">
        <f>IF($B9846="","",TEXT($B9846,"0000"))</f>
        <v/>
      </c>
      <c r="W9846" s="19">
        <f>IF($I9846="","",IF(ISNUMBER($I9846),TEXT($I9846,"0"),$I9846))</f>
        <v/>
      </c>
    </row>
    <row r="9847">
      <c r="B9847" s="25" t="n"/>
      <c r="I9847" s="25" t="n"/>
      <c r="U9847" s="19">
        <f>IF($V9847&lt;&gt;'設定'!$C$4,N(U9846),IF(OR(NOT(COUNTIF('商品マスタ'!$B$6:$B$1005,$W9847)=0),COUNTIFS('①在庫を貼る'!$V$6:$V$10005,$V9847,'①在庫を貼る'!$W$6:$W$10005,$W9847)&gt;0),N(U9846),N(U9846)+1))</f>
        <v/>
      </c>
      <c r="V9847" s="19">
        <f>IF($B9847="","",TEXT($B9847,"0000"))</f>
        <v/>
      </c>
      <c r="W9847" s="19">
        <f>IF($I9847="","",IF(ISNUMBER($I9847),TEXT($I9847,"0"),$I9847))</f>
        <v/>
      </c>
    </row>
    <row r="9848">
      <c r="B9848" s="25" t="n"/>
      <c r="I9848" s="25" t="n"/>
      <c r="U9848" s="19">
        <f>IF($V9848&lt;&gt;'設定'!$C$4,N(U9847),IF(OR(NOT(COUNTIF('商品マスタ'!$B$6:$B$1005,$W9848)=0),COUNTIFS('①在庫を貼る'!$V$6:$V$10005,$V9848,'①在庫を貼る'!$W$6:$W$10005,$W9848)&gt;0),N(U9847),N(U9847)+1))</f>
        <v/>
      </c>
      <c r="V9848" s="19">
        <f>IF($B9848="","",TEXT($B9848,"0000"))</f>
        <v/>
      </c>
      <c r="W9848" s="19">
        <f>IF($I9848="","",IF(ISNUMBER($I9848),TEXT($I9848,"0"),$I9848))</f>
        <v/>
      </c>
    </row>
    <row r="9849">
      <c r="B9849" s="25" t="n"/>
      <c r="I9849" s="25" t="n"/>
      <c r="U9849" s="19">
        <f>IF($V9849&lt;&gt;'設定'!$C$4,N(U9848),IF(OR(NOT(COUNTIF('商品マスタ'!$B$6:$B$1005,$W9849)=0),COUNTIFS('①在庫を貼る'!$V$6:$V$10005,$V9849,'①在庫を貼る'!$W$6:$W$10005,$W9849)&gt;0),N(U9848),N(U9848)+1))</f>
        <v/>
      </c>
      <c r="V9849" s="19">
        <f>IF($B9849="","",TEXT($B9849,"0000"))</f>
        <v/>
      </c>
      <c r="W9849" s="19">
        <f>IF($I9849="","",IF(ISNUMBER($I9849),TEXT($I9849,"0"),$I9849))</f>
        <v/>
      </c>
    </row>
    <row r="9850">
      <c r="B9850" s="25" t="n"/>
      <c r="I9850" s="25" t="n"/>
      <c r="U9850" s="19">
        <f>IF($V9850&lt;&gt;'設定'!$C$4,N(U9849),IF(OR(NOT(COUNTIF('商品マスタ'!$B$6:$B$1005,$W9850)=0),COUNTIFS('①在庫を貼る'!$V$6:$V$10005,$V9850,'①在庫を貼る'!$W$6:$W$10005,$W9850)&gt;0),N(U9849),N(U9849)+1))</f>
        <v/>
      </c>
      <c r="V9850" s="19">
        <f>IF($B9850="","",TEXT($B9850,"0000"))</f>
        <v/>
      </c>
      <c r="W9850" s="19">
        <f>IF($I9850="","",IF(ISNUMBER($I9850),TEXT($I9850,"0"),$I9850))</f>
        <v/>
      </c>
    </row>
    <row r="9851">
      <c r="B9851" s="25" t="n"/>
      <c r="I9851" s="25" t="n"/>
      <c r="U9851" s="19">
        <f>IF($V9851&lt;&gt;'設定'!$C$4,N(U9850),IF(OR(NOT(COUNTIF('商品マスタ'!$B$6:$B$1005,$W9851)=0),COUNTIFS('①在庫を貼る'!$V$6:$V$10005,$V9851,'①在庫を貼る'!$W$6:$W$10005,$W9851)&gt;0),N(U9850),N(U9850)+1))</f>
        <v/>
      </c>
      <c r="V9851" s="19">
        <f>IF($B9851="","",TEXT($B9851,"0000"))</f>
        <v/>
      </c>
      <c r="W9851" s="19">
        <f>IF($I9851="","",IF(ISNUMBER($I9851),TEXT($I9851,"0"),$I9851))</f>
        <v/>
      </c>
    </row>
    <row r="9852">
      <c r="B9852" s="25" t="n"/>
      <c r="I9852" s="25" t="n"/>
      <c r="U9852" s="19">
        <f>IF($V9852&lt;&gt;'設定'!$C$4,N(U9851),IF(OR(NOT(COUNTIF('商品マスタ'!$B$6:$B$1005,$W9852)=0),COUNTIFS('①在庫を貼る'!$V$6:$V$10005,$V9852,'①在庫を貼る'!$W$6:$W$10005,$W9852)&gt;0),N(U9851),N(U9851)+1))</f>
        <v/>
      </c>
      <c r="V9852" s="19">
        <f>IF($B9852="","",TEXT($B9852,"0000"))</f>
        <v/>
      </c>
      <c r="W9852" s="19">
        <f>IF($I9852="","",IF(ISNUMBER($I9852),TEXT($I9852,"0"),$I9852))</f>
        <v/>
      </c>
    </row>
    <row r="9853">
      <c r="B9853" s="25" t="n"/>
      <c r="I9853" s="25" t="n"/>
      <c r="U9853" s="19">
        <f>IF($V9853&lt;&gt;'設定'!$C$4,N(U9852),IF(OR(NOT(COUNTIF('商品マスタ'!$B$6:$B$1005,$W9853)=0),COUNTIFS('①在庫を貼る'!$V$6:$V$10005,$V9853,'①在庫を貼る'!$W$6:$W$10005,$W9853)&gt;0),N(U9852),N(U9852)+1))</f>
        <v/>
      </c>
      <c r="V9853" s="19">
        <f>IF($B9853="","",TEXT($B9853,"0000"))</f>
        <v/>
      </c>
      <c r="W9853" s="19">
        <f>IF($I9853="","",IF(ISNUMBER($I9853),TEXT($I9853,"0"),$I9853))</f>
        <v/>
      </c>
    </row>
    <row r="9854">
      <c r="B9854" s="25" t="n"/>
      <c r="I9854" s="25" t="n"/>
      <c r="U9854" s="19">
        <f>IF($V9854&lt;&gt;'設定'!$C$4,N(U9853),IF(OR(NOT(COUNTIF('商品マスタ'!$B$6:$B$1005,$W9854)=0),COUNTIFS('①在庫を貼る'!$V$6:$V$10005,$V9854,'①在庫を貼る'!$W$6:$W$10005,$W9854)&gt;0),N(U9853),N(U9853)+1))</f>
        <v/>
      </c>
      <c r="V9854" s="19">
        <f>IF($B9854="","",TEXT($B9854,"0000"))</f>
        <v/>
      </c>
      <c r="W9854" s="19">
        <f>IF($I9854="","",IF(ISNUMBER($I9854),TEXT($I9854,"0"),$I9854))</f>
        <v/>
      </c>
    </row>
    <row r="9855">
      <c r="B9855" s="25" t="n"/>
      <c r="I9855" s="25" t="n"/>
      <c r="U9855" s="19">
        <f>IF($V9855&lt;&gt;'設定'!$C$4,N(U9854),IF(OR(NOT(COUNTIF('商品マスタ'!$B$6:$B$1005,$W9855)=0),COUNTIFS('①在庫を貼る'!$V$6:$V$10005,$V9855,'①在庫を貼る'!$W$6:$W$10005,$W9855)&gt;0),N(U9854),N(U9854)+1))</f>
        <v/>
      </c>
      <c r="V9855" s="19">
        <f>IF($B9855="","",TEXT($B9855,"0000"))</f>
        <v/>
      </c>
      <c r="W9855" s="19">
        <f>IF($I9855="","",IF(ISNUMBER($I9855),TEXT($I9855,"0"),$I9855))</f>
        <v/>
      </c>
    </row>
    <row r="9856">
      <c r="B9856" s="25" t="n"/>
      <c r="I9856" s="25" t="n"/>
      <c r="U9856" s="19">
        <f>IF($V9856&lt;&gt;'設定'!$C$4,N(U9855),IF(OR(NOT(COUNTIF('商品マスタ'!$B$6:$B$1005,$W9856)=0),COUNTIFS('①在庫を貼る'!$V$6:$V$10005,$V9856,'①在庫を貼る'!$W$6:$W$10005,$W9856)&gt;0),N(U9855),N(U9855)+1))</f>
        <v/>
      </c>
      <c r="V9856" s="19">
        <f>IF($B9856="","",TEXT($B9856,"0000"))</f>
        <v/>
      </c>
      <c r="W9856" s="19">
        <f>IF($I9856="","",IF(ISNUMBER($I9856),TEXT($I9856,"0"),$I9856))</f>
        <v/>
      </c>
    </row>
    <row r="9857">
      <c r="B9857" s="25" t="n"/>
      <c r="I9857" s="25" t="n"/>
      <c r="U9857" s="19">
        <f>IF($V9857&lt;&gt;'設定'!$C$4,N(U9856),IF(OR(NOT(COUNTIF('商品マスタ'!$B$6:$B$1005,$W9857)=0),COUNTIFS('①在庫を貼る'!$V$6:$V$10005,$V9857,'①在庫を貼る'!$W$6:$W$10005,$W9857)&gt;0),N(U9856),N(U9856)+1))</f>
        <v/>
      </c>
      <c r="V9857" s="19">
        <f>IF($B9857="","",TEXT($B9857,"0000"))</f>
        <v/>
      </c>
      <c r="W9857" s="19">
        <f>IF($I9857="","",IF(ISNUMBER($I9857),TEXT($I9857,"0"),$I9857))</f>
        <v/>
      </c>
    </row>
    <row r="9858">
      <c r="B9858" s="25" t="n"/>
      <c r="I9858" s="25" t="n"/>
      <c r="U9858" s="19">
        <f>IF($V9858&lt;&gt;'設定'!$C$4,N(U9857),IF(OR(NOT(COUNTIF('商品マスタ'!$B$6:$B$1005,$W9858)=0),COUNTIFS('①在庫を貼る'!$V$6:$V$10005,$V9858,'①在庫を貼る'!$W$6:$W$10005,$W9858)&gt;0),N(U9857),N(U9857)+1))</f>
        <v/>
      </c>
      <c r="V9858" s="19">
        <f>IF($B9858="","",TEXT($B9858,"0000"))</f>
        <v/>
      </c>
      <c r="W9858" s="19">
        <f>IF($I9858="","",IF(ISNUMBER($I9858),TEXT($I9858,"0"),$I9858))</f>
        <v/>
      </c>
    </row>
    <row r="9859">
      <c r="B9859" s="25" t="n"/>
      <c r="I9859" s="25" t="n"/>
      <c r="U9859" s="19">
        <f>IF($V9859&lt;&gt;'設定'!$C$4,N(U9858),IF(OR(NOT(COUNTIF('商品マスタ'!$B$6:$B$1005,$W9859)=0),COUNTIFS('①在庫を貼る'!$V$6:$V$10005,$V9859,'①在庫を貼る'!$W$6:$W$10005,$W9859)&gt;0),N(U9858),N(U9858)+1))</f>
        <v/>
      </c>
      <c r="V9859" s="19">
        <f>IF($B9859="","",TEXT($B9859,"0000"))</f>
        <v/>
      </c>
      <c r="W9859" s="19">
        <f>IF($I9859="","",IF(ISNUMBER($I9859),TEXT($I9859,"0"),$I9859))</f>
        <v/>
      </c>
    </row>
    <row r="9860">
      <c r="B9860" s="25" t="n"/>
      <c r="I9860" s="25" t="n"/>
      <c r="U9860" s="19">
        <f>IF($V9860&lt;&gt;'設定'!$C$4,N(U9859),IF(OR(NOT(COUNTIF('商品マスタ'!$B$6:$B$1005,$W9860)=0),COUNTIFS('①在庫を貼る'!$V$6:$V$10005,$V9860,'①在庫を貼る'!$W$6:$W$10005,$W9860)&gt;0),N(U9859),N(U9859)+1))</f>
        <v/>
      </c>
      <c r="V9860" s="19">
        <f>IF($B9860="","",TEXT($B9860,"0000"))</f>
        <v/>
      </c>
      <c r="W9860" s="19">
        <f>IF($I9860="","",IF(ISNUMBER($I9860),TEXT($I9860,"0"),$I9860))</f>
        <v/>
      </c>
    </row>
    <row r="9861">
      <c r="B9861" s="25" t="n"/>
      <c r="I9861" s="25" t="n"/>
      <c r="U9861" s="19">
        <f>IF($V9861&lt;&gt;'設定'!$C$4,N(U9860),IF(OR(NOT(COUNTIF('商品マスタ'!$B$6:$B$1005,$W9861)=0),COUNTIFS('①在庫を貼る'!$V$6:$V$10005,$V9861,'①在庫を貼る'!$W$6:$W$10005,$W9861)&gt;0),N(U9860),N(U9860)+1))</f>
        <v/>
      </c>
      <c r="V9861" s="19">
        <f>IF($B9861="","",TEXT($B9861,"0000"))</f>
        <v/>
      </c>
      <c r="W9861" s="19">
        <f>IF($I9861="","",IF(ISNUMBER($I9861),TEXT($I9861,"0"),$I9861))</f>
        <v/>
      </c>
    </row>
    <row r="9862">
      <c r="B9862" s="25" t="n"/>
      <c r="I9862" s="25" t="n"/>
      <c r="U9862" s="19">
        <f>IF($V9862&lt;&gt;'設定'!$C$4,N(U9861),IF(OR(NOT(COUNTIF('商品マスタ'!$B$6:$B$1005,$W9862)=0),COUNTIFS('①在庫を貼る'!$V$6:$V$10005,$V9862,'①在庫を貼る'!$W$6:$W$10005,$W9862)&gt;0),N(U9861),N(U9861)+1))</f>
        <v/>
      </c>
      <c r="V9862" s="19">
        <f>IF($B9862="","",TEXT($B9862,"0000"))</f>
        <v/>
      </c>
      <c r="W9862" s="19">
        <f>IF($I9862="","",IF(ISNUMBER($I9862),TEXT($I9862,"0"),$I9862))</f>
        <v/>
      </c>
    </row>
    <row r="9863">
      <c r="B9863" s="25" t="n"/>
      <c r="I9863" s="25" t="n"/>
      <c r="U9863" s="19">
        <f>IF($V9863&lt;&gt;'設定'!$C$4,N(U9862),IF(OR(NOT(COUNTIF('商品マスタ'!$B$6:$B$1005,$W9863)=0),COUNTIFS('①在庫を貼る'!$V$6:$V$10005,$V9863,'①在庫を貼る'!$W$6:$W$10005,$W9863)&gt;0),N(U9862),N(U9862)+1))</f>
        <v/>
      </c>
      <c r="V9863" s="19">
        <f>IF($B9863="","",TEXT($B9863,"0000"))</f>
        <v/>
      </c>
      <c r="W9863" s="19">
        <f>IF($I9863="","",IF(ISNUMBER($I9863),TEXT($I9863,"0"),$I9863))</f>
        <v/>
      </c>
    </row>
    <row r="9864">
      <c r="B9864" s="25" t="n"/>
      <c r="I9864" s="25" t="n"/>
      <c r="U9864" s="19">
        <f>IF($V9864&lt;&gt;'設定'!$C$4,N(U9863),IF(OR(NOT(COUNTIF('商品マスタ'!$B$6:$B$1005,$W9864)=0),COUNTIFS('①在庫を貼る'!$V$6:$V$10005,$V9864,'①在庫を貼る'!$W$6:$W$10005,$W9864)&gt;0),N(U9863),N(U9863)+1))</f>
        <v/>
      </c>
      <c r="V9864" s="19">
        <f>IF($B9864="","",TEXT($B9864,"0000"))</f>
        <v/>
      </c>
      <c r="W9864" s="19">
        <f>IF($I9864="","",IF(ISNUMBER($I9864),TEXT($I9864,"0"),$I9864))</f>
        <v/>
      </c>
    </row>
    <row r="9865">
      <c r="B9865" s="25" t="n"/>
      <c r="I9865" s="25" t="n"/>
      <c r="U9865" s="19">
        <f>IF($V9865&lt;&gt;'設定'!$C$4,N(U9864),IF(OR(NOT(COUNTIF('商品マスタ'!$B$6:$B$1005,$W9865)=0),COUNTIFS('①在庫を貼る'!$V$6:$V$10005,$V9865,'①在庫を貼る'!$W$6:$W$10005,$W9865)&gt;0),N(U9864),N(U9864)+1))</f>
        <v/>
      </c>
      <c r="V9865" s="19">
        <f>IF($B9865="","",TEXT($B9865,"0000"))</f>
        <v/>
      </c>
      <c r="W9865" s="19">
        <f>IF($I9865="","",IF(ISNUMBER($I9865),TEXT($I9865,"0"),$I9865))</f>
        <v/>
      </c>
    </row>
    <row r="9866">
      <c r="B9866" s="25" t="n"/>
      <c r="I9866" s="25" t="n"/>
      <c r="U9866" s="19">
        <f>IF($V9866&lt;&gt;'設定'!$C$4,N(U9865),IF(OR(NOT(COUNTIF('商品マスタ'!$B$6:$B$1005,$W9866)=0),COUNTIFS('①在庫を貼る'!$V$6:$V$10005,$V9866,'①在庫を貼る'!$W$6:$W$10005,$W9866)&gt;0),N(U9865),N(U9865)+1))</f>
        <v/>
      </c>
      <c r="V9866" s="19">
        <f>IF($B9866="","",TEXT($B9866,"0000"))</f>
        <v/>
      </c>
      <c r="W9866" s="19">
        <f>IF($I9866="","",IF(ISNUMBER($I9866),TEXT($I9866,"0"),$I9866))</f>
        <v/>
      </c>
    </row>
    <row r="9867">
      <c r="B9867" s="25" t="n"/>
      <c r="I9867" s="25" t="n"/>
      <c r="U9867" s="19">
        <f>IF($V9867&lt;&gt;'設定'!$C$4,N(U9866),IF(OR(NOT(COUNTIF('商品マスタ'!$B$6:$B$1005,$W9867)=0),COUNTIFS('①在庫を貼る'!$V$6:$V$10005,$V9867,'①在庫を貼る'!$W$6:$W$10005,$W9867)&gt;0),N(U9866),N(U9866)+1))</f>
        <v/>
      </c>
      <c r="V9867" s="19">
        <f>IF($B9867="","",TEXT($B9867,"0000"))</f>
        <v/>
      </c>
      <c r="W9867" s="19">
        <f>IF($I9867="","",IF(ISNUMBER($I9867),TEXT($I9867,"0"),$I9867))</f>
        <v/>
      </c>
    </row>
    <row r="9868">
      <c r="B9868" s="25" t="n"/>
      <c r="I9868" s="25" t="n"/>
      <c r="U9868" s="19">
        <f>IF($V9868&lt;&gt;'設定'!$C$4,N(U9867),IF(OR(NOT(COUNTIF('商品マスタ'!$B$6:$B$1005,$W9868)=0),COUNTIFS('①在庫を貼る'!$V$6:$V$10005,$V9868,'①在庫を貼る'!$W$6:$W$10005,$W9868)&gt;0),N(U9867),N(U9867)+1))</f>
        <v/>
      </c>
      <c r="V9868" s="19">
        <f>IF($B9868="","",TEXT($B9868,"0000"))</f>
        <v/>
      </c>
      <c r="W9868" s="19">
        <f>IF($I9868="","",IF(ISNUMBER($I9868),TEXT($I9868,"0"),$I9868))</f>
        <v/>
      </c>
    </row>
    <row r="9869">
      <c r="B9869" s="25" t="n"/>
      <c r="I9869" s="25" t="n"/>
      <c r="U9869" s="19">
        <f>IF($V9869&lt;&gt;'設定'!$C$4,N(U9868),IF(OR(NOT(COUNTIF('商品マスタ'!$B$6:$B$1005,$W9869)=0),COUNTIFS('①在庫を貼る'!$V$6:$V$10005,$V9869,'①在庫を貼る'!$W$6:$W$10005,$W9869)&gt;0),N(U9868),N(U9868)+1))</f>
        <v/>
      </c>
      <c r="V9869" s="19">
        <f>IF($B9869="","",TEXT($B9869,"0000"))</f>
        <v/>
      </c>
      <c r="W9869" s="19">
        <f>IF($I9869="","",IF(ISNUMBER($I9869),TEXT($I9869,"0"),$I9869))</f>
        <v/>
      </c>
    </row>
    <row r="9870">
      <c r="B9870" s="25" t="n"/>
      <c r="I9870" s="25" t="n"/>
      <c r="U9870" s="19">
        <f>IF($V9870&lt;&gt;'設定'!$C$4,N(U9869),IF(OR(NOT(COUNTIF('商品マスタ'!$B$6:$B$1005,$W9870)=0),COUNTIFS('①在庫を貼る'!$V$6:$V$10005,$V9870,'①在庫を貼る'!$W$6:$W$10005,$W9870)&gt;0),N(U9869),N(U9869)+1))</f>
        <v/>
      </c>
      <c r="V9870" s="19">
        <f>IF($B9870="","",TEXT($B9870,"0000"))</f>
        <v/>
      </c>
      <c r="W9870" s="19">
        <f>IF($I9870="","",IF(ISNUMBER($I9870),TEXT($I9870,"0"),$I9870))</f>
        <v/>
      </c>
    </row>
    <row r="9871">
      <c r="B9871" s="25" t="n"/>
      <c r="I9871" s="25" t="n"/>
      <c r="U9871" s="19">
        <f>IF($V9871&lt;&gt;'設定'!$C$4,N(U9870),IF(OR(NOT(COUNTIF('商品マスタ'!$B$6:$B$1005,$W9871)=0),COUNTIFS('①在庫を貼る'!$V$6:$V$10005,$V9871,'①在庫を貼る'!$W$6:$W$10005,$W9871)&gt;0),N(U9870),N(U9870)+1))</f>
        <v/>
      </c>
      <c r="V9871" s="19">
        <f>IF($B9871="","",TEXT($B9871,"0000"))</f>
        <v/>
      </c>
      <c r="W9871" s="19">
        <f>IF($I9871="","",IF(ISNUMBER($I9871),TEXT($I9871,"0"),$I9871))</f>
        <v/>
      </c>
    </row>
    <row r="9872">
      <c r="B9872" s="25" t="n"/>
      <c r="I9872" s="25" t="n"/>
      <c r="U9872" s="19">
        <f>IF($V9872&lt;&gt;'設定'!$C$4,N(U9871),IF(OR(NOT(COUNTIF('商品マスタ'!$B$6:$B$1005,$W9872)=0),COUNTIFS('①在庫を貼る'!$V$6:$V$10005,$V9872,'①在庫を貼る'!$W$6:$W$10005,$W9872)&gt;0),N(U9871),N(U9871)+1))</f>
        <v/>
      </c>
      <c r="V9872" s="19">
        <f>IF($B9872="","",TEXT($B9872,"0000"))</f>
        <v/>
      </c>
      <c r="W9872" s="19">
        <f>IF($I9872="","",IF(ISNUMBER($I9872),TEXT($I9872,"0"),$I9872))</f>
        <v/>
      </c>
    </row>
    <row r="9873">
      <c r="B9873" s="25" t="n"/>
      <c r="I9873" s="25" t="n"/>
      <c r="U9873" s="19">
        <f>IF($V9873&lt;&gt;'設定'!$C$4,N(U9872),IF(OR(NOT(COUNTIF('商品マスタ'!$B$6:$B$1005,$W9873)=0),COUNTIFS('①在庫を貼る'!$V$6:$V$10005,$V9873,'①在庫を貼る'!$W$6:$W$10005,$W9873)&gt;0),N(U9872),N(U9872)+1))</f>
        <v/>
      </c>
      <c r="V9873" s="19">
        <f>IF($B9873="","",TEXT($B9873,"0000"))</f>
        <v/>
      </c>
      <c r="W9873" s="19">
        <f>IF($I9873="","",IF(ISNUMBER($I9873),TEXT($I9873,"0"),$I9873))</f>
        <v/>
      </c>
    </row>
    <row r="9874">
      <c r="B9874" s="25" t="n"/>
      <c r="I9874" s="25" t="n"/>
      <c r="U9874" s="19">
        <f>IF($V9874&lt;&gt;'設定'!$C$4,N(U9873),IF(OR(NOT(COUNTIF('商品マスタ'!$B$6:$B$1005,$W9874)=0),COUNTIFS('①在庫を貼る'!$V$6:$V$10005,$V9874,'①在庫を貼る'!$W$6:$W$10005,$W9874)&gt;0),N(U9873),N(U9873)+1))</f>
        <v/>
      </c>
      <c r="V9874" s="19">
        <f>IF($B9874="","",TEXT($B9874,"0000"))</f>
        <v/>
      </c>
      <c r="W9874" s="19">
        <f>IF($I9874="","",IF(ISNUMBER($I9874),TEXT($I9874,"0"),$I9874))</f>
        <v/>
      </c>
    </row>
    <row r="9875">
      <c r="B9875" s="25" t="n"/>
      <c r="I9875" s="25" t="n"/>
      <c r="U9875" s="19">
        <f>IF($V9875&lt;&gt;'設定'!$C$4,N(U9874),IF(OR(NOT(COUNTIF('商品マスタ'!$B$6:$B$1005,$W9875)=0),COUNTIFS('①在庫を貼る'!$V$6:$V$10005,$V9875,'①在庫を貼る'!$W$6:$W$10005,$W9875)&gt;0),N(U9874),N(U9874)+1))</f>
        <v/>
      </c>
      <c r="V9875" s="19">
        <f>IF($B9875="","",TEXT($B9875,"0000"))</f>
        <v/>
      </c>
      <c r="W9875" s="19">
        <f>IF($I9875="","",IF(ISNUMBER($I9875),TEXT($I9875,"0"),$I9875))</f>
        <v/>
      </c>
    </row>
    <row r="9876">
      <c r="B9876" s="25" t="n"/>
      <c r="I9876" s="25" t="n"/>
      <c r="U9876" s="19">
        <f>IF($V9876&lt;&gt;'設定'!$C$4,N(U9875),IF(OR(NOT(COUNTIF('商品マスタ'!$B$6:$B$1005,$W9876)=0),COUNTIFS('①在庫を貼る'!$V$6:$V$10005,$V9876,'①在庫を貼る'!$W$6:$W$10005,$W9876)&gt;0),N(U9875),N(U9875)+1))</f>
        <v/>
      </c>
      <c r="V9876" s="19">
        <f>IF($B9876="","",TEXT($B9876,"0000"))</f>
        <v/>
      </c>
      <c r="W9876" s="19">
        <f>IF($I9876="","",IF(ISNUMBER($I9876),TEXT($I9876,"0"),$I9876))</f>
        <v/>
      </c>
    </row>
    <row r="9877">
      <c r="B9877" s="25" t="n"/>
      <c r="I9877" s="25" t="n"/>
      <c r="U9877" s="19">
        <f>IF($V9877&lt;&gt;'設定'!$C$4,N(U9876),IF(OR(NOT(COUNTIF('商品マスタ'!$B$6:$B$1005,$W9877)=0),COUNTIFS('①在庫を貼る'!$V$6:$V$10005,$V9877,'①在庫を貼る'!$W$6:$W$10005,$W9877)&gt;0),N(U9876),N(U9876)+1))</f>
        <v/>
      </c>
      <c r="V9877" s="19">
        <f>IF($B9877="","",TEXT($B9877,"0000"))</f>
        <v/>
      </c>
      <c r="W9877" s="19">
        <f>IF($I9877="","",IF(ISNUMBER($I9877),TEXT($I9877,"0"),$I9877))</f>
        <v/>
      </c>
    </row>
    <row r="9878">
      <c r="B9878" s="25" t="n"/>
      <c r="I9878" s="25" t="n"/>
      <c r="U9878" s="19">
        <f>IF($V9878&lt;&gt;'設定'!$C$4,N(U9877),IF(OR(NOT(COUNTIF('商品マスタ'!$B$6:$B$1005,$W9878)=0),COUNTIFS('①在庫を貼る'!$V$6:$V$10005,$V9878,'①在庫を貼る'!$W$6:$W$10005,$W9878)&gt;0),N(U9877),N(U9877)+1))</f>
        <v/>
      </c>
      <c r="V9878" s="19">
        <f>IF($B9878="","",TEXT($B9878,"0000"))</f>
        <v/>
      </c>
      <c r="W9878" s="19">
        <f>IF($I9878="","",IF(ISNUMBER($I9878),TEXT($I9878,"0"),$I9878))</f>
        <v/>
      </c>
    </row>
    <row r="9879">
      <c r="B9879" s="25" t="n"/>
      <c r="I9879" s="25" t="n"/>
      <c r="U9879" s="19">
        <f>IF($V9879&lt;&gt;'設定'!$C$4,N(U9878),IF(OR(NOT(COUNTIF('商品マスタ'!$B$6:$B$1005,$W9879)=0),COUNTIFS('①在庫を貼る'!$V$6:$V$10005,$V9879,'①在庫を貼る'!$W$6:$W$10005,$W9879)&gt;0),N(U9878),N(U9878)+1))</f>
        <v/>
      </c>
      <c r="V9879" s="19">
        <f>IF($B9879="","",TEXT($B9879,"0000"))</f>
        <v/>
      </c>
      <c r="W9879" s="19">
        <f>IF($I9879="","",IF(ISNUMBER($I9879),TEXT($I9879,"0"),$I9879))</f>
        <v/>
      </c>
    </row>
    <row r="9880">
      <c r="B9880" s="25" t="n"/>
      <c r="I9880" s="25" t="n"/>
      <c r="U9880" s="19">
        <f>IF($V9880&lt;&gt;'設定'!$C$4,N(U9879),IF(OR(NOT(COUNTIF('商品マスタ'!$B$6:$B$1005,$W9880)=0),COUNTIFS('①在庫を貼る'!$V$6:$V$10005,$V9880,'①在庫を貼る'!$W$6:$W$10005,$W9880)&gt;0),N(U9879),N(U9879)+1))</f>
        <v/>
      </c>
      <c r="V9880" s="19">
        <f>IF($B9880="","",TEXT($B9880,"0000"))</f>
        <v/>
      </c>
      <c r="W9880" s="19">
        <f>IF($I9880="","",IF(ISNUMBER($I9880),TEXT($I9880,"0"),$I9880))</f>
        <v/>
      </c>
    </row>
    <row r="9881">
      <c r="B9881" s="25" t="n"/>
      <c r="I9881" s="25" t="n"/>
      <c r="U9881" s="19">
        <f>IF($V9881&lt;&gt;'設定'!$C$4,N(U9880),IF(OR(NOT(COUNTIF('商品マスタ'!$B$6:$B$1005,$W9881)=0),COUNTIFS('①在庫を貼る'!$V$6:$V$10005,$V9881,'①在庫を貼る'!$W$6:$W$10005,$W9881)&gt;0),N(U9880),N(U9880)+1))</f>
        <v/>
      </c>
      <c r="V9881" s="19">
        <f>IF($B9881="","",TEXT($B9881,"0000"))</f>
        <v/>
      </c>
      <c r="W9881" s="19">
        <f>IF($I9881="","",IF(ISNUMBER($I9881),TEXT($I9881,"0"),$I9881))</f>
        <v/>
      </c>
    </row>
    <row r="9882">
      <c r="B9882" s="25" t="n"/>
      <c r="I9882" s="25" t="n"/>
      <c r="U9882" s="19">
        <f>IF($V9882&lt;&gt;'設定'!$C$4,N(U9881),IF(OR(NOT(COUNTIF('商品マスタ'!$B$6:$B$1005,$W9882)=0),COUNTIFS('①在庫を貼る'!$V$6:$V$10005,$V9882,'①在庫を貼る'!$W$6:$W$10005,$W9882)&gt;0),N(U9881),N(U9881)+1))</f>
        <v/>
      </c>
      <c r="V9882" s="19">
        <f>IF($B9882="","",TEXT($B9882,"0000"))</f>
        <v/>
      </c>
      <c r="W9882" s="19">
        <f>IF($I9882="","",IF(ISNUMBER($I9882),TEXT($I9882,"0"),$I9882))</f>
        <v/>
      </c>
    </row>
    <row r="9883">
      <c r="B9883" s="25" t="n"/>
      <c r="I9883" s="25" t="n"/>
      <c r="U9883" s="19">
        <f>IF($V9883&lt;&gt;'設定'!$C$4,N(U9882),IF(OR(NOT(COUNTIF('商品マスタ'!$B$6:$B$1005,$W9883)=0),COUNTIFS('①在庫を貼る'!$V$6:$V$10005,$V9883,'①在庫を貼る'!$W$6:$W$10005,$W9883)&gt;0),N(U9882),N(U9882)+1))</f>
        <v/>
      </c>
      <c r="V9883" s="19">
        <f>IF($B9883="","",TEXT($B9883,"0000"))</f>
        <v/>
      </c>
      <c r="W9883" s="19">
        <f>IF($I9883="","",IF(ISNUMBER($I9883),TEXT($I9883,"0"),$I9883))</f>
        <v/>
      </c>
    </row>
    <row r="9884">
      <c r="B9884" s="25" t="n"/>
      <c r="I9884" s="25" t="n"/>
      <c r="U9884" s="19">
        <f>IF($V9884&lt;&gt;'設定'!$C$4,N(U9883),IF(OR(NOT(COUNTIF('商品マスタ'!$B$6:$B$1005,$W9884)=0),COUNTIFS('①在庫を貼る'!$V$6:$V$10005,$V9884,'①在庫を貼る'!$W$6:$W$10005,$W9884)&gt;0),N(U9883),N(U9883)+1))</f>
        <v/>
      </c>
      <c r="V9884" s="19">
        <f>IF($B9884="","",TEXT($B9884,"0000"))</f>
        <v/>
      </c>
      <c r="W9884" s="19">
        <f>IF($I9884="","",IF(ISNUMBER($I9884),TEXT($I9884,"0"),$I9884))</f>
        <v/>
      </c>
    </row>
    <row r="9885">
      <c r="B9885" s="25" t="n"/>
      <c r="I9885" s="25" t="n"/>
      <c r="U9885" s="19">
        <f>IF($V9885&lt;&gt;'設定'!$C$4,N(U9884),IF(OR(NOT(COUNTIF('商品マスタ'!$B$6:$B$1005,$W9885)=0),COUNTIFS('①在庫を貼る'!$V$6:$V$10005,$V9885,'①在庫を貼る'!$W$6:$W$10005,$W9885)&gt;0),N(U9884),N(U9884)+1))</f>
        <v/>
      </c>
      <c r="V9885" s="19">
        <f>IF($B9885="","",TEXT($B9885,"0000"))</f>
        <v/>
      </c>
      <c r="W9885" s="19">
        <f>IF($I9885="","",IF(ISNUMBER($I9885),TEXT($I9885,"0"),$I9885))</f>
        <v/>
      </c>
    </row>
    <row r="9886">
      <c r="B9886" s="25" t="n"/>
      <c r="I9886" s="25" t="n"/>
      <c r="U9886" s="19">
        <f>IF($V9886&lt;&gt;'設定'!$C$4,N(U9885),IF(OR(NOT(COUNTIF('商品マスタ'!$B$6:$B$1005,$W9886)=0),COUNTIFS('①在庫を貼る'!$V$6:$V$10005,$V9886,'①在庫を貼る'!$W$6:$W$10005,$W9886)&gt;0),N(U9885),N(U9885)+1))</f>
        <v/>
      </c>
      <c r="V9886" s="19">
        <f>IF($B9886="","",TEXT($B9886,"0000"))</f>
        <v/>
      </c>
      <c r="W9886" s="19">
        <f>IF($I9886="","",IF(ISNUMBER($I9886),TEXT($I9886,"0"),$I9886))</f>
        <v/>
      </c>
    </row>
    <row r="9887">
      <c r="B9887" s="25" t="n"/>
      <c r="I9887" s="25" t="n"/>
      <c r="U9887" s="19">
        <f>IF($V9887&lt;&gt;'設定'!$C$4,N(U9886),IF(OR(NOT(COUNTIF('商品マスタ'!$B$6:$B$1005,$W9887)=0),COUNTIFS('①在庫を貼る'!$V$6:$V$10005,$V9887,'①在庫を貼る'!$W$6:$W$10005,$W9887)&gt;0),N(U9886),N(U9886)+1))</f>
        <v/>
      </c>
      <c r="V9887" s="19">
        <f>IF($B9887="","",TEXT($B9887,"0000"))</f>
        <v/>
      </c>
      <c r="W9887" s="19">
        <f>IF($I9887="","",IF(ISNUMBER($I9887),TEXT($I9887,"0"),$I9887))</f>
        <v/>
      </c>
    </row>
    <row r="9888">
      <c r="B9888" s="25" t="n"/>
      <c r="I9888" s="25" t="n"/>
      <c r="U9888" s="19">
        <f>IF($V9888&lt;&gt;'設定'!$C$4,N(U9887),IF(OR(NOT(COUNTIF('商品マスタ'!$B$6:$B$1005,$W9888)=0),COUNTIFS('①在庫を貼る'!$V$6:$V$10005,$V9888,'①在庫を貼る'!$W$6:$W$10005,$W9888)&gt;0),N(U9887),N(U9887)+1))</f>
        <v/>
      </c>
      <c r="V9888" s="19">
        <f>IF($B9888="","",TEXT($B9888,"0000"))</f>
        <v/>
      </c>
      <c r="W9888" s="19">
        <f>IF($I9888="","",IF(ISNUMBER($I9888),TEXT($I9888,"0"),$I9888))</f>
        <v/>
      </c>
    </row>
    <row r="9889">
      <c r="B9889" s="25" t="n"/>
      <c r="I9889" s="25" t="n"/>
      <c r="U9889" s="19">
        <f>IF($V9889&lt;&gt;'設定'!$C$4,N(U9888),IF(OR(NOT(COUNTIF('商品マスタ'!$B$6:$B$1005,$W9889)=0),COUNTIFS('①在庫を貼る'!$V$6:$V$10005,$V9889,'①在庫を貼る'!$W$6:$W$10005,$W9889)&gt;0),N(U9888),N(U9888)+1))</f>
        <v/>
      </c>
      <c r="V9889" s="19">
        <f>IF($B9889="","",TEXT($B9889,"0000"))</f>
        <v/>
      </c>
      <c r="W9889" s="19">
        <f>IF($I9889="","",IF(ISNUMBER($I9889),TEXT($I9889,"0"),$I9889))</f>
        <v/>
      </c>
    </row>
    <row r="9890">
      <c r="B9890" s="25" t="n"/>
      <c r="I9890" s="25" t="n"/>
      <c r="U9890" s="19">
        <f>IF($V9890&lt;&gt;'設定'!$C$4,N(U9889),IF(OR(NOT(COUNTIF('商品マスタ'!$B$6:$B$1005,$W9890)=0),COUNTIFS('①在庫を貼る'!$V$6:$V$10005,$V9890,'①在庫を貼る'!$W$6:$W$10005,$W9890)&gt;0),N(U9889),N(U9889)+1))</f>
        <v/>
      </c>
      <c r="V9890" s="19">
        <f>IF($B9890="","",TEXT($B9890,"0000"))</f>
        <v/>
      </c>
      <c r="W9890" s="19">
        <f>IF($I9890="","",IF(ISNUMBER($I9890),TEXT($I9890,"0"),$I9890))</f>
        <v/>
      </c>
    </row>
    <row r="9891">
      <c r="B9891" s="25" t="n"/>
      <c r="I9891" s="25" t="n"/>
      <c r="U9891" s="19">
        <f>IF($V9891&lt;&gt;'設定'!$C$4,N(U9890),IF(OR(NOT(COUNTIF('商品マスタ'!$B$6:$B$1005,$W9891)=0),COUNTIFS('①在庫を貼る'!$V$6:$V$10005,$V9891,'①在庫を貼る'!$W$6:$W$10005,$W9891)&gt;0),N(U9890),N(U9890)+1))</f>
        <v/>
      </c>
      <c r="V9891" s="19">
        <f>IF($B9891="","",TEXT($B9891,"0000"))</f>
        <v/>
      </c>
      <c r="W9891" s="19">
        <f>IF($I9891="","",IF(ISNUMBER($I9891),TEXT($I9891,"0"),$I9891))</f>
        <v/>
      </c>
    </row>
    <row r="9892">
      <c r="B9892" s="25" t="n"/>
      <c r="I9892" s="25" t="n"/>
      <c r="U9892" s="19">
        <f>IF($V9892&lt;&gt;'設定'!$C$4,N(U9891),IF(OR(NOT(COUNTIF('商品マスタ'!$B$6:$B$1005,$W9892)=0),COUNTIFS('①在庫を貼る'!$V$6:$V$10005,$V9892,'①在庫を貼る'!$W$6:$W$10005,$W9892)&gt;0),N(U9891),N(U9891)+1))</f>
        <v/>
      </c>
      <c r="V9892" s="19">
        <f>IF($B9892="","",TEXT($B9892,"0000"))</f>
        <v/>
      </c>
      <c r="W9892" s="19">
        <f>IF($I9892="","",IF(ISNUMBER($I9892),TEXT($I9892,"0"),$I9892))</f>
        <v/>
      </c>
    </row>
    <row r="9893">
      <c r="B9893" s="25" t="n"/>
      <c r="I9893" s="25" t="n"/>
      <c r="U9893" s="19">
        <f>IF($V9893&lt;&gt;'設定'!$C$4,N(U9892),IF(OR(NOT(COUNTIF('商品マスタ'!$B$6:$B$1005,$W9893)=0),COUNTIFS('①在庫を貼る'!$V$6:$V$10005,$V9893,'①在庫を貼る'!$W$6:$W$10005,$W9893)&gt;0),N(U9892),N(U9892)+1))</f>
        <v/>
      </c>
      <c r="V9893" s="19">
        <f>IF($B9893="","",TEXT($B9893,"0000"))</f>
        <v/>
      </c>
      <c r="W9893" s="19">
        <f>IF($I9893="","",IF(ISNUMBER($I9893),TEXT($I9893,"0"),$I9893))</f>
        <v/>
      </c>
    </row>
    <row r="9894">
      <c r="B9894" s="25" t="n"/>
      <c r="I9894" s="25" t="n"/>
      <c r="U9894" s="19">
        <f>IF($V9894&lt;&gt;'設定'!$C$4,N(U9893),IF(OR(NOT(COUNTIF('商品マスタ'!$B$6:$B$1005,$W9894)=0),COUNTIFS('①在庫を貼る'!$V$6:$V$10005,$V9894,'①在庫を貼る'!$W$6:$W$10005,$W9894)&gt;0),N(U9893),N(U9893)+1))</f>
        <v/>
      </c>
      <c r="V9894" s="19">
        <f>IF($B9894="","",TEXT($B9894,"0000"))</f>
        <v/>
      </c>
      <c r="W9894" s="19">
        <f>IF($I9894="","",IF(ISNUMBER($I9894),TEXT($I9894,"0"),$I9894))</f>
        <v/>
      </c>
    </row>
    <row r="9895">
      <c r="B9895" s="25" t="n"/>
      <c r="I9895" s="25" t="n"/>
      <c r="U9895" s="19">
        <f>IF($V9895&lt;&gt;'設定'!$C$4,N(U9894),IF(OR(NOT(COUNTIF('商品マスタ'!$B$6:$B$1005,$W9895)=0),COUNTIFS('①在庫を貼る'!$V$6:$V$10005,$V9895,'①在庫を貼る'!$W$6:$W$10005,$W9895)&gt;0),N(U9894),N(U9894)+1))</f>
        <v/>
      </c>
      <c r="V9895" s="19">
        <f>IF($B9895="","",TEXT($B9895,"0000"))</f>
        <v/>
      </c>
      <c r="W9895" s="19">
        <f>IF($I9895="","",IF(ISNUMBER($I9895),TEXT($I9895,"0"),$I9895))</f>
        <v/>
      </c>
    </row>
    <row r="9896">
      <c r="B9896" s="25" t="n"/>
      <c r="I9896" s="25" t="n"/>
      <c r="U9896" s="19">
        <f>IF($V9896&lt;&gt;'設定'!$C$4,N(U9895),IF(OR(NOT(COUNTIF('商品マスタ'!$B$6:$B$1005,$W9896)=0),COUNTIFS('①在庫を貼る'!$V$6:$V$10005,$V9896,'①在庫を貼る'!$W$6:$W$10005,$W9896)&gt;0),N(U9895),N(U9895)+1))</f>
        <v/>
      </c>
      <c r="V9896" s="19">
        <f>IF($B9896="","",TEXT($B9896,"0000"))</f>
        <v/>
      </c>
      <c r="W9896" s="19">
        <f>IF($I9896="","",IF(ISNUMBER($I9896),TEXT($I9896,"0"),$I9896))</f>
        <v/>
      </c>
    </row>
    <row r="9897">
      <c r="B9897" s="25" t="n"/>
      <c r="I9897" s="25" t="n"/>
      <c r="U9897" s="19">
        <f>IF($V9897&lt;&gt;'設定'!$C$4,N(U9896),IF(OR(NOT(COUNTIF('商品マスタ'!$B$6:$B$1005,$W9897)=0),COUNTIFS('①在庫を貼る'!$V$6:$V$10005,$V9897,'①在庫を貼る'!$W$6:$W$10005,$W9897)&gt;0),N(U9896),N(U9896)+1))</f>
        <v/>
      </c>
      <c r="V9897" s="19">
        <f>IF($B9897="","",TEXT($B9897,"0000"))</f>
        <v/>
      </c>
      <c r="W9897" s="19">
        <f>IF($I9897="","",IF(ISNUMBER($I9897),TEXT($I9897,"0"),$I9897))</f>
        <v/>
      </c>
    </row>
    <row r="9898">
      <c r="B9898" s="25" t="n"/>
      <c r="I9898" s="25" t="n"/>
      <c r="U9898" s="19">
        <f>IF($V9898&lt;&gt;'設定'!$C$4,N(U9897),IF(OR(NOT(COUNTIF('商品マスタ'!$B$6:$B$1005,$W9898)=0),COUNTIFS('①在庫を貼る'!$V$6:$V$10005,$V9898,'①在庫を貼る'!$W$6:$W$10005,$W9898)&gt;0),N(U9897),N(U9897)+1))</f>
        <v/>
      </c>
      <c r="V9898" s="19">
        <f>IF($B9898="","",TEXT($B9898,"0000"))</f>
        <v/>
      </c>
      <c r="W9898" s="19">
        <f>IF($I9898="","",IF(ISNUMBER($I9898),TEXT($I9898,"0"),$I9898))</f>
        <v/>
      </c>
    </row>
    <row r="9899">
      <c r="B9899" s="25" t="n"/>
      <c r="I9899" s="25" t="n"/>
      <c r="U9899" s="19">
        <f>IF($V9899&lt;&gt;'設定'!$C$4,N(U9898),IF(OR(NOT(COUNTIF('商品マスタ'!$B$6:$B$1005,$W9899)=0),COUNTIFS('①在庫を貼る'!$V$6:$V$10005,$V9899,'①在庫を貼る'!$W$6:$W$10005,$W9899)&gt;0),N(U9898),N(U9898)+1))</f>
        <v/>
      </c>
      <c r="V9899" s="19">
        <f>IF($B9899="","",TEXT($B9899,"0000"))</f>
        <v/>
      </c>
      <c r="W9899" s="19">
        <f>IF($I9899="","",IF(ISNUMBER($I9899),TEXT($I9899,"0"),$I9899))</f>
        <v/>
      </c>
    </row>
    <row r="9900">
      <c r="B9900" s="25" t="n"/>
      <c r="I9900" s="25" t="n"/>
      <c r="U9900" s="19">
        <f>IF($V9900&lt;&gt;'設定'!$C$4,N(U9899),IF(OR(NOT(COUNTIF('商品マスタ'!$B$6:$B$1005,$W9900)=0),COUNTIFS('①在庫を貼る'!$V$6:$V$10005,$V9900,'①在庫を貼る'!$W$6:$W$10005,$W9900)&gt;0),N(U9899),N(U9899)+1))</f>
        <v/>
      </c>
      <c r="V9900" s="19">
        <f>IF($B9900="","",TEXT($B9900,"0000"))</f>
        <v/>
      </c>
      <c r="W9900" s="19">
        <f>IF($I9900="","",IF(ISNUMBER($I9900),TEXT($I9900,"0"),$I9900))</f>
        <v/>
      </c>
    </row>
    <row r="9901">
      <c r="B9901" s="25" t="n"/>
      <c r="I9901" s="25" t="n"/>
      <c r="U9901" s="19">
        <f>IF($V9901&lt;&gt;'設定'!$C$4,N(U9900),IF(OR(NOT(COUNTIF('商品マスタ'!$B$6:$B$1005,$W9901)=0),COUNTIFS('①在庫を貼る'!$V$6:$V$10005,$V9901,'①在庫を貼る'!$W$6:$W$10005,$W9901)&gt;0),N(U9900),N(U9900)+1))</f>
        <v/>
      </c>
      <c r="V9901" s="19">
        <f>IF($B9901="","",TEXT($B9901,"0000"))</f>
        <v/>
      </c>
      <c r="W9901" s="19">
        <f>IF($I9901="","",IF(ISNUMBER($I9901),TEXT($I9901,"0"),$I9901))</f>
        <v/>
      </c>
    </row>
    <row r="9902">
      <c r="B9902" s="25" t="n"/>
      <c r="I9902" s="25" t="n"/>
      <c r="U9902" s="19">
        <f>IF($V9902&lt;&gt;'設定'!$C$4,N(U9901),IF(OR(NOT(COUNTIF('商品マスタ'!$B$6:$B$1005,$W9902)=0),COUNTIFS('①在庫を貼る'!$V$6:$V$10005,$V9902,'①在庫を貼る'!$W$6:$W$10005,$W9902)&gt;0),N(U9901),N(U9901)+1))</f>
        <v/>
      </c>
      <c r="V9902" s="19">
        <f>IF($B9902="","",TEXT($B9902,"0000"))</f>
        <v/>
      </c>
      <c r="W9902" s="19">
        <f>IF($I9902="","",IF(ISNUMBER($I9902),TEXT($I9902,"0"),$I9902))</f>
        <v/>
      </c>
    </row>
    <row r="9903">
      <c r="B9903" s="25" t="n"/>
      <c r="I9903" s="25" t="n"/>
      <c r="U9903" s="19">
        <f>IF($V9903&lt;&gt;'設定'!$C$4,N(U9902),IF(OR(NOT(COUNTIF('商品マスタ'!$B$6:$B$1005,$W9903)=0),COUNTIFS('①在庫を貼る'!$V$6:$V$10005,$V9903,'①在庫を貼る'!$W$6:$W$10005,$W9903)&gt;0),N(U9902),N(U9902)+1))</f>
        <v/>
      </c>
      <c r="V9903" s="19">
        <f>IF($B9903="","",TEXT($B9903,"0000"))</f>
        <v/>
      </c>
      <c r="W9903" s="19">
        <f>IF($I9903="","",IF(ISNUMBER($I9903),TEXT($I9903,"0"),$I9903))</f>
        <v/>
      </c>
    </row>
    <row r="9904">
      <c r="B9904" s="25" t="n"/>
      <c r="I9904" s="25" t="n"/>
      <c r="U9904" s="19">
        <f>IF($V9904&lt;&gt;'設定'!$C$4,N(U9903),IF(OR(NOT(COUNTIF('商品マスタ'!$B$6:$B$1005,$W9904)=0),COUNTIFS('①在庫を貼る'!$V$6:$V$10005,$V9904,'①在庫を貼る'!$W$6:$W$10005,$W9904)&gt;0),N(U9903),N(U9903)+1))</f>
        <v/>
      </c>
      <c r="V9904" s="19">
        <f>IF($B9904="","",TEXT($B9904,"0000"))</f>
        <v/>
      </c>
      <c r="W9904" s="19">
        <f>IF($I9904="","",IF(ISNUMBER($I9904),TEXT($I9904,"0"),$I9904))</f>
        <v/>
      </c>
    </row>
    <row r="9905">
      <c r="B9905" s="25" t="n"/>
      <c r="I9905" s="25" t="n"/>
      <c r="U9905" s="19">
        <f>IF($V9905&lt;&gt;'設定'!$C$4,N(U9904),IF(OR(NOT(COUNTIF('商品マスタ'!$B$6:$B$1005,$W9905)=0),COUNTIFS('①在庫を貼る'!$V$6:$V$10005,$V9905,'①在庫を貼る'!$W$6:$W$10005,$W9905)&gt;0),N(U9904),N(U9904)+1))</f>
        <v/>
      </c>
      <c r="V9905" s="19">
        <f>IF($B9905="","",TEXT($B9905,"0000"))</f>
        <v/>
      </c>
      <c r="W9905" s="19">
        <f>IF($I9905="","",IF(ISNUMBER($I9905),TEXT($I9905,"0"),$I9905))</f>
        <v/>
      </c>
    </row>
    <row r="9906">
      <c r="B9906" s="25" t="n"/>
      <c r="I9906" s="25" t="n"/>
      <c r="U9906" s="19">
        <f>IF($V9906&lt;&gt;'設定'!$C$4,N(U9905),IF(OR(NOT(COUNTIF('商品マスタ'!$B$6:$B$1005,$W9906)=0),COUNTIFS('①在庫を貼る'!$V$6:$V$10005,$V9906,'①在庫を貼る'!$W$6:$W$10005,$W9906)&gt;0),N(U9905),N(U9905)+1))</f>
        <v/>
      </c>
      <c r="V9906" s="19">
        <f>IF($B9906="","",TEXT($B9906,"0000"))</f>
        <v/>
      </c>
      <c r="W9906" s="19">
        <f>IF($I9906="","",IF(ISNUMBER($I9906),TEXT($I9906,"0"),$I9906))</f>
        <v/>
      </c>
    </row>
    <row r="9907">
      <c r="B9907" s="25" t="n"/>
      <c r="I9907" s="25" t="n"/>
      <c r="U9907" s="19">
        <f>IF($V9907&lt;&gt;'設定'!$C$4,N(U9906),IF(OR(NOT(COUNTIF('商品マスタ'!$B$6:$B$1005,$W9907)=0),COUNTIFS('①在庫を貼る'!$V$6:$V$10005,$V9907,'①在庫を貼る'!$W$6:$W$10005,$W9907)&gt;0),N(U9906),N(U9906)+1))</f>
        <v/>
      </c>
      <c r="V9907" s="19">
        <f>IF($B9907="","",TEXT($B9907,"0000"))</f>
        <v/>
      </c>
      <c r="W9907" s="19">
        <f>IF($I9907="","",IF(ISNUMBER($I9907),TEXT($I9907,"0"),$I9907))</f>
        <v/>
      </c>
    </row>
    <row r="9908">
      <c r="B9908" s="25" t="n"/>
      <c r="I9908" s="25" t="n"/>
      <c r="U9908" s="19">
        <f>IF($V9908&lt;&gt;'設定'!$C$4,N(U9907),IF(OR(NOT(COUNTIF('商品マスタ'!$B$6:$B$1005,$W9908)=0),COUNTIFS('①在庫を貼る'!$V$6:$V$10005,$V9908,'①在庫を貼る'!$W$6:$W$10005,$W9908)&gt;0),N(U9907),N(U9907)+1))</f>
        <v/>
      </c>
      <c r="V9908" s="19">
        <f>IF($B9908="","",TEXT($B9908,"0000"))</f>
        <v/>
      </c>
      <c r="W9908" s="19">
        <f>IF($I9908="","",IF(ISNUMBER($I9908),TEXT($I9908,"0"),$I9908))</f>
        <v/>
      </c>
    </row>
    <row r="9909">
      <c r="B9909" s="25" t="n"/>
      <c r="I9909" s="25" t="n"/>
      <c r="U9909" s="19">
        <f>IF($V9909&lt;&gt;'設定'!$C$4,N(U9908),IF(OR(NOT(COUNTIF('商品マスタ'!$B$6:$B$1005,$W9909)=0),COUNTIFS('①在庫を貼る'!$V$6:$V$10005,$V9909,'①在庫を貼る'!$W$6:$W$10005,$W9909)&gt;0),N(U9908),N(U9908)+1))</f>
        <v/>
      </c>
      <c r="V9909" s="19">
        <f>IF($B9909="","",TEXT($B9909,"0000"))</f>
        <v/>
      </c>
      <c r="W9909" s="19">
        <f>IF($I9909="","",IF(ISNUMBER($I9909),TEXT($I9909,"0"),$I9909))</f>
        <v/>
      </c>
    </row>
    <row r="9910">
      <c r="B9910" s="25" t="n"/>
      <c r="I9910" s="25" t="n"/>
      <c r="U9910" s="19">
        <f>IF($V9910&lt;&gt;'設定'!$C$4,N(U9909),IF(OR(NOT(COUNTIF('商品マスタ'!$B$6:$B$1005,$W9910)=0),COUNTIFS('①在庫を貼る'!$V$6:$V$10005,$V9910,'①在庫を貼る'!$W$6:$W$10005,$W9910)&gt;0),N(U9909),N(U9909)+1))</f>
        <v/>
      </c>
      <c r="V9910" s="19">
        <f>IF($B9910="","",TEXT($B9910,"0000"))</f>
        <v/>
      </c>
      <c r="W9910" s="19">
        <f>IF($I9910="","",IF(ISNUMBER($I9910),TEXT($I9910,"0"),$I9910))</f>
        <v/>
      </c>
    </row>
    <row r="9911">
      <c r="B9911" s="25" t="n"/>
      <c r="I9911" s="25" t="n"/>
      <c r="U9911" s="19">
        <f>IF($V9911&lt;&gt;'設定'!$C$4,N(U9910),IF(OR(NOT(COUNTIF('商品マスタ'!$B$6:$B$1005,$W9911)=0),COUNTIFS('①在庫を貼る'!$V$6:$V$10005,$V9911,'①在庫を貼る'!$W$6:$W$10005,$W9911)&gt;0),N(U9910),N(U9910)+1))</f>
        <v/>
      </c>
      <c r="V9911" s="19">
        <f>IF($B9911="","",TEXT($B9911,"0000"))</f>
        <v/>
      </c>
      <c r="W9911" s="19">
        <f>IF($I9911="","",IF(ISNUMBER($I9911),TEXT($I9911,"0"),$I9911))</f>
        <v/>
      </c>
    </row>
    <row r="9912">
      <c r="B9912" s="25" t="n"/>
      <c r="I9912" s="25" t="n"/>
      <c r="U9912" s="19">
        <f>IF($V9912&lt;&gt;'設定'!$C$4,N(U9911),IF(OR(NOT(COUNTIF('商品マスタ'!$B$6:$B$1005,$W9912)=0),COUNTIFS('①在庫を貼る'!$V$6:$V$10005,$V9912,'①在庫を貼る'!$W$6:$W$10005,$W9912)&gt;0),N(U9911),N(U9911)+1))</f>
        <v/>
      </c>
      <c r="V9912" s="19">
        <f>IF($B9912="","",TEXT($B9912,"0000"))</f>
        <v/>
      </c>
      <c r="W9912" s="19">
        <f>IF($I9912="","",IF(ISNUMBER($I9912),TEXT($I9912,"0"),$I9912))</f>
        <v/>
      </c>
    </row>
    <row r="9913">
      <c r="B9913" s="25" t="n"/>
      <c r="I9913" s="25" t="n"/>
      <c r="U9913" s="19">
        <f>IF($V9913&lt;&gt;'設定'!$C$4,N(U9912),IF(OR(NOT(COUNTIF('商品マスタ'!$B$6:$B$1005,$W9913)=0),COUNTIFS('①在庫を貼る'!$V$6:$V$10005,$V9913,'①在庫を貼る'!$W$6:$W$10005,$W9913)&gt;0),N(U9912),N(U9912)+1))</f>
        <v/>
      </c>
      <c r="V9913" s="19">
        <f>IF($B9913="","",TEXT($B9913,"0000"))</f>
        <v/>
      </c>
      <c r="W9913" s="19">
        <f>IF($I9913="","",IF(ISNUMBER($I9913),TEXT($I9913,"0"),$I9913))</f>
        <v/>
      </c>
    </row>
    <row r="9914">
      <c r="B9914" s="25" t="n"/>
      <c r="I9914" s="25" t="n"/>
      <c r="U9914" s="19">
        <f>IF($V9914&lt;&gt;'設定'!$C$4,N(U9913),IF(OR(NOT(COUNTIF('商品マスタ'!$B$6:$B$1005,$W9914)=0),COUNTIFS('①在庫を貼る'!$V$6:$V$10005,$V9914,'①在庫を貼る'!$W$6:$W$10005,$W9914)&gt;0),N(U9913),N(U9913)+1))</f>
        <v/>
      </c>
      <c r="V9914" s="19">
        <f>IF($B9914="","",TEXT($B9914,"0000"))</f>
        <v/>
      </c>
      <c r="W9914" s="19">
        <f>IF($I9914="","",IF(ISNUMBER($I9914),TEXT($I9914,"0"),$I9914))</f>
        <v/>
      </c>
    </row>
    <row r="9915">
      <c r="B9915" s="25" t="n"/>
      <c r="I9915" s="25" t="n"/>
      <c r="U9915" s="19">
        <f>IF($V9915&lt;&gt;'設定'!$C$4,N(U9914),IF(OR(NOT(COUNTIF('商品マスタ'!$B$6:$B$1005,$W9915)=0),COUNTIFS('①在庫を貼る'!$V$6:$V$10005,$V9915,'①在庫を貼る'!$W$6:$W$10005,$W9915)&gt;0),N(U9914),N(U9914)+1))</f>
        <v/>
      </c>
      <c r="V9915" s="19">
        <f>IF($B9915="","",TEXT($B9915,"0000"))</f>
        <v/>
      </c>
      <c r="W9915" s="19">
        <f>IF($I9915="","",IF(ISNUMBER($I9915),TEXT($I9915,"0"),$I9915))</f>
        <v/>
      </c>
    </row>
    <row r="9916">
      <c r="B9916" s="25" t="n"/>
      <c r="I9916" s="25" t="n"/>
      <c r="U9916" s="19">
        <f>IF($V9916&lt;&gt;'設定'!$C$4,N(U9915),IF(OR(NOT(COUNTIF('商品マスタ'!$B$6:$B$1005,$W9916)=0),COUNTIFS('①在庫を貼る'!$V$6:$V$10005,$V9916,'①在庫を貼る'!$W$6:$W$10005,$W9916)&gt;0),N(U9915),N(U9915)+1))</f>
        <v/>
      </c>
      <c r="V9916" s="19">
        <f>IF($B9916="","",TEXT($B9916,"0000"))</f>
        <v/>
      </c>
      <c r="W9916" s="19">
        <f>IF($I9916="","",IF(ISNUMBER($I9916),TEXT($I9916,"0"),$I9916))</f>
        <v/>
      </c>
    </row>
    <row r="9917">
      <c r="B9917" s="25" t="n"/>
      <c r="I9917" s="25" t="n"/>
      <c r="U9917" s="19">
        <f>IF($V9917&lt;&gt;'設定'!$C$4,N(U9916),IF(OR(NOT(COUNTIF('商品マスタ'!$B$6:$B$1005,$W9917)=0),COUNTIFS('①在庫を貼る'!$V$6:$V$10005,$V9917,'①在庫を貼る'!$W$6:$W$10005,$W9917)&gt;0),N(U9916),N(U9916)+1))</f>
        <v/>
      </c>
      <c r="V9917" s="19">
        <f>IF($B9917="","",TEXT($B9917,"0000"))</f>
        <v/>
      </c>
      <c r="W9917" s="19">
        <f>IF($I9917="","",IF(ISNUMBER($I9917),TEXT($I9917,"0"),$I9917))</f>
        <v/>
      </c>
    </row>
    <row r="9918">
      <c r="B9918" s="25" t="n"/>
      <c r="I9918" s="25" t="n"/>
      <c r="U9918" s="19">
        <f>IF($V9918&lt;&gt;'設定'!$C$4,N(U9917),IF(OR(NOT(COUNTIF('商品マスタ'!$B$6:$B$1005,$W9918)=0),COUNTIFS('①在庫を貼る'!$V$6:$V$10005,$V9918,'①在庫を貼る'!$W$6:$W$10005,$W9918)&gt;0),N(U9917),N(U9917)+1))</f>
        <v/>
      </c>
      <c r="V9918" s="19">
        <f>IF($B9918="","",TEXT($B9918,"0000"))</f>
        <v/>
      </c>
      <c r="W9918" s="19">
        <f>IF($I9918="","",IF(ISNUMBER($I9918),TEXT($I9918,"0"),$I9918))</f>
        <v/>
      </c>
    </row>
    <row r="9919">
      <c r="B9919" s="25" t="n"/>
      <c r="I9919" s="25" t="n"/>
      <c r="U9919" s="19">
        <f>IF($V9919&lt;&gt;'設定'!$C$4,N(U9918),IF(OR(NOT(COUNTIF('商品マスタ'!$B$6:$B$1005,$W9919)=0),COUNTIFS('①在庫を貼る'!$V$6:$V$10005,$V9919,'①在庫を貼る'!$W$6:$W$10005,$W9919)&gt;0),N(U9918),N(U9918)+1))</f>
        <v/>
      </c>
      <c r="V9919" s="19">
        <f>IF($B9919="","",TEXT($B9919,"0000"))</f>
        <v/>
      </c>
      <c r="W9919" s="19">
        <f>IF($I9919="","",IF(ISNUMBER($I9919),TEXT($I9919,"0"),$I9919))</f>
        <v/>
      </c>
    </row>
    <row r="9920">
      <c r="B9920" s="25" t="n"/>
      <c r="I9920" s="25" t="n"/>
      <c r="U9920" s="19">
        <f>IF($V9920&lt;&gt;'設定'!$C$4,N(U9919),IF(OR(NOT(COUNTIF('商品マスタ'!$B$6:$B$1005,$W9920)=0),COUNTIFS('①在庫を貼る'!$V$6:$V$10005,$V9920,'①在庫を貼る'!$W$6:$W$10005,$W9920)&gt;0),N(U9919),N(U9919)+1))</f>
        <v/>
      </c>
      <c r="V9920" s="19">
        <f>IF($B9920="","",TEXT($B9920,"0000"))</f>
        <v/>
      </c>
      <c r="W9920" s="19">
        <f>IF($I9920="","",IF(ISNUMBER($I9920),TEXT($I9920,"0"),$I9920))</f>
        <v/>
      </c>
    </row>
    <row r="9921">
      <c r="B9921" s="25" t="n"/>
      <c r="I9921" s="25" t="n"/>
      <c r="U9921" s="19">
        <f>IF($V9921&lt;&gt;'設定'!$C$4,N(U9920),IF(OR(NOT(COUNTIF('商品マスタ'!$B$6:$B$1005,$W9921)=0),COUNTIFS('①在庫を貼る'!$V$6:$V$10005,$V9921,'①在庫を貼る'!$W$6:$W$10005,$W9921)&gt;0),N(U9920),N(U9920)+1))</f>
        <v/>
      </c>
      <c r="V9921" s="19">
        <f>IF($B9921="","",TEXT($B9921,"0000"))</f>
        <v/>
      </c>
      <c r="W9921" s="19">
        <f>IF($I9921="","",IF(ISNUMBER($I9921),TEXT($I9921,"0"),$I9921))</f>
        <v/>
      </c>
    </row>
    <row r="9922">
      <c r="B9922" s="25" t="n"/>
      <c r="I9922" s="25" t="n"/>
      <c r="U9922" s="19">
        <f>IF($V9922&lt;&gt;'設定'!$C$4,N(U9921),IF(OR(NOT(COUNTIF('商品マスタ'!$B$6:$B$1005,$W9922)=0),COUNTIFS('①在庫を貼る'!$V$6:$V$10005,$V9922,'①在庫を貼る'!$W$6:$W$10005,$W9922)&gt;0),N(U9921),N(U9921)+1))</f>
        <v/>
      </c>
      <c r="V9922" s="19">
        <f>IF($B9922="","",TEXT($B9922,"0000"))</f>
        <v/>
      </c>
      <c r="W9922" s="19">
        <f>IF($I9922="","",IF(ISNUMBER($I9922),TEXT($I9922,"0"),$I9922))</f>
        <v/>
      </c>
    </row>
    <row r="9923">
      <c r="B9923" s="25" t="n"/>
      <c r="I9923" s="25" t="n"/>
      <c r="U9923" s="19">
        <f>IF($V9923&lt;&gt;'設定'!$C$4,N(U9922),IF(OR(NOT(COUNTIF('商品マスタ'!$B$6:$B$1005,$W9923)=0),COUNTIFS('①在庫を貼る'!$V$6:$V$10005,$V9923,'①在庫を貼る'!$W$6:$W$10005,$W9923)&gt;0),N(U9922),N(U9922)+1))</f>
        <v/>
      </c>
      <c r="V9923" s="19">
        <f>IF($B9923="","",TEXT($B9923,"0000"))</f>
        <v/>
      </c>
      <c r="W9923" s="19">
        <f>IF($I9923="","",IF(ISNUMBER($I9923),TEXT($I9923,"0"),$I9923))</f>
        <v/>
      </c>
    </row>
    <row r="9924">
      <c r="B9924" s="25" t="n"/>
      <c r="I9924" s="25" t="n"/>
      <c r="U9924" s="19">
        <f>IF($V9924&lt;&gt;'設定'!$C$4,N(U9923),IF(OR(NOT(COUNTIF('商品マスタ'!$B$6:$B$1005,$W9924)=0),COUNTIFS('①在庫を貼る'!$V$6:$V$10005,$V9924,'①在庫を貼る'!$W$6:$W$10005,$W9924)&gt;0),N(U9923),N(U9923)+1))</f>
        <v/>
      </c>
      <c r="V9924" s="19">
        <f>IF($B9924="","",TEXT($B9924,"0000"))</f>
        <v/>
      </c>
      <c r="W9924" s="19">
        <f>IF($I9924="","",IF(ISNUMBER($I9924),TEXT($I9924,"0"),$I9924))</f>
        <v/>
      </c>
    </row>
    <row r="9925">
      <c r="B9925" s="25" t="n"/>
      <c r="I9925" s="25" t="n"/>
      <c r="U9925" s="19">
        <f>IF($V9925&lt;&gt;'設定'!$C$4,N(U9924),IF(OR(NOT(COUNTIF('商品マスタ'!$B$6:$B$1005,$W9925)=0),COUNTIFS('①在庫を貼る'!$V$6:$V$10005,$V9925,'①在庫を貼る'!$W$6:$W$10005,$W9925)&gt;0),N(U9924),N(U9924)+1))</f>
        <v/>
      </c>
      <c r="V9925" s="19">
        <f>IF($B9925="","",TEXT($B9925,"0000"))</f>
        <v/>
      </c>
      <c r="W9925" s="19">
        <f>IF($I9925="","",IF(ISNUMBER($I9925),TEXT($I9925,"0"),$I9925))</f>
        <v/>
      </c>
    </row>
    <row r="9926">
      <c r="B9926" s="25" t="n"/>
      <c r="I9926" s="25" t="n"/>
      <c r="U9926" s="19">
        <f>IF($V9926&lt;&gt;'設定'!$C$4,N(U9925),IF(OR(NOT(COUNTIF('商品マスタ'!$B$6:$B$1005,$W9926)=0),COUNTIFS('①在庫を貼る'!$V$6:$V$10005,$V9926,'①在庫を貼る'!$W$6:$W$10005,$W9926)&gt;0),N(U9925),N(U9925)+1))</f>
        <v/>
      </c>
      <c r="V9926" s="19">
        <f>IF($B9926="","",TEXT($B9926,"0000"))</f>
        <v/>
      </c>
      <c r="W9926" s="19">
        <f>IF($I9926="","",IF(ISNUMBER($I9926),TEXT($I9926,"0"),$I9926))</f>
        <v/>
      </c>
    </row>
    <row r="9927">
      <c r="B9927" s="25" t="n"/>
      <c r="I9927" s="25" t="n"/>
      <c r="U9927" s="19">
        <f>IF($V9927&lt;&gt;'設定'!$C$4,N(U9926),IF(OR(NOT(COUNTIF('商品マスタ'!$B$6:$B$1005,$W9927)=0),COUNTIFS('①在庫を貼る'!$V$6:$V$10005,$V9927,'①在庫を貼る'!$W$6:$W$10005,$W9927)&gt;0),N(U9926),N(U9926)+1))</f>
        <v/>
      </c>
      <c r="V9927" s="19">
        <f>IF($B9927="","",TEXT($B9927,"0000"))</f>
        <v/>
      </c>
      <c r="W9927" s="19">
        <f>IF($I9927="","",IF(ISNUMBER($I9927),TEXT($I9927,"0"),$I9927))</f>
        <v/>
      </c>
    </row>
    <row r="9928">
      <c r="B9928" s="25" t="n"/>
      <c r="I9928" s="25" t="n"/>
      <c r="U9928" s="19">
        <f>IF($V9928&lt;&gt;'設定'!$C$4,N(U9927),IF(OR(NOT(COUNTIF('商品マスタ'!$B$6:$B$1005,$W9928)=0),COUNTIFS('①在庫を貼る'!$V$6:$V$10005,$V9928,'①在庫を貼る'!$W$6:$W$10005,$W9928)&gt;0),N(U9927),N(U9927)+1))</f>
        <v/>
      </c>
      <c r="V9928" s="19">
        <f>IF($B9928="","",TEXT($B9928,"0000"))</f>
        <v/>
      </c>
      <c r="W9928" s="19">
        <f>IF($I9928="","",IF(ISNUMBER($I9928),TEXT($I9928,"0"),$I9928))</f>
        <v/>
      </c>
    </row>
    <row r="9929">
      <c r="B9929" s="25" t="n"/>
      <c r="I9929" s="25" t="n"/>
      <c r="U9929" s="19">
        <f>IF($V9929&lt;&gt;'設定'!$C$4,N(U9928),IF(OR(NOT(COUNTIF('商品マスタ'!$B$6:$B$1005,$W9929)=0),COUNTIFS('①在庫を貼る'!$V$6:$V$10005,$V9929,'①在庫を貼る'!$W$6:$W$10005,$W9929)&gt;0),N(U9928),N(U9928)+1))</f>
        <v/>
      </c>
      <c r="V9929" s="19">
        <f>IF($B9929="","",TEXT($B9929,"0000"))</f>
        <v/>
      </c>
      <c r="W9929" s="19">
        <f>IF($I9929="","",IF(ISNUMBER($I9929),TEXT($I9929,"0"),$I9929))</f>
        <v/>
      </c>
    </row>
    <row r="9930">
      <c r="B9930" s="25" t="n"/>
      <c r="I9930" s="25" t="n"/>
      <c r="U9930" s="19">
        <f>IF($V9930&lt;&gt;'設定'!$C$4,N(U9929),IF(OR(NOT(COUNTIF('商品マスタ'!$B$6:$B$1005,$W9930)=0),COUNTIFS('①在庫を貼る'!$V$6:$V$10005,$V9930,'①在庫を貼る'!$W$6:$W$10005,$W9930)&gt;0),N(U9929),N(U9929)+1))</f>
        <v/>
      </c>
      <c r="V9930" s="19">
        <f>IF($B9930="","",TEXT($B9930,"0000"))</f>
        <v/>
      </c>
      <c r="W9930" s="19">
        <f>IF($I9930="","",IF(ISNUMBER($I9930),TEXT($I9930,"0"),$I9930))</f>
        <v/>
      </c>
    </row>
    <row r="9931">
      <c r="B9931" s="25" t="n"/>
      <c r="I9931" s="25" t="n"/>
      <c r="U9931" s="19">
        <f>IF($V9931&lt;&gt;'設定'!$C$4,N(U9930),IF(OR(NOT(COUNTIF('商品マスタ'!$B$6:$B$1005,$W9931)=0),COUNTIFS('①在庫を貼る'!$V$6:$V$10005,$V9931,'①在庫を貼る'!$W$6:$W$10005,$W9931)&gt;0),N(U9930),N(U9930)+1))</f>
        <v/>
      </c>
      <c r="V9931" s="19">
        <f>IF($B9931="","",TEXT($B9931,"0000"))</f>
        <v/>
      </c>
      <c r="W9931" s="19">
        <f>IF($I9931="","",IF(ISNUMBER($I9931),TEXT($I9931,"0"),$I9931))</f>
        <v/>
      </c>
    </row>
    <row r="9932">
      <c r="B9932" s="25" t="n"/>
      <c r="I9932" s="25" t="n"/>
      <c r="U9932" s="19">
        <f>IF($V9932&lt;&gt;'設定'!$C$4,N(U9931),IF(OR(NOT(COUNTIF('商品マスタ'!$B$6:$B$1005,$W9932)=0),COUNTIFS('①在庫を貼る'!$V$6:$V$10005,$V9932,'①在庫を貼る'!$W$6:$W$10005,$W9932)&gt;0),N(U9931),N(U9931)+1))</f>
        <v/>
      </c>
      <c r="V9932" s="19">
        <f>IF($B9932="","",TEXT($B9932,"0000"))</f>
        <v/>
      </c>
      <c r="W9932" s="19">
        <f>IF($I9932="","",IF(ISNUMBER($I9932),TEXT($I9932,"0"),$I9932))</f>
        <v/>
      </c>
    </row>
    <row r="9933">
      <c r="B9933" s="25" t="n"/>
      <c r="I9933" s="25" t="n"/>
      <c r="U9933" s="19">
        <f>IF($V9933&lt;&gt;'設定'!$C$4,N(U9932),IF(OR(NOT(COUNTIF('商品マスタ'!$B$6:$B$1005,$W9933)=0),COUNTIFS('①在庫を貼る'!$V$6:$V$10005,$V9933,'①在庫を貼る'!$W$6:$W$10005,$W9933)&gt;0),N(U9932),N(U9932)+1))</f>
        <v/>
      </c>
      <c r="V9933" s="19">
        <f>IF($B9933="","",TEXT($B9933,"0000"))</f>
        <v/>
      </c>
      <c r="W9933" s="19">
        <f>IF($I9933="","",IF(ISNUMBER($I9933),TEXT($I9933,"0"),$I9933))</f>
        <v/>
      </c>
    </row>
    <row r="9934">
      <c r="B9934" s="25" t="n"/>
      <c r="I9934" s="25" t="n"/>
      <c r="U9934" s="19">
        <f>IF($V9934&lt;&gt;'設定'!$C$4,N(U9933),IF(OR(NOT(COUNTIF('商品マスタ'!$B$6:$B$1005,$W9934)=0),COUNTIFS('①在庫を貼る'!$V$6:$V$10005,$V9934,'①在庫を貼る'!$W$6:$W$10005,$W9934)&gt;0),N(U9933),N(U9933)+1))</f>
        <v/>
      </c>
      <c r="V9934" s="19">
        <f>IF($B9934="","",TEXT($B9934,"0000"))</f>
        <v/>
      </c>
      <c r="W9934" s="19">
        <f>IF($I9934="","",IF(ISNUMBER($I9934),TEXT($I9934,"0"),$I9934))</f>
        <v/>
      </c>
    </row>
    <row r="9935">
      <c r="B9935" s="25" t="n"/>
      <c r="I9935" s="25" t="n"/>
      <c r="U9935" s="19">
        <f>IF($V9935&lt;&gt;'設定'!$C$4,N(U9934),IF(OR(NOT(COUNTIF('商品マスタ'!$B$6:$B$1005,$W9935)=0),COUNTIFS('①在庫を貼る'!$V$6:$V$10005,$V9935,'①在庫を貼る'!$W$6:$W$10005,$W9935)&gt;0),N(U9934),N(U9934)+1))</f>
        <v/>
      </c>
      <c r="V9935" s="19">
        <f>IF($B9935="","",TEXT($B9935,"0000"))</f>
        <v/>
      </c>
      <c r="W9935" s="19">
        <f>IF($I9935="","",IF(ISNUMBER($I9935),TEXT($I9935,"0"),$I9935))</f>
        <v/>
      </c>
    </row>
    <row r="9936">
      <c r="B9936" s="25" t="n"/>
      <c r="I9936" s="25" t="n"/>
      <c r="U9936" s="19">
        <f>IF($V9936&lt;&gt;'設定'!$C$4,N(U9935),IF(OR(NOT(COUNTIF('商品マスタ'!$B$6:$B$1005,$W9936)=0),COUNTIFS('①在庫を貼る'!$V$6:$V$10005,$V9936,'①在庫を貼る'!$W$6:$W$10005,$W9936)&gt;0),N(U9935),N(U9935)+1))</f>
        <v/>
      </c>
      <c r="V9936" s="19">
        <f>IF($B9936="","",TEXT($B9936,"0000"))</f>
        <v/>
      </c>
      <c r="W9936" s="19">
        <f>IF($I9936="","",IF(ISNUMBER($I9936),TEXT($I9936,"0"),$I9936))</f>
        <v/>
      </c>
    </row>
    <row r="9937">
      <c r="B9937" s="25" t="n"/>
      <c r="I9937" s="25" t="n"/>
      <c r="U9937" s="19">
        <f>IF($V9937&lt;&gt;'設定'!$C$4,N(U9936),IF(OR(NOT(COUNTIF('商品マスタ'!$B$6:$B$1005,$W9937)=0),COUNTIFS('①在庫を貼る'!$V$6:$V$10005,$V9937,'①在庫を貼る'!$W$6:$W$10005,$W9937)&gt;0),N(U9936),N(U9936)+1))</f>
        <v/>
      </c>
      <c r="V9937" s="19">
        <f>IF($B9937="","",TEXT($B9937,"0000"))</f>
        <v/>
      </c>
      <c r="W9937" s="19">
        <f>IF($I9937="","",IF(ISNUMBER($I9937),TEXT($I9937,"0"),$I9937))</f>
        <v/>
      </c>
    </row>
    <row r="9938">
      <c r="B9938" s="25" t="n"/>
      <c r="I9938" s="25" t="n"/>
      <c r="U9938" s="19">
        <f>IF($V9938&lt;&gt;'設定'!$C$4,N(U9937),IF(OR(NOT(COUNTIF('商品マスタ'!$B$6:$B$1005,$W9938)=0),COUNTIFS('①在庫を貼る'!$V$6:$V$10005,$V9938,'①在庫を貼る'!$W$6:$W$10005,$W9938)&gt;0),N(U9937),N(U9937)+1))</f>
        <v/>
      </c>
      <c r="V9938" s="19">
        <f>IF($B9938="","",TEXT($B9938,"0000"))</f>
        <v/>
      </c>
      <c r="W9938" s="19">
        <f>IF($I9938="","",IF(ISNUMBER($I9938),TEXT($I9938,"0"),$I9938))</f>
        <v/>
      </c>
    </row>
    <row r="9939">
      <c r="B9939" s="25" t="n"/>
      <c r="I9939" s="25" t="n"/>
      <c r="U9939" s="19">
        <f>IF($V9939&lt;&gt;'設定'!$C$4,N(U9938),IF(OR(NOT(COUNTIF('商品マスタ'!$B$6:$B$1005,$W9939)=0),COUNTIFS('①在庫を貼る'!$V$6:$V$10005,$V9939,'①在庫を貼る'!$W$6:$W$10005,$W9939)&gt;0),N(U9938),N(U9938)+1))</f>
        <v/>
      </c>
      <c r="V9939" s="19">
        <f>IF($B9939="","",TEXT($B9939,"0000"))</f>
        <v/>
      </c>
      <c r="W9939" s="19">
        <f>IF($I9939="","",IF(ISNUMBER($I9939),TEXT($I9939,"0"),$I9939))</f>
        <v/>
      </c>
    </row>
    <row r="9940">
      <c r="B9940" s="25" t="n"/>
      <c r="I9940" s="25" t="n"/>
      <c r="U9940" s="19">
        <f>IF($V9940&lt;&gt;'設定'!$C$4,N(U9939),IF(OR(NOT(COUNTIF('商品マスタ'!$B$6:$B$1005,$W9940)=0),COUNTIFS('①在庫を貼る'!$V$6:$V$10005,$V9940,'①在庫を貼る'!$W$6:$W$10005,$W9940)&gt;0),N(U9939),N(U9939)+1))</f>
        <v/>
      </c>
      <c r="V9940" s="19">
        <f>IF($B9940="","",TEXT($B9940,"0000"))</f>
        <v/>
      </c>
      <c r="W9940" s="19">
        <f>IF($I9940="","",IF(ISNUMBER($I9940),TEXT($I9940,"0"),$I9940))</f>
        <v/>
      </c>
    </row>
    <row r="9941">
      <c r="B9941" s="25" t="n"/>
      <c r="I9941" s="25" t="n"/>
      <c r="U9941" s="19">
        <f>IF($V9941&lt;&gt;'設定'!$C$4,N(U9940),IF(OR(NOT(COUNTIF('商品マスタ'!$B$6:$B$1005,$W9941)=0),COUNTIFS('①在庫を貼る'!$V$6:$V$10005,$V9941,'①在庫を貼る'!$W$6:$W$10005,$W9941)&gt;0),N(U9940),N(U9940)+1))</f>
        <v/>
      </c>
      <c r="V9941" s="19">
        <f>IF($B9941="","",TEXT($B9941,"0000"))</f>
        <v/>
      </c>
      <c r="W9941" s="19">
        <f>IF($I9941="","",IF(ISNUMBER($I9941),TEXT($I9941,"0"),$I9941))</f>
        <v/>
      </c>
    </row>
    <row r="9942">
      <c r="B9942" s="25" t="n"/>
      <c r="I9942" s="25" t="n"/>
      <c r="U9942" s="19">
        <f>IF($V9942&lt;&gt;'設定'!$C$4,N(U9941),IF(OR(NOT(COUNTIF('商品マスタ'!$B$6:$B$1005,$W9942)=0),COUNTIFS('①在庫を貼る'!$V$6:$V$10005,$V9942,'①在庫を貼る'!$W$6:$W$10005,$W9942)&gt;0),N(U9941),N(U9941)+1))</f>
        <v/>
      </c>
      <c r="V9942" s="19">
        <f>IF($B9942="","",TEXT($B9942,"0000"))</f>
        <v/>
      </c>
      <c r="W9942" s="19">
        <f>IF($I9942="","",IF(ISNUMBER($I9942),TEXT($I9942,"0"),$I9942))</f>
        <v/>
      </c>
    </row>
    <row r="9943">
      <c r="B9943" s="25" t="n"/>
      <c r="I9943" s="25" t="n"/>
      <c r="U9943" s="19">
        <f>IF($V9943&lt;&gt;'設定'!$C$4,N(U9942),IF(OR(NOT(COUNTIF('商品マスタ'!$B$6:$B$1005,$W9943)=0),COUNTIFS('①在庫を貼る'!$V$6:$V$10005,$V9943,'①在庫を貼る'!$W$6:$W$10005,$W9943)&gt;0),N(U9942),N(U9942)+1))</f>
        <v/>
      </c>
      <c r="V9943" s="19">
        <f>IF($B9943="","",TEXT($B9943,"0000"))</f>
        <v/>
      </c>
      <c r="W9943" s="19">
        <f>IF($I9943="","",IF(ISNUMBER($I9943),TEXT($I9943,"0"),$I9943))</f>
        <v/>
      </c>
    </row>
    <row r="9944">
      <c r="B9944" s="25" t="n"/>
      <c r="I9944" s="25" t="n"/>
      <c r="U9944" s="19">
        <f>IF($V9944&lt;&gt;'設定'!$C$4,N(U9943),IF(OR(NOT(COUNTIF('商品マスタ'!$B$6:$B$1005,$W9944)=0),COUNTIFS('①在庫を貼る'!$V$6:$V$10005,$V9944,'①在庫を貼る'!$W$6:$W$10005,$W9944)&gt;0),N(U9943),N(U9943)+1))</f>
        <v/>
      </c>
      <c r="V9944" s="19">
        <f>IF($B9944="","",TEXT($B9944,"0000"))</f>
        <v/>
      </c>
      <c r="W9944" s="19">
        <f>IF($I9944="","",IF(ISNUMBER($I9944),TEXT($I9944,"0"),$I9944))</f>
        <v/>
      </c>
    </row>
    <row r="9945">
      <c r="B9945" s="25" t="n"/>
      <c r="I9945" s="25" t="n"/>
      <c r="U9945" s="19">
        <f>IF($V9945&lt;&gt;'設定'!$C$4,N(U9944),IF(OR(NOT(COUNTIF('商品マスタ'!$B$6:$B$1005,$W9945)=0),COUNTIFS('①在庫を貼る'!$V$6:$V$10005,$V9945,'①在庫を貼る'!$W$6:$W$10005,$W9945)&gt;0),N(U9944),N(U9944)+1))</f>
        <v/>
      </c>
      <c r="V9945" s="19">
        <f>IF($B9945="","",TEXT($B9945,"0000"))</f>
        <v/>
      </c>
      <c r="W9945" s="19">
        <f>IF($I9945="","",IF(ISNUMBER($I9945),TEXT($I9945,"0"),$I9945))</f>
        <v/>
      </c>
    </row>
    <row r="9946">
      <c r="B9946" s="25" t="n"/>
      <c r="I9946" s="25" t="n"/>
      <c r="U9946" s="19">
        <f>IF($V9946&lt;&gt;'設定'!$C$4,N(U9945),IF(OR(NOT(COUNTIF('商品マスタ'!$B$6:$B$1005,$W9946)=0),COUNTIFS('①在庫を貼る'!$V$6:$V$10005,$V9946,'①在庫を貼る'!$W$6:$W$10005,$W9946)&gt;0),N(U9945),N(U9945)+1))</f>
        <v/>
      </c>
      <c r="V9946" s="19">
        <f>IF($B9946="","",TEXT($B9946,"0000"))</f>
        <v/>
      </c>
      <c r="W9946" s="19">
        <f>IF($I9946="","",IF(ISNUMBER($I9946),TEXT($I9946,"0"),$I9946))</f>
        <v/>
      </c>
    </row>
    <row r="9947">
      <c r="B9947" s="25" t="n"/>
      <c r="I9947" s="25" t="n"/>
      <c r="U9947" s="19">
        <f>IF($V9947&lt;&gt;'設定'!$C$4,N(U9946),IF(OR(NOT(COUNTIF('商品マスタ'!$B$6:$B$1005,$W9947)=0),COUNTIFS('①在庫を貼る'!$V$6:$V$10005,$V9947,'①在庫を貼る'!$W$6:$W$10005,$W9947)&gt;0),N(U9946),N(U9946)+1))</f>
        <v/>
      </c>
      <c r="V9947" s="19">
        <f>IF($B9947="","",TEXT($B9947,"0000"))</f>
        <v/>
      </c>
      <c r="W9947" s="19">
        <f>IF($I9947="","",IF(ISNUMBER($I9947),TEXT($I9947,"0"),$I9947))</f>
        <v/>
      </c>
    </row>
    <row r="9948">
      <c r="B9948" s="25" t="n"/>
      <c r="I9948" s="25" t="n"/>
      <c r="U9948" s="19">
        <f>IF($V9948&lt;&gt;'設定'!$C$4,N(U9947),IF(OR(NOT(COUNTIF('商品マスタ'!$B$6:$B$1005,$W9948)=0),COUNTIFS('①在庫を貼る'!$V$6:$V$10005,$V9948,'①在庫を貼る'!$W$6:$W$10005,$W9948)&gt;0),N(U9947),N(U9947)+1))</f>
        <v/>
      </c>
      <c r="V9948" s="19">
        <f>IF($B9948="","",TEXT($B9948,"0000"))</f>
        <v/>
      </c>
      <c r="W9948" s="19">
        <f>IF($I9948="","",IF(ISNUMBER($I9948),TEXT($I9948,"0"),$I9948))</f>
        <v/>
      </c>
    </row>
    <row r="9949">
      <c r="B9949" s="25" t="n"/>
      <c r="I9949" s="25" t="n"/>
      <c r="U9949" s="19">
        <f>IF($V9949&lt;&gt;'設定'!$C$4,N(U9948),IF(OR(NOT(COUNTIF('商品マスタ'!$B$6:$B$1005,$W9949)=0),COUNTIFS('①在庫を貼る'!$V$6:$V$10005,$V9949,'①在庫を貼る'!$W$6:$W$10005,$W9949)&gt;0),N(U9948),N(U9948)+1))</f>
        <v/>
      </c>
      <c r="V9949" s="19">
        <f>IF($B9949="","",TEXT($B9949,"0000"))</f>
        <v/>
      </c>
      <c r="W9949" s="19">
        <f>IF($I9949="","",IF(ISNUMBER($I9949),TEXT($I9949,"0"),$I9949))</f>
        <v/>
      </c>
    </row>
    <row r="9950">
      <c r="B9950" s="25" t="n"/>
      <c r="I9950" s="25" t="n"/>
      <c r="U9950" s="19">
        <f>IF($V9950&lt;&gt;'設定'!$C$4,N(U9949),IF(OR(NOT(COUNTIF('商品マスタ'!$B$6:$B$1005,$W9950)=0),COUNTIFS('①在庫を貼る'!$V$6:$V$10005,$V9950,'①在庫を貼る'!$W$6:$W$10005,$W9950)&gt;0),N(U9949),N(U9949)+1))</f>
        <v/>
      </c>
      <c r="V9950" s="19">
        <f>IF($B9950="","",TEXT($B9950,"0000"))</f>
        <v/>
      </c>
      <c r="W9950" s="19">
        <f>IF($I9950="","",IF(ISNUMBER($I9950),TEXT($I9950,"0"),$I9950))</f>
        <v/>
      </c>
    </row>
    <row r="9951">
      <c r="B9951" s="25" t="n"/>
      <c r="I9951" s="25" t="n"/>
      <c r="U9951" s="19">
        <f>IF($V9951&lt;&gt;'設定'!$C$4,N(U9950),IF(OR(NOT(COUNTIF('商品マスタ'!$B$6:$B$1005,$W9951)=0),COUNTIFS('①在庫を貼る'!$V$6:$V$10005,$V9951,'①在庫を貼る'!$W$6:$W$10005,$W9951)&gt;0),N(U9950),N(U9950)+1))</f>
        <v/>
      </c>
      <c r="V9951" s="19">
        <f>IF($B9951="","",TEXT($B9951,"0000"))</f>
        <v/>
      </c>
      <c r="W9951" s="19">
        <f>IF($I9951="","",IF(ISNUMBER($I9951),TEXT($I9951,"0"),$I9951))</f>
        <v/>
      </c>
    </row>
    <row r="9952">
      <c r="B9952" s="25" t="n"/>
      <c r="I9952" s="25" t="n"/>
      <c r="U9952" s="19">
        <f>IF($V9952&lt;&gt;'設定'!$C$4,N(U9951),IF(OR(NOT(COUNTIF('商品マスタ'!$B$6:$B$1005,$W9952)=0),COUNTIFS('①在庫を貼る'!$V$6:$V$10005,$V9952,'①在庫を貼る'!$W$6:$W$10005,$W9952)&gt;0),N(U9951),N(U9951)+1))</f>
        <v/>
      </c>
      <c r="V9952" s="19">
        <f>IF($B9952="","",TEXT($B9952,"0000"))</f>
        <v/>
      </c>
      <c r="W9952" s="19">
        <f>IF($I9952="","",IF(ISNUMBER($I9952),TEXT($I9952,"0"),$I9952))</f>
        <v/>
      </c>
    </row>
    <row r="9953">
      <c r="B9953" s="25" t="n"/>
      <c r="I9953" s="25" t="n"/>
      <c r="U9953" s="19">
        <f>IF($V9953&lt;&gt;'設定'!$C$4,N(U9952),IF(OR(NOT(COUNTIF('商品マスタ'!$B$6:$B$1005,$W9953)=0),COUNTIFS('①在庫を貼る'!$V$6:$V$10005,$V9953,'①在庫を貼る'!$W$6:$W$10005,$W9953)&gt;0),N(U9952),N(U9952)+1))</f>
        <v/>
      </c>
      <c r="V9953" s="19">
        <f>IF($B9953="","",TEXT($B9953,"0000"))</f>
        <v/>
      </c>
      <c r="W9953" s="19">
        <f>IF($I9953="","",IF(ISNUMBER($I9953),TEXT($I9953,"0"),$I9953))</f>
        <v/>
      </c>
    </row>
    <row r="9954">
      <c r="B9954" s="25" t="n"/>
      <c r="I9954" s="25" t="n"/>
      <c r="U9954" s="19">
        <f>IF($V9954&lt;&gt;'設定'!$C$4,N(U9953),IF(OR(NOT(COUNTIF('商品マスタ'!$B$6:$B$1005,$W9954)=0),COUNTIFS('①在庫を貼る'!$V$6:$V$10005,$V9954,'①在庫を貼る'!$W$6:$W$10005,$W9954)&gt;0),N(U9953),N(U9953)+1))</f>
        <v/>
      </c>
      <c r="V9954" s="19">
        <f>IF($B9954="","",TEXT($B9954,"0000"))</f>
        <v/>
      </c>
      <c r="W9954" s="19">
        <f>IF($I9954="","",IF(ISNUMBER($I9954),TEXT($I9954,"0"),$I9954))</f>
        <v/>
      </c>
    </row>
    <row r="9955">
      <c r="B9955" s="25" t="n"/>
      <c r="I9955" s="25" t="n"/>
      <c r="U9955" s="19">
        <f>IF($V9955&lt;&gt;'設定'!$C$4,N(U9954),IF(OR(NOT(COUNTIF('商品マスタ'!$B$6:$B$1005,$W9955)=0),COUNTIFS('①在庫を貼る'!$V$6:$V$10005,$V9955,'①在庫を貼る'!$W$6:$W$10005,$W9955)&gt;0),N(U9954),N(U9954)+1))</f>
        <v/>
      </c>
      <c r="V9955" s="19">
        <f>IF($B9955="","",TEXT($B9955,"0000"))</f>
        <v/>
      </c>
      <c r="W9955" s="19">
        <f>IF($I9955="","",IF(ISNUMBER($I9955),TEXT($I9955,"0"),$I9955))</f>
        <v/>
      </c>
    </row>
    <row r="9956">
      <c r="B9956" s="25" t="n"/>
      <c r="I9956" s="25" t="n"/>
      <c r="U9956" s="19">
        <f>IF($V9956&lt;&gt;'設定'!$C$4,N(U9955),IF(OR(NOT(COUNTIF('商品マスタ'!$B$6:$B$1005,$W9956)=0),COUNTIFS('①在庫を貼る'!$V$6:$V$10005,$V9956,'①在庫を貼る'!$W$6:$W$10005,$W9956)&gt;0),N(U9955),N(U9955)+1))</f>
        <v/>
      </c>
      <c r="V9956" s="19">
        <f>IF($B9956="","",TEXT($B9956,"0000"))</f>
        <v/>
      </c>
      <c r="W9956" s="19">
        <f>IF($I9956="","",IF(ISNUMBER($I9956),TEXT($I9956,"0"),$I9956))</f>
        <v/>
      </c>
    </row>
    <row r="9957">
      <c r="B9957" s="25" t="n"/>
      <c r="I9957" s="25" t="n"/>
      <c r="U9957" s="19">
        <f>IF($V9957&lt;&gt;'設定'!$C$4,N(U9956),IF(OR(NOT(COUNTIF('商品マスタ'!$B$6:$B$1005,$W9957)=0),COUNTIFS('①在庫を貼る'!$V$6:$V$10005,$V9957,'①在庫を貼る'!$W$6:$W$10005,$W9957)&gt;0),N(U9956),N(U9956)+1))</f>
        <v/>
      </c>
      <c r="V9957" s="19">
        <f>IF($B9957="","",TEXT($B9957,"0000"))</f>
        <v/>
      </c>
      <c r="W9957" s="19">
        <f>IF($I9957="","",IF(ISNUMBER($I9957),TEXT($I9957,"0"),$I9957))</f>
        <v/>
      </c>
    </row>
    <row r="9958">
      <c r="B9958" s="25" t="n"/>
      <c r="I9958" s="25" t="n"/>
      <c r="U9958" s="19">
        <f>IF($V9958&lt;&gt;'設定'!$C$4,N(U9957),IF(OR(NOT(COUNTIF('商品マスタ'!$B$6:$B$1005,$W9958)=0),COUNTIFS('①在庫を貼る'!$V$6:$V$10005,$V9958,'①在庫を貼る'!$W$6:$W$10005,$W9958)&gt;0),N(U9957),N(U9957)+1))</f>
        <v/>
      </c>
      <c r="V9958" s="19">
        <f>IF($B9958="","",TEXT($B9958,"0000"))</f>
        <v/>
      </c>
      <c r="W9958" s="19">
        <f>IF($I9958="","",IF(ISNUMBER($I9958),TEXT($I9958,"0"),$I9958))</f>
        <v/>
      </c>
    </row>
    <row r="9959">
      <c r="B9959" s="25" t="n"/>
      <c r="I9959" s="25" t="n"/>
      <c r="U9959" s="19">
        <f>IF($V9959&lt;&gt;'設定'!$C$4,N(U9958),IF(OR(NOT(COUNTIF('商品マスタ'!$B$6:$B$1005,$W9959)=0),COUNTIFS('①在庫を貼る'!$V$6:$V$10005,$V9959,'①在庫を貼る'!$W$6:$W$10005,$W9959)&gt;0),N(U9958),N(U9958)+1))</f>
        <v/>
      </c>
      <c r="V9959" s="19">
        <f>IF($B9959="","",TEXT($B9959,"0000"))</f>
        <v/>
      </c>
      <c r="W9959" s="19">
        <f>IF($I9959="","",IF(ISNUMBER($I9959),TEXT($I9959,"0"),$I9959))</f>
        <v/>
      </c>
    </row>
    <row r="9960">
      <c r="B9960" s="25" t="n"/>
      <c r="I9960" s="25" t="n"/>
      <c r="U9960" s="19">
        <f>IF($V9960&lt;&gt;'設定'!$C$4,N(U9959),IF(OR(NOT(COUNTIF('商品マスタ'!$B$6:$B$1005,$W9960)=0),COUNTIFS('①在庫を貼る'!$V$6:$V$10005,$V9960,'①在庫を貼る'!$W$6:$W$10005,$W9960)&gt;0),N(U9959),N(U9959)+1))</f>
        <v/>
      </c>
      <c r="V9960" s="19">
        <f>IF($B9960="","",TEXT($B9960,"0000"))</f>
        <v/>
      </c>
      <c r="W9960" s="19">
        <f>IF($I9960="","",IF(ISNUMBER($I9960),TEXT($I9960,"0"),$I9960))</f>
        <v/>
      </c>
    </row>
    <row r="9961">
      <c r="B9961" s="25" t="n"/>
      <c r="I9961" s="25" t="n"/>
      <c r="U9961" s="19">
        <f>IF($V9961&lt;&gt;'設定'!$C$4,N(U9960),IF(OR(NOT(COUNTIF('商品マスタ'!$B$6:$B$1005,$W9961)=0),COUNTIFS('①在庫を貼る'!$V$6:$V$10005,$V9961,'①在庫を貼る'!$W$6:$W$10005,$W9961)&gt;0),N(U9960),N(U9960)+1))</f>
        <v/>
      </c>
      <c r="V9961" s="19">
        <f>IF($B9961="","",TEXT($B9961,"0000"))</f>
        <v/>
      </c>
      <c r="W9961" s="19">
        <f>IF($I9961="","",IF(ISNUMBER($I9961),TEXT($I9961,"0"),$I9961))</f>
        <v/>
      </c>
    </row>
    <row r="9962">
      <c r="B9962" s="25" t="n"/>
      <c r="I9962" s="25" t="n"/>
      <c r="U9962" s="19">
        <f>IF($V9962&lt;&gt;'設定'!$C$4,N(U9961),IF(OR(NOT(COUNTIF('商品マスタ'!$B$6:$B$1005,$W9962)=0),COUNTIFS('①在庫を貼る'!$V$6:$V$10005,$V9962,'①在庫を貼る'!$W$6:$W$10005,$W9962)&gt;0),N(U9961),N(U9961)+1))</f>
        <v/>
      </c>
      <c r="V9962" s="19">
        <f>IF($B9962="","",TEXT($B9962,"0000"))</f>
        <v/>
      </c>
      <c r="W9962" s="19">
        <f>IF($I9962="","",IF(ISNUMBER($I9962),TEXT($I9962,"0"),$I9962))</f>
        <v/>
      </c>
    </row>
    <row r="9963">
      <c r="B9963" s="25" t="n"/>
      <c r="I9963" s="25" t="n"/>
      <c r="U9963" s="19">
        <f>IF($V9963&lt;&gt;'設定'!$C$4,N(U9962),IF(OR(NOT(COUNTIF('商品マスタ'!$B$6:$B$1005,$W9963)=0),COUNTIFS('①在庫を貼る'!$V$6:$V$10005,$V9963,'①在庫を貼る'!$W$6:$W$10005,$W9963)&gt;0),N(U9962),N(U9962)+1))</f>
        <v/>
      </c>
      <c r="V9963" s="19">
        <f>IF($B9963="","",TEXT($B9963,"0000"))</f>
        <v/>
      </c>
      <c r="W9963" s="19">
        <f>IF($I9963="","",IF(ISNUMBER($I9963),TEXT($I9963,"0"),$I9963))</f>
        <v/>
      </c>
    </row>
    <row r="9964">
      <c r="B9964" s="25" t="n"/>
      <c r="I9964" s="25" t="n"/>
      <c r="U9964" s="19">
        <f>IF($V9964&lt;&gt;'設定'!$C$4,N(U9963),IF(OR(NOT(COUNTIF('商品マスタ'!$B$6:$B$1005,$W9964)=0),COUNTIFS('①在庫を貼る'!$V$6:$V$10005,$V9964,'①在庫を貼る'!$W$6:$W$10005,$W9964)&gt;0),N(U9963),N(U9963)+1))</f>
        <v/>
      </c>
      <c r="V9964" s="19">
        <f>IF($B9964="","",TEXT($B9964,"0000"))</f>
        <v/>
      </c>
      <c r="W9964" s="19">
        <f>IF($I9964="","",IF(ISNUMBER($I9964),TEXT($I9964,"0"),$I9964))</f>
        <v/>
      </c>
    </row>
    <row r="9965">
      <c r="B9965" s="25" t="n"/>
      <c r="I9965" s="25" t="n"/>
      <c r="U9965" s="19">
        <f>IF($V9965&lt;&gt;'設定'!$C$4,N(U9964),IF(OR(NOT(COUNTIF('商品マスタ'!$B$6:$B$1005,$W9965)=0),COUNTIFS('①在庫を貼る'!$V$6:$V$10005,$V9965,'①在庫を貼る'!$W$6:$W$10005,$W9965)&gt;0),N(U9964),N(U9964)+1))</f>
        <v/>
      </c>
      <c r="V9965" s="19">
        <f>IF($B9965="","",TEXT($B9965,"0000"))</f>
        <v/>
      </c>
      <c r="W9965" s="19">
        <f>IF($I9965="","",IF(ISNUMBER($I9965),TEXT($I9965,"0"),$I9965))</f>
        <v/>
      </c>
    </row>
    <row r="9966">
      <c r="B9966" s="25" t="n"/>
      <c r="I9966" s="25" t="n"/>
      <c r="U9966" s="19">
        <f>IF($V9966&lt;&gt;'設定'!$C$4,N(U9965),IF(OR(NOT(COUNTIF('商品マスタ'!$B$6:$B$1005,$W9966)=0),COUNTIFS('①在庫を貼る'!$V$6:$V$10005,$V9966,'①在庫を貼る'!$W$6:$W$10005,$W9966)&gt;0),N(U9965),N(U9965)+1))</f>
        <v/>
      </c>
      <c r="V9966" s="19">
        <f>IF($B9966="","",TEXT($B9966,"0000"))</f>
        <v/>
      </c>
      <c r="W9966" s="19">
        <f>IF($I9966="","",IF(ISNUMBER($I9966),TEXT($I9966,"0"),$I9966))</f>
        <v/>
      </c>
    </row>
    <row r="9967">
      <c r="B9967" s="25" t="n"/>
      <c r="I9967" s="25" t="n"/>
      <c r="U9967" s="19">
        <f>IF($V9967&lt;&gt;'設定'!$C$4,N(U9966),IF(OR(NOT(COUNTIF('商品マスタ'!$B$6:$B$1005,$W9967)=0),COUNTIFS('①在庫を貼る'!$V$6:$V$10005,$V9967,'①在庫を貼る'!$W$6:$W$10005,$W9967)&gt;0),N(U9966),N(U9966)+1))</f>
        <v/>
      </c>
      <c r="V9967" s="19">
        <f>IF($B9967="","",TEXT($B9967,"0000"))</f>
        <v/>
      </c>
      <c r="W9967" s="19">
        <f>IF($I9967="","",IF(ISNUMBER($I9967),TEXT($I9967,"0"),$I9967))</f>
        <v/>
      </c>
    </row>
    <row r="9968">
      <c r="B9968" s="25" t="n"/>
      <c r="I9968" s="25" t="n"/>
      <c r="U9968" s="19">
        <f>IF($V9968&lt;&gt;'設定'!$C$4,N(U9967),IF(OR(NOT(COUNTIF('商品マスタ'!$B$6:$B$1005,$W9968)=0),COUNTIFS('①在庫を貼る'!$V$6:$V$10005,$V9968,'①在庫を貼る'!$W$6:$W$10005,$W9968)&gt;0),N(U9967),N(U9967)+1))</f>
        <v/>
      </c>
      <c r="V9968" s="19">
        <f>IF($B9968="","",TEXT($B9968,"0000"))</f>
        <v/>
      </c>
      <c r="W9968" s="19">
        <f>IF($I9968="","",IF(ISNUMBER($I9968),TEXT($I9968,"0"),$I9968))</f>
        <v/>
      </c>
    </row>
    <row r="9969">
      <c r="B9969" s="25" t="n"/>
      <c r="I9969" s="25" t="n"/>
      <c r="U9969" s="19">
        <f>IF($V9969&lt;&gt;'設定'!$C$4,N(U9968),IF(OR(NOT(COUNTIF('商品マスタ'!$B$6:$B$1005,$W9969)=0),COUNTIFS('①在庫を貼る'!$V$6:$V$10005,$V9969,'①在庫を貼る'!$W$6:$W$10005,$W9969)&gt;0),N(U9968),N(U9968)+1))</f>
        <v/>
      </c>
      <c r="V9969" s="19">
        <f>IF($B9969="","",TEXT($B9969,"0000"))</f>
        <v/>
      </c>
      <c r="W9969" s="19">
        <f>IF($I9969="","",IF(ISNUMBER($I9969),TEXT($I9969,"0"),$I9969))</f>
        <v/>
      </c>
    </row>
    <row r="9970">
      <c r="B9970" s="25" t="n"/>
      <c r="I9970" s="25" t="n"/>
      <c r="U9970" s="19">
        <f>IF($V9970&lt;&gt;'設定'!$C$4,N(U9969),IF(OR(NOT(COUNTIF('商品マスタ'!$B$6:$B$1005,$W9970)=0),COUNTIFS('①在庫を貼る'!$V$6:$V$10005,$V9970,'①在庫を貼る'!$W$6:$W$10005,$W9970)&gt;0),N(U9969),N(U9969)+1))</f>
        <v/>
      </c>
      <c r="V9970" s="19">
        <f>IF($B9970="","",TEXT($B9970,"0000"))</f>
        <v/>
      </c>
      <c r="W9970" s="19">
        <f>IF($I9970="","",IF(ISNUMBER($I9970),TEXT($I9970,"0"),$I9970))</f>
        <v/>
      </c>
    </row>
    <row r="9971">
      <c r="B9971" s="25" t="n"/>
      <c r="I9971" s="25" t="n"/>
      <c r="U9971" s="19">
        <f>IF($V9971&lt;&gt;'設定'!$C$4,N(U9970),IF(OR(NOT(COUNTIF('商品マスタ'!$B$6:$B$1005,$W9971)=0),COUNTIFS('①在庫を貼る'!$V$6:$V$10005,$V9971,'①在庫を貼る'!$W$6:$W$10005,$W9971)&gt;0),N(U9970),N(U9970)+1))</f>
        <v/>
      </c>
      <c r="V9971" s="19">
        <f>IF($B9971="","",TEXT($B9971,"0000"))</f>
        <v/>
      </c>
      <c r="W9971" s="19">
        <f>IF($I9971="","",IF(ISNUMBER($I9971),TEXT($I9971,"0"),$I9971))</f>
        <v/>
      </c>
    </row>
    <row r="9972">
      <c r="B9972" s="25" t="n"/>
      <c r="I9972" s="25" t="n"/>
      <c r="U9972" s="19">
        <f>IF($V9972&lt;&gt;'設定'!$C$4,N(U9971),IF(OR(NOT(COUNTIF('商品マスタ'!$B$6:$B$1005,$W9972)=0),COUNTIFS('①在庫を貼る'!$V$6:$V$10005,$V9972,'①在庫を貼る'!$W$6:$W$10005,$W9972)&gt;0),N(U9971),N(U9971)+1))</f>
        <v/>
      </c>
      <c r="V9972" s="19">
        <f>IF($B9972="","",TEXT($B9972,"0000"))</f>
        <v/>
      </c>
      <c r="W9972" s="19">
        <f>IF($I9972="","",IF(ISNUMBER($I9972),TEXT($I9972,"0"),$I9972))</f>
        <v/>
      </c>
    </row>
    <row r="9973">
      <c r="B9973" s="25" t="n"/>
      <c r="I9973" s="25" t="n"/>
      <c r="U9973" s="19">
        <f>IF($V9973&lt;&gt;'設定'!$C$4,N(U9972),IF(OR(NOT(COUNTIF('商品マスタ'!$B$6:$B$1005,$W9973)=0),COUNTIFS('①在庫を貼る'!$V$6:$V$10005,$V9973,'①在庫を貼る'!$W$6:$W$10005,$W9973)&gt;0),N(U9972),N(U9972)+1))</f>
        <v/>
      </c>
      <c r="V9973" s="19">
        <f>IF($B9973="","",TEXT($B9973,"0000"))</f>
        <v/>
      </c>
      <c r="W9973" s="19">
        <f>IF($I9973="","",IF(ISNUMBER($I9973),TEXT($I9973,"0"),$I9973))</f>
        <v/>
      </c>
    </row>
    <row r="9974">
      <c r="B9974" s="25" t="n"/>
      <c r="I9974" s="25" t="n"/>
      <c r="U9974" s="19">
        <f>IF($V9974&lt;&gt;'設定'!$C$4,N(U9973),IF(OR(NOT(COUNTIF('商品マスタ'!$B$6:$B$1005,$W9974)=0),COUNTIFS('①在庫を貼る'!$V$6:$V$10005,$V9974,'①在庫を貼る'!$W$6:$W$10005,$W9974)&gt;0),N(U9973),N(U9973)+1))</f>
        <v/>
      </c>
      <c r="V9974" s="19">
        <f>IF($B9974="","",TEXT($B9974,"0000"))</f>
        <v/>
      </c>
      <c r="W9974" s="19">
        <f>IF($I9974="","",IF(ISNUMBER($I9974),TEXT($I9974,"0"),$I9974))</f>
        <v/>
      </c>
    </row>
    <row r="9975">
      <c r="B9975" s="25" t="n"/>
      <c r="I9975" s="25" t="n"/>
      <c r="U9975" s="19">
        <f>IF($V9975&lt;&gt;'設定'!$C$4,N(U9974),IF(OR(NOT(COUNTIF('商品マスタ'!$B$6:$B$1005,$W9975)=0),COUNTIFS('①在庫を貼る'!$V$6:$V$10005,$V9975,'①在庫を貼る'!$W$6:$W$10005,$W9975)&gt;0),N(U9974),N(U9974)+1))</f>
        <v/>
      </c>
      <c r="V9975" s="19">
        <f>IF($B9975="","",TEXT($B9975,"0000"))</f>
        <v/>
      </c>
      <c r="W9975" s="19">
        <f>IF($I9975="","",IF(ISNUMBER($I9975),TEXT($I9975,"0"),$I9975))</f>
        <v/>
      </c>
    </row>
    <row r="9976">
      <c r="B9976" s="25" t="n"/>
      <c r="I9976" s="25" t="n"/>
      <c r="U9976" s="19">
        <f>IF($V9976&lt;&gt;'設定'!$C$4,N(U9975),IF(OR(NOT(COUNTIF('商品マスタ'!$B$6:$B$1005,$W9976)=0),COUNTIFS('①在庫を貼る'!$V$6:$V$10005,$V9976,'①在庫を貼る'!$W$6:$W$10005,$W9976)&gt;0),N(U9975),N(U9975)+1))</f>
        <v/>
      </c>
      <c r="V9976" s="19">
        <f>IF($B9976="","",TEXT($B9976,"0000"))</f>
        <v/>
      </c>
      <c r="W9976" s="19">
        <f>IF($I9976="","",IF(ISNUMBER($I9976),TEXT($I9976,"0"),$I9976))</f>
        <v/>
      </c>
    </row>
    <row r="9977">
      <c r="B9977" s="25" t="n"/>
      <c r="I9977" s="25" t="n"/>
      <c r="U9977" s="19">
        <f>IF($V9977&lt;&gt;'設定'!$C$4,N(U9976),IF(OR(NOT(COUNTIF('商品マスタ'!$B$6:$B$1005,$W9977)=0),COUNTIFS('①在庫を貼る'!$V$6:$V$10005,$V9977,'①在庫を貼る'!$W$6:$W$10005,$W9977)&gt;0),N(U9976),N(U9976)+1))</f>
        <v/>
      </c>
      <c r="V9977" s="19">
        <f>IF($B9977="","",TEXT($B9977,"0000"))</f>
        <v/>
      </c>
      <c r="W9977" s="19">
        <f>IF($I9977="","",IF(ISNUMBER($I9977),TEXT($I9977,"0"),$I9977))</f>
        <v/>
      </c>
    </row>
    <row r="9978">
      <c r="B9978" s="25" t="n"/>
      <c r="I9978" s="25" t="n"/>
      <c r="U9978" s="19">
        <f>IF($V9978&lt;&gt;'設定'!$C$4,N(U9977),IF(OR(NOT(COUNTIF('商品マスタ'!$B$6:$B$1005,$W9978)=0),COUNTIFS('①在庫を貼る'!$V$6:$V$10005,$V9978,'①在庫を貼る'!$W$6:$W$10005,$W9978)&gt;0),N(U9977),N(U9977)+1))</f>
        <v/>
      </c>
      <c r="V9978" s="19">
        <f>IF($B9978="","",TEXT($B9978,"0000"))</f>
        <v/>
      </c>
      <c r="W9978" s="19">
        <f>IF($I9978="","",IF(ISNUMBER($I9978),TEXT($I9978,"0"),$I9978))</f>
        <v/>
      </c>
    </row>
    <row r="9979">
      <c r="B9979" s="25" t="n"/>
      <c r="I9979" s="25" t="n"/>
      <c r="U9979" s="19">
        <f>IF($V9979&lt;&gt;'設定'!$C$4,N(U9978),IF(OR(NOT(COUNTIF('商品マスタ'!$B$6:$B$1005,$W9979)=0),COUNTIFS('①在庫を貼る'!$V$6:$V$10005,$V9979,'①在庫を貼る'!$W$6:$W$10005,$W9979)&gt;0),N(U9978),N(U9978)+1))</f>
        <v/>
      </c>
      <c r="V9979" s="19">
        <f>IF($B9979="","",TEXT($B9979,"0000"))</f>
        <v/>
      </c>
      <c r="W9979" s="19">
        <f>IF($I9979="","",IF(ISNUMBER($I9979),TEXT($I9979,"0"),$I9979))</f>
        <v/>
      </c>
    </row>
    <row r="9980">
      <c r="B9980" s="25" t="n"/>
      <c r="I9980" s="25" t="n"/>
      <c r="U9980" s="19">
        <f>IF($V9980&lt;&gt;'設定'!$C$4,N(U9979),IF(OR(NOT(COUNTIF('商品マスタ'!$B$6:$B$1005,$W9980)=0),COUNTIFS('①在庫を貼る'!$V$6:$V$10005,$V9980,'①在庫を貼る'!$W$6:$W$10005,$W9980)&gt;0),N(U9979),N(U9979)+1))</f>
        <v/>
      </c>
      <c r="V9980" s="19">
        <f>IF($B9980="","",TEXT($B9980,"0000"))</f>
        <v/>
      </c>
      <c r="W9980" s="19">
        <f>IF($I9980="","",IF(ISNUMBER($I9980),TEXT($I9980,"0"),$I9980))</f>
        <v/>
      </c>
    </row>
    <row r="9981">
      <c r="B9981" s="25" t="n"/>
      <c r="I9981" s="25" t="n"/>
      <c r="U9981" s="19">
        <f>IF($V9981&lt;&gt;'設定'!$C$4,N(U9980),IF(OR(NOT(COUNTIF('商品マスタ'!$B$6:$B$1005,$W9981)=0),COUNTIFS('①在庫を貼る'!$V$6:$V$10005,$V9981,'①在庫を貼る'!$W$6:$W$10005,$W9981)&gt;0),N(U9980),N(U9980)+1))</f>
        <v/>
      </c>
      <c r="V9981" s="19">
        <f>IF($B9981="","",TEXT($B9981,"0000"))</f>
        <v/>
      </c>
      <c r="W9981" s="19">
        <f>IF($I9981="","",IF(ISNUMBER($I9981),TEXT($I9981,"0"),$I9981))</f>
        <v/>
      </c>
    </row>
    <row r="9982">
      <c r="B9982" s="25" t="n"/>
      <c r="I9982" s="25" t="n"/>
      <c r="U9982" s="19">
        <f>IF($V9982&lt;&gt;'設定'!$C$4,N(U9981),IF(OR(NOT(COUNTIF('商品マスタ'!$B$6:$B$1005,$W9982)=0),COUNTIFS('①在庫を貼る'!$V$6:$V$10005,$V9982,'①在庫を貼る'!$W$6:$W$10005,$W9982)&gt;0),N(U9981),N(U9981)+1))</f>
        <v/>
      </c>
      <c r="V9982" s="19">
        <f>IF($B9982="","",TEXT($B9982,"0000"))</f>
        <v/>
      </c>
      <c r="W9982" s="19">
        <f>IF($I9982="","",IF(ISNUMBER($I9982),TEXT($I9982,"0"),$I9982))</f>
        <v/>
      </c>
    </row>
    <row r="9983">
      <c r="B9983" s="25" t="n"/>
      <c r="I9983" s="25" t="n"/>
      <c r="U9983" s="19">
        <f>IF($V9983&lt;&gt;'設定'!$C$4,N(U9982),IF(OR(NOT(COUNTIF('商品マスタ'!$B$6:$B$1005,$W9983)=0),COUNTIFS('①在庫を貼る'!$V$6:$V$10005,$V9983,'①在庫を貼る'!$W$6:$W$10005,$W9983)&gt;0),N(U9982),N(U9982)+1))</f>
        <v/>
      </c>
      <c r="V9983" s="19">
        <f>IF($B9983="","",TEXT($B9983,"0000"))</f>
        <v/>
      </c>
      <c r="W9983" s="19">
        <f>IF($I9983="","",IF(ISNUMBER($I9983),TEXT($I9983,"0"),$I9983))</f>
        <v/>
      </c>
    </row>
    <row r="9984">
      <c r="B9984" s="25" t="n"/>
      <c r="I9984" s="25" t="n"/>
      <c r="U9984" s="19">
        <f>IF($V9984&lt;&gt;'設定'!$C$4,N(U9983),IF(OR(NOT(COUNTIF('商品マスタ'!$B$6:$B$1005,$W9984)=0),COUNTIFS('①在庫を貼る'!$V$6:$V$10005,$V9984,'①在庫を貼る'!$W$6:$W$10005,$W9984)&gt;0),N(U9983),N(U9983)+1))</f>
        <v/>
      </c>
      <c r="V9984" s="19">
        <f>IF($B9984="","",TEXT($B9984,"0000"))</f>
        <v/>
      </c>
      <c r="W9984" s="19">
        <f>IF($I9984="","",IF(ISNUMBER($I9984),TEXT($I9984,"0"),$I9984))</f>
        <v/>
      </c>
    </row>
    <row r="9985">
      <c r="B9985" s="25" t="n"/>
      <c r="I9985" s="25" t="n"/>
      <c r="U9985" s="19">
        <f>IF($V9985&lt;&gt;'設定'!$C$4,N(U9984),IF(OR(NOT(COUNTIF('商品マスタ'!$B$6:$B$1005,$W9985)=0),COUNTIFS('①在庫を貼る'!$V$6:$V$10005,$V9985,'①在庫を貼る'!$W$6:$W$10005,$W9985)&gt;0),N(U9984),N(U9984)+1))</f>
        <v/>
      </c>
      <c r="V9985" s="19">
        <f>IF($B9985="","",TEXT($B9985,"0000"))</f>
        <v/>
      </c>
      <c r="W9985" s="19">
        <f>IF($I9985="","",IF(ISNUMBER($I9985),TEXT($I9985,"0"),$I9985))</f>
        <v/>
      </c>
    </row>
    <row r="9986">
      <c r="B9986" s="25" t="n"/>
      <c r="I9986" s="25" t="n"/>
      <c r="U9986" s="19">
        <f>IF($V9986&lt;&gt;'設定'!$C$4,N(U9985),IF(OR(NOT(COUNTIF('商品マスタ'!$B$6:$B$1005,$W9986)=0),COUNTIFS('①在庫を貼る'!$V$6:$V$10005,$V9986,'①在庫を貼る'!$W$6:$W$10005,$W9986)&gt;0),N(U9985),N(U9985)+1))</f>
        <v/>
      </c>
      <c r="V9986" s="19">
        <f>IF($B9986="","",TEXT($B9986,"0000"))</f>
        <v/>
      </c>
      <c r="W9986" s="19">
        <f>IF($I9986="","",IF(ISNUMBER($I9986),TEXT($I9986,"0"),$I9986))</f>
        <v/>
      </c>
    </row>
    <row r="9987">
      <c r="B9987" s="25" t="n"/>
      <c r="I9987" s="25" t="n"/>
      <c r="U9987" s="19">
        <f>IF($V9987&lt;&gt;'設定'!$C$4,N(U9986),IF(OR(NOT(COUNTIF('商品マスタ'!$B$6:$B$1005,$W9987)=0),COUNTIFS('①在庫を貼る'!$V$6:$V$10005,$V9987,'①在庫を貼る'!$W$6:$W$10005,$W9987)&gt;0),N(U9986),N(U9986)+1))</f>
        <v/>
      </c>
      <c r="V9987" s="19">
        <f>IF($B9987="","",TEXT($B9987,"0000"))</f>
        <v/>
      </c>
      <c r="W9987" s="19">
        <f>IF($I9987="","",IF(ISNUMBER($I9987),TEXT($I9987,"0"),$I9987))</f>
        <v/>
      </c>
    </row>
    <row r="9988">
      <c r="B9988" s="25" t="n"/>
      <c r="I9988" s="25" t="n"/>
      <c r="U9988" s="19">
        <f>IF($V9988&lt;&gt;'設定'!$C$4,N(U9987),IF(OR(NOT(COUNTIF('商品マスタ'!$B$6:$B$1005,$W9988)=0),COUNTIFS('①在庫を貼る'!$V$6:$V$10005,$V9988,'①在庫を貼る'!$W$6:$W$10005,$W9988)&gt;0),N(U9987),N(U9987)+1))</f>
        <v/>
      </c>
      <c r="V9988" s="19">
        <f>IF($B9988="","",TEXT($B9988,"0000"))</f>
        <v/>
      </c>
      <c r="W9988" s="19">
        <f>IF($I9988="","",IF(ISNUMBER($I9988),TEXT($I9988,"0"),$I9988))</f>
        <v/>
      </c>
    </row>
    <row r="9989">
      <c r="B9989" s="25" t="n"/>
      <c r="I9989" s="25" t="n"/>
      <c r="U9989" s="19">
        <f>IF($V9989&lt;&gt;'設定'!$C$4,N(U9988),IF(OR(NOT(COUNTIF('商品マスタ'!$B$6:$B$1005,$W9989)=0),COUNTIFS('①在庫を貼る'!$V$6:$V$10005,$V9989,'①在庫を貼る'!$W$6:$W$10005,$W9989)&gt;0),N(U9988),N(U9988)+1))</f>
        <v/>
      </c>
      <c r="V9989" s="19">
        <f>IF($B9989="","",TEXT($B9989,"0000"))</f>
        <v/>
      </c>
      <c r="W9989" s="19">
        <f>IF($I9989="","",IF(ISNUMBER($I9989),TEXT($I9989,"0"),$I9989))</f>
        <v/>
      </c>
    </row>
    <row r="9990">
      <c r="B9990" s="25" t="n"/>
      <c r="I9990" s="25" t="n"/>
      <c r="U9990" s="19">
        <f>IF($V9990&lt;&gt;'設定'!$C$4,N(U9989),IF(OR(NOT(COUNTIF('商品マスタ'!$B$6:$B$1005,$W9990)=0),COUNTIFS('①在庫を貼る'!$V$6:$V$10005,$V9990,'①在庫を貼る'!$W$6:$W$10005,$W9990)&gt;0),N(U9989),N(U9989)+1))</f>
        <v/>
      </c>
      <c r="V9990" s="19">
        <f>IF($B9990="","",TEXT($B9990,"0000"))</f>
        <v/>
      </c>
      <c r="W9990" s="19">
        <f>IF($I9990="","",IF(ISNUMBER($I9990),TEXT($I9990,"0"),$I9990))</f>
        <v/>
      </c>
    </row>
    <row r="9991">
      <c r="B9991" s="25" t="n"/>
      <c r="I9991" s="25" t="n"/>
      <c r="U9991" s="19">
        <f>IF($V9991&lt;&gt;'設定'!$C$4,N(U9990),IF(OR(NOT(COUNTIF('商品マスタ'!$B$6:$B$1005,$W9991)=0),COUNTIFS('①在庫を貼る'!$V$6:$V$10005,$V9991,'①在庫を貼る'!$W$6:$W$10005,$W9991)&gt;0),N(U9990),N(U9990)+1))</f>
        <v/>
      </c>
      <c r="V9991" s="19">
        <f>IF($B9991="","",TEXT($B9991,"0000"))</f>
        <v/>
      </c>
      <c r="W9991" s="19">
        <f>IF($I9991="","",IF(ISNUMBER($I9991),TEXT($I9991,"0"),$I9991))</f>
        <v/>
      </c>
    </row>
    <row r="9992">
      <c r="B9992" s="25" t="n"/>
      <c r="I9992" s="25" t="n"/>
      <c r="U9992" s="19">
        <f>IF($V9992&lt;&gt;'設定'!$C$4,N(U9991),IF(OR(NOT(COUNTIF('商品マスタ'!$B$6:$B$1005,$W9992)=0),COUNTIFS('①在庫を貼る'!$V$6:$V$10005,$V9992,'①在庫を貼る'!$W$6:$W$10005,$W9992)&gt;0),N(U9991),N(U9991)+1))</f>
        <v/>
      </c>
      <c r="V9992" s="19">
        <f>IF($B9992="","",TEXT($B9992,"0000"))</f>
        <v/>
      </c>
      <c r="W9992" s="19">
        <f>IF($I9992="","",IF(ISNUMBER($I9992),TEXT($I9992,"0"),$I9992))</f>
        <v/>
      </c>
    </row>
    <row r="9993">
      <c r="B9993" s="25" t="n"/>
      <c r="I9993" s="25" t="n"/>
      <c r="U9993" s="19">
        <f>IF($V9993&lt;&gt;'設定'!$C$4,N(U9992),IF(OR(NOT(COUNTIF('商品マスタ'!$B$6:$B$1005,$W9993)=0),COUNTIFS('①在庫を貼る'!$V$6:$V$10005,$V9993,'①在庫を貼る'!$W$6:$W$10005,$W9993)&gt;0),N(U9992),N(U9992)+1))</f>
        <v/>
      </c>
      <c r="V9993" s="19">
        <f>IF($B9993="","",TEXT($B9993,"0000"))</f>
        <v/>
      </c>
      <c r="W9993" s="19">
        <f>IF($I9993="","",IF(ISNUMBER($I9993),TEXT($I9993,"0"),$I9993))</f>
        <v/>
      </c>
    </row>
    <row r="9994">
      <c r="B9994" s="25" t="n"/>
      <c r="I9994" s="25" t="n"/>
      <c r="U9994" s="19">
        <f>IF($V9994&lt;&gt;'設定'!$C$4,N(U9993),IF(OR(NOT(COUNTIF('商品マスタ'!$B$6:$B$1005,$W9994)=0),COUNTIFS('①在庫を貼る'!$V$6:$V$10005,$V9994,'①在庫を貼る'!$W$6:$W$10005,$W9994)&gt;0),N(U9993),N(U9993)+1))</f>
        <v/>
      </c>
      <c r="V9994" s="19">
        <f>IF($B9994="","",TEXT($B9994,"0000"))</f>
        <v/>
      </c>
      <c r="W9994" s="19">
        <f>IF($I9994="","",IF(ISNUMBER($I9994),TEXT($I9994,"0"),$I9994))</f>
        <v/>
      </c>
    </row>
    <row r="9995">
      <c r="B9995" s="25" t="n"/>
      <c r="I9995" s="25" t="n"/>
      <c r="U9995" s="19">
        <f>IF($V9995&lt;&gt;'設定'!$C$4,N(U9994),IF(OR(NOT(COUNTIF('商品マスタ'!$B$6:$B$1005,$W9995)=0),COUNTIFS('①在庫を貼る'!$V$6:$V$10005,$V9995,'①在庫を貼る'!$W$6:$W$10005,$W9995)&gt;0),N(U9994),N(U9994)+1))</f>
        <v/>
      </c>
      <c r="V9995" s="19">
        <f>IF($B9995="","",TEXT($B9995,"0000"))</f>
        <v/>
      </c>
      <c r="W9995" s="19">
        <f>IF($I9995="","",IF(ISNUMBER($I9995),TEXT($I9995,"0"),$I9995))</f>
        <v/>
      </c>
    </row>
    <row r="9996">
      <c r="B9996" s="25" t="n"/>
      <c r="I9996" s="25" t="n"/>
      <c r="U9996" s="19">
        <f>IF($V9996&lt;&gt;'設定'!$C$4,N(U9995),IF(OR(NOT(COUNTIF('商品マスタ'!$B$6:$B$1005,$W9996)=0),COUNTIFS('①在庫を貼る'!$V$6:$V$10005,$V9996,'①在庫を貼る'!$W$6:$W$10005,$W9996)&gt;0),N(U9995),N(U9995)+1))</f>
        <v/>
      </c>
      <c r="V9996" s="19">
        <f>IF($B9996="","",TEXT($B9996,"0000"))</f>
        <v/>
      </c>
      <c r="W9996" s="19">
        <f>IF($I9996="","",IF(ISNUMBER($I9996),TEXT($I9996,"0"),$I9996))</f>
        <v/>
      </c>
    </row>
    <row r="9997">
      <c r="B9997" s="25" t="n"/>
      <c r="I9997" s="25" t="n"/>
      <c r="U9997" s="19">
        <f>IF($V9997&lt;&gt;'設定'!$C$4,N(U9996),IF(OR(NOT(COUNTIF('商品マスタ'!$B$6:$B$1005,$W9997)=0),COUNTIFS('①在庫を貼る'!$V$6:$V$10005,$V9997,'①在庫を貼る'!$W$6:$W$10005,$W9997)&gt;0),N(U9996),N(U9996)+1))</f>
        <v/>
      </c>
      <c r="V9997" s="19">
        <f>IF($B9997="","",TEXT($B9997,"0000"))</f>
        <v/>
      </c>
      <c r="W9997" s="19">
        <f>IF($I9997="","",IF(ISNUMBER($I9997),TEXT($I9997,"0"),$I9997))</f>
        <v/>
      </c>
    </row>
    <row r="9998">
      <c r="B9998" s="25" t="n"/>
      <c r="I9998" s="25" t="n"/>
      <c r="U9998" s="19">
        <f>IF($V9998&lt;&gt;'設定'!$C$4,N(U9997),IF(OR(NOT(COUNTIF('商品マスタ'!$B$6:$B$1005,$W9998)=0),COUNTIFS('①在庫を貼る'!$V$6:$V$10005,$V9998,'①在庫を貼る'!$W$6:$W$10005,$W9998)&gt;0),N(U9997),N(U9997)+1))</f>
        <v/>
      </c>
      <c r="V9998" s="19">
        <f>IF($B9998="","",TEXT($B9998,"0000"))</f>
        <v/>
      </c>
      <c r="W9998" s="19">
        <f>IF($I9998="","",IF(ISNUMBER($I9998),TEXT($I9998,"0"),$I9998))</f>
        <v/>
      </c>
    </row>
    <row r="9999">
      <c r="B9999" s="25" t="n"/>
      <c r="I9999" s="25" t="n"/>
      <c r="U9999" s="19">
        <f>IF($V9999&lt;&gt;'設定'!$C$4,N(U9998),IF(OR(NOT(COUNTIF('商品マスタ'!$B$6:$B$1005,$W9999)=0),COUNTIFS('①在庫を貼る'!$V$6:$V$10005,$V9999,'①在庫を貼る'!$W$6:$W$10005,$W9999)&gt;0),N(U9998),N(U9998)+1))</f>
        <v/>
      </c>
      <c r="V9999" s="19">
        <f>IF($B9999="","",TEXT($B9999,"0000"))</f>
        <v/>
      </c>
      <c r="W9999" s="19">
        <f>IF($I9999="","",IF(ISNUMBER($I9999),TEXT($I9999,"0"),$I9999))</f>
        <v/>
      </c>
    </row>
    <row r="10000">
      <c r="B10000" s="25" t="n"/>
      <c r="I10000" s="25" t="n"/>
      <c r="U10000" s="19">
        <f>IF($V10000&lt;&gt;'設定'!$C$4,N(U9999),IF(OR(NOT(COUNTIF('商品マスタ'!$B$6:$B$1005,$W10000)=0),COUNTIFS('①在庫を貼る'!$V$6:$V$10005,$V10000,'①在庫を貼る'!$W$6:$W$10005,$W10000)&gt;0),N(U9999),N(U9999)+1))</f>
        <v/>
      </c>
      <c r="V10000" s="19">
        <f>IF($B10000="","",TEXT($B10000,"0000"))</f>
        <v/>
      </c>
      <c r="W10000" s="19">
        <f>IF($I10000="","",IF(ISNUMBER($I10000),TEXT($I10000,"0"),$I10000))</f>
        <v/>
      </c>
    </row>
    <row r="10001">
      <c r="B10001" s="25" t="n"/>
      <c r="I10001" s="25" t="n"/>
      <c r="U10001" s="19">
        <f>IF($V10001&lt;&gt;'設定'!$C$4,N(U10000),IF(OR(NOT(COUNTIF('商品マスタ'!$B$6:$B$1005,$W10001)=0),COUNTIFS('①在庫を貼る'!$V$6:$V$10005,$V10001,'①在庫を貼る'!$W$6:$W$10005,$W10001)&gt;0),N(U10000),N(U10000)+1))</f>
        <v/>
      </c>
      <c r="V10001" s="19">
        <f>IF($B10001="","",TEXT($B10001,"0000"))</f>
        <v/>
      </c>
      <c r="W10001" s="19">
        <f>IF($I10001="","",IF(ISNUMBER($I10001),TEXT($I10001,"0"),$I10001))</f>
        <v/>
      </c>
    </row>
    <row r="10002">
      <c r="B10002" s="25" t="n"/>
      <c r="I10002" s="25" t="n"/>
      <c r="U10002" s="19">
        <f>IF($V10002&lt;&gt;'設定'!$C$4,N(U10001),IF(OR(NOT(COUNTIF('商品マスタ'!$B$6:$B$1005,$W10002)=0),COUNTIFS('①在庫を貼る'!$V$6:$V$10005,$V10002,'①在庫を貼る'!$W$6:$W$10005,$W10002)&gt;0),N(U10001),N(U10001)+1))</f>
        <v/>
      </c>
      <c r="V10002" s="19">
        <f>IF($B10002="","",TEXT($B10002,"0000"))</f>
        <v/>
      </c>
      <c r="W10002" s="19">
        <f>IF($I10002="","",IF(ISNUMBER($I10002),TEXT($I10002,"0"),$I10002))</f>
        <v/>
      </c>
    </row>
    <row r="10003">
      <c r="B10003" s="25" t="n"/>
      <c r="I10003" s="25" t="n"/>
      <c r="U10003" s="19">
        <f>IF($V10003&lt;&gt;'設定'!$C$4,N(U10002),IF(OR(NOT(COUNTIF('商品マスタ'!$B$6:$B$1005,$W10003)=0),COUNTIFS('①在庫を貼る'!$V$6:$V$10005,$V10003,'①在庫を貼る'!$W$6:$W$10005,$W10003)&gt;0),N(U10002),N(U10002)+1))</f>
        <v/>
      </c>
      <c r="V10003" s="19">
        <f>IF($B10003="","",TEXT($B10003,"0000"))</f>
        <v/>
      </c>
      <c r="W10003" s="19">
        <f>IF($I10003="","",IF(ISNUMBER($I10003),TEXT($I10003,"0"),$I10003))</f>
        <v/>
      </c>
    </row>
    <row r="10004">
      <c r="B10004" s="25" t="n"/>
      <c r="I10004" s="25" t="n"/>
      <c r="U10004" s="19">
        <f>IF($V10004&lt;&gt;'設定'!$C$4,N(U10003),IF(OR(NOT(COUNTIF('商品マスタ'!$B$6:$B$1005,$W10004)=0),COUNTIFS('①在庫を貼る'!$V$6:$V$10005,$V10004,'①在庫を貼る'!$W$6:$W$10005,$W10004)&gt;0),N(U10003),N(U10003)+1))</f>
        <v/>
      </c>
      <c r="V10004" s="19">
        <f>IF($B10004="","",TEXT($B10004,"0000"))</f>
        <v/>
      </c>
      <c r="W10004" s="19">
        <f>IF($I10004="","",IF(ISNUMBER($I10004),TEXT($I10004,"0"),$I10004))</f>
        <v/>
      </c>
    </row>
    <row r="10005">
      <c r="B10005" s="25" t="n"/>
      <c r="I10005" s="25" t="n"/>
      <c r="U10005" s="19">
        <f>IF($V10005&lt;&gt;'設定'!$C$4,N(U10004),IF(OR(NOT(COUNTIF('商品マスタ'!$B$6:$B$1005,$W10005)=0),COUNTIFS('①在庫を貼る'!$V$6:$V$10005,$V10005,'①在庫を貼る'!$W$6:$W$10005,$W10005)&gt;0),N(U10004),N(U10004)+1))</f>
        <v/>
      </c>
      <c r="V10005" s="19">
        <f>IF($B10005="","",TEXT($B10005,"0000"))</f>
        <v/>
      </c>
      <c r="W10005" s="19">
        <f>IF($I10005="","",IF(ISNUMBER($I10005),TEXT($I10005,"0"),$I10005))</f>
        <v/>
      </c>
    </row>
  </sheetData>
  <mergeCells count="1">
    <mergeCell ref="B1:M1"/>
  </mergeCells>
  <conditionalFormatting sqref="H2">
    <cfRule type="expression" priority="1" dxfId="4" stopIfTrue="1">
      <formula>COUNTIF($V$6:$V$10005,'設定'!$C$4)=0</formula>
    </cfRule>
    <cfRule type="expression" priority="2" dxfId="5" stopIfTrue="1">
      <formula>TRUE</formula>
    </cfRule>
  </conditionalFormatting>
  <hyperlinks>
    <hyperlink ref="N1" location="'ホーム'!A1" display="◀ ホーム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A8D9C"/>
    <outlinePr summaryBelow="1" summaryRight="1"/>
    <pageSetUpPr/>
  </sheetPr>
  <dimension ref="A1:W10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96" customWidth="1" min="1" max="1"/>
    <col width="11.88" customWidth="1" min="2" max="2"/>
    <col width="10.8" customWidth="1" min="3" max="3"/>
    <col width="28.08" customWidth="1" min="5" max="5"/>
    <col width="17.28" customWidth="1" min="8" max="8"/>
    <col width="17.28" customWidth="1" min="9" max="9"/>
    <col width="32.4" customWidth="1" min="10" max="10"/>
    <col width="6.48" customWidth="1" min="14" max="14"/>
    <col width="12.96" customWidth="1" min="15" max="15"/>
    <col width="6.48" customWidth="1" min="16" max="16"/>
    <col width="12.96" customWidth="1" min="17" max="17"/>
    <col width="6.48" customWidth="1" min="18" max="18"/>
    <col width="12.96" customWidth="1" min="19" max="19"/>
    <col width="6.48" customWidth="1" min="20" max="20"/>
    <col width="15.12" customWidth="1" min="21" max="21"/>
    <col width="12.96" customWidth="1" min="22" max="22"/>
    <col width="15.12" customWidth="1" min="23" max="23"/>
  </cols>
  <sheetData>
    <row r="1" ht="24" customHeight="1">
      <c r="B1" s="1" t="inlineStr">
        <is>
          <t xml:space="preserve">  月1回　2ヶ月前の在庫を貼る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0" t="inlineStr">
        <is>
          <t xml:space="preserve">◀ ホーム  </t>
        </is>
      </c>
    </row>
    <row r="2" ht="30" customHeight="1">
      <c r="B2" s="21" t="inlineStr">
        <is>
          <t>2ヶ月前の在庫を貼る（月1回・任意）</t>
        </is>
      </c>
      <c r="H2" s="22">
        <f>IF(COUNTIF($V$6:$V$10005,'設定'!$C$4)=0,"✖ まだ貼れていません","✔ "&amp;COUNTIF($V$6:$V$10005,'設定'!$C$4)&amp;"行 読み込めました")</f>
        <v/>
      </c>
      <c r="N2" s="73">
        <f>COUNTIF('計算'!$CY$6:$CY$405,"新商品（今月から）")</f>
        <v/>
      </c>
      <c r="P2" s="73">
        <f>COUNTIF('計算'!$CY$6:$CY$405,"新商品（先月から）")</f>
        <v/>
      </c>
      <c r="R2" s="73">
        <f>COUNTIF('計算'!$CY$6:$CY$405,"終売（今月から）")</f>
        <v/>
      </c>
      <c r="T2" s="73">
        <f>COUNTIF('計算'!$CY$6:$CY$405,"終売（先月から）")</f>
        <v/>
      </c>
      <c r="V2" s="73">
        <f>COUNTIF('計算'!$CY$6:$CY$405,"復活（先月は無し）")</f>
        <v/>
      </c>
    </row>
    <row r="3">
      <c r="B3" s="5" t="inlineStr">
        <is>
          <t>当月を含まない2ヶ月前の1日時点の在庫一覧を貼ってください。半年ごとに入れ替わる商品もこれで漏れません。</t>
        </is>
      </c>
      <c r="H3" s="5">
        <f>IF(COUNTIF($V$6:$V$10005,'設定'!$C$4)=0,"貼らなくても動きます。貼ると、取扱商品の入れ替わりが分かります。","対象劇場："&amp;'設定'!$C$4&amp;"　"&amp;'設定'!$C$5)</f>
        <v/>
      </c>
      <c r="N3" s="74" t="inlineStr">
        <is>
          <t>新商品（今月から）</t>
        </is>
      </c>
      <c r="P3" s="74" t="inlineStr">
        <is>
          <t>新商品（先月から）</t>
        </is>
      </c>
      <c r="R3" s="74" t="inlineStr">
        <is>
          <t>終売（今月から）</t>
        </is>
      </c>
      <c r="T3" s="74" t="inlineStr">
        <is>
          <t>終売（先月から）</t>
        </is>
      </c>
      <c r="V3" s="74" t="inlineStr">
        <is>
          <t>復活（先月は無し）</t>
        </is>
      </c>
    </row>
    <row r="4">
      <c r="B4" s="6" t="inlineStr">
        <is>
          <t>月に1回、A6 セルに貼り替えてください。貼らなくても動きます。</t>
        </is>
      </c>
      <c r="N4" s="75" t="inlineStr">
        <is>
          <t>取扱の変化（当日・1ヶ月前・2ヶ月前を突き合わせた結果）</t>
        </is>
      </c>
      <c r="U4" s="19" t="inlineStr">
        <is>
          <t>← この右の3列は自動です。消さないでください（消えたら社員に）。</t>
        </is>
      </c>
    </row>
    <row r="5">
      <c r="A5" s="23" t="inlineStr">
        <is>
          <t>対象日付</t>
        </is>
      </c>
      <c r="B5" s="23" t="inlineStr">
        <is>
          <t>劇場コード</t>
        </is>
      </c>
      <c r="C5" s="23" t="inlineStr">
        <is>
          <t>劇場名</t>
        </is>
      </c>
      <c r="D5" s="23" t="inlineStr">
        <is>
          <t>支払先コード</t>
        </is>
      </c>
      <c r="E5" s="23" t="inlineStr">
        <is>
          <t>支払先名</t>
        </is>
      </c>
      <c r="F5" s="23" t="inlineStr">
        <is>
          <t>大分類コード</t>
        </is>
      </c>
      <c r="G5" s="23" t="inlineStr">
        <is>
          <t>小分類コード</t>
        </is>
      </c>
      <c r="H5" s="23" t="inlineStr">
        <is>
          <t>商品分類名</t>
        </is>
      </c>
      <c r="I5" s="23" t="inlineStr">
        <is>
          <t>商品コード</t>
        </is>
      </c>
      <c r="J5" s="23" t="inlineStr">
        <is>
          <t>商品名</t>
        </is>
      </c>
      <c r="K5" s="23" t="inlineStr">
        <is>
          <t>入数</t>
        </is>
      </c>
      <c r="L5" s="23" t="inlineStr">
        <is>
          <t>在庫数ケース</t>
        </is>
      </c>
      <c r="M5" s="23" t="inlineStr">
        <is>
          <t>在庫数バラ</t>
        </is>
      </c>
      <c r="N5" s="23" t="inlineStr">
        <is>
          <t>総数</t>
        </is>
      </c>
      <c r="O5" s="23" t="inlineStr">
        <is>
          <t>規定数</t>
        </is>
      </c>
      <c r="P5" s="23" t="inlineStr">
        <is>
          <t>資産廃棄</t>
        </is>
      </c>
      <c r="Q5" s="23" t="inlineStr">
        <is>
          <t>税抜単価</t>
        </is>
      </c>
      <c r="R5" s="23" t="inlineStr">
        <is>
          <t>仕入税区分</t>
        </is>
      </c>
      <c r="S5" s="23" t="inlineStr">
        <is>
          <t>仕入税率</t>
        </is>
      </c>
      <c r="U5" s="24" t="inlineStr">
        <is>
          <t>マスタに無い商品の連番(自動)</t>
        </is>
      </c>
      <c r="V5" s="24" t="inlineStr">
        <is>
          <t>劇場コード(自動)</t>
        </is>
      </c>
      <c r="W5" s="24" t="inlineStr">
        <is>
          <t>商品コード(自動)</t>
        </is>
      </c>
    </row>
    <row r="6">
      <c r="B6" s="25" t="n"/>
      <c r="I6" s="25" t="n"/>
      <c r="U6" s="19">
        <f>IF($V6&lt;&gt;'設定'!$C$4,N(U5),IF(OR(NOT(COUNTIF('商品マスタ'!$B$6:$B$1005,$W6)=0),COUNTIFS('①在庫を貼る'!$V$6:$V$10005,$V6,'①在庫を貼る'!$W$6:$W$10005,$W6)+COUNTIFS('月1回_1ヶ月前の在庫'!$V$6:$V$10005,$V6,'月1回_1ヶ月前の在庫'!$W$6:$W$10005,$W6)&gt;0),N(U5),N(U5)+1))</f>
        <v/>
      </c>
      <c r="V6" s="19">
        <f>IF($B6="","",TEXT($B6,"0000"))</f>
        <v/>
      </c>
      <c r="W6" s="19">
        <f>IF($I6="","",IF(ISNUMBER($I6),TEXT($I6,"0"),$I6))</f>
        <v/>
      </c>
    </row>
    <row r="7">
      <c r="B7" s="25" t="n"/>
      <c r="I7" s="25" t="n"/>
      <c r="U7" s="19">
        <f>IF($V7&lt;&gt;'設定'!$C$4,N(U6),IF(OR(NOT(COUNTIF('商品マスタ'!$B$6:$B$1005,$W7)=0),COUNTIFS('①在庫を貼る'!$V$6:$V$10005,$V7,'①在庫を貼る'!$W$6:$W$10005,$W7)+COUNTIFS('月1回_1ヶ月前の在庫'!$V$6:$V$10005,$V7,'月1回_1ヶ月前の在庫'!$W$6:$W$10005,$W7)&gt;0),N(U6),N(U6)+1))</f>
        <v/>
      </c>
      <c r="V7" s="19">
        <f>IF($B7="","",TEXT($B7,"0000"))</f>
        <v/>
      </c>
      <c r="W7" s="19">
        <f>IF($I7="","",IF(ISNUMBER($I7),TEXT($I7,"0"),$I7))</f>
        <v/>
      </c>
    </row>
    <row r="8">
      <c r="B8" s="25" t="n"/>
      <c r="I8" s="25" t="n"/>
      <c r="U8" s="19">
        <f>IF($V8&lt;&gt;'設定'!$C$4,N(U7),IF(OR(NOT(COUNTIF('商品マスタ'!$B$6:$B$1005,$W8)=0),COUNTIFS('①在庫を貼る'!$V$6:$V$10005,$V8,'①在庫を貼る'!$W$6:$W$10005,$W8)+COUNTIFS('月1回_1ヶ月前の在庫'!$V$6:$V$10005,$V8,'月1回_1ヶ月前の在庫'!$W$6:$W$10005,$W8)&gt;0),N(U7),N(U7)+1))</f>
        <v/>
      </c>
      <c r="V8" s="19">
        <f>IF($B8="","",TEXT($B8,"0000"))</f>
        <v/>
      </c>
      <c r="W8" s="19">
        <f>IF($I8="","",IF(ISNUMBER($I8),TEXT($I8,"0"),$I8))</f>
        <v/>
      </c>
    </row>
    <row r="9">
      <c r="B9" s="25" t="n"/>
      <c r="I9" s="25" t="n"/>
      <c r="U9" s="19">
        <f>IF($V9&lt;&gt;'設定'!$C$4,N(U8),IF(OR(NOT(COUNTIF('商品マスタ'!$B$6:$B$1005,$W9)=0),COUNTIFS('①在庫を貼る'!$V$6:$V$10005,$V9,'①在庫を貼る'!$W$6:$W$10005,$W9)+COUNTIFS('月1回_1ヶ月前の在庫'!$V$6:$V$10005,$V9,'月1回_1ヶ月前の在庫'!$W$6:$W$10005,$W9)&gt;0),N(U8),N(U8)+1))</f>
        <v/>
      </c>
      <c r="V9" s="19">
        <f>IF($B9="","",TEXT($B9,"0000"))</f>
        <v/>
      </c>
      <c r="W9" s="19">
        <f>IF($I9="","",IF(ISNUMBER($I9),TEXT($I9,"0"),$I9))</f>
        <v/>
      </c>
    </row>
    <row r="10">
      <c r="B10" s="25" t="n"/>
      <c r="I10" s="25" t="n"/>
      <c r="U10" s="19">
        <f>IF($V10&lt;&gt;'設定'!$C$4,N(U9),IF(OR(NOT(COUNTIF('商品マスタ'!$B$6:$B$1005,$W10)=0),COUNTIFS('①在庫を貼る'!$V$6:$V$10005,$V10,'①在庫を貼る'!$W$6:$W$10005,$W10)+COUNTIFS('月1回_1ヶ月前の在庫'!$V$6:$V$10005,$V10,'月1回_1ヶ月前の在庫'!$W$6:$W$10005,$W10)&gt;0),N(U9),N(U9)+1))</f>
        <v/>
      </c>
      <c r="V10" s="19">
        <f>IF($B10="","",TEXT($B10,"0000"))</f>
        <v/>
      </c>
      <c r="W10" s="19">
        <f>IF($I10="","",IF(ISNUMBER($I10),TEXT($I10,"0"),$I10))</f>
        <v/>
      </c>
    </row>
    <row r="11">
      <c r="B11" s="25" t="n"/>
      <c r="I11" s="25" t="n"/>
      <c r="U11" s="19">
        <f>IF($V11&lt;&gt;'設定'!$C$4,N(U10),IF(OR(NOT(COUNTIF('商品マスタ'!$B$6:$B$1005,$W11)=0),COUNTIFS('①在庫を貼る'!$V$6:$V$10005,$V11,'①在庫を貼る'!$W$6:$W$10005,$W11)+COUNTIFS('月1回_1ヶ月前の在庫'!$V$6:$V$10005,$V11,'月1回_1ヶ月前の在庫'!$W$6:$W$10005,$W11)&gt;0),N(U10),N(U10)+1))</f>
        <v/>
      </c>
      <c r="V11" s="19">
        <f>IF($B11="","",TEXT($B11,"0000"))</f>
        <v/>
      </c>
      <c r="W11" s="19">
        <f>IF($I11="","",IF(ISNUMBER($I11),TEXT($I11,"0"),$I11))</f>
        <v/>
      </c>
    </row>
    <row r="12">
      <c r="B12" s="25" t="n"/>
      <c r="I12" s="25" t="n"/>
      <c r="U12" s="19">
        <f>IF($V12&lt;&gt;'設定'!$C$4,N(U11),IF(OR(NOT(COUNTIF('商品マスタ'!$B$6:$B$1005,$W12)=0),COUNTIFS('①在庫を貼る'!$V$6:$V$10005,$V12,'①在庫を貼る'!$W$6:$W$10005,$W12)+COUNTIFS('月1回_1ヶ月前の在庫'!$V$6:$V$10005,$V12,'月1回_1ヶ月前の在庫'!$W$6:$W$10005,$W12)&gt;0),N(U11),N(U11)+1))</f>
        <v/>
      </c>
      <c r="V12" s="19">
        <f>IF($B12="","",TEXT($B12,"0000"))</f>
        <v/>
      </c>
      <c r="W12" s="19">
        <f>IF($I12="","",IF(ISNUMBER($I12),TEXT($I12,"0"),$I12))</f>
        <v/>
      </c>
    </row>
    <row r="13">
      <c r="B13" s="25" t="n"/>
      <c r="I13" s="25" t="n"/>
      <c r="U13" s="19">
        <f>IF($V13&lt;&gt;'設定'!$C$4,N(U12),IF(OR(NOT(COUNTIF('商品マスタ'!$B$6:$B$1005,$W13)=0),COUNTIFS('①在庫を貼る'!$V$6:$V$10005,$V13,'①在庫を貼る'!$W$6:$W$10005,$W13)+COUNTIFS('月1回_1ヶ月前の在庫'!$V$6:$V$10005,$V13,'月1回_1ヶ月前の在庫'!$W$6:$W$10005,$W13)&gt;0),N(U12),N(U12)+1))</f>
        <v/>
      </c>
      <c r="V13" s="19">
        <f>IF($B13="","",TEXT($B13,"0000"))</f>
        <v/>
      </c>
      <c r="W13" s="19">
        <f>IF($I13="","",IF(ISNUMBER($I13),TEXT($I13,"0"),$I13))</f>
        <v/>
      </c>
    </row>
    <row r="14">
      <c r="B14" s="25" t="n"/>
      <c r="I14" s="25" t="n"/>
      <c r="U14" s="19">
        <f>IF($V14&lt;&gt;'設定'!$C$4,N(U13),IF(OR(NOT(COUNTIF('商品マスタ'!$B$6:$B$1005,$W14)=0),COUNTIFS('①在庫を貼る'!$V$6:$V$10005,$V14,'①在庫を貼る'!$W$6:$W$10005,$W14)+COUNTIFS('月1回_1ヶ月前の在庫'!$V$6:$V$10005,$V14,'月1回_1ヶ月前の在庫'!$W$6:$W$10005,$W14)&gt;0),N(U13),N(U13)+1))</f>
        <v/>
      </c>
      <c r="V14" s="19">
        <f>IF($B14="","",TEXT($B14,"0000"))</f>
        <v/>
      </c>
      <c r="W14" s="19">
        <f>IF($I14="","",IF(ISNUMBER($I14),TEXT($I14,"0"),$I14))</f>
        <v/>
      </c>
    </row>
    <row r="15">
      <c r="B15" s="25" t="n"/>
      <c r="I15" s="25" t="n"/>
      <c r="U15" s="19">
        <f>IF($V15&lt;&gt;'設定'!$C$4,N(U14),IF(OR(NOT(COUNTIF('商品マスタ'!$B$6:$B$1005,$W15)=0),COUNTIFS('①在庫を貼る'!$V$6:$V$10005,$V15,'①在庫を貼る'!$W$6:$W$10005,$W15)+COUNTIFS('月1回_1ヶ月前の在庫'!$V$6:$V$10005,$V15,'月1回_1ヶ月前の在庫'!$W$6:$W$10005,$W15)&gt;0),N(U14),N(U14)+1))</f>
        <v/>
      </c>
      <c r="V15" s="19">
        <f>IF($B15="","",TEXT($B15,"0000"))</f>
        <v/>
      </c>
      <c r="W15" s="19">
        <f>IF($I15="","",IF(ISNUMBER($I15),TEXT($I15,"0"),$I15))</f>
        <v/>
      </c>
    </row>
    <row r="16">
      <c r="B16" s="25" t="n"/>
      <c r="I16" s="25" t="n"/>
      <c r="U16" s="19">
        <f>IF($V16&lt;&gt;'設定'!$C$4,N(U15),IF(OR(NOT(COUNTIF('商品マスタ'!$B$6:$B$1005,$W16)=0),COUNTIFS('①在庫を貼る'!$V$6:$V$10005,$V16,'①在庫を貼る'!$W$6:$W$10005,$W16)+COUNTIFS('月1回_1ヶ月前の在庫'!$V$6:$V$10005,$V16,'月1回_1ヶ月前の在庫'!$W$6:$W$10005,$W16)&gt;0),N(U15),N(U15)+1))</f>
        <v/>
      </c>
      <c r="V16" s="19">
        <f>IF($B16="","",TEXT($B16,"0000"))</f>
        <v/>
      </c>
      <c r="W16" s="19">
        <f>IF($I16="","",IF(ISNUMBER($I16),TEXT($I16,"0"),$I16))</f>
        <v/>
      </c>
    </row>
    <row r="17">
      <c r="B17" s="25" t="n"/>
      <c r="I17" s="25" t="n"/>
      <c r="U17" s="19">
        <f>IF($V17&lt;&gt;'設定'!$C$4,N(U16),IF(OR(NOT(COUNTIF('商品マスタ'!$B$6:$B$1005,$W17)=0),COUNTIFS('①在庫を貼る'!$V$6:$V$10005,$V17,'①在庫を貼る'!$W$6:$W$10005,$W17)+COUNTIFS('月1回_1ヶ月前の在庫'!$V$6:$V$10005,$V17,'月1回_1ヶ月前の在庫'!$W$6:$W$10005,$W17)&gt;0),N(U16),N(U16)+1))</f>
        <v/>
      </c>
      <c r="V17" s="19">
        <f>IF($B17="","",TEXT($B17,"0000"))</f>
        <v/>
      </c>
      <c r="W17" s="19">
        <f>IF($I17="","",IF(ISNUMBER($I17),TEXT($I17,"0"),$I17))</f>
        <v/>
      </c>
    </row>
    <row r="18">
      <c r="B18" s="25" t="n"/>
      <c r="I18" s="25" t="n"/>
      <c r="U18" s="19">
        <f>IF($V18&lt;&gt;'設定'!$C$4,N(U17),IF(OR(NOT(COUNTIF('商品マスタ'!$B$6:$B$1005,$W18)=0),COUNTIFS('①在庫を貼る'!$V$6:$V$10005,$V18,'①在庫を貼る'!$W$6:$W$10005,$W18)+COUNTIFS('月1回_1ヶ月前の在庫'!$V$6:$V$10005,$V18,'月1回_1ヶ月前の在庫'!$W$6:$W$10005,$W18)&gt;0),N(U17),N(U17)+1))</f>
        <v/>
      </c>
      <c r="V18" s="19">
        <f>IF($B18="","",TEXT($B18,"0000"))</f>
        <v/>
      </c>
      <c r="W18" s="19">
        <f>IF($I18="","",IF(ISNUMBER($I18),TEXT($I18,"0"),$I18))</f>
        <v/>
      </c>
    </row>
    <row r="19">
      <c r="B19" s="25" t="n"/>
      <c r="I19" s="25" t="n"/>
      <c r="U19" s="19">
        <f>IF($V19&lt;&gt;'設定'!$C$4,N(U18),IF(OR(NOT(COUNTIF('商品マスタ'!$B$6:$B$1005,$W19)=0),COUNTIFS('①在庫を貼る'!$V$6:$V$10005,$V19,'①在庫を貼る'!$W$6:$W$10005,$W19)+COUNTIFS('月1回_1ヶ月前の在庫'!$V$6:$V$10005,$V19,'月1回_1ヶ月前の在庫'!$W$6:$W$10005,$W19)&gt;0),N(U18),N(U18)+1))</f>
        <v/>
      </c>
      <c r="V19" s="19">
        <f>IF($B19="","",TEXT($B19,"0000"))</f>
        <v/>
      </c>
      <c r="W19" s="19">
        <f>IF($I19="","",IF(ISNUMBER($I19),TEXT($I19,"0"),$I19))</f>
        <v/>
      </c>
    </row>
    <row r="20">
      <c r="B20" s="25" t="n"/>
      <c r="I20" s="25" t="n"/>
      <c r="U20" s="19">
        <f>IF($V20&lt;&gt;'設定'!$C$4,N(U19),IF(OR(NOT(COUNTIF('商品マスタ'!$B$6:$B$1005,$W20)=0),COUNTIFS('①在庫を貼る'!$V$6:$V$10005,$V20,'①在庫を貼る'!$W$6:$W$10005,$W20)+COUNTIFS('月1回_1ヶ月前の在庫'!$V$6:$V$10005,$V20,'月1回_1ヶ月前の在庫'!$W$6:$W$10005,$W20)&gt;0),N(U19),N(U19)+1))</f>
        <v/>
      </c>
      <c r="V20" s="19">
        <f>IF($B20="","",TEXT($B20,"0000"))</f>
        <v/>
      </c>
      <c r="W20" s="19">
        <f>IF($I20="","",IF(ISNUMBER($I20),TEXT($I20,"0"),$I20))</f>
        <v/>
      </c>
    </row>
    <row r="21">
      <c r="B21" s="25" t="n"/>
      <c r="I21" s="25" t="n"/>
      <c r="U21" s="19">
        <f>IF($V21&lt;&gt;'設定'!$C$4,N(U20),IF(OR(NOT(COUNTIF('商品マスタ'!$B$6:$B$1005,$W21)=0),COUNTIFS('①在庫を貼る'!$V$6:$V$10005,$V21,'①在庫を貼る'!$W$6:$W$10005,$W21)+COUNTIFS('月1回_1ヶ月前の在庫'!$V$6:$V$10005,$V21,'月1回_1ヶ月前の在庫'!$W$6:$W$10005,$W21)&gt;0),N(U20),N(U20)+1))</f>
        <v/>
      </c>
      <c r="V21" s="19">
        <f>IF($B21="","",TEXT($B21,"0000"))</f>
        <v/>
      </c>
      <c r="W21" s="19">
        <f>IF($I21="","",IF(ISNUMBER($I21),TEXT($I21,"0"),$I21))</f>
        <v/>
      </c>
    </row>
    <row r="22">
      <c r="B22" s="25" t="n"/>
      <c r="I22" s="25" t="n"/>
      <c r="U22" s="19">
        <f>IF($V22&lt;&gt;'設定'!$C$4,N(U21),IF(OR(NOT(COUNTIF('商品マスタ'!$B$6:$B$1005,$W22)=0),COUNTIFS('①在庫を貼る'!$V$6:$V$10005,$V22,'①在庫を貼る'!$W$6:$W$10005,$W22)+COUNTIFS('月1回_1ヶ月前の在庫'!$V$6:$V$10005,$V22,'月1回_1ヶ月前の在庫'!$W$6:$W$10005,$W22)&gt;0),N(U21),N(U21)+1))</f>
        <v/>
      </c>
      <c r="V22" s="19">
        <f>IF($B22="","",TEXT($B22,"0000"))</f>
        <v/>
      </c>
      <c r="W22" s="19">
        <f>IF($I22="","",IF(ISNUMBER($I22),TEXT($I22,"0"),$I22))</f>
        <v/>
      </c>
    </row>
    <row r="23">
      <c r="B23" s="25" t="n"/>
      <c r="I23" s="25" t="n"/>
      <c r="U23" s="19">
        <f>IF($V23&lt;&gt;'設定'!$C$4,N(U22),IF(OR(NOT(COUNTIF('商品マスタ'!$B$6:$B$1005,$W23)=0),COUNTIFS('①在庫を貼る'!$V$6:$V$10005,$V23,'①在庫を貼る'!$W$6:$W$10005,$W23)+COUNTIFS('月1回_1ヶ月前の在庫'!$V$6:$V$10005,$V23,'月1回_1ヶ月前の在庫'!$W$6:$W$10005,$W23)&gt;0),N(U22),N(U22)+1))</f>
        <v/>
      </c>
      <c r="V23" s="19">
        <f>IF($B23="","",TEXT($B23,"0000"))</f>
        <v/>
      </c>
      <c r="W23" s="19">
        <f>IF($I23="","",IF(ISNUMBER($I23),TEXT($I23,"0"),$I23))</f>
        <v/>
      </c>
    </row>
    <row r="24">
      <c r="B24" s="25" t="n"/>
      <c r="I24" s="25" t="n"/>
      <c r="U24" s="19">
        <f>IF($V24&lt;&gt;'設定'!$C$4,N(U23),IF(OR(NOT(COUNTIF('商品マスタ'!$B$6:$B$1005,$W24)=0),COUNTIFS('①在庫を貼る'!$V$6:$V$10005,$V24,'①在庫を貼る'!$W$6:$W$10005,$W24)+COUNTIFS('月1回_1ヶ月前の在庫'!$V$6:$V$10005,$V24,'月1回_1ヶ月前の在庫'!$W$6:$W$10005,$W24)&gt;0),N(U23),N(U23)+1))</f>
        <v/>
      </c>
      <c r="V24" s="19">
        <f>IF($B24="","",TEXT($B24,"0000"))</f>
        <v/>
      </c>
      <c r="W24" s="19">
        <f>IF($I24="","",IF(ISNUMBER($I24),TEXT($I24,"0"),$I24))</f>
        <v/>
      </c>
    </row>
    <row r="25">
      <c r="B25" s="25" t="n"/>
      <c r="I25" s="25" t="n"/>
      <c r="U25" s="19">
        <f>IF($V25&lt;&gt;'設定'!$C$4,N(U24),IF(OR(NOT(COUNTIF('商品マスタ'!$B$6:$B$1005,$W25)=0),COUNTIFS('①在庫を貼る'!$V$6:$V$10005,$V25,'①在庫を貼る'!$W$6:$W$10005,$W25)+COUNTIFS('月1回_1ヶ月前の在庫'!$V$6:$V$10005,$V25,'月1回_1ヶ月前の在庫'!$W$6:$W$10005,$W25)&gt;0),N(U24),N(U24)+1))</f>
        <v/>
      </c>
      <c r="V25" s="19">
        <f>IF($B25="","",TEXT($B25,"0000"))</f>
        <v/>
      </c>
      <c r="W25" s="19">
        <f>IF($I25="","",IF(ISNUMBER($I25),TEXT($I25,"0"),$I25))</f>
        <v/>
      </c>
    </row>
    <row r="26">
      <c r="B26" s="25" t="n"/>
      <c r="I26" s="25" t="n"/>
      <c r="U26" s="19">
        <f>IF($V26&lt;&gt;'設定'!$C$4,N(U25),IF(OR(NOT(COUNTIF('商品マスタ'!$B$6:$B$1005,$W26)=0),COUNTIFS('①在庫を貼る'!$V$6:$V$10005,$V26,'①在庫を貼る'!$W$6:$W$10005,$W26)+COUNTIFS('月1回_1ヶ月前の在庫'!$V$6:$V$10005,$V26,'月1回_1ヶ月前の在庫'!$W$6:$W$10005,$W26)&gt;0),N(U25),N(U25)+1))</f>
        <v/>
      </c>
      <c r="V26" s="19">
        <f>IF($B26="","",TEXT($B26,"0000"))</f>
        <v/>
      </c>
      <c r="W26" s="19">
        <f>IF($I26="","",IF(ISNUMBER($I26),TEXT($I26,"0"),$I26))</f>
        <v/>
      </c>
    </row>
    <row r="27">
      <c r="B27" s="25" t="n"/>
      <c r="I27" s="25" t="n"/>
      <c r="U27" s="19">
        <f>IF($V27&lt;&gt;'設定'!$C$4,N(U26),IF(OR(NOT(COUNTIF('商品マスタ'!$B$6:$B$1005,$W27)=0),COUNTIFS('①在庫を貼る'!$V$6:$V$10005,$V27,'①在庫を貼る'!$W$6:$W$10005,$W27)+COUNTIFS('月1回_1ヶ月前の在庫'!$V$6:$V$10005,$V27,'月1回_1ヶ月前の在庫'!$W$6:$W$10005,$W27)&gt;0),N(U26),N(U26)+1))</f>
        <v/>
      </c>
      <c r="V27" s="19">
        <f>IF($B27="","",TEXT($B27,"0000"))</f>
        <v/>
      </c>
      <c r="W27" s="19">
        <f>IF($I27="","",IF(ISNUMBER($I27),TEXT($I27,"0"),$I27))</f>
        <v/>
      </c>
    </row>
    <row r="28">
      <c r="B28" s="25" t="n"/>
      <c r="I28" s="25" t="n"/>
      <c r="U28" s="19">
        <f>IF($V28&lt;&gt;'設定'!$C$4,N(U27),IF(OR(NOT(COUNTIF('商品マスタ'!$B$6:$B$1005,$W28)=0),COUNTIFS('①在庫を貼る'!$V$6:$V$10005,$V28,'①在庫を貼る'!$W$6:$W$10005,$W28)+COUNTIFS('月1回_1ヶ月前の在庫'!$V$6:$V$10005,$V28,'月1回_1ヶ月前の在庫'!$W$6:$W$10005,$W28)&gt;0),N(U27),N(U27)+1))</f>
        <v/>
      </c>
      <c r="V28" s="19">
        <f>IF($B28="","",TEXT($B28,"0000"))</f>
        <v/>
      </c>
      <c r="W28" s="19">
        <f>IF($I28="","",IF(ISNUMBER($I28),TEXT($I28,"0"),$I28))</f>
        <v/>
      </c>
    </row>
    <row r="29">
      <c r="B29" s="25" t="n"/>
      <c r="I29" s="25" t="n"/>
      <c r="U29" s="19">
        <f>IF($V29&lt;&gt;'設定'!$C$4,N(U28),IF(OR(NOT(COUNTIF('商品マスタ'!$B$6:$B$1005,$W29)=0),COUNTIFS('①在庫を貼る'!$V$6:$V$10005,$V29,'①在庫を貼る'!$W$6:$W$10005,$W29)+COUNTIFS('月1回_1ヶ月前の在庫'!$V$6:$V$10005,$V29,'月1回_1ヶ月前の在庫'!$W$6:$W$10005,$W29)&gt;0),N(U28),N(U28)+1))</f>
        <v/>
      </c>
      <c r="V29" s="19">
        <f>IF($B29="","",TEXT($B29,"0000"))</f>
        <v/>
      </c>
      <c r="W29" s="19">
        <f>IF($I29="","",IF(ISNUMBER($I29),TEXT($I29,"0"),$I29))</f>
        <v/>
      </c>
    </row>
    <row r="30">
      <c r="B30" s="25" t="n"/>
      <c r="I30" s="25" t="n"/>
      <c r="U30" s="19">
        <f>IF($V30&lt;&gt;'設定'!$C$4,N(U29),IF(OR(NOT(COUNTIF('商品マスタ'!$B$6:$B$1005,$W30)=0),COUNTIFS('①在庫を貼る'!$V$6:$V$10005,$V30,'①在庫を貼る'!$W$6:$W$10005,$W30)+COUNTIFS('月1回_1ヶ月前の在庫'!$V$6:$V$10005,$V30,'月1回_1ヶ月前の在庫'!$W$6:$W$10005,$W30)&gt;0),N(U29),N(U29)+1))</f>
        <v/>
      </c>
      <c r="V30" s="19">
        <f>IF($B30="","",TEXT($B30,"0000"))</f>
        <v/>
      </c>
      <c r="W30" s="19">
        <f>IF($I30="","",IF(ISNUMBER($I30),TEXT($I30,"0"),$I30))</f>
        <v/>
      </c>
    </row>
    <row r="31">
      <c r="B31" s="25" t="n"/>
      <c r="I31" s="25" t="n"/>
      <c r="U31" s="19">
        <f>IF($V31&lt;&gt;'設定'!$C$4,N(U30),IF(OR(NOT(COUNTIF('商品マスタ'!$B$6:$B$1005,$W31)=0),COUNTIFS('①在庫を貼る'!$V$6:$V$10005,$V31,'①在庫を貼る'!$W$6:$W$10005,$W31)+COUNTIFS('月1回_1ヶ月前の在庫'!$V$6:$V$10005,$V31,'月1回_1ヶ月前の在庫'!$W$6:$W$10005,$W31)&gt;0),N(U30),N(U30)+1))</f>
        <v/>
      </c>
      <c r="V31" s="19">
        <f>IF($B31="","",TEXT($B31,"0000"))</f>
        <v/>
      </c>
      <c r="W31" s="19">
        <f>IF($I31="","",IF(ISNUMBER($I31),TEXT($I31,"0"),$I31))</f>
        <v/>
      </c>
    </row>
    <row r="32">
      <c r="B32" s="25" t="n"/>
      <c r="I32" s="25" t="n"/>
      <c r="U32" s="19">
        <f>IF($V32&lt;&gt;'設定'!$C$4,N(U31),IF(OR(NOT(COUNTIF('商品マスタ'!$B$6:$B$1005,$W32)=0),COUNTIFS('①在庫を貼る'!$V$6:$V$10005,$V32,'①在庫を貼る'!$W$6:$W$10005,$W32)+COUNTIFS('月1回_1ヶ月前の在庫'!$V$6:$V$10005,$V32,'月1回_1ヶ月前の在庫'!$W$6:$W$10005,$W32)&gt;0),N(U31),N(U31)+1))</f>
        <v/>
      </c>
      <c r="V32" s="19">
        <f>IF($B32="","",TEXT($B32,"0000"))</f>
        <v/>
      </c>
      <c r="W32" s="19">
        <f>IF($I32="","",IF(ISNUMBER($I32),TEXT($I32,"0"),$I32))</f>
        <v/>
      </c>
    </row>
    <row r="33">
      <c r="B33" s="25" t="n"/>
      <c r="I33" s="25" t="n"/>
      <c r="U33" s="19">
        <f>IF($V33&lt;&gt;'設定'!$C$4,N(U32),IF(OR(NOT(COUNTIF('商品マスタ'!$B$6:$B$1005,$W33)=0),COUNTIFS('①在庫を貼る'!$V$6:$V$10005,$V33,'①在庫を貼る'!$W$6:$W$10005,$W33)+COUNTIFS('月1回_1ヶ月前の在庫'!$V$6:$V$10005,$V33,'月1回_1ヶ月前の在庫'!$W$6:$W$10005,$W33)&gt;0),N(U32),N(U32)+1))</f>
        <v/>
      </c>
      <c r="V33" s="19">
        <f>IF($B33="","",TEXT($B33,"0000"))</f>
        <v/>
      </c>
      <c r="W33" s="19">
        <f>IF($I33="","",IF(ISNUMBER($I33),TEXT($I33,"0"),$I33))</f>
        <v/>
      </c>
    </row>
    <row r="34">
      <c r="B34" s="25" t="n"/>
      <c r="I34" s="25" t="n"/>
      <c r="U34" s="19">
        <f>IF($V34&lt;&gt;'設定'!$C$4,N(U33),IF(OR(NOT(COUNTIF('商品マスタ'!$B$6:$B$1005,$W34)=0),COUNTIFS('①在庫を貼る'!$V$6:$V$10005,$V34,'①在庫を貼る'!$W$6:$W$10005,$W34)+COUNTIFS('月1回_1ヶ月前の在庫'!$V$6:$V$10005,$V34,'月1回_1ヶ月前の在庫'!$W$6:$W$10005,$W34)&gt;0),N(U33),N(U33)+1))</f>
        <v/>
      </c>
      <c r="V34" s="19">
        <f>IF($B34="","",TEXT($B34,"0000"))</f>
        <v/>
      </c>
      <c r="W34" s="19">
        <f>IF($I34="","",IF(ISNUMBER($I34),TEXT($I34,"0"),$I34))</f>
        <v/>
      </c>
    </row>
    <row r="35">
      <c r="B35" s="25" t="n"/>
      <c r="I35" s="25" t="n"/>
      <c r="U35" s="19">
        <f>IF($V35&lt;&gt;'設定'!$C$4,N(U34),IF(OR(NOT(COUNTIF('商品マスタ'!$B$6:$B$1005,$W35)=0),COUNTIFS('①在庫を貼る'!$V$6:$V$10005,$V35,'①在庫を貼る'!$W$6:$W$10005,$W35)+COUNTIFS('月1回_1ヶ月前の在庫'!$V$6:$V$10005,$V35,'月1回_1ヶ月前の在庫'!$W$6:$W$10005,$W35)&gt;0),N(U34),N(U34)+1))</f>
        <v/>
      </c>
      <c r="V35" s="19">
        <f>IF($B35="","",TEXT($B35,"0000"))</f>
        <v/>
      </c>
      <c r="W35" s="19">
        <f>IF($I35="","",IF(ISNUMBER($I35),TEXT($I35,"0"),$I35))</f>
        <v/>
      </c>
    </row>
    <row r="36">
      <c r="B36" s="25" t="n"/>
      <c r="I36" s="25" t="n"/>
      <c r="U36" s="19">
        <f>IF($V36&lt;&gt;'設定'!$C$4,N(U35),IF(OR(NOT(COUNTIF('商品マスタ'!$B$6:$B$1005,$W36)=0),COUNTIFS('①在庫を貼る'!$V$6:$V$10005,$V36,'①在庫を貼る'!$W$6:$W$10005,$W36)+COUNTIFS('月1回_1ヶ月前の在庫'!$V$6:$V$10005,$V36,'月1回_1ヶ月前の在庫'!$W$6:$W$10005,$W36)&gt;0),N(U35),N(U35)+1))</f>
        <v/>
      </c>
      <c r="V36" s="19">
        <f>IF($B36="","",TEXT($B36,"0000"))</f>
        <v/>
      </c>
      <c r="W36" s="19">
        <f>IF($I36="","",IF(ISNUMBER($I36),TEXT($I36,"0"),$I36))</f>
        <v/>
      </c>
    </row>
    <row r="37">
      <c r="B37" s="25" t="n"/>
      <c r="I37" s="25" t="n"/>
      <c r="U37" s="19">
        <f>IF($V37&lt;&gt;'設定'!$C$4,N(U36),IF(OR(NOT(COUNTIF('商品マスタ'!$B$6:$B$1005,$W37)=0),COUNTIFS('①在庫を貼る'!$V$6:$V$10005,$V37,'①在庫を貼る'!$W$6:$W$10005,$W37)+COUNTIFS('月1回_1ヶ月前の在庫'!$V$6:$V$10005,$V37,'月1回_1ヶ月前の在庫'!$W$6:$W$10005,$W37)&gt;0),N(U36),N(U36)+1))</f>
        <v/>
      </c>
      <c r="V37" s="19">
        <f>IF($B37="","",TEXT($B37,"0000"))</f>
        <v/>
      </c>
      <c r="W37" s="19">
        <f>IF($I37="","",IF(ISNUMBER($I37),TEXT($I37,"0"),$I37))</f>
        <v/>
      </c>
    </row>
    <row r="38">
      <c r="B38" s="25" t="n"/>
      <c r="I38" s="25" t="n"/>
      <c r="U38" s="19">
        <f>IF($V38&lt;&gt;'設定'!$C$4,N(U37),IF(OR(NOT(COUNTIF('商品マスタ'!$B$6:$B$1005,$W38)=0),COUNTIFS('①在庫を貼る'!$V$6:$V$10005,$V38,'①在庫を貼る'!$W$6:$W$10005,$W38)+COUNTIFS('月1回_1ヶ月前の在庫'!$V$6:$V$10005,$V38,'月1回_1ヶ月前の在庫'!$W$6:$W$10005,$W38)&gt;0),N(U37),N(U37)+1))</f>
        <v/>
      </c>
      <c r="V38" s="19">
        <f>IF($B38="","",TEXT($B38,"0000"))</f>
        <v/>
      </c>
      <c r="W38" s="19">
        <f>IF($I38="","",IF(ISNUMBER($I38),TEXT($I38,"0"),$I38))</f>
        <v/>
      </c>
    </row>
    <row r="39">
      <c r="B39" s="25" t="n"/>
      <c r="I39" s="25" t="n"/>
      <c r="U39" s="19">
        <f>IF($V39&lt;&gt;'設定'!$C$4,N(U38),IF(OR(NOT(COUNTIF('商品マスタ'!$B$6:$B$1005,$W39)=0),COUNTIFS('①在庫を貼る'!$V$6:$V$10005,$V39,'①在庫を貼る'!$W$6:$W$10005,$W39)+COUNTIFS('月1回_1ヶ月前の在庫'!$V$6:$V$10005,$V39,'月1回_1ヶ月前の在庫'!$W$6:$W$10005,$W39)&gt;0),N(U38),N(U38)+1))</f>
        <v/>
      </c>
      <c r="V39" s="19">
        <f>IF($B39="","",TEXT($B39,"0000"))</f>
        <v/>
      </c>
      <c r="W39" s="19">
        <f>IF($I39="","",IF(ISNUMBER($I39),TEXT($I39,"0"),$I39))</f>
        <v/>
      </c>
    </row>
    <row r="40">
      <c r="B40" s="25" t="n"/>
      <c r="I40" s="25" t="n"/>
      <c r="U40" s="19">
        <f>IF($V40&lt;&gt;'設定'!$C$4,N(U39),IF(OR(NOT(COUNTIF('商品マスタ'!$B$6:$B$1005,$W40)=0),COUNTIFS('①在庫を貼る'!$V$6:$V$10005,$V40,'①在庫を貼る'!$W$6:$W$10005,$W40)+COUNTIFS('月1回_1ヶ月前の在庫'!$V$6:$V$10005,$V40,'月1回_1ヶ月前の在庫'!$W$6:$W$10005,$W40)&gt;0),N(U39),N(U39)+1))</f>
        <v/>
      </c>
      <c r="V40" s="19">
        <f>IF($B40="","",TEXT($B40,"0000"))</f>
        <v/>
      </c>
      <c r="W40" s="19">
        <f>IF($I40="","",IF(ISNUMBER($I40),TEXT($I40,"0"),$I40))</f>
        <v/>
      </c>
    </row>
    <row r="41">
      <c r="B41" s="25" t="n"/>
      <c r="I41" s="25" t="n"/>
      <c r="U41" s="19">
        <f>IF($V41&lt;&gt;'設定'!$C$4,N(U40),IF(OR(NOT(COUNTIF('商品マスタ'!$B$6:$B$1005,$W41)=0),COUNTIFS('①在庫を貼る'!$V$6:$V$10005,$V41,'①在庫を貼る'!$W$6:$W$10005,$W41)+COUNTIFS('月1回_1ヶ月前の在庫'!$V$6:$V$10005,$V41,'月1回_1ヶ月前の在庫'!$W$6:$W$10005,$W41)&gt;0),N(U40),N(U40)+1))</f>
        <v/>
      </c>
      <c r="V41" s="19">
        <f>IF($B41="","",TEXT($B41,"0000"))</f>
        <v/>
      </c>
      <c r="W41" s="19">
        <f>IF($I41="","",IF(ISNUMBER($I41),TEXT($I41,"0"),$I41))</f>
        <v/>
      </c>
    </row>
    <row r="42">
      <c r="B42" s="25" t="n"/>
      <c r="I42" s="25" t="n"/>
      <c r="U42" s="19">
        <f>IF($V42&lt;&gt;'設定'!$C$4,N(U41),IF(OR(NOT(COUNTIF('商品マスタ'!$B$6:$B$1005,$W42)=0),COUNTIFS('①在庫を貼る'!$V$6:$V$10005,$V42,'①在庫を貼る'!$W$6:$W$10005,$W42)+COUNTIFS('月1回_1ヶ月前の在庫'!$V$6:$V$10005,$V42,'月1回_1ヶ月前の在庫'!$W$6:$W$10005,$W42)&gt;0),N(U41),N(U41)+1))</f>
        <v/>
      </c>
      <c r="V42" s="19">
        <f>IF($B42="","",TEXT($B42,"0000"))</f>
        <v/>
      </c>
      <c r="W42" s="19">
        <f>IF($I42="","",IF(ISNUMBER($I42),TEXT($I42,"0"),$I42))</f>
        <v/>
      </c>
    </row>
    <row r="43">
      <c r="B43" s="25" t="n"/>
      <c r="I43" s="25" t="n"/>
      <c r="U43" s="19">
        <f>IF($V43&lt;&gt;'設定'!$C$4,N(U42),IF(OR(NOT(COUNTIF('商品マスタ'!$B$6:$B$1005,$W43)=0),COUNTIFS('①在庫を貼る'!$V$6:$V$10005,$V43,'①在庫を貼る'!$W$6:$W$10005,$W43)+COUNTIFS('月1回_1ヶ月前の在庫'!$V$6:$V$10005,$V43,'月1回_1ヶ月前の在庫'!$W$6:$W$10005,$W43)&gt;0),N(U42),N(U42)+1))</f>
        <v/>
      </c>
      <c r="V43" s="19">
        <f>IF($B43="","",TEXT($B43,"0000"))</f>
        <v/>
      </c>
      <c r="W43" s="19">
        <f>IF($I43="","",IF(ISNUMBER($I43),TEXT($I43,"0"),$I43))</f>
        <v/>
      </c>
    </row>
    <row r="44">
      <c r="B44" s="25" t="n"/>
      <c r="I44" s="25" t="n"/>
      <c r="U44" s="19">
        <f>IF($V44&lt;&gt;'設定'!$C$4,N(U43),IF(OR(NOT(COUNTIF('商品マスタ'!$B$6:$B$1005,$W44)=0),COUNTIFS('①在庫を貼る'!$V$6:$V$10005,$V44,'①在庫を貼る'!$W$6:$W$10005,$W44)+COUNTIFS('月1回_1ヶ月前の在庫'!$V$6:$V$10005,$V44,'月1回_1ヶ月前の在庫'!$W$6:$W$10005,$W44)&gt;0),N(U43),N(U43)+1))</f>
        <v/>
      </c>
      <c r="V44" s="19">
        <f>IF($B44="","",TEXT($B44,"0000"))</f>
        <v/>
      </c>
      <c r="W44" s="19">
        <f>IF($I44="","",IF(ISNUMBER($I44),TEXT($I44,"0"),$I44))</f>
        <v/>
      </c>
    </row>
    <row r="45">
      <c r="B45" s="25" t="n"/>
      <c r="I45" s="25" t="n"/>
      <c r="U45" s="19">
        <f>IF($V45&lt;&gt;'設定'!$C$4,N(U44),IF(OR(NOT(COUNTIF('商品マスタ'!$B$6:$B$1005,$W45)=0),COUNTIFS('①在庫を貼る'!$V$6:$V$10005,$V45,'①在庫を貼る'!$W$6:$W$10005,$W45)+COUNTIFS('月1回_1ヶ月前の在庫'!$V$6:$V$10005,$V45,'月1回_1ヶ月前の在庫'!$W$6:$W$10005,$W45)&gt;0),N(U44),N(U44)+1))</f>
        <v/>
      </c>
      <c r="V45" s="19">
        <f>IF($B45="","",TEXT($B45,"0000"))</f>
        <v/>
      </c>
      <c r="W45" s="19">
        <f>IF($I45="","",IF(ISNUMBER($I45),TEXT($I45,"0"),$I45))</f>
        <v/>
      </c>
    </row>
    <row r="46">
      <c r="B46" s="25" t="n"/>
      <c r="I46" s="25" t="n"/>
      <c r="U46" s="19">
        <f>IF($V46&lt;&gt;'設定'!$C$4,N(U45),IF(OR(NOT(COUNTIF('商品マスタ'!$B$6:$B$1005,$W46)=0),COUNTIFS('①在庫を貼る'!$V$6:$V$10005,$V46,'①在庫を貼る'!$W$6:$W$10005,$W46)+COUNTIFS('月1回_1ヶ月前の在庫'!$V$6:$V$10005,$V46,'月1回_1ヶ月前の在庫'!$W$6:$W$10005,$W46)&gt;0),N(U45),N(U45)+1))</f>
        <v/>
      </c>
      <c r="V46" s="19">
        <f>IF($B46="","",TEXT($B46,"0000"))</f>
        <v/>
      </c>
      <c r="W46" s="19">
        <f>IF($I46="","",IF(ISNUMBER($I46),TEXT($I46,"0"),$I46))</f>
        <v/>
      </c>
    </row>
    <row r="47">
      <c r="B47" s="25" t="n"/>
      <c r="I47" s="25" t="n"/>
      <c r="U47" s="19">
        <f>IF($V47&lt;&gt;'設定'!$C$4,N(U46),IF(OR(NOT(COUNTIF('商品マスタ'!$B$6:$B$1005,$W47)=0),COUNTIFS('①在庫を貼る'!$V$6:$V$10005,$V47,'①在庫を貼る'!$W$6:$W$10005,$W47)+COUNTIFS('月1回_1ヶ月前の在庫'!$V$6:$V$10005,$V47,'月1回_1ヶ月前の在庫'!$W$6:$W$10005,$W47)&gt;0),N(U46),N(U46)+1))</f>
        <v/>
      </c>
      <c r="V47" s="19">
        <f>IF($B47="","",TEXT($B47,"0000"))</f>
        <v/>
      </c>
      <c r="W47" s="19">
        <f>IF($I47="","",IF(ISNUMBER($I47),TEXT($I47,"0"),$I47))</f>
        <v/>
      </c>
    </row>
    <row r="48">
      <c r="B48" s="25" t="n"/>
      <c r="I48" s="25" t="n"/>
      <c r="U48" s="19">
        <f>IF($V48&lt;&gt;'設定'!$C$4,N(U47),IF(OR(NOT(COUNTIF('商品マスタ'!$B$6:$B$1005,$W48)=0),COUNTIFS('①在庫を貼る'!$V$6:$V$10005,$V48,'①在庫を貼る'!$W$6:$W$10005,$W48)+COUNTIFS('月1回_1ヶ月前の在庫'!$V$6:$V$10005,$V48,'月1回_1ヶ月前の在庫'!$W$6:$W$10005,$W48)&gt;0),N(U47),N(U47)+1))</f>
        <v/>
      </c>
      <c r="V48" s="19">
        <f>IF($B48="","",TEXT($B48,"0000"))</f>
        <v/>
      </c>
      <c r="W48" s="19">
        <f>IF($I48="","",IF(ISNUMBER($I48),TEXT($I48,"0"),$I48))</f>
        <v/>
      </c>
    </row>
    <row r="49">
      <c r="B49" s="25" t="n"/>
      <c r="I49" s="25" t="n"/>
      <c r="U49" s="19">
        <f>IF($V49&lt;&gt;'設定'!$C$4,N(U48),IF(OR(NOT(COUNTIF('商品マスタ'!$B$6:$B$1005,$W49)=0),COUNTIFS('①在庫を貼る'!$V$6:$V$10005,$V49,'①在庫を貼る'!$W$6:$W$10005,$W49)+COUNTIFS('月1回_1ヶ月前の在庫'!$V$6:$V$10005,$V49,'月1回_1ヶ月前の在庫'!$W$6:$W$10005,$W49)&gt;0),N(U48),N(U48)+1))</f>
        <v/>
      </c>
      <c r="V49" s="19">
        <f>IF($B49="","",TEXT($B49,"0000"))</f>
        <v/>
      </c>
      <c r="W49" s="19">
        <f>IF($I49="","",IF(ISNUMBER($I49),TEXT($I49,"0"),$I49))</f>
        <v/>
      </c>
    </row>
    <row r="50">
      <c r="B50" s="25" t="n"/>
      <c r="I50" s="25" t="n"/>
      <c r="U50" s="19">
        <f>IF($V50&lt;&gt;'設定'!$C$4,N(U49),IF(OR(NOT(COUNTIF('商品マスタ'!$B$6:$B$1005,$W50)=0),COUNTIFS('①在庫を貼る'!$V$6:$V$10005,$V50,'①在庫を貼る'!$W$6:$W$10005,$W50)+COUNTIFS('月1回_1ヶ月前の在庫'!$V$6:$V$10005,$V50,'月1回_1ヶ月前の在庫'!$W$6:$W$10005,$W50)&gt;0),N(U49),N(U49)+1))</f>
        <v/>
      </c>
      <c r="V50" s="19">
        <f>IF($B50="","",TEXT($B50,"0000"))</f>
        <v/>
      </c>
      <c r="W50" s="19">
        <f>IF($I50="","",IF(ISNUMBER($I50),TEXT($I50,"0"),$I50))</f>
        <v/>
      </c>
    </row>
    <row r="51">
      <c r="B51" s="25" t="n"/>
      <c r="I51" s="25" t="n"/>
      <c r="U51" s="19">
        <f>IF($V51&lt;&gt;'設定'!$C$4,N(U50),IF(OR(NOT(COUNTIF('商品マスタ'!$B$6:$B$1005,$W51)=0),COUNTIFS('①在庫を貼る'!$V$6:$V$10005,$V51,'①在庫を貼る'!$W$6:$W$10005,$W51)+COUNTIFS('月1回_1ヶ月前の在庫'!$V$6:$V$10005,$V51,'月1回_1ヶ月前の在庫'!$W$6:$W$10005,$W51)&gt;0),N(U50),N(U50)+1))</f>
        <v/>
      </c>
      <c r="V51" s="19">
        <f>IF($B51="","",TEXT($B51,"0000"))</f>
        <v/>
      </c>
      <c r="W51" s="19">
        <f>IF($I51="","",IF(ISNUMBER($I51),TEXT($I51,"0"),$I51))</f>
        <v/>
      </c>
    </row>
    <row r="52">
      <c r="B52" s="25" t="n"/>
      <c r="I52" s="25" t="n"/>
      <c r="U52" s="19">
        <f>IF($V52&lt;&gt;'設定'!$C$4,N(U51),IF(OR(NOT(COUNTIF('商品マスタ'!$B$6:$B$1005,$W52)=0),COUNTIFS('①在庫を貼る'!$V$6:$V$10005,$V52,'①在庫を貼る'!$W$6:$W$10005,$W52)+COUNTIFS('月1回_1ヶ月前の在庫'!$V$6:$V$10005,$V52,'月1回_1ヶ月前の在庫'!$W$6:$W$10005,$W52)&gt;0),N(U51),N(U51)+1))</f>
        <v/>
      </c>
      <c r="V52" s="19">
        <f>IF($B52="","",TEXT($B52,"0000"))</f>
        <v/>
      </c>
      <c r="W52" s="19">
        <f>IF($I52="","",IF(ISNUMBER($I52),TEXT($I52,"0"),$I52))</f>
        <v/>
      </c>
    </row>
    <row r="53">
      <c r="B53" s="25" t="n"/>
      <c r="I53" s="25" t="n"/>
      <c r="U53" s="19">
        <f>IF($V53&lt;&gt;'設定'!$C$4,N(U52),IF(OR(NOT(COUNTIF('商品マスタ'!$B$6:$B$1005,$W53)=0),COUNTIFS('①在庫を貼る'!$V$6:$V$10005,$V53,'①在庫を貼る'!$W$6:$W$10005,$W53)+COUNTIFS('月1回_1ヶ月前の在庫'!$V$6:$V$10005,$V53,'月1回_1ヶ月前の在庫'!$W$6:$W$10005,$W53)&gt;0),N(U52),N(U52)+1))</f>
        <v/>
      </c>
      <c r="V53" s="19">
        <f>IF($B53="","",TEXT($B53,"0000"))</f>
        <v/>
      </c>
      <c r="W53" s="19">
        <f>IF($I53="","",IF(ISNUMBER($I53),TEXT($I53,"0"),$I53))</f>
        <v/>
      </c>
    </row>
    <row r="54">
      <c r="B54" s="25" t="n"/>
      <c r="I54" s="25" t="n"/>
      <c r="U54" s="19">
        <f>IF($V54&lt;&gt;'設定'!$C$4,N(U53),IF(OR(NOT(COUNTIF('商品マスタ'!$B$6:$B$1005,$W54)=0),COUNTIFS('①在庫を貼る'!$V$6:$V$10005,$V54,'①在庫を貼る'!$W$6:$W$10005,$W54)+COUNTIFS('月1回_1ヶ月前の在庫'!$V$6:$V$10005,$V54,'月1回_1ヶ月前の在庫'!$W$6:$W$10005,$W54)&gt;0),N(U53),N(U53)+1))</f>
        <v/>
      </c>
      <c r="V54" s="19">
        <f>IF($B54="","",TEXT($B54,"0000"))</f>
        <v/>
      </c>
      <c r="W54" s="19">
        <f>IF($I54="","",IF(ISNUMBER($I54),TEXT($I54,"0"),$I54))</f>
        <v/>
      </c>
    </row>
    <row r="55">
      <c r="B55" s="25" t="n"/>
      <c r="I55" s="25" t="n"/>
      <c r="U55" s="19">
        <f>IF($V55&lt;&gt;'設定'!$C$4,N(U54),IF(OR(NOT(COUNTIF('商品マスタ'!$B$6:$B$1005,$W55)=0),COUNTIFS('①在庫を貼る'!$V$6:$V$10005,$V55,'①在庫を貼る'!$W$6:$W$10005,$W55)+COUNTIFS('月1回_1ヶ月前の在庫'!$V$6:$V$10005,$V55,'月1回_1ヶ月前の在庫'!$W$6:$W$10005,$W55)&gt;0),N(U54),N(U54)+1))</f>
        <v/>
      </c>
      <c r="V55" s="19">
        <f>IF($B55="","",TEXT($B55,"0000"))</f>
        <v/>
      </c>
      <c r="W55" s="19">
        <f>IF($I55="","",IF(ISNUMBER($I55),TEXT($I55,"0"),$I55))</f>
        <v/>
      </c>
    </row>
    <row r="56">
      <c r="B56" s="25" t="n"/>
      <c r="I56" s="25" t="n"/>
      <c r="U56" s="19">
        <f>IF($V56&lt;&gt;'設定'!$C$4,N(U55),IF(OR(NOT(COUNTIF('商品マスタ'!$B$6:$B$1005,$W56)=0),COUNTIFS('①在庫を貼る'!$V$6:$V$10005,$V56,'①在庫を貼る'!$W$6:$W$10005,$W56)+COUNTIFS('月1回_1ヶ月前の在庫'!$V$6:$V$10005,$V56,'月1回_1ヶ月前の在庫'!$W$6:$W$10005,$W56)&gt;0),N(U55),N(U55)+1))</f>
        <v/>
      </c>
      <c r="V56" s="19">
        <f>IF($B56="","",TEXT($B56,"0000"))</f>
        <v/>
      </c>
      <c r="W56" s="19">
        <f>IF($I56="","",IF(ISNUMBER($I56),TEXT($I56,"0"),$I56))</f>
        <v/>
      </c>
    </row>
    <row r="57">
      <c r="B57" s="25" t="n"/>
      <c r="I57" s="25" t="n"/>
      <c r="U57" s="19">
        <f>IF($V57&lt;&gt;'設定'!$C$4,N(U56),IF(OR(NOT(COUNTIF('商品マスタ'!$B$6:$B$1005,$W57)=0),COUNTIFS('①在庫を貼る'!$V$6:$V$10005,$V57,'①在庫を貼る'!$W$6:$W$10005,$W57)+COUNTIFS('月1回_1ヶ月前の在庫'!$V$6:$V$10005,$V57,'月1回_1ヶ月前の在庫'!$W$6:$W$10005,$W57)&gt;0),N(U56),N(U56)+1))</f>
        <v/>
      </c>
      <c r="V57" s="19">
        <f>IF($B57="","",TEXT($B57,"0000"))</f>
        <v/>
      </c>
      <c r="W57" s="19">
        <f>IF($I57="","",IF(ISNUMBER($I57),TEXT($I57,"0"),$I57))</f>
        <v/>
      </c>
    </row>
    <row r="58">
      <c r="B58" s="25" t="n"/>
      <c r="I58" s="25" t="n"/>
      <c r="U58" s="19">
        <f>IF($V58&lt;&gt;'設定'!$C$4,N(U57),IF(OR(NOT(COUNTIF('商品マスタ'!$B$6:$B$1005,$W58)=0),COUNTIFS('①在庫を貼る'!$V$6:$V$10005,$V58,'①在庫を貼る'!$W$6:$W$10005,$W58)+COUNTIFS('月1回_1ヶ月前の在庫'!$V$6:$V$10005,$V58,'月1回_1ヶ月前の在庫'!$W$6:$W$10005,$W58)&gt;0),N(U57),N(U57)+1))</f>
        <v/>
      </c>
      <c r="V58" s="19">
        <f>IF($B58="","",TEXT($B58,"0000"))</f>
        <v/>
      </c>
      <c r="W58" s="19">
        <f>IF($I58="","",IF(ISNUMBER($I58),TEXT($I58,"0"),$I58))</f>
        <v/>
      </c>
    </row>
    <row r="59">
      <c r="B59" s="25" t="n"/>
      <c r="I59" s="25" t="n"/>
      <c r="U59" s="19">
        <f>IF($V59&lt;&gt;'設定'!$C$4,N(U58),IF(OR(NOT(COUNTIF('商品マスタ'!$B$6:$B$1005,$W59)=0),COUNTIFS('①在庫を貼る'!$V$6:$V$10005,$V59,'①在庫を貼る'!$W$6:$W$10005,$W59)+COUNTIFS('月1回_1ヶ月前の在庫'!$V$6:$V$10005,$V59,'月1回_1ヶ月前の在庫'!$W$6:$W$10005,$W59)&gt;0),N(U58),N(U58)+1))</f>
        <v/>
      </c>
      <c r="V59" s="19">
        <f>IF($B59="","",TEXT($B59,"0000"))</f>
        <v/>
      </c>
      <c r="W59" s="19">
        <f>IF($I59="","",IF(ISNUMBER($I59),TEXT($I59,"0"),$I59))</f>
        <v/>
      </c>
    </row>
    <row r="60">
      <c r="B60" s="25" t="n"/>
      <c r="I60" s="25" t="n"/>
      <c r="U60" s="19">
        <f>IF($V60&lt;&gt;'設定'!$C$4,N(U59),IF(OR(NOT(COUNTIF('商品マスタ'!$B$6:$B$1005,$W60)=0),COUNTIFS('①在庫を貼る'!$V$6:$V$10005,$V60,'①在庫を貼る'!$W$6:$W$10005,$W60)+COUNTIFS('月1回_1ヶ月前の在庫'!$V$6:$V$10005,$V60,'月1回_1ヶ月前の在庫'!$W$6:$W$10005,$W60)&gt;0),N(U59),N(U59)+1))</f>
        <v/>
      </c>
      <c r="V60" s="19">
        <f>IF($B60="","",TEXT($B60,"0000"))</f>
        <v/>
      </c>
      <c r="W60" s="19">
        <f>IF($I60="","",IF(ISNUMBER($I60),TEXT($I60,"0"),$I60))</f>
        <v/>
      </c>
    </row>
    <row r="61">
      <c r="B61" s="25" t="n"/>
      <c r="I61" s="25" t="n"/>
      <c r="U61" s="19">
        <f>IF($V61&lt;&gt;'設定'!$C$4,N(U60),IF(OR(NOT(COUNTIF('商品マスタ'!$B$6:$B$1005,$W61)=0),COUNTIFS('①在庫を貼る'!$V$6:$V$10005,$V61,'①在庫を貼る'!$W$6:$W$10005,$W61)+COUNTIFS('月1回_1ヶ月前の在庫'!$V$6:$V$10005,$V61,'月1回_1ヶ月前の在庫'!$W$6:$W$10005,$W61)&gt;0),N(U60),N(U60)+1))</f>
        <v/>
      </c>
      <c r="V61" s="19">
        <f>IF($B61="","",TEXT($B61,"0000"))</f>
        <v/>
      </c>
      <c r="W61" s="19">
        <f>IF($I61="","",IF(ISNUMBER($I61),TEXT($I61,"0"),$I61))</f>
        <v/>
      </c>
    </row>
    <row r="62">
      <c r="B62" s="25" t="n"/>
      <c r="I62" s="25" t="n"/>
      <c r="U62" s="19">
        <f>IF($V62&lt;&gt;'設定'!$C$4,N(U61),IF(OR(NOT(COUNTIF('商品マスタ'!$B$6:$B$1005,$W62)=0),COUNTIFS('①在庫を貼る'!$V$6:$V$10005,$V62,'①在庫を貼る'!$W$6:$W$10005,$W62)+COUNTIFS('月1回_1ヶ月前の在庫'!$V$6:$V$10005,$V62,'月1回_1ヶ月前の在庫'!$W$6:$W$10005,$W62)&gt;0),N(U61),N(U61)+1))</f>
        <v/>
      </c>
      <c r="V62" s="19">
        <f>IF($B62="","",TEXT($B62,"0000"))</f>
        <v/>
      </c>
      <c r="W62" s="19">
        <f>IF($I62="","",IF(ISNUMBER($I62),TEXT($I62,"0"),$I62))</f>
        <v/>
      </c>
    </row>
    <row r="63">
      <c r="B63" s="25" t="n"/>
      <c r="I63" s="25" t="n"/>
      <c r="U63" s="19">
        <f>IF($V63&lt;&gt;'設定'!$C$4,N(U62),IF(OR(NOT(COUNTIF('商品マスタ'!$B$6:$B$1005,$W63)=0),COUNTIFS('①在庫を貼る'!$V$6:$V$10005,$V63,'①在庫を貼る'!$W$6:$W$10005,$W63)+COUNTIFS('月1回_1ヶ月前の在庫'!$V$6:$V$10005,$V63,'月1回_1ヶ月前の在庫'!$W$6:$W$10005,$W63)&gt;0),N(U62),N(U62)+1))</f>
        <v/>
      </c>
      <c r="V63" s="19">
        <f>IF($B63="","",TEXT($B63,"0000"))</f>
        <v/>
      </c>
      <c r="W63" s="19">
        <f>IF($I63="","",IF(ISNUMBER($I63),TEXT($I63,"0"),$I63))</f>
        <v/>
      </c>
    </row>
    <row r="64">
      <c r="B64" s="25" t="n"/>
      <c r="I64" s="25" t="n"/>
      <c r="U64" s="19">
        <f>IF($V64&lt;&gt;'設定'!$C$4,N(U63),IF(OR(NOT(COUNTIF('商品マスタ'!$B$6:$B$1005,$W64)=0),COUNTIFS('①在庫を貼る'!$V$6:$V$10005,$V64,'①在庫を貼る'!$W$6:$W$10005,$W64)+COUNTIFS('月1回_1ヶ月前の在庫'!$V$6:$V$10005,$V64,'月1回_1ヶ月前の在庫'!$W$6:$W$10005,$W64)&gt;0),N(U63),N(U63)+1))</f>
        <v/>
      </c>
      <c r="V64" s="19">
        <f>IF($B64="","",TEXT($B64,"0000"))</f>
        <v/>
      </c>
      <c r="W64" s="19">
        <f>IF($I64="","",IF(ISNUMBER($I64),TEXT($I64,"0"),$I64))</f>
        <v/>
      </c>
    </row>
    <row r="65">
      <c r="B65" s="25" t="n"/>
      <c r="I65" s="25" t="n"/>
      <c r="U65" s="19">
        <f>IF($V65&lt;&gt;'設定'!$C$4,N(U64),IF(OR(NOT(COUNTIF('商品マスタ'!$B$6:$B$1005,$W65)=0),COUNTIFS('①在庫を貼る'!$V$6:$V$10005,$V65,'①在庫を貼る'!$W$6:$W$10005,$W65)+COUNTIFS('月1回_1ヶ月前の在庫'!$V$6:$V$10005,$V65,'月1回_1ヶ月前の在庫'!$W$6:$W$10005,$W65)&gt;0),N(U64),N(U64)+1))</f>
        <v/>
      </c>
      <c r="V65" s="19">
        <f>IF($B65="","",TEXT($B65,"0000"))</f>
        <v/>
      </c>
      <c r="W65" s="19">
        <f>IF($I65="","",IF(ISNUMBER($I65),TEXT($I65,"0"),$I65))</f>
        <v/>
      </c>
    </row>
    <row r="66">
      <c r="B66" s="25" t="n"/>
      <c r="I66" s="25" t="n"/>
      <c r="U66" s="19">
        <f>IF($V66&lt;&gt;'設定'!$C$4,N(U65),IF(OR(NOT(COUNTIF('商品マスタ'!$B$6:$B$1005,$W66)=0),COUNTIFS('①在庫を貼る'!$V$6:$V$10005,$V66,'①在庫を貼る'!$W$6:$W$10005,$W66)+COUNTIFS('月1回_1ヶ月前の在庫'!$V$6:$V$10005,$V66,'月1回_1ヶ月前の在庫'!$W$6:$W$10005,$W66)&gt;0),N(U65),N(U65)+1))</f>
        <v/>
      </c>
      <c r="V66" s="19">
        <f>IF($B66="","",TEXT($B66,"0000"))</f>
        <v/>
      </c>
      <c r="W66" s="19">
        <f>IF($I66="","",IF(ISNUMBER($I66),TEXT($I66,"0"),$I66))</f>
        <v/>
      </c>
    </row>
    <row r="67">
      <c r="B67" s="25" t="n"/>
      <c r="I67" s="25" t="n"/>
      <c r="U67" s="19">
        <f>IF($V67&lt;&gt;'設定'!$C$4,N(U66),IF(OR(NOT(COUNTIF('商品マスタ'!$B$6:$B$1005,$W67)=0),COUNTIFS('①在庫を貼る'!$V$6:$V$10005,$V67,'①在庫を貼る'!$W$6:$W$10005,$W67)+COUNTIFS('月1回_1ヶ月前の在庫'!$V$6:$V$10005,$V67,'月1回_1ヶ月前の在庫'!$W$6:$W$10005,$W67)&gt;0),N(U66),N(U66)+1))</f>
        <v/>
      </c>
      <c r="V67" s="19">
        <f>IF($B67="","",TEXT($B67,"0000"))</f>
        <v/>
      </c>
      <c r="W67" s="19">
        <f>IF($I67="","",IF(ISNUMBER($I67),TEXT($I67,"0"),$I67))</f>
        <v/>
      </c>
    </row>
    <row r="68">
      <c r="B68" s="25" t="n"/>
      <c r="I68" s="25" t="n"/>
      <c r="U68" s="19">
        <f>IF($V68&lt;&gt;'設定'!$C$4,N(U67),IF(OR(NOT(COUNTIF('商品マスタ'!$B$6:$B$1005,$W68)=0),COUNTIFS('①在庫を貼る'!$V$6:$V$10005,$V68,'①在庫を貼る'!$W$6:$W$10005,$W68)+COUNTIFS('月1回_1ヶ月前の在庫'!$V$6:$V$10005,$V68,'月1回_1ヶ月前の在庫'!$W$6:$W$10005,$W68)&gt;0),N(U67),N(U67)+1))</f>
        <v/>
      </c>
      <c r="V68" s="19">
        <f>IF($B68="","",TEXT($B68,"0000"))</f>
        <v/>
      </c>
      <c r="W68" s="19">
        <f>IF($I68="","",IF(ISNUMBER($I68),TEXT($I68,"0"),$I68))</f>
        <v/>
      </c>
    </row>
    <row r="69">
      <c r="B69" s="25" t="n"/>
      <c r="I69" s="25" t="n"/>
      <c r="U69" s="19">
        <f>IF($V69&lt;&gt;'設定'!$C$4,N(U68),IF(OR(NOT(COUNTIF('商品マスタ'!$B$6:$B$1005,$W69)=0),COUNTIFS('①在庫を貼る'!$V$6:$V$10005,$V69,'①在庫を貼る'!$W$6:$W$10005,$W69)+COUNTIFS('月1回_1ヶ月前の在庫'!$V$6:$V$10005,$V69,'月1回_1ヶ月前の在庫'!$W$6:$W$10005,$W69)&gt;0),N(U68),N(U68)+1))</f>
        <v/>
      </c>
      <c r="V69" s="19">
        <f>IF($B69="","",TEXT($B69,"0000"))</f>
        <v/>
      </c>
      <c r="W69" s="19">
        <f>IF($I69="","",IF(ISNUMBER($I69),TEXT($I69,"0"),$I69))</f>
        <v/>
      </c>
    </row>
    <row r="70">
      <c r="B70" s="25" t="n"/>
      <c r="I70" s="25" t="n"/>
      <c r="U70" s="19">
        <f>IF($V70&lt;&gt;'設定'!$C$4,N(U69),IF(OR(NOT(COUNTIF('商品マスタ'!$B$6:$B$1005,$W70)=0),COUNTIFS('①在庫を貼る'!$V$6:$V$10005,$V70,'①在庫を貼る'!$W$6:$W$10005,$W70)+COUNTIFS('月1回_1ヶ月前の在庫'!$V$6:$V$10005,$V70,'月1回_1ヶ月前の在庫'!$W$6:$W$10005,$W70)&gt;0),N(U69),N(U69)+1))</f>
        <v/>
      </c>
      <c r="V70" s="19">
        <f>IF($B70="","",TEXT($B70,"0000"))</f>
        <v/>
      </c>
      <c r="W70" s="19">
        <f>IF($I70="","",IF(ISNUMBER($I70),TEXT($I70,"0"),$I70))</f>
        <v/>
      </c>
    </row>
    <row r="71">
      <c r="B71" s="25" t="n"/>
      <c r="I71" s="25" t="n"/>
      <c r="U71" s="19">
        <f>IF($V71&lt;&gt;'設定'!$C$4,N(U70),IF(OR(NOT(COUNTIF('商品マスタ'!$B$6:$B$1005,$W71)=0),COUNTIFS('①在庫を貼る'!$V$6:$V$10005,$V71,'①在庫を貼る'!$W$6:$W$10005,$W71)+COUNTIFS('月1回_1ヶ月前の在庫'!$V$6:$V$10005,$V71,'月1回_1ヶ月前の在庫'!$W$6:$W$10005,$W71)&gt;0),N(U70),N(U70)+1))</f>
        <v/>
      </c>
      <c r="V71" s="19">
        <f>IF($B71="","",TEXT($B71,"0000"))</f>
        <v/>
      </c>
      <c r="W71" s="19">
        <f>IF($I71="","",IF(ISNUMBER($I71),TEXT($I71,"0"),$I71))</f>
        <v/>
      </c>
    </row>
    <row r="72">
      <c r="B72" s="25" t="n"/>
      <c r="I72" s="25" t="n"/>
      <c r="U72" s="19">
        <f>IF($V72&lt;&gt;'設定'!$C$4,N(U71),IF(OR(NOT(COUNTIF('商品マスタ'!$B$6:$B$1005,$W72)=0),COUNTIFS('①在庫を貼る'!$V$6:$V$10005,$V72,'①在庫を貼る'!$W$6:$W$10005,$W72)+COUNTIFS('月1回_1ヶ月前の在庫'!$V$6:$V$10005,$V72,'月1回_1ヶ月前の在庫'!$W$6:$W$10005,$W72)&gt;0),N(U71),N(U71)+1))</f>
        <v/>
      </c>
      <c r="V72" s="19">
        <f>IF($B72="","",TEXT($B72,"0000"))</f>
        <v/>
      </c>
      <c r="W72" s="19">
        <f>IF($I72="","",IF(ISNUMBER($I72),TEXT($I72,"0"),$I72))</f>
        <v/>
      </c>
    </row>
    <row r="73">
      <c r="B73" s="25" t="n"/>
      <c r="I73" s="25" t="n"/>
      <c r="U73" s="19">
        <f>IF($V73&lt;&gt;'設定'!$C$4,N(U72),IF(OR(NOT(COUNTIF('商品マスタ'!$B$6:$B$1005,$W73)=0),COUNTIFS('①在庫を貼る'!$V$6:$V$10005,$V73,'①在庫を貼る'!$W$6:$W$10005,$W73)+COUNTIFS('月1回_1ヶ月前の在庫'!$V$6:$V$10005,$V73,'月1回_1ヶ月前の在庫'!$W$6:$W$10005,$W73)&gt;0),N(U72),N(U72)+1))</f>
        <v/>
      </c>
      <c r="V73" s="19">
        <f>IF($B73="","",TEXT($B73,"0000"))</f>
        <v/>
      </c>
      <c r="W73" s="19">
        <f>IF($I73="","",IF(ISNUMBER($I73),TEXT($I73,"0"),$I73))</f>
        <v/>
      </c>
    </row>
    <row r="74">
      <c r="B74" s="25" t="n"/>
      <c r="I74" s="25" t="n"/>
      <c r="U74" s="19">
        <f>IF($V74&lt;&gt;'設定'!$C$4,N(U73),IF(OR(NOT(COUNTIF('商品マスタ'!$B$6:$B$1005,$W74)=0),COUNTIFS('①在庫を貼る'!$V$6:$V$10005,$V74,'①在庫を貼る'!$W$6:$W$10005,$W74)+COUNTIFS('月1回_1ヶ月前の在庫'!$V$6:$V$10005,$V74,'月1回_1ヶ月前の在庫'!$W$6:$W$10005,$W74)&gt;0),N(U73),N(U73)+1))</f>
        <v/>
      </c>
      <c r="V74" s="19">
        <f>IF($B74="","",TEXT($B74,"0000"))</f>
        <v/>
      </c>
      <c r="W74" s="19">
        <f>IF($I74="","",IF(ISNUMBER($I74),TEXT($I74,"0"),$I74))</f>
        <v/>
      </c>
    </row>
    <row r="75">
      <c r="B75" s="25" t="n"/>
      <c r="I75" s="25" t="n"/>
      <c r="U75" s="19">
        <f>IF($V75&lt;&gt;'設定'!$C$4,N(U74),IF(OR(NOT(COUNTIF('商品マスタ'!$B$6:$B$1005,$W75)=0),COUNTIFS('①在庫を貼る'!$V$6:$V$10005,$V75,'①在庫を貼る'!$W$6:$W$10005,$W75)+COUNTIFS('月1回_1ヶ月前の在庫'!$V$6:$V$10005,$V75,'月1回_1ヶ月前の在庫'!$W$6:$W$10005,$W75)&gt;0),N(U74),N(U74)+1))</f>
        <v/>
      </c>
      <c r="V75" s="19">
        <f>IF($B75="","",TEXT($B75,"0000"))</f>
        <v/>
      </c>
      <c r="W75" s="19">
        <f>IF($I75="","",IF(ISNUMBER($I75),TEXT($I75,"0"),$I75))</f>
        <v/>
      </c>
    </row>
    <row r="76">
      <c r="B76" s="25" t="n"/>
      <c r="I76" s="25" t="n"/>
      <c r="U76" s="19">
        <f>IF($V76&lt;&gt;'設定'!$C$4,N(U75),IF(OR(NOT(COUNTIF('商品マスタ'!$B$6:$B$1005,$W76)=0),COUNTIFS('①在庫を貼る'!$V$6:$V$10005,$V76,'①在庫を貼る'!$W$6:$W$10005,$W76)+COUNTIFS('月1回_1ヶ月前の在庫'!$V$6:$V$10005,$V76,'月1回_1ヶ月前の在庫'!$W$6:$W$10005,$W76)&gt;0),N(U75),N(U75)+1))</f>
        <v/>
      </c>
      <c r="V76" s="19">
        <f>IF($B76="","",TEXT($B76,"0000"))</f>
        <v/>
      </c>
      <c r="W76" s="19">
        <f>IF($I76="","",IF(ISNUMBER($I76),TEXT($I76,"0"),$I76))</f>
        <v/>
      </c>
    </row>
    <row r="77">
      <c r="B77" s="25" t="n"/>
      <c r="I77" s="25" t="n"/>
      <c r="U77" s="19">
        <f>IF($V77&lt;&gt;'設定'!$C$4,N(U76),IF(OR(NOT(COUNTIF('商品マスタ'!$B$6:$B$1005,$W77)=0),COUNTIFS('①在庫を貼る'!$V$6:$V$10005,$V77,'①在庫を貼る'!$W$6:$W$10005,$W77)+COUNTIFS('月1回_1ヶ月前の在庫'!$V$6:$V$10005,$V77,'月1回_1ヶ月前の在庫'!$W$6:$W$10005,$W77)&gt;0),N(U76),N(U76)+1))</f>
        <v/>
      </c>
      <c r="V77" s="19">
        <f>IF($B77="","",TEXT($B77,"0000"))</f>
        <v/>
      </c>
      <c r="W77" s="19">
        <f>IF($I77="","",IF(ISNUMBER($I77),TEXT($I77,"0"),$I77))</f>
        <v/>
      </c>
    </row>
    <row r="78">
      <c r="B78" s="25" t="n"/>
      <c r="I78" s="25" t="n"/>
      <c r="U78" s="19">
        <f>IF($V78&lt;&gt;'設定'!$C$4,N(U77),IF(OR(NOT(COUNTIF('商品マスタ'!$B$6:$B$1005,$W78)=0),COUNTIFS('①在庫を貼る'!$V$6:$V$10005,$V78,'①在庫を貼る'!$W$6:$W$10005,$W78)+COUNTIFS('月1回_1ヶ月前の在庫'!$V$6:$V$10005,$V78,'月1回_1ヶ月前の在庫'!$W$6:$W$10005,$W78)&gt;0),N(U77),N(U77)+1))</f>
        <v/>
      </c>
      <c r="V78" s="19">
        <f>IF($B78="","",TEXT($B78,"0000"))</f>
        <v/>
      </c>
      <c r="W78" s="19">
        <f>IF($I78="","",IF(ISNUMBER($I78),TEXT($I78,"0"),$I78))</f>
        <v/>
      </c>
    </row>
    <row r="79">
      <c r="B79" s="25" t="n"/>
      <c r="I79" s="25" t="n"/>
      <c r="U79" s="19">
        <f>IF($V79&lt;&gt;'設定'!$C$4,N(U78),IF(OR(NOT(COUNTIF('商品マスタ'!$B$6:$B$1005,$W79)=0),COUNTIFS('①在庫を貼る'!$V$6:$V$10005,$V79,'①在庫を貼る'!$W$6:$W$10005,$W79)+COUNTIFS('月1回_1ヶ月前の在庫'!$V$6:$V$10005,$V79,'月1回_1ヶ月前の在庫'!$W$6:$W$10005,$W79)&gt;0),N(U78),N(U78)+1))</f>
        <v/>
      </c>
      <c r="V79" s="19">
        <f>IF($B79="","",TEXT($B79,"0000"))</f>
        <v/>
      </c>
      <c r="W79" s="19">
        <f>IF($I79="","",IF(ISNUMBER($I79),TEXT($I79,"0"),$I79))</f>
        <v/>
      </c>
    </row>
    <row r="80">
      <c r="B80" s="25" t="n"/>
      <c r="I80" s="25" t="n"/>
      <c r="U80" s="19">
        <f>IF($V80&lt;&gt;'設定'!$C$4,N(U79),IF(OR(NOT(COUNTIF('商品マスタ'!$B$6:$B$1005,$W80)=0),COUNTIFS('①在庫を貼る'!$V$6:$V$10005,$V80,'①在庫を貼る'!$W$6:$W$10005,$W80)+COUNTIFS('月1回_1ヶ月前の在庫'!$V$6:$V$10005,$V80,'月1回_1ヶ月前の在庫'!$W$6:$W$10005,$W80)&gt;0),N(U79),N(U79)+1))</f>
        <v/>
      </c>
      <c r="V80" s="19">
        <f>IF($B80="","",TEXT($B80,"0000"))</f>
        <v/>
      </c>
      <c r="W80" s="19">
        <f>IF($I80="","",IF(ISNUMBER($I80),TEXT($I80,"0"),$I80))</f>
        <v/>
      </c>
    </row>
    <row r="81">
      <c r="B81" s="25" t="n"/>
      <c r="I81" s="25" t="n"/>
      <c r="U81" s="19">
        <f>IF($V81&lt;&gt;'設定'!$C$4,N(U80),IF(OR(NOT(COUNTIF('商品マスタ'!$B$6:$B$1005,$W81)=0),COUNTIFS('①在庫を貼る'!$V$6:$V$10005,$V81,'①在庫を貼る'!$W$6:$W$10005,$W81)+COUNTIFS('月1回_1ヶ月前の在庫'!$V$6:$V$10005,$V81,'月1回_1ヶ月前の在庫'!$W$6:$W$10005,$W81)&gt;0),N(U80),N(U80)+1))</f>
        <v/>
      </c>
      <c r="V81" s="19">
        <f>IF($B81="","",TEXT($B81,"0000"))</f>
        <v/>
      </c>
      <c r="W81" s="19">
        <f>IF($I81="","",IF(ISNUMBER($I81),TEXT($I81,"0"),$I81))</f>
        <v/>
      </c>
    </row>
    <row r="82">
      <c r="B82" s="25" t="n"/>
      <c r="I82" s="25" t="n"/>
      <c r="U82" s="19">
        <f>IF($V82&lt;&gt;'設定'!$C$4,N(U81),IF(OR(NOT(COUNTIF('商品マスタ'!$B$6:$B$1005,$W82)=0),COUNTIFS('①在庫を貼る'!$V$6:$V$10005,$V82,'①在庫を貼る'!$W$6:$W$10005,$W82)+COUNTIFS('月1回_1ヶ月前の在庫'!$V$6:$V$10005,$V82,'月1回_1ヶ月前の在庫'!$W$6:$W$10005,$W82)&gt;0),N(U81),N(U81)+1))</f>
        <v/>
      </c>
      <c r="V82" s="19">
        <f>IF($B82="","",TEXT($B82,"0000"))</f>
        <v/>
      </c>
      <c r="W82" s="19">
        <f>IF($I82="","",IF(ISNUMBER($I82),TEXT($I82,"0"),$I82))</f>
        <v/>
      </c>
    </row>
    <row r="83">
      <c r="B83" s="25" t="n"/>
      <c r="I83" s="25" t="n"/>
      <c r="U83" s="19">
        <f>IF($V83&lt;&gt;'設定'!$C$4,N(U82),IF(OR(NOT(COUNTIF('商品マスタ'!$B$6:$B$1005,$W83)=0),COUNTIFS('①在庫を貼る'!$V$6:$V$10005,$V83,'①在庫を貼る'!$W$6:$W$10005,$W83)+COUNTIFS('月1回_1ヶ月前の在庫'!$V$6:$V$10005,$V83,'月1回_1ヶ月前の在庫'!$W$6:$W$10005,$W83)&gt;0),N(U82),N(U82)+1))</f>
        <v/>
      </c>
      <c r="V83" s="19">
        <f>IF($B83="","",TEXT($B83,"0000"))</f>
        <v/>
      </c>
      <c r="W83" s="19">
        <f>IF($I83="","",IF(ISNUMBER($I83),TEXT($I83,"0"),$I83))</f>
        <v/>
      </c>
    </row>
    <row r="84">
      <c r="B84" s="25" t="n"/>
      <c r="I84" s="25" t="n"/>
      <c r="U84" s="19">
        <f>IF($V84&lt;&gt;'設定'!$C$4,N(U83),IF(OR(NOT(COUNTIF('商品マスタ'!$B$6:$B$1005,$W84)=0),COUNTIFS('①在庫を貼る'!$V$6:$V$10005,$V84,'①在庫を貼る'!$W$6:$W$10005,$W84)+COUNTIFS('月1回_1ヶ月前の在庫'!$V$6:$V$10005,$V84,'月1回_1ヶ月前の在庫'!$W$6:$W$10005,$W84)&gt;0),N(U83),N(U83)+1))</f>
        <v/>
      </c>
      <c r="V84" s="19">
        <f>IF($B84="","",TEXT($B84,"0000"))</f>
        <v/>
      </c>
      <c r="W84" s="19">
        <f>IF($I84="","",IF(ISNUMBER($I84),TEXT($I84,"0"),$I84))</f>
        <v/>
      </c>
    </row>
    <row r="85">
      <c r="B85" s="25" t="n"/>
      <c r="I85" s="25" t="n"/>
      <c r="U85" s="19">
        <f>IF($V85&lt;&gt;'設定'!$C$4,N(U84),IF(OR(NOT(COUNTIF('商品マスタ'!$B$6:$B$1005,$W85)=0),COUNTIFS('①在庫を貼る'!$V$6:$V$10005,$V85,'①在庫を貼る'!$W$6:$W$10005,$W85)+COUNTIFS('月1回_1ヶ月前の在庫'!$V$6:$V$10005,$V85,'月1回_1ヶ月前の在庫'!$W$6:$W$10005,$W85)&gt;0),N(U84),N(U84)+1))</f>
        <v/>
      </c>
      <c r="V85" s="19">
        <f>IF($B85="","",TEXT($B85,"0000"))</f>
        <v/>
      </c>
      <c r="W85" s="19">
        <f>IF($I85="","",IF(ISNUMBER($I85),TEXT($I85,"0"),$I85))</f>
        <v/>
      </c>
    </row>
    <row r="86">
      <c r="B86" s="25" t="n"/>
      <c r="I86" s="25" t="n"/>
      <c r="U86" s="19">
        <f>IF($V86&lt;&gt;'設定'!$C$4,N(U85),IF(OR(NOT(COUNTIF('商品マスタ'!$B$6:$B$1005,$W86)=0),COUNTIFS('①在庫を貼る'!$V$6:$V$10005,$V86,'①在庫を貼る'!$W$6:$W$10005,$W86)+COUNTIFS('月1回_1ヶ月前の在庫'!$V$6:$V$10005,$V86,'月1回_1ヶ月前の在庫'!$W$6:$W$10005,$W86)&gt;0),N(U85),N(U85)+1))</f>
        <v/>
      </c>
      <c r="V86" s="19">
        <f>IF($B86="","",TEXT($B86,"0000"))</f>
        <v/>
      </c>
      <c r="W86" s="19">
        <f>IF($I86="","",IF(ISNUMBER($I86),TEXT($I86,"0"),$I86))</f>
        <v/>
      </c>
    </row>
    <row r="87">
      <c r="B87" s="25" t="n"/>
      <c r="I87" s="25" t="n"/>
      <c r="U87" s="19">
        <f>IF($V87&lt;&gt;'設定'!$C$4,N(U86),IF(OR(NOT(COUNTIF('商品マスタ'!$B$6:$B$1005,$W87)=0),COUNTIFS('①在庫を貼る'!$V$6:$V$10005,$V87,'①在庫を貼る'!$W$6:$W$10005,$W87)+COUNTIFS('月1回_1ヶ月前の在庫'!$V$6:$V$10005,$V87,'月1回_1ヶ月前の在庫'!$W$6:$W$10005,$W87)&gt;0),N(U86),N(U86)+1))</f>
        <v/>
      </c>
      <c r="V87" s="19">
        <f>IF($B87="","",TEXT($B87,"0000"))</f>
        <v/>
      </c>
      <c r="W87" s="19">
        <f>IF($I87="","",IF(ISNUMBER($I87),TEXT($I87,"0"),$I87))</f>
        <v/>
      </c>
    </row>
    <row r="88">
      <c r="B88" s="25" t="n"/>
      <c r="I88" s="25" t="n"/>
      <c r="U88" s="19">
        <f>IF($V88&lt;&gt;'設定'!$C$4,N(U87),IF(OR(NOT(COUNTIF('商品マスタ'!$B$6:$B$1005,$W88)=0),COUNTIFS('①在庫を貼る'!$V$6:$V$10005,$V88,'①在庫を貼る'!$W$6:$W$10005,$W88)+COUNTIFS('月1回_1ヶ月前の在庫'!$V$6:$V$10005,$V88,'月1回_1ヶ月前の在庫'!$W$6:$W$10005,$W88)&gt;0),N(U87),N(U87)+1))</f>
        <v/>
      </c>
      <c r="V88" s="19">
        <f>IF($B88="","",TEXT($B88,"0000"))</f>
        <v/>
      </c>
      <c r="W88" s="19">
        <f>IF($I88="","",IF(ISNUMBER($I88),TEXT($I88,"0"),$I88))</f>
        <v/>
      </c>
    </row>
    <row r="89">
      <c r="B89" s="25" t="n"/>
      <c r="I89" s="25" t="n"/>
      <c r="U89" s="19">
        <f>IF($V89&lt;&gt;'設定'!$C$4,N(U88),IF(OR(NOT(COUNTIF('商品マスタ'!$B$6:$B$1005,$W89)=0),COUNTIFS('①在庫を貼る'!$V$6:$V$10005,$V89,'①在庫を貼る'!$W$6:$W$10005,$W89)+COUNTIFS('月1回_1ヶ月前の在庫'!$V$6:$V$10005,$V89,'月1回_1ヶ月前の在庫'!$W$6:$W$10005,$W89)&gt;0),N(U88),N(U88)+1))</f>
        <v/>
      </c>
      <c r="V89" s="19">
        <f>IF($B89="","",TEXT($B89,"0000"))</f>
        <v/>
      </c>
      <c r="W89" s="19">
        <f>IF($I89="","",IF(ISNUMBER($I89),TEXT($I89,"0"),$I89))</f>
        <v/>
      </c>
    </row>
    <row r="90">
      <c r="B90" s="25" t="n"/>
      <c r="I90" s="25" t="n"/>
      <c r="U90" s="19">
        <f>IF($V90&lt;&gt;'設定'!$C$4,N(U89),IF(OR(NOT(COUNTIF('商品マスタ'!$B$6:$B$1005,$W90)=0),COUNTIFS('①在庫を貼る'!$V$6:$V$10005,$V90,'①在庫を貼る'!$W$6:$W$10005,$W90)+COUNTIFS('月1回_1ヶ月前の在庫'!$V$6:$V$10005,$V90,'月1回_1ヶ月前の在庫'!$W$6:$W$10005,$W90)&gt;0),N(U89),N(U89)+1))</f>
        <v/>
      </c>
      <c r="V90" s="19">
        <f>IF($B90="","",TEXT($B90,"0000"))</f>
        <v/>
      </c>
      <c r="W90" s="19">
        <f>IF($I90="","",IF(ISNUMBER($I90),TEXT($I90,"0"),$I90))</f>
        <v/>
      </c>
    </row>
    <row r="91">
      <c r="B91" s="25" t="n"/>
      <c r="I91" s="25" t="n"/>
      <c r="U91" s="19">
        <f>IF($V91&lt;&gt;'設定'!$C$4,N(U90),IF(OR(NOT(COUNTIF('商品マスタ'!$B$6:$B$1005,$W91)=0),COUNTIFS('①在庫を貼る'!$V$6:$V$10005,$V91,'①在庫を貼る'!$W$6:$W$10005,$W91)+COUNTIFS('月1回_1ヶ月前の在庫'!$V$6:$V$10005,$V91,'月1回_1ヶ月前の在庫'!$W$6:$W$10005,$W91)&gt;0),N(U90),N(U90)+1))</f>
        <v/>
      </c>
      <c r="V91" s="19">
        <f>IF($B91="","",TEXT($B91,"0000"))</f>
        <v/>
      </c>
      <c r="W91" s="19">
        <f>IF($I91="","",IF(ISNUMBER($I91),TEXT($I91,"0"),$I91))</f>
        <v/>
      </c>
    </row>
    <row r="92">
      <c r="B92" s="25" t="n"/>
      <c r="I92" s="25" t="n"/>
      <c r="U92" s="19">
        <f>IF($V92&lt;&gt;'設定'!$C$4,N(U91),IF(OR(NOT(COUNTIF('商品マスタ'!$B$6:$B$1005,$W92)=0),COUNTIFS('①在庫を貼る'!$V$6:$V$10005,$V92,'①在庫を貼る'!$W$6:$W$10005,$W92)+COUNTIFS('月1回_1ヶ月前の在庫'!$V$6:$V$10005,$V92,'月1回_1ヶ月前の在庫'!$W$6:$W$10005,$W92)&gt;0),N(U91),N(U91)+1))</f>
        <v/>
      </c>
      <c r="V92" s="19">
        <f>IF($B92="","",TEXT($B92,"0000"))</f>
        <v/>
      </c>
      <c r="W92" s="19">
        <f>IF($I92="","",IF(ISNUMBER($I92),TEXT($I92,"0"),$I92))</f>
        <v/>
      </c>
    </row>
    <row r="93">
      <c r="B93" s="25" t="n"/>
      <c r="I93" s="25" t="n"/>
      <c r="U93" s="19">
        <f>IF($V93&lt;&gt;'設定'!$C$4,N(U92),IF(OR(NOT(COUNTIF('商品マスタ'!$B$6:$B$1005,$W93)=0),COUNTIFS('①在庫を貼る'!$V$6:$V$10005,$V93,'①在庫を貼る'!$W$6:$W$10005,$W93)+COUNTIFS('月1回_1ヶ月前の在庫'!$V$6:$V$10005,$V93,'月1回_1ヶ月前の在庫'!$W$6:$W$10005,$W93)&gt;0),N(U92),N(U92)+1))</f>
        <v/>
      </c>
      <c r="V93" s="19">
        <f>IF($B93="","",TEXT($B93,"0000"))</f>
        <v/>
      </c>
      <c r="W93" s="19">
        <f>IF($I93="","",IF(ISNUMBER($I93),TEXT($I93,"0"),$I93))</f>
        <v/>
      </c>
    </row>
    <row r="94">
      <c r="B94" s="25" t="n"/>
      <c r="I94" s="25" t="n"/>
      <c r="U94" s="19">
        <f>IF($V94&lt;&gt;'設定'!$C$4,N(U93),IF(OR(NOT(COUNTIF('商品マスタ'!$B$6:$B$1005,$W94)=0),COUNTIFS('①在庫を貼る'!$V$6:$V$10005,$V94,'①在庫を貼る'!$W$6:$W$10005,$W94)+COUNTIFS('月1回_1ヶ月前の在庫'!$V$6:$V$10005,$V94,'月1回_1ヶ月前の在庫'!$W$6:$W$10005,$W94)&gt;0),N(U93),N(U93)+1))</f>
        <v/>
      </c>
      <c r="V94" s="19">
        <f>IF($B94="","",TEXT($B94,"0000"))</f>
        <v/>
      </c>
      <c r="W94" s="19">
        <f>IF($I94="","",IF(ISNUMBER($I94),TEXT($I94,"0"),$I94))</f>
        <v/>
      </c>
    </row>
    <row r="95">
      <c r="B95" s="25" t="n"/>
      <c r="I95" s="25" t="n"/>
      <c r="U95" s="19">
        <f>IF($V95&lt;&gt;'設定'!$C$4,N(U94),IF(OR(NOT(COUNTIF('商品マスタ'!$B$6:$B$1005,$W95)=0),COUNTIFS('①在庫を貼る'!$V$6:$V$10005,$V95,'①在庫を貼る'!$W$6:$W$10005,$W95)+COUNTIFS('月1回_1ヶ月前の在庫'!$V$6:$V$10005,$V95,'月1回_1ヶ月前の在庫'!$W$6:$W$10005,$W95)&gt;0),N(U94),N(U94)+1))</f>
        <v/>
      </c>
      <c r="V95" s="19">
        <f>IF($B95="","",TEXT($B95,"0000"))</f>
        <v/>
      </c>
      <c r="W95" s="19">
        <f>IF($I95="","",IF(ISNUMBER($I95),TEXT($I95,"0"),$I95))</f>
        <v/>
      </c>
    </row>
    <row r="96">
      <c r="B96" s="25" t="n"/>
      <c r="I96" s="25" t="n"/>
      <c r="U96" s="19">
        <f>IF($V96&lt;&gt;'設定'!$C$4,N(U95),IF(OR(NOT(COUNTIF('商品マスタ'!$B$6:$B$1005,$W96)=0),COUNTIFS('①在庫を貼る'!$V$6:$V$10005,$V96,'①在庫を貼る'!$W$6:$W$10005,$W96)+COUNTIFS('月1回_1ヶ月前の在庫'!$V$6:$V$10005,$V96,'月1回_1ヶ月前の在庫'!$W$6:$W$10005,$W96)&gt;0),N(U95),N(U95)+1))</f>
        <v/>
      </c>
      <c r="V96" s="19">
        <f>IF($B96="","",TEXT($B96,"0000"))</f>
        <v/>
      </c>
      <c r="W96" s="19">
        <f>IF($I96="","",IF(ISNUMBER($I96),TEXT($I96,"0"),$I96))</f>
        <v/>
      </c>
    </row>
    <row r="97">
      <c r="B97" s="25" t="n"/>
      <c r="I97" s="25" t="n"/>
      <c r="U97" s="19">
        <f>IF($V97&lt;&gt;'設定'!$C$4,N(U96),IF(OR(NOT(COUNTIF('商品マスタ'!$B$6:$B$1005,$W97)=0),COUNTIFS('①在庫を貼る'!$V$6:$V$10005,$V97,'①在庫を貼る'!$W$6:$W$10005,$W97)+COUNTIFS('月1回_1ヶ月前の在庫'!$V$6:$V$10005,$V97,'月1回_1ヶ月前の在庫'!$W$6:$W$10005,$W97)&gt;0),N(U96),N(U96)+1))</f>
        <v/>
      </c>
      <c r="V97" s="19">
        <f>IF($B97="","",TEXT($B97,"0000"))</f>
        <v/>
      </c>
      <c r="W97" s="19">
        <f>IF($I97="","",IF(ISNUMBER($I97),TEXT($I97,"0"),$I97))</f>
        <v/>
      </c>
    </row>
    <row r="98">
      <c r="B98" s="25" t="n"/>
      <c r="I98" s="25" t="n"/>
      <c r="U98" s="19">
        <f>IF($V98&lt;&gt;'設定'!$C$4,N(U97),IF(OR(NOT(COUNTIF('商品マスタ'!$B$6:$B$1005,$W98)=0),COUNTIFS('①在庫を貼る'!$V$6:$V$10005,$V98,'①在庫を貼る'!$W$6:$W$10005,$W98)+COUNTIFS('月1回_1ヶ月前の在庫'!$V$6:$V$10005,$V98,'月1回_1ヶ月前の在庫'!$W$6:$W$10005,$W98)&gt;0),N(U97),N(U97)+1))</f>
        <v/>
      </c>
      <c r="V98" s="19">
        <f>IF($B98="","",TEXT($B98,"0000"))</f>
        <v/>
      </c>
      <c r="W98" s="19">
        <f>IF($I98="","",IF(ISNUMBER($I98),TEXT($I98,"0"),$I98))</f>
        <v/>
      </c>
    </row>
    <row r="99">
      <c r="B99" s="25" t="n"/>
      <c r="I99" s="25" t="n"/>
      <c r="U99" s="19">
        <f>IF($V99&lt;&gt;'設定'!$C$4,N(U98),IF(OR(NOT(COUNTIF('商品マスタ'!$B$6:$B$1005,$W99)=0),COUNTIFS('①在庫を貼る'!$V$6:$V$10005,$V99,'①在庫を貼る'!$W$6:$W$10005,$W99)+COUNTIFS('月1回_1ヶ月前の在庫'!$V$6:$V$10005,$V99,'月1回_1ヶ月前の在庫'!$W$6:$W$10005,$W99)&gt;0),N(U98),N(U98)+1))</f>
        <v/>
      </c>
      <c r="V99" s="19">
        <f>IF($B99="","",TEXT($B99,"0000"))</f>
        <v/>
      </c>
      <c r="W99" s="19">
        <f>IF($I99="","",IF(ISNUMBER($I99),TEXT($I99,"0"),$I99))</f>
        <v/>
      </c>
    </row>
    <row r="100">
      <c r="B100" s="25" t="n"/>
      <c r="I100" s="25" t="n"/>
      <c r="U100" s="19">
        <f>IF($V100&lt;&gt;'設定'!$C$4,N(U99),IF(OR(NOT(COUNTIF('商品マスタ'!$B$6:$B$1005,$W100)=0),COUNTIFS('①在庫を貼る'!$V$6:$V$10005,$V100,'①在庫を貼る'!$W$6:$W$10005,$W100)+COUNTIFS('月1回_1ヶ月前の在庫'!$V$6:$V$10005,$V100,'月1回_1ヶ月前の在庫'!$W$6:$W$10005,$W100)&gt;0),N(U99),N(U99)+1))</f>
        <v/>
      </c>
      <c r="V100" s="19">
        <f>IF($B100="","",TEXT($B100,"0000"))</f>
        <v/>
      </c>
      <c r="W100" s="19">
        <f>IF($I100="","",IF(ISNUMBER($I100),TEXT($I100,"0"),$I100))</f>
        <v/>
      </c>
    </row>
    <row r="101">
      <c r="B101" s="25" t="n"/>
      <c r="I101" s="25" t="n"/>
      <c r="U101" s="19">
        <f>IF($V101&lt;&gt;'設定'!$C$4,N(U100),IF(OR(NOT(COUNTIF('商品マスタ'!$B$6:$B$1005,$W101)=0),COUNTIFS('①在庫を貼る'!$V$6:$V$10005,$V101,'①在庫を貼る'!$W$6:$W$10005,$W101)+COUNTIFS('月1回_1ヶ月前の在庫'!$V$6:$V$10005,$V101,'月1回_1ヶ月前の在庫'!$W$6:$W$10005,$W101)&gt;0),N(U100),N(U100)+1))</f>
        <v/>
      </c>
      <c r="V101" s="19">
        <f>IF($B101="","",TEXT($B101,"0000"))</f>
        <v/>
      </c>
      <c r="W101" s="19">
        <f>IF($I101="","",IF(ISNUMBER($I101),TEXT($I101,"0"),$I101))</f>
        <v/>
      </c>
    </row>
    <row r="102">
      <c r="B102" s="25" t="n"/>
      <c r="I102" s="25" t="n"/>
      <c r="U102" s="19">
        <f>IF($V102&lt;&gt;'設定'!$C$4,N(U101),IF(OR(NOT(COUNTIF('商品マスタ'!$B$6:$B$1005,$W102)=0),COUNTIFS('①在庫を貼る'!$V$6:$V$10005,$V102,'①在庫を貼る'!$W$6:$W$10005,$W102)+COUNTIFS('月1回_1ヶ月前の在庫'!$V$6:$V$10005,$V102,'月1回_1ヶ月前の在庫'!$W$6:$W$10005,$W102)&gt;0),N(U101),N(U101)+1))</f>
        <v/>
      </c>
      <c r="V102" s="19">
        <f>IF($B102="","",TEXT($B102,"0000"))</f>
        <v/>
      </c>
      <c r="W102" s="19">
        <f>IF($I102="","",IF(ISNUMBER($I102),TEXT($I102,"0"),$I102))</f>
        <v/>
      </c>
    </row>
    <row r="103">
      <c r="B103" s="25" t="n"/>
      <c r="I103" s="25" t="n"/>
      <c r="U103" s="19">
        <f>IF($V103&lt;&gt;'設定'!$C$4,N(U102),IF(OR(NOT(COUNTIF('商品マスタ'!$B$6:$B$1005,$W103)=0),COUNTIFS('①在庫を貼る'!$V$6:$V$10005,$V103,'①在庫を貼る'!$W$6:$W$10005,$W103)+COUNTIFS('月1回_1ヶ月前の在庫'!$V$6:$V$10005,$V103,'月1回_1ヶ月前の在庫'!$W$6:$W$10005,$W103)&gt;0),N(U102),N(U102)+1))</f>
        <v/>
      </c>
      <c r="V103" s="19">
        <f>IF($B103="","",TEXT($B103,"0000"))</f>
        <v/>
      </c>
      <c r="W103" s="19">
        <f>IF($I103="","",IF(ISNUMBER($I103),TEXT($I103,"0"),$I103))</f>
        <v/>
      </c>
    </row>
    <row r="104">
      <c r="B104" s="25" t="n"/>
      <c r="I104" s="25" t="n"/>
      <c r="U104" s="19">
        <f>IF($V104&lt;&gt;'設定'!$C$4,N(U103),IF(OR(NOT(COUNTIF('商品マスタ'!$B$6:$B$1005,$W104)=0),COUNTIFS('①在庫を貼る'!$V$6:$V$10005,$V104,'①在庫を貼る'!$W$6:$W$10005,$W104)+COUNTIFS('月1回_1ヶ月前の在庫'!$V$6:$V$10005,$V104,'月1回_1ヶ月前の在庫'!$W$6:$W$10005,$W104)&gt;0),N(U103),N(U103)+1))</f>
        <v/>
      </c>
      <c r="V104" s="19">
        <f>IF($B104="","",TEXT($B104,"0000"))</f>
        <v/>
      </c>
      <c r="W104" s="19">
        <f>IF($I104="","",IF(ISNUMBER($I104),TEXT($I104,"0"),$I104))</f>
        <v/>
      </c>
    </row>
    <row r="105">
      <c r="B105" s="25" t="n"/>
      <c r="I105" s="25" t="n"/>
      <c r="U105" s="19">
        <f>IF($V105&lt;&gt;'設定'!$C$4,N(U104),IF(OR(NOT(COUNTIF('商品マスタ'!$B$6:$B$1005,$W105)=0),COUNTIFS('①在庫を貼る'!$V$6:$V$10005,$V105,'①在庫を貼る'!$W$6:$W$10005,$W105)+COUNTIFS('月1回_1ヶ月前の在庫'!$V$6:$V$10005,$V105,'月1回_1ヶ月前の在庫'!$W$6:$W$10005,$W105)&gt;0),N(U104),N(U104)+1))</f>
        <v/>
      </c>
      <c r="V105" s="19">
        <f>IF($B105="","",TEXT($B105,"0000"))</f>
        <v/>
      </c>
      <c r="W105" s="19">
        <f>IF($I105="","",IF(ISNUMBER($I105),TEXT($I105,"0"),$I105))</f>
        <v/>
      </c>
    </row>
    <row r="106">
      <c r="B106" s="25" t="n"/>
      <c r="I106" s="25" t="n"/>
      <c r="U106" s="19">
        <f>IF($V106&lt;&gt;'設定'!$C$4,N(U105),IF(OR(NOT(COUNTIF('商品マスタ'!$B$6:$B$1005,$W106)=0),COUNTIFS('①在庫を貼る'!$V$6:$V$10005,$V106,'①在庫を貼る'!$W$6:$W$10005,$W106)+COUNTIFS('月1回_1ヶ月前の在庫'!$V$6:$V$10005,$V106,'月1回_1ヶ月前の在庫'!$W$6:$W$10005,$W106)&gt;0),N(U105),N(U105)+1))</f>
        <v/>
      </c>
      <c r="V106" s="19">
        <f>IF($B106="","",TEXT($B106,"0000"))</f>
        <v/>
      </c>
      <c r="W106" s="19">
        <f>IF($I106="","",IF(ISNUMBER($I106),TEXT($I106,"0"),$I106))</f>
        <v/>
      </c>
    </row>
    <row r="107">
      <c r="B107" s="25" t="n"/>
      <c r="I107" s="25" t="n"/>
      <c r="U107" s="19">
        <f>IF($V107&lt;&gt;'設定'!$C$4,N(U106),IF(OR(NOT(COUNTIF('商品マスタ'!$B$6:$B$1005,$W107)=0),COUNTIFS('①在庫を貼る'!$V$6:$V$10005,$V107,'①在庫を貼る'!$W$6:$W$10005,$W107)+COUNTIFS('月1回_1ヶ月前の在庫'!$V$6:$V$10005,$V107,'月1回_1ヶ月前の在庫'!$W$6:$W$10005,$W107)&gt;0),N(U106),N(U106)+1))</f>
        <v/>
      </c>
      <c r="V107" s="19">
        <f>IF($B107="","",TEXT($B107,"0000"))</f>
        <v/>
      </c>
      <c r="W107" s="19">
        <f>IF($I107="","",IF(ISNUMBER($I107),TEXT($I107,"0"),$I107))</f>
        <v/>
      </c>
    </row>
    <row r="108">
      <c r="B108" s="25" t="n"/>
      <c r="I108" s="25" t="n"/>
      <c r="U108" s="19">
        <f>IF($V108&lt;&gt;'設定'!$C$4,N(U107),IF(OR(NOT(COUNTIF('商品マスタ'!$B$6:$B$1005,$W108)=0),COUNTIFS('①在庫を貼る'!$V$6:$V$10005,$V108,'①在庫を貼る'!$W$6:$W$10005,$W108)+COUNTIFS('月1回_1ヶ月前の在庫'!$V$6:$V$10005,$V108,'月1回_1ヶ月前の在庫'!$W$6:$W$10005,$W108)&gt;0),N(U107),N(U107)+1))</f>
        <v/>
      </c>
      <c r="V108" s="19">
        <f>IF($B108="","",TEXT($B108,"0000"))</f>
        <v/>
      </c>
      <c r="W108" s="19">
        <f>IF($I108="","",IF(ISNUMBER($I108),TEXT($I108,"0"),$I108))</f>
        <v/>
      </c>
    </row>
    <row r="109">
      <c r="B109" s="25" t="n"/>
      <c r="I109" s="25" t="n"/>
      <c r="U109" s="19">
        <f>IF($V109&lt;&gt;'設定'!$C$4,N(U108),IF(OR(NOT(COUNTIF('商品マスタ'!$B$6:$B$1005,$W109)=0),COUNTIFS('①在庫を貼る'!$V$6:$V$10005,$V109,'①在庫を貼る'!$W$6:$W$10005,$W109)+COUNTIFS('月1回_1ヶ月前の在庫'!$V$6:$V$10005,$V109,'月1回_1ヶ月前の在庫'!$W$6:$W$10005,$W109)&gt;0),N(U108),N(U108)+1))</f>
        <v/>
      </c>
      <c r="V109" s="19">
        <f>IF($B109="","",TEXT($B109,"0000"))</f>
        <v/>
      </c>
      <c r="W109" s="19">
        <f>IF($I109="","",IF(ISNUMBER($I109),TEXT($I109,"0"),$I109))</f>
        <v/>
      </c>
    </row>
    <row r="110">
      <c r="B110" s="25" t="n"/>
      <c r="I110" s="25" t="n"/>
      <c r="U110" s="19">
        <f>IF($V110&lt;&gt;'設定'!$C$4,N(U109),IF(OR(NOT(COUNTIF('商品マスタ'!$B$6:$B$1005,$W110)=0),COUNTIFS('①在庫を貼る'!$V$6:$V$10005,$V110,'①在庫を貼る'!$W$6:$W$10005,$W110)+COUNTIFS('月1回_1ヶ月前の在庫'!$V$6:$V$10005,$V110,'月1回_1ヶ月前の在庫'!$W$6:$W$10005,$W110)&gt;0),N(U109),N(U109)+1))</f>
        <v/>
      </c>
      <c r="V110" s="19">
        <f>IF($B110="","",TEXT($B110,"0000"))</f>
        <v/>
      </c>
      <c r="W110" s="19">
        <f>IF($I110="","",IF(ISNUMBER($I110),TEXT($I110,"0"),$I110))</f>
        <v/>
      </c>
    </row>
    <row r="111">
      <c r="B111" s="25" t="n"/>
      <c r="I111" s="25" t="n"/>
      <c r="U111" s="19">
        <f>IF($V111&lt;&gt;'設定'!$C$4,N(U110),IF(OR(NOT(COUNTIF('商品マスタ'!$B$6:$B$1005,$W111)=0),COUNTIFS('①在庫を貼る'!$V$6:$V$10005,$V111,'①在庫を貼る'!$W$6:$W$10005,$W111)+COUNTIFS('月1回_1ヶ月前の在庫'!$V$6:$V$10005,$V111,'月1回_1ヶ月前の在庫'!$W$6:$W$10005,$W111)&gt;0),N(U110),N(U110)+1))</f>
        <v/>
      </c>
      <c r="V111" s="19">
        <f>IF($B111="","",TEXT($B111,"0000"))</f>
        <v/>
      </c>
      <c r="W111" s="19">
        <f>IF($I111="","",IF(ISNUMBER($I111),TEXT($I111,"0"),$I111))</f>
        <v/>
      </c>
    </row>
    <row r="112">
      <c r="B112" s="25" t="n"/>
      <c r="I112" s="25" t="n"/>
      <c r="U112" s="19">
        <f>IF($V112&lt;&gt;'設定'!$C$4,N(U111),IF(OR(NOT(COUNTIF('商品マスタ'!$B$6:$B$1005,$W112)=0),COUNTIFS('①在庫を貼る'!$V$6:$V$10005,$V112,'①在庫を貼る'!$W$6:$W$10005,$W112)+COUNTIFS('月1回_1ヶ月前の在庫'!$V$6:$V$10005,$V112,'月1回_1ヶ月前の在庫'!$W$6:$W$10005,$W112)&gt;0),N(U111),N(U111)+1))</f>
        <v/>
      </c>
      <c r="V112" s="19">
        <f>IF($B112="","",TEXT($B112,"0000"))</f>
        <v/>
      </c>
      <c r="W112" s="19">
        <f>IF($I112="","",IF(ISNUMBER($I112),TEXT($I112,"0"),$I112))</f>
        <v/>
      </c>
    </row>
    <row r="113">
      <c r="B113" s="25" t="n"/>
      <c r="I113" s="25" t="n"/>
      <c r="U113" s="19">
        <f>IF($V113&lt;&gt;'設定'!$C$4,N(U112),IF(OR(NOT(COUNTIF('商品マスタ'!$B$6:$B$1005,$W113)=0),COUNTIFS('①在庫を貼る'!$V$6:$V$10005,$V113,'①在庫を貼る'!$W$6:$W$10005,$W113)+COUNTIFS('月1回_1ヶ月前の在庫'!$V$6:$V$10005,$V113,'月1回_1ヶ月前の在庫'!$W$6:$W$10005,$W113)&gt;0),N(U112),N(U112)+1))</f>
        <v/>
      </c>
      <c r="V113" s="19">
        <f>IF($B113="","",TEXT($B113,"0000"))</f>
        <v/>
      </c>
      <c r="W113" s="19">
        <f>IF($I113="","",IF(ISNUMBER($I113),TEXT($I113,"0"),$I113))</f>
        <v/>
      </c>
    </row>
    <row r="114">
      <c r="B114" s="25" t="n"/>
      <c r="I114" s="25" t="n"/>
      <c r="U114" s="19">
        <f>IF($V114&lt;&gt;'設定'!$C$4,N(U113),IF(OR(NOT(COUNTIF('商品マスタ'!$B$6:$B$1005,$W114)=0),COUNTIFS('①在庫を貼る'!$V$6:$V$10005,$V114,'①在庫を貼る'!$W$6:$W$10005,$W114)+COUNTIFS('月1回_1ヶ月前の在庫'!$V$6:$V$10005,$V114,'月1回_1ヶ月前の在庫'!$W$6:$W$10005,$W114)&gt;0),N(U113),N(U113)+1))</f>
        <v/>
      </c>
      <c r="V114" s="19">
        <f>IF($B114="","",TEXT($B114,"0000"))</f>
        <v/>
      </c>
      <c r="W114" s="19">
        <f>IF($I114="","",IF(ISNUMBER($I114),TEXT($I114,"0"),$I114))</f>
        <v/>
      </c>
    </row>
    <row r="115">
      <c r="B115" s="25" t="n"/>
      <c r="I115" s="25" t="n"/>
      <c r="U115" s="19">
        <f>IF($V115&lt;&gt;'設定'!$C$4,N(U114),IF(OR(NOT(COUNTIF('商品マスタ'!$B$6:$B$1005,$W115)=0),COUNTIFS('①在庫を貼る'!$V$6:$V$10005,$V115,'①在庫を貼る'!$W$6:$W$10005,$W115)+COUNTIFS('月1回_1ヶ月前の在庫'!$V$6:$V$10005,$V115,'月1回_1ヶ月前の在庫'!$W$6:$W$10005,$W115)&gt;0),N(U114),N(U114)+1))</f>
        <v/>
      </c>
      <c r="V115" s="19">
        <f>IF($B115="","",TEXT($B115,"0000"))</f>
        <v/>
      </c>
      <c r="W115" s="19">
        <f>IF($I115="","",IF(ISNUMBER($I115),TEXT($I115,"0"),$I115))</f>
        <v/>
      </c>
    </row>
    <row r="116">
      <c r="B116" s="25" t="n"/>
      <c r="I116" s="25" t="n"/>
      <c r="U116" s="19">
        <f>IF($V116&lt;&gt;'設定'!$C$4,N(U115),IF(OR(NOT(COUNTIF('商品マスタ'!$B$6:$B$1005,$W116)=0),COUNTIFS('①在庫を貼る'!$V$6:$V$10005,$V116,'①在庫を貼る'!$W$6:$W$10005,$W116)+COUNTIFS('月1回_1ヶ月前の在庫'!$V$6:$V$10005,$V116,'月1回_1ヶ月前の在庫'!$W$6:$W$10005,$W116)&gt;0),N(U115),N(U115)+1))</f>
        <v/>
      </c>
      <c r="V116" s="19">
        <f>IF($B116="","",TEXT($B116,"0000"))</f>
        <v/>
      </c>
      <c r="W116" s="19">
        <f>IF($I116="","",IF(ISNUMBER($I116),TEXT($I116,"0"),$I116))</f>
        <v/>
      </c>
    </row>
    <row r="117">
      <c r="B117" s="25" t="n"/>
      <c r="I117" s="25" t="n"/>
      <c r="U117" s="19">
        <f>IF($V117&lt;&gt;'設定'!$C$4,N(U116),IF(OR(NOT(COUNTIF('商品マスタ'!$B$6:$B$1005,$W117)=0),COUNTIFS('①在庫を貼る'!$V$6:$V$10005,$V117,'①在庫を貼る'!$W$6:$W$10005,$W117)+COUNTIFS('月1回_1ヶ月前の在庫'!$V$6:$V$10005,$V117,'月1回_1ヶ月前の在庫'!$W$6:$W$10005,$W117)&gt;0),N(U116),N(U116)+1))</f>
        <v/>
      </c>
      <c r="V117" s="19">
        <f>IF($B117="","",TEXT($B117,"0000"))</f>
        <v/>
      </c>
      <c r="W117" s="19">
        <f>IF($I117="","",IF(ISNUMBER($I117),TEXT($I117,"0"),$I117))</f>
        <v/>
      </c>
    </row>
    <row r="118">
      <c r="B118" s="25" t="n"/>
      <c r="I118" s="25" t="n"/>
      <c r="U118" s="19">
        <f>IF($V118&lt;&gt;'設定'!$C$4,N(U117),IF(OR(NOT(COUNTIF('商品マスタ'!$B$6:$B$1005,$W118)=0),COUNTIFS('①在庫を貼る'!$V$6:$V$10005,$V118,'①在庫を貼る'!$W$6:$W$10005,$W118)+COUNTIFS('月1回_1ヶ月前の在庫'!$V$6:$V$10005,$V118,'月1回_1ヶ月前の在庫'!$W$6:$W$10005,$W118)&gt;0),N(U117),N(U117)+1))</f>
        <v/>
      </c>
      <c r="V118" s="19">
        <f>IF($B118="","",TEXT($B118,"0000"))</f>
        <v/>
      </c>
      <c r="W118" s="19">
        <f>IF($I118="","",IF(ISNUMBER($I118),TEXT($I118,"0"),$I118))</f>
        <v/>
      </c>
    </row>
    <row r="119">
      <c r="B119" s="25" t="n"/>
      <c r="I119" s="25" t="n"/>
      <c r="U119" s="19">
        <f>IF($V119&lt;&gt;'設定'!$C$4,N(U118),IF(OR(NOT(COUNTIF('商品マスタ'!$B$6:$B$1005,$W119)=0),COUNTIFS('①在庫を貼る'!$V$6:$V$10005,$V119,'①在庫を貼る'!$W$6:$W$10005,$W119)+COUNTIFS('月1回_1ヶ月前の在庫'!$V$6:$V$10005,$V119,'月1回_1ヶ月前の在庫'!$W$6:$W$10005,$W119)&gt;0),N(U118),N(U118)+1))</f>
        <v/>
      </c>
      <c r="V119" s="19">
        <f>IF($B119="","",TEXT($B119,"0000"))</f>
        <v/>
      </c>
      <c r="W119" s="19">
        <f>IF($I119="","",IF(ISNUMBER($I119),TEXT($I119,"0"),$I119))</f>
        <v/>
      </c>
    </row>
    <row r="120">
      <c r="B120" s="25" t="n"/>
      <c r="I120" s="25" t="n"/>
      <c r="U120" s="19">
        <f>IF($V120&lt;&gt;'設定'!$C$4,N(U119),IF(OR(NOT(COUNTIF('商品マスタ'!$B$6:$B$1005,$W120)=0),COUNTIFS('①在庫を貼る'!$V$6:$V$10005,$V120,'①在庫を貼る'!$W$6:$W$10005,$W120)+COUNTIFS('月1回_1ヶ月前の在庫'!$V$6:$V$10005,$V120,'月1回_1ヶ月前の在庫'!$W$6:$W$10005,$W120)&gt;0),N(U119),N(U119)+1))</f>
        <v/>
      </c>
      <c r="V120" s="19">
        <f>IF($B120="","",TEXT($B120,"0000"))</f>
        <v/>
      </c>
      <c r="W120" s="19">
        <f>IF($I120="","",IF(ISNUMBER($I120),TEXT($I120,"0"),$I120))</f>
        <v/>
      </c>
    </row>
    <row r="121">
      <c r="B121" s="25" t="n"/>
      <c r="I121" s="25" t="n"/>
      <c r="U121" s="19">
        <f>IF($V121&lt;&gt;'設定'!$C$4,N(U120),IF(OR(NOT(COUNTIF('商品マスタ'!$B$6:$B$1005,$W121)=0),COUNTIFS('①在庫を貼る'!$V$6:$V$10005,$V121,'①在庫を貼る'!$W$6:$W$10005,$W121)+COUNTIFS('月1回_1ヶ月前の在庫'!$V$6:$V$10005,$V121,'月1回_1ヶ月前の在庫'!$W$6:$W$10005,$W121)&gt;0),N(U120),N(U120)+1))</f>
        <v/>
      </c>
      <c r="V121" s="19">
        <f>IF($B121="","",TEXT($B121,"0000"))</f>
        <v/>
      </c>
      <c r="W121" s="19">
        <f>IF($I121="","",IF(ISNUMBER($I121),TEXT($I121,"0"),$I121))</f>
        <v/>
      </c>
    </row>
    <row r="122">
      <c r="B122" s="25" t="n"/>
      <c r="I122" s="25" t="n"/>
      <c r="U122" s="19">
        <f>IF($V122&lt;&gt;'設定'!$C$4,N(U121),IF(OR(NOT(COUNTIF('商品マスタ'!$B$6:$B$1005,$W122)=0),COUNTIFS('①在庫を貼る'!$V$6:$V$10005,$V122,'①在庫を貼る'!$W$6:$W$10005,$W122)+COUNTIFS('月1回_1ヶ月前の在庫'!$V$6:$V$10005,$V122,'月1回_1ヶ月前の在庫'!$W$6:$W$10005,$W122)&gt;0),N(U121),N(U121)+1))</f>
        <v/>
      </c>
      <c r="V122" s="19">
        <f>IF($B122="","",TEXT($B122,"0000"))</f>
        <v/>
      </c>
      <c r="W122" s="19">
        <f>IF($I122="","",IF(ISNUMBER($I122),TEXT($I122,"0"),$I122))</f>
        <v/>
      </c>
    </row>
    <row r="123">
      <c r="B123" s="25" t="n"/>
      <c r="I123" s="25" t="n"/>
      <c r="U123" s="19">
        <f>IF($V123&lt;&gt;'設定'!$C$4,N(U122),IF(OR(NOT(COUNTIF('商品マスタ'!$B$6:$B$1005,$W123)=0),COUNTIFS('①在庫を貼る'!$V$6:$V$10005,$V123,'①在庫を貼る'!$W$6:$W$10005,$W123)+COUNTIFS('月1回_1ヶ月前の在庫'!$V$6:$V$10005,$V123,'月1回_1ヶ月前の在庫'!$W$6:$W$10005,$W123)&gt;0),N(U122),N(U122)+1))</f>
        <v/>
      </c>
      <c r="V123" s="19">
        <f>IF($B123="","",TEXT($B123,"0000"))</f>
        <v/>
      </c>
      <c r="W123" s="19">
        <f>IF($I123="","",IF(ISNUMBER($I123),TEXT($I123,"0"),$I123))</f>
        <v/>
      </c>
    </row>
    <row r="124">
      <c r="B124" s="25" t="n"/>
      <c r="I124" s="25" t="n"/>
      <c r="U124" s="19">
        <f>IF($V124&lt;&gt;'設定'!$C$4,N(U123),IF(OR(NOT(COUNTIF('商品マスタ'!$B$6:$B$1005,$W124)=0),COUNTIFS('①在庫を貼る'!$V$6:$V$10005,$V124,'①在庫を貼る'!$W$6:$W$10005,$W124)+COUNTIFS('月1回_1ヶ月前の在庫'!$V$6:$V$10005,$V124,'月1回_1ヶ月前の在庫'!$W$6:$W$10005,$W124)&gt;0),N(U123),N(U123)+1))</f>
        <v/>
      </c>
      <c r="V124" s="19">
        <f>IF($B124="","",TEXT($B124,"0000"))</f>
        <v/>
      </c>
      <c r="W124" s="19">
        <f>IF($I124="","",IF(ISNUMBER($I124),TEXT($I124,"0"),$I124))</f>
        <v/>
      </c>
    </row>
    <row r="125">
      <c r="B125" s="25" t="n"/>
      <c r="I125" s="25" t="n"/>
      <c r="U125" s="19">
        <f>IF($V125&lt;&gt;'設定'!$C$4,N(U124),IF(OR(NOT(COUNTIF('商品マスタ'!$B$6:$B$1005,$W125)=0),COUNTIFS('①在庫を貼る'!$V$6:$V$10005,$V125,'①在庫を貼る'!$W$6:$W$10005,$W125)+COUNTIFS('月1回_1ヶ月前の在庫'!$V$6:$V$10005,$V125,'月1回_1ヶ月前の在庫'!$W$6:$W$10005,$W125)&gt;0),N(U124),N(U124)+1))</f>
        <v/>
      </c>
      <c r="V125" s="19">
        <f>IF($B125="","",TEXT($B125,"0000"))</f>
        <v/>
      </c>
      <c r="W125" s="19">
        <f>IF($I125="","",IF(ISNUMBER($I125),TEXT($I125,"0"),$I125))</f>
        <v/>
      </c>
    </row>
    <row r="126">
      <c r="B126" s="25" t="n"/>
      <c r="I126" s="25" t="n"/>
      <c r="U126" s="19">
        <f>IF($V126&lt;&gt;'設定'!$C$4,N(U125),IF(OR(NOT(COUNTIF('商品マスタ'!$B$6:$B$1005,$W126)=0),COUNTIFS('①在庫を貼る'!$V$6:$V$10005,$V126,'①在庫を貼る'!$W$6:$W$10005,$W126)+COUNTIFS('月1回_1ヶ月前の在庫'!$V$6:$V$10005,$V126,'月1回_1ヶ月前の在庫'!$W$6:$W$10005,$W126)&gt;0),N(U125),N(U125)+1))</f>
        <v/>
      </c>
      <c r="V126" s="19">
        <f>IF($B126="","",TEXT($B126,"0000"))</f>
        <v/>
      </c>
      <c r="W126" s="19">
        <f>IF($I126="","",IF(ISNUMBER($I126),TEXT($I126,"0"),$I126))</f>
        <v/>
      </c>
    </row>
    <row r="127">
      <c r="B127" s="25" t="n"/>
      <c r="I127" s="25" t="n"/>
      <c r="U127" s="19">
        <f>IF($V127&lt;&gt;'設定'!$C$4,N(U126),IF(OR(NOT(COUNTIF('商品マスタ'!$B$6:$B$1005,$W127)=0),COUNTIFS('①在庫を貼る'!$V$6:$V$10005,$V127,'①在庫を貼る'!$W$6:$W$10005,$W127)+COUNTIFS('月1回_1ヶ月前の在庫'!$V$6:$V$10005,$V127,'月1回_1ヶ月前の在庫'!$W$6:$W$10005,$W127)&gt;0),N(U126),N(U126)+1))</f>
        <v/>
      </c>
      <c r="V127" s="19">
        <f>IF($B127="","",TEXT($B127,"0000"))</f>
        <v/>
      </c>
      <c r="W127" s="19">
        <f>IF($I127="","",IF(ISNUMBER($I127),TEXT($I127,"0"),$I127))</f>
        <v/>
      </c>
    </row>
    <row r="128">
      <c r="B128" s="25" t="n"/>
      <c r="I128" s="25" t="n"/>
      <c r="U128" s="19">
        <f>IF($V128&lt;&gt;'設定'!$C$4,N(U127),IF(OR(NOT(COUNTIF('商品マスタ'!$B$6:$B$1005,$W128)=0),COUNTIFS('①在庫を貼る'!$V$6:$V$10005,$V128,'①在庫を貼る'!$W$6:$W$10005,$W128)+COUNTIFS('月1回_1ヶ月前の在庫'!$V$6:$V$10005,$V128,'月1回_1ヶ月前の在庫'!$W$6:$W$10005,$W128)&gt;0),N(U127),N(U127)+1))</f>
        <v/>
      </c>
      <c r="V128" s="19">
        <f>IF($B128="","",TEXT($B128,"0000"))</f>
        <v/>
      </c>
      <c r="W128" s="19">
        <f>IF($I128="","",IF(ISNUMBER($I128),TEXT($I128,"0"),$I128))</f>
        <v/>
      </c>
    </row>
    <row r="129">
      <c r="B129" s="25" t="n"/>
      <c r="I129" s="25" t="n"/>
      <c r="U129" s="19">
        <f>IF($V129&lt;&gt;'設定'!$C$4,N(U128),IF(OR(NOT(COUNTIF('商品マスタ'!$B$6:$B$1005,$W129)=0),COUNTIFS('①在庫を貼る'!$V$6:$V$10005,$V129,'①在庫を貼る'!$W$6:$W$10005,$W129)+COUNTIFS('月1回_1ヶ月前の在庫'!$V$6:$V$10005,$V129,'月1回_1ヶ月前の在庫'!$W$6:$W$10005,$W129)&gt;0),N(U128),N(U128)+1))</f>
        <v/>
      </c>
      <c r="V129" s="19">
        <f>IF($B129="","",TEXT($B129,"0000"))</f>
        <v/>
      </c>
      <c r="W129" s="19">
        <f>IF($I129="","",IF(ISNUMBER($I129),TEXT($I129,"0"),$I129))</f>
        <v/>
      </c>
    </row>
    <row r="130">
      <c r="B130" s="25" t="n"/>
      <c r="I130" s="25" t="n"/>
      <c r="U130" s="19">
        <f>IF($V130&lt;&gt;'設定'!$C$4,N(U129),IF(OR(NOT(COUNTIF('商品マスタ'!$B$6:$B$1005,$W130)=0),COUNTIFS('①在庫を貼る'!$V$6:$V$10005,$V130,'①在庫を貼る'!$W$6:$W$10005,$W130)+COUNTIFS('月1回_1ヶ月前の在庫'!$V$6:$V$10005,$V130,'月1回_1ヶ月前の在庫'!$W$6:$W$10005,$W130)&gt;0),N(U129),N(U129)+1))</f>
        <v/>
      </c>
      <c r="V130" s="19">
        <f>IF($B130="","",TEXT($B130,"0000"))</f>
        <v/>
      </c>
      <c r="W130" s="19">
        <f>IF($I130="","",IF(ISNUMBER($I130),TEXT($I130,"0"),$I130))</f>
        <v/>
      </c>
    </row>
    <row r="131">
      <c r="B131" s="25" t="n"/>
      <c r="I131" s="25" t="n"/>
      <c r="U131" s="19">
        <f>IF($V131&lt;&gt;'設定'!$C$4,N(U130),IF(OR(NOT(COUNTIF('商品マスタ'!$B$6:$B$1005,$W131)=0),COUNTIFS('①在庫を貼る'!$V$6:$V$10005,$V131,'①在庫を貼る'!$W$6:$W$10005,$W131)+COUNTIFS('月1回_1ヶ月前の在庫'!$V$6:$V$10005,$V131,'月1回_1ヶ月前の在庫'!$W$6:$W$10005,$W131)&gt;0),N(U130),N(U130)+1))</f>
        <v/>
      </c>
      <c r="V131" s="19">
        <f>IF($B131="","",TEXT($B131,"0000"))</f>
        <v/>
      </c>
      <c r="W131" s="19">
        <f>IF($I131="","",IF(ISNUMBER($I131),TEXT($I131,"0"),$I131))</f>
        <v/>
      </c>
    </row>
    <row r="132">
      <c r="B132" s="25" t="n"/>
      <c r="I132" s="25" t="n"/>
      <c r="U132" s="19">
        <f>IF($V132&lt;&gt;'設定'!$C$4,N(U131),IF(OR(NOT(COUNTIF('商品マスタ'!$B$6:$B$1005,$W132)=0),COUNTIFS('①在庫を貼る'!$V$6:$V$10005,$V132,'①在庫を貼る'!$W$6:$W$10005,$W132)+COUNTIFS('月1回_1ヶ月前の在庫'!$V$6:$V$10005,$V132,'月1回_1ヶ月前の在庫'!$W$6:$W$10005,$W132)&gt;0),N(U131),N(U131)+1))</f>
        <v/>
      </c>
      <c r="V132" s="19">
        <f>IF($B132="","",TEXT($B132,"0000"))</f>
        <v/>
      </c>
      <c r="W132" s="19">
        <f>IF($I132="","",IF(ISNUMBER($I132),TEXT($I132,"0"),$I132))</f>
        <v/>
      </c>
    </row>
    <row r="133">
      <c r="B133" s="25" t="n"/>
      <c r="I133" s="25" t="n"/>
      <c r="U133" s="19">
        <f>IF($V133&lt;&gt;'設定'!$C$4,N(U132),IF(OR(NOT(COUNTIF('商品マスタ'!$B$6:$B$1005,$W133)=0),COUNTIFS('①在庫を貼る'!$V$6:$V$10005,$V133,'①在庫を貼る'!$W$6:$W$10005,$W133)+COUNTIFS('月1回_1ヶ月前の在庫'!$V$6:$V$10005,$V133,'月1回_1ヶ月前の在庫'!$W$6:$W$10005,$W133)&gt;0),N(U132),N(U132)+1))</f>
        <v/>
      </c>
      <c r="V133" s="19">
        <f>IF($B133="","",TEXT($B133,"0000"))</f>
        <v/>
      </c>
      <c r="W133" s="19">
        <f>IF($I133="","",IF(ISNUMBER($I133),TEXT($I133,"0"),$I133))</f>
        <v/>
      </c>
    </row>
    <row r="134">
      <c r="B134" s="25" t="n"/>
      <c r="I134" s="25" t="n"/>
      <c r="U134" s="19">
        <f>IF($V134&lt;&gt;'設定'!$C$4,N(U133),IF(OR(NOT(COUNTIF('商品マスタ'!$B$6:$B$1005,$W134)=0),COUNTIFS('①在庫を貼る'!$V$6:$V$10005,$V134,'①在庫を貼る'!$W$6:$W$10005,$W134)+COUNTIFS('月1回_1ヶ月前の在庫'!$V$6:$V$10005,$V134,'月1回_1ヶ月前の在庫'!$W$6:$W$10005,$W134)&gt;0),N(U133),N(U133)+1))</f>
        <v/>
      </c>
      <c r="V134" s="19">
        <f>IF($B134="","",TEXT($B134,"0000"))</f>
        <v/>
      </c>
      <c r="W134" s="19">
        <f>IF($I134="","",IF(ISNUMBER($I134),TEXT($I134,"0"),$I134))</f>
        <v/>
      </c>
    </row>
    <row r="135">
      <c r="B135" s="25" t="n"/>
      <c r="I135" s="25" t="n"/>
      <c r="U135" s="19">
        <f>IF($V135&lt;&gt;'設定'!$C$4,N(U134),IF(OR(NOT(COUNTIF('商品マスタ'!$B$6:$B$1005,$W135)=0),COUNTIFS('①在庫を貼る'!$V$6:$V$10005,$V135,'①在庫を貼る'!$W$6:$W$10005,$W135)+COUNTIFS('月1回_1ヶ月前の在庫'!$V$6:$V$10005,$V135,'月1回_1ヶ月前の在庫'!$W$6:$W$10005,$W135)&gt;0),N(U134),N(U134)+1))</f>
        <v/>
      </c>
      <c r="V135" s="19">
        <f>IF($B135="","",TEXT($B135,"0000"))</f>
        <v/>
      </c>
      <c r="W135" s="19">
        <f>IF($I135="","",IF(ISNUMBER($I135),TEXT($I135,"0"),$I135))</f>
        <v/>
      </c>
    </row>
    <row r="136">
      <c r="B136" s="25" t="n"/>
      <c r="I136" s="25" t="n"/>
      <c r="U136" s="19">
        <f>IF($V136&lt;&gt;'設定'!$C$4,N(U135),IF(OR(NOT(COUNTIF('商品マスタ'!$B$6:$B$1005,$W136)=0),COUNTIFS('①在庫を貼る'!$V$6:$V$10005,$V136,'①在庫を貼る'!$W$6:$W$10005,$W136)+COUNTIFS('月1回_1ヶ月前の在庫'!$V$6:$V$10005,$V136,'月1回_1ヶ月前の在庫'!$W$6:$W$10005,$W136)&gt;0),N(U135),N(U135)+1))</f>
        <v/>
      </c>
      <c r="V136" s="19">
        <f>IF($B136="","",TEXT($B136,"0000"))</f>
        <v/>
      </c>
      <c r="W136" s="19">
        <f>IF($I136="","",IF(ISNUMBER($I136),TEXT($I136,"0"),$I136))</f>
        <v/>
      </c>
    </row>
    <row r="137">
      <c r="B137" s="25" t="n"/>
      <c r="I137" s="25" t="n"/>
      <c r="U137" s="19">
        <f>IF($V137&lt;&gt;'設定'!$C$4,N(U136),IF(OR(NOT(COUNTIF('商品マスタ'!$B$6:$B$1005,$W137)=0),COUNTIFS('①在庫を貼る'!$V$6:$V$10005,$V137,'①在庫を貼る'!$W$6:$W$10005,$W137)+COUNTIFS('月1回_1ヶ月前の在庫'!$V$6:$V$10005,$V137,'月1回_1ヶ月前の在庫'!$W$6:$W$10005,$W137)&gt;0),N(U136),N(U136)+1))</f>
        <v/>
      </c>
      <c r="V137" s="19">
        <f>IF($B137="","",TEXT($B137,"0000"))</f>
        <v/>
      </c>
      <c r="W137" s="19">
        <f>IF($I137="","",IF(ISNUMBER($I137),TEXT($I137,"0"),$I137))</f>
        <v/>
      </c>
    </row>
    <row r="138">
      <c r="B138" s="25" t="n"/>
      <c r="I138" s="25" t="n"/>
      <c r="U138" s="19">
        <f>IF($V138&lt;&gt;'設定'!$C$4,N(U137),IF(OR(NOT(COUNTIF('商品マスタ'!$B$6:$B$1005,$W138)=0),COUNTIFS('①在庫を貼る'!$V$6:$V$10005,$V138,'①在庫を貼る'!$W$6:$W$10005,$W138)+COUNTIFS('月1回_1ヶ月前の在庫'!$V$6:$V$10005,$V138,'月1回_1ヶ月前の在庫'!$W$6:$W$10005,$W138)&gt;0),N(U137),N(U137)+1))</f>
        <v/>
      </c>
      <c r="V138" s="19">
        <f>IF($B138="","",TEXT($B138,"0000"))</f>
        <v/>
      </c>
      <c r="W138" s="19">
        <f>IF($I138="","",IF(ISNUMBER($I138),TEXT($I138,"0"),$I138))</f>
        <v/>
      </c>
    </row>
    <row r="139">
      <c r="B139" s="25" t="n"/>
      <c r="I139" s="25" t="n"/>
      <c r="U139" s="19">
        <f>IF($V139&lt;&gt;'設定'!$C$4,N(U138),IF(OR(NOT(COUNTIF('商品マスタ'!$B$6:$B$1005,$W139)=0),COUNTIFS('①在庫を貼る'!$V$6:$V$10005,$V139,'①在庫を貼る'!$W$6:$W$10005,$W139)+COUNTIFS('月1回_1ヶ月前の在庫'!$V$6:$V$10005,$V139,'月1回_1ヶ月前の在庫'!$W$6:$W$10005,$W139)&gt;0),N(U138),N(U138)+1))</f>
        <v/>
      </c>
      <c r="V139" s="19">
        <f>IF($B139="","",TEXT($B139,"0000"))</f>
        <v/>
      </c>
      <c r="W139" s="19">
        <f>IF($I139="","",IF(ISNUMBER($I139),TEXT($I139,"0"),$I139))</f>
        <v/>
      </c>
    </row>
    <row r="140">
      <c r="B140" s="25" t="n"/>
      <c r="I140" s="25" t="n"/>
      <c r="U140" s="19">
        <f>IF($V140&lt;&gt;'設定'!$C$4,N(U139),IF(OR(NOT(COUNTIF('商品マスタ'!$B$6:$B$1005,$W140)=0),COUNTIFS('①在庫を貼る'!$V$6:$V$10005,$V140,'①在庫を貼る'!$W$6:$W$10005,$W140)+COUNTIFS('月1回_1ヶ月前の在庫'!$V$6:$V$10005,$V140,'月1回_1ヶ月前の在庫'!$W$6:$W$10005,$W140)&gt;0),N(U139),N(U139)+1))</f>
        <v/>
      </c>
      <c r="V140" s="19">
        <f>IF($B140="","",TEXT($B140,"0000"))</f>
        <v/>
      </c>
      <c r="W140" s="19">
        <f>IF($I140="","",IF(ISNUMBER($I140),TEXT($I140,"0"),$I140))</f>
        <v/>
      </c>
    </row>
    <row r="141">
      <c r="B141" s="25" t="n"/>
      <c r="I141" s="25" t="n"/>
      <c r="U141" s="19">
        <f>IF($V141&lt;&gt;'設定'!$C$4,N(U140),IF(OR(NOT(COUNTIF('商品マスタ'!$B$6:$B$1005,$W141)=0),COUNTIFS('①在庫を貼る'!$V$6:$V$10005,$V141,'①在庫を貼る'!$W$6:$W$10005,$W141)+COUNTIFS('月1回_1ヶ月前の在庫'!$V$6:$V$10005,$V141,'月1回_1ヶ月前の在庫'!$W$6:$W$10005,$W141)&gt;0),N(U140),N(U140)+1))</f>
        <v/>
      </c>
      <c r="V141" s="19">
        <f>IF($B141="","",TEXT($B141,"0000"))</f>
        <v/>
      </c>
      <c r="W141" s="19">
        <f>IF($I141="","",IF(ISNUMBER($I141),TEXT($I141,"0"),$I141))</f>
        <v/>
      </c>
    </row>
    <row r="142">
      <c r="B142" s="25" t="n"/>
      <c r="I142" s="25" t="n"/>
      <c r="U142" s="19">
        <f>IF($V142&lt;&gt;'設定'!$C$4,N(U141),IF(OR(NOT(COUNTIF('商品マスタ'!$B$6:$B$1005,$W142)=0),COUNTIFS('①在庫を貼る'!$V$6:$V$10005,$V142,'①在庫を貼る'!$W$6:$W$10005,$W142)+COUNTIFS('月1回_1ヶ月前の在庫'!$V$6:$V$10005,$V142,'月1回_1ヶ月前の在庫'!$W$6:$W$10005,$W142)&gt;0),N(U141),N(U141)+1))</f>
        <v/>
      </c>
      <c r="V142" s="19">
        <f>IF($B142="","",TEXT($B142,"0000"))</f>
        <v/>
      </c>
      <c r="W142" s="19">
        <f>IF($I142="","",IF(ISNUMBER($I142),TEXT($I142,"0"),$I142))</f>
        <v/>
      </c>
    </row>
    <row r="143">
      <c r="B143" s="25" t="n"/>
      <c r="I143" s="25" t="n"/>
      <c r="U143" s="19">
        <f>IF($V143&lt;&gt;'設定'!$C$4,N(U142),IF(OR(NOT(COUNTIF('商品マスタ'!$B$6:$B$1005,$W143)=0),COUNTIFS('①在庫を貼る'!$V$6:$V$10005,$V143,'①在庫を貼る'!$W$6:$W$10005,$W143)+COUNTIFS('月1回_1ヶ月前の在庫'!$V$6:$V$10005,$V143,'月1回_1ヶ月前の在庫'!$W$6:$W$10005,$W143)&gt;0),N(U142),N(U142)+1))</f>
        <v/>
      </c>
      <c r="V143" s="19">
        <f>IF($B143="","",TEXT($B143,"0000"))</f>
        <v/>
      </c>
      <c r="W143" s="19">
        <f>IF($I143="","",IF(ISNUMBER($I143),TEXT($I143,"0"),$I143))</f>
        <v/>
      </c>
    </row>
    <row r="144">
      <c r="B144" s="25" t="n"/>
      <c r="I144" s="25" t="n"/>
      <c r="U144" s="19">
        <f>IF($V144&lt;&gt;'設定'!$C$4,N(U143),IF(OR(NOT(COUNTIF('商品マスタ'!$B$6:$B$1005,$W144)=0),COUNTIFS('①在庫を貼る'!$V$6:$V$10005,$V144,'①在庫を貼る'!$W$6:$W$10005,$W144)+COUNTIFS('月1回_1ヶ月前の在庫'!$V$6:$V$10005,$V144,'月1回_1ヶ月前の在庫'!$W$6:$W$10005,$W144)&gt;0),N(U143),N(U143)+1))</f>
        <v/>
      </c>
      <c r="V144" s="19">
        <f>IF($B144="","",TEXT($B144,"0000"))</f>
        <v/>
      </c>
      <c r="W144" s="19">
        <f>IF($I144="","",IF(ISNUMBER($I144),TEXT($I144,"0"),$I144))</f>
        <v/>
      </c>
    </row>
    <row r="145">
      <c r="B145" s="25" t="n"/>
      <c r="I145" s="25" t="n"/>
      <c r="U145" s="19">
        <f>IF($V145&lt;&gt;'設定'!$C$4,N(U144),IF(OR(NOT(COUNTIF('商品マスタ'!$B$6:$B$1005,$W145)=0),COUNTIFS('①在庫を貼る'!$V$6:$V$10005,$V145,'①在庫を貼る'!$W$6:$W$10005,$W145)+COUNTIFS('月1回_1ヶ月前の在庫'!$V$6:$V$10005,$V145,'月1回_1ヶ月前の在庫'!$W$6:$W$10005,$W145)&gt;0),N(U144),N(U144)+1))</f>
        <v/>
      </c>
      <c r="V145" s="19">
        <f>IF($B145="","",TEXT($B145,"0000"))</f>
        <v/>
      </c>
      <c r="W145" s="19">
        <f>IF($I145="","",IF(ISNUMBER($I145),TEXT($I145,"0"),$I145))</f>
        <v/>
      </c>
    </row>
    <row r="146">
      <c r="B146" s="25" t="n"/>
      <c r="I146" s="25" t="n"/>
      <c r="U146" s="19">
        <f>IF($V146&lt;&gt;'設定'!$C$4,N(U145),IF(OR(NOT(COUNTIF('商品マスタ'!$B$6:$B$1005,$W146)=0),COUNTIFS('①在庫を貼る'!$V$6:$V$10005,$V146,'①在庫を貼る'!$W$6:$W$10005,$W146)+COUNTIFS('月1回_1ヶ月前の在庫'!$V$6:$V$10005,$V146,'月1回_1ヶ月前の在庫'!$W$6:$W$10005,$W146)&gt;0),N(U145),N(U145)+1))</f>
        <v/>
      </c>
      <c r="V146" s="19">
        <f>IF($B146="","",TEXT($B146,"0000"))</f>
        <v/>
      </c>
      <c r="W146" s="19">
        <f>IF($I146="","",IF(ISNUMBER($I146),TEXT($I146,"0"),$I146))</f>
        <v/>
      </c>
    </row>
    <row r="147">
      <c r="B147" s="25" t="n"/>
      <c r="I147" s="25" t="n"/>
      <c r="U147" s="19">
        <f>IF($V147&lt;&gt;'設定'!$C$4,N(U146),IF(OR(NOT(COUNTIF('商品マスタ'!$B$6:$B$1005,$W147)=0),COUNTIFS('①在庫を貼る'!$V$6:$V$10005,$V147,'①在庫を貼る'!$W$6:$W$10005,$W147)+COUNTIFS('月1回_1ヶ月前の在庫'!$V$6:$V$10005,$V147,'月1回_1ヶ月前の在庫'!$W$6:$W$10005,$W147)&gt;0),N(U146),N(U146)+1))</f>
        <v/>
      </c>
      <c r="V147" s="19">
        <f>IF($B147="","",TEXT($B147,"0000"))</f>
        <v/>
      </c>
      <c r="W147" s="19">
        <f>IF($I147="","",IF(ISNUMBER($I147),TEXT($I147,"0"),$I147))</f>
        <v/>
      </c>
    </row>
    <row r="148">
      <c r="B148" s="25" t="n"/>
      <c r="I148" s="25" t="n"/>
      <c r="U148" s="19">
        <f>IF($V148&lt;&gt;'設定'!$C$4,N(U147),IF(OR(NOT(COUNTIF('商品マスタ'!$B$6:$B$1005,$W148)=0),COUNTIFS('①在庫を貼る'!$V$6:$V$10005,$V148,'①在庫を貼る'!$W$6:$W$10005,$W148)+COUNTIFS('月1回_1ヶ月前の在庫'!$V$6:$V$10005,$V148,'月1回_1ヶ月前の在庫'!$W$6:$W$10005,$W148)&gt;0),N(U147),N(U147)+1))</f>
        <v/>
      </c>
      <c r="V148" s="19">
        <f>IF($B148="","",TEXT($B148,"0000"))</f>
        <v/>
      </c>
      <c r="W148" s="19">
        <f>IF($I148="","",IF(ISNUMBER($I148),TEXT($I148,"0"),$I148))</f>
        <v/>
      </c>
    </row>
    <row r="149">
      <c r="B149" s="25" t="n"/>
      <c r="I149" s="25" t="n"/>
      <c r="U149" s="19">
        <f>IF($V149&lt;&gt;'設定'!$C$4,N(U148),IF(OR(NOT(COUNTIF('商品マスタ'!$B$6:$B$1005,$W149)=0),COUNTIFS('①在庫を貼る'!$V$6:$V$10005,$V149,'①在庫を貼る'!$W$6:$W$10005,$W149)+COUNTIFS('月1回_1ヶ月前の在庫'!$V$6:$V$10005,$V149,'月1回_1ヶ月前の在庫'!$W$6:$W$10005,$W149)&gt;0),N(U148),N(U148)+1))</f>
        <v/>
      </c>
      <c r="V149" s="19">
        <f>IF($B149="","",TEXT($B149,"0000"))</f>
        <v/>
      </c>
      <c r="W149" s="19">
        <f>IF($I149="","",IF(ISNUMBER($I149),TEXT($I149,"0"),$I149))</f>
        <v/>
      </c>
    </row>
    <row r="150">
      <c r="B150" s="25" t="n"/>
      <c r="I150" s="25" t="n"/>
      <c r="U150" s="19">
        <f>IF($V150&lt;&gt;'設定'!$C$4,N(U149),IF(OR(NOT(COUNTIF('商品マスタ'!$B$6:$B$1005,$W150)=0),COUNTIFS('①在庫を貼る'!$V$6:$V$10005,$V150,'①在庫を貼る'!$W$6:$W$10005,$W150)+COUNTIFS('月1回_1ヶ月前の在庫'!$V$6:$V$10005,$V150,'月1回_1ヶ月前の在庫'!$W$6:$W$10005,$W150)&gt;0),N(U149),N(U149)+1))</f>
        <v/>
      </c>
      <c r="V150" s="19">
        <f>IF($B150="","",TEXT($B150,"0000"))</f>
        <v/>
      </c>
      <c r="W150" s="19">
        <f>IF($I150="","",IF(ISNUMBER($I150),TEXT($I150,"0"),$I150))</f>
        <v/>
      </c>
    </row>
    <row r="151">
      <c r="B151" s="25" t="n"/>
      <c r="I151" s="25" t="n"/>
      <c r="U151" s="19">
        <f>IF($V151&lt;&gt;'設定'!$C$4,N(U150),IF(OR(NOT(COUNTIF('商品マスタ'!$B$6:$B$1005,$W151)=0),COUNTIFS('①在庫を貼る'!$V$6:$V$10005,$V151,'①在庫を貼る'!$W$6:$W$10005,$W151)+COUNTIFS('月1回_1ヶ月前の在庫'!$V$6:$V$10005,$V151,'月1回_1ヶ月前の在庫'!$W$6:$W$10005,$W151)&gt;0),N(U150),N(U150)+1))</f>
        <v/>
      </c>
      <c r="V151" s="19">
        <f>IF($B151="","",TEXT($B151,"0000"))</f>
        <v/>
      </c>
      <c r="W151" s="19">
        <f>IF($I151="","",IF(ISNUMBER($I151),TEXT($I151,"0"),$I151))</f>
        <v/>
      </c>
    </row>
    <row r="152">
      <c r="B152" s="25" t="n"/>
      <c r="I152" s="25" t="n"/>
      <c r="U152" s="19">
        <f>IF($V152&lt;&gt;'設定'!$C$4,N(U151),IF(OR(NOT(COUNTIF('商品マスタ'!$B$6:$B$1005,$W152)=0),COUNTIFS('①在庫を貼る'!$V$6:$V$10005,$V152,'①在庫を貼る'!$W$6:$W$10005,$W152)+COUNTIFS('月1回_1ヶ月前の在庫'!$V$6:$V$10005,$V152,'月1回_1ヶ月前の在庫'!$W$6:$W$10005,$W152)&gt;0),N(U151),N(U151)+1))</f>
        <v/>
      </c>
      <c r="V152" s="19">
        <f>IF($B152="","",TEXT($B152,"0000"))</f>
        <v/>
      </c>
      <c r="W152" s="19">
        <f>IF($I152="","",IF(ISNUMBER($I152),TEXT($I152,"0"),$I152))</f>
        <v/>
      </c>
    </row>
    <row r="153">
      <c r="B153" s="25" t="n"/>
      <c r="I153" s="25" t="n"/>
      <c r="U153" s="19">
        <f>IF($V153&lt;&gt;'設定'!$C$4,N(U152),IF(OR(NOT(COUNTIF('商品マスタ'!$B$6:$B$1005,$W153)=0),COUNTIFS('①在庫を貼る'!$V$6:$V$10005,$V153,'①在庫を貼る'!$W$6:$W$10005,$W153)+COUNTIFS('月1回_1ヶ月前の在庫'!$V$6:$V$10005,$V153,'月1回_1ヶ月前の在庫'!$W$6:$W$10005,$W153)&gt;0),N(U152),N(U152)+1))</f>
        <v/>
      </c>
      <c r="V153" s="19">
        <f>IF($B153="","",TEXT($B153,"0000"))</f>
        <v/>
      </c>
      <c r="W153" s="19">
        <f>IF($I153="","",IF(ISNUMBER($I153),TEXT($I153,"0"),$I153))</f>
        <v/>
      </c>
    </row>
    <row r="154">
      <c r="B154" s="25" t="n"/>
      <c r="I154" s="25" t="n"/>
      <c r="U154" s="19">
        <f>IF($V154&lt;&gt;'設定'!$C$4,N(U153),IF(OR(NOT(COUNTIF('商品マスタ'!$B$6:$B$1005,$W154)=0),COUNTIFS('①在庫を貼る'!$V$6:$V$10005,$V154,'①在庫を貼る'!$W$6:$W$10005,$W154)+COUNTIFS('月1回_1ヶ月前の在庫'!$V$6:$V$10005,$V154,'月1回_1ヶ月前の在庫'!$W$6:$W$10005,$W154)&gt;0),N(U153),N(U153)+1))</f>
        <v/>
      </c>
      <c r="V154" s="19">
        <f>IF($B154="","",TEXT($B154,"0000"))</f>
        <v/>
      </c>
      <c r="W154" s="19">
        <f>IF($I154="","",IF(ISNUMBER($I154),TEXT($I154,"0"),$I154))</f>
        <v/>
      </c>
    </row>
    <row r="155">
      <c r="B155" s="25" t="n"/>
      <c r="I155" s="25" t="n"/>
      <c r="U155" s="19">
        <f>IF($V155&lt;&gt;'設定'!$C$4,N(U154),IF(OR(NOT(COUNTIF('商品マスタ'!$B$6:$B$1005,$W155)=0),COUNTIFS('①在庫を貼る'!$V$6:$V$10005,$V155,'①在庫を貼る'!$W$6:$W$10005,$W155)+COUNTIFS('月1回_1ヶ月前の在庫'!$V$6:$V$10005,$V155,'月1回_1ヶ月前の在庫'!$W$6:$W$10005,$W155)&gt;0),N(U154),N(U154)+1))</f>
        <v/>
      </c>
      <c r="V155" s="19">
        <f>IF($B155="","",TEXT($B155,"0000"))</f>
        <v/>
      </c>
      <c r="W155" s="19">
        <f>IF($I155="","",IF(ISNUMBER($I155),TEXT($I155,"0"),$I155))</f>
        <v/>
      </c>
    </row>
    <row r="156">
      <c r="B156" s="25" t="n"/>
      <c r="I156" s="25" t="n"/>
      <c r="U156" s="19">
        <f>IF($V156&lt;&gt;'設定'!$C$4,N(U155),IF(OR(NOT(COUNTIF('商品マスタ'!$B$6:$B$1005,$W156)=0),COUNTIFS('①在庫を貼る'!$V$6:$V$10005,$V156,'①在庫を貼る'!$W$6:$W$10005,$W156)+COUNTIFS('月1回_1ヶ月前の在庫'!$V$6:$V$10005,$V156,'月1回_1ヶ月前の在庫'!$W$6:$W$10005,$W156)&gt;0),N(U155),N(U155)+1))</f>
        <v/>
      </c>
      <c r="V156" s="19">
        <f>IF($B156="","",TEXT($B156,"0000"))</f>
        <v/>
      </c>
      <c r="W156" s="19">
        <f>IF($I156="","",IF(ISNUMBER($I156),TEXT($I156,"0"),$I156))</f>
        <v/>
      </c>
    </row>
    <row r="157">
      <c r="B157" s="25" t="n"/>
      <c r="I157" s="25" t="n"/>
      <c r="U157" s="19">
        <f>IF($V157&lt;&gt;'設定'!$C$4,N(U156),IF(OR(NOT(COUNTIF('商品マスタ'!$B$6:$B$1005,$W157)=0),COUNTIFS('①在庫を貼る'!$V$6:$V$10005,$V157,'①在庫を貼る'!$W$6:$W$10005,$W157)+COUNTIFS('月1回_1ヶ月前の在庫'!$V$6:$V$10005,$V157,'月1回_1ヶ月前の在庫'!$W$6:$W$10005,$W157)&gt;0),N(U156),N(U156)+1))</f>
        <v/>
      </c>
      <c r="V157" s="19">
        <f>IF($B157="","",TEXT($B157,"0000"))</f>
        <v/>
      </c>
      <c r="W157" s="19">
        <f>IF($I157="","",IF(ISNUMBER($I157),TEXT($I157,"0"),$I157))</f>
        <v/>
      </c>
    </row>
    <row r="158">
      <c r="B158" s="25" t="n"/>
      <c r="I158" s="25" t="n"/>
      <c r="U158" s="19">
        <f>IF($V158&lt;&gt;'設定'!$C$4,N(U157),IF(OR(NOT(COUNTIF('商品マスタ'!$B$6:$B$1005,$W158)=0),COUNTIFS('①在庫を貼る'!$V$6:$V$10005,$V158,'①在庫を貼る'!$W$6:$W$10005,$W158)+COUNTIFS('月1回_1ヶ月前の在庫'!$V$6:$V$10005,$V158,'月1回_1ヶ月前の在庫'!$W$6:$W$10005,$W158)&gt;0),N(U157),N(U157)+1))</f>
        <v/>
      </c>
      <c r="V158" s="19">
        <f>IF($B158="","",TEXT($B158,"0000"))</f>
        <v/>
      </c>
      <c r="W158" s="19">
        <f>IF($I158="","",IF(ISNUMBER($I158),TEXT($I158,"0"),$I158))</f>
        <v/>
      </c>
    </row>
    <row r="159">
      <c r="B159" s="25" t="n"/>
      <c r="I159" s="25" t="n"/>
      <c r="U159" s="19">
        <f>IF($V159&lt;&gt;'設定'!$C$4,N(U158),IF(OR(NOT(COUNTIF('商品マスタ'!$B$6:$B$1005,$W159)=0),COUNTIFS('①在庫を貼る'!$V$6:$V$10005,$V159,'①在庫を貼る'!$W$6:$W$10005,$W159)+COUNTIFS('月1回_1ヶ月前の在庫'!$V$6:$V$10005,$V159,'月1回_1ヶ月前の在庫'!$W$6:$W$10005,$W159)&gt;0),N(U158),N(U158)+1))</f>
        <v/>
      </c>
      <c r="V159" s="19">
        <f>IF($B159="","",TEXT($B159,"0000"))</f>
        <v/>
      </c>
      <c r="W159" s="19">
        <f>IF($I159="","",IF(ISNUMBER($I159),TEXT($I159,"0"),$I159))</f>
        <v/>
      </c>
    </row>
    <row r="160">
      <c r="B160" s="25" t="n"/>
      <c r="I160" s="25" t="n"/>
      <c r="U160" s="19">
        <f>IF($V160&lt;&gt;'設定'!$C$4,N(U159),IF(OR(NOT(COUNTIF('商品マスタ'!$B$6:$B$1005,$W160)=0),COUNTIFS('①在庫を貼る'!$V$6:$V$10005,$V160,'①在庫を貼る'!$W$6:$W$10005,$W160)+COUNTIFS('月1回_1ヶ月前の在庫'!$V$6:$V$10005,$V160,'月1回_1ヶ月前の在庫'!$W$6:$W$10005,$W160)&gt;0),N(U159),N(U159)+1))</f>
        <v/>
      </c>
      <c r="V160" s="19">
        <f>IF($B160="","",TEXT($B160,"0000"))</f>
        <v/>
      </c>
      <c r="W160" s="19">
        <f>IF($I160="","",IF(ISNUMBER($I160),TEXT($I160,"0"),$I160))</f>
        <v/>
      </c>
    </row>
    <row r="161">
      <c r="B161" s="25" t="n"/>
      <c r="I161" s="25" t="n"/>
      <c r="U161" s="19">
        <f>IF($V161&lt;&gt;'設定'!$C$4,N(U160),IF(OR(NOT(COUNTIF('商品マスタ'!$B$6:$B$1005,$W161)=0),COUNTIFS('①在庫を貼る'!$V$6:$V$10005,$V161,'①在庫を貼る'!$W$6:$W$10005,$W161)+COUNTIFS('月1回_1ヶ月前の在庫'!$V$6:$V$10005,$V161,'月1回_1ヶ月前の在庫'!$W$6:$W$10005,$W161)&gt;0),N(U160),N(U160)+1))</f>
        <v/>
      </c>
      <c r="V161" s="19">
        <f>IF($B161="","",TEXT($B161,"0000"))</f>
        <v/>
      </c>
      <c r="W161" s="19">
        <f>IF($I161="","",IF(ISNUMBER($I161),TEXT($I161,"0"),$I161))</f>
        <v/>
      </c>
    </row>
    <row r="162">
      <c r="B162" s="25" t="n"/>
      <c r="I162" s="25" t="n"/>
      <c r="U162" s="19">
        <f>IF($V162&lt;&gt;'設定'!$C$4,N(U161),IF(OR(NOT(COUNTIF('商品マスタ'!$B$6:$B$1005,$W162)=0),COUNTIFS('①在庫を貼る'!$V$6:$V$10005,$V162,'①在庫を貼る'!$W$6:$W$10005,$W162)+COUNTIFS('月1回_1ヶ月前の在庫'!$V$6:$V$10005,$V162,'月1回_1ヶ月前の在庫'!$W$6:$W$10005,$W162)&gt;0),N(U161),N(U161)+1))</f>
        <v/>
      </c>
      <c r="V162" s="19">
        <f>IF($B162="","",TEXT($B162,"0000"))</f>
        <v/>
      </c>
      <c r="W162" s="19">
        <f>IF($I162="","",IF(ISNUMBER($I162),TEXT($I162,"0"),$I162))</f>
        <v/>
      </c>
    </row>
    <row r="163">
      <c r="B163" s="25" t="n"/>
      <c r="I163" s="25" t="n"/>
      <c r="U163" s="19">
        <f>IF($V163&lt;&gt;'設定'!$C$4,N(U162),IF(OR(NOT(COUNTIF('商品マスタ'!$B$6:$B$1005,$W163)=0),COUNTIFS('①在庫を貼る'!$V$6:$V$10005,$V163,'①在庫を貼る'!$W$6:$W$10005,$W163)+COUNTIFS('月1回_1ヶ月前の在庫'!$V$6:$V$10005,$V163,'月1回_1ヶ月前の在庫'!$W$6:$W$10005,$W163)&gt;0),N(U162),N(U162)+1))</f>
        <v/>
      </c>
      <c r="V163" s="19">
        <f>IF($B163="","",TEXT($B163,"0000"))</f>
        <v/>
      </c>
      <c r="W163" s="19">
        <f>IF($I163="","",IF(ISNUMBER($I163),TEXT($I163,"0"),$I163))</f>
        <v/>
      </c>
    </row>
    <row r="164">
      <c r="B164" s="25" t="n"/>
      <c r="I164" s="25" t="n"/>
      <c r="U164" s="19">
        <f>IF($V164&lt;&gt;'設定'!$C$4,N(U163),IF(OR(NOT(COUNTIF('商品マスタ'!$B$6:$B$1005,$W164)=0),COUNTIFS('①在庫を貼る'!$V$6:$V$10005,$V164,'①在庫を貼る'!$W$6:$W$10005,$W164)+COUNTIFS('月1回_1ヶ月前の在庫'!$V$6:$V$10005,$V164,'月1回_1ヶ月前の在庫'!$W$6:$W$10005,$W164)&gt;0),N(U163),N(U163)+1))</f>
        <v/>
      </c>
      <c r="V164" s="19">
        <f>IF($B164="","",TEXT($B164,"0000"))</f>
        <v/>
      </c>
      <c r="W164" s="19">
        <f>IF($I164="","",IF(ISNUMBER($I164),TEXT($I164,"0"),$I164))</f>
        <v/>
      </c>
    </row>
    <row r="165">
      <c r="B165" s="25" t="n"/>
      <c r="I165" s="25" t="n"/>
      <c r="U165" s="19">
        <f>IF($V165&lt;&gt;'設定'!$C$4,N(U164),IF(OR(NOT(COUNTIF('商品マスタ'!$B$6:$B$1005,$W165)=0),COUNTIFS('①在庫を貼る'!$V$6:$V$10005,$V165,'①在庫を貼る'!$W$6:$W$10005,$W165)+COUNTIFS('月1回_1ヶ月前の在庫'!$V$6:$V$10005,$V165,'月1回_1ヶ月前の在庫'!$W$6:$W$10005,$W165)&gt;0),N(U164),N(U164)+1))</f>
        <v/>
      </c>
      <c r="V165" s="19">
        <f>IF($B165="","",TEXT($B165,"0000"))</f>
        <v/>
      </c>
      <c r="W165" s="19">
        <f>IF($I165="","",IF(ISNUMBER($I165),TEXT($I165,"0"),$I165))</f>
        <v/>
      </c>
    </row>
    <row r="166">
      <c r="B166" s="25" t="n"/>
      <c r="I166" s="25" t="n"/>
      <c r="U166" s="19">
        <f>IF($V166&lt;&gt;'設定'!$C$4,N(U165),IF(OR(NOT(COUNTIF('商品マスタ'!$B$6:$B$1005,$W166)=0),COUNTIFS('①在庫を貼る'!$V$6:$V$10005,$V166,'①在庫を貼る'!$W$6:$W$10005,$W166)+COUNTIFS('月1回_1ヶ月前の在庫'!$V$6:$V$10005,$V166,'月1回_1ヶ月前の在庫'!$W$6:$W$10005,$W166)&gt;0),N(U165),N(U165)+1))</f>
        <v/>
      </c>
      <c r="V166" s="19">
        <f>IF($B166="","",TEXT($B166,"0000"))</f>
        <v/>
      </c>
      <c r="W166" s="19">
        <f>IF($I166="","",IF(ISNUMBER($I166),TEXT($I166,"0"),$I166))</f>
        <v/>
      </c>
    </row>
    <row r="167">
      <c r="B167" s="25" t="n"/>
      <c r="I167" s="25" t="n"/>
      <c r="U167" s="19">
        <f>IF($V167&lt;&gt;'設定'!$C$4,N(U166),IF(OR(NOT(COUNTIF('商品マスタ'!$B$6:$B$1005,$W167)=0),COUNTIFS('①在庫を貼る'!$V$6:$V$10005,$V167,'①在庫を貼る'!$W$6:$W$10005,$W167)+COUNTIFS('月1回_1ヶ月前の在庫'!$V$6:$V$10005,$V167,'月1回_1ヶ月前の在庫'!$W$6:$W$10005,$W167)&gt;0),N(U166),N(U166)+1))</f>
        <v/>
      </c>
      <c r="V167" s="19">
        <f>IF($B167="","",TEXT($B167,"0000"))</f>
        <v/>
      </c>
      <c r="W167" s="19">
        <f>IF($I167="","",IF(ISNUMBER($I167),TEXT($I167,"0"),$I167))</f>
        <v/>
      </c>
    </row>
    <row r="168">
      <c r="B168" s="25" t="n"/>
      <c r="I168" s="25" t="n"/>
      <c r="U168" s="19">
        <f>IF($V168&lt;&gt;'設定'!$C$4,N(U167),IF(OR(NOT(COUNTIF('商品マスタ'!$B$6:$B$1005,$W168)=0),COUNTIFS('①在庫を貼る'!$V$6:$V$10005,$V168,'①在庫を貼る'!$W$6:$W$10005,$W168)+COUNTIFS('月1回_1ヶ月前の在庫'!$V$6:$V$10005,$V168,'月1回_1ヶ月前の在庫'!$W$6:$W$10005,$W168)&gt;0),N(U167),N(U167)+1))</f>
        <v/>
      </c>
      <c r="V168" s="19">
        <f>IF($B168="","",TEXT($B168,"0000"))</f>
        <v/>
      </c>
      <c r="W168" s="19">
        <f>IF($I168="","",IF(ISNUMBER($I168),TEXT($I168,"0"),$I168))</f>
        <v/>
      </c>
    </row>
    <row r="169">
      <c r="B169" s="25" t="n"/>
      <c r="I169" s="25" t="n"/>
      <c r="U169" s="19">
        <f>IF($V169&lt;&gt;'設定'!$C$4,N(U168),IF(OR(NOT(COUNTIF('商品マスタ'!$B$6:$B$1005,$W169)=0),COUNTIFS('①在庫を貼る'!$V$6:$V$10005,$V169,'①在庫を貼る'!$W$6:$W$10005,$W169)+COUNTIFS('月1回_1ヶ月前の在庫'!$V$6:$V$10005,$V169,'月1回_1ヶ月前の在庫'!$W$6:$W$10005,$W169)&gt;0),N(U168),N(U168)+1))</f>
        <v/>
      </c>
      <c r="V169" s="19">
        <f>IF($B169="","",TEXT($B169,"0000"))</f>
        <v/>
      </c>
      <c r="W169" s="19">
        <f>IF($I169="","",IF(ISNUMBER($I169),TEXT($I169,"0"),$I169))</f>
        <v/>
      </c>
    </row>
    <row r="170">
      <c r="B170" s="25" t="n"/>
      <c r="I170" s="25" t="n"/>
      <c r="U170" s="19">
        <f>IF($V170&lt;&gt;'設定'!$C$4,N(U169),IF(OR(NOT(COUNTIF('商品マスタ'!$B$6:$B$1005,$W170)=0),COUNTIFS('①在庫を貼る'!$V$6:$V$10005,$V170,'①在庫を貼る'!$W$6:$W$10005,$W170)+COUNTIFS('月1回_1ヶ月前の在庫'!$V$6:$V$10005,$V170,'月1回_1ヶ月前の在庫'!$W$6:$W$10005,$W170)&gt;0),N(U169),N(U169)+1))</f>
        <v/>
      </c>
      <c r="V170" s="19">
        <f>IF($B170="","",TEXT($B170,"0000"))</f>
        <v/>
      </c>
      <c r="W170" s="19">
        <f>IF($I170="","",IF(ISNUMBER($I170),TEXT($I170,"0"),$I170))</f>
        <v/>
      </c>
    </row>
    <row r="171">
      <c r="B171" s="25" t="n"/>
      <c r="I171" s="25" t="n"/>
      <c r="U171" s="19">
        <f>IF($V171&lt;&gt;'設定'!$C$4,N(U170),IF(OR(NOT(COUNTIF('商品マスタ'!$B$6:$B$1005,$W171)=0),COUNTIFS('①在庫を貼る'!$V$6:$V$10005,$V171,'①在庫を貼る'!$W$6:$W$10005,$W171)+COUNTIFS('月1回_1ヶ月前の在庫'!$V$6:$V$10005,$V171,'月1回_1ヶ月前の在庫'!$W$6:$W$10005,$W171)&gt;0),N(U170),N(U170)+1))</f>
        <v/>
      </c>
      <c r="V171" s="19">
        <f>IF($B171="","",TEXT($B171,"0000"))</f>
        <v/>
      </c>
      <c r="W171" s="19">
        <f>IF($I171="","",IF(ISNUMBER($I171),TEXT($I171,"0"),$I171))</f>
        <v/>
      </c>
    </row>
    <row r="172">
      <c r="B172" s="25" t="n"/>
      <c r="I172" s="25" t="n"/>
      <c r="U172" s="19">
        <f>IF($V172&lt;&gt;'設定'!$C$4,N(U171),IF(OR(NOT(COUNTIF('商品マスタ'!$B$6:$B$1005,$W172)=0),COUNTIFS('①在庫を貼る'!$V$6:$V$10005,$V172,'①在庫を貼る'!$W$6:$W$10005,$W172)+COUNTIFS('月1回_1ヶ月前の在庫'!$V$6:$V$10005,$V172,'月1回_1ヶ月前の在庫'!$W$6:$W$10005,$W172)&gt;0),N(U171),N(U171)+1))</f>
        <v/>
      </c>
      <c r="V172" s="19">
        <f>IF($B172="","",TEXT($B172,"0000"))</f>
        <v/>
      </c>
      <c r="W172" s="19">
        <f>IF($I172="","",IF(ISNUMBER($I172),TEXT($I172,"0"),$I172))</f>
        <v/>
      </c>
    </row>
    <row r="173">
      <c r="B173" s="25" t="n"/>
      <c r="I173" s="25" t="n"/>
      <c r="U173" s="19">
        <f>IF($V173&lt;&gt;'設定'!$C$4,N(U172),IF(OR(NOT(COUNTIF('商品マスタ'!$B$6:$B$1005,$W173)=0),COUNTIFS('①在庫を貼る'!$V$6:$V$10005,$V173,'①在庫を貼る'!$W$6:$W$10005,$W173)+COUNTIFS('月1回_1ヶ月前の在庫'!$V$6:$V$10005,$V173,'月1回_1ヶ月前の在庫'!$W$6:$W$10005,$W173)&gt;0),N(U172),N(U172)+1))</f>
        <v/>
      </c>
      <c r="V173" s="19">
        <f>IF($B173="","",TEXT($B173,"0000"))</f>
        <v/>
      </c>
      <c r="W173" s="19">
        <f>IF($I173="","",IF(ISNUMBER($I173),TEXT($I173,"0"),$I173))</f>
        <v/>
      </c>
    </row>
    <row r="174">
      <c r="B174" s="25" t="n"/>
      <c r="I174" s="25" t="n"/>
      <c r="U174" s="19">
        <f>IF($V174&lt;&gt;'設定'!$C$4,N(U173),IF(OR(NOT(COUNTIF('商品マスタ'!$B$6:$B$1005,$W174)=0),COUNTIFS('①在庫を貼る'!$V$6:$V$10005,$V174,'①在庫を貼る'!$W$6:$W$10005,$W174)+COUNTIFS('月1回_1ヶ月前の在庫'!$V$6:$V$10005,$V174,'月1回_1ヶ月前の在庫'!$W$6:$W$10005,$W174)&gt;0),N(U173),N(U173)+1))</f>
        <v/>
      </c>
      <c r="V174" s="19">
        <f>IF($B174="","",TEXT($B174,"0000"))</f>
        <v/>
      </c>
      <c r="W174" s="19">
        <f>IF($I174="","",IF(ISNUMBER($I174),TEXT($I174,"0"),$I174))</f>
        <v/>
      </c>
    </row>
    <row r="175">
      <c r="B175" s="25" t="n"/>
      <c r="I175" s="25" t="n"/>
      <c r="U175" s="19">
        <f>IF($V175&lt;&gt;'設定'!$C$4,N(U174),IF(OR(NOT(COUNTIF('商品マスタ'!$B$6:$B$1005,$W175)=0),COUNTIFS('①在庫を貼る'!$V$6:$V$10005,$V175,'①在庫を貼る'!$W$6:$W$10005,$W175)+COUNTIFS('月1回_1ヶ月前の在庫'!$V$6:$V$10005,$V175,'月1回_1ヶ月前の在庫'!$W$6:$W$10005,$W175)&gt;0),N(U174),N(U174)+1))</f>
        <v/>
      </c>
      <c r="V175" s="19">
        <f>IF($B175="","",TEXT($B175,"0000"))</f>
        <v/>
      </c>
      <c r="W175" s="19">
        <f>IF($I175="","",IF(ISNUMBER($I175),TEXT($I175,"0"),$I175))</f>
        <v/>
      </c>
    </row>
    <row r="176">
      <c r="B176" s="25" t="n"/>
      <c r="I176" s="25" t="n"/>
      <c r="U176" s="19">
        <f>IF($V176&lt;&gt;'設定'!$C$4,N(U175),IF(OR(NOT(COUNTIF('商品マスタ'!$B$6:$B$1005,$W176)=0),COUNTIFS('①在庫を貼る'!$V$6:$V$10005,$V176,'①在庫を貼る'!$W$6:$W$10005,$W176)+COUNTIFS('月1回_1ヶ月前の在庫'!$V$6:$V$10005,$V176,'月1回_1ヶ月前の在庫'!$W$6:$W$10005,$W176)&gt;0),N(U175),N(U175)+1))</f>
        <v/>
      </c>
      <c r="V176" s="19">
        <f>IF($B176="","",TEXT($B176,"0000"))</f>
        <v/>
      </c>
      <c r="W176" s="19">
        <f>IF($I176="","",IF(ISNUMBER($I176),TEXT($I176,"0"),$I176))</f>
        <v/>
      </c>
    </row>
    <row r="177">
      <c r="B177" s="25" t="n"/>
      <c r="I177" s="25" t="n"/>
      <c r="U177" s="19">
        <f>IF($V177&lt;&gt;'設定'!$C$4,N(U176),IF(OR(NOT(COUNTIF('商品マスタ'!$B$6:$B$1005,$W177)=0),COUNTIFS('①在庫を貼る'!$V$6:$V$10005,$V177,'①在庫を貼る'!$W$6:$W$10005,$W177)+COUNTIFS('月1回_1ヶ月前の在庫'!$V$6:$V$10005,$V177,'月1回_1ヶ月前の在庫'!$W$6:$W$10005,$W177)&gt;0),N(U176),N(U176)+1))</f>
        <v/>
      </c>
      <c r="V177" s="19">
        <f>IF($B177="","",TEXT($B177,"0000"))</f>
        <v/>
      </c>
      <c r="W177" s="19">
        <f>IF($I177="","",IF(ISNUMBER($I177),TEXT($I177,"0"),$I177))</f>
        <v/>
      </c>
    </row>
    <row r="178">
      <c r="B178" s="25" t="n"/>
      <c r="I178" s="25" t="n"/>
      <c r="U178" s="19">
        <f>IF($V178&lt;&gt;'設定'!$C$4,N(U177),IF(OR(NOT(COUNTIF('商品マスタ'!$B$6:$B$1005,$W178)=0),COUNTIFS('①在庫を貼る'!$V$6:$V$10005,$V178,'①在庫を貼る'!$W$6:$W$10005,$W178)+COUNTIFS('月1回_1ヶ月前の在庫'!$V$6:$V$10005,$V178,'月1回_1ヶ月前の在庫'!$W$6:$W$10005,$W178)&gt;0),N(U177),N(U177)+1))</f>
        <v/>
      </c>
      <c r="V178" s="19">
        <f>IF($B178="","",TEXT($B178,"0000"))</f>
        <v/>
      </c>
      <c r="W178" s="19">
        <f>IF($I178="","",IF(ISNUMBER($I178),TEXT($I178,"0"),$I178))</f>
        <v/>
      </c>
    </row>
    <row r="179">
      <c r="B179" s="25" t="n"/>
      <c r="I179" s="25" t="n"/>
      <c r="U179" s="19">
        <f>IF($V179&lt;&gt;'設定'!$C$4,N(U178),IF(OR(NOT(COUNTIF('商品マスタ'!$B$6:$B$1005,$W179)=0),COUNTIFS('①在庫を貼る'!$V$6:$V$10005,$V179,'①在庫を貼る'!$W$6:$W$10005,$W179)+COUNTIFS('月1回_1ヶ月前の在庫'!$V$6:$V$10005,$V179,'月1回_1ヶ月前の在庫'!$W$6:$W$10005,$W179)&gt;0),N(U178),N(U178)+1))</f>
        <v/>
      </c>
      <c r="V179" s="19">
        <f>IF($B179="","",TEXT($B179,"0000"))</f>
        <v/>
      </c>
      <c r="W179" s="19">
        <f>IF($I179="","",IF(ISNUMBER($I179),TEXT($I179,"0"),$I179))</f>
        <v/>
      </c>
    </row>
    <row r="180">
      <c r="B180" s="25" t="n"/>
      <c r="I180" s="25" t="n"/>
      <c r="U180" s="19">
        <f>IF($V180&lt;&gt;'設定'!$C$4,N(U179),IF(OR(NOT(COUNTIF('商品マスタ'!$B$6:$B$1005,$W180)=0),COUNTIFS('①在庫を貼る'!$V$6:$V$10005,$V180,'①在庫を貼る'!$W$6:$W$10005,$W180)+COUNTIFS('月1回_1ヶ月前の在庫'!$V$6:$V$10005,$V180,'月1回_1ヶ月前の在庫'!$W$6:$W$10005,$W180)&gt;0),N(U179),N(U179)+1))</f>
        <v/>
      </c>
      <c r="V180" s="19">
        <f>IF($B180="","",TEXT($B180,"0000"))</f>
        <v/>
      </c>
      <c r="W180" s="19">
        <f>IF($I180="","",IF(ISNUMBER($I180),TEXT($I180,"0"),$I180))</f>
        <v/>
      </c>
    </row>
    <row r="181">
      <c r="B181" s="25" t="n"/>
      <c r="I181" s="25" t="n"/>
      <c r="U181" s="19">
        <f>IF($V181&lt;&gt;'設定'!$C$4,N(U180),IF(OR(NOT(COUNTIF('商品マスタ'!$B$6:$B$1005,$W181)=0),COUNTIFS('①在庫を貼る'!$V$6:$V$10005,$V181,'①在庫を貼る'!$W$6:$W$10005,$W181)+COUNTIFS('月1回_1ヶ月前の在庫'!$V$6:$V$10005,$V181,'月1回_1ヶ月前の在庫'!$W$6:$W$10005,$W181)&gt;0),N(U180),N(U180)+1))</f>
        <v/>
      </c>
      <c r="V181" s="19">
        <f>IF($B181="","",TEXT($B181,"0000"))</f>
        <v/>
      </c>
      <c r="W181" s="19">
        <f>IF($I181="","",IF(ISNUMBER($I181),TEXT($I181,"0"),$I181))</f>
        <v/>
      </c>
    </row>
    <row r="182">
      <c r="B182" s="25" t="n"/>
      <c r="I182" s="25" t="n"/>
      <c r="U182" s="19">
        <f>IF($V182&lt;&gt;'設定'!$C$4,N(U181),IF(OR(NOT(COUNTIF('商品マスタ'!$B$6:$B$1005,$W182)=0),COUNTIFS('①在庫を貼る'!$V$6:$V$10005,$V182,'①在庫を貼る'!$W$6:$W$10005,$W182)+COUNTIFS('月1回_1ヶ月前の在庫'!$V$6:$V$10005,$V182,'月1回_1ヶ月前の在庫'!$W$6:$W$10005,$W182)&gt;0),N(U181),N(U181)+1))</f>
        <v/>
      </c>
      <c r="V182" s="19">
        <f>IF($B182="","",TEXT($B182,"0000"))</f>
        <v/>
      </c>
      <c r="W182" s="19">
        <f>IF($I182="","",IF(ISNUMBER($I182),TEXT($I182,"0"),$I182))</f>
        <v/>
      </c>
    </row>
    <row r="183">
      <c r="B183" s="25" t="n"/>
      <c r="I183" s="25" t="n"/>
      <c r="U183" s="19">
        <f>IF($V183&lt;&gt;'設定'!$C$4,N(U182),IF(OR(NOT(COUNTIF('商品マスタ'!$B$6:$B$1005,$W183)=0),COUNTIFS('①在庫を貼る'!$V$6:$V$10005,$V183,'①在庫を貼る'!$W$6:$W$10005,$W183)+COUNTIFS('月1回_1ヶ月前の在庫'!$V$6:$V$10005,$V183,'月1回_1ヶ月前の在庫'!$W$6:$W$10005,$W183)&gt;0),N(U182),N(U182)+1))</f>
        <v/>
      </c>
      <c r="V183" s="19">
        <f>IF($B183="","",TEXT($B183,"0000"))</f>
        <v/>
      </c>
      <c r="W183" s="19">
        <f>IF($I183="","",IF(ISNUMBER($I183),TEXT($I183,"0"),$I183))</f>
        <v/>
      </c>
    </row>
    <row r="184">
      <c r="B184" s="25" t="n"/>
      <c r="I184" s="25" t="n"/>
      <c r="U184" s="19">
        <f>IF($V184&lt;&gt;'設定'!$C$4,N(U183),IF(OR(NOT(COUNTIF('商品マスタ'!$B$6:$B$1005,$W184)=0),COUNTIFS('①在庫を貼る'!$V$6:$V$10005,$V184,'①在庫を貼る'!$W$6:$W$10005,$W184)+COUNTIFS('月1回_1ヶ月前の在庫'!$V$6:$V$10005,$V184,'月1回_1ヶ月前の在庫'!$W$6:$W$10005,$W184)&gt;0),N(U183),N(U183)+1))</f>
        <v/>
      </c>
      <c r="V184" s="19">
        <f>IF($B184="","",TEXT($B184,"0000"))</f>
        <v/>
      </c>
      <c r="W184" s="19">
        <f>IF($I184="","",IF(ISNUMBER($I184),TEXT($I184,"0"),$I184))</f>
        <v/>
      </c>
    </row>
    <row r="185">
      <c r="B185" s="25" t="n"/>
      <c r="I185" s="25" t="n"/>
      <c r="U185" s="19">
        <f>IF($V185&lt;&gt;'設定'!$C$4,N(U184),IF(OR(NOT(COUNTIF('商品マスタ'!$B$6:$B$1005,$W185)=0),COUNTIFS('①在庫を貼る'!$V$6:$V$10005,$V185,'①在庫を貼る'!$W$6:$W$10005,$W185)+COUNTIFS('月1回_1ヶ月前の在庫'!$V$6:$V$10005,$V185,'月1回_1ヶ月前の在庫'!$W$6:$W$10005,$W185)&gt;0),N(U184),N(U184)+1))</f>
        <v/>
      </c>
      <c r="V185" s="19">
        <f>IF($B185="","",TEXT($B185,"0000"))</f>
        <v/>
      </c>
      <c r="W185" s="19">
        <f>IF($I185="","",IF(ISNUMBER($I185),TEXT($I185,"0"),$I185))</f>
        <v/>
      </c>
    </row>
    <row r="186">
      <c r="B186" s="25" t="n"/>
      <c r="I186" s="25" t="n"/>
      <c r="U186" s="19">
        <f>IF($V186&lt;&gt;'設定'!$C$4,N(U185),IF(OR(NOT(COUNTIF('商品マスタ'!$B$6:$B$1005,$W186)=0),COUNTIFS('①在庫を貼る'!$V$6:$V$10005,$V186,'①在庫を貼る'!$W$6:$W$10005,$W186)+COUNTIFS('月1回_1ヶ月前の在庫'!$V$6:$V$10005,$V186,'月1回_1ヶ月前の在庫'!$W$6:$W$10005,$W186)&gt;0),N(U185),N(U185)+1))</f>
        <v/>
      </c>
      <c r="V186" s="19">
        <f>IF($B186="","",TEXT($B186,"0000"))</f>
        <v/>
      </c>
      <c r="W186" s="19">
        <f>IF($I186="","",IF(ISNUMBER($I186),TEXT($I186,"0"),$I186))</f>
        <v/>
      </c>
    </row>
    <row r="187">
      <c r="B187" s="25" t="n"/>
      <c r="I187" s="25" t="n"/>
      <c r="U187" s="19">
        <f>IF($V187&lt;&gt;'設定'!$C$4,N(U186),IF(OR(NOT(COUNTIF('商品マスタ'!$B$6:$B$1005,$W187)=0),COUNTIFS('①在庫を貼る'!$V$6:$V$10005,$V187,'①在庫を貼る'!$W$6:$W$10005,$W187)+COUNTIFS('月1回_1ヶ月前の在庫'!$V$6:$V$10005,$V187,'月1回_1ヶ月前の在庫'!$W$6:$W$10005,$W187)&gt;0),N(U186),N(U186)+1))</f>
        <v/>
      </c>
      <c r="V187" s="19">
        <f>IF($B187="","",TEXT($B187,"0000"))</f>
        <v/>
      </c>
      <c r="W187" s="19">
        <f>IF($I187="","",IF(ISNUMBER($I187),TEXT($I187,"0"),$I187))</f>
        <v/>
      </c>
    </row>
    <row r="188">
      <c r="B188" s="25" t="n"/>
      <c r="I188" s="25" t="n"/>
      <c r="U188" s="19">
        <f>IF($V188&lt;&gt;'設定'!$C$4,N(U187),IF(OR(NOT(COUNTIF('商品マスタ'!$B$6:$B$1005,$W188)=0),COUNTIFS('①在庫を貼る'!$V$6:$V$10005,$V188,'①在庫を貼る'!$W$6:$W$10005,$W188)+COUNTIFS('月1回_1ヶ月前の在庫'!$V$6:$V$10005,$V188,'月1回_1ヶ月前の在庫'!$W$6:$W$10005,$W188)&gt;0),N(U187),N(U187)+1))</f>
        <v/>
      </c>
      <c r="V188" s="19">
        <f>IF($B188="","",TEXT($B188,"0000"))</f>
        <v/>
      </c>
      <c r="W188" s="19">
        <f>IF($I188="","",IF(ISNUMBER($I188),TEXT($I188,"0"),$I188))</f>
        <v/>
      </c>
    </row>
    <row r="189">
      <c r="B189" s="25" t="n"/>
      <c r="I189" s="25" t="n"/>
      <c r="U189" s="19">
        <f>IF($V189&lt;&gt;'設定'!$C$4,N(U188),IF(OR(NOT(COUNTIF('商品マスタ'!$B$6:$B$1005,$W189)=0),COUNTIFS('①在庫を貼る'!$V$6:$V$10005,$V189,'①在庫を貼る'!$W$6:$W$10005,$W189)+COUNTIFS('月1回_1ヶ月前の在庫'!$V$6:$V$10005,$V189,'月1回_1ヶ月前の在庫'!$W$6:$W$10005,$W189)&gt;0),N(U188),N(U188)+1))</f>
        <v/>
      </c>
      <c r="V189" s="19">
        <f>IF($B189="","",TEXT($B189,"0000"))</f>
        <v/>
      </c>
      <c r="W189" s="19">
        <f>IF($I189="","",IF(ISNUMBER($I189),TEXT($I189,"0"),$I189))</f>
        <v/>
      </c>
    </row>
    <row r="190">
      <c r="B190" s="25" t="n"/>
      <c r="I190" s="25" t="n"/>
      <c r="U190" s="19">
        <f>IF($V190&lt;&gt;'設定'!$C$4,N(U189),IF(OR(NOT(COUNTIF('商品マスタ'!$B$6:$B$1005,$W190)=0),COUNTIFS('①在庫を貼る'!$V$6:$V$10005,$V190,'①在庫を貼る'!$W$6:$W$10005,$W190)+COUNTIFS('月1回_1ヶ月前の在庫'!$V$6:$V$10005,$V190,'月1回_1ヶ月前の在庫'!$W$6:$W$10005,$W190)&gt;0),N(U189),N(U189)+1))</f>
        <v/>
      </c>
      <c r="V190" s="19">
        <f>IF($B190="","",TEXT($B190,"0000"))</f>
        <v/>
      </c>
      <c r="W190" s="19">
        <f>IF($I190="","",IF(ISNUMBER($I190),TEXT($I190,"0"),$I190))</f>
        <v/>
      </c>
    </row>
    <row r="191">
      <c r="B191" s="25" t="n"/>
      <c r="I191" s="25" t="n"/>
      <c r="U191" s="19">
        <f>IF($V191&lt;&gt;'設定'!$C$4,N(U190),IF(OR(NOT(COUNTIF('商品マスタ'!$B$6:$B$1005,$W191)=0),COUNTIFS('①在庫を貼る'!$V$6:$V$10005,$V191,'①在庫を貼る'!$W$6:$W$10005,$W191)+COUNTIFS('月1回_1ヶ月前の在庫'!$V$6:$V$10005,$V191,'月1回_1ヶ月前の在庫'!$W$6:$W$10005,$W191)&gt;0),N(U190),N(U190)+1))</f>
        <v/>
      </c>
      <c r="V191" s="19">
        <f>IF($B191="","",TEXT($B191,"0000"))</f>
        <v/>
      </c>
      <c r="W191" s="19">
        <f>IF($I191="","",IF(ISNUMBER($I191),TEXT($I191,"0"),$I191))</f>
        <v/>
      </c>
    </row>
    <row r="192">
      <c r="B192" s="25" t="n"/>
      <c r="I192" s="25" t="n"/>
      <c r="U192" s="19">
        <f>IF($V192&lt;&gt;'設定'!$C$4,N(U191),IF(OR(NOT(COUNTIF('商品マスタ'!$B$6:$B$1005,$W192)=0),COUNTIFS('①在庫を貼る'!$V$6:$V$10005,$V192,'①在庫を貼る'!$W$6:$W$10005,$W192)+COUNTIFS('月1回_1ヶ月前の在庫'!$V$6:$V$10005,$V192,'月1回_1ヶ月前の在庫'!$W$6:$W$10005,$W192)&gt;0),N(U191),N(U191)+1))</f>
        <v/>
      </c>
      <c r="V192" s="19">
        <f>IF($B192="","",TEXT($B192,"0000"))</f>
        <v/>
      </c>
      <c r="W192" s="19">
        <f>IF($I192="","",IF(ISNUMBER($I192),TEXT($I192,"0"),$I192))</f>
        <v/>
      </c>
    </row>
    <row r="193">
      <c r="B193" s="25" t="n"/>
      <c r="I193" s="25" t="n"/>
      <c r="U193" s="19">
        <f>IF($V193&lt;&gt;'設定'!$C$4,N(U192),IF(OR(NOT(COUNTIF('商品マスタ'!$B$6:$B$1005,$W193)=0),COUNTIFS('①在庫を貼る'!$V$6:$V$10005,$V193,'①在庫を貼る'!$W$6:$W$10005,$W193)+COUNTIFS('月1回_1ヶ月前の在庫'!$V$6:$V$10005,$V193,'月1回_1ヶ月前の在庫'!$W$6:$W$10005,$W193)&gt;0),N(U192),N(U192)+1))</f>
        <v/>
      </c>
      <c r="V193" s="19">
        <f>IF($B193="","",TEXT($B193,"0000"))</f>
        <v/>
      </c>
      <c r="W193" s="19">
        <f>IF($I193="","",IF(ISNUMBER($I193),TEXT($I193,"0"),$I193))</f>
        <v/>
      </c>
    </row>
    <row r="194">
      <c r="B194" s="25" t="n"/>
      <c r="I194" s="25" t="n"/>
      <c r="U194" s="19">
        <f>IF($V194&lt;&gt;'設定'!$C$4,N(U193),IF(OR(NOT(COUNTIF('商品マスタ'!$B$6:$B$1005,$W194)=0),COUNTIFS('①在庫を貼る'!$V$6:$V$10005,$V194,'①在庫を貼る'!$W$6:$W$10005,$W194)+COUNTIFS('月1回_1ヶ月前の在庫'!$V$6:$V$10005,$V194,'月1回_1ヶ月前の在庫'!$W$6:$W$10005,$W194)&gt;0),N(U193),N(U193)+1))</f>
        <v/>
      </c>
      <c r="V194" s="19">
        <f>IF($B194="","",TEXT($B194,"0000"))</f>
        <v/>
      </c>
      <c r="W194" s="19">
        <f>IF($I194="","",IF(ISNUMBER($I194),TEXT($I194,"0"),$I194))</f>
        <v/>
      </c>
    </row>
    <row r="195">
      <c r="B195" s="25" t="n"/>
      <c r="I195" s="25" t="n"/>
      <c r="U195" s="19">
        <f>IF($V195&lt;&gt;'設定'!$C$4,N(U194),IF(OR(NOT(COUNTIF('商品マスタ'!$B$6:$B$1005,$W195)=0),COUNTIFS('①在庫を貼る'!$V$6:$V$10005,$V195,'①在庫を貼る'!$W$6:$W$10005,$W195)+COUNTIFS('月1回_1ヶ月前の在庫'!$V$6:$V$10005,$V195,'月1回_1ヶ月前の在庫'!$W$6:$W$10005,$W195)&gt;0),N(U194),N(U194)+1))</f>
        <v/>
      </c>
      <c r="V195" s="19">
        <f>IF($B195="","",TEXT($B195,"0000"))</f>
        <v/>
      </c>
      <c r="W195" s="19">
        <f>IF($I195="","",IF(ISNUMBER($I195),TEXT($I195,"0"),$I195))</f>
        <v/>
      </c>
    </row>
    <row r="196">
      <c r="B196" s="25" t="n"/>
      <c r="I196" s="25" t="n"/>
      <c r="U196" s="19">
        <f>IF($V196&lt;&gt;'設定'!$C$4,N(U195),IF(OR(NOT(COUNTIF('商品マスタ'!$B$6:$B$1005,$W196)=0),COUNTIFS('①在庫を貼る'!$V$6:$V$10005,$V196,'①在庫を貼る'!$W$6:$W$10005,$W196)+COUNTIFS('月1回_1ヶ月前の在庫'!$V$6:$V$10005,$V196,'月1回_1ヶ月前の在庫'!$W$6:$W$10005,$W196)&gt;0),N(U195),N(U195)+1))</f>
        <v/>
      </c>
      <c r="V196" s="19">
        <f>IF($B196="","",TEXT($B196,"0000"))</f>
        <v/>
      </c>
      <c r="W196" s="19">
        <f>IF($I196="","",IF(ISNUMBER($I196),TEXT($I196,"0"),$I196))</f>
        <v/>
      </c>
    </row>
    <row r="197">
      <c r="B197" s="25" t="n"/>
      <c r="I197" s="25" t="n"/>
      <c r="U197" s="19">
        <f>IF($V197&lt;&gt;'設定'!$C$4,N(U196),IF(OR(NOT(COUNTIF('商品マスタ'!$B$6:$B$1005,$W197)=0),COUNTIFS('①在庫を貼る'!$V$6:$V$10005,$V197,'①在庫を貼る'!$W$6:$W$10005,$W197)+COUNTIFS('月1回_1ヶ月前の在庫'!$V$6:$V$10005,$V197,'月1回_1ヶ月前の在庫'!$W$6:$W$10005,$W197)&gt;0),N(U196),N(U196)+1))</f>
        <v/>
      </c>
      <c r="V197" s="19">
        <f>IF($B197="","",TEXT($B197,"0000"))</f>
        <v/>
      </c>
      <c r="W197" s="19">
        <f>IF($I197="","",IF(ISNUMBER($I197),TEXT($I197,"0"),$I197))</f>
        <v/>
      </c>
    </row>
    <row r="198">
      <c r="B198" s="25" t="n"/>
      <c r="I198" s="25" t="n"/>
      <c r="U198" s="19">
        <f>IF($V198&lt;&gt;'設定'!$C$4,N(U197),IF(OR(NOT(COUNTIF('商品マスタ'!$B$6:$B$1005,$W198)=0),COUNTIFS('①在庫を貼る'!$V$6:$V$10005,$V198,'①在庫を貼る'!$W$6:$W$10005,$W198)+COUNTIFS('月1回_1ヶ月前の在庫'!$V$6:$V$10005,$V198,'月1回_1ヶ月前の在庫'!$W$6:$W$10005,$W198)&gt;0),N(U197),N(U197)+1))</f>
        <v/>
      </c>
      <c r="V198" s="19">
        <f>IF($B198="","",TEXT($B198,"0000"))</f>
        <v/>
      </c>
      <c r="W198" s="19">
        <f>IF($I198="","",IF(ISNUMBER($I198),TEXT($I198,"0"),$I198))</f>
        <v/>
      </c>
    </row>
    <row r="199">
      <c r="B199" s="25" t="n"/>
      <c r="I199" s="25" t="n"/>
      <c r="U199" s="19">
        <f>IF($V199&lt;&gt;'設定'!$C$4,N(U198),IF(OR(NOT(COUNTIF('商品マスタ'!$B$6:$B$1005,$W199)=0),COUNTIFS('①在庫を貼る'!$V$6:$V$10005,$V199,'①在庫を貼る'!$W$6:$W$10005,$W199)+COUNTIFS('月1回_1ヶ月前の在庫'!$V$6:$V$10005,$V199,'月1回_1ヶ月前の在庫'!$W$6:$W$10005,$W199)&gt;0),N(U198),N(U198)+1))</f>
        <v/>
      </c>
      <c r="V199" s="19">
        <f>IF($B199="","",TEXT($B199,"0000"))</f>
        <v/>
      </c>
      <c r="W199" s="19">
        <f>IF($I199="","",IF(ISNUMBER($I199),TEXT($I199,"0"),$I199))</f>
        <v/>
      </c>
    </row>
    <row r="200">
      <c r="B200" s="25" t="n"/>
      <c r="I200" s="25" t="n"/>
      <c r="U200" s="19">
        <f>IF($V200&lt;&gt;'設定'!$C$4,N(U199),IF(OR(NOT(COUNTIF('商品マスタ'!$B$6:$B$1005,$W200)=0),COUNTIFS('①在庫を貼る'!$V$6:$V$10005,$V200,'①在庫を貼る'!$W$6:$W$10005,$W200)+COUNTIFS('月1回_1ヶ月前の在庫'!$V$6:$V$10005,$V200,'月1回_1ヶ月前の在庫'!$W$6:$W$10005,$W200)&gt;0),N(U199),N(U199)+1))</f>
        <v/>
      </c>
      <c r="V200" s="19">
        <f>IF($B200="","",TEXT($B200,"0000"))</f>
        <v/>
      </c>
      <c r="W200" s="19">
        <f>IF($I200="","",IF(ISNUMBER($I200),TEXT($I200,"0"),$I200))</f>
        <v/>
      </c>
    </row>
    <row r="201">
      <c r="B201" s="25" t="n"/>
      <c r="I201" s="25" t="n"/>
      <c r="U201" s="19">
        <f>IF($V201&lt;&gt;'設定'!$C$4,N(U200),IF(OR(NOT(COUNTIF('商品マスタ'!$B$6:$B$1005,$W201)=0),COUNTIFS('①在庫を貼る'!$V$6:$V$10005,$V201,'①在庫を貼る'!$W$6:$W$10005,$W201)+COUNTIFS('月1回_1ヶ月前の在庫'!$V$6:$V$10005,$V201,'月1回_1ヶ月前の在庫'!$W$6:$W$10005,$W201)&gt;0),N(U200),N(U200)+1))</f>
        <v/>
      </c>
      <c r="V201" s="19">
        <f>IF($B201="","",TEXT($B201,"0000"))</f>
        <v/>
      </c>
      <c r="W201" s="19">
        <f>IF($I201="","",IF(ISNUMBER($I201),TEXT($I201,"0"),$I201))</f>
        <v/>
      </c>
    </row>
    <row r="202">
      <c r="B202" s="25" t="n"/>
      <c r="I202" s="25" t="n"/>
      <c r="U202" s="19">
        <f>IF($V202&lt;&gt;'設定'!$C$4,N(U201),IF(OR(NOT(COUNTIF('商品マスタ'!$B$6:$B$1005,$W202)=0),COUNTIFS('①在庫を貼る'!$V$6:$V$10005,$V202,'①在庫を貼る'!$W$6:$W$10005,$W202)+COUNTIFS('月1回_1ヶ月前の在庫'!$V$6:$V$10005,$V202,'月1回_1ヶ月前の在庫'!$W$6:$W$10005,$W202)&gt;0),N(U201),N(U201)+1))</f>
        <v/>
      </c>
      <c r="V202" s="19">
        <f>IF($B202="","",TEXT($B202,"0000"))</f>
        <v/>
      </c>
      <c r="W202" s="19">
        <f>IF($I202="","",IF(ISNUMBER($I202),TEXT($I202,"0"),$I202))</f>
        <v/>
      </c>
    </row>
    <row r="203">
      <c r="B203" s="25" t="n"/>
      <c r="I203" s="25" t="n"/>
      <c r="U203" s="19">
        <f>IF($V203&lt;&gt;'設定'!$C$4,N(U202),IF(OR(NOT(COUNTIF('商品マスタ'!$B$6:$B$1005,$W203)=0),COUNTIFS('①在庫を貼る'!$V$6:$V$10005,$V203,'①在庫を貼る'!$W$6:$W$10005,$W203)+COUNTIFS('月1回_1ヶ月前の在庫'!$V$6:$V$10005,$V203,'月1回_1ヶ月前の在庫'!$W$6:$W$10005,$W203)&gt;0),N(U202),N(U202)+1))</f>
        <v/>
      </c>
      <c r="V203" s="19">
        <f>IF($B203="","",TEXT($B203,"0000"))</f>
        <v/>
      </c>
      <c r="W203" s="19">
        <f>IF($I203="","",IF(ISNUMBER($I203),TEXT($I203,"0"),$I203))</f>
        <v/>
      </c>
    </row>
    <row r="204">
      <c r="B204" s="25" t="n"/>
      <c r="I204" s="25" t="n"/>
      <c r="U204" s="19">
        <f>IF($V204&lt;&gt;'設定'!$C$4,N(U203),IF(OR(NOT(COUNTIF('商品マスタ'!$B$6:$B$1005,$W204)=0),COUNTIFS('①在庫を貼る'!$V$6:$V$10005,$V204,'①在庫を貼る'!$W$6:$W$10005,$W204)+COUNTIFS('月1回_1ヶ月前の在庫'!$V$6:$V$10005,$V204,'月1回_1ヶ月前の在庫'!$W$6:$W$10005,$W204)&gt;0),N(U203),N(U203)+1))</f>
        <v/>
      </c>
      <c r="V204" s="19">
        <f>IF($B204="","",TEXT($B204,"0000"))</f>
        <v/>
      </c>
      <c r="W204" s="19">
        <f>IF($I204="","",IF(ISNUMBER($I204),TEXT($I204,"0"),$I204))</f>
        <v/>
      </c>
    </row>
    <row r="205">
      <c r="B205" s="25" t="n"/>
      <c r="I205" s="25" t="n"/>
      <c r="U205" s="19">
        <f>IF($V205&lt;&gt;'設定'!$C$4,N(U204),IF(OR(NOT(COUNTIF('商品マスタ'!$B$6:$B$1005,$W205)=0),COUNTIFS('①在庫を貼る'!$V$6:$V$10005,$V205,'①在庫を貼る'!$W$6:$W$10005,$W205)+COUNTIFS('月1回_1ヶ月前の在庫'!$V$6:$V$10005,$V205,'月1回_1ヶ月前の在庫'!$W$6:$W$10005,$W205)&gt;0),N(U204),N(U204)+1))</f>
        <v/>
      </c>
      <c r="V205" s="19">
        <f>IF($B205="","",TEXT($B205,"0000"))</f>
        <v/>
      </c>
      <c r="W205" s="19">
        <f>IF($I205="","",IF(ISNUMBER($I205),TEXT($I205,"0"),$I205))</f>
        <v/>
      </c>
    </row>
    <row r="206">
      <c r="B206" s="25" t="n"/>
      <c r="I206" s="25" t="n"/>
      <c r="U206" s="19">
        <f>IF($V206&lt;&gt;'設定'!$C$4,N(U205),IF(OR(NOT(COUNTIF('商品マスタ'!$B$6:$B$1005,$W206)=0),COUNTIFS('①在庫を貼る'!$V$6:$V$10005,$V206,'①在庫を貼る'!$W$6:$W$10005,$W206)+COUNTIFS('月1回_1ヶ月前の在庫'!$V$6:$V$10005,$V206,'月1回_1ヶ月前の在庫'!$W$6:$W$10005,$W206)&gt;0),N(U205),N(U205)+1))</f>
        <v/>
      </c>
      <c r="V206" s="19">
        <f>IF($B206="","",TEXT($B206,"0000"))</f>
        <v/>
      </c>
      <c r="W206" s="19">
        <f>IF($I206="","",IF(ISNUMBER($I206),TEXT($I206,"0"),$I206))</f>
        <v/>
      </c>
    </row>
    <row r="207">
      <c r="B207" s="25" t="n"/>
      <c r="I207" s="25" t="n"/>
      <c r="U207" s="19">
        <f>IF($V207&lt;&gt;'設定'!$C$4,N(U206),IF(OR(NOT(COUNTIF('商品マスタ'!$B$6:$B$1005,$W207)=0),COUNTIFS('①在庫を貼る'!$V$6:$V$10005,$V207,'①在庫を貼る'!$W$6:$W$10005,$W207)+COUNTIFS('月1回_1ヶ月前の在庫'!$V$6:$V$10005,$V207,'月1回_1ヶ月前の在庫'!$W$6:$W$10005,$W207)&gt;0),N(U206),N(U206)+1))</f>
        <v/>
      </c>
      <c r="V207" s="19">
        <f>IF($B207="","",TEXT($B207,"0000"))</f>
        <v/>
      </c>
      <c r="W207" s="19">
        <f>IF($I207="","",IF(ISNUMBER($I207),TEXT($I207,"0"),$I207))</f>
        <v/>
      </c>
    </row>
    <row r="208">
      <c r="B208" s="25" t="n"/>
      <c r="I208" s="25" t="n"/>
      <c r="U208" s="19">
        <f>IF($V208&lt;&gt;'設定'!$C$4,N(U207),IF(OR(NOT(COUNTIF('商品マスタ'!$B$6:$B$1005,$W208)=0),COUNTIFS('①在庫を貼る'!$V$6:$V$10005,$V208,'①在庫を貼る'!$W$6:$W$10005,$W208)+COUNTIFS('月1回_1ヶ月前の在庫'!$V$6:$V$10005,$V208,'月1回_1ヶ月前の在庫'!$W$6:$W$10005,$W208)&gt;0),N(U207),N(U207)+1))</f>
        <v/>
      </c>
      <c r="V208" s="19">
        <f>IF($B208="","",TEXT($B208,"0000"))</f>
        <v/>
      </c>
      <c r="W208" s="19">
        <f>IF($I208="","",IF(ISNUMBER($I208),TEXT($I208,"0"),$I208))</f>
        <v/>
      </c>
    </row>
    <row r="209">
      <c r="B209" s="25" t="n"/>
      <c r="I209" s="25" t="n"/>
      <c r="U209" s="19">
        <f>IF($V209&lt;&gt;'設定'!$C$4,N(U208),IF(OR(NOT(COUNTIF('商品マスタ'!$B$6:$B$1005,$W209)=0),COUNTIFS('①在庫を貼る'!$V$6:$V$10005,$V209,'①在庫を貼る'!$W$6:$W$10005,$W209)+COUNTIFS('月1回_1ヶ月前の在庫'!$V$6:$V$10005,$V209,'月1回_1ヶ月前の在庫'!$W$6:$W$10005,$W209)&gt;0),N(U208),N(U208)+1))</f>
        <v/>
      </c>
      <c r="V209" s="19">
        <f>IF($B209="","",TEXT($B209,"0000"))</f>
        <v/>
      </c>
      <c r="W209" s="19">
        <f>IF($I209="","",IF(ISNUMBER($I209),TEXT($I209,"0"),$I209))</f>
        <v/>
      </c>
    </row>
    <row r="210">
      <c r="B210" s="25" t="n"/>
      <c r="I210" s="25" t="n"/>
      <c r="U210" s="19">
        <f>IF($V210&lt;&gt;'設定'!$C$4,N(U209),IF(OR(NOT(COUNTIF('商品マスタ'!$B$6:$B$1005,$W210)=0),COUNTIFS('①在庫を貼る'!$V$6:$V$10005,$V210,'①在庫を貼る'!$W$6:$W$10005,$W210)+COUNTIFS('月1回_1ヶ月前の在庫'!$V$6:$V$10005,$V210,'月1回_1ヶ月前の在庫'!$W$6:$W$10005,$W210)&gt;0),N(U209),N(U209)+1))</f>
        <v/>
      </c>
      <c r="V210" s="19">
        <f>IF($B210="","",TEXT($B210,"0000"))</f>
        <v/>
      </c>
      <c r="W210" s="19">
        <f>IF($I210="","",IF(ISNUMBER($I210),TEXT($I210,"0"),$I210))</f>
        <v/>
      </c>
    </row>
    <row r="211">
      <c r="B211" s="25" t="n"/>
      <c r="I211" s="25" t="n"/>
      <c r="U211" s="19">
        <f>IF($V211&lt;&gt;'設定'!$C$4,N(U210),IF(OR(NOT(COUNTIF('商品マスタ'!$B$6:$B$1005,$W211)=0),COUNTIFS('①在庫を貼る'!$V$6:$V$10005,$V211,'①在庫を貼る'!$W$6:$W$10005,$W211)+COUNTIFS('月1回_1ヶ月前の在庫'!$V$6:$V$10005,$V211,'月1回_1ヶ月前の在庫'!$W$6:$W$10005,$W211)&gt;0),N(U210),N(U210)+1))</f>
        <v/>
      </c>
      <c r="V211" s="19">
        <f>IF($B211="","",TEXT($B211,"0000"))</f>
        <v/>
      </c>
      <c r="W211" s="19">
        <f>IF($I211="","",IF(ISNUMBER($I211),TEXT($I211,"0"),$I211))</f>
        <v/>
      </c>
    </row>
    <row r="212">
      <c r="B212" s="25" t="n"/>
      <c r="I212" s="25" t="n"/>
      <c r="U212" s="19">
        <f>IF($V212&lt;&gt;'設定'!$C$4,N(U211),IF(OR(NOT(COUNTIF('商品マスタ'!$B$6:$B$1005,$W212)=0),COUNTIFS('①在庫を貼る'!$V$6:$V$10005,$V212,'①在庫を貼る'!$W$6:$W$10005,$W212)+COUNTIFS('月1回_1ヶ月前の在庫'!$V$6:$V$10005,$V212,'月1回_1ヶ月前の在庫'!$W$6:$W$10005,$W212)&gt;0),N(U211),N(U211)+1))</f>
        <v/>
      </c>
      <c r="V212" s="19">
        <f>IF($B212="","",TEXT($B212,"0000"))</f>
        <v/>
      </c>
      <c r="W212" s="19">
        <f>IF($I212="","",IF(ISNUMBER($I212),TEXT($I212,"0"),$I212))</f>
        <v/>
      </c>
    </row>
    <row r="213">
      <c r="B213" s="25" t="n"/>
      <c r="I213" s="25" t="n"/>
      <c r="U213" s="19">
        <f>IF($V213&lt;&gt;'設定'!$C$4,N(U212),IF(OR(NOT(COUNTIF('商品マスタ'!$B$6:$B$1005,$W213)=0),COUNTIFS('①在庫を貼る'!$V$6:$V$10005,$V213,'①在庫を貼る'!$W$6:$W$10005,$W213)+COUNTIFS('月1回_1ヶ月前の在庫'!$V$6:$V$10005,$V213,'月1回_1ヶ月前の在庫'!$W$6:$W$10005,$W213)&gt;0),N(U212),N(U212)+1))</f>
        <v/>
      </c>
      <c r="V213" s="19">
        <f>IF($B213="","",TEXT($B213,"0000"))</f>
        <v/>
      </c>
      <c r="W213" s="19">
        <f>IF($I213="","",IF(ISNUMBER($I213),TEXT($I213,"0"),$I213))</f>
        <v/>
      </c>
    </row>
    <row r="214">
      <c r="B214" s="25" t="n"/>
      <c r="I214" s="25" t="n"/>
      <c r="U214" s="19">
        <f>IF($V214&lt;&gt;'設定'!$C$4,N(U213),IF(OR(NOT(COUNTIF('商品マスタ'!$B$6:$B$1005,$W214)=0),COUNTIFS('①在庫を貼る'!$V$6:$V$10005,$V214,'①在庫を貼る'!$W$6:$W$10005,$W214)+COUNTIFS('月1回_1ヶ月前の在庫'!$V$6:$V$10005,$V214,'月1回_1ヶ月前の在庫'!$W$6:$W$10005,$W214)&gt;0),N(U213),N(U213)+1))</f>
        <v/>
      </c>
      <c r="V214" s="19">
        <f>IF($B214="","",TEXT($B214,"0000"))</f>
        <v/>
      </c>
      <c r="W214" s="19">
        <f>IF($I214="","",IF(ISNUMBER($I214),TEXT($I214,"0"),$I214))</f>
        <v/>
      </c>
    </row>
    <row r="215">
      <c r="B215" s="25" t="n"/>
      <c r="I215" s="25" t="n"/>
      <c r="U215" s="19">
        <f>IF($V215&lt;&gt;'設定'!$C$4,N(U214),IF(OR(NOT(COUNTIF('商品マスタ'!$B$6:$B$1005,$W215)=0),COUNTIFS('①在庫を貼る'!$V$6:$V$10005,$V215,'①在庫を貼る'!$W$6:$W$10005,$W215)+COUNTIFS('月1回_1ヶ月前の在庫'!$V$6:$V$10005,$V215,'月1回_1ヶ月前の在庫'!$W$6:$W$10005,$W215)&gt;0),N(U214),N(U214)+1))</f>
        <v/>
      </c>
      <c r="V215" s="19">
        <f>IF($B215="","",TEXT($B215,"0000"))</f>
        <v/>
      </c>
      <c r="W215" s="19">
        <f>IF($I215="","",IF(ISNUMBER($I215),TEXT($I215,"0"),$I215))</f>
        <v/>
      </c>
    </row>
    <row r="216">
      <c r="B216" s="25" t="n"/>
      <c r="I216" s="25" t="n"/>
      <c r="U216" s="19">
        <f>IF($V216&lt;&gt;'設定'!$C$4,N(U215),IF(OR(NOT(COUNTIF('商品マスタ'!$B$6:$B$1005,$W216)=0),COUNTIFS('①在庫を貼る'!$V$6:$V$10005,$V216,'①在庫を貼る'!$W$6:$W$10005,$W216)+COUNTIFS('月1回_1ヶ月前の在庫'!$V$6:$V$10005,$V216,'月1回_1ヶ月前の在庫'!$W$6:$W$10005,$W216)&gt;0),N(U215),N(U215)+1))</f>
        <v/>
      </c>
      <c r="V216" s="19">
        <f>IF($B216="","",TEXT($B216,"0000"))</f>
        <v/>
      </c>
      <c r="W216" s="19">
        <f>IF($I216="","",IF(ISNUMBER($I216),TEXT($I216,"0"),$I216))</f>
        <v/>
      </c>
    </row>
    <row r="217">
      <c r="B217" s="25" t="n"/>
      <c r="I217" s="25" t="n"/>
      <c r="U217" s="19">
        <f>IF($V217&lt;&gt;'設定'!$C$4,N(U216),IF(OR(NOT(COUNTIF('商品マスタ'!$B$6:$B$1005,$W217)=0),COUNTIFS('①在庫を貼る'!$V$6:$V$10005,$V217,'①在庫を貼る'!$W$6:$W$10005,$W217)+COUNTIFS('月1回_1ヶ月前の在庫'!$V$6:$V$10005,$V217,'月1回_1ヶ月前の在庫'!$W$6:$W$10005,$W217)&gt;0),N(U216),N(U216)+1))</f>
        <v/>
      </c>
      <c r="V217" s="19">
        <f>IF($B217="","",TEXT($B217,"0000"))</f>
        <v/>
      </c>
      <c r="W217" s="19">
        <f>IF($I217="","",IF(ISNUMBER($I217),TEXT($I217,"0"),$I217))</f>
        <v/>
      </c>
    </row>
    <row r="218">
      <c r="B218" s="25" t="n"/>
      <c r="I218" s="25" t="n"/>
      <c r="U218" s="19">
        <f>IF($V218&lt;&gt;'設定'!$C$4,N(U217),IF(OR(NOT(COUNTIF('商品マスタ'!$B$6:$B$1005,$W218)=0),COUNTIFS('①在庫を貼る'!$V$6:$V$10005,$V218,'①在庫を貼る'!$W$6:$W$10005,$W218)+COUNTIFS('月1回_1ヶ月前の在庫'!$V$6:$V$10005,$V218,'月1回_1ヶ月前の在庫'!$W$6:$W$10005,$W218)&gt;0),N(U217),N(U217)+1))</f>
        <v/>
      </c>
      <c r="V218" s="19">
        <f>IF($B218="","",TEXT($B218,"0000"))</f>
        <v/>
      </c>
      <c r="W218" s="19">
        <f>IF($I218="","",IF(ISNUMBER($I218),TEXT($I218,"0"),$I218))</f>
        <v/>
      </c>
    </row>
    <row r="219">
      <c r="B219" s="25" t="n"/>
      <c r="I219" s="25" t="n"/>
      <c r="U219" s="19">
        <f>IF($V219&lt;&gt;'設定'!$C$4,N(U218),IF(OR(NOT(COUNTIF('商品マスタ'!$B$6:$B$1005,$W219)=0),COUNTIFS('①在庫を貼る'!$V$6:$V$10005,$V219,'①在庫を貼る'!$W$6:$W$10005,$W219)+COUNTIFS('月1回_1ヶ月前の在庫'!$V$6:$V$10005,$V219,'月1回_1ヶ月前の在庫'!$W$6:$W$10005,$W219)&gt;0),N(U218),N(U218)+1))</f>
        <v/>
      </c>
      <c r="V219" s="19">
        <f>IF($B219="","",TEXT($B219,"0000"))</f>
        <v/>
      </c>
      <c r="W219" s="19">
        <f>IF($I219="","",IF(ISNUMBER($I219),TEXT($I219,"0"),$I219))</f>
        <v/>
      </c>
    </row>
    <row r="220">
      <c r="B220" s="25" t="n"/>
      <c r="I220" s="25" t="n"/>
      <c r="U220" s="19">
        <f>IF($V220&lt;&gt;'設定'!$C$4,N(U219),IF(OR(NOT(COUNTIF('商品マスタ'!$B$6:$B$1005,$W220)=0),COUNTIFS('①在庫を貼る'!$V$6:$V$10005,$V220,'①在庫を貼る'!$W$6:$W$10005,$W220)+COUNTIFS('月1回_1ヶ月前の在庫'!$V$6:$V$10005,$V220,'月1回_1ヶ月前の在庫'!$W$6:$W$10005,$W220)&gt;0),N(U219),N(U219)+1))</f>
        <v/>
      </c>
      <c r="V220" s="19">
        <f>IF($B220="","",TEXT($B220,"0000"))</f>
        <v/>
      </c>
      <c r="W220" s="19">
        <f>IF($I220="","",IF(ISNUMBER($I220),TEXT($I220,"0"),$I220))</f>
        <v/>
      </c>
    </row>
    <row r="221">
      <c r="B221" s="25" t="n"/>
      <c r="I221" s="25" t="n"/>
      <c r="U221" s="19">
        <f>IF($V221&lt;&gt;'設定'!$C$4,N(U220),IF(OR(NOT(COUNTIF('商品マスタ'!$B$6:$B$1005,$W221)=0),COUNTIFS('①在庫を貼る'!$V$6:$V$10005,$V221,'①在庫を貼る'!$W$6:$W$10005,$W221)+COUNTIFS('月1回_1ヶ月前の在庫'!$V$6:$V$10005,$V221,'月1回_1ヶ月前の在庫'!$W$6:$W$10005,$W221)&gt;0),N(U220),N(U220)+1))</f>
        <v/>
      </c>
      <c r="V221" s="19">
        <f>IF($B221="","",TEXT($B221,"0000"))</f>
        <v/>
      </c>
      <c r="W221" s="19">
        <f>IF($I221="","",IF(ISNUMBER($I221),TEXT($I221,"0"),$I221))</f>
        <v/>
      </c>
    </row>
    <row r="222">
      <c r="B222" s="25" t="n"/>
      <c r="I222" s="25" t="n"/>
      <c r="U222" s="19">
        <f>IF($V222&lt;&gt;'設定'!$C$4,N(U221),IF(OR(NOT(COUNTIF('商品マスタ'!$B$6:$B$1005,$W222)=0),COUNTIFS('①在庫を貼る'!$V$6:$V$10005,$V222,'①在庫を貼る'!$W$6:$W$10005,$W222)+COUNTIFS('月1回_1ヶ月前の在庫'!$V$6:$V$10005,$V222,'月1回_1ヶ月前の在庫'!$W$6:$W$10005,$W222)&gt;0),N(U221),N(U221)+1))</f>
        <v/>
      </c>
      <c r="V222" s="19">
        <f>IF($B222="","",TEXT($B222,"0000"))</f>
        <v/>
      </c>
      <c r="W222" s="19">
        <f>IF($I222="","",IF(ISNUMBER($I222),TEXT($I222,"0"),$I222))</f>
        <v/>
      </c>
    </row>
    <row r="223">
      <c r="B223" s="25" t="n"/>
      <c r="I223" s="25" t="n"/>
      <c r="U223" s="19">
        <f>IF($V223&lt;&gt;'設定'!$C$4,N(U222),IF(OR(NOT(COUNTIF('商品マスタ'!$B$6:$B$1005,$W223)=0),COUNTIFS('①在庫を貼る'!$V$6:$V$10005,$V223,'①在庫を貼る'!$W$6:$W$10005,$W223)+COUNTIFS('月1回_1ヶ月前の在庫'!$V$6:$V$10005,$V223,'月1回_1ヶ月前の在庫'!$W$6:$W$10005,$W223)&gt;0),N(U222),N(U222)+1))</f>
        <v/>
      </c>
      <c r="V223" s="19">
        <f>IF($B223="","",TEXT($B223,"0000"))</f>
        <v/>
      </c>
      <c r="W223" s="19">
        <f>IF($I223="","",IF(ISNUMBER($I223),TEXT($I223,"0"),$I223))</f>
        <v/>
      </c>
    </row>
    <row r="224">
      <c r="B224" s="25" t="n"/>
      <c r="I224" s="25" t="n"/>
      <c r="U224" s="19">
        <f>IF($V224&lt;&gt;'設定'!$C$4,N(U223),IF(OR(NOT(COUNTIF('商品マスタ'!$B$6:$B$1005,$W224)=0),COUNTIFS('①在庫を貼る'!$V$6:$V$10005,$V224,'①在庫を貼る'!$W$6:$W$10005,$W224)+COUNTIFS('月1回_1ヶ月前の在庫'!$V$6:$V$10005,$V224,'月1回_1ヶ月前の在庫'!$W$6:$W$10005,$W224)&gt;0),N(U223),N(U223)+1))</f>
        <v/>
      </c>
      <c r="V224" s="19">
        <f>IF($B224="","",TEXT($B224,"0000"))</f>
        <v/>
      </c>
      <c r="W224" s="19">
        <f>IF($I224="","",IF(ISNUMBER($I224),TEXT($I224,"0"),$I224))</f>
        <v/>
      </c>
    </row>
    <row r="225">
      <c r="B225" s="25" t="n"/>
      <c r="I225" s="25" t="n"/>
      <c r="U225" s="19">
        <f>IF($V225&lt;&gt;'設定'!$C$4,N(U224),IF(OR(NOT(COUNTIF('商品マスタ'!$B$6:$B$1005,$W225)=0),COUNTIFS('①在庫を貼る'!$V$6:$V$10005,$V225,'①在庫を貼る'!$W$6:$W$10005,$W225)+COUNTIFS('月1回_1ヶ月前の在庫'!$V$6:$V$10005,$V225,'月1回_1ヶ月前の在庫'!$W$6:$W$10005,$W225)&gt;0),N(U224),N(U224)+1))</f>
        <v/>
      </c>
      <c r="V225" s="19">
        <f>IF($B225="","",TEXT($B225,"0000"))</f>
        <v/>
      </c>
      <c r="W225" s="19">
        <f>IF($I225="","",IF(ISNUMBER($I225),TEXT($I225,"0"),$I225))</f>
        <v/>
      </c>
    </row>
    <row r="226">
      <c r="B226" s="25" t="n"/>
      <c r="I226" s="25" t="n"/>
      <c r="U226" s="19">
        <f>IF($V226&lt;&gt;'設定'!$C$4,N(U225),IF(OR(NOT(COUNTIF('商品マスタ'!$B$6:$B$1005,$W226)=0),COUNTIFS('①在庫を貼る'!$V$6:$V$10005,$V226,'①在庫を貼る'!$W$6:$W$10005,$W226)+COUNTIFS('月1回_1ヶ月前の在庫'!$V$6:$V$10005,$V226,'月1回_1ヶ月前の在庫'!$W$6:$W$10005,$W226)&gt;0),N(U225),N(U225)+1))</f>
        <v/>
      </c>
      <c r="V226" s="19">
        <f>IF($B226="","",TEXT($B226,"0000"))</f>
        <v/>
      </c>
      <c r="W226" s="19">
        <f>IF($I226="","",IF(ISNUMBER($I226),TEXT($I226,"0"),$I226))</f>
        <v/>
      </c>
    </row>
    <row r="227">
      <c r="B227" s="25" t="n"/>
      <c r="I227" s="25" t="n"/>
      <c r="U227" s="19">
        <f>IF($V227&lt;&gt;'設定'!$C$4,N(U226),IF(OR(NOT(COUNTIF('商品マスタ'!$B$6:$B$1005,$W227)=0),COUNTIFS('①在庫を貼る'!$V$6:$V$10005,$V227,'①在庫を貼る'!$W$6:$W$10005,$W227)+COUNTIFS('月1回_1ヶ月前の在庫'!$V$6:$V$10005,$V227,'月1回_1ヶ月前の在庫'!$W$6:$W$10005,$W227)&gt;0),N(U226),N(U226)+1))</f>
        <v/>
      </c>
      <c r="V227" s="19">
        <f>IF($B227="","",TEXT($B227,"0000"))</f>
        <v/>
      </c>
      <c r="W227" s="19">
        <f>IF($I227="","",IF(ISNUMBER($I227),TEXT($I227,"0"),$I227))</f>
        <v/>
      </c>
    </row>
    <row r="228">
      <c r="B228" s="25" t="n"/>
      <c r="I228" s="25" t="n"/>
      <c r="U228" s="19">
        <f>IF($V228&lt;&gt;'設定'!$C$4,N(U227),IF(OR(NOT(COUNTIF('商品マスタ'!$B$6:$B$1005,$W228)=0),COUNTIFS('①在庫を貼る'!$V$6:$V$10005,$V228,'①在庫を貼る'!$W$6:$W$10005,$W228)+COUNTIFS('月1回_1ヶ月前の在庫'!$V$6:$V$10005,$V228,'月1回_1ヶ月前の在庫'!$W$6:$W$10005,$W228)&gt;0),N(U227),N(U227)+1))</f>
        <v/>
      </c>
      <c r="V228" s="19">
        <f>IF($B228="","",TEXT($B228,"0000"))</f>
        <v/>
      </c>
      <c r="W228" s="19">
        <f>IF($I228="","",IF(ISNUMBER($I228),TEXT($I228,"0"),$I228))</f>
        <v/>
      </c>
    </row>
    <row r="229">
      <c r="B229" s="25" t="n"/>
      <c r="I229" s="25" t="n"/>
      <c r="U229" s="19">
        <f>IF($V229&lt;&gt;'設定'!$C$4,N(U228),IF(OR(NOT(COUNTIF('商品マスタ'!$B$6:$B$1005,$W229)=0),COUNTIFS('①在庫を貼る'!$V$6:$V$10005,$V229,'①在庫を貼る'!$W$6:$W$10005,$W229)+COUNTIFS('月1回_1ヶ月前の在庫'!$V$6:$V$10005,$V229,'月1回_1ヶ月前の在庫'!$W$6:$W$10005,$W229)&gt;0),N(U228),N(U228)+1))</f>
        <v/>
      </c>
      <c r="V229" s="19">
        <f>IF($B229="","",TEXT($B229,"0000"))</f>
        <v/>
      </c>
      <c r="W229" s="19">
        <f>IF($I229="","",IF(ISNUMBER($I229),TEXT($I229,"0"),$I229))</f>
        <v/>
      </c>
    </row>
    <row r="230">
      <c r="B230" s="25" t="n"/>
      <c r="I230" s="25" t="n"/>
      <c r="U230" s="19">
        <f>IF($V230&lt;&gt;'設定'!$C$4,N(U229),IF(OR(NOT(COUNTIF('商品マスタ'!$B$6:$B$1005,$W230)=0),COUNTIFS('①在庫を貼る'!$V$6:$V$10005,$V230,'①在庫を貼る'!$W$6:$W$10005,$W230)+COUNTIFS('月1回_1ヶ月前の在庫'!$V$6:$V$10005,$V230,'月1回_1ヶ月前の在庫'!$W$6:$W$10005,$W230)&gt;0),N(U229),N(U229)+1))</f>
        <v/>
      </c>
      <c r="V230" s="19">
        <f>IF($B230="","",TEXT($B230,"0000"))</f>
        <v/>
      </c>
      <c r="W230" s="19">
        <f>IF($I230="","",IF(ISNUMBER($I230),TEXT($I230,"0"),$I230))</f>
        <v/>
      </c>
    </row>
    <row r="231">
      <c r="B231" s="25" t="n"/>
      <c r="I231" s="25" t="n"/>
      <c r="U231" s="19">
        <f>IF($V231&lt;&gt;'設定'!$C$4,N(U230),IF(OR(NOT(COUNTIF('商品マスタ'!$B$6:$B$1005,$W231)=0),COUNTIFS('①在庫を貼る'!$V$6:$V$10005,$V231,'①在庫を貼る'!$W$6:$W$10005,$W231)+COUNTIFS('月1回_1ヶ月前の在庫'!$V$6:$V$10005,$V231,'月1回_1ヶ月前の在庫'!$W$6:$W$10005,$W231)&gt;0),N(U230),N(U230)+1))</f>
        <v/>
      </c>
      <c r="V231" s="19">
        <f>IF($B231="","",TEXT($B231,"0000"))</f>
        <v/>
      </c>
      <c r="W231" s="19">
        <f>IF($I231="","",IF(ISNUMBER($I231),TEXT($I231,"0"),$I231))</f>
        <v/>
      </c>
    </row>
    <row r="232">
      <c r="B232" s="25" t="n"/>
      <c r="I232" s="25" t="n"/>
      <c r="U232" s="19">
        <f>IF($V232&lt;&gt;'設定'!$C$4,N(U231),IF(OR(NOT(COUNTIF('商品マスタ'!$B$6:$B$1005,$W232)=0),COUNTIFS('①在庫を貼る'!$V$6:$V$10005,$V232,'①在庫を貼る'!$W$6:$W$10005,$W232)+COUNTIFS('月1回_1ヶ月前の在庫'!$V$6:$V$10005,$V232,'月1回_1ヶ月前の在庫'!$W$6:$W$10005,$W232)&gt;0),N(U231),N(U231)+1))</f>
        <v/>
      </c>
      <c r="V232" s="19">
        <f>IF($B232="","",TEXT($B232,"0000"))</f>
        <v/>
      </c>
      <c r="W232" s="19">
        <f>IF($I232="","",IF(ISNUMBER($I232),TEXT($I232,"0"),$I232))</f>
        <v/>
      </c>
    </row>
    <row r="233">
      <c r="B233" s="25" t="n"/>
      <c r="I233" s="25" t="n"/>
      <c r="U233" s="19">
        <f>IF($V233&lt;&gt;'設定'!$C$4,N(U232),IF(OR(NOT(COUNTIF('商品マスタ'!$B$6:$B$1005,$W233)=0),COUNTIFS('①在庫を貼る'!$V$6:$V$10005,$V233,'①在庫を貼る'!$W$6:$W$10005,$W233)+COUNTIFS('月1回_1ヶ月前の在庫'!$V$6:$V$10005,$V233,'月1回_1ヶ月前の在庫'!$W$6:$W$10005,$W233)&gt;0),N(U232),N(U232)+1))</f>
        <v/>
      </c>
      <c r="V233" s="19">
        <f>IF($B233="","",TEXT($B233,"0000"))</f>
        <v/>
      </c>
      <c r="W233" s="19">
        <f>IF($I233="","",IF(ISNUMBER($I233),TEXT($I233,"0"),$I233))</f>
        <v/>
      </c>
    </row>
    <row r="234">
      <c r="B234" s="25" t="n"/>
      <c r="I234" s="25" t="n"/>
      <c r="U234" s="19">
        <f>IF($V234&lt;&gt;'設定'!$C$4,N(U233),IF(OR(NOT(COUNTIF('商品マスタ'!$B$6:$B$1005,$W234)=0),COUNTIFS('①在庫を貼る'!$V$6:$V$10005,$V234,'①在庫を貼る'!$W$6:$W$10005,$W234)+COUNTIFS('月1回_1ヶ月前の在庫'!$V$6:$V$10005,$V234,'月1回_1ヶ月前の在庫'!$W$6:$W$10005,$W234)&gt;0),N(U233),N(U233)+1))</f>
        <v/>
      </c>
      <c r="V234" s="19">
        <f>IF($B234="","",TEXT($B234,"0000"))</f>
        <v/>
      </c>
      <c r="W234" s="19">
        <f>IF($I234="","",IF(ISNUMBER($I234),TEXT($I234,"0"),$I234))</f>
        <v/>
      </c>
    </row>
    <row r="235">
      <c r="B235" s="25" t="n"/>
      <c r="I235" s="25" t="n"/>
      <c r="U235" s="19">
        <f>IF($V235&lt;&gt;'設定'!$C$4,N(U234),IF(OR(NOT(COUNTIF('商品マスタ'!$B$6:$B$1005,$W235)=0),COUNTIFS('①在庫を貼る'!$V$6:$V$10005,$V235,'①在庫を貼る'!$W$6:$W$10005,$W235)+COUNTIFS('月1回_1ヶ月前の在庫'!$V$6:$V$10005,$V235,'月1回_1ヶ月前の在庫'!$W$6:$W$10005,$W235)&gt;0),N(U234),N(U234)+1))</f>
        <v/>
      </c>
      <c r="V235" s="19">
        <f>IF($B235="","",TEXT($B235,"0000"))</f>
        <v/>
      </c>
      <c r="W235" s="19">
        <f>IF($I235="","",IF(ISNUMBER($I235),TEXT($I235,"0"),$I235))</f>
        <v/>
      </c>
    </row>
    <row r="236">
      <c r="B236" s="25" t="n"/>
      <c r="I236" s="25" t="n"/>
      <c r="U236" s="19">
        <f>IF($V236&lt;&gt;'設定'!$C$4,N(U235),IF(OR(NOT(COUNTIF('商品マスタ'!$B$6:$B$1005,$W236)=0),COUNTIFS('①在庫を貼る'!$V$6:$V$10005,$V236,'①在庫を貼る'!$W$6:$W$10005,$W236)+COUNTIFS('月1回_1ヶ月前の在庫'!$V$6:$V$10005,$V236,'月1回_1ヶ月前の在庫'!$W$6:$W$10005,$W236)&gt;0),N(U235),N(U235)+1))</f>
        <v/>
      </c>
      <c r="V236" s="19">
        <f>IF($B236="","",TEXT($B236,"0000"))</f>
        <v/>
      </c>
      <c r="W236" s="19">
        <f>IF($I236="","",IF(ISNUMBER($I236),TEXT($I236,"0"),$I236))</f>
        <v/>
      </c>
    </row>
    <row r="237">
      <c r="B237" s="25" t="n"/>
      <c r="I237" s="25" t="n"/>
      <c r="U237" s="19">
        <f>IF($V237&lt;&gt;'設定'!$C$4,N(U236),IF(OR(NOT(COUNTIF('商品マスタ'!$B$6:$B$1005,$W237)=0),COUNTIFS('①在庫を貼る'!$V$6:$V$10005,$V237,'①在庫を貼る'!$W$6:$W$10005,$W237)+COUNTIFS('月1回_1ヶ月前の在庫'!$V$6:$V$10005,$V237,'月1回_1ヶ月前の在庫'!$W$6:$W$10005,$W237)&gt;0),N(U236),N(U236)+1))</f>
        <v/>
      </c>
      <c r="V237" s="19">
        <f>IF($B237="","",TEXT($B237,"0000"))</f>
        <v/>
      </c>
      <c r="W237" s="19">
        <f>IF($I237="","",IF(ISNUMBER($I237),TEXT($I237,"0"),$I237))</f>
        <v/>
      </c>
    </row>
    <row r="238">
      <c r="B238" s="25" t="n"/>
      <c r="I238" s="25" t="n"/>
      <c r="U238" s="19">
        <f>IF($V238&lt;&gt;'設定'!$C$4,N(U237),IF(OR(NOT(COUNTIF('商品マスタ'!$B$6:$B$1005,$W238)=0),COUNTIFS('①在庫を貼る'!$V$6:$V$10005,$V238,'①在庫を貼る'!$W$6:$W$10005,$W238)+COUNTIFS('月1回_1ヶ月前の在庫'!$V$6:$V$10005,$V238,'月1回_1ヶ月前の在庫'!$W$6:$W$10005,$W238)&gt;0),N(U237),N(U237)+1))</f>
        <v/>
      </c>
      <c r="V238" s="19">
        <f>IF($B238="","",TEXT($B238,"0000"))</f>
        <v/>
      </c>
      <c r="W238" s="19">
        <f>IF($I238="","",IF(ISNUMBER($I238),TEXT($I238,"0"),$I238))</f>
        <v/>
      </c>
    </row>
    <row r="239">
      <c r="B239" s="25" t="n"/>
      <c r="I239" s="25" t="n"/>
      <c r="U239" s="19">
        <f>IF($V239&lt;&gt;'設定'!$C$4,N(U238),IF(OR(NOT(COUNTIF('商品マスタ'!$B$6:$B$1005,$W239)=0),COUNTIFS('①在庫を貼る'!$V$6:$V$10005,$V239,'①在庫を貼る'!$W$6:$W$10005,$W239)+COUNTIFS('月1回_1ヶ月前の在庫'!$V$6:$V$10005,$V239,'月1回_1ヶ月前の在庫'!$W$6:$W$10005,$W239)&gt;0),N(U238),N(U238)+1))</f>
        <v/>
      </c>
      <c r="V239" s="19">
        <f>IF($B239="","",TEXT($B239,"0000"))</f>
        <v/>
      </c>
      <c r="W239" s="19">
        <f>IF($I239="","",IF(ISNUMBER($I239),TEXT($I239,"0"),$I239))</f>
        <v/>
      </c>
    </row>
    <row r="240">
      <c r="B240" s="25" t="n"/>
      <c r="I240" s="25" t="n"/>
      <c r="U240" s="19">
        <f>IF($V240&lt;&gt;'設定'!$C$4,N(U239),IF(OR(NOT(COUNTIF('商品マスタ'!$B$6:$B$1005,$W240)=0),COUNTIFS('①在庫を貼る'!$V$6:$V$10005,$V240,'①在庫を貼る'!$W$6:$W$10005,$W240)+COUNTIFS('月1回_1ヶ月前の在庫'!$V$6:$V$10005,$V240,'月1回_1ヶ月前の在庫'!$W$6:$W$10005,$W240)&gt;0),N(U239),N(U239)+1))</f>
        <v/>
      </c>
      <c r="V240" s="19">
        <f>IF($B240="","",TEXT($B240,"0000"))</f>
        <v/>
      </c>
      <c r="W240" s="19">
        <f>IF($I240="","",IF(ISNUMBER($I240),TEXT($I240,"0"),$I240))</f>
        <v/>
      </c>
    </row>
    <row r="241">
      <c r="B241" s="25" t="n"/>
      <c r="I241" s="25" t="n"/>
      <c r="U241" s="19">
        <f>IF($V241&lt;&gt;'設定'!$C$4,N(U240),IF(OR(NOT(COUNTIF('商品マスタ'!$B$6:$B$1005,$W241)=0),COUNTIFS('①在庫を貼る'!$V$6:$V$10005,$V241,'①在庫を貼る'!$W$6:$W$10005,$W241)+COUNTIFS('月1回_1ヶ月前の在庫'!$V$6:$V$10005,$V241,'月1回_1ヶ月前の在庫'!$W$6:$W$10005,$W241)&gt;0),N(U240),N(U240)+1))</f>
        <v/>
      </c>
      <c r="V241" s="19">
        <f>IF($B241="","",TEXT($B241,"0000"))</f>
        <v/>
      </c>
      <c r="W241" s="19">
        <f>IF($I241="","",IF(ISNUMBER($I241),TEXT($I241,"0"),$I241))</f>
        <v/>
      </c>
    </row>
    <row r="242">
      <c r="B242" s="25" t="n"/>
      <c r="I242" s="25" t="n"/>
      <c r="U242" s="19">
        <f>IF($V242&lt;&gt;'設定'!$C$4,N(U241),IF(OR(NOT(COUNTIF('商品マスタ'!$B$6:$B$1005,$W242)=0),COUNTIFS('①在庫を貼る'!$V$6:$V$10005,$V242,'①在庫を貼る'!$W$6:$W$10005,$W242)+COUNTIFS('月1回_1ヶ月前の在庫'!$V$6:$V$10005,$V242,'月1回_1ヶ月前の在庫'!$W$6:$W$10005,$W242)&gt;0),N(U241),N(U241)+1))</f>
        <v/>
      </c>
      <c r="V242" s="19">
        <f>IF($B242="","",TEXT($B242,"0000"))</f>
        <v/>
      </c>
      <c r="W242" s="19">
        <f>IF($I242="","",IF(ISNUMBER($I242),TEXT($I242,"0"),$I242))</f>
        <v/>
      </c>
    </row>
    <row r="243">
      <c r="B243" s="25" t="n"/>
      <c r="I243" s="25" t="n"/>
      <c r="U243" s="19">
        <f>IF($V243&lt;&gt;'設定'!$C$4,N(U242),IF(OR(NOT(COUNTIF('商品マスタ'!$B$6:$B$1005,$W243)=0),COUNTIFS('①在庫を貼る'!$V$6:$V$10005,$V243,'①在庫を貼る'!$W$6:$W$10005,$W243)+COUNTIFS('月1回_1ヶ月前の在庫'!$V$6:$V$10005,$V243,'月1回_1ヶ月前の在庫'!$W$6:$W$10005,$W243)&gt;0),N(U242),N(U242)+1))</f>
        <v/>
      </c>
      <c r="V243" s="19">
        <f>IF($B243="","",TEXT($B243,"0000"))</f>
        <v/>
      </c>
      <c r="W243" s="19">
        <f>IF($I243="","",IF(ISNUMBER($I243),TEXT($I243,"0"),$I243))</f>
        <v/>
      </c>
    </row>
    <row r="244">
      <c r="B244" s="25" t="n"/>
      <c r="I244" s="25" t="n"/>
      <c r="U244" s="19">
        <f>IF($V244&lt;&gt;'設定'!$C$4,N(U243),IF(OR(NOT(COUNTIF('商品マスタ'!$B$6:$B$1005,$W244)=0),COUNTIFS('①在庫を貼る'!$V$6:$V$10005,$V244,'①在庫を貼る'!$W$6:$W$10005,$W244)+COUNTIFS('月1回_1ヶ月前の在庫'!$V$6:$V$10005,$V244,'月1回_1ヶ月前の在庫'!$W$6:$W$10005,$W244)&gt;0),N(U243),N(U243)+1))</f>
        <v/>
      </c>
      <c r="V244" s="19">
        <f>IF($B244="","",TEXT($B244,"0000"))</f>
        <v/>
      </c>
      <c r="W244" s="19">
        <f>IF($I244="","",IF(ISNUMBER($I244),TEXT($I244,"0"),$I244))</f>
        <v/>
      </c>
    </row>
    <row r="245">
      <c r="B245" s="25" t="n"/>
      <c r="I245" s="25" t="n"/>
      <c r="U245" s="19">
        <f>IF($V245&lt;&gt;'設定'!$C$4,N(U244),IF(OR(NOT(COUNTIF('商品マスタ'!$B$6:$B$1005,$W245)=0),COUNTIFS('①在庫を貼る'!$V$6:$V$10005,$V245,'①在庫を貼る'!$W$6:$W$10005,$W245)+COUNTIFS('月1回_1ヶ月前の在庫'!$V$6:$V$10005,$V245,'月1回_1ヶ月前の在庫'!$W$6:$W$10005,$W245)&gt;0),N(U244),N(U244)+1))</f>
        <v/>
      </c>
      <c r="V245" s="19">
        <f>IF($B245="","",TEXT($B245,"0000"))</f>
        <v/>
      </c>
      <c r="W245" s="19">
        <f>IF($I245="","",IF(ISNUMBER($I245),TEXT($I245,"0"),$I245))</f>
        <v/>
      </c>
    </row>
    <row r="246">
      <c r="B246" s="25" t="n"/>
      <c r="I246" s="25" t="n"/>
      <c r="U246" s="19">
        <f>IF($V246&lt;&gt;'設定'!$C$4,N(U245),IF(OR(NOT(COUNTIF('商品マスタ'!$B$6:$B$1005,$W246)=0),COUNTIFS('①在庫を貼る'!$V$6:$V$10005,$V246,'①在庫を貼る'!$W$6:$W$10005,$W246)+COUNTIFS('月1回_1ヶ月前の在庫'!$V$6:$V$10005,$V246,'月1回_1ヶ月前の在庫'!$W$6:$W$10005,$W246)&gt;0),N(U245),N(U245)+1))</f>
        <v/>
      </c>
      <c r="V246" s="19">
        <f>IF($B246="","",TEXT($B246,"0000"))</f>
        <v/>
      </c>
      <c r="W246" s="19">
        <f>IF($I246="","",IF(ISNUMBER($I246),TEXT($I246,"0"),$I246))</f>
        <v/>
      </c>
    </row>
    <row r="247">
      <c r="B247" s="25" t="n"/>
      <c r="I247" s="25" t="n"/>
      <c r="U247" s="19">
        <f>IF($V247&lt;&gt;'設定'!$C$4,N(U246),IF(OR(NOT(COUNTIF('商品マスタ'!$B$6:$B$1005,$W247)=0),COUNTIFS('①在庫を貼る'!$V$6:$V$10005,$V247,'①在庫を貼る'!$W$6:$W$10005,$W247)+COUNTIFS('月1回_1ヶ月前の在庫'!$V$6:$V$10005,$V247,'月1回_1ヶ月前の在庫'!$W$6:$W$10005,$W247)&gt;0),N(U246),N(U246)+1))</f>
        <v/>
      </c>
      <c r="V247" s="19">
        <f>IF($B247="","",TEXT($B247,"0000"))</f>
        <v/>
      </c>
      <c r="W247" s="19">
        <f>IF($I247="","",IF(ISNUMBER($I247),TEXT($I247,"0"),$I247))</f>
        <v/>
      </c>
    </row>
    <row r="248">
      <c r="B248" s="25" t="n"/>
      <c r="I248" s="25" t="n"/>
      <c r="U248" s="19">
        <f>IF($V248&lt;&gt;'設定'!$C$4,N(U247),IF(OR(NOT(COUNTIF('商品マスタ'!$B$6:$B$1005,$W248)=0),COUNTIFS('①在庫を貼る'!$V$6:$V$10005,$V248,'①在庫を貼る'!$W$6:$W$10005,$W248)+COUNTIFS('月1回_1ヶ月前の在庫'!$V$6:$V$10005,$V248,'月1回_1ヶ月前の在庫'!$W$6:$W$10005,$W248)&gt;0),N(U247),N(U247)+1))</f>
        <v/>
      </c>
      <c r="V248" s="19">
        <f>IF($B248="","",TEXT($B248,"0000"))</f>
        <v/>
      </c>
      <c r="W248" s="19">
        <f>IF($I248="","",IF(ISNUMBER($I248),TEXT($I248,"0"),$I248))</f>
        <v/>
      </c>
    </row>
    <row r="249">
      <c r="B249" s="25" t="n"/>
      <c r="I249" s="25" t="n"/>
      <c r="U249" s="19">
        <f>IF($V249&lt;&gt;'設定'!$C$4,N(U248),IF(OR(NOT(COUNTIF('商品マスタ'!$B$6:$B$1005,$W249)=0),COUNTIFS('①在庫を貼る'!$V$6:$V$10005,$V249,'①在庫を貼る'!$W$6:$W$10005,$W249)+COUNTIFS('月1回_1ヶ月前の在庫'!$V$6:$V$10005,$V249,'月1回_1ヶ月前の在庫'!$W$6:$W$10005,$W249)&gt;0),N(U248),N(U248)+1))</f>
        <v/>
      </c>
      <c r="V249" s="19">
        <f>IF($B249="","",TEXT($B249,"0000"))</f>
        <v/>
      </c>
      <c r="W249" s="19">
        <f>IF($I249="","",IF(ISNUMBER($I249),TEXT($I249,"0"),$I249))</f>
        <v/>
      </c>
    </row>
    <row r="250">
      <c r="B250" s="25" t="n"/>
      <c r="I250" s="25" t="n"/>
      <c r="U250" s="19">
        <f>IF($V250&lt;&gt;'設定'!$C$4,N(U249),IF(OR(NOT(COUNTIF('商品マスタ'!$B$6:$B$1005,$W250)=0),COUNTIFS('①在庫を貼る'!$V$6:$V$10005,$V250,'①在庫を貼る'!$W$6:$W$10005,$W250)+COUNTIFS('月1回_1ヶ月前の在庫'!$V$6:$V$10005,$V250,'月1回_1ヶ月前の在庫'!$W$6:$W$10005,$W250)&gt;0),N(U249),N(U249)+1))</f>
        <v/>
      </c>
      <c r="V250" s="19">
        <f>IF($B250="","",TEXT($B250,"0000"))</f>
        <v/>
      </c>
      <c r="W250" s="19">
        <f>IF($I250="","",IF(ISNUMBER($I250),TEXT($I250,"0"),$I250))</f>
        <v/>
      </c>
    </row>
    <row r="251">
      <c r="B251" s="25" t="n"/>
      <c r="I251" s="25" t="n"/>
      <c r="U251" s="19">
        <f>IF($V251&lt;&gt;'設定'!$C$4,N(U250),IF(OR(NOT(COUNTIF('商品マスタ'!$B$6:$B$1005,$W251)=0),COUNTIFS('①在庫を貼る'!$V$6:$V$10005,$V251,'①在庫を貼る'!$W$6:$W$10005,$W251)+COUNTIFS('月1回_1ヶ月前の在庫'!$V$6:$V$10005,$V251,'月1回_1ヶ月前の在庫'!$W$6:$W$10005,$W251)&gt;0),N(U250),N(U250)+1))</f>
        <v/>
      </c>
      <c r="V251" s="19">
        <f>IF($B251="","",TEXT($B251,"0000"))</f>
        <v/>
      </c>
      <c r="W251" s="19">
        <f>IF($I251="","",IF(ISNUMBER($I251),TEXT($I251,"0"),$I251))</f>
        <v/>
      </c>
    </row>
    <row r="252">
      <c r="B252" s="25" t="n"/>
      <c r="I252" s="25" t="n"/>
      <c r="U252" s="19">
        <f>IF($V252&lt;&gt;'設定'!$C$4,N(U251),IF(OR(NOT(COUNTIF('商品マスタ'!$B$6:$B$1005,$W252)=0),COUNTIFS('①在庫を貼る'!$V$6:$V$10005,$V252,'①在庫を貼る'!$W$6:$W$10005,$W252)+COUNTIFS('月1回_1ヶ月前の在庫'!$V$6:$V$10005,$V252,'月1回_1ヶ月前の在庫'!$W$6:$W$10005,$W252)&gt;0),N(U251),N(U251)+1))</f>
        <v/>
      </c>
      <c r="V252" s="19">
        <f>IF($B252="","",TEXT($B252,"0000"))</f>
        <v/>
      </c>
      <c r="W252" s="19">
        <f>IF($I252="","",IF(ISNUMBER($I252),TEXT($I252,"0"),$I252))</f>
        <v/>
      </c>
    </row>
    <row r="253">
      <c r="B253" s="25" t="n"/>
      <c r="I253" s="25" t="n"/>
      <c r="U253" s="19">
        <f>IF($V253&lt;&gt;'設定'!$C$4,N(U252),IF(OR(NOT(COUNTIF('商品マスタ'!$B$6:$B$1005,$W253)=0),COUNTIFS('①在庫を貼る'!$V$6:$V$10005,$V253,'①在庫を貼る'!$W$6:$W$10005,$W253)+COUNTIFS('月1回_1ヶ月前の在庫'!$V$6:$V$10005,$V253,'月1回_1ヶ月前の在庫'!$W$6:$W$10005,$W253)&gt;0),N(U252),N(U252)+1))</f>
        <v/>
      </c>
      <c r="V253" s="19">
        <f>IF($B253="","",TEXT($B253,"0000"))</f>
        <v/>
      </c>
      <c r="W253" s="19">
        <f>IF($I253="","",IF(ISNUMBER($I253),TEXT($I253,"0"),$I253))</f>
        <v/>
      </c>
    </row>
    <row r="254">
      <c r="B254" s="25" t="n"/>
      <c r="I254" s="25" t="n"/>
      <c r="U254" s="19">
        <f>IF($V254&lt;&gt;'設定'!$C$4,N(U253),IF(OR(NOT(COUNTIF('商品マスタ'!$B$6:$B$1005,$W254)=0),COUNTIFS('①在庫を貼る'!$V$6:$V$10005,$V254,'①在庫を貼る'!$W$6:$W$10005,$W254)+COUNTIFS('月1回_1ヶ月前の在庫'!$V$6:$V$10005,$V254,'月1回_1ヶ月前の在庫'!$W$6:$W$10005,$W254)&gt;0),N(U253),N(U253)+1))</f>
        <v/>
      </c>
      <c r="V254" s="19">
        <f>IF($B254="","",TEXT($B254,"0000"))</f>
        <v/>
      </c>
      <c r="W254" s="19">
        <f>IF($I254="","",IF(ISNUMBER($I254),TEXT($I254,"0"),$I254))</f>
        <v/>
      </c>
    </row>
    <row r="255">
      <c r="B255" s="25" t="n"/>
      <c r="I255" s="25" t="n"/>
      <c r="U255" s="19">
        <f>IF($V255&lt;&gt;'設定'!$C$4,N(U254),IF(OR(NOT(COUNTIF('商品マスタ'!$B$6:$B$1005,$W255)=0),COUNTIFS('①在庫を貼る'!$V$6:$V$10005,$V255,'①在庫を貼る'!$W$6:$W$10005,$W255)+COUNTIFS('月1回_1ヶ月前の在庫'!$V$6:$V$10005,$V255,'月1回_1ヶ月前の在庫'!$W$6:$W$10005,$W255)&gt;0),N(U254),N(U254)+1))</f>
        <v/>
      </c>
      <c r="V255" s="19">
        <f>IF($B255="","",TEXT($B255,"0000"))</f>
        <v/>
      </c>
      <c r="W255" s="19">
        <f>IF($I255="","",IF(ISNUMBER($I255),TEXT($I255,"0"),$I255))</f>
        <v/>
      </c>
    </row>
    <row r="256">
      <c r="B256" s="25" t="n"/>
      <c r="I256" s="25" t="n"/>
      <c r="U256" s="19">
        <f>IF($V256&lt;&gt;'設定'!$C$4,N(U255),IF(OR(NOT(COUNTIF('商品マスタ'!$B$6:$B$1005,$W256)=0),COUNTIFS('①在庫を貼る'!$V$6:$V$10005,$V256,'①在庫を貼る'!$W$6:$W$10005,$W256)+COUNTIFS('月1回_1ヶ月前の在庫'!$V$6:$V$10005,$V256,'月1回_1ヶ月前の在庫'!$W$6:$W$10005,$W256)&gt;0),N(U255),N(U255)+1))</f>
        <v/>
      </c>
      <c r="V256" s="19">
        <f>IF($B256="","",TEXT($B256,"0000"))</f>
        <v/>
      </c>
      <c r="W256" s="19">
        <f>IF($I256="","",IF(ISNUMBER($I256),TEXT($I256,"0"),$I256))</f>
        <v/>
      </c>
    </row>
    <row r="257">
      <c r="B257" s="25" t="n"/>
      <c r="I257" s="25" t="n"/>
      <c r="U257" s="19">
        <f>IF($V257&lt;&gt;'設定'!$C$4,N(U256),IF(OR(NOT(COUNTIF('商品マスタ'!$B$6:$B$1005,$W257)=0),COUNTIFS('①在庫を貼る'!$V$6:$V$10005,$V257,'①在庫を貼る'!$W$6:$W$10005,$W257)+COUNTIFS('月1回_1ヶ月前の在庫'!$V$6:$V$10005,$V257,'月1回_1ヶ月前の在庫'!$W$6:$W$10005,$W257)&gt;0),N(U256),N(U256)+1))</f>
        <v/>
      </c>
      <c r="V257" s="19">
        <f>IF($B257="","",TEXT($B257,"0000"))</f>
        <v/>
      </c>
      <c r="W257" s="19">
        <f>IF($I257="","",IF(ISNUMBER($I257),TEXT($I257,"0"),$I257))</f>
        <v/>
      </c>
    </row>
    <row r="258">
      <c r="B258" s="25" t="n"/>
      <c r="I258" s="25" t="n"/>
      <c r="U258" s="19">
        <f>IF($V258&lt;&gt;'設定'!$C$4,N(U257),IF(OR(NOT(COUNTIF('商品マスタ'!$B$6:$B$1005,$W258)=0),COUNTIFS('①在庫を貼る'!$V$6:$V$10005,$V258,'①在庫を貼る'!$W$6:$W$10005,$W258)+COUNTIFS('月1回_1ヶ月前の在庫'!$V$6:$V$10005,$V258,'月1回_1ヶ月前の在庫'!$W$6:$W$10005,$W258)&gt;0),N(U257),N(U257)+1))</f>
        <v/>
      </c>
      <c r="V258" s="19">
        <f>IF($B258="","",TEXT($B258,"0000"))</f>
        <v/>
      </c>
      <c r="W258" s="19">
        <f>IF($I258="","",IF(ISNUMBER($I258),TEXT($I258,"0"),$I258))</f>
        <v/>
      </c>
    </row>
    <row r="259">
      <c r="B259" s="25" t="n"/>
      <c r="I259" s="25" t="n"/>
      <c r="U259" s="19">
        <f>IF($V259&lt;&gt;'設定'!$C$4,N(U258),IF(OR(NOT(COUNTIF('商品マスタ'!$B$6:$B$1005,$W259)=0),COUNTIFS('①在庫を貼る'!$V$6:$V$10005,$V259,'①在庫を貼る'!$W$6:$W$10005,$W259)+COUNTIFS('月1回_1ヶ月前の在庫'!$V$6:$V$10005,$V259,'月1回_1ヶ月前の在庫'!$W$6:$W$10005,$W259)&gt;0),N(U258),N(U258)+1))</f>
        <v/>
      </c>
      <c r="V259" s="19">
        <f>IF($B259="","",TEXT($B259,"0000"))</f>
        <v/>
      </c>
      <c r="W259" s="19">
        <f>IF($I259="","",IF(ISNUMBER($I259),TEXT($I259,"0"),$I259))</f>
        <v/>
      </c>
    </row>
    <row r="260">
      <c r="B260" s="25" t="n"/>
      <c r="I260" s="25" t="n"/>
      <c r="U260" s="19">
        <f>IF($V260&lt;&gt;'設定'!$C$4,N(U259),IF(OR(NOT(COUNTIF('商品マスタ'!$B$6:$B$1005,$W260)=0),COUNTIFS('①在庫を貼る'!$V$6:$V$10005,$V260,'①在庫を貼る'!$W$6:$W$10005,$W260)+COUNTIFS('月1回_1ヶ月前の在庫'!$V$6:$V$10005,$V260,'月1回_1ヶ月前の在庫'!$W$6:$W$10005,$W260)&gt;0),N(U259),N(U259)+1))</f>
        <v/>
      </c>
      <c r="V260" s="19">
        <f>IF($B260="","",TEXT($B260,"0000"))</f>
        <v/>
      </c>
      <c r="W260" s="19">
        <f>IF($I260="","",IF(ISNUMBER($I260),TEXT($I260,"0"),$I260))</f>
        <v/>
      </c>
    </row>
    <row r="261">
      <c r="B261" s="25" t="n"/>
      <c r="I261" s="25" t="n"/>
      <c r="U261" s="19">
        <f>IF($V261&lt;&gt;'設定'!$C$4,N(U260),IF(OR(NOT(COUNTIF('商品マスタ'!$B$6:$B$1005,$W261)=0),COUNTIFS('①在庫を貼る'!$V$6:$V$10005,$V261,'①在庫を貼る'!$W$6:$W$10005,$W261)+COUNTIFS('月1回_1ヶ月前の在庫'!$V$6:$V$10005,$V261,'月1回_1ヶ月前の在庫'!$W$6:$W$10005,$W261)&gt;0),N(U260),N(U260)+1))</f>
        <v/>
      </c>
      <c r="V261" s="19">
        <f>IF($B261="","",TEXT($B261,"0000"))</f>
        <v/>
      </c>
      <c r="W261" s="19">
        <f>IF($I261="","",IF(ISNUMBER($I261),TEXT($I261,"0"),$I261))</f>
        <v/>
      </c>
    </row>
    <row r="262">
      <c r="B262" s="25" t="n"/>
      <c r="I262" s="25" t="n"/>
      <c r="U262" s="19">
        <f>IF($V262&lt;&gt;'設定'!$C$4,N(U261),IF(OR(NOT(COUNTIF('商品マスタ'!$B$6:$B$1005,$W262)=0),COUNTIFS('①在庫を貼る'!$V$6:$V$10005,$V262,'①在庫を貼る'!$W$6:$W$10005,$W262)+COUNTIFS('月1回_1ヶ月前の在庫'!$V$6:$V$10005,$V262,'月1回_1ヶ月前の在庫'!$W$6:$W$10005,$W262)&gt;0),N(U261),N(U261)+1))</f>
        <v/>
      </c>
      <c r="V262" s="19">
        <f>IF($B262="","",TEXT($B262,"0000"))</f>
        <v/>
      </c>
      <c r="W262" s="19">
        <f>IF($I262="","",IF(ISNUMBER($I262),TEXT($I262,"0"),$I262))</f>
        <v/>
      </c>
    </row>
    <row r="263">
      <c r="B263" s="25" t="n"/>
      <c r="I263" s="25" t="n"/>
      <c r="U263" s="19">
        <f>IF($V263&lt;&gt;'設定'!$C$4,N(U262),IF(OR(NOT(COUNTIF('商品マスタ'!$B$6:$B$1005,$W263)=0),COUNTIFS('①在庫を貼る'!$V$6:$V$10005,$V263,'①在庫を貼る'!$W$6:$W$10005,$W263)+COUNTIFS('月1回_1ヶ月前の在庫'!$V$6:$V$10005,$V263,'月1回_1ヶ月前の在庫'!$W$6:$W$10005,$W263)&gt;0),N(U262),N(U262)+1))</f>
        <v/>
      </c>
      <c r="V263" s="19">
        <f>IF($B263="","",TEXT($B263,"0000"))</f>
        <v/>
      </c>
      <c r="W263" s="19">
        <f>IF($I263="","",IF(ISNUMBER($I263),TEXT($I263,"0"),$I263))</f>
        <v/>
      </c>
    </row>
    <row r="264">
      <c r="B264" s="25" t="n"/>
      <c r="I264" s="25" t="n"/>
      <c r="U264" s="19">
        <f>IF($V264&lt;&gt;'設定'!$C$4,N(U263),IF(OR(NOT(COUNTIF('商品マスタ'!$B$6:$B$1005,$W264)=0),COUNTIFS('①在庫を貼る'!$V$6:$V$10005,$V264,'①在庫を貼る'!$W$6:$W$10005,$W264)+COUNTIFS('月1回_1ヶ月前の在庫'!$V$6:$V$10005,$V264,'月1回_1ヶ月前の在庫'!$W$6:$W$10005,$W264)&gt;0),N(U263),N(U263)+1))</f>
        <v/>
      </c>
      <c r="V264" s="19">
        <f>IF($B264="","",TEXT($B264,"0000"))</f>
        <v/>
      </c>
      <c r="W264" s="19">
        <f>IF($I264="","",IF(ISNUMBER($I264),TEXT($I264,"0"),$I264))</f>
        <v/>
      </c>
    </row>
    <row r="265">
      <c r="B265" s="25" t="n"/>
      <c r="I265" s="25" t="n"/>
      <c r="U265" s="19">
        <f>IF($V265&lt;&gt;'設定'!$C$4,N(U264),IF(OR(NOT(COUNTIF('商品マスタ'!$B$6:$B$1005,$W265)=0),COUNTIFS('①在庫を貼る'!$V$6:$V$10005,$V265,'①在庫を貼る'!$W$6:$W$10005,$W265)+COUNTIFS('月1回_1ヶ月前の在庫'!$V$6:$V$10005,$V265,'月1回_1ヶ月前の在庫'!$W$6:$W$10005,$W265)&gt;0),N(U264),N(U264)+1))</f>
        <v/>
      </c>
      <c r="V265" s="19">
        <f>IF($B265="","",TEXT($B265,"0000"))</f>
        <v/>
      </c>
      <c r="W265" s="19">
        <f>IF($I265="","",IF(ISNUMBER($I265),TEXT($I265,"0"),$I265))</f>
        <v/>
      </c>
    </row>
    <row r="266">
      <c r="B266" s="25" t="n"/>
      <c r="I266" s="25" t="n"/>
      <c r="U266" s="19">
        <f>IF($V266&lt;&gt;'設定'!$C$4,N(U265),IF(OR(NOT(COUNTIF('商品マスタ'!$B$6:$B$1005,$W266)=0),COUNTIFS('①在庫を貼る'!$V$6:$V$10005,$V266,'①在庫を貼る'!$W$6:$W$10005,$W266)+COUNTIFS('月1回_1ヶ月前の在庫'!$V$6:$V$10005,$V266,'月1回_1ヶ月前の在庫'!$W$6:$W$10005,$W266)&gt;0),N(U265),N(U265)+1))</f>
        <v/>
      </c>
      <c r="V266" s="19">
        <f>IF($B266="","",TEXT($B266,"0000"))</f>
        <v/>
      </c>
      <c r="W266" s="19">
        <f>IF($I266="","",IF(ISNUMBER($I266),TEXT($I266,"0"),$I266))</f>
        <v/>
      </c>
    </row>
    <row r="267">
      <c r="B267" s="25" t="n"/>
      <c r="I267" s="25" t="n"/>
      <c r="U267" s="19">
        <f>IF($V267&lt;&gt;'設定'!$C$4,N(U266),IF(OR(NOT(COUNTIF('商品マスタ'!$B$6:$B$1005,$W267)=0),COUNTIFS('①在庫を貼る'!$V$6:$V$10005,$V267,'①在庫を貼る'!$W$6:$W$10005,$W267)+COUNTIFS('月1回_1ヶ月前の在庫'!$V$6:$V$10005,$V267,'月1回_1ヶ月前の在庫'!$W$6:$W$10005,$W267)&gt;0),N(U266),N(U266)+1))</f>
        <v/>
      </c>
      <c r="V267" s="19">
        <f>IF($B267="","",TEXT($B267,"0000"))</f>
        <v/>
      </c>
      <c r="W267" s="19">
        <f>IF($I267="","",IF(ISNUMBER($I267),TEXT($I267,"0"),$I267))</f>
        <v/>
      </c>
    </row>
    <row r="268">
      <c r="B268" s="25" t="n"/>
      <c r="I268" s="25" t="n"/>
      <c r="U268" s="19">
        <f>IF($V268&lt;&gt;'設定'!$C$4,N(U267),IF(OR(NOT(COUNTIF('商品マスタ'!$B$6:$B$1005,$W268)=0),COUNTIFS('①在庫を貼る'!$V$6:$V$10005,$V268,'①在庫を貼る'!$W$6:$W$10005,$W268)+COUNTIFS('月1回_1ヶ月前の在庫'!$V$6:$V$10005,$V268,'月1回_1ヶ月前の在庫'!$W$6:$W$10005,$W268)&gt;0),N(U267),N(U267)+1))</f>
        <v/>
      </c>
      <c r="V268" s="19">
        <f>IF($B268="","",TEXT($B268,"0000"))</f>
        <v/>
      </c>
      <c r="W268" s="19">
        <f>IF($I268="","",IF(ISNUMBER($I268),TEXT($I268,"0"),$I268))</f>
        <v/>
      </c>
    </row>
    <row r="269">
      <c r="B269" s="25" t="n"/>
      <c r="I269" s="25" t="n"/>
      <c r="U269" s="19">
        <f>IF($V269&lt;&gt;'設定'!$C$4,N(U268),IF(OR(NOT(COUNTIF('商品マスタ'!$B$6:$B$1005,$W269)=0),COUNTIFS('①在庫を貼る'!$V$6:$V$10005,$V269,'①在庫を貼る'!$W$6:$W$10005,$W269)+COUNTIFS('月1回_1ヶ月前の在庫'!$V$6:$V$10005,$V269,'月1回_1ヶ月前の在庫'!$W$6:$W$10005,$W269)&gt;0),N(U268),N(U268)+1))</f>
        <v/>
      </c>
      <c r="V269" s="19">
        <f>IF($B269="","",TEXT($B269,"0000"))</f>
        <v/>
      </c>
      <c r="W269" s="19">
        <f>IF($I269="","",IF(ISNUMBER($I269),TEXT($I269,"0"),$I269))</f>
        <v/>
      </c>
    </row>
    <row r="270">
      <c r="B270" s="25" t="n"/>
      <c r="I270" s="25" t="n"/>
      <c r="U270" s="19">
        <f>IF($V270&lt;&gt;'設定'!$C$4,N(U269),IF(OR(NOT(COUNTIF('商品マスタ'!$B$6:$B$1005,$W270)=0),COUNTIFS('①在庫を貼る'!$V$6:$V$10005,$V270,'①在庫を貼る'!$W$6:$W$10005,$W270)+COUNTIFS('月1回_1ヶ月前の在庫'!$V$6:$V$10005,$V270,'月1回_1ヶ月前の在庫'!$W$6:$W$10005,$W270)&gt;0),N(U269),N(U269)+1))</f>
        <v/>
      </c>
      <c r="V270" s="19">
        <f>IF($B270="","",TEXT($B270,"0000"))</f>
        <v/>
      </c>
      <c r="W270" s="19">
        <f>IF($I270="","",IF(ISNUMBER($I270),TEXT($I270,"0"),$I270))</f>
        <v/>
      </c>
    </row>
    <row r="271">
      <c r="B271" s="25" t="n"/>
      <c r="I271" s="25" t="n"/>
      <c r="U271" s="19">
        <f>IF($V271&lt;&gt;'設定'!$C$4,N(U270),IF(OR(NOT(COUNTIF('商品マスタ'!$B$6:$B$1005,$W271)=0),COUNTIFS('①在庫を貼る'!$V$6:$V$10005,$V271,'①在庫を貼る'!$W$6:$W$10005,$W271)+COUNTIFS('月1回_1ヶ月前の在庫'!$V$6:$V$10005,$V271,'月1回_1ヶ月前の在庫'!$W$6:$W$10005,$W271)&gt;0),N(U270),N(U270)+1))</f>
        <v/>
      </c>
      <c r="V271" s="19">
        <f>IF($B271="","",TEXT($B271,"0000"))</f>
        <v/>
      </c>
      <c r="W271" s="19">
        <f>IF($I271="","",IF(ISNUMBER($I271),TEXT($I271,"0"),$I271))</f>
        <v/>
      </c>
    </row>
    <row r="272">
      <c r="B272" s="25" t="n"/>
      <c r="I272" s="25" t="n"/>
      <c r="U272" s="19">
        <f>IF($V272&lt;&gt;'設定'!$C$4,N(U271),IF(OR(NOT(COUNTIF('商品マスタ'!$B$6:$B$1005,$W272)=0),COUNTIFS('①在庫を貼る'!$V$6:$V$10005,$V272,'①在庫を貼る'!$W$6:$W$10005,$W272)+COUNTIFS('月1回_1ヶ月前の在庫'!$V$6:$V$10005,$V272,'月1回_1ヶ月前の在庫'!$W$6:$W$10005,$W272)&gt;0),N(U271),N(U271)+1))</f>
        <v/>
      </c>
      <c r="V272" s="19">
        <f>IF($B272="","",TEXT($B272,"0000"))</f>
        <v/>
      </c>
      <c r="W272" s="19">
        <f>IF($I272="","",IF(ISNUMBER($I272),TEXT($I272,"0"),$I272))</f>
        <v/>
      </c>
    </row>
    <row r="273">
      <c r="B273" s="25" t="n"/>
      <c r="I273" s="25" t="n"/>
      <c r="U273" s="19">
        <f>IF($V273&lt;&gt;'設定'!$C$4,N(U272),IF(OR(NOT(COUNTIF('商品マスタ'!$B$6:$B$1005,$W273)=0),COUNTIFS('①在庫を貼る'!$V$6:$V$10005,$V273,'①在庫を貼る'!$W$6:$W$10005,$W273)+COUNTIFS('月1回_1ヶ月前の在庫'!$V$6:$V$10005,$V273,'月1回_1ヶ月前の在庫'!$W$6:$W$10005,$W273)&gt;0),N(U272),N(U272)+1))</f>
        <v/>
      </c>
      <c r="V273" s="19">
        <f>IF($B273="","",TEXT($B273,"0000"))</f>
        <v/>
      </c>
      <c r="W273" s="19">
        <f>IF($I273="","",IF(ISNUMBER($I273),TEXT($I273,"0"),$I273))</f>
        <v/>
      </c>
    </row>
    <row r="274">
      <c r="B274" s="25" t="n"/>
      <c r="I274" s="25" t="n"/>
      <c r="U274" s="19">
        <f>IF($V274&lt;&gt;'設定'!$C$4,N(U273),IF(OR(NOT(COUNTIF('商品マスタ'!$B$6:$B$1005,$W274)=0),COUNTIFS('①在庫を貼る'!$V$6:$V$10005,$V274,'①在庫を貼る'!$W$6:$W$10005,$W274)+COUNTIFS('月1回_1ヶ月前の在庫'!$V$6:$V$10005,$V274,'月1回_1ヶ月前の在庫'!$W$6:$W$10005,$W274)&gt;0),N(U273),N(U273)+1))</f>
        <v/>
      </c>
      <c r="V274" s="19">
        <f>IF($B274="","",TEXT($B274,"0000"))</f>
        <v/>
      </c>
      <c r="W274" s="19">
        <f>IF($I274="","",IF(ISNUMBER($I274),TEXT($I274,"0"),$I274))</f>
        <v/>
      </c>
    </row>
    <row r="275">
      <c r="B275" s="25" t="n"/>
      <c r="I275" s="25" t="n"/>
      <c r="U275" s="19">
        <f>IF($V275&lt;&gt;'設定'!$C$4,N(U274),IF(OR(NOT(COUNTIF('商品マスタ'!$B$6:$B$1005,$W275)=0),COUNTIFS('①在庫を貼る'!$V$6:$V$10005,$V275,'①在庫を貼る'!$W$6:$W$10005,$W275)+COUNTIFS('月1回_1ヶ月前の在庫'!$V$6:$V$10005,$V275,'月1回_1ヶ月前の在庫'!$W$6:$W$10005,$W275)&gt;0),N(U274),N(U274)+1))</f>
        <v/>
      </c>
      <c r="V275" s="19">
        <f>IF($B275="","",TEXT($B275,"0000"))</f>
        <v/>
      </c>
      <c r="W275" s="19">
        <f>IF($I275="","",IF(ISNUMBER($I275),TEXT($I275,"0"),$I275))</f>
        <v/>
      </c>
    </row>
    <row r="276">
      <c r="B276" s="25" t="n"/>
      <c r="I276" s="25" t="n"/>
      <c r="U276" s="19">
        <f>IF($V276&lt;&gt;'設定'!$C$4,N(U275),IF(OR(NOT(COUNTIF('商品マスタ'!$B$6:$B$1005,$W276)=0),COUNTIFS('①在庫を貼る'!$V$6:$V$10005,$V276,'①在庫を貼る'!$W$6:$W$10005,$W276)+COUNTIFS('月1回_1ヶ月前の在庫'!$V$6:$V$10005,$V276,'月1回_1ヶ月前の在庫'!$W$6:$W$10005,$W276)&gt;0),N(U275),N(U275)+1))</f>
        <v/>
      </c>
      <c r="V276" s="19">
        <f>IF($B276="","",TEXT($B276,"0000"))</f>
        <v/>
      </c>
      <c r="W276" s="19">
        <f>IF($I276="","",IF(ISNUMBER($I276),TEXT($I276,"0"),$I276))</f>
        <v/>
      </c>
    </row>
    <row r="277">
      <c r="B277" s="25" t="n"/>
      <c r="I277" s="25" t="n"/>
      <c r="U277" s="19">
        <f>IF($V277&lt;&gt;'設定'!$C$4,N(U276),IF(OR(NOT(COUNTIF('商品マスタ'!$B$6:$B$1005,$W277)=0),COUNTIFS('①在庫を貼る'!$V$6:$V$10005,$V277,'①在庫を貼る'!$W$6:$W$10005,$W277)+COUNTIFS('月1回_1ヶ月前の在庫'!$V$6:$V$10005,$V277,'月1回_1ヶ月前の在庫'!$W$6:$W$10005,$W277)&gt;0),N(U276),N(U276)+1))</f>
        <v/>
      </c>
      <c r="V277" s="19">
        <f>IF($B277="","",TEXT($B277,"0000"))</f>
        <v/>
      </c>
      <c r="W277" s="19">
        <f>IF($I277="","",IF(ISNUMBER($I277),TEXT($I277,"0"),$I277))</f>
        <v/>
      </c>
    </row>
    <row r="278">
      <c r="B278" s="25" t="n"/>
      <c r="I278" s="25" t="n"/>
      <c r="U278" s="19">
        <f>IF($V278&lt;&gt;'設定'!$C$4,N(U277),IF(OR(NOT(COUNTIF('商品マスタ'!$B$6:$B$1005,$W278)=0),COUNTIFS('①在庫を貼る'!$V$6:$V$10005,$V278,'①在庫を貼る'!$W$6:$W$10005,$W278)+COUNTIFS('月1回_1ヶ月前の在庫'!$V$6:$V$10005,$V278,'月1回_1ヶ月前の在庫'!$W$6:$W$10005,$W278)&gt;0),N(U277),N(U277)+1))</f>
        <v/>
      </c>
      <c r="V278" s="19">
        <f>IF($B278="","",TEXT($B278,"0000"))</f>
        <v/>
      </c>
      <c r="W278" s="19">
        <f>IF($I278="","",IF(ISNUMBER($I278),TEXT($I278,"0"),$I278))</f>
        <v/>
      </c>
    </row>
    <row r="279">
      <c r="B279" s="25" t="n"/>
      <c r="I279" s="25" t="n"/>
      <c r="U279" s="19">
        <f>IF($V279&lt;&gt;'設定'!$C$4,N(U278),IF(OR(NOT(COUNTIF('商品マスタ'!$B$6:$B$1005,$W279)=0),COUNTIFS('①在庫を貼る'!$V$6:$V$10005,$V279,'①在庫を貼る'!$W$6:$W$10005,$W279)+COUNTIFS('月1回_1ヶ月前の在庫'!$V$6:$V$10005,$V279,'月1回_1ヶ月前の在庫'!$W$6:$W$10005,$W279)&gt;0),N(U278),N(U278)+1))</f>
        <v/>
      </c>
      <c r="V279" s="19">
        <f>IF($B279="","",TEXT($B279,"0000"))</f>
        <v/>
      </c>
      <c r="W279" s="19">
        <f>IF($I279="","",IF(ISNUMBER($I279),TEXT($I279,"0"),$I279))</f>
        <v/>
      </c>
    </row>
    <row r="280">
      <c r="B280" s="25" t="n"/>
      <c r="I280" s="25" t="n"/>
      <c r="U280" s="19">
        <f>IF($V280&lt;&gt;'設定'!$C$4,N(U279),IF(OR(NOT(COUNTIF('商品マスタ'!$B$6:$B$1005,$W280)=0),COUNTIFS('①在庫を貼る'!$V$6:$V$10005,$V280,'①在庫を貼る'!$W$6:$W$10005,$W280)+COUNTIFS('月1回_1ヶ月前の在庫'!$V$6:$V$10005,$V280,'月1回_1ヶ月前の在庫'!$W$6:$W$10005,$W280)&gt;0),N(U279),N(U279)+1))</f>
        <v/>
      </c>
      <c r="V280" s="19">
        <f>IF($B280="","",TEXT($B280,"0000"))</f>
        <v/>
      </c>
      <c r="W280" s="19">
        <f>IF($I280="","",IF(ISNUMBER($I280),TEXT($I280,"0"),$I280))</f>
        <v/>
      </c>
    </row>
    <row r="281">
      <c r="B281" s="25" t="n"/>
      <c r="I281" s="25" t="n"/>
      <c r="U281" s="19">
        <f>IF($V281&lt;&gt;'設定'!$C$4,N(U280),IF(OR(NOT(COUNTIF('商品マスタ'!$B$6:$B$1005,$W281)=0),COUNTIFS('①在庫を貼る'!$V$6:$V$10005,$V281,'①在庫を貼る'!$W$6:$W$10005,$W281)+COUNTIFS('月1回_1ヶ月前の在庫'!$V$6:$V$10005,$V281,'月1回_1ヶ月前の在庫'!$W$6:$W$10005,$W281)&gt;0),N(U280),N(U280)+1))</f>
        <v/>
      </c>
      <c r="V281" s="19">
        <f>IF($B281="","",TEXT($B281,"0000"))</f>
        <v/>
      </c>
      <c r="W281" s="19">
        <f>IF($I281="","",IF(ISNUMBER($I281),TEXT($I281,"0"),$I281))</f>
        <v/>
      </c>
    </row>
    <row r="282">
      <c r="B282" s="25" t="n"/>
      <c r="I282" s="25" t="n"/>
      <c r="U282" s="19">
        <f>IF($V282&lt;&gt;'設定'!$C$4,N(U281),IF(OR(NOT(COUNTIF('商品マスタ'!$B$6:$B$1005,$W282)=0),COUNTIFS('①在庫を貼る'!$V$6:$V$10005,$V282,'①在庫を貼る'!$W$6:$W$10005,$W282)+COUNTIFS('月1回_1ヶ月前の在庫'!$V$6:$V$10005,$V282,'月1回_1ヶ月前の在庫'!$W$6:$W$10005,$W282)&gt;0),N(U281),N(U281)+1))</f>
        <v/>
      </c>
      <c r="V282" s="19">
        <f>IF($B282="","",TEXT($B282,"0000"))</f>
        <v/>
      </c>
      <c r="W282" s="19">
        <f>IF($I282="","",IF(ISNUMBER($I282),TEXT($I282,"0"),$I282))</f>
        <v/>
      </c>
    </row>
    <row r="283">
      <c r="B283" s="25" t="n"/>
      <c r="I283" s="25" t="n"/>
      <c r="U283" s="19">
        <f>IF($V283&lt;&gt;'設定'!$C$4,N(U282),IF(OR(NOT(COUNTIF('商品マスタ'!$B$6:$B$1005,$W283)=0),COUNTIFS('①在庫を貼る'!$V$6:$V$10005,$V283,'①在庫を貼る'!$W$6:$W$10005,$W283)+COUNTIFS('月1回_1ヶ月前の在庫'!$V$6:$V$10005,$V283,'月1回_1ヶ月前の在庫'!$W$6:$W$10005,$W283)&gt;0),N(U282),N(U282)+1))</f>
        <v/>
      </c>
      <c r="V283" s="19">
        <f>IF($B283="","",TEXT($B283,"0000"))</f>
        <v/>
      </c>
      <c r="W283" s="19">
        <f>IF($I283="","",IF(ISNUMBER($I283),TEXT($I283,"0"),$I283))</f>
        <v/>
      </c>
    </row>
    <row r="284">
      <c r="B284" s="25" t="n"/>
      <c r="I284" s="25" t="n"/>
      <c r="U284" s="19">
        <f>IF($V284&lt;&gt;'設定'!$C$4,N(U283),IF(OR(NOT(COUNTIF('商品マスタ'!$B$6:$B$1005,$W284)=0),COUNTIFS('①在庫を貼る'!$V$6:$V$10005,$V284,'①在庫を貼る'!$W$6:$W$10005,$W284)+COUNTIFS('月1回_1ヶ月前の在庫'!$V$6:$V$10005,$V284,'月1回_1ヶ月前の在庫'!$W$6:$W$10005,$W284)&gt;0),N(U283),N(U283)+1))</f>
        <v/>
      </c>
      <c r="V284" s="19">
        <f>IF($B284="","",TEXT($B284,"0000"))</f>
        <v/>
      </c>
      <c r="W284" s="19">
        <f>IF($I284="","",IF(ISNUMBER($I284),TEXT($I284,"0"),$I284))</f>
        <v/>
      </c>
    </row>
    <row r="285">
      <c r="B285" s="25" t="n"/>
      <c r="I285" s="25" t="n"/>
      <c r="U285" s="19">
        <f>IF($V285&lt;&gt;'設定'!$C$4,N(U284),IF(OR(NOT(COUNTIF('商品マスタ'!$B$6:$B$1005,$W285)=0),COUNTIFS('①在庫を貼る'!$V$6:$V$10005,$V285,'①在庫を貼る'!$W$6:$W$10005,$W285)+COUNTIFS('月1回_1ヶ月前の在庫'!$V$6:$V$10005,$V285,'月1回_1ヶ月前の在庫'!$W$6:$W$10005,$W285)&gt;0),N(U284),N(U284)+1))</f>
        <v/>
      </c>
      <c r="V285" s="19">
        <f>IF($B285="","",TEXT($B285,"0000"))</f>
        <v/>
      </c>
      <c r="W285" s="19">
        <f>IF($I285="","",IF(ISNUMBER($I285),TEXT($I285,"0"),$I285))</f>
        <v/>
      </c>
    </row>
    <row r="286">
      <c r="B286" s="25" t="n"/>
      <c r="I286" s="25" t="n"/>
      <c r="U286" s="19">
        <f>IF($V286&lt;&gt;'設定'!$C$4,N(U285),IF(OR(NOT(COUNTIF('商品マスタ'!$B$6:$B$1005,$W286)=0),COUNTIFS('①在庫を貼る'!$V$6:$V$10005,$V286,'①在庫を貼る'!$W$6:$W$10005,$W286)+COUNTIFS('月1回_1ヶ月前の在庫'!$V$6:$V$10005,$V286,'月1回_1ヶ月前の在庫'!$W$6:$W$10005,$W286)&gt;0),N(U285),N(U285)+1))</f>
        <v/>
      </c>
      <c r="V286" s="19">
        <f>IF($B286="","",TEXT($B286,"0000"))</f>
        <v/>
      </c>
      <c r="W286" s="19">
        <f>IF($I286="","",IF(ISNUMBER($I286),TEXT($I286,"0"),$I286))</f>
        <v/>
      </c>
    </row>
    <row r="287">
      <c r="B287" s="25" t="n"/>
      <c r="I287" s="25" t="n"/>
      <c r="U287" s="19">
        <f>IF($V287&lt;&gt;'設定'!$C$4,N(U286),IF(OR(NOT(COUNTIF('商品マスタ'!$B$6:$B$1005,$W287)=0),COUNTIFS('①在庫を貼る'!$V$6:$V$10005,$V287,'①在庫を貼る'!$W$6:$W$10005,$W287)+COUNTIFS('月1回_1ヶ月前の在庫'!$V$6:$V$10005,$V287,'月1回_1ヶ月前の在庫'!$W$6:$W$10005,$W287)&gt;0),N(U286),N(U286)+1))</f>
        <v/>
      </c>
      <c r="V287" s="19">
        <f>IF($B287="","",TEXT($B287,"0000"))</f>
        <v/>
      </c>
      <c r="W287" s="19">
        <f>IF($I287="","",IF(ISNUMBER($I287),TEXT($I287,"0"),$I287))</f>
        <v/>
      </c>
    </row>
    <row r="288">
      <c r="B288" s="25" t="n"/>
      <c r="I288" s="25" t="n"/>
      <c r="U288" s="19">
        <f>IF($V288&lt;&gt;'設定'!$C$4,N(U287),IF(OR(NOT(COUNTIF('商品マスタ'!$B$6:$B$1005,$W288)=0),COUNTIFS('①在庫を貼る'!$V$6:$V$10005,$V288,'①在庫を貼る'!$W$6:$W$10005,$W288)+COUNTIFS('月1回_1ヶ月前の在庫'!$V$6:$V$10005,$V288,'月1回_1ヶ月前の在庫'!$W$6:$W$10005,$W288)&gt;0),N(U287),N(U287)+1))</f>
        <v/>
      </c>
      <c r="V288" s="19">
        <f>IF($B288="","",TEXT($B288,"0000"))</f>
        <v/>
      </c>
      <c r="W288" s="19">
        <f>IF($I288="","",IF(ISNUMBER($I288),TEXT($I288,"0"),$I288))</f>
        <v/>
      </c>
    </row>
    <row r="289">
      <c r="B289" s="25" t="n"/>
      <c r="I289" s="25" t="n"/>
      <c r="U289" s="19">
        <f>IF($V289&lt;&gt;'設定'!$C$4,N(U288),IF(OR(NOT(COUNTIF('商品マスタ'!$B$6:$B$1005,$W289)=0),COUNTIFS('①在庫を貼る'!$V$6:$V$10005,$V289,'①在庫を貼る'!$W$6:$W$10005,$W289)+COUNTIFS('月1回_1ヶ月前の在庫'!$V$6:$V$10005,$V289,'月1回_1ヶ月前の在庫'!$W$6:$W$10005,$W289)&gt;0),N(U288),N(U288)+1))</f>
        <v/>
      </c>
      <c r="V289" s="19">
        <f>IF($B289="","",TEXT($B289,"0000"))</f>
        <v/>
      </c>
      <c r="W289" s="19">
        <f>IF($I289="","",IF(ISNUMBER($I289),TEXT($I289,"0"),$I289))</f>
        <v/>
      </c>
    </row>
    <row r="290">
      <c r="B290" s="25" t="n"/>
      <c r="I290" s="25" t="n"/>
      <c r="U290" s="19">
        <f>IF($V290&lt;&gt;'設定'!$C$4,N(U289),IF(OR(NOT(COUNTIF('商品マスタ'!$B$6:$B$1005,$W290)=0),COUNTIFS('①在庫を貼る'!$V$6:$V$10005,$V290,'①在庫を貼る'!$W$6:$W$10005,$W290)+COUNTIFS('月1回_1ヶ月前の在庫'!$V$6:$V$10005,$V290,'月1回_1ヶ月前の在庫'!$W$6:$W$10005,$W290)&gt;0),N(U289),N(U289)+1))</f>
        <v/>
      </c>
      <c r="V290" s="19">
        <f>IF($B290="","",TEXT($B290,"0000"))</f>
        <v/>
      </c>
      <c r="W290" s="19">
        <f>IF($I290="","",IF(ISNUMBER($I290),TEXT($I290,"0"),$I290))</f>
        <v/>
      </c>
    </row>
    <row r="291">
      <c r="B291" s="25" t="n"/>
      <c r="I291" s="25" t="n"/>
      <c r="U291" s="19">
        <f>IF($V291&lt;&gt;'設定'!$C$4,N(U290),IF(OR(NOT(COUNTIF('商品マスタ'!$B$6:$B$1005,$W291)=0),COUNTIFS('①在庫を貼る'!$V$6:$V$10005,$V291,'①在庫を貼る'!$W$6:$W$10005,$W291)+COUNTIFS('月1回_1ヶ月前の在庫'!$V$6:$V$10005,$V291,'月1回_1ヶ月前の在庫'!$W$6:$W$10005,$W291)&gt;0),N(U290),N(U290)+1))</f>
        <v/>
      </c>
      <c r="V291" s="19">
        <f>IF($B291="","",TEXT($B291,"0000"))</f>
        <v/>
      </c>
      <c r="W291" s="19">
        <f>IF($I291="","",IF(ISNUMBER($I291),TEXT($I291,"0"),$I291))</f>
        <v/>
      </c>
    </row>
    <row r="292">
      <c r="B292" s="25" t="n"/>
      <c r="I292" s="25" t="n"/>
      <c r="U292" s="19">
        <f>IF($V292&lt;&gt;'設定'!$C$4,N(U291),IF(OR(NOT(COUNTIF('商品マスタ'!$B$6:$B$1005,$W292)=0),COUNTIFS('①在庫を貼る'!$V$6:$V$10005,$V292,'①在庫を貼る'!$W$6:$W$10005,$W292)+COUNTIFS('月1回_1ヶ月前の在庫'!$V$6:$V$10005,$V292,'月1回_1ヶ月前の在庫'!$W$6:$W$10005,$W292)&gt;0),N(U291),N(U291)+1))</f>
        <v/>
      </c>
      <c r="V292" s="19">
        <f>IF($B292="","",TEXT($B292,"0000"))</f>
        <v/>
      </c>
      <c r="W292" s="19">
        <f>IF($I292="","",IF(ISNUMBER($I292),TEXT($I292,"0"),$I292))</f>
        <v/>
      </c>
    </row>
    <row r="293">
      <c r="B293" s="25" t="n"/>
      <c r="I293" s="25" t="n"/>
      <c r="U293" s="19">
        <f>IF($V293&lt;&gt;'設定'!$C$4,N(U292),IF(OR(NOT(COUNTIF('商品マスタ'!$B$6:$B$1005,$W293)=0),COUNTIFS('①在庫を貼る'!$V$6:$V$10005,$V293,'①在庫を貼る'!$W$6:$W$10005,$W293)+COUNTIFS('月1回_1ヶ月前の在庫'!$V$6:$V$10005,$V293,'月1回_1ヶ月前の在庫'!$W$6:$W$10005,$W293)&gt;0),N(U292),N(U292)+1))</f>
        <v/>
      </c>
      <c r="V293" s="19">
        <f>IF($B293="","",TEXT($B293,"0000"))</f>
        <v/>
      </c>
      <c r="W293" s="19">
        <f>IF($I293="","",IF(ISNUMBER($I293),TEXT($I293,"0"),$I293))</f>
        <v/>
      </c>
    </row>
    <row r="294">
      <c r="B294" s="25" t="n"/>
      <c r="I294" s="25" t="n"/>
      <c r="U294" s="19">
        <f>IF($V294&lt;&gt;'設定'!$C$4,N(U293),IF(OR(NOT(COUNTIF('商品マスタ'!$B$6:$B$1005,$W294)=0),COUNTIFS('①在庫を貼る'!$V$6:$V$10005,$V294,'①在庫を貼る'!$W$6:$W$10005,$W294)+COUNTIFS('月1回_1ヶ月前の在庫'!$V$6:$V$10005,$V294,'月1回_1ヶ月前の在庫'!$W$6:$W$10005,$W294)&gt;0),N(U293),N(U293)+1))</f>
        <v/>
      </c>
      <c r="V294" s="19">
        <f>IF($B294="","",TEXT($B294,"0000"))</f>
        <v/>
      </c>
      <c r="W294" s="19">
        <f>IF($I294="","",IF(ISNUMBER($I294),TEXT($I294,"0"),$I294))</f>
        <v/>
      </c>
    </row>
    <row r="295">
      <c r="B295" s="25" t="n"/>
      <c r="I295" s="25" t="n"/>
      <c r="U295" s="19">
        <f>IF($V295&lt;&gt;'設定'!$C$4,N(U294),IF(OR(NOT(COUNTIF('商品マスタ'!$B$6:$B$1005,$W295)=0),COUNTIFS('①在庫を貼る'!$V$6:$V$10005,$V295,'①在庫を貼る'!$W$6:$W$10005,$W295)+COUNTIFS('月1回_1ヶ月前の在庫'!$V$6:$V$10005,$V295,'月1回_1ヶ月前の在庫'!$W$6:$W$10005,$W295)&gt;0),N(U294),N(U294)+1))</f>
        <v/>
      </c>
      <c r="V295" s="19">
        <f>IF($B295="","",TEXT($B295,"0000"))</f>
        <v/>
      </c>
      <c r="W295" s="19">
        <f>IF($I295="","",IF(ISNUMBER($I295),TEXT($I295,"0"),$I295))</f>
        <v/>
      </c>
    </row>
    <row r="296">
      <c r="B296" s="25" t="n"/>
      <c r="I296" s="25" t="n"/>
      <c r="U296" s="19">
        <f>IF($V296&lt;&gt;'設定'!$C$4,N(U295),IF(OR(NOT(COUNTIF('商品マスタ'!$B$6:$B$1005,$W296)=0),COUNTIFS('①在庫を貼る'!$V$6:$V$10005,$V296,'①在庫を貼る'!$W$6:$W$10005,$W296)+COUNTIFS('月1回_1ヶ月前の在庫'!$V$6:$V$10005,$V296,'月1回_1ヶ月前の在庫'!$W$6:$W$10005,$W296)&gt;0),N(U295),N(U295)+1))</f>
        <v/>
      </c>
      <c r="V296" s="19">
        <f>IF($B296="","",TEXT($B296,"0000"))</f>
        <v/>
      </c>
      <c r="W296" s="19">
        <f>IF($I296="","",IF(ISNUMBER($I296),TEXT($I296,"0"),$I296))</f>
        <v/>
      </c>
    </row>
    <row r="297">
      <c r="B297" s="25" t="n"/>
      <c r="I297" s="25" t="n"/>
      <c r="U297" s="19">
        <f>IF($V297&lt;&gt;'設定'!$C$4,N(U296),IF(OR(NOT(COUNTIF('商品マスタ'!$B$6:$B$1005,$W297)=0),COUNTIFS('①在庫を貼る'!$V$6:$V$10005,$V297,'①在庫を貼る'!$W$6:$W$10005,$W297)+COUNTIFS('月1回_1ヶ月前の在庫'!$V$6:$V$10005,$V297,'月1回_1ヶ月前の在庫'!$W$6:$W$10005,$W297)&gt;0),N(U296),N(U296)+1))</f>
        <v/>
      </c>
      <c r="V297" s="19">
        <f>IF($B297="","",TEXT($B297,"0000"))</f>
        <v/>
      </c>
      <c r="W297" s="19">
        <f>IF($I297="","",IF(ISNUMBER($I297),TEXT($I297,"0"),$I297))</f>
        <v/>
      </c>
    </row>
    <row r="298">
      <c r="B298" s="25" t="n"/>
      <c r="I298" s="25" t="n"/>
      <c r="U298" s="19">
        <f>IF($V298&lt;&gt;'設定'!$C$4,N(U297),IF(OR(NOT(COUNTIF('商品マスタ'!$B$6:$B$1005,$W298)=0),COUNTIFS('①在庫を貼る'!$V$6:$V$10005,$V298,'①在庫を貼る'!$W$6:$W$10005,$W298)+COUNTIFS('月1回_1ヶ月前の在庫'!$V$6:$V$10005,$V298,'月1回_1ヶ月前の在庫'!$W$6:$W$10005,$W298)&gt;0),N(U297),N(U297)+1))</f>
        <v/>
      </c>
      <c r="V298" s="19">
        <f>IF($B298="","",TEXT($B298,"0000"))</f>
        <v/>
      </c>
      <c r="W298" s="19">
        <f>IF($I298="","",IF(ISNUMBER($I298),TEXT($I298,"0"),$I298))</f>
        <v/>
      </c>
    </row>
    <row r="299">
      <c r="B299" s="25" t="n"/>
      <c r="I299" s="25" t="n"/>
      <c r="U299" s="19">
        <f>IF($V299&lt;&gt;'設定'!$C$4,N(U298),IF(OR(NOT(COUNTIF('商品マスタ'!$B$6:$B$1005,$W299)=0),COUNTIFS('①在庫を貼る'!$V$6:$V$10005,$V299,'①在庫を貼る'!$W$6:$W$10005,$W299)+COUNTIFS('月1回_1ヶ月前の在庫'!$V$6:$V$10005,$V299,'月1回_1ヶ月前の在庫'!$W$6:$W$10005,$W299)&gt;0),N(U298),N(U298)+1))</f>
        <v/>
      </c>
      <c r="V299" s="19">
        <f>IF($B299="","",TEXT($B299,"0000"))</f>
        <v/>
      </c>
      <c r="W299" s="19">
        <f>IF($I299="","",IF(ISNUMBER($I299),TEXT($I299,"0"),$I299))</f>
        <v/>
      </c>
    </row>
    <row r="300">
      <c r="B300" s="25" t="n"/>
      <c r="I300" s="25" t="n"/>
      <c r="U300" s="19">
        <f>IF($V300&lt;&gt;'設定'!$C$4,N(U299),IF(OR(NOT(COUNTIF('商品マスタ'!$B$6:$B$1005,$W300)=0),COUNTIFS('①在庫を貼る'!$V$6:$V$10005,$V300,'①在庫を貼る'!$W$6:$W$10005,$W300)+COUNTIFS('月1回_1ヶ月前の在庫'!$V$6:$V$10005,$V300,'月1回_1ヶ月前の在庫'!$W$6:$W$10005,$W300)&gt;0),N(U299),N(U299)+1))</f>
        <v/>
      </c>
      <c r="V300" s="19">
        <f>IF($B300="","",TEXT($B300,"0000"))</f>
        <v/>
      </c>
      <c r="W300" s="19">
        <f>IF($I300="","",IF(ISNUMBER($I300),TEXT($I300,"0"),$I300))</f>
        <v/>
      </c>
    </row>
    <row r="301">
      <c r="B301" s="25" t="n"/>
      <c r="I301" s="25" t="n"/>
      <c r="U301" s="19">
        <f>IF($V301&lt;&gt;'設定'!$C$4,N(U300),IF(OR(NOT(COUNTIF('商品マスタ'!$B$6:$B$1005,$W301)=0),COUNTIFS('①在庫を貼る'!$V$6:$V$10005,$V301,'①在庫を貼る'!$W$6:$W$10005,$W301)+COUNTIFS('月1回_1ヶ月前の在庫'!$V$6:$V$10005,$V301,'月1回_1ヶ月前の在庫'!$W$6:$W$10005,$W301)&gt;0),N(U300),N(U300)+1))</f>
        <v/>
      </c>
      <c r="V301" s="19">
        <f>IF($B301="","",TEXT($B301,"0000"))</f>
        <v/>
      </c>
      <c r="W301" s="19">
        <f>IF($I301="","",IF(ISNUMBER($I301),TEXT($I301,"0"),$I301))</f>
        <v/>
      </c>
    </row>
    <row r="302">
      <c r="B302" s="25" t="n"/>
      <c r="I302" s="25" t="n"/>
      <c r="U302" s="19">
        <f>IF($V302&lt;&gt;'設定'!$C$4,N(U301),IF(OR(NOT(COUNTIF('商品マスタ'!$B$6:$B$1005,$W302)=0),COUNTIFS('①在庫を貼る'!$V$6:$V$10005,$V302,'①在庫を貼る'!$W$6:$W$10005,$W302)+COUNTIFS('月1回_1ヶ月前の在庫'!$V$6:$V$10005,$V302,'月1回_1ヶ月前の在庫'!$W$6:$W$10005,$W302)&gt;0),N(U301),N(U301)+1))</f>
        <v/>
      </c>
      <c r="V302" s="19">
        <f>IF($B302="","",TEXT($B302,"0000"))</f>
        <v/>
      </c>
      <c r="W302" s="19">
        <f>IF($I302="","",IF(ISNUMBER($I302),TEXT($I302,"0"),$I302))</f>
        <v/>
      </c>
    </row>
    <row r="303">
      <c r="B303" s="25" t="n"/>
      <c r="I303" s="25" t="n"/>
      <c r="U303" s="19">
        <f>IF($V303&lt;&gt;'設定'!$C$4,N(U302),IF(OR(NOT(COUNTIF('商品マスタ'!$B$6:$B$1005,$W303)=0),COUNTIFS('①在庫を貼る'!$V$6:$V$10005,$V303,'①在庫を貼る'!$W$6:$W$10005,$W303)+COUNTIFS('月1回_1ヶ月前の在庫'!$V$6:$V$10005,$V303,'月1回_1ヶ月前の在庫'!$W$6:$W$10005,$W303)&gt;0),N(U302),N(U302)+1))</f>
        <v/>
      </c>
      <c r="V303" s="19">
        <f>IF($B303="","",TEXT($B303,"0000"))</f>
        <v/>
      </c>
      <c r="W303" s="19">
        <f>IF($I303="","",IF(ISNUMBER($I303),TEXT($I303,"0"),$I303))</f>
        <v/>
      </c>
    </row>
    <row r="304">
      <c r="B304" s="25" t="n"/>
      <c r="I304" s="25" t="n"/>
      <c r="U304" s="19">
        <f>IF($V304&lt;&gt;'設定'!$C$4,N(U303),IF(OR(NOT(COUNTIF('商品マスタ'!$B$6:$B$1005,$W304)=0),COUNTIFS('①在庫を貼る'!$V$6:$V$10005,$V304,'①在庫を貼る'!$W$6:$W$10005,$W304)+COUNTIFS('月1回_1ヶ月前の在庫'!$V$6:$V$10005,$V304,'月1回_1ヶ月前の在庫'!$W$6:$W$10005,$W304)&gt;0),N(U303),N(U303)+1))</f>
        <v/>
      </c>
      <c r="V304" s="19">
        <f>IF($B304="","",TEXT($B304,"0000"))</f>
        <v/>
      </c>
      <c r="W304" s="19">
        <f>IF($I304="","",IF(ISNUMBER($I304),TEXT($I304,"0"),$I304))</f>
        <v/>
      </c>
    </row>
    <row r="305">
      <c r="B305" s="25" t="n"/>
      <c r="I305" s="25" t="n"/>
      <c r="U305" s="19">
        <f>IF($V305&lt;&gt;'設定'!$C$4,N(U304),IF(OR(NOT(COUNTIF('商品マスタ'!$B$6:$B$1005,$W305)=0),COUNTIFS('①在庫を貼る'!$V$6:$V$10005,$V305,'①在庫を貼る'!$W$6:$W$10005,$W305)+COUNTIFS('月1回_1ヶ月前の在庫'!$V$6:$V$10005,$V305,'月1回_1ヶ月前の在庫'!$W$6:$W$10005,$W305)&gt;0),N(U304),N(U304)+1))</f>
        <v/>
      </c>
      <c r="V305" s="19">
        <f>IF($B305="","",TEXT($B305,"0000"))</f>
        <v/>
      </c>
      <c r="W305" s="19">
        <f>IF($I305="","",IF(ISNUMBER($I305),TEXT($I305,"0"),$I305))</f>
        <v/>
      </c>
    </row>
    <row r="306">
      <c r="B306" s="25" t="n"/>
      <c r="I306" s="25" t="n"/>
      <c r="U306" s="19">
        <f>IF($V306&lt;&gt;'設定'!$C$4,N(U305),IF(OR(NOT(COUNTIF('商品マスタ'!$B$6:$B$1005,$W306)=0),COUNTIFS('①在庫を貼る'!$V$6:$V$10005,$V306,'①在庫を貼る'!$W$6:$W$10005,$W306)+COUNTIFS('月1回_1ヶ月前の在庫'!$V$6:$V$10005,$V306,'月1回_1ヶ月前の在庫'!$W$6:$W$10005,$W306)&gt;0),N(U305),N(U305)+1))</f>
        <v/>
      </c>
      <c r="V306" s="19">
        <f>IF($B306="","",TEXT($B306,"0000"))</f>
        <v/>
      </c>
      <c r="W306" s="19">
        <f>IF($I306="","",IF(ISNUMBER($I306),TEXT($I306,"0"),$I306))</f>
        <v/>
      </c>
    </row>
    <row r="307">
      <c r="B307" s="25" t="n"/>
      <c r="I307" s="25" t="n"/>
      <c r="U307" s="19">
        <f>IF($V307&lt;&gt;'設定'!$C$4,N(U306),IF(OR(NOT(COUNTIF('商品マスタ'!$B$6:$B$1005,$W307)=0),COUNTIFS('①在庫を貼る'!$V$6:$V$10005,$V307,'①在庫を貼る'!$W$6:$W$10005,$W307)+COUNTIFS('月1回_1ヶ月前の在庫'!$V$6:$V$10005,$V307,'月1回_1ヶ月前の在庫'!$W$6:$W$10005,$W307)&gt;0),N(U306),N(U306)+1))</f>
        <v/>
      </c>
      <c r="V307" s="19">
        <f>IF($B307="","",TEXT($B307,"0000"))</f>
        <v/>
      </c>
      <c r="W307" s="19">
        <f>IF($I307="","",IF(ISNUMBER($I307),TEXT($I307,"0"),$I307))</f>
        <v/>
      </c>
    </row>
    <row r="308">
      <c r="B308" s="25" t="n"/>
      <c r="I308" s="25" t="n"/>
      <c r="U308" s="19">
        <f>IF($V308&lt;&gt;'設定'!$C$4,N(U307),IF(OR(NOT(COUNTIF('商品マスタ'!$B$6:$B$1005,$W308)=0),COUNTIFS('①在庫を貼る'!$V$6:$V$10005,$V308,'①在庫を貼る'!$W$6:$W$10005,$W308)+COUNTIFS('月1回_1ヶ月前の在庫'!$V$6:$V$10005,$V308,'月1回_1ヶ月前の在庫'!$W$6:$W$10005,$W308)&gt;0),N(U307),N(U307)+1))</f>
        <v/>
      </c>
      <c r="V308" s="19">
        <f>IF($B308="","",TEXT($B308,"0000"))</f>
        <v/>
      </c>
      <c r="W308" s="19">
        <f>IF($I308="","",IF(ISNUMBER($I308),TEXT($I308,"0"),$I308))</f>
        <v/>
      </c>
    </row>
    <row r="309">
      <c r="B309" s="25" t="n"/>
      <c r="I309" s="25" t="n"/>
      <c r="U309" s="19">
        <f>IF($V309&lt;&gt;'設定'!$C$4,N(U308),IF(OR(NOT(COUNTIF('商品マスタ'!$B$6:$B$1005,$W309)=0),COUNTIFS('①在庫を貼る'!$V$6:$V$10005,$V309,'①在庫を貼る'!$W$6:$W$10005,$W309)+COUNTIFS('月1回_1ヶ月前の在庫'!$V$6:$V$10005,$V309,'月1回_1ヶ月前の在庫'!$W$6:$W$10005,$W309)&gt;0),N(U308),N(U308)+1))</f>
        <v/>
      </c>
      <c r="V309" s="19">
        <f>IF($B309="","",TEXT($B309,"0000"))</f>
        <v/>
      </c>
      <c r="W309" s="19">
        <f>IF($I309="","",IF(ISNUMBER($I309),TEXT($I309,"0"),$I309))</f>
        <v/>
      </c>
    </row>
    <row r="310">
      <c r="B310" s="25" t="n"/>
      <c r="I310" s="25" t="n"/>
      <c r="U310" s="19">
        <f>IF($V310&lt;&gt;'設定'!$C$4,N(U309),IF(OR(NOT(COUNTIF('商品マスタ'!$B$6:$B$1005,$W310)=0),COUNTIFS('①在庫を貼る'!$V$6:$V$10005,$V310,'①在庫を貼る'!$W$6:$W$10005,$W310)+COUNTIFS('月1回_1ヶ月前の在庫'!$V$6:$V$10005,$V310,'月1回_1ヶ月前の在庫'!$W$6:$W$10005,$W310)&gt;0),N(U309),N(U309)+1))</f>
        <v/>
      </c>
      <c r="V310" s="19">
        <f>IF($B310="","",TEXT($B310,"0000"))</f>
        <v/>
      </c>
      <c r="W310" s="19">
        <f>IF($I310="","",IF(ISNUMBER($I310),TEXT($I310,"0"),$I310))</f>
        <v/>
      </c>
    </row>
    <row r="311">
      <c r="B311" s="25" t="n"/>
      <c r="I311" s="25" t="n"/>
      <c r="U311" s="19">
        <f>IF($V311&lt;&gt;'設定'!$C$4,N(U310),IF(OR(NOT(COUNTIF('商品マスタ'!$B$6:$B$1005,$W311)=0),COUNTIFS('①在庫を貼る'!$V$6:$V$10005,$V311,'①在庫を貼る'!$W$6:$W$10005,$W311)+COUNTIFS('月1回_1ヶ月前の在庫'!$V$6:$V$10005,$V311,'月1回_1ヶ月前の在庫'!$W$6:$W$10005,$W311)&gt;0),N(U310),N(U310)+1))</f>
        <v/>
      </c>
      <c r="V311" s="19">
        <f>IF($B311="","",TEXT($B311,"0000"))</f>
        <v/>
      </c>
      <c r="W311" s="19">
        <f>IF($I311="","",IF(ISNUMBER($I311),TEXT($I311,"0"),$I311))</f>
        <v/>
      </c>
    </row>
    <row r="312">
      <c r="B312" s="25" t="n"/>
      <c r="I312" s="25" t="n"/>
      <c r="U312" s="19">
        <f>IF($V312&lt;&gt;'設定'!$C$4,N(U311),IF(OR(NOT(COUNTIF('商品マスタ'!$B$6:$B$1005,$W312)=0),COUNTIFS('①在庫を貼る'!$V$6:$V$10005,$V312,'①在庫を貼る'!$W$6:$W$10005,$W312)+COUNTIFS('月1回_1ヶ月前の在庫'!$V$6:$V$10005,$V312,'月1回_1ヶ月前の在庫'!$W$6:$W$10005,$W312)&gt;0),N(U311),N(U311)+1))</f>
        <v/>
      </c>
      <c r="V312" s="19">
        <f>IF($B312="","",TEXT($B312,"0000"))</f>
        <v/>
      </c>
      <c r="W312" s="19">
        <f>IF($I312="","",IF(ISNUMBER($I312),TEXT($I312,"0"),$I312))</f>
        <v/>
      </c>
    </row>
    <row r="313">
      <c r="B313" s="25" t="n"/>
      <c r="I313" s="25" t="n"/>
      <c r="U313" s="19">
        <f>IF($V313&lt;&gt;'設定'!$C$4,N(U312),IF(OR(NOT(COUNTIF('商品マスタ'!$B$6:$B$1005,$W313)=0),COUNTIFS('①在庫を貼る'!$V$6:$V$10005,$V313,'①在庫を貼る'!$W$6:$W$10005,$W313)+COUNTIFS('月1回_1ヶ月前の在庫'!$V$6:$V$10005,$V313,'月1回_1ヶ月前の在庫'!$W$6:$W$10005,$W313)&gt;0),N(U312),N(U312)+1))</f>
        <v/>
      </c>
      <c r="V313" s="19">
        <f>IF($B313="","",TEXT($B313,"0000"))</f>
        <v/>
      </c>
      <c r="W313" s="19">
        <f>IF($I313="","",IF(ISNUMBER($I313),TEXT($I313,"0"),$I313))</f>
        <v/>
      </c>
    </row>
    <row r="314">
      <c r="B314" s="25" t="n"/>
      <c r="I314" s="25" t="n"/>
      <c r="U314" s="19">
        <f>IF($V314&lt;&gt;'設定'!$C$4,N(U313),IF(OR(NOT(COUNTIF('商品マスタ'!$B$6:$B$1005,$W314)=0),COUNTIFS('①在庫を貼る'!$V$6:$V$10005,$V314,'①在庫を貼る'!$W$6:$W$10005,$W314)+COUNTIFS('月1回_1ヶ月前の在庫'!$V$6:$V$10005,$V314,'月1回_1ヶ月前の在庫'!$W$6:$W$10005,$W314)&gt;0),N(U313),N(U313)+1))</f>
        <v/>
      </c>
      <c r="V314" s="19">
        <f>IF($B314="","",TEXT($B314,"0000"))</f>
        <v/>
      </c>
      <c r="W314" s="19">
        <f>IF($I314="","",IF(ISNUMBER($I314),TEXT($I314,"0"),$I314))</f>
        <v/>
      </c>
    </row>
    <row r="315">
      <c r="B315" s="25" t="n"/>
      <c r="I315" s="25" t="n"/>
      <c r="U315" s="19">
        <f>IF($V315&lt;&gt;'設定'!$C$4,N(U314),IF(OR(NOT(COUNTIF('商品マスタ'!$B$6:$B$1005,$W315)=0),COUNTIFS('①在庫を貼る'!$V$6:$V$10005,$V315,'①在庫を貼る'!$W$6:$W$10005,$W315)+COUNTIFS('月1回_1ヶ月前の在庫'!$V$6:$V$10005,$V315,'月1回_1ヶ月前の在庫'!$W$6:$W$10005,$W315)&gt;0),N(U314),N(U314)+1))</f>
        <v/>
      </c>
      <c r="V315" s="19">
        <f>IF($B315="","",TEXT($B315,"0000"))</f>
        <v/>
      </c>
      <c r="W315" s="19">
        <f>IF($I315="","",IF(ISNUMBER($I315),TEXT($I315,"0"),$I315))</f>
        <v/>
      </c>
    </row>
    <row r="316">
      <c r="B316" s="25" t="n"/>
      <c r="I316" s="25" t="n"/>
      <c r="U316" s="19">
        <f>IF($V316&lt;&gt;'設定'!$C$4,N(U315),IF(OR(NOT(COUNTIF('商品マスタ'!$B$6:$B$1005,$W316)=0),COUNTIFS('①在庫を貼る'!$V$6:$V$10005,$V316,'①在庫を貼る'!$W$6:$W$10005,$W316)+COUNTIFS('月1回_1ヶ月前の在庫'!$V$6:$V$10005,$V316,'月1回_1ヶ月前の在庫'!$W$6:$W$10005,$W316)&gt;0),N(U315),N(U315)+1))</f>
        <v/>
      </c>
      <c r="V316" s="19">
        <f>IF($B316="","",TEXT($B316,"0000"))</f>
        <v/>
      </c>
      <c r="W316" s="19">
        <f>IF($I316="","",IF(ISNUMBER($I316),TEXT($I316,"0"),$I316))</f>
        <v/>
      </c>
    </row>
    <row r="317">
      <c r="B317" s="25" t="n"/>
      <c r="I317" s="25" t="n"/>
      <c r="U317" s="19">
        <f>IF($V317&lt;&gt;'設定'!$C$4,N(U316),IF(OR(NOT(COUNTIF('商品マスタ'!$B$6:$B$1005,$W317)=0),COUNTIFS('①在庫を貼る'!$V$6:$V$10005,$V317,'①在庫を貼る'!$W$6:$W$10005,$W317)+COUNTIFS('月1回_1ヶ月前の在庫'!$V$6:$V$10005,$V317,'月1回_1ヶ月前の在庫'!$W$6:$W$10005,$W317)&gt;0),N(U316),N(U316)+1))</f>
        <v/>
      </c>
      <c r="V317" s="19">
        <f>IF($B317="","",TEXT($B317,"0000"))</f>
        <v/>
      </c>
      <c r="W317" s="19">
        <f>IF($I317="","",IF(ISNUMBER($I317),TEXT($I317,"0"),$I317))</f>
        <v/>
      </c>
    </row>
    <row r="318">
      <c r="B318" s="25" t="n"/>
      <c r="I318" s="25" t="n"/>
      <c r="U318" s="19">
        <f>IF($V318&lt;&gt;'設定'!$C$4,N(U317),IF(OR(NOT(COUNTIF('商品マスタ'!$B$6:$B$1005,$W318)=0),COUNTIFS('①在庫を貼る'!$V$6:$V$10005,$V318,'①在庫を貼る'!$W$6:$W$10005,$W318)+COUNTIFS('月1回_1ヶ月前の在庫'!$V$6:$V$10005,$V318,'月1回_1ヶ月前の在庫'!$W$6:$W$10005,$W318)&gt;0),N(U317),N(U317)+1))</f>
        <v/>
      </c>
      <c r="V318" s="19">
        <f>IF($B318="","",TEXT($B318,"0000"))</f>
        <v/>
      </c>
      <c r="W318" s="19">
        <f>IF($I318="","",IF(ISNUMBER($I318),TEXT($I318,"0"),$I318))</f>
        <v/>
      </c>
    </row>
    <row r="319">
      <c r="B319" s="25" t="n"/>
      <c r="I319" s="25" t="n"/>
      <c r="U319" s="19">
        <f>IF($V319&lt;&gt;'設定'!$C$4,N(U318),IF(OR(NOT(COUNTIF('商品マスタ'!$B$6:$B$1005,$W319)=0),COUNTIFS('①在庫を貼る'!$V$6:$V$10005,$V319,'①在庫を貼る'!$W$6:$W$10005,$W319)+COUNTIFS('月1回_1ヶ月前の在庫'!$V$6:$V$10005,$V319,'月1回_1ヶ月前の在庫'!$W$6:$W$10005,$W319)&gt;0),N(U318),N(U318)+1))</f>
        <v/>
      </c>
      <c r="V319" s="19">
        <f>IF($B319="","",TEXT($B319,"0000"))</f>
        <v/>
      </c>
      <c r="W319" s="19">
        <f>IF($I319="","",IF(ISNUMBER($I319),TEXT($I319,"0"),$I319))</f>
        <v/>
      </c>
    </row>
    <row r="320">
      <c r="B320" s="25" t="n"/>
      <c r="I320" s="25" t="n"/>
      <c r="U320" s="19">
        <f>IF($V320&lt;&gt;'設定'!$C$4,N(U319),IF(OR(NOT(COUNTIF('商品マスタ'!$B$6:$B$1005,$W320)=0),COUNTIFS('①在庫を貼る'!$V$6:$V$10005,$V320,'①在庫を貼る'!$W$6:$W$10005,$W320)+COUNTIFS('月1回_1ヶ月前の在庫'!$V$6:$V$10005,$V320,'月1回_1ヶ月前の在庫'!$W$6:$W$10005,$W320)&gt;0),N(U319),N(U319)+1))</f>
        <v/>
      </c>
      <c r="V320" s="19">
        <f>IF($B320="","",TEXT($B320,"0000"))</f>
        <v/>
      </c>
      <c r="W320" s="19">
        <f>IF($I320="","",IF(ISNUMBER($I320),TEXT($I320,"0"),$I320))</f>
        <v/>
      </c>
    </row>
    <row r="321">
      <c r="B321" s="25" t="n"/>
      <c r="I321" s="25" t="n"/>
      <c r="U321" s="19">
        <f>IF($V321&lt;&gt;'設定'!$C$4,N(U320),IF(OR(NOT(COUNTIF('商品マスタ'!$B$6:$B$1005,$W321)=0),COUNTIFS('①在庫を貼る'!$V$6:$V$10005,$V321,'①在庫を貼る'!$W$6:$W$10005,$W321)+COUNTIFS('月1回_1ヶ月前の在庫'!$V$6:$V$10005,$V321,'月1回_1ヶ月前の在庫'!$W$6:$W$10005,$W321)&gt;0),N(U320),N(U320)+1))</f>
        <v/>
      </c>
      <c r="V321" s="19">
        <f>IF($B321="","",TEXT($B321,"0000"))</f>
        <v/>
      </c>
      <c r="W321" s="19">
        <f>IF($I321="","",IF(ISNUMBER($I321),TEXT($I321,"0"),$I321))</f>
        <v/>
      </c>
    </row>
    <row r="322">
      <c r="B322" s="25" t="n"/>
      <c r="I322" s="25" t="n"/>
      <c r="U322" s="19">
        <f>IF($V322&lt;&gt;'設定'!$C$4,N(U321),IF(OR(NOT(COUNTIF('商品マスタ'!$B$6:$B$1005,$W322)=0),COUNTIFS('①在庫を貼る'!$V$6:$V$10005,$V322,'①在庫を貼る'!$W$6:$W$10005,$W322)+COUNTIFS('月1回_1ヶ月前の在庫'!$V$6:$V$10005,$V322,'月1回_1ヶ月前の在庫'!$W$6:$W$10005,$W322)&gt;0),N(U321),N(U321)+1))</f>
        <v/>
      </c>
      <c r="V322" s="19">
        <f>IF($B322="","",TEXT($B322,"0000"))</f>
        <v/>
      </c>
      <c r="W322" s="19">
        <f>IF($I322="","",IF(ISNUMBER($I322),TEXT($I322,"0"),$I322))</f>
        <v/>
      </c>
    </row>
    <row r="323">
      <c r="B323" s="25" t="n"/>
      <c r="I323" s="25" t="n"/>
      <c r="U323" s="19">
        <f>IF($V323&lt;&gt;'設定'!$C$4,N(U322),IF(OR(NOT(COUNTIF('商品マスタ'!$B$6:$B$1005,$W323)=0),COUNTIFS('①在庫を貼る'!$V$6:$V$10005,$V323,'①在庫を貼る'!$W$6:$W$10005,$W323)+COUNTIFS('月1回_1ヶ月前の在庫'!$V$6:$V$10005,$V323,'月1回_1ヶ月前の在庫'!$W$6:$W$10005,$W323)&gt;0),N(U322),N(U322)+1))</f>
        <v/>
      </c>
      <c r="V323" s="19">
        <f>IF($B323="","",TEXT($B323,"0000"))</f>
        <v/>
      </c>
      <c r="W323" s="19">
        <f>IF($I323="","",IF(ISNUMBER($I323),TEXT($I323,"0"),$I323))</f>
        <v/>
      </c>
    </row>
    <row r="324">
      <c r="B324" s="25" t="n"/>
      <c r="I324" s="25" t="n"/>
      <c r="U324" s="19">
        <f>IF($V324&lt;&gt;'設定'!$C$4,N(U323),IF(OR(NOT(COUNTIF('商品マスタ'!$B$6:$B$1005,$W324)=0),COUNTIFS('①在庫を貼る'!$V$6:$V$10005,$V324,'①在庫を貼る'!$W$6:$W$10005,$W324)+COUNTIFS('月1回_1ヶ月前の在庫'!$V$6:$V$10005,$V324,'月1回_1ヶ月前の在庫'!$W$6:$W$10005,$W324)&gt;0),N(U323),N(U323)+1))</f>
        <v/>
      </c>
      <c r="V324" s="19">
        <f>IF($B324="","",TEXT($B324,"0000"))</f>
        <v/>
      </c>
      <c r="W324" s="19">
        <f>IF($I324="","",IF(ISNUMBER($I324),TEXT($I324,"0"),$I324))</f>
        <v/>
      </c>
    </row>
    <row r="325">
      <c r="B325" s="25" t="n"/>
      <c r="I325" s="25" t="n"/>
      <c r="U325" s="19">
        <f>IF($V325&lt;&gt;'設定'!$C$4,N(U324),IF(OR(NOT(COUNTIF('商品マスタ'!$B$6:$B$1005,$W325)=0),COUNTIFS('①在庫を貼る'!$V$6:$V$10005,$V325,'①在庫を貼る'!$W$6:$W$10005,$W325)+COUNTIFS('月1回_1ヶ月前の在庫'!$V$6:$V$10005,$V325,'月1回_1ヶ月前の在庫'!$W$6:$W$10005,$W325)&gt;0),N(U324),N(U324)+1))</f>
        <v/>
      </c>
      <c r="V325" s="19">
        <f>IF($B325="","",TEXT($B325,"0000"))</f>
        <v/>
      </c>
      <c r="W325" s="19">
        <f>IF($I325="","",IF(ISNUMBER($I325),TEXT($I325,"0"),$I325))</f>
        <v/>
      </c>
    </row>
    <row r="326">
      <c r="B326" s="25" t="n"/>
      <c r="I326" s="25" t="n"/>
      <c r="U326" s="19">
        <f>IF($V326&lt;&gt;'設定'!$C$4,N(U325),IF(OR(NOT(COUNTIF('商品マスタ'!$B$6:$B$1005,$W326)=0),COUNTIFS('①在庫を貼る'!$V$6:$V$10005,$V326,'①在庫を貼る'!$W$6:$W$10005,$W326)+COUNTIFS('月1回_1ヶ月前の在庫'!$V$6:$V$10005,$V326,'月1回_1ヶ月前の在庫'!$W$6:$W$10005,$W326)&gt;0),N(U325),N(U325)+1))</f>
        <v/>
      </c>
      <c r="V326" s="19">
        <f>IF($B326="","",TEXT($B326,"0000"))</f>
        <v/>
      </c>
      <c r="W326" s="19">
        <f>IF($I326="","",IF(ISNUMBER($I326),TEXT($I326,"0"),$I326))</f>
        <v/>
      </c>
    </row>
    <row r="327">
      <c r="B327" s="25" t="n"/>
      <c r="I327" s="25" t="n"/>
      <c r="U327" s="19">
        <f>IF($V327&lt;&gt;'設定'!$C$4,N(U326),IF(OR(NOT(COUNTIF('商品マスタ'!$B$6:$B$1005,$W327)=0),COUNTIFS('①在庫を貼る'!$V$6:$V$10005,$V327,'①在庫を貼る'!$W$6:$W$10005,$W327)+COUNTIFS('月1回_1ヶ月前の在庫'!$V$6:$V$10005,$V327,'月1回_1ヶ月前の在庫'!$W$6:$W$10005,$W327)&gt;0),N(U326),N(U326)+1))</f>
        <v/>
      </c>
      <c r="V327" s="19">
        <f>IF($B327="","",TEXT($B327,"0000"))</f>
        <v/>
      </c>
      <c r="W327" s="19">
        <f>IF($I327="","",IF(ISNUMBER($I327),TEXT($I327,"0"),$I327))</f>
        <v/>
      </c>
    </row>
    <row r="328">
      <c r="B328" s="25" t="n"/>
      <c r="I328" s="25" t="n"/>
      <c r="U328" s="19">
        <f>IF($V328&lt;&gt;'設定'!$C$4,N(U327),IF(OR(NOT(COUNTIF('商品マスタ'!$B$6:$B$1005,$W328)=0),COUNTIFS('①在庫を貼る'!$V$6:$V$10005,$V328,'①在庫を貼る'!$W$6:$W$10005,$W328)+COUNTIFS('月1回_1ヶ月前の在庫'!$V$6:$V$10005,$V328,'月1回_1ヶ月前の在庫'!$W$6:$W$10005,$W328)&gt;0),N(U327),N(U327)+1))</f>
        <v/>
      </c>
      <c r="V328" s="19">
        <f>IF($B328="","",TEXT($B328,"0000"))</f>
        <v/>
      </c>
      <c r="W328" s="19">
        <f>IF($I328="","",IF(ISNUMBER($I328),TEXT($I328,"0"),$I328))</f>
        <v/>
      </c>
    </row>
    <row r="329">
      <c r="B329" s="25" t="n"/>
      <c r="I329" s="25" t="n"/>
      <c r="U329" s="19">
        <f>IF($V329&lt;&gt;'設定'!$C$4,N(U328),IF(OR(NOT(COUNTIF('商品マスタ'!$B$6:$B$1005,$W329)=0),COUNTIFS('①在庫を貼る'!$V$6:$V$10005,$V329,'①在庫を貼る'!$W$6:$W$10005,$W329)+COUNTIFS('月1回_1ヶ月前の在庫'!$V$6:$V$10005,$V329,'月1回_1ヶ月前の在庫'!$W$6:$W$10005,$W329)&gt;0),N(U328),N(U328)+1))</f>
        <v/>
      </c>
      <c r="V329" s="19">
        <f>IF($B329="","",TEXT($B329,"0000"))</f>
        <v/>
      </c>
      <c r="W329" s="19">
        <f>IF($I329="","",IF(ISNUMBER($I329),TEXT($I329,"0"),$I329))</f>
        <v/>
      </c>
    </row>
    <row r="330">
      <c r="B330" s="25" t="n"/>
      <c r="I330" s="25" t="n"/>
      <c r="U330" s="19">
        <f>IF($V330&lt;&gt;'設定'!$C$4,N(U329),IF(OR(NOT(COUNTIF('商品マスタ'!$B$6:$B$1005,$W330)=0),COUNTIFS('①在庫を貼る'!$V$6:$V$10005,$V330,'①在庫を貼る'!$W$6:$W$10005,$W330)+COUNTIFS('月1回_1ヶ月前の在庫'!$V$6:$V$10005,$V330,'月1回_1ヶ月前の在庫'!$W$6:$W$10005,$W330)&gt;0),N(U329),N(U329)+1))</f>
        <v/>
      </c>
      <c r="V330" s="19">
        <f>IF($B330="","",TEXT($B330,"0000"))</f>
        <v/>
      </c>
      <c r="W330" s="19">
        <f>IF($I330="","",IF(ISNUMBER($I330),TEXT($I330,"0"),$I330))</f>
        <v/>
      </c>
    </row>
    <row r="331">
      <c r="B331" s="25" t="n"/>
      <c r="I331" s="25" t="n"/>
      <c r="U331" s="19">
        <f>IF($V331&lt;&gt;'設定'!$C$4,N(U330),IF(OR(NOT(COUNTIF('商品マスタ'!$B$6:$B$1005,$W331)=0),COUNTIFS('①在庫を貼る'!$V$6:$V$10005,$V331,'①在庫を貼る'!$W$6:$W$10005,$W331)+COUNTIFS('月1回_1ヶ月前の在庫'!$V$6:$V$10005,$V331,'月1回_1ヶ月前の在庫'!$W$6:$W$10005,$W331)&gt;0),N(U330),N(U330)+1))</f>
        <v/>
      </c>
      <c r="V331" s="19">
        <f>IF($B331="","",TEXT($B331,"0000"))</f>
        <v/>
      </c>
      <c r="W331" s="19">
        <f>IF($I331="","",IF(ISNUMBER($I331),TEXT($I331,"0"),$I331))</f>
        <v/>
      </c>
    </row>
    <row r="332">
      <c r="B332" s="25" t="n"/>
      <c r="I332" s="25" t="n"/>
      <c r="U332" s="19">
        <f>IF($V332&lt;&gt;'設定'!$C$4,N(U331),IF(OR(NOT(COUNTIF('商品マスタ'!$B$6:$B$1005,$W332)=0),COUNTIFS('①在庫を貼る'!$V$6:$V$10005,$V332,'①在庫を貼る'!$W$6:$W$10005,$W332)+COUNTIFS('月1回_1ヶ月前の在庫'!$V$6:$V$10005,$V332,'月1回_1ヶ月前の在庫'!$W$6:$W$10005,$W332)&gt;0),N(U331),N(U331)+1))</f>
        <v/>
      </c>
      <c r="V332" s="19">
        <f>IF($B332="","",TEXT($B332,"0000"))</f>
        <v/>
      </c>
      <c r="W332" s="19">
        <f>IF($I332="","",IF(ISNUMBER($I332),TEXT($I332,"0"),$I332))</f>
        <v/>
      </c>
    </row>
    <row r="333">
      <c r="B333" s="25" t="n"/>
      <c r="I333" s="25" t="n"/>
      <c r="U333" s="19">
        <f>IF($V333&lt;&gt;'設定'!$C$4,N(U332),IF(OR(NOT(COUNTIF('商品マスタ'!$B$6:$B$1005,$W333)=0),COUNTIFS('①在庫を貼る'!$V$6:$V$10005,$V333,'①在庫を貼る'!$W$6:$W$10005,$W333)+COUNTIFS('月1回_1ヶ月前の在庫'!$V$6:$V$10005,$V333,'月1回_1ヶ月前の在庫'!$W$6:$W$10005,$W333)&gt;0),N(U332),N(U332)+1))</f>
        <v/>
      </c>
      <c r="V333" s="19">
        <f>IF($B333="","",TEXT($B333,"0000"))</f>
        <v/>
      </c>
      <c r="W333" s="19">
        <f>IF($I333="","",IF(ISNUMBER($I333),TEXT($I333,"0"),$I333))</f>
        <v/>
      </c>
    </row>
    <row r="334">
      <c r="B334" s="25" t="n"/>
      <c r="I334" s="25" t="n"/>
      <c r="U334" s="19">
        <f>IF($V334&lt;&gt;'設定'!$C$4,N(U333),IF(OR(NOT(COUNTIF('商品マスタ'!$B$6:$B$1005,$W334)=0),COUNTIFS('①在庫を貼る'!$V$6:$V$10005,$V334,'①在庫を貼る'!$W$6:$W$10005,$W334)+COUNTIFS('月1回_1ヶ月前の在庫'!$V$6:$V$10005,$V334,'月1回_1ヶ月前の在庫'!$W$6:$W$10005,$W334)&gt;0),N(U333),N(U333)+1))</f>
        <v/>
      </c>
      <c r="V334" s="19">
        <f>IF($B334="","",TEXT($B334,"0000"))</f>
        <v/>
      </c>
      <c r="W334" s="19">
        <f>IF($I334="","",IF(ISNUMBER($I334),TEXT($I334,"0"),$I334))</f>
        <v/>
      </c>
    </row>
    <row r="335">
      <c r="B335" s="25" t="n"/>
      <c r="I335" s="25" t="n"/>
      <c r="U335" s="19">
        <f>IF($V335&lt;&gt;'設定'!$C$4,N(U334),IF(OR(NOT(COUNTIF('商品マスタ'!$B$6:$B$1005,$W335)=0),COUNTIFS('①在庫を貼る'!$V$6:$V$10005,$V335,'①在庫を貼る'!$W$6:$W$10005,$W335)+COUNTIFS('月1回_1ヶ月前の在庫'!$V$6:$V$10005,$V335,'月1回_1ヶ月前の在庫'!$W$6:$W$10005,$W335)&gt;0),N(U334),N(U334)+1))</f>
        <v/>
      </c>
      <c r="V335" s="19">
        <f>IF($B335="","",TEXT($B335,"0000"))</f>
        <v/>
      </c>
      <c r="W335" s="19">
        <f>IF($I335="","",IF(ISNUMBER($I335),TEXT($I335,"0"),$I335))</f>
        <v/>
      </c>
    </row>
    <row r="336">
      <c r="B336" s="25" t="n"/>
      <c r="I336" s="25" t="n"/>
      <c r="U336" s="19">
        <f>IF($V336&lt;&gt;'設定'!$C$4,N(U335),IF(OR(NOT(COUNTIF('商品マスタ'!$B$6:$B$1005,$W336)=0),COUNTIFS('①在庫を貼る'!$V$6:$V$10005,$V336,'①在庫を貼る'!$W$6:$W$10005,$W336)+COUNTIFS('月1回_1ヶ月前の在庫'!$V$6:$V$10005,$V336,'月1回_1ヶ月前の在庫'!$W$6:$W$10005,$W336)&gt;0),N(U335),N(U335)+1))</f>
        <v/>
      </c>
      <c r="V336" s="19">
        <f>IF($B336="","",TEXT($B336,"0000"))</f>
        <v/>
      </c>
      <c r="W336" s="19">
        <f>IF($I336="","",IF(ISNUMBER($I336),TEXT($I336,"0"),$I336))</f>
        <v/>
      </c>
    </row>
    <row r="337">
      <c r="B337" s="25" t="n"/>
      <c r="I337" s="25" t="n"/>
      <c r="U337" s="19">
        <f>IF($V337&lt;&gt;'設定'!$C$4,N(U336),IF(OR(NOT(COUNTIF('商品マスタ'!$B$6:$B$1005,$W337)=0),COUNTIFS('①在庫を貼る'!$V$6:$V$10005,$V337,'①在庫を貼る'!$W$6:$W$10005,$W337)+COUNTIFS('月1回_1ヶ月前の在庫'!$V$6:$V$10005,$V337,'月1回_1ヶ月前の在庫'!$W$6:$W$10005,$W337)&gt;0),N(U336),N(U336)+1))</f>
        <v/>
      </c>
      <c r="V337" s="19">
        <f>IF($B337="","",TEXT($B337,"0000"))</f>
        <v/>
      </c>
      <c r="W337" s="19">
        <f>IF($I337="","",IF(ISNUMBER($I337),TEXT($I337,"0"),$I337))</f>
        <v/>
      </c>
    </row>
    <row r="338">
      <c r="B338" s="25" t="n"/>
      <c r="I338" s="25" t="n"/>
      <c r="U338" s="19">
        <f>IF($V338&lt;&gt;'設定'!$C$4,N(U337),IF(OR(NOT(COUNTIF('商品マスタ'!$B$6:$B$1005,$W338)=0),COUNTIFS('①在庫を貼る'!$V$6:$V$10005,$V338,'①在庫を貼る'!$W$6:$W$10005,$W338)+COUNTIFS('月1回_1ヶ月前の在庫'!$V$6:$V$10005,$V338,'月1回_1ヶ月前の在庫'!$W$6:$W$10005,$W338)&gt;0),N(U337),N(U337)+1))</f>
        <v/>
      </c>
      <c r="V338" s="19">
        <f>IF($B338="","",TEXT($B338,"0000"))</f>
        <v/>
      </c>
      <c r="W338" s="19">
        <f>IF($I338="","",IF(ISNUMBER($I338),TEXT($I338,"0"),$I338))</f>
        <v/>
      </c>
    </row>
    <row r="339">
      <c r="B339" s="25" t="n"/>
      <c r="I339" s="25" t="n"/>
      <c r="U339" s="19">
        <f>IF($V339&lt;&gt;'設定'!$C$4,N(U338),IF(OR(NOT(COUNTIF('商品マスタ'!$B$6:$B$1005,$W339)=0),COUNTIFS('①在庫を貼る'!$V$6:$V$10005,$V339,'①在庫を貼る'!$W$6:$W$10005,$W339)+COUNTIFS('月1回_1ヶ月前の在庫'!$V$6:$V$10005,$V339,'月1回_1ヶ月前の在庫'!$W$6:$W$10005,$W339)&gt;0),N(U338),N(U338)+1))</f>
        <v/>
      </c>
      <c r="V339" s="19">
        <f>IF($B339="","",TEXT($B339,"0000"))</f>
        <v/>
      </c>
      <c r="W339" s="19">
        <f>IF($I339="","",IF(ISNUMBER($I339),TEXT($I339,"0"),$I339))</f>
        <v/>
      </c>
    </row>
    <row r="340">
      <c r="B340" s="25" t="n"/>
      <c r="I340" s="25" t="n"/>
      <c r="U340" s="19">
        <f>IF($V340&lt;&gt;'設定'!$C$4,N(U339),IF(OR(NOT(COUNTIF('商品マスタ'!$B$6:$B$1005,$W340)=0),COUNTIFS('①在庫を貼る'!$V$6:$V$10005,$V340,'①在庫を貼る'!$W$6:$W$10005,$W340)+COUNTIFS('月1回_1ヶ月前の在庫'!$V$6:$V$10005,$V340,'月1回_1ヶ月前の在庫'!$W$6:$W$10005,$W340)&gt;0),N(U339),N(U339)+1))</f>
        <v/>
      </c>
      <c r="V340" s="19">
        <f>IF($B340="","",TEXT($B340,"0000"))</f>
        <v/>
      </c>
      <c r="W340" s="19">
        <f>IF($I340="","",IF(ISNUMBER($I340),TEXT($I340,"0"),$I340))</f>
        <v/>
      </c>
    </row>
    <row r="341">
      <c r="B341" s="25" t="n"/>
      <c r="I341" s="25" t="n"/>
      <c r="U341" s="19">
        <f>IF($V341&lt;&gt;'設定'!$C$4,N(U340),IF(OR(NOT(COUNTIF('商品マスタ'!$B$6:$B$1005,$W341)=0),COUNTIFS('①在庫を貼る'!$V$6:$V$10005,$V341,'①在庫を貼る'!$W$6:$W$10005,$W341)+COUNTIFS('月1回_1ヶ月前の在庫'!$V$6:$V$10005,$V341,'月1回_1ヶ月前の在庫'!$W$6:$W$10005,$W341)&gt;0),N(U340),N(U340)+1))</f>
        <v/>
      </c>
      <c r="V341" s="19">
        <f>IF($B341="","",TEXT($B341,"0000"))</f>
        <v/>
      </c>
      <c r="W341" s="19">
        <f>IF($I341="","",IF(ISNUMBER($I341),TEXT($I341,"0"),$I341))</f>
        <v/>
      </c>
    </row>
    <row r="342">
      <c r="B342" s="25" t="n"/>
      <c r="I342" s="25" t="n"/>
      <c r="U342" s="19">
        <f>IF($V342&lt;&gt;'設定'!$C$4,N(U341),IF(OR(NOT(COUNTIF('商品マスタ'!$B$6:$B$1005,$W342)=0),COUNTIFS('①在庫を貼る'!$V$6:$V$10005,$V342,'①在庫を貼る'!$W$6:$W$10005,$W342)+COUNTIFS('月1回_1ヶ月前の在庫'!$V$6:$V$10005,$V342,'月1回_1ヶ月前の在庫'!$W$6:$W$10005,$W342)&gt;0),N(U341),N(U341)+1))</f>
        <v/>
      </c>
      <c r="V342" s="19">
        <f>IF($B342="","",TEXT($B342,"0000"))</f>
        <v/>
      </c>
      <c r="W342" s="19">
        <f>IF($I342="","",IF(ISNUMBER($I342),TEXT($I342,"0"),$I342))</f>
        <v/>
      </c>
    </row>
    <row r="343">
      <c r="B343" s="25" t="n"/>
      <c r="I343" s="25" t="n"/>
      <c r="U343" s="19">
        <f>IF($V343&lt;&gt;'設定'!$C$4,N(U342),IF(OR(NOT(COUNTIF('商品マスタ'!$B$6:$B$1005,$W343)=0),COUNTIFS('①在庫を貼る'!$V$6:$V$10005,$V343,'①在庫を貼る'!$W$6:$W$10005,$W343)+COUNTIFS('月1回_1ヶ月前の在庫'!$V$6:$V$10005,$V343,'月1回_1ヶ月前の在庫'!$W$6:$W$10005,$W343)&gt;0),N(U342),N(U342)+1))</f>
        <v/>
      </c>
      <c r="V343" s="19">
        <f>IF($B343="","",TEXT($B343,"0000"))</f>
        <v/>
      </c>
      <c r="W343" s="19">
        <f>IF($I343="","",IF(ISNUMBER($I343),TEXT($I343,"0"),$I343))</f>
        <v/>
      </c>
    </row>
    <row r="344">
      <c r="B344" s="25" t="n"/>
      <c r="I344" s="25" t="n"/>
      <c r="U344" s="19">
        <f>IF($V344&lt;&gt;'設定'!$C$4,N(U343),IF(OR(NOT(COUNTIF('商品マスタ'!$B$6:$B$1005,$W344)=0),COUNTIFS('①在庫を貼る'!$V$6:$V$10005,$V344,'①在庫を貼る'!$W$6:$W$10005,$W344)+COUNTIFS('月1回_1ヶ月前の在庫'!$V$6:$V$10005,$V344,'月1回_1ヶ月前の在庫'!$W$6:$W$10005,$W344)&gt;0),N(U343),N(U343)+1))</f>
        <v/>
      </c>
      <c r="V344" s="19">
        <f>IF($B344="","",TEXT($B344,"0000"))</f>
        <v/>
      </c>
      <c r="W344" s="19">
        <f>IF($I344="","",IF(ISNUMBER($I344),TEXT($I344,"0"),$I344))</f>
        <v/>
      </c>
    </row>
    <row r="345">
      <c r="B345" s="25" t="n"/>
      <c r="I345" s="25" t="n"/>
      <c r="U345" s="19">
        <f>IF($V345&lt;&gt;'設定'!$C$4,N(U344),IF(OR(NOT(COUNTIF('商品マスタ'!$B$6:$B$1005,$W345)=0),COUNTIFS('①在庫を貼る'!$V$6:$V$10005,$V345,'①在庫を貼る'!$W$6:$W$10005,$W345)+COUNTIFS('月1回_1ヶ月前の在庫'!$V$6:$V$10005,$V345,'月1回_1ヶ月前の在庫'!$W$6:$W$10005,$W345)&gt;0),N(U344),N(U344)+1))</f>
        <v/>
      </c>
      <c r="V345" s="19">
        <f>IF($B345="","",TEXT($B345,"0000"))</f>
        <v/>
      </c>
      <c r="W345" s="19">
        <f>IF($I345="","",IF(ISNUMBER($I345),TEXT($I345,"0"),$I345))</f>
        <v/>
      </c>
    </row>
    <row r="346">
      <c r="B346" s="25" t="n"/>
      <c r="I346" s="25" t="n"/>
      <c r="U346" s="19">
        <f>IF($V346&lt;&gt;'設定'!$C$4,N(U345),IF(OR(NOT(COUNTIF('商品マスタ'!$B$6:$B$1005,$W346)=0),COUNTIFS('①在庫を貼る'!$V$6:$V$10005,$V346,'①在庫を貼る'!$W$6:$W$10005,$W346)+COUNTIFS('月1回_1ヶ月前の在庫'!$V$6:$V$10005,$V346,'月1回_1ヶ月前の在庫'!$W$6:$W$10005,$W346)&gt;0),N(U345),N(U345)+1))</f>
        <v/>
      </c>
      <c r="V346" s="19">
        <f>IF($B346="","",TEXT($B346,"0000"))</f>
        <v/>
      </c>
      <c r="W346" s="19">
        <f>IF($I346="","",IF(ISNUMBER($I346),TEXT($I346,"0"),$I346))</f>
        <v/>
      </c>
    </row>
    <row r="347">
      <c r="B347" s="25" t="n"/>
      <c r="I347" s="25" t="n"/>
      <c r="U347" s="19">
        <f>IF($V347&lt;&gt;'設定'!$C$4,N(U346),IF(OR(NOT(COUNTIF('商品マスタ'!$B$6:$B$1005,$W347)=0),COUNTIFS('①在庫を貼る'!$V$6:$V$10005,$V347,'①在庫を貼る'!$W$6:$W$10005,$W347)+COUNTIFS('月1回_1ヶ月前の在庫'!$V$6:$V$10005,$V347,'月1回_1ヶ月前の在庫'!$W$6:$W$10005,$W347)&gt;0),N(U346),N(U346)+1))</f>
        <v/>
      </c>
      <c r="V347" s="19">
        <f>IF($B347="","",TEXT($B347,"0000"))</f>
        <v/>
      </c>
      <c r="W347" s="19">
        <f>IF($I347="","",IF(ISNUMBER($I347),TEXT($I347,"0"),$I347))</f>
        <v/>
      </c>
    </row>
    <row r="348">
      <c r="B348" s="25" t="n"/>
      <c r="I348" s="25" t="n"/>
      <c r="U348" s="19">
        <f>IF($V348&lt;&gt;'設定'!$C$4,N(U347),IF(OR(NOT(COUNTIF('商品マスタ'!$B$6:$B$1005,$W348)=0),COUNTIFS('①在庫を貼る'!$V$6:$V$10005,$V348,'①在庫を貼る'!$W$6:$W$10005,$W348)+COUNTIFS('月1回_1ヶ月前の在庫'!$V$6:$V$10005,$V348,'月1回_1ヶ月前の在庫'!$W$6:$W$10005,$W348)&gt;0),N(U347),N(U347)+1))</f>
        <v/>
      </c>
      <c r="V348" s="19">
        <f>IF($B348="","",TEXT($B348,"0000"))</f>
        <v/>
      </c>
      <c r="W348" s="19">
        <f>IF($I348="","",IF(ISNUMBER($I348),TEXT($I348,"0"),$I348))</f>
        <v/>
      </c>
    </row>
    <row r="349">
      <c r="B349" s="25" t="n"/>
      <c r="I349" s="25" t="n"/>
      <c r="U349" s="19">
        <f>IF($V349&lt;&gt;'設定'!$C$4,N(U348),IF(OR(NOT(COUNTIF('商品マスタ'!$B$6:$B$1005,$W349)=0),COUNTIFS('①在庫を貼る'!$V$6:$V$10005,$V349,'①在庫を貼る'!$W$6:$W$10005,$W349)+COUNTIFS('月1回_1ヶ月前の在庫'!$V$6:$V$10005,$V349,'月1回_1ヶ月前の在庫'!$W$6:$W$10005,$W349)&gt;0),N(U348),N(U348)+1))</f>
        <v/>
      </c>
      <c r="V349" s="19">
        <f>IF($B349="","",TEXT($B349,"0000"))</f>
        <v/>
      </c>
      <c r="W349" s="19">
        <f>IF($I349="","",IF(ISNUMBER($I349),TEXT($I349,"0"),$I349))</f>
        <v/>
      </c>
    </row>
    <row r="350">
      <c r="B350" s="25" t="n"/>
      <c r="I350" s="25" t="n"/>
      <c r="U350" s="19">
        <f>IF($V350&lt;&gt;'設定'!$C$4,N(U349),IF(OR(NOT(COUNTIF('商品マスタ'!$B$6:$B$1005,$W350)=0),COUNTIFS('①在庫を貼る'!$V$6:$V$10005,$V350,'①在庫を貼る'!$W$6:$W$10005,$W350)+COUNTIFS('月1回_1ヶ月前の在庫'!$V$6:$V$10005,$V350,'月1回_1ヶ月前の在庫'!$W$6:$W$10005,$W350)&gt;0),N(U349),N(U349)+1))</f>
        <v/>
      </c>
      <c r="V350" s="19">
        <f>IF($B350="","",TEXT($B350,"0000"))</f>
        <v/>
      </c>
      <c r="W350" s="19">
        <f>IF($I350="","",IF(ISNUMBER($I350),TEXT($I350,"0"),$I350))</f>
        <v/>
      </c>
    </row>
    <row r="351">
      <c r="B351" s="25" t="n"/>
      <c r="I351" s="25" t="n"/>
      <c r="U351" s="19">
        <f>IF($V351&lt;&gt;'設定'!$C$4,N(U350),IF(OR(NOT(COUNTIF('商品マスタ'!$B$6:$B$1005,$W351)=0),COUNTIFS('①在庫を貼る'!$V$6:$V$10005,$V351,'①在庫を貼る'!$W$6:$W$10005,$W351)+COUNTIFS('月1回_1ヶ月前の在庫'!$V$6:$V$10005,$V351,'月1回_1ヶ月前の在庫'!$W$6:$W$10005,$W351)&gt;0),N(U350),N(U350)+1))</f>
        <v/>
      </c>
      <c r="V351" s="19">
        <f>IF($B351="","",TEXT($B351,"0000"))</f>
        <v/>
      </c>
      <c r="W351" s="19">
        <f>IF($I351="","",IF(ISNUMBER($I351),TEXT($I351,"0"),$I351))</f>
        <v/>
      </c>
    </row>
    <row r="352">
      <c r="B352" s="25" t="n"/>
      <c r="I352" s="25" t="n"/>
      <c r="U352" s="19">
        <f>IF($V352&lt;&gt;'設定'!$C$4,N(U351),IF(OR(NOT(COUNTIF('商品マスタ'!$B$6:$B$1005,$W352)=0),COUNTIFS('①在庫を貼る'!$V$6:$V$10005,$V352,'①在庫を貼る'!$W$6:$W$10005,$W352)+COUNTIFS('月1回_1ヶ月前の在庫'!$V$6:$V$10005,$V352,'月1回_1ヶ月前の在庫'!$W$6:$W$10005,$W352)&gt;0),N(U351),N(U351)+1))</f>
        <v/>
      </c>
      <c r="V352" s="19">
        <f>IF($B352="","",TEXT($B352,"0000"))</f>
        <v/>
      </c>
      <c r="W352" s="19">
        <f>IF($I352="","",IF(ISNUMBER($I352),TEXT($I352,"0"),$I352))</f>
        <v/>
      </c>
    </row>
    <row r="353">
      <c r="B353" s="25" t="n"/>
      <c r="I353" s="25" t="n"/>
      <c r="U353" s="19">
        <f>IF($V353&lt;&gt;'設定'!$C$4,N(U352),IF(OR(NOT(COUNTIF('商品マスタ'!$B$6:$B$1005,$W353)=0),COUNTIFS('①在庫を貼る'!$V$6:$V$10005,$V353,'①在庫を貼る'!$W$6:$W$10005,$W353)+COUNTIFS('月1回_1ヶ月前の在庫'!$V$6:$V$10005,$V353,'月1回_1ヶ月前の在庫'!$W$6:$W$10005,$W353)&gt;0),N(U352),N(U352)+1))</f>
        <v/>
      </c>
      <c r="V353" s="19">
        <f>IF($B353="","",TEXT($B353,"0000"))</f>
        <v/>
      </c>
      <c r="W353" s="19">
        <f>IF($I353="","",IF(ISNUMBER($I353),TEXT($I353,"0"),$I353))</f>
        <v/>
      </c>
    </row>
    <row r="354">
      <c r="B354" s="25" t="n"/>
      <c r="I354" s="25" t="n"/>
      <c r="U354" s="19">
        <f>IF($V354&lt;&gt;'設定'!$C$4,N(U353),IF(OR(NOT(COUNTIF('商品マスタ'!$B$6:$B$1005,$W354)=0),COUNTIFS('①在庫を貼る'!$V$6:$V$10005,$V354,'①在庫を貼る'!$W$6:$W$10005,$W354)+COUNTIFS('月1回_1ヶ月前の在庫'!$V$6:$V$10005,$V354,'月1回_1ヶ月前の在庫'!$W$6:$W$10005,$W354)&gt;0),N(U353),N(U353)+1))</f>
        <v/>
      </c>
      <c r="V354" s="19">
        <f>IF($B354="","",TEXT($B354,"0000"))</f>
        <v/>
      </c>
      <c r="W354" s="19">
        <f>IF($I354="","",IF(ISNUMBER($I354),TEXT($I354,"0"),$I354))</f>
        <v/>
      </c>
    </row>
    <row r="355">
      <c r="B355" s="25" t="n"/>
      <c r="I355" s="25" t="n"/>
      <c r="U355" s="19">
        <f>IF($V355&lt;&gt;'設定'!$C$4,N(U354),IF(OR(NOT(COUNTIF('商品マスタ'!$B$6:$B$1005,$W355)=0),COUNTIFS('①在庫を貼る'!$V$6:$V$10005,$V355,'①在庫を貼る'!$W$6:$W$10005,$W355)+COUNTIFS('月1回_1ヶ月前の在庫'!$V$6:$V$10005,$V355,'月1回_1ヶ月前の在庫'!$W$6:$W$10005,$W355)&gt;0),N(U354),N(U354)+1))</f>
        <v/>
      </c>
      <c r="V355" s="19">
        <f>IF($B355="","",TEXT($B355,"0000"))</f>
        <v/>
      </c>
      <c r="W355" s="19">
        <f>IF($I355="","",IF(ISNUMBER($I355),TEXT($I355,"0"),$I355))</f>
        <v/>
      </c>
    </row>
    <row r="356">
      <c r="B356" s="25" t="n"/>
      <c r="I356" s="25" t="n"/>
      <c r="U356" s="19">
        <f>IF($V356&lt;&gt;'設定'!$C$4,N(U355),IF(OR(NOT(COUNTIF('商品マスタ'!$B$6:$B$1005,$W356)=0),COUNTIFS('①在庫を貼る'!$V$6:$V$10005,$V356,'①在庫を貼る'!$W$6:$W$10005,$W356)+COUNTIFS('月1回_1ヶ月前の在庫'!$V$6:$V$10005,$V356,'月1回_1ヶ月前の在庫'!$W$6:$W$10005,$W356)&gt;0),N(U355),N(U355)+1))</f>
        <v/>
      </c>
      <c r="V356" s="19">
        <f>IF($B356="","",TEXT($B356,"0000"))</f>
        <v/>
      </c>
      <c r="W356" s="19">
        <f>IF($I356="","",IF(ISNUMBER($I356),TEXT($I356,"0"),$I356))</f>
        <v/>
      </c>
    </row>
    <row r="357">
      <c r="B357" s="25" t="n"/>
      <c r="I357" s="25" t="n"/>
      <c r="U357" s="19">
        <f>IF($V357&lt;&gt;'設定'!$C$4,N(U356),IF(OR(NOT(COUNTIF('商品マスタ'!$B$6:$B$1005,$W357)=0),COUNTIFS('①在庫を貼る'!$V$6:$V$10005,$V357,'①在庫を貼る'!$W$6:$W$10005,$W357)+COUNTIFS('月1回_1ヶ月前の在庫'!$V$6:$V$10005,$V357,'月1回_1ヶ月前の在庫'!$W$6:$W$10005,$W357)&gt;0),N(U356),N(U356)+1))</f>
        <v/>
      </c>
      <c r="V357" s="19">
        <f>IF($B357="","",TEXT($B357,"0000"))</f>
        <v/>
      </c>
      <c r="W357" s="19">
        <f>IF($I357="","",IF(ISNUMBER($I357),TEXT($I357,"0"),$I357))</f>
        <v/>
      </c>
    </row>
    <row r="358">
      <c r="B358" s="25" t="n"/>
      <c r="I358" s="25" t="n"/>
      <c r="U358" s="19">
        <f>IF($V358&lt;&gt;'設定'!$C$4,N(U357),IF(OR(NOT(COUNTIF('商品マスタ'!$B$6:$B$1005,$W358)=0),COUNTIFS('①在庫を貼る'!$V$6:$V$10005,$V358,'①在庫を貼る'!$W$6:$W$10005,$W358)+COUNTIFS('月1回_1ヶ月前の在庫'!$V$6:$V$10005,$V358,'月1回_1ヶ月前の在庫'!$W$6:$W$10005,$W358)&gt;0),N(U357),N(U357)+1))</f>
        <v/>
      </c>
      <c r="V358" s="19">
        <f>IF($B358="","",TEXT($B358,"0000"))</f>
        <v/>
      </c>
      <c r="W358" s="19">
        <f>IF($I358="","",IF(ISNUMBER($I358),TEXT($I358,"0"),$I358))</f>
        <v/>
      </c>
    </row>
    <row r="359">
      <c r="B359" s="25" t="n"/>
      <c r="I359" s="25" t="n"/>
      <c r="U359" s="19">
        <f>IF($V359&lt;&gt;'設定'!$C$4,N(U358),IF(OR(NOT(COUNTIF('商品マスタ'!$B$6:$B$1005,$W359)=0),COUNTIFS('①在庫を貼る'!$V$6:$V$10005,$V359,'①在庫を貼る'!$W$6:$W$10005,$W359)+COUNTIFS('月1回_1ヶ月前の在庫'!$V$6:$V$10005,$V359,'月1回_1ヶ月前の在庫'!$W$6:$W$10005,$W359)&gt;0),N(U358),N(U358)+1))</f>
        <v/>
      </c>
      <c r="V359" s="19">
        <f>IF($B359="","",TEXT($B359,"0000"))</f>
        <v/>
      </c>
      <c r="W359" s="19">
        <f>IF($I359="","",IF(ISNUMBER($I359),TEXT($I359,"0"),$I359))</f>
        <v/>
      </c>
    </row>
    <row r="360">
      <c r="B360" s="25" t="n"/>
      <c r="I360" s="25" t="n"/>
      <c r="U360" s="19">
        <f>IF($V360&lt;&gt;'設定'!$C$4,N(U359),IF(OR(NOT(COUNTIF('商品マスタ'!$B$6:$B$1005,$W360)=0),COUNTIFS('①在庫を貼る'!$V$6:$V$10005,$V360,'①在庫を貼る'!$W$6:$W$10005,$W360)+COUNTIFS('月1回_1ヶ月前の在庫'!$V$6:$V$10005,$V360,'月1回_1ヶ月前の在庫'!$W$6:$W$10005,$W360)&gt;0),N(U359),N(U359)+1))</f>
        <v/>
      </c>
      <c r="V360" s="19">
        <f>IF($B360="","",TEXT($B360,"0000"))</f>
        <v/>
      </c>
      <c r="W360" s="19">
        <f>IF($I360="","",IF(ISNUMBER($I360),TEXT($I360,"0"),$I360))</f>
        <v/>
      </c>
    </row>
    <row r="361">
      <c r="B361" s="25" t="n"/>
      <c r="I361" s="25" t="n"/>
      <c r="U361" s="19">
        <f>IF($V361&lt;&gt;'設定'!$C$4,N(U360),IF(OR(NOT(COUNTIF('商品マスタ'!$B$6:$B$1005,$W361)=0),COUNTIFS('①在庫を貼る'!$V$6:$V$10005,$V361,'①在庫を貼る'!$W$6:$W$10005,$W361)+COUNTIFS('月1回_1ヶ月前の在庫'!$V$6:$V$10005,$V361,'月1回_1ヶ月前の在庫'!$W$6:$W$10005,$W361)&gt;0),N(U360),N(U360)+1))</f>
        <v/>
      </c>
      <c r="V361" s="19">
        <f>IF($B361="","",TEXT($B361,"0000"))</f>
        <v/>
      </c>
      <c r="W361" s="19">
        <f>IF($I361="","",IF(ISNUMBER($I361),TEXT($I361,"0"),$I361))</f>
        <v/>
      </c>
    </row>
    <row r="362">
      <c r="B362" s="25" t="n"/>
      <c r="I362" s="25" t="n"/>
      <c r="U362" s="19">
        <f>IF($V362&lt;&gt;'設定'!$C$4,N(U361),IF(OR(NOT(COUNTIF('商品マスタ'!$B$6:$B$1005,$W362)=0),COUNTIFS('①在庫を貼る'!$V$6:$V$10005,$V362,'①在庫を貼る'!$W$6:$W$10005,$W362)+COUNTIFS('月1回_1ヶ月前の在庫'!$V$6:$V$10005,$V362,'月1回_1ヶ月前の在庫'!$W$6:$W$10005,$W362)&gt;0),N(U361),N(U361)+1))</f>
        <v/>
      </c>
      <c r="V362" s="19">
        <f>IF($B362="","",TEXT($B362,"0000"))</f>
        <v/>
      </c>
      <c r="W362" s="19">
        <f>IF($I362="","",IF(ISNUMBER($I362),TEXT($I362,"0"),$I362))</f>
        <v/>
      </c>
    </row>
    <row r="363">
      <c r="B363" s="25" t="n"/>
      <c r="I363" s="25" t="n"/>
      <c r="U363" s="19">
        <f>IF($V363&lt;&gt;'設定'!$C$4,N(U362),IF(OR(NOT(COUNTIF('商品マスタ'!$B$6:$B$1005,$W363)=0),COUNTIFS('①在庫を貼る'!$V$6:$V$10005,$V363,'①在庫を貼る'!$W$6:$W$10005,$W363)+COUNTIFS('月1回_1ヶ月前の在庫'!$V$6:$V$10005,$V363,'月1回_1ヶ月前の在庫'!$W$6:$W$10005,$W363)&gt;0),N(U362),N(U362)+1))</f>
        <v/>
      </c>
      <c r="V363" s="19">
        <f>IF($B363="","",TEXT($B363,"0000"))</f>
        <v/>
      </c>
      <c r="W363" s="19">
        <f>IF($I363="","",IF(ISNUMBER($I363),TEXT($I363,"0"),$I363))</f>
        <v/>
      </c>
    </row>
    <row r="364">
      <c r="B364" s="25" t="n"/>
      <c r="I364" s="25" t="n"/>
      <c r="U364" s="19">
        <f>IF($V364&lt;&gt;'設定'!$C$4,N(U363),IF(OR(NOT(COUNTIF('商品マスタ'!$B$6:$B$1005,$W364)=0),COUNTIFS('①在庫を貼る'!$V$6:$V$10005,$V364,'①在庫を貼る'!$W$6:$W$10005,$W364)+COUNTIFS('月1回_1ヶ月前の在庫'!$V$6:$V$10005,$V364,'月1回_1ヶ月前の在庫'!$W$6:$W$10005,$W364)&gt;0),N(U363),N(U363)+1))</f>
        <v/>
      </c>
      <c r="V364" s="19">
        <f>IF($B364="","",TEXT($B364,"0000"))</f>
        <v/>
      </c>
      <c r="W364" s="19">
        <f>IF($I364="","",IF(ISNUMBER($I364),TEXT($I364,"0"),$I364))</f>
        <v/>
      </c>
    </row>
    <row r="365">
      <c r="B365" s="25" t="n"/>
      <c r="I365" s="25" t="n"/>
      <c r="U365" s="19">
        <f>IF($V365&lt;&gt;'設定'!$C$4,N(U364),IF(OR(NOT(COUNTIF('商品マスタ'!$B$6:$B$1005,$W365)=0),COUNTIFS('①在庫を貼る'!$V$6:$V$10005,$V365,'①在庫を貼る'!$W$6:$W$10005,$W365)+COUNTIFS('月1回_1ヶ月前の在庫'!$V$6:$V$10005,$V365,'月1回_1ヶ月前の在庫'!$W$6:$W$10005,$W365)&gt;0),N(U364),N(U364)+1))</f>
        <v/>
      </c>
      <c r="V365" s="19">
        <f>IF($B365="","",TEXT($B365,"0000"))</f>
        <v/>
      </c>
      <c r="W365" s="19">
        <f>IF($I365="","",IF(ISNUMBER($I365),TEXT($I365,"0"),$I365))</f>
        <v/>
      </c>
    </row>
    <row r="366">
      <c r="B366" s="25" t="n"/>
      <c r="I366" s="25" t="n"/>
      <c r="U366" s="19">
        <f>IF($V366&lt;&gt;'設定'!$C$4,N(U365),IF(OR(NOT(COUNTIF('商品マスタ'!$B$6:$B$1005,$W366)=0),COUNTIFS('①在庫を貼る'!$V$6:$V$10005,$V366,'①在庫を貼る'!$W$6:$W$10005,$W366)+COUNTIFS('月1回_1ヶ月前の在庫'!$V$6:$V$10005,$V366,'月1回_1ヶ月前の在庫'!$W$6:$W$10005,$W366)&gt;0),N(U365),N(U365)+1))</f>
        <v/>
      </c>
      <c r="V366" s="19">
        <f>IF($B366="","",TEXT($B366,"0000"))</f>
        <v/>
      </c>
      <c r="W366" s="19">
        <f>IF($I366="","",IF(ISNUMBER($I366),TEXT($I366,"0"),$I366))</f>
        <v/>
      </c>
    </row>
    <row r="367">
      <c r="B367" s="25" t="n"/>
      <c r="I367" s="25" t="n"/>
      <c r="U367" s="19">
        <f>IF($V367&lt;&gt;'設定'!$C$4,N(U366),IF(OR(NOT(COUNTIF('商品マスタ'!$B$6:$B$1005,$W367)=0),COUNTIFS('①在庫を貼る'!$V$6:$V$10005,$V367,'①在庫を貼る'!$W$6:$W$10005,$W367)+COUNTIFS('月1回_1ヶ月前の在庫'!$V$6:$V$10005,$V367,'月1回_1ヶ月前の在庫'!$W$6:$W$10005,$W367)&gt;0),N(U366),N(U366)+1))</f>
        <v/>
      </c>
      <c r="V367" s="19">
        <f>IF($B367="","",TEXT($B367,"0000"))</f>
        <v/>
      </c>
      <c r="W367" s="19">
        <f>IF($I367="","",IF(ISNUMBER($I367),TEXT($I367,"0"),$I367))</f>
        <v/>
      </c>
    </row>
    <row r="368">
      <c r="B368" s="25" t="n"/>
      <c r="I368" s="25" t="n"/>
      <c r="U368" s="19">
        <f>IF($V368&lt;&gt;'設定'!$C$4,N(U367),IF(OR(NOT(COUNTIF('商品マスタ'!$B$6:$B$1005,$W368)=0),COUNTIFS('①在庫を貼る'!$V$6:$V$10005,$V368,'①在庫を貼る'!$W$6:$W$10005,$W368)+COUNTIFS('月1回_1ヶ月前の在庫'!$V$6:$V$10005,$V368,'月1回_1ヶ月前の在庫'!$W$6:$W$10005,$W368)&gt;0),N(U367),N(U367)+1))</f>
        <v/>
      </c>
      <c r="V368" s="19">
        <f>IF($B368="","",TEXT($B368,"0000"))</f>
        <v/>
      </c>
      <c r="W368" s="19">
        <f>IF($I368="","",IF(ISNUMBER($I368),TEXT($I368,"0"),$I368))</f>
        <v/>
      </c>
    </row>
    <row r="369">
      <c r="B369" s="25" t="n"/>
      <c r="I369" s="25" t="n"/>
      <c r="U369" s="19">
        <f>IF($V369&lt;&gt;'設定'!$C$4,N(U368),IF(OR(NOT(COUNTIF('商品マスタ'!$B$6:$B$1005,$W369)=0),COUNTIFS('①在庫を貼る'!$V$6:$V$10005,$V369,'①在庫を貼る'!$W$6:$W$10005,$W369)+COUNTIFS('月1回_1ヶ月前の在庫'!$V$6:$V$10005,$V369,'月1回_1ヶ月前の在庫'!$W$6:$W$10005,$W369)&gt;0),N(U368),N(U368)+1))</f>
        <v/>
      </c>
      <c r="V369" s="19">
        <f>IF($B369="","",TEXT($B369,"0000"))</f>
        <v/>
      </c>
      <c r="W369" s="19">
        <f>IF($I369="","",IF(ISNUMBER($I369),TEXT($I369,"0"),$I369))</f>
        <v/>
      </c>
    </row>
    <row r="370">
      <c r="B370" s="25" t="n"/>
      <c r="I370" s="25" t="n"/>
      <c r="U370" s="19">
        <f>IF($V370&lt;&gt;'設定'!$C$4,N(U369),IF(OR(NOT(COUNTIF('商品マスタ'!$B$6:$B$1005,$W370)=0),COUNTIFS('①在庫を貼る'!$V$6:$V$10005,$V370,'①在庫を貼る'!$W$6:$W$10005,$W370)+COUNTIFS('月1回_1ヶ月前の在庫'!$V$6:$V$10005,$V370,'月1回_1ヶ月前の在庫'!$W$6:$W$10005,$W370)&gt;0),N(U369),N(U369)+1))</f>
        <v/>
      </c>
      <c r="V370" s="19">
        <f>IF($B370="","",TEXT($B370,"0000"))</f>
        <v/>
      </c>
      <c r="W370" s="19">
        <f>IF($I370="","",IF(ISNUMBER($I370),TEXT($I370,"0"),$I370))</f>
        <v/>
      </c>
    </row>
    <row r="371">
      <c r="B371" s="25" t="n"/>
      <c r="I371" s="25" t="n"/>
      <c r="U371" s="19">
        <f>IF($V371&lt;&gt;'設定'!$C$4,N(U370),IF(OR(NOT(COUNTIF('商品マスタ'!$B$6:$B$1005,$W371)=0),COUNTIFS('①在庫を貼る'!$V$6:$V$10005,$V371,'①在庫を貼る'!$W$6:$W$10005,$W371)+COUNTIFS('月1回_1ヶ月前の在庫'!$V$6:$V$10005,$V371,'月1回_1ヶ月前の在庫'!$W$6:$W$10005,$W371)&gt;0),N(U370),N(U370)+1))</f>
        <v/>
      </c>
      <c r="V371" s="19">
        <f>IF($B371="","",TEXT($B371,"0000"))</f>
        <v/>
      </c>
      <c r="W371" s="19">
        <f>IF($I371="","",IF(ISNUMBER($I371),TEXT($I371,"0"),$I371))</f>
        <v/>
      </c>
    </row>
    <row r="372">
      <c r="B372" s="25" t="n"/>
      <c r="I372" s="25" t="n"/>
      <c r="U372" s="19">
        <f>IF($V372&lt;&gt;'設定'!$C$4,N(U371),IF(OR(NOT(COUNTIF('商品マスタ'!$B$6:$B$1005,$W372)=0),COUNTIFS('①在庫を貼る'!$V$6:$V$10005,$V372,'①在庫を貼る'!$W$6:$W$10005,$W372)+COUNTIFS('月1回_1ヶ月前の在庫'!$V$6:$V$10005,$V372,'月1回_1ヶ月前の在庫'!$W$6:$W$10005,$W372)&gt;0),N(U371),N(U371)+1))</f>
        <v/>
      </c>
      <c r="V372" s="19">
        <f>IF($B372="","",TEXT($B372,"0000"))</f>
        <v/>
      </c>
      <c r="W372" s="19">
        <f>IF($I372="","",IF(ISNUMBER($I372),TEXT($I372,"0"),$I372))</f>
        <v/>
      </c>
    </row>
    <row r="373">
      <c r="B373" s="25" t="n"/>
      <c r="I373" s="25" t="n"/>
      <c r="U373" s="19">
        <f>IF($V373&lt;&gt;'設定'!$C$4,N(U372),IF(OR(NOT(COUNTIF('商品マスタ'!$B$6:$B$1005,$W373)=0),COUNTIFS('①在庫を貼る'!$V$6:$V$10005,$V373,'①在庫を貼る'!$W$6:$W$10005,$W373)+COUNTIFS('月1回_1ヶ月前の在庫'!$V$6:$V$10005,$V373,'月1回_1ヶ月前の在庫'!$W$6:$W$10005,$W373)&gt;0),N(U372),N(U372)+1))</f>
        <v/>
      </c>
      <c r="V373" s="19">
        <f>IF($B373="","",TEXT($B373,"0000"))</f>
        <v/>
      </c>
      <c r="W373" s="19">
        <f>IF($I373="","",IF(ISNUMBER($I373),TEXT($I373,"0"),$I373))</f>
        <v/>
      </c>
    </row>
    <row r="374">
      <c r="B374" s="25" t="n"/>
      <c r="I374" s="25" t="n"/>
      <c r="U374" s="19">
        <f>IF($V374&lt;&gt;'設定'!$C$4,N(U373),IF(OR(NOT(COUNTIF('商品マスタ'!$B$6:$B$1005,$W374)=0),COUNTIFS('①在庫を貼る'!$V$6:$V$10005,$V374,'①在庫を貼る'!$W$6:$W$10005,$W374)+COUNTIFS('月1回_1ヶ月前の在庫'!$V$6:$V$10005,$V374,'月1回_1ヶ月前の在庫'!$W$6:$W$10005,$W374)&gt;0),N(U373),N(U373)+1))</f>
        <v/>
      </c>
      <c r="V374" s="19">
        <f>IF($B374="","",TEXT($B374,"0000"))</f>
        <v/>
      </c>
      <c r="W374" s="19">
        <f>IF($I374="","",IF(ISNUMBER($I374),TEXT($I374,"0"),$I374))</f>
        <v/>
      </c>
    </row>
    <row r="375">
      <c r="B375" s="25" t="n"/>
      <c r="I375" s="25" t="n"/>
      <c r="U375" s="19">
        <f>IF($V375&lt;&gt;'設定'!$C$4,N(U374),IF(OR(NOT(COUNTIF('商品マスタ'!$B$6:$B$1005,$W375)=0),COUNTIFS('①在庫を貼る'!$V$6:$V$10005,$V375,'①在庫を貼る'!$W$6:$W$10005,$W375)+COUNTIFS('月1回_1ヶ月前の在庫'!$V$6:$V$10005,$V375,'月1回_1ヶ月前の在庫'!$W$6:$W$10005,$W375)&gt;0),N(U374),N(U374)+1))</f>
        <v/>
      </c>
      <c r="V375" s="19">
        <f>IF($B375="","",TEXT($B375,"0000"))</f>
        <v/>
      </c>
      <c r="W375" s="19">
        <f>IF($I375="","",IF(ISNUMBER($I375),TEXT($I375,"0"),$I375))</f>
        <v/>
      </c>
    </row>
    <row r="376">
      <c r="B376" s="25" t="n"/>
      <c r="I376" s="25" t="n"/>
      <c r="U376" s="19">
        <f>IF($V376&lt;&gt;'設定'!$C$4,N(U375),IF(OR(NOT(COUNTIF('商品マスタ'!$B$6:$B$1005,$W376)=0),COUNTIFS('①在庫を貼る'!$V$6:$V$10005,$V376,'①在庫を貼る'!$W$6:$W$10005,$W376)+COUNTIFS('月1回_1ヶ月前の在庫'!$V$6:$V$10005,$V376,'月1回_1ヶ月前の在庫'!$W$6:$W$10005,$W376)&gt;0),N(U375),N(U375)+1))</f>
        <v/>
      </c>
      <c r="V376" s="19">
        <f>IF($B376="","",TEXT($B376,"0000"))</f>
        <v/>
      </c>
      <c r="W376" s="19">
        <f>IF($I376="","",IF(ISNUMBER($I376),TEXT($I376,"0"),$I376))</f>
        <v/>
      </c>
    </row>
    <row r="377">
      <c r="B377" s="25" t="n"/>
      <c r="I377" s="25" t="n"/>
      <c r="U377" s="19">
        <f>IF($V377&lt;&gt;'設定'!$C$4,N(U376),IF(OR(NOT(COUNTIF('商品マスタ'!$B$6:$B$1005,$W377)=0),COUNTIFS('①在庫を貼る'!$V$6:$V$10005,$V377,'①在庫を貼る'!$W$6:$W$10005,$W377)+COUNTIFS('月1回_1ヶ月前の在庫'!$V$6:$V$10005,$V377,'月1回_1ヶ月前の在庫'!$W$6:$W$10005,$W377)&gt;0),N(U376),N(U376)+1))</f>
        <v/>
      </c>
      <c r="V377" s="19">
        <f>IF($B377="","",TEXT($B377,"0000"))</f>
        <v/>
      </c>
      <c r="W377" s="19">
        <f>IF($I377="","",IF(ISNUMBER($I377),TEXT($I377,"0"),$I377))</f>
        <v/>
      </c>
    </row>
    <row r="378">
      <c r="B378" s="25" t="n"/>
      <c r="I378" s="25" t="n"/>
      <c r="U378" s="19">
        <f>IF($V378&lt;&gt;'設定'!$C$4,N(U377),IF(OR(NOT(COUNTIF('商品マスタ'!$B$6:$B$1005,$W378)=0),COUNTIFS('①在庫を貼る'!$V$6:$V$10005,$V378,'①在庫を貼る'!$W$6:$W$10005,$W378)+COUNTIFS('月1回_1ヶ月前の在庫'!$V$6:$V$10005,$V378,'月1回_1ヶ月前の在庫'!$W$6:$W$10005,$W378)&gt;0),N(U377),N(U377)+1))</f>
        <v/>
      </c>
      <c r="V378" s="19">
        <f>IF($B378="","",TEXT($B378,"0000"))</f>
        <v/>
      </c>
      <c r="W378" s="19">
        <f>IF($I378="","",IF(ISNUMBER($I378),TEXT($I378,"0"),$I378))</f>
        <v/>
      </c>
    </row>
    <row r="379">
      <c r="B379" s="25" t="n"/>
      <c r="I379" s="25" t="n"/>
      <c r="U379" s="19">
        <f>IF($V379&lt;&gt;'設定'!$C$4,N(U378),IF(OR(NOT(COUNTIF('商品マスタ'!$B$6:$B$1005,$W379)=0),COUNTIFS('①在庫を貼る'!$V$6:$V$10005,$V379,'①在庫を貼る'!$W$6:$W$10005,$W379)+COUNTIFS('月1回_1ヶ月前の在庫'!$V$6:$V$10005,$V379,'月1回_1ヶ月前の在庫'!$W$6:$W$10005,$W379)&gt;0),N(U378),N(U378)+1))</f>
        <v/>
      </c>
      <c r="V379" s="19">
        <f>IF($B379="","",TEXT($B379,"0000"))</f>
        <v/>
      </c>
      <c r="W379" s="19">
        <f>IF($I379="","",IF(ISNUMBER($I379),TEXT($I379,"0"),$I379))</f>
        <v/>
      </c>
    </row>
    <row r="380">
      <c r="B380" s="25" t="n"/>
      <c r="I380" s="25" t="n"/>
      <c r="U380" s="19">
        <f>IF($V380&lt;&gt;'設定'!$C$4,N(U379),IF(OR(NOT(COUNTIF('商品マスタ'!$B$6:$B$1005,$W380)=0),COUNTIFS('①在庫を貼る'!$V$6:$V$10005,$V380,'①在庫を貼る'!$W$6:$W$10005,$W380)+COUNTIFS('月1回_1ヶ月前の在庫'!$V$6:$V$10005,$V380,'月1回_1ヶ月前の在庫'!$W$6:$W$10005,$W380)&gt;0),N(U379),N(U379)+1))</f>
        <v/>
      </c>
      <c r="V380" s="19">
        <f>IF($B380="","",TEXT($B380,"0000"))</f>
        <v/>
      </c>
      <c r="W380" s="19">
        <f>IF($I380="","",IF(ISNUMBER($I380),TEXT($I380,"0"),$I380))</f>
        <v/>
      </c>
    </row>
    <row r="381">
      <c r="B381" s="25" t="n"/>
      <c r="I381" s="25" t="n"/>
      <c r="U381" s="19">
        <f>IF($V381&lt;&gt;'設定'!$C$4,N(U380),IF(OR(NOT(COUNTIF('商品マスタ'!$B$6:$B$1005,$W381)=0),COUNTIFS('①在庫を貼る'!$V$6:$V$10005,$V381,'①在庫を貼る'!$W$6:$W$10005,$W381)+COUNTIFS('月1回_1ヶ月前の在庫'!$V$6:$V$10005,$V381,'月1回_1ヶ月前の在庫'!$W$6:$W$10005,$W381)&gt;0),N(U380),N(U380)+1))</f>
        <v/>
      </c>
      <c r="V381" s="19">
        <f>IF($B381="","",TEXT($B381,"0000"))</f>
        <v/>
      </c>
      <c r="W381" s="19">
        <f>IF($I381="","",IF(ISNUMBER($I381),TEXT($I381,"0"),$I381))</f>
        <v/>
      </c>
    </row>
    <row r="382">
      <c r="B382" s="25" t="n"/>
      <c r="I382" s="25" t="n"/>
      <c r="U382" s="19">
        <f>IF($V382&lt;&gt;'設定'!$C$4,N(U381),IF(OR(NOT(COUNTIF('商品マスタ'!$B$6:$B$1005,$W382)=0),COUNTIFS('①在庫を貼る'!$V$6:$V$10005,$V382,'①在庫を貼る'!$W$6:$W$10005,$W382)+COUNTIFS('月1回_1ヶ月前の在庫'!$V$6:$V$10005,$V382,'月1回_1ヶ月前の在庫'!$W$6:$W$10005,$W382)&gt;0),N(U381),N(U381)+1))</f>
        <v/>
      </c>
      <c r="V382" s="19">
        <f>IF($B382="","",TEXT($B382,"0000"))</f>
        <v/>
      </c>
      <c r="W382" s="19">
        <f>IF($I382="","",IF(ISNUMBER($I382),TEXT($I382,"0"),$I382))</f>
        <v/>
      </c>
    </row>
    <row r="383">
      <c r="B383" s="25" t="n"/>
      <c r="I383" s="25" t="n"/>
      <c r="U383" s="19">
        <f>IF($V383&lt;&gt;'設定'!$C$4,N(U382),IF(OR(NOT(COUNTIF('商品マスタ'!$B$6:$B$1005,$W383)=0),COUNTIFS('①在庫を貼る'!$V$6:$V$10005,$V383,'①在庫を貼る'!$W$6:$W$10005,$W383)+COUNTIFS('月1回_1ヶ月前の在庫'!$V$6:$V$10005,$V383,'月1回_1ヶ月前の在庫'!$W$6:$W$10005,$W383)&gt;0),N(U382),N(U382)+1))</f>
        <v/>
      </c>
      <c r="V383" s="19">
        <f>IF($B383="","",TEXT($B383,"0000"))</f>
        <v/>
      </c>
      <c r="W383" s="19">
        <f>IF($I383="","",IF(ISNUMBER($I383),TEXT($I383,"0"),$I383))</f>
        <v/>
      </c>
    </row>
    <row r="384">
      <c r="B384" s="25" t="n"/>
      <c r="I384" s="25" t="n"/>
      <c r="U384" s="19">
        <f>IF($V384&lt;&gt;'設定'!$C$4,N(U383),IF(OR(NOT(COUNTIF('商品マスタ'!$B$6:$B$1005,$W384)=0),COUNTIFS('①在庫を貼る'!$V$6:$V$10005,$V384,'①在庫を貼る'!$W$6:$W$10005,$W384)+COUNTIFS('月1回_1ヶ月前の在庫'!$V$6:$V$10005,$V384,'月1回_1ヶ月前の在庫'!$W$6:$W$10005,$W384)&gt;0),N(U383),N(U383)+1))</f>
        <v/>
      </c>
      <c r="V384" s="19">
        <f>IF($B384="","",TEXT($B384,"0000"))</f>
        <v/>
      </c>
      <c r="W384" s="19">
        <f>IF($I384="","",IF(ISNUMBER($I384),TEXT($I384,"0"),$I384))</f>
        <v/>
      </c>
    </row>
    <row r="385">
      <c r="B385" s="25" t="n"/>
      <c r="I385" s="25" t="n"/>
      <c r="U385" s="19">
        <f>IF($V385&lt;&gt;'設定'!$C$4,N(U384),IF(OR(NOT(COUNTIF('商品マスタ'!$B$6:$B$1005,$W385)=0),COUNTIFS('①在庫を貼る'!$V$6:$V$10005,$V385,'①在庫を貼る'!$W$6:$W$10005,$W385)+COUNTIFS('月1回_1ヶ月前の在庫'!$V$6:$V$10005,$V385,'月1回_1ヶ月前の在庫'!$W$6:$W$10005,$W385)&gt;0),N(U384),N(U384)+1))</f>
        <v/>
      </c>
      <c r="V385" s="19">
        <f>IF($B385="","",TEXT($B385,"0000"))</f>
        <v/>
      </c>
      <c r="W385" s="19">
        <f>IF($I385="","",IF(ISNUMBER($I385),TEXT($I385,"0"),$I385))</f>
        <v/>
      </c>
    </row>
    <row r="386">
      <c r="B386" s="25" t="n"/>
      <c r="I386" s="25" t="n"/>
      <c r="U386" s="19">
        <f>IF($V386&lt;&gt;'設定'!$C$4,N(U385),IF(OR(NOT(COUNTIF('商品マスタ'!$B$6:$B$1005,$W386)=0),COUNTIFS('①在庫を貼る'!$V$6:$V$10005,$V386,'①在庫を貼る'!$W$6:$W$10005,$W386)+COUNTIFS('月1回_1ヶ月前の在庫'!$V$6:$V$10005,$V386,'月1回_1ヶ月前の在庫'!$W$6:$W$10005,$W386)&gt;0),N(U385),N(U385)+1))</f>
        <v/>
      </c>
      <c r="V386" s="19">
        <f>IF($B386="","",TEXT($B386,"0000"))</f>
        <v/>
      </c>
      <c r="W386" s="19">
        <f>IF($I386="","",IF(ISNUMBER($I386),TEXT($I386,"0"),$I386))</f>
        <v/>
      </c>
    </row>
    <row r="387">
      <c r="B387" s="25" t="n"/>
      <c r="I387" s="25" t="n"/>
      <c r="U387" s="19">
        <f>IF($V387&lt;&gt;'設定'!$C$4,N(U386),IF(OR(NOT(COUNTIF('商品マスタ'!$B$6:$B$1005,$W387)=0),COUNTIFS('①在庫を貼る'!$V$6:$V$10005,$V387,'①在庫を貼る'!$W$6:$W$10005,$W387)+COUNTIFS('月1回_1ヶ月前の在庫'!$V$6:$V$10005,$V387,'月1回_1ヶ月前の在庫'!$W$6:$W$10005,$W387)&gt;0),N(U386),N(U386)+1))</f>
        <v/>
      </c>
      <c r="V387" s="19">
        <f>IF($B387="","",TEXT($B387,"0000"))</f>
        <v/>
      </c>
      <c r="W387" s="19">
        <f>IF($I387="","",IF(ISNUMBER($I387),TEXT($I387,"0"),$I387))</f>
        <v/>
      </c>
    </row>
    <row r="388">
      <c r="B388" s="25" t="n"/>
      <c r="I388" s="25" t="n"/>
      <c r="U388" s="19">
        <f>IF($V388&lt;&gt;'設定'!$C$4,N(U387),IF(OR(NOT(COUNTIF('商品マスタ'!$B$6:$B$1005,$W388)=0),COUNTIFS('①在庫を貼る'!$V$6:$V$10005,$V388,'①在庫を貼る'!$W$6:$W$10005,$W388)+COUNTIFS('月1回_1ヶ月前の在庫'!$V$6:$V$10005,$V388,'月1回_1ヶ月前の在庫'!$W$6:$W$10005,$W388)&gt;0),N(U387),N(U387)+1))</f>
        <v/>
      </c>
      <c r="V388" s="19">
        <f>IF($B388="","",TEXT($B388,"0000"))</f>
        <v/>
      </c>
      <c r="W388" s="19">
        <f>IF($I388="","",IF(ISNUMBER($I388),TEXT($I388,"0"),$I388))</f>
        <v/>
      </c>
    </row>
    <row r="389">
      <c r="B389" s="25" t="n"/>
      <c r="I389" s="25" t="n"/>
      <c r="U389" s="19">
        <f>IF($V389&lt;&gt;'設定'!$C$4,N(U388),IF(OR(NOT(COUNTIF('商品マスタ'!$B$6:$B$1005,$W389)=0),COUNTIFS('①在庫を貼る'!$V$6:$V$10005,$V389,'①在庫を貼る'!$W$6:$W$10005,$W389)+COUNTIFS('月1回_1ヶ月前の在庫'!$V$6:$V$10005,$V389,'月1回_1ヶ月前の在庫'!$W$6:$W$10005,$W389)&gt;0),N(U388),N(U388)+1))</f>
        <v/>
      </c>
      <c r="V389" s="19">
        <f>IF($B389="","",TEXT($B389,"0000"))</f>
        <v/>
      </c>
      <c r="W389" s="19">
        <f>IF($I389="","",IF(ISNUMBER($I389),TEXT($I389,"0"),$I389))</f>
        <v/>
      </c>
    </row>
    <row r="390">
      <c r="B390" s="25" t="n"/>
      <c r="I390" s="25" t="n"/>
      <c r="U390" s="19">
        <f>IF($V390&lt;&gt;'設定'!$C$4,N(U389),IF(OR(NOT(COUNTIF('商品マスタ'!$B$6:$B$1005,$W390)=0),COUNTIFS('①在庫を貼る'!$V$6:$V$10005,$V390,'①在庫を貼る'!$W$6:$W$10005,$W390)+COUNTIFS('月1回_1ヶ月前の在庫'!$V$6:$V$10005,$V390,'月1回_1ヶ月前の在庫'!$W$6:$W$10005,$W390)&gt;0),N(U389),N(U389)+1))</f>
        <v/>
      </c>
      <c r="V390" s="19">
        <f>IF($B390="","",TEXT($B390,"0000"))</f>
        <v/>
      </c>
      <c r="W390" s="19">
        <f>IF($I390="","",IF(ISNUMBER($I390),TEXT($I390,"0"),$I390))</f>
        <v/>
      </c>
    </row>
    <row r="391">
      <c r="B391" s="25" t="n"/>
      <c r="I391" s="25" t="n"/>
      <c r="U391" s="19">
        <f>IF($V391&lt;&gt;'設定'!$C$4,N(U390),IF(OR(NOT(COUNTIF('商品マスタ'!$B$6:$B$1005,$W391)=0),COUNTIFS('①在庫を貼る'!$V$6:$V$10005,$V391,'①在庫を貼る'!$W$6:$W$10005,$W391)+COUNTIFS('月1回_1ヶ月前の在庫'!$V$6:$V$10005,$V391,'月1回_1ヶ月前の在庫'!$W$6:$W$10005,$W391)&gt;0),N(U390),N(U390)+1))</f>
        <v/>
      </c>
      <c r="V391" s="19">
        <f>IF($B391="","",TEXT($B391,"0000"))</f>
        <v/>
      </c>
      <c r="W391" s="19">
        <f>IF($I391="","",IF(ISNUMBER($I391),TEXT($I391,"0"),$I391))</f>
        <v/>
      </c>
    </row>
    <row r="392">
      <c r="B392" s="25" t="n"/>
      <c r="I392" s="25" t="n"/>
      <c r="U392" s="19">
        <f>IF($V392&lt;&gt;'設定'!$C$4,N(U391),IF(OR(NOT(COUNTIF('商品マスタ'!$B$6:$B$1005,$W392)=0),COUNTIFS('①在庫を貼る'!$V$6:$V$10005,$V392,'①在庫を貼る'!$W$6:$W$10005,$W392)+COUNTIFS('月1回_1ヶ月前の在庫'!$V$6:$V$10005,$V392,'月1回_1ヶ月前の在庫'!$W$6:$W$10005,$W392)&gt;0),N(U391),N(U391)+1))</f>
        <v/>
      </c>
      <c r="V392" s="19">
        <f>IF($B392="","",TEXT($B392,"0000"))</f>
        <v/>
      </c>
      <c r="W392" s="19">
        <f>IF($I392="","",IF(ISNUMBER($I392),TEXT($I392,"0"),$I392))</f>
        <v/>
      </c>
    </row>
    <row r="393">
      <c r="B393" s="25" t="n"/>
      <c r="I393" s="25" t="n"/>
      <c r="U393" s="19">
        <f>IF($V393&lt;&gt;'設定'!$C$4,N(U392),IF(OR(NOT(COUNTIF('商品マスタ'!$B$6:$B$1005,$W393)=0),COUNTIFS('①在庫を貼る'!$V$6:$V$10005,$V393,'①在庫を貼る'!$W$6:$W$10005,$W393)+COUNTIFS('月1回_1ヶ月前の在庫'!$V$6:$V$10005,$V393,'月1回_1ヶ月前の在庫'!$W$6:$W$10005,$W393)&gt;0),N(U392),N(U392)+1))</f>
        <v/>
      </c>
      <c r="V393" s="19">
        <f>IF($B393="","",TEXT($B393,"0000"))</f>
        <v/>
      </c>
      <c r="W393" s="19">
        <f>IF($I393="","",IF(ISNUMBER($I393),TEXT($I393,"0"),$I393))</f>
        <v/>
      </c>
    </row>
    <row r="394">
      <c r="B394" s="25" t="n"/>
      <c r="I394" s="25" t="n"/>
      <c r="U394" s="19">
        <f>IF($V394&lt;&gt;'設定'!$C$4,N(U393),IF(OR(NOT(COUNTIF('商品マスタ'!$B$6:$B$1005,$W394)=0),COUNTIFS('①在庫を貼る'!$V$6:$V$10005,$V394,'①在庫を貼る'!$W$6:$W$10005,$W394)+COUNTIFS('月1回_1ヶ月前の在庫'!$V$6:$V$10005,$V394,'月1回_1ヶ月前の在庫'!$W$6:$W$10005,$W394)&gt;0),N(U393),N(U393)+1))</f>
        <v/>
      </c>
      <c r="V394" s="19">
        <f>IF($B394="","",TEXT($B394,"0000"))</f>
        <v/>
      </c>
      <c r="W394" s="19">
        <f>IF($I394="","",IF(ISNUMBER($I394),TEXT($I394,"0"),$I394))</f>
        <v/>
      </c>
    </row>
    <row r="395">
      <c r="B395" s="25" t="n"/>
      <c r="I395" s="25" t="n"/>
      <c r="U395" s="19">
        <f>IF($V395&lt;&gt;'設定'!$C$4,N(U394),IF(OR(NOT(COUNTIF('商品マスタ'!$B$6:$B$1005,$W395)=0),COUNTIFS('①在庫を貼る'!$V$6:$V$10005,$V395,'①在庫を貼る'!$W$6:$W$10005,$W395)+COUNTIFS('月1回_1ヶ月前の在庫'!$V$6:$V$10005,$V395,'月1回_1ヶ月前の在庫'!$W$6:$W$10005,$W395)&gt;0),N(U394),N(U394)+1))</f>
        <v/>
      </c>
      <c r="V395" s="19">
        <f>IF($B395="","",TEXT($B395,"0000"))</f>
        <v/>
      </c>
      <c r="W395" s="19">
        <f>IF($I395="","",IF(ISNUMBER($I395),TEXT($I395,"0"),$I395))</f>
        <v/>
      </c>
    </row>
    <row r="396">
      <c r="B396" s="25" t="n"/>
      <c r="I396" s="25" t="n"/>
      <c r="U396" s="19">
        <f>IF($V396&lt;&gt;'設定'!$C$4,N(U395),IF(OR(NOT(COUNTIF('商品マスタ'!$B$6:$B$1005,$W396)=0),COUNTIFS('①在庫を貼る'!$V$6:$V$10005,$V396,'①在庫を貼る'!$W$6:$W$10005,$W396)+COUNTIFS('月1回_1ヶ月前の在庫'!$V$6:$V$10005,$V396,'月1回_1ヶ月前の在庫'!$W$6:$W$10005,$W396)&gt;0),N(U395),N(U395)+1))</f>
        <v/>
      </c>
      <c r="V396" s="19">
        <f>IF($B396="","",TEXT($B396,"0000"))</f>
        <v/>
      </c>
      <c r="W396" s="19">
        <f>IF($I396="","",IF(ISNUMBER($I396),TEXT($I396,"0"),$I396))</f>
        <v/>
      </c>
    </row>
    <row r="397">
      <c r="B397" s="25" t="n"/>
      <c r="I397" s="25" t="n"/>
      <c r="U397" s="19">
        <f>IF($V397&lt;&gt;'設定'!$C$4,N(U396),IF(OR(NOT(COUNTIF('商品マスタ'!$B$6:$B$1005,$W397)=0),COUNTIFS('①在庫を貼る'!$V$6:$V$10005,$V397,'①在庫を貼る'!$W$6:$W$10005,$W397)+COUNTIFS('月1回_1ヶ月前の在庫'!$V$6:$V$10005,$V397,'月1回_1ヶ月前の在庫'!$W$6:$W$10005,$W397)&gt;0),N(U396),N(U396)+1))</f>
        <v/>
      </c>
      <c r="V397" s="19">
        <f>IF($B397="","",TEXT($B397,"0000"))</f>
        <v/>
      </c>
      <c r="W397" s="19">
        <f>IF($I397="","",IF(ISNUMBER($I397),TEXT($I397,"0"),$I397))</f>
        <v/>
      </c>
    </row>
    <row r="398">
      <c r="B398" s="25" t="n"/>
      <c r="I398" s="25" t="n"/>
      <c r="U398" s="19">
        <f>IF($V398&lt;&gt;'設定'!$C$4,N(U397),IF(OR(NOT(COUNTIF('商品マスタ'!$B$6:$B$1005,$W398)=0),COUNTIFS('①在庫を貼る'!$V$6:$V$10005,$V398,'①在庫を貼る'!$W$6:$W$10005,$W398)+COUNTIFS('月1回_1ヶ月前の在庫'!$V$6:$V$10005,$V398,'月1回_1ヶ月前の在庫'!$W$6:$W$10005,$W398)&gt;0),N(U397),N(U397)+1))</f>
        <v/>
      </c>
      <c r="V398" s="19">
        <f>IF($B398="","",TEXT($B398,"0000"))</f>
        <v/>
      </c>
      <c r="W398" s="19">
        <f>IF($I398="","",IF(ISNUMBER($I398),TEXT($I398,"0"),$I398))</f>
        <v/>
      </c>
    </row>
    <row r="399">
      <c r="B399" s="25" t="n"/>
      <c r="I399" s="25" t="n"/>
      <c r="U399" s="19">
        <f>IF($V399&lt;&gt;'設定'!$C$4,N(U398),IF(OR(NOT(COUNTIF('商品マスタ'!$B$6:$B$1005,$W399)=0),COUNTIFS('①在庫を貼る'!$V$6:$V$10005,$V399,'①在庫を貼る'!$W$6:$W$10005,$W399)+COUNTIFS('月1回_1ヶ月前の在庫'!$V$6:$V$10005,$V399,'月1回_1ヶ月前の在庫'!$W$6:$W$10005,$W399)&gt;0),N(U398),N(U398)+1))</f>
        <v/>
      </c>
      <c r="V399" s="19">
        <f>IF($B399="","",TEXT($B399,"0000"))</f>
        <v/>
      </c>
      <c r="W399" s="19">
        <f>IF($I399="","",IF(ISNUMBER($I399),TEXT($I399,"0"),$I399))</f>
        <v/>
      </c>
    </row>
    <row r="400">
      <c r="B400" s="25" t="n"/>
      <c r="I400" s="25" t="n"/>
      <c r="U400" s="19">
        <f>IF($V400&lt;&gt;'設定'!$C$4,N(U399),IF(OR(NOT(COUNTIF('商品マスタ'!$B$6:$B$1005,$W400)=0),COUNTIFS('①在庫を貼る'!$V$6:$V$10005,$V400,'①在庫を貼る'!$W$6:$W$10005,$W400)+COUNTIFS('月1回_1ヶ月前の在庫'!$V$6:$V$10005,$V400,'月1回_1ヶ月前の在庫'!$W$6:$W$10005,$W400)&gt;0),N(U399),N(U399)+1))</f>
        <v/>
      </c>
      <c r="V400" s="19">
        <f>IF($B400="","",TEXT($B400,"0000"))</f>
        <v/>
      </c>
      <c r="W400" s="19">
        <f>IF($I400="","",IF(ISNUMBER($I400),TEXT($I400,"0"),$I400))</f>
        <v/>
      </c>
    </row>
    <row r="401">
      <c r="B401" s="25" t="n"/>
      <c r="I401" s="25" t="n"/>
      <c r="U401" s="19">
        <f>IF($V401&lt;&gt;'設定'!$C$4,N(U400),IF(OR(NOT(COUNTIF('商品マスタ'!$B$6:$B$1005,$W401)=0),COUNTIFS('①在庫を貼る'!$V$6:$V$10005,$V401,'①在庫を貼る'!$W$6:$W$10005,$W401)+COUNTIFS('月1回_1ヶ月前の在庫'!$V$6:$V$10005,$V401,'月1回_1ヶ月前の在庫'!$W$6:$W$10005,$W401)&gt;0),N(U400),N(U400)+1))</f>
        <v/>
      </c>
      <c r="V401" s="19">
        <f>IF($B401="","",TEXT($B401,"0000"))</f>
        <v/>
      </c>
      <c r="W401" s="19">
        <f>IF($I401="","",IF(ISNUMBER($I401),TEXT($I401,"0"),$I401))</f>
        <v/>
      </c>
    </row>
    <row r="402">
      <c r="B402" s="25" t="n"/>
      <c r="I402" s="25" t="n"/>
      <c r="U402" s="19">
        <f>IF($V402&lt;&gt;'設定'!$C$4,N(U401),IF(OR(NOT(COUNTIF('商品マスタ'!$B$6:$B$1005,$W402)=0),COUNTIFS('①在庫を貼る'!$V$6:$V$10005,$V402,'①在庫を貼る'!$W$6:$W$10005,$W402)+COUNTIFS('月1回_1ヶ月前の在庫'!$V$6:$V$10005,$V402,'月1回_1ヶ月前の在庫'!$W$6:$W$10005,$W402)&gt;0),N(U401),N(U401)+1))</f>
        <v/>
      </c>
      <c r="V402" s="19">
        <f>IF($B402="","",TEXT($B402,"0000"))</f>
        <v/>
      </c>
      <c r="W402" s="19">
        <f>IF($I402="","",IF(ISNUMBER($I402),TEXT($I402,"0"),$I402))</f>
        <v/>
      </c>
    </row>
    <row r="403">
      <c r="B403" s="25" t="n"/>
      <c r="I403" s="25" t="n"/>
      <c r="U403" s="19">
        <f>IF($V403&lt;&gt;'設定'!$C$4,N(U402),IF(OR(NOT(COUNTIF('商品マスタ'!$B$6:$B$1005,$W403)=0),COUNTIFS('①在庫を貼る'!$V$6:$V$10005,$V403,'①在庫を貼る'!$W$6:$W$10005,$W403)+COUNTIFS('月1回_1ヶ月前の在庫'!$V$6:$V$10005,$V403,'月1回_1ヶ月前の在庫'!$W$6:$W$10005,$W403)&gt;0),N(U402),N(U402)+1))</f>
        <v/>
      </c>
      <c r="V403" s="19">
        <f>IF($B403="","",TEXT($B403,"0000"))</f>
        <v/>
      </c>
      <c r="W403" s="19">
        <f>IF($I403="","",IF(ISNUMBER($I403),TEXT($I403,"0"),$I403))</f>
        <v/>
      </c>
    </row>
    <row r="404">
      <c r="B404" s="25" t="n"/>
      <c r="I404" s="25" t="n"/>
      <c r="U404" s="19">
        <f>IF($V404&lt;&gt;'設定'!$C$4,N(U403),IF(OR(NOT(COUNTIF('商品マスタ'!$B$6:$B$1005,$W404)=0),COUNTIFS('①在庫を貼る'!$V$6:$V$10005,$V404,'①在庫を貼る'!$W$6:$W$10005,$W404)+COUNTIFS('月1回_1ヶ月前の在庫'!$V$6:$V$10005,$V404,'月1回_1ヶ月前の在庫'!$W$6:$W$10005,$W404)&gt;0),N(U403),N(U403)+1))</f>
        <v/>
      </c>
      <c r="V404" s="19">
        <f>IF($B404="","",TEXT($B404,"0000"))</f>
        <v/>
      </c>
      <c r="W404" s="19">
        <f>IF($I404="","",IF(ISNUMBER($I404),TEXT($I404,"0"),$I404))</f>
        <v/>
      </c>
    </row>
    <row r="405">
      <c r="B405" s="25" t="n"/>
      <c r="I405" s="25" t="n"/>
      <c r="U405" s="19">
        <f>IF($V405&lt;&gt;'設定'!$C$4,N(U404),IF(OR(NOT(COUNTIF('商品マスタ'!$B$6:$B$1005,$W405)=0),COUNTIFS('①在庫を貼る'!$V$6:$V$10005,$V405,'①在庫を貼る'!$W$6:$W$10005,$W405)+COUNTIFS('月1回_1ヶ月前の在庫'!$V$6:$V$10005,$V405,'月1回_1ヶ月前の在庫'!$W$6:$W$10005,$W405)&gt;0),N(U404),N(U404)+1))</f>
        <v/>
      </c>
      <c r="V405" s="19">
        <f>IF($B405="","",TEXT($B405,"0000"))</f>
        <v/>
      </c>
      <c r="W405" s="19">
        <f>IF($I405="","",IF(ISNUMBER($I405),TEXT($I405,"0"),$I405))</f>
        <v/>
      </c>
    </row>
    <row r="406">
      <c r="B406" s="25" t="n"/>
      <c r="I406" s="25" t="n"/>
      <c r="U406" s="19">
        <f>IF($V406&lt;&gt;'設定'!$C$4,N(U405),IF(OR(NOT(COUNTIF('商品マスタ'!$B$6:$B$1005,$W406)=0),COUNTIFS('①在庫を貼る'!$V$6:$V$10005,$V406,'①在庫を貼る'!$W$6:$W$10005,$W406)+COUNTIFS('月1回_1ヶ月前の在庫'!$V$6:$V$10005,$V406,'月1回_1ヶ月前の在庫'!$W$6:$W$10005,$W406)&gt;0),N(U405),N(U405)+1))</f>
        <v/>
      </c>
      <c r="V406" s="19">
        <f>IF($B406="","",TEXT($B406,"0000"))</f>
        <v/>
      </c>
      <c r="W406" s="19">
        <f>IF($I406="","",IF(ISNUMBER($I406),TEXT($I406,"0"),$I406))</f>
        <v/>
      </c>
    </row>
    <row r="407">
      <c r="B407" s="25" t="n"/>
      <c r="I407" s="25" t="n"/>
      <c r="U407" s="19">
        <f>IF($V407&lt;&gt;'設定'!$C$4,N(U406),IF(OR(NOT(COUNTIF('商品マスタ'!$B$6:$B$1005,$W407)=0),COUNTIFS('①在庫を貼る'!$V$6:$V$10005,$V407,'①在庫を貼る'!$W$6:$W$10005,$W407)+COUNTIFS('月1回_1ヶ月前の在庫'!$V$6:$V$10005,$V407,'月1回_1ヶ月前の在庫'!$W$6:$W$10005,$W407)&gt;0),N(U406),N(U406)+1))</f>
        <v/>
      </c>
      <c r="V407" s="19">
        <f>IF($B407="","",TEXT($B407,"0000"))</f>
        <v/>
      </c>
      <c r="W407" s="19">
        <f>IF($I407="","",IF(ISNUMBER($I407),TEXT($I407,"0"),$I407))</f>
        <v/>
      </c>
    </row>
    <row r="408">
      <c r="B408" s="25" t="n"/>
      <c r="I408" s="25" t="n"/>
      <c r="U408" s="19">
        <f>IF($V408&lt;&gt;'設定'!$C$4,N(U407),IF(OR(NOT(COUNTIF('商品マスタ'!$B$6:$B$1005,$W408)=0),COUNTIFS('①在庫を貼る'!$V$6:$V$10005,$V408,'①在庫を貼る'!$W$6:$W$10005,$W408)+COUNTIFS('月1回_1ヶ月前の在庫'!$V$6:$V$10005,$V408,'月1回_1ヶ月前の在庫'!$W$6:$W$10005,$W408)&gt;0),N(U407),N(U407)+1))</f>
        <v/>
      </c>
      <c r="V408" s="19">
        <f>IF($B408="","",TEXT($B408,"0000"))</f>
        <v/>
      </c>
      <c r="W408" s="19">
        <f>IF($I408="","",IF(ISNUMBER($I408),TEXT($I408,"0"),$I408))</f>
        <v/>
      </c>
    </row>
    <row r="409">
      <c r="B409" s="25" t="n"/>
      <c r="I409" s="25" t="n"/>
      <c r="U409" s="19">
        <f>IF($V409&lt;&gt;'設定'!$C$4,N(U408),IF(OR(NOT(COUNTIF('商品マスタ'!$B$6:$B$1005,$W409)=0),COUNTIFS('①在庫を貼る'!$V$6:$V$10005,$V409,'①在庫を貼る'!$W$6:$W$10005,$W409)+COUNTIFS('月1回_1ヶ月前の在庫'!$V$6:$V$10005,$V409,'月1回_1ヶ月前の在庫'!$W$6:$W$10005,$W409)&gt;0),N(U408),N(U408)+1))</f>
        <v/>
      </c>
      <c r="V409" s="19">
        <f>IF($B409="","",TEXT($B409,"0000"))</f>
        <v/>
      </c>
      <c r="W409" s="19">
        <f>IF($I409="","",IF(ISNUMBER($I409),TEXT($I409,"0"),$I409))</f>
        <v/>
      </c>
    </row>
    <row r="410">
      <c r="B410" s="25" t="n"/>
      <c r="I410" s="25" t="n"/>
      <c r="U410" s="19">
        <f>IF($V410&lt;&gt;'設定'!$C$4,N(U409),IF(OR(NOT(COUNTIF('商品マスタ'!$B$6:$B$1005,$W410)=0),COUNTIFS('①在庫を貼る'!$V$6:$V$10005,$V410,'①在庫を貼る'!$W$6:$W$10005,$W410)+COUNTIFS('月1回_1ヶ月前の在庫'!$V$6:$V$10005,$V410,'月1回_1ヶ月前の在庫'!$W$6:$W$10005,$W410)&gt;0),N(U409),N(U409)+1))</f>
        <v/>
      </c>
      <c r="V410" s="19">
        <f>IF($B410="","",TEXT($B410,"0000"))</f>
        <v/>
      </c>
      <c r="W410" s="19">
        <f>IF($I410="","",IF(ISNUMBER($I410),TEXT($I410,"0"),$I410))</f>
        <v/>
      </c>
    </row>
    <row r="411">
      <c r="B411" s="25" t="n"/>
      <c r="I411" s="25" t="n"/>
      <c r="U411" s="19">
        <f>IF($V411&lt;&gt;'設定'!$C$4,N(U410),IF(OR(NOT(COUNTIF('商品マスタ'!$B$6:$B$1005,$W411)=0),COUNTIFS('①在庫を貼る'!$V$6:$V$10005,$V411,'①在庫を貼る'!$W$6:$W$10005,$W411)+COUNTIFS('月1回_1ヶ月前の在庫'!$V$6:$V$10005,$V411,'月1回_1ヶ月前の在庫'!$W$6:$W$10005,$W411)&gt;0),N(U410),N(U410)+1))</f>
        <v/>
      </c>
      <c r="V411" s="19">
        <f>IF($B411="","",TEXT($B411,"0000"))</f>
        <v/>
      </c>
      <c r="W411" s="19">
        <f>IF($I411="","",IF(ISNUMBER($I411),TEXT($I411,"0"),$I411))</f>
        <v/>
      </c>
    </row>
    <row r="412">
      <c r="B412" s="25" t="n"/>
      <c r="I412" s="25" t="n"/>
      <c r="U412" s="19">
        <f>IF($V412&lt;&gt;'設定'!$C$4,N(U411),IF(OR(NOT(COUNTIF('商品マスタ'!$B$6:$B$1005,$W412)=0),COUNTIFS('①在庫を貼る'!$V$6:$V$10005,$V412,'①在庫を貼る'!$W$6:$W$10005,$W412)+COUNTIFS('月1回_1ヶ月前の在庫'!$V$6:$V$10005,$V412,'月1回_1ヶ月前の在庫'!$W$6:$W$10005,$W412)&gt;0),N(U411),N(U411)+1))</f>
        <v/>
      </c>
      <c r="V412" s="19">
        <f>IF($B412="","",TEXT($B412,"0000"))</f>
        <v/>
      </c>
      <c r="W412" s="19">
        <f>IF($I412="","",IF(ISNUMBER($I412),TEXT($I412,"0"),$I412))</f>
        <v/>
      </c>
    </row>
    <row r="413">
      <c r="B413" s="25" t="n"/>
      <c r="I413" s="25" t="n"/>
      <c r="U413" s="19">
        <f>IF($V413&lt;&gt;'設定'!$C$4,N(U412),IF(OR(NOT(COUNTIF('商品マスタ'!$B$6:$B$1005,$W413)=0),COUNTIFS('①在庫を貼る'!$V$6:$V$10005,$V413,'①在庫を貼る'!$W$6:$W$10005,$W413)+COUNTIFS('月1回_1ヶ月前の在庫'!$V$6:$V$10005,$V413,'月1回_1ヶ月前の在庫'!$W$6:$W$10005,$W413)&gt;0),N(U412),N(U412)+1))</f>
        <v/>
      </c>
      <c r="V413" s="19">
        <f>IF($B413="","",TEXT($B413,"0000"))</f>
        <v/>
      </c>
      <c r="W413" s="19">
        <f>IF($I413="","",IF(ISNUMBER($I413),TEXT($I413,"0"),$I413))</f>
        <v/>
      </c>
    </row>
    <row r="414">
      <c r="B414" s="25" t="n"/>
      <c r="I414" s="25" t="n"/>
      <c r="U414" s="19">
        <f>IF($V414&lt;&gt;'設定'!$C$4,N(U413),IF(OR(NOT(COUNTIF('商品マスタ'!$B$6:$B$1005,$W414)=0),COUNTIFS('①在庫を貼る'!$V$6:$V$10005,$V414,'①在庫を貼る'!$W$6:$W$10005,$W414)+COUNTIFS('月1回_1ヶ月前の在庫'!$V$6:$V$10005,$V414,'月1回_1ヶ月前の在庫'!$W$6:$W$10005,$W414)&gt;0),N(U413),N(U413)+1))</f>
        <v/>
      </c>
      <c r="V414" s="19">
        <f>IF($B414="","",TEXT($B414,"0000"))</f>
        <v/>
      </c>
      <c r="W414" s="19">
        <f>IF($I414="","",IF(ISNUMBER($I414),TEXT($I414,"0"),$I414))</f>
        <v/>
      </c>
    </row>
    <row r="415">
      <c r="B415" s="25" t="n"/>
      <c r="I415" s="25" t="n"/>
      <c r="U415" s="19">
        <f>IF($V415&lt;&gt;'設定'!$C$4,N(U414),IF(OR(NOT(COUNTIF('商品マスタ'!$B$6:$B$1005,$W415)=0),COUNTIFS('①在庫を貼る'!$V$6:$V$10005,$V415,'①在庫を貼る'!$W$6:$W$10005,$W415)+COUNTIFS('月1回_1ヶ月前の在庫'!$V$6:$V$10005,$V415,'月1回_1ヶ月前の在庫'!$W$6:$W$10005,$W415)&gt;0),N(U414),N(U414)+1))</f>
        <v/>
      </c>
      <c r="V415" s="19">
        <f>IF($B415="","",TEXT($B415,"0000"))</f>
        <v/>
      </c>
      <c r="W415" s="19">
        <f>IF($I415="","",IF(ISNUMBER($I415),TEXT($I415,"0"),$I415))</f>
        <v/>
      </c>
    </row>
    <row r="416">
      <c r="B416" s="25" t="n"/>
      <c r="I416" s="25" t="n"/>
      <c r="U416" s="19">
        <f>IF($V416&lt;&gt;'設定'!$C$4,N(U415),IF(OR(NOT(COUNTIF('商品マスタ'!$B$6:$B$1005,$W416)=0),COUNTIFS('①在庫を貼る'!$V$6:$V$10005,$V416,'①在庫を貼る'!$W$6:$W$10005,$W416)+COUNTIFS('月1回_1ヶ月前の在庫'!$V$6:$V$10005,$V416,'月1回_1ヶ月前の在庫'!$W$6:$W$10005,$W416)&gt;0),N(U415),N(U415)+1))</f>
        <v/>
      </c>
      <c r="V416" s="19">
        <f>IF($B416="","",TEXT($B416,"0000"))</f>
        <v/>
      </c>
      <c r="W416" s="19">
        <f>IF($I416="","",IF(ISNUMBER($I416),TEXT($I416,"0"),$I416))</f>
        <v/>
      </c>
    </row>
    <row r="417">
      <c r="B417" s="25" t="n"/>
      <c r="I417" s="25" t="n"/>
      <c r="U417" s="19">
        <f>IF($V417&lt;&gt;'設定'!$C$4,N(U416),IF(OR(NOT(COUNTIF('商品マスタ'!$B$6:$B$1005,$W417)=0),COUNTIFS('①在庫を貼る'!$V$6:$V$10005,$V417,'①在庫を貼る'!$W$6:$W$10005,$W417)+COUNTIFS('月1回_1ヶ月前の在庫'!$V$6:$V$10005,$V417,'月1回_1ヶ月前の在庫'!$W$6:$W$10005,$W417)&gt;0),N(U416),N(U416)+1))</f>
        <v/>
      </c>
      <c r="V417" s="19">
        <f>IF($B417="","",TEXT($B417,"0000"))</f>
        <v/>
      </c>
      <c r="W417" s="19">
        <f>IF($I417="","",IF(ISNUMBER($I417),TEXT($I417,"0"),$I417))</f>
        <v/>
      </c>
    </row>
    <row r="418">
      <c r="B418" s="25" t="n"/>
      <c r="I418" s="25" t="n"/>
      <c r="U418" s="19">
        <f>IF($V418&lt;&gt;'設定'!$C$4,N(U417),IF(OR(NOT(COUNTIF('商品マスタ'!$B$6:$B$1005,$W418)=0),COUNTIFS('①在庫を貼る'!$V$6:$V$10005,$V418,'①在庫を貼る'!$W$6:$W$10005,$W418)+COUNTIFS('月1回_1ヶ月前の在庫'!$V$6:$V$10005,$V418,'月1回_1ヶ月前の在庫'!$W$6:$W$10005,$W418)&gt;0),N(U417),N(U417)+1))</f>
        <v/>
      </c>
      <c r="V418" s="19">
        <f>IF($B418="","",TEXT($B418,"0000"))</f>
        <v/>
      </c>
      <c r="W418" s="19">
        <f>IF($I418="","",IF(ISNUMBER($I418),TEXT($I418,"0"),$I418))</f>
        <v/>
      </c>
    </row>
    <row r="419">
      <c r="B419" s="25" t="n"/>
      <c r="I419" s="25" t="n"/>
      <c r="U419" s="19">
        <f>IF($V419&lt;&gt;'設定'!$C$4,N(U418),IF(OR(NOT(COUNTIF('商品マスタ'!$B$6:$B$1005,$W419)=0),COUNTIFS('①在庫を貼る'!$V$6:$V$10005,$V419,'①在庫を貼る'!$W$6:$W$10005,$W419)+COUNTIFS('月1回_1ヶ月前の在庫'!$V$6:$V$10005,$V419,'月1回_1ヶ月前の在庫'!$W$6:$W$10005,$W419)&gt;0),N(U418),N(U418)+1))</f>
        <v/>
      </c>
      <c r="V419" s="19">
        <f>IF($B419="","",TEXT($B419,"0000"))</f>
        <v/>
      </c>
      <c r="W419" s="19">
        <f>IF($I419="","",IF(ISNUMBER($I419),TEXT($I419,"0"),$I419))</f>
        <v/>
      </c>
    </row>
    <row r="420">
      <c r="B420" s="25" t="n"/>
      <c r="I420" s="25" t="n"/>
      <c r="U420" s="19">
        <f>IF($V420&lt;&gt;'設定'!$C$4,N(U419),IF(OR(NOT(COUNTIF('商品マスタ'!$B$6:$B$1005,$W420)=0),COUNTIFS('①在庫を貼る'!$V$6:$V$10005,$V420,'①在庫を貼る'!$W$6:$W$10005,$W420)+COUNTIFS('月1回_1ヶ月前の在庫'!$V$6:$V$10005,$V420,'月1回_1ヶ月前の在庫'!$W$6:$W$10005,$W420)&gt;0),N(U419),N(U419)+1))</f>
        <v/>
      </c>
      <c r="V420" s="19">
        <f>IF($B420="","",TEXT($B420,"0000"))</f>
        <v/>
      </c>
      <c r="W420" s="19">
        <f>IF($I420="","",IF(ISNUMBER($I420),TEXT($I420,"0"),$I420))</f>
        <v/>
      </c>
    </row>
    <row r="421">
      <c r="B421" s="25" t="n"/>
      <c r="I421" s="25" t="n"/>
      <c r="U421" s="19">
        <f>IF($V421&lt;&gt;'設定'!$C$4,N(U420),IF(OR(NOT(COUNTIF('商品マスタ'!$B$6:$B$1005,$W421)=0),COUNTIFS('①在庫を貼る'!$V$6:$V$10005,$V421,'①在庫を貼る'!$W$6:$W$10005,$W421)+COUNTIFS('月1回_1ヶ月前の在庫'!$V$6:$V$10005,$V421,'月1回_1ヶ月前の在庫'!$W$6:$W$10005,$W421)&gt;0),N(U420),N(U420)+1))</f>
        <v/>
      </c>
      <c r="V421" s="19">
        <f>IF($B421="","",TEXT($B421,"0000"))</f>
        <v/>
      </c>
      <c r="W421" s="19">
        <f>IF($I421="","",IF(ISNUMBER($I421),TEXT($I421,"0"),$I421))</f>
        <v/>
      </c>
    </row>
    <row r="422">
      <c r="B422" s="25" t="n"/>
      <c r="I422" s="25" t="n"/>
      <c r="U422" s="19">
        <f>IF($V422&lt;&gt;'設定'!$C$4,N(U421),IF(OR(NOT(COUNTIF('商品マスタ'!$B$6:$B$1005,$W422)=0),COUNTIFS('①在庫を貼る'!$V$6:$V$10005,$V422,'①在庫を貼る'!$W$6:$W$10005,$W422)+COUNTIFS('月1回_1ヶ月前の在庫'!$V$6:$V$10005,$V422,'月1回_1ヶ月前の在庫'!$W$6:$W$10005,$W422)&gt;0),N(U421),N(U421)+1))</f>
        <v/>
      </c>
      <c r="V422" s="19">
        <f>IF($B422="","",TEXT($B422,"0000"))</f>
        <v/>
      </c>
      <c r="W422" s="19">
        <f>IF($I422="","",IF(ISNUMBER($I422),TEXT($I422,"0"),$I422))</f>
        <v/>
      </c>
    </row>
    <row r="423">
      <c r="B423" s="25" t="n"/>
      <c r="I423" s="25" t="n"/>
      <c r="U423" s="19">
        <f>IF($V423&lt;&gt;'設定'!$C$4,N(U422),IF(OR(NOT(COUNTIF('商品マスタ'!$B$6:$B$1005,$W423)=0),COUNTIFS('①在庫を貼る'!$V$6:$V$10005,$V423,'①在庫を貼る'!$W$6:$W$10005,$W423)+COUNTIFS('月1回_1ヶ月前の在庫'!$V$6:$V$10005,$V423,'月1回_1ヶ月前の在庫'!$W$6:$W$10005,$W423)&gt;0),N(U422),N(U422)+1))</f>
        <v/>
      </c>
      <c r="V423" s="19">
        <f>IF($B423="","",TEXT($B423,"0000"))</f>
        <v/>
      </c>
      <c r="W423" s="19">
        <f>IF($I423="","",IF(ISNUMBER($I423),TEXT($I423,"0"),$I423))</f>
        <v/>
      </c>
    </row>
    <row r="424">
      <c r="B424" s="25" t="n"/>
      <c r="I424" s="25" t="n"/>
      <c r="U424" s="19">
        <f>IF($V424&lt;&gt;'設定'!$C$4,N(U423),IF(OR(NOT(COUNTIF('商品マスタ'!$B$6:$B$1005,$W424)=0),COUNTIFS('①在庫を貼る'!$V$6:$V$10005,$V424,'①在庫を貼る'!$W$6:$W$10005,$W424)+COUNTIFS('月1回_1ヶ月前の在庫'!$V$6:$V$10005,$V424,'月1回_1ヶ月前の在庫'!$W$6:$W$10005,$W424)&gt;0),N(U423),N(U423)+1))</f>
        <v/>
      </c>
      <c r="V424" s="19">
        <f>IF($B424="","",TEXT($B424,"0000"))</f>
        <v/>
      </c>
      <c r="W424" s="19">
        <f>IF($I424="","",IF(ISNUMBER($I424),TEXT($I424,"0"),$I424))</f>
        <v/>
      </c>
    </row>
    <row r="425">
      <c r="B425" s="25" t="n"/>
      <c r="I425" s="25" t="n"/>
      <c r="U425" s="19">
        <f>IF($V425&lt;&gt;'設定'!$C$4,N(U424),IF(OR(NOT(COUNTIF('商品マスタ'!$B$6:$B$1005,$W425)=0),COUNTIFS('①在庫を貼る'!$V$6:$V$10005,$V425,'①在庫を貼る'!$W$6:$W$10005,$W425)+COUNTIFS('月1回_1ヶ月前の在庫'!$V$6:$V$10005,$V425,'月1回_1ヶ月前の在庫'!$W$6:$W$10005,$W425)&gt;0),N(U424),N(U424)+1))</f>
        <v/>
      </c>
      <c r="V425" s="19">
        <f>IF($B425="","",TEXT($B425,"0000"))</f>
        <v/>
      </c>
      <c r="W425" s="19">
        <f>IF($I425="","",IF(ISNUMBER($I425),TEXT($I425,"0"),$I425))</f>
        <v/>
      </c>
    </row>
    <row r="426">
      <c r="B426" s="25" t="n"/>
      <c r="I426" s="25" t="n"/>
      <c r="U426" s="19">
        <f>IF($V426&lt;&gt;'設定'!$C$4,N(U425),IF(OR(NOT(COUNTIF('商品マスタ'!$B$6:$B$1005,$W426)=0),COUNTIFS('①在庫を貼る'!$V$6:$V$10005,$V426,'①在庫を貼る'!$W$6:$W$10005,$W426)+COUNTIFS('月1回_1ヶ月前の在庫'!$V$6:$V$10005,$V426,'月1回_1ヶ月前の在庫'!$W$6:$W$10005,$W426)&gt;0),N(U425),N(U425)+1))</f>
        <v/>
      </c>
      <c r="V426" s="19">
        <f>IF($B426="","",TEXT($B426,"0000"))</f>
        <v/>
      </c>
      <c r="W426" s="19">
        <f>IF($I426="","",IF(ISNUMBER($I426),TEXT($I426,"0"),$I426))</f>
        <v/>
      </c>
    </row>
    <row r="427">
      <c r="B427" s="25" t="n"/>
      <c r="I427" s="25" t="n"/>
      <c r="U427" s="19">
        <f>IF($V427&lt;&gt;'設定'!$C$4,N(U426),IF(OR(NOT(COUNTIF('商品マスタ'!$B$6:$B$1005,$W427)=0),COUNTIFS('①在庫を貼る'!$V$6:$V$10005,$V427,'①在庫を貼る'!$W$6:$W$10005,$W427)+COUNTIFS('月1回_1ヶ月前の在庫'!$V$6:$V$10005,$V427,'月1回_1ヶ月前の在庫'!$W$6:$W$10005,$W427)&gt;0),N(U426),N(U426)+1))</f>
        <v/>
      </c>
      <c r="V427" s="19">
        <f>IF($B427="","",TEXT($B427,"0000"))</f>
        <v/>
      </c>
      <c r="W427" s="19">
        <f>IF($I427="","",IF(ISNUMBER($I427),TEXT($I427,"0"),$I427))</f>
        <v/>
      </c>
    </row>
    <row r="428">
      <c r="B428" s="25" t="n"/>
      <c r="I428" s="25" t="n"/>
      <c r="U428" s="19">
        <f>IF($V428&lt;&gt;'設定'!$C$4,N(U427),IF(OR(NOT(COUNTIF('商品マスタ'!$B$6:$B$1005,$W428)=0),COUNTIFS('①在庫を貼る'!$V$6:$V$10005,$V428,'①在庫を貼る'!$W$6:$W$10005,$W428)+COUNTIFS('月1回_1ヶ月前の在庫'!$V$6:$V$10005,$V428,'月1回_1ヶ月前の在庫'!$W$6:$W$10005,$W428)&gt;0),N(U427),N(U427)+1))</f>
        <v/>
      </c>
      <c r="V428" s="19">
        <f>IF($B428="","",TEXT($B428,"0000"))</f>
        <v/>
      </c>
      <c r="W428" s="19">
        <f>IF($I428="","",IF(ISNUMBER($I428),TEXT($I428,"0"),$I428))</f>
        <v/>
      </c>
    </row>
    <row r="429">
      <c r="B429" s="25" t="n"/>
      <c r="I429" s="25" t="n"/>
      <c r="U429" s="19">
        <f>IF($V429&lt;&gt;'設定'!$C$4,N(U428),IF(OR(NOT(COUNTIF('商品マスタ'!$B$6:$B$1005,$W429)=0),COUNTIFS('①在庫を貼る'!$V$6:$V$10005,$V429,'①在庫を貼る'!$W$6:$W$10005,$W429)+COUNTIFS('月1回_1ヶ月前の在庫'!$V$6:$V$10005,$V429,'月1回_1ヶ月前の在庫'!$W$6:$W$10005,$W429)&gt;0),N(U428),N(U428)+1))</f>
        <v/>
      </c>
      <c r="V429" s="19">
        <f>IF($B429="","",TEXT($B429,"0000"))</f>
        <v/>
      </c>
      <c r="W429" s="19">
        <f>IF($I429="","",IF(ISNUMBER($I429),TEXT($I429,"0"),$I429))</f>
        <v/>
      </c>
    </row>
    <row r="430">
      <c r="B430" s="25" t="n"/>
      <c r="I430" s="25" t="n"/>
      <c r="U430" s="19">
        <f>IF($V430&lt;&gt;'設定'!$C$4,N(U429),IF(OR(NOT(COUNTIF('商品マスタ'!$B$6:$B$1005,$W430)=0),COUNTIFS('①在庫を貼る'!$V$6:$V$10005,$V430,'①在庫を貼る'!$W$6:$W$10005,$W430)+COUNTIFS('月1回_1ヶ月前の在庫'!$V$6:$V$10005,$V430,'月1回_1ヶ月前の在庫'!$W$6:$W$10005,$W430)&gt;0),N(U429),N(U429)+1))</f>
        <v/>
      </c>
      <c r="V430" s="19">
        <f>IF($B430="","",TEXT($B430,"0000"))</f>
        <v/>
      </c>
      <c r="W430" s="19">
        <f>IF($I430="","",IF(ISNUMBER($I430),TEXT($I430,"0"),$I430))</f>
        <v/>
      </c>
    </row>
    <row r="431">
      <c r="B431" s="25" t="n"/>
      <c r="I431" s="25" t="n"/>
      <c r="U431" s="19">
        <f>IF($V431&lt;&gt;'設定'!$C$4,N(U430),IF(OR(NOT(COUNTIF('商品マスタ'!$B$6:$B$1005,$W431)=0),COUNTIFS('①在庫を貼る'!$V$6:$V$10005,$V431,'①在庫を貼る'!$W$6:$W$10005,$W431)+COUNTIFS('月1回_1ヶ月前の在庫'!$V$6:$V$10005,$V431,'月1回_1ヶ月前の在庫'!$W$6:$W$10005,$W431)&gt;0),N(U430),N(U430)+1))</f>
        <v/>
      </c>
      <c r="V431" s="19">
        <f>IF($B431="","",TEXT($B431,"0000"))</f>
        <v/>
      </c>
      <c r="W431" s="19">
        <f>IF($I431="","",IF(ISNUMBER($I431),TEXT($I431,"0"),$I431))</f>
        <v/>
      </c>
    </row>
    <row r="432">
      <c r="B432" s="25" t="n"/>
      <c r="I432" s="25" t="n"/>
      <c r="U432" s="19">
        <f>IF($V432&lt;&gt;'設定'!$C$4,N(U431),IF(OR(NOT(COUNTIF('商品マスタ'!$B$6:$B$1005,$W432)=0),COUNTIFS('①在庫を貼る'!$V$6:$V$10005,$V432,'①在庫を貼る'!$W$6:$W$10005,$W432)+COUNTIFS('月1回_1ヶ月前の在庫'!$V$6:$V$10005,$V432,'月1回_1ヶ月前の在庫'!$W$6:$W$10005,$W432)&gt;0),N(U431),N(U431)+1))</f>
        <v/>
      </c>
      <c r="V432" s="19">
        <f>IF($B432="","",TEXT($B432,"0000"))</f>
        <v/>
      </c>
      <c r="W432" s="19">
        <f>IF($I432="","",IF(ISNUMBER($I432),TEXT($I432,"0"),$I432))</f>
        <v/>
      </c>
    </row>
    <row r="433">
      <c r="B433" s="25" t="n"/>
      <c r="I433" s="25" t="n"/>
      <c r="U433" s="19">
        <f>IF($V433&lt;&gt;'設定'!$C$4,N(U432),IF(OR(NOT(COUNTIF('商品マスタ'!$B$6:$B$1005,$W433)=0),COUNTIFS('①在庫を貼る'!$V$6:$V$10005,$V433,'①在庫を貼る'!$W$6:$W$10005,$W433)+COUNTIFS('月1回_1ヶ月前の在庫'!$V$6:$V$10005,$V433,'月1回_1ヶ月前の在庫'!$W$6:$W$10005,$W433)&gt;0),N(U432),N(U432)+1))</f>
        <v/>
      </c>
      <c r="V433" s="19">
        <f>IF($B433="","",TEXT($B433,"0000"))</f>
        <v/>
      </c>
      <c r="W433" s="19">
        <f>IF($I433="","",IF(ISNUMBER($I433),TEXT($I433,"0"),$I433))</f>
        <v/>
      </c>
    </row>
    <row r="434">
      <c r="B434" s="25" t="n"/>
      <c r="I434" s="25" t="n"/>
      <c r="U434" s="19">
        <f>IF($V434&lt;&gt;'設定'!$C$4,N(U433),IF(OR(NOT(COUNTIF('商品マスタ'!$B$6:$B$1005,$W434)=0),COUNTIFS('①在庫を貼る'!$V$6:$V$10005,$V434,'①在庫を貼る'!$W$6:$W$10005,$W434)+COUNTIFS('月1回_1ヶ月前の在庫'!$V$6:$V$10005,$V434,'月1回_1ヶ月前の在庫'!$W$6:$W$10005,$W434)&gt;0),N(U433),N(U433)+1))</f>
        <v/>
      </c>
      <c r="V434" s="19">
        <f>IF($B434="","",TEXT($B434,"0000"))</f>
        <v/>
      </c>
      <c r="W434" s="19">
        <f>IF($I434="","",IF(ISNUMBER($I434),TEXT($I434,"0"),$I434))</f>
        <v/>
      </c>
    </row>
    <row r="435">
      <c r="B435" s="25" t="n"/>
      <c r="I435" s="25" t="n"/>
      <c r="U435" s="19">
        <f>IF($V435&lt;&gt;'設定'!$C$4,N(U434),IF(OR(NOT(COUNTIF('商品マスタ'!$B$6:$B$1005,$W435)=0),COUNTIFS('①在庫を貼る'!$V$6:$V$10005,$V435,'①在庫を貼る'!$W$6:$W$10005,$W435)+COUNTIFS('月1回_1ヶ月前の在庫'!$V$6:$V$10005,$V435,'月1回_1ヶ月前の在庫'!$W$6:$W$10005,$W435)&gt;0),N(U434),N(U434)+1))</f>
        <v/>
      </c>
      <c r="V435" s="19">
        <f>IF($B435="","",TEXT($B435,"0000"))</f>
        <v/>
      </c>
      <c r="W435" s="19">
        <f>IF($I435="","",IF(ISNUMBER($I435),TEXT($I435,"0"),$I435))</f>
        <v/>
      </c>
    </row>
    <row r="436">
      <c r="B436" s="25" t="n"/>
      <c r="I436" s="25" t="n"/>
      <c r="U436" s="19">
        <f>IF($V436&lt;&gt;'設定'!$C$4,N(U435),IF(OR(NOT(COUNTIF('商品マスタ'!$B$6:$B$1005,$W436)=0),COUNTIFS('①在庫を貼る'!$V$6:$V$10005,$V436,'①在庫を貼る'!$W$6:$W$10005,$W436)+COUNTIFS('月1回_1ヶ月前の在庫'!$V$6:$V$10005,$V436,'月1回_1ヶ月前の在庫'!$W$6:$W$10005,$W436)&gt;0),N(U435),N(U435)+1))</f>
        <v/>
      </c>
      <c r="V436" s="19">
        <f>IF($B436="","",TEXT($B436,"0000"))</f>
        <v/>
      </c>
      <c r="W436" s="19">
        <f>IF($I436="","",IF(ISNUMBER($I436),TEXT($I436,"0"),$I436))</f>
        <v/>
      </c>
    </row>
    <row r="437">
      <c r="B437" s="25" t="n"/>
      <c r="I437" s="25" t="n"/>
      <c r="U437" s="19">
        <f>IF($V437&lt;&gt;'設定'!$C$4,N(U436),IF(OR(NOT(COUNTIF('商品マスタ'!$B$6:$B$1005,$W437)=0),COUNTIFS('①在庫を貼る'!$V$6:$V$10005,$V437,'①在庫を貼る'!$W$6:$W$10005,$W437)+COUNTIFS('月1回_1ヶ月前の在庫'!$V$6:$V$10005,$V437,'月1回_1ヶ月前の在庫'!$W$6:$W$10005,$W437)&gt;0),N(U436),N(U436)+1))</f>
        <v/>
      </c>
      <c r="V437" s="19">
        <f>IF($B437="","",TEXT($B437,"0000"))</f>
        <v/>
      </c>
      <c r="W437" s="19">
        <f>IF($I437="","",IF(ISNUMBER($I437),TEXT($I437,"0"),$I437))</f>
        <v/>
      </c>
    </row>
    <row r="438">
      <c r="B438" s="25" t="n"/>
      <c r="I438" s="25" t="n"/>
      <c r="U438" s="19">
        <f>IF($V438&lt;&gt;'設定'!$C$4,N(U437),IF(OR(NOT(COUNTIF('商品マスタ'!$B$6:$B$1005,$W438)=0),COUNTIFS('①在庫を貼る'!$V$6:$V$10005,$V438,'①在庫を貼る'!$W$6:$W$10005,$W438)+COUNTIFS('月1回_1ヶ月前の在庫'!$V$6:$V$10005,$V438,'月1回_1ヶ月前の在庫'!$W$6:$W$10005,$W438)&gt;0),N(U437),N(U437)+1))</f>
        <v/>
      </c>
      <c r="V438" s="19">
        <f>IF($B438="","",TEXT($B438,"0000"))</f>
        <v/>
      </c>
      <c r="W438" s="19">
        <f>IF($I438="","",IF(ISNUMBER($I438),TEXT($I438,"0"),$I438))</f>
        <v/>
      </c>
    </row>
    <row r="439">
      <c r="B439" s="25" t="n"/>
      <c r="I439" s="25" t="n"/>
      <c r="U439" s="19">
        <f>IF($V439&lt;&gt;'設定'!$C$4,N(U438),IF(OR(NOT(COUNTIF('商品マスタ'!$B$6:$B$1005,$W439)=0),COUNTIFS('①在庫を貼る'!$V$6:$V$10005,$V439,'①在庫を貼る'!$W$6:$W$10005,$W439)+COUNTIFS('月1回_1ヶ月前の在庫'!$V$6:$V$10005,$V439,'月1回_1ヶ月前の在庫'!$W$6:$W$10005,$W439)&gt;0),N(U438),N(U438)+1))</f>
        <v/>
      </c>
      <c r="V439" s="19">
        <f>IF($B439="","",TEXT($B439,"0000"))</f>
        <v/>
      </c>
      <c r="W439" s="19">
        <f>IF($I439="","",IF(ISNUMBER($I439),TEXT($I439,"0"),$I439))</f>
        <v/>
      </c>
    </row>
    <row r="440">
      <c r="B440" s="25" t="n"/>
      <c r="I440" s="25" t="n"/>
      <c r="U440" s="19">
        <f>IF($V440&lt;&gt;'設定'!$C$4,N(U439),IF(OR(NOT(COUNTIF('商品マスタ'!$B$6:$B$1005,$W440)=0),COUNTIFS('①在庫を貼る'!$V$6:$V$10005,$V440,'①在庫を貼る'!$W$6:$W$10005,$W440)+COUNTIFS('月1回_1ヶ月前の在庫'!$V$6:$V$10005,$V440,'月1回_1ヶ月前の在庫'!$W$6:$W$10005,$W440)&gt;0),N(U439),N(U439)+1))</f>
        <v/>
      </c>
      <c r="V440" s="19">
        <f>IF($B440="","",TEXT($B440,"0000"))</f>
        <v/>
      </c>
      <c r="W440" s="19">
        <f>IF($I440="","",IF(ISNUMBER($I440),TEXT($I440,"0"),$I440))</f>
        <v/>
      </c>
    </row>
    <row r="441">
      <c r="B441" s="25" t="n"/>
      <c r="I441" s="25" t="n"/>
      <c r="U441" s="19">
        <f>IF($V441&lt;&gt;'設定'!$C$4,N(U440),IF(OR(NOT(COUNTIF('商品マスタ'!$B$6:$B$1005,$W441)=0),COUNTIFS('①在庫を貼る'!$V$6:$V$10005,$V441,'①在庫を貼る'!$W$6:$W$10005,$W441)+COUNTIFS('月1回_1ヶ月前の在庫'!$V$6:$V$10005,$V441,'月1回_1ヶ月前の在庫'!$W$6:$W$10005,$W441)&gt;0),N(U440),N(U440)+1))</f>
        <v/>
      </c>
      <c r="V441" s="19">
        <f>IF($B441="","",TEXT($B441,"0000"))</f>
        <v/>
      </c>
      <c r="W441" s="19">
        <f>IF($I441="","",IF(ISNUMBER($I441),TEXT($I441,"0"),$I441))</f>
        <v/>
      </c>
    </row>
    <row r="442">
      <c r="B442" s="25" t="n"/>
      <c r="I442" s="25" t="n"/>
      <c r="U442" s="19">
        <f>IF($V442&lt;&gt;'設定'!$C$4,N(U441),IF(OR(NOT(COUNTIF('商品マスタ'!$B$6:$B$1005,$W442)=0),COUNTIFS('①在庫を貼る'!$V$6:$V$10005,$V442,'①在庫を貼る'!$W$6:$W$10005,$W442)+COUNTIFS('月1回_1ヶ月前の在庫'!$V$6:$V$10005,$V442,'月1回_1ヶ月前の在庫'!$W$6:$W$10005,$W442)&gt;0),N(U441),N(U441)+1))</f>
        <v/>
      </c>
      <c r="V442" s="19">
        <f>IF($B442="","",TEXT($B442,"0000"))</f>
        <v/>
      </c>
      <c r="W442" s="19">
        <f>IF($I442="","",IF(ISNUMBER($I442),TEXT($I442,"0"),$I442))</f>
        <v/>
      </c>
    </row>
    <row r="443">
      <c r="B443" s="25" t="n"/>
      <c r="I443" s="25" t="n"/>
      <c r="U443" s="19">
        <f>IF($V443&lt;&gt;'設定'!$C$4,N(U442),IF(OR(NOT(COUNTIF('商品マスタ'!$B$6:$B$1005,$W443)=0),COUNTIFS('①在庫を貼る'!$V$6:$V$10005,$V443,'①在庫を貼る'!$W$6:$W$10005,$W443)+COUNTIFS('月1回_1ヶ月前の在庫'!$V$6:$V$10005,$V443,'月1回_1ヶ月前の在庫'!$W$6:$W$10005,$W443)&gt;0),N(U442),N(U442)+1))</f>
        <v/>
      </c>
      <c r="V443" s="19">
        <f>IF($B443="","",TEXT($B443,"0000"))</f>
        <v/>
      </c>
      <c r="W443" s="19">
        <f>IF($I443="","",IF(ISNUMBER($I443),TEXT($I443,"0"),$I443))</f>
        <v/>
      </c>
    </row>
    <row r="444">
      <c r="B444" s="25" t="n"/>
      <c r="I444" s="25" t="n"/>
      <c r="U444" s="19">
        <f>IF($V444&lt;&gt;'設定'!$C$4,N(U443),IF(OR(NOT(COUNTIF('商品マスタ'!$B$6:$B$1005,$W444)=0),COUNTIFS('①在庫を貼る'!$V$6:$V$10005,$V444,'①在庫を貼る'!$W$6:$W$10005,$W444)+COUNTIFS('月1回_1ヶ月前の在庫'!$V$6:$V$10005,$V444,'月1回_1ヶ月前の在庫'!$W$6:$W$10005,$W444)&gt;0),N(U443),N(U443)+1))</f>
        <v/>
      </c>
      <c r="V444" s="19">
        <f>IF($B444="","",TEXT($B444,"0000"))</f>
        <v/>
      </c>
      <c r="W444" s="19">
        <f>IF($I444="","",IF(ISNUMBER($I444),TEXT($I444,"0"),$I444))</f>
        <v/>
      </c>
    </row>
    <row r="445">
      <c r="B445" s="25" t="n"/>
      <c r="I445" s="25" t="n"/>
      <c r="U445" s="19">
        <f>IF($V445&lt;&gt;'設定'!$C$4,N(U444),IF(OR(NOT(COUNTIF('商品マスタ'!$B$6:$B$1005,$W445)=0),COUNTIFS('①在庫を貼る'!$V$6:$V$10005,$V445,'①在庫を貼る'!$W$6:$W$10005,$W445)+COUNTIFS('月1回_1ヶ月前の在庫'!$V$6:$V$10005,$V445,'月1回_1ヶ月前の在庫'!$W$6:$W$10005,$W445)&gt;0),N(U444),N(U444)+1))</f>
        <v/>
      </c>
      <c r="V445" s="19">
        <f>IF($B445="","",TEXT($B445,"0000"))</f>
        <v/>
      </c>
      <c r="W445" s="19">
        <f>IF($I445="","",IF(ISNUMBER($I445),TEXT($I445,"0"),$I445))</f>
        <v/>
      </c>
    </row>
    <row r="446">
      <c r="B446" s="25" t="n"/>
      <c r="I446" s="25" t="n"/>
      <c r="U446" s="19">
        <f>IF($V446&lt;&gt;'設定'!$C$4,N(U445),IF(OR(NOT(COUNTIF('商品マスタ'!$B$6:$B$1005,$W446)=0),COUNTIFS('①在庫を貼る'!$V$6:$V$10005,$V446,'①在庫を貼る'!$W$6:$W$10005,$W446)+COUNTIFS('月1回_1ヶ月前の在庫'!$V$6:$V$10005,$V446,'月1回_1ヶ月前の在庫'!$W$6:$W$10005,$W446)&gt;0),N(U445),N(U445)+1))</f>
        <v/>
      </c>
      <c r="V446" s="19">
        <f>IF($B446="","",TEXT($B446,"0000"))</f>
        <v/>
      </c>
      <c r="W446" s="19">
        <f>IF($I446="","",IF(ISNUMBER($I446),TEXT($I446,"0"),$I446))</f>
        <v/>
      </c>
    </row>
    <row r="447">
      <c r="B447" s="25" t="n"/>
      <c r="I447" s="25" t="n"/>
      <c r="U447" s="19">
        <f>IF($V447&lt;&gt;'設定'!$C$4,N(U446),IF(OR(NOT(COUNTIF('商品マスタ'!$B$6:$B$1005,$W447)=0),COUNTIFS('①在庫を貼る'!$V$6:$V$10005,$V447,'①在庫を貼る'!$W$6:$W$10005,$W447)+COUNTIFS('月1回_1ヶ月前の在庫'!$V$6:$V$10005,$V447,'月1回_1ヶ月前の在庫'!$W$6:$W$10005,$W447)&gt;0),N(U446),N(U446)+1))</f>
        <v/>
      </c>
      <c r="V447" s="19">
        <f>IF($B447="","",TEXT($B447,"0000"))</f>
        <v/>
      </c>
      <c r="W447" s="19">
        <f>IF($I447="","",IF(ISNUMBER($I447),TEXT($I447,"0"),$I447))</f>
        <v/>
      </c>
    </row>
    <row r="448">
      <c r="B448" s="25" t="n"/>
      <c r="I448" s="25" t="n"/>
      <c r="U448" s="19">
        <f>IF($V448&lt;&gt;'設定'!$C$4,N(U447),IF(OR(NOT(COUNTIF('商品マスタ'!$B$6:$B$1005,$W448)=0),COUNTIFS('①在庫を貼る'!$V$6:$V$10005,$V448,'①在庫を貼る'!$W$6:$W$10005,$W448)+COUNTIFS('月1回_1ヶ月前の在庫'!$V$6:$V$10005,$V448,'月1回_1ヶ月前の在庫'!$W$6:$W$10005,$W448)&gt;0),N(U447),N(U447)+1))</f>
        <v/>
      </c>
      <c r="V448" s="19">
        <f>IF($B448="","",TEXT($B448,"0000"))</f>
        <v/>
      </c>
      <c r="W448" s="19">
        <f>IF($I448="","",IF(ISNUMBER($I448),TEXT($I448,"0"),$I448))</f>
        <v/>
      </c>
    </row>
    <row r="449">
      <c r="B449" s="25" t="n"/>
      <c r="I449" s="25" t="n"/>
      <c r="U449" s="19">
        <f>IF($V449&lt;&gt;'設定'!$C$4,N(U448),IF(OR(NOT(COUNTIF('商品マスタ'!$B$6:$B$1005,$W449)=0),COUNTIFS('①在庫を貼る'!$V$6:$V$10005,$V449,'①在庫を貼る'!$W$6:$W$10005,$W449)+COUNTIFS('月1回_1ヶ月前の在庫'!$V$6:$V$10005,$V449,'月1回_1ヶ月前の在庫'!$W$6:$W$10005,$W449)&gt;0),N(U448),N(U448)+1))</f>
        <v/>
      </c>
      <c r="V449" s="19">
        <f>IF($B449="","",TEXT($B449,"0000"))</f>
        <v/>
      </c>
      <c r="W449" s="19">
        <f>IF($I449="","",IF(ISNUMBER($I449),TEXT($I449,"0"),$I449))</f>
        <v/>
      </c>
    </row>
    <row r="450">
      <c r="B450" s="25" t="n"/>
      <c r="I450" s="25" t="n"/>
      <c r="U450" s="19">
        <f>IF($V450&lt;&gt;'設定'!$C$4,N(U449),IF(OR(NOT(COUNTIF('商品マスタ'!$B$6:$B$1005,$W450)=0),COUNTIFS('①在庫を貼る'!$V$6:$V$10005,$V450,'①在庫を貼る'!$W$6:$W$10005,$W450)+COUNTIFS('月1回_1ヶ月前の在庫'!$V$6:$V$10005,$V450,'月1回_1ヶ月前の在庫'!$W$6:$W$10005,$W450)&gt;0),N(U449),N(U449)+1))</f>
        <v/>
      </c>
      <c r="V450" s="19">
        <f>IF($B450="","",TEXT($B450,"0000"))</f>
        <v/>
      </c>
      <c r="W450" s="19">
        <f>IF($I450="","",IF(ISNUMBER($I450),TEXT($I450,"0"),$I450))</f>
        <v/>
      </c>
    </row>
    <row r="451">
      <c r="B451" s="25" t="n"/>
      <c r="I451" s="25" t="n"/>
      <c r="U451" s="19">
        <f>IF($V451&lt;&gt;'設定'!$C$4,N(U450),IF(OR(NOT(COUNTIF('商品マスタ'!$B$6:$B$1005,$W451)=0),COUNTIFS('①在庫を貼る'!$V$6:$V$10005,$V451,'①在庫を貼る'!$W$6:$W$10005,$W451)+COUNTIFS('月1回_1ヶ月前の在庫'!$V$6:$V$10005,$V451,'月1回_1ヶ月前の在庫'!$W$6:$W$10005,$W451)&gt;0),N(U450),N(U450)+1))</f>
        <v/>
      </c>
      <c r="V451" s="19">
        <f>IF($B451="","",TEXT($B451,"0000"))</f>
        <v/>
      </c>
      <c r="W451" s="19">
        <f>IF($I451="","",IF(ISNUMBER($I451),TEXT($I451,"0"),$I451))</f>
        <v/>
      </c>
    </row>
    <row r="452">
      <c r="B452" s="25" t="n"/>
      <c r="I452" s="25" t="n"/>
      <c r="U452" s="19">
        <f>IF($V452&lt;&gt;'設定'!$C$4,N(U451),IF(OR(NOT(COUNTIF('商品マスタ'!$B$6:$B$1005,$W452)=0),COUNTIFS('①在庫を貼る'!$V$6:$V$10005,$V452,'①在庫を貼る'!$W$6:$W$10005,$W452)+COUNTIFS('月1回_1ヶ月前の在庫'!$V$6:$V$10005,$V452,'月1回_1ヶ月前の在庫'!$W$6:$W$10005,$W452)&gt;0),N(U451),N(U451)+1))</f>
        <v/>
      </c>
      <c r="V452" s="19">
        <f>IF($B452="","",TEXT($B452,"0000"))</f>
        <v/>
      </c>
      <c r="W452" s="19">
        <f>IF($I452="","",IF(ISNUMBER($I452),TEXT($I452,"0"),$I452))</f>
        <v/>
      </c>
    </row>
    <row r="453">
      <c r="B453" s="25" t="n"/>
      <c r="I453" s="25" t="n"/>
      <c r="U453" s="19">
        <f>IF($V453&lt;&gt;'設定'!$C$4,N(U452),IF(OR(NOT(COUNTIF('商品マスタ'!$B$6:$B$1005,$W453)=0),COUNTIFS('①在庫を貼る'!$V$6:$V$10005,$V453,'①在庫を貼る'!$W$6:$W$10005,$W453)+COUNTIFS('月1回_1ヶ月前の在庫'!$V$6:$V$10005,$V453,'月1回_1ヶ月前の在庫'!$W$6:$W$10005,$W453)&gt;0),N(U452),N(U452)+1))</f>
        <v/>
      </c>
      <c r="V453" s="19">
        <f>IF($B453="","",TEXT($B453,"0000"))</f>
        <v/>
      </c>
      <c r="W453" s="19">
        <f>IF($I453="","",IF(ISNUMBER($I453),TEXT($I453,"0"),$I453))</f>
        <v/>
      </c>
    </row>
    <row r="454">
      <c r="B454" s="25" t="n"/>
      <c r="I454" s="25" t="n"/>
      <c r="U454" s="19">
        <f>IF($V454&lt;&gt;'設定'!$C$4,N(U453),IF(OR(NOT(COUNTIF('商品マスタ'!$B$6:$B$1005,$W454)=0),COUNTIFS('①在庫を貼る'!$V$6:$V$10005,$V454,'①在庫を貼る'!$W$6:$W$10005,$W454)+COUNTIFS('月1回_1ヶ月前の在庫'!$V$6:$V$10005,$V454,'月1回_1ヶ月前の在庫'!$W$6:$W$10005,$W454)&gt;0),N(U453),N(U453)+1))</f>
        <v/>
      </c>
      <c r="V454" s="19">
        <f>IF($B454="","",TEXT($B454,"0000"))</f>
        <v/>
      </c>
      <c r="W454" s="19">
        <f>IF($I454="","",IF(ISNUMBER($I454),TEXT($I454,"0"),$I454))</f>
        <v/>
      </c>
    </row>
    <row r="455">
      <c r="B455" s="25" t="n"/>
      <c r="I455" s="25" t="n"/>
      <c r="U455" s="19">
        <f>IF($V455&lt;&gt;'設定'!$C$4,N(U454),IF(OR(NOT(COUNTIF('商品マスタ'!$B$6:$B$1005,$W455)=0),COUNTIFS('①在庫を貼る'!$V$6:$V$10005,$V455,'①在庫を貼る'!$W$6:$W$10005,$W455)+COUNTIFS('月1回_1ヶ月前の在庫'!$V$6:$V$10005,$V455,'月1回_1ヶ月前の在庫'!$W$6:$W$10005,$W455)&gt;0),N(U454),N(U454)+1))</f>
        <v/>
      </c>
      <c r="V455" s="19">
        <f>IF($B455="","",TEXT($B455,"0000"))</f>
        <v/>
      </c>
      <c r="W455" s="19">
        <f>IF($I455="","",IF(ISNUMBER($I455),TEXT($I455,"0"),$I455))</f>
        <v/>
      </c>
    </row>
    <row r="456">
      <c r="B456" s="25" t="n"/>
      <c r="I456" s="25" t="n"/>
      <c r="U456" s="19">
        <f>IF($V456&lt;&gt;'設定'!$C$4,N(U455),IF(OR(NOT(COUNTIF('商品マスタ'!$B$6:$B$1005,$W456)=0),COUNTIFS('①在庫を貼る'!$V$6:$V$10005,$V456,'①在庫を貼る'!$W$6:$W$10005,$W456)+COUNTIFS('月1回_1ヶ月前の在庫'!$V$6:$V$10005,$V456,'月1回_1ヶ月前の在庫'!$W$6:$W$10005,$W456)&gt;0),N(U455),N(U455)+1))</f>
        <v/>
      </c>
      <c r="V456" s="19">
        <f>IF($B456="","",TEXT($B456,"0000"))</f>
        <v/>
      </c>
      <c r="W456" s="19">
        <f>IF($I456="","",IF(ISNUMBER($I456),TEXT($I456,"0"),$I456))</f>
        <v/>
      </c>
    </row>
    <row r="457">
      <c r="B457" s="25" t="n"/>
      <c r="I457" s="25" t="n"/>
      <c r="U457" s="19">
        <f>IF($V457&lt;&gt;'設定'!$C$4,N(U456),IF(OR(NOT(COUNTIF('商品マスタ'!$B$6:$B$1005,$W457)=0),COUNTIFS('①在庫を貼る'!$V$6:$V$10005,$V457,'①在庫を貼る'!$W$6:$W$10005,$W457)+COUNTIFS('月1回_1ヶ月前の在庫'!$V$6:$V$10005,$V457,'月1回_1ヶ月前の在庫'!$W$6:$W$10005,$W457)&gt;0),N(U456),N(U456)+1))</f>
        <v/>
      </c>
      <c r="V457" s="19">
        <f>IF($B457="","",TEXT($B457,"0000"))</f>
        <v/>
      </c>
      <c r="W457" s="19">
        <f>IF($I457="","",IF(ISNUMBER($I457),TEXT($I457,"0"),$I457))</f>
        <v/>
      </c>
    </row>
    <row r="458">
      <c r="B458" s="25" t="n"/>
      <c r="I458" s="25" t="n"/>
      <c r="U458" s="19">
        <f>IF($V458&lt;&gt;'設定'!$C$4,N(U457),IF(OR(NOT(COUNTIF('商品マスタ'!$B$6:$B$1005,$W458)=0),COUNTIFS('①在庫を貼る'!$V$6:$V$10005,$V458,'①在庫を貼る'!$W$6:$W$10005,$W458)+COUNTIFS('月1回_1ヶ月前の在庫'!$V$6:$V$10005,$V458,'月1回_1ヶ月前の在庫'!$W$6:$W$10005,$W458)&gt;0),N(U457),N(U457)+1))</f>
        <v/>
      </c>
      <c r="V458" s="19">
        <f>IF($B458="","",TEXT($B458,"0000"))</f>
        <v/>
      </c>
      <c r="W458" s="19">
        <f>IF($I458="","",IF(ISNUMBER($I458),TEXT($I458,"0"),$I458))</f>
        <v/>
      </c>
    </row>
    <row r="459">
      <c r="B459" s="25" t="n"/>
      <c r="I459" s="25" t="n"/>
      <c r="U459" s="19">
        <f>IF($V459&lt;&gt;'設定'!$C$4,N(U458),IF(OR(NOT(COUNTIF('商品マスタ'!$B$6:$B$1005,$W459)=0),COUNTIFS('①在庫を貼る'!$V$6:$V$10005,$V459,'①在庫を貼る'!$W$6:$W$10005,$W459)+COUNTIFS('月1回_1ヶ月前の在庫'!$V$6:$V$10005,$V459,'月1回_1ヶ月前の在庫'!$W$6:$W$10005,$W459)&gt;0),N(U458),N(U458)+1))</f>
        <v/>
      </c>
      <c r="V459" s="19">
        <f>IF($B459="","",TEXT($B459,"0000"))</f>
        <v/>
      </c>
      <c r="W459" s="19">
        <f>IF($I459="","",IF(ISNUMBER($I459),TEXT($I459,"0"),$I459))</f>
        <v/>
      </c>
    </row>
    <row r="460">
      <c r="B460" s="25" t="n"/>
      <c r="I460" s="25" t="n"/>
      <c r="U460" s="19">
        <f>IF($V460&lt;&gt;'設定'!$C$4,N(U459),IF(OR(NOT(COUNTIF('商品マスタ'!$B$6:$B$1005,$W460)=0),COUNTIFS('①在庫を貼る'!$V$6:$V$10005,$V460,'①在庫を貼る'!$W$6:$W$10005,$W460)+COUNTIFS('月1回_1ヶ月前の在庫'!$V$6:$V$10005,$V460,'月1回_1ヶ月前の在庫'!$W$6:$W$10005,$W460)&gt;0),N(U459),N(U459)+1))</f>
        <v/>
      </c>
      <c r="V460" s="19">
        <f>IF($B460="","",TEXT($B460,"0000"))</f>
        <v/>
      </c>
      <c r="W460" s="19">
        <f>IF($I460="","",IF(ISNUMBER($I460),TEXT($I460,"0"),$I460))</f>
        <v/>
      </c>
    </row>
    <row r="461">
      <c r="B461" s="25" t="n"/>
      <c r="I461" s="25" t="n"/>
      <c r="U461" s="19">
        <f>IF($V461&lt;&gt;'設定'!$C$4,N(U460),IF(OR(NOT(COUNTIF('商品マスタ'!$B$6:$B$1005,$W461)=0),COUNTIFS('①在庫を貼る'!$V$6:$V$10005,$V461,'①在庫を貼る'!$W$6:$W$10005,$W461)+COUNTIFS('月1回_1ヶ月前の在庫'!$V$6:$V$10005,$V461,'月1回_1ヶ月前の在庫'!$W$6:$W$10005,$W461)&gt;0),N(U460),N(U460)+1))</f>
        <v/>
      </c>
      <c r="V461" s="19">
        <f>IF($B461="","",TEXT($B461,"0000"))</f>
        <v/>
      </c>
      <c r="W461" s="19">
        <f>IF($I461="","",IF(ISNUMBER($I461),TEXT($I461,"0"),$I461))</f>
        <v/>
      </c>
    </row>
    <row r="462">
      <c r="B462" s="25" t="n"/>
      <c r="I462" s="25" t="n"/>
      <c r="U462" s="19">
        <f>IF($V462&lt;&gt;'設定'!$C$4,N(U461),IF(OR(NOT(COUNTIF('商品マスタ'!$B$6:$B$1005,$W462)=0),COUNTIFS('①在庫を貼る'!$V$6:$V$10005,$V462,'①在庫を貼る'!$W$6:$W$10005,$W462)+COUNTIFS('月1回_1ヶ月前の在庫'!$V$6:$V$10005,$V462,'月1回_1ヶ月前の在庫'!$W$6:$W$10005,$W462)&gt;0),N(U461),N(U461)+1))</f>
        <v/>
      </c>
      <c r="V462" s="19">
        <f>IF($B462="","",TEXT($B462,"0000"))</f>
        <v/>
      </c>
      <c r="W462" s="19">
        <f>IF($I462="","",IF(ISNUMBER($I462),TEXT($I462,"0"),$I462))</f>
        <v/>
      </c>
    </row>
    <row r="463">
      <c r="B463" s="25" t="n"/>
      <c r="I463" s="25" t="n"/>
      <c r="U463" s="19">
        <f>IF($V463&lt;&gt;'設定'!$C$4,N(U462),IF(OR(NOT(COUNTIF('商品マスタ'!$B$6:$B$1005,$W463)=0),COUNTIFS('①在庫を貼る'!$V$6:$V$10005,$V463,'①在庫を貼る'!$W$6:$W$10005,$W463)+COUNTIFS('月1回_1ヶ月前の在庫'!$V$6:$V$10005,$V463,'月1回_1ヶ月前の在庫'!$W$6:$W$10005,$W463)&gt;0),N(U462),N(U462)+1))</f>
        <v/>
      </c>
      <c r="V463" s="19">
        <f>IF($B463="","",TEXT($B463,"0000"))</f>
        <v/>
      </c>
      <c r="W463" s="19">
        <f>IF($I463="","",IF(ISNUMBER($I463),TEXT($I463,"0"),$I463))</f>
        <v/>
      </c>
    </row>
    <row r="464">
      <c r="B464" s="25" t="n"/>
      <c r="I464" s="25" t="n"/>
      <c r="U464" s="19">
        <f>IF($V464&lt;&gt;'設定'!$C$4,N(U463),IF(OR(NOT(COUNTIF('商品マスタ'!$B$6:$B$1005,$W464)=0),COUNTIFS('①在庫を貼る'!$V$6:$V$10005,$V464,'①在庫を貼る'!$W$6:$W$10005,$W464)+COUNTIFS('月1回_1ヶ月前の在庫'!$V$6:$V$10005,$V464,'月1回_1ヶ月前の在庫'!$W$6:$W$10005,$W464)&gt;0),N(U463),N(U463)+1))</f>
        <v/>
      </c>
      <c r="V464" s="19">
        <f>IF($B464="","",TEXT($B464,"0000"))</f>
        <v/>
      </c>
      <c r="W464" s="19">
        <f>IF($I464="","",IF(ISNUMBER($I464),TEXT($I464,"0"),$I464))</f>
        <v/>
      </c>
    </row>
    <row r="465">
      <c r="B465" s="25" t="n"/>
      <c r="I465" s="25" t="n"/>
      <c r="U465" s="19">
        <f>IF($V465&lt;&gt;'設定'!$C$4,N(U464),IF(OR(NOT(COUNTIF('商品マスタ'!$B$6:$B$1005,$W465)=0),COUNTIFS('①在庫を貼る'!$V$6:$V$10005,$V465,'①在庫を貼る'!$W$6:$W$10005,$W465)+COUNTIFS('月1回_1ヶ月前の在庫'!$V$6:$V$10005,$V465,'月1回_1ヶ月前の在庫'!$W$6:$W$10005,$W465)&gt;0),N(U464),N(U464)+1))</f>
        <v/>
      </c>
      <c r="V465" s="19">
        <f>IF($B465="","",TEXT($B465,"0000"))</f>
        <v/>
      </c>
      <c r="W465" s="19">
        <f>IF($I465="","",IF(ISNUMBER($I465),TEXT($I465,"0"),$I465))</f>
        <v/>
      </c>
    </row>
    <row r="466">
      <c r="B466" s="25" t="n"/>
      <c r="I466" s="25" t="n"/>
      <c r="U466" s="19">
        <f>IF($V466&lt;&gt;'設定'!$C$4,N(U465),IF(OR(NOT(COUNTIF('商品マスタ'!$B$6:$B$1005,$W466)=0),COUNTIFS('①在庫を貼る'!$V$6:$V$10005,$V466,'①在庫を貼る'!$W$6:$W$10005,$W466)+COUNTIFS('月1回_1ヶ月前の在庫'!$V$6:$V$10005,$V466,'月1回_1ヶ月前の在庫'!$W$6:$W$10005,$W466)&gt;0),N(U465),N(U465)+1))</f>
        <v/>
      </c>
      <c r="V466" s="19">
        <f>IF($B466="","",TEXT($B466,"0000"))</f>
        <v/>
      </c>
      <c r="W466" s="19">
        <f>IF($I466="","",IF(ISNUMBER($I466),TEXT($I466,"0"),$I466))</f>
        <v/>
      </c>
    </row>
    <row r="467">
      <c r="B467" s="25" t="n"/>
      <c r="I467" s="25" t="n"/>
      <c r="U467" s="19">
        <f>IF($V467&lt;&gt;'設定'!$C$4,N(U466),IF(OR(NOT(COUNTIF('商品マスタ'!$B$6:$B$1005,$W467)=0),COUNTIFS('①在庫を貼る'!$V$6:$V$10005,$V467,'①在庫を貼る'!$W$6:$W$10005,$W467)+COUNTIFS('月1回_1ヶ月前の在庫'!$V$6:$V$10005,$V467,'月1回_1ヶ月前の在庫'!$W$6:$W$10005,$W467)&gt;0),N(U466),N(U466)+1))</f>
        <v/>
      </c>
      <c r="V467" s="19">
        <f>IF($B467="","",TEXT($B467,"0000"))</f>
        <v/>
      </c>
      <c r="W467" s="19">
        <f>IF($I467="","",IF(ISNUMBER($I467),TEXT($I467,"0"),$I467))</f>
        <v/>
      </c>
    </row>
    <row r="468">
      <c r="B468" s="25" t="n"/>
      <c r="I468" s="25" t="n"/>
      <c r="U468" s="19">
        <f>IF($V468&lt;&gt;'設定'!$C$4,N(U467),IF(OR(NOT(COUNTIF('商品マスタ'!$B$6:$B$1005,$W468)=0),COUNTIFS('①在庫を貼る'!$V$6:$V$10005,$V468,'①在庫を貼る'!$W$6:$W$10005,$W468)+COUNTIFS('月1回_1ヶ月前の在庫'!$V$6:$V$10005,$V468,'月1回_1ヶ月前の在庫'!$W$6:$W$10005,$W468)&gt;0),N(U467),N(U467)+1))</f>
        <v/>
      </c>
      <c r="V468" s="19">
        <f>IF($B468="","",TEXT($B468,"0000"))</f>
        <v/>
      </c>
      <c r="W468" s="19">
        <f>IF($I468="","",IF(ISNUMBER($I468),TEXT($I468,"0"),$I468))</f>
        <v/>
      </c>
    </row>
    <row r="469">
      <c r="B469" s="25" t="n"/>
      <c r="I469" s="25" t="n"/>
      <c r="U469" s="19">
        <f>IF($V469&lt;&gt;'設定'!$C$4,N(U468),IF(OR(NOT(COUNTIF('商品マスタ'!$B$6:$B$1005,$W469)=0),COUNTIFS('①在庫を貼る'!$V$6:$V$10005,$V469,'①在庫を貼る'!$W$6:$W$10005,$W469)+COUNTIFS('月1回_1ヶ月前の在庫'!$V$6:$V$10005,$V469,'月1回_1ヶ月前の在庫'!$W$6:$W$10005,$W469)&gt;0),N(U468),N(U468)+1))</f>
        <v/>
      </c>
      <c r="V469" s="19">
        <f>IF($B469="","",TEXT($B469,"0000"))</f>
        <v/>
      </c>
      <c r="W469" s="19">
        <f>IF($I469="","",IF(ISNUMBER($I469),TEXT($I469,"0"),$I469))</f>
        <v/>
      </c>
    </row>
    <row r="470">
      <c r="B470" s="25" t="n"/>
      <c r="I470" s="25" t="n"/>
      <c r="U470" s="19">
        <f>IF($V470&lt;&gt;'設定'!$C$4,N(U469),IF(OR(NOT(COUNTIF('商品マスタ'!$B$6:$B$1005,$W470)=0),COUNTIFS('①在庫を貼る'!$V$6:$V$10005,$V470,'①在庫を貼る'!$W$6:$W$10005,$W470)+COUNTIFS('月1回_1ヶ月前の在庫'!$V$6:$V$10005,$V470,'月1回_1ヶ月前の在庫'!$W$6:$W$10005,$W470)&gt;0),N(U469),N(U469)+1))</f>
        <v/>
      </c>
      <c r="V470" s="19">
        <f>IF($B470="","",TEXT($B470,"0000"))</f>
        <v/>
      </c>
      <c r="W470" s="19">
        <f>IF($I470="","",IF(ISNUMBER($I470),TEXT($I470,"0"),$I470))</f>
        <v/>
      </c>
    </row>
    <row r="471">
      <c r="B471" s="25" t="n"/>
      <c r="I471" s="25" t="n"/>
      <c r="U471" s="19">
        <f>IF($V471&lt;&gt;'設定'!$C$4,N(U470),IF(OR(NOT(COUNTIF('商品マスタ'!$B$6:$B$1005,$W471)=0),COUNTIFS('①在庫を貼る'!$V$6:$V$10005,$V471,'①在庫を貼る'!$W$6:$W$10005,$W471)+COUNTIFS('月1回_1ヶ月前の在庫'!$V$6:$V$10005,$V471,'月1回_1ヶ月前の在庫'!$W$6:$W$10005,$W471)&gt;0),N(U470),N(U470)+1))</f>
        <v/>
      </c>
      <c r="V471" s="19">
        <f>IF($B471="","",TEXT($B471,"0000"))</f>
        <v/>
      </c>
      <c r="W471" s="19">
        <f>IF($I471="","",IF(ISNUMBER($I471),TEXT($I471,"0"),$I471))</f>
        <v/>
      </c>
    </row>
    <row r="472">
      <c r="B472" s="25" t="n"/>
      <c r="I472" s="25" t="n"/>
      <c r="U472" s="19">
        <f>IF($V472&lt;&gt;'設定'!$C$4,N(U471),IF(OR(NOT(COUNTIF('商品マスタ'!$B$6:$B$1005,$W472)=0),COUNTIFS('①在庫を貼る'!$V$6:$V$10005,$V472,'①在庫を貼る'!$W$6:$W$10005,$W472)+COUNTIFS('月1回_1ヶ月前の在庫'!$V$6:$V$10005,$V472,'月1回_1ヶ月前の在庫'!$W$6:$W$10005,$W472)&gt;0),N(U471),N(U471)+1))</f>
        <v/>
      </c>
      <c r="V472" s="19">
        <f>IF($B472="","",TEXT($B472,"0000"))</f>
        <v/>
      </c>
      <c r="W472" s="19">
        <f>IF($I472="","",IF(ISNUMBER($I472),TEXT($I472,"0"),$I472))</f>
        <v/>
      </c>
    </row>
    <row r="473">
      <c r="B473" s="25" t="n"/>
      <c r="I473" s="25" t="n"/>
      <c r="U473" s="19">
        <f>IF($V473&lt;&gt;'設定'!$C$4,N(U472),IF(OR(NOT(COUNTIF('商品マスタ'!$B$6:$B$1005,$W473)=0),COUNTIFS('①在庫を貼る'!$V$6:$V$10005,$V473,'①在庫を貼る'!$W$6:$W$10005,$W473)+COUNTIFS('月1回_1ヶ月前の在庫'!$V$6:$V$10005,$V473,'月1回_1ヶ月前の在庫'!$W$6:$W$10005,$W473)&gt;0),N(U472),N(U472)+1))</f>
        <v/>
      </c>
      <c r="V473" s="19">
        <f>IF($B473="","",TEXT($B473,"0000"))</f>
        <v/>
      </c>
      <c r="W473" s="19">
        <f>IF($I473="","",IF(ISNUMBER($I473),TEXT($I473,"0"),$I473))</f>
        <v/>
      </c>
    </row>
    <row r="474">
      <c r="B474" s="25" t="n"/>
      <c r="I474" s="25" t="n"/>
      <c r="U474" s="19">
        <f>IF($V474&lt;&gt;'設定'!$C$4,N(U473),IF(OR(NOT(COUNTIF('商品マスタ'!$B$6:$B$1005,$W474)=0),COUNTIFS('①在庫を貼る'!$V$6:$V$10005,$V474,'①在庫を貼る'!$W$6:$W$10005,$W474)+COUNTIFS('月1回_1ヶ月前の在庫'!$V$6:$V$10005,$V474,'月1回_1ヶ月前の在庫'!$W$6:$W$10005,$W474)&gt;0),N(U473),N(U473)+1))</f>
        <v/>
      </c>
      <c r="V474" s="19">
        <f>IF($B474="","",TEXT($B474,"0000"))</f>
        <v/>
      </c>
      <c r="W474" s="19">
        <f>IF($I474="","",IF(ISNUMBER($I474),TEXT($I474,"0"),$I474))</f>
        <v/>
      </c>
    </row>
    <row r="475">
      <c r="B475" s="25" t="n"/>
      <c r="I475" s="25" t="n"/>
      <c r="U475" s="19">
        <f>IF($V475&lt;&gt;'設定'!$C$4,N(U474),IF(OR(NOT(COUNTIF('商品マスタ'!$B$6:$B$1005,$W475)=0),COUNTIFS('①在庫を貼る'!$V$6:$V$10005,$V475,'①在庫を貼る'!$W$6:$W$10005,$W475)+COUNTIFS('月1回_1ヶ月前の在庫'!$V$6:$V$10005,$V475,'月1回_1ヶ月前の在庫'!$W$6:$W$10005,$W475)&gt;0),N(U474),N(U474)+1))</f>
        <v/>
      </c>
      <c r="V475" s="19">
        <f>IF($B475="","",TEXT($B475,"0000"))</f>
        <v/>
      </c>
      <c r="W475" s="19">
        <f>IF($I475="","",IF(ISNUMBER($I475),TEXT($I475,"0"),$I475))</f>
        <v/>
      </c>
    </row>
    <row r="476">
      <c r="B476" s="25" t="n"/>
      <c r="I476" s="25" t="n"/>
      <c r="U476" s="19">
        <f>IF($V476&lt;&gt;'設定'!$C$4,N(U475),IF(OR(NOT(COUNTIF('商品マスタ'!$B$6:$B$1005,$W476)=0),COUNTIFS('①在庫を貼る'!$V$6:$V$10005,$V476,'①在庫を貼る'!$W$6:$W$10005,$W476)+COUNTIFS('月1回_1ヶ月前の在庫'!$V$6:$V$10005,$V476,'月1回_1ヶ月前の在庫'!$W$6:$W$10005,$W476)&gt;0),N(U475),N(U475)+1))</f>
        <v/>
      </c>
      <c r="V476" s="19">
        <f>IF($B476="","",TEXT($B476,"0000"))</f>
        <v/>
      </c>
      <c r="W476" s="19">
        <f>IF($I476="","",IF(ISNUMBER($I476),TEXT($I476,"0"),$I476))</f>
        <v/>
      </c>
    </row>
    <row r="477">
      <c r="B477" s="25" t="n"/>
      <c r="I477" s="25" t="n"/>
      <c r="U477" s="19">
        <f>IF($V477&lt;&gt;'設定'!$C$4,N(U476),IF(OR(NOT(COUNTIF('商品マスタ'!$B$6:$B$1005,$W477)=0),COUNTIFS('①在庫を貼る'!$V$6:$V$10005,$V477,'①在庫を貼る'!$W$6:$W$10005,$W477)+COUNTIFS('月1回_1ヶ月前の在庫'!$V$6:$V$10005,$V477,'月1回_1ヶ月前の在庫'!$W$6:$W$10005,$W477)&gt;0),N(U476),N(U476)+1))</f>
        <v/>
      </c>
      <c r="V477" s="19">
        <f>IF($B477="","",TEXT($B477,"0000"))</f>
        <v/>
      </c>
      <c r="W477" s="19">
        <f>IF($I477="","",IF(ISNUMBER($I477),TEXT($I477,"0"),$I477))</f>
        <v/>
      </c>
    </row>
    <row r="478">
      <c r="B478" s="25" t="n"/>
      <c r="I478" s="25" t="n"/>
      <c r="U478" s="19">
        <f>IF($V478&lt;&gt;'設定'!$C$4,N(U477),IF(OR(NOT(COUNTIF('商品マスタ'!$B$6:$B$1005,$W478)=0),COUNTIFS('①在庫を貼る'!$V$6:$V$10005,$V478,'①在庫を貼る'!$W$6:$W$10005,$W478)+COUNTIFS('月1回_1ヶ月前の在庫'!$V$6:$V$10005,$V478,'月1回_1ヶ月前の在庫'!$W$6:$W$10005,$W478)&gt;0),N(U477),N(U477)+1))</f>
        <v/>
      </c>
      <c r="V478" s="19">
        <f>IF($B478="","",TEXT($B478,"0000"))</f>
        <v/>
      </c>
      <c r="W478" s="19">
        <f>IF($I478="","",IF(ISNUMBER($I478),TEXT($I478,"0"),$I478))</f>
        <v/>
      </c>
    </row>
    <row r="479">
      <c r="B479" s="25" t="n"/>
      <c r="I479" s="25" t="n"/>
      <c r="U479" s="19">
        <f>IF($V479&lt;&gt;'設定'!$C$4,N(U478),IF(OR(NOT(COUNTIF('商品マスタ'!$B$6:$B$1005,$W479)=0),COUNTIFS('①在庫を貼る'!$V$6:$V$10005,$V479,'①在庫を貼る'!$W$6:$W$10005,$W479)+COUNTIFS('月1回_1ヶ月前の在庫'!$V$6:$V$10005,$V479,'月1回_1ヶ月前の在庫'!$W$6:$W$10005,$W479)&gt;0),N(U478),N(U478)+1))</f>
        <v/>
      </c>
      <c r="V479" s="19">
        <f>IF($B479="","",TEXT($B479,"0000"))</f>
        <v/>
      </c>
      <c r="W479" s="19">
        <f>IF($I479="","",IF(ISNUMBER($I479),TEXT($I479,"0"),$I479))</f>
        <v/>
      </c>
    </row>
    <row r="480">
      <c r="B480" s="25" t="n"/>
      <c r="I480" s="25" t="n"/>
      <c r="U480" s="19">
        <f>IF($V480&lt;&gt;'設定'!$C$4,N(U479),IF(OR(NOT(COUNTIF('商品マスタ'!$B$6:$B$1005,$W480)=0),COUNTIFS('①在庫を貼る'!$V$6:$V$10005,$V480,'①在庫を貼る'!$W$6:$W$10005,$W480)+COUNTIFS('月1回_1ヶ月前の在庫'!$V$6:$V$10005,$V480,'月1回_1ヶ月前の在庫'!$W$6:$W$10005,$W480)&gt;0),N(U479),N(U479)+1))</f>
        <v/>
      </c>
      <c r="V480" s="19">
        <f>IF($B480="","",TEXT($B480,"0000"))</f>
        <v/>
      </c>
      <c r="W480" s="19">
        <f>IF($I480="","",IF(ISNUMBER($I480),TEXT($I480,"0"),$I480))</f>
        <v/>
      </c>
    </row>
    <row r="481">
      <c r="B481" s="25" t="n"/>
      <c r="I481" s="25" t="n"/>
      <c r="U481" s="19">
        <f>IF($V481&lt;&gt;'設定'!$C$4,N(U480),IF(OR(NOT(COUNTIF('商品マスタ'!$B$6:$B$1005,$W481)=0),COUNTIFS('①在庫を貼る'!$V$6:$V$10005,$V481,'①在庫を貼る'!$W$6:$W$10005,$W481)+COUNTIFS('月1回_1ヶ月前の在庫'!$V$6:$V$10005,$V481,'月1回_1ヶ月前の在庫'!$W$6:$W$10005,$W481)&gt;0),N(U480),N(U480)+1))</f>
        <v/>
      </c>
      <c r="V481" s="19">
        <f>IF($B481="","",TEXT($B481,"0000"))</f>
        <v/>
      </c>
      <c r="W481" s="19">
        <f>IF($I481="","",IF(ISNUMBER($I481),TEXT($I481,"0"),$I481))</f>
        <v/>
      </c>
    </row>
    <row r="482">
      <c r="B482" s="25" t="n"/>
      <c r="I482" s="25" t="n"/>
      <c r="U482" s="19">
        <f>IF($V482&lt;&gt;'設定'!$C$4,N(U481),IF(OR(NOT(COUNTIF('商品マスタ'!$B$6:$B$1005,$W482)=0),COUNTIFS('①在庫を貼る'!$V$6:$V$10005,$V482,'①在庫を貼る'!$W$6:$W$10005,$W482)+COUNTIFS('月1回_1ヶ月前の在庫'!$V$6:$V$10005,$V482,'月1回_1ヶ月前の在庫'!$W$6:$W$10005,$W482)&gt;0),N(U481),N(U481)+1))</f>
        <v/>
      </c>
      <c r="V482" s="19">
        <f>IF($B482="","",TEXT($B482,"0000"))</f>
        <v/>
      </c>
      <c r="W482" s="19">
        <f>IF($I482="","",IF(ISNUMBER($I482),TEXT($I482,"0"),$I482))</f>
        <v/>
      </c>
    </row>
    <row r="483">
      <c r="B483" s="25" t="n"/>
      <c r="I483" s="25" t="n"/>
      <c r="U483" s="19">
        <f>IF($V483&lt;&gt;'設定'!$C$4,N(U482),IF(OR(NOT(COUNTIF('商品マスタ'!$B$6:$B$1005,$W483)=0),COUNTIFS('①在庫を貼る'!$V$6:$V$10005,$V483,'①在庫を貼る'!$W$6:$W$10005,$W483)+COUNTIFS('月1回_1ヶ月前の在庫'!$V$6:$V$10005,$V483,'月1回_1ヶ月前の在庫'!$W$6:$W$10005,$W483)&gt;0),N(U482),N(U482)+1))</f>
        <v/>
      </c>
      <c r="V483" s="19">
        <f>IF($B483="","",TEXT($B483,"0000"))</f>
        <v/>
      </c>
      <c r="W483" s="19">
        <f>IF($I483="","",IF(ISNUMBER($I483),TEXT($I483,"0"),$I483))</f>
        <v/>
      </c>
    </row>
    <row r="484">
      <c r="B484" s="25" t="n"/>
      <c r="I484" s="25" t="n"/>
      <c r="U484" s="19">
        <f>IF($V484&lt;&gt;'設定'!$C$4,N(U483),IF(OR(NOT(COUNTIF('商品マスタ'!$B$6:$B$1005,$W484)=0),COUNTIFS('①在庫を貼る'!$V$6:$V$10005,$V484,'①在庫を貼る'!$W$6:$W$10005,$W484)+COUNTIFS('月1回_1ヶ月前の在庫'!$V$6:$V$10005,$V484,'月1回_1ヶ月前の在庫'!$W$6:$W$10005,$W484)&gt;0),N(U483),N(U483)+1))</f>
        <v/>
      </c>
      <c r="V484" s="19">
        <f>IF($B484="","",TEXT($B484,"0000"))</f>
        <v/>
      </c>
      <c r="W484" s="19">
        <f>IF($I484="","",IF(ISNUMBER($I484),TEXT($I484,"0"),$I484))</f>
        <v/>
      </c>
    </row>
    <row r="485">
      <c r="B485" s="25" t="n"/>
      <c r="I485" s="25" t="n"/>
      <c r="U485" s="19">
        <f>IF($V485&lt;&gt;'設定'!$C$4,N(U484),IF(OR(NOT(COUNTIF('商品マスタ'!$B$6:$B$1005,$W485)=0),COUNTIFS('①在庫を貼る'!$V$6:$V$10005,$V485,'①在庫を貼る'!$W$6:$W$10005,$W485)+COUNTIFS('月1回_1ヶ月前の在庫'!$V$6:$V$10005,$V485,'月1回_1ヶ月前の在庫'!$W$6:$W$10005,$W485)&gt;0),N(U484),N(U484)+1))</f>
        <v/>
      </c>
      <c r="V485" s="19">
        <f>IF($B485="","",TEXT($B485,"0000"))</f>
        <v/>
      </c>
      <c r="W485" s="19">
        <f>IF($I485="","",IF(ISNUMBER($I485),TEXT($I485,"0"),$I485))</f>
        <v/>
      </c>
    </row>
    <row r="486">
      <c r="B486" s="25" t="n"/>
      <c r="I486" s="25" t="n"/>
      <c r="U486" s="19">
        <f>IF($V486&lt;&gt;'設定'!$C$4,N(U485),IF(OR(NOT(COUNTIF('商品マスタ'!$B$6:$B$1005,$W486)=0),COUNTIFS('①在庫を貼る'!$V$6:$V$10005,$V486,'①在庫を貼る'!$W$6:$W$10005,$W486)+COUNTIFS('月1回_1ヶ月前の在庫'!$V$6:$V$10005,$V486,'月1回_1ヶ月前の在庫'!$W$6:$W$10005,$W486)&gt;0),N(U485),N(U485)+1))</f>
        <v/>
      </c>
      <c r="V486" s="19">
        <f>IF($B486="","",TEXT($B486,"0000"))</f>
        <v/>
      </c>
      <c r="W486" s="19">
        <f>IF($I486="","",IF(ISNUMBER($I486),TEXT($I486,"0"),$I486))</f>
        <v/>
      </c>
    </row>
    <row r="487">
      <c r="B487" s="25" t="n"/>
      <c r="I487" s="25" t="n"/>
      <c r="U487" s="19">
        <f>IF($V487&lt;&gt;'設定'!$C$4,N(U486),IF(OR(NOT(COUNTIF('商品マスタ'!$B$6:$B$1005,$W487)=0),COUNTIFS('①在庫を貼る'!$V$6:$V$10005,$V487,'①在庫を貼る'!$W$6:$W$10005,$W487)+COUNTIFS('月1回_1ヶ月前の在庫'!$V$6:$V$10005,$V487,'月1回_1ヶ月前の在庫'!$W$6:$W$10005,$W487)&gt;0),N(U486),N(U486)+1))</f>
        <v/>
      </c>
      <c r="V487" s="19">
        <f>IF($B487="","",TEXT($B487,"0000"))</f>
        <v/>
      </c>
      <c r="W487" s="19">
        <f>IF($I487="","",IF(ISNUMBER($I487),TEXT($I487,"0"),$I487))</f>
        <v/>
      </c>
    </row>
    <row r="488">
      <c r="B488" s="25" t="n"/>
      <c r="I488" s="25" t="n"/>
      <c r="U488" s="19">
        <f>IF($V488&lt;&gt;'設定'!$C$4,N(U487),IF(OR(NOT(COUNTIF('商品マスタ'!$B$6:$B$1005,$W488)=0),COUNTIFS('①在庫を貼る'!$V$6:$V$10005,$V488,'①在庫を貼る'!$W$6:$W$10005,$W488)+COUNTIFS('月1回_1ヶ月前の在庫'!$V$6:$V$10005,$V488,'月1回_1ヶ月前の在庫'!$W$6:$W$10005,$W488)&gt;0),N(U487),N(U487)+1))</f>
        <v/>
      </c>
      <c r="V488" s="19">
        <f>IF($B488="","",TEXT($B488,"0000"))</f>
        <v/>
      </c>
      <c r="W488" s="19">
        <f>IF($I488="","",IF(ISNUMBER($I488),TEXT($I488,"0"),$I488))</f>
        <v/>
      </c>
    </row>
    <row r="489">
      <c r="B489" s="25" t="n"/>
      <c r="I489" s="25" t="n"/>
      <c r="U489" s="19">
        <f>IF($V489&lt;&gt;'設定'!$C$4,N(U488),IF(OR(NOT(COUNTIF('商品マスタ'!$B$6:$B$1005,$W489)=0),COUNTIFS('①在庫を貼る'!$V$6:$V$10005,$V489,'①在庫を貼る'!$W$6:$W$10005,$W489)+COUNTIFS('月1回_1ヶ月前の在庫'!$V$6:$V$10005,$V489,'月1回_1ヶ月前の在庫'!$W$6:$W$10005,$W489)&gt;0),N(U488),N(U488)+1))</f>
        <v/>
      </c>
      <c r="V489" s="19">
        <f>IF($B489="","",TEXT($B489,"0000"))</f>
        <v/>
      </c>
      <c r="W489" s="19">
        <f>IF($I489="","",IF(ISNUMBER($I489),TEXT($I489,"0"),$I489))</f>
        <v/>
      </c>
    </row>
    <row r="490">
      <c r="B490" s="25" t="n"/>
      <c r="I490" s="25" t="n"/>
      <c r="U490" s="19">
        <f>IF($V490&lt;&gt;'設定'!$C$4,N(U489),IF(OR(NOT(COUNTIF('商品マスタ'!$B$6:$B$1005,$W490)=0),COUNTIFS('①在庫を貼る'!$V$6:$V$10005,$V490,'①在庫を貼る'!$W$6:$W$10005,$W490)+COUNTIFS('月1回_1ヶ月前の在庫'!$V$6:$V$10005,$V490,'月1回_1ヶ月前の在庫'!$W$6:$W$10005,$W490)&gt;0),N(U489),N(U489)+1))</f>
        <v/>
      </c>
      <c r="V490" s="19">
        <f>IF($B490="","",TEXT($B490,"0000"))</f>
        <v/>
      </c>
      <c r="W490" s="19">
        <f>IF($I490="","",IF(ISNUMBER($I490),TEXT($I490,"0"),$I490))</f>
        <v/>
      </c>
    </row>
    <row r="491">
      <c r="B491" s="25" t="n"/>
      <c r="I491" s="25" t="n"/>
      <c r="U491" s="19">
        <f>IF($V491&lt;&gt;'設定'!$C$4,N(U490),IF(OR(NOT(COUNTIF('商品マスタ'!$B$6:$B$1005,$W491)=0),COUNTIFS('①在庫を貼る'!$V$6:$V$10005,$V491,'①在庫を貼る'!$W$6:$W$10005,$W491)+COUNTIFS('月1回_1ヶ月前の在庫'!$V$6:$V$10005,$V491,'月1回_1ヶ月前の在庫'!$W$6:$W$10005,$W491)&gt;0),N(U490),N(U490)+1))</f>
        <v/>
      </c>
      <c r="V491" s="19">
        <f>IF($B491="","",TEXT($B491,"0000"))</f>
        <v/>
      </c>
      <c r="W491" s="19">
        <f>IF($I491="","",IF(ISNUMBER($I491),TEXT($I491,"0"),$I491))</f>
        <v/>
      </c>
    </row>
    <row r="492">
      <c r="B492" s="25" t="n"/>
      <c r="I492" s="25" t="n"/>
      <c r="U492" s="19">
        <f>IF($V492&lt;&gt;'設定'!$C$4,N(U491),IF(OR(NOT(COUNTIF('商品マスタ'!$B$6:$B$1005,$W492)=0),COUNTIFS('①在庫を貼る'!$V$6:$V$10005,$V492,'①在庫を貼る'!$W$6:$W$10005,$W492)+COUNTIFS('月1回_1ヶ月前の在庫'!$V$6:$V$10005,$V492,'月1回_1ヶ月前の在庫'!$W$6:$W$10005,$W492)&gt;0),N(U491),N(U491)+1))</f>
        <v/>
      </c>
      <c r="V492" s="19">
        <f>IF($B492="","",TEXT($B492,"0000"))</f>
        <v/>
      </c>
      <c r="W492" s="19">
        <f>IF($I492="","",IF(ISNUMBER($I492),TEXT($I492,"0"),$I492))</f>
        <v/>
      </c>
    </row>
    <row r="493">
      <c r="B493" s="25" t="n"/>
      <c r="I493" s="25" t="n"/>
      <c r="U493" s="19">
        <f>IF($V493&lt;&gt;'設定'!$C$4,N(U492),IF(OR(NOT(COUNTIF('商品マスタ'!$B$6:$B$1005,$W493)=0),COUNTIFS('①在庫を貼る'!$V$6:$V$10005,$V493,'①在庫を貼る'!$W$6:$W$10005,$W493)+COUNTIFS('月1回_1ヶ月前の在庫'!$V$6:$V$10005,$V493,'月1回_1ヶ月前の在庫'!$W$6:$W$10005,$W493)&gt;0),N(U492),N(U492)+1))</f>
        <v/>
      </c>
      <c r="V493" s="19">
        <f>IF($B493="","",TEXT($B493,"0000"))</f>
        <v/>
      </c>
      <c r="W493" s="19">
        <f>IF($I493="","",IF(ISNUMBER($I493),TEXT($I493,"0"),$I493))</f>
        <v/>
      </c>
    </row>
    <row r="494">
      <c r="B494" s="25" t="n"/>
      <c r="I494" s="25" t="n"/>
      <c r="U494" s="19">
        <f>IF($V494&lt;&gt;'設定'!$C$4,N(U493),IF(OR(NOT(COUNTIF('商品マスタ'!$B$6:$B$1005,$W494)=0),COUNTIFS('①在庫を貼る'!$V$6:$V$10005,$V494,'①在庫を貼る'!$W$6:$W$10005,$W494)+COUNTIFS('月1回_1ヶ月前の在庫'!$V$6:$V$10005,$V494,'月1回_1ヶ月前の在庫'!$W$6:$W$10005,$W494)&gt;0),N(U493),N(U493)+1))</f>
        <v/>
      </c>
      <c r="V494" s="19">
        <f>IF($B494="","",TEXT($B494,"0000"))</f>
        <v/>
      </c>
      <c r="W494" s="19">
        <f>IF($I494="","",IF(ISNUMBER($I494),TEXT($I494,"0"),$I494))</f>
        <v/>
      </c>
    </row>
    <row r="495">
      <c r="B495" s="25" t="n"/>
      <c r="I495" s="25" t="n"/>
      <c r="U495" s="19">
        <f>IF($V495&lt;&gt;'設定'!$C$4,N(U494),IF(OR(NOT(COUNTIF('商品マスタ'!$B$6:$B$1005,$W495)=0),COUNTIFS('①在庫を貼る'!$V$6:$V$10005,$V495,'①在庫を貼る'!$W$6:$W$10005,$W495)+COUNTIFS('月1回_1ヶ月前の在庫'!$V$6:$V$10005,$V495,'月1回_1ヶ月前の在庫'!$W$6:$W$10005,$W495)&gt;0),N(U494),N(U494)+1))</f>
        <v/>
      </c>
      <c r="V495" s="19">
        <f>IF($B495="","",TEXT($B495,"0000"))</f>
        <v/>
      </c>
      <c r="W495" s="19">
        <f>IF($I495="","",IF(ISNUMBER($I495),TEXT($I495,"0"),$I495))</f>
        <v/>
      </c>
    </row>
    <row r="496">
      <c r="B496" s="25" t="n"/>
      <c r="I496" s="25" t="n"/>
      <c r="U496" s="19">
        <f>IF($V496&lt;&gt;'設定'!$C$4,N(U495),IF(OR(NOT(COUNTIF('商品マスタ'!$B$6:$B$1005,$W496)=0),COUNTIFS('①在庫を貼る'!$V$6:$V$10005,$V496,'①在庫を貼る'!$W$6:$W$10005,$W496)+COUNTIFS('月1回_1ヶ月前の在庫'!$V$6:$V$10005,$V496,'月1回_1ヶ月前の在庫'!$W$6:$W$10005,$W496)&gt;0),N(U495),N(U495)+1))</f>
        <v/>
      </c>
      <c r="V496" s="19">
        <f>IF($B496="","",TEXT($B496,"0000"))</f>
        <v/>
      </c>
      <c r="W496" s="19">
        <f>IF($I496="","",IF(ISNUMBER($I496),TEXT($I496,"0"),$I496))</f>
        <v/>
      </c>
    </row>
    <row r="497">
      <c r="B497" s="25" t="n"/>
      <c r="I497" s="25" t="n"/>
      <c r="U497" s="19">
        <f>IF($V497&lt;&gt;'設定'!$C$4,N(U496),IF(OR(NOT(COUNTIF('商品マスタ'!$B$6:$B$1005,$W497)=0),COUNTIFS('①在庫を貼る'!$V$6:$V$10005,$V497,'①在庫を貼る'!$W$6:$W$10005,$W497)+COUNTIFS('月1回_1ヶ月前の在庫'!$V$6:$V$10005,$V497,'月1回_1ヶ月前の在庫'!$W$6:$W$10005,$W497)&gt;0),N(U496),N(U496)+1))</f>
        <v/>
      </c>
      <c r="V497" s="19">
        <f>IF($B497="","",TEXT($B497,"0000"))</f>
        <v/>
      </c>
      <c r="W497" s="19">
        <f>IF($I497="","",IF(ISNUMBER($I497),TEXT($I497,"0"),$I497))</f>
        <v/>
      </c>
    </row>
    <row r="498">
      <c r="B498" s="25" t="n"/>
      <c r="I498" s="25" t="n"/>
      <c r="U498" s="19">
        <f>IF($V498&lt;&gt;'設定'!$C$4,N(U497),IF(OR(NOT(COUNTIF('商品マスタ'!$B$6:$B$1005,$W498)=0),COUNTIFS('①在庫を貼る'!$V$6:$V$10005,$V498,'①在庫を貼る'!$W$6:$W$10005,$W498)+COUNTIFS('月1回_1ヶ月前の在庫'!$V$6:$V$10005,$V498,'月1回_1ヶ月前の在庫'!$W$6:$W$10005,$W498)&gt;0),N(U497),N(U497)+1))</f>
        <v/>
      </c>
      <c r="V498" s="19">
        <f>IF($B498="","",TEXT($B498,"0000"))</f>
        <v/>
      </c>
      <c r="W498" s="19">
        <f>IF($I498="","",IF(ISNUMBER($I498),TEXT($I498,"0"),$I498))</f>
        <v/>
      </c>
    </row>
    <row r="499">
      <c r="B499" s="25" t="n"/>
      <c r="I499" s="25" t="n"/>
      <c r="U499" s="19">
        <f>IF($V499&lt;&gt;'設定'!$C$4,N(U498),IF(OR(NOT(COUNTIF('商品マスタ'!$B$6:$B$1005,$W499)=0),COUNTIFS('①在庫を貼る'!$V$6:$V$10005,$V499,'①在庫を貼る'!$W$6:$W$10005,$W499)+COUNTIFS('月1回_1ヶ月前の在庫'!$V$6:$V$10005,$V499,'月1回_1ヶ月前の在庫'!$W$6:$W$10005,$W499)&gt;0),N(U498),N(U498)+1))</f>
        <v/>
      </c>
      <c r="V499" s="19">
        <f>IF($B499="","",TEXT($B499,"0000"))</f>
        <v/>
      </c>
      <c r="W499" s="19">
        <f>IF($I499="","",IF(ISNUMBER($I499),TEXT($I499,"0"),$I499))</f>
        <v/>
      </c>
    </row>
    <row r="500">
      <c r="B500" s="25" t="n"/>
      <c r="I500" s="25" t="n"/>
      <c r="U500" s="19">
        <f>IF($V500&lt;&gt;'設定'!$C$4,N(U499),IF(OR(NOT(COUNTIF('商品マスタ'!$B$6:$B$1005,$W500)=0),COUNTIFS('①在庫を貼る'!$V$6:$V$10005,$V500,'①在庫を貼る'!$W$6:$W$10005,$W500)+COUNTIFS('月1回_1ヶ月前の在庫'!$V$6:$V$10005,$V500,'月1回_1ヶ月前の在庫'!$W$6:$W$10005,$W500)&gt;0),N(U499),N(U499)+1))</f>
        <v/>
      </c>
      <c r="V500" s="19">
        <f>IF($B500="","",TEXT($B500,"0000"))</f>
        <v/>
      </c>
      <c r="W500" s="19">
        <f>IF($I500="","",IF(ISNUMBER($I500),TEXT($I500,"0"),$I500))</f>
        <v/>
      </c>
    </row>
    <row r="501">
      <c r="B501" s="25" t="n"/>
      <c r="I501" s="25" t="n"/>
      <c r="U501" s="19">
        <f>IF($V501&lt;&gt;'設定'!$C$4,N(U500),IF(OR(NOT(COUNTIF('商品マスタ'!$B$6:$B$1005,$W501)=0),COUNTIFS('①在庫を貼る'!$V$6:$V$10005,$V501,'①在庫を貼る'!$W$6:$W$10005,$W501)+COUNTIFS('月1回_1ヶ月前の在庫'!$V$6:$V$10005,$V501,'月1回_1ヶ月前の在庫'!$W$6:$W$10005,$W501)&gt;0),N(U500),N(U500)+1))</f>
        <v/>
      </c>
      <c r="V501" s="19">
        <f>IF($B501="","",TEXT($B501,"0000"))</f>
        <v/>
      </c>
      <c r="W501" s="19">
        <f>IF($I501="","",IF(ISNUMBER($I501),TEXT($I501,"0"),$I501))</f>
        <v/>
      </c>
    </row>
    <row r="502">
      <c r="B502" s="25" t="n"/>
      <c r="I502" s="25" t="n"/>
      <c r="U502" s="19">
        <f>IF($V502&lt;&gt;'設定'!$C$4,N(U501),IF(OR(NOT(COUNTIF('商品マスタ'!$B$6:$B$1005,$W502)=0),COUNTIFS('①在庫を貼る'!$V$6:$V$10005,$V502,'①在庫を貼る'!$W$6:$W$10005,$W502)+COUNTIFS('月1回_1ヶ月前の在庫'!$V$6:$V$10005,$V502,'月1回_1ヶ月前の在庫'!$W$6:$W$10005,$W502)&gt;0),N(U501),N(U501)+1))</f>
        <v/>
      </c>
      <c r="V502" s="19">
        <f>IF($B502="","",TEXT($B502,"0000"))</f>
        <v/>
      </c>
      <c r="W502" s="19">
        <f>IF($I502="","",IF(ISNUMBER($I502),TEXT($I502,"0"),$I502))</f>
        <v/>
      </c>
    </row>
    <row r="503">
      <c r="B503" s="25" t="n"/>
      <c r="I503" s="25" t="n"/>
      <c r="U503" s="19">
        <f>IF($V503&lt;&gt;'設定'!$C$4,N(U502),IF(OR(NOT(COUNTIF('商品マスタ'!$B$6:$B$1005,$W503)=0),COUNTIFS('①在庫を貼る'!$V$6:$V$10005,$V503,'①在庫を貼る'!$W$6:$W$10005,$W503)+COUNTIFS('月1回_1ヶ月前の在庫'!$V$6:$V$10005,$V503,'月1回_1ヶ月前の在庫'!$W$6:$W$10005,$W503)&gt;0),N(U502),N(U502)+1))</f>
        <v/>
      </c>
      <c r="V503" s="19">
        <f>IF($B503="","",TEXT($B503,"0000"))</f>
        <v/>
      </c>
      <c r="W503" s="19">
        <f>IF($I503="","",IF(ISNUMBER($I503),TEXT($I503,"0"),$I503))</f>
        <v/>
      </c>
    </row>
    <row r="504">
      <c r="B504" s="25" t="n"/>
      <c r="I504" s="25" t="n"/>
      <c r="U504" s="19">
        <f>IF($V504&lt;&gt;'設定'!$C$4,N(U503),IF(OR(NOT(COUNTIF('商品マスタ'!$B$6:$B$1005,$W504)=0),COUNTIFS('①在庫を貼る'!$V$6:$V$10005,$V504,'①在庫を貼る'!$W$6:$W$10005,$W504)+COUNTIFS('月1回_1ヶ月前の在庫'!$V$6:$V$10005,$V504,'月1回_1ヶ月前の在庫'!$W$6:$W$10005,$W504)&gt;0),N(U503),N(U503)+1))</f>
        <v/>
      </c>
      <c r="V504" s="19">
        <f>IF($B504="","",TEXT($B504,"0000"))</f>
        <v/>
      </c>
      <c r="W504" s="19">
        <f>IF($I504="","",IF(ISNUMBER($I504),TEXT($I504,"0"),$I504))</f>
        <v/>
      </c>
    </row>
    <row r="505">
      <c r="B505" s="25" t="n"/>
      <c r="I505" s="25" t="n"/>
      <c r="U505" s="19">
        <f>IF($V505&lt;&gt;'設定'!$C$4,N(U504),IF(OR(NOT(COUNTIF('商品マスタ'!$B$6:$B$1005,$W505)=0),COUNTIFS('①在庫を貼る'!$V$6:$V$10005,$V505,'①在庫を貼る'!$W$6:$W$10005,$W505)+COUNTIFS('月1回_1ヶ月前の在庫'!$V$6:$V$10005,$V505,'月1回_1ヶ月前の在庫'!$W$6:$W$10005,$W505)&gt;0),N(U504),N(U504)+1))</f>
        <v/>
      </c>
      <c r="V505" s="19">
        <f>IF($B505="","",TEXT($B505,"0000"))</f>
        <v/>
      </c>
      <c r="W505" s="19">
        <f>IF($I505="","",IF(ISNUMBER($I505),TEXT($I505,"0"),$I505))</f>
        <v/>
      </c>
    </row>
    <row r="506">
      <c r="B506" s="25" t="n"/>
      <c r="I506" s="25" t="n"/>
      <c r="U506" s="19">
        <f>IF($V506&lt;&gt;'設定'!$C$4,N(U505),IF(OR(NOT(COUNTIF('商品マスタ'!$B$6:$B$1005,$W506)=0),COUNTIFS('①在庫を貼る'!$V$6:$V$10005,$V506,'①在庫を貼る'!$W$6:$W$10005,$W506)+COUNTIFS('月1回_1ヶ月前の在庫'!$V$6:$V$10005,$V506,'月1回_1ヶ月前の在庫'!$W$6:$W$10005,$W506)&gt;0),N(U505),N(U505)+1))</f>
        <v/>
      </c>
      <c r="V506" s="19">
        <f>IF($B506="","",TEXT($B506,"0000"))</f>
        <v/>
      </c>
      <c r="W506" s="19">
        <f>IF($I506="","",IF(ISNUMBER($I506),TEXT($I506,"0"),$I506))</f>
        <v/>
      </c>
    </row>
    <row r="507">
      <c r="B507" s="25" t="n"/>
      <c r="I507" s="25" t="n"/>
      <c r="U507" s="19">
        <f>IF($V507&lt;&gt;'設定'!$C$4,N(U506),IF(OR(NOT(COUNTIF('商品マスタ'!$B$6:$B$1005,$W507)=0),COUNTIFS('①在庫を貼る'!$V$6:$V$10005,$V507,'①在庫を貼る'!$W$6:$W$10005,$W507)+COUNTIFS('月1回_1ヶ月前の在庫'!$V$6:$V$10005,$V507,'月1回_1ヶ月前の在庫'!$W$6:$W$10005,$W507)&gt;0),N(U506),N(U506)+1))</f>
        <v/>
      </c>
      <c r="V507" s="19">
        <f>IF($B507="","",TEXT($B507,"0000"))</f>
        <v/>
      </c>
      <c r="W507" s="19">
        <f>IF($I507="","",IF(ISNUMBER($I507),TEXT($I507,"0"),$I507))</f>
        <v/>
      </c>
    </row>
    <row r="508">
      <c r="B508" s="25" t="n"/>
      <c r="I508" s="25" t="n"/>
      <c r="U508" s="19">
        <f>IF($V508&lt;&gt;'設定'!$C$4,N(U507),IF(OR(NOT(COUNTIF('商品マスタ'!$B$6:$B$1005,$W508)=0),COUNTIFS('①在庫を貼る'!$V$6:$V$10005,$V508,'①在庫を貼る'!$W$6:$W$10005,$W508)+COUNTIFS('月1回_1ヶ月前の在庫'!$V$6:$V$10005,$V508,'月1回_1ヶ月前の在庫'!$W$6:$W$10005,$W508)&gt;0),N(U507),N(U507)+1))</f>
        <v/>
      </c>
      <c r="V508" s="19">
        <f>IF($B508="","",TEXT($B508,"0000"))</f>
        <v/>
      </c>
      <c r="W508" s="19">
        <f>IF($I508="","",IF(ISNUMBER($I508),TEXT($I508,"0"),$I508))</f>
        <v/>
      </c>
    </row>
    <row r="509">
      <c r="B509" s="25" t="n"/>
      <c r="I509" s="25" t="n"/>
      <c r="U509" s="19">
        <f>IF($V509&lt;&gt;'設定'!$C$4,N(U508),IF(OR(NOT(COUNTIF('商品マスタ'!$B$6:$B$1005,$W509)=0),COUNTIFS('①在庫を貼る'!$V$6:$V$10005,$V509,'①在庫を貼る'!$W$6:$W$10005,$W509)+COUNTIFS('月1回_1ヶ月前の在庫'!$V$6:$V$10005,$V509,'月1回_1ヶ月前の在庫'!$W$6:$W$10005,$W509)&gt;0),N(U508),N(U508)+1))</f>
        <v/>
      </c>
      <c r="V509" s="19">
        <f>IF($B509="","",TEXT($B509,"0000"))</f>
        <v/>
      </c>
      <c r="W509" s="19">
        <f>IF($I509="","",IF(ISNUMBER($I509),TEXT($I509,"0"),$I509))</f>
        <v/>
      </c>
    </row>
    <row r="510">
      <c r="B510" s="25" t="n"/>
      <c r="I510" s="25" t="n"/>
      <c r="U510" s="19">
        <f>IF($V510&lt;&gt;'設定'!$C$4,N(U509),IF(OR(NOT(COUNTIF('商品マスタ'!$B$6:$B$1005,$W510)=0),COUNTIFS('①在庫を貼る'!$V$6:$V$10005,$V510,'①在庫を貼る'!$W$6:$W$10005,$W510)+COUNTIFS('月1回_1ヶ月前の在庫'!$V$6:$V$10005,$V510,'月1回_1ヶ月前の在庫'!$W$6:$W$10005,$W510)&gt;0),N(U509),N(U509)+1))</f>
        <v/>
      </c>
      <c r="V510" s="19">
        <f>IF($B510="","",TEXT($B510,"0000"))</f>
        <v/>
      </c>
      <c r="W510" s="19">
        <f>IF($I510="","",IF(ISNUMBER($I510),TEXT($I510,"0"),$I510))</f>
        <v/>
      </c>
    </row>
    <row r="511">
      <c r="B511" s="25" t="n"/>
      <c r="I511" s="25" t="n"/>
      <c r="U511" s="19">
        <f>IF($V511&lt;&gt;'設定'!$C$4,N(U510),IF(OR(NOT(COUNTIF('商品マスタ'!$B$6:$B$1005,$W511)=0),COUNTIFS('①在庫を貼る'!$V$6:$V$10005,$V511,'①在庫を貼る'!$W$6:$W$10005,$W511)+COUNTIFS('月1回_1ヶ月前の在庫'!$V$6:$V$10005,$V511,'月1回_1ヶ月前の在庫'!$W$6:$W$10005,$W511)&gt;0),N(U510),N(U510)+1))</f>
        <v/>
      </c>
      <c r="V511" s="19">
        <f>IF($B511="","",TEXT($B511,"0000"))</f>
        <v/>
      </c>
      <c r="W511" s="19">
        <f>IF($I511="","",IF(ISNUMBER($I511),TEXT($I511,"0"),$I511))</f>
        <v/>
      </c>
    </row>
    <row r="512">
      <c r="B512" s="25" t="n"/>
      <c r="I512" s="25" t="n"/>
      <c r="U512" s="19">
        <f>IF($V512&lt;&gt;'設定'!$C$4,N(U511),IF(OR(NOT(COUNTIF('商品マスタ'!$B$6:$B$1005,$W512)=0),COUNTIFS('①在庫を貼る'!$V$6:$V$10005,$V512,'①在庫を貼る'!$W$6:$W$10005,$W512)+COUNTIFS('月1回_1ヶ月前の在庫'!$V$6:$V$10005,$V512,'月1回_1ヶ月前の在庫'!$W$6:$W$10005,$W512)&gt;0),N(U511),N(U511)+1))</f>
        <v/>
      </c>
      <c r="V512" s="19">
        <f>IF($B512="","",TEXT($B512,"0000"))</f>
        <v/>
      </c>
      <c r="W512" s="19">
        <f>IF($I512="","",IF(ISNUMBER($I512),TEXT($I512,"0"),$I512))</f>
        <v/>
      </c>
    </row>
    <row r="513">
      <c r="B513" s="25" t="n"/>
      <c r="I513" s="25" t="n"/>
      <c r="U513" s="19">
        <f>IF($V513&lt;&gt;'設定'!$C$4,N(U512),IF(OR(NOT(COUNTIF('商品マスタ'!$B$6:$B$1005,$W513)=0),COUNTIFS('①在庫を貼る'!$V$6:$V$10005,$V513,'①在庫を貼る'!$W$6:$W$10005,$W513)+COUNTIFS('月1回_1ヶ月前の在庫'!$V$6:$V$10005,$V513,'月1回_1ヶ月前の在庫'!$W$6:$W$10005,$W513)&gt;0),N(U512),N(U512)+1))</f>
        <v/>
      </c>
      <c r="V513" s="19">
        <f>IF($B513="","",TEXT($B513,"0000"))</f>
        <v/>
      </c>
      <c r="W513" s="19">
        <f>IF($I513="","",IF(ISNUMBER($I513),TEXT($I513,"0"),$I513))</f>
        <v/>
      </c>
    </row>
    <row r="514">
      <c r="B514" s="25" t="n"/>
      <c r="I514" s="25" t="n"/>
      <c r="U514" s="19">
        <f>IF($V514&lt;&gt;'設定'!$C$4,N(U513),IF(OR(NOT(COUNTIF('商品マスタ'!$B$6:$B$1005,$W514)=0),COUNTIFS('①在庫を貼る'!$V$6:$V$10005,$V514,'①在庫を貼る'!$W$6:$W$10005,$W514)+COUNTIFS('月1回_1ヶ月前の在庫'!$V$6:$V$10005,$V514,'月1回_1ヶ月前の在庫'!$W$6:$W$10005,$W514)&gt;0),N(U513),N(U513)+1))</f>
        <v/>
      </c>
      <c r="V514" s="19">
        <f>IF($B514="","",TEXT($B514,"0000"))</f>
        <v/>
      </c>
      <c r="W514" s="19">
        <f>IF($I514="","",IF(ISNUMBER($I514),TEXT($I514,"0"),$I514))</f>
        <v/>
      </c>
    </row>
    <row r="515">
      <c r="B515" s="25" t="n"/>
      <c r="I515" s="25" t="n"/>
      <c r="U515" s="19">
        <f>IF($V515&lt;&gt;'設定'!$C$4,N(U514),IF(OR(NOT(COUNTIF('商品マスタ'!$B$6:$B$1005,$W515)=0),COUNTIFS('①在庫を貼る'!$V$6:$V$10005,$V515,'①在庫を貼る'!$W$6:$W$10005,$W515)+COUNTIFS('月1回_1ヶ月前の在庫'!$V$6:$V$10005,$V515,'月1回_1ヶ月前の在庫'!$W$6:$W$10005,$W515)&gt;0),N(U514),N(U514)+1))</f>
        <v/>
      </c>
      <c r="V515" s="19">
        <f>IF($B515="","",TEXT($B515,"0000"))</f>
        <v/>
      </c>
      <c r="W515" s="19">
        <f>IF($I515="","",IF(ISNUMBER($I515),TEXT($I515,"0"),$I515))</f>
        <v/>
      </c>
    </row>
    <row r="516">
      <c r="B516" s="25" t="n"/>
      <c r="I516" s="25" t="n"/>
      <c r="U516" s="19">
        <f>IF($V516&lt;&gt;'設定'!$C$4,N(U515),IF(OR(NOT(COUNTIF('商品マスタ'!$B$6:$B$1005,$W516)=0),COUNTIFS('①在庫を貼る'!$V$6:$V$10005,$V516,'①在庫を貼る'!$W$6:$W$10005,$W516)+COUNTIFS('月1回_1ヶ月前の在庫'!$V$6:$V$10005,$V516,'月1回_1ヶ月前の在庫'!$W$6:$W$10005,$W516)&gt;0),N(U515),N(U515)+1))</f>
        <v/>
      </c>
      <c r="V516" s="19">
        <f>IF($B516="","",TEXT($B516,"0000"))</f>
        <v/>
      </c>
      <c r="W516" s="19">
        <f>IF($I516="","",IF(ISNUMBER($I516),TEXT($I516,"0"),$I516))</f>
        <v/>
      </c>
    </row>
    <row r="517">
      <c r="B517" s="25" t="n"/>
      <c r="I517" s="25" t="n"/>
      <c r="U517" s="19">
        <f>IF($V517&lt;&gt;'設定'!$C$4,N(U516),IF(OR(NOT(COUNTIF('商品マスタ'!$B$6:$B$1005,$W517)=0),COUNTIFS('①在庫を貼る'!$V$6:$V$10005,$V517,'①在庫を貼る'!$W$6:$W$10005,$W517)+COUNTIFS('月1回_1ヶ月前の在庫'!$V$6:$V$10005,$V517,'月1回_1ヶ月前の在庫'!$W$6:$W$10005,$W517)&gt;0),N(U516),N(U516)+1))</f>
        <v/>
      </c>
      <c r="V517" s="19">
        <f>IF($B517="","",TEXT($B517,"0000"))</f>
        <v/>
      </c>
      <c r="W517" s="19">
        <f>IF($I517="","",IF(ISNUMBER($I517),TEXT($I517,"0"),$I517))</f>
        <v/>
      </c>
    </row>
    <row r="518">
      <c r="B518" s="25" t="n"/>
      <c r="I518" s="25" t="n"/>
      <c r="U518" s="19">
        <f>IF($V518&lt;&gt;'設定'!$C$4,N(U517),IF(OR(NOT(COUNTIF('商品マスタ'!$B$6:$B$1005,$W518)=0),COUNTIFS('①在庫を貼る'!$V$6:$V$10005,$V518,'①在庫を貼る'!$W$6:$W$10005,$W518)+COUNTIFS('月1回_1ヶ月前の在庫'!$V$6:$V$10005,$V518,'月1回_1ヶ月前の在庫'!$W$6:$W$10005,$W518)&gt;0),N(U517),N(U517)+1))</f>
        <v/>
      </c>
      <c r="V518" s="19">
        <f>IF($B518="","",TEXT($B518,"0000"))</f>
        <v/>
      </c>
      <c r="W518" s="19">
        <f>IF($I518="","",IF(ISNUMBER($I518),TEXT($I518,"0"),$I518))</f>
        <v/>
      </c>
    </row>
    <row r="519">
      <c r="B519" s="25" t="n"/>
      <c r="I519" s="25" t="n"/>
      <c r="U519" s="19">
        <f>IF($V519&lt;&gt;'設定'!$C$4,N(U518),IF(OR(NOT(COUNTIF('商品マスタ'!$B$6:$B$1005,$W519)=0),COUNTIFS('①在庫を貼る'!$V$6:$V$10005,$V519,'①在庫を貼る'!$W$6:$W$10005,$W519)+COUNTIFS('月1回_1ヶ月前の在庫'!$V$6:$V$10005,$V519,'月1回_1ヶ月前の在庫'!$W$6:$W$10005,$W519)&gt;0),N(U518),N(U518)+1))</f>
        <v/>
      </c>
      <c r="V519" s="19">
        <f>IF($B519="","",TEXT($B519,"0000"))</f>
        <v/>
      </c>
      <c r="W519" s="19">
        <f>IF($I519="","",IF(ISNUMBER($I519),TEXT($I519,"0"),$I519))</f>
        <v/>
      </c>
    </row>
    <row r="520">
      <c r="B520" s="25" t="n"/>
      <c r="I520" s="25" t="n"/>
      <c r="U520" s="19">
        <f>IF($V520&lt;&gt;'設定'!$C$4,N(U519),IF(OR(NOT(COUNTIF('商品マスタ'!$B$6:$B$1005,$W520)=0),COUNTIFS('①在庫を貼る'!$V$6:$V$10005,$V520,'①在庫を貼る'!$W$6:$W$10005,$W520)+COUNTIFS('月1回_1ヶ月前の在庫'!$V$6:$V$10005,$V520,'月1回_1ヶ月前の在庫'!$W$6:$W$10005,$W520)&gt;0),N(U519),N(U519)+1))</f>
        <v/>
      </c>
      <c r="V520" s="19">
        <f>IF($B520="","",TEXT($B520,"0000"))</f>
        <v/>
      </c>
      <c r="W520" s="19">
        <f>IF($I520="","",IF(ISNUMBER($I520),TEXT($I520,"0"),$I520))</f>
        <v/>
      </c>
    </row>
    <row r="521">
      <c r="B521" s="25" t="n"/>
      <c r="I521" s="25" t="n"/>
      <c r="U521" s="19">
        <f>IF($V521&lt;&gt;'設定'!$C$4,N(U520),IF(OR(NOT(COUNTIF('商品マスタ'!$B$6:$B$1005,$W521)=0),COUNTIFS('①在庫を貼る'!$V$6:$V$10005,$V521,'①在庫を貼る'!$W$6:$W$10005,$W521)+COUNTIFS('月1回_1ヶ月前の在庫'!$V$6:$V$10005,$V521,'月1回_1ヶ月前の在庫'!$W$6:$W$10005,$W521)&gt;0),N(U520),N(U520)+1))</f>
        <v/>
      </c>
      <c r="V521" s="19">
        <f>IF($B521="","",TEXT($B521,"0000"))</f>
        <v/>
      </c>
      <c r="W521" s="19">
        <f>IF($I521="","",IF(ISNUMBER($I521),TEXT($I521,"0"),$I521))</f>
        <v/>
      </c>
    </row>
    <row r="522">
      <c r="B522" s="25" t="n"/>
      <c r="I522" s="25" t="n"/>
      <c r="U522" s="19">
        <f>IF($V522&lt;&gt;'設定'!$C$4,N(U521),IF(OR(NOT(COUNTIF('商品マスタ'!$B$6:$B$1005,$W522)=0),COUNTIFS('①在庫を貼る'!$V$6:$V$10005,$V522,'①在庫を貼る'!$W$6:$W$10005,$W522)+COUNTIFS('月1回_1ヶ月前の在庫'!$V$6:$V$10005,$V522,'月1回_1ヶ月前の在庫'!$W$6:$W$10005,$W522)&gt;0),N(U521),N(U521)+1))</f>
        <v/>
      </c>
      <c r="V522" s="19">
        <f>IF($B522="","",TEXT($B522,"0000"))</f>
        <v/>
      </c>
      <c r="W522" s="19">
        <f>IF($I522="","",IF(ISNUMBER($I522),TEXT($I522,"0"),$I522))</f>
        <v/>
      </c>
    </row>
    <row r="523">
      <c r="B523" s="25" t="n"/>
      <c r="I523" s="25" t="n"/>
      <c r="U523" s="19">
        <f>IF($V523&lt;&gt;'設定'!$C$4,N(U522),IF(OR(NOT(COUNTIF('商品マスタ'!$B$6:$B$1005,$W523)=0),COUNTIFS('①在庫を貼る'!$V$6:$V$10005,$V523,'①在庫を貼る'!$W$6:$W$10005,$W523)+COUNTIFS('月1回_1ヶ月前の在庫'!$V$6:$V$10005,$V523,'月1回_1ヶ月前の在庫'!$W$6:$W$10005,$W523)&gt;0),N(U522),N(U522)+1))</f>
        <v/>
      </c>
      <c r="V523" s="19">
        <f>IF($B523="","",TEXT($B523,"0000"))</f>
        <v/>
      </c>
      <c r="W523" s="19">
        <f>IF($I523="","",IF(ISNUMBER($I523),TEXT($I523,"0"),$I523))</f>
        <v/>
      </c>
    </row>
    <row r="524">
      <c r="B524" s="25" t="n"/>
      <c r="I524" s="25" t="n"/>
      <c r="U524" s="19">
        <f>IF($V524&lt;&gt;'設定'!$C$4,N(U523),IF(OR(NOT(COUNTIF('商品マスタ'!$B$6:$B$1005,$W524)=0),COUNTIFS('①在庫を貼る'!$V$6:$V$10005,$V524,'①在庫を貼る'!$W$6:$W$10005,$W524)+COUNTIFS('月1回_1ヶ月前の在庫'!$V$6:$V$10005,$V524,'月1回_1ヶ月前の在庫'!$W$6:$W$10005,$W524)&gt;0),N(U523),N(U523)+1))</f>
        <v/>
      </c>
      <c r="V524" s="19">
        <f>IF($B524="","",TEXT($B524,"0000"))</f>
        <v/>
      </c>
      <c r="W524" s="19">
        <f>IF($I524="","",IF(ISNUMBER($I524),TEXT($I524,"0"),$I524))</f>
        <v/>
      </c>
    </row>
    <row r="525">
      <c r="B525" s="25" t="n"/>
      <c r="I525" s="25" t="n"/>
      <c r="U525" s="19">
        <f>IF($V525&lt;&gt;'設定'!$C$4,N(U524),IF(OR(NOT(COUNTIF('商品マスタ'!$B$6:$B$1005,$W525)=0),COUNTIFS('①在庫を貼る'!$V$6:$V$10005,$V525,'①在庫を貼る'!$W$6:$W$10005,$W525)+COUNTIFS('月1回_1ヶ月前の在庫'!$V$6:$V$10005,$V525,'月1回_1ヶ月前の在庫'!$W$6:$W$10005,$W525)&gt;0),N(U524),N(U524)+1))</f>
        <v/>
      </c>
      <c r="V525" s="19">
        <f>IF($B525="","",TEXT($B525,"0000"))</f>
        <v/>
      </c>
      <c r="W525" s="19">
        <f>IF($I525="","",IF(ISNUMBER($I525),TEXT($I525,"0"),$I525))</f>
        <v/>
      </c>
    </row>
    <row r="526">
      <c r="B526" s="25" t="n"/>
      <c r="I526" s="25" t="n"/>
      <c r="U526" s="19">
        <f>IF($V526&lt;&gt;'設定'!$C$4,N(U525),IF(OR(NOT(COUNTIF('商品マスタ'!$B$6:$B$1005,$W526)=0),COUNTIFS('①在庫を貼る'!$V$6:$V$10005,$V526,'①在庫を貼る'!$W$6:$W$10005,$W526)+COUNTIFS('月1回_1ヶ月前の在庫'!$V$6:$V$10005,$V526,'月1回_1ヶ月前の在庫'!$W$6:$W$10005,$W526)&gt;0),N(U525),N(U525)+1))</f>
        <v/>
      </c>
      <c r="V526" s="19">
        <f>IF($B526="","",TEXT($B526,"0000"))</f>
        <v/>
      </c>
      <c r="W526" s="19">
        <f>IF($I526="","",IF(ISNUMBER($I526),TEXT($I526,"0"),$I526))</f>
        <v/>
      </c>
    </row>
    <row r="527">
      <c r="B527" s="25" t="n"/>
      <c r="I527" s="25" t="n"/>
      <c r="U527" s="19">
        <f>IF($V527&lt;&gt;'設定'!$C$4,N(U526),IF(OR(NOT(COUNTIF('商品マスタ'!$B$6:$B$1005,$W527)=0),COUNTIFS('①在庫を貼る'!$V$6:$V$10005,$V527,'①在庫を貼る'!$W$6:$W$10005,$W527)+COUNTIFS('月1回_1ヶ月前の在庫'!$V$6:$V$10005,$V527,'月1回_1ヶ月前の在庫'!$W$6:$W$10005,$W527)&gt;0),N(U526),N(U526)+1))</f>
        <v/>
      </c>
      <c r="V527" s="19">
        <f>IF($B527="","",TEXT($B527,"0000"))</f>
        <v/>
      </c>
      <c r="W527" s="19">
        <f>IF($I527="","",IF(ISNUMBER($I527),TEXT($I527,"0"),$I527))</f>
        <v/>
      </c>
    </row>
    <row r="528">
      <c r="B528" s="25" t="n"/>
      <c r="I528" s="25" t="n"/>
      <c r="U528" s="19">
        <f>IF($V528&lt;&gt;'設定'!$C$4,N(U527),IF(OR(NOT(COUNTIF('商品マスタ'!$B$6:$B$1005,$W528)=0),COUNTIFS('①在庫を貼る'!$V$6:$V$10005,$V528,'①在庫を貼る'!$W$6:$W$10005,$W528)+COUNTIFS('月1回_1ヶ月前の在庫'!$V$6:$V$10005,$V528,'月1回_1ヶ月前の在庫'!$W$6:$W$10005,$W528)&gt;0),N(U527),N(U527)+1))</f>
        <v/>
      </c>
      <c r="V528" s="19">
        <f>IF($B528="","",TEXT($B528,"0000"))</f>
        <v/>
      </c>
      <c r="W528" s="19">
        <f>IF($I528="","",IF(ISNUMBER($I528),TEXT($I528,"0"),$I528))</f>
        <v/>
      </c>
    </row>
    <row r="529">
      <c r="B529" s="25" t="n"/>
      <c r="I529" s="25" t="n"/>
      <c r="U529" s="19">
        <f>IF($V529&lt;&gt;'設定'!$C$4,N(U528),IF(OR(NOT(COUNTIF('商品マスタ'!$B$6:$B$1005,$W529)=0),COUNTIFS('①在庫を貼る'!$V$6:$V$10005,$V529,'①在庫を貼る'!$W$6:$W$10005,$W529)+COUNTIFS('月1回_1ヶ月前の在庫'!$V$6:$V$10005,$V529,'月1回_1ヶ月前の在庫'!$W$6:$W$10005,$W529)&gt;0),N(U528),N(U528)+1))</f>
        <v/>
      </c>
      <c r="V529" s="19">
        <f>IF($B529="","",TEXT($B529,"0000"))</f>
        <v/>
      </c>
      <c r="W529" s="19">
        <f>IF($I529="","",IF(ISNUMBER($I529),TEXT($I529,"0"),$I529))</f>
        <v/>
      </c>
    </row>
    <row r="530">
      <c r="B530" s="25" t="n"/>
      <c r="I530" s="25" t="n"/>
      <c r="U530" s="19">
        <f>IF($V530&lt;&gt;'設定'!$C$4,N(U529),IF(OR(NOT(COUNTIF('商品マスタ'!$B$6:$B$1005,$W530)=0),COUNTIFS('①在庫を貼る'!$V$6:$V$10005,$V530,'①在庫を貼る'!$W$6:$W$10005,$W530)+COUNTIFS('月1回_1ヶ月前の在庫'!$V$6:$V$10005,$V530,'月1回_1ヶ月前の在庫'!$W$6:$W$10005,$W530)&gt;0),N(U529),N(U529)+1))</f>
        <v/>
      </c>
      <c r="V530" s="19">
        <f>IF($B530="","",TEXT($B530,"0000"))</f>
        <v/>
      </c>
      <c r="W530" s="19">
        <f>IF($I530="","",IF(ISNUMBER($I530),TEXT($I530,"0"),$I530))</f>
        <v/>
      </c>
    </row>
    <row r="531">
      <c r="B531" s="25" t="n"/>
      <c r="I531" s="25" t="n"/>
      <c r="U531" s="19">
        <f>IF($V531&lt;&gt;'設定'!$C$4,N(U530),IF(OR(NOT(COUNTIF('商品マスタ'!$B$6:$B$1005,$W531)=0),COUNTIFS('①在庫を貼る'!$V$6:$V$10005,$V531,'①在庫を貼る'!$W$6:$W$10005,$W531)+COUNTIFS('月1回_1ヶ月前の在庫'!$V$6:$V$10005,$V531,'月1回_1ヶ月前の在庫'!$W$6:$W$10005,$W531)&gt;0),N(U530),N(U530)+1))</f>
        <v/>
      </c>
      <c r="V531" s="19">
        <f>IF($B531="","",TEXT($B531,"0000"))</f>
        <v/>
      </c>
      <c r="W531" s="19">
        <f>IF($I531="","",IF(ISNUMBER($I531),TEXT($I531,"0"),$I531))</f>
        <v/>
      </c>
    </row>
    <row r="532">
      <c r="B532" s="25" t="n"/>
      <c r="I532" s="25" t="n"/>
      <c r="U532" s="19">
        <f>IF($V532&lt;&gt;'設定'!$C$4,N(U531),IF(OR(NOT(COUNTIF('商品マスタ'!$B$6:$B$1005,$W532)=0),COUNTIFS('①在庫を貼る'!$V$6:$V$10005,$V532,'①在庫を貼る'!$W$6:$W$10005,$W532)+COUNTIFS('月1回_1ヶ月前の在庫'!$V$6:$V$10005,$V532,'月1回_1ヶ月前の在庫'!$W$6:$W$10005,$W532)&gt;0),N(U531),N(U531)+1))</f>
        <v/>
      </c>
      <c r="V532" s="19">
        <f>IF($B532="","",TEXT($B532,"0000"))</f>
        <v/>
      </c>
      <c r="W532" s="19">
        <f>IF($I532="","",IF(ISNUMBER($I532),TEXT($I532,"0"),$I532))</f>
        <v/>
      </c>
    </row>
    <row r="533">
      <c r="B533" s="25" t="n"/>
      <c r="I533" s="25" t="n"/>
      <c r="U533" s="19">
        <f>IF($V533&lt;&gt;'設定'!$C$4,N(U532),IF(OR(NOT(COUNTIF('商品マスタ'!$B$6:$B$1005,$W533)=0),COUNTIFS('①在庫を貼る'!$V$6:$V$10005,$V533,'①在庫を貼る'!$W$6:$W$10005,$W533)+COUNTIFS('月1回_1ヶ月前の在庫'!$V$6:$V$10005,$V533,'月1回_1ヶ月前の在庫'!$W$6:$W$10005,$W533)&gt;0),N(U532),N(U532)+1))</f>
        <v/>
      </c>
      <c r="V533" s="19">
        <f>IF($B533="","",TEXT($B533,"0000"))</f>
        <v/>
      </c>
      <c r="W533" s="19">
        <f>IF($I533="","",IF(ISNUMBER($I533),TEXT($I533,"0"),$I533))</f>
        <v/>
      </c>
    </row>
    <row r="534">
      <c r="B534" s="25" t="n"/>
      <c r="I534" s="25" t="n"/>
      <c r="U534" s="19">
        <f>IF($V534&lt;&gt;'設定'!$C$4,N(U533),IF(OR(NOT(COUNTIF('商品マスタ'!$B$6:$B$1005,$W534)=0),COUNTIFS('①在庫を貼る'!$V$6:$V$10005,$V534,'①在庫を貼る'!$W$6:$W$10005,$W534)+COUNTIFS('月1回_1ヶ月前の在庫'!$V$6:$V$10005,$V534,'月1回_1ヶ月前の在庫'!$W$6:$W$10005,$W534)&gt;0),N(U533),N(U533)+1))</f>
        <v/>
      </c>
      <c r="V534" s="19">
        <f>IF($B534="","",TEXT($B534,"0000"))</f>
        <v/>
      </c>
      <c r="W534" s="19">
        <f>IF($I534="","",IF(ISNUMBER($I534),TEXT($I534,"0"),$I534))</f>
        <v/>
      </c>
    </row>
    <row r="535">
      <c r="B535" s="25" t="n"/>
      <c r="I535" s="25" t="n"/>
      <c r="U535" s="19">
        <f>IF($V535&lt;&gt;'設定'!$C$4,N(U534),IF(OR(NOT(COUNTIF('商品マスタ'!$B$6:$B$1005,$W535)=0),COUNTIFS('①在庫を貼る'!$V$6:$V$10005,$V535,'①在庫を貼る'!$W$6:$W$10005,$W535)+COUNTIFS('月1回_1ヶ月前の在庫'!$V$6:$V$10005,$V535,'月1回_1ヶ月前の在庫'!$W$6:$W$10005,$W535)&gt;0),N(U534),N(U534)+1))</f>
        <v/>
      </c>
      <c r="V535" s="19">
        <f>IF($B535="","",TEXT($B535,"0000"))</f>
        <v/>
      </c>
      <c r="W535" s="19">
        <f>IF($I535="","",IF(ISNUMBER($I535),TEXT($I535,"0"),$I535))</f>
        <v/>
      </c>
    </row>
    <row r="536">
      <c r="B536" s="25" t="n"/>
      <c r="I536" s="25" t="n"/>
      <c r="U536" s="19">
        <f>IF($V536&lt;&gt;'設定'!$C$4,N(U535),IF(OR(NOT(COUNTIF('商品マスタ'!$B$6:$B$1005,$W536)=0),COUNTIFS('①在庫を貼る'!$V$6:$V$10005,$V536,'①在庫を貼る'!$W$6:$W$10005,$W536)+COUNTIFS('月1回_1ヶ月前の在庫'!$V$6:$V$10005,$V536,'月1回_1ヶ月前の在庫'!$W$6:$W$10005,$W536)&gt;0),N(U535),N(U535)+1))</f>
        <v/>
      </c>
      <c r="V536" s="19">
        <f>IF($B536="","",TEXT($B536,"0000"))</f>
        <v/>
      </c>
      <c r="W536" s="19">
        <f>IF($I536="","",IF(ISNUMBER($I536),TEXT($I536,"0"),$I536))</f>
        <v/>
      </c>
    </row>
    <row r="537">
      <c r="B537" s="25" t="n"/>
      <c r="I537" s="25" t="n"/>
      <c r="U537" s="19">
        <f>IF($V537&lt;&gt;'設定'!$C$4,N(U536),IF(OR(NOT(COUNTIF('商品マスタ'!$B$6:$B$1005,$W537)=0),COUNTIFS('①在庫を貼る'!$V$6:$V$10005,$V537,'①在庫を貼る'!$W$6:$W$10005,$W537)+COUNTIFS('月1回_1ヶ月前の在庫'!$V$6:$V$10005,$V537,'月1回_1ヶ月前の在庫'!$W$6:$W$10005,$W537)&gt;0),N(U536),N(U536)+1))</f>
        <v/>
      </c>
      <c r="V537" s="19">
        <f>IF($B537="","",TEXT($B537,"0000"))</f>
        <v/>
      </c>
      <c r="W537" s="19">
        <f>IF($I537="","",IF(ISNUMBER($I537),TEXT($I537,"0"),$I537))</f>
        <v/>
      </c>
    </row>
    <row r="538">
      <c r="B538" s="25" t="n"/>
      <c r="I538" s="25" t="n"/>
      <c r="U538" s="19">
        <f>IF($V538&lt;&gt;'設定'!$C$4,N(U537),IF(OR(NOT(COUNTIF('商品マスタ'!$B$6:$B$1005,$W538)=0),COUNTIFS('①在庫を貼る'!$V$6:$V$10005,$V538,'①在庫を貼る'!$W$6:$W$10005,$W538)+COUNTIFS('月1回_1ヶ月前の在庫'!$V$6:$V$10005,$V538,'月1回_1ヶ月前の在庫'!$W$6:$W$10005,$W538)&gt;0),N(U537),N(U537)+1))</f>
        <v/>
      </c>
      <c r="V538" s="19">
        <f>IF($B538="","",TEXT($B538,"0000"))</f>
        <v/>
      </c>
      <c r="W538" s="19">
        <f>IF($I538="","",IF(ISNUMBER($I538),TEXT($I538,"0"),$I538))</f>
        <v/>
      </c>
    </row>
    <row r="539">
      <c r="B539" s="25" t="n"/>
      <c r="I539" s="25" t="n"/>
      <c r="U539" s="19">
        <f>IF($V539&lt;&gt;'設定'!$C$4,N(U538),IF(OR(NOT(COUNTIF('商品マスタ'!$B$6:$B$1005,$W539)=0),COUNTIFS('①在庫を貼る'!$V$6:$V$10005,$V539,'①在庫を貼る'!$W$6:$W$10005,$W539)+COUNTIFS('月1回_1ヶ月前の在庫'!$V$6:$V$10005,$V539,'月1回_1ヶ月前の在庫'!$W$6:$W$10005,$W539)&gt;0),N(U538),N(U538)+1))</f>
        <v/>
      </c>
      <c r="V539" s="19">
        <f>IF($B539="","",TEXT($B539,"0000"))</f>
        <v/>
      </c>
      <c r="W539" s="19">
        <f>IF($I539="","",IF(ISNUMBER($I539),TEXT($I539,"0"),$I539))</f>
        <v/>
      </c>
    </row>
    <row r="540">
      <c r="B540" s="25" t="n"/>
      <c r="I540" s="25" t="n"/>
      <c r="U540" s="19">
        <f>IF($V540&lt;&gt;'設定'!$C$4,N(U539),IF(OR(NOT(COUNTIF('商品マスタ'!$B$6:$B$1005,$W540)=0),COUNTIFS('①在庫を貼る'!$V$6:$V$10005,$V540,'①在庫を貼る'!$W$6:$W$10005,$W540)+COUNTIFS('月1回_1ヶ月前の在庫'!$V$6:$V$10005,$V540,'月1回_1ヶ月前の在庫'!$W$6:$W$10005,$W540)&gt;0),N(U539),N(U539)+1))</f>
        <v/>
      </c>
      <c r="V540" s="19">
        <f>IF($B540="","",TEXT($B540,"0000"))</f>
        <v/>
      </c>
      <c r="W540" s="19">
        <f>IF($I540="","",IF(ISNUMBER($I540),TEXT($I540,"0"),$I540))</f>
        <v/>
      </c>
    </row>
    <row r="541">
      <c r="B541" s="25" t="n"/>
      <c r="I541" s="25" t="n"/>
      <c r="U541" s="19">
        <f>IF($V541&lt;&gt;'設定'!$C$4,N(U540),IF(OR(NOT(COUNTIF('商品マスタ'!$B$6:$B$1005,$W541)=0),COUNTIFS('①在庫を貼る'!$V$6:$V$10005,$V541,'①在庫を貼る'!$W$6:$W$10005,$W541)+COUNTIFS('月1回_1ヶ月前の在庫'!$V$6:$V$10005,$V541,'月1回_1ヶ月前の在庫'!$W$6:$W$10005,$W541)&gt;0),N(U540),N(U540)+1))</f>
        <v/>
      </c>
      <c r="V541" s="19">
        <f>IF($B541="","",TEXT($B541,"0000"))</f>
        <v/>
      </c>
      <c r="W541" s="19">
        <f>IF($I541="","",IF(ISNUMBER($I541),TEXT($I541,"0"),$I541))</f>
        <v/>
      </c>
    </row>
    <row r="542">
      <c r="B542" s="25" t="n"/>
      <c r="I542" s="25" t="n"/>
      <c r="U542" s="19">
        <f>IF($V542&lt;&gt;'設定'!$C$4,N(U541),IF(OR(NOT(COUNTIF('商品マスタ'!$B$6:$B$1005,$W542)=0),COUNTIFS('①在庫を貼る'!$V$6:$V$10005,$V542,'①在庫を貼る'!$W$6:$W$10005,$W542)+COUNTIFS('月1回_1ヶ月前の在庫'!$V$6:$V$10005,$V542,'月1回_1ヶ月前の在庫'!$W$6:$W$10005,$W542)&gt;0),N(U541),N(U541)+1))</f>
        <v/>
      </c>
      <c r="V542" s="19">
        <f>IF($B542="","",TEXT($B542,"0000"))</f>
        <v/>
      </c>
      <c r="W542" s="19">
        <f>IF($I542="","",IF(ISNUMBER($I542),TEXT($I542,"0"),$I542))</f>
        <v/>
      </c>
    </row>
    <row r="543">
      <c r="B543" s="25" t="n"/>
      <c r="I543" s="25" t="n"/>
      <c r="U543" s="19">
        <f>IF($V543&lt;&gt;'設定'!$C$4,N(U542),IF(OR(NOT(COUNTIF('商品マスタ'!$B$6:$B$1005,$W543)=0),COUNTIFS('①在庫を貼る'!$V$6:$V$10005,$V543,'①在庫を貼る'!$W$6:$W$10005,$W543)+COUNTIFS('月1回_1ヶ月前の在庫'!$V$6:$V$10005,$V543,'月1回_1ヶ月前の在庫'!$W$6:$W$10005,$W543)&gt;0),N(U542),N(U542)+1))</f>
        <v/>
      </c>
      <c r="V543" s="19">
        <f>IF($B543="","",TEXT($B543,"0000"))</f>
        <v/>
      </c>
      <c r="W543" s="19">
        <f>IF($I543="","",IF(ISNUMBER($I543),TEXT($I543,"0"),$I543))</f>
        <v/>
      </c>
    </row>
    <row r="544">
      <c r="B544" s="25" t="n"/>
      <c r="I544" s="25" t="n"/>
      <c r="U544" s="19">
        <f>IF($V544&lt;&gt;'設定'!$C$4,N(U543),IF(OR(NOT(COUNTIF('商品マスタ'!$B$6:$B$1005,$W544)=0),COUNTIFS('①在庫を貼る'!$V$6:$V$10005,$V544,'①在庫を貼る'!$W$6:$W$10005,$W544)+COUNTIFS('月1回_1ヶ月前の在庫'!$V$6:$V$10005,$V544,'月1回_1ヶ月前の在庫'!$W$6:$W$10005,$W544)&gt;0),N(U543),N(U543)+1))</f>
        <v/>
      </c>
      <c r="V544" s="19">
        <f>IF($B544="","",TEXT($B544,"0000"))</f>
        <v/>
      </c>
      <c r="W544" s="19">
        <f>IF($I544="","",IF(ISNUMBER($I544),TEXT($I544,"0"),$I544))</f>
        <v/>
      </c>
    </row>
    <row r="545">
      <c r="B545" s="25" t="n"/>
      <c r="I545" s="25" t="n"/>
      <c r="U545" s="19">
        <f>IF($V545&lt;&gt;'設定'!$C$4,N(U544),IF(OR(NOT(COUNTIF('商品マスタ'!$B$6:$B$1005,$W545)=0),COUNTIFS('①在庫を貼る'!$V$6:$V$10005,$V545,'①在庫を貼る'!$W$6:$W$10005,$W545)+COUNTIFS('月1回_1ヶ月前の在庫'!$V$6:$V$10005,$V545,'月1回_1ヶ月前の在庫'!$W$6:$W$10005,$W545)&gt;0),N(U544),N(U544)+1))</f>
        <v/>
      </c>
      <c r="V545" s="19">
        <f>IF($B545="","",TEXT($B545,"0000"))</f>
        <v/>
      </c>
      <c r="W545" s="19">
        <f>IF($I545="","",IF(ISNUMBER($I545),TEXT($I545,"0"),$I545))</f>
        <v/>
      </c>
    </row>
    <row r="546">
      <c r="B546" s="25" t="n"/>
      <c r="I546" s="25" t="n"/>
      <c r="U546" s="19">
        <f>IF($V546&lt;&gt;'設定'!$C$4,N(U545),IF(OR(NOT(COUNTIF('商品マスタ'!$B$6:$B$1005,$W546)=0),COUNTIFS('①在庫を貼る'!$V$6:$V$10005,$V546,'①在庫を貼る'!$W$6:$W$10005,$W546)+COUNTIFS('月1回_1ヶ月前の在庫'!$V$6:$V$10005,$V546,'月1回_1ヶ月前の在庫'!$W$6:$W$10005,$W546)&gt;0),N(U545),N(U545)+1))</f>
        <v/>
      </c>
      <c r="V546" s="19">
        <f>IF($B546="","",TEXT($B546,"0000"))</f>
        <v/>
      </c>
      <c r="W546" s="19">
        <f>IF($I546="","",IF(ISNUMBER($I546),TEXT($I546,"0"),$I546))</f>
        <v/>
      </c>
    </row>
    <row r="547">
      <c r="B547" s="25" t="n"/>
      <c r="I547" s="25" t="n"/>
      <c r="U547" s="19">
        <f>IF($V547&lt;&gt;'設定'!$C$4,N(U546),IF(OR(NOT(COUNTIF('商品マスタ'!$B$6:$B$1005,$W547)=0),COUNTIFS('①在庫を貼る'!$V$6:$V$10005,$V547,'①在庫を貼る'!$W$6:$W$10005,$W547)+COUNTIFS('月1回_1ヶ月前の在庫'!$V$6:$V$10005,$V547,'月1回_1ヶ月前の在庫'!$W$6:$W$10005,$W547)&gt;0),N(U546),N(U546)+1))</f>
        <v/>
      </c>
      <c r="V547" s="19">
        <f>IF($B547="","",TEXT($B547,"0000"))</f>
        <v/>
      </c>
      <c r="W547" s="19">
        <f>IF($I547="","",IF(ISNUMBER($I547),TEXT($I547,"0"),$I547))</f>
        <v/>
      </c>
    </row>
    <row r="548">
      <c r="B548" s="25" t="n"/>
      <c r="I548" s="25" t="n"/>
      <c r="U548" s="19">
        <f>IF($V548&lt;&gt;'設定'!$C$4,N(U547),IF(OR(NOT(COUNTIF('商品マスタ'!$B$6:$B$1005,$W548)=0),COUNTIFS('①在庫を貼る'!$V$6:$V$10005,$V548,'①在庫を貼る'!$W$6:$W$10005,$W548)+COUNTIFS('月1回_1ヶ月前の在庫'!$V$6:$V$10005,$V548,'月1回_1ヶ月前の在庫'!$W$6:$W$10005,$W548)&gt;0),N(U547),N(U547)+1))</f>
        <v/>
      </c>
      <c r="V548" s="19">
        <f>IF($B548="","",TEXT($B548,"0000"))</f>
        <v/>
      </c>
      <c r="W548" s="19">
        <f>IF($I548="","",IF(ISNUMBER($I548),TEXT($I548,"0"),$I548))</f>
        <v/>
      </c>
    </row>
    <row r="549">
      <c r="B549" s="25" t="n"/>
      <c r="I549" s="25" t="n"/>
      <c r="U549" s="19">
        <f>IF($V549&lt;&gt;'設定'!$C$4,N(U548),IF(OR(NOT(COUNTIF('商品マスタ'!$B$6:$B$1005,$W549)=0),COUNTIFS('①在庫を貼る'!$V$6:$V$10005,$V549,'①在庫を貼る'!$W$6:$W$10005,$W549)+COUNTIFS('月1回_1ヶ月前の在庫'!$V$6:$V$10005,$V549,'月1回_1ヶ月前の在庫'!$W$6:$W$10005,$W549)&gt;0),N(U548),N(U548)+1))</f>
        <v/>
      </c>
      <c r="V549" s="19">
        <f>IF($B549="","",TEXT($B549,"0000"))</f>
        <v/>
      </c>
      <c r="W549" s="19">
        <f>IF($I549="","",IF(ISNUMBER($I549),TEXT($I549,"0"),$I549))</f>
        <v/>
      </c>
    </row>
    <row r="550">
      <c r="B550" s="25" t="n"/>
      <c r="I550" s="25" t="n"/>
      <c r="U550" s="19">
        <f>IF($V550&lt;&gt;'設定'!$C$4,N(U549),IF(OR(NOT(COUNTIF('商品マスタ'!$B$6:$B$1005,$W550)=0),COUNTIFS('①在庫を貼る'!$V$6:$V$10005,$V550,'①在庫を貼る'!$W$6:$W$10005,$W550)+COUNTIFS('月1回_1ヶ月前の在庫'!$V$6:$V$10005,$V550,'月1回_1ヶ月前の在庫'!$W$6:$W$10005,$W550)&gt;0),N(U549),N(U549)+1))</f>
        <v/>
      </c>
      <c r="V550" s="19">
        <f>IF($B550="","",TEXT($B550,"0000"))</f>
        <v/>
      </c>
      <c r="W550" s="19">
        <f>IF($I550="","",IF(ISNUMBER($I550),TEXT($I550,"0"),$I550))</f>
        <v/>
      </c>
    </row>
    <row r="551">
      <c r="B551" s="25" t="n"/>
      <c r="I551" s="25" t="n"/>
      <c r="U551" s="19">
        <f>IF($V551&lt;&gt;'設定'!$C$4,N(U550),IF(OR(NOT(COUNTIF('商品マスタ'!$B$6:$B$1005,$W551)=0),COUNTIFS('①在庫を貼る'!$V$6:$V$10005,$V551,'①在庫を貼る'!$W$6:$W$10005,$W551)+COUNTIFS('月1回_1ヶ月前の在庫'!$V$6:$V$10005,$V551,'月1回_1ヶ月前の在庫'!$W$6:$W$10005,$W551)&gt;0),N(U550),N(U550)+1))</f>
        <v/>
      </c>
      <c r="V551" s="19">
        <f>IF($B551="","",TEXT($B551,"0000"))</f>
        <v/>
      </c>
      <c r="W551" s="19">
        <f>IF($I551="","",IF(ISNUMBER($I551),TEXT($I551,"0"),$I551))</f>
        <v/>
      </c>
    </row>
    <row r="552">
      <c r="B552" s="25" t="n"/>
      <c r="I552" s="25" t="n"/>
      <c r="U552" s="19">
        <f>IF($V552&lt;&gt;'設定'!$C$4,N(U551),IF(OR(NOT(COUNTIF('商品マスタ'!$B$6:$B$1005,$W552)=0),COUNTIFS('①在庫を貼る'!$V$6:$V$10005,$V552,'①在庫を貼る'!$W$6:$W$10005,$W552)+COUNTIFS('月1回_1ヶ月前の在庫'!$V$6:$V$10005,$V552,'月1回_1ヶ月前の在庫'!$W$6:$W$10005,$W552)&gt;0),N(U551),N(U551)+1))</f>
        <v/>
      </c>
      <c r="V552" s="19">
        <f>IF($B552="","",TEXT($B552,"0000"))</f>
        <v/>
      </c>
      <c r="W552" s="19">
        <f>IF($I552="","",IF(ISNUMBER($I552),TEXT($I552,"0"),$I552))</f>
        <v/>
      </c>
    </row>
    <row r="553">
      <c r="B553" s="25" t="n"/>
      <c r="I553" s="25" t="n"/>
      <c r="U553" s="19">
        <f>IF($V553&lt;&gt;'設定'!$C$4,N(U552),IF(OR(NOT(COUNTIF('商品マスタ'!$B$6:$B$1005,$W553)=0),COUNTIFS('①在庫を貼る'!$V$6:$V$10005,$V553,'①在庫を貼る'!$W$6:$W$10005,$W553)+COUNTIFS('月1回_1ヶ月前の在庫'!$V$6:$V$10005,$V553,'月1回_1ヶ月前の在庫'!$W$6:$W$10005,$W553)&gt;0),N(U552),N(U552)+1))</f>
        <v/>
      </c>
      <c r="V553" s="19">
        <f>IF($B553="","",TEXT($B553,"0000"))</f>
        <v/>
      </c>
      <c r="W553" s="19">
        <f>IF($I553="","",IF(ISNUMBER($I553),TEXT($I553,"0"),$I553))</f>
        <v/>
      </c>
    </row>
    <row r="554">
      <c r="B554" s="25" t="n"/>
      <c r="I554" s="25" t="n"/>
      <c r="U554" s="19">
        <f>IF($V554&lt;&gt;'設定'!$C$4,N(U553),IF(OR(NOT(COUNTIF('商品マスタ'!$B$6:$B$1005,$W554)=0),COUNTIFS('①在庫を貼る'!$V$6:$V$10005,$V554,'①在庫を貼る'!$W$6:$W$10005,$W554)+COUNTIFS('月1回_1ヶ月前の在庫'!$V$6:$V$10005,$V554,'月1回_1ヶ月前の在庫'!$W$6:$W$10005,$W554)&gt;0),N(U553),N(U553)+1))</f>
        <v/>
      </c>
      <c r="V554" s="19">
        <f>IF($B554="","",TEXT($B554,"0000"))</f>
        <v/>
      </c>
      <c r="W554" s="19">
        <f>IF($I554="","",IF(ISNUMBER($I554),TEXT($I554,"0"),$I554))</f>
        <v/>
      </c>
    </row>
    <row r="555">
      <c r="B555" s="25" t="n"/>
      <c r="I555" s="25" t="n"/>
      <c r="U555" s="19">
        <f>IF($V555&lt;&gt;'設定'!$C$4,N(U554),IF(OR(NOT(COUNTIF('商品マスタ'!$B$6:$B$1005,$W555)=0),COUNTIFS('①在庫を貼る'!$V$6:$V$10005,$V555,'①在庫を貼る'!$W$6:$W$10005,$W555)+COUNTIFS('月1回_1ヶ月前の在庫'!$V$6:$V$10005,$V555,'月1回_1ヶ月前の在庫'!$W$6:$W$10005,$W555)&gt;0),N(U554),N(U554)+1))</f>
        <v/>
      </c>
      <c r="V555" s="19">
        <f>IF($B555="","",TEXT($B555,"0000"))</f>
        <v/>
      </c>
      <c r="W555" s="19">
        <f>IF($I555="","",IF(ISNUMBER($I555),TEXT($I555,"0"),$I555))</f>
        <v/>
      </c>
    </row>
    <row r="556">
      <c r="B556" s="25" t="n"/>
      <c r="I556" s="25" t="n"/>
      <c r="U556" s="19">
        <f>IF($V556&lt;&gt;'設定'!$C$4,N(U555),IF(OR(NOT(COUNTIF('商品マスタ'!$B$6:$B$1005,$W556)=0),COUNTIFS('①在庫を貼る'!$V$6:$V$10005,$V556,'①在庫を貼る'!$W$6:$W$10005,$W556)+COUNTIFS('月1回_1ヶ月前の在庫'!$V$6:$V$10005,$V556,'月1回_1ヶ月前の在庫'!$W$6:$W$10005,$W556)&gt;0),N(U555),N(U555)+1))</f>
        <v/>
      </c>
      <c r="V556" s="19">
        <f>IF($B556="","",TEXT($B556,"0000"))</f>
        <v/>
      </c>
      <c r="W556" s="19">
        <f>IF($I556="","",IF(ISNUMBER($I556),TEXT($I556,"0"),$I556))</f>
        <v/>
      </c>
    </row>
    <row r="557">
      <c r="B557" s="25" t="n"/>
      <c r="I557" s="25" t="n"/>
      <c r="U557" s="19">
        <f>IF($V557&lt;&gt;'設定'!$C$4,N(U556),IF(OR(NOT(COUNTIF('商品マスタ'!$B$6:$B$1005,$W557)=0),COUNTIFS('①在庫を貼る'!$V$6:$V$10005,$V557,'①在庫を貼る'!$W$6:$W$10005,$W557)+COUNTIFS('月1回_1ヶ月前の在庫'!$V$6:$V$10005,$V557,'月1回_1ヶ月前の在庫'!$W$6:$W$10005,$W557)&gt;0),N(U556),N(U556)+1))</f>
        <v/>
      </c>
      <c r="V557" s="19">
        <f>IF($B557="","",TEXT($B557,"0000"))</f>
        <v/>
      </c>
      <c r="W557" s="19">
        <f>IF($I557="","",IF(ISNUMBER($I557),TEXT($I557,"0"),$I557))</f>
        <v/>
      </c>
    </row>
    <row r="558">
      <c r="B558" s="25" t="n"/>
      <c r="I558" s="25" t="n"/>
      <c r="U558" s="19">
        <f>IF($V558&lt;&gt;'設定'!$C$4,N(U557),IF(OR(NOT(COUNTIF('商品マスタ'!$B$6:$B$1005,$W558)=0),COUNTIFS('①在庫を貼る'!$V$6:$V$10005,$V558,'①在庫を貼る'!$W$6:$W$10005,$W558)+COUNTIFS('月1回_1ヶ月前の在庫'!$V$6:$V$10005,$V558,'月1回_1ヶ月前の在庫'!$W$6:$W$10005,$W558)&gt;0),N(U557),N(U557)+1))</f>
        <v/>
      </c>
      <c r="V558" s="19">
        <f>IF($B558="","",TEXT($B558,"0000"))</f>
        <v/>
      </c>
      <c r="W558" s="19">
        <f>IF($I558="","",IF(ISNUMBER($I558),TEXT($I558,"0"),$I558))</f>
        <v/>
      </c>
    </row>
    <row r="559">
      <c r="B559" s="25" t="n"/>
      <c r="I559" s="25" t="n"/>
      <c r="U559" s="19">
        <f>IF($V559&lt;&gt;'設定'!$C$4,N(U558),IF(OR(NOT(COUNTIF('商品マスタ'!$B$6:$B$1005,$W559)=0),COUNTIFS('①在庫を貼る'!$V$6:$V$10005,$V559,'①在庫を貼る'!$W$6:$W$10005,$W559)+COUNTIFS('月1回_1ヶ月前の在庫'!$V$6:$V$10005,$V559,'月1回_1ヶ月前の在庫'!$W$6:$W$10005,$W559)&gt;0),N(U558),N(U558)+1))</f>
        <v/>
      </c>
      <c r="V559" s="19">
        <f>IF($B559="","",TEXT($B559,"0000"))</f>
        <v/>
      </c>
      <c r="W559" s="19">
        <f>IF($I559="","",IF(ISNUMBER($I559),TEXT($I559,"0"),$I559))</f>
        <v/>
      </c>
    </row>
    <row r="560">
      <c r="B560" s="25" t="n"/>
      <c r="I560" s="25" t="n"/>
      <c r="U560" s="19">
        <f>IF($V560&lt;&gt;'設定'!$C$4,N(U559),IF(OR(NOT(COUNTIF('商品マスタ'!$B$6:$B$1005,$W560)=0),COUNTIFS('①在庫を貼る'!$V$6:$V$10005,$V560,'①在庫を貼る'!$W$6:$W$10005,$W560)+COUNTIFS('月1回_1ヶ月前の在庫'!$V$6:$V$10005,$V560,'月1回_1ヶ月前の在庫'!$W$6:$W$10005,$W560)&gt;0),N(U559),N(U559)+1))</f>
        <v/>
      </c>
      <c r="V560" s="19">
        <f>IF($B560="","",TEXT($B560,"0000"))</f>
        <v/>
      </c>
      <c r="W560" s="19">
        <f>IF($I560="","",IF(ISNUMBER($I560),TEXT($I560,"0"),$I560))</f>
        <v/>
      </c>
    </row>
    <row r="561">
      <c r="B561" s="25" t="n"/>
      <c r="I561" s="25" t="n"/>
      <c r="U561" s="19">
        <f>IF($V561&lt;&gt;'設定'!$C$4,N(U560),IF(OR(NOT(COUNTIF('商品マスタ'!$B$6:$B$1005,$W561)=0),COUNTIFS('①在庫を貼る'!$V$6:$V$10005,$V561,'①在庫を貼る'!$W$6:$W$10005,$W561)+COUNTIFS('月1回_1ヶ月前の在庫'!$V$6:$V$10005,$V561,'月1回_1ヶ月前の在庫'!$W$6:$W$10005,$W561)&gt;0),N(U560),N(U560)+1))</f>
        <v/>
      </c>
      <c r="V561" s="19">
        <f>IF($B561="","",TEXT($B561,"0000"))</f>
        <v/>
      </c>
      <c r="W561" s="19">
        <f>IF($I561="","",IF(ISNUMBER($I561),TEXT($I561,"0"),$I561))</f>
        <v/>
      </c>
    </row>
    <row r="562">
      <c r="B562" s="25" t="n"/>
      <c r="I562" s="25" t="n"/>
      <c r="U562" s="19">
        <f>IF($V562&lt;&gt;'設定'!$C$4,N(U561),IF(OR(NOT(COUNTIF('商品マスタ'!$B$6:$B$1005,$W562)=0),COUNTIFS('①在庫を貼る'!$V$6:$V$10005,$V562,'①在庫を貼る'!$W$6:$W$10005,$W562)+COUNTIFS('月1回_1ヶ月前の在庫'!$V$6:$V$10005,$V562,'月1回_1ヶ月前の在庫'!$W$6:$W$10005,$W562)&gt;0),N(U561),N(U561)+1))</f>
        <v/>
      </c>
      <c r="V562" s="19">
        <f>IF($B562="","",TEXT($B562,"0000"))</f>
        <v/>
      </c>
      <c r="W562" s="19">
        <f>IF($I562="","",IF(ISNUMBER($I562),TEXT($I562,"0"),$I562))</f>
        <v/>
      </c>
    </row>
    <row r="563">
      <c r="B563" s="25" t="n"/>
      <c r="I563" s="25" t="n"/>
      <c r="U563" s="19">
        <f>IF($V563&lt;&gt;'設定'!$C$4,N(U562),IF(OR(NOT(COUNTIF('商品マスタ'!$B$6:$B$1005,$W563)=0),COUNTIFS('①在庫を貼る'!$V$6:$V$10005,$V563,'①在庫を貼る'!$W$6:$W$10005,$W563)+COUNTIFS('月1回_1ヶ月前の在庫'!$V$6:$V$10005,$V563,'月1回_1ヶ月前の在庫'!$W$6:$W$10005,$W563)&gt;0),N(U562),N(U562)+1))</f>
        <v/>
      </c>
      <c r="V563" s="19">
        <f>IF($B563="","",TEXT($B563,"0000"))</f>
        <v/>
      </c>
      <c r="W563" s="19">
        <f>IF($I563="","",IF(ISNUMBER($I563),TEXT($I563,"0"),$I563))</f>
        <v/>
      </c>
    </row>
    <row r="564">
      <c r="B564" s="25" t="n"/>
      <c r="I564" s="25" t="n"/>
      <c r="U564" s="19">
        <f>IF($V564&lt;&gt;'設定'!$C$4,N(U563),IF(OR(NOT(COUNTIF('商品マスタ'!$B$6:$B$1005,$W564)=0),COUNTIFS('①在庫を貼る'!$V$6:$V$10005,$V564,'①在庫を貼る'!$W$6:$W$10005,$W564)+COUNTIFS('月1回_1ヶ月前の在庫'!$V$6:$V$10005,$V564,'月1回_1ヶ月前の在庫'!$W$6:$W$10005,$W564)&gt;0),N(U563),N(U563)+1))</f>
        <v/>
      </c>
      <c r="V564" s="19">
        <f>IF($B564="","",TEXT($B564,"0000"))</f>
        <v/>
      </c>
      <c r="W564" s="19">
        <f>IF($I564="","",IF(ISNUMBER($I564),TEXT($I564,"0"),$I564))</f>
        <v/>
      </c>
    </row>
    <row r="565">
      <c r="B565" s="25" t="n"/>
      <c r="I565" s="25" t="n"/>
      <c r="U565" s="19">
        <f>IF($V565&lt;&gt;'設定'!$C$4,N(U564),IF(OR(NOT(COUNTIF('商品マスタ'!$B$6:$B$1005,$W565)=0),COUNTIFS('①在庫を貼る'!$V$6:$V$10005,$V565,'①在庫を貼る'!$W$6:$W$10005,$W565)+COUNTIFS('月1回_1ヶ月前の在庫'!$V$6:$V$10005,$V565,'月1回_1ヶ月前の在庫'!$W$6:$W$10005,$W565)&gt;0),N(U564),N(U564)+1))</f>
        <v/>
      </c>
      <c r="V565" s="19">
        <f>IF($B565="","",TEXT($B565,"0000"))</f>
        <v/>
      </c>
      <c r="W565" s="19">
        <f>IF($I565="","",IF(ISNUMBER($I565),TEXT($I565,"0"),$I565))</f>
        <v/>
      </c>
    </row>
    <row r="566">
      <c r="B566" s="25" t="n"/>
      <c r="I566" s="25" t="n"/>
      <c r="U566" s="19">
        <f>IF($V566&lt;&gt;'設定'!$C$4,N(U565),IF(OR(NOT(COUNTIF('商品マスタ'!$B$6:$B$1005,$W566)=0),COUNTIFS('①在庫を貼る'!$V$6:$V$10005,$V566,'①在庫を貼る'!$W$6:$W$10005,$W566)+COUNTIFS('月1回_1ヶ月前の在庫'!$V$6:$V$10005,$V566,'月1回_1ヶ月前の在庫'!$W$6:$W$10005,$W566)&gt;0),N(U565),N(U565)+1))</f>
        <v/>
      </c>
      <c r="V566" s="19">
        <f>IF($B566="","",TEXT($B566,"0000"))</f>
        <v/>
      </c>
      <c r="W566" s="19">
        <f>IF($I566="","",IF(ISNUMBER($I566),TEXT($I566,"0"),$I566))</f>
        <v/>
      </c>
    </row>
    <row r="567">
      <c r="B567" s="25" t="n"/>
      <c r="I567" s="25" t="n"/>
      <c r="U567" s="19">
        <f>IF($V567&lt;&gt;'設定'!$C$4,N(U566),IF(OR(NOT(COUNTIF('商品マスタ'!$B$6:$B$1005,$W567)=0),COUNTIFS('①在庫を貼る'!$V$6:$V$10005,$V567,'①在庫を貼る'!$W$6:$W$10005,$W567)+COUNTIFS('月1回_1ヶ月前の在庫'!$V$6:$V$10005,$V567,'月1回_1ヶ月前の在庫'!$W$6:$W$10005,$W567)&gt;0),N(U566),N(U566)+1))</f>
        <v/>
      </c>
      <c r="V567" s="19">
        <f>IF($B567="","",TEXT($B567,"0000"))</f>
        <v/>
      </c>
      <c r="W567" s="19">
        <f>IF($I567="","",IF(ISNUMBER($I567),TEXT($I567,"0"),$I567))</f>
        <v/>
      </c>
    </row>
    <row r="568">
      <c r="B568" s="25" t="n"/>
      <c r="I568" s="25" t="n"/>
      <c r="U568" s="19">
        <f>IF($V568&lt;&gt;'設定'!$C$4,N(U567),IF(OR(NOT(COUNTIF('商品マスタ'!$B$6:$B$1005,$W568)=0),COUNTIFS('①在庫を貼る'!$V$6:$V$10005,$V568,'①在庫を貼る'!$W$6:$W$10005,$W568)+COUNTIFS('月1回_1ヶ月前の在庫'!$V$6:$V$10005,$V568,'月1回_1ヶ月前の在庫'!$W$6:$W$10005,$W568)&gt;0),N(U567),N(U567)+1))</f>
        <v/>
      </c>
      <c r="V568" s="19">
        <f>IF($B568="","",TEXT($B568,"0000"))</f>
        <v/>
      </c>
      <c r="W568" s="19">
        <f>IF($I568="","",IF(ISNUMBER($I568),TEXT($I568,"0"),$I568))</f>
        <v/>
      </c>
    </row>
    <row r="569">
      <c r="B569" s="25" t="n"/>
      <c r="I569" s="25" t="n"/>
      <c r="U569" s="19">
        <f>IF($V569&lt;&gt;'設定'!$C$4,N(U568),IF(OR(NOT(COUNTIF('商品マスタ'!$B$6:$B$1005,$W569)=0),COUNTIFS('①在庫を貼る'!$V$6:$V$10005,$V569,'①在庫を貼る'!$W$6:$W$10005,$W569)+COUNTIFS('月1回_1ヶ月前の在庫'!$V$6:$V$10005,$V569,'月1回_1ヶ月前の在庫'!$W$6:$W$10005,$W569)&gt;0),N(U568),N(U568)+1))</f>
        <v/>
      </c>
      <c r="V569" s="19">
        <f>IF($B569="","",TEXT($B569,"0000"))</f>
        <v/>
      </c>
      <c r="W569" s="19">
        <f>IF($I569="","",IF(ISNUMBER($I569),TEXT($I569,"0"),$I569))</f>
        <v/>
      </c>
    </row>
    <row r="570">
      <c r="B570" s="25" t="n"/>
      <c r="I570" s="25" t="n"/>
      <c r="U570" s="19">
        <f>IF($V570&lt;&gt;'設定'!$C$4,N(U569),IF(OR(NOT(COUNTIF('商品マスタ'!$B$6:$B$1005,$W570)=0),COUNTIFS('①在庫を貼る'!$V$6:$V$10005,$V570,'①在庫を貼る'!$W$6:$W$10005,$W570)+COUNTIFS('月1回_1ヶ月前の在庫'!$V$6:$V$10005,$V570,'月1回_1ヶ月前の在庫'!$W$6:$W$10005,$W570)&gt;0),N(U569),N(U569)+1))</f>
        <v/>
      </c>
      <c r="V570" s="19">
        <f>IF($B570="","",TEXT($B570,"0000"))</f>
        <v/>
      </c>
      <c r="W570" s="19">
        <f>IF($I570="","",IF(ISNUMBER($I570),TEXT($I570,"0"),$I570))</f>
        <v/>
      </c>
    </row>
    <row r="571">
      <c r="B571" s="25" t="n"/>
      <c r="I571" s="25" t="n"/>
      <c r="U571" s="19">
        <f>IF($V571&lt;&gt;'設定'!$C$4,N(U570),IF(OR(NOT(COUNTIF('商品マスタ'!$B$6:$B$1005,$W571)=0),COUNTIFS('①在庫を貼る'!$V$6:$V$10005,$V571,'①在庫を貼る'!$W$6:$W$10005,$W571)+COUNTIFS('月1回_1ヶ月前の在庫'!$V$6:$V$10005,$V571,'月1回_1ヶ月前の在庫'!$W$6:$W$10005,$W571)&gt;0),N(U570),N(U570)+1))</f>
        <v/>
      </c>
      <c r="V571" s="19">
        <f>IF($B571="","",TEXT($B571,"0000"))</f>
        <v/>
      </c>
      <c r="W571" s="19">
        <f>IF($I571="","",IF(ISNUMBER($I571),TEXT($I571,"0"),$I571))</f>
        <v/>
      </c>
    </row>
    <row r="572">
      <c r="B572" s="25" t="n"/>
      <c r="I572" s="25" t="n"/>
      <c r="U572" s="19">
        <f>IF($V572&lt;&gt;'設定'!$C$4,N(U571),IF(OR(NOT(COUNTIF('商品マスタ'!$B$6:$B$1005,$W572)=0),COUNTIFS('①在庫を貼る'!$V$6:$V$10005,$V572,'①在庫を貼る'!$W$6:$W$10005,$W572)+COUNTIFS('月1回_1ヶ月前の在庫'!$V$6:$V$10005,$V572,'月1回_1ヶ月前の在庫'!$W$6:$W$10005,$W572)&gt;0),N(U571),N(U571)+1))</f>
        <v/>
      </c>
      <c r="V572" s="19">
        <f>IF($B572="","",TEXT($B572,"0000"))</f>
        <v/>
      </c>
      <c r="W572" s="19">
        <f>IF($I572="","",IF(ISNUMBER($I572),TEXT($I572,"0"),$I572))</f>
        <v/>
      </c>
    </row>
    <row r="573">
      <c r="B573" s="25" t="n"/>
      <c r="I573" s="25" t="n"/>
      <c r="U573" s="19">
        <f>IF($V573&lt;&gt;'設定'!$C$4,N(U572),IF(OR(NOT(COUNTIF('商品マスタ'!$B$6:$B$1005,$W573)=0),COUNTIFS('①在庫を貼る'!$V$6:$V$10005,$V573,'①在庫を貼る'!$W$6:$W$10005,$W573)+COUNTIFS('月1回_1ヶ月前の在庫'!$V$6:$V$10005,$V573,'月1回_1ヶ月前の在庫'!$W$6:$W$10005,$W573)&gt;0),N(U572),N(U572)+1))</f>
        <v/>
      </c>
      <c r="V573" s="19">
        <f>IF($B573="","",TEXT($B573,"0000"))</f>
        <v/>
      </c>
      <c r="W573" s="19">
        <f>IF($I573="","",IF(ISNUMBER($I573),TEXT($I573,"0"),$I573))</f>
        <v/>
      </c>
    </row>
    <row r="574">
      <c r="B574" s="25" t="n"/>
      <c r="I574" s="25" t="n"/>
      <c r="U574" s="19">
        <f>IF($V574&lt;&gt;'設定'!$C$4,N(U573),IF(OR(NOT(COUNTIF('商品マスタ'!$B$6:$B$1005,$W574)=0),COUNTIFS('①在庫を貼る'!$V$6:$V$10005,$V574,'①在庫を貼る'!$W$6:$W$10005,$W574)+COUNTIFS('月1回_1ヶ月前の在庫'!$V$6:$V$10005,$V574,'月1回_1ヶ月前の在庫'!$W$6:$W$10005,$W574)&gt;0),N(U573),N(U573)+1))</f>
        <v/>
      </c>
      <c r="V574" s="19">
        <f>IF($B574="","",TEXT($B574,"0000"))</f>
        <v/>
      </c>
      <c r="W574" s="19">
        <f>IF($I574="","",IF(ISNUMBER($I574),TEXT($I574,"0"),$I574))</f>
        <v/>
      </c>
    </row>
    <row r="575">
      <c r="B575" s="25" t="n"/>
      <c r="I575" s="25" t="n"/>
      <c r="U575" s="19">
        <f>IF($V575&lt;&gt;'設定'!$C$4,N(U574),IF(OR(NOT(COUNTIF('商品マスタ'!$B$6:$B$1005,$W575)=0),COUNTIFS('①在庫を貼る'!$V$6:$V$10005,$V575,'①在庫を貼る'!$W$6:$W$10005,$W575)+COUNTIFS('月1回_1ヶ月前の在庫'!$V$6:$V$10005,$V575,'月1回_1ヶ月前の在庫'!$W$6:$W$10005,$W575)&gt;0),N(U574),N(U574)+1))</f>
        <v/>
      </c>
      <c r="V575" s="19">
        <f>IF($B575="","",TEXT($B575,"0000"))</f>
        <v/>
      </c>
      <c r="W575" s="19">
        <f>IF($I575="","",IF(ISNUMBER($I575),TEXT($I575,"0"),$I575))</f>
        <v/>
      </c>
    </row>
    <row r="576">
      <c r="B576" s="25" t="n"/>
      <c r="I576" s="25" t="n"/>
      <c r="U576" s="19">
        <f>IF($V576&lt;&gt;'設定'!$C$4,N(U575),IF(OR(NOT(COUNTIF('商品マスタ'!$B$6:$B$1005,$W576)=0),COUNTIFS('①在庫を貼る'!$V$6:$V$10005,$V576,'①在庫を貼る'!$W$6:$W$10005,$W576)+COUNTIFS('月1回_1ヶ月前の在庫'!$V$6:$V$10005,$V576,'月1回_1ヶ月前の在庫'!$W$6:$W$10005,$W576)&gt;0),N(U575),N(U575)+1))</f>
        <v/>
      </c>
      <c r="V576" s="19">
        <f>IF($B576="","",TEXT($B576,"0000"))</f>
        <v/>
      </c>
      <c r="W576" s="19">
        <f>IF($I576="","",IF(ISNUMBER($I576),TEXT($I576,"0"),$I576))</f>
        <v/>
      </c>
    </row>
    <row r="577">
      <c r="B577" s="25" t="n"/>
      <c r="I577" s="25" t="n"/>
      <c r="U577" s="19">
        <f>IF($V577&lt;&gt;'設定'!$C$4,N(U576),IF(OR(NOT(COUNTIF('商品マスタ'!$B$6:$B$1005,$W577)=0),COUNTIFS('①在庫を貼る'!$V$6:$V$10005,$V577,'①在庫を貼る'!$W$6:$W$10005,$W577)+COUNTIFS('月1回_1ヶ月前の在庫'!$V$6:$V$10005,$V577,'月1回_1ヶ月前の在庫'!$W$6:$W$10005,$W577)&gt;0),N(U576),N(U576)+1))</f>
        <v/>
      </c>
      <c r="V577" s="19">
        <f>IF($B577="","",TEXT($B577,"0000"))</f>
        <v/>
      </c>
      <c r="W577" s="19">
        <f>IF($I577="","",IF(ISNUMBER($I577),TEXT($I577,"0"),$I577))</f>
        <v/>
      </c>
    </row>
    <row r="578">
      <c r="B578" s="25" t="n"/>
      <c r="I578" s="25" t="n"/>
      <c r="U578" s="19">
        <f>IF($V578&lt;&gt;'設定'!$C$4,N(U577),IF(OR(NOT(COUNTIF('商品マスタ'!$B$6:$B$1005,$W578)=0),COUNTIFS('①在庫を貼る'!$V$6:$V$10005,$V578,'①在庫を貼る'!$W$6:$W$10005,$W578)+COUNTIFS('月1回_1ヶ月前の在庫'!$V$6:$V$10005,$V578,'月1回_1ヶ月前の在庫'!$W$6:$W$10005,$W578)&gt;0),N(U577),N(U577)+1))</f>
        <v/>
      </c>
      <c r="V578" s="19">
        <f>IF($B578="","",TEXT($B578,"0000"))</f>
        <v/>
      </c>
      <c r="W578" s="19">
        <f>IF($I578="","",IF(ISNUMBER($I578),TEXT($I578,"0"),$I578))</f>
        <v/>
      </c>
    </row>
    <row r="579">
      <c r="B579" s="25" t="n"/>
      <c r="I579" s="25" t="n"/>
      <c r="U579" s="19">
        <f>IF($V579&lt;&gt;'設定'!$C$4,N(U578),IF(OR(NOT(COUNTIF('商品マスタ'!$B$6:$B$1005,$W579)=0),COUNTIFS('①在庫を貼る'!$V$6:$V$10005,$V579,'①在庫を貼る'!$W$6:$W$10005,$W579)+COUNTIFS('月1回_1ヶ月前の在庫'!$V$6:$V$10005,$V579,'月1回_1ヶ月前の在庫'!$W$6:$W$10005,$W579)&gt;0),N(U578),N(U578)+1))</f>
        <v/>
      </c>
      <c r="V579" s="19">
        <f>IF($B579="","",TEXT($B579,"0000"))</f>
        <v/>
      </c>
      <c r="W579" s="19">
        <f>IF($I579="","",IF(ISNUMBER($I579),TEXT($I579,"0"),$I579))</f>
        <v/>
      </c>
    </row>
    <row r="580">
      <c r="B580" s="25" t="n"/>
      <c r="I580" s="25" t="n"/>
      <c r="U580" s="19">
        <f>IF($V580&lt;&gt;'設定'!$C$4,N(U579),IF(OR(NOT(COUNTIF('商品マスタ'!$B$6:$B$1005,$W580)=0),COUNTIFS('①在庫を貼る'!$V$6:$V$10005,$V580,'①在庫を貼る'!$W$6:$W$10005,$W580)+COUNTIFS('月1回_1ヶ月前の在庫'!$V$6:$V$10005,$V580,'月1回_1ヶ月前の在庫'!$W$6:$W$10005,$W580)&gt;0),N(U579),N(U579)+1))</f>
        <v/>
      </c>
      <c r="V580" s="19">
        <f>IF($B580="","",TEXT($B580,"0000"))</f>
        <v/>
      </c>
      <c r="W580" s="19">
        <f>IF($I580="","",IF(ISNUMBER($I580),TEXT($I580,"0"),$I580))</f>
        <v/>
      </c>
    </row>
    <row r="581">
      <c r="B581" s="25" t="n"/>
      <c r="I581" s="25" t="n"/>
      <c r="U581" s="19">
        <f>IF($V581&lt;&gt;'設定'!$C$4,N(U580),IF(OR(NOT(COUNTIF('商品マスタ'!$B$6:$B$1005,$W581)=0),COUNTIFS('①在庫を貼る'!$V$6:$V$10005,$V581,'①在庫を貼る'!$W$6:$W$10005,$W581)+COUNTIFS('月1回_1ヶ月前の在庫'!$V$6:$V$10005,$V581,'月1回_1ヶ月前の在庫'!$W$6:$W$10005,$W581)&gt;0),N(U580),N(U580)+1))</f>
        <v/>
      </c>
      <c r="V581" s="19">
        <f>IF($B581="","",TEXT($B581,"0000"))</f>
        <v/>
      </c>
      <c r="W581" s="19">
        <f>IF($I581="","",IF(ISNUMBER($I581),TEXT($I581,"0"),$I581))</f>
        <v/>
      </c>
    </row>
    <row r="582">
      <c r="B582" s="25" t="n"/>
      <c r="I582" s="25" t="n"/>
      <c r="U582" s="19">
        <f>IF($V582&lt;&gt;'設定'!$C$4,N(U581),IF(OR(NOT(COUNTIF('商品マスタ'!$B$6:$B$1005,$W582)=0),COUNTIFS('①在庫を貼る'!$V$6:$V$10005,$V582,'①在庫を貼る'!$W$6:$W$10005,$W582)+COUNTIFS('月1回_1ヶ月前の在庫'!$V$6:$V$10005,$V582,'月1回_1ヶ月前の在庫'!$W$6:$W$10005,$W582)&gt;0),N(U581),N(U581)+1))</f>
        <v/>
      </c>
      <c r="V582" s="19">
        <f>IF($B582="","",TEXT($B582,"0000"))</f>
        <v/>
      </c>
      <c r="W582" s="19">
        <f>IF($I582="","",IF(ISNUMBER($I582),TEXT($I582,"0"),$I582))</f>
        <v/>
      </c>
    </row>
    <row r="583">
      <c r="B583" s="25" t="n"/>
      <c r="I583" s="25" t="n"/>
      <c r="U583" s="19">
        <f>IF($V583&lt;&gt;'設定'!$C$4,N(U582),IF(OR(NOT(COUNTIF('商品マスタ'!$B$6:$B$1005,$W583)=0),COUNTIFS('①在庫を貼る'!$V$6:$V$10005,$V583,'①在庫を貼る'!$W$6:$W$10005,$W583)+COUNTIFS('月1回_1ヶ月前の在庫'!$V$6:$V$10005,$V583,'月1回_1ヶ月前の在庫'!$W$6:$W$10005,$W583)&gt;0),N(U582),N(U582)+1))</f>
        <v/>
      </c>
      <c r="V583" s="19">
        <f>IF($B583="","",TEXT($B583,"0000"))</f>
        <v/>
      </c>
      <c r="W583" s="19">
        <f>IF($I583="","",IF(ISNUMBER($I583),TEXT($I583,"0"),$I583))</f>
        <v/>
      </c>
    </row>
    <row r="584">
      <c r="B584" s="25" t="n"/>
      <c r="I584" s="25" t="n"/>
      <c r="U584" s="19">
        <f>IF($V584&lt;&gt;'設定'!$C$4,N(U583),IF(OR(NOT(COUNTIF('商品マスタ'!$B$6:$B$1005,$W584)=0),COUNTIFS('①在庫を貼る'!$V$6:$V$10005,$V584,'①在庫を貼る'!$W$6:$W$10005,$W584)+COUNTIFS('月1回_1ヶ月前の在庫'!$V$6:$V$10005,$V584,'月1回_1ヶ月前の在庫'!$W$6:$W$10005,$W584)&gt;0),N(U583),N(U583)+1))</f>
        <v/>
      </c>
      <c r="V584" s="19">
        <f>IF($B584="","",TEXT($B584,"0000"))</f>
        <v/>
      </c>
      <c r="W584" s="19">
        <f>IF($I584="","",IF(ISNUMBER($I584),TEXT($I584,"0"),$I584))</f>
        <v/>
      </c>
    </row>
    <row r="585">
      <c r="B585" s="25" t="n"/>
      <c r="I585" s="25" t="n"/>
      <c r="U585" s="19">
        <f>IF($V585&lt;&gt;'設定'!$C$4,N(U584),IF(OR(NOT(COUNTIF('商品マスタ'!$B$6:$B$1005,$W585)=0),COUNTIFS('①在庫を貼る'!$V$6:$V$10005,$V585,'①在庫を貼る'!$W$6:$W$10005,$W585)+COUNTIFS('月1回_1ヶ月前の在庫'!$V$6:$V$10005,$V585,'月1回_1ヶ月前の在庫'!$W$6:$W$10005,$W585)&gt;0),N(U584),N(U584)+1))</f>
        <v/>
      </c>
      <c r="V585" s="19">
        <f>IF($B585="","",TEXT($B585,"0000"))</f>
        <v/>
      </c>
      <c r="W585" s="19">
        <f>IF($I585="","",IF(ISNUMBER($I585),TEXT($I585,"0"),$I585))</f>
        <v/>
      </c>
    </row>
    <row r="586">
      <c r="B586" s="25" t="n"/>
      <c r="I586" s="25" t="n"/>
      <c r="U586" s="19">
        <f>IF($V586&lt;&gt;'設定'!$C$4,N(U585),IF(OR(NOT(COUNTIF('商品マスタ'!$B$6:$B$1005,$W586)=0),COUNTIFS('①在庫を貼る'!$V$6:$V$10005,$V586,'①在庫を貼る'!$W$6:$W$10005,$W586)+COUNTIFS('月1回_1ヶ月前の在庫'!$V$6:$V$10005,$V586,'月1回_1ヶ月前の在庫'!$W$6:$W$10005,$W586)&gt;0),N(U585),N(U585)+1))</f>
        <v/>
      </c>
      <c r="V586" s="19">
        <f>IF($B586="","",TEXT($B586,"0000"))</f>
        <v/>
      </c>
      <c r="W586" s="19">
        <f>IF($I586="","",IF(ISNUMBER($I586),TEXT($I586,"0"),$I586))</f>
        <v/>
      </c>
    </row>
    <row r="587">
      <c r="B587" s="25" t="n"/>
      <c r="I587" s="25" t="n"/>
      <c r="U587" s="19">
        <f>IF($V587&lt;&gt;'設定'!$C$4,N(U586),IF(OR(NOT(COUNTIF('商品マスタ'!$B$6:$B$1005,$W587)=0),COUNTIFS('①在庫を貼る'!$V$6:$V$10005,$V587,'①在庫を貼る'!$W$6:$W$10005,$W587)+COUNTIFS('月1回_1ヶ月前の在庫'!$V$6:$V$10005,$V587,'月1回_1ヶ月前の在庫'!$W$6:$W$10005,$W587)&gt;0),N(U586),N(U586)+1))</f>
        <v/>
      </c>
      <c r="V587" s="19">
        <f>IF($B587="","",TEXT($B587,"0000"))</f>
        <v/>
      </c>
      <c r="W587" s="19">
        <f>IF($I587="","",IF(ISNUMBER($I587),TEXT($I587,"0"),$I587))</f>
        <v/>
      </c>
    </row>
    <row r="588">
      <c r="B588" s="25" t="n"/>
      <c r="I588" s="25" t="n"/>
      <c r="U588" s="19">
        <f>IF($V588&lt;&gt;'設定'!$C$4,N(U587),IF(OR(NOT(COUNTIF('商品マスタ'!$B$6:$B$1005,$W588)=0),COUNTIFS('①在庫を貼る'!$V$6:$V$10005,$V588,'①在庫を貼る'!$W$6:$W$10005,$W588)+COUNTIFS('月1回_1ヶ月前の在庫'!$V$6:$V$10005,$V588,'月1回_1ヶ月前の在庫'!$W$6:$W$10005,$W588)&gt;0),N(U587),N(U587)+1))</f>
        <v/>
      </c>
      <c r="V588" s="19">
        <f>IF($B588="","",TEXT($B588,"0000"))</f>
        <v/>
      </c>
      <c r="W588" s="19">
        <f>IF($I588="","",IF(ISNUMBER($I588),TEXT($I588,"0"),$I588))</f>
        <v/>
      </c>
    </row>
    <row r="589">
      <c r="B589" s="25" t="n"/>
      <c r="I589" s="25" t="n"/>
      <c r="U589" s="19">
        <f>IF($V589&lt;&gt;'設定'!$C$4,N(U588),IF(OR(NOT(COUNTIF('商品マスタ'!$B$6:$B$1005,$W589)=0),COUNTIFS('①在庫を貼る'!$V$6:$V$10005,$V589,'①在庫を貼る'!$W$6:$W$10005,$W589)+COUNTIFS('月1回_1ヶ月前の在庫'!$V$6:$V$10005,$V589,'月1回_1ヶ月前の在庫'!$W$6:$W$10005,$W589)&gt;0),N(U588),N(U588)+1))</f>
        <v/>
      </c>
      <c r="V589" s="19">
        <f>IF($B589="","",TEXT($B589,"0000"))</f>
        <v/>
      </c>
      <c r="W589" s="19">
        <f>IF($I589="","",IF(ISNUMBER($I589),TEXT($I589,"0"),$I589))</f>
        <v/>
      </c>
    </row>
    <row r="590">
      <c r="B590" s="25" t="n"/>
      <c r="I590" s="25" t="n"/>
      <c r="U590" s="19">
        <f>IF($V590&lt;&gt;'設定'!$C$4,N(U589),IF(OR(NOT(COUNTIF('商品マスタ'!$B$6:$B$1005,$W590)=0),COUNTIFS('①在庫を貼る'!$V$6:$V$10005,$V590,'①在庫を貼る'!$W$6:$W$10005,$W590)+COUNTIFS('月1回_1ヶ月前の在庫'!$V$6:$V$10005,$V590,'月1回_1ヶ月前の在庫'!$W$6:$W$10005,$W590)&gt;0),N(U589),N(U589)+1))</f>
        <v/>
      </c>
      <c r="V590" s="19">
        <f>IF($B590="","",TEXT($B590,"0000"))</f>
        <v/>
      </c>
      <c r="W590" s="19">
        <f>IF($I590="","",IF(ISNUMBER($I590),TEXT($I590,"0"),$I590))</f>
        <v/>
      </c>
    </row>
    <row r="591">
      <c r="B591" s="25" t="n"/>
      <c r="I591" s="25" t="n"/>
      <c r="U591" s="19">
        <f>IF($V591&lt;&gt;'設定'!$C$4,N(U590),IF(OR(NOT(COUNTIF('商品マスタ'!$B$6:$B$1005,$W591)=0),COUNTIFS('①在庫を貼る'!$V$6:$V$10005,$V591,'①在庫を貼る'!$W$6:$W$10005,$W591)+COUNTIFS('月1回_1ヶ月前の在庫'!$V$6:$V$10005,$V591,'月1回_1ヶ月前の在庫'!$W$6:$W$10005,$W591)&gt;0),N(U590),N(U590)+1))</f>
        <v/>
      </c>
      <c r="V591" s="19">
        <f>IF($B591="","",TEXT($B591,"0000"))</f>
        <v/>
      </c>
      <c r="W591" s="19">
        <f>IF($I591="","",IF(ISNUMBER($I591),TEXT($I591,"0"),$I591))</f>
        <v/>
      </c>
    </row>
    <row r="592">
      <c r="B592" s="25" t="n"/>
      <c r="I592" s="25" t="n"/>
      <c r="U592" s="19">
        <f>IF($V592&lt;&gt;'設定'!$C$4,N(U591),IF(OR(NOT(COUNTIF('商品マスタ'!$B$6:$B$1005,$W592)=0),COUNTIFS('①在庫を貼る'!$V$6:$V$10005,$V592,'①在庫を貼る'!$W$6:$W$10005,$W592)+COUNTIFS('月1回_1ヶ月前の在庫'!$V$6:$V$10005,$V592,'月1回_1ヶ月前の在庫'!$W$6:$W$10005,$W592)&gt;0),N(U591),N(U591)+1))</f>
        <v/>
      </c>
      <c r="V592" s="19">
        <f>IF($B592="","",TEXT($B592,"0000"))</f>
        <v/>
      </c>
      <c r="W592" s="19">
        <f>IF($I592="","",IF(ISNUMBER($I592),TEXT($I592,"0"),$I592))</f>
        <v/>
      </c>
    </row>
    <row r="593">
      <c r="B593" s="25" t="n"/>
      <c r="I593" s="25" t="n"/>
      <c r="U593" s="19">
        <f>IF($V593&lt;&gt;'設定'!$C$4,N(U592),IF(OR(NOT(COUNTIF('商品マスタ'!$B$6:$B$1005,$W593)=0),COUNTIFS('①在庫を貼る'!$V$6:$V$10005,$V593,'①在庫を貼る'!$W$6:$W$10005,$W593)+COUNTIFS('月1回_1ヶ月前の在庫'!$V$6:$V$10005,$V593,'月1回_1ヶ月前の在庫'!$W$6:$W$10005,$W593)&gt;0),N(U592),N(U592)+1))</f>
        <v/>
      </c>
      <c r="V593" s="19">
        <f>IF($B593="","",TEXT($B593,"0000"))</f>
        <v/>
      </c>
      <c r="W593" s="19">
        <f>IF($I593="","",IF(ISNUMBER($I593),TEXT($I593,"0"),$I593))</f>
        <v/>
      </c>
    </row>
    <row r="594">
      <c r="B594" s="25" t="n"/>
      <c r="I594" s="25" t="n"/>
      <c r="U594" s="19">
        <f>IF($V594&lt;&gt;'設定'!$C$4,N(U593),IF(OR(NOT(COUNTIF('商品マスタ'!$B$6:$B$1005,$W594)=0),COUNTIFS('①在庫を貼る'!$V$6:$V$10005,$V594,'①在庫を貼る'!$W$6:$W$10005,$W594)+COUNTIFS('月1回_1ヶ月前の在庫'!$V$6:$V$10005,$V594,'月1回_1ヶ月前の在庫'!$W$6:$W$10005,$W594)&gt;0),N(U593),N(U593)+1))</f>
        <v/>
      </c>
      <c r="V594" s="19">
        <f>IF($B594="","",TEXT($B594,"0000"))</f>
        <v/>
      </c>
      <c r="W594" s="19">
        <f>IF($I594="","",IF(ISNUMBER($I594),TEXT($I594,"0"),$I594))</f>
        <v/>
      </c>
    </row>
    <row r="595">
      <c r="B595" s="25" t="n"/>
      <c r="I595" s="25" t="n"/>
      <c r="U595" s="19">
        <f>IF($V595&lt;&gt;'設定'!$C$4,N(U594),IF(OR(NOT(COUNTIF('商品マスタ'!$B$6:$B$1005,$W595)=0),COUNTIFS('①在庫を貼る'!$V$6:$V$10005,$V595,'①在庫を貼る'!$W$6:$W$10005,$W595)+COUNTIFS('月1回_1ヶ月前の在庫'!$V$6:$V$10005,$V595,'月1回_1ヶ月前の在庫'!$W$6:$W$10005,$W595)&gt;0),N(U594),N(U594)+1))</f>
        <v/>
      </c>
      <c r="V595" s="19">
        <f>IF($B595="","",TEXT($B595,"0000"))</f>
        <v/>
      </c>
      <c r="W595" s="19">
        <f>IF($I595="","",IF(ISNUMBER($I595),TEXT($I595,"0"),$I595))</f>
        <v/>
      </c>
    </row>
    <row r="596">
      <c r="B596" s="25" t="n"/>
      <c r="I596" s="25" t="n"/>
      <c r="U596" s="19">
        <f>IF($V596&lt;&gt;'設定'!$C$4,N(U595),IF(OR(NOT(COUNTIF('商品マスタ'!$B$6:$B$1005,$W596)=0),COUNTIFS('①在庫を貼る'!$V$6:$V$10005,$V596,'①在庫を貼る'!$W$6:$W$10005,$W596)+COUNTIFS('月1回_1ヶ月前の在庫'!$V$6:$V$10005,$V596,'月1回_1ヶ月前の在庫'!$W$6:$W$10005,$W596)&gt;0),N(U595),N(U595)+1))</f>
        <v/>
      </c>
      <c r="V596" s="19">
        <f>IF($B596="","",TEXT($B596,"0000"))</f>
        <v/>
      </c>
      <c r="W596" s="19">
        <f>IF($I596="","",IF(ISNUMBER($I596),TEXT($I596,"0"),$I596))</f>
        <v/>
      </c>
    </row>
    <row r="597">
      <c r="B597" s="25" t="n"/>
      <c r="I597" s="25" t="n"/>
      <c r="U597" s="19">
        <f>IF($V597&lt;&gt;'設定'!$C$4,N(U596),IF(OR(NOT(COUNTIF('商品マスタ'!$B$6:$B$1005,$W597)=0),COUNTIFS('①在庫を貼る'!$V$6:$V$10005,$V597,'①在庫を貼る'!$W$6:$W$10005,$W597)+COUNTIFS('月1回_1ヶ月前の在庫'!$V$6:$V$10005,$V597,'月1回_1ヶ月前の在庫'!$W$6:$W$10005,$W597)&gt;0),N(U596),N(U596)+1))</f>
        <v/>
      </c>
      <c r="V597" s="19">
        <f>IF($B597="","",TEXT($B597,"0000"))</f>
        <v/>
      </c>
      <c r="W597" s="19">
        <f>IF($I597="","",IF(ISNUMBER($I597),TEXT($I597,"0"),$I597))</f>
        <v/>
      </c>
    </row>
    <row r="598">
      <c r="B598" s="25" t="n"/>
      <c r="I598" s="25" t="n"/>
      <c r="U598" s="19">
        <f>IF($V598&lt;&gt;'設定'!$C$4,N(U597),IF(OR(NOT(COUNTIF('商品マスタ'!$B$6:$B$1005,$W598)=0),COUNTIFS('①在庫を貼る'!$V$6:$V$10005,$V598,'①在庫を貼る'!$W$6:$W$10005,$W598)+COUNTIFS('月1回_1ヶ月前の在庫'!$V$6:$V$10005,$V598,'月1回_1ヶ月前の在庫'!$W$6:$W$10005,$W598)&gt;0),N(U597),N(U597)+1))</f>
        <v/>
      </c>
      <c r="V598" s="19">
        <f>IF($B598="","",TEXT($B598,"0000"))</f>
        <v/>
      </c>
      <c r="W598" s="19">
        <f>IF($I598="","",IF(ISNUMBER($I598),TEXT($I598,"0"),$I598))</f>
        <v/>
      </c>
    </row>
    <row r="599">
      <c r="B599" s="25" t="n"/>
      <c r="I599" s="25" t="n"/>
      <c r="U599" s="19">
        <f>IF($V599&lt;&gt;'設定'!$C$4,N(U598),IF(OR(NOT(COUNTIF('商品マスタ'!$B$6:$B$1005,$W599)=0),COUNTIFS('①在庫を貼る'!$V$6:$V$10005,$V599,'①在庫を貼る'!$W$6:$W$10005,$W599)+COUNTIFS('月1回_1ヶ月前の在庫'!$V$6:$V$10005,$V599,'月1回_1ヶ月前の在庫'!$W$6:$W$10005,$W599)&gt;0),N(U598),N(U598)+1))</f>
        <v/>
      </c>
      <c r="V599" s="19">
        <f>IF($B599="","",TEXT($B599,"0000"))</f>
        <v/>
      </c>
      <c r="W599" s="19">
        <f>IF($I599="","",IF(ISNUMBER($I599),TEXT($I599,"0"),$I599))</f>
        <v/>
      </c>
    </row>
    <row r="600">
      <c r="B600" s="25" t="n"/>
      <c r="I600" s="25" t="n"/>
      <c r="U600" s="19">
        <f>IF($V600&lt;&gt;'設定'!$C$4,N(U599),IF(OR(NOT(COUNTIF('商品マスタ'!$B$6:$B$1005,$W600)=0),COUNTIFS('①在庫を貼る'!$V$6:$V$10005,$V600,'①在庫を貼る'!$W$6:$W$10005,$W600)+COUNTIFS('月1回_1ヶ月前の在庫'!$V$6:$V$10005,$V600,'月1回_1ヶ月前の在庫'!$W$6:$W$10005,$W600)&gt;0),N(U599),N(U599)+1))</f>
        <v/>
      </c>
      <c r="V600" s="19">
        <f>IF($B600="","",TEXT($B600,"0000"))</f>
        <v/>
      </c>
      <c r="W600" s="19">
        <f>IF($I600="","",IF(ISNUMBER($I600),TEXT($I600,"0"),$I600))</f>
        <v/>
      </c>
    </row>
    <row r="601">
      <c r="B601" s="25" t="n"/>
      <c r="I601" s="25" t="n"/>
      <c r="U601" s="19">
        <f>IF($V601&lt;&gt;'設定'!$C$4,N(U600),IF(OR(NOT(COUNTIF('商品マスタ'!$B$6:$B$1005,$W601)=0),COUNTIFS('①在庫を貼る'!$V$6:$V$10005,$V601,'①在庫を貼る'!$W$6:$W$10005,$W601)+COUNTIFS('月1回_1ヶ月前の在庫'!$V$6:$V$10005,$V601,'月1回_1ヶ月前の在庫'!$W$6:$W$10005,$W601)&gt;0),N(U600),N(U600)+1))</f>
        <v/>
      </c>
      <c r="V601" s="19">
        <f>IF($B601="","",TEXT($B601,"0000"))</f>
        <v/>
      </c>
      <c r="W601" s="19">
        <f>IF($I601="","",IF(ISNUMBER($I601),TEXT($I601,"0"),$I601))</f>
        <v/>
      </c>
    </row>
    <row r="602">
      <c r="B602" s="25" t="n"/>
      <c r="I602" s="25" t="n"/>
      <c r="U602" s="19">
        <f>IF($V602&lt;&gt;'設定'!$C$4,N(U601),IF(OR(NOT(COUNTIF('商品マスタ'!$B$6:$B$1005,$W602)=0),COUNTIFS('①在庫を貼る'!$V$6:$V$10005,$V602,'①在庫を貼る'!$W$6:$W$10005,$W602)+COUNTIFS('月1回_1ヶ月前の在庫'!$V$6:$V$10005,$V602,'月1回_1ヶ月前の在庫'!$W$6:$W$10005,$W602)&gt;0),N(U601),N(U601)+1))</f>
        <v/>
      </c>
      <c r="V602" s="19">
        <f>IF($B602="","",TEXT($B602,"0000"))</f>
        <v/>
      </c>
      <c r="W602" s="19">
        <f>IF($I602="","",IF(ISNUMBER($I602),TEXT($I602,"0"),$I602))</f>
        <v/>
      </c>
    </row>
    <row r="603">
      <c r="B603" s="25" t="n"/>
      <c r="I603" s="25" t="n"/>
      <c r="U603" s="19">
        <f>IF($V603&lt;&gt;'設定'!$C$4,N(U602),IF(OR(NOT(COUNTIF('商品マスタ'!$B$6:$B$1005,$W603)=0),COUNTIFS('①在庫を貼る'!$V$6:$V$10005,$V603,'①在庫を貼る'!$W$6:$W$10005,$W603)+COUNTIFS('月1回_1ヶ月前の在庫'!$V$6:$V$10005,$V603,'月1回_1ヶ月前の在庫'!$W$6:$W$10005,$W603)&gt;0),N(U602),N(U602)+1))</f>
        <v/>
      </c>
      <c r="V603" s="19">
        <f>IF($B603="","",TEXT($B603,"0000"))</f>
        <v/>
      </c>
      <c r="W603" s="19">
        <f>IF($I603="","",IF(ISNUMBER($I603),TEXT($I603,"0"),$I603))</f>
        <v/>
      </c>
    </row>
    <row r="604">
      <c r="B604" s="25" t="n"/>
      <c r="I604" s="25" t="n"/>
      <c r="U604" s="19">
        <f>IF($V604&lt;&gt;'設定'!$C$4,N(U603),IF(OR(NOT(COUNTIF('商品マスタ'!$B$6:$B$1005,$W604)=0),COUNTIFS('①在庫を貼る'!$V$6:$V$10005,$V604,'①在庫を貼る'!$W$6:$W$10005,$W604)+COUNTIFS('月1回_1ヶ月前の在庫'!$V$6:$V$10005,$V604,'月1回_1ヶ月前の在庫'!$W$6:$W$10005,$W604)&gt;0),N(U603),N(U603)+1))</f>
        <v/>
      </c>
      <c r="V604" s="19">
        <f>IF($B604="","",TEXT($B604,"0000"))</f>
        <v/>
      </c>
      <c r="W604" s="19">
        <f>IF($I604="","",IF(ISNUMBER($I604),TEXT($I604,"0"),$I604))</f>
        <v/>
      </c>
    </row>
    <row r="605">
      <c r="B605" s="25" t="n"/>
      <c r="I605" s="25" t="n"/>
      <c r="U605" s="19">
        <f>IF($V605&lt;&gt;'設定'!$C$4,N(U604),IF(OR(NOT(COUNTIF('商品マスタ'!$B$6:$B$1005,$W605)=0),COUNTIFS('①在庫を貼る'!$V$6:$V$10005,$V605,'①在庫を貼る'!$W$6:$W$10005,$W605)+COUNTIFS('月1回_1ヶ月前の在庫'!$V$6:$V$10005,$V605,'月1回_1ヶ月前の在庫'!$W$6:$W$10005,$W605)&gt;0),N(U604),N(U604)+1))</f>
        <v/>
      </c>
      <c r="V605" s="19">
        <f>IF($B605="","",TEXT($B605,"0000"))</f>
        <v/>
      </c>
      <c r="W605" s="19">
        <f>IF($I605="","",IF(ISNUMBER($I605),TEXT($I605,"0"),$I605))</f>
        <v/>
      </c>
    </row>
    <row r="606">
      <c r="B606" s="25" t="n"/>
      <c r="I606" s="25" t="n"/>
      <c r="U606" s="19">
        <f>IF($V606&lt;&gt;'設定'!$C$4,N(U605),IF(OR(NOT(COUNTIF('商品マスタ'!$B$6:$B$1005,$W606)=0),COUNTIFS('①在庫を貼る'!$V$6:$V$10005,$V606,'①在庫を貼る'!$W$6:$W$10005,$W606)+COUNTIFS('月1回_1ヶ月前の在庫'!$V$6:$V$10005,$V606,'月1回_1ヶ月前の在庫'!$W$6:$W$10005,$W606)&gt;0),N(U605),N(U605)+1))</f>
        <v/>
      </c>
      <c r="V606" s="19">
        <f>IF($B606="","",TEXT($B606,"0000"))</f>
        <v/>
      </c>
      <c r="W606" s="19">
        <f>IF($I606="","",IF(ISNUMBER($I606),TEXT($I606,"0"),$I606))</f>
        <v/>
      </c>
    </row>
    <row r="607">
      <c r="B607" s="25" t="n"/>
      <c r="I607" s="25" t="n"/>
      <c r="U607" s="19">
        <f>IF($V607&lt;&gt;'設定'!$C$4,N(U606),IF(OR(NOT(COUNTIF('商品マスタ'!$B$6:$B$1005,$W607)=0),COUNTIFS('①在庫を貼る'!$V$6:$V$10005,$V607,'①在庫を貼る'!$W$6:$W$10005,$W607)+COUNTIFS('月1回_1ヶ月前の在庫'!$V$6:$V$10005,$V607,'月1回_1ヶ月前の在庫'!$W$6:$W$10005,$W607)&gt;0),N(U606),N(U606)+1))</f>
        <v/>
      </c>
      <c r="V607" s="19">
        <f>IF($B607="","",TEXT($B607,"0000"))</f>
        <v/>
      </c>
      <c r="W607" s="19">
        <f>IF($I607="","",IF(ISNUMBER($I607),TEXT($I607,"0"),$I607))</f>
        <v/>
      </c>
    </row>
    <row r="608">
      <c r="B608" s="25" t="n"/>
      <c r="I608" s="25" t="n"/>
      <c r="U608" s="19">
        <f>IF($V608&lt;&gt;'設定'!$C$4,N(U607),IF(OR(NOT(COUNTIF('商品マスタ'!$B$6:$B$1005,$W608)=0),COUNTIFS('①在庫を貼る'!$V$6:$V$10005,$V608,'①在庫を貼る'!$W$6:$W$10005,$W608)+COUNTIFS('月1回_1ヶ月前の在庫'!$V$6:$V$10005,$V608,'月1回_1ヶ月前の在庫'!$W$6:$W$10005,$W608)&gt;0),N(U607),N(U607)+1))</f>
        <v/>
      </c>
      <c r="V608" s="19">
        <f>IF($B608="","",TEXT($B608,"0000"))</f>
        <v/>
      </c>
      <c r="W608" s="19">
        <f>IF($I608="","",IF(ISNUMBER($I608),TEXT($I608,"0"),$I608))</f>
        <v/>
      </c>
    </row>
    <row r="609">
      <c r="B609" s="25" t="n"/>
      <c r="I609" s="25" t="n"/>
      <c r="U609" s="19">
        <f>IF($V609&lt;&gt;'設定'!$C$4,N(U608),IF(OR(NOT(COUNTIF('商品マスタ'!$B$6:$B$1005,$W609)=0),COUNTIFS('①在庫を貼る'!$V$6:$V$10005,$V609,'①在庫を貼る'!$W$6:$W$10005,$W609)+COUNTIFS('月1回_1ヶ月前の在庫'!$V$6:$V$10005,$V609,'月1回_1ヶ月前の在庫'!$W$6:$W$10005,$W609)&gt;0),N(U608),N(U608)+1))</f>
        <v/>
      </c>
      <c r="V609" s="19">
        <f>IF($B609="","",TEXT($B609,"0000"))</f>
        <v/>
      </c>
      <c r="W609" s="19">
        <f>IF($I609="","",IF(ISNUMBER($I609),TEXT($I609,"0"),$I609))</f>
        <v/>
      </c>
    </row>
    <row r="610">
      <c r="B610" s="25" t="n"/>
      <c r="I610" s="25" t="n"/>
      <c r="U610" s="19">
        <f>IF($V610&lt;&gt;'設定'!$C$4,N(U609),IF(OR(NOT(COUNTIF('商品マスタ'!$B$6:$B$1005,$W610)=0),COUNTIFS('①在庫を貼る'!$V$6:$V$10005,$V610,'①在庫を貼る'!$W$6:$W$10005,$W610)+COUNTIFS('月1回_1ヶ月前の在庫'!$V$6:$V$10005,$V610,'月1回_1ヶ月前の在庫'!$W$6:$W$10005,$W610)&gt;0),N(U609),N(U609)+1))</f>
        <v/>
      </c>
      <c r="V610" s="19">
        <f>IF($B610="","",TEXT($B610,"0000"))</f>
        <v/>
      </c>
      <c r="W610" s="19">
        <f>IF($I610="","",IF(ISNUMBER($I610),TEXT($I610,"0"),$I610))</f>
        <v/>
      </c>
    </row>
    <row r="611">
      <c r="B611" s="25" t="n"/>
      <c r="I611" s="25" t="n"/>
      <c r="U611" s="19">
        <f>IF($V611&lt;&gt;'設定'!$C$4,N(U610),IF(OR(NOT(COUNTIF('商品マスタ'!$B$6:$B$1005,$W611)=0),COUNTIFS('①在庫を貼る'!$V$6:$V$10005,$V611,'①在庫を貼る'!$W$6:$W$10005,$W611)+COUNTIFS('月1回_1ヶ月前の在庫'!$V$6:$V$10005,$V611,'月1回_1ヶ月前の在庫'!$W$6:$W$10005,$W611)&gt;0),N(U610),N(U610)+1))</f>
        <v/>
      </c>
      <c r="V611" s="19">
        <f>IF($B611="","",TEXT($B611,"0000"))</f>
        <v/>
      </c>
      <c r="W611" s="19">
        <f>IF($I611="","",IF(ISNUMBER($I611),TEXT($I611,"0"),$I611))</f>
        <v/>
      </c>
    </row>
    <row r="612">
      <c r="B612" s="25" t="n"/>
      <c r="I612" s="25" t="n"/>
      <c r="U612" s="19">
        <f>IF($V612&lt;&gt;'設定'!$C$4,N(U611),IF(OR(NOT(COUNTIF('商品マスタ'!$B$6:$B$1005,$W612)=0),COUNTIFS('①在庫を貼る'!$V$6:$V$10005,$V612,'①在庫を貼る'!$W$6:$W$10005,$W612)+COUNTIFS('月1回_1ヶ月前の在庫'!$V$6:$V$10005,$V612,'月1回_1ヶ月前の在庫'!$W$6:$W$10005,$W612)&gt;0),N(U611),N(U611)+1))</f>
        <v/>
      </c>
      <c r="V612" s="19">
        <f>IF($B612="","",TEXT($B612,"0000"))</f>
        <v/>
      </c>
      <c r="W612" s="19">
        <f>IF($I612="","",IF(ISNUMBER($I612),TEXT($I612,"0"),$I612))</f>
        <v/>
      </c>
    </row>
    <row r="613">
      <c r="B613" s="25" t="n"/>
      <c r="I613" s="25" t="n"/>
      <c r="U613" s="19">
        <f>IF($V613&lt;&gt;'設定'!$C$4,N(U612),IF(OR(NOT(COUNTIF('商品マスタ'!$B$6:$B$1005,$W613)=0),COUNTIFS('①在庫を貼る'!$V$6:$V$10005,$V613,'①在庫を貼る'!$W$6:$W$10005,$W613)+COUNTIFS('月1回_1ヶ月前の在庫'!$V$6:$V$10005,$V613,'月1回_1ヶ月前の在庫'!$W$6:$W$10005,$W613)&gt;0),N(U612),N(U612)+1))</f>
        <v/>
      </c>
      <c r="V613" s="19">
        <f>IF($B613="","",TEXT($B613,"0000"))</f>
        <v/>
      </c>
      <c r="W613" s="19">
        <f>IF($I613="","",IF(ISNUMBER($I613),TEXT($I613,"0"),$I613))</f>
        <v/>
      </c>
    </row>
    <row r="614">
      <c r="B614" s="25" t="n"/>
      <c r="I614" s="25" t="n"/>
      <c r="U614" s="19">
        <f>IF($V614&lt;&gt;'設定'!$C$4,N(U613),IF(OR(NOT(COUNTIF('商品マスタ'!$B$6:$B$1005,$W614)=0),COUNTIFS('①在庫を貼る'!$V$6:$V$10005,$V614,'①在庫を貼る'!$W$6:$W$10005,$W614)+COUNTIFS('月1回_1ヶ月前の在庫'!$V$6:$V$10005,$V614,'月1回_1ヶ月前の在庫'!$W$6:$W$10005,$W614)&gt;0),N(U613),N(U613)+1))</f>
        <v/>
      </c>
      <c r="V614" s="19">
        <f>IF($B614="","",TEXT($B614,"0000"))</f>
        <v/>
      </c>
      <c r="W614" s="19">
        <f>IF($I614="","",IF(ISNUMBER($I614),TEXT($I614,"0"),$I614))</f>
        <v/>
      </c>
    </row>
    <row r="615">
      <c r="B615" s="25" t="n"/>
      <c r="I615" s="25" t="n"/>
      <c r="U615" s="19">
        <f>IF($V615&lt;&gt;'設定'!$C$4,N(U614),IF(OR(NOT(COUNTIF('商品マスタ'!$B$6:$B$1005,$W615)=0),COUNTIFS('①在庫を貼る'!$V$6:$V$10005,$V615,'①在庫を貼る'!$W$6:$W$10005,$W615)+COUNTIFS('月1回_1ヶ月前の在庫'!$V$6:$V$10005,$V615,'月1回_1ヶ月前の在庫'!$W$6:$W$10005,$W615)&gt;0),N(U614),N(U614)+1))</f>
        <v/>
      </c>
      <c r="V615" s="19">
        <f>IF($B615="","",TEXT($B615,"0000"))</f>
        <v/>
      </c>
      <c r="W615" s="19">
        <f>IF($I615="","",IF(ISNUMBER($I615),TEXT($I615,"0"),$I615))</f>
        <v/>
      </c>
    </row>
    <row r="616">
      <c r="B616" s="25" t="n"/>
      <c r="I616" s="25" t="n"/>
      <c r="U616" s="19">
        <f>IF($V616&lt;&gt;'設定'!$C$4,N(U615),IF(OR(NOT(COUNTIF('商品マスタ'!$B$6:$B$1005,$W616)=0),COUNTIFS('①在庫を貼る'!$V$6:$V$10005,$V616,'①在庫を貼る'!$W$6:$W$10005,$W616)+COUNTIFS('月1回_1ヶ月前の在庫'!$V$6:$V$10005,$V616,'月1回_1ヶ月前の在庫'!$W$6:$W$10005,$W616)&gt;0),N(U615),N(U615)+1))</f>
        <v/>
      </c>
      <c r="V616" s="19">
        <f>IF($B616="","",TEXT($B616,"0000"))</f>
        <v/>
      </c>
      <c r="W616" s="19">
        <f>IF($I616="","",IF(ISNUMBER($I616),TEXT($I616,"0"),$I616))</f>
        <v/>
      </c>
    </row>
    <row r="617">
      <c r="B617" s="25" t="n"/>
      <c r="I617" s="25" t="n"/>
      <c r="U617" s="19">
        <f>IF($V617&lt;&gt;'設定'!$C$4,N(U616),IF(OR(NOT(COUNTIF('商品マスタ'!$B$6:$B$1005,$W617)=0),COUNTIFS('①在庫を貼る'!$V$6:$V$10005,$V617,'①在庫を貼る'!$W$6:$W$10005,$W617)+COUNTIFS('月1回_1ヶ月前の在庫'!$V$6:$V$10005,$V617,'月1回_1ヶ月前の在庫'!$W$6:$W$10005,$W617)&gt;0),N(U616),N(U616)+1))</f>
        <v/>
      </c>
      <c r="V617" s="19">
        <f>IF($B617="","",TEXT($B617,"0000"))</f>
        <v/>
      </c>
      <c r="W617" s="19">
        <f>IF($I617="","",IF(ISNUMBER($I617),TEXT($I617,"0"),$I617))</f>
        <v/>
      </c>
    </row>
    <row r="618">
      <c r="B618" s="25" t="n"/>
      <c r="I618" s="25" t="n"/>
      <c r="U618" s="19">
        <f>IF($V618&lt;&gt;'設定'!$C$4,N(U617),IF(OR(NOT(COUNTIF('商品マスタ'!$B$6:$B$1005,$W618)=0),COUNTIFS('①在庫を貼る'!$V$6:$V$10005,$V618,'①在庫を貼る'!$W$6:$W$10005,$W618)+COUNTIFS('月1回_1ヶ月前の在庫'!$V$6:$V$10005,$V618,'月1回_1ヶ月前の在庫'!$W$6:$W$10005,$W618)&gt;0),N(U617),N(U617)+1))</f>
        <v/>
      </c>
      <c r="V618" s="19">
        <f>IF($B618="","",TEXT($B618,"0000"))</f>
        <v/>
      </c>
      <c r="W618" s="19">
        <f>IF($I618="","",IF(ISNUMBER($I618),TEXT($I618,"0"),$I618))</f>
        <v/>
      </c>
    </row>
    <row r="619">
      <c r="B619" s="25" t="n"/>
      <c r="I619" s="25" t="n"/>
      <c r="U619" s="19">
        <f>IF($V619&lt;&gt;'設定'!$C$4,N(U618),IF(OR(NOT(COUNTIF('商品マスタ'!$B$6:$B$1005,$W619)=0),COUNTIFS('①在庫を貼る'!$V$6:$V$10005,$V619,'①在庫を貼る'!$W$6:$W$10005,$W619)+COUNTIFS('月1回_1ヶ月前の在庫'!$V$6:$V$10005,$V619,'月1回_1ヶ月前の在庫'!$W$6:$W$10005,$W619)&gt;0),N(U618),N(U618)+1))</f>
        <v/>
      </c>
      <c r="V619" s="19">
        <f>IF($B619="","",TEXT($B619,"0000"))</f>
        <v/>
      </c>
      <c r="W619" s="19">
        <f>IF($I619="","",IF(ISNUMBER($I619),TEXT($I619,"0"),$I619))</f>
        <v/>
      </c>
    </row>
    <row r="620">
      <c r="B620" s="25" t="n"/>
      <c r="I620" s="25" t="n"/>
      <c r="U620" s="19">
        <f>IF($V620&lt;&gt;'設定'!$C$4,N(U619),IF(OR(NOT(COUNTIF('商品マスタ'!$B$6:$B$1005,$W620)=0),COUNTIFS('①在庫を貼る'!$V$6:$V$10005,$V620,'①在庫を貼る'!$W$6:$W$10005,$W620)+COUNTIFS('月1回_1ヶ月前の在庫'!$V$6:$V$10005,$V620,'月1回_1ヶ月前の在庫'!$W$6:$W$10005,$W620)&gt;0),N(U619),N(U619)+1))</f>
        <v/>
      </c>
      <c r="V620" s="19">
        <f>IF($B620="","",TEXT($B620,"0000"))</f>
        <v/>
      </c>
      <c r="W620" s="19">
        <f>IF($I620="","",IF(ISNUMBER($I620),TEXT($I620,"0"),$I620))</f>
        <v/>
      </c>
    </row>
    <row r="621">
      <c r="B621" s="25" t="n"/>
      <c r="I621" s="25" t="n"/>
      <c r="U621" s="19">
        <f>IF($V621&lt;&gt;'設定'!$C$4,N(U620),IF(OR(NOT(COUNTIF('商品マスタ'!$B$6:$B$1005,$W621)=0),COUNTIFS('①在庫を貼る'!$V$6:$V$10005,$V621,'①在庫を貼る'!$W$6:$W$10005,$W621)+COUNTIFS('月1回_1ヶ月前の在庫'!$V$6:$V$10005,$V621,'月1回_1ヶ月前の在庫'!$W$6:$W$10005,$W621)&gt;0),N(U620),N(U620)+1))</f>
        <v/>
      </c>
      <c r="V621" s="19">
        <f>IF($B621="","",TEXT($B621,"0000"))</f>
        <v/>
      </c>
      <c r="W621" s="19">
        <f>IF($I621="","",IF(ISNUMBER($I621),TEXT($I621,"0"),$I621))</f>
        <v/>
      </c>
    </row>
    <row r="622">
      <c r="B622" s="25" t="n"/>
      <c r="I622" s="25" t="n"/>
      <c r="U622" s="19">
        <f>IF($V622&lt;&gt;'設定'!$C$4,N(U621),IF(OR(NOT(COUNTIF('商品マスタ'!$B$6:$B$1005,$W622)=0),COUNTIFS('①在庫を貼る'!$V$6:$V$10005,$V622,'①在庫を貼る'!$W$6:$W$10005,$W622)+COUNTIFS('月1回_1ヶ月前の在庫'!$V$6:$V$10005,$V622,'月1回_1ヶ月前の在庫'!$W$6:$W$10005,$W622)&gt;0),N(U621),N(U621)+1))</f>
        <v/>
      </c>
      <c r="V622" s="19">
        <f>IF($B622="","",TEXT($B622,"0000"))</f>
        <v/>
      </c>
      <c r="W622" s="19">
        <f>IF($I622="","",IF(ISNUMBER($I622),TEXT($I622,"0"),$I622))</f>
        <v/>
      </c>
    </row>
    <row r="623">
      <c r="B623" s="25" t="n"/>
      <c r="I623" s="25" t="n"/>
      <c r="U623" s="19">
        <f>IF($V623&lt;&gt;'設定'!$C$4,N(U622),IF(OR(NOT(COUNTIF('商品マスタ'!$B$6:$B$1005,$W623)=0),COUNTIFS('①在庫を貼る'!$V$6:$V$10005,$V623,'①在庫を貼る'!$W$6:$W$10005,$W623)+COUNTIFS('月1回_1ヶ月前の在庫'!$V$6:$V$10005,$V623,'月1回_1ヶ月前の在庫'!$W$6:$W$10005,$W623)&gt;0),N(U622),N(U622)+1))</f>
        <v/>
      </c>
      <c r="V623" s="19">
        <f>IF($B623="","",TEXT($B623,"0000"))</f>
        <v/>
      </c>
      <c r="W623" s="19">
        <f>IF($I623="","",IF(ISNUMBER($I623),TEXT($I623,"0"),$I623))</f>
        <v/>
      </c>
    </row>
    <row r="624">
      <c r="B624" s="25" t="n"/>
      <c r="I624" s="25" t="n"/>
      <c r="U624" s="19">
        <f>IF($V624&lt;&gt;'設定'!$C$4,N(U623),IF(OR(NOT(COUNTIF('商品マスタ'!$B$6:$B$1005,$W624)=0),COUNTIFS('①在庫を貼る'!$V$6:$V$10005,$V624,'①在庫を貼る'!$W$6:$W$10005,$W624)+COUNTIFS('月1回_1ヶ月前の在庫'!$V$6:$V$10005,$V624,'月1回_1ヶ月前の在庫'!$W$6:$W$10005,$W624)&gt;0),N(U623),N(U623)+1))</f>
        <v/>
      </c>
      <c r="V624" s="19">
        <f>IF($B624="","",TEXT($B624,"0000"))</f>
        <v/>
      </c>
      <c r="W624" s="19">
        <f>IF($I624="","",IF(ISNUMBER($I624),TEXT($I624,"0"),$I624))</f>
        <v/>
      </c>
    </row>
    <row r="625">
      <c r="B625" s="25" t="n"/>
      <c r="I625" s="25" t="n"/>
      <c r="U625" s="19">
        <f>IF($V625&lt;&gt;'設定'!$C$4,N(U624),IF(OR(NOT(COUNTIF('商品マスタ'!$B$6:$B$1005,$W625)=0),COUNTIFS('①在庫を貼る'!$V$6:$V$10005,$V625,'①在庫を貼る'!$W$6:$W$10005,$W625)+COUNTIFS('月1回_1ヶ月前の在庫'!$V$6:$V$10005,$V625,'月1回_1ヶ月前の在庫'!$W$6:$W$10005,$W625)&gt;0),N(U624),N(U624)+1))</f>
        <v/>
      </c>
      <c r="V625" s="19">
        <f>IF($B625="","",TEXT($B625,"0000"))</f>
        <v/>
      </c>
      <c r="W625" s="19">
        <f>IF($I625="","",IF(ISNUMBER($I625),TEXT($I625,"0"),$I625))</f>
        <v/>
      </c>
    </row>
    <row r="626">
      <c r="B626" s="25" t="n"/>
      <c r="I626" s="25" t="n"/>
      <c r="U626" s="19">
        <f>IF($V626&lt;&gt;'設定'!$C$4,N(U625),IF(OR(NOT(COUNTIF('商品マスタ'!$B$6:$B$1005,$W626)=0),COUNTIFS('①在庫を貼る'!$V$6:$V$10005,$V626,'①在庫を貼る'!$W$6:$W$10005,$W626)+COUNTIFS('月1回_1ヶ月前の在庫'!$V$6:$V$10005,$V626,'月1回_1ヶ月前の在庫'!$W$6:$W$10005,$W626)&gt;0),N(U625),N(U625)+1))</f>
        <v/>
      </c>
      <c r="V626" s="19">
        <f>IF($B626="","",TEXT($B626,"0000"))</f>
        <v/>
      </c>
      <c r="W626" s="19">
        <f>IF($I626="","",IF(ISNUMBER($I626),TEXT($I626,"0"),$I626))</f>
        <v/>
      </c>
    </row>
    <row r="627">
      <c r="B627" s="25" t="n"/>
      <c r="I627" s="25" t="n"/>
      <c r="U627" s="19">
        <f>IF($V627&lt;&gt;'設定'!$C$4,N(U626),IF(OR(NOT(COUNTIF('商品マスタ'!$B$6:$B$1005,$W627)=0),COUNTIFS('①在庫を貼る'!$V$6:$V$10005,$V627,'①在庫を貼る'!$W$6:$W$10005,$W627)+COUNTIFS('月1回_1ヶ月前の在庫'!$V$6:$V$10005,$V627,'月1回_1ヶ月前の在庫'!$W$6:$W$10005,$W627)&gt;0),N(U626),N(U626)+1))</f>
        <v/>
      </c>
      <c r="V627" s="19">
        <f>IF($B627="","",TEXT($B627,"0000"))</f>
        <v/>
      </c>
      <c r="W627" s="19">
        <f>IF($I627="","",IF(ISNUMBER($I627),TEXT($I627,"0"),$I627))</f>
        <v/>
      </c>
    </row>
    <row r="628">
      <c r="B628" s="25" t="n"/>
      <c r="I628" s="25" t="n"/>
      <c r="U628" s="19">
        <f>IF($V628&lt;&gt;'設定'!$C$4,N(U627),IF(OR(NOT(COUNTIF('商品マスタ'!$B$6:$B$1005,$W628)=0),COUNTIFS('①在庫を貼る'!$V$6:$V$10005,$V628,'①在庫を貼る'!$W$6:$W$10005,$W628)+COUNTIFS('月1回_1ヶ月前の在庫'!$V$6:$V$10005,$V628,'月1回_1ヶ月前の在庫'!$W$6:$W$10005,$W628)&gt;0),N(U627),N(U627)+1))</f>
        <v/>
      </c>
      <c r="V628" s="19">
        <f>IF($B628="","",TEXT($B628,"0000"))</f>
        <v/>
      </c>
      <c r="W628" s="19">
        <f>IF($I628="","",IF(ISNUMBER($I628),TEXT($I628,"0"),$I628))</f>
        <v/>
      </c>
    </row>
    <row r="629">
      <c r="B629" s="25" t="n"/>
      <c r="I629" s="25" t="n"/>
      <c r="U629" s="19">
        <f>IF($V629&lt;&gt;'設定'!$C$4,N(U628),IF(OR(NOT(COUNTIF('商品マスタ'!$B$6:$B$1005,$W629)=0),COUNTIFS('①在庫を貼る'!$V$6:$V$10005,$V629,'①在庫を貼る'!$W$6:$W$10005,$W629)+COUNTIFS('月1回_1ヶ月前の在庫'!$V$6:$V$10005,$V629,'月1回_1ヶ月前の在庫'!$W$6:$W$10005,$W629)&gt;0),N(U628),N(U628)+1))</f>
        <v/>
      </c>
      <c r="V629" s="19">
        <f>IF($B629="","",TEXT($B629,"0000"))</f>
        <v/>
      </c>
      <c r="W629" s="19">
        <f>IF($I629="","",IF(ISNUMBER($I629),TEXT($I629,"0"),$I629))</f>
        <v/>
      </c>
    </row>
    <row r="630">
      <c r="B630" s="25" t="n"/>
      <c r="I630" s="25" t="n"/>
      <c r="U630" s="19">
        <f>IF($V630&lt;&gt;'設定'!$C$4,N(U629),IF(OR(NOT(COUNTIF('商品マスタ'!$B$6:$B$1005,$W630)=0),COUNTIFS('①在庫を貼る'!$V$6:$V$10005,$V630,'①在庫を貼る'!$W$6:$W$10005,$W630)+COUNTIFS('月1回_1ヶ月前の在庫'!$V$6:$V$10005,$V630,'月1回_1ヶ月前の在庫'!$W$6:$W$10005,$W630)&gt;0),N(U629),N(U629)+1))</f>
        <v/>
      </c>
      <c r="V630" s="19">
        <f>IF($B630="","",TEXT($B630,"0000"))</f>
        <v/>
      </c>
      <c r="W630" s="19">
        <f>IF($I630="","",IF(ISNUMBER($I630),TEXT($I630,"0"),$I630))</f>
        <v/>
      </c>
    </row>
    <row r="631">
      <c r="B631" s="25" t="n"/>
      <c r="I631" s="25" t="n"/>
      <c r="U631" s="19">
        <f>IF($V631&lt;&gt;'設定'!$C$4,N(U630),IF(OR(NOT(COUNTIF('商品マスタ'!$B$6:$B$1005,$W631)=0),COUNTIFS('①在庫を貼る'!$V$6:$V$10005,$V631,'①在庫を貼る'!$W$6:$W$10005,$W631)+COUNTIFS('月1回_1ヶ月前の在庫'!$V$6:$V$10005,$V631,'月1回_1ヶ月前の在庫'!$W$6:$W$10005,$W631)&gt;0),N(U630),N(U630)+1))</f>
        <v/>
      </c>
      <c r="V631" s="19">
        <f>IF($B631="","",TEXT($B631,"0000"))</f>
        <v/>
      </c>
      <c r="W631" s="19">
        <f>IF($I631="","",IF(ISNUMBER($I631),TEXT($I631,"0"),$I631))</f>
        <v/>
      </c>
    </row>
    <row r="632">
      <c r="B632" s="25" t="n"/>
      <c r="I632" s="25" t="n"/>
      <c r="U632" s="19">
        <f>IF($V632&lt;&gt;'設定'!$C$4,N(U631),IF(OR(NOT(COUNTIF('商品マスタ'!$B$6:$B$1005,$W632)=0),COUNTIFS('①在庫を貼る'!$V$6:$V$10005,$V632,'①在庫を貼る'!$W$6:$W$10005,$W632)+COUNTIFS('月1回_1ヶ月前の在庫'!$V$6:$V$10005,$V632,'月1回_1ヶ月前の在庫'!$W$6:$W$10005,$W632)&gt;0),N(U631),N(U631)+1))</f>
        <v/>
      </c>
      <c r="V632" s="19">
        <f>IF($B632="","",TEXT($B632,"0000"))</f>
        <v/>
      </c>
      <c r="W632" s="19">
        <f>IF($I632="","",IF(ISNUMBER($I632),TEXT($I632,"0"),$I632))</f>
        <v/>
      </c>
    </row>
    <row r="633">
      <c r="B633" s="25" t="n"/>
      <c r="I633" s="25" t="n"/>
      <c r="U633" s="19">
        <f>IF($V633&lt;&gt;'設定'!$C$4,N(U632),IF(OR(NOT(COUNTIF('商品マスタ'!$B$6:$B$1005,$W633)=0),COUNTIFS('①在庫を貼る'!$V$6:$V$10005,$V633,'①在庫を貼る'!$W$6:$W$10005,$W633)+COUNTIFS('月1回_1ヶ月前の在庫'!$V$6:$V$10005,$V633,'月1回_1ヶ月前の在庫'!$W$6:$W$10005,$W633)&gt;0),N(U632),N(U632)+1))</f>
        <v/>
      </c>
      <c r="V633" s="19">
        <f>IF($B633="","",TEXT($B633,"0000"))</f>
        <v/>
      </c>
      <c r="W633" s="19">
        <f>IF($I633="","",IF(ISNUMBER($I633),TEXT($I633,"0"),$I633))</f>
        <v/>
      </c>
    </row>
    <row r="634">
      <c r="B634" s="25" t="n"/>
      <c r="I634" s="25" t="n"/>
      <c r="U634" s="19">
        <f>IF($V634&lt;&gt;'設定'!$C$4,N(U633),IF(OR(NOT(COUNTIF('商品マスタ'!$B$6:$B$1005,$W634)=0),COUNTIFS('①在庫を貼る'!$V$6:$V$10005,$V634,'①在庫を貼る'!$W$6:$W$10005,$W634)+COUNTIFS('月1回_1ヶ月前の在庫'!$V$6:$V$10005,$V634,'月1回_1ヶ月前の在庫'!$W$6:$W$10005,$W634)&gt;0),N(U633),N(U633)+1))</f>
        <v/>
      </c>
      <c r="V634" s="19">
        <f>IF($B634="","",TEXT($B634,"0000"))</f>
        <v/>
      </c>
      <c r="W634" s="19">
        <f>IF($I634="","",IF(ISNUMBER($I634),TEXT($I634,"0"),$I634))</f>
        <v/>
      </c>
    </row>
    <row r="635">
      <c r="B635" s="25" t="n"/>
      <c r="I635" s="25" t="n"/>
      <c r="U635" s="19">
        <f>IF($V635&lt;&gt;'設定'!$C$4,N(U634),IF(OR(NOT(COUNTIF('商品マスタ'!$B$6:$B$1005,$W635)=0),COUNTIFS('①在庫を貼る'!$V$6:$V$10005,$V635,'①在庫を貼る'!$W$6:$W$10005,$W635)+COUNTIFS('月1回_1ヶ月前の在庫'!$V$6:$V$10005,$V635,'月1回_1ヶ月前の在庫'!$W$6:$W$10005,$W635)&gt;0),N(U634),N(U634)+1))</f>
        <v/>
      </c>
      <c r="V635" s="19">
        <f>IF($B635="","",TEXT($B635,"0000"))</f>
        <v/>
      </c>
      <c r="W635" s="19">
        <f>IF($I635="","",IF(ISNUMBER($I635),TEXT($I635,"0"),$I635))</f>
        <v/>
      </c>
    </row>
    <row r="636">
      <c r="B636" s="25" t="n"/>
      <c r="I636" s="25" t="n"/>
      <c r="U636" s="19">
        <f>IF($V636&lt;&gt;'設定'!$C$4,N(U635),IF(OR(NOT(COUNTIF('商品マスタ'!$B$6:$B$1005,$W636)=0),COUNTIFS('①在庫を貼る'!$V$6:$V$10005,$V636,'①在庫を貼る'!$W$6:$W$10005,$W636)+COUNTIFS('月1回_1ヶ月前の在庫'!$V$6:$V$10005,$V636,'月1回_1ヶ月前の在庫'!$W$6:$W$10005,$W636)&gt;0),N(U635),N(U635)+1))</f>
        <v/>
      </c>
      <c r="V636" s="19">
        <f>IF($B636="","",TEXT($B636,"0000"))</f>
        <v/>
      </c>
      <c r="W636" s="19">
        <f>IF($I636="","",IF(ISNUMBER($I636),TEXT($I636,"0"),$I636))</f>
        <v/>
      </c>
    </row>
    <row r="637">
      <c r="B637" s="25" t="n"/>
      <c r="I637" s="25" t="n"/>
      <c r="U637" s="19">
        <f>IF($V637&lt;&gt;'設定'!$C$4,N(U636),IF(OR(NOT(COUNTIF('商品マスタ'!$B$6:$B$1005,$W637)=0),COUNTIFS('①在庫を貼る'!$V$6:$V$10005,$V637,'①在庫を貼る'!$W$6:$W$10005,$W637)+COUNTIFS('月1回_1ヶ月前の在庫'!$V$6:$V$10005,$V637,'月1回_1ヶ月前の在庫'!$W$6:$W$10005,$W637)&gt;0),N(U636),N(U636)+1))</f>
        <v/>
      </c>
      <c r="V637" s="19">
        <f>IF($B637="","",TEXT($B637,"0000"))</f>
        <v/>
      </c>
      <c r="W637" s="19">
        <f>IF($I637="","",IF(ISNUMBER($I637),TEXT($I637,"0"),$I637))</f>
        <v/>
      </c>
    </row>
    <row r="638">
      <c r="B638" s="25" t="n"/>
      <c r="I638" s="25" t="n"/>
      <c r="U638" s="19">
        <f>IF($V638&lt;&gt;'設定'!$C$4,N(U637),IF(OR(NOT(COUNTIF('商品マスタ'!$B$6:$B$1005,$W638)=0),COUNTIFS('①在庫を貼る'!$V$6:$V$10005,$V638,'①在庫を貼る'!$W$6:$W$10005,$W638)+COUNTIFS('月1回_1ヶ月前の在庫'!$V$6:$V$10005,$V638,'月1回_1ヶ月前の在庫'!$W$6:$W$10005,$W638)&gt;0),N(U637),N(U637)+1))</f>
        <v/>
      </c>
      <c r="V638" s="19">
        <f>IF($B638="","",TEXT($B638,"0000"))</f>
        <v/>
      </c>
      <c r="W638" s="19">
        <f>IF($I638="","",IF(ISNUMBER($I638),TEXT($I638,"0"),$I638))</f>
        <v/>
      </c>
    </row>
    <row r="639">
      <c r="B639" s="25" t="n"/>
      <c r="I639" s="25" t="n"/>
      <c r="U639" s="19">
        <f>IF($V639&lt;&gt;'設定'!$C$4,N(U638),IF(OR(NOT(COUNTIF('商品マスタ'!$B$6:$B$1005,$W639)=0),COUNTIFS('①在庫を貼る'!$V$6:$V$10005,$V639,'①在庫を貼る'!$W$6:$W$10005,$W639)+COUNTIFS('月1回_1ヶ月前の在庫'!$V$6:$V$10005,$V639,'月1回_1ヶ月前の在庫'!$W$6:$W$10005,$W639)&gt;0),N(U638),N(U638)+1))</f>
        <v/>
      </c>
      <c r="V639" s="19">
        <f>IF($B639="","",TEXT($B639,"0000"))</f>
        <v/>
      </c>
      <c r="W639" s="19">
        <f>IF($I639="","",IF(ISNUMBER($I639),TEXT($I639,"0"),$I639))</f>
        <v/>
      </c>
    </row>
    <row r="640">
      <c r="B640" s="25" t="n"/>
      <c r="I640" s="25" t="n"/>
      <c r="U640" s="19">
        <f>IF($V640&lt;&gt;'設定'!$C$4,N(U639),IF(OR(NOT(COUNTIF('商品マスタ'!$B$6:$B$1005,$W640)=0),COUNTIFS('①在庫を貼る'!$V$6:$V$10005,$V640,'①在庫を貼る'!$W$6:$W$10005,$W640)+COUNTIFS('月1回_1ヶ月前の在庫'!$V$6:$V$10005,$V640,'月1回_1ヶ月前の在庫'!$W$6:$W$10005,$W640)&gt;0),N(U639),N(U639)+1))</f>
        <v/>
      </c>
      <c r="V640" s="19">
        <f>IF($B640="","",TEXT($B640,"0000"))</f>
        <v/>
      </c>
      <c r="W640" s="19">
        <f>IF($I640="","",IF(ISNUMBER($I640),TEXT($I640,"0"),$I640))</f>
        <v/>
      </c>
    </row>
    <row r="641">
      <c r="B641" s="25" t="n"/>
      <c r="I641" s="25" t="n"/>
      <c r="U641" s="19">
        <f>IF($V641&lt;&gt;'設定'!$C$4,N(U640),IF(OR(NOT(COUNTIF('商品マスタ'!$B$6:$B$1005,$W641)=0),COUNTIFS('①在庫を貼る'!$V$6:$V$10005,$V641,'①在庫を貼る'!$W$6:$W$10005,$W641)+COUNTIFS('月1回_1ヶ月前の在庫'!$V$6:$V$10005,$V641,'月1回_1ヶ月前の在庫'!$W$6:$W$10005,$W641)&gt;0),N(U640),N(U640)+1))</f>
        <v/>
      </c>
      <c r="V641" s="19">
        <f>IF($B641="","",TEXT($B641,"0000"))</f>
        <v/>
      </c>
      <c r="W641" s="19">
        <f>IF($I641="","",IF(ISNUMBER($I641),TEXT($I641,"0"),$I641))</f>
        <v/>
      </c>
    </row>
    <row r="642">
      <c r="B642" s="25" t="n"/>
      <c r="I642" s="25" t="n"/>
      <c r="U642" s="19">
        <f>IF($V642&lt;&gt;'設定'!$C$4,N(U641),IF(OR(NOT(COUNTIF('商品マスタ'!$B$6:$B$1005,$W642)=0),COUNTIFS('①在庫を貼る'!$V$6:$V$10005,$V642,'①在庫を貼る'!$W$6:$W$10005,$W642)+COUNTIFS('月1回_1ヶ月前の在庫'!$V$6:$V$10005,$V642,'月1回_1ヶ月前の在庫'!$W$6:$W$10005,$W642)&gt;0),N(U641),N(U641)+1))</f>
        <v/>
      </c>
      <c r="V642" s="19">
        <f>IF($B642="","",TEXT($B642,"0000"))</f>
        <v/>
      </c>
      <c r="W642" s="19">
        <f>IF($I642="","",IF(ISNUMBER($I642),TEXT($I642,"0"),$I642))</f>
        <v/>
      </c>
    </row>
    <row r="643">
      <c r="B643" s="25" t="n"/>
      <c r="I643" s="25" t="n"/>
      <c r="U643" s="19">
        <f>IF($V643&lt;&gt;'設定'!$C$4,N(U642),IF(OR(NOT(COUNTIF('商品マスタ'!$B$6:$B$1005,$W643)=0),COUNTIFS('①在庫を貼る'!$V$6:$V$10005,$V643,'①在庫を貼る'!$W$6:$W$10005,$W643)+COUNTIFS('月1回_1ヶ月前の在庫'!$V$6:$V$10005,$V643,'月1回_1ヶ月前の在庫'!$W$6:$W$10005,$W643)&gt;0),N(U642),N(U642)+1))</f>
        <v/>
      </c>
      <c r="V643" s="19">
        <f>IF($B643="","",TEXT($B643,"0000"))</f>
        <v/>
      </c>
      <c r="W643" s="19">
        <f>IF($I643="","",IF(ISNUMBER($I643),TEXT($I643,"0"),$I643))</f>
        <v/>
      </c>
    </row>
    <row r="644">
      <c r="B644" s="25" t="n"/>
      <c r="I644" s="25" t="n"/>
      <c r="U644" s="19">
        <f>IF($V644&lt;&gt;'設定'!$C$4,N(U643),IF(OR(NOT(COUNTIF('商品マスタ'!$B$6:$B$1005,$W644)=0),COUNTIFS('①在庫を貼る'!$V$6:$V$10005,$V644,'①在庫を貼る'!$W$6:$W$10005,$W644)+COUNTIFS('月1回_1ヶ月前の在庫'!$V$6:$V$10005,$V644,'月1回_1ヶ月前の在庫'!$W$6:$W$10005,$W644)&gt;0),N(U643),N(U643)+1))</f>
        <v/>
      </c>
      <c r="V644" s="19">
        <f>IF($B644="","",TEXT($B644,"0000"))</f>
        <v/>
      </c>
      <c r="W644" s="19">
        <f>IF($I644="","",IF(ISNUMBER($I644),TEXT($I644,"0"),$I644))</f>
        <v/>
      </c>
    </row>
    <row r="645">
      <c r="B645" s="25" t="n"/>
      <c r="I645" s="25" t="n"/>
      <c r="U645" s="19">
        <f>IF($V645&lt;&gt;'設定'!$C$4,N(U644),IF(OR(NOT(COUNTIF('商品マスタ'!$B$6:$B$1005,$W645)=0),COUNTIFS('①在庫を貼る'!$V$6:$V$10005,$V645,'①在庫を貼る'!$W$6:$W$10005,$W645)+COUNTIFS('月1回_1ヶ月前の在庫'!$V$6:$V$10005,$V645,'月1回_1ヶ月前の在庫'!$W$6:$W$10005,$W645)&gt;0),N(U644),N(U644)+1))</f>
        <v/>
      </c>
      <c r="V645" s="19">
        <f>IF($B645="","",TEXT($B645,"0000"))</f>
        <v/>
      </c>
      <c r="W645" s="19">
        <f>IF($I645="","",IF(ISNUMBER($I645),TEXT($I645,"0"),$I645))</f>
        <v/>
      </c>
    </row>
    <row r="646">
      <c r="B646" s="25" t="n"/>
      <c r="I646" s="25" t="n"/>
      <c r="U646" s="19">
        <f>IF($V646&lt;&gt;'設定'!$C$4,N(U645),IF(OR(NOT(COUNTIF('商品マスタ'!$B$6:$B$1005,$W646)=0),COUNTIFS('①在庫を貼る'!$V$6:$V$10005,$V646,'①在庫を貼る'!$W$6:$W$10005,$W646)+COUNTIFS('月1回_1ヶ月前の在庫'!$V$6:$V$10005,$V646,'月1回_1ヶ月前の在庫'!$W$6:$W$10005,$W646)&gt;0),N(U645),N(U645)+1))</f>
        <v/>
      </c>
      <c r="V646" s="19">
        <f>IF($B646="","",TEXT($B646,"0000"))</f>
        <v/>
      </c>
      <c r="W646" s="19">
        <f>IF($I646="","",IF(ISNUMBER($I646),TEXT($I646,"0"),$I646))</f>
        <v/>
      </c>
    </row>
    <row r="647">
      <c r="B647" s="25" t="n"/>
      <c r="I647" s="25" t="n"/>
      <c r="U647" s="19">
        <f>IF($V647&lt;&gt;'設定'!$C$4,N(U646),IF(OR(NOT(COUNTIF('商品マスタ'!$B$6:$B$1005,$W647)=0),COUNTIFS('①在庫を貼る'!$V$6:$V$10005,$V647,'①在庫を貼る'!$W$6:$W$10005,$W647)+COUNTIFS('月1回_1ヶ月前の在庫'!$V$6:$V$10005,$V647,'月1回_1ヶ月前の在庫'!$W$6:$W$10005,$W647)&gt;0),N(U646),N(U646)+1))</f>
        <v/>
      </c>
      <c r="V647" s="19">
        <f>IF($B647="","",TEXT($B647,"0000"))</f>
        <v/>
      </c>
      <c r="W647" s="19">
        <f>IF($I647="","",IF(ISNUMBER($I647),TEXT($I647,"0"),$I647))</f>
        <v/>
      </c>
    </row>
    <row r="648">
      <c r="B648" s="25" t="n"/>
      <c r="I648" s="25" t="n"/>
      <c r="U648" s="19">
        <f>IF($V648&lt;&gt;'設定'!$C$4,N(U647),IF(OR(NOT(COUNTIF('商品マスタ'!$B$6:$B$1005,$W648)=0),COUNTIFS('①在庫を貼る'!$V$6:$V$10005,$V648,'①在庫を貼る'!$W$6:$W$10005,$W648)+COUNTIFS('月1回_1ヶ月前の在庫'!$V$6:$V$10005,$V648,'月1回_1ヶ月前の在庫'!$W$6:$W$10005,$W648)&gt;0),N(U647),N(U647)+1))</f>
        <v/>
      </c>
      <c r="V648" s="19">
        <f>IF($B648="","",TEXT($B648,"0000"))</f>
        <v/>
      </c>
      <c r="W648" s="19">
        <f>IF($I648="","",IF(ISNUMBER($I648),TEXT($I648,"0"),$I648))</f>
        <v/>
      </c>
    </row>
    <row r="649">
      <c r="B649" s="25" t="n"/>
      <c r="I649" s="25" t="n"/>
      <c r="U649" s="19">
        <f>IF($V649&lt;&gt;'設定'!$C$4,N(U648),IF(OR(NOT(COUNTIF('商品マスタ'!$B$6:$B$1005,$W649)=0),COUNTIFS('①在庫を貼る'!$V$6:$V$10005,$V649,'①在庫を貼る'!$W$6:$W$10005,$W649)+COUNTIFS('月1回_1ヶ月前の在庫'!$V$6:$V$10005,$V649,'月1回_1ヶ月前の在庫'!$W$6:$W$10005,$W649)&gt;0),N(U648),N(U648)+1))</f>
        <v/>
      </c>
      <c r="V649" s="19">
        <f>IF($B649="","",TEXT($B649,"0000"))</f>
        <v/>
      </c>
      <c r="W649" s="19">
        <f>IF($I649="","",IF(ISNUMBER($I649),TEXT($I649,"0"),$I649))</f>
        <v/>
      </c>
    </row>
    <row r="650">
      <c r="B650" s="25" t="n"/>
      <c r="I650" s="25" t="n"/>
      <c r="U650" s="19">
        <f>IF($V650&lt;&gt;'設定'!$C$4,N(U649),IF(OR(NOT(COUNTIF('商品マスタ'!$B$6:$B$1005,$W650)=0),COUNTIFS('①在庫を貼る'!$V$6:$V$10005,$V650,'①在庫を貼る'!$W$6:$W$10005,$W650)+COUNTIFS('月1回_1ヶ月前の在庫'!$V$6:$V$10005,$V650,'月1回_1ヶ月前の在庫'!$W$6:$W$10005,$W650)&gt;0),N(U649),N(U649)+1))</f>
        <v/>
      </c>
      <c r="V650" s="19">
        <f>IF($B650="","",TEXT($B650,"0000"))</f>
        <v/>
      </c>
      <c r="W650" s="19">
        <f>IF($I650="","",IF(ISNUMBER($I650),TEXT($I650,"0"),$I650))</f>
        <v/>
      </c>
    </row>
    <row r="651">
      <c r="B651" s="25" t="n"/>
      <c r="I651" s="25" t="n"/>
      <c r="U651" s="19">
        <f>IF($V651&lt;&gt;'設定'!$C$4,N(U650),IF(OR(NOT(COUNTIF('商品マスタ'!$B$6:$B$1005,$W651)=0),COUNTIFS('①在庫を貼る'!$V$6:$V$10005,$V651,'①在庫を貼る'!$W$6:$W$10005,$W651)+COUNTIFS('月1回_1ヶ月前の在庫'!$V$6:$V$10005,$V651,'月1回_1ヶ月前の在庫'!$W$6:$W$10005,$W651)&gt;0),N(U650),N(U650)+1))</f>
        <v/>
      </c>
      <c r="V651" s="19">
        <f>IF($B651="","",TEXT($B651,"0000"))</f>
        <v/>
      </c>
      <c r="W651" s="19">
        <f>IF($I651="","",IF(ISNUMBER($I651),TEXT($I651,"0"),$I651))</f>
        <v/>
      </c>
    </row>
    <row r="652">
      <c r="B652" s="25" t="n"/>
      <c r="I652" s="25" t="n"/>
      <c r="U652" s="19">
        <f>IF($V652&lt;&gt;'設定'!$C$4,N(U651),IF(OR(NOT(COUNTIF('商品マスタ'!$B$6:$B$1005,$W652)=0),COUNTIFS('①在庫を貼る'!$V$6:$V$10005,$V652,'①在庫を貼る'!$W$6:$W$10005,$W652)+COUNTIFS('月1回_1ヶ月前の在庫'!$V$6:$V$10005,$V652,'月1回_1ヶ月前の在庫'!$W$6:$W$10005,$W652)&gt;0),N(U651),N(U651)+1))</f>
        <v/>
      </c>
      <c r="V652" s="19">
        <f>IF($B652="","",TEXT($B652,"0000"))</f>
        <v/>
      </c>
      <c r="W652" s="19">
        <f>IF($I652="","",IF(ISNUMBER($I652),TEXT($I652,"0"),$I652))</f>
        <v/>
      </c>
    </row>
    <row r="653">
      <c r="B653" s="25" t="n"/>
      <c r="I653" s="25" t="n"/>
      <c r="U653" s="19">
        <f>IF($V653&lt;&gt;'設定'!$C$4,N(U652),IF(OR(NOT(COUNTIF('商品マスタ'!$B$6:$B$1005,$W653)=0),COUNTIFS('①在庫を貼る'!$V$6:$V$10005,$V653,'①在庫を貼る'!$W$6:$W$10005,$W653)+COUNTIFS('月1回_1ヶ月前の在庫'!$V$6:$V$10005,$V653,'月1回_1ヶ月前の在庫'!$W$6:$W$10005,$W653)&gt;0),N(U652),N(U652)+1))</f>
        <v/>
      </c>
      <c r="V653" s="19">
        <f>IF($B653="","",TEXT($B653,"0000"))</f>
        <v/>
      </c>
      <c r="W653" s="19">
        <f>IF($I653="","",IF(ISNUMBER($I653),TEXT($I653,"0"),$I653))</f>
        <v/>
      </c>
    </row>
    <row r="654">
      <c r="B654" s="25" t="n"/>
      <c r="I654" s="25" t="n"/>
      <c r="U654" s="19">
        <f>IF($V654&lt;&gt;'設定'!$C$4,N(U653),IF(OR(NOT(COUNTIF('商品マスタ'!$B$6:$B$1005,$W654)=0),COUNTIFS('①在庫を貼る'!$V$6:$V$10005,$V654,'①在庫を貼る'!$W$6:$W$10005,$W654)+COUNTIFS('月1回_1ヶ月前の在庫'!$V$6:$V$10005,$V654,'月1回_1ヶ月前の在庫'!$W$6:$W$10005,$W654)&gt;0),N(U653),N(U653)+1))</f>
        <v/>
      </c>
      <c r="V654" s="19">
        <f>IF($B654="","",TEXT($B654,"0000"))</f>
        <v/>
      </c>
      <c r="W654" s="19">
        <f>IF($I654="","",IF(ISNUMBER($I654),TEXT($I654,"0"),$I654))</f>
        <v/>
      </c>
    </row>
    <row r="655">
      <c r="B655" s="25" t="n"/>
      <c r="I655" s="25" t="n"/>
      <c r="U655" s="19">
        <f>IF($V655&lt;&gt;'設定'!$C$4,N(U654),IF(OR(NOT(COUNTIF('商品マスタ'!$B$6:$B$1005,$W655)=0),COUNTIFS('①在庫を貼る'!$V$6:$V$10005,$V655,'①在庫を貼る'!$W$6:$W$10005,$W655)+COUNTIFS('月1回_1ヶ月前の在庫'!$V$6:$V$10005,$V655,'月1回_1ヶ月前の在庫'!$W$6:$W$10005,$W655)&gt;0),N(U654),N(U654)+1))</f>
        <v/>
      </c>
      <c r="V655" s="19">
        <f>IF($B655="","",TEXT($B655,"0000"))</f>
        <v/>
      </c>
      <c r="W655" s="19">
        <f>IF($I655="","",IF(ISNUMBER($I655),TEXT($I655,"0"),$I655))</f>
        <v/>
      </c>
    </row>
    <row r="656">
      <c r="B656" s="25" t="n"/>
      <c r="I656" s="25" t="n"/>
      <c r="U656" s="19">
        <f>IF($V656&lt;&gt;'設定'!$C$4,N(U655),IF(OR(NOT(COUNTIF('商品マスタ'!$B$6:$B$1005,$W656)=0),COUNTIFS('①在庫を貼る'!$V$6:$V$10005,$V656,'①在庫を貼る'!$W$6:$W$10005,$W656)+COUNTIFS('月1回_1ヶ月前の在庫'!$V$6:$V$10005,$V656,'月1回_1ヶ月前の在庫'!$W$6:$W$10005,$W656)&gt;0),N(U655),N(U655)+1))</f>
        <v/>
      </c>
      <c r="V656" s="19">
        <f>IF($B656="","",TEXT($B656,"0000"))</f>
        <v/>
      </c>
      <c r="W656" s="19">
        <f>IF($I656="","",IF(ISNUMBER($I656),TEXT($I656,"0"),$I656))</f>
        <v/>
      </c>
    </row>
    <row r="657">
      <c r="B657" s="25" t="n"/>
      <c r="I657" s="25" t="n"/>
      <c r="U657" s="19">
        <f>IF($V657&lt;&gt;'設定'!$C$4,N(U656),IF(OR(NOT(COUNTIF('商品マスタ'!$B$6:$B$1005,$W657)=0),COUNTIFS('①在庫を貼る'!$V$6:$V$10005,$V657,'①在庫を貼る'!$W$6:$W$10005,$W657)+COUNTIFS('月1回_1ヶ月前の在庫'!$V$6:$V$10005,$V657,'月1回_1ヶ月前の在庫'!$W$6:$W$10005,$W657)&gt;0),N(U656),N(U656)+1))</f>
        <v/>
      </c>
      <c r="V657" s="19">
        <f>IF($B657="","",TEXT($B657,"0000"))</f>
        <v/>
      </c>
      <c r="W657" s="19">
        <f>IF($I657="","",IF(ISNUMBER($I657),TEXT($I657,"0"),$I657))</f>
        <v/>
      </c>
    </row>
    <row r="658">
      <c r="B658" s="25" t="n"/>
      <c r="I658" s="25" t="n"/>
      <c r="U658" s="19">
        <f>IF($V658&lt;&gt;'設定'!$C$4,N(U657),IF(OR(NOT(COUNTIF('商品マスタ'!$B$6:$B$1005,$W658)=0),COUNTIFS('①在庫を貼る'!$V$6:$V$10005,$V658,'①在庫を貼る'!$W$6:$W$10005,$W658)+COUNTIFS('月1回_1ヶ月前の在庫'!$V$6:$V$10005,$V658,'月1回_1ヶ月前の在庫'!$W$6:$W$10005,$W658)&gt;0),N(U657),N(U657)+1))</f>
        <v/>
      </c>
      <c r="V658" s="19">
        <f>IF($B658="","",TEXT($B658,"0000"))</f>
        <v/>
      </c>
      <c r="W658" s="19">
        <f>IF($I658="","",IF(ISNUMBER($I658),TEXT($I658,"0"),$I658))</f>
        <v/>
      </c>
    </row>
    <row r="659">
      <c r="B659" s="25" t="n"/>
      <c r="I659" s="25" t="n"/>
      <c r="U659" s="19">
        <f>IF($V659&lt;&gt;'設定'!$C$4,N(U658),IF(OR(NOT(COUNTIF('商品マスタ'!$B$6:$B$1005,$W659)=0),COUNTIFS('①在庫を貼る'!$V$6:$V$10005,$V659,'①在庫を貼る'!$W$6:$W$10005,$W659)+COUNTIFS('月1回_1ヶ月前の在庫'!$V$6:$V$10005,$V659,'月1回_1ヶ月前の在庫'!$W$6:$W$10005,$W659)&gt;0),N(U658),N(U658)+1))</f>
        <v/>
      </c>
      <c r="V659" s="19">
        <f>IF($B659="","",TEXT($B659,"0000"))</f>
        <v/>
      </c>
      <c r="W659" s="19">
        <f>IF($I659="","",IF(ISNUMBER($I659),TEXT($I659,"0"),$I659))</f>
        <v/>
      </c>
    </row>
    <row r="660">
      <c r="B660" s="25" t="n"/>
      <c r="I660" s="25" t="n"/>
      <c r="U660" s="19">
        <f>IF($V660&lt;&gt;'設定'!$C$4,N(U659),IF(OR(NOT(COUNTIF('商品マスタ'!$B$6:$B$1005,$W660)=0),COUNTIFS('①在庫を貼る'!$V$6:$V$10005,$V660,'①在庫を貼る'!$W$6:$W$10005,$W660)+COUNTIFS('月1回_1ヶ月前の在庫'!$V$6:$V$10005,$V660,'月1回_1ヶ月前の在庫'!$W$6:$W$10005,$W660)&gt;0),N(U659),N(U659)+1))</f>
        <v/>
      </c>
      <c r="V660" s="19">
        <f>IF($B660="","",TEXT($B660,"0000"))</f>
        <v/>
      </c>
      <c r="W660" s="19">
        <f>IF($I660="","",IF(ISNUMBER($I660),TEXT($I660,"0"),$I660))</f>
        <v/>
      </c>
    </row>
    <row r="661">
      <c r="B661" s="25" t="n"/>
      <c r="I661" s="25" t="n"/>
      <c r="U661" s="19">
        <f>IF($V661&lt;&gt;'設定'!$C$4,N(U660),IF(OR(NOT(COUNTIF('商品マスタ'!$B$6:$B$1005,$W661)=0),COUNTIFS('①在庫を貼る'!$V$6:$V$10005,$V661,'①在庫を貼る'!$W$6:$W$10005,$W661)+COUNTIFS('月1回_1ヶ月前の在庫'!$V$6:$V$10005,$V661,'月1回_1ヶ月前の在庫'!$W$6:$W$10005,$W661)&gt;0),N(U660),N(U660)+1))</f>
        <v/>
      </c>
      <c r="V661" s="19">
        <f>IF($B661="","",TEXT($B661,"0000"))</f>
        <v/>
      </c>
      <c r="W661" s="19">
        <f>IF($I661="","",IF(ISNUMBER($I661),TEXT($I661,"0"),$I661))</f>
        <v/>
      </c>
    </row>
    <row r="662">
      <c r="B662" s="25" t="n"/>
      <c r="I662" s="25" t="n"/>
      <c r="U662" s="19">
        <f>IF($V662&lt;&gt;'設定'!$C$4,N(U661),IF(OR(NOT(COUNTIF('商品マスタ'!$B$6:$B$1005,$W662)=0),COUNTIFS('①在庫を貼る'!$V$6:$V$10005,$V662,'①在庫を貼る'!$W$6:$W$10005,$W662)+COUNTIFS('月1回_1ヶ月前の在庫'!$V$6:$V$10005,$V662,'月1回_1ヶ月前の在庫'!$W$6:$W$10005,$W662)&gt;0),N(U661),N(U661)+1))</f>
        <v/>
      </c>
      <c r="V662" s="19">
        <f>IF($B662="","",TEXT($B662,"0000"))</f>
        <v/>
      </c>
      <c r="W662" s="19">
        <f>IF($I662="","",IF(ISNUMBER($I662),TEXT($I662,"0"),$I662))</f>
        <v/>
      </c>
    </row>
    <row r="663">
      <c r="B663" s="25" t="n"/>
      <c r="I663" s="25" t="n"/>
      <c r="U663" s="19">
        <f>IF($V663&lt;&gt;'設定'!$C$4,N(U662),IF(OR(NOT(COUNTIF('商品マスタ'!$B$6:$B$1005,$W663)=0),COUNTIFS('①在庫を貼る'!$V$6:$V$10005,$V663,'①在庫を貼る'!$W$6:$W$10005,$W663)+COUNTIFS('月1回_1ヶ月前の在庫'!$V$6:$V$10005,$V663,'月1回_1ヶ月前の在庫'!$W$6:$W$10005,$W663)&gt;0),N(U662),N(U662)+1))</f>
        <v/>
      </c>
      <c r="V663" s="19">
        <f>IF($B663="","",TEXT($B663,"0000"))</f>
        <v/>
      </c>
      <c r="W663" s="19">
        <f>IF($I663="","",IF(ISNUMBER($I663),TEXT($I663,"0"),$I663))</f>
        <v/>
      </c>
    </row>
    <row r="664">
      <c r="B664" s="25" t="n"/>
      <c r="I664" s="25" t="n"/>
      <c r="U664" s="19">
        <f>IF($V664&lt;&gt;'設定'!$C$4,N(U663),IF(OR(NOT(COUNTIF('商品マスタ'!$B$6:$B$1005,$W664)=0),COUNTIFS('①在庫を貼る'!$V$6:$V$10005,$V664,'①在庫を貼る'!$W$6:$W$10005,$W664)+COUNTIFS('月1回_1ヶ月前の在庫'!$V$6:$V$10005,$V664,'月1回_1ヶ月前の在庫'!$W$6:$W$10005,$W664)&gt;0),N(U663),N(U663)+1))</f>
        <v/>
      </c>
      <c r="V664" s="19">
        <f>IF($B664="","",TEXT($B664,"0000"))</f>
        <v/>
      </c>
      <c r="W664" s="19">
        <f>IF($I664="","",IF(ISNUMBER($I664),TEXT($I664,"0"),$I664))</f>
        <v/>
      </c>
    </row>
    <row r="665">
      <c r="B665" s="25" t="n"/>
      <c r="I665" s="25" t="n"/>
      <c r="U665" s="19">
        <f>IF($V665&lt;&gt;'設定'!$C$4,N(U664),IF(OR(NOT(COUNTIF('商品マスタ'!$B$6:$B$1005,$W665)=0),COUNTIFS('①在庫を貼る'!$V$6:$V$10005,$V665,'①在庫を貼る'!$W$6:$W$10005,$W665)+COUNTIFS('月1回_1ヶ月前の在庫'!$V$6:$V$10005,$V665,'月1回_1ヶ月前の在庫'!$W$6:$W$10005,$W665)&gt;0),N(U664),N(U664)+1))</f>
        <v/>
      </c>
      <c r="V665" s="19">
        <f>IF($B665="","",TEXT($B665,"0000"))</f>
        <v/>
      </c>
      <c r="W665" s="19">
        <f>IF($I665="","",IF(ISNUMBER($I665),TEXT($I665,"0"),$I665))</f>
        <v/>
      </c>
    </row>
    <row r="666">
      <c r="B666" s="25" t="n"/>
      <c r="I666" s="25" t="n"/>
      <c r="U666" s="19">
        <f>IF($V666&lt;&gt;'設定'!$C$4,N(U665),IF(OR(NOT(COUNTIF('商品マスタ'!$B$6:$B$1005,$W666)=0),COUNTIFS('①在庫を貼る'!$V$6:$V$10005,$V666,'①在庫を貼る'!$W$6:$W$10005,$W666)+COUNTIFS('月1回_1ヶ月前の在庫'!$V$6:$V$10005,$V666,'月1回_1ヶ月前の在庫'!$W$6:$W$10005,$W666)&gt;0),N(U665),N(U665)+1))</f>
        <v/>
      </c>
      <c r="V666" s="19">
        <f>IF($B666="","",TEXT($B666,"0000"))</f>
        <v/>
      </c>
      <c r="W666" s="19">
        <f>IF($I666="","",IF(ISNUMBER($I666),TEXT($I666,"0"),$I666))</f>
        <v/>
      </c>
    </row>
    <row r="667">
      <c r="B667" s="25" t="n"/>
      <c r="I667" s="25" t="n"/>
      <c r="U667" s="19">
        <f>IF($V667&lt;&gt;'設定'!$C$4,N(U666),IF(OR(NOT(COUNTIF('商品マスタ'!$B$6:$B$1005,$W667)=0),COUNTIFS('①在庫を貼る'!$V$6:$V$10005,$V667,'①在庫を貼る'!$W$6:$W$10005,$W667)+COUNTIFS('月1回_1ヶ月前の在庫'!$V$6:$V$10005,$V667,'月1回_1ヶ月前の在庫'!$W$6:$W$10005,$W667)&gt;0),N(U666),N(U666)+1))</f>
        <v/>
      </c>
      <c r="V667" s="19">
        <f>IF($B667="","",TEXT($B667,"0000"))</f>
        <v/>
      </c>
      <c r="W667" s="19">
        <f>IF($I667="","",IF(ISNUMBER($I667),TEXT($I667,"0"),$I667))</f>
        <v/>
      </c>
    </row>
    <row r="668">
      <c r="B668" s="25" t="n"/>
      <c r="I668" s="25" t="n"/>
      <c r="U668" s="19">
        <f>IF($V668&lt;&gt;'設定'!$C$4,N(U667),IF(OR(NOT(COUNTIF('商品マスタ'!$B$6:$B$1005,$W668)=0),COUNTIFS('①在庫を貼る'!$V$6:$V$10005,$V668,'①在庫を貼る'!$W$6:$W$10005,$W668)+COUNTIFS('月1回_1ヶ月前の在庫'!$V$6:$V$10005,$V668,'月1回_1ヶ月前の在庫'!$W$6:$W$10005,$W668)&gt;0),N(U667),N(U667)+1))</f>
        <v/>
      </c>
      <c r="V668" s="19">
        <f>IF($B668="","",TEXT($B668,"0000"))</f>
        <v/>
      </c>
      <c r="W668" s="19">
        <f>IF($I668="","",IF(ISNUMBER($I668),TEXT($I668,"0"),$I668))</f>
        <v/>
      </c>
    </row>
    <row r="669">
      <c r="B669" s="25" t="n"/>
      <c r="I669" s="25" t="n"/>
      <c r="U669" s="19">
        <f>IF($V669&lt;&gt;'設定'!$C$4,N(U668),IF(OR(NOT(COUNTIF('商品マスタ'!$B$6:$B$1005,$W669)=0),COUNTIFS('①在庫を貼る'!$V$6:$V$10005,$V669,'①在庫を貼る'!$W$6:$W$10005,$W669)+COUNTIFS('月1回_1ヶ月前の在庫'!$V$6:$V$10005,$V669,'月1回_1ヶ月前の在庫'!$W$6:$W$10005,$W669)&gt;0),N(U668),N(U668)+1))</f>
        <v/>
      </c>
      <c r="V669" s="19">
        <f>IF($B669="","",TEXT($B669,"0000"))</f>
        <v/>
      </c>
      <c r="W669" s="19">
        <f>IF($I669="","",IF(ISNUMBER($I669),TEXT($I669,"0"),$I669))</f>
        <v/>
      </c>
    </row>
    <row r="670">
      <c r="B670" s="25" t="n"/>
      <c r="I670" s="25" t="n"/>
      <c r="U670" s="19">
        <f>IF($V670&lt;&gt;'設定'!$C$4,N(U669),IF(OR(NOT(COUNTIF('商品マスタ'!$B$6:$B$1005,$W670)=0),COUNTIFS('①在庫を貼る'!$V$6:$V$10005,$V670,'①在庫を貼る'!$W$6:$W$10005,$W670)+COUNTIFS('月1回_1ヶ月前の在庫'!$V$6:$V$10005,$V670,'月1回_1ヶ月前の在庫'!$W$6:$W$10005,$W670)&gt;0),N(U669),N(U669)+1))</f>
        <v/>
      </c>
      <c r="V670" s="19">
        <f>IF($B670="","",TEXT($B670,"0000"))</f>
        <v/>
      </c>
      <c r="W670" s="19">
        <f>IF($I670="","",IF(ISNUMBER($I670),TEXT($I670,"0"),$I670))</f>
        <v/>
      </c>
    </row>
    <row r="671">
      <c r="B671" s="25" t="n"/>
      <c r="I671" s="25" t="n"/>
      <c r="U671" s="19">
        <f>IF($V671&lt;&gt;'設定'!$C$4,N(U670),IF(OR(NOT(COUNTIF('商品マスタ'!$B$6:$B$1005,$W671)=0),COUNTIFS('①在庫を貼る'!$V$6:$V$10005,$V671,'①在庫を貼る'!$W$6:$W$10005,$W671)+COUNTIFS('月1回_1ヶ月前の在庫'!$V$6:$V$10005,$V671,'月1回_1ヶ月前の在庫'!$W$6:$W$10005,$W671)&gt;0),N(U670),N(U670)+1))</f>
        <v/>
      </c>
      <c r="V671" s="19">
        <f>IF($B671="","",TEXT($B671,"0000"))</f>
        <v/>
      </c>
      <c r="W671" s="19">
        <f>IF($I671="","",IF(ISNUMBER($I671),TEXT($I671,"0"),$I671))</f>
        <v/>
      </c>
    </row>
    <row r="672">
      <c r="B672" s="25" t="n"/>
      <c r="I672" s="25" t="n"/>
      <c r="U672" s="19">
        <f>IF($V672&lt;&gt;'設定'!$C$4,N(U671),IF(OR(NOT(COUNTIF('商品マスタ'!$B$6:$B$1005,$W672)=0),COUNTIFS('①在庫を貼る'!$V$6:$V$10005,$V672,'①在庫を貼る'!$W$6:$W$10005,$W672)+COUNTIFS('月1回_1ヶ月前の在庫'!$V$6:$V$10005,$V672,'月1回_1ヶ月前の在庫'!$W$6:$W$10005,$W672)&gt;0),N(U671),N(U671)+1))</f>
        <v/>
      </c>
      <c r="V672" s="19">
        <f>IF($B672="","",TEXT($B672,"0000"))</f>
        <v/>
      </c>
      <c r="W672" s="19">
        <f>IF($I672="","",IF(ISNUMBER($I672),TEXT($I672,"0"),$I672))</f>
        <v/>
      </c>
    </row>
    <row r="673">
      <c r="B673" s="25" t="n"/>
      <c r="I673" s="25" t="n"/>
      <c r="U673" s="19">
        <f>IF($V673&lt;&gt;'設定'!$C$4,N(U672),IF(OR(NOT(COUNTIF('商品マスタ'!$B$6:$B$1005,$W673)=0),COUNTIFS('①在庫を貼る'!$V$6:$V$10005,$V673,'①在庫を貼る'!$W$6:$W$10005,$W673)+COUNTIFS('月1回_1ヶ月前の在庫'!$V$6:$V$10005,$V673,'月1回_1ヶ月前の在庫'!$W$6:$W$10005,$W673)&gt;0),N(U672),N(U672)+1))</f>
        <v/>
      </c>
      <c r="V673" s="19">
        <f>IF($B673="","",TEXT($B673,"0000"))</f>
        <v/>
      </c>
      <c r="W673" s="19">
        <f>IF($I673="","",IF(ISNUMBER($I673),TEXT($I673,"0"),$I673))</f>
        <v/>
      </c>
    </row>
    <row r="674">
      <c r="B674" s="25" t="n"/>
      <c r="I674" s="25" t="n"/>
      <c r="U674" s="19">
        <f>IF($V674&lt;&gt;'設定'!$C$4,N(U673),IF(OR(NOT(COUNTIF('商品マスタ'!$B$6:$B$1005,$W674)=0),COUNTIFS('①在庫を貼る'!$V$6:$V$10005,$V674,'①在庫を貼る'!$W$6:$W$10005,$W674)+COUNTIFS('月1回_1ヶ月前の在庫'!$V$6:$V$10005,$V674,'月1回_1ヶ月前の在庫'!$W$6:$W$10005,$W674)&gt;0),N(U673),N(U673)+1))</f>
        <v/>
      </c>
      <c r="V674" s="19">
        <f>IF($B674="","",TEXT($B674,"0000"))</f>
        <v/>
      </c>
      <c r="W674" s="19">
        <f>IF($I674="","",IF(ISNUMBER($I674),TEXT($I674,"0"),$I674))</f>
        <v/>
      </c>
    </row>
    <row r="675">
      <c r="B675" s="25" t="n"/>
      <c r="I675" s="25" t="n"/>
      <c r="U675" s="19">
        <f>IF($V675&lt;&gt;'設定'!$C$4,N(U674),IF(OR(NOT(COUNTIF('商品マスタ'!$B$6:$B$1005,$W675)=0),COUNTIFS('①在庫を貼る'!$V$6:$V$10005,$V675,'①在庫を貼る'!$W$6:$W$10005,$W675)+COUNTIFS('月1回_1ヶ月前の在庫'!$V$6:$V$10005,$V675,'月1回_1ヶ月前の在庫'!$W$6:$W$10005,$W675)&gt;0),N(U674),N(U674)+1))</f>
        <v/>
      </c>
      <c r="V675" s="19">
        <f>IF($B675="","",TEXT($B675,"0000"))</f>
        <v/>
      </c>
      <c r="W675" s="19">
        <f>IF($I675="","",IF(ISNUMBER($I675),TEXT($I675,"0"),$I675))</f>
        <v/>
      </c>
    </row>
    <row r="676">
      <c r="B676" s="25" t="n"/>
      <c r="I676" s="25" t="n"/>
      <c r="U676" s="19">
        <f>IF($V676&lt;&gt;'設定'!$C$4,N(U675),IF(OR(NOT(COUNTIF('商品マスタ'!$B$6:$B$1005,$W676)=0),COUNTIFS('①在庫を貼る'!$V$6:$V$10005,$V676,'①在庫を貼る'!$W$6:$W$10005,$W676)+COUNTIFS('月1回_1ヶ月前の在庫'!$V$6:$V$10005,$V676,'月1回_1ヶ月前の在庫'!$W$6:$W$10005,$W676)&gt;0),N(U675),N(U675)+1))</f>
        <v/>
      </c>
      <c r="V676" s="19">
        <f>IF($B676="","",TEXT($B676,"0000"))</f>
        <v/>
      </c>
      <c r="W676" s="19">
        <f>IF($I676="","",IF(ISNUMBER($I676),TEXT($I676,"0"),$I676))</f>
        <v/>
      </c>
    </row>
    <row r="677">
      <c r="B677" s="25" t="n"/>
      <c r="I677" s="25" t="n"/>
      <c r="U677" s="19">
        <f>IF($V677&lt;&gt;'設定'!$C$4,N(U676),IF(OR(NOT(COUNTIF('商品マスタ'!$B$6:$B$1005,$W677)=0),COUNTIFS('①在庫を貼る'!$V$6:$V$10005,$V677,'①在庫を貼る'!$W$6:$W$10005,$W677)+COUNTIFS('月1回_1ヶ月前の在庫'!$V$6:$V$10005,$V677,'月1回_1ヶ月前の在庫'!$W$6:$W$10005,$W677)&gt;0),N(U676),N(U676)+1))</f>
        <v/>
      </c>
      <c r="V677" s="19">
        <f>IF($B677="","",TEXT($B677,"0000"))</f>
        <v/>
      </c>
      <c r="W677" s="19">
        <f>IF($I677="","",IF(ISNUMBER($I677),TEXT($I677,"0"),$I677))</f>
        <v/>
      </c>
    </row>
    <row r="678">
      <c r="B678" s="25" t="n"/>
      <c r="I678" s="25" t="n"/>
      <c r="U678" s="19">
        <f>IF($V678&lt;&gt;'設定'!$C$4,N(U677),IF(OR(NOT(COUNTIF('商品マスタ'!$B$6:$B$1005,$W678)=0),COUNTIFS('①在庫を貼る'!$V$6:$V$10005,$V678,'①在庫を貼る'!$W$6:$W$10005,$W678)+COUNTIFS('月1回_1ヶ月前の在庫'!$V$6:$V$10005,$V678,'月1回_1ヶ月前の在庫'!$W$6:$W$10005,$W678)&gt;0),N(U677),N(U677)+1))</f>
        <v/>
      </c>
      <c r="V678" s="19">
        <f>IF($B678="","",TEXT($B678,"0000"))</f>
        <v/>
      </c>
      <c r="W678" s="19">
        <f>IF($I678="","",IF(ISNUMBER($I678),TEXT($I678,"0"),$I678))</f>
        <v/>
      </c>
    </row>
    <row r="679">
      <c r="B679" s="25" t="n"/>
      <c r="I679" s="25" t="n"/>
      <c r="U679" s="19">
        <f>IF($V679&lt;&gt;'設定'!$C$4,N(U678),IF(OR(NOT(COUNTIF('商品マスタ'!$B$6:$B$1005,$W679)=0),COUNTIFS('①在庫を貼る'!$V$6:$V$10005,$V679,'①在庫を貼る'!$W$6:$W$10005,$W679)+COUNTIFS('月1回_1ヶ月前の在庫'!$V$6:$V$10005,$V679,'月1回_1ヶ月前の在庫'!$W$6:$W$10005,$W679)&gt;0),N(U678),N(U678)+1))</f>
        <v/>
      </c>
      <c r="V679" s="19">
        <f>IF($B679="","",TEXT($B679,"0000"))</f>
        <v/>
      </c>
      <c r="W679" s="19">
        <f>IF($I679="","",IF(ISNUMBER($I679),TEXT($I679,"0"),$I679))</f>
        <v/>
      </c>
    </row>
    <row r="680">
      <c r="B680" s="25" t="n"/>
      <c r="I680" s="25" t="n"/>
      <c r="U680" s="19">
        <f>IF($V680&lt;&gt;'設定'!$C$4,N(U679),IF(OR(NOT(COUNTIF('商品マスタ'!$B$6:$B$1005,$W680)=0),COUNTIFS('①在庫を貼る'!$V$6:$V$10005,$V680,'①在庫を貼る'!$W$6:$W$10005,$W680)+COUNTIFS('月1回_1ヶ月前の在庫'!$V$6:$V$10005,$V680,'月1回_1ヶ月前の在庫'!$W$6:$W$10005,$W680)&gt;0),N(U679),N(U679)+1))</f>
        <v/>
      </c>
      <c r="V680" s="19">
        <f>IF($B680="","",TEXT($B680,"0000"))</f>
        <v/>
      </c>
      <c r="W680" s="19">
        <f>IF($I680="","",IF(ISNUMBER($I680),TEXT($I680,"0"),$I680))</f>
        <v/>
      </c>
    </row>
    <row r="681">
      <c r="B681" s="25" t="n"/>
      <c r="I681" s="25" t="n"/>
      <c r="U681" s="19">
        <f>IF($V681&lt;&gt;'設定'!$C$4,N(U680),IF(OR(NOT(COUNTIF('商品マスタ'!$B$6:$B$1005,$W681)=0),COUNTIFS('①在庫を貼る'!$V$6:$V$10005,$V681,'①在庫を貼る'!$W$6:$W$10005,$W681)+COUNTIFS('月1回_1ヶ月前の在庫'!$V$6:$V$10005,$V681,'月1回_1ヶ月前の在庫'!$W$6:$W$10005,$W681)&gt;0),N(U680),N(U680)+1))</f>
        <v/>
      </c>
      <c r="V681" s="19">
        <f>IF($B681="","",TEXT($B681,"0000"))</f>
        <v/>
      </c>
      <c r="W681" s="19">
        <f>IF($I681="","",IF(ISNUMBER($I681),TEXT($I681,"0"),$I681))</f>
        <v/>
      </c>
    </row>
    <row r="682">
      <c r="B682" s="25" t="n"/>
      <c r="I682" s="25" t="n"/>
      <c r="U682" s="19">
        <f>IF($V682&lt;&gt;'設定'!$C$4,N(U681),IF(OR(NOT(COUNTIF('商品マスタ'!$B$6:$B$1005,$W682)=0),COUNTIFS('①在庫を貼る'!$V$6:$V$10005,$V682,'①在庫を貼る'!$W$6:$W$10005,$W682)+COUNTIFS('月1回_1ヶ月前の在庫'!$V$6:$V$10005,$V682,'月1回_1ヶ月前の在庫'!$W$6:$W$10005,$W682)&gt;0),N(U681),N(U681)+1))</f>
        <v/>
      </c>
      <c r="V682" s="19">
        <f>IF($B682="","",TEXT($B682,"0000"))</f>
        <v/>
      </c>
      <c r="W682" s="19">
        <f>IF($I682="","",IF(ISNUMBER($I682),TEXT($I682,"0"),$I682))</f>
        <v/>
      </c>
    </row>
    <row r="683">
      <c r="B683" s="25" t="n"/>
      <c r="I683" s="25" t="n"/>
      <c r="U683" s="19">
        <f>IF($V683&lt;&gt;'設定'!$C$4,N(U682),IF(OR(NOT(COUNTIF('商品マスタ'!$B$6:$B$1005,$W683)=0),COUNTIFS('①在庫を貼る'!$V$6:$V$10005,$V683,'①在庫を貼る'!$W$6:$W$10005,$W683)+COUNTIFS('月1回_1ヶ月前の在庫'!$V$6:$V$10005,$V683,'月1回_1ヶ月前の在庫'!$W$6:$W$10005,$W683)&gt;0),N(U682),N(U682)+1))</f>
        <v/>
      </c>
      <c r="V683" s="19">
        <f>IF($B683="","",TEXT($B683,"0000"))</f>
        <v/>
      </c>
      <c r="W683" s="19">
        <f>IF($I683="","",IF(ISNUMBER($I683),TEXT($I683,"0"),$I683))</f>
        <v/>
      </c>
    </row>
    <row r="684">
      <c r="B684" s="25" t="n"/>
      <c r="I684" s="25" t="n"/>
      <c r="U684" s="19">
        <f>IF($V684&lt;&gt;'設定'!$C$4,N(U683),IF(OR(NOT(COUNTIF('商品マスタ'!$B$6:$B$1005,$W684)=0),COUNTIFS('①在庫を貼る'!$V$6:$V$10005,$V684,'①在庫を貼る'!$W$6:$W$10005,$W684)+COUNTIFS('月1回_1ヶ月前の在庫'!$V$6:$V$10005,$V684,'月1回_1ヶ月前の在庫'!$W$6:$W$10005,$W684)&gt;0),N(U683),N(U683)+1))</f>
        <v/>
      </c>
      <c r="V684" s="19">
        <f>IF($B684="","",TEXT($B684,"0000"))</f>
        <v/>
      </c>
      <c r="W684" s="19">
        <f>IF($I684="","",IF(ISNUMBER($I684),TEXT($I684,"0"),$I684))</f>
        <v/>
      </c>
    </row>
    <row r="685">
      <c r="B685" s="25" t="n"/>
      <c r="I685" s="25" t="n"/>
      <c r="U685" s="19">
        <f>IF($V685&lt;&gt;'設定'!$C$4,N(U684),IF(OR(NOT(COUNTIF('商品マスタ'!$B$6:$B$1005,$W685)=0),COUNTIFS('①在庫を貼る'!$V$6:$V$10005,$V685,'①在庫を貼る'!$W$6:$W$10005,$W685)+COUNTIFS('月1回_1ヶ月前の在庫'!$V$6:$V$10005,$V685,'月1回_1ヶ月前の在庫'!$W$6:$W$10005,$W685)&gt;0),N(U684),N(U684)+1))</f>
        <v/>
      </c>
      <c r="V685" s="19">
        <f>IF($B685="","",TEXT($B685,"0000"))</f>
        <v/>
      </c>
      <c r="W685" s="19">
        <f>IF($I685="","",IF(ISNUMBER($I685),TEXT($I685,"0"),$I685))</f>
        <v/>
      </c>
    </row>
    <row r="686">
      <c r="B686" s="25" t="n"/>
      <c r="I686" s="25" t="n"/>
      <c r="U686" s="19">
        <f>IF($V686&lt;&gt;'設定'!$C$4,N(U685),IF(OR(NOT(COUNTIF('商品マスタ'!$B$6:$B$1005,$W686)=0),COUNTIFS('①在庫を貼る'!$V$6:$V$10005,$V686,'①在庫を貼る'!$W$6:$W$10005,$W686)+COUNTIFS('月1回_1ヶ月前の在庫'!$V$6:$V$10005,$V686,'月1回_1ヶ月前の在庫'!$W$6:$W$10005,$W686)&gt;0),N(U685),N(U685)+1))</f>
        <v/>
      </c>
      <c r="V686" s="19">
        <f>IF($B686="","",TEXT($B686,"0000"))</f>
        <v/>
      </c>
      <c r="W686" s="19">
        <f>IF($I686="","",IF(ISNUMBER($I686),TEXT($I686,"0"),$I686))</f>
        <v/>
      </c>
    </row>
    <row r="687">
      <c r="B687" s="25" t="n"/>
      <c r="I687" s="25" t="n"/>
      <c r="U687" s="19">
        <f>IF($V687&lt;&gt;'設定'!$C$4,N(U686),IF(OR(NOT(COUNTIF('商品マスタ'!$B$6:$B$1005,$W687)=0),COUNTIFS('①在庫を貼る'!$V$6:$V$10005,$V687,'①在庫を貼る'!$W$6:$W$10005,$W687)+COUNTIFS('月1回_1ヶ月前の在庫'!$V$6:$V$10005,$V687,'月1回_1ヶ月前の在庫'!$W$6:$W$10005,$W687)&gt;0),N(U686),N(U686)+1))</f>
        <v/>
      </c>
      <c r="V687" s="19">
        <f>IF($B687="","",TEXT($B687,"0000"))</f>
        <v/>
      </c>
      <c r="W687" s="19">
        <f>IF($I687="","",IF(ISNUMBER($I687),TEXT($I687,"0"),$I687))</f>
        <v/>
      </c>
    </row>
    <row r="688">
      <c r="B688" s="25" t="n"/>
      <c r="I688" s="25" t="n"/>
      <c r="U688" s="19">
        <f>IF($V688&lt;&gt;'設定'!$C$4,N(U687),IF(OR(NOT(COUNTIF('商品マスタ'!$B$6:$B$1005,$W688)=0),COUNTIFS('①在庫を貼る'!$V$6:$V$10005,$V688,'①在庫を貼る'!$W$6:$W$10005,$W688)+COUNTIFS('月1回_1ヶ月前の在庫'!$V$6:$V$10005,$V688,'月1回_1ヶ月前の在庫'!$W$6:$W$10005,$W688)&gt;0),N(U687),N(U687)+1))</f>
        <v/>
      </c>
      <c r="V688" s="19">
        <f>IF($B688="","",TEXT($B688,"0000"))</f>
        <v/>
      </c>
      <c r="W688" s="19">
        <f>IF($I688="","",IF(ISNUMBER($I688),TEXT($I688,"0"),$I688))</f>
        <v/>
      </c>
    </row>
    <row r="689">
      <c r="B689" s="25" t="n"/>
      <c r="I689" s="25" t="n"/>
      <c r="U689" s="19">
        <f>IF($V689&lt;&gt;'設定'!$C$4,N(U688),IF(OR(NOT(COUNTIF('商品マスタ'!$B$6:$B$1005,$W689)=0),COUNTIFS('①在庫を貼る'!$V$6:$V$10005,$V689,'①在庫を貼る'!$W$6:$W$10005,$W689)+COUNTIFS('月1回_1ヶ月前の在庫'!$V$6:$V$10005,$V689,'月1回_1ヶ月前の在庫'!$W$6:$W$10005,$W689)&gt;0),N(U688),N(U688)+1))</f>
        <v/>
      </c>
      <c r="V689" s="19">
        <f>IF($B689="","",TEXT($B689,"0000"))</f>
        <v/>
      </c>
      <c r="W689" s="19">
        <f>IF($I689="","",IF(ISNUMBER($I689),TEXT($I689,"0"),$I689))</f>
        <v/>
      </c>
    </row>
    <row r="690">
      <c r="B690" s="25" t="n"/>
      <c r="I690" s="25" t="n"/>
      <c r="U690" s="19">
        <f>IF($V690&lt;&gt;'設定'!$C$4,N(U689),IF(OR(NOT(COUNTIF('商品マスタ'!$B$6:$B$1005,$W690)=0),COUNTIFS('①在庫を貼る'!$V$6:$V$10005,$V690,'①在庫を貼る'!$W$6:$W$10005,$W690)+COUNTIFS('月1回_1ヶ月前の在庫'!$V$6:$V$10005,$V690,'月1回_1ヶ月前の在庫'!$W$6:$W$10005,$W690)&gt;0),N(U689),N(U689)+1))</f>
        <v/>
      </c>
      <c r="V690" s="19">
        <f>IF($B690="","",TEXT($B690,"0000"))</f>
        <v/>
      </c>
      <c r="W690" s="19">
        <f>IF($I690="","",IF(ISNUMBER($I690),TEXT($I690,"0"),$I690))</f>
        <v/>
      </c>
    </row>
    <row r="691">
      <c r="B691" s="25" t="n"/>
      <c r="I691" s="25" t="n"/>
      <c r="U691" s="19">
        <f>IF($V691&lt;&gt;'設定'!$C$4,N(U690),IF(OR(NOT(COUNTIF('商品マスタ'!$B$6:$B$1005,$W691)=0),COUNTIFS('①在庫を貼る'!$V$6:$V$10005,$V691,'①在庫を貼る'!$W$6:$W$10005,$W691)+COUNTIFS('月1回_1ヶ月前の在庫'!$V$6:$V$10005,$V691,'月1回_1ヶ月前の在庫'!$W$6:$W$10005,$W691)&gt;0),N(U690),N(U690)+1))</f>
        <v/>
      </c>
      <c r="V691" s="19">
        <f>IF($B691="","",TEXT($B691,"0000"))</f>
        <v/>
      </c>
      <c r="W691" s="19">
        <f>IF($I691="","",IF(ISNUMBER($I691),TEXT($I691,"0"),$I691))</f>
        <v/>
      </c>
    </row>
    <row r="692">
      <c r="B692" s="25" t="n"/>
      <c r="I692" s="25" t="n"/>
      <c r="U692" s="19">
        <f>IF($V692&lt;&gt;'設定'!$C$4,N(U691),IF(OR(NOT(COUNTIF('商品マスタ'!$B$6:$B$1005,$W692)=0),COUNTIFS('①在庫を貼る'!$V$6:$V$10005,$V692,'①在庫を貼る'!$W$6:$W$10005,$W692)+COUNTIFS('月1回_1ヶ月前の在庫'!$V$6:$V$10005,$V692,'月1回_1ヶ月前の在庫'!$W$6:$W$10005,$W692)&gt;0),N(U691),N(U691)+1))</f>
        <v/>
      </c>
      <c r="V692" s="19">
        <f>IF($B692="","",TEXT($B692,"0000"))</f>
        <v/>
      </c>
      <c r="W692" s="19">
        <f>IF($I692="","",IF(ISNUMBER($I692),TEXT($I692,"0"),$I692))</f>
        <v/>
      </c>
    </row>
    <row r="693">
      <c r="B693" s="25" t="n"/>
      <c r="I693" s="25" t="n"/>
      <c r="U693" s="19">
        <f>IF($V693&lt;&gt;'設定'!$C$4,N(U692),IF(OR(NOT(COUNTIF('商品マスタ'!$B$6:$B$1005,$W693)=0),COUNTIFS('①在庫を貼る'!$V$6:$V$10005,$V693,'①在庫を貼る'!$W$6:$W$10005,$W693)+COUNTIFS('月1回_1ヶ月前の在庫'!$V$6:$V$10005,$V693,'月1回_1ヶ月前の在庫'!$W$6:$W$10005,$W693)&gt;0),N(U692),N(U692)+1))</f>
        <v/>
      </c>
      <c r="V693" s="19">
        <f>IF($B693="","",TEXT($B693,"0000"))</f>
        <v/>
      </c>
      <c r="W693" s="19">
        <f>IF($I693="","",IF(ISNUMBER($I693),TEXT($I693,"0"),$I693))</f>
        <v/>
      </c>
    </row>
    <row r="694">
      <c r="B694" s="25" t="n"/>
      <c r="I694" s="25" t="n"/>
      <c r="U694" s="19">
        <f>IF($V694&lt;&gt;'設定'!$C$4,N(U693),IF(OR(NOT(COUNTIF('商品マスタ'!$B$6:$B$1005,$W694)=0),COUNTIFS('①在庫を貼る'!$V$6:$V$10005,$V694,'①在庫を貼る'!$W$6:$W$10005,$W694)+COUNTIFS('月1回_1ヶ月前の在庫'!$V$6:$V$10005,$V694,'月1回_1ヶ月前の在庫'!$W$6:$W$10005,$W694)&gt;0),N(U693),N(U693)+1))</f>
        <v/>
      </c>
      <c r="V694" s="19">
        <f>IF($B694="","",TEXT($B694,"0000"))</f>
        <v/>
      </c>
      <c r="W694" s="19">
        <f>IF($I694="","",IF(ISNUMBER($I694),TEXT($I694,"0"),$I694))</f>
        <v/>
      </c>
    </row>
    <row r="695">
      <c r="B695" s="25" t="n"/>
      <c r="I695" s="25" t="n"/>
      <c r="U695" s="19">
        <f>IF($V695&lt;&gt;'設定'!$C$4,N(U694),IF(OR(NOT(COUNTIF('商品マスタ'!$B$6:$B$1005,$W695)=0),COUNTIFS('①在庫を貼る'!$V$6:$V$10005,$V695,'①在庫を貼る'!$W$6:$W$10005,$W695)+COUNTIFS('月1回_1ヶ月前の在庫'!$V$6:$V$10005,$V695,'月1回_1ヶ月前の在庫'!$W$6:$W$10005,$W695)&gt;0),N(U694),N(U694)+1))</f>
        <v/>
      </c>
      <c r="V695" s="19">
        <f>IF($B695="","",TEXT($B695,"0000"))</f>
        <v/>
      </c>
      <c r="W695" s="19">
        <f>IF($I695="","",IF(ISNUMBER($I695),TEXT($I695,"0"),$I695))</f>
        <v/>
      </c>
    </row>
    <row r="696">
      <c r="B696" s="25" t="n"/>
      <c r="I696" s="25" t="n"/>
      <c r="U696" s="19">
        <f>IF($V696&lt;&gt;'設定'!$C$4,N(U695),IF(OR(NOT(COUNTIF('商品マスタ'!$B$6:$B$1005,$W696)=0),COUNTIFS('①在庫を貼る'!$V$6:$V$10005,$V696,'①在庫を貼る'!$W$6:$W$10005,$W696)+COUNTIFS('月1回_1ヶ月前の在庫'!$V$6:$V$10005,$V696,'月1回_1ヶ月前の在庫'!$W$6:$W$10005,$W696)&gt;0),N(U695),N(U695)+1))</f>
        <v/>
      </c>
      <c r="V696" s="19">
        <f>IF($B696="","",TEXT($B696,"0000"))</f>
        <v/>
      </c>
      <c r="W696" s="19">
        <f>IF($I696="","",IF(ISNUMBER($I696),TEXT($I696,"0"),$I696))</f>
        <v/>
      </c>
    </row>
    <row r="697">
      <c r="B697" s="25" t="n"/>
      <c r="I697" s="25" t="n"/>
      <c r="U697" s="19">
        <f>IF($V697&lt;&gt;'設定'!$C$4,N(U696),IF(OR(NOT(COUNTIF('商品マスタ'!$B$6:$B$1005,$W697)=0),COUNTIFS('①在庫を貼る'!$V$6:$V$10005,$V697,'①在庫を貼る'!$W$6:$W$10005,$W697)+COUNTIFS('月1回_1ヶ月前の在庫'!$V$6:$V$10005,$V697,'月1回_1ヶ月前の在庫'!$W$6:$W$10005,$W697)&gt;0),N(U696),N(U696)+1))</f>
        <v/>
      </c>
      <c r="V697" s="19">
        <f>IF($B697="","",TEXT($B697,"0000"))</f>
        <v/>
      </c>
      <c r="W697" s="19">
        <f>IF($I697="","",IF(ISNUMBER($I697),TEXT($I697,"0"),$I697))</f>
        <v/>
      </c>
    </row>
    <row r="698">
      <c r="B698" s="25" t="n"/>
      <c r="I698" s="25" t="n"/>
      <c r="U698" s="19">
        <f>IF($V698&lt;&gt;'設定'!$C$4,N(U697),IF(OR(NOT(COUNTIF('商品マスタ'!$B$6:$B$1005,$W698)=0),COUNTIFS('①在庫を貼る'!$V$6:$V$10005,$V698,'①在庫を貼る'!$W$6:$W$10005,$W698)+COUNTIFS('月1回_1ヶ月前の在庫'!$V$6:$V$10005,$V698,'月1回_1ヶ月前の在庫'!$W$6:$W$10005,$W698)&gt;0),N(U697),N(U697)+1))</f>
        <v/>
      </c>
      <c r="V698" s="19">
        <f>IF($B698="","",TEXT($B698,"0000"))</f>
        <v/>
      </c>
      <c r="W698" s="19">
        <f>IF($I698="","",IF(ISNUMBER($I698),TEXT($I698,"0"),$I698))</f>
        <v/>
      </c>
    </row>
    <row r="699">
      <c r="B699" s="25" t="n"/>
      <c r="I699" s="25" t="n"/>
      <c r="U699" s="19">
        <f>IF($V699&lt;&gt;'設定'!$C$4,N(U698),IF(OR(NOT(COUNTIF('商品マスタ'!$B$6:$B$1005,$W699)=0),COUNTIFS('①在庫を貼る'!$V$6:$V$10005,$V699,'①在庫を貼る'!$W$6:$W$10005,$W699)+COUNTIFS('月1回_1ヶ月前の在庫'!$V$6:$V$10005,$V699,'月1回_1ヶ月前の在庫'!$W$6:$W$10005,$W699)&gt;0),N(U698),N(U698)+1))</f>
        <v/>
      </c>
      <c r="V699" s="19">
        <f>IF($B699="","",TEXT($B699,"0000"))</f>
        <v/>
      </c>
      <c r="W699" s="19">
        <f>IF($I699="","",IF(ISNUMBER($I699),TEXT($I699,"0"),$I699))</f>
        <v/>
      </c>
    </row>
    <row r="700">
      <c r="B700" s="25" t="n"/>
      <c r="I700" s="25" t="n"/>
      <c r="U700" s="19">
        <f>IF($V700&lt;&gt;'設定'!$C$4,N(U699),IF(OR(NOT(COUNTIF('商品マスタ'!$B$6:$B$1005,$W700)=0),COUNTIFS('①在庫を貼る'!$V$6:$V$10005,$V700,'①在庫を貼る'!$W$6:$W$10005,$W700)+COUNTIFS('月1回_1ヶ月前の在庫'!$V$6:$V$10005,$V700,'月1回_1ヶ月前の在庫'!$W$6:$W$10005,$W700)&gt;0),N(U699),N(U699)+1))</f>
        <v/>
      </c>
      <c r="V700" s="19">
        <f>IF($B700="","",TEXT($B700,"0000"))</f>
        <v/>
      </c>
      <c r="W700" s="19">
        <f>IF($I700="","",IF(ISNUMBER($I700),TEXT($I700,"0"),$I700))</f>
        <v/>
      </c>
    </row>
    <row r="701">
      <c r="B701" s="25" t="n"/>
      <c r="I701" s="25" t="n"/>
      <c r="U701" s="19">
        <f>IF($V701&lt;&gt;'設定'!$C$4,N(U700),IF(OR(NOT(COUNTIF('商品マスタ'!$B$6:$B$1005,$W701)=0),COUNTIFS('①在庫を貼る'!$V$6:$V$10005,$V701,'①在庫を貼る'!$W$6:$W$10005,$W701)+COUNTIFS('月1回_1ヶ月前の在庫'!$V$6:$V$10005,$V701,'月1回_1ヶ月前の在庫'!$W$6:$W$10005,$W701)&gt;0),N(U700),N(U700)+1))</f>
        <v/>
      </c>
      <c r="V701" s="19">
        <f>IF($B701="","",TEXT($B701,"0000"))</f>
        <v/>
      </c>
      <c r="W701" s="19">
        <f>IF($I701="","",IF(ISNUMBER($I701),TEXT($I701,"0"),$I701))</f>
        <v/>
      </c>
    </row>
    <row r="702">
      <c r="B702" s="25" t="n"/>
      <c r="I702" s="25" t="n"/>
      <c r="U702" s="19">
        <f>IF($V702&lt;&gt;'設定'!$C$4,N(U701),IF(OR(NOT(COUNTIF('商品マスタ'!$B$6:$B$1005,$W702)=0),COUNTIFS('①在庫を貼る'!$V$6:$V$10005,$V702,'①在庫を貼る'!$W$6:$W$10005,$W702)+COUNTIFS('月1回_1ヶ月前の在庫'!$V$6:$V$10005,$V702,'月1回_1ヶ月前の在庫'!$W$6:$W$10005,$W702)&gt;0),N(U701),N(U701)+1))</f>
        <v/>
      </c>
      <c r="V702" s="19">
        <f>IF($B702="","",TEXT($B702,"0000"))</f>
        <v/>
      </c>
      <c r="W702" s="19">
        <f>IF($I702="","",IF(ISNUMBER($I702),TEXT($I702,"0"),$I702))</f>
        <v/>
      </c>
    </row>
    <row r="703">
      <c r="B703" s="25" t="n"/>
      <c r="I703" s="25" t="n"/>
      <c r="U703" s="19">
        <f>IF($V703&lt;&gt;'設定'!$C$4,N(U702),IF(OR(NOT(COUNTIF('商品マスタ'!$B$6:$B$1005,$W703)=0),COUNTIFS('①在庫を貼る'!$V$6:$V$10005,$V703,'①在庫を貼る'!$W$6:$W$10005,$W703)+COUNTIFS('月1回_1ヶ月前の在庫'!$V$6:$V$10005,$V703,'月1回_1ヶ月前の在庫'!$W$6:$W$10005,$W703)&gt;0),N(U702),N(U702)+1))</f>
        <v/>
      </c>
      <c r="V703" s="19">
        <f>IF($B703="","",TEXT($B703,"0000"))</f>
        <v/>
      </c>
      <c r="W703" s="19">
        <f>IF($I703="","",IF(ISNUMBER($I703),TEXT($I703,"0"),$I703))</f>
        <v/>
      </c>
    </row>
    <row r="704">
      <c r="B704" s="25" t="n"/>
      <c r="I704" s="25" t="n"/>
      <c r="U704" s="19">
        <f>IF($V704&lt;&gt;'設定'!$C$4,N(U703),IF(OR(NOT(COUNTIF('商品マスタ'!$B$6:$B$1005,$W704)=0),COUNTIFS('①在庫を貼る'!$V$6:$V$10005,$V704,'①在庫を貼る'!$W$6:$W$10005,$W704)+COUNTIFS('月1回_1ヶ月前の在庫'!$V$6:$V$10005,$V704,'月1回_1ヶ月前の在庫'!$W$6:$W$10005,$W704)&gt;0),N(U703),N(U703)+1))</f>
        <v/>
      </c>
      <c r="V704" s="19">
        <f>IF($B704="","",TEXT($B704,"0000"))</f>
        <v/>
      </c>
      <c r="W704" s="19">
        <f>IF($I704="","",IF(ISNUMBER($I704),TEXT($I704,"0"),$I704))</f>
        <v/>
      </c>
    </row>
    <row r="705">
      <c r="B705" s="25" t="n"/>
      <c r="I705" s="25" t="n"/>
      <c r="U705" s="19">
        <f>IF($V705&lt;&gt;'設定'!$C$4,N(U704),IF(OR(NOT(COUNTIF('商品マスタ'!$B$6:$B$1005,$W705)=0),COUNTIFS('①在庫を貼る'!$V$6:$V$10005,$V705,'①在庫を貼る'!$W$6:$W$10005,$W705)+COUNTIFS('月1回_1ヶ月前の在庫'!$V$6:$V$10005,$V705,'月1回_1ヶ月前の在庫'!$W$6:$W$10005,$W705)&gt;0),N(U704),N(U704)+1))</f>
        <v/>
      </c>
      <c r="V705" s="19">
        <f>IF($B705="","",TEXT($B705,"0000"))</f>
        <v/>
      </c>
      <c r="W705" s="19">
        <f>IF($I705="","",IF(ISNUMBER($I705),TEXT($I705,"0"),$I705))</f>
        <v/>
      </c>
    </row>
    <row r="706">
      <c r="B706" s="25" t="n"/>
      <c r="I706" s="25" t="n"/>
      <c r="U706" s="19">
        <f>IF($V706&lt;&gt;'設定'!$C$4,N(U705),IF(OR(NOT(COUNTIF('商品マスタ'!$B$6:$B$1005,$W706)=0),COUNTIFS('①在庫を貼る'!$V$6:$V$10005,$V706,'①在庫を貼る'!$W$6:$W$10005,$W706)+COUNTIFS('月1回_1ヶ月前の在庫'!$V$6:$V$10005,$V706,'月1回_1ヶ月前の在庫'!$W$6:$W$10005,$W706)&gt;0),N(U705),N(U705)+1))</f>
        <v/>
      </c>
      <c r="V706" s="19">
        <f>IF($B706="","",TEXT($B706,"0000"))</f>
        <v/>
      </c>
      <c r="W706" s="19">
        <f>IF($I706="","",IF(ISNUMBER($I706),TEXT($I706,"0"),$I706))</f>
        <v/>
      </c>
    </row>
    <row r="707">
      <c r="B707" s="25" t="n"/>
      <c r="I707" s="25" t="n"/>
      <c r="U707" s="19">
        <f>IF($V707&lt;&gt;'設定'!$C$4,N(U706),IF(OR(NOT(COUNTIF('商品マスタ'!$B$6:$B$1005,$W707)=0),COUNTIFS('①在庫を貼る'!$V$6:$V$10005,$V707,'①在庫を貼る'!$W$6:$W$10005,$W707)+COUNTIFS('月1回_1ヶ月前の在庫'!$V$6:$V$10005,$V707,'月1回_1ヶ月前の在庫'!$W$6:$W$10005,$W707)&gt;0),N(U706),N(U706)+1))</f>
        <v/>
      </c>
      <c r="V707" s="19">
        <f>IF($B707="","",TEXT($B707,"0000"))</f>
        <v/>
      </c>
      <c r="W707" s="19">
        <f>IF($I707="","",IF(ISNUMBER($I707),TEXT($I707,"0"),$I707))</f>
        <v/>
      </c>
    </row>
    <row r="708">
      <c r="B708" s="25" t="n"/>
      <c r="I708" s="25" t="n"/>
      <c r="U708" s="19">
        <f>IF($V708&lt;&gt;'設定'!$C$4,N(U707),IF(OR(NOT(COUNTIF('商品マスタ'!$B$6:$B$1005,$W708)=0),COUNTIFS('①在庫を貼る'!$V$6:$V$10005,$V708,'①在庫を貼る'!$W$6:$W$10005,$W708)+COUNTIFS('月1回_1ヶ月前の在庫'!$V$6:$V$10005,$V708,'月1回_1ヶ月前の在庫'!$W$6:$W$10005,$W708)&gt;0),N(U707),N(U707)+1))</f>
        <v/>
      </c>
      <c r="V708" s="19">
        <f>IF($B708="","",TEXT($B708,"0000"))</f>
        <v/>
      </c>
      <c r="W708" s="19">
        <f>IF($I708="","",IF(ISNUMBER($I708),TEXT($I708,"0"),$I708))</f>
        <v/>
      </c>
    </row>
    <row r="709">
      <c r="B709" s="25" t="n"/>
      <c r="I709" s="25" t="n"/>
      <c r="U709" s="19">
        <f>IF($V709&lt;&gt;'設定'!$C$4,N(U708),IF(OR(NOT(COUNTIF('商品マスタ'!$B$6:$B$1005,$W709)=0),COUNTIFS('①在庫を貼る'!$V$6:$V$10005,$V709,'①在庫を貼る'!$W$6:$W$10005,$W709)+COUNTIFS('月1回_1ヶ月前の在庫'!$V$6:$V$10005,$V709,'月1回_1ヶ月前の在庫'!$W$6:$W$10005,$W709)&gt;0),N(U708),N(U708)+1))</f>
        <v/>
      </c>
      <c r="V709" s="19">
        <f>IF($B709="","",TEXT($B709,"0000"))</f>
        <v/>
      </c>
      <c r="W709" s="19">
        <f>IF($I709="","",IF(ISNUMBER($I709),TEXT($I709,"0"),$I709))</f>
        <v/>
      </c>
    </row>
    <row r="710">
      <c r="B710" s="25" t="n"/>
      <c r="I710" s="25" t="n"/>
      <c r="U710" s="19">
        <f>IF($V710&lt;&gt;'設定'!$C$4,N(U709),IF(OR(NOT(COUNTIF('商品マスタ'!$B$6:$B$1005,$W710)=0),COUNTIFS('①在庫を貼る'!$V$6:$V$10005,$V710,'①在庫を貼る'!$W$6:$W$10005,$W710)+COUNTIFS('月1回_1ヶ月前の在庫'!$V$6:$V$10005,$V710,'月1回_1ヶ月前の在庫'!$W$6:$W$10005,$W710)&gt;0),N(U709),N(U709)+1))</f>
        <v/>
      </c>
      <c r="V710" s="19">
        <f>IF($B710="","",TEXT($B710,"0000"))</f>
        <v/>
      </c>
      <c r="W710" s="19">
        <f>IF($I710="","",IF(ISNUMBER($I710),TEXT($I710,"0"),$I710))</f>
        <v/>
      </c>
    </row>
    <row r="711">
      <c r="B711" s="25" t="n"/>
      <c r="I711" s="25" t="n"/>
      <c r="U711" s="19">
        <f>IF($V711&lt;&gt;'設定'!$C$4,N(U710),IF(OR(NOT(COUNTIF('商品マスタ'!$B$6:$B$1005,$W711)=0),COUNTIFS('①在庫を貼る'!$V$6:$V$10005,$V711,'①在庫を貼る'!$W$6:$W$10005,$W711)+COUNTIFS('月1回_1ヶ月前の在庫'!$V$6:$V$10005,$V711,'月1回_1ヶ月前の在庫'!$W$6:$W$10005,$W711)&gt;0),N(U710),N(U710)+1))</f>
        <v/>
      </c>
      <c r="V711" s="19">
        <f>IF($B711="","",TEXT($B711,"0000"))</f>
        <v/>
      </c>
      <c r="W711" s="19">
        <f>IF($I711="","",IF(ISNUMBER($I711),TEXT($I711,"0"),$I711))</f>
        <v/>
      </c>
    </row>
    <row r="712">
      <c r="B712" s="25" t="n"/>
      <c r="I712" s="25" t="n"/>
      <c r="U712" s="19">
        <f>IF($V712&lt;&gt;'設定'!$C$4,N(U711),IF(OR(NOT(COUNTIF('商品マスタ'!$B$6:$B$1005,$W712)=0),COUNTIFS('①在庫を貼る'!$V$6:$V$10005,$V712,'①在庫を貼る'!$W$6:$W$10005,$W712)+COUNTIFS('月1回_1ヶ月前の在庫'!$V$6:$V$10005,$V712,'月1回_1ヶ月前の在庫'!$W$6:$W$10005,$W712)&gt;0),N(U711),N(U711)+1))</f>
        <v/>
      </c>
      <c r="V712" s="19">
        <f>IF($B712="","",TEXT($B712,"0000"))</f>
        <v/>
      </c>
      <c r="W712" s="19">
        <f>IF($I712="","",IF(ISNUMBER($I712),TEXT($I712,"0"),$I712))</f>
        <v/>
      </c>
    </row>
    <row r="713">
      <c r="B713" s="25" t="n"/>
      <c r="I713" s="25" t="n"/>
      <c r="U713" s="19">
        <f>IF($V713&lt;&gt;'設定'!$C$4,N(U712),IF(OR(NOT(COUNTIF('商品マスタ'!$B$6:$B$1005,$W713)=0),COUNTIFS('①在庫を貼る'!$V$6:$V$10005,$V713,'①在庫を貼る'!$W$6:$W$10005,$W713)+COUNTIFS('月1回_1ヶ月前の在庫'!$V$6:$V$10005,$V713,'月1回_1ヶ月前の在庫'!$W$6:$W$10005,$W713)&gt;0),N(U712),N(U712)+1))</f>
        <v/>
      </c>
      <c r="V713" s="19">
        <f>IF($B713="","",TEXT($B713,"0000"))</f>
        <v/>
      </c>
      <c r="W713" s="19">
        <f>IF($I713="","",IF(ISNUMBER($I713),TEXT($I713,"0"),$I713))</f>
        <v/>
      </c>
    </row>
    <row r="714">
      <c r="B714" s="25" t="n"/>
      <c r="I714" s="25" t="n"/>
      <c r="U714" s="19">
        <f>IF($V714&lt;&gt;'設定'!$C$4,N(U713),IF(OR(NOT(COUNTIF('商品マスタ'!$B$6:$B$1005,$W714)=0),COUNTIFS('①在庫を貼る'!$V$6:$V$10005,$V714,'①在庫を貼る'!$W$6:$W$10005,$W714)+COUNTIFS('月1回_1ヶ月前の在庫'!$V$6:$V$10005,$V714,'月1回_1ヶ月前の在庫'!$W$6:$W$10005,$W714)&gt;0),N(U713),N(U713)+1))</f>
        <v/>
      </c>
      <c r="V714" s="19">
        <f>IF($B714="","",TEXT($B714,"0000"))</f>
        <v/>
      </c>
      <c r="W714" s="19">
        <f>IF($I714="","",IF(ISNUMBER($I714),TEXT($I714,"0"),$I714))</f>
        <v/>
      </c>
    </row>
    <row r="715">
      <c r="B715" s="25" t="n"/>
      <c r="I715" s="25" t="n"/>
      <c r="U715" s="19">
        <f>IF($V715&lt;&gt;'設定'!$C$4,N(U714),IF(OR(NOT(COUNTIF('商品マスタ'!$B$6:$B$1005,$W715)=0),COUNTIFS('①在庫を貼る'!$V$6:$V$10005,$V715,'①在庫を貼る'!$W$6:$W$10005,$W715)+COUNTIFS('月1回_1ヶ月前の在庫'!$V$6:$V$10005,$V715,'月1回_1ヶ月前の在庫'!$W$6:$W$10005,$W715)&gt;0),N(U714),N(U714)+1))</f>
        <v/>
      </c>
      <c r="V715" s="19">
        <f>IF($B715="","",TEXT($B715,"0000"))</f>
        <v/>
      </c>
      <c r="W715" s="19">
        <f>IF($I715="","",IF(ISNUMBER($I715),TEXT($I715,"0"),$I715))</f>
        <v/>
      </c>
    </row>
    <row r="716">
      <c r="B716" s="25" t="n"/>
      <c r="I716" s="25" t="n"/>
      <c r="U716" s="19">
        <f>IF($V716&lt;&gt;'設定'!$C$4,N(U715),IF(OR(NOT(COUNTIF('商品マスタ'!$B$6:$B$1005,$W716)=0),COUNTIFS('①在庫を貼る'!$V$6:$V$10005,$V716,'①在庫を貼る'!$W$6:$W$10005,$W716)+COUNTIFS('月1回_1ヶ月前の在庫'!$V$6:$V$10005,$V716,'月1回_1ヶ月前の在庫'!$W$6:$W$10005,$W716)&gt;0),N(U715),N(U715)+1))</f>
        <v/>
      </c>
      <c r="V716" s="19">
        <f>IF($B716="","",TEXT($B716,"0000"))</f>
        <v/>
      </c>
      <c r="W716" s="19">
        <f>IF($I716="","",IF(ISNUMBER($I716),TEXT($I716,"0"),$I716))</f>
        <v/>
      </c>
    </row>
    <row r="717">
      <c r="B717" s="25" t="n"/>
      <c r="I717" s="25" t="n"/>
      <c r="U717" s="19">
        <f>IF($V717&lt;&gt;'設定'!$C$4,N(U716),IF(OR(NOT(COUNTIF('商品マスタ'!$B$6:$B$1005,$W717)=0),COUNTIFS('①在庫を貼る'!$V$6:$V$10005,$V717,'①在庫を貼る'!$W$6:$W$10005,$W717)+COUNTIFS('月1回_1ヶ月前の在庫'!$V$6:$V$10005,$V717,'月1回_1ヶ月前の在庫'!$W$6:$W$10005,$W717)&gt;0),N(U716),N(U716)+1))</f>
        <v/>
      </c>
      <c r="V717" s="19">
        <f>IF($B717="","",TEXT($B717,"0000"))</f>
        <v/>
      </c>
      <c r="W717" s="19">
        <f>IF($I717="","",IF(ISNUMBER($I717),TEXT($I717,"0"),$I717))</f>
        <v/>
      </c>
    </row>
    <row r="718">
      <c r="B718" s="25" t="n"/>
      <c r="I718" s="25" t="n"/>
      <c r="U718" s="19">
        <f>IF($V718&lt;&gt;'設定'!$C$4,N(U717),IF(OR(NOT(COUNTIF('商品マスタ'!$B$6:$B$1005,$W718)=0),COUNTIFS('①在庫を貼る'!$V$6:$V$10005,$V718,'①在庫を貼る'!$W$6:$W$10005,$W718)+COUNTIFS('月1回_1ヶ月前の在庫'!$V$6:$V$10005,$V718,'月1回_1ヶ月前の在庫'!$W$6:$W$10005,$W718)&gt;0),N(U717),N(U717)+1))</f>
        <v/>
      </c>
      <c r="V718" s="19">
        <f>IF($B718="","",TEXT($B718,"0000"))</f>
        <v/>
      </c>
      <c r="W718" s="19">
        <f>IF($I718="","",IF(ISNUMBER($I718),TEXT($I718,"0"),$I718))</f>
        <v/>
      </c>
    </row>
    <row r="719">
      <c r="B719" s="25" t="n"/>
      <c r="I719" s="25" t="n"/>
      <c r="U719" s="19">
        <f>IF($V719&lt;&gt;'設定'!$C$4,N(U718),IF(OR(NOT(COUNTIF('商品マスタ'!$B$6:$B$1005,$W719)=0),COUNTIFS('①在庫を貼る'!$V$6:$V$10005,$V719,'①在庫を貼る'!$W$6:$W$10005,$W719)+COUNTIFS('月1回_1ヶ月前の在庫'!$V$6:$V$10005,$V719,'月1回_1ヶ月前の在庫'!$W$6:$W$10005,$W719)&gt;0),N(U718),N(U718)+1))</f>
        <v/>
      </c>
      <c r="V719" s="19">
        <f>IF($B719="","",TEXT($B719,"0000"))</f>
        <v/>
      </c>
      <c r="W719" s="19">
        <f>IF($I719="","",IF(ISNUMBER($I719),TEXT($I719,"0"),$I719))</f>
        <v/>
      </c>
    </row>
    <row r="720">
      <c r="B720" s="25" t="n"/>
      <c r="I720" s="25" t="n"/>
      <c r="U720" s="19">
        <f>IF($V720&lt;&gt;'設定'!$C$4,N(U719),IF(OR(NOT(COUNTIF('商品マスタ'!$B$6:$B$1005,$W720)=0),COUNTIFS('①在庫を貼る'!$V$6:$V$10005,$V720,'①在庫を貼る'!$W$6:$W$10005,$W720)+COUNTIFS('月1回_1ヶ月前の在庫'!$V$6:$V$10005,$V720,'月1回_1ヶ月前の在庫'!$W$6:$W$10005,$W720)&gt;0),N(U719),N(U719)+1))</f>
        <v/>
      </c>
      <c r="V720" s="19">
        <f>IF($B720="","",TEXT($B720,"0000"))</f>
        <v/>
      </c>
      <c r="W720" s="19">
        <f>IF($I720="","",IF(ISNUMBER($I720),TEXT($I720,"0"),$I720))</f>
        <v/>
      </c>
    </row>
    <row r="721">
      <c r="B721" s="25" t="n"/>
      <c r="I721" s="25" t="n"/>
      <c r="U721" s="19">
        <f>IF($V721&lt;&gt;'設定'!$C$4,N(U720),IF(OR(NOT(COUNTIF('商品マスタ'!$B$6:$B$1005,$W721)=0),COUNTIFS('①在庫を貼る'!$V$6:$V$10005,$V721,'①在庫を貼る'!$W$6:$W$10005,$W721)+COUNTIFS('月1回_1ヶ月前の在庫'!$V$6:$V$10005,$V721,'月1回_1ヶ月前の在庫'!$W$6:$W$10005,$W721)&gt;0),N(U720),N(U720)+1))</f>
        <v/>
      </c>
      <c r="V721" s="19">
        <f>IF($B721="","",TEXT($B721,"0000"))</f>
        <v/>
      </c>
      <c r="W721" s="19">
        <f>IF($I721="","",IF(ISNUMBER($I721),TEXT($I721,"0"),$I721))</f>
        <v/>
      </c>
    </row>
    <row r="722">
      <c r="B722" s="25" t="n"/>
      <c r="I722" s="25" t="n"/>
      <c r="U722" s="19">
        <f>IF($V722&lt;&gt;'設定'!$C$4,N(U721),IF(OR(NOT(COUNTIF('商品マスタ'!$B$6:$B$1005,$W722)=0),COUNTIFS('①在庫を貼る'!$V$6:$V$10005,$V722,'①在庫を貼る'!$W$6:$W$10005,$W722)+COUNTIFS('月1回_1ヶ月前の在庫'!$V$6:$V$10005,$V722,'月1回_1ヶ月前の在庫'!$W$6:$W$10005,$W722)&gt;0),N(U721),N(U721)+1))</f>
        <v/>
      </c>
      <c r="V722" s="19">
        <f>IF($B722="","",TEXT($B722,"0000"))</f>
        <v/>
      </c>
      <c r="W722" s="19">
        <f>IF($I722="","",IF(ISNUMBER($I722),TEXT($I722,"0"),$I722))</f>
        <v/>
      </c>
    </row>
    <row r="723">
      <c r="B723" s="25" t="n"/>
      <c r="I723" s="25" t="n"/>
      <c r="U723" s="19">
        <f>IF($V723&lt;&gt;'設定'!$C$4,N(U722),IF(OR(NOT(COUNTIF('商品マスタ'!$B$6:$B$1005,$W723)=0),COUNTIFS('①在庫を貼る'!$V$6:$V$10005,$V723,'①在庫を貼る'!$W$6:$W$10005,$W723)+COUNTIFS('月1回_1ヶ月前の在庫'!$V$6:$V$10005,$V723,'月1回_1ヶ月前の在庫'!$W$6:$W$10005,$W723)&gt;0),N(U722),N(U722)+1))</f>
        <v/>
      </c>
      <c r="V723" s="19">
        <f>IF($B723="","",TEXT($B723,"0000"))</f>
        <v/>
      </c>
      <c r="W723" s="19">
        <f>IF($I723="","",IF(ISNUMBER($I723),TEXT($I723,"0"),$I723))</f>
        <v/>
      </c>
    </row>
    <row r="724">
      <c r="B724" s="25" t="n"/>
      <c r="I724" s="25" t="n"/>
      <c r="U724" s="19">
        <f>IF($V724&lt;&gt;'設定'!$C$4,N(U723),IF(OR(NOT(COUNTIF('商品マスタ'!$B$6:$B$1005,$W724)=0),COUNTIFS('①在庫を貼る'!$V$6:$V$10005,$V724,'①在庫を貼る'!$W$6:$W$10005,$W724)+COUNTIFS('月1回_1ヶ月前の在庫'!$V$6:$V$10005,$V724,'月1回_1ヶ月前の在庫'!$W$6:$W$10005,$W724)&gt;0),N(U723),N(U723)+1))</f>
        <v/>
      </c>
      <c r="V724" s="19">
        <f>IF($B724="","",TEXT($B724,"0000"))</f>
        <v/>
      </c>
      <c r="W724" s="19">
        <f>IF($I724="","",IF(ISNUMBER($I724),TEXT($I724,"0"),$I724))</f>
        <v/>
      </c>
    </row>
    <row r="725">
      <c r="B725" s="25" t="n"/>
      <c r="I725" s="25" t="n"/>
      <c r="U725" s="19">
        <f>IF($V725&lt;&gt;'設定'!$C$4,N(U724),IF(OR(NOT(COUNTIF('商品マスタ'!$B$6:$B$1005,$W725)=0),COUNTIFS('①在庫を貼る'!$V$6:$V$10005,$V725,'①在庫を貼る'!$W$6:$W$10005,$W725)+COUNTIFS('月1回_1ヶ月前の在庫'!$V$6:$V$10005,$V725,'月1回_1ヶ月前の在庫'!$W$6:$W$10005,$W725)&gt;0),N(U724),N(U724)+1))</f>
        <v/>
      </c>
      <c r="V725" s="19">
        <f>IF($B725="","",TEXT($B725,"0000"))</f>
        <v/>
      </c>
      <c r="W725" s="19">
        <f>IF($I725="","",IF(ISNUMBER($I725),TEXT($I725,"0"),$I725))</f>
        <v/>
      </c>
    </row>
    <row r="726">
      <c r="B726" s="25" t="n"/>
      <c r="I726" s="25" t="n"/>
      <c r="U726" s="19">
        <f>IF($V726&lt;&gt;'設定'!$C$4,N(U725),IF(OR(NOT(COUNTIF('商品マスタ'!$B$6:$B$1005,$W726)=0),COUNTIFS('①在庫を貼る'!$V$6:$V$10005,$V726,'①在庫を貼る'!$W$6:$W$10005,$W726)+COUNTIFS('月1回_1ヶ月前の在庫'!$V$6:$V$10005,$V726,'月1回_1ヶ月前の在庫'!$W$6:$W$10005,$W726)&gt;0),N(U725),N(U725)+1))</f>
        <v/>
      </c>
      <c r="V726" s="19">
        <f>IF($B726="","",TEXT($B726,"0000"))</f>
        <v/>
      </c>
      <c r="W726" s="19">
        <f>IF($I726="","",IF(ISNUMBER($I726),TEXT($I726,"0"),$I726))</f>
        <v/>
      </c>
    </row>
    <row r="727">
      <c r="B727" s="25" t="n"/>
      <c r="I727" s="25" t="n"/>
      <c r="U727" s="19">
        <f>IF($V727&lt;&gt;'設定'!$C$4,N(U726),IF(OR(NOT(COUNTIF('商品マスタ'!$B$6:$B$1005,$W727)=0),COUNTIFS('①在庫を貼る'!$V$6:$V$10005,$V727,'①在庫を貼る'!$W$6:$W$10005,$W727)+COUNTIFS('月1回_1ヶ月前の在庫'!$V$6:$V$10005,$V727,'月1回_1ヶ月前の在庫'!$W$6:$W$10005,$W727)&gt;0),N(U726),N(U726)+1))</f>
        <v/>
      </c>
      <c r="V727" s="19">
        <f>IF($B727="","",TEXT($B727,"0000"))</f>
        <v/>
      </c>
      <c r="W727" s="19">
        <f>IF($I727="","",IF(ISNUMBER($I727),TEXT($I727,"0"),$I727))</f>
        <v/>
      </c>
    </row>
    <row r="728">
      <c r="B728" s="25" t="n"/>
      <c r="I728" s="25" t="n"/>
      <c r="U728" s="19">
        <f>IF($V728&lt;&gt;'設定'!$C$4,N(U727),IF(OR(NOT(COUNTIF('商品マスタ'!$B$6:$B$1005,$W728)=0),COUNTIFS('①在庫を貼る'!$V$6:$V$10005,$V728,'①在庫を貼る'!$W$6:$W$10005,$W728)+COUNTIFS('月1回_1ヶ月前の在庫'!$V$6:$V$10005,$V728,'月1回_1ヶ月前の在庫'!$W$6:$W$10005,$W728)&gt;0),N(U727),N(U727)+1))</f>
        <v/>
      </c>
      <c r="V728" s="19">
        <f>IF($B728="","",TEXT($B728,"0000"))</f>
        <v/>
      </c>
      <c r="W728" s="19">
        <f>IF($I728="","",IF(ISNUMBER($I728),TEXT($I728,"0"),$I728))</f>
        <v/>
      </c>
    </row>
    <row r="729">
      <c r="B729" s="25" t="n"/>
      <c r="I729" s="25" t="n"/>
      <c r="U729" s="19">
        <f>IF($V729&lt;&gt;'設定'!$C$4,N(U728),IF(OR(NOT(COUNTIF('商品マスタ'!$B$6:$B$1005,$W729)=0),COUNTIFS('①在庫を貼る'!$V$6:$V$10005,$V729,'①在庫を貼る'!$W$6:$W$10005,$W729)+COUNTIFS('月1回_1ヶ月前の在庫'!$V$6:$V$10005,$V729,'月1回_1ヶ月前の在庫'!$W$6:$W$10005,$W729)&gt;0),N(U728),N(U728)+1))</f>
        <v/>
      </c>
      <c r="V729" s="19">
        <f>IF($B729="","",TEXT($B729,"0000"))</f>
        <v/>
      </c>
      <c r="W729" s="19">
        <f>IF($I729="","",IF(ISNUMBER($I729),TEXT($I729,"0"),$I729))</f>
        <v/>
      </c>
    </row>
    <row r="730">
      <c r="B730" s="25" t="n"/>
      <c r="I730" s="25" t="n"/>
      <c r="U730" s="19">
        <f>IF($V730&lt;&gt;'設定'!$C$4,N(U729),IF(OR(NOT(COUNTIF('商品マスタ'!$B$6:$B$1005,$W730)=0),COUNTIFS('①在庫を貼る'!$V$6:$V$10005,$V730,'①在庫を貼る'!$W$6:$W$10005,$W730)+COUNTIFS('月1回_1ヶ月前の在庫'!$V$6:$V$10005,$V730,'月1回_1ヶ月前の在庫'!$W$6:$W$10005,$W730)&gt;0),N(U729),N(U729)+1))</f>
        <v/>
      </c>
      <c r="V730" s="19">
        <f>IF($B730="","",TEXT($B730,"0000"))</f>
        <v/>
      </c>
      <c r="W730" s="19">
        <f>IF($I730="","",IF(ISNUMBER($I730),TEXT($I730,"0"),$I730))</f>
        <v/>
      </c>
    </row>
    <row r="731">
      <c r="B731" s="25" t="n"/>
      <c r="I731" s="25" t="n"/>
      <c r="U731" s="19">
        <f>IF($V731&lt;&gt;'設定'!$C$4,N(U730),IF(OR(NOT(COUNTIF('商品マスタ'!$B$6:$B$1005,$W731)=0),COUNTIFS('①在庫を貼る'!$V$6:$V$10005,$V731,'①在庫を貼る'!$W$6:$W$10005,$W731)+COUNTIFS('月1回_1ヶ月前の在庫'!$V$6:$V$10005,$V731,'月1回_1ヶ月前の在庫'!$W$6:$W$10005,$W731)&gt;0),N(U730),N(U730)+1))</f>
        <v/>
      </c>
      <c r="V731" s="19">
        <f>IF($B731="","",TEXT($B731,"0000"))</f>
        <v/>
      </c>
      <c r="W731" s="19">
        <f>IF($I731="","",IF(ISNUMBER($I731),TEXT($I731,"0"),$I731))</f>
        <v/>
      </c>
    </row>
    <row r="732">
      <c r="B732" s="25" t="n"/>
      <c r="I732" s="25" t="n"/>
      <c r="U732" s="19">
        <f>IF($V732&lt;&gt;'設定'!$C$4,N(U731),IF(OR(NOT(COUNTIF('商品マスタ'!$B$6:$B$1005,$W732)=0),COUNTIFS('①在庫を貼る'!$V$6:$V$10005,$V732,'①在庫を貼る'!$W$6:$W$10005,$W732)+COUNTIFS('月1回_1ヶ月前の在庫'!$V$6:$V$10005,$V732,'月1回_1ヶ月前の在庫'!$W$6:$W$10005,$W732)&gt;0),N(U731),N(U731)+1))</f>
        <v/>
      </c>
      <c r="V732" s="19">
        <f>IF($B732="","",TEXT($B732,"0000"))</f>
        <v/>
      </c>
      <c r="W732" s="19">
        <f>IF($I732="","",IF(ISNUMBER($I732),TEXT($I732,"0"),$I732))</f>
        <v/>
      </c>
    </row>
    <row r="733">
      <c r="B733" s="25" t="n"/>
      <c r="I733" s="25" t="n"/>
      <c r="U733" s="19">
        <f>IF($V733&lt;&gt;'設定'!$C$4,N(U732),IF(OR(NOT(COUNTIF('商品マスタ'!$B$6:$B$1005,$W733)=0),COUNTIFS('①在庫を貼る'!$V$6:$V$10005,$V733,'①在庫を貼る'!$W$6:$W$10005,$W733)+COUNTIFS('月1回_1ヶ月前の在庫'!$V$6:$V$10005,$V733,'月1回_1ヶ月前の在庫'!$W$6:$W$10005,$W733)&gt;0),N(U732),N(U732)+1))</f>
        <v/>
      </c>
      <c r="V733" s="19">
        <f>IF($B733="","",TEXT($B733,"0000"))</f>
        <v/>
      </c>
      <c r="W733" s="19">
        <f>IF($I733="","",IF(ISNUMBER($I733),TEXT($I733,"0"),$I733))</f>
        <v/>
      </c>
    </row>
    <row r="734">
      <c r="B734" s="25" t="n"/>
      <c r="I734" s="25" t="n"/>
      <c r="U734" s="19">
        <f>IF($V734&lt;&gt;'設定'!$C$4,N(U733),IF(OR(NOT(COUNTIF('商品マスタ'!$B$6:$B$1005,$W734)=0),COUNTIFS('①在庫を貼る'!$V$6:$V$10005,$V734,'①在庫を貼る'!$W$6:$W$10005,$W734)+COUNTIFS('月1回_1ヶ月前の在庫'!$V$6:$V$10005,$V734,'月1回_1ヶ月前の在庫'!$W$6:$W$10005,$W734)&gt;0),N(U733),N(U733)+1))</f>
        <v/>
      </c>
      <c r="V734" s="19">
        <f>IF($B734="","",TEXT($B734,"0000"))</f>
        <v/>
      </c>
      <c r="W734" s="19">
        <f>IF($I734="","",IF(ISNUMBER($I734),TEXT($I734,"0"),$I734))</f>
        <v/>
      </c>
    </row>
    <row r="735">
      <c r="B735" s="25" t="n"/>
      <c r="I735" s="25" t="n"/>
      <c r="U735" s="19">
        <f>IF($V735&lt;&gt;'設定'!$C$4,N(U734),IF(OR(NOT(COUNTIF('商品マスタ'!$B$6:$B$1005,$W735)=0),COUNTIFS('①在庫を貼る'!$V$6:$V$10005,$V735,'①在庫を貼る'!$W$6:$W$10005,$W735)+COUNTIFS('月1回_1ヶ月前の在庫'!$V$6:$V$10005,$V735,'月1回_1ヶ月前の在庫'!$W$6:$W$10005,$W735)&gt;0),N(U734),N(U734)+1))</f>
        <v/>
      </c>
      <c r="V735" s="19">
        <f>IF($B735="","",TEXT($B735,"0000"))</f>
        <v/>
      </c>
      <c r="W735" s="19">
        <f>IF($I735="","",IF(ISNUMBER($I735),TEXT($I735,"0"),$I735))</f>
        <v/>
      </c>
    </row>
    <row r="736">
      <c r="B736" s="25" t="n"/>
      <c r="I736" s="25" t="n"/>
      <c r="U736" s="19">
        <f>IF($V736&lt;&gt;'設定'!$C$4,N(U735),IF(OR(NOT(COUNTIF('商品マスタ'!$B$6:$B$1005,$W736)=0),COUNTIFS('①在庫を貼る'!$V$6:$V$10005,$V736,'①在庫を貼る'!$W$6:$W$10005,$W736)+COUNTIFS('月1回_1ヶ月前の在庫'!$V$6:$V$10005,$V736,'月1回_1ヶ月前の在庫'!$W$6:$W$10005,$W736)&gt;0),N(U735),N(U735)+1))</f>
        <v/>
      </c>
      <c r="V736" s="19">
        <f>IF($B736="","",TEXT($B736,"0000"))</f>
        <v/>
      </c>
      <c r="W736" s="19">
        <f>IF($I736="","",IF(ISNUMBER($I736),TEXT($I736,"0"),$I736))</f>
        <v/>
      </c>
    </row>
    <row r="737">
      <c r="B737" s="25" t="n"/>
      <c r="I737" s="25" t="n"/>
      <c r="U737" s="19">
        <f>IF($V737&lt;&gt;'設定'!$C$4,N(U736),IF(OR(NOT(COUNTIF('商品マスタ'!$B$6:$B$1005,$W737)=0),COUNTIFS('①在庫を貼る'!$V$6:$V$10005,$V737,'①在庫を貼る'!$W$6:$W$10005,$W737)+COUNTIFS('月1回_1ヶ月前の在庫'!$V$6:$V$10005,$V737,'月1回_1ヶ月前の在庫'!$W$6:$W$10005,$W737)&gt;0),N(U736),N(U736)+1))</f>
        <v/>
      </c>
      <c r="V737" s="19">
        <f>IF($B737="","",TEXT($B737,"0000"))</f>
        <v/>
      </c>
      <c r="W737" s="19">
        <f>IF($I737="","",IF(ISNUMBER($I737),TEXT($I737,"0"),$I737))</f>
        <v/>
      </c>
    </row>
    <row r="738">
      <c r="B738" s="25" t="n"/>
      <c r="I738" s="25" t="n"/>
      <c r="U738" s="19">
        <f>IF($V738&lt;&gt;'設定'!$C$4,N(U737),IF(OR(NOT(COUNTIF('商品マスタ'!$B$6:$B$1005,$W738)=0),COUNTIFS('①在庫を貼る'!$V$6:$V$10005,$V738,'①在庫を貼る'!$W$6:$W$10005,$W738)+COUNTIFS('月1回_1ヶ月前の在庫'!$V$6:$V$10005,$V738,'月1回_1ヶ月前の在庫'!$W$6:$W$10005,$W738)&gt;0),N(U737),N(U737)+1))</f>
        <v/>
      </c>
      <c r="V738" s="19">
        <f>IF($B738="","",TEXT($B738,"0000"))</f>
        <v/>
      </c>
      <c r="W738" s="19">
        <f>IF($I738="","",IF(ISNUMBER($I738),TEXT($I738,"0"),$I738))</f>
        <v/>
      </c>
    </row>
    <row r="739">
      <c r="B739" s="25" t="n"/>
      <c r="I739" s="25" t="n"/>
      <c r="U739" s="19">
        <f>IF($V739&lt;&gt;'設定'!$C$4,N(U738),IF(OR(NOT(COUNTIF('商品マスタ'!$B$6:$B$1005,$W739)=0),COUNTIFS('①在庫を貼る'!$V$6:$V$10005,$V739,'①在庫を貼る'!$W$6:$W$10005,$W739)+COUNTIFS('月1回_1ヶ月前の在庫'!$V$6:$V$10005,$V739,'月1回_1ヶ月前の在庫'!$W$6:$W$10005,$W739)&gt;0),N(U738),N(U738)+1))</f>
        <v/>
      </c>
      <c r="V739" s="19">
        <f>IF($B739="","",TEXT($B739,"0000"))</f>
        <v/>
      </c>
      <c r="W739" s="19">
        <f>IF($I739="","",IF(ISNUMBER($I739),TEXT($I739,"0"),$I739))</f>
        <v/>
      </c>
    </row>
    <row r="740">
      <c r="B740" s="25" t="n"/>
      <c r="I740" s="25" t="n"/>
      <c r="U740" s="19">
        <f>IF($V740&lt;&gt;'設定'!$C$4,N(U739),IF(OR(NOT(COUNTIF('商品マスタ'!$B$6:$B$1005,$W740)=0),COUNTIFS('①在庫を貼る'!$V$6:$V$10005,$V740,'①在庫を貼る'!$W$6:$W$10005,$W740)+COUNTIFS('月1回_1ヶ月前の在庫'!$V$6:$V$10005,$V740,'月1回_1ヶ月前の在庫'!$W$6:$W$10005,$W740)&gt;0),N(U739),N(U739)+1))</f>
        <v/>
      </c>
      <c r="V740" s="19">
        <f>IF($B740="","",TEXT($B740,"0000"))</f>
        <v/>
      </c>
      <c r="W740" s="19">
        <f>IF($I740="","",IF(ISNUMBER($I740),TEXT($I740,"0"),$I740))</f>
        <v/>
      </c>
    </row>
    <row r="741">
      <c r="B741" s="25" t="n"/>
      <c r="I741" s="25" t="n"/>
      <c r="U741" s="19">
        <f>IF($V741&lt;&gt;'設定'!$C$4,N(U740),IF(OR(NOT(COUNTIF('商品マスタ'!$B$6:$B$1005,$W741)=0),COUNTIFS('①在庫を貼る'!$V$6:$V$10005,$V741,'①在庫を貼る'!$W$6:$W$10005,$W741)+COUNTIFS('月1回_1ヶ月前の在庫'!$V$6:$V$10005,$V741,'月1回_1ヶ月前の在庫'!$W$6:$W$10005,$W741)&gt;0),N(U740),N(U740)+1))</f>
        <v/>
      </c>
      <c r="V741" s="19">
        <f>IF($B741="","",TEXT($B741,"0000"))</f>
        <v/>
      </c>
      <c r="W741" s="19">
        <f>IF($I741="","",IF(ISNUMBER($I741),TEXT($I741,"0"),$I741))</f>
        <v/>
      </c>
    </row>
    <row r="742">
      <c r="B742" s="25" t="n"/>
      <c r="I742" s="25" t="n"/>
      <c r="U742" s="19">
        <f>IF($V742&lt;&gt;'設定'!$C$4,N(U741),IF(OR(NOT(COUNTIF('商品マスタ'!$B$6:$B$1005,$W742)=0),COUNTIFS('①在庫を貼る'!$V$6:$V$10005,$V742,'①在庫を貼る'!$W$6:$W$10005,$W742)+COUNTIFS('月1回_1ヶ月前の在庫'!$V$6:$V$10005,$V742,'月1回_1ヶ月前の在庫'!$W$6:$W$10005,$W742)&gt;0),N(U741),N(U741)+1))</f>
        <v/>
      </c>
      <c r="V742" s="19">
        <f>IF($B742="","",TEXT($B742,"0000"))</f>
        <v/>
      </c>
      <c r="W742" s="19">
        <f>IF($I742="","",IF(ISNUMBER($I742),TEXT($I742,"0"),$I742))</f>
        <v/>
      </c>
    </row>
    <row r="743">
      <c r="B743" s="25" t="n"/>
      <c r="I743" s="25" t="n"/>
      <c r="U743" s="19">
        <f>IF($V743&lt;&gt;'設定'!$C$4,N(U742),IF(OR(NOT(COUNTIF('商品マスタ'!$B$6:$B$1005,$W743)=0),COUNTIFS('①在庫を貼る'!$V$6:$V$10005,$V743,'①在庫を貼る'!$W$6:$W$10005,$W743)+COUNTIFS('月1回_1ヶ月前の在庫'!$V$6:$V$10005,$V743,'月1回_1ヶ月前の在庫'!$W$6:$W$10005,$W743)&gt;0),N(U742),N(U742)+1))</f>
        <v/>
      </c>
      <c r="V743" s="19">
        <f>IF($B743="","",TEXT($B743,"0000"))</f>
        <v/>
      </c>
      <c r="W743" s="19">
        <f>IF($I743="","",IF(ISNUMBER($I743),TEXT($I743,"0"),$I743))</f>
        <v/>
      </c>
    </row>
    <row r="744">
      <c r="B744" s="25" t="n"/>
      <c r="I744" s="25" t="n"/>
      <c r="U744" s="19">
        <f>IF($V744&lt;&gt;'設定'!$C$4,N(U743),IF(OR(NOT(COUNTIF('商品マスタ'!$B$6:$B$1005,$W744)=0),COUNTIFS('①在庫を貼る'!$V$6:$V$10005,$V744,'①在庫を貼る'!$W$6:$W$10005,$W744)+COUNTIFS('月1回_1ヶ月前の在庫'!$V$6:$V$10005,$V744,'月1回_1ヶ月前の在庫'!$W$6:$W$10005,$W744)&gt;0),N(U743),N(U743)+1))</f>
        <v/>
      </c>
      <c r="V744" s="19">
        <f>IF($B744="","",TEXT($B744,"0000"))</f>
        <v/>
      </c>
      <c r="W744" s="19">
        <f>IF($I744="","",IF(ISNUMBER($I744),TEXT($I744,"0"),$I744))</f>
        <v/>
      </c>
    </row>
    <row r="745">
      <c r="B745" s="25" t="n"/>
      <c r="I745" s="25" t="n"/>
      <c r="U745" s="19">
        <f>IF($V745&lt;&gt;'設定'!$C$4,N(U744),IF(OR(NOT(COUNTIF('商品マスタ'!$B$6:$B$1005,$W745)=0),COUNTIFS('①在庫を貼る'!$V$6:$V$10005,$V745,'①在庫を貼る'!$W$6:$W$10005,$W745)+COUNTIFS('月1回_1ヶ月前の在庫'!$V$6:$V$10005,$V745,'月1回_1ヶ月前の在庫'!$W$6:$W$10005,$W745)&gt;0),N(U744),N(U744)+1))</f>
        <v/>
      </c>
      <c r="V745" s="19">
        <f>IF($B745="","",TEXT($B745,"0000"))</f>
        <v/>
      </c>
      <c r="W745" s="19">
        <f>IF($I745="","",IF(ISNUMBER($I745),TEXT($I745,"0"),$I745))</f>
        <v/>
      </c>
    </row>
    <row r="746">
      <c r="B746" s="25" t="n"/>
      <c r="I746" s="25" t="n"/>
      <c r="U746" s="19">
        <f>IF($V746&lt;&gt;'設定'!$C$4,N(U745),IF(OR(NOT(COUNTIF('商品マスタ'!$B$6:$B$1005,$W746)=0),COUNTIFS('①在庫を貼る'!$V$6:$V$10005,$V746,'①在庫を貼る'!$W$6:$W$10005,$W746)+COUNTIFS('月1回_1ヶ月前の在庫'!$V$6:$V$10005,$V746,'月1回_1ヶ月前の在庫'!$W$6:$W$10005,$W746)&gt;0),N(U745),N(U745)+1))</f>
        <v/>
      </c>
      <c r="V746" s="19">
        <f>IF($B746="","",TEXT($B746,"0000"))</f>
        <v/>
      </c>
      <c r="W746" s="19">
        <f>IF($I746="","",IF(ISNUMBER($I746),TEXT($I746,"0"),$I746))</f>
        <v/>
      </c>
    </row>
    <row r="747">
      <c r="B747" s="25" t="n"/>
      <c r="I747" s="25" t="n"/>
      <c r="U747" s="19">
        <f>IF($V747&lt;&gt;'設定'!$C$4,N(U746),IF(OR(NOT(COUNTIF('商品マスタ'!$B$6:$B$1005,$W747)=0),COUNTIFS('①在庫を貼る'!$V$6:$V$10005,$V747,'①在庫を貼る'!$W$6:$W$10005,$W747)+COUNTIFS('月1回_1ヶ月前の在庫'!$V$6:$V$10005,$V747,'月1回_1ヶ月前の在庫'!$W$6:$W$10005,$W747)&gt;0),N(U746),N(U746)+1))</f>
        <v/>
      </c>
      <c r="V747" s="19">
        <f>IF($B747="","",TEXT($B747,"0000"))</f>
        <v/>
      </c>
      <c r="W747" s="19">
        <f>IF($I747="","",IF(ISNUMBER($I747),TEXT($I747,"0"),$I747))</f>
        <v/>
      </c>
    </row>
    <row r="748">
      <c r="B748" s="25" t="n"/>
      <c r="I748" s="25" t="n"/>
      <c r="U748" s="19">
        <f>IF($V748&lt;&gt;'設定'!$C$4,N(U747),IF(OR(NOT(COUNTIF('商品マスタ'!$B$6:$B$1005,$W748)=0),COUNTIFS('①在庫を貼る'!$V$6:$V$10005,$V748,'①在庫を貼る'!$W$6:$W$10005,$W748)+COUNTIFS('月1回_1ヶ月前の在庫'!$V$6:$V$10005,$V748,'月1回_1ヶ月前の在庫'!$W$6:$W$10005,$W748)&gt;0),N(U747),N(U747)+1))</f>
        <v/>
      </c>
      <c r="V748" s="19">
        <f>IF($B748="","",TEXT($B748,"0000"))</f>
        <v/>
      </c>
      <c r="W748" s="19">
        <f>IF($I748="","",IF(ISNUMBER($I748),TEXT($I748,"0"),$I748))</f>
        <v/>
      </c>
    </row>
    <row r="749">
      <c r="B749" s="25" t="n"/>
      <c r="I749" s="25" t="n"/>
      <c r="U749" s="19">
        <f>IF($V749&lt;&gt;'設定'!$C$4,N(U748),IF(OR(NOT(COUNTIF('商品マスタ'!$B$6:$B$1005,$W749)=0),COUNTIFS('①在庫を貼る'!$V$6:$V$10005,$V749,'①在庫を貼る'!$W$6:$W$10005,$W749)+COUNTIFS('月1回_1ヶ月前の在庫'!$V$6:$V$10005,$V749,'月1回_1ヶ月前の在庫'!$W$6:$W$10005,$W749)&gt;0),N(U748),N(U748)+1))</f>
        <v/>
      </c>
      <c r="V749" s="19">
        <f>IF($B749="","",TEXT($B749,"0000"))</f>
        <v/>
      </c>
      <c r="W749" s="19">
        <f>IF($I749="","",IF(ISNUMBER($I749),TEXT($I749,"0"),$I749))</f>
        <v/>
      </c>
    </row>
    <row r="750">
      <c r="B750" s="25" t="n"/>
      <c r="I750" s="25" t="n"/>
      <c r="U750" s="19">
        <f>IF($V750&lt;&gt;'設定'!$C$4,N(U749),IF(OR(NOT(COUNTIF('商品マスタ'!$B$6:$B$1005,$W750)=0),COUNTIFS('①在庫を貼る'!$V$6:$V$10005,$V750,'①在庫を貼る'!$W$6:$W$10005,$W750)+COUNTIFS('月1回_1ヶ月前の在庫'!$V$6:$V$10005,$V750,'月1回_1ヶ月前の在庫'!$W$6:$W$10005,$W750)&gt;0),N(U749),N(U749)+1))</f>
        <v/>
      </c>
      <c r="V750" s="19">
        <f>IF($B750="","",TEXT($B750,"0000"))</f>
        <v/>
      </c>
      <c r="W750" s="19">
        <f>IF($I750="","",IF(ISNUMBER($I750),TEXT($I750,"0"),$I750))</f>
        <v/>
      </c>
    </row>
    <row r="751">
      <c r="B751" s="25" t="n"/>
      <c r="I751" s="25" t="n"/>
      <c r="U751" s="19">
        <f>IF($V751&lt;&gt;'設定'!$C$4,N(U750),IF(OR(NOT(COUNTIF('商品マスタ'!$B$6:$B$1005,$W751)=0),COUNTIFS('①在庫を貼る'!$V$6:$V$10005,$V751,'①在庫を貼る'!$W$6:$W$10005,$W751)+COUNTIFS('月1回_1ヶ月前の在庫'!$V$6:$V$10005,$V751,'月1回_1ヶ月前の在庫'!$W$6:$W$10005,$W751)&gt;0),N(U750),N(U750)+1))</f>
        <v/>
      </c>
      <c r="V751" s="19">
        <f>IF($B751="","",TEXT($B751,"0000"))</f>
        <v/>
      </c>
      <c r="W751" s="19">
        <f>IF($I751="","",IF(ISNUMBER($I751),TEXT($I751,"0"),$I751))</f>
        <v/>
      </c>
    </row>
    <row r="752">
      <c r="B752" s="25" t="n"/>
      <c r="I752" s="25" t="n"/>
      <c r="U752" s="19">
        <f>IF($V752&lt;&gt;'設定'!$C$4,N(U751),IF(OR(NOT(COUNTIF('商品マスタ'!$B$6:$B$1005,$W752)=0),COUNTIFS('①在庫を貼る'!$V$6:$V$10005,$V752,'①在庫を貼る'!$W$6:$W$10005,$W752)+COUNTIFS('月1回_1ヶ月前の在庫'!$V$6:$V$10005,$V752,'月1回_1ヶ月前の在庫'!$W$6:$W$10005,$W752)&gt;0),N(U751),N(U751)+1))</f>
        <v/>
      </c>
      <c r="V752" s="19">
        <f>IF($B752="","",TEXT($B752,"0000"))</f>
        <v/>
      </c>
      <c r="W752" s="19">
        <f>IF($I752="","",IF(ISNUMBER($I752),TEXT($I752,"0"),$I752))</f>
        <v/>
      </c>
    </row>
    <row r="753">
      <c r="B753" s="25" t="n"/>
      <c r="I753" s="25" t="n"/>
      <c r="U753" s="19">
        <f>IF($V753&lt;&gt;'設定'!$C$4,N(U752),IF(OR(NOT(COUNTIF('商品マスタ'!$B$6:$B$1005,$W753)=0),COUNTIFS('①在庫を貼る'!$V$6:$V$10005,$V753,'①在庫を貼る'!$W$6:$W$10005,$W753)+COUNTIFS('月1回_1ヶ月前の在庫'!$V$6:$V$10005,$V753,'月1回_1ヶ月前の在庫'!$W$6:$W$10005,$W753)&gt;0),N(U752),N(U752)+1))</f>
        <v/>
      </c>
      <c r="V753" s="19">
        <f>IF($B753="","",TEXT($B753,"0000"))</f>
        <v/>
      </c>
      <c r="W753" s="19">
        <f>IF($I753="","",IF(ISNUMBER($I753),TEXT($I753,"0"),$I753))</f>
        <v/>
      </c>
    </row>
    <row r="754">
      <c r="B754" s="25" t="n"/>
      <c r="I754" s="25" t="n"/>
      <c r="U754" s="19">
        <f>IF($V754&lt;&gt;'設定'!$C$4,N(U753),IF(OR(NOT(COUNTIF('商品マスタ'!$B$6:$B$1005,$W754)=0),COUNTIFS('①在庫を貼る'!$V$6:$V$10005,$V754,'①在庫を貼る'!$W$6:$W$10005,$W754)+COUNTIFS('月1回_1ヶ月前の在庫'!$V$6:$V$10005,$V754,'月1回_1ヶ月前の在庫'!$W$6:$W$10005,$W754)&gt;0),N(U753),N(U753)+1))</f>
        <v/>
      </c>
      <c r="V754" s="19">
        <f>IF($B754="","",TEXT($B754,"0000"))</f>
        <v/>
      </c>
      <c r="W754" s="19">
        <f>IF($I754="","",IF(ISNUMBER($I754),TEXT($I754,"0"),$I754))</f>
        <v/>
      </c>
    </row>
    <row r="755">
      <c r="B755" s="25" t="n"/>
      <c r="I755" s="25" t="n"/>
      <c r="U755" s="19">
        <f>IF($V755&lt;&gt;'設定'!$C$4,N(U754),IF(OR(NOT(COUNTIF('商品マスタ'!$B$6:$B$1005,$W755)=0),COUNTIFS('①在庫を貼る'!$V$6:$V$10005,$V755,'①在庫を貼る'!$W$6:$W$10005,$W755)+COUNTIFS('月1回_1ヶ月前の在庫'!$V$6:$V$10005,$V755,'月1回_1ヶ月前の在庫'!$W$6:$W$10005,$W755)&gt;0),N(U754),N(U754)+1))</f>
        <v/>
      </c>
      <c r="V755" s="19">
        <f>IF($B755="","",TEXT($B755,"0000"))</f>
        <v/>
      </c>
      <c r="W755" s="19">
        <f>IF($I755="","",IF(ISNUMBER($I755),TEXT($I755,"0"),$I755))</f>
        <v/>
      </c>
    </row>
    <row r="756">
      <c r="B756" s="25" t="n"/>
      <c r="I756" s="25" t="n"/>
      <c r="U756" s="19">
        <f>IF($V756&lt;&gt;'設定'!$C$4,N(U755),IF(OR(NOT(COUNTIF('商品マスタ'!$B$6:$B$1005,$W756)=0),COUNTIFS('①在庫を貼る'!$V$6:$V$10005,$V756,'①在庫を貼る'!$W$6:$W$10005,$W756)+COUNTIFS('月1回_1ヶ月前の在庫'!$V$6:$V$10005,$V756,'月1回_1ヶ月前の在庫'!$W$6:$W$10005,$W756)&gt;0),N(U755),N(U755)+1))</f>
        <v/>
      </c>
      <c r="V756" s="19">
        <f>IF($B756="","",TEXT($B756,"0000"))</f>
        <v/>
      </c>
      <c r="W756" s="19">
        <f>IF($I756="","",IF(ISNUMBER($I756),TEXT($I756,"0"),$I756))</f>
        <v/>
      </c>
    </row>
    <row r="757">
      <c r="B757" s="25" t="n"/>
      <c r="I757" s="25" t="n"/>
      <c r="U757" s="19">
        <f>IF($V757&lt;&gt;'設定'!$C$4,N(U756),IF(OR(NOT(COUNTIF('商品マスタ'!$B$6:$B$1005,$W757)=0),COUNTIFS('①在庫を貼る'!$V$6:$V$10005,$V757,'①在庫を貼る'!$W$6:$W$10005,$W757)+COUNTIFS('月1回_1ヶ月前の在庫'!$V$6:$V$10005,$V757,'月1回_1ヶ月前の在庫'!$W$6:$W$10005,$W757)&gt;0),N(U756),N(U756)+1))</f>
        <v/>
      </c>
      <c r="V757" s="19">
        <f>IF($B757="","",TEXT($B757,"0000"))</f>
        <v/>
      </c>
      <c r="W757" s="19">
        <f>IF($I757="","",IF(ISNUMBER($I757),TEXT($I757,"0"),$I757))</f>
        <v/>
      </c>
    </row>
    <row r="758">
      <c r="B758" s="25" t="n"/>
      <c r="I758" s="25" t="n"/>
      <c r="U758" s="19">
        <f>IF($V758&lt;&gt;'設定'!$C$4,N(U757),IF(OR(NOT(COUNTIF('商品マスタ'!$B$6:$B$1005,$W758)=0),COUNTIFS('①在庫を貼る'!$V$6:$V$10005,$V758,'①在庫を貼る'!$W$6:$W$10005,$W758)+COUNTIFS('月1回_1ヶ月前の在庫'!$V$6:$V$10005,$V758,'月1回_1ヶ月前の在庫'!$W$6:$W$10005,$W758)&gt;0),N(U757),N(U757)+1))</f>
        <v/>
      </c>
      <c r="V758" s="19">
        <f>IF($B758="","",TEXT($B758,"0000"))</f>
        <v/>
      </c>
      <c r="W758" s="19">
        <f>IF($I758="","",IF(ISNUMBER($I758),TEXT($I758,"0"),$I758))</f>
        <v/>
      </c>
    </row>
    <row r="759">
      <c r="B759" s="25" t="n"/>
      <c r="I759" s="25" t="n"/>
      <c r="U759" s="19">
        <f>IF($V759&lt;&gt;'設定'!$C$4,N(U758),IF(OR(NOT(COUNTIF('商品マスタ'!$B$6:$B$1005,$W759)=0),COUNTIFS('①在庫を貼る'!$V$6:$V$10005,$V759,'①在庫を貼る'!$W$6:$W$10005,$W759)+COUNTIFS('月1回_1ヶ月前の在庫'!$V$6:$V$10005,$V759,'月1回_1ヶ月前の在庫'!$W$6:$W$10005,$W759)&gt;0),N(U758),N(U758)+1))</f>
        <v/>
      </c>
      <c r="V759" s="19">
        <f>IF($B759="","",TEXT($B759,"0000"))</f>
        <v/>
      </c>
      <c r="W759" s="19">
        <f>IF($I759="","",IF(ISNUMBER($I759),TEXT($I759,"0"),$I759))</f>
        <v/>
      </c>
    </row>
    <row r="760">
      <c r="B760" s="25" t="n"/>
      <c r="I760" s="25" t="n"/>
      <c r="U760" s="19">
        <f>IF($V760&lt;&gt;'設定'!$C$4,N(U759),IF(OR(NOT(COUNTIF('商品マスタ'!$B$6:$B$1005,$W760)=0),COUNTIFS('①在庫を貼る'!$V$6:$V$10005,$V760,'①在庫を貼る'!$W$6:$W$10005,$W760)+COUNTIFS('月1回_1ヶ月前の在庫'!$V$6:$V$10005,$V760,'月1回_1ヶ月前の在庫'!$W$6:$W$10005,$W760)&gt;0),N(U759),N(U759)+1))</f>
        <v/>
      </c>
      <c r="V760" s="19">
        <f>IF($B760="","",TEXT($B760,"0000"))</f>
        <v/>
      </c>
      <c r="W760" s="19">
        <f>IF($I760="","",IF(ISNUMBER($I760),TEXT($I760,"0"),$I760))</f>
        <v/>
      </c>
    </row>
    <row r="761">
      <c r="B761" s="25" t="n"/>
      <c r="I761" s="25" t="n"/>
      <c r="U761" s="19">
        <f>IF($V761&lt;&gt;'設定'!$C$4,N(U760),IF(OR(NOT(COUNTIF('商品マスタ'!$B$6:$B$1005,$W761)=0),COUNTIFS('①在庫を貼る'!$V$6:$V$10005,$V761,'①在庫を貼る'!$W$6:$W$10005,$W761)+COUNTIFS('月1回_1ヶ月前の在庫'!$V$6:$V$10005,$V761,'月1回_1ヶ月前の在庫'!$W$6:$W$10005,$W761)&gt;0),N(U760),N(U760)+1))</f>
        <v/>
      </c>
      <c r="V761" s="19">
        <f>IF($B761="","",TEXT($B761,"0000"))</f>
        <v/>
      </c>
      <c r="W761" s="19">
        <f>IF($I761="","",IF(ISNUMBER($I761),TEXT($I761,"0"),$I761))</f>
        <v/>
      </c>
    </row>
    <row r="762">
      <c r="B762" s="25" t="n"/>
      <c r="I762" s="25" t="n"/>
      <c r="U762" s="19">
        <f>IF($V762&lt;&gt;'設定'!$C$4,N(U761),IF(OR(NOT(COUNTIF('商品マスタ'!$B$6:$B$1005,$W762)=0),COUNTIFS('①在庫を貼る'!$V$6:$V$10005,$V762,'①在庫を貼る'!$W$6:$W$10005,$W762)+COUNTIFS('月1回_1ヶ月前の在庫'!$V$6:$V$10005,$V762,'月1回_1ヶ月前の在庫'!$W$6:$W$10005,$W762)&gt;0),N(U761),N(U761)+1))</f>
        <v/>
      </c>
      <c r="V762" s="19">
        <f>IF($B762="","",TEXT($B762,"0000"))</f>
        <v/>
      </c>
      <c r="W762" s="19">
        <f>IF($I762="","",IF(ISNUMBER($I762),TEXT($I762,"0"),$I762))</f>
        <v/>
      </c>
    </row>
    <row r="763">
      <c r="B763" s="25" t="n"/>
      <c r="I763" s="25" t="n"/>
      <c r="U763" s="19">
        <f>IF($V763&lt;&gt;'設定'!$C$4,N(U762),IF(OR(NOT(COUNTIF('商品マスタ'!$B$6:$B$1005,$W763)=0),COUNTIFS('①在庫を貼る'!$V$6:$V$10005,$V763,'①在庫を貼る'!$W$6:$W$10005,$W763)+COUNTIFS('月1回_1ヶ月前の在庫'!$V$6:$V$10005,$V763,'月1回_1ヶ月前の在庫'!$W$6:$W$10005,$W763)&gt;0),N(U762),N(U762)+1))</f>
        <v/>
      </c>
      <c r="V763" s="19">
        <f>IF($B763="","",TEXT($B763,"0000"))</f>
        <v/>
      </c>
      <c r="W763" s="19">
        <f>IF($I763="","",IF(ISNUMBER($I763),TEXT($I763,"0"),$I763))</f>
        <v/>
      </c>
    </row>
    <row r="764">
      <c r="B764" s="25" t="n"/>
      <c r="I764" s="25" t="n"/>
      <c r="U764" s="19">
        <f>IF($V764&lt;&gt;'設定'!$C$4,N(U763),IF(OR(NOT(COUNTIF('商品マスタ'!$B$6:$B$1005,$W764)=0),COUNTIFS('①在庫を貼る'!$V$6:$V$10005,$V764,'①在庫を貼る'!$W$6:$W$10005,$W764)+COUNTIFS('月1回_1ヶ月前の在庫'!$V$6:$V$10005,$V764,'月1回_1ヶ月前の在庫'!$W$6:$W$10005,$W764)&gt;0),N(U763),N(U763)+1))</f>
        <v/>
      </c>
      <c r="V764" s="19">
        <f>IF($B764="","",TEXT($B764,"0000"))</f>
        <v/>
      </c>
      <c r="W764" s="19">
        <f>IF($I764="","",IF(ISNUMBER($I764),TEXT($I764,"0"),$I764))</f>
        <v/>
      </c>
    </row>
    <row r="765">
      <c r="B765" s="25" t="n"/>
      <c r="I765" s="25" t="n"/>
      <c r="U765" s="19">
        <f>IF($V765&lt;&gt;'設定'!$C$4,N(U764),IF(OR(NOT(COUNTIF('商品マスタ'!$B$6:$B$1005,$W765)=0),COUNTIFS('①在庫を貼る'!$V$6:$V$10005,$V765,'①在庫を貼る'!$W$6:$W$10005,$W765)+COUNTIFS('月1回_1ヶ月前の在庫'!$V$6:$V$10005,$V765,'月1回_1ヶ月前の在庫'!$W$6:$W$10005,$W765)&gt;0),N(U764),N(U764)+1))</f>
        <v/>
      </c>
      <c r="V765" s="19">
        <f>IF($B765="","",TEXT($B765,"0000"))</f>
        <v/>
      </c>
      <c r="W765" s="19">
        <f>IF($I765="","",IF(ISNUMBER($I765),TEXT($I765,"0"),$I765))</f>
        <v/>
      </c>
    </row>
    <row r="766">
      <c r="B766" s="25" t="n"/>
      <c r="I766" s="25" t="n"/>
      <c r="U766" s="19">
        <f>IF($V766&lt;&gt;'設定'!$C$4,N(U765),IF(OR(NOT(COUNTIF('商品マスタ'!$B$6:$B$1005,$W766)=0),COUNTIFS('①在庫を貼る'!$V$6:$V$10005,$V766,'①在庫を貼る'!$W$6:$W$10005,$W766)+COUNTIFS('月1回_1ヶ月前の在庫'!$V$6:$V$10005,$V766,'月1回_1ヶ月前の在庫'!$W$6:$W$10005,$W766)&gt;0),N(U765),N(U765)+1))</f>
        <v/>
      </c>
      <c r="V766" s="19">
        <f>IF($B766="","",TEXT($B766,"0000"))</f>
        <v/>
      </c>
      <c r="W766" s="19">
        <f>IF($I766="","",IF(ISNUMBER($I766),TEXT($I766,"0"),$I766))</f>
        <v/>
      </c>
    </row>
    <row r="767">
      <c r="B767" s="25" t="n"/>
      <c r="I767" s="25" t="n"/>
      <c r="U767" s="19">
        <f>IF($V767&lt;&gt;'設定'!$C$4,N(U766),IF(OR(NOT(COUNTIF('商品マスタ'!$B$6:$B$1005,$W767)=0),COUNTIFS('①在庫を貼る'!$V$6:$V$10005,$V767,'①在庫を貼る'!$W$6:$W$10005,$W767)+COUNTIFS('月1回_1ヶ月前の在庫'!$V$6:$V$10005,$V767,'月1回_1ヶ月前の在庫'!$W$6:$W$10005,$W767)&gt;0),N(U766),N(U766)+1))</f>
        <v/>
      </c>
      <c r="V767" s="19">
        <f>IF($B767="","",TEXT($B767,"0000"))</f>
        <v/>
      </c>
      <c r="W767" s="19">
        <f>IF($I767="","",IF(ISNUMBER($I767),TEXT($I767,"0"),$I767))</f>
        <v/>
      </c>
    </row>
    <row r="768">
      <c r="B768" s="25" t="n"/>
      <c r="I768" s="25" t="n"/>
      <c r="U768" s="19">
        <f>IF($V768&lt;&gt;'設定'!$C$4,N(U767),IF(OR(NOT(COUNTIF('商品マスタ'!$B$6:$B$1005,$W768)=0),COUNTIFS('①在庫を貼る'!$V$6:$V$10005,$V768,'①在庫を貼る'!$W$6:$W$10005,$W768)+COUNTIFS('月1回_1ヶ月前の在庫'!$V$6:$V$10005,$V768,'月1回_1ヶ月前の在庫'!$W$6:$W$10005,$W768)&gt;0),N(U767),N(U767)+1))</f>
        <v/>
      </c>
      <c r="V768" s="19">
        <f>IF($B768="","",TEXT($B768,"0000"))</f>
        <v/>
      </c>
      <c r="W768" s="19">
        <f>IF($I768="","",IF(ISNUMBER($I768),TEXT($I768,"0"),$I768))</f>
        <v/>
      </c>
    </row>
    <row r="769">
      <c r="B769" s="25" t="n"/>
      <c r="I769" s="25" t="n"/>
      <c r="U769" s="19">
        <f>IF($V769&lt;&gt;'設定'!$C$4,N(U768),IF(OR(NOT(COUNTIF('商品マスタ'!$B$6:$B$1005,$W769)=0),COUNTIFS('①在庫を貼る'!$V$6:$V$10005,$V769,'①在庫を貼る'!$W$6:$W$10005,$W769)+COUNTIFS('月1回_1ヶ月前の在庫'!$V$6:$V$10005,$V769,'月1回_1ヶ月前の在庫'!$W$6:$W$10005,$W769)&gt;0),N(U768),N(U768)+1))</f>
        <v/>
      </c>
      <c r="V769" s="19">
        <f>IF($B769="","",TEXT($B769,"0000"))</f>
        <v/>
      </c>
      <c r="W769" s="19">
        <f>IF($I769="","",IF(ISNUMBER($I769),TEXT($I769,"0"),$I769))</f>
        <v/>
      </c>
    </row>
    <row r="770">
      <c r="B770" s="25" t="n"/>
      <c r="I770" s="25" t="n"/>
      <c r="U770" s="19">
        <f>IF($V770&lt;&gt;'設定'!$C$4,N(U769),IF(OR(NOT(COUNTIF('商品マスタ'!$B$6:$B$1005,$W770)=0),COUNTIFS('①在庫を貼る'!$V$6:$V$10005,$V770,'①在庫を貼る'!$W$6:$W$10005,$W770)+COUNTIFS('月1回_1ヶ月前の在庫'!$V$6:$V$10005,$V770,'月1回_1ヶ月前の在庫'!$W$6:$W$10005,$W770)&gt;0),N(U769),N(U769)+1))</f>
        <v/>
      </c>
      <c r="V770" s="19">
        <f>IF($B770="","",TEXT($B770,"0000"))</f>
        <v/>
      </c>
      <c r="W770" s="19">
        <f>IF($I770="","",IF(ISNUMBER($I770),TEXT($I770,"0"),$I770))</f>
        <v/>
      </c>
    </row>
    <row r="771">
      <c r="B771" s="25" t="n"/>
      <c r="I771" s="25" t="n"/>
      <c r="U771" s="19">
        <f>IF($V771&lt;&gt;'設定'!$C$4,N(U770),IF(OR(NOT(COUNTIF('商品マスタ'!$B$6:$B$1005,$W771)=0),COUNTIFS('①在庫を貼る'!$V$6:$V$10005,$V771,'①在庫を貼る'!$W$6:$W$10005,$W771)+COUNTIFS('月1回_1ヶ月前の在庫'!$V$6:$V$10005,$V771,'月1回_1ヶ月前の在庫'!$W$6:$W$10005,$W771)&gt;0),N(U770),N(U770)+1))</f>
        <v/>
      </c>
      <c r="V771" s="19">
        <f>IF($B771="","",TEXT($B771,"0000"))</f>
        <v/>
      </c>
      <c r="W771" s="19">
        <f>IF($I771="","",IF(ISNUMBER($I771),TEXT($I771,"0"),$I771))</f>
        <v/>
      </c>
    </row>
    <row r="772">
      <c r="B772" s="25" t="n"/>
      <c r="I772" s="25" t="n"/>
      <c r="U772" s="19">
        <f>IF($V772&lt;&gt;'設定'!$C$4,N(U771),IF(OR(NOT(COUNTIF('商品マスタ'!$B$6:$B$1005,$W772)=0),COUNTIFS('①在庫を貼る'!$V$6:$V$10005,$V772,'①在庫を貼る'!$W$6:$W$10005,$W772)+COUNTIFS('月1回_1ヶ月前の在庫'!$V$6:$V$10005,$V772,'月1回_1ヶ月前の在庫'!$W$6:$W$10005,$W772)&gt;0),N(U771),N(U771)+1))</f>
        <v/>
      </c>
      <c r="V772" s="19">
        <f>IF($B772="","",TEXT($B772,"0000"))</f>
        <v/>
      </c>
      <c r="W772" s="19">
        <f>IF($I772="","",IF(ISNUMBER($I772),TEXT($I772,"0"),$I772))</f>
        <v/>
      </c>
    </row>
    <row r="773">
      <c r="B773" s="25" t="n"/>
      <c r="I773" s="25" t="n"/>
      <c r="U773" s="19">
        <f>IF($V773&lt;&gt;'設定'!$C$4,N(U772),IF(OR(NOT(COUNTIF('商品マスタ'!$B$6:$B$1005,$W773)=0),COUNTIFS('①在庫を貼る'!$V$6:$V$10005,$V773,'①在庫を貼る'!$W$6:$W$10005,$W773)+COUNTIFS('月1回_1ヶ月前の在庫'!$V$6:$V$10005,$V773,'月1回_1ヶ月前の在庫'!$W$6:$W$10005,$W773)&gt;0),N(U772),N(U772)+1))</f>
        <v/>
      </c>
      <c r="V773" s="19">
        <f>IF($B773="","",TEXT($B773,"0000"))</f>
        <v/>
      </c>
      <c r="W773" s="19">
        <f>IF($I773="","",IF(ISNUMBER($I773),TEXT($I773,"0"),$I773))</f>
        <v/>
      </c>
    </row>
    <row r="774">
      <c r="B774" s="25" t="n"/>
      <c r="I774" s="25" t="n"/>
      <c r="U774" s="19">
        <f>IF($V774&lt;&gt;'設定'!$C$4,N(U773),IF(OR(NOT(COUNTIF('商品マスタ'!$B$6:$B$1005,$W774)=0),COUNTIFS('①在庫を貼る'!$V$6:$V$10005,$V774,'①在庫を貼る'!$W$6:$W$10005,$W774)+COUNTIFS('月1回_1ヶ月前の在庫'!$V$6:$V$10005,$V774,'月1回_1ヶ月前の在庫'!$W$6:$W$10005,$W774)&gt;0),N(U773),N(U773)+1))</f>
        <v/>
      </c>
      <c r="V774" s="19">
        <f>IF($B774="","",TEXT($B774,"0000"))</f>
        <v/>
      </c>
      <c r="W774" s="19">
        <f>IF($I774="","",IF(ISNUMBER($I774),TEXT($I774,"0"),$I774))</f>
        <v/>
      </c>
    </row>
    <row r="775">
      <c r="B775" s="25" t="n"/>
      <c r="I775" s="25" t="n"/>
      <c r="U775" s="19">
        <f>IF($V775&lt;&gt;'設定'!$C$4,N(U774),IF(OR(NOT(COUNTIF('商品マスタ'!$B$6:$B$1005,$W775)=0),COUNTIFS('①在庫を貼る'!$V$6:$V$10005,$V775,'①在庫を貼る'!$W$6:$W$10005,$W775)+COUNTIFS('月1回_1ヶ月前の在庫'!$V$6:$V$10005,$V775,'月1回_1ヶ月前の在庫'!$W$6:$W$10005,$W775)&gt;0),N(U774),N(U774)+1))</f>
        <v/>
      </c>
      <c r="V775" s="19">
        <f>IF($B775="","",TEXT($B775,"0000"))</f>
        <v/>
      </c>
      <c r="W775" s="19">
        <f>IF($I775="","",IF(ISNUMBER($I775),TEXT($I775,"0"),$I775))</f>
        <v/>
      </c>
    </row>
    <row r="776">
      <c r="B776" s="25" t="n"/>
      <c r="I776" s="25" t="n"/>
      <c r="U776" s="19">
        <f>IF($V776&lt;&gt;'設定'!$C$4,N(U775),IF(OR(NOT(COUNTIF('商品マスタ'!$B$6:$B$1005,$W776)=0),COUNTIFS('①在庫を貼る'!$V$6:$V$10005,$V776,'①在庫を貼る'!$W$6:$W$10005,$W776)+COUNTIFS('月1回_1ヶ月前の在庫'!$V$6:$V$10005,$V776,'月1回_1ヶ月前の在庫'!$W$6:$W$10005,$W776)&gt;0),N(U775),N(U775)+1))</f>
        <v/>
      </c>
      <c r="V776" s="19">
        <f>IF($B776="","",TEXT($B776,"0000"))</f>
        <v/>
      </c>
      <c r="W776" s="19">
        <f>IF($I776="","",IF(ISNUMBER($I776),TEXT($I776,"0"),$I776))</f>
        <v/>
      </c>
    </row>
    <row r="777">
      <c r="B777" s="25" t="n"/>
      <c r="I777" s="25" t="n"/>
      <c r="U777" s="19">
        <f>IF($V777&lt;&gt;'設定'!$C$4,N(U776),IF(OR(NOT(COUNTIF('商品マスタ'!$B$6:$B$1005,$W777)=0),COUNTIFS('①在庫を貼る'!$V$6:$V$10005,$V777,'①在庫を貼る'!$W$6:$W$10005,$W777)+COUNTIFS('月1回_1ヶ月前の在庫'!$V$6:$V$10005,$V777,'月1回_1ヶ月前の在庫'!$W$6:$W$10005,$W777)&gt;0),N(U776),N(U776)+1))</f>
        <v/>
      </c>
      <c r="V777" s="19">
        <f>IF($B777="","",TEXT($B777,"0000"))</f>
        <v/>
      </c>
      <c r="W777" s="19">
        <f>IF($I777="","",IF(ISNUMBER($I777),TEXT($I777,"0"),$I777))</f>
        <v/>
      </c>
    </row>
    <row r="778">
      <c r="B778" s="25" t="n"/>
      <c r="I778" s="25" t="n"/>
      <c r="U778" s="19">
        <f>IF($V778&lt;&gt;'設定'!$C$4,N(U777),IF(OR(NOT(COUNTIF('商品マスタ'!$B$6:$B$1005,$W778)=0),COUNTIFS('①在庫を貼る'!$V$6:$V$10005,$V778,'①在庫を貼る'!$W$6:$W$10005,$W778)+COUNTIFS('月1回_1ヶ月前の在庫'!$V$6:$V$10005,$V778,'月1回_1ヶ月前の在庫'!$W$6:$W$10005,$W778)&gt;0),N(U777),N(U777)+1))</f>
        <v/>
      </c>
      <c r="V778" s="19">
        <f>IF($B778="","",TEXT($B778,"0000"))</f>
        <v/>
      </c>
      <c r="W778" s="19">
        <f>IF($I778="","",IF(ISNUMBER($I778),TEXT($I778,"0"),$I778))</f>
        <v/>
      </c>
    </row>
    <row r="779">
      <c r="B779" s="25" t="n"/>
      <c r="I779" s="25" t="n"/>
      <c r="U779" s="19">
        <f>IF($V779&lt;&gt;'設定'!$C$4,N(U778),IF(OR(NOT(COUNTIF('商品マスタ'!$B$6:$B$1005,$W779)=0),COUNTIFS('①在庫を貼る'!$V$6:$V$10005,$V779,'①在庫を貼る'!$W$6:$W$10005,$W779)+COUNTIFS('月1回_1ヶ月前の在庫'!$V$6:$V$10005,$V779,'月1回_1ヶ月前の在庫'!$W$6:$W$10005,$W779)&gt;0),N(U778),N(U778)+1))</f>
        <v/>
      </c>
      <c r="V779" s="19">
        <f>IF($B779="","",TEXT($B779,"0000"))</f>
        <v/>
      </c>
      <c r="W779" s="19">
        <f>IF($I779="","",IF(ISNUMBER($I779),TEXT($I779,"0"),$I779))</f>
        <v/>
      </c>
    </row>
    <row r="780">
      <c r="B780" s="25" t="n"/>
      <c r="I780" s="25" t="n"/>
      <c r="U780" s="19">
        <f>IF($V780&lt;&gt;'設定'!$C$4,N(U779),IF(OR(NOT(COUNTIF('商品マスタ'!$B$6:$B$1005,$W780)=0),COUNTIFS('①在庫を貼る'!$V$6:$V$10005,$V780,'①在庫を貼る'!$W$6:$W$10005,$W780)+COUNTIFS('月1回_1ヶ月前の在庫'!$V$6:$V$10005,$V780,'月1回_1ヶ月前の在庫'!$W$6:$W$10005,$W780)&gt;0),N(U779),N(U779)+1))</f>
        <v/>
      </c>
      <c r="V780" s="19">
        <f>IF($B780="","",TEXT($B780,"0000"))</f>
        <v/>
      </c>
      <c r="W780" s="19">
        <f>IF($I780="","",IF(ISNUMBER($I780),TEXT($I780,"0"),$I780))</f>
        <v/>
      </c>
    </row>
    <row r="781">
      <c r="B781" s="25" t="n"/>
      <c r="I781" s="25" t="n"/>
      <c r="U781" s="19">
        <f>IF($V781&lt;&gt;'設定'!$C$4,N(U780),IF(OR(NOT(COUNTIF('商品マスタ'!$B$6:$B$1005,$W781)=0),COUNTIFS('①在庫を貼る'!$V$6:$V$10005,$V781,'①在庫を貼る'!$W$6:$W$10005,$W781)+COUNTIFS('月1回_1ヶ月前の在庫'!$V$6:$V$10005,$V781,'月1回_1ヶ月前の在庫'!$W$6:$W$10005,$W781)&gt;0),N(U780),N(U780)+1))</f>
        <v/>
      </c>
      <c r="V781" s="19">
        <f>IF($B781="","",TEXT($B781,"0000"))</f>
        <v/>
      </c>
      <c r="W781" s="19">
        <f>IF($I781="","",IF(ISNUMBER($I781),TEXT($I781,"0"),$I781))</f>
        <v/>
      </c>
    </row>
    <row r="782">
      <c r="B782" s="25" t="n"/>
      <c r="I782" s="25" t="n"/>
      <c r="U782" s="19">
        <f>IF($V782&lt;&gt;'設定'!$C$4,N(U781),IF(OR(NOT(COUNTIF('商品マスタ'!$B$6:$B$1005,$W782)=0),COUNTIFS('①在庫を貼る'!$V$6:$V$10005,$V782,'①在庫を貼る'!$W$6:$W$10005,$W782)+COUNTIFS('月1回_1ヶ月前の在庫'!$V$6:$V$10005,$V782,'月1回_1ヶ月前の在庫'!$W$6:$W$10005,$W782)&gt;0),N(U781),N(U781)+1))</f>
        <v/>
      </c>
      <c r="V782" s="19">
        <f>IF($B782="","",TEXT($B782,"0000"))</f>
        <v/>
      </c>
      <c r="W782" s="19">
        <f>IF($I782="","",IF(ISNUMBER($I782),TEXT($I782,"0"),$I782))</f>
        <v/>
      </c>
    </row>
    <row r="783">
      <c r="B783" s="25" t="n"/>
      <c r="I783" s="25" t="n"/>
      <c r="U783" s="19">
        <f>IF($V783&lt;&gt;'設定'!$C$4,N(U782),IF(OR(NOT(COUNTIF('商品マスタ'!$B$6:$B$1005,$W783)=0),COUNTIFS('①在庫を貼る'!$V$6:$V$10005,$V783,'①在庫を貼る'!$W$6:$W$10005,$W783)+COUNTIFS('月1回_1ヶ月前の在庫'!$V$6:$V$10005,$V783,'月1回_1ヶ月前の在庫'!$W$6:$W$10005,$W783)&gt;0),N(U782),N(U782)+1))</f>
        <v/>
      </c>
      <c r="V783" s="19">
        <f>IF($B783="","",TEXT($B783,"0000"))</f>
        <v/>
      </c>
      <c r="W783" s="19">
        <f>IF($I783="","",IF(ISNUMBER($I783),TEXT($I783,"0"),$I783))</f>
        <v/>
      </c>
    </row>
    <row r="784">
      <c r="B784" s="25" t="n"/>
      <c r="I784" s="25" t="n"/>
      <c r="U784" s="19">
        <f>IF($V784&lt;&gt;'設定'!$C$4,N(U783),IF(OR(NOT(COUNTIF('商品マスタ'!$B$6:$B$1005,$W784)=0),COUNTIFS('①在庫を貼る'!$V$6:$V$10005,$V784,'①在庫を貼る'!$W$6:$W$10005,$W784)+COUNTIFS('月1回_1ヶ月前の在庫'!$V$6:$V$10005,$V784,'月1回_1ヶ月前の在庫'!$W$6:$W$10005,$W784)&gt;0),N(U783),N(U783)+1))</f>
        <v/>
      </c>
      <c r="V784" s="19">
        <f>IF($B784="","",TEXT($B784,"0000"))</f>
        <v/>
      </c>
      <c r="W784" s="19">
        <f>IF($I784="","",IF(ISNUMBER($I784),TEXT($I784,"0"),$I784))</f>
        <v/>
      </c>
    </row>
    <row r="785">
      <c r="B785" s="25" t="n"/>
      <c r="I785" s="25" t="n"/>
      <c r="U785" s="19">
        <f>IF($V785&lt;&gt;'設定'!$C$4,N(U784),IF(OR(NOT(COUNTIF('商品マスタ'!$B$6:$B$1005,$W785)=0),COUNTIFS('①在庫を貼る'!$V$6:$V$10005,$V785,'①在庫を貼る'!$W$6:$W$10005,$W785)+COUNTIFS('月1回_1ヶ月前の在庫'!$V$6:$V$10005,$V785,'月1回_1ヶ月前の在庫'!$W$6:$W$10005,$W785)&gt;0),N(U784),N(U784)+1))</f>
        <v/>
      </c>
      <c r="V785" s="19">
        <f>IF($B785="","",TEXT($B785,"0000"))</f>
        <v/>
      </c>
      <c r="W785" s="19">
        <f>IF($I785="","",IF(ISNUMBER($I785),TEXT($I785,"0"),$I785))</f>
        <v/>
      </c>
    </row>
    <row r="786">
      <c r="B786" s="25" t="n"/>
      <c r="I786" s="25" t="n"/>
      <c r="U786" s="19">
        <f>IF($V786&lt;&gt;'設定'!$C$4,N(U785),IF(OR(NOT(COUNTIF('商品マスタ'!$B$6:$B$1005,$W786)=0),COUNTIFS('①在庫を貼る'!$V$6:$V$10005,$V786,'①在庫を貼る'!$W$6:$W$10005,$W786)+COUNTIFS('月1回_1ヶ月前の在庫'!$V$6:$V$10005,$V786,'月1回_1ヶ月前の在庫'!$W$6:$W$10005,$W786)&gt;0),N(U785),N(U785)+1))</f>
        <v/>
      </c>
      <c r="V786" s="19">
        <f>IF($B786="","",TEXT($B786,"0000"))</f>
        <v/>
      </c>
      <c r="W786" s="19">
        <f>IF($I786="","",IF(ISNUMBER($I786),TEXT($I786,"0"),$I786))</f>
        <v/>
      </c>
    </row>
    <row r="787">
      <c r="B787" s="25" t="n"/>
      <c r="I787" s="25" t="n"/>
      <c r="U787" s="19">
        <f>IF($V787&lt;&gt;'設定'!$C$4,N(U786),IF(OR(NOT(COUNTIF('商品マスタ'!$B$6:$B$1005,$W787)=0),COUNTIFS('①在庫を貼る'!$V$6:$V$10005,$V787,'①在庫を貼る'!$W$6:$W$10005,$W787)+COUNTIFS('月1回_1ヶ月前の在庫'!$V$6:$V$10005,$V787,'月1回_1ヶ月前の在庫'!$W$6:$W$10005,$W787)&gt;0),N(U786),N(U786)+1))</f>
        <v/>
      </c>
      <c r="V787" s="19">
        <f>IF($B787="","",TEXT($B787,"0000"))</f>
        <v/>
      </c>
      <c r="W787" s="19">
        <f>IF($I787="","",IF(ISNUMBER($I787),TEXT($I787,"0"),$I787))</f>
        <v/>
      </c>
    </row>
    <row r="788">
      <c r="B788" s="25" t="n"/>
      <c r="I788" s="25" t="n"/>
      <c r="U788" s="19">
        <f>IF($V788&lt;&gt;'設定'!$C$4,N(U787),IF(OR(NOT(COUNTIF('商品マスタ'!$B$6:$B$1005,$W788)=0),COUNTIFS('①在庫を貼る'!$V$6:$V$10005,$V788,'①在庫を貼る'!$W$6:$W$10005,$W788)+COUNTIFS('月1回_1ヶ月前の在庫'!$V$6:$V$10005,$V788,'月1回_1ヶ月前の在庫'!$W$6:$W$10005,$W788)&gt;0),N(U787),N(U787)+1))</f>
        <v/>
      </c>
      <c r="V788" s="19">
        <f>IF($B788="","",TEXT($B788,"0000"))</f>
        <v/>
      </c>
      <c r="W788" s="19">
        <f>IF($I788="","",IF(ISNUMBER($I788),TEXT($I788,"0"),$I788))</f>
        <v/>
      </c>
    </row>
    <row r="789">
      <c r="B789" s="25" t="n"/>
      <c r="I789" s="25" t="n"/>
      <c r="U789" s="19">
        <f>IF($V789&lt;&gt;'設定'!$C$4,N(U788),IF(OR(NOT(COUNTIF('商品マスタ'!$B$6:$B$1005,$W789)=0),COUNTIFS('①在庫を貼る'!$V$6:$V$10005,$V789,'①在庫を貼る'!$W$6:$W$10005,$W789)+COUNTIFS('月1回_1ヶ月前の在庫'!$V$6:$V$10005,$V789,'月1回_1ヶ月前の在庫'!$W$6:$W$10005,$W789)&gt;0),N(U788),N(U788)+1))</f>
        <v/>
      </c>
      <c r="V789" s="19">
        <f>IF($B789="","",TEXT($B789,"0000"))</f>
        <v/>
      </c>
      <c r="W789" s="19">
        <f>IF($I789="","",IF(ISNUMBER($I789),TEXT($I789,"0"),$I789))</f>
        <v/>
      </c>
    </row>
    <row r="790">
      <c r="B790" s="25" t="n"/>
      <c r="I790" s="25" t="n"/>
      <c r="U790" s="19">
        <f>IF($V790&lt;&gt;'設定'!$C$4,N(U789),IF(OR(NOT(COUNTIF('商品マスタ'!$B$6:$B$1005,$W790)=0),COUNTIFS('①在庫を貼る'!$V$6:$V$10005,$V790,'①在庫を貼る'!$W$6:$W$10005,$W790)+COUNTIFS('月1回_1ヶ月前の在庫'!$V$6:$V$10005,$V790,'月1回_1ヶ月前の在庫'!$W$6:$W$10005,$W790)&gt;0),N(U789),N(U789)+1))</f>
        <v/>
      </c>
      <c r="V790" s="19">
        <f>IF($B790="","",TEXT($B790,"0000"))</f>
        <v/>
      </c>
      <c r="W790" s="19">
        <f>IF($I790="","",IF(ISNUMBER($I790),TEXT($I790,"0"),$I790))</f>
        <v/>
      </c>
    </row>
    <row r="791">
      <c r="B791" s="25" t="n"/>
      <c r="I791" s="25" t="n"/>
      <c r="U791" s="19">
        <f>IF($V791&lt;&gt;'設定'!$C$4,N(U790),IF(OR(NOT(COUNTIF('商品マスタ'!$B$6:$B$1005,$W791)=0),COUNTIFS('①在庫を貼る'!$V$6:$V$10005,$V791,'①在庫を貼る'!$W$6:$W$10005,$W791)+COUNTIFS('月1回_1ヶ月前の在庫'!$V$6:$V$10005,$V791,'月1回_1ヶ月前の在庫'!$W$6:$W$10005,$W791)&gt;0),N(U790),N(U790)+1))</f>
        <v/>
      </c>
      <c r="V791" s="19">
        <f>IF($B791="","",TEXT($B791,"0000"))</f>
        <v/>
      </c>
      <c r="W791" s="19">
        <f>IF($I791="","",IF(ISNUMBER($I791),TEXT($I791,"0"),$I791))</f>
        <v/>
      </c>
    </row>
    <row r="792">
      <c r="B792" s="25" t="n"/>
      <c r="I792" s="25" t="n"/>
      <c r="U792" s="19">
        <f>IF($V792&lt;&gt;'設定'!$C$4,N(U791),IF(OR(NOT(COUNTIF('商品マスタ'!$B$6:$B$1005,$W792)=0),COUNTIFS('①在庫を貼る'!$V$6:$V$10005,$V792,'①在庫を貼る'!$W$6:$W$10005,$W792)+COUNTIFS('月1回_1ヶ月前の在庫'!$V$6:$V$10005,$V792,'月1回_1ヶ月前の在庫'!$W$6:$W$10005,$W792)&gt;0),N(U791),N(U791)+1))</f>
        <v/>
      </c>
      <c r="V792" s="19">
        <f>IF($B792="","",TEXT($B792,"0000"))</f>
        <v/>
      </c>
      <c r="W792" s="19">
        <f>IF($I792="","",IF(ISNUMBER($I792),TEXT($I792,"0"),$I792))</f>
        <v/>
      </c>
    </row>
    <row r="793">
      <c r="B793" s="25" t="n"/>
      <c r="I793" s="25" t="n"/>
      <c r="U793" s="19">
        <f>IF($V793&lt;&gt;'設定'!$C$4,N(U792),IF(OR(NOT(COUNTIF('商品マスタ'!$B$6:$B$1005,$W793)=0),COUNTIFS('①在庫を貼る'!$V$6:$V$10005,$V793,'①在庫を貼る'!$W$6:$W$10005,$W793)+COUNTIFS('月1回_1ヶ月前の在庫'!$V$6:$V$10005,$V793,'月1回_1ヶ月前の在庫'!$W$6:$W$10005,$W793)&gt;0),N(U792),N(U792)+1))</f>
        <v/>
      </c>
      <c r="V793" s="19">
        <f>IF($B793="","",TEXT($B793,"0000"))</f>
        <v/>
      </c>
      <c r="W793" s="19">
        <f>IF($I793="","",IF(ISNUMBER($I793),TEXT($I793,"0"),$I793))</f>
        <v/>
      </c>
    </row>
    <row r="794">
      <c r="B794" s="25" t="n"/>
      <c r="I794" s="25" t="n"/>
      <c r="U794" s="19">
        <f>IF($V794&lt;&gt;'設定'!$C$4,N(U793),IF(OR(NOT(COUNTIF('商品マスタ'!$B$6:$B$1005,$W794)=0),COUNTIFS('①在庫を貼る'!$V$6:$V$10005,$V794,'①在庫を貼る'!$W$6:$W$10005,$W794)+COUNTIFS('月1回_1ヶ月前の在庫'!$V$6:$V$10005,$V794,'月1回_1ヶ月前の在庫'!$W$6:$W$10005,$W794)&gt;0),N(U793),N(U793)+1))</f>
        <v/>
      </c>
      <c r="V794" s="19">
        <f>IF($B794="","",TEXT($B794,"0000"))</f>
        <v/>
      </c>
      <c r="W794" s="19">
        <f>IF($I794="","",IF(ISNUMBER($I794),TEXT($I794,"0"),$I794))</f>
        <v/>
      </c>
    </row>
    <row r="795">
      <c r="B795" s="25" t="n"/>
      <c r="I795" s="25" t="n"/>
      <c r="U795" s="19">
        <f>IF($V795&lt;&gt;'設定'!$C$4,N(U794),IF(OR(NOT(COUNTIF('商品マスタ'!$B$6:$B$1005,$W795)=0),COUNTIFS('①在庫を貼る'!$V$6:$V$10005,$V795,'①在庫を貼る'!$W$6:$W$10005,$W795)+COUNTIFS('月1回_1ヶ月前の在庫'!$V$6:$V$10005,$V795,'月1回_1ヶ月前の在庫'!$W$6:$W$10005,$W795)&gt;0),N(U794),N(U794)+1))</f>
        <v/>
      </c>
      <c r="V795" s="19">
        <f>IF($B795="","",TEXT($B795,"0000"))</f>
        <v/>
      </c>
      <c r="W795" s="19">
        <f>IF($I795="","",IF(ISNUMBER($I795),TEXT($I795,"0"),$I795))</f>
        <v/>
      </c>
    </row>
    <row r="796">
      <c r="B796" s="25" t="n"/>
      <c r="I796" s="25" t="n"/>
      <c r="U796" s="19">
        <f>IF($V796&lt;&gt;'設定'!$C$4,N(U795),IF(OR(NOT(COUNTIF('商品マスタ'!$B$6:$B$1005,$W796)=0),COUNTIFS('①在庫を貼る'!$V$6:$V$10005,$V796,'①在庫を貼る'!$W$6:$W$10005,$W796)+COUNTIFS('月1回_1ヶ月前の在庫'!$V$6:$V$10005,$V796,'月1回_1ヶ月前の在庫'!$W$6:$W$10005,$W796)&gt;0),N(U795),N(U795)+1))</f>
        <v/>
      </c>
      <c r="V796" s="19">
        <f>IF($B796="","",TEXT($B796,"0000"))</f>
        <v/>
      </c>
      <c r="W796" s="19">
        <f>IF($I796="","",IF(ISNUMBER($I796),TEXT($I796,"0"),$I796))</f>
        <v/>
      </c>
    </row>
    <row r="797">
      <c r="B797" s="25" t="n"/>
      <c r="I797" s="25" t="n"/>
      <c r="U797" s="19">
        <f>IF($V797&lt;&gt;'設定'!$C$4,N(U796),IF(OR(NOT(COUNTIF('商品マスタ'!$B$6:$B$1005,$W797)=0),COUNTIFS('①在庫を貼る'!$V$6:$V$10005,$V797,'①在庫を貼る'!$W$6:$W$10005,$W797)+COUNTIFS('月1回_1ヶ月前の在庫'!$V$6:$V$10005,$V797,'月1回_1ヶ月前の在庫'!$W$6:$W$10005,$W797)&gt;0),N(U796),N(U796)+1))</f>
        <v/>
      </c>
      <c r="V797" s="19">
        <f>IF($B797="","",TEXT($B797,"0000"))</f>
        <v/>
      </c>
      <c r="W797" s="19">
        <f>IF($I797="","",IF(ISNUMBER($I797),TEXT($I797,"0"),$I797))</f>
        <v/>
      </c>
    </row>
    <row r="798">
      <c r="B798" s="25" t="n"/>
      <c r="I798" s="25" t="n"/>
      <c r="U798" s="19">
        <f>IF($V798&lt;&gt;'設定'!$C$4,N(U797),IF(OR(NOT(COUNTIF('商品マスタ'!$B$6:$B$1005,$W798)=0),COUNTIFS('①在庫を貼る'!$V$6:$V$10005,$V798,'①在庫を貼る'!$W$6:$W$10005,$W798)+COUNTIFS('月1回_1ヶ月前の在庫'!$V$6:$V$10005,$V798,'月1回_1ヶ月前の在庫'!$W$6:$W$10005,$W798)&gt;0),N(U797),N(U797)+1))</f>
        <v/>
      </c>
      <c r="V798" s="19">
        <f>IF($B798="","",TEXT($B798,"0000"))</f>
        <v/>
      </c>
      <c r="W798" s="19">
        <f>IF($I798="","",IF(ISNUMBER($I798),TEXT($I798,"0"),$I798))</f>
        <v/>
      </c>
    </row>
    <row r="799">
      <c r="B799" s="25" t="n"/>
      <c r="I799" s="25" t="n"/>
      <c r="U799" s="19">
        <f>IF($V799&lt;&gt;'設定'!$C$4,N(U798),IF(OR(NOT(COUNTIF('商品マスタ'!$B$6:$B$1005,$W799)=0),COUNTIFS('①在庫を貼る'!$V$6:$V$10005,$V799,'①在庫を貼る'!$W$6:$W$10005,$W799)+COUNTIFS('月1回_1ヶ月前の在庫'!$V$6:$V$10005,$V799,'月1回_1ヶ月前の在庫'!$W$6:$W$10005,$W799)&gt;0),N(U798),N(U798)+1))</f>
        <v/>
      </c>
      <c r="V799" s="19">
        <f>IF($B799="","",TEXT($B799,"0000"))</f>
        <v/>
      </c>
      <c r="W799" s="19">
        <f>IF($I799="","",IF(ISNUMBER($I799),TEXT($I799,"0"),$I799))</f>
        <v/>
      </c>
    </row>
    <row r="800">
      <c r="B800" s="25" t="n"/>
      <c r="I800" s="25" t="n"/>
      <c r="U800" s="19">
        <f>IF($V800&lt;&gt;'設定'!$C$4,N(U799),IF(OR(NOT(COUNTIF('商品マスタ'!$B$6:$B$1005,$W800)=0),COUNTIFS('①在庫を貼る'!$V$6:$V$10005,$V800,'①在庫を貼る'!$W$6:$W$10005,$W800)+COUNTIFS('月1回_1ヶ月前の在庫'!$V$6:$V$10005,$V800,'月1回_1ヶ月前の在庫'!$W$6:$W$10005,$W800)&gt;0),N(U799),N(U799)+1))</f>
        <v/>
      </c>
      <c r="V800" s="19">
        <f>IF($B800="","",TEXT($B800,"0000"))</f>
        <v/>
      </c>
      <c r="W800" s="19">
        <f>IF($I800="","",IF(ISNUMBER($I800),TEXT($I800,"0"),$I800))</f>
        <v/>
      </c>
    </row>
    <row r="801">
      <c r="B801" s="25" t="n"/>
      <c r="I801" s="25" t="n"/>
      <c r="U801" s="19">
        <f>IF($V801&lt;&gt;'設定'!$C$4,N(U800),IF(OR(NOT(COUNTIF('商品マスタ'!$B$6:$B$1005,$W801)=0),COUNTIFS('①在庫を貼る'!$V$6:$V$10005,$V801,'①在庫を貼る'!$W$6:$W$10005,$W801)+COUNTIFS('月1回_1ヶ月前の在庫'!$V$6:$V$10005,$V801,'月1回_1ヶ月前の在庫'!$W$6:$W$10005,$W801)&gt;0),N(U800),N(U800)+1))</f>
        <v/>
      </c>
      <c r="V801" s="19">
        <f>IF($B801="","",TEXT($B801,"0000"))</f>
        <v/>
      </c>
      <c r="W801" s="19">
        <f>IF($I801="","",IF(ISNUMBER($I801),TEXT($I801,"0"),$I801))</f>
        <v/>
      </c>
    </row>
    <row r="802">
      <c r="B802" s="25" t="n"/>
      <c r="I802" s="25" t="n"/>
      <c r="U802" s="19">
        <f>IF($V802&lt;&gt;'設定'!$C$4,N(U801),IF(OR(NOT(COUNTIF('商品マスタ'!$B$6:$B$1005,$W802)=0),COUNTIFS('①在庫を貼る'!$V$6:$V$10005,$V802,'①在庫を貼る'!$W$6:$W$10005,$W802)+COUNTIFS('月1回_1ヶ月前の在庫'!$V$6:$V$10005,$V802,'月1回_1ヶ月前の在庫'!$W$6:$W$10005,$W802)&gt;0),N(U801),N(U801)+1))</f>
        <v/>
      </c>
      <c r="V802" s="19">
        <f>IF($B802="","",TEXT($B802,"0000"))</f>
        <v/>
      </c>
      <c r="W802" s="19">
        <f>IF($I802="","",IF(ISNUMBER($I802),TEXT($I802,"0"),$I802))</f>
        <v/>
      </c>
    </row>
    <row r="803">
      <c r="B803" s="25" t="n"/>
      <c r="I803" s="25" t="n"/>
      <c r="U803" s="19">
        <f>IF($V803&lt;&gt;'設定'!$C$4,N(U802),IF(OR(NOT(COUNTIF('商品マスタ'!$B$6:$B$1005,$W803)=0),COUNTIFS('①在庫を貼る'!$V$6:$V$10005,$V803,'①在庫を貼る'!$W$6:$W$10005,$W803)+COUNTIFS('月1回_1ヶ月前の在庫'!$V$6:$V$10005,$V803,'月1回_1ヶ月前の在庫'!$W$6:$W$10005,$W803)&gt;0),N(U802),N(U802)+1))</f>
        <v/>
      </c>
      <c r="V803" s="19">
        <f>IF($B803="","",TEXT($B803,"0000"))</f>
        <v/>
      </c>
      <c r="W803" s="19">
        <f>IF($I803="","",IF(ISNUMBER($I803),TEXT($I803,"0"),$I803))</f>
        <v/>
      </c>
    </row>
    <row r="804">
      <c r="B804" s="25" t="n"/>
      <c r="I804" s="25" t="n"/>
      <c r="U804" s="19">
        <f>IF($V804&lt;&gt;'設定'!$C$4,N(U803),IF(OR(NOT(COUNTIF('商品マスタ'!$B$6:$B$1005,$W804)=0),COUNTIFS('①在庫を貼る'!$V$6:$V$10005,$V804,'①在庫を貼る'!$W$6:$W$10005,$W804)+COUNTIFS('月1回_1ヶ月前の在庫'!$V$6:$V$10005,$V804,'月1回_1ヶ月前の在庫'!$W$6:$W$10005,$W804)&gt;0),N(U803),N(U803)+1))</f>
        <v/>
      </c>
      <c r="V804" s="19">
        <f>IF($B804="","",TEXT($B804,"0000"))</f>
        <v/>
      </c>
      <c r="W804" s="19">
        <f>IF($I804="","",IF(ISNUMBER($I804),TEXT($I804,"0"),$I804))</f>
        <v/>
      </c>
    </row>
    <row r="805">
      <c r="B805" s="25" t="n"/>
      <c r="I805" s="25" t="n"/>
      <c r="U805" s="19">
        <f>IF($V805&lt;&gt;'設定'!$C$4,N(U804),IF(OR(NOT(COUNTIF('商品マスタ'!$B$6:$B$1005,$W805)=0),COUNTIFS('①在庫を貼る'!$V$6:$V$10005,$V805,'①在庫を貼る'!$W$6:$W$10005,$W805)+COUNTIFS('月1回_1ヶ月前の在庫'!$V$6:$V$10005,$V805,'月1回_1ヶ月前の在庫'!$W$6:$W$10005,$W805)&gt;0),N(U804),N(U804)+1))</f>
        <v/>
      </c>
      <c r="V805" s="19">
        <f>IF($B805="","",TEXT($B805,"0000"))</f>
        <v/>
      </c>
      <c r="W805" s="19">
        <f>IF($I805="","",IF(ISNUMBER($I805),TEXT($I805,"0"),$I805))</f>
        <v/>
      </c>
    </row>
    <row r="806">
      <c r="B806" s="25" t="n"/>
      <c r="I806" s="25" t="n"/>
      <c r="U806" s="19">
        <f>IF($V806&lt;&gt;'設定'!$C$4,N(U805),IF(OR(NOT(COUNTIF('商品マスタ'!$B$6:$B$1005,$W806)=0),COUNTIFS('①在庫を貼る'!$V$6:$V$10005,$V806,'①在庫を貼る'!$W$6:$W$10005,$W806)+COUNTIFS('月1回_1ヶ月前の在庫'!$V$6:$V$10005,$V806,'月1回_1ヶ月前の在庫'!$W$6:$W$10005,$W806)&gt;0),N(U805),N(U805)+1))</f>
        <v/>
      </c>
      <c r="V806" s="19">
        <f>IF($B806="","",TEXT($B806,"0000"))</f>
        <v/>
      </c>
      <c r="W806" s="19">
        <f>IF($I806="","",IF(ISNUMBER($I806),TEXT($I806,"0"),$I806))</f>
        <v/>
      </c>
    </row>
    <row r="807">
      <c r="B807" s="25" t="n"/>
      <c r="I807" s="25" t="n"/>
      <c r="U807" s="19">
        <f>IF($V807&lt;&gt;'設定'!$C$4,N(U806),IF(OR(NOT(COUNTIF('商品マスタ'!$B$6:$B$1005,$W807)=0),COUNTIFS('①在庫を貼る'!$V$6:$V$10005,$V807,'①在庫を貼る'!$W$6:$W$10005,$W807)+COUNTIFS('月1回_1ヶ月前の在庫'!$V$6:$V$10005,$V807,'月1回_1ヶ月前の在庫'!$W$6:$W$10005,$W807)&gt;0),N(U806),N(U806)+1))</f>
        <v/>
      </c>
      <c r="V807" s="19">
        <f>IF($B807="","",TEXT($B807,"0000"))</f>
        <v/>
      </c>
      <c r="W807" s="19">
        <f>IF($I807="","",IF(ISNUMBER($I807),TEXT($I807,"0"),$I807))</f>
        <v/>
      </c>
    </row>
    <row r="808">
      <c r="B808" s="25" t="n"/>
      <c r="I808" s="25" t="n"/>
      <c r="U808" s="19">
        <f>IF($V808&lt;&gt;'設定'!$C$4,N(U807),IF(OR(NOT(COUNTIF('商品マスタ'!$B$6:$B$1005,$W808)=0),COUNTIFS('①在庫を貼る'!$V$6:$V$10005,$V808,'①在庫を貼る'!$W$6:$W$10005,$W808)+COUNTIFS('月1回_1ヶ月前の在庫'!$V$6:$V$10005,$V808,'月1回_1ヶ月前の在庫'!$W$6:$W$10005,$W808)&gt;0),N(U807),N(U807)+1))</f>
        <v/>
      </c>
      <c r="V808" s="19">
        <f>IF($B808="","",TEXT($B808,"0000"))</f>
        <v/>
      </c>
      <c r="W808" s="19">
        <f>IF($I808="","",IF(ISNUMBER($I808),TEXT($I808,"0"),$I808))</f>
        <v/>
      </c>
    </row>
    <row r="809">
      <c r="B809" s="25" t="n"/>
      <c r="I809" s="25" t="n"/>
      <c r="U809" s="19">
        <f>IF($V809&lt;&gt;'設定'!$C$4,N(U808),IF(OR(NOT(COUNTIF('商品マスタ'!$B$6:$B$1005,$W809)=0),COUNTIFS('①在庫を貼る'!$V$6:$V$10005,$V809,'①在庫を貼る'!$W$6:$W$10005,$W809)+COUNTIFS('月1回_1ヶ月前の在庫'!$V$6:$V$10005,$V809,'月1回_1ヶ月前の在庫'!$W$6:$W$10005,$W809)&gt;0),N(U808),N(U808)+1))</f>
        <v/>
      </c>
      <c r="V809" s="19">
        <f>IF($B809="","",TEXT($B809,"0000"))</f>
        <v/>
      </c>
      <c r="W809" s="19">
        <f>IF($I809="","",IF(ISNUMBER($I809),TEXT($I809,"0"),$I809))</f>
        <v/>
      </c>
    </row>
    <row r="810">
      <c r="B810" s="25" t="n"/>
      <c r="I810" s="25" t="n"/>
      <c r="U810" s="19">
        <f>IF($V810&lt;&gt;'設定'!$C$4,N(U809),IF(OR(NOT(COUNTIF('商品マスタ'!$B$6:$B$1005,$W810)=0),COUNTIFS('①在庫を貼る'!$V$6:$V$10005,$V810,'①在庫を貼る'!$W$6:$W$10005,$W810)+COUNTIFS('月1回_1ヶ月前の在庫'!$V$6:$V$10005,$V810,'月1回_1ヶ月前の在庫'!$W$6:$W$10005,$W810)&gt;0),N(U809),N(U809)+1))</f>
        <v/>
      </c>
      <c r="V810" s="19">
        <f>IF($B810="","",TEXT($B810,"0000"))</f>
        <v/>
      </c>
      <c r="W810" s="19">
        <f>IF($I810="","",IF(ISNUMBER($I810),TEXT($I810,"0"),$I810))</f>
        <v/>
      </c>
    </row>
    <row r="811">
      <c r="B811" s="25" t="n"/>
      <c r="I811" s="25" t="n"/>
      <c r="U811" s="19">
        <f>IF($V811&lt;&gt;'設定'!$C$4,N(U810),IF(OR(NOT(COUNTIF('商品マスタ'!$B$6:$B$1005,$W811)=0),COUNTIFS('①在庫を貼る'!$V$6:$V$10005,$V811,'①在庫を貼る'!$W$6:$W$10005,$W811)+COUNTIFS('月1回_1ヶ月前の在庫'!$V$6:$V$10005,$V811,'月1回_1ヶ月前の在庫'!$W$6:$W$10005,$W811)&gt;0),N(U810),N(U810)+1))</f>
        <v/>
      </c>
      <c r="V811" s="19">
        <f>IF($B811="","",TEXT($B811,"0000"))</f>
        <v/>
      </c>
      <c r="W811" s="19">
        <f>IF($I811="","",IF(ISNUMBER($I811),TEXT($I811,"0"),$I811))</f>
        <v/>
      </c>
    </row>
    <row r="812">
      <c r="B812" s="25" t="n"/>
      <c r="I812" s="25" t="n"/>
      <c r="U812" s="19">
        <f>IF($V812&lt;&gt;'設定'!$C$4,N(U811),IF(OR(NOT(COUNTIF('商品マスタ'!$B$6:$B$1005,$W812)=0),COUNTIFS('①在庫を貼る'!$V$6:$V$10005,$V812,'①在庫を貼る'!$W$6:$W$10005,$W812)+COUNTIFS('月1回_1ヶ月前の在庫'!$V$6:$V$10005,$V812,'月1回_1ヶ月前の在庫'!$W$6:$W$10005,$W812)&gt;0),N(U811),N(U811)+1))</f>
        <v/>
      </c>
      <c r="V812" s="19">
        <f>IF($B812="","",TEXT($B812,"0000"))</f>
        <v/>
      </c>
      <c r="W812" s="19">
        <f>IF($I812="","",IF(ISNUMBER($I812),TEXT($I812,"0"),$I812))</f>
        <v/>
      </c>
    </row>
    <row r="813">
      <c r="B813" s="25" t="n"/>
      <c r="I813" s="25" t="n"/>
      <c r="U813" s="19">
        <f>IF($V813&lt;&gt;'設定'!$C$4,N(U812),IF(OR(NOT(COUNTIF('商品マスタ'!$B$6:$B$1005,$W813)=0),COUNTIFS('①在庫を貼る'!$V$6:$V$10005,$V813,'①在庫を貼る'!$W$6:$W$10005,$W813)+COUNTIFS('月1回_1ヶ月前の在庫'!$V$6:$V$10005,$V813,'月1回_1ヶ月前の在庫'!$W$6:$W$10005,$W813)&gt;0),N(U812),N(U812)+1))</f>
        <v/>
      </c>
      <c r="V813" s="19">
        <f>IF($B813="","",TEXT($B813,"0000"))</f>
        <v/>
      </c>
      <c r="W813" s="19">
        <f>IF($I813="","",IF(ISNUMBER($I813),TEXT($I813,"0"),$I813))</f>
        <v/>
      </c>
    </row>
    <row r="814">
      <c r="B814" s="25" t="n"/>
      <c r="I814" s="25" t="n"/>
      <c r="U814" s="19">
        <f>IF($V814&lt;&gt;'設定'!$C$4,N(U813),IF(OR(NOT(COUNTIF('商品マスタ'!$B$6:$B$1005,$W814)=0),COUNTIFS('①在庫を貼る'!$V$6:$V$10005,$V814,'①在庫を貼る'!$W$6:$W$10005,$W814)+COUNTIFS('月1回_1ヶ月前の在庫'!$V$6:$V$10005,$V814,'月1回_1ヶ月前の在庫'!$W$6:$W$10005,$W814)&gt;0),N(U813),N(U813)+1))</f>
        <v/>
      </c>
      <c r="V814" s="19">
        <f>IF($B814="","",TEXT($B814,"0000"))</f>
        <v/>
      </c>
      <c r="W814" s="19">
        <f>IF($I814="","",IF(ISNUMBER($I814),TEXT($I814,"0"),$I814))</f>
        <v/>
      </c>
    </row>
    <row r="815">
      <c r="B815" s="25" t="n"/>
      <c r="I815" s="25" t="n"/>
      <c r="U815" s="19">
        <f>IF($V815&lt;&gt;'設定'!$C$4,N(U814),IF(OR(NOT(COUNTIF('商品マスタ'!$B$6:$B$1005,$W815)=0),COUNTIFS('①在庫を貼る'!$V$6:$V$10005,$V815,'①在庫を貼る'!$W$6:$W$10005,$W815)+COUNTIFS('月1回_1ヶ月前の在庫'!$V$6:$V$10005,$V815,'月1回_1ヶ月前の在庫'!$W$6:$W$10005,$W815)&gt;0),N(U814),N(U814)+1))</f>
        <v/>
      </c>
      <c r="V815" s="19">
        <f>IF($B815="","",TEXT($B815,"0000"))</f>
        <v/>
      </c>
      <c r="W815" s="19">
        <f>IF($I815="","",IF(ISNUMBER($I815),TEXT($I815,"0"),$I815))</f>
        <v/>
      </c>
    </row>
    <row r="816">
      <c r="B816" s="25" t="n"/>
      <c r="I816" s="25" t="n"/>
      <c r="U816" s="19">
        <f>IF($V816&lt;&gt;'設定'!$C$4,N(U815),IF(OR(NOT(COUNTIF('商品マスタ'!$B$6:$B$1005,$W816)=0),COUNTIFS('①在庫を貼る'!$V$6:$V$10005,$V816,'①在庫を貼る'!$W$6:$W$10005,$W816)+COUNTIFS('月1回_1ヶ月前の在庫'!$V$6:$V$10005,$V816,'月1回_1ヶ月前の在庫'!$W$6:$W$10005,$W816)&gt;0),N(U815),N(U815)+1))</f>
        <v/>
      </c>
      <c r="V816" s="19">
        <f>IF($B816="","",TEXT($B816,"0000"))</f>
        <v/>
      </c>
      <c r="W816" s="19">
        <f>IF($I816="","",IF(ISNUMBER($I816),TEXT($I816,"0"),$I816))</f>
        <v/>
      </c>
    </row>
    <row r="817">
      <c r="B817" s="25" t="n"/>
      <c r="I817" s="25" t="n"/>
      <c r="U817" s="19">
        <f>IF($V817&lt;&gt;'設定'!$C$4,N(U816),IF(OR(NOT(COUNTIF('商品マスタ'!$B$6:$B$1005,$W817)=0),COUNTIFS('①在庫を貼る'!$V$6:$V$10005,$V817,'①在庫を貼る'!$W$6:$W$10005,$W817)+COUNTIFS('月1回_1ヶ月前の在庫'!$V$6:$V$10005,$V817,'月1回_1ヶ月前の在庫'!$W$6:$W$10005,$W817)&gt;0),N(U816),N(U816)+1))</f>
        <v/>
      </c>
      <c r="V817" s="19">
        <f>IF($B817="","",TEXT($B817,"0000"))</f>
        <v/>
      </c>
      <c r="W817" s="19">
        <f>IF($I817="","",IF(ISNUMBER($I817),TEXT($I817,"0"),$I817))</f>
        <v/>
      </c>
    </row>
    <row r="818">
      <c r="B818" s="25" t="n"/>
      <c r="I818" s="25" t="n"/>
      <c r="U818" s="19">
        <f>IF($V818&lt;&gt;'設定'!$C$4,N(U817),IF(OR(NOT(COUNTIF('商品マスタ'!$B$6:$B$1005,$W818)=0),COUNTIFS('①在庫を貼る'!$V$6:$V$10005,$V818,'①在庫を貼る'!$W$6:$W$10005,$W818)+COUNTIFS('月1回_1ヶ月前の在庫'!$V$6:$V$10005,$V818,'月1回_1ヶ月前の在庫'!$W$6:$W$10005,$W818)&gt;0),N(U817),N(U817)+1))</f>
        <v/>
      </c>
      <c r="V818" s="19">
        <f>IF($B818="","",TEXT($B818,"0000"))</f>
        <v/>
      </c>
      <c r="W818" s="19">
        <f>IF($I818="","",IF(ISNUMBER($I818),TEXT($I818,"0"),$I818))</f>
        <v/>
      </c>
    </row>
    <row r="819">
      <c r="B819" s="25" t="n"/>
      <c r="I819" s="25" t="n"/>
      <c r="U819" s="19">
        <f>IF($V819&lt;&gt;'設定'!$C$4,N(U818),IF(OR(NOT(COUNTIF('商品マスタ'!$B$6:$B$1005,$W819)=0),COUNTIFS('①在庫を貼る'!$V$6:$V$10005,$V819,'①在庫を貼る'!$W$6:$W$10005,$W819)+COUNTIFS('月1回_1ヶ月前の在庫'!$V$6:$V$10005,$V819,'月1回_1ヶ月前の在庫'!$W$6:$W$10005,$W819)&gt;0),N(U818),N(U818)+1))</f>
        <v/>
      </c>
      <c r="V819" s="19">
        <f>IF($B819="","",TEXT($B819,"0000"))</f>
        <v/>
      </c>
      <c r="W819" s="19">
        <f>IF($I819="","",IF(ISNUMBER($I819),TEXT($I819,"0"),$I819))</f>
        <v/>
      </c>
    </row>
    <row r="820">
      <c r="B820" s="25" t="n"/>
      <c r="I820" s="25" t="n"/>
      <c r="U820" s="19">
        <f>IF($V820&lt;&gt;'設定'!$C$4,N(U819),IF(OR(NOT(COUNTIF('商品マスタ'!$B$6:$B$1005,$W820)=0),COUNTIFS('①在庫を貼る'!$V$6:$V$10005,$V820,'①在庫を貼る'!$W$6:$W$10005,$W820)+COUNTIFS('月1回_1ヶ月前の在庫'!$V$6:$V$10005,$V820,'月1回_1ヶ月前の在庫'!$W$6:$W$10005,$W820)&gt;0),N(U819),N(U819)+1))</f>
        <v/>
      </c>
      <c r="V820" s="19">
        <f>IF($B820="","",TEXT($B820,"0000"))</f>
        <v/>
      </c>
      <c r="W820" s="19">
        <f>IF($I820="","",IF(ISNUMBER($I820),TEXT($I820,"0"),$I820))</f>
        <v/>
      </c>
    </row>
    <row r="821">
      <c r="B821" s="25" t="n"/>
      <c r="I821" s="25" t="n"/>
      <c r="U821" s="19">
        <f>IF($V821&lt;&gt;'設定'!$C$4,N(U820),IF(OR(NOT(COUNTIF('商品マスタ'!$B$6:$B$1005,$W821)=0),COUNTIFS('①在庫を貼る'!$V$6:$V$10005,$V821,'①在庫を貼る'!$W$6:$W$10005,$W821)+COUNTIFS('月1回_1ヶ月前の在庫'!$V$6:$V$10005,$V821,'月1回_1ヶ月前の在庫'!$W$6:$W$10005,$W821)&gt;0),N(U820),N(U820)+1))</f>
        <v/>
      </c>
      <c r="V821" s="19">
        <f>IF($B821="","",TEXT($B821,"0000"))</f>
        <v/>
      </c>
      <c r="W821" s="19">
        <f>IF($I821="","",IF(ISNUMBER($I821),TEXT($I821,"0"),$I821))</f>
        <v/>
      </c>
    </row>
    <row r="822">
      <c r="B822" s="25" t="n"/>
      <c r="I822" s="25" t="n"/>
      <c r="U822" s="19">
        <f>IF($V822&lt;&gt;'設定'!$C$4,N(U821),IF(OR(NOT(COUNTIF('商品マスタ'!$B$6:$B$1005,$W822)=0),COUNTIFS('①在庫を貼る'!$V$6:$V$10005,$V822,'①在庫を貼る'!$W$6:$W$10005,$W822)+COUNTIFS('月1回_1ヶ月前の在庫'!$V$6:$V$10005,$V822,'月1回_1ヶ月前の在庫'!$W$6:$W$10005,$W822)&gt;0),N(U821),N(U821)+1))</f>
        <v/>
      </c>
      <c r="V822" s="19">
        <f>IF($B822="","",TEXT($B822,"0000"))</f>
        <v/>
      </c>
      <c r="W822" s="19">
        <f>IF($I822="","",IF(ISNUMBER($I822),TEXT($I822,"0"),$I822))</f>
        <v/>
      </c>
    </row>
    <row r="823">
      <c r="B823" s="25" t="n"/>
      <c r="I823" s="25" t="n"/>
      <c r="U823" s="19">
        <f>IF($V823&lt;&gt;'設定'!$C$4,N(U822),IF(OR(NOT(COUNTIF('商品マスタ'!$B$6:$B$1005,$W823)=0),COUNTIFS('①在庫を貼る'!$V$6:$V$10005,$V823,'①在庫を貼る'!$W$6:$W$10005,$W823)+COUNTIFS('月1回_1ヶ月前の在庫'!$V$6:$V$10005,$V823,'月1回_1ヶ月前の在庫'!$W$6:$W$10005,$W823)&gt;0),N(U822),N(U822)+1))</f>
        <v/>
      </c>
      <c r="V823" s="19">
        <f>IF($B823="","",TEXT($B823,"0000"))</f>
        <v/>
      </c>
      <c r="W823" s="19">
        <f>IF($I823="","",IF(ISNUMBER($I823),TEXT($I823,"0"),$I823))</f>
        <v/>
      </c>
    </row>
    <row r="824">
      <c r="B824" s="25" t="n"/>
      <c r="I824" s="25" t="n"/>
      <c r="U824" s="19">
        <f>IF($V824&lt;&gt;'設定'!$C$4,N(U823),IF(OR(NOT(COUNTIF('商品マスタ'!$B$6:$B$1005,$W824)=0),COUNTIFS('①在庫を貼る'!$V$6:$V$10005,$V824,'①在庫を貼る'!$W$6:$W$10005,$W824)+COUNTIFS('月1回_1ヶ月前の在庫'!$V$6:$V$10005,$V824,'月1回_1ヶ月前の在庫'!$W$6:$W$10005,$W824)&gt;0),N(U823),N(U823)+1))</f>
        <v/>
      </c>
      <c r="V824" s="19">
        <f>IF($B824="","",TEXT($B824,"0000"))</f>
        <v/>
      </c>
      <c r="W824" s="19">
        <f>IF($I824="","",IF(ISNUMBER($I824),TEXT($I824,"0"),$I824))</f>
        <v/>
      </c>
    </row>
    <row r="825">
      <c r="B825" s="25" t="n"/>
      <c r="I825" s="25" t="n"/>
      <c r="U825" s="19">
        <f>IF($V825&lt;&gt;'設定'!$C$4,N(U824),IF(OR(NOT(COUNTIF('商品マスタ'!$B$6:$B$1005,$W825)=0),COUNTIFS('①在庫を貼る'!$V$6:$V$10005,$V825,'①在庫を貼る'!$W$6:$W$10005,$W825)+COUNTIFS('月1回_1ヶ月前の在庫'!$V$6:$V$10005,$V825,'月1回_1ヶ月前の在庫'!$W$6:$W$10005,$W825)&gt;0),N(U824),N(U824)+1))</f>
        <v/>
      </c>
      <c r="V825" s="19">
        <f>IF($B825="","",TEXT($B825,"0000"))</f>
        <v/>
      </c>
      <c r="W825" s="19">
        <f>IF($I825="","",IF(ISNUMBER($I825),TEXT($I825,"0"),$I825))</f>
        <v/>
      </c>
    </row>
    <row r="826">
      <c r="B826" s="25" t="n"/>
      <c r="I826" s="25" t="n"/>
      <c r="U826" s="19">
        <f>IF($V826&lt;&gt;'設定'!$C$4,N(U825),IF(OR(NOT(COUNTIF('商品マスタ'!$B$6:$B$1005,$W826)=0),COUNTIFS('①在庫を貼る'!$V$6:$V$10005,$V826,'①在庫を貼る'!$W$6:$W$10005,$W826)+COUNTIFS('月1回_1ヶ月前の在庫'!$V$6:$V$10005,$V826,'月1回_1ヶ月前の在庫'!$W$6:$W$10005,$W826)&gt;0),N(U825),N(U825)+1))</f>
        <v/>
      </c>
      <c r="V826" s="19">
        <f>IF($B826="","",TEXT($B826,"0000"))</f>
        <v/>
      </c>
      <c r="W826" s="19">
        <f>IF($I826="","",IF(ISNUMBER($I826),TEXT($I826,"0"),$I826))</f>
        <v/>
      </c>
    </row>
    <row r="827">
      <c r="B827" s="25" t="n"/>
      <c r="I827" s="25" t="n"/>
      <c r="U827" s="19">
        <f>IF($V827&lt;&gt;'設定'!$C$4,N(U826),IF(OR(NOT(COUNTIF('商品マスタ'!$B$6:$B$1005,$W827)=0),COUNTIFS('①在庫を貼る'!$V$6:$V$10005,$V827,'①在庫を貼る'!$W$6:$W$10005,$W827)+COUNTIFS('月1回_1ヶ月前の在庫'!$V$6:$V$10005,$V827,'月1回_1ヶ月前の在庫'!$W$6:$W$10005,$W827)&gt;0),N(U826),N(U826)+1))</f>
        <v/>
      </c>
      <c r="V827" s="19">
        <f>IF($B827="","",TEXT($B827,"0000"))</f>
        <v/>
      </c>
      <c r="W827" s="19">
        <f>IF($I827="","",IF(ISNUMBER($I827),TEXT($I827,"0"),$I827))</f>
        <v/>
      </c>
    </row>
    <row r="828">
      <c r="B828" s="25" t="n"/>
      <c r="I828" s="25" t="n"/>
      <c r="U828" s="19">
        <f>IF($V828&lt;&gt;'設定'!$C$4,N(U827),IF(OR(NOT(COUNTIF('商品マスタ'!$B$6:$B$1005,$W828)=0),COUNTIFS('①在庫を貼る'!$V$6:$V$10005,$V828,'①在庫を貼る'!$W$6:$W$10005,$W828)+COUNTIFS('月1回_1ヶ月前の在庫'!$V$6:$V$10005,$V828,'月1回_1ヶ月前の在庫'!$W$6:$W$10005,$W828)&gt;0),N(U827),N(U827)+1))</f>
        <v/>
      </c>
      <c r="V828" s="19">
        <f>IF($B828="","",TEXT($B828,"0000"))</f>
        <v/>
      </c>
      <c r="W828" s="19">
        <f>IF($I828="","",IF(ISNUMBER($I828),TEXT($I828,"0"),$I828))</f>
        <v/>
      </c>
    </row>
    <row r="829">
      <c r="B829" s="25" t="n"/>
      <c r="I829" s="25" t="n"/>
      <c r="U829" s="19">
        <f>IF($V829&lt;&gt;'設定'!$C$4,N(U828),IF(OR(NOT(COUNTIF('商品マスタ'!$B$6:$B$1005,$W829)=0),COUNTIFS('①在庫を貼る'!$V$6:$V$10005,$V829,'①在庫を貼る'!$W$6:$W$10005,$W829)+COUNTIFS('月1回_1ヶ月前の在庫'!$V$6:$V$10005,$V829,'月1回_1ヶ月前の在庫'!$W$6:$W$10005,$W829)&gt;0),N(U828),N(U828)+1))</f>
        <v/>
      </c>
      <c r="V829" s="19">
        <f>IF($B829="","",TEXT($B829,"0000"))</f>
        <v/>
      </c>
      <c r="W829" s="19">
        <f>IF($I829="","",IF(ISNUMBER($I829),TEXT($I829,"0"),$I829))</f>
        <v/>
      </c>
    </row>
    <row r="830">
      <c r="B830" s="25" t="n"/>
      <c r="I830" s="25" t="n"/>
      <c r="U830" s="19">
        <f>IF($V830&lt;&gt;'設定'!$C$4,N(U829),IF(OR(NOT(COUNTIF('商品マスタ'!$B$6:$B$1005,$W830)=0),COUNTIFS('①在庫を貼る'!$V$6:$V$10005,$V830,'①在庫を貼る'!$W$6:$W$10005,$W830)+COUNTIFS('月1回_1ヶ月前の在庫'!$V$6:$V$10005,$V830,'月1回_1ヶ月前の在庫'!$W$6:$W$10005,$W830)&gt;0),N(U829),N(U829)+1))</f>
        <v/>
      </c>
      <c r="V830" s="19">
        <f>IF($B830="","",TEXT($B830,"0000"))</f>
        <v/>
      </c>
      <c r="W830" s="19">
        <f>IF($I830="","",IF(ISNUMBER($I830),TEXT($I830,"0"),$I830))</f>
        <v/>
      </c>
    </row>
    <row r="831">
      <c r="B831" s="25" t="n"/>
      <c r="I831" s="25" t="n"/>
      <c r="U831" s="19">
        <f>IF($V831&lt;&gt;'設定'!$C$4,N(U830),IF(OR(NOT(COUNTIF('商品マスタ'!$B$6:$B$1005,$W831)=0),COUNTIFS('①在庫を貼る'!$V$6:$V$10005,$V831,'①在庫を貼る'!$W$6:$W$10005,$W831)+COUNTIFS('月1回_1ヶ月前の在庫'!$V$6:$V$10005,$V831,'月1回_1ヶ月前の在庫'!$W$6:$W$10005,$W831)&gt;0),N(U830),N(U830)+1))</f>
        <v/>
      </c>
      <c r="V831" s="19">
        <f>IF($B831="","",TEXT($B831,"0000"))</f>
        <v/>
      </c>
      <c r="W831" s="19">
        <f>IF($I831="","",IF(ISNUMBER($I831),TEXT($I831,"0"),$I831))</f>
        <v/>
      </c>
    </row>
    <row r="832">
      <c r="B832" s="25" t="n"/>
      <c r="I832" s="25" t="n"/>
      <c r="U832" s="19">
        <f>IF($V832&lt;&gt;'設定'!$C$4,N(U831),IF(OR(NOT(COUNTIF('商品マスタ'!$B$6:$B$1005,$W832)=0),COUNTIFS('①在庫を貼る'!$V$6:$V$10005,$V832,'①在庫を貼る'!$W$6:$W$10005,$W832)+COUNTIFS('月1回_1ヶ月前の在庫'!$V$6:$V$10005,$V832,'月1回_1ヶ月前の在庫'!$W$6:$W$10005,$W832)&gt;0),N(U831),N(U831)+1))</f>
        <v/>
      </c>
      <c r="V832" s="19">
        <f>IF($B832="","",TEXT($B832,"0000"))</f>
        <v/>
      </c>
      <c r="W832" s="19">
        <f>IF($I832="","",IF(ISNUMBER($I832),TEXT($I832,"0"),$I832))</f>
        <v/>
      </c>
    </row>
    <row r="833">
      <c r="B833" s="25" t="n"/>
      <c r="I833" s="25" t="n"/>
      <c r="U833" s="19">
        <f>IF($V833&lt;&gt;'設定'!$C$4,N(U832),IF(OR(NOT(COUNTIF('商品マスタ'!$B$6:$B$1005,$W833)=0),COUNTIFS('①在庫を貼る'!$V$6:$V$10005,$V833,'①在庫を貼る'!$W$6:$W$10005,$W833)+COUNTIFS('月1回_1ヶ月前の在庫'!$V$6:$V$10005,$V833,'月1回_1ヶ月前の在庫'!$W$6:$W$10005,$W833)&gt;0),N(U832),N(U832)+1))</f>
        <v/>
      </c>
      <c r="V833" s="19">
        <f>IF($B833="","",TEXT($B833,"0000"))</f>
        <v/>
      </c>
      <c r="W833" s="19">
        <f>IF($I833="","",IF(ISNUMBER($I833),TEXT($I833,"0"),$I833))</f>
        <v/>
      </c>
    </row>
    <row r="834">
      <c r="B834" s="25" t="n"/>
      <c r="I834" s="25" t="n"/>
      <c r="U834" s="19">
        <f>IF($V834&lt;&gt;'設定'!$C$4,N(U833),IF(OR(NOT(COUNTIF('商品マスタ'!$B$6:$B$1005,$W834)=0),COUNTIFS('①在庫を貼る'!$V$6:$V$10005,$V834,'①在庫を貼る'!$W$6:$W$10005,$W834)+COUNTIFS('月1回_1ヶ月前の在庫'!$V$6:$V$10005,$V834,'月1回_1ヶ月前の在庫'!$W$6:$W$10005,$W834)&gt;0),N(U833),N(U833)+1))</f>
        <v/>
      </c>
      <c r="V834" s="19">
        <f>IF($B834="","",TEXT($B834,"0000"))</f>
        <v/>
      </c>
      <c r="W834" s="19">
        <f>IF($I834="","",IF(ISNUMBER($I834),TEXT($I834,"0"),$I834))</f>
        <v/>
      </c>
    </row>
    <row r="835">
      <c r="B835" s="25" t="n"/>
      <c r="I835" s="25" t="n"/>
      <c r="U835" s="19">
        <f>IF($V835&lt;&gt;'設定'!$C$4,N(U834),IF(OR(NOT(COUNTIF('商品マスタ'!$B$6:$B$1005,$W835)=0),COUNTIFS('①在庫を貼る'!$V$6:$V$10005,$V835,'①在庫を貼る'!$W$6:$W$10005,$W835)+COUNTIFS('月1回_1ヶ月前の在庫'!$V$6:$V$10005,$V835,'月1回_1ヶ月前の在庫'!$W$6:$W$10005,$W835)&gt;0),N(U834),N(U834)+1))</f>
        <v/>
      </c>
      <c r="V835" s="19">
        <f>IF($B835="","",TEXT($B835,"0000"))</f>
        <v/>
      </c>
      <c r="W835" s="19">
        <f>IF($I835="","",IF(ISNUMBER($I835),TEXT($I835,"0"),$I835))</f>
        <v/>
      </c>
    </row>
    <row r="836">
      <c r="B836" s="25" t="n"/>
      <c r="I836" s="25" t="n"/>
      <c r="U836" s="19">
        <f>IF($V836&lt;&gt;'設定'!$C$4,N(U835),IF(OR(NOT(COUNTIF('商品マスタ'!$B$6:$B$1005,$W836)=0),COUNTIFS('①在庫を貼る'!$V$6:$V$10005,$V836,'①在庫を貼る'!$W$6:$W$10005,$W836)+COUNTIFS('月1回_1ヶ月前の在庫'!$V$6:$V$10005,$V836,'月1回_1ヶ月前の在庫'!$W$6:$W$10005,$W836)&gt;0),N(U835),N(U835)+1))</f>
        <v/>
      </c>
      <c r="V836" s="19">
        <f>IF($B836="","",TEXT($B836,"0000"))</f>
        <v/>
      </c>
      <c r="W836" s="19">
        <f>IF($I836="","",IF(ISNUMBER($I836),TEXT($I836,"0"),$I836))</f>
        <v/>
      </c>
    </row>
    <row r="837">
      <c r="B837" s="25" t="n"/>
      <c r="I837" s="25" t="n"/>
      <c r="U837" s="19">
        <f>IF($V837&lt;&gt;'設定'!$C$4,N(U836),IF(OR(NOT(COUNTIF('商品マスタ'!$B$6:$B$1005,$W837)=0),COUNTIFS('①在庫を貼る'!$V$6:$V$10005,$V837,'①在庫を貼る'!$W$6:$W$10005,$W837)+COUNTIFS('月1回_1ヶ月前の在庫'!$V$6:$V$10005,$V837,'月1回_1ヶ月前の在庫'!$W$6:$W$10005,$W837)&gt;0),N(U836),N(U836)+1))</f>
        <v/>
      </c>
      <c r="V837" s="19">
        <f>IF($B837="","",TEXT($B837,"0000"))</f>
        <v/>
      </c>
      <c r="W837" s="19">
        <f>IF($I837="","",IF(ISNUMBER($I837),TEXT($I837,"0"),$I837))</f>
        <v/>
      </c>
    </row>
    <row r="838">
      <c r="B838" s="25" t="n"/>
      <c r="I838" s="25" t="n"/>
      <c r="U838" s="19">
        <f>IF($V838&lt;&gt;'設定'!$C$4,N(U837),IF(OR(NOT(COUNTIF('商品マスタ'!$B$6:$B$1005,$W838)=0),COUNTIFS('①在庫を貼る'!$V$6:$V$10005,$V838,'①在庫を貼る'!$W$6:$W$10005,$W838)+COUNTIFS('月1回_1ヶ月前の在庫'!$V$6:$V$10005,$V838,'月1回_1ヶ月前の在庫'!$W$6:$W$10005,$W838)&gt;0),N(U837),N(U837)+1))</f>
        <v/>
      </c>
      <c r="V838" s="19">
        <f>IF($B838="","",TEXT($B838,"0000"))</f>
        <v/>
      </c>
      <c r="W838" s="19">
        <f>IF($I838="","",IF(ISNUMBER($I838),TEXT($I838,"0"),$I838))</f>
        <v/>
      </c>
    </row>
    <row r="839">
      <c r="B839" s="25" t="n"/>
      <c r="I839" s="25" t="n"/>
      <c r="U839" s="19">
        <f>IF($V839&lt;&gt;'設定'!$C$4,N(U838),IF(OR(NOT(COUNTIF('商品マスタ'!$B$6:$B$1005,$W839)=0),COUNTIFS('①在庫を貼る'!$V$6:$V$10005,$V839,'①在庫を貼る'!$W$6:$W$10005,$W839)+COUNTIFS('月1回_1ヶ月前の在庫'!$V$6:$V$10005,$V839,'月1回_1ヶ月前の在庫'!$W$6:$W$10005,$W839)&gt;0),N(U838),N(U838)+1))</f>
        <v/>
      </c>
      <c r="V839" s="19">
        <f>IF($B839="","",TEXT($B839,"0000"))</f>
        <v/>
      </c>
      <c r="W839" s="19">
        <f>IF($I839="","",IF(ISNUMBER($I839),TEXT($I839,"0"),$I839))</f>
        <v/>
      </c>
    </row>
    <row r="840">
      <c r="B840" s="25" t="n"/>
      <c r="I840" s="25" t="n"/>
      <c r="U840" s="19">
        <f>IF($V840&lt;&gt;'設定'!$C$4,N(U839),IF(OR(NOT(COUNTIF('商品マスタ'!$B$6:$B$1005,$W840)=0),COUNTIFS('①在庫を貼る'!$V$6:$V$10005,$V840,'①在庫を貼る'!$W$6:$W$10005,$W840)+COUNTIFS('月1回_1ヶ月前の在庫'!$V$6:$V$10005,$V840,'月1回_1ヶ月前の在庫'!$W$6:$W$10005,$W840)&gt;0),N(U839),N(U839)+1))</f>
        <v/>
      </c>
      <c r="V840" s="19">
        <f>IF($B840="","",TEXT($B840,"0000"))</f>
        <v/>
      </c>
      <c r="W840" s="19">
        <f>IF($I840="","",IF(ISNUMBER($I840),TEXT($I840,"0"),$I840))</f>
        <v/>
      </c>
    </row>
    <row r="841">
      <c r="B841" s="25" t="n"/>
      <c r="I841" s="25" t="n"/>
      <c r="U841" s="19">
        <f>IF($V841&lt;&gt;'設定'!$C$4,N(U840),IF(OR(NOT(COUNTIF('商品マスタ'!$B$6:$B$1005,$W841)=0),COUNTIFS('①在庫を貼る'!$V$6:$V$10005,$V841,'①在庫を貼る'!$W$6:$W$10005,$W841)+COUNTIFS('月1回_1ヶ月前の在庫'!$V$6:$V$10005,$V841,'月1回_1ヶ月前の在庫'!$W$6:$W$10005,$W841)&gt;0),N(U840),N(U840)+1))</f>
        <v/>
      </c>
      <c r="V841" s="19">
        <f>IF($B841="","",TEXT($B841,"0000"))</f>
        <v/>
      </c>
      <c r="W841" s="19">
        <f>IF($I841="","",IF(ISNUMBER($I841),TEXT($I841,"0"),$I841))</f>
        <v/>
      </c>
    </row>
    <row r="842">
      <c r="B842" s="25" t="n"/>
      <c r="I842" s="25" t="n"/>
      <c r="U842" s="19">
        <f>IF($V842&lt;&gt;'設定'!$C$4,N(U841),IF(OR(NOT(COUNTIF('商品マスタ'!$B$6:$B$1005,$W842)=0),COUNTIFS('①在庫を貼る'!$V$6:$V$10005,$V842,'①在庫を貼る'!$W$6:$W$10005,$W842)+COUNTIFS('月1回_1ヶ月前の在庫'!$V$6:$V$10005,$V842,'月1回_1ヶ月前の在庫'!$W$6:$W$10005,$W842)&gt;0),N(U841),N(U841)+1))</f>
        <v/>
      </c>
      <c r="V842" s="19">
        <f>IF($B842="","",TEXT($B842,"0000"))</f>
        <v/>
      </c>
      <c r="W842" s="19">
        <f>IF($I842="","",IF(ISNUMBER($I842),TEXT($I842,"0"),$I842))</f>
        <v/>
      </c>
    </row>
    <row r="843">
      <c r="B843" s="25" t="n"/>
      <c r="I843" s="25" t="n"/>
      <c r="U843" s="19">
        <f>IF($V843&lt;&gt;'設定'!$C$4,N(U842),IF(OR(NOT(COUNTIF('商品マスタ'!$B$6:$B$1005,$W843)=0),COUNTIFS('①在庫を貼る'!$V$6:$V$10005,$V843,'①在庫を貼る'!$W$6:$W$10005,$W843)+COUNTIFS('月1回_1ヶ月前の在庫'!$V$6:$V$10005,$V843,'月1回_1ヶ月前の在庫'!$W$6:$W$10005,$W843)&gt;0),N(U842),N(U842)+1))</f>
        <v/>
      </c>
      <c r="V843" s="19">
        <f>IF($B843="","",TEXT($B843,"0000"))</f>
        <v/>
      </c>
      <c r="W843" s="19">
        <f>IF($I843="","",IF(ISNUMBER($I843),TEXT($I843,"0"),$I843))</f>
        <v/>
      </c>
    </row>
    <row r="844">
      <c r="B844" s="25" t="n"/>
      <c r="I844" s="25" t="n"/>
      <c r="U844" s="19">
        <f>IF($V844&lt;&gt;'設定'!$C$4,N(U843),IF(OR(NOT(COUNTIF('商品マスタ'!$B$6:$B$1005,$W844)=0),COUNTIFS('①在庫を貼る'!$V$6:$V$10005,$V844,'①在庫を貼る'!$W$6:$W$10005,$W844)+COUNTIFS('月1回_1ヶ月前の在庫'!$V$6:$V$10005,$V844,'月1回_1ヶ月前の在庫'!$W$6:$W$10005,$W844)&gt;0),N(U843),N(U843)+1))</f>
        <v/>
      </c>
      <c r="V844" s="19">
        <f>IF($B844="","",TEXT($B844,"0000"))</f>
        <v/>
      </c>
      <c r="W844" s="19">
        <f>IF($I844="","",IF(ISNUMBER($I844),TEXT($I844,"0"),$I844))</f>
        <v/>
      </c>
    </row>
    <row r="845">
      <c r="B845" s="25" t="n"/>
      <c r="I845" s="25" t="n"/>
      <c r="U845" s="19">
        <f>IF($V845&lt;&gt;'設定'!$C$4,N(U844),IF(OR(NOT(COUNTIF('商品マスタ'!$B$6:$B$1005,$W845)=0),COUNTIFS('①在庫を貼る'!$V$6:$V$10005,$V845,'①在庫を貼る'!$W$6:$W$10005,$W845)+COUNTIFS('月1回_1ヶ月前の在庫'!$V$6:$V$10005,$V845,'月1回_1ヶ月前の在庫'!$W$6:$W$10005,$W845)&gt;0),N(U844),N(U844)+1))</f>
        <v/>
      </c>
      <c r="V845" s="19">
        <f>IF($B845="","",TEXT($B845,"0000"))</f>
        <v/>
      </c>
      <c r="W845" s="19">
        <f>IF($I845="","",IF(ISNUMBER($I845),TEXT($I845,"0"),$I845))</f>
        <v/>
      </c>
    </row>
    <row r="846">
      <c r="B846" s="25" t="n"/>
      <c r="I846" s="25" t="n"/>
      <c r="U846" s="19">
        <f>IF($V846&lt;&gt;'設定'!$C$4,N(U845),IF(OR(NOT(COUNTIF('商品マスタ'!$B$6:$B$1005,$W846)=0),COUNTIFS('①在庫を貼る'!$V$6:$V$10005,$V846,'①在庫を貼る'!$W$6:$W$10005,$W846)+COUNTIFS('月1回_1ヶ月前の在庫'!$V$6:$V$10005,$V846,'月1回_1ヶ月前の在庫'!$W$6:$W$10005,$W846)&gt;0),N(U845),N(U845)+1))</f>
        <v/>
      </c>
      <c r="V846" s="19">
        <f>IF($B846="","",TEXT($B846,"0000"))</f>
        <v/>
      </c>
      <c r="W846" s="19">
        <f>IF($I846="","",IF(ISNUMBER($I846),TEXT($I846,"0"),$I846))</f>
        <v/>
      </c>
    </row>
    <row r="847">
      <c r="B847" s="25" t="n"/>
      <c r="I847" s="25" t="n"/>
      <c r="U847" s="19">
        <f>IF($V847&lt;&gt;'設定'!$C$4,N(U846),IF(OR(NOT(COUNTIF('商品マスタ'!$B$6:$B$1005,$W847)=0),COUNTIFS('①在庫を貼る'!$V$6:$V$10005,$V847,'①在庫を貼る'!$W$6:$W$10005,$W847)+COUNTIFS('月1回_1ヶ月前の在庫'!$V$6:$V$10005,$V847,'月1回_1ヶ月前の在庫'!$W$6:$W$10005,$W847)&gt;0),N(U846),N(U846)+1))</f>
        <v/>
      </c>
      <c r="V847" s="19">
        <f>IF($B847="","",TEXT($B847,"0000"))</f>
        <v/>
      </c>
      <c r="W847" s="19">
        <f>IF($I847="","",IF(ISNUMBER($I847),TEXT($I847,"0"),$I847))</f>
        <v/>
      </c>
    </row>
    <row r="848">
      <c r="B848" s="25" t="n"/>
      <c r="I848" s="25" t="n"/>
      <c r="U848" s="19">
        <f>IF($V848&lt;&gt;'設定'!$C$4,N(U847),IF(OR(NOT(COUNTIF('商品マスタ'!$B$6:$B$1005,$W848)=0),COUNTIFS('①在庫を貼る'!$V$6:$V$10005,$V848,'①在庫を貼る'!$W$6:$W$10005,$W848)+COUNTIFS('月1回_1ヶ月前の在庫'!$V$6:$V$10005,$V848,'月1回_1ヶ月前の在庫'!$W$6:$W$10005,$W848)&gt;0),N(U847),N(U847)+1))</f>
        <v/>
      </c>
      <c r="V848" s="19">
        <f>IF($B848="","",TEXT($B848,"0000"))</f>
        <v/>
      </c>
      <c r="W848" s="19">
        <f>IF($I848="","",IF(ISNUMBER($I848),TEXT($I848,"0"),$I848))</f>
        <v/>
      </c>
    </row>
    <row r="849">
      <c r="B849" s="25" t="n"/>
      <c r="I849" s="25" t="n"/>
      <c r="U849" s="19">
        <f>IF($V849&lt;&gt;'設定'!$C$4,N(U848),IF(OR(NOT(COUNTIF('商品マスタ'!$B$6:$B$1005,$W849)=0),COUNTIFS('①在庫を貼る'!$V$6:$V$10005,$V849,'①在庫を貼る'!$W$6:$W$10005,$W849)+COUNTIFS('月1回_1ヶ月前の在庫'!$V$6:$V$10005,$V849,'月1回_1ヶ月前の在庫'!$W$6:$W$10005,$W849)&gt;0),N(U848),N(U848)+1))</f>
        <v/>
      </c>
      <c r="V849" s="19">
        <f>IF($B849="","",TEXT($B849,"0000"))</f>
        <v/>
      </c>
      <c r="W849" s="19">
        <f>IF($I849="","",IF(ISNUMBER($I849),TEXT($I849,"0"),$I849))</f>
        <v/>
      </c>
    </row>
    <row r="850">
      <c r="B850" s="25" t="n"/>
      <c r="I850" s="25" t="n"/>
      <c r="U850" s="19">
        <f>IF($V850&lt;&gt;'設定'!$C$4,N(U849),IF(OR(NOT(COUNTIF('商品マスタ'!$B$6:$B$1005,$W850)=0),COUNTIFS('①在庫を貼る'!$V$6:$V$10005,$V850,'①在庫を貼る'!$W$6:$W$10005,$W850)+COUNTIFS('月1回_1ヶ月前の在庫'!$V$6:$V$10005,$V850,'月1回_1ヶ月前の在庫'!$W$6:$W$10005,$W850)&gt;0),N(U849),N(U849)+1))</f>
        <v/>
      </c>
      <c r="V850" s="19">
        <f>IF($B850="","",TEXT($B850,"0000"))</f>
        <v/>
      </c>
      <c r="W850" s="19">
        <f>IF($I850="","",IF(ISNUMBER($I850),TEXT($I850,"0"),$I850))</f>
        <v/>
      </c>
    </row>
    <row r="851">
      <c r="B851" s="25" t="n"/>
      <c r="I851" s="25" t="n"/>
      <c r="U851" s="19">
        <f>IF($V851&lt;&gt;'設定'!$C$4,N(U850),IF(OR(NOT(COUNTIF('商品マスタ'!$B$6:$B$1005,$W851)=0),COUNTIFS('①在庫を貼る'!$V$6:$V$10005,$V851,'①在庫を貼る'!$W$6:$W$10005,$W851)+COUNTIFS('月1回_1ヶ月前の在庫'!$V$6:$V$10005,$V851,'月1回_1ヶ月前の在庫'!$W$6:$W$10005,$W851)&gt;0),N(U850),N(U850)+1))</f>
        <v/>
      </c>
      <c r="V851" s="19">
        <f>IF($B851="","",TEXT($B851,"0000"))</f>
        <v/>
      </c>
      <c r="W851" s="19">
        <f>IF($I851="","",IF(ISNUMBER($I851),TEXT($I851,"0"),$I851))</f>
        <v/>
      </c>
    </row>
    <row r="852">
      <c r="B852" s="25" t="n"/>
      <c r="I852" s="25" t="n"/>
      <c r="U852" s="19">
        <f>IF($V852&lt;&gt;'設定'!$C$4,N(U851),IF(OR(NOT(COUNTIF('商品マスタ'!$B$6:$B$1005,$W852)=0),COUNTIFS('①在庫を貼る'!$V$6:$V$10005,$V852,'①在庫を貼る'!$W$6:$W$10005,$W852)+COUNTIFS('月1回_1ヶ月前の在庫'!$V$6:$V$10005,$V852,'月1回_1ヶ月前の在庫'!$W$6:$W$10005,$W852)&gt;0),N(U851),N(U851)+1))</f>
        <v/>
      </c>
      <c r="V852" s="19">
        <f>IF($B852="","",TEXT($B852,"0000"))</f>
        <v/>
      </c>
      <c r="W852" s="19">
        <f>IF($I852="","",IF(ISNUMBER($I852),TEXT($I852,"0"),$I852))</f>
        <v/>
      </c>
    </row>
    <row r="853">
      <c r="B853" s="25" t="n"/>
      <c r="I853" s="25" t="n"/>
      <c r="U853" s="19">
        <f>IF($V853&lt;&gt;'設定'!$C$4,N(U852),IF(OR(NOT(COUNTIF('商品マスタ'!$B$6:$B$1005,$W853)=0),COUNTIFS('①在庫を貼る'!$V$6:$V$10005,$V853,'①在庫を貼る'!$W$6:$W$10005,$W853)+COUNTIFS('月1回_1ヶ月前の在庫'!$V$6:$V$10005,$V853,'月1回_1ヶ月前の在庫'!$W$6:$W$10005,$W853)&gt;0),N(U852),N(U852)+1))</f>
        <v/>
      </c>
      <c r="V853" s="19">
        <f>IF($B853="","",TEXT($B853,"0000"))</f>
        <v/>
      </c>
      <c r="W853" s="19">
        <f>IF($I853="","",IF(ISNUMBER($I853),TEXT($I853,"0"),$I853))</f>
        <v/>
      </c>
    </row>
    <row r="854">
      <c r="B854" s="25" t="n"/>
      <c r="I854" s="25" t="n"/>
      <c r="U854" s="19">
        <f>IF($V854&lt;&gt;'設定'!$C$4,N(U853),IF(OR(NOT(COUNTIF('商品マスタ'!$B$6:$B$1005,$W854)=0),COUNTIFS('①在庫を貼る'!$V$6:$V$10005,$V854,'①在庫を貼る'!$W$6:$W$10005,$W854)+COUNTIFS('月1回_1ヶ月前の在庫'!$V$6:$V$10005,$V854,'月1回_1ヶ月前の在庫'!$W$6:$W$10005,$W854)&gt;0),N(U853),N(U853)+1))</f>
        <v/>
      </c>
      <c r="V854" s="19">
        <f>IF($B854="","",TEXT($B854,"0000"))</f>
        <v/>
      </c>
      <c r="W854" s="19">
        <f>IF($I854="","",IF(ISNUMBER($I854),TEXT($I854,"0"),$I854))</f>
        <v/>
      </c>
    </row>
    <row r="855">
      <c r="B855" s="25" t="n"/>
      <c r="I855" s="25" t="n"/>
      <c r="U855" s="19">
        <f>IF($V855&lt;&gt;'設定'!$C$4,N(U854),IF(OR(NOT(COUNTIF('商品マスタ'!$B$6:$B$1005,$W855)=0),COUNTIFS('①在庫を貼る'!$V$6:$V$10005,$V855,'①在庫を貼る'!$W$6:$W$10005,$W855)+COUNTIFS('月1回_1ヶ月前の在庫'!$V$6:$V$10005,$V855,'月1回_1ヶ月前の在庫'!$W$6:$W$10005,$W855)&gt;0),N(U854),N(U854)+1))</f>
        <v/>
      </c>
      <c r="V855" s="19">
        <f>IF($B855="","",TEXT($B855,"0000"))</f>
        <v/>
      </c>
      <c r="W855" s="19">
        <f>IF($I855="","",IF(ISNUMBER($I855),TEXT($I855,"0"),$I855))</f>
        <v/>
      </c>
    </row>
    <row r="856">
      <c r="B856" s="25" t="n"/>
      <c r="I856" s="25" t="n"/>
      <c r="U856" s="19">
        <f>IF($V856&lt;&gt;'設定'!$C$4,N(U855),IF(OR(NOT(COUNTIF('商品マスタ'!$B$6:$B$1005,$W856)=0),COUNTIFS('①在庫を貼る'!$V$6:$V$10005,$V856,'①在庫を貼る'!$W$6:$W$10005,$W856)+COUNTIFS('月1回_1ヶ月前の在庫'!$V$6:$V$10005,$V856,'月1回_1ヶ月前の在庫'!$W$6:$W$10005,$W856)&gt;0),N(U855),N(U855)+1))</f>
        <v/>
      </c>
      <c r="V856" s="19">
        <f>IF($B856="","",TEXT($B856,"0000"))</f>
        <v/>
      </c>
      <c r="W856" s="19">
        <f>IF($I856="","",IF(ISNUMBER($I856),TEXT($I856,"0"),$I856))</f>
        <v/>
      </c>
    </row>
    <row r="857">
      <c r="B857" s="25" t="n"/>
      <c r="I857" s="25" t="n"/>
      <c r="U857" s="19">
        <f>IF($V857&lt;&gt;'設定'!$C$4,N(U856),IF(OR(NOT(COUNTIF('商品マスタ'!$B$6:$B$1005,$W857)=0),COUNTIFS('①在庫を貼る'!$V$6:$V$10005,$V857,'①在庫を貼る'!$W$6:$W$10005,$W857)+COUNTIFS('月1回_1ヶ月前の在庫'!$V$6:$V$10005,$V857,'月1回_1ヶ月前の在庫'!$W$6:$W$10005,$W857)&gt;0),N(U856),N(U856)+1))</f>
        <v/>
      </c>
      <c r="V857" s="19">
        <f>IF($B857="","",TEXT($B857,"0000"))</f>
        <v/>
      </c>
      <c r="W857" s="19">
        <f>IF($I857="","",IF(ISNUMBER($I857),TEXT($I857,"0"),$I857))</f>
        <v/>
      </c>
    </row>
    <row r="858">
      <c r="B858" s="25" t="n"/>
      <c r="I858" s="25" t="n"/>
      <c r="U858" s="19">
        <f>IF($V858&lt;&gt;'設定'!$C$4,N(U857),IF(OR(NOT(COUNTIF('商品マスタ'!$B$6:$B$1005,$W858)=0),COUNTIFS('①在庫を貼る'!$V$6:$V$10005,$V858,'①在庫を貼る'!$W$6:$W$10005,$W858)+COUNTIFS('月1回_1ヶ月前の在庫'!$V$6:$V$10005,$V858,'月1回_1ヶ月前の在庫'!$W$6:$W$10005,$W858)&gt;0),N(U857),N(U857)+1))</f>
        <v/>
      </c>
      <c r="V858" s="19">
        <f>IF($B858="","",TEXT($B858,"0000"))</f>
        <v/>
      </c>
      <c r="W858" s="19">
        <f>IF($I858="","",IF(ISNUMBER($I858),TEXT($I858,"0"),$I858))</f>
        <v/>
      </c>
    </row>
    <row r="859">
      <c r="B859" s="25" t="n"/>
      <c r="I859" s="25" t="n"/>
      <c r="U859" s="19">
        <f>IF($V859&lt;&gt;'設定'!$C$4,N(U858),IF(OR(NOT(COUNTIF('商品マスタ'!$B$6:$B$1005,$W859)=0),COUNTIFS('①在庫を貼る'!$V$6:$V$10005,$V859,'①在庫を貼る'!$W$6:$W$10005,$W859)+COUNTIFS('月1回_1ヶ月前の在庫'!$V$6:$V$10005,$V859,'月1回_1ヶ月前の在庫'!$W$6:$W$10005,$W859)&gt;0),N(U858),N(U858)+1))</f>
        <v/>
      </c>
      <c r="V859" s="19">
        <f>IF($B859="","",TEXT($B859,"0000"))</f>
        <v/>
      </c>
      <c r="W859" s="19">
        <f>IF($I859="","",IF(ISNUMBER($I859),TEXT($I859,"0"),$I859))</f>
        <v/>
      </c>
    </row>
    <row r="860">
      <c r="B860" s="25" t="n"/>
      <c r="I860" s="25" t="n"/>
      <c r="U860" s="19">
        <f>IF($V860&lt;&gt;'設定'!$C$4,N(U859),IF(OR(NOT(COUNTIF('商品マスタ'!$B$6:$B$1005,$W860)=0),COUNTIFS('①在庫を貼る'!$V$6:$V$10005,$V860,'①在庫を貼る'!$W$6:$W$10005,$W860)+COUNTIFS('月1回_1ヶ月前の在庫'!$V$6:$V$10005,$V860,'月1回_1ヶ月前の在庫'!$W$6:$W$10005,$W860)&gt;0),N(U859),N(U859)+1))</f>
        <v/>
      </c>
      <c r="V860" s="19">
        <f>IF($B860="","",TEXT($B860,"0000"))</f>
        <v/>
      </c>
      <c r="W860" s="19">
        <f>IF($I860="","",IF(ISNUMBER($I860),TEXT($I860,"0"),$I860))</f>
        <v/>
      </c>
    </row>
    <row r="861">
      <c r="B861" s="25" t="n"/>
      <c r="I861" s="25" t="n"/>
      <c r="U861" s="19">
        <f>IF($V861&lt;&gt;'設定'!$C$4,N(U860),IF(OR(NOT(COUNTIF('商品マスタ'!$B$6:$B$1005,$W861)=0),COUNTIFS('①在庫を貼る'!$V$6:$V$10005,$V861,'①在庫を貼る'!$W$6:$W$10005,$W861)+COUNTIFS('月1回_1ヶ月前の在庫'!$V$6:$V$10005,$V861,'月1回_1ヶ月前の在庫'!$W$6:$W$10005,$W861)&gt;0),N(U860),N(U860)+1))</f>
        <v/>
      </c>
      <c r="V861" s="19">
        <f>IF($B861="","",TEXT($B861,"0000"))</f>
        <v/>
      </c>
      <c r="W861" s="19">
        <f>IF($I861="","",IF(ISNUMBER($I861),TEXT($I861,"0"),$I861))</f>
        <v/>
      </c>
    </row>
    <row r="862">
      <c r="B862" s="25" t="n"/>
      <c r="I862" s="25" t="n"/>
      <c r="U862" s="19">
        <f>IF($V862&lt;&gt;'設定'!$C$4,N(U861),IF(OR(NOT(COUNTIF('商品マスタ'!$B$6:$B$1005,$W862)=0),COUNTIFS('①在庫を貼る'!$V$6:$V$10005,$V862,'①在庫を貼る'!$W$6:$W$10005,$W862)+COUNTIFS('月1回_1ヶ月前の在庫'!$V$6:$V$10005,$V862,'月1回_1ヶ月前の在庫'!$W$6:$W$10005,$W862)&gt;0),N(U861),N(U861)+1))</f>
        <v/>
      </c>
      <c r="V862" s="19">
        <f>IF($B862="","",TEXT($B862,"0000"))</f>
        <v/>
      </c>
      <c r="W862" s="19">
        <f>IF($I862="","",IF(ISNUMBER($I862),TEXT($I862,"0"),$I862))</f>
        <v/>
      </c>
    </row>
    <row r="863">
      <c r="B863" s="25" t="n"/>
      <c r="I863" s="25" t="n"/>
      <c r="U863" s="19">
        <f>IF($V863&lt;&gt;'設定'!$C$4,N(U862),IF(OR(NOT(COUNTIF('商品マスタ'!$B$6:$B$1005,$W863)=0),COUNTIFS('①在庫を貼る'!$V$6:$V$10005,$V863,'①在庫を貼る'!$W$6:$W$10005,$W863)+COUNTIFS('月1回_1ヶ月前の在庫'!$V$6:$V$10005,$V863,'月1回_1ヶ月前の在庫'!$W$6:$W$10005,$W863)&gt;0),N(U862),N(U862)+1))</f>
        <v/>
      </c>
      <c r="V863" s="19">
        <f>IF($B863="","",TEXT($B863,"0000"))</f>
        <v/>
      </c>
      <c r="W863" s="19">
        <f>IF($I863="","",IF(ISNUMBER($I863),TEXT($I863,"0"),$I863))</f>
        <v/>
      </c>
    </row>
    <row r="864">
      <c r="B864" s="25" t="n"/>
      <c r="I864" s="25" t="n"/>
      <c r="U864" s="19">
        <f>IF($V864&lt;&gt;'設定'!$C$4,N(U863),IF(OR(NOT(COUNTIF('商品マスタ'!$B$6:$B$1005,$W864)=0),COUNTIFS('①在庫を貼る'!$V$6:$V$10005,$V864,'①在庫を貼る'!$W$6:$W$10005,$W864)+COUNTIFS('月1回_1ヶ月前の在庫'!$V$6:$V$10005,$V864,'月1回_1ヶ月前の在庫'!$W$6:$W$10005,$W864)&gt;0),N(U863),N(U863)+1))</f>
        <v/>
      </c>
      <c r="V864" s="19">
        <f>IF($B864="","",TEXT($B864,"0000"))</f>
        <v/>
      </c>
      <c r="W864" s="19">
        <f>IF($I864="","",IF(ISNUMBER($I864),TEXT($I864,"0"),$I864))</f>
        <v/>
      </c>
    </row>
    <row r="865">
      <c r="B865" s="25" t="n"/>
      <c r="I865" s="25" t="n"/>
      <c r="U865" s="19">
        <f>IF($V865&lt;&gt;'設定'!$C$4,N(U864),IF(OR(NOT(COUNTIF('商品マスタ'!$B$6:$B$1005,$W865)=0),COUNTIFS('①在庫を貼る'!$V$6:$V$10005,$V865,'①在庫を貼る'!$W$6:$W$10005,$W865)+COUNTIFS('月1回_1ヶ月前の在庫'!$V$6:$V$10005,$V865,'月1回_1ヶ月前の在庫'!$W$6:$W$10005,$W865)&gt;0),N(U864),N(U864)+1))</f>
        <v/>
      </c>
      <c r="V865" s="19">
        <f>IF($B865="","",TEXT($B865,"0000"))</f>
        <v/>
      </c>
      <c r="W865" s="19">
        <f>IF($I865="","",IF(ISNUMBER($I865),TEXT($I865,"0"),$I865))</f>
        <v/>
      </c>
    </row>
    <row r="866">
      <c r="B866" s="25" t="n"/>
      <c r="I866" s="25" t="n"/>
      <c r="U866" s="19">
        <f>IF($V866&lt;&gt;'設定'!$C$4,N(U865),IF(OR(NOT(COUNTIF('商品マスタ'!$B$6:$B$1005,$W866)=0),COUNTIFS('①在庫を貼る'!$V$6:$V$10005,$V866,'①在庫を貼る'!$W$6:$W$10005,$W866)+COUNTIFS('月1回_1ヶ月前の在庫'!$V$6:$V$10005,$V866,'月1回_1ヶ月前の在庫'!$W$6:$W$10005,$W866)&gt;0),N(U865),N(U865)+1))</f>
        <v/>
      </c>
      <c r="V866" s="19">
        <f>IF($B866="","",TEXT($B866,"0000"))</f>
        <v/>
      </c>
      <c r="W866" s="19">
        <f>IF($I866="","",IF(ISNUMBER($I866),TEXT($I866,"0"),$I866))</f>
        <v/>
      </c>
    </row>
    <row r="867">
      <c r="B867" s="25" t="n"/>
      <c r="I867" s="25" t="n"/>
      <c r="U867" s="19">
        <f>IF($V867&lt;&gt;'設定'!$C$4,N(U866),IF(OR(NOT(COUNTIF('商品マスタ'!$B$6:$B$1005,$W867)=0),COUNTIFS('①在庫を貼る'!$V$6:$V$10005,$V867,'①在庫を貼る'!$W$6:$W$10005,$W867)+COUNTIFS('月1回_1ヶ月前の在庫'!$V$6:$V$10005,$V867,'月1回_1ヶ月前の在庫'!$W$6:$W$10005,$W867)&gt;0),N(U866),N(U866)+1))</f>
        <v/>
      </c>
      <c r="V867" s="19">
        <f>IF($B867="","",TEXT($B867,"0000"))</f>
        <v/>
      </c>
      <c r="W867" s="19">
        <f>IF($I867="","",IF(ISNUMBER($I867),TEXT($I867,"0"),$I867))</f>
        <v/>
      </c>
    </row>
    <row r="868">
      <c r="B868" s="25" t="n"/>
      <c r="I868" s="25" t="n"/>
      <c r="U868" s="19">
        <f>IF($V868&lt;&gt;'設定'!$C$4,N(U867),IF(OR(NOT(COUNTIF('商品マスタ'!$B$6:$B$1005,$W868)=0),COUNTIFS('①在庫を貼る'!$V$6:$V$10005,$V868,'①在庫を貼る'!$W$6:$W$10005,$W868)+COUNTIFS('月1回_1ヶ月前の在庫'!$V$6:$V$10005,$V868,'月1回_1ヶ月前の在庫'!$W$6:$W$10005,$W868)&gt;0),N(U867),N(U867)+1))</f>
        <v/>
      </c>
      <c r="V868" s="19">
        <f>IF($B868="","",TEXT($B868,"0000"))</f>
        <v/>
      </c>
      <c r="W868" s="19">
        <f>IF($I868="","",IF(ISNUMBER($I868),TEXT($I868,"0"),$I868))</f>
        <v/>
      </c>
    </row>
    <row r="869">
      <c r="B869" s="25" t="n"/>
      <c r="I869" s="25" t="n"/>
      <c r="U869" s="19">
        <f>IF($V869&lt;&gt;'設定'!$C$4,N(U868),IF(OR(NOT(COUNTIF('商品マスタ'!$B$6:$B$1005,$W869)=0),COUNTIFS('①在庫を貼る'!$V$6:$V$10005,$V869,'①在庫を貼る'!$W$6:$W$10005,$W869)+COUNTIFS('月1回_1ヶ月前の在庫'!$V$6:$V$10005,$V869,'月1回_1ヶ月前の在庫'!$W$6:$W$10005,$W869)&gt;0),N(U868),N(U868)+1))</f>
        <v/>
      </c>
      <c r="V869" s="19">
        <f>IF($B869="","",TEXT($B869,"0000"))</f>
        <v/>
      </c>
      <c r="W869" s="19">
        <f>IF($I869="","",IF(ISNUMBER($I869),TEXT($I869,"0"),$I869))</f>
        <v/>
      </c>
    </row>
    <row r="870">
      <c r="B870" s="25" t="n"/>
      <c r="I870" s="25" t="n"/>
      <c r="U870" s="19">
        <f>IF($V870&lt;&gt;'設定'!$C$4,N(U869),IF(OR(NOT(COUNTIF('商品マスタ'!$B$6:$B$1005,$W870)=0),COUNTIFS('①在庫を貼る'!$V$6:$V$10005,$V870,'①在庫を貼る'!$W$6:$W$10005,$W870)+COUNTIFS('月1回_1ヶ月前の在庫'!$V$6:$V$10005,$V870,'月1回_1ヶ月前の在庫'!$W$6:$W$10005,$W870)&gt;0),N(U869),N(U869)+1))</f>
        <v/>
      </c>
      <c r="V870" s="19">
        <f>IF($B870="","",TEXT($B870,"0000"))</f>
        <v/>
      </c>
      <c r="W870" s="19">
        <f>IF($I870="","",IF(ISNUMBER($I870),TEXT($I870,"0"),$I870))</f>
        <v/>
      </c>
    </row>
    <row r="871">
      <c r="B871" s="25" t="n"/>
      <c r="I871" s="25" t="n"/>
      <c r="U871" s="19">
        <f>IF($V871&lt;&gt;'設定'!$C$4,N(U870),IF(OR(NOT(COUNTIF('商品マスタ'!$B$6:$B$1005,$W871)=0),COUNTIFS('①在庫を貼る'!$V$6:$V$10005,$V871,'①在庫を貼る'!$W$6:$W$10005,$W871)+COUNTIFS('月1回_1ヶ月前の在庫'!$V$6:$V$10005,$V871,'月1回_1ヶ月前の在庫'!$W$6:$W$10005,$W871)&gt;0),N(U870),N(U870)+1))</f>
        <v/>
      </c>
      <c r="V871" s="19">
        <f>IF($B871="","",TEXT($B871,"0000"))</f>
        <v/>
      </c>
      <c r="W871" s="19">
        <f>IF($I871="","",IF(ISNUMBER($I871),TEXT($I871,"0"),$I871))</f>
        <v/>
      </c>
    </row>
    <row r="872">
      <c r="B872" s="25" t="n"/>
      <c r="I872" s="25" t="n"/>
      <c r="U872" s="19">
        <f>IF($V872&lt;&gt;'設定'!$C$4,N(U871),IF(OR(NOT(COUNTIF('商品マスタ'!$B$6:$B$1005,$W872)=0),COUNTIFS('①在庫を貼る'!$V$6:$V$10005,$V872,'①在庫を貼る'!$W$6:$W$10005,$W872)+COUNTIFS('月1回_1ヶ月前の在庫'!$V$6:$V$10005,$V872,'月1回_1ヶ月前の在庫'!$W$6:$W$10005,$W872)&gt;0),N(U871),N(U871)+1))</f>
        <v/>
      </c>
      <c r="V872" s="19">
        <f>IF($B872="","",TEXT($B872,"0000"))</f>
        <v/>
      </c>
      <c r="W872" s="19">
        <f>IF($I872="","",IF(ISNUMBER($I872),TEXT($I872,"0"),$I872))</f>
        <v/>
      </c>
    </row>
    <row r="873">
      <c r="B873" s="25" t="n"/>
      <c r="I873" s="25" t="n"/>
      <c r="U873" s="19">
        <f>IF($V873&lt;&gt;'設定'!$C$4,N(U872),IF(OR(NOT(COUNTIF('商品マスタ'!$B$6:$B$1005,$W873)=0),COUNTIFS('①在庫を貼る'!$V$6:$V$10005,$V873,'①在庫を貼る'!$W$6:$W$10005,$W873)+COUNTIFS('月1回_1ヶ月前の在庫'!$V$6:$V$10005,$V873,'月1回_1ヶ月前の在庫'!$W$6:$W$10005,$W873)&gt;0),N(U872),N(U872)+1))</f>
        <v/>
      </c>
      <c r="V873" s="19">
        <f>IF($B873="","",TEXT($B873,"0000"))</f>
        <v/>
      </c>
      <c r="W873" s="19">
        <f>IF($I873="","",IF(ISNUMBER($I873),TEXT($I873,"0"),$I873))</f>
        <v/>
      </c>
    </row>
    <row r="874">
      <c r="B874" s="25" t="n"/>
      <c r="I874" s="25" t="n"/>
      <c r="U874" s="19">
        <f>IF($V874&lt;&gt;'設定'!$C$4,N(U873),IF(OR(NOT(COUNTIF('商品マスタ'!$B$6:$B$1005,$W874)=0),COUNTIFS('①在庫を貼る'!$V$6:$V$10005,$V874,'①在庫を貼る'!$W$6:$W$10005,$W874)+COUNTIFS('月1回_1ヶ月前の在庫'!$V$6:$V$10005,$V874,'月1回_1ヶ月前の在庫'!$W$6:$W$10005,$W874)&gt;0),N(U873),N(U873)+1))</f>
        <v/>
      </c>
      <c r="V874" s="19">
        <f>IF($B874="","",TEXT($B874,"0000"))</f>
        <v/>
      </c>
      <c r="W874" s="19">
        <f>IF($I874="","",IF(ISNUMBER($I874),TEXT($I874,"0"),$I874))</f>
        <v/>
      </c>
    </row>
    <row r="875">
      <c r="B875" s="25" t="n"/>
      <c r="I875" s="25" t="n"/>
      <c r="U875" s="19">
        <f>IF($V875&lt;&gt;'設定'!$C$4,N(U874),IF(OR(NOT(COUNTIF('商品マスタ'!$B$6:$B$1005,$W875)=0),COUNTIFS('①在庫を貼る'!$V$6:$V$10005,$V875,'①在庫を貼る'!$W$6:$W$10005,$W875)+COUNTIFS('月1回_1ヶ月前の在庫'!$V$6:$V$10005,$V875,'月1回_1ヶ月前の在庫'!$W$6:$W$10005,$W875)&gt;0),N(U874),N(U874)+1))</f>
        <v/>
      </c>
      <c r="V875" s="19">
        <f>IF($B875="","",TEXT($B875,"0000"))</f>
        <v/>
      </c>
      <c r="W875" s="19">
        <f>IF($I875="","",IF(ISNUMBER($I875),TEXT($I875,"0"),$I875))</f>
        <v/>
      </c>
    </row>
    <row r="876">
      <c r="B876" s="25" t="n"/>
      <c r="I876" s="25" t="n"/>
      <c r="U876" s="19">
        <f>IF($V876&lt;&gt;'設定'!$C$4,N(U875),IF(OR(NOT(COUNTIF('商品マスタ'!$B$6:$B$1005,$W876)=0),COUNTIFS('①在庫を貼る'!$V$6:$V$10005,$V876,'①在庫を貼る'!$W$6:$W$10005,$W876)+COUNTIFS('月1回_1ヶ月前の在庫'!$V$6:$V$10005,$V876,'月1回_1ヶ月前の在庫'!$W$6:$W$10005,$W876)&gt;0),N(U875),N(U875)+1))</f>
        <v/>
      </c>
      <c r="V876" s="19">
        <f>IF($B876="","",TEXT($B876,"0000"))</f>
        <v/>
      </c>
      <c r="W876" s="19">
        <f>IF($I876="","",IF(ISNUMBER($I876),TEXT($I876,"0"),$I876))</f>
        <v/>
      </c>
    </row>
    <row r="877">
      <c r="B877" s="25" t="n"/>
      <c r="I877" s="25" t="n"/>
      <c r="U877" s="19">
        <f>IF($V877&lt;&gt;'設定'!$C$4,N(U876),IF(OR(NOT(COUNTIF('商品マスタ'!$B$6:$B$1005,$W877)=0),COUNTIFS('①在庫を貼る'!$V$6:$V$10005,$V877,'①在庫を貼る'!$W$6:$W$10005,$W877)+COUNTIFS('月1回_1ヶ月前の在庫'!$V$6:$V$10005,$V877,'月1回_1ヶ月前の在庫'!$W$6:$W$10005,$W877)&gt;0),N(U876),N(U876)+1))</f>
        <v/>
      </c>
      <c r="V877" s="19">
        <f>IF($B877="","",TEXT($B877,"0000"))</f>
        <v/>
      </c>
      <c r="W877" s="19">
        <f>IF($I877="","",IF(ISNUMBER($I877),TEXT($I877,"0"),$I877))</f>
        <v/>
      </c>
    </row>
    <row r="878">
      <c r="B878" s="25" t="n"/>
      <c r="I878" s="25" t="n"/>
      <c r="U878" s="19">
        <f>IF($V878&lt;&gt;'設定'!$C$4,N(U877),IF(OR(NOT(COUNTIF('商品マスタ'!$B$6:$B$1005,$W878)=0),COUNTIFS('①在庫を貼る'!$V$6:$V$10005,$V878,'①在庫を貼る'!$W$6:$W$10005,$W878)+COUNTIFS('月1回_1ヶ月前の在庫'!$V$6:$V$10005,$V878,'月1回_1ヶ月前の在庫'!$W$6:$W$10005,$W878)&gt;0),N(U877),N(U877)+1))</f>
        <v/>
      </c>
      <c r="V878" s="19">
        <f>IF($B878="","",TEXT($B878,"0000"))</f>
        <v/>
      </c>
      <c r="W878" s="19">
        <f>IF($I878="","",IF(ISNUMBER($I878),TEXT($I878,"0"),$I878))</f>
        <v/>
      </c>
    </row>
    <row r="879">
      <c r="B879" s="25" t="n"/>
      <c r="I879" s="25" t="n"/>
      <c r="U879" s="19">
        <f>IF($V879&lt;&gt;'設定'!$C$4,N(U878),IF(OR(NOT(COUNTIF('商品マスタ'!$B$6:$B$1005,$W879)=0),COUNTIFS('①在庫を貼る'!$V$6:$V$10005,$V879,'①在庫を貼る'!$W$6:$W$10005,$W879)+COUNTIFS('月1回_1ヶ月前の在庫'!$V$6:$V$10005,$V879,'月1回_1ヶ月前の在庫'!$W$6:$W$10005,$W879)&gt;0),N(U878),N(U878)+1))</f>
        <v/>
      </c>
      <c r="V879" s="19">
        <f>IF($B879="","",TEXT($B879,"0000"))</f>
        <v/>
      </c>
      <c r="W879" s="19">
        <f>IF($I879="","",IF(ISNUMBER($I879),TEXT($I879,"0"),$I879))</f>
        <v/>
      </c>
    </row>
    <row r="880">
      <c r="B880" s="25" t="n"/>
      <c r="I880" s="25" t="n"/>
      <c r="U880" s="19">
        <f>IF($V880&lt;&gt;'設定'!$C$4,N(U879),IF(OR(NOT(COUNTIF('商品マスタ'!$B$6:$B$1005,$W880)=0),COUNTIFS('①在庫を貼る'!$V$6:$V$10005,$V880,'①在庫を貼る'!$W$6:$W$10005,$W880)+COUNTIFS('月1回_1ヶ月前の在庫'!$V$6:$V$10005,$V880,'月1回_1ヶ月前の在庫'!$W$6:$W$10005,$W880)&gt;0),N(U879),N(U879)+1))</f>
        <v/>
      </c>
      <c r="V880" s="19">
        <f>IF($B880="","",TEXT($B880,"0000"))</f>
        <v/>
      </c>
      <c r="W880" s="19">
        <f>IF($I880="","",IF(ISNUMBER($I880),TEXT($I880,"0"),$I880))</f>
        <v/>
      </c>
    </row>
    <row r="881">
      <c r="B881" s="25" t="n"/>
      <c r="I881" s="25" t="n"/>
      <c r="U881" s="19">
        <f>IF($V881&lt;&gt;'設定'!$C$4,N(U880),IF(OR(NOT(COUNTIF('商品マスタ'!$B$6:$B$1005,$W881)=0),COUNTIFS('①在庫を貼る'!$V$6:$V$10005,$V881,'①在庫を貼る'!$W$6:$W$10005,$W881)+COUNTIFS('月1回_1ヶ月前の在庫'!$V$6:$V$10005,$V881,'月1回_1ヶ月前の在庫'!$W$6:$W$10005,$W881)&gt;0),N(U880),N(U880)+1))</f>
        <v/>
      </c>
      <c r="V881" s="19">
        <f>IF($B881="","",TEXT($B881,"0000"))</f>
        <v/>
      </c>
      <c r="W881" s="19">
        <f>IF($I881="","",IF(ISNUMBER($I881),TEXT($I881,"0"),$I881))</f>
        <v/>
      </c>
    </row>
    <row r="882">
      <c r="B882" s="25" t="n"/>
      <c r="I882" s="25" t="n"/>
      <c r="U882" s="19">
        <f>IF($V882&lt;&gt;'設定'!$C$4,N(U881),IF(OR(NOT(COUNTIF('商品マスタ'!$B$6:$B$1005,$W882)=0),COUNTIFS('①在庫を貼る'!$V$6:$V$10005,$V882,'①在庫を貼る'!$W$6:$W$10005,$W882)+COUNTIFS('月1回_1ヶ月前の在庫'!$V$6:$V$10005,$V882,'月1回_1ヶ月前の在庫'!$W$6:$W$10005,$W882)&gt;0),N(U881),N(U881)+1))</f>
        <v/>
      </c>
      <c r="V882" s="19">
        <f>IF($B882="","",TEXT($B882,"0000"))</f>
        <v/>
      </c>
      <c r="W882" s="19">
        <f>IF($I882="","",IF(ISNUMBER($I882),TEXT($I882,"0"),$I882))</f>
        <v/>
      </c>
    </row>
    <row r="883">
      <c r="B883" s="25" t="n"/>
      <c r="I883" s="25" t="n"/>
      <c r="U883" s="19">
        <f>IF($V883&lt;&gt;'設定'!$C$4,N(U882),IF(OR(NOT(COUNTIF('商品マスタ'!$B$6:$B$1005,$W883)=0),COUNTIFS('①在庫を貼る'!$V$6:$V$10005,$V883,'①在庫を貼る'!$W$6:$W$10005,$W883)+COUNTIFS('月1回_1ヶ月前の在庫'!$V$6:$V$10005,$V883,'月1回_1ヶ月前の在庫'!$W$6:$W$10005,$W883)&gt;0),N(U882),N(U882)+1))</f>
        <v/>
      </c>
      <c r="V883" s="19">
        <f>IF($B883="","",TEXT($B883,"0000"))</f>
        <v/>
      </c>
      <c r="W883" s="19">
        <f>IF($I883="","",IF(ISNUMBER($I883),TEXT($I883,"0"),$I883))</f>
        <v/>
      </c>
    </row>
    <row r="884">
      <c r="B884" s="25" t="n"/>
      <c r="I884" s="25" t="n"/>
      <c r="U884" s="19">
        <f>IF($V884&lt;&gt;'設定'!$C$4,N(U883),IF(OR(NOT(COUNTIF('商品マスタ'!$B$6:$B$1005,$W884)=0),COUNTIFS('①在庫を貼る'!$V$6:$V$10005,$V884,'①在庫を貼る'!$W$6:$W$10005,$W884)+COUNTIFS('月1回_1ヶ月前の在庫'!$V$6:$V$10005,$V884,'月1回_1ヶ月前の在庫'!$W$6:$W$10005,$W884)&gt;0),N(U883),N(U883)+1))</f>
        <v/>
      </c>
      <c r="V884" s="19">
        <f>IF($B884="","",TEXT($B884,"0000"))</f>
        <v/>
      </c>
      <c r="W884" s="19">
        <f>IF($I884="","",IF(ISNUMBER($I884),TEXT($I884,"0"),$I884))</f>
        <v/>
      </c>
    </row>
    <row r="885">
      <c r="B885" s="25" t="n"/>
      <c r="I885" s="25" t="n"/>
      <c r="U885" s="19">
        <f>IF($V885&lt;&gt;'設定'!$C$4,N(U884),IF(OR(NOT(COUNTIF('商品マスタ'!$B$6:$B$1005,$W885)=0),COUNTIFS('①在庫を貼る'!$V$6:$V$10005,$V885,'①在庫を貼る'!$W$6:$W$10005,$W885)+COUNTIFS('月1回_1ヶ月前の在庫'!$V$6:$V$10005,$V885,'月1回_1ヶ月前の在庫'!$W$6:$W$10005,$W885)&gt;0),N(U884),N(U884)+1))</f>
        <v/>
      </c>
      <c r="V885" s="19">
        <f>IF($B885="","",TEXT($B885,"0000"))</f>
        <v/>
      </c>
      <c r="W885" s="19">
        <f>IF($I885="","",IF(ISNUMBER($I885),TEXT($I885,"0"),$I885))</f>
        <v/>
      </c>
    </row>
    <row r="886">
      <c r="B886" s="25" t="n"/>
      <c r="I886" s="25" t="n"/>
      <c r="U886" s="19">
        <f>IF($V886&lt;&gt;'設定'!$C$4,N(U885),IF(OR(NOT(COUNTIF('商品マスタ'!$B$6:$B$1005,$W886)=0),COUNTIFS('①在庫を貼る'!$V$6:$V$10005,$V886,'①在庫を貼る'!$W$6:$W$10005,$W886)+COUNTIFS('月1回_1ヶ月前の在庫'!$V$6:$V$10005,$V886,'月1回_1ヶ月前の在庫'!$W$6:$W$10005,$W886)&gt;0),N(U885),N(U885)+1))</f>
        <v/>
      </c>
      <c r="V886" s="19">
        <f>IF($B886="","",TEXT($B886,"0000"))</f>
        <v/>
      </c>
      <c r="W886" s="19">
        <f>IF($I886="","",IF(ISNUMBER($I886),TEXT($I886,"0"),$I886))</f>
        <v/>
      </c>
    </row>
    <row r="887">
      <c r="B887" s="25" t="n"/>
      <c r="I887" s="25" t="n"/>
      <c r="U887" s="19">
        <f>IF($V887&lt;&gt;'設定'!$C$4,N(U886),IF(OR(NOT(COUNTIF('商品マスタ'!$B$6:$B$1005,$W887)=0),COUNTIFS('①在庫を貼る'!$V$6:$V$10005,$V887,'①在庫を貼る'!$W$6:$W$10005,$W887)+COUNTIFS('月1回_1ヶ月前の在庫'!$V$6:$V$10005,$V887,'月1回_1ヶ月前の在庫'!$W$6:$W$10005,$W887)&gt;0),N(U886),N(U886)+1))</f>
        <v/>
      </c>
      <c r="V887" s="19">
        <f>IF($B887="","",TEXT($B887,"0000"))</f>
        <v/>
      </c>
      <c r="W887" s="19">
        <f>IF($I887="","",IF(ISNUMBER($I887),TEXT($I887,"0"),$I887))</f>
        <v/>
      </c>
    </row>
    <row r="888">
      <c r="B888" s="25" t="n"/>
      <c r="I888" s="25" t="n"/>
      <c r="U888" s="19">
        <f>IF($V888&lt;&gt;'設定'!$C$4,N(U887),IF(OR(NOT(COUNTIF('商品マスタ'!$B$6:$B$1005,$W888)=0),COUNTIFS('①在庫を貼る'!$V$6:$V$10005,$V888,'①在庫を貼る'!$W$6:$W$10005,$W888)+COUNTIFS('月1回_1ヶ月前の在庫'!$V$6:$V$10005,$V888,'月1回_1ヶ月前の在庫'!$W$6:$W$10005,$W888)&gt;0),N(U887),N(U887)+1))</f>
        <v/>
      </c>
      <c r="V888" s="19">
        <f>IF($B888="","",TEXT($B888,"0000"))</f>
        <v/>
      </c>
      <c r="W888" s="19">
        <f>IF($I888="","",IF(ISNUMBER($I888),TEXT($I888,"0"),$I888))</f>
        <v/>
      </c>
    </row>
    <row r="889">
      <c r="B889" s="25" t="n"/>
      <c r="I889" s="25" t="n"/>
      <c r="U889" s="19">
        <f>IF($V889&lt;&gt;'設定'!$C$4,N(U888),IF(OR(NOT(COUNTIF('商品マスタ'!$B$6:$B$1005,$W889)=0),COUNTIFS('①在庫を貼る'!$V$6:$V$10005,$V889,'①在庫を貼る'!$W$6:$W$10005,$W889)+COUNTIFS('月1回_1ヶ月前の在庫'!$V$6:$V$10005,$V889,'月1回_1ヶ月前の在庫'!$W$6:$W$10005,$W889)&gt;0),N(U888),N(U888)+1))</f>
        <v/>
      </c>
      <c r="V889" s="19">
        <f>IF($B889="","",TEXT($B889,"0000"))</f>
        <v/>
      </c>
      <c r="W889" s="19">
        <f>IF($I889="","",IF(ISNUMBER($I889),TEXT($I889,"0"),$I889))</f>
        <v/>
      </c>
    </row>
    <row r="890">
      <c r="B890" s="25" t="n"/>
      <c r="I890" s="25" t="n"/>
      <c r="U890" s="19">
        <f>IF($V890&lt;&gt;'設定'!$C$4,N(U889),IF(OR(NOT(COUNTIF('商品マスタ'!$B$6:$B$1005,$W890)=0),COUNTIFS('①在庫を貼る'!$V$6:$V$10005,$V890,'①在庫を貼る'!$W$6:$W$10005,$W890)+COUNTIFS('月1回_1ヶ月前の在庫'!$V$6:$V$10005,$V890,'月1回_1ヶ月前の在庫'!$W$6:$W$10005,$W890)&gt;0),N(U889),N(U889)+1))</f>
        <v/>
      </c>
      <c r="V890" s="19">
        <f>IF($B890="","",TEXT($B890,"0000"))</f>
        <v/>
      </c>
      <c r="W890" s="19">
        <f>IF($I890="","",IF(ISNUMBER($I890),TEXT($I890,"0"),$I890))</f>
        <v/>
      </c>
    </row>
    <row r="891">
      <c r="B891" s="25" t="n"/>
      <c r="I891" s="25" t="n"/>
      <c r="U891" s="19">
        <f>IF($V891&lt;&gt;'設定'!$C$4,N(U890),IF(OR(NOT(COUNTIF('商品マスタ'!$B$6:$B$1005,$W891)=0),COUNTIFS('①在庫を貼る'!$V$6:$V$10005,$V891,'①在庫を貼る'!$W$6:$W$10005,$W891)+COUNTIFS('月1回_1ヶ月前の在庫'!$V$6:$V$10005,$V891,'月1回_1ヶ月前の在庫'!$W$6:$W$10005,$W891)&gt;0),N(U890),N(U890)+1))</f>
        <v/>
      </c>
      <c r="V891" s="19">
        <f>IF($B891="","",TEXT($B891,"0000"))</f>
        <v/>
      </c>
      <c r="W891" s="19">
        <f>IF($I891="","",IF(ISNUMBER($I891),TEXT($I891,"0"),$I891))</f>
        <v/>
      </c>
    </row>
    <row r="892">
      <c r="B892" s="25" t="n"/>
      <c r="I892" s="25" t="n"/>
      <c r="U892" s="19">
        <f>IF($V892&lt;&gt;'設定'!$C$4,N(U891),IF(OR(NOT(COUNTIF('商品マスタ'!$B$6:$B$1005,$W892)=0),COUNTIFS('①在庫を貼る'!$V$6:$V$10005,$V892,'①在庫を貼る'!$W$6:$W$10005,$W892)+COUNTIFS('月1回_1ヶ月前の在庫'!$V$6:$V$10005,$V892,'月1回_1ヶ月前の在庫'!$W$6:$W$10005,$W892)&gt;0),N(U891),N(U891)+1))</f>
        <v/>
      </c>
      <c r="V892" s="19">
        <f>IF($B892="","",TEXT($B892,"0000"))</f>
        <v/>
      </c>
      <c r="W892" s="19">
        <f>IF($I892="","",IF(ISNUMBER($I892),TEXT($I892,"0"),$I892))</f>
        <v/>
      </c>
    </row>
    <row r="893">
      <c r="B893" s="25" t="n"/>
      <c r="I893" s="25" t="n"/>
      <c r="U893" s="19">
        <f>IF($V893&lt;&gt;'設定'!$C$4,N(U892),IF(OR(NOT(COUNTIF('商品マスタ'!$B$6:$B$1005,$W893)=0),COUNTIFS('①在庫を貼る'!$V$6:$V$10005,$V893,'①在庫を貼る'!$W$6:$W$10005,$W893)+COUNTIFS('月1回_1ヶ月前の在庫'!$V$6:$V$10005,$V893,'月1回_1ヶ月前の在庫'!$W$6:$W$10005,$W893)&gt;0),N(U892),N(U892)+1))</f>
        <v/>
      </c>
      <c r="V893" s="19">
        <f>IF($B893="","",TEXT($B893,"0000"))</f>
        <v/>
      </c>
      <c r="W893" s="19">
        <f>IF($I893="","",IF(ISNUMBER($I893),TEXT($I893,"0"),$I893))</f>
        <v/>
      </c>
    </row>
    <row r="894">
      <c r="B894" s="25" t="n"/>
      <c r="I894" s="25" t="n"/>
      <c r="U894" s="19">
        <f>IF($V894&lt;&gt;'設定'!$C$4,N(U893),IF(OR(NOT(COUNTIF('商品マスタ'!$B$6:$B$1005,$W894)=0),COUNTIFS('①在庫を貼る'!$V$6:$V$10005,$V894,'①在庫を貼る'!$W$6:$W$10005,$W894)+COUNTIFS('月1回_1ヶ月前の在庫'!$V$6:$V$10005,$V894,'月1回_1ヶ月前の在庫'!$W$6:$W$10005,$W894)&gt;0),N(U893),N(U893)+1))</f>
        <v/>
      </c>
      <c r="V894" s="19">
        <f>IF($B894="","",TEXT($B894,"0000"))</f>
        <v/>
      </c>
      <c r="W894" s="19">
        <f>IF($I894="","",IF(ISNUMBER($I894),TEXT($I894,"0"),$I894))</f>
        <v/>
      </c>
    </row>
    <row r="895">
      <c r="B895" s="25" t="n"/>
      <c r="I895" s="25" t="n"/>
      <c r="U895" s="19">
        <f>IF($V895&lt;&gt;'設定'!$C$4,N(U894),IF(OR(NOT(COUNTIF('商品マスタ'!$B$6:$B$1005,$W895)=0),COUNTIFS('①在庫を貼る'!$V$6:$V$10005,$V895,'①在庫を貼る'!$W$6:$W$10005,$W895)+COUNTIFS('月1回_1ヶ月前の在庫'!$V$6:$V$10005,$V895,'月1回_1ヶ月前の在庫'!$W$6:$W$10005,$W895)&gt;0),N(U894),N(U894)+1))</f>
        <v/>
      </c>
      <c r="V895" s="19">
        <f>IF($B895="","",TEXT($B895,"0000"))</f>
        <v/>
      </c>
      <c r="W895" s="19">
        <f>IF($I895="","",IF(ISNUMBER($I895),TEXT($I895,"0"),$I895))</f>
        <v/>
      </c>
    </row>
    <row r="896">
      <c r="B896" s="25" t="n"/>
      <c r="I896" s="25" t="n"/>
      <c r="U896" s="19">
        <f>IF($V896&lt;&gt;'設定'!$C$4,N(U895),IF(OR(NOT(COUNTIF('商品マスタ'!$B$6:$B$1005,$W896)=0),COUNTIFS('①在庫を貼る'!$V$6:$V$10005,$V896,'①在庫を貼る'!$W$6:$W$10005,$W896)+COUNTIFS('月1回_1ヶ月前の在庫'!$V$6:$V$10005,$V896,'月1回_1ヶ月前の在庫'!$W$6:$W$10005,$W896)&gt;0),N(U895),N(U895)+1))</f>
        <v/>
      </c>
      <c r="V896" s="19">
        <f>IF($B896="","",TEXT($B896,"0000"))</f>
        <v/>
      </c>
      <c r="W896" s="19">
        <f>IF($I896="","",IF(ISNUMBER($I896),TEXT($I896,"0"),$I896))</f>
        <v/>
      </c>
    </row>
    <row r="897">
      <c r="B897" s="25" t="n"/>
      <c r="I897" s="25" t="n"/>
      <c r="U897" s="19">
        <f>IF($V897&lt;&gt;'設定'!$C$4,N(U896),IF(OR(NOT(COUNTIF('商品マスタ'!$B$6:$B$1005,$W897)=0),COUNTIFS('①在庫を貼る'!$V$6:$V$10005,$V897,'①在庫を貼る'!$W$6:$W$10005,$W897)+COUNTIFS('月1回_1ヶ月前の在庫'!$V$6:$V$10005,$V897,'月1回_1ヶ月前の在庫'!$W$6:$W$10005,$W897)&gt;0),N(U896),N(U896)+1))</f>
        <v/>
      </c>
      <c r="V897" s="19">
        <f>IF($B897="","",TEXT($B897,"0000"))</f>
        <v/>
      </c>
      <c r="W897" s="19">
        <f>IF($I897="","",IF(ISNUMBER($I897),TEXT($I897,"0"),$I897))</f>
        <v/>
      </c>
    </row>
    <row r="898">
      <c r="B898" s="25" t="n"/>
      <c r="I898" s="25" t="n"/>
      <c r="U898" s="19">
        <f>IF($V898&lt;&gt;'設定'!$C$4,N(U897),IF(OR(NOT(COUNTIF('商品マスタ'!$B$6:$B$1005,$W898)=0),COUNTIFS('①在庫を貼る'!$V$6:$V$10005,$V898,'①在庫を貼る'!$W$6:$W$10005,$W898)+COUNTIFS('月1回_1ヶ月前の在庫'!$V$6:$V$10005,$V898,'月1回_1ヶ月前の在庫'!$W$6:$W$10005,$W898)&gt;0),N(U897),N(U897)+1))</f>
        <v/>
      </c>
      <c r="V898" s="19">
        <f>IF($B898="","",TEXT($B898,"0000"))</f>
        <v/>
      </c>
      <c r="W898" s="19">
        <f>IF($I898="","",IF(ISNUMBER($I898),TEXT($I898,"0"),$I898))</f>
        <v/>
      </c>
    </row>
    <row r="899">
      <c r="B899" s="25" t="n"/>
      <c r="I899" s="25" t="n"/>
      <c r="U899" s="19">
        <f>IF($V899&lt;&gt;'設定'!$C$4,N(U898),IF(OR(NOT(COUNTIF('商品マスタ'!$B$6:$B$1005,$W899)=0),COUNTIFS('①在庫を貼る'!$V$6:$V$10005,$V899,'①在庫を貼る'!$W$6:$W$10005,$W899)+COUNTIFS('月1回_1ヶ月前の在庫'!$V$6:$V$10005,$V899,'月1回_1ヶ月前の在庫'!$W$6:$W$10005,$W899)&gt;0),N(U898),N(U898)+1))</f>
        <v/>
      </c>
      <c r="V899" s="19">
        <f>IF($B899="","",TEXT($B899,"0000"))</f>
        <v/>
      </c>
      <c r="W899" s="19">
        <f>IF($I899="","",IF(ISNUMBER($I899),TEXT($I899,"0"),$I899))</f>
        <v/>
      </c>
    </row>
    <row r="900">
      <c r="B900" s="25" t="n"/>
      <c r="I900" s="25" t="n"/>
      <c r="U900" s="19">
        <f>IF($V900&lt;&gt;'設定'!$C$4,N(U899),IF(OR(NOT(COUNTIF('商品マスタ'!$B$6:$B$1005,$W900)=0),COUNTIFS('①在庫を貼る'!$V$6:$V$10005,$V900,'①在庫を貼る'!$W$6:$W$10005,$W900)+COUNTIFS('月1回_1ヶ月前の在庫'!$V$6:$V$10005,$V900,'月1回_1ヶ月前の在庫'!$W$6:$W$10005,$W900)&gt;0),N(U899),N(U899)+1))</f>
        <v/>
      </c>
      <c r="V900" s="19">
        <f>IF($B900="","",TEXT($B900,"0000"))</f>
        <v/>
      </c>
      <c r="W900" s="19">
        <f>IF($I900="","",IF(ISNUMBER($I900),TEXT($I900,"0"),$I900))</f>
        <v/>
      </c>
    </row>
    <row r="901">
      <c r="B901" s="25" t="n"/>
      <c r="I901" s="25" t="n"/>
      <c r="U901" s="19">
        <f>IF($V901&lt;&gt;'設定'!$C$4,N(U900),IF(OR(NOT(COUNTIF('商品マスタ'!$B$6:$B$1005,$W901)=0),COUNTIFS('①在庫を貼る'!$V$6:$V$10005,$V901,'①在庫を貼る'!$W$6:$W$10005,$W901)+COUNTIFS('月1回_1ヶ月前の在庫'!$V$6:$V$10005,$V901,'月1回_1ヶ月前の在庫'!$W$6:$W$10005,$W901)&gt;0),N(U900),N(U900)+1))</f>
        <v/>
      </c>
      <c r="V901" s="19">
        <f>IF($B901="","",TEXT($B901,"0000"))</f>
        <v/>
      </c>
      <c r="W901" s="19">
        <f>IF($I901="","",IF(ISNUMBER($I901),TEXT($I901,"0"),$I901))</f>
        <v/>
      </c>
    </row>
    <row r="902">
      <c r="B902" s="25" t="n"/>
      <c r="I902" s="25" t="n"/>
      <c r="U902" s="19">
        <f>IF($V902&lt;&gt;'設定'!$C$4,N(U901),IF(OR(NOT(COUNTIF('商品マスタ'!$B$6:$B$1005,$W902)=0),COUNTIFS('①在庫を貼る'!$V$6:$V$10005,$V902,'①在庫を貼る'!$W$6:$W$10005,$W902)+COUNTIFS('月1回_1ヶ月前の在庫'!$V$6:$V$10005,$V902,'月1回_1ヶ月前の在庫'!$W$6:$W$10005,$W902)&gt;0),N(U901),N(U901)+1))</f>
        <v/>
      </c>
      <c r="V902" s="19">
        <f>IF($B902="","",TEXT($B902,"0000"))</f>
        <v/>
      </c>
      <c r="W902" s="19">
        <f>IF($I902="","",IF(ISNUMBER($I902),TEXT($I902,"0"),$I902))</f>
        <v/>
      </c>
    </row>
    <row r="903">
      <c r="B903" s="25" t="n"/>
      <c r="I903" s="25" t="n"/>
      <c r="U903" s="19">
        <f>IF($V903&lt;&gt;'設定'!$C$4,N(U902),IF(OR(NOT(COUNTIF('商品マスタ'!$B$6:$B$1005,$W903)=0),COUNTIFS('①在庫を貼る'!$V$6:$V$10005,$V903,'①在庫を貼る'!$W$6:$W$10005,$W903)+COUNTIFS('月1回_1ヶ月前の在庫'!$V$6:$V$10005,$V903,'月1回_1ヶ月前の在庫'!$W$6:$W$10005,$W903)&gt;0),N(U902),N(U902)+1))</f>
        <v/>
      </c>
      <c r="V903" s="19">
        <f>IF($B903="","",TEXT($B903,"0000"))</f>
        <v/>
      </c>
      <c r="W903" s="19">
        <f>IF($I903="","",IF(ISNUMBER($I903),TEXT($I903,"0"),$I903))</f>
        <v/>
      </c>
    </row>
    <row r="904">
      <c r="B904" s="25" t="n"/>
      <c r="I904" s="25" t="n"/>
      <c r="U904" s="19">
        <f>IF($V904&lt;&gt;'設定'!$C$4,N(U903),IF(OR(NOT(COUNTIF('商品マスタ'!$B$6:$B$1005,$W904)=0),COUNTIFS('①在庫を貼る'!$V$6:$V$10005,$V904,'①在庫を貼る'!$W$6:$W$10005,$W904)+COUNTIFS('月1回_1ヶ月前の在庫'!$V$6:$V$10005,$V904,'月1回_1ヶ月前の在庫'!$W$6:$W$10005,$W904)&gt;0),N(U903),N(U903)+1))</f>
        <v/>
      </c>
      <c r="V904" s="19">
        <f>IF($B904="","",TEXT($B904,"0000"))</f>
        <v/>
      </c>
      <c r="W904" s="19">
        <f>IF($I904="","",IF(ISNUMBER($I904),TEXT($I904,"0"),$I904))</f>
        <v/>
      </c>
    </row>
    <row r="905">
      <c r="B905" s="25" t="n"/>
      <c r="I905" s="25" t="n"/>
      <c r="U905" s="19">
        <f>IF($V905&lt;&gt;'設定'!$C$4,N(U904),IF(OR(NOT(COUNTIF('商品マスタ'!$B$6:$B$1005,$W905)=0),COUNTIFS('①在庫を貼る'!$V$6:$V$10005,$V905,'①在庫を貼る'!$W$6:$W$10005,$W905)+COUNTIFS('月1回_1ヶ月前の在庫'!$V$6:$V$10005,$V905,'月1回_1ヶ月前の在庫'!$W$6:$W$10005,$W905)&gt;0),N(U904),N(U904)+1))</f>
        <v/>
      </c>
      <c r="V905" s="19">
        <f>IF($B905="","",TEXT($B905,"0000"))</f>
        <v/>
      </c>
      <c r="W905" s="19">
        <f>IF($I905="","",IF(ISNUMBER($I905),TEXT($I905,"0"),$I905))</f>
        <v/>
      </c>
    </row>
    <row r="906">
      <c r="B906" s="25" t="n"/>
      <c r="I906" s="25" t="n"/>
      <c r="U906" s="19">
        <f>IF($V906&lt;&gt;'設定'!$C$4,N(U905),IF(OR(NOT(COUNTIF('商品マスタ'!$B$6:$B$1005,$W906)=0),COUNTIFS('①在庫を貼る'!$V$6:$V$10005,$V906,'①在庫を貼る'!$W$6:$W$10005,$W906)+COUNTIFS('月1回_1ヶ月前の在庫'!$V$6:$V$10005,$V906,'月1回_1ヶ月前の在庫'!$W$6:$W$10005,$W906)&gt;0),N(U905),N(U905)+1))</f>
        <v/>
      </c>
      <c r="V906" s="19">
        <f>IF($B906="","",TEXT($B906,"0000"))</f>
        <v/>
      </c>
      <c r="W906" s="19">
        <f>IF($I906="","",IF(ISNUMBER($I906),TEXT($I906,"0"),$I906))</f>
        <v/>
      </c>
    </row>
    <row r="907">
      <c r="B907" s="25" t="n"/>
      <c r="I907" s="25" t="n"/>
      <c r="U907" s="19">
        <f>IF($V907&lt;&gt;'設定'!$C$4,N(U906),IF(OR(NOT(COUNTIF('商品マスタ'!$B$6:$B$1005,$W907)=0),COUNTIFS('①在庫を貼る'!$V$6:$V$10005,$V907,'①在庫を貼る'!$W$6:$W$10005,$W907)+COUNTIFS('月1回_1ヶ月前の在庫'!$V$6:$V$10005,$V907,'月1回_1ヶ月前の在庫'!$W$6:$W$10005,$W907)&gt;0),N(U906),N(U906)+1))</f>
        <v/>
      </c>
      <c r="V907" s="19">
        <f>IF($B907="","",TEXT($B907,"0000"))</f>
        <v/>
      </c>
      <c r="W907" s="19">
        <f>IF($I907="","",IF(ISNUMBER($I907),TEXT($I907,"0"),$I907))</f>
        <v/>
      </c>
    </row>
    <row r="908">
      <c r="B908" s="25" t="n"/>
      <c r="I908" s="25" t="n"/>
      <c r="U908" s="19">
        <f>IF($V908&lt;&gt;'設定'!$C$4,N(U907),IF(OR(NOT(COUNTIF('商品マスタ'!$B$6:$B$1005,$W908)=0),COUNTIFS('①在庫を貼る'!$V$6:$V$10005,$V908,'①在庫を貼る'!$W$6:$W$10005,$W908)+COUNTIFS('月1回_1ヶ月前の在庫'!$V$6:$V$10005,$V908,'月1回_1ヶ月前の在庫'!$W$6:$W$10005,$W908)&gt;0),N(U907),N(U907)+1))</f>
        <v/>
      </c>
      <c r="V908" s="19">
        <f>IF($B908="","",TEXT($B908,"0000"))</f>
        <v/>
      </c>
      <c r="W908" s="19">
        <f>IF($I908="","",IF(ISNUMBER($I908),TEXT($I908,"0"),$I908))</f>
        <v/>
      </c>
    </row>
    <row r="909">
      <c r="B909" s="25" t="n"/>
      <c r="I909" s="25" t="n"/>
      <c r="U909" s="19">
        <f>IF($V909&lt;&gt;'設定'!$C$4,N(U908),IF(OR(NOT(COUNTIF('商品マスタ'!$B$6:$B$1005,$W909)=0),COUNTIFS('①在庫を貼る'!$V$6:$V$10005,$V909,'①在庫を貼る'!$W$6:$W$10005,$W909)+COUNTIFS('月1回_1ヶ月前の在庫'!$V$6:$V$10005,$V909,'月1回_1ヶ月前の在庫'!$W$6:$W$10005,$W909)&gt;0),N(U908),N(U908)+1))</f>
        <v/>
      </c>
      <c r="V909" s="19">
        <f>IF($B909="","",TEXT($B909,"0000"))</f>
        <v/>
      </c>
      <c r="W909" s="19">
        <f>IF($I909="","",IF(ISNUMBER($I909),TEXT($I909,"0"),$I909))</f>
        <v/>
      </c>
    </row>
    <row r="910">
      <c r="B910" s="25" t="n"/>
      <c r="I910" s="25" t="n"/>
      <c r="U910" s="19">
        <f>IF($V910&lt;&gt;'設定'!$C$4,N(U909),IF(OR(NOT(COUNTIF('商品マスタ'!$B$6:$B$1005,$W910)=0),COUNTIFS('①在庫を貼る'!$V$6:$V$10005,$V910,'①在庫を貼る'!$W$6:$W$10005,$W910)+COUNTIFS('月1回_1ヶ月前の在庫'!$V$6:$V$10005,$V910,'月1回_1ヶ月前の在庫'!$W$6:$W$10005,$W910)&gt;0),N(U909),N(U909)+1))</f>
        <v/>
      </c>
      <c r="V910" s="19">
        <f>IF($B910="","",TEXT($B910,"0000"))</f>
        <v/>
      </c>
      <c r="W910" s="19">
        <f>IF($I910="","",IF(ISNUMBER($I910),TEXT($I910,"0"),$I910))</f>
        <v/>
      </c>
    </row>
    <row r="911">
      <c r="B911" s="25" t="n"/>
      <c r="I911" s="25" t="n"/>
      <c r="U911" s="19">
        <f>IF($V911&lt;&gt;'設定'!$C$4,N(U910),IF(OR(NOT(COUNTIF('商品マスタ'!$B$6:$B$1005,$W911)=0),COUNTIFS('①在庫を貼る'!$V$6:$V$10005,$V911,'①在庫を貼る'!$W$6:$W$10005,$W911)+COUNTIFS('月1回_1ヶ月前の在庫'!$V$6:$V$10005,$V911,'月1回_1ヶ月前の在庫'!$W$6:$W$10005,$W911)&gt;0),N(U910),N(U910)+1))</f>
        <v/>
      </c>
      <c r="V911" s="19">
        <f>IF($B911="","",TEXT($B911,"0000"))</f>
        <v/>
      </c>
      <c r="W911" s="19">
        <f>IF($I911="","",IF(ISNUMBER($I911),TEXT($I911,"0"),$I911))</f>
        <v/>
      </c>
    </row>
    <row r="912">
      <c r="B912" s="25" t="n"/>
      <c r="I912" s="25" t="n"/>
      <c r="U912" s="19">
        <f>IF($V912&lt;&gt;'設定'!$C$4,N(U911),IF(OR(NOT(COUNTIF('商品マスタ'!$B$6:$B$1005,$W912)=0),COUNTIFS('①在庫を貼る'!$V$6:$V$10005,$V912,'①在庫を貼る'!$W$6:$W$10005,$W912)+COUNTIFS('月1回_1ヶ月前の在庫'!$V$6:$V$10005,$V912,'月1回_1ヶ月前の在庫'!$W$6:$W$10005,$W912)&gt;0),N(U911),N(U911)+1))</f>
        <v/>
      </c>
      <c r="V912" s="19">
        <f>IF($B912="","",TEXT($B912,"0000"))</f>
        <v/>
      </c>
      <c r="W912" s="19">
        <f>IF($I912="","",IF(ISNUMBER($I912),TEXT($I912,"0"),$I912))</f>
        <v/>
      </c>
    </row>
    <row r="913">
      <c r="B913" s="25" t="n"/>
      <c r="I913" s="25" t="n"/>
      <c r="U913" s="19">
        <f>IF($V913&lt;&gt;'設定'!$C$4,N(U912),IF(OR(NOT(COUNTIF('商品マスタ'!$B$6:$B$1005,$W913)=0),COUNTIFS('①在庫を貼る'!$V$6:$V$10005,$V913,'①在庫を貼る'!$W$6:$W$10005,$W913)+COUNTIFS('月1回_1ヶ月前の在庫'!$V$6:$V$10005,$V913,'月1回_1ヶ月前の在庫'!$W$6:$W$10005,$W913)&gt;0),N(U912),N(U912)+1))</f>
        <v/>
      </c>
      <c r="V913" s="19">
        <f>IF($B913="","",TEXT($B913,"0000"))</f>
        <v/>
      </c>
      <c r="W913" s="19">
        <f>IF($I913="","",IF(ISNUMBER($I913),TEXT($I913,"0"),$I913))</f>
        <v/>
      </c>
    </row>
    <row r="914">
      <c r="B914" s="25" t="n"/>
      <c r="I914" s="25" t="n"/>
      <c r="U914" s="19">
        <f>IF($V914&lt;&gt;'設定'!$C$4,N(U913),IF(OR(NOT(COUNTIF('商品マスタ'!$B$6:$B$1005,$W914)=0),COUNTIFS('①在庫を貼る'!$V$6:$V$10005,$V914,'①在庫を貼る'!$W$6:$W$10005,$W914)+COUNTIFS('月1回_1ヶ月前の在庫'!$V$6:$V$10005,$V914,'月1回_1ヶ月前の在庫'!$W$6:$W$10005,$W914)&gt;0),N(U913),N(U913)+1))</f>
        <v/>
      </c>
      <c r="V914" s="19">
        <f>IF($B914="","",TEXT($B914,"0000"))</f>
        <v/>
      </c>
      <c r="W914" s="19">
        <f>IF($I914="","",IF(ISNUMBER($I914),TEXT($I914,"0"),$I914))</f>
        <v/>
      </c>
    </row>
    <row r="915">
      <c r="B915" s="25" t="n"/>
      <c r="I915" s="25" t="n"/>
      <c r="U915" s="19">
        <f>IF($V915&lt;&gt;'設定'!$C$4,N(U914),IF(OR(NOT(COUNTIF('商品マスタ'!$B$6:$B$1005,$W915)=0),COUNTIFS('①在庫を貼る'!$V$6:$V$10005,$V915,'①在庫を貼る'!$W$6:$W$10005,$W915)+COUNTIFS('月1回_1ヶ月前の在庫'!$V$6:$V$10005,$V915,'月1回_1ヶ月前の在庫'!$W$6:$W$10005,$W915)&gt;0),N(U914),N(U914)+1))</f>
        <v/>
      </c>
      <c r="V915" s="19">
        <f>IF($B915="","",TEXT($B915,"0000"))</f>
        <v/>
      </c>
      <c r="W915" s="19">
        <f>IF($I915="","",IF(ISNUMBER($I915),TEXT($I915,"0"),$I915))</f>
        <v/>
      </c>
    </row>
    <row r="916">
      <c r="B916" s="25" t="n"/>
      <c r="I916" s="25" t="n"/>
      <c r="U916" s="19">
        <f>IF($V916&lt;&gt;'設定'!$C$4,N(U915),IF(OR(NOT(COUNTIF('商品マスタ'!$B$6:$B$1005,$W916)=0),COUNTIFS('①在庫を貼る'!$V$6:$V$10005,$V916,'①在庫を貼る'!$W$6:$W$10005,$W916)+COUNTIFS('月1回_1ヶ月前の在庫'!$V$6:$V$10005,$V916,'月1回_1ヶ月前の在庫'!$W$6:$W$10005,$W916)&gt;0),N(U915),N(U915)+1))</f>
        <v/>
      </c>
      <c r="V916" s="19">
        <f>IF($B916="","",TEXT($B916,"0000"))</f>
        <v/>
      </c>
      <c r="W916" s="19">
        <f>IF($I916="","",IF(ISNUMBER($I916),TEXT($I916,"0"),$I916))</f>
        <v/>
      </c>
    </row>
    <row r="917">
      <c r="B917" s="25" t="n"/>
      <c r="I917" s="25" t="n"/>
      <c r="U917" s="19">
        <f>IF($V917&lt;&gt;'設定'!$C$4,N(U916),IF(OR(NOT(COUNTIF('商品マスタ'!$B$6:$B$1005,$W917)=0),COUNTIFS('①在庫を貼る'!$V$6:$V$10005,$V917,'①在庫を貼る'!$W$6:$W$10005,$W917)+COUNTIFS('月1回_1ヶ月前の在庫'!$V$6:$V$10005,$V917,'月1回_1ヶ月前の在庫'!$W$6:$W$10005,$W917)&gt;0),N(U916),N(U916)+1))</f>
        <v/>
      </c>
      <c r="V917" s="19">
        <f>IF($B917="","",TEXT($B917,"0000"))</f>
        <v/>
      </c>
      <c r="W917" s="19">
        <f>IF($I917="","",IF(ISNUMBER($I917),TEXT($I917,"0"),$I917))</f>
        <v/>
      </c>
    </row>
    <row r="918">
      <c r="B918" s="25" t="n"/>
      <c r="I918" s="25" t="n"/>
      <c r="U918" s="19">
        <f>IF($V918&lt;&gt;'設定'!$C$4,N(U917),IF(OR(NOT(COUNTIF('商品マスタ'!$B$6:$B$1005,$W918)=0),COUNTIFS('①在庫を貼る'!$V$6:$V$10005,$V918,'①在庫を貼る'!$W$6:$W$10005,$W918)+COUNTIFS('月1回_1ヶ月前の在庫'!$V$6:$V$10005,$V918,'月1回_1ヶ月前の在庫'!$W$6:$W$10005,$W918)&gt;0),N(U917),N(U917)+1))</f>
        <v/>
      </c>
      <c r="V918" s="19">
        <f>IF($B918="","",TEXT($B918,"0000"))</f>
        <v/>
      </c>
      <c r="W918" s="19">
        <f>IF($I918="","",IF(ISNUMBER($I918),TEXT($I918,"0"),$I918))</f>
        <v/>
      </c>
    </row>
    <row r="919">
      <c r="B919" s="25" t="n"/>
      <c r="I919" s="25" t="n"/>
      <c r="U919" s="19">
        <f>IF($V919&lt;&gt;'設定'!$C$4,N(U918),IF(OR(NOT(COUNTIF('商品マスタ'!$B$6:$B$1005,$W919)=0),COUNTIFS('①在庫を貼る'!$V$6:$V$10005,$V919,'①在庫を貼る'!$W$6:$W$10005,$W919)+COUNTIFS('月1回_1ヶ月前の在庫'!$V$6:$V$10005,$V919,'月1回_1ヶ月前の在庫'!$W$6:$W$10005,$W919)&gt;0),N(U918),N(U918)+1))</f>
        <v/>
      </c>
      <c r="V919" s="19">
        <f>IF($B919="","",TEXT($B919,"0000"))</f>
        <v/>
      </c>
      <c r="W919" s="19">
        <f>IF($I919="","",IF(ISNUMBER($I919),TEXT($I919,"0"),$I919))</f>
        <v/>
      </c>
    </row>
    <row r="920">
      <c r="B920" s="25" t="n"/>
      <c r="I920" s="25" t="n"/>
      <c r="U920" s="19">
        <f>IF($V920&lt;&gt;'設定'!$C$4,N(U919),IF(OR(NOT(COUNTIF('商品マスタ'!$B$6:$B$1005,$W920)=0),COUNTIFS('①在庫を貼る'!$V$6:$V$10005,$V920,'①在庫を貼る'!$W$6:$W$10005,$W920)+COUNTIFS('月1回_1ヶ月前の在庫'!$V$6:$V$10005,$V920,'月1回_1ヶ月前の在庫'!$W$6:$W$10005,$W920)&gt;0),N(U919),N(U919)+1))</f>
        <v/>
      </c>
      <c r="V920" s="19">
        <f>IF($B920="","",TEXT($B920,"0000"))</f>
        <v/>
      </c>
      <c r="W920" s="19">
        <f>IF($I920="","",IF(ISNUMBER($I920),TEXT($I920,"0"),$I920))</f>
        <v/>
      </c>
    </row>
    <row r="921">
      <c r="B921" s="25" t="n"/>
      <c r="I921" s="25" t="n"/>
      <c r="U921" s="19">
        <f>IF($V921&lt;&gt;'設定'!$C$4,N(U920),IF(OR(NOT(COUNTIF('商品マスタ'!$B$6:$B$1005,$W921)=0),COUNTIFS('①在庫を貼る'!$V$6:$V$10005,$V921,'①在庫を貼る'!$W$6:$W$10005,$W921)+COUNTIFS('月1回_1ヶ月前の在庫'!$V$6:$V$10005,$V921,'月1回_1ヶ月前の在庫'!$W$6:$W$10005,$W921)&gt;0),N(U920),N(U920)+1))</f>
        <v/>
      </c>
      <c r="V921" s="19">
        <f>IF($B921="","",TEXT($B921,"0000"))</f>
        <v/>
      </c>
      <c r="W921" s="19">
        <f>IF($I921="","",IF(ISNUMBER($I921),TEXT($I921,"0"),$I921))</f>
        <v/>
      </c>
    </row>
    <row r="922">
      <c r="B922" s="25" t="n"/>
      <c r="I922" s="25" t="n"/>
      <c r="U922" s="19">
        <f>IF($V922&lt;&gt;'設定'!$C$4,N(U921),IF(OR(NOT(COUNTIF('商品マスタ'!$B$6:$B$1005,$W922)=0),COUNTIFS('①在庫を貼る'!$V$6:$V$10005,$V922,'①在庫を貼る'!$W$6:$W$10005,$W922)+COUNTIFS('月1回_1ヶ月前の在庫'!$V$6:$V$10005,$V922,'月1回_1ヶ月前の在庫'!$W$6:$W$10005,$W922)&gt;0),N(U921),N(U921)+1))</f>
        <v/>
      </c>
      <c r="V922" s="19">
        <f>IF($B922="","",TEXT($B922,"0000"))</f>
        <v/>
      </c>
      <c r="W922" s="19">
        <f>IF($I922="","",IF(ISNUMBER($I922),TEXT($I922,"0"),$I922))</f>
        <v/>
      </c>
    </row>
    <row r="923">
      <c r="B923" s="25" t="n"/>
      <c r="I923" s="25" t="n"/>
      <c r="U923" s="19">
        <f>IF($V923&lt;&gt;'設定'!$C$4,N(U922),IF(OR(NOT(COUNTIF('商品マスタ'!$B$6:$B$1005,$W923)=0),COUNTIFS('①在庫を貼る'!$V$6:$V$10005,$V923,'①在庫を貼る'!$W$6:$W$10005,$W923)+COUNTIFS('月1回_1ヶ月前の在庫'!$V$6:$V$10005,$V923,'月1回_1ヶ月前の在庫'!$W$6:$W$10005,$W923)&gt;0),N(U922),N(U922)+1))</f>
        <v/>
      </c>
      <c r="V923" s="19">
        <f>IF($B923="","",TEXT($B923,"0000"))</f>
        <v/>
      </c>
      <c r="W923" s="19">
        <f>IF($I923="","",IF(ISNUMBER($I923),TEXT($I923,"0"),$I923))</f>
        <v/>
      </c>
    </row>
    <row r="924">
      <c r="B924" s="25" t="n"/>
      <c r="I924" s="25" t="n"/>
      <c r="U924" s="19">
        <f>IF($V924&lt;&gt;'設定'!$C$4,N(U923),IF(OR(NOT(COUNTIF('商品マスタ'!$B$6:$B$1005,$W924)=0),COUNTIFS('①在庫を貼る'!$V$6:$V$10005,$V924,'①在庫を貼る'!$W$6:$W$10005,$W924)+COUNTIFS('月1回_1ヶ月前の在庫'!$V$6:$V$10005,$V924,'月1回_1ヶ月前の在庫'!$W$6:$W$10005,$W924)&gt;0),N(U923),N(U923)+1))</f>
        <v/>
      </c>
      <c r="V924" s="19">
        <f>IF($B924="","",TEXT($B924,"0000"))</f>
        <v/>
      </c>
      <c r="W924" s="19">
        <f>IF($I924="","",IF(ISNUMBER($I924),TEXT($I924,"0"),$I924))</f>
        <v/>
      </c>
    </row>
    <row r="925">
      <c r="B925" s="25" t="n"/>
      <c r="I925" s="25" t="n"/>
      <c r="U925" s="19">
        <f>IF($V925&lt;&gt;'設定'!$C$4,N(U924),IF(OR(NOT(COUNTIF('商品マスタ'!$B$6:$B$1005,$W925)=0),COUNTIFS('①在庫を貼る'!$V$6:$V$10005,$V925,'①在庫を貼る'!$W$6:$W$10005,$W925)+COUNTIFS('月1回_1ヶ月前の在庫'!$V$6:$V$10005,$V925,'月1回_1ヶ月前の在庫'!$W$6:$W$10005,$W925)&gt;0),N(U924),N(U924)+1))</f>
        <v/>
      </c>
      <c r="V925" s="19">
        <f>IF($B925="","",TEXT($B925,"0000"))</f>
        <v/>
      </c>
      <c r="W925" s="19">
        <f>IF($I925="","",IF(ISNUMBER($I925),TEXT($I925,"0"),$I925))</f>
        <v/>
      </c>
    </row>
    <row r="926">
      <c r="B926" s="25" t="n"/>
      <c r="I926" s="25" t="n"/>
      <c r="U926" s="19">
        <f>IF($V926&lt;&gt;'設定'!$C$4,N(U925),IF(OR(NOT(COUNTIF('商品マスタ'!$B$6:$B$1005,$W926)=0),COUNTIFS('①在庫を貼る'!$V$6:$V$10005,$V926,'①在庫を貼る'!$W$6:$W$10005,$W926)+COUNTIFS('月1回_1ヶ月前の在庫'!$V$6:$V$10005,$V926,'月1回_1ヶ月前の在庫'!$W$6:$W$10005,$W926)&gt;0),N(U925),N(U925)+1))</f>
        <v/>
      </c>
      <c r="V926" s="19">
        <f>IF($B926="","",TEXT($B926,"0000"))</f>
        <v/>
      </c>
      <c r="W926" s="19">
        <f>IF($I926="","",IF(ISNUMBER($I926),TEXT($I926,"0"),$I926))</f>
        <v/>
      </c>
    </row>
    <row r="927">
      <c r="B927" s="25" t="n"/>
      <c r="I927" s="25" t="n"/>
      <c r="U927" s="19">
        <f>IF($V927&lt;&gt;'設定'!$C$4,N(U926),IF(OR(NOT(COUNTIF('商品マスタ'!$B$6:$B$1005,$W927)=0),COUNTIFS('①在庫を貼る'!$V$6:$V$10005,$V927,'①在庫を貼る'!$W$6:$W$10005,$W927)+COUNTIFS('月1回_1ヶ月前の在庫'!$V$6:$V$10005,$V927,'月1回_1ヶ月前の在庫'!$W$6:$W$10005,$W927)&gt;0),N(U926),N(U926)+1))</f>
        <v/>
      </c>
      <c r="V927" s="19">
        <f>IF($B927="","",TEXT($B927,"0000"))</f>
        <v/>
      </c>
      <c r="W927" s="19">
        <f>IF($I927="","",IF(ISNUMBER($I927),TEXT($I927,"0"),$I927))</f>
        <v/>
      </c>
    </row>
    <row r="928">
      <c r="B928" s="25" t="n"/>
      <c r="I928" s="25" t="n"/>
      <c r="U928" s="19">
        <f>IF($V928&lt;&gt;'設定'!$C$4,N(U927),IF(OR(NOT(COUNTIF('商品マスタ'!$B$6:$B$1005,$W928)=0),COUNTIFS('①在庫を貼る'!$V$6:$V$10005,$V928,'①在庫を貼る'!$W$6:$W$10005,$W928)+COUNTIFS('月1回_1ヶ月前の在庫'!$V$6:$V$10005,$V928,'月1回_1ヶ月前の在庫'!$W$6:$W$10005,$W928)&gt;0),N(U927),N(U927)+1))</f>
        <v/>
      </c>
      <c r="V928" s="19">
        <f>IF($B928="","",TEXT($B928,"0000"))</f>
        <v/>
      </c>
      <c r="W928" s="19">
        <f>IF($I928="","",IF(ISNUMBER($I928),TEXT($I928,"0"),$I928))</f>
        <v/>
      </c>
    </row>
    <row r="929">
      <c r="B929" s="25" t="n"/>
      <c r="I929" s="25" t="n"/>
      <c r="U929" s="19">
        <f>IF($V929&lt;&gt;'設定'!$C$4,N(U928),IF(OR(NOT(COUNTIF('商品マスタ'!$B$6:$B$1005,$W929)=0),COUNTIFS('①在庫を貼る'!$V$6:$V$10005,$V929,'①在庫を貼る'!$W$6:$W$10005,$W929)+COUNTIFS('月1回_1ヶ月前の在庫'!$V$6:$V$10005,$V929,'月1回_1ヶ月前の在庫'!$W$6:$W$10005,$W929)&gt;0),N(U928),N(U928)+1))</f>
        <v/>
      </c>
      <c r="V929" s="19">
        <f>IF($B929="","",TEXT($B929,"0000"))</f>
        <v/>
      </c>
      <c r="W929" s="19">
        <f>IF($I929="","",IF(ISNUMBER($I929),TEXT($I929,"0"),$I929))</f>
        <v/>
      </c>
    </row>
    <row r="930">
      <c r="B930" s="25" t="n"/>
      <c r="I930" s="25" t="n"/>
      <c r="U930" s="19">
        <f>IF($V930&lt;&gt;'設定'!$C$4,N(U929),IF(OR(NOT(COUNTIF('商品マスタ'!$B$6:$B$1005,$W930)=0),COUNTIFS('①在庫を貼る'!$V$6:$V$10005,$V930,'①在庫を貼る'!$W$6:$W$10005,$W930)+COUNTIFS('月1回_1ヶ月前の在庫'!$V$6:$V$10005,$V930,'月1回_1ヶ月前の在庫'!$W$6:$W$10005,$W930)&gt;0),N(U929),N(U929)+1))</f>
        <v/>
      </c>
      <c r="V930" s="19">
        <f>IF($B930="","",TEXT($B930,"0000"))</f>
        <v/>
      </c>
      <c r="W930" s="19">
        <f>IF($I930="","",IF(ISNUMBER($I930),TEXT($I930,"0"),$I930))</f>
        <v/>
      </c>
    </row>
    <row r="931">
      <c r="B931" s="25" t="n"/>
      <c r="I931" s="25" t="n"/>
      <c r="U931" s="19">
        <f>IF($V931&lt;&gt;'設定'!$C$4,N(U930),IF(OR(NOT(COUNTIF('商品マスタ'!$B$6:$B$1005,$W931)=0),COUNTIFS('①在庫を貼る'!$V$6:$V$10005,$V931,'①在庫を貼る'!$W$6:$W$10005,$W931)+COUNTIFS('月1回_1ヶ月前の在庫'!$V$6:$V$10005,$V931,'月1回_1ヶ月前の在庫'!$W$6:$W$10005,$W931)&gt;0),N(U930),N(U930)+1))</f>
        <v/>
      </c>
      <c r="V931" s="19">
        <f>IF($B931="","",TEXT($B931,"0000"))</f>
        <v/>
      </c>
      <c r="W931" s="19">
        <f>IF($I931="","",IF(ISNUMBER($I931),TEXT($I931,"0"),$I931))</f>
        <v/>
      </c>
    </row>
    <row r="932">
      <c r="B932" s="25" t="n"/>
      <c r="I932" s="25" t="n"/>
      <c r="U932" s="19">
        <f>IF($V932&lt;&gt;'設定'!$C$4,N(U931),IF(OR(NOT(COUNTIF('商品マスタ'!$B$6:$B$1005,$W932)=0),COUNTIFS('①在庫を貼る'!$V$6:$V$10005,$V932,'①在庫を貼る'!$W$6:$W$10005,$W932)+COUNTIFS('月1回_1ヶ月前の在庫'!$V$6:$V$10005,$V932,'月1回_1ヶ月前の在庫'!$W$6:$W$10005,$W932)&gt;0),N(U931),N(U931)+1))</f>
        <v/>
      </c>
      <c r="V932" s="19">
        <f>IF($B932="","",TEXT($B932,"0000"))</f>
        <v/>
      </c>
      <c r="W932" s="19">
        <f>IF($I932="","",IF(ISNUMBER($I932),TEXT($I932,"0"),$I932))</f>
        <v/>
      </c>
    </row>
    <row r="933">
      <c r="B933" s="25" t="n"/>
      <c r="I933" s="25" t="n"/>
      <c r="U933" s="19">
        <f>IF($V933&lt;&gt;'設定'!$C$4,N(U932),IF(OR(NOT(COUNTIF('商品マスタ'!$B$6:$B$1005,$W933)=0),COUNTIFS('①在庫を貼る'!$V$6:$V$10005,$V933,'①在庫を貼る'!$W$6:$W$10005,$W933)+COUNTIFS('月1回_1ヶ月前の在庫'!$V$6:$V$10005,$V933,'月1回_1ヶ月前の在庫'!$W$6:$W$10005,$W933)&gt;0),N(U932),N(U932)+1))</f>
        <v/>
      </c>
      <c r="V933" s="19">
        <f>IF($B933="","",TEXT($B933,"0000"))</f>
        <v/>
      </c>
      <c r="W933" s="19">
        <f>IF($I933="","",IF(ISNUMBER($I933),TEXT($I933,"0"),$I933))</f>
        <v/>
      </c>
    </row>
    <row r="934">
      <c r="B934" s="25" t="n"/>
      <c r="I934" s="25" t="n"/>
      <c r="U934" s="19">
        <f>IF($V934&lt;&gt;'設定'!$C$4,N(U933),IF(OR(NOT(COUNTIF('商品マスタ'!$B$6:$B$1005,$W934)=0),COUNTIFS('①在庫を貼る'!$V$6:$V$10005,$V934,'①在庫を貼る'!$W$6:$W$10005,$W934)+COUNTIFS('月1回_1ヶ月前の在庫'!$V$6:$V$10005,$V934,'月1回_1ヶ月前の在庫'!$W$6:$W$10005,$W934)&gt;0),N(U933),N(U933)+1))</f>
        <v/>
      </c>
      <c r="V934" s="19">
        <f>IF($B934="","",TEXT($B934,"0000"))</f>
        <v/>
      </c>
      <c r="W934" s="19">
        <f>IF($I934="","",IF(ISNUMBER($I934),TEXT($I934,"0"),$I934))</f>
        <v/>
      </c>
    </row>
    <row r="935">
      <c r="B935" s="25" t="n"/>
      <c r="I935" s="25" t="n"/>
      <c r="U935" s="19">
        <f>IF($V935&lt;&gt;'設定'!$C$4,N(U934),IF(OR(NOT(COUNTIF('商品マスタ'!$B$6:$B$1005,$W935)=0),COUNTIFS('①在庫を貼る'!$V$6:$V$10005,$V935,'①在庫を貼る'!$W$6:$W$10005,$W935)+COUNTIFS('月1回_1ヶ月前の在庫'!$V$6:$V$10005,$V935,'月1回_1ヶ月前の在庫'!$W$6:$W$10005,$W935)&gt;0),N(U934),N(U934)+1))</f>
        <v/>
      </c>
      <c r="V935" s="19">
        <f>IF($B935="","",TEXT($B935,"0000"))</f>
        <v/>
      </c>
      <c r="W935" s="19">
        <f>IF($I935="","",IF(ISNUMBER($I935),TEXT($I935,"0"),$I935))</f>
        <v/>
      </c>
    </row>
    <row r="936">
      <c r="B936" s="25" t="n"/>
      <c r="I936" s="25" t="n"/>
      <c r="U936" s="19">
        <f>IF($V936&lt;&gt;'設定'!$C$4,N(U935),IF(OR(NOT(COUNTIF('商品マスタ'!$B$6:$B$1005,$W936)=0),COUNTIFS('①在庫を貼る'!$V$6:$V$10005,$V936,'①在庫を貼る'!$W$6:$W$10005,$W936)+COUNTIFS('月1回_1ヶ月前の在庫'!$V$6:$V$10005,$V936,'月1回_1ヶ月前の在庫'!$W$6:$W$10005,$W936)&gt;0),N(U935),N(U935)+1))</f>
        <v/>
      </c>
      <c r="V936" s="19">
        <f>IF($B936="","",TEXT($B936,"0000"))</f>
        <v/>
      </c>
      <c r="W936" s="19">
        <f>IF($I936="","",IF(ISNUMBER($I936),TEXT($I936,"0"),$I936))</f>
        <v/>
      </c>
    </row>
    <row r="937">
      <c r="B937" s="25" t="n"/>
      <c r="I937" s="25" t="n"/>
      <c r="U937" s="19">
        <f>IF($V937&lt;&gt;'設定'!$C$4,N(U936),IF(OR(NOT(COUNTIF('商品マスタ'!$B$6:$B$1005,$W937)=0),COUNTIFS('①在庫を貼る'!$V$6:$V$10005,$V937,'①在庫を貼る'!$W$6:$W$10005,$W937)+COUNTIFS('月1回_1ヶ月前の在庫'!$V$6:$V$10005,$V937,'月1回_1ヶ月前の在庫'!$W$6:$W$10005,$W937)&gt;0),N(U936),N(U936)+1))</f>
        <v/>
      </c>
      <c r="V937" s="19">
        <f>IF($B937="","",TEXT($B937,"0000"))</f>
        <v/>
      </c>
      <c r="W937" s="19">
        <f>IF($I937="","",IF(ISNUMBER($I937),TEXT($I937,"0"),$I937))</f>
        <v/>
      </c>
    </row>
    <row r="938">
      <c r="B938" s="25" t="n"/>
      <c r="I938" s="25" t="n"/>
      <c r="U938" s="19">
        <f>IF($V938&lt;&gt;'設定'!$C$4,N(U937),IF(OR(NOT(COUNTIF('商品マスタ'!$B$6:$B$1005,$W938)=0),COUNTIFS('①在庫を貼る'!$V$6:$V$10005,$V938,'①在庫を貼る'!$W$6:$W$10005,$W938)+COUNTIFS('月1回_1ヶ月前の在庫'!$V$6:$V$10005,$V938,'月1回_1ヶ月前の在庫'!$W$6:$W$10005,$W938)&gt;0),N(U937),N(U937)+1))</f>
        <v/>
      </c>
      <c r="V938" s="19">
        <f>IF($B938="","",TEXT($B938,"0000"))</f>
        <v/>
      </c>
      <c r="W938" s="19">
        <f>IF($I938="","",IF(ISNUMBER($I938),TEXT($I938,"0"),$I938))</f>
        <v/>
      </c>
    </row>
    <row r="939">
      <c r="B939" s="25" t="n"/>
      <c r="I939" s="25" t="n"/>
      <c r="U939" s="19">
        <f>IF($V939&lt;&gt;'設定'!$C$4,N(U938),IF(OR(NOT(COUNTIF('商品マスタ'!$B$6:$B$1005,$W939)=0),COUNTIFS('①在庫を貼る'!$V$6:$V$10005,$V939,'①在庫を貼る'!$W$6:$W$10005,$W939)+COUNTIFS('月1回_1ヶ月前の在庫'!$V$6:$V$10005,$V939,'月1回_1ヶ月前の在庫'!$W$6:$W$10005,$W939)&gt;0),N(U938),N(U938)+1))</f>
        <v/>
      </c>
      <c r="V939" s="19">
        <f>IF($B939="","",TEXT($B939,"0000"))</f>
        <v/>
      </c>
      <c r="W939" s="19">
        <f>IF($I939="","",IF(ISNUMBER($I939),TEXT($I939,"0"),$I939))</f>
        <v/>
      </c>
    </row>
    <row r="940">
      <c r="B940" s="25" t="n"/>
      <c r="I940" s="25" t="n"/>
      <c r="U940" s="19">
        <f>IF($V940&lt;&gt;'設定'!$C$4,N(U939),IF(OR(NOT(COUNTIF('商品マスタ'!$B$6:$B$1005,$W940)=0),COUNTIFS('①在庫を貼る'!$V$6:$V$10005,$V940,'①在庫を貼る'!$W$6:$W$10005,$W940)+COUNTIFS('月1回_1ヶ月前の在庫'!$V$6:$V$10005,$V940,'月1回_1ヶ月前の在庫'!$W$6:$W$10005,$W940)&gt;0),N(U939),N(U939)+1))</f>
        <v/>
      </c>
      <c r="V940" s="19">
        <f>IF($B940="","",TEXT($B940,"0000"))</f>
        <v/>
      </c>
      <c r="W940" s="19">
        <f>IF($I940="","",IF(ISNUMBER($I940),TEXT($I940,"0"),$I940))</f>
        <v/>
      </c>
    </row>
    <row r="941">
      <c r="B941" s="25" t="n"/>
      <c r="I941" s="25" t="n"/>
      <c r="U941" s="19">
        <f>IF($V941&lt;&gt;'設定'!$C$4,N(U940),IF(OR(NOT(COUNTIF('商品マスタ'!$B$6:$B$1005,$W941)=0),COUNTIFS('①在庫を貼る'!$V$6:$V$10005,$V941,'①在庫を貼る'!$W$6:$W$10005,$W941)+COUNTIFS('月1回_1ヶ月前の在庫'!$V$6:$V$10005,$V941,'月1回_1ヶ月前の在庫'!$W$6:$W$10005,$W941)&gt;0),N(U940),N(U940)+1))</f>
        <v/>
      </c>
      <c r="V941" s="19">
        <f>IF($B941="","",TEXT($B941,"0000"))</f>
        <v/>
      </c>
      <c r="W941" s="19">
        <f>IF($I941="","",IF(ISNUMBER($I941),TEXT($I941,"0"),$I941))</f>
        <v/>
      </c>
    </row>
    <row r="942">
      <c r="B942" s="25" t="n"/>
      <c r="I942" s="25" t="n"/>
      <c r="U942" s="19">
        <f>IF($V942&lt;&gt;'設定'!$C$4,N(U941),IF(OR(NOT(COUNTIF('商品マスタ'!$B$6:$B$1005,$W942)=0),COUNTIFS('①在庫を貼る'!$V$6:$V$10005,$V942,'①在庫を貼る'!$W$6:$W$10005,$W942)+COUNTIFS('月1回_1ヶ月前の在庫'!$V$6:$V$10005,$V942,'月1回_1ヶ月前の在庫'!$W$6:$W$10005,$W942)&gt;0),N(U941),N(U941)+1))</f>
        <v/>
      </c>
      <c r="V942" s="19">
        <f>IF($B942="","",TEXT($B942,"0000"))</f>
        <v/>
      </c>
      <c r="W942" s="19">
        <f>IF($I942="","",IF(ISNUMBER($I942),TEXT($I942,"0"),$I942))</f>
        <v/>
      </c>
    </row>
    <row r="943">
      <c r="B943" s="25" t="n"/>
      <c r="I943" s="25" t="n"/>
      <c r="U943" s="19">
        <f>IF($V943&lt;&gt;'設定'!$C$4,N(U942),IF(OR(NOT(COUNTIF('商品マスタ'!$B$6:$B$1005,$W943)=0),COUNTIFS('①在庫を貼る'!$V$6:$V$10005,$V943,'①在庫を貼る'!$W$6:$W$10005,$W943)+COUNTIFS('月1回_1ヶ月前の在庫'!$V$6:$V$10005,$V943,'月1回_1ヶ月前の在庫'!$W$6:$W$10005,$W943)&gt;0),N(U942),N(U942)+1))</f>
        <v/>
      </c>
      <c r="V943" s="19">
        <f>IF($B943="","",TEXT($B943,"0000"))</f>
        <v/>
      </c>
      <c r="W943" s="19">
        <f>IF($I943="","",IF(ISNUMBER($I943),TEXT($I943,"0"),$I943))</f>
        <v/>
      </c>
    </row>
    <row r="944">
      <c r="B944" s="25" t="n"/>
      <c r="I944" s="25" t="n"/>
      <c r="U944" s="19">
        <f>IF($V944&lt;&gt;'設定'!$C$4,N(U943),IF(OR(NOT(COUNTIF('商品マスタ'!$B$6:$B$1005,$W944)=0),COUNTIFS('①在庫を貼る'!$V$6:$V$10005,$V944,'①在庫を貼る'!$W$6:$W$10005,$W944)+COUNTIFS('月1回_1ヶ月前の在庫'!$V$6:$V$10005,$V944,'月1回_1ヶ月前の在庫'!$W$6:$W$10005,$W944)&gt;0),N(U943),N(U943)+1))</f>
        <v/>
      </c>
      <c r="V944" s="19">
        <f>IF($B944="","",TEXT($B944,"0000"))</f>
        <v/>
      </c>
      <c r="W944" s="19">
        <f>IF($I944="","",IF(ISNUMBER($I944),TEXT($I944,"0"),$I944))</f>
        <v/>
      </c>
    </row>
    <row r="945">
      <c r="B945" s="25" t="n"/>
      <c r="I945" s="25" t="n"/>
      <c r="U945" s="19">
        <f>IF($V945&lt;&gt;'設定'!$C$4,N(U944),IF(OR(NOT(COUNTIF('商品マスタ'!$B$6:$B$1005,$W945)=0),COUNTIFS('①在庫を貼る'!$V$6:$V$10005,$V945,'①在庫を貼る'!$W$6:$W$10005,$W945)+COUNTIFS('月1回_1ヶ月前の在庫'!$V$6:$V$10005,$V945,'月1回_1ヶ月前の在庫'!$W$6:$W$10005,$W945)&gt;0),N(U944),N(U944)+1))</f>
        <v/>
      </c>
      <c r="V945" s="19">
        <f>IF($B945="","",TEXT($B945,"0000"))</f>
        <v/>
      </c>
      <c r="W945" s="19">
        <f>IF($I945="","",IF(ISNUMBER($I945),TEXT($I945,"0"),$I945))</f>
        <v/>
      </c>
    </row>
    <row r="946">
      <c r="B946" s="25" t="n"/>
      <c r="I946" s="25" t="n"/>
      <c r="U946" s="19">
        <f>IF($V946&lt;&gt;'設定'!$C$4,N(U945),IF(OR(NOT(COUNTIF('商品マスタ'!$B$6:$B$1005,$W946)=0),COUNTIFS('①在庫を貼る'!$V$6:$V$10005,$V946,'①在庫を貼る'!$W$6:$W$10005,$W946)+COUNTIFS('月1回_1ヶ月前の在庫'!$V$6:$V$10005,$V946,'月1回_1ヶ月前の在庫'!$W$6:$W$10005,$W946)&gt;0),N(U945),N(U945)+1))</f>
        <v/>
      </c>
      <c r="V946" s="19">
        <f>IF($B946="","",TEXT($B946,"0000"))</f>
        <v/>
      </c>
      <c r="W946" s="19">
        <f>IF($I946="","",IF(ISNUMBER($I946),TEXT($I946,"0"),$I946))</f>
        <v/>
      </c>
    </row>
    <row r="947">
      <c r="B947" s="25" t="n"/>
      <c r="I947" s="25" t="n"/>
      <c r="U947" s="19">
        <f>IF($V947&lt;&gt;'設定'!$C$4,N(U946),IF(OR(NOT(COUNTIF('商品マスタ'!$B$6:$B$1005,$W947)=0),COUNTIFS('①在庫を貼る'!$V$6:$V$10005,$V947,'①在庫を貼る'!$W$6:$W$10005,$W947)+COUNTIFS('月1回_1ヶ月前の在庫'!$V$6:$V$10005,$V947,'月1回_1ヶ月前の在庫'!$W$6:$W$10005,$W947)&gt;0),N(U946),N(U946)+1))</f>
        <v/>
      </c>
      <c r="V947" s="19">
        <f>IF($B947="","",TEXT($B947,"0000"))</f>
        <v/>
      </c>
      <c r="W947" s="19">
        <f>IF($I947="","",IF(ISNUMBER($I947),TEXT($I947,"0"),$I947))</f>
        <v/>
      </c>
    </row>
    <row r="948">
      <c r="B948" s="25" t="n"/>
      <c r="I948" s="25" t="n"/>
      <c r="U948" s="19">
        <f>IF($V948&lt;&gt;'設定'!$C$4,N(U947),IF(OR(NOT(COUNTIF('商品マスタ'!$B$6:$B$1005,$W948)=0),COUNTIFS('①在庫を貼る'!$V$6:$V$10005,$V948,'①在庫を貼る'!$W$6:$W$10005,$W948)+COUNTIFS('月1回_1ヶ月前の在庫'!$V$6:$V$10005,$V948,'月1回_1ヶ月前の在庫'!$W$6:$W$10005,$W948)&gt;0),N(U947),N(U947)+1))</f>
        <v/>
      </c>
      <c r="V948" s="19">
        <f>IF($B948="","",TEXT($B948,"0000"))</f>
        <v/>
      </c>
      <c r="W948" s="19">
        <f>IF($I948="","",IF(ISNUMBER($I948),TEXT($I948,"0"),$I948))</f>
        <v/>
      </c>
    </row>
    <row r="949">
      <c r="B949" s="25" t="n"/>
      <c r="I949" s="25" t="n"/>
      <c r="U949" s="19">
        <f>IF($V949&lt;&gt;'設定'!$C$4,N(U948),IF(OR(NOT(COUNTIF('商品マスタ'!$B$6:$B$1005,$W949)=0),COUNTIFS('①在庫を貼る'!$V$6:$V$10005,$V949,'①在庫を貼る'!$W$6:$W$10005,$W949)+COUNTIFS('月1回_1ヶ月前の在庫'!$V$6:$V$10005,$V949,'月1回_1ヶ月前の在庫'!$W$6:$W$10005,$W949)&gt;0),N(U948),N(U948)+1))</f>
        <v/>
      </c>
      <c r="V949" s="19">
        <f>IF($B949="","",TEXT($B949,"0000"))</f>
        <v/>
      </c>
      <c r="W949" s="19">
        <f>IF($I949="","",IF(ISNUMBER($I949),TEXT($I949,"0"),$I949))</f>
        <v/>
      </c>
    </row>
    <row r="950">
      <c r="B950" s="25" t="n"/>
      <c r="I950" s="25" t="n"/>
      <c r="U950" s="19">
        <f>IF($V950&lt;&gt;'設定'!$C$4,N(U949),IF(OR(NOT(COUNTIF('商品マスタ'!$B$6:$B$1005,$W950)=0),COUNTIFS('①在庫を貼る'!$V$6:$V$10005,$V950,'①在庫を貼る'!$W$6:$W$10005,$W950)+COUNTIFS('月1回_1ヶ月前の在庫'!$V$6:$V$10005,$V950,'月1回_1ヶ月前の在庫'!$W$6:$W$10005,$W950)&gt;0),N(U949),N(U949)+1))</f>
        <v/>
      </c>
      <c r="V950" s="19">
        <f>IF($B950="","",TEXT($B950,"0000"))</f>
        <v/>
      </c>
      <c r="W950" s="19">
        <f>IF($I950="","",IF(ISNUMBER($I950),TEXT($I950,"0"),$I950))</f>
        <v/>
      </c>
    </row>
    <row r="951">
      <c r="B951" s="25" t="n"/>
      <c r="I951" s="25" t="n"/>
      <c r="U951" s="19">
        <f>IF($V951&lt;&gt;'設定'!$C$4,N(U950),IF(OR(NOT(COUNTIF('商品マスタ'!$B$6:$B$1005,$W951)=0),COUNTIFS('①在庫を貼る'!$V$6:$V$10005,$V951,'①在庫を貼る'!$W$6:$W$10005,$W951)+COUNTIFS('月1回_1ヶ月前の在庫'!$V$6:$V$10005,$V951,'月1回_1ヶ月前の在庫'!$W$6:$W$10005,$W951)&gt;0),N(U950),N(U950)+1))</f>
        <v/>
      </c>
      <c r="V951" s="19">
        <f>IF($B951="","",TEXT($B951,"0000"))</f>
        <v/>
      </c>
      <c r="W951" s="19">
        <f>IF($I951="","",IF(ISNUMBER($I951),TEXT($I951,"0"),$I951))</f>
        <v/>
      </c>
    </row>
    <row r="952">
      <c r="B952" s="25" t="n"/>
      <c r="I952" s="25" t="n"/>
      <c r="U952" s="19">
        <f>IF($V952&lt;&gt;'設定'!$C$4,N(U951),IF(OR(NOT(COUNTIF('商品マスタ'!$B$6:$B$1005,$W952)=0),COUNTIFS('①在庫を貼る'!$V$6:$V$10005,$V952,'①在庫を貼る'!$W$6:$W$10005,$W952)+COUNTIFS('月1回_1ヶ月前の在庫'!$V$6:$V$10005,$V952,'月1回_1ヶ月前の在庫'!$W$6:$W$10005,$W952)&gt;0),N(U951),N(U951)+1))</f>
        <v/>
      </c>
      <c r="V952" s="19">
        <f>IF($B952="","",TEXT($B952,"0000"))</f>
        <v/>
      </c>
      <c r="W952" s="19">
        <f>IF($I952="","",IF(ISNUMBER($I952),TEXT($I952,"0"),$I952))</f>
        <v/>
      </c>
    </row>
    <row r="953">
      <c r="B953" s="25" t="n"/>
      <c r="I953" s="25" t="n"/>
      <c r="U953" s="19">
        <f>IF($V953&lt;&gt;'設定'!$C$4,N(U952),IF(OR(NOT(COUNTIF('商品マスタ'!$B$6:$B$1005,$W953)=0),COUNTIFS('①在庫を貼る'!$V$6:$V$10005,$V953,'①在庫を貼る'!$W$6:$W$10005,$W953)+COUNTIFS('月1回_1ヶ月前の在庫'!$V$6:$V$10005,$V953,'月1回_1ヶ月前の在庫'!$W$6:$W$10005,$W953)&gt;0),N(U952),N(U952)+1))</f>
        <v/>
      </c>
      <c r="V953" s="19">
        <f>IF($B953="","",TEXT($B953,"0000"))</f>
        <v/>
      </c>
      <c r="W953" s="19">
        <f>IF($I953="","",IF(ISNUMBER($I953),TEXT($I953,"0"),$I953))</f>
        <v/>
      </c>
    </row>
    <row r="954">
      <c r="B954" s="25" t="n"/>
      <c r="I954" s="25" t="n"/>
      <c r="U954" s="19">
        <f>IF($V954&lt;&gt;'設定'!$C$4,N(U953),IF(OR(NOT(COUNTIF('商品マスタ'!$B$6:$B$1005,$W954)=0),COUNTIFS('①在庫を貼る'!$V$6:$V$10005,$V954,'①在庫を貼る'!$W$6:$W$10005,$W954)+COUNTIFS('月1回_1ヶ月前の在庫'!$V$6:$V$10005,$V954,'月1回_1ヶ月前の在庫'!$W$6:$W$10005,$W954)&gt;0),N(U953),N(U953)+1))</f>
        <v/>
      </c>
      <c r="V954" s="19">
        <f>IF($B954="","",TEXT($B954,"0000"))</f>
        <v/>
      </c>
      <c r="W954" s="19">
        <f>IF($I954="","",IF(ISNUMBER($I954),TEXT($I954,"0"),$I954))</f>
        <v/>
      </c>
    </row>
    <row r="955">
      <c r="B955" s="25" t="n"/>
      <c r="I955" s="25" t="n"/>
      <c r="U955" s="19">
        <f>IF($V955&lt;&gt;'設定'!$C$4,N(U954),IF(OR(NOT(COUNTIF('商品マスタ'!$B$6:$B$1005,$W955)=0),COUNTIFS('①在庫を貼る'!$V$6:$V$10005,$V955,'①在庫を貼る'!$W$6:$W$10005,$W955)+COUNTIFS('月1回_1ヶ月前の在庫'!$V$6:$V$10005,$V955,'月1回_1ヶ月前の在庫'!$W$6:$W$10005,$W955)&gt;0),N(U954),N(U954)+1))</f>
        <v/>
      </c>
      <c r="V955" s="19">
        <f>IF($B955="","",TEXT($B955,"0000"))</f>
        <v/>
      </c>
      <c r="W955" s="19">
        <f>IF($I955="","",IF(ISNUMBER($I955),TEXT($I955,"0"),$I955))</f>
        <v/>
      </c>
    </row>
    <row r="956">
      <c r="B956" s="25" t="n"/>
      <c r="I956" s="25" t="n"/>
      <c r="U956" s="19">
        <f>IF($V956&lt;&gt;'設定'!$C$4,N(U955),IF(OR(NOT(COUNTIF('商品マスタ'!$B$6:$B$1005,$W956)=0),COUNTIFS('①在庫を貼る'!$V$6:$V$10005,$V956,'①在庫を貼る'!$W$6:$W$10005,$W956)+COUNTIFS('月1回_1ヶ月前の在庫'!$V$6:$V$10005,$V956,'月1回_1ヶ月前の在庫'!$W$6:$W$10005,$W956)&gt;0),N(U955),N(U955)+1))</f>
        <v/>
      </c>
      <c r="V956" s="19">
        <f>IF($B956="","",TEXT($B956,"0000"))</f>
        <v/>
      </c>
      <c r="W956" s="19">
        <f>IF($I956="","",IF(ISNUMBER($I956),TEXT($I956,"0"),$I956))</f>
        <v/>
      </c>
    </row>
    <row r="957">
      <c r="B957" s="25" t="n"/>
      <c r="I957" s="25" t="n"/>
      <c r="U957" s="19">
        <f>IF($V957&lt;&gt;'設定'!$C$4,N(U956),IF(OR(NOT(COUNTIF('商品マスタ'!$B$6:$B$1005,$W957)=0),COUNTIFS('①在庫を貼る'!$V$6:$V$10005,$V957,'①在庫を貼る'!$W$6:$W$10005,$W957)+COUNTIFS('月1回_1ヶ月前の在庫'!$V$6:$V$10005,$V957,'月1回_1ヶ月前の在庫'!$W$6:$W$10005,$W957)&gt;0),N(U956),N(U956)+1))</f>
        <v/>
      </c>
      <c r="V957" s="19">
        <f>IF($B957="","",TEXT($B957,"0000"))</f>
        <v/>
      </c>
      <c r="W957" s="19">
        <f>IF($I957="","",IF(ISNUMBER($I957),TEXT($I957,"0"),$I957))</f>
        <v/>
      </c>
    </row>
    <row r="958">
      <c r="B958" s="25" t="n"/>
      <c r="I958" s="25" t="n"/>
      <c r="U958" s="19">
        <f>IF($V958&lt;&gt;'設定'!$C$4,N(U957),IF(OR(NOT(COUNTIF('商品マスタ'!$B$6:$B$1005,$W958)=0),COUNTIFS('①在庫を貼る'!$V$6:$V$10005,$V958,'①在庫を貼る'!$W$6:$W$10005,$W958)+COUNTIFS('月1回_1ヶ月前の在庫'!$V$6:$V$10005,$V958,'月1回_1ヶ月前の在庫'!$W$6:$W$10005,$W958)&gt;0),N(U957),N(U957)+1))</f>
        <v/>
      </c>
      <c r="V958" s="19">
        <f>IF($B958="","",TEXT($B958,"0000"))</f>
        <v/>
      </c>
      <c r="W958" s="19">
        <f>IF($I958="","",IF(ISNUMBER($I958),TEXT($I958,"0"),$I958))</f>
        <v/>
      </c>
    </row>
    <row r="959">
      <c r="B959" s="25" t="n"/>
      <c r="I959" s="25" t="n"/>
      <c r="U959" s="19">
        <f>IF($V959&lt;&gt;'設定'!$C$4,N(U958),IF(OR(NOT(COUNTIF('商品マスタ'!$B$6:$B$1005,$W959)=0),COUNTIFS('①在庫を貼る'!$V$6:$V$10005,$V959,'①在庫を貼る'!$W$6:$W$10005,$W959)+COUNTIFS('月1回_1ヶ月前の在庫'!$V$6:$V$10005,$V959,'月1回_1ヶ月前の在庫'!$W$6:$W$10005,$W959)&gt;0),N(U958),N(U958)+1))</f>
        <v/>
      </c>
      <c r="V959" s="19">
        <f>IF($B959="","",TEXT($B959,"0000"))</f>
        <v/>
      </c>
      <c r="W959" s="19">
        <f>IF($I959="","",IF(ISNUMBER($I959),TEXT($I959,"0"),$I959))</f>
        <v/>
      </c>
    </row>
    <row r="960">
      <c r="B960" s="25" t="n"/>
      <c r="I960" s="25" t="n"/>
      <c r="U960" s="19">
        <f>IF($V960&lt;&gt;'設定'!$C$4,N(U959),IF(OR(NOT(COUNTIF('商品マスタ'!$B$6:$B$1005,$W960)=0),COUNTIFS('①在庫を貼る'!$V$6:$V$10005,$V960,'①在庫を貼る'!$W$6:$W$10005,$W960)+COUNTIFS('月1回_1ヶ月前の在庫'!$V$6:$V$10005,$V960,'月1回_1ヶ月前の在庫'!$W$6:$W$10005,$W960)&gt;0),N(U959),N(U959)+1))</f>
        <v/>
      </c>
      <c r="V960" s="19">
        <f>IF($B960="","",TEXT($B960,"0000"))</f>
        <v/>
      </c>
      <c r="W960" s="19">
        <f>IF($I960="","",IF(ISNUMBER($I960),TEXT($I960,"0"),$I960))</f>
        <v/>
      </c>
    </row>
    <row r="961">
      <c r="B961" s="25" t="n"/>
      <c r="I961" s="25" t="n"/>
      <c r="U961" s="19">
        <f>IF($V961&lt;&gt;'設定'!$C$4,N(U960),IF(OR(NOT(COUNTIF('商品マスタ'!$B$6:$B$1005,$W961)=0),COUNTIFS('①在庫を貼る'!$V$6:$V$10005,$V961,'①在庫を貼る'!$W$6:$W$10005,$W961)+COUNTIFS('月1回_1ヶ月前の在庫'!$V$6:$V$10005,$V961,'月1回_1ヶ月前の在庫'!$W$6:$W$10005,$W961)&gt;0),N(U960),N(U960)+1))</f>
        <v/>
      </c>
      <c r="V961" s="19">
        <f>IF($B961="","",TEXT($B961,"0000"))</f>
        <v/>
      </c>
      <c r="W961" s="19">
        <f>IF($I961="","",IF(ISNUMBER($I961),TEXT($I961,"0"),$I961))</f>
        <v/>
      </c>
    </row>
    <row r="962">
      <c r="B962" s="25" t="n"/>
      <c r="I962" s="25" t="n"/>
      <c r="U962" s="19">
        <f>IF($V962&lt;&gt;'設定'!$C$4,N(U961),IF(OR(NOT(COUNTIF('商品マスタ'!$B$6:$B$1005,$W962)=0),COUNTIFS('①在庫を貼る'!$V$6:$V$10005,$V962,'①在庫を貼る'!$W$6:$W$10005,$W962)+COUNTIFS('月1回_1ヶ月前の在庫'!$V$6:$V$10005,$V962,'月1回_1ヶ月前の在庫'!$W$6:$W$10005,$W962)&gt;0),N(U961),N(U961)+1))</f>
        <v/>
      </c>
      <c r="V962" s="19">
        <f>IF($B962="","",TEXT($B962,"0000"))</f>
        <v/>
      </c>
      <c r="W962" s="19">
        <f>IF($I962="","",IF(ISNUMBER($I962),TEXT($I962,"0"),$I962))</f>
        <v/>
      </c>
    </row>
    <row r="963">
      <c r="B963" s="25" t="n"/>
      <c r="I963" s="25" t="n"/>
      <c r="U963" s="19">
        <f>IF($V963&lt;&gt;'設定'!$C$4,N(U962),IF(OR(NOT(COUNTIF('商品マスタ'!$B$6:$B$1005,$W963)=0),COUNTIFS('①在庫を貼る'!$V$6:$V$10005,$V963,'①在庫を貼る'!$W$6:$W$10005,$W963)+COUNTIFS('月1回_1ヶ月前の在庫'!$V$6:$V$10005,$V963,'月1回_1ヶ月前の在庫'!$W$6:$W$10005,$W963)&gt;0),N(U962),N(U962)+1))</f>
        <v/>
      </c>
      <c r="V963" s="19">
        <f>IF($B963="","",TEXT($B963,"0000"))</f>
        <v/>
      </c>
      <c r="W963" s="19">
        <f>IF($I963="","",IF(ISNUMBER($I963),TEXT($I963,"0"),$I963))</f>
        <v/>
      </c>
    </row>
    <row r="964">
      <c r="B964" s="25" t="n"/>
      <c r="I964" s="25" t="n"/>
      <c r="U964" s="19">
        <f>IF($V964&lt;&gt;'設定'!$C$4,N(U963),IF(OR(NOT(COUNTIF('商品マスタ'!$B$6:$B$1005,$W964)=0),COUNTIFS('①在庫を貼る'!$V$6:$V$10005,$V964,'①在庫を貼る'!$W$6:$W$10005,$W964)+COUNTIFS('月1回_1ヶ月前の在庫'!$V$6:$V$10005,$V964,'月1回_1ヶ月前の在庫'!$W$6:$W$10005,$W964)&gt;0),N(U963),N(U963)+1))</f>
        <v/>
      </c>
      <c r="V964" s="19">
        <f>IF($B964="","",TEXT($B964,"0000"))</f>
        <v/>
      </c>
      <c r="W964" s="19">
        <f>IF($I964="","",IF(ISNUMBER($I964),TEXT($I964,"0"),$I964))</f>
        <v/>
      </c>
    </row>
    <row r="965">
      <c r="B965" s="25" t="n"/>
      <c r="I965" s="25" t="n"/>
      <c r="U965" s="19">
        <f>IF($V965&lt;&gt;'設定'!$C$4,N(U964),IF(OR(NOT(COUNTIF('商品マスタ'!$B$6:$B$1005,$W965)=0),COUNTIFS('①在庫を貼る'!$V$6:$V$10005,$V965,'①在庫を貼る'!$W$6:$W$10005,$W965)+COUNTIFS('月1回_1ヶ月前の在庫'!$V$6:$V$10005,$V965,'月1回_1ヶ月前の在庫'!$W$6:$W$10005,$W965)&gt;0),N(U964),N(U964)+1))</f>
        <v/>
      </c>
      <c r="V965" s="19">
        <f>IF($B965="","",TEXT($B965,"0000"))</f>
        <v/>
      </c>
      <c r="W965" s="19">
        <f>IF($I965="","",IF(ISNUMBER($I965),TEXT($I965,"0"),$I965))</f>
        <v/>
      </c>
    </row>
    <row r="966">
      <c r="B966" s="25" t="n"/>
      <c r="I966" s="25" t="n"/>
      <c r="U966" s="19">
        <f>IF($V966&lt;&gt;'設定'!$C$4,N(U965),IF(OR(NOT(COUNTIF('商品マスタ'!$B$6:$B$1005,$W966)=0),COUNTIFS('①在庫を貼る'!$V$6:$V$10005,$V966,'①在庫を貼る'!$W$6:$W$10005,$W966)+COUNTIFS('月1回_1ヶ月前の在庫'!$V$6:$V$10005,$V966,'月1回_1ヶ月前の在庫'!$W$6:$W$10005,$W966)&gt;0),N(U965),N(U965)+1))</f>
        <v/>
      </c>
      <c r="V966" s="19">
        <f>IF($B966="","",TEXT($B966,"0000"))</f>
        <v/>
      </c>
      <c r="W966" s="19">
        <f>IF($I966="","",IF(ISNUMBER($I966),TEXT($I966,"0"),$I966))</f>
        <v/>
      </c>
    </row>
    <row r="967">
      <c r="B967" s="25" t="n"/>
      <c r="I967" s="25" t="n"/>
      <c r="U967" s="19">
        <f>IF($V967&lt;&gt;'設定'!$C$4,N(U966),IF(OR(NOT(COUNTIF('商品マスタ'!$B$6:$B$1005,$W967)=0),COUNTIFS('①在庫を貼る'!$V$6:$V$10005,$V967,'①在庫を貼る'!$W$6:$W$10005,$W967)+COUNTIFS('月1回_1ヶ月前の在庫'!$V$6:$V$10005,$V967,'月1回_1ヶ月前の在庫'!$W$6:$W$10005,$W967)&gt;0),N(U966),N(U966)+1))</f>
        <v/>
      </c>
      <c r="V967" s="19">
        <f>IF($B967="","",TEXT($B967,"0000"))</f>
        <v/>
      </c>
      <c r="W967" s="19">
        <f>IF($I967="","",IF(ISNUMBER($I967),TEXT($I967,"0"),$I967))</f>
        <v/>
      </c>
    </row>
    <row r="968">
      <c r="B968" s="25" t="n"/>
      <c r="I968" s="25" t="n"/>
      <c r="U968" s="19">
        <f>IF($V968&lt;&gt;'設定'!$C$4,N(U967),IF(OR(NOT(COUNTIF('商品マスタ'!$B$6:$B$1005,$W968)=0),COUNTIFS('①在庫を貼る'!$V$6:$V$10005,$V968,'①在庫を貼る'!$W$6:$W$10005,$W968)+COUNTIFS('月1回_1ヶ月前の在庫'!$V$6:$V$10005,$V968,'月1回_1ヶ月前の在庫'!$W$6:$W$10005,$W968)&gt;0),N(U967),N(U967)+1))</f>
        <v/>
      </c>
      <c r="V968" s="19">
        <f>IF($B968="","",TEXT($B968,"0000"))</f>
        <v/>
      </c>
      <c r="W968" s="19">
        <f>IF($I968="","",IF(ISNUMBER($I968),TEXT($I968,"0"),$I968))</f>
        <v/>
      </c>
    </row>
    <row r="969">
      <c r="B969" s="25" t="n"/>
      <c r="I969" s="25" t="n"/>
      <c r="U969" s="19">
        <f>IF($V969&lt;&gt;'設定'!$C$4,N(U968),IF(OR(NOT(COUNTIF('商品マスタ'!$B$6:$B$1005,$W969)=0),COUNTIFS('①在庫を貼る'!$V$6:$V$10005,$V969,'①在庫を貼る'!$W$6:$W$10005,$W969)+COUNTIFS('月1回_1ヶ月前の在庫'!$V$6:$V$10005,$V969,'月1回_1ヶ月前の在庫'!$W$6:$W$10005,$W969)&gt;0),N(U968),N(U968)+1))</f>
        <v/>
      </c>
      <c r="V969" s="19">
        <f>IF($B969="","",TEXT($B969,"0000"))</f>
        <v/>
      </c>
      <c r="W969" s="19">
        <f>IF($I969="","",IF(ISNUMBER($I969),TEXT($I969,"0"),$I969))</f>
        <v/>
      </c>
    </row>
    <row r="970">
      <c r="B970" s="25" t="n"/>
      <c r="I970" s="25" t="n"/>
      <c r="U970" s="19">
        <f>IF($V970&lt;&gt;'設定'!$C$4,N(U969),IF(OR(NOT(COUNTIF('商品マスタ'!$B$6:$B$1005,$W970)=0),COUNTIFS('①在庫を貼る'!$V$6:$V$10005,$V970,'①在庫を貼る'!$W$6:$W$10005,$W970)+COUNTIFS('月1回_1ヶ月前の在庫'!$V$6:$V$10005,$V970,'月1回_1ヶ月前の在庫'!$W$6:$W$10005,$W970)&gt;0),N(U969),N(U969)+1))</f>
        <v/>
      </c>
      <c r="V970" s="19">
        <f>IF($B970="","",TEXT($B970,"0000"))</f>
        <v/>
      </c>
      <c r="W970" s="19">
        <f>IF($I970="","",IF(ISNUMBER($I970),TEXT($I970,"0"),$I970))</f>
        <v/>
      </c>
    </row>
    <row r="971">
      <c r="B971" s="25" t="n"/>
      <c r="I971" s="25" t="n"/>
      <c r="U971" s="19">
        <f>IF($V971&lt;&gt;'設定'!$C$4,N(U970),IF(OR(NOT(COUNTIF('商品マスタ'!$B$6:$B$1005,$W971)=0),COUNTIFS('①在庫を貼る'!$V$6:$V$10005,$V971,'①在庫を貼る'!$W$6:$W$10005,$W971)+COUNTIFS('月1回_1ヶ月前の在庫'!$V$6:$V$10005,$V971,'月1回_1ヶ月前の在庫'!$W$6:$W$10005,$W971)&gt;0),N(U970),N(U970)+1))</f>
        <v/>
      </c>
      <c r="V971" s="19">
        <f>IF($B971="","",TEXT($B971,"0000"))</f>
        <v/>
      </c>
      <c r="W971" s="19">
        <f>IF($I971="","",IF(ISNUMBER($I971),TEXT($I971,"0"),$I971))</f>
        <v/>
      </c>
    </row>
    <row r="972">
      <c r="B972" s="25" t="n"/>
      <c r="I972" s="25" t="n"/>
      <c r="U972" s="19">
        <f>IF($V972&lt;&gt;'設定'!$C$4,N(U971),IF(OR(NOT(COUNTIF('商品マスタ'!$B$6:$B$1005,$W972)=0),COUNTIFS('①在庫を貼る'!$V$6:$V$10005,$V972,'①在庫を貼る'!$W$6:$W$10005,$W972)+COUNTIFS('月1回_1ヶ月前の在庫'!$V$6:$V$10005,$V972,'月1回_1ヶ月前の在庫'!$W$6:$W$10005,$W972)&gt;0),N(U971),N(U971)+1))</f>
        <v/>
      </c>
      <c r="V972" s="19">
        <f>IF($B972="","",TEXT($B972,"0000"))</f>
        <v/>
      </c>
      <c r="W972" s="19">
        <f>IF($I972="","",IF(ISNUMBER($I972),TEXT($I972,"0"),$I972))</f>
        <v/>
      </c>
    </row>
    <row r="973">
      <c r="B973" s="25" t="n"/>
      <c r="I973" s="25" t="n"/>
      <c r="U973" s="19">
        <f>IF($V973&lt;&gt;'設定'!$C$4,N(U972),IF(OR(NOT(COUNTIF('商品マスタ'!$B$6:$B$1005,$W973)=0),COUNTIFS('①在庫を貼る'!$V$6:$V$10005,$V973,'①在庫を貼る'!$W$6:$W$10005,$W973)+COUNTIFS('月1回_1ヶ月前の在庫'!$V$6:$V$10005,$V973,'月1回_1ヶ月前の在庫'!$W$6:$W$10005,$W973)&gt;0),N(U972),N(U972)+1))</f>
        <v/>
      </c>
      <c r="V973" s="19">
        <f>IF($B973="","",TEXT($B973,"0000"))</f>
        <v/>
      </c>
      <c r="W973" s="19">
        <f>IF($I973="","",IF(ISNUMBER($I973),TEXT($I973,"0"),$I973))</f>
        <v/>
      </c>
    </row>
    <row r="974">
      <c r="B974" s="25" t="n"/>
      <c r="I974" s="25" t="n"/>
      <c r="U974" s="19">
        <f>IF($V974&lt;&gt;'設定'!$C$4,N(U973),IF(OR(NOT(COUNTIF('商品マスタ'!$B$6:$B$1005,$W974)=0),COUNTIFS('①在庫を貼る'!$V$6:$V$10005,$V974,'①在庫を貼る'!$W$6:$W$10005,$W974)+COUNTIFS('月1回_1ヶ月前の在庫'!$V$6:$V$10005,$V974,'月1回_1ヶ月前の在庫'!$W$6:$W$10005,$W974)&gt;0),N(U973),N(U973)+1))</f>
        <v/>
      </c>
      <c r="V974" s="19">
        <f>IF($B974="","",TEXT($B974,"0000"))</f>
        <v/>
      </c>
      <c r="W974" s="19">
        <f>IF($I974="","",IF(ISNUMBER($I974),TEXT($I974,"0"),$I974))</f>
        <v/>
      </c>
    </row>
    <row r="975">
      <c r="B975" s="25" t="n"/>
      <c r="I975" s="25" t="n"/>
      <c r="U975" s="19">
        <f>IF($V975&lt;&gt;'設定'!$C$4,N(U974),IF(OR(NOT(COUNTIF('商品マスタ'!$B$6:$B$1005,$W975)=0),COUNTIFS('①在庫を貼る'!$V$6:$V$10005,$V975,'①在庫を貼る'!$W$6:$W$10005,$W975)+COUNTIFS('月1回_1ヶ月前の在庫'!$V$6:$V$10005,$V975,'月1回_1ヶ月前の在庫'!$W$6:$W$10005,$W975)&gt;0),N(U974),N(U974)+1))</f>
        <v/>
      </c>
      <c r="V975" s="19">
        <f>IF($B975="","",TEXT($B975,"0000"))</f>
        <v/>
      </c>
      <c r="W975" s="19">
        <f>IF($I975="","",IF(ISNUMBER($I975),TEXT($I975,"0"),$I975))</f>
        <v/>
      </c>
    </row>
    <row r="976">
      <c r="B976" s="25" t="n"/>
      <c r="I976" s="25" t="n"/>
      <c r="U976" s="19">
        <f>IF($V976&lt;&gt;'設定'!$C$4,N(U975),IF(OR(NOT(COUNTIF('商品マスタ'!$B$6:$B$1005,$W976)=0),COUNTIFS('①在庫を貼る'!$V$6:$V$10005,$V976,'①在庫を貼る'!$W$6:$W$10005,$W976)+COUNTIFS('月1回_1ヶ月前の在庫'!$V$6:$V$10005,$V976,'月1回_1ヶ月前の在庫'!$W$6:$W$10005,$W976)&gt;0),N(U975),N(U975)+1))</f>
        <v/>
      </c>
      <c r="V976" s="19">
        <f>IF($B976="","",TEXT($B976,"0000"))</f>
        <v/>
      </c>
      <c r="W976" s="19">
        <f>IF($I976="","",IF(ISNUMBER($I976),TEXT($I976,"0"),$I976))</f>
        <v/>
      </c>
    </row>
    <row r="977">
      <c r="B977" s="25" t="n"/>
      <c r="I977" s="25" t="n"/>
      <c r="U977" s="19">
        <f>IF($V977&lt;&gt;'設定'!$C$4,N(U976),IF(OR(NOT(COUNTIF('商品マスタ'!$B$6:$B$1005,$W977)=0),COUNTIFS('①在庫を貼る'!$V$6:$V$10005,$V977,'①在庫を貼る'!$W$6:$W$10005,$W977)+COUNTIFS('月1回_1ヶ月前の在庫'!$V$6:$V$10005,$V977,'月1回_1ヶ月前の在庫'!$W$6:$W$10005,$W977)&gt;0),N(U976),N(U976)+1))</f>
        <v/>
      </c>
      <c r="V977" s="19">
        <f>IF($B977="","",TEXT($B977,"0000"))</f>
        <v/>
      </c>
      <c r="W977" s="19">
        <f>IF($I977="","",IF(ISNUMBER($I977),TEXT($I977,"0"),$I977))</f>
        <v/>
      </c>
    </row>
    <row r="978">
      <c r="B978" s="25" t="n"/>
      <c r="I978" s="25" t="n"/>
      <c r="U978" s="19">
        <f>IF($V978&lt;&gt;'設定'!$C$4,N(U977),IF(OR(NOT(COUNTIF('商品マスタ'!$B$6:$B$1005,$W978)=0),COUNTIFS('①在庫を貼る'!$V$6:$V$10005,$V978,'①在庫を貼る'!$W$6:$W$10005,$W978)+COUNTIFS('月1回_1ヶ月前の在庫'!$V$6:$V$10005,$V978,'月1回_1ヶ月前の在庫'!$W$6:$W$10005,$W978)&gt;0),N(U977),N(U977)+1))</f>
        <v/>
      </c>
      <c r="V978" s="19">
        <f>IF($B978="","",TEXT($B978,"0000"))</f>
        <v/>
      </c>
      <c r="W978" s="19">
        <f>IF($I978="","",IF(ISNUMBER($I978),TEXT($I978,"0"),$I978))</f>
        <v/>
      </c>
    </row>
    <row r="979">
      <c r="B979" s="25" t="n"/>
      <c r="I979" s="25" t="n"/>
      <c r="U979" s="19">
        <f>IF($V979&lt;&gt;'設定'!$C$4,N(U978),IF(OR(NOT(COUNTIF('商品マスタ'!$B$6:$B$1005,$W979)=0),COUNTIFS('①在庫を貼る'!$V$6:$V$10005,$V979,'①在庫を貼る'!$W$6:$W$10005,$W979)+COUNTIFS('月1回_1ヶ月前の在庫'!$V$6:$V$10005,$V979,'月1回_1ヶ月前の在庫'!$W$6:$W$10005,$W979)&gt;0),N(U978),N(U978)+1))</f>
        <v/>
      </c>
      <c r="V979" s="19">
        <f>IF($B979="","",TEXT($B979,"0000"))</f>
        <v/>
      </c>
      <c r="W979" s="19">
        <f>IF($I979="","",IF(ISNUMBER($I979),TEXT($I979,"0"),$I979))</f>
        <v/>
      </c>
    </row>
    <row r="980">
      <c r="B980" s="25" t="n"/>
      <c r="I980" s="25" t="n"/>
      <c r="U980" s="19">
        <f>IF($V980&lt;&gt;'設定'!$C$4,N(U979),IF(OR(NOT(COUNTIF('商品マスタ'!$B$6:$B$1005,$W980)=0),COUNTIFS('①在庫を貼る'!$V$6:$V$10005,$V980,'①在庫を貼る'!$W$6:$W$10005,$W980)+COUNTIFS('月1回_1ヶ月前の在庫'!$V$6:$V$10005,$V980,'月1回_1ヶ月前の在庫'!$W$6:$W$10005,$W980)&gt;0),N(U979),N(U979)+1))</f>
        <v/>
      </c>
      <c r="V980" s="19">
        <f>IF($B980="","",TEXT($B980,"0000"))</f>
        <v/>
      </c>
      <c r="W980" s="19">
        <f>IF($I980="","",IF(ISNUMBER($I980),TEXT($I980,"0"),$I980))</f>
        <v/>
      </c>
    </row>
    <row r="981">
      <c r="B981" s="25" t="n"/>
      <c r="I981" s="25" t="n"/>
      <c r="U981" s="19">
        <f>IF($V981&lt;&gt;'設定'!$C$4,N(U980),IF(OR(NOT(COUNTIF('商品マスタ'!$B$6:$B$1005,$W981)=0),COUNTIFS('①在庫を貼る'!$V$6:$V$10005,$V981,'①在庫を貼る'!$W$6:$W$10005,$W981)+COUNTIFS('月1回_1ヶ月前の在庫'!$V$6:$V$10005,$V981,'月1回_1ヶ月前の在庫'!$W$6:$W$10005,$W981)&gt;0),N(U980),N(U980)+1))</f>
        <v/>
      </c>
      <c r="V981" s="19">
        <f>IF($B981="","",TEXT($B981,"0000"))</f>
        <v/>
      </c>
      <c r="W981" s="19">
        <f>IF($I981="","",IF(ISNUMBER($I981),TEXT($I981,"0"),$I981))</f>
        <v/>
      </c>
    </row>
    <row r="982">
      <c r="B982" s="25" t="n"/>
      <c r="I982" s="25" t="n"/>
      <c r="U982" s="19">
        <f>IF($V982&lt;&gt;'設定'!$C$4,N(U981),IF(OR(NOT(COUNTIF('商品マスタ'!$B$6:$B$1005,$W982)=0),COUNTIFS('①在庫を貼る'!$V$6:$V$10005,$V982,'①在庫を貼る'!$W$6:$W$10005,$W982)+COUNTIFS('月1回_1ヶ月前の在庫'!$V$6:$V$10005,$V982,'月1回_1ヶ月前の在庫'!$W$6:$W$10005,$W982)&gt;0),N(U981),N(U981)+1))</f>
        <v/>
      </c>
      <c r="V982" s="19">
        <f>IF($B982="","",TEXT($B982,"0000"))</f>
        <v/>
      </c>
      <c r="W982" s="19">
        <f>IF($I982="","",IF(ISNUMBER($I982),TEXT($I982,"0"),$I982))</f>
        <v/>
      </c>
    </row>
    <row r="983">
      <c r="B983" s="25" t="n"/>
      <c r="I983" s="25" t="n"/>
      <c r="U983" s="19">
        <f>IF($V983&lt;&gt;'設定'!$C$4,N(U982),IF(OR(NOT(COUNTIF('商品マスタ'!$B$6:$B$1005,$W983)=0),COUNTIFS('①在庫を貼る'!$V$6:$V$10005,$V983,'①在庫を貼る'!$W$6:$W$10005,$W983)+COUNTIFS('月1回_1ヶ月前の在庫'!$V$6:$V$10005,$V983,'月1回_1ヶ月前の在庫'!$W$6:$W$10005,$W983)&gt;0),N(U982),N(U982)+1))</f>
        <v/>
      </c>
      <c r="V983" s="19">
        <f>IF($B983="","",TEXT($B983,"0000"))</f>
        <v/>
      </c>
      <c r="W983" s="19">
        <f>IF($I983="","",IF(ISNUMBER($I983),TEXT($I983,"0"),$I983))</f>
        <v/>
      </c>
    </row>
    <row r="984">
      <c r="B984" s="25" t="n"/>
      <c r="I984" s="25" t="n"/>
      <c r="U984" s="19">
        <f>IF($V984&lt;&gt;'設定'!$C$4,N(U983),IF(OR(NOT(COUNTIF('商品マスタ'!$B$6:$B$1005,$W984)=0),COUNTIFS('①在庫を貼る'!$V$6:$V$10005,$V984,'①在庫を貼る'!$W$6:$W$10005,$W984)+COUNTIFS('月1回_1ヶ月前の在庫'!$V$6:$V$10005,$V984,'月1回_1ヶ月前の在庫'!$W$6:$W$10005,$W984)&gt;0),N(U983),N(U983)+1))</f>
        <v/>
      </c>
      <c r="V984" s="19">
        <f>IF($B984="","",TEXT($B984,"0000"))</f>
        <v/>
      </c>
      <c r="W984" s="19">
        <f>IF($I984="","",IF(ISNUMBER($I984),TEXT($I984,"0"),$I984))</f>
        <v/>
      </c>
    </row>
    <row r="985">
      <c r="B985" s="25" t="n"/>
      <c r="I985" s="25" t="n"/>
      <c r="U985" s="19">
        <f>IF($V985&lt;&gt;'設定'!$C$4,N(U984),IF(OR(NOT(COUNTIF('商品マスタ'!$B$6:$B$1005,$W985)=0),COUNTIFS('①在庫を貼る'!$V$6:$V$10005,$V985,'①在庫を貼る'!$W$6:$W$10005,$W985)+COUNTIFS('月1回_1ヶ月前の在庫'!$V$6:$V$10005,$V985,'月1回_1ヶ月前の在庫'!$W$6:$W$10005,$W985)&gt;0),N(U984),N(U984)+1))</f>
        <v/>
      </c>
      <c r="V985" s="19">
        <f>IF($B985="","",TEXT($B985,"0000"))</f>
        <v/>
      </c>
      <c r="W985" s="19">
        <f>IF($I985="","",IF(ISNUMBER($I985),TEXT($I985,"0"),$I985))</f>
        <v/>
      </c>
    </row>
    <row r="986">
      <c r="B986" s="25" t="n"/>
      <c r="I986" s="25" t="n"/>
      <c r="U986" s="19">
        <f>IF($V986&lt;&gt;'設定'!$C$4,N(U985),IF(OR(NOT(COUNTIF('商品マスタ'!$B$6:$B$1005,$W986)=0),COUNTIFS('①在庫を貼る'!$V$6:$V$10005,$V986,'①在庫を貼る'!$W$6:$W$10005,$W986)+COUNTIFS('月1回_1ヶ月前の在庫'!$V$6:$V$10005,$V986,'月1回_1ヶ月前の在庫'!$W$6:$W$10005,$W986)&gt;0),N(U985),N(U985)+1))</f>
        <v/>
      </c>
      <c r="V986" s="19">
        <f>IF($B986="","",TEXT($B986,"0000"))</f>
        <v/>
      </c>
      <c r="W986" s="19">
        <f>IF($I986="","",IF(ISNUMBER($I986),TEXT($I986,"0"),$I986))</f>
        <v/>
      </c>
    </row>
    <row r="987">
      <c r="B987" s="25" t="n"/>
      <c r="I987" s="25" t="n"/>
      <c r="U987" s="19">
        <f>IF($V987&lt;&gt;'設定'!$C$4,N(U986),IF(OR(NOT(COUNTIF('商品マスタ'!$B$6:$B$1005,$W987)=0),COUNTIFS('①在庫を貼る'!$V$6:$V$10005,$V987,'①在庫を貼る'!$W$6:$W$10005,$W987)+COUNTIFS('月1回_1ヶ月前の在庫'!$V$6:$V$10005,$V987,'月1回_1ヶ月前の在庫'!$W$6:$W$10005,$W987)&gt;0),N(U986),N(U986)+1))</f>
        <v/>
      </c>
      <c r="V987" s="19">
        <f>IF($B987="","",TEXT($B987,"0000"))</f>
        <v/>
      </c>
      <c r="W987" s="19">
        <f>IF($I987="","",IF(ISNUMBER($I987),TEXT($I987,"0"),$I987))</f>
        <v/>
      </c>
    </row>
    <row r="988">
      <c r="B988" s="25" t="n"/>
      <c r="I988" s="25" t="n"/>
      <c r="U988" s="19">
        <f>IF($V988&lt;&gt;'設定'!$C$4,N(U987),IF(OR(NOT(COUNTIF('商品マスタ'!$B$6:$B$1005,$W988)=0),COUNTIFS('①在庫を貼る'!$V$6:$V$10005,$V988,'①在庫を貼る'!$W$6:$W$10005,$W988)+COUNTIFS('月1回_1ヶ月前の在庫'!$V$6:$V$10005,$V988,'月1回_1ヶ月前の在庫'!$W$6:$W$10005,$W988)&gt;0),N(U987),N(U987)+1))</f>
        <v/>
      </c>
      <c r="V988" s="19">
        <f>IF($B988="","",TEXT($B988,"0000"))</f>
        <v/>
      </c>
      <c r="W988" s="19">
        <f>IF($I988="","",IF(ISNUMBER($I988),TEXT($I988,"0"),$I988))</f>
        <v/>
      </c>
    </row>
    <row r="989">
      <c r="B989" s="25" t="n"/>
      <c r="I989" s="25" t="n"/>
      <c r="U989" s="19">
        <f>IF($V989&lt;&gt;'設定'!$C$4,N(U988),IF(OR(NOT(COUNTIF('商品マスタ'!$B$6:$B$1005,$W989)=0),COUNTIFS('①在庫を貼る'!$V$6:$V$10005,$V989,'①在庫を貼る'!$W$6:$W$10005,$W989)+COUNTIFS('月1回_1ヶ月前の在庫'!$V$6:$V$10005,$V989,'月1回_1ヶ月前の在庫'!$W$6:$W$10005,$W989)&gt;0),N(U988),N(U988)+1))</f>
        <v/>
      </c>
      <c r="V989" s="19">
        <f>IF($B989="","",TEXT($B989,"0000"))</f>
        <v/>
      </c>
      <c r="W989" s="19">
        <f>IF($I989="","",IF(ISNUMBER($I989),TEXT($I989,"0"),$I989))</f>
        <v/>
      </c>
    </row>
    <row r="990">
      <c r="B990" s="25" t="n"/>
      <c r="I990" s="25" t="n"/>
      <c r="U990" s="19">
        <f>IF($V990&lt;&gt;'設定'!$C$4,N(U989),IF(OR(NOT(COUNTIF('商品マスタ'!$B$6:$B$1005,$W990)=0),COUNTIFS('①在庫を貼る'!$V$6:$V$10005,$V990,'①在庫を貼る'!$W$6:$W$10005,$W990)+COUNTIFS('月1回_1ヶ月前の在庫'!$V$6:$V$10005,$V990,'月1回_1ヶ月前の在庫'!$W$6:$W$10005,$W990)&gt;0),N(U989),N(U989)+1))</f>
        <v/>
      </c>
      <c r="V990" s="19">
        <f>IF($B990="","",TEXT($B990,"0000"))</f>
        <v/>
      </c>
      <c r="W990" s="19">
        <f>IF($I990="","",IF(ISNUMBER($I990),TEXT($I990,"0"),$I990))</f>
        <v/>
      </c>
    </row>
    <row r="991">
      <c r="B991" s="25" t="n"/>
      <c r="I991" s="25" t="n"/>
      <c r="U991" s="19">
        <f>IF($V991&lt;&gt;'設定'!$C$4,N(U990),IF(OR(NOT(COUNTIF('商品マスタ'!$B$6:$B$1005,$W991)=0),COUNTIFS('①在庫を貼る'!$V$6:$V$10005,$V991,'①在庫を貼る'!$W$6:$W$10005,$W991)+COUNTIFS('月1回_1ヶ月前の在庫'!$V$6:$V$10005,$V991,'月1回_1ヶ月前の在庫'!$W$6:$W$10005,$W991)&gt;0),N(U990),N(U990)+1))</f>
        <v/>
      </c>
      <c r="V991" s="19">
        <f>IF($B991="","",TEXT($B991,"0000"))</f>
        <v/>
      </c>
      <c r="W991" s="19">
        <f>IF($I991="","",IF(ISNUMBER($I991),TEXT($I991,"0"),$I991))</f>
        <v/>
      </c>
    </row>
    <row r="992">
      <c r="B992" s="25" t="n"/>
      <c r="I992" s="25" t="n"/>
      <c r="U992" s="19">
        <f>IF($V992&lt;&gt;'設定'!$C$4,N(U991),IF(OR(NOT(COUNTIF('商品マスタ'!$B$6:$B$1005,$W992)=0),COUNTIFS('①在庫を貼る'!$V$6:$V$10005,$V992,'①在庫を貼る'!$W$6:$W$10005,$W992)+COUNTIFS('月1回_1ヶ月前の在庫'!$V$6:$V$10005,$V992,'月1回_1ヶ月前の在庫'!$W$6:$W$10005,$W992)&gt;0),N(U991),N(U991)+1))</f>
        <v/>
      </c>
      <c r="V992" s="19">
        <f>IF($B992="","",TEXT($B992,"0000"))</f>
        <v/>
      </c>
      <c r="W992" s="19">
        <f>IF($I992="","",IF(ISNUMBER($I992),TEXT($I992,"0"),$I992))</f>
        <v/>
      </c>
    </row>
    <row r="993">
      <c r="B993" s="25" t="n"/>
      <c r="I993" s="25" t="n"/>
      <c r="U993" s="19">
        <f>IF($V993&lt;&gt;'設定'!$C$4,N(U992),IF(OR(NOT(COUNTIF('商品マスタ'!$B$6:$B$1005,$W993)=0),COUNTIFS('①在庫を貼る'!$V$6:$V$10005,$V993,'①在庫を貼る'!$W$6:$W$10005,$W993)+COUNTIFS('月1回_1ヶ月前の在庫'!$V$6:$V$10005,$V993,'月1回_1ヶ月前の在庫'!$W$6:$W$10005,$W993)&gt;0),N(U992),N(U992)+1))</f>
        <v/>
      </c>
      <c r="V993" s="19">
        <f>IF($B993="","",TEXT($B993,"0000"))</f>
        <v/>
      </c>
      <c r="W993" s="19">
        <f>IF($I993="","",IF(ISNUMBER($I993),TEXT($I993,"0"),$I993))</f>
        <v/>
      </c>
    </row>
    <row r="994">
      <c r="B994" s="25" t="n"/>
      <c r="I994" s="25" t="n"/>
      <c r="U994" s="19">
        <f>IF($V994&lt;&gt;'設定'!$C$4,N(U993),IF(OR(NOT(COUNTIF('商品マスタ'!$B$6:$B$1005,$W994)=0),COUNTIFS('①在庫を貼る'!$V$6:$V$10005,$V994,'①在庫を貼る'!$W$6:$W$10005,$W994)+COUNTIFS('月1回_1ヶ月前の在庫'!$V$6:$V$10005,$V994,'月1回_1ヶ月前の在庫'!$W$6:$W$10005,$W994)&gt;0),N(U993),N(U993)+1))</f>
        <v/>
      </c>
      <c r="V994" s="19">
        <f>IF($B994="","",TEXT($B994,"0000"))</f>
        <v/>
      </c>
      <c r="W994" s="19">
        <f>IF($I994="","",IF(ISNUMBER($I994),TEXT($I994,"0"),$I994))</f>
        <v/>
      </c>
    </row>
    <row r="995">
      <c r="B995" s="25" t="n"/>
      <c r="I995" s="25" t="n"/>
      <c r="U995" s="19">
        <f>IF($V995&lt;&gt;'設定'!$C$4,N(U994),IF(OR(NOT(COUNTIF('商品マスタ'!$B$6:$B$1005,$W995)=0),COUNTIFS('①在庫を貼る'!$V$6:$V$10005,$V995,'①在庫を貼る'!$W$6:$W$10005,$W995)+COUNTIFS('月1回_1ヶ月前の在庫'!$V$6:$V$10005,$V995,'月1回_1ヶ月前の在庫'!$W$6:$W$10005,$W995)&gt;0),N(U994),N(U994)+1))</f>
        <v/>
      </c>
      <c r="V995" s="19">
        <f>IF($B995="","",TEXT($B995,"0000"))</f>
        <v/>
      </c>
      <c r="W995" s="19">
        <f>IF($I995="","",IF(ISNUMBER($I995),TEXT($I995,"0"),$I995))</f>
        <v/>
      </c>
    </row>
    <row r="996">
      <c r="B996" s="25" t="n"/>
      <c r="I996" s="25" t="n"/>
      <c r="U996" s="19">
        <f>IF($V996&lt;&gt;'設定'!$C$4,N(U995),IF(OR(NOT(COUNTIF('商品マスタ'!$B$6:$B$1005,$W996)=0),COUNTIFS('①在庫を貼る'!$V$6:$V$10005,$V996,'①在庫を貼る'!$W$6:$W$10005,$W996)+COUNTIFS('月1回_1ヶ月前の在庫'!$V$6:$V$10005,$V996,'月1回_1ヶ月前の在庫'!$W$6:$W$10005,$W996)&gt;0),N(U995),N(U995)+1))</f>
        <v/>
      </c>
      <c r="V996" s="19">
        <f>IF($B996="","",TEXT($B996,"0000"))</f>
        <v/>
      </c>
      <c r="W996" s="19">
        <f>IF($I996="","",IF(ISNUMBER($I996),TEXT($I996,"0"),$I996))</f>
        <v/>
      </c>
    </row>
    <row r="997">
      <c r="B997" s="25" t="n"/>
      <c r="I997" s="25" t="n"/>
      <c r="U997" s="19">
        <f>IF($V997&lt;&gt;'設定'!$C$4,N(U996),IF(OR(NOT(COUNTIF('商品マスタ'!$B$6:$B$1005,$W997)=0),COUNTIFS('①在庫を貼る'!$V$6:$V$10005,$V997,'①在庫を貼る'!$W$6:$W$10005,$W997)+COUNTIFS('月1回_1ヶ月前の在庫'!$V$6:$V$10005,$V997,'月1回_1ヶ月前の在庫'!$W$6:$W$10005,$W997)&gt;0),N(U996),N(U996)+1))</f>
        <v/>
      </c>
      <c r="V997" s="19">
        <f>IF($B997="","",TEXT($B997,"0000"))</f>
        <v/>
      </c>
      <c r="W997" s="19">
        <f>IF($I997="","",IF(ISNUMBER($I997),TEXT($I997,"0"),$I997))</f>
        <v/>
      </c>
    </row>
    <row r="998">
      <c r="B998" s="25" t="n"/>
      <c r="I998" s="25" t="n"/>
      <c r="U998" s="19">
        <f>IF($V998&lt;&gt;'設定'!$C$4,N(U997),IF(OR(NOT(COUNTIF('商品マスタ'!$B$6:$B$1005,$W998)=0),COUNTIFS('①在庫を貼る'!$V$6:$V$10005,$V998,'①在庫を貼る'!$W$6:$W$10005,$W998)+COUNTIFS('月1回_1ヶ月前の在庫'!$V$6:$V$10005,$V998,'月1回_1ヶ月前の在庫'!$W$6:$W$10005,$W998)&gt;0),N(U997),N(U997)+1))</f>
        <v/>
      </c>
      <c r="V998" s="19">
        <f>IF($B998="","",TEXT($B998,"0000"))</f>
        <v/>
      </c>
      <c r="W998" s="19">
        <f>IF($I998="","",IF(ISNUMBER($I998),TEXT($I998,"0"),$I998))</f>
        <v/>
      </c>
    </row>
    <row r="999">
      <c r="B999" s="25" t="n"/>
      <c r="I999" s="25" t="n"/>
      <c r="U999" s="19">
        <f>IF($V999&lt;&gt;'設定'!$C$4,N(U998),IF(OR(NOT(COUNTIF('商品マスタ'!$B$6:$B$1005,$W999)=0),COUNTIFS('①在庫を貼る'!$V$6:$V$10005,$V999,'①在庫を貼る'!$W$6:$W$10005,$W999)+COUNTIFS('月1回_1ヶ月前の在庫'!$V$6:$V$10005,$V999,'月1回_1ヶ月前の在庫'!$W$6:$W$10005,$W999)&gt;0),N(U998),N(U998)+1))</f>
        <v/>
      </c>
      <c r="V999" s="19">
        <f>IF($B999="","",TEXT($B999,"0000"))</f>
        <v/>
      </c>
      <c r="W999" s="19">
        <f>IF($I999="","",IF(ISNUMBER($I999),TEXT($I999,"0"),$I999))</f>
        <v/>
      </c>
    </row>
    <row r="1000">
      <c r="B1000" s="25" t="n"/>
      <c r="I1000" s="25" t="n"/>
      <c r="U1000" s="19">
        <f>IF($V1000&lt;&gt;'設定'!$C$4,N(U999),IF(OR(NOT(COUNTIF('商品マスタ'!$B$6:$B$1005,$W1000)=0),COUNTIFS('①在庫を貼る'!$V$6:$V$10005,$V1000,'①在庫を貼る'!$W$6:$W$10005,$W1000)+COUNTIFS('月1回_1ヶ月前の在庫'!$V$6:$V$10005,$V1000,'月1回_1ヶ月前の在庫'!$W$6:$W$10005,$W1000)&gt;0),N(U999),N(U999)+1))</f>
        <v/>
      </c>
      <c r="V1000" s="19">
        <f>IF($B1000="","",TEXT($B1000,"0000"))</f>
        <v/>
      </c>
      <c r="W1000" s="19">
        <f>IF($I1000="","",IF(ISNUMBER($I1000),TEXT($I1000,"0"),$I1000))</f>
        <v/>
      </c>
    </row>
    <row r="1001">
      <c r="B1001" s="25" t="n"/>
      <c r="I1001" s="25" t="n"/>
      <c r="U1001" s="19">
        <f>IF($V1001&lt;&gt;'設定'!$C$4,N(U1000),IF(OR(NOT(COUNTIF('商品マスタ'!$B$6:$B$1005,$W1001)=0),COUNTIFS('①在庫を貼る'!$V$6:$V$10005,$V1001,'①在庫を貼る'!$W$6:$W$10005,$W1001)+COUNTIFS('月1回_1ヶ月前の在庫'!$V$6:$V$10005,$V1001,'月1回_1ヶ月前の在庫'!$W$6:$W$10005,$W1001)&gt;0),N(U1000),N(U1000)+1))</f>
        <v/>
      </c>
      <c r="V1001" s="19">
        <f>IF($B1001="","",TEXT($B1001,"0000"))</f>
        <v/>
      </c>
      <c r="W1001" s="19">
        <f>IF($I1001="","",IF(ISNUMBER($I1001),TEXT($I1001,"0"),$I1001))</f>
        <v/>
      </c>
    </row>
    <row r="1002">
      <c r="B1002" s="25" t="n"/>
      <c r="I1002" s="25" t="n"/>
      <c r="U1002" s="19">
        <f>IF($V1002&lt;&gt;'設定'!$C$4,N(U1001),IF(OR(NOT(COUNTIF('商品マスタ'!$B$6:$B$1005,$W1002)=0),COUNTIFS('①在庫を貼る'!$V$6:$V$10005,$V1002,'①在庫を貼る'!$W$6:$W$10005,$W1002)+COUNTIFS('月1回_1ヶ月前の在庫'!$V$6:$V$10005,$V1002,'月1回_1ヶ月前の在庫'!$W$6:$W$10005,$W1002)&gt;0),N(U1001),N(U1001)+1))</f>
        <v/>
      </c>
      <c r="V1002" s="19">
        <f>IF($B1002="","",TEXT($B1002,"0000"))</f>
        <v/>
      </c>
      <c r="W1002" s="19">
        <f>IF($I1002="","",IF(ISNUMBER($I1002),TEXT($I1002,"0"),$I1002))</f>
        <v/>
      </c>
    </row>
    <row r="1003">
      <c r="B1003" s="25" t="n"/>
      <c r="I1003" s="25" t="n"/>
      <c r="U1003" s="19">
        <f>IF($V1003&lt;&gt;'設定'!$C$4,N(U1002),IF(OR(NOT(COUNTIF('商品マスタ'!$B$6:$B$1005,$W1003)=0),COUNTIFS('①在庫を貼る'!$V$6:$V$10005,$V1003,'①在庫を貼る'!$W$6:$W$10005,$W1003)+COUNTIFS('月1回_1ヶ月前の在庫'!$V$6:$V$10005,$V1003,'月1回_1ヶ月前の在庫'!$W$6:$W$10005,$W1003)&gt;0),N(U1002),N(U1002)+1))</f>
        <v/>
      </c>
      <c r="V1003" s="19">
        <f>IF($B1003="","",TEXT($B1003,"0000"))</f>
        <v/>
      </c>
      <c r="W1003" s="19">
        <f>IF($I1003="","",IF(ISNUMBER($I1003),TEXT($I1003,"0"),$I1003))</f>
        <v/>
      </c>
    </row>
    <row r="1004">
      <c r="B1004" s="25" t="n"/>
      <c r="I1004" s="25" t="n"/>
      <c r="U1004" s="19">
        <f>IF($V1004&lt;&gt;'設定'!$C$4,N(U1003),IF(OR(NOT(COUNTIF('商品マスタ'!$B$6:$B$1005,$W1004)=0),COUNTIFS('①在庫を貼る'!$V$6:$V$10005,$V1004,'①在庫を貼る'!$W$6:$W$10005,$W1004)+COUNTIFS('月1回_1ヶ月前の在庫'!$V$6:$V$10005,$V1004,'月1回_1ヶ月前の在庫'!$W$6:$W$10005,$W1004)&gt;0),N(U1003),N(U1003)+1))</f>
        <v/>
      </c>
      <c r="V1004" s="19">
        <f>IF($B1004="","",TEXT($B1004,"0000"))</f>
        <v/>
      </c>
      <c r="W1004" s="19">
        <f>IF($I1004="","",IF(ISNUMBER($I1004),TEXT($I1004,"0"),$I1004))</f>
        <v/>
      </c>
    </row>
    <row r="1005">
      <c r="B1005" s="25" t="n"/>
      <c r="I1005" s="25" t="n"/>
      <c r="U1005" s="19">
        <f>IF($V1005&lt;&gt;'設定'!$C$4,N(U1004),IF(OR(NOT(COUNTIF('商品マスタ'!$B$6:$B$1005,$W1005)=0),COUNTIFS('①在庫を貼る'!$V$6:$V$10005,$V1005,'①在庫を貼る'!$W$6:$W$10005,$W1005)+COUNTIFS('月1回_1ヶ月前の在庫'!$V$6:$V$10005,$V1005,'月1回_1ヶ月前の在庫'!$W$6:$W$10005,$W1005)&gt;0),N(U1004),N(U1004)+1))</f>
        <v/>
      </c>
      <c r="V1005" s="19">
        <f>IF($B1005="","",TEXT($B1005,"0000"))</f>
        <v/>
      </c>
      <c r="W1005" s="19">
        <f>IF($I1005="","",IF(ISNUMBER($I1005),TEXT($I1005,"0"),$I1005))</f>
        <v/>
      </c>
    </row>
    <row r="1006">
      <c r="B1006" s="25" t="n"/>
      <c r="I1006" s="25" t="n"/>
      <c r="U1006" s="19">
        <f>IF($V1006&lt;&gt;'設定'!$C$4,N(U1005),IF(OR(NOT(COUNTIF('商品マスタ'!$B$6:$B$1005,$W1006)=0),COUNTIFS('①在庫を貼る'!$V$6:$V$10005,$V1006,'①在庫を貼る'!$W$6:$W$10005,$W1006)+COUNTIFS('月1回_1ヶ月前の在庫'!$V$6:$V$10005,$V1006,'月1回_1ヶ月前の在庫'!$W$6:$W$10005,$W1006)&gt;0),N(U1005),N(U1005)+1))</f>
        <v/>
      </c>
      <c r="V1006" s="19">
        <f>IF($B1006="","",TEXT($B1006,"0000"))</f>
        <v/>
      </c>
      <c r="W1006" s="19">
        <f>IF($I1006="","",IF(ISNUMBER($I1006),TEXT($I1006,"0"),$I1006))</f>
        <v/>
      </c>
    </row>
    <row r="1007">
      <c r="B1007" s="25" t="n"/>
      <c r="I1007" s="25" t="n"/>
      <c r="U1007" s="19">
        <f>IF($V1007&lt;&gt;'設定'!$C$4,N(U1006),IF(OR(NOT(COUNTIF('商品マスタ'!$B$6:$B$1005,$W1007)=0),COUNTIFS('①在庫を貼る'!$V$6:$V$10005,$V1007,'①在庫を貼る'!$W$6:$W$10005,$W1007)+COUNTIFS('月1回_1ヶ月前の在庫'!$V$6:$V$10005,$V1007,'月1回_1ヶ月前の在庫'!$W$6:$W$10005,$W1007)&gt;0),N(U1006),N(U1006)+1))</f>
        <v/>
      </c>
      <c r="V1007" s="19">
        <f>IF($B1007="","",TEXT($B1007,"0000"))</f>
        <v/>
      </c>
      <c r="W1007" s="19">
        <f>IF($I1007="","",IF(ISNUMBER($I1007),TEXT($I1007,"0"),$I1007))</f>
        <v/>
      </c>
    </row>
    <row r="1008">
      <c r="B1008" s="25" t="n"/>
      <c r="I1008" s="25" t="n"/>
      <c r="U1008" s="19">
        <f>IF($V1008&lt;&gt;'設定'!$C$4,N(U1007),IF(OR(NOT(COUNTIF('商品マスタ'!$B$6:$B$1005,$W1008)=0),COUNTIFS('①在庫を貼る'!$V$6:$V$10005,$V1008,'①在庫を貼る'!$W$6:$W$10005,$W1008)+COUNTIFS('月1回_1ヶ月前の在庫'!$V$6:$V$10005,$V1008,'月1回_1ヶ月前の在庫'!$W$6:$W$10005,$W1008)&gt;0),N(U1007),N(U1007)+1))</f>
        <v/>
      </c>
      <c r="V1008" s="19">
        <f>IF($B1008="","",TEXT($B1008,"0000"))</f>
        <v/>
      </c>
      <c r="W1008" s="19">
        <f>IF($I1008="","",IF(ISNUMBER($I1008),TEXT($I1008,"0"),$I1008))</f>
        <v/>
      </c>
    </row>
    <row r="1009">
      <c r="B1009" s="25" t="n"/>
      <c r="I1009" s="25" t="n"/>
      <c r="U1009" s="19">
        <f>IF($V1009&lt;&gt;'設定'!$C$4,N(U1008),IF(OR(NOT(COUNTIF('商品マスタ'!$B$6:$B$1005,$W1009)=0),COUNTIFS('①在庫を貼る'!$V$6:$V$10005,$V1009,'①在庫を貼る'!$W$6:$W$10005,$W1009)+COUNTIFS('月1回_1ヶ月前の在庫'!$V$6:$V$10005,$V1009,'月1回_1ヶ月前の在庫'!$W$6:$W$10005,$W1009)&gt;0),N(U1008),N(U1008)+1))</f>
        <v/>
      </c>
      <c r="V1009" s="19">
        <f>IF($B1009="","",TEXT($B1009,"0000"))</f>
        <v/>
      </c>
      <c r="W1009" s="19">
        <f>IF($I1009="","",IF(ISNUMBER($I1009),TEXT($I1009,"0"),$I1009))</f>
        <v/>
      </c>
    </row>
    <row r="1010">
      <c r="B1010" s="25" t="n"/>
      <c r="I1010" s="25" t="n"/>
      <c r="U1010" s="19">
        <f>IF($V1010&lt;&gt;'設定'!$C$4,N(U1009),IF(OR(NOT(COUNTIF('商品マスタ'!$B$6:$B$1005,$W1010)=0),COUNTIFS('①在庫を貼る'!$V$6:$V$10005,$V1010,'①在庫を貼る'!$W$6:$W$10005,$W1010)+COUNTIFS('月1回_1ヶ月前の在庫'!$V$6:$V$10005,$V1010,'月1回_1ヶ月前の在庫'!$W$6:$W$10005,$W1010)&gt;0),N(U1009),N(U1009)+1))</f>
        <v/>
      </c>
      <c r="V1010" s="19">
        <f>IF($B1010="","",TEXT($B1010,"0000"))</f>
        <v/>
      </c>
      <c r="W1010" s="19">
        <f>IF($I1010="","",IF(ISNUMBER($I1010),TEXT($I1010,"0"),$I1010))</f>
        <v/>
      </c>
    </row>
    <row r="1011">
      <c r="B1011" s="25" t="n"/>
      <c r="I1011" s="25" t="n"/>
      <c r="U1011" s="19">
        <f>IF($V1011&lt;&gt;'設定'!$C$4,N(U1010),IF(OR(NOT(COUNTIF('商品マスタ'!$B$6:$B$1005,$W1011)=0),COUNTIFS('①在庫を貼る'!$V$6:$V$10005,$V1011,'①在庫を貼る'!$W$6:$W$10005,$W1011)+COUNTIFS('月1回_1ヶ月前の在庫'!$V$6:$V$10005,$V1011,'月1回_1ヶ月前の在庫'!$W$6:$W$10005,$W1011)&gt;0),N(U1010),N(U1010)+1))</f>
        <v/>
      </c>
      <c r="V1011" s="19">
        <f>IF($B1011="","",TEXT($B1011,"0000"))</f>
        <v/>
      </c>
      <c r="W1011" s="19">
        <f>IF($I1011="","",IF(ISNUMBER($I1011),TEXT($I1011,"0"),$I1011))</f>
        <v/>
      </c>
    </row>
    <row r="1012">
      <c r="B1012" s="25" t="n"/>
      <c r="I1012" s="25" t="n"/>
      <c r="U1012" s="19">
        <f>IF($V1012&lt;&gt;'設定'!$C$4,N(U1011),IF(OR(NOT(COUNTIF('商品マスタ'!$B$6:$B$1005,$W1012)=0),COUNTIFS('①在庫を貼る'!$V$6:$V$10005,$V1012,'①在庫を貼る'!$W$6:$W$10005,$W1012)+COUNTIFS('月1回_1ヶ月前の在庫'!$V$6:$V$10005,$V1012,'月1回_1ヶ月前の在庫'!$W$6:$W$10005,$W1012)&gt;0),N(U1011),N(U1011)+1))</f>
        <v/>
      </c>
      <c r="V1012" s="19">
        <f>IF($B1012="","",TEXT($B1012,"0000"))</f>
        <v/>
      </c>
      <c r="W1012" s="19">
        <f>IF($I1012="","",IF(ISNUMBER($I1012),TEXT($I1012,"0"),$I1012))</f>
        <v/>
      </c>
    </row>
    <row r="1013">
      <c r="B1013" s="25" t="n"/>
      <c r="I1013" s="25" t="n"/>
      <c r="U1013" s="19">
        <f>IF($V1013&lt;&gt;'設定'!$C$4,N(U1012),IF(OR(NOT(COUNTIF('商品マスタ'!$B$6:$B$1005,$W1013)=0),COUNTIFS('①在庫を貼る'!$V$6:$V$10005,$V1013,'①在庫を貼る'!$W$6:$W$10005,$W1013)+COUNTIFS('月1回_1ヶ月前の在庫'!$V$6:$V$10005,$V1013,'月1回_1ヶ月前の在庫'!$W$6:$W$10005,$W1013)&gt;0),N(U1012),N(U1012)+1))</f>
        <v/>
      </c>
      <c r="V1013" s="19">
        <f>IF($B1013="","",TEXT($B1013,"0000"))</f>
        <v/>
      </c>
      <c r="W1013" s="19">
        <f>IF($I1013="","",IF(ISNUMBER($I1013),TEXT($I1013,"0"),$I1013))</f>
        <v/>
      </c>
    </row>
    <row r="1014">
      <c r="B1014" s="25" t="n"/>
      <c r="I1014" s="25" t="n"/>
      <c r="U1014" s="19">
        <f>IF($V1014&lt;&gt;'設定'!$C$4,N(U1013),IF(OR(NOT(COUNTIF('商品マスタ'!$B$6:$B$1005,$W1014)=0),COUNTIFS('①在庫を貼る'!$V$6:$V$10005,$V1014,'①在庫を貼る'!$W$6:$W$10005,$W1014)+COUNTIFS('月1回_1ヶ月前の在庫'!$V$6:$V$10005,$V1014,'月1回_1ヶ月前の在庫'!$W$6:$W$10005,$W1014)&gt;0),N(U1013),N(U1013)+1))</f>
        <v/>
      </c>
      <c r="V1014" s="19">
        <f>IF($B1014="","",TEXT($B1014,"0000"))</f>
        <v/>
      </c>
      <c r="W1014" s="19">
        <f>IF($I1014="","",IF(ISNUMBER($I1014),TEXT($I1014,"0"),$I1014))</f>
        <v/>
      </c>
    </row>
    <row r="1015">
      <c r="B1015" s="25" t="n"/>
      <c r="I1015" s="25" t="n"/>
      <c r="U1015" s="19">
        <f>IF($V1015&lt;&gt;'設定'!$C$4,N(U1014),IF(OR(NOT(COUNTIF('商品マスタ'!$B$6:$B$1005,$W1015)=0),COUNTIFS('①在庫を貼る'!$V$6:$V$10005,$V1015,'①在庫を貼る'!$W$6:$W$10005,$W1015)+COUNTIFS('月1回_1ヶ月前の在庫'!$V$6:$V$10005,$V1015,'月1回_1ヶ月前の在庫'!$W$6:$W$10005,$W1015)&gt;0),N(U1014),N(U1014)+1))</f>
        <v/>
      </c>
      <c r="V1015" s="19">
        <f>IF($B1015="","",TEXT($B1015,"0000"))</f>
        <v/>
      </c>
      <c r="W1015" s="19">
        <f>IF($I1015="","",IF(ISNUMBER($I1015),TEXT($I1015,"0"),$I1015))</f>
        <v/>
      </c>
    </row>
    <row r="1016">
      <c r="B1016" s="25" t="n"/>
      <c r="I1016" s="25" t="n"/>
      <c r="U1016" s="19">
        <f>IF($V1016&lt;&gt;'設定'!$C$4,N(U1015),IF(OR(NOT(COUNTIF('商品マスタ'!$B$6:$B$1005,$W1016)=0),COUNTIFS('①在庫を貼る'!$V$6:$V$10005,$V1016,'①在庫を貼る'!$W$6:$W$10005,$W1016)+COUNTIFS('月1回_1ヶ月前の在庫'!$V$6:$V$10005,$V1016,'月1回_1ヶ月前の在庫'!$W$6:$W$10005,$W1016)&gt;0),N(U1015),N(U1015)+1))</f>
        <v/>
      </c>
      <c r="V1016" s="19">
        <f>IF($B1016="","",TEXT($B1016,"0000"))</f>
        <v/>
      </c>
      <c r="W1016" s="19">
        <f>IF($I1016="","",IF(ISNUMBER($I1016),TEXT($I1016,"0"),$I1016))</f>
        <v/>
      </c>
    </row>
    <row r="1017">
      <c r="B1017" s="25" t="n"/>
      <c r="I1017" s="25" t="n"/>
      <c r="U1017" s="19">
        <f>IF($V1017&lt;&gt;'設定'!$C$4,N(U1016),IF(OR(NOT(COUNTIF('商品マスタ'!$B$6:$B$1005,$W1017)=0),COUNTIFS('①在庫を貼る'!$V$6:$V$10005,$V1017,'①在庫を貼る'!$W$6:$W$10005,$W1017)+COUNTIFS('月1回_1ヶ月前の在庫'!$V$6:$V$10005,$V1017,'月1回_1ヶ月前の在庫'!$W$6:$W$10005,$W1017)&gt;0),N(U1016),N(U1016)+1))</f>
        <v/>
      </c>
      <c r="V1017" s="19">
        <f>IF($B1017="","",TEXT($B1017,"0000"))</f>
        <v/>
      </c>
      <c r="W1017" s="19">
        <f>IF($I1017="","",IF(ISNUMBER($I1017),TEXT($I1017,"0"),$I1017))</f>
        <v/>
      </c>
    </row>
    <row r="1018">
      <c r="B1018" s="25" t="n"/>
      <c r="I1018" s="25" t="n"/>
      <c r="U1018" s="19">
        <f>IF($V1018&lt;&gt;'設定'!$C$4,N(U1017),IF(OR(NOT(COUNTIF('商品マスタ'!$B$6:$B$1005,$W1018)=0),COUNTIFS('①在庫を貼る'!$V$6:$V$10005,$V1018,'①在庫を貼る'!$W$6:$W$10005,$W1018)+COUNTIFS('月1回_1ヶ月前の在庫'!$V$6:$V$10005,$V1018,'月1回_1ヶ月前の在庫'!$W$6:$W$10005,$W1018)&gt;0),N(U1017),N(U1017)+1))</f>
        <v/>
      </c>
      <c r="V1018" s="19">
        <f>IF($B1018="","",TEXT($B1018,"0000"))</f>
        <v/>
      </c>
      <c r="W1018" s="19">
        <f>IF($I1018="","",IF(ISNUMBER($I1018),TEXT($I1018,"0"),$I1018))</f>
        <v/>
      </c>
    </row>
    <row r="1019">
      <c r="B1019" s="25" t="n"/>
      <c r="I1019" s="25" t="n"/>
      <c r="U1019" s="19">
        <f>IF($V1019&lt;&gt;'設定'!$C$4,N(U1018),IF(OR(NOT(COUNTIF('商品マスタ'!$B$6:$B$1005,$W1019)=0),COUNTIFS('①在庫を貼る'!$V$6:$V$10005,$V1019,'①在庫を貼る'!$W$6:$W$10005,$W1019)+COUNTIFS('月1回_1ヶ月前の在庫'!$V$6:$V$10005,$V1019,'月1回_1ヶ月前の在庫'!$W$6:$W$10005,$W1019)&gt;0),N(U1018),N(U1018)+1))</f>
        <v/>
      </c>
      <c r="V1019" s="19">
        <f>IF($B1019="","",TEXT($B1019,"0000"))</f>
        <v/>
      </c>
      <c r="W1019" s="19">
        <f>IF($I1019="","",IF(ISNUMBER($I1019),TEXT($I1019,"0"),$I1019))</f>
        <v/>
      </c>
    </row>
    <row r="1020">
      <c r="B1020" s="25" t="n"/>
      <c r="I1020" s="25" t="n"/>
      <c r="U1020" s="19">
        <f>IF($V1020&lt;&gt;'設定'!$C$4,N(U1019),IF(OR(NOT(COUNTIF('商品マスタ'!$B$6:$B$1005,$W1020)=0),COUNTIFS('①在庫を貼る'!$V$6:$V$10005,$V1020,'①在庫を貼る'!$W$6:$W$10005,$W1020)+COUNTIFS('月1回_1ヶ月前の在庫'!$V$6:$V$10005,$V1020,'月1回_1ヶ月前の在庫'!$W$6:$W$10005,$W1020)&gt;0),N(U1019),N(U1019)+1))</f>
        <v/>
      </c>
      <c r="V1020" s="19">
        <f>IF($B1020="","",TEXT($B1020,"0000"))</f>
        <v/>
      </c>
      <c r="W1020" s="19">
        <f>IF($I1020="","",IF(ISNUMBER($I1020),TEXT($I1020,"0"),$I1020))</f>
        <v/>
      </c>
    </row>
    <row r="1021">
      <c r="B1021" s="25" t="n"/>
      <c r="I1021" s="25" t="n"/>
      <c r="U1021" s="19">
        <f>IF($V1021&lt;&gt;'設定'!$C$4,N(U1020),IF(OR(NOT(COUNTIF('商品マスタ'!$B$6:$B$1005,$W1021)=0),COUNTIFS('①在庫を貼る'!$V$6:$V$10005,$V1021,'①在庫を貼る'!$W$6:$W$10005,$W1021)+COUNTIFS('月1回_1ヶ月前の在庫'!$V$6:$V$10005,$V1021,'月1回_1ヶ月前の在庫'!$W$6:$W$10005,$W1021)&gt;0),N(U1020),N(U1020)+1))</f>
        <v/>
      </c>
      <c r="V1021" s="19">
        <f>IF($B1021="","",TEXT($B1021,"0000"))</f>
        <v/>
      </c>
      <c r="W1021" s="19">
        <f>IF($I1021="","",IF(ISNUMBER($I1021),TEXT($I1021,"0"),$I1021))</f>
        <v/>
      </c>
    </row>
    <row r="1022">
      <c r="B1022" s="25" t="n"/>
      <c r="I1022" s="25" t="n"/>
      <c r="U1022" s="19">
        <f>IF($V1022&lt;&gt;'設定'!$C$4,N(U1021),IF(OR(NOT(COUNTIF('商品マスタ'!$B$6:$B$1005,$W1022)=0),COUNTIFS('①在庫を貼る'!$V$6:$V$10005,$V1022,'①在庫を貼る'!$W$6:$W$10005,$W1022)+COUNTIFS('月1回_1ヶ月前の在庫'!$V$6:$V$10005,$V1022,'月1回_1ヶ月前の在庫'!$W$6:$W$10005,$W1022)&gt;0),N(U1021),N(U1021)+1))</f>
        <v/>
      </c>
      <c r="V1022" s="19">
        <f>IF($B1022="","",TEXT($B1022,"0000"))</f>
        <v/>
      </c>
      <c r="W1022" s="19">
        <f>IF($I1022="","",IF(ISNUMBER($I1022),TEXT($I1022,"0"),$I1022))</f>
        <v/>
      </c>
    </row>
    <row r="1023">
      <c r="B1023" s="25" t="n"/>
      <c r="I1023" s="25" t="n"/>
      <c r="U1023" s="19">
        <f>IF($V1023&lt;&gt;'設定'!$C$4,N(U1022),IF(OR(NOT(COUNTIF('商品マスタ'!$B$6:$B$1005,$W1023)=0),COUNTIFS('①在庫を貼る'!$V$6:$V$10005,$V1023,'①在庫を貼る'!$W$6:$W$10005,$W1023)+COUNTIFS('月1回_1ヶ月前の在庫'!$V$6:$V$10005,$V1023,'月1回_1ヶ月前の在庫'!$W$6:$W$10005,$W1023)&gt;0),N(U1022),N(U1022)+1))</f>
        <v/>
      </c>
      <c r="V1023" s="19">
        <f>IF($B1023="","",TEXT($B1023,"0000"))</f>
        <v/>
      </c>
      <c r="W1023" s="19">
        <f>IF($I1023="","",IF(ISNUMBER($I1023),TEXT($I1023,"0"),$I1023))</f>
        <v/>
      </c>
    </row>
    <row r="1024">
      <c r="B1024" s="25" t="n"/>
      <c r="I1024" s="25" t="n"/>
      <c r="U1024" s="19">
        <f>IF($V1024&lt;&gt;'設定'!$C$4,N(U1023),IF(OR(NOT(COUNTIF('商品マスタ'!$B$6:$B$1005,$W1024)=0),COUNTIFS('①在庫を貼る'!$V$6:$V$10005,$V1024,'①在庫を貼る'!$W$6:$W$10005,$W1024)+COUNTIFS('月1回_1ヶ月前の在庫'!$V$6:$V$10005,$V1024,'月1回_1ヶ月前の在庫'!$W$6:$W$10005,$W1024)&gt;0),N(U1023),N(U1023)+1))</f>
        <v/>
      </c>
      <c r="V1024" s="19">
        <f>IF($B1024="","",TEXT($B1024,"0000"))</f>
        <v/>
      </c>
      <c r="W1024" s="19">
        <f>IF($I1024="","",IF(ISNUMBER($I1024),TEXT($I1024,"0"),$I1024))</f>
        <v/>
      </c>
    </row>
    <row r="1025">
      <c r="B1025" s="25" t="n"/>
      <c r="I1025" s="25" t="n"/>
      <c r="U1025" s="19">
        <f>IF($V1025&lt;&gt;'設定'!$C$4,N(U1024),IF(OR(NOT(COUNTIF('商品マスタ'!$B$6:$B$1005,$W1025)=0),COUNTIFS('①在庫を貼る'!$V$6:$V$10005,$V1025,'①在庫を貼る'!$W$6:$W$10005,$W1025)+COUNTIFS('月1回_1ヶ月前の在庫'!$V$6:$V$10005,$V1025,'月1回_1ヶ月前の在庫'!$W$6:$W$10005,$W1025)&gt;0),N(U1024),N(U1024)+1))</f>
        <v/>
      </c>
      <c r="V1025" s="19">
        <f>IF($B1025="","",TEXT($B1025,"0000"))</f>
        <v/>
      </c>
      <c r="W1025" s="19">
        <f>IF($I1025="","",IF(ISNUMBER($I1025),TEXT($I1025,"0"),$I1025))</f>
        <v/>
      </c>
    </row>
    <row r="1026">
      <c r="B1026" s="25" t="n"/>
      <c r="I1026" s="25" t="n"/>
      <c r="U1026" s="19">
        <f>IF($V1026&lt;&gt;'設定'!$C$4,N(U1025),IF(OR(NOT(COUNTIF('商品マスタ'!$B$6:$B$1005,$W1026)=0),COUNTIFS('①在庫を貼る'!$V$6:$V$10005,$V1026,'①在庫を貼る'!$W$6:$W$10005,$W1026)+COUNTIFS('月1回_1ヶ月前の在庫'!$V$6:$V$10005,$V1026,'月1回_1ヶ月前の在庫'!$W$6:$W$10005,$W1026)&gt;0),N(U1025),N(U1025)+1))</f>
        <v/>
      </c>
      <c r="V1026" s="19">
        <f>IF($B1026="","",TEXT($B1026,"0000"))</f>
        <v/>
      </c>
      <c r="W1026" s="19">
        <f>IF($I1026="","",IF(ISNUMBER($I1026),TEXT($I1026,"0"),$I1026))</f>
        <v/>
      </c>
    </row>
    <row r="1027">
      <c r="B1027" s="25" t="n"/>
      <c r="I1027" s="25" t="n"/>
      <c r="U1027" s="19">
        <f>IF($V1027&lt;&gt;'設定'!$C$4,N(U1026),IF(OR(NOT(COUNTIF('商品マスタ'!$B$6:$B$1005,$W1027)=0),COUNTIFS('①在庫を貼る'!$V$6:$V$10005,$V1027,'①在庫を貼る'!$W$6:$W$10005,$W1027)+COUNTIFS('月1回_1ヶ月前の在庫'!$V$6:$V$10005,$V1027,'月1回_1ヶ月前の在庫'!$W$6:$W$10005,$W1027)&gt;0),N(U1026),N(U1026)+1))</f>
        <v/>
      </c>
      <c r="V1027" s="19">
        <f>IF($B1027="","",TEXT($B1027,"0000"))</f>
        <v/>
      </c>
      <c r="W1027" s="19">
        <f>IF($I1027="","",IF(ISNUMBER($I1027),TEXT($I1027,"0"),$I1027))</f>
        <v/>
      </c>
    </row>
    <row r="1028">
      <c r="B1028" s="25" t="n"/>
      <c r="I1028" s="25" t="n"/>
      <c r="U1028" s="19">
        <f>IF($V1028&lt;&gt;'設定'!$C$4,N(U1027),IF(OR(NOT(COUNTIF('商品マスタ'!$B$6:$B$1005,$W1028)=0),COUNTIFS('①在庫を貼る'!$V$6:$V$10005,$V1028,'①在庫を貼る'!$W$6:$W$10005,$W1028)+COUNTIFS('月1回_1ヶ月前の在庫'!$V$6:$V$10005,$V1028,'月1回_1ヶ月前の在庫'!$W$6:$W$10005,$W1028)&gt;0),N(U1027),N(U1027)+1))</f>
        <v/>
      </c>
      <c r="V1028" s="19">
        <f>IF($B1028="","",TEXT($B1028,"0000"))</f>
        <v/>
      </c>
      <c r="W1028" s="19">
        <f>IF($I1028="","",IF(ISNUMBER($I1028),TEXT($I1028,"0"),$I1028))</f>
        <v/>
      </c>
    </row>
    <row r="1029">
      <c r="B1029" s="25" t="n"/>
      <c r="I1029" s="25" t="n"/>
      <c r="U1029" s="19">
        <f>IF($V1029&lt;&gt;'設定'!$C$4,N(U1028),IF(OR(NOT(COUNTIF('商品マスタ'!$B$6:$B$1005,$W1029)=0),COUNTIFS('①在庫を貼る'!$V$6:$V$10005,$V1029,'①在庫を貼る'!$W$6:$W$10005,$W1029)+COUNTIFS('月1回_1ヶ月前の在庫'!$V$6:$V$10005,$V1029,'月1回_1ヶ月前の在庫'!$W$6:$W$10005,$W1029)&gt;0),N(U1028),N(U1028)+1))</f>
        <v/>
      </c>
      <c r="V1029" s="19">
        <f>IF($B1029="","",TEXT($B1029,"0000"))</f>
        <v/>
      </c>
      <c r="W1029" s="19">
        <f>IF($I1029="","",IF(ISNUMBER($I1029),TEXT($I1029,"0"),$I1029))</f>
        <v/>
      </c>
    </row>
    <row r="1030">
      <c r="B1030" s="25" t="n"/>
      <c r="I1030" s="25" t="n"/>
      <c r="U1030" s="19">
        <f>IF($V1030&lt;&gt;'設定'!$C$4,N(U1029),IF(OR(NOT(COUNTIF('商品マスタ'!$B$6:$B$1005,$W1030)=0),COUNTIFS('①在庫を貼る'!$V$6:$V$10005,$V1030,'①在庫を貼る'!$W$6:$W$10005,$W1030)+COUNTIFS('月1回_1ヶ月前の在庫'!$V$6:$V$10005,$V1030,'月1回_1ヶ月前の在庫'!$W$6:$W$10005,$W1030)&gt;0),N(U1029),N(U1029)+1))</f>
        <v/>
      </c>
      <c r="V1030" s="19">
        <f>IF($B1030="","",TEXT($B1030,"0000"))</f>
        <v/>
      </c>
      <c r="W1030" s="19">
        <f>IF($I1030="","",IF(ISNUMBER($I1030),TEXT($I1030,"0"),$I1030))</f>
        <v/>
      </c>
    </row>
    <row r="1031">
      <c r="B1031" s="25" t="n"/>
      <c r="I1031" s="25" t="n"/>
      <c r="U1031" s="19">
        <f>IF($V1031&lt;&gt;'設定'!$C$4,N(U1030),IF(OR(NOT(COUNTIF('商品マスタ'!$B$6:$B$1005,$W1031)=0),COUNTIFS('①在庫を貼る'!$V$6:$V$10005,$V1031,'①在庫を貼る'!$W$6:$W$10005,$W1031)+COUNTIFS('月1回_1ヶ月前の在庫'!$V$6:$V$10005,$V1031,'月1回_1ヶ月前の在庫'!$W$6:$W$10005,$W1031)&gt;0),N(U1030),N(U1030)+1))</f>
        <v/>
      </c>
      <c r="V1031" s="19">
        <f>IF($B1031="","",TEXT($B1031,"0000"))</f>
        <v/>
      </c>
      <c r="W1031" s="19">
        <f>IF($I1031="","",IF(ISNUMBER($I1031),TEXT($I1031,"0"),$I1031))</f>
        <v/>
      </c>
    </row>
    <row r="1032">
      <c r="B1032" s="25" t="n"/>
      <c r="I1032" s="25" t="n"/>
      <c r="U1032" s="19">
        <f>IF($V1032&lt;&gt;'設定'!$C$4,N(U1031),IF(OR(NOT(COUNTIF('商品マスタ'!$B$6:$B$1005,$W1032)=0),COUNTIFS('①在庫を貼る'!$V$6:$V$10005,$V1032,'①在庫を貼る'!$W$6:$W$10005,$W1032)+COUNTIFS('月1回_1ヶ月前の在庫'!$V$6:$V$10005,$V1032,'月1回_1ヶ月前の在庫'!$W$6:$W$10005,$W1032)&gt;0),N(U1031),N(U1031)+1))</f>
        <v/>
      </c>
      <c r="V1032" s="19">
        <f>IF($B1032="","",TEXT($B1032,"0000"))</f>
        <v/>
      </c>
      <c r="W1032" s="19">
        <f>IF($I1032="","",IF(ISNUMBER($I1032),TEXT($I1032,"0"),$I1032))</f>
        <v/>
      </c>
    </row>
    <row r="1033">
      <c r="B1033" s="25" t="n"/>
      <c r="I1033" s="25" t="n"/>
      <c r="U1033" s="19">
        <f>IF($V1033&lt;&gt;'設定'!$C$4,N(U1032),IF(OR(NOT(COUNTIF('商品マスタ'!$B$6:$B$1005,$W1033)=0),COUNTIFS('①在庫を貼る'!$V$6:$V$10005,$V1033,'①在庫を貼る'!$W$6:$W$10005,$W1033)+COUNTIFS('月1回_1ヶ月前の在庫'!$V$6:$V$10005,$V1033,'月1回_1ヶ月前の在庫'!$W$6:$W$10005,$W1033)&gt;0),N(U1032),N(U1032)+1))</f>
        <v/>
      </c>
      <c r="V1033" s="19">
        <f>IF($B1033="","",TEXT($B1033,"0000"))</f>
        <v/>
      </c>
      <c r="W1033" s="19">
        <f>IF($I1033="","",IF(ISNUMBER($I1033),TEXT($I1033,"0"),$I1033))</f>
        <v/>
      </c>
    </row>
    <row r="1034">
      <c r="B1034" s="25" t="n"/>
      <c r="I1034" s="25" t="n"/>
      <c r="U1034" s="19">
        <f>IF($V1034&lt;&gt;'設定'!$C$4,N(U1033),IF(OR(NOT(COUNTIF('商品マスタ'!$B$6:$B$1005,$W1034)=0),COUNTIFS('①在庫を貼る'!$V$6:$V$10005,$V1034,'①在庫を貼る'!$W$6:$W$10005,$W1034)+COUNTIFS('月1回_1ヶ月前の在庫'!$V$6:$V$10005,$V1034,'月1回_1ヶ月前の在庫'!$W$6:$W$10005,$W1034)&gt;0),N(U1033),N(U1033)+1))</f>
        <v/>
      </c>
      <c r="V1034" s="19">
        <f>IF($B1034="","",TEXT($B1034,"0000"))</f>
        <v/>
      </c>
      <c r="W1034" s="19">
        <f>IF($I1034="","",IF(ISNUMBER($I1034),TEXT($I1034,"0"),$I1034))</f>
        <v/>
      </c>
    </row>
    <row r="1035">
      <c r="B1035" s="25" t="n"/>
      <c r="I1035" s="25" t="n"/>
      <c r="U1035" s="19">
        <f>IF($V1035&lt;&gt;'設定'!$C$4,N(U1034),IF(OR(NOT(COUNTIF('商品マスタ'!$B$6:$B$1005,$W1035)=0),COUNTIFS('①在庫を貼る'!$V$6:$V$10005,$V1035,'①在庫を貼る'!$W$6:$W$10005,$W1035)+COUNTIFS('月1回_1ヶ月前の在庫'!$V$6:$V$10005,$V1035,'月1回_1ヶ月前の在庫'!$W$6:$W$10005,$W1035)&gt;0),N(U1034),N(U1034)+1))</f>
        <v/>
      </c>
      <c r="V1035" s="19">
        <f>IF($B1035="","",TEXT($B1035,"0000"))</f>
        <v/>
      </c>
      <c r="W1035" s="19">
        <f>IF($I1035="","",IF(ISNUMBER($I1035),TEXT($I1035,"0"),$I1035))</f>
        <v/>
      </c>
    </row>
    <row r="1036">
      <c r="B1036" s="25" t="n"/>
      <c r="I1036" s="25" t="n"/>
      <c r="U1036" s="19">
        <f>IF($V1036&lt;&gt;'設定'!$C$4,N(U1035),IF(OR(NOT(COUNTIF('商品マスタ'!$B$6:$B$1005,$W1036)=0),COUNTIFS('①在庫を貼る'!$V$6:$V$10005,$V1036,'①在庫を貼る'!$W$6:$W$10005,$W1036)+COUNTIFS('月1回_1ヶ月前の在庫'!$V$6:$V$10005,$V1036,'月1回_1ヶ月前の在庫'!$W$6:$W$10005,$W1036)&gt;0),N(U1035),N(U1035)+1))</f>
        <v/>
      </c>
      <c r="V1036" s="19">
        <f>IF($B1036="","",TEXT($B1036,"0000"))</f>
        <v/>
      </c>
      <c r="W1036" s="19">
        <f>IF($I1036="","",IF(ISNUMBER($I1036),TEXT($I1036,"0"),$I1036))</f>
        <v/>
      </c>
    </row>
    <row r="1037">
      <c r="B1037" s="25" t="n"/>
      <c r="I1037" s="25" t="n"/>
      <c r="U1037" s="19">
        <f>IF($V1037&lt;&gt;'設定'!$C$4,N(U1036),IF(OR(NOT(COUNTIF('商品マスタ'!$B$6:$B$1005,$W1037)=0),COUNTIFS('①在庫を貼る'!$V$6:$V$10005,$V1037,'①在庫を貼る'!$W$6:$W$10005,$W1037)+COUNTIFS('月1回_1ヶ月前の在庫'!$V$6:$V$10005,$V1037,'月1回_1ヶ月前の在庫'!$W$6:$W$10005,$W1037)&gt;0),N(U1036),N(U1036)+1))</f>
        <v/>
      </c>
      <c r="V1037" s="19">
        <f>IF($B1037="","",TEXT($B1037,"0000"))</f>
        <v/>
      </c>
      <c r="W1037" s="19">
        <f>IF($I1037="","",IF(ISNUMBER($I1037),TEXT($I1037,"0"),$I1037))</f>
        <v/>
      </c>
    </row>
    <row r="1038">
      <c r="B1038" s="25" t="n"/>
      <c r="I1038" s="25" t="n"/>
      <c r="U1038" s="19">
        <f>IF($V1038&lt;&gt;'設定'!$C$4,N(U1037),IF(OR(NOT(COUNTIF('商品マスタ'!$B$6:$B$1005,$W1038)=0),COUNTIFS('①在庫を貼る'!$V$6:$V$10005,$V1038,'①在庫を貼る'!$W$6:$W$10005,$W1038)+COUNTIFS('月1回_1ヶ月前の在庫'!$V$6:$V$10005,$V1038,'月1回_1ヶ月前の在庫'!$W$6:$W$10005,$W1038)&gt;0),N(U1037),N(U1037)+1))</f>
        <v/>
      </c>
      <c r="V1038" s="19">
        <f>IF($B1038="","",TEXT($B1038,"0000"))</f>
        <v/>
      </c>
      <c r="W1038" s="19">
        <f>IF($I1038="","",IF(ISNUMBER($I1038),TEXT($I1038,"0"),$I1038))</f>
        <v/>
      </c>
    </row>
    <row r="1039">
      <c r="B1039" s="25" t="n"/>
      <c r="I1039" s="25" t="n"/>
      <c r="U1039" s="19">
        <f>IF($V1039&lt;&gt;'設定'!$C$4,N(U1038),IF(OR(NOT(COUNTIF('商品マスタ'!$B$6:$B$1005,$W1039)=0),COUNTIFS('①在庫を貼る'!$V$6:$V$10005,$V1039,'①在庫を貼る'!$W$6:$W$10005,$W1039)+COUNTIFS('月1回_1ヶ月前の在庫'!$V$6:$V$10005,$V1039,'月1回_1ヶ月前の在庫'!$W$6:$W$10005,$W1039)&gt;0),N(U1038),N(U1038)+1))</f>
        <v/>
      </c>
      <c r="V1039" s="19">
        <f>IF($B1039="","",TEXT($B1039,"0000"))</f>
        <v/>
      </c>
      <c r="W1039" s="19">
        <f>IF($I1039="","",IF(ISNUMBER($I1039),TEXT($I1039,"0"),$I1039))</f>
        <v/>
      </c>
    </row>
    <row r="1040">
      <c r="B1040" s="25" t="n"/>
      <c r="I1040" s="25" t="n"/>
      <c r="U1040" s="19">
        <f>IF($V1040&lt;&gt;'設定'!$C$4,N(U1039),IF(OR(NOT(COUNTIF('商品マスタ'!$B$6:$B$1005,$W1040)=0),COUNTIFS('①在庫を貼る'!$V$6:$V$10005,$V1040,'①在庫を貼る'!$W$6:$W$10005,$W1040)+COUNTIFS('月1回_1ヶ月前の在庫'!$V$6:$V$10005,$V1040,'月1回_1ヶ月前の在庫'!$W$6:$W$10005,$W1040)&gt;0),N(U1039),N(U1039)+1))</f>
        <v/>
      </c>
      <c r="V1040" s="19">
        <f>IF($B1040="","",TEXT($B1040,"0000"))</f>
        <v/>
      </c>
      <c r="W1040" s="19">
        <f>IF($I1040="","",IF(ISNUMBER($I1040),TEXT($I1040,"0"),$I1040))</f>
        <v/>
      </c>
    </row>
    <row r="1041">
      <c r="B1041" s="25" t="n"/>
      <c r="I1041" s="25" t="n"/>
      <c r="U1041" s="19">
        <f>IF($V1041&lt;&gt;'設定'!$C$4,N(U1040),IF(OR(NOT(COUNTIF('商品マスタ'!$B$6:$B$1005,$W1041)=0),COUNTIFS('①在庫を貼る'!$V$6:$V$10005,$V1041,'①在庫を貼る'!$W$6:$W$10005,$W1041)+COUNTIFS('月1回_1ヶ月前の在庫'!$V$6:$V$10005,$V1041,'月1回_1ヶ月前の在庫'!$W$6:$W$10005,$W1041)&gt;0),N(U1040),N(U1040)+1))</f>
        <v/>
      </c>
      <c r="V1041" s="19">
        <f>IF($B1041="","",TEXT($B1041,"0000"))</f>
        <v/>
      </c>
      <c r="W1041" s="19">
        <f>IF($I1041="","",IF(ISNUMBER($I1041),TEXT($I1041,"0"),$I1041))</f>
        <v/>
      </c>
    </row>
    <row r="1042">
      <c r="B1042" s="25" t="n"/>
      <c r="I1042" s="25" t="n"/>
      <c r="U1042" s="19">
        <f>IF($V1042&lt;&gt;'設定'!$C$4,N(U1041),IF(OR(NOT(COUNTIF('商品マスタ'!$B$6:$B$1005,$W1042)=0),COUNTIFS('①在庫を貼る'!$V$6:$V$10005,$V1042,'①在庫を貼る'!$W$6:$W$10005,$W1042)+COUNTIFS('月1回_1ヶ月前の在庫'!$V$6:$V$10005,$V1042,'月1回_1ヶ月前の在庫'!$W$6:$W$10005,$W1042)&gt;0),N(U1041),N(U1041)+1))</f>
        <v/>
      </c>
      <c r="V1042" s="19">
        <f>IF($B1042="","",TEXT($B1042,"0000"))</f>
        <v/>
      </c>
      <c r="W1042" s="19">
        <f>IF($I1042="","",IF(ISNUMBER($I1042),TEXT($I1042,"0"),$I1042))</f>
        <v/>
      </c>
    </row>
    <row r="1043">
      <c r="B1043" s="25" t="n"/>
      <c r="I1043" s="25" t="n"/>
      <c r="U1043" s="19">
        <f>IF($V1043&lt;&gt;'設定'!$C$4,N(U1042),IF(OR(NOT(COUNTIF('商品マスタ'!$B$6:$B$1005,$W1043)=0),COUNTIFS('①在庫を貼る'!$V$6:$V$10005,$V1043,'①在庫を貼る'!$W$6:$W$10005,$W1043)+COUNTIFS('月1回_1ヶ月前の在庫'!$V$6:$V$10005,$V1043,'月1回_1ヶ月前の在庫'!$W$6:$W$10005,$W1043)&gt;0),N(U1042),N(U1042)+1))</f>
        <v/>
      </c>
      <c r="V1043" s="19">
        <f>IF($B1043="","",TEXT($B1043,"0000"))</f>
        <v/>
      </c>
      <c r="W1043" s="19">
        <f>IF($I1043="","",IF(ISNUMBER($I1043),TEXT($I1043,"0"),$I1043))</f>
        <v/>
      </c>
    </row>
    <row r="1044">
      <c r="B1044" s="25" t="n"/>
      <c r="I1044" s="25" t="n"/>
      <c r="U1044" s="19">
        <f>IF($V1044&lt;&gt;'設定'!$C$4,N(U1043),IF(OR(NOT(COUNTIF('商品マスタ'!$B$6:$B$1005,$W1044)=0),COUNTIFS('①在庫を貼る'!$V$6:$V$10005,$V1044,'①在庫を貼る'!$W$6:$W$10005,$W1044)+COUNTIFS('月1回_1ヶ月前の在庫'!$V$6:$V$10005,$V1044,'月1回_1ヶ月前の在庫'!$W$6:$W$10005,$W1044)&gt;0),N(U1043),N(U1043)+1))</f>
        <v/>
      </c>
      <c r="V1044" s="19">
        <f>IF($B1044="","",TEXT($B1044,"0000"))</f>
        <v/>
      </c>
      <c r="W1044" s="19">
        <f>IF($I1044="","",IF(ISNUMBER($I1044),TEXT($I1044,"0"),$I1044))</f>
        <v/>
      </c>
    </row>
    <row r="1045">
      <c r="B1045" s="25" t="n"/>
      <c r="I1045" s="25" t="n"/>
      <c r="U1045" s="19">
        <f>IF($V1045&lt;&gt;'設定'!$C$4,N(U1044),IF(OR(NOT(COUNTIF('商品マスタ'!$B$6:$B$1005,$W1045)=0),COUNTIFS('①在庫を貼る'!$V$6:$V$10005,$V1045,'①在庫を貼る'!$W$6:$W$10005,$W1045)+COUNTIFS('月1回_1ヶ月前の在庫'!$V$6:$V$10005,$V1045,'月1回_1ヶ月前の在庫'!$W$6:$W$10005,$W1045)&gt;0),N(U1044),N(U1044)+1))</f>
        <v/>
      </c>
      <c r="V1045" s="19">
        <f>IF($B1045="","",TEXT($B1045,"0000"))</f>
        <v/>
      </c>
      <c r="W1045" s="19">
        <f>IF($I1045="","",IF(ISNUMBER($I1045),TEXT($I1045,"0"),$I1045))</f>
        <v/>
      </c>
    </row>
    <row r="1046">
      <c r="B1046" s="25" t="n"/>
      <c r="I1046" s="25" t="n"/>
      <c r="U1046" s="19">
        <f>IF($V1046&lt;&gt;'設定'!$C$4,N(U1045),IF(OR(NOT(COUNTIF('商品マスタ'!$B$6:$B$1005,$W1046)=0),COUNTIFS('①在庫を貼る'!$V$6:$V$10005,$V1046,'①在庫を貼る'!$W$6:$W$10005,$W1046)+COUNTIFS('月1回_1ヶ月前の在庫'!$V$6:$V$10005,$V1046,'月1回_1ヶ月前の在庫'!$W$6:$W$10005,$W1046)&gt;0),N(U1045),N(U1045)+1))</f>
        <v/>
      </c>
      <c r="V1046" s="19">
        <f>IF($B1046="","",TEXT($B1046,"0000"))</f>
        <v/>
      </c>
      <c r="W1046" s="19">
        <f>IF($I1046="","",IF(ISNUMBER($I1046),TEXT($I1046,"0"),$I1046))</f>
        <v/>
      </c>
    </row>
    <row r="1047">
      <c r="B1047" s="25" t="n"/>
      <c r="I1047" s="25" t="n"/>
      <c r="U1047" s="19">
        <f>IF($V1047&lt;&gt;'設定'!$C$4,N(U1046),IF(OR(NOT(COUNTIF('商品マスタ'!$B$6:$B$1005,$W1047)=0),COUNTIFS('①在庫を貼る'!$V$6:$V$10005,$V1047,'①在庫を貼る'!$W$6:$W$10005,$W1047)+COUNTIFS('月1回_1ヶ月前の在庫'!$V$6:$V$10005,$V1047,'月1回_1ヶ月前の在庫'!$W$6:$W$10005,$W1047)&gt;0),N(U1046),N(U1046)+1))</f>
        <v/>
      </c>
      <c r="V1047" s="19">
        <f>IF($B1047="","",TEXT($B1047,"0000"))</f>
        <v/>
      </c>
      <c r="W1047" s="19">
        <f>IF($I1047="","",IF(ISNUMBER($I1047),TEXT($I1047,"0"),$I1047))</f>
        <v/>
      </c>
    </row>
    <row r="1048">
      <c r="B1048" s="25" t="n"/>
      <c r="I1048" s="25" t="n"/>
      <c r="U1048" s="19">
        <f>IF($V1048&lt;&gt;'設定'!$C$4,N(U1047),IF(OR(NOT(COUNTIF('商品マスタ'!$B$6:$B$1005,$W1048)=0),COUNTIFS('①在庫を貼る'!$V$6:$V$10005,$V1048,'①在庫を貼る'!$W$6:$W$10005,$W1048)+COUNTIFS('月1回_1ヶ月前の在庫'!$V$6:$V$10005,$V1048,'月1回_1ヶ月前の在庫'!$W$6:$W$10005,$W1048)&gt;0),N(U1047),N(U1047)+1))</f>
        <v/>
      </c>
      <c r="V1048" s="19">
        <f>IF($B1048="","",TEXT($B1048,"0000"))</f>
        <v/>
      </c>
      <c r="W1048" s="19">
        <f>IF($I1048="","",IF(ISNUMBER($I1048),TEXT($I1048,"0"),$I1048))</f>
        <v/>
      </c>
    </row>
    <row r="1049">
      <c r="B1049" s="25" t="n"/>
      <c r="I1049" s="25" t="n"/>
      <c r="U1049" s="19">
        <f>IF($V1049&lt;&gt;'設定'!$C$4,N(U1048),IF(OR(NOT(COUNTIF('商品マスタ'!$B$6:$B$1005,$W1049)=0),COUNTIFS('①在庫を貼る'!$V$6:$V$10005,$V1049,'①在庫を貼る'!$W$6:$W$10005,$W1049)+COUNTIFS('月1回_1ヶ月前の在庫'!$V$6:$V$10005,$V1049,'月1回_1ヶ月前の在庫'!$W$6:$W$10005,$W1049)&gt;0),N(U1048),N(U1048)+1))</f>
        <v/>
      </c>
      <c r="V1049" s="19">
        <f>IF($B1049="","",TEXT($B1049,"0000"))</f>
        <v/>
      </c>
      <c r="W1049" s="19">
        <f>IF($I1049="","",IF(ISNUMBER($I1049),TEXT($I1049,"0"),$I1049))</f>
        <v/>
      </c>
    </row>
    <row r="1050">
      <c r="B1050" s="25" t="n"/>
      <c r="I1050" s="25" t="n"/>
      <c r="U1050" s="19">
        <f>IF($V1050&lt;&gt;'設定'!$C$4,N(U1049),IF(OR(NOT(COUNTIF('商品マスタ'!$B$6:$B$1005,$W1050)=0),COUNTIFS('①在庫を貼る'!$V$6:$V$10005,$V1050,'①在庫を貼る'!$W$6:$W$10005,$W1050)+COUNTIFS('月1回_1ヶ月前の在庫'!$V$6:$V$10005,$V1050,'月1回_1ヶ月前の在庫'!$W$6:$W$10005,$W1050)&gt;0),N(U1049),N(U1049)+1))</f>
        <v/>
      </c>
      <c r="V1050" s="19">
        <f>IF($B1050="","",TEXT($B1050,"0000"))</f>
        <v/>
      </c>
      <c r="W1050" s="19">
        <f>IF($I1050="","",IF(ISNUMBER($I1050),TEXT($I1050,"0"),$I1050))</f>
        <v/>
      </c>
    </row>
    <row r="1051">
      <c r="B1051" s="25" t="n"/>
      <c r="I1051" s="25" t="n"/>
      <c r="U1051" s="19">
        <f>IF($V1051&lt;&gt;'設定'!$C$4,N(U1050),IF(OR(NOT(COUNTIF('商品マスタ'!$B$6:$B$1005,$W1051)=0),COUNTIFS('①在庫を貼る'!$V$6:$V$10005,$V1051,'①在庫を貼る'!$W$6:$W$10005,$W1051)+COUNTIFS('月1回_1ヶ月前の在庫'!$V$6:$V$10005,$V1051,'月1回_1ヶ月前の在庫'!$W$6:$W$10005,$W1051)&gt;0),N(U1050),N(U1050)+1))</f>
        <v/>
      </c>
      <c r="V1051" s="19">
        <f>IF($B1051="","",TEXT($B1051,"0000"))</f>
        <v/>
      </c>
      <c r="W1051" s="19">
        <f>IF($I1051="","",IF(ISNUMBER($I1051),TEXT($I1051,"0"),$I1051))</f>
        <v/>
      </c>
    </row>
    <row r="1052">
      <c r="B1052" s="25" t="n"/>
      <c r="I1052" s="25" t="n"/>
      <c r="U1052" s="19">
        <f>IF($V1052&lt;&gt;'設定'!$C$4,N(U1051),IF(OR(NOT(COUNTIF('商品マスタ'!$B$6:$B$1005,$W1052)=0),COUNTIFS('①在庫を貼る'!$V$6:$V$10005,$V1052,'①在庫を貼る'!$W$6:$W$10005,$W1052)+COUNTIFS('月1回_1ヶ月前の在庫'!$V$6:$V$10005,$V1052,'月1回_1ヶ月前の在庫'!$W$6:$W$10005,$W1052)&gt;0),N(U1051),N(U1051)+1))</f>
        <v/>
      </c>
      <c r="V1052" s="19">
        <f>IF($B1052="","",TEXT($B1052,"0000"))</f>
        <v/>
      </c>
      <c r="W1052" s="19">
        <f>IF($I1052="","",IF(ISNUMBER($I1052),TEXT($I1052,"0"),$I1052))</f>
        <v/>
      </c>
    </row>
    <row r="1053">
      <c r="B1053" s="25" t="n"/>
      <c r="I1053" s="25" t="n"/>
      <c r="U1053" s="19">
        <f>IF($V1053&lt;&gt;'設定'!$C$4,N(U1052),IF(OR(NOT(COUNTIF('商品マスタ'!$B$6:$B$1005,$W1053)=0),COUNTIFS('①在庫を貼る'!$V$6:$V$10005,$V1053,'①在庫を貼る'!$W$6:$W$10005,$W1053)+COUNTIFS('月1回_1ヶ月前の在庫'!$V$6:$V$10005,$V1053,'月1回_1ヶ月前の在庫'!$W$6:$W$10005,$W1053)&gt;0),N(U1052),N(U1052)+1))</f>
        <v/>
      </c>
      <c r="V1053" s="19">
        <f>IF($B1053="","",TEXT($B1053,"0000"))</f>
        <v/>
      </c>
      <c r="W1053" s="19">
        <f>IF($I1053="","",IF(ISNUMBER($I1053),TEXT($I1053,"0"),$I1053))</f>
        <v/>
      </c>
    </row>
    <row r="1054">
      <c r="B1054" s="25" t="n"/>
      <c r="I1054" s="25" t="n"/>
      <c r="U1054" s="19">
        <f>IF($V1054&lt;&gt;'設定'!$C$4,N(U1053),IF(OR(NOT(COUNTIF('商品マスタ'!$B$6:$B$1005,$W1054)=0),COUNTIFS('①在庫を貼る'!$V$6:$V$10005,$V1054,'①在庫を貼る'!$W$6:$W$10005,$W1054)+COUNTIFS('月1回_1ヶ月前の在庫'!$V$6:$V$10005,$V1054,'月1回_1ヶ月前の在庫'!$W$6:$W$10005,$W1054)&gt;0),N(U1053),N(U1053)+1))</f>
        <v/>
      </c>
      <c r="V1054" s="19">
        <f>IF($B1054="","",TEXT($B1054,"0000"))</f>
        <v/>
      </c>
      <c r="W1054" s="19">
        <f>IF($I1054="","",IF(ISNUMBER($I1054),TEXT($I1054,"0"),$I1054))</f>
        <v/>
      </c>
    </row>
    <row r="1055">
      <c r="B1055" s="25" t="n"/>
      <c r="I1055" s="25" t="n"/>
      <c r="U1055" s="19">
        <f>IF($V1055&lt;&gt;'設定'!$C$4,N(U1054),IF(OR(NOT(COUNTIF('商品マスタ'!$B$6:$B$1005,$W1055)=0),COUNTIFS('①在庫を貼る'!$V$6:$V$10005,$V1055,'①在庫を貼る'!$W$6:$W$10005,$W1055)+COUNTIFS('月1回_1ヶ月前の在庫'!$V$6:$V$10005,$V1055,'月1回_1ヶ月前の在庫'!$W$6:$W$10005,$W1055)&gt;0),N(U1054),N(U1054)+1))</f>
        <v/>
      </c>
      <c r="V1055" s="19">
        <f>IF($B1055="","",TEXT($B1055,"0000"))</f>
        <v/>
      </c>
      <c r="W1055" s="19">
        <f>IF($I1055="","",IF(ISNUMBER($I1055),TEXT($I1055,"0"),$I1055))</f>
        <v/>
      </c>
    </row>
    <row r="1056">
      <c r="B1056" s="25" t="n"/>
      <c r="I1056" s="25" t="n"/>
      <c r="U1056" s="19">
        <f>IF($V1056&lt;&gt;'設定'!$C$4,N(U1055),IF(OR(NOT(COUNTIF('商品マスタ'!$B$6:$B$1005,$W1056)=0),COUNTIFS('①在庫を貼る'!$V$6:$V$10005,$V1056,'①在庫を貼る'!$W$6:$W$10005,$W1056)+COUNTIFS('月1回_1ヶ月前の在庫'!$V$6:$V$10005,$V1056,'月1回_1ヶ月前の在庫'!$W$6:$W$10005,$W1056)&gt;0),N(U1055),N(U1055)+1))</f>
        <v/>
      </c>
      <c r="V1056" s="19">
        <f>IF($B1056="","",TEXT($B1056,"0000"))</f>
        <v/>
      </c>
      <c r="W1056" s="19">
        <f>IF($I1056="","",IF(ISNUMBER($I1056),TEXT($I1056,"0"),$I1056))</f>
        <v/>
      </c>
    </row>
    <row r="1057">
      <c r="B1057" s="25" t="n"/>
      <c r="I1057" s="25" t="n"/>
      <c r="U1057" s="19">
        <f>IF($V1057&lt;&gt;'設定'!$C$4,N(U1056),IF(OR(NOT(COUNTIF('商品マスタ'!$B$6:$B$1005,$W1057)=0),COUNTIFS('①在庫を貼る'!$V$6:$V$10005,$V1057,'①在庫を貼る'!$W$6:$W$10005,$W1057)+COUNTIFS('月1回_1ヶ月前の在庫'!$V$6:$V$10005,$V1057,'月1回_1ヶ月前の在庫'!$W$6:$W$10005,$W1057)&gt;0),N(U1056),N(U1056)+1))</f>
        <v/>
      </c>
      <c r="V1057" s="19">
        <f>IF($B1057="","",TEXT($B1057,"0000"))</f>
        <v/>
      </c>
      <c r="W1057" s="19">
        <f>IF($I1057="","",IF(ISNUMBER($I1057),TEXT($I1057,"0"),$I1057))</f>
        <v/>
      </c>
    </row>
    <row r="1058">
      <c r="B1058" s="25" t="n"/>
      <c r="I1058" s="25" t="n"/>
      <c r="U1058" s="19">
        <f>IF($V1058&lt;&gt;'設定'!$C$4,N(U1057),IF(OR(NOT(COUNTIF('商品マスタ'!$B$6:$B$1005,$W1058)=0),COUNTIFS('①在庫を貼る'!$V$6:$V$10005,$V1058,'①在庫を貼る'!$W$6:$W$10005,$W1058)+COUNTIFS('月1回_1ヶ月前の在庫'!$V$6:$V$10005,$V1058,'月1回_1ヶ月前の在庫'!$W$6:$W$10005,$W1058)&gt;0),N(U1057),N(U1057)+1))</f>
        <v/>
      </c>
      <c r="V1058" s="19">
        <f>IF($B1058="","",TEXT($B1058,"0000"))</f>
        <v/>
      </c>
      <c r="W1058" s="19">
        <f>IF($I1058="","",IF(ISNUMBER($I1058),TEXT($I1058,"0"),$I1058))</f>
        <v/>
      </c>
    </row>
    <row r="1059">
      <c r="B1059" s="25" t="n"/>
      <c r="I1059" s="25" t="n"/>
      <c r="U1059" s="19">
        <f>IF($V1059&lt;&gt;'設定'!$C$4,N(U1058),IF(OR(NOT(COUNTIF('商品マスタ'!$B$6:$B$1005,$W1059)=0),COUNTIFS('①在庫を貼る'!$V$6:$V$10005,$V1059,'①在庫を貼る'!$W$6:$W$10005,$W1059)+COUNTIFS('月1回_1ヶ月前の在庫'!$V$6:$V$10005,$V1059,'月1回_1ヶ月前の在庫'!$W$6:$W$10005,$W1059)&gt;0),N(U1058),N(U1058)+1))</f>
        <v/>
      </c>
      <c r="V1059" s="19">
        <f>IF($B1059="","",TEXT($B1059,"0000"))</f>
        <v/>
      </c>
      <c r="W1059" s="19">
        <f>IF($I1059="","",IF(ISNUMBER($I1059),TEXT($I1059,"0"),$I1059))</f>
        <v/>
      </c>
    </row>
    <row r="1060">
      <c r="B1060" s="25" t="n"/>
      <c r="I1060" s="25" t="n"/>
      <c r="U1060" s="19">
        <f>IF($V1060&lt;&gt;'設定'!$C$4,N(U1059),IF(OR(NOT(COUNTIF('商品マスタ'!$B$6:$B$1005,$W1060)=0),COUNTIFS('①在庫を貼る'!$V$6:$V$10005,$V1060,'①在庫を貼る'!$W$6:$W$10005,$W1060)+COUNTIFS('月1回_1ヶ月前の在庫'!$V$6:$V$10005,$V1060,'月1回_1ヶ月前の在庫'!$W$6:$W$10005,$W1060)&gt;0),N(U1059),N(U1059)+1))</f>
        <v/>
      </c>
      <c r="V1060" s="19">
        <f>IF($B1060="","",TEXT($B1060,"0000"))</f>
        <v/>
      </c>
      <c r="W1060" s="19">
        <f>IF($I1060="","",IF(ISNUMBER($I1060),TEXT($I1060,"0"),$I1060))</f>
        <v/>
      </c>
    </row>
    <row r="1061">
      <c r="B1061" s="25" t="n"/>
      <c r="I1061" s="25" t="n"/>
      <c r="U1061" s="19">
        <f>IF($V1061&lt;&gt;'設定'!$C$4,N(U1060),IF(OR(NOT(COUNTIF('商品マスタ'!$B$6:$B$1005,$W1061)=0),COUNTIFS('①在庫を貼る'!$V$6:$V$10005,$V1061,'①在庫を貼る'!$W$6:$W$10005,$W1061)+COUNTIFS('月1回_1ヶ月前の在庫'!$V$6:$V$10005,$V1061,'月1回_1ヶ月前の在庫'!$W$6:$W$10005,$W1061)&gt;0),N(U1060),N(U1060)+1))</f>
        <v/>
      </c>
      <c r="V1061" s="19">
        <f>IF($B1061="","",TEXT($B1061,"0000"))</f>
        <v/>
      </c>
      <c r="W1061" s="19">
        <f>IF($I1061="","",IF(ISNUMBER($I1061),TEXT($I1061,"0"),$I1061))</f>
        <v/>
      </c>
    </row>
    <row r="1062">
      <c r="B1062" s="25" t="n"/>
      <c r="I1062" s="25" t="n"/>
      <c r="U1062" s="19">
        <f>IF($V1062&lt;&gt;'設定'!$C$4,N(U1061),IF(OR(NOT(COUNTIF('商品マスタ'!$B$6:$B$1005,$W1062)=0),COUNTIFS('①在庫を貼る'!$V$6:$V$10005,$V1062,'①在庫を貼る'!$W$6:$W$10005,$W1062)+COUNTIFS('月1回_1ヶ月前の在庫'!$V$6:$V$10005,$V1062,'月1回_1ヶ月前の在庫'!$W$6:$W$10005,$W1062)&gt;0),N(U1061),N(U1061)+1))</f>
        <v/>
      </c>
      <c r="V1062" s="19">
        <f>IF($B1062="","",TEXT($B1062,"0000"))</f>
        <v/>
      </c>
      <c r="W1062" s="19">
        <f>IF($I1062="","",IF(ISNUMBER($I1062),TEXT($I1062,"0"),$I1062))</f>
        <v/>
      </c>
    </row>
    <row r="1063">
      <c r="B1063" s="25" t="n"/>
      <c r="I1063" s="25" t="n"/>
      <c r="U1063" s="19">
        <f>IF($V1063&lt;&gt;'設定'!$C$4,N(U1062),IF(OR(NOT(COUNTIF('商品マスタ'!$B$6:$B$1005,$W1063)=0),COUNTIFS('①在庫を貼る'!$V$6:$V$10005,$V1063,'①在庫を貼る'!$W$6:$W$10005,$W1063)+COUNTIFS('月1回_1ヶ月前の在庫'!$V$6:$V$10005,$V1063,'月1回_1ヶ月前の在庫'!$W$6:$W$10005,$W1063)&gt;0),N(U1062),N(U1062)+1))</f>
        <v/>
      </c>
      <c r="V1063" s="19">
        <f>IF($B1063="","",TEXT($B1063,"0000"))</f>
        <v/>
      </c>
      <c r="W1063" s="19">
        <f>IF($I1063="","",IF(ISNUMBER($I1063),TEXT($I1063,"0"),$I1063))</f>
        <v/>
      </c>
    </row>
    <row r="1064">
      <c r="B1064" s="25" t="n"/>
      <c r="I1064" s="25" t="n"/>
      <c r="U1064" s="19">
        <f>IF($V1064&lt;&gt;'設定'!$C$4,N(U1063),IF(OR(NOT(COUNTIF('商品マスタ'!$B$6:$B$1005,$W1064)=0),COUNTIFS('①在庫を貼る'!$V$6:$V$10005,$V1064,'①在庫を貼る'!$W$6:$W$10005,$W1064)+COUNTIFS('月1回_1ヶ月前の在庫'!$V$6:$V$10005,$V1064,'月1回_1ヶ月前の在庫'!$W$6:$W$10005,$W1064)&gt;0),N(U1063),N(U1063)+1))</f>
        <v/>
      </c>
      <c r="V1064" s="19">
        <f>IF($B1064="","",TEXT($B1064,"0000"))</f>
        <v/>
      </c>
      <c r="W1064" s="19">
        <f>IF($I1064="","",IF(ISNUMBER($I1064),TEXT($I1064,"0"),$I1064))</f>
        <v/>
      </c>
    </row>
    <row r="1065">
      <c r="B1065" s="25" t="n"/>
      <c r="I1065" s="25" t="n"/>
      <c r="U1065" s="19">
        <f>IF($V1065&lt;&gt;'設定'!$C$4,N(U1064),IF(OR(NOT(COUNTIF('商品マスタ'!$B$6:$B$1005,$W1065)=0),COUNTIFS('①在庫を貼る'!$V$6:$V$10005,$V1065,'①在庫を貼る'!$W$6:$W$10005,$W1065)+COUNTIFS('月1回_1ヶ月前の在庫'!$V$6:$V$10005,$V1065,'月1回_1ヶ月前の在庫'!$W$6:$W$10005,$W1065)&gt;0),N(U1064),N(U1064)+1))</f>
        <v/>
      </c>
      <c r="V1065" s="19">
        <f>IF($B1065="","",TEXT($B1065,"0000"))</f>
        <v/>
      </c>
      <c r="W1065" s="19">
        <f>IF($I1065="","",IF(ISNUMBER($I1065),TEXT($I1065,"0"),$I1065))</f>
        <v/>
      </c>
    </row>
    <row r="1066">
      <c r="B1066" s="25" t="n"/>
      <c r="I1066" s="25" t="n"/>
      <c r="U1066" s="19">
        <f>IF($V1066&lt;&gt;'設定'!$C$4,N(U1065),IF(OR(NOT(COUNTIF('商品マスタ'!$B$6:$B$1005,$W1066)=0),COUNTIFS('①在庫を貼る'!$V$6:$V$10005,$V1066,'①在庫を貼る'!$W$6:$W$10005,$W1066)+COUNTIFS('月1回_1ヶ月前の在庫'!$V$6:$V$10005,$V1066,'月1回_1ヶ月前の在庫'!$W$6:$W$10005,$W1066)&gt;0),N(U1065),N(U1065)+1))</f>
        <v/>
      </c>
      <c r="V1066" s="19">
        <f>IF($B1066="","",TEXT($B1066,"0000"))</f>
        <v/>
      </c>
      <c r="W1066" s="19">
        <f>IF($I1066="","",IF(ISNUMBER($I1066),TEXT($I1066,"0"),$I1066))</f>
        <v/>
      </c>
    </row>
    <row r="1067">
      <c r="B1067" s="25" t="n"/>
      <c r="I1067" s="25" t="n"/>
      <c r="U1067" s="19">
        <f>IF($V1067&lt;&gt;'設定'!$C$4,N(U1066),IF(OR(NOT(COUNTIF('商品マスタ'!$B$6:$B$1005,$W1067)=0),COUNTIFS('①在庫を貼る'!$V$6:$V$10005,$V1067,'①在庫を貼る'!$W$6:$W$10005,$W1067)+COUNTIFS('月1回_1ヶ月前の在庫'!$V$6:$V$10005,$V1067,'月1回_1ヶ月前の在庫'!$W$6:$W$10005,$W1067)&gt;0),N(U1066),N(U1066)+1))</f>
        <v/>
      </c>
      <c r="V1067" s="19">
        <f>IF($B1067="","",TEXT($B1067,"0000"))</f>
        <v/>
      </c>
      <c r="W1067" s="19">
        <f>IF($I1067="","",IF(ISNUMBER($I1067),TEXT($I1067,"0"),$I1067))</f>
        <v/>
      </c>
    </row>
    <row r="1068">
      <c r="B1068" s="25" t="n"/>
      <c r="I1068" s="25" t="n"/>
      <c r="U1068" s="19">
        <f>IF($V1068&lt;&gt;'設定'!$C$4,N(U1067),IF(OR(NOT(COUNTIF('商品マスタ'!$B$6:$B$1005,$W1068)=0),COUNTIFS('①在庫を貼る'!$V$6:$V$10005,$V1068,'①在庫を貼る'!$W$6:$W$10005,$W1068)+COUNTIFS('月1回_1ヶ月前の在庫'!$V$6:$V$10005,$V1068,'月1回_1ヶ月前の在庫'!$W$6:$W$10005,$W1068)&gt;0),N(U1067),N(U1067)+1))</f>
        <v/>
      </c>
      <c r="V1068" s="19">
        <f>IF($B1068="","",TEXT($B1068,"0000"))</f>
        <v/>
      </c>
      <c r="W1068" s="19">
        <f>IF($I1068="","",IF(ISNUMBER($I1068),TEXT($I1068,"0"),$I1068))</f>
        <v/>
      </c>
    </row>
    <row r="1069">
      <c r="B1069" s="25" t="n"/>
      <c r="I1069" s="25" t="n"/>
      <c r="U1069" s="19">
        <f>IF($V1069&lt;&gt;'設定'!$C$4,N(U1068),IF(OR(NOT(COUNTIF('商品マスタ'!$B$6:$B$1005,$W1069)=0),COUNTIFS('①在庫を貼る'!$V$6:$V$10005,$V1069,'①在庫を貼る'!$W$6:$W$10005,$W1069)+COUNTIFS('月1回_1ヶ月前の在庫'!$V$6:$V$10005,$V1069,'月1回_1ヶ月前の在庫'!$W$6:$W$10005,$W1069)&gt;0),N(U1068),N(U1068)+1))</f>
        <v/>
      </c>
      <c r="V1069" s="19">
        <f>IF($B1069="","",TEXT($B1069,"0000"))</f>
        <v/>
      </c>
      <c r="W1069" s="19">
        <f>IF($I1069="","",IF(ISNUMBER($I1069),TEXT($I1069,"0"),$I1069))</f>
        <v/>
      </c>
    </row>
    <row r="1070">
      <c r="B1070" s="25" t="n"/>
      <c r="I1070" s="25" t="n"/>
      <c r="U1070" s="19">
        <f>IF($V1070&lt;&gt;'設定'!$C$4,N(U1069),IF(OR(NOT(COUNTIF('商品マスタ'!$B$6:$B$1005,$W1070)=0),COUNTIFS('①在庫を貼る'!$V$6:$V$10005,$V1070,'①在庫を貼る'!$W$6:$W$10005,$W1070)+COUNTIFS('月1回_1ヶ月前の在庫'!$V$6:$V$10005,$V1070,'月1回_1ヶ月前の在庫'!$W$6:$W$10005,$W1070)&gt;0),N(U1069),N(U1069)+1))</f>
        <v/>
      </c>
      <c r="V1070" s="19">
        <f>IF($B1070="","",TEXT($B1070,"0000"))</f>
        <v/>
      </c>
      <c r="W1070" s="19">
        <f>IF($I1070="","",IF(ISNUMBER($I1070),TEXT($I1070,"0"),$I1070))</f>
        <v/>
      </c>
    </row>
    <row r="1071">
      <c r="B1071" s="25" t="n"/>
      <c r="I1071" s="25" t="n"/>
      <c r="U1071" s="19">
        <f>IF($V1071&lt;&gt;'設定'!$C$4,N(U1070),IF(OR(NOT(COUNTIF('商品マスタ'!$B$6:$B$1005,$W1071)=0),COUNTIFS('①在庫を貼る'!$V$6:$V$10005,$V1071,'①在庫を貼る'!$W$6:$W$10005,$W1071)+COUNTIFS('月1回_1ヶ月前の在庫'!$V$6:$V$10005,$V1071,'月1回_1ヶ月前の在庫'!$W$6:$W$10005,$W1071)&gt;0),N(U1070),N(U1070)+1))</f>
        <v/>
      </c>
      <c r="V1071" s="19">
        <f>IF($B1071="","",TEXT($B1071,"0000"))</f>
        <v/>
      </c>
      <c r="W1071" s="19">
        <f>IF($I1071="","",IF(ISNUMBER($I1071),TEXT($I1071,"0"),$I1071))</f>
        <v/>
      </c>
    </row>
    <row r="1072">
      <c r="B1072" s="25" t="n"/>
      <c r="I1072" s="25" t="n"/>
      <c r="U1072" s="19">
        <f>IF($V1072&lt;&gt;'設定'!$C$4,N(U1071),IF(OR(NOT(COUNTIF('商品マスタ'!$B$6:$B$1005,$W1072)=0),COUNTIFS('①在庫を貼る'!$V$6:$V$10005,$V1072,'①在庫を貼る'!$W$6:$W$10005,$W1072)+COUNTIFS('月1回_1ヶ月前の在庫'!$V$6:$V$10005,$V1072,'月1回_1ヶ月前の在庫'!$W$6:$W$10005,$W1072)&gt;0),N(U1071),N(U1071)+1))</f>
        <v/>
      </c>
      <c r="V1072" s="19">
        <f>IF($B1072="","",TEXT($B1072,"0000"))</f>
        <v/>
      </c>
      <c r="W1072" s="19">
        <f>IF($I1072="","",IF(ISNUMBER($I1072),TEXT($I1072,"0"),$I1072))</f>
        <v/>
      </c>
    </row>
    <row r="1073">
      <c r="B1073" s="25" t="n"/>
      <c r="I1073" s="25" t="n"/>
      <c r="U1073" s="19">
        <f>IF($V1073&lt;&gt;'設定'!$C$4,N(U1072),IF(OR(NOT(COUNTIF('商品マスタ'!$B$6:$B$1005,$W1073)=0),COUNTIFS('①在庫を貼る'!$V$6:$V$10005,$V1073,'①在庫を貼る'!$W$6:$W$10005,$W1073)+COUNTIFS('月1回_1ヶ月前の在庫'!$V$6:$V$10005,$V1073,'月1回_1ヶ月前の在庫'!$W$6:$W$10005,$W1073)&gt;0),N(U1072),N(U1072)+1))</f>
        <v/>
      </c>
      <c r="V1073" s="19">
        <f>IF($B1073="","",TEXT($B1073,"0000"))</f>
        <v/>
      </c>
      <c r="W1073" s="19">
        <f>IF($I1073="","",IF(ISNUMBER($I1073),TEXT($I1073,"0"),$I1073))</f>
        <v/>
      </c>
    </row>
    <row r="1074">
      <c r="B1074" s="25" t="n"/>
      <c r="I1074" s="25" t="n"/>
      <c r="U1074" s="19">
        <f>IF($V1074&lt;&gt;'設定'!$C$4,N(U1073),IF(OR(NOT(COUNTIF('商品マスタ'!$B$6:$B$1005,$W1074)=0),COUNTIFS('①在庫を貼る'!$V$6:$V$10005,$V1074,'①在庫を貼る'!$W$6:$W$10005,$W1074)+COUNTIFS('月1回_1ヶ月前の在庫'!$V$6:$V$10005,$V1074,'月1回_1ヶ月前の在庫'!$W$6:$W$10005,$W1074)&gt;0),N(U1073),N(U1073)+1))</f>
        <v/>
      </c>
      <c r="V1074" s="19">
        <f>IF($B1074="","",TEXT($B1074,"0000"))</f>
        <v/>
      </c>
      <c r="W1074" s="19">
        <f>IF($I1074="","",IF(ISNUMBER($I1074),TEXT($I1074,"0"),$I1074))</f>
        <v/>
      </c>
    </row>
    <row r="1075">
      <c r="B1075" s="25" t="n"/>
      <c r="I1075" s="25" t="n"/>
      <c r="U1075" s="19">
        <f>IF($V1075&lt;&gt;'設定'!$C$4,N(U1074),IF(OR(NOT(COUNTIF('商品マスタ'!$B$6:$B$1005,$W1075)=0),COUNTIFS('①在庫を貼る'!$V$6:$V$10005,$V1075,'①在庫を貼る'!$W$6:$W$10005,$W1075)+COUNTIFS('月1回_1ヶ月前の在庫'!$V$6:$V$10005,$V1075,'月1回_1ヶ月前の在庫'!$W$6:$W$10005,$W1075)&gt;0),N(U1074),N(U1074)+1))</f>
        <v/>
      </c>
      <c r="V1075" s="19">
        <f>IF($B1075="","",TEXT($B1075,"0000"))</f>
        <v/>
      </c>
      <c r="W1075" s="19">
        <f>IF($I1075="","",IF(ISNUMBER($I1075),TEXT($I1075,"0"),$I1075))</f>
        <v/>
      </c>
    </row>
    <row r="1076">
      <c r="B1076" s="25" t="n"/>
      <c r="I1076" s="25" t="n"/>
      <c r="U1076" s="19">
        <f>IF($V1076&lt;&gt;'設定'!$C$4,N(U1075),IF(OR(NOT(COUNTIF('商品マスタ'!$B$6:$B$1005,$W1076)=0),COUNTIFS('①在庫を貼る'!$V$6:$V$10005,$V1076,'①在庫を貼る'!$W$6:$W$10005,$W1076)+COUNTIFS('月1回_1ヶ月前の在庫'!$V$6:$V$10005,$V1076,'月1回_1ヶ月前の在庫'!$W$6:$W$10005,$W1076)&gt;0),N(U1075),N(U1075)+1))</f>
        <v/>
      </c>
      <c r="V1076" s="19">
        <f>IF($B1076="","",TEXT($B1076,"0000"))</f>
        <v/>
      </c>
      <c r="W1076" s="19">
        <f>IF($I1076="","",IF(ISNUMBER($I1076),TEXT($I1076,"0"),$I1076))</f>
        <v/>
      </c>
    </row>
    <row r="1077">
      <c r="B1077" s="25" t="n"/>
      <c r="I1077" s="25" t="n"/>
      <c r="U1077" s="19">
        <f>IF($V1077&lt;&gt;'設定'!$C$4,N(U1076),IF(OR(NOT(COUNTIF('商品マスタ'!$B$6:$B$1005,$W1077)=0),COUNTIFS('①在庫を貼る'!$V$6:$V$10005,$V1077,'①在庫を貼る'!$W$6:$W$10005,$W1077)+COUNTIFS('月1回_1ヶ月前の在庫'!$V$6:$V$10005,$V1077,'月1回_1ヶ月前の在庫'!$W$6:$W$10005,$W1077)&gt;0),N(U1076),N(U1076)+1))</f>
        <v/>
      </c>
      <c r="V1077" s="19">
        <f>IF($B1077="","",TEXT($B1077,"0000"))</f>
        <v/>
      </c>
      <c r="W1077" s="19">
        <f>IF($I1077="","",IF(ISNUMBER($I1077),TEXT($I1077,"0"),$I1077))</f>
        <v/>
      </c>
    </row>
    <row r="1078">
      <c r="B1078" s="25" t="n"/>
      <c r="I1078" s="25" t="n"/>
      <c r="U1078" s="19">
        <f>IF($V1078&lt;&gt;'設定'!$C$4,N(U1077),IF(OR(NOT(COUNTIF('商品マスタ'!$B$6:$B$1005,$W1078)=0),COUNTIFS('①在庫を貼る'!$V$6:$V$10005,$V1078,'①在庫を貼る'!$W$6:$W$10005,$W1078)+COUNTIFS('月1回_1ヶ月前の在庫'!$V$6:$V$10005,$V1078,'月1回_1ヶ月前の在庫'!$W$6:$W$10005,$W1078)&gt;0),N(U1077),N(U1077)+1))</f>
        <v/>
      </c>
      <c r="V1078" s="19">
        <f>IF($B1078="","",TEXT($B1078,"0000"))</f>
        <v/>
      </c>
      <c r="W1078" s="19">
        <f>IF($I1078="","",IF(ISNUMBER($I1078),TEXT($I1078,"0"),$I1078))</f>
        <v/>
      </c>
    </row>
    <row r="1079">
      <c r="B1079" s="25" t="n"/>
      <c r="I1079" s="25" t="n"/>
      <c r="U1079" s="19">
        <f>IF($V1079&lt;&gt;'設定'!$C$4,N(U1078),IF(OR(NOT(COUNTIF('商品マスタ'!$B$6:$B$1005,$W1079)=0),COUNTIFS('①在庫を貼る'!$V$6:$V$10005,$V1079,'①在庫を貼る'!$W$6:$W$10005,$W1079)+COUNTIFS('月1回_1ヶ月前の在庫'!$V$6:$V$10005,$V1079,'月1回_1ヶ月前の在庫'!$W$6:$W$10005,$W1079)&gt;0),N(U1078),N(U1078)+1))</f>
        <v/>
      </c>
      <c r="V1079" s="19">
        <f>IF($B1079="","",TEXT($B1079,"0000"))</f>
        <v/>
      </c>
      <c r="W1079" s="19">
        <f>IF($I1079="","",IF(ISNUMBER($I1079),TEXT($I1079,"0"),$I1079))</f>
        <v/>
      </c>
    </row>
    <row r="1080">
      <c r="B1080" s="25" t="n"/>
      <c r="I1080" s="25" t="n"/>
      <c r="U1080" s="19">
        <f>IF($V1080&lt;&gt;'設定'!$C$4,N(U1079),IF(OR(NOT(COUNTIF('商品マスタ'!$B$6:$B$1005,$W1080)=0),COUNTIFS('①在庫を貼る'!$V$6:$V$10005,$V1080,'①在庫を貼る'!$W$6:$W$10005,$W1080)+COUNTIFS('月1回_1ヶ月前の在庫'!$V$6:$V$10005,$V1080,'月1回_1ヶ月前の在庫'!$W$6:$W$10005,$W1080)&gt;0),N(U1079),N(U1079)+1))</f>
        <v/>
      </c>
      <c r="V1080" s="19">
        <f>IF($B1080="","",TEXT($B1080,"0000"))</f>
        <v/>
      </c>
      <c r="W1080" s="19">
        <f>IF($I1080="","",IF(ISNUMBER($I1080),TEXT($I1080,"0"),$I1080))</f>
        <v/>
      </c>
    </row>
    <row r="1081">
      <c r="B1081" s="25" t="n"/>
      <c r="I1081" s="25" t="n"/>
      <c r="U1081" s="19">
        <f>IF($V1081&lt;&gt;'設定'!$C$4,N(U1080),IF(OR(NOT(COUNTIF('商品マスタ'!$B$6:$B$1005,$W1081)=0),COUNTIFS('①在庫を貼る'!$V$6:$V$10005,$V1081,'①在庫を貼る'!$W$6:$W$10005,$W1081)+COUNTIFS('月1回_1ヶ月前の在庫'!$V$6:$V$10005,$V1081,'月1回_1ヶ月前の在庫'!$W$6:$W$10005,$W1081)&gt;0),N(U1080),N(U1080)+1))</f>
        <v/>
      </c>
      <c r="V1081" s="19">
        <f>IF($B1081="","",TEXT($B1081,"0000"))</f>
        <v/>
      </c>
      <c r="W1081" s="19">
        <f>IF($I1081="","",IF(ISNUMBER($I1081),TEXT($I1081,"0"),$I1081))</f>
        <v/>
      </c>
    </row>
    <row r="1082">
      <c r="B1082" s="25" t="n"/>
      <c r="I1082" s="25" t="n"/>
      <c r="U1082" s="19">
        <f>IF($V1082&lt;&gt;'設定'!$C$4,N(U1081),IF(OR(NOT(COUNTIF('商品マスタ'!$B$6:$B$1005,$W1082)=0),COUNTIFS('①在庫を貼る'!$V$6:$V$10005,$V1082,'①在庫を貼る'!$W$6:$W$10005,$W1082)+COUNTIFS('月1回_1ヶ月前の在庫'!$V$6:$V$10005,$V1082,'月1回_1ヶ月前の在庫'!$W$6:$W$10005,$W1082)&gt;0),N(U1081),N(U1081)+1))</f>
        <v/>
      </c>
      <c r="V1082" s="19">
        <f>IF($B1082="","",TEXT($B1082,"0000"))</f>
        <v/>
      </c>
      <c r="W1082" s="19">
        <f>IF($I1082="","",IF(ISNUMBER($I1082),TEXT($I1082,"0"),$I1082))</f>
        <v/>
      </c>
    </row>
    <row r="1083">
      <c r="B1083" s="25" t="n"/>
      <c r="I1083" s="25" t="n"/>
      <c r="U1083" s="19">
        <f>IF($V1083&lt;&gt;'設定'!$C$4,N(U1082),IF(OR(NOT(COUNTIF('商品マスタ'!$B$6:$B$1005,$W1083)=0),COUNTIFS('①在庫を貼る'!$V$6:$V$10005,$V1083,'①在庫を貼る'!$W$6:$W$10005,$W1083)+COUNTIFS('月1回_1ヶ月前の在庫'!$V$6:$V$10005,$V1083,'月1回_1ヶ月前の在庫'!$W$6:$W$10005,$W1083)&gt;0),N(U1082),N(U1082)+1))</f>
        <v/>
      </c>
      <c r="V1083" s="19">
        <f>IF($B1083="","",TEXT($B1083,"0000"))</f>
        <v/>
      </c>
      <c r="W1083" s="19">
        <f>IF($I1083="","",IF(ISNUMBER($I1083),TEXT($I1083,"0"),$I1083))</f>
        <v/>
      </c>
    </row>
    <row r="1084">
      <c r="B1084" s="25" t="n"/>
      <c r="I1084" s="25" t="n"/>
      <c r="U1084" s="19">
        <f>IF($V1084&lt;&gt;'設定'!$C$4,N(U1083),IF(OR(NOT(COUNTIF('商品マスタ'!$B$6:$B$1005,$W1084)=0),COUNTIFS('①在庫を貼る'!$V$6:$V$10005,$V1084,'①在庫を貼る'!$W$6:$W$10005,$W1084)+COUNTIFS('月1回_1ヶ月前の在庫'!$V$6:$V$10005,$V1084,'月1回_1ヶ月前の在庫'!$W$6:$W$10005,$W1084)&gt;0),N(U1083),N(U1083)+1))</f>
        <v/>
      </c>
      <c r="V1084" s="19">
        <f>IF($B1084="","",TEXT($B1084,"0000"))</f>
        <v/>
      </c>
      <c r="W1084" s="19">
        <f>IF($I1084="","",IF(ISNUMBER($I1084),TEXT($I1084,"0"),$I1084))</f>
        <v/>
      </c>
    </row>
    <row r="1085">
      <c r="B1085" s="25" t="n"/>
      <c r="I1085" s="25" t="n"/>
      <c r="U1085" s="19">
        <f>IF($V1085&lt;&gt;'設定'!$C$4,N(U1084),IF(OR(NOT(COUNTIF('商品マスタ'!$B$6:$B$1005,$W1085)=0),COUNTIFS('①在庫を貼る'!$V$6:$V$10005,$V1085,'①在庫を貼る'!$W$6:$W$10005,$W1085)+COUNTIFS('月1回_1ヶ月前の在庫'!$V$6:$V$10005,$V1085,'月1回_1ヶ月前の在庫'!$W$6:$W$10005,$W1085)&gt;0),N(U1084),N(U1084)+1))</f>
        <v/>
      </c>
      <c r="V1085" s="19">
        <f>IF($B1085="","",TEXT($B1085,"0000"))</f>
        <v/>
      </c>
      <c r="W1085" s="19">
        <f>IF($I1085="","",IF(ISNUMBER($I1085),TEXT($I1085,"0"),$I1085))</f>
        <v/>
      </c>
    </row>
    <row r="1086">
      <c r="B1086" s="25" t="n"/>
      <c r="I1086" s="25" t="n"/>
      <c r="U1086" s="19">
        <f>IF($V1086&lt;&gt;'設定'!$C$4,N(U1085),IF(OR(NOT(COUNTIF('商品マスタ'!$B$6:$B$1005,$W1086)=0),COUNTIFS('①在庫を貼る'!$V$6:$V$10005,$V1086,'①在庫を貼る'!$W$6:$W$10005,$W1086)+COUNTIFS('月1回_1ヶ月前の在庫'!$V$6:$V$10005,$V1086,'月1回_1ヶ月前の在庫'!$W$6:$W$10005,$W1086)&gt;0),N(U1085),N(U1085)+1))</f>
        <v/>
      </c>
      <c r="V1086" s="19">
        <f>IF($B1086="","",TEXT($B1086,"0000"))</f>
        <v/>
      </c>
      <c r="W1086" s="19">
        <f>IF($I1086="","",IF(ISNUMBER($I1086),TEXT($I1086,"0"),$I1086))</f>
        <v/>
      </c>
    </row>
    <row r="1087">
      <c r="B1087" s="25" t="n"/>
      <c r="I1087" s="25" t="n"/>
      <c r="U1087" s="19">
        <f>IF($V1087&lt;&gt;'設定'!$C$4,N(U1086),IF(OR(NOT(COUNTIF('商品マスタ'!$B$6:$B$1005,$W1087)=0),COUNTIFS('①在庫を貼る'!$V$6:$V$10005,$V1087,'①在庫を貼る'!$W$6:$W$10005,$W1087)+COUNTIFS('月1回_1ヶ月前の在庫'!$V$6:$V$10005,$V1087,'月1回_1ヶ月前の在庫'!$W$6:$W$10005,$W1087)&gt;0),N(U1086),N(U1086)+1))</f>
        <v/>
      </c>
      <c r="V1087" s="19">
        <f>IF($B1087="","",TEXT($B1087,"0000"))</f>
        <v/>
      </c>
      <c r="W1087" s="19">
        <f>IF($I1087="","",IF(ISNUMBER($I1087),TEXT($I1087,"0"),$I1087))</f>
        <v/>
      </c>
    </row>
    <row r="1088">
      <c r="B1088" s="25" t="n"/>
      <c r="I1088" s="25" t="n"/>
      <c r="U1088" s="19">
        <f>IF($V1088&lt;&gt;'設定'!$C$4,N(U1087),IF(OR(NOT(COUNTIF('商品マスタ'!$B$6:$B$1005,$W1088)=0),COUNTIFS('①在庫を貼る'!$V$6:$V$10005,$V1088,'①在庫を貼る'!$W$6:$W$10005,$W1088)+COUNTIFS('月1回_1ヶ月前の在庫'!$V$6:$V$10005,$V1088,'月1回_1ヶ月前の在庫'!$W$6:$W$10005,$W1088)&gt;0),N(U1087),N(U1087)+1))</f>
        <v/>
      </c>
      <c r="V1088" s="19">
        <f>IF($B1088="","",TEXT($B1088,"0000"))</f>
        <v/>
      </c>
      <c r="W1088" s="19">
        <f>IF($I1088="","",IF(ISNUMBER($I1088),TEXT($I1088,"0"),$I1088))</f>
        <v/>
      </c>
    </row>
    <row r="1089">
      <c r="B1089" s="25" t="n"/>
      <c r="I1089" s="25" t="n"/>
      <c r="U1089" s="19">
        <f>IF($V1089&lt;&gt;'設定'!$C$4,N(U1088),IF(OR(NOT(COUNTIF('商品マスタ'!$B$6:$B$1005,$W1089)=0),COUNTIFS('①在庫を貼る'!$V$6:$V$10005,$V1089,'①在庫を貼る'!$W$6:$W$10005,$W1089)+COUNTIFS('月1回_1ヶ月前の在庫'!$V$6:$V$10005,$V1089,'月1回_1ヶ月前の在庫'!$W$6:$W$10005,$W1089)&gt;0),N(U1088),N(U1088)+1))</f>
        <v/>
      </c>
      <c r="V1089" s="19">
        <f>IF($B1089="","",TEXT($B1089,"0000"))</f>
        <v/>
      </c>
      <c r="W1089" s="19">
        <f>IF($I1089="","",IF(ISNUMBER($I1089),TEXT($I1089,"0"),$I1089))</f>
        <v/>
      </c>
    </row>
    <row r="1090">
      <c r="B1090" s="25" t="n"/>
      <c r="I1090" s="25" t="n"/>
      <c r="U1090" s="19">
        <f>IF($V1090&lt;&gt;'設定'!$C$4,N(U1089),IF(OR(NOT(COUNTIF('商品マスタ'!$B$6:$B$1005,$W1090)=0),COUNTIFS('①在庫を貼る'!$V$6:$V$10005,$V1090,'①在庫を貼る'!$W$6:$W$10005,$W1090)+COUNTIFS('月1回_1ヶ月前の在庫'!$V$6:$V$10005,$V1090,'月1回_1ヶ月前の在庫'!$W$6:$W$10005,$W1090)&gt;0),N(U1089),N(U1089)+1))</f>
        <v/>
      </c>
      <c r="V1090" s="19">
        <f>IF($B1090="","",TEXT($B1090,"0000"))</f>
        <v/>
      </c>
      <c r="W1090" s="19">
        <f>IF($I1090="","",IF(ISNUMBER($I1090),TEXT($I1090,"0"),$I1090))</f>
        <v/>
      </c>
    </row>
    <row r="1091">
      <c r="B1091" s="25" t="n"/>
      <c r="I1091" s="25" t="n"/>
      <c r="U1091" s="19">
        <f>IF($V1091&lt;&gt;'設定'!$C$4,N(U1090),IF(OR(NOT(COUNTIF('商品マスタ'!$B$6:$B$1005,$W1091)=0),COUNTIFS('①在庫を貼る'!$V$6:$V$10005,$V1091,'①在庫を貼る'!$W$6:$W$10005,$W1091)+COUNTIFS('月1回_1ヶ月前の在庫'!$V$6:$V$10005,$V1091,'月1回_1ヶ月前の在庫'!$W$6:$W$10005,$W1091)&gt;0),N(U1090),N(U1090)+1))</f>
        <v/>
      </c>
      <c r="V1091" s="19">
        <f>IF($B1091="","",TEXT($B1091,"0000"))</f>
        <v/>
      </c>
      <c r="W1091" s="19">
        <f>IF($I1091="","",IF(ISNUMBER($I1091),TEXT($I1091,"0"),$I1091))</f>
        <v/>
      </c>
    </row>
    <row r="1092">
      <c r="B1092" s="25" t="n"/>
      <c r="I1092" s="25" t="n"/>
      <c r="U1092" s="19">
        <f>IF($V1092&lt;&gt;'設定'!$C$4,N(U1091),IF(OR(NOT(COUNTIF('商品マスタ'!$B$6:$B$1005,$W1092)=0),COUNTIFS('①在庫を貼る'!$V$6:$V$10005,$V1092,'①在庫を貼る'!$W$6:$W$10005,$W1092)+COUNTIFS('月1回_1ヶ月前の在庫'!$V$6:$V$10005,$V1092,'月1回_1ヶ月前の在庫'!$W$6:$W$10005,$W1092)&gt;0),N(U1091),N(U1091)+1))</f>
        <v/>
      </c>
      <c r="V1092" s="19">
        <f>IF($B1092="","",TEXT($B1092,"0000"))</f>
        <v/>
      </c>
      <c r="W1092" s="19">
        <f>IF($I1092="","",IF(ISNUMBER($I1092),TEXT($I1092,"0"),$I1092))</f>
        <v/>
      </c>
    </row>
    <row r="1093">
      <c r="B1093" s="25" t="n"/>
      <c r="I1093" s="25" t="n"/>
      <c r="U1093" s="19">
        <f>IF($V1093&lt;&gt;'設定'!$C$4,N(U1092),IF(OR(NOT(COUNTIF('商品マスタ'!$B$6:$B$1005,$W1093)=0),COUNTIFS('①在庫を貼る'!$V$6:$V$10005,$V1093,'①在庫を貼る'!$W$6:$W$10005,$W1093)+COUNTIFS('月1回_1ヶ月前の在庫'!$V$6:$V$10005,$V1093,'月1回_1ヶ月前の在庫'!$W$6:$W$10005,$W1093)&gt;0),N(U1092),N(U1092)+1))</f>
        <v/>
      </c>
      <c r="V1093" s="19">
        <f>IF($B1093="","",TEXT($B1093,"0000"))</f>
        <v/>
      </c>
      <c r="W1093" s="19">
        <f>IF($I1093="","",IF(ISNUMBER($I1093),TEXT($I1093,"0"),$I1093))</f>
        <v/>
      </c>
    </row>
    <row r="1094">
      <c r="B1094" s="25" t="n"/>
      <c r="I1094" s="25" t="n"/>
      <c r="U1094" s="19">
        <f>IF($V1094&lt;&gt;'設定'!$C$4,N(U1093),IF(OR(NOT(COUNTIF('商品マスタ'!$B$6:$B$1005,$W1094)=0),COUNTIFS('①在庫を貼る'!$V$6:$V$10005,$V1094,'①在庫を貼る'!$W$6:$W$10005,$W1094)+COUNTIFS('月1回_1ヶ月前の在庫'!$V$6:$V$10005,$V1094,'月1回_1ヶ月前の在庫'!$W$6:$W$10005,$W1094)&gt;0),N(U1093),N(U1093)+1))</f>
        <v/>
      </c>
      <c r="V1094" s="19">
        <f>IF($B1094="","",TEXT($B1094,"0000"))</f>
        <v/>
      </c>
      <c r="W1094" s="19">
        <f>IF($I1094="","",IF(ISNUMBER($I1094),TEXT($I1094,"0"),$I1094))</f>
        <v/>
      </c>
    </row>
    <row r="1095">
      <c r="B1095" s="25" t="n"/>
      <c r="I1095" s="25" t="n"/>
      <c r="U1095" s="19">
        <f>IF($V1095&lt;&gt;'設定'!$C$4,N(U1094),IF(OR(NOT(COUNTIF('商品マスタ'!$B$6:$B$1005,$W1095)=0),COUNTIFS('①在庫を貼る'!$V$6:$V$10005,$V1095,'①在庫を貼る'!$W$6:$W$10005,$W1095)+COUNTIFS('月1回_1ヶ月前の在庫'!$V$6:$V$10005,$V1095,'月1回_1ヶ月前の在庫'!$W$6:$W$10005,$W1095)&gt;0),N(U1094),N(U1094)+1))</f>
        <v/>
      </c>
      <c r="V1095" s="19">
        <f>IF($B1095="","",TEXT($B1095,"0000"))</f>
        <v/>
      </c>
      <c r="W1095" s="19">
        <f>IF($I1095="","",IF(ISNUMBER($I1095),TEXT($I1095,"0"),$I1095))</f>
        <v/>
      </c>
    </row>
    <row r="1096">
      <c r="B1096" s="25" t="n"/>
      <c r="I1096" s="25" t="n"/>
      <c r="U1096" s="19">
        <f>IF($V1096&lt;&gt;'設定'!$C$4,N(U1095),IF(OR(NOT(COUNTIF('商品マスタ'!$B$6:$B$1005,$W1096)=0),COUNTIFS('①在庫を貼る'!$V$6:$V$10005,$V1096,'①在庫を貼る'!$W$6:$W$10005,$W1096)+COUNTIFS('月1回_1ヶ月前の在庫'!$V$6:$V$10005,$V1096,'月1回_1ヶ月前の在庫'!$W$6:$W$10005,$W1096)&gt;0),N(U1095),N(U1095)+1))</f>
        <v/>
      </c>
      <c r="V1096" s="19">
        <f>IF($B1096="","",TEXT($B1096,"0000"))</f>
        <v/>
      </c>
      <c r="W1096" s="19">
        <f>IF($I1096="","",IF(ISNUMBER($I1096),TEXT($I1096,"0"),$I1096))</f>
        <v/>
      </c>
    </row>
    <row r="1097">
      <c r="B1097" s="25" t="n"/>
      <c r="I1097" s="25" t="n"/>
      <c r="U1097" s="19">
        <f>IF($V1097&lt;&gt;'設定'!$C$4,N(U1096),IF(OR(NOT(COUNTIF('商品マスタ'!$B$6:$B$1005,$W1097)=0),COUNTIFS('①在庫を貼る'!$V$6:$V$10005,$V1097,'①在庫を貼る'!$W$6:$W$10005,$W1097)+COUNTIFS('月1回_1ヶ月前の在庫'!$V$6:$V$10005,$V1097,'月1回_1ヶ月前の在庫'!$W$6:$W$10005,$W1097)&gt;0),N(U1096),N(U1096)+1))</f>
        <v/>
      </c>
      <c r="V1097" s="19">
        <f>IF($B1097="","",TEXT($B1097,"0000"))</f>
        <v/>
      </c>
      <c r="W1097" s="19">
        <f>IF($I1097="","",IF(ISNUMBER($I1097),TEXT($I1097,"0"),$I1097))</f>
        <v/>
      </c>
    </row>
    <row r="1098">
      <c r="B1098" s="25" t="n"/>
      <c r="I1098" s="25" t="n"/>
      <c r="U1098" s="19">
        <f>IF($V1098&lt;&gt;'設定'!$C$4,N(U1097),IF(OR(NOT(COUNTIF('商品マスタ'!$B$6:$B$1005,$W1098)=0),COUNTIFS('①在庫を貼る'!$V$6:$V$10005,$V1098,'①在庫を貼る'!$W$6:$W$10005,$W1098)+COUNTIFS('月1回_1ヶ月前の在庫'!$V$6:$V$10005,$V1098,'月1回_1ヶ月前の在庫'!$W$6:$W$10005,$W1098)&gt;0),N(U1097),N(U1097)+1))</f>
        <v/>
      </c>
      <c r="V1098" s="19">
        <f>IF($B1098="","",TEXT($B1098,"0000"))</f>
        <v/>
      </c>
      <c r="W1098" s="19">
        <f>IF($I1098="","",IF(ISNUMBER($I1098),TEXT($I1098,"0"),$I1098))</f>
        <v/>
      </c>
    </row>
    <row r="1099">
      <c r="B1099" s="25" t="n"/>
      <c r="I1099" s="25" t="n"/>
      <c r="U1099" s="19">
        <f>IF($V1099&lt;&gt;'設定'!$C$4,N(U1098),IF(OR(NOT(COUNTIF('商品マスタ'!$B$6:$B$1005,$W1099)=0),COUNTIFS('①在庫を貼る'!$V$6:$V$10005,$V1099,'①在庫を貼る'!$W$6:$W$10005,$W1099)+COUNTIFS('月1回_1ヶ月前の在庫'!$V$6:$V$10005,$V1099,'月1回_1ヶ月前の在庫'!$W$6:$W$10005,$W1099)&gt;0),N(U1098),N(U1098)+1))</f>
        <v/>
      </c>
      <c r="V1099" s="19">
        <f>IF($B1099="","",TEXT($B1099,"0000"))</f>
        <v/>
      </c>
      <c r="W1099" s="19">
        <f>IF($I1099="","",IF(ISNUMBER($I1099),TEXT($I1099,"0"),$I1099))</f>
        <v/>
      </c>
    </row>
    <row r="1100">
      <c r="B1100" s="25" t="n"/>
      <c r="I1100" s="25" t="n"/>
      <c r="U1100" s="19">
        <f>IF($V1100&lt;&gt;'設定'!$C$4,N(U1099),IF(OR(NOT(COUNTIF('商品マスタ'!$B$6:$B$1005,$W1100)=0),COUNTIFS('①在庫を貼る'!$V$6:$V$10005,$V1100,'①在庫を貼る'!$W$6:$W$10005,$W1100)+COUNTIFS('月1回_1ヶ月前の在庫'!$V$6:$V$10005,$V1100,'月1回_1ヶ月前の在庫'!$W$6:$W$10005,$W1100)&gt;0),N(U1099),N(U1099)+1))</f>
        <v/>
      </c>
      <c r="V1100" s="19">
        <f>IF($B1100="","",TEXT($B1100,"0000"))</f>
        <v/>
      </c>
      <c r="W1100" s="19">
        <f>IF($I1100="","",IF(ISNUMBER($I1100),TEXT($I1100,"0"),$I1100))</f>
        <v/>
      </c>
    </row>
    <row r="1101">
      <c r="B1101" s="25" t="n"/>
      <c r="I1101" s="25" t="n"/>
      <c r="U1101" s="19">
        <f>IF($V1101&lt;&gt;'設定'!$C$4,N(U1100),IF(OR(NOT(COUNTIF('商品マスタ'!$B$6:$B$1005,$W1101)=0),COUNTIFS('①在庫を貼る'!$V$6:$V$10005,$V1101,'①在庫を貼る'!$W$6:$W$10005,$W1101)+COUNTIFS('月1回_1ヶ月前の在庫'!$V$6:$V$10005,$V1101,'月1回_1ヶ月前の在庫'!$W$6:$W$10005,$W1101)&gt;0),N(U1100),N(U1100)+1))</f>
        <v/>
      </c>
      <c r="V1101" s="19">
        <f>IF($B1101="","",TEXT($B1101,"0000"))</f>
        <v/>
      </c>
      <c r="W1101" s="19">
        <f>IF($I1101="","",IF(ISNUMBER($I1101),TEXT($I1101,"0"),$I1101))</f>
        <v/>
      </c>
    </row>
    <row r="1102">
      <c r="B1102" s="25" t="n"/>
      <c r="I1102" s="25" t="n"/>
      <c r="U1102" s="19">
        <f>IF($V1102&lt;&gt;'設定'!$C$4,N(U1101),IF(OR(NOT(COUNTIF('商品マスタ'!$B$6:$B$1005,$W1102)=0),COUNTIFS('①在庫を貼る'!$V$6:$V$10005,$V1102,'①在庫を貼る'!$W$6:$W$10005,$W1102)+COUNTIFS('月1回_1ヶ月前の在庫'!$V$6:$V$10005,$V1102,'月1回_1ヶ月前の在庫'!$W$6:$W$10005,$W1102)&gt;0),N(U1101),N(U1101)+1))</f>
        <v/>
      </c>
      <c r="V1102" s="19">
        <f>IF($B1102="","",TEXT($B1102,"0000"))</f>
        <v/>
      </c>
      <c r="W1102" s="19">
        <f>IF($I1102="","",IF(ISNUMBER($I1102),TEXT($I1102,"0"),$I1102))</f>
        <v/>
      </c>
    </row>
    <row r="1103">
      <c r="B1103" s="25" t="n"/>
      <c r="I1103" s="25" t="n"/>
      <c r="U1103" s="19">
        <f>IF($V1103&lt;&gt;'設定'!$C$4,N(U1102),IF(OR(NOT(COUNTIF('商品マスタ'!$B$6:$B$1005,$W1103)=0),COUNTIFS('①在庫を貼る'!$V$6:$V$10005,$V1103,'①在庫を貼る'!$W$6:$W$10005,$W1103)+COUNTIFS('月1回_1ヶ月前の在庫'!$V$6:$V$10005,$V1103,'月1回_1ヶ月前の在庫'!$W$6:$W$10005,$W1103)&gt;0),N(U1102),N(U1102)+1))</f>
        <v/>
      </c>
      <c r="V1103" s="19">
        <f>IF($B1103="","",TEXT($B1103,"0000"))</f>
        <v/>
      </c>
      <c r="W1103" s="19">
        <f>IF($I1103="","",IF(ISNUMBER($I1103),TEXT($I1103,"0"),$I1103))</f>
        <v/>
      </c>
    </row>
    <row r="1104">
      <c r="B1104" s="25" t="n"/>
      <c r="I1104" s="25" t="n"/>
      <c r="U1104" s="19">
        <f>IF($V1104&lt;&gt;'設定'!$C$4,N(U1103),IF(OR(NOT(COUNTIF('商品マスタ'!$B$6:$B$1005,$W1104)=0),COUNTIFS('①在庫を貼る'!$V$6:$V$10005,$V1104,'①在庫を貼る'!$W$6:$W$10005,$W1104)+COUNTIFS('月1回_1ヶ月前の在庫'!$V$6:$V$10005,$V1104,'月1回_1ヶ月前の在庫'!$W$6:$W$10005,$W1104)&gt;0),N(U1103),N(U1103)+1))</f>
        <v/>
      </c>
      <c r="V1104" s="19">
        <f>IF($B1104="","",TEXT($B1104,"0000"))</f>
        <v/>
      </c>
      <c r="W1104" s="19">
        <f>IF($I1104="","",IF(ISNUMBER($I1104),TEXT($I1104,"0"),$I1104))</f>
        <v/>
      </c>
    </row>
    <row r="1105">
      <c r="B1105" s="25" t="n"/>
      <c r="I1105" s="25" t="n"/>
      <c r="U1105" s="19">
        <f>IF($V1105&lt;&gt;'設定'!$C$4,N(U1104),IF(OR(NOT(COUNTIF('商品マスタ'!$B$6:$B$1005,$W1105)=0),COUNTIFS('①在庫を貼る'!$V$6:$V$10005,$V1105,'①在庫を貼る'!$W$6:$W$10005,$W1105)+COUNTIFS('月1回_1ヶ月前の在庫'!$V$6:$V$10005,$V1105,'月1回_1ヶ月前の在庫'!$W$6:$W$10005,$W1105)&gt;0),N(U1104),N(U1104)+1))</f>
        <v/>
      </c>
      <c r="V1105" s="19">
        <f>IF($B1105="","",TEXT($B1105,"0000"))</f>
        <v/>
      </c>
      <c r="W1105" s="19">
        <f>IF($I1105="","",IF(ISNUMBER($I1105),TEXT($I1105,"0"),$I1105))</f>
        <v/>
      </c>
    </row>
    <row r="1106">
      <c r="B1106" s="25" t="n"/>
      <c r="I1106" s="25" t="n"/>
      <c r="U1106" s="19">
        <f>IF($V1106&lt;&gt;'設定'!$C$4,N(U1105),IF(OR(NOT(COUNTIF('商品マスタ'!$B$6:$B$1005,$W1106)=0),COUNTIFS('①在庫を貼る'!$V$6:$V$10005,$V1106,'①在庫を貼る'!$W$6:$W$10005,$W1106)+COUNTIFS('月1回_1ヶ月前の在庫'!$V$6:$V$10005,$V1106,'月1回_1ヶ月前の在庫'!$W$6:$W$10005,$W1106)&gt;0),N(U1105),N(U1105)+1))</f>
        <v/>
      </c>
      <c r="V1106" s="19">
        <f>IF($B1106="","",TEXT($B1106,"0000"))</f>
        <v/>
      </c>
      <c r="W1106" s="19">
        <f>IF($I1106="","",IF(ISNUMBER($I1106),TEXT($I1106,"0"),$I1106))</f>
        <v/>
      </c>
    </row>
    <row r="1107">
      <c r="B1107" s="25" t="n"/>
      <c r="I1107" s="25" t="n"/>
      <c r="U1107" s="19">
        <f>IF($V1107&lt;&gt;'設定'!$C$4,N(U1106),IF(OR(NOT(COUNTIF('商品マスタ'!$B$6:$B$1005,$W1107)=0),COUNTIFS('①在庫を貼る'!$V$6:$V$10005,$V1107,'①在庫を貼る'!$W$6:$W$10005,$W1107)+COUNTIFS('月1回_1ヶ月前の在庫'!$V$6:$V$10005,$V1107,'月1回_1ヶ月前の在庫'!$W$6:$W$10005,$W1107)&gt;0),N(U1106),N(U1106)+1))</f>
        <v/>
      </c>
      <c r="V1107" s="19">
        <f>IF($B1107="","",TEXT($B1107,"0000"))</f>
        <v/>
      </c>
      <c r="W1107" s="19">
        <f>IF($I1107="","",IF(ISNUMBER($I1107),TEXT($I1107,"0"),$I1107))</f>
        <v/>
      </c>
    </row>
    <row r="1108">
      <c r="B1108" s="25" t="n"/>
      <c r="I1108" s="25" t="n"/>
      <c r="U1108" s="19">
        <f>IF($V1108&lt;&gt;'設定'!$C$4,N(U1107),IF(OR(NOT(COUNTIF('商品マスタ'!$B$6:$B$1005,$W1108)=0),COUNTIFS('①在庫を貼る'!$V$6:$V$10005,$V1108,'①在庫を貼る'!$W$6:$W$10005,$W1108)+COUNTIFS('月1回_1ヶ月前の在庫'!$V$6:$V$10005,$V1108,'月1回_1ヶ月前の在庫'!$W$6:$W$10005,$W1108)&gt;0),N(U1107),N(U1107)+1))</f>
        <v/>
      </c>
      <c r="V1108" s="19">
        <f>IF($B1108="","",TEXT($B1108,"0000"))</f>
        <v/>
      </c>
      <c r="W1108" s="19">
        <f>IF($I1108="","",IF(ISNUMBER($I1108),TEXT($I1108,"0"),$I1108))</f>
        <v/>
      </c>
    </row>
    <row r="1109">
      <c r="B1109" s="25" t="n"/>
      <c r="I1109" s="25" t="n"/>
      <c r="U1109" s="19">
        <f>IF($V1109&lt;&gt;'設定'!$C$4,N(U1108),IF(OR(NOT(COUNTIF('商品マスタ'!$B$6:$B$1005,$W1109)=0),COUNTIFS('①在庫を貼る'!$V$6:$V$10005,$V1109,'①在庫を貼る'!$W$6:$W$10005,$W1109)+COUNTIFS('月1回_1ヶ月前の在庫'!$V$6:$V$10005,$V1109,'月1回_1ヶ月前の在庫'!$W$6:$W$10005,$W1109)&gt;0),N(U1108),N(U1108)+1))</f>
        <v/>
      </c>
      <c r="V1109" s="19">
        <f>IF($B1109="","",TEXT($B1109,"0000"))</f>
        <v/>
      </c>
      <c r="W1109" s="19">
        <f>IF($I1109="","",IF(ISNUMBER($I1109),TEXT($I1109,"0"),$I1109))</f>
        <v/>
      </c>
    </row>
    <row r="1110">
      <c r="B1110" s="25" t="n"/>
      <c r="I1110" s="25" t="n"/>
      <c r="U1110" s="19">
        <f>IF($V1110&lt;&gt;'設定'!$C$4,N(U1109),IF(OR(NOT(COUNTIF('商品マスタ'!$B$6:$B$1005,$W1110)=0),COUNTIFS('①在庫を貼る'!$V$6:$V$10005,$V1110,'①在庫を貼る'!$W$6:$W$10005,$W1110)+COUNTIFS('月1回_1ヶ月前の在庫'!$V$6:$V$10005,$V1110,'月1回_1ヶ月前の在庫'!$W$6:$W$10005,$W1110)&gt;0),N(U1109),N(U1109)+1))</f>
        <v/>
      </c>
      <c r="V1110" s="19">
        <f>IF($B1110="","",TEXT($B1110,"0000"))</f>
        <v/>
      </c>
      <c r="W1110" s="19">
        <f>IF($I1110="","",IF(ISNUMBER($I1110),TEXT($I1110,"0"),$I1110))</f>
        <v/>
      </c>
    </row>
    <row r="1111">
      <c r="B1111" s="25" t="n"/>
      <c r="I1111" s="25" t="n"/>
      <c r="U1111" s="19">
        <f>IF($V1111&lt;&gt;'設定'!$C$4,N(U1110),IF(OR(NOT(COUNTIF('商品マスタ'!$B$6:$B$1005,$W1111)=0),COUNTIFS('①在庫を貼る'!$V$6:$V$10005,$V1111,'①在庫を貼る'!$W$6:$W$10005,$W1111)+COUNTIFS('月1回_1ヶ月前の在庫'!$V$6:$V$10005,$V1111,'月1回_1ヶ月前の在庫'!$W$6:$W$10005,$W1111)&gt;0),N(U1110),N(U1110)+1))</f>
        <v/>
      </c>
      <c r="V1111" s="19">
        <f>IF($B1111="","",TEXT($B1111,"0000"))</f>
        <v/>
      </c>
      <c r="W1111" s="19">
        <f>IF($I1111="","",IF(ISNUMBER($I1111),TEXT($I1111,"0"),$I1111))</f>
        <v/>
      </c>
    </row>
    <row r="1112">
      <c r="B1112" s="25" t="n"/>
      <c r="I1112" s="25" t="n"/>
      <c r="U1112" s="19">
        <f>IF($V1112&lt;&gt;'設定'!$C$4,N(U1111),IF(OR(NOT(COUNTIF('商品マスタ'!$B$6:$B$1005,$W1112)=0),COUNTIFS('①在庫を貼る'!$V$6:$V$10005,$V1112,'①在庫を貼る'!$W$6:$W$10005,$W1112)+COUNTIFS('月1回_1ヶ月前の在庫'!$V$6:$V$10005,$V1112,'月1回_1ヶ月前の在庫'!$W$6:$W$10005,$W1112)&gt;0),N(U1111),N(U1111)+1))</f>
        <v/>
      </c>
      <c r="V1112" s="19">
        <f>IF($B1112="","",TEXT($B1112,"0000"))</f>
        <v/>
      </c>
      <c r="W1112" s="19">
        <f>IF($I1112="","",IF(ISNUMBER($I1112),TEXT($I1112,"0"),$I1112))</f>
        <v/>
      </c>
    </row>
    <row r="1113">
      <c r="B1113" s="25" t="n"/>
      <c r="I1113" s="25" t="n"/>
      <c r="U1113" s="19">
        <f>IF($V1113&lt;&gt;'設定'!$C$4,N(U1112),IF(OR(NOT(COUNTIF('商品マスタ'!$B$6:$B$1005,$W1113)=0),COUNTIFS('①在庫を貼る'!$V$6:$V$10005,$V1113,'①在庫を貼る'!$W$6:$W$10005,$W1113)+COUNTIFS('月1回_1ヶ月前の在庫'!$V$6:$V$10005,$V1113,'月1回_1ヶ月前の在庫'!$W$6:$W$10005,$W1113)&gt;0),N(U1112),N(U1112)+1))</f>
        <v/>
      </c>
      <c r="V1113" s="19">
        <f>IF($B1113="","",TEXT($B1113,"0000"))</f>
        <v/>
      </c>
      <c r="W1113" s="19">
        <f>IF($I1113="","",IF(ISNUMBER($I1113),TEXT($I1113,"0"),$I1113))</f>
        <v/>
      </c>
    </row>
    <row r="1114">
      <c r="B1114" s="25" t="n"/>
      <c r="I1114" s="25" t="n"/>
      <c r="U1114" s="19">
        <f>IF($V1114&lt;&gt;'設定'!$C$4,N(U1113),IF(OR(NOT(COUNTIF('商品マスタ'!$B$6:$B$1005,$W1114)=0),COUNTIFS('①在庫を貼る'!$V$6:$V$10005,$V1114,'①在庫を貼る'!$W$6:$W$10005,$W1114)+COUNTIFS('月1回_1ヶ月前の在庫'!$V$6:$V$10005,$V1114,'月1回_1ヶ月前の在庫'!$W$6:$W$10005,$W1114)&gt;0),N(U1113),N(U1113)+1))</f>
        <v/>
      </c>
      <c r="V1114" s="19">
        <f>IF($B1114="","",TEXT($B1114,"0000"))</f>
        <v/>
      </c>
      <c r="W1114" s="19">
        <f>IF($I1114="","",IF(ISNUMBER($I1114),TEXT($I1114,"0"),$I1114))</f>
        <v/>
      </c>
    </row>
    <row r="1115">
      <c r="B1115" s="25" t="n"/>
      <c r="I1115" s="25" t="n"/>
      <c r="U1115" s="19">
        <f>IF($V1115&lt;&gt;'設定'!$C$4,N(U1114),IF(OR(NOT(COUNTIF('商品マスタ'!$B$6:$B$1005,$W1115)=0),COUNTIFS('①在庫を貼る'!$V$6:$V$10005,$V1115,'①在庫を貼る'!$W$6:$W$10005,$W1115)+COUNTIFS('月1回_1ヶ月前の在庫'!$V$6:$V$10005,$V1115,'月1回_1ヶ月前の在庫'!$W$6:$W$10005,$W1115)&gt;0),N(U1114),N(U1114)+1))</f>
        <v/>
      </c>
      <c r="V1115" s="19">
        <f>IF($B1115="","",TEXT($B1115,"0000"))</f>
        <v/>
      </c>
      <c r="W1115" s="19">
        <f>IF($I1115="","",IF(ISNUMBER($I1115),TEXT($I1115,"0"),$I1115))</f>
        <v/>
      </c>
    </row>
    <row r="1116">
      <c r="B1116" s="25" t="n"/>
      <c r="I1116" s="25" t="n"/>
      <c r="U1116" s="19">
        <f>IF($V1116&lt;&gt;'設定'!$C$4,N(U1115),IF(OR(NOT(COUNTIF('商品マスタ'!$B$6:$B$1005,$W1116)=0),COUNTIFS('①在庫を貼る'!$V$6:$V$10005,$V1116,'①在庫を貼る'!$W$6:$W$10005,$W1116)+COUNTIFS('月1回_1ヶ月前の在庫'!$V$6:$V$10005,$V1116,'月1回_1ヶ月前の在庫'!$W$6:$W$10005,$W1116)&gt;0),N(U1115),N(U1115)+1))</f>
        <v/>
      </c>
      <c r="V1116" s="19">
        <f>IF($B1116="","",TEXT($B1116,"0000"))</f>
        <v/>
      </c>
      <c r="W1116" s="19">
        <f>IF($I1116="","",IF(ISNUMBER($I1116),TEXT($I1116,"0"),$I1116))</f>
        <v/>
      </c>
    </row>
    <row r="1117">
      <c r="B1117" s="25" t="n"/>
      <c r="I1117" s="25" t="n"/>
      <c r="U1117" s="19">
        <f>IF($V1117&lt;&gt;'設定'!$C$4,N(U1116),IF(OR(NOT(COUNTIF('商品マスタ'!$B$6:$B$1005,$W1117)=0),COUNTIFS('①在庫を貼る'!$V$6:$V$10005,$V1117,'①在庫を貼る'!$W$6:$W$10005,$W1117)+COUNTIFS('月1回_1ヶ月前の在庫'!$V$6:$V$10005,$V1117,'月1回_1ヶ月前の在庫'!$W$6:$W$10005,$W1117)&gt;0),N(U1116),N(U1116)+1))</f>
        <v/>
      </c>
      <c r="V1117" s="19">
        <f>IF($B1117="","",TEXT($B1117,"0000"))</f>
        <v/>
      </c>
      <c r="W1117" s="19">
        <f>IF($I1117="","",IF(ISNUMBER($I1117),TEXT($I1117,"0"),$I1117))</f>
        <v/>
      </c>
    </row>
    <row r="1118">
      <c r="B1118" s="25" t="n"/>
      <c r="I1118" s="25" t="n"/>
      <c r="U1118" s="19">
        <f>IF($V1118&lt;&gt;'設定'!$C$4,N(U1117),IF(OR(NOT(COUNTIF('商品マスタ'!$B$6:$B$1005,$W1118)=0),COUNTIFS('①在庫を貼る'!$V$6:$V$10005,$V1118,'①在庫を貼る'!$W$6:$W$10005,$W1118)+COUNTIFS('月1回_1ヶ月前の在庫'!$V$6:$V$10005,$V1118,'月1回_1ヶ月前の在庫'!$W$6:$W$10005,$W1118)&gt;0),N(U1117),N(U1117)+1))</f>
        <v/>
      </c>
      <c r="V1118" s="19">
        <f>IF($B1118="","",TEXT($B1118,"0000"))</f>
        <v/>
      </c>
      <c r="W1118" s="19">
        <f>IF($I1118="","",IF(ISNUMBER($I1118),TEXT($I1118,"0"),$I1118))</f>
        <v/>
      </c>
    </row>
    <row r="1119">
      <c r="B1119" s="25" t="n"/>
      <c r="I1119" s="25" t="n"/>
      <c r="U1119" s="19">
        <f>IF($V1119&lt;&gt;'設定'!$C$4,N(U1118),IF(OR(NOT(COUNTIF('商品マスタ'!$B$6:$B$1005,$W1119)=0),COUNTIFS('①在庫を貼る'!$V$6:$V$10005,$V1119,'①在庫を貼る'!$W$6:$W$10005,$W1119)+COUNTIFS('月1回_1ヶ月前の在庫'!$V$6:$V$10005,$V1119,'月1回_1ヶ月前の在庫'!$W$6:$W$10005,$W1119)&gt;0),N(U1118),N(U1118)+1))</f>
        <v/>
      </c>
      <c r="V1119" s="19">
        <f>IF($B1119="","",TEXT($B1119,"0000"))</f>
        <v/>
      </c>
      <c r="W1119" s="19">
        <f>IF($I1119="","",IF(ISNUMBER($I1119),TEXT($I1119,"0"),$I1119))</f>
        <v/>
      </c>
    </row>
    <row r="1120">
      <c r="B1120" s="25" t="n"/>
      <c r="I1120" s="25" t="n"/>
      <c r="U1120" s="19">
        <f>IF($V1120&lt;&gt;'設定'!$C$4,N(U1119),IF(OR(NOT(COUNTIF('商品マスタ'!$B$6:$B$1005,$W1120)=0),COUNTIFS('①在庫を貼る'!$V$6:$V$10005,$V1120,'①在庫を貼る'!$W$6:$W$10005,$W1120)+COUNTIFS('月1回_1ヶ月前の在庫'!$V$6:$V$10005,$V1120,'月1回_1ヶ月前の在庫'!$W$6:$W$10005,$W1120)&gt;0),N(U1119),N(U1119)+1))</f>
        <v/>
      </c>
      <c r="V1120" s="19">
        <f>IF($B1120="","",TEXT($B1120,"0000"))</f>
        <v/>
      </c>
      <c r="W1120" s="19">
        <f>IF($I1120="","",IF(ISNUMBER($I1120),TEXT($I1120,"0"),$I1120))</f>
        <v/>
      </c>
    </row>
    <row r="1121">
      <c r="B1121" s="25" t="n"/>
      <c r="I1121" s="25" t="n"/>
      <c r="U1121" s="19">
        <f>IF($V1121&lt;&gt;'設定'!$C$4,N(U1120),IF(OR(NOT(COUNTIF('商品マスタ'!$B$6:$B$1005,$W1121)=0),COUNTIFS('①在庫を貼る'!$V$6:$V$10005,$V1121,'①在庫を貼る'!$W$6:$W$10005,$W1121)+COUNTIFS('月1回_1ヶ月前の在庫'!$V$6:$V$10005,$V1121,'月1回_1ヶ月前の在庫'!$W$6:$W$10005,$W1121)&gt;0),N(U1120),N(U1120)+1))</f>
        <v/>
      </c>
      <c r="V1121" s="19">
        <f>IF($B1121="","",TEXT($B1121,"0000"))</f>
        <v/>
      </c>
      <c r="W1121" s="19">
        <f>IF($I1121="","",IF(ISNUMBER($I1121),TEXT($I1121,"0"),$I1121))</f>
        <v/>
      </c>
    </row>
    <row r="1122">
      <c r="B1122" s="25" t="n"/>
      <c r="I1122" s="25" t="n"/>
      <c r="U1122" s="19">
        <f>IF($V1122&lt;&gt;'設定'!$C$4,N(U1121),IF(OR(NOT(COUNTIF('商品マスタ'!$B$6:$B$1005,$W1122)=0),COUNTIFS('①在庫を貼る'!$V$6:$V$10005,$V1122,'①在庫を貼る'!$W$6:$W$10005,$W1122)+COUNTIFS('月1回_1ヶ月前の在庫'!$V$6:$V$10005,$V1122,'月1回_1ヶ月前の在庫'!$W$6:$W$10005,$W1122)&gt;0),N(U1121),N(U1121)+1))</f>
        <v/>
      </c>
      <c r="V1122" s="19">
        <f>IF($B1122="","",TEXT($B1122,"0000"))</f>
        <v/>
      </c>
      <c r="W1122" s="19">
        <f>IF($I1122="","",IF(ISNUMBER($I1122),TEXT($I1122,"0"),$I1122))</f>
        <v/>
      </c>
    </row>
    <row r="1123">
      <c r="B1123" s="25" t="n"/>
      <c r="I1123" s="25" t="n"/>
      <c r="U1123" s="19">
        <f>IF($V1123&lt;&gt;'設定'!$C$4,N(U1122),IF(OR(NOT(COUNTIF('商品マスタ'!$B$6:$B$1005,$W1123)=0),COUNTIFS('①在庫を貼る'!$V$6:$V$10005,$V1123,'①在庫を貼る'!$W$6:$W$10005,$W1123)+COUNTIFS('月1回_1ヶ月前の在庫'!$V$6:$V$10005,$V1123,'月1回_1ヶ月前の在庫'!$W$6:$W$10005,$W1123)&gt;0),N(U1122),N(U1122)+1))</f>
        <v/>
      </c>
      <c r="V1123" s="19">
        <f>IF($B1123="","",TEXT($B1123,"0000"))</f>
        <v/>
      </c>
      <c r="W1123" s="19">
        <f>IF($I1123="","",IF(ISNUMBER($I1123),TEXT($I1123,"0"),$I1123))</f>
        <v/>
      </c>
    </row>
    <row r="1124">
      <c r="B1124" s="25" t="n"/>
      <c r="I1124" s="25" t="n"/>
      <c r="U1124" s="19">
        <f>IF($V1124&lt;&gt;'設定'!$C$4,N(U1123),IF(OR(NOT(COUNTIF('商品マスタ'!$B$6:$B$1005,$W1124)=0),COUNTIFS('①在庫を貼る'!$V$6:$V$10005,$V1124,'①在庫を貼る'!$W$6:$W$10005,$W1124)+COUNTIFS('月1回_1ヶ月前の在庫'!$V$6:$V$10005,$V1124,'月1回_1ヶ月前の在庫'!$W$6:$W$10005,$W1124)&gt;0),N(U1123),N(U1123)+1))</f>
        <v/>
      </c>
      <c r="V1124" s="19">
        <f>IF($B1124="","",TEXT($B1124,"0000"))</f>
        <v/>
      </c>
      <c r="W1124" s="19">
        <f>IF($I1124="","",IF(ISNUMBER($I1124),TEXT($I1124,"0"),$I1124))</f>
        <v/>
      </c>
    </row>
    <row r="1125">
      <c r="B1125" s="25" t="n"/>
      <c r="I1125" s="25" t="n"/>
      <c r="U1125" s="19">
        <f>IF($V1125&lt;&gt;'設定'!$C$4,N(U1124),IF(OR(NOT(COUNTIF('商品マスタ'!$B$6:$B$1005,$W1125)=0),COUNTIFS('①在庫を貼る'!$V$6:$V$10005,$V1125,'①在庫を貼る'!$W$6:$W$10005,$W1125)+COUNTIFS('月1回_1ヶ月前の在庫'!$V$6:$V$10005,$V1125,'月1回_1ヶ月前の在庫'!$W$6:$W$10005,$W1125)&gt;0),N(U1124),N(U1124)+1))</f>
        <v/>
      </c>
      <c r="V1125" s="19">
        <f>IF($B1125="","",TEXT($B1125,"0000"))</f>
        <v/>
      </c>
      <c r="W1125" s="19">
        <f>IF($I1125="","",IF(ISNUMBER($I1125),TEXT($I1125,"0"),$I1125))</f>
        <v/>
      </c>
    </row>
    <row r="1126">
      <c r="B1126" s="25" t="n"/>
      <c r="I1126" s="25" t="n"/>
      <c r="U1126" s="19">
        <f>IF($V1126&lt;&gt;'設定'!$C$4,N(U1125),IF(OR(NOT(COUNTIF('商品マスタ'!$B$6:$B$1005,$W1126)=0),COUNTIFS('①在庫を貼る'!$V$6:$V$10005,$V1126,'①在庫を貼る'!$W$6:$W$10005,$W1126)+COUNTIFS('月1回_1ヶ月前の在庫'!$V$6:$V$10005,$V1126,'月1回_1ヶ月前の在庫'!$W$6:$W$10005,$W1126)&gt;0),N(U1125),N(U1125)+1))</f>
        <v/>
      </c>
      <c r="V1126" s="19">
        <f>IF($B1126="","",TEXT($B1126,"0000"))</f>
        <v/>
      </c>
      <c r="W1126" s="19">
        <f>IF($I1126="","",IF(ISNUMBER($I1126),TEXT($I1126,"0"),$I1126))</f>
        <v/>
      </c>
    </row>
    <row r="1127">
      <c r="B1127" s="25" t="n"/>
      <c r="I1127" s="25" t="n"/>
      <c r="U1127" s="19">
        <f>IF($V1127&lt;&gt;'設定'!$C$4,N(U1126),IF(OR(NOT(COUNTIF('商品マスタ'!$B$6:$B$1005,$W1127)=0),COUNTIFS('①在庫を貼る'!$V$6:$V$10005,$V1127,'①在庫を貼る'!$W$6:$W$10005,$W1127)+COUNTIFS('月1回_1ヶ月前の在庫'!$V$6:$V$10005,$V1127,'月1回_1ヶ月前の在庫'!$W$6:$W$10005,$W1127)&gt;0),N(U1126),N(U1126)+1))</f>
        <v/>
      </c>
      <c r="V1127" s="19">
        <f>IF($B1127="","",TEXT($B1127,"0000"))</f>
        <v/>
      </c>
      <c r="W1127" s="19">
        <f>IF($I1127="","",IF(ISNUMBER($I1127),TEXT($I1127,"0"),$I1127))</f>
        <v/>
      </c>
    </row>
    <row r="1128">
      <c r="B1128" s="25" t="n"/>
      <c r="I1128" s="25" t="n"/>
      <c r="U1128" s="19">
        <f>IF($V1128&lt;&gt;'設定'!$C$4,N(U1127),IF(OR(NOT(COUNTIF('商品マスタ'!$B$6:$B$1005,$W1128)=0),COUNTIFS('①在庫を貼る'!$V$6:$V$10005,$V1128,'①在庫を貼る'!$W$6:$W$10005,$W1128)+COUNTIFS('月1回_1ヶ月前の在庫'!$V$6:$V$10005,$V1128,'月1回_1ヶ月前の在庫'!$W$6:$W$10005,$W1128)&gt;0),N(U1127),N(U1127)+1))</f>
        <v/>
      </c>
      <c r="V1128" s="19">
        <f>IF($B1128="","",TEXT($B1128,"0000"))</f>
        <v/>
      </c>
      <c r="W1128" s="19">
        <f>IF($I1128="","",IF(ISNUMBER($I1128),TEXT($I1128,"0"),$I1128))</f>
        <v/>
      </c>
    </row>
    <row r="1129">
      <c r="B1129" s="25" t="n"/>
      <c r="I1129" s="25" t="n"/>
      <c r="U1129" s="19">
        <f>IF($V1129&lt;&gt;'設定'!$C$4,N(U1128),IF(OR(NOT(COUNTIF('商品マスタ'!$B$6:$B$1005,$W1129)=0),COUNTIFS('①在庫を貼る'!$V$6:$V$10005,$V1129,'①在庫を貼る'!$W$6:$W$10005,$W1129)+COUNTIFS('月1回_1ヶ月前の在庫'!$V$6:$V$10005,$V1129,'月1回_1ヶ月前の在庫'!$W$6:$W$10005,$W1129)&gt;0),N(U1128),N(U1128)+1))</f>
        <v/>
      </c>
      <c r="V1129" s="19">
        <f>IF($B1129="","",TEXT($B1129,"0000"))</f>
        <v/>
      </c>
      <c r="W1129" s="19">
        <f>IF($I1129="","",IF(ISNUMBER($I1129),TEXT($I1129,"0"),$I1129))</f>
        <v/>
      </c>
    </row>
    <row r="1130">
      <c r="B1130" s="25" t="n"/>
      <c r="I1130" s="25" t="n"/>
      <c r="U1130" s="19">
        <f>IF($V1130&lt;&gt;'設定'!$C$4,N(U1129),IF(OR(NOT(COUNTIF('商品マスタ'!$B$6:$B$1005,$W1130)=0),COUNTIFS('①在庫を貼る'!$V$6:$V$10005,$V1130,'①在庫を貼る'!$W$6:$W$10005,$W1130)+COUNTIFS('月1回_1ヶ月前の在庫'!$V$6:$V$10005,$V1130,'月1回_1ヶ月前の在庫'!$W$6:$W$10005,$W1130)&gt;0),N(U1129),N(U1129)+1))</f>
        <v/>
      </c>
      <c r="V1130" s="19">
        <f>IF($B1130="","",TEXT($B1130,"0000"))</f>
        <v/>
      </c>
      <c r="W1130" s="19">
        <f>IF($I1130="","",IF(ISNUMBER($I1130),TEXT($I1130,"0"),$I1130))</f>
        <v/>
      </c>
    </row>
    <row r="1131">
      <c r="B1131" s="25" t="n"/>
      <c r="I1131" s="25" t="n"/>
      <c r="U1131" s="19">
        <f>IF($V1131&lt;&gt;'設定'!$C$4,N(U1130),IF(OR(NOT(COUNTIF('商品マスタ'!$B$6:$B$1005,$W1131)=0),COUNTIFS('①在庫を貼る'!$V$6:$V$10005,$V1131,'①在庫を貼る'!$W$6:$W$10005,$W1131)+COUNTIFS('月1回_1ヶ月前の在庫'!$V$6:$V$10005,$V1131,'月1回_1ヶ月前の在庫'!$W$6:$W$10005,$W1131)&gt;0),N(U1130),N(U1130)+1))</f>
        <v/>
      </c>
      <c r="V1131" s="19">
        <f>IF($B1131="","",TEXT($B1131,"0000"))</f>
        <v/>
      </c>
      <c r="W1131" s="19">
        <f>IF($I1131="","",IF(ISNUMBER($I1131),TEXT($I1131,"0"),$I1131))</f>
        <v/>
      </c>
    </row>
    <row r="1132">
      <c r="B1132" s="25" t="n"/>
      <c r="I1132" s="25" t="n"/>
      <c r="U1132" s="19">
        <f>IF($V1132&lt;&gt;'設定'!$C$4,N(U1131),IF(OR(NOT(COUNTIF('商品マスタ'!$B$6:$B$1005,$W1132)=0),COUNTIFS('①在庫を貼る'!$V$6:$V$10005,$V1132,'①在庫を貼る'!$W$6:$W$10005,$W1132)+COUNTIFS('月1回_1ヶ月前の在庫'!$V$6:$V$10005,$V1132,'月1回_1ヶ月前の在庫'!$W$6:$W$10005,$W1132)&gt;0),N(U1131),N(U1131)+1))</f>
        <v/>
      </c>
      <c r="V1132" s="19">
        <f>IF($B1132="","",TEXT($B1132,"0000"))</f>
        <v/>
      </c>
      <c r="W1132" s="19">
        <f>IF($I1132="","",IF(ISNUMBER($I1132),TEXT($I1132,"0"),$I1132))</f>
        <v/>
      </c>
    </row>
    <row r="1133">
      <c r="B1133" s="25" t="n"/>
      <c r="I1133" s="25" t="n"/>
      <c r="U1133" s="19">
        <f>IF($V1133&lt;&gt;'設定'!$C$4,N(U1132),IF(OR(NOT(COUNTIF('商品マスタ'!$B$6:$B$1005,$W1133)=0),COUNTIFS('①在庫を貼る'!$V$6:$V$10005,$V1133,'①在庫を貼る'!$W$6:$W$10005,$W1133)+COUNTIFS('月1回_1ヶ月前の在庫'!$V$6:$V$10005,$V1133,'月1回_1ヶ月前の在庫'!$W$6:$W$10005,$W1133)&gt;0),N(U1132),N(U1132)+1))</f>
        <v/>
      </c>
      <c r="V1133" s="19">
        <f>IF($B1133="","",TEXT($B1133,"0000"))</f>
        <v/>
      </c>
      <c r="W1133" s="19">
        <f>IF($I1133="","",IF(ISNUMBER($I1133),TEXT($I1133,"0"),$I1133))</f>
        <v/>
      </c>
    </row>
    <row r="1134">
      <c r="B1134" s="25" t="n"/>
      <c r="I1134" s="25" t="n"/>
      <c r="U1134" s="19">
        <f>IF($V1134&lt;&gt;'設定'!$C$4,N(U1133),IF(OR(NOT(COUNTIF('商品マスタ'!$B$6:$B$1005,$W1134)=0),COUNTIFS('①在庫を貼る'!$V$6:$V$10005,$V1134,'①在庫を貼る'!$W$6:$W$10005,$W1134)+COUNTIFS('月1回_1ヶ月前の在庫'!$V$6:$V$10005,$V1134,'月1回_1ヶ月前の在庫'!$W$6:$W$10005,$W1134)&gt;0),N(U1133),N(U1133)+1))</f>
        <v/>
      </c>
      <c r="V1134" s="19">
        <f>IF($B1134="","",TEXT($B1134,"0000"))</f>
        <v/>
      </c>
      <c r="W1134" s="19">
        <f>IF($I1134="","",IF(ISNUMBER($I1134),TEXT($I1134,"0"),$I1134))</f>
        <v/>
      </c>
    </row>
    <row r="1135">
      <c r="B1135" s="25" t="n"/>
      <c r="I1135" s="25" t="n"/>
      <c r="U1135" s="19">
        <f>IF($V1135&lt;&gt;'設定'!$C$4,N(U1134),IF(OR(NOT(COUNTIF('商品マスタ'!$B$6:$B$1005,$W1135)=0),COUNTIFS('①在庫を貼る'!$V$6:$V$10005,$V1135,'①在庫を貼る'!$W$6:$W$10005,$W1135)+COUNTIFS('月1回_1ヶ月前の在庫'!$V$6:$V$10005,$V1135,'月1回_1ヶ月前の在庫'!$W$6:$W$10005,$W1135)&gt;0),N(U1134),N(U1134)+1))</f>
        <v/>
      </c>
      <c r="V1135" s="19">
        <f>IF($B1135="","",TEXT($B1135,"0000"))</f>
        <v/>
      </c>
      <c r="W1135" s="19">
        <f>IF($I1135="","",IF(ISNUMBER($I1135),TEXT($I1135,"0"),$I1135))</f>
        <v/>
      </c>
    </row>
    <row r="1136">
      <c r="B1136" s="25" t="n"/>
      <c r="I1136" s="25" t="n"/>
      <c r="U1136" s="19">
        <f>IF($V1136&lt;&gt;'設定'!$C$4,N(U1135),IF(OR(NOT(COUNTIF('商品マスタ'!$B$6:$B$1005,$W1136)=0),COUNTIFS('①在庫を貼る'!$V$6:$V$10005,$V1136,'①在庫を貼る'!$W$6:$W$10005,$W1136)+COUNTIFS('月1回_1ヶ月前の在庫'!$V$6:$V$10005,$V1136,'月1回_1ヶ月前の在庫'!$W$6:$W$10005,$W1136)&gt;0),N(U1135),N(U1135)+1))</f>
        <v/>
      </c>
      <c r="V1136" s="19">
        <f>IF($B1136="","",TEXT($B1136,"0000"))</f>
        <v/>
      </c>
      <c r="W1136" s="19">
        <f>IF($I1136="","",IF(ISNUMBER($I1136),TEXT($I1136,"0"),$I1136))</f>
        <v/>
      </c>
    </row>
    <row r="1137">
      <c r="B1137" s="25" t="n"/>
      <c r="I1137" s="25" t="n"/>
      <c r="U1137" s="19">
        <f>IF($V1137&lt;&gt;'設定'!$C$4,N(U1136),IF(OR(NOT(COUNTIF('商品マスタ'!$B$6:$B$1005,$W1137)=0),COUNTIFS('①在庫を貼る'!$V$6:$V$10005,$V1137,'①在庫を貼る'!$W$6:$W$10005,$W1137)+COUNTIFS('月1回_1ヶ月前の在庫'!$V$6:$V$10005,$V1137,'月1回_1ヶ月前の在庫'!$W$6:$W$10005,$W1137)&gt;0),N(U1136),N(U1136)+1))</f>
        <v/>
      </c>
      <c r="V1137" s="19">
        <f>IF($B1137="","",TEXT($B1137,"0000"))</f>
        <v/>
      </c>
      <c r="W1137" s="19">
        <f>IF($I1137="","",IF(ISNUMBER($I1137),TEXT($I1137,"0"),$I1137))</f>
        <v/>
      </c>
    </row>
    <row r="1138">
      <c r="B1138" s="25" t="n"/>
      <c r="I1138" s="25" t="n"/>
      <c r="U1138" s="19">
        <f>IF($V1138&lt;&gt;'設定'!$C$4,N(U1137),IF(OR(NOT(COUNTIF('商品マスタ'!$B$6:$B$1005,$W1138)=0),COUNTIFS('①在庫を貼る'!$V$6:$V$10005,$V1138,'①在庫を貼る'!$W$6:$W$10005,$W1138)+COUNTIFS('月1回_1ヶ月前の在庫'!$V$6:$V$10005,$V1138,'月1回_1ヶ月前の在庫'!$W$6:$W$10005,$W1138)&gt;0),N(U1137),N(U1137)+1))</f>
        <v/>
      </c>
      <c r="V1138" s="19">
        <f>IF($B1138="","",TEXT($B1138,"0000"))</f>
        <v/>
      </c>
      <c r="W1138" s="19">
        <f>IF($I1138="","",IF(ISNUMBER($I1138),TEXT($I1138,"0"),$I1138))</f>
        <v/>
      </c>
    </row>
    <row r="1139">
      <c r="B1139" s="25" t="n"/>
      <c r="I1139" s="25" t="n"/>
      <c r="U1139" s="19">
        <f>IF($V1139&lt;&gt;'設定'!$C$4,N(U1138),IF(OR(NOT(COUNTIF('商品マスタ'!$B$6:$B$1005,$W1139)=0),COUNTIFS('①在庫を貼る'!$V$6:$V$10005,$V1139,'①在庫を貼る'!$W$6:$W$10005,$W1139)+COUNTIFS('月1回_1ヶ月前の在庫'!$V$6:$V$10005,$V1139,'月1回_1ヶ月前の在庫'!$W$6:$W$10005,$W1139)&gt;0),N(U1138),N(U1138)+1))</f>
        <v/>
      </c>
      <c r="V1139" s="19">
        <f>IF($B1139="","",TEXT($B1139,"0000"))</f>
        <v/>
      </c>
      <c r="W1139" s="19">
        <f>IF($I1139="","",IF(ISNUMBER($I1139),TEXT($I1139,"0"),$I1139))</f>
        <v/>
      </c>
    </row>
    <row r="1140">
      <c r="B1140" s="25" t="n"/>
      <c r="I1140" s="25" t="n"/>
      <c r="U1140" s="19">
        <f>IF($V1140&lt;&gt;'設定'!$C$4,N(U1139),IF(OR(NOT(COUNTIF('商品マスタ'!$B$6:$B$1005,$W1140)=0),COUNTIFS('①在庫を貼る'!$V$6:$V$10005,$V1140,'①在庫を貼る'!$W$6:$W$10005,$W1140)+COUNTIFS('月1回_1ヶ月前の在庫'!$V$6:$V$10005,$V1140,'月1回_1ヶ月前の在庫'!$W$6:$W$10005,$W1140)&gt;0),N(U1139),N(U1139)+1))</f>
        <v/>
      </c>
      <c r="V1140" s="19">
        <f>IF($B1140="","",TEXT($B1140,"0000"))</f>
        <v/>
      </c>
      <c r="W1140" s="19">
        <f>IF($I1140="","",IF(ISNUMBER($I1140),TEXT($I1140,"0"),$I1140))</f>
        <v/>
      </c>
    </row>
    <row r="1141">
      <c r="B1141" s="25" t="n"/>
      <c r="I1141" s="25" t="n"/>
      <c r="U1141" s="19">
        <f>IF($V1141&lt;&gt;'設定'!$C$4,N(U1140),IF(OR(NOT(COUNTIF('商品マスタ'!$B$6:$B$1005,$W1141)=0),COUNTIFS('①在庫を貼る'!$V$6:$V$10005,$V1141,'①在庫を貼る'!$W$6:$W$10005,$W1141)+COUNTIFS('月1回_1ヶ月前の在庫'!$V$6:$V$10005,$V1141,'月1回_1ヶ月前の在庫'!$W$6:$W$10005,$W1141)&gt;0),N(U1140),N(U1140)+1))</f>
        <v/>
      </c>
      <c r="V1141" s="19">
        <f>IF($B1141="","",TEXT($B1141,"0000"))</f>
        <v/>
      </c>
      <c r="W1141" s="19">
        <f>IF($I1141="","",IF(ISNUMBER($I1141),TEXT($I1141,"0"),$I1141))</f>
        <v/>
      </c>
    </row>
    <row r="1142">
      <c r="B1142" s="25" t="n"/>
      <c r="I1142" s="25" t="n"/>
      <c r="U1142" s="19">
        <f>IF($V1142&lt;&gt;'設定'!$C$4,N(U1141),IF(OR(NOT(COUNTIF('商品マスタ'!$B$6:$B$1005,$W1142)=0),COUNTIFS('①在庫を貼る'!$V$6:$V$10005,$V1142,'①在庫を貼る'!$W$6:$W$10005,$W1142)+COUNTIFS('月1回_1ヶ月前の在庫'!$V$6:$V$10005,$V1142,'月1回_1ヶ月前の在庫'!$W$6:$W$10005,$W1142)&gt;0),N(U1141),N(U1141)+1))</f>
        <v/>
      </c>
      <c r="V1142" s="19">
        <f>IF($B1142="","",TEXT($B1142,"0000"))</f>
        <v/>
      </c>
      <c r="W1142" s="19">
        <f>IF($I1142="","",IF(ISNUMBER($I1142),TEXT($I1142,"0"),$I1142))</f>
        <v/>
      </c>
    </row>
    <row r="1143">
      <c r="B1143" s="25" t="n"/>
      <c r="I1143" s="25" t="n"/>
      <c r="U1143" s="19">
        <f>IF($V1143&lt;&gt;'設定'!$C$4,N(U1142),IF(OR(NOT(COUNTIF('商品マスタ'!$B$6:$B$1005,$W1143)=0),COUNTIFS('①在庫を貼る'!$V$6:$V$10005,$V1143,'①在庫を貼る'!$W$6:$W$10005,$W1143)+COUNTIFS('月1回_1ヶ月前の在庫'!$V$6:$V$10005,$V1143,'月1回_1ヶ月前の在庫'!$W$6:$W$10005,$W1143)&gt;0),N(U1142),N(U1142)+1))</f>
        <v/>
      </c>
      <c r="V1143" s="19">
        <f>IF($B1143="","",TEXT($B1143,"0000"))</f>
        <v/>
      </c>
      <c r="W1143" s="19">
        <f>IF($I1143="","",IF(ISNUMBER($I1143),TEXT($I1143,"0"),$I1143))</f>
        <v/>
      </c>
    </row>
    <row r="1144">
      <c r="B1144" s="25" t="n"/>
      <c r="I1144" s="25" t="n"/>
      <c r="U1144" s="19">
        <f>IF($V1144&lt;&gt;'設定'!$C$4,N(U1143),IF(OR(NOT(COUNTIF('商品マスタ'!$B$6:$B$1005,$W1144)=0),COUNTIFS('①在庫を貼る'!$V$6:$V$10005,$V1144,'①在庫を貼る'!$W$6:$W$10005,$W1144)+COUNTIFS('月1回_1ヶ月前の在庫'!$V$6:$V$10005,$V1144,'月1回_1ヶ月前の在庫'!$W$6:$W$10005,$W1144)&gt;0),N(U1143),N(U1143)+1))</f>
        <v/>
      </c>
      <c r="V1144" s="19">
        <f>IF($B1144="","",TEXT($B1144,"0000"))</f>
        <v/>
      </c>
      <c r="W1144" s="19">
        <f>IF($I1144="","",IF(ISNUMBER($I1144),TEXT($I1144,"0"),$I1144))</f>
        <v/>
      </c>
    </row>
    <row r="1145">
      <c r="B1145" s="25" t="n"/>
      <c r="I1145" s="25" t="n"/>
      <c r="U1145" s="19">
        <f>IF($V1145&lt;&gt;'設定'!$C$4,N(U1144),IF(OR(NOT(COUNTIF('商品マスタ'!$B$6:$B$1005,$W1145)=0),COUNTIFS('①在庫を貼る'!$V$6:$V$10005,$V1145,'①在庫を貼る'!$W$6:$W$10005,$W1145)+COUNTIFS('月1回_1ヶ月前の在庫'!$V$6:$V$10005,$V1145,'月1回_1ヶ月前の在庫'!$W$6:$W$10005,$W1145)&gt;0),N(U1144),N(U1144)+1))</f>
        <v/>
      </c>
      <c r="V1145" s="19">
        <f>IF($B1145="","",TEXT($B1145,"0000"))</f>
        <v/>
      </c>
      <c r="W1145" s="19">
        <f>IF($I1145="","",IF(ISNUMBER($I1145),TEXT($I1145,"0"),$I1145))</f>
        <v/>
      </c>
    </row>
    <row r="1146">
      <c r="B1146" s="25" t="n"/>
      <c r="I1146" s="25" t="n"/>
      <c r="U1146" s="19">
        <f>IF($V1146&lt;&gt;'設定'!$C$4,N(U1145),IF(OR(NOT(COUNTIF('商品マスタ'!$B$6:$B$1005,$W1146)=0),COUNTIFS('①在庫を貼る'!$V$6:$V$10005,$V1146,'①在庫を貼る'!$W$6:$W$10005,$W1146)+COUNTIFS('月1回_1ヶ月前の在庫'!$V$6:$V$10005,$V1146,'月1回_1ヶ月前の在庫'!$W$6:$W$10005,$W1146)&gt;0),N(U1145),N(U1145)+1))</f>
        <v/>
      </c>
      <c r="V1146" s="19">
        <f>IF($B1146="","",TEXT($B1146,"0000"))</f>
        <v/>
      </c>
      <c r="W1146" s="19">
        <f>IF($I1146="","",IF(ISNUMBER($I1146),TEXT($I1146,"0"),$I1146))</f>
        <v/>
      </c>
    </row>
    <row r="1147">
      <c r="B1147" s="25" t="n"/>
      <c r="I1147" s="25" t="n"/>
      <c r="U1147" s="19">
        <f>IF($V1147&lt;&gt;'設定'!$C$4,N(U1146),IF(OR(NOT(COUNTIF('商品マスタ'!$B$6:$B$1005,$W1147)=0),COUNTIFS('①在庫を貼る'!$V$6:$V$10005,$V1147,'①在庫を貼る'!$W$6:$W$10005,$W1147)+COUNTIFS('月1回_1ヶ月前の在庫'!$V$6:$V$10005,$V1147,'月1回_1ヶ月前の在庫'!$W$6:$W$10005,$W1147)&gt;0),N(U1146),N(U1146)+1))</f>
        <v/>
      </c>
      <c r="V1147" s="19">
        <f>IF($B1147="","",TEXT($B1147,"0000"))</f>
        <v/>
      </c>
      <c r="W1147" s="19">
        <f>IF($I1147="","",IF(ISNUMBER($I1147),TEXT($I1147,"0"),$I1147))</f>
        <v/>
      </c>
    </row>
    <row r="1148">
      <c r="B1148" s="25" t="n"/>
      <c r="I1148" s="25" t="n"/>
      <c r="U1148" s="19">
        <f>IF($V1148&lt;&gt;'設定'!$C$4,N(U1147),IF(OR(NOT(COUNTIF('商品マスタ'!$B$6:$B$1005,$W1148)=0),COUNTIFS('①在庫を貼る'!$V$6:$V$10005,$V1148,'①在庫を貼る'!$W$6:$W$10005,$W1148)+COUNTIFS('月1回_1ヶ月前の在庫'!$V$6:$V$10005,$V1148,'月1回_1ヶ月前の在庫'!$W$6:$W$10005,$W1148)&gt;0),N(U1147),N(U1147)+1))</f>
        <v/>
      </c>
      <c r="V1148" s="19">
        <f>IF($B1148="","",TEXT($B1148,"0000"))</f>
        <v/>
      </c>
      <c r="W1148" s="19">
        <f>IF($I1148="","",IF(ISNUMBER($I1148),TEXT($I1148,"0"),$I1148))</f>
        <v/>
      </c>
    </row>
    <row r="1149">
      <c r="B1149" s="25" t="n"/>
      <c r="I1149" s="25" t="n"/>
      <c r="U1149" s="19">
        <f>IF($V1149&lt;&gt;'設定'!$C$4,N(U1148),IF(OR(NOT(COUNTIF('商品マスタ'!$B$6:$B$1005,$W1149)=0),COUNTIFS('①在庫を貼る'!$V$6:$V$10005,$V1149,'①在庫を貼る'!$W$6:$W$10005,$W1149)+COUNTIFS('月1回_1ヶ月前の在庫'!$V$6:$V$10005,$V1149,'月1回_1ヶ月前の在庫'!$W$6:$W$10005,$W1149)&gt;0),N(U1148),N(U1148)+1))</f>
        <v/>
      </c>
      <c r="V1149" s="19">
        <f>IF($B1149="","",TEXT($B1149,"0000"))</f>
        <v/>
      </c>
      <c r="W1149" s="19">
        <f>IF($I1149="","",IF(ISNUMBER($I1149),TEXT($I1149,"0"),$I1149))</f>
        <v/>
      </c>
    </row>
    <row r="1150">
      <c r="B1150" s="25" t="n"/>
      <c r="I1150" s="25" t="n"/>
      <c r="U1150" s="19">
        <f>IF($V1150&lt;&gt;'設定'!$C$4,N(U1149),IF(OR(NOT(COUNTIF('商品マスタ'!$B$6:$B$1005,$W1150)=0),COUNTIFS('①在庫を貼る'!$V$6:$V$10005,$V1150,'①在庫を貼る'!$W$6:$W$10005,$W1150)+COUNTIFS('月1回_1ヶ月前の在庫'!$V$6:$V$10005,$V1150,'月1回_1ヶ月前の在庫'!$W$6:$W$10005,$W1150)&gt;0),N(U1149),N(U1149)+1))</f>
        <v/>
      </c>
      <c r="V1150" s="19">
        <f>IF($B1150="","",TEXT($B1150,"0000"))</f>
        <v/>
      </c>
      <c r="W1150" s="19">
        <f>IF($I1150="","",IF(ISNUMBER($I1150),TEXT($I1150,"0"),$I1150))</f>
        <v/>
      </c>
    </row>
    <row r="1151">
      <c r="B1151" s="25" t="n"/>
      <c r="I1151" s="25" t="n"/>
      <c r="U1151" s="19">
        <f>IF($V1151&lt;&gt;'設定'!$C$4,N(U1150),IF(OR(NOT(COUNTIF('商品マスタ'!$B$6:$B$1005,$W1151)=0),COUNTIFS('①在庫を貼る'!$V$6:$V$10005,$V1151,'①在庫を貼る'!$W$6:$W$10005,$W1151)+COUNTIFS('月1回_1ヶ月前の在庫'!$V$6:$V$10005,$V1151,'月1回_1ヶ月前の在庫'!$W$6:$W$10005,$W1151)&gt;0),N(U1150),N(U1150)+1))</f>
        <v/>
      </c>
      <c r="V1151" s="19">
        <f>IF($B1151="","",TEXT($B1151,"0000"))</f>
        <v/>
      </c>
      <c r="W1151" s="19">
        <f>IF($I1151="","",IF(ISNUMBER($I1151),TEXT($I1151,"0"),$I1151))</f>
        <v/>
      </c>
    </row>
    <row r="1152">
      <c r="B1152" s="25" t="n"/>
      <c r="I1152" s="25" t="n"/>
      <c r="U1152" s="19">
        <f>IF($V1152&lt;&gt;'設定'!$C$4,N(U1151),IF(OR(NOT(COUNTIF('商品マスタ'!$B$6:$B$1005,$W1152)=0),COUNTIFS('①在庫を貼る'!$V$6:$V$10005,$V1152,'①在庫を貼る'!$W$6:$W$10005,$W1152)+COUNTIFS('月1回_1ヶ月前の在庫'!$V$6:$V$10005,$V1152,'月1回_1ヶ月前の在庫'!$W$6:$W$10005,$W1152)&gt;0),N(U1151),N(U1151)+1))</f>
        <v/>
      </c>
      <c r="V1152" s="19">
        <f>IF($B1152="","",TEXT($B1152,"0000"))</f>
        <v/>
      </c>
      <c r="W1152" s="19">
        <f>IF($I1152="","",IF(ISNUMBER($I1152),TEXT($I1152,"0"),$I1152))</f>
        <v/>
      </c>
    </row>
    <row r="1153">
      <c r="B1153" s="25" t="n"/>
      <c r="I1153" s="25" t="n"/>
      <c r="U1153" s="19">
        <f>IF($V1153&lt;&gt;'設定'!$C$4,N(U1152),IF(OR(NOT(COUNTIF('商品マスタ'!$B$6:$B$1005,$W1153)=0),COUNTIFS('①在庫を貼る'!$V$6:$V$10005,$V1153,'①在庫を貼る'!$W$6:$W$10005,$W1153)+COUNTIFS('月1回_1ヶ月前の在庫'!$V$6:$V$10005,$V1153,'月1回_1ヶ月前の在庫'!$W$6:$W$10005,$W1153)&gt;0),N(U1152),N(U1152)+1))</f>
        <v/>
      </c>
      <c r="V1153" s="19">
        <f>IF($B1153="","",TEXT($B1153,"0000"))</f>
        <v/>
      </c>
      <c r="W1153" s="19">
        <f>IF($I1153="","",IF(ISNUMBER($I1153),TEXT($I1153,"0"),$I1153))</f>
        <v/>
      </c>
    </row>
    <row r="1154">
      <c r="B1154" s="25" t="n"/>
      <c r="I1154" s="25" t="n"/>
      <c r="U1154" s="19">
        <f>IF($V1154&lt;&gt;'設定'!$C$4,N(U1153),IF(OR(NOT(COUNTIF('商品マスタ'!$B$6:$B$1005,$W1154)=0),COUNTIFS('①在庫を貼る'!$V$6:$V$10005,$V1154,'①在庫を貼る'!$W$6:$W$10005,$W1154)+COUNTIFS('月1回_1ヶ月前の在庫'!$V$6:$V$10005,$V1154,'月1回_1ヶ月前の在庫'!$W$6:$W$10005,$W1154)&gt;0),N(U1153),N(U1153)+1))</f>
        <v/>
      </c>
      <c r="V1154" s="19">
        <f>IF($B1154="","",TEXT($B1154,"0000"))</f>
        <v/>
      </c>
      <c r="W1154" s="19">
        <f>IF($I1154="","",IF(ISNUMBER($I1154),TEXT($I1154,"0"),$I1154))</f>
        <v/>
      </c>
    </row>
    <row r="1155">
      <c r="B1155" s="25" t="n"/>
      <c r="I1155" s="25" t="n"/>
      <c r="U1155" s="19">
        <f>IF($V1155&lt;&gt;'設定'!$C$4,N(U1154),IF(OR(NOT(COUNTIF('商品マスタ'!$B$6:$B$1005,$W1155)=0),COUNTIFS('①在庫を貼る'!$V$6:$V$10005,$V1155,'①在庫を貼る'!$W$6:$W$10005,$W1155)+COUNTIFS('月1回_1ヶ月前の在庫'!$V$6:$V$10005,$V1155,'月1回_1ヶ月前の在庫'!$W$6:$W$10005,$W1155)&gt;0),N(U1154),N(U1154)+1))</f>
        <v/>
      </c>
      <c r="V1155" s="19">
        <f>IF($B1155="","",TEXT($B1155,"0000"))</f>
        <v/>
      </c>
      <c r="W1155" s="19">
        <f>IF($I1155="","",IF(ISNUMBER($I1155),TEXT($I1155,"0"),$I1155))</f>
        <v/>
      </c>
    </row>
    <row r="1156">
      <c r="B1156" s="25" t="n"/>
      <c r="I1156" s="25" t="n"/>
      <c r="U1156" s="19">
        <f>IF($V1156&lt;&gt;'設定'!$C$4,N(U1155),IF(OR(NOT(COUNTIF('商品マスタ'!$B$6:$B$1005,$W1156)=0),COUNTIFS('①在庫を貼る'!$V$6:$V$10005,$V1156,'①在庫を貼る'!$W$6:$W$10005,$W1156)+COUNTIFS('月1回_1ヶ月前の在庫'!$V$6:$V$10005,$V1156,'月1回_1ヶ月前の在庫'!$W$6:$W$10005,$W1156)&gt;0),N(U1155),N(U1155)+1))</f>
        <v/>
      </c>
      <c r="V1156" s="19">
        <f>IF($B1156="","",TEXT($B1156,"0000"))</f>
        <v/>
      </c>
      <c r="W1156" s="19">
        <f>IF($I1156="","",IF(ISNUMBER($I1156),TEXT($I1156,"0"),$I1156))</f>
        <v/>
      </c>
    </row>
    <row r="1157">
      <c r="B1157" s="25" t="n"/>
      <c r="I1157" s="25" t="n"/>
      <c r="U1157" s="19">
        <f>IF($V1157&lt;&gt;'設定'!$C$4,N(U1156),IF(OR(NOT(COUNTIF('商品マスタ'!$B$6:$B$1005,$W1157)=0),COUNTIFS('①在庫を貼る'!$V$6:$V$10005,$V1157,'①在庫を貼る'!$W$6:$W$10005,$W1157)+COUNTIFS('月1回_1ヶ月前の在庫'!$V$6:$V$10005,$V1157,'月1回_1ヶ月前の在庫'!$W$6:$W$10005,$W1157)&gt;0),N(U1156),N(U1156)+1))</f>
        <v/>
      </c>
      <c r="V1157" s="19">
        <f>IF($B1157="","",TEXT($B1157,"0000"))</f>
        <v/>
      </c>
      <c r="W1157" s="19">
        <f>IF($I1157="","",IF(ISNUMBER($I1157),TEXT($I1157,"0"),$I1157))</f>
        <v/>
      </c>
    </row>
    <row r="1158">
      <c r="B1158" s="25" t="n"/>
      <c r="I1158" s="25" t="n"/>
      <c r="U1158" s="19">
        <f>IF($V1158&lt;&gt;'設定'!$C$4,N(U1157),IF(OR(NOT(COUNTIF('商品マスタ'!$B$6:$B$1005,$W1158)=0),COUNTIFS('①在庫を貼る'!$V$6:$V$10005,$V1158,'①在庫を貼る'!$W$6:$W$10005,$W1158)+COUNTIFS('月1回_1ヶ月前の在庫'!$V$6:$V$10005,$V1158,'月1回_1ヶ月前の在庫'!$W$6:$W$10005,$W1158)&gt;0),N(U1157),N(U1157)+1))</f>
        <v/>
      </c>
      <c r="V1158" s="19">
        <f>IF($B1158="","",TEXT($B1158,"0000"))</f>
        <v/>
      </c>
      <c r="W1158" s="19">
        <f>IF($I1158="","",IF(ISNUMBER($I1158),TEXT($I1158,"0"),$I1158))</f>
        <v/>
      </c>
    </row>
    <row r="1159">
      <c r="B1159" s="25" t="n"/>
      <c r="I1159" s="25" t="n"/>
      <c r="U1159" s="19">
        <f>IF($V1159&lt;&gt;'設定'!$C$4,N(U1158),IF(OR(NOT(COUNTIF('商品マスタ'!$B$6:$B$1005,$W1159)=0),COUNTIFS('①在庫を貼る'!$V$6:$V$10005,$V1159,'①在庫を貼る'!$W$6:$W$10005,$W1159)+COUNTIFS('月1回_1ヶ月前の在庫'!$V$6:$V$10005,$V1159,'月1回_1ヶ月前の在庫'!$W$6:$W$10005,$W1159)&gt;0),N(U1158),N(U1158)+1))</f>
        <v/>
      </c>
      <c r="V1159" s="19">
        <f>IF($B1159="","",TEXT($B1159,"0000"))</f>
        <v/>
      </c>
      <c r="W1159" s="19">
        <f>IF($I1159="","",IF(ISNUMBER($I1159),TEXT($I1159,"0"),$I1159))</f>
        <v/>
      </c>
    </row>
    <row r="1160">
      <c r="B1160" s="25" t="n"/>
      <c r="I1160" s="25" t="n"/>
      <c r="U1160" s="19">
        <f>IF($V1160&lt;&gt;'設定'!$C$4,N(U1159),IF(OR(NOT(COUNTIF('商品マスタ'!$B$6:$B$1005,$W1160)=0),COUNTIFS('①在庫を貼る'!$V$6:$V$10005,$V1160,'①在庫を貼る'!$W$6:$W$10005,$W1160)+COUNTIFS('月1回_1ヶ月前の在庫'!$V$6:$V$10005,$V1160,'月1回_1ヶ月前の在庫'!$W$6:$W$10005,$W1160)&gt;0),N(U1159),N(U1159)+1))</f>
        <v/>
      </c>
      <c r="V1160" s="19">
        <f>IF($B1160="","",TEXT($B1160,"0000"))</f>
        <v/>
      </c>
      <c r="W1160" s="19">
        <f>IF($I1160="","",IF(ISNUMBER($I1160),TEXT($I1160,"0"),$I1160))</f>
        <v/>
      </c>
    </row>
    <row r="1161">
      <c r="B1161" s="25" t="n"/>
      <c r="I1161" s="25" t="n"/>
      <c r="U1161" s="19">
        <f>IF($V1161&lt;&gt;'設定'!$C$4,N(U1160),IF(OR(NOT(COUNTIF('商品マスタ'!$B$6:$B$1005,$W1161)=0),COUNTIFS('①在庫を貼る'!$V$6:$V$10005,$V1161,'①在庫を貼る'!$W$6:$W$10005,$W1161)+COUNTIFS('月1回_1ヶ月前の在庫'!$V$6:$V$10005,$V1161,'月1回_1ヶ月前の在庫'!$W$6:$W$10005,$W1161)&gt;0),N(U1160),N(U1160)+1))</f>
        <v/>
      </c>
      <c r="V1161" s="19">
        <f>IF($B1161="","",TEXT($B1161,"0000"))</f>
        <v/>
      </c>
      <c r="W1161" s="19">
        <f>IF($I1161="","",IF(ISNUMBER($I1161),TEXT($I1161,"0"),$I1161))</f>
        <v/>
      </c>
    </row>
    <row r="1162">
      <c r="B1162" s="25" t="n"/>
      <c r="I1162" s="25" t="n"/>
      <c r="U1162" s="19">
        <f>IF($V1162&lt;&gt;'設定'!$C$4,N(U1161),IF(OR(NOT(COUNTIF('商品マスタ'!$B$6:$B$1005,$W1162)=0),COUNTIFS('①在庫を貼る'!$V$6:$V$10005,$V1162,'①在庫を貼る'!$W$6:$W$10005,$W1162)+COUNTIFS('月1回_1ヶ月前の在庫'!$V$6:$V$10005,$V1162,'月1回_1ヶ月前の在庫'!$W$6:$W$10005,$W1162)&gt;0),N(U1161),N(U1161)+1))</f>
        <v/>
      </c>
      <c r="V1162" s="19">
        <f>IF($B1162="","",TEXT($B1162,"0000"))</f>
        <v/>
      </c>
      <c r="W1162" s="19">
        <f>IF($I1162="","",IF(ISNUMBER($I1162),TEXT($I1162,"0"),$I1162))</f>
        <v/>
      </c>
    </row>
    <row r="1163">
      <c r="B1163" s="25" t="n"/>
      <c r="I1163" s="25" t="n"/>
      <c r="U1163" s="19">
        <f>IF($V1163&lt;&gt;'設定'!$C$4,N(U1162),IF(OR(NOT(COUNTIF('商品マスタ'!$B$6:$B$1005,$W1163)=0),COUNTIFS('①在庫を貼る'!$V$6:$V$10005,$V1163,'①在庫を貼る'!$W$6:$W$10005,$W1163)+COUNTIFS('月1回_1ヶ月前の在庫'!$V$6:$V$10005,$V1163,'月1回_1ヶ月前の在庫'!$W$6:$W$10005,$W1163)&gt;0),N(U1162),N(U1162)+1))</f>
        <v/>
      </c>
      <c r="V1163" s="19">
        <f>IF($B1163="","",TEXT($B1163,"0000"))</f>
        <v/>
      </c>
      <c r="W1163" s="19">
        <f>IF($I1163="","",IF(ISNUMBER($I1163),TEXT($I1163,"0"),$I1163))</f>
        <v/>
      </c>
    </row>
    <row r="1164">
      <c r="B1164" s="25" t="n"/>
      <c r="I1164" s="25" t="n"/>
      <c r="U1164" s="19">
        <f>IF($V1164&lt;&gt;'設定'!$C$4,N(U1163),IF(OR(NOT(COUNTIF('商品マスタ'!$B$6:$B$1005,$W1164)=0),COUNTIFS('①在庫を貼る'!$V$6:$V$10005,$V1164,'①在庫を貼る'!$W$6:$W$10005,$W1164)+COUNTIFS('月1回_1ヶ月前の在庫'!$V$6:$V$10005,$V1164,'月1回_1ヶ月前の在庫'!$W$6:$W$10005,$W1164)&gt;0),N(U1163),N(U1163)+1))</f>
        <v/>
      </c>
      <c r="V1164" s="19">
        <f>IF($B1164="","",TEXT($B1164,"0000"))</f>
        <v/>
      </c>
      <c r="W1164" s="19">
        <f>IF($I1164="","",IF(ISNUMBER($I1164),TEXT($I1164,"0"),$I1164))</f>
        <v/>
      </c>
    </row>
    <row r="1165">
      <c r="B1165" s="25" t="n"/>
      <c r="I1165" s="25" t="n"/>
      <c r="U1165" s="19">
        <f>IF($V1165&lt;&gt;'設定'!$C$4,N(U1164),IF(OR(NOT(COUNTIF('商品マスタ'!$B$6:$B$1005,$W1165)=0),COUNTIFS('①在庫を貼る'!$V$6:$V$10005,$V1165,'①在庫を貼る'!$W$6:$W$10005,$W1165)+COUNTIFS('月1回_1ヶ月前の在庫'!$V$6:$V$10005,$V1165,'月1回_1ヶ月前の在庫'!$W$6:$W$10005,$W1165)&gt;0),N(U1164),N(U1164)+1))</f>
        <v/>
      </c>
      <c r="V1165" s="19">
        <f>IF($B1165="","",TEXT($B1165,"0000"))</f>
        <v/>
      </c>
      <c r="W1165" s="19">
        <f>IF($I1165="","",IF(ISNUMBER($I1165),TEXT($I1165,"0"),$I1165))</f>
        <v/>
      </c>
    </row>
    <row r="1166">
      <c r="B1166" s="25" t="n"/>
      <c r="I1166" s="25" t="n"/>
      <c r="U1166" s="19">
        <f>IF($V1166&lt;&gt;'設定'!$C$4,N(U1165),IF(OR(NOT(COUNTIF('商品マスタ'!$B$6:$B$1005,$W1166)=0),COUNTIFS('①在庫を貼る'!$V$6:$V$10005,$V1166,'①在庫を貼る'!$W$6:$W$10005,$W1166)+COUNTIFS('月1回_1ヶ月前の在庫'!$V$6:$V$10005,$V1166,'月1回_1ヶ月前の在庫'!$W$6:$W$10005,$W1166)&gt;0),N(U1165),N(U1165)+1))</f>
        <v/>
      </c>
      <c r="V1166" s="19">
        <f>IF($B1166="","",TEXT($B1166,"0000"))</f>
        <v/>
      </c>
      <c r="W1166" s="19">
        <f>IF($I1166="","",IF(ISNUMBER($I1166),TEXT($I1166,"0"),$I1166))</f>
        <v/>
      </c>
    </row>
    <row r="1167">
      <c r="B1167" s="25" t="n"/>
      <c r="I1167" s="25" t="n"/>
      <c r="U1167" s="19">
        <f>IF($V1167&lt;&gt;'設定'!$C$4,N(U1166),IF(OR(NOT(COUNTIF('商品マスタ'!$B$6:$B$1005,$W1167)=0),COUNTIFS('①在庫を貼る'!$V$6:$V$10005,$V1167,'①在庫を貼る'!$W$6:$W$10005,$W1167)+COUNTIFS('月1回_1ヶ月前の在庫'!$V$6:$V$10005,$V1167,'月1回_1ヶ月前の在庫'!$W$6:$W$10005,$W1167)&gt;0),N(U1166),N(U1166)+1))</f>
        <v/>
      </c>
      <c r="V1167" s="19">
        <f>IF($B1167="","",TEXT($B1167,"0000"))</f>
        <v/>
      </c>
      <c r="W1167" s="19">
        <f>IF($I1167="","",IF(ISNUMBER($I1167),TEXT($I1167,"0"),$I1167))</f>
        <v/>
      </c>
    </row>
    <row r="1168">
      <c r="B1168" s="25" t="n"/>
      <c r="I1168" s="25" t="n"/>
      <c r="U1168" s="19">
        <f>IF($V1168&lt;&gt;'設定'!$C$4,N(U1167),IF(OR(NOT(COUNTIF('商品マスタ'!$B$6:$B$1005,$W1168)=0),COUNTIFS('①在庫を貼る'!$V$6:$V$10005,$V1168,'①在庫を貼る'!$W$6:$W$10005,$W1168)+COUNTIFS('月1回_1ヶ月前の在庫'!$V$6:$V$10005,$V1168,'月1回_1ヶ月前の在庫'!$W$6:$W$10005,$W1168)&gt;0),N(U1167),N(U1167)+1))</f>
        <v/>
      </c>
      <c r="V1168" s="19">
        <f>IF($B1168="","",TEXT($B1168,"0000"))</f>
        <v/>
      </c>
      <c r="W1168" s="19">
        <f>IF($I1168="","",IF(ISNUMBER($I1168),TEXT($I1168,"0"),$I1168))</f>
        <v/>
      </c>
    </row>
    <row r="1169">
      <c r="B1169" s="25" t="n"/>
      <c r="I1169" s="25" t="n"/>
      <c r="U1169" s="19">
        <f>IF($V1169&lt;&gt;'設定'!$C$4,N(U1168),IF(OR(NOT(COUNTIF('商品マスタ'!$B$6:$B$1005,$W1169)=0),COUNTIFS('①在庫を貼る'!$V$6:$V$10005,$V1169,'①在庫を貼る'!$W$6:$W$10005,$W1169)+COUNTIFS('月1回_1ヶ月前の在庫'!$V$6:$V$10005,$V1169,'月1回_1ヶ月前の在庫'!$W$6:$W$10005,$W1169)&gt;0),N(U1168),N(U1168)+1))</f>
        <v/>
      </c>
      <c r="V1169" s="19">
        <f>IF($B1169="","",TEXT($B1169,"0000"))</f>
        <v/>
      </c>
      <c r="W1169" s="19">
        <f>IF($I1169="","",IF(ISNUMBER($I1169),TEXT($I1169,"0"),$I1169))</f>
        <v/>
      </c>
    </row>
    <row r="1170">
      <c r="B1170" s="25" t="n"/>
      <c r="I1170" s="25" t="n"/>
      <c r="U1170" s="19">
        <f>IF($V1170&lt;&gt;'設定'!$C$4,N(U1169),IF(OR(NOT(COUNTIF('商品マスタ'!$B$6:$B$1005,$W1170)=0),COUNTIFS('①在庫を貼る'!$V$6:$V$10005,$V1170,'①在庫を貼る'!$W$6:$W$10005,$W1170)+COUNTIFS('月1回_1ヶ月前の在庫'!$V$6:$V$10005,$V1170,'月1回_1ヶ月前の在庫'!$W$6:$W$10005,$W1170)&gt;0),N(U1169),N(U1169)+1))</f>
        <v/>
      </c>
      <c r="V1170" s="19">
        <f>IF($B1170="","",TEXT($B1170,"0000"))</f>
        <v/>
      </c>
      <c r="W1170" s="19">
        <f>IF($I1170="","",IF(ISNUMBER($I1170),TEXT($I1170,"0"),$I1170))</f>
        <v/>
      </c>
    </row>
    <row r="1171">
      <c r="B1171" s="25" t="n"/>
      <c r="I1171" s="25" t="n"/>
      <c r="U1171" s="19">
        <f>IF($V1171&lt;&gt;'設定'!$C$4,N(U1170),IF(OR(NOT(COUNTIF('商品マスタ'!$B$6:$B$1005,$W1171)=0),COUNTIFS('①在庫を貼る'!$V$6:$V$10005,$V1171,'①在庫を貼る'!$W$6:$W$10005,$W1171)+COUNTIFS('月1回_1ヶ月前の在庫'!$V$6:$V$10005,$V1171,'月1回_1ヶ月前の在庫'!$W$6:$W$10005,$W1171)&gt;0),N(U1170),N(U1170)+1))</f>
        <v/>
      </c>
      <c r="V1171" s="19">
        <f>IF($B1171="","",TEXT($B1171,"0000"))</f>
        <v/>
      </c>
      <c r="W1171" s="19">
        <f>IF($I1171="","",IF(ISNUMBER($I1171),TEXT($I1171,"0"),$I1171))</f>
        <v/>
      </c>
    </row>
    <row r="1172">
      <c r="B1172" s="25" t="n"/>
      <c r="I1172" s="25" t="n"/>
      <c r="U1172" s="19">
        <f>IF($V1172&lt;&gt;'設定'!$C$4,N(U1171),IF(OR(NOT(COUNTIF('商品マスタ'!$B$6:$B$1005,$W1172)=0),COUNTIFS('①在庫を貼る'!$V$6:$V$10005,$V1172,'①在庫を貼る'!$W$6:$W$10005,$W1172)+COUNTIFS('月1回_1ヶ月前の在庫'!$V$6:$V$10005,$V1172,'月1回_1ヶ月前の在庫'!$W$6:$W$10005,$W1172)&gt;0),N(U1171),N(U1171)+1))</f>
        <v/>
      </c>
      <c r="V1172" s="19">
        <f>IF($B1172="","",TEXT($B1172,"0000"))</f>
        <v/>
      </c>
      <c r="W1172" s="19">
        <f>IF($I1172="","",IF(ISNUMBER($I1172),TEXT($I1172,"0"),$I1172))</f>
        <v/>
      </c>
    </row>
    <row r="1173">
      <c r="B1173" s="25" t="n"/>
      <c r="I1173" s="25" t="n"/>
      <c r="U1173" s="19">
        <f>IF($V1173&lt;&gt;'設定'!$C$4,N(U1172),IF(OR(NOT(COUNTIF('商品マスタ'!$B$6:$B$1005,$W1173)=0),COUNTIFS('①在庫を貼る'!$V$6:$V$10005,$V1173,'①在庫を貼る'!$W$6:$W$10005,$W1173)+COUNTIFS('月1回_1ヶ月前の在庫'!$V$6:$V$10005,$V1173,'月1回_1ヶ月前の在庫'!$W$6:$W$10005,$W1173)&gt;0),N(U1172),N(U1172)+1))</f>
        <v/>
      </c>
      <c r="V1173" s="19">
        <f>IF($B1173="","",TEXT($B1173,"0000"))</f>
        <v/>
      </c>
      <c r="W1173" s="19">
        <f>IF($I1173="","",IF(ISNUMBER($I1173),TEXT($I1173,"0"),$I1173))</f>
        <v/>
      </c>
    </row>
    <row r="1174">
      <c r="B1174" s="25" t="n"/>
      <c r="I1174" s="25" t="n"/>
      <c r="U1174" s="19">
        <f>IF($V1174&lt;&gt;'設定'!$C$4,N(U1173),IF(OR(NOT(COUNTIF('商品マスタ'!$B$6:$B$1005,$W1174)=0),COUNTIFS('①在庫を貼る'!$V$6:$V$10005,$V1174,'①在庫を貼る'!$W$6:$W$10005,$W1174)+COUNTIFS('月1回_1ヶ月前の在庫'!$V$6:$V$10005,$V1174,'月1回_1ヶ月前の在庫'!$W$6:$W$10005,$W1174)&gt;0),N(U1173),N(U1173)+1))</f>
        <v/>
      </c>
      <c r="V1174" s="19">
        <f>IF($B1174="","",TEXT($B1174,"0000"))</f>
        <v/>
      </c>
      <c r="W1174" s="19">
        <f>IF($I1174="","",IF(ISNUMBER($I1174),TEXT($I1174,"0"),$I1174))</f>
        <v/>
      </c>
    </row>
    <row r="1175">
      <c r="B1175" s="25" t="n"/>
      <c r="I1175" s="25" t="n"/>
      <c r="U1175" s="19">
        <f>IF($V1175&lt;&gt;'設定'!$C$4,N(U1174),IF(OR(NOT(COUNTIF('商品マスタ'!$B$6:$B$1005,$W1175)=0),COUNTIFS('①在庫を貼る'!$V$6:$V$10005,$V1175,'①在庫を貼る'!$W$6:$W$10005,$W1175)+COUNTIFS('月1回_1ヶ月前の在庫'!$V$6:$V$10005,$V1175,'月1回_1ヶ月前の在庫'!$W$6:$W$10005,$W1175)&gt;0),N(U1174),N(U1174)+1))</f>
        <v/>
      </c>
      <c r="V1175" s="19">
        <f>IF($B1175="","",TEXT($B1175,"0000"))</f>
        <v/>
      </c>
      <c r="W1175" s="19">
        <f>IF($I1175="","",IF(ISNUMBER($I1175),TEXT($I1175,"0"),$I1175))</f>
        <v/>
      </c>
    </row>
    <row r="1176">
      <c r="B1176" s="25" t="n"/>
      <c r="I1176" s="25" t="n"/>
      <c r="U1176" s="19">
        <f>IF($V1176&lt;&gt;'設定'!$C$4,N(U1175),IF(OR(NOT(COUNTIF('商品マスタ'!$B$6:$B$1005,$W1176)=0),COUNTIFS('①在庫を貼る'!$V$6:$V$10005,$V1176,'①在庫を貼る'!$W$6:$W$10005,$W1176)+COUNTIFS('月1回_1ヶ月前の在庫'!$V$6:$V$10005,$V1176,'月1回_1ヶ月前の在庫'!$W$6:$W$10005,$W1176)&gt;0),N(U1175),N(U1175)+1))</f>
        <v/>
      </c>
      <c r="V1176" s="19">
        <f>IF($B1176="","",TEXT($B1176,"0000"))</f>
        <v/>
      </c>
      <c r="W1176" s="19">
        <f>IF($I1176="","",IF(ISNUMBER($I1176),TEXT($I1176,"0"),$I1176))</f>
        <v/>
      </c>
    </row>
    <row r="1177">
      <c r="B1177" s="25" t="n"/>
      <c r="I1177" s="25" t="n"/>
      <c r="U1177" s="19">
        <f>IF($V1177&lt;&gt;'設定'!$C$4,N(U1176),IF(OR(NOT(COUNTIF('商品マスタ'!$B$6:$B$1005,$W1177)=0),COUNTIFS('①在庫を貼る'!$V$6:$V$10005,$V1177,'①在庫を貼る'!$W$6:$W$10005,$W1177)+COUNTIFS('月1回_1ヶ月前の在庫'!$V$6:$V$10005,$V1177,'月1回_1ヶ月前の在庫'!$W$6:$W$10005,$W1177)&gt;0),N(U1176),N(U1176)+1))</f>
        <v/>
      </c>
      <c r="V1177" s="19">
        <f>IF($B1177="","",TEXT($B1177,"0000"))</f>
        <v/>
      </c>
      <c r="W1177" s="19">
        <f>IF($I1177="","",IF(ISNUMBER($I1177),TEXT($I1177,"0"),$I1177))</f>
        <v/>
      </c>
    </row>
    <row r="1178">
      <c r="B1178" s="25" t="n"/>
      <c r="I1178" s="25" t="n"/>
      <c r="U1178" s="19">
        <f>IF($V1178&lt;&gt;'設定'!$C$4,N(U1177),IF(OR(NOT(COUNTIF('商品マスタ'!$B$6:$B$1005,$W1178)=0),COUNTIFS('①在庫を貼る'!$V$6:$V$10005,$V1178,'①在庫を貼る'!$W$6:$W$10005,$W1178)+COUNTIFS('月1回_1ヶ月前の在庫'!$V$6:$V$10005,$V1178,'月1回_1ヶ月前の在庫'!$W$6:$W$10005,$W1178)&gt;0),N(U1177),N(U1177)+1))</f>
        <v/>
      </c>
      <c r="V1178" s="19">
        <f>IF($B1178="","",TEXT($B1178,"0000"))</f>
        <v/>
      </c>
      <c r="W1178" s="19">
        <f>IF($I1178="","",IF(ISNUMBER($I1178),TEXT($I1178,"0"),$I1178))</f>
        <v/>
      </c>
    </row>
    <row r="1179">
      <c r="B1179" s="25" t="n"/>
      <c r="I1179" s="25" t="n"/>
      <c r="U1179" s="19">
        <f>IF($V1179&lt;&gt;'設定'!$C$4,N(U1178),IF(OR(NOT(COUNTIF('商品マスタ'!$B$6:$B$1005,$W1179)=0),COUNTIFS('①在庫を貼る'!$V$6:$V$10005,$V1179,'①在庫を貼る'!$W$6:$W$10005,$W1179)+COUNTIFS('月1回_1ヶ月前の在庫'!$V$6:$V$10005,$V1179,'月1回_1ヶ月前の在庫'!$W$6:$W$10005,$W1179)&gt;0),N(U1178),N(U1178)+1))</f>
        <v/>
      </c>
      <c r="V1179" s="19">
        <f>IF($B1179="","",TEXT($B1179,"0000"))</f>
        <v/>
      </c>
      <c r="W1179" s="19">
        <f>IF($I1179="","",IF(ISNUMBER($I1179),TEXT($I1179,"0"),$I1179))</f>
        <v/>
      </c>
    </row>
    <row r="1180">
      <c r="B1180" s="25" t="n"/>
      <c r="I1180" s="25" t="n"/>
      <c r="U1180" s="19">
        <f>IF($V1180&lt;&gt;'設定'!$C$4,N(U1179),IF(OR(NOT(COUNTIF('商品マスタ'!$B$6:$B$1005,$W1180)=0),COUNTIFS('①在庫を貼る'!$V$6:$V$10005,$V1180,'①在庫を貼る'!$W$6:$W$10005,$W1180)+COUNTIFS('月1回_1ヶ月前の在庫'!$V$6:$V$10005,$V1180,'月1回_1ヶ月前の在庫'!$W$6:$W$10005,$W1180)&gt;0),N(U1179),N(U1179)+1))</f>
        <v/>
      </c>
      <c r="V1180" s="19">
        <f>IF($B1180="","",TEXT($B1180,"0000"))</f>
        <v/>
      </c>
      <c r="W1180" s="19">
        <f>IF($I1180="","",IF(ISNUMBER($I1180),TEXT($I1180,"0"),$I1180))</f>
        <v/>
      </c>
    </row>
    <row r="1181">
      <c r="B1181" s="25" t="n"/>
      <c r="I1181" s="25" t="n"/>
      <c r="U1181" s="19">
        <f>IF($V1181&lt;&gt;'設定'!$C$4,N(U1180),IF(OR(NOT(COUNTIF('商品マスタ'!$B$6:$B$1005,$W1181)=0),COUNTIFS('①在庫を貼る'!$V$6:$V$10005,$V1181,'①在庫を貼る'!$W$6:$W$10005,$W1181)+COUNTIFS('月1回_1ヶ月前の在庫'!$V$6:$V$10005,$V1181,'月1回_1ヶ月前の在庫'!$W$6:$W$10005,$W1181)&gt;0),N(U1180),N(U1180)+1))</f>
        <v/>
      </c>
      <c r="V1181" s="19">
        <f>IF($B1181="","",TEXT($B1181,"0000"))</f>
        <v/>
      </c>
      <c r="W1181" s="19">
        <f>IF($I1181="","",IF(ISNUMBER($I1181),TEXT($I1181,"0"),$I1181))</f>
        <v/>
      </c>
    </row>
    <row r="1182">
      <c r="B1182" s="25" t="n"/>
      <c r="I1182" s="25" t="n"/>
      <c r="U1182" s="19">
        <f>IF($V1182&lt;&gt;'設定'!$C$4,N(U1181),IF(OR(NOT(COUNTIF('商品マスタ'!$B$6:$B$1005,$W1182)=0),COUNTIFS('①在庫を貼る'!$V$6:$V$10005,$V1182,'①在庫を貼る'!$W$6:$W$10005,$W1182)+COUNTIFS('月1回_1ヶ月前の在庫'!$V$6:$V$10005,$V1182,'月1回_1ヶ月前の在庫'!$W$6:$W$10005,$W1182)&gt;0),N(U1181),N(U1181)+1))</f>
        <v/>
      </c>
      <c r="V1182" s="19">
        <f>IF($B1182="","",TEXT($B1182,"0000"))</f>
        <v/>
      </c>
      <c r="W1182" s="19">
        <f>IF($I1182="","",IF(ISNUMBER($I1182),TEXT($I1182,"0"),$I1182))</f>
        <v/>
      </c>
    </row>
    <row r="1183">
      <c r="B1183" s="25" t="n"/>
      <c r="I1183" s="25" t="n"/>
      <c r="U1183" s="19">
        <f>IF($V1183&lt;&gt;'設定'!$C$4,N(U1182),IF(OR(NOT(COUNTIF('商品マスタ'!$B$6:$B$1005,$W1183)=0),COUNTIFS('①在庫を貼る'!$V$6:$V$10005,$V1183,'①在庫を貼る'!$W$6:$W$10005,$W1183)+COUNTIFS('月1回_1ヶ月前の在庫'!$V$6:$V$10005,$V1183,'月1回_1ヶ月前の在庫'!$W$6:$W$10005,$W1183)&gt;0),N(U1182),N(U1182)+1))</f>
        <v/>
      </c>
      <c r="V1183" s="19">
        <f>IF($B1183="","",TEXT($B1183,"0000"))</f>
        <v/>
      </c>
      <c r="W1183" s="19">
        <f>IF($I1183="","",IF(ISNUMBER($I1183),TEXT($I1183,"0"),$I1183))</f>
        <v/>
      </c>
    </row>
    <row r="1184">
      <c r="B1184" s="25" t="n"/>
      <c r="I1184" s="25" t="n"/>
      <c r="U1184" s="19">
        <f>IF($V1184&lt;&gt;'設定'!$C$4,N(U1183),IF(OR(NOT(COUNTIF('商品マスタ'!$B$6:$B$1005,$W1184)=0),COUNTIFS('①在庫を貼る'!$V$6:$V$10005,$V1184,'①在庫を貼る'!$W$6:$W$10005,$W1184)+COUNTIFS('月1回_1ヶ月前の在庫'!$V$6:$V$10005,$V1184,'月1回_1ヶ月前の在庫'!$W$6:$W$10005,$W1184)&gt;0),N(U1183),N(U1183)+1))</f>
        <v/>
      </c>
      <c r="V1184" s="19">
        <f>IF($B1184="","",TEXT($B1184,"0000"))</f>
        <v/>
      </c>
      <c r="W1184" s="19">
        <f>IF($I1184="","",IF(ISNUMBER($I1184),TEXT($I1184,"0"),$I1184))</f>
        <v/>
      </c>
    </row>
    <row r="1185">
      <c r="B1185" s="25" t="n"/>
      <c r="I1185" s="25" t="n"/>
      <c r="U1185" s="19">
        <f>IF($V1185&lt;&gt;'設定'!$C$4,N(U1184),IF(OR(NOT(COUNTIF('商品マスタ'!$B$6:$B$1005,$W1185)=0),COUNTIFS('①在庫を貼る'!$V$6:$V$10005,$V1185,'①在庫を貼る'!$W$6:$W$10005,$W1185)+COUNTIFS('月1回_1ヶ月前の在庫'!$V$6:$V$10005,$V1185,'月1回_1ヶ月前の在庫'!$W$6:$W$10005,$W1185)&gt;0),N(U1184),N(U1184)+1))</f>
        <v/>
      </c>
      <c r="V1185" s="19">
        <f>IF($B1185="","",TEXT($B1185,"0000"))</f>
        <v/>
      </c>
      <c r="W1185" s="19">
        <f>IF($I1185="","",IF(ISNUMBER($I1185),TEXT($I1185,"0"),$I1185))</f>
        <v/>
      </c>
    </row>
    <row r="1186">
      <c r="B1186" s="25" t="n"/>
      <c r="I1186" s="25" t="n"/>
      <c r="U1186" s="19">
        <f>IF($V1186&lt;&gt;'設定'!$C$4,N(U1185),IF(OR(NOT(COUNTIF('商品マスタ'!$B$6:$B$1005,$W1186)=0),COUNTIFS('①在庫を貼る'!$V$6:$V$10005,$V1186,'①在庫を貼る'!$W$6:$W$10005,$W1186)+COUNTIFS('月1回_1ヶ月前の在庫'!$V$6:$V$10005,$V1186,'月1回_1ヶ月前の在庫'!$W$6:$W$10005,$W1186)&gt;0),N(U1185),N(U1185)+1))</f>
        <v/>
      </c>
      <c r="V1186" s="19">
        <f>IF($B1186="","",TEXT($B1186,"0000"))</f>
        <v/>
      </c>
      <c r="W1186" s="19">
        <f>IF($I1186="","",IF(ISNUMBER($I1186),TEXT($I1186,"0"),$I1186))</f>
        <v/>
      </c>
    </row>
    <row r="1187">
      <c r="B1187" s="25" t="n"/>
      <c r="I1187" s="25" t="n"/>
      <c r="U1187" s="19">
        <f>IF($V1187&lt;&gt;'設定'!$C$4,N(U1186),IF(OR(NOT(COUNTIF('商品マスタ'!$B$6:$B$1005,$W1187)=0),COUNTIFS('①在庫を貼る'!$V$6:$V$10005,$V1187,'①在庫を貼る'!$W$6:$W$10005,$W1187)+COUNTIFS('月1回_1ヶ月前の在庫'!$V$6:$V$10005,$V1187,'月1回_1ヶ月前の在庫'!$W$6:$W$10005,$W1187)&gt;0),N(U1186),N(U1186)+1))</f>
        <v/>
      </c>
      <c r="V1187" s="19">
        <f>IF($B1187="","",TEXT($B1187,"0000"))</f>
        <v/>
      </c>
      <c r="W1187" s="19">
        <f>IF($I1187="","",IF(ISNUMBER($I1187),TEXT($I1187,"0"),$I1187))</f>
        <v/>
      </c>
    </row>
    <row r="1188">
      <c r="B1188" s="25" t="n"/>
      <c r="I1188" s="25" t="n"/>
      <c r="U1188" s="19">
        <f>IF($V1188&lt;&gt;'設定'!$C$4,N(U1187),IF(OR(NOT(COUNTIF('商品マスタ'!$B$6:$B$1005,$W1188)=0),COUNTIFS('①在庫を貼る'!$V$6:$V$10005,$V1188,'①在庫を貼る'!$W$6:$W$10005,$W1188)+COUNTIFS('月1回_1ヶ月前の在庫'!$V$6:$V$10005,$V1188,'月1回_1ヶ月前の在庫'!$W$6:$W$10005,$W1188)&gt;0),N(U1187),N(U1187)+1))</f>
        <v/>
      </c>
      <c r="V1188" s="19">
        <f>IF($B1188="","",TEXT($B1188,"0000"))</f>
        <v/>
      </c>
      <c r="W1188" s="19">
        <f>IF($I1188="","",IF(ISNUMBER($I1188),TEXT($I1188,"0"),$I1188))</f>
        <v/>
      </c>
    </row>
    <row r="1189">
      <c r="B1189" s="25" t="n"/>
      <c r="I1189" s="25" t="n"/>
      <c r="U1189" s="19">
        <f>IF($V1189&lt;&gt;'設定'!$C$4,N(U1188),IF(OR(NOT(COUNTIF('商品マスタ'!$B$6:$B$1005,$W1189)=0),COUNTIFS('①在庫を貼る'!$V$6:$V$10005,$V1189,'①在庫を貼る'!$W$6:$W$10005,$W1189)+COUNTIFS('月1回_1ヶ月前の在庫'!$V$6:$V$10005,$V1189,'月1回_1ヶ月前の在庫'!$W$6:$W$10005,$W1189)&gt;0),N(U1188),N(U1188)+1))</f>
        <v/>
      </c>
      <c r="V1189" s="19">
        <f>IF($B1189="","",TEXT($B1189,"0000"))</f>
        <v/>
      </c>
      <c r="W1189" s="19">
        <f>IF($I1189="","",IF(ISNUMBER($I1189),TEXT($I1189,"0"),$I1189))</f>
        <v/>
      </c>
    </row>
    <row r="1190">
      <c r="B1190" s="25" t="n"/>
      <c r="I1190" s="25" t="n"/>
      <c r="U1190" s="19">
        <f>IF($V1190&lt;&gt;'設定'!$C$4,N(U1189),IF(OR(NOT(COUNTIF('商品マスタ'!$B$6:$B$1005,$W1190)=0),COUNTIFS('①在庫を貼る'!$V$6:$V$10005,$V1190,'①在庫を貼る'!$W$6:$W$10005,$W1190)+COUNTIFS('月1回_1ヶ月前の在庫'!$V$6:$V$10005,$V1190,'月1回_1ヶ月前の在庫'!$W$6:$W$10005,$W1190)&gt;0),N(U1189),N(U1189)+1))</f>
        <v/>
      </c>
      <c r="V1190" s="19">
        <f>IF($B1190="","",TEXT($B1190,"0000"))</f>
        <v/>
      </c>
      <c r="W1190" s="19">
        <f>IF($I1190="","",IF(ISNUMBER($I1190),TEXT($I1190,"0"),$I1190))</f>
        <v/>
      </c>
    </row>
    <row r="1191">
      <c r="B1191" s="25" t="n"/>
      <c r="I1191" s="25" t="n"/>
      <c r="U1191" s="19">
        <f>IF($V1191&lt;&gt;'設定'!$C$4,N(U1190),IF(OR(NOT(COUNTIF('商品マスタ'!$B$6:$B$1005,$W1191)=0),COUNTIFS('①在庫を貼る'!$V$6:$V$10005,$V1191,'①在庫を貼る'!$W$6:$W$10005,$W1191)+COUNTIFS('月1回_1ヶ月前の在庫'!$V$6:$V$10005,$V1191,'月1回_1ヶ月前の在庫'!$W$6:$W$10005,$W1191)&gt;0),N(U1190),N(U1190)+1))</f>
        <v/>
      </c>
      <c r="V1191" s="19">
        <f>IF($B1191="","",TEXT($B1191,"0000"))</f>
        <v/>
      </c>
      <c r="W1191" s="19">
        <f>IF($I1191="","",IF(ISNUMBER($I1191),TEXT($I1191,"0"),$I1191))</f>
        <v/>
      </c>
    </row>
    <row r="1192">
      <c r="B1192" s="25" t="n"/>
      <c r="I1192" s="25" t="n"/>
      <c r="U1192" s="19">
        <f>IF($V1192&lt;&gt;'設定'!$C$4,N(U1191),IF(OR(NOT(COUNTIF('商品マスタ'!$B$6:$B$1005,$W1192)=0),COUNTIFS('①在庫を貼る'!$V$6:$V$10005,$V1192,'①在庫を貼る'!$W$6:$W$10005,$W1192)+COUNTIFS('月1回_1ヶ月前の在庫'!$V$6:$V$10005,$V1192,'月1回_1ヶ月前の在庫'!$W$6:$W$10005,$W1192)&gt;0),N(U1191),N(U1191)+1))</f>
        <v/>
      </c>
      <c r="V1192" s="19">
        <f>IF($B1192="","",TEXT($B1192,"0000"))</f>
        <v/>
      </c>
      <c r="W1192" s="19">
        <f>IF($I1192="","",IF(ISNUMBER($I1192),TEXT($I1192,"0"),$I1192))</f>
        <v/>
      </c>
    </row>
    <row r="1193">
      <c r="B1193" s="25" t="n"/>
      <c r="I1193" s="25" t="n"/>
      <c r="U1193" s="19">
        <f>IF($V1193&lt;&gt;'設定'!$C$4,N(U1192),IF(OR(NOT(COUNTIF('商品マスタ'!$B$6:$B$1005,$W1193)=0),COUNTIFS('①在庫を貼る'!$V$6:$V$10005,$V1193,'①在庫を貼る'!$W$6:$W$10005,$W1193)+COUNTIFS('月1回_1ヶ月前の在庫'!$V$6:$V$10005,$V1193,'月1回_1ヶ月前の在庫'!$W$6:$W$10005,$W1193)&gt;0),N(U1192),N(U1192)+1))</f>
        <v/>
      </c>
      <c r="V1193" s="19">
        <f>IF($B1193="","",TEXT($B1193,"0000"))</f>
        <v/>
      </c>
      <c r="W1193" s="19">
        <f>IF($I1193="","",IF(ISNUMBER($I1193),TEXT($I1193,"0"),$I1193))</f>
        <v/>
      </c>
    </row>
    <row r="1194">
      <c r="B1194" s="25" t="n"/>
      <c r="I1194" s="25" t="n"/>
      <c r="U1194" s="19">
        <f>IF($V1194&lt;&gt;'設定'!$C$4,N(U1193),IF(OR(NOT(COUNTIF('商品マスタ'!$B$6:$B$1005,$W1194)=0),COUNTIFS('①在庫を貼る'!$V$6:$V$10005,$V1194,'①在庫を貼る'!$W$6:$W$10005,$W1194)+COUNTIFS('月1回_1ヶ月前の在庫'!$V$6:$V$10005,$V1194,'月1回_1ヶ月前の在庫'!$W$6:$W$10005,$W1194)&gt;0),N(U1193),N(U1193)+1))</f>
        <v/>
      </c>
      <c r="V1194" s="19">
        <f>IF($B1194="","",TEXT($B1194,"0000"))</f>
        <v/>
      </c>
      <c r="W1194" s="19">
        <f>IF($I1194="","",IF(ISNUMBER($I1194),TEXT($I1194,"0"),$I1194))</f>
        <v/>
      </c>
    </row>
    <row r="1195">
      <c r="B1195" s="25" t="n"/>
      <c r="I1195" s="25" t="n"/>
      <c r="U1195" s="19">
        <f>IF($V1195&lt;&gt;'設定'!$C$4,N(U1194),IF(OR(NOT(COUNTIF('商品マスタ'!$B$6:$B$1005,$W1195)=0),COUNTIFS('①在庫を貼る'!$V$6:$V$10005,$V1195,'①在庫を貼る'!$W$6:$W$10005,$W1195)+COUNTIFS('月1回_1ヶ月前の在庫'!$V$6:$V$10005,$V1195,'月1回_1ヶ月前の在庫'!$W$6:$W$10005,$W1195)&gt;0),N(U1194),N(U1194)+1))</f>
        <v/>
      </c>
      <c r="V1195" s="19">
        <f>IF($B1195="","",TEXT($B1195,"0000"))</f>
        <v/>
      </c>
      <c r="W1195" s="19">
        <f>IF($I1195="","",IF(ISNUMBER($I1195),TEXT($I1195,"0"),$I1195))</f>
        <v/>
      </c>
    </row>
    <row r="1196">
      <c r="B1196" s="25" t="n"/>
      <c r="I1196" s="25" t="n"/>
      <c r="U1196" s="19">
        <f>IF($V1196&lt;&gt;'設定'!$C$4,N(U1195),IF(OR(NOT(COUNTIF('商品マスタ'!$B$6:$B$1005,$W1196)=0),COUNTIFS('①在庫を貼る'!$V$6:$V$10005,$V1196,'①在庫を貼る'!$W$6:$W$10005,$W1196)+COUNTIFS('月1回_1ヶ月前の在庫'!$V$6:$V$10005,$V1196,'月1回_1ヶ月前の在庫'!$W$6:$W$10005,$W1196)&gt;0),N(U1195),N(U1195)+1))</f>
        <v/>
      </c>
      <c r="V1196" s="19">
        <f>IF($B1196="","",TEXT($B1196,"0000"))</f>
        <v/>
      </c>
      <c r="W1196" s="19">
        <f>IF($I1196="","",IF(ISNUMBER($I1196),TEXT($I1196,"0"),$I1196))</f>
        <v/>
      </c>
    </row>
    <row r="1197">
      <c r="B1197" s="25" t="n"/>
      <c r="I1197" s="25" t="n"/>
      <c r="U1197" s="19">
        <f>IF($V1197&lt;&gt;'設定'!$C$4,N(U1196),IF(OR(NOT(COUNTIF('商品マスタ'!$B$6:$B$1005,$W1197)=0),COUNTIFS('①在庫を貼る'!$V$6:$V$10005,$V1197,'①在庫を貼る'!$W$6:$W$10005,$W1197)+COUNTIFS('月1回_1ヶ月前の在庫'!$V$6:$V$10005,$V1197,'月1回_1ヶ月前の在庫'!$W$6:$W$10005,$W1197)&gt;0),N(U1196),N(U1196)+1))</f>
        <v/>
      </c>
      <c r="V1197" s="19">
        <f>IF($B1197="","",TEXT($B1197,"0000"))</f>
        <v/>
      </c>
      <c r="W1197" s="19">
        <f>IF($I1197="","",IF(ISNUMBER($I1197),TEXT($I1197,"0"),$I1197))</f>
        <v/>
      </c>
    </row>
    <row r="1198">
      <c r="B1198" s="25" t="n"/>
      <c r="I1198" s="25" t="n"/>
      <c r="U1198" s="19">
        <f>IF($V1198&lt;&gt;'設定'!$C$4,N(U1197),IF(OR(NOT(COUNTIF('商品マスタ'!$B$6:$B$1005,$W1198)=0),COUNTIFS('①在庫を貼る'!$V$6:$V$10005,$V1198,'①在庫を貼る'!$W$6:$W$10005,$W1198)+COUNTIFS('月1回_1ヶ月前の在庫'!$V$6:$V$10005,$V1198,'月1回_1ヶ月前の在庫'!$W$6:$W$10005,$W1198)&gt;0),N(U1197),N(U1197)+1))</f>
        <v/>
      </c>
      <c r="V1198" s="19">
        <f>IF($B1198="","",TEXT($B1198,"0000"))</f>
        <v/>
      </c>
      <c r="W1198" s="19">
        <f>IF($I1198="","",IF(ISNUMBER($I1198),TEXT($I1198,"0"),$I1198))</f>
        <v/>
      </c>
    </row>
    <row r="1199">
      <c r="B1199" s="25" t="n"/>
      <c r="I1199" s="25" t="n"/>
      <c r="U1199" s="19">
        <f>IF($V1199&lt;&gt;'設定'!$C$4,N(U1198),IF(OR(NOT(COUNTIF('商品マスタ'!$B$6:$B$1005,$W1199)=0),COUNTIFS('①在庫を貼る'!$V$6:$V$10005,$V1199,'①在庫を貼る'!$W$6:$W$10005,$W1199)+COUNTIFS('月1回_1ヶ月前の在庫'!$V$6:$V$10005,$V1199,'月1回_1ヶ月前の在庫'!$W$6:$W$10005,$W1199)&gt;0),N(U1198),N(U1198)+1))</f>
        <v/>
      </c>
      <c r="V1199" s="19">
        <f>IF($B1199="","",TEXT($B1199,"0000"))</f>
        <v/>
      </c>
      <c r="W1199" s="19">
        <f>IF($I1199="","",IF(ISNUMBER($I1199),TEXT($I1199,"0"),$I1199))</f>
        <v/>
      </c>
    </row>
    <row r="1200">
      <c r="B1200" s="25" t="n"/>
      <c r="I1200" s="25" t="n"/>
      <c r="U1200" s="19">
        <f>IF($V1200&lt;&gt;'設定'!$C$4,N(U1199),IF(OR(NOT(COUNTIF('商品マスタ'!$B$6:$B$1005,$W1200)=0),COUNTIFS('①在庫を貼る'!$V$6:$V$10005,$V1200,'①在庫を貼る'!$W$6:$W$10005,$W1200)+COUNTIFS('月1回_1ヶ月前の在庫'!$V$6:$V$10005,$V1200,'月1回_1ヶ月前の在庫'!$W$6:$W$10005,$W1200)&gt;0),N(U1199),N(U1199)+1))</f>
        <v/>
      </c>
      <c r="V1200" s="19">
        <f>IF($B1200="","",TEXT($B1200,"0000"))</f>
        <v/>
      </c>
      <c r="W1200" s="19">
        <f>IF($I1200="","",IF(ISNUMBER($I1200),TEXT($I1200,"0"),$I1200))</f>
        <v/>
      </c>
    </row>
    <row r="1201">
      <c r="B1201" s="25" t="n"/>
      <c r="I1201" s="25" t="n"/>
      <c r="U1201" s="19">
        <f>IF($V1201&lt;&gt;'設定'!$C$4,N(U1200),IF(OR(NOT(COUNTIF('商品マスタ'!$B$6:$B$1005,$W1201)=0),COUNTIFS('①在庫を貼る'!$V$6:$V$10005,$V1201,'①在庫を貼る'!$W$6:$W$10005,$W1201)+COUNTIFS('月1回_1ヶ月前の在庫'!$V$6:$V$10005,$V1201,'月1回_1ヶ月前の在庫'!$W$6:$W$10005,$W1201)&gt;0),N(U1200),N(U1200)+1))</f>
        <v/>
      </c>
      <c r="V1201" s="19">
        <f>IF($B1201="","",TEXT($B1201,"0000"))</f>
        <v/>
      </c>
      <c r="W1201" s="19">
        <f>IF($I1201="","",IF(ISNUMBER($I1201),TEXT($I1201,"0"),$I1201))</f>
        <v/>
      </c>
    </row>
    <row r="1202">
      <c r="B1202" s="25" t="n"/>
      <c r="I1202" s="25" t="n"/>
      <c r="U1202" s="19">
        <f>IF($V1202&lt;&gt;'設定'!$C$4,N(U1201),IF(OR(NOT(COUNTIF('商品マスタ'!$B$6:$B$1005,$W1202)=0),COUNTIFS('①在庫を貼る'!$V$6:$V$10005,$V1202,'①在庫を貼る'!$W$6:$W$10005,$W1202)+COUNTIFS('月1回_1ヶ月前の在庫'!$V$6:$V$10005,$V1202,'月1回_1ヶ月前の在庫'!$W$6:$W$10005,$W1202)&gt;0),N(U1201),N(U1201)+1))</f>
        <v/>
      </c>
      <c r="V1202" s="19">
        <f>IF($B1202="","",TEXT($B1202,"0000"))</f>
        <v/>
      </c>
      <c r="W1202" s="19">
        <f>IF($I1202="","",IF(ISNUMBER($I1202),TEXT($I1202,"0"),$I1202))</f>
        <v/>
      </c>
    </row>
    <row r="1203">
      <c r="B1203" s="25" t="n"/>
      <c r="I1203" s="25" t="n"/>
      <c r="U1203" s="19">
        <f>IF($V1203&lt;&gt;'設定'!$C$4,N(U1202),IF(OR(NOT(COUNTIF('商品マスタ'!$B$6:$B$1005,$W1203)=0),COUNTIFS('①在庫を貼る'!$V$6:$V$10005,$V1203,'①在庫を貼る'!$W$6:$W$10005,$W1203)+COUNTIFS('月1回_1ヶ月前の在庫'!$V$6:$V$10005,$V1203,'月1回_1ヶ月前の在庫'!$W$6:$W$10005,$W1203)&gt;0),N(U1202),N(U1202)+1))</f>
        <v/>
      </c>
      <c r="V1203" s="19">
        <f>IF($B1203="","",TEXT($B1203,"0000"))</f>
        <v/>
      </c>
      <c r="W1203" s="19">
        <f>IF($I1203="","",IF(ISNUMBER($I1203),TEXT($I1203,"0"),$I1203))</f>
        <v/>
      </c>
    </row>
    <row r="1204">
      <c r="B1204" s="25" t="n"/>
      <c r="I1204" s="25" t="n"/>
      <c r="U1204" s="19">
        <f>IF($V1204&lt;&gt;'設定'!$C$4,N(U1203),IF(OR(NOT(COUNTIF('商品マスタ'!$B$6:$B$1005,$W1204)=0),COUNTIFS('①在庫を貼る'!$V$6:$V$10005,$V1204,'①在庫を貼る'!$W$6:$W$10005,$W1204)+COUNTIFS('月1回_1ヶ月前の在庫'!$V$6:$V$10005,$V1204,'月1回_1ヶ月前の在庫'!$W$6:$W$10005,$W1204)&gt;0),N(U1203),N(U1203)+1))</f>
        <v/>
      </c>
      <c r="V1204" s="19">
        <f>IF($B1204="","",TEXT($B1204,"0000"))</f>
        <v/>
      </c>
      <c r="W1204" s="19">
        <f>IF($I1204="","",IF(ISNUMBER($I1204),TEXT($I1204,"0"),$I1204))</f>
        <v/>
      </c>
    </row>
    <row r="1205">
      <c r="B1205" s="25" t="n"/>
      <c r="I1205" s="25" t="n"/>
      <c r="U1205" s="19">
        <f>IF($V1205&lt;&gt;'設定'!$C$4,N(U1204),IF(OR(NOT(COUNTIF('商品マスタ'!$B$6:$B$1005,$W1205)=0),COUNTIFS('①在庫を貼る'!$V$6:$V$10005,$V1205,'①在庫を貼る'!$W$6:$W$10005,$W1205)+COUNTIFS('月1回_1ヶ月前の在庫'!$V$6:$V$10005,$V1205,'月1回_1ヶ月前の在庫'!$W$6:$W$10005,$W1205)&gt;0),N(U1204),N(U1204)+1))</f>
        <v/>
      </c>
      <c r="V1205" s="19">
        <f>IF($B1205="","",TEXT($B1205,"0000"))</f>
        <v/>
      </c>
      <c r="W1205" s="19">
        <f>IF($I1205="","",IF(ISNUMBER($I1205),TEXT($I1205,"0"),$I1205))</f>
        <v/>
      </c>
    </row>
    <row r="1206">
      <c r="B1206" s="25" t="n"/>
      <c r="I1206" s="25" t="n"/>
      <c r="U1206" s="19">
        <f>IF($V1206&lt;&gt;'設定'!$C$4,N(U1205),IF(OR(NOT(COUNTIF('商品マスタ'!$B$6:$B$1005,$W1206)=0),COUNTIFS('①在庫を貼る'!$V$6:$V$10005,$V1206,'①在庫を貼る'!$W$6:$W$10005,$W1206)+COUNTIFS('月1回_1ヶ月前の在庫'!$V$6:$V$10005,$V1206,'月1回_1ヶ月前の在庫'!$W$6:$W$10005,$W1206)&gt;0),N(U1205),N(U1205)+1))</f>
        <v/>
      </c>
      <c r="V1206" s="19">
        <f>IF($B1206="","",TEXT($B1206,"0000"))</f>
        <v/>
      </c>
      <c r="W1206" s="19">
        <f>IF($I1206="","",IF(ISNUMBER($I1206),TEXT($I1206,"0"),$I1206))</f>
        <v/>
      </c>
    </row>
    <row r="1207">
      <c r="B1207" s="25" t="n"/>
      <c r="I1207" s="25" t="n"/>
      <c r="U1207" s="19">
        <f>IF($V1207&lt;&gt;'設定'!$C$4,N(U1206),IF(OR(NOT(COUNTIF('商品マスタ'!$B$6:$B$1005,$W1207)=0),COUNTIFS('①在庫を貼る'!$V$6:$V$10005,$V1207,'①在庫を貼る'!$W$6:$W$10005,$W1207)+COUNTIFS('月1回_1ヶ月前の在庫'!$V$6:$V$10005,$V1207,'月1回_1ヶ月前の在庫'!$W$6:$W$10005,$W1207)&gt;0),N(U1206),N(U1206)+1))</f>
        <v/>
      </c>
      <c r="V1207" s="19">
        <f>IF($B1207="","",TEXT($B1207,"0000"))</f>
        <v/>
      </c>
      <c r="W1207" s="19">
        <f>IF($I1207="","",IF(ISNUMBER($I1207),TEXT($I1207,"0"),$I1207))</f>
        <v/>
      </c>
    </row>
    <row r="1208">
      <c r="B1208" s="25" t="n"/>
      <c r="I1208" s="25" t="n"/>
      <c r="U1208" s="19">
        <f>IF($V1208&lt;&gt;'設定'!$C$4,N(U1207),IF(OR(NOT(COUNTIF('商品マスタ'!$B$6:$B$1005,$W1208)=0),COUNTIFS('①在庫を貼る'!$V$6:$V$10005,$V1208,'①在庫を貼る'!$W$6:$W$10005,$W1208)+COUNTIFS('月1回_1ヶ月前の在庫'!$V$6:$V$10005,$V1208,'月1回_1ヶ月前の在庫'!$W$6:$W$10005,$W1208)&gt;0),N(U1207),N(U1207)+1))</f>
        <v/>
      </c>
      <c r="V1208" s="19">
        <f>IF($B1208="","",TEXT($B1208,"0000"))</f>
        <v/>
      </c>
      <c r="W1208" s="19">
        <f>IF($I1208="","",IF(ISNUMBER($I1208),TEXT($I1208,"0"),$I1208))</f>
        <v/>
      </c>
    </row>
    <row r="1209">
      <c r="B1209" s="25" t="n"/>
      <c r="I1209" s="25" t="n"/>
      <c r="U1209" s="19">
        <f>IF($V1209&lt;&gt;'設定'!$C$4,N(U1208),IF(OR(NOT(COUNTIF('商品マスタ'!$B$6:$B$1005,$W1209)=0),COUNTIFS('①在庫を貼る'!$V$6:$V$10005,$V1209,'①在庫を貼る'!$W$6:$W$10005,$W1209)+COUNTIFS('月1回_1ヶ月前の在庫'!$V$6:$V$10005,$V1209,'月1回_1ヶ月前の在庫'!$W$6:$W$10005,$W1209)&gt;0),N(U1208),N(U1208)+1))</f>
        <v/>
      </c>
      <c r="V1209" s="19">
        <f>IF($B1209="","",TEXT($B1209,"0000"))</f>
        <v/>
      </c>
      <c r="W1209" s="19">
        <f>IF($I1209="","",IF(ISNUMBER($I1209),TEXT($I1209,"0"),$I1209))</f>
        <v/>
      </c>
    </row>
    <row r="1210">
      <c r="B1210" s="25" t="n"/>
      <c r="I1210" s="25" t="n"/>
      <c r="U1210" s="19">
        <f>IF($V1210&lt;&gt;'設定'!$C$4,N(U1209),IF(OR(NOT(COUNTIF('商品マスタ'!$B$6:$B$1005,$W1210)=0),COUNTIFS('①在庫を貼る'!$V$6:$V$10005,$V1210,'①在庫を貼る'!$W$6:$W$10005,$W1210)+COUNTIFS('月1回_1ヶ月前の在庫'!$V$6:$V$10005,$V1210,'月1回_1ヶ月前の在庫'!$W$6:$W$10005,$W1210)&gt;0),N(U1209),N(U1209)+1))</f>
        <v/>
      </c>
      <c r="V1210" s="19">
        <f>IF($B1210="","",TEXT($B1210,"0000"))</f>
        <v/>
      </c>
      <c r="W1210" s="19">
        <f>IF($I1210="","",IF(ISNUMBER($I1210),TEXT($I1210,"0"),$I1210))</f>
        <v/>
      </c>
    </row>
    <row r="1211">
      <c r="B1211" s="25" t="n"/>
      <c r="I1211" s="25" t="n"/>
      <c r="U1211" s="19">
        <f>IF($V1211&lt;&gt;'設定'!$C$4,N(U1210),IF(OR(NOT(COUNTIF('商品マスタ'!$B$6:$B$1005,$W1211)=0),COUNTIFS('①在庫を貼る'!$V$6:$V$10005,$V1211,'①在庫を貼る'!$W$6:$W$10005,$W1211)+COUNTIFS('月1回_1ヶ月前の在庫'!$V$6:$V$10005,$V1211,'月1回_1ヶ月前の在庫'!$W$6:$W$10005,$W1211)&gt;0),N(U1210),N(U1210)+1))</f>
        <v/>
      </c>
      <c r="V1211" s="19">
        <f>IF($B1211="","",TEXT($B1211,"0000"))</f>
        <v/>
      </c>
      <c r="W1211" s="19">
        <f>IF($I1211="","",IF(ISNUMBER($I1211),TEXT($I1211,"0"),$I1211))</f>
        <v/>
      </c>
    </row>
    <row r="1212">
      <c r="B1212" s="25" t="n"/>
      <c r="I1212" s="25" t="n"/>
      <c r="U1212" s="19">
        <f>IF($V1212&lt;&gt;'設定'!$C$4,N(U1211),IF(OR(NOT(COUNTIF('商品マスタ'!$B$6:$B$1005,$W1212)=0),COUNTIFS('①在庫を貼る'!$V$6:$V$10005,$V1212,'①在庫を貼る'!$W$6:$W$10005,$W1212)+COUNTIFS('月1回_1ヶ月前の在庫'!$V$6:$V$10005,$V1212,'月1回_1ヶ月前の在庫'!$W$6:$W$10005,$W1212)&gt;0),N(U1211),N(U1211)+1))</f>
        <v/>
      </c>
      <c r="V1212" s="19">
        <f>IF($B1212="","",TEXT($B1212,"0000"))</f>
        <v/>
      </c>
      <c r="W1212" s="19">
        <f>IF($I1212="","",IF(ISNUMBER($I1212),TEXT($I1212,"0"),$I1212))</f>
        <v/>
      </c>
    </row>
    <row r="1213">
      <c r="B1213" s="25" t="n"/>
      <c r="I1213" s="25" t="n"/>
      <c r="U1213" s="19">
        <f>IF($V1213&lt;&gt;'設定'!$C$4,N(U1212),IF(OR(NOT(COUNTIF('商品マスタ'!$B$6:$B$1005,$W1213)=0),COUNTIFS('①在庫を貼る'!$V$6:$V$10005,$V1213,'①在庫を貼る'!$W$6:$W$10005,$W1213)+COUNTIFS('月1回_1ヶ月前の在庫'!$V$6:$V$10005,$V1213,'月1回_1ヶ月前の在庫'!$W$6:$W$10005,$W1213)&gt;0),N(U1212),N(U1212)+1))</f>
        <v/>
      </c>
      <c r="V1213" s="19">
        <f>IF($B1213="","",TEXT($B1213,"0000"))</f>
        <v/>
      </c>
      <c r="W1213" s="19">
        <f>IF($I1213="","",IF(ISNUMBER($I1213),TEXT($I1213,"0"),$I1213))</f>
        <v/>
      </c>
    </row>
    <row r="1214">
      <c r="B1214" s="25" t="n"/>
      <c r="I1214" s="25" t="n"/>
      <c r="U1214" s="19">
        <f>IF($V1214&lt;&gt;'設定'!$C$4,N(U1213),IF(OR(NOT(COUNTIF('商品マスタ'!$B$6:$B$1005,$W1214)=0),COUNTIFS('①在庫を貼る'!$V$6:$V$10005,$V1214,'①在庫を貼る'!$W$6:$W$10005,$W1214)+COUNTIFS('月1回_1ヶ月前の在庫'!$V$6:$V$10005,$V1214,'月1回_1ヶ月前の在庫'!$W$6:$W$10005,$W1214)&gt;0),N(U1213),N(U1213)+1))</f>
        <v/>
      </c>
      <c r="V1214" s="19">
        <f>IF($B1214="","",TEXT($B1214,"0000"))</f>
        <v/>
      </c>
      <c r="W1214" s="19">
        <f>IF($I1214="","",IF(ISNUMBER($I1214),TEXT($I1214,"0"),$I1214))</f>
        <v/>
      </c>
    </row>
    <row r="1215">
      <c r="B1215" s="25" t="n"/>
      <c r="I1215" s="25" t="n"/>
      <c r="U1215" s="19">
        <f>IF($V1215&lt;&gt;'設定'!$C$4,N(U1214),IF(OR(NOT(COUNTIF('商品マスタ'!$B$6:$B$1005,$W1215)=0),COUNTIFS('①在庫を貼る'!$V$6:$V$10005,$V1215,'①在庫を貼る'!$W$6:$W$10005,$W1215)+COUNTIFS('月1回_1ヶ月前の在庫'!$V$6:$V$10005,$V1215,'月1回_1ヶ月前の在庫'!$W$6:$W$10005,$W1215)&gt;0),N(U1214),N(U1214)+1))</f>
        <v/>
      </c>
      <c r="V1215" s="19">
        <f>IF($B1215="","",TEXT($B1215,"0000"))</f>
        <v/>
      </c>
      <c r="W1215" s="19">
        <f>IF($I1215="","",IF(ISNUMBER($I1215),TEXT($I1215,"0"),$I1215))</f>
        <v/>
      </c>
    </row>
    <row r="1216">
      <c r="B1216" s="25" t="n"/>
      <c r="I1216" s="25" t="n"/>
      <c r="U1216" s="19">
        <f>IF($V1216&lt;&gt;'設定'!$C$4,N(U1215),IF(OR(NOT(COUNTIF('商品マスタ'!$B$6:$B$1005,$W1216)=0),COUNTIFS('①在庫を貼る'!$V$6:$V$10005,$V1216,'①在庫を貼る'!$W$6:$W$10005,$W1216)+COUNTIFS('月1回_1ヶ月前の在庫'!$V$6:$V$10005,$V1216,'月1回_1ヶ月前の在庫'!$W$6:$W$10005,$W1216)&gt;0),N(U1215),N(U1215)+1))</f>
        <v/>
      </c>
      <c r="V1216" s="19">
        <f>IF($B1216="","",TEXT($B1216,"0000"))</f>
        <v/>
      </c>
      <c r="W1216" s="19">
        <f>IF($I1216="","",IF(ISNUMBER($I1216),TEXT($I1216,"0"),$I1216))</f>
        <v/>
      </c>
    </row>
    <row r="1217">
      <c r="B1217" s="25" t="n"/>
      <c r="I1217" s="25" t="n"/>
      <c r="U1217" s="19">
        <f>IF($V1217&lt;&gt;'設定'!$C$4,N(U1216),IF(OR(NOT(COUNTIF('商品マスタ'!$B$6:$B$1005,$W1217)=0),COUNTIFS('①在庫を貼る'!$V$6:$V$10005,$V1217,'①在庫を貼る'!$W$6:$W$10005,$W1217)+COUNTIFS('月1回_1ヶ月前の在庫'!$V$6:$V$10005,$V1217,'月1回_1ヶ月前の在庫'!$W$6:$W$10005,$W1217)&gt;0),N(U1216),N(U1216)+1))</f>
        <v/>
      </c>
      <c r="V1217" s="19">
        <f>IF($B1217="","",TEXT($B1217,"0000"))</f>
        <v/>
      </c>
      <c r="W1217" s="19">
        <f>IF($I1217="","",IF(ISNUMBER($I1217),TEXT($I1217,"0"),$I1217))</f>
        <v/>
      </c>
    </row>
    <row r="1218">
      <c r="B1218" s="25" t="n"/>
      <c r="I1218" s="25" t="n"/>
      <c r="U1218" s="19">
        <f>IF($V1218&lt;&gt;'設定'!$C$4,N(U1217),IF(OR(NOT(COUNTIF('商品マスタ'!$B$6:$B$1005,$W1218)=0),COUNTIFS('①在庫を貼る'!$V$6:$V$10005,$V1218,'①在庫を貼る'!$W$6:$W$10005,$W1218)+COUNTIFS('月1回_1ヶ月前の在庫'!$V$6:$V$10005,$V1218,'月1回_1ヶ月前の在庫'!$W$6:$W$10005,$W1218)&gt;0),N(U1217),N(U1217)+1))</f>
        <v/>
      </c>
      <c r="V1218" s="19">
        <f>IF($B1218="","",TEXT($B1218,"0000"))</f>
        <v/>
      </c>
      <c r="W1218" s="19">
        <f>IF($I1218="","",IF(ISNUMBER($I1218),TEXT($I1218,"0"),$I1218))</f>
        <v/>
      </c>
    </row>
    <row r="1219">
      <c r="B1219" s="25" t="n"/>
      <c r="I1219" s="25" t="n"/>
      <c r="U1219" s="19">
        <f>IF($V1219&lt;&gt;'設定'!$C$4,N(U1218),IF(OR(NOT(COUNTIF('商品マスタ'!$B$6:$B$1005,$W1219)=0),COUNTIFS('①在庫を貼る'!$V$6:$V$10005,$V1219,'①在庫を貼る'!$W$6:$W$10005,$W1219)+COUNTIFS('月1回_1ヶ月前の在庫'!$V$6:$V$10005,$V1219,'月1回_1ヶ月前の在庫'!$W$6:$W$10005,$W1219)&gt;0),N(U1218),N(U1218)+1))</f>
        <v/>
      </c>
      <c r="V1219" s="19">
        <f>IF($B1219="","",TEXT($B1219,"0000"))</f>
        <v/>
      </c>
      <c r="W1219" s="19">
        <f>IF($I1219="","",IF(ISNUMBER($I1219),TEXT($I1219,"0"),$I1219))</f>
        <v/>
      </c>
    </row>
    <row r="1220">
      <c r="B1220" s="25" t="n"/>
      <c r="I1220" s="25" t="n"/>
      <c r="U1220" s="19">
        <f>IF($V1220&lt;&gt;'設定'!$C$4,N(U1219),IF(OR(NOT(COUNTIF('商品マスタ'!$B$6:$B$1005,$W1220)=0),COUNTIFS('①在庫を貼る'!$V$6:$V$10005,$V1220,'①在庫を貼る'!$W$6:$W$10005,$W1220)+COUNTIFS('月1回_1ヶ月前の在庫'!$V$6:$V$10005,$V1220,'月1回_1ヶ月前の在庫'!$W$6:$W$10005,$W1220)&gt;0),N(U1219),N(U1219)+1))</f>
        <v/>
      </c>
      <c r="V1220" s="19">
        <f>IF($B1220="","",TEXT($B1220,"0000"))</f>
        <v/>
      </c>
      <c r="W1220" s="19">
        <f>IF($I1220="","",IF(ISNUMBER($I1220),TEXT($I1220,"0"),$I1220))</f>
        <v/>
      </c>
    </row>
    <row r="1221">
      <c r="B1221" s="25" t="n"/>
      <c r="I1221" s="25" t="n"/>
      <c r="U1221" s="19">
        <f>IF($V1221&lt;&gt;'設定'!$C$4,N(U1220),IF(OR(NOT(COUNTIF('商品マスタ'!$B$6:$B$1005,$W1221)=0),COUNTIFS('①在庫を貼る'!$V$6:$V$10005,$V1221,'①在庫を貼る'!$W$6:$W$10005,$W1221)+COUNTIFS('月1回_1ヶ月前の在庫'!$V$6:$V$10005,$V1221,'月1回_1ヶ月前の在庫'!$W$6:$W$10005,$W1221)&gt;0),N(U1220),N(U1220)+1))</f>
        <v/>
      </c>
      <c r="V1221" s="19">
        <f>IF($B1221="","",TEXT($B1221,"0000"))</f>
        <v/>
      </c>
      <c r="W1221" s="19">
        <f>IF($I1221="","",IF(ISNUMBER($I1221),TEXT($I1221,"0"),$I1221))</f>
        <v/>
      </c>
    </row>
    <row r="1222">
      <c r="B1222" s="25" t="n"/>
      <c r="I1222" s="25" t="n"/>
      <c r="U1222" s="19">
        <f>IF($V1222&lt;&gt;'設定'!$C$4,N(U1221),IF(OR(NOT(COUNTIF('商品マスタ'!$B$6:$B$1005,$W1222)=0),COUNTIFS('①在庫を貼る'!$V$6:$V$10005,$V1222,'①在庫を貼る'!$W$6:$W$10005,$W1222)+COUNTIFS('月1回_1ヶ月前の在庫'!$V$6:$V$10005,$V1222,'月1回_1ヶ月前の在庫'!$W$6:$W$10005,$W1222)&gt;0),N(U1221),N(U1221)+1))</f>
        <v/>
      </c>
      <c r="V1222" s="19">
        <f>IF($B1222="","",TEXT($B1222,"0000"))</f>
        <v/>
      </c>
      <c r="W1222" s="19">
        <f>IF($I1222="","",IF(ISNUMBER($I1222),TEXT($I1222,"0"),$I1222))</f>
        <v/>
      </c>
    </row>
    <row r="1223">
      <c r="B1223" s="25" t="n"/>
      <c r="I1223" s="25" t="n"/>
      <c r="U1223" s="19">
        <f>IF($V1223&lt;&gt;'設定'!$C$4,N(U1222),IF(OR(NOT(COUNTIF('商品マスタ'!$B$6:$B$1005,$W1223)=0),COUNTIFS('①在庫を貼る'!$V$6:$V$10005,$V1223,'①在庫を貼る'!$W$6:$W$10005,$W1223)+COUNTIFS('月1回_1ヶ月前の在庫'!$V$6:$V$10005,$V1223,'月1回_1ヶ月前の在庫'!$W$6:$W$10005,$W1223)&gt;0),N(U1222),N(U1222)+1))</f>
        <v/>
      </c>
      <c r="V1223" s="19">
        <f>IF($B1223="","",TEXT($B1223,"0000"))</f>
        <v/>
      </c>
      <c r="W1223" s="19">
        <f>IF($I1223="","",IF(ISNUMBER($I1223),TEXT($I1223,"0"),$I1223))</f>
        <v/>
      </c>
    </row>
    <row r="1224">
      <c r="B1224" s="25" t="n"/>
      <c r="I1224" s="25" t="n"/>
      <c r="U1224" s="19">
        <f>IF($V1224&lt;&gt;'設定'!$C$4,N(U1223),IF(OR(NOT(COUNTIF('商品マスタ'!$B$6:$B$1005,$W1224)=0),COUNTIFS('①在庫を貼る'!$V$6:$V$10005,$V1224,'①在庫を貼る'!$W$6:$W$10005,$W1224)+COUNTIFS('月1回_1ヶ月前の在庫'!$V$6:$V$10005,$V1224,'月1回_1ヶ月前の在庫'!$W$6:$W$10005,$W1224)&gt;0),N(U1223),N(U1223)+1))</f>
        <v/>
      </c>
      <c r="V1224" s="19">
        <f>IF($B1224="","",TEXT($B1224,"0000"))</f>
        <v/>
      </c>
      <c r="W1224" s="19">
        <f>IF($I1224="","",IF(ISNUMBER($I1224),TEXT($I1224,"0"),$I1224))</f>
        <v/>
      </c>
    </row>
    <row r="1225">
      <c r="B1225" s="25" t="n"/>
      <c r="I1225" s="25" t="n"/>
      <c r="U1225" s="19">
        <f>IF($V1225&lt;&gt;'設定'!$C$4,N(U1224),IF(OR(NOT(COUNTIF('商品マスタ'!$B$6:$B$1005,$W1225)=0),COUNTIFS('①在庫を貼る'!$V$6:$V$10005,$V1225,'①在庫を貼る'!$W$6:$W$10005,$W1225)+COUNTIFS('月1回_1ヶ月前の在庫'!$V$6:$V$10005,$V1225,'月1回_1ヶ月前の在庫'!$W$6:$W$10005,$W1225)&gt;0),N(U1224),N(U1224)+1))</f>
        <v/>
      </c>
      <c r="V1225" s="19">
        <f>IF($B1225="","",TEXT($B1225,"0000"))</f>
        <v/>
      </c>
      <c r="W1225" s="19">
        <f>IF($I1225="","",IF(ISNUMBER($I1225),TEXT($I1225,"0"),$I1225))</f>
        <v/>
      </c>
    </row>
    <row r="1226">
      <c r="B1226" s="25" t="n"/>
      <c r="I1226" s="25" t="n"/>
      <c r="U1226" s="19">
        <f>IF($V1226&lt;&gt;'設定'!$C$4,N(U1225),IF(OR(NOT(COUNTIF('商品マスタ'!$B$6:$B$1005,$W1226)=0),COUNTIFS('①在庫を貼る'!$V$6:$V$10005,$V1226,'①在庫を貼る'!$W$6:$W$10005,$W1226)+COUNTIFS('月1回_1ヶ月前の在庫'!$V$6:$V$10005,$V1226,'月1回_1ヶ月前の在庫'!$W$6:$W$10005,$W1226)&gt;0),N(U1225),N(U1225)+1))</f>
        <v/>
      </c>
      <c r="V1226" s="19">
        <f>IF($B1226="","",TEXT($B1226,"0000"))</f>
        <v/>
      </c>
      <c r="W1226" s="19">
        <f>IF($I1226="","",IF(ISNUMBER($I1226),TEXT($I1226,"0"),$I1226))</f>
        <v/>
      </c>
    </row>
    <row r="1227">
      <c r="B1227" s="25" t="n"/>
      <c r="I1227" s="25" t="n"/>
      <c r="U1227" s="19">
        <f>IF($V1227&lt;&gt;'設定'!$C$4,N(U1226),IF(OR(NOT(COUNTIF('商品マスタ'!$B$6:$B$1005,$W1227)=0),COUNTIFS('①在庫を貼る'!$V$6:$V$10005,$V1227,'①在庫を貼る'!$W$6:$W$10005,$W1227)+COUNTIFS('月1回_1ヶ月前の在庫'!$V$6:$V$10005,$V1227,'月1回_1ヶ月前の在庫'!$W$6:$W$10005,$W1227)&gt;0),N(U1226),N(U1226)+1))</f>
        <v/>
      </c>
      <c r="V1227" s="19">
        <f>IF($B1227="","",TEXT($B1227,"0000"))</f>
        <v/>
      </c>
      <c r="W1227" s="19">
        <f>IF($I1227="","",IF(ISNUMBER($I1227),TEXT($I1227,"0"),$I1227))</f>
        <v/>
      </c>
    </row>
    <row r="1228">
      <c r="B1228" s="25" t="n"/>
      <c r="I1228" s="25" t="n"/>
      <c r="U1228" s="19">
        <f>IF($V1228&lt;&gt;'設定'!$C$4,N(U1227),IF(OR(NOT(COUNTIF('商品マスタ'!$B$6:$B$1005,$W1228)=0),COUNTIFS('①在庫を貼る'!$V$6:$V$10005,$V1228,'①在庫を貼る'!$W$6:$W$10005,$W1228)+COUNTIFS('月1回_1ヶ月前の在庫'!$V$6:$V$10005,$V1228,'月1回_1ヶ月前の在庫'!$W$6:$W$10005,$W1228)&gt;0),N(U1227),N(U1227)+1))</f>
        <v/>
      </c>
      <c r="V1228" s="19">
        <f>IF($B1228="","",TEXT($B1228,"0000"))</f>
        <v/>
      </c>
      <c r="W1228" s="19">
        <f>IF($I1228="","",IF(ISNUMBER($I1228),TEXT($I1228,"0"),$I1228))</f>
        <v/>
      </c>
    </row>
    <row r="1229">
      <c r="B1229" s="25" t="n"/>
      <c r="I1229" s="25" t="n"/>
      <c r="U1229" s="19">
        <f>IF($V1229&lt;&gt;'設定'!$C$4,N(U1228),IF(OR(NOT(COUNTIF('商品マスタ'!$B$6:$B$1005,$W1229)=0),COUNTIFS('①在庫を貼る'!$V$6:$V$10005,$V1229,'①在庫を貼る'!$W$6:$W$10005,$W1229)+COUNTIFS('月1回_1ヶ月前の在庫'!$V$6:$V$10005,$V1229,'月1回_1ヶ月前の在庫'!$W$6:$W$10005,$W1229)&gt;0),N(U1228),N(U1228)+1))</f>
        <v/>
      </c>
      <c r="V1229" s="19">
        <f>IF($B1229="","",TEXT($B1229,"0000"))</f>
        <v/>
      </c>
      <c r="W1229" s="19">
        <f>IF($I1229="","",IF(ISNUMBER($I1229),TEXT($I1229,"0"),$I1229))</f>
        <v/>
      </c>
    </row>
    <row r="1230">
      <c r="B1230" s="25" t="n"/>
      <c r="I1230" s="25" t="n"/>
      <c r="U1230" s="19">
        <f>IF($V1230&lt;&gt;'設定'!$C$4,N(U1229),IF(OR(NOT(COUNTIF('商品マスタ'!$B$6:$B$1005,$W1230)=0),COUNTIFS('①在庫を貼る'!$V$6:$V$10005,$V1230,'①在庫を貼る'!$W$6:$W$10005,$W1230)+COUNTIFS('月1回_1ヶ月前の在庫'!$V$6:$V$10005,$V1230,'月1回_1ヶ月前の在庫'!$W$6:$W$10005,$W1230)&gt;0),N(U1229),N(U1229)+1))</f>
        <v/>
      </c>
      <c r="V1230" s="19">
        <f>IF($B1230="","",TEXT($B1230,"0000"))</f>
        <v/>
      </c>
      <c r="W1230" s="19">
        <f>IF($I1230="","",IF(ISNUMBER($I1230),TEXT($I1230,"0"),$I1230))</f>
        <v/>
      </c>
    </row>
    <row r="1231">
      <c r="B1231" s="25" t="n"/>
      <c r="I1231" s="25" t="n"/>
      <c r="U1231" s="19">
        <f>IF($V1231&lt;&gt;'設定'!$C$4,N(U1230),IF(OR(NOT(COUNTIF('商品マスタ'!$B$6:$B$1005,$W1231)=0),COUNTIFS('①在庫を貼る'!$V$6:$V$10005,$V1231,'①在庫を貼る'!$W$6:$W$10005,$W1231)+COUNTIFS('月1回_1ヶ月前の在庫'!$V$6:$V$10005,$V1231,'月1回_1ヶ月前の在庫'!$W$6:$W$10005,$W1231)&gt;0),N(U1230),N(U1230)+1))</f>
        <v/>
      </c>
      <c r="V1231" s="19">
        <f>IF($B1231="","",TEXT($B1231,"0000"))</f>
        <v/>
      </c>
      <c r="W1231" s="19">
        <f>IF($I1231="","",IF(ISNUMBER($I1231),TEXT($I1231,"0"),$I1231))</f>
        <v/>
      </c>
    </row>
    <row r="1232">
      <c r="B1232" s="25" t="n"/>
      <c r="I1232" s="25" t="n"/>
      <c r="U1232" s="19">
        <f>IF($V1232&lt;&gt;'設定'!$C$4,N(U1231),IF(OR(NOT(COUNTIF('商品マスタ'!$B$6:$B$1005,$W1232)=0),COUNTIFS('①在庫を貼る'!$V$6:$V$10005,$V1232,'①在庫を貼る'!$W$6:$W$10005,$W1232)+COUNTIFS('月1回_1ヶ月前の在庫'!$V$6:$V$10005,$V1232,'月1回_1ヶ月前の在庫'!$W$6:$W$10005,$W1232)&gt;0),N(U1231),N(U1231)+1))</f>
        <v/>
      </c>
      <c r="V1232" s="19">
        <f>IF($B1232="","",TEXT($B1232,"0000"))</f>
        <v/>
      </c>
      <c r="W1232" s="19">
        <f>IF($I1232="","",IF(ISNUMBER($I1232),TEXT($I1232,"0"),$I1232))</f>
        <v/>
      </c>
    </row>
    <row r="1233">
      <c r="B1233" s="25" t="n"/>
      <c r="I1233" s="25" t="n"/>
      <c r="U1233" s="19">
        <f>IF($V1233&lt;&gt;'設定'!$C$4,N(U1232),IF(OR(NOT(COUNTIF('商品マスタ'!$B$6:$B$1005,$W1233)=0),COUNTIFS('①在庫を貼る'!$V$6:$V$10005,$V1233,'①在庫を貼る'!$W$6:$W$10005,$W1233)+COUNTIFS('月1回_1ヶ月前の在庫'!$V$6:$V$10005,$V1233,'月1回_1ヶ月前の在庫'!$W$6:$W$10005,$W1233)&gt;0),N(U1232),N(U1232)+1))</f>
        <v/>
      </c>
      <c r="V1233" s="19">
        <f>IF($B1233="","",TEXT($B1233,"0000"))</f>
        <v/>
      </c>
      <c r="W1233" s="19">
        <f>IF($I1233="","",IF(ISNUMBER($I1233),TEXT($I1233,"0"),$I1233))</f>
        <v/>
      </c>
    </row>
    <row r="1234">
      <c r="B1234" s="25" t="n"/>
      <c r="I1234" s="25" t="n"/>
      <c r="U1234" s="19">
        <f>IF($V1234&lt;&gt;'設定'!$C$4,N(U1233),IF(OR(NOT(COUNTIF('商品マスタ'!$B$6:$B$1005,$W1234)=0),COUNTIFS('①在庫を貼る'!$V$6:$V$10005,$V1234,'①在庫を貼る'!$W$6:$W$10005,$W1234)+COUNTIFS('月1回_1ヶ月前の在庫'!$V$6:$V$10005,$V1234,'月1回_1ヶ月前の在庫'!$W$6:$W$10005,$W1234)&gt;0),N(U1233),N(U1233)+1))</f>
        <v/>
      </c>
      <c r="V1234" s="19">
        <f>IF($B1234="","",TEXT($B1234,"0000"))</f>
        <v/>
      </c>
      <c r="W1234" s="19">
        <f>IF($I1234="","",IF(ISNUMBER($I1234),TEXT($I1234,"0"),$I1234))</f>
        <v/>
      </c>
    </row>
    <row r="1235">
      <c r="B1235" s="25" t="n"/>
      <c r="I1235" s="25" t="n"/>
      <c r="U1235" s="19">
        <f>IF($V1235&lt;&gt;'設定'!$C$4,N(U1234),IF(OR(NOT(COUNTIF('商品マスタ'!$B$6:$B$1005,$W1235)=0),COUNTIFS('①在庫を貼る'!$V$6:$V$10005,$V1235,'①在庫を貼る'!$W$6:$W$10005,$W1235)+COUNTIFS('月1回_1ヶ月前の在庫'!$V$6:$V$10005,$V1235,'月1回_1ヶ月前の在庫'!$W$6:$W$10005,$W1235)&gt;0),N(U1234),N(U1234)+1))</f>
        <v/>
      </c>
      <c r="V1235" s="19">
        <f>IF($B1235="","",TEXT($B1235,"0000"))</f>
        <v/>
      </c>
      <c r="W1235" s="19">
        <f>IF($I1235="","",IF(ISNUMBER($I1235),TEXT($I1235,"0"),$I1235))</f>
        <v/>
      </c>
    </row>
    <row r="1236">
      <c r="B1236" s="25" t="n"/>
      <c r="I1236" s="25" t="n"/>
      <c r="U1236" s="19">
        <f>IF($V1236&lt;&gt;'設定'!$C$4,N(U1235),IF(OR(NOT(COUNTIF('商品マスタ'!$B$6:$B$1005,$W1236)=0),COUNTIFS('①在庫を貼る'!$V$6:$V$10005,$V1236,'①在庫を貼る'!$W$6:$W$10005,$W1236)+COUNTIFS('月1回_1ヶ月前の在庫'!$V$6:$V$10005,$V1236,'月1回_1ヶ月前の在庫'!$W$6:$W$10005,$W1236)&gt;0),N(U1235),N(U1235)+1))</f>
        <v/>
      </c>
      <c r="V1236" s="19">
        <f>IF($B1236="","",TEXT($B1236,"0000"))</f>
        <v/>
      </c>
      <c r="W1236" s="19">
        <f>IF($I1236="","",IF(ISNUMBER($I1236),TEXT($I1236,"0"),$I1236))</f>
        <v/>
      </c>
    </row>
    <row r="1237">
      <c r="B1237" s="25" t="n"/>
      <c r="I1237" s="25" t="n"/>
      <c r="U1237" s="19">
        <f>IF($V1237&lt;&gt;'設定'!$C$4,N(U1236),IF(OR(NOT(COUNTIF('商品マスタ'!$B$6:$B$1005,$W1237)=0),COUNTIFS('①在庫を貼る'!$V$6:$V$10005,$V1237,'①在庫を貼る'!$W$6:$W$10005,$W1237)+COUNTIFS('月1回_1ヶ月前の在庫'!$V$6:$V$10005,$V1237,'月1回_1ヶ月前の在庫'!$W$6:$W$10005,$W1237)&gt;0),N(U1236),N(U1236)+1))</f>
        <v/>
      </c>
      <c r="V1237" s="19">
        <f>IF($B1237="","",TEXT($B1237,"0000"))</f>
        <v/>
      </c>
      <c r="W1237" s="19">
        <f>IF($I1237="","",IF(ISNUMBER($I1237),TEXT($I1237,"0"),$I1237))</f>
        <v/>
      </c>
    </row>
    <row r="1238">
      <c r="B1238" s="25" t="n"/>
      <c r="I1238" s="25" t="n"/>
      <c r="U1238" s="19">
        <f>IF($V1238&lt;&gt;'設定'!$C$4,N(U1237),IF(OR(NOT(COUNTIF('商品マスタ'!$B$6:$B$1005,$W1238)=0),COUNTIFS('①在庫を貼る'!$V$6:$V$10005,$V1238,'①在庫を貼る'!$W$6:$W$10005,$W1238)+COUNTIFS('月1回_1ヶ月前の在庫'!$V$6:$V$10005,$V1238,'月1回_1ヶ月前の在庫'!$W$6:$W$10005,$W1238)&gt;0),N(U1237),N(U1237)+1))</f>
        <v/>
      </c>
      <c r="V1238" s="19">
        <f>IF($B1238="","",TEXT($B1238,"0000"))</f>
        <v/>
      </c>
      <c r="W1238" s="19">
        <f>IF($I1238="","",IF(ISNUMBER($I1238),TEXT($I1238,"0"),$I1238))</f>
        <v/>
      </c>
    </row>
    <row r="1239">
      <c r="B1239" s="25" t="n"/>
      <c r="I1239" s="25" t="n"/>
      <c r="U1239" s="19">
        <f>IF($V1239&lt;&gt;'設定'!$C$4,N(U1238),IF(OR(NOT(COUNTIF('商品マスタ'!$B$6:$B$1005,$W1239)=0),COUNTIFS('①在庫を貼る'!$V$6:$V$10005,$V1239,'①在庫を貼る'!$W$6:$W$10005,$W1239)+COUNTIFS('月1回_1ヶ月前の在庫'!$V$6:$V$10005,$V1239,'月1回_1ヶ月前の在庫'!$W$6:$W$10005,$W1239)&gt;0),N(U1238),N(U1238)+1))</f>
        <v/>
      </c>
      <c r="V1239" s="19">
        <f>IF($B1239="","",TEXT($B1239,"0000"))</f>
        <v/>
      </c>
      <c r="W1239" s="19">
        <f>IF($I1239="","",IF(ISNUMBER($I1239),TEXT($I1239,"0"),$I1239))</f>
        <v/>
      </c>
    </row>
    <row r="1240">
      <c r="B1240" s="25" t="n"/>
      <c r="I1240" s="25" t="n"/>
      <c r="U1240" s="19">
        <f>IF($V1240&lt;&gt;'設定'!$C$4,N(U1239),IF(OR(NOT(COUNTIF('商品マスタ'!$B$6:$B$1005,$W1240)=0),COUNTIFS('①在庫を貼る'!$V$6:$V$10005,$V1240,'①在庫を貼る'!$W$6:$W$10005,$W1240)+COUNTIFS('月1回_1ヶ月前の在庫'!$V$6:$V$10005,$V1240,'月1回_1ヶ月前の在庫'!$W$6:$W$10005,$W1240)&gt;0),N(U1239),N(U1239)+1))</f>
        <v/>
      </c>
      <c r="V1240" s="19">
        <f>IF($B1240="","",TEXT($B1240,"0000"))</f>
        <v/>
      </c>
      <c r="W1240" s="19">
        <f>IF($I1240="","",IF(ISNUMBER($I1240),TEXT($I1240,"0"),$I1240))</f>
        <v/>
      </c>
    </row>
    <row r="1241">
      <c r="B1241" s="25" t="n"/>
      <c r="I1241" s="25" t="n"/>
      <c r="U1241" s="19">
        <f>IF($V1241&lt;&gt;'設定'!$C$4,N(U1240),IF(OR(NOT(COUNTIF('商品マスタ'!$B$6:$B$1005,$W1241)=0),COUNTIFS('①在庫を貼る'!$V$6:$V$10005,$V1241,'①在庫を貼る'!$W$6:$W$10005,$W1241)+COUNTIFS('月1回_1ヶ月前の在庫'!$V$6:$V$10005,$V1241,'月1回_1ヶ月前の在庫'!$W$6:$W$10005,$W1241)&gt;0),N(U1240),N(U1240)+1))</f>
        <v/>
      </c>
      <c r="V1241" s="19">
        <f>IF($B1241="","",TEXT($B1241,"0000"))</f>
        <v/>
      </c>
      <c r="W1241" s="19">
        <f>IF($I1241="","",IF(ISNUMBER($I1241),TEXT($I1241,"0"),$I1241))</f>
        <v/>
      </c>
    </row>
    <row r="1242">
      <c r="B1242" s="25" t="n"/>
      <c r="I1242" s="25" t="n"/>
      <c r="U1242" s="19">
        <f>IF($V1242&lt;&gt;'設定'!$C$4,N(U1241),IF(OR(NOT(COUNTIF('商品マスタ'!$B$6:$B$1005,$W1242)=0),COUNTIFS('①在庫を貼る'!$V$6:$V$10005,$V1242,'①在庫を貼る'!$W$6:$W$10005,$W1242)+COUNTIFS('月1回_1ヶ月前の在庫'!$V$6:$V$10005,$V1242,'月1回_1ヶ月前の在庫'!$W$6:$W$10005,$W1242)&gt;0),N(U1241),N(U1241)+1))</f>
        <v/>
      </c>
      <c r="V1242" s="19">
        <f>IF($B1242="","",TEXT($B1242,"0000"))</f>
        <v/>
      </c>
      <c r="W1242" s="19">
        <f>IF($I1242="","",IF(ISNUMBER($I1242),TEXT($I1242,"0"),$I1242))</f>
        <v/>
      </c>
    </row>
    <row r="1243">
      <c r="B1243" s="25" t="n"/>
      <c r="I1243" s="25" t="n"/>
      <c r="U1243" s="19">
        <f>IF($V1243&lt;&gt;'設定'!$C$4,N(U1242),IF(OR(NOT(COUNTIF('商品マスタ'!$B$6:$B$1005,$W1243)=0),COUNTIFS('①在庫を貼る'!$V$6:$V$10005,$V1243,'①在庫を貼る'!$W$6:$W$10005,$W1243)+COUNTIFS('月1回_1ヶ月前の在庫'!$V$6:$V$10005,$V1243,'月1回_1ヶ月前の在庫'!$W$6:$W$10005,$W1243)&gt;0),N(U1242),N(U1242)+1))</f>
        <v/>
      </c>
      <c r="V1243" s="19">
        <f>IF($B1243="","",TEXT($B1243,"0000"))</f>
        <v/>
      </c>
      <c r="W1243" s="19">
        <f>IF($I1243="","",IF(ISNUMBER($I1243),TEXT($I1243,"0"),$I1243))</f>
        <v/>
      </c>
    </row>
    <row r="1244">
      <c r="B1244" s="25" t="n"/>
      <c r="I1244" s="25" t="n"/>
      <c r="U1244" s="19">
        <f>IF($V1244&lt;&gt;'設定'!$C$4,N(U1243),IF(OR(NOT(COUNTIF('商品マスタ'!$B$6:$B$1005,$W1244)=0),COUNTIFS('①在庫を貼る'!$V$6:$V$10005,$V1244,'①在庫を貼る'!$W$6:$W$10005,$W1244)+COUNTIFS('月1回_1ヶ月前の在庫'!$V$6:$V$10005,$V1244,'月1回_1ヶ月前の在庫'!$W$6:$W$10005,$W1244)&gt;0),N(U1243),N(U1243)+1))</f>
        <v/>
      </c>
      <c r="V1244" s="19">
        <f>IF($B1244="","",TEXT($B1244,"0000"))</f>
        <v/>
      </c>
      <c r="W1244" s="19">
        <f>IF($I1244="","",IF(ISNUMBER($I1244),TEXT($I1244,"0"),$I1244))</f>
        <v/>
      </c>
    </row>
    <row r="1245">
      <c r="B1245" s="25" t="n"/>
      <c r="I1245" s="25" t="n"/>
      <c r="U1245" s="19">
        <f>IF($V1245&lt;&gt;'設定'!$C$4,N(U1244),IF(OR(NOT(COUNTIF('商品マスタ'!$B$6:$B$1005,$W1245)=0),COUNTIFS('①在庫を貼る'!$V$6:$V$10005,$V1245,'①在庫を貼る'!$W$6:$W$10005,$W1245)+COUNTIFS('月1回_1ヶ月前の在庫'!$V$6:$V$10005,$V1245,'月1回_1ヶ月前の在庫'!$W$6:$W$10005,$W1245)&gt;0),N(U1244),N(U1244)+1))</f>
        <v/>
      </c>
      <c r="V1245" s="19">
        <f>IF($B1245="","",TEXT($B1245,"0000"))</f>
        <v/>
      </c>
      <c r="W1245" s="19">
        <f>IF($I1245="","",IF(ISNUMBER($I1245),TEXT($I1245,"0"),$I1245))</f>
        <v/>
      </c>
    </row>
    <row r="1246">
      <c r="B1246" s="25" t="n"/>
      <c r="I1246" s="25" t="n"/>
      <c r="U1246" s="19">
        <f>IF($V1246&lt;&gt;'設定'!$C$4,N(U1245),IF(OR(NOT(COUNTIF('商品マスタ'!$B$6:$B$1005,$W1246)=0),COUNTIFS('①在庫を貼る'!$V$6:$V$10005,$V1246,'①在庫を貼る'!$W$6:$W$10005,$W1246)+COUNTIFS('月1回_1ヶ月前の在庫'!$V$6:$V$10005,$V1246,'月1回_1ヶ月前の在庫'!$W$6:$W$10005,$W1246)&gt;0),N(U1245),N(U1245)+1))</f>
        <v/>
      </c>
      <c r="V1246" s="19">
        <f>IF($B1246="","",TEXT($B1246,"0000"))</f>
        <v/>
      </c>
      <c r="W1246" s="19">
        <f>IF($I1246="","",IF(ISNUMBER($I1246),TEXT($I1246,"0"),$I1246))</f>
        <v/>
      </c>
    </row>
    <row r="1247">
      <c r="B1247" s="25" t="n"/>
      <c r="I1247" s="25" t="n"/>
      <c r="U1247" s="19">
        <f>IF($V1247&lt;&gt;'設定'!$C$4,N(U1246),IF(OR(NOT(COUNTIF('商品マスタ'!$B$6:$B$1005,$W1247)=0),COUNTIFS('①在庫を貼る'!$V$6:$V$10005,$V1247,'①在庫を貼る'!$W$6:$W$10005,$W1247)+COUNTIFS('月1回_1ヶ月前の在庫'!$V$6:$V$10005,$V1247,'月1回_1ヶ月前の在庫'!$W$6:$W$10005,$W1247)&gt;0),N(U1246),N(U1246)+1))</f>
        <v/>
      </c>
      <c r="V1247" s="19">
        <f>IF($B1247="","",TEXT($B1247,"0000"))</f>
        <v/>
      </c>
      <c r="W1247" s="19">
        <f>IF($I1247="","",IF(ISNUMBER($I1247),TEXT($I1247,"0"),$I1247))</f>
        <v/>
      </c>
    </row>
    <row r="1248">
      <c r="B1248" s="25" t="n"/>
      <c r="I1248" s="25" t="n"/>
      <c r="U1248" s="19">
        <f>IF($V1248&lt;&gt;'設定'!$C$4,N(U1247),IF(OR(NOT(COUNTIF('商品マスタ'!$B$6:$B$1005,$W1248)=0),COUNTIFS('①在庫を貼る'!$V$6:$V$10005,$V1248,'①在庫を貼る'!$W$6:$W$10005,$W1248)+COUNTIFS('月1回_1ヶ月前の在庫'!$V$6:$V$10005,$V1248,'月1回_1ヶ月前の在庫'!$W$6:$W$10005,$W1248)&gt;0),N(U1247),N(U1247)+1))</f>
        <v/>
      </c>
      <c r="V1248" s="19">
        <f>IF($B1248="","",TEXT($B1248,"0000"))</f>
        <v/>
      </c>
      <c r="W1248" s="19">
        <f>IF($I1248="","",IF(ISNUMBER($I1248),TEXT($I1248,"0"),$I1248))</f>
        <v/>
      </c>
    </row>
    <row r="1249">
      <c r="B1249" s="25" t="n"/>
      <c r="I1249" s="25" t="n"/>
      <c r="U1249" s="19">
        <f>IF($V1249&lt;&gt;'設定'!$C$4,N(U1248),IF(OR(NOT(COUNTIF('商品マスタ'!$B$6:$B$1005,$W1249)=0),COUNTIFS('①在庫を貼る'!$V$6:$V$10005,$V1249,'①在庫を貼る'!$W$6:$W$10005,$W1249)+COUNTIFS('月1回_1ヶ月前の在庫'!$V$6:$V$10005,$V1249,'月1回_1ヶ月前の在庫'!$W$6:$W$10005,$W1249)&gt;0),N(U1248),N(U1248)+1))</f>
        <v/>
      </c>
      <c r="V1249" s="19">
        <f>IF($B1249="","",TEXT($B1249,"0000"))</f>
        <v/>
      </c>
      <c r="W1249" s="19">
        <f>IF($I1249="","",IF(ISNUMBER($I1249),TEXT($I1249,"0"),$I1249))</f>
        <v/>
      </c>
    </row>
    <row r="1250">
      <c r="B1250" s="25" t="n"/>
      <c r="I1250" s="25" t="n"/>
      <c r="U1250" s="19">
        <f>IF($V1250&lt;&gt;'設定'!$C$4,N(U1249),IF(OR(NOT(COUNTIF('商品マスタ'!$B$6:$B$1005,$W1250)=0),COUNTIFS('①在庫を貼る'!$V$6:$V$10005,$V1250,'①在庫を貼る'!$W$6:$W$10005,$W1250)+COUNTIFS('月1回_1ヶ月前の在庫'!$V$6:$V$10005,$V1250,'月1回_1ヶ月前の在庫'!$W$6:$W$10005,$W1250)&gt;0),N(U1249),N(U1249)+1))</f>
        <v/>
      </c>
      <c r="V1250" s="19">
        <f>IF($B1250="","",TEXT($B1250,"0000"))</f>
        <v/>
      </c>
      <c r="W1250" s="19">
        <f>IF($I1250="","",IF(ISNUMBER($I1250),TEXT($I1250,"0"),$I1250))</f>
        <v/>
      </c>
    </row>
    <row r="1251">
      <c r="B1251" s="25" t="n"/>
      <c r="I1251" s="25" t="n"/>
      <c r="U1251" s="19">
        <f>IF($V1251&lt;&gt;'設定'!$C$4,N(U1250),IF(OR(NOT(COUNTIF('商品マスタ'!$B$6:$B$1005,$W1251)=0),COUNTIFS('①在庫を貼る'!$V$6:$V$10005,$V1251,'①在庫を貼る'!$W$6:$W$10005,$W1251)+COUNTIFS('月1回_1ヶ月前の在庫'!$V$6:$V$10005,$V1251,'月1回_1ヶ月前の在庫'!$W$6:$W$10005,$W1251)&gt;0),N(U1250),N(U1250)+1))</f>
        <v/>
      </c>
      <c r="V1251" s="19">
        <f>IF($B1251="","",TEXT($B1251,"0000"))</f>
        <v/>
      </c>
      <c r="W1251" s="19">
        <f>IF($I1251="","",IF(ISNUMBER($I1251),TEXT($I1251,"0"),$I1251))</f>
        <v/>
      </c>
    </row>
    <row r="1252">
      <c r="B1252" s="25" t="n"/>
      <c r="I1252" s="25" t="n"/>
      <c r="U1252" s="19">
        <f>IF($V1252&lt;&gt;'設定'!$C$4,N(U1251),IF(OR(NOT(COUNTIF('商品マスタ'!$B$6:$B$1005,$W1252)=0),COUNTIFS('①在庫を貼る'!$V$6:$V$10005,$V1252,'①在庫を貼る'!$W$6:$W$10005,$W1252)+COUNTIFS('月1回_1ヶ月前の在庫'!$V$6:$V$10005,$V1252,'月1回_1ヶ月前の在庫'!$W$6:$W$10005,$W1252)&gt;0),N(U1251),N(U1251)+1))</f>
        <v/>
      </c>
      <c r="V1252" s="19">
        <f>IF($B1252="","",TEXT($B1252,"0000"))</f>
        <v/>
      </c>
      <c r="W1252" s="19">
        <f>IF($I1252="","",IF(ISNUMBER($I1252),TEXT($I1252,"0"),$I1252))</f>
        <v/>
      </c>
    </row>
    <row r="1253">
      <c r="B1253" s="25" t="n"/>
      <c r="I1253" s="25" t="n"/>
      <c r="U1253" s="19">
        <f>IF($V1253&lt;&gt;'設定'!$C$4,N(U1252),IF(OR(NOT(COUNTIF('商品マスタ'!$B$6:$B$1005,$W1253)=0),COUNTIFS('①在庫を貼る'!$V$6:$V$10005,$V1253,'①在庫を貼る'!$W$6:$W$10005,$W1253)+COUNTIFS('月1回_1ヶ月前の在庫'!$V$6:$V$10005,$V1253,'月1回_1ヶ月前の在庫'!$W$6:$W$10005,$W1253)&gt;0),N(U1252),N(U1252)+1))</f>
        <v/>
      </c>
      <c r="V1253" s="19">
        <f>IF($B1253="","",TEXT($B1253,"0000"))</f>
        <v/>
      </c>
      <c r="W1253" s="19">
        <f>IF($I1253="","",IF(ISNUMBER($I1253),TEXT($I1253,"0"),$I1253))</f>
        <v/>
      </c>
    </row>
    <row r="1254">
      <c r="B1254" s="25" t="n"/>
      <c r="I1254" s="25" t="n"/>
      <c r="U1254" s="19">
        <f>IF($V1254&lt;&gt;'設定'!$C$4,N(U1253),IF(OR(NOT(COUNTIF('商品マスタ'!$B$6:$B$1005,$W1254)=0),COUNTIFS('①在庫を貼る'!$V$6:$V$10005,$V1254,'①在庫を貼る'!$W$6:$W$10005,$W1254)+COUNTIFS('月1回_1ヶ月前の在庫'!$V$6:$V$10005,$V1254,'月1回_1ヶ月前の在庫'!$W$6:$W$10005,$W1254)&gt;0),N(U1253),N(U1253)+1))</f>
        <v/>
      </c>
      <c r="V1254" s="19">
        <f>IF($B1254="","",TEXT($B1254,"0000"))</f>
        <v/>
      </c>
      <c r="W1254" s="19">
        <f>IF($I1254="","",IF(ISNUMBER($I1254),TEXT($I1254,"0"),$I1254))</f>
        <v/>
      </c>
    </row>
    <row r="1255">
      <c r="B1255" s="25" t="n"/>
      <c r="I1255" s="25" t="n"/>
      <c r="U1255" s="19">
        <f>IF($V1255&lt;&gt;'設定'!$C$4,N(U1254),IF(OR(NOT(COUNTIF('商品マスタ'!$B$6:$B$1005,$W1255)=0),COUNTIFS('①在庫を貼る'!$V$6:$V$10005,$V1255,'①在庫を貼る'!$W$6:$W$10005,$W1255)+COUNTIFS('月1回_1ヶ月前の在庫'!$V$6:$V$10005,$V1255,'月1回_1ヶ月前の在庫'!$W$6:$W$10005,$W1255)&gt;0),N(U1254),N(U1254)+1))</f>
        <v/>
      </c>
      <c r="V1255" s="19">
        <f>IF($B1255="","",TEXT($B1255,"0000"))</f>
        <v/>
      </c>
      <c r="W1255" s="19">
        <f>IF($I1255="","",IF(ISNUMBER($I1255),TEXT($I1255,"0"),$I1255))</f>
        <v/>
      </c>
    </row>
    <row r="1256">
      <c r="B1256" s="25" t="n"/>
      <c r="I1256" s="25" t="n"/>
      <c r="U1256" s="19">
        <f>IF($V1256&lt;&gt;'設定'!$C$4,N(U1255),IF(OR(NOT(COUNTIF('商品マスタ'!$B$6:$B$1005,$W1256)=0),COUNTIFS('①在庫を貼る'!$V$6:$V$10005,$V1256,'①在庫を貼る'!$W$6:$W$10005,$W1256)+COUNTIFS('月1回_1ヶ月前の在庫'!$V$6:$V$10005,$V1256,'月1回_1ヶ月前の在庫'!$W$6:$W$10005,$W1256)&gt;0),N(U1255),N(U1255)+1))</f>
        <v/>
      </c>
      <c r="V1256" s="19">
        <f>IF($B1256="","",TEXT($B1256,"0000"))</f>
        <v/>
      </c>
      <c r="W1256" s="19">
        <f>IF($I1256="","",IF(ISNUMBER($I1256),TEXT($I1256,"0"),$I1256))</f>
        <v/>
      </c>
    </row>
    <row r="1257">
      <c r="B1257" s="25" t="n"/>
      <c r="I1257" s="25" t="n"/>
      <c r="U1257" s="19">
        <f>IF($V1257&lt;&gt;'設定'!$C$4,N(U1256),IF(OR(NOT(COUNTIF('商品マスタ'!$B$6:$B$1005,$W1257)=0),COUNTIFS('①在庫を貼る'!$V$6:$V$10005,$V1257,'①在庫を貼る'!$W$6:$W$10005,$W1257)+COUNTIFS('月1回_1ヶ月前の在庫'!$V$6:$V$10005,$V1257,'月1回_1ヶ月前の在庫'!$W$6:$W$10005,$W1257)&gt;0),N(U1256),N(U1256)+1))</f>
        <v/>
      </c>
      <c r="V1257" s="19">
        <f>IF($B1257="","",TEXT($B1257,"0000"))</f>
        <v/>
      </c>
      <c r="W1257" s="19">
        <f>IF($I1257="","",IF(ISNUMBER($I1257),TEXT($I1257,"0"),$I1257))</f>
        <v/>
      </c>
    </row>
    <row r="1258">
      <c r="B1258" s="25" t="n"/>
      <c r="I1258" s="25" t="n"/>
      <c r="U1258" s="19">
        <f>IF($V1258&lt;&gt;'設定'!$C$4,N(U1257),IF(OR(NOT(COUNTIF('商品マスタ'!$B$6:$B$1005,$W1258)=0),COUNTIFS('①在庫を貼る'!$V$6:$V$10005,$V1258,'①在庫を貼る'!$W$6:$W$10005,$W1258)+COUNTIFS('月1回_1ヶ月前の在庫'!$V$6:$V$10005,$V1258,'月1回_1ヶ月前の在庫'!$W$6:$W$10005,$W1258)&gt;0),N(U1257),N(U1257)+1))</f>
        <v/>
      </c>
      <c r="V1258" s="19">
        <f>IF($B1258="","",TEXT($B1258,"0000"))</f>
        <v/>
      </c>
      <c r="W1258" s="19">
        <f>IF($I1258="","",IF(ISNUMBER($I1258),TEXT($I1258,"0"),$I1258))</f>
        <v/>
      </c>
    </row>
    <row r="1259">
      <c r="B1259" s="25" t="n"/>
      <c r="I1259" s="25" t="n"/>
      <c r="U1259" s="19">
        <f>IF($V1259&lt;&gt;'設定'!$C$4,N(U1258),IF(OR(NOT(COUNTIF('商品マスタ'!$B$6:$B$1005,$W1259)=0),COUNTIFS('①在庫を貼る'!$V$6:$V$10005,$V1259,'①在庫を貼る'!$W$6:$W$10005,$W1259)+COUNTIFS('月1回_1ヶ月前の在庫'!$V$6:$V$10005,$V1259,'月1回_1ヶ月前の在庫'!$W$6:$W$10005,$W1259)&gt;0),N(U1258),N(U1258)+1))</f>
        <v/>
      </c>
      <c r="V1259" s="19">
        <f>IF($B1259="","",TEXT($B1259,"0000"))</f>
        <v/>
      </c>
      <c r="W1259" s="19">
        <f>IF($I1259="","",IF(ISNUMBER($I1259),TEXT($I1259,"0"),$I1259))</f>
        <v/>
      </c>
    </row>
    <row r="1260">
      <c r="B1260" s="25" t="n"/>
      <c r="I1260" s="25" t="n"/>
      <c r="U1260" s="19">
        <f>IF($V1260&lt;&gt;'設定'!$C$4,N(U1259),IF(OR(NOT(COUNTIF('商品マスタ'!$B$6:$B$1005,$W1260)=0),COUNTIFS('①在庫を貼る'!$V$6:$V$10005,$V1260,'①在庫を貼る'!$W$6:$W$10005,$W1260)+COUNTIFS('月1回_1ヶ月前の在庫'!$V$6:$V$10005,$V1260,'月1回_1ヶ月前の在庫'!$W$6:$W$10005,$W1260)&gt;0),N(U1259),N(U1259)+1))</f>
        <v/>
      </c>
      <c r="V1260" s="19">
        <f>IF($B1260="","",TEXT($B1260,"0000"))</f>
        <v/>
      </c>
      <c r="W1260" s="19">
        <f>IF($I1260="","",IF(ISNUMBER($I1260),TEXT($I1260,"0"),$I1260))</f>
        <v/>
      </c>
    </row>
    <row r="1261">
      <c r="B1261" s="25" t="n"/>
      <c r="I1261" s="25" t="n"/>
      <c r="U1261" s="19">
        <f>IF($V1261&lt;&gt;'設定'!$C$4,N(U1260),IF(OR(NOT(COUNTIF('商品マスタ'!$B$6:$B$1005,$W1261)=0),COUNTIFS('①在庫を貼る'!$V$6:$V$10005,$V1261,'①在庫を貼る'!$W$6:$W$10005,$W1261)+COUNTIFS('月1回_1ヶ月前の在庫'!$V$6:$V$10005,$V1261,'月1回_1ヶ月前の在庫'!$W$6:$W$10005,$W1261)&gt;0),N(U1260),N(U1260)+1))</f>
        <v/>
      </c>
      <c r="V1261" s="19">
        <f>IF($B1261="","",TEXT($B1261,"0000"))</f>
        <v/>
      </c>
      <c r="W1261" s="19">
        <f>IF($I1261="","",IF(ISNUMBER($I1261),TEXT($I1261,"0"),$I1261))</f>
        <v/>
      </c>
    </row>
    <row r="1262">
      <c r="B1262" s="25" t="n"/>
      <c r="I1262" s="25" t="n"/>
      <c r="U1262" s="19">
        <f>IF($V1262&lt;&gt;'設定'!$C$4,N(U1261),IF(OR(NOT(COUNTIF('商品マスタ'!$B$6:$B$1005,$W1262)=0),COUNTIFS('①在庫を貼る'!$V$6:$V$10005,$V1262,'①在庫を貼る'!$W$6:$W$10005,$W1262)+COUNTIFS('月1回_1ヶ月前の在庫'!$V$6:$V$10005,$V1262,'月1回_1ヶ月前の在庫'!$W$6:$W$10005,$W1262)&gt;0),N(U1261),N(U1261)+1))</f>
        <v/>
      </c>
      <c r="V1262" s="19">
        <f>IF($B1262="","",TEXT($B1262,"0000"))</f>
        <v/>
      </c>
      <c r="W1262" s="19">
        <f>IF($I1262="","",IF(ISNUMBER($I1262),TEXT($I1262,"0"),$I1262))</f>
        <v/>
      </c>
    </row>
    <row r="1263">
      <c r="B1263" s="25" t="n"/>
      <c r="I1263" s="25" t="n"/>
      <c r="U1263" s="19">
        <f>IF($V1263&lt;&gt;'設定'!$C$4,N(U1262),IF(OR(NOT(COUNTIF('商品マスタ'!$B$6:$B$1005,$W1263)=0),COUNTIFS('①在庫を貼る'!$V$6:$V$10005,$V1263,'①在庫を貼る'!$W$6:$W$10005,$W1263)+COUNTIFS('月1回_1ヶ月前の在庫'!$V$6:$V$10005,$V1263,'月1回_1ヶ月前の在庫'!$W$6:$W$10005,$W1263)&gt;0),N(U1262),N(U1262)+1))</f>
        <v/>
      </c>
      <c r="V1263" s="19">
        <f>IF($B1263="","",TEXT($B1263,"0000"))</f>
        <v/>
      </c>
      <c r="W1263" s="19">
        <f>IF($I1263="","",IF(ISNUMBER($I1263),TEXT($I1263,"0"),$I1263))</f>
        <v/>
      </c>
    </row>
    <row r="1264">
      <c r="B1264" s="25" t="n"/>
      <c r="I1264" s="25" t="n"/>
      <c r="U1264" s="19">
        <f>IF($V1264&lt;&gt;'設定'!$C$4,N(U1263),IF(OR(NOT(COUNTIF('商品マスタ'!$B$6:$B$1005,$W1264)=0),COUNTIFS('①在庫を貼る'!$V$6:$V$10005,$V1264,'①在庫を貼る'!$W$6:$W$10005,$W1264)+COUNTIFS('月1回_1ヶ月前の在庫'!$V$6:$V$10005,$V1264,'月1回_1ヶ月前の在庫'!$W$6:$W$10005,$W1264)&gt;0),N(U1263),N(U1263)+1))</f>
        <v/>
      </c>
      <c r="V1264" s="19">
        <f>IF($B1264="","",TEXT($B1264,"0000"))</f>
        <v/>
      </c>
      <c r="W1264" s="19">
        <f>IF($I1264="","",IF(ISNUMBER($I1264),TEXT($I1264,"0"),$I1264))</f>
        <v/>
      </c>
    </row>
    <row r="1265">
      <c r="B1265" s="25" t="n"/>
      <c r="I1265" s="25" t="n"/>
      <c r="U1265" s="19">
        <f>IF($V1265&lt;&gt;'設定'!$C$4,N(U1264),IF(OR(NOT(COUNTIF('商品マスタ'!$B$6:$B$1005,$W1265)=0),COUNTIFS('①在庫を貼る'!$V$6:$V$10005,$V1265,'①在庫を貼る'!$W$6:$W$10005,$W1265)+COUNTIFS('月1回_1ヶ月前の在庫'!$V$6:$V$10005,$V1265,'月1回_1ヶ月前の在庫'!$W$6:$W$10005,$W1265)&gt;0),N(U1264),N(U1264)+1))</f>
        <v/>
      </c>
      <c r="V1265" s="19">
        <f>IF($B1265="","",TEXT($B1265,"0000"))</f>
        <v/>
      </c>
      <c r="W1265" s="19">
        <f>IF($I1265="","",IF(ISNUMBER($I1265),TEXT($I1265,"0"),$I1265))</f>
        <v/>
      </c>
    </row>
    <row r="1266">
      <c r="B1266" s="25" t="n"/>
      <c r="I1266" s="25" t="n"/>
      <c r="U1266" s="19">
        <f>IF($V1266&lt;&gt;'設定'!$C$4,N(U1265),IF(OR(NOT(COUNTIF('商品マスタ'!$B$6:$B$1005,$W1266)=0),COUNTIFS('①在庫を貼る'!$V$6:$V$10005,$V1266,'①在庫を貼る'!$W$6:$W$10005,$W1266)+COUNTIFS('月1回_1ヶ月前の在庫'!$V$6:$V$10005,$V1266,'月1回_1ヶ月前の在庫'!$W$6:$W$10005,$W1266)&gt;0),N(U1265),N(U1265)+1))</f>
        <v/>
      </c>
      <c r="V1266" s="19">
        <f>IF($B1266="","",TEXT($B1266,"0000"))</f>
        <v/>
      </c>
      <c r="W1266" s="19">
        <f>IF($I1266="","",IF(ISNUMBER($I1266),TEXT($I1266,"0"),$I1266))</f>
        <v/>
      </c>
    </row>
    <row r="1267">
      <c r="B1267" s="25" t="n"/>
      <c r="I1267" s="25" t="n"/>
      <c r="U1267" s="19">
        <f>IF($V1267&lt;&gt;'設定'!$C$4,N(U1266),IF(OR(NOT(COUNTIF('商品マスタ'!$B$6:$B$1005,$W1267)=0),COUNTIFS('①在庫を貼る'!$V$6:$V$10005,$V1267,'①在庫を貼る'!$W$6:$W$10005,$W1267)+COUNTIFS('月1回_1ヶ月前の在庫'!$V$6:$V$10005,$V1267,'月1回_1ヶ月前の在庫'!$W$6:$W$10005,$W1267)&gt;0),N(U1266),N(U1266)+1))</f>
        <v/>
      </c>
      <c r="V1267" s="19">
        <f>IF($B1267="","",TEXT($B1267,"0000"))</f>
        <v/>
      </c>
      <c r="W1267" s="19">
        <f>IF($I1267="","",IF(ISNUMBER($I1267),TEXT($I1267,"0"),$I1267))</f>
        <v/>
      </c>
    </row>
    <row r="1268">
      <c r="B1268" s="25" t="n"/>
      <c r="I1268" s="25" t="n"/>
      <c r="U1268" s="19">
        <f>IF($V1268&lt;&gt;'設定'!$C$4,N(U1267),IF(OR(NOT(COUNTIF('商品マスタ'!$B$6:$B$1005,$W1268)=0),COUNTIFS('①在庫を貼る'!$V$6:$V$10005,$V1268,'①在庫を貼る'!$W$6:$W$10005,$W1268)+COUNTIFS('月1回_1ヶ月前の在庫'!$V$6:$V$10005,$V1268,'月1回_1ヶ月前の在庫'!$W$6:$W$10005,$W1268)&gt;0),N(U1267),N(U1267)+1))</f>
        <v/>
      </c>
      <c r="V1268" s="19">
        <f>IF($B1268="","",TEXT($B1268,"0000"))</f>
        <v/>
      </c>
      <c r="W1268" s="19">
        <f>IF($I1268="","",IF(ISNUMBER($I1268),TEXT($I1268,"0"),$I1268))</f>
        <v/>
      </c>
    </row>
    <row r="1269">
      <c r="B1269" s="25" t="n"/>
      <c r="I1269" s="25" t="n"/>
      <c r="U1269" s="19">
        <f>IF($V1269&lt;&gt;'設定'!$C$4,N(U1268),IF(OR(NOT(COUNTIF('商品マスタ'!$B$6:$B$1005,$W1269)=0),COUNTIFS('①在庫を貼る'!$V$6:$V$10005,$V1269,'①在庫を貼る'!$W$6:$W$10005,$W1269)+COUNTIFS('月1回_1ヶ月前の在庫'!$V$6:$V$10005,$V1269,'月1回_1ヶ月前の在庫'!$W$6:$W$10005,$W1269)&gt;0),N(U1268),N(U1268)+1))</f>
        <v/>
      </c>
      <c r="V1269" s="19">
        <f>IF($B1269="","",TEXT($B1269,"0000"))</f>
        <v/>
      </c>
      <c r="W1269" s="19">
        <f>IF($I1269="","",IF(ISNUMBER($I1269),TEXT($I1269,"0"),$I1269))</f>
        <v/>
      </c>
    </row>
    <row r="1270">
      <c r="B1270" s="25" t="n"/>
      <c r="I1270" s="25" t="n"/>
      <c r="U1270" s="19">
        <f>IF($V1270&lt;&gt;'設定'!$C$4,N(U1269),IF(OR(NOT(COUNTIF('商品マスタ'!$B$6:$B$1005,$W1270)=0),COUNTIFS('①在庫を貼る'!$V$6:$V$10005,$V1270,'①在庫を貼る'!$W$6:$W$10005,$W1270)+COUNTIFS('月1回_1ヶ月前の在庫'!$V$6:$V$10005,$V1270,'月1回_1ヶ月前の在庫'!$W$6:$W$10005,$W1270)&gt;0),N(U1269),N(U1269)+1))</f>
        <v/>
      </c>
      <c r="V1270" s="19">
        <f>IF($B1270="","",TEXT($B1270,"0000"))</f>
        <v/>
      </c>
      <c r="W1270" s="19">
        <f>IF($I1270="","",IF(ISNUMBER($I1270),TEXT($I1270,"0"),$I1270))</f>
        <v/>
      </c>
    </row>
    <row r="1271">
      <c r="B1271" s="25" t="n"/>
      <c r="I1271" s="25" t="n"/>
      <c r="U1271" s="19">
        <f>IF($V1271&lt;&gt;'設定'!$C$4,N(U1270),IF(OR(NOT(COUNTIF('商品マスタ'!$B$6:$B$1005,$W1271)=0),COUNTIFS('①在庫を貼る'!$V$6:$V$10005,$V1271,'①在庫を貼る'!$W$6:$W$10005,$W1271)+COUNTIFS('月1回_1ヶ月前の在庫'!$V$6:$V$10005,$V1271,'月1回_1ヶ月前の在庫'!$W$6:$W$10005,$W1271)&gt;0),N(U1270),N(U1270)+1))</f>
        <v/>
      </c>
      <c r="V1271" s="19">
        <f>IF($B1271="","",TEXT($B1271,"0000"))</f>
        <v/>
      </c>
      <c r="W1271" s="19">
        <f>IF($I1271="","",IF(ISNUMBER($I1271),TEXT($I1271,"0"),$I1271))</f>
        <v/>
      </c>
    </row>
    <row r="1272">
      <c r="B1272" s="25" t="n"/>
      <c r="I1272" s="25" t="n"/>
      <c r="U1272" s="19">
        <f>IF($V1272&lt;&gt;'設定'!$C$4,N(U1271),IF(OR(NOT(COUNTIF('商品マスタ'!$B$6:$B$1005,$W1272)=0),COUNTIFS('①在庫を貼る'!$V$6:$V$10005,$V1272,'①在庫を貼る'!$W$6:$W$10005,$W1272)+COUNTIFS('月1回_1ヶ月前の在庫'!$V$6:$V$10005,$V1272,'月1回_1ヶ月前の在庫'!$W$6:$W$10005,$W1272)&gt;0),N(U1271),N(U1271)+1))</f>
        <v/>
      </c>
      <c r="V1272" s="19">
        <f>IF($B1272="","",TEXT($B1272,"0000"))</f>
        <v/>
      </c>
      <c r="W1272" s="19">
        <f>IF($I1272="","",IF(ISNUMBER($I1272),TEXT($I1272,"0"),$I1272))</f>
        <v/>
      </c>
    </row>
    <row r="1273">
      <c r="B1273" s="25" t="n"/>
      <c r="I1273" s="25" t="n"/>
      <c r="U1273" s="19">
        <f>IF($V1273&lt;&gt;'設定'!$C$4,N(U1272),IF(OR(NOT(COUNTIF('商品マスタ'!$B$6:$B$1005,$W1273)=0),COUNTIFS('①在庫を貼る'!$V$6:$V$10005,$V1273,'①在庫を貼る'!$W$6:$W$10005,$W1273)+COUNTIFS('月1回_1ヶ月前の在庫'!$V$6:$V$10005,$V1273,'月1回_1ヶ月前の在庫'!$W$6:$W$10005,$W1273)&gt;0),N(U1272),N(U1272)+1))</f>
        <v/>
      </c>
      <c r="V1273" s="19">
        <f>IF($B1273="","",TEXT($B1273,"0000"))</f>
        <v/>
      </c>
      <c r="W1273" s="19">
        <f>IF($I1273="","",IF(ISNUMBER($I1273),TEXT($I1273,"0"),$I1273))</f>
        <v/>
      </c>
    </row>
    <row r="1274">
      <c r="B1274" s="25" t="n"/>
      <c r="I1274" s="25" t="n"/>
      <c r="U1274" s="19">
        <f>IF($V1274&lt;&gt;'設定'!$C$4,N(U1273),IF(OR(NOT(COUNTIF('商品マスタ'!$B$6:$B$1005,$W1274)=0),COUNTIFS('①在庫を貼る'!$V$6:$V$10005,$V1274,'①在庫を貼る'!$W$6:$W$10005,$W1274)+COUNTIFS('月1回_1ヶ月前の在庫'!$V$6:$V$10005,$V1274,'月1回_1ヶ月前の在庫'!$W$6:$W$10005,$W1274)&gt;0),N(U1273),N(U1273)+1))</f>
        <v/>
      </c>
      <c r="V1274" s="19">
        <f>IF($B1274="","",TEXT($B1274,"0000"))</f>
        <v/>
      </c>
      <c r="W1274" s="19">
        <f>IF($I1274="","",IF(ISNUMBER($I1274),TEXT($I1274,"0"),$I1274))</f>
        <v/>
      </c>
    </row>
    <row r="1275">
      <c r="B1275" s="25" t="n"/>
      <c r="I1275" s="25" t="n"/>
      <c r="U1275" s="19">
        <f>IF($V1275&lt;&gt;'設定'!$C$4,N(U1274),IF(OR(NOT(COUNTIF('商品マスタ'!$B$6:$B$1005,$W1275)=0),COUNTIFS('①在庫を貼る'!$V$6:$V$10005,$V1275,'①在庫を貼る'!$W$6:$W$10005,$W1275)+COUNTIFS('月1回_1ヶ月前の在庫'!$V$6:$V$10005,$V1275,'月1回_1ヶ月前の在庫'!$W$6:$W$10005,$W1275)&gt;0),N(U1274),N(U1274)+1))</f>
        <v/>
      </c>
      <c r="V1275" s="19">
        <f>IF($B1275="","",TEXT($B1275,"0000"))</f>
        <v/>
      </c>
      <c r="W1275" s="19">
        <f>IF($I1275="","",IF(ISNUMBER($I1275),TEXT($I1275,"0"),$I1275))</f>
        <v/>
      </c>
    </row>
    <row r="1276">
      <c r="B1276" s="25" t="n"/>
      <c r="I1276" s="25" t="n"/>
      <c r="U1276" s="19">
        <f>IF($V1276&lt;&gt;'設定'!$C$4,N(U1275),IF(OR(NOT(COUNTIF('商品マスタ'!$B$6:$B$1005,$W1276)=0),COUNTIFS('①在庫を貼る'!$V$6:$V$10005,$V1276,'①在庫を貼る'!$W$6:$W$10005,$W1276)+COUNTIFS('月1回_1ヶ月前の在庫'!$V$6:$V$10005,$V1276,'月1回_1ヶ月前の在庫'!$W$6:$W$10005,$W1276)&gt;0),N(U1275),N(U1275)+1))</f>
        <v/>
      </c>
      <c r="V1276" s="19">
        <f>IF($B1276="","",TEXT($B1276,"0000"))</f>
        <v/>
      </c>
      <c r="W1276" s="19">
        <f>IF($I1276="","",IF(ISNUMBER($I1276),TEXT($I1276,"0"),$I1276))</f>
        <v/>
      </c>
    </row>
    <row r="1277">
      <c r="B1277" s="25" t="n"/>
      <c r="I1277" s="25" t="n"/>
      <c r="U1277" s="19">
        <f>IF($V1277&lt;&gt;'設定'!$C$4,N(U1276),IF(OR(NOT(COUNTIF('商品マスタ'!$B$6:$B$1005,$W1277)=0),COUNTIFS('①在庫を貼る'!$V$6:$V$10005,$V1277,'①在庫を貼る'!$W$6:$W$10005,$W1277)+COUNTIFS('月1回_1ヶ月前の在庫'!$V$6:$V$10005,$V1277,'月1回_1ヶ月前の在庫'!$W$6:$W$10005,$W1277)&gt;0),N(U1276),N(U1276)+1))</f>
        <v/>
      </c>
      <c r="V1277" s="19">
        <f>IF($B1277="","",TEXT($B1277,"0000"))</f>
        <v/>
      </c>
      <c r="W1277" s="19">
        <f>IF($I1277="","",IF(ISNUMBER($I1277),TEXT($I1277,"0"),$I1277))</f>
        <v/>
      </c>
    </row>
    <row r="1278">
      <c r="B1278" s="25" t="n"/>
      <c r="I1278" s="25" t="n"/>
      <c r="U1278" s="19">
        <f>IF($V1278&lt;&gt;'設定'!$C$4,N(U1277),IF(OR(NOT(COUNTIF('商品マスタ'!$B$6:$B$1005,$W1278)=0),COUNTIFS('①在庫を貼る'!$V$6:$V$10005,$V1278,'①在庫を貼る'!$W$6:$W$10005,$W1278)+COUNTIFS('月1回_1ヶ月前の在庫'!$V$6:$V$10005,$V1278,'月1回_1ヶ月前の在庫'!$W$6:$W$10005,$W1278)&gt;0),N(U1277),N(U1277)+1))</f>
        <v/>
      </c>
      <c r="V1278" s="19">
        <f>IF($B1278="","",TEXT($B1278,"0000"))</f>
        <v/>
      </c>
      <c r="W1278" s="19">
        <f>IF($I1278="","",IF(ISNUMBER($I1278),TEXT($I1278,"0"),$I1278))</f>
        <v/>
      </c>
    </row>
    <row r="1279">
      <c r="B1279" s="25" t="n"/>
      <c r="I1279" s="25" t="n"/>
      <c r="U1279" s="19">
        <f>IF($V1279&lt;&gt;'設定'!$C$4,N(U1278),IF(OR(NOT(COUNTIF('商品マスタ'!$B$6:$B$1005,$W1279)=0),COUNTIFS('①在庫を貼る'!$V$6:$V$10005,$V1279,'①在庫を貼る'!$W$6:$W$10005,$W1279)+COUNTIFS('月1回_1ヶ月前の在庫'!$V$6:$V$10005,$V1279,'月1回_1ヶ月前の在庫'!$W$6:$W$10005,$W1279)&gt;0),N(U1278),N(U1278)+1))</f>
        <v/>
      </c>
      <c r="V1279" s="19">
        <f>IF($B1279="","",TEXT($B1279,"0000"))</f>
        <v/>
      </c>
      <c r="W1279" s="19">
        <f>IF($I1279="","",IF(ISNUMBER($I1279),TEXT($I1279,"0"),$I1279))</f>
        <v/>
      </c>
    </row>
    <row r="1280">
      <c r="B1280" s="25" t="n"/>
      <c r="I1280" s="25" t="n"/>
      <c r="U1280" s="19">
        <f>IF($V1280&lt;&gt;'設定'!$C$4,N(U1279),IF(OR(NOT(COUNTIF('商品マスタ'!$B$6:$B$1005,$W1280)=0),COUNTIFS('①在庫を貼る'!$V$6:$V$10005,$V1280,'①在庫を貼る'!$W$6:$W$10005,$W1280)+COUNTIFS('月1回_1ヶ月前の在庫'!$V$6:$V$10005,$V1280,'月1回_1ヶ月前の在庫'!$W$6:$W$10005,$W1280)&gt;0),N(U1279),N(U1279)+1))</f>
        <v/>
      </c>
      <c r="V1280" s="19">
        <f>IF($B1280="","",TEXT($B1280,"0000"))</f>
        <v/>
      </c>
      <c r="W1280" s="19">
        <f>IF($I1280="","",IF(ISNUMBER($I1280),TEXT($I1280,"0"),$I1280))</f>
        <v/>
      </c>
    </row>
    <row r="1281">
      <c r="B1281" s="25" t="n"/>
      <c r="I1281" s="25" t="n"/>
      <c r="U1281" s="19">
        <f>IF($V1281&lt;&gt;'設定'!$C$4,N(U1280),IF(OR(NOT(COUNTIF('商品マスタ'!$B$6:$B$1005,$W1281)=0),COUNTIFS('①在庫を貼る'!$V$6:$V$10005,$V1281,'①在庫を貼る'!$W$6:$W$10005,$W1281)+COUNTIFS('月1回_1ヶ月前の在庫'!$V$6:$V$10005,$V1281,'月1回_1ヶ月前の在庫'!$W$6:$W$10005,$W1281)&gt;0),N(U1280),N(U1280)+1))</f>
        <v/>
      </c>
      <c r="V1281" s="19">
        <f>IF($B1281="","",TEXT($B1281,"0000"))</f>
        <v/>
      </c>
      <c r="W1281" s="19">
        <f>IF($I1281="","",IF(ISNUMBER($I1281),TEXT($I1281,"0"),$I1281))</f>
        <v/>
      </c>
    </row>
    <row r="1282">
      <c r="B1282" s="25" t="n"/>
      <c r="I1282" s="25" t="n"/>
      <c r="U1282" s="19">
        <f>IF($V1282&lt;&gt;'設定'!$C$4,N(U1281),IF(OR(NOT(COUNTIF('商品マスタ'!$B$6:$B$1005,$W1282)=0),COUNTIFS('①在庫を貼る'!$V$6:$V$10005,$V1282,'①在庫を貼る'!$W$6:$W$10005,$W1282)+COUNTIFS('月1回_1ヶ月前の在庫'!$V$6:$V$10005,$V1282,'月1回_1ヶ月前の在庫'!$W$6:$W$10005,$W1282)&gt;0),N(U1281),N(U1281)+1))</f>
        <v/>
      </c>
      <c r="V1282" s="19">
        <f>IF($B1282="","",TEXT($B1282,"0000"))</f>
        <v/>
      </c>
      <c r="W1282" s="19">
        <f>IF($I1282="","",IF(ISNUMBER($I1282),TEXT($I1282,"0"),$I1282))</f>
        <v/>
      </c>
    </row>
    <row r="1283">
      <c r="B1283" s="25" t="n"/>
      <c r="I1283" s="25" t="n"/>
      <c r="U1283" s="19">
        <f>IF($V1283&lt;&gt;'設定'!$C$4,N(U1282),IF(OR(NOT(COUNTIF('商品マスタ'!$B$6:$B$1005,$W1283)=0),COUNTIFS('①在庫を貼る'!$V$6:$V$10005,$V1283,'①在庫を貼る'!$W$6:$W$10005,$W1283)+COUNTIFS('月1回_1ヶ月前の在庫'!$V$6:$V$10005,$V1283,'月1回_1ヶ月前の在庫'!$W$6:$W$10005,$W1283)&gt;0),N(U1282),N(U1282)+1))</f>
        <v/>
      </c>
      <c r="V1283" s="19">
        <f>IF($B1283="","",TEXT($B1283,"0000"))</f>
        <v/>
      </c>
      <c r="W1283" s="19">
        <f>IF($I1283="","",IF(ISNUMBER($I1283),TEXT($I1283,"0"),$I1283))</f>
        <v/>
      </c>
    </row>
    <row r="1284">
      <c r="B1284" s="25" t="n"/>
      <c r="I1284" s="25" t="n"/>
      <c r="U1284" s="19">
        <f>IF($V1284&lt;&gt;'設定'!$C$4,N(U1283),IF(OR(NOT(COUNTIF('商品マスタ'!$B$6:$B$1005,$W1284)=0),COUNTIFS('①在庫を貼る'!$V$6:$V$10005,$V1284,'①在庫を貼る'!$W$6:$W$10005,$W1284)+COUNTIFS('月1回_1ヶ月前の在庫'!$V$6:$V$10005,$V1284,'月1回_1ヶ月前の在庫'!$W$6:$W$10005,$W1284)&gt;0),N(U1283),N(U1283)+1))</f>
        <v/>
      </c>
      <c r="V1284" s="19">
        <f>IF($B1284="","",TEXT($B1284,"0000"))</f>
        <v/>
      </c>
      <c r="W1284" s="19">
        <f>IF($I1284="","",IF(ISNUMBER($I1284),TEXT($I1284,"0"),$I1284))</f>
        <v/>
      </c>
    </row>
    <row r="1285">
      <c r="B1285" s="25" t="n"/>
      <c r="I1285" s="25" t="n"/>
      <c r="U1285" s="19">
        <f>IF($V1285&lt;&gt;'設定'!$C$4,N(U1284),IF(OR(NOT(COUNTIF('商品マスタ'!$B$6:$B$1005,$W1285)=0),COUNTIFS('①在庫を貼る'!$V$6:$V$10005,$V1285,'①在庫を貼る'!$W$6:$W$10005,$W1285)+COUNTIFS('月1回_1ヶ月前の在庫'!$V$6:$V$10005,$V1285,'月1回_1ヶ月前の在庫'!$W$6:$W$10005,$W1285)&gt;0),N(U1284),N(U1284)+1))</f>
        <v/>
      </c>
      <c r="V1285" s="19">
        <f>IF($B1285="","",TEXT($B1285,"0000"))</f>
        <v/>
      </c>
      <c r="W1285" s="19">
        <f>IF($I1285="","",IF(ISNUMBER($I1285),TEXT($I1285,"0"),$I1285))</f>
        <v/>
      </c>
    </row>
    <row r="1286">
      <c r="B1286" s="25" t="n"/>
      <c r="I1286" s="25" t="n"/>
      <c r="U1286" s="19">
        <f>IF($V1286&lt;&gt;'設定'!$C$4,N(U1285),IF(OR(NOT(COUNTIF('商品マスタ'!$B$6:$B$1005,$W1286)=0),COUNTIFS('①在庫を貼る'!$V$6:$V$10005,$V1286,'①在庫を貼る'!$W$6:$W$10005,$W1286)+COUNTIFS('月1回_1ヶ月前の在庫'!$V$6:$V$10005,$V1286,'月1回_1ヶ月前の在庫'!$W$6:$W$10005,$W1286)&gt;0),N(U1285),N(U1285)+1))</f>
        <v/>
      </c>
      <c r="V1286" s="19">
        <f>IF($B1286="","",TEXT($B1286,"0000"))</f>
        <v/>
      </c>
      <c r="W1286" s="19">
        <f>IF($I1286="","",IF(ISNUMBER($I1286),TEXT($I1286,"0"),$I1286))</f>
        <v/>
      </c>
    </row>
    <row r="1287">
      <c r="B1287" s="25" t="n"/>
      <c r="I1287" s="25" t="n"/>
      <c r="U1287" s="19">
        <f>IF($V1287&lt;&gt;'設定'!$C$4,N(U1286),IF(OR(NOT(COUNTIF('商品マスタ'!$B$6:$B$1005,$W1287)=0),COUNTIFS('①在庫を貼る'!$V$6:$V$10005,$V1287,'①在庫を貼る'!$W$6:$W$10005,$W1287)+COUNTIFS('月1回_1ヶ月前の在庫'!$V$6:$V$10005,$V1287,'月1回_1ヶ月前の在庫'!$W$6:$W$10005,$W1287)&gt;0),N(U1286),N(U1286)+1))</f>
        <v/>
      </c>
      <c r="V1287" s="19">
        <f>IF($B1287="","",TEXT($B1287,"0000"))</f>
        <v/>
      </c>
      <c r="W1287" s="19">
        <f>IF($I1287="","",IF(ISNUMBER($I1287),TEXT($I1287,"0"),$I1287))</f>
        <v/>
      </c>
    </row>
    <row r="1288">
      <c r="B1288" s="25" t="n"/>
      <c r="I1288" s="25" t="n"/>
      <c r="U1288" s="19">
        <f>IF($V1288&lt;&gt;'設定'!$C$4,N(U1287),IF(OR(NOT(COUNTIF('商品マスタ'!$B$6:$B$1005,$W1288)=0),COUNTIFS('①在庫を貼る'!$V$6:$V$10005,$V1288,'①在庫を貼る'!$W$6:$W$10005,$W1288)+COUNTIFS('月1回_1ヶ月前の在庫'!$V$6:$V$10005,$V1288,'月1回_1ヶ月前の在庫'!$W$6:$W$10005,$W1288)&gt;0),N(U1287),N(U1287)+1))</f>
        <v/>
      </c>
      <c r="V1288" s="19">
        <f>IF($B1288="","",TEXT($B1288,"0000"))</f>
        <v/>
      </c>
      <c r="W1288" s="19">
        <f>IF($I1288="","",IF(ISNUMBER($I1288),TEXT($I1288,"0"),$I1288))</f>
        <v/>
      </c>
    </row>
    <row r="1289">
      <c r="B1289" s="25" t="n"/>
      <c r="I1289" s="25" t="n"/>
      <c r="U1289" s="19">
        <f>IF($V1289&lt;&gt;'設定'!$C$4,N(U1288),IF(OR(NOT(COUNTIF('商品マスタ'!$B$6:$B$1005,$W1289)=0),COUNTIFS('①在庫を貼る'!$V$6:$V$10005,$V1289,'①在庫を貼る'!$W$6:$W$10005,$W1289)+COUNTIFS('月1回_1ヶ月前の在庫'!$V$6:$V$10005,$V1289,'月1回_1ヶ月前の在庫'!$W$6:$W$10005,$W1289)&gt;0),N(U1288),N(U1288)+1))</f>
        <v/>
      </c>
      <c r="V1289" s="19">
        <f>IF($B1289="","",TEXT($B1289,"0000"))</f>
        <v/>
      </c>
      <c r="W1289" s="19">
        <f>IF($I1289="","",IF(ISNUMBER($I1289),TEXT($I1289,"0"),$I1289))</f>
        <v/>
      </c>
    </row>
    <row r="1290">
      <c r="B1290" s="25" t="n"/>
      <c r="I1290" s="25" t="n"/>
      <c r="U1290" s="19">
        <f>IF($V1290&lt;&gt;'設定'!$C$4,N(U1289),IF(OR(NOT(COUNTIF('商品マスタ'!$B$6:$B$1005,$W1290)=0),COUNTIFS('①在庫を貼る'!$V$6:$V$10005,$V1290,'①在庫を貼る'!$W$6:$W$10005,$W1290)+COUNTIFS('月1回_1ヶ月前の在庫'!$V$6:$V$10005,$V1290,'月1回_1ヶ月前の在庫'!$W$6:$W$10005,$W1290)&gt;0),N(U1289),N(U1289)+1))</f>
        <v/>
      </c>
      <c r="V1290" s="19">
        <f>IF($B1290="","",TEXT($B1290,"0000"))</f>
        <v/>
      </c>
      <c r="W1290" s="19">
        <f>IF($I1290="","",IF(ISNUMBER($I1290),TEXT($I1290,"0"),$I1290))</f>
        <v/>
      </c>
    </row>
    <row r="1291">
      <c r="B1291" s="25" t="n"/>
      <c r="I1291" s="25" t="n"/>
      <c r="U1291" s="19">
        <f>IF($V1291&lt;&gt;'設定'!$C$4,N(U1290),IF(OR(NOT(COUNTIF('商品マスタ'!$B$6:$B$1005,$W1291)=0),COUNTIFS('①在庫を貼る'!$V$6:$V$10005,$V1291,'①在庫を貼る'!$W$6:$W$10005,$W1291)+COUNTIFS('月1回_1ヶ月前の在庫'!$V$6:$V$10005,$V1291,'月1回_1ヶ月前の在庫'!$W$6:$W$10005,$W1291)&gt;0),N(U1290),N(U1290)+1))</f>
        <v/>
      </c>
      <c r="V1291" s="19">
        <f>IF($B1291="","",TEXT($B1291,"0000"))</f>
        <v/>
      </c>
      <c r="W1291" s="19">
        <f>IF($I1291="","",IF(ISNUMBER($I1291),TEXT($I1291,"0"),$I1291))</f>
        <v/>
      </c>
    </row>
    <row r="1292">
      <c r="B1292" s="25" t="n"/>
      <c r="I1292" s="25" t="n"/>
      <c r="U1292" s="19">
        <f>IF($V1292&lt;&gt;'設定'!$C$4,N(U1291),IF(OR(NOT(COUNTIF('商品マスタ'!$B$6:$B$1005,$W1292)=0),COUNTIFS('①在庫を貼る'!$V$6:$V$10005,$V1292,'①在庫を貼る'!$W$6:$W$10005,$W1292)+COUNTIFS('月1回_1ヶ月前の在庫'!$V$6:$V$10005,$V1292,'月1回_1ヶ月前の在庫'!$W$6:$W$10005,$W1292)&gt;0),N(U1291),N(U1291)+1))</f>
        <v/>
      </c>
      <c r="V1292" s="19">
        <f>IF($B1292="","",TEXT($B1292,"0000"))</f>
        <v/>
      </c>
      <c r="W1292" s="19">
        <f>IF($I1292="","",IF(ISNUMBER($I1292),TEXT($I1292,"0"),$I1292))</f>
        <v/>
      </c>
    </row>
    <row r="1293">
      <c r="B1293" s="25" t="n"/>
      <c r="I1293" s="25" t="n"/>
      <c r="U1293" s="19">
        <f>IF($V1293&lt;&gt;'設定'!$C$4,N(U1292),IF(OR(NOT(COUNTIF('商品マスタ'!$B$6:$B$1005,$W1293)=0),COUNTIFS('①在庫を貼る'!$V$6:$V$10005,$V1293,'①在庫を貼る'!$W$6:$W$10005,$W1293)+COUNTIFS('月1回_1ヶ月前の在庫'!$V$6:$V$10005,$V1293,'月1回_1ヶ月前の在庫'!$W$6:$W$10005,$W1293)&gt;0),N(U1292),N(U1292)+1))</f>
        <v/>
      </c>
      <c r="V1293" s="19">
        <f>IF($B1293="","",TEXT($B1293,"0000"))</f>
        <v/>
      </c>
      <c r="W1293" s="19">
        <f>IF($I1293="","",IF(ISNUMBER($I1293),TEXT($I1293,"0"),$I1293))</f>
        <v/>
      </c>
    </row>
    <row r="1294">
      <c r="B1294" s="25" t="n"/>
      <c r="I1294" s="25" t="n"/>
      <c r="U1294" s="19">
        <f>IF($V1294&lt;&gt;'設定'!$C$4,N(U1293),IF(OR(NOT(COUNTIF('商品マスタ'!$B$6:$B$1005,$W1294)=0),COUNTIFS('①在庫を貼る'!$V$6:$V$10005,$V1294,'①在庫を貼る'!$W$6:$W$10005,$W1294)+COUNTIFS('月1回_1ヶ月前の在庫'!$V$6:$V$10005,$V1294,'月1回_1ヶ月前の在庫'!$W$6:$W$10005,$W1294)&gt;0),N(U1293),N(U1293)+1))</f>
        <v/>
      </c>
      <c r="V1294" s="19">
        <f>IF($B1294="","",TEXT($B1294,"0000"))</f>
        <v/>
      </c>
      <c r="W1294" s="19">
        <f>IF($I1294="","",IF(ISNUMBER($I1294),TEXT($I1294,"0"),$I1294))</f>
        <v/>
      </c>
    </row>
    <row r="1295">
      <c r="B1295" s="25" t="n"/>
      <c r="I1295" s="25" t="n"/>
      <c r="U1295" s="19">
        <f>IF($V1295&lt;&gt;'設定'!$C$4,N(U1294),IF(OR(NOT(COUNTIF('商品マスタ'!$B$6:$B$1005,$W1295)=0),COUNTIFS('①在庫を貼る'!$V$6:$V$10005,$V1295,'①在庫を貼る'!$W$6:$W$10005,$W1295)+COUNTIFS('月1回_1ヶ月前の在庫'!$V$6:$V$10005,$V1295,'月1回_1ヶ月前の在庫'!$W$6:$W$10005,$W1295)&gt;0),N(U1294),N(U1294)+1))</f>
        <v/>
      </c>
      <c r="V1295" s="19">
        <f>IF($B1295="","",TEXT($B1295,"0000"))</f>
        <v/>
      </c>
      <c r="W1295" s="19">
        <f>IF($I1295="","",IF(ISNUMBER($I1295),TEXT($I1295,"0"),$I1295))</f>
        <v/>
      </c>
    </row>
    <row r="1296">
      <c r="B1296" s="25" t="n"/>
      <c r="I1296" s="25" t="n"/>
      <c r="U1296" s="19">
        <f>IF($V1296&lt;&gt;'設定'!$C$4,N(U1295),IF(OR(NOT(COUNTIF('商品マスタ'!$B$6:$B$1005,$W1296)=0),COUNTIFS('①在庫を貼る'!$V$6:$V$10005,$V1296,'①在庫を貼る'!$W$6:$W$10005,$W1296)+COUNTIFS('月1回_1ヶ月前の在庫'!$V$6:$V$10005,$V1296,'月1回_1ヶ月前の在庫'!$W$6:$W$10005,$W1296)&gt;0),N(U1295),N(U1295)+1))</f>
        <v/>
      </c>
      <c r="V1296" s="19">
        <f>IF($B1296="","",TEXT($B1296,"0000"))</f>
        <v/>
      </c>
      <c r="W1296" s="19">
        <f>IF($I1296="","",IF(ISNUMBER($I1296),TEXT($I1296,"0"),$I1296))</f>
        <v/>
      </c>
    </row>
    <row r="1297">
      <c r="B1297" s="25" t="n"/>
      <c r="I1297" s="25" t="n"/>
      <c r="U1297" s="19">
        <f>IF($V1297&lt;&gt;'設定'!$C$4,N(U1296),IF(OR(NOT(COUNTIF('商品マスタ'!$B$6:$B$1005,$W1297)=0),COUNTIFS('①在庫を貼る'!$V$6:$V$10005,$V1297,'①在庫を貼る'!$W$6:$W$10005,$W1297)+COUNTIFS('月1回_1ヶ月前の在庫'!$V$6:$V$10005,$V1297,'月1回_1ヶ月前の在庫'!$W$6:$W$10005,$W1297)&gt;0),N(U1296),N(U1296)+1))</f>
        <v/>
      </c>
      <c r="V1297" s="19">
        <f>IF($B1297="","",TEXT($B1297,"0000"))</f>
        <v/>
      </c>
      <c r="W1297" s="19">
        <f>IF($I1297="","",IF(ISNUMBER($I1297),TEXT($I1297,"0"),$I1297))</f>
        <v/>
      </c>
    </row>
    <row r="1298">
      <c r="B1298" s="25" t="n"/>
      <c r="I1298" s="25" t="n"/>
      <c r="U1298" s="19">
        <f>IF($V1298&lt;&gt;'設定'!$C$4,N(U1297),IF(OR(NOT(COUNTIF('商品マスタ'!$B$6:$B$1005,$W1298)=0),COUNTIFS('①在庫を貼る'!$V$6:$V$10005,$V1298,'①在庫を貼る'!$W$6:$W$10005,$W1298)+COUNTIFS('月1回_1ヶ月前の在庫'!$V$6:$V$10005,$V1298,'月1回_1ヶ月前の在庫'!$W$6:$W$10005,$W1298)&gt;0),N(U1297),N(U1297)+1))</f>
        <v/>
      </c>
      <c r="V1298" s="19">
        <f>IF($B1298="","",TEXT($B1298,"0000"))</f>
        <v/>
      </c>
      <c r="W1298" s="19">
        <f>IF($I1298="","",IF(ISNUMBER($I1298),TEXT($I1298,"0"),$I1298))</f>
        <v/>
      </c>
    </row>
    <row r="1299">
      <c r="B1299" s="25" t="n"/>
      <c r="I1299" s="25" t="n"/>
      <c r="U1299" s="19">
        <f>IF($V1299&lt;&gt;'設定'!$C$4,N(U1298),IF(OR(NOT(COUNTIF('商品マスタ'!$B$6:$B$1005,$W1299)=0),COUNTIFS('①在庫を貼る'!$V$6:$V$10005,$V1299,'①在庫を貼る'!$W$6:$W$10005,$W1299)+COUNTIFS('月1回_1ヶ月前の在庫'!$V$6:$V$10005,$V1299,'月1回_1ヶ月前の在庫'!$W$6:$W$10005,$W1299)&gt;0),N(U1298),N(U1298)+1))</f>
        <v/>
      </c>
      <c r="V1299" s="19">
        <f>IF($B1299="","",TEXT($B1299,"0000"))</f>
        <v/>
      </c>
      <c r="W1299" s="19">
        <f>IF($I1299="","",IF(ISNUMBER($I1299),TEXT($I1299,"0"),$I1299))</f>
        <v/>
      </c>
    </row>
    <row r="1300">
      <c r="B1300" s="25" t="n"/>
      <c r="I1300" s="25" t="n"/>
      <c r="U1300" s="19">
        <f>IF($V1300&lt;&gt;'設定'!$C$4,N(U1299),IF(OR(NOT(COUNTIF('商品マスタ'!$B$6:$B$1005,$W1300)=0),COUNTIFS('①在庫を貼る'!$V$6:$V$10005,$V1300,'①在庫を貼る'!$W$6:$W$10005,$W1300)+COUNTIFS('月1回_1ヶ月前の在庫'!$V$6:$V$10005,$V1300,'月1回_1ヶ月前の在庫'!$W$6:$W$10005,$W1300)&gt;0),N(U1299),N(U1299)+1))</f>
        <v/>
      </c>
      <c r="V1300" s="19">
        <f>IF($B1300="","",TEXT($B1300,"0000"))</f>
        <v/>
      </c>
      <c r="W1300" s="19">
        <f>IF($I1300="","",IF(ISNUMBER($I1300),TEXT($I1300,"0"),$I1300))</f>
        <v/>
      </c>
    </row>
    <row r="1301">
      <c r="B1301" s="25" t="n"/>
      <c r="I1301" s="25" t="n"/>
      <c r="U1301" s="19">
        <f>IF($V1301&lt;&gt;'設定'!$C$4,N(U1300),IF(OR(NOT(COUNTIF('商品マスタ'!$B$6:$B$1005,$W1301)=0),COUNTIFS('①在庫を貼る'!$V$6:$V$10005,$V1301,'①在庫を貼る'!$W$6:$W$10005,$W1301)+COUNTIFS('月1回_1ヶ月前の在庫'!$V$6:$V$10005,$V1301,'月1回_1ヶ月前の在庫'!$W$6:$W$10005,$W1301)&gt;0),N(U1300),N(U1300)+1))</f>
        <v/>
      </c>
      <c r="V1301" s="19">
        <f>IF($B1301="","",TEXT($B1301,"0000"))</f>
        <v/>
      </c>
      <c r="W1301" s="19">
        <f>IF($I1301="","",IF(ISNUMBER($I1301),TEXT($I1301,"0"),$I1301))</f>
        <v/>
      </c>
    </row>
    <row r="1302">
      <c r="B1302" s="25" t="n"/>
      <c r="I1302" s="25" t="n"/>
      <c r="U1302" s="19">
        <f>IF($V1302&lt;&gt;'設定'!$C$4,N(U1301),IF(OR(NOT(COUNTIF('商品マスタ'!$B$6:$B$1005,$W1302)=0),COUNTIFS('①在庫を貼る'!$V$6:$V$10005,$V1302,'①在庫を貼る'!$W$6:$W$10005,$W1302)+COUNTIFS('月1回_1ヶ月前の在庫'!$V$6:$V$10005,$V1302,'月1回_1ヶ月前の在庫'!$W$6:$W$10005,$W1302)&gt;0),N(U1301),N(U1301)+1))</f>
        <v/>
      </c>
      <c r="V1302" s="19">
        <f>IF($B1302="","",TEXT($B1302,"0000"))</f>
        <v/>
      </c>
      <c r="W1302" s="19">
        <f>IF($I1302="","",IF(ISNUMBER($I1302),TEXT($I1302,"0"),$I1302))</f>
        <v/>
      </c>
    </row>
    <row r="1303">
      <c r="B1303" s="25" t="n"/>
      <c r="I1303" s="25" t="n"/>
      <c r="U1303" s="19">
        <f>IF($V1303&lt;&gt;'設定'!$C$4,N(U1302),IF(OR(NOT(COUNTIF('商品マスタ'!$B$6:$B$1005,$W1303)=0),COUNTIFS('①在庫を貼る'!$V$6:$V$10005,$V1303,'①在庫を貼る'!$W$6:$W$10005,$W1303)+COUNTIFS('月1回_1ヶ月前の在庫'!$V$6:$V$10005,$V1303,'月1回_1ヶ月前の在庫'!$W$6:$W$10005,$W1303)&gt;0),N(U1302),N(U1302)+1))</f>
        <v/>
      </c>
      <c r="V1303" s="19">
        <f>IF($B1303="","",TEXT($B1303,"0000"))</f>
        <v/>
      </c>
      <c r="W1303" s="19">
        <f>IF($I1303="","",IF(ISNUMBER($I1303),TEXT($I1303,"0"),$I1303))</f>
        <v/>
      </c>
    </row>
    <row r="1304">
      <c r="B1304" s="25" t="n"/>
      <c r="I1304" s="25" t="n"/>
      <c r="U1304" s="19">
        <f>IF($V1304&lt;&gt;'設定'!$C$4,N(U1303),IF(OR(NOT(COUNTIF('商品マスタ'!$B$6:$B$1005,$W1304)=0),COUNTIFS('①在庫を貼る'!$V$6:$V$10005,$V1304,'①在庫を貼る'!$W$6:$W$10005,$W1304)+COUNTIFS('月1回_1ヶ月前の在庫'!$V$6:$V$10005,$V1304,'月1回_1ヶ月前の在庫'!$W$6:$W$10005,$W1304)&gt;0),N(U1303),N(U1303)+1))</f>
        <v/>
      </c>
      <c r="V1304" s="19">
        <f>IF($B1304="","",TEXT($B1304,"0000"))</f>
        <v/>
      </c>
      <c r="W1304" s="19">
        <f>IF($I1304="","",IF(ISNUMBER($I1304),TEXT($I1304,"0"),$I1304))</f>
        <v/>
      </c>
    </row>
    <row r="1305">
      <c r="B1305" s="25" t="n"/>
      <c r="I1305" s="25" t="n"/>
      <c r="U1305" s="19">
        <f>IF($V1305&lt;&gt;'設定'!$C$4,N(U1304),IF(OR(NOT(COUNTIF('商品マスタ'!$B$6:$B$1005,$W1305)=0),COUNTIFS('①在庫を貼る'!$V$6:$V$10005,$V1305,'①在庫を貼る'!$W$6:$W$10005,$W1305)+COUNTIFS('月1回_1ヶ月前の在庫'!$V$6:$V$10005,$V1305,'月1回_1ヶ月前の在庫'!$W$6:$W$10005,$W1305)&gt;0),N(U1304),N(U1304)+1))</f>
        <v/>
      </c>
      <c r="V1305" s="19">
        <f>IF($B1305="","",TEXT($B1305,"0000"))</f>
        <v/>
      </c>
      <c r="W1305" s="19">
        <f>IF($I1305="","",IF(ISNUMBER($I1305),TEXT($I1305,"0"),$I1305))</f>
        <v/>
      </c>
    </row>
    <row r="1306">
      <c r="B1306" s="25" t="n"/>
      <c r="I1306" s="25" t="n"/>
      <c r="U1306" s="19">
        <f>IF($V1306&lt;&gt;'設定'!$C$4,N(U1305),IF(OR(NOT(COUNTIF('商品マスタ'!$B$6:$B$1005,$W1306)=0),COUNTIFS('①在庫を貼る'!$V$6:$V$10005,$V1306,'①在庫を貼る'!$W$6:$W$10005,$W1306)+COUNTIFS('月1回_1ヶ月前の在庫'!$V$6:$V$10005,$V1306,'月1回_1ヶ月前の在庫'!$W$6:$W$10005,$W1306)&gt;0),N(U1305),N(U1305)+1))</f>
        <v/>
      </c>
      <c r="V1306" s="19">
        <f>IF($B1306="","",TEXT($B1306,"0000"))</f>
        <v/>
      </c>
      <c r="W1306" s="19">
        <f>IF($I1306="","",IF(ISNUMBER($I1306),TEXT($I1306,"0"),$I1306))</f>
        <v/>
      </c>
    </row>
    <row r="1307">
      <c r="B1307" s="25" t="n"/>
      <c r="I1307" s="25" t="n"/>
      <c r="U1307" s="19">
        <f>IF($V1307&lt;&gt;'設定'!$C$4,N(U1306),IF(OR(NOT(COUNTIF('商品マスタ'!$B$6:$B$1005,$W1307)=0),COUNTIFS('①在庫を貼る'!$V$6:$V$10005,$V1307,'①在庫を貼る'!$W$6:$W$10005,$W1307)+COUNTIFS('月1回_1ヶ月前の在庫'!$V$6:$V$10005,$V1307,'月1回_1ヶ月前の在庫'!$W$6:$W$10005,$W1307)&gt;0),N(U1306),N(U1306)+1))</f>
        <v/>
      </c>
      <c r="V1307" s="19">
        <f>IF($B1307="","",TEXT($B1307,"0000"))</f>
        <v/>
      </c>
      <c r="W1307" s="19">
        <f>IF($I1307="","",IF(ISNUMBER($I1307),TEXT($I1307,"0"),$I1307))</f>
        <v/>
      </c>
    </row>
    <row r="1308">
      <c r="B1308" s="25" t="n"/>
      <c r="I1308" s="25" t="n"/>
      <c r="U1308" s="19">
        <f>IF($V1308&lt;&gt;'設定'!$C$4,N(U1307),IF(OR(NOT(COUNTIF('商品マスタ'!$B$6:$B$1005,$W1308)=0),COUNTIFS('①在庫を貼る'!$V$6:$V$10005,$V1308,'①在庫を貼る'!$W$6:$W$10005,$W1308)+COUNTIFS('月1回_1ヶ月前の在庫'!$V$6:$V$10005,$V1308,'月1回_1ヶ月前の在庫'!$W$6:$W$10005,$W1308)&gt;0),N(U1307),N(U1307)+1))</f>
        <v/>
      </c>
      <c r="V1308" s="19">
        <f>IF($B1308="","",TEXT($B1308,"0000"))</f>
        <v/>
      </c>
      <c r="W1308" s="19">
        <f>IF($I1308="","",IF(ISNUMBER($I1308),TEXT($I1308,"0"),$I1308))</f>
        <v/>
      </c>
    </row>
    <row r="1309">
      <c r="B1309" s="25" t="n"/>
      <c r="I1309" s="25" t="n"/>
      <c r="U1309" s="19">
        <f>IF($V1309&lt;&gt;'設定'!$C$4,N(U1308),IF(OR(NOT(COUNTIF('商品マスタ'!$B$6:$B$1005,$W1309)=0),COUNTIFS('①在庫を貼る'!$V$6:$V$10005,$V1309,'①在庫を貼る'!$W$6:$W$10005,$W1309)+COUNTIFS('月1回_1ヶ月前の在庫'!$V$6:$V$10005,$V1309,'月1回_1ヶ月前の在庫'!$W$6:$W$10005,$W1309)&gt;0),N(U1308),N(U1308)+1))</f>
        <v/>
      </c>
      <c r="V1309" s="19">
        <f>IF($B1309="","",TEXT($B1309,"0000"))</f>
        <v/>
      </c>
      <c r="W1309" s="19">
        <f>IF($I1309="","",IF(ISNUMBER($I1309),TEXT($I1309,"0"),$I1309))</f>
        <v/>
      </c>
    </row>
    <row r="1310">
      <c r="B1310" s="25" t="n"/>
      <c r="I1310" s="25" t="n"/>
      <c r="U1310" s="19">
        <f>IF($V1310&lt;&gt;'設定'!$C$4,N(U1309),IF(OR(NOT(COUNTIF('商品マスタ'!$B$6:$B$1005,$W1310)=0),COUNTIFS('①在庫を貼る'!$V$6:$V$10005,$V1310,'①在庫を貼る'!$W$6:$W$10005,$W1310)+COUNTIFS('月1回_1ヶ月前の在庫'!$V$6:$V$10005,$V1310,'月1回_1ヶ月前の在庫'!$W$6:$W$10005,$W1310)&gt;0),N(U1309),N(U1309)+1))</f>
        <v/>
      </c>
      <c r="V1310" s="19">
        <f>IF($B1310="","",TEXT($B1310,"0000"))</f>
        <v/>
      </c>
      <c r="W1310" s="19">
        <f>IF($I1310="","",IF(ISNUMBER($I1310),TEXT($I1310,"0"),$I1310))</f>
        <v/>
      </c>
    </row>
    <row r="1311">
      <c r="B1311" s="25" t="n"/>
      <c r="I1311" s="25" t="n"/>
      <c r="U1311" s="19">
        <f>IF($V1311&lt;&gt;'設定'!$C$4,N(U1310),IF(OR(NOT(COUNTIF('商品マスタ'!$B$6:$B$1005,$W1311)=0),COUNTIFS('①在庫を貼る'!$V$6:$V$10005,$V1311,'①在庫を貼る'!$W$6:$W$10005,$W1311)+COUNTIFS('月1回_1ヶ月前の在庫'!$V$6:$V$10005,$V1311,'月1回_1ヶ月前の在庫'!$W$6:$W$10005,$W1311)&gt;0),N(U1310),N(U1310)+1))</f>
        <v/>
      </c>
      <c r="V1311" s="19">
        <f>IF($B1311="","",TEXT($B1311,"0000"))</f>
        <v/>
      </c>
      <c r="W1311" s="19">
        <f>IF($I1311="","",IF(ISNUMBER($I1311),TEXT($I1311,"0"),$I1311))</f>
        <v/>
      </c>
    </row>
    <row r="1312">
      <c r="B1312" s="25" t="n"/>
      <c r="I1312" s="25" t="n"/>
      <c r="U1312" s="19">
        <f>IF($V1312&lt;&gt;'設定'!$C$4,N(U1311),IF(OR(NOT(COUNTIF('商品マスタ'!$B$6:$B$1005,$W1312)=0),COUNTIFS('①在庫を貼る'!$V$6:$V$10005,$V1312,'①在庫を貼る'!$W$6:$W$10005,$W1312)+COUNTIFS('月1回_1ヶ月前の在庫'!$V$6:$V$10005,$V1312,'月1回_1ヶ月前の在庫'!$W$6:$W$10005,$W1312)&gt;0),N(U1311),N(U1311)+1))</f>
        <v/>
      </c>
      <c r="V1312" s="19">
        <f>IF($B1312="","",TEXT($B1312,"0000"))</f>
        <v/>
      </c>
      <c r="W1312" s="19">
        <f>IF($I1312="","",IF(ISNUMBER($I1312),TEXT($I1312,"0"),$I1312))</f>
        <v/>
      </c>
    </row>
    <row r="1313">
      <c r="B1313" s="25" t="n"/>
      <c r="I1313" s="25" t="n"/>
      <c r="U1313" s="19">
        <f>IF($V1313&lt;&gt;'設定'!$C$4,N(U1312),IF(OR(NOT(COUNTIF('商品マスタ'!$B$6:$B$1005,$W1313)=0),COUNTIFS('①在庫を貼る'!$V$6:$V$10005,$V1313,'①在庫を貼る'!$W$6:$W$10005,$W1313)+COUNTIFS('月1回_1ヶ月前の在庫'!$V$6:$V$10005,$V1313,'月1回_1ヶ月前の在庫'!$W$6:$W$10005,$W1313)&gt;0),N(U1312),N(U1312)+1))</f>
        <v/>
      </c>
      <c r="V1313" s="19">
        <f>IF($B1313="","",TEXT($B1313,"0000"))</f>
        <v/>
      </c>
      <c r="W1313" s="19">
        <f>IF($I1313="","",IF(ISNUMBER($I1313),TEXT($I1313,"0"),$I1313))</f>
        <v/>
      </c>
    </row>
    <row r="1314">
      <c r="B1314" s="25" t="n"/>
      <c r="I1314" s="25" t="n"/>
      <c r="U1314" s="19">
        <f>IF($V1314&lt;&gt;'設定'!$C$4,N(U1313),IF(OR(NOT(COUNTIF('商品マスタ'!$B$6:$B$1005,$W1314)=0),COUNTIFS('①在庫を貼る'!$V$6:$V$10005,$V1314,'①在庫を貼る'!$W$6:$W$10005,$W1314)+COUNTIFS('月1回_1ヶ月前の在庫'!$V$6:$V$10005,$V1314,'月1回_1ヶ月前の在庫'!$W$6:$W$10005,$W1314)&gt;0),N(U1313),N(U1313)+1))</f>
        <v/>
      </c>
      <c r="V1314" s="19">
        <f>IF($B1314="","",TEXT($B1314,"0000"))</f>
        <v/>
      </c>
      <c r="W1314" s="19">
        <f>IF($I1314="","",IF(ISNUMBER($I1314),TEXT($I1314,"0"),$I1314))</f>
        <v/>
      </c>
    </row>
    <row r="1315">
      <c r="B1315" s="25" t="n"/>
      <c r="I1315" s="25" t="n"/>
      <c r="U1315" s="19">
        <f>IF($V1315&lt;&gt;'設定'!$C$4,N(U1314),IF(OR(NOT(COUNTIF('商品マスタ'!$B$6:$B$1005,$W1315)=0),COUNTIFS('①在庫を貼る'!$V$6:$V$10005,$V1315,'①在庫を貼る'!$W$6:$W$10005,$W1315)+COUNTIFS('月1回_1ヶ月前の在庫'!$V$6:$V$10005,$V1315,'月1回_1ヶ月前の在庫'!$W$6:$W$10005,$W1315)&gt;0),N(U1314),N(U1314)+1))</f>
        <v/>
      </c>
      <c r="V1315" s="19">
        <f>IF($B1315="","",TEXT($B1315,"0000"))</f>
        <v/>
      </c>
      <c r="W1315" s="19">
        <f>IF($I1315="","",IF(ISNUMBER($I1315),TEXT($I1315,"0"),$I1315))</f>
        <v/>
      </c>
    </row>
    <row r="1316">
      <c r="B1316" s="25" t="n"/>
      <c r="I1316" s="25" t="n"/>
      <c r="U1316" s="19">
        <f>IF($V1316&lt;&gt;'設定'!$C$4,N(U1315),IF(OR(NOT(COUNTIF('商品マスタ'!$B$6:$B$1005,$W1316)=0),COUNTIFS('①在庫を貼る'!$V$6:$V$10005,$V1316,'①在庫を貼る'!$W$6:$W$10005,$W1316)+COUNTIFS('月1回_1ヶ月前の在庫'!$V$6:$V$10005,$V1316,'月1回_1ヶ月前の在庫'!$W$6:$W$10005,$W1316)&gt;0),N(U1315),N(U1315)+1))</f>
        <v/>
      </c>
      <c r="V1316" s="19">
        <f>IF($B1316="","",TEXT($B1316,"0000"))</f>
        <v/>
      </c>
      <c r="W1316" s="19">
        <f>IF($I1316="","",IF(ISNUMBER($I1316),TEXT($I1316,"0"),$I1316))</f>
        <v/>
      </c>
    </row>
    <row r="1317">
      <c r="B1317" s="25" t="n"/>
      <c r="I1317" s="25" t="n"/>
      <c r="U1317" s="19">
        <f>IF($V1317&lt;&gt;'設定'!$C$4,N(U1316),IF(OR(NOT(COUNTIF('商品マスタ'!$B$6:$B$1005,$W1317)=0),COUNTIFS('①在庫を貼る'!$V$6:$V$10005,$V1317,'①在庫を貼る'!$W$6:$W$10005,$W1317)+COUNTIFS('月1回_1ヶ月前の在庫'!$V$6:$V$10005,$V1317,'月1回_1ヶ月前の在庫'!$W$6:$W$10005,$W1317)&gt;0),N(U1316),N(U1316)+1))</f>
        <v/>
      </c>
      <c r="V1317" s="19">
        <f>IF($B1317="","",TEXT($B1317,"0000"))</f>
        <v/>
      </c>
      <c r="W1317" s="19">
        <f>IF($I1317="","",IF(ISNUMBER($I1317),TEXT($I1317,"0"),$I1317))</f>
        <v/>
      </c>
    </row>
    <row r="1318">
      <c r="B1318" s="25" t="n"/>
      <c r="I1318" s="25" t="n"/>
      <c r="U1318" s="19">
        <f>IF($V1318&lt;&gt;'設定'!$C$4,N(U1317),IF(OR(NOT(COUNTIF('商品マスタ'!$B$6:$B$1005,$W1318)=0),COUNTIFS('①在庫を貼る'!$V$6:$V$10005,$V1318,'①在庫を貼る'!$W$6:$W$10005,$W1318)+COUNTIFS('月1回_1ヶ月前の在庫'!$V$6:$V$10005,$V1318,'月1回_1ヶ月前の在庫'!$W$6:$W$10005,$W1318)&gt;0),N(U1317),N(U1317)+1))</f>
        <v/>
      </c>
      <c r="V1318" s="19">
        <f>IF($B1318="","",TEXT($B1318,"0000"))</f>
        <v/>
      </c>
      <c r="W1318" s="19">
        <f>IF($I1318="","",IF(ISNUMBER($I1318),TEXT($I1318,"0"),$I1318))</f>
        <v/>
      </c>
    </row>
    <row r="1319">
      <c r="B1319" s="25" t="n"/>
      <c r="I1319" s="25" t="n"/>
      <c r="U1319" s="19">
        <f>IF($V1319&lt;&gt;'設定'!$C$4,N(U1318),IF(OR(NOT(COUNTIF('商品マスタ'!$B$6:$B$1005,$W1319)=0),COUNTIFS('①在庫を貼る'!$V$6:$V$10005,$V1319,'①在庫を貼る'!$W$6:$W$10005,$W1319)+COUNTIFS('月1回_1ヶ月前の在庫'!$V$6:$V$10005,$V1319,'月1回_1ヶ月前の在庫'!$W$6:$W$10005,$W1319)&gt;0),N(U1318),N(U1318)+1))</f>
        <v/>
      </c>
      <c r="V1319" s="19">
        <f>IF($B1319="","",TEXT($B1319,"0000"))</f>
        <v/>
      </c>
      <c r="W1319" s="19">
        <f>IF($I1319="","",IF(ISNUMBER($I1319),TEXT($I1319,"0"),$I1319))</f>
        <v/>
      </c>
    </row>
    <row r="1320">
      <c r="B1320" s="25" t="n"/>
      <c r="I1320" s="25" t="n"/>
      <c r="U1320" s="19">
        <f>IF($V1320&lt;&gt;'設定'!$C$4,N(U1319),IF(OR(NOT(COUNTIF('商品マスタ'!$B$6:$B$1005,$W1320)=0),COUNTIFS('①在庫を貼る'!$V$6:$V$10005,$V1320,'①在庫を貼る'!$W$6:$W$10005,$W1320)+COUNTIFS('月1回_1ヶ月前の在庫'!$V$6:$V$10005,$V1320,'月1回_1ヶ月前の在庫'!$W$6:$W$10005,$W1320)&gt;0),N(U1319),N(U1319)+1))</f>
        <v/>
      </c>
      <c r="V1320" s="19">
        <f>IF($B1320="","",TEXT($B1320,"0000"))</f>
        <v/>
      </c>
      <c r="W1320" s="19">
        <f>IF($I1320="","",IF(ISNUMBER($I1320),TEXT($I1320,"0"),$I1320))</f>
        <v/>
      </c>
    </row>
    <row r="1321">
      <c r="B1321" s="25" t="n"/>
      <c r="I1321" s="25" t="n"/>
      <c r="U1321" s="19">
        <f>IF($V1321&lt;&gt;'設定'!$C$4,N(U1320),IF(OR(NOT(COUNTIF('商品マスタ'!$B$6:$B$1005,$W1321)=0),COUNTIFS('①在庫を貼る'!$V$6:$V$10005,$V1321,'①在庫を貼る'!$W$6:$W$10005,$W1321)+COUNTIFS('月1回_1ヶ月前の在庫'!$V$6:$V$10005,$V1321,'月1回_1ヶ月前の在庫'!$W$6:$W$10005,$W1321)&gt;0),N(U1320),N(U1320)+1))</f>
        <v/>
      </c>
      <c r="V1321" s="19">
        <f>IF($B1321="","",TEXT($B1321,"0000"))</f>
        <v/>
      </c>
      <c r="W1321" s="19">
        <f>IF($I1321="","",IF(ISNUMBER($I1321),TEXT($I1321,"0"),$I1321))</f>
        <v/>
      </c>
    </row>
    <row r="1322">
      <c r="B1322" s="25" t="n"/>
      <c r="I1322" s="25" t="n"/>
      <c r="U1322" s="19">
        <f>IF($V1322&lt;&gt;'設定'!$C$4,N(U1321),IF(OR(NOT(COUNTIF('商品マスタ'!$B$6:$B$1005,$W1322)=0),COUNTIFS('①在庫を貼る'!$V$6:$V$10005,$V1322,'①在庫を貼る'!$W$6:$W$10005,$W1322)+COUNTIFS('月1回_1ヶ月前の在庫'!$V$6:$V$10005,$V1322,'月1回_1ヶ月前の在庫'!$W$6:$W$10005,$W1322)&gt;0),N(U1321),N(U1321)+1))</f>
        <v/>
      </c>
      <c r="V1322" s="19">
        <f>IF($B1322="","",TEXT($B1322,"0000"))</f>
        <v/>
      </c>
      <c r="W1322" s="19">
        <f>IF($I1322="","",IF(ISNUMBER($I1322),TEXT($I1322,"0"),$I1322))</f>
        <v/>
      </c>
    </row>
    <row r="1323">
      <c r="B1323" s="25" t="n"/>
      <c r="I1323" s="25" t="n"/>
      <c r="U1323" s="19">
        <f>IF($V1323&lt;&gt;'設定'!$C$4,N(U1322),IF(OR(NOT(COUNTIF('商品マスタ'!$B$6:$B$1005,$W1323)=0),COUNTIFS('①在庫を貼る'!$V$6:$V$10005,$V1323,'①在庫を貼る'!$W$6:$W$10005,$W1323)+COUNTIFS('月1回_1ヶ月前の在庫'!$V$6:$V$10005,$V1323,'月1回_1ヶ月前の在庫'!$W$6:$W$10005,$W1323)&gt;0),N(U1322),N(U1322)+1))</f>
        <v/>
      </c>
      <c r="V1323" s="19">
        <f>IF($B1323="","",TEXT($B1323,"0000"))</f>
        <v/>
      </c>
      <c r="W1323" s="19">
        <f>IF($I1323="","",IF(ISNUMBER($I1323),TEXT($I1323,"0"),$I1323))</f>
        <v/>
      </c>
    </row>
    <row r="1324">
      <c r="B1324" s="25" t="n"/>
      <c r="I1324" s="25" t="n"/>
      <c r="U1324" s="19">
        <f>IF($V1324&lt;&gt;'設定'!$C$4,N(U1323),IF(OR(NOT(COUNTIF('商品マスタ'!$B$6:$B$1005,$W1324)=0),COUNTIFS('①在庫を貼る'!$V$6:$V$10005,$V1324,'①在庫を貼る'!$W$6:$W$10005,$W1324)+COUNTIFS('月1回_1ヶ月前の在庫'!$V$6:$V$10005,$V1324,'月1回_1ヶ月前の在庫'!$W$6:$W$10005,$W1324)&gt;0),N(U1323),N(U1323)+1))</f>
        <v/>
      </c>
      <c r="V1324" s="19">
        <f>IF($B1324="","",TEXT($B1324,"0000"))</f>
        <v/>
      </c>
      <c r="W1324" s="19">
        <f>IF($I1324="","",IF(ISNUMBER($I1324),TEXT($I1324,"0"),$I1324))</f>
        <v/>
      </c>
    </row>
    <row r="1325">
      <c r="B1325" s="25" t="n"/>
      <c r="I1325" s="25" t="n"/>
      <c r="U1325" s="19">
        <f>IF($V1325&lt;&gt;'設定'!$C$4,N(U1324),IF(OR(NOT(COUNTIF('商品マスタ'!$B$6:$B$1005,$W1325)=0),COUNTIFS('①在庫を貼る'!$V$6:$V$10005,$V1325,'①在庫を貼る'!$W$6:$W$10005,$W1325)+COUNTIFS('月1回_1ヶ月前の在庫'!$V$6:$V$10005,$V1325,'月1回_1ヶ月前の在庫'!$W$6:$W$10005,$W1325)&gt;0),N(U1324),N(U1324)+1))</f>
        <v/>
      </c>
      <c r="V1325" s="19">
        <f>IF($B1325="","",TEXT($B1325,"0000"))</f>
        <v/>
      </c>
      <c r="W1325" s="19">
        <f>IF($I1325="","",IF(ISNUMBER($I1325),TEXT($I1325,"0"),$I1325))</f>
        <v/>
      </c>
    </row>
    <row r="1326">
      <c r="B1326" s="25" t="n"/>
      <c r="I1326" s="25" t="n"/>
      <c r="U1326" s="19">
        <f>IF($V1326&lt;&gt;'設定'!$C$4,N(U1325),IF(OR(NOT(COUNTIF('商品マスタ'!$B$6:$B$1005,$W1326)=0),COUNTIFS('①在庫を貼る'!$V$6:$V$10005,$V1326,'①在庫を貼る'!$W$6:$W$10005,$W1326)+COUNTIFS('月1回_1ヶ月前の在庫'!$V$6:$V$10005,$V1326,'月1回_1ヶ月前の在庫'!$W$6:$W$10005,$W1326)&gt;0),N(U1325),N(U1325)+1))</f>
        <v/>
      </c>
      <c r="V1326" s="19">
        <f>IF($B1326="","",TEXT($B1326,"0000"))</f>
        <v/>
      </c>
      <c r="W1326" s="19">
        <f>IF($I1326="","",IF(ISNUMBER($I1326),TEXT($I1326,"0"),$I1326))</f>
        <v/>
      </c>
    </row>
    <row r="1327">
      <c r="B1327" s="25" t="n"/>
      <c r="I1327" s="25" t="n"/>
      <c r="U1327" s="19">
        <f>IF($V1327&lt;&gt;'設定'!$C$4,N(U1326),IF(OR(NOT(COUNTIF('商品マスタ'!$B$6:$B$1005,$W1327)=0),COUNTIFS('①在庫を貼る'!$V$6:$V$10005,$V1327,'①在庫を貼る'!$W$6:$W$10005,$W1327)+COUNTIFS('月1回_1ヶ月前の在庫'!$V$6:$V$10005,$V1327,'月1回_1ヶ月前の在庫'!$W$6:$W$10005,$W1327)&gt;0),N(U1326),N(U1326)+1))</f>
        <v/>
      </c>
      <c r="V1327" s="19">
        <f>IF($B1327="","",TEXT($B1327,"0000"))</f>
        <v/>
      </c>
      <c r="W1327" s="19">
        <f>IF($I1327="","",IF(ISNUMBER($I1327),TEXT($I1327,"0"),$I1327))</f>
        <v/>
      </c>
    </row>
    <row r="1328">
      <c r="B1328" s="25" t="n"/>
      <c r="I1328" s="25" t="n"/>
      <c r="U1328" s="19">
        <f>IF($V1328&lt;&gt;'設定'!$C$4,N(U1327),IF(OR(NOT(COUNTIF('商品マスタ'!$B$6:$B$1005,$W1328)=0),COUNTIFS('①在庫を貼る'!$V$6:$V$10005,$V1328,'①在庫を貼る'!$W$6:$W$10005,$W1328)+COUNTIFS('月1回_1ヶ月前の在庫'!$V$6:$V$10005,$V1328,'月1回_1ヶ月前の在庫'!$W$6:$W$10005,$W1328)&gt;0),N(U1327),N(U1327)+1))</f>
        <v/>
      </c>
      <c r="V1328" s="19">
        <f>IF($B1328="","",TEXT($B1328,"0000"))</f>
        <v/>
      </c>
      <c r="W1328" s="19">
        <f>IF($I1328="","",IF(ISNUMBER($I1328),TEXT($I1328,"0"),$I1328))</f>
        <v/>
      </c>
    </row>
    <row r="1329">
      <c r="B1329" s="25" t="n"/>
      <c r="I1329" s="25" t="n"/>
      <c r="U1329" s="19">
        <f>IF($V1329&lt;&gt;'設定'!$C$4,N(U1328),IF(OR(NOT(COUNTIF('商品マスタ'!$B$6:$B$1005,$W1329)=0),COUNTIFS('①在庫を貼る'!$V$6:$V$10005,$V1329,'①在庫を貼る'!$W$6:$W$10005,$W1329)+COUNTIFS('月1回_1ヶ月前の在庫'!$V$6:$V$10005,$V1329,'月1回_1ヶ月前の在庫'!$W$6:$W$10005,$W1329)&gt;0),N(U1328),N(U1328)+1))</f>
        <v/>
      </c>
      <c r="V1329" s="19">
        <f>IF($B1329="","",TEXT($B1329,"0000"))</f>
        <v/>
      </c>
      <c r="W1329" s="19">
        <f>IF($I1329="","",IF(ISNUMBER($I1329),TEXT($I1329,"0"),$I1329))</f>
        <v/>
      </c>
    </row>
    <row r="1330">
      <c r="B1330" s="25" t="n"/>
      <c r="I1330" s="25" t="n"/>
      <c r="U1330" s="19">
        <f>IF($V1330&lt;&gt;'設定'!$C$4,N(U1329),IF(OR(NOT(COUNTIF('商品マスタ'!$B$6:$B$1005,$W1330)=0),COUNTIFS('①在庫を貼る'!$V$6:$V$10005,$V1330,'①在庫を貼る'!$W$6:$W$10005,$W1330)+COUNTIFS('月1回_1ヶ月前の在庫'!$V$6:$V$10005,$V1330,'月1回_1ヶ月前の在庫'!$W$6:$W$10005,$W1330)&gt;0),N(U1329),N(U1329)+1))</f>
        <v/>
      </c>
      <c r="V1330" s="19">
        <f>IF($B1330="","",TEXT($B1330,"0000"))</f>
        <v/>
      </c>
      <c r="W1330" s="19">
        <f>IF($I1330="","",IF(ISNUMBER($I1330),TEXT($I1330,"0"),$I1330))</f>
        <v/>
      </c>
    </row>
    <row r="1331">
      <c r="B1331" s="25" t="n"/>
      <c r="I1331" s="25" t="n"/>
      <c r="U1331" s="19">
        <f>IF($V1331&lt;&gt;'設定'!$C$4,N(U1330),IF(OR(NOT(COUNTIF('商品マスタ'!$B$6:$B$1005,$W1331)=0),COUNTIFS('①在庫を貼る'!$V$6:$V$10005,$V1331,'①在庫を貼る'!$W$6:$W$10005,$W1331)+COUNTIFS('月1回_1ヶ月前の在庫'!$V$6:$V$10005,$V1331,'月1回_1ヶ月前の在庫'!$W$6:$W$10005,$W1331)&gt;0),N(U1330),N(U1330)+1))</f>
        <v/>
      </c>
      <c r="V1331" s="19">
        <f>IF($B1331="","",TEXT($B1331,"0000"))</f>
        <v/>
      </c>
      <c r="W1331" s="19">
        <f>IF($I1331="","",IF(ISNUMBER($I1331),TEXT($I1331,"0"),$I1331))</f>
        <v/>
      </c>
    </row>
    <row r="1332">
      <c r="B1332" s="25" t="n"/>
      <c r="I1332" s="25" t="n"/>
      <c r="U1332" s="19">
        <f>IF($V1332&lt;&gt;'設定'!$C$4,N(U1331),IF(OR(NOT(COUNTIF('商品マスタ'!$B$6:$B$1005,$W1332)=0),COUNTIFS('①在庫を貼る'!$V$6:$V$10005,$V1332,'①在庫を貼る'!$W$6:$W$10005,$W1332)+COUNTIFS('月1回_1ヶ月前の在庫'!$V$6:$V$10005,$V1332,'月1回_1ヶ月前の在庫'!$W$6:$W$10005,$W1332)&gt;0),N(U1331),N(U1331)+1))</f>
        <v/>
      </c>
      <c r="V1332" s="19">
        <f>IF($B1332="","",TEXT($B1332,"0000"))</f>
        <v/>
      </c>
      <c r="W1332" s="19">
        <f>IF($I1332="","",IF(ISNUMBER($I1332),TEXT($I1332,"0"),$I1332))</f>
        <v/>
      </c>
    </row>
    <row r="1333">
      <c r="B1333" s="25" t="n"/>
      <c r="I1333" s="25" t="n"/>
      <c r="U1333" s="19">
        <f>IF($V1333&lt;&gt;'設定'!$C$4,N(U1332),IF(OR(NOT(COUNTIF('商品マスタ'!$B$6:$B$1005,$W1333)=0),COUNTIFS('①在庫を貼る'!$V$6:$V$10005,$V1333,'①在庫を貼る'!$W$6:$W$10005,$W1333)+COUNTIFS('月1回_1ヶ月前の在庫'!$V$6:$V$10005,$V1333,'月1回_1ヶ月前の在庫'!$W$6:$W$10005,$W1333)&gt;0),N(U1332),N(U1332)+1))</f>
        <v/>
      </c>
      <c r="V1333" s="19">
        <f>IF($B1333="","",TEXT($B1333,"0000"))</f>
        <v/>
      </c>
      <c r="W1333" s="19">
        <f>IF($I1333="","",IF(ISNUMBER($I1333),TEXT($I1333,"0"),$I1333))</f>
        <v/>
      </c>
    </row>
    <row r="1334">
      <c r="B1334" s="25" t="n"/>
      <c r="I1334" s="25" t="n"/>
      <c r="U1334" s="19">
        <f>IF($V1334&lt;&gt;'設定'!$C$4,N(U1333),IF(OR(NOT(COUNTIF('商品マスタ'!$B$6:$B$1005,$W1334)=0),COUNTIFS('①在庫を貼る'!$V$6:$V$10005,$V1334,'①在庫を貼る'!$W$6:$W$10005,$W1334)+COUNTIFS('月1回_1ヶ月前の在庫'!$V$6:$V$10005,$V1334,'月1回_1ヶ月前の在庫'!$W$6:$W$10005,$W1334)&gt;0),N(U1333),N(U1333)+1))</f>
        <v/>
      </c>
      <c r="V1334" s="19">
        <f>IF($B1334="","",TEXT($B1334,"0000"))</f>
        <v/>
      </c>
      <c r="W1334" s="19">
        <f>IF($I1334="","",IF(ISNUMBER($I1334),TEXT($I1334,"0"),$I1334))</f>
        <v/>
      </c>
    </row>
    <row r="1335">
      <c r="B1335" s="25" t="n"/>
      <c r="I1335" s="25" t="n"/>
      <c r="U1335" s="19">
        <f>IF($V1335&lt;&gt;'設定'!$C$4,N(U1334),IF(OR(NOT(COUNTIF('商品マスタ'!$B$6:$B$1005,$W1335)=0),COUNTIFS('①在庫を貼る'!$V$6:$V$10005,$V1335,'①在庫を貼る'!$W$6:$W$10005,$W1335)+COUNTIFS('月1回_1ヶ月前の在庫'!$V$6:$V$10005,$V1335,'月1回_1ヶ月前の在庫'!$W$6:$W$10005,$W1335)&gt;0),N(U1334),N(U1334)+1))</f>
        <v/>
      </c>
      <c r="V1335" s="19">
        <f>IF($B1335="","",TEXT($B1335,"0000"))</f>
        <v/>
      </c>
      <c r="W1335" s="19">
        <f>IF($I1335="","",IF(ISNUMBER($I1335),TEXT($I1335,"0"),$I1335))</f>
        <v/>
      </c>
    </row>
    <row r="1336">
      <c r="B1336" s="25" t="n"/>
      <c r="I1336" s="25" t="n"/>
      <c r="U1336" s="19">
        <f>IF($V1336&lt;&gt;'設定'!$C$4,N(U1335),IF(OR(NOT(COUNTIF('商品マスタ'!$B$6:$B$1005,$W1336)=0),COUNTIFS('①在庫を貼る'!$V$6:$V$10005,$V1336,'①在庫を貼る'!$W$6:$W$10005,$W1336)+COUNTIFS('月1回_1ヶ月前の在庫'!$V$6:$V$10005,$V1336,'月1回_1ヶ月前の在庫'!$W$6:$W$10005,$W1336)&gt;0),N(U1335),N(U1335)+1))</f>
        <v/>
      </c>
      <c r="V1336" s="19">
        <f>IF($B1336="","",TEXT($B1336,"0000"))</f>
        <v/>
      </c>
      <c r="W1336" s="19">
        <f>IF($I1336="","",IF(ISNUMBER($I1336),TEXT($I1336,"0"),$I1336))</f>
        <v/>
      </c>
    </row>
    <row r="1337">
      <c r="B1337" s="25" t="n"/>
      <c r="I1337" s="25" t="n"/>
      <c r="U1337" s="19">
        <f>IF($V1337&lt;&gt;'設定'!$C$4,N(U1336),IF(OR(NOT(COUNTIF('商品マスタ'!$B$6:$B$1005,$W1337)=0),COUNTIFS('①在庫を貼る'!$V$6:$V$10005,$V1337,'①在庫を貼る'!$W$6:$W$10005,$W1337)+COUNTIFS('月1回_1ヶ月前の在庫'!$V$6:$V$10005,$V1337,'月1回_1ヶ月前の在庫'!$W$6:$W$10005,$W1337)&gt;0),N(U1336),N(U1336)+1))</f>
        <v/>
      </c>
      <c r="V1337" s="19">
        <f>IF($B1337="","",TEXT($B1337,"0000"))</f>
        <v/>
      </c>
      <c r="W1337" s="19">
        <f>IF($I1337="","",IF(ISNUMBER($I1337),TEXT($I1337,"0"),$I1337))</f>
        <v/>
      </c>
    </row>
    <row r="1338">
      <c r="B1338" s="25" t="n"/>
      <c r="I1338" s="25" t="n"/>
      <c r="U1338" s="19">
        <f>IF($V1338&lt;&gt;'設定'!$C$4,N(U1337),IF(OR(NOT(COUNTIF('商品マスタ'!$B$6:$B$1005,$W1338)=0),COUNTIFS('①在庫を貼る'!$V$6:$V$10005,$V1338,'①在庫を貼る'!$W$6:$W$10005,$W1338)+COUNTIFS('月1回_1ヶ月前の在庫'!$V$6:$V$10005,$V1338,'月1回_1ヶ月前の在庫'!$W$6:$W$10005,$W1338)&gt;0),N(U1337),N(U1337)+1))</f>
        <v/>
      </c>
      <c r="V1338" s="19">
        <f>IF($B1338="","",TEXT($B1338,"0000"))</f>
        <v/>
      </c>
      <c r="W1338" s="19">
        <f>IF($I1338="","",IF(ISNUMBER($I1338),TEXT($I1338,"0"),$I1338))</f>
        <v/>
      </c>
    </row>
    <row r="1339">
      <c r="B1339" s="25" t="n"/>
      <c r="I1339" s="25" t="n"/>
      <c r="U1339" s="19">
        <f>IF($V1339&lt;&gt;'設定'!$C$4,N(U1338),IF(OR(NOT(COUNTIF('商品マスタ'!$B$6:$B$1005,$W1339)=0),COUNTIFS('①在庫を貼る'!$V$6:$V$10005,$V1339,'①在庫を貼る'!$W$6:$W$10005,$W1339)+COUNTIFS('月1回_1ヶ月前の在庫'!$V$6:$V$10005,$V1339,'月1回_1ヶ月前の在庫'!$W$6:$W$10005,$W1339)&gt;0),N(U1338),N(U1338)+1))</f>
        <v/>
      </c>
      <c r="V1339" s="19">
        <f>IF($B1339="","",TEXT($B1339,"0000"))</f>
        <v/>
      </c>
      <c r="W1339" s="19">
        <f>IF($I1339="","",IF(ISNUMBER($I1339),TEXT($I1339,"0"),$I1339))</f>
        <v/>
      </c>
    </row>
    <row r="1340">
      <c r="B1340" s="25" t="n"/>
      <c r="I1340" s="25" t="n"/>
      <c r="U1340" s="19">
        <f>IF($V1340&lt;&gt;'設定'!$C$4,N(U1339),IF(OR(NOT(COUNTIF('商品マスタ'!$B$6:$B$1005,$W1340)=0),COUNTIFS('①在庫を貼る'!$V$6:$V$10005,$V1340,'①在庫を貼る'!$W$6:$W$10005,$W1340)+COUNTIFS('月1回_1ヶ月前の在庫'!$V$6:$V$10005,$V1340,'月1回_1ヶ月前の在庫'!$W$6:$W$10005,$W1340)&gt;0),N(U1339),N(U1339)+1))</f>
        <v/>
      </c>
      <c r="V1340" s="19">
        <f>IF($B1340="","",TEXT($B1340,"0000"))</f>
        <v/>
      </c>
      <c r="W1340" s="19">
        <f>IF($I1340="","",IF(ISNUMBER($I1340),TEXT($I1340,"0"),$I1340))</f>
        <v/>
      </c>
    </row>
    <row r="1341">
      <c r="B1341" s="25" t="n"/>
      <c r="I1341" s="25" t="n"/>
      <c r="U1341" s="19">
        <f>IF($V1341&lt;&gt;'設定'!$C$4,N(U1340),IF(OR(NOT(COUNTIF('商品マスタ'!$B$6:$B$1005,$W1341)=0),COUNTIFS('①在庫を貼る'!$V$6:$V$10005,$V1341,'①在庫を貼る'!$W$6:$W$10005,$W1341)+COUNTIFS('月1回_1ヶ月前の在庫'!$V$6:$V$10005,$V1341,'月1回_1ヶ月前の在庫'!$W$6:$W$10005,$W1341)&gt;0),N(U1340),N(U1340)+1))</f>
        <v/>
      </c>
      <c r="V1341" s="19">
        <f>IF($B1341="","",TEXT($B1341,"0000"))</f>
        <v/>
      </c>
      <c r="W1341" s="19">
        <f>IF($I1341="","",IF(ISNUMBER($I1341),TEXT($I1341,"0"),$I1341))</f>
        <v/>
      </c>
    </row>
    <row r="1342">
      <c r="B1342" s="25" t="n"/>
      <c r="I1342" s="25" t="n"/>
      <c r="U1342" s="19">
        <f>IF($V1342&lt;&gt;'設定'!$C$4,N(U1341),IF(OR(NOT(COUNTIF('商品マスタ'!$B$6:$B$1005,$W1342)=0),COUNTIFS('①在庫を貼る'!$V$6:$V$10005,$V1342,'①在庫を貼る'!$W$6:$W$10005,$W1342)+COUNTIFS('月1回_1ヶ月前の在庫'!$V$6:$V$10005,$V1342,'月1回_1ヶ月前の在庫'!$W$6:$W$10005,$W1342)&gt;0),N(U1341),N(U1341)+1))</f>
        <v/>
      </c>
      <c r="V1342" s="19">
        <f>IF($B1342="","",TEXT($B1342,"0000"))</f>
        <v/>
      </c>
      <c r="W1342" s="19">
        <f>IF($I1342="","",IF(ISNUMBER($I1342),TEXT($I1342,"0"),$I1342))</f>
        <v/>
      </c>
    </row>
    <row r="1343">
      <c r="B1343" s="25" t="n"/>
      <c r="I1343" s="25" t="n"/>
      <c r="U1343" s="19">
        <f>IF($V1343&lt;&gt;'設定'!$C$4,N(U1342),IF(OR(NOT(COUNTIF('商品マスタ'!$B$6:$B$1005,$W1343)=0),COUNTIFS('①在庫を貼る'!$V$6:$V$10005,$V1343,'①在庫を貼る'!$W$6:$W$10005,$W1343)+COUNTIFS('月1回_1ヶ月前の在庫'!$V$6:$V$10005,$V1343,'月1回_1ヶ月前の在庫'!$W$6:$W$10005,$W1343)&gt;0),N(U1342),N(U1342)+1))</f>
        <v/>
      </c>
      <c r="V1343" s="19">
        <f>IF($B1343="","",TEXT($B1343,"0000"))</f>
        <v/>
      </c>
      <c r="W1343" s="19">
        <f>IF($I1343="","",IF(ISNUMBER($I1343),TEXT($I1343,"0"),$I1343))</f>
        <v/>
      </c>
    </row>
    <row r="1344">
      <c r="B1344" s="25" t="n"/>
      <c r="I1344" s="25" t="n"/>
      <c r="U1344" s="19">
        <f>IF($V1344&lt;&gt;'設定'!$C$4,N(U1343),IF(OR(NOT(COUNTIF('商品マスタ'!$B$6:$B$1005,$W1344)=0),COUNTIFS('①在庫を貼る'!$V$6:$V$10005,$V1344,'①在庫を貼る'!$W$6:$W$10005,$W1344)+COUNTIFS('月1回_1ヶ月前の在庫'!$V$6:$V$10005,$V1344,'月1回_1ヶ月前の在庫'!$W$6:$W$10005,$W1344)&gt;0),N(U1343),N(U1343)+1))</f>
        <v/>
      </c>
      <c r="V1344" s="19">
        <f>IF($B1344="","",TEXT($B1344,"0000"))</f>
        <v/>
      </c>
      <c r="W1344" s="19">
        <f>IF($I1344="","",IF(ISNUMBER($I1344),TEXT($I1344,"0"),$I1344))</f>
        <v/>
      </c>
    </row>
    <row r="1345">
      <c r="B1345" s="25" t="n"/>
      <c r="I1345" s="25" t="n"/>
      <c r="U1345" s="19">
        <f>IF($V1345&lt;&gt;'設定'!$C$4,N(U1344),IF(OR(NOT(COUNTIF('商品マスタ'!$B$6:$B$1005,$W1345)=0),COUNTIFS('①在庫を貼る'!$V$6:$V$10005,$V1345,'①在庫を貼る'!$W$6:$W$10005,$W1345)+COUNTIFS('月1回_1ヶ月前の在庫'!$V$6:$V$10005,$V1345,'月1回_1ヶ月前の在庫'!$W$6:$W$10005,$W1345)&gt;0),N(U1344),N(U1344)+1))</f>
        <v/>
      </c>
      <c r="V1345" s="19">
        <f>IF($B1345="","",TEXT($B1345,"0000"))</f>
        <v/>
      </c>
      <c r="W1345" s="19">
        <f>IF($I1345="","",IF(ISNUMBER($I1345),TEXT($I1345,"0"),$I1345))</f>
        <v/>
      </c>
    </row>
    <row r="1346">
      <c r="B1346" s="25" t="n"/>
      <c r="I1346" s="25" t="n"/>
      <c r="U1346" s="19">
        <f>IF($V1346&lt;&gt;'設定'!$C$4,N(U1345),IF(OR(NOT(COUNTIF('商品マスタ'!$B$6:$B$1005,$W1346)=0),COUNTIFS('①在庫を貼る'!$V$6:$V$10005,$V1346,'①在庫を貼る'!$W$6:$W$10005,$W1346)+COUNTIFS('月1回_1ヶ月前の在庫'!$V$6:$V$10005,$V1346,'月1回_1ヶ月前の在庫'!$W$6:$W$10005,$W1346)&gt;0),N(U1345),N(U1345)+1))</f>
        <v/>
      </c>
      <c r="V1346" s="19">
        <f>IF($B1346="","",TEXT($B1346,"0000"))</f>
        <v/>
      </c>
      <c r="W1346" s="19">
        <f>IF($I1346="","",IF(ISNUMBER($I1346),TEXT($I1346,"0"),$I1346))</f>
        <v/>
      </c>
    </row>
    <row r="1347">
      <c r="B1347" s="25" t="n"/>
      <c r="I1347" s="25" t="n"/>
      <c r="U1347" s="19">
        <f>IF($V1347&lt;&gt;'設定'!$C$4,N(U1346),IF(OR(NOT(COUNTIF('商品マスタ'!$B$6:$B$1005,$W1347)=0),COUNTIFS('①在庫を貼る'!$V$6:$V$10005,$V1347,'①在庫を貼る'!$W$6:$W$10005,$W1347)+COUNTIFS('月1回_1ヶ月前の在庫'!$V$6:$V$10005,$V1347,'月1回_1ヶ月前の在庫'!$W$6:$W$10005,$W1347)&gt;0),N(U1346),N(U1346)+1))</f>
        <v/>
      </c>
      <c r="V1347" s="19">
        <f>IF($B1347="","",TEXT($B1347,"0000"))</f>
        <v/>
      </c>
      <c r="W1347" s="19">
        <f>IF($I1347="","",IF(ISNUMBER($I1347),TEXT($I1347,"0"),$I1347))</f>
        <v/>
      </c>
    </row>
    <row r="1348">
      <c r="B1348" s="25" t="n"/>
      <c r="I1348" s="25" t="n"/>
      <c r="U1348" s="19">
        <f>IF($V1348&lt;&gt;'設定'!$C$4,N(U1347),IF(OR(NOT(COUNTIF('商品マスタ'!$B$6:$B$1005,$W1348)=0),COUNTIFS('①在庫を貼る'!$V$6:$V$10005,$V1348,'①在庫を貼る'!$W$6:$W$10005,$W1348)+COUNTIFS('月1回_1ヶ月前の在庫'!$V$6:$V$10005,$V1348,'月1回_1ヶ月前の在庫'!$W$6:$W$10005,$W1348)&gt;0),N(U1347),N(U1347)+1))</f>
        <v/>
      </c>
      <c r="V1348" s="19">
        <f>IF($B1348="","",TEXT($B1348,"0000"))</f>
        <v/>
      </c>
      <c r="W1348" s="19">
        <f>IF($I1348="","",IF(ISNUMBER($I1348),TEXT($I1348,"0"),$I1348))</f>
        <v/>
      </c>
    </row>
    <row r="1349">
      <c r="B1349" s="25" t="n"/>
      <c r="I1349" s="25" t="n"/>
      <c r="U1349" s="19">
        <f>IF($V1349&lt;&gt;'設定'!$C$4,N(U1348),IF(OR(NOT(COUNTIF('商品マスタ'!$B$6:$B$1005,$W1349)=0),COUNTIFS('①在庫を貼る'!$V$6:$V$10005,$V1349,'①在庫を貼る'!$W$6:$W$10005,$W1349)+COUNTIFS('月1回_1ヶ月前の在庫'!$V$6:$V$10005,$V1349,'月1回_1ヶ月前の在庫'!$W$6:$W$10005,$W1349)&gt;0),N(U1348),N(U1348)+1))</f>
        <v/>
      </c>
      <c r="V1349" s="19">
        <f>IF($B1349="","",TEXT($B1349,"0000"))</f>
        <v/>
      </c>
      <c r="W1349" s="19">
        <f>IF($I1349="","",IF(ISNUMBER($I1349),TEXT($I1349,"0"),$I1349))</f>
        <v/>
      </c>
    </row>
    <row r="1350">
      <c r="B1350" s="25" t="n"/>
      <c r="I1350" s="25" t="n"/>
      <c r="U1350" s="19">
        <f>IF($V1350&lt;&gt;'設定'!$C$4,N(U1349),IF(OR(NOT(COUNTIF('商品マスタ'!$B$6:$B$1005,$W1350)=0),COUNTIFS('①在庫を貼る'!$V$6:$V$10005,$V1350,'①在庫を貼る'!$W$6:$W$10005,$W1350)+COUNTIFS('月1回_1ヶ月前の在庫'!$V$6:$V$10005,$V1350,'月1回_1ヶ月前の在庫'!$W$6:$W$10005,$W1350)&gt;0),N(U1349),N(U1349)+1))</f>
        <v/>
      </c>
      <c r="V1350" s="19">
        <f>IF($B1350="","",TEXT($B1350,"0000"))</f>
        <v/>
      </c>
      <c r="W1350" s="19">
        <f>IF($I1350="","",IF(ISNUMBER($I1350),TEXT($I1350,"0"),$I1350))</f>
        <v/>
      </c>
    </row>
    <row r="1351">
      <c r="B1351" s="25" t="n"/>
      <c r="I1351" s="25" t="n"/>
      <c r="U1351" s="19">
        <f>IF($V1351&lt;&gt;'設定'!$C$4,N(U1350),IF(OR(NOT(COUNTIF('商品マスタ'!$B$6:$B$1005,$W1351)=0),COUNTIFS('①在庫を貼る'!$V$6:$V$10005,$V1351,'①在庫を貼る'!$W$6:$W$10005,$W1351)+COUNTIFS('月1回_1ヶ月前の在庫'!$V$6:$V$10005,$V1351,'月1回_1ヶ月前の在庫'!$W$6:$W$10005,$W1351)&gt;0),N(U1350),N(U1350)+1))</f>
        <v/>
      </c>
      <c r="V1351" s="19">
        <f>IF($B1351="","",TEXT($B1351,"0000"))</f>
        <v/>
      </c>
      <c r="W1351" s="19">
        <f>IF($I1351="","",IF(ISNUMBER($I1351),TEXT($I1351,"0"),$I1351))</f>
        <v/>
      </c>
    </row>
    <row r="1352">
      <c r="B1352" s="25" t="n"/>
      <c r="I1352" s="25" t="n"/>
      <c r="U1352" s="19">
        <f>IF($V1352&lt;&gt;'設定'!$C$4,N(U1351),IF(OR(NOT(COUNTIF('商品マスタ'!$B$6:$B$1005,$W1352)=0),COUNTIFS('①在庫を貼る'!$V$6:$V$10005,$V1352,'①在庫を貼る'!$W$6:$W$10005,$W1352)+COUNTIFS('月1回_1ヶ月前の在庫'!$V$6:$V$10005,$V1352,'月1回_1ヶ月前の在庫'!$W$6:$W$10005,$W1352)&gt;0),N(U1351),N(U1351)+1))</f>
        <v/>
      </c>
      <c r="V1352" s="19">
        <f>IF($B1352="","",TEXT($B1352,"0000"))</f>
        <v/>
      </c>
      <c r="W1352" s="19">
        <f>IF($I1352="","",IF(ISNUMBER($I1352),TEXT($I1352,"0"),$I1352))</f>
        <v/>
      </c>
    </row>
    <row r="1353">
      <c r="B1353" s="25" t="n"/>
      <c r="I1353" s="25" t="n"/>
      <c r="U1353" s="19">
        <f>IF($V1353&lt;&gt;'設定'!$C$4,N(U1352),IF(OR(NOT(COUNTIF('商品マスタ'!$B$6:$B$1005,$W1353)=0),COUNTIFS('①在庫を貼る'!$V$6:$V$10005,$V1353,'①在庫を貼る'!$W$6:$W$10005,$W1353)+COUNTIFS('月1回_1ヶ月前の在庫'!$V$6:$V$10005,$V1353,'月1回_1ヶ月前の在庫'!$W$6:$W$10005,$W1353)&gt;0),N(U1352),N(U1352)+1))</f>
        <v/>
      </c>
      <c r="V1353" s="19">
        <f>IF($B1353="","",TEXT($B1353,"0000"))</f>
        <v/>
      </c>
      <c r="W1353" s="19">
        <f>IF($I1353="","",IF(ISNUMBER($I1353),TEXT($I1353,"0"),$I1353))</f>
        <v/>
      </c>
    </row>
    <row r="1354">
      <c r="B1354" s="25" t="n"/>
      <c r="I1354" s="25" t="n"/>
      <c r="U1354" s="19">
        <f>IF($V1354&lt;&gt;'設定'!$C$4,N(U1353),IF(OR(NOT(COUNTIF('商品マスタ'!$B$6:$B$1005,$W1354)=0),COUNTIFS('①在庫を貼る'!$V$6:$V$10005,$V1354,'①在庫を貼る'!$W$6:$W$10005,$W1354)+COUNTIFS('月1回_1ヶ月前の在庫'!$V$6:$V$10005,$V1354,'月1回_1ヶ月前の在庫'!$W$6:$W$10005,$W1354)&gt;0),N(U1353),N(U1353)+1))</f>
        <v/>
      </c>
      <c r="V1354" s="19">
        <f>IF($B1354="","",TEXT($B1354,"0000"))</f>
        <v/>
      </c>
      <c r="W1354" s="19">
        <f>IF($I1354="","",IF(ISNUMBER($I1354),TEXT($I1354,"0"),$I1354))</f>
        <v/>
      </c>
    </row>
    <row r="1355">
      <c r="B1355" s="25" t="n"/>
      <c r="I1355" s="25" t="n"/>
      <c r="U1355" s="19">
        <f>IF($V1355&lt;&gt;'設定'!$C$4,N(U1354),IF(OR(NOT(COUNTIF('商品マスタ'!$B$6:$B$1005,$W1355)=0),COUNTIFS('①在庫を貼る'!$V$6:$V$10005,$V1355,'①在庫を貼る'!$W$6:$W$10005,$W1355)+COUNTIFS('月1回_1ヶ月前の在庫'!$V$6:$V$10005,$V1355,'月1回_1ヶ月前の在庫'!$W$6:$W$10005,$W1355)&gt;0),N(U1354),N(U1354)+1))</f>
        <v/>
      </c>
      <c r="V1355" s="19">
        <f>IF($B1355="","",TEXT($B1355,"0000"))</f>
        <v/>
      </c>
      <c r="W1355" s="19">
        <f>IF($I1355="","",IF(ISNUMBER($I1355),TEXT($I1355,"0"),$I1355))</f>
        <v/>
      </c>
    </row>
    <row r="1356">
      <c r="B1356" s="25" t="n"/>
      <c r="I1356" s="25" t="n"/>
      <c r="U1356" s="19">
        <f>IF($V1356&lt;&gt;'設定'!$C$4,N(U1355),IF(OR(NOT(COUNTIF('商品マスタ'!$B$6:$B$1005,$W1356)=0),COUNTIFS('①在庫を貼る'!$V$6:$V$10005,$V1356,'①在庫を貼る'!$W$6:$W$10005,$W1356)+COUNTIFS('月1回_1ヶ月前の在庫'!$V$6:$V$10005,$V1356,'月1回_1ヶ月前の在庫'!$W$6:$W$10005,$W1356)&gt;0),N(U1355),N(U1355)+1))</f>
        <v/>
      </c>
      <c r="V1356" s="19">
        <f>IF($B1356="","",TEXT($B1356,"0000"))</f>
        <v/>
      </c>
      <c r="W1356" s="19">
        <f>IF($I1356="","",IF(ISNUMBER($I1356),TEXT($I1356,"0"),$I1356))</f>
        <v/>
      </c>
    </row>
    <row r="1357">
      <c r="B1357" s="25" t="n"/>
      <c r="I1357" s="25" t="n"/>
      <c r="U1357" s="19">
        <f>IF($V1357&lt;&gt;'設定'!$C$4,N(U1356),IF(OR(NOT(COUNTIF('商品マスタ'!$B$6:$B$1005,$W1357)=0),COUNTIFS('①在庫を貼る'!$V$6:$V$10005,$V1357,'①在庫を貼る'!$W$6:$W$10005,$W1357)+COUNTIFS('月1回_1ヶ月前の在庫'!$V$6:$V$10005,$V1357,'月1回_1ヶ月前の在庫'!$W$6:$W$10005,$W1357)&gt;0),N(U1356),N(U1356)+1))</f>
        <v/>
      </c>
      <c r="V1357" s="19">
        <f>IF($B1357="","",TEXT($B1357,"0000"))</f>
        <v/>
      </c>
      <c r="W1357" s="19">
        <f>IF($I1357="","",IF(ISNUMBER($I1357),TEXT($I1357,"0"),$I1357))</f>
        <v/>
      </c>
    </row>
    <row r="1358">
      <c r="B1358" s="25" t="n"/>
      <c r="I1358" s="25" t="n"/>
      <c r="U1358" s="19">
        <f>IF($V1358&lt;&gt;'設定'!$C$4,N(U1357),IF(OR(NOT(COUNTIF('商品マスタ'!$B$6:$B$1005,$W1358)=0),COUNTIFS('①在庫を貼る'!$V$6:$V$10005,$V1358,'①在庫を貼る'!$W$6:$W$10005,$W1358)+COUNTIFS('月1回_1ヶ月前の在庫'!$V$6:$V$10005,$V1358,'月1回_1ヶ月前の在庫'!$W$6:$W$10005,$W1358)&gt;0),N(U1357),N(U1357)+1))</f>
        <v/>
      </c>
      <c r="V1358" s="19">
        <f>IF($B1358="","",TEXT($B1358,"0000"))</f>
        <v/>
      </c>
      <c r="W1358" s="19">
        <f>IF($I1358="","",IF(ISNUMBER($I1358),TEXT($I1358,"0"),$I1358))</f>
        <v/>
      </c>
    </row>
    <row r="1359">
      <c r="B1359" s="25" t="n"/>
      <c r="I1359" s="25" t="n"/>
      <c r="U1359" s="19">
        <f>IF($V1359&lt;&gt;'設定'!$C$4,N(U1358),IF(OR(NOT(COUNTIF('商品マスタ'!$B$6:$B$1005,$W1359)=0),COUNTIFS('①在庫を貼る'!$V$6:$V$10005,$V1359,'①在庫を貼る'!$W$6:$W$10005,$W1359)+COUNTIFS('月1回_1ヶ月前の在庫'!$V$6:$V$10005,$V1359,'月1回_1ヶ月前の在庫'!$W$6:$W$10005,$W1359)&gt;0),N(U1358),N(U1358)+1))</f>
        <v/>
      </c>
      <c r="V1359" s="19">
        <f>IF($B1359="","",TEXT($B1359,"0000"))</f>
        <v/>
      </c>
      <c r="W1359" s="19">
        <f>IF($I1359="","",IF(ISNUMBER($I1359),TEXT($I1359,"0"),$I1359))</f>
        <v/>
      </c>
    </row>
    <row r="1360">
      <c r="B1360" s="25" t="n"/>
      <c r="I1360" s="25" t="n"/>
      <c r="U1360" s="19">
        <f>IF($V1360&lt;&gt;'設定'!$C$4,N(U1359),IF(OR(NOT(COUNTIF('商品マスタ'!$B$6:$B$1005,$W1360)=0),COUNTIFS('①在庫を貼る'!$V$6:$V$10005,$V1360,'①在庫を貼る'!$W$6:$W$10005,$W1360)+COUNTIFS('月1回_1ヶ月前の在庫'!$V$6:$V$10005,$V1360,'月1回_1ヶ月前の在庫'!$W$6:$W$10005,$W1360)&gt;0),N(U1359),N(U1359)+1))</f>
        <v/>
      </c>
      <c r="V1360" s="19">
        <f>IF($B1360="","",TEXT($B1360,"0000"))</f>
        <v/>
      </c>
      <c r="W1360" s="19">
        <f>IF($I1360="","",IF(ISNUMBER($I1360),TEXT($I1360,"0"),$I1360))</f>
        <v/>
      </c>
    </row>
    <row r="1361">
      <c r="B1361" s="25" t="n"/>
      <c r="I1361" s="25" t="n"/>
      <c r="U1361" s="19">
        <f>IF($V1361&lt;&gt;'設定'!$C$4,N(U1360),IF(OR(NOT(COUNTIF('商品マスタ'!$B$6:$B$1005,$W1361)=0),COUNTIFS('①在庫を貼る'!$V$6:$V$10005,$V1361,'①在庫を貼る'!$W$6:$W$10005,$W1361)+COUNTIFS('月1回_1ヶ月前の在庫'!$V$6:$V$10005,$V1361,'月1回_1ヶ月前の在庫'!$W$6:$W$10005,$W1361)&gt;0),N(U1360),N(U1360)+1))</f>
        <v/>
      </c>
      <c r="V1361" s="19">
        <f>IF($B1361="","",TEXT($B1361,"0000"))</f>
        <v/>
      </c>
      <c r="W1361" s="19">
        <f>IF($I1361="","",IF(ISNUMBER($I1361),TEXT($I1361,"0"),$I1361))</f>
        <v/>
      </c>
    </row>
    <row r="1362">
      <c r="B1362" s="25" t="n"/>
      <c r="I1362" s="25" t="n"/>
      <c r="U1362" s="19">
        <f>IF($V1362&lt;&gt;'設定'!$C$4,N(U1361),IF(OR(NOT(COUNTIF('商品マスタ'!$B$6:$B$1005,$W1362)=0),COUNTIFS('①在庫を貼る'!$V$6:$V$10005,$V1362,'①在庫を貼る'!$W$6:$W$10005,$W1362)+COUNTIFS('月1回_1ヶ月前の在庫'!$V$6:$V$10005,$V1362,'月1回_1ヶ月前の在庫'!$W$6:$W$10005,$W1362)&gt;0),N(U1361),N(U1361)+1))</f>
        <v/>
      </c>
      <c r="V1362" s="19">
        <f>IF($B1362="","",TEXT($B1362,"0000"))</f>
        <v/>
      </c>
      <c r="W1362" s="19">
        <f>IF($I1362="","",IF(ISNUMBER($I1362),TEXT($I1362,"0"),$I1362))</f>
        <v/>
      </c>
    </row>
    <row r="1363">
      <c r="B1363" s="25" t="n"/>
      <c r="I1363" s="25" t="n"/>
      <c r="U1363" s="19">
        <f>IF($V1363&lt;&gt;'設定'!$C$4,N(U1362),IF(OR(NOT(COUNTIF('商品マスタ'!$B$6:$B$1005,$W1363)=0),COUNTIFS('①在庫を貼る'!$V$6:$V$10005,$V1363,'①在庫を貼る'!$W$6:$W$10005,$W1363)+COUNTIFS('月1回_1ヶ月前の在庫'!$V$6:$V$10005,$V1363,'月1回_1ヶ月前の在庫'!$W$6:$W$10005,$W1363)&gt;0),N(U1362),N(U1362)+1))</f>
        <v/>
      </c>
      <c r="V1363" s="19">
        <f>IF($B1363="","",TEXT($B1363,"0000"))</f>
        <v/>
      </c>
      <c r="W1363" s="19">
        <f>IF($I1363="","",IF(ISNUMBER($I1363),TEXT($I1363,"0"),$I1363))</f>
        <v/>
      </c>
    </row>
    <row r="1364">
      <c r="B1364" s="25" t="n"/>
      <c r="I1364" s="25" t="n"/>
      <c r="U1364" s="19">
        <f>IF($V1364&lt;&gt;'設定'!$C$4,N(U1363),IF(OR(NOT(COUNTIF('商品マスタ'!$B$6:$B$1005,$W1364)=0),COUNTIFS('①在庫を貼る'!$V$6:$V$10005,$V1364,'①在庫を貼る'!$W$6:$W$10005,$W1364)+COUNTIFS('月1回_1ヶ月前の在庫'!$V$6:$V$10005,$V1364,'月1回_1ヶ月前の在庫'!$W$6:$W$10005,$W1364)&gt;0),N(U1363),N(U1363)+1))</f>
        <v/>
      </c>
      <c r="V1364" s="19">
        <f>IF($B1364="","",TEXT($B1364,"0000"))</f>
        <v/>
      </c>
      <c r="W1364" s="19">
        <f>IF($I1364="","",IF(ISNUMBER($I1364),TEXT($I1364,"0"),$I1364))</f>
        <v/>
      </c>
    </row>
    <row r="1365">
      <c r="B1365" s="25" t="n"/>
      <c r="I1365" s="25" t="n"/>
      <c r="U1365" s="19">
        <f>IF($V1365&lt;&gt;'設定'!$C$4,N(U1364),IF(OR(NOT(COUNTIF('商品マスタ'!$B$6:$B$1005,$W1365)=0),COUNTIFS('①在庫を貼る'!$V$6:$V$10005,$V1365,'①在庫を貼る'!$W$6:$W$10005,$W1365)+COUNTIFS('月1回_1ヶ月前の在庫'!$V$6:$V$10005,$V1365,'月1回_1ヶ月前の在庫'!$W$6:$W$10005,$W1365)&gt;0),N(U1364),N(U1364)+1))</f>
        <v/>
      </c>
      <c r="V1365" s="19">
        <f>IF($B1365="","",TEXT($B1365,"0000"))</f>
        <v/>
      </c>
      <c r="W1365" s="19">
        <f>IF($I1365="","",IF(ISNUMBER($I1365),TEXT($I1365,"0"),$I1365))</f>
        <v/>
      </c>
    </row>
    <row r="1366">
      <c r="B1366" s="25" t="n"/>
      <c r="I1366" s="25" t="n"/>
      <c r="U1366" s="19">
        <f>IF($V1366&lt;&gt;'設定'!$C$4,N(U1365),IF(OR(NOT(COUNTIF('商品マスタ'!$B$6:$B$1005,$W1366)=0),COUNTIFS('①在庫を貼る'!$V$6:$V$10005,$V1366,'①在庫を貼る'!$W$6:$W$10005,$W1366)+COUNTIFS('月1回_1ヶ月前の在庫'!$V$6:$V$10005,$V1366,'月1回_1ヶ月前の在庫'!$W$6:$W$10005,$W1366)&gt;0),N(U1365),N(U1365)+1))</f>
        <v/>
      </c>
      <c r="V1366" s="19">
        <f>IF($B1366="","",TEXT($B1366,"0000"))</f>
        <v/>
      </c>
      <c r="W1366" s="19">
        <f>IF($I1366="","",IF(ISNUMBER($I1366),TEXT($I1366,"0"),$I1366))</f>
        <v/>
      </c>
    </row>
    <row r="1367">
      <c r="B1367" s="25" t="n"/>
      <c r="I1367" s="25" t="n"/>
      <c r="U1367" s="19">
        <f>IF($V1367&lt;&gt;'設定'!$C$4,N(U1366),IF(OR(NOT(COUNTIF('商品マスタ'!$B$6:$B$1005,$W1367)=0),COUNTIFS('①在庫を貼る'!$V$6:$V$10005,$V1367,'①在庫を貼る'!$W$6:$W$10005,$W1367)+COUNTIFS('月1回_1ヶ月前の在庫'!$V$6:$V$10005,$V1367,'月1回_1ヶ月前の在庫'!$W$6:$W$10005,$W1367)&gt;0),N(U1366),N(U1366)+1))</f>
        <v/>
      </c>
      <c r="V1367" s="19">
        <f>IF($B1367="","",TEXT($B1367,"0000"))</f>
        <v/>
      </c>
      <c r="W1367" s="19">
        <f>IF($I1367="","",IF(ISNUMBER($I1367),TEXT($I1367,"0"),$I1367))</f>
        <v/>
      </c>
    </row>
    <row r="1368">
      <c r="B1368" s="25" t="n"/>
      <c r="I1368" s="25" t="n"/>
      <c r="U1368" s="19">
        <f>IF($V1368&lt;&gt;'設定'!$C$4,N(U1367),IF(OR(NOT(COUNTIF('商品マスタ'!$B$6:$B$1005,$W1368)=0),COUNTIFS('①在庫を貼る'!$V$6:$V$10005,$V1368,'①在庫を貼る'!$W$6:$W$10005,$W1368)+COUNTIFS('月1回_1ヶ月前の在庫'!$V$6:$V$10005,$V1368,'月1回_1ヶ月前の在庫'!$W$6:$W$10005,$W1368)&gt;0),N(U1367),N(U1367)+1))</f>
        <v/>
      </c>
      <c r="V1368" s="19">
        <f>IF($B1368="","",TEXT($B1368,"0000"))</f>
        <v/>
      </c>
      <c r="W1368" s="19">
        <f>IF($I1368="","",IF(ISNUMBER($I1368),TEXT($I1368,"0"),$I1368))</f>
        <v/>
      </c>
    </row>
    <row r="1369">
      <c r="B1369" s="25" t="n"/>
      <c r="I1369" s="25" t="n"/>
      <c r="U1369" s="19">
        <f>IF($V1369&lt;&gt;'設定'!$C$4,N(U1368),IF(OR(NOT(COUNTIF('商品マスタ'!$B$6:$B$1005,$W1369)=0),COUNTIFS('①在庫を貼る'!$V$6:$V$10005,$V1369,'①在庫を貼る'!$W$6:$W$10005,$W1369)+COUNTIFS('月1回_1ヶ月前の在庫'!$V$6:$V$10005,$V1369,'月1回_1ヶ月前の在庫'!$W$6:$W$10005,$W1369)&gt;0),N(U1368),N(U1368)+1))</f>
        <v/>
      </c>
      <c r="V1369" s="19">
        <f>IF($B1369="","",TEXT($B1369,"0000"))</f>
        <v/>
      </c>
      <c r="W1369" s="19">
        <f>IF($I1369="","",IF(ISNUMBER($I1369),TEXT($I1369,"0"),$I1369))</f>
        <v/>
      </c>
    </row>
    <row r="1370">
      <c r="B1370" s="25" t="n"/>
      <c r="I1370" s="25" t="n"/>
      <c r="U1370" s="19">
        <f>IF($V1370&lt;&gt;'設定'!$C$4,N(U1369),IF(OR(NOT(COUNTIF('商品マスタ'!$B$6:$B$1005,$W1370)=0),COUNTIFS('①在庫を貼る'!$V$6:$V$10005,$V1370,'①在庫を貼る'!$W$6:$W$10005,$W1370)+COUNTIFS('月1回_1ヶ月前の在庫'!$V$6:$V$10005,$V1370,'月1回_1ヶ月前の在庫'!$W$6:$W$10005,$W1370)&gt;0),N(U1369),N(U1369)+1))</f>
        <v/>
      </c>
      <c r="V1370" s="19">
        <f>IF($B1370="","",TEXT($B1370,"0000"))</f>
        <v/>
      </c>
      <c r="W1370" s="19">
        <f>IF($I1370="","",IF(ISNUMBER($I1370),TEXT($I1370,"0"),$I1370))</f>
        <v/>
      </c>
    </row>
    <row r="1371">
      <c r="B1371" s="25" t="n"/>
      <c r="I1371" s="25" t="n"/>
      <c r="U1371" s="19">
        <f>IF($V1371&lt;&gt;'設定'!$C$4,N(U1370),IF(OR(NOT(COUNTIF('商品マスタ'!$B$6:$B$1005,$W1371)=0),COUNTIFS('①在庫を貼る'!$V$6:$V$10005,$V1371,'①在庫を貼る'!$W$6:$W$10005,$W1371)+COUNTIFS('月1回_1ヶ月前の在庫'!$V$6:$V$10005,$V1371,'月1回_1ヶ月前の在庫'!$W$6:$W$10005,$W1371)&gt;0),N(U1370),N(U1370)+1))</f>
        <v/>
      </c>
      <c r="V1371" s="19">
        <f>IF($B1371="","",TEXT($B1371,"0000"))</f>
        <v/>
      </c>
      <c r="W1371" s="19">
        <f>IF($I1371="","",IF(ISNUMBER($I1371),TEXT($I1371,"0"),$I1371))</f>
        <v/>
      </c>
    </row>
    <row r="1372">
      <c r="B1372" s="25" t="n"/>
      <c r="I1372" s="25" t="n"/>
      <c r="U1372" s="19">
        <f>IF($V1372&lt;&gt;'設定'!$C$4,N(U1371),IF(OR(NOT(COUNTIF('商品マスタ'!$B$6:$B$1005,$W1372)=0),COUNTIFS('①在庫を貼る'!$V$6:$V$10005,$V1372,'①在庫を貼る'!$W$6:$W$10005,$W1372)+COUNTIFS('月1回_1ヶ月前の在庫'!$V$6:$V$10005,$V1372,'月1回_1ヶ月前の在庫'!$W$6:$W$10005,$W1372)&gt;0),N(U1371),N(U1371)+1))</f>
        <v/>
      </c>
      <c r="V1372" s="19">
        <f>IF($B1372="","",TEXT($B1372,"0000"))</f>
        <v/>
      </c>
      <c r="W1372" s="19">
        <f>IF($I1372="","",IF(ISNUMBER($I1372),TEXT($I1372,"0"),$I1372))</f>
        <v/>
      </c>
    </row>
    <row r="1373">
      <c r="B1373" s="25" t="n"/>
      <c r="I1373" s="25" t="n"/>
      <c r="U1373" s="19">
        <f>IF($V1373&lt;&gt;'設定'!$C$4,N(U1372),IF(OR(NOT(COUNTIF('商品マスタ'!$B$6:$B$1005,$W1373)=0),COUNTIFS('①在庫を貼る'!$V$6:$V$10005,$V1373,'①在庫を貼る'!$W$6:$W$10005,$W1373)+COUNTIFS('月1回_1ヶ月前の在庫'!$V$6:$V$10005,$V1373,'月1回_1ヶ月前の在庫'!$W$6:$W$10005,$W1373)&gt;0),N(U1372),N(U1372)+1))</f>
        <v/>
      </c>
      <c r="V1373" s="19">
        <f>IF($B1373="","",TEXT($B1373,"0000"))</f>
        <v/>
      </c>
      <c r="W1373" s="19">
        <f>IF($I1373="","",IF(ISNUMBER($I1373),TEXT($I1373,"0"),$I1373))</f>
        <v/>
      </c>
    </row>
    <row r="1374">
      <c r="B1374" s="25" t="n"/>
      <c r="I1374" s="25" t="n"/>
      <c r="U1374" s="19">
        <f>IF($V1374&lt;&gt;'設定'!$C$4,N(U1373),IF(OR(NOT(COUNTIF('商品マスタ'!$B$6:$B$1005,$W1374)=0),COUNTIFS('①在庫を貼る'!$V$6:$V$10005,$V1374,'①在庫を貼る'!$W$6:$W$10005,$W1374)+COUNTIFS('月1回_1ヶ月前の在庫'!$V$6:$V$10005,$V1374,'月1回_1ヶ月前の在庫'!$W$6:$W$10005,$W1374)&gt;0),N(U1373),N(U1373)+1))</f>
        <v/>
      </c>
      <c r="V1374" s="19">
        <f>IF($B1374="","",TEXT($B1374,"0000"))</f>
        <v/>
      </c>
      <c r="W1374" s="19">
        <f>IF($I1374="","",IF(ISNUMBER($I1374),TEXT($I1374,"0"),$I1374))</f>
        <v/>
      </c>
    </row>
    <row r="1375">
      <c r="B1375" s="25" t="n"/>
      <c r="I1375" s="25" t="n"/>
      <c r="U1375" s="19">
        <f>IF($V1375&lt;&gt;'設定'!$C$4,N(U1374),IF(OR(NOT(COUNTIF('商品マスタ'!$B$6:$B$1005,$W1375)=0),COUNTIFS('①在庫を貼る'!$V$6:$V$10005,$V1375,'①在庫を貼る'!$W$6:$W$10005,$W1375)+COUNTIFS('月1回_1ヶ月前の在庫'!$V$6:$V$10005,$V1375,'月1回_1ヶ月前の在庫'!$W$6:$W$10005,$W1375)&gt;0),N(U1374),N(U1374)+1))</f>
        <v/>
      </c>
      <c r="V1375" s="19">
        <f>IF($B1375="","",TEXT($B1375,"0000"))</f>
        <v/>
      </c>
      <c r="W1375" s="19">
        <f>IF($I1375="","",IF(ISNUMBER($I1375),TEXT($I1375,"0"),$I1375))</f>
        <v/>
      </c>
    </row>
    <row r="1376">
      <c r="B1376" s="25" t="n"/>
      <c r="I1376" s="25" t="n"/>
      <c r="U1376" s="19">
        <f>IF($V1376&lt;&gt;'設定'!$C$4,N(U1375),IF(OR(NOT(COUNTIF('商品マスタ'!$B$6:$B$1005,$W1376)=0),COUNTIFS('①在庫を貼る'!$V$6:$V$10005,$V1376,'①在庫を貼る'!$W$6:$W$10005,$W1376)+COUNTIFS('月1回_1ヶ月前の在庫'!$V$6:$V$10005,$V1376,'月1回_1ヶ月前の在庫'!$W$6:$W$10005,$W1376)&gt;0),N(U1375),N(U1375)+1))</f>
        <v/>
      </c>
      <c r="V1376" s="19">
        <f>IF($B1376="","",TEXT($B1376,"0000"))</f>
        <v/>
      </c>
      <c r="W1376" s="19">
        <f>IF($I1376="","",IF(ISNUMBER($I1376),TEXT($I1376,"0"),$I1376))</f>
        <v/>
      </c>
    </row>
    <row r="1377">
      <c r="B1377" s="25" t="n"/>
      <c r="I1377" s="25" t="n"/>
      <c r="U1377" s="19">
        <f>IF($V1377&lt;&gt;'設定'!$C$4,N(U1376),IF(OR(NOT(COUNTIF('商品マスタ'!$B$6:$B$1005,$W1377)=0),COUNTIFS('①在庫を貼る'!$V$6:$V$10005,$V1377,'①在庫を貼る'!$W$6:$W$10005,$W1377)+COUNTIFS('月1回_1ヶ月前の在庫'!$V$6:$V$10005,$V1377,'月1回_1ヶ月前の在庫'!$W$6:$W$10005,$W1377)&gt;0),N(U1376),N(U1376)+1))</f>
        <v/>
      </c>
      <c r="V1377" s="19">
        <f>IF($B1377="","",TEXT($B1377,"0000"))</f>
        <v/>
      </c>
      <c r="W1377" s="19">
        <f>IF($I1377="","",IF(ISNUMBER($I1377),TEXT($I1377,"0"),$I1377))</f>
        <v/>
      </c>
    </row>
    <row r="1378">
      <c r="B1378" s="25" t="n"/>
      <c r="I1378" s="25" t="n"/>
      <c r="U1378" s="19">
        <f>IF($V1378&lt;&gt;'設定'!$C$4,N(U1377),IF(OR(NOT(COUNTIF('商品マスタ'!$B$6:$B$1005,$W1378)=0),COUNTIFS('①在庫を貼る'!$V$6:$V$10005,$V1378,'①在庫を貼る'!$W$6:$W$10005,$W1378)+COUNTIFS('月1回_1ヶ月前の在庫'!$V$6:$V$10005,$V1378,'月1回_1ヶ月前の在庫'!$W$6:$W$10005,$W1378)&gt;0),N(U1377),N(U1377)+1))</f>
        <v/>
      </c>
      <c r="V1378" s="19">
        <f>IF($B1378="","",TEXT($B1378,"0000"))</f>
        <v/>
      </c>
      <c r="W1378" s="19">
        <f>IF($I1378="","",IF(ISNUMBER($I1378),TEXT($I1378,"0"),$I1378))</f>
        <v/>
      </c>
    </row>
    <row r="1379">
      <c r="B1379" s="25" t="n"/>
      <c r="I1379" s="25" t="n"/>
      <c r="U1379" s="19">
        <f>IF($V1379&lt;&gt;'設定'!$C$4,N(U1378),IF(OR(NOT(COUNTIF('商品マスタ'!$B$6:$B$1005,$W1379)=0),COUNTIFS('①在庫を貼る'!$V$6:$V$10005,$V1379,'①在庫を貼る'!$W$6:$W$10005,$W1379)+COUNTIFS('月1回_1ヶ月前の在庫'!$V$6:$V$10005,$V1379,'月1回_1ヶ月前の在庫'!$W$6:$W$10005,$W1379)&gt;0),N(U1378),N(U1378)+1))</f>
        <v/>
      </c>
      <c r="V1379" s="19">
        <f>IF($B1379="","",TEXT($B1379,"0000"))</f>
        <v/>
      </c>
      <c r="W1379" s="19">
        <f>IF($I1379="","",IF(ISNUMBER($I1379),TEXT($I1379,"0"),$I1379))</f>
        <v/>
      </c>
    </row>
    <row r="1380">
      <c r="B1380" s="25" t="n"/>
      <c r="I1380" s="25" t="n"/>
      <c r="U1380" s="19">
        <f>IF($V1380&lt;&gt;'設定'!$C$4,N(U1379),IF(OR(NOT(COUNTIF('商品マスタ'!$B$6:$B$1005,$W1380)=0),COUNTIFS('①在庫を貼る'!$V$6:$V$10005,$V1380,'①在庫を貼る'!$W$6:$W$10005,$W1380)+COUNTIFS('月1回_1ヶ月前の在庫'!$V$6:$V$10005,$V1380,'月1回_1ヶ月前の在庫'!$W$6:$W$10005,$W1380)&gt;0),N(U1379),N(U1379)+1))</f>
        <v/>
      </c>
      <c r="V1380" s="19">
        <f>IF($B1380="","",TEXT($B1380,"0000"))</f>
        <v/>
      </c>
      <c r="W1380" s="19">
        <f>IF($I1380="","",IF(ISNUMBER($I1380),TEXT($I1380,"0"),$I1380))</f>
        <v/>
      </c>
    </row>
    <row r="1381">
      <c r="B1381" s="25" t="n"/>
      <c r="I1381" s="25" t="n"/>
      <c r="U1381" s="19">
        <f>IF($V1381&lt;&gt;'設定'!$C$4,N(U1380),IF(OR(NOT(COUNTIF('商品マスタ'!$B$6:$B$1005,$W1381)=0),COUNTIFS('①在庫を貼る'!$V$6:$V$10005,$V1381,'①在庫を貼る'!$W$6:$W$10005,$W1381)+COUNTIFS('月1回_1ヶ月前の在庫'!$V$6:$V$10005,$V1381,'月1回_1ヶ月前の在庫'!$W$6:$W$10005,$W1381)&gt;0),N(U1380),N(U1380)+1))</f>
        <v/>
      </c>
      <c r="V1381" s="19">
        <f>IF($B1381="","",TEXT($B1381,"0000"))</f>
        <v/>
      </c>
      <c r="W1381" s="19">
        <f>IF($I1381="","",IF(ISNUMBER($I1381),TEXT($I1381,"0"),$I1381))</f>
        <v/>
      </c>
    </row>
    <row r="1382">
      <c r="B1382" s="25" t="n"/>
      <c r="I1382" s="25" t="n"/>
      <c r="U1382" s="19">
        <f>IF($V1382&lt;&gt;'設定'!$C$4,N(U1381),IF(OR(NOT(COUNTIF('商品マスタ'!$B$6:$B$1005,$W1382)=0),COUNTIFS('①在庫を貼る'!$V$6:$V$10005,$V1382,'①在庫を貼る'!$W$6:$W$10005,$W1382)+COUNTIFS('月1回_1ヶ月前の在庫'!$V$6:$V$10005,$V1382,'月1回_1ヶ月前の在庫'!$W$6:$W$10005,$W1382)&gt;0),N(U1381),N(U1381)+1))</f>
        <v/>
      </c>
      <c r="V1382" s="19">
        <f>IF($B1382="","",TEXT($B1382,"0000"))</f>
        <v/>
      </c>
      <c r="W1382" s="19">
        <f>IF($I1382="","",IF(ISNUMBER($I1382),TEXT($I1382,"0"),$I1382))</f>
        <v/>
      </c>
    </row>
    <row r="1383">
      <c r="B1383" s="25" t="n"/>
      <c r="I1383" s="25" t="n"/>
      <c r="U1383" s="19">
        <f>IF($V1383&lt;&gt;'設定'!$C$4,N(U1382),IF(OR(NOT(COUNTIF('商品マスタ'!$B$6:$B$1005,$W1383)=0),COUNTIFS('①在庫を貼る'!$V$6:$V$10005,$V1383,'①在庫を貼る'!$W$6:$W$10005,$W1383)+COUNTIFS('月1回_1ヶ月前の在庫'!$V$6:$V$10005,$V1383,'月1回_1ヶ月前の在庫'!$W$6:$W$10005,$W1383)&gt;0),N(U1382),N(U1382)+1))</f>
        <v/>
      </c>
      <c r="V1383" s="19">
        <f>IF($B1383="","",TEXT($B1383,"0000"))</f>
        <v/>
      </c>
      <c r="W1383" s="19">
        <f>IF($I1383="","",IF(ISNUMBER($I1383),TEXT($I1383,"0"),$I1383))</f>
        <v/>
      </c>
    </row>
    <row r="1384">
      <c r="B1384" s="25" t="n"/>
      <c r="I1384" s="25" t="n"/>
      <c r="U1384" s="19">
        <f>IF($V1384&lt;&gt;'設定'!$C$4,N(U1383),IF(OR(NOT(COUNTIF('商品マスタ'!$B$6:$B$1005,$W1384)=0),COUNTIFS('①在庫を貼る'!$V$6:$V$10005,$V1384,'①在庫を貼る'!$W$6:$W$10005,$W1384)+COUNTIFS('月1回_1ヶ月前の在庫'!$V$6:$V$10005,$V1384,'月1回_1ヶ月前の在庫'!$W$6:$W$10005,$W1384)&gt;0),N(U1383),N(U1383)+1))</f>
        <v/>
      </c>
      <c r="V1384" s="19">
        <f>IF($B1384="","",TEXT($B1384,"0000"))</f>
        <v/>
      </c>
      <c r="W1384" s="19">
        <f>IF($I1384="","",IF(ISNUMBER($I1384),TEXT($I1384,"0"),$I1384))</f>
        <v/>
      </c>
    </row>
    <row r="1385">
      <c r="B1385" s="25" t="n"/>
      <c r="I1385" s="25" t="n"/>
      <c r="U1385" s="19">
        <f>IF($V1385&lt;&gt;'設定'!$C$4,N(U1384),IF(OR(NOT(COUNTIF('商品マスタ'!$B$6:$B$1005,$W1385)=0),COUNTIFS('①在庫を貼る'!$V$6:$V$10005,$V1385,'①在庫を貼る'!$W$6:$W$10005,$W1385)+COUNTIFS('月1回_1ヶ月前の在庫'!$V$6:$V$10005,$V1385,'月1回_1ヶ月前の在庫'!$W$6:$W$10005,$W1385)&gt;0),N(U1384),N(U1384)+1))</f>
        <v/>
      </c>
      <c r="V1385" s="19">
        <f>IF($B1385="","",TEXT($B1385,"0000"))</f>
        <v/>
      </c>
      <c r="W1385" s="19">
        <f>IF($I1385="","",IF(ISNUMBER($I1385),TEXT($I1385,"0"),$I1385))</f>
        <v/>
      </c>
    </row>
    <row r="1386">
      <c r="B1386" s="25" t="n"/>
      <c r="I1386" s="25" t="n"/>
      <c r="U1386" s="19">
        <f>IF($V1386&lt;&gt;'設定'!$C$4,N(U1385),IF(OR(NOT(COUNTIF('商品マスタ'!$B$6:$B$1005,$W1386)=0),COUNTIFS('①在庫を貼る'!$V$6:$V$10005,$V1386,'①在庫を貼る'!$W$6:$W$10005,$W1386)+COUNTIFS('月1回_1ヶ月前の在庫'!$V$6:$V$10005,$V1386,'月1回_1ヶ月前の在庫'!$W$6:$W$10005,$W1386)&gt;0),N(U1385),N(U1385)+1))</f>
        <v/>
      </c>
      <c r="V1386" s="19">
        <f>IF($B1386="","",TEXT($B1386,"0000"))</f>
        <v/>
      </c>
      <c r="W1386" s="19">
        <f>IF($I1386="","",IF(ISNUMBER($I1386),TEXT($I1386,"0"),$I1386))</f>
        <v/>
      </c>
    </row>
    <row r="1387">
      <c r="B1387" s="25" t="n"/>
      <c r="I1387" s="25" t="n"/>
      <c r="U1387" s="19">
        <f>IF($V1387&lt;&gt;'設定'!$C$4,N(U1386),IF(OR(NOT(COUNTIF('商品マスタ'!$B$6:$B$1005,$W1387)=0),COUNTIFS('①在庫を貼る'!$V$6:$V$10005,$V1387,'①在庫を貼る'!$W$6:$W$10005,$W1387)+COUNTIFS('月1回_1ヶ月前の在庫'!$V$6:$V$10005,$V1387,'月1回_1ヶ月前の在庫'!$W$6:$W$10005,$W1387)&gt;0),N(U1386),N(U1386)+1))</f>
        <v/>
      </c>
      <c r="V1387" s="19">
        <f>IF($B1387="","",TEXT($B1387,"0000"))</f>
        <v/>
      </c>
      <c r="W1387" s="19">
        <f>IF($I1387="","",IF(ISNUMBER($I1387),TEXT($I1387,"0"),$I1387))</f>
        <v/>
      </c>
    </row>
    <row r="1388">
      <c r="B1388" s="25" t="n"/>
      <c r="I1388" s="25" t="n"/>
      <c r="U1388" s="19">
        <f>IF($V1388&lt;&gt;'設定'!$C$4,N(U1387),IF(OR(NOT(COUNTIF('商品マスタ'!$B$6:$B$1005,$W1388)=0),COUNTIFS('①在庫を貼る'!$V$6:$V$10005,$V1388,'①在庫を貼る'!$W$6:$W$10005,$W1388)+COUNTIFS('月1回_1ヶ月前の在庫'!$V$6:$V$10005,$V1388,'月1回_1ヶ月前の在庫'!$W$6:$W$10005,$W1388)&gt;0),N(U1387),N(U1387)+1))</f>
        <v/>
      </c>
      <c r="V1388" s="19">
        <f>IF($B1388="","",TEXT($B1388,"0000"))</f>
        <v/>
      </c>
      <c r="W1388" s="19">
        <f>IF($I1388="","",IF(ISNUMBER($I1388),TEXT($I1388,"0"),$I1388))</f>
        <v/>
      </c>
    </row>
    <row r="1389">
      <c r="B1389" s="25" t="n"/>
      <c r="I1389" s="25" t="n"/>
      <c r="U1389" s="19">
        <f>IF($V1389&lt;&gt;'設定'!$C$4,N(U1388),IF(OR(NOT(COUNTIF('商品マスタ'!$B$6:$B$1005,$W1389)=0),COUNTIFS('①在庫を貼る'!$V$6:$V$10005,$V1389,'①在庫を貼る'!$W$6:$W$10005,$W1389)+COUNTIFS('月1回_1ヶ月前の在庫'!$V$6:$V$10005,$V1389,'月1回_1ヶ月前の在庫'!$W$6:$W$10005,$W1389)&gt;0),N(U1388),N(U1388)+1))</f>
        <v/>
      </c>
      <c r="V1389" s="19">
        <f>IF($B1389="","",TEXT($B1389,"0000"))</f>
        <v/>
      </c>
      <c r="W1389" s="19">
        <f>IF($I1389="","",IF(ISNUMBER($I1389),TEXT($I1389,"0"),$I1389))</f>
        <v/>
      </c>
    </row>
    <row r="1390">
      <c r="B1390" s="25" t="n"/>
      <c r="I1390" s="25" t="n"/>
      <c r="U1390" s="19">
        <f>IF($V1390&lt;&gt;'設定'!$C$4,N(U1389),IF(OR(NOT(COUNTIF('商品マスタ'!$B$6:$B$1005,$W1390)=0),COUNTIFS('①在庫を貼る'!$V$6:$V$10005,$V1390,'①在庫を貼る'!$W$6:$W$10005,$W1390)+COUNTIFS('月1回_1ヶ月前の在庫'!$V$6:$V$10005,$V1390,'月1回_1ヶ月前の在庫'!$W$6:$W$10005,$W1390)&gt;0),N(U1389),N(U1389)+1))</f>
        <v/>
      </c>
      <c r="V1390" s="19">
        <f>IF($B1390="","",TEXT($B1390,"0000"))</f>
        <v/>
      </c>
      <c r="W1390" s="19">
        <f>IF($I1390="","",IF(ISNUMBER($I1390),TEXT($I1390,"0"),$I1390))</f>
        <v/>
      </c>
    </row>
    <row r="1391">
      <c r="B1391" s="25" t="n"/>
      <c r="I1391" s="25" t="n"/>
      <c r="U1391" s="19">
        <f>IF($V1391&lt;&gt;'設定'!$C$4,N(U1390),IF(OR(NOT(COUNTIF('商品マスタ'!$B$6:$B$1005,$W1391)=0),COUNTIFS('①在庫を貼る'!$V$6:$V$10005,$V1391,'①在庫を貼る'!$W$6:$W$10005,$W1391)+COUNTIFS('月1回_1ヶ月前の在庫'!$V$6:$V$10005,$V1391,'月1回_1ヶ月前の在庫'!$W$6:$W$10005,$W1391)&gt;0),N(U1390),N(U1390)+1))</f>
        <v/>
      </c>
      <c r="V1391" s="19">
        <f>IF($B1391="","",TEXT($B1391,"0000"))</f>
        <v/>
      </c>
      <c r="W1391" s="19">
        <f>IF($I1391="","",IF(ISNUMBER($I1391),TEXT($I1391,"0"),$I1391))</f>
        <v/>
      </c>
    </row>
    <row r="1392">
      <c r="B1392" s="25" t="n"/>
      <c r="I1392" s="25" t="n"/>
      <c r="U1392" s="19">
        <f>IF($V1392&lt;&gt;'設定'!$C$4,N(U1391),IF(OR(NOT(COUNTIF('商品マスタ'!$B$6:$B$1005,$W1392)=0),COUNTIFS('①在庫を貼る'!$V$6:$V$10005,$V1392,'①在庫を貼る'!$W$6:$W$10005,$W1392)+COUNTIFS('月1回_1ヶ月前の在庫'!$V$6:$V$10005,$V1392,'月1回_1ヶ月前の在庫'!$W$6:$W$10005,$W1392)&gt;0),N(U1391),N(U1391)+1))</f>
        <v/>
      </c>
      <c r="V1392" s="19">
        <f>IF($B1392="","",TEXT($B1392,"0000"))</f>
        <v/>
      </c>
      <c r="W1392" s="19">
        <f>IF($I1392="","",IF(ISNUMBER($I1392),TEXT($I1392,"0"),$I1392))</f>
        <v/>
      </c>
    </row>
    <row r="1393">
      <c r="B1393" s="25" t="n"/>
      <c r="I1393" s="25" t="n"/>
      <c r="U1393" s="19">
        <f>IF($V1393&lt;&gt;'設定'!$C$4,N(U1392),IF(OR(NOT(COUNTIF('商品マスタ'!$B$6:$B$1005,$W1393)=0),COUNTIFS('①在庫を貼る'!$V$6:$V$10005,$V1393,'①在庫を貼る'!$W$6:$W$10005,$W1393)+COUNTIFS('月1回_1ヶ月前の在庫'!$V$6:$V$10005,$V1393,'月1回_1ヶ月前の在庫'!$W$6:$W$10005,$W1393)&gt;0),N(U1392),N(U1392)+1))</f>
        <v/>
      </c>
      <c r="V1393" s="19">
        <f>IF($B1393="","",TEXT($B1393,"0000"))</f>
        <v/>
      </c>
      <c r="W1393" s="19">
        <f>IF($I1393="","",IF(ISNUMBER($I1393),TEXT($I1393,"0"),$I1393))</f>
        <v/>
      </c>
    </row>
    <row r="1394">
      <c r="B1394" s="25" t="n"/>
      <c r="I1394" s="25" t="n"/>
      <c r="U1394" s="19">
        <f>IF($V1394&lt;&gt;'設定'!$C$4,N(U1393),IF(OR(NOT(COUNTIF('商品マスタ'!$B$6:$B$1005,$W1394)=0),COUNTIFS('①在庫を貼る'!$V$6:$V$10005,$V1394,'①在庫を貼る'!$W$6:$W$10005,$W1394)+COUNTIFS('月1回_1ヶ月前の在庫'!$V$6:$V$10005,$V1394,'月1回_1ヶ月前の在庫'!$W$6:$W$10005,$W1394)&gt;0),N(U1393),N(U1393)+1))</f>
        <v/>
      </c>
      <c r="V1394" s="19">
        <f>IF($B1394="","",TEXT($B1394,"0000"))</f>
        <v/>
      </c>
      <c r="W1394" s="19">
        <f>IF($I1394="","",IF(ISNUMBER($I1394),TEXT($I1394,"0"),$I1394))</f>
        <v/>
      </c>
    </row>
    <row r="1395">
      <c r="B1395" s="25" t="n"/>
      <c r="I1395" s="25" t="n"/>
      <c r="U1395" s="19">
        <f>IF($V1395&lt;&gt;'設定'!$C$4,N(U1394),IF(OR(NOT(COUNTIF('商品マスタ'!$B$6:$B$1005,$W1395)=0),COUNTIFS('①在庫を貼る'!$V$6:$V$10005,$V1395,'①在庫を貼る'!$W$6:$W$10005,$W1395)+COUNTIFS('月1回_1ヶ月前の在庫'!$V$6:$V$10005,$V1395,'月1回_1ヶ月前の在庫'!$W$6:$W$10005,$W1395)&gt;0),N(U1394),N(U1394)+1))</f>
        <v/>
      </c>
      <c r="V1395" s="19">
        <f>IF($B1395="","",TEXT($B1395,"0000"))</f>
        <v/>
      </c>
      <c r="W1395" s="19">
        <f>IF($I1395="","",IF(ISNUMBER($I1395),TEXT($I1395,"0"),$I1395))</f>
        <v/>
      </c>
    </row>
    <row r="1396">
      <c r="B1396" s="25" t="n"/>
      <c r="I1396" s="25" t="n"/>
      <c r="U1396" s="19">
        <f>IF($V1396&lt;&gt;'設定'!$C$4,N(U1395),IF(OR(NOT(COUNTIF('商品マスタ'!$B$6:$B$1005,$W1396)=0),COUNTIFS('①在庫を貼る'!$V$6:$V$10005,$V1396,'①在庫を貼る'!$W$6:$W$10005,$W1396)+COUNTIFS('月1回_1ヶ月前の在庫'!$V$6:$V$10005,$V1396,'月1回_1ヶ月前の在庫'!$W$6:$W$10005,$W1396)&gt;0),N(U1395),N(U1395)+1))</f>
        <v/>
      </c>
      <c r="V1396" s="19">
        <f>IF($B1396="","",TEXT($B1396,"0000"))</f>
        <v/>
      </c>
      <c r="W1396" s="19">
        <f>IF($I1396="","",IF(ISNUMBER($I1396),TEXT($I1396,"0"),$I1396))</f>
        <v/>
      </c>
    </row>
    <row r="1397">
      <c r="B1397" s="25" t="n"/>
      <c r="I1397" s="25" t="n"/>
      <c r="U1397" s="19">
        <f>IF($V1397&lt;&gt;'設定'!$C$4,N(U1396),IF(OR(NOT(COUNTIF('商品マスタ'!$B$6:$B$1005,$W1397)=0),COUNTIFS('①在庫を貼る'!$V$6:$V$10005,$V1397,'①在庫を貼る'!$W$6:$W$10005,$W1397)+COUNTIFS('月1回_1ヶ月前の在庫'!$V$6:$V$10005,$V1397,'月1回_1ヶ月前の在庫'!$W$6:$W$10005,$W1397)&gt;0),N(U1396),N(U1396)+1))</f>
        <v/>
      </c>
      <c r="V1397" s="19">
        <f>IF($B1397="","",TEXT($B1397,"0000"))</f>
        <v/>
      </c>
      <c r="W1397" s="19">
        <f>IF($I1397="","",IF(ISNUMBER($I1397),TEXT($I1397,"0"),$I1397))</f>
        <v/>
      </c>
    </row>
    <row r="1398">
      <c r="B1398" s="25" t="n"/>
      <c r="I1398" s="25" t="n"/>
      <c r="U1398" s="19">
        <f>IF($V1398&lt;&gt;'設定'!$C$4,N(U1397),IF(OR(NOT(COUNTIF('商品マスタ'!$B$6:$B$1005,$W1398)=0),COUNTIFS('①在庫を貼る'!$V$6:$V$10005,$V1398,'①在庫を貼る'!$W$6:$W$10005,$W1398)+COUNTIFS('月1回_1ヶ月前の在庫'!$V$6:$V$10005,$V1398,'月1回_1ヶ月前の在庫'!$W$6:$W$10005,$W1398)&gt;0),N(U1397),N(U1397)+1))</f>
        <v/>
      </c>
      <c r="V1398" s="19">
        <f>IF($B1398="","",TEXT($B1398,"0000"))</f>
        <v/>
      </c>
      <c r="W1398" s="19">
        <f>IF($I1398="","",IF(ISNUMBER($I1398),TEXT($I1398,"0"),$I1398))</f>
        <v/>
      </c>
    </row>
    <row r="1399">
      <c r="B1399" s="25" t="n"/>
      <c r="I1399" s="25" t="n"/>
      <c r="U1399" s="19">
        <f>IF($V1399&lt;&gt;'設定'!$C$4,N(U1398),IF(OR(NOT(COUNTIF('商品マスタ'!$B$6:$B$1005,$W1399)=0),COUNTIFS('①在庫を貼る'!$V$6:$V$10005,$V1399,'①在庫を貼る'!$W$6:$W$10005,$W1399)+COUNTIFS('月1回_1ヶ月前の在庫'!$V$6:$V$10005,$V1399,'月1回_1ヶ月前の在庫'!$W$6:$W$10005,$W1399)&gt;0),N(U1398),N(U1398)+1))</f>
        <v/>
      </c>
      <c r="V1399" s="19">
        <f>IF($B1399="","",TEXT($B1399,"0000"))</f>
        <v/>
      </c>
      <c r="W1399" s="19">
        <f>IF($I1399="","",IF(ISNUMBER($I1399),TEXT($I1399,"0"),$I1399))</f>
        <v/>
      </c>
    </row>
    <row r="1400">
      <c r="B1400" s="25" t="n"/>
      <c r="I1400" s="25" t="n"/>
      <c r="U1400" s="19">
        <f>IF($V1400&lt;&gt;'設定'!$C$4,N(U1399),IF(OR(NOT(COUNTIF('商品マスタ'!$B$6:$B$1005,$W1400)=0),COUNTIFS('①在庫を貼る'!$V$6:$V$10005,$V1400,'①在庫を貼る'!$W$6:$W$10005,$W1400)+COUNTIFS('月1回_1ヶ月前の在庫'!$V$6:$V$10005,$V1400,'月1回_1ヶ月前の在庫'!$W$6:$W$10005,$W1400)&gt;0),N(U1399),N(U1399)+1))</f>
        <v/>
      </c>
      <c r="V1400" s="19">
        <f>IF($B1400="","",TEXT($B1400,"0000"))</f>
        <v/>
      </c>
      <c r="W1400" s="19">
        <f>IF($I1400="","",IF(ISNUMBER($I1400),TEXT($I1400,"0"),$I1400))</f>
        <v/>
      </c>
    </row>
    <row r="1401">
      <c r="B1401" s="25" t="n"/>
      <c r="I1401" s="25" t="n"/>
      <c r="U1401" s="19">
        <f>IF($V1401&lt;&gt;'設定'!$C$4,N(U1400),IF(OR(NOT(COUNTIF('商品マスタ'!$B$6:$B$1005,$W1401)=0),COUNTIFS('①在庫を貼る'!$V$6:$V$10005,$V1401,'①在庫を貼る'!$W$6:$W$10005,$W1401)+COUNTIFS('月1回_1ヶ月前の在庫'!$V$6:$V$10005,$V1401,'月1回_1ヶ月前の在庫'!$W$6:$W$10005,$W1401)&gt;0),N(U1400),N(U1400)+1))</f>
        <v/>
      </c>
      <c r="V1401" s="19">
        <f>IF($B1401="","",TEXT($B1401,"0000"))</f>
        <v/>
      </c>
      <c r="W1401" s="19">
        <f>IF($I1401="","",IF(ISNUMBER($I1401),TEXT($I1401,"0"),$I1401))</f>
        <v/>
      </c>
    </row>
    <row r="1402">
      <c r="B1402" s="25" t="n"/>
      <c r="I1402" s="25" t="n"/>
      <c r="U1402" s="19">
        <f>IF($V1402&lt;&gt;'設定'!$C$4,N(U1401),IF(OR(NOT(COUNTIF('商品マスタ'!$B$6:$B$1005,$W1402)=0),COUNTIFS('①在庫を貼る'!$V$6:$V$10005,$V1402,'①在庫を貼る'!$W$6:$W$10005,$W1402)+COUNTIFS('月1回_1ヶ月前の在庫'!$V$6:$V$10005,$V1402,'月1回_1ヶ月前の在庫'!$W$6:$W$10005,$W1402)&gt;0),N(U1401),N(U1401)+1))</f>
        <v/>
      </c>
      <c r="V1402" s="19">
        <f>IF($B1402="","",TEXT($B1402,"0000"))</f>
        <v/>
      </c>
      <c r="W1402" s="19">
        <f>IF($I1402="","",IF(ISNUMBER($I1402),TEXT($I1402,"0"),$I1402))</f>
        <v/>
      </c>
    </row>
    <row r="1403">
      <c r="B1403" s="25" t="n"/>
      <c r="I1403" s="25" t="n"/>
      <c r="U1403" s="19">
        <f>IF($V1403&lt;&gt;'設定'!$C$4,N(U1402),IF(OR(NOT(COUNTIF('商品マスタ'!$B$6:$B$1005,$W1403)=0),COUNTIFS('①在庫を貼る'!$V$6:$V$10005,$V1403,'①在庫を貼る'!$W$6:$W$10005,$W1403)+COUNTIFS('月1回_1ヶ月前の在庫'!$V$6:$V$10005,$V1403,'月1回_1ヶ月前の在庫'!$W$6:$W$10005,$W1403)&gt;0),N(U1402),N(U1402)+1))</f>
        <v/>
      </c>
      <c r="V1403" s="19">
        <f>IF($B1403="","",TEXT($B1403,"0000"))</f>
        <v/>
      </c>
      <c r="W1403" s="19">
        <f>IF($I1403="","",IF(ISNUMBER($I1403),TEXT($I1403,"0"),$I1403))</f>
        <v/>
      </c>
    </row>
    <row r="1404">
      <c r="B1404" s="25" t="n"/>
      <c r="I1404" s="25" t="n"/>
      <c r="U1404" s="19">
        <f>IF($V1404&lt;&gt;'設定'!$C$4,N(U1403),IF(OR(NOT(COUNTIF('商品マスタ'!$B$6:$B$1005,$W1404)=0),COUNTIFS('①在庫を貼る'!$V$6:$V$10005,$V1404,'①在庫を貼る'!$W$6:$W$10005,$W1404)+COUNTIFS('月1回_1ヶ月前の在庫'!$V$6:$V$10005,$V1404,'月1回_1ヶ月前の在庫'!$W$6:$W$10005,$W1404)&gt;0),N(U1403),N(U1403)+1))</f>
        <v/>
      </c>
      <c r="V1404" s="19">
        <f>IF($B1404="","",TEXT($B1404,"0000"))</f>
        <v/>
      </c>
      <c r="W1404" s="19">
        <f>IF($I1404="","",IF(ISNUMBER($I1404),TEXT($I1404,"0"),$I1404))</f>
        <v/>
      </c>
    </row>
    <row r="1405">
      <c r="B1405" s="25" t="n"/>
      <c r="I1405" s="25" t="n"/>
      <c r="U1405" s="19">
        <f>IF($V1405&lt;&gt;'設定'!$C$4,N(U1404),IF(OR(NOT(COUNTIF('商品マスタ'!$B$6:$B$1005,$W1405)=0),COUNTIFS('①在庫を貼る'!$V$6:$V$10005,$V1405,'①在庫を貼る'!$W$6:$W$10005,$W1405)+COUNTIFS('月1回_1ヶ月前の在庫'!$V$6:$V$10005,$V1405,'月1回_1ヶ月前の在庫'!$W$6:$W$10005,$W1405)&gt;0),N(U1404),N(U1404)+1))</f>
        <v/>
      </c>
      <c r="V1405" s="19">
        <f>IF($B1405="","",TEXT($B1405,"0000"))</f>
        <v/>
      </c>
      <c r="W1405" s="19">
        <f>IF($I1405="","",IF(ISNUMBER($I1405),TEXT($I1405,"0"),$I1405))</f>
        <v/>
      </c>
    </row>
    <row r="1406">
      <c r="B1406" s="25" t="n"/>
      <c r="I1406" s="25" t="n"/>
      <c r="U1406" s="19">
        <f>IF($V1406&lt;&gt;'設定'!$C$4,N(U1405),IF(OR(NOT(COUNTIF('商品マスタ'!$B$6:$B$1005,$W1406)=0),COUNTIFS('①在庫を貼る'!$V$6:$V$10005,$V1406,'①在庫を貼る'!$W$6:$W$10005,$W1406)+COUNTIFS('月1回_1ヶ月前の在庫'!$V$6:$V$10005,$V1406,'月1回_1ヶ月前の在庫'!$W$6:$W$10005,$W1406)&gt;0),N(U1405),N(U1405)+1))</f>
        <v/>
      </c>
      <c r="V1406" s="19">
        <f>IF($B1406="","",TEXT($B1406,"0000"))</f>
        <v/>
      </c>
      <c r="W1406" s="19">
        <f>IF($I1406="","",IF(ISNUMBER($I1406),TEXT($I1406,"0"),$I1406))</f>
        <v/>
      </c>
    </row>
    <row r="1407">
      <c r="B1407" s="25" t="n"/>
      <c r="I1407" s="25" t="n"/>
      <c r="U1407" s="19">
        <f>IF($V1407&lt;&gt;'設定'!$C$4,N(U1406),IF(OR(NOT(COUNTIF('商品マスタ'!$B$6:$B$1005,$W1407)=0),COUNTIFS('①在庫を貼る'!$V$6:$V$10005,$V1407,'①在庫を貼る'!$W$6:$W$10005,$W1407)+COUNTIFS('月1回_1ヶ月前の在庫'!$V$6:$V$10005,$V1407,'月1回_1ヶ月前の在庫'!$W$6:$W$10005,$W1407)&gt;0),N(U1406),N(U1406)+1))</f>
        <v/>
      </c>
      <c r="V1407" s="19">
        <f>IF($B1407="","",TEXT($B1407,"0000"))</f>
        <v/>
      </c>
      <c r="W1407" s="19">
        <f>IF($I1407="","",IF(ISNUMBER($I1407),TEXT($I1407,"0"),$I1407))</f>
        <v/>
      </c>
    </row>
    <row r="1408">
      <c r="B1408" s="25" t="n"/>
      <c r="I1408" s="25" t="n"/>
      <c r="U1408" s="19">
        <f>IF($V1408&lt;&gt;'設定'!$C$4,N(U1407),IF(OR(NOT(COUNTIF('商品マスタ'!$B$6:$B$1005,$W1408)=0),COUNTIFS('①在庫を貼る'!$V$6:$V$10005,$V1408,'①在庫を貼る'!$W$6:$W$10005,$W1408)+COUNTIFS('月1回_1ヶ月前の在庫'!$V$6:$V$10005,$V1408,'月1回_1ヶ月前の在庫'!$W$6:$W$10005,$W1408)&gt;0),N(U1407),N(U1407)+1))</f>
        <v/>
      </c>
      <c r="V1408" s="19">
        <f>IF($B1408="","",TEXT($B1408,"0000"))</f>
        <v/>
      </c>
      <c r="W1408" s="19">
        <f>IF($I1408="","",IF(ISNUMBER($I1408),TEXT($I1408,"0"),$I1408))</f>
        <v/>
      </c>
    </row>
    <row r="1409">
      <c r="B1409" s="25" t="n"/>
      <c r="I1409" s="25" t="n"/>
      <c r="U1409" s="19">
        <f>IF($V1409&lt;&gt;'設定'!$C$4,N(U1408),IF(OR(NOT(COUNTIF('商品マスタ'!$B$6:$B$1005,$W1409)=0),COUNTIFS('①在庫を貼る'!$V$6:$V$10005,$V1409,'①在庫を貼る'!$W$6:$W$10005,$W1409)+COUNTIFS('月1回_1ヶ月前の在庫'!$V$6:$V$10005,$V1409,'月1回_1ヶ月前の在庫'!$W$6:$W$10005,$W1409)&gt;0),N(U1408),N(U1408)+1))</f>
        <v/>
      </c>
      <c r="V1409" s="19">
        <f>IF($B1409="","",TEXT($B1409,"0000"))</f>
        <v/>
      </c>
      <c r="W1409" s="19">
        <f>IF($I1409="","",IF(ISNUMBER($I1409),TEXT($I1409,"0"),$I1409))</f>
        <v/>
      </c>
    </row>
    <row r="1410">
      <c r="B1410" s="25" t="n"/>
      <c r="I1410" s="25" t="n"/>
      <c r="U1410" s="19">
        <f>IF($V1410&lt;&gt;'設定'!$C$4,N(U1409),IF(OR(NOT(COUNTIF('商品マスタ'!$B$6:$B$1005,$W1410)=0),COUNTIFS('①在庫を貼る'!$V$6:$V$10005,$V1410,'①在庫を貼る'!$W$6:$W$10005,$W1410)+COUNTIFS('月1回_1ヶ月前の在庫'!$V$6:$V$10005,$V1410,'月1回_1ヶ月前の在庫'!$W$6:$W$10005,$W1410)&gt;0),N(U1409),N(U1409)+1))</f>
        <v/>
      </c>
      <c r="V1410" s="19">
        <f>IF($B1410="","",TEXT($B1410,"0000"))</f>
        <v/>
      </c>
      <c r="W1410" s="19">
        <f>IF($I1410="","",IF(ISNUMBER($I1410),TEXT($I1410,"0"),$I1410))</f>
        <v/>
      </c>
    </row>
    <row r="1411">
      <c r="B1411" s="25" t="n"/>
      <c r="I1411" s="25" t="n"/>
      <c r="U1411" s="19">
        <f>IF($V1411&lt;&gt;'設定'!$C$4,N(U1410),IF(OR(NOT(COUNTIF('商品マスタ'!$B$6:$B$1005,$W1411)=0),COUNTIFS('①在庫を貼る'!$V$6:$V$10005,$V1411,'①在庫を貼る'!$W$6:$W$10005,$W1411)+COUNTIFS('月1回_1ヶ月前の在庫'!$V$6:$V$10005,$V1411,'月1回_1ヶ月前の在庫'!$W$6:$W$10005,$W1411)&gt;0),N(U1410),N(U1410)+1))</f>
        <v/>
      </c>
      <c r="V1411" s="19">
        <f>IF($B1411="","",TEXT($B1411,"0000"))</f>
        <v/>
      </c>
      <c r="W1411" s="19">
        <f>IF($I1411="","",IF(ISNUMBER($I1411),TEXT($I1411,"0"),$I1411))</f>
        <v/>
      </c>
    </row>
    <row r="1412">
      <c r="B1412" s="25" t="n"/>
      <c r="I1412" s="25" t="n"/>
      <c r="U1412" s="19">
        <f>IF($V1412&lt;&gt;'設定'!$C$4,N(U1411),IF(OR(NOT(COUNTIF('商品マスタ'!$B$6:$B$1005,$W1412)=0),COUNTIFS('①在庫を貼る'!$V$6:$V$10005,$V1412,'①在庫を貼る'!$W$6:$W$10005,$W1412)+COUNTIFS('月1回_1ヶ月前の在庫'!$V$6:$V$10005,$V1412,'月1回_1ヶ月前の在庫'!$W$6:$W$10005,$W1412)&gt;0),N(U1411),N(U1411)+1))</f>
        <v/>
      </c>
      <c r="V1412" s="19">
        <f>IF($B1412="","",TEXT($B1412,"0000"))</f>
        <v/>
      </c>
      <c r="W1412" s="19">
        <f>IF($I1412="","",IF(ISNUMBER($I1412),TEXT($I1412,"0"),$I1412))</f>
        <v/>
      </c>
    </row>
    <row r="1413">
      <c r="B1413" s="25" t="n"/>
      <c r="I1413" s="25" t="n"/>
      <c r="U1413" s="19">
        <f>IF($V1413&lt;&gt;'設定'!$C$4,N(U1412),IF(OR(NOT(COUNTIF('商品マスタ'!$B$6:$B$1005,$W1413)=0),COUNTIFS('①在庫を貼る'!$V$6:$V$10005,$V1413,'①在庫を貼る'!$W$6:$W$10005,$W1413)+COUNTIFS('月1回_1ヶ月前の在庫'!$V$6:$V$10005,$V1413,'月1回_1ヶ月前の在庫'!$W$6:$W$10005,$W1413)&gt;0),N(U1412),N(U1412)+1))</f>
        <v/>
      </c>
      <c r="V1413" s="19">
        <f>IF($B1413="","",TEXT($B1413,"0000"))</f>
        <v/>
      </c>
      <c r="W1413" s="19">
        <f>IF($I1413="","",IF(ISNUMBER($I1413),TEXT($I1413,"0"),$I1413))</f>
        <v/>
      </c>
    </row>
    <row r="1414">
      <c r="B1414" s="25" t="n"/>
      <c r="I1414" s="25" t="n"/>
      <c r="U1414" s="19">
        <f>IF($V1414&lt;&gt;'設定'!$C$4,N(U1413),IF(OR(NOT(COUNTIF('商品マスタ'!$B$6:$B$1005,$W1414)=0),COUNTIFS('①在庫を貼る'!$V$6:$V$10005,$V1414,'①在庫を貼る'!$W$6:$W$10005,$W1414)+COUNTIFS('月1回_1ヶ月前の在庫'!$V$6:$V$10005,$V1414,'月1回_1ヶ月前の在庫'!$W$6:$W$10005,$W1414)&gt;0),N(U1413),N(U1413)+1))</f>
        <v/>
      </c>
      <c r="V1414" s="19">
        <f>IF($B1414="","",TEXT($B1414,"0000"))</f>
        <v/>
      </c>
      <c r="W1414" s="19">
        <f>IF($I1414="","",IF(ISNUMBER($I1414),TEXT($I1414,"0"),$I1414))</f>
        <v/>
      </c>
    </row>
    <row r="1415">
      <c r="B1415" s="25" t="n"/>
      <c r="I1415" s="25" t="n"/>
      <c r="U1415" s="19">
        <f>IF($V1415&lt;&gt;'設定'!$C$4,N(U1414),IF(OR(NOT(COUNTIF('商品マスタ'!$B$6:$B$1005,$W1415)=0),COUNTIFS('①在庫を貼る'!$V$6:$V$10005,$V1415,'①在庫を貼る'!$W$6:$W$10005,$W1415)+COUNTIFS('月1回_1ヶ月前の在庫'!$V$6:$V$10005,$V1415,'月1回_1ヶ月前の在庫'!$W$6:$W$10005,$W1415)&gt;0),N(U1414),N(U1414)+1))</f>
        <v/>
      </c>
      <c r="V1415" s="19">
        <f>IF($B1415="","",TEXT($B1415,"0000"))</f>
        <v/>
      </c>
      <c r="W1415" s="19">
        <f>IF($I1415="","",IF(ISNUMBER($I1415),TEXT($I1415,"0"),$I1415))</f>
        <v/>
      </c>
    </row>
    <row r="1416">
      <c r="B1416" s="25" t="n"/>
      <c r="I1416" s="25" t="n"/>
      <c r="U1416" s="19">
        <f>IF($V1416&lt;&gt;'設定'!$C$4,N(U1415),IF(OR(NOT(COUNTIF('商品マスタ'!$B$6:$B$1005,$W1416)=0),COUNTIFS('①在庫を貼る'!$V$6:$V$10005,$V1416,'①在庫を貼る'!$W$6:$W$10005,$W1416)+COUNTIFS('月1回_1ヶ月前の在庫'!$V$6:$V$10005,$V1416,'月1回_1ヶ月前の在庫'!$W$6:$W$10005,$W1416)&gt;0),N(U1415),N(U1415)+1))</f>
        <v/>
      </c>
      <c r="V1416" s="19">
        <f>IF($B1416="","",TEXT($B1416,"0000"))</f>
        <v/>
      </c>
      <c r="W1416" s="19">
        <f>IF($I1416="","",IF(ISNUMBER($I1416),TEXT($I1416,"0"),$I1416))</f>
        <v/>
      </c>
    </row>
    <row r="1417">
      <c r="B1417" s="25" t="n"/>
      <c r="I1417" s="25" t="n"/>
      <c r="U1417" s="19">
        <f>IF($V1417&lt;&gt;'設定'!$C$4,N(U1416),IF(OR(NOT(COUNTIF('商品マスタ'!$B$6:$B$1005,$W1417)=0),COUNTIFS('①在庫を貼る'!$V$6:$V$10005,$V1417,'①在庫を貼る'!$W$6:$W$10005,$W1417)+COUNTIFS('月1回_1ヶ月前の在庫'!$V$6:$V$10005,$V1417,'月1回_1ヶ月前の在庫'!$W$6:$W$10005,$W1417)&gt;0),N(U1416),N(U1416)+1))</f>
        <v/>
      </c>
      <c r="V1417" s="19">
        <f>IF($B1417="","",TEXT($B1417,"0000"))</f>
        <v/>
      </c>
      <c r="W1417" s="19">
        <f>IF($I1417="","",IF(ISNUMBER($I1417),TEXT($I1417,"0"),$I1417))</f>
        <v/>
      </c>
    </row>
    <row r="1418">
      <c r="B1418" s="25" t="n"/>
      <c r="I1418" s="25" t="n"/>
      <c r="U1418" s="19">
        <f>IF($V1418&lt;&gt;'設定'!$C$4,N(U1417),IF(OR(NOT(COUNTIF('商品マスタ'!$B$6:$B$1005,$W1418)=0),COUNTIFS('①在庫を貼る'!$V$6:$V$10005,$V1418,'①在庫を貼る'!$W$6:$W$10005,$W1418)+COUNTIFS('月1回_1ヶ月前の在庫'!$V$6:$V$10005,$V1418,'月1回_1ヶ月前の在庫'!$W$6:$W$10005,$W1418)&gt;0),N(U1417),N(U1417)+1))</f>
        <v/>
      </c>
      <c r="V1418" s="19">
        <f>IF($B1418="","",TEXT($B1418,"0000"))</f>
        <v/>
      </c>
      <c r="W1418" s="19">
        <f>IF($I1418="","",IF(ISNUMBER($I1418),TEXT($I1418,"0"),$I1418))</f>
        <v/>
      </c>
    </row>
    <row r="1419">
      <c r="B1419" s="25" t="n"/>
      <c r="I1419" s="25" t="n"/>
      <c r="U1419" s="19">
        <f>IF($V1419&lt;&gt;'設定'!$C$4,N(U1418),IF(OR(NOT(COUNTIF('商品マスタ'!$B$6:$B$1005,$W1419)=0),COUNTIFS('①在庫を貼る'!$V$6:$V$10005,$V1419,'①在庫を貼る'!$W$6:$W$10005,$W1419)+COUNTIFS('月1回_1ヶ月前の在庫'!$V$6:$V$10005,$V1419,'月1回_1ヶ月前の在庫'!$W$6:$W$10005,$W1419)&gt;0),N(U1418),N(U1418)+1))</f>
        <v/>
      </c>
      <c r="V1419" s="19">
        <f>IF($B1419="","",TEXT($B1419,"0000"))</f>
        <v/>
      </c>
      <c r="W1419" s="19">
        <f>IF($I1419="","",IF(ISNUMBER($I1419),TEXT($I1419,"0"),$I1419))</f>
        <v/>
      </c>
    </row>
    <row r="1420">
      <c r="B1420" s="25" t="n"/>
      <c r="I1420" s="25" t="n"/>
      <c r="U1420" s="19">
        <f>IF($V1420&lt;&gt;'設定'!$C$4,N(U1419),IF(OR(NOT(COUNTIF('商品マスタ'!$B$6:$B$1005,$W1420)=0),COUNTIFS('①在庫を貼る'!$V$6:$V$10005,$V1420,'①在庫を貼る'!$W$6:$W$10005,$W1420)+COUNTIFS('月1回_1ヶ月前の在庫'!$V$6:$V$10005,$V1420,'月1回_1ヶ月前の在庫'!$W$6:$W$10005,$W1420)&gt;0),N(U1419),N(U1419)+1))</f>
        <v/>
      </c>
      <c r="V1420" s="19">
        <f>IF($B1420="","",TEXT($B1420,"0000"))</f>
        <v/>
      </c>
      <c r="W1420" s="19">
        <f>IF($I1420="","",IF(ISNUMBER($I1420),TEXT($I1420,"0"),$I1420))</f>
        <v/>
      </c>
    </row>
    <row r="1421">
      <c r="B1421" s="25" t="n"/>
      <c r="I1421" s="25" t="n"/>
      <c r="U1421" s="19">
        <f>IF($V1421&lt;&gt;'設定'!$C$4,N(U1420),IF(OR(NOT(COUNTIF('商品マスタ'!$B$6:$B$1005,$W1421)=0),COUNTIFS('①在庫を貼る'!$V$6:$V$10005,$V1421,'①在庫を貼る'!$W$6:$W$10005,$W1421)+COUNTIFS('月1回_1ヶ月前の在庫'!$V$6:$V$10005,$V1421,'月1回_1ヶ月前の在庫'!$W$6:$W$10005,$W1421)&gt;0),N(U1420),N(U1420)+1))</f>
        <v/>
      </c>
      <c r="V1421" s="19">
        <f>IF($B1421="","",TEXT($B1421,"0000"))</f>
        <v/>
      </c>
      <c r="W1421" s="19">
        <f>IF($I1421="","",IF(ISNUMBER($I1421),TEXT($I1421,"0"),$I1421))</f>
        <v/>
      </c>
    </row>
    <row r="1422">
      <c r="B1422" s="25" t="n"/>
      <c r="I1422" s="25" t="n"/>
      <c r="U1422" s="19">
        <f>IF($V1422&lt;&gt;'設定'!$C$4,N(U1421),IF(OR(NOT(COUNTIF('商品マスタ'!$B$6:$B$1005,$W1422)=0),COUNTIFS('①在庫を貼る'!$V$6:$V$10005,$V1422,'①在庫を貼る'!$W$6:$W$10005,$W1422)+COUNTIFS('月1回_1ヶ月前の在庫'!$V$6:$V$10005,$V1422,'月1回_1ヶ月前の在庫'!$W$6:$W$10005,$W1422)&gt;0),N(U1421),N(U1421)+1))</f>
        <v/>
      </c>
      <c r="V1422" s="19">
        <f>IF($B1422="","",TEXT($B1422,"0000"))</f>
        <v/>
      </c>
      <c r="W1422" s="19">
        <f>IF($I1422="","",IF(ISNUMBER($I1422),TEXT($I1422,"0"),$I1422))</f>
        <v/>
      </c>
    </row>
    <row r="1423">
      <c r="B1423" s="25" t="n"/>
      <c r="I1423" s="25" t="n"/>
      <c r="U1423" s="19">
        <f>IF($V1423&lt;&gt;'設定'!$C$4,N(U1422),IF(OR(NOT(COUNTIF('商品マスタ'!$B$6:$B$1005,$W1423)=0),COUNTIFS('①在庫を貼る'!$V$6:$V$10005,$V1423,'①在庫を貼る'!$W$6:$W$10005,$W1423)+COUNTIFS('月1回_1ヶ月前の在庫'!$V$6:$V$10005,$V1423,'月1回_1ヶ月前の在庫'!$W$6:$W$10005,$W1423)&gt;0),N(U1422),N(U1422)+1))</f>
        <v/>
      </c>
      <c r="V1423" s="19">
        <f>IF($B1423="","",TEXT($B1423,"0000"))</f>
        <v/>
      </c>
      <c r="W1423" s="19">
        <f>IF($I1423="","",IF(ISNUMBER($I1423),TEXT($I1423,"0"),$I1423))</f>
        <v/>
      </c>
    </row>
    <row r="1424">
      <c r="B1424" s="25" t="n"/>
      <c r="I1424" s="25" t="n"/>
      <c r="U1424" s="19">
        <f>IF($V1424&lt;&gt;'設定'!$C$4,N(U1423),IF(OR(NOT(COUNTIF('商品マスタ'!$B$6:$B$1005,$W1424)=0),COUNTIFS('①在庫を貼る'!$V$6:$V$10005,$V1424,'①在庫を貼る'!$W$6:$W$10005,$W1424)+COUNTIFS('月1回_1ヶ月前の在庫'!$V$6:$V$10005,$V1424,'月1回_1ヶ月前の在庫'!$W$6:$W$10005,$W1424)&gt;0),N(U1423),N(U1423)+1))</f>
        <v/>
      </c>
      <c r="V1424" s="19">
        <f>IF($B1424="","",TEXT($B1424,"0000"))</f>
        <v/>
      </c>
      <c r="W1424" s="19">
        <f>IF($I1424="","",IF(ISNUMBER($I1424),TEXT($I1424,"0"),$I1424))</f>
        <v/>
      </c>
    </row>
    <row r="1425">
      <c r="B1425" s="25" t="n"/>
      <c r="I1425" s="25" t="n"/>
      <c r="U1425" s="19">
        <f>IF($V1425&lt;&gt;'設定'!$C$4,N(U1424),IF(OR(NOT(COUNTIF('商品マスタ'!$B$6:$B$1005,$W1425)=0),COUNTIFS('①在庫を貼る'!$V$6:$V$10005,$V1425,'①在庫を貼る'!$W$6:$W$10005,$W1425)+COUNTIFS('月1回_1ヶ月前の在庫'!$V$6:$V$10005,$V1425,'月1回_1ヶ月前の在庫'!$W$6:$W$10005,$W1425)&gt;0),N(U1424),N(U1424)+1))</f>
        <v/>
      </c>
      <c r="V1425" s="19">
        <f>IF($B1425="","",TEXT($B1425,"0000"))</f>
        <v/>
      </c>
      <c r="W1425" s="19">
        <f>IF($I1425="","",IF(ISNUMBER($I1425),TEXT($I1425,"0"),$I1425))</f>
        <v/>
      </c>
    </row>
    <row r="1426">
      <c r="B1426" s="25" t="n"/>
      <c r="I1426" s="25" t="n"/>
      <c r="U1426" s="19">
        <f>IF($V1426&lt;&gt;'設定'!$C$4,N(U1425),IF(OR(NOT(COUNTIF('商品マスタ'!$B$6:$B$1005,$W1426)=0),COUNTIFS('①在庫を貼る'!$V$6:$V$10005,$V1426,'①在庫を貼る'!$W$6:$W$10005,$W1426)+COUNTIFS('月1回_1ヶ月前の在庫'!$V$6:$V$10005,$V1426,'月1回_1ヶ月前の在庫'!$W$6:$W$10005,$W1426)&gt;0),N(U1425),N(U1425)+1))</f>
        <v/>
      </c>
      <c r="V1426" s="19">
        <f>IF($B1426="","",TEXT($B1426,"0000"))</f>
        <v/>
      </c>
      <c r="W1426" s="19">
        <f>IF($I1426="","",IF(ISNUMBER($I1426),TEXT($I1426,"0"),$I1426))</f>
        <v/>
      </c>
    </row>
    <row r="1427">
      <c r="B1427" s="25" t="n"/>
      <c r="I1427" s="25" t="n"/>
      <c r="U1427" s="19">
        <f>IF($V1427&lt;&gt;'設定'!$C$4,N(U1426),IF(OR(NOT(COUNTIF('商品マスタ'!$B$6:$B$1005,$W1427)=0),COUNTIFS('①在庫を貼る'!$V$6:$V$10005,$V1427,'①在庫を貼る'!$W$6:$W$10005,$W1427)+COUNTIFS('月1回_1ヶ月前の在庫'!$V$6:$V$10005,$V1427,'月1回_1ヶ月前の在庫'!$W$6:$W$10005,$W1427)&gt;0),N(U1426),N(U1426)+1))</f>
        <v/>
      </c>
      <c r="V1427" s="19">
        <f>IF($B1427="","",TEXT($B1427,"0000"))</f>
        <v/>
      </c>
      <c r="W1427" s="19">
        <f>IF($I1427="","",IF(ISNUMBER($I1427),TEXT($I1427,"0"),$I1427))</f>
        <v/>
      </c>
    </row>
    <row r="1428">
      <c r="B1428" s="25" t="n"/>
      <c r="I1428" s="25" t="n"/>
      <c r="U1428" s="19">
        <f>IF($V1428&lt;&gt;'設定'!$C$4,N(U1427),IF(OR(NOT(COUNTIF('商品マスタ'!$B$6:$B$1005,$W1428)=0),COUNTIFS('①在庫を貼る'!$V$6:$V$10005,$V1428,'①在庫を貼る'!$W$6:$W$10005,$W1428)+COUNTIFS('月1回_1ヶ月前の在庫'!$V$6:$V$10005,$V1428,'月1回_1ヶ月前の在庫'!$W$6:$W$10005,$W1428)&gt;0),N(U1427),N(U1427)+1))</f>
        <v/>
      </c>
      <c r="V1428" s="19">
        <f>IF($B1428="","",TEXT($B1428,"0000"))</f>
        <v/>
      </c>
      <c r="W1428" s="19">
        <f>IF($I1428="","",IF(ISNUMBER($I1428),TEXT($I1428,"0"),$I1428))</f>
        <v/>
      </c>
    </row>
    <row r="1429">
      <c r="B1429" s="25" t="n"/>
      <c r="I1429" s="25" t="n"/>
      <c r="U1429" s="19">
        <f>IF($V1429&lt;&gt;'設定'!$C$4,N(U1428),IF(OR(NOT(COUNTIF('商品マスタ'!$B$6:$B$1005,$W1429)=0),COUNTIFS('①在庫を貼る'!$V$6:$V$10005,$V1429,'①在庫を貼る'!$W$6:$W$10005,$W1429)+COUNTIFS('月1回_1ヶ月前の在庫'!$V$6:$V$10005,$V1429,'月1回_1ヶ月前の在庫'!$W$6:$W$10005,$W1429)&gt;0),N(U1428),N(U1428)+1))</f>
        <v/>
      </c>
      <c r="V1429" s="19">
        <f>IF($B1429="","",TEXT($B1429,"0000"))</f>
        <v/>
      </c>
      <c r="W1429" s="19">
        <f>IF($I1429="","",IF(ISNUMBER($I1429),TEXT($I1429,"0"),$I1429))</f>
        <v/>
      </c>
    </row>
    <row r="1430">
      <c r="B1430" s="25" t="n"/>
      <c r="I1430" s="25" t="n"/>
      <c r="U1430" s="19">
        <f>IF($V1430&lt;&gt;'設定'!$C$4,N(U1429),IF(OR(NOT(COUNTIF('商品マスタ'!$B$6:$B$1005,$W1430)=0),COUNTIFS('①在庫を貼る'!$V$6:$V$10005,$V1430,'①在庫を貼る'!$W$6:$W$10005,$W1430)+COUNTIFS('月1回_1ヶ月前の在庫'!$V$6:$V$10005,$V1430,'月1回_1ヶ月前の在庫'!$W$6:$W$10005,$W1430)&gt;0),N(U1429),N(U1429)+1))</f>
        <v/>
      </c>
      <c r="V1430" s="19">
        <f>IF($B1430="","",TEXT($B1430,"0000"))</f>
        <v/>
      </c>
      <c r="W1430" s="19">
        <f>IF($I1430="","",IF(ISNUMBER($I1430),TEXT($I1430,"0"),$I1430))</f>
        <v/>
      </c>
    </row>
    <row r="1431">
      <c r="B1431" s="25" t="n"/>
      <c r="I1431" s="25" t="n"/>
      <c r="U1431" s="19">
        <f>IF($V1431&lt;&gt;'設定'!$C$4,N(U1430),IF(OR(NOT(COUNTIF('商品マスタ'!$B$6:$B$1005,$W1431)=0),COUNTIFS('①在庫を貼る'!$V$6:$V$10005,$V1431,'①在庫を貼る'!$W$6:$W$10005,$W1431)+COUNTIFS('月1回_1ヶ月前の在庫'!$V$6:$V$10005,$V1431,'月1回_1ヶ月前の在庫'!$W$6:$W$10005,$W1431)&gt;0),N(U1430),N(U1430)+1))</f>
        <v/>
      </c>
      <c r="V1431" s="19">
        <f>IF($B1431="","",TEXT($B1431,"0000"))</f>
        <v/>
      </c>
      <c r="W1431" s="19">
        <f>IF($I1431="","",IF(ISNUMBER($I1431),TEXT($I1431,"0"),$I1431))</f>
        <v/>
      </c>
    </row>
    <row r="1432">
      <c r="B1432" s="25" t="n"/>
      <c r="I1432" s="25" t="n"/>
      <c r="U1432" s="19">
        <f>IF($V1432&lt;&gt;'設定'!$C$4,N(U1431),IF(OR(NOT(COUNTIF('商品マスタ'!$B$6:$B$1005,$W1432)=0),COUNTIFS('①在庫を貼る'!$V$6:$V$10005,$V1432,'①在庫を貼る'!$W$6:$W$10005,$W1432)+COUNTIFS('月1回_1ヶ月前の在庫'!$V$6:$V$10005,$V1432,'月1回_1ヶ月前の在庫'!$W$6:$W$10005,$W1432)&gt;0),N(U1431),N(U1431)+1))</f>
        <v/>
      </c>
      <c r="V1432" s="19">
        <f>IF($B1432="","",TEXT($B1432,"0000"))</f>
        <v/>
      </c>
      <c r="W1432" s="19">
        <f>IF($I1432="","",IF(ISNUMBER($I1432),TEXT($I1432,"0"),$I1432))</f>
        <v/>
      </c>
    </row>
    <row r="1433">
      <c r="B1433" s="25" t="n"/>
      <c r="I1433" s="25" t="n"/>
      <c r="U1433" s="19">
        <f>IF($V1433&lt;&gt;'設定'!$C$4,N(U1432),IF(OR(NOT(COUNTIF('商品マスタ'!$B$6:$B$1005,$W1433)=0),COUNTIFS('①在庫を貼る'!$V$6:$V$10005,$V1433,'①在庫を貼る'!$W$6:$W$10005,$W1433)+COUNTIFS('月1回_1ヶ月前の在庫'!$V$6:$V$10005,$V1433,'月1回_1ヶ月前の在庫'!$W$6:$W$10005,$W1433)&gt;0),N(U1432),N(U1432)+1))</f>
        <v/>
      </c>
      <c r="V1433" s="19">
        <f>IF($B1433="","",TEXT($B1433,"0000"))</f>
        <v/>
      </c>
      <c r="W1433" s="19">
        <f>IF($I1433="","",IF(ISNUMBER($I1433),TEXT($I1433,"0"),$I1433))</f>
        <v/>
      </c>
    </row>
    <row r="1434">
      <c r="B1434" s="25" t="n"/>
      <c r="I1434" s="25" t="n"/>
      <c r="U1434" s="19">
        <f>IF($V1434&lt;&gt;'設定'!$C$4,N(U1433),IF(OR(NOT(COUNTIF('商品マスタ'!$B$6:$B$1005,$W1434)=0),COUNTIFS('①在庫を貼る'!$V$6:$V$10005,$V1434,'①在庫を貼る'!$W$6:$W$10005,$W1434)+COUNTIFS('月1回_1ヶ月前の在庫'!$V$6:$V$10005,$V1434,'月1回_1ヶ月前の在庫'!$W$6:$W$10005,$W1434)&gt;0),N(U1433),N(U1433)+1))</f>
        <v/>
      </c>
      <c r="V1434" s="19">
        <f>IF($B1434="","",TEXT($B1434,"0000"))</f>
        <v/>
      </c>
      <c r="W1434" s="19">
        <f>IF($I1434="","",IF(ISNUMBER($I1434),TEXT($I1434,"0"),$I1434))</f>
        <v/>
      </c>
    </row>
    <row r="1435">
      <c r="B1435" s="25" t="n"/>
      <c r="I1435" s="25" t="n"/>
      <c r="U1435" s="19">
        <f>IF($V1435&lt;&gt;'設定'!$C$4,N(U1434),IF(OR(NOT(COUNTIF('商品マスタ'!$B$6:$B$1005,$W1435)=0),COUNTIFS('①在庫を貼る'!$V$6:$V$10005,$V1435,'①在庫を貼る'!$W$6:$W$10005,$W1435)+COUNTIFS('月1回_1ヶ月前の在庫'!$V$6:$V$10005,$V1435,'月1回_1ヶ月前の在庫'!$W$6:$W$10005,$W1435)&gt;0),N(U1434),N(U1434)+1))</f>
        <v/>
      </c>
      <c r="V1435" s="19">
        <f>IF($B1435="","",TEXT($B1435,"0000"))</f>
        <v/>
      </c>
      <c r="W1435" s="19">
        <f>IF($I1435="","",IF(ISNUMBER($I1435),TEXT($I1435,"0"),$I1435))</f>
        <v/>
      </c>
    </row>
    <row r="1436">
      <c r="B1436" s="25" t="n"/>
      <c r="I1436" s="25" t="n"/>
      <c r="U1436" s="19">
        <f>IF($V1436&lt;&gt;'設定'!$C$4,N(U1435),IF(OR(NOT(COUNTIF('商品マスタ'!$B$6:$B$1005,$W1436)=0),COUNTIFS('①在庫を貼る'!$V$6:$V$10005,$V1436,'①在庫を貼る'!$W$6:$W$10005,$W1436)+COUNTIFS('月1回_1ヶ月前の在庫'!$V$6:$V$10005,$V1436,'月1回_1ヶ月前の在庫'!$W$6:$W$10005,$W1436)&gt;0),N(U1435),N(U1435)+1))</f>
        <v/>
      </c>
      <c r="V1436" s="19">
        <f>IF($B1436="","",TEXT($B1436,"0000"))</f>
        <v/>
      </c>
      <c r="W1436" s="19">
        <f>IF($I1436="","",IF(ISNUMBER($I1436),TEXT($I1436,"0"),$I1436))</f>
        <v/>
      </c>
    </row>
    <row r="1437">
      <c r="B1437" s="25" t="n"/>
      <c r="I1437" s="25" t="n"/>
      <c r="U1437" s="19">
        <f>IF($V1437&lt;&gt;'設定'!$C$4,N(U1436),IF(OR(NOT(COUNTIF('商品マスタ'!$B$6:$B$1005,$W1437)=0),COUNTIFS('①在庫を貼る'!$V$6:$V$10005,$V1437,'①在庫を貼る'!$W$6:$W$10005,$W1437)+COUNTIFS('月1回_1ヶ月前の在庫'!$V$6:$V$10005,$V1437,'月1回_1ヶ月前の在庫'!$W$6:$W$10005,$W1437)&gt;0),N(U1436),N(U1436)+1))</f>
        <v/>
      </c>
      <c r="V1437" s="19">
        <f>IF($B1437="","",TEXT($B1437,"0000"))</f>
        <v/>
      </c>
      <c r="W1437" s="19">
        <f>IF($I1437="","",IF(ISNUMBER($I1437),TEXT($I1437,"0"),$I1437))</f>
        <v/>
      </c>
    </row>
    <row r="1438">
      <c r="B1438" s="25" t="n"/>
      <c r="I1438" s="25" t="n"/>
      <c r="U1438" s="19">
        <f>IF($V1438&lt;&gt;'設定'!$C$4,N(U1437),IF(OR(NOT(COUNTIF('商品マスタ'!$B$6:$B$1005,$W1438)=0),COUNTIFS('①在庫を貼る'!$V$6:$V$10005,$V1438,'①在庫を貼る'!$W$6:$W$10005,$W1438)+COUNTIFS('月1回_1ヶ月前の在庫'!$V$6:$V$10005,$V1438,'月1回_1ヶ月前の在庫'!$W$6:$W$10005,$W1438)&gt;0),N(U1437),N(U1437)+1))</f>
        <v/>
      </c>
      <c r="V1438" s="19">
        <f>IF($B1438="","",TEXT($B1438,"0000"))</f>
        <v/>
      </c>
      <c r="W1438" s="19">
        <f>IF($I1438="","",IF(ISNUMBER($I1438),TEXT($I1438,"0"),$I1438))</f>
        <v/>
      </c>
    </row>
    <row r="1439">
      <c r="B1439" s="25" t="n"/>
      <c r="I1439" s="25" t="n"/>
      <c r="U1439" s="19">
        <f>IF($V1439&lt;&gt;'設定'!$C$4,N(U1438),IF(OR(NOT(COUNTIF('商品マスタ'!$B$6:$B$1005,$W1439)=0),COUNTIFS('①在庫を貼る'!$V$6:$V$10005,$V1439,'①在庫を貼る'!$W$6:$W$10005,$W1439)+COUNTIFS('月1回_1ヶ月前の在庫'!$V$6:$V$10005,$V1439,'月1回_1ヶ月前の在庫'!$W$6:$W$10005,$W1439)&gt;0),N(U1438),N(U1438)+1))</f>
        <v/>
      </c>
      <c r="V1439" s="19">
        <f>IF($B1439="","",TEXT($B1439,"0000"))</f>
        <v/>
      </c>
      <c r="W1439" s="19">
        <f>IF($I1439="","",IF(ISNUMBER($I1439),TEXT($I1439,"0"),$I1439))</f>
        <v/>
      </c>
    </row>
    <row r="1440">
      <c r="B1440" s="25" t="n"/>
      <c r="I1440" s="25" t="n"/>
      <c r="U1440" s="19">
        <f>IF($V1440&lt;&gt;'設定'!$C$4,N(U1439),IF(OR(NOT(COUNTIF('商品マスタ'!$B$6:$B$1005,$W1440)=0),COUNTIFS('①在庫を貼る'!$V$6:$V$10005,$V1440,'①在庫を貼る'!$W$6:$W$10005,$W1440)+COUNTIFS('月1回_1ヶ月前の在庫'!$V$6:$V$10005,$V1440,'月1回_1ヶ月前の在庫'!$W$6:$W$10005,$W1440)&gt;0),N(U1439),N(U1439)+1))</f>
        <v/>
      </c>
      <c r="V1440" s="19">
        <f>IF($B1440="","",TEXT($B1440,"0000"))</f>
        <v/>
      </c>
      <c r="W1440" s="19">
        <f>IF($I1440="","",IF(ISNUMBER($I1440),TEXT($I1440,"0"),$I1440))</f>
        <v/>
      </c>
    </row>
    <row r="1441">
      <c r="B1441" s="25" t="n"/>
      <c r="I1441" s="25" t="n"/>
      <c r="U1441" s="19">
        <f>IF($V1441&lt;&gt;'設定'!$C$4,N(U1440),IF(OR(NOT(COUNTIF('商品マスタ'!$B$6:$B$1005,$W1441)=0),COUNTIFS('①在庫を貼る'!$V$6:$V$10005,$V1441,'①在庫を貼る'!$W$6:$W$10005,$W1441)+COUNTIFS('月1回_1ヶ月前の在庫'!$V$6:$V$10005,$V1441,'月1回_1ヶ月前の在庫'!$W$6:$W$10005,$W1441)&gt;0),N(U1440),N(U1440)+1))</f>
        <v/>
      </c>
      <c r="V1441" s="19">
        <f>IF($B1441="","",TEXT($B1441,"0000"))</f>
        <v/>
      </c>
      <c r="W1441" s="19">
        <f>IF($I1441="","",IF(ISNUMBER($I1441),TEXT($I1441,"0"),$I1441))</f>
        <v/>
      </c>
    </row>
    <row r="1442">
      <c r="B1442" s="25" t="n"/>
      <c r="I1442" s="25" t="n"/>
      <c r="U1442" s="19">
        <f>IF($V1442&lt;&gt;'設定'!$C$4,N(U1441),IF(OR(NOT(COUNTIF('商品マスタ'!$B$6:$B$1005,$W1442)=0),COUNTIFS('①在庫を貼る'!$V$6:$V$10005,$V1442,'①在庫を貼る'!$W$6:$W$10005,$W1442)+COUNTIFS('月1回_1ヶ月前の在庫'!$V$6:$V$10005,$V1442,'月1回_1ヶ月前の在庫'!$W$6:$W$10005,$W1442)&gt;0),N(U1441),N(U1441)+1))</f>
        <v/>
      </c>
      <c r="V1442" s="19">
        <f>IF($B1442="","",TEXT($B1442,"0000"))</f>
        <v/>
      </c>
      <c r="W1442" s="19">
        <f>IF($I1442="","",IF(ISNUMBER($I1442),TEXT($I1442,"0"),$I1442))</f>
        <v/>
      </c>
    </row>
    <row r="1443">
      <c r="B1443" s="25" t="n"/>
      <c r="I1443" s="25" t="n"/>
      <c r="U1443" s="19">
        <f>IF($V1443&lt;&gt;'設定'!$C$4,N(U1442),IF(OR(NOT(COUNTIF('商品マスタ'!$B$6:$B$1005,$W1443)=0),COUNTIFS('①在庫を貼る'!$V$6:$V$10005,$V1443,'①在庫を貼る'!$W$6:$W$10005,$W1443)+COUNTIFS('月1回_1ヶ月前の在庫'!$V$6:$V$10005,$V1443,'月1回_1ヶ月前の在庫'!$W$6:$W$10005,$W1443)&gt;0),N(U1442),N(U1442)+1))</f>
        <v/>
      </c>
      <c r="V1443" s="19">
        <f>IF($B1443="","",TEXT($B1443,"0000"))</f>
        <v/>
      </c>
      <c r="W1443" s="19">
        <f>IF($I1443="","",IF(ISNUMBER($I1443),TEXT($I1443,"0"),$I1443))</f>
        <v/>
      </c>
    </row>
    <row r="1444">
      <c r="B1444" s="25" t="n"/>
      <c r="I1444" s="25" t="n"/>
      <c r="U1444" s="19">
        <f>IF($V1444&lt;&gt;'設定'!$C$4,N(U1443),IF(OR(NOT(COUNTIF('商品マスタ'!$B$6:$B$1005,$W1444)=0),COUNTIFS('①在庫を貼る'!$V$6:$V$10005,$V1444,'①在庫を貼る'!$W$6:$W$10005,$W1444)+COUNTIFS('月1回_1ヶ月前の在庫'!$V$6:$V$10005,$V1444,'月1回_1ヶ月前の在庫'!$W$6:$W$10005,$W1444)&gt;0),N(U1443),N(U1443)+1))</f>
        <v/>
      </c>
      <c r="V1444" s="19">
        <f>IF($B1444="","",TEXT($B1444,"0000"))</f>
        <v/>
      </c>
      <c r="W1444" s="19">
        <f>IF($I1444="","",IF(ISNUMBER($I1444),TEXT($I1444,"0"),$I1444))</f>
        <v/>
      </c>
    </row>
    <row r="1445">
      <c r="B1445" s="25" t="n"/>
      <c r="I1445" s="25" t="n"/>
      <c r="U1445" s="19">
        <f>IF($V1445&lt;&gt;'設定'!$C$4,N(U1444),IF(OR(NOT(COUNTIF('商品マスタ'!$B$6:$B$1005,$W1445)=0),COUNTIFS('①在庫を貼る'!$V$6:$V$10005,$V1445,'①在庫を貼る'!$W$6:$W$10005,$W1445)+COUNTIFS('月1回_1ヶ月前の在庫'!$V$6:$V$10005,$V1445,'月1回_1ヶ月前の在庫'!$W$6:$W$10005,$W1445)&gt;0),N(U1444),N(U1444)+1))</f>
        <v/>
      </c>
      <c r="V1445" s="19">
        <f>IF($B1445="","",TEXT($B1445,"0000"))</f>
        <v/>
      </c>
      <c r="W1445" s="19">
        <f>IF($I1445="","",IF(ISNUMBER($I1445),TEXT($I1445,"0"),$I1445))</f>
        <v/>
      </c>
    </row>
    <row r="1446">
      <c r="B1446" s="25" t="n"/>
      <c r="I1446" s="25" t="n"/>
      <c r="U1446" s="19">
        <f>IF($V1446&lt;&gt;'設定'!$C$4,N(U1445),IF(OR(NOT(COUNTIF('商品マスタ'!$B$6:$B$1005,$W1446)=0),COUNTIFS('①在庫を貼る'!$V$6:$V$10005,$V1446,'①在庫を貼る'!$W$6:$W$10005,$W1446)+COUNTIFS('月1回_1ヶ月前の在庫'!$V$6:$V$10005,$V1446,'月1回_1ヶ月前の在庫'!$W$6:$W$10005,$W1446)&gt;0),N(U1445),N(U1445)+1))</f>
        <v/>
      </c>
      <c r="V1446" s="19">
        <f>IF($B1446="","",TEXT($B1446,"0000"))</f>
        <v/>
      </c>
      <c r="W1446" s="19">
        <f>IF($I1446="","",IF(ISNUMBER($I1446),TEXT($I1446,"0"),$I1446))</f>
        <v/>
      </c>
    </row>
    <row r="1447">
      <c r="B1447" s="25" t="n"/>
      <c r="I1447" s="25" t="n"/>
      <c r="U1447" s="19">
        <f>IF($V1447&lt;&gt;'設定'!$C$4,N(U1446),IF(OR(NOT(COUNTIF('商品マスタ'!$B$6:$B$1005,$W1447)=0),COUNTIFS('①在庫を貼る'!$V$6:$V$10005,$V1447,'①在庫を貼る'!$W$6:$W$10005,$W1447)+COUNTIFS('月1回_1ヶ月前の在庫'!$V$6:$V$10005,$V1447,'月1回_1ヶ月前の在庫'!$W$6:$W$10005,$W1447)&gt;0),N(U1446),N(U1446)+1))</f>
        <v/>
      </c>
      <c r="V1447" s="19">
        <f>IF($B1447="","",TEXT($B1447,"0000"))</f>
        <v/>
      </c>
      <c r="W1447" s="19">
        <f>IF($I1447="","",IF(ISNUMBER($I1447),TEXT($I1447,"0"),$I1447))</f>
        <v/>
      </c>
    </row>
    <row r="1448">
      <c r="B1448" s="25" t="n"/>
      <c r="I1448" s="25" t="n"/>
      <c r="U1448" s="19">
        <f>IF($V1448&lt;&gt;'設定'!$C$4,N(U1447),IF(OR(NOT(COUNTIF('商品マスタ'!$B$6:$B$1005,$W1448)=0),COUNTIFS('①在庫を貼る'!$V$6:$V$10005,$V1448,'①在庫を貼る'!$W$6:$W$10005,$W1448)+COUNTIFS('月1回_1ヶ月前の在庫'!$V$6:$V$10005,$V1448,'月1回_1ヶ月前の在庫'!$W$6:$W$10005,$W1448)&gt;0),N(U1447),N(U1447)+1))</f>
        <v/>
      </c>
      <c r="V1448" s="19">
        <f>IF($B1448="","",TEXT($B1448,"0000"))</f>
        <v/>
      </c>
      <c r="W1448" s="19">
        <f>IF($I1448="","",IF(ISNUMBER($I1448),TEXT($I1448,"0"),$I1448))</f>
        <v/>
      </c>
    </row>
    <row r="1449">
      <c r="B1449" s="25" t="n"/>
      <c r="I1449" s="25" t="n"/>
      <c r="U1449" s="19">
        <f>IF($V1449&lt;&gt;'設定'!$C$4,N(U1448),IF(OR(NOT(COUNTIF('商品マスタ'!$B$6:$B$1005,$W1449)=0),COUNTIFS('①在庫を貼る'!$V$6:$V$10005,$V1449,'①在庫を貼る'!$W$6:$W$10005,$W1449)+COUNTIFS('月1回_1ヶ月前の在庫'!$V$6:$V$10005,$V1449,'月1回_1ヶ月前の在庫'!$W$6:$W$10005,$W1449)&gt;0),N(U1448),N(U1448)+1))</f>
        <v/>
      </c>
      <c r="V1449" s="19">
        <f>IF($B1449="","",TEXT($B1449,"0000"))</f>
        <v/>
      </c>
      <c r="W1449" s="19">
        <f>IF($I1449="","",IF(ISNUMBER($I1449),TEXT($I1449,"0"),$I1449))</f>
        <v/>
      </c>
    </row>
    <row r="1450">
      <c r="B1450" s="25" t="n"/>
      <c r="I1450" s="25" t="n"/>
      <c r="U1450" s="19">
        <f>IF($V1450&lt;&gt;'設定'!$C$4,N(U1449),IF(OR(NOT(COUNTIF('商品マスタ'!$B$6:$B$1005,$W1450)=0),COUNTIFS('①在庫を貼る'!$V$6:$V$10005,$V1450,'①在庫を貼る'!$W$6:$W$10005,$W1450)+COUNTIFS('月1回_1ヶ月前の在庫'!$V$6:$V$10005,$V1450,'月1回_1ヶ月前の在庫'!$W$6:$W$10005,$W1450)&gt;0),N(U1449),N(U1449)+1))</f>
        <v/>
      </c>
      <c r="V1450" s="19">
        <f>IF($B1450="","",TEXT($B1450,"0000"))</f>
        <v/>
      </c>
      <c r="W1450" s="19">
        <f>IF($I1450="","",IF(ISNUMBER($I1450),TEXT($I1450,"0"),$I1450))</f>
        <v/>
      </c>
    </row>
    <row r="1451">
      <c r="B1451" s="25" t="n"/>
      <c r="I1451" s="25" t="n"/>
      <c r="U1451" s="19">
        <f>IF($V1451&lt;&gt;'設定'!$C$4,N(U1450),IF(OR(NOT(COUNTIF('商品マスタ'!$B$6:$B$1005,$W1451)=0),COUNTIFS('①在庫を貼る'!$V$6:$V$10005,$V1451,'①在庫を貼る'!$W$6:$W$10005,$W1451)+COUNTIFS('月1回_1ヶ月前の在庫'!$V$6:$V$10005,$V1451,'月1回_1ヶ月前の在庫'!$W$6:$W$10005,$W1451)&gt;0),N(U1450),N(U1450)+1))</f>
        <v/>
      </c>
      <c r="V1451" s="19">
        <f>IF($B1451="","",TEXT($B1451,"0000"))</f>
        <v/>
      </c>
      <c r="W1451" s="19">
        <f>IF($I1451="","",IF(ISNUMBER($I1451),TEXT($I1451,"0"),$I1451))</f>
        <v/>
      </c>
    </row>
    <row r="1452">
      <c r="B1452" s="25" t="n"/>
      <c r="I1452" s="25" t="n"/>
      <c r="U1452" s="19">
        <f>IF($V1452&lt;&gt;'設定'!$C$4,N(U1451),IF(OR(NOT(COUNTIF('商品マスタ'!$B$6:$B$1005,$W1452)=0),COUNTIFS('①在庫を貼る'!$V$6:$V$10005,$V1452,'①在庫を貼る'!$W$6:$W$10005,$W1452)+COUNTIFS('月1回_1ヶ月前の在庫'!$V$6:$V$10005,$V1452,'月1回_1ヶ月前の在庫'!$W$6:$W$10005,$W1452)&gt;0),N(U1451),N(U1451)+1))</f>
        <v/>
      </c>
      <c r="V1452" s="19">
        <f>IF($B1452="","",TEXT($B1452,"0000"))</f>
        <v/>
      </c>
      <c r="W1452" s="19">
        <f>IF($I1452="","",IF(ISNUMBER($I1452),TEXT($I1452,"0"),$I1452))</f>
        <v/>
      </c>
    </row>
    <row r="1453">
      <c r="B1453" s="25" t="n"/>
      <c r="I1453" s="25" t="n"/>
      <c r="U1453" s="19">
        <f>IF($V1453&lt;&gt;'設定'!$C$4,N(U1452),IF(OR(NOT(COUNTIF('商品マスタ'!$B$6:$B$1005,$W1453)=0),COUNTIFS('①在庫を貼る'!$V$6:$V$10005,$V1453,'①在庫を貼る'!$W$6:$W$10005,$W1453)+COUNTIFS('月1回_1ヶ月前の在庫'!$V$6:$V$10005,$V1453,'月1回_1ヶ月前の在庫'!$W$6:$W$10005,$W1453)&gt;0),N(U1452),N(U1452)+1))</f>
        <v/>
      </c>
      <c r="V1453" s="19">
        <f>IF($B1453="","",TEXT($B1453,"0000"))</f>
        <v/>
      </c>
      <c r="W1453" s="19">
        <f>IF($I1453="","",IF(ISNUMBER($I1453),TEXT($I1453,"0"),$I1453))</f>
        <v/>
      </c>
    </row>
    <row r="1454">
      <c r="B1454" s="25" t="n"/>
      <c r="I1454" s="25" t="n"/>
      <c r="U1454" s="19">
        <f>IF($V1454&lt;&gt;'設定'!$C$4,N(U1453),IF(OR(NOT(COUNTIF('商品マスタ'!$B$6:$B$1005,$W1454)=0),COUNTIFS('①在庫を貼る'!$V$6:$V$10005,$V1454,'①在庫を貼る'!$W$6:$W$10005,$W1454)+COUNTIFS('月1回_1ヶ月前の在庫'!$V$6:$V$10005,$V1454,'月1回_1ヶ月前の在庫'!$W$6:$W$10005,$W1454)&gt;0),N(U1453),N(U1453)+1))</f>
        <v/>
      </c>
      <c r="V1454" s="19">
        <f>IF($B1454="","",TEXT($B1454,"0000"))</f>
        <v/>
      </c>
      <c r="W1454" s="19">
        <f>IF($I1454="","",IF(ISNUMBER($I1454),TEXT($I1454,"0"),$I1454))</f>
        <v/>
      </c>
    </row>
    <row r="1455">
      <c r="B1455" s="25" t="n"/>
      <c r="I1455" s="25" t="n"/>
      <c r="U1455" s="19">
        <f>IF($V1455&lt;&gt;'設定'!$C$4,N(U1454),IF(OR(NOT(COUNTIF('商品マスタ'!$B$6:$B$1005,$W1455)=0),COUNTIFS('①在庫を貼る'!$V$6:$V$10005,$V1455,'①在庫を貼る'!$W$6:$W$10005,$W1455)+COUNTIFS('月1回_1ヶ月前の在庫'!$V$6:$V$10005,$V1455,'月1回_1ヶ月前の在庫'!$W$6:$W$10005,$W1455)&gt;0),N(U1454),N(U1454)+1))</f>
        <v/>
      </c>
      <c r="V1455" s="19">
        <f>IF($B1455="","",TEXT($B1455,"0000"))</f>
        <v/>
      </c>
      <c r="W1455" s="19">
        <f>IF($I1455="","",IF(ISNUMBER($I1455),TEXT($I1455,"0"),$I1455))</f>
        <v/>
      </c>
    </row>
    <row r="1456">
      <c r="B1456" s="25" t="n"/>
      <c r="I1456" s="25" t="n"/>
      <c r="U1456" s="19">
        <f>IF($V1456&lt;&gt;'設定'!$C$4,N(U1455),IF(OR(NOT(COUNTIF('商品マスタ'!$B$6:$B$1005,$W1456)=0),COUNTIFS('①在庫を貼る'!$V$6:$V$10005,$V1456,'①在庫を貼る'!$W$6:$W$10005,$W1456)+COUNTIFS('月1回_1ヶ月前の在庫'!$V$6:$V$10005,$V1456,'月1回_1ヶ月前の在庫'!$W$6:$W$10005,$W1456)&gt;0),N(U1455),N(U1455)+1))</f>
        <v/>
      </c>
      <c r="V1456" s="19">
        <f>IF($B1456="","",TEXT($B1456,"0000"))</f>
        <v/>
      </c>
      <c r="W1456" s="19">
        <f>IF($I1456="","",IF(ISNUMBER($I1456),TEXT($I1456,"0"),$I1456))</f>
        <v/>
      </c>
    </row>
    <row r="1457">
      <c r="B1457" s="25" t="n"/>
      <c r="I1457" s="25" t="n"/>
      <c r="U1457" s="19">
        <f>IF($V1457&lt;&gt;'設定'!$C$4,N(U1456),IF(OR(NOT(COUNTIF('商品マスタ'!$B$6:$B$1005,$W1457)=0),COUNTIFS('①在庫を貼る'!$V$6:$V$10005,$V1457,'①在庫を貼る'!$W$6:$W$10005,$W1457)+COUNTIFS('月1回_1ヶ月前の在庫'!$V$6:$V$10005,$V1457,'月1回_1ヶ月前の在庫'!$W$6:$W$10005,$W1457)&gt;0),N(U1456),N(U1456)+1))</f>
        <v/>
      </c>
      <c r="V1457" s="19">
        <f>IF($B1457="","",TEXT($B1457,"0000"))</f>
        <v/>
      </c>
      <c r="W1457" s="19">
        <f>IF($I1457="","",IF(ISNUMBER($I1457),TEXT($I1457,"0"),$I1457))</f>
        <v/>
      </c>
    </row>
    <row r="1458">
      <c r="B1458" s="25" t="n"/>
      <c r="I1458" s="25" t="n"/>
      <c r="U1458" s="19">
        <f>IF($V1458&lt;&gt;'設定'!$C$4,N(U1457),IF(OR(NOT(COUNTIF('商品マスタ'!$B$6:$B$1005,$W1458)=0),COUNTIFS('①在庫を貼る'!$V$6:$V$10005,$V1458,'①在庫を貼る'!$W$6:$W$10005,$W1458)+COUNTIFS('月1回_1ヶ月前の在庫'!$V$6:$V$10005,$V1458,'月1回_1ヶ月前の在庫'!$W$6:$W$10005,$W1458)&gt;0),N(U1457),N(U1457)+1))</f>
        <v/>
      </c>
      <c r="V1458" s="19">
        <f>IF($B1458="","",TEXT($B1458,"0000"))</f>
        <v/>
      </c>
      <c r="W1458" s="19">
        <f>IF($I1458="","",IF(ISNUMBER($I1458),TEXT($I1458,"0"),$I1458))</f>
        <v/>
      </c>
    </row>
    <row r="1459">
      <c r="B1459" s="25" t="n"/>
      <c r="I1459" s="25" t="n"/>
      <c r="U1459" s="19">
        <f>IF($V1459&lt;&gt;'設定'!$C$4,N(U1458),IF(OR(NOT(COUNTIF('商品マスタ'!$B$6:$B$1005,$W1459)=0),COUNTIFS('①在庫を貼る'!$V$6:$V$10005,$V1459,'①在庫を貼る'!$W$6:$W$10005,$W1459)+COUNTIFS('月1回_1ヶ月前の在庫'!$V$6:$V$10005,$V1459,'月1回_1ヶ月前の在庫'!$W$6:$W$10005,$W1459)&gt;0),N(U1458),N(U1458)+1))</f>
        <v/>
      </c>
      <c r="V1459" s="19">
        <f>IF($B1459="","",TEXT($B1459,"0000"))</f>
        <v/>
      </c>
      <c r="W1459" s="19">
        <f>IF($I1459="","",IF(ISNUMBER($I1459),TEXT($I1459,"0"),$I1459))</f>
        <v/>
      </c>
    </row>
    <row r="1460">
      <c r="B1460" s="25" t="n"/>
      <c r="I1460" s="25" t="n"/>
      <c r="U1460" s="19">
        <f>IF($V1460&lt;&gt;'設定'!$C$4,N(U1459),IF(OR(NOT(COUNTIF('商品マスタ'!$B$6:$B$1005,$W1460)=0),COUNTIFS('①在庫を貼る'!$V$6:$V$10005,$V1460,'①在庫を貼る'!$W$6:$W$10005,$W1460)+COUNTIFS('月1回_1ヶ月前の在庫'!$V$6:$V$10005,$V1460,'月1回_1ヶ月前の在庫'!$W$6:$W$10005,$W1460)&gt;0),N(U1459),N(U1459)+1))</f>
        <v/>
      </c>
      <c r="V1460" s="19">
        <f>IF($B1460="","",TEXT($B1460,"0000"))</f>
        <v/>
      </c>
      <c r="W1460" s="19">
        <f>IF($I1460="","",IF(ISNUMBER($I1460),TEXT($I1460,"0"),$I1460))</f>
        <v/>
      </c>
    </row>
    <row r="1461">
      <c r="B1461" s="25" t="n"/>
      <c r="I1461" s="25" t="n"/>
      <c r="U1461" s="19">
        <f>IF($V1461&lt;&gt;'設定'!$C$4,N(U1460),IF(OR(NOT(COUNTIF('商品マスタ'!$B$6:$B$1005,$W1461)=0),COUNTIFS('①在庫を貼る'!$V$6:$V$10005,$V1461,'①在庫を貼る'!$W$6:$W$10005,$W1461)+COUNTIFS('月1回_1ヶ月前の在庫'!$V$6:$V$10005,$V1461,'月1回_1ヶ月前の在庫'!$W$6:$W$10005,$W1461)&gt;0),N(U1460),N(U1460)+1))</f>
        <v/>
      </c>
      <c r="V1461" s="19">
        <f>IF($B1461="","",TEXT($B1461,"0000"))</f>
        <v/>
      </c>
      <c r="W1461" s="19">
        <f>IF($I1461="","",IF(ISNUMBER($I1461),TEXT($I1461,"0"),$I1461))</f>
        <v/>
      </c>
    </row>
    <row r="1462">
      <c r="B1462" s="25" t="n"/>
      <c r="I1462" s="25" t="n"/>
      <c r="U1462" s="19">
        <f>IF($V1462&lt;&gt;'設定'!$C$4,N(U1461),IF(OR(NOT(COUNTIF('商品マスタ'!$B$6:$B$1005,$W1462)=0),COUNTIFS('①在庫を貼る'!$V$6:$V$10005,$V1462,'①在庫を貼る'!$W$6:$W$10005,$W1462)+COUNTIFS('月1回_1ヶ月前の在庫'!$V$6:$V$10005,$V1462,'月1回_1ヶ月前の在庫'!$W$6:$W$10005,$W1462)&gt;0),N(U1461),N(U1461)+1))</f>
        <v/>
      </c>
      <c r="V1462" s="19">
        <f>IF($B1462="","",TEXT($B1462,"0000"))</f>
        <v/>
      </c>
      <c r="W1462" s="19">
        <f>IF($I1462="","",IF(ISNUMBER($I1462),TEXT($I1462,"0"),$I1462))</f>
        <v/>
      </c>
    </row>
    <row r="1463">
      <c r="B1463" s="25" t="n"/>
      <c r="I1463" s="25" t="n"/>
      <c r="U1463" s="19">
        <f>IF($V1463&lt;&gt;'設定'!$C$4,N(U1462),IF(OR(NOT(COUNTIF('商品マスタ'!$B$6:$B$1005,$W1463)=0),COUNTIFS('①在庫を貼る'!$V$6:$V$10005,$V1463,'①在庫を貼る'!$W$6:$W$10005,$W1463)+COUNTIFS('月1回_1ヶ月前の在庫'!$V$6:$V$10005,$V1463,'月1回_1ヶ月前の在庫'!$W$6:$W$10005,$W1463)&gt;0),N(U1462),N(U1462)+1))</f>
        <v/>
      </c>
      <c r="V1463" s="19">
        <f>IF($B1463="","",TEXT($B1463,"0000"))</f>
        <v/>
      </c>
      <c r="W1463" s="19">
        <f>IF($I1463="","",IF(ISNUMBER($I1463),TEXT($I1463,"0"),$I1463))</f>
        <v/>
      </c>
    </row>
    <row r="1464">
      <c r="B1464" s="25" t="n"/>
      <c r="I1464" s="25" t="n"/>
      <c r="U1464" s="19">
        <f>IF($V1464&lt;&gt;'設定'!$C$4,N(U1463),IF(OR(NOT(COUNTIF('商品マスタ'!$B$6:$B$1005,$W1464)=0),COUNTIFS('①在庫を貼る'!$V$6:$V$10005,$V1464,'①在庫を貼る'!$W$6:$W$10005,$W1464)+COUNTIFS('月1回_1ヶ月前の在庫'!$V$6:$V$10005,$V1464,'月1回_1ヶ月前の在庫'!$W$6:$W$10005,$W1464)&gt;0),N(U1463),N(U1463)+1))</f>
        <v/>
      </c>
      <c r="V1464" s="19">
        <f>IF($B1464="","",TEXT($B1464,"0000"))</f>
        <v/>
      </c>
      <c r="W1464" s="19">
        <f>IF($I1464="","",IF(ISNUMBER($I1464),TEXT($I1464,"0"),$I1464))</f>
        <v/>
      </c>
    </row>
    <row r="1465">
      <c r="B1465" s="25" t="n"/>
      <c r="I1465" s="25" t="n"/>
      <c r="U1465" s="19">
        <f>IF($V1465&lt;&gt;'設定'!$C$4,N(U1464),IF(OR(NOT(COUNTIF('商品マスタ'!$B$6:$B$1005,$W1465)=0),COUNTIFS('①在庫を貼る'!$V$6:$V$10005,$V1465,'①在庫を貼る'!$W$6:$W$10005,$W1465)+COUNTIFS('月1回_1ヶ月前の在庫'!$V$6:$V$10005,$V1465,'月1回_1ヶ月前の在庫'!$W$6:$W$10005,$W1465)&gt;0),N(U1464),N(U1464)+1))</f>
        <v/>
      </c>
      <c r="V1465" s="19">
        <f>IF($B1465="","",TEXT($B1465,"0000"))</f>
        <v/>
      </c>
      <c r="W1465" s="19">
        <f>IF($I1465="","",IF(ISNUMBER($I1465),TEXT($I1465,"0"),$I1465))</f>
        <v/>
      </c>
    </row>
    <row r="1466">
      <c r="B1466" s="25" t="n"/>
      <c r="I1466" s="25" t="n"/>
      <c r="U1466" s="19">
        <f>IF($V1466&lt;&gt;'設定'!$C$4,N(U1465),IF(OR(NOT(COUNTIF('商品マスタ'!$B$6:$B$1005,$W1466)=0),COUNTIFS('①在庫を貼る'!$V$6:$V$10005,$V1466,'①在庫を貼る'!$W$6:$W$10005,$W1466)+COUNTIFS('月1回_1ヶ月前の在庫'!$V$6:$V$10005,$V1466,'月1回_1ヶ月前の在庫'!$W$6:$W$10005,$W1466)&gt;0),N(U1465),N(U1465)+1))</f>
        <v/>
      </c>
      <c r="V1466" s="19">
        <f>IF($B1466="","",TEXT($B1466,"0000"))</f>
        <v/>
      </c>
      <c r="W1466" s="19">
        <f>IF($I1466="","",IF(ISNUMBER($I1466),TEXT($I1466,"0"),$I1466))</f>
        <v/>
      </c>
    </row>
    <row r="1467">
      <c r="B1467" s="25" t="n"/>
      <c r="I1467" s="25" t="n"/>
      <c r="U1467" s="19">
        <f>IF($V1467&lt;&gt;'設定'!$C$4,N(U1466),IF(OR(NOT(COUNTIF('商品マスタ'!$B$6:$B$1005,$W1467)=0),COUNTIFS('①在庫を貼る'!$V$6:$V$10005,$V1467,'①在庫を貼る'!$W$6:$W$10005,$W1467)+COUNTIFS('月1回_1ヶ月前の在庫'!$V$6:$V$10005,$V1467,'月1回_1ヶ月前の在庫'!$W$6:$W$10005,$W1467)&gt;0),N(U1466),N(U1466)+1))</f>
        <v/>
      </c>
      <c r="V1467" s="19">
        <f>IF($B1467="","",TEXT($B1467,"0000"))</f>
        <v/>
      </c>
      <c r="W1467" s="19">
        <f>IF($I1467="","",IF(ISNUMBER($I1467),TEXT($I1467,"0"),$I1467))</f>
        <v/>
      </c>
    </row>
    <row r="1468">
      <c r="B1468" s="25" t="n"/>
      <c r="I1468" s="25" t="n"/>
      <c r="U1468" s="19">
        <f>IF($V1468&lt;&gt;'設定'!$C$4,N(U1467),IF(OR(NOT(COUNTIF('商品マスタ'!$B$6:$B$1005,$W1468)=0),COUNTIFS('①在庫を貼る'!$V$6:$V$10005,$V1468,'①在庫を貼る'!$W$6:$W$10005,$W1468)+COUNTIFS('月1回_1ヶ月前の在庫'!$V$6:$V$10005,$V1468,'月1回_1ヶ月前の在庫'!$W$6:$W$10005,$W1468)&gt;0),N(U1467),N(U1467)+1))</f>
        <v/>
      </c>
      <c r="V1468" s="19">
        <f>IF($B1468="","",TEXT($B1468,"0000"))</f>
        <v/>
      </c>
      <c r="W1468" s="19">
        <f>IF($I1468="","",IF(ISNUMBER($I1468),TEXT($I1468,"0"),$I1468))</f>
        <v/>
      </c>
    </row>
    <row r="1469">
      <c r="B1469" s="25" t="n"/>
      <c r="I1469" s="25" t="n"/>
      <c r="U1469" s="19">
        <f>IF($V1469&lt;&gt;'設定'!$C$4,N(U1468),IF(OR(NOT(COUNTIF('商品マスタ'!$B$6:$B$1005,$W1469)=0),COUNTIFS('①在庫を貼る'!$V$6:$V$10005,$V1469,'①在庫を貼る'!$W$6:$W$10005,$W1469)+COUNTIFS('月1回_1ヶ月前の在庫'!$V$6:$V$10005,$V1469,'月1回_1ヶ月前の在庫'!$W$6:$W$10005,$W1469)&gt;0),N(U1468),N(U1468)+1))</f>
        <v/>
      </c>
      <c r="V1469" s="19">
        <f>IF($B1469="","",TEXT($B1469,"0000"))</f>
        <v/>
      </c>
      <c r="W1469" s="19">
        <f>IF($I1469="","",IF(ISNUMBER($I1469),TEXT($I1469,"0"),$I1469))</f>
        <v/>
      </c>
    </row>
    <row r="1470">
      <c r="B1470" s="25" t="n"/>
      <c r="I1470" s="25" t="n"/>
      <c r="U1470" s="19">
        <f>IF($V1470&lt;&gt;'設定'!$C$4,N(U1469),IF(OR(NOT(COUNTIF('商品マスタ'!$B$6:$B$1005,$W1470)=0),COUNTIFS('①在庫を貼る'!$V$6:$V$10005,$V1470,'①在庫を貼る'!$W$6:$W$10005,$W1470)+COUNTIFS('月1回_1ヶ月前の在庫'!$V$6:$V$10005,$V1470,'月1回_1ヶ月前の在庫'!$W$6:$W$10005,$W1470)&gt;0),N(U1469),N(U1469)+1))</f>
        <v/>
      </c>
      <c r="V1470" s="19">
        <f>IF($B1470="","",TEXT($B1470,"0000"))</f>
        <v/>
      </c>
      <c r="W1470" s="19">
        <f>IF($I1470="","",IF(ISNUMBER($I1470),TEXT($I1470,"0"),$I1470))</f>
        <v/>
      </c>
    </row>
    <row r="1471">
      <c r="B1471" s="25" t="n"/>
      <c r="I1471" s="25" t="n"/>
      <c r="U1471" s="19">
        <f>IF($V1471&lt;&gt;'設定'!$C$4,N(U1470),IF(OR(NOT(COUNTIF('商品マスタ'!$B$6:$B$1005,$W1471)=0),COUNTIFS('①在庫を貼る'!$V$6:$V$10005,$V1471,'①在庫を貼る'!$W$6:$W$10005,$W1471)+COUNTIFS('月1回_1ヶ月前の在庫'!$V$6:$V$10005,$V1471,'月1回_1ヶ月前の在庫'!$W$6:$W$10005,$W1471)&gt;0),N(U1470),N(U1470)+1))</f>
        <v/>
      </c>
      <c r="V1471" s="19">
        <f>IF($B1471="","",TEXT($B1471,"0000"))</f>
        <v/>
      </c>
      <c r="W1471" s="19">
        <f>IF($I1471="","",IF(ISNUMBER($I1471),TEXT($I1471,"0"),$I1471))</f>
        <v/>
      </c>
    </row>
    <row r="1472">
      <c r="B1472" s="25" t="n"/>
      <c r="I1472" s="25" t="n"/>
      <c r="U1472" s="19">
        <f>IF($V1472&lt;&gt;'設定'!$C$4,N(U1471),IF(OR(NOT(COUNTIF('商品マスタ'!$B$6:$B$1005,$W1472)=0),COUNTIFS('①在庫を貼る'!$V$6:$V$10005,$V1472,'①在庫を貼る'!$W$6:$W$10005,$W1472)+COUNTIFS('月1回_1ヶ月前の在庫'!$V$6:$V$10005,$V1472,'月1回_1ヶ月前の在庫'!$W$6:$W$10005,$W1472)&gt;0),N(U1471),N(U1471)+1))</f>
        <v/>
      </c>
      <c r="V1472" s="19">
        <f>IF($B1472="","",TEXT($B1472,"0000"))</f>
        <v/>
      </c>
      <c r="W1472" s="19">
        <f>IF($I1472="","",IF(ISNUMBER($I1472),TEXT($I1472,"0"),$I1472))</f>
        <v/>
      </c>
    </row>
    <row r="1473">
      <c r="B1473" s="25" t="n"/>
      <c r="I1473" s="25" t="n"/>
      <c r="U1473" s="19">
        <f>IF($V1473&lt;&gt;'設定'!$C$4,N(U1472),IF(OR(NOT(COUNTIF('商品マスタ'!$B$6:$B$1005,$W1473)=0),COUNTIFS('①在庫を貼る'!$V$6:$V$10005,$V1473,'①在庫を貼る'!$W$6:$W$10005,$W1473)+COUNTIFS('月1回_1ヶ月前の在庫'!$V$6:$V$10005,$V1473,'月1回_1ヶ月前の在庫'!$W$6:$W$10005,$W1473)&gt;0),N(U1472),N(U1472)+1))</f>
        <v/>
      </c>
      <c r="V1473" s="19">
        <f>IF($B1473="","",TEXT($B1473,"0000"))</f>
        <v/>
      </c>
      <c r="W1473" s="19">
        <f>IF($I1473="","",IF(ISNUMBER($I1473),TEXT($I1473,"0"),$I1473))</f>
        <v/>
      </c>
    </row>
    <row r="1474">
      <c r="B1474" s="25" t="n"/>
      <c r="I1474" s="25" t="n"/>
      <c r="U1474" s="19">
        <f>IF($V1474&lt;&gt;'設定'!$C$4,N(U1473),IF(OR(NOT(COUNTIF('商品マスタ'!$B$6:$B$1005,$W1474)=0),COUNTIFS('①在庫を貼る'!$V$6:$V$10005,$V1474,'①在庫を貼る'!$W$6:$W$10005,$W1474)+COUNTIFS('月1回_1ヶ月前の在庫'!$V$6:$V$10005,$V1474,'月1回_1ヶ月前の在庫'!$W$6:$W$10005,$W1474)&gt;0),N(U1473),N(U1473)+1))</f>
        <v/>
      </c>
      <c r="V1474" s="19">
        <f>IF($B1474="","",TEXT($B1474,"0000"))</f>
        <v/>
      </c>
      <c r="W1474" s="19">
        <f>IF($I1474="","",IF(ISNUMBER($I1474),TEXT($I1474,"0"),$I1474))</f>
        <v/>
      </c>
    </row>
    <row r="1475">
      <c r="B1475" s="25" t="n"/>
      <c r="I1475" s="25" t="n"/>
      <c r="U1475" s="19">
        <f>IF($V1475&lt;&gt;'設定'!$C$4,N(U1474),IF(OR(NOT(COUNTIF('商品マスタ'!$B$6:$B$1005,$W1475)=0),COUNTIFS('①在庫を貼る'!$V$6:$V$10005,$V1475,'①在庫を貼る'!$W$6:$W$10005,$W1475)+COUNTIFS('月1回_1ヶ月前の在庫'!$V$6:$V$10005,$V1475,'月1回_1ヶ月前の在庫'!$W$6:$W$10005,$W1475)&gt;0),N(U1474),N(U1474)+1))</f>
        <v/>
      </c>
      <c r="V1475" s="19">
        <f>IF($B1475="","",TEXT($B1475,"0000"))</f>
        <v/>
      </c>
      <c r="W1475" s="19">
        <f>IF($I1475="","",IF(ISNUMBER($I1475),TEXT($I1475,"0"),$I1475))</f>
        <v/>
      </c>
    </row>
    <row r="1476">
      <c r="B1476" s="25" t="n"/>
      <c r="I1476" s="25" t="n"/>
      <c r="U1476" s="19">
        <f>IF($V1476&lt;&gt;'設定'!$C$4,N(U1475),IF(OR(NOT(COUNTIF('商品マスタ'!$B$6:$B$1005,$W1476)=0),COUNTIFS('①在庫を貼る'!$V$6:$V$10005,$V1476,'①在庫を貼る'!$W$6:$W$10005,$W1476)+COUNTIFS('月1回_1ヶ月前の在庫'!$V$6:$V$10005,$V1476,'月1回_1ヶ月前の在庫'!$W$6:$W$10005,$W1476)&gt;0),N(U1475),N(U1475)+1))</f>
        <v/>
      </c>
      <c r="V1476" s="19">
        <f>IF($B1476="","",TEXT($B1476,"0000"))</f>
        <v/>
      </c>
      <c r="W1476" s="19">
        <f>IF($I1476="","",IF(ISNUMBER($I1476),TEXT($I1476,"0"),$I1476))</f>
        <v/>
      </c>
    </row>
    <row r="1477">
      <c r="B1477" s="25" t="n"/>
      <c r="I1477" s="25" t="n"/>
      <c r="U1477" s="19">
        <f>IF($V1477&lt;&gt;'設定'!$C$4,N(U1476),IF(OR(NOT(COUNTIF('商品マスタ'!$B$6:$B$1005,$W1477)=0),COUNTIFS('①在庫を貼る'!$V$6:$V$10005,$V1477,'①在庫を貼る'!$W$6:$W$10005,$W1477)+COUNTIFS('月1回_1ヶ月前の在庫'!$V$6:$V$10005,$V1477,'月1回_1ヶ月前の在庫'!$W$6:$W$10005,$W1477)&gt;0),N(U1476),N(U1476)+1))</f>
        <v/>
      </c>
      <c r="V1477" s="19">
        <f>IF($B1477="","",TEXT($B1477,"0000"))</f>
        <v/>
      </c>
      <c r="W1477" s="19">
        <f>IF($I1477="","",IF(ISNUMBER($I1477),TEXT($I1477,"0"),$I1477))</f>
        <v/>
      </c>
    </row>
    <row r="1478">
      <c r="B1478" s="25" t="n"/>
      <c r="I1478" s="25" t="n"/>
      <c r="U1478" s="19">
        <f>IF($V1478&lt;&gt;'設定'!$C$4,N(U1477),IF(OR(NOT(COUNTIF('商品マスタ'!$B$6:$B$1005,$W1478)=0),COUNTIFS('①在庫を貼る'!$V$6:$V$10005,$V1478,'①在庫を貼る'!$W$6:$W$10005,$W1478)+COUNTIFS('月1回_1ヶ月前の在庫'!$V$6:$V$10005,$V1478,'月1回_1ヶ月前の在庫'!$W$6:$W$10005,$W1478)&gt;0),N(U1477),N(U1477)+1))</f>
        <v/>
      </c>
      <c r="V1478" s="19">
        <f>IF($B1478="","",TEXT($B1478,"0000"))</f>
        <v/>
      </c>
      <c r="W1478" s="19">
        <f>IF($I1478="","",IF(ISNUMBER($I1478),TEXT($I1478,"0"),$I1478))</f>
        <v/>
      </c>
    </row>
    <row r="1479">
      <c r="B1479" s="25" t="n"/>
      <c r="I1479" s="25" t="n"/>
      <c r="U1479" s="19">
        <f>IF($V1479&lt;&gt;'設定'!$C$4,N(U1478),IF(OR(NOT(COUNTIF('商品マスタ'!$B$6:$B$1005,$W1479)=0),COUNTIFS('①在庫を貼る'!$V$6:$V$10005,$V1479,'①在庫を貼る'!$W$6:$W$10005,$W1479)+COUNTIFS('月1回_1ヶ月前の在庫'!$V$6:$V$10005,$V1479,'月1回_1ヶ月前の在庫'!$W$6:$W$10005,$W1479)&gt;0),N(U1478),N(U1478)+1))</f>
        <v/>
      </c>
      <c r="V1479" s="19">
        <f>IF($B1479="","",TEXT($B1479,"0000"))</f>
        <v/>
      </c>
      <c r="W1479" s="19">
        <f>IF($I1479="","",IF(ISNUMBER($I1479),TEXT($I1479,"0"),$I1479))</f>
        <v/>
      </c>
    </row>
    <row r="1480">
      <c r="B1480" s="25" t="n"/>
      <c r="I1480" s="25" t="n"/>
      <c r="U1480" s="19">
        <f>IF($V1480&lt;&gt;'設定'!$C$4,N(U1479),IF(OR(NOT(COUNTIF('商品マスタ'!$B$6:$B$1005,$W1480)=0),COUNTIFS('①在庫を貼る'!$V$6:$V$10005,$V1480,'①在庫を貼る'!$W$6:$W$10005,$W1480)+COUNTIFS('月1回_1ヶ月前の在庫'!$V$6:$V$10005,$V1480,'月1回_1ヶ月前の在庫'!$W$6:$W$10005,$W1480)&gt;0),N(U1479),N(U1479)+1))</f>
        <v/>
      </c>
      <c r="V1480" s="19">
        <f>IF($B1480="","",TEXT($B1480,"0000"))</f>
        <v/>
      </c>
      <c r="W1480" s="19">
        <f>IF($I1480="","",IF(ISNUMBER($I1480),TEXT($I1480,"0"),$I1480))</f>
        <v/>
      </c>
    </row>
    <row r="1481">
      <c r="B1481" s="25" t="n"/>
      <c r="I1481" s="25" t="n"/>
      <c r="U1481" s="19">
        <f>IF($V1481&lt;&gt;'設定'!$C$4,N(U1480),IF(OR(NOT(COUNTIF('商品マスタ'!$B$6:$B$1005,$W1481)=0),COUNTIFS('①在庫を貼る'!$V$6:$V$10005,$V1481,'①在庫を貼る'!$W$6:$W$10005,$W1481)+COUNTIFS('月1回_1ヶ月前の在庫'!$V$6:$V$10005,$V1481,'月1回_1ヶ月前の在庫'!$W$6:$W$10005,$W1481)&gt;0),N(U1480),N(U1480)+1))</f>
        <v/>
      </c>
      <c r="V1481" s="19">
        <f>IF($B1481="","",TEXT($B1481,"0000"))</f>
        <v/>
      </c>
      <c r="W1481" s="19">
        <f>IF($I1481="","",IF(ISNUMBER($I1481),TEXT($I1481,"0"),$I1481))</f>
        <v/>
      </c>
    </row>
    <row r="1482">
      <c r="B1482" s="25" t="n"/>
      <c r="I1482" s="25" t="n"/>
      <c r="U1482" s="19">
        <f>IF($V1482&lt;&gt;'設定'!$C$4,N(U1481),IF(OR(NOT(COUNTIF('商品マスタ'!$B$6:$B$1005,$W1482)=0),COUNTIFS('①在庫を貼る'!$V$6:$V$10005,$V1482,'①在庫を貼る'!$W$6:$W$10005,$W1482)+COUNTIFS('月1回_1ヶ月前の在庫'!$V$6:$V$10005,$V1482,'月1回_1ヶ月前の在庫'!$W$6:$W$10005,$W1482)&gt;0),N(U1481),N(U1481)+1))</f>
        <v/>
      </c>
      <c r="V1482" s="19">
        <f>IF($B1482="","",TEXT($B1482,"0000"))</f>
        <v/>
      </c>
      <c r="W1482" s="19">
        <f>IF($I1482="","",IF(ISNUMBER($I1482),TEXT($I1482,"0"),$I1482))</f>
        <v/>
      </c>
    </row>
    <row r="1483">
      <c r="B1483" s="25" t="n"/>
      <c r="I1483" s="25" t="n"/>
      <c r="U1483" s="19">
        <f>IF($V1483&lt;&gt;'設定'!$C$4,N(U1482),IF(OR(NOT(COUNTIF('商品マスタ'!$B$6:$B$1005,$W1483)=0),COUNTIFS('①在庫を貼る'!$V$6:$V$10005,$V1483,'①在庫を貼る'!$W$6:$W$10005,$W1483)+COUNTIFS('月1回_1ヶ月前の在庫'!$V$6:$V$10005,$V1483,'月1回_1ヶ月前の在庫'!$W$6:$W$10005,$W1483)&gt;0),N(U1482),N(U1482)+1))</f>
        <v/>
      </c>
      <c r="V1483" s="19">
        <f>IF($B1483="","",TEXT($B1483,"0000"))</f>
        <v/>
      </c>
      <c r="W1483" s="19">
        <f>IF($I1483="","",IF(ISNUMBER($I1483),TEXT($I1483,"0"),$I1483))</f>
        <v/>
      </c>
    </row>
    <row r="1484">
      <c r="B1484" s="25" t="n"/>
      <c r="I1484" s="25" t="n"/>
      <c r="U1484" s="19">
        <f>IF($V1484&lt;&gt;'設定'!$C$4,N(U1483),IF(OR(NOT(COUNTIF('商品マスタ'!$B$6:$B$1005,$W1484)=0),COUNTIFS('①在庫を貼る'!$V$6:$V$10005,$V1484,'①在庫を貼る'!$W$6:$W$10005,$W1484)+COUNTIFS('月1回_1ヶ月前の在庫'!$V$6:$V$10005,$V1484,'月1回_1ヶ月前の在庫'!$W$6:$W$10005,$W1484)&gt;0),N(U1483),N(U1483)+1))</f>
        <v/>
      </c>
      <c r="V1484" s="19">
        <f>IF($B1484="","",TEXT($B1484,"0000"))</f>
        <v/>
      </c>
      <c r="W1484" s="19">
        <f>IF($I1484="","",IF(ISNUMBER($I1484),TEXT($I1484,"0"),$I1484))</f>
        <v/>
      </c>
    </row>
    <row r="1485">
      <c r="B1485" s="25" t="n"/>
      <c r="I1485" s="25" t="n"/>
      <c r="U1485" s="19">
        <f>IF($V1485&lt;&gt;'設定'!$C$4,N(U1484),IF(OR(NOT(COUNTIF('商品マスタ'!$B$6:$B$1005,$W1485)=0),COUNTIFS('①在庫を貼る'!$V$6:$V$10005,$V1485,'①在庫を貼る'!$W$6:$W$10005,$W1485)+COUNTIFS('月1回_1ヶ月前の在庫'!$V$6:$V$10005,$V1485,'月1回_1ヶ月前の在庫'!$W$6:$W$10005,$W1485)&gt;0),N(U1484),N(U1484)+1))</f>
        <v/>
      </c>
      <c r="V1485" s="19">
        <f>IF($B1485="","",TEXT($B1485,"0000"))</f>
        <v/>
      </c>
      <c r="W1485" s="19">
        <f>IF($I1485="","",IF(ISNUMBER($I1485),TEXT($I1485,"0"),$I1485))</f>
        <v/>
      </c>
    </row>
    <row r="1486">
      <c r="B1486" s="25" t="n"/>
      <c r="I1486" s="25" t="n"/>
      <c r="U1486" s="19">
        <f>IF($V1486&lt;&gt;'設定'!$C$4,N(U1485),IF(OR(NOT(COUNTIF('商品マスタ'!$B$6:$B$1005,$W1486)=0),COUNTIFS('①在庫を貼る'!$V$6:$V$10005,$V1486,'①在庫を貼る'!$W$6:$W$10005,$W1486)+COUNTIFS('月1回_1ヶ月前の在庫'!$V$6:$V$10005,$V1486,'月1回_1ヶ月前の在庫'!$W$6:$W$10005,$W1486)&gt;0),N(U1485),N(U1485)+1))</f>
        <v/>
      </c>
      <c r="V1486" s="19">
        <f>IF($B1486="","",TEXT($B1486,"0000"))</f>
        <v/>
      </c>
      <c r="W1486" s="19">
        <f>IF($I1486="","",IF(ISNUMBER($I1486),TEXT($I1486,"0"),$I1486))</f>
        <v/>
      </c>
    </row>
    <row r="1487">
      <c r="B1487" s="25" t="n"/>
      <c r="I1487" s="25" t="n"/>
      <c r="U1487" s="19">
        <f>IF($V1487&lt;&gt;'設定'!$C$4,N(U1486),IF(OR(NOT(COUNTIF('商品マスタ'!$B$6:$B$1005,$W1487)=0),COUNTIFS('①在庫を貼る'!$V$6:$V$10005,$V1487,'①在庫を貼る'!$W$6:$W$10005,$W1487)+COUNTIFS('月1回_1ヶ月前の在庫'!$V$6:$V$10005,$V1487,'月1回_1ヶ月前の在庫'!$W$6:$W$10005,$W1487)&gt;0),N(U1486),N(U1486)+1))</f>
        <v/>
      </c>
      <c r="V1487" s="19">
        <f>IF($B1487="","",TEXT($B1487,"0000"))</f>
        <v/>
      </c>
      <c r="W1487" s="19">
        <f>IF($I1487="","",IF(ISNUMBER($I1487),TEXT($I1487,"0"),$I1487))</f>
        <v/>
      </c>
    </row>
    <row r="1488">
      <c r="B1488" s="25" t="n"/>
      <c r="I1488" s="25" t="n"/>
      <c r="U1488" s="19">
        <f>IF($V1488&lt;&gt;'設定'!$C$4,N(U1487),IF(OR(NOT(COUNTIF('商品マスタ'!$B$6:$B$1005,$W1488)=0),COUNTIFS('①在庫を貼る'!$V$6:$V$10005,$V1488,'①在庫を貼る'!$W$6:$W$10005,$W1488)+COUNTIFS('月1回_1ヶ月前の在庫'!$V$6:$V$10005,$V1488,'月1回_1ヶ月前の在庫'!$W$6:$W$10005,$W1488)&gt;0),N(U1487),N(U1487)+1))</f>
        <v/>
      </c>
      <c r="V1488" s="19">
        <f>IF($B1488="","",TEXT($B1488,"0000"))</f>
        <v/>
      </c>
      <c r="W1488" s="19">
        <f>IF($I1488="","",IF(ISNUMBER($I1488),TEXT($I1488,"0"),$I1488))</f>
        <v/>
      </c>
    </row>
    <row r="1489">
      <c r="B1489" s="25" t="n"/>
      <c r="I1489" s="25" t="n"/>
      <c r="U1489" s="19">
        <f>IF($V1489&lt;&gt;'設定'!$C$4,N(U1488),IF(OR(NOT(COUNTIF('商品マスタ'!$B$6:$B$1005,$W1489)=0),COUNTIFS('①在庫を貼る'!$V$6:$V$10005,$V1489,'①在庫を貼る'!$W$6:$W$10005,$W1489)+COUNTIFS('月1回_1ヶ月前の在庫'!$V$6:$V$10005,$V1489,'月1回_1ヶ月前の在庫'!$W$6:$W$10005,$W1489)&gt;0),N(U1488),N(U1488)+1))</f>
        <v/>
      </c>
      <c r="V1489" s="19">
        <f>IF($B1489="","",TEXT($B1489,"0000"))</f>
        <v/>
      </c>
      <c r="W1489" s="19">
        <f>IF($I1489="","",IF(ISNUMBER($I1489),TEXT($I1489,"0"),$I1489))</f>
        <v/>
      </c>
    </row>
    <row r="1490">
      <c r="B1490" s="25" t="n"/>
      <c r="I1490" s="25" t="n"/>
      <c r="U1490" s="19">
        <f>IF($V1490&lt;&gt;'設定'!$C$4,N(U1489),IF(OR(NOT(COUNTIF('商品マスタ'!$B$6:$B$1005,$W1490)=0),COUNTIFS('①在庫を貼る'!$V$6:$V$10005,$V1490,'①在庫を貼る'!$W$6:$W$10005,$W1490)+COUNTIFS('月1回_1ヶ月前の在庫'!$V$6:$V$10005,$V1490,'月1回_1ヶ月前の在庫'!$W$6:$W$10005,$W1490)&gt;0),N(U1489),N(U1489)+1))</f>
        <v/>
      </c>
      <c r="V1490" s="19">
        <f>IF($B1490="","",TEXT($B1490,"0000"))</f>
        <v/>
      </c>
      <c r="W1490" s="19">
        <f>IF($I1490="","",IF(ISNUMBER($I1490),TEXT($I1490,"0"),$I1490))</f>
        <v/>
      </c>
    </row>
    <row r="1491">
      <c r="B1491" s="25" t="n"/>
      <c r="I1491" s="25" t="n"/>
      <c r="U1491" s="19">
        <f>IF($V1491&lt;&gt;'設定'!$C$4,N(U1490),IF(OR(NOT(COUNTIF('商品マスタ'!$B$6:$B$1005,$W1491)=0),COUNTIFS('①在庫を貼る'!$V$6:$V$10005,$V1491,'①在庫を貼る'!$W$6:$W$10005,$W1491)+COUNTIFS('月1回_1ヶ月前の在庫'!$V$6:$V$10005,$V1491,'月1回_1ヶ月前の在庫'!$W$6:$W$10005,$W1491)&gt;0),N(U1490),N(U1490)+1))</f>
        <v/>
      </c>
      <c r="V1491" s="19">
        <f>IF($B1491="","",TEXT($B1491,"0000"))</f>
        <v/>
      </c>
      <c r="W1491" s="19">
        <f>IF($I1491="","",IF(ISNUMBER($I1491),TEXT($I1491,"0"),$I1491))</f>
        <v/>
      </c>
    </row>
    <row r="1492">
      <c r="B1492" s="25" t="n"/>
      <c r="I1492" s="25" t="n"/>
      <c r="U1492" s="19">
        <f>IF($V1492&lt;&gt;'設定'!$C$4,N(U1491),IF(OR(NOT(COUNTIF('商品マスタ'!$B$6:$B$1005,$W1492)=0),COUNTIFS('①在庫を貼る'!$V$6:$V$10005,$V1492,'①在庫を貼る'!$W$6:$W$10005,$W1492)+COUNTIFS('月1回_1ヶ月前の在庫'!$V$6:$V$10005,$V1492,'月1回_1ヶ月前の在庫'!$W$6:$W$10005,$W1492)&gt;0),N(U1491),N(U1491)+1))</f>
        <v/>
      </c>
      <c r="V1492" s="19">
        <f>IF($B1492="","",TEXT($B1492,"0000"))</f>
        <v/>
      </c>
      <c r="W1492" s="19">
        <f>IF($I1492="","",IF(ISNUMBER($I1492),TEXT($I1492,"0"),$I1492))</f>
        <v/>
      </c>
    </row>
    <row r="1493">
      <c r="B1493" s="25" t="n"/>
      <c r="I1493" s="25" t="n"/>
      <c r="U1493" s="19">
        <f>IF($V1493&lt;&gt;'設定'!$C$4,N(U1492),IF(OR(NOT(COUNTIF('商品マスタ'!$B$6:$B$1005,$W1493)=0),COUNTIFS('①在庫を貼る'!$V$6:$V$10005,$V1493,'①在庫を貼る'!$W$6:$W$10005,$W1493)+COUNTIFS('月1回_1ヶ月前の在庫'!$V$6:$V$10005,$V1493,'月1回_1ヶ月前の在庫'!$W$6:$W$10005,$W1493)&gt;0),N(U1492),N(U1492)+1))</f>
        <v/>
      </c>
      <c r="V1493" s="19">
        <f>IF($B1493="","",TEXT($B1493,"0000"))</f>
        <v/>
      </c>
      <c r="W1493" s="19">
        <f>IF($I1493="","",IF(ISNUMBER($I1493),TEXT($I1493,"0"),$I1493))</f>
        <v/>
      </c>
    </row>
    <row r="1494">
      <c r="B1494" s="25" t="n"/>
      <c r="I1494" s="25" t="n"/>
      <c r="U1494" s="19">
        <f>IF($V1494&lt;&gt;'設定'!$C$4,N(U1493),IF(OR(NOT(COUNTIF('商品マスタ'!$B$6:$B$1005,$W1494)=0),COUNTIFS('①在庫を貼る'!$V$6:$V$10005,$V1494,'①在庫を貼る'!$W$6:$W$10005,$W1494)+COUNTIFS('月1回_1ヶ月前の在庫'!$V$6:$V$10005,$V1494,'月1回_1ヶ月前の在庫'!$W$6:$W$10005,$W1494)&gt;0),N(U1493),N(U1493)+1))</f>
        <v/>
      </c>
      <c r="V1494" s="19">
        <f>IF($B1494="","",TEXT($B1494,"0000"))</f>
        <v/>
      </c>
      <c r="W1494" s="19">
        <f>IF($I1494="","",IF(ISNUMBER($I1494),TEXT($I1494,"0"),$I1494))</f>
        <v/>
      </c>
    </row>
    <row r="1495">
      <c r="B1495" s="25" t="n"/>
      <c r="I1495" s="25" t="n"/>
      <c r="U1495" s="19">
        <f>IF($V1495&lt;&gt;'設定'!$C$4,N(U1494),IF(OR(NOT(COUNTIF('商品マスタ'!$B$6:$B$1005,$W1495)=0),COUNTIFS('①在庫を貼る'!$V$6:$V$10005,$V1495,'①在庫を貼る'!$W$6:$W$10005,$W1495)+COUNTIFS('月1回_1ヶ月前の在庫'!$V$6:$V$10005,$V1495,'月1回_1ヶ月前の在庫'!$W$6:$W$10005,$W1495)&gt;0),N(U1494),N(U1494)+1))</f>
        <v/>
      </c>
      <c r="V1495" s="19">
        <f>IF($B1495="","",TEXT($B1495,"0000"))</f>
        <v/>
      </c>
      <c r="W1495" s="19">
        <f>IF($I1495="","",IF(ISNUMBER($I1495),TEXT($I1495,"0"),$I1495))</f>
        <v/>
      </c>
    </row>
    <row r="1496">
      <c r="B1496" s="25" t="n"/>
      <c r="I1496" s="25" t="n"/>
      <c r="U1496" s="19">
        <f>IF($V1496&lt;&gt;'設定'!$C$4,N(U1495),IF(OR(NOT(COUNTIF('商品マスタ'!$B$6:$B$1005,$W1496)=0),COUNTIFS('①在庫を貼る'!$V$6:$V$10005,$V1496,'①在庫を貼る'!$W$6:$W$10005,$W1496)+COUNTIFS('月1回_1ヶ月前の在庫'!$V$6:$V$10005,$V1496,'月1回_1ヶ月前の在庫'!$W$6:$W$10005,$W1496)&gt;0),N(U1495),N(U1495)+1))</f>
        <v/>
      </c>
      <c r="V1496" s="19">
        <f>IF($B1496="","",TEXT($B1496,"0000"))</f>
        <v/>
      </c>
      <c r="W1496" s="19">
        <f>IF($I1496="","",IF(ISNUMBER($I1496),TEXT($I1496,"0"),$I1496))</f>
        <v/>
      </c>
    </row>
    <row r="1497">
      <c r="B1497" s="25" t="n"/>
      <c r="I1497" s="25" t="n"/>
      <c r="U1497" s="19">
        <f>IF($V1497&lt;&gt;'設定'!$C$4,N(U1496),IF(OR(NOT(COUNTIF('商品マスタ'!$B$6:$B$1005,$W1497)=0),COUNTIFS('①在庫を貼る'!$V$6:$V$10005,$V1497,'①在庫を貼る'!$W$6:$W$10005,$W1497)+COUNTIFS('月1回_1ヶ月前の在庫'!$V$6:$V$10005,$V1497,'月1回_1ヶ月前の在庫'!$W$6:$W$10005,$W1497)&gt;0),N(U1496),N(U1496)+1))</f>
        <v/>
      </c>
      <c r="V1497" s="19">
        <f>IF($B1497="","",TEXT($B1497,"0000"))</f>
        <v/>
      </c>
      <c r="W1497" s="19">
        <f>IF($I1497="","",IF(ISNUMBER($I1497),TEXT($I1497,"0"),$I1497))</f>
        <v/>
      </c>
    </row>
    <row r="1498">
      <c r="B1498" s="25" t="n"/>
      <c r="I1498" s="25" t="n"/>
      <c r="U1498" s="19">
        <f>IF($V1498&lt;&gt;'設定'!$C$4,N(U1497),IF(OR(NOT(COUNTIF('商品マスタ'!$B$6:$B$1005,$W1498)=0),COUNTIFS('①在庫を貼る'!$V$6:$V$10005,$V1498,'①在庫を貼る'!$W$6:$W$10005,$W1498)+COUNTIFS('月1回_1ヶ月前の在庫'!$V$6:$V$10005,$V1498,'月1回_1ヶ月前の在庫'!$W$6:$W$10005,$W1498)&gt;0),N(U1497),N(U1497)+1))</f>
        <v/>
      </c>
      <c r="V1498" s="19">
        <f>IF($B1498="","",TEXT($B1498,"0000"))</f>
        <v/>
      </c>
      <c r="W1498" s="19">
        <f>IF($I1498="","",IF(ISNUMBER($I1498),TEXT($I1498,"0"),$I1498))</f>
        <v/>
      </c>
    </row>
    <row r="1499">
      <c r="B1499" s="25" t="n"/>
      <c r="I1499" s="25" t="n"/>
      <c r="U1499" s="19">
        <f>IF($V1499&lt;&gt;'設定'!$C$4,N(U1498),IF(OR(NOT(COUNTIF('商品マスタ'!$B$6:$B$1005,$W1499)=0),COUNTIFS('①在庫を貼る'!$V$6:$V$10005,$V1499,'①在庫を貼る'!$W$6:$W$10005,$W1499)+COUNTIFS('月1回_1ヶ月前の在庫'!$V$6:$V$10005,$V1499,'月1回_1ヶ月前の在庫'!$W$6:$W$10005,$W1499)&gt;0),N(U1498),N(U1498)+1))</f>
        <v/>
      </c>
      <c r="V1499" s="19">
        <f>IF($B1499="","",TEXT($B1499,"0000"))</f>
        <v/>
      </c>
      <c r="W1499" s="19">
        <f>IF($I1499="","",IF(ISNUMBER($I1499),TEXT($I1499,"0"),$I1499))</f>
        <v/>
      </c>
    </row>
    <row r="1500">
      <c r="B1500" s="25" t="n"/>
      <c r="I1500" s="25" t="n"/>
      <c r="U1500" s="19">
        <f>IF($V1500&lt;&gt;'設定'!$C$4,N(U1499),IF(OR(NOT(COUNTIF('商品マスタ'!$B$6:$B$1005,$W1500)=0),COUNTIFS('①在庫を貼る'!$V$6:$V$10005,$V1500,'①在庫を貼る'!$W$6:$W$10005,$W1500)+COUNTIFS('月1回_1ヶ月前の在庫'!$V$6:$V$10005,$V1500,'月1回_1ヶ月前の在庫'!$W$6:$W$10005,$W1500)&gt;0),N(U1499),N(U1499)+1))</f>
        <v/>
      </c>
      <c r="V1500" s="19">
        <f>IF($B1500="","",TEXT($B1500,"0000"))</f>
        <v/>
      </c>
      <c r="W1500" s="19">
        <f>IF($I1500="","",IF(ISNUMBER($I1500),TEXT($I1500,"0"),$I1500))</f>
        <v/>
      </c>
    </row>
    <row r="1501">
      <c r="B1501" s="25" t="n"/>
      <c r="I1501" s="25" t="n"/>
      <c r="U1501" s="19">
        <f>IF($V1501&lt;&gt;'設定'!$C$4,N(U1500),IF(OR(NOT(COUNTIF('商品マスタ'!$B$6:$B$1005,$W1501)=0),COUNTIFS('①在庫を貼る'!$V$6:$V$10005,$V1501,'①在庫を貼る'!$W$6:$W$10005,$W1501)+COUNTIFS('月1回_1ヶ月前の在庫'!$V$6:$V$10005,$V1501,'月1回_1ヶ月前の在庫'!$W$6:$W$10005,$W1501)&gt;0),N(U1500),N(U1500)+1))</f>
        <v/>
      </c>
      <c r="V1501" s="19">
        <f>IF($B1501="","",TEXT($B1501,"0000"))</f>
        <v/>
      </c>
      <c r="W1501" s="19">
        <f>IF($I1501="","",IF(ISNUMBER($I1501),TEXT($I1501,"0"),$I1501))</f>
        <v/>
      </c>
    </row>
    <row r="1502">
      <c r="B1502" s="25" t="n"/>
      <c r="I1502" s="25" t="n"/>
      <c r="U1502" s="19">
        <f>IF($V1502&lt;&gt;'設定'!$C$4,N(U1501),IF(OR(NOT(COUNTIF('商品マスタ'!$B$6:$B$1005,$W1502)=0),COUNTIFS('①在庫を貼る'!$V$6:$V$10005,$V1502,'①在庫を貼る'!$W$6:$W$10005,$W1502)+COUNTIFS('月1回_1ヶ月前の在庫'!$V$6:$V$10005,$V1502,'月1回_1ヶ月前の在庫'!$W$6:$W$10005,$W1502)&gt;0),N(U1501),N(U1501)+1))</f>
        <v/>
      </c>
      <c r="V1502" s="19">
        <f>IF($B1502="","",TEXT($B1502,"0000"))</f>
        <v/>
      </c>
      <c r="W1502" s="19">
        <f>IF($I1502="","",IF(ISNUMBER($I1502),TEXT($I1502,"0"),$I1502))</f>
        <v/>
      </c>
    </row>
    <row r="1503">
      <c r="B1503" s="25" t="n"/>
      <c r="I1503" s="25" t="n"/>
      <c r="U1503" s="19">
        <f>IF($V1503&lt;&gt;'設定'!$C$4,N(U1502),IF(OR(NOT(COUNTIF('商品マスタ'!$B$6:$B$1005,$W1503)=0),COUNTIFS('①在庫を貼る'!$V$6:$V$10005,$V1503,'①在庫を貼る'!$W$6:$W$10005,$W1503)+COUNTIFS('月1回_1ヶ月前の在庫'!$V$6:$V$10005,$V1503,'月1回_1ヶ月前の在庫'!$W$6:$W$10005,$W1503)&gt;0),N(U1502),N(U1502)+1))</f>
        <v/>
      </c>
      <c r="V1503" s="19">
        <f>IF($B1503="","",TEXT($B1503,"0000"))</f>
        <v/>
      </c>
      <c r="W1503" s="19">
        <f>IF($I1503="","",IF(ISNUMBER($I1503),TEXT($I1503,"0"),$I1503))</f>
        <v/>
      </c>
    </row>
    <row r="1504">
      <c r="B1504" s="25" t="n"/>
      <c r="I1504" s="25" t="n"/>
      <c r="U1504" s="19">
        <f>IF($V1504&lt;&gt;'設定'!$C$4,N(U1503),IF(OR(NOT(COUNTIF('商品マスタ'!$B$6:$B$1005,$W1504)=0),COUNTIFS('①在庫を貼る'!$V$6:$V$10005,$V1504,'①在庫を貼る'!$W$6:$W$10005,$W1504)+COUNTIFS('月1回_1ヶ月前の在庫'!$V$6:$V$10005,$V1504,'月1回_1ヶ月前の在庫'!$W$6:$W$10005,$W1504)&gt;0),N(U1503),N(U1503)+1))</f>
        <v/>
      </c>
      <c r="V1504" s="19">
        <f>IF($B1504="","",TEXT($B1504,"0000"))</f>
        <v/>
      </c>
      <c r="W1504" s="19">
        <f>IF($I1504="","",IF(ISNUMBER($I1504),TEXT($I1504,"0"),$I1504))</f>
        <v/>
      </c>
    </row>
    <row r="1505">
      <c r="B1505" s="25" t="n"/>
      <c r="I1505" s="25" t="n"/>
      <c r="U1505" s="19">
        <f>IF($V1505&lt;&gt;'設定'!$C$4,N(U1504),IF(OR(NOT(COUNTIF('商品マスタ'!$B$6:$B$1005,$W1505)=0),COUNTIFS('①在庫を貼る'!$V$6:$V$10005,$V1505,'①在庫を貼る'!$W$6:$W$10005,$W1505)+COUNTIFS('月1回_1ヶ月前の在庫'!$V$6:$V$10005,$V1505,'月1回_1ヶ月前の在庫'!$W$6:$W$10005,$W1505)&gt;0),N(U1504),N(U1504)+1))</f>
        <v/>
      </c>
      <c r="V1505" s="19">
        <f>IF($B1505="","",TEXT($B1505,"0000"))</f>
        <v/>
      </c>
      <c r="W1505" s="19">
        <f>IF($I1505="","",IF(ISNUMBER($I1505),TEXT($I1505,"0"),$I1505))</f>
        <v/>
      </c>
    </row>
    <row r="1506">
      <c r="B1506" s="25" t="n"/>
      <c r="I1506" s="25" t="n"/>
      <c r="U1506" s="19">
        <f>IF($V1506&lt;&gt;'設定'!$C$4,N(U1505),IF(OR(NOT(COUNTIF('商品マスタ'!$B$6:$B$1005,$W1506)=0),COUNTIFS('①在庫を貼る'!$V$6:$V$10005,$V1506,'①在庫を貼る'!$W$6:$W$10005,$W1506)+COUNTIFS('月1回_1ヶ月前の在庫'!$V$6:$V$10005,$V1506,'月1回_1ヶ月前の在庫'!$W$6:$W$10005,$W1506)&gt;0),N(U1505),N(U1505)+1))</f>
        <v/>
      </c>
      <c r="V1506" s="19">
        <f>IF($B1506="","",TEXT($B1506,"0000"))</f>
        <v/>
      </c>
      <c r="W1506" s="19">
        <f>IF($I1506="","",IF(ISNUMBER($I1506),TEXT($I1506,"0"),$I1506))</f>
        <v/>
      </c>
    </row>
    <row r="1507">
      <c r="B1507" s="25" t="n"/>
      <c r="I1507" s="25" t="n"/>
      <c r="U1507" s="19">
        <f>IF($V1507&lt;&gt;'設定'!$C$4,N(U1506),IF(OR(NOT(COUNTIF('商品マスタ'!$B$6:$B$1005,$W1507)=0),COUNTIFS('①在庫を貼る'!$V$6:$V$10005,$V1507,'①在庫を貼る'!$W$6:$W$10005,$W1507)+COUNTIFS('月1回_1ヶ月前の在庫'!$V$6:$V$10005,$V1507,'月1回_1ヶ月前の在庫'!$W$6:$W$10005,$W1507)&gt;0),N(U1506),N(U1506)+1))</f>
        <v/>
      </c>
      <c r="V1507" s="19">
        <f>IF($B1507="","",TEXT($B1507,"0000"))</f>
        <v/>
      </c>
      <c r="W1507" s="19">
        <f>IF($I1507="","",IF(ISNUMBER($I1507),TEXT($I1507,"0"),$I1507))</f>
        <v/>
      </c>
    </row>
    <row r="1508">
      <c r="B1508" s="25" t="n"/>
      <c r="I1508" s="25" t="n"/>
      <c r="U1508" s="19">
        <f>IF($V1508&lt;&gt;'設定'!$C$4,N(U1507),IF(OR(NOT(COUNTIF('商品マスタ'!$B$6:$B$1005,$W1508)=0),COUNTIFS('①在庫を貼る'!$V$6:$V$10005,$V1508,'①在庫を貼る'!$W$6:$W$10005,$W1508)+COUNTIFS('月1回_1ヶ月前の在庫'!$V$6:$V$10005,$V1508,'月1回_1ヶ月前の在庫'!$W$6:$W$10005,$W1508)&gt;0),N(U1507),N(U1507)+1))</f>
        <v/>
      </c>
      <c r="V1508" s="19">
        <f>IF($B1508="","",TEXT($B1508,"0000"))</f>
        <v/>
      </c>
      <c r="W1508" s="19">
        <f>IF($I1508="","",IF(ISNUMBER($I1508),TEXT($I1508,"0"),$I1508))</f>
        <v/>
      </c>
    </row>
    <row r="1509">
      <c r="B1509" s="25" t="n"/>
      <c r="I1509" s="25" t="n"/>
      <c r="U1509" s="19">
        <f>IF($V1509&lt;&gt;'設定'!$C$4,N(U1508),IF(OR(NOT(COUNTIF('商品マスタ'!$B$6:$B$1005,$W1509)=0),COUNTIFS('①在庫を貼る'!$V$6:$V$10005,$V1509,'①在庫を貼る'!$W$6:$W$10005,$W1509)+COUNTIFS('月1回_1ヶ月前の在庫'!$V$6:$V$10005,$V1509,'月1回_1ヶ月前の在庫'!$W$6:$W$10005,$W1509)&gt;0),N(U1508),N(U1508)+1))</f>
        <v/>
      </c>
      <c r="V1509" s="19">
        <f>IF($B1509="","",TEXT($B1509,"0000"))</f>
        <v/>
      </c>
      <c r="W1509" s="19">
        <f>IF($I1509="","",IF(ISNUMBER($I1509),TEXT($I1509,"0"),$I1509))</f>
        <v/>
      </c>
    </row>
    <row r="1510">
      <c r="B1510" s="25" t="n"/>
      <c r="I1510" s="25" t="n"/>
      <c r="U1510" s="19">
        <f>IF($V1510&lt;&gt;'設定'!$C$4,N(U1509),IF(OR(NOT(COUNTIF('商品マスタ'!$B$6:$B$1005,$W1510)=0),COUNTIFS('①在庫を貼る'!$V$6:$V$10005,$V1510,'①在庫を貼る'!$W$6:$W$10005,$W1510)+COUNTIFS('月1回_1ヶ月前の在庫'!$V$6:$V$10005,$V1510,'月1回_1ヶ月前の在庫'!$W$6:$W$10005,$W1510)&gt;0),N(U1509),N(U1509)+1))</f>
        <v/>
      </c>
      <c r="V1510" s="19">
        <f>IF($B1510="","",TEXT($B1510,"0000"))</f>
        <v/>
      </c>
      <c r="W1510" s="19">
        <f>IF($I1510="","",IF(ISNUMBER($I1510),TEXT($I1510,"0"),$I1510))</f>
        <v/>
      </c>
    </row>
    <row r="1511">
      <c r="B1511" s="25" t="n"/>
      <c r="I1511" s="25" t="n"/>
      <c r="U1511" s="19">
        <f>IF($V1511&lt;&gt;'設定'!$C$4,N(U1510),IF(OR(NOT(COUNTIF('商品マスタ'!$B$6:$B$1005,$W1511)=0),COUNTIFS('①在庫を貼る'!$V$6:$V$10005,$V1511,'①在庫を貼る'!$W$6:$W$10005,$W1511)+COUNTIFS('月1回_1ヶ月前の在庫'!$V$6:$V$10005,$V1511,'月1回_1ヶ月前の在庫'!$W$6:$W$10005,$W1511)&gt;0),N(U1510),N(U1510)+1))</f>
        <v/>
      </c>
      <c r="V1511" s="19">
        <f>IF($B1511="","",TEXT($B1511,"0000"))</f>
        <v/>
      </c>
      <c r="W1511" s="19">
        <f>IF($I1511="","",IF(ISNUMBER($I1511),TEXT($I1511,"0"),$I1511))</f>
        <v/>
      </c>
    </row>
    <row r="1512">
      <c r="B1512" s="25" t="n"/>
      <c r="I1512" s="25" t="n"/>
      <c r="U1512" s="19">
        <f>IF($V1512&lt;&gt;'設定'!$C$4,N(U1511),IF(OR(NOT(COUNTIF('商品マスタ'!$B$6:$B$1005,$W1512)=0),COUNTIFS('①在庫を貼る'!$V$6:$V$10005,$V1512,'①在庫を貼る'!$W$6:$W$10005,$W1512)+COUNTIFS('月1回_1ヶ月前の在庫'!$V$6:$V$10005,$V1512,'月1回_1ヶ月前の在庫'!$W$6:$W$10005,$W1512)&gt;0),N(U1511),N(U1511)+1))</f>
        <v/>
      </c>
      <c r="V1512" s="19">
        <f>IF($B1512="","",TEXT($B1512,"0000"))</f>
        <v/>
      </c>
      <c r="W1512" s="19">
        <f>IF($I1512="","",IF(ISNUMBER($I1512),TEXT($I1512,"0"),$I1512))</f>
        <v/>
      </c>
    </row>
    <row r="1513">
      <c r="B1513" s="25" t="n"/>
      <c r="I1513" s="25" t="n"/>
      <c r="U1513" s="19">
        <f>IF($V1513&lt;&gt;'設定'!$C$4,N(U1512),IF(OR(NOT(COUNTIF('商品マスタ'!$B$6:$B$1005,$W1513)=0),COUNTIFS('①在庫を貼る'!$V$6:$V$10005,$V1513,'①在庫を貼る'!$W$6:$W$10005,$W1513)+COUNTIFS('月1回_1ヶ月前の在庫'!$V$6:$V$10005,$V1513,'月1回_1ヶ月前の在庫'!$W$6:$W$10005,$W1513)&gt;0),N(U1512),N(U1512)+1))</f>
        <v/>
      </c>
      <c r="V1513" s="19">
        <f>IF($B1513="","",TEXT($B1513,"0000"))</f>
        <v/>
      </c>
      <c r="W1513" s="19">
        <f>IF($I1513="","",IF(ISNUMBER($I1513),TEXT($I1513,"0"),$I1513))</f>
        <v/>
      </c>
    </row>
    <row r="1514">
      <c r="B1514" s="25" t="n"/>
      <c r="I1514" s="25" t="n"/>
      <c r="U1514" s="19">
        <f>IF($V1514&lt;&gt;'設定'!$C$4,N(U1513),IF(OR(NOT(COUNTIF('商品マスタ'!$B$6:$B$1005,$W1514)=0),COUNTIFS('①在庫を貼る'!$V$6:$V$10005,$V1514,'①在庫を貼る'!$W$6:$W$10005,$W1514)+COUNTIFS('月1回_1ヶ月前の在庫'!$V$6:$V$10005,$V1514,'月1回_1ヶ月前の在庫'!$W$6:$W$10005,$W1514)&gt;0),N(U1513),N(U1513)+1))</f>
        <v/>
      </c>
      <c r="V1514" s="19">
        <f>IF($B1514="","",TEXT($B1514,"0000"))</f>
        <v/>
      </c>
      <c r="W1514" s="19">
        <f>IF($I1514="","",IF(ISNUMBER($I1514),TEXT($I1514,"0"),$I1514))</f>
        <v/>
      </c>
    </row>
    <row r="1515">
      <c r="B1515" s="25" t="n"/>
      <c r="I1515" s="25" t="n"/>
      <c r="U1515" s="19">
        <f>IF($V1515&lt;&gt;'設定'!$C$4,N(U1514),IF(OR(NOT(COUNTIF('商品マスタ'!$B$6:$B$1005,$W1515)=0),COUNTIFS('①在庫を貼る'!$V$6:$V$10005,$V1515,'①在庫を貼る'!$W$6:$W$10005,$W1515)+COUNTIFS('月1回_1ヶ月前の在庫'!$V$6:$V$10005,$V1515,'月1回_1ヶ月前の在庫'!$W$6:$W$10005,$W1515)&gt;0),N(U1514),N(U1514)+1))</f>
        <v/>
      </c>
      <c r="V1515" s="19">
        <f>IF($B1515="","",TEXT($B1515,"0000"))</f>
        <v/>
      </c>
      <c r="W1515" s="19">
        <f>IF($I1515="","",IF(ISNUMBER($I1515),TEXT($I1515,"0"),$I1515))</f>
        <v/>
      </c>
    </row>
    <row r="1516">
      <c r="B1516" s="25" t="n"/>
      <c r="I1516" s="25" t="n"/>
      <c r="U1516" s="19">
        <f>IF($V1516&lt;&gt;'設定'!$C$4,N(U1515),IF(OR(NOT(COUNTIF('商品マスタ'!$B$6:$B$1005,$W1516)=0),COUNTIFS('①在庫を貼る'!$V$6:$V$10005,$V1516,'①在庫を貼る'!$W$6:$W$10005,$W1516)+COUNTIFS('月1回_1ヶ月前の在庫'!$V$6:$V$10005,$V1516,'月1回_1ヶ月前の在庫'!$W$6:$W$10005,$W1516)&gt;0),N(U1515),N(U1515)+1))</f>
        <v/>
      </c>
      <c r="V1516" s="19">
        <f>IF($B1516="","",TEXT($B1516,"0000"))</f>
        <v/>
      </c>
      <c r="W1516" s="19">
        <f>IF($I1516="","",IF(ISNUMBER($I1516),TEXT($I1516,"0"),$I1516))</f>
        <v/>
      </c>
    </row>
    <row r="1517">
      <c r="B1517" s="25" t="n"/>
      <c r="I1517" s="25" t="n"/>
      <c r="U1517" s="19">
        <f>IF($V1517&lt;&gt;'設定'!$C$4,N(U1516),IF(OR(NOT(COUNTIF('商品マスタ'!$B$6:$B$1005,$W1517)=0),COUNTIFS('①在庫を貼る'!$V$6:$V$10005,$V1517,'①在庫を貼る'!$W$6:$W$10005,$W1517)+COUNTIFS('月1回_1ヶ月前の在庫'!$V$6:$V$10005,$V1517,'月1回_1ヶ月前の在庫'!$W$6:$W$10005,$W1517)&gt;0),N(U1516),N(U1516)+1))</f>
        <v/>
      </c>
      <c r="V1517" s="19">
        <f>IF($B1517="","",TEXT($B1517,"0000"))</f>
        <v/>
      </c>
      <c r="W1517" s="19">
        <f>IF($I1517="","",IF(ISNUMBER($I1517),TEXT($I1517,"0"),$I1517))</f>
        <v/>
      </c>
    </row>
    <row r="1518">
      <c r="B1518" s="25" t="n"/>
      <c r="I1518" s="25" t="n"/>
      <c r="U1518" s="19">
        <f>IF($V1518&lt;&gt;'設定'!$C$4,N(U1517),IF(OR(NOT(COUNTIF('商品マスタ'!$B$6:$B$1005,$W1518)=0),COUNTIFS('①在庫を貼る'!$V$6:$V$10005,$V1518,'①在庫を貼る'!$W$6:$W$10005,$W1518)+COUNTIFS('月1回_1ヶ月前の在庫'!$V$6:$V$10005,$V1518,'月1回_1ヶ月前の在庫'!$W$6:$W$10005,$W1518)&gt;0),N(U1517),N(U1517)+1))</f>
        <v/>
      </c>
      <c r="V1518" s="19">
        <f>IF($B1518="","",TEXT($B1518,"0000"))</f>
        <v/>
      </c>
      <c r="W1518" s="19">
        <f>IF($I1518="","",IF(ISNUMBER($I1518),TEXT($I1518,"0"),$I1518))</f>
        <v/>
      </c>
    </row>
    <row r="1519">
      <c r="B1519" s="25" t="n"/>
      <c r="I1519" s="25" t="n"/>
      <c r="U1519" s="19">
        <f>IF($V1519&lt;&gt;'設定'!$C$4,N(U1518),IF(OR(NOT(COUNTIF('商品マスタ'!$B$6:$B$1005,$W1519)=0),COUNTIFS('①在庫を貼る'!$V$6:$V$10005,$V1519,'①在庫を貼る'!$W$6:$W$10005,$W1519)+COUNTIFS('月1回_1ヶ月前の在庫'!$V$6:$V$10005,$V1519,'月1回_1ヶ月前の在庫'!$W$6:$W$10005,$W1519)&gt;0),N(U1518),N(U1518)+1))</f>
        <v/>
      </c>
      <c r="V1519" s="19">
        <f>IF($B1519="","",TEXT($B1519,"0000"))</f>
        <v/>
      </c>
      <c r="W1519" s="19">
        <f>IF($I1519="","",IF(ISNUMBER($I1519),TEXT($I1519,"0"),$I1519))</f>
        <v/>
      </c>
    </row>
    <row r="1520">
      <c r="B1520" s="25" t="n"/>
      <c r="I1520" s="25" t="n"/>
      <c r="U1520" s="19">
        <f>IF($V1520&lt;&gt;'設定'!$C$4,N(U1519),IF(OR(NOT(COUNTIF('商品マスタ'!$B$6:$B$1005,$W1520)=0),COUNTIFS('①在庫を貼る'!$V$6:$V$10005,$V1520,'①在庫を貼る'!$W$6:$W$10005,$W1520)+COUNTIFS('月1回_1ヶ月前の在庫'!$V$6:$V$10005,$V1520,'月1回_1ヶ月前の在庫'!$W$6:$W$10005,$W1520)&gt;0),N(U1519),N(U1519)+1))</f>
        <v/>
      </c>
      <c r="V1520" s="19">
        <f>IF($B1520="","",TEXT($B1520,"0000"))</f>
        <v/>
      </c>
      <c r="W1520" s="19">
        <f>IF($I1520="","",IF(ISNUMBER($I1520),TEXT($I1520,"0"),$I1520))</f>
        <v/>
      </c>
    </row>
    <row r="1521">
      <c r="B1521" s="25" t="n"/>
      <c r="I1521" s="25" t="n"/>
      <c r="U1521" s="19">
        <f>IF($V1521&lt;&gt;'設定'!$C$4,N(U1520),IF(OR(NOT(COUNTIF('商品マスタ'!$B$6:$B$1005,$W1521)=0),COUNTIFS('①在庫を貼る'!$V$6:$V$10005,$V1521,'①在庫を貼る'!$W$6:$W$10005,$W1521)+COUNTIFS('月1回_1ヶ月前の在庫'!$V$6:$V$10005,$V1521,'月1回_1ヶ月前の在庫'!$W$6:$W$10005,$W1521)&gt;0),N(U1520),N(U1520)+1))</f>
        <v/>
      </c>
      <c r="V1521" s="19">
        <f>IF($B1521="","",TEXT($B1521,"0000"))</f>
        <v/>
      </c>
      <c r="W1521" s="19">
        <f>IF($I1521="","",IF(ISNUMBER($I1521),TEXT($I1521,"0"),$I1521))</f>
        <v/>
      </c>
    </row>
    <row r="1522">
      <c r="B1522" s="25" t="n"/>
      <c r="I1522" s="25" t="n"/>
      <c r="U1522" s="19">
        <f>IF($V1522&lt;&gt;'設定'!$C$4,N(U1521),IF(OR(NOT(COUNTIF('商品マスタ'!$B$6:$B$1005,$W1522)=0),COUNTIFS('①在庫を貼る'!$V$6:$V$10005,$V1522,'①在庫を貼る'!$W$6:$W$10005,$W1522)+COUNTIFS('月1回_1ヶ月前の在庫'!$V$6:$V$10005,$V1522,'月1回_1ヶ月前の在庫'!$W$6:$W$10005,$W1522)&gt;0),N(U1521),N(U1521)+1))</f>
        <v/>
      </c>
      <c r="V1522" s="19">
        <f>IF($B1522="","",TEXT($B1522,"0000"))</f>
        <v/>
      </c>
      <c r="W1522" s="19">
        <f>IF($I1522="","",IF(ISNUMBER($I1522),TEXT($I1522,"0"),$I1522))</f>
        <v/>
      </c>
    </row>
    <row r="1523">
      <c r="B1523" s="25" t="n"/>
      <c r="I1523" s="25" t="n"/>
      <c r="U1523" s="19">
        <f>IF($V1523&lt;&gt;'設定'!$C$4,N(U1522),IF(OR(NOT(COUNTIF('商品マスタ'!$B$6:$B$1005,$W1523)=0),COUNTIFS('①在庫を貼る'!$V$6:$V$10005,$V1523,'①在庫を貼る'!$W$6:$W$10005,$W1523)+COUNTIFS('月1回_1ヶ月前の在庫'!$V$6:$V$10005,$V1523,'月1回_1ヶ月前の在庫'!$W$6:$W$10005,$W1523)&gt;0),N(U1522),N(U1522)+1))</f>
        <v/>
      </c>
      <c r="V1523" s="19">
        <f>IF($B1523="","",TEXT($B1523,"0000"))</f>
        <v/>
      </c>
      <c r="W1523" s="19">
        <f>IF($I1523="","",IF(ISNUMBER($I1523),TEXT($I1523,"0"),$I1523))</f>
        <v/>
      </c>
    </row>
    <row r="1524">
      <c r="B1524" s="25" t="n"/>
      <c r="I1524" s="25" t="n"/>
      <c r="U1524" s="19">
        <f>IF($V1524&lt;&gt;'設定'!$C$4,N(U1523),IF(OR(NOT(COUNTIF('商品マスタ'!$B$6:$B$1005,$W1524)=0),COUNTIFS('①在庫を貼る'!$V$6:$V$10005,$V1524,'①在庫を貼る'!$W$6:$W$10005,$W1524)+COUNTIFS('月1回_1ヶ月前の在庫'!$V$6:$V$10005,$V1524,'月1回_1ヶ月前の在庫'!$W$6:$W$10005,$W1524)&gt;0),N(U1523),N(U1523)+1))</f>
        <v/>
      </c>
      <c r="V1524" s="19">
        <f>IF($B1524="","",TEXT($B1524,"0000"))</f>
        <v/>
      </c>
      <c r="W1524" s="19">
        <f>IF($I1524="","",IF(ISNUMBER($I1524),TEXT($I1524,"0"),$I1524))</f>
        <v/>
      </c>
    </row>
    <row r="1525">
      <c r="B1525" s="25" t="n"/>
      <c r="I1525" s="25" t="n"/>
      <c r="U1525" s="19">
        <f>IF($V1525&lt;&gt;'設定'!$C$4,N(U1524),IF(OR(NOT(COUNTIF('商品マスタ'!$B$6:$B$1005,$W1525)=0),COUNTIFS('①在庫を貼る'!$V$6:$V$10005,$V1525,'①在庫を貼る'!$W$6:$W$10005,$W1525)+COUNTIFS('月1回_1ヶ月前の在庫'!$V$6:$V$10005,$V1525,'月1回_1ヶ月前の在庫'!$W$6:$W$10005,$W1525)&gt;0),N(U1524),N(U1524)+1))</f>
        <v/>
      </c>
      <c r="V1525" s="19">
        <f>IF($B1525="","",TEXT($B1525,"0000"))</f>
        <v/>
      </c>
      <c r="W1525" s="19">
        <f>IF($I1525="","",IF(ISNUMBER($I1525),TEXT($I1525,"0"),$I1525))</f>
        <v/>
      </c>
    </row>
    <row r="1526">
      <c r="B1526" s="25" t="n"/>
      <c r="I1526" s="25" t="n"/>
      <c r="U1526" s="19">
        <f>IF($V1526&lt;&gt;'設定'!$C$4,N(U1525),IF(OR(NOT(COUNTIF('商品マスタ'!$B$6:$B$1005,$W1526)=0),COUNTIFS('①在庫を貼る'!$V$6:$V$10005,$V1526,'①在庫を貼る'!$W$6:$W$10005,$W1526)+COUNTIFS('月1回_1ヶ月前の在庫'!$V$6:$V$10005,$V1526,'月1回_1ヶ月前の在庫'!$W$6:$W$10005,$W1526)&gt;0),N(U1525),N(U1525)+1))</f>
        <v/>
      </c>
      <c r="V1526" s="19">
        <f>IF($B1526="","",TEXT($B1526,"0000"))</f>
        <v/>
      </c>
      <c r="W1526" s="19">
        <f>IF($I1526="","",IF(ISNUMBER($I1526),TEXT($I1526,"0"),$I1526))</f>
        <v/>
      </c>
    </row>
    <row r="1527">
      <c r="B1527" s="25" t="n"/>
      <c r="I1527" s="25" t="n"/>
      <c r="U1527" s="19">
        <f>IF($V1527&lt;&gt;'設定'!$C$4,N(U1526),IF(OR(NOT(COUNTIF('商品マスタ'!$B$6:$B$1005,$W1527)=0),COUNTIFS('①在庫を貼る'!$V$6:$V$10005,$V1527,'①在庫を貼る'!$W$6:$W$10005,$W1527)+COUNTIFS('月1回_1ヶ月前の在庫'!$V$6:$V$10005,$V1527,'月1回_1ヶ月前の在庫'!$W$6:$W$10005,$W1527)&gt;0),N(U1526),N(U1526)+1))</f>
        <v/>
      </c>
      <c r="V1527" s="19">
        <f>IF($B1527="","",TEXT($B1527,"0000"))</f>
        <v/>
      </c>
      <c r="W1527" s="19">
        <f>IF($I1527="","",IF(ISNUMBER($I1527),TEXT($I1527,"0"),$I1527))</f>
        <v/>
      </c>
    </row>
    <row r="1528">
      <c r="B1528" s="25" t="n"/>
      <c r="I1528" s="25" t="n"/>
      <c r="U1528" s="19">
        <f>IF($V1528&lt;&gt;'設定'!$C$4,N(U1527),IF(OR(NOT(COUNTIF('商品マスタ'!$B$6:$B$1005,$W1528)=0),COUNTIFS('①在庫を貼る'!$V$6:$V$10005,$V1528,'①在庫を貼る'!$W$6:$W$10005,$W1528)+COUNTIFS('月1回_1ヶ月前の在庫'!$V$6:$V$10005,$V1528,'月1回_1ヶ月前の在庫'!$W$6:$W$10005,$W1528)&gt;0),N(U1527),N(U1527)+1))</f>
        <v/>
      </c>
      <c r="V1528" s="19">
        <f>IF($B1528="","",TEXT($B1528,"0000"))</f>
        <v/>
      </c>
      <c r="W1528" s="19">
        <f>IF($I1528="","",IF(ISNUMBER($I1528),TEXT($I1528,"0"),$I1528))</f>
        <v/>
      </c>
    </row>
    <row r="1529">
      <c r="B1529" s="25" t="n"/>
      <c r="I1529" s="25" t="n"/>
      <c r="U1529" s="19">
        <f>IF($V1529&lt;&gt;'設定'!$C$4,N(U1528),IF(OR(NOT(COUNTIF('商品マスタ'!$B$6:$B$1005,$W1529)=0),COUNTIFS('①在庫を貼る'!$V$6:$V$10005,$V1529,'①在庫を貼る'!$W$6:$W$10005,$W1529)+COUNTIFS('月1回_1ヶ月前の在庫'!$V$6:$V$10005,$V1529,'月1回_1ヶ月前の在庫'!$W$6:$W$10005,$W1529)&gt;0),N(U1528),N(U1528)+1))</f>
        <v/>
      </c>
      <c r="V1529" s="19">
        <f>IF($B1529="","",TEXT($B1529,"0000"))</f>
        <v/>
      </c>
      <c r="W1529" s="19">
        <f>IF($I1529="","",IF(ISNUMBER($I1529),TEXT($I1529,"0"),$I1529))</f>
        <v/>
      </c>
    </row>
    <row r="1530">
      <c r="B1530" s="25" t="n"/>
      <c r="I1530" s="25" t="n"/>
      <c r="U1530" s="19">
        <f>IF($V1530&lt;&gt;'設定'!$C$4,N(U1529),IF(OR(NOT(COUNTIF('商品マスタ'!$B$6:$B$1005,$W1530)=0),COUNTIFS('①在庫を貼る'!$V$6:$V$10005,$V1530,'①在庫を貼る'!$W$6:$W$10005,$W1530)+COUNTIFS('月1回_1ヶ月前の在庫'!$V$6:$V$10005,$V1530,'月1回_1ヶ月前の在庫'!$W$6:$W$10005,$W1530)&gt;0),N(U1529),N(U1529)+1))</f>
        <v/>
      </c>
      <c r="V1530" s="19">
        <f>IF($B1530="","",TEXT($B1530,"0000"))</f>
        <v/>
      </c>
      <c r="W1530" s="19">
        <f>IF($I1530="","",IF(ISNUMBER($I1530),TEXT($I1530,"0"),$I1530))</f>
        <v/>
      </c>
    </row>
    <row r="1531">
      <c r="B1531" s="25" t="n"/>
      <c r="I1531" s="25" t="n"/>
      <c r="U1531" s="19">
        <f>IF($V1531&lt;&gt;'設定'!$C$4,N(U1530),IF(OR(NOT(COUNTIF('商品マスタ'!$B$6:$B$1005,$W1531)=0),COUNTIFS('①在庫を貼る'!$V$6:$V$10005,$V1531,'①在庫を貼る'!$W$6:$W$10005,$W1531)+COUNTIFS('月1回_1ヶ月前の在庫'!$V$6:$V$10005,$V1531,'月1回_1ヶ月前の在庫'!$W$6:$W$10005,$W1531)&gt;0),N(U1530),N(U1530)+1))</f>
        <v/>
      </c>
      <c r="V1531" s="19">
        <f>IF($B1531="","",TEXT($B1531,"0000"))</f>
        <v/>
      </c>
      <c r="W1531" s="19">
        <f>IF($I1531="","",IF(ISNUMBER($I1531),TEXT($I1531,"0"),$I1531))</f>
        <v/>
      </c>
    </row>
    <row r="1532">
      <c r="B1532" s="25" t="n"/>
      <c r="I1532" s="25" t="n"/>
      <c r="U1532" s="19">
        <f>IF($V1532&lt;&gt;'設定'!$C$4,N(U1531),IF(OR(NOT(COUNTIF('商品マスタ'!$B$6:$B$1005,$W1532)=0),COUNTIFS('①在庫を貼る'!$V$6:$V$10005,$V1532,'①在庫を貼る'!$W$6:$W$10005,$W1532)+COUNTIFS('月1回_1ヶ月前の在庫'!$V$6:$V$10005,$V1532,'月1回_1ヶ月前の在庫'!$W$6:$W$10005,$W1532)&gt;0),N(U1531),N(U1531)+1))</f>
        <v/>
      </c>
      <c r="V1532" s="19">
        <f>IF($B1532="","",TEXT($B1532,"0000"))</f>
        <v/>
      </c>
      <c r="W1532" s="19">
        <f>IF($I1532="","",IF(ISNUMBER($I1532),TEXT($I1532,"0"),$I1532))</f>
        <v/>
      </c>
    </row>
    <row r="1533">
      <c r="B1533" s="25" t="n"/>
      <c r="I1533" s="25" t="n"/>
      <c r="U1533" s="19">
        <f>IF($V1533&lt;&gt;'設定'!$C$4,N(U1532),IF(OR(NOT(COUNTIF('商品マスタ'!$B$6:$B$1005,$W1533)=0),COUNTIFS('①在庫を貼る'!$V$6:$V$10005,$V1533,'①在庫を貼る'!$W$6:$W$10005,$W1533)+COUNTIFS('月1回_1ヶ月前の在庫'!$V$6:$V$10005,$V1533,'月1回_1ヶ月前の在庫'!$W$6:$W$10005,$W1533)&gt;0),N(U1532),N(U1532)+1))</f>
        <v/>
      </c>
      <c r="V1533" s="19">
        <f>IF($B1533="","",TEXT($B1533,"0000"))</f>
        <v/>
      </c>
      <c r="W1533" s="19">
        <f>IF($I1533="","",IF(ISNUMBER($I1533),TEXT($I1533,"0"),$I1533))</f>
        <v/>
      </c>
    </row>
    <row r="1534">
      <c r="B1534" s="25" t="n"/>
      <c r="I1534" s="25" t="n"/>
      <c r="U1534" s="19">
        <f>IF($V1534&lt;&gt;'設定'!$C$4,N(U1533),IF(OR(NOT(COUNTIF('商品マスタ'!$B$6:$B$1005,$W1534)=0),COUNTIFS('①在庫を貼る'!$V$6:$V$10005,$V1534,'①在庫を貼る'!$W$6:$W$10005,$W1534)+COUNTIFS('月1回_1ヶ月前の在庫'!$V$6:$V$10005,$V1534,'月1回_1ヶ月前の在庫'!$W$6:$W$10005,$W1534)&gt;0),N(U1533),N(U1533)+1))</f>
        <v/>
      </c>
      <c r="V1534" s="19">
        <f>IF($B1534="","",TEXT($B1534,"0000"))</f>
        <v/>
      </c>
      <c r="W1534" s="19">
        <f>IF($I1534="","",IF(ISNUMBER($I1534),TEXT($I1534,"0"),$I1534))</f>
        <v/>
      </c>
    </row>
    <row r="1535">
      <c r="B1535" s="25" t="n"/>
      <c r="I1535" s="25" t="n"/>
      <c r="U1535" s="19">
        <f>IF($V1535&lt;&gt;'設定'!$C$4,N(U1534),IF(OR(NOT(COUNTIF('商品マスタ'!$B$6:$B$1005,$W1535)=0),COUNTIFS('①在庫を貼る'!$V$6:$V$10005,$V1535,'①在庫を貼る'!$W$6:$W$10005,$W1535)+COUNTIFS('月1回_1ヶ月前の在庫'!$V$6:$V$10005,$V1535,'月1回_1ヶ月前の在庫'!$W$6:$W$10005,$W1535)&gt;0),N(U1534),N(U1534)+1))</f>
        <v/>
      </c>
      <c r="V1535" s="19">
        <f>IF($B1535="","",TEXT($B1535,"0000"))</f>
        <v/>
      </c>
      <c r="W1535" s="19">
        <f>IF($I1535="","",IF(ISNUMBER($I1535),TEXT($I1535,"0"),$I1535))</f>
        <v/>
      </c>
    </row>
    <row r="1536">
      <c r="B1536" s="25" t="n"/>
      <c r="I1536" s="25" t="n"/>
      <c r="U1536" s="19">
        <f>IF($V1536&lt;&gt;'設定'!$C$4,N(U1535),IF(OR(NOT(COUNTIF('商品マスタ'!$B$6:$B$1005,$W1536)=0),COUNTIFS('①在庫を貼る'!$V$6:$V$10005,$V1536,'①在庫を貼る'!$W$6:$W$10005,$W1536)+COUNTIFS('月1回_1ヶ月前の在庫'!$V$6:$V$10005,$V1536,'月1回_1ヶ月前の在庫'!$W$6:$W$10005,$W1536)&gt;0),N(U1535),N(U1535)+1))</f>
        <v/>
      </c>
      <c r="V1536" s="19">
        <f>IF($B1536="","",TEXT($B1536,"0000"))</f>
        <v/>
      </c>
      <c r="W1536" s="19">
        <f>IF($I1536="","",IF(ISNUMBER($I1536),TEXT($I1536,"0"),$I1536))</f>
        <v/>
      </c>
    </row>
    <row r="1537">
      <c r="B1537" s="25" t="n"/>
      <c r="I1537" s="25" t="n"/>
      <c r="U1537" s="19">
        <f>IF($V1537&lt;&gt;'設定'!$C$4,N(U1536),IF(OR(NOT(COUNTIF('商品マスタ'!$B$6:$B$1005,$W1537)=0),COUNTIFS('①在庫を貼る'!$V$6:$V$10005,$V1537,'①在庫を貼る'!$W$6:$W$10005,$W1537)+COUNTIFS('月1回_1ヶ月前の在庫'!$V$6:$V$10005,$V1537,'月1回_1ヶ月前の在庫'!$W$6:$W$10005,$W1537)&gt;0),N(U1536),N(U1536)+1))</f>
        <v/>
      </c>
      <c r="V1537" s="19">
        <f>IF($B1537="","",TEXT($B1537,"0000"))</f>
        <v/>
      </c>
      <c r="W1537" s="19">
        <f>IF($I1537="","",IF(ISNUMBER($I1537),TEXT($I1537,"0"),$I1537))</f>
        <v/>
      </c>
    </row>
    <row r="1538">
      <c r="B1538" s="25" t="n"/>
      <c r="I1538" s="25" t="n"/>
      <c r="U1538" s="19">
        <f>IF($V1538&lt;&gt;'設定'!$C$4,N(U1537),IF(OR(NOT(COUNTIF('商品マスタ'!$B$6:$B$1005,$W1538)=0),COUNTIFS('①在庫を貼る'!$V$6:$V$10005,$V1538,'①在庫を貼る'!$W$6:$W$10005,$W1538)+COUNTIFS('月1回_1ヶ月前の在庫'!$V$6:$V$10005,$V1538,'月1回_1ヶ月前の在庫'!$W$6:$W$10005,$W1538)&gt;0),N(U1537),N(U1537)+1))</f>
        <v/>
      </c>
      <c r="V1538" s="19">
        <f>IF($B1538="","",TEXT($B1538,"0000"))</f>
        <v/>
      </c>
      <c r="W1538" s="19">
        <f>IF($I1538="","",IF(ISNUMBER($I1538),TEXT($I1538,"0"),$I1538))</f>
        <v/>
      </c>
    </row>
    <row r="1539">
      <c r="B1539" s="25" t="n"/>
      <c r="I1539" s="25" t="n"/>
      <c r="U1539" s="19">
        <f>IF($V1539&lt;&gt;'設定'!$C$4,N(U1538),IF(OR(NOT(COUNTIF('商品マスタ'!$B$6:$B$1005,$W1539)=0),COUNTIFS('①在庫を貼る'!$V$6:$V$10005,$V1539,'①在庫を貼る'!$W$6:$W$10005,$W1539)+COUNTIFS('月1回_1ヶ月前の在庫'!$V$6:$V$10005,$V1539,'月1回_1ヶ月前の在庫'!$W$6:$W$10005,$W1539)&gt;0),N(U1538),N(U1538)+1))</f>
        <v/>
      </c>
      <c r="V1539" s="19">
        <f>IF($B1539="","",TEXT($B1539,"0000"))</f>
        <v/>
      </c>
      <c r="W1539" s="19">
        <f>IF($I1539="","",IF(ISNUMBER($I1539),TEXT($I1539,"0"),$I1539))</f>
        <v/>
      </c>
    </row>
    <row r="1540">
      <c r="B1540" s="25" t="n"/>
      <c r="I1540" s="25" t="n"/>
      <c r="U1540" s="19">
        <f>IF($V1540&lt;&gt;'設定'!$C$4,N(U1539),IF(OR(NOT(COUNTIF('商品マスタ'!$B$6:$B$1005,$W1540)=0),COUNTIFS('①在庫を貼る'!$V$6:$V$10005,$V1540,'①在庫を貼る'!$W$6:$W$10005,$W1540)+COUNTIFS('月1回_1ヶ月前の在庫'!$V$6:$V$10005,$V1540,'月1回_1ヶ月前の在庫'!$W$6:$W$10005,$W1540)&gt;0),N(U1539),N(U1539)+1))</f>
        <v/>
      </c>
      <c r="V1540" s="19">
        <f>IF($B1540="","",TEXT($B1540,"0000"))</f>
        <v/>
      </c>
      <c r="W1540" s="19">
        <f>IF($I1540="","",IF(ISNUMBER($I1540),TEXT($I1540,"0"),$I1540))</f>
        <v/>
      </c>
    </row>
    <row r="1541">
      <c r="B1541" s="25" t="n"/>
      <c r="I1541" s="25" t="n"/>
      <c r="U1541" s="19">
        <f>IF($V1541&lt;&gt;'設定'!$C$4,N(U1540),IF(OR(NOT(COUNTIF('商品マスタ'!$B$6:$B$1005,$W1541)=0),COUNTIFS('①在庫を貼る'!$V$6:$V$10005,$V1541,'①在庫を貼る'!$W$6:$W$10005,$W1541)+COUNTIFS('月1回_1ヶ月前の在庫'!$V$6:$V$10005,$V1541,'月1回_1ヶ月前の在庫'!$W$6:$W$10005,$W1541)&gt;0),N(U1540),N(U1540)+1))</f>
        <v/>
      </c>
      <c r="V1541" s="19">
        <f>IF($B1541="","",TEXT($B1541,"0000"))</f>
        <v/>
      </c>
      <c r="W1541" s="19">
        <f>IF($I1541="","",IF(ISNUMBER($I1541),TEXT($I1541,"0"),$I1541))</f>
        <v/>
      </c>
    </row>
    <row r="1542">
      <c r="B1542" s="25" t="n"/>
      <c r="I1542" s="25" t="n"/>
      <c r="U1542" s="19">
        <f>IF($V1542&lt;&gt;'設定'!$C$4,N(U1541),IF(OR(NOT(COUNTIF('商品マスタ'!$B$6:$B$1005,$W1542)=0),COUNTIFS('①在庫を貼る'!$V$6:$V$10005,$V1542,'①在庫を貼る'!$W$6:$W$10005,$W1542)+COUNTIFS('月1回_1ヶ月前の在庫'!$V$6:$V$10005,$V1542,'月1回_1ヶ月前の在庫'!$W$6:$W$10005,$W1542)&gt;0),N(U1541),N(U1541)+1))</f>
        <v/>
      </c>
      <c r="V1542" s="19">
        <f>IF($B1542="","",TEXT($B1542,"0000"))</f>
        <v/>
      </c>
      <c r="W1542" s="19">
        <f>IF($I1542="","",IF(ISNUMBER($I1542),TEXT($I1542,"0"),$I1542))</f>
        <v/>
      </c>
    </row>
    <row r="1543">
      <c r="B1543" s="25" t="n"/>
      <c r="I1543" s="25" t="n"/>
      <c r="U1543" s="19">
        <f>IF($V1543&lt;&gt;'設定'!$C$4,N(U1542),IF(OR(NOT(COUNTIF('商品マスタ'!$B$6:$B$1005,$W1543)=0),COUNTIFS('①在庫を貼る'!$V$6:$V$10005,$V1543,'①在庫を貼る'!$W$6:$W$10005,$W1543)+COUNTIFS('月1回_1ヶ月前の在庫'!$V$6:$V$10005,$V1543,'月1回_1ヶ月前の在庫'!$W$6:$W$10005,$W1543)&gt;0),N(U1542),N(U1542)+1))</f>
        <v/>
      </c>
      <c r="V1543" s="19">
        <f>IF($B1543="","",TEXT($B1543,"0000"))</f>
        <v/>
      </c>
      <c r="W1543" s="19">
        <f>IF($I1543="","",IF(ISNUMBER($I1543),TEXT($I1543,"0"),$I1543))</f>
        <v/>
      </c>
    </row>
    <row r="1544">
      <c r="B1544" s="25" t="n"/>
      <c r="I1544" s="25" t="n"/>
      <c r="U1544" s="19">
        <f>IF($V1544&lt;&gt;'設定'!$C$4,N(U1543),IF(OR(NOT(COUNTIF('商品マスタ'!$B$6:$B$1005,$W1544)=0),COUNTIFS('①在庫を貼る'!$V$6:$V$10005,$V1544,'①在庫を貼る'!$W$6:$W$10005,$W1544)+COUNTIFS('月1回_1ヶ月前の在庫'!$V$6:$V$10005,$V1544,'月1回_1ヶ月前の在庫'!$W$6:$W$10005,$W1544)&gt;0),N(U1543),N(U1543)+1))</f>
        <v/>
      </c>
      <c r="V1544" s="19">
        <f>IF($B1544="","",TEXT($B1544,"0000"))</f>
        <v/>
      </c>
      <c r="W1544" s="19">
        <f>IF($I1544="","",IF(ISNUMBER($I1544),TEXT($I1544,"0"),$I1544))</f>
        <v/>
      </c>
    </row>
    <row r="1545">
      <c r="B1545" s="25" t="n"/>
      <c r="I1545" s="25" t="n"/>
      <c r="U1545" s="19">
        <f>IF($V1545&lt;&gt;'設定'!$C$4,N(U1544),IF(OR(NOT(COUNTIF('商品マスタ'!$B$6:$B$1005,$W1545)=0),COUNTIFS('①在庫を貼る'!$V$6:$V$10005,$V1545,'①在庫を貼る'!$W$6:$W$10005,$W1545)+COUNTIFS('月1回_1ヶ月前の在庫'!$V$6:$V$10005,$V1545,'月1回_1ヶ月前の在庫'!$W$6:$W$10005,$W1545)&gt;0),N(U1544),N(U1544)+1))</f>
        <v/>
      </c>
      <c r="V1545" s="19">
        <f>IF($B1545="","",TEXT($B1545,"0000"))</f>
        <v/>
      </c>
      <c r="W1545" s="19">
        <f>IF($I1545="","",IF(ISNUMBER($I1545),TEXT($I1545,"0"),$I1545))</f>
        <v/>
      </c>
    </row>
    <row r="1546">
      <c r="B1546" s="25" t="n"/>
      <c r="I1546" s="25" t="n"/>
      <c r="U1546" s="19">
        <f>IF($V1546&lt;&gt;'設定'!$C$4,N(U1545),IF(OR(NOT(COUNTIF('商品マスタ'!$B$6:$B$1005,$W1546)=0),COUNTIFS('①在庫を貼る'!$V$6:$V$10005,$V1546,'①在庫を貼る'!$W$6:$W$10005,$W1546)+COUNTIFS('月1回_1ヶ月前の在庫'!$V$6:$V$10005,$V1546,'月1回_1ヶ月前の在庫'!$W$6:$W$10005,$W1546)&gt;0),N(U1545),N(U1545)+1))</f>
        <v/>
      </c>
      <c r="V1546" s="19">
        <f>IF($B1546="","",TEXT($B1546,"0000"))</f>
        <v/>
      </c>
      <c r="W1546" s="19">
        <f>IF($I1546="","",IF(ISNUMBER($I1546),TEXT($I1546,"0"),$I1546))</f>
        <v/>
      </c>
    </row>
    <row r="1547">
      <c r="B1547" s="25" t="n"/>
      <c r="I1547" s="25" t="n"/>
      <c r="U1547" s="19">
        <f>IF($V1547&lt;&gt;'設定'!$C$4,N(U1546),IF(OR(NOT(COUNTIF('商品マスタ'!$B$6:$B$1005,$W1547)=0),COUNTIFS('①在庫を貼る'!$V$6:$V$10005,$V1547,'①在庫を貼る'!$W$6:$W$10005,$W1547)+COUNTIFS('月1回_1ヶ月前の在庫'!$V$6:$V$10005,$V1547,'月1回_1ヶ月前の在庫'!$W$6:$W$10005,$W1547)&gt;0),N(U1546),N(U1546)+1))</f>
        <v/>
      </c>
      <c r="V1547" s="19">
        <f>IF($B1547="","",TEXT($B1547,"0000"))</f>
        <v/>
      </c>
      <c r="W1547" s="19">
        <f>IF($I1547="","",IF(ISNUMBER($I1547),TEXT($I1547,"0"),$I1547))</f>
        <v/>
      </c>
    </row>
    <row r="1548">
      <c r="B1548" s="25" t="n"/>
      <c r="I1548" s="25" t="n"/>
      <c r="U1548" s="19">
        <f>IF($V1548&lt;&gt;'設定'!$C$4,N(U1547),IF(OR(NOT(COUNTIF('商品マスタ'!$B$6:$B$1005,$W1548)=0),COUNTIFS('①在庫を貼る'!$V$6:$V$10005,$V1548,'①在庫を貼る'!$W$6:$W$10005,$W1548)+COUNTIFS('月1回_1ヶ月前の在庫'!$V$6:$V$10005,$V1548,'月1回_1ヶ月前の在庫'!$W$6:$W$10005,$W1548)&gt;0),N(U1547),N(U1547)+1))</f>
        <v/>
      </c>
      <c r="V1548" s="19">
        <f>IF($B1548="","",TEXT($B1548,"0000"))</f>
        <v/>
      </c>
      <c r="W1548" s="19">
        <f>IF($I1548="","",IF(ISNUMBER($I1548),TEXT($I1548,"0"),$I1548))</f>
        <v/>
      </c>
    </row>
    <row r="1549">
      <c r="B1549" s="25" t="n"/>
      <c r="I1549" s="25" t="n"/>
      <c r="U1549" s="19">
        <f>IF($V1549&lt;&gt;'設定'!$C$4,N(U1548),IF(OR(NOT(COUNTIF('商品マスタ'!$B$6:$B$1005,$W1549)=0),COUNTIFS('①在庫を貼る'!$V$6:$V$10005,$V1549,'①在庫を貼る'!$W$6:$W$10005,$W1549)+COUNTIFS('月1回_1ヶ月前の在庫'!$V$6:$V$10005,$V1549,'月1回_1ヶ月前の在庫'!$W$6:$W$10005,$W1549)&gt;0),N(U1548),N(U1548)+1))</f>
        <v/>
      </c>
      <c r="V1549" s="19">
        <f>IF($B1549="","",TEXT($B1549,"0000"))</f>
        <v/>
      </c>
      <c r="W1549" s="19">
        <f>IF($I1549="","",IF(ISNUMBER($I1549),TEXT($I1549,"0"),$I1549))</f>
        <v/>
      </c>
    </row>
    <row r="1550">
      <c r="B1550" s="25" t="n"/>
      <c r="I1550" s="25" t="n"/>
      <c r="U1550" s="19">
        <f>IF($V1550&lt;&gt;'設定'!$C$4,N(U1549),IF(OR(NOT(COUNTIF('商品マスタ'!$B$6:$B$1005,$W1550)=0),COUNTIFS('①在庫を貼る'!$V$6:$V$10005,$V1550,'①在庫を貼る'!$W$6:$W$10005,$W1550)+COUNTIFS('月1回_1ヶ月前の在庫'!$V$6:$V$10005,$V1550,'月1回_1ヶ月前の在庫'!$W$6:$W$10005,$W1550)&gt;0),N(U1549),N(U1549)+1))</f>
        <v/>
      </c>
      <c r="V1550" s="19">
        <f>IF($B1550="","",TEXT($B1550,"0000"))</f>
        <v/>
      </c>
      <c r="W1550" s="19">
        <f>IF($I1550="","",IF(ISNUMBER($I1550),TEXT($I1550,"0"),$I1550))</f>
        <v/>
      </c>
    </row>
    <row r="1551">
      <c r="B1551" s="25" t="n"/>
      <c r="I1551" s="25" t="n"/>
      <c r="U1551" s="19">
        <f>IF($V1551&lt;&gt;'設定'!$C$4,N(U1550),IF(OR(NOT(COUNTIF('商品マスタ'!$B$6:$B$1005,$W1551)=0),COUNTIFS('①在庫を貼る'!$V$6:$V$10005,$V1551,'①在庫を貼る'!$W$6:$W$10005,$W1551)+COUNTIFS('月1回_1ヶ月前の在庫'!$V$6:$V$10005,$V1551,'月1回_1ヶ月前の在庫'!$W$6:$W$10005,$W1551)&gt;0),N(U1550),N(U1550)+1))</f>
        <v/>
      </c>
      <c r="V1551" s="19">
        <f>IF($B1551="","",TEXT($B1551,"0000"))</f>
        <v/>
      </c>
      <c r="W1551" s="19">
        <f>IF($I1551="","",IF(ISNUMBER($I1551),TEXT($I1551,"0"),$I1551))</f>
        <v/>
      </c>
    </row>
    <row r="1552">
      <c r="B1552" s="25" t="n"/>
      <c r="I1552" s="25" t="n"/>
      <c r="U1552" s="19">
        <f>IF($V1552&lt;&gt;'設定'!$C$4,N(U1551),IF(OR(NOT(COUNTIF('商品マスタ'!$B$6:$B$1005,$W1552)=0),COUNTIFS('①在庫を貼る'!$V$6:$V$10005,$V1552,'①在庫を貼る'!$W$6:$W$10005,$W1552)+COUNTIFS('月1回_1ヶ月前の在庫'!$V$6:$V$10005,$V1552,'月1回_1ヶ月前の在庫'!$W$6:$W$10005,$W1552)&gt;0),N(U1551),N(U1551)+1))</f>
        <v/>
      </c>
      <c r="V1552" s="19">
        <f>IF($B1552="","",TEXT($B1552,"0000"))</f>
        <v/>
      </c>
      <c r="W1552" s="19">
        <f>IF($I1552="","",IF(ISNUMBER($I1552),TEXT($I1552,"0"),$I1552))</f>
        <v/>
      </c>
    </row>
    <row r="1553">
      <c r="B1553" s="25" t="n"/>
      <c r="I1553" s="25" t="n"/>
      <c r="U1553" s="19">
        <f>IF($V1553&lt;&gt;'設定'!$C$4,N(U1552),IF(OR(NOT(COUNTIF('商品マスタ'!$B$6:$B$1005,$W1553)=0),COUNTIFS('①在庫を貼る'!$V$6:$V$10005,$V1553,'①在庫を貼る'!$W$6:$W$10005,$W1553)+COUNTIFS('月1回_1ヶ月前の在庫'!$V$6:$V$10005,$V1553,'月1回_1ヶ月前の在庫'!$W$6:$W$10005,$W1553)&gt;0),N(U1552),N(U1552)+1))</f>
        <v/>
      </c>
      <c r="V1553" s="19">
        <f>IF($B1553="","",TEXT($B1553,"0000"))</f>
        <v/>
      </c>
      <c r="W1553" s="19">
        <f>IF($I1553="","",IF(ISNUMBER($I1553),TEXT($I1553,"0"),$I1553))</f>
        <v/>
      </c>
    </row>
    <row r="1554">
      <c r="B1554" s="25" t="n"/>
      <c r="I1554" s="25" t="n"/>
      <c r="U1554" s="19">
        <f>IF($V1554&lt;&gt;'設定'!$C$4,N(U1553),IF(OR(NOT(COUNTIF('商品マスタ'!$B$6:$B$1005,$W1554)=0),COUNTIFS('①在庫を貼る'!$V$6:$V$10005,$V1554,'①在庫を貼る'!$W$6:$W$10005,$W1554)+COUNTIFS('月1回_1ヶ月前の在庫'!$V$6:$V$10005,$V1554,'月1回_1ヶ月前の在庫'!$W$6:$W$10005,$W1554)&gt;0),N(U1553),N(U1553)+1))</f>
        <v/>
      </c>
      <c r="V1554" s="19">
        <f>IF($B1554="","",TEXT($B1554,"0000"))</f>
        <v/>
      </c>
      <c r="W1554" s="19">
        <f>IF($I1554="","",IF(ISNUMBER($I1554),TEXT($I1554,"0"),$I1554))</f>
        <v/>
      </c>
    </row>
    <row r="1555">
      <c r="B1555" s="25" t="n"/>
      <c r="I1555" s="25" t="n"/>
      <c r="U1555" s="19">
        <f>IF($V1555&lt;&gt;'設定'!$C$4,N(U1554),IF(OR(NOT(COUNTIF('商品マスタ'!$B$6:$B$1005,$W1555)=0),COUNTIFS('①在庫を貼る'!$V$6:$V$10005,$V1555,'①在庫を貼る'!$W$6:$W$10005,$W1555)+COUNTIFS('月1回_1ヶ月前の在庫'!$V$6:$V$10005,$V1555,'月1回_1ヶ月前の在庫'!$W$6:$W$10005,$W1555)&gt;0),N(U1554),N(U1554)+1))</f>
        <v/>
      </c>
      <c r="V1555" s="19">
        <f>IF($B1555="","",TEXT($B1555,"0000"))</f>
        <v/>
      </c>
      <c r="W1555" s="19">
        <f>IF($I1555="","",IF(ISNUMBER($I1555),TEXT($I1555,"0"),$I1555))</f>
        <v/>
      </c>
    </row>
    <row r="1556">
      <c r="B1556" s="25" t="n"/>
      <c r="I1556" s="25" t="n"/>
      <c r="U1556" s="19">
        <f>IF($V1556&lt;&gt;'設定'!$C$4,N(U1555),IF(OR(NOT(COUNTIF('商品マスタ'!$B$6:$B$1005,$W1556)=0),COUNTIFS('①在庫を貼る'!$V$6:$V$10005,$V1556,'①在庫を貼る'!$W$6:$W$10005,$W1556)+COUNTIFS('月1回_1ヶ月前の在庫'!$V$6:$V$10005,$V1556,'月1回_1ヶ月前の在庫'!$W$6:$W$10005,$W1556)&gt;0),N(U1555),N(U1555)+1))</f>
        <v/>
      </c>
      <c r="V1556" s="19">
        <f>IF($B1556="","",TEXT($B1556,"0000"))</f>
        <v/>
      </c>
      <c r="W1556" s="19">
        <f>IF($I1556="","",IF(ISNUMBER($I1556),TEXT($I1556,"0"),$I1556))</f>
        <v/>
      </c>
    </row>
    <row r="1557">
      <c r="B1557" s="25" t="n"/>
      <c r="I1557" s="25" t="n"/>
      <c r="U1557" s="19">
        <f>IF($V1557&lt;&gt;'設定'!$C$4,N(U1556),IF(OR(NOT(COUNTIF('商品マスタ'!$B$6:$B$1005,$W1557)=0),COUNTIFS('①在庫を貼る'!$V$6:$V$10005,$V1557,'①在庫を貼る'!$W$6:$W$10005,$W1557)+COUNTIFS('月1回_1ヶ月前の在庫'!$V$6:$V$10005,$V1557,'月1回_1ヶ月前の在庫'!$W$6:$W$10005,$W1557)&gt;0),N(U1556),N(U1556)+1))</f>
        <v/>
      </c>
      <c r="V1557" s="19">
        <f>IF($B1557="","",TEXT($B1557,"0000"))</f>
        <v/>
      </c>
      <c r="W1557" s="19">
        <f>IF($I1557="","",IF(ISNUMBER($I1557),TEXT($I1557,"0"),$I1557))</f>
        <v/>
      </c>
    </row>
    <row r="1558">
      <c r="B1558" s="25" t="n"/>
      <c r="I1558" s="25" t="n"/>
      <c r="U1558" s="19">
        <f>IF($V1558&lt;&gt;'設定'!$C$4,N(U1557),IF(OR(NOT(COUNTIF('商品マスタ'!$B$6:$B$1005,$W1558)=0),COUNTIFS('①在庫を貼る'!$V$6:$V$10005,$V1558,'①在庫を貼る'!$W$6:$W$10005,$W1558)+COUNTIFS('月1回_1ヶ月前の在庫'!$V$6:$V$10005,$V1558,'月1回_1ヶ月前の在庫'!$W$6:$W$10005,$W1558)&gt;0),N(U1557),N(U1557)+1))</f>
        <v/>
      </c>
      <c r="V1558" s="19">
        <f>IF($B1558="","",TEXT($B1558,"0000"))</f>
        <v/>
      </c>
      <c r="W1558" s="19">
        <f>IF($I1558="","",IF(ISNUMBER($I1558),TEXT($I1558,"0"),$I1558))</f>
        <v/>
      </c>
    </row>
    <row r="1559">
      <c r="B1559" s="25" t="n"/>
      <c r="I1559" s="25" t="n"/>
      <c r="U1559" s="19">
        <f>IF($V1559&lt;&gt;'設定'!$C$4,N(U1558),IF(OR(NOT(COUNTIF('商品マスタ'!$B$6:$B$1005,$W1559)=0),COUNTIFS('①在庫を貼る'!$V$6:$V$10005,$V1559,'①在庫を貼る'!$W$6:$W$10005,$W1559)+COUNTIFS('月1回_1ヶ月前の在庫'!$V$6:$V$10005,$V1559,'月1回_1ヶ月前の在庫'!$W$6:$W$10005,$W1559)&gt;0),N(U1558),N(U1558)+1))</f>
        <v/>
      </c>
      <c r="V1559" s="19">
        <f>IF($B1559="","",TEXT($B1559,"0000"))</f>
        <v/>
      </c>
      <c r="W1559" s="19">
        <f>IF($I1559="","",IF(ISNUMBER($I1559),TEXT($I1559,"0"),$I1559))</f>
        <v/>
      </c>
    </row>
    <row r="1560">
      <c r="B1560" s="25" t="n"/>
      <c r="I1560" s="25" t="n"/>
      <c r="U1560" s="19">
        <f>IF($V1560&lt;&gt;'設定'!$C$4,N(U1559),IF(OR(NOT(COUNTIF('商品マスタ'!$B$6:$B$1005,$W1560)=0),COUNTIFS('①在庫を貼る'!$V$6:$V$10005,$V1560,'①在庫を貼る'!$W$6:$W$10005,$W1560)+COUNTIFS('月1回_1ヶ月前の在庫'!$V$6:$V$10005,$V1560,'月1回_1ヶ月前の在庫'!$W$6:$W$10005,$W1560)&gt;0),N(U1559),N(U1559)+1))</f>
        <v/>
      </c>
      <c r="V1560" s="19">
        <f>IF($B1560="","",TEXT($B1560,"0000"))</f>
        <v/>
      </c>
      <c r="W1560" s="19">
        <f>IF($I1560="","",IF(ISNUMBER($I1560),TEXT($I1560,"0"),$I1560))</f>
        <v/>
      </c>
    </row>
    <row r="1561">
      <c r="B1561" s="25" t="n"/>
      <c r="I1561" s="25" t="n"/>
      <c r="U1561" s="19">
        <f>IF($V1561&lt;&gt;'設定'!$C$4,N(U1560),IF(OR(NOT(COUNTIF('商品マスタ'!$B$6:$B$1005,$W1561)=0),COUNTIFS('①在庫を貼る'!$V$6:$V$10005,$V1561,'①在庫を貼る'!$W$6:$W$10005,$W1561)+COUNTIFS('月1回_1ヶ月前の在庫'!$V$6:$V$10005,$V1561,'月1回_1ヶ月前の在庫'!$W$6:$W$10005,$W1561)&gt;0),N(U1560),N(U1560)+1))</f>
        <v/>
      </c>
      <c r="V1561" s="19">
        <f>IF($B1561="","",TEXT($B1561,"0000"))</f>
        <v/>
      </c>
      <c r="W1561" s="19">
        <f>IF($I1561="","",IF(ISNUMBER($I1561),TEXT($I1561,"0"),$I1561))</f>
        <v/>
      </c>
    </row>
    <row r="1562">
      <c r="B1562" s="25" t="n"/>
      <c r="I1562" s="25" t="n"/>
      <c r="U1562" s="19">
        <f>IF($V1562&lt;&gt;'設定'!$C$4,N(U1561),IF(OR(NOT(COUNTIF('商品マスタ'!$B$6:$B$1005,$W1562)=0),COUNTIFS('①在庫を貼る'!$V$6:$V$10005,$V1562,'①在庫を貼る'!$W$6:$W$10005,$W1562)+COUNTIFS('月1回_1ヶ月前の在庫'!$V$6:$V$10005,$V1562,'月1回_1ヶ月前の在庫'!$W$6:$W$10005,$W1562)&gt;0),N(U1561),N(U1561)+1))</f>
        <v/>
      </c>
      <c r="V1562" s="19">
        <f>IF($B1562="","",TEXT($B1562,"0000"))</f>
        <v/>
      </c>
      <c r="W1562" s="19">
        <f>IF($I1562="","",IF(ISNUMBER($I1562),TEXT($I1562,"0"),$I1562))</f>
        <v/>
      </c>
    </row>
    <row r="1563">
      <c r="B1563" s="25" t="n"/>
      <c r="I1563" s="25" t="n"/>
      <c r="U1563" s="19">
        <f>IF($V1563&lt;&gt;'設定'!$C$4,N(U1562),IF(OR(NOT(COUNTIF('商品マスタ'!$B$6:$B$1005,$W1563)=0),COUNTIFS('①在庫を貼る'!$V$6:$V$10005,$V1563,'①在庫を貼る'!$W$6:$W$10005,$W1563)+COUNTIFS('月1回_1ヶ月前の在庫'!$V$6:$V$10005,$V1563,'月1回_1ヶ月前の在庫'!$W$6:$W$10005,$W1563)&gt;0),N(U1562),N(U1562)+1))</f>
        <v/>
      </c>
      <c r="V1563" s="19">
        <f>IF($B1563="","",TEXT($B1563,"0000"))</f>
        <v/>
      </c>
      <c r="W1563" s="19">
        <f>IF($I1563="","",IF(ISNUMBER($I1563),TEXT($I1563,"0"),$I1563))</f>
        <v/>
      </c>
    </row>
    <row r="1564">
      <c r="B1564" s="25" t="n"/>
      <c r="I1564" s="25" t="n"/>
      <c r="U1564" s="19">
        <f>IF($V1564&lt;&gt;'設定'!$C$4,N(U1563),IF(OR(NOT(COUNTIF('商品マスタ'!$B$6:$B$1005,$W1564)=0),COUNTIFS('①在庫を貼る'!$V$6:$V$10005,$V1564,'①在庫を貼る'!$W$6:$W$10005,$W1564)+COUNTIFS('月1回_1ヶ月前の在庫'!$V$6:$V$10005,$V1564,'月1回_1ヶ月前の在庫'!$W$6:$W$10005,$W1564)&gt;0),N(U1563),N(U1563)+1))</f>
        <v/>
      </c>
      <c r="V1564" s="19">
        <f>IF($B1564="","",TEXT($B1564,"0000"))</f>
        <v/>
      </c>
      <c r="W1564" s="19">
        <f>IF($I1564="","",IF(ISNUMBER($I1564),TEXT($I1564,"0"),$I1564))</f>
        <v/>
      </c>
    </row>
    <row r="1565">
      <c r="B1565" s="25" t="n"/>
      <c r="I1565" s="25" t="n"/>
      <c r="U1565" s="19">
        <f>IF($V1565&lt;&gt;'設定'!$C$4,N(U1564),IF(OR(NOT(COUNTIF('商品マスタ'!$B$6:$B$1005,$W1565)=0),COUNTIFS('①在庫を貼る'!$V$6:$V$10005,$V1565,'①在庫を貼る'!$W$6:$W$10005,$W1565)+COUNTIFS('月1回_1ヶ月前の在庫'!$V$6:$V$10005,$V1565,'月1回_1ヶ月前の在庫'!$W$6:$W$10005,$W1565)&gt;0),N(U1564),N(U1564)+1))</f>
        <v/>
      </c>
      <c r="V1565" s="19">
        <f>IF($B1565="","",TEXT($B1565,"0000"))</f>
        <v/>
      </c>
      <c r="W1565" s="19">
        <f>IF($I1565="","",IF(ISNUMBER($I1565),TEXT($I1565,"0"),$I1565))</f>
        <v/>
      </c>
    </row>
    <row r="1566">
      <c r="B1566" s="25" t="n"/>
      <c r="I1566" s="25" t="n"/>
      <c r="U1566" s="19">
        <f>IF($V1566&lt;&gt;'設定'!$C$4,N(U1565),IF(OR(NOT(COUNTIF('商品マスタ'!$B$6:$B$1005,$W1566)=0),COUNTIFS('①在庫を貼る'!$V$6:$V$10005,$V1566,'①在庫を貼る'!$W$6:$W$10005,$W1566)+COUNTIFS('月1回_1ヶ月前の在庫'!$V$6:$V$10005,$V1566,'月1回_1ヶ月前の在庫'!$W$6:$W$10005,$W1566)&gt;0),N(U1565),N(U1565)+1))</f>
        <v/>
      </c>
      <c r="V1566" s="19">
        <f>IF($B1566="","",TEXT($B1566,"0000"))</f>
        <v/>
      </c>
      <c r="W1566" s="19">
        <f>IF($I1566="","",IF(ISNUMBER($I1566),TEXT($I1566,"0"),$I1566))</f>
        <v/>
      </c>
    </row>
    <row r="1567">
      <c r="B1567" s="25" t="n"/>
      <c r="I1567" s="25" t="n"/>
      <c r="U1567" s="19">
        <f>IF($V1567&lt;&gt;'設定'!$C$4,N(U1566),IF(OR(NOT(COUNTIF('商品マスタ'!$B$6:$B$1005,$W1567)=0),COUNTIFS('①在庫を貼る'!$V$6:$V$10005,$V1567,'①在庫を貼る'!$W$6:$W$10005,$W1567)+COUNTIFS('月1回_1ヶ月前の在庫'!$V$6:$V$10005,$V1567,'月1回_1ヶ月前の在庫'!$W$6:$W$10005,$W1567)&gt;0),N(U1566),N(U1566)+1))</f>
        <v/>
      </c>
      <c r="V1567" s="19">
        <f>IF($B1567="","",TEXT($B1567,"0000"))</f>
        <v/>
      </c>
      <c r="W1567" s="19">
        <f>IF($I1567="","",IF(ISNUMBER($I1567),TEXT($I1567,"0"),$I1567))</f>
        <v/>
      </c>
    </row>
    <row r="1568">
      <c r="B1568" s="25" t="n"/>
      <c r="I1568" s="25" t="n"/>
      <c r="U1568" s="19">
        <f>IF($V1568&lt;&gt;'設定'!$C$4,N(U1567),IF(OR(NOT(COUNTIF('商品マスタ'!$B$6:$B$1005,$W1568)=0),COUNTIFS('①在庫を貼る'!$V$6:$V$10005,$V1568,'①在庫を貼る'!$W$6:$W$10005,$W1568)+COUNTIFS('月1回_1ヶ月前の在庫'!$V$6:$V$10005,$V1568,'月1回_1ヶ月前の在庫'!$W$6:$W$10005,$W1568)&gt;0),N(U1567),N(U1567)+1))</f>
        <v/>
      </c>
      <c r="V1568" s="19">
        <f>IF($B1568="","",TEXT($B1568,"0000"))</f>
        <v/>
      </c>
      <c r="W1568" s="19">
        <f>IF($I1568="","",IF(ISNUMBER($I1568),TEXT($I1568,"0"),$I1568))</f>
        <v/>
      </c>
    </row>
    <row r="1569">
      <c r="B1569" s="25" t="n"/>
      <c r="I1569" s="25" t="n"/>
      <c r="U1569" s="19">
        <f>IF($V1569&lt;&gt;'設定'!$C$4,N(U1568),IF(OR(NOT(COUNTIF('商品マスタ'!$B$6:$B$1005,$W1569)=0),COUNTIFS('①在庫を貼る'!$V$6:$V$10005,$V1569,'①在庫を貼る'!$W$6:$W$10005,$W1569)+COUNTIFS('月1回_1ヶ月前の在庫'!$V$6:$V$10005,$V1569,'月1回_1ヶ月前の在庫'!$W$6:$W$10005,$W1569)&gt;0),N(U1568),N(U1568)+1))</f>
        <v/>
      </c>
      <c r="V1569" s="19">
        <f>IF($B1569="","",TEXT($B1569,"0000"))</f>
        <v/>
      </c>
      <c r="W1569" s="19">
        <f>IF($I1569="","",IF(ISNUMBER($I1569),TEXT($I1569,"0"),$I1569))</f>
        <v/>
      </c>
    </row>
    <row r="1570">
      <c r="B1570" s="25" t="n"/>
      <c r="I1570" s="25" t="n"/>
      <c r="U1570" s="19">
        <f>IF($V1570&lt;&gt;'設定'!$C$4,N(U1569),IF(OR(NOT(COUNTIF('商品マスタ'!$B$6:$B$1005,$W1570)=0),COUNTIFS('①在庫を貼る'!$V$6:$V$10005,$V1570,'①在庫を貼る'!$W$6:$W$10005,$W1570)+COUNTIFS('月1回_1ヶ月前の在庫'!$V$6:$V$10005,$V1570,'月1回_1ヶ月前の在庫'!$W$6:$W$10005,$W1570)&gt;0),N(U1569),N(U1569)+1))</f>
        <v/>
      </c>
      <c r="V1570" s="19">
        <f>IF($B1570="","",TEXT($B1570,"0000"))</f>
        <v/>
      </c>
      <c r="W1570" s="19">
        <f>IF($I1570="","",IF(ISNUMBER($I1570),TEXT($I1570,"0"),$I1570))</f>
        <v/>
      </c>
    </row>
    <row r="1571">
      <c r="B1571" s="25" t="n"/>
      <c r="I1571" s="25" t="n"/>
      <c r="U1571" s="19">
        <f>IF($V1571&lt;&gt;'設定'!$C$4,N(U1570),IF(OR(NOT(COUNTIF('商品マスタ'!$B$6:$B$1005,$W1571)=0),COUNTIFS('①在庫を貼る'!$V$6:$V$10005,$V1571,'①在庫を貼る'!$W$6:$W$10005,$W1571)+COUNTIFS('月1回_1ヶ月前の在庫'!$V$6:$V$10005,$V1571,'月1回_1ヶ月前の在庫'!$W$6:$W$10005,$W1571)&gt;0),N(U1570),N(U1570)+1))</f>
        <v/>
      </c>
      <c r="V1571" s="19">
        <f>IF($B1571="","",TEXT($B1571,"0000"))</f>
        <v/>
      </c>
      <c r="W1571" s="19">
        <f>IF($I1571="","",IF(ISNUMBER($I1571),TEXT($I1571,"0"),$I1571))</f>
        <v/>
      </c>
    </row>
    <row r="1572">
      <c r="B1572" s="25" t="n"/>
      <c r="I1572" s="25" t="n"/>
      <c r="U1572" s="19">
        <f>IF($V1572&lt;&gt;'設定'!$C$4,N(U1571),IF(OR(NOT(COUNTIF('商品マスタ'!$B$6:$B$1005,$W1572)=0),COUNTIFS('①在庫を貼る'!$V$6:$V$10005,$V1572,'①在庫を貼る'!$W$6:$W$10005,$W1572)+COUNTIFS('月1回_1ヶ月前の在庫'!$V$6:$V$10005,$V1572,'月1回_1ヶ月前の在庫'!$W$6:$W$10005,$W1572)&gt;0),N(U1571),N(U1571)+1))</f>
        <v/>
      </c>
      <c r="V1572" s="19">
        <f>IF($B1572="","",TEXT($B1572,"0000"))</f>
        <v/>
      </c>
      <c r="W1572" s="19">
        <f>IF($I1572="","",IF(ISNUMBER($I1572),TEXT($I1572,"0"),$I1572))</f>
        <v/>
      </c>
    </row>
    <row r="1573">
      <c r="B1573" s="25" t="n"/>
      <c r="I1573" s="25" t="n"/>
      <c r="U1573" s="19">
        <f>IF($V1573&lt;&gt;'設定'!$C$4,N(U1572),IF(OR(NOT(COUNTIF('商品マスタ'!$B$6:$B$1005,$W1573)=0),COUNTIFS('①在庫を貼る'!$V$6:$V$10005,$V1573,'①在庫を貼る'!$W$6:$W$10005,$W1573)+COUNTIFS('月1回_1ヶ月前の在庫'!$V$6:$V$10005,$V1573,'月1回_1ヶ月前の在庫'!$W$6:$W$10005,$W1573)&gt;0),N(U1572),N(U1572)+1))</f>
        <v/>
      </c>
      <c r="V1573" s="19">
        <f>IF($B1573="","",TEXT($B1573,"0000"))</f>
        <v/>
      </c>
      <c r="W1573" s="19">
        <f>IF($I1573="","",IF(ISNUMBER($I1573),TEXT($I1573,"0"),$I1573))</f>
        <v/>
      </c>
    </row>
    <row r="1574">
      <c r="B1574" s="25" t="n"/>
      <c r="I1574" s="25" t="n"/>
      <c r="U1574" s="19">
        <f>IF($V1574&lt;&gt;'設定'!$C$4,N(U1573),IF(OR(NOT(COUNTIF('商品マスタ'!$B$6:$B$1005,$W1574)=0),COUNTIFS('①在庫を貼る'!$V$6:$V$10005,$V1574,'①在庫を貼る'!$W$6:$W$10005,$W1574)+COUNTIFS('月1回_1ヶ月前の在庫'!$V$6:$V$10005,$V1574,'月1回_1ヶ月前の在庫'!$W$6:$W$10005,$W1574)&gt;0),N(U1573),N(U1573)+1))</f>
        <v/>
      </c>
      <c r="V1574" s="19">
        <f>IF($B1574="","",TEXT($B1574,"0000"))</f>
        <v/>
      </c>
      <c r="W1574" s="19">
        <f>IF($I1574="","",IF(ISNUMBER($I1574),TEXT($I1574,"0"),$I1574))</f>
        <v/>
      </c>
    </row>
    <row r="1575">
      <c r="B1575" s="25" t="n"/>
      <c r="I1575" s="25" t="n"/>
      <c r="U1575" s="19">
        <f>IF($V1575&lt;&gt;'設定'!$C$4,N(U1574),IF(OR(NOT(COUNTIF('商品マスタ'!$B$6:$B$1005,$W1575)=0),COUNTIFS('①在庫を貼る'!$V$6:$V$10005,$V1575,'①在庫を貼る'!$W$6:$W$10005,$W1575)+COUNTIFS('月1回_1ヶ月前の在庫'!$V$6:$V$10005,$V1575,'月1回_1ヶ月前の在庫'!$W$6:$W$10005,$W1575)&gt;0),N(U1574),N(U1574)+1))</f>
        <v/>
      </c>
      <c r="V1575" s="19">
        <f>IF($B1575="","",TEXT($B1575,"0000"))</f>
        <v/>
      </c>
      <c r="W1575" s="19">
        <f>IF($I1575="","",IF(ISNUMBER($I1575),TEXT($I1575,"0"),$I1575))</f>
        <v/>
      </c>
    </row>
    <row r="1576">
      <c r="B1576" s="25" t="n"/>
      <c r="I1576" s="25" t="n"/>
      <c r="U1576" s="19">
        <f>IF($V1576&lt;&gt;'設定'!$C$4,N(U1575),IF(OR(NOT(COUNTIF('商品マスタ'!$B$6:$B$1005,$W1576)=0),COUNTIFS('①在庫を貼る'!$V$6:$V$10005,$V1576,'①在庫を貼る'!$W$6:$W$10005,$W1576)+COUNTIFS('月1回_1ヶ月前の在庫'!$V$6:$V$10005,$V1576,'月1回_1ヶ月前の在庫'!$W$6:$W$10005,$W1576)&gt;0),N(U1575),N(U1575)+1))</f>
        <v/>
      </c>
      <c r="V1576" s="19">
        <f>IF($B1576="","",TEXT($B1576,"0000"))</f>
        <v/>
      </c>
      <c r="W1576" s="19">
        <f>IF($I1576="","",IF(ISNUMBER($I1576),TEXT($I1576,"0"),$I1576))</f>
        <v/>
      </c>
    </row>
    <row r="1577">
      <c r="B1577" s="25" t="n"/>
      <c r="I1577" s="25" t="n"/>
      <c r="U1577" s="19">
        <f>IF($V1577&lt;&gt;'設定'!$C$4,N(U1576),IF(OR(NOT(COUNTIF('商品マスタ'!$B$6:$B$1005,$W1577)=0),COUNTIFS('①在庫を貼る'!$V$6:$V$10005,$V1577,'①在庫を貼る'!$W$6:$W$10005,$W1577)+COUNTIFS('月1回_1ヶ月前の在庫'!$V$6:$V$10005,$V1577,'月1回_1ヶ月前の在庫'!$W$6:$W$10005,$W1577)&gt;0),N(U1576),N(U1576)+1))</f>
        <v/>
      </c>
      <c r="V1577" s="19">
        <f>IF($B1577="","",TEXT($B1577,"0000"))</f>
        <v/>
      </c>
      <c r="W1577" s="19">
        <f>IF($I1577="","",IF(ISNUMBER($I1577),TEXT($I1577,"0"),$I1577))</f>
        <v/>
      </c>
    </row>
    <row r="1578">
      <c r="B1578" s="25" t="n"/>
      <c r="I1578" s="25" t="n"/>
      <c r="U1578" s="19">
        <f>IF($V1578&lt;&gt;'設定'!$C$4,N(U1577),IF(OR(NOT(COUNTIF('商品マスタ'!$B$6:$B$1005,$W1578)=0),COUNTIFS('①在庫を貼る'!$V$6:$V$10005,$V1578,'①在庫を貼る'!$W$6:$W$10005,$W1578)+COUNTIFS('月1回_1ヶ月前の在庫'!$V$6:$V$10005,$V1578,'月1回_1ヶ月前の在庫'!$W$6:$W$10005,$W1578)&gt;0),N(U1577),N(U1577)+1))</f>
        <v/>
      </c>
      <c r="V1578" s="19">
        <f>IF($B1578="","",TEXT($B1578,"0000"))</f>
        <v/>
      </c>
      <c r="W1578" s="19">
        <f>IF($I1578="","",IF(ISNUMBER($I1578),TEXT($I1578,"0"),$I1578))</f>
        <v/>
      </c>
    </row>
    <row r="1579">
      <c r="B1579" s="25" t="n"/>
      <c r="I1579" s="25" t="n"/>
      <c r="U1579" s="19">
        <f>IF($V1579&lt;&gt;'設定'!$C$4,N(U1578),IF(OR(NOT(COUNTIF('商品マスタ'!$B$6:$B$1005,$W1579)=0),COUNTIFS('①在庫を貼る'!$V$6:$V$10005,$V1579,'①在庫を貼る'!$W$6:$W$10005,$W1579)+COUNTIFS('月1回_1ヶ月前の在庫'!$V$6:$V$10005,$V1579,'月1回_1ヶ月前の在庫'!$W$6:$W$10005,$W1579)&gt;0),N(U1578),N(U1578)+1))</f>
        <v/>
      </c>
      <c r="V1579" s="19">
        <f>IF($B1579="","",TEXT($B1579,"0000"))</f>
        <v/>
      </c>
      <c r="W1579" s="19">
        <f>IF($I1579="","",IF(ISNUMBER($I1579),TEXT($I1579,"0"),$I1579))</f>
        <v/>
      </c>
    </row>
    <row r="1580">
      <c r="B1580" s="25" t="n"/>
      <c r="I1580" s="25" t="n"/>
      <c r="U1580" s="19">
        <f>IF($V1580&lt;&gt;'設定'!$C$4,N(U1579),IF(OR(NOT(COUNTIF('商品マスタ'!$B$6:$B$1005,$W1580)=0),COUNTIFS('①在庫を貼る'!$V$6:$V$10005,$V1580,'①在庫を貼る'!$W$6:$W$10005,$W1580)+COUNTIFS('月1回_1ヶ月前の在庫'!$V$6:$V$10005,$V1580,'月1回_1ヶ月前の在庫'!$W$6:$W$10005,$W1580)&gt;0),N(U1579),N(U1579)+1))</f>
        <v/>
      </c>
      <c r="V1580" s="19">
        <f>IF($B1580="","",TEXT($B1580,"0000"))</f>
        <v/>
      </c>
      <c r="W1580" s="19">
        <f>IF($I1580="","",IF(ISNUMBER($I1580),TEXT($I1580,"0"),$I1580))</f>
        <v/>
      </c>
    </row>
    <row r="1581">
      <c r="B1581" s="25" t="n"/>
      <c r="I1581" s="25" t="n"/>
      <c r="U1581" s="19">
        <f>IF($V1581&lt;&gt;'設定'!$C$4,N(U1580),IF(OR(NOT(COUNTIF('商品マスタ'!$B$6:$B$1005,$W1581)=0),COUNTIFS('①在庫を貼る'!$V$6:$V$10005,$V1581,'①在庫を貼る'!$W$6:$W$10005,$W1581)+COUNTIFS('月1回_1ヶ月前の在庫'!$V$6:$V$10005,$V1581,'月1回_1ヶ月前の在庫'!$W$6:$W$10005,$W1581)&gt;0),N(U1580),N(U1580)+1))</f>
        <v/>
      </c>
      <c r="V1581" s="19">
        <f>IF($B1581="","",TEXT($B1581,"0000"))</f>
        <v/>
      </c>
      <c r="W1581" s="19">
        <f>IF($I1581="","",IF(ISNUMBER($I1581),TEXT($I1581,"0"),$I1581))</f>
        <v/>
      </c>
    </row>
    <row r="1582">
      <c r="B1582" s="25" t="n"/>
      <c r="I1582" s="25" t="n"/>
      <c r="U1582" s="19">
        <f>IF($V1582&lt;&gt;'設定'!$C$4,N(U1581),IF(OR(NOT(COUNTIF('商品マスタ'!$B$6:$B$1005,$W1582)=0),COUNTIFS('①在庫を貼る'!$V$6:$V$10005,$V1582,'①在庫を貼る'!$W$6:$W$10005,$W1582)+COUNTIFS('月1回_1ヶ月前の在庫'!$V$6:$V$10005,$V1582,'月1回_1ヶ月前の在庫'!$W$6:$W$10005,$W1582)&gt;0),N(U1581),N(U1581)+1))</f>
        <v/>
      </c>
      <c r="V1582" s="19">
        <f>IF($B1582="","",TEXT($B1582,"0000"))</f>
        <v/>
      </c>
      <c r="W1582" s="19">
        <f>IF($I1582="","",IF(ISNUMBER($I1582),TEXT($I1582,"0"),$I1582))</f>
        <v/>
      </c>
    </row>
    <row r="1583">
      <c r="B1583" s="25" t="n"/>
      <c r="I1583" s="25" t="n"/>
      <c r="U1583" s="19">
        <f>IF($V1583&lt;&gt;'設定'!$C$4,N(U1582),IF(OR(NOT(COUNTIF('商品マスタ'!$B$6:$B$1005,$W1583)=0),COUNTIFS('①在庫を貼る'!$V$6:$V$10005,$V1583,'①在庫を貼る'!$W$6:$W$10005,$W1583)+COUNTIFS('月1回_1ヶ月前の在庫'!$V$6:$V$10005,$V1583,'月1回_1ヶ月前の在庫'!$W$6:$W$10005,$W1583)&gt;0),N(U1582),N(U1582)+1))</f>
        <v/>
      </c>
      <c r="V1583" s="19">
        <f>IF($B1583="","",TEXT($B1583,"0000"))</f>
        <v/>
      </c>
      <c r="W1583" s="19">
        <f>IF($I1583="","",IF(ISNUMBER($I1583),TEXT($I1583,"0"),$I1583))</f>
        <v/>
      </c>
    </row>
    <row r="1584">
      <c r="B1584" s="25" t="n"/>
      <c r="I1584" s="25" t="n"/>
      <c r="U1584" s="19">
        <f>IF($V1584&lt;&gt;'設定'!$C$4,N(U1583),IF(OR(NOT(COUNTIF('商品マスタ'!$B$6:$B$1005,$W1584)=0),COUNTIFS('①在庫を貼る'!$V$6:$V$10005,$V1584,'①在庫を貼る'!$W$6:$W$10005,$W1584)+COUNTIFS('月1回_1ヶ月前の在庫'!$V$6:$V$10005,$V1584,'月1回_1ヶ月前の在庫'!$W$6:$W$10005,$W1584)&gt;0),N(U1583),N(U1583)+1))</f>
        <v/>
      </c>
      <c r="V1584" s="19">
        <f>IF($B1584="","",TEXT($B1584,"0000"))</f>
        <v/>
      </c>
      <c r="W1584" s="19">
        <f>IF($I1584="","",IF(ISNUMBER($I1584),TEXT($I1584,"0"),$I1584))</f>
        <v/>
      </c>
    </row>
    <row r="1585">
      <c r="B1585" s="25" t="n"/>
      <c r="I1585" s="25" t="n"/>
      <c r="U1585" s="19">
        <f>IF($V1585&lt;&gt;'設定'!$C$4,N(U1584),IF(OR(NOT(COUNTIF('商品マスタ'!$B$6:$B$1005,$W1585)=0),COUNTIFS('①在庫を貼る'!$V$6:$V$10005,$V1585,'①在庫を貼る'!$W$6:$W$10005,$W1585)+COUNTIFS('月1回_1ヶ月前の在庫'!$V$6:$V$10005,$V1585,'月1回_1ヶ月前の在庫'!$W$6:$W$10005,$W1585)&gt;0),N(U1584),N(U1584)+1))</f>
        <v/>
      </c>
      <c r="V1585" s="19">
        <f>IF($B1585="","",TEXT($B1585,"0000"))</f>
        <v/>
      </c>
      <c r="W1585" s="19">
        <f>IF($I1585="","",IF(ISNUMBER($I1585),TEXT($I1585,"0"),$I1585))</f>
        <v/>
      </c>
    </row>
    <row r="1586">
      <c r="B1586" s="25" t="n"/>
      <c r="I1586" s="25" t="n"/>
      <c r="U1586" s="19">
        <f>IF($V1586&lt;&gt;'設定'!$C$4,N(U1585),IF(OR(NOT(COUNTIF('商品マスタ'!$B$6:$B$1005,$W1586)=0),COUNTIFS('①在庫を貼る'!$V$6:$V$10005,$V1586,'①在庫を貼る'!$W$6:$W$10005,$W1586)+COUNTIFS('月1回_1ヶ月前の在庫'!$V$6:$V$10005,$V1586,'月1回_1ヶ月前の在庫'!$W$6:$W$10005,$W1586)&gt;0),N(U1585),N(U1585)+1))</f>
        <v/>
      </c>
      <c r="V1586" s="19">
        <f>IF($B1586="","",TEXT($B1586,"0000"))</f>
        <v/>
      </c>
      <c r="W1586" s="19">
        <f>IF($I1586="","",IF(ISNUMBER($I1586),TEXT($I1586,"0"),$I1586))</f>
        <v/>
      </c>
    </row>
    <row r="1587">
      <c r="B1587" s="25" t="n"/>
      <c r="I1587" s="25" t="n"/>
      <c r="U1587" s="19">
        <f>IF($V1587&lt;&gt;'設定'!$C$4,N(U1586),IF(OR(NOT(COUNTIF('商品マスタ'!$B$6:$B$1005,$W1587)=0),COUNTIFS('①在庫を貼る'!$V$6:$V$10005,$V1587,'①在庫を貼る'!$W$6:$W$10005,$W1587)+COUNTIFS('月1回_1ヶ月前の在庫'!$V$6:$V$10005,$V1587,'月1回_1ヶ月前の在庫'!$W$6:$W$10005,$W1587)&gt;0),N(U1586),N(U1586)+1))</f>
        <v/>
      </c>
      <c r="V1587" s="19">
        <f>IF($B1587="","",TEXT($B1587,"0000"))</f>
        <v/>
      </c>
      <c r="W1587" s="19">
        <f>IF($I1587="","",IF(ISNUMBER($I1587),TEXT($I1587,"0"),$I1587))</f>
        <v/>
      </c>
    </row>
    <row r="1588">
      <c r="B1588" s="25" t="n"/>
      <c r="I1588" s="25" t="n"/>
      <c r="U1588" s="19">
        <f>IF($V1588&lt;&gt;'設定'!$C$4,N(U1587),IF(OR(NOT(COUNTIF('商品マスタ'!$B$6:$B$1005,$W1588)=0),COUNTIFS('①在庫を貼る'!$V$6:$V$10005,$V1588,'①在庫を貼る'!$W$6:$W$10005,$W1588)+COUNTIFS('月1回_1ヶ月前の在庫'!$V$6:$V$10005,$V1588,'月1回_1ヶ月前の在庫'!$W$6:$W$10005,$W1588)&gt;0),N(U1587),N(U1587)+1))</f>
        <v/>
      </c>
      <c r="V1588" s="19">
        <f>IF($B1588="","",TEXT($B1588,"0000"))</f>
        <v/>
      </c>
      <c r="W1588" s="19">
        <f>IF($I1588="","",IF(ISNUMBER($I1588),TEXT($I1588,"0"),$I1588))</f>
        <v/>
      </c>
    </row>
    <row r="1589">
      <c r="B1589" s="25" t="n"/>
      <c r="I1589" s="25" t="n"/>
      <c r="U1589" s="19">
        <f>IF($V1589&lt;&gt;'設定'!$C$4,N(U1588),IF(OR(NOT(COUNTIF('商品マスタ'!$B$6:$B$1005,$W1589)=0),COUNTIFS('①在庫を貼る'!$V$6:$V$10005,$V1589,'①在庫を貼る'!$W$6:$W$10005,$W1589)+COUNTIFS('月1回_1ヶ月前の在庫'!$V$6:$V$10005,$V1589,'月1回_1ヶ月前の在庫'!$W$6:$W$10005,$W1589)&gt;0),N(U1588),N(U1588)+1))</f>
        <v/>
      </c>
      <c r="V1589" s="19">
        <f>IF($B1589="","",TEXT($B1589,"0000"))</f>
        <v/>
      </c>
      <c r="W1589" s="19">
        <f>IF($I1589="","",IF(ISNUMBER($I1589),TEXT($I1589,"0"),$I1589))</f>
        <v/>
      </c>
    </row>
    <row r="1590">
      <c r="B1590" s="25" t="n"/>
      <c r="I1590" s="25" t="n"/>
      <c r="U1590" s="19">
        <f>IF($V1590&lt;&gt;'設定'!$C$4,N(U1589),IF(OR(NOT(COUNTIF('商品マスタ'!$B$6:$B$1005,$W1590)=0),COUNTIFS('①在庫を貼る'!$V$6:$V$10005,$V1590,'①在庫を貼る'!$W$6:$W$10005,$W1590)+COUNTIFS('月1回_1ヶ月前の在庫'!$V$6:$V$10005,$V1590,'月1回_1ヶ月前の在庫'!$W$6:$W$10005,$W1590)&gt;0),N(U1589),N(U1589)+1))</f>
        <v/>
      </c>
      <c r="V1590" s="19">
        <f>IF($B1590="","",TEXT($B1590,"0000"))</f>
        <v/>
      </c>
      <c r="W1590" s="19">
        <f>IF($I1590="","",IF(ISNUMBER($I1590),TEXT($I1590,"0"),$I1590))</f>
        <v/>
      </c>
    </row>
    <row r="1591">
      <c r="B1591" s="25" t="n"/>
      <c r="I1591" s="25" t="n"/>
      <c r="U1591" s="19">
        <f>IF($V1591&lt;&gt;'設定'!$C$4,N(U1590),IF(OR(NOT(COUNTIF('商品マスタ'!$B$6:$B$1005,$W1591)=0),COUNTIFS('①在庫を貼る'!$V$6:$V$10005,$V1591,'①在庫を貼る'!$W$6:$W$10005,$W1591)+COUNTIFS('月1回_1ヶ月前の在庫'!$V$6:$V$10005,$V1591,'月1回_1ヶ月前の在庫'!$W$6:$W$10005,$W1591)&gt;0),N(U1590),N(U1590)+1))</f>
        <v/>
      </c>
      <c r="V1591" s="19">
        <f>IF($B1591="","",TEXT($B1591,"0000"))</f>
        <v/>
      </c>
      <c r="W1591" s="19">
        <f>IF($I1591="","",IF(ISNUMBER($I1591),TEXT($I1591,"0"),$I1591))</f>
        <v/>
      </c>
    </row>
    <row r="1592">
      <c r="B1592" s="25" t="n"/>
      <c r="I1592" s="25" t="n"/>
      <c r="U1592" s="19">
        <f>IF($V1592&lt;&gt;'設定'!$C$4,N(U1591),IF(OR(NOT(COUNTIF('商品マスタ'!$B$6:$B$1005,$W1592)=0),COUNTIFS('①在庫を貼る'!$V$6:$V$10005,$V1592,'①在庫を貼る'!$W$6:$W$10005,$W1592)+COUNTIFS('月1回_1ヶ月前の在庫'!$V$6:$V$10005,$V1592,'月1回_1ヶ月前の在庫'!$W$6:$W$10005,$W1592)&gt;0),N(U1591),N(U1591)+1))</f>
        <v/>
      </c>
      <c r="V1592" s="19">
        <f>IF($B1592="","",TEXT($B1592,"0000"))</f>
        <v/>
      </c>
      <c r="W1592" s="19">
        <f>IF($I1592="","",IF(ISNUMBER($I1592),TEXT($I1592,"0"),$I1592))</f>
        <v/>
      </c>
    </row>
    <row r="1593">
      <c r="B1593" s="25" t="n"/>
      <c r="I1593" s="25" t="n"/>
      <c r="U1593" s="19">
        <f>IF($V1593&lt;&gt;'設定'!$C$4,N(U1592),IF(OR(NOT(COUNTIF('商品マスタ'!$B$6:$B$1005,$W1593)=0),COUNTIFS('①在庫を貼る'!$V$6:$V$10005,$V1593,'①在庫を貼る'!$W$6:$W$10005,$W1593)+COUNTIFS('月1回_1ヶ月前の在庫'!$V$6:$V$10005,$V1593,'月1回_1ヶ月前の在庫'!$W$6:$W$10005,$W1593)&gt;0),N(U1592),N(U1592)+1))</f>
        <v/>
      </c>
      <c r="V1593" s="19">
        <f>IF($B1593="","",TEXT($B1593,"0000"))</f>
        <v/>
      </c>
      <c r="W1593" s="19">
        <f>IF($I1593="","",IF(ISNUMBER($I1593),TEXT($I1593,"0"),$I1593))</f>
        <v/>
      </c>
    </row>
    <row r="1594">
      <c r="B1594" s="25" t="n"/>
      <c r="I1594" s="25" t="n"/>
      <c r="U1594" s="19">
        <f>IF($V1594&lt;&gt;'設定'!$C$4,N(U1593),IF(OR(NOT(COUNTIF('商品マスタ'!$B$6:$B$1005,$W1594)=0),COUNTIFS('①在庫を貼る'!$V$6:$V$10005,$V1594,'①在庫を貼る'!$W$6:$W$10005,$W1594)+COUNTIFS('月1回_1ヶ月前の在庫'!$V$6:$V$10005,$V1594,'月1回_1ヶ月前の在庫'!$W$6:$W$10005,$W1594)&gt;0),N(U1593),N(U1593)+1))</f>
        <v/>
      </c>
      <c r="V1594" s="19">
        <f>IF($B1594="","",TEXT($B1594,"0000"))</f>
        <v/>
      </c>
      <c r="W1594" s="19">
        <f>IF($I1594="","",IF(ISNUMBER($I1594),TEXT($I1594,"0"),$I1594))</f>
        <v/>
      </c>
    </row>
    <row r="1595">
      <c r="B1595" s="25" t="n"/>
      <c r="I1595" s="25" t="n"/>
      <c r="U1595" s="19">
        <f>IF($V1595&lt;&gt;'設定'!$C$4,N(U1594),IF(OR(NOT(COUNTIF('商品マスタ'!$B$6:$B$1005,$W1595)=0),COUNTIFS('①在庫を貼る'!$V$6:$V$10005,$V1595,'①在庫を貼る'!$W$6:$W$10005,$W1595)+COUNTIFS('月1回_1ヶ月前の在庫'!$V$6:$V$10005,$V1595,'月1回_1ヶ月前の在庫'!$W$6:$W$10005,$W1595)&gt;0),N(U1594),N(U1594)+1))</f>
        <v/>
      </c>
      <c r="V1595" s="19">
        <f>IF($B1595="","",TEXT($B1595,"0000"))</f>
        <v/>
      </c>
      <c r="W1595" s="19">
        <f>IF($I1595="","",IF(ISNUMBER($I1595),TEXT($I1595,"0"),$I1595))</f>
        <v/>
      </c>
    </row>
    <row r="1596">
      <c r="B1596" s="25" t="n"/>
      <c r="I1596" s="25" t="n"/>
      <c r="U1596" s="19">
        <f>IF($V1596&lt;&gt;'設定'!$C$4,N(U1595),IF(OR(NOT(COUNTIF('商品マスタ'!$B$6:$B$1005,$W1596)=0),COUNTIFS('①在庫を貼る'!$V$6:$V$10005,$V1596,'①在庫を貼る'!$W$6:$W$10005,$W1596)+COUNTIFS('月1回_1ヶ月前の在庫'!$V$6:$V$10005,$V1596,'月1回_1ヶ月前の在庫'!$W$6:$W$10005,$W1596)&gt;0),N(U1595),N(U1595)+1))</f>
        <v/>
      </c>
      <c r="V1596" s="19">
        <f>IF($B1596="","",TEXT($B1596,"0000"))</f>
        <v/>
      </c>
      <c r="W1596" s="19">
        <f>IF($I1596="","",IF(ISNUMBER($I1596),TEXT($I1596,"0"),$I1596))</f>
        <v/>
      </c>
    </row>
    <row r="1597">
      <c r="B1597" s="25" t="n"/>
      <c r="I1597" s="25" t="n"/>
      <c r="U1597" s="19">
        <f>IF($V1597&lt;&gt;'設定'!$C$4,N(U1596),IF(OR(NOT(COUNTIF('商品マスタ'!$B$6:$B$1005,$W1597)=0),COUNTIFS('①在庫を貼る'!$V$6:$V$10005,$V1597,'①在庫を貼る'!$W$6:$W$10005,$W1597)+COUNTIFS('月1回_1ヶ月前の在庫'!$V$6:$V$10005,$V1597,'月1回_1ヶ月前の在庫'!$W$6:$W$10005,$W1597)&gt;0),N(U1596),N(U1596)+1))</f>
        <v/>
      </c>
      <c r="V1597" s="19">
        <f>IF($B1597="","",TEXT($B1597,"0000"))</f>
        <v/>
      </c>
      <c r="W1597" s="19">
        <f>IF($I1597="","",IF(ISNUMBER($I1597),TEXT($I1597,"0"),$I1597))</f>
        <v/>
      </c>
    </row>
    <row r="1598">
      <c r="B1598" s="25" t="n"/>
      <c r="I1598" s="25" t="n"/>
      <c r="U1598" s="19">
        <f>IF($V1598&lt;&gt;'設定'!$C$4,N(U1597),IF(OR(NOT(COUNTIF('商品マスタ'!$B$6:$B$1005,$W1598)=0),COUNTIFS('①在庫を貼る'!$V$6:$V$10005,$V1598,'①在庫を貼る'!$W$6:$W$10005,$W1598)+COUNTIFS('月1回_1ヶ月前の在庫'!$V$6:$V$10005,$V1598,'月1回_1ヶ月前の在庫'!$W$6:$W$10005,$W1598)&gt;0),N(U1597),N(U1597)+1))</f>
        <v/>
      </c>
      <c r="V1598" s="19">
        <f>IF($B1598="","",TEXT($B1598,"0000"))</f>
        <v/>
      </c>
      <c r="W1598" s="19">
        <f>IF($I1598="","",IF(ISNUMBER($I1598),TEXT($I1598,"0"),$I1598))</f>
        <v/>
      </c>
    </row>
    <row r="1599">
      <c r="B1599" s="25" t="n"/>
      <c r="I1599" s="25" t="n"/>
      <c r="U1599" s="19">
        <f>IF($V1599&lt;&gt;'設定'!$C$4,N(U1598),IF(OR(NOT(COUNTIF('商品マスタ'!$B$6:$B$1005,$W1599)=0),COUNTIFS('①在庫を貼る'!$V$6:$V$10005,$V1599,'①在庫を貼る'!$W$6:$W$10005,$W1599)+COUNTIFS('月1回_1ヶ月前の在庫'!$V$6:$V$10005,$V1599,'月1回_1ヶ月前の在庫'!$W$6:$W$10005,$W1599)&gt;0),N(U1598),N(U1598)+1))</f>
        <v/>
      </c>
      <c r="V1599" s="19">
        <f>IF($B1599="","",TEXT($B1599,"0000"))</f>
        <v/>
      </c>
      <c r="W1599" s="19">
        <f>IF($I1599="","",IF(ISNUMBER($I1599),TEXT($I1599,"0"),$I1599))</f>
        <v/>
      </c>
    </row>
    <row r="1600">
      <c r="B1600" s="25" t="n"/>
      <c r="I1600" s="25" t="n"/>
      <c r="U1600" s="19">
        <f>IF($V1600&lt;&gt;'設定'!$C$4,N(U1599),IF(OR(NOT(COUNTIF('商品マスタ'!$B$6:$B$1005,$W1600)=0),COUNTIFS('①在庫を貼る'!$V$6:$V$10005,$V1600,'①在庫を貼る'!$W$6:$W$10005,$W1600)+COUNTIFS('月1回_1ヶ月前の在庫'!$V$6:$V$10005,$V1600,'月1回_1ヶ月前の在庫'!$W$6:$W$10005,$W1600)&gt;0),N(U1599),N(U1599)+1))</f>
        <v/>
      </c>
      <c r="V1600" s="19">
        <f>IF($B1600="","",TEXT($B1600,"0000"))</f>
        <v/>
      </c>
      <c r="W1600" s="19">
        <f>IF($I1600="","",IF(ISNUMBER($I1600),TEXT($I1600,"0"),$I1600))</f>
        <v/>
      </c>
    </row>
    <row r="1601">
      <c r="B1601" s="25" t="n"/>
      <c r="I1601" s="25" t="n"/>
      <c r="U1601" s="19">
        <f>IF($V1601&lt;&gt;'設定'!$C$4,N(U1600),IF(OR(NOT(COUNTIF('商品マスタ'!$B$6:$B$1005,$W1601)=0),COUNTIFS('①在庫を貼る'!$V$6:$V$10005,$V1601,'①在庫を貼る'!$W$6:$W$10005,$W1601)+COUNTIFS('月1回_1ヶ月前の在庫'!$V$6:$V$10005,$V1601,'月1回_1ヶ月前の在庫'!$W$6:$W$10005,$W1601)&gt;0),N(U1600),N(U1600)+1))</f>
        <v/>
      </c>
      <c r="V1601" s="19">
        <f>IF($B1601="","",TEXT($B1601,"0000"))</f>
        <v/>
      </c>
      <c r="W1601" s="19">
        <f>IF($I1601="","",IF(ISNUMBER($I1601),TEXT($I1601,"0"),$I1601))</f>
        <v/>
      </c>
    </row>
    <row r="1602">
      <c r="B1602" s="25" t="n"/>
      <c r="I1602" s="25" t="n"/>
      <c r="U1602" s="19">
        <f>IF($V1602&lt;&gt;'設定'!$C$4,N(U1601),IF(OR(NOT(COUNTIF('商品マスタ'!$B$6:$B$1005,$W1602)=0),COUNTIFS('①在庫を貼る'!$V$6:$V$10005,$V1602,'①在庫を貼る'!$W$6:$W$10005,$W1602)+COUNTIFS('月1回_1ヶ月前の在庫'!$V$6:$V$10005,$V1602,'月1回_1ヶ月前の在庫'!$W$6:$W$10005,$W1602)&gt;0),N(U1601),N(U1601)+1))</f>
        <v/>
      </c>
      <c r="V1602" s="19">
        <f>IF($B1602="","",TEXT($B1602,"0000"))</f>
        <v/>
      </c>
      <c r="W1602" s="19">
        <f>IF($I1602="","",IF(ISNUMBER($I1602),TEXT($I1602,"0"),$I1602))</f>
        <v/>
      </c>
    </row>
    <row r="1603">
      <c r="B1603" s="25" t="n"/>
      <c r="I1603" s="25" t="n"/>
      <c r="U1603" s="19">
        <f>IF($V1603&lt;&gt;'設定'!$C$4,N(U1602),IF(OR(NOT(COUNTIF('商品マスタ'!$B$6:$B$1005,$W1603)=0),COUNTIFS('①在庫を貼る'!$V$6:$V$10005,$V1603,'①在庫を貼る'!$W$6:$W$10005,$W1603)+COUNTIFS('月1回_1ヶ月前の在庫'!$V$6:$V$10005,$V1603,'月1回_1ヶ月前の在庫'!$W$6:$W$10005,$W1603)&gt;0),N(U1602),N(U1602)+1))</f>
        <v/>
      </c>
      <c r="V1603" s="19">
        <f>IF($B1603="","",TEXT($B1603,"0000"))</f>
        <v/>
      </c>
      <c r="W1603" s="19">
        <f>IF($I1603="","",IF(ISNUMBER($I1603),TEXT($I1603,"0"),$I1603))</f>
        <v/>
      </c>
    </row>
    <row r="1604">
      <c r="B1604" s="25" t="n"/>
      <c r="I1604" s="25" t="n"/>
      <c r="U1604" s="19">
        <f>IF($V1604&lt;&gt;'設定'!$C$4,N(U1603),IF(OR(NOT(COUNTIF('商品マスタ'!$B$6:$B$1005,$W1604)=0),COUNTIFS('①在庫を貼る'!$V$6:$V$10005,$V1604,'①在庫を貼る'!$W$6:$W$10005,$W1604)+COUNTIFS('月1回_1ヶ月前の在庫'!$V$6:$V$10005,$V1604,'月1回_1ヶ月前の在庫'!$W$6:$W$10005,$W1604)&gt;0),N(U1603),N(U1603)+1))</f>
        <v/>
      </c>
      <c r="V1604" s="19">
        <f>IF($B1604="","",TEXT($B1604,"0000"))</f>
        <v/>
      </c>
      <c r="W1604" s="19">
        <f>IF($I1604="","",IF(ISNUMBER($I1604),TEXT($I1604,"0"),$I1604))</f>
        <v/>
      </c>
    </row>
    <row r="1605">
      <c r="B1605" s="25" t="n"/>
      <c r="I1605" s="25" t="n"/>
      <c r="U1605" s="19">
        <f>IF($V1605&lt;&gt;'設定'!$C$4,N(U1604),IF(OR(NOT(COUNTIF('商品マスタ'!$B$6:$B$1005,$W1605)=0),COUNTIFS('①在庫を貼る'!$V$6:$V$10005,$V1605,'①在庫を貼る'!$W$6:$W$10005,$W1605)+COUNTIFS('月1回_1ヶ月前の在庫'!$V$6:$V$10005,$V1605,'月1回_1ヶ月前の在庫'!$W$6:$W$10005,$W1605)&gt;0),N(U1604),N(U1604)+1))</f>
        <v/>
      </c>
      <c r="V1605" s="19">
        <f>IF($B1605="","",TEXT($B1605,"0000"))</f>
        <v/>
      </c>
      <c r="W1605" s="19">
        <f>IF($I1605="","",IF(ISNUMBER($I1605),TEXT($I1605,"0"),$I1605))</f>
        <v/>
      </c>
    </row>
    <row r="1606">
      <c r="B1606" s="25" t="n"/>
      <c r="I1606" s="25" t="n"/>
      <c r="U1606" s="19">
        <f>IF($V1606&lt;&gt;'設定'!$C$4,N(U1605),IF(OR(NOT(COUNTIF('商品マスタ'!$B$6:$B$1005,$W1606)=0),COUNTIFS('①在庫を貼る'!$V$6:$V$10005,$V1606,'①在庫を貼る'!$W$6:$W$10005,$W1606)+COUNTIFS('月1回_1ヶ月前の在庫'!$V$6:$V$10005,$V1606,'月1回_1ヶ月前の在庫'!$W$6:$W$10005,$W1606)&gt;0),N(U1605),N(U1605)+1))</f>
        <v/>
      </c>
      <c r="V1606" s="19">
        <f>IF($B1606="","",TEXT($B1606,"0000"))</f>
        <v/>
      </c>
      <c r="W1606" s="19">
        <f>IF($I1606="","",IF(ISNUMBER($I1606),TEXT($I1606,"0"),$I1606))</f>
        <v/>
      </c>
    </row>
    <row r="1607">
      <c r="B1607" s="25" t="n"/>
      <c r="I1607" s="25" t="n"/>
      <c r="U1607" s="19">
        <f>IF($V1607&lt;&gt;'設定'!$C$4,N(U1606),IF(OR(NOT(COUNTIF('商品マスタ'!$B$6:$B$1005,$W1607)=0),COUNTIFS('①在庫を貼る'!$V$6:$V$10005,$V1607,'①在庫を貼る'!$W$6:$W$10005,$W1607)+COUNTIFS('月1回_1ヶ月前の在庫'!$V$6:$V$10005,$V1607,'月1回_1ヶ月前の在庫'!$W$6:$W$10005,$W1607)&gt;0),N(U1606),N(U1606)+1))</f>
        <v/>
      </c>
      <c r="V1607" s="19">
        <f>IF($B1607="","",TEXT($B1607,"0000"))</f>
        <v/>
      </c>
      <c r="W1607" s="19">
        <f>IF($I1607="","",IF(ISNUMBER($I1607),TEXT($I1607,"0"),$I1607))</f>
        <v/>
      </c>
    </row>
    <row r="1608">
      <c r="B1608" s="25" t="n"/>
      <c r="I1608" s="25" t="n"/>
      <c r="U1608" s="19">
        <f>IF($V1608&lt;&gt;'設定'!$C$4,N(U1607),IF(OR(NOT(COUNTIF('商品マスタ'!$B$6:$B$1005,$W1608)=0),COUNTIFS('①在庫を貼る'!$V$6:$V$10005,$V1608,'①在庫を貼る'!$W$6:$W$10005,$W1608)+COUNTIFS('月1回_1ヶ月前の在庫'!$V$6:$V$10005,$V1608,'月1回_1ヶ月前の在庫'!$W$6:$W$10005,$W1608)&gt;0),N(U1607),N(U1607)+1))</f>
        <v/>
      </c>
      <c r="V1608" s="19">
        <f>IF($B1608="","",TEXT($B1608,"0000"))</f>
        <v/>
      </c>
      <c r="W1608" s="19">
        <f>IF($I1608="","",IF(ISNUMBER($I1608),TEXT($I1608,"0"),$I1608))</f>
        <v/>
      </c>
    </row>
    <row r="1609">
      <c r="B1609" s="25" t="n"/>
      <c r="I1609" s="25" t="n"/>
      <c r="U1609" s="19">
        <f>IF($V1609&lt;&gt;'設定'!$C$4,N(U1608),IF(OR(NOT(COUNTIF('商品マスタ'!$B$6:$B$1005,$W1609)=0),COUNTIFS('①在庫を貼る'!$V$6:$V$10005,$V1609,'①在庫を貼る'!$W$6:$W$10005,$W1609)+COUNTIFS('月1回_1ヶ月前の在庫'!$V$6:$V$10005,$V1609,'月1回_1ヶ月前の在庫'!$W$6:$W$10005,$W1609)&gt;0),N(U1608),N(U1608)+1))</f>
        <v/>
      </c>
      <c r="V1609" s="19">
        <f>IF($B1609="","",TEXT($B1609,"0000"))</f>
        <v/>
      </c>
      <c r="W1609" s="19">
        <f>IF($I1609="","",IF(ISNUMBER($I1609),TEXT($I1609,"0"),$I1609))</f>
        <v/>
      </c>
    </row>
    <row r="1610">
      <c r="B1610" s="25" t="n"/>
      <c r="I1610" s="25" t="n"/>
      <c r="U1610" s="19">
        <f>IF($V1610&lt;&gt;'設定'!$C$4,N(U1609),IF(OR(NOT(COUNTIF('商品マスタ'!$B$6:$B$1005,$W1610)=0),COUNTIFS('①在庫を貼る'!$V$6:$V$10005,$V1610,'①在庫を貼る'!$W$6:$W$10005,$W1610)+COUNTIFS('月1回_1ヶ月前の在庫'!$V$6:$V$10005,$V1610,'月1回_1ヶ月前の在庫'!$W$6:$W$10005,$W1610)&gt;0),N(U1609),N(U1609)+1))</f>
        <v/>
      </c>
      <c r="V1610" s="19">
        <f>IF($B1610="","",TEXT($B1610,"0000"))</f>
        <v/>
      </c>
      <c r="W1610" s="19">
        <f>IF($I1610="","",IF(ISNUMBER($I1610),TEXT($I1610,"0"),$I1610))</f>
        <v/>
      </c>
    </row>
    <row r="1611">
      <c r="B1611" s="25" t="n"/>
      <c r="I1611" s="25" t="n"/>
      <c r="U1611" s="19">
        <f>IF($V1611&lt;&gt;'設定'!$C$4,N(U1610),IF(OR(NOT(COUNTIF('商品マスタ'!$B$6:$B$1005,$W1611)=0),COUNTIFS('①在庫を貼る'!$V$6:$V$10005,$V1611,'①在庫を貼る'!$W$6:$W$10005,$W1611)+COUNTIFS('月1回_1ヶ月前の在庫'!$V$6:$V$10005,$V1611,'月1回_1ヶ月前の在庫'!$W$6:$W$10005,$W1611)&gt;0),N(U1610),N(U1610)+1))</f>
        <v/>
      </c>
      <c r="V1611" s="19">
        <f>IF($B1611="","",TEXT($B1611,"0000"))</f>
        <v/>
      </c>
      <c r="W1611" s="19">
        <f>IF($I1611="","",IF(ISNUMBER($I1611),TEXT($I1611,"0"),$I1611))</f>
        <v/>
      </c>
    </row>
    <row r="1612">
      <c r="B1612" s="25" t="n"/>
      <c r="I1612" s="25" t="n"/>
      <c r="U1612" s="19">
        <f>IF($V1612&lt;&gt;'設定'!$C$4,N(U1611),IF(OR(NOT(COUNTIF('商品マスタ'!$B$6:$B$1005,$W1612)=0),COUNTIFS('①在庫を貼る'!$V$6:$V$10005,$V1612,'①在庫を貼る'!$W$6:$W$10005,$W1612)+COUNTIFS('月1回_1ヶ月前の在庫'!$V$6:$V$10005,$V1612,'月1回_1ヶ月前の在庫'!$W$6:$W$10005,$W1612)&gt;0),N(U1611),N(U1611)+1))</f>
        <v/>
      </c>
      <c r="V1612" s="19">
        <f>IF($B1612="","",TEXT($B1612,"0000"))</f>
        <v/>
      </c>
      <c r="W1612" s="19">
        <f>IF($I1612="","",IF(ISNUMBER($I1612),TEXT($I1612,"0"),$I1612))</f>
        <v/>
      </c>
    </row>
    <row r="1613">
      <c r="B1613" s="25" t="n"/>
      <c r="I1613" s="25" t="n"/>
      <c r="U1613" s="19">
        <f>IF($V1613&lt;&gt;'設定'!$C$4,N(U1612),IF(OR(NOT(COUNTIF('商品マスタ'!$B$6:$B$1005,$W1613)=0),COUNTIFS('①在庫を貼る'!$V$6:$V$10005,$V1613,'①在庫を貼る'!$W$6:$W$10005,$W1613)+COUNTIFS('月1回_1ヶ月前の在庫'!$V$6:$V$10005,$V1613,'月1回_1ヶ月前の在庫'!$W$6:$W$10005,$W1613)&gt;0),N(U1612),N(U1612)+1))</f>
        <v/>
      </c>
      <c r="V1613" s="19">
        <f>IF($B1613="","",TEXT($B1613,"0000"))</f>
        <v/>
      </c>
      <c r="W1613" s="19">
        <f>IF($I1613="","",IF(ISNUMBER($I1613),TEXT($I1613,"0"),$I1613))</f>
        <v/>
      </c>
    </row>
    <row r="1614">
      <c r="B1614" s="25" t="n"/>
      <c r="I1614" s="25" t="n"/>
      <c r="U1614" s="19">
        <f>IF($V1614&lt;&gt;'設定'!$C$4,N(U1613),IF(OR(NOT(COUNTIF('商品マスタ'!$B$6:$B$1005,$W1614)=0),COUNTIFS('①在庫を貼る'!$V$6:$V$10005,$V1614,'①在庫を貼る'!$W$6:$W$10005,$W1614)+COUNTIFS('月1回_1ヶ月前の在庫'!$V$6:$V$10005,$V1614,'月1回_1ヶ月前の在庫'!$W$6:$W$10005,$W1614)&gt;0),N(U1613),N(U1613)+1))</f>
        <v/>
      </c>
      <c r="V1614" s="19">
        <f>IF($B1614="","",TEXT($B1614,"0000"))</f>
        <v/>
      </c>
      <c r="W1614" s="19">
        <f>IF($I1614="","",IF(ISNUMBER($I1614),TEXT($I1614,"0"),$I1614))</f>
        <v/>
      </c>
    </row>
    <row r="1615">
      <c r="B1615" s="25" t="n"/>
      <c r="I1615" s="25" t="n"/>
      <c r="U1615" s="19">
        <f>IF($V1615&lt;&gt;'設定'!$C$4,N(U1614),IF(OR(NOT(COUNTIF('商品マスタ'!$B$6:$B$1005,$W1615)=0),COUNTIFS('①在庫を貼る'!$V$6:$V$10005,$V1615,'①在庫を貼る'!$W$6:$W$10005,$W1615)+COUNTIFS('月1回_1ヶ月前の在庫'!$V$6:$V$10005,$V1615,'月1回_1ヶ月前の在庫'!$W$6:$W$10005,$W1615)&gt;0),N(U1614),N(U1614)+1))</f>
        <v/>
      </c>
      <c r="V1615" s="19">
        <f>IF($B1615="","",TEXT($B1615,"0000"))</f>
        <v/>
      </c>
      <c r="W1615" s="19">
        <f>IF($I1615="","",IF(ISNUMBER($I1615),TEXT($I1615,"0"),$I1615))</f>
        <v/>
      </c>
    </row>
    <row r="1616">
      <c r="B1616" s="25" t="n"/>
      <c r="I1616" s="25" t="n"/>
      <c r="U1616" s="19">
        <f>IF($V1616&lt;&gt;'設定'!$C$4,N(U1615),IF(OR(NOT(COUNTIF('商品マスタ'!$B$6:$B$1005,$W1616)=0),COUNTIFS('①在庫を貼る'!$V$6:$V$10005,$V1616,'①在庫を貼る'!$W$6:$W$10005,$W1616)+COUNTIFS('月1回_1ヶ月前の在庫'!$V$6:$V$10005,$V1616,'月1回_1ヶ月前の在庫'!$W$6:$W$10005,$W1616)&gt;0),N(U1615),N(U1615)+1))</f>
        <v/>
      </c>
      <c r="V1616" s="19">
        <f>IF($B1616="","",TEXT($B1616,"0000"))</f>
        <v/>
      </c>
      <c r="W1616" s="19">
        <f>IF($I1616="","",IF(ISNUMBER($I1616),TEXT($I1616,"0"),$I1616))</f>
        <v/>
      </c>
    </row>
    <row r="1617">
      <c r="B1617" s="25" t="n"/>
      <c r="I1617" s="25" t="n"/>
      <c r="U1617" s="19">
        <f>IF($V1617&lt;&gt;'設定'!$C$4,N(U1616),IF(OR(NOT(COUNTIF('商品マスタ'!$B$6:$B$1005,$W1617)=0),COUNTIFS('①在庫を貼る'!$V$6:$V$10005,$V1617,'①在庫を貼る'!$W$6:$W$10005,$W1617)+COUNTIFS('月1回_1ヶ月前の在庫'!$V$6:$V$10005,$V1617,'月1回_1ヶ月前の在庫'!$W$6:$W$10005,$W1617)&gt;0),N(U1616),N(U1616)+1))</f>
        <v/>
      </c>
      <c r="V1617" s="19">
        <f>IF($B1617="","",TEXT($B1617,"0000"))</f>
        <v/>
      </c>
      <c r="W1617" s="19">
        <f>IF($I1617="","",IF(ISNUMBER($I1617),TEXT($I1617,"0"),$I1617))</f>
        <v/>
      </c>
    </row>
    <row r="1618">
      <c r="B1618" s="25" t="n"/>
      <c r="I1618" s="25" t="n"/>
      <c r="U1618" s="19">
        <f>IF($V1618&lt;&gt;'設定'!$C$4,N(U1617),IF(OR(NOT(COUNTIF('商品マスタ'!$B$6:$B$1005,$W1618)=0),COUNTIFS('①在庫を貼る'!$V$6:$V$10005,$V1618,'①在庫を貼る'!$W$6:$W$10005,$W1618)+COUNTIFS('月1回_1ヶ月前の在庫'!$V$6:$V$10005,$V1618,'月1回_1ヶ月前の在庫'!$W$6:$W$10005,$W1618)&gt;0),N(U1617),N(U1617)+1))</f>
        <v/>
      </c>
      <c r="V1618" s="19">
        <f>IF($B1618="","",TEXT($B1618,"0000"))</f>
        <v/>
      </c>
      <c r="W1618" s="19">
        <f>IF($I1618="","",IF(ISNUMBER($I1618),TEXT($I1618,"0"),$I1618))</f>
        <v/>
      </c>
    </row>
    <row r="1619">
      <c r="B1619" s="25" t="n"/>
      <c r="I1619" s="25" t="n"/>
      <c r="U1619" s="19">
        <f>IF($V1619&lt;&gt;'設定'!$C$4,N(U1618),IF(OR(NOT(COUNTIF('商品マスタ'!$B$6:$B$1005,$W1619)=0),COUNTIFS('①在庫を貼る'!$V$6:$V$10005,$V1619,'①在庫を貼る'!$W$6:$W$10005,$W1619)+COUNTIFS('月1回_1ヶ月前の在庫'!$V$6:$V$10005,$V1619,'月1回_1ヶ月前の在庫'!$W$6:$W$10005,$W1619)&gt;0),N(U1618),N(U1618)+1))</f>
        <v/>
      </c>
      <c r="V1619" s="19">
        <f>IF($B1619="","",TEXT($B1619,"0000"))</f>
        <v/>
      </c>
      <c r="W1619" s="19">
        <f>IF($I1619="","",IF(ISNUMBER($I1619),TEXT($I1619,"0"),$I1619))</f>
        <v/>
      </c>
    </row>
    <row r="1620">
      <c r="B1620" s="25" t="n"/>
      <c r="I1620" s="25" t="n"/>
      <c r="U1620" s="19">
        <f>IF($V1620&lt;&gt;'設定'!$C$4,N(U1619),IF(OR(NOT(COUNTIF('商品マスタ'!$B$6:$B$1005,$W1620)=0),COUNTIFS('①在庫を貼る'!$V$6:$V$10005,$V1620,'①在庫を貼る'!$W$6:$W$10005,$W1620)+COUNTIFS('月1回_1ヶ月前の在庫'!$V$6:$V$10005,$V1620,'月1回_1ヶ月前の在庫'!$W$6:$W$10005,$W1620)&gt;0),N(U1619),N(U1619)+1))</f>
        <v/>
      </c>
      <c r="V1620" s="19">
        <f>IF($B1620="","",TEXT($B1620,"0000"))</f>
        <v/>
      </c>
      <c r="W1620" s="19">
        <f>IF($I1620="","",IF(ISNUMBER($I1620),TEXT($I1620,"0"),$I1620))</f>
        <v/>
      </c>
    </row>
    <row r="1621">
      <c r="B1621" s="25" t="n"/>
      <c r="I1621" s="25" t="n"/>
      <c r="U1621" s="19">
        <f>IF($V1621&lt;&gt;'設定'!$C$4,N(U1620),IF(OR(NOT(COUNTIF('商品マスタ'!$B$6:$B$1005,$W1621)=0),COUNTIFS('①在庫を貼る'!$V$6:$V$10005,$V1621,'①在庫を貼る'!$W$6:$W$10005,$W1621)+COUNTIFS('月1回_1ヶ月前の在庫'!$V$6:$V$10005,$V1621,'月1回_1ヶ月前の在庫'!$W$6:$W$10005,$W1621)&gt;0),N(U1620),N(U1620)+1))</f>
        <v/>
      </c>
      <c r="V1621" s="19">
        <f>IF($B1621="","",TEXT($B1621,"0000"))</f>
        <v/>
      </c>
      <c r="W1621" s="19">
        <f>IF($I1621="","",IF(ISNUMBER($I1621),TEXT($I1621,"0"),$I1621))</f>
        <v/>
      </c>
    </row>
    <row r="1622">
      <c r="B1622" s="25" t="n"/>
      <c r="I1622" s="25" t="n"/>
      <c r="U1622" s="19">
        <f>IF($V1622&lt;&gt;'設定'!$C$4,N(U1621),IF(OR(NOT(COUNTIF('商品マスタ'!$B$6:$B$1005,$W1622)=0),COUNTIFS('①在庫を貼る'!$V$6:$V$10005,$V1622,'①在庫を貼る'!$W$6:$W$10005,$W1622)+COUNTIFS('月1回_1ヶ月前の在庫'!$V$6:$V$10005,$V1622,'月1回_1ヶ月前の在庫'!$W$6:$W$10005,$W1622)&gt;0),N(U1621),N(U1621)+1))</f>
        <v/>
      </c>
      <c r="V1622" s="19">
        <f>IF($B1622="","",TEXT($B1622,"0000"))</f>
        <v/>
      </c>
      <c r="W1622" s="19">
        <f>IF($I1622="","",IF(ISNUMBER($I1622),TEXT($I1622,"0"),$I1622))</f>
        <v/>
      </c>
    </row>
    <row r="1623">
      <c r="B1623" s="25" t="n"/>
      <c r="I1623" s="25" t="n"/>
      <c r="U1623" s="19">
        <f>IF($V1623&lt;&gt;'設定'!$C$4,N(U1622),IF(OR(NOT(COUNTIF('商品マスタ'!$B$6:$B$1005,$W1623)=0),COUNTIFS('①在庫を貼る'!$V$6:$V$10005,$V1623,'①在庫を貼る'!$W$6:$W$10005,$W1623)+COUNTIFS('月1回_1ヶ月前の在庫'!$V$6:$V$10005,$V1623,'月1回_1ヶ月前の在庫'!$W$6:$W$10005,$W1623)&gt;0),N(U1622),N(U1622)+1))</f>
        <v/>
      </c>
      <c r="V1623" s="19">
        <f>IF($B1623="","",TEXT($B1623,"0000"))</f>
        <v/>
      </c>
      <c r="W1623" s="19">
        <f>IF($I1623="","",IF(ISNUMBER($I1623),TEXT($I1623,"0"),$I1623))</f>
        <v/>
      </c>
    </row>
    <row r="1624">
      <c r="B1624" s="25" t="n"/>
      <c r="I1624" s="25" t="n"/>
      <c r="U1624" s="19">
        <f>IF($V1624&lt;&gt;'設定'!$C$4,N(U1623),IF(OR(NOT(COUNTIF('商品マスタ'!$B$6:$B$1005,$W1624)=0),COUNTIFS('①在庫を貼る'!$V$6:$V$10005,$V1624,'①在庫を貼る'!$W$6:$W$10005,$W1624)+COUNTIFS('月1回_1ヶ月前の在庫'!$V$6:$V$10005,$V1624,'月1回_1ヶ月前の在庫'!$W$6:$W$10005,$W1624)&gt;0),N(U1623),N(U1623)+1))</f>
        <v/>
      </c>
      <c r="V1624" s="19">
        <f>IF($B1624="","",TEXT($B1624,"0000"))</f>
        <v/>
      </c>
      <c r="W1624" s="19">
        <f>IF($I1624="","",IF(ISNUMBER($I1624),TEXT($I1624,"0"),$I1624))</f>
        <v/>
      </c>
    </row>
    <row r="1625">
      <c r="B1625" s="25" t="n"/>
      <c r="I1625" s="25" t="n"/>
      <c r="U1625" s="19">
        <f>IF($V1625&lt;&gt;'設定'!$C$4,N(U1624),IF(OR(NOT(COUNTIF('商品マスタ'!$B$6:$B$1005,$W1625)=0),COUNTIFS('①在庫を貼る'!$V$6:$V$10005,$V1625,'①在庫を貼る'!$W$6:$W$10005,$W1625)+COUNTIFS('月1回_1ヶ月前の在庫'!$V$6:$V$10005,$V1625,'月1回_1ヶ月前の在庫'!$W$6:$W$10005,$W1625)&gt;0),N(U1624),N(U1624)+1))</f>
        <v/>
      </c>
      <c r="V1625" s="19">
        <f>IF($B1625="","",TEXT($B1625,"0000"))</f>
        <v/>
      </c>
      <c r="W1625" s="19">
        <f>IF($I1625="","",IF(ISNUMBER($I1625),TEXT($I1625,"0"),$I1625))</f>
        <v/>
      </c>
    </row>
    <row r="1626">
      <c r="B1626" s="25" t="n"/>
      <c r="I1626" s="25" t="n"/>
      <c r="U1626" s="19">
        <f>IF($V1626&lt;&gt;'設定'!$C$4,N(U1625),IF(OR(NOT(COUNTIF('商品マスタ'!$B$6:$B$1005,$W1626)=0),COUNTIFS('①在庫を貼る'!$V$6:$V$10005,$V1626,'①在庫を貼る'!$W$6:$W$10005,$W1626)+COUNTIFS('月1回_1ヶ月前の在庫'!$V$6:$V$10005,$V1626,'月1回_1ヶ月前の在庫'!$W$6:$W$10005,$W1626)&gt;0),N(U1625),N(U1625)+1))</f>
        <v/>
      </c>
      <c r="V1626" s="19">
        <f>IF($B1626="","",TEXT($B1626,"0000"))</f>
        <v/>
      </c>
      <c r="W1626" s="19">
        <f>IF($I1626="","",IF(ISNUMBER($I1626),TEXT($I1626,"0"),$I1626))</f>
        <v/>
      </c>
    </row>
    <row r="1627">
      <c r="B1627" s="25" t="n"/>
      <c r="I1627" s="25" t="n"/>
      <c r="U1627" s="19">
        <f>IF($V1627&lt;&gt;'設定'!$C$4,N(U1626),IF(OR(NOT(COUNTIF('商品マスタ'!$B$6:$B$1005,$W1627)=0),COUNTIFS('①在庫を貼る'!$V$6:$V$10005,$V1627,'①在庫を貼る'!$W$6:$W$10005,$W1627)+COUNTIFS('月1回_1ヶ月前の在庫'!$V$6:$V$10005,$V1627,'月1回_1ヶ月前の在庫'!$W$6:$W$10005,$W1627)&gt;0),N(U1626),N(U1626)+1))</f>
        <v/>
      </c>
      <c r="V1627" s="19">
        <f>IF($B1627="","",TEXT($B1627,"0000"))</f>
        <v/>
      </c>
      <c r="W1627" s="19">
        <f>IF($I1627="","",IF(ISNUMBER($I1627),TEXT($I1627,"0"),$I1627))</f>
        <v/>
      </c>
    </row>
    <row r="1628">
      <c r="B1628" s="25" t="n"/>
      <c r="I1628" s="25" t="n"/>
      <c r="U1628" s="19">
        <f>IF($V1628&lt;&gt;'設定'!$C$4,N(U1627),IF(OR(NOT(COUNTIF('商品マスタ'!$B$6:$B$1005,$W1628)=0),COUNTIFS('①在庫を貼る'!$V$6:$V$10005,$V1628,'①在庫を貼る'!$W$6:$W$10005,$W1628)+COUNTIFS('月1回_1ヶ月前の在庫'!$V$6:$V$10005,$V1628,'月1回_1ヶ月前の在庫'!$W$6:$W$10005,$W1628)&gt;0),N(U1627),N(U1627)+1))</f>
        <v/>
      </c>
      <c r="V1628" s="19">
        <f>IF($B1628="","",TEXT($B1628,"0000"))</f>
        <v/>
      </c>
      <c r="W1628" s="19">
        <f>IF($I1628="","",IF(ISNUMBER($I1628),TEXT($I1628,"0"),$I1628))</f>
        <v/>
      </c>
    </row>
    <row r="1629">
      <c r="B1629" s="25" t="n"/>
      <c r="I1629" s="25" t="n"/>
      <c r="U1629" s="19">
        <f>IF($V1629&lt;&gt;'設定'!$C$4,N(U1628),IF(OR(NOT(COUNTIF('商品マスタ'!$B$6:$B$1005,$W1629)=0),COUNTIFS('①在庫を貼る'!$V$6:$V$10005,$V1629,'①在庫を貼る'!$W$6:$W$10005,$W1629)+COUNTIFS('月1回_1ヶ月前の在庫'!$V$6:$V$10005,$V1629,'月1回_1ヶ月前の在庫'!$W$6:$W$10005,$W1629)&gt;0),N(U1628),N(U1628)+1))</f>
        <v/>
      </c>
      <c r="V1629" s="19">
        <f>IF($B1629="","",TEXT($B1629,"0000"))</f>
        <v/>
      </c>
      <c r="W1629" s="19">
        <f>IF($I1629="","",IF(ISNUMBER($I1629),TEXT($I1629,"0"),$I1629))</f>
        <v/>
      </c>
    </row>
    <row r="1630">
      <c r="B1630" s="25" t="n"/>
      <c r="I1630" s="25" t="n"/>
      <c r="U1630" s="19">
        <f>IF($V1630&lt;&gt;'設定'!$C$4,N(U1629),IF(OR(NOT(COUNTIF('商品マスタ'!$B$6:$B$1005,$W1630)=0),COUNTIFS('①在庫を貼る'!$V$6:$V$10005,$V1630,'①在庫を貼る'!$W$6:$W$10005,$W1630)+COUNTIFS('月1回_1ヶ月前の在庫'!$V$6:$V$10005,$V1630,'月1回_1ヶ月前の在庫'!$W$6:$W$10005,$W1630)&gt;0),N(U1629),N(U1629)+1))</f>
        <v/>
      </c>
      <c r="V1630" s="19">
        <f>IF($B1630="","",TEXT($B1630,"0000"))</f>
        <v/>
      </c>
      <c r="W1630" s="19">
        <f>IF($I1630="","",IF(ISNUMBER($I1630),TEXT($I1630,"0"),$I1630))</f>
        <v/>
      </c>
    </row>
    <row r="1631">
      <c r="B1631" s="25" t="n"/>
      <c r="I1631" s="25" t="n"/>
      <c r="U1631" s="19">
        <f>IF($V1631&lt;&gt;'設定'!$C$4,N(U1630),IF(OR(NOT(COUNTIF('商品マスタ'!$B$6:$B$1005,$W1631)=0),COUNTIFS('①在庫を貼る'!$V$6:$V$10005,$V1631,'①在庫を貼る'!$W$6:$W$10005,$W1631)+COUNTIFS('月1回_1ヶ月前の在庫'!$V$6:$V$10005,$V1631,'月1回_1ヶ月前の在庫'!$W$6:$W$10005,$W1631)&gt;0),N(U1630),N(U1630)+1))</f>
        <v/>
      </c>
      <c r="V1631" s="19">
        <f>IF($B1631="","",TEXT($B1631,"0000"))</f>
        <v/>
      </c>
      <c r="W1631" s="19">
        <f>IF($I1631="","",IF(ISNUMBER($I1631),TEXT($I1631,"0"),$I1631))</f>
        <v/>
      </c>
    </row>
    <row r="1632">
      <c r="B1632" s="25" t="n"/>
      <c r="I1632" s="25" t="n"/>
      <c r="U1632" s="19">
        <f>IF($V1632&lt;&gt;'設定'!$C$4,N(U1631),IF(OR(NOT(COUNTIF('商品マスタ'!$B$6:$B$1005,$W1632)=0),COUNTIFS('①在庫を貼る'!$V$6:$V$10005,$V1632,'①在庫を貼る'!$W$6:$W$10005,$W1632)+COUNTIFS('月1回_1ヶ月前の在庫'!$V$6:$V$10005,$V1632,'月1回_1ヶ月前の在庫'!$W$6:$W$10005,$W1632)&gt;0),N(U1631),N(U1631)+1))</f>
        <v/>
      </c>
      <c r="V1632" s="19">
        <f>IF($B1632="","",TEXT($B1632,"0000"))</f>
        <v/>
      </c>
      <c r="W1632" s="19">
        <f>IF($I1632="","",IF(ISNUMBER($I1632),TEXT($I1632,"0"),$I1632))</f>
        <v/>
      </c>
    </row>
    <row r="1633">
      <c r="B1633" s="25" t="n"/>
      <c r="I1633" s="25" t="n"/>
      <c r="U1633" s="19">
        <f>IF($V1633&lt;&gt;'設定'!$C$4,N(U1632),IF(OR(NOT(COUNTIF('商品マスタ'!$B$6:$B$1005,$W1633)=0),COUNTIFS('①在庫を貼る'!$V$6:$V$10005,$V1633,'①在庫を貼る'!$W$6:$W$10005,$W1633)+COUNTIFS('月1回_1ヶ月前の在庫'!$V$6:$V$10005,$V1633,'月1回_1ヶ月前の在庫'!$W$6:$W$10005,$W1633)&gt;0),N(U1632),N(U1632)+1))</f>
        <v/>
      </c>
      <c r="V1633" s="19">
        <f>IF($B1633="","",TEXT($B1633,"0000"))</f>
        <v/>
      </c>
      <c r="W1633" s="19">
        <f>IF($I1633="","",IF(ISNUMBER($I1633),TEXT($I1633,"0"),$I1633))</f>
        <v/>
      </c>
    </row>
    <row r="1634">
      <c r="B1634" s="25" t="n"/>
      <c r="I1634" s="25" t="n"/>
      <c r="U1634" s="19">
        <f>IF($V1634&lt;&gt;'設定'!$C$4,N(U1633),IF(OR(NOT(COUNTIF('商品マスタ'!$B$6:$B$1005,$W1634)=0),COUNTIFS('①在庫を貼る'!$V$6:$V$10005,$V1634,'①在庫を貼る'!$W$6:$W$10005,$W1634)+COUNTIFS('月1回_1ヶ月前の在庫'!$V$6:$V$10005,$V1634,'月1回_1ヶ月前の在庫'!$W$6:$W$10005,$W1634)&gt;0),N(U1633),N(U1633)+1))</f>
        <v/>
      </c>
      <c r="V1634" s="19">
        <f>IF($B1634="","",TEXT($B1634,"0000"))</f>
        <v/>
      </c>
      <c r="W1634" s="19">
        <f>IF($I1634="","",IF(ISNUMBER($I1634),TEXT($I1634,"0"),$I1634))</f>
        <v/>
      </c>
    </row>
    <row r="1635">
      <c r="B1635" s="25" t="n"/>
      <c r="I1635" s="25" t="n"/>
      <c r="U1635" s="19">
        <f>IF($V1635&lt;&gt;'設定'!$C$4,N(U1634),IF(OR(NOT(COUNTIF('商品マスタ'!$B$6:$B$1005,$W1635)=0),COUNTIFS('①在庫を貼る'!$V$6:$V$10005,$V1635,'①在庫を貼る'!$W$6:$W$10005,$W1635)+COUNTIFS('月1回_1ヶ月前の在庫'!$V$6:$V$10005,$V1635,'月1回_1ヶ月前の在庫'!$W$6:$W$10005,$W1635)&gt;0),N(U1634),N(U1634)+1))</f>
        <v/>
      </c>
      <c r="V1635" s="19">
        <f>IF($B1635="","",TEXT($B1635,"0000"))</f>
        <v/>
      </c>
      <c r="W1635" s="19">
        <f>IF($I1635="","",IF(ISNUMBER($I1635),TEXT($I1635,"0"),$I1635))</f>
        <v/>
      </c>
    </row>
    <row r="1636">
      <c r="B1636" s="25" t="n"/>
      <c r="I1636" s="25" t="n"/>
      <c r="U1636" s="19">
        <f>IF($V1636&lt;&gt;'設定'!$C$4,N(U1635),IF(OR(NOT(COUNTIF('商品マスタ'!$B$6:$B$1005,$W1636)=0),COUNTIFS('①在庫を貼る'!$V$6:$V$10005,$V1636,'①在庫を貼る'!$W$6:$W$10005,$W1636)+COUNTIFS('月1回_1ヶ月前の在庫'!$V$6:$V$10005,$V1636,'月1回_1ヶ月前の在庫'!$W$6:$W$10005,$W1636)&gt;0),N(U1635),N(U1635)+1))</f>
        <v/>
      </c>
      <c r="V1636" s="19">
        <f>IF($B1636="","",TEXT($B1636,"0000"))</f>
        <v/>
      </c>
      <c r="W1636" s="19">
        <f>IF($I1636="","",IF(ISNUMBER($I1636),TEXT($I1636,"0"),$I1636))</f>
        <v/>
      </c>
    </row>
    <row r="1637">
      <c r="B1637" s="25" t="n"/>
      <c r="I1637" s="25" t="n"/>
      <c r="U1637" s="19">
        <f>IF($V1637&lt;&gt;'設定'!$C$4,N(U1636),IF(OR(NOT(COUNTIF('商品マスタ'!$B$6:$B$1005,$W1637)=0),COUNTIFS('①在庫を貼る'!$V$6:$V$10005,$V1637,'①在庫を貼る'!$W$6:$W$10005,$W1637)+COUNTIFS('月1回_1ヶ月前の在庫'!$V$6:$V$10005,$V1637,'月1回_1ヶ月前の在庫'!$W$6:$W$10005,$W1637)&gt;0),N(U1636),N(U1636)+1))</f>
        <v/>
      </c>
      <c r="V1637" s="19">
        <f>IF($B1637="","",TEXT($B1637,"0000"))</f>
        <v/>
      </c>
      <c r="W1637" s="19">
        <f>IF($I1637="","",IF(ISNUMBER($I1637),TEXT($I1637,"0"),$I1637))</f>
        <v/>
      </c>
    </row>
    <row r="1638">
      <c r="B1638" s="25" t="n"/>
      <c r="I1638" s="25" t="n"/>
      <c r="U1638" s="19">
        <f>IF($V1638&lt;&gt;'設定'!$C$4,N(U1637),IF(OR(NOT(COUNTIF('商品マスタ'!$B$6:$B$1005,$W1638)=0),COUNTIFS('①在庫を貼る'!$V$6:$V$10005,$V1638,'①在庫を貼る'!$W$6:$W$10005,$W1638)+COUNTIFS('月1回_1ヶ月前の在庫'!$V$6:$V$10005,$V1638,'月1回_1ヶ月前の在庫'!$W$6:$W$10005,$W1638)&gt;0),N(U1637),N(U1637)+1))</f>
        <v/>
      </c>
      <c r="V1638" s="19">
        <f>IF($B1638="","",TEXT($B1638,"0000"))</f>
        <v/>
      </c>
      <c r="W1638" s="19">
        <f>IF($I1638="","",IF(ISNUMBER($I1638),TEXT($I1638,"0"),$I1638))</f>
        <v/>
      </c>
    </row>
    <row r="1639">
      <c r="B1639" s="25" t="n"/>
      <c r="I1639" s="25" t="n"/>
      <c r="U1639" s="19">
        <f>IF($V1639&lt;&gt;'設定'!$C$4,N(U1638),IF(OR(NOT(COUNTIF('商品マスタ'!$B$6:$B$1005,$W1639)=0),COUNTIFS('①在庫を貼る'!$V$6:$V$10005,$V1639,'①在庫を貼る'!$W$6:$W$10005,$W1639)+COUNTIFS('月1回_1ヶ月前の在庫'!$V$6:$V$10005,$V1639,'月1回_1ヶ月前の在庫'!$W$6:$W$10005,$W1639)&gt;0),N(U1638),N(U1638)+1))</f>
        <v/>
      </c>
      <c r="V1639" s="19">
        <f>IF($B1639="","",TEXT($B1639,"0000"))</f>
        <v/>
      </c>
      <c r="W1639" s="19">
        <f>IF($I1639="","",IF(ISNUMBER($I1639),TEXT($I1639,"0"),$I1639))</f>
        <v/>
      </c>
    </row>
    <row r="1640">
      <c r="B1640" s="25" t="n"/>
      <c r="I1640" s="25" t="n"/>
      <c r="U1640" s="19">
        <f>IF($V1640&lt;&gt;'設定'!$C$4,N(U1639),IF(OR(NOT(COUNTIF('商品マスタ'!$B$6:$B$1005,$W1640)=0),COUNTIFS('①在庫を貼る'!$V$6:$V$10005,$V1640,'①在庫を貼る'!$W$6:$W$10005,$W1640)+COUNTIFS('月1回_1ヶ月前の在庫'!$V$6:$V$10005,$V1640,'月1回_1ヶ月前の在庫'!$W$6:$W$10005,$W1640)&gt;0),N(U1639),N(U1639)+1))</f>
        <v/>
      </c>
      <c r="V1640" s="19">
        <f>IF($B1640="","",TEXT($B1640,"0000"))</f>
        <v/>
      </c>
      <c r="W1640" s="19">
        <f>IF($I1640="","",IF(ISNUMBER($I1640),TEXT($I1640,"0"),$I1640))</f>
        <v/>
      </c>
    </row>
    <row r="1641">
      <c r="B1641" s="25" t="n"/>
      <c r="I1641" s="25" t="n"/>
      <c r="U1641" s="19">
        <f>IF($V1641&lt;&gt;'設定'!$C$4,N(U1640),IF(OR(NOT(COUNTIF('商品マスタ'!$B$6:$B$1005,$W1641)=0),COUNTIFS('①在庫を貼る'!$V$6:$V$10005,$V1641,'①在庫を貼る'!$W$6:$W$10005,$W1641)+COUNTIFS('月1回_1ヶ月前の在庫'!$V$6:$V$10005,$V1641,'月1回_1ヶ月前の在庫'!$W$6:$W$10005,$W1641)&gt;0),N(U1640),N(U1640)+1))</f>
        <v/>
      </c>
      <c r="V1641" s="19">
        <f>IF($B1641="","",TEXT($B1641,"0000"))</f>
        <v/>
      </c>
      <c r="W1641" s="19">
        <f>IF($I1641="","",IF(ISNUMBER($I1641),TEXT($I1641,"0"),$I1641))</f>
        <v/>
      </c>
    </row>
    <row r="1642">
      <c r="B1642" s="25" t="n"/>
      <c r="I1642" s="25" t="n"/>
      <c r="U1642" s="19">
        <f>IF($V1642&lt;&gt;'設定'!$C$4,N(U1641),IF(OR(NOT(COUNTIF('商品マスタ'!$B$6:$B$1005,$W1642)=0),COUNTIFS('①在庫を貼る'!$V$6:$V$10005,$V1642,'①在庫を貼る'!$W$6:$W$10005,$W1642)+COUNTIFS('月1回_1ヶ月前の在庫'!$V$6:$V$10005,$V1642,'月1回_1ヶ月前の在庫'!$W$6:$W$10005,$W1642)&gt;0),N(U1641),N(U1641)+1))</f>
        <v/>
      </c>
      <c r="V1642" s="19">
        <f>IF($B1642="","",TEXT($B1642,"0000"))</f>
        <v/>
      </c>
      <c r="W1642" s="19">
        <f>IF($I1642="","",IF(ISNUMBER($I1642),TEXT($I1642,"0"),$I1642))</f>
        <v/>
      </c>
    </row>
    <row r="1643">
      <c r="B1643" s="25" t="n"/>
      <c r="I1643" s="25" t="n"/>
      <c r="U1643" s="19">
        <f>IF($V1643&lt;&gt;'設定'!$C$4,N(U1642),IF(OR(NOT(COUNTIF('商品マスタ'!$B$6:$B$1005,$W1643)=0),COUNTIFS('①在庫を貼る'!$V$6:$V$10005,$V1643,'①在庫を貼る'!$W$6:$W$10005,$W1643)+COUNTIFS('月1回_1ヶ月前の在庫'!$V$6:$V$10005,$V1643,'月1回_1ヶ月前の在庫'!$W$6:$W$10005,$W1643)&gt;0),N(U1642),N(U1642)+1))</f>
        <v/>
      </c>
      <c r="V1643" s="19">
        <f>IF($B1643="","",TEXT($B1643,"0000"))</f>
        <v/>
      </c>
      <c r="W1643" s="19">
        <f>IF($I1643="","",IF(ISNUMBER($I1643),TEXT($I1643,"0"),$I1643))</f>
        <v/>
      </c>
    </row>
    <row r="1644">
      <c r="B1644" s="25" t="n"/>
      <c r="I1644" s="25" t="n"/>
      <c r="U1644" s="19">
        <f>IF($V1644&lt;&gt;'設定'!$C$4,N(U1643),IF(OR(NOT(COUNTIF('商品マスタ'!$B$6:$B$1005,$W1644)=0),COUNTIFS('①在庫を貼る'!$V$6:$V$10005,$V1644,'①在庫を貼る'!$W$6:$W$10005,$W1644)+COUNTIFS('月1回_1ヶ月前の在庫'!$V$6:$V$10005,$V1644,'月1回_1ヶ月前の在庫'!$W$6:$W$10005,$W1644)&gt;0),N(U1643),N(U1643)+1))</f>
        <v/>
      </c>
      <c r="V1644" s="19">
        <f>IF($B1644="","",TEXT($B1644,"0000"))</f>
        <v/>
      </c>
      <c r="W1644" s="19">
        <f>IF($I1644="","",IF(ISNUMBER($I1644),TEXT($I1644,"0"),$I1644))</f>
        <v/>
      </c>
    </row>
    <row r="1645">
      <c r="B1645" s="25" t="n"/>
      <c r="I1645" s="25" t="n"/>
      <c r="U1645" s="19">
        <f>IF($V1645&lt;&gt;'設定'!$C$4,N(U1644),IF(OR(NOT(COUNTIF('商品マスタ'!$B$6:$B$1005,$W1645)=0),COUNTIFS('①在庫を貼る'!$V$6:$V$10005,$V1645,'①在庫を貼る'!$W$6:$W$10005,$W1645)+COUNTIFS('月1回_1ヶ月前の在庫'!$V$6:$V$10005,$V1645,'月1回_1ヶ月前の在庫'!$W$6:$W$10005,$W1645)&gt;0),N(U1644),N(U1644)+1))</f>
        <v/>
      </c>
      <c r="V1645" s="19">
        <f>IF($B1645="","",TEXT($B1645,"0000"))</f>
        <v/>
      </c>
      <c r="W1645" s="19">
        <f>IF($I1645="","",IF(ISNUMBER($I1645),TEXT($I1645,"0"),$I1645))</f>
        <v/>
      </c>
    </row>
    <row r="1646">
      <c r="B1646" s="25" t="n"/>
      <c r="I1646" s="25" t="n"/>
      <c r="U1646" s="19">
        <f>IF($V1646&lt;&gt;'設定'!$C$4,N(U1645),IF(OR(NOT(COUNTIF('商品マスタ'!$B$6:$B$1005,$W1646)=0),COUNTIFS('①在庫を貼る'!$V$6:$V$10005,$V1646,'①在庫を貼る'!$W$6:$W$10005,$W1646)+COUNTIFS('月1回_1ヶ月前の在庫'!$V$6:$V$10005,$V1646,'月1回_1ヶ月前の在庫'!$W$6:$W$10005,$W1646)&gt;0),N(U1645),N(U1645)+1))</f>
        <v/>
      </c>
      <c r="V1646" s="19">
        <f>IF($B1646="","",TEXT($B1646,"0000"))</f>
        <v/>
      </c>
      <c r="W1646" s="19">
        <f>IF($I1646="","",IF(ISNUMBER($I1646),TEXT($I1646,"0"),$I1646))</f>
        <v/>
      </c>
    </row>
    <row r="1647">
      <c r="B1647" s="25" t="n"/>
      <c r="I1647" s="25" t="n"/>
      <c r="U1647" s="19">
        <f>IF($V1647&lt;&gt;'設定'!$C$4,N(U1646),IF(OR(NOT(COUNTIF('商品マスタ'!$B$6:$B$1005,$W1647)=0),COUNTIFS('①在庫を貼る'!$V$6:$V$10005,$V1647,'①在庫を貼る'!$W$6:$W$10005,$W1647)+COUNTIFS('月1回_1ヶ月前の在庫'!$V$6:$V$10005,$V1647,'月1回_1ヶ月前の在庫'!$W$6:$W$10005,$W1647)&gt;0),N(U1646),N(U1646)+1))</f>
        <v/>
      </c>
      <c r="V1647" s="19">
        <f>IF($B1647="","",TEXT($B1647,"0000"))</f>
        <v/>
      </c>
      <c r="W1647" s="19">
        <f>IF($I1647="","",IF(ISNUMBER($I1647),TEXT($I1647,"0"),$I1647))</f>
        <v/>
      </c>
    </row>
    <row r="1648">
      <c r="B1648" s="25" t="n"/>
      <c r="I1648" s="25" t="n"/>
      <c r="U1648" s="19">
        <f>IF($V1648&lt;&gt;'設定'!$C$4,N(U1647),IF(OR(NOT(COUNTIF('商品マスタ'!$B$6:$B$1005,$W1648)=0),COUNTIFS('①在庫を貼る'!$V$6:$V$10005,$V1648,'①在庫を貼る'!$W$6:$W$10005,$W1648)+COUNTIFS('月1回_1ヶ月前の在庫'!$V$6:$V$10005,$V1648,'月1回_1ヶ月前の在庫'!$W$6:$W$10005,$W1648)&gt;0),N(U1647),N(U1647)+1))</f>
        <v/>
      </c>
      <c r="V1648" s="19">
        <f>IF($B1648="","",TEXT($B1648,"0000"))</f>
        <v/>
      </c>
      <c r="W1648" s="19">
        <f>IF($I1648="","",IF(ISNUMBER($I1648),TEXT($I1648,"0"),$I1648))</f>
        <v/>
      </c>
    </row>
    <row r="1649">
      <c r="B1649" s="25" t="n"/>
      <c r="I1649" s="25" t="n"/>
      <c r="U1649" s="19">
        <f>IF($V1649&lt;&gt;'設定'!$C$4,N(U1648),IF(OR(NOT(COUNTIF('商品マスタ'!$B$6:$B$1005,$W1649)=0),COUNTIFS('①在庫を貼る'!$V$6:$V$10005,$V1649,'①在庫を貼る'!$W$6:$W$10005,$W1649)+COUNTIFS('月1回_1ヶ月前の在庫'!$V$6:$V$10005,$V1649,'月1回_1ヶ月前の在庫'!$W$6:$W$10005,$W1649)&gt;0),N(U1648),N(U1648)+1))</f>
        <v/>
      </c>
      <c r="V1649" s="19">
        <f>IF($B1649="","",TEXT($B1649,"0000"))</f>
        <v/>
      </c>
      <c r="W1649" s="19">
        <f>IF($I1649="","",IF(ISNUMBER($I1649),TEXT($I1649,"0"),$I1649))</f>
        <v/>
      </c>
    </row>
    <row r="1650">
      <c r="B1650" s="25" t="n"/>
      <c r="I1650" s="25" t="n"/>
      <c r="U1650" s="19">
        <f>IF($V1650&lt;&gt;'設定'!$C$4,N(U1649),IF(OR(NOT(COUNTIF('商品マスタ'!$B$6:$B$1005,$W1650)=0),COUNTIFS('①在庫を貼る'!$V$6:$V$10005,$V1650,'①在庫を貼る'!$W$6:$W$10005,$W1650)+COUNTIFS('月1回_1ヶ月前の在庫'!$V$6:$V$10005,$V1650,'月1回_1ヶ月前の在庫'!$W$6:$W$10005,$W1650)&gt;0),N(U1649),N(U1649)+1))</f>
        <v/>
      </c>
      <c r="V1650" s="19">
        <f>IF($B1650="","",TEXT($B1650,"0000"))</f>
        <v/>
      </c>
      <c r="W1650" s="19">
        <f>IF($I1650="","",IF(ISNUMBER($I1650),TEXT($I1650,"0"),$I1650))</f>
        <v/>
      </c>
    </row>
    <row r="1651">
      <c r="B1651" s="25" t="n"/>
      <c r="I1651" s="25" t="n"/>
      <c r="U1651" s="19">
        <f>IF($V1651&lt;&gt;'設定'!$C$4,N(U1650),IF(OR(NOT(COUNTIF('商品マスタ'!$B$6:$B$1005,$W1651)=0),COUNTIFS('①在庫を貼る'!$V$6:$V$10005,$V1651,'①在庫を貼る'!$W$6:$W$10005,$W1651)+COUNTIFS('月1回_1ヶ月前の在庫'!$V$6:$V$10005,$V1651,'月1回_1ヶ月前の在庫'!$W$6:$W$10005,$W1651)&gt;0),N(U1650),N(U1650)+1))</f>
        <v/>
      </c>
      <c r="V1651" s="19">
        <f>IF($B1651="","",TEXT($B1651,"0000"))</f>
        <v/>
      </c>
      <c r="W1651" s="19">
        <f>IF($I1651="","",IF(ISNUMBER($I1651),TEXT($I1651,"0"),$I1651))</f>
        <v/>
      </c>
    </row>
    <row r="1652">
      <c r="B1652" s="25" t="n"/>
      <c r="I1652" s="25" t="n"/>
      <c r="U1652" s="19">
        <f>IF($V1652&lt;&gt;'設定'!$C$4,N(U1651),IF(OR(NOT(COUNTIF('商品マスタ'!$B$6:$B$1005,$W1652)=0),COUNTIFS('①在庫を貼る'!$V$6:$V$10005,$V1652,'①在庫を貼る'!$W$6:$W$10005,$W1652)+COUNTIFS('月1回_1ヶ月前の在庫'!$V$6:$V$10005,$V1652,'月1回_1ヶ月前の在庫'!$W$6:$W$10005,$W1652)&gt;0),N(U1651),N(U1651)+1))</f>
        <v/>
      </c>
      <c r="V1652" s="19">
        <f>IF($B1652="","",TEXT($B1652,"0000"))</f>
        <v/>
      </c>
      <c r="W1652" s="19">
        <f>IF($I1652="","",IF(ISNUMBER($I1652),TEXT($I1652,"0"),$I1652))</f>
        <v/>
      </c>
    </row>
    <row r="1653">
      <c r="B1653" s="25" t="n"/>
      <c r="I1653" s="25" t="n"/>
      <c r="U1653" s="19">
        <f>IF($V1653&lt;&gt;'設定'!$C$4,N(U1652),IF(OR(NOT(COUNTIF('商品マスタ'!$B$6:$B$1005,$W1653)=0),COUNTIFS('①在庫を貼る'!$V$6:$V$10005,$V1653,'①在庫を貼る'!$W$6:$W$10005,$W1653)+COUNTIFS('月1回_1ヶ月前の在庫'!$V$6:$V$10005,$V1653,'月1回_1ヶ月前の在庫'!$W$6:$W$10005,$W1653)&gt;0),N(U1652),N(U1652)+1))</f>
        <v/>
      </c>
      <c r="V1653" s="19">
        <f>IF($B1653="","",TEXT($B1653,"0000"))</f>
        <v/>
      </c>
      <c r="W1653" s="19">
        <f>IF($I1653="","",IF(ISNUMBER($I1653),TEXT($I1653,"0"),$I1653))</f>
        <v/>
      </c>
    </row>
    <row r="1654">
      <c r="B1654" s="25" t="n"/>
      <c r="I1654" s="25" t="n"/>
      <c r="U1654" s="19">
        <f>IF($V1654&lt;&gt;'設定'!$C$4,N(U1653),IF(OR(NOT(COUNTIF('商品マスタ'!$B$6:$B$1005,$W1654)=0),COUNTIFS('①在庫を貼る'!$V$6:$V$10005,$V1654,'①在庫を貼る'!$W$6:$W$10005,$W1654)+COUNTIFS('月1回_1ヶ月前の在庫'!$V$6:$V$10005,$V1654,'月1回_1ヶ月前の在庫'!$W$6:$W$10005,$W1654)&gt;0),N(U1653),N(U1653)+1))</f>
        <v/>
      </c>
      <c r="V1654" s="19">
        <f>IF($B1654="","",TEXT($B1654,"0000"))</f>
        <v/>
      </c>
      <c r="W1654" s="19">
        <f>IF($I1654="","",IF(ISNUMBER($I1654),TEXT($I1654,"0"),$I1654))</f>
        <v/>
      </c>
    </row>
    <row r="1655">
      <c r="B1655" s="25" t="n"/>
      <c r="I1655" s="25" t="n"/>
      <c r="U1655" s="19">
        <f>IF($V1655&lt;&gt;'設定'!$C$4,N(U1654),IF(OR(NOT(COUNTIF('商品マスタ'!$B$6:$B$1005,$W1655)=0),COUNTIFS('①在庫を貼る'!$V$6:$V$10005,$V1655,'①在庫を貼る'!$W$6:$W$10005,$W1655)+COUNTIFS('月1回_1ヶ月前の在庫'!$V$6:$V$10005,$V1655,'月1回_1ヶ月前の在庫'!$W$6:$W$10005,$W1655)&gt;0),N(U1654),N(U1654)+1))</f>
        <v/>
      </c>
      <c r="V1655" s="19">
        <f>IF($B1655="","",TEXT($B1655,"0000"))</f>
        <v/>
      </c>
      <c r="W1655" s="19">
        <f>IF($I1655="","",IF(ISNUMBER($I1655),TEXT($I1655,"0"),$I1655))</f>
        <v/>
      </c>
    </row>
    <row r="1656">
      <c r="B1656" s="25" t="n"/>
      <c r="I1656" s="25" t="n"/>
      <c r="U1656" s="19">
        <f>IF($V1656&lt;&gt;'設定'!$C$4,N(U1655),IF(OR(NOT(COUNTIF('商品マスタ'!$B$6:$B$1005,$W1656)=0),COUNTIFS('①在庫を貼る'!$V$6:$V$10005,$V1656,'①在庫を貼る'!$W$6:$W$10005,$W1656)+COUNTIFS('月1回_1ヶ月前の在庫'!$V$6:$V$10005,$V1656,'月1回_1ヶ月前の在庫'!$W$6:$W$10005,$W1656)&gt;0),N(U1655),N(U1655)+1))</f>
        <v/>
      </c>
      <c r="V1656" s="19">
        <f>IF($B1656="","",TEXT($B1656,"0000"))</f>
        <v/>
      </c>
      <c r="W1656" s="19">
        <f>IF($I1656="","",IF(ISNUMBER($I1656),TEXT($I1656,"0"),$I1656))</f>
        <v/>
      </c>
    </row>
    <row r="1657">
      <c r="B1657" s="25" t="n"/>
      <c r="I1657" s="25" t="n"/>
      <c r="U1657" s="19">
        <f>IF($V1657&lt;&gt;'設定'!$C$4,N(U1656),IF(OR(NOT(COUNTIF('商品マスタ'!$B$6:$B$1005,$W1657)=0),COUNTIFS('①在庫を貼る'!$V$6:$V$10005,$V1657,'①在庫を貼る'!$W$6:$W$10005,$W1657)+COUNTIFS('月1回_1ヶ月前の在庫'!$V$6:$V$10005,$V1657,'月1回_1ヶ月前の在庫'!$W$6:$W$10005,$W1657)&gt;0),N(U1656),N(U1656)+1))</f>
        <v/>
      </c>
      <c r="V1657" s="19">
        <f>IF($B1657="","",TEXT($B1657,"0000"))</f>
        <v/>
      </c>
      <c r="W1657" s="19">
        <f>IF($I1657="","",IF(ISNUMBER($I1657),TEXT($I1657,"0"),$I1657))</f>
        <v/>
      </c>
    </row>
    <row r="1658">
      <c r="B1658" s="25" t="n"/>
      <c r="I1658" s="25" t="n"/>
      <c r="U1658" s="19">
        <f>IF($V1658&lt;&gt;'設定'!$C$4,N(U1657),IF(OR(NOT(COUNTIF('商品マスタ'!$B$6:$B$1005,$W1658)=0),COUNTIFS('①在庫を貼る'!$V$6:$V$10005,$V1658,'①在庫を貼る'!$W$6:$W$10005,$W1658)+COUNTIFS('月1回_1ヶ月前の在庫'!$V$6:$V$10005,$V1658,'月1回_1ヶ月前の在庫'!$W$6:$W$10005,$W1658)&gt;0),N(U1657),N(U1657)+1))</f>
        <v/>
      </c>
      <c r="V1658" s="19">
        <f>IF($B1658="","",TEXT($B1658,"0000"))</f>
        <v/>
      </c>
      <c r="W1658" s="19">
        <f>IF($I1658="","",IF(ISNUMBER($I1658),TEXT($I1658,"0"),$I1658))</f>
        <v/>
      </c>
    </row>
    <row r="1659">
      <c r="B1659" s="25" t="n"/>
      <c r="I1659" s="25" t="n"/>
      <c r="U1659" s="19">
        <f>IF($V1659&lt;&gt;'設定'!$C$4,N(U1658),IF(OR(NOT(COUNTIF('商品マスタ'!$B$6:$B$1005,$W1659)=0),COUNTIFS('①在庫を貼る'!$V$6:$V$10005,$V1659,'①在庫を貼る'!$W$6:$W$10005,$W1659)+COUNTIFS('月1回_1ヶ月前の在庫'!$V$6:$V$10005,$V1659,'月1回_1ヶ月前の在庫'!$W$6:$W$10005,$W1659)&gt;0),N(U1658),N(U1658)+1))</f>
        <v/>
      </c>
      <c r="V1659" s="19">
        <f>IF($B1659="","",TEXT($B1659,"0000"))</f>
        <v/>
      </c>
      <c r="W1659" s="19">
        <f>IF($I1659="","",IF(ISNUMBER($I1659),TEXT($I1659,"0"),$I1659))</f>
        <v/>
      </c>
    </row>
    <row r="1660">
      <c r="B1660" s="25" t="n"/>
      <c r="I1660" s="25" t="n"/>
      <c r="U1660" s="19">
        <f>IF($V1660&lt;&gt;'設定'!$C$4,N(U1659),IF(OR(NOT(COUNTIF('商品マスタ'!$B$6:$B$1005,$W1660)=0),COUNTIFS('①在庫を貼る'!$V$6:$V$10005,$V1660,'①在庫を貼る'!$W$6:$W$10005,$W1660)+COUNTIFS('月1回_1ヶ月前の在庫'!$V$6:$V$10005,$V1660,'月1回_1ヶ月前の在庫'!$W$6:$W$10005,$W1660)&gt;0),N(U1659),N(U1659)+1))</f>
        <v/>
      </c>
      <c r="V1660" s="19">
        <f>IF($B1660="","",TEXT($B1660,"0000"))</f>
        <v/>
      </c>
      <c r="W1660" s="19">
        <f>IF($I1660="","",IF(ISNUMBER($I1660),TEXT($I1660,"0"),$I1660))</f>
        <v/>
      </c>
    </row>
    <row r="1661">
      <c r="B1661" s="25" t="n"/>
      <c r="I1661" s="25" t="n"/>
      <c r="U1661" s="19">
        <f>IF($V1661&lt;&gt;'設定'!$C$4,N(U1660),IF(OR(NOT(COUNTIF('商品マスタ'!$B$6:$B$1005,$W1661)=0),COUNTIFS('①在庫を貼る'!$V$6:$V$10005,$V1661,'①在庫を貼る'!$W$6:$W$10005,$W1661)+COUNTIFS('月1回_1ヶ月前の在庫'!$V$6:$V$10005,$V1661,'月1回_1ヶ月前の在庫'!$W$6:$W$10005,$W1661)&gt;0),N(U1660),N(U1660)+1))</f>
        <v/>
      </c>
      <c r="V1661" s="19">
        <f>IF($B1661="","",TEXT($B1661,"0000"))</f>
        <v/>
      </c>
      <c r="W1661" s="19">
        <f>IF($I1661="","",IF(ISNUMBER($I1661),TEXT($I1661,"0"),$I1661))</f>
        <v/>
      </c>
    </row>
    <row r="1662">
      <c r="B1662" s="25" t="n"/>
      <c r="I1662" s="25" t="n"/>
      <c r="U1662" s="19">
        <f>IF($V1662&lt;&gt;'設定'!$C$4,N(U1661),IF(OR(NOT(COUNTIF('商品マスタ'!$B$6:$B$1005,$W1662)=0),COUNTIFS('①在庫を貼る'!$V$6:$V$10005,$V1662,'①在庫を貼る'!$W$6:$W$10005,$W1662)+COUNTIFS('月1回_1ヶ月前の在庫'!$V$6:$V$10005,$V1662,'月1回_1ヶ月前の在庫'!$W$6:$W$10005,$W1662)&gt;0),N(U1661),N(U1661)+1))</f>
        <v/>
      </c>
      <c r="V1662" s="19">
        <f>IF($B1662="","",TEXT($B1662,"0000"))</f>
        <v/>
      </c>
      <c r="W1662" s="19">
        <f>IF($I1662="","",IF(ISNUMBER($I1662),TEXT($I1662,"0"),$I1662))</f>
        <v/>
      </c>
    </row>
    <row r="1663">
      <c r="B1663" s="25" t="n"/>
      <c r="I1663" s="25" t="n"/>
      <c r="U1663" s="19">
        <f>IF($V1663&lt;&gt;'設定'!$C$4,N(U1662),IF(OR(NOT(COUNTIF('商品マスタ'!$B$6:$B$1005,$W1663)=0),COUNTIFS('①在庫を貼る'!$V$6:$V$10005,$V1663,'①在庫を貼る'!$W$6:$W$10005,$W1663)+COUNTIFS('月1回_1ヶ月前の在庫'!$V$6:$V$10005,$V1663,'月1回_1ヶ月前の在庫'!$W$6:$W$10005,$W1663)&gt;0),N(U1662),N(U1662)+1))</f>
        <v/>
      </c>
      <c r="V1663" s="19">
        <f>IF($B1663="","",TEXT($B1663,"0000"))</f>
        <v/>
      </c>
      <c r="W1663" s="19">
        <f>IF($I1663="","",IF(ISNUMBER($I1663),TEXT($I1663,"0"),$I1663))</f>
        <v/>
      </c>
    </row>
    <row r="1664">
      <c r="B1664" s="25" t="n"/>
      <c r="I1664" s="25" t="n"/>
      <c r="U1664" s="19">
        <f>IF($V1664&lt;&gt;'設定'!$C$4,N(U1663),IF(OR(NOT(COUNTIF('商品マスタ'!$B$6:$B$1005,$W1664)=0),COUNTIFS('①在庫を貼る'!$V$6:$V$10005,$V1664,'①在庫を貼る'!$W$6:$W$10005,$W1664)+COUNTIFS('月1回_1ヶ月前の在庫'!$V$6:$V$10005,$V1664,'月1回_1ヶ月前の在庫'!$W$6:$W$10005,$W1664)&gt;0),N(U1663),N(U1663)+1))</f>
        <v/>
      </c>
      <c r="V1664" s="19">
        <f>IF($B1664="","",TEXT($B1664,"0000"))</f>
        <v/>
      </c>
      <c r="W1664" s="19">
        <f>IF($I1664="","",IF(ISNUMBER($I1664),TEXT($I1664,"0"),$I1664))</f>
        <v/>
      </c>
    </row>
    <row r="1665">
      <c r="B1665" s="25" t="n"/>
      <c r="I1665" s="25" t="n"/>
      <c r="U1665" s="19">
        <f>IF($V1665&lt;&gt;'設定'!$C$4,N(U1664),IF(OR(NOT(COUNTIF('商品マスタ'!$B$6:$B$1005,$W1665)=0),COUNTIFS('①在庫を貼る'!$V$6:$V$10005,$V1665,'①在庫を貼る'!$W$6:$W$10005,$W1665)+COUNTIFS('月1回_1ヶ月前の在庫'!$V$6:$V$10005,$V1665,'月1回_1ヶ月前の在庫'!$W$6:$W$10005,$W1665)&gt;0),N(U1664),N(U1664)+1))</f>
        <v/>
      </c>
      <c r="V1665" s="19">
        <f>IF($B1665="","",TEXT($B1665,"0000"))</f>
        <v/>
      </c>
      <c r="W1665" s="19">
        <f>IF($I1665="","",IF(ISNUMBER($I1665),TEXT($I1665,"0"),$I1665))</f>
        <v/>
      </c>
    </row>
    <row r="1666">
      <c r="B1666" s="25" t="n"/>
      <c r="I1666" s="25" t="n"/>
      <c r="U1666" s="19">
        <f>IF($V1666&lt;&gt;'設定'!$C$4,N(U1665),IF(OR(NOT(COUNTIF('商品マスタ'!$B$6:$B$1005,$W1666)=0),COUNTIFS('①在庫を貼る'!$V$6:$V$10005,$V1666,'①在庫を貼る'!$W$6:$W$10005,$W1666)+COUNTIFS('月1回_1ヶ月前の在庫'!$V$6:$V$10005,$V1666,'月1回_1ヶ月前の在庫'!$W$6:$W$10005,$W1666)&gt;0),N(U1665),N(U1665)+1))</f>
        <v/>
      </c>
      <c r="V1666" s="19">
        <f>IF($B1666="","",TEXT($B1666,"0000"))</f>
        <v/>
      </c>
      <c r="W1666" s="19">
        <f>IF($I1666="","",IF(ISNUMBER($I1666),TEXT($I1666,"0"),$I1666))</f>
        <v/>
      </c>
    </row>
    <row r="1667">
      <c r="B1667" s="25" t="n"/>
      <c r="I1667" s="25" t="n"/>
      <c r="U1667" s="19">
        <f>IF($V1667&lt;&gt;'設定'!$C$4,N(U1666),IF(OR(NOT(COUNTIF('商品マスタ'!$B$6:$B$1005,$W1667)=0),COUNTIFS('①在庫を貼る'!$V$6:$V$10005,$V1667,'①在庫を貼る'!$W$6:$W$10005,$W1667)+COUNTIFS('月1回_1ヶ月前の在庫'!$V$6:$V$10005,$V1667,'月1回_1ヶ月前の在庫'!$W$6:$W$10005,$W1667)&gt;0),N(U1666),N(U1666)+1))</f>
        <v/>
      </c>
      <c r="V1667" s="19">
        <f>IF($B1667="","",TEXT($B1667,"0000"))</f>
        <v/>
      </c>
      <c r="W1667" s="19">
        <f>IF($I1667="","",IF(ISNUMBER($I1667),TEXT($I1667,"0"),$I1667))</f>
        <v/>
      </c>
    </row>
    <row r="1668">
      <c r="B1668" s="25" t="n"/>
      <c r="I1668" s="25" t="n"/>
      <c r="U1668" s="19">
        <f>IF($V1668&lt;&gt;'設定'!$C$4,N(U1667),IF(OR(NOT(COUNTIF('商品マスタ'!$B$6:$B$1005,$W1668)=0),COUNTIFS('①在庫を貼る'!$V$6:$V$10005,$V1668,'①在庫を貼る'!$W$6:$W$10005,$W1668)+COUNTIFS('月1回_1ヶ月前の在庫'!$V$6:$V$10005,$V1668,'月1回_1ヶ月前の在庫'!$W$6:$W$10005,$W1668)&gt;0),N(U1667),N(U1667)+1))</f>
        <v/>
      </c>
      <c r="V1668" s="19">
        <f>IF($B1668="","",TEXT($B1668,"0000"))</f>
        <v/>
      </c>
      <c r="W1668" s="19">
        <f>IF($I1668="","",IF(ISNUMBER($I1668),TEXT($I1668,"0"),$I1668))</f>
        <v/>
      </c>
    </row>
    <row r="1669">
      <c r="B1669" s="25" t="n"/>
      <c r="I1669" s="25" t="n"/>
      <c r="U1669" s="19">
        <f>IF($V1669&lt;&gt;'設定'!$C$4,N(U1668),IF(OR(NOT(COUNTIF('商品マスタ'!$B$6:$B$1005,$W1669)=0),COUNTIFS('①在庫を貼る'!$V$6:$V$10005,$V1669,'①在庫を貼る'!$W$6:$W$10005,$W1669)+COUNTIFS('月1回_1ヶ月前の在庫'!$V$6:$V$10005,$V1669,'月1回_1ヶ月前の在庫'!$W$6:$W$10005,$W1669)&gt;0),N(U1668),N(U1668)+1))</f>
        <v/>
      </c>
      <c r="V1669" s="19">
        <f>IF($B1669="","",TEXT($B1669,"0000"))</f>
        <v/>
      </c>
      <c r="W1669" s="19">
        <f>IF($I1669="","",IF(ISNUMBER($I1669),TEXT($I1669,"0"),$I1669))</f>
        <v/>
      </c>
    </row>
    <row r="1670">
      <c r="B1670" s="25" t="n"/>
      <c r="I1670" s="25" t="n"/>
      <c r="U1670" s="19">
        <f>IF($V1670&lt;&gt;'設定'!$C$4,N(U1669),IF(OR(NOT(COUNTIF('商品マスタ'!$B$6:$B$1005,$W1670)=0),COUNTIFS('①在庫を貼る'!$V$6:$V$10005,$V1670,'①在庫を貼る'!$W$6:$W$10005,$W1670)+COUNTIFS('月1回_1ヶ月前の在庫'!$V$6:$V$10005,$V1670,'月1回_1ヶ月前の在庫'!$W$6:$W$10005,$W1670)&gt;0),N(U1669),N(U1669)+1))</f>
        <v/>
      </c>
      <c r="V1670" s="19">
        <f>IF($B1670="","",TEXT($B1670,"0000"))</f>
        <v/>
      </c>
      <c r="W1670" s="19">
        <f>IF($I1670="","",IF(ISNUMBER($I1670),TEXT($I1670,"0"),$I1670))</f>
        <v/>
      </c>
    </row>
    <row r="1671">
      <c r="B1671" s="25" t="n"/>
      <c r="I1671" s="25" t="n"/>
      <c r="U1671" s="19">
        <f>IF($V1671&lt;&gt;'設定'!$C$4,N(U1670),IF(OR(NOT(COUNTIF('商品マスタ'!$B$6:$B$1005,$W1671)=0),COUNTIFS('①在庫を貼る'!$V$6:$V$10005,$V1671,'①在庫を貼る'!$W$6:$W$10005,$W1671)+COUNTIFS('月1回_1ヶ月前の在庫'!$V$6:$V$10005,$V1671,'月1回_1ヶ月前の在庫'!$W$6:$W$10005,$W1671)&gt;0),N(U1670),N(U1670)+1))</f>
        <v/>
      </c>
      <c r="V1671" s="19">
        <f>IF($B1671="","",TEXT($B1671,"0000"))</f>
        <v/>
      </c>
      <c r="W1671" s="19">
        <f>IF($I1671="","",IF(ISNUMBER($I1671),TEXT($I1671,"0"),$I1671))</f>
        <v/>
      </c>
    </row>
    <row r="1672">
      <c r="B1672" s="25" t="n"/>
      <c r="I1672" s="25" t="n"/>
      <c r="U1672" s="19">
        <f>IF($V1672&lt;&gt;'設定'!$C$4,N(U1671),IF(OR(NOT(COUNTIF('商品マスタ'!$B$6:$B$1005,$W1672)=0),COUNTIFS('①在庫を貼る'!$V$6:$V$10005,$V1672,'①在庫を貼る'!$W$6:$W$10005,$W1672)+COUNTIFS('月1回_1ヶ月前の在庫'!$V$6:$V$10005,$V1672,'月1回_1ヶ月前の在庫'!$W$6:$W$10005,$W1672)&gt;0),N(U1671),N(U1671)+1))</f>
        <v/>
      </c>
      <c r="V1672" s="19">
        <f>IF($B1672="","",TEXT($B1672,"0000"))</f>
        <v/>
      </c>
      <c r="W1672" s="19">
        <f>IF($I1672="","",IF(ISNUMBER($I1672),TEXT($I1672,"0"),$I1672))</f>
        <v/>
      </c>
    </row>
    <row r="1673">
      <c r="B1673" s="25" t="n"/>
      <c r="I1673" s="25" t="n"/>
      <c r="U1673" s="19">
        <f>IF($V1673&lt;&gt;'設定'!$C$4,N(U1672),IF(OR(NOT(COUNTIF('商品マスタ'!$B$6:$B$1005,$W1673)=0),COUNTIFS('①在庫を貼る'!$V$6:$V$10005,$V1673,'①在庫を貼る'!$W$6:$W$10005,$W1673)+COUNTIFS('月1回_1ヶ月前の在庫'!$V$6:$V$10005,$V1673,'月1回_1ヶ月前の在庫'!$W$6:$W$10005,$W1673)&gt;0),N(U1672),N(U1672)+1))</f>
        <v/>
      </c>
      <c r="V1673" s="19">
        <f>IF($B1673="","",TEXT($B1673,"0000"))</f>
        <v/>
      </c>
      <c r="W1673" s="19">
        <f>IF($I1673="","",IF(ISNUMBER($I1673),TEXT($I1673,"0"),$I1673))</f>
        <v/>
      </c>
    </row>
    <row r="1674">
      <c r="B1674" s="25" t="n"/>
      <c r="I1674" s="25" t="n"/>
      <c r="U1674" s="19">
        <f>IF($V1674&lt;&gt;'設定'!$C$4,N(U1673),IF(OR(NOT(COUNTIF('商品マスタ'!$B$6:$B$1005,$W1674)=0),COUNTIFS('①在庫を貼る'!$V$6:$V$10005,$V1674,'①在庫を貼る'!$W$6:$W$10005,$W1674)+COUNTIFS('月1回_1ヶ月前の在庫'!$V$6:$V$10005,$V1674,'月1回_1ヶ月前の在庫'!$W$6:$W$10005,$W1674)&gt;0),N(U1673),N(U1673)+1))</f>
        <v/>
      </c>
      <c r="V1674" s="19">
        <f>IF($B1674="","",TEXT($B1674,"0000"))</f>
        <v/>
      </c>
      <c r="W1674" s="19">
        <f>IF($I1674="","",IF(ISNUMBER($I1674),TEXT($I1674,"0"),$I1674))</f>
        <v/>
      </c>
    </row>
    <row r="1675">
      <c r="B1675" s="25" t="n"/>
      <c r="I1675" s="25" t="n"/>
      <c r="U1675" s="19">
        <f>IF($V1675&lt;&gt;'設定'!$C$4,N(U1674),IF(OR(NOT(COUNTIF('商品マスタ'!$B$6:$B$1005,$W1675)=0),COUNTIFS('①在庫を貼る'!$V$6:$V$10005,$V1675,'①在庫を貼る'!$W$6:$W$10005,$W1675)+COUNTIFS('月1回_1ヶ月前の在庫'!$V$6:$V$10005,$V1675,'月1回_1ヶ月前の在庫'!$W$6:$W$10005,$W1675)&gt;0),N(U1674),N(U1674)+1))</f>
        <v/>
      </c>
      <c r="V1675" s="19">
        <f>IF($B1675="","",TEXT($B1675,"0000"))</f>
        <v/>
      </c>
      <c r="W1675" s="19">
        <f>IF($I1675="","",IF(ISNUMBER($I1675),TEXT($I1675,"0"),$I1675))</f>
        <v/>
      </c>
    </row>
    <row r="1676">
      <c r="B1676" s="25" t="n"/>
      <c r="I1676" s="25" t="n"/>
      <c r="U1676" s="19">
        <f>IF($V1676&lt;&gt;'設定'!$C$4,N(U1675),IF(OR(NOT(COUNTIF('商品マスタ'!$B$6:$B$1005,$W1676)=0),COUNTIFS('①在庫を貼る'!$V$6:$V$10005,$V1676,'①在庫を貼る'!$W$6:$W$10005,$W1676)+COUNTIFS('月1回_1ヶ月前の在庫'!$V$6:$V$10005,$V1676,'月1回_1ヶ月前の在庫'!$W$6:$W$10005,$W1676)&gt;0),N(U1675),N(U1675)+1))</f>
        <v/>
      </c>
      <c r="V1676" s="19">
        <f>IF($B1676="","",TEXT($B1676,"0000"))</f>
        <v/>
      </c>
      <c r="W1676" s="19">
        <f>IF($I1676="","",IF(ISNUMBER($I1676),TEXT($I1676,"0"),$I1676))</f>
        <v/>
      </c>
    </row>
    <row r="1677">
      <c r="B1677" s="25" t="n"/>
      <c r="I1677" s="25" t="n"/>
      <c r="U1677" s="19">
        <f>IF($V1677&lt;&gt;'設定'!$C$4,N(U1676),IF(OR(NOT(COUNTIF('商品マスタ'!$B$6:$B$1005,$W1677)=0),COUNTIFS('①在庫を貼る'!$V$6:$V$10005,$V1677,'①在庫を貼る'!$W$6:$W$10005,$W1677)+COUNTIFS('月1回_1ヶ月前の在庫'!$V$6:$V$10005,$V1677,'月1回_1ヶ月前の在庫'!$W$6:$W$10005,$W1677)&gt;0),N(U1676),N(U1676)+1))</f>
        <v/>
      </c>
      <c r="V1677" s="19">
        <f>IF($B1677="","",TEXT($B1677,"0000"))</f>
        <v/>
      </c>
      <c r="W1677" s="19">
        <f>IF($I1677="","",IF(ISNUMBER($I1677),TEXT($I1677,"0"),$I1677))</f>
        <v/>
      </c>
    </row>
    <row r="1678">
      <c r="B1678" s="25" t="n"/>
      <c r="I1678" s="25" t="n"/>
      <c r="U1678" s="19">
        <f>IF($V1678&lt;&gt;'設定'!$C$4,N(U1677),IF(OR(NOT(COUNTIF('商品マスタ'!$B$6:$B$1005,$W1678)=0),COUNTIFS('①在庫を貼る'!$V$6:$V$10005,$V1678,'①在庫を貼る'!$W$6:$W$10005,$W1678)+COUNTIFS('月1回_1ヶ月前の在庫'!$V$6:$V$10005,$V1678,'月1回_1ヶ月前の在庫'!$W$6:$W$10005,$W1678)&gt;0),N(U1677),N(U1677)+1))</f>
        <v/>
      </c>
      <c r="V1678" s="19">
        <f>IF($B1678="","",TEXT($B1678,"0000"))</f>
        <v/>
      </c>
      <c r="W1678" s="19">
        <f>IF($I1678="","",IF(ISNUMBER($I1678),TEXT($I1678,"0"),$I1678))</f>
        <v/>
      </c>
    </row>
    <row r="1679">
      <c r="B1679" s="25" t="n"/>
      <c r="I1679" s="25" t="n"/>
      <c r="U1679" s="19">
        <f>IF($V1679&lt;&gt;'設定'!$C$4,N(U1678),IF(OR(NOT(COUNTIF('商品マスタ'!$B$6:$B$1005,$W1679)=0),COUNTIFS('①在庫を貼る'!$V$6:$V$10005,$V1679,'①在庫を貼る'!$W$6:$W$10005,$W1679)+COUNTIFS('月1回_1ヶ月前の在庫'!$V$6:$V$10005,$V1679,'月1回_1ヶ月前の在庫'!$W$6:$W$10005,$W1679)&gt;0),N(U1678),N(U1678)+1))</f>
        <v/>
      </c>
      <c r="V1679" s="19">
        <f>IF($B1679="","",TEXT($B1679,"0000"))</f>
        <v/>
      </c>
      <c r="W1679" s="19">
        <f>IF($I1679="","",IF(ISNUMBER($I1679),TEXT($I1679,"0"),$I1679))</f>
        <v/>
      </c>
    </row>
    <row r="1680">
      <c r="B1680" s="25" t="n"/>
      <c r="I1680" s="25" t="n"/>
      <c r="U1680" s="19">
        <f>IF($V1680&lt;&gt;'設定'!$C$4,N(U1679),IF(OR(NOT(COUNTIF('商品マスタ'!$B$6:$B$1005,$W1680)=0),COUNTIFS('①在庫を貼る'!$V$6:$V$10005,$V1680,'①在庫を貼る'!$W$6:$W$10005,$W1680)+COUNTIFS('月1回_1ヶ月前の在庫'!$V$6:$V$10005,$V1680,'月1回_1ヶ月前の在庫'!$W$6:$W$10005,$W1680)&gt;0),N(U1679),N(U1679)+1))</f>
        <v/>
      </c>
      <c r="V1680" s="19">
        <f>IF($B1680="","",TEXT($B1680,"0000"))</f>
        <v/>
      </c>
      <c r="W1680" s="19">
        <f>IF($I1680="","",IF(ISNUMBER($I1680),TEXT($I1680,"0"),$I1680))</f>
        <v/>
      </c>
    </row>
    <row r="1681">
      <c r="B1681" s="25" t="n"/>
      <c r="I1681" s="25" t="n"/>
      <c r="U1681" s="19">
        <f>IF($V1681&lt;&gt;'設定'!$C$4,N(U1680),IF(OR(NOT(COUNTIF('商品マスタ'!$B$6:$B$1005,$W1681)=0),COUNTIFS('①在庫を貼る'!$V$6:$V$10005,$V1681,'①在庫を貼る'!$W$6:$W$10005,$W1681)+COUNTIFS('月1回_1ヶ月前の在庫'!$V$6:$V$10005,$V1681,'月1回_1ヶ月前の在庫'!$W$6:$W$10005,$W1681)&gt;0),N(U1680),N(U1680)+1))</f>
        <v/>
      </c>
      <c r="V1681" s="19">
        <f>IF($B1681="","",TEXT($B1681,"0000"))</f>
        <v/>
      </c>
      <c r="W1681" s="19">
        <f>IF($I1681="","",IF(ISNUMBER($I1681),TEXT($I1681,"0"),$I1681))</f>
        <v/>
      </c>
    </row>
    <row r="1682">
      <c r="B1682" s="25" t="n"/>
      <c r="I1682" s="25" t="n"/>
      <c r="U1682" s="19">
        <f>IF($V1682&lt;&gt;'設定'!$C$4,N(U1681),IF(OR(NOT(COUNTIF('商品マスタ'!$B$6:$B$1005,$W1682)=0),COUNTIFS('①在庫を貼る'!$V$6:$V$10005,$V1682,'①在庫を貼る'!$W$6:$W$10005,$W1682)+COUNTIFS('月1回_1ヶ月前の在庫'!$V$6:$V$10005,$V1682,'月1回_1ヶ月前の在庫'!$W$6:$W$10005,$W1682)&gt;0),N(U1681),N(U1681)+1))</f>
        <v/>
      </c>
      <c r="V1682" s="19">
        <f>IF($B1682="","",TEXT($B1682,"0000"))</f>
        <v/>
      </c>
      <c r="W1682" s="19">
        <f>IF($I1682="","",IF(ISNUMBER($I1682),TEXT($I1682,"0"),$I1682))</f>
        <v/>
      </c>
    </row>
    <row r="1683">
      <c r="B1683" s="25" t="n"/>
      <c r="I1683" s="25" t="n"/>
      <c r="U1683" s="19">
        <f>IF($V1683&lt;&gt;'設定'!$C$4,N(U1682),IF(OR(NOT(COUNTIF('商品マスタ'!$B$6:$B$1005,$W1683)=0),COUNTIFS('①在庫を貼る'!$V$6:$V$10005,$V1683,'①在庫を貼る'!$W$6:$W$10005,$W1683)+COUNTIFS('月1回_1ヶ月前の在庫'!$V$6:$V$10005,$V1683,'月1回_1ヶ月前の在庫'!$W$6:$W$10005,$W1683)&gt;0),N(U1682),N(U1682)+1))</f>
        <v/>
      </c>
      <c r="V1683" s="19">
        <f>IF($B1683="","",TEXT($B1683,"0000"))</f>
        <v/>
      </c>
      <c r="W1683" s="19">
        <f>IF($I1683="","",IF(ISNUMBER($I1683),TEXT($I1683,"0"),$I1683))</f>
        <v/>
      </c>
    </row>
    <row r="1684">
      <c r="B1684" s="25" t="n"/>
      <c r="I1684" s="25" t="n"/>
      <c r="U1684" s="19">
        <f>IF($V1684&lt;&gt;'設定'!$C$4,N(U1683),IF(OR(NOT(COUNTIF('商品マスタ'!$B$6:$B$1005,$W1684)=0),COUNTIFS('①在庫を貼る'!$V$6:$V$10005,$V1684,'①在庫を貼る'!$W$6:$W$10005,$W1684)+COUNTIFS('月1回_1ヶ月前の在庫'!$V$6:$V$10005,$V1684,'月1回_1ヶ月前の在庫'!$W$6:$W$10005,$W1684)&gt;0),N(U1683),N(U1683)+1))</f>
        <v/>
      </c>
      <c r="V1684" s="19">
        <f>IF($B1684="","",TEXT($B1684,"0000"))</f>
        <v/>
      </c>
      <c r="W1684" s="19">
        <f>IF($I1684="","",IF(ISNUMBER($I1684),TEXT($I1684,"0"),$I1684))</f>
        <v/>
      </c>
    </row>
    <row r="1685">
      <c r="B1685" s="25" t="n"/>
      <c r="I1685" s="25" t="n"/>
      <c r="U1685" s="19">
        <f>IF($V1685&lt;&gt;'設定'!$C$4,N(U1684),IF(OR(NOT(COUNTIF('商品マスタ'!$B$6:$B$1005,$W1685)=0),COUNTIFS('①在庫を貼る'!$V$6:$V$10005,$V1685,'①在庫を貼る'!$W$6:$W$10005,$W1685)+COUNTIFS('月1回_1ヶ月前の在庫'!$V$6:$V$10005,$V1685,'月1回_1ヶ月前の在庫'!$W$6:$W$10005,$W1685)&gt;0),N(U1684),N(U1684)+1))</f>
        <v/>
      </c>
      <c r="V1685" s="19">
        <f>IF($B1685="","",TEXT($B1685,"0000"))</f>
        <v/>
      </c>
      <c r="W1685" s="19">
        <f>IF($I1685="","",IF(ISNUMBER($I1685),TEXT($I1685,"0"),$I1685))</f>
        <v/>
      </c>
    </row>
    <row r="1686">
      <c r="B1686" s="25" t="n"/>
      <c r="I1686" s="25" t="n"/>
      <c r="U1686" s="19">
        <f>IF($V1686&lt;&gt;'設定'!$C$4,N(U1685),IF(OR(NOT(COUNTIF('商品マスタ'!$B$6:$B$1005,$W1686)=0),COUNTIFS('①在庫を貼る'!$V$6:$V$10005,$V1686,'①在庫を貼る'!$W$6:$W$10005,$W1686)+COUNTIFS('月1回_1ヶ月前の在庫'!$V$6:$V$10005,$V1686,'月1回_1ヶ月前の在庫'!$W$6:$W$10005,$W1686)&gt;0),N(U1685),N(U1685)+1))</f>
        <v/>
      </c>
      <c r="V1686" s="19">
        <f>IF($B1686="","",TEXT($B1686,"0000"))</f>
        <v/>
      </c>
      <c r="W1686" s="19">
        <f>IF($I1686="","",IF(ISNUMBER($I1686),TEXT($I1686,"0"),$I1686))</f>
        <v/>
      </c>
    </row>
    <row r="1687">
      <c r="B1687" s="25" t="n"/>
      <c r="I1687" s="25" t="n"/>
      <c r="U1687" s="19">
        <f>IF($V1687&lt;&gt;'設定'!$C$4,N(U1686),IF(OR(NOT(COUNTIF('商品マスタ'!$B$6:$B$1005,$W1687)=0),COUNTIFS('①在庫を貼る'!$V$6:$V$10005,$V1687,'①在庫を貼る'!$W$6:$W$10005,$W1687)+COUNTIFS('月1回_1ヶ月前の在庫'!$V$6:$V$10005,$V1687,'月1回_1ヶ月前の在庫'!$W$6:$W$10005,$W1687)&gt;0),N(U1686),N(U1686)+1))</f>
        <v/>
      </c>
      <c r="V1687" s="19">
        <f>IF($B1687="","",TEXT($B1687,"0000"))</f>
        <v/>
      </c>
      <c r="W1687" s="19">
        <f>IF($I1687="","",IF(ISNUMBER($I1687),TEXT($I1687,"0"),$I1687))</f>
        <v/>
      </c>
    </row>
    <row r="1688">
      <c r="B1688" s="25" t="n"/>
      <c r="I1688" s="25" t="n"/>
      <c r="U1688" s="19">
        <f>IF($V1688&lt;&gt;'設定'!$C$4,N(U1687),IF(OR(NOT(COUNTIF('商品マスタ'!$B$6:$B$1005,$W1688)=0),COUNTIFS('①在庫を貼る'!$V$6:$V$10005,$V1688,'①在庫を貼る'!$W$6:$W$10005,$W1688)+COUNTIFS('月1回_1ヶ月前の在庫'!$V$6:$V$10005,$V1688,'月1回_1ヶ月前の在庫'!$W$6:$W$10005,$W1688)&gt;0),N(U1687),N(U1687)+1))</f>
        <v/>
      </c>
      <c r="V1688" s="19">
        <f>IF($B1688="","",TEXT($B1688,"0000"))</f>
        <v/>
      </c>
      <c r="W1688" s="19">
        <f>IF($I1688="","",IF(ISNUMBER($I1688),TEXT($I1688,"0"),$I1688))</f>
        <v/>
      </c>
    </row>
    <row r="1689">
      <c r="B1689" s="25" t="n"/>
      <c r="I1689" s="25" t="n"/>
      <c r="U1689" s="19">
        <f>IF($V1689&lt;&gt;'設定'!$C$4,N(U1688),IF(OR(NOT(COUNTIF('商品マスタ'!$B$6:$B$1005,$W1689)=0),COUNTIFS('①在庫を貼る'!$V$6:$V$10005,$V1689,'①在庫を貼る'!$W$6:$W$10005,$W1689)+COUNTIFS('月1回_1ヶ月前の在庫'!$V$6:$V$10005,$V1689,'月1回_1ヶ月前の在庫'!$W$6:$W$10005,$W1689)&gt;0),N(U1688),N(U1688)+1))</f>
        <v/>
      </c>
      <c r="V1689" s="19">
        <f>IF($B1689="","",TEXT($B1689,"0000"))</f>
        <v/>
      </c>
      <c r="W1689" s="19">
        <f>IF($I1689="","",IF(ISNUMBER($I1689),TEXT($I1689,"0"),$I1689))</f>
        <v/>
      </c>
    </row>
    <row r="1690">
      <c r="B1690" s="25" t="n"/>
      <c r="I1690" s="25" t="n"/>
      <c r="U1690" s="19">
        <f>IF($V1690&lt;&gt;'設定'!$C$4,N(U1689),IF(OR(NOT(COUNTIF('商品マスタ'!$B$6:$B$1005,$W1690)=0),COUNTIFS('①在庫を貼る'!$V$6:$V$10005,$V1690,'①在庫を貼る'!$W$6:$W$10005,$W1690)+COUNTIFS('月1回_1ヶ月前の在庫'!$V$6:$V$10005,$V1690,'月1回_1ヶ月前の在庫'!$W$6:$W$10005,$W1690)&gt;0),N(U1689),N(U1689)+1))</f>
        <v/>
      </c>
      <c r="V1690" s="19">
        <f>IF($B1690="","",TEXT($B1690,"0000"))</f>
        <v/>
      </c>
      <c r="W1690" s="19">
        <f>IF($I1690="","",IF(ISNUMBER($I1690),TEXT($I1690,"0"),$I1690))</f>
        <v/>
      </c>
    </row>
    <row r="1691">
      <c r="B1691" s="25" t="n"/>
      <c r="I1691" s="25" t="n"/>
      <c r="U1691" s="19">
        <f>IF($V1691&lt;&gt;'設定'!$C$4,N(U1690),IF(OR(NOT(COUNTIF('商品マスタ'!$B$6:$B$1005,$W1691)=0),COUNTIFS('①在庫を貼る'!$V$6:$V$10005,$V1691,'①在庫を貼る'!$W$6:$W$10005,$W1691)+COUNTIFS('月1回_1ヶ月前の在庫'!$V$6:$V$10005,$V1691,'月1回_1ヶ月前の在庫'!$W$6:$W$10005,$W1691)&gt;0),N(U1690),N(U1690)+1))</f>
        <v/>
      </c>
      <c r="V1691" s="19">
        <f>IF($B1691="","",TEXT($B1691,"0000"))</f>
        <v/>
      </c>
      <c r="W1691" s="19">
        <f>IF($I1691="","",IF(ISNUMBER($I1691),TEXT($I1691,"0"),$I1691))</f>
        <v/>
      </c>
    </row>
    <row r="1692">
      <c r="B1692" s="25" t="n"/>
      <c r="I1692" s="25" t="n"/>
      <c r="U1692" s="19">
        <f>IF($V1692&lt;&gt;'設定'!$C$4,N(U1691),IF(OR(NOT(COUNTIF('商品マスタ'!$B$6:$B$1005,$W1692)=0),COUNTIFS('①在庫を貼る'!$V$6:$V$10005,$V1692,'①在庫を貼る'!$W$6:$W$10005,$W1692)+COUNTIFS('月1回_1ヶ月前の在庫'!$V$6:$V$10005,$V1692,'月1回_1ヶ月前の在庫'!$W$6:$W$10005,$W1692)&gt;0),N(U1691),N(U1691)+1))</f>
        <v/>
      </c>
      <c r="V1692" s="19">
        <f>IF($B1692="","",TEXT($B1692,"0000"))</f>
        <v/>
      </c>
      <c r="W1692" s="19">
        <f>IF($I1692="","",IF(ISNUMBER($I1692),TEXT($I1692,"0"),$I1692))</f>
        <v/>
      </c>
    </row>
    <row r="1693">
      <c r="B1693" s="25" t="n"/>
      <c r="I1693" s="25" t="n"/>
      <c r="U1693" s="19">
        <f>IF($V1693&lt;&gt;'設定'!$C$4,N(U1692),IF(OR(NOT(COUNTIF('商品マスタ'!$B$6:$B$1005,$W1693)=0),COUNTIFS('①在庫を貼る'!$V$6:$V$10005,$V1693,'①在庫を貼る'!$W$6:$W$10005,$W1693)+COUNTIFS('月1回_1ヶ月前の在庫'!$V$6:$V$10005,$V1693,'月1回_1ヶ月前の在庫'!$W$6:$W$10005,$W1693)&gt;0),N(U1692),N(U1692)+1))</f>
        <v/>
      </c>
      <c r="V1693" s="19">
        <f>IF($B1693="","",TEXT($B1693,"0000"))</f>
        <v/>
      </c>
      <c r="W1693" s="19">
        <f>IF($I1693="","",IF(ISNUMBER($I1693),TEXT($I1693,"0"),$I1693))</f>
        <v/>
      </c>
    </row>
    <row r="1694">
      <c r="B1694" s="25" t="n"/>
      <c r="I1694" s="25" t="n"/>
      <c r="U1694" s="19">
        <f>IF($V1694&lt;&gt;'設定'!$C$4,N(U1693),IF(OR(NOT(COUNTIF('商品マスタ'!$B$6:$B$1005,$W1694)=0),COUNTIFS('①在庫を貼る'!$V$6:$V$10005,$V1694,'①在庫を貼る'!$W$6:$W$10005,$W1694)+COUNTIFS('月1回_1ヶ月前の在庫'!$V$6:$V$10005,$V1694,'月1回_1ヶ月前の在庫'!$W$6:$W$10005,$W1694)&gt;0),N(U1693),N(U1693)+1))</f>
        <v/>
      </c>
      <c r="V1694" s="19">
        <f>IF($B1694="","",TEXT($B1694,"0000"))</f>
        <v/>
      </c>
      <c r="W1694" s="19">
        <f>IF($I1694="","",IF(ISNUMBER($I1694),TEXT($I1694,"0"),$I1694))</f>
        <v/>
      </c>
    </row>
    <row r="1695">
      <c r="B1695" s="25" t="n"/>
      <c r="I1695" s="25" t="n"/>
      <c r="U1695" s="19">
        <f>IF($V1695&lt;&gt;'設定'!$C$4,N(U1694),IF(OR(NOT(COUNTIF('商品マスタ'!$B$6:$B$1005,$W1695)=0),COUNTIFS('①在庫を貼る'!$V$6:$V$10005,$V1695,'①在庫を貼る'!$W$6:$W$10005,$W1695)+COUNTIFS('月1回_1ヶ月前の在庫'!$V$6:$V$10005,$V1695,'月1回_1ヶ月前の在庫'!$W$6:$W$10005,$W1695)&gt;0),N(U1694),N(U1694)+1))</f>
        <v/>
      </c>
      <c r="V1695" s="19">
        <f>IF($B1695="","",TEXT($B1695,"0000"))</f>
        <v/>
      </c>
      <c r="W1695" s="19">
        <f>IF($I1695="","",IF(ISNUMBER($I1695),TEXT($I1695,"0"),$I1695))</f>
        <v/>
      </c>
    </row>
    <row r="1696">
      <c r="B1696" s="25" t="n"/>
      <c r="I1696" s="25" t="n"/>
      <c r="U1696" s="19">
        <f>IF($V1696&lt;&gt;'設定'!$C$4,N(U1695),IF(OR(NOT(COUNTIF('商品マスタ'!$B$6:$B$1005,$W1696)=0),COUNTIFS('①在庫を貼る'!$V$6:$V$10005,$V1696,'①在庫を貼る'!$W$6:$W$10005,$W1696)+COUNTIFS('月1回_1ヶ月前の在庫'!$V$6:$V$10005,$V1696,'月1回_1ヶ月前の在庫'!$W$6:$W$10005,$W1696)&gt;0),N(U1695),N(U1695)+1))</f>
        <v/>
      </c>
      <c r="V1696" s="19">
        <f>IF($B1696="","",TEXT($B1696,"0000"))</f>
        <v/>
      </c>
      <c r="W1696" s="19">
        <f>IF($I1696="","",IF(ISNUMBER($I1696),TEXT($I1696,"0"),$I1696))</f>
        <v/>
      </c>
    </row>
    <row r="1697">
      <c r="B1697" s="25" t="n"/>
      <c r="I1697" s="25" t="n"/>
      <c r="U1697" s="19">
        <f>IF($V1697&lt;&gt;'設定'!$C$4,N(U1696),IF(OR(NOT(COUNTIF('商品マスタ'!$B$6:$B$1005,$W1697)=0),COUNTIFS('①在庫を貼る'!$V$6:$V$10005,$V1697,'①在庫を貼る'!$W$6:$W$10005,$W1697)+COUNTIFS('月1回_1ヶ月前の在庫'!$V$6:$V$10005,$V1697,'月1回_1ヶ月前の在庫'!$W$6:$W$10005,$W1697)&gt;0),N(U1696),N(U1696)+1))</f>
        <v/>
      </c>
      <c r="V1697" s="19">
        <f>IF($B1697="","",TEXT($B1697,"0000"))</f>
        <v/>
      </c>
      <c r="W1697" s="19">
        <f>IF($I1697="","",IF(ISNUMBER($I1697),TEXT($I1697,"0"),$I1697))</f>
        <v/>
      </c>
    </row>
    <row r="1698">
      <c r="B1698" s="25" t="n"/>
      <c r="I1698" s="25" t="n"/>
      <c r="U1698" s="19">
        <f>IF($V1698&lt;&gt;'設定'!$C$4,N(U1697),IF(OR(NOT(COUNTIF('商品マスタ'!$B$6:$B$1005,$W1698)=0),COUNTIFS('①在庫を貼る'!$V$6:$V$10005,$V1698,'①在庫を貼る'!$W$6:$W$10005,$W1698)+COUNTIFS('月1回_1ヶ月前の在庫'!$V$6:$V$10005,$V1698,'月1回_1ヶ月前の在庫'!$W$6:$W$10005,$W1698)&gt;0),N(U1697),N(U1697)+1))</f>
        <v/>
      </c>
      <c r="V1698" s="19">
        <f>IF($B1698="","",TEXT($B1698,"0000"))</f>
        <v/>
      </c>
      <c r="W1698" s="19">
        <f>IF($I1698="","",IF(ISNUMBER($I1698),TEXT($I1698,"0"),$I1698))</f>
        <v/>
      </c>
    </row>
    <row r="1699">
      <c r="B1699" s="25" t="n"/>
      <c r="I1699" s="25" t="n"/>
      <c r="U1699" s="19">
        <f>IF($V1699&lt;&gt;'設定'!$C$4,N(U1698),IF(OR(NOT(COUNTIF('商品マスタ'!$B$6:$B$1005,$W1699)=0),COUNTIFS('①在庫を貼る'!$V$6:$V$10005,$V1699,'①在庫を貼る'!$W$6:$W$10005,$W1699)+COUNTIFS('月1回_1ヶ月前の在庫'!$V$6:$V$10005,$V1699,'月1回_1ヶ月前の在庫'!$W$6:$W$10005,$W1699)&gt;0),N(U1698),N(U1698)+1))</f>
        <v/>
      </c>
      <c r="V1699" s="19">
        <f>IF($B1699="","",TEXT($B1699,"0000"))</f>
        <v/>
      </c>
      <c r="W1699" s="19">
        <f>IF($I1699="","",IF(ISNUMBER($I1699),TEXT($I1699,"0"),$I1699))</f>
        <v/>
      </c>
    </row>
    <row r="1700">
      <c r="B1700" s="25" t="n"/>
      <c r="I1700" s="25" t="n"/>
      <c r="U1700" s="19">
        <f>IF($V1700&lt;&gt;'設定'!$C$4,N(U1699),IF(OR(NOT(COUNTIF('商品マスタ'!$B$6:$B$1005,$W1700)=0),COUNTIFS('①在庫を貼る'!$V$6:$V$10005,$V1700,'①在庫を貼る'!$W$6:$W$10005,$W1700)+COUNTIFS('月1回_1ヶ月前の在庫'!$V$6:$V$10005,$V1700,'月1回_1ヶ月前の在庫'!$W$6:$W$10005,$W1700)&gt;0),N(U1699),N(U1699)+1))</f>
        <v/>
      </c>
      <c r="V1700" s="19">
        <f>IF($B1700="","",TEXT($B1700,"0000"))</f>
        <v/>
      </c>
      <c r="W1700" s="19">
        <f>IF($I1700="","",IF(ISNUMBER($I1700),TEXT($I1700,"0"),$I1700))</f>
        <v/>
      </c>
    </row>
    <row r="1701">
      <c r="B1701" s="25" t="n"/>
      <c r="I1701" s="25" t="n"/>
      <c r="U1701" s="19">
        <f>IF($V1701&lt;&gt;'設定'!$C$4,N(U1700),IF(OR(NOT(COUNTIF('商品マスタ'!$B$6:$B$1005,$W1701)=0),COUNTIFS('①在庫を貼る'!$V$6:$V$10005,$V1701,'①在庫を貼る'!$W$6:$W$10005,$W1701)+COUNTIFS('月1回_1ヶ月前の在庫'!$V$6:$V$10005,$V1701,'月1回_1ヶ月前の在庫'!$W$6:$W$10005,$W1701)&gt;0),N(U1700),N(U1700)+1))</f>
        <v/>
      </c>
      <c r="V1701" s="19">
        <f>IF($B1701="","",TEXT($B1701,"0000"))</f>
        <v/>
      </c>
      <c r="W1701" s="19">
        <f>IF($I1701="","",IF(ISNUMBER($I1701),TEXT($I1701,"0"),$I1701))</f>
        <v/>
      </c>
    </row>
    <row r="1702">
      <c r="B1702" s="25" t="n"/>
      <c r="I1702" s="25" t="n"/>
      <c r="U1702" s="19">
        <f>IF($V1702&lt;&gt;'設定'!$C$4,N(U1701),IF(OR(NOT(COUNTIF('商品マスタ'!$B$6:$B$1005,$W1702)=0),COUNTIFS('①在庫を貼る'!$V$6:$V$10005,$V1702,'①在庫を貼る'!$W$6:$W$10005,$W1702)+COUNTIFS('月1回_1ヶ月前の在庫'!$V$6:$V$10005,$V1702,'月1回_1ヶ月前の在庫'!$W$6:$W$10005,$W1702)&gt;0),N(U1701),N(U1701)+1))</f>
        <v/>
      </c>
      <c r="V1702" s="19">
        <f>IF($B1702="","",TEXT($B1702,"0000"))</f>
        <v/>
      </c>
      <c r="W1702" s="19">
        <f>IF($I1702="","",IF(ISNUMBER($I1702),TEXT($I1702,"0"),$I1702))</f>
        <v/>
      </c>
    </row>
    <row r="1703">
      <c r="B1703" s="25" t="n"/>
      <c r="I1703" s="25" t="n"/>
      <c r="U1703" s="19">
        <f>IF($V1703&lt;&gt;'設定'!$C$4,N(U1702),IF(OR(NOT(COUNTIF('商品マスタ'!$B$6:$B$1005,$W1703)=0),COUNTIFS('①在庫を貼る'!$V$6:$V$10005,$V1703,'①在庫を貼る'!$W$6:$W$10005,$W1703)+COUNTIFS('月1回_1ヶ月前の在庫'!$V$6:$V$10005,$V1703,'月1回_1ヶ月前の在庫'!$W$6:$W$10005,$W1703)&gt;0),N(U1702),N(U1702)+1))</f>
        <v/>
      </c>
      <c r="V1703" s="19">
        <f>IF($B1703="","",TEXT($B1703,"0000"))</f>
        <v/>
      </c>
      <c r="W1703" s="19">
        <f>IF($I1703="","",IF(ISNUMBER($I1703),TEXT($I1703,"0"),$I1703))</f>
        <v/>
      </c>
    </row>
    <row r="1704">
      <c r="B1704" s="25" t="n"/>
      <c r="I1704" s="25" t="n"/>
      <c r="U1704" s="19">
        <f>IF($V1704&lt;&gt;'設定'!$C$4,N(U1703),IF(OR(NOT(COUNTIF('商品マスタ'!$B$6:$B$1005,$W1704)=0),COUNTIFS('①在庫を貼る'!$V$6:$V$10005,$V1704,'①在庫を貼る'!$W$6:$W$10005,$W1704)+COUNTIFS('月1回_1ヶ月前の在庫'!$V$6:$V$10005,$V1704,'月1回_1ヶ月前の在庫'!$W$6:$W$10005,$W1704)&gt;0),N(U1703),N(U1703)+1))</f>
        <v/>
      </c>
      <c r="V1704" s="19">
        <f>IF($B1704="","",TEXT($B1704,"0000"))</f>
        <v/>
      </c>
      <c r="W1704" s="19">
        <f>IF($I1704="","",IF(ISNUMBER($I1704),TEXT($I1704,"0"),$I1704))</f>
        <v/>
      </c>
    </row>
    <row r="1705">
      <c r="B1705" s="25" t="n"/>
      <c r="I1705" s="25" t="n"/>
      <c r="U1705" s="19">
        <f>IF($V1705&lt;&gt;'設定'!$C$4,N(U1704),IF(OR(NOT(COUNTIF('商品マスタ'!$B$6:$B$1005,$W1705)=0),COUNTIFS('①在庫を貼る'!$V$6:$V$10005,$V1705,'①在庫を貼る'!$W$6:$W$10005,$W1705)+COUNTIFS('月1回_1ヶ月前の在庫'!$V$6:$V$10005,$V1705,'月1回_1ヶ月前の在庫'!$W$6:$W$10005,$W1705)&gt;0),N(U1704),N(U1704)+1))</f>
        <v/>
      </c>
      <c r="V1705" s="19">
        <f>IF($B1705="","",TEXT($B1705,"0000"))</f>
        <v/>
      </c>
      <c r="W1705" s="19">
        <f>IF($I1705="","",IF(ISNUMBER($I1705),TEXT($I1705,"0"),$I1705))</f>
        <v/>
      </c>
    </row>
    <row r="1706">
      <c r="B1706" s="25" t="n"/>
      <c r="I1706" s="25" t="n"/>
      <c r="U1706" s="19">
        <f>IF($V1706&lt;&gt;'設定'!$C$4,N(U1705),IF(OR(NOT(COUNTIF('商品マスタ'!$B$6:$B$1005,$W1706)=0),COUNTIFS('①在庫を貼る'!$V$6:$V$10005,$V1706,'①在庫を貼る'!$W$6:$W$10005,$W1706)+COUNTIFS('月1回_1ヶ月前の在庫'!$V$6:$V$10005,$V1706,'月1回_1ヶ月前の在庫'!$W$6:$W$10005,$W1706)&gt;0),N(U1705),N(U1705)+1))</f>
        <v/>
      </c>
      <c r="V1706" s="19">
        <f>IF($B1706="","",TEXT($B1706,"0000"))</f>
        <v/>
      </c>
      <c r="W1706" s="19">
        <f>IF($I1706="","",IF(ISNUMBER($I1706),TEXT($I1706,"0"),$I1706))</f>
        <v/>
      </c>
    </row>
    <row r="1707">
      <c r="B1707" s="25" t="n"/>
      <c r="I1707" s="25" t="n"/>
      <c r="U1707" s="19">
        <f>IF($V1707&lt;&gt;'設定'!$C$4,N(U1706),IF(OR(NOT(COUNTIF('商品マスタ'!$B$6:$B$1005,$W1707)=0),COUNTIFS('①在庫を貼る'!$V$6:$V$10005,$V1707,'①在庫を貼る'!$W$6:$W$10005,$W1707)+COUNTIFS('月1回_1ヶ月前の在庫'!$V$6:$V$10005,$V1707,'月1回_1ヶ月前の在庫'!$W$6:$W$10005,$W1707)&gt;0),N(U1706),N(U1706)+1))</f>
        <v/>
      </c>
      <c r="V1707" s="19">
        <f>IF($B1707="","",TEXT($B1707,"0000"))</f>
        <v/>
      </c>
      <c r="W1707" s="19">
        <f>IF($I1707="","",IF(ISNUMBER($I1707),TEXT($I1707,"0"),$I1707))</f>
        <v/>
      </c>
    </row>
    <row r="1708">
      <c r="B1708" s="25" t="n"/>
      <c r="I1708" s="25" t="n"/>
      <c r="U1708" s="19">
        <f>IF($V1708&lt;&gt;'設定'!$C$4,N(U1707),IF(OR(NOT(COUNTIF('商品マスタ'!$B$6:$B$1005,$W1708)=0),COUNTIFS('①在庫を貼る'!$V$6:$V$10005,$V1708,'①在庫を貼る'!$W$6:$W$10005,$W1708)+COUNTIFS('月1回_1ヶ月前の在庫'!$V$6:$V$10005,$V1708,'月1回_1ヶ月前の在庫'!$W$6:$W$10005,$W1708)&gt;0),N(U1707),N(U1707)+1))</f>
        <v/>
      </c>
      <c r="V1708" s="19">
        <f>IF($B1708="","",TEXT($B1708,"0000"))</f>
        <v/>
      </c>
      <c r="W1708" s="19">
        <f>IF($I1708="","",IF(ISNUMBER($I1708),TEXT($I1708,"0"),$I1708))</f>
        <v/>
      </c>
    </row>
    <row r="1709">
      <c r="B1709" s="25" t="n"/>
      <c r="I1709" s="25" t="n"/>
      <c r="U1709" s="19">
        <f>IF($V1709&lt;&gt;'設定'!$C$4,N(U1708),IF(OR(NOT(COUNTIF('商品マスタ'!$B$6:$B$1005,$W1709)=0),COUNTIFS('①在庫を貼る'!$V$6:$V$10005,$V1709,'①在庫を貼る'!$W$6:$W$10005,$W1709)+COUNTIFS('月1回_1ヶ月前の在庫'!$V$6:$V$10005,$V1709,'月1回_1ヶ月前の在庫'!$W$6:$W$10005,$W1709)&gt;0),N(U1708),N(U1708)+1))</f>
        <v/>
      </c>
      <c r="V1709" s="19">
        <f>IF($B1709="","",TEXT($B1709,"0000"))</f>
        <v/>
      </c>
      <c r="W1709" s="19">
        <f>IF($I1709="","",IF(ISNUMBER($I1709),TEXT($I1709,"0"),$I1709))</f>
        <v/>
      </c>
    </row>
    <row r="1710">
      <c r="B1710" s="25" t="n"/>
      <c r="I1710" s="25" t="n"/>
      <c r="U1710" s="19">
        <f>IF($V1710&lt;&gt;'設定'!$C$4,N(U1709),IF(OR(NOT(COUNTIF('商品マスタ'!$B$6:$B$1005,$W1710)=0),COUNTIFS('①在庫を貼る'!$V$6:$V$10005,$V1710,'①在庫を貼る'!$W$6:$W$10005,$W1710)+COUNTIFS('月1回_1ヶ月前の在庫'!$V$6:$V$10005,$V1710,'月1回_1ヶ月前の在庫'!$W$6:$W$10005,$W1710)&gt;0),N(U1709),N(U1709)+1))</f>
        <v/>
      </c>
      <c r="V1710" s="19">
        <f>IF($B1710="","",TEXT($B1710,"0000"))</f>
        <v/>
      </c>
      <c r="W1710" s="19">
        <f>IF($I1710="","",IF(ISNUMBER($I1710),TEXT($I1710,"0"),$I1710))</f>
        <v/>
      </c>
    </row>
    <row r="1711">
      <c r="B1711" s="25" t="n"/>
      <c r="I1711" s="25" t="n"/>
      <c r="U1711" s="19">
        <f>IF($V1711&lt;&gt;'設定'!$C$4,N(U1710),IF(OR(NOT(COUNTIF('商品マスタ'!$B$6:$B$1005,$W1711)=0),COUNTIFS('①在庫を貼る'!$V$6:$V$10005,$V1711,'①在庫を貼る'!$W$6:$W$10005,$W1711)+COUNTIFS('月1回_1ヶ月前の在庫'!$V$6:$V$10005,$V1711,'月1回_1ヶ月前の在庫'!$W$6:$W$10005,$W1711)&gt;0),N(U1710),N(U1710)+1))</f>
        <v/>
      </c>
      <c r="V1711" s="19">
        <f>IF($B1711="","",TEXT($B1711,"0000"))</f>
        <v/>
      </c>
      <c r="W1711" s="19">
        <f>IF($I1711="","",IF(ISNUMBER($I1711),TEXT($I1711,"0"),$I1711))</f>
        <v/>
      </c>
    </row>
    <row r="1712">
      <c r="B1712" s="25" t="n"/>
      <c r="I1712" s="25" t="n"/>
      <c r="U1712" s="19">
        <f>IF($V1712&lt;&gt;'設定'!$C$4,N(U1711),IF(OR(NOT(COUNTIF('商品マスタ'!$B$6:$B$1005,$W1712)=0),COUNTIFS('①在庫を貼る'!$V$6:$V$10005,$V1712,'①在庫を貼る'!$W$6:$W$10005,$W1712)+COUNTIFS('月1回_1ヶ月前の在庫'!$V$6:$V$10005,$V1712,'月1回_1ヶ月前の在庫'!$W$6:$W$10005,$W1712)&gt;0),N(U1711),N(U1711)+1))</f>
        <v/>
      </c>
      <c r="V1712" s="19">
        <f>IF($B1712="","",TEXT($B1712,"0000"))</f>
        <v/>
      </c>
      <c r="W1712" s="19">
        <f>IF($I1712="","",IF(ISNUMBER($I1712),TEXT($I1712,"0"),$I1712))</f>
        <v/>
      </c>
    </row>
    <row r="1713">
      <c r="B1713" s="25" t="n"/>
      <c r="I1713" s="25" t="n"/>
      <c r="U1713" s="19">
        <f>IF($V1713&lt;&gt;'設定'!$C$4,N(U1712),IF(OR(NOT(COUNTIF('商品マスタ'!$B$6:$B$1005,$W1713)=0),COUNTIFS('①在庫を貼る'!$V$6:$V$10005,$V1713,'①在庫を貼る'!$W$6:$W$10005,$W1713)+COUNTIFS('月1回_1ヶ月前の在庫'!$V$6:$V$10005,$V1713,'月1回_1ヶ月前の在庫'!$W$6:$W$10005,$W1713)&gt;0),N(U1712),N(U1712)+1))</f>
        <v/>
      </c>
      <c r="V1713" s="19">
        <f>IF($B1713="","",TEXT($B1713,"0000"))</f>
        <v/>
      </c>
      <c r="W1713" s="19">
        <f>IF($I1713="","",IF(ISNUMBER($I1713),TEXT($I1713,"0"),$I1713))</f>
        <v/>
      </c>
    </row>
    <row r="1714">
      <c r="B1714" s="25" t="n"/>
      <c r="I1714" s="25" t="n"/>
      <c r="U1714" s="19">
        <f>IF($V1714&lt;&gt;'設定'!$C$4,N(U1713),IF(OR(NOT(COUNTIF('商品マスタ'!$B$6:$B$1005,$W1714)=0),COUNTIFS('①在庫を貼る'!$V$6:$V$10005,$V1714,'①在庫を貼る'!$W$6:$W$10005,$W1714)+COUNTIFS('月1回_1ヶ月前の在庫'!$V$6:$V$10005,$V1714,'月1回_1ヶ月前の在庫'!$W$6:$W$10005,$W1714)&gt;0),N(U1713),N(U1713)+1))</f>
        <v/>
      </c>
      <c r="V1714" s="19">
        <f>IF($B1714="","",TEXT($B1714,"0000"))</f>
        <v/>
      </c>
      <c r="W1714" s="19">
        <f>IF($I1714="","",IF(ISNUMBER($I1714),TEXT($I1714,"0"),$I1714))</f>
        <v/>
      </c>
    </row>
    <row r="1715">
      <c r="B1715" s="25" t="n"/>
      <c r="I1715" s="25" t="n"/>
      <c r="U1715" s="19">
        <f>IF($V1715&lt;&gt;'設定'!$C$4,N(U1714),IF(OR(NOT(COUNTIF('商品マスタ'!$B$6:$B$1005,$W1715)=0),COUNTIFS('①在庫を貼る'!$V$6:$V$10005,$V1715,'①在庫を貼る'!$W$6:$W$10005,$W1715)+COUNTIFS('月1回_1ヶ月前の在庫'!$V$6:$V$10005,$V1715,'月1回_1ヶ月前の在庫'!$W$6:$W$10005,$W1715)&gt;0),N(U1714),N(U1714)+1))</f>
        <v/>
      </c>
      <c r="V1715" s="19">
        <f>IF($B1715="","",TEXT($B1715,"0000"))</f>
        <v/>
      </c>
      <c r="W1715" s="19">
        <f>IF($I1715="","",IF(ISNUMBER($I1715),TEXT($I1715,"0"),$I1715))</f>
        <v/>
      </c>
    </row>
    <row r="1716">
      <c r="B1716" s="25" t="n"/>
      <c r="I1716" s="25" t="n"/>
      <c r="U1716" s="19">
        <f>IF($V1716&lt;&gt;'設定'!$C$4,N(U1715),IF(OR(NOT(COUNTIF('商品マスタ'!$B$6:$B$1005,$W1716)=0),COUNTIFS('①在庫を貼る'!$V$6:$V$10005,$V1716,'①在庫を貼る'!$W$6:$W$10005,$W1716)+COUNTIFS('月1回_1ヶ月前の在庫'!$V$6:$V$10005,$V1716,'月1回_1ヶ月前の在庫'!$W$6:$W$10005,$W1716)&gt;0),N(U1715),N(U1715)+1))</f>
        <v/>
      </c>
      <c r="V1716" s="19">
        <f>IF($B1716="","",TEXT($B1716,"0000"))</f>
        <v/>
      </c>
      <c r="W1716" s="19">
        <f>IF($I1716="","",IF(ISNUMBER($I1716),TEXT($I1716,"0"),$I1716))</f>
        <v/>
      </c>
    </row>
    <row r="1717">
      <c r="B1717" s="25" t="n"/>
      <c r="I1717" s="25" t="n"/>
      <c r="U1717" s="19">
        <f>IF($V1717&lt;&gt;'設定'!$C$4,N(U1716),IF(OR(NOT(COUNTIF('商品マスタ'!$B$6:$B$1005,$W1717)=0),COUNTIFS('①在庫を貼る'!$V$6:$V$10005,$V1717,'①在庫を貼る'!$W$6:$W$10005,$W1717)+COUNTIFS('月1回_1ヶ月前の在庫'!$V$6:$V$10005,$V1717,'月1回_1ヶ月前の在庫'!$W$6:$W$10005,$W1717)&gt;0),N(U1716),N(U1716)+1))</f>
        <v/>
      </c>
      <c r="V1717" s="19">
        <f>IF($B1717="","",TEXT($B1717,"0000"))</f>
        <v/>
      </c>
      <c r="W1717" s="19">
        <f>IF($I1717="","",IF(ISNUMBER($I1717),TEXT($I1717,"0"),$I1717))</f>
        <v/>
      </c>
    </row>
    <row r="1718">
      <c r="B1718" s="25" t="n"/>
      <c r="I1718" s="25" t="n"/>
      <c r="U1718" s="19">
        <f>IF($V1718&lt;&gt;'設定'!$C$4,N(U1717),IF(OR(NOT(COUNTIF('商品マスタ'!$B$6:$B$1005,$W1718)=0),COUNTIFS('①在庫を貼る'!$V$6:$V$10005,$V1718,'①在庫を貼る'!$W$6:$W$10005,$W1718)+COUNTIFS('月1回_1ヶ月前の在庫'!$V$6:$V$10005,$V1718,'月1回_1ヶ月前の在庫'!$W$6:$W$10005,$W1718)&gt;0),N(U1717),N(U1717)+1))</f>
        <v/>
      </c>
      <c r="V1718" s="19">
        <f>IF($B1718="","",TEXT($B1718,"0000"))</f>
        <v/>
      </c>
      <c r="W1718" s="19">
        <f>IF($I1718="","",IF(ISNUMBER($I1718),TEXT($I1718,"0"),$I1718))</f>
        <v/>
      </c>
    </row>
    <row r="1719">
      <c r="B1719" s="25" t="n"/>
      <c r="I1719" s="25" t="n"/>
      <c r="U1719" s="19">
        <f>IF($V1719&lt;&gt;'設定'!$C$4,N(U1718),IF(OR(NOT(COUNTIF('商品マスタ'!$B$6:$B$1005,$W1719)=0),COUNTIFS('①在庫を貼る'!$V$6:$V$10005,$V1719,'①在庫を貼る'!$W$6:$W$10005,$W1719)+COUNTIFS('月1回_1ヶ月前の在庫'!$V$6:$V$10005,$V1719,'月1回_1ヶ月前の在庫'!$W$6:$W$10005,$W1719)&gt;0),N(U1718),N(U1718)+1))</f>
        <v/>
      </c>
      <c r="V1719" s="19">
        <f>IF($B1719="","",TEXT($B1719,"0000"))</f>
        <v/>
      </c>
      <c r="W1719" s="19">
        <f>IF($I1719="","",IF(ISNUMBER($I1719),TEXT($I1719,"0"),$I1719))</f>
        <v/>
      </c>
    </row>
    <row r="1720">
      <c r="B1720" s="25" t="n"/>
      <c r="I1720" s="25" t="n"/>
      <c r="U1720" s="19">
        <f>IF($V1720&lt;&gt;'設定'!$C$4,N(U1719),IF(OR(NOT(COUNTIF('商品マスタ'!$B$6:$B$1005,$W1720)=0),COUNTIFS('①在庫を貼る'!$V$6:$V$10005,$V1720,'①在庫を貼る'!$W$6:$W$10005,$W1720)+COUNTIFS('月1回_1ヶ月前の在庫'!$V$6:$V$10005,$V1720,'月1回_1ヶ月前の在庫'!$W$6:$W$10005,$W1720)&gt;0),N(U1719),N(U1719)+1))</f>
        <v/>
      </c>
      <c r="V1720" s="19">
        <f>IF($B1720="","",TEXT($B1720,"0000"))</f>
        <v/>
      </c>
      <c r="W1720" s="19">
        <f>IF($I1720="","",IF(ISNUMBER($I1720),TEXT($I1720,"0"),$I1720))</f>
        <v/>
      </c>
    </row>
    <row r="1721">
      <c r="B1721" s="25" t="n"/>
      <c r="I1721" s="25" t="n"/>
      <c r="U1721" s="19">
        <f>IF($V1721&lt;&gt;'設定'!$C$4,N(U1720),IF(OR(NOT(COUNTIF('商品マスタ'!$B$6:$B$1005,$W1721)=0),COUNTIFS('①在庫を貼る'!$V$6:$V$10005,$V1721,'①在庫を貼る'!$W$6:$W$10005,$W1721)+COUNTIFS('月1回_1ヶ月前の在庫'!$V$6:$V$10005,$V1721,'月1回_1ヶ月前の在庫'!$W$6:$W$10005,$W1721)&gt;0),N(U1720),N(U1720)+1))</f>
        <v/>
      </c>
      <c r="V1721" s="19">
        <f>IF($B1721="","",TEXT($B1721,"0000"))</f>
        <v/>
      </c>
      <c r="W1721" s="19">
        <f>IF($I1721="","",IF(ISNUMBER($I1721),TEXT($I1721,"0"),$I1721))</f>
        <v/>
      </c>
    </row>
    <row r="1722">
      <c r="B1722" s="25" t="n"/>
      <c r="I1722" s="25" t="n"/>
      <c r="U1722" s="19">
        <f>IF($V1722&lt;&gt;'設定'!$C$4,N(U1721),IF(OR(NOT(COUNTIF('商品マスタ'!$B$6:$B$1005,$W1722)=0),COUNTIFS('①在庫を貼る'!$V$6:$V$10005,$V1722,'①在庫を貼る'!$W$6:$W$10005,$W1722)+COUNTIFS('月1回_1ヶ月前の在庫'!$V$6:$V$10005,$V1722,'月1回_1ヶ月前の在庫'!$W$6:$W$10005,$W1722)&gt;0),N(U1721),N(U1721)+1))</f>
        <v/>
      </c>
      <c r="V1722" s="19">
        <f>IF($B1722="","",TEXT($B1722,"0000"))</f>
        <v/>
      </c>
      <c r="W1722" s="19">
        <f>IF($I1722="","",IF(ISNUMBER($I1722),TEXT($I1722,"0"),$I1722))</f>
        <v/>
      </c>
    </row>
    <row r="1723">
      <c r="B1723" s="25" t="n"/>
      <c r="I1723" s="25" t="n"/>
      <c r="U1723" s="19">
        <f>IF($V1723&lt;&gt;'設定'!$C$4,N(U1722),IF(OR(NOT(COUNTIF('商品マスタ'!$B$6:$B$1005,$W1723)=0),COUNTIFS('①在庫を貼る'!$V$6:$V$10005,$V1723,'①在庫を貼る'!$W$6:$W$10005,$W1723)+COUNTIFS('月1回_1ヶ月前の在庫'!$V$6:$V$10005,$V1723,'月1回_1ヶ月前の在庫'!$W$6:$W$10005,$W1723)&gt;0),N(U1722),N(U1722)+1))</f>
        <v/>
      </c>
      <c r="V1723" s="19">
        <f>IF($B1723="","",TEXT($B1723,"0000"))</f>
        <v/>
      </c>
      <c r="W1723" s="19">
        <f>IF($I1723="","",IF(ISNUMBER($I1723),TEXT($I1723,"0"),$I1723))</f>
        <v/>
      </c>
    </row>
    <row r="1724">
      <c r="B1724" s="25" t="n"/>
      <c r="I1724" s="25" t="n"/>
      <c r="U1724" s="19">
        <f>IF($V1724&lt;&gt;'設定'!$C$4,N(U1723),IF(OR(NOT(COUNTIF('商品マスタ'!$B$6:$B$1005,$W1724)=0),COUNTIFS('①在庫を貼る'!$V$6:$V$10005,$V1724,'①在庫を貼る'!$W$6:$W$10005,$W1724)+COUNTIFS('月1回_1ヶ月前の在庫'!$V$6:$V$10005,$V1724,'月1回_1ヶ月前の在庫'!$W$6:$W$10005,$W1724)&gt;0),N(U1723),N(U1723)+1))</f>
        <v/>
      </c>
      <c r="V1724" s="19">
        <f>IF($B1724="","",TEXT($B1724,"0000"))</f>
        <v/>
      </c>
      <c r="W1724" s="19">
        <f>IF($I1724="","",IF(ISNUMBER($I1724),TEXT($I1724,"0"),$I1724))</f>
        <v/>
      </c>
    </row>
    <row r="1725">
      <c r="B1725" s="25" t="n"/>
      <c r="I1725" s="25" t="n"/>
      <c r="U1725" s="19">
        <f>IF($V1725&lt;&gt;'設定'!$C$4,N(U1724),IF(OR(NOT(COUNTIF('商品マスタ'!$B$6:$B$1005,$W1725)=0),COUNTIFS('①在庫を貼る'!$V$6:$V$10005,$V1725,'①在庫を貼る'!$W$6:$W$10005,$W1725)+COUNTIFS('月1回_1ヶ月前の在庫'!$V$6:$V$10005,$V1725,'月1回_1ヶ月前の在庫'!$W$6:$W$10005,$W1725)&gt;0),N(U1724),N(U1724)+1))</f>
        <v/>
      </c>
      <c r="V1725" s="19">
        <f>IF($B1725="","",TEXT($B1725,"0000"))</f>
        <v/>
      </c>
      <c r="W1725" s="19">
        <f>IF($I1725="","",IF(ISNUMBER($I1725),TEXT($I1725,"0"),$I1725))</f>
        <v/>
      </c>
    </row>
    <row r="1726">
      <c r="B1726" s="25" t="n"/>
      <c r="I1726" s="25" t="n"/>
      <c r="U1726" s="19">
        <f>IF($V1726&lt;&gt;'設定'!$C$4,N(U1725),IF(OR(NOT(COUNTIF('商品マスタ'!$B$6:$B$1005,$W1726)=0),COUNTIFS('①在庫を貼る'!$V$6:$V$10005,$V1726,'①在庫を貼る'!$W$6:$W$10005,$W1726)+COUNTIFS('月1回_1ヶ月前の在庫'!$V$6:$V$10005,$V1726,'月1回_1ヶ月前の在庫'!$W$6:$W$10005,$W1726)&gt;0),N(U1725),N(U1725)+1))</f>
        <v/>
      </c>
      <c r="V1726" s="19">
        <f>IF($B1726="","",TEXT($B1726,"0000"))</f>
        <v/>
      </c>
      <c r="W1726" s="19">
        <f>IF($I1726="","",IF(ISNUMBER($I1726),TEXT($I1726,"0"),$I1726))</f>
        <v/>
      </c>
    </row>
    <row r="1727">
      <c r="B1727" s="25" t="n"/>
      <c r="I1727" s="25" t="n"/>
      <c r="U1727" s="19">
        <f>IF($V1727&lt;&gt;'設定'!$C$4,N(U1726),IF(OR(NOT(COUNTIF('商品マスタ'!$B$6:$B$1005,$W1727)=0),COUNTIFS('①在庫を貼る'!$V$6:$V$10005,$V1727,'①在庫を貼る'!$W$6:$W$10005,$W1727)+COUNTIFS('月1回_1ヶ月前の在庫'!$V$6:$V$10005,$V1727,'月1回_1ヶ月前の在庫'!$W$6:$W$10005,$W1727)&gt;0),N(U1726),N(U1726)+1))</f>
        <v/>
      </c>
      <c r="V1727" s="19">
        <f>IF($B1727="","",TEXT($B1727,"0000"))</f>
        <v/>
      </c>
      <c r="W1727" s="19">
        <f>IF($I1727="","",IF(ISNUMBER($I1727),TEXT($I1727,"0"),$I1727))</f>
        <v/>
      </c>
    </row>
    <row r="1728">
      <c r="B1728" s="25" t="n"/>
      <c r="I1728" s="25" t="n"/>
      <c r="U1728" s="19">
        <f>IF($V1728&lt;&gt;'設定'!$C$4,N(U1727),IF(OR(NOT(COUNTIF('商品マスタ'!$B$6:$B$1005,$W1728)=0),COUNTIFS('①在庫を貼る'!$V$6:$V$10005,$V1728,'①在庫を貼る'!$W$6:$W$10005,$W1728)+COUNTIFS('月1回_1ヶ月前の在庫'!$V$6:$V$10005,$V1728,'月1回_1ヶ月前の在庫'!$W$6:$W$10005,$W1728)&gt;0),N(U1727),N(U1727)+1))</f>
        <v/>
      </c>
      <c r="V1728" s="19">
        <f>IF($B1728="","",TEXT($B1728,"0000"))</f>
        <v/>
      </c>
      <c r="W1728" s="19">
        <f>IF($I1728="","",IF(ISNUMBER($I1728),TEXT($I1728,"0"),$I1728))</f>
        <v/>
      </c>
    </row>
    <row r="1729">
      <c r="B1729" s="25" t="n"/>
      <c r="I1729" s="25" t="n"/>
      <c r="U1729" s="19">
        <f>IF($V1729&lt;&gt;'設定'!$C$4,N(U1728),IF(OR(NOT(COUNTIF('商品マスタ'!$B$6:$B$1005,$W1729)=0),COUNTIFS('①在庫を貼る'!$V$6:$V$10005,$V1729,'①在庫を貼る'!$W$6:$W$10005,$W1729)+COUNTIFS('月1回_1ヶ月前の在庫'!$V$6:$V$10005,$V1729,'月1回_1ヶ月前の在庫'!$W$6:$W$10005,$W1729)&gt;0),N(U1728),N(U1728)+1))</f>
        <v/>
      </c>
      <c r="V1729" s="19">
        <f>IF($B1729="","",TEXT($B1729,"0000"))</f>
        <v/>
      </c>
      <c r="W1729" s="19">
        <f>IF($I1729="","",IF(ISNUMBER($I1729),TEXT($I1729,"0"),$I1729))</f>
        <v/>
      </c>
    </row>
    <row r="1730">
      <c r="B1730" s="25" t="n"/>
      <c r="I1730" s="25" t="n"/>
      <c r="U1730" s="19">
        <f>IF($V1730&lt;&gt;'設定'!$C$4,N(U1729),IF(OR(NOT(COUNTIF('商品マスタ'!$B$6:$B$1005,$W1730)=0),COUNTIFS('①在庫を貼る'!$V$6:$V$10005,$V1730,'①在庫を貼る'!$W$6:$W$10005,$W1730)+COUNTIFS('月1回_1ヶ月前の在庫'!$V$6:$V$10005,$V1730,'月1回_1ヶ月前の在庫'!$W$6:$W$10005,$W1730)&gt;0),N(U1729),N(U1729)+1))</f>
        <v/>
      </c>
      <c r="V1730" s="19">
        <f>IF($B1730="","",TEXT($B1730,"0000"))</f>
        <v/>
      </c>
      <c r="W1730" s="19">
        <f>IF($I1730="","",IF(ISNUMBER($I1730),TEXT($I1730,"0"),$I1730))</f>
        <v/>
      </c>
    </row>
    <row r="1731">
      <c r="B1731" s="25" t="n"/>
      <c r="I1731" s="25" t="n"/>
      <c r="U1731" s="19">
        <f>IF($V1731&lt;&gt;'設定'!$C$4,N(U1730),IF(OR(NOT(COUNTIF('商品マスタ'!$B$6:$B$1005,$W1731)=0),COUNTIFS('①在庫を貼る'!$V$6:$V$10005,$V1731,'①在庫を貼る'!$W$6:$W$10005,$W1731)+COUNTIFS('月1回_1ヶ月前の在庫'!$V$6:$V$10005,$V1731,'月1回_1ヶ月前の在庫'!$W$6:$W$10005,$W1731)&gt;0),N(U1730),N(U1730)+1))</f>
        <v/>
      </c>
      <c r="V1731" s="19">
        <f>IF($B1731="","",TEXT($B1731,"0000"))</f>
        <v/>
      </c>
      <c r="W1731" s="19">
        <f>IF($I1731="","",IF(ISNUMBER($I1731),TEXT($I1731,"0"),$I1731))</f>
        <v/>
      </c>
    </row>
    <row r="1732">
      <c r="B1732" s="25" t="n"/>
      <c r="I1732" s="25" t="n"/>
      <c r="U1732" s="19">
        <f>IF($V1732&lt;&gt;'設定'!$C$4,N(U1731),IF(OR(NOT(COUNTIF('商品マスタ'!$B$6:$B$1005,$W1732)=0),COUNTIFS('①在庫を貼る'!$V$6:$V$10005,$V1732,'①在庫を貼る'!$W$6:$W$10005,$W1732)+COUNTIFS('月1回_1ヶ月前の在庫'!$V$6:$V$10005,$V1732,'月1回_1ヶ月前の在庫'!$W$6:$W$10005,$W1732)&gt;0),N(U1731),N(U1731)+1))</f>
        <v/>
      </c>
      <c r="V1732" s="19">
        <f>IF($B1732="","",TEXT($B1732,"0000"))</f>
        <v/>
      </c>
      <c r="W1732" s="19">
        <f>IF($I1732="","",IF(ISNUMBER($I1732),TEXT($I1732,"0"),$I1732))</f>
        <v/>
      </c>
    </row>
    <row r="1733">
      <c r="B1733" s="25" t="n"/>
      <c r="I1733" s="25" t="n"/>
      <c r="U1733" s="19">
        <f>IF($V1733&lt;&gt;'設定'!$C$4,N(U1732),IF(OR(NOT(COUNTIF('商品マスタ'!$B$6:$B$1005,$W1733)=0),COUNTIFS('①在庫を貼る'!$V$6:$V$10005,$V1733,'①在庫を貼る'!$W$6:$W$10005,$W1733)+COUNTIFS('月1回_1ヶ月前の在庫'!$V$6:$V$10005,$V1733,'月1回_1ヶ月前の在庫'!$W$6:$W$10005,$W1733)&gt;0),N(U1732),N(U1732)+1))</f>
        <v/>
      </c>
      <c r="V1733" s="19">
        <f>IF($B1733="","",TEXT($B1733,"0000"))</f>
        <v/>
      </c>
      <c r="W1733" s="19">
        <f>IF($I1733="","",IF(ISNUMBER($I1733),TEXT($I1733,"0"),$I1733))</f>
        <v/>
      </c>
    </row>
    <row r="1734">
      <c r="B1734" s="25" t="n"/>
      <c r="I1734" s="25" t="n"/>
      <c r="U1734" s="19">
        <f>IF($V1734&lt;&gt;'設定'!$C$4,N(U1733),IF(OR(NOT(COUNTIF('商品マスタ'!$B$6:$B$1005,$W1734)=0),COUNTIFS('①在庫を貼る'!$V$6:$V$10005,$V1734,'①在庫を貼る'!$W$6:$W$10005,$W1734)+COUNTIFS('月1回_1ヶ月前の在庫'!$V$6:$V$10005,$V1734,'月1回_1ヶ月前の在庫'!$W$6:$W$10005,$W1734)&gt;0),N(U1733),N(U1733)+1))</f>
        <v/>
      </c>
      <c r="V1734" s="19">
        <f>IF($B1734="","",TEXT($B1734,"0000"))</f>
        <v/>
      </c>
      <c r="W1734" s="19">
        <f>IF($I1734="","",IF(ISNUMBER($I1734),TEXT($I1734,"0"),$I1734))</f>
        <v/>
      </c>
    </row>
    <row r="1735">
      <c r="B1735" s="25" t="n"/>
      <c r="I1735" s="25" t="n"/>
      <c r="U1735" s="19">
        <f>IF($V1735&lt;&gt;'設定'!$C$4,N(U1734),IF(OR(NOT(COUNTIF('商品マスタ'!$B$6:$B$1005,$W1735)=0),COUNTIFS('①在庫を貼る'!$V$6:$V$10005,$V1735,'①在庫を貼る'!$W$6:$W$10005,$W1735)+COUNTIFS('月1回_1ヶ月前の在庫'!$V$6:$V$10005,$V1735,'月1回_1ヶ月前の在庫'!$W$6:$W$10005,$W1735)&gt;0),N(U1734),N(U1734)+1))</f>
        <v/>
      </c>
      <c r="V1735" s="19">
        <f>IF($B1735="","",TEXT($B1735,"0000"))</f>
        <v/>
      </c>
      <c r="W1735" s="19">
        <f>IF($I1735="","",IF(ISNUMBER($I1735),TEXT($I1735,"0"),$I1735))</f>
        <v/>
      </c>
    </row>
    <row r="1736">
      <c r="B1736" s="25" t="n"/>
      <c r="I1736" s="25" t="n"/>
      <c r="U1736" s="19">
        <f>IF($V1736&lt;&gt;'設定'!$C$4,N(U1735),IF(OR(NOT(COUNTIF('商品マスタ'!$B$6:$B$1005,$W1736)=0),COUNTIFS('①在庫を貼る'!$V$6:$V$10005,$V1736,'①在庫を貼る'!$W$6:$W$10005,$W1736)+COUNTIFS('月1回_1ヶ月前の在庫'!$V$6:$V$10005,$V1736,'月1回_1ヶ月前の在庫'!$W$6:$W$10005,$W1736)&gt;0),N(U1735),N(U1735)+1))</f>
        <v/>
      </c>
      <c r="V1736" s="19">
        <f>IF($B1736="","",TEXT($B1736,"0000"))</f>
        <v/>
      </c>
      <c r="W1736" s="19">
        <f>IF($I1736="","",IF(ISNUMBER($I1736),TEXT($I1736,"0"),$I1736))</f>
        <v/>
      </c>
    </row>
    <row r="1737">
      <c r="B1737" s="25" t="n"/>
      <c r="I1737" s="25" t="n"/>
      <c r="U1737" s="19">
        <f>IF($V1737&lt;&gt;'設定'!$C$4,N(U1736),IF(OR(NOT(COUNTIF('商品マスタ'!$B$6:$B$1005,$W1737)=0),COUNTIFS('①在庫を貼る'!$V$6:$V$10005,$V1737,'①在庫を貼る'!$W$6:$W$10005,$W1737)+COUNTIFS('月1回_1ヶ月前の在庫'!$V$6:$V$10005,$V1737,'月1回_1ヶ月前の在庫'!$W$6:$W$10005,$W1737)&gt;0),N(U1736),N(U1736)+1))</f>
        <v/>
      </c>
      <c r="V1737" s="19">
        <f>IF($B1737="","",TEXT($B1737,"0000"))</f>
        <v/>
      </c>
      <c r="W1737" s="19">
        <f>IF($I1737="","",IF(ISNUMBER($I1737),TEXT($I1737,"0"),$I1737))</f>
        <v/>
      </c>
    </row>
    <row r="1738">
      <c r="B1738" s="25" t="n"/>
      <c r="I1738" s="25" t="n"/>
      <c r="U1738" s="19">
        <f>IF($V1738&lt;&gt;'設定'!$C$4,N(U1737),IF(OR(NOT(COUNTIF('商品マスタ'!$B$6:$B$1005,$W1738)=0),COUNTIFS('①在庫を貼る'!$V$6:$V$10005,$V1738,'①在庫を貼る'!$W$6:$W$10005,$W1738)+COUNTIFS('月1回_1ヶ月前の在庫'!$V$6:$V$10005,$V1738,'月1回_1ヶ月前の在庫'!$W$6:$W$10005,$W1738)&gt;0),N(U1737),N(U1737)+1))</f>
        <v/>
      </c>
      <c r="V1738" s="19">
        <f>IF($B1738="","",TEXT($B1738,"0000"))</f>
        <v/>
      </c>
      <c r="W1738" s="19">
        <f>IF($I1738="","",IF(ISNUMBER($I1738),TEXT($I1738,"0"),$I1738))</f>
        <v/>
      </c>
    </row>
    <row r="1739">
      <c r="B1739" s="25" t="n"/>
      <c r="I1739" s="25" t="n"/>
      <c r="U1739" s="19">
        <f>IF($V1739&lt;&gt;'設定'!$C$4,N(U1738),IF(OR(NOT(COUNTIF('商品マスタ'!$B$6:$B$1005,$W1739)=0),COUNTIFS('①在庫を貼る'!$V$6:$V$10005,$V1739,'①在庫を貼る'!$W$6:$W$10005,$W1739)+COUNTIFS('月1回_1ヶ月前の在庫'!$V$6:$V$10005,$V1739,'月1回_1ヶ月前の在庫'!$W$6:$W$10005,$W1739)&gt;0),N(U1738),N(U1738)+1))</f>
        <v/>
      </c>
      <c r="V1739" s="19">
        <f>IF($B1739="","",TEXT($B1739,"0000"))</f>
        <v/>
      </c>
      <c r="W1739" s="19">
        <f>IF($I1739="","",IF(ISNUMBER($I1739),TEXT($I1739,"0"),$I1739))</f>
        <v/>
      </c>
    </row>
    <row r="1740">
      <c r="B1740" s="25" t="n"/>
      <c r="I1740" s="25" t="n"/>
      <c r="U1740" s="19">
        <f>IF($V1740&lt;&gt;'設定'!$C$4,N(U1739),IF(OR(NOT(COUNTIF('商品マスタ'!$B$6:$B$1005,$W1740)=0),COUNTIFS('①在庫を貼る'!$V$6:$V$10005,$V1740,'①在庫を貼る'!$W$6:$W$10005,$W1740)+COUNTIFS('月1回_1ヶ月前の在庫'!$V$6:$V$10005,$V1740,'月1回_1ヶ月前の在庫'!$W$6:$W$10005,$W1740)&gt;0),N(U1739),N(U1739)+1))</f>
        <v/>
      </c>
      <c r="V1740" s="19">
        <f>IF($B1740="","",TEXT($B1740,"0000"))</f>
        <v/>
      </c>
      <c r="W1740" s="19">
        <f>IF($I1740="","",IF(ISNUMBER($I1740),TEXT($I1740,"0"),$I1740))</f>
        <v/>
      </c>
    </row>
    <row r="1741">
      <c r="B1741" s="25" t="n"/>
      <c r="I1741" s="25" t="n"/>
      <c r="U1741" s="19">
        <f>IF($V1741&lt;&gt;'設定'!$C$4,N(U1740),IF(OR(NOT(COUNTIF('商品マスタ'!$B$6:$B$1005,$W1741)=0),COUNTIFS('①在庫を貼る'!$V$6:$V$10005,$V1741,'①在庫を貼る'!$W$6:$W$10005,$W1741)+COUNTIFS('月1回_1ヶ月前の在庫'!$V$6:$V$10005,$V1741,'月1回_1ヶ月前の在庫'!$W$6:$W$10005,$W1741)&gt;0),N(U1740),N(U1740)+1))</f>
        <v/>
      </c>
      <c r="V1741" s="19">
        <f>IF($B1741="","",TEXT($B1741,"0000"))</f>
        <v/>
      </c>
      <c r="W1741" s="19">
        <f>IF($I1741="","",IF(ISNUMBER($I1741),TEXT($I1741,"0"),$I1741))</f>
        <v/>
      </c>
    </row>
    <row r="1742">
      <c r="B1742" s="25" t="n"/>
      <c r="I1742" s="25" t="n"/>
      <c r="U1742" s="19">
        <f>IF($V1742&lt;&gt;'設定'!$C$4,N(U1741),IF(OR(NOT(COUNTIF('商品マスタ'!$B$6:$B$1005,$W1742)=0),COUNTIFS('①在庫を貼る'!$V$6:$V$10005,$V1742,'①在庫を貼る'!$W$6:$W$10005,$W1742)+COUNTIFS('月1回_1ヶ月前の在庫'!$V$6:$V$10005,$V1742,'月1回_1ヶ月前の在庫'!$W$6:$W$10005,$W1742)&gt;0),N(U1741),N(U1741)+1))</f>
        <v/>
      </c>
      <c r="V1742" s="19">
        <f>IF($B1742="","",TEXT($B1742,"0000"))</f>
        <v/>
      </c>
      <c r="W1742" s="19">
        <f>IF($I1742="","",IF(ISNUMBER($I1742),TEXT($I1742,"0"),$I1742))</f>
        <v/>
      </c>
    </row>
    <row r="1743">
      <c r="B1743" s="25" t="n"/>
      <c r="I1743" s="25" t="n"/>
      <c r="U1743" s="19">
        <f>IF($V1743&lt;&gt;'設定'!$C$4,N(U1742),IF(OR(NOT(COUNTIF('商品マスタ'!$B$6:$B$1005,$W1743)=0),COUNTIFS('①在庫を貼る'!$V$6:$V$10005,$V1743,'①在庫を貼る'!$W$6:$W$10005,$W1743)+COUNTIFS('月1回_1ヶ月前の在庫'!$V$6:$V$10005,$V1743,'月1回_1ヶ月前の在庫'!$W$6:$W$10005,$W1743)&gt;0),N(U1742),N(U1742)+1))</f>
        <v/>
      </c>
      <c r="V1743" s="19">
        <f>IF($B1743="","",TEXT($B1743,"0000"))</f>
        <v/>
      </c>
      <c r="W1743" s="19">
        <f>IF($I1743="","",IF(ISNUMBER($I1743),TEXT($I1743,"0"),$I1743))</f>
        <v/>
      </c>
    </row>
    <row r="1744">
      <c r="B1744" s="25" t="n"/>
      <c r="I1744" s="25" t="n"/>
      <c r="U1744" s="19">
        <f>IF($V1744&lt;&gt;'設定'!$C$4,N(U1743),IF(OR(NOT(COUNTIF('商品マスタ'!$B$6:$B$1005,$W1744)=0),COUNTIFS('①在庫を貼る'!$V$6:$V$10005,$V1744,'①在庫を貼る'!$W$6:$W$10005,$W1744)+COUNTIFS('月1回_1ヶ月前の在庫'!$V$6:$V$10005,$V1744,'月1回_1ヶ月前の在庫'!$W$6:$W$10005,$W1744)&gt;0),N(U1743),N(U1743)+1))</f>
        <v/>
      </c>
      <c r="V1744" s="19">
        <f>IF($B1744="","",TEXT($B1744,"0000"))</f>
        <v/>
      </c>
      <c r="W1744" s="19">
        <f>IF($I1744="","",IF(ISNUMBER($I1744),TEXT($I1744,"0"),$I1744))</f>
        <v/>
      </c>
    </row>
    <row r="1745">
      <c r="B1745" s="25" t="n"/>
      <c r="I1745" s="25" t="n"/>
      <c r="U1745" s="19">
        <f>IF($V1745&lt;&gt;'設定'!$C$4,N(U1744),IF(OR(NOT(COUNTIF('商品マスタ'!$B$6:$B$1005,$W1745)=0),COUNTIFS('①在庫を貼る'!$V$6:$V$10005,$V1745,'①在庫を貼る'!$W$6:$W$10005,$W1745)+COUNTIFS('月1回_1ヶ月前の在庫'!$V$6:$V$10005,$V1745,'月1回_1ヶ月前の在庫'!$W$6:$W$10005,$W1745)&gt;0),N(U1744),N(U1744)+1))</f>
        <v/>
      </c>
      <c r="V1745" s="19">
        <f>IF($B1745="","",TEXT($B1745,"0000"))</f>
        <v/>
      </c>
      <c r="W1745" s="19">
        <f>IF($I1745="","",IF(ISNUMBER($I1745),TEXT($I1745,"0"),$I1745))</f>
        <v/>
      </c>
    </row>
    <row r="1746">
      <c r="B1746" s="25" t="n"/>
      <c r="I1746" s="25" t="n"/>
      <c r="U1746" s="19">
        <f>IF($V1746&lt;&gt;'設定'!$C$4,N(U1745),IF(OR(NOT(COUNTIF('商品マスタ'!$B$6:$B$1005,$W1746)=0),COUNTIFS('①在庫を貼る'!$V$6:$V$10005,$V1746,'①在庫を貼る'!$W$6:$W$10005,$W1746)+COUNTIFS('月1回_1ヶ月前の在庫'!$V$6:$V$10005,$V1746,'月1回_1ヶ月前の在庫'!$W$6:$W$10005,$W1746)&gt;0),N(U1745),N(U1745)+1))</f>
        <v/>
      </c>
      <c r="V1746" s="19">
        <f>IF($B1746="","",TEXT($B1746,"0000"))</f>
        <v/>
      </c>
      <c r="W1746" s="19">
        <f>IF($I1746="","",IF(ISNUMBER($I1746),TEXT($I1746,"0"),$I1746))</f>
        <v/>
      </c>
    </row>
    <row r="1747">
      <c r="B1747" s="25" t="n"/>
      <c r="I1747" s="25" t="n"/>
      <c r="U1747" s="19">
        <f>IF($V1747&lt;&gt;'設定'!$C$4,N(U1746),IF(OR(NOT(COUNTIF('商品マスタ'!$B$6:$B$1005,$W1747)=0),COUNTIFS('①在庫を貼る'!$V$6:$V$10005,$V1747,'①在庫を貼る'!$W$6:$W$10005,$W1747)+COUNTIFS('月1回_1ヶ月前の在庫'!$V$6:$V$10005,$V1747,'月1回_1ヶ月前の在庫'!$W$6:$W$10005,$W1747)&gt;0),N(U1746),N(U1746)+1))</f>
        <v/>
      </c>
      <c r="V1747" s="19">
        <f>IF($B1747="","",TEXT($B1747,"0000"))</f>
        <v/>
      </c>
      <c r="W1747" s="19">
        <f>IF($I1747="","",IF(ISNUMBER($I1747),TEXT($I1747,"0"),$I1747))</f>
        <v/>
      </c>
    </row>
    <row r="1748">
      <c r="B1748" s="25" t="n"/>
      <c r="I1748" s="25" t="n"/>
      <c r="U1748" s="19">
        <f>IF($V1748&lt;&gt;'設定'!$C$4,N(U1747),IF(OR(NOT(COUNTIF('商品マスタ'!$B$6:$B$1005,$W1748)=0),COUNTIFS('①在庫を貼る'!$V$6:$V$10005,$V1748,'①在庫を貼る'!$W$6:$W$10005,$W1748)+COUNTIFS('月1回_1ヶ月前の在庫'!$V$6:$V$10005,$V1748,'月1回_1ヶ月前の在庫'!$W$6:$W$10005,$W1748)&gt;0),N(U1747),N(U1747)+1))</f>
        <v/>
      </c>
      <c r="V1748" s="19">
        <f>IF($B1748="","",TEXT($B1748,"0000"))</f>
        <v/>
      </c>
      <c r="W1748" s="19">
        <f>IF($I1748="","",IF(ISNUMBER($I1748),TEXT($I1748,"0"),$I1748))</f>
        <v/>
      </c>
    </row>
    <row r="1749">
      <c r="B1749" s="25" t="n"/>
      <c r="I1749" s="25" t="n"/>
      <c r="U1749" s="19">
        <f>IF($V1749&lt;&gt;'設定'!$C$4,N(U1748),IF(OR(NOT(COUNTIF('商品マスタ'!$B$6:$B$1005,$W1749)=0),COUNTIFS('①在庫を貼る'!$V$6:$V$10005,$V1749,'①在庫を貼る'!$W$6:$W$10005,$W1749)+COUNTIFS('月1回_1ヶ月前の在庫'!$V$6:$V$10005,$V1749,'月1回_1ヶ月前の在庫'!$W$6:$W$10005,$W1749)&gt;0),N(U1748),N(U1748)+1))</f>
        <v/>
      </c>
      <c r="V1749" s="19">
        <f>IF($B1749="","",TEXT($B1749,"0000"))</f>
        <v/>
      </c>
      <c r="W1749" s="19">
        <f>IF($I1749="","",IF(ISNUMBER($I1749),TEXT($I1749,"0"),$I1749))</f>
        <v/>
      </c>
    </row>
    <row r="1750">
      <c r="B1750" s="25" t="n"/>
      <c r="I1750" s="25" t="n"/>
      <c r="U1750" s="19">
        <f>IF($V1750&lt;&gt;'設定'!$C$4,N(U1749),IF(OR(NOT(COUNTIF('商品マスタ'!$B$6:$B$1005,$W1750)=0),COUNTIFS('①在庫を貼る'!$V$6:$V$10005,$V1750,'①在庫を貼る'!$W$6:$W$10005,$W1750)+COUNTIFS('月1回_1ヶ月前の在庫'!$V$6:$V$10005,$V1750,'月1回_1ヶ月前の在庫'!$W$6:$W$10005,$W1750)&gt;0),N(U1749),N(U1749)+1))</f>
        <v/>
      </c>
      <c r="V1750" s="19">
        <f>IF($B1750="","",TEXT($B1750,"0000"))</f>
        <v/>
      </c>
      <c r="W1750" s="19">
        <f>IF($I1750="","",IF(ISNUMBER($I1750),TEXT($I1750,"0"),$I1750))</f>
        <v/>
      </c>
    </row>
    <row r="1751">
      <c r="B1751" s="25" t="n"/>
      <c r="I1751" s="25" t="n"/>
      <c r="U1751" s="19">
        <f>IF($V1751&lt;&gt;'設定'!$C$4,N(U1750),IF(OR(NOT(COUNTIF('商品マスタ'!$B$6:$B$1005,$W1751)=0),COUNTIFS('①在庫を貼る'!$V$6:$V$10005,$V1751,'①在庫を貼る'!$W$6:$W$10005,$W1751)+COUNTIFS('月1回_1ヶ月前の在庫'!$V$6:$V$10005,$V1751,'月1回_1ヶ月前の在庫'!$W$6:$W$10005,$W1751)&gt;0),N(U1750),N(U1750)+1))</f>
        <v/>
      </c>
      <c r="V1751" s="19">
        <f>IF($B1751="","",TEXT($B1751,"0000"))</f>
        <v/>
      </c>
      <c r="W1751" s="19">
        <f>IF($I1751="","",IF(ISNUMBER($I1751),TEXT($I1751,"0"),$I1751))</f>
        <v/>
      </c>
    </row>
    <row r="1752">
      <c r="B1752" s="25" t="n"/>
      <c r="I1752" s="25" t="n"/>
      <c r="U1752" s="19">
        <f>IF($V1752&lt;&gt;'設定'!$C$4,N(U1751),IF(OR(NOT(COUNTIF('商品マスタ'!$B$6:$B$1005,$W1752)=0),COUNTIFS('①在庫を貼る'!$V$6:$V$10005,$V1752,'①在庫を貼る'!$W$6:$W$10005,$W1752)+COUNTIFS('月1回_1ヶ月前の在庫'!$V$6:$V$10005,$V1752,'月1回_1ヶ月前の在庫'!$W$6:$W$10005,$W1752)&gt;0),N(U1751),N(U1751)+1))</f>
        <v/>
      </c>
      <c r="V1752" s="19">
        <f>IF($B1752="","",TEXT($B1752,"0000"))</f>
        <v/>
      </c>
      <c r="W1752" s="19">
        <f>IF($I1752="","",IF(ISNUMBER($I1752),TEXT($I1752,"0"),$I1752))</f>
        <v/>
      </c>
    </row>
    <row r="1753">
      <c r="B1753" s="25" t="n"/>
      <c r="I1753" s="25" t="n"/>
      <c r="U1753" s="19">
        <f>IF($V1753&lt;&gt;'設定'!$C$4,N(U1752),IF(OR(NOT(COUNTIF('商品マスタ'!$B$6:$B$1005,$W1753)=0),COUNTIFS('①在庫を貼る'!$V$6:$V$10005,$V1753,'①在庫を貼る'!$W$6:$W$10005,$W1753)+COUNTIFS('月1回_1ヶ月前の在庫'!$V$6:$V$10005,$V1753,'月1回_1ヶ月前の在庫'!$W$6:$W$10005,$W1753)&gt;0),N(U1752),N(U1752)+1))</f>
        <v/>
      </c>
      <c r="V1753" s="19">
        <f>IF($B1753="","",TEXT($B1753,"0000"))</f>
        <v/>
      </c>
      <c r="W1753" s="19">
        <f>IF($I1753="","",IF(ISNUMBER($I1753),TEXT($I1753,"0"),$I1753))</f>
        <v/>
      </c>
    </row>
    <row r="1754">
      <c r="B1754" s="25" t="n"/>
      <c r="I1754" s="25" t="n"/>
      <c r="U1754" s="19">
        <f>IF($V1754&lt;&gt;'設定'!$C$4,N(U1753),IF(OR(NOT(COUNTIF('商品マスタ'!$B$6:$B$1005,$W1754)=0),COUNTIFS('①在庫を貼る'!$V$6:$V$10005,$V1754,'①在庫を貼る'!$W$6:$W$10005,$W1754)+COUNTIFS('月1回_1ヶ月前の在庫'!$V$6:$V$10005,$V1754,'月1回_1ヶ月前の在庫'!$W$6:$W$10005,$W1754)&gt;0),N(U1753),N(U1753)+1))</f>
        <v/>
      </c>
      <c r="V1754" s="19">
        <f>IF($B1754="","",TEXT($B1754,"0000"))</f>
        <v/>
      </c>
      <c r="W1754" s="19">
        <f>IF($I1754="","",IF(ISNUMBER($I1754),TEXT($I1754,"0"),$I1754))</f>
        <v/>
      </c>
    </row>
    <row r="1755">
      <c r="B1755" s="25" t="n"/>
      <c r="I1755" s="25" t="n"/>
      <c r="U1755" s="19">
        <f>IF($V1755&lt;&gt;'設定'!$C$4,N(U1754),IF(OR(NOT(COUNTIF('商品マスタ'!$B$6:$B$1005,$W1755)=0),COUNTIFS('①在庫を貼る'!$V$6:$V$10005,$V1755,'①在庫を貼る'!$W$6:$W$10005,$W1755)+COUNTIFS('月1回_1ヶ月前の在庫'!$V$6:$V$10005,$V1755,'月1回_1ヶ月前の在庫'!$W$6:$W$10005,$W1755)&gt;0),N(U1754),N(U1754)+1))</f>
        <v/>
      </c>
      <c r="V1755" s="19">
        <f>IF($B1755="","",TEXT($B1755,"0000"))</f>
        <v/>
      </c>
      <c r="W1755" s="19">
        <f>IF($I1755="","",IF(ISNUMBER($I1755),TEXT($I1755,"0"),$I1755))</f>
        <v/>
      </c>
    </row>
    <row r="1756">
      <c r="B1756" s="25" t="n"/>
      <c r="I1756" s="25" t="n"/>
      <c r="U1756" s="19">
        <f>IF($V1756&lt;&gt;'設定'!$C$4,N(U1755),IF(OR(NOT(COUNTIF('商品マスタ'!$B$6:$B$1005,$W1756)=0),COUNTIFS('①在庫を貼る'!$V$6:$V$10005,$V1756,'①在庫を貼る'!$W$6:$W$10005,$W1756)+COUNTIFS('月1回_1ヶ月前の在庫'!$V$6:$V$10005,$V1756,'月1回_1ヶ月前の在庫'!$W$6:$W$10005,$W1756)&gt;0),N(U1755),N(U1755)+1))</f>
        <v/>
      </c>
      <c r="V1756" s="19">
        <f>IF($B1756="","",TEXT($B1756,"0000"))</f>
        <v/>
      </c>
      <c r="W1756" s="19">
        <f>IF($I1756="","",IF(ISNUMBER($I1756),TEXT($I1756,"0"),$I1756))</f>
        <v/>
      </c>
    </row>
    <row r="1757">
      <c r="B1757" s="25" t="n"/>
      <c r="I1757" s="25" t="n"/>
      <c r="U1757" s="19">
        <f>IF($V1757&lt;&gt;'設定'!$C$4,N(U1756),IF(OR(NOT(COUNTIF('商品マスタ'!$B$6:$B$1005,$W1757)=0),COUNTIFS('①在庫を貼る'!$V$6:$V$10005,$V1757,'①在庫を貼る'!$W$6:$W$10005,$W1757)+COUNTIFS('月1回_1ヶ月前の在庫'!$V$6:$V$10005,$V1757,'月1回_1ヶ月前の在庫'!$W$6:$W$10005,$W1757)&gt;0),N(U1756),N(U1756)+1))</f>
        <v/>
      </c>
      <c r="V1757" s="19">
        <f>IF($B1757="","",TEXT($B1757,"0000"))</f>
        <v/>
      </c>
      <c r="W1757" s="19">
        <f>IF($I1757="","",IF(ISNUMBER($I1757),TEXT($I1757,"0"),$I1757))</f>
        <v/>
      </c>
    </row>
    <row r="1758">
      <c r="B1758" s="25" t="n"/>
      <c r="I1758" s="25" t="n"/>
      <c r="U1758" s="19">
        <f>IF($V1758&lt;&gt;'設定'!$C$4,N(U1757),IF(OR(NOT(COUNTIF('商品マスタ'!$B$6:$B$1005,$W1758)=0),COUNTIFS('①在庫を貼る'!$V$6:$V$10005,$V1758,'①在庫を貼る'!$W$6:$W$10005,$W1758)+COUNTIFS('月1回_1ヶ月前の在庫'!$V$6:$V$10005,$V1758,'月1回_1ヶ月前の在庫'!$W$6:$W$10005,$W1758)&gt;0),N(U1757),N(U1757)+1))</f>
        <v/>
      </c>
      <c r="V1758" s="19">
        <f>IF($B1758="","",TEXT($B1758,"0000"))</f>
        <v/>
      </c>
      <c r="W1758" s="19">
        <f>IF($I1758="","",IF(ISNUMBER($I1758),TEXT($I1758,"0"),$I1758))</f>
        <v/>
      </c>
    </row>
    <row r="1759">
      <c r="B1759" s="25" t="n"/>
      <c r="I1759" s="25" t="n"/>
      <c r="U1759" s="19">
        <f>IF($V1759&lt;&gt;'設定'!$C$4,N(U1758),IF(OR(NOT(COUNTIF('商品マスタ'!$B$6:$B$1005,$W1759)=0),COUNTIFS('①在庫を貼る'!$V$6:$V$10005,$V1759,'①在庫を貼る'!$W$6:$W$10005,$W1759)+COUNTIFS('月1回_1ヶ月前の在庫'!$V$6:$V$10005,$V1759,'月1回_1ヶ月前の在庫'!$W$6:$W$10005,$W1759)&gt;0),N(U1758),N(U1758)+1))</f>
        <v/>
      </c>
      <c r="V1759" s="19">
        <f>IF($B1759="","",TEXT($B1759,"0000"))</f>
        <v/>
      </c>
      <c r="W1759" s="19">
        <f>IF($I1759="","",IF(ISNUMBER($I1759),TEXT($I1759,"0"),$I1759))</f>
        <v/>
      </c>
    </row>
    <row r="1760">
      <c r="B1760" s="25" t="n"/>
      <c r="I1760" s="25" t="n"/>
      <c r="U1760" s="19">
        <f>IF($V1760&lt;&gt;'設定'!$C$4,N(U1759),IF(OR(NOT(COUNTIF('商品マスタ'!$B$6:$B$1005,$W1760)=0),COUNTIFS('①在庫を貼る'!$V$6:$V$10005,$V1760,'①在庫を貼る'!$W$6:$W$10005,$W1760)+COUNTIFS('月1回_1ヶ月前の在庫'!$V$6:$V$10005,$V1760,'月1回_1ヶ月前の在庫'!$W$6:$W$10005,$W1760)&gt;0),N(U1759),N(U1759)+1))</f>
        <v/>
      </c>
      <c r="V1760" s="19">
        <f>IF($B1760="","",TEXT($B1760,"0000"))</f>
        <v/>
      </c>
      <c r="W1760" s="19">
        <f>IF($I1760="","",IF(ISNUMBER($I1760),TEXT($I1760,"0"),$I1760))</f>
        <v/>
      </c>
    </row>
    <row r="1761">
      <c r="B1761" s="25" t="n"/>
      <c r="I1761" s="25" t="n"/>
      <c r="U1761" s="19">
        <f>IF($V1761&lt;&gt;'設定'!$C$4,N(U1760),IF(OR(NOT(COUNTIF('商品マスタ'!$B$6:$B$1005,$W1761)=0),COUNTIFS('①在庫を貼る'!$V$6:$V$10005,$V1761,'①在庫を貼る'!$W$6:$W$10005,$W1761)+COUNTIFS('月1回_1ヶ月前の在庫'!$V$6:$V$10005,$V1761,'月1回_1ヶ月前の在庫'!$W$6:$W$10005,$W1761)&gt;0),N(U1760),N(U1760)+1))</f>
        <v/>
      </c>
      <c r="V1761" s="19">
        <f>IF($B1761="","",TEXT($B1761,"0000"))</f>
        <v/>
      </c>
      <c r="W1761" s="19">
        <f>IF($I1761="","",IF(ISNUMBER($I1761),TEXT($I1761,"0"),$I1761))</f>
        <v/>
      </c>
    </row>
    <row r="1762">
      <c r="B1762" s="25" t="n"/>
      <c r="I1762" s="25" t="n"/>
      <c r="U1762" s="19">
        <f>IF($V1762&lt;&gt;'設定'!$C$4,N(U1761),IF(OR(NOT(COUNTIF('商品マスタ'!$B$6:$B$1005,$W1762)=0),COUNTIFS('①在庫を貼る'!$V$6:$V$10005,$V1762,'①在庫を貼る'!$W$6:$W$10005,$W1762)+COUNTIFS('月1回_1ヶ月前の在庫'!$V$6:$V$10005,$V1762,'月1回_1ヶ月前の在庫'!$W$6:$W$10005,$W1762)&gt;0),N(U1761),N(U1761)+1))</f>
        <v/>
      </c>
      <c r="V1762" s="19">
        <f>IF($B1762="","",TEXT($B1762,"0000"))</f>
        <v/>
      </c>
      <c r="W1762" s="19">
        <f>IF($I1762="","",IF(ISNUMBER($I1762),TEXT($I1762,"0"),$I1762))</f>
        <v/>
      </c>
    </row>
    <row r="1763">
      <c r="B1763" s="25" t="n"/>
      <c r="I1763" s="25" t="n"/>
      <c r="U1763" s="19">
        <f>IF($V1763&lt;&gt;'設定'!$C$4,N(U1762),IF(OR(NOT(COUNTIF('商品マスタ'!$B$6:$B$1005,$W1763)=0),COUNTIFS('①在庫を貼る'!$V$6:$V$10005,$V1763,'①在庫を貼る'!$W$6:$W$10005,$W1763)+COUNTIFS('月1回_1ヶ月前の在庫'!$V$6:$V$10005,$V1763,'月1回_1ヶ月前の在庫'!$W$6:$W$10005,$W1763)&gt;0),N(U1762),N(U1762)+1))</f>
        <v/>
      </c>
      <c r="V1763" s="19">
        <f>IF($B1763="","",TEXT($B1763,"0000"))</f>
        <v/>
      </c>
      <c r="W1763" s="19">
        <f>IF($I1763="","",IF(ISNUMBER($I1763),TEXT($I1763,"0"),$I1763))</f>
        <v/>
      </c>
    </row>
    <row r="1764">
      <c r="B1764" s="25" t="n"/>
      <c r="I1764" s="25" t="n"/>
      <c r="U1764" s="19">
        <f>IF($V1764&lt;&gt;'設定'!$C$4,N(U1763),IF(OR(NOT(COUNTIF('商品マスタ'!$B$6:$B$1005,$W1764)=0),COUNTIFS('①在庫を貼る'!$V$6:$V$10005,$V1764,'①在庫を貼る'!$W$6:$W$10005,$W1764)+COUNTIFS('月1回_1ヶ月前の在庫'!$V$6:$V$10005,$V1764,'月1回_1ヶ月前の在庫'!$W$6:$W$10005,$W1764)&gt;0),N(U1763),N(U1763)+1))</f>
        <v/>
      </c>
      <c r="V1764" s="19">
        <f>IF($B1764="","",TEXT($B1764,"0000"))</f>
        <v/>
      </c>
      <c r="W1764" s="19">
        <f>IF($I1764="","",IF(ISNUMBER($I1764),TEXT($I1764,"0"),$I1764))</f>
        <v/>
      </c>
    </row>
    <row r="1765">
      <c r="B1765" s="25" t="n"/>
      <c r="I1765" s="25" t="n"/>
      <c r="U1765" s="19">
        <f>IF($V1765&lt;&gt;'設定'!$C$4,N(U1764),IF(OR(NOT(COUNTIF('商品マスタ'!$B$6:$B$1005,$W1765)=0),COUNTIFS('①在庫を貼る'!$V$6:$V$10005,$V1765,'①在庫を貼る'!$W$6:$W$10005,$W1765)+COUNTIFS('月1回_1ヶ月前の在庫'!$V$6:$V$10005,$V1765,'月1回_1ヶ月前の在庫'!$W$6:$W$10005,$W1765)&gt;0),N(U1764),N(U1764)+1))</f>
        <v/>
      </c>
      <c r="V1765" s="19">
        <f>IF($B1765="","",TEXT($B1765,"0000"))</f>
        <v/>
      </c>
      <c r="W1765" s="19">
        <f>IF($I1765="","",IF(ISNUMBER($I1765),TEXT($I1765,"0"),$I1765))</f>
        <v/>
      </c>
    </row>
    <row r="1766">
      <c r="B1766" s="25" t="n"/>
      <c r="I1766" s="25" t="n"/>
      <c r="U1766" s="19">
        <f>IF($V1766&lt;&gt;'設定'!$C$4,N(U1765),IF(OR(NOT(COUNTIF('商品マスタ'!$B$6:$B$1005,$W1766)=0),COUNTIFS('①在庫を貼る'!$V$6:$V$10005,$V1766,'①在庫を貼る'!$W$6:$W$10005,$W1766)+COUNTIFS('月1回_1ヶ月前の在庫'!$V$6:$V$10005,$V1766,'月1回_1ヶ月前の在庫'!$W$6:$W$10005,$W1766)&gt;0),N(U1765),N(U1765)+1))</f>
        <v/>
      </c>
      <c r="V1766" s="19">
        <f>IF($B1766="","",TEXT($B1766,"0000"))</f>
        <v/>
      </c>
      <c r="W1766" s="19">
        <f>IF($I1766="","",IF(ISNUMBER($I1766),TEXT($I1766,"0"),$I1766))</f>
        <v/>
      </c>
    </row>
    <row r="1767">
      <c r="B1767" s="25" t="n"/>
      <c r="I1767" s="25" t="n"/>
      <c r="U1767" s="19">
        <f>IF($V1767&lt;&gt;'設定'!$C$4,N(U1766),IF(OR(NOT(COUNTIF('商品マスタ'!$B$6:$B$1005,$W1767)=0),COUNTIFS('①在庫を貼る'!$V$6:$V$10005,$V1767,'①在庫を貼る'!$W$6:$W$10005,$W1767)+COUNTIFS('月1回_1ヶ月前の在庫'!$V$6:$V$10005,$V1767,'月1回_1ヶ月前の在庫'!$W$6:$W$10005,$W1767)&gt;0),N(U1766),N(U1766)+1))</f>
        <v/>
      </c>
      <c r="V1767" s="19">
        <f>IF($B1767="","",TEXT($B1767,"0000"))</f>
        <v/>
      </c>
      <c r="W1767" s="19">
        <f>IF($I1767="","",IF(ISNUMBER($I1767),TEXT($I1767,"0"),$I1767))</f>
        <v/>
      </c>
    </row>
    <row r="1768">
      <c r="B1768" s="25" t="n"/>
      <c r="I1768" s="25" t="n"/>
      <c r="U1768" s="19">
        <f>IF($V1768&lt;&gt;'設定'!$C$4,N(U1767),IF(OR(NOT(COUNTIF('商品マスタ'!$B$6:$B$1005,$W1768)=0),COUNTIFS('①在庫を貼る'!$V$6:$V$10005,$V1768,'①在庫を貼る'!$W$6:$W$10005,$W1768)+COUNTIFS('月1回_1ヶ月前の在庫'!$V$6:$V$10005,$V1768,'月1回_1ヶ月前の在庫'!$W$6:$W$10005,$W1768)&gt;0),N(U1767),N(U1767)+1))</f>
        <v/>
      </c>
      <c r="V1768" s="19">
        <f>IF($B1768="","",TEXT($B1768,"0000"))</f>
        <v/>
      </c>
      <c r="W1768" s="19">
        <f>IF($I1768="","",IF(ISNUMBER($I1768),TEXT($I1768,"0"),$I1768))</f>
        <v/>
      </c>
    </row>
    <row r="1769">
      <c r="B1769" s="25" t="n"/>
      <c r="I1769" s="25" t="n"/>
      <c r="U1769" s="19">
        <f>IF($V1769&lt;&gt;'設定'!$C$4,N(U1768),IF(OR(NOT(COUNTIF('商品マスタ'!$B$6:$B$1005,$W1769)=0),COUNTIFS('①在庫を貼る'!$V$6:$V$10005,$V1769,'①在庫を貼る'!$W$6:$W$10005,$W1769)+COUNTIFS('月1回_1ヶ月前の在庫'!$V$6:$V$10005,$V1769,'月1回_1ヶ月前の在庫'!$W$6:$W$10005,$W1769)&gt;0),N(U1768),N(U1768)+1))</f>
        <v/>
      </c>
      <c r="V1769" s="19">
        <f>IF($B1769="","",TEXT($B1769,"0000"))</f>
        <v/>
      </c>
      <c r="W1769" s="19">
        <f>IF($I1769="","",IF(ISNUMBER($I1769),TEXT($I1769,"0"),$I1769))</f>
        <v/>
      </c>
    </row>
    <row r="1770">
      <c r="B1770" s="25" t="n"/>
      <c r="I1770" s="25" t="n"/>
      <c r="U1770" s="19">
        <f>IF($V1770&lt;&gt;'設定'!$C$4,N(U1769),IF(OR(NOT(COUNTIF('商品マスタ'!$B$6:$B$1005,$W1770)=0),COUNTIFS('①在庫を貼る'!$V$6:$V$10005,$V1770,'①在庫を貼る'!$W$6:$W$10005,$W1770)+COUNTIFS('月1回_1ヶ月前の在庫'!$V$6:$V$10005,$V1770,'月1回_1ヶ月前の在庫'!$W$6:$W$10005,$W1770)&gt;0),N(U1769),N(U1769)+1))</f>
        <v/>
      </c>
      <c r="V1770" s="19">
        <f>IF($B1770="","",TEXT($B1770,"0000"))</f>
        <v/>
      </c>
      <c r="W1770" s="19">
        <f>IF($I1770="","",IF(ISNUMBER($I1770),TEXT($I1770,"0"),$I1770))</f>
        <v/>
      </c>
    </row>
    <row r="1771">
      <c r="B1771" s="25" t="n"/>
      <c r="I1771" s="25" t="n"/>
      <c r="U1771" s="19">
        <f>IF($V1771&lt;&gt;'設定'!$C$4,N(U1770),IF(OR(NOT(COUNTIF('商品マスタ'!$B$6:$B$1005,$W1771)=0),COUNTIFS('①在庫を貼る'!$V$6:$V$10005,$V1771,'①在庫を貼る'!$W$6:$W$10005,$W1771)+COUNTIFS('月1回_1ヶ月前の在庫'!$V$6:$V$10005,$V1771,'月1回_1ヶ月前の在庫'!$W$6:$W$10005,$W1771)&gt;0),N(U1770),N(U1770)+1))</f>
        <v/>
      </c>
      <c r="V1771" s="19">
        <f>IF($B1771="","",TEXT($B1771,"0000"))</f>
        <v/>
      </c>
      <c r="W1771" s="19">
        <f>IF($I1771="","",IF(ISNUMBER($I1771),TEXT($I1771,"0"),$I1771))</f>
        <v/>
      </c>
    </row>
    <row r="1772">
      <c r="B1772" s="25" t="n"/>
      <c r="I1772" s="25" t="n"/>
      <c r="U1772" s="19">
        <f>IF($V1772&lt;&gt;'設定'!$C$4,N(U1771),IF(OR(NOT(COUNTIF('商品マスタ'!$B$6:$B$1005,$W1772)=0),COUNTIFS('①在庫を貼る'!$V$6:$V$10005,$V1772,'①在庫を貼る'!$W$6:$W$10005,$W1772)+COUNTIFS('月1回_1ヶ月前の在庫'!$V$6:$V$10005,$V1772,'月1回_1ヶ月前の在庫'!$W$6:$W$10005,$W1772)&gt;0),N(U1771),N(U1771)+1))</f>
        <v/>
      </c>
      <c r="V1772" s="19">
        <f>IF($B1772="","",TEXT($B1772,"0000"))</f>
        <v/>
      </c>
      <c r="W1772" s="19">
        <f>IF($I1772="","",IF(ISNUMBER($I1772),TEXT($I1772,"0"),$I1772))</f>
        <v/>
      </c>
    </row>
    <row r="1773">
      <c r="B1773" s="25" t="n"/>
      <c r="I1773" s="25" t="n"/>
      <c r="U1773" s="19">
        <f>IF($V1773&lt;&gt;'設定'!$C$4,N(U1772),IF(OR(NOT(COUNTIF('商品マスタ'!$B$6:$B$1005,$W1773)=0),COUNTIFS('①在庫を貼る'!$V$6:$V$10005,$V1773,'①在庫を貼る'!$W$6:$W$10005,$W1773)+COUNTIFS('月1回_1ヶ月前の在庫'!$V$6:$V$10005,$V1773,'月1回_1ヶ月前の在庫'!$W$6:$W$10005,$W1773)&gt;0),N(U1772),N(U1772)+1))</f>
        <v/>
      </c>
      <c r="V1773" s="19">
        <f>IF($B1773="","",TEXT($B1773,"0000"))</f>
        <v/>
      </c>
      <c r="W1773" s="19">
        <f>IF($I1773="","",IF(ISNUMBER($I1773),TEXT($I1773,"0"),$I1773))</f>
        <v/>
      </c>
    </row>
    <row r="1774">
      <c r="B1774" s="25" t="n"/>
      <c r="I1774" s="25" t="n"/>
      <c r="U1774" s="19">
        <f>IF($V1774&lt;&gt;'設定'!$C$4,N(U1773),IF(OR(NOT(COUNTIF('商品マスタ'!$B$6:$B$1005,$W1774)=0),COUNTIFS('①在庫を貼る'!$V$6:$V$10005,$V1774,'①在庫を貼る'!$W$6:$W$10005,$W1774)+COUNTIFS('月1回_1ヶ月前の在庫'!$V$6:$V$10005,$V1774,'月1回_1ヶ月前の在庫'!$W$6:$W$10005,$W1774)&gt;0),N(U1773),N(U1773)+1))</f>
        <v/>
      </c>
      <c r="V1774" s="19">
        <f>IF($B1774="","",TEXT($B1774,"0000"))</f>
        <v/>
      </c>
      <c r="W1774" s="19">
        <f>IF($I1774="","",IF(ISNUMBER($I1774),TEXT($I1774,"0"),$I1774))</f>
        <v/>
      </c>
    </row>
    <row r="1775">
      <c r="B1775" s="25" t="n"/>
      <c r="I1775" s="25" t="n"/>
      <c r="U1775" s="19">
        <f>IF($V1775&lt;&gt;'設定'!$C$4,N(U1774),IF(OR(NOT(COUNTIF('商品マスタ'!$B$6:$B$1005,$W1775)=0),COUNTIFS('①在庫を貼る'!$V$6:$V$10005,$V1775,'①在庫を貼る'!$W$6:$W$10005,$W1775)+COUNTIFS('月1回_1ヶ月前の在庫'!$V$6:$V$10005,$V1775,'月1回_1ヶ月前の在庫'!$W$6:$W$10005,$W1775)&gt;0),N(U1774),N(U1774)+1))</f>
        <v/>
      </c>
      <c r="V1775" s="19">
        <f>IF($B1775="","",TEXT($B1775,"0000"))</f>
        <v/>
      </c>
      <c r="W1775" s="19">
        <f>IF($I1775="","",IF(ISNUMBER($I1775),TEXT($I1775,"0"),$I1775))</f>
        <v/>
      </c>
    </row>
    <row r="1776">
      <c r="B1776" s="25" t="n"/>
      <c r="I1776" s="25" t="n"/>
      <c r="U1776" s="19">
        <f>IF($V1776&lt;&gt;'設定'!$C$4,N(U1775),IF(OR(NOT(COUNTIF('商品マスタ'!$B$6:$B$1005,$W1776)=0),COUNTIFS('①在庫を貼る'!$V$6:$V$10005,$V1776,'①在庫を貼る'!$W$6:$W$10005,$W1776)+COUNTIFS('月1回_1ヶ月前の在庫'!$V$6:$V$10005,$V1776,'月1回_1ヶ月前の在庫'!$W$6:$W$10005,$W1776)&gt;0),N(U1775),N(U1775)+1))</f>
        <v/>
      </c>
      <c r="V1776" s="19">
        <f>IF($B1776="","",TEXT($B1776,"0000"))</f>
        <v/>
      </c>
      <c r="W1776" s="19">
        <f>IF($I1776="","",IF(ISNUMBER($I1776),TEXT($I1776,"0"),$I1776))</f>
        <v/>
      </c>
    </row>
    <row r="1777">
      <c r="B1777" s="25" t="n"/>
      <c r="I1777" s="25" t="n"/>
      <c r="U1777" s="19">
        <f>IF($V1777&lt;&gt;'設定'!$C$4,N(U1776),IF(OR(NOT(COUNTIF('商品マスタ'!$B$6:$B$1005,$W1777)=0),COUNTIFS('①在庫を貼る'!$V$6:$V$10005,$V1777,'①在庫を貼る'!$W$6:$W$10005,$W1777)+COUNTIFS('月1回_1ヶ月前の在庫'!$V$6:$V$10005,$V1777,'月1回_1ヶ月前の在庫'!$W$6:$W$10005,$W1777)&gt;0),N(U1776),N(U1776)+1))</f>
        <v/>
      </c>
      <c r="V1777" s="19">
        <f>IF($B1777="","",TEXT($B1777,"0000"))</f>
        <v/>
      </c>
      <c r="W1777" s="19">
        <f>IF($I1777="","",IF(ISNUMBER($I1777),TEXT($I1777,"0"),$I1777))</f>
        <v/>
      </c>
    </row>
    <row r="1778">
      <c r="B1778" s="25" t="n"/>
      <c r="I1778" s="25" t="n"/>
      <c r="U1778" s="19">
        <f>IF($V1778&lt;&gt;'設定'!$C$4,N(U1777),IF(OR(NOT(COUNTIF('商品マスタ'!$B$6:$B$1005,$W1778)=0),COUNTIFS('①在庫を貼る'!$V$6:$V$10005,$V1778,'①在庫を貼る'!$W$6:$W$10005,$W1778)+COUNTIFS('月1回_1ヶ月前の在庫'!$V$6:$V$10005,$V1778,'月1回_1ヶ月前の在庫'!$W$6:$W$10005,$W1778)&gt;0),N(U1777),N(U1777)+1))</f>
        <v/>
      </c>
      <c r="V1778" s="19">
        <f>IF($B1778="","",TEXT($B1778,"0000"))</f>
        <v/>
      </c>
      <c r="W1778" s="19">
        <f>IF($I1778="","",IF(ISNUMBER($I1778),TEXT($I1778,"0"),$I1778))</f>
        <v/>
      </c>
    </row>
    <row r="1779">
      <c r="B1779" s="25" t="n"/>
      <c r="I1779" s="25" t="n"/>
      <c r="U1779" s="19">
        <f>IF($V1779&lt;&gt;'設定'!$C$4,N(U1778),IF(OR(NOT(COUNTIF('商品マスタ'!$B$6:$B$1005,$W1779)=0),COUNTIFS('①在庫を貼る'!$V$6:$V$10005,$V1779,'①在庫を貼る'!$W$6:$W$10005,$W1779)+COUNTIFS('月1回_1ヶ月前の在庫'!$V$6:$V$10005,$V1779,'月1回_1ヶ月前の在庫'!$W$6:$W$10005,$W1779)&gt;0),N(U1778),N(U1778)+1))</f>
        <v/>
      </c>
      <c r="V1779" s="19">
        <f>IF($B1779="","",TEXT($B1779,"0000"))</f>
        <v/>
      </c>
      <c r="W1779" s="19">
        <f>IF($I1779="","",IF(ISNUMBER($I1779),TEXT($I1779,"0"),$I1779))</f>
        <v/>
      </c>
    </row>
    <row r="1780">
      <c r="B1780" s="25" t="n"/>
      <c r="I1780" s="25" t="n"/>
      <c r="U1780" s="19">
        <f>IF($V1780&lt;&gt;'設定'!$C$4,N(U1779),IF(OR(NOT(COUNTIF('商品マスタ'!$B$6:$B$1005,$W1780)=0),COUNTIFS('①在庫を貼る'!$V$6:$V$10005,$V1780,'①在庫を貼る'!$W$6:$W$10005,$W1780)+COUNTIFS('月1回_1ヶ月前の在庫'!$V$6:$V$10005,$V1780,'月1回_1ヶ月前の在庫'!$W$6:$W$10005,$W1780)&gt;0),N(U1779),N(U1779)+1))</f>
        <v/>
      </c>
      <c r="V1780" s="19">
        <f>IF($B1780="","",TEXT($B1780,"0000"))</f>
        <v/>
      </c>
      <c r="W1780" s="19">
        <f>IF($I1780="","",IF(ISNUMBER($I1780),TEXT($I1780,"0"),$I1780))</f>
        <v/>
      </c>
    </row>
    <row r="1781">
      <c r="B1781" s="25" t="n"/>
      <c r="I1781" s="25" t="n"/>
      <c r="U1781" s="19">
        <f>IF($V1781&lt;&gt;'設定'!$C$4,N(U1780),IF(OR(NOT(COUNTIF('商品マスタ'!$B$6:$B$1005,$W1781)=0),COUNTIFS('①在庫を貼る'!$V$6:$V$10005,$V1781,'①在庫を貼る'!$W$6:$W$10005,$W1781)+COUNTIFS('月1回_1ヶ月前の在庫'!$V$6:$V$10005,$V1781,'月1回_1ヶ月前の在庫'!$W$6:$W$10005,$W1781)&gt;0),N(U1780),N(U1780)+1))</f>
        <v/>
      </c>
      <c r="V1781" s="19">
        <f>IF($B1781="","",TEXT($B1781,"0000"))</f>
        <v/>
      </c>
      <c r="W1781" s="19">
        <f>IF($I1781="","",IF(ISNUMBER($I1781),TEXT($I1781,"0"),$I1781))</f>
        <v/>
      </c>
    </row>
    <row r="1782">
      <c r="B1782" s="25" t="n"/>
      <c r="I1782" s="25" t="n"/>
      <c r="U1782" s="19">
        <f>IF($V1782&lt;&gt;'設定'!$C$4,N(U1781),IF(OR(NOT(COUNTIF('商品マスタ'!$B$6:$B$1005,$W1782)=0),COUNTIFS('①在庫を貼る'!$V$6:$V$10005,$V1782,'①在庫を貼る'!$W$6:$W$10005,$W1782)+COUNTIFS('月1回_1ヶ月前の在庫'!$V$6:$V$10005,$V1782,'月1回_1ヶ月前の在庫'!$W$6:$W$10005,$W1782)&gt;0),N(U1781),N(U1781)+1))</f>
        <v/>
      </c>
      <c r="V1782" s="19">
        <f>IF($B1782="","",TEXT($B1782,"0000"))</f>
        <v/>
      </c>
      <c r="W1782" s="19">
        <f>IF($I1782="","",IF(ISNUMBER($I1782),TEXT($I1782,"0"),$I1782))</f>
        <v/>
      </c>
    </row>
    <row r="1783">
      <c r="B1783" s="25" t="n"/>
      <c r="I1783" s="25" t="n"/>
      <c r="U1783" s="19">
        <f>IF($V1783&lt;&gt;'設定'!$C$4,N(U1782),IF(OR(NOT(COUNTIF('商品マスタ'!$B$6:$B$1005,$W1783)=0),COUNTIFS('①在庫を貼る'!$V$6:$V$10005,$V1783,'①在庫を貼る'!$W$6:$W$10005,$W1783)+COUNTIFS('月1回_1ヶ月前の在庫'!$V$6:$V$10005,$V1783,'月1回_1ヶ月前の在庫'!$W$6:$W$10005,$W1783)&gt;0),N(U1782),N(U1782)+1))</f>
        <v/>
      </c>
      <c r="V1783" s="19">
        <f>IF($B1783="","",TEXT($B1783,"0000"))</f>
        <v/>
      </c>
      <c r="W1783" s="19">
        <f>IF($I1783="","",IF(ISNUMBER($I1783),TEXT($I1783,"0"),$I1783))</f>
        <v/>
      </c>
    </row>
    <row r="1784">
      <c r="B1784" s="25" t="n"/>
      <c r="I1784" s="25" t="n"/>
      <c r="U1784" s="19">
        <f>IF($V1784&lt;&gt;'設定'!$C$4,N(U1783),IF(OR(NOT(COUNTIF('商品マスタ'!$B$6:$B$1005,$W1784)=0),COUNTIFS('①在庫を貼る'!$V$6:$V$10005,$V1784,'①在庫を貼る'!$W$6:$W$10005,$W1784)+COUNTIFS('月1回_1ヶ月前の在庫'!$V$6:$V$10005,$V1784,'月1回_1ヶ月前の在庫'!$W$6:$W$10005,$W1784)&gt;0),N(U1783),N(U1783)+1))</f>
        <v/>
      </c>
      <c r="V1784" s="19">
        <f>IF($B1784="","",TEXT($B1784,"0000"))</f>
        <v/>
      </c>
      <c r="W1784" s="19">
        <f>IF($I1784="","",IF(ISNUMBER($I1784),TEXT($I1784,"0"),$I1784))</f>
        <v/>
      </c>
    </row>
    <row r="1785">
      <c r="B1785" s="25" t="n"/>
      <c r="I1785" s="25" t="n"/>
      <c r="U1785" s="19">
        <f>IF($V1785&lt;&gt;'設定'!$C$4,N(U1784),IF(OR(NOT(COUNTIF('商品マスタ'!$B$6:$B$1005,$W1785)=0),COUNTIFS('①在庫を貼る'!$V$6:$V$10005,$V1785,'①在庫を貼る'!$W$6:$W$10005,$W1785)+COUNTIFS('月1回_1ヶ月前の在庫'!$V$6:$V$10005,$V1785,'月1回_1ヶ月前の在庫'!$W$6:$W$10005,$W1785)&gt;0),N(U1784),N(U1784)+1))</f>
        <v/>
      </c>
      <c r="V1785" s="19">
        <f>IF($B1785="","",TEXT($B1785,"0000"))</f>
        <v/>
      </c>
      <c r="W1785" s="19">
        <f>IF($I1785="","",IF(ISNUMBER($I1785),TEXT($I1785,"0"),$I1785))</f>
        <v/>
      </c>
    </row>
    <row r="1786">
      <c r="B1786" s="25" t="n"/>
      <c r="I1786" s="25" t="n"/>
      <c r="U1786" s="19">
        <f>IF($V1786&lt;&gt;'設定'!$C$4,N(U1785),IF(OR(NOT(COUNTIF('商品マスタ'!$B$6:$B$1005,$W1786)=0),COUNTIFS('①在庫を貼る'!$V$6:$V$10005,$V1786,'①在庫を貼る'!$W$6:$W$10005,$W1786)+COUNTIFS('月1回_1ヶ月前の在庫'!$V$6:$V$10005,$V1786,'月1回_1ヶ月前の在庫'!$W$6:$W$10005,$W1786)&gt;0),N(U1785),N(U1785)+1))</f>
        <v/>
      </c>
      <c r="V1786" s="19">
        <f>IF($B1786="","",TEXT($B1786,"0000"))</f>
        <v/>
      </c>
      <c r="W1786" s="19">
        <f>IF($I1786="","",IF(ISNUMBER($I1786),TEXT($I1786,"0"),$I1786))</f>
        <v/>
      </c>
    </row>
    <row r="1787">
      <c r="B1787" s="25" t="n"/>
      <c r="I1787" s="25" t="n"/>
      <c r="U1787" s="19">
        <f>IF($V1787&lt;&gt;'設定'!$C$4,N(U1786),IF(OR(NOT(COUNTIF('商品マスタ'!$B$6:$B$1005,$W1787)=0),COUNTIFS('①在庫を貼る'!$V$6:$V$10005,$V1787,'①在庫を貼る'!$W$6:$W$10005,$W1787)+COUNTIFS('月1回_1ヶ月前の在庫'!$V$6:$V$10005,$V1787,'月1回_1ヶ月前の在庫'!$W$6:$W$10005,$W1787)&gt;0),N(U1786),N(U1786)+1))</f>
        <v/>
      </c>
      <c r="V1787" s="19">
        <f>IF($B1787="","",TEXT($B1787,"0000"))</f>
        <v/>
      </c>
      <c r="W1787" s="19">
        <f>IF($I1787="","",IF(ISNUMBER($I1787),TEXT($I1787,"0"),$I1787))</f>
        <v/>
      </c>
    </row>
    <row r="1788">
      <c r="B1788" s="25" t="n"/>
      <c r="I1788" s="25" t="n"/>
      <c r="U1788" s="19">
        <f>IF($V1788&lt;&gt;'設定'!$C$4,N(U1787),IF(OR(NOT(COUNTIF('商品マスタ'!$B$6:$B$1005,$W1788)=0),COUNTIFS('①在庫を貼る'!$V$6:$V$10005,$V1788,'①在庫を貼る'!$W$6:$W$10005,$W1788)+COUNTIFS('月1回_1ヶ月前の在庫'!$V$6:$V$10005,$V1788,'月1回_1ヶ月前の在庫'!$W$6:$W$10005,$W1788)&gt;0),N(U1787),N(U1787)+1))</f>
        <v/>
      </c>
      <c r="V1788" s="19">
        <f>IF($B1788="","",TEXT($B1788,"0000"))</f>
        <v/>
      </c>
      <c r="W1788" s="19">
        <f>IF($I1788="","",IF(ISNUMBER($I1788),TEXT($I1788,"0"),$I1788))</f>
        <v/>
      </c>
    </row>
    <row r="1789">
      <c r="B1789" s="25" t="n"/>
      <c r="I1789" s="25" t="n"/>
      <c r="U1789" s="19">
        <f>IF($V1789&lt;&gt;'設定'!$C$4,N(U1788),IF(OR(NOT(COUNTIF('商品マスタ'!$B$6:$B$1005,$W1789)=0),COUNTIFS('①在庫を貼る'!$V$6:$V$10005,$V1789,'①在庫を貼る'!$W$6:$W$10005,$W1789)+COUNTIFS('月1回_1ヶ月前の在庫'!$V$6:$V$10005,$V1789,'月1回_1ヶ月前の在庫'!$W$6:$W$10005,$W1789)&gt;0),N(U1788),N(U1788)+1))</f>
        <v/>
      </c>
      <c r="V1789" s="19">
        <f>IF($B1789="","",TEXT($B1789,"0000"))</f>
        <v/>
      </c>
      <c r="W1789" s="19">
        <f>IF($I1789="","",IF(ISNUMBER($I1789),TEXT($I1789,"0"),$I1789))</f>
        <v/>
      </c>
    </row>
    <row r="1790">
      <c r="B1790" s="25" t="n"/>
      <c r="I1790" s="25" t="n"/>
      <c r="U1790" s="19">
        <f>IF($V1790&lt;&gt;'設定'!$C$4,N(U1789),IF(OR(NOT(COUNTIF('商品マスタ'!$B$6:$B$1005,$W1790)=0),COUNTIFS('①在庫を貼る'!$V$6:$V$10005,$V1790,'①在庫を貼る'!$W$6:$W$10005,$W1790)+COUNTIFS('月1回_1ヶ月前の在庫'!$V$6:$V$10005,$V1790,'月1回_1ヶ月前の在庫'!$W$6:$W$10005,$W1790)&gt;0),N(U1789),N(U1789)+1))</f>
        <v/>
      </c>
      <c r="V1790" s="19">
        <f>IF($B1790="","",TEXT($B1790,"0000"))</f>
        <v/>
      </c>
      <c r="W1790" s="19">
        <f>IF($I1790="","",IF(ISNUMBER($I1790),TEXT($I1790,"0"),$I1790))</f>
        <v/>
      </c>
    </row>
    <row r="1791">
      <c r="B1791" s="25" t="n"/>
      <c r="I1791" s="25" t="n"/>
      <c r="U1791" s="19">
        <f>IF($V1791&lt;&gt;'設定'!$C$4,N(U1790),IF(OR(NOT(COUNTIF('商品マスタ'!$B$6:$B$1005,$W1791)=0),COUNTIFS('①在庫を貼る'!$V$6:$V$10005,$V1791,'①在庫を貼る'!$W$6:$W$10005,$W1791)+COUNTIFS('月1回_1ヶ月前の在庫'!$V$6:$V$10005,$V1791,'月1回_1ヶ月前の在庫'!$W$6:$W$10005,$W1791)&gt;0),N(U1790),N(U1790)+1))</f>
        <v/>
      </c>
      <c r="V1791" s="19">
        <f>IF($B1791="","",TEXT($B1791,"0000"))</f>
        <v/>
      </c>
      <c r="W1791" s="19">
        <f>IF($I1791="","",IF(ISNUMBER($I1791),TEXT($I1791,"0"),$I1791))</f>
        <v/>
      </c>
    </row>
    <row r="1792">
      <c r="B1792" s="25" t="n"/>
      <c r="I1792" s="25" t="n"/>
      <c r="U1792" s="19">
        <f>IF($V1792&lt;&gt;'設定'!$C$4,N(U1791),IF(OR(NOT(COUNTIF('商品マスタ'!$B$6:$B$1005,$W1792)=0),COUNTIFS('①在庫を貼る'!$V$6:$V$10005,$V1792,'①在庫を貼る'!$W$6:$W$10005,$W1792)+COUNTIFS('月1回_1ヶ月前の在庫'!$V$6:$V$10005,$V1792,'月1回_1ヶ月前の在庫'!$W$6:$W$10005,$W1792)&gt;0),N(U1791),N(U1791)+1))</f>
        <v/>
      </c>
      <c r="V1792" s="19">
        <f>IF($B1792="","",TEXT($B1792,"0000"))</f>
        <v/>
      </c>
      <c r="W1792" s="19">
        <f>IF($I1792="","",IF(ISNUMBER($I1792),TEXT($I1792,"0"),$I1792))</f>
        <v/>
      </c>
    </row>
    <row r="1793">
      <c r="B1793" s="25" t="n"/>
      <c r="I1793" s="25" t="n"/>
      <c r="U1793" s="19">
        <f>IF($V1793&lt;&gt;'設定'!$C$4,N(U1792),IF(OR(NOT(COUNTIF('商品マスタ'!$B$6:$B$1005,$W1793)=0),COUNTIFS('①在庫を貼る'!$V$6:$V$10005,$V1793,'①在庫を貼る'!$W$6:$W$10005,$W1793)+COUNTIFS('月1回_1ヶ月前の在庫'!$V$6:$V$10005,$V1793,'月1回_1ヶ月前の在庫'!$W$6:$W$10005,$W1793)&gt;0),N(U1792),N(U1792)+1))</f>
        <v/>
      </c>
      <c r="V1793" s="19">
        <f>IF($B1793="","",TEXT($B1793,"0000"))</f>
        <v/>
      </c>
      <c r="W1793" s="19">
        <f>IF($I1793="","",IF(ISNUMBER($I1793),TEXT($I1793,"0"),$I1793))</f>
        <v/>
      </c>
    </row>
    <row r="1794">
      <c r="B1794" s="25" t="n"/>
      <c r="I1794" s="25" t="n"/>
      <c r="U1794" s="19">
        <f>IF($V1794&lt;&gt;'設定'!$C$4,N(U1793),IF(OR(NOT(COUNTIF('商品マスタ'!$B$6:$B$1005,$W1794)=0),COUNTIFS('①在庫を貼る'!$V$6:$V$10005,$V1794,'①在庫を貼る'!$W$6:$W$10005,$W1794)+COUNTIFS('月1回_1ヶ月前の在庫'!$V$6:$V$10005,$V1794,'月1回_1ヶ月前の在庫'!$W$6:$W$10005,$W1794)&gt;0),N(U1793),N(U1793)+1))</f>
        <v/>
      </c>
      <c r="V1794" s="19">
        <f>IF($B1794="","",TEXT($B1794,"0000"))</f>
        <v/>
      </c>
      <c r="W1794" s="19">
        <f>IF($I1794="","",IF(ISNUMBER($I1794),TEXT($I1794,"0"),$I1794))</f>
        <v/>
      </c>
    </row>
    <row r="1795">
      <c r="B1795" s="25" t="n"/>
      <c r="I1795" s="25" t="n"/>
      <c r="U1795" s="19">
        <f>IF($V1795&lt;&gt;'設定'!$C$4,N(U1794),IF(OR(NOT(COUNTIF('商品マスタ'!$B$6:$B$1005,$W1795)=0),COUNTIFS('①在庫を貼る'!$V$6:$V$10005,$V1795,'①在庫を貼る'!$W$6:$W$10005,$W1795)+COUNTIFS('月1回_1ヶ月前の在庫'!$V$6:$V$10005,$V1795,'月1回_1ヶ月前の在庫'!$W$6:$W$10005,$W1795)&gt;0),N(U1794),N(U1794)+1))</f>
        <v/>
      </c>
      <c r="V1795" s="19">
        <f>IF($B1795="","",TEXT($B1795,"0000"))</f>
        <v/>
      </c>
      <c r="W1795" s="19">
        <f>IF($I1795="","",IF(ISNUMBER($I1795),TEXT($I1795,"0"),$I1795))</f>
        <v/>
      </c>
    </row>
    <row r="1796">
      <c r="B1796" s="25" t="n"/>
      <c r="I1796" s="25" t="n"/>
      <c r="U1796" s="19">
        <f>IF($V1796&lt;&gt;'設定'!$C$4,N(U1795),IF(OR(NOT(COUNTIF('商品マスタ'!$B$6:$B$1005,$W1796)=0),COUNTIFS('①在庫を貼る'!$V$6:$V$10005,$V1796,'①在庫を貼る'!$W$6:$W$10005,$W1796)+COUNTIFS('月1回_1ヶ月前の在庫'!$V$6:$V$10005,$V1796,'月1回_1ヶ月前の在庫'!$W$6:$W$10005,$W1796)&gt;0),N(U1795),N(U1795)+1))</f>
        <v/>
      </c>
      <c r="V1796" s="19">
        <f>IF($B1796="","",TEXT($B1796,"0000"))</f>
        <v/>
      </c>
      <c r="W1796" s="19">
        <f>IF($I1796="","",IF(ISNUMBER($I1796),TEXT($I1796,"0"),$I1796))</f>
        <v/>
      </c>
    </row>
    <row r="1797">
      <c r="B1797" s="25" t="n"/>
      <c r="I1797" s="25" t="n"/>
      <c r="U1797" s="19">
        <f>IF($V1797&lt;&gt;'設定'!$C$4,N(U1796),IF(OR(NOT(COUNTIF('商品マスタ'!$B$6:$B$1005,$W1797)=0),COUNTIFS('①在庫を貼る'!$V$6:$V$10005,$V1797,'①在庫を貼る'!$W$6:$W$10005,$W1797)+COUNTIFS('月1回_1ヶ月前の在庫'!$V$6:$V$10005,$V1797,'月1回_1ヶ月前の在庫'!$W$6:$W$10005,$W1797)&gt;0),N(U1796),N(U1796)+1))</f>
        <v/>
      </c>
      <c r="V1797" s="19">
        <f>IF($B1797="","",TEXT($B1797,"0000"))</f>
        <v/>
      </c>
      <c r="W1797" s="19">
        <f>IF($I1797="","",IF(ISNUMBER($I1797),TEXT($I1797,"0"),$I1797))</f>
        <v/>
      </c>
    </row>
    <row r="1798">
      <c r="B1798" s="25" t="n"/>
      <c r="I1798" s="25" t="n"/>
      <c r="U1798" s="19">
        <f>IF($V1798&lt;&gt;'設定'!$C$4,N(U1797),IF(OR(NOT(COUNTIF('商品マスタ'!$B$6:$B$1005,$W1798)=0),COUNTIFS('①在庫を貼る'!$V$6:$V$10005,$V1798,'①在庫を貼る'!$W$6:$W$10005,$W1798)+COUNTIFS('月1回_1ヶ月前の在庫'!$V$6:$V$10005,$V1798,'月1回_1ヶ月前の在庫'!$W$6:$W$10005,$W1798)&gt;0),N(U1797),N(U1797)+1))</f>
        <v/>
      </c>
      <c r="V1798" s="19">
        <f>IF($B1798="","",TEXT($B1798,"0000"))</f>
        <v/>
      </c>
      <c r="W1798" s="19">
        <f>IF($I1798="","",IF(ISNUMBER($I1798),TEXT($I1798,"0"),$I1798))</f>
        <v/>
      </c>
    </row>
    <row r="1799">
      <c r="B1799" s="25" t="n"/>
      <c r="I1799" s="25" t="n"/>
      <c r="U1799" s="19">
        <f>IF($V1799&lt;&gt;'設定'!$C$4,N(U1798),IF(OR(NOT(COUNTIF('商品マスタ'!$B$6:$B$1005,$W1799)=0),COUNTIFS('①在庫を貼る'!$V$6:$V$10005,$V1799,'①在庫を貼る'!$W$6:$W$10005,$W1799)+COUNTIFS('月1回_1ヶ月前の在庫'!$V$6:$V$10005,$V1799,'月1回_1ヶ月前の在庫'!$W$6:$W$10005,$W1799)&gt;0),N(U1798),N(U1798)+1))</f>
        <v/>
      </c>
      <c r="V1799" s="19">
        <f>IF($B1799="","",TEXT($B1799,"0000"))</f>
        <v/>
      </c>
      <c r="W1799" s="19">
        <f>IF($I1799="","",IF(ISNUMBER($I1799),TEXT($I1799,"0"),$I1799))</f>
        <v/>
      </c>
    </row>
    <row r="1800">
      <c r="B1800" s="25" t="n"/>
      <c r="I1800" s="25" t="n"/>
      <c r="U1800" s="19">
        <f>IF($V1800&lt;&gt;'設定'!$C$4,N(U1799),IF(OR(NOT(COUNTIF('商品マスタ'!$B$6:$B$1005,$W1800)=0),COUNTIFS('①在庫を貼る'!$V$6:$V$10005,$V1800,'①在庫を貼る'!$W$6:$W$10005,$W1800)+COUNTIFS('月1回_1ヶ月前の在庫'!$V$6:$V$10005,$V1800,'月1回_1ヶ月前の在庫'!$W$6:$W$10005,$W1800)&gt;0),N(U1799),N(U1799)+1))</f>
        <v/>
      </c>
      <c r="V1800" s="19">
        <f>IF($B1800="","",TEXT($B1800,"0000"))</f>
        <v/>
      </c>
      <c r="W1800" s="19">
        <f>IF($I1800="","",IF(ISNUMBER($I1800),TEXT($I1800,"0"),$I1800))</f>
        <v/>
      </c>
    </row>
    <row r="1801">
      <c r="B1801" s="25" t="n"/>
      <c r="I1801" s="25" t="n"/>
      <c r="U1801" s="19">
        <f>IF($V1801&lt;&gt;'設定'!$C$4,N(U1800),IF(OR(NOT(COUNTIF('商品マスタ'!$B$6:$B$1005,$W1801)=0),COUNTIFS('①在庫を貼る'!$V$6:$V$10005,$V1801,'①在庫を貼る'!$W$6:$W$10005,$W1801)+COUNTIFS('月1回_1ヶ月前の在庫'!$V$6:$V$10005,$V1801,'月1回_1ヶ月前の在庫'!$W$6:$W$10005,$W1801)&gt;0),N(U1800),N(U1800)+1))</f>
        <v/>
      </c>
      <c r="V1801" s="19">
        <f>IF($B1801="","",TEXT($B1801,"0000"))</f>
        <v/>
      </c>
      <c r="W1801" s="19">
        <f>IF($I1801="","",IF(ISNUMBER($I1801),TEXT($I1801,"0"),$I1801))</f>
        <v/>
      </c>
    </row>
    <row r="1802">
      <c r="B1802" s="25" t="n"/>
      <c r="I1802" s="25" t="n"/>
      <c r="U1802" s="19">
        <f>IF($V1802&lt;&gt;'設定'!$C$4,N(U1801),IF(OR(NOT(COUNTIF('商品マスタ'!$B$6:$B$1005,$W1802)=0),COUNTIFS('①在庫を貼る'!$V$6:$V$10005,$V1802,'①在庫を貼る'!$W$6:$W$10005,$W1802)+COUNTIFS('月1回_1ヶ月前の在庫'!$V$6:$V$10005,$V1802,'月1回_1ヶ月前の在庫'!$W$6:$W$10005,$W1802)&gt;0),N(U1801),N(U1801)+1))</f>
        <v/>
      </c>
      <c r="V1802" s="19">
        <f>IF($B1802="","",TEXT($B1802,"0000"))</f>
        <v/>
      </c>
      <c r="W1802" s="19">
        <f>IF($I1802="","",IF(ISNUMBER($I1802),TEXT($I1802,"0"),$I1802))</f>
        <v/>
      </c>
    </row>
    <row r="1803">
      <c r="B1803" s="25" t="n"/>
      <c r="I1803" s="25" t="n"/>
      <c r="U1803" s="19">
        <f>IF($V1803&lt;&gt;'設定'!$C$4,N(U1802),IF(OR(NOT(COUNTIF('商品マスタ'!$B$6:$B$1005,$W1803)=0),COUNTIFS('①在庫を貼る'!$V$6:$V$10005,$V1803,'①在庫を貼る'!$W$6:$W$10005,$W1803)+COUNTIFS('月1回_1ヶ月前の在庫'!$V$6:$V$10005,$V1803,'月1回_1ヶ月前の在庫'!$W$6:$W$10005,$W1803)&gt;0),N(U1802),N(U1802)+1))</f>
        <v/>
      </c>
      <c r="V1803" s="19">
        <f>IF($B1803="","",TEXT($B1803,"0000"))</f>
        <v/>
      </c>
      <c r="W1803" s="19">
        <f>IF($I1803="","",IF(ISNUMBER($I1803),TEXT($I1803,"0"),$I1803))</f>
        <v/>
      </c>
    </row>
    <row r="1804">
      <c r="B1804" s="25" t="n"/>
      <c r="I1804" s="25" t="n"/>
      <c r="U1804" s="19">
        <f>IF($V1804&lt;&gt;'設定'!$C$4,N(U1803),IF(OR(NOT(COUNTIF('商品マスタ'!$B$6:$B$1005,$W1804)=0),COUNTIFS('①在庫を貼る'!$V$6:$V$10005,$V1804,'①在庫を貼る'!$W$6:$W$10005,$W1804)+COUNTIFS('月1回_1ヶ月前の在庫'!$V$6:$V$10005,$V1804,'月1回_1ヶ月前の在庫'!$W$6:$W$10005,$W1804)&gt;0),N(U1803),N(U1803)+1))</f>
        <v/>
      </c>
      <c r="V1804" s="19">
        <f>IF($B1804="","",TEXT($B1804,"0000"))</f>
        <v/>
      </c>
      <c r="W1804" s="19">
        <f>IF($I1804="","",IF(ISNUMBER($I1804),TEXT($I1804,"0"),$I1804))</f>
        <v/>
      </c>
    </row>
    <row r="1805">
      <c r="B1805" s="25" t="n"/>
      <c r="I1805" s="25" t="n"/>
      <c r="U1805" s="19">
        <f>IF($V1805&lt;&gt;'設定'!$C$4,N(U1804),IF(OR(NOT(COUNTIF('商品マスタ'!$B$6:$B$1005,$W1805)=0),COUNTIFS('①在庫を貼る'!$V$6:$V$10005,$V1805,'①在庫を貼る'!$W$6:$W$10005,$W1805)+COUNTIFS('月1回_1ヶ月前の在庫'!$V$6:$V$10005,$V1805,'月1回_1ヶ月前の在庫'!$W$6:$W$10005,$W1805)&gt;0),N(U1804),N(U1804)+1))</f>
        <v/>
      </c>
      <c r="V1805" s="19">
        <f>IF($B1805="","",TEXT($B1805,"0000"))</f>
        <v/>
      </c>
      <c r="W1805" s="19">
        <f>IF($I1805="","",IF(ISNUMBER($I1805),TEXT($I1805,"0"),$I1805))</f>
        <v/>
      </c>
    </row>
    <row r="1806">
      <c r="B1806" s="25" t="n"/>
      <c r="I1806" s="25" t="n"/>
      <c r="U1806" s="19">
        <f>IF($V1806&lt;&gt;'設定'!$C$4,N(U1805),IF(OR(NOT(COUNTIF('商品マスタ'!$B$6:$B$1005,$W1806)=0),COUNTIFS('①在庫を貼る'!$V$6:$V$10005,$V1806,'①在庫を貼る'!$W$6:$W$10005,$W1806)+COUNTIFS('月1回_1ヶ月前の在庫'!$V$6:$V$10005,$V1806,'月1回_1ヶ月前の在庫'!$W$6:$W$10005,$W1806)&gt;0),N(U1805),N(U1805)+1))</f>
        <v/>
      </c>
      <c r="V1806" s="19">
        <f>IF($B1806="","",TEXT($B1806,"0000"))</f>
        <v/>
      </c>
      <c r="W1806" s="19">
        <f>IF($I1806="","",IF(ISNUMBER($I1806),TEXT($I1806,"0"),$I1806))</f>
        <v/>
      </c>
    </row>
    <row r="1807">
      <c r="B1807" s="25" t="n"/>
      <c r="I1807" s="25" t="n"/>
      <c r="U1807" s="19">
        <f>IF($V1807&lt;&gt;'設定'!$C$4,N(U1806),IF(OR(NOT(COUNTIF('商品マスタ'!$B$6:$B$1005,$W1807)=0),COUNTIFS('①在庫を貼る'!$V$6:$V$10005,$V1807,'①在庫を貼る'!$W$6:$W$10005,$W1807)+COUNTIFS('月1回_1ヶ月前の在庫'!$V$6:$V$10005,$V1807,'月1回_1ヶ月前の在庫'!$W$6:$W$10005,$W1807)&gt;0),N(U1806),N(U1806)+1))</f>
        <v/>
      </c>
      <c r="V1807" s="19">
        <f>IF($B1807="","",TEXT($B1807,"0000"))</f>
        <v/>
      </c>
      <c r="W1807" s="19">
        <f>IF($I1807="","",IF(ISNUMBER($I1807),TEXT($I1807,"0"),$I1807))</f>
        <v/>
      </c>
    </row>
    <row r="1808">
      <c r="B1808" s="25" t="n"/>
      <c r="I1808" s="25" t="n"/>
      <c r="U1808" s="19">
        <f>IF($V1808&lt;&gt;'設定'!$C$4,N(U1807),IF(OR(NOT(COUNTIF('商品マスタ'!$B$6:$B$1005,$W1808)=0),COUNTIFS('①在庫を貼る'!$V$6:$V$10005,$V1808,'①在庫を貼る'!$W$6:$W$10005,$W1808)+COUNTIFS('月1回_1ヶ月前の在庫'!$V$6:$V$10005,$V1808,'月1回_1ヶ月前の在庫'!$W$6:$W$10005,$W1808)&gt;0),N(U1807),N(U1807)+1))</f>
        <v/>
      </c>
      <c r="V1808" s="19">
        <f>IF($B1808="","",TEXT($B1808,"0000"))</f>
        <v/>
      </c>
      <c r="W1808" s="19">
        <f>IF($I1808="","",IF(ISNUMBER($I1808),TEXT($I1808,"0"),$I1808))</f>
        <v/>
      </c>
    </row>
    <row r="1809">
      <c r="B1809" s="25" t="n"/>
      <c r="I1809" s="25" t="n"/>
      <c r="U1809" s="19">
        <f>IF($V1809&lt;&gt;'設定'!$C$4,N(U1808),IF(OR(NOT(COUNTIF('商品マスタ'!$B$6:$B$1005,$W1809)=0),COUNTIFS('①在庫を貼る'!$V$6:$V$10005,$V1809,'①在庫を貼る'!$W$6:$W$10005,$W1809)+COUNTIFS('月1回_1ヶ月前の在庫'!$V$6:$V$10005,$V1809,'月1回_1ヶ月前の在庫'!$W$6:$W$10005,$W1809)&gt;0),N(U1808),N(U1808)+1))</f>
        <v/>
      </c>
      <c r="V1809" s="19">
        <f>IF($B1809="","",TEXT($B1809,"0000"))</f>
        <v/>
      </c>
      <c r="W1809" s="19">
        <f>IF($I1809="","",IF(ISNUMBER($I1809),TEXT($I1809,"0"),$I1809))</f>
        <v/>
      </c>
    </row>
    <row r="1810">
      <c r="B1810" s="25" t="n"/>
      <c r="I1810" s="25" t="n"/>
      <c r="U1810" s="19">
        <f>IF($V1810&lt;&gt;'設定'!$C$4,N(U1809),IF(OR(NOT(COUNTIF('商品マスタ'!$B$6:$B$1005,$W1810)=0),COUNTIFS('①在庫を貼る'!$V$6:$V$10005,$V1810,'①在庫を貼る'!$W$6:$W$10005,$W1810)+COUNTIFS('月1回_1ヶ月前の在庫'!$V$6:$V$10005,$V1810,'月1回_1ヶ月前の在庫'!$W$6:$W$10005,$W1810)&gt;0),N(U1809),N(U1809)+1))</f>
        <v/>
      </c>
      <c r="V1810" s="19">
        <f>IF($B1810="","",TEXT($B1810,"0000"))</f>
        <v/>
      </c>
      <c r="W1810" s="19">
        <f>IF($I1810="","",IF(ISNUMBER($I1810),TEXT($I1810,"0"),$I1810))</f>
        <v/>
      </c>
    </row>
    <row r="1811">
      <c r="B1811" s="25" t="n"/>
      <c r="I1811" s="25" t="n"/>
      <c r="U1811" s="19">
        <f>IF($V1811&lt;&gt;'設定'!$C$4,N(U1810),IF(OR(NOT(COUNTIF('商品マスタ'!$B$6:$B$1005,$W1811)=0),COUNTIFS('①在庫を貼る'!$V$6:$V$10005,$V1811,'①在庫を貼る'!$W$6:$W$10005,$W1811)+COUNTIFS('月1回_1ヶ月前の在庫'!$V$6:$V$10005,$V1811,'月1回_1ヶ月前の在庫'!$W$6:$W$10005,$W1811)&gt;0),N(U1810),N(U1810)+1))</f>
        <v/>
      </c>
      <c r="V1811" s="19">
        <f>IF($B1811="","",TEXT($B1811,"0000"))</f>
        <v/>
      </c>
      <c r="W1811" s="19">
        <f>IF($I1811="","",IF(ISNUMBER($I1811),TEXT($I1811,"0"),$I1811))</f>
        <v/>
      </c>
    </row>
    <row r="1812">
      <c r="B1812" s="25" t="n"/>
      <c r="I1812" s="25" t="n"/>
      <c r="U1812" s="19">
        <f>IF($V1812&lt;&gt;'設定'!$C$4,N(U1811),IF(OR(NOT(COUNTIF('商品マスタ'!$B$6:$B$1005,$W1812)=0),COUNTIFS('①在庫を貼る'!$V$6:$V$10005,$V1812,'①在庫を貼る'!$W$6:$W$10005,$W1812)+COUNTIFS('月1回_1ヶ月前の在庫'!$V$6:$V$10005,$V1812,'月1回_1ヶ月前の在庫'!$W$6:$W$10005,$W1812)&gt;0),N(U1811),N(U1811)+1))</f>
        <v/>
      </c>
      <c r="V1812" s="19">
        <f>IF($B1812="","",TEXT($B1812,"0000"))</f>
        <v/>
      </c>
      <c r="W1812" s="19">
        <f>IF($I1812="","",IF(ISNUMBER($I1812),TEXT($I1812,"0"),$I1812))</f>
        <v/>
      </c>
    </row>
    <row r="1813">
      <c r="B1813" s="25" t="n"/>
      <c r="I1813" s="25" t="n"/>
      <c r="U1813" s="19">
        <f>IF($V1813&lt;&gt;'設定'!$C$4,N(U1812),IF(OR(NOT(COUNTIF('商品マスタ'!$B$6:$B$1005,$W1813)=0),COUNTIFS('①在庫を貼る'!$V$6:$V$10005,$V1813,'①在庫を貼る'!$W$6:$W$10005,$W1813)+COUNTIFS('月1回_1ヶ月前の在庫'!$V$6:$V$10005,$V1813,'月1回_1ヶ月前の在庫'!$W$6:$W$10005,$W1813)&gt;0),N(U1812),N(U1812)+1))</f>
        <v/>
      </c>
      <c r="V1813" s="19">
        <f>IF($B1813="","",TEXT($B1813,"0000"))</f>
        <v/>
      </c>
      <c r="W1813" s="19">
        <f>IF($I1813="","",IF(ISNUMBER($I1813),TEXT($I1813,"0"),$I1813))</f>
        <v/>
      </c>
    </row>
    <row r="1814">
      <c r="B1814" s="25" t="n"/>
      <c r="I1814" s="25" t="n"/>
      <c r="U1814" s="19">
        <f>IF($V1814&lt;&gt;'設定'!$C$4,N(U1813),IF(OR(NOT(COUNTIF('商品マスタ'!$B$6:$B$1005,$W1814)=0),COUNTIFS('①在庫を貼る'!$V$6:$V$10005,$V1814,'①在庫を貼る'!$W$6:$W$10005,$W1814)+COUNTIFS('月1回_1ヶ月前の在庫'!$V$6:$V$10005,$V1814,'月1回_1ヶ月前の在庫'!$W$6:$W$10005,$W1814)&gt;0),N(U1813),N(U1813)+1))</f>
        <v/>
      </c>
      <c r="V1814" s="19">
        <f>IF($B1814="","",TEXT($B1814,"0000"))</f>
        <v/>
      </c>
      <c r="W1814" s="19">
        <f>IF($I1814="","",IF(ISNUMBER($I1814),TEXT($I1814,"0"),$I1814))</f>
        <v/>
      </c>
    </row>
    <row r="1815">
      <c r="B1815" s="25" t="n"/>
      <c r="I1815" s="25" t="n"/>
      <c r="U1815" s="19">
        <f>IF($V1815&lt;&gt;'設定'!$C$4,N(U1814),IF(OR(NOT(COUNTIF('商品マスタ'!$B$6:$B$1005,$W1815)=0),COUNTIFS('①在庫を貼る'!$V$6:$V$10005,$V1815,'①在庫を貼る'!$W$6:$W$10005,$W1815)+COUNTIFS('月1回_1ヶ月前の在庫'!$V$6:$V$10005,$V1815,'月1回_1ヶ月前の在庫'!$W$6:$W$10005,$W1815)&gt;0),N(U1814),N(U1814)+1))</f>
        <v/>
      </c>
      <c r="V1815" s="19">
        <f>IF($B1815="","",TEXT($B1815,"0000"))</f>
        <v/>
      </c>
      <c r="W1815" s="19">
        <f>IF($I1815="","",IF(ISNUMBER($I1815),TEXT($I1815,"0"),$I1815))</f>
        <v/>
      </c>
    </row>
    <row r="1816">
      <c r="B1816" s="25" t="n"/>
      <c r="I1816" s="25" t="n"/>
      <c r="U1816" s="19">
        <f>IF($V1816&lt;&gt;'設定'!$C$4,N(U1815),IF(OR(NOT(COUNTIF('商品マスタ'!$B$6:$B$1005,$W1816)=0),COUNTIFS('①在庫を貼る'!$V$6:$V$10005,$V1816,'①在庫を貼る'!$W$6:$W$10005,$W1816)+COUNTIFS('月1回_1ヶ月前の在庫'!$V$6:$V$10005,$V1816,'月1回_1ヶ月前の在庫'!$W$6:$W$10005,$W1816)&gt;0),N(U1815),N(U1815)+1))</f>
        <v/>
      </c>
      <c r="V1816" s="19">
        <f>IF($B1816="","",TEXT($B1816,"0000"))</f>
        <v/>
      </c>
      <c r="W1816" s="19">
        <f>IF($I1816="","",IF(ISNUMBER($I1816),TEXT($I1816,"0"),$I1816))</f>
        <v/>
      </c>
    </row>
    <row r="1817">
      <c r="B1817" s="25" t="n"/>
      <c r="I1817" s="25" t="n"/>
      <c r="U1817" s="19">
        <f>IF($V1817&lt;&gt;'設定'!$C$4,N(U1816),IF(OR(NOT(COUNTIF('商品マスタ'!$B$6:$B$1005,$W1817)=0),COUNTIFS('①在庫を貼る'!$V$6:$V$10005,$V1817,'①在庫を貼る'!$W$6:$W$10005,$W1817)+COUNTIFS('月1回_1ヶ月前の在庫'!$V$6:$V$10005,$V1817,'月1回_1ヶ月前の在庫'!$W$6:$W$10005,$W1817)&gt;0),N(U1816),N(U1816)+1))</f>
        <v/>
      </c>
      <c r="V1817" s="19">
        <f>IF($B1817="","",TEXT($B1817,"0000"))</f>
        <v/>
      </c>
      <c r="W1817" s="19">
        <f>IF($I1817="","",IF(ISNUMBER($I1817),TEXT($I1817,"0"),$I1817))</f>
        <v/>
      </c>
    </row>
    <row r="1818">
      <c r="B1818" s="25" t="n"/>
      <c r="I1818" s="25" t="n"/>
      <c r="U1818" s="19">
        <f>IF($V1818&lt;&gt;'設定'!$C$4,N(U1817),IF(OR(NOT(COUNTIF('商品マスタ'!$B$6:$B$1005,$W1818)=0),COUNTIFS('①在庫を貼る'!$V$6:$V$10005,$V1818,'①在庫を貼る'!$W$6:$W$10005,$W1818)+COUNTIFS('月1回_1ヶ月前の在庫'!$V$6:$V$10005,$V1818,'月1回_1ヶ月前の在庫'!$W$6:$W$10005,$W1818)&gt;0),N(U1817),N(U1817)+1))</f>
        <v/>
      </c>
      <c r="V1818" s="19">
        <f>IF($B1818="","",TEXT($B1818,"0000"))</f>
        <v/>
      </c>
      <c r="W1818" s="19">
        <f>IF($I1818="","",IF(ISNUMBER($I1818),TEXT($I1818,"0"),$I1818))</f>
        <v/>
      </c>
    </row>
    <row r="1819">
      <c r="B1819" s="25" t="n"/>
      <c r="I1819" s="25" t="n"/>
      <c r="U1819" s="19">
        <f>IF($V1819&lt;&gt;'設定'!$C$4,N(U1818),IF(OR(NOT(COUNTIF('商品マスタ'!$B$6:$B$1005,$W1819)=0),COUNTIFS('①在庫を貼る'!$V$6:$V$10005,$V1819,'①在庫を貼る'!$W$6:$W$10005,$W1819)+COUNTIFS('月1回_1ヶ月前の在庫'!$V$6:$V$10005,$V1819,'月1回_1ヶ月前の在庫'!$W$6:$W$10005,$W1819)&gt;0),N(U1818),N(U1818)+1))</f>
        <v/>
      </c>
      <c r="V1819" s="19">
        <f>IF($B1819="","",TEXT($B1819,"0000"))</f>
        <v/>
      </c>
      <c r="W1819" s="19">
        <f>IF($I1819="","",IF(ISNUMBER($I1819),TEXT($I1819,"0"),$I1819))</f>
        <v/>
      </c>
    </row>
    <row r="1820">
      <c r="B1820" s="25" t="n"/>
      <c r="I1820" s="25" t="n"/>
      <c r="U1820" s="19">
        <f>IF($V1820&lt;&gt;'設定'!$C$4,N(U1819),IF(OR(NOT(COUNTIF('商品マスタ'!$B$6:$B$1005,$W1820)=0),COUNTIFS('①在庫を貼る'!$V$6:$V$10005,$V1820,'①在庫を貼る'!$W$6:$W$10005,$W1820)+COUNTIFS('月1回_1ヶ月前の在庫'!$V$6:$V$10005,$V1820,'月1回_1ヶ月前の在庫'!$W$6:$W$10005,$W1820)&gt;0),N(U1819),N(U1819)+1))</f>
        <v/>
      </c>
      <c r="V1820" s="19">
        <f>IF($B1820="","",TEXT($B1820,"0000"))</f>
        <v/>
      </c>
      <c r="W1820" s="19">
        <f>IF($I1820="","",IF(ISNUMBER($I1820),TEXT($I1820,"0"),$I1820))</f>
        <v/>
      </c>
    </row>
    <row r="1821">
      <c r="B1821" s="25" t="n"/>
      <c r="I1821" s="25" t="n"/>
      <c r="U1821" s="19">
        <f>IF($V1821&lt;&gt;'設定'!$C$4,N(U1820),IF(OR(NOT(COUNTIF('商品マスタ'!$B$6:$B$1005,$W1821)=0),COUNTIFS('①在庫を貼る'!$V$6:$V$10005,$V1821,'①在庫を貼る'!$W$6:$W$10005,$W1821)+COUNTIFS('月1回_1ヶ月前の在庫'!$V$6:$V$10005,$V1821,'月1回_1ヶ月前の在庫'!$W$6:$W$10005,$W1821)&gt;0),N(U1820),N(U1820)+1))</f>
        <v/>
      </c>
      <c r="V1821" s="19">
        <f>IF($B1821="","",TEXT($B1821,"0000"))</f>
        <v/>
      </c>
      <c r="W1821" s="19">
        <f>IF($I1821="","",IF(ISNUMBER($I1821),TEXT($I1821,"0"),$I1821))</f>
        <v/>
      </c>
    </row>
    <row r="1822">
      <c r="B1822" s="25" t="n"/>
      <c r="I1822" s="25" t="n"/>
      <c r="U1822" s="19">
        <f>IF($V1822&lt;&gt;'設定'!$C$4,N(U1821),IF(OR(NOT(COUNTIF('商品マスタ'!$B$6:$B$1005,$W1822)=0),COUNTIFS('①在庫を貼る'!$V$6:$V$10005,$V1822,'①在庫を貼る'!$W$6:$W$10005,$W1822)+COUNTIFS('月1回_1ヶ月前の在庫'!$V$6:$V$10005,$V1822,'月1回_1ヶ月前の在庫'!$W$6:$W$10005,$W1822)&gt;0),N(U1821),N(U1821)+1))</f>
        <v/>
      </c>
      <c r="V1822" s="19">
        <f>IF($B1822="","",TEXT($B1822,"0000"))</f>
        <v/>
      </c>
      <c r="W1822" s="19">
        <f>IF($I1822="","",IF(ISNUMBER($I1822),TEXT($I1822,"0"),$I1822))</f>
        <v/>
      </c>
    </row>
    <row r="1823">
      <c r="B1823" s="25" t="n"/>
      <c r="I1823" s="25" t="n"/>
      <c r="U1823" s="19">
        <f>IF($V1823&lt;&gt;'設定'!$C$4,N(U1822),IF(OR(NOT(COUNTIF('商品マスタ'!$B$6:$B$1005,$W1823)=0),COUNTIFS('①在庫を貼る'!$V$6:$V$10005,$V1823,'①在庫を貼る'!$W$6:$W$10005,$W1823)+COUNTIFS('月1回_1ヶ月前の在庫'!$V$6:$V$10005,$V1823,'月1回_1ヶ月前の在庫'!$W$6:$W$10005,$W1823)&gt;0),N(U1822),N(U1822)+1))</f>
        <v/>
      </c>
      <c r="V1823" s="19">
        <f>IF($B1823="","",TEXT($B1823,"0000"))</f>
        <v/>
      </c>
      <c r="W1823" s="19">
        <f>IF($I1823="","",IF(ISNUMBER($I1823),TEXT($I1823,"0"),$I1823))</f>
        <v/>
      </c>
    </row>
    <row r="1824">
      <c r="B1824" s="25" t="n"/>
      <c r="I1824" s="25" t="n"/>
      <c r="U1824" s="19">
        <f>IF($V1824&lt;&gt;'設定'!$C$4,N(U1823),IF(OR(NOT(COUNTIF('商品マスタ'!$B$6:$B$1005,$W1824)=0),COUNTIFS('①在庫を貼る'!$V$6:$V$10005,$V1824,'①在庫を貼る'!$W$6:$W$10005,$W1824)+COUNTIFS('月1回_1ヶ月前の在庫'!$V$6:$V$10005,$V1824,'月1回_1ヶ月前の在庫'!$W$6:$W$10005,$W1824)&gt;0),N(U1823),N(U1823)+1))</f>
        <v/>
      </c>
      <c r="V1824" s="19">
        <f>IF($B1824="","",TEXT($B1824,"0000"))</f>
        <v/>
      </c>
      <c r="W1824" s="19">
        <f>IF($I1824="","",IF(ISNUMBER($I1824),TEXT($I1824,"0"),$I1824))</f>
        <v/>
      </c>
    </row>
    <row r="1825">
      <c r="B1825" s="25" t="n"/>
      <c r="I1825" s="25" t="n"/>
      <c r="U1825" s="19">
        <f>IF($V1825&lt;&gt;'設定'!$C$4,N(U1824),IF(OR(NOT(COUNTIF('商品マスタ'!$B$6:$B$1005,$W1825)=0),COUNTIFS('①在庫を貼る'!$V$6:$V$10005,$V1825,'①在庫を貼る'!$W$6:$W$10005,$W1825)+COUNTIFS('月1回_1ヶ月前の在庫'!$V$6:$V$10005,$V1825,'月1回_1ヶ月前の在庫'!$W$6:$W$10005,$W1825)&gt;0),N(U1824),N(U1824)+1))</f>
        <v/>
      </c>
      <c r="V1825" s="19">
        <f>IF($B1825="","",TEXT($B1825,"0000"))</f>
        <v/>
      </c>
      <c r="W1825" s="19">
        <f>IF($I1825="","",IF(ISNUMBER($I1825),TEXT($I1825,"0"),$I1825))</f>
        <v/>
      </c>
    </row>
    <row r="1826">
      <c r="B1826" s="25" t="n"/>
      <c r="I1826" s="25" t="n"/>
      <c r="U1826" s="19">
        <f>IF($V1826&lt;&gt;'設定'!$C$4,N(U1825),IF(OR(NOT(COUNTIF('商品マスタ'!$B$6:$B$1005,$W1826)=0),COUNTIFS('①在庫を貼る'!$V$6:$V$10005,$V1826,'①在庫を貼る'!$W$6:$W$10005,$W1826)+COUNTIFS('月1回_1ヶ月前の在庫'!$V$6:$V$10005,$V1826,'月1回_1ヶ月前の在庫'!$W$6:$W$10005,$W1826)&gt;0),N(U1825),N(U1825)+1))</f>
        <v/>
      </c>
      <c r="V1826" s="19">
        <f>IF($B1826="","",TEXT($B1826,"0000"))</f>
        <v/>
      </c>
      <c r="W1826" s="19">
        <f>IF($I1826="","",IF(ISNUMBER($I1826),TEXT($I1826,"0"),$I1826))</f>
        <v/>
      </c>
    </row>
    <row r="1827">
      <c r="B1827" s="25" t="n"/>
      <c r="I1827" s="25" t="n"/>
      <c r="U1827" s="19">
        <f>IF($V1827&lt;&gt;'設定'!$C$4,N(U1826),IF(OR(NOT(COUNTIF('商品マスタ'!$B$6:$B$1005,$W1827)=0),COUNTIFS('①在庫を貼る'!$V$6:$V$10005,$V1827,'①在庫を貼る'!$W$6:$W$10005,$W1827)+COUNTIFS('月1回_1ヶ月前の在庫'!$V$6:$V$10005,$V1827,'月1回_1ヶ月前の在庫'!$W$6:$W$10005,$W1827)&gt;0),N(U1826),N(U1826)+1))</f>
        <v/>
      </c>
      <c r="V1827" s="19">
        <f>IF($B1827="","",TEXT($B1827,"0000"))</f>
        <v/>
      </c>
      <c r="W1827" s="19">
        <f>IF($I1827="","",IF(ISNUMBER($I1827),TEXT($I1827,"0"),$I1827))</f>
        <v/>
      </c>
    </row>
    <row r="1828">
      <c r="B1828" s="25" t="n"/>
      <c r="I1828" s="25" t="n"/>
      <c r="U1828" s="19">
        <f>IF($V1828&lt;&gt;'設定'!$C$4,N(U1827),IF(OR(NOT(COUNTIF('商品マスタ'!$B$6:$B$1005,$W1828)=0),COUNTIFS('①在庫を貼る'!$V$6:$V$10005,$V1828,'①在庫を貼る'!$W$6:$W$10005,$W1828)+COUNTIFS('月1回_1ヶ月前の在庫'!$V$6:$V$10005,$V1828,'月1回_1ヶ月前の在庫'!$W$6:$W$10005,$W1828)&gt;0),N(U1827),N(U1827)+1))</f>
        <v/>
      </c>
      <c r="V1828" s="19">
        <f>IF($B1828="","",TEXT($B1828,"0000"))</f>
        <v/>
      </c>
      <c r="W1828" s="19">
        <f>IF($I1828="","",IF(ISNUMBER($I1828),TEXT($I1828,"0"),$I1828))</f>
        <v/>
      </c>
    </row>
    <row r="1829">
      <c r="B1829" s="25" t="n"/>
      <c r="I1829" s="25" t="n"/>
      <c r="U1829" s="19">
        <f>IF($V1829&lt;&gt;'設定'!$C$4,N(U1828),IF(OR(NOT(COUNTIF('商品マスタ'!$B$6:$B$1005,$W1829)=0),COUNTIFS('①在庫を貼る'!$V$6:$V$10005,$V1829,'①在庫を貼る'!$W$6:$W$10005,$W1829)+COUNTIFS('月1回_1ヶ月前の在庫'!$V$6:$V$10005,$V1829,'月1回_1ヶ月前の在庫'!$W$6:$W$10005,$W1829)&gt;0),N(U1828),N(U1828)+1))</f>
        <v/>
      </c>
      <c r="V1829" s="19">
        <f>IF($B1829="","",TEXT($B1829,"0000"))</f>
        <v/>
      </c>
      <c r="W1829" s="19">
        <f>IF($I1829="","",IF(ISNUMBER($I1829),TEXT($I1829,"0"),$I1829))</f>
        <v/>
      </c>
    </row>
    <row r="1830">
      <c r="B1830" s="25" t="n"/>
      <c r="I1830" s="25" t="n"/>
      <c r="U1830" s="19">
        <f>IF($V1830&lt;&gt;'設定'!$C$4,N(U1829),IF(OR(NOT(COUNTIF('商品マスタ'!$B$6:$B$1005,$W1830)=0),COUNTIFS('①在庫を貼る'!$V$6:$V$10005,$V1830,'①在庫を貼る'!$W$6:$W$10005,$W1830)+COUNTIFS('月1回_1ヶ月前の在庫'!$V$6:$V$10005,$V1830,'月1回_1ヶ月前の在庫'!$W$6:$W$10005,$W1830)&gt;0),N(U1829),N(U1829)+1))</f>
        <v/>
      </c>
      <c r="V1830" s="19">
        <f>IF($B1830="","",TEXT($B1830,"0000"))</f>
        <v/>
      </c>
      <c r="W1830" s="19">
        <f>IF($I1830="","",IF(ISNUMBER($I1830),TEXT($I1830,"0"),$I1830))</f>
        <v/>
      </c>
    </row>
    <row r="1831">
      <c r="B1831" s="25" t="n"/>
      <c r="I1831" s="25" t="n"/>
      <c r="U1831" s="19">
        <f>IF($V1831&lt;&gt;'設定'!$C$4,N(U1830),IF(OR(NOT(COUNTIF('商品マスタ'!$B$6:$B$1005,$W1831)=0),COUNTIFS('①在庫を貼る'!$V$6:$V$10005,$V1831,'①在庫を貼る'!$W$6:$W$10005,$W1831)+COUNTIFS('月1回_1ヶ月前の在庫'!$V$6:$V$10005,$V1831,'月1回_1ヶ月前の在庫'!$W$6:$W$10005,$W1831)&gt;0),N(U1830),N(U1830)+1))</f>
        <v/>
      </c>
      <c r="V1831" s="19">
        <f>IF($B1831="","",TEXT($B1831,"0000"))</f>
        <v/>
      </c>
      <c r="W1831" s="19">
        <f>IF($I1831="","",IF(ISNUMBER($I1831),TEXT($I1831,"0"),$I1831))</f>
        <v/>
      </c>
    </row>
    <row r="1832">
      <c r="B1832" s="25" t="n"/>
      <c r="I1832" s="25" t="n"/>
      <c r="U1832" s="19">
        <f>IF($V1832&lt;&gt;'設定'!$C$4,N(U1831),IF(OR(NOT(COUNTIF('商品マスタ'!$B$6:$B$1005,$W1832)=0),COUNTIFS('①在庫を貼る'!$V$6:$V$10005,$V1832,'①在庫を貼る'!$W$6:$W$10005,$W1832)+COUNTIFS('月1回_1ヶ月前の在庫'!$V$6:$V$10005,$V1832,'月1回_1ヶ月前の在庫'!$W$6:$W$10005,$W1832)&gt;0),N(U1831),N(U1831)+1))</f>
        <v/>
      </c>
      <c r="V1832" s="19">
        <f>IF($B1832="","",TEXT($B1832,"0000"))</f>
        <v/>
      </c>
      <c r="W1832" s="19">
        <f>IF($I1832="","",IF(ISNUMBER($I1832),TEXT($I1832,"0"),$I1832))</f>
        <v/>
      </c>
    </row>
    <row r="1833">
      <c r="B1833" s="25" t="n"/>
      <c r="I1833" s="25" t="n"/>
      <c r="U1833" s="19">
        <f>IF($V1833&lt;&gt;'設定'!$C$4,N(U1832),IF(OR(NOT(COUNTIF('商品マスタ'!$B$6:$B$1005,$W1833)=0),COUNTIFS('①在庫を貼る'!$V$6:$V$10005,$V1833,'①在庫を貼る'!$W$6:$W$10005,$W1833)+COUNTIFS('月1回_1ヶ月前の在庫'!$V$6:$V$10005,$V1833,'月1回_1ヶ月前の在庫'!$W$6:$W$10005,$W1833)&gt;0),N(U1832),N(U1832)+1))</f>
        <v/>
      </c>
      <c r="V1833" s="19">
        <f>IF($B1833="","",TEXT($B1833,"0000"))</f>
        <v/>
      </c>
      <c r="W1833" s="19">
        <f>IF($I1833="","",IF(ISNUMBER($I1833),TEXT($I1833,"0"),$I1833))</f>
        <v/>
      </c>
    </row>
    <row r="1834">
      <c r="B1834" s="25" t="n"/>
      <c r="I1834" s="25" t="n"/>
      <c r="U1834" s="19">
        <f>IF($V1834&lt;&gt;'設定'!$C$4,N(U1833),IF(OR(NOT(COUNTIF('商品マスタ'!$B$6:$B$1005,$W1834)=0),COUNTIFS('①在庫を貼る'!$V$6:$V$10005,$V1834,'①在庫を貼る'!$W$6:$W$10005,$W1834)+COUNTIFS('月1回_1ヶ月前の在庫'!$V$6:$V$10005,$V1834,'月1回_1ヶ月前の在庫'!$W$6:$W$10005,$W1834)&gt;0),N(U1833),N(U1833)+1))</f>
        <v/>
      </c>
      <c r="V1834" s="19">
        <f>IF($B1834="","",TEXT($B1834,"0000"))</f>
        <v/>
      </c>
      <c r="W1834" s="19">
        <f>IF($I1834="","",IF(ISNUMBER($I1834),TEXT($I1834,"0"),$I1834))</f>
        <v/>
      </c>
    </row>
    <row r="1835">
      <c r="B1835" s="25" t="n"/>
      <c r="I1835" s="25" t="n"/>
      <c r="U1835" s="19">
        <f>IF($V1835&lt;&gt;'設定'!$C$4,N(U1834),IF(OR(NOT(COUNTIF('商品マスタ'!$B$6:$B$1005,$W1835)=0),COUNTIFS('①在庫を貼る'!$V$6:$V$10005,$V1835,'①在庫を貼る'!$W$6:$W$10005,$W1835)+COUNTIFS('月1回_1ヶ月前の在庫'!$V$6:$V$10005,$V1835,'月1回_1ヶ月前の在庫'!$W$6:$W$10005,$W1835)&gt;0),N(U1834),N(U1834)+1))</f>
        <v/>
      </c>
      <c r="V1835" s="19">
        <f>IF($B1835="","",TEXT($B1835,"0000"))</f>
        <v/>
      </c>
      <c r="W1835" s="19">
        <f>IF($I1835="","",IF(ISNUMBER($I1835),TEXT($I1835,"0"),$I1835))</f>
        <v/>
      </c>
    </row>
    <row r="1836">
      <c r="B1836" s="25" t="n"/>
      <c r="I1836" s="25" t="n"/>
      <c r="U1836" s="19">
        <f>IF($V1836&lt;&gt;'設定'!$C$4,N(U1835),IF(OR(NOT(COUNTIF('商品マスタ'!$B$6:$B$1005,$W1836)=0),COUNTIFS('①在庫を貼る'!$V$6:$V$10005,$V1836,'①在庫を貼る'!$W$6:$W$10005,$W1836)+COUNTIFS('月1回_1ヶ月前の在庫'!$V$6:$V$10005,$V1836,'月1回_1ヶ月前の在庫'!$W$6:$W$10005,$W1836)&gt;0),N(U1835),N(U1835)+1))</f>
        <v/>
      </c>
      <c r="V1836" s="19">
        <f>IF($B1836="","",TEXT($B1836,"0000"))</f>
        <v/>
      </c>
      <c r="W1836" s="19">
        <f>IF($I1836="","",IF(ISNUMBER($I1836),TEXT($I1836,"0"),$I1836))</f>
        <v/>
      </c>
    </row>
    <row r="1837">
      <c r="B1837" s="25" t="n"/>
      <c r="I1837" s="25" t="n"/>
      <c r="U1837" s="19">
        <f>IF($V1837&lt;&gt;'設定'!$C$4,N(U1836),IF(OR(NOT(COUNTIF('商品マスタ'!$B$6:$B$1005,$W1837)=0),COUNTIFS('①在庫を貼る'!$V$6:$V$10005,$V1837,'①在庫を貼る'!$W$6:$W$10005,$W1837)+COUNTIFS('月1回_1ヶ月前の在庫'!$V$6:$V$10005,$V1837,'月1回_1ヶ月前の在庫'!$W$6:$W$10005,$W1837)&gt;0),N(U1836),N(U1836)+1))</f>
        <v/>
      </c>
      <c r="V1837" s="19">
        <f>IF($B1837="","",TEXT($B1837,"0000"))</f>
        <v/>
      </c>
      <c r="W1837" s="19">
        <f>IF($I1837="","",IF(ISNUMBER($I1837),TEXT($I1837,"0"),$I1837))</f>
        <v/>
      </c>
    </row>
    <row r="1838">
      <c r="B1838" s="25" t="n"/>
      <c r="I1838" s="25" t="n"/>
      <c r="U1838" s="19">
        <f>IF($V1838&lt;&gt;'設定'!$C$4,N(U1837),IF(OR(NOT(COUNTIF('商品マスタ'!$B$6:$B$1005,$W1838)=0),COUNTIFS('①在庫を貼る'!$V$6:$V$10005,$V1838,'①在庫を貼る'!$W$6:$W$10005,$W1838)+COUNTIFS('月1回_1ヶ月前の在庫'!$V$6:$V$10005,$V1838,'月1回_1ヶ月前の在庫'!$W$6:$W$10005,$W1838)&gt;0),N(U1837),N(U1837)+1))</f>
        <v/>
      </c>
      <c r="V1838" s="19">
        <f>IF($B1838="","",TEXT($B1838,"0000"))</f>
        <v/>
      </c>
      <c r="W1838" s="19">
        <f>IF($I1838="","",IF(ISNUMBER($I1838),TEXT($I1838,"0"),$I1838))</f>
        <v/>
      </c>
    </row>
    <row r="1839">
      <c r="B1839" s="25" t="n"/>
      <c r="I1839" s="25" t="n"/>
      <c r="U1839" s="19">
        <f>IF($V1839&lt;&gt;'設定'!$C$4,N(U1838),IF(OR(NOT(COUNTIF('商品マスタ'!$B$6:$B$1005,$W1839)=0),COUNTIFS('①在庫を貼る'!$V$6:$V$10005,$V1839,'①在庫を貼る'!$W$6:$W$10005,$W1839)+COUNTIFS('月1回_1ヶ月前の在庫'!$V$6:$V$10005,$V1839,'月1回_1ヶ月前の在庫'!$W$6:$W$10005,$W1839)&gt;0),N(U1838),N(U1838)+1))</f>
        <v/>
      </c>
      <c r="V1839" s="19">
        <f>IF($B1839="","",TEXT($B1839,"0000"))</f>
        <v/>
      </c>
      <c r="W1839" s="19">
        <f>IF($I1839="","",IF(ISNUMBER($I1839),TEXT($I1839,"0"),$I1839))</f>
        <v/>
      </c>
    </row>
    <row r="1840">
      <c r="B1840" s="25" t="n"/>
      <c r="I1840" s="25" t="n"/>
      <c r="U1840" s="19">
        <f>IF($V1840&lt;&gt;'設定'!$C$4,N(U1839),IF(OR(NOT(COUNTIF('商品マスタ'!$B$6:$B$1005,$W1840)=0),COUNTIFS('①在庫を貼る'!$V$6:$V$10005,$V1840,'①在庫を貼る'!$W$6:$W$10005,$W1840)+COUNTIFS('月1回_1ヶ月前の在庫'!$V$6:$V$10005,$V1840,'月1回_1ヶ月前の在庫'!$W$6:$W$10005,$W1840)&gt;0),N(U1839),N(U1839)+1))</f>
        <v/>
      </c>
      <c r="V1840" s="19">
        <f>IF($B1840="","",TEXT($B1840,"0000"))</f>
        <v/>
      </c>
      <c r="W1840" s="19">
        <f>IF($I1840="","",IF(ISNUMBER($I1840),TEXT($I1840,"0"),$I1840))</f>
        <v/>
      </c>
    </row>
    <row r="1841">
      <c r="B1841" s="25" t="n"/>
      <c r="I1841" s="25" t="n"/>
      <c r="U1841" s="19">
        <f>IF($V1841&lt;&gt;'設定'!$C$4,N(U1840),IF(OR(NOT(COUNTIF('商品マスタ'!$B$6:$B$1005,$W1841)=0),COUNTIFS('①在庫を貼る'!$V$6:$V$10005,$V1841,'①在庫を貼る'!$W$6:$W$10005,$W1841)+COUNTIFS('月1回_1ヶ月前の在庫'!$V$6:$V$10005,$V1841,'月1回_1ヶ月前の在庫'!$W$6:$W$10005,$W1841)&gt;0),N(U1840),N(U1840)+1))</f>
        <v/>
      </c>
      <c r="V1841" s="19">
        <f>IF($B1841="","",TEXT($B1841,"0000"))</f>
        <v/>
      </c>
      <c r="W1841" s="19">
        <f>IF($I1841="","",IF(ISNUMBER($I1841),TEXT($I1841,"0"),$I1841))</f>
        <v/>
      </c>
    </row>
    <row r="1842">
      <c r="B1842" s="25" t="n"/>
      <c r="I1842" s="25" t="n"/>
      <c r="U1842" s="19">
        <f>IF($V1842&lt;&gt;'設定'!$C$4,N(U1841),IF(OR(NOT(COUNTIF('商品マスタ'!$B$6:$B$1005,$W1842)=0),COUNTIFS('①在庫を貼る'!$V$6:$V$10005,$V1842,'①在庫を貼る'!$W$6:$W$10005,$W1842)+COUNTIFS('月1回_1ヶ月前の在庫'!$V$6:$V$10005,$V1842,'月1回_1ヶ月前の在庫'!$W$6:$W$10005,$W1842)&gt;0),N(U1841),N(U1841)+1))</f>
        <v/>
      </c>
      <c r="V1842" s="19">
        <f>IF($B1842="","",TEXT($B1842,"0000"))</f>
        <v/>
      </c>
      <c r="W1842" s="19">
        <f>IF($I1842="","",IF(ISNUMBER($I1842),TEXT($I1842,"0"),$I1842))</f>
        <v/>
      </c>
    </row>
    <row r="1843">
      <c r="B1843" s="25" t="n"/>
      <c r="I1843" s="25" t="n"/>
      <c r="U1843" s="19">
        <f>IF($V1843&lt;&gt;'設定'!$C$4,N(U1842),IF(OR(NOT(COUNTIF('商品マスタ'!$B$6:$B$1005,$W1843)=0),COUNTIFS('①在庫を貼る'!$V$6:$V$10005,$V1843,'①在庫を貼る'!$W$6:$W$10005,$W1843)+COUNTIFS('月1回_1ヶ月前の在庫'!$V$6:$V$10005,$V1843,'月1回_1ヶ月前の在庫'!$W$6:$W$10005,$W1843)&gt;0),N(U1842),N(U1842)+1))</f>
        <v/>
      </c>
      <c r="V1843" s="19">
        <f>IF($B1843="","",TEXT($B1843,"0000"))</f>
        <v/>
      </c>
      <c r="W1843" s="19">
        <f>IF($I1843="","",IF(ISNUMBER($I1843),TEXT($I1843,"0"),$I1843))</f>
        <v/>
      </c>
    </row>
    <row r="1844">
      <c r="B1844" s="25" t="n"/>
      <c r="I1844" s="25" t="n"/>
      <c r="U1844" s="19">
        <f>IF($V1844&lt;&gt;'設定'!$C$4,N(U1843),IF(OR(NOT(COUNTIF('商品マスタ'!$B$6:$B$1005,$W1844)=0),COUNTIFS('①在庫を貼る'!$V$6:$V$10005,$V1844,'①在庫を貼る'!$W$6:$W$10005,$W1844)+COUNTIFS('月1回_1ヶ月前の在庫'!$V$6:$V$10005,$V1844,'月1回_1ヶ月前の在庫'!$W$6:$W$10005,$W1844)&gt;0),N(U1843),N(U1843)+1))</f>
        <v/>
      </c>
      <c r="V1844" s="19">
        <f>IF($B1844="","",TEXT($B1844,"0000"))</f>
        <v/>
      </c>
      <c r="W1844" s="19">
        <f>IF($I1844="","",IF(ISNUMBER($I1844),TEXT($I1844,"0"),$I1844))</f>
        <v/>
      </c>
    </row>
    <row r="1845">
      <c r="B1845" s="25" t="n"/>
      <c r="I1845" s="25" t="n"/>
      <c r="U1845" s="19">
        <f>IF($V1845&lt;&gt;'設定'!$C$4,N(U1844),IF(OR(NOT(COUNTIF('商品マスタ'!$B$6:$B$1005,$W1845)=0),COUNTIFS('①在庫を貼る'!$V$6:$V$10005,$V1845,'①在庫を貼る'!$W$6:$W$10005,$W1845)+COUNTIFS('月1回_1ヶ月前の在庫'!$V$6:$V$10005,$V1845,'月1回_1ヶ月前の在庫'!$W$6:$W$10005,$W1845)&gt;0),N(U1844),N(U1844)+1))</f>
        <v/>
      </c>
      <c r="V1845" s="19">
        <f>IF($B1845="","",TEXT($B1845,"0000"))</f>
        <v/>
      </c>
      <c r="W1845" s="19">
        <f>IF($I1845="","",IF(ISNUMBER($I1845),TEXT($I1845,"0"),$I1845))</f>
        <v/>
      </c>
    </row>
    <row r="1846">
      <c r="B1846" s="25" t="n"/>
      <c r="I1846" s="25" t="n"/>
      <c r="U1846" s="19">
        <f>IF($V1846&lt;&gt;'設定'!$C$4,N(U1845),IF(OR(NOT(COUNTIF('商品マスタ'!$B$6:$B$1005,$W1846)=0),COUNTIFS('①在庫を貼る'!$V$6:$V$10005,$V1846,'①在庫を貼る'!$W$6:$W$10005,$W1846)+COUNTIFS('月1回_1ヶ月前の在庫'!$V$6:$V$10005,$V1846,'月1回_1ヶ月前の在庫'!$W$6:$W$10005,$W1846)&gt;0),N(U1845),N(U1845)+1))</f>
        <v/>
      </c>
      <c r="V1846" s="19">
        <f>IF($B1846="","",TEXT($B1846,"0000"))</f>
        <v/>
      </c>
      <c r="W1846" s="19">
        <f>IF($I1846="","",IF(ISNUMBER($I1846),TEXT($I1846,"0"),$I1846))</f>
        <v/>
      </c>
    </row>
    <row r="1847">
      <c r="B1847" s="25" t="n"/>
      <c r="I1847" s="25" t="n"/>
      <c r="U1847" s="19">
        <f>IF($V1847&lt;&gt;'設定'!$C$4,N(U1846),IF(OR(NOT(COUNTIF('商品マスタ'!$B$6:$B$1005,$W1847)=0),COUNTIFS('①在庫を貼る'!$V$6:$V$10005,$V1847,'①在庫を貼る'!$W$6:$W$10005,$W1847)+COUNTIFS('月1回_1ヶ月前の在庫'!$V$6:$V$10005,$V1847,'月1回_1ヶ月前の在庫'!$W$6:$W$10005,$W1847)&gt;0),N(U1846),N(U1846)+1))</f>
        <v/>
      </c>
      <c r="V1847" s="19">
        <f>IF($B1847="","",TEXT($B1847,"0000"))</f>
        <v/>
      </c>
      <c r="W1847" s="19">
        <f>IF($I1847="","",IF(ISNUMBER($I1847),TEXT($I1847,"0"),$I1847))</f>
        <v/>
      </c>
    </row>
    <row r="1848">
      <c r="B1848" s="25" t="n"/>
      <c r="I1848" s="25" t="n"/>
      <c r="U1848" s="19">
        <f>IF($V1848&lt;&gt;'設定'!$C$4,N(U1847),IF(OR(NOT(COUNTIF('商品マスタ'!$B$6:$B$1005,$W1848)=0),COUNTIFS('①在庫を貼る'!$V$6:$V$10005,$V1848,'①在庫を貼る'!$W$6:$W$10005,$W1848)+COUNTIFS('月1回_1ヶ月前の在庫'!$V$6:$V$10005,$V1848,'月1回_1ヶ月前の在庫'!$W$6:$W$10005,$W1848)&gt;0),N(U1847),N(U1847)+1))</f>
        <v/>
      </c>
      <c r="V1848" s="19">
        <f>IF($B1848="","",TEXT($B1848,"0000"))</f>
        <v/>
      </c>
      <c r="W1848" s="19">
        <f>IF($I1848="","",IF(ISNUMBER($I1848),TEXT($I1848,"0"),$I1848))</f>
        <v/>
      </c>
    </row>
    <row r="1849">
      <c r="B1849" s="25" t="n"/>
      <c r="I1849" s="25" t="n"/>
      <c r="U1849" s="19">
        <f>IF($V1849&lt;&gt;'設定'!$C$4,N(U1848),IF(OR(NOT(COUNTIF('商品マスタ'!$B$6:$B$1005,$W1849)=0),COUNTIFS('①在庫を貼る'!$V$6:$V$10005,$V1849,'①在庫を貼る'!$W$6:$W$10005,$W1849)+COUNTIFS('月1回_1ヶ月前の在庫'!$V$6:$V$10005,$V1849,'月1回_1ヶ月前の在庫'!$W$6:$W$10005,$W1849)&gt;0),N(U1848),N(U1848)+1))</f>
        <v/>
      </c>
      <c r="V1849" s="19">
        <f>IF($B1849="","",TEXT($B1849,"0000"))</f>
        <v/>
      </c>
      <c r="W1849" s="19">
        <f>IF($I1849="","",IF(ISNUMBER($I1849),TEXT($I1849,"0"),$I1849))</f>
        <v/>
      </c>
    </row>
    <row r="1850">
      <c r="B1850" s="25" t="n"/>
      <c r="I1850" s="25" t="n"/>
      <c r="U1850" s="19">
        <f>IF($V1850&lt;&gt;'設定'!$C$4,N(U1849),IF(OR(NOT(COUNTIF('商品マスタ'!$B$6:$B$1005,$W1850)=0),COUNTIFS('①在庫を貼る'!$V$6:$V$10005,$V1850,'①在庫を貼る'!$W$6:$W$10005,$W1850)+COUNTIFS('月1回_1ヶ月前の在庫'!$V$6:$V$10005,$V1850,'月1回_1ヶ月前の在庫'!$W$6:$W$10005,$W1850)&gt;0),N(U1849),N(U1849)+1))</f>
        <v/>
      </c>
      <c r="V1850" s="19">
        <f>IF($B1850="","",TEXT($B1850,"0000"))</f>
        <v/>
      </c>
      <c r="W1850" s="19">
        <f>IF($I1850="","",IF(ISNUMBER($I1850),TEXT($I1850,"0"),$I1850))</f>
        <v/>
      </c>
    </row>
    <row r="1851">
      <c r="B1851" s="25" t="n"/>
      <c r="I1851" s="25" t="n"/>
      <c r="U1851" s="19">
        <f>IF($V1851&lt;&gt;'設定'!$C$4,N(U1850),IF(OR(NOT(COUNTIF('商品マスタ'!$B$6:$B$1005,$W1851)=0),COUNTIFS('①在庫を貼る'!$V$6:$V$10005,$V1851,'①在庫を貼る'!$W$6:$W$10005,$W1851)+COUNTIFS('月1回_1ヶ月前の在庫'!$V$6:$V$10005,$V1851,'月1回_1ヶ月前の在庫'!$W$6:$W$10005,$W1851)&gt;0),N(U1850),N(U1850)+1))</f>
        <v/>
      </c>
      <c r="V1851" s="19">
        <f>IF($B1851="","",TEXT($B1851,"0000"))</f>
        <v/>
      </c>
      <c r="W1851" s="19">
        <f>IF($I1851="","",IF(ISNUMBER($I1851),TEXT($I1851,"0"),$I1851))</f>
        <v/>
      </c>
    </row>
    <row r="1852">
      <c r="B1852" s="25" t="n"/>
      <c r="I1852" s="25" t="n"/>
      <c r="U1852" s="19">
        <f>IF($V1852&lt;&gt;'設定'!$C$4,N(U1851),IF(OR(NOT(COUNTIF('商品マスタ'!$B$6:$B$1005,$W1852)=0),COUNTIFS('①在庫を貼る'!$V$6:$V$10005,$V1852,'①在庫を貼る'!$W$6:$W$10005,$W1852)+COUNTIFS('月1回_1ヶ月前の在庫'!$V$6:$V$10005,$V1852,'月1回_1ヶ月前の在庫'!$W$6:$W$10005,$W1852)&gt;0),N(U1851),N(U1851)+1))</f>
        <v/>
      </c>
      <c r="V1852" s="19">
        <f>IF($B1852="","",TEXT($B1852,"0000"))</f>
        <v/>
      </c>
      <c r="W1852" s="19">
        <f>IF($I1852="","",IF(ISNUMBER($I1852),TEXT($I1852,"0"),$I1852))</f>
        <v/>
      </c>
    </row>
    <row r="1853">
      <c r="B1853" s="25" t="n"/>
      <c r="I1853" s="25" t="n"/>
      <c r="U1853" s="19">
        <f>IF($V1853&lt;&gt;'設定'!$C$4,N(U1852),IF(OR(NOT(COUNTIF('商品マスタ'!$B$6:$B$1005,$W1853)=0),COUNTIFS('①在庫を貼る'!$V$6:$V$10005,$V1853,'①在庫を貼る'!$W$6:$W$10005,$W1853)+COUNTIFS('月1回_1ヶ月前の在庫'!$V$6:$V$10005,$V1853,'月1回_1ヶ月前の在庫'!$W$6:$W$10005,$W1853)&gt;0),N(U1852),N(U1852)+1))</f>
        <v/>
      </c>
      <c r="V1853" s="19">
        <f>IF($B1853="","",TEXT($B1853,"0000"))</f>
        <v/>
      </c>
      <c r="W1853" s="19">
        <f>IF($I1853="","",IF(ISNUMBER($I1853),TEXT($I1853,"0"),$I1853))</f>
        <v/>
      </c>
    </row>
    <row r="1854">
      <c r="B1854" s="25" t="n"/>
      <c r="I1854" s="25" t="n"/>
      <c r="U1854" s="19">
        <f>IF($V1854&lt;&gt;'設定'!$C$4,N(U1853),IF(OR(NOT(COUNTIF('商品マスタ'!$B$6:$B$1005,$W1854)=0),COUNTIFS('①在庫を貼る'!$V$6:$V$10005,$V1854,'①在庫を貼る'!$W$6:$W$10005,$W1854)+COUNTIFS('月1回_1ヶ月前の在庫'!$V$6:$V$10005,$V1854,'月1回_1ヶ月前の在庫'!$W$6:$W$10005,$W1854)&gt;0),N(U1853),N(U1853)+1))</f>
        <v/>
      </c>
      <c r="V1854" s="19">
        <f>IF($B1854="","",TEXT($B1854,"0000"))</f>
        <v/>
      </c>
      <c r="W1854" s="19">
        <f>IF($I1854="","",IF(ISNUMBER($I1854),TEXT($I1854,"0"),$I1854))</f>
        <v/>
      </c>
    </row>
    <row r="1855">
      <c r="B1855" s="25" t="n"/>
      <c r="I1855" s="25" t="n"/>
      <c r="U1855" s="19">
        <f>IF($V1855&lt;&gt;'設定'!$C$4,N(U1854),IF(OR(NOT(COUNTIF('商品マスタ'!$B$6:$B$1005,$W1855)=0),COUNTIFS('①在庫を貼る'!$V$6:$V$10005,$V1855,'①在庫を貼る'!$W$6:$W$10005,$W1855)+COUNTIFS('月1回_1ヶ月前の在庫'!$V$6:$V$10005,$V1855,'月1回_1ヶ月前の在庫'!$W$6:$W$10005,$W1855)&gt;0),N(U1854),N(U1854)+1))</f>
        <v/>
      </c>
      <c r="V1855" s="19">
        <f>IF($B1855="","",TEXT($B1855,"0000"))</f>
        <v/>
      </c>
      <c r="W1855" s="19">
        <f>IF($I1855="","",IF(ISNUMBER($I1855),TEXT($I1855,"0"),$I1855))</f>
        <v/>
      </c>
    </row>
    <row r="1856">
      <c r="B1856" s="25" t="n"/>
      <c r="I1856" s="25" t="n"/>
      <c r="U1856" s="19">
        <f>IF($V1856&lt;&gt;'設定'!$C$4,N(U1855),IF(OR(NOT(COUNTIF('商品マスタ'!$B$6:$B$1005,$W1856)=0),COUNTIFS('①在庫を貼る'!$V$6:$V$10005,$V1856,'①在庫を貼る'!$W$6:$W$10005,$W1856)+COUNTIFS('月1回_1ヶ月前の在庫'!$V$6:$V$10005,$V1856,'月1回_1ヶ月前の在庫'!$W$6:$W$10005,$W1856)&gt;0),N(U1855),N(U1855)+1))</f>
        <v/>
      </c>
      <c r="V1856" s="19">
        <f>IF($B1856="","",TEXT($B1856,"0000"))</f>
        <v/>
      </c>
      <c r="W1856" s="19">
        <f>IF($I1856="","",IF(ISNUMBER($I1856),TEXT($I1856,"0"),$I1856))</f>
        <v/>
      </c>
    </row>
    <row r="1857">
      <c r="B1857" s="25" t="n"/>
      <c r="I1857" s="25" t="n"/>
      <c r="U1857" s="19">
        <f>IF($V1857&lt;&gt;'設定'!$C$4,N(U1856),IF(OR(NOT(COUNTIF('商品マスタ'!$B$6:$B$1005,$W1857)=0),COUNTIFS('①在庫を貼る'!$V$6:$V$10005,$V1857,'①在庫を貼る'!$W$6:$W$10005,$W1857)+COUNTIFS('月1回_1ヶ月前の在庫'!$V$6:$V$10005,$V1857,'月1回_1ヶ月前の在庫'!$W$6:$W$10005,$W1857)&gt;0),N(U1856),N(U1856)+1))</f>
        <v/>
      </c>
      <c r="V1857" s="19">
        <f>IF($B1857="","",TEXT($B1857,"0000"))</f>
        <v/>
      </c>
      <c r="W1857" s="19">
        <f>IF($I1857="","",IF(ISNUMBER($I1857),TEXT($I1857,"0"),$I1857))</f>
        <v/>
      </c>
    </row>
    <row r="1858">
      <c r="B1858" s="25" t="n"/>
      <c r="I1858" s="25" t="n"/>
      <c r="U1858" s="19">
        <f>IF($V1858&lt;&gt;'設定'!$C$4,N(U1857),IF(OR(NOT(COUNTIF('商品マスタ'!$B$6:$B$1005,$W1858)=0),COUNTIFS('①在庫を貼る'!$V$6:$V$10005,$V1858,'①在庫を貼る'!$W$6:$W$10005,$W1858)+COUNTIFS('月1回_1ヶ月前の在庫'!$V$6:$V$10005,$V1858,'月1回_1ヶ月前の在庫'!$W$6:$W$10005,$W1858)&gt;0),N(U1857),N(U1857)+1))</f>
        <v/>
      </c>
      <c r="V1858" s="19">
        <f>IF($B1858="","",TEXT($B1858,"0000"))</f>
        <v/>
      </c>
      <c r="W1858" s="19">
        <f>IF($I1858="","",IF(ISNUMBER($I1858),TEXT($I1858,"0"),$I1858))</f>
        <v/>
      </c>
    </row>
    <row r="1859">
      <c r="B1859" s="25" t="n"/>
      <c r="I1859" s="25" t="n"/>
      <c r="U1859" s="19">
        <f>IF($V1859&lt;&gt;'設定'!$C$4,N(U1858),IF(OR(NOT(COUNTIF('商品マスタ'!$B$6:$B$1005,$W1859)=0),COUNTIFS('①在庫を貼る'!$V$6:$V$10005,$V1859,'①在庫を貼る'!$W$6:$W$10005,$W1859)+COUNTIFS('月1回_1ヶ月前の在庫'!$V$6:$V$10005,$V1859,'月1回_1ヶ月前の在庫'!$W$6:$W$10005,$W1859)&gt;0),N(U1858),N(U1858)+1))</f>
        <v/>
      </c>
      <c r="V1859" s="19">
        <f>IF($B1859="","",TEXT($B1859,"0000"))</f>
        <v/>
      </c>
      <c r="W1859" s="19">
        <f>IF($I1859="","",IF(ISNUMBER($I1859),TEXT($I1859,"0"),$I1859))</f>
        <v/>
      </c>
    </row>
    <row r="1860">
      <c r="B1860" s="25" t="n"/>
      <c r="I1860" s="25" t="n"/>
      <c r="U1860" s="19">
        <f>IF($V1860&lt;&gt;'設定'!$C$4,N(U1859),IF(OR(NOT(COUNTIF('商品マスタ'!$B$6:$B$1005,$W1860)=0),COUNTIFS('①在庫を貼る'!$V$6:$V$10005,$V1860,'①在庫を貼る'!$W$6:$W$10005,$W1860)+COUNTIFS('月1回_1ヶ月前の在庫'!$V$6:$V$10005,$V1860,'月1回_1ヶ月前の在庫'!$W$6:$W$10005,$W1860)&gt;0),N(U1859),N(U1859)+1))</f>
        <v/>
      </c>
      <c r="V1860" s="19">
        <f>IF($B1860="","",TEXT($B1860,"0000"))</f>
        <v/>
      </c>
      <c r="W1860" s="19">
        <f>IF($I1860="","",IF(ISNUMBER($I1860),TEXT($I1860,"0"),$I1860))</f>
        <v/>
      </c>
    </row>
    <row r="1861">
      <c r="B1861" s="25" t="n"/>
      <c r="I1861" s="25" t="n"/>
      <c r="U1861" s="19">
        <f>IF($V1861&lt;&gt;'設定'!$C$4,N(U1860),IF(OR(NOT(COUNTIF('商品マスタ'!$B$6:$B$1005,$W1861)=0),COUNTIFS('①在庫を貼る'!$V$6:$V$10005,$V1861,'①在庫を貼る'!$W$6:$W$10005,$W1861)+COUNTIFS('月1回_1ヶ月前の在庫'!$V$6:$V$10005,$V1861,'月1回_1ヶ月前の在庫'!$W$6:$W$10005,$W1861)&gt;0),N(U1860),N(U1860)+1))</f>
        <v/>
      </c>
      <c r="V1861" s="19">
        <f>IF($B1861="","",TEXT($B1861,"0000"))</f>
        <v/>
      </c>
      <c r="W1861" s="19">
        <f>IF($I1861="","",IF(ISNUMBER($I1861),TEXT($I1861,"0"),$I1861))</f>
        <v/>
      </c>
    </row>
    <row r="1862">
      <c r="B1862" s="25" t="n"/>
      <c r="I1862" s="25" t="n"/>
      <c r="U1862" s="19">
        <f>IF($V1862&lt;&gt;'設定'!$C$4,N(U1861),IF(OR(NOT(COUNTIF('商品マスタ'!$B$6:$B$1005,$W1862)=0),COUNTIFS('①在庫を貼る'!$V$6:$V$10005,$V1862,'①在庫を貼る'!$W$6:$W$10005,$W1862)+COUNTIFS('月1回_1ヶ月前の在庫'!$V$6:$V$10005,$V1862,'月1回_1ヶ月前の在庫'!$W$6:$W$10005,$W1862)&gt;0),N(U1861),N(U1861)+1))</f>
        <v/>
      </c>
      <c r="V1862" s="19">
        <f>IF($B1862="","",TEXT($B1862,"0000"))</f>
        <v/>
      </c>
      <c r="W1862" s="19">
        <f>IF($I1862="","",IF(ISNUMBER($I1862),TEXT($I1862,"0"),$I1862))</f>
        <v/>
      </c>
    </row>
    <row r="1863">
      <c r="B1863" s="25" t="n"/>
      <c r="I1863" s="25" t="n"/>
      <c r="U1863" s="19">
        <f>IF($V1863&lt;&gt;'設定'!$C$4,N(U1862),IF(OR(NOT(COUNTIF('商品マスタ'!$B$6:$B$1005,$W1863)=0),COUNTIFS('①在庫を貼る'!$V$6:$V$10005,$V1863,'①在庫を貼る'!$W$6:$W$10005,$W1863)+COUNTIFS('月1回_1ヶ月前の在庫'!$V$6:$V$10005,$V1863,'月1回_1ヶ月前の在庫'!$W$6:$W$10005,$W1863)&gt;0),N(U1862),N(U1862)+1))</f>
        <v/>
      </c>
      <c r="V1863" s="19">
        <f>IF($B1863="","",TEXT($B1863,"0000"))</f>
        <v/>
      </c>
      <c r="W1863" s="19">
        <f>IF($I1863="","",IF(ISNUMBER($I1863),TEXT($I1863,"0"),$I1863))</f>
        <v/>
      </c>
    </row>
    <row r="1864">
      <c r="B1864" s="25" t="n"/>
      <c r="I1864" s="25" t="n"/>
      <c r="U1864" s="19">
        <f>IF($V1864&lt;&gt;'設定'!$C$4,N(U1863),IF(OR(NOT(COUNTIF('商品マスタ'!$B$6:$B$1005,$W1864)=0),COUNTIFS('①在庫を貼る'!$V$6:$V$10005,$V1864,'①在庫を貼る'!$W$6:$W$10005,$W1864)+COUNTIFS('月1回_1ヶ月前の在庫'!$V$6:$V$10005,$V1864,'月1回_1ヶ月前の在庫'!$W$6:$W$10005,$W1864)&gt;0),N(U1863),N(U1863)+1))</f>
        <v/>
      </c>
      <c r="V1864" s="19">
        <f>IF($B1864="","",TEXT($B1864,"0000"))</f>
        <v/>
      </c>
      <c r="W1864" s="19">
        <f>IF($I1864="","",IF(ISNUMBER($I1864),TEXT($I1864,"0"),$I1864))</f>
        <v/>
      </c>
    </row>
    <row r="1865">
      <c r="B1865" s="25" t="n"/>
      <c r="I1865" s="25" t="n"/>
      <c r="U1865" s="19">
        <f>IF($V1865&lt;&gt;'設定'!$C$4,N(U1864),IF(OR(NOT(COUNTIF('商品マスタ'!$B$6:$B$1005,$W1865)=0),COUNTIFS('①在庫を貼る'!$V$6:$V$10005,$V1865,'①在庫を貼る'!$W$6:$W$10005,$W1865)+COUNTIFS('月1回_1ヶ月前の在庫'!$V$6:$V$10005,$V1865,'月1回_1ヶ月前の在庫'!$W$6:$W$10005,$W1865)&gt;0),N(U1864),N(U1864)+1))</f>
        <v/>
      </c>
      <c r="V1865" s="19">
        <f>IF($B1865="","",TEXT($B1865,"0000"))</f>
        <v/>
      </c>
      <c r="W1865" s="19">
        <f>IF($I1865="","",IF(ISNUMBER($I1865),TEXT($I1865,"0"),$I1865))</f>
        <v/>
      </c>
    </row>
    <row r="1866">
      <c r="B1866" s="25" t="n"/>
      <c r="I1866" s="25" t="n"/>
      <c r="U1866" s="19">
        <f>IF($V1866&lt;&gt;'設定'!$C$4,N(U1865),IF(OR(NOT(COUNTIF('商品マスタ'!$B$6:$B$1005,$W1866)=0),COUNTIFS('①在庫を貼る'!$V$6:$V$10005,$V1866,'①在庫を貼る'!$W$6:$W$10005,$W1866)+COUNTIFS('月1回_1ヶ月前の在庫'!$V$6:$V$10005,$V1866,'月1回_1ヶ月前の在庫'!$W$6:$W$10005,$W1866)&gt;0),N(U1865),N(U1865)+1))</f>
        <v/>
      </c>
      <c r="V1866" s="19">
        <f>IF($B1866="","",TEXT($B1866,"0000"))</f>
        <v/>
      </c>
      <c r="W1866" s="19">
        <f>IF($I1866="","",IF(ISNUMBER($I1866),TEXT($I1866,"0"),$I1866))</f>
        <v/>
      </c>
    </row>
    <row r="1867">
      <c r="B1867" s="25" t="n"/>
      <c r="I1867" s="25" t="n"/>
      <c r="U1867" s="19">
        <f>IF($V1867&lt;&gt;'設定'!$C$4,N(U1866),IF(OR(NOT(COUNTIF('商品マスタ'!$B$6:$B$1005,$W1867)=0),COUNTIFS('①在庫を貼る'!$V$6:$V$10005,$V1867,'①在庫を貼る'!$W$6:$W$10005,$W1867)+COUNTIFS('月1回_1ヶ月前の在庫'!$V$6:$V$10005,$V1867,'月1回_1ヶ月前の在庫'!$W$6:$W$10005,$W1867)&gt;0),N(U1866),N(U1866)+1))</f>
        <v/>
      </c>
      <c r="V1867" s="19">
        <f>IF($B1867="","",TEXT($B1867,"0000"))</f>
        <v/>
      </c>
      <c r="W1867" s="19">
        <f>IF($I1867="","",IF(ISNUMBER($I1867),TEXT($I1867,"0"),$I1867))</f>
        <v/>
      </c>
    </row>
    <row r="1868">
      <c r="B1868" s="25" t="n"/>
      <c r="I1868" s="25" t="n"/>
      <c r="U1868" s="19">
        <f>IF($V1868&lt;&gt;'設定'!$C$4,N(U1867),IF(OR(NOT(COUNTIF('商品マスタ'!$B$6:$B$1005,$W1868)=0),COUNTIFS('①在庫を貼る'!$V$6:$V$10005,$V1868,'①在庫を貼る'!$W$6:$W$10005,$W1868)+COUNTIFS('月1回_1ヶ月前の在庫'!$V$6:$V$10005,$V1868,'月1回_1ヶ月前の在庫'!$W$6:$W$10005,$W1868)&gt;0),N(U1867),N(U1867)+1))</f>
        <v/>
      </c>
      <c r="V1868" s="19">
        <f>IF($B1868="","",TEXT($B1868,"0000"))</f>
        <v/>
      </c>
      <c r="W1868" s="19">
        <f>IF($I1868="","",IF(ISNUMBER($I1868),TEXT($I1868,"0"),$I1868))</f>
        <v/>
      </c>
    </row>
    <row r="1869">
      <c r="B1869" s="25" t="n"/>
      <c r="I1869" s="25" t="n"/>
      <c r="U1869" s="19">
        <f>IF($V1869&lt;&gt;'設定'!$C$4,N(U1868),IF(OR(NOT(COUNTIF('商品マスタ'!$B$6:$B$1005,$W1869)=0),COUNTIFS('①在庫を貼る'!$V$6:$V$10005,$V1869,'①在庫を貼る'!$W$6:$W$10005,$W1869)+COUNTIFS('月1回_1ヶ月前の在庫'!$V$6:$V$10005,$V1869,'月1回_1ヶ月前の在庫'!$W$6:$W$10005,$W1869)&gt;0),N(U1868),N(U1868)+1))</f>
        <v/>
      </c>
      <c r="V1869" s="19">
        <f>IF($B1869="","",TEXT($B1869,"0000"))</f>
        <v/>
      </c>
      <c r="W1869" s="19">
        <f>IF($I1869="","",IF(ISNUMBER($I1869),TEXT($I1869,"0"),$I1869))</f>
        <v/>
      </c>
    </row>
    <row r="1870">
      <c r="B1870" s="25" t="n"/>
      <c r="I1870" s="25" t="n"/>
      <c r="U1870" s="19">
        <f>IF($V1870&lt;&gt;'設定'!$C$4,N(U1869),IF(OR(NOT(COUNTIF('商品マスタ'!$B$6:$B$1005,$W1870)=0),COUNTIFS('①在庫を貼る'!$V$6:$V$10005,$V1870,'①在庫を貼る'!$W$6:$W$10005,$W1870)+COUNTIFS('月1回_1ヶ月前の在庫'!$V$6:$V$10005,$V1870,'月1回_1ヶ月前の在庫'!$W$6:$W$10005,$W1870)&gt;0),N(U1869),N(U1869)+1))</f>
        <v/>
      </c>
      <c r="V1870" s="19">
        <f>IF($B1870="","",TEXT($B1870,"0000"))</f>
        <v/>
      </c>
      <c r="W1870" s="19">
        <f>IF($I1870="","",IF(ISNUMBER($I1870),TEXT($I1870,"0"),$I1870))</f>
        <v/>
      </c>
    </row>
    <row r="1871">
      <c r="B1871" s="25" t="n"/>
      <c r="I1871" s="25" t="n"/>
      <c r="U1871" s="19">
        <f>IF($V1871&lt;&gt;'設定'!$C$4,N(U1870),IF(OR(NOT(COUNTIF('商品マスタ'!$B$6:$B$1005,$W1871)=0),COUNTIFS('①在庫を貼る'!$V$6:$V$10005,$V1871,'①在庫を貼る'!$W$6:$W$10005,$W1871)+COUNTIFS('月1回_1ヶ月前の在庫'!$V$6:$V$10005,$V1871,'月1回_1ヶ月前の在庫'!$W$6:$W$10005,$W1871)&gt;0),N(U1870),N(U1870)+1))</f>
        <v/>
      </c>
      <c r="V1871" s="19">
        <f>IF($B1871="","",TEXT($B1871,"0000"))</f>
        <v/>
      </c>
      <c r="W1871" s="19">
        <f>IF($I1871="","",IF(ISNUMBER($I1871),TEXT($I1871,"0"),$I1871))</f>
        <v/>
      </c>
    </row>
    <row r="1872">
      <c r="B1872" s="25" t="n"/>
      <c r="I1872" s="25" t="n"/>
      <c r="U1872" s="19">
        <f>IF($V1872&lt;&gt;'設定'!$C$4,N(U1871),IF(OR(NOT(COUNTIF('商品マスタ'!$B$6:$B$1005,$W1872)=0),COUNTIFS('①在庫を貼る'!$V$6:$V$10005,$V1872,'①在庫を貼る'!$W$6:$W$10005,$W1872)+COUNTIFS('月1回_1ヶ月前の在庫'!$V$6:$V$10005,$V1872,'月1回_1ヶ月前の在庫'!$W$6:$W$10005,$W1872)&gt;0),N(U1871),N(U1871)+1))</f>
        <v/>
      </c>
      <c r="V1872" s="19">
        <f>IF($B1872="","",TEXT($B1872,"0000"))</f>
        <v/>
      </c>
      <c r="W1872" s="19">
        <f>IF($I1872="","",IF(ISNUMBER($I1872),TEXT($I1872,"0"),$I1872))</f>
        <v/>
      </c>
    </row>
    <row r="1873">
      <c r="B1873" s="25" t="n"/>
      <c r="I1873" s="25" t="n"/>
      <c r="U1873" s="19">
        <f>IF($V1873&lt;&gt;'設定'!$C$4,N(U1872),IF(OR(NOT(COUNTIF('商品マスタ'!$B$6:$B$1005,$W1873)=0),COUNTIFS('①在庫を貼る'!$V$6:$V$10005,$V1873,'①在庫を貼る'!$W$6:$W$10005,$W1873)+COUNTIFS('月1回_1ヶ月前の在庫'!$V$6:$V$10005,$V1873,'月1回_1ヶ月前の在庫'!$W$6:$W$10005,$W1873)&gt;0),N(U1872),N(U1872)+1))</f>
        <v/>
      </c>
      <c r="V1873" s="19">
        <f>IF($B1873="","",TEXT($B1873,"0000"))</f>
        <v/>
      </c>
      <c r="W1873" s="19">
        <f>IF($I1873="","",IF(ISNUMBER($I1873),TEXT($I1873,"0"),$I1873))</f>
        <v/>
      </c>
    </row>
    <row r="1874">
      <c r="B1874" s="25" t="n"/>
      <c r="I1874" s="25" t="n"/>
      <c r="U1874" s="19">
        <f>IF($V1874&lt;&gt;'設定'!$C$4,N(U1873),IF(OR(NOT(COUNTIF('商品マスタ'!$B$6:$B$1005,$W1874)=0),COUNTIFS('①在庫を貼る'!$V$6:$V$10005,$V1874,'①在庫を貼る'!$W$6:$W$10005,$W1874)+COUNTIFS('月1回_1ヶ月前の在庫'!$V$6:$V$10005,$V1874,'月1回_1ヶ月前の在庫'!$W$6:$W$10005,$W1874)&gt;0),N(U1873),N(U1873)+1))</f>
        <v/>
      </c>
      <c r="V1874" s="19">
        <f>IF($B1874="","",TEXT($B1874,"0000"))</f>
        <v/>
      </c>
      <c r="W1874" s="19">
        <f>IF($I1874="","",IF(ISNUMBER($I1874),TEXT($I1874,"0"),$I1874))</f>
        <v/>
      </c>
    </row>
    <row r="1875">
      <c r="B1875" s="25" t="n"/>
      <c r="I1875" s="25" t="n"/>
      <c r="U1875" s="19">
        <f>IF($V1875&lt;&gt;'設定'!$C$4,N(U1874),IF(OR(NOT(COUNTIF('商品マスタ'!$B$6:$B$1005,$W1875)=0),COUNTIFS('①在庫を貼る'!$V$6:$V$10005,$V1875,'①在庫を貼る'!$W$6:$W$10005,$W1875)+COUNTIFS('月1回_1ヶ月前の在庫'!$V$6:$V$10005,$V1875,'月1回_1ヶ月前の在庫'!$W$6:$W$10005,$W1875)&gt;0),N(U1874),N(U1874)+1))</f>
        <v/>
      </c>
      <c r="V1875" s="19">
        <f>IF($B1875="","",TEXT($B1875,"0000"))</f>
        <v/>
      </c>
      <c r="W1875" s="19">
        <f>IF($I1875="","",IF(ISNUMBER($I1875),TEXT($I1875,"0"),$I1875))</f>
        <v/>
      </c>
    </row>
    <row r="1876">
      <c r="B1876" s="25" t="n"/>
      <c r="I1876" s="25" t="n"/>
      <c r="U1876" s="19">
        <f>IF($V1876&lt;&gt;'設定'!$C$4,N(U1875),IF(OR(NOT(COUNTIF('商品マスタ'!$B$6:$B$1005,$W1876)=0),COUNTIFS('①在庫を貼る'!$V$6:$V$10005,$V1876,'①在庫を貼る'!$W$6:$W$10005,$W1876)+COUNTIFS('月1回_1ヶ月前の在庫'!$V$6:$V$10005,$V1876,'月1回_1ヶ月前の在庫'!$W$6:$W$10005,$W1876)&gt;0),N(U1875),N(U1875)+1))</f>
        <v/>
      </c>
      <c r="V1876" s="19">
        <f>IF($B1876="","",TEXT($B1876,"0000"))</f>
        <v/>
      </c>
      <c r="W1876" s="19">
        <f>IF($I1876="","",IF(ISNUMBER($I1876),TEXT($I1876,"0"),$I1876))</f>
        <v/>
      </c>
    </row>
    <row r="1877">
      <c r="B1877" s="25" t="n"/>
      <c r="I1877" s="25" t="n"/>
      <c r="U1877" s="19">
        <f>IF($V1877&lt;&gt;'設定'!$C$4,N(U1876),IF(OR(NOT(COUNTIF('商品マスタ'!$B$6:$B$1005,$W1877)=0),COUNTIFS('①在庫を貼る'!$V$6:$V$10005,$V1877,'①在庫を貼る'!$W$6:$W$10005,$W1877)+COUNTIFS('月1回_1ヶ月前の在庫'!$V$6:$V$10005,$V1877,'月1回_1ヶ月前の在庫'!$W$6:$W$10005,$W1877)&gt;0),N(U1876),N(U1876)+1))</f>
        <v/>
      </c>
      <c r="V1877" s="19">
        <f>IF($B1877="","",TEXT($B1877,"0000"))</f>
        <v/>
      </c>
      <c r="W1877" s="19">
        <f>IF($I1877="","",IF(ISNUMBER($I1877),TEXT($I1877,"0"),$I1877))</f>
        <v/>
      </c>
    </row>
    <row r="1878">
      <c r="B1878" s="25" t="n"/>
      <c r="I1878" s="25" t="n"/>
      <c r="U1878" s="19">
        <f>IF($V1878&lt;&gt;'設定'!$C$4,N(U1877),IF(OR(NOT(COUNTIF('商品マスタ'!$B$6:$B$1005,$W1878)=0),COUNTIFS('①在庫を貼る'!$V$6:$V$10005,$V1878,'①在庫を貼る'!$W$6:$W$10005,$W1878)+COUNTIFS('月1回_1ヶ月前の在庫'!$V$6:$V$10005,$V1878,'月1回_1ヶ月前の在庫'!$W$6:$W$10005,$W1878)&gt;0),N(U1877),N(U1877)+1))</f>
        <v/>
      </c>
      <c r="V1878" s="19">
        <f>IF($B1878="","",TEXT($B1878,"0000"))</f>
        <v/>
      </c>
      <c r="W1878" s="19">
        <f>IF($I1878="","",IF(ISNUMBER($I1878),TEXT($I1878,"0"),$I1878))</f>
        <v/>
      </c>
    </row>
    <row r="1879">
      <c r="B1879" s="25" t="n"/>
      <c r="I1879" s="25" t="n"/>
      <c r="U1879" s="19">
        <f>IF($V1879&lt;&gt;'設定'!$C$4,N(U1878),IF(OR(NOT(COUNTIF('商品マスタ'!$B$6:$B$1005,$W1879)=0),COUNTIFS('①在庫を貼る'!$V$6:$V$10005,$V1879,'①在庫を貼る'!$W$6:$W$10005,$W1879)+COUNTIFS('月1回_1ヶ月前の在庫'!$V$6:$V$10005,$V1879,'月1回_1ヶ月前の在庫'!$W$6:$W$10005,$W1879)&gt;0),N(U1878),N(U1878)+1))</f>
        <v/>
      </c>
      <c r="V1879" s="19">
        <f>IF($B1879="","",TEXT($B1879,"0000"))</f>
        <v/>
      </c>
      <c r="W1879" s="19">
        <f>IF($I1879="","",IF(ISNUMBER($I1879),TEXT($I1879,"0"),$I1879))</f>
        <v/>
      </c>
    </row>
    <row r="1880">
      <c r="B1880" s="25" t="n"/>
      <c r="I1880" s="25" t="n"/>
      <c r="U1880" s="19">
        <f>IF($V1880&lt;&gt;'設定'!$C$4,N(U1879),IF(OR(NOT(COUNTIF('商品マスタ'!$B$6:$B$1005,$W1880)=0),COUNTIFS('①在庫を貼る'!$V$6:$V$10005,$V1880,'①在庫を貼る'!$W$6:$W$10005,$W1880)+COUNTIFS('月1回_1ヶ月前の在庫'!$V$6:$V$10005,$V1880,'月1回_1ヶ月前の在庫'!$W$6:$W$10005,$W1880)&gt;0),N(U1879),N(U1879)+1))</f>
        <v/>
      </c>
      <c r="V1880" s="19">
        <f>IF($B1880="","",TEXT($B1880,"0000"))</f>
        <v/>
      </c>
      <c r="W1880" s="19">
        <f>IF($I1880="","",IF(ISNUMBER($I1880),TEXT($I1880,"0"),$I1880))</f>
        <v/>
      </c>
    </row>
    <row r="1881">
      <c r="B1881" s="25" t="n"/>
      <c r="I1881" s="25" t="n"/>
      <c r="U1881" s="19">
        <f>IF($V1881&lt;&gt;'設定'!$C$4,N(U1880),IF(OR(NOT(COUNTIF('商品マスタ'!$B$6:$B$1005,$W1881)=0),COUNTIFS('①在庫を貼る'!$V$6:$V$10005,$V1881,'①在庫を貼る'!$W$6:$W$10005,$W1881)+COUNTIFS('月1回_1ヶ月前の在庫'!$V$6:$V$10005,$V1881,'月1回_1ヶ月前の在庫'!$W$6:$W$10005,$W1881)&gt;0),N(U1880),N(U1880)+1))</f>
        <v/>
      </c>
      <c r="V1881" s="19">
        <f>IF($B1881="","",TEXT($B1881,"0000"))</f>
        <v/>
      </c>
      <c r="W1881" s="19">
        <f>IF($I1881="","",IF(ISNUMBER($I1881),TEXT($I1881,"0"),$I1881))</f>
        <v/>
      </c>
    </row>
    <row r="1882">
      <c r="B1882" s="25" t="n"/>
      <c r="I1882" s="25" t="n"/>
      <c r="U1882" s="19">
        <f>IF($V1882&lt;&gt;'設定'!$C$4,N(U1881),IF(OR(NOT(COUNTIF('商品マスタ'!$B$6:$B$1005,$W1882)=0),COUNTIFS('①在庫を貼る'!$V$6:$V$10005,$V1882,'①在庫を貼る'!$W$6:$W$10005,$W1882)+COUNTIFS('月1回_1ヶ月前の在庫'!$V$6:$V$10005,$V1882,'月1回_1ヶ月前の在庫'!$W$6:$W$10005,$W1882)&gt;0),N(U1881),N(U1881)+1))</f>
        <v/>
      </c>
      <c r="V1882" s="19">
        <f>IF($B1882="","",TEXT($B1882,"0000"))</f>
        <v/>
      </c>
      <c r="W1882" s="19">
        <f>IF($I1882="","",IF(ISNUMBER($I1882),TEXT($I1882,"0"),$I1882))</f>
        <v/>
      </c>
    </row>
    <row r="1883">
      <c r="B1883" s="25" t="n"/>
      <c r="I1883" s="25" t="n"/>
      <c r="U1883" s="19">
        <f>IF($V1883&lt;&gt;'設定'!$C$4,N(U1882),IF(OR(NOT(COUNTIF('商品マスタ'!$B$6:$B$1005,$W1883)=0),COUNTIFS('①在庫を貼る'!$V$6:$V$10005,$V1883,'①在庫を貼る'!$W$6:$W$10005,$W1883)+COUNTIFS('月1回_1ヶ月前の在庫'!$V$6:$V$10005,$V1883,'月1回_1ヶ月前の在庫'!$W$6:$W$10005,$W1883)&gt;0),N(U1882),N(U1882)+1))</f>
        <v/>
      </c>
      <c r="V1883" s="19">
        <f>IF($B1883="","",TEXT($B1883,"0000"))</f>
        <v/>
      </c>
      <c r="W1883" s="19">
        <f>IF($I1883="","",IF(ISNUMBER($I1883),TEXT($I1883,"0"),$I1883))</f>
        <v/>
      </c>
    </row>
    <row r="1884">
      <c r="B1884" s="25" t="n"/>
      <c r="I1884" s="25" t="n"/>
      <c r="U1884" s="19">
        <f>IF($V1884&lt;&gt;'設定'!$C$4,N(U1883),IF(OR(NOT(COUNTIF('商品マスタ'!$B$6:$B$1005,$W1884)=0),COUNTIFS('①在庫を貼る'!$V$6:$V$10005,$V1884,'①在庫を貼る'!$W$6:$W$10005,$W1884)+COUNTIFS('月1回_1ヶ月前の在庫'!$V$6:$V$10005,$V1884,'月1回_1ヶ月前の在庫'!$W$6:$W$10005,$W1884)&gt;0),N(U1883),N(U1883)+1))</f>
        <v/>
      </c>
      <c r="V1884" s="19">
        <f>IF($B1884="","",TEXT($B1884,"0000"))</f>
        <v/>
      </c>
      <c r="W1884" s="19">
        <f>IF($I1884="","",IF(ISNUMBER($I1884),TEXT($I1884,"0"),$I1884))</f>
        <v/>
      </c>
    </row>
    <row r="1885">
      <c r="B1885" s="25" t="n"/>
      <c r="I1885" s="25" t="n"/>
      <c r="U1885" s="19">
        <f>IF($V1885&lt;&gt;'設定'!$C$4,N(U1884),IF(OR(NOT(COUNTIF('商品マスタ'!$B$6:$B$1005,$W1885)=0),COUNTIFS('①在庫を貼る'!$V$6:$V$10005,$V1885,'①在庫を貼る'!$W$6:$W$10005,$W1885)+COUNTIFS('月1回_1ヶ月前の在庫'!$V$6:$V$10005,$V1885,'月1回_1ヶ月前の在庫'!$W$6:$W$10005,$W1885)&gt;0),N(U1884),N(U1884)+1))</f>
        <v/>
      </c>
      <c r="V1885" s="19">
        <f>IF($B1885="","",TEXT($B1885,"0000"))</f>
        <v/>
      </c>
      <c r="W1885" s="19">
        <f>IF($I1885="","",IF(ISNUMBER($I1885),TEXT($I1885,"0"),$I1885))</f>
        <v/>
      </c>
    </row>
    <row r="1886">
      <c r="B1886" s="25" t="n"/>
      <c r="I1886" s="25" t="n"/>
      <c r="U1886" s="19">
        <f>IF($V1886&lt;&gt;'設定'!$C$4,N(U1885),IF(OR(NOT(COUNTIF('商品マスタ'!$B$6:$B$1005,$W1886)=0),COUNTIFS('①在庫を貼る'!$V$6:$V$10005,$V1886,'①在庫を貼る'!$W$6:$W$10005,$W1886)+COUNTIFS('月1回_1ヶ月前の在庫'!$V$6:$V$10005,$V1886,'月1回_1ヶ月前の在庫'!$W$6:$W$10005,$W1886)&gt;0),N(U1885),N(U1885)+1))</f>
        <v/>
      </c>
      <c r="V1886" s="19">
        <f>IF($B1886="","",TEXT($B1886,"0000"))</f>
        <v/>
      </c>
      <c r="W1886" s="19">
        <f>IF($I1886="","",IF(ISNUMBER($I1886),TEXT($I1886,"0"),$I1886))</f>
        <v/>
      </c>
    </row>
    <row r="1887">
      <c r="B1887" s="25" t="n"/>
      <c r="I1887" s="25" t="n"/>
      <c r="U1887" s="19">
        <f>IF($V1887&lt;&gt;'設定'!$C$4,N(U1886),IF(OR(NOT(COUNTIF('商品マスタ'!$B$6:$B$1005,$W1887)=0),COUNTIFS('①在庫を貼る'!$V$6:$V$10005,$V1887,'①在庫を貼る'!$W$6:$W$10005,$W1887)+COUNTIFS('月1回_1ヶ月前の在庫'!$V$6:$V$10005,$V1887,'月1回_1ヶ月前の在庫'!$W$6:$W$10005,$W1887)&gt;0),N(U1886),N(U1886)+1))</f>
        <v/>
      </c>
      <c r="V1887" s="19">
        <f>IF($B1887="","",TEXT($B1887,"0000"))</f>
        <v/>
      </c>
      <c r="W1887" s="19">
        <f>IF($I1887="","",IF(ISNUMBER($I1887),TEXT($I1887,"0"),$I1887))</f>
        <v/>
      </c>
    </row>
    <row r="1888">
      <c r="B1888" s="25" t="n"/>
      <c r="I1888" s="25" t="n"/>
      <c r="U1888" s="19">
        <f>IF($V1888&lt;&gt;'設定'!$C$4,N(U1887),IF(OR(NOT(COUNTIF('商品マスタ'!$B$6:$B$1005,$W1888)=0),COUNTIFS('①在庫を貼る'!$V$6:$V$10005,$V1888,'①在庫を貼る'!$W$6:$W$10005,$W1888)+COUNTIFS('月1回_1ヶ月前の在庫'!$V$6:$V$10005,$V1888,'月1回_1ヶ月前の在庫'!$W$6:$W$10005,$W1888)&gt;0),N(U1887),N(U1887)+1))</f>
        <v/>
      </c>
      <c r="V1888" s="19">
        <f>IF($B1888="","",TEXT($B1888,"0000"))</f>
        <v/>
      </c>
      <c r="W1888" s="19">
        <f>IF($I1888="","",IF(ISNUMBER($I1888),TEXT($I1888,"0"),$I1888))</f>
        <v/>
      </c>
    </row>
    <row r="1889">
      <c r="B1889" s="25" t="n"/>
      <c r="I1889" s="25" t="n"/>
      <c r="U1889" s="19">
        <f>IF($V1889&lt;&gt;'設定'!$C$4,N(U1888),IF(OR(NOT(COUNTIF('商品マスタ'!$B$6:$B$1005,$W1889)=0),COUNTIFS('①在庫を貼る'!$V$6:$V$10005,$V1889,'①在庫を貼る'!$W$6:$W$10005,$W1889)+COUNTIFS('月1回_1ヶ月前の在庫'!$V$6:$V$10005,$V1889,'月1回_1ヶ月前の在庫'!$W$6:$W$10005,$W1889)&gt;0),N(U1888),N(U1888)+1))</f>
        <v/>
      </c>
      <c r="V1889" s="19">
        <f>IF($B1889="","",TEXT($B1889,"0000"))</f>
        <v/>
      </c>
      <c r="W1889" s="19">
        <f>IF($I1889="","",IF(ISNUMBER($I1889),TEXT($I1889,"0"),$I1889))</f>
        <v/>
      </c>
    </row>
    <row r="1890">
      <c r="B1890" s="25" t="n"/>
      <c r="I1890" s="25" t="n"/>
      <c r="U1890" s="19">
        <f>IF($V1890&lt;&gt;'設定'!$C$4,N(U1889),IF(OR(NOT(COUNTIF('商品マスタ'!$B$6:$B$1005,$W1890)=0),COUNTIFS('①在庫を貼る'!$V$6:$V$10005,$V1890,'①在庫を貼る'!$W$6:$W$10005,$W1890)+COUNTIFS('月1回_1ヶ月前の在庫'!$V$6:$V$10005,$V1890,'月1回_1ヶ月前の在庫'!$W$6:$W$10005,$W1890)&gt;0),N(U1889),N(U1889)+1))</f>
        <v/>
      </c>
      <c r="V1890" s="19">
        <f>IF($B1890="","",TEXT($B1890,"0000"))</f>
        <v/>
      </c>
      <c r="W1890" s="19">
        <f>IF($I1890="","",IF(ISNUMBER($I1890),TEXT($I1890,"0"),$I1890))</f>
        <v/>
      </c>
    </row>
    <row r="1891">
      <c r="B1891" s="25" t="n"/>
      <c r="I1891" s="25" t="n"/>
      <c r="U1891" s="19">
        <f>IF($V1891&lt;&gt;'設定'!$C$4,N(U1890),IF(OR(NOT(COUNTIF('商品マスタ'!$B$6:$B$1005,$W1891)=0),COUNTIFS('①在庫を貼る'!$V$6:$V$10005,$V1891,'①在庫を貼る'!$W$6:$W$10005,$W1891)+COUNTIFS('月1回_1ヶ月前の在庫'!$V$6:$V$10005,$V1891,'月1回_1ヶ月前の在庫'!$W$6:$W$10005,$W1891)&gt;0),N(U1890),N(U1890)+1))</f>
        <v/>
      </c>
      <c r="V1891" s="19">
        <f>IF($B1891="","",TEXT($B1891,"0000"))</f>
        <v/>
      </c>
      <c r="W1891" s="19">
        <f>IF($I1891="","",IF(ISNUMBER($I1891),TEXT($I1891,"0"),$I1891))</f>
        <v/>
      </c>
    </row>
    <row r="1892">
      <c r="B1892" s="25" t="n"/>
      <c r="I1892" s="25" t="n"/>
      <c r="U1892" s="19">
        <f>IF($V1892&lt;&gt;'設定'!$C$4,N(U1891),IF(OR(NOT(COUNTIF('商品マスタ'!$B$6:$B$1005,$W1892)=0),COUNTIFS('①在庫を貼る'!$V$6:$V$10005,$V1892,'①在庫を貼る'!$W$6:$W$10005,$W1892)+COUNTIFS('月1回_1ヶ月前の在庫'!$V$6:$V$10005,$V1892,'月1回_1ヶ月前の在庫'!$W$6:$W$10005,$W1892)&gt;0),N(U1891),N(U1891)+1))</f>
        <v/>
      </c>
      <c r="V1892" s="19">
        <f>IF($B1892="","",TEXT($B1892,"0000"))</f>
        <v/>
      </c>
      <c r="W1892" s="19">
        <f>IF($I1892="","",IF(ISNUMBER($I1892),TEXT($I1892,"0"),$I1892))</f>
        <v/>
      </c>
    </row>
    <row r="1893">
      <c r="B1893" s="25" t="n"/>
      <c r="I1893" s="25" t="n"/>
      <c r="U1893" s="19">
        <f>IF($V1893&lt;&gt;'設定'!$C$4,N(U1892),IF(OR(NOT(COUNTIF('商品マスタ'!$B$6:$B$1005,$W1893)=0),COUNTIFS('①在庫を貼る'!$V$6:$V$10005,$V1893,'①在庫を貼る'!$W$6:$W$10005,$W1893)+COUNTIFS('月1回_1ヶ月前の在庫'!$V$6:$V$10005,$V1893,'月1回_1ヶ月前の在庫'!$W$6:$W$10005,$W1893)&gt;0),N(U1892),N(U1892)+1))</f>
        <v/>
      </c>
      <c r="V1893" s="19">
        <f>IF($B1893="","",TEXT($B1893,"0000"))</f>
        <v/>
      </c>
      <c r="W1893" s="19">
        <f>IF($I1893="","",IF(ISNUMBER($I1893),TEXT($I1893,"0"),$I1893))</f>
        <v/>
      </c>
    </row>
    <row r="1894">
      <c r="B1894" s="25" t="n"/>
      <c r="I1894" s="25" t="n"/>
      <c r="U1894" s="19">
        <f>IF($V1894&lt;&gt;'設定'!$C$4,N(U1893),IF(OR(NOT(COUNTIF('商品マスタ'!$B$6:$B$1005,$W1894)=0),COUNTIFS('①在庫を貼る'!$V$6:$V$10005,$V1894,'①在庫を貼る'!$W$6:$W$10005,$W1894)+COUNTIFS('月1回_1ヶ月前の在庫'!$V$6:$V$10005,$V1894,'月1回_1ヶ月前の在庫'!$W$6:$W$10005,$W1894)&gt;0),N(U1893),N(U1893)+1))</f>
        <v/>
      </c>
      <c r="V1894" s="19">
        <f>IF($B1894="","",TEXT($B1894,"0000"))</f>
        <v/>
      </c>
      <c r="W1894" s="19">
        <f>IF($I1894="","",IF(ISNUMBER($I1894),TEXT($I1894,"0"),$I1894))</f>
        <v/>
      </c>
    </row>
    <row r="1895">
      <c r="B1895" s="25" t="n"/>
      <c r="I1895" s="25" t="n"/>
      <c r="U1895" s="19">
        <f>IF($V1895&lt;&gt;'設定'!$C$4,N(U1894),IF(OR(NOT(COUNTIF('商品マスタ'!$B$6:$B$1005,$W1895)=0),COUNTIFS('①在庫を貼る'!$V$6:$V$10005,$V1895,'①在庫を貼る'!$W$6:$W$10005,$W1895)+COUNTIFS('月1回_1ヶ月前の在庫'!$V$6:$V$10005,$V1895,'月1回_1ヶ月前の在庫'!$W$6:$W$10005,$W1895)&gt;0),N(U1894),N(U1894)+1))</f>
        <v/>
      </c>
      <c r="V1895" s="19">
        <f>IF($B1895="","",TEXT($B1895,"0000"))</f>
        <v/>
      </c>
      <c r="W1895" s="19">
        <f>IF($I1895="","",IF(ISNUMBER($I1895),TEXT($I1895,"0"),$I1895))</f>
        <v/>
      </c>
    </row>
    <row r="1896">
      <c r="B1896" s="25" t="n"/>
      <c r="I1896" s="25" t="n"/>
      <c r="U1896" s="19">
        <f>IF($V1896&lt;&gt;'設定'!$C$4,N(U1895),IF(OR(NOT(COUNTIF('商品マスタ'!$B$6:$B$1005,$W1896)=0),COUNTIFS('①在庫を貼る'!$V$6:$V$10005,$V1896,'①在庫を貼る'!$W$6:$W$10005,$W1896)+COUNTIFS('月1回_1ヶ月前の在庫'!$V$6:$V$10005,$V1896,'月1回_1ヶ月前の在庫'!$W$6:$W$10005,$W1896)&gt;0),N(U1895),N(U1895)+1))</f>
        <v/>
      </c>
      <c r="V1896" s="19">
        <f>IF($B1896="","",TEXT($B1896,"0000"))</f>
        <v/>
      </c>
      <c r="W1896" s="19">
        <f>IF($I1896="","",IF(ISNUMBER($I1896),TEXT($I1896,"0"),$I1896))</f>
        <v/>
      </c>
    </row>
    <row r="1897">
      <c r="B1897" s="25" t="n"/>
      <c r="I1897" s="25" t="n"/>
      <c r="U1897" s="19">
        <f>IF($V1897&lt;&gt;'設定'!$C$4,N(U1896),IF(OR(NOT(COUNTIF('商品マスタ'!$B$6:$B$1005,$W1897)=0),COUNTIFS('①在庫を貼る'!$V$6:$V$10005,$V1897,'①在庫を貼る'!$W$6:$W$10005,$W1897)+COUNTIFS('月1回_1ヶ月前の在庫'!$V$6:$V$10005,$V1897,'月1回_1ヶ月前の在庫'!$W$6:$W$10005,$W1897)&gt;0),N(U1896),N(U1896)+1))</f>
        <v/>
      </c>
      <c r="V1897" s="19">
        <f>IF($B1897="","",TEXT($B1897,"0000"))</f>
        <v/>
      </c>
      <c r="W1897" s="19">
        <f>IF($I1897="","",IF(ISNUMBER($I1897),TEXT($I1897,"0"),$I1897))</f>
        <v/>
      </c>
    </row>
    <row r="1898">
      <c r="B1898" s="25" t="n"/>
      <c r="I1898" s="25" t="n"/>
      <c r="U1898" s="19">
        <f>IF($V1898&lt;&gt;'設定'!$C$4,N(U1897),IF(OR(NOT(COUNTIF('商品マスタ'!$B$6:$B$1005,$W1898)=0),COUNTIFS('①在庫を貼る'!$V$6:$V$10005,$V1898,'①在庫を貼る'!$W$6:$W$10005,$W1898)+COUNTIFS('月1回_1ヶ月前の在庫'!$V$6:$V$10005,$V1898,'月1回_1ヶ月前の在庫'!$W$6:$W$10005,$W1898)&gt;0),N(U1897),N(U1897)+1))</f>
        <v/>
      </c>
      <c r="V1898" s="19">
        <f>IF($B1898="","",TEXT($B1898,"0000"))</f>
        <v/>
      </c>
      <c r="W1898" s="19">
        <f>IF($I1898="","",IF(ISNUMBER($I1898),TEXT($I1898,"0"),$I1898))</f>
        <v/>
      </c>
    </row>
    <row r="1899">
      <c r="B1899" s="25" t="n"/>
      <c r="I1899" s="25" t="n"/>
      <c r="U1899" s="19">
        <f>IF($V1899&lt;&gt;'設定'!$C$4,N(U1898),IF(OR(NOT(COUNTIF('商品マスタ'!$B$6:$B$1005,$W1899)=0),COUNTIFS('①在庫を貼る'!$V$6:$V$10005,$V1899,'①在庫を貼る'!$W$6:$W$10005,$W1899)+COUNTIFS('月1回_1ヶ月前の在庫'!$V$6:$V$10005,$V1899,'月1回_1ヶ月前の在庫'!$W$6:$W$10005,$W1899)&gt;0),N(U1898),N(U1898)+1))</f>
        <v/>
      </c>
      <c r="V1899" s="19">
        <f>IF($B1899="","",TEXT($B1899,"0000"))</f>
        <v/>
      </c>
      <c r="W1899" s="19">
        <f>IF($I1899="","",IF(ISNUMBER($I1899),TEXT($I1899,"0"),$I1899))</f>
        <v/>
      </c>
    </row>
    <row r="1900">
      <c r="B1900" s="25" t="n"/>
      <c r="I1900" s="25" t="n"/>
      <c r="U1900" s="19">
        <f>IF($V1900&lt;&gt;'設定'!$C$4,N(U1899),IF(OR(NOT(COUNTIF('商品マスタ'!$B$6:$B$1005,$W1900)=0),COUNTIFS('①在庫を貼る'!$V$6:$V$10005,$V1900,'①在庫を貼る'!$W$6:$W$10005,$W1900)+COUNTIFS('月1回_1ヶ月前の在庫'!$V$6:$V$10005,$V1900,'月1回_1ヶ月前の在庫'!$W$6:$W$10005,$W1900)&gt;0),N(U1899),N(U1899)+1))</f>
        <v/>
      </c>
      <c r="V1900" s="19">
        <f>IF($B1900="","",TEXT($B1900,"0000"))</f>
        <v/>
      </c>
      <c r="W1900" s="19">
        <f>IF($I1900="","",IF(ISNUMBER($I1900),TEXT($I1900,"0"),$I1900))</f>
        <v/>
      </c>
    </row>
    <row r="1901">
      <c r="B1901" s="25" t="n"/>
      <c r="I1901" s="25" t="n"/>
      <c r="U1901" s="19">
        <f>IF($V1901&lt;&gt;'設定'!$C$4,N(U1900),IF(OR(NOT(COUNTIF('商品マスタ'!$B$6:$B$1005,$W1901)=0),COUNTIFS('①在庫を貼る'!$V$6:$V$10005,$V1901,'①在庫を貼る'!$W$6:$W$10005,$W1901)+COUNTIFS('月1回_1ヶ月前の在庫'!$V$6:$V$10005,$V1901,'月1回_1ヶ月前の在庫'!$W$6:$W$10005,$W1901)&gt;0),N(U1900),N(U1900)+1))</f>
        <v/>
      </c>
      <c r="V1901" s="19">
        <f>IF($B1901="","",TEXT($B1901,"0000"))</f>
        <v/>
      </c>
      <c r="W1901" s="19">
        <f>IF($I1901="","",IF(ISNUMBER($I1901),TEXT($I1901,"0"),$I1901))</f>
        <v/>
      </c>
    </row>
    <row r="1902">
      <c r="B1902" s="25" t="n"/>
      <c r="I1902" s="25" t="n"/>
      <c r="U1902" s="19">
        <f>IF($V1902&lt;&gt;'設定'!$C$4,N(U1901),IF(OR(NOT(COUNTIF('商品マスタ'!$B$6:$B$1005,$W1902)=0),COUNTIFS('①在庫を貼る'!$V$6:$V$10005,$V1902,'①在庫を貼る'!$W$6:$W$10005,$W1902)+COUNTIFS('月1回_1ヶ月前の在庫'!$V$6:$V$10005,$V1902,'月1回_1ヶ月前の在庫'!$W$6:$W$10005,$W1902)&gt;0),N(U1901),N(U1901)+1))</f>
        <v/>
      </c>
      <c r="V1902" s="19">
        <f>IF($B1902="","",TEXT($B1902,"0000"))</f>
        <v/>
      </c>
      <c r="W1902" s="19">
        <f>IF($I1902="","",IF(ISNUMBER($I1902),TEXT($I1902,"0"),$I1902))</f>
        <v/>
      </c>
    </row>
    <row r="1903">
      <c r="B1903" s="25" t="n"/>
      <c r="I1903" s="25" t="n"/>
      <c r="U1903" s="19">
        <f>IF($V1903&lt;&gt;'設定'!$C$4,N(U1902),IF(OR(NOT(COUNTIF('商品マスタ'!$B$6:$B$1005,$W1903)=0),COUNTIFS('①在庫を貼る'!$V$6:$V$10005,$V1903,'①在庫を貼る'!$W$6:$W$10005,$W1903)+COUNTIFS('月1回_1ヶ月前の在庫'!$V$6:$V$10005,$V1903,'月1回_1ヶ月前の在庫'!$W$6:$W$10005,$W1903)&gt;0),N(U1902),N(U1902)+1))</f>
        <v/>
      </c>
      <c r="V1903" s="19">
        <f>IF($B1903="","",TEXT($B1903,"0000"))</f>
        <v/>
      </c>
      <c r="W1903" s="19">
        <f>IF($I1903="","",IF(ISNUMBER($I1903),TEXT($I1903,"0"),$I1903))</f>
        <v/>
      </c>
    </row>
    <row r="1904">
      <c r="B1904" s="25" t="n"/>
      <c r="I1904" s="25" t="n"/>
      <c r="U1904" s="19">
        <f>IF($V1904&lt;&gt;'設定'!$C$4,N(U1903),IF(OR(NOT(COUNTIF('商品マスタ'!$B$6:$B$1005,$W1904)=0),COUNTIFS('①在庫を貼る'!$V$6:$V$10005,$V1904,'①在庫を貼る'!$W$6:$W$10005,$W1904)+COUNTIFS('月1回_1ヶ月前の在庫'!$V$6:$V$10005,$V1904,'月1回_1ヶ月前の在庫'!$W$6:$W$10005,$W1904)&gt;0),N(U1903),N(U1903)+1))</f>
        <v/>
      </c>
      <c r="V1904" s="19">
        <f>IF($B1904="","",TEXT($B1904,"0000"))</f>
        <v/>
      </c>
      <c r="W1904" s="19">
        <f>IF($I1904="","",IF(ISNUMBER($I1904),TEXT($I1904,"0"),$I1904))</f>
        <v/>
      </c>
    </row>
    <row r="1905">
      <c r="B1905" s="25" t="n"/>
      <c r="I1905" s="25" t="n"/>
      <c r="U1905" s="19">
        <f>IF($V1905&lt;&gt;'設定'!$C$4,N(U1904),IF(OR(NOT(COUNTIF('商品マスタ'!$B$6:$B$1005,$W1905)=0),COUNTIFS('①在庫を貼る'!$V$6:$V$10005,$V1905,'①在庫を貼る'!$W$6:$W$10005,$W1905)+COUNTIFS('月1回_1ヶ月前の在庫'!$V$6:$V$10005,$V1905,'月1回_1ヶ月前の在庫'!$W$6:$W$10005,$W1905)&gt;0),N(U1904),N(U1904)+1))</f>
        <v/>
      </c>
      <c r="V1905" s="19">
        <f>IF($B1905="","",TEXT($B1905,"0000"))</f>
        <v/>
      </c>
      <c r="W1905" s="19">
        <f>IF($I1905="","",IF(ISNUMBER($I1905),TEXT($I1905,"0"),$I1905))</f>
        <v/>
      </c>
    </row>
    <row r="1906">
      <c r="B1906" s="25" t="n"/>
      <c r="I1906" s="25" t="n"/>
      <c r="U1906" s="19">
        <f>IF($V1906&lt;&gt;'設定'!$C$4,N(U1905),IF(OR(NOT(COUNTIF('商品マスタ'!$B$6:$B$1005,$W1906)=0),COUNTIFS('①在庫を貼る'!$V$6:$V$10005,$V1906,'①在庫を貼る'!$W$6:$W$10005,$W1906)+COUNTIFS('月1回_1ヶ月前の在庫'!$V$6:$V$10005,$V1906,'月1回_1ヶ月前の在庫'!$W$6:$W$10005,$W1906)&gt;0),N(U1905),N(U1905)+1))</f>
        <v/>
      </c>
      <c r="V1906" s="19">
        <f>IF($B1906="","",TEXT($B1906,"0000"))</f>
        <v/>
      </c>
      <c r="W1906" s="19">
        <f>IF($I1906="","",IF(ISNUMBER($I1906),TEXT($I1906,"0"),$I1906))</f>
        <v/>
      </c>
    </row>
    <row r="1907">
      <c r="B1907" s="25" t="n"/>
      <c r="I1907" s="25" t="n"/>
      <c r="U1907" s="19">
        <f>IF($V1907&lt;&gt;'設定'!$C$4,N(U1906),IF(OR(NOT(COUNTIF('商品マスタ'!$B$6:$B$1005,$W1907)=0),COUNTIFS('①在庫を貼る'!$V$6:$V$10005,$V1907,'①在庫を貼る'!$W$6:$W$10005,$W1907)+COUNTIFS('月1回_1ヶ月前の在庫'!$V$6:$V$10005,$V1907,'月1回_1ヶ月前の在庫'!$W$6:$W$10005,$W1907)&gt;0),N(U1906),N(U1906)+1))</f>
        <v/>
      </c>
      <c r="V1907" s="19">
        <f>IF($B1907="","",TEXT($B1907,"0000"))</f>
        <v/>
      </c>
      <c r="W1907" s="19">
        <f>IF($I1907="","",IF(ISNUMBER($I1907),TEXT($I1907,"0"),$I1907))</f>
        <v/>
      </c>
    </row>
    <row r="1908">
      <c r="B1908" s="25" t="n"/>
      <c r="I1908" s="25" t="n"/>
      <c r="U1908" s="19">
        <f>IF($V1908&lt;&gt;'設定'!$C$4,N(U1907),IF(OR(NOT(COUNTIF('商品マスタ'!$B$6:$B$1005,$W1908)=0),COUNTIFS('①在庫を貼る'!$V$6:$V$10005,$V1908,'①在庫を貼る'!$W$6:$W$10005,$W1908)+COUNTIFS('月1回_1ヶ月前の在庫'!$V$6:$V$10005,$V1908,'月1回_1ヶ月前の在庫'!$W$6:$W$10005,$W1908)&gt;0),N(U1907),N(U1907)+1))</f>
        <v/>
      </c>
      <c r="V1908" s="19">
        <f>IF($B1908="","",TEXT($B1908,"0000"))</f>
        <v/>
      </c>
      <c r="W1908" s="19">
        <f>IF($I1908="","",IF(ISNUMBER($I1908),TEXT($I1908,"0"),$I1908))</f>
        <v/>
      </c>
    </row>
    <row r="1909">
      <c r="B1909" s="25" t="n"/>
      <c r="I1909" s="25" t="n"/>
      <c r="U1909" s="19">
        <f>IF($V1909&lt;&gt;'設定'!$C$4,N(U1908),IF(OR(NOT(COUNTIF('商品マスタ'!$B$6:$B$1005,$W1909)=0),COUNTIFS('①在庫を貼る'!$V$6:$V$10005,$V1909,'①在庫を貼る'!$W$6:$W$10005,$W1909)+COUNTIFS('月1回_1ヶ月前の在庫'!$V$6:$V$10005,$V1909,'月1回_1ヶ月前の在庫'!$W$6:$W$10005,$W1909)&gt;0),N(U1908),N(U1908)+1))</f>
        <v/>
      </c>
      <c r="V1909" s="19">
        <f>IF($B1909="","",TEXT($B1909,"0000"))</f>
        <v/>
      </c>
      <c r="W1909" s="19">
        <f>IF($I1909="","",IF(ISNUMBER($I1909),TEXT($I1909,"0"),$I1909))</f>
        <v/>
      </c>
    </row>
    <row r="1910">
      <c r="B1910" s="25" t="n"/>
      <c r="I1910" s="25" t="n"/>
      <c r="U1910" s="19">
        <f>IF($V1910&lt;&gt;'設定'!$C$4,N(U1909),IF(OR(NOT(COUNTIF('商品マスタ'!$B$6:$B$1005,$W1910)=0),COUNTIFS('①在庫を貼る'!$V$6:$V$10005,$V1910,'①在庫を貼る'!$W$6:$W$10005,$W1910)+COUNTIFS('月1回_1ヶ月前の在庫'!$V$6:$V$10005,$V1910,'月1回_1ヶ月前の在庫'!$W$6:$W$10005,$W1910)&gt;0),N(U1909),N(U1909)+1))</f>
        <v/>
      </c>
      <c r="V1910" s="19">
        <f>IF($B1910="","",TEXT($B1910,"0000"))</f>
        <v/>
      </c>
      <c r="W1910" s="19">
        <f>IF($I1910="","",IF(ISNUMBER($I1910),TEXT($I1910,"0"),$I1910))</f>
        <v/>
      </c>
    </row>
    <row r="1911">
      <c r="B1911" s="25" t="n"/>
      <c r="I1911" s="25" t="n"/>
      <c r="U1911" s="19">
        <f>IF($V1911&lt;&gt;'設定'!$C$4,N(U1910),IF(OR(NOT(COUNTIF('商品マスタ'!$B$6:$B$1005,$W1911)=0),COUNTIFS('①在庫を貼る'!$V$6:$V$10005,$V1911,'①在庫を貼る'!$W$6:$W$10005,$W1911)+COUNTIFS('月1回_1ヶ月前の在庫'!$V$6:$V$10005,$V1911,'月1回_1ヶ月前の在庫'!$W$6:$W$10005,$W1911)&gt;0),N(U1910),N(U1910)+1))</f>
        <v/>
      </c>
      <c r="V1911" s="19">
        <f>IF($B1911="","",TEXT($B1911,"0000"))</f>
        <v/>
      </c>
      <c r="W1911" s="19">
        <f>IF($I1911="","",IF(ISNUMBER($I1911),TEXT($I1911,"0"),$I1911))</f>
        <v/>
      </c>
    </row>
    <row r="1912">
      <c r="B1912" s="25" t="n"/>
      <c r="I1912" s="25" t="n"/>
      <c r="U1912" s="19">
        <f>IF($V1912&lt;&gt;'設定'!$C$4,N(U1911),IF(OR(NOT(COUNTIF('商品マスタ'!$B$6:$B$1005,$W1912)=0),COUNTIFS('①在庫を貼る'!$V$6:$V$10005,$V1912,'①在庫を貼る'!$W$6:$W$10005,$W1912)+COUNTIFS('月1回_1ヶ月前の在庫'!$V$6:$V$10005,$V1912,'月1回_1ヶ月前の在庫'!$W$6:$W$10005,$W1912)&gt;0),N(U1911),N(U1911)+1))</f>
        <v/>
      </c>
      <c r="V1912" s="19">
        <f>IF($B1912="","",TEXT($B1912,"0000"))</f>
        <v/>
      </c>
      <c r="W1912" s="19">
        <f>IF($I1912="","",IF(ISNUMBER($I1912),TEXT($I1912,"0"),$I1912))</f>
        <v/>
      </c>
    </row>
    <row r="1913">
      <c r="B1913" s="25" t="n"/>
      <c r="I1913" s="25" t="n"/>
      <c r="U1913" s="19">
        <f>IF($V1913&lt;&gt;'設定'!$C$4,N(U1912),IF(OR(NOT(COUNTIF('商品マスタ'!$B$6:$B$1005,$W1913)=0),COUNTIFS('①在庫を貼る'!$V$6:$V$10005,$V1913,'①在庫を貼る'!$W$6:$W$10005,$W1913)+COUNTIFS('月1回_1ヶ月前の在庫'!$V$6:$V$10005,$V1913,'月1回_1ヶ月前の在庫'!$W$6:$W$10005,$W1913)&gt;0),N(U1912),N(U1912)+1))</f>
        <v/>
      </c>
      <c r="V1913" s="19">
        <f>IF($B1913="","",TEXT($B1913,"0000"))</f>
        <v/>
      </c>
      <c r="W1913" s="19">
        <f>IF($I1913="","",IF(ISNUMBER($I1913),TEXT($I1913,"0"),$I1913))</f>
        <v/>
      </c>
    </row>
    <row r="1914">
      <c r="B1914" s="25" t="n"/>
      <c r="I1914" s="25" t="n"/>
      <c r="U1914" s="19">
        <f>IF($V1914&lt;&gt;'設定'!$C$4,N(U1913),IF(OR(NOT(COUNTIF('商品マスタ'!$B$6:$B$1005,$W1914)=0),COUNTIFS('①在庫を貼る'!$V$6:$V$10005,$V1914,'①在庫を貼る'!$W$6:$W$10005,$W1914)+COUNTIFS('月1回_1ヶ月前の在庫'!$V$6:$V$10005,$V1914,'月1回_1ヶ月前の在庫'!$W$6:$W$10005,$W1914)&gt;0),N(U1913),N(U1913)+1))</f>
        <v/>
      </c>
      <c r="V1914" s="19">
        <f>IF($B1914="","",TEXT($B1914,"0000"))</f>
        <v/>
      </c>
      <c r="W1914" s="19">
        <f>IF($I1914="","",IF(ISNUMBER($I1914),TEXT($I1914,"0"),$I1914))</f>
        <v/>
      </c>
    </row>
    <row r="1915">
      <c r="B1915" s="25" t="n"/>
      <c r="I1915" s="25" t="n"/>
      <c r="U1915" s="19">
        <f>IF($V1915&lt;&gt;'設定'!$C$4,N(U1914),IF(OR(NOT(COUNTIF('商品マスタ'!$B$6:$B$1005,$W1915)=0),COUNTIFS('①在庫を貼る'!$V$6:$V$10005,$V1915,'①在庫を貼る'!$W$6:$W$10005,$W1915)+COUNTIFS('月1回_1ヶ月前の在庫'!$V$6:$V$10005,$V1915,'月1回_1ヶ月前の在庫'!$W$6:$W$10005,$W1915)&gt;0),N(U1914),N(U1914)+1))</f>
        <v/>
      </c>
      <c r="V1915" s="19">
        <f>IF($B1915="","",TEXT($B1915,"0000"))</f>
        <v/>
      </c>
      <c r="W1915" s="19">
        <f>IF($I1915="","",IF(ISNUMBER($I1915),TEXT($I1915,"0"),$I1915))</f>
        <v/>
      </c>
    </row>
    <row r="1916">
      <c r="B1916" s="25" t="n"/>
      <c r="I1916" s="25" t="n"/>
      <c r="U1916" s="19">
        <f>IF($V1916&lt;&gt;'設定'!$C$4,N(U1915),IF(OR(NOT(COUNTIF('商品マスタ'!$B$6:$B$1005,$W1916)=0),COUNTIFS('①在庫を貼る'!$V$6:$V$10005,$V1916,'①在庫を貼る'!$W$6:$W$10005,$W1916)+COUNTIFS('月1回_1ヶ月前の在庫'!$V$6:$V$10005,$V1916,'月1回_1ヶ月前の在庫'!$W$6:$W$10005,$W1916)&gt;0),N(U1915),N(U1915)+1))</f>
        <v/>
      </c>
      <c r="V1916" s="19">
        <f>IF($B1916="","",TEXT($B1916,"0000"))</f>
        <v/>
      </c>
      <c r="W1916" s="19">
        <f>IF($I1916="","",IF(ISNUMBER($I1916),TEXT($I1916,"0"),$I1916))</f>
        <v/>
      </c>
    </row>
    <row r="1917">
      <c r="B1917" s="25" t="n"/>
      <c r="I1917" s="25" t="n"/>
      <c r="U1917" s="19">
        <f>IF($V1917&lt;&gt;'設定'!$C$4,N(U1916),IF(OR(NOT(COUNTIF('商品マスタ'!$B$6:$B$1005,$W1917)=0),COUNTIFS('①在庫を貼る'!$V$6:$V$10005,$V1917,'①在庫を貼る'!$W$6:$W$10005,$W1917)+COUNTIFS('月1回_1ヶ月前の在庫'!$V$6:$V$10005,$V1917,'月1回_1ヶ月前の在庫'!$W$6:$W$10005,$W1917)&gt;0),N(U1916),N(U1916)+1))</f>
        <v/>
      </c>
      <c r="V1917" s="19">
        <f>IF($B1917="","",TEXT($B1917,"0000"))</f>
        <v/>
      </c>
      <c r="W1917" s="19">
        <f>IF($I1917="","",IF(ISNUMBER($I1917),TEXT($I1917,"0"),$I1917))</f>
        <v/>
      </c>
    </row>
    <row r="1918">
      <c r="B1918" s="25" t="n"/>
      <c r="I1918" s="25" t="n"/>
      <c r="U1918" s="19">
        <f>IF($V1918&lt;&gt;'設定'!$C$4,N(U1917),IF(OR(NOT(COUNTIF('商品マスタ'!$B$6:$B$1005,$W1918)=0),COUNTIFS('①在庫を貼る'!$V$6:$V$10005,$V1918,'①在庫を貼る'!$W$6:$W$10005,$W1918)+COUNTIFS('月1回_1ヶ月前の在庫'!$V$6:$V$10005,$V1918,'月1回_1ヶ月前の在庫'!$W$6:$W$10005,$W1918)&gt;0),N(U1917),N(U1917)+1))</f>
        <v/>
      </c>
      <c r="V1918" s="19">
        <f>IF($B1918="","",TEXT($B1918,"0000"))</f>
        <v/>
      </c>
      <c r="W1918" s="19">
        <f>IF($I1918="","",IF(ISNUMBER($I1918),TEXT($I1918,"0"),$I1918))</f>
        <v/>
      </c>
    </row>
    <row r="1919">
      <c r="B1919" s="25" t="n"/>
      <c r="I1919" s="25" t="n"/>
      <c r="U1919" s="19">
        <f>IF($V1919&lt;&gt;'設定'!$C$4,N(U1918),IF(OR(NOT(COUNTIF('商品マスタ'!$B$6:$B$1005,$W1919)=0),COUNTIFS('①在庫を貼る'!$V$6:$V$10005,$V1919,'①在庫を貼る'!$W$6:$W$10005,$W1919)+COUNTIFS('月1回_1ヶ月前の在庫'!$V$6:$V$10005,$V1919,'月1回_1ヶ月前の在庫'!$W$6:$W$10005,$W1919)&gt;0),N(U1918),N(U1918)+1))</f>
        <v/>
      </c>
      <c r="V1919" s="19">
        <f>IF($B1919="","",TEXT($B1919,"0000"))</f>
        <v/>
      </c>
      <c r="W1919" s="19">
        <f>IF($I1919="","",IF(ISNUMBER($I1919),TEXT($I1919,"0"),$I1919))</f>
        <v/>
      </c>
    </row>
    <row r="1920">
      <c r="B1920" s="25" t="n"/>
      <c r="I1920" s="25" t="n"/>
      <c r="U1920" s="19">
        <f>IF($V1920&lt;&gt;'設定'!$C$4,N(U1919),IF(OR(NOT(COUNTIF('商品マスタ'!$B$6:$B$1005,$W1920)=0),COUNTIFS('①在庫を貼る'!$V$6:$V$10005,$V1920,'①在庫を貼る'!$W$6:$W$10005,$W1920)+COUNTIFS('月1回_1ヶ月前の在庫'!$V$6:$V$10005,$V1920,'月1回_1ヶ月前の在庫'!$W$6:$W$10005,$W1920)&gt;0),N(U1919),N(U1919)+1))</f>
        <v/>
      </c>
      <c r="V1920" s="19">
        <f>IF($B1920="","",TEXT($B1920,"0000"))</f>
        <v/>
      </c>
      <c r="W1920" s="19">
        <f>IF($I1920="","",IF(ISNUMBER($I1920),TEXT($I1920,"0"),$I1920))</f>
        <v/>
      </c>
    </row>
    <row r="1921">
      <c r="B1921" s="25" t="n"/>
      <c r="I1921" s="25" t="n"/>
      <c r="U1921" s="19">
        <f>IF($V1921&lt;&gt;'設定'!$C$4,N(U1920),IF(OR(NOT(COUNTIF('商品マスタ'!$B$6:$B$1005,$W1921)=0),COUNTIFS('①在庫を貼る'!$V$6:$V$10005,$V1921,'①在庫を貼る'!$W$6:$W$10005,$W1921)+COUNTIFS('月1回_1ヶ月前の在庫'!$V$6:$V$10005,$V1921,'月1回_1ヶ月前の在庫'!$W$6:$W$10005,$W1921)&gt;0),N(U1920),N(U1920)+1))</f>
        <v/>
      </c>
      <c r="V1921" s="19">
        <f>IF($B1921="","",TEXT($B1921,"0000"))</f>
        <v/>
      </c>
      <c r="W1921" s="19">
        <f>IF($I1921="","",IF(ISNUMBER($I1921),TEXT($I1921,"0"),$I1921))</f>
        <v/>
      </c>
    </row>
    <row r="1922">
      <c r="B1922" s="25" t="n"/>
      <c r="I1922" s="25" t="n"/>
      <c r="U1922" s="19">
        <f>IF($V1922&lt;&gt;'設定'!$C$4,N(U1921),IF(OR(NOT(COUNTIF('商品マスタ'!$B$6:$B$1005,$W1922)=0),COUNTIFS('①在庫を貼る'!$V$6:$V$10005,$V1922,'①在庫を貼る'!$W$6:$W$10005,$W1922)+COUNTIFS('月1回_1ヶ月前の在庫'!$V$6:$V$10005,$V1922,'月1回_1ヶ月前の在庫'!$W$6:$W$10005,$W1922)&gt;0),N(U1921),N(U1921)+1))</f>
        <v/>
      </c>
      <c r="V1922" s="19">
        <f>IF($B1922="","",TEXT($B1922,"0000"))</f>
        <v/>
      </c>
      <c r="W1922" s="19">
        <f>IF($I1922="","",IF(ISNUMBER($I1922),TEXT($I1922,"0"),$I1922))</f>
        <v/>
      </c>
    </row>
    <row r="1923">
      <c r="B1923" s="25" t="n"/>
      <c r="I1923" s="25" t="n"/>
      <c r="U1923" s="19">
        <f>IF($V1923&lt;&gt;'設定'!$C$4,N(U1922),IF(OR(NOT(COUNTIF('商品マスタ'!$B$6:$B$1005,$W1923)=0),COUNTIFS('①在庫を貼る'!$V$6:$V$10005,$V1923,'①在庫を貼る'!$W$6:$W$10005,$W1923)+COUNTIFS('月1回_1ヶ月前の在庫'!$V$6:$V$10005,$V1923,'月1回_1ヶ月前の在庫'!$W$6:$W$10005,$W1923)&gt;0),N(U1922),N(U1922)+1))</f>
        <v/>
      </c>
      <c r="V1923" s="19">
        <f>IF($B1923="","",TEXT($B1923,"0000"))</f>
        <v/>
      </c>
      <c r="W1923" s="19">
        <f>IF($I1923="","",IF(ISNUMBER($I1923),TEXT($I1923,"0"),$I1923))</f>
        <v/>
      </c>
    </row>
    <row r="1924">
      <c r="B1924" s="25" t="n"/>
      <c r="I1924" s="25" t="n"/>
      <c r="U1924" s="19">
        <f>IF($V1924&lt;&gt;'設定'!$C$4,N(U1923),IF(OR(NOT(COUNTIF('商品マスタ'!$B$6:$B$1005,$W1924)=0),COUNTIFS('①在庫を貼る'!$V$6:$V$10005,$V1924,'①在庫を貼る'!$W$6:$W$10005,$W1924)+COUNTIFS('月1回_1ヶ月前の在庫'!$V$6:$V$10005,$V1924,'月1回_1ヶ月前の在庫'!$W$6:$W$10005,$W1924)&gt;0),N(U1923),N(U1923)+1))</f>
        <v/>
      </c>
      <c r="V1924" s="19">
        <f>IF($B1924="","",TEXT($B1924,"0000"))</f>
        <v/>
      </c>
      <c r="W1924" s="19">
        <f>IF($I1924="","",IF(ISNUMBER($I1924),TEXT($I1924,"0"),$I1924))</f>
        <v/>
      </c>
    </row>
    <row r="1925">
      <c r="B1925" s="25" t="n"/>
      <c r="I1925" s="25" t="n"/>
      <c r="U1925" s="19">
        <f>IF($V1925&lt;&gt;'設定'!$C$4,N(U1924),IF(OR(NOT(COUNTIF('商品マスタ'!$B$6:$B$1005,$W1925)=0),COUNTIFS('①在庫を貼る'!$V$6:$V$10005,$V1925,'①在庫を貼る'!$W$6:$W$10005,$W1925)+COUNTIFS('月1回_1ヶ月前の在庫'!$V$6:$V$10005,$V1925,'月1回_1ヶ月前の在庫'!$W$6:$W$10005,$W1925)&gt;0),N(U1924),N(U1924)+1))</f>
        <v/>
      </c>
      <c r="V1925" s="19">
        <f>IF($B1925="","",TEXT($B1925,"0000"))</f>
        <v/>
      </c>
      <c r="W1925" s="19">
        <f>IF($I1925="","",IF(ISNUMBER($I1925),TEXT($I1925,"0"),$I1925))</f>
        <v/>
      </c>
    </row>
    <row r="1926">
      <c r="B1926" s="25" t="n"/>
      <c r="I1926" s="25" t="n"/>
      <c r="U1926" s="19">
        <f>IF($V1926&lt;&gt;'設定'!$C$4,N(U1925),IF(OR(NOT(COUNTIF('商品マスタ'!$B$6:$B$1005,$W1926)=0),COUNTIFS('①在庫を貼る'!$V$6:$V$10005,$V1926,'①在庫を貼る'!$W$6:$W$10005,$W1926)+COUNTIFS('月1回_1ヶ月前の在庫'!$V$6:$V$10005,$V1926,'月1回_1ヶ月前の在庫'!$W$6:$W$10005,$W1926)&gt;0),N(U1925),N(U1925)+1))</f>
        <v/>
      </c>
      <c r="V1926" s="19">
        <f>IF($B1926="","",TEXT($B1926,"0000"))</f>
        <v/>
      </c>
      <c r="W1926" s="19">
        <f>IF($I1926="","",IF(ISNUMBER($I1926),TEXT($I1926,"0"),$I1926))</f>
        <v/>
      </c>
    </row>
    <row r="1927">
      <c r="B1927" s="25" t="n"/>
      <c r="I1927" s="25" t="n"/>
      <c r="U1927" s="19">
        <f>IF($V1927&lt;&gt;'設定'!$C$4,N(U1926),IF(OR(NOT(COUNTIF('商品マスタ'!$B$6:$B$1005,$W1927)=0),COUNTIFS('①在庫を貼る'!$V$6:$V$10005,$V1927,'①在庫を貼る'!$W$6:$W$10005,$W1927)+COUNTIFS('月1回_1ヶ月前の在庫'!$V$6:$V$10005,$V1927,'月1回_1ヶ月前の在庫'!$W$6:$W$10005,$W1927)&gt;0),N(U1926),N(U1926)+1))</f>
        <v/>
      </c>
      <c r="V1927" s="19">
        <f>IF($B1927="","",TEXT($B1927,"0000"))</f>
        <v/>
      </c>
      <c r="W1927" s="19">
        <f>IF($I1927="","",IF(ISNUMBER($I1927),TEXT($I1927,"0"),$I1927))</f>
        <v/>
      </c>
    </row>
    <row r="1928">
      <c r="B1928" s="25" t="n"/>
      <c r="I1928" s="25" t="n"/>
      <c r="U1928" s="19">
        <f>IF($V1928&lt;&gt;'設定'!$C$4,N(U1927),IF(OR(NOT(COUNTIF('商品マスタ'!$B$6:$B$1005,$W1928)=0),COUNTIFS('①在庫を貼る'!$V$6:$V$10005,$V1928,'①在庫を貼る'!$W$6:$W$10005,$W1928)+COUNTIFS('月1回_1ヶ月前の在庫'!$V$6:$V$10005,$V1928,'月1回_1ヶ月前の在庫'!$W$6:$W$10005,$W1928)&gt;0),N(U1927),N(U1927)+1))</f>
        <v/>
      </c>
      <c r="V1928" s="19">
        <f>IF($B1928="","",TEXT($B1928,"0000"))</f>
        <v/>
      </c>
      <c r="W1928" s="19">
        <f>IF($I1928="","",IF(ISNUMBER($I1928),TEXT($I1928,"0"),$I1928))</f>
        <v/>
      </c>
    </row>
    <row r="1929">
      <c r="B1929" s="25" t="n"/>
      <c r="I1929" s="25" t="n"/>
      <c r="U1929" s="19">
        <f>IF($V1929&lt;&gt;'設定'!$C$4,N(U1928),IF(OR(NOT(COUNTIF('商品マスタ'!$B$6:$B$1005,$W1929)=0),COUNTIFS('①在庫を貼る'!$V$6:$V$10005,$V1929,'①在庫を貼る'!$W$6:$W$10005,$W1929)+COUNTIFS('月1回_1ヶ月前の在庫'!$V$6:$V$10005,$V1929,'月1回_1ヶ月前の在庫'!$W$6:$W$10005,$W1929)&gt;0),N(U1928),N(U1928)+1))</f>
        <v/>
      </c>
      <c r="V1929" s="19">
        <f>IF($B1929="","",TEXT($B1929,"0000"))</f>
        <v/>
      </c>
      <c r="W1929" s="19">
        <f>IF($I1929="","",IF(ISNUMBER($I1929),TEXT($I1929,"0"),$I1929))</f>
        <v/>
      </c>
    </row>
    <row r="1930">
      <c r="B1930" s="25" t="n"/>
      <c r="I1930" s="25" t="n"/>
      <c r="U1930" s="19">
        <f>IF($V1930&lt;&gt;'設定'!$C$4,N(U1929),IF(OR(NOT(COUNTIF('商品マスタ'!$B$6:$B$1005,$W1930)=0),COUNTIFS('①在庫を貼る'!$V$6:$V$10005,$V1930,'①在庫を貼る'!$W$6:$W$10005,$W1930)+COUNTIFS('月1回_1ヶ月前の在庫'!$V$6:$V$10005,$V1930,'月1回_1ヶ月前の在庫'!$W$6:$W$10005,$W1930)&gt;0),N(U1929),N(U1929)+1))</f>
        <v/>
      </c>
      <c r="V1930" s="19">
        <f>IF($B1930="","",TEXT($B1930,"0000"))</f>
        <v/>
      </c>
      <c r="W1930" s="19">
        <f>IF($I1930="","",IF(ISNUMBER($I1930),TEXT($I1930,"0"),$I1930))</f>
        <v/>
      </c>
    </row>
    <row r="1931">
      <c r="B1931" s="25" t="n"/>
      <c r="I1931" s="25" t="n"/>
      <c r="U1931" s="19">
        <f>IF($V1931&lt;&gt;'設定'!$C$4,N(U1930),IF(OR(NOT(COUNTIF('商品マスタ'!$B$6:$B$1005,$W1931)=0),COUNTIFS('①在庫を貼る'!$V$6:$V$10005,$V1931,'①在庫を貼る'!$W$6:$W$10005,$W1931)+COUNTIFS('月1回_1ヶ月前の在庫'!$V$6:$V$10005,$V1931,'月1回_1ヶ月前の在庫'!$W$6:$W$10005,$W1931)&gt;0),N(U1930),N(U1930)+1))</f>
        <v/>
      </c>
      <c r="V1931" s="19">
        <f>IF($B1931="","",TEXT($B1931,"0000"))</f>
        <v/>
      </c>
      <c r="W1931" s="19">
        <f>IF($I1931="","",IF(ISNUMBER($I1931),TEXT($I1931,"0"),$I1931))</f>
        <v/>
      </c>
    </row>
    <row r="1932">
      <c r="B1932" s="25" t="n"/>
      <c r="I1932" s="25" t="n"/>
      <c r="U1932" s="19">
        <f>IF($V1932&lt;&gt;'設定'!$C$4,N(U1931),IF(OR(NOT(COUNTIF('商品マスタ'!$B$6:$B$1005,$W1932)=0),COUNTIFS('①在庫を貼る'!$V$6:$V$10005,$V1932,'①在庫を貼る'!$W$6:$W$10005,$W1932)+COUNTIFS('月1回_1ヶ月前の在庫'!$V$6:$V$10005,$V1932,'月1回_1ヶ月前の在庫'!$W$6:$W$10005,$W1932)&gt;0),N(U1931),N(U1931)+1))</f>
        <v/>
      </c>
      <c r="V1932" s="19">
        <f>IF($B1932="","",TEXT($B1932,"0000"))</f>
        <v/>
      </c>
      <c r="W1932" s="19">
        <f>IF($I1932="","",IF(ISNUMBER($I1932),TEXT($I1932,"0"),$I1932))</f>
        <v/>
      </c>
    </row>
    <row r="1933">
      <c r="B1933" s="25" t="n"/>
      <c r="I1933" s="25" t="n"/>
      <c r="U1933" s="19">
        <f>IF($V1933&lt;&gt;'設定'!$C$4,N(U1932),IF(OR(NOT(COUNTIF('商品マスタ'!$B$6:$B$1005,$W1933)=0),COUNTIFS('①在庫を貼る'!$V$6:$V$10005,$V1933,'①在庫を貼る'!$W$6:$W$10005,$W1933)+COUNTIFS('月1回_1ヶ月前の在庫'!$V$6:$V$10005,$V1933,'月1回_1ヶ月前の在庫'!$W$6:$W$10005,$W1933)&gt;0),N(U1932),N(U1932)+1))</f>
        <v/>
      </c>
      <c r="V1933" s="19">
        <f>IF($B1933="","",TEXT($B1933,"0000"))</f>
        <v/>
      </c>
      <c r="W1933" s="19">
        <f>IF($I1933="","",IF(ISNUMBER($I1933),TEXT($I1933,"0"),$I1933))</f>
        <v/>
      </c>
    </row>
    <row r="1934">
      <c r="B1934" s="25" t="n"/>
      <c r="I1934" s="25" t="n"/>
      <c r="U1934" s="19">
        <f>IF($V1934&lt;&gt;'設定'!$C$4,N(U1933),IF(OR(NOT(COUNTIF('商品マスタ'!$B$6:$B$1005,$W1934)=0),COUNTIFS('①在庫を貼る'!$V$6:$V$10005,$V1934,'①在庫を貼る'!$W$6:$W$10005,$W1934)+COUNTIFS('月1回_1ヶ月前の在庫'!$V$6:$V$10005,$V1934,'月1回_1ヶ月前の在庫'!$W$6:$W$10005,$W1934)&gt;0),N(U1933),N(U1933)+1))</f>
        <v/>
      </c>
      <c r="V1934" s="19">
        <f>IF($B1934="","",TEXT($B1934,"0000"))</f>
        <v/>
      </c>
      <c r="W1934" s="19">
        <f>IF($I1934="","",IF(ISNUMBER($I1934),TEXT($I1934,"0"),$I1934))</f>
        <v/>
      </c>
    </row>
    <row r="1935">
      <c r="B1935" s="25" t="n"/>
      <c r="I1935" s="25" t="n"/>
      <c r="U1935" s="19">
        <f>IF($V1935&lt;&gt;'設定'!$C$4,N(U1934),IF(OR(NOT(COUNTIF('商品マスタ'!$B$6:$B$1005,$W1935)=0),COUNTIFS('①在庫を貼る'!$V$6:$V$10005,$V1935,'①在庫を貼る'!$W$6:$W$10005,$W1935)+COUNTIFS('月1回_1ヶ月前の在庫'!$V$6:$V$10005,$V1935,'月1回_1ヶ月前の在庫'!$W$6:$W$10005,$W1935)&gt;0),N(U1934),N(U1934)+1))</f>
        <v/>
      </c>
      <c r="V1935" s="19">
        <f>IF($B1935="","",TEXT($B1935,"0000"))</f>
        <v/>
      </c>
      <c r="W1935" s="19">
        <f>IF($I1935="","",IF(ISNUMBER($I1935),TEXT($I1935,"0"),$I1935))</f>
        <v/>
      </c>
    </row>
    <row r="1936">
      <c r="B1936" s="25" t="n"/>
      <c r="I1936" s="25" t="n"/>
      <c r="U1936" s="19">
        <f>IF($V1936&lt;&gt;'設定'!$C$4,N(U1935),IF(OR(NOT(COUNTIF('商品マスタ'!$B$6:$B$1005,$W1936)=0),COUNTIFS('①在庫を貼る'!$V$6:$V$10005,$V1936,'①在庫を貼る'!$W$6:$W$10005,$W1936)+COUNTIFS('月1回_1ヶ月前の在庫'!$V$6:$V$10005,$V1936,'月1回_1ヶ月前の在庫'!$W$6:$W$10005,$W1936)&gt;0),N(U1935),N(U1935)+1))</f>
        <v/>
      </c>
      <c r="V1936" s="19">
        <f>IF($B1936="","",TEXT($B1936,"0000"))</f>
        <v/>
      </c>
      <c r="W1936" s="19">
        <f>IF($I1936="","",IF(ISNUMBER($I1936),TEXT($I1936,"0"),$I1936))</f>
        <v/>
      </c>
    </row>
    <row r="1937">
      <c r="B1937" s="25" t="n"/>
      <c r="I1937" s="25" t="n"/>
      <c r="U1937" s="19">
        <f>IF($V1937&lt;&gt;'設定'!$C$4,N(U1936),IF(OR(NOT(COUNTIF('商品マスタ'!$B$6:$B$1005,$W1937)=0),COUNTIFS('①在庫を貼る'!$V$6:$V$10005,$V1937,'①在庫を貼る'!$W$6:$W$10005,$W1937)+COUNTIFS('月1回_1ヶ月前の在庫'!$V$6:$V$10005,$V1937,'月1回_1ヶ月前の在庫'!$W$6:$W$10005,$W1937)&gt;0),N(U1936),N(U1936)+1))</f>
        <v/>
      </c>
      <c r="V1937" s="19">
        <f>IF($B1937="","",TEXT($B1937,"0000"))</f>
        <v/>
      </c>
      <c r="W1937" s="19">
        <f>IF($I1937="","",IF(ISNUMBER($I1937),TEXT($I1937,"0"),$I1937))</f>
        <v/>
      </c>
    </row>
    <row r="1938">
      <c r="B1938" s="25" t="n"/>
      <c r="I1938" s="25" t="n"/>
      <c r="U1938" s="19">
        <f>IF($V1938&lt;&gt;'設定'!$C$4,N(U1937),IF(OR(NOT(COUNTIF('商品マスタ'!$B$6:$B$1005,$W1938)=0),COUNTIFS('①在庫を貼る'!$V$6:$V$10005,$V1938,'①在庫を貼る'!$W$6:$W$10005,$W1938)+COUNTIFS('月1回_1ヶ月前の在庫'!$V$6:$V$10005,$V1938,'月1回_1ヶ月前の在庫'!$W$6:$W$10005,$W1938)&gt;0),N(U1937),N(U1937)+1))</f>
        <v/>
      </c>
      <c r="V1938" s="19">
        <f>IF($B1938="","",TEXT($B1938,"0000"))</f>
        <v/>
      </c>
      <c r="W1938" s="19">
        <f>IF($I1938="","",IF(ISNUMBER($I1938),TEXT($I1938,"0"),$I1938))</f>
        <v/>
      </c>
    </row>
    <row r="1939">
      <c r="B1939" s="25" t="n"/>
      <c r="I1939" s="25" t="n"/>
      <c r="U1939" s="19">
        <f>IF($V1939&lt;&gt;'設定'!$C$4,N(U1938),IF(OR(NOT(COUNTIF('商品マスタ'!$B$6:$B$1005,$W1939)=0),COUNTIFS('①在庫を貼る'!$V$6:$V$10005,$V1939,'①在庫を貼る'!$W$6:$W$10005,$W1939)+COUNTIFS('月1回_1ヶ月前の在庫'!$V$6:$V$10005,$V1939,'月1回_1ヶ月前の在庫'!$W$6:$W$10005,$W1939)&gt;0),N(U1938),N(U1938)+1))</f>
        <v/>
      </c>
      <c r="V1939" s="19">
        <f>IF($B1939="","",TEXT($B1939,"0000"))</f>
        <v/>
      </c>
      <c r="W1939" s="19">
        <f>IF($I1939="","",IF(ISNUMBER($I1939),TEXT($I1939,"0"),$I1939))</f>
        <v/>
      </c>
    </row>
    <row r="1940">
      <c r="B1940" s="25" t="n"/>
      <c r="I1940" s="25" t="n"/>
      <c r="U1940" s="19">
        <f>IF($V1940&lt;&gt;'設定'!$C$4,N(U1939),IF(OR(NOT(COUNTIF('商品マスタ'!$B$6:$B$1005,$W1940)=0),COUNTIFS('①在庫を貼る'!$V$6:$V$10005,$V1940,'①在庫を貼る'!$W$6:$W$10005,$W1940)+COUNTIFS('月1回_1ヶ月前の在庫'!$V$6:$V$10005,$V1940,'月1回_1ヶ月前の在庫'!$W$6:$W$10005,$W1940)&gt;0),N(U1939),N(U1939)+1))</f>
        <v/>
      </c>
      <c r="V1940" s="19">
        <f>IF($B1940="","",TEXT($B1940,"0000"))</f>
        <v/>
      </c>
      <c r="W1940" s="19">
        <f>IF($I1940="","",IF(ISNUMBER($I1940),TEXT($I1940,"0"),$I1940))</f>
        <v/>
      </c>
    </row>
    <row r="1941">
      <c r="B1941" s="25" t="n"/>
      <c r="I1941" s="25" t="n"/>
      <c r="U1941" s="19">
        <f>IF($V1941&lt;&gt;'設定'!$C$4,N(U1940),IF(OR(NOT(COUNTIF('商品マスタ'!$B$6:$B$1005,$W1941)=0),COUNTIFS('①在庫を貼る'!$V$6:$V$10005,$V1941,'①在庫を貼る'!$W$6:$W$10005,$W1941)+COUNTIFS('月1回_1ヶ月前の在庫'!$V$6:$V$10005,$V1941,'月1回_1ヶ月前の在庫'!$W$6:$W$10005,$W1941)&gt;0),N(U1940),N(U1940)+1))</f>
        <v/>
      </c>
      <c r="V1941" s="19">
        <f>IF($B1941="","",TEXT($B1941,"0000"))</f>
        <v/>
      </c>
      <c r="W1941" s="19">
        <f>IF($I1941="","",IF(ISNUMBER($I1941),TEXT($I1941,"0"),$I1941))</f>
        <v/>
      </c>
    </row>
    <row r="1942">
      <c r="B1942" s="25" t="n"/>
      <c r="I1942" s="25" t="n"/>
      <c r="U1942" s="19">
        <f>IF($V1942&lt;&gt;'設定'!$C$4,N(U1941),IF(OR(NOT(COUNTIF('商品マスタ'!$B$6:$B$1005,$W1942)=0),COUNTIFS('①在庫を貼る'!$V$6:$V$10005,$V1942,'①在庫を貼る'!$W$6:$W$10005,$W1942)+COUNTIFS('月1回_1ヶ月前の在庫'!$V$6:$V$10005,$V1942,'月1回_1ヶ月前の在庫'!$W$6:$W$10005,$W1942)&gt;0),N(U1941),N(U1941)+1))</f>
        <v/>
      </c>
      <c r="V1942" s="19">
        <f>IF($B1942="","",TEXT($B1942,"0000"))</f>
        <v/>
      </c>
      <c r="W1942" s="19">
        <f>IF($I1942="","",IF(ISNUMBER($I1942),TEXT($I1942,"0"),$I1942))</f>
        <v/>
      </c>
    </row>
    <row r="1943">
      <c r="B1943" s="25" t="n"/>
      <c r="I1943" s="25" t="n"/>
      <c r="U1943" s="19">
        <f>IF($V1943&lt;&gt;'設定'!$C$4,N(U1942),IF(OR(NOT(COUNTIF('商品マスタ'!$B$6:$B$1005,$W1943)=0),COUNTIFS('①在庫を貼る'!$V$6:$V$10005,$V1943,'①在庫を貼る'!$W$6:$W$10005,$W1943)+COUNTIFS('月1回_1ヶ月前の在庫'!$V$6:$V$10005,$V1943,'月1回_1ヶ月前の在庫'!$W$6:$W$10005,$W1943)&gt;0),N(U1942),N(U1942)+1))</f>
        <v/>
      </c>
      <c r="V1943" s="19">
        <f>IF($B1943="","",TEXT($B1943,"0000"))</f>
        <v/>
      </c>
      <c r="W1943" s="19">
        <f>IF($I1943="","",IF(ISNUMBER($I1943),TEXT($I1943,"0"),$I1943))</f>
        <v/>
      </c>
    </row>
    <row r="1944">
      <c r="B1944" s="25" t="n"/>
      <c r="I1944" s="25" t="n"/>
      <c r="U1944" s="19">
        <f>IF($V1944&lt;&gt;'設定'!$C$4,N(U1943),IF(OR(NOT(COUNTIF('商品マスタ'!$B$6:$B$1005,$W1944)=0),COUNTIFS('①在庫を貼る'!$V$6:$V$10005,$V1944,'①在庫を貼る'!$W$6:$W$10005,$W1944)+COUNTIFS('月1回_1ヶ月前の在庫'!$V$6:$V$10005,$V1944,'月1回_1ヶ月前の在庫'!$W$6:$W$10005,$W1944)&gt;0),N(U1943),N(U1943)+1))</f>
        <v/>
      </c>
      <c r="V1944" s="19">
        <f>IF($B1944="","",TEXT($B1944,"0000"))</f>
        <v/>
      </c>
      <c r="W1944" s="19">
        <f>IF($I1944="","",IF(ISNUMBER($I1944),TEXT($I1944,"0"),$I1944))</f>
        <v/>
      </c>
    </row>
    <row r="1945">
      <c r="B1945" s="25" t="n"/>
      <c r="I1945" s="25" t="n"/>
      <c r="U1945" s="19">
        <f>IF($V1945&lt;&gt;'設定'!$C$4,N(U1944),IF(OR(NOT(COUNTIF('商品マスタ'!$B$6:$B$1005,$W1945)=0),COUNTIFS('①在庫を貼る'!$V$6:$V$10005,$V1945,'①在庫を貼る'!$W$6:$W$10005,$W1945)+COUNTIFS('月1回_1ヶ月前の在庫'!$V$6:$V$10005,$V1945,'月1回_1ヶ月前の在庫'!$W$6:$W$10005,$W1945)&gt;0),N(U1944),N(U1944)+1))</f>
        <v/>
      </c>
      <c r="V1945" s="19">
        <f>IF($B1945="","",TEXT($B1945,"0000"))</f>
        <v/>
      </c>
      <c r="W1945" s="19">
        <f>IF($I1945="","",IF(ISNUMBER($I1945),TEXT($I1945,"0"),$I1945))</f>
        <v/>
      </c>
    </row>
    <row r="1946">
      <c r="B1946" s="25" t="n"/>
      <c r="I1946" s="25" t="n"/>
      <c r="U1946" s="19">
        <f>IF($V1946&lt;&gt;'設定'!$C$4,N(U1945),IF(OR(NOT(COUNTIF('商品マスタ'!$B$6:$B$1005,$W1946)=0),COUNTIFS('①在庫を貼る'!$V$6:$V$10005,$V1946,'①在庫を貼る'!$W$6:$W$10005,$W1946)+COUNTIFS('月1回_1ヶ月前の在庫'!$V$6:$V$10005,$V1946,'月1回_1ヶ月前の在庫'!$W$6:$W$10005,$W1946)&gt;0),N(U1945),N(U1945)+1))</f>
        <v/>
      </c>
      <c r="V1946" s="19">
        <f>IF($B1946="","",TEXT($B1946,"0000"))</f>
        <v/>
      </c>
      <c r="W1946" s="19">
        <f>IF($I1946="","",IF(ISNUMBER($I1946),TEXT($I1946,"0"),$I1946))</f>
        <v/>
      </c>
    </row>
    <row r="1947">
      <c r="B1947" s="25" t="n"/>
      <c r="I1947" s="25" t="n"/>
      <c r="U1947" s="19">
        <f>IF($V1947&lt;&gt;'設定'!$C$4,N(U1946),IF(OR(NOT(COUNTIF('商品マスタ'!$B$6:$B$1005,$W1947)=0),COUNTIFS('①在庫を貼る'!$V$6:$V$10005,$V1947,'①在庫を貼る'!$W$6:$W$10005,$W1947)+COUNTIFS('月1回_1ヶ月前の在庫'!$V$6:$V$10005,$V1947,'月1回_1ヶ月前の在庫'!$W$6:$W$10005,$W1947)&gt;0),N(U1946),N(U1946)+1))</f>
        <v/>
      </c>
      <c r="V1947" s="19">
        <f>IF($B1947="","",TEXT($B1947,"0000"))</f>
        <v/>
      </c>
      <c r="W1947" s="19">
        <f>IF($I1947="","",IF(ISNUMBER($I1947),TEXT($I1947,"0"),$I1947))</f>
        <v/>
      </c>
    </row>
    <row r="1948">
      <c r="B1948" s="25" t="n"/>
      <c r="I1948" s="25" t="n"/>
      <c r="U1948" s="19">
        <f>IF($V1948&lt;&gt;'設定'!$C$4,N(U1947),IF(OR(NOT(COUNTIF('商品マスタ'!$B$6:$B$1005,$W1948)=0),COUNTIFS('①在庫を貼る'!$V$6:$V$10005,$V1948,'①在庫を貼る'!$W$6:$W$10005,$W1948)+COUNTIFS('月1回_1ヶ月前の在庫'!$V$6:$V$10005,$V1948,'月1回_1ヶ月前の在庫'!$W$6:$W$10005,$W1948)&gt;0),N(U1947),N(U1947)+1))</f>
        <v/>
      </c>
      <c r="V1948" s="19">
        <f>IF($B1948="","",TEXT($B1948,"0000"))</f>
        <v/>
      </c>
      <c r="W1948" s="19">
        <f>IF($I1948="","",IF(ISNUMBER($I1948),TEXT($I1948,"0"),$I1948))</f>
        <v/>
      </c>
    </row>
    <row r="1949">
      <c r="B1949" s="25" t="n"/>
      <c r="I1949" s="25" t="n"/>
      <c r="U1949" s="19">
        <f>IF($V1949&lt;&gt;'設定'!$C$4,N(U1948),IF(OR(NOT(COUNTIF('商品マスタ'!$B$6:$B$1005,$W1949)=0),COUNTIFS('①在庫を貼る'!$V$6:$V$10005,$V1949,'①在庫を貼る'!$W$6:$W$10005,$W1949)+COUNTIFS('月1回_1ヶ月前の在庫'!$V$6:$V$10005,$V1949,'月1回_1ヶ月前の在庫'!$W$6:$W$10005,$W1949)&gt;0),N(U1948),N(U1948)+1))</f>
        <v/>
      </c>
      <c r="V1949" s="19">
        <f>IF($B1949="","",TEXT($B1949,"0000"))</f>
        <v/>
      </c>
      <c r="W1949" s="19">
        <f>IF($I1949="","",IF(ISNUMBER($I1949),TEXT($I1949,"0"),$I1949))</f>
        <v/>
      </c>
    </row>
    <row r="1950">
      <c r="B1950" s="25" t="n"/>
      <c r="I1950" s="25" t="n"/>
      <c r="U1950" s="19">
        <f>IF($V1950&lt;&gt;'設定'!$C$4,N(U1949),IF(OR(NOT(COUNTIF('商品マスタ'!$B$6:$B$1005,$W1950)=0),COUNTIFS('①在庫を貼る'!$V$6:$V$10005,$V1950,'①在庫を貼る'!$W$6:$W$10005,$W1950)+COUNTIFS('月1回_1ヶ月前の在庫'!$V$6:$V$10005,$V1950,'月1回_1ヶ月前の在庫'!$W$6:$W$10005,$W1950)&gt;0),N(U1949),N(U1949)+1))</f>
        <v/>
      </c>
      <c r="V1950" s="19">
        <f>IF($B1950="","",TEXT($B1950,"0000"))</f>
        <v/>
      </c>
      <c r="W1950" s="19">
        <f>IF($I1950="","",IF(ISNUMBER($I1950),TEXT($I1950,"0"),$I1950))</f>
        <v/>
      </c>
    </row>
    <row r="1951">
      <c r="B1951" s="25" t="n"/>
      <c r="I1951" s="25" t="n"/>
      <c r="U1951" s="19">
        <f>IF($V1951&lt;&gt;'設定'!$C$4,N(U1950),IF(OR(NOT(COUNTIF('商品マスタ'!$B$6:$B$1005,$W1951)=0),COUNTIFS('①在庫を貼る'!$V$6:$V$10005,$V1951,'①在庫を貼る'!$W$6:$W$10005,$W1951)+COUNTIFS('月1回_1ヶ月前の在庫'!$V$6:$V$10005,$V1951,'月1回_1ヶ月前の在庫'!$W$6:$W$10005,$W1951)&gt;0),N(U1950),N(U1950)+1))</f>
        <v/>
      </c>
      <c r="V1951" s="19">
        <f>IF($B1951="","",TEXT($B1951,"0000"))</f>
        <v/>
      </c>
      <c r="W1951" s="19">
        <f>IF($I1951="","",IF(ISNUMBER($I1951),TEXT($I1951,"0"),$I1951))</f>
        <v/>
      </c>
    </row>
    <row r="1952">
      <c r="B1952" s="25" t="n"/>
      <c r="I1952" s="25" t="n"/>
      <c r="U1952" s="19">
        <f>IF($V1952&lt;&gt;'設定'!$C$4,N(U1951),IF(OR(NOT(COUNTIF('商品マスタ'!$B$6:$B$1005,$W1952)=0),COUNTIFS('①在庫を貼る'!$V$6:$V$10005,$V1952,'①在庫を貼る'!$W$6:$W$10005,$W1952)+COUNTIFS('月1回_1ヶ月前の在庫'!$V$6:$V$10005,$V1952,'月1回_1ヶ月前の在庫'!$W$6:$W$10005,$W1952)&gt;0),N(U1951),N(U1951)+1))</f>
        <v/>
      </c>
      <c r="V1952" s="19">
        <f>IF($B1952="","",TEXT($B1952,"0000"))</f>
        <v/>
      </c>
      <c r="W1952" s="19">
        <f>IF($I1952="","",IF(ISNUMBER($I1952),TEXT($I1952,"0"),$I1952))</f>
        <v/>
      </c>
    </row>
    <row r="1953">
      <c r="B1953" s="25" t="n"/>
      <c r="I1953" s="25" t="n"/>
      <c r="U1953" s="19">
        <f>IF($V1953&lt;&gt;'設定'!$C$4,N(U1952),IF(OR(NOT(COUNTIF('商品マスタ'!$B$6:$B$1005,$W1953)=0),COUNTIFS('①在庫を貼る'!$V$6:$V$10005,$V1953,'①在庫を貼る'!$W$6:$W$10005,$W1953)+COUNTIFS('月1回_1ヶ月前の在庫'!$V$6:$V$10005,$V1953,'月1回_1ヶ月前の在庫'!$W$6:$W$10005,$W1953)&gt;0),N(U1952),N(U1952)+1))</f>
        <v/>
      </c>
      <c r="V1953" s="19">
        <f>IF($B1953="","",TEXT($B1953,"0000"))</f>
        <v/>
      </c>
      <c r="W1953" s="19">
        <f>IF($I1953="","",IF(ISNUMBER($I1953),TEXT($I1953,"0"),$I1953))</f>
        <v/>
      </c>
    </row>
    <row r="1954">
      <c r="B1954" s="25" t="n"/>
      <c r="I1954" s="25" t="n"/>
      <c r="U1954" s="19">
        <f>IF($V1954&lt;&gt;'設定'!$C$4,N(U1953),IF(OR(NOT(COUNTIF('商品マスタ'!$B$6:$B$1005,$W1954)=0),COUNTIFS('①在庫を貼る'!$V$6:$V$10005,$V1954,'①在庫を貼る'!$W$6:$W$10005,$W1954)+COUNTIFS('月1回_1ヶ月前の在庫'!$V$6:$V$10005,$V1954,'月1回_1ヶ月前の在庫'!$W$6:$W$10005,$W1954)&gt;0),N(U1953),N(U1953)+1))</f>
        <v/>
      </c>
      <c r="V1954" s="19">
        <f>IF($B1954="","",TEXT($B1954,"0000"))</f>
        <v/>
      </c>
      <c r="W1954" s="19">
        <f>IF($I1954="","",IF(ISNUMBER($I1954),TEXT($I1954,"0"),$I1954))</f>
        <v/>
      </c>
    </row>
    <row r="1955">
      <c r="B1955" s="25" t="n"/>
      <c r="I1955" s="25" t="n"/>
      <c r="U1955" s="19">
        <f>IF($V1955&lt;&gt;'設定'!$C$4,N(U1954),IF(OR(NOT(COUNTIF('商品マスタ'!$B$6:$B$1005,$W1955)=0),COUNTIFS('①在庫を貼る'!$V$6:$V$10005,$V1955,'①在庫を貼る'!$W$6:$W$10005,$W1955)+COUNTIFS('月1回_1ヶ月前の在庫'!$V$6:$V$10005,$V1955,'月1回_1ヶ月前の在庫'!$W$6:$W$10005,$W1955)&gt;0),N(U1954),N(U1954)+1))</f>
        <v/>
      </c>
      <c r="V1955" s="19">
        <f>IF($B1955="","",TEXT($B1955,"0000"))</f>
        <v/>
      </c>
      <c r="W1955" s="19">
        <f>IF($I1955="","",IF(ISNUMBER($I1955),TEXT($I1955,"0"),$I1955))</f>
        <v/>
      </c>
    </row>
    <row r="1956">
      <c r="B1956" s="25" t="n"/>
      <c r="I1956" s="25" t="n"/>
      <c r="U1956" s="19">
        <f>IF($V1956&lt;&gt;'設定'!$C$4,N(U1955),IF(OR(NOT(COUNTIF('商品マスタ'!$B$6:$B$1005,$W1956)=0),COUNTIFS('①在庫を貼る'!$V$6:$V$10005,$V1956,'①在庫を貼る'!$W$6:$W$10005,$W1956)+COUNTIFS('月1回_1ヶ月前の在庫'!$V$6:$V$10005,$V1956,'月1回_1ヶ月前の在庫'!$W$6:$W$10005,$W1956)&gt;0),N(U1955),N(U1955)+1))</f>
        <v/>
      </c>
      <c r="V1956" s="19">
        <f>IF($B1956="","",TEXT($B1956,"0000"))</f>
        <v/>
      </c>
      <c r="W1956" s="19">
        <f>IF($I1956="","",IF(ISNUMBER($I1956),TEXT($I1956,"0"),$I1956))</f>
        <v/>
      </c>
    </row>
    <row r="1957">
      <c r="B1957" s="25" t="n"/>
      <c r="I1957" s="25" t="n"/>
      <c r="U1957" s="19">
        <f>IF($V1957&lt;&gt;'設定'!$C$4,N(U1956),IF(OR(NOT(COUNTIF('商品マスタ'!$B$6:$B$1005,$W1957)=0),COUNTIFS('①在庫を貼る'!$V$6:$V$10005,$V1957,'①在庫を貼る'!$W$6:$W$10005,$W1957)+COUNTIFS('月1回_1ヶ月前の在庫'!$V$6:$V$10005,$V1957,'月1回_1ヶ月前の在庫'!$W$6:$W$10005,$W1957)&gt;0),N(U1956),N(U1956)+1))</f>
        <v/>
      </c>
      <c r="V1957" s="19">
        <f>IF($B1957="","",TEXT($B1957,"0000"))</f>
        <v/>
      </c>
      <c r="W1957" s="19">
        <f>IF($I1957="","",IF(ISNUMBER($I1957),TEXT($I1957,"0"),$I1957))</f>
        <v/>
      </c>
    </row>
    <row r="1958">
      <c r="B1958" s="25" t="n"/>
      <c r="I1958" s="25" t="n"/>
      <c r="U1958" s="19">
        <f>IF($V1958&lt;&gt;'設定'!$C$4,N(U1957),IF(OR(NOT(COUNTIF('商品マスタ'!$B$6:$B$1005,$W1958)=0),COUNTIFS('①在庫を貼る'!$V$6:$V$10005,$V1958,'①在庫を貼る'!$W$6:$W$10005,$W1958)+COUNTIFS('月1回_1ヶ月前の在庫'!$V$6:$V$10005,$V1958,'月1回_1ヶ月前の在庫'!$W$6:$W$10005,$W1958)&gt;0),N(U1957),N(U1957)+1))</f>
        <v/>
      </c>
      <c r="V1958" s="19">
        <f>IF($B1958="","",TEXT($B1958,"0000"))</f>
        <v/>
      </c>
      <c r="W1958" s="19">
        <f>IF($I1958="","",IF(ISNUMBER($I1958),TEXT($I1958,"0"),$I1958))</f>
        <v/>
      </c>
    </row>
    <row r="1959">
      <c r="B1959" s="25" t="n"/>
      <c r="I1959" s="25" t="n"/>
      <c r="U1959" s="19">
        <f>IF($V1959&lt;&gt;'設定'!$C$4,N(U1958),IF(OR(NOT(COUNTIF('商品マスタ'!$B$6:$B$1005,$W1959)=0),COUNTIFS('①在庫を貼る'!$V$6:$V$10005,$V1959,'①在庫を貼る'!$W$6:$W$10005,$W1959)+COUNTIFS('月1回_1ヶ月前の在庫'!$V$6:$V$10005,$V1959,'月1回_1ヶ月前の在庫'!$W$6:$W$10005,$W1959)&gt;0),N(U1958),N(U1958)+1))</f>
        <v/>
      </c>
      <c r="V1959" s="19">
        <f>IF($B1959="","",TEXT($B1959,"0000"))</f>
        <v/>
      </c>
      <c r="W1959" s="19">
        <f>IF($I1959="","",IF(ISNUMBER($I1959),TEXT($I1959,"0"),$I1959))</f>
        <v/>
      </c>
    </row>
    <row r="1960">
      <c r="B1960" s="25" t="n"/>
      <c r="I1960" s="25" t="n"/>
      <c r="U1960" s="19">
        <f>IF($V1960&lt;&gt;'設定'!$C$4,N(U1959),IF(OR(NOT(COUNTIF('商品マスタ'!$B$6:$B$1005,$W1960)=0),COUNTIFS('①在庫を貼る'!$V$6:$V$10005,$V1960,'①在庫を貼る'!$W$6:$W$10005,$W1960)+COUNTIFS('月1回_1ヶ月前の在庫'!$V$6:$V$10005,$V1960,'月1回_1ヶ月前の在庫'!$W$6:$W$10005,$W1960)&gt;0),N(U1959),N(U1959)+1))</f>
        <v/>
      </c>
      <c r="V1960" s="19">
        <f>IF($B1960="","",TEXT($B1960,"0000"))</f>
        <v/>
      </c>
      <c r="W1960" s="19">
        <f>IF($I1960="","",IF(ISNUMBER($I1960),TEXT($I1960,"0"),$I1960))</f>
        <v/>
      </c>
    </row>
    <row r="1961">
      <c r="B1961" s="25" t="n"/>
      <c r="I1961" s="25" t="n"/>
      <c r="U1961" s="19">
        <f>IF($V1961&lt;&gt;'設定'!$C$4,N(U1960),IF(OR(NOT(COUNTIF('商品マスタ'!$B$6:$B$1005,$W1961)=0),COUNTIFS('①在庫を貼る'!$V$6:$V$10005,$V1961,'①在庫を貼る'!$W$6:$W$10005,$W1961)+COUNTIFS('月1回_1ヶ月前の在庫'!$V$6:$V$10005,$V1961,'月1回_1ヶ月前の在庫'!$W$6:$W$10005,$W1961)&gt;0),N(U1960),N(U1960)+1))</f>
        <v/>
      </c>
      <c r="V1961" s="19">
        <f>IF($B1961="","",TEXT($B1961,"0000"))</f>
        <v/>
      </c>
      <c r="W1961" s="19">
        <f>IF($I1961="","",IF(ISNUMBER($I1961),TEXT($I1961,"0"),$I1961))</f>
        <v/>
      </c>
    </row>
    <row r="1962">
      <c r="B1962" s="25" t="n"/>
      <c r="I1962" s="25" t="n"/>
      <c r="U1962" s="19">
        <f>IF($V1962&lt;&gt;'設定'!$C$4,N(U1961),IF(OR(NOT(COUNTIF('商品マスタ'!$B$6:$B$1005,$W1962)=0),COUNTIFS('①在庫を貼る'!$V$6:$V$10005,$V1962,'①在庫を貼る'!$W$6:$W$10005,$W1962)+COUNTIFS('月1回_1ヶ月前の在庫'!$V$6:$V$10005,$V1962,'月1回_1ヶ月前の在庫'!$W$6:$W$10005,$W1962)&gt;0),N(U1961),N(U1961)+1))</f>
        <v/>
      </c>
      <c r="V1962" s="19">
        <f>IF($B1962="","",TEXT($B1962,"0000"))</f>
        <v/>
      </c>
      <c r="W1962" s="19">
        <f>IF($I1962="","",IF(ISNUMBER($I1962),TEXT($I1962,"0"),$I1962))</f>
        <v/>
      </c>
    </row>
    <row r="1963">
      <c r="B1963" s="25" t="n"/>
      <c r="I1963" s="25" t="n"/>
      <c r="U1963" s="19">
        <f>IF($V1963&lt;&gt;'設定'!$C$4,N(U1962),IF(OR(NOT(COUNTIF('商品マスタ'!$B$6:$B$1005,$W1963)=0),COUNTIFS('①在庫を貼る'!$V$6:$V$10005,$V1963,'①在庫を貼る'!$W$6:$W$10005,$W1963)+COUNTIFS('月1回_1ヶ月前の在庫'!$V$6:$V$10005,$V1963,'月1回_1ヶ月前の在庫'!$W$6:$W$10005,$W1963)&gt;0),N(U1962),N(U1962)+1))</f>
        <v/>
      </c>
      <c r="V1963" s="19">
        <f>IF($B1963="","",TEXT($B1963,"0000"))</f>
        <v/>
      </c>
      <c r="W1963" s="19">
        <f>IF($I1963="","",IF(ISNUMBER($I1963),TEXT($I1963,"0"),$I1963))</f>
        <v/>
      </c>
    </row>
    <row r="1964">
      <c r="B1964" s="25" t="n"/>
      <c r="I1964" s="25" t="n"/>
      <c r="U1964" s="19">
        <f>IF($V1964&lt;&gt;'設定'!$C$4,N(U1963),IF(OR(NOT(COUNTIF('商品マスタ'!$B$6:$B$1005,$W1964)=0),COUNTIFS('①在庫を貼る'!$V$6:$V$10005,$V1964,'①在庫を貼る'!$W$6:$W$10005,$W1964)+COUNTIFS('月1回_1ヶ月前の在庫'!$V$6:$V$10005,$V1964,'月1回_1ヶ月前の在庫'!$W$6:$W$10005,$W1964)&gt;0),N(U1963),N(U1963)+1))</f>
        <v/>
      </c>
      <c r="V1964" s="19">
        <f>IF($B1964="","",TEXT($B1964,"0000"))</f>
        <v/>
      </c>
      <c r="W1964" s="19">
        <f>IF($I1964="","",IF(ISNUMBER($I1964),TEXT($I1964,"0"),$I1964))</f>
        <v/>
      </c>
    </row>
    <row r="1965">
      <c r="B1965" s="25" t="n"/>
      <c r="I1965" s="25" t="n"/>
      <c r="U1965" s="19">
        <f>IF($V1965&lt;&gt;'設定'!$C$4,N(U1964),IF(OR(NOT(COUNTIF('商品マスタ'!$B$6:$B$1005,$W1965)=0),COUNTIFS('①在庫を貼る'!$V$6:$V$10005,$V1965,'①在庫を貼る'!$W$6:$W$10005,$W1965)+COUNTIFS('月1回_1ヶ月前の在庫'!$V$6:$V$10005,$V1965,'月1回_1ヶ月前の在庫'!$W$6:$W$10005,$W1965)&gt;0),N(U1964),N(U1964)+1))</f>
        <v/>
      </c>
      <c r="V1965" s="19">
        <f>IF($B1965="","",TEXT($B1965,"0000"))</f>
        <v/>
      </c>
      <c r="W1965" s="19">
        <f>IF($I1965="","",IF(ISNUMBER($I1965),TEXT($I1965,"0"),$I1965))</f>
        <v/>
      </c>
    </row>
    <row r="1966">
      <c r="B1966" s="25" t="n"/>
      <c r="I1966" s="25" t="n"/>
      <c r="U1966" s="19">
        <f>IF($V1966&lt;&gt;'設定'!$C$4,N(U1965),IF(OR(NOT(COUNTIF('商品マスタ'!$B$6:$B$1005,$W1966)=0),COUNTIFS('①在庫を貼る'!$V$6:$V$10005,$V1966,'①在庫を貼る'!$W$6:$W$10005,$W1966)+COUNTIFS('月1回_1ヶ月前の在庫'!$V$6:$V$10005,$V1966,'月1回_1ヶ月前の在庫'!$W$6:$W$10005,$W1966)&gt;0),N(U1965),N(U1965)+1))</f>
        <v/>
      </c>
      <c r="V1966" s="19">
        <f>IF($B1966="","",TEXT($B1966,"0000"))</f>
        <v/>
      </c>
      <c r="W1966" s="19">
        <f>IF($I1966="","",IF(ISNUMBER($I1966),TEXT($I1966,"0"),$I1966))</f>
        <v/>
      </c>
    </row>
    <row r="1967">
      <c r="B1967" s="25" t="n"/>
      <c r="I1967" s="25" t="n"/>
      <c r="U1967" s="19">
        <f>IF($V1967&lt;&gt;'設定'!$C$4,N(U1966),IF(OR(NOT(COUNTIF('商品マスタ'!$B$6:$B$1005,$W1967)=0),COUNTIFS('①在庫を貼る'!$V$6:$V$10005,$V1967,'①在庫を貼る'!$W$6:$W$10005,$W1967)+COUNTIFS('月1回_1ヶ月前の在庫'!$V$6:$V$10005,$V1967,'月1回_1ヶ月前の在庫'!$W$6:$W$10005,$W1967)&gt;0),N(U1966),N(U1966)+1))</f>
        <v/>
      </c>
      <c r="V1967" s="19">
        <f>IF($B1967="","",TEXT($B1967,"0000"))</f>
        <v/>
      </c>
      <c r="W1967" s="19">
        <f>IF($I1967="","",IF(ISNUMBER($I1967),TEXT($I1967,"0"),$I1967))</f>
        <v/>
      </c>
    </row>
    <row r="1968">
      <c r="B1968" s="25" t="n"/>
      <c r="I1968" s="25" t="n"/>
      <c r="U1968" s="19">
        <f>IF($V1968&lt;&gt;'設定'!$C$4,N(U1967),IF(OR(NOT(COUNTIF('商品マスタ'!$B$6:$B$1005,$W1968)=0),COUNTIFS('①在庫を貼る'!$V$6:$V$10005,$V1968,'①在庫を貼る'!$W$6:$W$10005,$W1968)+COUNTIFS('月1回_1ヶ月前の在庫'!$V$6:$V$10005,$V1968,'月1回_1ヶ月前の在庫'!$W$6:$W$10005,$W1968)&gt;0),N(U1967),N(U1967)+1))</f>
        <v/>
      </c>
      <c r="V1968" s="19">
        <f>IF($B1968="","",TEXT($B1968,"0000"))</f>
        <v/>
      </c>
      <c r="W1968" s="19">
        <f>IF($I1968="","",IF(ISNUMBER($I1968),TEXT($I1968,"0"),$I1968))</f>
        <v/>
      </c>
    </row>
    <row r="1969">
      <c r="B1969" s="25" t="n"/>
      <c r="I1969" s="25" t="n"/>
      <c r="U1969" s="19">
        <f>IF($V1969&lt;&gt;'設定'!$C$4,N(U1968),IF(OR(NOT(COUNTIF('商品マスタ'!$B$6:$B$1005,$W1969)=0),COUNTIFS('①在庫を貼る'!$V$6:$V$10005,$V1969,'①在庫を貼る'!$W$6:$W$10005,$W1969)+COUNTIFS('月1回_1ヶ月前の在庫'!$V$6:$V$10005,$V1969,'月1回_1ヶ月前の在庫'!$W$6:$W$10005,$W1969)&gt;0),N(U1968),N(U1968)+1))</f>
        <v/>
      </c>
      <c r="V1969" s="19">
        <f>IF($B1969="","",TEXT($B1969,"0000"))</f>
        <v/>
      </c>
      <c r="W1969" s="19">
        <f>IF($I1969="","",IF(ISNUMBER($I1969),TEXT($I1969,"0"),$I1969))</f>
        <v/>
      </c>
    </row>
    <row r="1970">
      <c r="B1970" s="25" t="n"/>
      <c r="I1970" s="25" t="n"/>
      <c r="U1970" s="19">
        <f>IF($V1970&lt;&gt;'設定'!$C$4,N(U1969),IF(OR(NOT(COUNTIF('商品マスタ'!$B$6:$B$1005,$W1970)=0),COUNTIFS('①在庫を貼る'!$V$6:$V$10005,$V1970,'①在庫を貼る'!$W$6:$W$10005,$W1970)+COUNTIFS('月1回_1ヶ月前の在庫'!$V$6:$V$10005,$V1970,'月1回_1ヶ月前の在庫'!$W$6:$W$10005,$W1970)&gt;0),N(U1969),N(U1969)+1))</f>
        <v/>
      </c>
      <c r="V1970" s="19">
        <f>IF($B1970="","",TEXT($B1970,"0000"))</f>
        <v/>
      </c>
      <c r="W1970" s="19">
        <f>IF($I1970="","",IF(ISNUMBER($I1970),TEXT($I1970,"0"),$I1970))</f>
        <v/>
      </c>
    </row>
    <row r="1971">
      <c r="B1971" s="25" t="n"/>
      <c r="I1971" s="25" t="n"/>
      <c r="U1971" s="19">
        <f>IF($V1971&lt;&gt;'設定'!$C$4,N(U1970),IF(OR(NOT(COUNTIF('商品マスタ'!$B$6:$B$1005,$W1971)=0),COUNTIFS('①在庫を貼る'!$V$6:$V$10005,$V1971,'①在庫を貼る'!$W$6:$W$10005,$W1971)+COUNTIFS('月1回_1ヶ月前の在庫'!$V$6:$V$10005,$V1971,'月1回_1ヶ月前の在庫'!$W$6:$W$10005,$W1971)&gt;0),N(U1970),N(U1970)+1))</f>
        <v/>
      </c>
      <c r="V1971" s="19">
        <f>IF($B1971="","",TEXT($B1971,"0000"))</f>
        <v/>
      </c>
      <c r="W1971" s="19">
        <f>IF($I1971="","",IF(ISNUMBER($I1971),TEXT($I1971,"0"),$I1971))</f>
        <v/>
      </c>
    </row>
    <row r="1972">
      <c r="B1972" s="25" t="n"/>
      <c r="I1972" s="25" t="n"/>
      <c r="U1972" s="19">
        <f>IF($V1972&lt;&gt;'設定'!$C$4,N(U1971),IF(OR(NOT(COUNTIF('商品マスタ'!$B$6:$B$1005,$W1972)=0),COUNTIFS('①在庫を貼る'!$V$6:$V$10005,$V1972,'①在庫を貼る'!$W$6:$W$10005,$W1972)+COUNTIFS('月1回_1ヶ月前の在庫'!$V$6:$V$10005,$V1972,'月1回_1ヶ月前の在庫'!$W$6:$W$10005,$W1972)&gt;0),N(U1971),N(U1971)+1))</f>
        <v/>
      </c>
      <c r="V1972" s="19">
        <f>IF($B1972="","",TEXT($B1972,"0000"))</f>
        <v/>
      </c>
      <c r="W1972" s="19">
        <f>IF($I1972="","",IF(ISNUMBER($I1972),TEXT($I1972,"0"),$I1972))</f>
        <v/>
      </c>
    </row>
    <row r="1973">
      <c r="B1973" s="25" t="n"/>
      <c r="I1973" s="25" t="n"/>
      <c r="U1973" s="19">
        <f>IF($V1973&lt;&gt;'設定'!$C$4,N(U1972),IF(OR(NOT(COUNTIF('商品マスタ'!$B$6:$B$1005,$W1973)=0),COUNTIFS('①在庫を貼る'!$V$6:$V$10005,$V1973,'①在庫を貼る'!$W$6:$W$10005,$W1973)+COUNTIFS('月1回_1ヶ月前の在庫'!$V$6:$V$10005,$V1973,'月1回_1ヶ月前の在庫'!$W$6:$W$10005,$W1973)&gt;0),N(U1972),N(U1972)+1))</f>
        <v/>
      </c>
      <c r="V1973" s="19">
        <f>IF($B1973="","",TEXT($B1973,"0000"))</f>
        <v/>
      </c>
      <c r="W1973" s="19">
        <f>IF($I1973="","",IF(ISNUMBER($I1973),TEXT($I1973,"0"),$I1973))</f>
        <v/>
      </c>
    </row>
    <row r="1974">
      <c r="B1974" s="25" t="n"/>
      <c r="I1974" s="25" t="n"/>
      <c r="U1974" s="19">
        <f>IF($V1974&lt;&gt;'設定'!$C$4,N(U1973),IF(OR(NOT(COUNTIF('商品マスタ'!$B$6:$B$1005,$W1974)=0),COUNTIFS('①在庫を貼る'!$V$6:$V$10005,$V1974,'①在庫を貼る'!$W$6:$W$10005,$W1974)+COUNTIFS('月1回_1ヶ月前の在庫'!$V$6:$V$10005,$V1974,'月1回_1ヶ月前の在庫'!$W$6:$W$10005,$W1974)&gt;0),N(U1973),N(U1973)+1))</f>
        <v/>
      </c>
      <c r="V1974" s="19">
        <f>IF($B1974="","",TEXT($B1974,"0000"))</f>
        <v/>
      </c>
      <c r="W1974" s="19">
        <f>IF($I1974="","",IF(ISNUMBER($I1974),TEXT($I1974,"0"),$I1974))</f>
        <v/>
      </c>
    </row>
    <row r="1975">
      <c r="B1975" s="25" t="n"/>
      <c r="I1975" s="25" t="n"/>
      <c r="U1975" s="19">
        <f>IF($V1975&lt;&gt;'設定'!$C$4,N(U1974),IF(OR(NOT(COUNTIF('商品マスタ'!$B$6:$B$1005,$W1975)=0),COUNTIFS('①在庫を貼る'!$V$6:$V$10005,$V1975,'①在庫を貼る'!$W$6:$W$10005,$W1975)+COUNTIFS('月1回_1ヶ月前の在庫'!$V$6:$V$10005,$V1975,'月1回_1ヶ月前の在庫'!$W$6:$W$10005,$W1975)&gt;0),N(U1974),N(U1974)+1))</f>
        <v/>
      </c>
      <c r="V1975" s="19">
        <f>IF($B1975="","",TEXT($B1975,"0000"))</f>
        <v/>
      </c>
      <c r="W1975" s="19">
        <f>IF($I1975="","",IF(ISNUMBER($I1975),TEXT($I1975,"0"),$I1975))</f>
        <v/>
      </c>
    </row>
    <row r="1976">
      <c r="B1976" s="25" t="n"/>
      <c r="I1976" s="25" t="n"/>
      <c r="U1976" s="19">
        <f>IF($V1976&lt;&gt;'設定'!$C$4,N(U1975),IF(OR(NOT(COUNTIF('商品マスタ'!$B$6:$B$1005,$W1976)=0),COUNTIFS('①在庫を貼る'!$V$6:$V$10005,$V1976,'①在庫を貼る'!$W$6:$W$10005,$W1976)+COUNTIFS('月1回_1ヶ月前の在庫'!$V$6:$V$10005,$V1976,'月1回_1ヶ月前の在庫'!$W$6:$W$10005,$W1976)&gt;0),N(U1975),N(U1975)+1))</f>
        <v/>
      </c>
      <c r="V1976" s="19">
        <f>IF($B1976="","",TEXT($B1976,"0000"))</f>
        <v/>
      </c>
      <c r="W1976" s="19">
        <f>IF($I1976="","",IF(ISNUMBER($I1976),TEXT($I1976,"0"),$I1976))</f>
        <v/>
      </c>
    </row>
    <row r="1977">
      <c r="B1977" s="25" t="n"/>
      <c r="I1977" s="25" t="n"/>
      <c r="U1977" s="19">
        <f>IF($V1977&lt;&gt;'設定'!$C$4,N(U1976),IF(OR(NOT(COUNTIF('商品マスタ'!$B$6:$B$1005,$W1977)=0),COUNTIFS('①在庫を貼る'!$V$6:$V$10005,$V1977,'①在庫を貼る'!$W$6:$W$10005,$W1977)+COUNTIFS('月1回_1ヶ月前の在庫'!$V$6:$V$10005,$V1977,'月1回_1ヶ月前の在庫'!$W$6:$W$10005,$W1977)&gt;0),N(U1976),N(U1976)+1))</f>
        <v/>
      </c>
      <c r="V1977" s="19">
        <f>IF($B1977="","",TEXT($B1977,"0000"))</f>
        <v/>
      </c>
      <c r="W1977" s="19">
        <f>IF($I1977="","",IF(ISNUMBER($I1977),TEXT($I1977,"0"),$I1977))</f>
        <v/>
      </c>
    </row>
    <row r="1978">
      <c r="B1978" s="25" t="n"/>
      <c r="I1978" s="25" t="n"/>
      <c r="U1978" s="19">
        <f>IF($V1978&lt;&gt;'設定'!$C$4,N(U1977),IF(OR(NOT(COUNTIF('商品マスタ'!$B$6:$B$1005,$W1978)=0),COUNTIFS('①在庫を貼る'!$V$6:$V$10005,$V1978,'①在庫を貼る'!$W$6:$W$10005,$W1978)+COUNTIFS('月1回_1ヶ月前の在庫'!$V$6:$V$10005,$V1978,'月1回_1ヶ月前の在庫'!$W$6:$W$10005,$W1978)&gt;0),N(U1977),N(U1977)+1))</f>
        <v/>
      </c>
      <c r="V1978" s="19">
        <f>IF($B1978="","",TEXT($B1978,"0000"))</f>
        <v/>
      </c>
      <c r="W1978" s="19">
        <f>IF($I1978="","",IF(ISNUMBER($I1978),TEXT($I1978,"0"),$I1978))</f>
        <v/>
      </c>
    </row>
    <row r="1979">
      <c r="B1979" s="25" t="n"/>
      <c r="I1979" s="25" t="n"/>
      <c r="U1979" s="19">
        <f>IF($V1979&lt;&gt;'設定'!$C$4,N(U1978),IF(OR(NOT(COUNTIF('商品マスタ'!$B$6:$B$1005,$W1979)=0),COUNTIFS('①在庫を貼る'!$V$6:$V$10005,$V1979,'①在庫を貼る'!$W$6:$W$10005,$W1979)+COUNTIFS('月1回_1ヶ月前の在庫'!$V$6:$V$10005,$V1979,'月1回_1ヶ月前の在庫'!$W$6:$W$10005,$W1979)&gt;0),N(U1978),N(U1978)+1))</f>
        <v/>
      </c>
      <c r="V1979" s="19">
        <f>IF($B1979="","",TEXT($B1979,"0000"))</f>
        <v/>
      </c>
      <c r="W1979" s="19">
        <f>IF($I1979="","",IF(ISNUMBER($I1979),TEXT($I1979,"0"),$I1979))</f>
        <v/>
      </c>
    </row>
    <row r="1980">
      <c r="B1980" s="25" t="n"/>
      <c r="I1980" s="25" t="n"/>
      <c r="U1980" s="19">
        <f>IF($V1980&lt;&gt;'設定'!$C$4,N(U1979),IF(OR(NOT(COUNTIF('商品マスタ'!$B$6:$B$1005,$W1980)=0),COUNTIFS('①在庫を貼る'!$V$6:$V$10005,$V1980,'①在庫を貼る'!$W$6:$W$10005,$W1980)+COUNTIFS('月1回_1ヶ月前の在庫'!$V$6:$V$10005,$V1980,'月1回_1ヶ月前の在庫'!$W$6:$W$10005,$W1980)&gt;0),N(U1979),N(U1979)+1))</f>
        <v/>
      </c>
      <c r="V1980" s="19">
        <f>IF($B1980="","",TEXT($B1980,"0000"))</f>
        <v/>
      </c>
      <c r="W1980" s="19">
        <f>IF($I1980="","",IF(ISNUMBER($I1980),TEXT($I1980,"0"),$I1980))</f>
        <v/>
      </c>
    </row>
    <row r="1981">
      <c r="B1981" s="25" t="n"/>
      <c r="I1981" s="25" t="n"/>
      <c r="U1981" s="19">
        <f>IF($V1981&lt;&gt;'設定'!$C$4,N(U1980),IF(OR(NOT(COUNTIF('商品マスタ'!$B$6:$B$1005,$W1981)=0),COUNTIFS('①在庫を貼る'!$V$6:$V$10005,$V1981,'①在庫を貼る'!$W$6:$W$10005,$W1981)+COUNTIFS('月1回_1ヶ月前の在庫'!$V$6:$V$10005,$V1981,'月1回_1ヶ月前の在庫'!$W$6:$W$10005,$W1981)&gt;0),N(U1980),N(U1980)+1))</f>
        <v/>
      </c>
      <c r="V1981" s="19">
        <f>IF($B1981="","",TEXT($B1981,"0000"))</f>
        <v/>
      </c>
      <c r="W1981" s="19">
        <f>IF($I1981="","",IF(ISNUMBER($I1981),TEXT($I1981,"0"),$I1981))</f>
        <v/>
      </c>
    </row>
    <row r="1982">
      <c r="B1982" s="25" t="n"/>
      <c r="I1982" s="25" t="n"/>
      <c r="U1982" s="19">
        <f>IF($V1982&lt;&gt;'設定'!$C$4,N(U1981),IF(OR(NOT(COUNTIF('商品マスタ'!$B$6:$B$1005,$W1982)=0),COUNTIFS('①在庫を貼る'!$V$6:$V$10005,$V1982,'①在庫を貼る'!$W$6:$W$10005,$W1982)+COUNTIFS('月1回_1ヶ月前の在庫'!$V$6:$V$10005,$V1982,'月1回_1ヶ月前の在庫'!$W$6:$W$10005,$W1982)&gt;0),N(U1981),N(U1981)+1))</f>
        <v/>
      </c>
      <c r="V1982" s="19">
        <f>IF($B1982="","",TEXT($B1982,"0000"))</f>
        <v/>
      </c>
      <c r="W1982" s="19">
        <f>IF($I1982="","",IF(ISNUMBER($I1982),TEXT($I1982,"0"),$I1982))</f>
        <v/>
      </c>
    </row>
    <row r="1983">
      <c r="B1983" s="25" t="n"/>
      <c r="I1983" s="25" t="n"/>
      <c r="U1983" s="19">
        <f>IF($V1983&lt;&gt;'設定'!$C$4,N(U1982),IF(OR(NOT(COUNTIF('商品マスタ'!$B$6:$B$1005,$W1983)=0),COUNTIFS('①在庫を貼る'!$V$6:$V$10005,$V1983,'①在庫を貼る'!$W$6:$W$10005,$W1983)+COUNTIFS('月1回_1ヶ月前の在庫'!$V$6:$V$10005,$V1983,'月1回_1ヶ月前の在庫'!$W$6:$W$10005,$W1983)&gt;0),N(U1982),N(U1982)+1))</f>
        <v/>
      </c>
      <c r="V1983" s="19">
        <f>IF($B1983="","",TEXT($B1983,"0000"))</f>
        <v/>
      </c>
      <c r="W1983" s="19">
        <f>IF($I1983="","",IF(ISNUMBER($I1983),TEXT($I1983,"0"),$I1983))</f>
        <v/>
      </c>
    </row>
    <row r="1984">
      <c r="B1984" s="25" t="n"/>
      <c r="I1984" s="25" t="n"/>
      <c r="U1984" s="19">
        <f>IF($V1984&lt;&gt;'設定'!$C$4,N(U1983),IF(OR(NOT(COUNTIF('商品マスタ'!$B$6:$B$1005,$W1984)=0),COUNTIFS('①在庫を貼る'!$V$6:$V$10005,$V1984,'①在庫を貼る'!$W$6:$W$10005,$W1984)+COUNTIFS('月1回_1ヶ月前の在庫'!$V$6:$V$10005,$V1984,'月1回_1ヶ月前の在庫'!$W$6:$W$10005,$W1984)&gt;0),N(U1983),N(U1983)+1))</f>
        <v/>
      </c>
      <c r="V1984" s="19">
        <f>IF($B1984="","",TEXT($B1984,"0000"))</f>
        <v/>
      </c>
      <c r="W1984" s="19">
        <f>IF($I1984="","",IF(ISNUMBER($I1984),TEXT($I1984,"0"),$I1984))</f>
        <v/>
      </c>
    </row>
    <row r="1985">
      <c r="B1985" s="25" t="n"/>
      <c r="I1985" s="25" t="n"/>
      <c r="U1985" s="19">
        <f>IF($V1985&lt;&gt;'設定'!$C$4,N(U1984),IF(OR(NOT(COUNTIF('商品マスタ'!$B$6:$B$1005,$W1985)=0),COUNTIFS('①在庫を貼る'!$V$6:$V$10005,$V1985,'①在庫を貼る'!$W$6:$W$10005,$W1985)+COUNTIFS('月1回_1ヶ月前の在庫'!$V$6:$V$10005,$V1985,'月1回_1ヶ月前の在庫'!$W$6:$W$10005,$W1985)&gt;0),N(U1984),N(U1984)+1))</f>
        <v/>
      </c>
      <c r="V1985" s="19">
        <f>IF($B1985="","",TEXT($B1985,"0000"))</f>
        <v/>
      </c>
      <c r="W1985" s="19">
        <f>IF($I1985="","",IF(ISNUMBER($I1985),TEXT($I1985,"0"),$I1985))</f>
        <v/>
      </c>
    </row>
    <row r="1986">
      <c r="B1986" s="25" t="n"/>
      <c r="I1986" s="25" t="n"/>
      <c r="U1986" s="19">
        <f>IF($V1986&lt;&gt;'設定'!$C$4,N(U1985),IF(OR(NOT(COUNTIF('商品マスタ'!$B$6:$B$1005,$W1986)=0),COUNTIFS('①在庫を貼る'!$V$6:$V$10005,$V1986,'①在庫を貼る'!$W$6:$W$10005,$W1986)+COUNTIFS('月1回_1ヶ月前の在庫'!$V$6:$V$10005,$V1986,'月1回_1ヶ月前の在庫'!$W$6:$W$10005,$W1986)&gt;0),N(U1985),N(U1985)+1))</f>
        <v/>
      </c>
      <c r="V1986" s="19">
        <f>IF($B1986="","",TEXT($B1986,"0000"))</f>
        <v/>
      </c>
      <c r="W1986" s="19">
        <f>IF($I1986="","",IF(ISNUMBER($I1986),TEXT($I1986,"0"),$I1986))</f>
        <v/>
      </c>
    </row>
    <row r="1987">
      <c r="B1987" s="25" t="n"/>
      <c r="I1987" s="25" t="n"/>
      <c r="U1987" s="19">
        <f>IF($V1987&lt;&gt;'設定'!$C$4,N(U1986),IF(OR(NOT(COUNTIF('商品マスタ'!$B$6:$B$1005,$W1987)=0),COUNTIFS('①在庫を貼る'!$V$6:$V$10005,$V1987,'①在庫を貼る'!$W$6:$W$10005,$W1987)+COUNTIFS('月1回_1ヶ月前の在庫'!$V$6:$V$10005,$V1987,'月1回_1ヶ月前の在庫'!$W$6:$W$10005,$W1987)&gt;0),N(U1986),N(U1986)+1))</f>
        <v/>
      </c>
      <c r="V1987" s="19">
        <f>IF($B1987="","",TEXT($B1987,"0000"))</f>
        <v/>
      </c>
      <c r="W1987" s="19">
        <f>IF($I1987="","",IF(ISNUMBER($I1987),TEXT($I1987,"0"),$I1987))</f>
        <v/>
      </c>
    </row>
    <row r="1988">
      <c r="B1988" s="25" t="n"/>
      <c r="I1988" s="25" t="n"/>
      <c r="U1988" s="19">
        <f>IF($V1988&lt;&gt;'設定'!$C$4,N(U1987),IF(OR(NOT(COUNTIF('商品マスタ'!$B$6:$B$1005,$W1988)=0),COUNTIFS('①在庫を貼る'!$V$6:$V$10005,$V1988,'①在庫を貼る'!$W$6:$W$10005,$W1988)+COUNTIFS('月1回_1ヶ月前の在庫'!$V$6:$V$10005,$V1988,'月1回_1ヶ月前の在庫'!$W$6:$W$10005,$W1988)&gt;0),N(U1987),N(U1987)+1))</f>
        <v/>
      </c>
      <c r="V1988" s="19">
        <f>IF($B1988="","",TEXT($B1988,"0000"))</f>
        <v/>
      </c>
      <c r="W1988" s="19">
        <f>IF($I1988="","",IF(ISNUMBER($I1988),TEXT($I1988,"0"),$I1988))</f>
        <v/>
      </c>
    </row>
    <row r="1989">
      <c r="B1989" s="25" t="n"/>
      <c r="I1989" s="25" t="n"/>
      <c r="U1989" s="19">
        <f>IF($V1989&lt;&gt;'設定'!$C$4,N(U1988),IF(OR(NOT(COUNTIF('商品マスタ'!$B$6:$B$1005,$W1989)=0),COUNTIFS('①在庫を貼る'!$V$6:$V$10005,$V1989,'①在庫を貼る'!$W$6:$W$10005,$W1989)+COUNTIFS('月1回_1ヶ月前の在庫'!$V$6:$V$10005,$V1989,'月1回_1ヶ月前の在庫'!$W$6:$W$10005,$W1989)&gt;0),N(U1988),N(U1988)+1))</f>
        <v/>
      </c>
      <c r="V1989" s="19">
        <f>IF($B1989="","",TEXT($B1989,"0000"))</f>
        <v/>
      </c>
      <c r="W1989" s="19">
        <f>IF($I1989="","",IF(ISNUMBER($I1989),TEXT($I1989,"0"),$I1989))</f>
        <v/>
      </c>
    </row>
    <row r="1990">
      <c r="B1990" s="25" t="n"/>
      <c r="I1990" s="25" t="n"/>
      <c r="U1990" s="19">
        <f>IF($V1990&lt;&gt;'設定'!$C$4,N(U1989),IF(OR(NOT(COUNTIF('商品マスタ'!$B$6:$B$1005,$W1990)=0),COUNTIFS('①在庫を貼る'!$V$6:$V$10005,$V1990,'①在庫を貼る'!$W$6:$W$10005,$W1990)+COUNTIFS('月1回_1ヶ月前の在庫'!$V$6:$V$10005,$V1990,'月1回_1ヶ月前の在庫'!$W$6:$W$10005,$W1990)&gt;0),N(U1989),N(U1989)+1))</f>
        <v/>
      </c>
      <c r="V1990" s="19">
        <f>IF($B1990="","",TEXT($B1990,"0000"))</f>
        <v/>
      </c>
      <c r="W1990" s="19">
        <f>IF($I1990="","",IF(ISNUMBER($I1990),TEXT($I1990,"0"),$I1990))</f>
        <v/>
      </c>
    </row>
    <row r="1991">
      <c r="B1991" s="25" t="n"/>
      <c r="I1991" s="25" t="n"/>
      <c r="U1991" s="19">
        <f>IF($V1991&lt;&gt;'設定'!$C$4,N(U1990),IF(OR(NOT(COUNTIF('商品マスタ'!$B$6:$B$1005,$W1991)=0),COUNTIFS('①在庫を貼る'!$V$6:$V$10005,$V1991,'①在庫を貼る'!$W$6:$W$10005,$W1991)+COUNTIFS('月1回_1ヶ月前の在庫'!$V$6:$V$10005,$V1991,'月1回_1ヶ月前の在庫'!$W$6:$W$10005,$W1991)&gt;0),N(U1990),N(U1990)+1))</f>
        <v/>
      </c>
      <c r="V1991" s="19">
        <f>IF($B1991="","",TEXT($B1991,"0000"))</f>
        <v/>
      </c>
      <c r="W1991" s="19">
        <f>IF($I1991="","",IF(ISNUMBER($I1991),TEXT($I1991,"0"),$I1991))</f>
        <v/>
      </c>
    </row>
    <row r="1992">
      <c r="B1992" s="25" t="n"/>
      <c r="I1992" s="25" t="n"/>
      <c r="U1992" s="19">
        <f>IF($V1992&lt;&gt;'設定'!$C$4,N(U1991),IF(OR(NOT(COUNTIF('商品マスタ'!$B$6:$B$1005,$W1992)=0),COUNTIFS('①在庫を貼る'!$V$6:$V$10005,$V1992,'①在庫を貼る'!$W$6:$W$10005,$W1992)+COUNTIFS('月1回_1ヶ月前の在庫'!$V$6:$V$10005,$V1992,'月1回_1ヶ月前の在庫'!$W$6:$W$10005,$W1992)&gt;0),N(U1991),N(U1991)+1))</f>
        <v/>
      </c>
      <c r="V1992" s="19">
        <f>IF($B1992="","",TEXT($B1992,"0000"))</f>
        <v/>
      </c>
      <c r="W1992" s="19">
        <f>IF($I1992="","",IF(ISNUMBER($I1992),TEXT($I1992,"0"),$I1992))</f>
        <v/>
      </c>
    </row>
    <row r="1993">
      <c r="B1993" s="25" t="n"/>
      <c r="I1993" s="25" t="n"/>
      <c r="U1993" s="19">
        <f>IF($V1993&lt;&gt;'設定'!$C$4,N(U1992),IF(OR(NOT(COUNTIF('商品マスタ'!$B$6:$B$1005,$W1993)=0),COUNTIFS('①在庫を貼る'!$V$6:$V$10005,$V1993,'①在庫を貼る'!$W$6:$W$10005,$W1993)+COUNTIFS('月1回_1ヶ月前の在庫'!$V$6:$V$10005,$V1993,'月1回_1ヶ月前の在庫'!$W$6:$W$10005,$W1993)&gt;0),N(U1992),N(U1992)+1))</f>
        <v/>
      </c>
      <c r="V1993" s="19">
        <f>IF($B1993="","",TEXT($B1993,"0000"))</f>
        <v/>
      </c>
      <c r="W1993" s="19">
        <f>IF($I1993="","",IF(ISNUMBER($I1993),TEXT($I1993,"0"),$I1993))</f>
        <v/>
      </c>
    </row>
    <row r="1994">
      <c r="B1994" s="25" t="n"/>
      <c r="I1994" s="25" t="n"/>
      <c r="U1994" s="19">
        <f>IF($V1994&lt;&gt;'設定'!$C$4,N(U1993),IF(OR(NOT(COUNTIF('商品マスタ'!$B$6:$B$1005,$W1994)=0),COUNTIFS('①在庫を貼る'!$V$6:$V$10005,$V1994,'①在庫を貼る'!$W$6:$W$10005,$W1994)+COUNTIFS('月1回_1ヶ月前の在庫'!$V$6:$V$10005,$V1994,'月1回_1ヶ月前の在庫'!$W$6:$W$10005,$W1994)&gt;0),N(U1993),N(U1993)+1))</f>
        <v/>
      </c>
      <c r="V1994" s="19">
        <f>IF($B1994="","",TEXT($B1994,"0000"))</f>
        <v/>
      </c>
      <c r="W1994" s="19">
        <f>IF($I1994="","",IF(ISNUMBER($I1994),TEXT($I1994,"0"),$I1994))</f>
        <v/>
      </c>
    </row>
    <row r="1995">
      <c r="B1995" s="25" t="n"/>
      <c r="I1995" s="25" t="n"/>
      <c r="U1995" s="19">
        <f>IF($V1995&lt;&gt;'設定'!$C$4,N(U1994),IF(OR(NOT(COUNTIF('商品マスタ'!$B$6:$B$1005,$W1995)=0),COUNTIFS('①在庫を貼る'!$V$6:$V$10005,$V1995,'①在庫を貼る'!$W$6:$W$10005,$W1995)+COUNTIFS('月1回_1ヶ月前の在庫'!$V$6:$V$10005,$V1995,'月1回_1ヶ月前の在庫'!$W$6:$W$10005,$W1995)&gt;0),N(U1994),N(U1994)+1))</f>
        <v/>
      </c>
      <c r="V1995" s="19">
        <f>IF($B1995="","",TEXT($B1995,"0000"))</f>
        <v/>
      </c>
      <c r="W1995" s="19">
        <f>IF($I1995="","",IF(ISNUMBER($I1995),TEXT($I1995,"0"),$I1995))</f>
        <v/>
      </c>
    </row>
    <row r="1996">
      <c r="B1996" s="25" t="n"/>
      <c r="I1996" s="25" t="n"/>
      <c r="U1996" s="19">
        <f>IF($V1996&lt;&gt;'設定'!$C$4,N(U1995),IF(OR(NOT(COUNTIF('商品マスタ'!$B$6:$B$1005,$W1996)=0),COUNTIFS('①在庫を貼る'!$V$6:$V$10005,$V1996,'①在庫を貼る'!$W$6:$W$10005,$W1996)+COUNTIFS('月1回_1ヶ月前の在庫'!$V$6:$V$10005,$V1996,'月1回_1ヶ月前の在庫'!$W$6:$W$10005,$W1996)&gt;0),N(U1995),N(U1995)+1))</f>
        <v/>
      </c>
      <c r="V1996" s="19">
        <f>IF($B1996="","",TEXT($B1996,"0000"))</f>
        <v/>
      </c>
      <c r="W1996" s="19">
        <f>IF($I1996="","",IF(ISNUMBER($I1996),TEXT($I1996,"0"),$I1996))</f>
        <v/>
      </c>
    </row>
    <row r="1997">
      <c r="B1997" s="25" t="n"/>
      <c r="I1997" s="25" t="n"/>
      <c r="U1997" s="19">
        <f>IF($V1997&lt;&gt;'設定'!$C$4,N(U1996),IF(OR(NOT(COUNTIF('商品マスタ'!$B$6:$B$1005,$W1997)=0),COUNTIFS('①在庫を貼る'!$V$6:$V$10005,$V1997,'①在庫を貼る'!$W$6:$W$10005,$W1997)+COUNTIFS('月1回_1ヶ月前の在庫'!$V$6:$V$10005,$V1997,'月1回_1ヶ月前の在庫'!$W$6:$W$10005,$W1997)&gt;0),N(U1996),N(U1996)+1))</f>
        <v/>
      </c>
      <c r="V1997" s="19">
        <f>IF($B1997="","",TEXT($B1997,"0000"))</f>
        <v/>
      </c>
      <c r="W1997" s="19">
        <f>IF($I1997="","",IF(ISNUMBER($I1997),TEXT($I1997,"0"),$I1997))</f>
        <v/>
      </c>
    </row>
    <row r="1998">
      <c r="B1998" s="25" t="n"/>
      <c r="I1998" s="25" t="n"/>
      <c r="U1998" s="19">
        <f>IF($V1998&lt;&gt;'設定'!$C$4,N(U1997),IF(OR(NOT(COUNTIF('商品マスタ'!$B$6:$B$1005,$W1998)=0),COUNTIFS('①在庫を貼る'!$V$6:$V$10005,$V1998,'①在庫を貼る'!$W$6:$W$10005,$W1998)+COUNTIFS('月1回_1ヶ月前の在庫'!$V$6:$V$10005,$V1998,'月1回_1ヶ月前の在庫'!$W$6:$W$10005,$W1998)&gt;0),N(U1997),N(U1997)+1))</f>
        <v/>
      </c>
      <c r="V1998" s="19">
        <f>IF($B1998="","",TEXT($B1998,"0000"))</f>
        <v/>
      </c>
      <c r="W1998" s="19">
        <f>IF($I1998="","",IF(ISNUMBER($I1998),TEXT($I1998,"0"),$I1998))</f>
        <v/>
      </c>
    </row>
    <row r="1999">
      <c r="B1999" s="25" t="n"/>
      <c r="I1999" s="25" t="n"/>
      <c r="U1999" s="19">
        <f>IF($V1999&lt;&gt;'設定'!$C$4,N(U1998),IF(OR(NOT(COUNTIF('商品マスタ'!$B$6:$B$1005,$W1999)=0),COUNTIFS('①在庫を貼る'!$V$6:$V$10005,$V1999,'①在庫を貼る'!$W$6:$W$10005,$W1999)+COUNTIFS('月1回_1ヶ月前の在庫'!$V$6:$V$10005,$V1999,'月1回_1ヶ月前の在庫'!$W$6:$W$10005,$W1999)&gt;0),N(U1998),N(U1998)+1))</f>
        <v/>
      </c>
      <c r="V1999" s="19">
        <f>IF($B1999="","",TEXT($B1999,"0000"))</f>
        <v/>
      </c>
      <c r="W1999" s="19">
        <f>IF($I1999="","",IF(ISNUMBER($I1999),TEXT($I1999,"0"),$I1999))</f>
        <v/>
      </c>
    </row>
    <row r="2000">
      <c r="B2000" s="25" t="n"/>
      <c r="I2000" s="25" t="n"/>
      <c r="U2000" s="19">
        <f>IF($V2000&lt;&gt;'設定'!$C$4,N(U1999),IF(OR(NOT(COUNTIF('商品マスタ'!$B$6:$B$1005,$W2000)=0),COUNTIFS('①在庫を貼る'!$V$6:$V$10005,$V2000,'①在庫を貼る'!$W$6:$W$10005,$W2000)+COUNTIFS('月1回_1ヶ月前の在庫'!$V$6:$V$10005,$V2000,'月1回_1ヶ月前の在庫'!$W$6:$W$10005,$W2000)&gt;0),N(U1999),N(U1999)+1))</f>
        <v/>
      </c>
      <c r="V2000" s="19">
        <f>IF($B2000="","",TEXT($B2000,"0000"))</f>
        <v/>
      </c>
      <c r="W2000" s="19">
        <f>IF($I2000="","",IF(ISNUMBER($I2000),TEXT($I2000,"0"),$I2000))</f>
        <v/>
      </c>
    </row>
    <row r="2001">
      <c r="B2001" s="25" t="n"/>
      <c r="I2001" s="25" t="n"/>
      <c r="U2001" s="19">
        <f>IF($V2001&lt;&gt;'設定'!$C$4,N(U2000),IF(OR(NOT(COUNTIF('商品マスタ'!$B$6:$B$1005,$W2001)=0),COUNTIFS('①在庫を貼る'!$V$6:$V$10005,$V2001,'①在庫を貼る'!$W$6:$W$10005,$W2001)+COUNTIFS('月1回_1ヶ月前の在庫'!$V$6:$V$10005,$V2001,'月1回_1ヶ月前の在庫'!$W$6:$W$10005,$W2001)&gt;0),N(U2000),N(U2000)+1))</f>
        <v/>
      </c>
      <c r="V2001" s="19">
        <f>IF($B2001="","",TEXT($B2001,"0000"))</f>
        <v/>
      </c>
      <c r="W2001" s="19">
        <f>IF($I2001="","",IF(ISNUMBER($I2001),TEXT($I2001,"0"),$I2001))</f>
        <v/>
      </c>
    </row>
    <row r="2002">
      <c r="B2002" s="25" t="n"/>
      <c r="I2002" s="25" t="n"/>
      <c r="U2002" s="19">
        <f>IF($V2002&lt;&gt;'設定'!$C$4,N(U2001),IF(OR(NOT(COUNTIF('商品マスタ'!$B$6:$B$1005,$W2002)=0),COUNTIFS('①在庫を貼る'!$V$6:$V$10005,$V2002,'①在庫を貼る'!$W$6:$W$10005,$W2002)+COUNTIFS('月1回_1ヶ月前の在庫'!$V$6:$V$10005,$V2002,'月1回_1ヶ月前の在庫'!$W$6:$W$10005,$W2002)&gt;0),N(U2001),N(U2001)+1))</f>
        <v/>
      </c>
      <c r="V2002" s="19">
        <f>IF($B2002="","",TEXT($B2002,"0000"))</f>
        <v/>
      </c>
      <c r="W2002" s="19">
        <f>IF($I2002="","",IF(ISNUMBER($I2002),TEXT($I2002,"0"),$I2002))</f>
        <v/>
      </c>
    </row>
    <row r="2003">
      <c r="B2003" s="25" t="n"/>
      <c r="I2003" s="25" t="n"/>
      <c r="U2003" s="19">
        <f>IF($V2003&lt;&gt;'設定'!$C$4,N(U2002),IF(OR(NOT(COUNTIF('商品マスタ'!$B$6:$B$1005,$W2003)=0),COUNTIFS('①在庫を貼る'!$V$6:$V$10005,$V2003,'①在庫を貼る'!$W$6:$W$10005,$W2003)+COUNTIFS('月1回_1ヶ月前の在庫'!$V$6:$V$10005,$V2003,'月1回_1ヶ月前の在庫'!$W$6:$W$10005,$W2003)&gt;0),N(U2002),N(U2002)+1))</f>
        <v/>
      </c>
      <c r="V2003" s="19">
        <f>IF($B2003="","",TEXT($B2003,"0000"))</f>
        <v/>
      </c>
      <c r="W2003" s="19">
        <f>IF($I2003="","",IF(ISNUMBER($I2003),TEXT($I2003,"0"),$I2003))</f>
        <v/>
      </c>
    </row>
    <row r="2004">
      <c r="B2004" s="25" t="n"/>
      <c r="I2004" s="25" t="n"/>
      <c r="U2004" s="19">
        <f>IF($V2004&lt;&gt;'設定'!$C$4,N(U2003),IF(OR(NOT(COUNTIF('商品マスタ'!$B$6:$B$1005,$W2004)=0),COUNTIFS('①在庫を貼る'!$V$6:$V$10005,$V2004,'①在庫を貼る'!$W$6:$W$10005,$W2004)+COUNTIFS('月1回_1ヶ月前の在庫'!$V$6:$V$10005,$V2004,'月1回_1ヶ月前の在庫'!$W$6:$W$10005,$W2004)&gt;0),N(U2003),N(U2003)+1))</f>
        <v/>
      </c>
      <c r="V2004" s="19">
        <f>IF($B2004="","",TEXT($B2004,"0000"))</f>
        <v/>
      </c>
      <c r="W2004" s="19">
        <f>IF($I2004="","",IF(ISNUMBER($I2004),TEXT($I2004,"0"),$I2004))</f>
        <v/>
      </c>
    </row>
    <row r="2005">
      <c r="B2005" s="25" t="n"/>
      <c r="I2005" s="25" t="n"/>
      <c r="U2005" s="19">
        <f>IF($V2005&lt;&gt;'設定'!$C$4,N(U2004),IF(OR(NOT(COUNTIF('商品マスタ'!$B$6:$B$1005,$W2005)=0),COUNTIFS('①在庫を貼る'!$V$6:$V$10005,$V2005,'①在庫を貼る'!$W$6:$W$10005,$W2005)+COUNTIFS('月1回_1ヶ月前の在庫'!$V$6:$V$10005,$V2005,'月1回_1ヶ月前の在庫'!$W$6:$W$10005,$W2005)&gt;0),N(U2004),N(U2004)+1))</f>
        <v/>
      </c>
      <c r="V2005" s="19">
        <f>IF($B2005="","",TEXT($B2005,"0000"))</f>
        <v/>
      </c>
      <c r="W2005" s="19">
        <f>IF($I2005="","",IF(ISNUMBER($I2005),TEXT($I2005,"0"),$I2005))</f>
        <v/>
      </c>
    </row>
    <row r="2006">
      <c r="B2006" s="25" t="n"/>
      <c r="I2006" s="25" t="n"/>
      <c r="U2006" s="19">
        <f>IF($V2006&lt;&gt;'設定'!$C$4,N(U2005),IF(OR(NOT(COUNTIF('商品マスタ'!$B$6:$B$1005,$W2006)=0),COUNTIFS('①在庫を貼る'!$V$6:$V$10005,$V2006,'①在庫を貼る'!$W$6:$W$10005,$W2006)+COUNTIFS('月1回_1ヶ月前の在庫'!$V$6:$V$10005,$V2006,'月1回_1ヶ月前の在庫'!$W$6:$W$10005,$W2006)&gt;0),N(U2005),N(U2005)+1))</f>
        <v/>
      </c>
      <c r="V2006" s="19">
        <f>IF($B2006="","",TEXT($B2006,"0000"))</f>
        <v/>
      </c>
      <c r="W2006" s="19">
        <f>IF($I2006="","",IF(ISNUMBER($I2006),TEXT($I2006,"0"),$I2006))</f>
        <v/>
      </c>
    </row>
    <row r="2007">
      <c r="B2007" s="25" t="n"/>
      <c r="I2007" s="25" t="n"/>
      <c r="U2007" s="19">
        <f>IF($V2007&lt;&gt;'設定'!$C$4,N(U2006),IF(OR(NOT(COUNTIF('商品マスタ'!$B$6:$B$1005,$W2007)=0),COUNTIFS('①在庫を貼る'!$V$6:$V$10005,$V2007,'①在庫を貼る'!$W$6:$W$10005,$W2007)+COUNTIFS('月1回_1ヶ月前の在庫'!$V$6:$V$10005,$V2007,'月1回_1ヶ月前の在庫'!$W$6:$W$10005,$W2007)&gt;0),N(U2006),N(U2006)+1))</f>
        <v/>
      </c>
      <c r="V2007" s="19">
        <f>IF($B2007="","",TEXT($B2007,"0000"))</f>
        <v/>
      </c>
      <c r="W2007" s="19">
        <f>IF($I2007="","",IF(ISNUMBER($I2007),TEXT($I2007,"0"),$I2007))</f>
        <v/>
      </c>
    </row>
    <row r="2008">
      <c r="B2008" s="25" t="n"/>
      <c r="I2008" s="25" t="n"/>
      <c r="U2008" s="19">
        <f>IF($V2008&lt;&gt;'設定'!$C$4,N(U2007),IF(OR(NOT(COUNTIF('商品マスタ'!$B$6:$B$1005,$W2008)=0),COUNTIFS('①在庫を貼る'!$V$6:$V$10005,$V2008,'①在庫を貼る'!$W$6:$W$10005,$W2008)+COUNTIFS('月1回_1ヶ月前の在庫'!$V$6:$V$10005,$V2008,'月1回_1ヶ月前の在庫'!$W$6:$W$10005,$W2008)&gt;0),N(U2007),N(U2007)+1))</f>
        <v/>
      </c>
      <c r="V2008" s="19">
        <f>IF($B2008="","",TEXT($B2008,"0000"))</f>
        <v/>
      </c>
      <c r="W2008" s="19">
        <f>IF($I2008="","",IF(ISNUMBER($I2008),TEXT($I2008,"0"),$I2008))</f>
        <v/>
      </c>
    </row>
    <row r="2009">
      <c r="B2009" s="25" t="n"/>
      <c r="I2009" s="25" t="n"/>
      <c r="U2009" s="19">
        <f>IF($V2009&lt;&gt;'設定'!$C$4,N(U2008),IF(OR(NOT(COUNTIF('商品マスタ'!$B$6:$B$1005,$W2009)=0),COUNTIFS('①在庫を貼る'!$V$6:$V$10005,$V2009,'①在庫を貼る'!$W$6:$W$10005,$W2009)+COUNTIFS('月1回_1ヶ月前の在庫'!$V$6:$V$10005,$V2009,'月1回_1ヶ月前の在庫'!$W$6:$W$10005,$W2009)&gt;0),N(U2008),N(U2008)+1))</f>
        <v/>
      </c>
      <c r="V2009" s="19">
        <f>IF($B2009="","",TEXT($B2009,"0000"))</f>
        <v/>
      </c>
      <c r="W2009" s="19">
        <f>IF($I2009="","",IF(ISNUMBER($I2009),TEXT($I2009,"0"),$I2009))</f>
        <v/>
      </c>
    </row>
    <row r="2010">
      <c r="B2010" s="25" t="n"/>
      <c r="I2010" s="25" t="n"/>
      <c r="U2010" s="19">
        <f>IF($V2010&lt;&gt;'設定'!$C$4,N(U2009),IF(OR(NOT(COUNTIF('商品マスタ'!$B$6:$B$1005,$W2010)=0),COUNTIFS('①在庫を貼る'!$V$6:$V$10005,$V2010,'①在庫を貼る'!$W$6:$W$10005,$W2010)+COUNTIFS('月1回_1ヶ月前の在庫'!$V$6:$V$10005,$V2010,'月1回_1ヶ月前の在庫'!$W$6:$W$10005,$W2010)&gt;0),N(U2009),N(U2009)+1))</f>
        <v/>
      </c>
      <c r="V2010" s="19">
        <f>IF($B2010="","",TEXT($B2010,"0000"))</f>
        <v/>
      </c>
      <c r="W2010" s="19">
        <f>IF($I2010="","",IF(ISNUMBER($I2010),TEXT($I2010,"0"),$I2010))</f>
        <v/>
      </c>
    </row>
    <row r="2011">
      <c r="B2011" s="25" t="n"/>
      <c r="I2011" s="25" t="n"/>
      <c r="U2011" s="19">
        <f>IF($V2011&lt;&gt;'設定'!$C$4,N(U2010),IF(OR(NOT(COUNTIF('商品マスタ'!$B$6:$B$1005,$W2011)=0),COUNTIFS('①在庫を貼る'!$V$6:$V$10005,$V2011,'①在庫を貼る'!$W$6:$W$10005,$W2011)+COUNTIFS('月1回_1ヶ月前の在庫'!$V$6:$V$10005,$V2011,'月1回_1ヶ月前の在庫'!$W$6:$W$10005,$W2011)&gt;0),N(U2010),N(U2010)+1))</f>
        <v/>
      </c>
      <c r="V2011" s="19">
        <f>IF($B2011="","",TEXT($B2011,"0000"))</f>
        <v/>
      </c>
      <c r="W2011" s="19">
        <f>IF($I2011="","",IF(ISNUMBER($I2011),TEXT($I2011,"0"),$I2011))</f>
        <v/>
      </c>
    </row>
    <row r="2012">
      <c r="B2012" s="25" t="n"/>
      <c r="I2012" s="25" t="n"/>
      <c r="U2012" s="19">
        <f>IF($V2012&lt;&gt;'設定'!$C$4,N(U2011),IF(OR(NOT(COUNTIF('商品マスタ'!$B$6:$B$1005,$W2012)=0),COUNTIFS('①在庫を貼る'!$V$6:$V$10005,$V2012,'①在庫を貼る'!$W$6:$W$10005,$W2012)+COUNTIFS('月1回_1ヶ月前の在庫'!$V$6:$V$10005,$V2012,'月1回_1ヶ月前の在庫'!$W$6:$W$10005,$W2012)&gt;0),N(U2011),N(U2011)+1))</f>
        <v/>
      </c>
      <c r="V2012" s="19">
        <f>IF($B2012="","",TEXT($B2012,"0000"))</f>
        <v/>
      </c>
      <c r="W2012" s="19">
        <f>IF($I2012="","",IF(ISNUMBER($I2012),TEXT($I2012,"0"),$I2012))</f>
        <v/>
      </c>
    </row>
    <row r="2013">
      <c r="B2013" s="25" t="n"/>
      <c r="I2013" s="25" t="n"/>
      <c r="U2013" s="19">
        <f>IF($V2013&lt;&gt;'設定'!$C$4,N(U2012),IF(OR(NOT(COUNTIF('商品マスタ'!$B$6:$B$1005,$W2013)=0),COUNTIFS('①在庫を貼る'!$V$6:$V$10005,$V2013,'①在庫を貼る'!$W$6:$W$10005,$W2013)+COUNTIFS('月1回_1ヶ月前の在庫'!$V$6:$V$10005,$V2013,'月1回_1ヶ月前の在庫'!$W$6:$W$10005,$W2013)&gt;0),N(U2012),N(U2012)+1))</f>
        <v/>
      </c>
      <c r="V2013" s="19">
        <f>IF($B2013="","",TEXT($B2013,"0000"))</f>
        <v/>
      </c>
      <c r="W2013" s="19">
        <f>IF($I2013="","",IF(ISNUMBER($I2013),TEXT($I2013,"0"),$I2013))</f>
        <v/>
      </c>
    </row>
    <row r="2014">
      <c r="B2014" s="25" t="n"/>
      <c r="I2014" s="25" t="n"/>
      <c r="U2014" s="19">
        <f>IF($V2014&lt;&gt;'設定'!$C$4,N(U2013),IF(OR(NOT(COUNTIF('商品マスタ'!$B$6:$B$1005,$W2014)=0),COUNTIFS('①在庫を貼る'!$V$6:$V$10005,$V2014,'①在庫を貼る'!$W$6:$W$10005,$W2014)+COUNTIFS('月1回_1ヶ月前の在庫'!$V$6:$V$10005,$V2014,'月1回_1ヶ月前の在庫'!$W$6:$W$10005,$W2014)&gt;0),N(U2013),N(U2013)+1))</f>
        <v/>
      </c>
      <c r="V2014" s="19">
        <f>IF($B2014="","",TEXT($B2014,"0000"))</f>
        <v/>
      </c>
      <c r="W2014" s="19">
        <f>IF($I2014="","",IF(ISNUMBER($I2014),TEXT($I2014,"0"),$I2014))</f>
        <v/>
      </c>
    </row>
    <row r="2015">
      <c r="B2015" s="25" t="n"/>
      <c r="I2015" s="25" t="n"/>
      <c r="U2015" s="19">
        <f>IF($V2015&lt;&gt;'設定'!$C$4,N(U2014),IF(OR(NOT(COUNTIF('商品マスタ'!$B$6:$B$1005,$W2015)=0),COUNTIFS('①在庫を貼る'!$V$6:$V$10005,$V2015,'①在庫を貼る'!$W$6:$W$10005,$W2015)+COUNTIFS('月1回_1ヶ月前の在庫'!$V$6:$V$10005,$V2015,'月1回_1ヶ月前の在庫'!$W$6:$W$10005,$W2015)&gt;0),N(U2014),N(U2014)+1))</f>
        <v/>
      </c>
      <c r="V2015" s="19">
        <f>IF($B2015="","",TEXT($B2015,"0000"))</f>
        <v/>
      </c>
      <c r="W2015" s="19">
        <f>IF($I2015="","",IF(ISNUMBER($I2015),TEXT($I2015,"0"),$I2015))</f>
        <v/>
      </c>
    </row>
    <row r="2016">
      <c r="B2016" s="25" t="n"/>
      <c r="I2016" s="25" t="n"/>
      <c r="U2016" s="19">
        <f>IF($V2016&lt;&gt;'設定'!$C$4,N(U2015),IF(OR(NOT(COUNTIF('商品マスタ'!$B$6:$B$1005,$W2016)=0),COUNTIFS('①在庫を貼る'!$V$6:$V$10005,$V2016,'①在庫を貼る'!$W$6:$W$10005,$W2016)+COUNTIFS('月1回_1ヶ月前の在庫'!$V$6:$V$10005,$V2016,'月1回_1ヶ月前の在庫'!$W$6:$W$10005,$W2016)&gt;0),N(U2015),N(U2015)+1))</f>
        <v/>
      </c>
      <c r="V2016" s="19">
        <f>IF($B2016="","",TEXT($B2016,"0000"))</f>
        <v/>
      </c>
      <c r="W2016" s="19">
        <f>IF($I2016="","",IF(ISNUMBER($I2016),TEXT($I2016,"0"),$I2016))</f>
        <v/>
      </c>
    </row>
    <row r="2017">
      <c r="B2017" s="25" t="n"/>
      <c r="I2017" s="25" t="n"/>
      <c r="U2017" s="19">
        <f>IF($V2017&lt;&gt;'設定'!$C$4,N(U2016),IF(OR(NOT(COUNTIF('商品マスタ'!$B$6:$B$1005,$W2017)=0),COUNTIFS('①在庫を貼る'!$V$6:$V$10005,$V2017,'①在庫を貼る'!$W$6:$W$10005,$W2017)+COUNTIFS('月1回_1ヶ月前の在庫'!$V$6:$V$10005,$V2017,'月1回_1ヶ月前の在庫'!$W$6:$W$10005,$W2017)&gt;0),N(U2016),N(U2016)+1))</f>
        <v/>
      </c>
      <c r="V2017" s="19">
        <f>IF($B2017="","",TEXT($B2017,"0000"))</f>
        <v/>
      </c>
      <c r="W2017" s="19">
        <f>IF($I2017="","",IF(ISNUMBER($I2017),TEXT($I2017,"0"),$I2017))</f>
        <v/>
      </c>
    </row>
    <row r="2018">
      <c r="B2018" s="25" t="n"/>
      <c r="I2018" s="25" t="n"/>
      <c r="U2018" s="19">
        <f>IF($V2018&lt;&gt;'設定'!$C$4,N(U2017),IF(OR(NOT(COUNTIF('商品マスタ'!$B$6:$B$1005,$W2018)=0),COUNTIFS('①在庫を貼る'!$V$6:$V$10005,$V2018,'①在庫を貼る'!$W$6:$W$10005,$W2018)+COUNTIFS('月1回_1ヶ月前の在庫'!$V$6:$V$10005,$V2018,'月1回_1ヶ月前の在庫'!$W$6:$W$10005,$W2018)&gt;0),N(U2017),N(U2017)+1))</f>
        <v/>
      </c>
      <c r="V2018" s="19">
        <f>IF($B2018="","",TEXT($B2018,"0000"))</f>
        <v/>
      </c>
      <c r="W2018" s="19">
        <f>IF($I2018="","",IF(ISNUMBER($I2018),TEXT($I2018,"0"),$I2018))</f>
        <v/>
      </c>
    </row>
    <row r="2019">
      <c r="B2019" s="25" t="n"/>
      <c r="I2019" s="25" t="n"/>
      <c r="U2019" s="19">
        <f>IF($V2019&lt;&gt;'設定'!$C$4,N(U2018),IF(OR(NOT(COUNTIF('商品マスタ'!$B$6:$B$1005,$W2019)=0),COUNTIFS('①在庫を貼る'!$V$6:$V$10005,$V2019,'①在庫を貼る'!$W$6:$W$10005,$W2019)+COUNTIFS('月1回_1ヶ月前の在庫'!$V$6:$V$10005,$V2019,'月1回_1ヶ月前の在庫'!$W$6:$W$10005,$W2019)&gt;0),N(U2018),N(U2018)+1))</f>
        <v/>
      </c>
      <c r="V2019" s="19">
        <f>IF($B2019="","",TEXT($B2019,"0000"))</f>
        <v/>
      </c>
      <c r="W2019" s="19">
        <f>IF($I2019="","",IF(ISNUMBER($I2019),TEXT($I2019,"0"),$I2019))</f>
        <v/>
      </c>
    </row>
    <row r="2020">
      <c r="B2020" s="25" t="n"/>
      <c r="I2020" s="25" t="n"/>
      <c r="U2020" s="19">
        <f>IF($V2020&lt;&gt;'設定'!$C$4,N(U2019),IF(OR(NOT(COUNTIF('商品マスタ'!$B$6:$B$1005,$W2020)=0),COUNTIFS('①在庫を貼る'!$V$6:$V$10005,$V2020,'①在庫を貼る'!$W$6:$W$10005,$W2020)+COUNTIFS('月1回_1ヶ月前の在庫'!$V$6:$V$10005,$V2020,'月1回_1ヶ月前の在庫'!$W$6:$W$10005,$W2020)&gt;0),N(U2019),N(U2019)+1))</f>
        <v/>
      </c>
      <c r="V2020" s="19">
        <f>IF($B2020="","",TEXT($B2020,"0000"))</f>
        <v/>
      </c>
      <c r="W2020" s="19">
        <f>IF($I2020="","",IF(ISNUMBER($I2020),TEXT($I2020,"0"),$I2020))</f>
        <v/>
      </c>
    </row>
    <row r="2021">
      <c r="B2021" s="25" t="n"/>
      <c r="I2021" s="25" t="n"/>
      <c r="U2021" s="19">
        <f>IF($V2021&lt;&gt;'設定'!$C$4,N(U2020),IF(OR(NOT(COUNTIF('商品マスタ'!$B$6:$B$1005,$W2021)=0),COUNTIFS('①在庫を貼る'!$V$6:$V$10005,$V2021,'①在庫を貼る'!$W$6:$W$10005,$W2021)+COUNTIFS('月1回_1ヶ月前の在庫'!$V$6:$V$10005,$V2021,'月1回_1ヶ月前の在庫'!$W$6:$W$10005,$W2021)&gt;0),N(U2020),N(U2020)+1))</f>
        <v/>
      </c>
      <c r="V2021" s="19">
        <f>IF($B2021="","",TEXT($B2021,"0000"))</f>
        <v/>
      </c>
      <c r="W2021" s="19">
        <f>IF($I2021="","",IF(ISNUMBER($I2021),TEXT($I2021,"0"),$I2021))</f>
        <v/>
      </c>
    </row>
    <row r="2022">
      <c r="B2022" s="25" t="n"/>
      <c r="I2022" s="25" t="n"/>
      <c r="U2022" s="19">
        <f>IF($V2022&lt;&gt;'設定'!$C$4,N(U2021),IF(OR(NOT(COUNTIF('商品マスタ'!$B$6:$B$1005,$W2022)=0),COUNTIFS('①在庫を貼る'!$V$6:$V$10005,$V2022,'①在庫を貼る'!$W$6:$W$10005,$W2022)+COUNTIFS('月1回_1ヶ月前の在庫'!$V$6:$V$10005,$V2022,'月1回_1ヶ月前の在庫'!$W$6:$W$10005,$W2022)&gt;0),N(U2021),N(U2021)+1))</f>
        <v/>
      </c>
      <c r="V2022" s="19">
        <f>IF($B2022="","",TEXT($B2022,"0000"))</f>
        <v/>
      </c>
      <c r="W2022" s="19">
        <f>IF($I2022="","",IF(ISNUMBER($I2022),TEXT($I2022,"0"),$I2022))</f>
        <v/>
      </c>
    </row>
    <row r="2023">
      <c r="B2023" s="25" t="n"/>
      <c r="I2023" s="25" t="n"/>
      <c r="U2023" s="19">
        <f>IF($V2023&lt;&gt;'設定'!$C$4,N(U2022),IF(OR(NOT(COUNTIF('商品マスタ'!$B$6:$B$1005,$W2023)=0),COUNTIFS('①在庫を貼る'!$V$6:$V$10005,$V2023,'①在庫を貼る'!$W$6:$W$10005,$W2023)+COUNTIFS('月1回_1ヶ月前の在庫'!$V$6:$V$10005,$V2023,'月1回_1ヶ月前の在庫'!$W$6:$W$10005,$W2023)&gt;0),N(U2022),N(U2022)+1))</f>
        <v/>
      </c>
      <c r="V2023" s="19">
        <f>IF($B2023="","",TEXT($B2023,"0000"))</f>
        <v/>
      </c>
      <c r="W2023" s="19">
        <f>IF($I2023="","",IF(ISNUMBER($I2023),TEXT($I2023,"0"),$I2023))</f>
        <v/>
      </c>
    </row>
    <row r="2024">
      <c r="B2024" s="25" t="n"/>
      <c r="I2024" s="25" t="n"/>
      <c r="U2024" s="19">
        <f>IF($V2024&lt;&gt;'設定'!$C$4,N(U2023),IF(OR(NOT(COUNTIF('商品マスタ'!$B$6:$B$1005,$W2024)=0),COUNTIFS('①在庫を貼る'!$V$6:$V$10005,$V2024,'①在庫を貼る'!$W$6:$W$10005,$W2024)+COUNTIFS('月1回_1ヶ月前の在庫'!$V$6:$V$10005,$V2024,'月1回_1ヶ月前の在庫'!$W$6:$W$10005,$W2024)&gt;0),N(U2023),N(U2023)+1))</f>
        <v/>
      </c>
      <c r="V2024" s="19">
        <f>IF($B2024="","",TEXT($B2024,"0000"))</f>
        <v/>
      </c>
      <c r="W2024" s="19">
        <f>IF($I2024="","",IF(ISNUMBER($I2024),TEXT($I2024,"0"),$I2024))</f>
        <v/>
      </c>
    </row>
    <row r="2025">
      <c r="B2025" s="25" t="n"/>
      <c r="I2025" s="25" t="n"/>
      <c r="U2025" s="19">
        <f>IF($V2025&lt;&gt;'設定'!$C$4,N(U2024),IF(OR(NOT(COUNTIF('商品マスタ'!$B$6:$B$1005,$W2025)=0),COUNTIFS('①在庫を貼る'!$V$6:$V$10005,$V2025,'①在庫を貼る'!$W$6:$W$10005,$W2025)+COUNTIFS('月1回_1ヶ月前の在庫'!$V$6:$V$10005,$V2025,'月1回_1ヶ月前の在庫'!$W$6:$W$10005,$W2025)&gt;0),N(U2024),N(U2024)+1))</f>
        <v/>
      </c>
      <c r="V2025" s="19">
        <f>IF($B2025="","",TEXT($B2025,"0000"))</f>
        <v/>
      </c>
      <c r="W2025" s="19">
        <f>IF($I2025="","",IF(ISNUMBER($I2025),TEXT($I2025,"0"),$I2025))</f>
        <v/>
      </c>
    </row>
    <row r="2026">
      <c r="B2026" s="25" t="n"/>
      <c r="I2026" s="25" t="n"/>
      <c r="U2026" s="19">
        <f>IF($V2026&lt;&gt;'設定'!$C$4,N(U2025),IF(OR(NOT(COUNTIF('商品マスタ'!$B$6:$B$1005,$W2026)=0),COUNTIFS('①在庫を貼る'!$V$6:$V$10005,$V2026,'①在庫を貼る'!$W$6:$W$10005,$W2026)+COUNTIFS('月1回_1ヶ月前の在庫'!$V$6:$V$10005,$V2026,'月1回_1ヶ月前の在庫'!$W$6:$W$10005,$W2026)&gt;0),N(U2025),N(U2025)+1))</f>
        <v/>
      </c>
      <c r="V2026" s="19">
        <f>IF($B2026="","",TEXT($B2026,"0000"))</f>
        <v/>
      </c>
      <c r="W2026" s="19">
        <f>IF($I2026="","",IF(ISNUMBER($I2026),TEXT($I2026,"0"),$I2026))</f>
        <v/>
      </c>
    </row>
    <row r="2027">
      <c r="B2027" s="25" t="n"/>
      <c r="I2027" s="25" t="n"/>
      <c r="U2027" s="19">
        <f>IF($V2027&lt;&gt;'設定'!$C$4,N(U2026),IF(OR(NOT(COUNTIF('商品マスタ'!$B$6:$B$1005,$W2027)=0),COUNTIFS('①在庫を貼る'!$V$6:$V$10005,$V2027,'①在庫を貼る'!$W$6:$W$10005,$W2027)+COUNTIFS('月1回_1ヶ月前の在庫'!$V$6:$V$10005,$V2027,'月1回_1ヶ月前の在庫'!$W$6:$W$10005,$W2027)&gt;0),N(U2026),N(U2026)+1))</f>
        <v/>
      </c>
      <c r="V2027" s="19">
        <f>IF($B2027="","",TEXT($B2027,"0000"))</f>
        <v/>
      </c>
      <c r="W2027" s="19">
        <f>IF($I2027="","",IF(ISNUMBER($I2027),TEXT($I2027,"0"),$I2027))</f>
        <v/>
      </c>
    </row>
    <row r="2028">
      <c r="B2028" s="25" t="n"/>
      <c r="I2028" s="25" t="n"/>
      <c r="U2028" s="19">
        <f>IF($V2028&lt;&gt;'設定'!$C$4,N(U2027),IF(OR(NOT(COUNTIF('商品マスタ'!$B$6:$B$1005,$W2028)=0),COUNTIFS('①在庫を貼る'!$V$6:$V$10005,$V2028,'①在庫を貼る'!$W$6:$W$10005,$W2028)+COUNTIFS('月1回_1ヶ月前の在庫'!$V$6:$V$10005,$V2028,'月1回_1ヶ月前の在庫'!$W$6:$W$10005,$W2028)&gt;0),N(U2027),N(U2027)+1))</f>
        <v/>
      </c>
      <c r="V2028" s="19">
        <f>IF($B2028="","",TEXT($B2028,"0000"))</f>
        <v/>
      </c>
      <c r="W2028" s="19">
        <f>IF($I2028="","",IF(ISNUMBER($I2028),TEXT($I2028,"0"),$I2028))</f>
        <v/>
      </c>
    </row>
    <row r="2029">
      <c r="B2029" s="25" t="n"/>
      <c r="I2029" s="25" t="n"/>
      <c r="U2029" s="19">
        <f>IF($V2029&lt;&gt;'設定'!$C$4,N(U2028),IF(OR(NOT(COUNTIF('商品マスタ'!$B$6:$B$1005,$W2029)=0),COUNTIFS('①在庫を貼る'!$V$6:$V$10005,$V2029,'①在庫を貼る'!$W$6:$W$10005,$W2029)+COUNTIFS('月1回_1ヶ月前の在庫'!$V$6:$V$10005,$V2029,'月1回_1ヶ月前の在庫'!$W$6:$W$10005,$W2029)&gt;0),N(U2028),N(U2028)+1))</f>
        <v/>
      </c>
      <c r="V2029" s="19">
        <f>IF($B2029="","",TEXT($B2029,"0000"))</f>
        <v/>
      </c>
      <c r="W2029" s="19">
        <f>IF($I2029="","",IF(ISNUMBER($I2029),TEXT($I2029,"0"),$I2029))</f>
        <v/>
      </c>
    </row>
    <row r="2030">
      <c r="B2030" s="25" t="n"/>
      <c r="I2030" s="25" t="n"/>
      <c r="U2030" s="19">
        <f>IF($V2030&lt;&gt;'設定'!$C$4,N(U2029),IF(OR(NOT(COUNTIF('商品マスタ'!$B$6:$B$1005,$W2030)=0),COUNTIFS('①在庫を貼る'!$V$6:$V$10005,$V2030,'①在庫を貼る'!$W$6:$W$10005,$W2030)+COUNTIFS('月1回_1ヶ月前の在庫'!$V$6:$V$10005,$V2030,'月1回_1ヶ月前の在庫'!$W$6:$W$10005,$W2030)&gt;0),N(U2029),N(U2029)+1))</f>
        <v/>
      </c>
      <c r="V2030" s="19">
        <f>IF($B2030="","",TEXT($B2030,"0000"))</f>
        <v/>
      </c>
      <c r="W2030" s="19">
        <f>IF($I2030="","",IF(ISNUMBER($I2030),TEXT($I2030,"0"),$I2030))</f>
        <v/>
      </c>
    </row>
    <row r="2031">
      <c r="B2031" s="25" t="n"/>
      <c r="I2031" s="25" t="n"/>
      <c r="U2031" s="19">
        <f>IF($V2031&lt;&gt;'設定'!$C$4,N(U2030),IF(OR(NOT(COUNTIF('商品マスタ'!$B$6:$B$1005,$W2031)=0),COUNTIFS('①在庫を貼る'!$V$6:$V$10005,$V2031,'①在庫を貼る'!$W$6:$W$10005,$W2031)+COUNTIFS('月1回_1ヶ月前の在庫'!$V$6:$V$10005,$V2031,'月1回_1ヶ月前の在庫'!$W$6:$W$10005,$W2031)&gt;0),N(U2030),N(U2030)+1))</f>
        <v/>
      </c>
      <c r="V2031" s="19">
        <f>IF($B2031="","",TEXT($B2031,"0000"))</f>
        <v/>
      </c>
      <c r="W2031" s="19">
        <f>IF($I2031="","",IF(ISNUMBER($I2031),TEXT($I2031,"0"),$I2031))</f>
        <v/>
      </c>
    </row>
    <row r="2032">
      <c r="B2032" s="25" t="n"/>
      <c r="I2032" s="25" t="n"/>
      <c r="U2032" s="19">
        <f>IF($V2032&lt;&gt;'設定'!$C$4,N(U2031),IF(OR(NOT(COUNTIF('商品マスタ'!$B$6:$B$1005,$W2032)=0),COUNTIFS('①在庫を貼る'!$V$6:$V$10005,$V2032,'①在庫を貼る'!$W$6:$W$10005,$W2032)+COUNTIFS('月1回_1ヶ月前の在庫'!$V$6:$V$10005,$V2032,'月1回_1ヶ月前の在庫'!$W$6:$W$10005,$W2032)&gt;0),N(U2031),N(U2031)+1))</f>
        <v/>
      </c>
      <c r="V2032" s="19">
        <f>IF($B2032="","",TEXT($B2032,"0000"))</f>
        <v/>
      </c>
      <c r="W2032" s="19">
        <f>IF($I2032="","",IF(ISNUMBER($I2032),TEXT($I2032,"0"),$I2032))</f>
        <v/>
      </c>
    </row>
    <row r="2033">
      <c r="B2033" s="25" t="n"/>
      <c r="I2033" s="25" t="n"/>
      <c r="U2033" s="19">
        <f>IF($V2033&lt;&gt;'設定'!$C$4,N(U2032),IF(OR(NOT(COUNTIF('商品マスタ'!$B$6:$B$1005,$W2033)=0),COUNTIFS('①在庫を貼る'!$V$6:$V$10005,$V2033,'①在庫を貼る'!$W$6:$W$10005,$W2033)+COUNTIFS('月1回_1ヶ月前の在庫'!$V$6:$V$10005,$V2033,'月1回_1ヶ月前の在庫'!$W$6:$W$10005,$W2033)&gt;0),N(U2032),N(U2032)+1))</f>
        <v/>
      </c>
      <c r="V2033" s="19">
        <f>IF($B2033="","",TEXT($B2033,"0000"))</f>
        <v/>
      </c>
      <c r="W2033" s="19">
        <f>IF($I2033="","",IF(ISNUMBER($I2033),TEXT($I2033,"0"),$I2033))</f>
        <v/>
      </c>
    </row>
    <row r="2034">
      <c r="B2034" s="25" t="n"/>
      <c r="I2034" s="25" t="n"/>
      <c r="U2034" s="19">
        <f>IF($V2034&lt;&gt;'設定'!$C$4,N(U2033),IF(OR(NOT(COUNTIF('商品マスタ'!$B$6:$B$1005,$W2034)=0),COUNTIFS('①在庫を貼る'!$V$6:$V$10005,$V2034,'①在庫を貼る'!$W$6:$W$10005,$W2034)+COUNTIFS('月1回_1ヶ月前の在庫'!$V$6:$V$10005,$V2034,'月1回_1ヶ月前の在庫'!$W$6:$W$10005,$W2034)&gt;0),N(U2033),N(U2033)+1))</f>
        <v/>
      </c>
      <c r="V2034" s="19">
        <f>IF($B2034="","",TEXT($B2034,"0000"))</f>
        <v/>
      </c>
      <c r="W2034" s="19">
        <f>IF($I2034="","",IF(ISNUMBER($I2034),TEXT($I2034,"0"),$I2034))</f>
        <v/>
      </c>
    </row>
    <row r="2035">
      <c r="B2035" s="25" t="n"/>
      <c r="I2035" s="25" t="n"/>
      <c r="U2035" s="19">
        <f>IF($V2035&lt;&gt;'設定'!$C$4,N(U2034),IF(OR(NOT(COUNTIF('商品マスタ'!$B$6:$B$1005,$W2035)=0),COUNTIFS('①在庫を貼る'!$V$6:$V$10005,$V2035,'①在庫を貼る'!$W$6:$W$10005,$W2035)+COUNTIFS('月1回_1ヶ月前の在庫'!$V$6:$V$10005,$V2035,'月1回_1ヶ月前の在庫'!$W$6:$W$10005,$W2035)&gt;0),N(U2034),N(U2034)+1))</f>
        <v/>
      </c>
      <c r="V2035" s="19">
        <f>IF($B2035="","",TEXT($B2035,"0000"))</f>
        <v/>
      </c>
      <c r="W2035" s="19">
        <f>IF($I2035="","",IF(ISNUMBER($I2035),TEXT($I2035,"0"),$I2035))</f>
        <v/>
      </c>
    </row>
    <row r="2036">
      <c r="B2036" s="25" t="n"/>
      <c r="I2036" s="25" t="n"/>
      <c r="U2036" s="19">
        <f>IF($V2036&lt;&gt;'設定'!$C$4,N(U2035),IF(OR(NOT(COUNTIF('商品マスタ'!$B$6:$B$1005,$W2036)=0),COUNTIFS('①在庫を貼る'!$V$6:$V$10005,$V2036,'①在庫を貼る'!$W$6:$W$10005,$W2036)+COUNTIFS('月1回_1ヶ月前の在庫'!$V$6:$V$10005,$V2036,'月1回_1ヶ月前の在庫'!$W$6:$W$10005,$W2036)&gt;0),N(U2035),N(U2035)+1))</f>
        <v/>
      </c>
      <c r="V2036" s="19">
        <f>IF($B2036="","",TEXT($B2036,"0000"))</f>
        <v/>
      </c>
      <c r="W2036" s="19">
        <f>IF($I2036="","",IF(ISNUMBER($I2036),TEXT($I2036,"0"),$I2036))</f>
        <v/>
      </c>
    </row>
    <row r="2037">
      <c r="B2037" s="25" t="n"/>
      <c r="I2037" s="25" t="n"/>
      <c r="U2037" s="19">
        <f>IF($V2037&lt;&gt;'設定'!$C$4,N(U2036),IF(OR(NOT(COUNTIF('商品マスタ'!$B$6:$B$1005,$W2037)=0),COUNTIFS('①在庫を貼る'!$V$6:$V$10005,$V2037,'①在庫を貼る'!$W$6:$W$10005,$W2037)+COUNTIFS('月1回_1ヶ月前の在庫'!$V$6:$V$10005,$V2037,'月1回_1ヶ月前の在庫'!$W$6:$W$10005,$W2037)&gt;0),N(U2036),N(U2036)+1))</f>
        <v/>
      </c>
      <c r="V2037" s="19">
        <f>IF($B2037="","",TEXT($B2037,"0000"))</f>
        <v/>
      </c>
      <c r="W2037" s="19">
        <f>IF($I2037="","",IF(ISNUMBER($I2037),TEXT($I2037,"0"),$I2037))</f>
        <v/>
      </c>
    </row>
    <row r="2038">
      <c r="B2038" s="25" t="n"/>
      <c r="I2038" s="25" t="n"/>
      <c r="U2038" s="19">
        <f>IF($V2038&lt;&gt;'設定'!$C$4,N(U2037),IF(OR(NOT(COUNTIF('商品マスタ'!$B$6:$B$1005,$W2038)=0),COUNTIFS('①在庫を貼る'!$V$6:$V$10005,$V2038,'①在庫を貼る'!$W$6:$W$10005,$W2038)+COUNTIFS('月1回_1ヶ月前の在庫'!$V$6:$V$10005,$V2038,'月1回_1ヶ月前の在庫'!$W$6:$W$10005,$W2038)&gt;0),N(U2037),N(U2037)+1))</f>
        <v/>
      </c>
      <c r="V2038" s="19">
        <f>IF($B2038="","",TEXT($B2038,"0000"))</f>
        <v/>
      </c>
      <c r="W2038" s="19">
        <f>IF($I2038="","",IF(ISNUMBER($I2038),TEXT($I2038,"0"),$I2038))</f>
        <v/>
      </c>
    </row>
    <row r="2039">
      <c r="B2039" s="25" t="n"/>
      <c r="I2039" s="25" t="n"/>
      <c r="U2039" s="19">
        <f>IF($V2039&lt;&gt;'設定'!$C$4,N(U2038),IF(OR(NOT(COUNTIF('商品マスタ'!$B$6:$B$1005,$W2039)=0),COUNTIFS('①在庫を貼る'!$V$6:$V$10005,$V2039,'①在庫を貼る'!$W$6:$W$10005,$W2039)+COUNTIFS('月1回_1ヶ月前の在庫'!$V$6:$V$10005,$V2039,'月1回_1ヶ月前の在庫'!$W$6:$W$10005,$W2039)&gt;0),N(U2038),N(U2038)+1))</f>
        <v/>
      </c>
      <c r="V2039" s="19">
        <f>IF($B2039="","",TEXT($B2039,"0000"))</f>
        <v/>
      </c>
      <c r="W2039" s="19">
        <f>IF($I2039="","",IF(ISNUMBER($I2039),TEXT($I2039,"0"),$I2039))</f>
        <v/>
      </c>
    </row>
    <row r="2040">
      <c r="B2040" s="25" t="n"/>
      <c r="I2040" s="25" t="n"/>
      <c r="U2040" s="19">
        <f>IF($V2040&lt;&gt;'設定'!$C$4,N(U2039),IF(OR(NOT(COUNTIF('商品マスタ'!$B$6:$B$1005,$W2040)=0),COUNTIFS('①在庫を貼る'!$V$6:$V$10005,$V2040,'①在庫を貼る'!$W$6:$W$10005,$W2040)+COUNTIFS('月1回_1ヶ月前の在庫'!$V$6:$V$10005,$V2040,'月1回_1ヶ月前の在庫'!$W$6:$W$10005,$W2040)&gt;0),N(U2039),N(U2039)+1))</f>
        <v/>
      </c>
      <c r="V2040" s="19">
        <f>IF($B2040="","",TEXT($B2040,"0000"))</f>
        <v/>
      </c>
      <c r="W2040" s="19">
        <f>IF($I2040="","",IF(ISNUMBER($I2040),TEXT($I2040,"0"),$I2040))</f>
        <v/>
      </c>
    </row>
    <row r="2041">
      <c r="B2041" s="25" t="n"/>
      <c r="I2041" s="25" t="n"/>
      <c r="U2041" s="19">
        <f>IF($V2041&lt;&gt;'設定'!$C$4,N(U2040),IF(OR(NOT(COUNTIF('商品マスタ'!$B$6:$B$1005,$W2041)=0),COUNTIFS('①在庫を貼る'!$V$6:$V$10005,$V2041,'①在庫を貼る'!$W$6:$W$10005,$W2041)+COUNTIFS('月1回_1ヶ月前の在庫'!$V$6:$V$10005,$V2041,'月1回_1ヶ月前の在庫'!$W$6:$W$10005,$W2041)&gt;0),N(U2040),N(U2040)+1))</f>
        <v/>
      </c>
      <c r="V2041" s="19">
        <f>IF($B2041="","",TEXT($B2041,"0000"))</f>
        <v/>
      </c>
      <c r="W2041" s="19">
        <f>IF($I2041="","",IF(ISNUMBER($I2041),TEXT($I2041,"0"),$I2041))</f>
        <v/>
      </c>
    </row>
    <row r="2042">
      <c r="B2042" s="25" t="n"/>
      <c r="I2042" s="25" t="n"/>
      <c r="U2042" s="19">
        <f>IF($V2042&lt;&gt;'設定'!$C$4,N(U2041),IF(OR(NOT(COUNTIF('商品マスタ'!$B$6:$B$1005,$W2042)=0),COUNTIFS('①在庫を貼る'!$V$6:$V$10005,$V2042,'①在庫を貼る'!$W$6:$W$10005,$W2042)+COUNTIFS('月1回_1ヶ月前の在庫'!$V$6:$V$10005,$V2042,'月1回_1ヶ月前の在庫'!$W$6:$W$10005,$W2042)&gt;0),N(U2041),N(U2041)+1))</f>
        <v/>
      </c>
      <c r="V2042" s="19">
        <f>IF($B2042="","",TEXT($B2042,"0000"))</f>
        <v/>
      </c>
      <c r="W2042" s="19">
        <f>IF($I2042="","",IF(ISNUMBER($I2042),TEXT($I2042,"0"),$I2042))</f>
        <v/>
      </c>
    </row>
    <row r="2043">
      <c r="B2043" s="25" t="n"/>
      <c r="I2043" s="25" t="n"/>
      <c r="U2043" s="19">
        <f>IF($V2043&lt;&gt;'設定'!$C$4,N(U2042),IF(OR(NOT(COUNTIF('商品マスタ'!$B$6:$B$1005,$W2043)=0),COUNTIFS('①在庫を貼る'!$V$6:$V$10005,$V2043,'①在庫を貼る'!$W$6:$W$10005,$W2043)+COUNTIFS('月1回_1ヶ月前の在庫'!$V$6:$V$10005,$V2043,'月1回_1ヶ月前の在庫'!$W$6:$W$10005,$W2043)&gt;0),N(U2042),N(U2042)+1))</f>
        <v/>
      </c>
      <c r="V2043" s="19">
        <f>IF($B2043="","",TEXT($B2043,"0000"))</f>
        <v/>
      </c>
      <c r="W2043" s="19">
        <f>IF($I2043="","",IF(ISNUMBER($I2043),TEXT($I2043,"0"),$I2043))</f>
        <v/>
      </c>
    </row>
    <row r="2044">
      <c r="B2044" s="25" t="n"/>
      <c r="I2044" s="25" t="n"/>
      <c r="U2044" s="19">
        <f>IF($V2044&lt;&gt;'設定'!$C$4,N(U2043),IF(OR(NOT(COUNTIF('商品マスタ'!$B$6:$B$1005,$W2044)=0),COUNTIFS('①在庫を貼る'!$V$6:$V$10005,$V2044,'①在庫を貼る'!$W$6:$W$10005,$W2044)+COUNTIFS('月1回_1ヶ月前の在庫'!$V$6:$V$10005,$V2044,'月1回_1ヶ月前の在庫'!$W$6:$W$10005,$W2044)&gt;0),N(U2043),N(U2043)+1))</f>
        <v/>
      </c>
      <c r="V2044" s="19">
        <f>IF($B2044="","",TEXT($B2044,"0000"))</f>
        <v/>
      </c>
      <c r="W2044" s="19">
        <f>IF($I2044="","",IF(ISNUMBER($I2044),TEXT($I2044,"0"),$I2044))</f>
        <v/>
      </c>
    </row>
    <row r="2045">
      <c r="B2045" s="25" t="n"/>
      <c r="I2045" s="25" t="n"/>
      <c r="U2045" s="19">
        <f>IF($V2045&lt;&gt;'設定'!$C$4,N(U2044),IF(OR(NOT(COUNTIF('商品マスタ'!$B$6:$B$1005,$W2045)=0),COUNTIFS('①在庫を貼る'!$V$6:$V$10005,$V2045,'①在庫を貼る'!$W$6:$W$10005,$W2045)+COUNTIFS('月1回_1ヶ月前の在庫'!$V$6:$V$10005,$V2045,'月1回_1ヶ月前の在庫'!$W$6:$W$10005,$W2045)&gt;0),N(U2044),N(U2044)+1))</f>
        <v/>
      </c>
      <c r="V2045" s="19">
        <f>IF($B2045="","",TEXT($B2045,"0000"))</f>
        <v/>
      </c>
      <c r="W2045" s="19">
        <f>IF($I2045="","",IF(ISNUMBER($I2045),TEXT($I2045,"0"),$I2045))</f>
        <v/>
      </c>
    </row>
    <row r="2046">
      <c r="B2046" s="25" t="n"/>
      <c r="I2046" s="25" t="n"/>
      <c r="U2046" s="19">
        <f>IF($V2046&lt;&gt;'設定'!$C$4,N(U2045),IF(OR(NOT(COUNTIF('商品マスタ'!$B$6:$B$1005,$W2046)=0),COUNTIFS('①在庫を貼る'!$V$6:$V$10005,$V2046,'①在庫を貼る'!$W$6:$W$10005,$W2046)+COUNTIFS('月1回_1ヶ月前の在庫'!$V$6:$V$10005,$V2046,'月1回_1ヶ月前の在庫'!$W$6:$W$10005,$W2046)&gt;0),N(U2045),N(U2045)+1))</f>
        <v/>
      </c>
      <c r="V2046" s="19">
        <f>IF($B2046="","",TEXT($B2046,"0000"))</f>
        <v/>
      </c>
      <c r="W2046" s="19">
        <f>IF($I2046="","",IF(ISNUMBER($I2046),TEXT($I2046,"0"),$I2046))</f>
        <v/>
      </c>
    </row>
    <row r="2047">
      <c r="B2047" s="25" t="n"/>
      <c r="I2047" s="25" t="n"/>
      <c r="U2047" s="19">
        <f>IF($V2047&lt;&gt;'設定'!$C$4,N(U2046),IF(OR(NOT(COUNTIF('商品マスタ'!$B$6:$B$1005,$W2047)=0),COUNTIFS('①在庫を貼る'!$V$6:$V$10005,$V2047,'①在庫を貼る'!$W$6:$W$10005,$W2047)+COUNTIFS('月1回_1ヶ月前の在庫'!$V$6:$V$10005,$V2047,'月1回_1ヶ月前の在庫'!$W$6:$W$10005,$W2047)&gt;0),N(U2046),N(U2046)+1))</f>
        <v/>
      </c>
      <c r="V2047" s="19">
        <f>IF($B2047="","",TEXT($B2047,"0000"))</f>
        <v/>
      </c>
      <c r="W2047" s="19">
        <f>IF($I2047="","",IF(ISNUMBER($I2047),TEXT($I2047,"0"),$I2047))</f>
        <v/>
      </c>
    </row>
    <row r="2048">
      <c r="B2048" s="25" t="n"/>
      <c r="I2048" s="25" t="n"/>
      <c r="U2048" s="19">
        <f>IF($V2048&lt;&gt;'設定'!$C$4,N(U2047),IF(OR(NOT(COUNTIF('商品マスタ'!$B$6:$B$1005,$W2048)=0),COUNTIFS('①在庫を貼る'!$V$6:$V$10005,$V2048,'①在庫を貼る'!$W$6:$W$10005,$W2048)+COUNTIFS('月1回_1ヶ月前の在庫'!$V$6:$V$10005,$V2048,'月1回_1ヶ月前の在庫'!$W$6:$W$10005,$W2048)&gt;0),N(U2047),N(U2047)+1))</f>
        <v/>
      </c>
      <c r="V2048" s="19">
        <f>IF($B2048="","",TEXT($B2048,"0000"))</f>
        <v/>
      </c>
      <c r="W2048" s="19">
        <f>IF($I2048="","",IF(ISNUMBER($I2048),TEXT($I2048,"0"),$I2048))</f>
        <v/>
      </c>
    </row>
    <row r="2049">
      <c r="B2049" s="25" t="n"/>
      <c r="I2049" s="25" t="n"/>
      <c r="U2049" s="19">
        <f>IF($V2049&lt;&gt;'設定'!$C$4,N(U2048),IF(OR(NOT(COUNTIF('商品マスタ'!$B$6:$B$1005,$W2049)=0),COUNTIFS('①在庫を貼る'!$V$6:$V$10005,$V2049,'①在庫を貼る'!$W$6:$W$10005,$W2049)+COUNTIFS('月1回_1ヶ月前の在庫'!$V$6:$V$10005,$V2049,'月1回_1ヶ月前の在庫'!$W$6:$W$10005,$W2049)&gt;0),N(U2048),N(U2048)+1))</f>
        <v/>
      </c>
      <c r="V2049" s="19">
        <f>IF($B2049="","",TEXT($B2049,"0000"))</f>
        <v/>
      </c>
      <c r="W2049" s="19">
        <f>IF($I2049="","",IF(ISNUMBER($I2049),TEXT($I2049,"0"),$I2049))</f>
        <v/>
      </c>
    </row>
    <row r="2050">
      <c r="B2050" s="25" t="n"/>
      <c r="I2050" s="25" t="n"/>
      <c r="U2050" s="19">
        <f>IF($V2050&lt;&gt;'設定'!$C$4,N(U2049),IF(OR(NOT(COUNTIF('商品マスタ'!$B$6:$B$1005,$W2050)=0),COUNTIFS('①在庫を貼る'!$V$6:$V$10005,$V2050,'①在庫を貼る'!$W$6:$W$10005,$W2050)+COUNTIFS('月1回_1ヶ月前の在庫'!$V$6:$V$10005,$V2050,'月1回_1ヶ月前の在庫'!$W$6:$W$10005,$W2050)&gt;0),N(U2049),N(U2049)+1))</f>
        <v/>
      </c>
      <c r="V2050" s="19">
        <f>IF($B2050="","",TEXT($B2050,"0000"))</f>
        <v/>
      </c>
      <c r="W2050" s="19">
        <f>IF($I2050="","",IF(ISNUMBER($I2050),TEXT($I2050,"0"),$I2050))</f>
        <v/>
      </c>
    </row>
    <row r="2051">
      <c r="B2051" s="25" t="n"/>
      <c r="I2051" s="25" t="n"/>
      <c r="U2051" s="19">
        <f>IF($V2051&lt;&gt;'設定'!$C$4,N(U2050),IF(OR(NOT(COUNTIF('商品マスタ'!$B$6:$B$1005,$W2051)=0),COUNTIFS('①在庫を貼る'!$V$6:$V$10005,$V2051,'①在庫を貼る'!$W$6:$W$10005,$W2051)+COUNTIFS('月1回_1ヶ月前の在庫'!$V$6:$V$10005,$V2051,'月1回_1ヶ月前の在庫'!$W$6:$W$10005,$W2051)&gt;0),N(U2050),N(U2050)+1))</f>
        <v/>
      </c>
      <c r="V2051" s="19">
        <f>IF($B2051="","",TEXT($B2051,"0000"))</f>
        <v/>
      </c>
      <c r="W2051" s="19">
        <f>IF($I2051="","",IF(ISNUMBER($I2051),TEXT($I2051,"0"),$I2051))</f>
        <v/>
      </c>
    </row>
    <row r="2052">
      <c r="B2052" s="25" t="n"/>
      <c r="I2052" s="25" t="n"/>
      <c r="U2052" s="19">
        <f>IF($V2052&lt;&gt;'設定'!$C$4,N(U2051),IF(OR(NOT(COUNTIF('商品マスタ'!$B$6:$B$1005,$W2052)=0),COUNTIFS('①在庫を貼る'!$V$6:$V$10005,$V2052,'①在庫を貼る'!$W$6:$W$10005,$W2052)+COUNTIFS('月1回_1ヶ月前の在庫'!$V$6:$V$10005,$V2052,'月1回_1ヶ月前の在庫'!$W$6:$W$10005,$W2052)&gt;0),N(U2051),N(U2051)+1))</f>
        <v/>
      </c>
      <c r="V2052" s="19">
        <f>IF($B2052="","",TEXT($B2052,"0000"))</f>
        <v/>
      </c>
      <c r="W2052" s="19">
        <f>IF($I2052="","",IF(ISNUMBER($I2052),TEXT($I2052,"0"),$I2052))</f>
        <v/>
      </c>
    </row>
    <row r="2053">
      <c r="B2053" s="25" t="n"/>
      <c r="I2053" s="25" t="n"/>
      <c r="U2053" s="19">
        <f>IF($V2053&lt;&gt;'設定'!$C$4,N(U2052),IF(OR(NOT(COUNTIF('商品マスタ'!$B$6:$B$1005,$W2053)=0),COUNTIFS('①在庫を貼る'!$V$6:$V$10005,$V2053,'①在庫を貼る'!$W$6:$W$10005,$W2053)+COUNTIFS('月1回_1ヶ月前の在庫'!$V$6:$V$10005,$V2053,'月1回_1ヶ月前の在庫'!$W$6:$W$10005,$W2053)&gt;0),N(U2052),N(U2052)+1))</f>
        <v/>
      </c>
      <c r="V2053" s="19">
        <f>IF($B2053="","",TEXT($B2053,"0000"))</f>
        <v/>
      </c>
      <c r="W2053" s="19">
        <f>IF($I2053="","",IF(ISNUMBER($I2053),TEXT($I2053,"0"),$I2053))</f>
        <v/>
      </c>
    </row>
    <row r="2054">
      <c r="B2054" s="25" t="n"/>
      <c r="I2054" s="25" t="n"/>
      <c r="U2054" s="19">
        <f>IF($V2054&lt;&gt;'設定'!$C$4,N(U2053),IF(OR(NOT(COUNTIF('商品マスタ'!$B$6:$B$1005,$W2054)=0),COUNTIFS('①在庫を貼る'!$V$6:$V$10005,$V2054,'①在庫を貼る'!$W$6:$W$10005,$W2054)+COUNTIFS('月1回_1ヶ月前の在庫'!$V$6:$V$10005,$V2054,'月1回_1ヶ月前の在庫'!$W$6:$W$10005,$W2054)&gt;0),N(U2053),N(U2053)+1))</f>
        <v/>
      </c>
      <c r="V2054" s="19">
        <f>IF($B2054="","",TEXT($B2054,"0000"))</f>
        <v/>
      </c>
      <c r="W2054" s="19">
        <f>IF($I2054="","",IF(ISNUMBER($I2054),TEXT($I2054,"0"),$I2054))</f>
        <v/>
      </c>
    </row>
    <row r="2055">
      <c r="B2055" s="25" t="n"/>
      <c r="I2055" s="25" t="n"/>
      <c r="U2055" s="19">
        <f>IF($V2055&lt;&gt;'設定'!$C$4,N(U2054),IF(OR(NOT(COUNTIF('商品マスタ'!$B$6:$B$1005,$W2055)=0),COUNTIFS('①在庫を貼る'!$V$6:$V$10005,$V2055,'①在庫を貼る'!$W$6:$W$10005,$W2055)+COUNTIFS('月1回_1ヶ月前の在庫'!$V$6:$V$10005,$V2055,'月1回_1ヶ月前の在庫'!$W$6:$W$10005,$W2055)&gt;0),N(U2054),N(U2054)+1))</f>
        <v/>
      </c>
      <c r="V2055" s="19">
        <f>IF($B2055="","",TEXT($B2055,"0000"))</f>
        <v/>
      </c>
      <c r="W2055" s="19">
        <f>IF($I2055="","",IF(ISNUMBER($I2055),TEXT($I2055,"0"),$I2055))</f>
        <v/>
      </c>
    </row>
    <row r="2056">
      <c r="B2056" s="25" t="n"/>
      <c r="I2056" s="25" t="n"/>
      <c r="U2056" s="19">
        <f>IF($V2056&lt;&gt;'設定'!$C$4,N(U2055),IF(OR(NOT(COUNTIF('商品マスタ'!$B$6:$B$1005,$W2056)=0),COUNTIFS('①在庫を貼る'!$V$6:$V$10005,$V2056,'①在庫を貼る'!$W$6:$W$10005,$W2056)+COUNTIFS('月1回_1ヶ月前の在庫'!$V$6:$V$10005,$V2056,'月1回_1ヶ月前の在庫'!$W$6:$W$10005,$W2056)&gt;0),N(U2055),N(U2055)+1))</f>
        <v/>
      </c>
      <c r="V2056" s="19">
        <f>IF($B2056="","",TEXT($B2056,"0000"))</f>
        <v/>
      </c>
      <c r="W2056" s="19">
        <f>IF($I2056="","",IF(ISNUMBER($I2056),TEXT($I2056,"0"),$I2056))</f>
        <v/>
      </c>
    </row>
    <row r="2057">
      <c r="B2057" s="25" t="n"/>
      <c r="I2057" s="25" t="n"/>
      <c r="U2057" s="19">
        <f>IF($V2057&lt;&gt;'設定'!$C$4,N(U2056),IF(OR(NOT(COUNTIF('商品マスタ'!$B$6:$B$1005,$W2057)=0),COUNTIFS('①在庫を貼る'!$V$6:$V$10005,$V2057,'①在庫を貼る'!$W$6:$W$10005,$W2057)+COUNTIFS('月1回_1ヶ月前の在庫'!$V$6:$V$10005,$V2057,'月1回_1ヶ月前の在庫'!$W$6:$W$10005,$W2057)&gt;0),N(U2056),N(U2056)+1))</f>
        <v/>
      </c>
      <c r="V2057" s="19">
        <f>IF($B2057="","",TEXT($B2057,"0000"))</f>
        <v/>
      </c>
      <c r="W2057" s="19">
        <f>IF($I2057="","",IF(ISNUMBER($I2057),TEXT($I2057,"0"),$I2057))</f>
        <v/>
      </c>
    </row>
    <row r="2058">
      <c r="B2058" s="25" t="n"/>
      <c r="I2058" s="25" t="n"/>
      <c r="U2058" s="19">
        <f>IF($V2058&lt;&gt;'設定'!$C$4,N(U2057),IF(OR(NOT(COUNTIF('商品マスタ'!$B$6:$B$1005,$W2058)=0),COUNTIFS('①在庫を貼る'!$V$6:$V$10005,$V2058,'①在庫を貼る'!$W$6:$W$10005,$W2058)+COUNTIFS('月1回_1ヶ月前の在庫'!$V$6:$V$10005,$V2058,'月1回_1ヶ月前の在庫'!$W$6:$W$10005,$W2058)&gt;0),N(U2057),N(U2057)+1))</f>
        <v/>
      </c>
      <c r="V2058" s="19">
        <f>IF($B2058="","",TEXT($B2058,"0000"))</f>
        <v/>
      </c>
      <c r="W2058" s="19">
        <f>IF($I2058="","",IF(ISNUMBER($I2058),TEXT($I2058,"0"),$I2058))</f>
        <v/>
      </c>
    </row>
    <row r="2059">
      <c r="B2059" s="25" t="n"/>
      <c r="I2059" s="25" t="n"/>
      <c r="U2059" s="19">
        <f>IF($V2059&lt;&gt;'設定'!$C$4,N(U2058),IF(OR(NOT(COUNTIF('商品マスタ'!$B$6:$B$1005,$W2059)=0),COUNTIFS('①在庫を貼る'!$V$6:$V$10005,$V2059,'①在庫を貼る'!$W$6:$W$10005,$W2059)+COUNTIFS('月1回_1ヶ月前の在庫'!$V$6:$V$10005,$V2059,'月1回_1ヶ月前の在庫'!$W$6:$W$10005,$W2059)&gt;0),N(U2058),N(U2058)+1))</f>
        <v/>
      </c>
      <c r="V2059" s="19">
        <f>IF($B2059="","",TEXT($B2059,"0000"))</f>
        <v/>
      </c>
      <c r="W2059" s="19">
        <f>IF($I2059="","",IF(ISNUMBER($I2059),TEXT($I2059,"0"),$I2059))</f>
        <v/>
      </c>
    </row>
    <row r="2060">
      <c r="B2060" s="25" t="n"/>
      <c r="I2060" s="25" t="n"/>
      <c r="U2060" s="19">
        <f>IF($V2060&lt;&gt;'設定'!$C$4,N(U2059),IF(OR(NOT(COUNTIF('商品マスタ'!$B$6:$B$1005,$W2060)=0),COUNTIFS('①在庫を貼る'!$V$6:$V$10005,$V2060,'①在庫を貼る'!$W$6:$W$10005,$W2060)+COUNTIFS('月1回_1ヶ月前の在庫'!$V$6:$V$10005,$V2060,'月1回_1ヶ月前の在庫'!$W$6:$W$10005,$W2060)&gt;0),N(U2059),N(U2059)+1))</f>
        <v/>
      </c>
      <c r="V2060" s="19">
        <f>IF($B2060="","",TEXT($B2060,"0000"))</f>
        <v/>
      </c>
      <c r="W2060" s="19">
        <f>IF($I2060="","",IF(ISNUMBER($I2060),TEXT($I2060,"0"),$I2060))</f>
        <v/>
      </c>
    </row>
    <row r="2061">
      <c r="B2061" s="25" t="n"/>
      <c r="I2061" s="25" t="n"/>
      <c r="U2061" s="19">
        <f>IF($V2061&lt;&gt;'設定'!$C$4,N(U2060),IF(OR(NOT(COUNTIF('商品マスタ'!$B$6:$B$1005,$W2061)=0),COUNTIFS('①在庫を貼る'!$V$6:$V$10005,$V2061,'①在庫を貼る'!$W$6:$W$10005,$W2061)+COUNTIFS('月1回_1ヶ月前の在庫'!$V$6:$V$10005,$V2061,'月1回_1ヶ月前の在庫'!$W$6:$W$10005,$W2061)&gt;0),N(U2060),N(U2060)+1))</f>
        <v/>
      </c>
      <c r="V2061" s="19">
        <f>IF($B2061="","",TEXT($B2061,"0000"))</f>
        <v/>
      </c>
      <c r="W2061" s="19">
        <f>IF($I2061="","",IF(ISNUMBER($I2061),TEXT($I2061,"0"),$I2061))</f>
        <v/>
      </c>
    </row>
    <row r="2062">
      <c r="B2062" s="25" t="n"/>
      <c r="I2062" s="25" t="n"/>
      <c r="U2062" s="19">
        <f>IF($V2062&lt;&gt;'設定'!$C$4,N(U2061),IF(OR(NOT(COUNTIF('商品マスタ'!$B$6:$B$1005,$W2062)=0),COUNTIFS('①在庫を貼る'!$V$6:$V$10005,$V2062,'①在庫を貼る'!$W$6:$W$10005,$W2062)+COUNTIFS('月1回_1ヶ月前の在庫'!$V$6:$V$10005,$V2062,'月1回_1ヶ月前の在庫'!$W$6:$W$10005,$W2062)&gt;0),N(U2061),N(U2061)+1))</f>
        <v/>
      </c>
      <c r="V2062" s="19">
        <f>IF($B2062="","",TEXT($B2062,"0000"))</f>
        <v/>
      </c>
      <c r="W2062" s="19">
        <f>IF($I2062="","",IF(ISNUMBER($I2062),TEXT($I2062,"0"),$I2062))</f>
        <v/>
      </c>
    </row>
    <row r="2063">
      <c r="B2063" s="25" t="n"/>
      <c r="I2063" s="25" t="n"/>
      <c r="U2063" s="19">
        <f>IF($V2063&lt;&gt;'設定'!$C$4,N(U2062),IF(OR(NOT(COUNTIF('商品マスタ'!$B$6:$B$1005,$W2063)=0),COUNTIFS('①在庫を貼る'!$V$6:$V$10005,$V2063,'①在庫を貼る'!$W$6:$W$10005,$W2063)+COUNTIFS('月1回_1ヶ月前の在庫'!$V$6:$V$10005,$V2063,'月1回_1ヶ月前の在庫'!$W$6:$W$10005,$W2063)&gt;0),N(U2062),N(U2062)+1))</f>
        <v/>
      </c>
      <c r="V2063" s="19">
        <f>IF($B2063="","",TEXT($B2063,"0000"))</f>
        <v/>
      </c>
      <c r="W2063" s="19">
        <f>IF($I2063="","",IF(ISNUMBER($I2063),TEXT($I2063,"0"),$I2063))</f>
        <v/>
      </c>
    </row>
    <row r="2064">
      <c r="B2064" s="25" t="n"/>
      <c r="I2064" s="25" t="n"/>
      <c r="U2064" s="19">
        <f>IF($V2064&lt;&gt;'設定'!$C$4,N(U2063),IF(OR(NOT(COUNTIF('商品マスタ'!$B$6:$B$1005,$W2064)=0),COUNTIFS('①在庫を貼る'!$V$6:$V$10005,$V2064,'①在庫を貼る'!$W$6:$W$10005,$W2064)+COUNTIFS('月1回_1ヶ月前の在庫'!$V$6:$V$10005,$V2064,'月1回_1ヶ月前の在庫'!$W$6:$W$10005,$W2064)&gt;0),N(U2063),N(U2063)+1))</f>
        <v/>
      </c>
      <c r="V2064" s="19">
        <f>IF($B2064="","",TEXT($B2064,"0000"))</f>
        <v/>
      </c>
      <c r="W2064" s="19">
        <f>IF($I2064="","",IF(ISNUMBER($I2064),TEXT($I2064,"0"),$I2064))</f>
        <v/>
      </c>
    </row>
    <row r="2065">
      <c r="B2065" s="25" t="n"/>
      <c r="I2065" s="25" t="n"/>
      <c r="U2065" s="19">
        <f>IF($V2065&lt;&gt;'設定'!$C$4,N(U2064),IF(OR(NOT(COUNTIF('商品マスタ'!$B$6:$B$1005,$W2065)=0),COUNTIFS('①在庫を貼る'!$V$6:$V$10005,$V2065,'①在庫を貼る'!$W$6:$W$10005,$W2065)+COUNTIFS('月1回_1ヶ月前の在庫'!$V$6:$V$10005,$V2065,'月1回_1ヶ月前の在庫'!$W$6:$W$10005,$W2065)&gt;0),N(U2064),N(U2064)+1))</f>
        <v/>
      </c>
      <c r="V2065" s="19">
        <f>IF($B2065="","",TEXT($B2065,"0000"))</f>
        <v/>
      </c>
      <c r="W2065" s="19">
        <f>IF($I2065="","",IF(ISNUMBER($I2065),TEXT($I2065,"0"),$I2065))</f>
        <v/>
      </c>
    </row>
    <row r="2066">
      <c r="B2066" s="25" t="n"/>
      <c r="I2066" s="25" t="n"/>
      <c r="U2066" s="19">
        <f>IF($V2066&lt;&gt;'設定'!$C$4,N(U2065),IF(OR(NOT(COUNTIF('商品マスタ'!$B$6:$B$1005,$W2066)=0),COUNTIFS('①在庫を貼る'!$V$6:$V$10005,$V2066,'①在庫を貼る'!$W$6:$W$10005,$W2066)+COUNTIFS('月1回_1ヶ月前の在庫'!$V$6:$V$10005,$V2066,'月1回_1ヶ月前の在庫'!$W$6:$W$10005,$W2066)&gt;0),N(U2065),N(U2065)+1))</f>
        <v/>
      </c>
      <c r="V2066" s="19">
        <f>IF($B2066="","",TEXT($B2066,"0000"))</f>
        <v/>
      </c>
      <c r="W2066" s="19">
        <f>IF($I2066="","",IF(ISNUMBER($I2066),TEXT($I2066,"0"),$I2066))</f>
        <v/>
      </c>
    </row>
    <row r="2067">
      <c r="B2067" s="25" t="n"/>
      <c r="I2067" s="25" t="n"/>
      <c r="U2067" s="19">
        <f>IF($V2067&lt;&gt;'設定'!$C$4,N(U2066),IF(OR(NOT(COUNTIF('商品マスタ'!$B$6:$B$1005,$W2067)=0),COUNTIFS('①在庫を貼る'!$V$6:$V$10005,$V2067,'①在庫を貼る'!$W$6:$W$10005,$W2067)+COUNTIFS('月1回_1ヶ月前の在庫'!$V$6:$V$10005,$V2067,'月1回_1ヶ月前の在庫'!$W$6:$W$10005,$W2067)&gt;0),N(U2066),N(U2066)+1))</f>
        <v/>
      </c>
      <c r="V2067" s="19">
        <f>IF($B2067="","",TEXT($B2067,"0000"))</f>
        <v/>
      </c>
      <c r="W2067" s="19">
        <f>IF($I2067="","",IF(ISNUMBER($I2067),TEXT($I2067,"0"),$I2067))</f>
        <v/>
      </c>
    </row>
    <row r="2068">
      <c r="B2068" s="25" t="n"/>
      <c r="I2068" s="25" t="n"/>
      <c r="U2068" s="19">
        <f>IF($V2068&lt;&gt;'設定'!$C$4,N(U2067),IF(OR(NOT(COUNTIF('商品マスタ'!$B$6:$B$1005,$W2068)=0),COUNTIFS('①在庫を貼る'!$V$6:$V$10005,$V2068,'①在庫を貼る'!$W$6:$W$10005,$W2068)+COUNTIFS('月1回_1ヶ月前の在庫'!$V$6:$V$10005,$V2068,'月1回_1ヶ月前の在庫'!$W$6:$W$10005,$W2068)&gt;0),N(U2067),N(U2067)+1))</f>
        <v/>
      </c>
      <c r="V2068" s="19">
        <f>IF($B2068="","",TEXT($B2068,"0000"))</f>
        <v/>
      </c>
      <c r="W2068" s="19">
        <f>IF($I2068="","",IF(ISNUMBER($I2068),TEXT($I2068,"0"),$I2068))</f>
        <v/>
      </c>
    </row>
    <row r="2069">
      <c r="B2069" s="25" t="n"/>
      <c r="I2069" s="25" t="n"/>
      <c r="U2069" s="19">
        <f>IF($V2069&lt;&gt;'設定'!$C$4,N(U2068),IF(OR(NOT(COUNTIF('商品マスタ'!$B$6:$B$1005,$W2069)=0),COUNTIFS('①在庫を貼る'!$V$6:$V$10005,$V2069,'①在庫を貼る'!$W$6:$W$10005,$W2069)+COUNTIFS('月1回_1ヶ月前の在庫'!$V$6:$V$10005,$V2069,'月1回_1ヶ月前の在庫'!$W$6:$W$10005,$W2069)&gt;0),N(U2068),N(U2068)+1))</f>
        <v/>
      </c>
      <c r="V2069" s="19">
        <f>IF($B2069="","",TEXT($B2069,"0000"))</f>
        <v/>
      </c>
      <c r="W2069" s="19">
        <f>IF($I2069="","",IF(ISNUMBER($I2069),TEXT($I2069,"0"),$I2069))</f>
        <v/>
      </c>
    </row>
    <row r="2070">
      <c r="B2070" s="25" t="n"/>
      <c r="I2070" s="25" t="n"/>
      <c r="U2070" s="19">
        <f>IF($V2070&lt;&gt;'設定'!$C$4,N(U2069),IF(OR(NOT(COUNTIF('商品マスタ'!$B$6:$B$1005,$W2070)=0),COUNTIFS('①在庫を貼る'!$V$6:$V$10005,$V2070,'①在庫を貼る'!$W$6:$W$10005,$W2070)+COUNTIFS('月1回_1ヶ月前の在庫'!$V$6:$V$10005,$V2070,'月1回_1ヶ月前の在庫'!$W$6:$W$10005,$W2070)&gt;0),N(U2069),N(U2069)+1))</f>
        <v/>
      </c>
      <c r="V2070" s="19">
        <f>IF($B2070="","",TEXT($B2070,"0000"))</f>
        <v/>
      </c>
      <c r="W2070" s="19">
        <f>IF($I2070="","",IF(ISNUMBER($I2070),TEXT($I2070,"0"),$I2070))</f>
        <v/>
      </c>
    </row>
    <row r="2071">
      <c r="B2071" s="25" t="n"/>
      <c r="I2071" s="25" t="n"/>
      <c r="U2071" s="19">
        <f>IF($V2071&lt;&gt;'設定'!$C$4,N(U2070),IF(OR(NOT(COUNTIF('商品マスタ'!$B$6:$B$1005,$W2071)=0),COUNTIFS('①在庫を貼る'!$V$6:$V$10005,$V2071,'①在庫を貼る'!$W$6:$W$10005,$W2071)+COUNTIFS('月1回_1ヶ月前の在庫'!$V$6:$V$10005,$V2071,'月1回_1ヶ月前の在庫'!$W$6:$W$10005,$W2071)&gt;0),N(U2070),N(U2070)+1))</f>
        <v/>
      </c>
      <c r="V2071" s="19">
        <f>IF($B2071="","",TEXT($B2071,"0000"))</f>
        <v/>
      </c>
      <c r="W2071" s="19">
        <f>IF($I2071="","",IF(ISNUMBER($I2071),TEXT($I2071,"0"),$I2071))</f>
        <v/>
      </c>
    </row>
    <row r="2072">
      <c r="B2072" s="25" t="n"/>
      <c r="I2072" s="25" t="n"/>
      <c r="U2072" s="19">
        <f>IF($V2072&lt;&gt;'設定'!$C$4,N(U2071),IF(OR(NOT(COUNTIF('商品マスタ'!$B$6:$B$1005,$W2072)=0),COUNTIFS('①在庫を貼る'!$V$6:$V$10005,$V2072,'①在庫を貼る'!$W$6:$W$10005,$W2072)+COUNTIFS('月1回_1ヶ月前の在庫'!$V$6:$V$10005,$V2072,'月1回_1ヶ月前の在庫'!$W$6:$W$10005,$W2072)&gt;0),N(U2071),N(U2071)+1))</f>
        <v/>
      </c>
      <c r="V2072" s="19">
        <f>IF($B2072="","",TEXT($B2072,"0000"))</f>
        <v/>
      </c>
      <c r="W2072" s="19">
        <f>IF($I2072="","",IF(ISNUMBER($I2072),TEXT($I2072,"0"),$I2072))</f>
        <v/>
      </c>
    </row>
    <row r="2073">
      <c r="B2073" s="25" t="n"/>
      <c r="I2073" s="25" t="n"/>
      <c r="U2073" s="19">
        <f>IF($V2073&lt;&gt;'設定'!$C$4,N(U2072),IF(OR(NOT(COUNTIF('商品マスタ'!$B$6:$B$1005,$W2073)=0),COUNTIFS('①在庫を貼る'!$V$6:$V$10005,$V2073,'①在庫を貼る'!$W$6:$W$10005,$W2073)+COUNTIFS('月1回_1ヶ月前の在庫'!$V$6:$V$10005,$V2073,'月1回_1ヶ月前の在庫'!$W$6:$W$10005,$W2073)&gt;0),N(U2072),N(U2072)+1))</f>
        <v/>
      </c>
      <c r="V2073" s="19">
        <f>IF($B2073="","",TEXT($B2073,"0000"))</f>
        <v/>
      </c>
      <c r="W2073" s="19">
        <f>IF($I2073="","",IF(ISNUMBER($I2073),TEXT($I2073,"0"),$I2073))</f>
        <v/>
      </c>
    </row>
    <row r="2074">
      <c r="B2074" s="25" t="n"/>
      <c r="I2074" s="25" t="n"/>
      <c r="U2074" s="19">
        <f>IF($V2074&lt;&gt;'設定'!$C$4,N(U2073),IF(OR(NOT(COUNTIF('商品マスタ'!$B$6:$B$1005,$W2074)=0),COUNTIFS('①在庫を貼る'!$V$6:$V$10005,$V2074,'①在庫を貼る'!$W$6:$W$10005,$W2074)+COUNTIFS('月1回_1ヶ月前の在庫'!$V$6:$V$10005,$V2074,'月1回_1ヶ月前の在庫'!$W$6:$W$10005,$W2074)&gt;0),N(U2073),N(U2073)+1))</f>
        <v/>
      </c>
      <c r="V2074" s="19">
        <f>IF($B2074="","",TEXT($B2074,"0000"))</f>
        <v/>
      </c>
      <c r="W2074" s="19">
        <f>IF($I2074="","",IF(ISNUMBER($I2074),TEXT($I2074,"0"),$I2074))</f>
        <v/>
      </c>
    </row>
    <row r="2075">
      <c r="B2075" s="25" t="n"/>
      <c r="I2075" s="25" t="n"/>
      <c r="U2075" s="19">
        <f>IF($V2075&lt;&gt;'設定'!$C$4,N(U2074),IF(OR(NOT(COUNTIF('商品マスタ'!$B$6:$B$1005,$W2075)=0),COUNTIFS('①在庫を貼る'!$V$6:$V$10005,$V2075,'①在庫を貼る'!$W$6:$W$10005,$W2075)+COUNTIFS('月1回_1ヶ月前の在庫'!$V$6:$V$10005,$V2075,'月1回_1ヶ月前の在庫'!$W$6:$W$10005,$W2075)&gt;0),N(U2074),N(U2074)+1))</f>
        <v/>
      </c>
      <c r="V2075" s="19">
        <f>IF($B2075="","",TEXT($B2075,"0000"))</f>
        <v/>
      </c>
      <c r="W2075" s="19">
        <f>IF($I2075="","",IF(ISNUMBER($I2075),TEXT($I2075,"0"),$I2075))</f>
        <v/>
      </c>
    </row>
    <row r="2076">
      <c r="B2076" s="25" t="n"/>
      <c r="I2076" s="25" t="n"/>
      <c r="U2076" s="19">
        <f>IF($V2076&lt;&gt;'設定'!$C$4,N(U2075),IF(OR(NOT(COUNTIF('商品マスタ'!$B$6:$B$1005,$W2076)=0),COUNTIFS('①在庫を貼る'!$V$6:$V$10005,$V2076,'①在庫を貼る'!$W$6:$W$10005,$W2076)+COUNTIFS('月1回_1ヶ月前の在庫'!$V$6:$V$10005,$V2076,'月1回_1ヶ月前の在庫'!$W$6:$W$10005,$W2076)&gt;0),N(U2075),N(U2075)+1))</f>
        <v/>
      </c>
      <c r="V2076" s="19">
        <f>IF($B2076="","",TEXT($B2076,"0000"))</f>
        <v/>
      </c>
      <c r="W2076" s="19">
        <f>IF($I2076="","",IF(ISNUMBER($I2076),TEXT($I2076,"0"),$I2076))</f>
        <v/>
      </c>
    </row>
    <row r="2077">
      <c r="B2077" s="25" t="n"/>
      <c r="I2077" s="25" t="n"/>
      <c r="U2077" s="19">
        <f>IF($V2077&lt;&gt;'設定'!$C$4,N(U2076),IF(OR(NOT(COUNTIF('商品マスタ'!$B$6:$B$1005,$W2077)=0),COUNTIFS('①在庫を貼る'!$V$6:$V$10005,$V2077,'①在庫を貼る'!$W$6:$W$10005,$W2077)+COUNTIFS('月1回_1ヶ月前の在庫'!$V$6:$V$10005,$V2077,'月1回_1ヶ月前の在庫'!$W$6:$W$10005,$W2077)&gt;0),N(U2076),N(U2076)+1))</f>
        <v/>
      </c>
      <c r="V2077" s="19">
        <f>IF($B2077="","",TEXT($B2077,"0000"))</f>
        <v/>
      </c>
      <c r="W2077" s="19">
        <f>IF($I2077="","",IF(ISNUMBER($I2077),TEXT($I2077,"0"),$I2077))</f>
        <v/>
      </c>
    </row>
    <row r="2078">
      <c r="B2078" s="25" t="n"/>
      <c r="I2078" s="25" t="n"/>
      <c r="U2078" s="19">
        <f>IF($V2078&lt;&gt;'設定'!$C$4,N(U2077),IF(OR(NOT(COUNTIF('商品マスタ'!$B$6:$B$1005,$W2078)=0),COUNTIFS('①在庫を貼る'!$V$6:$V$10005,$V2078,'①在庫を貼る'!$W$6:$W$10005,$W2078)+COUNTIFS('月1回_1ヶ月前の在庫'!$V$6:$V$10005,$V2078,'月1回_1ヶ月前の在庫'!$W$6:$W$10005,$W2078)&gt;0),N(U2077),N(U2077)+1))</f>
        <v/>
      </c>
      <c r="V2078" s="19">
        <f>IF($B2078="","",TEXT($B2078,"0000"))</f>
        <v/>
      </c>
      <c r="W2078" s="19">
        <f>IF($I2078="","",IF(ISNUMBER($I2078),TEXT($I2078,"0"),$I2078))</f>
        <v/>
      </c>
    </row>
    <row r="2079">
      <c r="B2079" s="25" t="n"/>
      <c r="I2079" s="25" t="n"/>
      <c r="U2079" s="19">
        <f>IF($V2079&lt;&gt;'設定'!$C$4,N(U2078),IF(OR(NOT(COUNTIF('商品マスタ'!$B$6:$B$1005,$W2079)=0),COUNTIFS('①在庫を貼る'!$V$6:$V$10005,$V2079,'①在庫を貼る'!$W$6:$W$10005,$W2079)+COUNTIFS('月1回_1ヶ月前の在庫'!$V$6:$V$10005,$V2079,'月1回_1ヶ月前の在庫'!$W$6:$W$10005,$W2079)&gt;0),N(U2078),N(U2078)+1))</f>
        <v/>
      </c>
      <c r="V2079" s="19">
        <f>IF($B2079="","",TEXT($B2079,"0000"))</f>
        <v/>
      </c>
      <c r="W2079" s="19">
        <f>IF($I2079="","",IF(ISNUMBER($I2079),TEXT($I2079,"0"),$I2079))</f>
        <v/>
      </c>
    </row>
    <row r="2080">
      <c r="B2080" s="25" t="n"/>
      <c r="I2080" s="25" t="n"/>
      <c r="U2080" s="19">
        <f>IF($V2080&lt;&gt;'設定'!$C$4,N(U2079),IF(OR(NOT(COUNTIF('商品マスタ'!$B$6:$B$1005,$W2080)=0),COUNTIFS('①在庫を貼る'!$V$6:$V$10005,$V2080,'①在庫を貼る'!$W$6:$W$10005,$W2080)+COUNTIFS('月1回_1ヶ月前の在庫'!$V$6:$V$10005,$V2080,'月1回_1ヶ月前の在庫'!$W$6:$W$10005,$W2080)&gt;0),N(U2079),N(U2079)+1))</f>
        <v/>
      </c>
      <c r="V2080" s="19">
        <f>IF($B2080="","",TEXT($B2080,"0000"))</f>
        <v/>
      </c>
      <c r="W2080" s="19">
        <f>IF($I2080="","",IF(ISNUMBER($I2080),TEXT($I2080,"0"),$I2080))</f>
        <v/>
      </c>
    </row>
    <row r="2081">
      <c r="B2081" s="25" t="n"/>
      <c r="I2081" s="25" t="n"/>
      <c r="U2081" s="19">
        <f>IF($V2081&lt;&gt;'設定'!$C$4,N(U2080),IF(OR(NOT(COUNTIF('商品マスタ'!$B$6:$B$1005,$W2081)=0),COUNTIFS('①在庫を貼る'!$V$6:$V$10005,$V2081,'①在庫を貼る'!$W$6:$W$10005,$W2081)+COUNTIFS('月1回_1ヶ月前の在庫'!$V$6:$V$10005,$V2081,'月1回_1ヶ月前の在庫'!$W$6:$W$10005,$W2081)&gt;0),N(U2080),N(U2080)+1))</f>
        <v/>
      </c>
      <c r="V2081" s="19">
        <f>IF($B2081="","",TEXT($B2081,"0000"))</f>
        <v/>
      </c>
      <c r="W2081" s="19">
        <f>IF($I2081="","",IF(ISNUMBER($I2081),TEXT($I2081,"0"),$I2081))</f>
        <v/>
      </c>
    </row>
    <row r="2082">
      <c r="B2082" s="25" t="n"/>
      <c r="I2082" s="25" t="n"/>
      <c r="U2082" s="19">
        <f>IF($V2082&lt;&gt;'設定'!$C$4,N(U2081),IF(OR(NOT(COUNTIF('商品マスタ'!$B$6:$B$1005,$W2082)=0),COUNTIFS('①在庫を貼る'!$V$6:$V$10005,$V2082,'①在庫を貼る'!$W$6:$W$10005,$W2082)+COUNTIFS('月1回_1ヶ月前の在庫'!$V$6:$V$10005,$V2082,'月1回_1ヶ月前の在庫'!$W$6:$W$10005,$W2082)&gt;0),N(U2081),N(U2081)+1))</f>
        <v/>
      </c>
      <c r="V2082" s="19">
        <f>IF($B2082="","",TEXT($B2082,"0000"))</f>
        <v/>
      </c>
      <c r="W2082" s="19">
        <f>IF($I2082="","",IF(ISNUMBER($I2082),TEXT($I2082,"0"),$I2082))</f>
        <v/>
      </c>
    </row>
    <row r="2083">
      <c r="B2083" s="25" t="n"/>
      <c r="I2083" s="25" t="n"/>
      <c r="U2083" s="19">
        <f>IF($V2083&lt;&gt;'設定'!$C$4,N(U2082),IF(OR(NOT(COUNTIF('商品マスタ'!$B$6:$B$1005,$W2083)=0),COUNTIFS('①在庫を貼る'!$V$6:$V$10005,$V2083,'①在庫を貼る'!$W$6:$W$10005,$W2083)+COUNTIFS('月1回_1ヶ月前の在庫'!$V$6:$V$10005,$V2083,'月1回_1ヶ月前の在庫'!$W$6:$W$10005,$W2083)&gt;0),N(U2082),N(U2082)+1))</f>
        <v/>
      </c>
      <c r="V2083" s="19">
        <f>IF($B2083="","",TEXT($B2083,"0000"))</f>
        <v/>
      </c>
      <c r="W2083" s="19">
        <f>IF($I2083="","",IF(ISNUMBER($I2083),TEXT($I2083,"0"),$I2083))</f>
        <v/>
      </c>
    </row>
    <row r="2084">
      <c r="B2084" s="25" t="n"/>
      <c r="I2084" s="25" t="n"/>
      <c r="U2084" s="19">
        <f>IF($V2084&lt;&gt;'設定'!$C$4,N(U2083),IF(OR(NOT(COUNTIF('商品マスタ'!$B$6:$B$1005,$W2084)=0),COUNTIFS('①在庫を貼る'!$V$6:$V$10005,$V2084,'①在庫を貼る'!$W$6:$W$10005,$W2084)+COUNTIFS('月1回_1ヶ月前の在庫'!$V$6:$V$10005,$V2084,'月1回_1ヶ月前の在庫'!$W$6:$W$10005,$W2084)&gt;0),N(U2083),N(U2083)+1))</f>
        <v/>
      </c>
      <c r="V2084" s="19">
        <f>IF($B2084="","",TEXT($B2084,"0000"))</f>
        <v/>
      </c>
      <c r="W2084" s="19">
        <f>IF($I2084="","",IF(ISNUMBER($I2084),TEXT($I2084,"0"),$I2084))</f>
        <v/>
      </c>
    </row>
    <row r="2085">
      <c r="B2085" s="25" t="n"/>
      <c r="I2085" s="25" t="n"/>
      <c r="U2085" s="19">
        <f>IF($V2085&lt;&gt;'設定'!$C$4,N(U2084),IF(OR(NOT(COUNTIF('商品マスタ'!$B$6:$B$1005,$W2085)=0),COUNTIFS('①在庫を貼る'!$V$6:$V$10005,$V2085,'①在庫を貼る'!$W$6:$W$10005,$W2085)+COUNTIFS('月1回_1ヶ月前の在庫'!$V$6:$V$10005,$V2085,'月1回_1ヶ月前の在庫'!$W$6:$W$10005,$W2085)&gt;0),N(U2084),N(U2084)+1))</f>
        <v/>
      </c>
      <c r="V2085" s="19">
        <f>IF($B2085="","",TEXT($B2085,"0000"))</f>
        <v/>
      </c>
      <c r="W2085" s="19">
        <f>IF($I2085="","",IF(ISNUMBER($I2085),TEXT($I2085,"0"),$I2085))</f>
        <v/>
      </c>
    </row>
    <row r="2086">
      <c r="B2086" s="25" t="n"/>
      <c r="I2086" s="25" t="n"/>
      <c r="U2086" s="19">
        <f>IF($V2086&lt;&gt;'設定'!$C$4,N(U2085),IF(OR(NOT(COUNTIF('商品マスタ'!$B$6:$B$1005,$W2086)=0),COUNTIFS('①在庫を貼る'!$V$6:$V$10005,$V2086,'①在庫を貼る'!$W$6:$W$10005,$W2086)+COUNTIFS('月1回_1ヶ月前の在庫'!$V$6:$V$10005,$V2086,'月1回_1ヶ月前の在庫'!$W$6:$W$10005,$W2086)&gt;0),N(U2085),N(U2085)+1))</f>
        <v/>
      </c>
      <c r="V2086" s="19">
        <f>IF($B2086="","",TEXT($B2086,"0000"))</f>
        <v/>
      </c>
      <c r="W2086" s="19">
        <f>IF($I2086="","",IF(ISNUMBER($I2086),TEXT($I2086,"0"),$I2086))</f>
        <v/>
      </c>
    </row>
    <row r="2087">
      <c r="B2087" s="25" t="n"/>
      <c r="I2087" s="25" t="n"/>
      <c r="U2087" s="19">
        <f>IF($V2087&lt;&gt;'設定'!$C$4,N(U2086),IF(OR(NOT(COUNTIF('商品マスタ'!$B$6:$B$1005,$W2087)=0),COUNTIFS('①在庫を貼る'!$V$6:$V$10005,$V2087,'①在庫を貼る'!$W$6:$W$10005,$W2087)+COUNTIFS('月1回_1ヶ月前の在庫'!$V$6:$V$10005,$V2087,'月1回_1ヶ月前の在庫'!$W$6:$W$10005,$W2087)&gt;0),N(U2086),N(U2086)+1))</f>
        <v/>
      </c>
      <c r="V2087" s="19">
        <f>IF($B2087="","",TEXT($B2087,"0000"))</f>
        <v/>
      </c>
      <c r="W2087" s="19">
        <f>IF($I2087="","",IF(ISNUMBER($I2087),TEXT($I2087,"0"),$I2087))</f>
        <v/>
      </c>
    </row>
    <row r="2088">
      <c r="B2088" s="25" t="n"/>
      <c r="I2088" s="25" t="n"/>
      <c r="U2088" s="19">
        <f>IF($V2088&lt;&gt;'設定'!$C$4,N(U2087),IF(OR(NOT(COUNTIF('商品マスタ'!$B$6:$B$1005,$W2088)=0),COUNTIFS('①在庫を貼る'!$V$6:$V$10005,$V2088,'①在庫を貼る'!$W$6:$W$10005,$W2088)+COUNTIFS('月1回_1ヶ月前の在庫'!$V$6:$V$10005,$V2088,'月1回_1ヶ月前の在庫'!$W$6:$W$10005,$W2088)&gt;0),N(U2087),N(U2087)+1))</f>
        <v/>
      </c>
      <c r="V2088" s="19">
        <f>IF($B2088="","",TEXT($B2088,"0000"))</f>
        <v/>
      </c>
      <c r="W2088" s="19">
        <f>IF($I2088="","",IF(ISNUMBER($I2088),TEXT($I2088,"0"),$I2088))</f>
        <v/>
      </c>
    </row>
    <row r="2089">
      <c r="B2089" s="25" t="n"/>
      <c r="I2089" s="25" t="n"/>
      <c r="U2089" s="19">
        <f>IF($V2089&lt;&gt;'設定'!$C$4,N(U2088),IF(OR(NOT(COUNTIF('商品マスタ'!$B$6:$B$1005,$W2089)=0),COUNTIFS('①在庫を貼る'!$V$6:$V$10005,$V2089,'①在庫を貼る'!$W$6:$W$10005,$W2089)+COUNTIFS('月1回_1ヶ月前の在庫'!$V$6:$V$10005,$V2089,'月1回_1ヶ月前の在庫'!$W$6:$W$10005,$W2089)&gt;0),N(U2088),N(U2088)+1))</f>
        <v/>
      </c>
      <c r="V2089" s="19">
        <f>IF($B2089="","",TEXT($B2089,"0000"))</f>
        <v/>
      </c>
      <c r="W2089" s="19">
        <f>IF($I2089="","",IF(ISNUMBER($I2089),TEXT($I2089,"0"),$I2089))</f>
        <v/>
      </c>
    </row>
    <row r="2090">
      <c r="B2090" s="25" t="n"/>
      <c r="I2090" s="25" t="n"/>
      <c r="U2090" s="19">
        <f>IF($V2090&lt;&gt;'設定'!$C$4,N(U2089),IF(OR(NOT(COUNTIF('商品マスタ'!$B$6:$B$1005,$W2090)=0),COUNTIFS('①在庫を貼る'!$V$6:$V$10005,$V2090,'①在庫を貼る'!$W$6:$W$10005,$W2090)+COUNTIFS('月1回_1ヶ月前の在庫'!$V$6:$V$10005,$V2090,'月1回_1ヶ月前の在庫'!$W$6:$W$10005,$W2090)&gt;0),N(U2089),N(U2089)+1))</f>
        <v/>
      </c>
      <c r="V2090" s="19">
        <f>IF($B2090="","",TEXT($B2090,"0000"))</f>
        <v/>
      </c>
      <c r="W2090" s="19">
        <f>IF($I2090="","",IF(ISNUMBER($I2090),TEXT($I2090,"0"),$I2090))</f>
        <v/>
      </c>
    </row>
    <row r="2091">
      <c r="B2091" s="25" t="n"/>
      <c r="I2091" s="25" t="n"/>
      <c r="U2091" s="19">
        <f>IF($V2091&lt;&gt;'設定'!$C$4,N(U2090),IF(OR(NOT(COUNTIF('商品マスタ'!$B$6:$B$1005,$W2091)=0),COUNTIFS('①在庫を貼る'!$V$6:$V$10005,$V2091,'①在庫を貼る'!$W$6:$W$10005,$W2091)+COUNTIFS('月1回_1ヶ月前の在庫'!$V$6:$V$10005,$V2091,'月1回_1ヶ月前の在庫'!$W$6:$W$10005,$W2091)&gt;0),N(U2090),N(U2090)+1))</f>
        <v/>
      </c>
      <c r="V2091" s="19">
        <f>IF($B2091="","",TEXT($B2091,"0000"))</f>
        <v/>
      </c>
      <c r="W2091" s="19">
        <f>IF($I2091="","",IF(ISNUMBER($I2091),TEXT($I2091,"0"),$I2091))</f>
        <v/>
      </c>
    </row>
    <row r="2092">
      <c r="B2092" s="25" t="n"/>
      <c r="I2092" s="25" t="n"/>
      <c r="U2092" s="19">
        <f>IF($V2092&lt;&gt;'設定'!$C$4,N(U2091),IF(OR(NOT(COUNTIF('商品マスタ'!$B$6:$B$1005,$W2092)=0),COUNTIFS('①在庫を貼る'!$V$6:$V$10005,$V2092,'①在庫を貼る'!$W$6:$W$10005,$W2092)+COUNTIFS('月1回_1ヶ月前の在庫'!$V$6:$V$10005,$V2092,'月1回_1ヶ月前の在庫'!$W$6:$W$10005,$W2092)&gt;0),N(U2091),N(U2091)+1))</f>
        <v/>
      </c>
      <c r="V2092" s="19">
        <f>IF($B2092="","",TEXT($B2092,"0000"))</f>
        <v/>
      </c>
      <c r="W2092" s="19">
        <f>IF($I2092="","",IF(ISNUMBER($I2092),TEXT($I2092,"0"),$I2092))</f>
        <v/>
      </c>
    </row>
    <row r="2093">
      <c r="B2093" s="25" t="n"/>
      <c r="I2093" s="25" t="n"/>
      <c r="U2093" s="19">
        <f>IF($V2093&lt;&gt;'設定'!$C$4,N(U2092),IF(OR(NOT(COUNTIF('商品マスタ'!$B$6:$B$1005,$W2093)=0),COUNTIFS('①在庫を貼る'!$V$6:$V$10005,$V2093,'①在庫を貼る'!$W$6:$W$10005,$W2093)+COUNTIFS('月1回_1ヶ月前の在庫'!$V$6:$V$10005,$V2093,'月1回_1ヶ月前の在庫'!$W$6:$W$10005,$W2093)&gt;0),N(U2092),N(U2092)+1))</f>
        <v/>
      </c>
      <c r="V2093" s="19">
        <f>IF($B2093="","",TEXT($B2093,"0000"))</f>
        <v/>
      </c>
      <c r="W2093" s="19">
        <f>IF($I2093="","",IF(ISNUMBER($I2093),TEXT($I2093,"0"),$I2093))</f>
        <v/>
      </c>
    </row>
    <row r="2094">
      <c r="B2094" s="25" t="n"/>
      <c r="I2094" s="25" t="n"/>
      <c r="U2094" s="19">
        <f>IF($V2094&lt;&gt;'設定'!$C$4,N(U2093),IF(OR(NOT(COUNTIF('商品マスタ'!$B$6:$B$1005,$W2094)=0),COUNTIFS('①在庫を貼る'!$V$6:$V$10005,$V2094,'①在庫を貼る'!$W$6:$W$10005,$W2094)+COUNTIFS('月1回_1ヶ月前の在庫'!$V$6:$V$10005,$V2094,'月1回_1ヶ月前の在庫'!$W$6:$W$10005,$W2094)&gt;0),N(U2093),N(U2093)+1))</f>
        <v/>
      </c>
      <c r="V2094" s="19">
        <f>IF($B2094="","",TEXT($B2094,"0000"))</f>
        <v/>
      </c>
      <c r="W2094" s="19">
        <f>IF($I2094="","",IF(ISNUMBER($I2094),TEXT($I2094,"0"),$I2094))</f>
        <v/>
      </c>
    </row>
    <row r="2095">
      <c r="B2095" s="25" t="n"/>
      <c r="I2095" s="25" t="n"/>
      <c r="U2095" s="19">
        <f>IF($V2095&lt;&gt;'設定'!$C$4,N(U2094),IF(OR(NOT(COUNTIF('商品マスタ'!$B$6:$B$1005,$W2095)=0),COUNTIFS('①在庫を貼る'!$V$6:$V$10005,$V2095,'①在庫を貼る'!$W$6:$W$10005,$W2095)+COUNTIFS('月1回_1ヶ月前の在庫'!$V$6:$V$10005,$V2095,'月1回_1ヶ月前の在庫'!$W$6:$W$10005,$W2095)&gt;0),N(U2094),N(U2094)+1))</f>
        <v/>
      </c>
      <c r="V2095" s="19">
        <f>IF($B2095="","",TEXT($B2095,"0000"))</f>
        <v/>
      </c>
      <c r="W2095" s="19">
        <f>IF($I2095="","",IF(ISNUMBER($I2095),TEXT($I2095,"0"),$I2095))</f>
        <v/>
      </c>
    </row>
    <row r="2096">
      <c r="B2096" s="25" t="n"/>
      <c r="I2096" s="25" t="n"/>
      <c r="U2096" s="19">
        <f>IF($V2096&lt;&gt;'設定'!$C$4,N(U2095),IF(OR(NOT(COUNTIF('商品マスタ'!$B$6:$B$1005,$W2096)=0),COUNTIFS('①在庫を貼る'!$V$6:$V$10005,$V2096,'①在庫を貼る'!$W$6:$W$10005,$W2096)+COUNTIFS('月1回_1ヶ月前の在庫'!$V$6:$V$10005,$V2096,'月1回_1ヶ月前の在庫'!$W$6:$W$10005,$W2096)&gt;0),N(U2095),N(U2095)+1))</f>
        <v/>
      </c>
      <c r="V2096" s="19">
        <f>IF($B2096="","",TEXT($B2096,"0000"))</f>
        <v/>
      </c>
      <c r="W2096" s="19">
        <f>IF($I2096="","",IF(ISNUMBER($I2096),TEXT($I2096,"0"),$I2096))</f>
        <v/>
      </c>
    </row>
    <row r="2097">
      <c r="B2097" s="25" t="n"/>
      <c r="I2097" s="25" t="n"/>
      <c r="U2097" s="19">
        <f>IF($V2097&lt;&gt;'設定'!$C$4,N(U2096),IF(OR(NOT(COUNTIF('商品マスタ'!$B$6:$B$1005,$W2097)=0),COUNTIFS('①在庫を貼る'!$V$6:$V$10005,$V2097,'①在庫を貼る'!$W$6:$W$10005,$W2097)+COUNTIFS('月1回_1ヶ月前の在庫'!$V$6:$V$10005,$V2097,'月1回_1ヶ月前の在庫'!$W$6:$W$10005,$W2097)&gt;0),N(U2096),N(U2096)+1))</f>
        <v/>
      </c>
      <c r="V2097" s="19">
        <f>IF($B2097="","",TEXT($B2097,"0000"))</f>
        <v/>
      </c>
      <c r="W2097" s="19">
        <f>IF($I2097="","",IF(ISNUMBER($I2097),TEXT($I2097,"0"),$I2097))</f>
        <v/>
      </c>
    </row>
    <row r="2098">
      <c r="B2098" s="25" t="n"/>
      <c r="I2098" s="25" t="n"/>
      <c r="U2098" s="19">
        <f>IF($V2098&lt;&gt;'設定'!$C$4,N(U2097),IF(OR(NOT(COUNTIF('商品マスタ'!$B$6:$B$1005,$W2098)=0),COUNTIFS('①在庫を貼る'!$V$6:$V$10005,$V2098,'①在庫を貼る'!$W$6:$W$10005,$W2098)+COUNTIFS('月1回_1ヶ月前の在庫'!$V$6:$V$10005,$V2098,'月1回_1ヶ月前の在庫'!$W$6:$W$10005,$W2098)&gt;0),N(U2097),N(U2097)+1))</f>
        <v/>
      </c>
      <c r="V2098" s="19">
        <f>IF($B2098="","",TEXT($B2098,"0000"))</f>
        <v/>
      </c>
      <c r="W2098" s="19">
        <f>IF($I2098="","",IF(ISNUMBER($I2098),TEXT($I2098,"0"),$I2098))</f>
        <v/>
      </c>
    </row>
    <row r="2099">
      <c r="B2099" s="25" t="n"/>
      <c r="I2099" s="25" t="n"/>
      <c r="U2099" s="19">
        <f>IF($V2099&lt;&gt;'設定'!$C$4,N(U2098),IF(OR(NOT(COUNTIF('商品マスタ'!$B$6:$B$1005,$W2099)=0),COUNTIFS('①在庫を貼る'!$V$6:$V$10005,$V2099,'①在庫を貼る'!$W$6:$W$10005,$W2099)+COUNTIFS('月1回_1ヶ月前の在庫'!$V$6:$V$10005,$V2099,'月1回_1ヶ月前の在庫'!$W$6:$W$10005,$W2099)&gt;0),N(U2098),N(U2098)+1))</f>
        <v/>
      </c>
      <c r="V2099" s="19">
        <f>IF($B2099="","",TEXT($B2099,"0000"))</f>
        <v/>
      </c>
      <c r="W2099" s="19">
        <f>IF($I2099="","",IF(ISNUMBER($I2099),TEXT($I2099,"0"),$I2099))</f>
        <v/>
      </c>
    </row>
    <row r="2100">
      <c r="B2100" s="25" t="n"/>
      <c r="I2100" s="25" t="n"/>
      <c r="U2100" s="19">
        <f>IF($V2100&lt;&gt;'設定'!$C$4,N(U2099),IF(OR(NOT(COUNTIF('商品マスタ'!$B$6:$B$1005,$W2100)=0),COUNTIFS('①在庫を貼る'!$V$6:$V$10005,$V2100,'①在庫を貼る'!$W$6:$W$10005,$W2100)+COUNTIFS('月1回_1ヶ月前の在庫'!$V$6:$V$10005,$V2100,'月1回_1ヶ月前の在庫'!$W$6:$W$10005,$W2100)&gt;0),N(U2099),N(U2099)+1))</f>
        <v/>
      </c>
      <c r="V2100" s="19">
        <f>IF($B2100="","",TEXT($B2100,"0000"))</f>
        <v/>
      </c>
      <c r="W2100" s="19">
        <f>IF($I2100="","",IF(ISNUMBER($I2100),TEXT($I2100,"0"),$I2100))</f>
        <v/>
      </c>
    </row>
    <row r="2101">
      <c r="B2101" s="25" t="n"/>
      <c r="I2101" s="25" t="n"/>
      <c r="U2101" s="19">
        <f>IF($V2101&lt;&gt;'設定'!$C$4,N(U2100),IF(OR(NOT(COUNTIF('商品マスタ'!$B$6:$B$1005,$W2101)=0),COUNTIFS('①在庫を貼る'!$V$6:$V$10005,$V2101,'①在庫を貼る'!$W$6:$W$10005,$W2101)+COUNTIFS('月1回_1ヶ月前の在庫'!$V$6:$V$10005,$V2101,'月1回_1ヶ月前の在庫'!$W$6:$W$10005,$W2101)&gt;0),N(U2100),N(U2100)+1))</f>
        <v/>
      </c>
      <c r="V2101" s="19">
        <f>IF($B2101="","",TEXT($B2101,"0000"))</f>
        <v/>
      </c>
      <c r="W2101" s="19">
        <f>IF($I2101="","",IF(ISNUMBER($I2101),TEXT($I2101,"0"),$I2101))</f>
        <v/>
      </c>
    </row>
    <row r="2102">
      <c r="B2102" s="25" t="n"/>
      <c r="I2102" s="25" t="n"/>
      <c r="U2102" s="19">
        <f>IF($V2102&lt;&gt;'設定'!$C$4,N(U2101),IF(OR(NOT(COUNTIF('商品マスタ'!$B$6:$B$1005,$W2102)=0),COUNTIFS('①在庫を貼る'!$V$6:$V$10005,$V2102,'①在庫を貼る'!$W$6:$W$10005,$W2102)+COUNTIFS('月1回_1ヶ月前の在庫'!$V$6:$V$10005,$V2102,'月1回_1ヶ月前の在庫'!$W$6:$W$10005,$W2102)&gt;0),N(U2101),N(U2101)+1))</f>
        <v/>
      </c>
      <c r="V2102" s="19">
        <f>IF($B2102="","",TEXT($B2102,"0000"))</f>
        <v/>
      </c>
      <c r="W2102" s="19">
        <f>IF($I2102="","",IF(ISNUMBER($I2102),TEXT($I2102,"0"),$I2102))</f>
        <v/>
      </c>
    </row>
    <row r="2103">
      <c r="B2103" s="25" t="n"/>
      <c r="I2103" s="25" t="n"/>
      <c r="U2103" s="19">
        <f>IF($V2103&lt;&gt;'設定'!$C$4,N(U2102),IF(OR(NOT(COUNTIF('商品マスタ'!$B$6:$B$1005,$W2103)=0),COUNTIFS('①在庫を貼る'!$V$6:$V$10005,$V2103,'①在庫を貼る'!$W$6:$W$10005,$W2103)+COUNTIFS('月1回_1ヶ月前の在庫'!$V$6:$V$10005,$V2103,'月1回_1ヶ月前の在庫'!$W$6:$W$10005,$W2103)&gt;0),N(U2102),N(U2102)+1))</f>
        <v/>
      </c>
      <c r="V2103" s="19">
        <f>IF($B2103="","",TEXT($B2103,"0000"))</f>
        <v/>
      </c>
      <c r="W2103" s="19">
        <f>IF($I2103="","",IF(ISNUMBER($I2103),TEXT($I2103,"0"),$I2103))</f>
        <v/>
      </c>
    </row>
    <row r="2104">
      <c r="B2104" s="25" t="n"/>
      <c r="I2104" s="25" t="n"/>
      <c r="U2104" s="19">
        <f>IF($V2104&lt;&gt;'設定'!$C$4,N(U2103),IF(OR(NOT(COUNTIF('商品マスタ'!$B$6:$B$1005,$W2104)=0),COUNTIFS('①在庫を貼る'!$V$6:$V$10005,$V2104,'①在庫を貼る'!$W$6:$W$10005,$W2104)+COUNTIFS('月1回_1ヶ月前の在庫'!$V$6:$V$10005,$V2104,'月1回_1ヶ月前の在庫'!$W$6:$W$10005,$W2104)&gt;0),N(U2103),N(U2103)+1))</f>
        <v/>
      </c>
      <c r="V2104" s="19">
        <f>IF($B2104="","",TEXT($B2104,"0000"))</f>
        <v/>
      </c>
      <c r="W2104" s="19">
        <f>IF($I2104="","",IF(ISNUMBER($I2104),TEXT($I2104,"0"),$I2104))</f>
        <v/>
      </c>
    </row>
    <row r="2105">
      <c r="B2105" s="25" t="n"/>
      <c r="I2105" s="25" t="n"/>
      <c r="U2105" s="19">
        <f>IF($V2105&lt;&gt;'設定'!$C$4,N(U2104),IF(OR(NOT(COUNTIF('商品マスタ'!$B$6:$B$1005,$W2105)=0),COUNTIFS('①在庫を貼る'!$V$6:$V$10005,$V2105,'①在庫を貼る'!$W$6:$W$10005,$W2105)+COUNTIFS('月1回_1ヶ月前の在庫'!$V$6:$V$10005,$V2105,'月1回_1ヶ月前の在庫'!$W$6:$W$10005,$W2105)&gt;0),N(U2104),N(U2104)+1))</f>
        <v/>
      </c>
      <c r="V2105" s="19">
        <f>IF($B2105="","",TEXT($B2105,"0000"))</f>
        <v/>
      </c>
      <c r="W2105" s="19">
        <f>IF($I2105="","",IF(ISNUMBER($I2105),TEXT($I2105,"0"),$I2105))</f>
        <v/>
      </c>
    </row>
    <row r="2106">
      <c r="B2106" s="25" t="n"/>
      <c r="I2106" s="25" t="n"/>
      <c r="U2106" s="19">
        <f>IF($V2106&lt;&gt;'設定'!$C$4,N(U2105),IF(OR(NOT(COUNTIF('商品マスタ'!$B$6:$B$1005,$W2106)=0),COUNTIFS('①在庫を貼る'!$V$6:$V$10005,$V2106,'①在庫を貼る'!$W$6:$W$10005,$W2106)+COUNTIFS('月1回_1ヶ月前の在庫'!$V$6:$V$10005,$V2106,'月1回_1ヶ月前の在庫'!$W$6:$W$10005,$W2106)&gt;0),N(U2105),N(U2105)+1))</f>
        <v/>
      </c>
      <c r="V2106" s="19">
        <f>IF($B2106="","",TEXT($B2106,"0000"))</f>
        <v/>
      </c>
      <c r="W2106" s="19">
        <f>IF($I2106="","",IF(ISNUMBER($I2106),TEXT($I2106,"0"),$I2106))</f>
        <v/>
      </c>
    </row>
    <row r="2107">
      <c r="B2107" s="25" t="n"/>
      <c r="I2107" s="25" t="n"/>
      <c r="U2107" s="19">
        <f>IF($V2107&lt;&gt;'設定'!$C$4,N(U2106),IF(OR(NOT(COUNTIF('商品マスタ'!$B$6:$B$1005,$W2107)=0),COUNTIFS('①在庫を貼る'!$V$6:$V$10005,$V2107,'①在庫を貼る'!$W$6:$W$10005,$W2107)+COUNTIFS('月1回_1ヶ月前の在庫'!$V$6:$V$10005,$V2107,'月1回_1ヶ月前の在庫'!$W$6:$W$10005,$W2107)&gt;0),N(U2106),N(U2106)+1))</f>
        <v/>
      </c>
      <c r="V2107" s="19">
        <f>IF($B2107="","",TEXT($B2107,"0000"))</f>
        <v/>
      </c>
      <c r="W2107" s="19">
        <f>IF($I2107="","",IF(ISNUMBER($I2107),TEXT($I2107,"0"),$I2107))</f>
        <v/>
      </c>
    </row>
    <row r="2108">
      <c r="B2108" s="25" t="n"/>
      <c r="I2108" s="25" t="n"/>
      <c r="U2108" s="19">
        <f>IF($V2108&lt;&gt;'設定'!$C$4,N(U2107),IF(OR(NOT(COUNTIF('商品マスタ'!$B$6:$B$1005,$W2108)=0),COUNTIFS('①在庫を貼る'!$V$6:$V$10005,$V2108,'①在庫を貼る'!$W$6:$W$10005,$W2108)+COUNTIFS('月1回_1ヶ月前の在庫'!$V$6:$V$10005,$V2108,'月1回_1ヶ月前の在庫'!$W$6:$W$10005,$W2108)&gt;0),N(U2107),N(U2107)+1))</f>
        <v/>
      </c>
      <c r="V2108" s="19">
        <f>IF($B2108="","",TEXT($B2108,"0000"))</f>
        <v/>
      </c>
      <c r="W2108" s="19">
        <f>IF($I2108="","",IF(ISNUMBER($I2108),TEXT($I2108,"0"),$I2108))</f>
        <v/>
      </c>
    </row>
    <row r="2109">
      <c r="B2109" s="25" t="n"/>
      <c r="I2109" s="25" t="n"/>
      <c r="U2109" s="19">
        <f>IF($V2109&lt;&gt;'設定'!$C$4,N(U2108),IF(OR(NOT(COUNTIF('商品マスタ'!$B$6:$B$1005,$W2109)=0),COUNTIFS('①在庫を貼る'!$V$6:$V$10005,$V2109,'①在庫を貼る'!$W$6:$W$10005,$W2109)+COUNTIFS('月1回_1ヶ月前の在庫'!$V$6:$V$10005,$V2109,'月1回_1ヶ月前の在庫'!$W$6:$W$10005,$W2109)&gt;0),N(U2108),N(U2108)+1))</f>
        <v/>
      </c>
      <c r="V2109" s="19">
        <f>IF($B2109="","",TEXT($B2109,"0000"))</f>
        <v/>
      </c>
      <c r="W2109" s="19">
        <f>IF($I2109="","",IF(ISNUMBER($I2109),TEXT($I2109,"0"),$I2109))</f>
        <v/>
      </c>
    </row>
    <row r="2110">
      <c r="B2110" s="25" t="n"/>
      <c r="I2110" s="25" t="n"/>
      <c r="U2110" s="19">
        <f>IF($V2110&lt;&gt;'設定'!$C$4,N(U2109),IF(OR(NOT(COUNTIF('商品マスタ'!$B$6:$B$1005,$W2110)=0),COUNTIFS('①在庫を貼る'!$V$6:$V$10005,$V2110,'①在庫を貼る'!$W$6:$W$10005,$W2110)+COUNTIFS('月1回_1ヶ月前の在庫'!$V$6:$V$10005,$V2110,'月1回_1ヶ月前の在庫'!$W$6:$W$10005,$W2110)&gt;0),N(U2109),N(U2109)+1))</f>
        <v/>
      </c>
      <c r="V2110" s="19">
        <f>IF($B2110="","",TEXT($B2110,"0000"))</f>
        <v/>
      </c>
      <c r="W2110" s="19">
        <f>IF($I2110="","",IF(ISNUMBER($I2110),TEXT($I2110,"0"),$I2110))</f>
        <v/>
      </c>
    </row>
    <row r="2111">
      <c r="B2111" s="25" t="n"/>
      <c r="I2111" s="25" t="n"/>
      <c r="U2111" s="19">
        <f>IF($V2111&lt;&gt;'設定'!$C$4,N(U2110),IF(OR(NOT(COUNTIF('商品マスタ'!$B$6:$B$1005,$W2111)=0),COUNTIFS('①在庫を貼る'!$V$6:$V$10005,$V2111,'①在庫を貼る'!$W$6:$W$10005,$W2111)+COUNTIFS('月1回_1ヶ月前の在庫'!$V$6:$V$10005,$V2111,'月1回_1ヶ月前の在庫'!$W$6:$W$10005,$W2111)&gt;0),N(U2110),N(U2110)+1))</f>
        <v/>
      </c>
      <c r="V2111" s="19">
        <f>IF($B2111="","",TEXT($B2111,"0000"))</f>
        <v/>
      </c>
      <c r="W2111" s="19">
        <f>IF($I2111="","",IF(ISNUMBER($I2111),TEXT($I2111,"0"),$I2111))</f>
        <v/>
      </c>
    </row>
    <row r="2112">
      <c r="B2112" s="25" t="n"/>
      <c r="I2112" s="25" t="n"/>
      <c r="U2112" s="19">
        <f>IF($V2112&lt;&gt;'設定'!$C$4,N(U2111),IF(OR(NOT(COUNTIF('商品マスタ'!$B$6:$B$1005,$W2112)=0),COUNTIFS('①在庫を貼る'!$V$6:$V$10005,$V2112,'①在庫を貼る'!$W$6:$W$10005,$W2112)+COUNTIFS('月1回_1ヶ月前の在庫'!$V$6:$V$10005,$V2112,'月1回_1ヶ月前の在庫'!$W$6:$W$10005,$W2112)&gt;0),N(U2111),N(U2111)+1))</f>
        <v/>
      </c>
      <c r="V2112" s="19">
        <f>IF($B2112="","",TEXT($B2112,"0000"))</f>
        <v/>
      </c>
      <c r="W2112" s="19">
        <f>IF($I2112="","",IF(ISNUMBER($I2112),TEXT($I2112,"0"),$I2112))</f>
        <v/>
      </c>
    </row>
    <row r="2113">
      <c r="B2113" s="25" t="n"/>
      <c r="I2113" s="25" t="n"/>
      <c r="U2113" s="19">
        <f>IF($V2113&lt;&gt;'設定'!$C$4,N(U2112),IF(OR(NOT(COUNTIF('商品マスタ'!$B$6:$B$1005,$W2113)=0),COUNTIFS('①在庫を貼る'!$V$6:$V$10005,$V2113,'①在庫を貼る'!$W$6:$W$10005,$W2113)+COUNTIFS('月1回_1ヶ月前の在庫'!$V$6:$V$10005,$V2113,'月1回_1ヶ月前の在庫'!$W$6:$W$10005,$W2113)&gt;0),N(U2112),N(U2112)+1))</f>
        <v/>
      </c>
      <c r="V2113" s="19">
        <f>IF($B2113="","",TEXT($B2113,"0000"))</f>
        <v/>
      </c>
      <c r="W2113" s="19">
        <f>IF($I2113="","",IF(ISNUMBER($I2113),TEXT($I2113,"0"),$I2113))</f>
        <v/>
      </c>
    </row>
    <row r="2114">
      <c r="B2114" s="25" t="n"/>
      <c r="I2114" s="25" t="n"/>
      <c r="U2114" s="19">
        <f>IF($V2114&lt;&gt;'設定'!$C$4,N(U2113),IF(OR(NOT(COUNTIF('商品マスタ'!$B$6:$B$1005,$W2114)=0),COUNTIFS('①在庫を貼る'!$V$6:$V$10005,$V2114,'①在庫を貼る'!$W$6:$W$10005,$W2114)+COUNTIFS('月1回_1ヶ月前の在庫'!$V$6:$V$10005,$V2114,'月1回_1ヶ月前の在庫'!$W$6:$W$10005,$W2114)&gt;0),N(U2113),N(U2113)+1))</f>
        <v/>
      </c>
      <c r="V2114" s="19">
        <f>IF($B2114="","",TEXT($B2114,"0000"))</f>
        <v/>
      </c>
      <c r="W2114" s="19">
        <f>IF($I2114="","",IF(ISNUMBER($I2114),TEXT($I2114,"0"),$I2114))</f>
        <v/>
      </c>
    </row>
    <row r="2115">
      <c r="B2115" s="25" t="n"/>
      <c r="I2115" s="25" t="n"/>
      <c r="U2115" s="19">
        <f>IF($V2115&lt;&gt;'設定'!$C$4,N(U2114),IF(OR(NOT(COUNTIF('商品マスタ'!$B$6:$B$1005,$W2115)=0),COUNTIFS('①在庫を貼る'!$V$6:$V$10005,$V2115,'①在庫を貼る'!$W$6:$W$10005,$W2115)+COUNTIFS('月1回_1ヶ月前の在庫'!$V$6:$V$10005,$V2115,'月1回_1ヶ月前の在庫'!$W$6:$W$10005,$W2115)&gt;0),N(U2114),N(U2114)+1))</f>
        <v/>
      </c>
      <c r="V2115" s="19">
        <f>IF($B2115="","",TEXT($B2115,"0000"))</f>
        <v/>
      </c>
      <c r="W2115" s="19">
        <f>IF($I2115="","",IF(ISNUMBER($I2115),TEXT($I2115,"0"),$I2115))</f>
        <v/>
      </c>
    </row>
    <row r="2116">
      <c r="B2116" s="25" t="n"/>
      <c r="I2116" s="25" t="n"/>
      <c r="U2116" s="19">
        <f>IF($V2116&lt;&gt;'設定'!$C$4,N(U2115),IF(OR(NOT(COUNTIF('商品マスタ'!$B$6:$B$1005,$W2116)=0),COUNTIFS('①在庫を貼る'!$V$6:$V$10005,$V2116,'①在庫を貼る'!$W$6:$W$10005,$W2116)+COUNTIFS('月1回_1ヶ月前の在庫'!$V$6:$V$10005,$V2116,'月1回_1ヶ月前の在庫'!$W$6:$W$10005,$W2116)&gt;0),N(U2115),N(U2115)+1))</f>
        <v/>
      </c>
      <c r="V2116" s="19">
        <f>IF($B2116="","",TEXT($B2116,"0000"))</f>
        <v/>
      </c>
      <c r="W2116" s="19">
        <f>IF($I2116="","",IF(ISNUMBER($I2116),TEXT($I2116,"0"),$I2116))</f>
        <v/>
      </c>
    </row>
    <row r="2117">
      <c r="B2117" s="25" t="n"/>
      <c r="I2117" s="25" t="n"/>
      <c r="U2117" s="19">
        <f>IF($V2117&lt;&gt;'設定'!$C$4,N(U2116),IF(OR(NOT(COUNTIF('商品マスタ'!$B$6:$B$1005,$W2117)=0),COUNTIFS('①在庫を貼る'!$V$6:$V$10005,$V2117,'①在庫を貼る'!$W$6:$W$10005,$W2117)+COUNTIFS('月1回_1ヶ月前の在庫'!$V$6:$V$10005,$V2117,'月1回_1ヶ月前の在庫'!$W$6:$W$10005,$W2117)&gt;0),N(U2116),N(U2116)+1))</f>
        <v/>
      </c>
      <c r="V2117" s="19">
        <f>IF($B2117="","",TEXT($B2117,"0000"))</f>
        <v/>
      </c>
      <c r="W2117" s="19">
        <f>IF($I2117="","",IF(ISNUMBER($I2117),TEXT($I2117,"0"),$I2117))</f>
        <v/>
      </c>
    </row>
    <row r="2118">
      <c r="B2118" s="25" t="n"/>
      <c r="I2118" s="25" t="n"/>
      <c r="U2118" s="19">
        <f>IF($V2118&lt;&gt;'設定'!$C$4,N(U2117),IF(OR(NOT(COUNTIF('商品マスタ'!$B$6:$B$1005,$W2118)=0),COUNTIFS('①在庫を貼る'!$V$6:$V$10005,$V2118,'①在庫を貼る'!$W$6:$W$10005,$W2118)+COUNTIFS('月1回_1ヶ月前の在庫'!$V$6:$V$10005,$V2118,'月1回_1ヶ月前の在庫'!$W$6:$W$10005,$W2118)&gt;0),N(U2117),N(U2117)+1))</f>
        <v/>
      </c>
      <c r="V2118" s="19">
        <f>IF($B2118="","",TEXT($B2118,"0000"))</f>
        <v/>
      </c>
      <c r="W2118" s="19">
        <f>IF($I2118="","",IF(ISNUMBER($I2118),TEXT($I2118,"0"),$I2118))</f>
        <v/>
      </c>
    </row>
    <row r="2119">
      <c r="B2119" s="25" t="n"/>
      <c r="I2119" s="25" t="n"/>
      <c r="U2119" s="19">
        <f>IF($V2119&lt;&gt;'設定'!$C$4,N(U2118),IF(OR(NOT(COUNTIF('商品マスタ'!$B$6:$B$1005,$W2119)=0),COUNTIFS('①在庫を貼る'!$V$6:$V$10005,$V2119,'①在庫を貼る'!$W$6:$W$10005,$W2119)+COUNTIFS('月1回_1ヶ月前の在庫'!$V$6:$V$10005,$V2119,'月1回_1ヶ月前の在庫'!$W$6:$W$10005,$W2119)&gt;0),N(U2118),N(U2118)+1))</f>
        <v/>
      </c>
      <c r="V2119" s="19">
        <f>IF($B2119="","",TEXT($B2119,"0000"))</f>
        <v/>
      </c>
      <c r="W2119" s="19">
        <f>IF($I2119="","",IF(ISNUMBER($I2119),TEXT($I2119,"0"),$I2119))</f>
        <v/>
      </c>
    </row>
    <row r="2120">
      <c r="B2120" s="25" t="n"/>
      <c r="I2120" s="25" t="n"/>
      <c r="U2120" s="19">
        <f>IF($V2120&lt;&gt;'設定'!$C$4,N(U2119),IF(OR(NOT(COUNTIF('商品マスタ'!$B$6:$B$1005,$W2120)=0),COUNTIFS('①在庫を貼る'!$V$6:$V$10005,$V2120,'①在庫を貼る'!$W$6:$W$10005,$W2120)+COUNTIFS('月1回_1ヶ月前の在庫'!$V$6:$V$10005,$V2120,'月1回_1ヶ月前の在庫'!$W$6:$W$10005,$W2120)&gt;0),N(U2119),N(U2119)+1))</f>
        <v/>
      </c>
      <c r="V2120" s="19">
        <f>IF($B2120="","",TEXT($B2120,"0000"))</f>
        <v/>
      </c>
      <c r="W2120" s="19">
        <f>IF($I2120="","",IF(ISNUMBER($I2120),TEXT($I2120,"0"),$I2120))</f>
        <v/>
      </c>
    </row>
    <row r="2121">
      <c r="B2121" s="25" t="n"/>
      <c r="I2121" s="25" t="n"/>
      <c r="U2121" s="19">
        <f>IF($V2121&lt;&gt;'設定'!$C$4,N(U2120),IF(OR(NOT(COUNTIF('商品マスタ'!$B$6:$B$1005,$W2121)=0),COUNTIFS('①在庫を貼る'!$V$6:$V$10005,$V2121,'①在庫を貼る'!$W$6:$W$10005,$W2121)+COUNTIFS('月1回_1ヶ月前の在庫'!$V$6:$V$10005,$V2121,'月1回_1ヶ月前の在庫'!$W$6:$W$10005,$W2121)&gt;0),N(U2120),N(U2120)+1))</f>
        <v/>
      </c>
      <c r="V2121" s="19">
        <f>IF($B2121="","",TEXT($B2121,"0000"))</f>
        <v/>
      </c>
      <c r="W2121" s="19">
        <f>IF($I2121="","",IF(ISNUMBER($I2121),TEXT($I2121,"0"),$I2121))</f>
        <v/>
      </c>
    </row>
    <row r="2122">
      <c r="B2122" s="25" t="n"/>
      <c r="I2122" s="25" t="n"/>
      <c r="U2122" s="19">
        <f>IF($V2122&lt;&gt;'設定'!$C$4,N(U2121),IF(OR(NOT(COUNTIF('商品マスタ'!$B$6:$B$1005,$W2122)=0),COUNTIFS('①在庫を貼る'!$V$6:$V$10005,$V2122,'①在庫を貼る'!$W$6:$W$10005,$W2122)+COUNTIFS('月1回_1ヶ月前の在庫'!$V$6:$V$10005,$V2122,'月1回_1ヶ月前の在庫'!$W$6:$W$10005,$W2122)&gt;0),N(U2121),N(U2121)+1))</f>
        <v/>
      </c>
      <c r="V2122" s="19">
        <f>IF($B2122="","",TEXT($B2122,"0000"))</f>
        <v/>
      </c>
      <c r="W2122" s="19">
        <f>IF($I2122="","",IF(ISNUMBER($I2122),TEXT($I2122,"0"),$I2122))</f>
        <v/>
      </c>
    </row>
    <row r="2123">
      <c r="B2123" s="25" t="n"/>
      <c r="I2123" s="25" t="n"/>
      <c r="U2123" s="19">
        <f>IF($V2123&lt;&gt;'設定'!$C$4,N(U2122),IF(OR(NOT(COUNTIF('商品マスタ'!$B$6:$B$1005,$W2123)=0),COUNTIFS('①在庫を貼る'!$V$6:$V$10005,$V2123,'①在庫を貼る'!$W$6:$W$10005,$W2123)+COUNTIFS('月1回_1ヶ月前の在庫'!$V$6:$V$10005,$V2123,'月1回_1ヶ月前の在庫'!$W$6:$W$10005,$W2123)&gt;0),N(U2122),N(U2122)+1))</f>
        <v/>
      </c>
      <c r="V2123" s="19">
        <f>IF($B2123="","",TEXT($B2123,"0000"))</f>
        <v/>
      </c>
      <c r="W2123" s="19">
        <f>IF($I2123="","",IF(ISNUMBER($I2123),TEXT($I2123,"0"),$I2123))</f>
        <v/>
      </c>
    </row>
    <row r="2124">
      <c r="B2124" s="25" t="n"/>
      <c r="I2124" s="25" t="n"/>
      <c r="U2124" s="19">
        <f>IF($V2124&lt;&gt;'設定'!$C$4,N(U2123),IF(OR(NOT(COUNTIF('商品マスタ'!$B$6:$B$1005,$W2124)=0),COUNTIFS('①在庫を貼る'!$V$6:$V$10005,$V2124,'①在庫を貼る'!$W$6:$W$10005,$W2124)+COUNTIFS('月1回_1ヶ月前の在庫'!$V$6:$V$10005,$V2124,'月1回_1ヶ月前の在庫'!$W$6:$W$10005,$W2124)&gt;0),N(U2123),N(U2123)+1))</f>
        <v/>
      </c>
      <c r="V2124" s="19">
        <f>IF($B2124="","",TEXT($B2124,"0000"))</f>
        <v/>
      </c>
      <c r="W2124" s="19">
        <f>IF($I2124="","",IF(ISNUMBER($I2124),TEXT($I2124,"0"),$I2124))</f>
        <v/>
      </c>
    </row>
    <row r="2125">
      <c r="B2125" s="25" t="n"/>
      <c r="I2125" s="25" t="n"/>
      <c r="U2125" s="19">
        <f>IF($V2125&lt;&gt;'設定'!$C$4,N(U2124),IF(OR(NOT(COUNTIF('商品マスタ'!$B$6:$B$1005,$W2125)=0),COUNTIFS('①在庫を貼る'!$V$6:$V$10005,$V2125,'①在庫を貼る'!$W$6:$W$10005,$W2125)+COUNTIFS('月1回_1ヶ月前の在庫'!$V$6:$V$10005,$V2125,'月1回_1ヶ月前の在庫'!$W$6:$W$10005,$W2125)&gt;0),N(U2124),N(U2124)+1))</f>
        <v/>
      </c>
      <c r="V2125" s="19">
        <f>IF($B2125="","",TEXT($B2125,"0000"))</f>
        <v/>
      </c>
      <c r="W2125" s="19">
        <f>IF($I2125="","",IF(ISNUMBER($I2125),TEXT($I2125,"0"),$I2125))</f>
        <v/>
      </c>
    </row>
    <row r="2126">
      <c r="B2126" s="25" t="n"/>
      <c r="I2126" s="25" t="n"/>
      <c r="U2126" s="19">
        <f>IF($V2126&lt;&gt;'設定'!$C$4,N(U2125),IF(OR(NOT(COUNTIF('商品マスタ'!$B$6:$B$1005,$W2126)=0),COUNTIFS('①在庫を貼る'!$V$6:$V$10005,$V2126,'①在庫を貼る'!$W$6:$W$10005,$W2126)+COUNTIFS('月1回_1ヶ月前の在庫'!$V$6:$V$10005,$V2126,'月1回_1ヶ月前の在庫'!$W$6:$W$10005,$W2126)&gt;0),N(U2125),N(U2125)+1))</f>
        <v/>
      </c>
      <c r="V2126" s="19">
        <f>IF($B2126="","",TEXT($B2126,"0000"))</f>
        <v/>
      </c>
      <c r="W2126" s="19">
        <f>IF($I2126="","",IF(ISNUMBER($I2126),TEXT($I2126,"0"),$I2126))</f>
        <v/>
      </c>
    </row>
    <row r="2127">
      <c r="B2127" s="25" t="n"/>
      <c r="I2127" s="25" t="n"/>
      <c r="U2127" s="19">
        <f>IF($V2127&lt;&gt;'設定'!$C$4,N(U2126),IF(OR(NOT(COUNTIF('商品マスタ'!$B$6:$B$1005,$W2127)=0),COUNTIFS('①在庫を貼る'!$V$6:$V$10005,$V2127,'①在庫を貼る'!$W$6:$W$10005,$W2127)+COUNTIFS('月1回_1ヶ月前の在庫'!$V$6:$V$10005,$V2127,'月1回_1ヶ月前の在庫'!$W$6:$W$10005,$W2127)&gt;0),N(U2126),N(U2126)+1))</f>
        <v/>
      </c>
      <c r="V2127" s="19">
        <f>IF($B2127="","",TEXT($B2127,"0000"))</f>
        <v/>
      </c>
      <c r="W2127" s="19">
        <f>IF($I2127="","",IF(ISNUMBER($I2127),TEXT($I2127,"0"),$I2127))</f>
        <v/>
      </c>
    </row>
    <row r="2128">
      <c r="B2128" s="25" t="n"/>
      <c r="I2128" s="25" t="n"/>
      <c r="U2128" s="19">
        <f>IF($V2128&lt;&gt;'設定'!$C$4,N(U2127),IF(OR(NOT(COUNTIF('商品マスタ'!$B$6:$B$1005,$W2128)=0),COUNTIFS('①在庫を貼る'!$V$6:$V$10005,$V2128,'①在庫を貼る'!$W$6:$W$10005,$W2128)+COUNTIFS('月1回_1ヶ月前の在庫'!$V$6:$V$10005,$V2128,'月1回_1ヶ月前の在庫'!$W$6:$W$10005,$W2128)&gt;0),N(U2127),N(U2127)+1))</f>
        <v/>
      </c>
      <c r="V2128" s="19">
        <f>IF($B2128="","",TEXT($B2128,"0000"))</f>
        <v/>
      </c>
      <c r="W2128" s="19">
        <f>IF($I2128="","",IF(ISNUMBER($I2128),TEXT($I2128,"0"),$I2128))</f>
        <v/>
      </c>
    </row>
    <row r="2129">
      <c r="B2129" s="25" t="n"/>
      <c r="I2129" s="25" t="n"/>
      <c r="U2129" s="19">
        <f>IF($V2129&lt;&gt;'設定'!$C$4,N(U2128),IF(OR(NOT(COUNTIF('商品マスタ'!$B$6:$B$1005,$W2129)=0),COUNTIFS('①在庫を貼る'!$V$6:$V$10005,$V2129,'①在庫を貼る'!$W$6:$W$10005,$W2129)+COUNTIFS('月1回_1ヶ月前の在庫'!$V$6:$V$10005,$V2129,'月1回_1ヶ月前の在庫'!$W$6:$W$10005,$W2129)&gt;0),N(U2128),N(U2128)+1))</f>
        <v/>
      </c>
      <c r="V2129" s="19">
        <f>IF($B2129="","",TEXT($B2129,"0000"))</f>
        <v/>
      </c>
      <c r="W2129" s="19">
        <f>IF($I2129="","",IF(ISNUMBER($I2129),TEXT($I2129,"0"),$I2129))</f>
        <v/>
      </c>
    </row>
    <row r="2130">
      <c r="B2130" s="25" t="n"/>
      <c r="I2130" s="25" t="n"/>
      <c r="U2130" s="19">
        <f>IF($V2130&lt;&gt;'設定'!$C$4,N(U2129),IF(OR(NOT(COUNTIF('商品マスタ'!$B$6:$B$1005,$W2130)=0),COUNTIFS('①在庫を貼る'!$V$6:$V$10005,$V2130,'①在庫を貼る'!$W$6:$W$10005,$W2130)+COUNTIFS('月1回_1ヶ月前の在庫'!$V$6:$V$10005,$V2130,'月1回_1ヶ月前の在庫'!$W$6:$W$10005,$W2130)&gt;0),N(U2129),N(U2129)+1))</f>
        <v/>
      </c>
      <c r="V2130" s="19">
        <f>IF($B2130="","",TEXT($B2130,"0000"))</f>
        <v/>
      </c>
      <c r="W2130" s="19">
        <f>IF($I2130="","",IF(ISNUMBER($I2130),TEXT($I2130,"0"),$I2130))</f>
        <v/>
      </c>
    </row>
    <row r="2131">
      <c r="B2131" s="25" t="n"/>
      <c r="I2131" s="25" t="n"/>
      <c r="U2131" s="19">
        <f>IF($V2131&lt;&gt;'設定'!$C$4,N(U2130),IF(OR(NOT(COUNTIF('商品マスタ'!$B$6:$B$1005,$W2131)=0),COUNTIFS('①在庫を貼る'!$V$6:$V$10005,$V2131,'①在庫を貼る'!$W$6:$W$10005,$W2131)+COUNTIFS('月1回_1ヶ月前の在庫'!$V$6:$V$10005,$V2131,'月1回_1ヶ月前の在庫'!$W$6:$W$10005,$W2131)&gt;0),N(U2130),N(U2130)+1))</f>
        <v/>
      </c>
      <c r="V2131" s="19">
        <f>IF($B2131="","",TEXT($B2131,"0000"))</f>
        <v/>
      </c>
      <c r="W2131" s="19">
        <f>IF($I2131="","",IF(ISNUMBER($I2131),TEXT($I2131,"0"),$I2131))</f>
        <v/>
      </c>
    </row>
    <row r="2132">
      <c r="B2132" s="25" t="n"/>
      <c r="I2132" s="25" t="n"/>
      <c r="U2132" s="19">
        <f>IF($V2132&lt;&gt;'設定'!$C$4,N(U2131),IF(OR(NOT(COUNTIF('商品マスタ'!$B$6:$B$1005,$W2132)=0),COUNTIFS('①在庫を貼る'!$V$6:$V$10005,$V2132,'①在庫を貼る'!$W$6:$W$10005,$W2132)+COUNTIFS('月1回_1ヶ月前の在庫'!$V$6:$V$10005,$V2132,'月1回_1ヶ月前の在庫'!$W$6:$W$10005,$W2132)&gt;0),N(U2131),N(U2131)+1))</f>
        <v/>
      </c>
      <c r="V2132" s="19">
        <f>IF($B2132="","",TEXT($B2132,"0000"))</f>
        <v/>
      </c>
      <c r="W2132" s="19">
        <f>IF($I2132="","",IF(ISNUMBER($I2132),TEXT($I2132,"0"),$I2132))</f>
        <v/>
      </c>
    </row>
    <row r="2133">
      <c r="B2133" s="25" t="n"/>
      <c r="I2133" s="25" t="n"/>
      <c r="U2133" s="19">
        <f>IF($V2133&lt;&gt;'設定'!$C$4,N(U2132),IF(OR(NOT(COUNTIF('商品マスタ'!$B$6:$B$1005,$W2133)=0),COUNTIFS('①在庫を貼る'!$V$6:$V$10005,$V2133,'①在庫を貼る'!$W$6:$W$10005,$W2133)+COUNTIFS('月1回_1ヶ月前の在庫'!$V$6:$V$10005,$V2133,'月1回_1ヶ月前の在庫'!$W$6:$W$10005,$W2133)&gt;0),N(U2132),N(U2132)+1))</f>
        <v/>
      </c>
      <c r="V2133" s="19">
        <f>IF($B2133="","",TEXT($B2133,"0000"))</f>
        <v/>
      </c>
      <c r="W2133" s="19">
        <f>IF($I2133="","",IF(ISNUMBER($I2133),TEXT($I2133,"0"),$I2133))</f>
        <v/>
      </c>
    </row>
    <row r="2134">
      <c r="B2134" s="25" t="n"/>
      <c r="I2134" s="25" t="n"/>
      <c r="U2134" s="19">
        <f>IF($V2134&lt;&gt;'設定'!$C$4,N(U2133),IF(OR(NOT(COUNTIF('商品マスタ'!$B$6:$B$1005,$W2134)=0),COUNTIFS('①在庫を貼る'!$V$6:$V$10005,$V2134,'①在庫を貼る'!$W$6:$W$10005,$W2134)+COUNTIFS('月1回_1ヶ月前の在庫'!$V$6:$V$10005,$V2134,'月1回_1ヶ月前の在庫'!$W$6:$W$10005,$W2134)&gt;0),N(U2133),N(U2133)+1))</f>
        <v/>
      </c>
      <c r="V2134" s="19">
        <f>IF($B2134="","",TEXT($B2134,"0000"))</f>
        <v/>
      </c>
      <c r="W2134" s="19">
        <f>IF($I2134="","",IF(ISNUMBER($I2134),TEXT($I2134,"0"),$I2134))</f>
        <v/>
      </c>
    </row>
    <row r="2135">
      <c r="B2135" s="25" t="n"/>
      <c r="I2135" s="25" t="n"/>
      <c r="U2135" s="19">
        <f>IF($V2135&lt;&gt;'設定'!$C$4,N(U2134),IF(OR(NOT(COUNTIF('商品マスタ'!$B$6:$B$1005,$W2135)=0),COUNTIFS('①在庫を貼る'!$V$6:$V$10005,$V2135,'①在庫を貼る'!$W$6:$W$10005,$W2135)+COUNTIFS('月1回_1ヶ月前の在庫'!$V$6:$V$10005,$V2135,'月1回_1ヶ月前の在庫'!$W$6:$W$10005,$W2135)&gt;0),N(U2134),N(U2134)+1))</f>
        <v/>
      </c>
      <c r="V2135" s="19">
        <f>IF($B2135="","",TEXT($B2135,"0000"))</f>
        <v/>
      </c>
      <c r="W2135" s="19">
        <f>IF($I2135="","",IF(ISNUMBER($I2135),TEXT($I2135,"0"),$I2135))</f>
        <v/>
      </c>
    </row>
    <row r="2136">
      <c r="B2136" s="25" t="n"/>
      <c r="I2136" s="25" t="n"/>
      <c r="U2136" s="19">
        <f>IF($V2136&lt;&gt;'設定'!$C$4,N(U2135),IF(OR(NOT(COUNTIF('商品マスタ'!$B$6:$B$1005,$W2136)=0),COUNTIFS('①在庫を貼る'!$V$6:$V$10005,$V2136,'①在庫を貼る'!$W$6:$W$10005,$W2136)+COUNTIFS('月1回_1ヶ月前の在庫'!$V$6:$V$10005,$V2136,'月1回_1ヶ月前の在庫'!$W$6:$W$10005,$W2136)&gt;0),N(U2135),N(U2135)+1))</f>
        <v/>
      </c>
      <c r="V2136" s="19">
        <f>IF($B2136="","",TEXT($B2136,"0000"))</f>
        <v/>
      </c>
      <c r="W2136" s="19">
        <f>IF($I2136="","",IF(ISNUMBER($I2136),TEXT($I2136,"0"),$I2136))</f>
        <v/>
      </c>
    </row>
    <row r="2137">
      <c r="B2137" s="25" t="n"/>
      <c r="I2137" s="25" t="n"/>
      <c r="U2137" s="19">
        <f>IF($V2137&lt;&gt;'設定'!$C$4,N(U2136),IF(OR(NOT(COUNTIF('商品マスタ'!$B$6:$B$1005,$W2137)=0),COUNTIFS('①在庫を貼る'!$V$6:$V$10005,$V2137,'①在庫を貼る'!$W$6:$W$10005,$W2137)+COUNTIFS('月1回_1ヶ月前の在庫'!$V$6:$V$10005,$V2137,'月1回_1ヶ月前の在庫'!$W$6:$W$10005,$W2137)&gt;0),N(U2136),N(U2136)+1))</f>
        <v/>
      </c>
      <c r="V2137" s="19">
        <f>IF($B2137="","",TEXT($B2137,"0000"))</f>
        <v/>
      </c>
      <c r="W2137" s="19">
        <f>IF($I2137="","",IF(ISNUMBER($I2137),TEXT($I2137,"0"),$I2137))</f>
        <v/>
      </c>
    </row>
    <row r="2138">
      <c r="B2138" s="25" t="n"/>
      <c r="I2138" s="25" t="n"/>
      <c r="U2138" s="19">
        <f>IF($V2138&lt;&gt;'設定'!$C$4,N(U2137),IF(OR(NOT(COUNTIF('商品マスタ'!$B$6:$B$1005,$W2138)=0),COUNTIFS('①在庫を貼る'!$V$6:$V$10005,$V2138,'①在庫を貼る'!$W$6:$W$10005,$W2138)+COUNTIFS('月1回_1ヶ月前の在庫'!$V$6:$V$10005,$V2138,'月1回_1ヶ月前の在庫'!$W$6:$W$10005,$W2138)&gt;0),N(U2137),N(U2137)+1))</f>
        <v/>
      </c>
      <c r="V2138" s="19">
        <f>IF($B2138="","",TEXT($B2138,"0000"))</f>
        <v/>
      </c>
      <c r="W2138" s="19">
        <f>IF($I2138="","",IF(ISNUMBER($I2138),TEXT($I2138,"0"),$I2138))</f>
        <v/>
      </c>
    </row>
    <row r="2139">
      <c r="B2139" s="25" t="n"/>
      <c r="I2139" s="25" t="n"/>
      <c r="U2139" s="19">
        <f>IF($V2139&lt;&gt;'設定'!$C$4,N(U2138),IF(OR(NOT(COUNTIF('商品マスタ'!$B$6:$B$1005,$W2139)=0),COUNTIFS('①在庫を貼る'!$V$6:$V$10005,$V2139,'①在庫を貼る'!$W$6:$W$10005,$W2139)+COUNTIFS('月1回_1ヶ月前の在庫'!$V$6:$V$10005,$V2139,'月1回_1ヶ月前の在庫'!$W$6:$W$10005,$W2139)&gt;0),N(U2138),N(U2138)+1))</f>
        <v/>
      </c>
      <c r="V2139" s="19">
        <f>IF($B2139="","",TEXT($B2139,"0000"))</f>
        <v/>
      </c>
      <c r="W2139" s="19">
        <f>IF($I2139="","",IF(ISNUMBER($I2139),TEXT($I2139,"0"),$I2139))</f>
        <v/>
      </c>
    </row>
    <row r="2140">
      <c r="B2140" s="25" t="n"/>
      <c r="I2140" s="25" t="n"/>
      <c r="U2140" s="19">
        <f>IF($V2140&lt;&gt;'設定'!$C$4,N(U2139),IF(OR(NOT(COUNTIF('商品マスタ'!$B$6:$B$1005,$W2140)=0),COUNTIFS('①在庫を貼る'!$V$6:$V$10005,$V2140,'①在庫を貼る'!$W$6:$W$10005,$W2140)+COUNTIFS('月1回_1ヶ月前の在庫'!$V$6:$V$10005,$V2140,'月1回_1ヶ月前の在庫'!$W$6:$W$10005,$W2140)&gt;0),N(U2139),N(U2139)+1))</f>
        <v/>
      </c>
      <c r="V2140" s="19">
        <f>IF($B2140="","",TEXT($B2140,"0000"))</f>
        <v/>
      </c>
      <c r="W2140" s="19">
        <f>IF($I2140="","",IF(ISNUMBER($I2140),TEXT($I2140,"0"),$I2140))</f>
        <v/>
      </c>
    </row>
    <row r="2141">
      <c r="B2141" s="25" t="n"/>
      <c r="I2141" s="25" t="n"/>
      <c r="U2141" s="19">
        <f>IF($V2141&lt;&gt;'設定'!$C$4,N(U2140),IF(OR(NOT(COUNTIF('商品マスタ'!$B$6:$B$1005,$W2141)=0),COUNTIFS('①在庫を貼る'!$V$6:$V$10005,$V2141,'①在庫を貼る'!$W$6:$W$10005,$W2141)+COUNTIFS('月1回_1ヶ月前の在庫'!$V$6:$V$10005,$V2141,'月1回_1ヶ月前の在庫'!$W$6:$W$10005,$W2141)&gt;0),N(U2140),N(U2140)+1))</f>
        <v/>
      </c>
      <c r="V2141" s="19">
        <f>IF($B2141="","",TEXT($B2141,"0000"))</f>
        <v/>
      </c>
      <c r="W2141" s="19">
        <f>IF($I2141="","",IF(ISNUMBER($I2141),TEXT($I2141,"0"),$I2141))</f>
        <v/>
      </c>
    </row>
    <row r="2142">
      <c r="B2142" s="25" t="n"/>
      <c r="I2142" s="25" t="n"/>
      <c r="U2142" s="19">
        <f>IF($V2142&lt;&gt;'設定'!$C$4,N(U2141),IF(OR(NOT(COUNTIF('商品マスタ'!$B$6:$B$1005,$W2142)=0),COUNTIFS('①在庫を貼る'!$V$6:$V$10005,$V2142,'①在庫を貼る'!$W$6:$W$10005,$W2142)+COUNTIFS('月1回_1ヶ月前の在庫'!$V$6:$V$10005,$V2142,'月1回_1ヶ月前の在庫'!$W$6:$W$10005,$W2142)&gt;0),N(U2141),N(U2141)+1))</f>
        <v/>
      </c>
      <c r="V2142" s="19">
        <f>IF($B2142="","",TEXT($B2142,"0000"))</f>
        <v/>
      </c>
      <c r="W2142" s="19">
        <f>IF($I2142="","",IF(ISNUMBER($I2142),TEXT($I2142,"0"),$I2142))</f>
        <v/>
      </c>
    </row>
    <row r="2143">
      <c r="B2143" s="25" t="n"/>
      <c r="I2143" s="25" t="n"/>
      <c r="U2143" s="19">
        <f>IF($V2143&lt;&gt;'設定'!$C$4,N(U2142),IF(OR(NOT(COUNTIF('商品マスタ'!$B$6:$B$1005,$W2143)=0),COUNTIFS('①在庫を貼る'!$V$6:$V$10005,$V2143,'①在庫を貼る'!$W$6:$W$10005,$W2143)+COUNTIFS('月1回_1ヶ月前の在庫'!$V$6:$V$10005,$V2143,'月1回_1ヶ月前の在庫'!$W$6:$W$10005,$W2143)&gt;0),N(U2142),N(U2142)+1))</f>
        <v/>
      </c>
      <c r="V2143" s="19">
        <f>IF($B2143="","",TEXT($B2143,"0000"))</f>
        <v/>
      </c>
      <c r="W2143" s="19">
        <f>IF($I2143="","",IF(ISNUMBER($I2143),TEXT($I2143,"0"),$I2143))</f>
        <v/>
      </c>
    </row>
    <row r="2144">
      <c r="B2144" s="25" t="n"/>
      <c r="I2144" s="25" t="n"/>
      <c r="U2144" s="19">
        <f>IF($V2144&lt;&gt;'設定'!$C$4,N(U2143),IF(OR(NOT(COUNTIF('商品マスタ'!$B$6:$B$1005,$W2144)=0),COUNTIFS('①在庫を貼る'!$V$6:$V$10005,$V2144,'①在庫を貼る'!$W$6:$W$10005,$W2144)+COUNTIFS('月1回_1ヶ月前の在庫'!$V$6:$V$10005,$V2144,'月1回_1ヶ月前の在庫'!$W$6:$W$10005,$W2144)&gt;0),N(U2143),N(U2143)+1))</f>
        <v/>
      </c>
      <c r="V2144" s="19">
        <f>IF($B2144="","",TEXT($B2144,"0000"))</f>
        <v/>
      </c>
      <c r="W2144" s="19">
        <f>IF($I2144="","",IF(ISNUMBER($I2144),TEXT($I2144,"0"),$I2144))</f>
        <v/>
      </c>
    </row>
    <row r="2145">
      <c r="B2145" s="25" t="n"/>
      <c r="I2145" s="25" t="n"/>
      <c r="U2145" s="19">
        <f>IF($V2145&lt;&gt;'設定'!$C$4,N(U2144),IF(OR(NOT(COUNTIF('商品マスタ'!$B$6:$B$1005,$W2145)=0),COUNTIFS('①在庫を貼る'!$V$6:$V$10005,$V2145,'①在庫を貼る'!$W$6:$W$10005,$W2145)+COUNTIFS('月1回_1ヶ月前の在庫'!$V$6:$V$10005,$V2145,'月1回_1ヶ月前の在庫'!$W$6:$W$10005,$W2145)&gt;0),N(U2144),N(U2144)+1))</f>
        <v/>
      </c>
      <c r="V2145" s="19">
        <f>IF($B2145="","",TEXT($B2145,"0000"))</f>
        <v/>
      </c>
      <c r="W2145" s="19">
        <f>IF($I2145="","",IF(ISNUMBER($I2145),TEXT($I2145,"0"),$I2145))</f>
        <v/>
      </c>
    </row>
    <row r="2146">
      <c r="B2146" s="25" t="n"/>
      <c r="I2146" s="25" t="n"/>
      <c r="U2146" s="19">
        <f>IF($V2146&lt;&gt;'設定'!$C$4,N(U2145),IF(OR(NOT(COUNTIF('商品マスタ'!$B$6:$B$1005,$W2146)=0),COUNTIFS('①在庫を貼る'!$V$6:$V$10005,$V2146,'①在庫を貼る'!$W$6:$W$10005,$W2146)+COUNTIFS('月1回_1ヶ月前の在庫'!$V$6:$V$10005,$V2146,'月1回_1ヶ月前の在庫'!$W$6:$W$10005,$W2146)&gt;0),N(U2145),N(U2145)+1))</f>
        <v/>
      </c>
      <c r="V2146" s="19">
        <f>IF($B2146="","",TEXT($B2146,"0000"))</f>
        <v/>
      </c>
      <c r="W2146" s="19">
        <f>IF($I2146="","",IF(ISNUMBER($I2146),TEXT($I2146,"0"),$I2146))</f>
        <v/>
      </c>
    </row>
    <row r="2147">
      <c r="B2147" s="25" t="n"/>
      <c r="I2147" s="25" t="n"/>
      <c r="U2147" s="19">
        <f>IF($V2147&lt;&gt;'設定'!$C$4,N(U2146),IF(OR(NOT(COUNTIF('商品マスタ'!$B$6:$B$1005,$W2147)=0),COUNTIFS('①在庫を貼る'!$V$6:$V$10005,$V2147,'①在庫を貼る'!$W$6:$W$10005,$W2147)+COUNTIFS('月1回_1ヶ月前の在庫'!$V$6:$V$10005,$V2147,'月1回_1ヶ月前の在庫'!$W$6:$W$10005,$W2147)&gt;0),N(U2146),N(U2146)+1))</f>
        <v/>
      </c>
      <c r="V2147" s="19">
        <f>IF($B2147="","",TEXT($B2147,"0000"))</f>
        <v/>
      </c>
      <c r="W2147" s="19">
        <f>IF($I2147="","",IF(ISNUMBER($I2147),TEXT($I2147,"0"),$I2147))</f>
        <v/>
      </c>
    </row>
    <row r="2148">
      <c r="B2148" s="25" t="n"/>
      <c r="I2148" s="25" t="n"/>
      <c r="U2148" s="19">
        <f>IF($V2148&lt;&gt;'設定'!$C$4,N(U2147),IF(OR(NOT(COUNTIF('商品マスタ'!$B$6:$B$1005,$W2148)=0),COUNTIFS('①在庫を貼る'!$V$6:$V$10005,$V2148,'①在庫を貼る'!$W$6:$W$10005,$W2148)+COUNTIFS('月1回_1ヶ月前の在庫'!$V$6:$V$10005,$V2148,'月1回_1ヶ月前の在庫'!$W$6:$W$10005,$W2148)&gt;0),N(U2147),N(U2147)+1))</f>
        <v/>
      </c>
      <c r="V2148" s="19">
        <f>IF($B2148="","",TEXT($B2148,"0000"))</f>
        <v/>
      </c>
      <c r="W2148" s="19">
        <f>IF($I2148="","",IF(ISNUMBER($I2148),TEXT($I2148,"0"),$I2148))</f>
        <v/>
      </c>
    </row>
    <row r="2149">
      <c r="B2149" s="25" t="n"/>
      <c r="I2149" s="25" t="n"/>
      <c r="U2149" s="19">
        <f>IF($V2149&lt;&gt;'設定'!$C$4,N(U2148),IF(OR(NOT(COUNTIF('商品マスタ'!$B$6:$B$1005,$W2149)=0),COUNTIFS('①在庫を貼る'!$V$6:$V$10005,$V2149,'①在庫を貼る'!$W$6:$W$10005,$W2149)+COUNTIFS('月1回_1ヶ月前の在庫'!$V$6:$V$10005,$V2149,'月1回_1ヶ月前の在庫'!$W$6:$W$10005,$W2149)&gt;0),N(U2148),N(U2148)+1))</f>
        <v/>
      </c>
      <c r="V2149" s="19">
        <f>IF($B2149="","",TEXT($B2149,"0000"))</f>
        <v/>
      </c>
      <c r="W2149" s="19">
        <f>IF($I2149="","",IF(ISNUMBER($I2149),TEXT($I2149,"0"),$I2149))</f>
        <v/>
      </c>
    </row>
    <row r="2150">
      <c r="B2150" s="25" t="n"/>
      <c r="I2150" s="25" t="n"/>
      <c r="U2150" s="19">
        <f>IF($V2150&lt;&gt;'設定'!$C$4,N(U2149),IF(OR(NOT(COUNTIF('商品マスタ'!$B$6:$B$1005,$W2150)=0),COUNTIFS('①在庫を貼る'!$V$6:$V$10005,$V2150,'①在庫を貼る'!$W$6:$W$10005,$W2150)+COUNTIFS('月1回_1ヶ月前の在庫'!$V$6:$V$10005,$V2150,'月1回_1ヶ月前の在庫'!$W$6:$W$10005,$W2150)&gt;0),N(U2149),N(U2149)+1))</f>
        <v/>
      </c>
      <c r="V2150" s="19">
        <f>IF($B2150="","",TEXT($B2150,"0000"))</f>
        <v/>
      </c>
      <c r="W2150" s="19">
        <f>IF($I2150="","",IF(ISNUMBER($I2150),TEXT($I2150,"0"),$I2150))</f>
        <v/>
      </c>
    </row>
    <row r="2151">
      <c r="B2151" s="25" t="n"/>
      <c r="I2151" s="25" t="n"/>
      <c r="U2151" s="19">
        <f>IF($V2151&lt;&gt;'設定'!$C$4,N(U2150),IF(OR(NOT(COUNTIF('商品マスタ'!$B$6:$B$1005,$W2151)=0),COUNTIFS('①在庫を貼る'!$V$6:$V$10005,$V2151,'①在庫を貼る'!$W$6:$W$10005,$W2151)+COUNTIFS('月1回_1ヶ月前の在庫'!$V$6:$V$10005,$V2151,'月1回_1ヶ月前の在庫'!$W$6:$W$10005,$W2151)&gt;0),N(U2150),N(U2150)+1))</f>
        <v/>
      </c>
      <c r="V2151" s="19">
        <f>IF($B2151="","",TEXT($B2151,"0000"))</f>
        <v/>
      </c>
      <c r="W2151" s="19">
        <f>IF($I2151="","",IF(ISNUMBER($I2151),TEXT($I2151,"0"),$I2151))</f>
        <v/>
      </c>
    </row>
    <row r="2152">
      <c r="B2152" s="25" t="n"/>
      <c r="I2152" s="25" t="n"/>
      <c r="U2152" s="19">
        <f>IF($V2152&lt;&gt;'設定'!$C$4,N(U2151),IF(OR(NOT(COUNTIF('商品マスタ'!$B$6:$B$1005,$W2152)=0),COUNTIFS('①在庫を貼る'!$V$6:$V$10005,$V2152,'①在庫を貼る'!$W$6:$W$10005,$W2152)+COUNTIFS('月1回_1ヶ月前の在庫'!$V$6:$V$10005,$V2152,'月1回_1ヶ月前の在庫'!$W$6:$W$10005,$W2152)&gt;0),N(U2151),N(U2151)+1))</f>
        <v/>
      </c>
      <c r="V2152" s="19">
        <f>IF($B2152="","",TEXT($B2152,"0000"))</f>
        <v/>
      </c>
      <c r="W2152" s="19">
        <f>IF($I2152="","",IF(ISNUMBER($I2152),TEXT($I2152,"0"),$I2152))</f>
        <v/>
      </c>
    </row>
    <row r="2153">
      <c r="B2153" s="25" t="n"/>
      <c r="I2153" s="25" t="n"/>
      <c r="U2153" s="19">
        <f>IF($V2153&lt;&gt;'設定'!$C$4,N(U2152),IF(OR(NOT(COUNTIF('商品マスタ'!$B$6:$B$1005,$W2153)=0),COUNTIFS('①在庫を貼る'!$V$6:$V$10005,$V2153,'①在庫を貼る'!$W$6:$W$10005,$W2153)+COUNTIFS('月1回_1ヶ月前の在庫'!$V$6:$V$10005,$V2153,'月1回_1ヶ月前の在庫'!$W$6:$W$10005,$W2153)&gt;0),N(U2152),N(U2152)+1))</f>
        <v/>
      </c>
      <c r="V2153" s="19">
        <f>IF($B2153="","",TEXT($B2153,"0000"))</f>
        <v/>
      </c>
      <c r="W2153" s="19">
        <f>IF($I2153="","",IF(ISNUMBER($I2153),TEXT($I2153,"0"),$I2153))</f>
        <v/>
      </c>
    </row>
    <row r="2154">
      <c r="B2154" s="25" t="n"/>
      <c r="I2154" s="25" t="n"/>
      <c r="U2154" s="19">
        <f>IF($V2154&lt;&gt;'設定'!$C$4,N(U2153),IF(OR(NOT(COUNTIF('商品マスタ'!$B$6:$B$1005,$W2154)=0),COUNTIFS('①在庫を貼る'!$V$6:$V$10005,$V2154,'①在庫を貼る'!$W$6:$W$10005,$W2154)+COUNTIFS('月1回_1ヶ月前の在庫'!$V$6:$V$10005,$V2154,'月1回_1ヶ月前の在庫'!$W$6:$W$10005,$W2154)&gt;0),N(U2153),N(U2153)+1))</f>
        <v/>
      </c>
      <c r="V2154" s="19">
        <f>IF($B2154="","",TEXT($B2154,"0000"))</f>
        <v/>
      </c>
      <c r="W2154" s="19">
        <f>IF($I2154="","",IF(ISNUMBER($I2154),TEXT($I2154,"0"),$I2154))</f>
        <v/>
      </c>
    </row>
    <row r="2155">
      <c r="B2155" s="25" t="n"/>
      <c r="I2155" s="25" t="n"/>
      <c r="U2155" s="19">
        <f>IF($V2155&lt;&gt;'設定'!$C$4,N(U2154),IF(OR(NOT(COUNTIF('商品マスタ'!$B$6:$B$1005,$W2155)=0),COUNTIFS('①在庫を貼る'!$V$6:$V$10005,$V2155,'①在庫を貼る'!$W$6:$W$10005,$W2155)+COUNTIFS('月1回_1ヶ月前の在庫'!$V$6:$V$10005,$V2155,'月1回_1ヶ月前の在庫'!$W$6:$W$10005,$W2155)&gt;0),N(U2154),N(U2154)+1))</f>
        <v/>
      </c>
      <c r="V2155" s="19">
        <f>IF($B2155="","",TEXT($B2155,"0000"))</f>
        <v/>
      </c>
      <c r="W2155" s="19">
        <f>IF($I2155="","",IF(ISNUMBER($I2155),TEXT($I2155,"0"),$I2155))</f>
        <v/>
      </c>
    </row>
    <row r="2156">
      <c r="B2156" s="25" t="n"/>
      <c r="I2156" s="25" t="n"/>
      <c r="U2156" s="19">
        <f>IF($V2156&lt;&gt;'設定'!$C$4,N(U2155),IF(OR(NOT(COUNTIF('商品マスタ'!$B$6:$B$1005,$W2156)=0),COUNTIFS('①在庫を貼る'!$V$6:$V$10005,$V2156,'①在庫を貼る'!$W$6:$W$10005,$W2156)+COUNTIFS('月1回_1ヶ月前の在庫'!$V$6:$V$10005,$V2156,'月1回_1ヶ月前の在庫'!$W$6:$W$10005,$W2156)&gt;0),N(U2155),N(U2155)+1))</f>
        <v/>
      </c>
      <c r="V2156" s="19">
        <f>IF($B2156="","",TEXT($B2156,"0000"))</f>
        <v/>
      </c>
      <c r="W2156" s="19">
        <f>IF($I2156="","",IF(ISNUMBER($I2156),TEXT($I2156,"0"),$I2156))</f>
        <v/>
      </c>
    </row>
    <row r="2157">
      <c r="B2157" s="25" t="n"/>
      <c r="I2157" s="25" t="n"/>
      <c r="U2157" s="19">
        <f>IF($V2157&lt;&gt;'設定'!$C$4,N(U2156),IF(OR(NOT(COUNTIF('商品マスタ'!$B$6:$B$1005,$W2157)=0),COUNTIFS('①在庫を貼る'!$V$6:$V$10005,$V2157,'①在庫を貼る'!$W$6:$W$10005,$W2157)+COUNTIFS('月1回_1ヶ月前の在庫'!$V$6:$V$10005,$V2157,'月1回_1ヶ月前の在庫'!$W$6:$W$10005,$W2157)&gt;0),N(U2156),N(U2156)+1))</f>
        <v/>
      </c>
      <c r="V2157" s="19">
        <f>IF($B2157="","",TEXT($B2157,"0000"))</f>
        <v/>
      </c>
      <c r="W2157" s="19">
        <f>IF($I2157="","",IF(ISNUMBER($I2157),TEXT($I2157,"0"),$I2157))</f>
        <v/>
      </c>
    </row>
    <row r="2158">
      <c r="B2158" s="25" t="n"/>
      <c r="I2158" s="25" t="n"/>
      <c r="U2158" s="19">
        <f>IF($V2158&lt;&gt;'設定'!$C$4,N(U2157),IF(OR(NOT(COUNTIF('商品マスタ'!$B$6:$B$1005,$W2158)=0),COUNTIFS('①在庫を貼る'!$V$6:$V$10005,$V2158,'①在庫を貼る'!$W$6:$W$10005,$W2158)+COUNTIFS('月1回_1ヶ月前の在庫'!$V$6:$V$10005,$V2158,'月1回_1ヶ月前の在庫'!$W$6:$W$10005,$W2158)&gt;0),N(U2157),N(U2157)+1))</f>
        <v/>
      </c>
      <c r="V2158" s="19">
        <f>IF($B2158="","",TEXT($B2158,"0000"))</f>
        <v/>
      </c>
      <c r="W2158" s="19">
        <f>IF($I2158="","",IF(ISNUMBER($I2158),TEXT($I2158,"0"),$I2158))</f>
        <v/>
      </c>
    </row>
    <row r="2159">
      <c r="B2159" s="25" t="n"/>
      <c r="I2159" s="25" t="n"/>
      <c r="U2159" s="19">
        <f>IF($V2159&lt;&gt;'設定'!$C$4,N(U2158),IF(OR(NOT(COUNTIF('商品マスタ'!$B$6:$B$1005,$W2159)=0),COUNTIFS('①在庫を貼る'!$V$6:$V$10005,$V2159,'①在庫を貼る'!$W$6:$W$10005,$W2159)+COUNTIFS('月1回_1ヶ月前の在庫'!$V$6:$V$10005,$V2159,'月1回_1ヶ月前の在庫'!$W$6:$W$10005,$W2159)&gt;0),N(U2158),N(U2158)+1))</f>
        <v/>
      </c>
      <c r="V2159" s="19">
        <f>IF($B2159="","",TEXT($B2159,"0000"))</f>
        <v/>
      </c>
      <c r="W2159" s="19">
        <f>IF($I2159="","",IF(ISNUMBER($I2159),TEXT($I2159,"0"),$I2159))</f>
        <v/>
      </c>
    </row>
    <row r="2160">
      <c r="B2160" s="25" t="n"/>
      <c r="I2160" s="25" t="n"/>
      <c r="U2160" s="19">
        <f>IF($V2160&lt;&gt;'設定'!$C$4,N(U2159),IF(OR(NOT(COUNTIF('商品マスタ'!$B$6:$B$1005,$W2160)=0),COUNTIFS('①在庫を貼る'!$V$6:$V$10005,$V2160,'①在庫を貼る'!$W$6:$W$10005,$W2160)+COUNTIFS('月1回_1ヶ月前の在庫'!$V$6:$V$10005,$V2160,'月1回_1ヶ月前の在庫'!$W$6:$W$10005,$W2160)&gt;0),N(U2159),N(U2159)+1))</f>
        <v/>
      </c>
      <c r="V2160" s="19">
        <f>IF($B2160="","",TEXT($B2160,"0000"))</f>
        <v/>
      </c>
      <c r="W2160" s="19">
        <f>IF($I2160="","",IF(ISNUMBER($I2160),TEXT($I2160,"0"),$I2160))</f>
        <v/>
      </c>
    </row>
    <row r="2161">
      <c r="B2161" s="25" t="n"/>
      <c r="I2161" s="25" t="n"/>
      <c r="U2161" s="19">
        <f>IF($V2161&lt;&gt;'設定'!$C$4,N(U2160),IF(OR(NOT(COUNTIF('商品マスタ'!$B$6:$B$1005,$W2161)=0),COUNTIFS('①在庫を貼る'!$V$6:$V$10005,$V2161,'①在庫を貼る'!$W$6:$W$10005,$W2161)+COUNTIFS('月1回_1ヶ月前の在庫'!$V$6:$V$10005,$V2161,'月1回_1ヶ月前の在庫'!$W$6:$W$10005,$W2161)&gt;0),N(U2160),N(U2160)+1))</f>
        <v/>
      </c>
      <c r="V2161" s="19">
        <f>IF($B2161="","",TEXT($B2161,"0000"))</f>
        <v/>
      </c>
      <c r="W2161" s="19">
        <f>IF($I2161="","",IF(ISNUMBER($I2161),TEXT($I2161,"0"),$I2161))</f>
        <v/>
      </c>
    </row>
    <row r="2162">
      <c r="B2162" s="25" t="n"/>
      <c r="I2162" s="25" t="n"/>
      <c r="U2162" s="19">
        <f>IF($V2162&lt;&gt;'設定'!$C$4,N(U2161),IF(OR(NOT(COUNTIF('商品マスタ'!$B$6:$B$1005,$W2162)=0),COUNTIFS('①在庫を貼る'!$V$6:$V$10005,$V2162,'①在庫を貼る'!$W$6:$W$10005,$W2162)+COUNTIFS('月1回_1ヶ月前の在庫'!$V$6:$V$10005,$V2162,'月1回_1ヶ月前の在庫'!$W$6:$W$10005,$W2162)&gt;0),N(U2161),N(U2161)+1))</f>
        <v/>
      </c>
      <c r="V2162" s="19">
        <f>IF($B2162="","",TEXT($B2162,"0000"))</f>
        <v/>
      </c>
      <c r="W2162" s="19">
        <f>IF($I2162="","",IF(ISNUMBER($I2162),TEXT($I2162,"0"),$I2162))</f>
        <v/>
      </c>
    </row>
    <row r="2163">
      <c r="B2163" s="25" t="n"/>
      <c r="I2163" s="25" t="n"/>
      <c r="U2163" s="19">
        <f>IF($V2163&lt;&gt;'設定'!$C$4,N(U2162),IF(OR(NOT(COUNTIF('商品マスタ'!$B$6:$B$1005,$W2163)=0),COUNTIFS('①在庫を貼る'!$V$6:$V$10005,$V2163,'①在庫を貼る'!$W$6:$W$10005,$W2163)+COUNTIFS('月1回_1ヶ月前の在庫'!$V$6:$V$10005,$V2163,'月1回_1ヶ月前の在庫'!$W$6:$W$10005,$W2163)&gt;0),N(U2162),N(U2162)+1))</f>
        <v/>
      </c>
      <c r="V2163" s="19">
        <f>IF($B2163="","",TEXT($B2163,"0000"))</f>
        <v/>
      </c>
      <c r="W2163" s="19">
        <f>IF($I2163="","",IF(ISNUMBER($I2163),TEXT($I2163,"0"),$I2163))</f>
        <v/>
      </c>
    </row>
    <row r="2164">
      <c r="B2164" s="25" t="n"/>
      <c r="I2164" s="25" t="n"/>
      <c r="U2164" s="19">
        <f>IF($V2164&lt;&gt;'設定'!$C$4,N(U2163),IF(OR(NOT(COUNTIF('商品マスタ'!$B$6:$B$1005,$W2164)=0),COUNTIFS('①在庫を貼る'!$V$6:$V$10005,$V2164,'①在庫を貼る'!$W$6:$W$10005,$W2164)+COUNTIFS('月1回_1ヶ月前の在庫'!$V$6:$V$10005,$V2164,'月1回_1ヶ月前の在庫'!$W$6:$W$10005,$W2164)&gt;0),N(U2163),N(U2163)+1))</f>
        <v/>
      </c>
      <c r="V2164" s="19">
        <f>IF($B2164="","",TEXT($B2164,"0000"))</f>
        <v/>
      </c>
      <c r="W2164" s="19">
        <f>IF($I2164="","",IF(ISNUMBER($I2164),TEXT($I2164,"0"),$I2164))</f>
        <v/>
      </c>
    </row>
    <row r="2165">
      <c r="B2165" s="25" t="n"/>
      <c r="I2165" s="25" t="n"/>
      <c r="U2165" s="19">
        <f>IF($V2165&lt;&gt;'設定'!$C$4,N(U2164),IF(OR(NOT(COUNTIF('商品マスタ'!$B$6:$B$1005,$W2165)=0),COUNTIFS('①在庫を貼る'!$V$6:$V$10005,$V2165,'①在庫を貼る'!$W$6:$W$10005,$W2165)+COUNTIFS('月1回_1ヶ月前の在庫'!$V$6:$V$10005,$V2165,'月1回_1ヶ月前の在庫'!$W$6:$W$10005,$W2165)&gt;0),N(U2164),N(U2164)+1))</f>
        <v/>
      </c>
      <c r="V2165" s="19">
        <f>IF($B2165="","",TEXT($B2165,"0000"))</f>
        <v/>
      </c>
      <c r="W2165" s="19">
        <f>IF($I2165="","",IF(ISNUMBER($I2165),TEXT($I2165,"0"),$I2165))</f>
        <v/>
      </c>
    </row>
    <row r="2166">
      <c r="B2166" s="25" t="n"/>
      <c r="I2166" s="25" t="n"/>
      <c r="U2166" s="19">
        <f>IF($V2166&lt;&gt;'設定'!$C$4,N(U2165),IF(OR(NOT(COUNTIF('商品マスタ'!$B$6:$B$1005,$W2166)=0),COUNTIFS('①在庫を貼る'!$V$6:$V$10005,$V2166,'①在庫を貼る'!$W$6:$W$10005,$W2166)+COUNTIFS('月1回_1ヶ月前の在庫'!$V$6:$V$10005,$V2166,'月1回_1ヶ月前の在庫'!$W$6:$W$10005,$W2166)&gt;0),N(U2165),N(U2165)+1))</f>
        <v/>
      </c>
      <c r="V2166" s="19">
        <f>IF($B2166="","",TEXT($B2166,"0000"))</f>
        <v/>
      </c>
      <c r="W2166" s="19">
        <f>IF($I2166="","",IF(ISNUMBER($I2166),TEXT($I2166,"0"),$I2166))</f>
        <v/>
      </c>
    </row>
    <row r="2167">
      <c r="B2167" s="25" t="n"/>
      <c r="I2167" s="25" t="n"/>
      <c r="U2167" s="19">
        <f>IF($V2167&lt;&gt;'設定'!$C$4,N(U2166),IF(OR(NOT(COUNTIF('商品マスタ'!$B$6:$B$1005,$W2167)=0),COUNTIFS('①在庫を貼る'!$V$6:$V$10005,$V2167,'①在庫を貼る'!$W$6:$W$10005,$W2167)+COUNTIFS('月1回_1ヶ月前の在庫'!$V$6:$V$10005,$V2167,'月1回_1ヶ月前の在庫'!$W$6:$W$10005,$W2167)&gt;0),N(U2166),N(U2166)+1))</f>
        <v/>
      </c>
      <c r="V2167" s="19">
        <f>IF($B2167="","",TEXT($B2167,"0000"))</f>
        <v/>
      </c>
      <c r="W2167" s="19">
        <f>IF($I2167="","",IF(ISNUMBER($I2167),TEXT($I2167,"0"),$I2167))</f>
        <v/>
      </c>
    </row>
    <row r="2168">
      <c r="B2168" s="25" t="n"/>
      <c r="I2168" s="25" t="n"/>
      <c r="U2168" s="19">
        <f>IF($V2168&lt;&gt;'設定'!$C$4,N(U2167),IF(OR(NOT(COUNTIF('商品マスタ'!$B$6:$B$1005,$W2168)=0),COUNTIFS('①在庫を貼る'!$V$6:$V$10005,$V2168,'①在庫を貼る'!$W$6:$W$10005,$W2168)+COUNTIFS('月1回_1ヶ月前の在庫'!$V$6:$V$10005,$V2168,'月1回_1ヶ月前の在庫'!$W$6:$W$10005,$W2168)&gt;0),N(U2167),N(U2167)+1))</f>
        <v/>
      </c>
      <c r="V2168" s="19">
        <f>IF($B2168="","",TEXT($B2168,"0000"))</f>
        <v/>
      </c>
      <c r="W2168" s="19">
        <f>IF($I2168="","",IF(ISNUMBER($I2168),TEXT($I2168,"0"),$I2168))</f>
        <v/>
      </c>
    </row>
    <row r="2169">
      <c r="B2169" s="25" t="n"/>
      <c r="I2169" s="25" t="n"/>
      <c r="U2169" s="19">
        <f>IF($V2169&lt;&gt;'設定'!$C$4,N(U2168),IF(OR(NOT(COUNTIF('商品マスタ'!$B$6:$B$1005,$W2169)=0),COUNTIFS('①在庫を貼る'!$V$6:$V$10005,$V2169,'①在庫を貼る'!$W$6:$W$10005,$W2169)+COUNTIFS('月1回_1ヶ月前の在庫'!$V$6:$V$10005,$V2169,'月1回_1ヶ月前の在庫'!$W$6:$W$10005,$W2169)&gt;0),N(U2168),N(U2168)+1))</f>
        <v/>
      </c>
      <c r="V2169" s="19">
        <f>IF($B2169="","",TEXT($B2169,"0000"))</f>
        <v/>
      </c>
      <c r="W2169" s="19">
        <f>IF($I2169="","",IF(ISNUMBER($I2169),TEXT($I2169,"0"),$I2169))</f>
        <v/>
      </c>
    </row>
    <row r="2170">
      <c r="B2170" s="25" t="n"/>
      <c r="I2170" s="25" t="n"/>
      <c r="U2170" s="19">
        <f>IF($V2170&lt;&gt;'設定'!$C$4,N(U2169),IF(OR(NOT(COUNTIF('商品マスタ'!$B$6:$B$1005,$W2170)=0),COUNTIFS('①在庫を貼る'!$V$6:$V$10005,$V2170,'①在庫を貼る'!$W$6:$W$10005,$W2170)+COUNTIFS('月1回_1ヶ月前の在庫'!$V$6:$V$10005,$V2170,'月1回_1ヶ月前の在庫'!$W$6:$W$10005,$W2170)&gt;0),N(U2169),N(U2169)+1))</f>
        <v/>
      </c>
      <c r="V2170" s="19">
        <f>IF($B2170="","",TEXT($B2170,"0000"))</f>
        <v/>
      </c>
      <c r="W2170" s="19">
        <f>IF($I2170="","",IF(ISNUMBER($I2170),TEXT($I2170,"0"),$I2170))</f>
        <v/>
      </c>
    </row>
    <row r="2171">
      <c r="B2171" s="25" t="n"/>
      <c r="I2171" s="25" t="n"/>
      <c r="U2171" s="19">
        <f>IF($V2171&lt;&gt;'設定'!$C$4,N(U2170),IF(OR(NOT(COUNTIF('商品マスタ'!$B$6:$B$1005,$W2171)=0),COUNTIFS('①在庫を貼る'!$V$6:$V$10005,$V2171,'①在庫を貼る'!$W$6:$W$10005,$W2171)+COUNTIFS('月1回_1ヶ月前の在庫'!$V$6:$V$10005,$V2171,'月1回_1ヶ月前の在庫'!$W$6:$W$10005,$W2171)&gt;0),N(U2170),N(U2170)+1))</f>
        <v/>
      </c>
      <c r="V2171" s="19">
        <f>IF($B2171="","",TEXT($B2171,"0000"))</f>
        <v/>
      </c>
      <c r="W2171" s="19">
        <f>IF($I2171="","",IF(ISNUMBER($I2171),TEXT($I2171,"0"),$I2171))</f>
        <v/>
      </c>
    </row>
    <row r="2172">
      <c r="B2172" s="25" t="n"/>
      <c r="I2172" s="25" t="n"/>
      <c r="U2172" s="19">
        <f>IF($V2172&lt;&gt;'設定'!$C$4,N(U2171),IF(OR(NOT(COUNTIF('商品マスタ'!$B$6:$B$1005,$W2172)=0),COUNTIFS('①在庫を貼る'!$V$6:$V$10005,$V2172,'①在庫を貼る'!$W$6:$W$10005,$W2172)+COUNTIFS('月1回_1ヶ月前の在庫'!$V$6:$V$10005,$V2172,'月1回_1ヶ月前の在庫'!$W$6:$W$10005,$W2172)&gt;0),N(U2171),N(U2171)+1))</f>
        <v/>
      </c>
      <c r="V2172" s="19">
        <f>IF($B2172="","",TEXT($B2172,"0000"))</f>
        <v/>
      </c>
      <c r="W2172" s="19">
        <f>IF($I2172="","",IF(ISNUMBER($I2172),TEXT($I2172,"0"),$I2172))</f>
        <v/>
      </c>
    </row>
    <row r="2173">
      <c r="B2173" s="25" t="n"/>
      <c r="I2173" s="25" t="n"/>
      <c r="U2173" s="19">
        <f>IF($V2173&lt;&gt;'設定'!$C$4,N(U2172),IF(OR(NOT(COUNTIF('商品マスタ'!$B$6:$B$1005,$W2173)=0),COUNTIFS('①在庫を貼る'!$V$6:$V$10005,$V2173,'①在庫を貼る'!$W$6:$W$10005,$W2173)+COUNTIFS('月1回_1ヶ月前の在庫'!$V$6:$V$10005,$V2173,'月1回_1ヶ月前の在庫'!$W$6:$W$10005,$W2173)&gt;0),N(U2172),N(U2172)+1))</f>
        <v/>
      </c>
      <c r="V2173" s="19">
        <f>IF($B2173="","",TEXT($B2173,"0000"))</f>
        <v/>
      </c>
      <c r="W2173" s="19">
        <f>IF($I2173="","",IF(ISNUMBER($I2173),TEXT($I2173,"0"),$I2173))</f>
        <v/>
      </c>
    </row>
    <row r="2174">
      <c r="B2174" s="25" t="n"/>
      <c r="I2174" s="25" t="n"/>
      <c r="U2174" s="19">
        <f>IF($V2174&lt;&gt;'設定'!$C$4,N(U2173),IF(OR(NOT(COUNTIF('商品マスタ'!$B$6:$B$1005,$W2174)=0),COUNTIFS('①在庫を貼る'!$V$6:$V$10005,$V2174,'①在庫を貼る'!$W$6:$W$10005,$W2174)+COUNTIFS('月1回_1ヶ月前の在庫'!$V$6:$V$10005,$V2174,'月1回_1ヶ月前の在庫'!$W$6:$W$10005,$W2174)&gt;0),N(U2173),N(U2173)+1))</f>
        <v/>
      </c>
      <c r="V2174" s="19">
        <f>IF($B2174="","",TEXT($B2174,"0000"))</f>
        <v/>
      </c>
      <c r="W2174" s="19">
        <f>IF($I2174="","",IF(ISNUMBER($I2174),TEXT($I2174,"0"),$I2174))</f>
        <v/>
      </c>
    </row>
    <row r="2175">
      <c r="B2175" s="25" t="n"/>
      <c r="I2175" s="25" t="n"/>
      <c r="U2175" s="19">
        <f>IF($V2175&lt;&gt;'設定'!$C$4,N(U2174),IF(OR(NOT(COUNTIF('商品マスタ'!$B$6:$B$1005,$W2175)=0),COUNTIFS('①在庫を貼る'!$V$6:$V$10005,$V2175,'①在庫を貼る'!$W$6:$W$10005,$W2175)+COUNTIFS('月1回_1ヶ月前の在庫'!$V$6:$V$10005,$V2175,'月1回_1ヶ月前の在庫'!$W$6:$W$10005,$W2175)&gt;0),N(U2174),N(U2174)+1))</f>
        <v/>
      </c>
      <c r="V2175" s="19">
        <f>IF($B2175="","",TEXT($B2175,"0000"))</f>
        <v/>
      </c>
      <c r="W2175" s="19">
        <f>IF($I2175="","",IF(ISNUMBER($I2175),TEXT($I2175,"0"),$I2175))</f>
        <v/>
      </c>
    </row>
    <row r="2176">
      <c r="B2176" s="25" t="n"/>
      <c r="I2176" s="25" t="n"/>
      <c r="U2176" s="19">
        <f>IF($V2176&lt;&gt;'設定'!$C$4,N(U2175),IF(OR(NOT(COUNTIF('商品マスタ'!$B$6:$B$1005,$W2176)=0),COUNTIFS('①在庫を貼る'!$V$6:$V$10005,$V2176,'①在庫を貼る'!$W$6:$W$10005,$W2176)+COUNTIFS('月1回_1ヶ月前の在庫'!$V$6:$V$10005,$V2176,'月1回_1ヶ月前の在庫'!$W$6:$W$10005,$W2176)&gt;0),N(U2175),N(U2175)+1))</f>
        <v/>
      </c>
      <c r="V2176" s="19">
        <f>IF($B2176="","",TEXT($B2176,"0000"))</f>
        <v/>
      </c>
      <c r="W2176" s="19">
        <f>IF($I2176="","",IF(ISNUMBER($I2176),TEXT($I2176,"0"),$I2176))</f>
        <v/>
      </c>
    </row>
    <row r="2177">
      <c r="B2177" s="25" t="n"/>
      <c r="I2177" s="25" t="n"/>
      <c r="U2177" s="19">
        <f>IF($V2177&lt;&gt;'設定'!$C$4,N(U2176),IF(OR(NOT(COUNTIF('商品マスタ'!$B$6:$B$1005,$W2177)=0),COUNTIFS('①在庫を貼る'!$V$6:$V$10005,$V2177,'①在庫を貼る'!$W$6:$W$10005,$W2177)+COUNTIFS('月1回_1ヶ月前の在庫'!$V$6:$V$10005,$V2177,'月1回_1ヶ月前の在庫'!$W$6:$W$10005,$W2177)&gt;0),N(U2176),N(U2176)+1))</f>
        <v/>
      </c>
      <c r="V2177" s="19">
        <f>IF($B2177="","",TEXT($B2177,"0000"))</f>
        <v/>
      </c>
      <c r="W2177" s="19">
        <f>IF($I2177="","",IF(ISNUMBER($I2177),TEXT($I2177,"0"),$I2177))</f>
        <v/>
      </c>
    </row>
    <row r="2178">
      <c r="B2178" s="25" t="n"/>
      <c r="I2178" s="25" t="n"/>
      <c r="U2178" s="19">
        <f>IF($V2178&lt;&gt;'設定'!$C$4,N(U2177),IF(OR(NOT(COUNTIF('商品マスタ'!$B$6:$B$1005,$W2178)=0),COUNTIFS('①在庫を貼る'!$V$6:$V$10005,$V2178,'①在庫を貼る'!$W$6:$W$10005,$W2178)+COUNTIFS('月1回_1ヶ月前の在庫'!$V$6:$V$10005,$V2178,'月1回_1ヶ月前の在庫'!$W$6:$W$10005,$W2178)&gt;0),N(U2177),N(U2177)+1))</f>
        <v/>
      </c>
      <c r="V2178" s="19">
        <f>IF($B2178="","",TEXT($B2178,"0000"))</f>
        <v/>
      </c>
      <c r="W2178" s="19">
        <f>IF($I2178="","",IF(ISNUMBER($I2178),TEXT($I2178,"0"),$I2178))</f>
        <v/>
      </c>
    </row>
    <row r="2179">
      <c r="B2179" s="25" t="n"/>
      <c r="I2179" s="25" t="n"/>
      <c r="U2179" s="19">
        <f>IF($V2179&lt;&gt;'設定'!$C$4,N(U2178),IF(OR(NOT(COUNTIF('商品マスタ'!$B$6:$B$1005,$W2179)=0),COUNTIFS('①在庫を貼る'!$V$6:$V$10005,$V2179,'①在庫を貼る'!$W$6:$W$10005,$W2179)+COUNTIFS('月1回_1ヶ月前の在庫'!$V$6:$V$10005,$V2179,'月1回_1ヶ月前の在庫'!$W$6:$W$10005,$W2179)&gt;0),N(U2178),N(U2178)+1))</f>
        <v/>
      </c>
      <c r="V2179" s="19">
        <f>IF($B2179="","",TEXT($B2179,"0000"))</f>
        <v/>
      </c>
      <c r="W2179" s="19">
        <f>IF($I2179="","",IF(ISNUMBER($I2179),TEXT($I2179,"0"),$I2179))</f>
        <v/>
      </c>
    </row>
    <row r="2180">
      <c r="B2180" s="25" t="n"/>
      <c r="I2180" s="25" t="n"/>
      <c r="U2180" s="19">
        <f>IF($V2180&lt;&gt;'設定'!$C$4,N(U2179),IF(OR(NOT(COUNTIF('商品マスタ'!$B$6:$B$1005,$W2180)=0),COUNTIFS('①在庫を貼る'!$V$6:$V$10005,$V2180,'①在庫を貼る'!$W$6:$W$10005,$W2180)+COUNTIFS('月1回_1ヶ月前の在庫'!$V$6:$V$10005,$V2180,'月1回_1ヶ月前の在庫'!$W$6:$W$10005,$W2180)&gt;0),N(U2179),N(U2179)+1))</f>
        <v/>
      </c>
      <c r="V2180" s="19">
        <f>IF($B2180="","",TEXT($B2180,"0000"))</f>
        <v/>
      </c>
      <c r="W2180" s="19">
        <f>IF($I2180="","",IF(ISNUMBER($I2180),TEXT($I2180,"0"),$I2180))</f>
        <v/>
      </c>
    </row>
    <row r="2181">
      <c r="B2181" s="25" t="n"/>
      <c r="I2181" s="25" t="n"/>
      <c r="U2181" s="19">
        <f>IF($V2181&lt;&gt;'設定'!$C$4,N(U2180),IF(OR(NOT(COUNTIF('商品マスタ'!$B$6:$B$1005,$W2181)=0),COUNTIFS('①在庫を貼る'!$V$6:$V$10005,$V2181,'①在庫を貼る'!$W$6:$W$10005,$W2181)+COUNTIFS('月1回_1ヶ月前の在庫'!$V$6:$V$10005,$V2181,'月1回_1ヶ月前の在庫'!$W$6:$W$10005,$W2181)&gt;0),N(U2180),N(U2180)+1))</f>
        <v/>
      </c>
      <c r="V2181" s="19">
        <f>IF($B2181="","",TEXT($B2181,"0000"))</f>
        <v/>
      </c>
      <c r="W2181" s="19">
        <f>IF($I2181="","",IF(ISNUMBER($I2181),TEXT($I2181,"0"),$I2181))</f>
        <v/>
      </c>
    </row>
    <row r="2182">
      <c r="B2182" s="25" t="n"/>
      <c r="I2182" s="25" t="n"/>
      <c r="U2182" s="19">
        <f>IF($V2182&lt;&gt;'設定'!$C$4,N(U2181),IF(OR(NOT(COUNTIF('商品マスタ'!$B$6:$B$1005,$W2182)=0),COUNTIFS('①在庫を貼る'!$V$6:$V$10005,$V2182,'①在庫を貼る'!$W$6:$W$10005,$W2182)+COUNTIFS('月1回_1ヶ月前の在庫'!$V$6:$V$10005,$V2182,'月1回_1ヶ月前の在庫'!$W$6:$W$10005,$W2182)&gt;0),N(U2181),N(U2181)+1))</f>
        <v/>
      </c>
      <c r="V2182" s="19">
        <f>IF($B2182="","",TEXT($B2182,"0000"))</f>
        <v/>
      </c>
      <c r="W2182" s="19">
        <f>IF($I2182="","",IF(ISNUMBER($I2182),TEXT($I2182,"0"),$I2182))</f>
        <v/>
      </c>
    </row>
    <row r="2183">
      <c r="B2183" s="25" t="n"/>
      <c r="I2183" s="25" t="n"/>
      <c r="U2183" s="19">
        <f>IF($V2183&lt;&gt;'設定'!$C$4,N(U2182),IF(OR(NOT(COUNTIF('商品マスタ'!$B$6:$B$1005,$W2183)=0),COUNTIFS('①在庫を貼る'!$V$6:$V$10005,$V2183,'①在庫を貼る'!$W$6:$W$10005,$W2183)+COUNTIFS('月1回_1ヶ月前の在庫'!$V$6:$V$10005,$V2183,'月1回_1ヶ月前の在庫'!$W$6:$W$10005,$W2183)&gt;0),N(U2182),N(U2182)+1))</f>
        <v/>
      </c>
      <c r="V2183" s="19">
        <f>IF($B2183="","",TEXT($B2183,"0000"))</f>
        <v/>
      </c>
      <c r="W2183" s="19">
        <f>IF($I2183="","",IF(ISNUMBER($I2183),TEXT($I2183,"0"),$I2183))</f>
        <v/>
      </c>
    </row>
    <row r="2184">
      <c r="B2184" s="25" t="n"/>
      <c r="I2184" s="25" t="n"/>
      <c r="U2184" s="19">
        <f>IF($V2184&lt;&gt;'設定'!$C$4,N(U2183),IF(OR(NOT(COUNTIF('商品マスタ'!$B$6:$B$1005,$W2184)=0),COUNTIFS('①在庫を貼る'!$V$6:$V$10005,$V2184,'①在庫を貼る'!$W$6:$W$10005,$W2184)+COUNTIFS('月1回_1ヶ月前の在庫'!$V$6:$V$10005,$V2184,'月1回_1ヶ月前の在庫'!$W$6:$W$10005,$W2184)&gt;0),N(U2183),N(U2183)+1))</f>
        <v/>
      </c>
      <c r="V2184" s="19">
        <f>IF($B2184="","",TEXT($B2184,"0000"))</f>
        <v/>
      </c>
      <c r="W2184" s="19">
        <f>IF($I2184="","",IF(ISNUMBER($I2184),TEXT($I2184,"0"),$I2184))</f>
        <v/>
      </c>
    </row>
    <row r="2185">
      <c r="B2185" s="25" t="n"/>
      <c r="I2185" s="25" t="n"/>
      <c r="U2185" s="19">
        <f>IF($V2185&lt;&gt;'設定'!$C$4,N(U2184),IF(OR(NOT(COUNTIF('商品マスタ'!$B$6:$B$1005,$W2185)=0),COUNTIFS('①在庫を貼る'!$V$6:$V$10005,$V2185,'①在庫を貼る'!$W$6:$W$10005,$W2185)+COUNTIFS('月1回_1ヶ月前の在庫'!$V$6:$V$10005,$V2185,'月1回_1ヶ月前の在庫'!$W$6:$W$10005,$W2185)&gt;0),N(U2184),N(U2184)+1))</f>
        <v/>
      </c>
      <c r="V2185" s="19">
        <f>IF($B2185="","",TEXT($B2185,"0000"))</f>
        <v/>
      </c>
      <c r="W2185" s="19">
        <f>IF($I2185="","",IF(ISNUMBER($I2185),TEXT($I2185,"0"),$I2185))</f>
        <v/>
      </c>
    </row>
    <row r="2186">
      <c r="B2186" s="25" t="n"/>
      <c r="I2186" s="25" t="n"/>
      <c r="U2186" s="19">
        <f>IF($V2186&lt;&gt;'設定'!$C$4,N(U2185),IF(OR(NOT(COUNTIF('商品マスタ'!$B$6:$B$1005,$W2186)=0),COUNTIFS('①在庫を貼る'!$V$6:$V$10005,$V2186,'①在庫を貼る'!$W$6:$W$10005,$W2186)+COUNTIFS('月1回_1ヶ月前の在庫'!$V$6:$V$10005,$V2186,'月1回_1ヶ月前の在庫'!$W$6:$W$10005,$W2186)&gt;0),N(U2185),N(U2185)+1))</f>
        <v/>
      </c>
      <c r="V2186" s="19">
        <f>IF($B2186="","",TEXT($B2186,"0000"))</f>
        <v/>
      </c>
      <c r="W2186" s="19">
        <f>IF($I2186="","",IF(ISNUMBER($I2186),TEXT($I2186,"0"),$I2186))</f>
        <v/>
      </c>
    </row>
    <row r="2187">
      <c r="B2187" s="25" t="n"/>
      <c r="I2187" s="25" t="n"/>
      <c r="U2187" s="19">
        <f>IF($V2187&lt;&gt;'設定'!$C$4,N(U2186),IF(OR(NOT(COUNTIF('商品マスタ'!$B$6:$B$1005,$W2187)=0),COUNTIFS('①在庫を貼る'!$V$6:$V$10005,$V2187,'①在庫を貼る'!$W$6:$W$10005,$W2187)+COUNTIFS('月1回_1ヶ月前の在庫'!$V$6:$V$10005,$V2187,'月1回_1ヶ月前の在庫'!$W$6:$W$10005,$W2187)&gt;0),N(U2186),N(U2186)+1))</f>
        <v/>
      </c>
      <c r="V2187" s="19">
        <f>IF($B2187="","",TEXT($B2187,"0000"))</f>
        <v/>
      </c>
      <c r="W2187" s="19">
        <f>IF($I2187="","",IF(ISNUMBER($I2187),TEXT($I2187,"0"),$I2187))</f>
        <v/>
      </c>
    </row>
    <row r="2188">
      <c r="B2188" s="25" t="n"/>
      <c r="I2188" s="25" t="n"/>
      <c r="U2188" s="19">
        <f>IF($V2188&lt;&gt;'設定'!$C$4,N(U2187),IF(OR(NOT(COUNTIF('商品マスタ'!$B$6:$B$1005,$W2188)=0),COUNTIFS('①在庫を貼る'!$V$6:$V$10005,$V2188,'①在庫を貼る'!$W$6:$W$10005,$W2188)+COUNTIFS('月1回_1ヶ月前の在庫'!$V$6:$V$10005,$V2188,'月1回_1ヶ月前の在庫'!$W$6:$W$10005,$W2188)&gt;0),N(U2187),N(U2187)+1))</f>
        <v/>
      </c>
      <c r="V2188" s="19">
        <f>IF($B2188="","",TEXT($B2188,"0000"))</f>
        <v/>
      </c>
      <c r="W2188" s="19">
        <f>IF($I2188="","",IF(ISNUMBER($I2188),TEXT($I2188,"0"),$I2188))</f>
        <v/>
      </c>
    </row>
    <row r="2189">
      <c r="B2189" s="25" t="n"/>
      <c r="I2189" s="25" t="n"/>
      <c r="U2189" s="19">
        <f>IF($V2189&lt;&gt;'設定'!$C$4,N(U2188),IF(OR(NOT(COUNTIF('商品マスタ'!$B$6:$B$1005,$W2189)=0),COUNTIFS('①在庫を貼る'!$V$6:$V$10005,$V2189,'①在庫を貼る'!$W$6:$W$10005,$W2189)+COUNTIFS('月1回_1ヶ月前の在庫'!$V$6:$V$10005,$V2189,'月1回_1ヶ月前の在庫'!$W$6:$W$10005,$W2189)&gt;0),N(U2188),N(U2188)+1))</f>
        <v/>
      </c>
      <c r="V2189" s="19">
        <f>IF($B2189="","",TEXT($B2189,"0000"))</f>
        <v/>
      </c>
      <c r="W2189" s="19">
        <f>IF($I2189="","",IF(ISNUMBER($I2189),TEXT($I2189,"0"),$I2189))</f>
        <v/>
      </c>
    </row>
    <row r="2190">
      <c r="B2190" s="25" t="n"/>
      <c r="I2190" s="25" t="n"/>
      <c r="U2190" s="19">
        <f>IF($V2190&lt;&gt;'設定'!$C$4,N(U2189),IF(OR(NOT(COUNTIF('商品マスタ'!$B$6:$B$1005,$W2190)=0),COUNTIFS('①在庫を貼る'!$V$6:$V$10005,$V2190,'①在庫を貼る'!$W$6:$W$10005,$W2190)+COUNTIFS('月1回_1ヶ月前の在庫'!$V$6:$V$10005,$V2190,'月1回_1ヶ月前の在庫'!$W$6:$W$10005,$W2190)&gt;0),N(U2189),N(U2189)+1))</f>
        <v/>
      </c>
      <c r="V2190" s="19">
        <f>IF($B2190="","",TEXT($B2190,"0000"))</f>
        <v/>
      </c>
      <c r="W2190" s="19">
        <f>IF($I2190="","",IF(ISNUMBER($I2190),TEXT($I2190,"0"),$I2190))</f>
        <v/>
      </c>
    </row>
    <row r="2191">
      <c r="B2191" s="25" t="n"/>
      <c r="I2191" s="25" t="n"/>
      <c r="U2191" s="19">
        <f>IF($V2191&lt;&gt;'設定'!$C$4,N(U2190),IF(OR(NOT(COUNTIF('商品マスタ'!$B$6:$B$1005,$W2191)=0),COUNTIFS('①在庫を貼る'!$V$6:$V$10005,$V2191,'①在庫を貼る'!$W$6:$W$10005,$W2191)+COUNTIFS('月1回_1ヶ月前の在庫'!$V$6:$V$10005,$V2191,'月1回_1ヶ月前の在庫'!$W$6:$W$10005,$W2191)&gt;0),N(U2190),N(U2190)+1))</f>
        <v/>
      </c>
      <c r="V2191" s="19">
        <f>IF($B2191="","",TEXT($B2191,"0000"))</f>
        <v/>
      </c>
      <c r="W2191" s="19">
        <f>IF($I2191="","",IF(ISNUMBER($I2191),TEXT($I2191,"0"),$I2191))</f>
        <v/>
      </c>
    </row>
    <row r="2192">
      <c r="B2192" s="25" t="n"/>
      <c r="I2192" s="25" t="n"/>
      <c r="U2192" s="19">
        <f>IF($V2192&lt;&gt;'設定'!$C$4,N(U2191),IF(OR(NOT(COUNTIF('商品マスタ'!$B$6:$B$1005,$W2192)=0),COUNTIFS('①在庫を貼る'!$V$6:$V$10005,$V2192,'①在庫を貼る'!$W$6:$W$10005,$W2192)+COUNTIFS('月1回_1ヶ月前の在庫'!$V$6:$V$10005,$V2192,'月1回_1ヶ月前の在庫'!$W$6:$W$10005,$W2192)&gt;0),N(U2191),N(U2191)+1))</f>
        <v/>
      </c>
      <c r="V2192" s="19">
        <f>IF($B2192="","",TEXT($B2192,"0000"))</f>
        <v/>
      </c>
      <c r="W2192" s="19">
        <f>IF($I2192="","",IF(ISNUMBER($I2192),TEXT($I2192,"0"),$I2192))</f>
        <v/>
      </c>
    </row>
    <row r="2193">
      <c r="B2193" s="25" t="n"/>
      <c r="I2193" s="25" t="n"/>
      <c r="U2193" s="19">
        <f>IF($V2193&lt;&gt;'設定'!$C$4,N(U2192),IF(OR(NOT(COUNTIF('商品マスタ'!$B$6:$B$1005,$W2193)=0),COUNTIFS('①在庫を貼る'!$V$6:$V$10005,$V2193,'①在庫を貼る'!$W$6:$W$10005,$W2193)+COUNTIFS('月1回_1ヶ月前の在庫'!$V$6:$V$10005,$V2193,'月1回_1ヶ月前の在庫'!$W$6:$W$10005,$W2193)&gt;0),N(U2192),N(U2192)+1))</f>
        <v/>
      </c>
      <c r="V2193" s="19">
        <f>IF($B2193="","",TEXT($B2193,"0000"))</f>
        <v/>
      </c>
      <c r="W2193" s="19">
        <f>IF($I2193="","",IF(ISNUMBER($I2193),TEXT($I2193,"0"),$I2193))</f>
        <v/>
      </c>
    </row>
    <row r="2194">
      <c r="B2194" s="25" t="n"/>
      <c r="I2194" s="25" t="n"/>
      <c r="U2194" s="19">
        <f>IF($V2194&lt;&gt;'設定'!$C$4,N(U2193),IF(OR(NOT(COUNTIF('商品マスタ'!$B$6:$B$1005,$W2194)=0),COUNTIFS('①在庫を貼る'!$V$6:$V$10005,$V2194,'①在庫を貼る'!$W$6:$W$10005,$W2194)+COUNTIFS('月1回_1ヶ月前の在庫'!$V$6:$V$10005,$V2194,'月1回_1ヶ月前の在庫'!$W$6:$W$10005,$W2194)&gt;0),N(U2193),N(U2193)+1))</f>
        <v/>
      </c>
      <c r="V2194" s="19">
        <f>IF($B2194="","",TEXT($B2194,"0000"))</f>
        <v/>
      </c>
      <c r="W2194" s="19">
        <f>IF($I2194="","",IF(ISNUMBER($I2194),TEXT($I2194,"0"),$I2194))</f>
        <v/>
      </c>
    </row>
    <row r="2195">
      <c r="B2195" s="25" t="n"/>
      <c r="I2195" s="25" t="n"/>
      <c r="U2195" s="19">
        <f>IF($V2195&lt;&gt;'設定'!$C$4,N(U2194),IF(OR(NOT(COUNTIF('商品マスタ'!$B$6:$B$1005,$W2195)=0),COUNTIFS('①在庫を貼る'!$V$6:$V$10005,$V2195,'①在庫を貼る'!$W$6:$W$10005,$W2195)+COUNTIFS('月1回_1ヶ月前の在庫'!$V$6:$V$10005,$V2195,'月1回_1ヶ月前の在庫'!$W$6:$W$10005,$W2195)&gt;0),N(U2194),N(U2194)+1))</f>
        <v/>
      </c>
      <c r="V2195" s="19">
        <f>IF($B2195="","",TEXT($B2195,"0000"))</f>
        <v/>
      </c>
      <c r="W2195" s="19">
        <f>IF($I2195="","",IF(ISNUMBER($I2195),TEXT($I2195,"0"),$I2195))</f>
        <v/>
      </c>
    </row>
    <row r="2196">
      <c r="B2196" s="25" t="n"/>
      <c r="I2196" s="25" t="n"/>
      <c r="U2196" s="19">
        <f>IF($V2196&lt;&gt;'設定'!$C$4,N(U2195),IF(OR(NOT(COUNTIF('商品マスタ'!$B$6:$B$1005,$W2196)=0),COUNTIFS('①在庫を貼る'!$V$6:$V$10005,$V2196,'①在庫を貼る'!$W$6:$W$10005,$W2196)+COUNTIFS('月1回_1ヶ月前の在庫'!$V$6:$V$10005,$V2196,'月1回_1ヶ月前の在庫'!$W$6:$W$10005,$W2196)&gt;0),N(U2195),N(U2195)+1))</f>
        <v/>
      </c>
      <c r="V2196" s="19">
        <f>IF($B2196="","",TEXT($B2196,"0000"))</f>
        <v/>
      </c>
      <c r="W2196" s="19">
        <f>IF($I2196="","",IF(ISNUMBER($I2196),TEXT($I2196,"0"),$I2196))</f>
        <v/>
      </c>
    </row>
    <row r="2197">
      <c r="B2197" s="25" t="n"/>
      <c r="I2197" s="25" t="n"/>
      <c r="U2197" s="19">
        <f>IF($V2197&lt;&gt;'設定'!$C$4,N(U2196),IF(OR(NOT(COUNTIF('商品マスタ'!$B$6:$B$1005,$W2197)=0),COUNTIFS('①在庫を貼る'!$V$6:$V$10005,$V2197,'①在庫を貼る'!$W$6:$W$10005,$W2197)+COUNTIFS('月1回_1ヶ月前の在庫'!$V$6:$V$10005,$V2197,'月1回_1ヶ月前の在庫'!$W$6:$W$10005,$W2197)&gt;0),N(U2196),N(U2196)+1))</f>
        <v/>
      </c>
      <c r="V2197" s="19">
        <f>IF($B2197="","",TEXT($B2197,"0000"))</f>
        <v/>
      </c>
      <c r="W2197" s="19">
        <f>IF($I2197="","",IF(ISNUMBER($I2197),TEXT($I2197,"0"),$I2197))</f>
        <v/>
      </c>
    </row>
    <row r="2198">
      <c r="B2198" s="25" t="n"/>
      <c r="I2198" s="25" t="n"/>
      <c r="U2198" s="19">
        <f>IF($V2198&lt;&gt;'設定'!$C$4,N(U2197),IF(OR(NOT(COUNTIF('商品マスタ'!$B$6:$B$1005,$W2198)=0),COUNTIFS('①在庫を貼る'!$V$6:$V$10005,$V2198,'①在庫を貼る'!$W$6:$W$10005,$W2198)+COUNTIFS('月1回_1ヶ月前の在庫'!$V$6:$V$10005,$V2198,'月1回_1ヶ月前の在庫'!$W$6:$W$10005,$W2198)&gt;0),N(U2197),N(U2197)+1))</f>
        <v/>
      </c>
      <c r="V2198" s="19">
        <f>IF($B2198="","",TEXT($B2198,"0000"))</f>
        <v/>
      </c>
      <c r="W2198" s="19">
        <f>IF($I2198="","",IF(ISNUMBER($I2198),TEXT($I2198,"0"),$I2198))</f>
        <v/>
      </c>
    </row>
    <row r="2199">
      <c r="B2199" s="25" t="n"/>
      <c r="I2199" s="25" t="n"/>
      <c r="U2199" s="19">
        <f>IF($V2199&lt;&gt;'設定'!$C$4,N(U2198),IF(OR(NOT(COUNTIF('商品マスタ'!$B$6:$B$1005,$W2199)=0),COUNTIFS('①在庫を貼る'!$V$6:$V$10005,$V2199,'①在庫を貼る'!$W$6:$W$10005,$W2199)+COUNTIFS('月1回_1ヶ月前の在庫'!$V$6:$V$10005,$V2199,'月1回_1ヶ月前の在庫'!$W$6:$W$10005,$W2199)&gt;0),N(U2198),N(U2198)+1))</f>
        <v/>
      </c>
      <c r="V2199" s="19">
        <f>IF($B2199="","",TEXT($B2199,"0000"))</f>
        <v/>
      </c>
      <c r="W2199" s="19">
        <f>IF($I2199="","",IF(ISNUMBER($I2199),TEXT($I2199,"0"),$I2199))</f>
        <v/>
      </c>
    </row>
    <row r="2200">
      <c r="B2200" s="25" t="n"/>
      <c r="I2200" s="25" t="n"/>
      <c r="U2200" s="19">
        <f>IF($V2200&lt;&gt;'設定'!$C$4,N(U2199),IF(OR(NOT(COUNTIF('商品マスタ'!$B$6:$B$1005,$W2200)=0),COUNTIFS('①在庫を貼る'!$V$6:$V$10005,$V2200,'①在庫を貼る'!$W$6:$W$10005,$W2200)+COUNTIFS('月1回_1ヶ月前の在庫'!$V$6:$V$10005,$V2200,'月1回_1ヶ月前の在庫'!$W$6:$W$10005,$W2200)&gt;0),N(U2199),N(U2199)+1))</f>
        <v/>
      </c>
      <c r="V2200" s="19">
        <f>IF($B2200="","",TEXT($B2200,"0000"))</f>
        <v/>
      </c>
      <c r="W2200" s="19">
        <f>IF($I2200="","",IF(ISNUMBER($I2200),TEXT($I2200,"0"),$I2200))</f>
        <v/>
      </c>
    </row>
    <row r="2201">
      <c r="B2201" s="25" t="n"/>
      <c r="I2201" s="25" t="n"/>
      <c r="U2201" s="19">
        <f>IF($V2201&lt;&gt;'設定'!$C$4,N(U2200),IF(OR(NOT(COUNTIF('商品マスタ'!$B$6:$B$1005,$W2201)=0),COUNTIFS('①在庫を貼る'!$V$6:$V$10005,$V2201,'①在庫を貼る'!$W$6:$W$10005,$W2201)+COUNTIFS('月1回_1ヶ月前の在庫'!$V$6:$V$10005,$V2201,'月1回_1ヶ月前の在庫'!$W$6:$W$10005,$W2201)&gt;0),N(U2200),N(U2200)+1))</f>
        <v/>
      </c>
      <c r="V2201" s="19">
        <f>IF($B2201="","",TEXT($B2201,"0000"))</f>
        <v/>
      </c>
      <c r="W2201" s="19">
        <f>IF($I2201="","",IF(ISNUMBER($I2201),TEXT($I2201,"0"),$I2201))</f>
        <v/>
      </c>
    </row>
    <row r="2202">
      <c r="B2202" s="25" t="n"/>
      <c r="I2202" s="25" t="n"/>
      <c r="U2202" s="19">
        <f>IF($V2202&lt;&gt;'設定'!$C$4,N(U2201),IF(OR(NOT(COUNTIF('商品マスタ'!$B$6:$B$1005,$W2202)=0),COUNTIFS('①在庫を貼る'!$V$6:$V$10005,$V2202,'①在庫を貼る'!$W$6:$W$10005,$W2202)+COUNTIFS('月1回_1ヶ月前の在庫'!$V$6:$V$10005,$V2202,'月1回_1ヶ月前の在庫'!$W$6:$W$10005,$W2202)&gt;0),N(U2201),N(U2201)+1))</f>
        <v/>
      </c>
      <c r="V2202" s="19">
        <f>IF($B2202="","",TEXT($B2202,"0000"))</f>
        <v/>
      </c>
      <c r="W2202" s="19">
        <f>IF($I2202="","",IF(ISNUMBER($I2202),TEXT($I2202,"0"),$I2202))</f>
        <v/>
      </c>
    </row>
    <row r="2203">
      <c r="B2203" s="25" t="n"/>
      <c r="I2203" s="25" t="n"/>
      <c r="U2203" s="19">
        <f>IF($V2203&lt;&gt;'設定'!$C$4,N(U2202),IF(OR(NOT(COUNTIF('商品マスタ'!$B$6:$B$1005,$W2203)=0),COUNTIFS('①在庫を貼る'!$V$6:$V$10005,$V2203,'①在庫を貼る'!$W$6:$W$10005,$W2203)+COUNTIFS('月1回_1ヶ月前の在庫'!$V$6:$V$10005,$V2203,'月1回_1ヶ月前の在庫'!$W$6:$W$10005,$W2203)&gt;0),N(U2202),N(U2202)+1))</f>
        <v/>
      </c>
      <c r="V2203" s="19">
        <f>IF($B2203="","",TEXT($B2203,"0000"))</f>
        <v/>
      </c>
      <c r="W2203" s="19">
        <f>IF($I2203="","",IF(ISNUMBER($I2203),TEXT($I2203,"0"),$I2203))</f>
        <v/>
      </c>
    </row>
    <row r="2204">
      <c r="B2204" s="25" t="n"/>
      <c r="I2204" s="25" t="n"/>
      <c r="U2204" s="19">
        <f>IF($V2204&lt;&gt;'設定'!$C$4,N(U2203),IF(OR(NOT(COUNTIF('商品マスタ'!$B$6:$B$1005,$W2204)=0),COUNTIFS('①在庫を貼る'!$V$6:$V$10005,$V2204,'①在庫を貼る'!$W$6:$W$10005,$W2204)+COUNTIFS('月1回_1ヶ月前の在庫'!$V$6:$V$10005,$V2204,'月1回_1ヶ月前の在庫'!$W$6:$W$10005,$W2204)&gt;0),N(U2203),N(U2203)+1))</f>
        <v/>
      </c>
      <c r="V2204" s="19">
        <f>IF($B2204="","",TEXT($B2204,"0000"))</f>
        <v/>
      </c>
      <c r="W2204" s="19">
        <f>IF($I2204="","",IF(ISNUMBER($I2204),TEXT($I2204,"0"),$I2204))</f>
        <v/>
      </c>
    </row>
    <row r="2205">
      <c r="B2205" s="25" t="n"/>
      <c r="I2205" s="25" t="n"/>
      <c r="U2205" s="19">
        <f>IF($V2205&lt;&gt;'設定'!$C$4,N(U2204),IF(OR(NOT(COUNTIF('商品マスタ'!$B$6:$B$1005,$W2205)=0),COUNTIFS('①在庫を貼る'!$V$6:$V$10005,$V2205,'①在庫を貼る'!$W$6:$W$10005,$W2205)+COUNTIFS('月1回_1ヶ月前の在庫'!$V$6:$V$10005,$V2205,'月1回_1ヶ月前の在庫'!$W$6:$W$10005,$W2205)&gt;0),N(U2204),N(U2204)+1))</f>
        <v/>
      </c>
      <c r="V2205" s="19">
        <f>IF($B2205="","",TEXT($B2205,"0000"))</f>
        <v/>
      </c>
      <c r="W2205" s="19">
        <f>IF($I2205="","",IF(ISNUMBER($I2205),TEXT($I2205,"0"),$I2205))</f>
        <v/>
      </c>
    </row>
    <row r="2206">
      <c r="B2206" s="25" t="n"/>
      <c r="I2206" s="25" t="n"/>
      <c r="U2206" s="19">
        <f>IF($V2206&lt;&gt;'設定'!$C$4,N(U2205),IF(OR(NOT(COUNTIF('商品マスタ'!$B$6:$B$1005,$W2206)=0),COUNTIFS('①在庫を貼る'!$V$6:$V$10005,$V2206,'①在庫を貼る'!$W$6:$W$10005,$W2206)+COUNTIFS('月1回_1ヶ月前の在庫'!$V$6:$V$10005,$V2206,'月1回_1ヶ月前の在庫'!$W$6:$W$10005,$W2206)&gt;0),N(U2205),N(U2205)+1))</f>
        <v/>
      </c>
      <c r="V2206" s="19">
        <f>IF($B2206="","",TEXT($B2206,"0000"))</f>
        <v/>
      </c>
      <c r="W2206" s="19">
        <f>IF($I2206="","",IF(ISNUMBER($I2206),TEXT($I2206,"0"),$I2206))</f>
        <v/>
      </c>
    </row>
    <row r="2207">
      <c r="B2207" s="25" t="n"/>
      <c r="I2207" s="25" t="n"/>
      <c r="U2207" s="19">
        <f>IF($V2207&lt;&gt;'設定'!$C$4,N(U2206),IF(OR(NOT(COUNTIF('商品マスタ'!$B$6:$B$1005,$W2207)=0),COUNTIFS('①在庫を貼る'!$V$6:$V$10005,$V2207,'①在庫を貼る'!$W$6:$W$10005,$W2207)+COUNTIFS('月1回_1ヶ月前の在庫'!$V$6:$V$10005,$V2207,'月1回_1ヶ月前の在庫'!$W$6:$W$10005,$W2207)&gt;0),N(U2206),N(U2206)+1))</f>
        <v/>
      </c>
      <c r="V2207" s="19">
        <f>IF($B2207="","",TEXT($B2207,"0000"))</f>
        <v/>
      </c>
      <c r="W2207" s="19">
        <f>IF($I2207="","",IF(ISNUMBER($I2207),TEXT($I2207,"0"),$I2207))</f>
        <v/>
      </c>
    </row>
    <row r="2208">
      <c r="B2208" s="25" t="n"/>
      <c r="I2208" s="25" t="n"/>
      <c r="U2208" s="19">
        <f>IF($V2208&lt;&gt;'設定'!$C$4,N(U2207),IF(OR(NOT(COUNTIF('商品マスタ'!$B$6:$B$1005,$W2208)=0),COUNTIFS('①在庫を貼る'!$V$6:$V$10005,$V2208,'①在庫を貼る'!$W$6:$W$10005,$W2208)+COUNTIFS('月1回_1ヶ月前の在庫'!$V$6:$V$10005,$V2208,'月1回_1ヶ月前の在庫'!$W$6:$W$10005,$W2208)&gt;0),N(U2207),N(U2207)+1))</f>
        <v/>
      </c>
      <c r="V2208" s="19">
        <f>IF($B2208="","",TEXT($B2208,"0000"))</f>
        <v/>
      </c>
      <c r="W2208" s="19">
        <f>IF($I2208="","",IF(ISNUMBER($I2208),TEXT($I2208,"0"),$I2208))</f>
        <v/>
      </c>
    </row>
    <row r="2209">
      <c r="B2209" s="25" t="n"/>
      <c r="I2209" s="25" t="n"/>
      <c r="U2209" s="19">
        <f>IF($V2209&lt;&gt;'設定'!$C$4,N(U2208),IF(OR(NOT(COUNTIF('商品マスタ'!$B$6:$B$1005,$W2209)=0),COUNTIFS('①在庫を貼る'!$V$6:$V$10005,$V2209,'①在庫を貼る'!$W$6:$W$10005,$W2209)+COUNTIFS('月1回_1ヶ月前の在庫'!$V$6:$V$10005,$V2209,'月1回_1ヶ月前の在庫'!$W$6:$W$10005,$W2209)&gt;0),N(U2208),N(U2208)+1))</f>
        <v/>
      </c>
      <c r="V2209" s="19">
        <f>IF($B2209="","",TEXT($B2209,"0000"))</f>
        <v/>
      </c>
      <c r="W2209" s="19">
        <f>IF($I2209="","",IF(ISNUMBER($I2209),TEXT($I2209,"0"),$I2209))</f>
        <v/>
      </c>
    </row>
    <row r="2210">
      <c r="B2210" s="25" t="n"/>
      <c r="I2210" s="25" t="n"/>
      <c r="U2210" s="19">
        <f>IF($V2210&lt;&gt;'設定'!$C$4,N(U2209),IF(OR(NOT(COUNTIF('商品マスタ'!$B$6:$B$1005,$W2210)=0),COUNTIFS('①在庫を貼る'!$V$6:$V$10005,$V2210,'①在庫を貼る'!$W$6:$W$10005,$W2210)+COUNTIFS('月1回_1ヶ月前の在庫'!$V$6:$V$10005,$V2210,'月1回_1ヶ月前の在庫'!$W$6:$W$10005,$W2210)&gt;0),N(U2209),N(U2209)+1))</f>
        <v/>
      </c>
      <c r="V2210" s="19">
        <f>IF($B2210="","",TEXT($B2210,"0000"))</f>
        <v/>
      </c>
      <c r="W2210" s="19">
        <f>IF($I2210="","",IF(ISNUMBER($I2210),TEXT($I2210,"0"),$I2210))</f>
        <v/>
      </c>
    </row>
    <row r="2211">
      <c r="B2211" s="25" t="n"/>
      <c r="I2211" s="25" t="n"/>
      <c r="U2211" s="19">
        <f>IF($V2211&lt;&gt;'設定'!$C$4,N(U2210),IF(OR(NOT(COUNTIF('商品マスタ'!$B$6:$B$1005,$W2211)=0),COUNTIFS('①在庫を貼る'!$V$6:$V$10005,$V2211,'①在庫を貼る'!$W$6:$W$10005,$W2211)+COUNTIFS('月1回_1ヶ月前の在庫'!$V$6:$V$10005,$V2211,'月1回_1ヶ月前の在庫'!$W$6:$W$10005,$W2211)&gt;0),N(U2210),N(U2210)+1))</f>
        <v/>
      </c>
      <c r="V2211" s="19">
        <f>IF($B2211="","",TEXT($B2211,"0000"))</f>
        <v/>
      </c>
      <c r="W2211" s="19">
        <f>IF($I2211="","",IF(ISNUMBER($I2211),TEXT($I2211,"0"),$I2211))</f>
        <v/>
      </c>
    </row>
    <row r="2212">
      <c r="B2212" s="25" t="n"/>
      <c r="I2212" s="25" t="n"/>
      <c r="U2212" s="19">
        <f>IF($V2212&lt;&gt;'設定'!$C$4,N(U2211),IF(OR(NOT(COUNTIF('商品マスタ'!$B$6:$B$1005,$W2212)=0),COUNTIFS('①在庫を貼る'!$V$6:$V$10005,$V2212,'①在庫を貼る'!$W$6:$W$10005,$W2212)+COUNTIFS('月1回_1ヶ月前の在庫'!$V$6:$V$10005,$V2212,'月1回_1ヶ月前の在庫'!$W$6:$W$10005,$W2212)&gt;0),N(U2211),N(U2211)+1))</f>
        <v/>
      </c>
      <c r="V2212" s="19">
        <f>IF($B2212="","",TEXT($B2212,"0000"))</f>
        <v/>
      </c>
      <c r="W2212" s="19">
        <f>IF($I2212="","",IF(ISNUMBER($I2212),TEXT($I2212,"0"),$I2212))</f>
        <v/>
      </c>
    </row>
    <row r="2213">
      <c r="B2213" s="25" t="n"/>
      <c r="I2213" s="25" t="n"/>
      <c r="U2213" s="19">
        <f>IF($V2213&lt;&gt;'設定'!$C$4,N(U2212),IF(OR(NOT(COUNTIF('商品マスタ'!$B$6:$B$1005,$W2213)=0),COUNTIFS('①在庫を貼る'!$V$6:$V$10005,$V2213,'①在庫を貼る'!$W$6:$W$10005,$W2213)+COUNTIFS('月1回_1ヶ月前の在庫'!$V$6:$V$10005,$V2213,'月1回_1ヶ月前の在庫'!$W$6:$W$10005,$W2213)&gt;0),N(U2212),N(U2212)+1))</f>
        <v/>
      </c>
      <c r="V2213" s="19">
        <f>IF($B2213="","",TEXT($B2213,"0000"))</f>
        <v/>
      </c>
      <c r="W2213" s="19">
        <f>IF($I2213="","",IF(ISNUMBER($I2213),TEXT($I2213,"0"),$I2213))</f>
        <v/>
      </c>
    </row>
    <row r="2214">
      <c r="B2214" s="25" t="n"/>
      <c r="I2214" s="25" t="n"/>
      <c r="U2214" s="19">
        <f>IF($V2214&lt;&gt;'設定'!$C$4,N(U2213),IF(OR(NOT(COUNTIF('商品マスタ'!$B$6:$B$1005,$W2214)=0),COUNTIFS('①在庫を貼る'!$V$6:$V$10005,$V2214,'①在庫を貼る'!$W$6:$W$10005,$W2214)+COUNTIFS('月1回_1ヶ月前の在庫'!$V$6:$V$10005,$V2214,'月1回_1ヶ月前の在庫'!$W$6:$W$10005,$W2214)&gt;0),N(U2213),N(U2213)+1))</f>
        <v/>
      </c>
      <c r="V2214" s="19">
        <f>IF($B2214="","",TEXT($B2214,"0000"))</f>
        <v/>
      </c>
      <c r="W2214" s="19">
        <f>IF($I2214="","",IF(ISNUMBER($I2214),TEXT($I2214,"0"),$I2214))</f>
        <v/>
      </c>
    </row>
    <row r="2215">
      <c r="B2215" s="25" t="n"/>
      <c r="I2215" s="25" t="n"/>
      <c r="U2215" s="19">
        <f>IF($V2215&lt;&gt;'設定'!$C$4,N(U2214),IF(OR(NOT(COUNTIF('商品マスタ'!$B$6:$B$1005,$W2215)=0),COUNTIFS('①在庫を貼る'!$V$6:$V$10005,$V2215,'①在庫を貼る'!$W$6:$W$10005,$W2215)+COUNTIFS('月1回_1ヶ月前の在庫'!$V$6:$V$10005,$V2215,'月1回_1ヶ月前の在庫'!$W$6:$W$10005,$W2215)&gt;0),N(U2214),N(U2214)+1))</f>
        <v/>
      </c>
      <c r="V2215" s="19">
        <f>IF($B2215="","",TEXT($B2215,"0000"))</f>
        <v/>
      </c>
      <c r="W2215" s="19">
        <f>IF($I2215="","",IF(ISNUMBER($I2215),TEXT($I2215,"0"),$I2215))</f>
        <v/>
      </c>
    </row>
    <row r="2216">
      <c r="B2216" s="25" t="n"/>
      <c r="I2216" s="25" t="n"/>
      <c r="U2216" s="19">
        <f>IF($V2216&lt;&gt;'設定'!$C$4,N(U2215),IF(OR(NOT(COUNTIF('商品マスタ'!$B$6:$B$1005,$W2216)=0),COUNTIFS('①在庫を貼る'!$V$6:$V$10005,$V2216,'①在庫を貼る'!$W$6:$W$10005,$W2216)+COUNTIFS('月1回_1ヶ月前の在庫'!$V$6:$V$10005,$V2216,'月1回_1ヶ月前の在庫'!$W$6:$W$10005,$W2216)&gt;0),N(U2215),N(U2215)+1))</f>
        <v/>
      </c>
      <c r="V2216" s="19">
        <f>IF($B2216="","",TEXT($B2216,"0000"))</f>
        <v/>
      </c>
      <c r="W2216" s="19">
        <f>IF($I2216="","",IF(ISNUMBER($I2216),TEXT($I2216,"0"),$I2216))</f>
        <v/>
      </c>
    </row>
    <row r="2217">
      <c r="B2217" s="25" t="n"/>
      <c r="I2217" s="25" t="n"/>
      <c r="U2217" s="19">
        <f>IF($V2217&lt;&gt;'設定'!$C$4,N(U2216),IF(OR(NOT(COUNTIF('商品マスタ'!$B$6:$B$1005,$W2217)=0),COUNTIFS('①在庫を貼る'!$V$6:$V$10005,$V2217,'①在庫を貼る'!$W$6:$W$10005,$W2217)+COUNTIFS('月1回_1ヶ月前の在庫'!$V$6:$V$10005,$V2217,'月1回_1ヶ月前の在庫'!$W$6:$W$10005,$W2217)&gt;0),N(U2216),N(U2216)+1))</f>
        <v/>
      </c>
      <c r="V2217" s="19">
        <f>IF($B2217="","",TEXT($B2217,"0000"))</f>
        <v/>
      </c>
      <c r="W2217" s="19">
        <f>IF($I2217="","",IF(ISNUMBER($I2217),TEXT($I2217,"0"),$I2217))</f>
        <v/>
      </c>
    </row>
    <row r="2218">
      <c r="B2218" s="25" t="n"/>
      <c r="I2218" s="25" t="n"/>
      <c r="U2218" s="19">
        <f>IF($V2218&lt;&gt;'設定'!$C$4,N(U2217),IF(OR(NOT(COUNTIF('商品マスタ'!$B$6:$B$1005,$W2218)=0),COUNTIFS('①在庫を貼る'!$V$6:$V$10005,$V2218,'①在庫を貼る'!$W$6:$W$10005,$W2218)+COUNTIFS('月1回_1ヶ月前の在庫'!$V$6:$V$10005,$V2218,'月1回_1ヶ月前の在庫'!$W$6:$W$10005,$W2218)&gt;0),N(U2217),N(U2217)+1))</f>
        <v/>
      </c>
      <c r="V2218" s="19">
        <f>IF($B2218="","",TEXT($B2218,"0000"))</f>
        <v/>
      </c>
      <c r="W2218" s="19">
        <f>IF($I2218="","",IF(ISNUMBER($I2218),TEXT($I2218,"0"),$I2218))</f>
        <v/>
      </c>
    </row>
    <row r="2219">
      <c r="B2219" s="25" t="n"/>
      <c r="I2219" s="25" t="n"/>
      <c r="U2219" s="19">
        <f>IF($V2219&lt;&gt;'設定'!$C$4,N(U2218),IF(OR(NOT(COUNTIF('商品マスタ'!$B$6:$B$1005,$W2219)=0),COUNTIFS('①在庫を貼る'!$V$6:$V$10005,$V2219,'①在庫を貼る'!$W$6:$W$10005,$W2219)+COUNTIFS('月1回_1ヶ月前の在庫'!$V$6:$V$10005,$V2219,'月1回_1ヶ月前の在庫'!$W$6:$W$10005,$W2219)&gt;0),N(U2218),N(U2218)+1))</f>
        <v/>
      </c>
      <c r="V2219" s="19">
        <f>IF($B2219="","",TEXT($B2219,"0000"))</f>
        <v/>
      </c>
      <c r="W2219" s="19">
        <f>IF($I2219="","",IF(ISNUMBER($I2219),TEXT($I2219,"0"),$I2219))</f>
        <v/>
      </c>
    </row>
    <row r="2220">
      <c r="B2220" s="25" t="n"/>
      <c r="I2220" s="25" t="n"/>
      <c r="U2220" s="19">
        <f>IF($V2220&lt;&gt;'設定'!$C$4,N(U2219),IF(OR(NOT(COUNTIF('商品マスタ'!$B$6:$B$1005,$W2220)=0),COUNTIFS('①在庫を貼る'!$V$6:$V$10005,$V2220,'①在庫を貼る'!$W$6:$W$10005,$W2220)+COUNTIFS('月1回_1ヶ月前の在庫'!$V$6:$V$10005,$V2220,'月1回_1ヶ月前の在庫'!$W$6:$W$10005,$W2220)&gt;0),N(U2219),N(U2219)+1))</f>
        <v/>
      </c>
      <c r="V2220" s="19">
        <f>IF($B2220="","",TEXT($B2220,"0000"))</f>
        <v/>
      </c>
      <c r="W2220" s="19">
        <f>IF($I2220="","",IF(ISNUMBER($I2220),TEXT($I2220,"0"),$I2220))</f>
        <v/>
      </c>
    </row>
    <row r="2221">
      <c r="B2221" s="25" t="n"/>
      <c r="I2221" s="25" t="n"/>
      <c r="U2221" s="19">
        <f>IF($V2221&lt;&gt;'設定'!$C$4,N(U2220),IF(OR(NOT(COUNTIF('商品マスタ'!$B$6:$B$1005,$W2221)=0),COUNTIFS('①在庫を貼る'!$V$6:$V$10005,$V2221,'①在庫を貼る'!$W$6:$W$10005,$W2221)+COUNTIFS('月1回_1ヶ月前の在庫'!$V$6:$V$10005,$V2221,'月1回_1ヶ月前の在庫'!$W$6:$W$10005,$W2221)&gt;0),N(U2220),N(U2220)+1))</f>
        <v/>
      </c>
      <c r="V2221" s="19">
        <f>IF($B2221="","",TEXT($B2221,"0000"))</f>
        <v/>
      </c>
      <c r="W2221" s="19">
        <f>IF($I2221="","",IF(ISNUMBER($I2221),TEXT($I2221,"0"),$I2221))</f>
        <v/>
      </c>
    </row>
    <row r="2222">
      <c r="B2222" s="25" t="n"/>
      <c r="I2222" s="25" t="n"/>
      <c r="U2222" s="19">
        <f>IF($V2222&lt;&gt;'設定'!$C$4,N(U2221),IF(OR(NOT(COUNTIF('商品マスタ'!$B$6:$B$1005,$W2222)=0),COUNTIFS('①在庫を貼る'!$V$6:$V$10005,$V2222,'①在庫を貼る'!$W$6:$W$10005,$W2222)+COUNTIFS('月1回_1ヶ月前の在庫'!$V$6:$V$10005,$V2222,'月1回_1ヶ月前の在庫'!$W$6:$W$10005,$W2222)&gt;0),N(U2221),N(U2221)+1))</f>
        <v/>
      </c>
      <c r="V2222" s="19">
        <f>IF($B2222="","",TEXT($B2222,"0000"))</f>
        <v/>
      </c>
      <c r="W2222" s="19">
        <f>IF($I2222="","",IF(ISNUMBER($I2222),TEXT($I2222,"0"),$I2222))</f>
        <v/>
      </c>
    </row>
    <row r="2223">
      <c r="B2223" s="25" t="n"/>
      <c r="I2223" s="25" t="n"/>
      <c r="U2223" s="19">
        <f>IF($V2223&lt;&gt;'設定'!$C$4,N(U2222),IF(OR(NOT(COUNTIF('商品マスタ'!$B$6:$B$1005,$W2223)=0),COUNTIFS('①在庫を貼る'!$V$6:$V$10005,$V2223,'①在庫を貼る'!$W$6:$W$10005,$W2223)+COUNTIFS('月1回_1ヶ月前の在庫'!$V$6:$V$10005,$V2223,'月1回_1ヶ月前の在庫'!$W$6:$W$10005,$W2223)&gt;0),N(U2222),N(U2222)+1))</f>
        <v/>
      </c>
      <c r="V2223" s="19">
        <f>IF($B2223="","",TEXT($B2223,"0000"))</f>
        <v/>
      </c>
      <c r="W2223" s="19">
        <f>IF($I2223="","",IF(ISNUMBER($I2223),TEXT($I2223,"0"),$I2223))</f>
        <v/>
      </c>
    </row>
    <row r="2224">
      <c r="B2224" s="25" t="n"/>
      <c r="I2224" s="25" t="n"/>
      <c r="U2224" s="19">
        <f>IF($V2224&lt;&gt;'設定'!$C$4,N(U2223),IF(OR(NOT(COUNTIF('商品マスタ'!$B$6:$B$1005,$W2224)=0),COUNTIFS('①在庫を貼る'!$V$6:$V$10005,$V2224,'①在庫を貼る'!$W$6:$W$10005,$W2224)+COUNTIFS('月1回_1ヶ月前の在庫'!$V$6:$V$10005,$V2224,'月1回_1ヶ月前の在庫'!$W$6:$W$10005,$W2224)&gt;0),N(U2223),N(U2223)+1))</f>
        <v/>
      </c>
      <c r="V2224" s="19">
        <f>IF($B2224="","",TEXT($B2224,"0000"))</f>
        <v/>
      </c>
      <c r="W2224" s="19">
        <f>IF($I2224="","",IF(ISNUMBER($I2224),TEXT($I2224,"0"),$I2224))</f>
        <v/>
      </c>
    </row>
    <row r="2225">
      <c r="B2225" s="25" t="n"/>
      <c r="I2225" s="25" t="n"/>
      <c r="U2225" s="19">
        <f>IF($V2225&lt;&gt;'設定'!$C$4,N(U2224),IF(OR(NOT(COUNTIF('商品マスタ'!$B$6:$B$1005,$W2225)=0),COUNTIFS('①在庫を貼る'!$V$6:$V$10005,$V2225,'①在庫を貼る'!$W$6:$W$10005,$W2225)+COUNTIFS('月1回_1ヶ月前の在庫'!$V$6:$V$10005,$V2225,'月1回_1ヶ月前の在庫'!$W$6:$W$10005,$W2225)&gt;0),N(U2224),N(U2224)+1))</f>
        <v/>
      </c>
      <c r="V2225" s="19">
        <f>IF($B2225="","",TEXT($B2225,"0000"))</f>
        <v/>
      </c>
      <c r="W2225" s="19">
        <f>IF($I2225="","",IF(ISNUMBER($I2225),TEXT($I2225,"0"),$I2225))</f>
        <v/>
      </c>
    </row>
    <row r="2226">
      <c r="B2226" s="25" t="n"/>
      <c r="I2226" s="25" t="n"/>
      <c r="U2226" s="19">
        <f>IF($V2226&lt;&gt;'設定'!$C$4,N(U2225),IF(OR(NOT(COUNTIF('商品マスタ'!$B$6:$B$1005,$W2226)=0),COUNTIFS('①在庫を貼る'!$V$6:$V$10005,$V2226,'①在庫を貼る'!$W$6:$W$10005,$W2226)+COUNTIFS('月1回_1ヶ月前の在庫'!$V$6:$V$10005,$V2226,'月1回_1ヶ月前の在庫'!$W$6:$W$10005,$W2226)&gt;0),N(U2225),N(U2225)+1))</f>
        <v/>
      </c>
      <c r="V2226" s="19">
        <f>IF($B2226="","",TEXT($B2226,"0000"))</f>
        <v/>
      </c>
      <c r="W2226" s="19">
        <f>IF($I2226="","",IF(ISNUMBER($I2226),TEXT($I2226,"0"),$I2226))</f>
        <v/>
      </c>
    </row>
    <row r="2227">
      <c r="B2227" s="25" t="n"/>
      <c r="I2227" s="25" t="n"/>
      <c r="U2227" s="19">
        <f>IF($V2227&lt;&gt;'設定'!$C$4,N(U2226),IF(OR(NOT(COUNTIF('商品マスタ'!$B$6:$B$1005,$W2227)=0),COUNTIFS('①在庫を貼る'!$V$6:$V$10005,$V2227,'①在庫を貼る'!$W$6:$W$10005,$W2227)+COUNTIFS('月1回_1ヶ月前の在庫'!$V$6:$V$10005,$V2227,'月1回_1ヶ月前の在庫'!$W$6:$W$10005,$W2227)&gt;0),N(U2226),N(U2226)+1))</f>
        <v/>
      </c>
      <c r="V2227" s="19">
        <f>IF($B2227="","",TEXT($B2227,"0000"))</f>
        <v/>
      </c>
      <c r="W2227" s="19">
        <f>IF($I2227="","",IF(ISNUMBER($I2227),TEXT($I2227,"0"),$I2227))</f>
        <v/>
      </c>
    </row>
    <row r="2228">
      <c r="B2228" s="25" t="n"/>
      <c r="I2228" s="25" t="n"/>
      <c r="U2228" s="19">
        <f>IF($V2228&lt;&gt;'設定'!$C$4,N(U2227),IF(OR(NOT(COUNTIF('商品マスタ'!$B$6:$B$1005,$W2228)=0),COUNTIFS('①在庫を貼る'!$V$6:$V$10005,$V2228,'①在庫を貼る'!$W$6:$W$10005,$W2228)+COUNTIFS('月1回_1ヶ月前の在庫'!$V$6:$V$10005,$V2228,'月1回_1ヶ月前の在庫'!$W$6:$W$10005,$W2228)&gt;0),N(U2227),N(U2227)+1))</f>
        <v/>
      </c>
      <c r="V2228" s="19">
        <f>IF($B2228="","",TEXT($B2228,"0000"))</f>
        <v/>
      </c>
      <c r="W2228" s="19">
        <f>IF($I2228="","",IF(ISNUMBER($I2228),TEXT($I2228,"0"),$I2228))</f>
        <v/>
      </c>
    </row>
    <row r="2229">
      <c r="B2229" s="25" t="n"/>
      <c r="I2229" s="25" t="n"/>
      <c r="U2229" s="19">
        <f>IF($V2229&lt;&gt;'設定'!$C$4,N(U2228),IF(OR(NOT(COUNTIF('商品マスタ'!$B$6:$B$1005,$W2229)=0),COUNTIFS('①在庫を貼る'!$V$6:$V$10005,$V2229,'①在庫を貼る'!$W$6:$W$10005,$W2229)+COUNTIFS('月1回_1ヶ月前の在庫'!$V$6:$V$10005,$V2229,'月1回_1ヶ月前の在庫'!$W$6:$W$10005,$W2229)&gt;0),N(U2228),N(U2228)+1))</f>
        <v/>
      </c>
      <c r="V2229" s="19">
        <f>IF($B2229="","",TEXT($B2229,"0000"))</f>
        <v/>
      </c>
      <c r="W2229" s="19">
        <f>IF($I2229="","",IF(ISNUMBER($I2229),TEXT($I2229,"0"),$I2229))</f>
        <v/>
      </c>
    </row>
    <row r="2230">
      <c r="B2230" s="25" t="n"/>
      <c r="I2230" s="25" t="n"/>
      <c r="U2230" s="19">
        <f>IF($V2230&lt;&gt;'設定'!$C$4,N(U2229),IF(OR(NOT(COUNTIF('商品マスタ'!$B$6:$B$1005,$W2230)=0),COUNTIFS('①在庫を貼る'!$V$6:$V$10005,$V2230,'①在庫を貼る'!$W$6:$W$10005,$W2230)+COUNTIFS('月1回_1ヶ月前の在庫'!$V$6:$V$10005,$V2230,'月1回_1ヶ月前の在庫'!$W$6:$W$10005,$W2230)&gt;0),N(U2229),N(U2229)+1))</f>
        <v/>
      </c>
      <c r="V2230" s="19">
        <f>IF($B2230="","",TEXT($B2230,"0000"))</f>
        <v/>
      </c>
      <c r="W2230" s="19">
        <f>IF($I2230="","",IF(ISNUMBER($I2230),TEXT($I2230,"0"),$I2230))</f>
        <v/>
      </c>
    </row>
    <row r="2231">
      <c r="B2231" s="25" t="n"/>
      <c r="I2231" s="25" t="n"/>
      <c r="U2231" s="19">
        <f>IF($V2231&lt;&gt;'設定'!$C$4,N(U2230),IF(OR(NOT(COUNTIF('商品マスタ'!$B$6:$B$1005,$W2231)=0),COUNTIFS('①在庫を貼る'!$V$6:$V$10005,$V2231,'①在庫を貼る'!$W$6:$W$10005,$W2231)+COUNTIFS('月1回_1ヶ月前の在庫'!$V$6:$V$10005,$V2231,'月1回_1ヶ月前の在庫'!$W$6:$W$10005,$W2231)&gt;0),N(U2230),N(U2230)+1))</f>
        <v/>
      </c>
      <c r="V2231" s="19">
        <f>IF($B2231="","",TEXT($B2231,"0000"))</f>
        <v/>
      </c>
      <c r="W2231" s="19">
        <f>IF($I2231="","",IF(ISNUMBER($I2231),TEXT($I2231,"0"),$I2231))</f>
        <v/>
      </c>
    </row>
    <row r="2232">
      <c r="B2232" s="25" t="n"/>
      <c r="I2232" s="25" t="n"/>
      <c r="U2232" s="19">
        <f>IF($V2232&lt;&gt;'設定'!$C$4,N(U2231),IF(OR(NOT(COUNTIF('商品マスタ'!$B$6:$B$1005,$W2232)=0),COUNTIFS('①在庫を貼る'!$V$6:$V$10005,$V2232,'①在庫を貼る'!$W$6:$W$10005,$W2232)+COUNTIFS('月1回_1ヶ月前の在庫'!$V$6:$V$10005,$V2232,'月1回_1ヶ月前の在庫'!$W$6:$W$10005,$W2232)&gt;0),N(U2231),N(U2231)+1))</f>
        <v/>
      </c>
      <c r="V2232" s="19">
        <f>IF($B2232="","",TEXT($B2232,"0000"))</f>
        <v/>
      </c>
      <c r="W2232" s="19">
        <f>IF($I2232="","",IF(ISNUMBER($I2232),TEXT($I2232,"0"),$I2232))</f>
        <v/>
      </c>
    </row>
    <row r="2233">
      <c r="B2233" s="25" t="n"/>
      <c r="I2233" s="25" t="n"/>
      <c r="U2233" s="19">
        <f>IF($V2233&lt;&gt;'設定'!$C$4,N(U2232),IF(OR(NOT(COUNTIF('商品マスタ'!$B$6:$B$1005,$W2233)=0),COUNTIFS('①在庫を貼る'!$V$6:$V$10005,$V2233,'①在庫を貼る'!$W$6:$W$10005,$W2233)+COUNTIFS('月1回_1ヶ月前の在庫'!$V$6:$V$10005,$V2233,'月1回_1ヶ月前の在庫'!$W$6:$W$10005,$W2233)&gt;0),N(U2232),N(U2232)+1))</f>
        <v/>
      </c>
      <c r="V2233" s="19">
        <f>IF($B2233="","",TEXT($B2233,"0000"))</f>
        <v/>
      </c>
      <c r="W2233" s="19">
        <f>IF($I2233="","",IF(ISNUMBER($I2233),TEXT($I2233,"0"),$I2233))</f>
        <v/>
      </c>
    </row>
    <row r="2234">
      <c r="B2234" s="25" t="n"/>
      <c r="I2234" s="25" t="n"/>
      <c r="U2234" s="19">
        <f>IF($V2234&lt;&gt;'設定'!$C$4,N(U2233),IF(OR(NOT(COUNTIF('商品マスタ'!$B$6:$B$1005,$W2234)=0),COUNTIFS('①在庫を貼る'!$V$6:$V$10005,$V2234,'①在庫を貼る'!$W$6:$W$10005,$W2234)+COUNTIFS('月1回_1ヶ月前の在庫'!$V$6:$V$10005,$V2234,'月1回_1ヶ月前の在庫'!$W$6:$W$10005,$W2234)&gt;0),N(U2233),N(U2233)+1))</f>
        <v/>
      </c>
      <c r="V2234" s="19">
        <f>IF($B2234="","",TEXT($B2234,"0000"))</f>
        <v/>
      </c>
      <c r="W2234" s="19">
        <f>IF($I2234="","",IF(ISNUMBER($I2234),TEXT($I2234,"0"),$I2234))</f>
        <v/>
      </c>
    </row>
    <row r="2235">
      <c r="B2235" s="25" t="n"/>
      <c r="I2235" s="25" t="n"/>
      <c r="U2235" s="19">
        <f>IF($V2235&lt;&gt;'設定'!$C$4,N(U2234),IF(OR(NOT(COUNTIF('商品マスタ'!$B$6:$B$1005,$W2235)=0),COUNTIFS('①在庫を貼る'!$V$6:$V$10005,$V2235,'①在庫を貼る'!$W$6:$W$10005,$W2235)+COUNTIFS('月1回_1ヶ月前の在庫'!$V$6:$V$10005,$V2235,'月1回_1ヶ月前の在庫'!$W$6:$W$10005,$W2235)&gt;0),N(U2234),N(U2234)+1))</f>
        <v/>
      </c>
      <c r="V2235" s="19">
        <f>IF($B2235="","",TEXT($B2235,"0000"))</f>
        <v/>
      </c>
      <c r="W2235" s="19">
        <f>IF($I2235="","",IF(ISNUMBER($I2235),TEXT($I2235,"0"),$I2235))</f>
        <v/>
      </c>
    </row>
    <row r="2236">
      <c r="B2236" s="25" t="n"/>
      <c r="I2236" s="25" t="n"/>
      <c r="U2236" s="19">
        <f>IF($V2236&lt;&gt;'設定'!$C$4,N(U2235),IF(OR(NOT(COUNTIF('商品マスタ'!$B$6:$B$1005,$W2236)=0),COUNTIFS('①在庫を貼る'!$V$6:$V$10005,$V2236,'①在庫を貼る'!$W$6:$W$10005,$W2236)+COUNTIFS('月1回_1ヶ月前の在庫'!$V$6:$V$10005,$V2236,'月1回_1ヶ月前の在庫'!$W$6:$W$10005,$W2236)&gt;0),N(U2235),N(U2235)+1))</f>
        <v/>
      </c>
      <c r="V2236" s="19">
        <f>IF($B2236="","",TEXT($B2236,"0000"))</f>
        <v/>
      </c>
      <c r="W2236" s="19">
        <f>IF($I2236="","",IF(ISNUMBER($I2236),TEXT($I2236,"0"),$I2236))</f>
        <v/>
      </c>
    </row>
    <row r="2237">
      <c r="B2237" s="25" t="n"/>
      <c r="I2237" s="25" t="n"/>
      <c r="U2237" s="19">
        <f>IF($V2237&lt;&gt;'設定'!$C$4,N(U2236),IF(OR(NOT(COUNTIF('商品マスタ'!$B$6:$B$1005,$W2237)=0),COUNTIFS('①在庫を貼る'!$V$6:$V$10005,$V2237,'①在庫を貼る'!$W$6:$W$10005,$W2237)+COUNTIFS('月1回_1ヶ月前の在庫'!$V$6:$V$10005,$V2237,'月1回_1ヶ月前の在庫'!$W$6:$W$10005,$W2237)&gt;0),N(U2236),N(U2236)+1))</f>
        <v/>
      </c>
      <c r="V2237" s="19">
        <f>IF($B2237="","",TEXT($B2237,"0000"))</f>
        <v/>
      </c>
      <c r="W2237" s="19">
        <f>IF($I2237="","",IF(ISNUMBER($I2237),TEXT($I2237,"0"),$I2237))</f>
        <v/>
      </c>
    </row>
    <row r="2238">
      <c r="B2238" s="25" t="n"/>
      <c r="I2238" s="25" t="n"/>
      <c r="U2238" s="19">
        <f>IF($V2238&lt;&gt;'設定'!$C$4,N(U2237),IF(OR(NOT(COUNTIF('商品マスタ'!$B$6:$B$1005,$W2238)=0),COUNTIFS('①在庫を貼る'!$V$6:$V$10005,$V2238,'①在庫を貼る'!$W$6:$W$10005,$W2238)+COUNTIFS('月1回_1ヶ月前の在庫'!$V$6:$V$10005,$V2238,'月1回_1ヶ月前の在庫'!$W$6:$W$10005,$W2238)&gt;0),N(U2237),N(U2237)+1))</f>
        <v/>
      </c>
      <c r="V2238" s="19">
        <f>IF($B2238="","",TEXT($B2238,"0000"))</f>
        <v/>
      </c>
      <c r="W2238" s="19">
        <f>IF($I2238="","",IF(ISNUMBER($I2238),TEXT($I2238,"0"),$I2238))</f>
        <v/>
      </c>
    </row>
    <row r="2239">
      <c r="B2239" s="25" t="n"/>
      <c r="I2239" s="25" t="n"/>
      <c r="U2239" s="19">
        <f>IF($V2239&lt;&gt;'設定'!$C$4,N(U2238),IF(OR(NOT(COUNTIF('商品マスタ'!$B$6:$B$1005,$W2239)=0),COUNTIFS('①在庫を貼る'!$V$6:$V$10005,$V2239,'①在庫を貼る'!$W$6:$W$10005,$W2239)+COUNTIFS('月1回_1ヶ月前の在庫'!$V$6:$V$10005,$V2239,'月1回_1ヶ月前の在庫'!$W$6:$W$10005,$W2239)&gt;0),N(U2238),N(U2238)+1))</f>
        <v/>
      </c>
      <c r="V2239" s="19">
        <f>IF($B2239="","",TEXT($B2239,"0000"))</f>
        <v/>
      </c>
      <c r="W2239" s="19">
        <f>IF($I2239="","",IF(ISNUMBER($I2239),TEXT($I2239,"0"),$I2239))</f>
        <v/>
      </c>
    </row>
    <row r="2240">
      <c r="B2240" s="25" t="n"/>
      <c r="I2240" s="25" t="n"/>
      <c r="U2240" s="19">
        <f>IF($V2240&lt;&gt;'設定'!$C$4,N(U2239),IF(OR(NOT(COUNTIF('商品マスタ'!$B$6:$B$1005,$W2240)=0),COUNTIFS('①在庫を貼る'!$V$6:$V$10005,$V2240,'①在庫を貼る'!$W$6:$W$10005,$W2240)+COUNTIFS('月1回_1ヶ月前の在庫'!$V$6:$V$10005,$V2240,'月1回_1ヶ月前の在庫'!$W$6:$W$10005,$W2240)&gt;0),N(U2239),N(U2239)+1))</f>
        <v/>
      </c>
      <c r="V2240" s="19">
        <f>IF($B2240="","",TEXT($B2240,"0000"))</f>
        <v/>
      </c>
      <c r="W2240" s="19">
        <f>IF($I2240="","",IF(ISNUMBER($I2240),TEXT($I2240,"0"),$I2240))</f>
        <v/>
      </c>
    </row>
    <row r="2241">
      <c r="B2241" s="25" t="n"/>
      <c r="I2241" s="25" t="n"/>
      <c r="U2241" s="19">
        <f>IF($V2241&lt;&gt;'設定'!$C$4,N(U2240),IF(OR(NOT(COUNTIF('商品マスタ'!$B$6:$B$1005,$W2241)=0),COUNTIFS('①在庫を貼る'!$V$6:$V$10005,$V2241,'①在庫を貼る'!$W$6:$W$10005,$W2241)+COUNTIFS('月1回_1ヶ月前の在庫'!$V$6:$V$10005,$V2241,'月1回_1ヶ月前の在庫'!$W$6:$W$10005,$W2241)&gt;0),N(U2240),N(U2240)+1))</f>
        <v/>
      </c>
      <c r="V2241" s="19">
        <f>IF($B2241="","",TEXT($B2241,"0000"))</f>
        <v/>
      </c>
      <c r="W2241" s="19">
        <f>IF($I2241="","",IF(ISNUMBER($I2241),TEXT($I2241,"0"),$I2241))</f>
        <v/>
      </c>
    </row>
    <row r="2242">
      <c r="B2242" s="25" t="n"/>
      <c r="I2242" s="25" t="n"/>
      <c r="U2242" s="19">
        <f>IF($V2242&lt;&gt;'設定'!$C$4,N(U2241),IF(OR(NOT(COUNTIF('商品マスタ'!$B$6:$B$1005,$W2242)=0),COUNTIFS('①在庫を貼る'!$V$6:$V$10005,$V2242,'①在庫を貼る'!$W$6:$W$10005,$W2242)+COUNTIFS('月1回_1ヶ月前の在庫'!$V$6:$V$10005,$V2242,'月1回_1ヶ月前の在庫'!$W$6:$W$10005,$W2242)&gt;0),N(U2241),N(U2241)+1))</f>
        <v/>
      </c>
      <c r="V2242" s="19">
        <f>IF($B2242="","",TEXT($B2242,"0000"))</f>
        <v/>
      </c>
      <c r="W2242" s="19">
        <f>IF($I2242="","",IF(ISNUMBER($I2242),TEXT($I2242,"0"),$I2242))</f>
        <v/>
      </c>
    </row>
    <row r="2243">
      <c r="B2243" s="25" t="n"/>
      <c r="I2243" s="25" t="n"/>
      <c r="U2243" s="19">
        <f>IF($V2243&lt;&gt;'設定'!$C$4,N(U2242),IF(OR(NOT(COUNTIF('商品マスタ'!$B$6:$B$1005,$W2243)=0),COUNTIFS('①在庫を貼る'!$V$6:$V$10005,$V2243,'①在庫を貼る'!$W$6:$W$10005,$W2243)+COUNTIFS('月1回_1ヶ月前の在庫'!$V$6:$V$10005,$V2243,'月1回_1ヶ月前の在庫'!$W$6:$W$10005,$W2243)&gt;0),N(U2242),N(U2242)+1))</f>
        <v/>
      </c>
      <c r="V2243" s="19">
        <f>IF($B2243="","",TEXT($B2243,"0000"))</f>
        <v/>
      </c>
      <c r="W2243" s="19">
        <f>IF($I2243="","",IF(ISNUMBER($I2243),TEXT($I2243,"0"),$I2243))</f>
        <v/>
      </c>
    </row>
    <row r="2244">
      <c r="B2244" s="25" t="n"/>
      <c r="I2244" s="25" t="n"/>
      <c r="U2244" s="19">
        <f>IF($V2244&lt;&gt;'設定'!$C$4,N(U2243),IF(OR(NOT(COUNTIF('商品マスタ'!$B$6:$B$1005,$W2244)=0),COUNTIFS('①在庫を貼る'!$V$6:$V$10005,$V2244,'①在庫を貼る'!$W$6:$W$10005,$W2244)+COUNTIFS('月1回_1ヶ月前の在庫'!$V$6:$V$10005,$V2244,'月1回_1ヶ月前の在庫'!$W$6:$W$10005,$W2244)&gt;0),N(U2243),N(U2243)+1))</f>
        <v/>
      </c>
      <c r="V2244" s="19">
        <f>IF($B2244="","",TEXT($B2244,"0000"))</f>
        <v/>
      </c>
      <c r="W2244" s="19">
        <f>IF($I2244="","",IF(ISNUMBER($I2244),TEXT($I2244,"0"),$I2244))</f>
        <v/>
      </c>
    </row>
    <row r="2245">
      <c r="B2245" s="25" t="n"/>
      <c r="I2245" s="25" t="n"/>
      <c r="U2245" s="19">
        <f>IF($V2245&lt;&gt;'設定'!$C$4,N(U2244),IF(OR(NOT(COUNTIF('商品マスタ'!$B$6:$B$1005,$W2245)=0),COUNTIFS('①在庫を貼る'!$V$6:$V$10005,$V2245,'①在庫を貼る'!$W$6:$W$10005,$W2245)+COUNTIFS('月1回_1ヶ月前の在庫'!$V$6:$V$10005,$V2245,'月1回_1ヶ月前の在庫'!$W$6:$W$10005,$W2245)&gt;0),N(U2244),N(U2244)+1))</f>
        <v/>
      </c>
      <c r="V2245" s="19">
        <f>IF($B2245="","",TEXT($B2245,"0000"))</f>
        <v/>
      </c>
      <c r="W2245" s="19">
        <f>IF($I2245="","",IF(ISNUMBER($I2245),TEXT($I2245,"0"),$I2245))</f>
        <v/>
      </c>
    </row>
    <row r="2246">
      <c r="B2246" s="25" t="n"/>
      <c r="I2246" s="25" t="n"/>
      <c r="U2246" s="19">
        <f>IF($V2246&lt;&gt;'設定'!$C$4,N(U2245),IF(OR(NOT(COUNTIF('商品マスタ'!$B$6:$B$1005,$W2246)=0),COUNTIFS('①在庫を貼る'!$V$6:$V$10005,$V2246,'①在庫を貼る'!$W$6:$W$10005,$W2246)+COUNTIFS('月1回_1ヶ月前の在庫'!$V$6:$V$10005,$V2246,'月1回_1ヶ月前の在庫'!$W$6:$W$10005,$W2246)&gt;0),N(U2245),N(U2245)+1))</f>
        <v/>
      </c>
      <c r="V2246" s="19">
        <f>IF($B2246="","",TEXT($B2246,"0000"))</f>
        <v/>
      </c>
      <c r="W2246" s="19">
        <f>IF($I2246="","",IF(ISNUMBER($I2246),TEXT($I2246,"0"),$I2246))</f>
        <v/>
      </c>
    </row>
    <row r="2247">
      <c r="B2247" s="25" t="n"/>
      <c r="I2247" s="25" t="n"/>
      <c r="U2247" s="19">
        <f>IF($V2247&lt;&gt;'設定'!$C$4,N(U2246),IF(OR(NOT(COUNTIF('商品マスタ'!$B$6:$B$1005,$W2247)=0),COUNTIFS('①在庫を貼る'!$V$6:$V$10005,$V2247,'①在庫を貼る'!$W$6:$W$10005,$W2247)+COUNTIFS('月1回_1ヶ月前の在庫'!$V$6:$V$10005,$V2247,'月1回_1ヶ月前の在庫'!$W$6:$W$10005,$W2247)&gt;0),N(U2246),N(U2246)+1))</f>
        <v/>
      </c>
      <c r="V2247" s="19">
        <f>IF($B2247="","",TEXT($B2247,"0000"))</f>
        <v/>
      </c>
      <c r="W2247" s="19">
        <f>IF($I2247="","",IF(ISNUMBER($I2247),TEXT($I2247,"0"),$I2247))</f>
        <v/>
      </c>
    </row>
    <row r="2248">
      <c r="B2248" s="25" t="n"/>
      <c r="I2248" s="25" t="n"/>
      <c r="U2248" s="19">
        <f>IF($V2248&lt;&gt;'設定'!$C$4,N(U2247),IF(OR(NOT(COUNTIF('商品マスタ'!$B$6:$B$1005,$W2248)=0),COUNTIFS('①在庫を貼る'!$V$6:$V$10005,$V2248,'①在庫を貼る'!$W$6:$W$10005,$W2248)+COUNTIFS('月1回_1ヶ月前の在庫'!$V$6:$V$10005,$V2248,'月1回_1ヶ月前の在庫'!$W$6:$W$10005,$W2248)&gt;0),N(U2247),N(U2247)+1))</f>
        <v/>
      </c>
      <c r="V2248" s="19">
        <f>IF($B2248="","",TEXT($B2248,"0000"))</f>
        <v/>
      </c>
      <c r="W2248" s="19">
        <f>IF($I2248="","",IF(ISNUMBER($I2248),TEXT($I2248,"0"),$I2248))</f>
        <v/>
      </c>
    </row>
    <row r="2249">
      <c r="B2249" s="25" t="n"/>
      <c r="I2249" s="25" t="n"/>
      <c r="U2249" s="19">
        <f>IF($V2249&lt;&gt;'設定'!$C$4,N(U2248),IF(OR(NOT(COUNTIF('商品マスタ'!$B$6:$B$1005,$W2249)=0),COUNTIFS('①在庫を貼る'!$V$6:$V$10005,$V2249,'①在庫を貼る'!$W$6:$W$10005,$W2249)+COUNTIFS('月1回_1ヶ月前の在庫'!$V$6:$V$10005,$V2249,'月1回_1ヶ月前の在庫'!$W$6:$W$10005,$W2249)&gt;0),N(U2248),N(U2248)+1))</f>
        <v/>
      </c>
      <c r="V2249" s="19">
        <f>IF($B2249="","",TEXT($B2249,"0000"))</f>
        <v/>
      </c>
      <c r="W2249" s="19">
        <f>IF($I2249="","",IF(ISNUMBER($I2249),TEXT($I2249,"0"),$I2249))</f>
        <v/>
      </c>
    </row>
    <row r="2250">
      <c r="B2250" s="25" t="n"/>
      <c r="I2250" s="25" t="n"/>
      <c r="U2250" s="19">
        <f>IF($V2250&lt;&gt;'設定'!$C$4,N(U2249),IF(OR(NOT(COUNTIF('商品マスタ'!$B$6:$B$1005,$W2250)=0),COUNTIFS('①在庫を貼る'!$V$6:$V$10005,$V2250,'①在庫を貼る'!$W$6:$W$10005,$W2250)+COUNTIFS('月1回_1ヶ月前の在庫'!$V$6:$V$10005,$V2250,'月1回_1ヶ月前の在庫'!$W$6:$W$10005,$W2250)&gt;0),N(U2249),N(U2249)+1))</f>
        <v/>
      </c>
      <c r="V2250" s="19">
        <f>IF($B2250="","",TEXT($B2250,"0000"))</f>
        <v/>
      </c>
      <c r="W2250" s="19">
        <f>IF($I2250="","",IF(ISNUMBER($I2250),TEXT($I2250,"0"),$I2250))</f>
        <v/>
      </c>
    </row>
    <row r="2251">
      <c r="B2251" s="25" t="n"/>
      <c r="I2251" s="25" t="n"/>
      <c r="U2251" s="19">
        <f>IF($V2251&lt;&gt;'設定'!$C$4,N(U2250),IF(OR(NOT(COUNTIF('商品マスタ'!$B$6:$B$1005,$W2251)=0),COUNTIFS('①在庫を貼る'!$V$6:$V$10005,$V2251,'①在庫を貼る'!$W$6:$W$10005,$W2251)+COUNTIFS('月1回_1ヶ月前の在庫'!$V$6:$V$10005,$V2251,'月1回_1ヶ月前の在庫'!$W$6:$W$10005,$W2251)&gt;0),N(U2250),N(U2250)+1))</f>
        <v/>
      </c>
      <c r="V2251" s="19">
        <f>IF($B2251="","",TEXT($B2251,"0000"))</f>
        <v/>
      </c>
      <c r="W2251" s="19">
        <f>IF($I2251="","",IF(ISNUMBER($I2251),TEXT($I2251,"0"),$I2251))</f>
        <v/>
      </c>
    </row>
    <row r="2252">
      <c r="B2252" s="25" t="n"/>
      <c r="I2252" s="25" t="n"/>
      <c r="U2252" s="19">
        <f>IF($V2252&lt;&gt;'設定'!$C$4,N(U2251),IF(OR(NOT(COUNTIF('商品マスタ'!$B$6:$B$1005,$W2252)=0),COUNTIFS('①在庫を貼る'!$V$6:$V$10005,$V2252,'①在庫を貼る'!$W$6:$W$10005,$W2252)+COUNTIFS('月1回_1ヶ月前の在庫'!$V$6:$V$10005,$V2252,'月1回_1ヶ月前の在庫'!$W$6:$W$10005,$W2252)&gt;0),N(U2251),N(U2251)+1))</f>
        <v/>
      </c>
      <c r="V2252" s="19">
        <f>IF($B2252="","",TEXT($B2252,"0000"))</f>
        <v/>
      </c>
      <c r="W2252" s="19">
        <f>IF($I2252="","",IF(ISNUMBER($I2252),TEXT($I2252,"0"),$I2252))</f>
        <v/>
      </c>
    </row>
    <row r="2253">
      <c r="B2253" s="25" t="n"/>
      <c r="I2253" s="25" t="n"/>
      <c r="U2253" s="19">
        <f>IF($V2253&lt;&gt;'設定'!$C$4,N(U2252),IF(OR(NOT(COUNTIF('商品マスタ'!$B$6:$B$1005,$W2253)=0),COUNTIFS('①在庫を貼る'!$V$6:$V$10005,$V2253,'①在庫を貼る'!$W$6:$W$10005,$W2253)+COUNTIFS('月1回_1ヶ月前の在庫'!$V$6:$V$10005,$V2253,'月1回_1ヶ月前の在庫'!$W$6:$W$10005,$W2253)&gt;0),N(U2252),N(U2252)+1))</f>
        <v/>
      </c>
      <c r="V2253" s="19">
        <f>IF($B2253="","",TEXT($B2253,"0000"))</f>
        <v/>
      </c>
      <c r="W2253" s="19">
        <f>IF($I2253="","",IF(ISNUMBER($I2253),TEXT($I2253,"0"),$I2253))</f>
        <v/>
      </c>
    </row>
    <row r="2254">
      <c r="B2254" s="25" t="n"/>
      <c r="I2254" s="25" t="n"/>
      <c r="U2254" s="19">
        <f>IF($V2254&lt;&gt;'設定'!$C$4,N(U2253),IF(OR(NOT(COUNTIF('商品マスタ'!$B$6:$B$1005,$W2254)=0),COUNTIFS('①在庫を貼る'!$V$6:$V$10005,$V2254,'①在庫を貼る'!$W$6:$W$10005,$W2254)+COUNTIFS('月1回_1ヶ月前の在庫'!$V$6:$V$10005,$V2254,'月1回_1ヶ月前の在庫'!$W$6:$W$10005,$W2254)&gt;0),N(U2253),N(U2253)+1))</f>
        <v/>
      </c>
      <c r="V2254" s="19">
        <f>IF($B2254="","",TEXT($B2254,"0000"))</f>
        <v/>
      </c>
      <c r="W2254" s="19">
        <f>IF($I2254="","",IF(ISNUMBER($I2254),TEXT($I2254,"0"),$I2254))</f>
        <v/>
      </c>
    </row>
    <row r="2255">
      <c r="B2255" s="25" t="n"/>
      <c r="I2255" s="25" t="n"/>
      <c r="U2255" s="19">
        <f>IF($V2255&lt;&gt;'設定'!$C$4,N(U2254),IF(OR(NOT(COUNTIF('商品マスタ'!$B$6:$B$1005,$W2255)=0),COUNTIFS('①在庫を貼る'!$V$6:$V$10005,$V2255,'①在庫を貼る'!$W$6:$W$10005,$W2255)+COUNTIFS('月1回_1ヶ月前の在庫'!$V$6:$V$10005,$V2255,'月1回_1ヶ月前の在庫'!$W$6:$W$10005,$W2255)&gt;0),N(U2254),N(U2254)+1))</f>
        <v/>
      </c>
      <c r="V2255" s="19">
        <f>IF($B2255="","",TEXT($B2255,"0000"))</f>
        <v/>
      </c>
      <c r="W2255" s="19">
        <f>IF($I2255="","",IF(ISNUMBER($I2255),TEXT($I2255,"0"),$I2255))</f>
        <v/>
      </c>
    </row>
    <row r="2256">
      <c r="B2256" s="25" t="n"/>
      <c r="I2256" s="25" t="n"/>
      <c r="U2256" s="19">
        <f>IF($V2256&lt;&gt;'設定'!$C$4,N(U2255),IF(OR(NOT(COUNTIF('商品マスタ'!$B$6:$B$1005,$W2256)=0),COUNTIFS('①在庫を貼る'!$V$6:$V$10005,$V2256,'①在庫を貼る'!$W$6:$W$10005,$W2256)+COUNTIFS('月1回_1ヶ月前の在庫'!$V$6:$V$10005,$V2256,'月1回_1ヶ月前の在庫'!$W$6:$W$10005,$W2256)&gt;0),N(U2255),N(U2255)+1))</f>
        <v/>
      </c>
      <c r="V2256" s="19">
        <f>IF($B2256="","",TEXT($B2256,"0000"))</f>
        <v/>
      </c>
      <c r="W2256" s="19">
        <f>IF($I2256="","",IF(ISNUMBER($I2256),TEXT($I2256,"0"),$I2256))</f>
        <v/>
      </c>
    </row>
    <row r="2257">
      <c r="B2257" s="25" t="n"/>
      <c r="I2257" s="25" t="n"/>
      <c r="U2257" s="19">
        <f>IF($V2257&lt;&gt;'設定'!$C$4,N(U2256),IF(OR(NOT(COUNTIF('商品マスタ'!$B$6:$B$1005,$W2257)=0),COUNTIFS('①在庫を貼る'!$V$6:$V$10005,$V2257,'①在庫を貼る'!$W$6:$W$10005,$W2257)+COUNTIFS('月1回_1ヶ月前の在庫'!$V$6:$V$10005,$V2257,'月1回_1ヶ月前の在庫'!$W$6:$W$10005,$W2257)&gt;0),N(U2256),N(U2256)+1))</f>
        <v/>
      </c>
      <c r="V2257" s="19">
        <f>IF($B2257="","",TEXT($B2257,"0000"))</f>
        <v/>
      </c>
      <c r="W2257" s="19">
        <f>IF($I2257="","",IF(ISNUMBER($I2257),TEXT($I2257,"0"),$I2257))</f>
        <v/>
      </c>
    </row>
    <row r="2258">
      <c r="B2258" s="25" t="n"/>
      <c r="I2258" s="25" t="n"/>
      <c r="U2258" s="19">
        <f>IF($V2258&lt;&gt;'設定'!$C$4,N(U2257),IF(OR(NOT(COUNTIF('商品マスタ'!$B$6:$B$1005,$W2258)=0),COUNTIFS('①在庫を貼る'!$V$6:$V$10005,$V2258,'①在庫を貼る'!$W$6:$W$10005,$W2258)+COUNTIFS('月1回_1ヶ月前の在庫'!$V$6:$V$10005,$V2258,'月1回_1ヶ月前の在庫'!$W$6:$W$10005,$W2258)&gt;0),N(U2257),N(U2257)+1))</f>
        <v/>
      </c>
      <c r="V2258" s="19">
        <f>IF($B2258="","",TEXT($B2258,"0000"))</f>
        <v/>
      </c>
      <c r="W2258" s="19">
        <f>IF($I2258="","",IF(ISNUMBER($I2258),TEXT($I2258,"0"),$I2258))</f>
        <v/>
      </c>
    </row>
    <row r="2259">
      <c r="B2259" s="25" t="n"/>
      <c r="I2259" s="25" t="n"/>
      <c r="U2259" s="19">
        <f>IF($V2259&lt;&gt;'設定'!$C$4,N(U2258),IF(OR(NOT(COUNTIF('商品マスタ'!$B$6:$B$1005,$W2259)=0),COUNTIFS('①在庫を貼る'!$V$6:$V$10005,$V2259,'①在庫を貼る'!$W$6:$W$10005,$W2259)+COUNTIFS('月1回_1ヶ月前の在庫'!$V$6:$V$10005,$V2259,'月1回_1ヶ月前の在庫'!$W$6:$W$10005,$W2259)&gt;0),N(U2258),N(U2258)+1))</f>
        <v/>
      </c>
      <c r="V2259" s="19">
        <f>IF($B2259="","",TEXT($B2259,"0000"))</f>
        <v/>
      </c>
      <c r="W2259" s="19">
        <f>IF($I2259="","",IF(ISNUMBER($I2259),TEXT($I2259,"0"),$I2259))</f>
        <v/>
      </c>
    </row>
    <row r="2260">
      <c r="B2260" s="25" t="n"/>
      <c r="I2260" s="25" t="n"/>
      <c r="U2260" s="19">
        <f>IF($V2260&lt;&gt;'設定'!$C$4,N(U2259),IF(OR(NOT(COUNTIF('商品マスタ'!$B$6:$B$1005,$W2260)=0),COUNTIFS('①在庫を貼る'!$V$6:$V$10005,$V2260,'①在庫を貼る'!$W$6:$W$10005,$W2260)+COUNTIFS('月1回_1ヶ月前の在庫'!$V$6:$V$10005,$V2260,'月1回_1ヶ月前の在庫'!$W$6:$W$10005,$W2260)&gt;0),N(U2259),N(U2259)+1))</f>
        <v/>
      </c>
      <c r="V2260" s="19">
        <f>IF($B2260="","",TEXT($B2260,"0000"))</f>
        <v/>
      </c>
      <c r="W2260" s="19">
        <f>IF($I2260="","",IF(ISNUMBER($I2260),TEXT($I2260,"0"),$I2260))</f>
        <v/>
      </c>
    </row>
    <row r="2261">
      <c r="B2261" s="25" t="n"/>
      <c r="I2261" s="25" t="n"/>
      <c r="U2261" s="19">
        <f>IF($V2261&lt;&gt;'設定'!$C$4,N(U2260),IF(OR(NOT(COUNTIF('商品マスタ'!$B$6:$B$1005,$W2261)=0),COUNTIFS('①在庫を貼る'!$V$6:$V$10005,$V2261,'①在庫を貼る'!$W$6:$W$10005,$W2261)+COUNTIFS('月1回_1ヶ月前の在庫'!$V$6:$V$10005,$V2261,'月1回_1ヶ月前の在庫'!$W$6:$W$10005,$W2261)&gt;0),N(U2260),N(U2260)+1))</f>
        <v/>
      </c>
      <c r="V2261" s="19">
        <f>IF($B2261="","",TEXT($B2261,"0000"))</f>
        <v/>
      </c>
      <c r="W2261" s="19">
        <f>IF($I2261="","",IF(ISNUMBER($I2261),TEXT($I2261,"0"),$I2261))</f>
        <v/>
      </c>
    </row>
    <row r="2262">
      <c r="B2262" s="25" t="n"/>
      <c r="I2262" s="25" t="n"/>
      <c r="U2262" s="19">
        <f>IF($V2262&lt;&gt;'設定'!$C$4,N(U2261),IF(OR(NOT(COUNTIF('商品マスタ'!$B$6:$B$1005,$W2262)=0),COUNTIFS('①在庫を貼る'!$V$6:$V$10005,$V2262,'①在庫を貼る'!$W$6:$W$10005,$W2262)+COUNTIFS('月1回_1ヶ月前の在庫'!$V$6:$V$10005,$V2262,'月1回_1ヶ月前の在庫'!$W$6:$W$10005,$W2262)&gt;0),N(U2261),N(U2261)+1))</f>
        <v/>
      </c>
      <c r="V2262" s="19">
        <f>IF($B2262="","",TEXT($B2262,"0000"))</f>
        <v/>
      </c>
      <c r="W2262" s="19">
        <f>IF($I2262="","",IF(ISNUMBER($I2262),TEXT($I2262,"0"),$I2262))</f>
        <v/>
      </c>
    </row>
    <row r="2263">
      <c r="B2263" s="25" t="n"/>
      <c r="I2263" s="25" t="n"/>
      <c r="U2263" s="19">
        <f>IF($V2263&lt;&gt;'設定'!$C$4,N(U2262),IF(OR(NOT(COUNTIF('商品マスタ'!$B$6:$B$1005,$W2263)=0),COUNTIFS('①在庫を貼る'!$V$6:$V$10005,$V2263,'①在庫を貼る'!$W$6:$W$10005,$W2263)+COUNTIFS('月1回_1ヶ月前の在庫'!$V$6:$V$10005,$V2263,'月1回_1ヶ月前の在庫'!$W$6:$W$10005,$W2263)&gt;0),N(U2262),N(U2262)+1))</f>
        <v/>
      </c>
      <c r="V2263" s="19">
        <f>IF($B2263="","",TEXT($B2263,"0000"))</f>
        <v/>
      </c>
      <c r="W2263" s="19">
        <f>IF($I2263="","",IF(ISNUMBER($I2263),TEXT($I2263,"0"),$I2263))</f>
        <v/>
      </c>
    </row>
    <row r="2264">
      <c r="B2264" s="25" t="n"/>
      <c r="I2264" s="25" t="n"/>
      <c r="U2264" s="19">
        <f>IF($V2264&lt;&gt;'設定'!$C$4,N(U2263),IF(OR(NOT(COUNTIF('商品マスタ'!$B$6:$B$1005,$W2264)=0),COUNTIFS('①在庫を貼る'!$V$6:$V$10005,$V2264,'①在庫を貼る'!$W$6:$W$10005,$W2264)+COUNTIFS('月1回_1ヶ月前の在庫'!$V$6:$V$10005,$V2264,'月1回_1ヶ月前の在庫'!$W$6:$W$10005,$W2264)&gt;0),N(U2263),N(U2263)+1))</f>
        <v/>
      </c>
      <c r="V2264" s="19">
        <f>IF($B2264="","",TEXT($B2264,"0000"))</f>
        <v/>
      </c>
      <c r="W2264" s="19">
        <f>IF($I2264="","",IF(ISNUMBER($I2264),TEXT($I2264,"0"),$I2264))</f>
        <v/>
      </c>
    </row>
    <row r="2265">
      <c r="B2265" s="25" t="n"/>
      <c r="I2265" s="25" t="n"/>
      <c r="U2265" s="19">
        <f>IF($V2265&lt;&gt;'設定'!$C$4,N(U2264),IF(OR(NOT(COUNTIF('商品マスタ'!$B$6:$B$1005,$W2265)=0),COUNTIFS('①在庫を貼る'!$V$6:$V$10005,$V2265,'①在庫を貼る'!$W$6:$W$10005,$W2265)+COUNTIFS('月1回_1ヶ月前の在庫'!$V$6:$V$10005,$V2265,'月1回_1ヶ月前の在庫'!$W$6:$W$10005,$W2265)&gt;0),N(U2264),N(U2264)+1))</f>
        <v/>
      </c>
      <c r="V2265" s="19">
        <f>IF($B2265="","",TEXT($B2265,"0000"))</f>
        <v/>
      </c>
      <c r="W2265" s="19">
        <f>IF($I2265="","",IF(ISNUMBER($I2265),TEXT($I2265,"0"),$I2265))</f>
        <v/>
      </c>
    </row>
    <row r="2266">
      <c r="B2266" s="25" t="n"/>
      <c r="I2266" s="25" t="n"/>
      <c r="U2266" s="19">
        <f>IF($V2266&lt;&gt;'設定'!$C$4,N(U2265),IF(OR(NOT(COUNTIF('商品マスタ'!$B$6:$B$1005,$W2266)=0),COUNTIFS('①在庫を貼る'!$V$6:$V$10005,$V2266,'①在庫を貼る'!$W$6:$W$10005,$W2266)+COUNTIFS('月1回_1ヶ月前の在庫'!$V$6:$V$10005,$V2266,'月1回_1ヶ月前の在庫'!$W$6:$W$10005,$W2266)&gt;0),N(U2265),N(U2265)+1))</f>
        <v/>
      </c>
      <c r="V2266" s="19">
        <f>IF($B2266="","",TEXT($B2266,"0000"))</f>
        <v/>
      </c>
      <c r="W2266" s="19">
        <f>IF($I2266="","",IF(ISNUMBER($I2266),TEXT($I2266,"0"),$I2266))</f>
        <v/>
      </c>
    </row>
    <row r="2267">
      <c r="B2267" s="25" t="n"/>
      <c r="I2267" s="25" t="n"/>
      <c r="U2267" s="19">
        <f>IF($V2267&lt;&gt;'設定'!$C$4,N(U2266),IF(OR(NOT(COUNTIF('商品マスタ'!$B$6:$B$1005,$W2267)=0),COUNTIFS('①在庫を貼る'!$V$6:$V$10005,$V2267,'①在庫を貼る'!$W$6:$W$10005,$W2267)+COUNTIFS('月1回_1ヶ月前の在庫'!$V$6:$V$10005,$V2267,'月1回_1ヶ月前の在庫'!$W$6:$W$10005,$W2267)&gt;0),N(U2266),N(U2266)+1))</f>
        <v/>
      </c>
      <c r="V2267" s="19">
        <f>IF($B2267="","",TEXT($B2267,"0000"))</f>
        <v/>
      </c>
      <c r="W2267" s="19">
        <f>IF($I2267="","",IF(ISNUMBER($I2267),TEXT($I2267,"0"),$I2267))</f>
        <v/>
      </c>
    </row>
    <row r="2268">
      <c r="B2268" s="25" t="n"/>
      <c r="I2268" s="25" t="n"/>
      <c r="U2268" s="19">
        <f>IF($V2268&lt;&gt;'設定'!$C$4,N(U2267),IF(OR(NOT(COUNTIF('商品マスタ'!$B$6:$B$1005,$W2268)=0),COUNTIFS('①在庫を貼る'!$V$6:$V$10005,$V2268,'①在庫を貼る'!$W$6:$W$10005,$W2268)+COUNTIFS('月1回_1ヶ月前の在庫'!$V$6:$V$10005,$V2268,'月1回_1ヶ月前の在庫'!$W$6:$W$10005,$W2268)&gt;0),N(U2267),N(U2267)+1))</f>
        <v/>
      </c>
      <c r="V2268" s="19">
        <f>IF($B2268="","",TEXT($B2268,"0000"))</f>
        <v/>
      </c>
      <c r="W2268" s="19">
        <f>IF($I2268="","",IF(ISNUMBER($I2268),TEXT($I2268,"0"),$I2268))</f>
        <v/>
      </c>
    </row>
    <row r="2269">
      <c r="B2269" s="25" t="n"/>
      <c r="I2269" s="25" t="n"/>
      <c r="U2269" s="19">
        <f>IF($V2269&lt;&gt;'設定'!$C$4,N(U2268),IF(OR(NOT(COUNTIF('商品マスタ'!$B$6:$B$1005,$W2269)=0),COUNTIFS('①在庫を貼る'!$V$6:$V$10005,$V2269,'①在庫を貼る'!$W$6:$W$10005,$W2269)+COUNTIFS('月1回_1ヶ月前の在庫'!$V$6:$V$10005,$V2269,'月1回_1ヶ月前の在庫'!$W$6:$W$10005,$W2269)&gt;0),N(U2268),N(U2268)+1))</f>
        <v/>
      </c>
      <c r="V2269" s="19">
        <f>IF($B2269="","",TEXT($B2269,"0000"))</f>
        <v/>
      </c>
      <c r="W2269" s="19">
        <f>IF($I2269="","",IF(ISNUMBER($I2269),TEXT($I2269,"0"),$I2269))</f>
        <v/>
      </c>
    </row>
    <row r="2270">
      <c r="B2270" s="25" t="n"/>
      <c r="I2270" s="25" t="n"/>
      <c r="U2270" s="19">
        <f>IF($V2270&lt;&gt;'設定'!$C$4,N(U2269),IF(OR(NOT(COUNTIF('商品マスタ'!$B$6:$B$1005,$W2270)=0),COUNTIFS('①在庫を貼る'!$V$6:$V$10005,$V2270,'①在庫を貼る'!$W$6:$W$10005,$W2270)+COUNTIFS('月1回_1ヶ月前の在庫'!$V$6:$V$10005,$V2270,'月1回_1ヶ月前の在庫'!$W$6:$W$10005,$W2270)&gt;0),N(U2269),N(U2269)+1))</f>
        <v/>
      </c>
      <c r="V2270" s="19">
        <f>IF($B2270="","",TEXT($B2270,"0000"))</f>
        <v/>
      </c>
      <c r="W2270" s="19">
        <f>IF($I2270="","",IF(ISNUMBER($I2270),TEXT($I2270,"0"),$I2270))</f>
        <v/>
      </c>
    </row>
    <row r="2271">
      <c r="B2271" s="25" t="n"/>
      <c r="I2271" s="25" t="n"/>
      <c r="U2271" s="19">
        <f>IF($V2271&lt;&gt;'設定'!$C$4,N(U2270),IF(OR(NOT(COUNTIF('商品マスタ'!$B$6:$B$1005,$W2271)=0),COUNTIFS('①在庫を貼る'!$V$6:$V$10005,$V2271,'①在庫を貼る'!$W$6:$W$10005,$W2271)+COUNTIFS('月1回_1ヶ月前の在庫'!$V$6:$V$10005,$V2271,'月1回_1ヶ月前の在庫'!$W$6:$W$10005,$W2271)&gt;0),N(U2270),N(U2270)+1))</f>
        <v/>
      </c>
      <c r="V2271" s="19">
        <f>IF($B2271="","",TEXT($B2271,"0000"))</f>
        <v/>
      </c>
      <c r="W2271" s="19">
        <f>IF($I2271="","",IF(ISNUMBER($I2271),TEXT($I2271,"0"),$I2271))</f>
        <v/>
      </c>
    </row>
    <row r="2272">
      <c r="B2272" s="25" t="n"/>
      <c r="I2272" s="25" t="n"/>
      <c r="U2272" s="19">
        <f>IF($V2272&lt;&gt;'設定'!$C$4,N(U2271),IF(OR(NOT(COUNTIF('商品マスタ'!$B$6:$B$1005,$W2272)=0),COUNTIFS('①在庫を貼る'!$V$6:$V$10005,$V2272,'①在庫を貼る'!$W$6:$W$10005,$W2272)+COUNTIFS('月1回_1ヶ月前の在庫'!$V$6:$V$10005,$V2272,'月1回_1ヶ月前の在庫'!$W$6:$W$10005,$W2272)&gt;0),N(U2271),N(U2271)+1))</f>
        <v/>
      </c>
      <c r="V2272" s="19">
        <f>IF($B2272="","",TEXT($B2272,"0000"))</f>
        <v/>
      </c>
      <c r="W2272" s="19">
        <f>IF($I2272="","",IF(ISNUMBER($I2272),TEXT($I2272,"0"),$I2272))</f>
        <v/>
      </c>
    </row>
    <row r="2273">
      <c r="B2273" s="25" t="n"/>
      <c r="I2273" s="25" t="n"/>
      <c r="U2273" s="19">
        <f>IF($V2273&lt;&gt;'設定'!$C$4,N(U2272),IF(OR(NOT(COUNTIF('商品マスタ'!$B$6:$B$1005,$W2273)=0),COUNTIFS('①在庫を貼る'!$V$6:$V$10005,$V2273,'①在庫を貼る'!$W$6:$W$10005,$W2273)+COUNTIFS('月1回_1ヶ月前の在庫'!$V$6:$V$10005,$V2273,'月1回_1ヶ月前の在庫'!$W$6:$W$10005,$W2273)&gt;0),N(U2272),N(U2272)+1))</f>
        <v/>
      </c>
      <c r="V2273" s="19">
        <f>IF($B2273="","",TEXT($B2273,"0000"))</f>
        <v/>
      </c>
      <c r="W2273" s="19">
        <f>IF($I2273="","",IF(ISNUMBER($I2273),TEXT($I2273,"0"),$I2273))</f>
        <v/>
      </c>
    </row>
    <row r="2274">
      <c r="B2274" s="25" t="n"/>
      <c r="I2274" s="25" t="n"/>
      <c r="U2274" s="19">
        <f>IF($V2274&lt;&gt;'設定'!$C$4,N(U2273),IF(OR(NOT(COUNTIF('商品マスタ'!$B$6:$B$1005,$W2274)=0),COUNTIFS('①在庫を貼る'!$V$6:$V$10005,$V2274,'①在庫を貼る'!$W$6:$W$10005,$W2274)+COUNTIFS('月1回_1ヶ月前の在庫'!$V$6:$V$10005,$V2274,'月1回_1ヶ月前の在庫'!$W$6:$W$10005,$W2274)&gt;0),N(U2273),N(U2273)+1))</f>
        <v/>
      </c>
      <c r="V2274" s="19">
        <f>IF($B2274="","",TEXT($B2274,"0000"))</f>
        <v/>
      </c>
      <c r="W2274" s="19">
        <f>IF($I2274="","",IF(ISNUMBER($I2274),TEXT($I2274,"0"),$I2274))</f>
        <v/>
      </c>
    </row>
    <row r="2275">
      <c r="B2275" s="25" t="n"/>
      <c r="I2275" s="25" t="n"/>
      <c r="U2275" s="19">
        <f>IF($V2275&lt;&gt;'設定'!$C$4,N(U2274),IF(OR(NOT(COUNTIF('商品マスタ'!$B$6:$B$1005,$W2275)=0),COUNTIFS('①在庫を貼る'!$V$6:$V$10005,$V2275,'①在庫を貼る'!$W$6:$W$10005,$W2275)+COUNTIFS('月1回_1ヶ月前の在庫'!$V$6:$V$10005,$V2275,'月1回_1ヶ月前の在庫'!$W$6:$W$10005,$W2275)&gt;0),N(U2274),N(U2274)+1))</f>
        <v/>
      </c>
      <c r="V2275" s="19">
        <f>IF($B2275="","",TEXT($B2275,"0000"))</f>
        <v/>
      </c>
      <c r="W2275" s="19">
        <f>IF($I2275="","",IF(ISNUMBER($I2275),TEXT($I2275,"0"),$I2275))</f>
        <v/>
      </c>
    </row>
    <row r="2276">
      <c r="B2276" s="25" t="n"/>
      <c r="I2276" s="25" t="n"/>
      <c r="U2276" s="19">
        <f>IF($V2276&lt;&gt;'設定'!$C$4,N(U2275),IF(OR(NOT(COUNTIF('商品マスタ'!$B$6:$B$1005,$W2276)=0),COUNTIFS('①在庫を貼る'!$V$6:$V$10005,$V2276,'①在庫を貼る'!$W$6:$W$10005,$W2276)+COUNTIFS('月1回_1ヶ月前の在庫'!$V$6:$V$10005,$V2276,'月1回_1ヶ月前の在庫'!$W$6:$W$10005,$W2276)&gt;0),N(U2275),N(U2275)+1))</f>
        <v/>
      </c>
      <c r="V2276" s="19">
        <f>IF($B2276="","",TEXT($B2276,"0000"))</f>
        <v/>
      </c>
      <c r="W2276" s="19">
        <f>IF($I2276="","",IF(ISNUMBER($I2276),TEXT($I2276,"0"),$I2276))</f>
        <v/>
      </c>
    </row>
    <row r="2277">
      <c r="B2277" s="25" t="n"/>
      <c r="I2277" s="25" t="n"/>
      <c r="U2277" s="19">
        <f>IF($V2277&lt;&gt;'設定'!$C$4,N(U2276),IF(OR(NOT(COUNTIF('商品マスタ'!$B$6:$B$1005,$W2277)=0),COUNTIFS('①在庫を貼る'!$V$6:$V$10005,$V2277,'①在庫を貼る'!$W$6:$W$10005,$W2277)+COUNTIFS('月1回_1ヶ月前の在庫'!$V$6:$V$10005,$V2277,'月1回_1ヶ月前の在庫'!$W$6:$W$10005,$W2277)&gt;0),N(U2276),N(U2276)+1))</f>
        <v/>
      </c>
      <c r="V2277" s="19">
        <f>IF($B2277="","",TEXT($B2277,"0000"))</f>
        <v/>
      </c>
      <c r="W2277" s="19">
        <f>IF($I2277="","",IF(ISNUMBER($I2277),TEXT($I2277,"0"),$I2277))</f>
        <v/>
      </c>
    </row>
    <row r="2278">
      <c r="B2278" s="25" t="n"/>
      <c r="I2278" s="25" t="n"/>
      <c r="U2278" s="19">
        <f>IF($V2278&lt;&gt;'設定'!$C$4,N(U2277),IF(OR(NOT(COUNTIF('商品マスタ'!$B$6:$B$1005,$W2278)=0),COUNTIFS('①在庫を貼る'!$V$6:$V$10005,$V2278,'①在庫を貼る'!$W$6:$W$10005,$W2278)+COUNTIFS('月1回_1ヶ月前の在庫'!$V$6:$V$10005,$V2278,'月1回_1ヶ月前の在庫'!$W$6:$W$10005,$W2278)&gt;0),N(U2277),N(U2277)+1))</f>
        <v/>
      </c>
      <c r="V2278" s="19">
        <f>IF($B2278="","",TEXT($B2278,"0000"))</f>
        <v/>
      </c>
      <c r="W2278" s="19">
        <f>IF($I2278="","",IF(ISNUMBER($I2278),TEXT($I2278,"0"),$I2278))</f>
        <v/>
      </c>
    </row>
    <row r="2279">
      <c r="B2279" s="25" t="n"/>
      <c r="I2279" s="25" t="n"/>
      <c r="U2279" s="19">
        <f>IF($V2279&lt;&gt;'設定'!$C$4,N(U2278),IF(OR(NOT(COUNTIF('商品マスタ'!$B$6:$B$1005,$W2279)=0),COUNTIFS('①在庫を貼る'!$V$6:$V$10005,$V2279,'①在庫を貼る'!$W$6:$W$10005,$W2279)+COUNTIFS('月1回_1ヶ月前の在庫'!$V$6:$V$10005,$V2279,'月1回_1ヶ月前の在庫'!$W$6:$W$10005,$W2279)&gt;0),N(U2278),N(U2278)+1))</f>
        <v/>
      </c>
      <c r="V2279" s="19">
        <f>IF($B2279="","",TEXT($B2279,"0000"))</f>
        <v/>
      </c>
      <c r="W2279" s="19">
        <f>IF($I2279="","",IF(ISNUMBER($I2279),TEXT($I2279,"0"),$I2279))</f>
        <v/>
      </c>
    </row>
    <row r="2280">
      <c r="B2280" s="25" t="n"/>
      <c r="I2280" s="25" t="n"/>
      <c r="U2280" s="19">
        <f>IF($V2280&lt;&gt;'設定'!$C$4,N(U2279),IF(OR(NOT(COUNTIF('商品マスタ'!$B$6:$B$1005,$W2280)=0),COUNTIFS('①在庫を貼る'!$V$6:$V$10005,$V2280,'①在庫を貼る'!$W$6:$W$10005,$W2280)+COUNTIFS('月1回_1ヶ月前の在庫'!$V$6:$V$10005,$V2280,'月1回_1ヶ月前の在庫'!$W$6:$W$10005,$W2280)&gt;0),N(U2279),N(U2279)+1))</f>
        <v/>
      </c>
      <c r="V2280" s="19">
        <f>IF($B2280="","",TEXT($B2280,"0000"))</f>
        <v/>
      </c>
      <c r="W2280" s="19">
        <f>IF($I2280="","",IF(ISNUMBER($I2280),TEXT($I2280,"0"),$I2280))</f>
        <v/>
      </c>
    </row>
    <row r="2281">
      <c r="B2281" s="25" t="n"/>
      <c r="I2281" s="25" t="n"/>
      <c r="U2281" s="19">
        <f>IF($V2281&lt;&gt;'設定'!$C$4,N(U2280),IF(OR(NOT(COUNTIF('商品マスタ'!$B$6:$B$1005,$W2281)=0),COUNTIFS('①在庫を貼る'!$V$6:$V$10005,$V2281,'①在庫を貼る'!$W$6:$W$10005,$W2281)+COUNTIFS('月1回_1ヶ月前の在庫'!$V$6:$V$10005,$V2281,'月1回_1ヶ月前の在庫'!$W$6:$W$10005,$W2281)&gt;0),N(U2280),N(U2280)+1))</f>
        <v/>
      </c>
      <c r="V2281" s="19">
        <f>IF($B2281="","",TEXT($B2281,"0000"))</f>
        <v/>
      </c>
      <c r="W2281" s="19">
        <f>IF($I2281="","",IF(ISNUMBER($I2281),TEXT($I2281,"0"),$I2281))</f>
        <v/>
      </c>
    </row>
    <row r="2282">
      <c r="B2282" s="25" t="n"/>
      <c r="I2282" s="25" t="n"/>
      <c r="U2282" s="19">
        <f>IF($V2282&lt;&gt;'設定'!$C$4,N(U2281),IF(OR(NOT(COUNTIF('商品マスタ'!$B$6:$B$1005,$W2282)=0),COUNTIFS('①在庫を貼る'!$V$6:$V$10005,$V2282,'①在庫を貼る'!$W$6:$W$10005,$W2282)+COUNTIFS('月1回_1ヶ月前の在庫'!$V$6:$V$10005,$V2282,'月1回_1ヶ月前の在庫'!$W$6:$W$10005,$W2282)&gt;0),N(U2281),N(U2281)+1))</f>
        <v/>
      </c>
      <c r="V2282" s="19">
        <f>IF($B2282="","",TEXT($B2282,"0000"))</f>
        <v/>
      </c>
      <c r="W2282" s="19">
        <f>IF($I2282="","",IF(ISNUMBER($I2282),TEXT($I2282,"0"),$I2282))</f>
        <v/>
      </c>
    </row>
    <row r="2283">
      <c r="B2283" s="25" t="n"/>
      <c r="I2283" s="25" t="n"/>
      <c r="U2283" s="19">
        <f>IF($V2283&lt;&gt;'設定'!$C$4,N(U2282),IF(OR(NOT(COUNTIF('商品マスタ'!$B$6:$B$1005,$W2283)=0),COUNTIFS('①在庫を貼る'!$V$6:$V$10005,$V2283,'①在庫を貼る'!$W$6:$W$10005,$W2283)+COUNTIFS('月1回_1ヶ月前の在庫'!$V$6:$V$10005,$V2283,'月1回_1ヶ月前の在庫'!$W$6:$W$10005,$W2283)&gt;0),N(U2282),N(U2282)+1))</f>
        <v/>
      </c>
      <c r="V2283" s="19">
        <f>IF($B2283="","",TEXT($B2283,"0000"))</f>
        <v/>
      </c>
      <c r="W2283" s="19">
        <f>IF($I2283="","",IF(ISNUMBER($I2283),TEXT($I2283,"0"),$I2283))</f>
        <v/>
      </c>
    </row>
    <row r="2284">
      <c r="B2284" s="25" t="n"/>
      <c r="I2284" s="25" t="n"/>
      <c r="U2284" s="19">
        <f>IF($V2284&lt;&gt;'設定'!$C$4,N(U2283),IF(OR(NOT(COUNTIF('商品マスタ'!$B$6:$B$1005,$W2284)=0),COUNTIFS('①在庫を貼る'!$V$6:$V$10005,$V2284,'①在庫を貼る'!$W$6:$W$10005,$W2284)+COUNTIFS('月1回_1ヶ月前の在庫'!$V$6:$V$10005,$V2284,'月1回_1ヶ月前の在庫'!$W$6:$W$10005,$W2284)&gt;0),N(U2283),N(U2283)+1))</f>
        <v/>
      </c>
      <c r="V2284" s="19">
        <f>IF($B2284="","",TEXT($B2284,"0000"))</f>
        <v/>
      </c>
      <c r="W2284" s="19">
        <f>IF($I2284="","",IF(ISNUMBER($I2284),TEXT($I2284,"0"),$I2284))</f>
        <v/>
      </c>
    </row>
    <row r="2285">
      <c r="B2285" s="25" t="n"/>
      <c r="I2285" s="25" t="n"/>
      <c r="U2285" s="19">
        <f>IF($V2285&lt;&gt;'設定'!$C$4,N(U2284),IF(OR(NOT(COUNTIF('商品マスタ'!$B$6:$B$1005,$W2285)=0),COUNTIFS('①在庫を貼る'!$V$6:$V$10005,$V2285,'①在庫を貼る'!$W$6:$W$10005,$W2285)+COUNTIFS('月1回_1ヶ月前の在庫'!$V$6:$V$10005,$V2285,'月1回_1ヶ月前の在庫'!$W$6:$W$10005,$W2285)&gt;0),N(U2284),N(U2284)+1))</f>
        <v/>
      </c>
      <c r="V2285" s="19">
        <f>IF($B2285="","",TEXT($B2285,"0000"))</f>
        <v/>
      </c>
      <c r="W2285" s="19">
        <f>IF($I2285="","",IF(ISNUMBER($I2285),TEXT($I2285,"0"),$I2285))</f>
        <v/>
      </c>
    </row>
    <row r="2286">
      <c r="B2286" s="25" t="n"/>
      <c r="I2286" s="25" t="n"/>
      <c r="U2286" s="19">
        <f>IF($V2286&lt;&gt;'設定'!$C$4,N(U2285),IF(OR(NOT(COUNTIF('商品マスタ'!$B$6:$B$1005,$W2286)=0),COUNTIFS('①在庫を貼る'!$V$6:$V$10005,$V2286,'①在庫を貼る'!$W$6:$W$10005,$W2286)+COUNTIFS('月1回_1ヶ月前の在庫'!$V$6:$V$10005,$V2286,'月1回_1ヶ月前の在庫'!$W$6:$W$10005,$W2286)&gt;0),N(U2285),N(U2285)+1))</f>
        <v/>
      </c>
      <c r="V2286" s="19">
        <f>IF($B2286="","",TEXT($B2286,"0000"))</f>
        <v/>
      </c>
      <c r="W2286" s="19">
        <f>IF($I2286="","",IF(ISNUMBER($I2286),TEXT($I2286,"0"),$I2286))</f>
        <v/>
      </c>
    </row>
    <row r="2287">
      <c r="B2287" s="25" t="n"/>
      <c r="I2287" s="25" t="n"/>
      <c r="U2287" s="19">
        <f>IF($V2287&lt;&gt;'設定'!$C$4,N(U2286),IF(OR(NOT(COUNTIF('商品マスタ'!$B$6:$B$1005,$W2287)=0),COUNTIFS('①在庫を貼る'!$V$6:$V$10005,$V2287,'①在庫を貼る'!$W$6:$W$10005,$W2287)+COUNTIFS('月1回_1ヶ月前の在庫'!$V$6:$V$10005,$V2287,'月1回_1ヶ月前の在庫'!$W$6:$W$10005,$W2287)&gt;0),N(U2286),N(U2286)+1))</f>
        <v/>
      </c>
      <c r="V2287" s="19">
        <f>IF($B2287="","",TEXT($B2287,"0000"))</f>
        <v/>
      </c>
      <c r="W2287" s="19">
        <f>IF($I2287="","",IF(ISNUMBER($I2287),TEXT($I2287,"0"),$I2287))</f>
        <v/>
      </c>
    </row>
    <row r="2288">
      <c r="B2288" s="25" t="n"/>
      <c r="I2288" s="25" t="n"/>
      <c r="U2288" s="19">
        <f>IF($V2288&lt;&gt;'設定'!$C$4,N(U2287),IF(OR(NOT(COUNTIF('商品マスタ'!$B$6:$B$1005,$W2288)=0),COUNTIFS('①在庫を貼る'!$V$6:$V$10005,$V2288,'①在庫を貼る'!$W$6:$W$10005,$W2288)+COUNTIFS('月1回_1ヶ月前の在庫'!$V$6:$V$10005,$V2288,'月1回_1ヶ月前の在庫'!$W$6:$W$10005,$W2288)&gt;0),N(U2287),N(U2287)+1))</f>
        <v/>
      </c>
      <c r="V2288" s="19">
        <f>IF($B2288="","",TEXT($B2288,"0000"))</f>
        <v/>
      </c>
      <c r="W2288" s="19">
        <f>IF($I2288="","",IF(ISNUMBER($I2288),TEXT($I2288,"0"),$I2288))</f>
        <v/>
      </c>
    </row>
    <row r="2289">
      <c r="B2289" s="25" t="n"/>
      <c r="I2289" s="25" t="n"/>
      <c r="U2289" s="19">
        <f>IF($V2289&lt;&gt;'設定'!$C$4,N(U2288),IF(OR(NOT(COUNTIF('商品マスタ'!$B$6:$B$1005,$W2289)=0),COUNTIFS('①在庫を貼る'!$V$6:$V$10005,$V2289,'①在庫を貼る'!$W$6:$W$10005,$W2289)+COUNTIFS('月1回_1ヶ月前の在庫'!$V$6:$V$10005,$V2289,'月1回_1ヶ月前の在庫'!$W$6:$W$10005,$W2289)&gt;0),N(U2288),N(U2288)+1))</f>
        <v/>
      </c>
      <c r="V2289" s="19">
        <f>IF($B2289="","",TEXT($B2289,"0000"))</f>
        <v/>
      </c>
      <c r="W2289" s="19">
        <f>IF($I2289="","",IF(ISNUMBER($I2289),TEXT($I2289,"0"),$I2289))</f>
        <v/>
      </c>
    </row>
    <row r="2290">
      <c r="B2290" s="25" t="n"/>
      <c r="I2290" s="25" t="n"/>
      <c r="U2290" s="19">
        <f>IF($V2290&lt;&gt;'設定'!$C$4,N(U2289),IF(OR(NOT(COUNTIF('商品マスタ'!$B$6:$B$1005,$W2290)=0),COUNTIFS('①在庫を貼る'!$V$6:$V$10005,$V2290,'①在庫を貼る'!$W$6:$W$10005,$W2290)+COUNTIFS('月1回_1ヶ月前の在庫'!$V$6:$V$10005,$V2290,'月1回_1ヶ月前の在庫'!$W$6:$W$10005,$W2290)&gt;0),N(U2289),N(U2289)+1))</f>
        <v/>
      </c>
      <c r="V2290" s="19">
        <f>IF($B2290="","",TEXT($B2290,"0000"))</f>
        <v/>
      </c>
      <c r="W2290" s="19">
        <f>IF($I2290="","",IF(ISNUMBER($I2290),TEXT($I2290,"0"),$I2290))</f>
        <v/>
      </c>
    </row>
    <row r="2291">
      <c r="B2291" s="25" t="n"/>
      <c r="I2291" s="25" t="n"/>
      <c r="U2291" s="19">
        <f>IF($V2291&lt;&gt;'設定'!$C$4,N(U2290),IF(OR(NOT(COUNTIF('商品マスタ'!$B$6:$B$1005,$W2291)=0),COUNTIFS('①在庫を貼る'!$V$6:$V$10005,$V2291,'①在庫を貼る'!$W$6:$W$10005,$W2291)+COUNTIFS('月1回_1ヶ月前の在庫'!$V$6:$V$10005,$V2291,'月1回_1ヶ月前の在庫'!$W$6:$W$10005,$W2291)&gt;0),N(U2290),N(U2290)+1))</f>
        <v/>
      </c>
      <c r="V2291" s="19">
        <f>IF($B2291="","",TEXT($B2291,"0000"))</f>
        <v/>
      </c>
      <c r="W2291" s="19">
        <f>IF($I2291="","",IF(ISNUMBER($I2291),TEXT($I2291,"0"),$I2291))</f>
        <v/>
      </c>
    </row>
    <row r="2292">
      <c r="B2292" s="25" t="n"/>
      <c r="I2292" s="25" t="n"/>
      <c r="U2292" s="19">
        <f>IF($V2292&lt;&gt;'設定'!$C$4,N(U2291),IF(OR(NOT(COUNTIF('商品マスタ'!$B$6:$B$1005,$W2292)=0),COUNTIFS('①在庫を貼る'!$V$6:$V$10005,$V2292,'①在庫を貼る'!$W$6:$W$10005,$W2292)+COUNTIFS('月1回_1ヶ月前の在庫'!$V$6:$V$10005,$V2292,'月1回_1ヶ月前の在庫'!$W$6:$W$10005,$W2292)&gt;0),N(U2291),N(U2291)+1))</f>
        <v/>
      </c>
      <c r="V2292" s="19">
        <f>IF($B2292="","",TEXT($B2292,"0000"))</f>
        <v/>
      </c>
      <c r="W2292" s="19">
        <f>IF($I2292="","",IF(ISNUMBER($I2292),TEXT($I2292,"0"),$I2292))</f>
        <v/>
      </c>
    </row>
    <row r="2293">
      <c r="B2293" s="25" t="n"/>
      <c r="I2293" s="25" t="n"/>
      <c r="U2293" s="19">
        <f>IF($V2293&lt;&gt;'設定'!$C$4,N(U2292),IF(OR(NOT(COUNTIF('商品マスタ'!$B$6:$B$1005,$W2293)=0),COUNTIFS('①在庫を貼る'!$V$6:$V$10005,$V2293,'①在庫を貼る'!$W$6:$W$10005,$W2293)+COUNTIFS('月1回_1ヶ月前の在庫'!$V$6:$V$10005,$V2293,'月1回_1ヶ月前の在庫'!$W$6:$W$10005,$W2293)&gt;0),N(U2292),N(U2292)+1))</f>
        <v/>
      </c>
      <c r="V2293" s="19">
        <f>IF($B2293="","",TEXT($B2293,"0000"))</f>
        <v/>
      </c>
      <c r="W2293" s="19">
        <f>IF($I2293="","",IF(ISNUMBER($I2293),TEXT($I2293,"0"),$I2293))</f>
        <v/>
      </c>
    </row>
    <row r="2294">
      <c r="B2294" s="25" t="n"/>
      <c r="I2294" s="25" t="n"/>
      <c r="U2294" s="19">
        <f>IF($V2294&lt;&gt;'設定'!$C$4,N(U2293),IF(OR(NOT(COUNTIF('商品マスタ'!$B$6:$B$1005,$W2294)=0),COUNTIFS('①在庫を貼る'!$V$6:$V$10005,$V2294,'①在庫を貼る'!$W$6:$W$10005,$W2294)+COUNTIFS('月1回_1ヶ月前の在庫'!$V$6:$V$10005,$V2294,'月1回_1ヶ月前の在庫'!$W$6:$W$10005,$W2294)&gt;0),N(U2293),N(U2293)+1))</f>
        <v/>
      </c>
      <c r="V2294" s="19">
        <f>IF($B2294="","",TEXT($B2294,"0000"))</f>
        <v/>
      </c>
      <c r="W2294" s="19">
        <f>IF($I2294="","",IF(ISNUMBER($I2294),TEXT($I2294,"0"),$I2294))</f>
        <v/>
      </c>
    </row>
    <row r="2295">
      <c r="B2295" s="25" t="n"/>
      <c r="I2295" s="25" t="n"/>
      <c r="U2295" s="19">
        <f>IF($V2295&lt;&gt;'設定'!$C$4,N(U2294),IF(OR(NOT(COUNTIF('商品マスタ'!$B$6:$B$1005,$W2295)=0),COUNTIFS('①在庫を貼る'!$V$6:$V$10005,$V2295,'①在庫を貼る'!$W$6:$W$10005,$W2295)+COUNTIFS('月1回_1ヶ月前の在庫'!$V$6:$V$10005,$V2295,'月1回_1ヶ月前の在庫'!$W$6:$W$10005,$W2295)&gt;0),N(U2294),N(U2294)+1))</f>
        <v/>
      </c>
      <c r="V2295" s="19">
        <f>IF($B2295="","",TEXT($B2295,"0000"))</f>
        <v/>
      </c>
      <c r="W2295" s="19">
        <f>IF($I2295="","",IF(ISNUMBER($I2295),TEXT($I2295,"0"),$I2295))</f>
        <v/>
      </c>
    </row>
    <row r="2296">
      <c r="B2296" s="25" t="n"/>
      <c r="I2296" s="25" t="n"/>
      <c r="U2296" s="19">
        <f>IF($V2296&lt;&gt;'設定'!$C$4,N(U2295),IF(OR(NOT(COUNTIF('商品マスタ'!$B$6:$B$1005,$W2296)=0),COUNTIFS('①在庫を貼る'!$V$6:$V$10005,$V2296,'①在庫を貼る'!$W$6:$W$10005,$W2296)+COUNTIFS('月1回_1ヶ月前の在庫'!$V$6:$V$10005,$V2296,'月1回_1ヶ月前の在庫'!$W$6:$W$10005,$W2296)&gt;0),N(U2295),N(U2295)+1))</f>
        <v/>
      </c>
      <c r="V2296" s="19">
        <f>IF($B2296="","",TEXT($B2296,"0000"))</f>
        <v/>
      </c>
      <c r="W2296" s="19">
        <f>IF($I2296="","",IF(ISNUMBER($I2296),TEXT($I2296,"0"),$I2296))</f>
        <v/>
      </c>
    </row>
    <row r="2297">
      <c r="B2297" s="25" t="n"/>
      <c r="I2297" s="25" t="n"/>
      <c r="U2297" s="19">
        <f>IF($V2297&lt;&gt;'設定'!$C$4,N(U2296),IF(OR(NOT(COUNTIF('商品マスタ'!$B$6:$B$1005,$W2297)=0),COUNTIFS('①在庫を貼る'!$V$6:$V$10005,$V2297,'①在庫を貼る'!$W$6:$W$10005,$W2297)+COUNTIFS('月1回_1ヶ月前の在庫'!$V$6:$V$10005,$V2297,'月1回_1ヶ月前の在庫'!$W$6:$W$10005,$W2297)&gt;0),N(U2296),N(U2296)+1))</f>
        <v/>
      </c>
      <c r="V2297" s="19">
        <f>IF($B2297="","",TEXT($B2297,"0000"))</f>
        <v/>
      </c>
      <c r="W2297" s="19">
        <f>IF($I2297="","",IF(ISNUMBER($I2297),TEXT($I2297,"0"),$I2297))</f>
        <v/>
      </c>
    </row>
    <row r="2298">
      <c r="B2298" s="25" t="n"/>
      <c r="I2298" s="25" t="n"/>
      <c r="U2298" s="19">
        <f>IF($V2298&lt;&gt;'設定'!$C$4,N(U2297),IF(OR(NOT(COUNTIF('商品マスタ'!$B$6:$B$1005,$W2298)=0),COUNTIFS('①在庫を貼る'!$V$6:$V$10005,$V2298,'①在庫を貼る'!$W$6:$W$10005,$W2298)+COUNTIFS('月1回_1ヶ月前の在庫'!$V$6:$V$10005,$V2298,'月1回_1ヶ月前の在庫'!$W$6:$W$10005,$W2298)&gt;0),N(U2297),N(U2297)+1))</f>
        <v/>
      </c>
      <c r="V2298" s="19">
        <f>IF($B2298="","",TEXT($B2298,"0000"))</f>
        <v/>
      </c>
      <c r="W2298" s="19">
        <f>IF($I2298="","",IF(ISNUMBER($I2298),TEXT($I2298,"0"),$I2298))</f>
        <v/>
      </c>
    </row>
    <row r="2299">
      <c r="B2299" s="25" t="n"/>
      <c r="I2299" s="25" t="n"/>
      <c r="U2299" s="19">
        <f>IF($V2299&lt;&gt;'設定'!$C$4,N(U2298),IF(OR(NOT(COUNTIF('商品マスタ'!$B$6:$B$1005,$W2299)=0),COUNTIFS('①在庫を貼る'!$V$6:$V$10005,$V2299,'①在庫を貼る'!$W$6:$W$10005,$W2299)+COUNTIFS('月1回_1ヶ月前の在庫'!$V$6:$V$10005,$V2299,'月1回_1ヶ月前の在庫'!$W$6:$W$10005,$W2299)&gt;0),N(U2298),N(U2298)+1))</f>
        <v/>
      </c>
      <c r="V2299" s="19">
        <f>IF($B2299="","",TEXT($B2299,"0000"))</f>
        <v/>
      </c>
      <c r="W2299" s="19">
        <f>IF($I2299="","",IF(ISNUMBER($I2299),TEXT($I2299,"0"),$I2299))</f>
        <v/>
      </c>
    </row>
    <row r="2300">
      <c r="B2300" s="25" t="n"/>
      <c r="I2300" s="25" t="n"/>
      <c r="U2300" s="19">
        <f>IF($V2300&lt;&gt;'設定'!$C$4,N(U2299),IF(OR(NOT(COUNTIF('商品マスタ'!$B$6:$B$1005,$W2300)=0),COUNTIFS('①在庫を貼る'!$V$6:$V$10005,$V2300,'①在庫を貼る'!$W$6:$W$10005,$W2300)+COUNTIFS('月1回_1ヶ月前の在庫'!$V$6:$V$10005,$V2300,'月1回_1ヶ月前の在庫'!$W$6:$W$10005,$W2300)&gt;0),N(U2299),N(U2299)+1))</f>
        <v/>
      </c>
      <c r="V2300" s="19">
        <f>IF($B2300="","",TEXT($B2300,"0000"))</f>
        <v/>
      </c>
      <c r="W2300" s="19">
        <f>IF($I2300="","",IF(ISNUMBER($I2300),TEXT($I2300,"0"),$I2300))</f>
        <v/>
      </c>
    </row>
    <row r="2301">
      <c r="B2301" s="25" t="n"/>
      <c r="I2301" s="25" t="n"/>
      <c r="U2301" s="19">
        <f>IF($V2301&lt;&gt;'設定'!$C$4,N(U2300),IF(OR(NOT(COUNTIF('商品マスタ'!$B$6:$B$1005,$W2301)=0),COUNTIFS('①在庫を貼る'!$V$6:$V$10005,$V2301,'①在庫を貼る'!$W$6:$W$10005,$W2301)+COUNTIFS('月1回_1ヶ月前の在庫'!$V$6:$V$10005,$V2301,'月1回_1ヶ月前の在庫'!$W$6:$W$10005,$W2301)&gt;0),N(U2300),N(U2300)+1))</f>
        <v/>
      </c>
      <c r="V2301" s="19">
        <f>IF($B2301="","",TEXT($B2301,"0000"))</f>
        <v/>
      </c>
      <c r="W2301" s="19">
        <f>IF($I2301="","",IF(ISNUMBER($I2301),TEXT($I2301,"0"),$I2301))</f>
        <v/>
      </c>
    </row>
    <row r="2302">
      <c r="B2302" s="25" t="n"/>
      <c r="I2302" s="25" t="n"/>
      <c r="U2302" s="19">
        <f>IF($V2302&lt;&gt;'設定'!$C$4,N(U2301),IF(OR(NOT(COUNTIF('商品マスタ'!$B$6:$B$1005,$W2302)=0),COUNTIFS('①在庫を貼る'!$V$6:$V$10005,$V2302,'①在庫を貼る'!$W$6:$W$10005,$W2302)+COUNTIFS('月1回_1ヶ月前の在庫'!$V$6:$V$10005,$V2302,'月1回_1ヶ月前の在庫'!$W$6:$W$10005,$W2302)&gt;0),N(U2301),N(U2301)+1))</f>
        <v/>
      </c>
      <c r="V2302" s="19">
        <f>IF($B2302="","",TEXT($B2302,"0000"))</f>
        <v/>
      </c>
      <c r="W2302" s="19">
        <f>IF($I2302="","",IF(ISNUMBER($I2302),TEXT($I2302,"0"),$I2302))</f>
        <v/>
      </c>
    </row>
    <row r="2303">
      <c r="B2303" s="25" t="n"/>
      <c r="I2303" s="25" t="n"/>
      <c r="U2303" s="19">
        <f>IF($V2303&lt;&gt;'設定'!$C$4,N(U2302),IF(OR(NOT(COUNTIF('商品マスタ'!$B$6:$B$1005,$W2303)=0),COUNTIFS('①在庫を貼る'!$V$6:$V$10005,$V2303,'①在庫を貼る'!$W$6:$W$10005,$W2303)+COUNTIFS('月1回_1ヶ月前の在庫'!$V$6:$V$10005,$V2303,'月1回_1ヶ月前の在庫'!$W$6:$W$10005,$W2303)&gt;0),N(U2302),N(U2302)+1))</f>
        <v/>
      </c>
      <c r="V2303" s="19">
        <f>IF($B2303="","",TEXT($B2303,"0000"))</f>
        <v/>
      </c>
      <c r="W2303" s="19">
        <f>IF($I2303="","",IF(ISNUMBER($I2303),TEXT($I2303,"0"),$I2303))</f>
        <v/>
      </c>
    </row>
    <row r="2304">
      <c r="B2304" s="25" t="n"/>
      <c r="I2304" s="25" t="n"/>
      <c r="U2304" s="19">
        <f>IF($V2304&lt;&gt;'設定'!$C$4,N(U2303),IF(OR(NOT(COUNTIF('商品マスタ'!$B$6:$B$1005,$W2304)=0),COUNTIFS('①在庫を貼る'!$V$6:$V$10005,$V2304,'①在庫を貼る'!$W$6:$W$10005,$W2304)+COUNTIFS('月1回_1ヶ月前の在庫'!$V$6:$V$10005,$V2304,'月1回_1ヶ月前の在庫'!$W$6:$W$10005,$W2304)&gt;0),N(U2303),N(U2303)+1))</f>
        <v/>
      </c>
      <c r="V2304" s="19">
        <f>IF($B2304="","",TEXT($B2304,"0000"))</f>
        <v/>
      </c>
      <c r="W2304" s="19">
        <f>IF($I2304="","",IF(ISNUMBER($I2304),TEXT($I2304,"0"),$I2304))</f>
        <v/>
      </c>
    </row>
    <row r="2305">
      <c r="B2305" s="25" t="n"/>
      <c r="I2305" s="25" t="n"/>
      <c r="U2305" s="19">
        <f>IF($V2305&lt;&gt;'設定'!$C$4,N(U2304),IF(OR(NOT(COUNTIF('商品マスタ'!$B$6:$B$1005,$W2305)=0),COUNTIFS('①在庫を貼る'!$V$6:$V$10005,$V2305,'①在庫を貼る'!$W$6:$W$10005,$W2305)+COUNTIFS('月1回_1ヶ月前の在庫'!$V$6:$V$10005,$V2305,'月1回_1ヶ月前の在庫'!$W$6:$W$10005,$W2305)&gt;0),N(U2304),N(U2304)+1))</f>
        <v/>
      </c>
      <c r="V2305" s="19">
        <f>IF($B2305="","",TEXT($B2305,"0000"))</f>
        <v/>
      </c>
      <c r="W2305" s="19">
        <f>IF($I2305="","",IF(ISNUMBER($I2305),TEXT($I2305,"0"),$I2305))</f>
        <v/>
      </c>
    </row>
    <row r="2306">
      <c r="B2306" s="25" t="n"/>
      <c r="I2306" s="25" t="n"/>
      <c r="U2306" s="19">
        <f>IF($V2306&lt;&gt;'設定'!$C$4,N(U2305),IF(OR(NOT(COUNTIF('商品マスタ'!$B$6:$B$1005,$W2306)=0),COUNTIFS('①在庫を貼る'!$V$6:$V$10005,$V2306,'①在庫を貼る'!$W$6:$W$10005,$W2306)+COUNTIFS('月1回_1ヶ月前の在庫'!$V$6:$V$10005,$V2306,'月1回_1ヶ月前の在庫'!$W$6:$W$10005,$W2306)&gt;0),N(U2305),N(U2305)+1))</f>
        <v/>
      </c>
      <c r="V2306" s="19">
        <f>IF($B2306="","",TEXT($B2306,"0000"))</f>
        <v/>
      </c>
      <c r="W2306" s="19">
        <f>IF($I2306="","",IF(ISNUMBER($I2306),TEXT($I2306,"0"),$I2306))</f>
        <v/>
      </c>
    </row>
    <row r="2307">
      <c r="B2307" s="25" t="n"/>
      <c r="I2307" s="25" t="n"/>
      <c r="U2307" s="19">
        <f>IF($V2307&lt;&gt;'設定'!$C$4,N(U2306),IF(OR(NOT(COUNTIF('商品マスタ'!$B$6:$B$1005,$W2307)=0),COUNTIFS('①在庫を貼る'!$V$6:$V$10005,$V2307,'①在庫を貼る'!$W$6:$W$10005,$W2307)+COUNTIFS('月1回_1ヶ月前の在庫'!$V$6:$V$10005,$V2307,'月1回_1ヶ月前の在庫'!$W$6:$W$10005,$W2307)&gt;0),N(U2306),N(U2306)+1))</f>
        <v/>
      </c>
      <c r="V2307" s="19">
        <f>IF($B2307="","",TEXT($B2307,"0000"))</f>
        <v/>
      </c>
      <c r="W2307" s="19">
        <f>IF($I2307="","",IF(ISNUMBER($I2307),TEXT($I2307,"0"),$I2307))</f>
        <v/>
      </c>
    </row>
    <row r="2308">
      <c r="B2308" s="25" t="n"/>
      <c r="I2308" s="25" t="n"/>
      <c r="U2308" s="19">
        <f>IF($V2308&lt;&gt;'設定'!$C$4,N(U2307),IF(OR(NOT(COUNTIF('商品マスタ'!$B$6:$B$1005,$W2308)=0),COUNTIFS('①在庫を貼る'!$V$6:$V$10005,$V2308,'①在庫を貼る'!$W$6:$W$10005,$W2308)+COUNTIFS('月1回_1ヶ月前の在庫'!$V$6:$V$10005,$V2308,'月1回_1ヶ月前の在庫'!$W$6:$W$10005,$W2308)&gt;0),N(U2307),N(U2307)+1))</f>
        <v/>
      </c>
      <c r="V2308" s="19">
        <f>IF($B2308="","",TEXT($B2308,"0000"))</f>
        <v/>
      </c>
      <c r="W2308" s="19">
        <f>IF($I2308="","",IF(ISNUMBER($I2308),TEXT($I2308,"0"),$I2308))</f>
        <v/>
      </c>
    </row>
    <row r="2309">
      <c r="B2309" s="25" t="n"/>
      <c r="I2309" s="25" t="n"/>
      <c r="U2309" s="19">
        <f>IF($V2309&lt;&gt;'設定'!$C$4,N(U2308),IF(OR(NOT(COUNTIF('商品マスタ'!$B$6:$B$1005,$W2309)=0),COUNTIFS('①在庫を貼る'!$V$6:$V$10005,$V2309,'①在庫を貼る'!$W$6:$W$10005,$W2309)+COUNTIFS('月1回_1ヶ月前の在庫'!$V$6:$V$10005,$V2309,'月1回_1ヶ月前の在庫'!$W$6:$W$10005,$W2309)&gt;0),N(U2308),N(U2308)+1))</f>
        <v/>
      </c>
      <c r="V2309" s="19">
        <f>IF($B2309="","",TEXT($B2309,"0000"))</f>
        <v/>
      </c>
      <c r="W2309" s="19">
        <f>IF($I2309="","",IF(ISNUMBER($I2309),TEXT($I2309,"0"),$I2309))</f>
        <v/>
      </c>
    </row>
    <row r="2310">
      <c r="B2310" s="25" t="n"/>
      <c r="I2310" s="25" t="n"/>
      <c r="U2310" s="19">
        <f>IF($V2310&lt;&gt;'設定'!$C$4,N(U2309),IF(OR(NOT(COUNTIF('商品マスタ'!$B$6:$B$1005,$W2310)=0),COUNTIFS('①在庫を貼る'!$V$6:$V$10005,$V2310,'①在庫を貼る'!$W$6:$W$10005,$W2310)+COUNTIFS('月1回_1ヶ月前の在庫'!$V$6:$V$10005,$V2310,'月1回_1ヶ月前の在庫'!$W$6:$W$10005,$W2310)&gt;0),N(U2309),N(U2309)+1))</f>
        <v/>
      </c>
      <c r="V2310" s="19">
        <f>IF($B2310="","",TEXT($B2310,"0000"))</f>
        <v/>
      </c>
      <c r="W2310" s="19">
        <f>IF($I2310="","",IF(ISNUMBER($I2310),TEXT($I2310,"0"),$I2310))</f>
        <v/>
      </c>
    </row>
    <row r="2311">
      <c r="B2311" s="25" t="n"/>
      <c r="I2311" s="25" t="n"/>
      <c r="U2311" s="19">
        <f>IF($V2311&lt;&gt;'設定'!$C$4,N(U2310),IF(OR(NOT(COUNTIF('商品マスタ'!$B$6:$B$1005,$W2311)=0),COUNTIFS('①在庫を貼る'!$V$6:$V$10005,$V2311,'①在庫を貼る'!$W$6:$W$10005,$W2311)+COUNTIFS('月1回_1ヶ月前の在庫'!$V$6:$V$10005,$V2311,'月1回_1ヶ月前の在庫'!$W$6:$W$10005,$W2311)&gt;0),N(U2310),N(U2310)+1))</f>
        <v/>
      </c>
      <c r="V2311" s="19">
        <f>IF($B2311="","",TEXT($B2311,"0000"))</f>
        <v/>
      </c>
      <c r="W2311" s="19">
        <f>IF($I2311="","",IF(ISNUMBER($I2311),TEXT($I2311,"0"),$I2311))</f>
        <v/>
      </c>
    </row>
    <row r="2312">
      <c r="B2312" s="25" t="n"/>
      <c r="I2312" s="25" t="n"/>
      <c r="U2312" s="19">
        <f>IF($V2312&lt;&gt;'設定'!$C$4,N(U2311),IF(OR(NOT(COUNTIF('商品マスタ'!$B$6:$B$1005,$W2312)=0),COUNTIFS('①在庫を貼る'!$V$6:$V$10005,$V2312,'①在庫を貼る'!$W$6:$W$10005,$W2312)+COUNTIFS('月1回_1ヶ月前の在庫'!$V$6:$V$10005,$V2312,'月1回_1ヶ月前の在庫'!$W$6:$W$10005,$W2312)&gt;0),N(U2311),N(U2311)+1))</f>
        <v/>
      </c>
      <c r="V2312" s="19">
        <f>IF($B2312="","",TEXT($B2312,"0000"))</f>
        <v/>
      </c>
      <c r="W2312" s="19">
        <f>IF($I2312="","",IF(ISNUMBER($I2312),TEXT($I2312,"0"),$I2312))</f>
        <v/>
      </c>
    </row>
    <row r="2313">
      <c r="B2313" s="25" t="n"/>
      <c r="I2313" s="25" t="n"/>
      <c r="U2313" s="19">
        <f>IF($V2313&lt;&gt;'設定'!$C$4,N(U2312),IF(OR(NOT(COUNTIF('商品マスタ'!$B$6:$B$1005,$W2313)=0),COUNTIFS('①在庫を貼る'!$V$6:$V$10005,$V2313,'①在庫を貼る'!$W$6:$W$10005,$W2313)+COUNTIFS('月1回_1ヶ月前の在庫'!$V$6:$V$10005,$V2313,'月1回_1ヶ月前の在庫'!$W$6:$W$10005,$W2313)&gt;0),N(U2312),N(U2312)+1))</f>
        <v/>
      </c>
      <c r="V2313" s="19">
        <f>IF($B2313="","",TEXT($B2313,"0000"))</f>
        <v/>
      </c>
      <c r="W2313" s="19">
        <f>IF($I2313="","",IF(ISNUMBER($I2313),TEXT($I2313,"0"),$I2313))</f>
        <v/>
      </c>
    </row>
    <row r="2314">
      <c r="B2314" s="25" t="n"/>
      <c r="I2314" s="25" t="n"/>
      <c r="U2314" s="19">
        <f>IF($V2314&lt;&gt;'設定'!$C$4,N(U2313),IF(OR(NOT(COUNTIF('商品マスタ'!$B$6:$B$1005,$W2314)=0),COUNTIFS('①在庫を貼る'!$V$6:$V$10005,$V2314,'①在庫を貼る'!$W$6:$W$10005,$W2314)+COUNTIFS('月1回_1ヶ月前の在庫'!$V$6:$V$10005,$V2314,'月1回_1ヶ月前の在庫'!$W$6:$W$10005,$W2314)&gt;0),N(U2313),N(U2313)+1))</f>
        <v/>
      </c>
      <c r="V2314" s="19">
        <f>IF($B2314="","",TEXT($B2314,"0000"))</f>
        <v/>
      </c>
      <c r="W2314" s="19">
        <f>IF($I2314="","",IF(ISNUMBER($I2314),TEXT($I2314,"0"),$I2314))</f>
        <v/>
      </c>
    </row>
    <row r="2315">
      <c r="B2315" s="25" t="n"/>
      <c r="I2315" s="25" t="n"/>
      <c r="U2315" s="19">
        <f>IF($V2315&lt;&gt;'設定'!$C$4,N(U2314),IF(OR(NOT(COUNTIF('商品マスタ'!$B$6:$B$1005,$W2315)=0),COUNTIFS('①在庫を貼る'!$V$6:$V$10005,$V2315,'①在庫を貼る'!$W$6:$W$10005,$W2315)+COUNTIFS('月1回_1ヶ月前の在庫'!$V$6:$V$10005,$V2315,'月1回_1ヶ月前の在庫'!$W$6:$W$10005,$W2315)&gt;0),N(U2314),N(U2314)+1))</f>
        <v/>
      </c>
      <c r="V2315" s="19">
        <f>IF($B2315="","",TEXT($B2315,"0000"))</f>
        <v/>
      </c>
      <c r="W2315" s="19">
        <f>IF($I2315="","",IF(ISNUMBER($I2315),TEXT($I2315,"0"),$I2315))</f>
        <v/>
      </c>
    </row>
    <row r="2316">
      <c r="B2316" s="25" t="n"/>
      <c r="I2316" s="25" t="n"/>
      <c r="U2316" s="19">
        <f>IF($V2316&lt;&gt;'設定'!$C$4,N(U2315),IF(OR(NOT(COUNTIF('商品マスタ'!$B$6:$B$1005,$W2316)=0),COUNTIFS('①在庫を貼る'!$V$6:$V$10005,$V2316,'①在庫を貼る'!$W$6:$W$10005,$W2316)+COUNTIFS('月1回_1ヶ月前の在庫'!$V$6:$V$10005,$V2316,'月1回_1ヶ月前の在庫'!$W$6:$W$10005,$W2316)&gt;0),N(U2315),N(U2315)+1))</f>
        <v/>
      </c>
      <c r="V2316" s="19">
        <f>IF($B2316="","",TEXT($B2316,"0000"))</f>
        <v/>
      </c>
      <c r="W2316" s="19">
        <f>IF($I2316="","",IF(ISNUMBER($I2316),TEXT($I2316,"0"),$I2316))</f>
        <v/>
      </c>
    </row>
    <row r="2317">
      <c r="B2317" s="25" t="n"/>
      <c r="I2317" s="25" t="n"/>
      <c r="U2317" s="19">
        <f>IF($V2317&lt;&gt;'設定'!$C$4,N(U2316),IF(OR(NOT(COUNTIF('商品マスタ'!$B$6:$B$1005,$W2317)=0),COUNTIFS('①在庫を貼る'!$V$6:$V$10005,$V2317,'①在庫を貼る'!$W$6:$W$10005,$W2317)+COUNTIFS('月1回_1ヶ月前の在庫'!$V$6:$V$10005,$V2317,'月1回_1ヶ月前の在庫'!$W$6:$W$10005,$W2317)&gt;0),N(U2316),N(U2316)+1))</f>
        <v/>
      </c>
      <c r="V2317" s="19">
        <f>IF($B2317="","",TEXT($B2317,"0000"))</f>
        <v/>
      </c>
      <c r="W2317" s="19">
        <f>IF($I2317="","",IF(ISNUMBER($I2317),TEXT($I2317,"0"),$I2317))</f>
        <v/>
      </c>
    </row>
    <row r="2318">
      <c r="B2318" s="25" t="n"/>
      <c r="I2318" s="25" t="n"/>
      <c r="U2318" s="19">
        <f>IF($V2318&lt;&gt;'設定'!$C$4,N(U2317),IF(OR(NOT(COUNTIF('商品マスタ'!$B$6:$B$1005,$W2318)=0),COUNTIFS('①在庫を貼る'!$V$6:$V$10005,$V2318,'①在庫を貼る'!$W$6:$W$10005,$W2318)+COUNTIFS('月1回_1ヶ月前の在庫'!$V$6:$V$10005,$V2318,'月1回_1ヶ月前の在庫'!$W$6:$W$10005,$W2318)&gt;0),N(U2317),N(U2317)+1))</f>
        <v/>
      </c>
      <c r="V2318" s="19">
        <f>IF($B2318="","",TEXT($B2318,"0000"))</f>
        <v/>
      </c>
      <c r="W2318" s="19">
        <f>IF($I2318="","",IF(ISNUMBER($I2318),TEXT($I2318,"0"),$I2318))</f>
        <v/>
      </c>
    </row>
    <row r="2319">
      <c r="B2319" s="25" t="n"/>
      <c r="I2319" s="25" t="n"/>
      <c r="U2319" s="19">
        <f>IF($V2319&lt;&gt;'設定'!$C$4,N(U2318),IF(OR(NOT(COUNTIF('商品マスタ'!$B$6:$B$1005,$W2319)=0),COUNTIFS('①在庫を貼る'!$V$6:$V$10005,$V2319,'①在庫を貼る'!$W$6:$W$10005,$W2319)+COUNTIFS('月1回_1ヶ月前の在庫'!$V$6:$V$10005,$V2319,'月1回_1ヶ月前の在庫'!$W$6:$W$10005,$W2319)&gt;0),N(U2318),N(U2318)+1))</f>
        <v/>
      </c>
      <c r="V2319" s="19">
        <f>IF($B2319="","",TEXT($B2319,"0000"))</f>
        <v/>
      </c>
      <c r="W2319" s="19">
        <f>IF($I2319="","",IF(ISNUMBER($I2319),TEXT($I2319,"0"),$I2319))</f>
        <v/>
      </c>
    </row>
    <row r="2320">
      <c r="B2320" s="25" t="n"/>
      <c r="I2320" s="25" t="n"/>
      <c r="U2320" s="19">
        <f>IF($V2320&lt;&gt;'設定'!$C$4,N(U2319),IF(OR(NOT(COUNTIF('商品マスタ'!$B$6:$B$1005,$W2320)=0),COUNTIFS('①在庫を貼る'!$V$6:$V$10005,$V2320,'①在庫を貼る'!$W$6:$W$10005,$W2320)+COUNTIFS('月1回_1ヶ月前の在庫'!$V$6:$V$10005,$V2320,'月1回_1ヶ月前の在庫'!$W$6:$W$10005,$W2320)&gt;0),N(U2319),N(U2319)+1))</f>
        <v/>
      </c>
      <c r="V2320" s="19">
        <f>IF($B2320="","",TEXT($B2320,"0000"))</f>
        <v/>
      </c>
      <c r="W2320" s="19">
        <f>IF($I2320="","",IF(ISNUMBER($I2320),TEXT($I2320,"0"),$I2320))</f>
        <v/>
      </c>
    </row>
    <row r="2321">
      <c r="B2321" s="25" t="n"/>
      <c r="I2321" s="25" t="n"/>
      <c r="U2321" s="19">
        <f>IF($V2321&lt;&gt;'設定'!$C$4,N(U2320),IF(OR(NOT(COUNTIF('商品マスタ'!$B$6:$B$1005,$W2321)=0),COUNTIFS('①在庫を貼る'!$V$6:$V$10005,$V2321,'①在庫を貼る'!$W$6:$W$10005,$W2321)+COUNTIFS('月1回_1ヶ月前の在庫'!$V$6:$V$10005,$V2321,'月1回_1ヶ月前の在庫'!$W$6:$W$10005,$W2321)&gt;0),N(U2320),N(U2320)+1))</f>
        <v/>
      </c>
      <c r="V2321" s="19">
        <f>IF($B2321="","",TEXT($B2321,"0000"))</f>
        <v/>
      </c>
      <c r="W2321" s="19">
        <f>IF($I2321="","",IF(ISNUMBER($I2321),TEXT($I2321,"0"),$I2321))</f>
        <v/>
      </c>
    </row>
    <row r="2322">
      <c r="B2322" s="25" t="n"/>
      <c r="I2322" s="25" t="n"/>
      <c r="U2322" s="19">
        <f>IF($V2322&lt;&gt;'設定'!$C$4,N(U2321),IF(OR(NOT(COUNTIF('商品マスタ'!$B$6:$B$1005,$W2322)=0),COUNTIFS('①在庫を貼る'!$V$6:$V$10005,$V2322,'①在庫を貼る'!$W$6:$W$10005,$W2322)+COUNTIFS('月1回_1ヶ月前の在庫'!$V$6:$V$10005,$V2322,'月1回_1ヶ月前の在庫'!$W$6:$W$10005,$W2322)&gt;0),N(U2321),N(U2321)+1))</f>
        <v/>
      </c>
      <c r="V2322" s="19">
        <f>IF($B2322="","",TEXT($B2322,"0000"))</f>
        <v/>
      </c>
      <c r="W2322" s="19">
        <f>IF($I2322="","",IF(ISNUMBER($I2322),TEXT($I2322,"0"),$I2322))</f>
        <v/>
      </c>
    </row>
    <row r="2323">
      <c r="B2323" s="25" t="n"/>
      <c r="I2323" s="25" t="n"/>
      <c r="U2323" s="19">
        <f>IF($V2323&lt;&gt;'設定'!$C$4,N(U2322),IF(OR(NOT(COUNTIF('商品マスタ'!$B$6:$B$1005,$W2323)=0),COUNTIFS('①在庫を貼る'!$V$6:$V$10005,$V2323,'①在庫を貼る'!$W$6:$W$10005,$W2323)+COUNTIFS('月1回_1ヶ月前の在庫'!$V$6:$V$10005,$V2323,'月1回_1ヶ月前の在庫'!$W$6:$W$10005,$W2323)&gt;0),N(U2322),N(U2322)+1))</f>
        <v/>
      </c>
      <c r="V2323" s="19">
        <f>IF($B2323="","",TEXT($B2323,"0000"))</f>
        <v/>
      </c>
      <c r="W2323" s="19">
        <f>IF($I2323="","",IF(ISNUMBER($I2323),TEXT($I2323,"0"),$I2323))</f>
        <v/>
      </c>
    </row>
    <row r="2324">
      <c r="B2324" s="25" t="n"/>
      <c r="I2324" s="25" t="n"/>
      <c r="U2324" s="19">
        <f>IF($V2324&lt;&gt;'設定'!$C$4,N(U2323),IF(OR(NOT(COUNTIF('商品マスタ'!$B$6:$B$1005,$W2324)=0),COUNTIFS('①在庫を貼る'!$V$6:$V$10005,$V2324,'①在庫を貼る'!$W$6:$W$10005,$W2324)+COUNTIFS('月1回_1ヶ月前の在庫'!$V$6:$V$10005,$V2324,'月1回_1ヶ月前の在庫'!$W$6:$W$10005,$W2324)&gt;0),N(U2323),N(U2323)+1))</f>
        <v/>
      </c>
      <c r="V2324" s="19">
        <f>IF($B2324="","",TEXT($B2324,"0000"))</f>
        <v/>
      </c>
      <c r="W2324" s="19">
        <f>IF($I2324="","",IF(ISNUMBER($I2324),TEXT($I2324,"0"),$I2324))</f>
        <v/>
      </c>
    </row>
    <row r="2325">
      <c r="B2325" s="25" t="n"/>
      <c r="I2325" s="25" t="n"/>
      <c r="U2325" s="19">
        <f>IF($V2325&lt;&gt;'設定'!$C$4,N(U2324),IF(OR(NOT(COUNTIF('商品マスタ'!$B$6:$B$1005,$W2325)=0),COUNTIFS('①在庫を貼る'!$V$6:$V$10005,$V2325,'①在庫を貼る'!$W$6:$W$10005,$W2325)+COUNTIFS('月1回_1ヶ月前の在庫'!$V$6:$V$10005,$V2325,'月1回_1ヶ月前の在庫'!$W$6:$W$10005,$W2325)&gt;0),N(U2324),N(U2324)+1))</f>
        <v/>
      </c>
      <c r="V2325" s="19">
        <f>IF($B2325="","",TEXT($B2325,"0000"))</f>
        <v/>
      </c>
      <c r="W2325" s="19">
        <f>IF($I2325="","",IF(ISNUMBER($I2325),TEXT($I2325,"0"),$I2325))</f>
        <v/>
      </c>
    </row>
    <row r="2326">
      <c r="B2326" s="25" t="n"/>
      <c r="I2326" s="25" t="n"/>
      <c r="U2326" s="19">
        <f>IF($V2326&lt;&gt;'設定'!$C$4,N(U2325),IF(OR(NOT(COUNTIF('商品マスタ'!$B$6:$B$1005,$W2326)=0),COUNTIFS('①在庫を貼る'!$V$6:$V$10005,$V2326,'①在庫を貼る'!$W$6:$W$10005,$W2326)+COUNTIFS('月1回_1ヶ月前の在庫'!$V$6:$V$10005,$V2326,'月1回_1ヶ月前の在庫'!$W$6:$W$10005,$W2326)&gt;0),N(U2325),N(U2325)+1))</f>
        <v/>
      </c>
      <c r="V2326" s="19">
        <f>IF($B2326="","",TEXT($B2326,"0000"))</f>
        <v/>
      </c>
      <c r="W2326" s="19">
        <f>IF($I2326="","",IF(ISNUMBER($I2326),TEXT($I2326,"0"),$I2326))</f>
        <v/>
      </c>
    </row>
    <row r="2327">
      <c r="B2327" s="25" t="n"/>
      <c r="I2327" s="25" t="n"/>
      <c r="U2327" s="19">
        <f>IF($V2327&lt;&gt;'設定'!$C$4,N(U2326),IF(OR(NOT(COUNTIF('商品マスタ'!$B$6:$B$1005,$W2327)=0),COUNTIFS('①在庫を貼る'!$V$6:$V$10005,$V2327,'①在庫を貼る'!$W$6:$W$10005,$W2327)+COUNTIFS('月1回_1ヶ月前の在庫'!$V$6:$V$10005,$V2327,'月1回_1ヶ月前の在庫'!$W$6:$W$10005,$W2327)&gt;0),N(U2326),N(U2326)+1))</f>
        <v/>
      </c>
      <c r="V2327" s="19">
        <f>IF($B2327="","",TEXT($B2327,"0000"))</f>
        <v/>
      </c>
      <c r="W2327" s="19">
        <f>IF($I2327="","",IF(ISNUMBER($I2327),TEXT($I2327,"0"),$I2327))</f>
        <v/>
      </c>
    </row>
    <row r="2328">
      <c r="B2328" s="25" t="n"/>
      <c r="I2328" s="25" t="n"/>
      <c r="U2328" s="19">
        <f>IF($V2328&lt;&gt;'設定'!$C$4,N(U2327),IF(OR(NOT(COUNTIF('商品マスタ'!$B$6:$B$1005,$W2328)=0),COUNTIFS('①在庫を貼る'!$V$6:$V$10005,$V2328,'①在庫を貼る'!$W$6:$W$10005,$W2328)+COUNTIFS('月1回_1ヶ月前の在庫'!$V$6:$V$10005,$V2328,'月1回_1ヶ月前の在庫'!$W$6:$W$10005,$W2328)&gt;0),N(U2327),N(U2327)+1))</f>
        <v/>
      </c>
      <c r="V2328" s="19">
        <f>IF($B2328="","",TEXT($B2328,"0000"))</f>
        <v/>
      </c>
      <c r="W2328" s="19">
        <f>IF($I2328="","",IF(ISNUMBER($I2328),TEXT($I2328,"0"),$I2328))</f>
        <v/>
      </c>
    </row>
    <row r="2329">
      <c r="B2329" s="25" t="n"/>
      <c r="I2329" s="25" t="n"/>
      <c r="U2329" s="19">
        <f>IF($V2329&lt;&gt;'設定'!$C$4,N(U2328),IF(OR(NOT(COUNTIF('商品マスタ'!$B$6:$B$1005,$W2329)=0),COUNTIFS('①在庫を貼る'!$V$6:$V$10005,$V2329,'①在庫を貼る'!$W$6:$W$10005,$W2329)+COUNTIFS('月1回_1ヶ月前の在庫'!$V$6:$V$10005,$V2329,'月1回_1ヶ月前の在庫'!$W$6:$W$10005,$W2329)&gt;0),N(U2328),N(U2328)+1))</f>
        <v/>
      </c>
      <c r="V2329" s="19">
        <f>IF($B2329="","",TEXT($B2329,"0000"))</f>
        <v/>
      </c>
      <c r="W2329" s="19">
        <f>IF($I2329="","",IF(ISNUMBER($I2329),TEXT($I2329,"0"),$I2329))</f>
        <v/>
      </c>
    </row>
    <row r="2330">
      <c r="B2330" s="25" t="n"/>
      <c r="I2330" s="25" t="n"/>
      <c r="U2330" s="19">
        <f>IF($V2330&lt;&gt;'設定'!$C$4,N(U2329),IF(OR(NOT(COUNTIF('商品マスタ'!$B$6:$B$1005,$W2330)=0),COUNTIFS('①在庫を貼る'!$V$6:$V$10005,$V2330,'①在庫を貼る'!$W$6:$W$10005,$W2330)+COUNTIFS('月1回_1ヶ月前の在庫'!$V$6:$V$10005,$V2330,'月1回_1ヶ月前の在庫'!$W$6:$W$10005,$W2330)&gt;0),N(U2329),N(U2329)+1))</f>
        <v/>
      </c>
      <c r="V2330" s="19">
        <f>IF($B2330="","",TEXT($B2330,"0000"))</f>
        <v/>
      </c>
      <c r="W2330" s="19">
        <f>IF($I2330="","",IF(ISNUMBER($I2330),TEXT($I2330,"0"),$I2330))</f>
        <v/>
      </c>
    </row>
    <row r="2331">
      <c r="B2331" s="25" t="n"/>
      <c r="I2331" s="25" t="n"/>
      <c r="U2331" s="19">
        <f>IF($V2331&lt;&gt;'設定'!$C$4,N(U2330),IF(OR(NOT(COUNTIF('商品マスタ'!$B$6:$B$1005,$W2331)=0),COUNTIFS('①在庫を貼る'!$V$6:$V$10005,$V2331,'①在庫を貼る'!$W$6:$W$10005,$W2331)+COUNTIFS('月1回_1ヶ月前の在庫'!$V$6:$V$10005,$V2331,'月1回_1ヶ月前の在庫'!$W$6:$W$10005,$W2331)&gt;0),N(U2330),N(U2330)+1))</f>
        <v/>
      </c>
      <c r="V2331" s="19">
        <f>IF($B2331="","",TEXT($B2331,"0000"))</f>
        <v/>
      </c>
      <c r="W2331" s="19">
        <f>IF($I2331="","",IF(ISNUMBER($I2331),TEXT($I2331,"0"),$I2331))</f>
        <v/>
      </c>
    </row>
    <row r="2332">
      <c r="B2332" s="25" t="n"/>
      <c r="I2332" s="25" t="n"/>
      <c r="U2332" s="19">
        <f>IF($V2332&lt;&gt;'設定'!$C$4,N(U2331),IF(OR(NOT(COUNTIF('商品マスタ'!$B$6:$B$1005,$W2332)=0),COUNTIFS('①在庫を貼る'!$V$6:$V$10005,$V2332,'①在庫を貼る'!$W$6:$W$10005,$W2332)+COUNTIFS('月1回_1ヶ月前の在庫'!$V$6:$V$10005,$V2332,'月1回_1ヶ月前の在庫'!$W$6:$W$10005,$W2332)&gt;0),N(U2331),N(U2331)+1))</f>
        <v/>
      </c>
      <c r="V2332" s="19">
        <f>IF($B2332="","",TEXT($B2332,"0000"))</f>
        <v/>
      </c>
      <c r="W2332" s="19">
        <f>IF($I2332="","",IF(ISNUMBER($I2332),TEXT($I2332,"0"),$I2332))</f>
        <v/>
      </c>
    </row>
    <row r="2333">
      <c r="B2333" s="25" t="n"/>
      <c r="I2333" s="25" t="n"/>
      <c r="U2333" s="19">
        <f>IF($V2333&lt;&gt;'設定'!$C$4,N(U2332),IF(OR(NOT(COUNTIF('商品マスタ'!$B$6:$B$1005,$W2333)=0),COUNTIFS('①在庫を貼る'!$V$6:$V$10005,$V2333,'①在庫を貼る'!$W$6:$W$10005,$W2333)+COUNTIFS('月1回_1ヶ月前の在庫'!$V$6:$V$10005,$V2333,'月1回_1ヶ月前の在庫'!$W$6:$W$10005,$W2333)&gt;0),N(U2332),N(U2332)+1))</f>
        <v/>
      </c>
      <c r="V2333" s="19">
        <f>IF($B2333="","",TEXT($B2333,"0000"))</f>
        <v/>
      </c>
      <c r="W2333" s="19">
        <f>IF($I2333="","",IF(ISNUMBER($I2333),TEXT($I2333,"0"),$I2333))</f>
        <v/>
      </c>
    </row>
    <row r="2334">
      <c r="B2334" s="25" t="n"/>
      <c r="I2334" s="25" t="n"/>
      <c r="U2334" s="19">
        <f>IF($V2334&lt;&gt;'設定'!$C$4,N(U2333),IF(OR(NOT(COUNTIF('商品マスタ'!$B$6:$B$1005,$W2334)=0),COUNTIFS('①在庫を貼る'!$V$6:$V$10005,$V2334,'①在庫を貼る'!$W$6:$W$10005,$W2334)+COUNTIFS('月1回_1ヶ月前の在庫'!$V$6:$V$10005,$V2334,'月1回_1ヶ月前の在庫'!$W$6:$W$10005,$W2334)&gt;0),N(U2333),N(U2333)+1))</f>
        <v/>
      </c>
      <c r="V2334" s="19">
        <f>IF($B2334="","",TEXT($B2334,"0000"))</f>
        <v/>
      </c>
      <c r="W2334" s="19">
        <f>IF($I2334="","",IF(ISNUMBER($I2334),TEXT($I2334,"0"),$I2334))</f>
        <v/>
      </c>
    </row>
    <row r="2335">
      <c r="B2335" s="25" t="n"/>
      <c r="I2335" s="25" t="n"/>
      <c r="U2335" s="19">
        <f>IF($V2335&lt;&gt;'設定'!$C$4,N(U2334),IF(OR(NOT(COUNTIF('商品マスタ'!$B$6:$B$1005,$W2335)=0),COUNTIFS('①在庫を貼る'!$V$6:$V$10005,$V2335,'①在庫を貼る'!$W$6:$W$10005,$W2335)+COUNTIFS('月1回_1ヶ月前の在庫'!$V$6:$V$10005,$V2335,'月1回_1ヶ月前の在庫'!$W$6:$W$10005,$W2335)&gt;0),N(U2334),N(U2334)+1))</f>
        <v/>
      </c>
      <c r="V2335" s="19">
        <f>IF($B2335="","",TEXT($B2335,"0000"))</f>
        <v/>
      </c>
      <c r="W2335" s="19">
        <f>IF($I2335="","",IF(ISNUMBER($I2335),TEXT($I2335,"0"),$I2335))</f>
        <v/>
      </c>
    </row>
    <row r="2336">
      <c r="B2336" s="25" t="n"/>
      <c r="I2336" s="25" t="n"/>
      <c r="U2336" s="19">
        <f>IF($V2336&lt;&gt;'設定'!$C$4,N(U2335),IF(OR(NOT(COUNTIF('商品マスタ'!$B$6:$B$1005,$W2336)=0),COUNTIFS('①在庫を貼る'!$V$6:$V$10005,$V2336,'①在庫を貼る'!$W$6:$W$10005,$W2336)+COUNTIFS('月1回_1ヶ月前の在庫'!$V$6:$V$10005,$V2336,'月1回_1ヶ月前の在庫'!$W$6:$W$10005,$W2336)&gt;0),N(U2335),N(U2335)+1))</f>
        <v/>
      </c>
      <c r="V2336" s="19">
        <f>IF($B2336="","",TEXT($B2336,"0000"))</f>
        <v/>
      </c>
      <c r="W2336" s="19">
        <f>IF($I2336="","",IF(ISNUMBER($I2336),TEXT($I2336,"0"),$I2336))</f>
        <v/>
      </c>
    </row>
    <row r="2337">
      <c r="B2337" s="25" t="n"/>
      <c r="I2337" s="25" t="n"/>
      <c r="U2337" s="19">
        <f>IF($V2337&lt;&gt;'設定'!$C$4,N(U2336),IF(OR(NOT(COUNTIF('商品マスタ'!$B$6:$B$1005,$W2337)=0),COUNTIFS('①在庫を貼る'!$V$6:$V$10005,$V2337,'①在庫を貼る'!$W$6:$W$10005,$W2337)+COUNTIFS('月1回_1ヶ月前の在庫'!$V$6:$V$10005,$V2337,'月1回_1ヶ月前の在庫'!$W$6:$W$10005,$W2337)&gt;0),N(U2336),N(U2336)+1))</f>
        <v/>
      </c>
      <c r="V2337" s="19">
        <f>IF($B2337="","",TEXT($B2337,"0000"))</f>
        <v/>
      </c>
      <c r="W2337" s="19">
        <f>IF($I2337="","",IF(ISNUMBER($I2337),TEXT($I2337,"0"),$I2337))</f>
        <v/>
      </c>
    </row>
    <row r="2338">
      <c r="B2338" s="25" t="n"/>
      <c r="I2338" s="25" t="n"/>
      <c r="U2338" s="19">
        <f>IF($V2338&lt;&gt;'設定'!$C$4,N(U2337),IF(OR(NOT(COUNTIF('商品マスタ'!$B$6:$B$1005,$W2338)=0),COUNTIFS('①在庫を貼る'!$V$6:$V$10005,$V2338,'①在庫を貼る'!$W$6:$W$10005,$W2338)+COUNTIFS('月1回_1ヶ月前の在庫'!$V$6:$V$10005,$V2338,'月1回_1ヶ月前の在庫'!$W$6:$W$10005,$W2338)&gt;0),N(U2337),N(U2337)+1))</f>
        <v/>
      </c>
      <c r="V2338" s="19">
        <f>IF($B2338="","",TEXT($B2338,"0000"))</f>
        <v/>
      </c>
      <c r="W2338" s="19">
        <f>IF($I2338="","",IF(ISNUMBER($I2338),TEXT($I2338,"0"),$I2338))</f>
        <v/>
      </c>
    </row>
    <row r="2339">
      <c r="B2339" s="25" t="n"/>
      <c r="I2339" s="25" t="n"/>
      <c r="U2339" s="19">
        <f>IF($V2339&lt;&gt;'設定'!$C$4,N(U2338),IF(OR(NOT(COUNTIF('商品マスタ'!$B$6:$B$1005,$W2339)=0),COUNTIFS('①在庫を貼る'!$V$6:$V$10005,$V2339,'①在庫を貼る'!$W$6:$W$10005,$W2339)+COUNTIFS('月1回_1ヶ月前の在庫'!$V$6:$V$10005,$V2339,'月1回_1ヶ月前の在庫'!$W$6:$W$10005,$W2339)&gt;0),N(U2338),N(U2338)+1))</f>
        <v/>
      </c>
      <c r="V2339" s="19">
        <f>IF($B2339="","",TEXT($B2339,"0000"))</f>
        <v/>
      </c>
      <c r="W2339" s="19">
        <f>IF($I2339="","",IF(ISNUMBER($I2339),TEXT($I2339,"0"),$I2339))</f>
        <v/>
      </c>
    </row>
    <row r="2340">
      <c r="B2340" s="25" t="n"/>
      <c r="I2340" s="25" t="n"/>
      <c r="U2340" s="19">
        <f>IF($V2340&lt;&gt;'設定'!$C$4,N(U2339),IF(OR(NOT(COUNTIF('商品マスタ'!$B$6:$B$1005,$W2340)=0),COUNTIFS('①在庫を貼る'!$V$6:$V$10005,$V2340,'①在庫を貼る'!$W$6:$W$10005,$W2340)+COUNTIFS('月1回_1ヶ月前の在庫'!$V$6:$V$10005,$V2340,'月1回_1ヶ月前の在庫'!$W$6:$W$10005,$W2340)&gt;0),N(U2339),N(U2339)+1))</f>
        <v/>
      </c>
      <c r="V2340" s="19">
        <f>IF($B2340="","",TEXT($B2340,"0000"))</f>
        <v/>
      </c>
      <c r="W2340" s="19">
        <f>IF($I2340="","",IF(ISNUMBER($I2340),TEXT($I2340,"0"),$I2340))</f>
        <v/>
      </c>
    </row>
    <row r="2341">
      <c r="B2341" s="25" t="n"/>
      <c r="I2341" s="25" t="n"/>
      <c r="U2341" s="19">
        <f>IF($V2341&lt;&gt;'設定'!$C$4,N(U2340),IF(OR(NOT(COUNTIF('商品マスタ'!$B$6:$B$1005,$W2341)=0),COUNTIFS('①在庫を貼る'!$V$6:$V$10005,$V2341,'①在庫を貼る'!$W$6:$W$10005,$W2341)+COUNTIFS('月1回_1ヶ月前の在庫'!$V$6:$V$10005,$V2341,'月1回_1ヶ月前の在庫'!$W$6:$W$10005,$W2341)&gt;0),N(U2340),N(U2340)+1))</f>
        <v/>
      </c>
      <c r="V2341" s="19">
        <f>IF($B2341="","",TEXT($B2341,"0000"))</f>
        <v/>
      </c>
      <c r="W2341" s="19">
        <f>IF($I2341="","",IF(ISNUMBER($I2341),TEXT($I2341,"0"),$I2341))</f>
        <v/>
      </c>
    </row>
    <row r="2342">
      <c r="B2342" s="25" t="n"/>
      <c r="I2342" s="25" t="n"/>
      <c r="U2342" s="19">
        <f>IF($V2342&lt;&gt;'設定'!$C$4,N(U2341),IF(OR(NOT(COUNTIF('商品マスタ'!$B$6:$B$1005,$W2342)=0),COUNTIFS('①在庫を貼る'!$V$6:$V$10005,$V2342,'①在庫を貼る'!$W$6:$W$10005,$W2342)+COUNTIFS('月1回_1ヶ月前の在庫'!$V$6:$V$10005,$V2342,'月1回_1ヶ月前の在庫'!$W$6:$W$10005,$W2342)&gt;0),N(U2341),N(U2341)+1))</f>
        <v/>
      </c>
      <c r="V2342" s="19">
        <f>IF($B2342="","",TEXT($B2342,"0000"))</f>
        <v/>
      </c>
      <c r="W2342" s="19">
        <f>IF($I2342="","",IF(ISNUMBER($I2342),TEXT($I2342,"0"),$I2342))</f>
        <v/>
      </c>
    </row>
    <row r="2343">
      <c r="B2343" s="25" t="n"/>
      <c r="I2343" s="25" t="n"/>
      <c r="U2343" s="19">
        <f>IF($V2343&lt;&gt;'設定'!$C$4,N(U2342),IF(OR(NOT(COUNTIF('商品マスタ'!$B$6:$B$1005,$W2343)=0),COUNTIFS('①在庫を貼る'!$V$6:$V$10005,$V2343,'①在庫を貼る'!$W$6:$W$10005,$W2343)+COUNTIFS('月1回_1ヶ月前の在庫'!$V$6:$V$10005,$V2343,'月1回_1ヶ月前の在庫'!$W$6:$W$10005,$W2343)&gt;0),N(U2342),N(U2342)+1))</f>
        <v/>
      </c>
      <c r="V2343" s="19">
        <f>IF($B2343="","",TEXT($B2343,"0000"))</f>
        <v/>
      </c>
      <c r="W2343" s="19">
        <f>IF($I2343="","",IF(ISNUMBER($I2343),TEXT($I2343,"0"),$I2343))</f>
        <v/>
      </c>
    </row>
    <row r="2344">
      <c r="B2344" s="25" t="n"/>
      <c r="I2344" s="25" t="n"/>
      <c r="U2344" s="19">
        <f>IF($V2344&lt;&gt;'設定'!$C$4,N(U2343),IF(OR(NOT(COUNTIF('商品マスタ'!$B$6:$B$1005,$W2344)=0),COUNTIFS('①在庫を貼る'!$V$6:$V$10005,$V2344,'①在庫を貼る'!$W$6:$W$10005,$W2344)+COUNTIFS('月1回_1ヶ月前の在庫'!$V$6:$V$10005,$V2344,'月1回_1ヶ月前の在庫'!$W$6:$W$10005,$W2344)&gt;0),N(U2343),N(U2343)+1))</f>
        <v/>
      </c>
      <c r="V2344" s="19">
        <f>IF($B2344="","",TEXT($B2344,"0000"))</f>
        <v/>
      </c>
      <c r="W2344" s="19">
        <f>IF($I2344="","",IF(ISNUMBER($I2344),TEXT($I2344,"0"),$I2344))</f>
        <v/>
      </c>
    </row>
    <row r="2345">
      <c r="B2345" s="25" t="n"/>
      <c r="I2345" s="25" t="n"/>
      <c r="U2345" s="19">
        <f>IF($V2345&lt;&gt;'設定'!$C$4,N(U2344),IF(OR(NOT(COUNTIF('商品マスタ'!$B$6:$B$1005,$W2345)=0),COUNTIFS('①在庫を貼る'!$V$6:$V$10005,$V2345,'①在庫を貼る'!$W$6:$W$10005,$W2345)+COUNTIFS('月1回_1ヶ月前の在庫'!$V$6:$V$10005,$V2345,'月1回_1ヶ月前の在庫'!$W$6:$W$10005,$W2345)&gt;0),N(U2344),N(U2344)+1))</f>
        <v/>
      </c>
      <c r="V2345" s="19">
        <f>IF($B2345="","",TEXT($B2345,"0000"))</f>
        <v/>
      </c>
      <c r="W2345" s="19">
        <f>IF($I2345="","",IF(ISNUMBER($I2345),TEXT($I2345,"0"),$I2345))</f>
        <v/>
      </c>
    </row>
    <row r="2346">
      <c r="B2346" s="25" t="n"/>
      <c r="I2346" s="25" t="n"/>
      <c r="U2346" s="19">
        <f>IF($V2346&lt;&gt;'設定'!$C$4,N(U2345),IF(OR(NOT(COUNTIF('商品マスタ'!$B$6:$B$1005,$W2346)=0),COUNTIFS('①在庫を貼る'!$V$6:$V$10005,$V2346,'①在庫を貼る'!$W$6:$W$10005,$W2346)+COUNTIFS('月1回_1ヶ月前の在庫'!$V$6:$V$10005,$V2346,'月1回_1ヶ月前の在庫'!$W$6:$W$10005,$W2346)&gt;0),N(U2345),N(U2345)+1))</f>
        <v/>
      </c>
      <c r="V2346" s="19">
        <f>IF($B2346="","",TEXT($B2346,"0000"))</f>
        <v/>
      </c>
      <c r="W2346" s="19">
        <f>IF($I2346="","",IF(ISNUMBER($I2346),TEXT($I2346,"0"),$I2346))</f>
        <v/>
      </c>
    </row>
    <row r="2347">
      <c r="B2347" s="25" t="n"/>
      <c r="I2347" s="25" t="n"/>
      <c r="U2347" s="19">
        <f>IF($V2347&lt;&gt;'設定'!$C$4,N(U2346),IF(OR(NOT(COUNTIF('商品マスタ'!$B$6:$B$1005,$W2347)=0),COUNTIFS('①在庫を貼る'!$V$6:$V$10005,$V2347,'①在庫を貼る'!$W$6:$W$10005,$W2347)+COUNTIFS('月1回_1ヶ月前の在庫'!$V$6:$V$10005,$V2347,'月1回_1ヶ月前の在庫'!$W$6:$W$10005,$W2347)&gt;0),N(U2346),N(U2346)+1))</f>
        <v/>
      </c>
      <c r="V2347" s="19">
        <f>IF($B2347="","",TEXT($B2347,"0000"))</f>
        <v/>
      </c>
      <c r="W2347" s="19">
        <f>IF($I2347="","",IF(ISNUMBER($I2347),TEXT($I2347,"0"),$I2347))</f>
        <v/>
      </c>
    </row>
    <row r="2348">
      <c r="B2348" s="25" t="n"/>
      <c r="I2348" s="25" t="n"/>
      <c r="U2348" s="19">
        <f>IF($V2348&lt;&gt;'設定'!$C$4,N(U2347),IF(OR(NOT(COUNTIF('商品マスタ'!$B$6:$B$1005,$W2348)=0),COUNTIFS('①在庫を貼る'!$V$6:$V$10005,$V2348,'①在庫を貼る'!$W$6:$W$10005,$W2348)+COUNTIFS('月1回_1ヶ月前の在庫'!$V$6:$V$10005,$V2348,'月1回_1ヶ月前の在庫'!$W$6:$W$10005,$W2348)&gt;0),N(U2347),N(U2347)+1))</f>
        <v/>
      </c>
      <c r="V2348" s="19">
        <f>IF($B2348="","",TEXT($B2348,"0000"))</f>
        <v/>
      </c>
      <c r="W2348" s="19">
        <f>IF($I2348="","",IF(ISNUMBER($I2348),TEXT($I2348,"0"),$I2348))</f>
        <v/>
      </c>
    </row>
    <row r="2349">
      <c r="B2349" s="25" t="n"/>
      <c r="I2349" s="25" t="n"/>
      <c r="U2349" s="19">
        <f>IF($V2349&lt;&gt;'設定'!$C$4,N(U2348),IF(OR(NOT(COUNTIF('商品マスタ'!$B$6:$B$1005,$W2349)=0),COUNTIFS('①在庫を貼る'!$V$6:$V$10005,$V2349,'①在庫を貼る'!$W$6:$W$10005,$W2349)+COUNTIFS('月1回_1ヶ月前の在庫'!$V$6:$V$10005,$V2349,'月1回_1ヶ月前の在庫'!$W$6:$W$10005,$W2349)&gt;0),N(U2348),N(U2348)+1))</f>
        <v/>
      </c>
      <c r="V2349" s="19">
        <f>IF($B2349="","",TEXT($B2349,"0000"))</f>
        <v/>
      </c>
      <c r="W2349" s="19">
        <f>IF($I2349="","",IF(ISNUMBER($I2349),TEXT($I2349,"0"),$I2349))</f>
        <v/>
      </c>
    </row>
    <row r="2350">
      <c r="B2350" s="25" t="n"/>
      <c r="I2350" s="25" t="n"/>
      <c r="U2350" s="19">
        <f>IF($V2350&lt;&gt;'設定'!$C$4,N(U2349),IF(OR(NOT(COUNTIF('商品マスタ'!$B$6:$B$1005,$W2350)=0),COUNTIFS('①在庫を貼る'!$V$6:$V$10005,$V2350,'①在庫を貼る'!$W$6:$W$10005,$W2350)+COUNTIFS('月1回_1ヶ月前の在庫'!$V$6:$V$10005,$V2350,'月1回_1ヶ月前の在庫'!$W$6:$W$10005,$W2350)&gt;0),N(U2349),N(U2349)+1))</f>
        <v/>
      </c>
      <c r="V2350" s="19">
        <f>IF($B2350="","",TEXT($B2350,"0000"))</f>
        <v/>
      </c>
      <c r="W2350" s="19">
        <f>IF($I2350="","",IF(ISNUMBER($I2350),TEXT($I2350,"0"),$I2350))</f>
        <v/>
      </c>
    </row>
    <row r="2351">
      <c r="B2351" s="25" t="n"/>
      <c r="I2351" s="25" t="n"/>
      <c r="U2351" s="19">
        <f>IF($V2351&lt;&gt;'設定'!$C$4,N(U2350),IF(OR(NOT(COUNTIF('商品マスタ'!$B$6:$B$1005,$W2351)=0),COUNTIFS('①在庫を貼る'!$V$6:$V$10005,$V2351,'①在庫を貼る'!$W$6:$W$10005,$W2351)+COUNTIFS('月1回_1ヶ月前の在庫'!$V$6:$V$10005,$V2351,'月1回_1ヶ月前の在庫'!$W$6:$W$10005,$W2351)&gt;0),N(U2350),N(U2350)+1))</f>
        <v/>
      </c>
      <c r="V2351" s="19">
        <f>IF($B2351="","",TEXT($B2351,"0000"))</f>
        <v/>
      </c>
      <c r="W2351" s="19">
        <f>IF($I2351="","",IF(ISNUMBER($I2351),TEXT($I2351,"0"),$I2351))</f>
        <v/>
      </c>
    </row>
    <row r="2352">
      <c r="B2352" s="25" t="n"/>
      <c r="I2352" s="25" t="n"/>
      <c r="U2352" s="19">
        <f>IF($V2352&lt;&gt;'設定'!$C$4,N(U2351),IF(OR(NOT(COUNTIF('商品マスタ'!$B$6:$B$1005,$W2352)=0),COUNTIFS('①在庫を貼る'!$V$6:$V$10005,$V2352,'①在庫を貼る'!$W$6:$W$10005,$W2352)+COUNTIFS('月1回_1ヶ月前の在庫'!$V$6:$V$10005,$V2352,'月1回_1ヶ月前の在庫'!$W$6:$W$10005,$W2352)&gt;0),N(U2351),N(U2351)+1))</f>
        <v/>
      </c>
      <c r="V2352" s="19">
        <f>IF($B2352="","",TEXT($B2352,"0000"))</f>
        <v/>
      </c>
      <c r="W2352" s="19">
        <f>IF($I2352="","",IF(ISNUMBER($I2352),TEXT($I2352,"0"),$I2352))</f>
        <v/>
      </c>
    </row>
    <row r="2353">
      <c r="B2353" s="25" t="n"/>
      <c r="I2353" s="25" t="n"/>
      <c r="U2353" s="19">
        <f>IF($V2353&lt;&gt;'設定'!$C$4,N(U2352),IF(OR(NOT(COUNTIF('商品マスタ'!$B$6:$B$1005,$W2353)=0),COUNTIFS('①在庫を貼る'!$V$6:$V$10005,$V2353,'①在庫を貼る'!$W$6:$W$10005,$W2353)+COUNTIFS('月1回_1ヶ月前の在庫'!$V$6:$V$10005,$V2353,'月1回_1ヶ月前の在庫'!$W$6:$W$10005,$W2353)&gt;0),N(U2352),N(U2352)+1))</f>
        <v/>
      </c>
      <c r="V2353" s="19">
        <f>IF($B2353="","",TEXT($B2353,"0000"))</f>
        <v/>
      </c>
      <c r="W2353" s="19">
        <f>IF($I2353="","",IF(ISNUMBER($I2353),TEXT($I2353,"0"),$I2353))</f>
        <v/>
      </c>
    </row>
    <row r="2354">
      <c r="B2354" s="25" t="n"/>
      <c r="I2354" s="25" t="n"/>
      <c r="U2354" s="19">
        <f>IF($V2354&lt;&gt;'設定'!$C$4,N(U2353),IF(OR(NOT(COUNTIF('商品マスタ'!$B$6:$B$1005,$W2354)=0),COUNTIFS('①在庫を貼る'!$V$6:$V$10005,$V2354,'①在庫を貼る'!$W$6:$W$10005,$W2354)+COUNTIFS('月1回_1ヶ月前の在庫'!$V$6:$V$10005,$V2354,'月1回_1ヶ月前の在庫'!$W$6:$W$10005,$W2354)&gt;0),N(U2353),N(U2353)+1))</f>
        <v/>
      </c>
      <c r="V2354" s="19">
        <f>IF($B2354="","",TEXT($B2354,"0000"))</f>
        <v/>
      </c>
      <c r="W2354" s="19">
        <f>IF($I2354="","",IF(ISNUMBER($I2354),TEXT($I2354,"0"),$I2354))</f>
        <v/>
      </c>
    </row>
    <row r="2355">
      <c r="B2355" s="25" t="n"/>
      <c r="I2355" s="25" t="n"/>
      <c r="U2355" s="19">
        <f>IF($V2355&lt;&gt;'設定'!$C$4,N(U2354),IF(OR(NOT(COUNTIF('商品マスタ'!$B$6:$B$1005,$W2355)=0),COUNTIFS('①在庫を貼る'!$V$6:$V$10005,$V2355,'①在庫を貼る'!$W$6:$W$10005,$W2355)+COUNTIFS('月1回_1ヶ月前の在庫'!$V$6:$V$10005,$V2355,'月1回_1ヶ月前の在庫'!$W$6:$W$10005,$W2355)&gt;0),N(U2354),N(U2354)+1))</f>
        <v/>
      </c>
      <c r="V2355" s="19">
        <f>IF($B2355="","",TEXT($B2355,"0000"))</f>
        <v/>
      </c>
      <c r="W2355" s="19">
        <f>IF($I2355="","",IF(ISNUMBER($I2355),TEXT($I2355,"0"),$I2355))</f>
        <v/>
      </c>
    </row>
    <row r="2356">
      <c r="B2356" s="25" t="n"/>
      <c r="I2356" s="25" t="n"/>
      <c r="U2356" s="19">
        <f>IF($V2356&lt;&gt;'設定'!$C$4,N(U2355),IF(OR(NOT(COUNTIF('商品マスタ'!$B$6:$B$1005,$W2356)=0),COUNTIFS('①在庫を貼る'!$V$6:$V$10005,$V2356,'①在庫を貼る'!$W$6:$W$10005,$W2356)+COUNTIFS('月1回_1ヶ月前の在庫'!$V$6:$V$10005,$V2356,'月1回_1ヶ月前の在庫'!$W$6:$W$10005,$W2356)&gt;0),N(U2355),N(U2355)+1))</f>
        <v/>
      </c>
      <c r="V2356" s="19">
        <f>IF($B2356="","",TEXT($B2356,"0000"))</f>
        <v/>
      </c>
      <c r="W2356" s="19">
        <f>IF($I2356="","",IF(ISNUMBER($I2356),TEXT($I2356,"0"),$I2356))</f>
        <v/>
      </c>
    </row>
    <row r="2357">
      <c r="B2357" s="25" t="n"/>
      <c r="I2357" s="25" t="n"/>
      <c r="U2357" s="19">
        <f>IF($V2357&lt;&gt;'設定'!$C$4,N(U2356),IF(OR(NOT(COUNTIF('商品マスタ'!$B$6:$B$1005,$W2357)=0),COUNTIFS('①在庫を貼る'!$V$6:$V$10005,$V2357,'①在庫を貼る'!$W$6:$W$10005,$W2357)+COUNTIFS('月1回_1ヶ月前の在庫'!$V$6:$V$10005,$V2357,'月1回_1ヶ月前の在庫'!$W$6:$W$10005,$W2357)&gt;0),N(U2356),N(U2356)+1))</f>
        <v/>
      </c>
      <c r="V2357" s="19">
        <f>IF($B2357="","",TEXT($B2357,"0000"))</f>
        <v/>
      </c>
      <c r="W2357" s="19">
        <f>IF($I2357="","",IF(ISNUMBER($I2357),TEXT($I2357,"0"),$I2357))</f>
        <v/>
      </c>
    </row>
    <row r="2358">
      <c r="B2358" s="25" t="n"/>
      <c r="I2358" s="25" t="n"/>
      <c r="U2358" s="19">
        <f>IF($V2358&lt;&gt;'設定'!$C$4,N(U2357),IF(OR(NOT(COUNTIF('商品マスタ'!$B$6:$B$1005,$W2358)=0),COUNTIFS('①在庫を貼る'!$V$6:$V$10005,$V2358,'①在庫を貼る'!$W$6:$W$10005,$W2358)+COUNTIFS('月1回_1ヶ月前の在庫'!$V$6:$V$10005,$V2358,'月1回_1ヶ月前の在庫'!$W$6:$W$10005,$W2358)&gt;0),N(U2357),N(U2357)+1))</f>
        <v/>
      </c>
      <c r="V2358" s="19">
        <f>IF($B2358="","",TEXT($B2358,"0000"))</f>
        <v/>
      </c>
      <c r="W2358" s="19">
        <f>IF($I2358="","",IF(ISNUMBER($I2358),TEXT($I2358,"0"),$I2358))</f>
        <v/>
      </c>
    </row>
    <row r="2359">
      <c r="B2359" s="25" t="n"/>
      <c r="I2359" s="25" t="n"/>
      <c r="U2359" s="19">
        <f>IF($V2359&lt;&gt;'設定'!$C$4,N(U2358),IF(OR(NOT(COUNTIF('商品マスタ'!$B$6:$B$1005,$W2359)=0),COUNTIFS('①在庫を貼る'!$V$6:$V$10005,$V2359,'①在庫を貼る'!$W$6:$W$10005,$W2359)+COUNTIFS('月1回_1ヶ月前の在庫'!$V$6:$V$10005,$V2359,'月1回_1ヶ月前の在庫'!$W$6:$W$10005,$W2359)&gt;0),N(U2358),N(U2358)+1))</f>
        <v/>
      </c>
      <c r="V2359" s="19">
        <f>IF($B2359="","",TEXT($B2359,"0000"))</f>
        <v/>
      </c>
      <c r="W2359" s="19">
        <f>IF($I2359="","",IF(ISNUMBER($I2359),TEXT($I2359,"0"),$I2359))</f>
        <v/>
      </c>
    </row>
    <row r="2360">
      <c r="B2360" s="25" t="n"/>
      <c r="I2360" s="25" t="n"/>
      <c r="U2360" s="19">
        <f>IF($V2360&lt;&gt;'設定'!$C$4,N(U2359),IF(OR(NOT(COUNTIF('商品マスタ'!$B$6:$B$1005,$W2360)=0),COUNTIFS('①在庫を貼る'!$V$6:$V$10005,$V2360,'①在庫を貼る'!$W$6:$W$10005,$W2360)+COUNTIFS('月1回_1ヶ月前の在庫'!$V$6:$V$10005,$V2360,'月1回_1ヶ月前の在庫'!$W$6:$W$10005,$W2360)&gt;0),N(U2359),N(U2359)+1))</f>
        <v/>
      </c>
      <c r="V2360" s="19">
        <f>IF($B2360="","",TEXT($B2360,"0000"))</f>
        <v/>
      </c>
      <c r="W2360" s="19">
        <f>IF($I2360="","",IF(ISNUMBER($I2360),TEXT($I2360,"0"),$I2360))</f>
        <v/>
      </c>
    </row>
    <row r="2361">
      <c r="B2361" s="25" t="n"/>
      <c r="I2361" s="25" t="n"/>
      <c r="U2361" s="19">
        <f>IF($V2361&lt;&gt;'設定'!$C$4,N(U2360),IF(OR(NOT(COUNTIF('商品マスタ'!$B$6:$B$1005,$W2361)=0),COUNTIFS('①在庫を貼る'!$V$6:$V$10005,$V2361,'①在庫を貼る'!$W$6:$W$10005,$W2361)+COUNTIFS('月1回_1ヶ月前の在庫'!$V$6:$V$10005,$V2361,'月1回_1ヶ月前の在庫'!$W$6:$W$10005,$W2361)&gt;0),N(U2360),N(U2360)+1))</f>
        <v/>
      </c>
      <c r="V2361" s="19">
        <f>IF($B2361="","",TEXT($B2361,"0000"))</f>
        <v/>
      </c>
      <c r="W2361" s="19">
        <f>IF($I2361="","",IF(ISNUMBER($I2361),TEXT($I2361,"0"),$I2361))</f>
        <v/>
      </c>
    </row>
    <row r="2362">
      <c r="B2362" s="25" t="n"/>
      <c r="I2362" s="25" t="n"/>
      <c r="U2362" s="19">
        <f>IF($V2362&lt;&gt;'設定'!$C$4,N(U2361),IF(OR(NOT(COUNTIF('商品マスタ'!$B$6:$B$1005,$W2362)=0),COUNTIFS('①在庫を貼る'!$V$6:$V$10005,$V2362,'①在庫を貼る'!$W$6:$W$10005,$W2362)+COUNTIFS('月1回_1ヶ月前の在庫'!$V$6:$V$10005,$V2362,'月1回_1ヶ月前の在庫'!$W$6:$W$10005,$W2362)&gt;0),N(U2361),N(U2361)+1))</f>
        <v/>
      </c>
      <c r="V2362" s="19">
        <f>IF($B2362="","",TEXT($B2362,"0000"))</f>
        <v/>
      </c>
      <c r="W2362" s="19">
        <f>IF($I2362="","",IF(ISNUMBER($I2362),TEXT($I2362,"0"),$I2362))</f>
        <v/>
      </c>
    </row>
    <row r="2363">
      <c r="B2363" s="25" t="n"/>
      <c r="I2363" s="25" t="n"/>
      <c r="U2363" s="19">
        <f>IF($V2363&lt;&gt;'設定'!$C$4,N(U2362),IF(OR(NOT(COUNTIF('商品マスタ'!$B$6:$B$1005,$W2363)=0),COUNTIFS('①在庫を貼る'!$V$6:$V$10005,$V2363,'①在庫を貼る'!$W$6:$W$10005,$W2363)+COUNTIFS('月1回_1ヶ月前の在庫'!$V$6:$V$10005,$V2363,'月1回_1ヶ月前の在庫'!$W$6:$W$10005,$W2363)&gt;0),N(U2362),N(U2362)+1))</f>
        <v/>
      </c>
      <c r="V2363" s="19">
        <f>IF($B2363="","",TEXT($B2363,"0000"))</f>
        <v/>
      </c>
      <c r="W2363" s="19">
        <f>IF($I2363="","",IF(ISNUMBER($I2363),TEXT($I2363,"0"),$I2363))</f>
        <v/>
      </c>
    </row>
    <row r="2364">
      <c r="B2364" s="25" t="n"/>
      <c r="I2364" s="25" t="n"/>
      <c r="U2364" s="19">
        <f>IF($V2364&lt;&gt;'設定'!$C$4,N(U2363),IF(OR(NOT(COUNTIF('商品マスタ'!$B$6:$B$1005,$W2364)=0),COUNTIFS('①在庫を貼る'!$V$6:$V$10005,$V2364,'①在庫を貼る'!$W$6:$W$10005,$W2364)+COUNTIFS('月1回_1ヶ月前の在庫'!$V$6:$V$10005,$V2364,'月1回_1ヶ月前の在庫'!$W$6:$W$10005,$W2364)&gt;0),N(U2363),N(U2363)+1))</f>
        <v/>
      </c>
      <c r="V2364" s="19">
        <f>IF($B2364="","",TEXT($B2364,"0000"))</f>
        <v/>
      </c>
      <c r="W2364" s="19">
        <f>IF($I2364="","",IF(ISNUMBER($I2364),TEXT($I2364,"0"),$I2364))</f>
        <v/>
      </c>
    </row>
    <row r="2365">
      <c r="B2365" s="25" t="n"/>
      <c r="I2365" s="25" t="n"/>
      <c r="U2365" s="19">
        <f>IF($V2365&lt;&gt;'設定'!$C$4,N(U2364),IF(OR(NOT(COUNTIF('商品マスタ'!$B$6:$B$1005,$W2365)=0),COUNTIFS('①在庫を貼る'!$V$6:$V$10005,$V2365,'①在庫を貼る'!$W$6:$W$10005,$W2365)+COUNTIFS('月1回_1ヶ月前の在庫'!$V$6:$V$10005,$V2365,'月1回_1ヶ月前の在庫'!$W$6:$W$10005,$W2365)&gt;0),N(U2364),N(U2364)+1))</f>
        <v/>
      </c>
      <c r="V2365" s="19">
        <f>IF($B2365="","",TEXT($B2365,"0000"))</f>
        <v/>
      </c>
      <c r="W2365" s="19">
        <f>IF($I2365="","",IF(ISNUMBER($I2365),TEXT($I2365,"0"),$I2365))</f>
        <v/>
      </c>
    </row>
    <row r="2366">
      <c r="B2366" s="25" t="n"/>
      <c r="I2366" s="25" t="n"/>
      <c r="U2366" s="19">
        <f>IF($V2366&lt;&gt;'設定'!$C$4,N(U2365),IF(OR(NOT(COUNTIF('商品マスタ'!$B$6:$B$1005,$W2366)=0),COUNTIFS('①在庫を貼る'!$V$6:$V$10005,$V2366,'①在庫を貼る'!$W$6:$W$10005,$W2366)+COUNTIFS('月1回_1ヶ月前の在庫'!$V$6:$V$10005,$V2366,'月1回_1ヶ月前の在庫'!$W$6:$W$10005,$W2366)&gt;0),N(U2365),N(U2365)+1))</f>
        <v/>
      </c>
      <c r="V2366" s="19">
        <f>IF($B2366="","",TEXT($B2366,"0000"))</f>
        <v/>
      </c>
      <c r="W2366" s="19">
        <f>IF($I2366="","",IF(ISNUMBER($I2366),TEXT($I2366,"0"),$I2366))</f>
        <v/>
      </c>
    </row>
    <row r="2367">
      <c r="B2367" s="25" t="n"/>
      <c r="I2367" s="25" t="n"/>
      <c r="U2367" s="19">
        <f>IF($V2367&lt;&gt;'設定'!$C$4,N(U2366),IF(OR(NOT(COUNTIF('商品マスタ'!$B$6:$B$1005,$W2367)=0),COUNTIFS('①在庫を貼る'!$V$6:$V$10005,$V2367,'①在庫を貼る'!$W$6:$W$10005,$W2367)+COUNTIFS('月1回_1ヶ月前の在庫'!$V$6:$V$10005,$V2367,'月1回_1ヶ月前の在庫'!$W$6:$W$10005,$W2367)&gt;0),N(U2366),N(U2366)+1))</f>
        <v/>
      </c>
      <c r="V2367" s="19">
        <f>IF($B2367="","",TEXT($B2367,"0000"))</f>
        <v/>
      </c>
      <c r="W2367" s="19">
        <f>IF($I2367="","",IF(ISNUMBER($I2367),TEXT($I2367,"0"),$I2367))</f>
        <v/>
      </c>
    </row>
    <row r="2368">
      <c r="B2368" s="25" t="n"/>
      <c r="I2368" s="25" t="n"/>
      <c r="U2368" s="19">
        <f>IF($V2368&lt;&gt;'設定'!$C$4,N(U2367),IF(OR(NOT(COUNTIF('商品マスタ'!$B$6:$B$1005,$W2368)=0),COUNTIFS('①在庫を貼る'!$V$6:$V$10005,$V2368,'①在庫を貼る'!$W$6:$W$10005,$W2368)+COUNTIFS('月1回_1ヶ月前の在庫'!$V$6:$V$10005,$V2368,'月1回_1ヶ月前の在庫'!$W$6:$W$10005,$W2368)&gt;0),N(U2367),N(U2367)+1))</f>
        <v/>
      </c>
      <c r="V2368" s="19">
        <f>IF($B2368="","",TEXT($B2368,"0000"))</f>
        <v/>
      </c>
      <c r="W2368" s="19">
        <f>IF($I2368="","",IF(ISNUMBER($I2368),TEXT($I2368,"0"),$I2368))</f>
        <v/>
      </c>
    </row>
    <row r="2369">
      <c r="B2369" s="25" t="n"/>
      <c r="I2369" s="25" t="n"/>
      <c r="U2369" s="19">
        <f>IF($V2369&lt;&gt;'設定'!$C$4,N(U2368),IF(OR(NOT(COUNTIF('商品マスタ'!$B$6:$B$1005,$W2369)=0),COUNTIFS('①在庫を貼る'!$V$6:$V$10005,$V2369,'①在庫を貼る'!$W$6:$W$10005,$W2369)+COUNTIFS('月1回_1ヶ月前の在庫'!$V$6:$V$10005,$V2369,'月1回_1ヶ月前の在庫'!$W$6:$W$10005,$W2369)&gt;0),N(U2368),N(U2368)+1))</f>
        <v/>
      </c>
      <c r="V2369" s="19">
        <f>IF($B2369="","",TEXT($B2369,"0000"))</f>
        <v/>
      </c>
      <c r="W2369" s="19">
        <f>IF($I2369="","",IF(ISNUMBER($I2369),TEXT($I2369,"0"),$I2369))</f>
        <v/>
      </c>
    </row>
    <row r="2370">
      <c r="B2370" s="25" t="n"/>
      <c r="I2370" s="25" t="n"/>
      <c r="U2370" s="19">
        <f>IF($V2370&lt;&gt;'設定'!$C$4,N(U2369),IF(OR(NOT(COUNTIF('商品マスタ'!$B$6:$B$1005,$W2370)=0),COUNTIFS('①在庫を貼る'!$V$6:$V$10005,$V2370,'①在庫を貼る'!$W$6:$W$10005,$W2370)+COUNTIFS('月1回_1ヶ月前の在庫'!$V$6:$V$10005,$V2370,'月1回_1ヶ月前の在庫'!$W$6:$W$10005,$W2370)&gt;0),N(U2369),N(U2369)+1))</f>
        <v/>
      </c>
      <c r="V2370" s="19">
        <f>IF($B2370="","",TEXT($B2370,"0000"))</f>
        <v/>
      </c>
      <c r="W2370" s="19">
        <f>IF($I2370="","",IF(ISNUMBER($I2370),TEXT($I2370,"0"),$I2370))</f>
        <v/>
      </c>
    </row>
    <row r="2371">
      <c r="B2371" s="25" t="n"/>
      <c r="I2371" s="25" t="n"/>
      <c r="U2371" s="19">
        <f>IF($V2371&lt;&gt;'設定'!$C$4,N(U2370),IF(OR(NOT(COUNTIF('商品マスタ'!$B$6:$B$1005,$W2371)=0),COUNTIFS('①在庫を貼る'!$V$6:$V$10005,$V2371,'①在庫を貼る'!$W$6:$W$10005,$W2371)+COUNTIFS('月1回_1ヶ月前の在庫'!$V$6:$V$10005,$V2371,'月1回_1ヶ月前の在庫'!$W$6:$W$10005,$W2371)&gt;0),N(U2370),N(U2370)+1))</f>
        <v/>
      </c>
      <c r="V2371" s="19">
        <f>IF($B2371="","",TEXT($B2371,"0000"))</f>
        <v/>
      </c>
      <c r="W2371" s="19">
        <f>IF($I2371="","",IF(ISNUMBER($I2371),TEXT($I2371,"0"),$I2371))</f>
        <v/>
      </c>
    </row>
    <row r="2372">
      <c r="B2372" s="25" t="n"/>
      <c r="I2372" s="25" t="n"/>
      <c r="U2372" s="19">
        <f>IF($V2372&lt;&gt;'設定'!$C$4,N(U2371),IF(OR(NOT(COUNTIF('商品マスタ'!$B$6:$B$1005,$W2372)=0),COUNTIFS('①在庫を貼る'!$V$6:$V$10005,$V2372,'①在庫を貼る'!$W$6:$W$10005,$W2372)+COUNTIFS('月1回_1ヶ月前の在庫'!$V$6:$V$10005,$V2372,'月1回_1ヶ月前の在庫'!$W$6:$W$10005,$W2372)&gt;0),N(U2371),N(U2371)+1))</f>
        <v/>
      </c>
      <c r="V2372" s="19">
        <f>IF($B2372="","",TEXT($B2372,"0000"))</f>
        <v/>
      </c>
      <c r="W2372" s="19">
        <f>IF($I2372="","",IF(ISNUMBER($I2372),TEXT($I2372,"0"),$I2372))</f>
        <v/>
      </c>
    </row>
    <row r="2373">
      <c r="B2373" s="25" t="n"/>
      <c r="I2373" s="25" t="n"/>
      <c r="U2373" s="19">
        <f>IF($V2373&lt;&gt;'設定'!$C$4,N(U2372),IF(OR(NOT(COUNTIF('商品マスタ'!$B$6:$B$1005,$W2373)=0),COUNTIFS('①在庫を貼る'!$V$6:$V$10005,$V2373,'①在庫を貼る'!$W$6:$W$10005,$W2373)+COUNTIFS('月1回_1ヶ月前の在庫'!$V$6:$V$10005,$V2373,'月1回_1ヶ月前の在庫'!$W$6:$W$10005,$W2373)&gt;0),N(U2372),N(U2372)+1))</f>
        <v/>
      </c>
      <c r="V2373" s="19">
        <f>IF($B2373="","",TEXT($B2373,"0000"))</f>
        <v/>
      </c>
      <c r="W2373" s="19">
        <f>IF($I2373="","",IF(ISNUMBER($I2373),TEXT($I2373,"0"),$I2373))</f>
        <v/>
      </c>
    </row>
    <row r="2374">
      <c r="B2374" s="25" t="n"/>
      <c r="I2374" s="25" t="n"/>
      <c r="U2374" s="19">
        <f>IF($V2374&lt;&gt;'設定'!$C$4,N(U2373),IF(OR(NOT(COUNTIF('商品マスタ'!$B$6:$B$1005,$W2374)=0),COUNTIFS('①在庫を貼る'!$V$6:$V$10005,$V2374,'①在庫を貼る'!$W$6:$W$10005,$W2374)+COUNTIFS('月1回_1ヶ月前の在庫'!$V$6:$V$10005,$V2374,'月1回_1ヶ月前の在庫'!$W$6:$W$10005,$W2374)&gt;0),N(U2373),N(U2373)+1))</f>
        <v/>
      </c>
      <c r="V2374" s="19">
        <f>IF($B2374="","",TEXT($B2374,"0000"))</f>
        <v/>
      </c>
      <c r="W2374" s="19">
        <f>IF($I2374="","",IF(ISNUMBER($I2374),TEXT($I2374,"0"),$I2374))</f>
        <v/>
      </c>
    </row>
    <row r="2375">
      <c r="B2375" s="25" t="n"/>
      <c r="I2375" s="25" t="n"/>
      <c r="U2375" s="19">
        <f>IF($V2375&lt;&gt;'設定'!$C$4,N(U2374),IF(OR(NOT(COUNTIF('商品マスタ'!$B$6:$B$1005,$W2375)=0),COUNTIFS('①在庫を貼る'!$V$6:$V$10005,$V2375,'①在庫を貼る'!$W$6:$W$10005,$W2375)+COUNTIFS('月1回_1ヶ月前の在庫'!$V$6:$V$10005,$V2375,'月1回_1ヶ月前の在庫'!$W$6:$W$10005,$W2375)&gt;0),N(U2374),N(U2374)+1))</f>
        <v/>
      </c>
      <c r="V2375" s="19">
        <f>IF($B2375="","",TEXT($B2375,"0000"))</f>
        <v/>
      </c>
      <c r="W2375" s="19">
        <f>IF($I2375="","",IF(ISNUMBER($I2375),TEXT($I2375,"0"),$I2375))</f>
        <v/>
      </c>
    </row>
    <row r="2376">
      <c r="B2376" s="25" t="n"/>
      <c r="I2376" s="25" t="n"/>
      <c r="U2376" s="19">
        <f>IF($V2376&lt;&gt;'設定'!$C$4,N(U2375),IF(OR(NOT(COUNTIF('商品マスタ'!$B$6:$B$1005,$W2376)=0),COUNTIFS('①在庫を貼る'!$V$6:$V$10005,$V2376,'①在庫を貼る'!$W$6:$W$10005,$W2376)+COUNTIFS('月1回_1ヶ月前の在庫'!$V$6:$V$10005,$V2376,'月1回_1ヶ月前の在庫'!$W$6:$W$10005,$W2376)&gt;0),N(U2375),N(U2375)+1))</f>
        <v/>
      </c>
      <c r="V2376" s="19">
        <f>IF($B2376="","",TEXT($B2376,"0000"))</f>
        <v/>
      </c>
      <c r="W2376" s="19">
        <f>IF($I2376="","",IF(ISNUMBER($I2376),TEXT($I2376,"0"),$I2376))</f>
        <v/>
      </c>
    </row>
    <row r="2377">
      <c r="B2377" s="25" t="n"/>
      <c r="I2377" s="25" t="n"/>
      <c r="U2377" s="19">
        <f>IF($V2377&lt;&gt;'設定'!$C$4,N(U2376),IF(OR(NOT(COUNTIF('商品マスタ'!$B$6:$B$1005,$W2377)=0),COUNTIFS('①在庫を貼る'!$V$6:$V$10005,$V2377,'①在庫を貼る'!$W$6:$W$10005,$W2377)+COUNTIFS('月1回_1ヶ月前の在庫'!$V$6:$V$10005,$V2377,'月1回_1ヶ月前の在庫'!$W$6:$W$10005,$W2377)&gt;0),N(U2376),N(U2376)+1))</f>
        <v/>
      </c>
      <c r="V2377" s="19">
        <f>IF($B2377="","",TEXT($B2377,"0000"))</f>
        <v/>
      </c>
      <c r="W2377" s="19">
        <f>IF($I2377="","",IF(ISNUMBER($I2377),TEXT($I2377,"0"),$I2377))</f>
        <v/>
      </c>
    </row>
    <row r="2378">
      <c r="B2378" s="25" t="n"/>
      <c r="I2378" s="25" t="n"/>
      <c r="U2378" s="19">
        <f>IF($V2378&lt;&gt;'設定'!$C$4,N(U2377),IF(OR(NOT(COUNTIF('商品マスタ'!$B$6:$B$1005,$W2378)=0),COUNTIFS('①在庫を貼る'!$V$6:$V$10005,$V2378,'①在庫を貼る'!$W$6:$W$10005,$W2378)+COUNTIFS('月1回_1ヶ月前の在庫'!$V$6:$V$10005,$V2378,'月1回_1ヶ月前の在庫'!$W$6:$W$10005,$W2378)&gt;0),N(U2377),N(U2377)+1))</f>
        <v/>
      </c>
      <c r="V2378" s="19">
        <f>IF($B2378="","",TEXT($B2378,"0000"))</f>
        <v/>
      </c>
      <c r="W2378" s="19">
        <f>IF($I2378="","",IF(ISNUMBER($I2378),TEXT($I2378,"0"),$I2378))</f>
        <v/>
      </c>
    </row>
    <row r="2379">
      <c r="B2379" s="25" t="n"/>
      <c r="I2379" s="25" t="n"/>
      <c r="U2379" s="19">
        <f>IF($V2379&lt;&gt;'設定'!$C$4,N(U2378),IF(OR(NOT(COUNTIF('商品マスタ'!$B$6:$B$1005,$W2379)=0),COUNTIFS('①在庫を貼る'!$V$6:$V$10005,$V2379,'①在庫を貼る'!$W$6:$W$10005,$W2379)+COUNTIFS('月1回_1ヶ月前の在庫'!$V$6:$V$10005,$V2379,'月1回_1ヶ月前の在庫'!$W$6:$W$10005,$W2379)&gt;0),N(U2378),N(U2378)+1))</f>
        <v/>
      </c>
      <c r="V2379" s="19">
        <f>IF($B2379="","",TEXT($B2379,"0000"))</f>
        <v/>
      </c>
      <c r="W2379" s="19">
        <f>IF($I2379="","",IF(ISNUMBER($I2379),TEXT($I2379,"0"),$I2379))</f>
        <v/>
      </c>
    </row>
    <row r="2380">
      <c r="B2380" s="25" t="n"/>
      <c r="I2380" s="25" t="n"/>
      <c r="U2380" s="19">
        <f>IF($V2380&lt;&gt;'設定'!$C$4,N(U2379),IF(OR(NOT(COUNTIF('商品マスタ'!$B$6:$B$1005,$W2380)=0),COUNTIFS('①在庫を貼る'!$V$6:$V$10005,$V2380,'①在庫を貼る'!$W$6:$W$10005,$W2380)+COUNTIFS('月1回_1ヶ月前の在庫'!$V$6:$V$10005,$V2380,'月1回_1ヶ月前の在庫'!$W$6:$W$10005,$W2380)&gt;0),N(U2379),N(U2379)+1))</f>
        <v/>
      </c>
      <c r="V2380" s="19">
        <f>IF($B2380="","",TEXT($B2380,"0000"))</f>
        <v/>
      </c>
      <c r="W2380" s="19">
        <f>IF($I2380="","",IF(ISNUMBER($I2380),TEXT($I2380,"0"),$I2380))</f>
        <v/>
      </c>
    </row>
    <row r="2381">
      <c r="B2381" s="25" t="n"/>
      <c r="I2381" s="25" t="n"/>
      <c r="U2381" s="19">
        <f>IF($V2381&lt;&gt;'設定'!$C$4,N(U2380),IF(OR(NOT(COUNTIF('商品マスタ'!$B$6:$B$1005,$W2381)=0),COUNTIFS('①在庫を貼る'!$V$6:$V$10005,$V2381,'①在庫を貼る'!$W$6:$W$10005,$W2381)+COUNTIFS('月1回_1ヶ月前の在庫'!$V$6:$V$10005,$V2381,'月1回_1ヶ月前の在庫'!$W$6:$W$10005,$W2381)&gt;0),N(U2380),N(U2380)+1))</f>
        <v/>
      </c>
      <c r="V2381" s="19">
        <f>IF($B2381="","",TEXT($B2381,"0000"))</f>
        <v/>
      </c>
      <c r="W2381" s="19">
        <f>IF($I2381="","",IF(ISNUMBER($I2381),TEXT($I2381,"0"),$I2381))</f>
        <v/>
      </c>
    </row>
    <row r="2382">
      <c r="B2382" s="25" t="n"/>
      <c r="I2382" s="25" t="n"/>
      <c r="U2382" s="19">
        <f>IF($V2382&lt;&gt;'設定'!$C$4,N(U2381),IF(OR(NOT(COUNTIF('商品マスタ'!$B$6:$B$1005,$W2382)=0),COUNTIFS('①在庫を貼る'!$V$6:$V$10005,$V2382,'①在庫を貼る'!$W$6:$W$10005,$W2382)+COUNTIFS('月1回_1ヶ月前の在庫'!$V$6:$V$10005,$V2382,'月1回_1ヶ月前の在庫'!$W$6:$W$10005,$W2382)&gt;0),N(U2381),N(U2381)+1))</f>
        <v/>
      </c>
      <c r="V2382" s="19">
        <f>IF($B2382="","",TEXT($B2382,"0000"))</f>
        <v/>
      </c>
      <c r="W2382" s="19">
        <f>IF($I2382="","",IF(ISNUMBER($I2382),TEXT($I2382,"0"),$I2382))</f>
        <v/>
      </c>
    </row>
    <row r="2383">
      <c r="B2383" s="25" t="n"/>
      <c r="I2383" s="25" t="n"/>
      <c r="U2383" s="19">
        <f>IF($V2383&lt;&gt;'設定'!$C$4,N(U2382),IF(OR(NOT(COUNTIF('商品マスタ'!$B$6:$B$1005,$W2383)=0),COUNTIFS('①在庫を貼る'!$V$6:$V$10005,$V2383,'①在庫を貼る'!$W$6:$W$10005,$W2383)+COUNTIFS('月1回_1ヶ月前の在庫'!$V$6:$V$10005,$V2383,'月1回_1ヶ月前の在庫'!$W$6:$W$10005,$W2383)&gt;0),N(U2382),N(U2382)+1))</f>
        <v/>
      </c>
      <c r="V2383" s="19">
        <f>IF($B2383="","",TEXT($B2383,"0000"))</f>
        <v/>
      </c>
      <c r="W2383" s="19">
        <f>IF($I2383="","",IF(ISNUMBER($I2383),TEXT($I2383,"0"),$I2383))</f>
        <v/>
      </c>
    </row>
    <row r="2384">
      <c r="B2384" s="25" t="n"/>
      <c r="I2384" s="25" t="n"/>
      <c r="U2384" s="19">
        <f>IF($V2384&lt;&gt;'設定'!$C$4,N(U2383),IF(OR(NOT(COUNTIF('商品マスタ'!$B$6:$B$1005,$W2384)=0),COUNTIFS('①在庫を貼る'!$V$6:$V$10005,$V2384,'①在庫を貼る'!$W$6:$W$10005,$W2384)+COUNTIFS('月1回_1ヶ月前の在庫'!$V$6:$V$10005,$V2384,'月1回_1ヶ月前の在庫'!$W$6:$W$10005,$W2384)&gt;0),N(U2383),N(U2383)+1))</f>
        <v/>
      </c>
      <c r="V2384" s="19">
        <f>IF($B2384="","",TEXT($B2384,"0000"))</f>
        <v/>
      </c>
      <c r="W2384" s="19">
        <f>IF($I2384="","",IF(ISNUMBER($I2384),TEXT($I2384,"0"),$I2384))</f>
        <v/>
      </c>
    </row>
    <row r="2385">
      <c r="B2385" s="25" t="n"/>
      <c r="I2385" s="25" t="n"/>
      <c r="U2385" s="19">
        <f>IF($V2385&lt;&gt;'設定'!$C$4,N(U2384),IF(OR(NOT(COUNTIF('商品マスタ'!$B$6:$B$1005,$W2385)=0),COUNTIFS('①在庫を貼る'!$V$6:$V$10005,$V2385,'①在庫を貼る'!$W$6:$W$10005,$W2385)+COUNTIFS('月1回_1ヶ月前の在庫'!$V$6:$V$10005,$V2385,'月1回_1ヶ月前の在庫'!$W$6:$W$10005,$W2385)&gt;0),N(U2384),N(U2384)+1))</f>
        <v/>
      </c>
      <c r="V2385" s="19">
        <f>IF($B2385="","",TEXT($B2385,"0000"))</f>
        <v/>
      </c>
      <c r="W2385" s="19">
        <f>IF($I2385="","",IF(ISNUMBER($I2385),TEXT($I2385,"0"),$I2385))</f>
        <v/>
      </c>
    </row>
    <row r="2386">
      <c r="B2386" s="25" t="n"/>
      <c r="I2386" s="25" t="n"/>
      <c r="U2386" s="19">
        <f>IF($V2386&lt;&gt;'設定'!$C$4,N(U2385),IF(OR(NOT(COUNTIF('商品マスタ'!$B$6:$B$1005,$W2386)=0),COUNTIFS('①在庫を貼る'!$V$6:$V$10005,$V2386,'①在庫を貼る'!$W$6:$W$10005,$W2386)+COUNTIFS('月1回_1ヶ月前の在庫'!$V$6:$V$10005,$V2386,'月1回_1ヶ月前の在庫'!$W$6:$W$10005,$W2386)&gt;0),N(U2385),N(U2385)+1))</f>
        <v/>
      </c>
      <c r="V2386" s="19">
        <f>IF($B2386="","",TEXT($B2386,"0000"))</f>
        <v/>
      </c>
      <c r="W2386" s="19">
        <f>IF($I2386="","",IF(ISNUMBER($I2386),TEXT($I2386,"0"),$I2386))</f>
        <v/>
      </c>
    </row>
    <row r="2387">
      <c r="B2387" s="25" t="n"/>
      <c r="I2387" s="25" t="n"/>
      <c r="U2387" s="19">
        <f>IF($V2387&lt;&gt;'設定'!$C$4,N(U2386),IF(OR(NOT(COUNTIF('商品マスタ'!$B$6:$B$1005,$W2387)=0),COUNTIFS('①在庫を貼る'!$V$6:$V$10005,$V2387,'①在庫を貼る'!$W$6:$W$10005,$W2387)+COUNTIFS('月1回_1ヶ月前の在庫'!$V$6:$V$10005,$V2387,'月1回_1ヶ月前の在庫'!$W$6:$W$10005,$W2387)&gt;0),N(U2386),N(U2386)+1))</f>
        <v/>
      </c>
      <c r="V2387" s="19">
        <f>IF($B2387="","",TEXT($B2387,"0000"))</f>
        <v/>
      </c>
      <c r="W2387" s="19">
        <f>IF($I2387="","",IF(ISNUMBER($I2387),TEXT($I2387,"0"),$I2387))</f>
        <v/>
      </c>
    </row>
    <row r="2388">
      <c r="B2388" s="25" t="n"/>
      <c r="I2388" s="25" t="n"/>
      <c r="U2388" s="19">
        <f>IF($V2388&lt;&gt;'設定'!$C$4,N(U2387),IF(OR(NOT(COUNTIF('商品マスタ'!$B$6:$B$1005,$W2388)=0),COUNTIFS('①在庫を貼る'!$V$6:$V$10005,$V2388,'①在庫を貼る'!$W$6:$W$10005,$W2388)+COUNTIFS('月1回_1ヶ月前の在庫'!$V$6:$V$10005,$V2388,'月1回_1ヶ月前の在庫'!$W$6:$W$10005,$W2388)&gt;0),N(U2387),N(U2387)+1))</f>
        <v/>
      </c>
      <c r="V2388" s="19">
        <f>IF($B2388="","",TEXT($B2388,"0000"))</f>
        <v/>
      </c>
      <c r="W2388" s="19">
        <f>IF($I2388="","",IF(ISNUMBER($I2388),TEXT($I2388,"0"),$I2388))</f>
        <v/>
      </c>
    </row>
    <row r="2389">
      <c r="B2389" s="25" t="n"/>
      <c r="I2389" s="25" t="n"/>
      <c r="U2389" s="19">
        <f>IF($V2389&lt;&gt;'設定'!$C$4,N(U2388),IF(OR(NOT(COUNTIF('商品マスタ'!$B$6:$B$1005,$W2389)=0),COUNTIFS('①在庫を貼る'!$V$6:$V$10005,$V2389,'①在庫を貼る'!$W$6:$W$10005,$W2389)+COUNTIFS('月1回_1ヶ月前の在庫'!$V$6:$V$10005,$V2389,'月1回_1ヶ月前の在庫'!$W$6:$W$10005,$W2389)&gt;0),N(U2388),N(U2388)+1))</f>
        <v/>
      </c>
      <c r="V2389" s="19">
        <f>IF($B2389="","",TEXT($B2389,"0000"))</f>
        <v/>
      </c>
      <c r="W2389" s="19">
        <f>IF($I2389="","",IF(ISNUMBER($I2389),TEXT($I2389,"0"),$I2389))</f>
        <v/>
      </c>
    </row>
    <row r="2390">
      <c r="B2390" s="25" t="n"/>
      <c r="I2390" s="25" t="n"/>
      <c r="U2390" s="19">
        <f>IF($V2390&lt;&gt;'設定'!$C$4,N(U2389),IF(OR(NOT(COUNTIF('商品マスタ'!$B$6:$B$1005,$W2390)=0),COUNTIFS('①在庫を貼る'!$V$6:$V$10005,$V2390,'①在庫を貼る'!$W$6:$W$10005,$W2390)+COUNTIFS('月1回_1ヶ月前の在庫'!$V$6:$V$10005,$V2390,'月1回_1ヶ月前の在庫'!$W$6:$W$10005,$W2390)&gt;0),N(U2389),N(U2389)+1))</f>
        <v/>
      </c>
      <c r="V2390" s="19">
        <f>IF($B2390="","",TEXT($B2390,"0000"))</f>
        <v/>
      </c>
      <c r="W2390" s="19">
        <f>IF($I2390="","",IF(ISNUMBER($I2390),TEXT($I2390,"0"),$I2390))</f>
        <v/>
      </c>
    </row>
    <row r="2391">
      <c r="B2391" s="25" t="n"/>
      <c r="I2391" s="25" t="n"/>
      <c r="U2391" s="19">
        <f>IF($V2391&lt;&gt;'設定'!$C$4,N(U2390),IF(OR(NOT(COUNTIF('商品マスタ'!$B$6:$B$1005,$W2391)=0),COUNTIFS('①在庫を貼る'!$V$6:$V$10005,$V2391,'①在庫を貼る'!$W$6:$W$10005,$W2391)+COUNTIFS('月1回_1ヶ月前の在庫'!$V$6:$V$10005,$V2391,'月1回_1ヶ月前の在庫'!$W$6:$W$10005,$W2391)&gt;0),N(U2390),N(U2390)+1))</f>
        <v/>
      </c>
      <c r="V2391" s="19">
        <f>IF($B2391="","",TEXT($B2391,"0000"))</f>
        <v/>
      </c>
      <c r="W2391" s="19">
        <f>IF($I2391="","",IF(ISNUMBER($I2391),TEXT($I2391,"0"),$I2391))</f>
        <v/>
      </c>
    </row>
    <row r="2392">
      <c r="B2392" s="25" t="n"/>
      <c r="I2392" s="25" t="n"/>
      <c r="U2392" s="19">
        <f>IF($V2392&lt;&gt;'設定'!$C$4,N(U2391),IF(OR(NOT(COUNTIF('商品マスタ'!$B$6:$B$1005,$W2392)=0),COUNTIFS('①在庫を貼る'!$V$6:$V$10005,$V2392,'①在庫を貼る'!$W$6:$W$10005,$W2392)+COUNTIFS('月1回_1ヶ月前の在庫'!$V$6:$V$10005,$V2392,'月1回_1ヶ月前の在庫'!$W$6:$W$10005,$W2392)&gt;0),N(U2391),N(U2391)+1))</f>
        <v/>
      </c>
      <c r="V2392" s="19">
        <f>IF($B2392="","",TEXT($B2392,"0000"))</f>
        <v/>
      </c>
      <c r="W2392" s="19">
        <f>IF($I2392="","",IF(ISNUMBER($I2392),TEXT($I2392,"0"),$I2392))</f>
        <v/>
      </c>
    </row>
    <row r="2393">
      <c r="B2393" s="25" t="n"/>
      <c r="I2393" s="25" t="n"/>
      <c r="U2393" s="19">
        <f>IF($V2393&lt;&gt;'設定'!$C$4,N(U2392),IF(OR(NOT(COUNTIF('商品マスタ'!$B$6:$B$1005,$W2393)=0),COUNTIFS('①在庫を貼る'!$V$6:$V$10005,$V2393,'①在庫を貼る'!$W$6:$W$10005,$W2393)+COUNTIFS('月1回_1ヶ月前の在庫'!$V$6:$V$10005,$V2393,'月1回_1ヶ月前の在庫'!$W$6:$W$10005,$W2393)&gt;0),N(U2392),N(U2392)+1))</f>
        <v/>
      </c>
      <c r="V2393" s="19">
        <f>IF($B2393="","",TEXT($B2393,"0000"))</f>
        <v/>
      </c>
      <c r="W2393" s="19">
        <f>IF($I2393="","",IF(ISNUMBER($I2393),TEXT($I2393,"0"),$I2393))</f>
        <v/>
      </c>
    </row>
    <row r="2394">
      <c r="B2394" s="25" t="n"/>
      <c r="I2394" s="25" t="n"/>
      <c r="U2394" s="19">
        <f>IF($V2394&lt;&gt;'設定'!$C$4,N(U2393),IF(OR(NOT(COUNTIF('商品マスタ'!$B$6:$B$1005,$W2394)=0),COUNTIFS('①在庫を貼る'!$V$6:$V$10005,$V2394,'①在庫を貼る'!$W$6:$W$10005,$W2394)+COUNTIFS('月1回_1ヶ月前の在庫'!$V$6:$V$10005,$V2394,'月1回_1ヶ月前の在庫'!$W$6:$W$10005,$W2394)&gt;0),N(U2393),N(U2393)+1))</f>
        <v/>
      </c>
      <c r="V2394" s="19">
        <f>IF($B2394="","",TEXT($B2394,"0000"))</f>
        <v/>
      </c>
      <c r="W2394" s="19">
        <f>IF($I2394="","",IF(ISNUMBER($I2394),TEXT($I2394,"0"),$I2394))</f>
        <v/>
      </c>
    </row>
    <row r="2395">
      <c r="B2395" s="25" t="n"/>
      <c r="I2395" s="25" t="n"/>
      <c r="U2395" s="19">
        <f>IF($V2395&lt;&gt;'設定'!$C$4,N(U2394),IF(OR(NOT(COUNTIF('商品マスタ'!$B$6:$B$1005,$W2395)=0),COUNTIFS('①在庫を貼る'!$V$6:$V$10005,$V2395,'①在庫を貼る'!$W$6:$W$10005,$W2395)+COUNTIFS('月1回_1ヶ月前の在庫'!$V$6:$V$10005,$V2395,'月1回_1ヶ月前の在庫'!$W$6:$W$10005,$W2395)&gt;0),N(U2394),N(U2394)+1))</f>
        <v/>
      </c>
      <c r="V2395" s="19">
        <f>IF($B2395="","",TEXT($B2395,"0000"))</f>
        <v/>
      </c>
      <c r="W2395" s="19">
        <f>IF($I2395="","",IF(ISNUMBER($I2395),TEXT($I2395,"0"),$I2395))</f>
        <v/>
      </c>
    </row>
    <row r="2396">
      <c r="B2396" s="25" t="n"/>
      <c r="I2396" s="25" t="n"/>
      <c r="U2396" s="19">
        <f>IF($V2396&lt;&gt;'設定'!$C$4,N(U2395),IF(OR(NOT(COUNTIF('商品マスタ'!$B$6:$B$1005,$W2396)=0),COUNTIFS('①在庫を貼る'!$V$6:$V$10005,$V2396,'①在庫を貼る'!$W$6:$W$10005,$W2396)+COUNTIFS('月1回_1ヶ月前の在庫'!$V$6:$V$10005,$V2396,'月1回_1ヶ月前の在庫'!$W$6:$W$10005,$W2396)&gt;0),N(U2395),N(U2395)+1))</f>
        <v/>
      </c>
      <c r="V2396" s="19">
        <f>IF($B2396="","",TEXT($B2396,"0000"))</f>
        <v/>
      </c>
      <c r="W2396" s="19">
        <f>IF($I2396="","",IF(ISNUMBER($I2396),TEXT($I2396,"0"),$I2396))</f>
        <v/>
      </c>
    </row>
    <row r="2397">
      <c r="B2397" s="25" t="n"/>
      <c r="I2397" s="25" t="n"/>
      <c r="U2397" s="19">
        <f>IF($V2397&lt;&gt;'設定'!$C$4,N(U2396),IF(OR(NOT(COUNTIF('商品マスタ'!$B$6:$B$1005,$W2397)=0),COUNTIFS('①在庫を貼る'!$V$6:$V$10005,$V2397,'①在庫を貼る'!$W$6:$W$10005,$W2397)+COUNTIFS('月1回_1ヶ月前の在庫'!$V$6:$V$10005,$V2397,'月1回_1ヶ月前の在庫'!$W$6:$W$10005,$W2397)&gt;0),N(U2396),N(U2396)+1))</f>
        <v/>
      </c>
      <c r="V2397" s="19">
        <f>IF($B2397="","",TEXT($B2397,"0000"))</f>
        <v/>
      </c>
      <c r="W2397" s="19">
        <f>IF($I2397="","",IF(ISNUMBER($I2397),TEXT($I2397,"0"),$I2397))</f>
        <v/>
      </c>
    </row>
    <row r="2398">
      <c r="B2398" s="25" t="n"/>
      <c r="I2398" s="25" t="n"/>
      <c r="U2398" s="19">
        <f>IF($V2398&lt;&gt;'設定'!$C$4,N(U2397),IF(OR(NOT(COUNTIF('商品マスタ'!$B$6:$B$1005,$W2398)=0),COUNTIFS('①在庫を貼る'!$V$6:$V$10005,$V2398,'①在庫を貼る'!$W$6:$W$10005,$W2398)+COUNTIFS('月1回_1ヶ月前の在庫'!$V$6:$V$10005,$V2398,'月1回_1ヶ月前の在庫'!$W$6:$W$10005,$W2398)&gt;0),N(U2397),N(U2397)+1))</f>
        <v/>
      </c>
      <c r="V2398" s="19">
        <f>IF($B2398="","",TEXT($B2398,"0000"))</f>
        <v/>
      </c>
      <c r="W2398" s="19">
        <f>IF($I2398="","",IF(ISNUMBER($I2398),TEXT($I2398,"0"),$I2398))</f>
        <v/>
      </c>
    </row>
    <row r="2399">
      <c r="B2399" s="25" t="n"/>
      <c r="I2399" s="25" t="n"/>
      <c r="U2399" s="19">
        <f>IF($V2399&lt;&gt;'設定'!$C$4,N(U2398),IF(OR(NOT(COUNTIF('商品マスタ'!$B$6:$B$1005,$W2399)=0),COUNTIFS('①在庫を貼る'!$V$6:$V$10005,$V2399,'①在庫を貼る'!$W$6:$W$10005,$W2399)+COUNTIFS('月1回_1ヶ月前の在庫'!$V$6:$V$10005,$V2399,'月1回_1ヶ月前の在庫'!$W$6:$W$10005,$W2399)&gt;0),N(U2398),N(U2398)+1))</f>
        <v/>
      </c>
      <c r="V2399" s="19">
        <f>IF($B2399="","",TEXT($B2399,"0000"))</f>
        <v/>
      </c>
      <c r="W2399" s="19">
        <f>IF($I2399="","",IF(ISNUMBER($I2399),TEXT($I2399,"0"),$I2399))</f>
        <v/>
      </c>
    </row>
    <row r="2400">
      <c r="B2400" s="25" t="n"/>
      <c r="I2400" s="25" t="n"/>
      <c r="U2400" s="19">
        <f>IF($V2400&lt;&gt;'設定'!$C$4,N(U2399),IF(OR(NOT(COUNTIF('商品マスタ'!$B$6:$B$1005,$W2400)=0),COUNTIFS('①在庫を貼る'!$V$6:$V$10005,$V2400,'①在庫を貼る'!$W$6:$W$10005,$W2400)+COUNTIFS('月1回_1ヶ月前の在庫'!$V$6:$V$10005,$V2400,'月1回_1ヶ月前の在庫'!$W$6:$W$10005,$W2400)&gt;0),N(U2399),N(U2399)+1))</f>
        <v/>
      </c>
      <c r="V2400" s="19">
        <f>IF($B2400="","",TEXT($B2400,"0000"))</f>
        <v/>
      </c>
      <c r="W2400" s="19">
        <f>IF($I2400="","",IF(ISNUMBER($I2400),TEXT($I2400,"0"),$I2400))</f>
        <v/>
      </c>
    </row>
    <row r="2401">
      <c r="B2401" s="25" t="n"/>
      <c r="I2401" s="25" t="n"/>
      <c r="U2401" s="19">
        <f>IF($V2401&lt;&gt;'設定'!$C$4,N(U2400),IF(OR(NOT(COUNTIF('商品マスタ'!$B$6:$B$1005,$W2401)=0),COUNTIFS('①在庫を貼る'!$V$6:$V$10005,$V2401,'①在庫を貼る'!$W$6:$W$10005,$W2401)+COUNTIFS('月1回_1ヶ月前の在庫'!$V$6:$V$10005,$V2401,'月1回_1ヶ月前の在庫'!$W$6:$W$10005,$W2401)&gt;0),N(U2400),N(U2400)+1))</f>
        <v/>
      </c>
      <c r="V2401" s="19">
        <f>IF($B2401="","",TEXT($B2401,"0000"))</f>
        <v/>
      </c>
      <c r="W2401" s="19">
        <f>IF($I2401="","",IF(ISNUMBER($I2401),TEXT($I2401,"0"),$I2401))</f>
        <v/>
      </c>
    </row>
    <row r="2402">
      <c r="B2402" s="25" t="n"/>
      <c r="I2402" s="25" t="n"/>
      <c r="U2402" s="19">
        <f>IF($V2402&lt;&gt;'設定'!$C$4,N(U2401),IF(OR(NOT(COUNTIF('商品マスタ'!$B$6:$B$1005,$W2402)=0),COUNTIFS('①在庫を貼る'!$V$6:$V$10005,$V2402,'①在庫を貼る'!$W$6:$W$10005,$W2402)+COUNTIFS('月1回_1ヶ月前の在庫'!$V$6:$V$10005,$V2402,'月1回_1ヶ月前の在庫'!$W$6:$W$10005,$W2402)&gt;0),N(U2401),N(U2401)+1))</f>
        <v/>
      </c>
      <c r="V2402" s="19">
        <f>IF($B2402="","",TEXT($B2402,"0000"))</f>
        <v/>
      </c>
      <c r="W2402" s="19">
        <f>IF($I2402="","",IF(ISNUMBER($I2402),TEXT($I2402,"0"),$I2402))</f>
        <v/>
      </c>
    </row>
    <row r="2403">
      <c r="B2403" s="25" t="n"/>
      <c r="I2403" s="25" t="n"/>
      <c r="U2403" s="19">
        <f>IF($V2403&lt;&gt;'設定'!$C$4,N(U2402),IF(OR(NOT(COUNTIF('商品マスタ'!$B$6:$B$1005,$W2403)=0),COUNTIFS('①在庫を貼る'!$V$6:$V$10005,$V2403,'①在庫を貼る'!$W$6:$W$10005,$W2403)+COUNTIFS('月1回_1ヶ月前の在庫'!$V$6:$V$10005,$V2403,'月1回_1ヶ月前の在庫'!$W$6:$W$10005,$W2403)&gt;0),N(U2402),N(U2402)+1))</f>
        <v/>
      </c>
      <c r="V2403" s="19">
        <f>IF($B2403="","",TEXT($B2403,"0000"))</f>
        <v/>
      </c>
      <c r="W2403" s="19">
        <f>IF($I2403="","",IF(ISNUMBER($I2403),TEXT($I2403,"0"),$I2403))</f>
        <v/>
      </c>
    </row>
    <row r="2404">
      <c r="B2404" s="25" t="n"/>
      <c r="I2404" s="25" t="n"/>
      <c r="U2404" s="19">
        <f>IF($V2404&lt;&gt;'設定'!$C$4,N(U2403),IF(OR(NOT(COUNTIF('商品マスタ'!$B$6:$B$1005,$W2404)=0),COUNTIFS('①在庫を貼る'!$V$6:$V$10005,$V2404,'①在庫を貼る'!$W$6:$W$10005,$W2404)+COUNTIFS('月1回_1ヶ月前の在庫'!$V$6:$V$10005,$V2404,'月1回_1ヶ月前の在庫'!$W$6:$W$10005,$W2404)&gt;0),N(U2403),N(U2403)+1))</f>
        <v/>
      </c>
      <c r="V2404" s="19">
        <f>IF($B2404="","",TEXT($B2404,"0000"))</f>
        <v/>
      </c>
      <c r="W2404" s="19">
        <f>IF($I2404="","",IF(ISNUMBER($I2404),TEXT($I2404,"0"),$I2404))</f>
        <v/>
      </c>
    </row>
    <row r="2405">
      <c r="B2405" s="25" t="n"/>
      <c r="I2405" s="25" t="n"/>
      <c r="U2405" s="19">
        <f>IF($V2405&lt;&gt;'設定'!$C$4,N(U2404),IF(OR(NOT(COUNTIF('商品マスタ'!$B$6:$B$1005,$W2405)=0),COUNTIFS('①在庫を貼る'!$V$6:$V$10005,$V2405,'①在庫を貼る'!$W$6:$W$10005,$W2405)+COUNTIFS('月1回_1ヶ月前の在庫'!$V$6:$V$10005,$V2405,'月1回_1ヶ月前の在庫'!$W$6:$W$10005,$W2405)&gt;0),N(U2404),N(U2404)+1))</f>
        <v/>
      </c>
      <c r="V2405" s="19">
        <f>IF($B2405="","",TEXT($B2405,"0000"))</f>
        <v/>
      </c>
      <c r="W2405" s="19">
        <f>IF($I2405="","",IF(ISNUMBER($I2405),TEXT($I2405,"0"),$I2405))</f>
        <v/>
      </c>
    </row>
    <row r="2406">
      <c r="B2406" s="25" t="n"/>
      <c r="I2406" s="25" t="n"/>
      <c r="U2406" s="19">
        <f>IF($V2406&lt;&gt;'設定'!$C$4,N(U2405),IF(OR(NOT(COUNTIF('商品マスタ'!$B$6:$B$1005,$W2406)=0),COUNTIFS('①在庫を貼る'!$V$6:$V$10005,$V2406,'①在庫を貼る'!$W$6:$W$10005,$W2406)+COUNTIFS('月1回_1ヶ月前の在庫'!$V$6:$V$10005,$V2406,'月1回_1ヶ月前の在庫'!$W$6:$W$10005,$W2406)&gt;0),N(U2405),N(U2405)+1))</f>
        <v/>
      </c>
      <c r="V2406" s="19">
        <f>IF($B2406="","",TEXT($B2406,"0000"))</f>
        <v/>
      </c>
      <c r="W2406" s="19">
        <f>IF($I2406="","",IF(ISNUMBER($I2406),TEXT($I2406,"0"),$I2406))</f>
        <v/>
      </c>
    </row>
    <row r="2407">
      <c r="B2407" s="25" t="n"/>
      <c r="I2407" s="25" t="n"/>
      <c r="U2407" s="19">
        <f>IF($V2407&lt;&gt;'設定'!$C$4,N(U2406),IF(OR(NOT(COUNTIF('商品マスタ'!$B$6:$B$1005,$W2407)=0),COUNTIFS('①在庫を貼る'!$V$6:$V$10005,$V2407,'①在庫を貼る'!$W$6:$W$10005,$W2407)+COUNTIFS('月1回_1ヶ月前の在庫'!$V$6:$V$10005,$V2407,'月1回_1ヶ月前の在庫'!$W$6:$W$10005,$W2407)&gt;0),N(U2406),N(U2406)+1))</f>
        <v/>
      </c>
      <c r="V2407" s="19">
        <f>IF($B2407="","",TEXT($B2407,"0000"))</f>
        <v/>
      </c>
      <c r="W2407" s="19">
        <f>IF($I2407="","",IF(ISNUMBER($I2407),TEXT($I2407,"0"),$I2407))</f>
        <v/>
      </c>
    </row>
    <row r="2408">
      <c r="B2408" s="25" t="n"/>
      <c r="I2408" s="25" t="n"/>
      <c r="U2408" s="19">
        <f>IF($V2408&lt;&gt;'設定'!$C$4,N(U2407),IF(OR(NOT(COUNTIF('商品マスタ'!$B$6:$B$1005,$W2408)=0),COUNTIFS('①在庫を貼る'!$V$6:$V$10005,$V2408,'①在庫を貼る'!$W$6:$W$10005,$W2408)+COUNTIFS('月1回_1ヶ月前の在庫'!$V$6:$V$10005,$V2408,'月1回_1ヶ月前の在庫'!$W$6:$W$10005,$W2408)&gt;0),N(U2407),N(U2407)+1))</f>
        <v/>
      </c>
      <c r="V2408" s="19">
        <f>IF($B2408="","",TEXT($B2408,"0000"))</f>
        <v/>
      </c>
      <c r="W2408" s="19">
        <f>IF($I2408="","",IF(ISNUMBER($I2408),TEXT($I2408,"0"),$I2408))</f>
        <v/>
      </c>
    </row>
    <row r="2409">
      <c r="B2409" s="25" t="n"/>
      <c r="I2409" s="25" t="n"/>
      <c r="U2409" s="19">
        <f>IF($V2409&lt;&gt;'設定'!$C$4,N(U2408),IF(OR(NOT(COUNTIF('商品マスタ'!$B$6:$B$1005,$W2409)=0),COUNTIFS('①在庫を貼る'!$V$6:$V$10005,$V2409,'①在庫を貼る'!$W$6:$W$10005,$W2409)+COUNTIFS('月1回_1ヶ月前の在庫'!$V$6:$V$10005,$V2409,'月1回_1ヶ月前の在庫'!$W$6:$W$10005,$W2409)&gt;0),N(U2408),N(U2408)+1))</f>
        <v/>
      </c>
      <c r="V2409" s="19">
        <f>IF($B2409="","",TEXT($B2409,"0000"))</f>
        <v/>
      </c>
      <c r="W2409" s="19">
        <f>IF($I2409="","",IF(ISNUMBER($I2409),TEXT($I2409,"0"),$I2409))</f>
        <v/>
      </c>
    </row>
    <row r="2410">
      <c r="B2410" s="25" t="n"/>
      <c r="I2410" s="25" t="n"/>
      <c r="U2410" s="19">
        <f>IF($V2410&lt;&gt;'設定'!$C$4,N(U2409),IF(OR(NOT(COUNTIF('商品マスタ'!$B$6:$B$1005,$W2410)=0),COUNTIFS('①在庫を貼る'!$V$6:$V$10005,$V2410,'①在庫を貼る'!$W$6:$W$10005,$W2410)+COUNTIFS('月1回_1ヶ月前の在庫'!$V$6:$V$10005,$V2410,'月1回_1ヶ月前の在庫'!$W$6:$W$10005,$W2410)&gt;0),N(U2409),N(U2409)+1))</f>
        <v/>
      </c>
      <c r="V2410" s="19">
        <f>IF($B2410="","",TEXT($B2410,"0000"))</f>
        <v/>
      </c>
      <c r="W2410" s="19">
        <f>IF($I2410="","",IF(ISNUMBER($I2410),TEXT($I2410,"0"),$I2410))</f>
        <v/>
      </c>
    </row>
    <row r="2411">
      <c r="B2411" s="25" t="n"/>
      <c r="I2411" s="25" t="n"/>
      <c r="U2411" s="19">
        <f>IF($V2411&lt;&gt;'設定'!$C$4,N(U2410),IF(OR(NOT(COUNTIF('商品マスタ'!$B$6:$B$1005,$W2411)=0),COUNTIFS('①在庫を貼る'!$V$6:$V$10005,$V2411,'①在庫を貼る'!$W$6:$W$10005,$W2411)+COUNTIFS('月1回_1ヶ月前の在庫'!$V$6:$V$10005,$V2411,'月1回_1ヶ月前の在庫'!$W$6:$W$10005,$W2411)&gt;0),N(U2410),N(U2410)+1))</f>
        <v/>
      </c>
      <c r="V2411" s="19">
        <f>IF($B2411="","",TEXT($B2411,"0000"))</f>
        <v/>
      </c>
      <c r="W2411" s="19">
        <f>IF($I2411="","",IF(ISNUMBER($I2411),TEXT($I2411,"0"),$I2411))</f>
        <v/>
      </c>
    </row>
    <row r="2412">
      <c r="B2412" s="25" t="n"/>
      <c r="I2412" s="25" t="n"/>
      <c r="U2412" s="19">
        <f>IF($V2412&lt;&gt;'設定'!$C$4,N(U2411),IF(OR(NOT(COUNTIF('商品マスタ'!$B$6:$B$1005,$W2412)=0),COUNTIFS('①在庫を貼る'!$V$6:$V$10005,$V2412,'①在庫を貼る'!$W$6:$W$10005,$W2412)+COUNTIFS('月1回_1ヶ月前の在庫'!$V$6:$V$10005,$V2412,'月1回_1ヶ月前の在庫'!$W$6:$W$10005,$W2412)&gt;0),N(U2411),N(U2411)+1))</f>
        <v/>
      </c>
      <c r="V2412" s="19">
        <f>IF($B2412="","",TEXT($B2412,"0000"))</f>
        <v/>
      </c>
      <c r="W2412" s="19">
        <f>IF($I2412="","",IF(ISNUMBER($I2412),TEXT($I2412,"0"),$I2412))</f>
        <v/>
      </c>
    </row>
    <row r="2413">
      <c r="B2413" s="25" t="n"/>
      <c r="I2413" s="25" t="n"/>
      <c r="U2413" s="19">
        <f>IF($V2413&lt;&gt;'設定'!$C$4,N(U2412),IF(OR(NOT(COUNTIF('商品マスタ'!$B$6:$B$1005,$W2413)=0),COUNTIFS('①在庫を貼る'!$V$6:$V$10005,$V2413,'①在庫を貼る'!$W$6:$W$10005,$W2413)+COUNTIFS('月1回_1ヶ月前の在庫'!$V$6:$V$10005,$V2413,'月1回_1ヶ月前の在庫'!$W$6:$W$10005,$W2413)&gt;0),N(U2412),N(U2412)+1))</f>
        <v/>
      </c>
      <c r="V2413" s="19">
        <f>IF($B2413="","",TEXT($B2413,"0000"))</f>
        <v/>
      </c>
      <c r="W2413" s="19">
        <f>IF($I2413="","",IF(ISNUMBER($I2413),TEXT($I2413,"0"),$I2413))</f>
        <v/>
      </c>
    </row>
    <row r="2414">
      <c r="B2414" s="25" t="n"/>
      <c r="I2414" s="25" t="n"/>
      <c r="U2414" s="19">
        <f>IF($V2414&lt;&gt;'設定'!$C$4,N(U2413),IF(OR(NOT(COUNTIF('商品マスタ'!$B$6:$B$1005,$W2414)=0),COUNTIFS('①在庫を貼る'!$V$6:$V$10005,$V2414,'①在庫を貼る'!$W$6:$W$10005,$W2414)+COUNTIFS('月1回_1ヶ月前の在庫'!$V$6:$V$10005,$V2414,'月1回_1ヶ月前の在庫'!$W$6:$W$10005,$W2414)&gt;0),N(U2413),N(U2413)+1))</f>
        <v/>
      </c>
      <c r="V2414" s="19">
        <f>IF($B2414="","",TEXT($B2414,"0000"))</f>
        <v/>
      </c>
      <c r="W2414" s="19">
        <f>IF($I2414="","",IF(ISNUMBER($I2414),TEXT($I2414,"0"),$I2414))</f>
        <v/>
      </c>
    </row>
    <row r="2415">
      <c r="B2415" s="25" t="n"/>
      <c r="I2415" s="25" t="n"/>
      <c r="U2415" s="19">
        <f>IF($V2415&lt;&gt;'設定'!$C$4,N(U2414),IF(OR(NOT(COUNTIF('商品マスタ'!$B$6:$B$1005,$W2415)=0),COUNTIFS('①在庫を貼る'!$V$6:$V$10005,$V2415,'①在庫を貼る'!$W$6:$W$10005,$W2415)+COUNTIFS('月1回_1ヶ月前の在庫'!$V$6:$V$10005,$V2415,'月1回_1ヶ月前の在庫'!$W$6:$W$10005,$W2415)&gt;0),N(U2414),N(U2414)+1))</f>
        <v/>
      </c>
      <c r="V2415" s="19">
        <f>IF($B2415="","",TEXT($B2415,"0000"))</f>
        <v/>
      </c>
      <c r="W2415" s="19">
        <f>IF($I2415="","",IF(ISNUMBER($I2415),TEXT($I2415,"0"),$I2415))</f>
        <v/>
      </c>
    </row>
    <row r="2416">
      <c r="B2416" s="25" t="n"/>
      <c r="I2416" s="25" t="n"/>
      <c r="U2416" s="19">
        <f>IF($V2416&lt;&gt;'設定'!$C$4,N(U2415),IF(OR(NOT(COUNTIF('商品マスタ'!$B$6:$B$1005,$W2416)=0),COUNTIFS('①在庫を貼る'!$V$6:$V$10005,$V2416,'①在庫を貼る'!$W$6:$W$10005,$W2416)+COUNTIFS('月1回_1ヶ月前の在庫'!$V$6:$V$10005,$V2416,'月1回_1ヶ月前の在庫'!$W$6:$W$10005,$W2416)&gt;0),N(U2415),N(U2415)+1))</f>
        <v/>
      </c>
      <c r="V2416" s="19">
        <f>IF($B2416="","",TEXT($B2416,"0000"))</f>
        <v/>
      </c>
      <c r="W2416" s="19">
        <f>IF($I2416="","",IF(ISNUMBER($I2416),TEXT($I2416,"0"),$I2416))</f>
        <v/>
      </c>
    </row>
    <row r="2417">
      <c r="B2417" s="25" t="n"/>
      <c r="I2417" s="25" t="n"/>
      <c r="U2417" s="19">
        <f>IF($V2417&lt;&gt;'設定'!$C$4,N(U2416),IF(OR(NOT(COUNTIF('商品マスタ'!$B$6:$B$1005,$W2417)=0),COUNTIFS('①在庫を貼る'!$V$6:$V$10005,$V2417,'①在庫を貼る'!$W$6:$W$10005,$W2417)+COUNTIFS('月1回_1ヶ月前の在庫'!$V$6:$V$10005,$V2417,'月1回_1ヶ月前の在庫'!$W$6:$W$10005,$W2417)&gt;0),N(U2416),N(U2416)+1))</f>
        <v/>
      </c>
      <c r="V2417" s="19">
        <f>IF($B2417="","",TEXT($B2417,"0000"))</f>
        <v/>
      </c>
      <c r="W2417" s="19">
        <f>IF($I2417="","",IF(ISNUMBER($I2417),TEXT($I2417,"0"),$I2417))</f>
        <v/>
      </c>
    </row>
    <row r="2418">
      <c r="B2418" s="25" t="n"/>
      <c r="I2418" s="25" t="n"/>
      <c r="U2418" s="19">
        <f>IF($V2418&lt;&gt;'設定'!$C$4,N(U2417),IF(OR(NOT(COUNTIF('商品マスタ'!$B$6:$B$1005,$W2418)=0),COUNTIFS('①在庫を貼る'!$V$6:$V$10005,$V2418,'①在庫を貼る'!$W$6:$W$10005,$W2418)+COUNTIFS('月1回_1ヶ月前の在庫'!$V$6:$V$10005,$V2418,'月1回_1ヶ月前の在庫'!$W$6:$W$10005,$W2418)&gt;0),N(U2417),N(U2417)+1))</f>
        <v/>
      </c>
      <c r="V2418" s="19">
        <f>IF($B2418="","",TEXT($B2418,"0000"))</f>
        <v/>
      </c>
      <c r="W2418" s="19">
        <f>IF($I2418="","",IF(ISNUMBER($I2418),TEXT($I2418,"0"),$I2418))</f>
        <v/>
      </c>
    </row>
    <row r="2419">
      <c r="B2419" s="25" t="n"/>
      <c r="I2419" s="25" t="n"/>
      <c r="U2419" s="19">
        <f>IF($V2419&lt;&gt;'設定'!$C$4,N(U2418),IF(OR(NOT(COUNTIF('商品マスタ'!$B$6:$B$1005,$W2419)=0),COUNTIFS('①在庫を貼る'!$V$6:$V$10005,$V2419,'①在庫を貼る'!$W$6:$W$10005,$W2419)+COUNTIFS('月1回_1ヶ月前の在庫'!$V$6:$V$10005,$V2419,'月1回_1ヶ月前の在庫'!$W$6:$W$10005,$W2419)&gt;0),N(U2418),N(U2418)+1))</f>
        <v/>
      </c>
      <c r="V2419" s="19">
        <f>IF($B2419="","",TEXT($B2419,"0000"))</f>
        <v/>
      </c>
      <c r="W2419" s="19">
        <f>IF($I2419="","",IF(ISNUMBER($I2419),TEXT($I2419,"0"),$I2419))</f>
        <v/>
      </c>
    </row>
    <row r="2420">
      <c r="B2420" s="25" t="n"/>
      <c r="I2420" s="25" t="n"/>
      <c r="U2420" s="19">
        <f>IF($V2420&lt;&gt;'設定'!$C$4,N(U2419),IF(OR(NOT(COUNTIF('商品マスタ'!$B$6:$B$1005,$W2420)=0),COUNTIFS('①在庫を貼る'!$V$6:$V$10005,$V2420,'①在庫を貼る'!$W$6:$W$10005,$W2420)+COUNTIFS('月1回_1ヶ月前の在庫'!$V$6:$V$10005,$V2420,'月1回_1ヶ月前の在庫'!$W$6:$W$10005,$W2420)&gt;0),N(U2419),N(U2419)+1))</f>
        <v/>
      </c>
      <c r="V2420" s="19">
        <f>IF($B2420="","",TEXT($B2420,"0000"))</f>
        <v/>
      </c>
      <c r="W2420" s="19">
        <f>IF($I2420="","",IF(ISNUMBER($I2420),TEXT($I2420,"0"),$I2420))</f>
        <v/>
      </c>
    </row>
    <row r="2421">
      <c r="B2421" s="25" t="n"/>
      <c r="I2421" s="25" t="n"/>
      <c r="U2421" s="19">
        <f>IF($V2421&lt;&gt;'設定'!$C$4,N(U2420),IF(OR(NOT(COUNTIF('商品マスタ'!$B$6:$B$1005,$W2421)=0),COUNTIFS('①在庫を貼る'!$V$6:$V$10005,$V2421,'①在庫を貼る'!$W$6:$W$10005,$W2421)+COUNTIFS('月1回_1ヶ月前の在庫'!$V$6:$V$10005,$V2421,'月1回_1ヶ月前の在庫'!$W$6:$W$10005,$W2421)&gt;0),N(U2420),N(U2420)+1))</f>
        <v/>
      </c>
      <c r="V2421" s="19">
        <f>IF($B2421="","",TEXT($B2421,"0000"))</f>
        <v/>
      </c>
      <c r="W2421" s="19">
        <f>IF($I2421="","",IF(ISNUMBER($I2421),TEXT($I2421,"0"),$I2421))</f>
        <v/>
      </c>
    </row>
    <row r="2422">
      <c r="B2422" s="25" t="n"/>
      <c r="I2422" s="25" t="n"/>
      <c r="U2422" s="19">
        <f>IF($V2422&lt;&gt;'設定'!$C$4,N(U2421),IF(OR(NOT(COUNTIF('商品マスタ'!$B$6:$B$1005,$W2422)=0),COUNTIFS('①在庫を貼る'!$V$6:$V$10005,$V2422,'①在庫を貼る'!$W$6:$W$10005,$W2422)+COUNTIFS('月1回_1ヶ月前の在庫'!$V$6:$V$10005,$V2422,'月1回_1ヶ月前の在庫'!$W$6:$W$10005,$W2422)&gt;0),N(U2421),N(U2421)+1))</f>
        <v/>
      </c>
      <c r="V2422" s="19">
        <f>IF($B2422="","",TEXT($B2422,"0000"))</f>
        <v/>
      </c>
      <c r="W2422" s="19">
        <f>IF($I2422="","",IF(ISNUMBER($I2422),TEXT($I2422,"0"),$I2422))</f>
        <v/>
      </c>
    </row>
    <row r="2423">
      <c r="B2423" s="25" t="n"/>
      <c r="I2423" s="25" t="n"/>
      <c r="U2423" s="19">
        <f>IF($V2423&lt;&gt;'設定'!$C$4,N(U2422),IF(OR(NOT(COUNTIF('商品マスタ'!$B$6:$B$1005,$W2423)=0),COUNTIFS('①在庫を貼る'!$V$6:$V$10005,$V2423,'①在庫を貼る'!$W$6:$W$10005,$W2423)+COUNTIFS('月1回_1ヶ月前の在庫'!$V$6:$V$10005,$V2423,'月1回_1ヶ月前の在庫'!$W$6:$W$10005,$W2423)&gt;0),N(U2422),N(U2422)+1))</f>
        <v/>
      </c>
      <c r="V2423" s="19">
        <f>IF($B2423="","",TEXT($B2423,"0000"))</f>
        <v/>
      </c>
      <c r="W2423" s="19">
        <f>IF($I2423="","",IF(ISNUMBER($I2423),TEXT($I2423,"0"),$I2423))</f>
        <v/>
      </c>
    </row>
    <row r="2424">
      <c r="B2424" s="25" t="n"/>
      <c r="I2424" s="25" t="n"/>
      <c r="U2424" s="19">
        <f>IF($V2424&lt;&gt;'設定'!$C$4,N(U2423),IF(OR(NOT(COUNTIF('商品マスタ'!$B$6:$B$1005,$W2424)=0),COUNTIFS('①在庫を貼る'!$V$6:$V$10005,$V2424,'①在庫を貼る'!$W$6:$W$10005,$W2424)+COUNTIFS('月1回_1ヶ月前の在庫'!$V$6:$V$10005,$V2424,'月1回_1ヶ月前の在庫'!$W$6:$W$10005,$W2424)&gt;0),N(U2423),N(U2423)+1))</f>
        <v/>
      </c>
      <c r="V2424" s="19">
        <f>IF($B2424="","",TEXT($B2424,"0000"))</f>
        <v/>
      </c>
      <c r="W2424" s="19">
        <f>IF($I2424="","",IF(ISNUMBER($I2424),TEXT($I2424,"0"),$I2424))</f>
        <v/>
      </c>
    </row>
    <row r="2425">
      <c r="B2425" s="25" t="n"/>
      <c r="I2425" s="25" t="n"/>
      <c r="U2425" s="19">
        <f>IF($V2425&lt;&gt;'設定'!$C$4,N(U2424),IF(OR(NOT(COUNTIF('商品マスタ'!$B$6:$B$1005,$W2425)=0),COUNTIFS('①在庫を貼る'!$V$6:$V$10005,$V2425,'①在庫を貼る'!$W$6:$W$10005,$W2425)+COUNTIFS('月1回_1ヶ月前の在庫'!$V$6:$V$10005,$V2425,'月1回_1ヶ月前の在庫'!$W$6:$W$10005,$W2425)&gt;0),N(U2424),N(U2424)+1))</f>
        <v/>
      </c>
      <c r="V2425" s="19">
        <f>IF($B2425="","",TEXT($B2425,"0000"))</f>
        <v/>
      </c>
      <c r="W2425" s="19">
        <f>IF($I2425="","",IF(ISNUMBER($I2425),TEXT($I2425,"0"),$I2425))</f>
        <v/>
      </c>
    </row>
    <row r="2426">
      <c r="B2426" s="25" t="n"/>
      <c r="I2426" s="25" t="n"/>
      <c r="U2426" s="19">
        <f>IF($V2426&lt;&gt;'設定'!$C$4,N(U2425),IF(OR(NOT(COUNTIF('商品マスタ'!$B$6:$B$1005,$W2426)=0),COUNTIFS('①在庫を貼る'!$V$6:$V$10005,$V2426,'①在庫を貼る'!$W$6:$W$10005,$W2426)+COUNTIFS('月1回_1ヶ月前の在庫'!$V$6:$V$10005,$V2426,'月1回_1ヶ月前の在庫'!$W$6:$W$10005,$W2426)&gt;0),N(U2425),N(U2425)+1))</f>
        <v/>
      </c>
      <c r="V2426" s="19">
        <f>IF($B2426="","",TEXT($B2426,"0000"))</f>
        <v/>
      </c>
      <c r="W2426" s="19">
        <f>IF($I2426="","",IF(ISNUMBER($I2426),TEXT($I2426,"0"),$I2426))</f>
        <v/>
      </c>
    </row>
    <row r="2427">
      <c r="B2427" s="25" t="n"/>
      <c r="I2427" s="25" t="n"/>
      <c r="U2427" s="19">
        <f>IF($V2427&lt;&gt;'設定'!$C$4,N(U2426),IF(OR(NOT(COUNTIF('商品マスタ'!$B$6:$B$1005,$W2427)=0),COUNTIFS('①在庫を貼る'!$V$6:$V$10005,$V2427,'①在庫を貼る'!$W$6:$W$10005,$W2427)+COUNTIFS('月1回_1ヶ月前の在庫'!$V$6:$V$10005,$V2427,'月1回_1ヶ月前の在庫'!$W$6:$W$10005,$W2427)&gt;0),N(U2426),N(U2426)+1))</f>
        <v/>
      </c>
      <c r="V2427" s="19">
        <f>IF($B2427="","",TEXT($B2427,"0000"))</f>
        <v/>
      </c>
      <c r="W2427" s="19">
        <f>IF($I2427="","",IF(ISNUMBER($I2427),TEXT($I2427,"0"),$I2427))</f>
        <v/>
      </c>
    </row>
    <row r="2428">
      <c r="B2428" s="25" t="n"/>
      <c r="I2428" s="25" t="n"/>
      <c r="U2428" s="19">
        <f>IF($V2428&lt;&gt;'設定'!$C$4,N(U2427),IF(OR(NOT(COUNTIF('商品マスタ'!$B$6:$B$1005,$W2428)=0),COUNTIFS('①在庫を貼る'!$V$6:$V$10005,$V2428,'①在庫を貼る'!$W$6:$W$10005,$W2428)+COUNTIFS('月1回_1ヶ月前の在庫'!$V$6:$V$10005,$V2428,'月1回_1ヶ月前の在庫'!$W$6:$W$10005,$W2428)&gt;0),N(U2427),N(U2427)+1))</f>
        <v/>
      </c>
      <c r="V2428" s="19">
        <f>IF($B2428="","",TEXT($B2428,"0000"))</f>
        <v/>
      </c>
      <c r="W2428" s="19">
        <f>IF($I2428="","",IF(ISNUMBER($I2428),TEXT($I2428,"0"),$I2428))</f>
        <v/>
      </c>
    </row>
    <row r="2429">
      <c r="B2429" s="25" t="n"/>
      <c r="I2429" s="25" t="n"/>
      <c r="U2429" s="19">
        <f>IF($V2429&lt;&gt;'設定'!$C$4,N(U2428),IF(OR(NOT(COUNTIF('商品マスタ'!$B$6:$B$1005,$W2429)=0),COUNTIFS('①在庫を貼る'!$V$6:$V$10005,$V2429,'①在庫を貼る'!$W$6:$W$10005,$W2429)+COUNTIFS('月1回_1ヶ月前の在庫'!$V$6:$V$10005,$V2429,'月1回_1ヶ月前の在庫'!$W$6:$W$10005,$W2429)&gt;0),N(U2428),N(U2428)+1))</f>
        <v/>
      </c>
      <c r="V2429" s="19">
        <f>IF($B2429="","",TEXT($B2429,"0000"))</f>
        <v/>
      </c>
      <c r="W2429" s="19">
        <f>IF($I2429="","",IF(ISNUMBER($I2429),TEXT($I2429,"0"),$I2429))</f>
        <v/>
      </c>
    </row>
    <row r="2430">
      <c r="B2430" s="25" t="n"/>
      <c r="I2430" s="25" t="n"/>
      <c r="U2430" s="19">
        <f>IF($V2430&lt;&gt;'設定'!$C$4,N(U2429),IF(OR(NOT(COUNTIF('商品マスタ'!$B$6:$B$1005,$W2430)=0),COUNTIFS('①在庫を貼る'!$V$6:$V$10005,$V2430,'①在庫を貼る'!$W$6:$W$10005,$W2430)+COUNTIFS('月1回_1ヶ月前の在庫'!$V$6:$V$10005,$V2430,'月1回_1ヶ月前の在庫'!$W$6:$W$10005,$W2430)&gt;0),N(U2429),N(U2429)+1))</f>
        <v/>
      </c>
      <c r="V2430" s="19">
        <f>IF($B2430="","",TEXT($B2430,"0000"))</f>
        <v/>
      </c>
      <c r="W2430" s="19">
        <f>IF($I2430="","",IF(ISNUMBER($I2430),TEXT($I2430,"0"),$I2430))</f>
        <v/>
      </c>
    </row>
    <row r="2431">
      <c r="B2431" s="25" t="n"/>
      <c r="I2431" s="25" t="n"/>
      <c r="U2431" s="19">
        <f>IF($V2431&lt;&gt;'設定'!$C$4,N(U2430),IF(OR(NOT(COUNTIF('商品マスタ'!$B$6:$B$1005,$W2431)=0),COUNTIFS('①在庫を貼る'!$V$6:$V$10005,$V2431,'①在庫を貼る'!$W$6:$W$10005,$W2431)+COUNTIFS('月1回_1ヶ月前の在庫'!$V$6:$V$10005,$V2431,'月1回_1ヶ月前の在庫'!$W$6:$W$10005,$W2431)&gt;0),N(U2430),N(U2430)+1))</f>
        <v/>
      </c>
      <c r="V2431" s="19">
        <f>IF($B2431="","",TEXT($B2431,"0000"))</f>
        <v/>
      </c>
      <c r="W2431" s="19">
        <f>IF($I2431="","",IF(ISNUMBER($I2431),TEXT($I2431,"0"),$I2431))</f>
        <v/>
      </c>
    </row>
    <row r="2432">
      <c r="B2432" s="25" t="n"/>
      <c r="I2432" s="25" t="n"/>
      <c r="U2432" s="19">
        <f>IF($V2432&lt;&gt;'設定'!$C$4,N(U2431),IF(OR(NOT(COUNTIF('商品マスタ'!$B$6:$B$1005,$W2432)=0),COUNTIFS('①在庫を貼る'!$V$6:$V$10005,$V2432,'①在庫を貼る'!$W$6:$W$10005,$W2432)+COUNTIFS('月1回_1ヶ月前の在庫'!$V$6:$V$10005,$V2432,'月1回_1ヶ月前の在庫'!$W$6:$W$10005,$W2432)&gt;0),N(U2431),N(U2431)+1))</f>
        <v/>
      </c>
      <c r="V2432" s="19">
        <f>IF($B2432="","",TEXT($B2432,"0000"))</f>
        <v/>
      </c>
      <c r="W2432" s="19">
        <f>IF($I2432="","",IF(ISNUMBER($I2432),TEXT($I2432,"0"),$I2432))</f>
        <v/>
      </c>
    </row>
    <row r="2433">
      <c r="B2433" s="25" t="n"/>
      <c r="I2433" s="25" t="n"/>
      <c r="U2433" s="19">
        <f>IF($V2433&lt;&gt;'設定'!$C$4,N(U2432),IF(OR(NOT(COUNTIF('商品マスタ'!$B$6:$B$1005,$W2433)=0),COUNTIFS('①在庫を貼る'!$V$6:$V$10005,$V2433,'①在庫を貼る'!$W$6:$W$10005,$W2433)+COUNTIFS('月1回_1ヶ月前の在庫'!$V$6:$V$10005,$V2433,'月1回_1ヶ月前の在庫'!$W$6:$W$10005,$W2433)&gt;0),N(U2432),N(U2432)+1))</f>
        <v/>
      </c>
      <c r="V2433" s="19">
        <f>IF($B2433="","",TEXT($B2433,"0000"))</f>
        <v/>
      </c>
      <c r="W2433" s="19">
        <f>IF($I2433="","",IF(ISNUMBER($I2433),TEXT($I2433,"0"),$I2433))</f>
        <v/>
      </c>
    </row>
    <row r="2434">
      <c r="B2434" s="25" t="n"/>
      <c r="I2434" s="25" t="n"/>
      <c r="U2434" s="19">
        <f>IF($V2434&lt;&gt;'設定'!$C$4,N(U2433),IF(OR(NOT(COUNTIF('商品マスタ'!$B$6:$B$1005,$W2434)=0),COUNTIFS('①在庫を貼る'!$V$6:$V$10005,$V2434,'①在庫を貼る'!$W$6:$W$10005,$W2434)+COUNTIFS('月1回_1ヶ月前の在庫'!$V$6:$V$10005,$V2434,'月1回_1ヶ月前の在庫'!$W$6:$W$10005,$W2434)&gt;0),N(U2433),N(U2433)+1))</f>
        <v/>
      </c>
      <c r="V2434" s="19">
        <f>IF($B2434="","",TEXT($B2434,"0000"))</f>
        <v/>
      </c>
      <c r="W2434" s="19">
        <f>IF($I2434="","",IF(ISNUMBER($I2434),TEXT($I2434,"0"),$I2434))</f>
        <v/>
      </c>
    </row>
    <row r="2435">
      <c r="B2435" s="25" t="n"/>
      <c r="I2435" s="25" t="n"/>
      <c r="U2435" s="19">
        <f>IF($V2435&lt;&gt;'設定'!$C$4,N(U2434),IF(OR(NOT(COUNTIF('商品マスタ'!$B$6:$B$1005,$W2435)=0),COUNTIFS('①在庫を貼る'!$V$6:$V$10005,$V2435,'①在庫を貼る'!$W$6:$W$10005,$W2435)+COUNTIFS('月1回_1ヶ月前の在庫'!$V$6:$V$10005,$V2435,'月1回_1ヶ月前の在庫'!$W$6:$W$10005,$W2435)&gt;0),N(U2434),N(U2434)+1))</f>
        <v/>
      </c>
      <c r="V2435" s="19">
        <f>IF($B2435="","",TEXT($B2435,"0000"))</f>
        <v/>
      </c>
      <c r="W2435" s="19">
        <f>IF($I2435="","",IF(ISNUMBER($I2435),TEXT($I2435,"0"),$I2435))</f>
        <v/>
      </c>
    </row>
    <row r="2436">
      <c r="B2436" s="25" t="n"/>
      <c r="I2436" s="25" t="n"/>
      <c r="U2436" s="19">
        <f>IF($V2436&lt;&gt;'設定'!$C$4,N(U2435),IF(OR(NOT(COUNTIF('商品マスタ'!$B$6:$B$1005,$W2436)=0),COUNTIFS('①在庫を貼る'!$V$6:$V$10005,$V2436,'①在庫を貼る'!$W$6:$W$10005,$W2436)+COUNTIFS('月1回_1ヶ月前の在庫'!$V$6:$V$10005,$V2436,'月1回_1ヶ月前の在庫'!$W$6:$W$10005,$W2436)&gt;0),N(U2435),N(U2435)+1))</f>
        <v/>
      </c>
      <c r="V2436" s="19">
        <f>IF($B2436="","",TEXT($B2436,"0000"))</f>
        <v/>
      </c>
      <c r="W2436" s="19">
        <f>IF($I2436="","",IF(ISNUMBER($I2436),TEXT($I2436,"0"),$I2436))</f>
        <v/>
      </c>
    </row>
    <row r="2437">
      <c r="B2437" s="25" t="n"/>
      <c r="I2437" s="25" t="n"/>
      <c r="U2437" s="19">
        <f>IF($V2437&lt;&gt;'設定'!$C$4,N(U2436),IF(OR(NOT(COUNTIF('商品マスタ'!$B$6:$B$1005,$W2437)=0),COUNTIFS('①在庫を貼る'!$V$6:$V$10005,$V2437,'①在庫を貼る'!$W$6:$W$10005,$W2437)+COUNTIFS('月1回_1ヶ月前の在庫'!$V$6:$V$10005,$V2437,'月1回_1ヶ月前の在庫'!$W$6:$W$10005,$W2437)&gt;0),N(U2436),N(U2436)+1))</f>
        <v/>
      </c>
      <c r="V2437" s="19">
        <f>IF($B2437="","",TEXT($B2437,"0000"))</f>
        <v/>
      </c>
      <c r="W2437" s="19">
        <f>IF($I2437="","",IF(ISNUMBER($I2437),TEXT($I2437,"0"),$I2437))</f>
        <v/>
      </c>
    </row>
    <row r="2438">
      <c r="B2438" s="25" t="n"/>
      <c r="I2438" s="25" t="n"/>
      <c r="U2438" s="19">
        <f>IF($V2438&lt;&gt;'設定'!$C$4,N(U2437),IF(OR(NOT(COUNTIF('商品マスタ'!$B$6:$B$1005,$W2438)=0),COUNTIFS('①在庫を貼る'!$V$6:$V$10005,$V2438,'①在庫を貼る'!$W$6:$W$10005,$W2438)+COUNTIFS('月1回_1ヶ月前の在庫'!$V$6:$V$10005,$V2438,'月1回_1ヶ月前の在庫'!$W$6:$W$10005,$W2438)&gt;0),N(U2437),N(U2437)+1))</f>
        <v/>
      </c>
      <c r="V2438" s="19">
        <f>IF($B2438="","",TEXT($B2438,"0000"))</f>
        <v/>
      </c>
      <c r="W2438" s="19">
        <f>IF($I2438="","",IF(ISNUMBER($I2438),TEXT($I2438,"0"),$I2438))</f>
        <v/>
      </c>
    </row>
    <row r="2439">
      <c r="B2439" s="25" t="n"/>
      <c r="I2439" s="25" t="n"/>
      <c r="U2439" s="19">
        <f>IF($V2439&lt;&gt;'設定'!$C$4,N(U2438),IF(OR(NOT(COUNTIF('商品マスタ'!$B$6:$B$1005,$W2439)=0),COUNTIFS('①在庫を貼る'!$V$6:$V$10005,$V2439,'①在庫を貼る'!$W$6:$W$10005,$W2439)+COUNTIFS('月1回_1ヶ月前の在庫'!$V$6:$V$10005,$V2439,'月1回_1ヶ月前の在庫'!$W$6:$W$10005,$W2439)&gt;0),N(U2438),N(U2438)+1))</f>
        <v/>
      </c>
      <c r="V2439" s="19">
        <f>IF($B2439="","",TEXT($B2439,"0000"))</f>
        <v/>
      </c>
      <c r="W2439" s="19">
        <f>IF($I2439="","",IF(ISNUMBER($I2439),TEXT($I2439,"0"),$I2439))</f>
        <v/>
      </c>
    </row>
    <row r="2440">
      <c r="B2440" s="25" t="n"/>
      <c r="I2440" s="25" t="n"/>
      <c r="U2440" s="19">
        <f>IF($V2440&lt;&gt;'設定'!$C$4,N(U2439),IF(OR(NOT(COUNTIF('商品マスタ'!$B$6:$B$1005,$W2440)=0),COUNTIFS('①在庫を貼る'!$V$6:$V$10005,$V2440,'①在庫を貼る'!$W$6:$W$10005,$W2440)+COUNTIFS('月1回_1ヶ月前の在庫'!$V$6:$V$10005,$V2440,'月1回_1ヶ月前の在庫'!$W$6:$W$10005,$W2440)&gt;0),N(U2439),N(U2439)+1))</f>
        <v/>
      </c>
      <c r="V2440" s="19">
        <f>IF($B2440="","",TEXT($B2440,"0000"))</f>
        <v/>
      </c>
      <c r="W2440" s="19">
        <f>IF($I2440="","",IF(ISNUMBER($I2440),TEXT($I2440,"0"),$I2440))</f>
        <v/>
      </c>
    </row>
    <row r="2441">
      <c r="B2441" s="25" t="n"/>
      <c r="I2441" s="25" t="n"/>
      <c r="U2441" s="19">
        <f>IF($V2441&lt;&gt;'設定'!$C$4,N(U2440),IF(OR(NOT(COUNTIF('商品マスタ'!$B$6:$B$1005,$W2441)=0),COUNTIFS('①在庫を貼る'!$V$6:$V$10005,$V2441,'①在庫を貼る'!$W$6:$W$10005,$W2441)+COUNTIFS('月1回_1ヶ月前の在庫'!$V$6:$V$10005,$V2441,'月1回_1ヶ月前の在庫'!$W$6:$W$10005,$W2441)&gt;0),N(U2440),N(U2440)+1))</f>
        <v/>
      </c>
      <c r="V2441" s="19">
        <f>IF($B2441="","",TEXT($B2441,"0000"))</f>
        <v/>
      </c>
      <c r="W2441" s="19">
        <f>IF($I2441="","",IF(ISNUMBER($I2441),TEXT($I2441,"0"),$I2441))</f>
        <v/>
      </c>
    </row>
    <row r="2442">
      <c r="B2442" s="25" t="n"/>
      <c r="I2442" s="25" t="n"/>
      <c r="U2442" s="19">
        <f>IF($V2442&lt;&gt;'設定'!$C$4,N(U2441),IF(OR(NOT(COUNTIF('商品マスタ'!$B$6:$B$1005,$W2442)=0),COUNTIFS('①在庫を貼る'!$V$6:$V$10005,$V2442,'①在庫を貼る'!$W$6:$W$10005,$W2442)+COUNTIFS('月1回_1ヶ月前の在庫'!$V$6:$V$10005,$V2442,'月1回_1ヶ月前の在庫'!$W$6:$W$10005,$W2442)&gt;0),N(U2441),N(U2441)+1))</f>
        <v/>
      </c>
      <c r="V2442" s="19">
        <f>IF($B2442="","",TEXT($B2442,"0000"))</f>
        <v/>
      </c>
      <c r="W2442" s="19">
        <f>IF($I2442="","",IF(ISNUMBER($I2442),TEXT($I2442,"0"),$I2442))</f>
        <v/>
      </c>
    </row>
    <row r="2443">
      <c r="B2443" s="25" t="n"/>
      <c r="I2443" s="25" t="n"/>
      <c r="U2443" s="19">
        <f>IF($V2443&lt;&gt;'設定'!$C$4,N(U2442),IF(OR(NOT(COUNTIF('商品マスタ'!$B$6:$B$1005,$W2443)=0),COUNTIFS('①在庫を貼る'!$V$6:$V$10005,$V2443,'①在庫を貼る'!$W$6:$W$10005,$W2443)+COUNTIFS('月1回_1ヶ月前の在庫'!$V$6:$V$10005,$V2443,'月1回_1ヶ月前の在庫'!$W$6:$W$10005,$W2443)&gt;0),N(U2442),N(U2442)+1))</f>
        <v/>
      </c>
      <c r="V2443" s="19">
        <f>IF($B2443="","",TEXT($B2443,"0000"))</f>
        <v/>
      </c>
      <c r="W2443" s="19">
        <f>IF($I2443="","",IF(ISNUMBER($I2443),TEXT($I2443,"0"),$I2443))</f>
        <v/>
      </c>
    </row>
    <row r="2444">
      <c r="B2444" s="25" t="n"/>
      <c r="I2444" s="25" t="n"/>
      <c r="U2444" s="19">
        <f>IF($V2444&lt;&gt;'設定'!$C$4,N(U2443),IF(OR(NOT(COUNTIF('商品マスタ'!$B$6:$B$1005,$W2444)=0),COUNTIFS('①在庫を貼る'!$V$6:$V$10005,$V2444,'①在庫を貼る'!$W$6:$W$10005,$W2444)+COUNTIFS('月1回_1ヶ月前の在庫'!$V$6:$V$10005,$V2444,'月1回_1ヶ月前の在庫'!$W$6:$W$10005,$W2444)&gt;0),N(U2443),N(U2443)+1))</f>
        <v/>
      </c>
      <c r="V2444" s="19">
        <f>IF($B2444="","",TEXT($B2444,"0000"))</f>
        <v/>
      </c>
      <c r="W2444" s="19">
        <f>IF($I2444="","",IF(ISNUMBER($I2444),TEXT($I2444,"0"),$I2444))</f>
        <v/>
      </c>
    </row>
    <row r="2445">
      <c r="B2445" s="25" t="n"/>
      <c r="I2445" s="25" t="n"/>
      <c r="U2445" s="19">
        <f>IF($V2445&lt;&gt;'設定'!$C$4,N(U2444),IF(OR(NOT(COUNTIF('商品マスタ'!$B$6:$B$1005,$W2445)=0),COUNTIFS('①在庫を貼る'!$V$6:$V$10005,$V2445,'①在庫を貼る'!$W$6:$W$10005,$W2445)+COUNTIFS('月1回_1ヶ月前の在庫'!$V$6:$V$10005,$V2445,'月1回_1ヶ月前の在庫'!$W$6:$W$10005,$W2445)&gt;0),N(U2444),N(U2444)+1))</f>
        <v/>
      </c>
      <c r="V2445" s="19">
        <f>IF($B2445="","",TEXT($B2445,"0000"))</f>
        <v/>
      </c>
      <c r="W2445" s="19">
        <f>IF($I2445="","",IF(ISNUMBER($I2445),TEXT($I2445,"0"),$I2445))</f>
        <v/>
      </c>
    </row>
    <row r="2446">
      <c r="B2446" s="25" t="n"/>
      <c r="I2446" s="25" t="n"/>
      <c r="U2446" s="19">
        <f>IF($V2446&lt;&gt;'設定'!$C$4,N(U2445),IF(OR(NOT(COUNTIF('商品マスタ'!$B$6:$B$1005,$W2446)=0),COUNTIFS('①在庫を貼る'!$V$6:$V$10005,$V2446,'①在庫を貼る'!$W$6:$W$10005,$W2446)+COUNTIFS('月1回_1ヶ月前の在庫'!$V$6:$V$10005,$V2446,'月1回_1ヶ月前の在庫'!$W$6:$W$10005,$W2446)&gt;0),N(U2445),N(U2445)+1))</f>
        <v/>
      </c>
      <c r="V2446" s="19">
        <f>IF($B2446="","",TEXT($B2446,"0000"))</f>
        <v/>
      </c>
      <c r="W2446" s="19">
        <f>IF($I2446="","",IF(ISNUMBER($I2446),TEXT($I2446,"0"),$I2446))</f>
        <v/>
      </c>
    </row>
    <row r="2447">
      <c r="B2447" s="25" t="n"/>
      <c r="I2447" s="25" t="n"/>
      <c r="U2447" s="19">
        <f>IF($V2447&lt;&gt;'設定'!$C$4,N(U2446),IF(OR(NOT(COUNTIF('商品マスタ'!$B$6:$B$1005,$W2447)=0),COUNTIFS('①在庫を貼る'!$V$6:$V$10005,$V2447,'①在庫を貼る'!$W$6:$W$10005,$W2447)+COUNTIFS('月1回_1ヶ月前の在庫'!$V$6:$V$10005,$V2447,'月1回_1ヶ月前の在庫'!$W$6:$W$10005,$W2447)&gt;0),N(U2446),N(U2446)+1))</f>
        <v/>
      </c>
      <c r="V2447" s="19">
        <f>IF($B2447="","",TEXT($B2447,"0000"))</f>
        <v/>
      </c>
      <c r="W2447" s="19">
        <f>IF($I2447="","",IF(ISNUMBER($I2447),TEXT($I2447,"0"),$I2447))</f>
        <v/>
      </c>
    </row>
    <row r="2448">
      <c r="B2448" s="25" t="n"/>
      <c r="I2448" s="25" t="n"/>
      <c r="U2448" s="19">
        <f>IF($V2448&lt;&gt;'設定'!$C$4,N(U2447),IF(OR(NOT(COUNTIF('商品マスタ'!$B$6:$B$1005,$W2448)=0),COUNTIFS('①在庫を貼る'!$V$6:$V$10005,$V2448,'①在庫を貼る'!$W$6:$W$10005,$W2448)+COUNTIFS('月1回_1ヶ月前の在庫'!$V$6:$V$10005,$V2448,'月1回_1ヶ月前の在庫'!$W$6:$W$10005,$W2448)&gt;0),N(U2447),N(U2447)+1))</f>
        <v/>
      </c>
      <c r="V2448" s="19">
        <f>IF($B2448="","",TEXT($B2448,"0000"))</f>
        <v/>
      </c>
      <c r="W2448" s="19">
        <f>IF($I2448="","",IF(ISNUMBER($I2448),TEXT($I2448,"0"),$I2448))</f>
        <v/>
      </c>
    </row>
    <row r="2449">
      <c r="B2449" s="25" t="n"/>
      <c r="I2449" s="25" t="n"/>
      <c r="U2449" s="19">
        <f>IF($V2449&lt;&gt;'設定'!$C$4,N(U2448),IF(OR(NOT(COUNTIF('商品マスタ'!$B$6:$B$1005,$W2449)=0),COUNTIFS('①在庫を貼る'!$V$6:$V$10005,$V2449,'①在庫を貼る'!$W$6:$W$10005,$W2449)+COUNTIFS('月1回_1ヶ月前の在庫'!$V$6:$V$10005,$V2449,'月1回_1ヶ月前の在庫'!$W$6:$W$10005,$W2449)&gt;0),N(U2448),N(U2448)+1))</f>
        <v/>
      </c>
      <c r="V2449" s="19">
        <f>IF($B2449="","",TEXT($B2449,"0000"))</f>
        <v/>
      </c>
      <c r="W2449" s="19">
        <f>IF($I2449="","",IF(ISNUMBER($I2449),TEXT($I2449,"0"),$I2449))</f>
        <v/>
      </c>
    </row>
    <row r="2450">
      <c r="B2450" s="25" t="n"/>
      <c r="I2450" s="25" t="n"/>
      <c r="U2450" s="19">
        <f>IF($V2450&lt;&gt;'設定'!$C$4,N(U2449),IF(OR(NOT(COUNTIF('商品マスタ'!$B$6:$B$1005,$W2450)=0),COUNTIFS('①在庫を貼る'!$V$6:$V$10005,$V2450,'①在庫を貼る'!$W$6:$W$10005,$W2450)+COUNTIFS('月1回_1ヶ月前の在庫'!$V$6:$V$10005,$V2450,'月1回_1ヶ月前の在庫'!$W$6:$W$10005,$W2450)&gt;0),N(U2449),N(U2449)+1))</f>
        <v/>
      </c>
      <c r="V2450" s="19">
        <f>IF($B2450="","",TEXT($B2450,"0000"))</f>
        <v/>
      </c>
      <c r="W2450" s="19">
        <f>IF($I2450="","",IF(ISNUMBER($I2450),TEXT($I2450,"0"),$I2450))</f>
        <v/>
      </c>
    </row>
    <row r="2451">
      <c r="B2451" s="25" t="n"/>
      <c r="I2451" s="25" t="n"/>
      <c r="U2451" s="19">
        <f>IF($V2451&lt;&gt;'設定'!$C$4,N(U2450),IF(OR(NOT(COUNTIF('商品マスタ'!$B$6:$B$1005,$W2451)=0),COUNTIFS('①在庫を貼る'!$V$6:$V$10005,$V2451,'①在庫を貼る'!$W$6:$W$10005,$W2451)+COUNTIFS('月1回_1ヶ月前の在庫'!$V$6:$V$10005,$V2451,'月1回_1ヶ月前の在庫'!$W$6:$W$10005,$W2451)&gt;0),N(U2450),N(U2450)+1))</f>
        <v/>
      </c>
      <c r="V2451" s="19">
        <f>IF($B2451="","",TEXT($B2451,"0000"))</f>
        <v/>
      </c>
      <c r="W2451" s="19">
        <f>IF($I2451="","",IF(ISNUMBER($I2451),TEXT($I2451,"0"),$I2451))</f>
        <v/>
      </c>
    </row>
    <row r="2452">
      <c r="B2452" s="25" t="n"/>
      <c r="I2452" s="25" t="n"/>
      <c r="U2452" s="19">
        <f>IF($V2452&lt;&gt;'設定'!$C$4,N(U2451),IF(OR(NOT(COUNTIF('商品マスタ'!$B$6:$B$1005,$W2452)=0),COUNTIFS('①在庫を貼る'!$V$6:$V$10005,$V2452,'①在庫を貼る'!$W$6:$W$10005,$W2452)+COUNTIFS('月1回_1ヶ月前の在庫'!$V$6:$V$10005,$V2452,'月1回_1ヶ月前の在庫'!$W$6:$W$10005,$W2452)&gt;0),N(U2451),N(U2451)+1))</f>
        <v/>
      </c>
      <c r="V2452" s="19">
        <f>IF($B2452="","",TEXT($B2452,"0000"))</f>
        <v/>
      </c>
      <c r="W2452" s="19">
        <f>IF($I2452="","",IF(ISNUMBER($I2452),TEXT($I2452,"0"),$I2452))</f>
        <v/>
      </c>
    </row>
    <row r="2453">
      <c r="B2453" s="25" t="n"/>
      <c r="I2453" s="25" t="n"/>
      <c r="U2453" s="19">
        <f>IF($V2453&lt;&gt;'設定'!$C$4,N(U2452),IF(OR(NOT(COUNTIF('商品マスタ'!$B$6:$B$1005,$W2453)=0),COUNTIFS('①在庫を貼る'!$V$6:$V$10005,$V2453,'①在庫を貼る'!$W$6:$W$10005,$W2453)+COUNTIFS('月1回_1ヶ月前の在庫'!$V$6:$V$10005,$V2453,'月1回_1ヶ月前の在庫'!$W$6:$W$10005,$W2453)&gt;0),N(U2452),N(U2452)+1))</f>
        <v/>
      </c>
      <c r="V2453" s="19">
        <f>IF($B2453="","",TEXT($B2453,"0000"))</f>
        <v/>
      </c>
      <c r="W2453" s="19">
        <f>IF($I2453="","",IF(ISNUMBER($I2453),TEXT($I2453,"0"),$I2453))</f>
        <v/>
      </c>
    </row>
    <row r="2454">
      <c r="B2454" s="25" t="n"/>
      <c r="I2454" s="25" t="n"/>
      <c r="U2454" s="19">
        <f>IF($V2454&lt;&gt;'設定'!$C$4,N(U2453),IF(OR(NOT(COUNTIF('商品マスタ'!$B$6:$B$1005,$W2454)=0),COUNTIFS('①在庫を貼る'!$V$6:$V$10005,$V2454,'①在庫を貼る'!$W$6:$W$10005,$W2454)+COUNTIFS('月1回_1ヶ月前の在庫'!$V$6:$V$10005,$V2454,'月1回_1ヶ月前の在庫'!$W$6:$W$10005,$W2454)&gt;0),N(U2453),N(U2453)+1))</f>
        <v/>
      </c>
      <c r="V2454" s="19">
        <f>IF($B2454="","",TEXT($B2454,"0000"))</f>
        <v/>
      </c>
      <c r="W2454" s="19">
        <f>IF($I2454="","",IF(ISNUMBER($I2454),TEXT($I2454,"0"),$I2454))</f>
        <v/>
      </c>
    </row>
    <row r="2455">
      <c r="B2455" s="25" t="n"/>
      <c r="I2455" s="25" t="n"/>
      <c r="U2455" s="19">
        <f>IF($V2455&lt;&gt;'設定'!$C$4,N(U2454),IF(OR(NOT(COUNTIF('商品マスタ'!$B$6:$B$1005,$W2455)=0),COUNTIFS('①在庫を貼る'!$V$6:$V$10005,$V2455,'①在庫を貼る'!$W$6:$W$10005,$W2455)+COUNTIFS('月1回_1ヶ月前の在庫'!$V$6:$V$10005,$V2455,'月1回_1ヶ月前の在庫'!$W$6:$W$10005,$W2455)&gt;0),N(U2454),N(U2454)+1))</f>
        <v/>
      </c>
      <c r="V2455" s="19">
        <f>IF($B2455="","",TEXT($B2455,"0000"))</f>
        <v/>
      </c>
      <c r="W2455" s="19">
        <f>IF($I2455="","",IF(ISNUMBER($I2455),TEXT($I2455,"0"),$I2455))</f>
        <v/>
      </c>
    </row>
    <row r="2456">
      <c r="B2456" s="25" t="n"/>
      <c r="I2456" s="25" t="n"/>
      <c r="U2456" s="19">
        <f>IF($V2456&lt;&gt;'設定'!$C$4,N(U2455),IF(OR(NOT(COUNTIF('商品マスタ'!$B$6:$B$1005,$W2456)=0),COUNTIFS('①在庫を貼る'!$V$6:$V$10005,$V2456,'①在庫を貼る'!$W$6:$W$10005,$W2456)+COUNTIFS('月1回_1ヶ月前の在庫'!$V$6:$V$10005,$V2456,'月1回_1ヶ月前の在庫'!$W$6:$W$10005,$W2456)&gt;0),N(U2455),N(U2455)+1))</f>
        <v/>
      </c>
      <c r="V2456" s="19">
        <f>IF($B2456="","",TEXT($B2456,"0000"))</f>
        <v/>
      </c>
      <c r="W2456" s="19">
        <f>IF($I2456="","",IF(ISNUMBER($I2456),TEXT($I2456,"0"),$I2456))</f>
        <v/>
      </c>
    </row>
    <row r="2457">
      <c r="B2457" s="25" t="n"/>
      <c r="I2457" s="25" t="n"/>
      <c r="U2457" s="19">
        <f>IF($V2457&lt;&gt;'設定'!$C$4,N(U2456),IF(OR(NOT(COUNTIF('商品マスタ'!$B$6:$B$1005,$W2457)=0),COUNTIFS('①在庫を貼る'!$V$6:$V$10005,$V2457,'①在庫を貼る'!$W$6:$W$10005,$W2457)+COUNTIFS('月1回_1ヶ月前の在庫'!$V$6:$V$10005,$V2457,'月1回_1ヶ月前の在庫'!$W$6:$W$10005,$W2457)&gt;0),N(U2456),N(U2456)+1))</f>
        <v/>
      </c>
      <c r="V2457" s="19">
        <f>IF($B2457="","",TEXT($B2457,"0000"))</f>
        <v/>
      </c>
      <c r="W2457" s="19">
        <f>IF($I2457="","",IF(ISNUMBER($I2457),TEXT($I2457,"0"),$I2457))</f>
        <v/>
      </c>
    </row>
    <row r="2458">
      <c r="B2458" s="25" t="n"/>
      <c r="I2458" s="25" t="n"/>
      <c r="U2458" s="19">
        <f>IF($V2458&lt;&gt;'設定'!$C$4,N(U2457),IF(OR(NOT(COUNTIF('商品マスタ'!$B$6:$B$1005,$W2458)=0),COUNTIFS('①在庫を貼る'!$V$6:$V$10005,$V2458,'①在庫を貼る'!$W$6:$W$10005,$W2458)+COUNTIFS('月1回_1ヶ月前の在庫'!$V$6:$V$10005,$V2458,'月1回_1ヶ月前の在庫'!$W$6:$W$10005,$W2458)&gt;0),N(U2457),N(U2457)+1))</f>
        <v/>
      </c>
      <c r="V2458" s="19">
        <f>IF($B2458="","",TEXT($B2458,"0000"))</f>
        <v/>
      </c>
      <c r="W2458" s="19">
        <f>IF($I2458="","",IF(ISNUMBER($I2458),TEXT($I2458,"0"),$I2458))</f>
        <v/>
      </c>
    </row>
    <row r="2459">
      <c r="B2459" s="25" t="n"/>
      <c r="I2459" s="25" t="n"/>
      <c r="U2459" s="19">
        <f>IF($V2459&lt;&gt;'設定'!$C$4,N(U2458),IF(OR(NOT(COUNTIF('商品マスタ'!$B$6:$B$1005,$W2459)=0),COUNTIFS('①在庫を貼る'!$V$6:$V$10005,$V2459,'①在庫を貼る'!$W$6:$W$10005,$W2459)+COUNTIFS('月1回_1ヶ月前の在庫'!$V$6:$V$10005,$V2459,'月1回_1ヶ月前の在庫'!$W$6:$W$10005,$W2459)&gt;0),N(U2458),N(U2458)+1))</f>
        <v/>
      </c>
      <c r="V2459" s="19">
        <f>IF($B2459="","",TEXT($B2459,"0000"))</f>
        <v/>
      </c>
      <c r="W2459" s="19">
        <f>IF($I2459="","",IF(ISNUMBER($I2459),TEXT($I2459,"0"),$I2459))</f>
        <v/>
      </c>
    </row>
    <row r="2460">
      <c r="B2460" s="25" t="n"/>
      <c r="I2460" s="25" t="n"/>
      <c r="U2460" s="19">
        <f>IF($V2460&lt;&gt;'設定'!$C$4,N(U2459),IF(OR(NOT(COUNTIF('商品マスタ'!$B$6:$B$1005,$W2460)=0),COUNTIFS('①在庫を貼る'!$V$6:$V$10005,$V2460,'①在庫を貼る'!$W$6:$W$10005,$W2460)+COUNTIFS('月1回_1ヶ月前の在庫'!$V$6:$V$10005,$V2460,'月1回_1ヶ月前の在庫'!$W$6:$W$10005,$W2460)&gt;0),N(U2459),N(U2459)+1))</f>
        <v/>
      </c>
      <c r="V2460" s="19">
        <f>IF($B2460="","",TEXT($B2460,"0000"))</f>
        <v/>
      </c>
      <c r="W2460" s="19">
        <f>IF($I2460="","",IF(ISNUMBER($I2460),TEXT($I2460,"0"),$I2460))</f>
        <v/>
      </c>
    </row>
    <row r="2461">
      <c r="B2461" s="25" t="n"/>
      <c r="I2461" s="25" t="n"/>
      <c r="U2461" s="19">
        <f>IF($V2461&lt;&gt;'設定'!$C$4,N(U2460),IF(OR(NOT(COUNTIF('商品マスタ'!$B$6:$B$1005,$W2461)=0),COUNTIFS('①在庫を貼る'!$V$6:$V$10005,$V2461,'①在庫を貼る'!$W$6:$W$10005,$W2461)+COUNTIFS('月1回_1ヶ月前の在庫'!$V$6:$V$10005,$V2461,'月1回_1ヶ月前の在庫'!$W$6:$W$10005,$W2461)&gt;0),N(U2460),N(U2460)+1))</f>
        <v/>
      </c>
      <c r="V2461" s="19">
        <f>IF($B2461="","",TEXT($B2461,"0000"))</f>
        <v/>
      </c>
      <c r="W2461" s="19">
        <f>IF($I2461="","",IF(ISNUMBER($I2461),TEXT($I2461,"0"),$I2461))</f>
        <v/>
      </c>
    </row>
    <row r="2462">
      <c r="B2462" s="25" t="n"/>
      <c r="I2462" s="25" t="n"/>
      <c r="U2462" s="19">
        <f>IF($V2462&lt;&gt;'設定'!$C$4,N(U2461),IF(OR(NOT(COUNTIF('商品マスタ'!$B$6:$B$1005,$W2462)=0),COUNTIFS('①在庫を貼る'!$V$6:$V$10005,$V2462,'①在庫を貼る'!$W$6:$W$10005,$W2462)+COUNTIFS('月1回_1ヶ月前の在庫'!$V$6:$V$10005,$V2462,'月1回_1ヶ月前の在庫'!$W$6:$W$10005,$W2462)&gt;0),N(U2461),N(U2461)+1))</f>
        <v/>
      </c>
      <c r="V2462" s="19">
        <f>IF($B2462="","",TEXT($B2462,"0000"))</f>
        <v/>
      </c>
      <c r="W2462" s="19">
        <f>IF($I2462="","",IF(ISNUMBER($I2462),TEXT($I2462,"0"),$I2462))</f>
        <v/>
      </c>
    </row>
    <row r="2463">
      <c r="B2463" s="25" t="n"/>
      <c r="I2463" s="25" t="n"/>
      <c r="U2463" s="19">
        <f>IF($V2463&lt;&gt;'設定'!$C$4,N(U2462),IF(OR(NOT(COUNTIF('商品マスタ'!$B$6:$B$1005,$W2463)=0),COUNTIFS('①在庫を貼る'!$V$6:$V$10005,$V2463,'①在庫を貼る'!$W$6:$W$10005,$W2463)+COUNTIFS('月1回_1ヶ月前の在庫'!$V$6:$V$10005,$V2463,'月1回_1ヶ月前の在庫'!$W$6:$W$10005,$W2463)&gt;0),N(U2462),N(U2462)+1))</f>
        <v/>
      </c>
      <c r="V2463" s="19">
        <f>IF($B2463="","",TEXT($B2463,"0000"))</f>
        <v/>
      </c>
      <c r="W2463" s="19">
        <f>IF($I2463="","",IF(ISNUMBER($I2463),TEXT($I2463,"0"),$I2463))</f>
        <v/>
      </c>
    </row>
    <row r="2464">
      <c r="B2464" s="25" t="n"/>
      <c r="I2464" s="25" t="n"/>
      <c r="U2464" s="19">
        <f>IF($V2464&lt;&gt;'設定'!$C$4,N(U2463),IF(OR(NOT(COUNTIF('商品マスタ'!$B$6:$B$1005,$W2464)=0),COUNTIFS('①在庫を貼る'!$V$6:$V$10005,$V2464,'①在庫を貼る'!$W$6:$W$10005,$W2464)+COUNTIFS('月1回_1ヶ月前の在庫'!$V$6:$V$10005,$V2464,'月1回_1ヶ月前の在庫'!$W$6:$W$10005,$W2464)&gt;0),N(U2463),N(U2463)+1))</f>
        <v/>
      </c>
      <c r="V2464" s="19">
        <f>IF($B2464="","",TEXT($B2464,"0000"))</f>
        <v/>
      </c>
      <c r="W2464" s="19">
        <f>IF($I2464="","",IF(ISNUMBER($I2464),TEXT($I2464,"0"),$I2464))</f>
        <v/>
      </c>
    </row>
    <row r="2465">
      <c r="B2465" s="25" t="n"/>
      <c r="I2465" s="25" t="n"/>
      <c r="U2465" s="19">
        <f>IF($V2465&lt;&gt;'設定'!$C$4,N(U2464),IF(OR(NOT(COUNTIF('商品マスタ'!$B$6:$B$1005,$W2465)=0),COUNTIFS('①在庫を貼る'!$V$6:$V$10005,$V2465,'①在庫を貼る'!$W$6:$W$10005,$W2465)+COUNTIFS('月1回_1ヶ月前の在庫'!$V$6:$V$10005,$V2465,'月1回_1ヶ月前の在庫'!$W$6:$W$10005,$W2465)&gt;0),N(U2464),N(U2464)+1))</f>
        <v/>
      </c>
      <c r="V2465" s="19">
        <f>IF($B2465="","",TEXT($B2465,"0000"))</f>
        <v/>
      </c>
      <c r="W2465" s="19">
        <f>IF($I2465="","",IF(ISNUMBER($I2465),TEXT($I2465,"0"),$I2465))</f>
        <v/>
      </c>
    </row>
    <row r="2466">
      <c r="B2466" s="25" t="n"/>
      <c r="I2466" s="25" t="n"/>
      <c r="U2466" s="19">
        <f>IF($V2466&lt;&gt;'設定'!$C$4,N(U2465),IF(OR(NOT(COUNTIF('商品マスタ'!$B$6:$B$1005,$W2466)=0),COUNTIFS('①在庫を貼る'!$V$6:$V$10005,$V2466,'①在庫を貼る'!$W$6:$W$10005,$W2466)+COUNTIFS('月1回_1ヶ月前の在庫'!$V$6:$V$10005,$V2466,'月1回_1ヶ月前の在庫'!$W$6:$W$10005,$W2466)&gt;0),N(U2465),N(U2465)+1))</f>
        <v/>
      </c>
      <c r="V2466" s="19">
        <f>IF($B2466="","",TEXT($B2466,"0000"))</f>
        <v/>
      </c>
      <c r="W2466" s="19">
        <f>IF($I2466="","",IF(ISNUMBER($I2466),TEXT($I2466,"0"),$I2466))</f>
        <v/>
      </c>
    </row>
    <row r="2467">
      <c r="B2467" s="25" t="n"/>
      <c r="I2467" s="25" t="n"/>
      <c r="U2467" s="19">
        <f>IF($V2467&lt;&gt;'設定'!$C$4,N(U2466),IF(OR(NOT(COUNTIF('商品マスタ'!$B$6:$B$1005,$W2467)=0),COUNTIFS('①在庫を貼る'!$V$6:$V$10005,$V2467,'①在庫を貼る'!$W$6:$W$10005,$W2467)+COUNTIFS('月1回_1ヶ月前の在庫'!$V$6:$V$10005,$V2467,'月1回_1ヶ月前の在庫'!$W$6:$W$10005,$W2467)&gt;0),N(U2466),N(U2466)+1))</f>
        <v/>
      </c>
      <c r="V2467" s="19">
        <f>IF($B2467="","",TEXT($B2467,"0000"))</f>
        <v/>
      </c>
      <c r="W2467" s="19">
        <f>IF($I2467="","",IF(ISNUMBER($I2467),TEXT($I2467,"0"),$I2467))</f>
        <v/>
      </c>
    </row>
    <row r="2468">
      <c r="B2468" s="25" t="n"/>
      <c r="I2468" s="25" t="n"/>
      <c r="U2468" s="19">
        <f>IF($V2468&lt;&gt;'設定'!$C$4,N(U2467),IF(OR(NOT(COUNTIF('商品マスタ'!$B$6:$B$1005,$W2468)=0),COUNTIFS('①在庫を貼る'!$V$6:$V$10005,$V2468,'①在庫を貼る'!$W$6:$W$10005,$W2468)+COUNTIFS('月1回_1ヶ月前の在庫'!$V$6:$V$10005,$V2468,'月1回_1ヶ月前の在庫'!$W$6:$W$10005,$W2468)&gt;0),N(U2467),N(U2467)+1))</f>
        <v/>
      </c>
      <c r="V2468" s="19">
        <f>IF($B2468="","",TEXT($B2468,"0000"))</f>
        <v/>
      </c>
      <c r="W2468" s="19">
        <f>IF($I2468="","",IF(ISNUMBER($I2468),TEXT($I2468,"0"),$I2468))</f>
        <v/>
      </c>
    </row>
    <row r="2469">
      <c r="B2469" s="25" t="n"/>
      <c r="I2469" s="25" t="n"/>
      <c r="U2469" s="19">
        <f>IF($V2469&lt;&gt;'設定'!$C$4,N(U2468),IF(OR(NOT(COUNTIF('商品マスタ'!$B$6:$B$1005,$W2469)=0),COUNTIFS('①在庫を貼る'!$V$6:$V$10005,$V2469,'①在庫を貼る'!$W$6:$W$10005,$W2469)+COUNTIFS('月1回_1ヶ月前の在庫'!$V$6:$V$10005,$V2469,'月1回_1ヶ月前の在庫'!$W$6:$W$10005,$W2469)&gt;0),N(U2468),N(U2468)+1))</f>
        <v/>
      </c>
      <c r="V2469" s="19">
        <f>IF($B2469="","",TEXT($B2469,"0000"))</f>
        <v/>
      </c>
      <c r="W2469" s="19">
        <f>IF($I2469="","",IF(ISNUMBER($I2469),TEXT($I2469,"0"),$I2469))</f>
        <v/>
      </c>
    </row>
    <row r="2470">
      <c r="B2470" s="25" t="n"/>
      <c r="I2470" s="25" t="n"/>
      <c r="U2470" s="19">
        <f>IF($V2470&lt;&gt;'設定'!$C$4,N(U2469),IF(OR(NOT(COUNTIF('商品マスタ'!$B$6:$B$1005,$W2470)=0),COUNTIFS('①在庫を貼る'!$V$6:$V$10005,$V2470,'①在庫を貼る'!$W$6:$W$10005,$W2470)+COUNTIFS('月1回_1ヶ月前の在庫'!$V$6:$V$10005,$V2470,'月1回_1ヶ月前の在庫'!$W$6:$W$10005,$W2470)&gt;0),N(U2469),N(U2469)+1))</f>
        <v/>
      </c>
      <c r="V2470" s="19">
        <f>IF($B2470="","",TEXT($B2470,"0000"))</f>
        <v/>
      </c>
      <c r="W2470" s="19">
        <f>IF($I2470="","",IF(ISNUMBER($I2470),TEXT($I2470,"0"),$I2470))</f>
        <v/>
      </c>
    </row>
    <row r="2471">
      <c r="B2471" s="25" t="n"/>
      <c r="I2471" s="25" t="n"/>
      <c r="U2471" s="19">
        <f>IF($V2471&lt;&gt;'設定'!$C$4,N(U2470),IF(OR(NOT(COUNTIF('商品マスタ'!$B$6:$B$1005,$W2471)=0),COUNTIFS('①在庫を貼る'!$V$6:$V$10005,$V2471,'①在庫を貼る'!$W$6:$W$10005,$W2471)+COUNTIFS('月1回_1ヶ月前の在庫'!$V$6:$V$10005,$V2471,'月1回_1ヶ月前の在庫'!$W$6:$W$10005,$W2471)&gt;0),N(U2470),N(U2470)+1))</f>
        <v/>
      </c>
      <c r="V2471" s="19">
        <f>IF($B2471="","",TEXT($B2471,"0000"))</f>
        <v/>
      </c>
      <c r="W2471" s="19">
        <f>IF($I2471="","",IF(ISNUMBER($I2471),TEXT($I2471,"0"),$I2471))</f>
        <v/>
      </c>
    </row>
    <row r="2472">
      <c r="B2472" s="25" t="n"/>
      <c r="I2472" s="25" t="n"/>
      <c r="U2472" s="19">
        <f>IF($V2472&lt;&gt;'設定'!$C$4,N(U2471),IF(OR(NOT(COUNTIF('商品マスタ'!$B$6:$B$1005,$W2472)=0),COUNTIFS('①在庫を貼る'!$V$6:$V$10005,$V2472,'①在庫を貼る'!$W$6:$W$10005,$W2472)+COUNTIFS('月1回_1ヶ月前の在庫'!$V$6:$V$10005,$V2472,'月1回_1ヶ月前の在庫'!$W$6:$W$10005,$W2472)&gt;0),N(U2471),N(U2471)+1))</f>
        <v/>
      </c>
      <c r="V2472" s="19">
        <f>IF($B2472="","",TEXT($B2472,"0000"))</f>
        <v/>
      </c>
      <c r="W2472" s="19">
        <f>IF($I2472="","",IF(ISNUMBER($I2472),TEXT($I2472,"0"),$I2472))</f>
        <v/>
      </c>
    </row>
    <row r="2473">
      <c r="B2473" s="25" t="n"/>
      <c r="I2473" s="25" t="n"/>
      <c r="U2473" s="19">
        <f>IF($V2473&lt;&gt;'設定'!$C$4,N(U2472),IF(OR(NOT(COUNTIF('商品マスタ'!$B$6:$B$1005,$W2473)=0),COUNTIFS('①在庫を貼る'!$V$6:$V$10005,$V2473,'①在庫を貼る'!$W$6:$W$10005,$W2473)+COUNTIFS('月1回_1ヶ月前の在庫'!$V$6:$V$10005,$V2473,'月1回_1ヶ月前の在庫'!$W$6:$W$10005,$W2473)&gt;0),N(U2472),N(U2472)+1))</f>
        <v/>
      </c>
      <c r="V2473" s="19">
        <f>IF($B2473="","",TEXT($B2473,"0000"))</f>
        <v/>
      </c>
      <c r="W2473" s="19">
        <f>IF($I2473="","",IF(ISNUMBER($I2473),TEXT($I2473,"0"),$I2473))</f>
        <v/>
      </c>
    </row>
    <row r="2474">
      <c r="B2474" s="25" t="n"/>
      <c r="I2474" s="25" t="n"/>
      <c r="U2474" s="19">
        <f>IF($V2474&lt;&gt;'設定'!$C$4,N(U2473),IF(OR(NOT(COUNTIF('商品マスタ'!$B$6:$B$1005,$W2474)=0),COUNTIFS('①在庫を貼る'!$V$6:$V$10005,$V2474,'①在庫を貼る'!$W$6:$W$10005,$W2474)+COUNTIFS('月1回_1ヶ月前の在庫'!$V$6:$V$10005,$V2474,'月1回_1ヶ月前の在庫'!$W$6:$W$10005,$W2474)&gt;0),N(U2473),N(U2473)+1))</f>
        <v/>
      </c>
      <c r="V2474" s="19">
        <f>IF($B2474="","",TEXT($B2474,"0000"))</f>
        <v/>
      </c>
      <c r="W2474" s="19">
        <f>IF($I2474="","",IF(ISNUMBER($I2474),TEXT($I2474,"0"),$I2474))</f>
        <v/>
      </c>
    </row>
    <row r="2475">
      <c r="B2475" s="25" t="n"/>
      <c r="I2475" s="25" t="n"/>
      <c r="U2475" s="19">
        <f>IF($V2475&lt;&gt;'設定'!$C$4,N(U2474),IF(OR(NOT(COUNTIF('商品マスタ'!$B$6:$B$1005,$W2475)=0),COUNTIFS('①在庫を貼る'!$V$6:$V$10005,$V2475,'①在庫を貼る'!$W$6:$W$10005,$W2475)+COUNTIFS('月1回_1ヶ月前の在庫'!$V$6:$V$10005,$V2475,'月1回_1ヶ月前の在庫'!$W$6:$W$10005,$W2475)&gt;0),N(U2474),N(U2474)+1))</f>
        <v/>
      </c>
      <c r="V2475" s="19">
        <f>IF($B2475="","",TEXT($B2475,"0000"))</f>
        <v/>
      </c>
      <c r="W2475" s="19">
        <f>IF($I2475="","",IF(ISNUMBER($I2475),TEXT($I2475,"0"),$I2475))</f>
        <v/>
      </c>
    </row>
    <row r="2476">
      <c r="B2476" s="25" t="n"/>
      <c r="I2476" s="25" t="n"/>
      <c r="U2476" s="19">
        <f>IF($V2476&lt;&gt;'設定'!$C$4,N(U2475),IF(OR(NOT(COUNTIF('商品マスタ'!$B$6:$B$1005,$W2476)=0),COUNTIFS('①在庫を貼る'!$V$6:$V$10005,$V2476,'①在庫を貼る'!$W$6:$W$10005,$W2476)+COUNTIFS('月1回_1ヶ月前の在庫'!$V$6:$V$10005,$V2476,'月1回_1ヶ月前の在庫'!$W$6:$W$10005,$W2476)&gt;0),N(U2475),N(U2475)+1))</f>
        <v/>
      </c>
      <c r="V2476" s="19">
        <f>IF($B2476="","",TEXT($B2476,"0000"))</f>
        <v/>
      </c>
      <c r="W2476" s="19">
        <f>IF($I2476="","",IF(ISNUMBER($I2476),TEXT($I2476,"0"),$I2476))</f>
        <v/>
      </c>
    </row>
    <row r="2477">
      <c r="B2477" s="25" t="n"/>
      <c r="I2477" s="25" t="n"/>
      <c r="U2477" s="19">
        <f>IF($V2477&lt;&gt;'設定'!$C$4,N(U2476),IF(OR(NOT(COUNTIF('商品マスタ'!$B$6:$B$1005,$W2477)=0),COUNTIFS('①在庫を貼る'!$V$6:$V$10005,$V2477,'①在庫を貼る'!$W$6:$W$10005,$W2477)+COUNTIFS('月1回_1ヶ月前の在庫'!$V$6:$V$10005,$V2477,'月1回_1ヶ月前の在庫'!$W$6:$W$10005,$W2477)&gt;0),N(U2476),N(U2476)+1))</f>
        <v/>
      </c>
      <c r="V2477" s="19">
        <f>IF($B2477="","",TEXT($B2477,"0000"))</f>
        <v/>
      </c>
      <c r="W2477" s="19">
        <f>IF($I2477="","",IF(ISNUMBER($I2477),TEXT($I2477,"0"),$I2477))</f>
        <v/>
      </c>
    </row>
    <row r="2478">
      <c r="B2478" s="25" t="n"/>
      <c r="I2478" s="25" t="n"/>
      <c r="U2478" s="19">
        <f>IF($V2478&lt;&gt;'設定'!$C$4,N(U2477),IF(OR(NOT(COUNTIF('商品マスタ'!$B$6:$B$1005,$W2478)=0),COUNTIFS('①在庫を貼る'!$V$6:$V$10005,$V2478,'①在庫を貼る'!$W$6:$W$10005,$W2478)+COUNTIFS('月1回_1ヶ月前の在庫'!$V$6:$V$10005,$V2478,'月1回_1ヶ月前の在庫'!$W$6:$W$10005,$W2478)&gt;0),N(U2477),N(U2477)+1))</f>
        <v/>
      </c>
      <c r="V2478" s="19">
        <f>IF($B2478="","",TEXT($B2478,"0000"))</f>
        <v/>
      </c>
      <c r="W2478" s="19">
        <f>IF($I2478="","",IF(ISNUMBER($I2478),TEXT($I2478,"0"),$I2478))</f>
        <v/>
      </c>
    </row>
    <row r="2479">
      <c r="B2479" s="25" t="n"/>
      <c r="I2479" s="25" t="n"/>
      <c r="U2479" s="19">
        <f>IF($V2479&lt;&gt;'設定'!$C$4,N(U2478),IF(OR(NOT(COUNTIF('商品マスタ'!$B$6:$B$1005,$W2479)=0),COUNTIFS('①在庫を貼る'!$V$6:$V$10005,$V2479,'①在庫を貼る'!$W$6:$W$10005,$W2479)+COUNTIFS('月1回_1ヶ月前の在庫'!$V$6:$V$10005,$V2479,'月1回_1ヶ月前の在庫'!$W$6:$W$10005,$W2479)&gt;0),N(U2478),N(U2478)+1))</f>
        <v/>
      </c>
      <c r="V2479" s="19">
        <f>IF($B2479="","",TEXT($B2479,"0000"))</f>
        <v/>
      </c>
      <c r="W2479" s="19">
        <f>IF($I2479="","",IF(ISNUMBER($I2479),TEXT($I2479,"0"),$I2479))</f>
        <v/>
      </c>
    </row>
    <row r="2480">
      <c r="B2480" s="25" t="n"/>
      <c r="I2480" s="25" t="n"/>
      <c r="U2480" s="19">
        <f>IF($V2480&lt;&gt;'設定'!$C$4,N(U2479),IF(OR(NOT(COUNTIF('商品マスタ'!$B$6:$B$1005,$W2480)=0),COUNTIFS('①在庫を貼る'!$V$6:$V$10005,$V2480,'①在庫を貼る'!$W$6:$W$10005,$W2480)+COUNTIFS('月1回_1ヶ月前の在庫'!$V$6:$V$10005,$V2480,'月1回_1ヶ月前の在庫'!$W$6:$W$10005,$W2480)&gt;0),N(U2479),N(U2479)+1))</f>
        <v/>
      </c>
      <c r="V2480" s="19">
        <f>IF($B2480="","",TEXT($B2480,"0000"))</f>
        <v/>
      </c>
      <c r="W2480" s="19">
        <f>IF($I2480="","",IF(ISNUMBER($I2480),TEXT($I2480,"0"),$I2480))</f>
        <v/>
      </c>
    </row>
    <row r="2481">
      <c r="B2481" s="25" t="n"/>
      <c r="I2481" s="25" t="n"/>
      <c r="U2481" s="19">
        <f>IF($V2481&lt;&gt;'設定'!$C$4,N(U2480),IF(OR(NOT(COUNTIF('商品マスタ'!$B$6:$B$1005,$W2481)=0),COUNTIFS('①在庫を貼る'!$V$6:$V$10005,$V2481,'①在庫を貼る'!$W$6:$W$10005,$W2481)+COUNTIFS('月1回_1ヶ月前の在庫'!$V$6:$V$10005,$V2481,'月1回_1ヶ月前の在庫'!$W$6:$W$10005,$W2481)&gt;0),N(U2480),N(U2480)+1))</f>
        <v/>
      </c>
      <c r="V2481" s="19">
        <f>IF($B2481="","",TEXT($B2481,"0000"))</f>
        <v/>
      </c>
      <c r="W2481" s="19">
        <f>IF($I2481="","",IF(ISNUMBER($I2481),TEXT($I2481,"0"),$I2481))</f>
        <v/>
      </c>
    </row>
    <row r="2482">
      <c r="B2482" s="25" t="n"/>
      <c r="I2482" s="25" t="n"/>
      <c r="U2482" s="19">
        <f>IF($V2482&lt;&gt;'設定'!$C$4,N(U2481),IF(OR(NOT(COUNTIF('商品マスタ'!$B$6:$B$1005,$W2482)=0),COUNTIFS('①在庫を貼る'!$V$6:$V$10005,$V2482,'①在庫を貼る'!$W$6:$W$10005,$W2482)+COUNTIFS('月1回_1ヶ月前の在庫'!$V$6:$V$10005,$V2482,'月1回_1ヶ月前の在庫'!$W$6:$W$10005,$W2482)&gt;0),N(U2481),N(U2481)+1))</f>
        <v/>
      </c>
      <c r="V2482" s="19">
        <f>IF($B2482="","",TEXT($B2482,"0000"))</f>
        <v/>
      </c>
      <c r="W2482" s="19">
        <f>IF($I2482="","",IF(ISNUMBER($I2482),TEXT($I2482,"0"),$I2482))</f>
        <v/>
      </c>
    </row>
    <row r="2483">
      <c r="B2483" s="25" t="n"/>
      <c r="I2483" s="25" t="n"/>
      <c r="U2483" s="19">
        <f>IF($V2483&lt;&gt;'設定'!$C$4,N(U2482),IF(OR(NOT(COUNTIF('商品マスタ'!$B$6:$B$1005,$W2483)=0),COUNTIFS('①在庫を貼る'!$V$6:$V$10005,$V2483,'①在庫を貼る'!$W$6:$W$10005,$W2483)+COUNTIFS('月1回_1ヶ月前の在庫'!$V$6:$V$10005,$V2483,'月1回_1ヶ月前の在庫'!$W$6:$W$10005,$W2483)&gt;0),N(U2482),N(U2482)+1))</f>
        <v/>
      </c>
      <c r="V2483" s="19">
        <f>IF($B2483="","",TEXT($B2483,"0000"))</f>
        <v/>
      </c>
      <c r="W2483" s="19">
        <f>IF($I2483="","",IF(ISNUMBER($I2483),TEXT($I2483,"0"),$I2483))</f>
        <v/>
      </c>
    </row>
    <row r="2484">
      <c r="B2484" s="25" t="n"/>
      <c r="I2484" s="25" t="n"/>
      <c r="U2484" s="19">
        <f>IF($V2484&lt;&gt;'設定'!$C$4,N(U2483),IF(OR(NOT(COUNTIF('商品マスタ'!$B$6:$B$1005,$W2484)=0),COUNTIFS('①在庫を貼る'!$V$6:$V$10005,$V2484,'①在庫を貼る'!$W$6:$W$10005,$W2484)+COUNTIFS('月1回_1ヶ月前の在庫'!$V$6:$V$10005,$V2484,'月1回_1ヶ月前の在庫'!$W$6:$W$10005,$W2484)&gt;0),N(U2483),N(U2483)+1))</f>
        <v/>
      </c>
      <c r="V2484" s="19">
        <f>IF($B2484="","",TEXT($B2484,"0000"))</f>
        <v/>
      </c>
      <c r="W2484" s="19">
        <f>IF($I2484="","",IF(ISNUMBER($I2484),TEXT($I2484,"0"),$I2484))</f>
        <v/>
      </c>
    </row>
    <row r="2485">
      <c r="B2485" s="25" t="n"/>
      <c r="I2485" s="25" t="n"/>
      <c r="U2485" s="19">
        <f>IF($V2485&lt;&gt;'設定'!$C$4,N(U2484),IF(OR(NOT(COUNTIF('商品マスタ'!$B$6:$B$1005,$W2485)=0),COUNTIFS('①在庫を貼る'!$V$6:$V$10005,$V2485,'①在庫を貼る'!$W$6:$W$10005,$W2485)+COUNTIFS('月1回_1ヶ月前の在庫'!$V$6:$V$10005,$V2485,'月1回_1ヶ月前の在庫'!$W$6:$W$10005,$W2485)&gt;0),N(U2484),N(U2484)+1))</f>
        <v/>
      </c>
      <c r="V2485" s="19">
        <f>IF($B2485="","",TEXT($B2485,"0000"))</f>
        <v/>
      </c>
      <c r="W2485" s="19">
        <f>IF($I2485="","",IF(ISNUMBER($I2485),TEXT($I2485,"0"),$I2485))</f>
        <v/>
      </c>
    </row>
    <row r="2486">
      <c r="B2486" s="25" t="n"/>
      <c r="I2486" s="25" t="n"/>
      <c r="U2486" s="19">
        <f>IF($V2486&lt;&gt;'設定'!$C$4,N(U2485),IF(OR(NOT(COUNTIF('商品マスタ'!$B$6:$B$1005,$W2486)=0),COUNTIFS('①在庫を貼る'!$V$6:$V$10005,$V2486,'①在庫を貼る'!$W$6:$W$10005,$W2486)+COUNTIFS('月1回_1ヶ月前の在庫'!$V$6:$V$10005,$V2486,'月1回_1ヶ月前の在庫'!$W$6:$W$10005,$W2486)&gt;0),N(U2485),N(U2485)+1))</f>
        <v/>
      </c>
      <c r="V2486" s="19">
        <f>IF($B2486="","",TEXT($B2486,"0000"))</f>
        <v/>
      </c>
      <c r="W2486" s="19">
        <f>IF($I2486="","",IF(ISNUMBER($I2486),TEXT($I2486,"0"),$I2486))</f>
        <v/>
      </c>
    </row>
    <row r="2487">
      <c r="B2487" s="25" t="n"/>
      <c r="I2487" s="25" t="n"/>
      <c r="U2487" s="19">
        <f>IF($V2487&lt;&gt;'設定'!$C$4,N(U2486),IF(OR(NOT(COUNTIF('商品マスタ'!$B$6:$B$1005,$W2487)=0),COUNTIFS('①在庫を貼る'!$V$6:$V$10005,$V2487,'①在庫を貼る'!$W$6:$W$10005,$W2487)+COUNTIFS('月1回_1ヶ月前の在庫'!$V$6:$V$10005,$V2487,'月1回_1ヶ月前の在庫'!$W$6:$W$10005,$W2487)&gt;0),N(U2486),N(U2486)+1))</f>
        <v/>
      </c>
      <c r="V2487" s="19">
        <f>IF($B2487="","",TEXT($B2487,"0000"))</f>
        <v/>
      </c>
      <c r="W2487" s="19">
        <f>IF($I2487="","",IF(ISNUMBER($I2487),TEXT($I2487,"0"),$I2487))</f>
        <v/>
      </c>
    </row>
    <row r="2488">
      <c r="B2488" s="25" t="n"/>
      <c r="I2488" s="25" t="n"/>
      <c r="U2488" s="19">
        <f>IF($V2488&lt;&gt;'設定'!$C$4,N(U2487),IF(OR(NOT(COUNTIF('商品マスタ'!$B$6:$B$1005,$W2488)=0),COUNTIFS('①在庫を貼る'!$V$6:$V$10005,$V2488,'①在庫を貼る'!$W$6:$W$10005,$W2488)+COUNTIFS('月1回_1ヶ月前の在庫'!$V$6:$V$10005,$V2488,'月1回_1ヶ月前の在庫'!$W$6:$W$10005,$W2488)&gt;0),N(U2487),N(U2487)+1))</f>
        <v/>
      </c>
      <c r="V2488" s="19">
        <f>IF($B2488="","",TEXT($B2488,"0000"))</f>
        <v/>
      </c>
      <c r="W2488" s="19">
        <f>IF($I2488="","",IF(ISNUMBER($I2488),TEXT($I2488,"0"),$I2488))</f>
        <v/>
      </c>
    </row>
    <row r="2489">
      <c r="B2489" s="25" t="n"/>
      <c r="I2489" s="25" t="n"/>
      <c r="U2489" s="19">
        <f>IF($V2489&lt;&gt;'設定'!$C$4,N(U2488),IF(OR(NOT(COUNTIF('商品マスタ'!$B$6:$B$1005,$W2489)=0),COUNTIFS('①在庫を貼る'!$V$6:$V$10005,$V2489,'①在庫を貼る'!$W$6:$W$10005,$W2489)+COUNTIFS('月1回_1ヶ月前の在庫'!$V$6:$V$10005,$V2489,'月1回_1ヶ月前の在庫'!$W$6:$W$10005,$W2489)&gt;0),N(U2488),N(U2488)+1))</f>
        <v/>
      </c>
      <c r="V2489" s="19">
        <f>IF($B2489="","",TEXT($B2489,"0000"))</f>
        <v/>
      </c>
      <c r="W2489" s="19">
        <f>IF($I2489="","",IF(ISNUMBER($I2489),TEXT($I2489,"0"),$I2489))</f>
        <v/>
      </c>
    </row>
    <row r="2490">
      <c r="B2490" s="25" t="n"/>
      <c r="I2490" s="25" t="n"/>
      <c r="U2490" s="19">
        <f>IF($V2490&lt;&gt;'設定'!$C$4,N(U2489),IF(OR(NOT(COUNTIF('商品マスタ'!$B$6:$B$1005,$W2490)=0),COUNTIFS('①在庫を貼る'!$V$6:$V$10005,$V2490,'①在庫を貼る'!$W$6:$W$10005,$W2490)+COUNTIFS('月1回_1ヶ月前の在庫'!$V$6:$V$10005,$V2490,'月1回_1ヶ月前の在庫'!$W$6:$W$10005,$W2490)&gt;0),N(U2489),N(U2489)+1))</f>
        <v/>
      </c>
      <c r="V2490" s="19">
        <f>IF($B2490="","",TEXT($B2490,"0000"))</f>
        <v/>
      </c>
      <c r="W2490" s="19">
        <f>IF($I2490="","",IF(ISNUMBER($I2490),TEXT($I2490,"0"),$I2490))</f>
        <v/>
      </c>
    </row>
    <row r="2491">
      <c r="B2491" s="25" t="n"/>
      <c r="I2491" s="25" t="n"/>
      <c r="U2491" s="19">
        <f>IF($V2491&lt;&gt;'設定'!$C$4,N(U2490),IF(OR(NOT(COUNTIF('商品マスタ'!$B$6:$B$1005,$W2491)=0),COUNTIFS('①在庫を貼る'!$V$6:$V$10005,$V2491,'①在庫を貼る'!$W$6:$W$10005,$W2491)+COUNTIFS('月1回_1ヶ月前の在庫'!$V$6:$V$10005,$V2491,'月1回_1ヶ月前の在庫'!$W$6:$W$10005,$W2491)&gt;0),N(U2490),N(U2490)+1))</f>
        <v/>
      </c>
      <c r="V2491" s="19">
        <f>IF($B2491="","",TEXT($B2491,"0000"))</f>
        <v/>
      </c>
      <c r="W2491" s="19">
        <f>IF($I2491="","",IF(ISNUMBER($I2491),TEXT($I2491,"0"),$I2491))</f>
        <v/>
      </c>
    </row>
    <row r="2492">
      <c r="B2492" s="25" t="n"/>
      <c r="I2492" s="25" t="n"/>
      <c r="U2492" s="19">
        <f>IF($V2492&lt;&gt;'設定'!$C$4,N(U2491),IF(OR(NOT(COUNTIF('商品マスタ'!$B$6:$B$1005,$W2492)=0),COUNTIFS('①在庫を貼る'!$V$6:$V$10005,$V2492,'①在庫を貼る'!$W$6:$W$10005,$W2492)+COUNTIFS('月1回_1ヶ月前の在庫'!$V$6:$V$10005,$V2492,'月1回_1ヶ月前の在庫'!$W$6:$W$10005,$W2492)&gt;0),N(U2491),N(U2491)+1))</f>
        <v/>
      </c>
      <c r="V2492" s="19">
        <f>IF($B2492="","",TEXT($B2492,"0000"))</f>
        <v/>
      </c>
      <c r="W2492" s="19">
        <f>IF($I2492="","",IF(ISNUMBER($I2492),TEXT($I2492,"0"),$I2492))</f>
        <v/>
      </c>
    </row>
    <row r="2493">
      <c r="B2493" s="25" t="n"/>
      <c r="I2493" s="25" t="n"/>
      <c r="U2493" s="19">
        <f>IF($V2493&lt;&gt;'設定'!$C$4,N(U2492),IF(OR(NOT(COUNTIF('商品マスタ'!$B$6:$B$1005,$W2493)=0),COUNTIFS('①在庫を貼る'!$V$6:$V$10005,$V2493,'①在庫を貼る'!$W$6:$W$10005,$W2493)+COUNTIFS('月1回_1ヶ月前の在庫'!$V$6:$V$10005,$V2493,'月1回_1ヶ月前の在庫'!$W$6:$W$10005,$W2493)&gt;0),N(U2492),N(U2492)+1))</f>
        <v/>
      </c>
      <c r="V2493" s="19">
        <f>IF($B2493="","",TEXT($B2493,"0000"))</f>
        <v/>
      </c>
      <c r="W2493" s="19">
        <f>IF($I2493="","",IF(ISNUMBER($I2493),TEXT($I2493,"0"),$I2493))</f>
        <v/>
      </c>
    </row>
    <row r="2494">
      <c r="B2494" s="25" t="n"/>
      <c r="I2494" s="25" t="n"/>
      <c r="U2494" s="19">
        <f>IF($V2494&lt;&gt;'設定'!$C$4,N(U2493),IF(OR(NOT(COUNTIF('商品マスタ'!$B$6:$B$1005,$W2494)=0),COUNTIFS('①在庫を貼る'!$V$6:$V$10005,$V2494,'①在庫を貼る'!$W$6:$W$10005,$W2494)+COUNTIFS('月1回_1ヶ月前の在庫'!$V$6:$V$10005,$V2494,'月1回_1ヶ月前の在庫'!$W$6:$W$10005,$W2494)&gt;0),N(U2493),N(U2493)+1))</f>
        <v/>
      </c>
      <c r="V2494" s="19">
        <f>IF($B2494="","",TEXT($B2494,"0000"))</f>
        <v/>
      </c>
      <c r="W2494" s="19">
        <f>IF($I2494="","",IF(ISNUMBER($I2494),TEXT($I2494,"0"),$I2494))</f>
        <v/>
      </c>
    </row>
    <row r="2495">
      <c r="B2495" s="25" t="n"/>
      <c r="I2495" s="25" t="n"/>
      <c r="U2495" s="19">
        <f>IF($V2495&lt;&gt;'設定'!$C$4,N(U2494),IF(OR(NOT(COUNTIF('商品マスタ'!$B$6:$B$1005,$W2495)=0),COUNTIFS('①在庫を貼る'!$V$6:$V$10005,$V2495,'①在庫を貼る'!$W$6:$W$10005,$W2495)+COUNTIFS('月1回_1ヶ月前の在庫'!$V$6:$V$10005,$V2495,'月1回_1ヶ月前の在庫'!$W$6:$W$10005,$W2495)&gt;0),N(U2494),N(U2494)+1))</f>
        <v/>
      </c>
      <c r="V2495" s="19">
        <f>IF($B2495="","",TEXT($B2495,"0000"))</f>
        <v/>
      </c>
      <c r="W2495" s="19">
        <f>IF($I2495="","",IF(ISNUMBER($I2495),TEXT($I2495,"0"),$I2495))</f>
        <v/>
      </c>
    </row>
    <row r="2496">
      <c r="B2496" s="25" t="n"/>
      <c r="I2496" s="25" t="n"/>
      <c r="U2496" s="19">
        <f>IF($V2496&lt;&gt;'設定'!$C$4,N(U2495),IF(OR(NOT(COUNTIF('商品マスタ'!$B$6:$B$1005,$W2496)=0),COUNTIFS('①在庫を貼る'!$V$6:$V$10005,$V2496,'①在庫を貼る'!$W$6:$W$10005,$W2496)+COUNTIFS('月1回_1ヶ月前の在庫'!$V$6:$V$10005,$V2496,'月1回_1ヶ月前の在庫'!$W$6:$W$10005,$W2496)&gt;0),N(U2495),N(U2495)+1))</f>
        <v/>
      </c>
      <c r="V2496" s="19">
        <f>IF($B2496="","",TEXT($B2496,"0000"))</f>
        <v/>
      </c>
      <c r="W2496" s="19">
        <f>IF($I2496="","",IF(ISNUMBER($I2496),TEXT($I2496,"0"),$I2496))</f>
        <v/>
      </c>
    </row>
    <row r="2497">
      <c r="B2497" s="25" t="n"/>
      <c r="I2497" s="25" t="n"/>
      <c r="U2497" s="19">
        <f>IF($V2497&lt;&gt;'設定'!$C$4,N(U2496),IF(OR(NOT(COUNTIF('商品マスタ'!$B$6:$B$1005,$W2497)=0),COUNTIFS('①在庫を貼る'!$V$6:$V$10005,$V2497,'①在庫を貼る'!$W$6:$W$10005,$W2497)+COUNTIFS('月1回_1ヶ月前の在庫'!$V$6:$V$10005,$V2497,'月1回_1ヶ月前の在庫'!$W$6:$W$10005,$W2497)&gt;0),N(U2496),N(U2496)+1))</f>
        <v/>
      </c>
      <c r="V2497" s="19">
        <f>IF($B2497="","",TEXT($B2497,"0000"))</f>
        <v/>
      </c>
      <c r="W2497" s="19">
        <f>IF($I2497="","",IF(ISNUMBER($I2497),TEXT($I2497,"0"),$I2497))</f>
        <v/>
      </c>
    </row>
    <row r="2498">
      <c r="B2498" s="25" t="n"/>
      <c r="I2498" s="25" t="n"/>
      <c r="U2498" s="19">
        <f>IF($V2498&lt;&gt;'設定'!$C$4,N(U2497),IF(OR(NOT(COUNTIF('商品マスタ'!$B$6:$B$1005,$W2498)=0),COUNTIFS('①在庫を貼る'!$V$6:$V$10005,$V2498,'①在庫を貼る'!$W$6:$W$10005,$W2498)+COUNTIFS('月1回_1ヶ月前の在庫'!$V$6:$V$10005,$V2498,'月1回_1ヶ月前の在庫'!$W$6:$W$10005,$W2498)&gt;0),N(U2497),N(U2497)+1))</f>
        <v/>
      </c>
      <c r="V2498" s="19">
        <f>IF($B2498="","",TEXT($B2498,"0000"))</f>
        <v/>
      </c>
      <c r="W2498" s="19">
        <f>IF($I2498="","",IF(ISNUMBER($I2498),TEXT($I2498,"0"),$I2498))</f>
        <v/>
      </c>
    </row>
    <row r="2499">
      <c r="B2499" s="25" t="n"/>
      <c r="I2499" s="25" t="n"/>
      <c r="U2499" s="19">
        <f>IF($V2499&lt;&gt;'設定'!$C$4,N(U2498),IF(OR(NOT(COUNTIF('商品マスタ'!$B$6:$B$1005,$W2499)=0),COUNTIFS('①在庫を貼る'!$V$6:$V$10005,$V2499,'①在庫を貼る'!$W$6:$W$10005,$W2499)+COUNTIFS('月1回_1ヶ月前の在庫'!$V$6:$V$10005,$V2499,'月1回_1ヶ月前の在庫'!$W$6:$W$10005,$W2499)&gt;0),N(U2498),N(U2498)+1))</f>
        <v/>
      </c>
      <c r="V2499" s="19">
        <f>IF($B2499="","",TEXT($B2499,"0000"))</f>
        <v/>
      </c>
      <c r="W2499" s="19">
        <f>IF($I2499="","",IF(ISNUMBER($I2499),TEXT($I2499,"0"),$I2499))</f>
        <v/>
      </c>
    </row>
    <row r="2500">
      <c r="B2500" s="25" t="n"/>
      <c r="I2500" s="25" t="n"/>
      <c r="U2500" s="19">
        <f>IF($V2500&lt;&gt;'設定'!$C$4,N(U2499),IF(OR(NOT(COUNTIF('商品マスタ'!$B$6:$B$1005,$W2500)=0),COUNTIFS('①在庫を貼る'!$V$6:$V$10005,$V2500,'①在庫を貼る'!$W$6:$W$10005,$W2500)+COUNTIFS('月1回_1ヶ月前の在庫'!$V$6:$V$10005,$V2500,'月1回_1ヶ月前の在庫'!$W$6:$W$10005,$W2500)&gt;0),N(U2499),N(U2499)+1))</f>
        <v/>
      </c>
      <c r="V2500" s="19">
        <f>IF($B2500="","",TEXT($B2500,"0000"))</f>
        <v/>
      </c>
      <c r="W2500" s="19">
        <f>IF($I2500="","",IF(ISNUMBER($I2500),TEXT($I2500,"0"),$I2500))</f>
        <v/>
      </c>
    </row>
    <row r="2501">
      <c r="B2501" s="25" t="n"/>
      <c r="I2501" s="25" t="n"/>
      <c r="U2501" s="19">
        <f>IF($V2501&lt;&gt;'設定'!$C$4,N(U2500),IF(OR(NOT(COUNTIF('商品マスタ'!$B$6:$B$1005,$W2501)=0),COUNTIFS('①在庫を貼る'!$V$6:$V$10005,$V2501,'①在庫を貼る'!$W$6:$W$10005,$W2501)+COUNTIFS('月1回_1ヶ月前の在庫'!$V$6:$V$10005,$V2501,'月1回_1ヶ月前の在庫'!$W$6:$W$10005,$W2501)&gt;0),N(U2500),N(U2500)+1))</f>
        <v/>
      </c>
      <c r="V2501" s="19">
        <f>IF($B2501="","",TEXT($B2501,"0000"))</f>
        <v/>
      </c>
      <c r="W2501" s="19">
        <f>IF($I2501="","",IF(ISNUMBER($I2501),TEXT($I2501,"0"),$I2501))</f>
        <v/>
      </c>
    </row>
    <row r="2502">
      <c r="B2502" s="25" t="n"/>
      <c r="I2502" s="25" t="n"/>
      <c r="U2502" s="19">
        <f>IF($V2502&lt;&gt;'設定'!$C$4,N(U2501),IF(OR(NOT(COUNTIF('商品マスタ'!$B$6:$B$1005,$W2502)=0),COUNTIFS('①在庫を貼る'!$V$6:$V$10005,$V2502,'①在庫を貼る'!$W$6:$W$10005,$W2502)+COUNTIFS('月1回_1ヶ月前の在庫'!$V$6:$V$10005,$V2502,'月1回_1ヶ月前の在庫'!$W$6:$W$10005,$W2502)&gt;0),N(U2501),N(U2501)+1))</f>
        <v/>
      </c>
      <c r="V2502" s="19">
        <f>IF($B2502="","",TEXT($B2502,"0000"))</f>
        <v/>
      </c>
      <c r="W2502" s="19">
        <f>IF($I2502="","",IF(ISNUMBER($I2502),TEXT($I2502,"0"),$I2502))</f>
        <v/>
      </c>
    </row>
    <row r="2503">
      <c r="B2503" s="25" t="n"/>
      <c r="I2503" s="25" t="n"/>
      <c r="U2503" s="19">
        <f>IF($V2503&lt;&gt;'設定'!$C$4,N(U2502),IF(OR(NOT(COUNTIF('商品マスタ'!$B$6:$B$1005,$W2503)=0),COUNTIFS('①在庫を貼る'!$V$6:$V$10005,$V2503,'①在庫を貼る'!$W$6:$W$10005,$W2503)+COUNTIFS('月1回_1ヶ月前の在庫'!$V$6:$V$10005,$V2503,'月1回_1ヶ月前の在庫'!$W$6:$W$10005,$W2503)&gt;0),N(U2502),N(U2502)+1))</f>
        <v/>
      </c>
      <c r="V2503" s="19">
        <f>IF($B2503="","",TEXT($B2503,"0000"))</f>
        <v/>
      </c>
      <c r="W2503" s="19">
        <f>IF($I2503="","",IF(ISNUMBER($I2503),TEXT($I2503,"0"),$I2503))</f>
        <v/>
      </c>
    </row>
    <row r="2504">
      <c r="B2504" s="25" t="n"/>
      <c r="I2504" s="25" t="n"/>
      <c r="U2504" s="19">
        <f>IF($V2504&lt;&gt;'設定'!$C$4,N(U2503),IF(OR(NOT(COUNTIF('商品マスタ'!$B$6:$B$1005,$W2504)=0),COUNTIFS('①在庫を貼る'!$V$6:$V$10005,$V2504,'①在庫を貼る'!$W$6:$W$10005,$W2504)+COUNTIFS('月1回_1ヶ月前の在庫'!$V$6:$V$10005,$V2504,'月1回_1ヶ月前の在庫'!$W$6:$W$10005,$W2504)&gt;0),N(U2503),N(U2503)+1))</f>
        <v/>
      </c>
      <c r="V2504" s="19">
        <f>IF($B2504="","",TEXT($B2504,"0000"))</f>
        <v/>
      </c>
      <c r="W2504" s="19">
        <f>IF($I2504="","",IF(ISNUMBER($I2504),TEXT($I2504,"0"),$I2504))</f>
        <v/>
      </c>
    </row>
    <row r="2505">
      <c r="B2505" s="25" t="n"/>
      <c r="I2505" s="25" t="n"/>
      <c r="U2505" s="19">
        <f>IF($V2505&lt;&gt;'設定'!$C$4,N(U2504),IF(OR(NOT(COUNTIF('商品マスタ'!$B$6:$B$1005,$W2505)=0),COUNTIFS('①在庫を貼る'!$V$6:$V$10005,$V2505,'①在庫を貼る'!$W$6:$W$10005,$W2505)+COUNTIFS('月1回_1ヶ月前の在庫'!$V$6:$V$10005,$V2505,'月1回_1ヶ月前の在庫'!$W$6:$W$10005,$W2505)&gt;0),N(U2504),N(U2504)+1))</f>
        <v/>
      </c>
      <c r="V2505" s="19">
        <f>IF($B2505="","",TEXT($B2505,"0000"))</f>
        <v/>
      </c>
      <c r="W2505" s="19">
        <f>IF($I2505="","",IF(ISNUMBER($I2505),TEXT($I2505,"0"),$I2505))</f>
        <v/>
      </c>
    </row>
    <row r="2506">
      <c r="B2506" s="25" t="n"/>
      <c r="I2506" s="25" t="n"/>
      <c r="U2506" s="19">
        <f>IF($V2506&lt;&gt;'設定'!$C$4,N(U2505),IF(OR(NOT(COUNTIF('商品マスタ'!$B$6:$B$1005,$W2506)=0),COUNTIFS('①在庫を貼る'!$V$6:$V$10005,$V2506,'①在庫を貼る'!$W$6:$W$10005,$W2506)+COUNTIFS('月1回_1ヶ月前の在庫'!$V$6:$V$10005,$V2506,'月1回_1ヶ月前の在庫'!$W$6:$W$10005,$W2506)&gt;0),N(U2505),N(U2505)+1))</f>
        <v/>
      </c>
      <c r="V2506" s="19">
        <f>IF($B2506="","",TEXT($B2506,"0000"))</f>
        <v/>
      </c>
      <c r="W2506" s="19">
        <f>IF($I2506="","",IF(ISNUMBER($I2506),TEXT($I2506,"0"),$I2506))</f>
        <v/>
      </c>
    </row>
    <row r="2507">
      <c r="B2507" s="25" t="n"/>
      <c r="I2507" s="25" t="n"/>
      <c r="U2507" s="19">
        <f>IF($V2507&lt;&gt;'設定'!$C$4,N(U2506),IF(OR(NOT(COUNTIF('商品マスタ'!$B$6:$B$1005,$W2507)=0),COUNTIFS('①在庫を貼る'!$V$6:$V$10005,$V2507,'①在庫を貼る'!$W$6:$W$10005,$W2507)+COUNTIFS('月1回_1ヶ月前の在庫'!$V$6:$V$10005,$V2507,'月1回_1ヶ月前の在庫'!$W$6:$W$10005,$W2507)&gt;0),N(U2506),N(U2506)+1))</f>
        <v/>
      </c>
      <c r="V2507" s="19">
        <f>IF($B2507="","",TEXT($B2507,"0000"))</f>
        <v/>
      </c>
      <c r="W2507" s="19">
        <f>IF($I2507="","",IF(ISNUMBER($I2507),TEXT($I2507,"0"),$I2507))</f>
        <v/>
      </c>
    </row>
    <row r="2508">
      <c r="B2508" s="25" t="n"/>
      <c r="I2508" s="25" t="n"/>
      <c r="U2508" s="19">
        <f>IF($V2508&lt;&gt;'設定'!$C$4,N(U2507),IF(OR(NOT(COUNTIF('商品マスタ'!$B$6:$B$1005,$W2508)=0),COUNTIFS('①在庫を貼る'!$V$6:$V$10005,$V2508,'①在庫を貼る'!$W$6:$W$10005,$W2508)+COUNTIFS('月1回_1ヶ月前の在庫'!$V$6:$V$10005,$V2508,'月1回_1ヶ月前の在庫'!$W$6:$W$10005,$W2508)&gt;0),N(U2507),N(U2507)+1))</f>
        <v/>
      </c>
      <c r="V2508" s="19">
        <f>IF($B2508="","",TEXT($B2508,"0000"))</f>
        <v/>
      </c>
      <c r="W2508" s="19">
        <f>IF($I2508="","",IF(ISNUMBER($I2508),TEXT($I2508,"0"),$I2508))</f>
        <v/>
      </c>
    </row>
    <row r="2509">
      <c r="B2509" s="25" t="n"/>
      <c r="I2509" s="25" t="n"/>
      <c r="U2509" s="19">
        <f>IF($V2509&lt;&gt;'設定'!$C$4,N(U2508),IF(OR(NOT(COUNTIF('商品マスタ'!$B$6:$B$1005,$W2509)=0),COUNTIFS('①在庫を貼る'!$V$6:$V$10005,$V2509,'①在庫を貼る'!$W$6:$W$10005,$W2509)+COUNTIFS('月1回_1ヶ月前の在庫'!$V$6:$V$10005,$V2509,'月1回_1ヶ月前の在庫'!$W$6:$W$10005,$W2509)&gt;0),N(U2508),N(U2508)+1))</f>
        <v/>
      </c>
      <c r="V2509" s="19">
        <f>IF($B2509="","",TEXT($B2509,"0000"))</f>
        <v/>
      </c>
      <c r="W2509" s="19">
        <f>IF($I2509="","",IF(ISNUMBER($I2509),TEXT($I2509,"0"),$I2509))</f>
        <v/>
      </c>
    </row>
    <row r="2510">
      <c r="B2510" s="25" t="n"/>
      <c r="I2510" s="25" t="n"/>
      <c r="U2510" s="19">
        <f>IF($V2510&lt;&gt;'設定'!$C$4,N(U2509),IF(OR(NOT(COUNTIF('商品マスタ'!$B$6:$B$1005,$W2510)=0),COUNTIFS('①在庫を貼る'!$V$6:$V$10005,$V2510,'①在庫を貼る'!$W$6:$W$10005,$W2510)+COUNTIFS('月1回_1ヶ月前の在庫'!$V$6:$V$10005,$V2510,'月1回_1ヶ月前の在庫'!$W$6:$W$10005,$W2510)&gt;0),N(U2509),N(U2509)+1))</f>
        <v/>
      </c>
      <c r="V2510" s="19">
        <f>IF($B2510="","",TEXT($B2510,"0000"))</f>
        <v/>
      </c>
      <c r="W2510" s="19">
        <f>IF($I2510="","",IF(ISNUMBER($I2510),TEXT($I2510,"0"),$I2510))</f>
        <v/>
      </c>
    </row>
    <row r="2511">
      <c r="B2511" s="25" t="n"/>
      <c r="I2511" s="25" t="n"/>
      <c r="U2511" s="19">
        <f>IF($V2511&lt;&gt;'設定'!$C$4,N(U2510),IF(OR(NOT(COUNTIF('商品マスタ'!$B$6:$B$1005,$W2511)=0),COUNTIFS('①在庫を貼る'!$V$6:$V$10005,$V2511,'①在庫を貼る'!$W$6:$W$10005,$W2511)+COUNTIFS('月1回_1ヶ月前の在庫'!$V$6:$V$10005,$V2511,'月1回_1ヶ月前の在庫'!$W$6:$W$10005,$W2511)&gt;0),N(U2510),N(U2510)+1))</f>
        <v/>
      </c>
      <c r="V2511" s="19">
        <f>IF($B2511="","",TEXT($B2511,"0000"))</f>
        <v/>
      </c>
      <c r="W2511" s="19">
        <f>IF($I2511="","",IF(ISNUMBER($I2511),TEXT($I2511,"0"),$I2511))</f>
        <v/>
      </c>
    </row>
    <row r="2512">
      <c r="B2512" s="25" t="n"/>
      <c r="I2512" s="25" t="n"/>
      <c r="U2512" s="19">
        <f>IF($V2512&lt;&gt;'設定'!$C$4,N(U2511),IF(OR(NOT(COUNTIF('商品マスタ'!$B$6:$B$1005,$W2512)=0),COUNTIFS('①在庫を貼る'!$V$6:$V$10005,$V2512,'①在庫を貼る'!$W$6:$W$10005,$W2512)+COUNTIFS('月1回_1ヶ月前の在庫'!$V$6:$V$10005,$V2512,'月1回_1ヶ月前の在庫'!$W$6:$W$10005,$W2512)&gt;0),N(U2511),N(U2511)+1))</f>
        <v/>
      </c>
      <c r="V2512" s="19">
        <f>IF($B2512="","",TEXT($B2512,"0000"))</f>
        <v/>
      </c>
      <c r="W2512" s="19">
        <f>IF($I2512="","",IF(ISNUMBER($I2512),TEXT($I2512,"0"),$I2512))</f>
        <v/>
      </c>
    </row>
    <row r="2513">
      <c r="B2513" s="25" t="n"/>
      <c r="I2513" s="25" t="n"/>
      <c r="U2513" s="19">
        <f>IF($V2513&lt;&gt;'設定'!$C$4,N(U2512),IF(OR(NOT(COUNTIF('商品マスタ'!$B$6:$B$1005,$W2513)=0),COUNTIFS('①在庫を貼る'!$V$6:$V$10005,$V2513,'①在庫を貼る'!$W$6:$W$10005,$W2513)+COUNTIFS('月1回_1ヶ月前の在庫'!$V$6:$V$10005,$V2513,'月1回_1ヶ月前の在庫'!$W$6:$W$10005,$W2513)&gt;0),N(U2512),N(U2512)+1))</f>
        <v/>
      </c>
      <c r="V2513" s="19">
        <f>IF($B2513="","",TEXT($B2513,"0000"))</f>
        <v/>
      </c>
      <c r="W2513" s="19">
        <f>IF($I2513="","",IF(ISNUMBER($I2513),TEXT($I2513,"0"),$I2513))</f>
        <v/>
      </c>
    </row>
    <row r="2514">
      <c r="B2514" s="25" t="n"/>
      <c r="I2514" s="25" t="n"/>
      <c r="U2514" s="19">
        <f>IF($V2514&lt;&gt;'設定'!$C$4,N(U2513),IF(OR(NOT(COUNTIF('商品マスタ'!$B$6:$B$1005,$W2514)=0),COUNTIFS('①在庫を貼る'!$V$6:$V$10005,$V2514,'①在庫を貼る'!$W$6:$W$10005,$W2514)+COUNTIFS('月1回_1ヶ月前の在庫'!$V$6:$V$10005,$V2514,'月1回_1ヶ月前の在庫'!$W$6:$W$10005,$W2514)&gt;0),N(U2513),N(U2513)+1))</f>
        <v/>
      </c>
      <c r="V2514" s="19">
        <f>IF($B2514="","",TEXT($B2514,"0000"))</f>
        <v/>
      </c>
      <c r="W2514" s="19">
        <f>IF($I2514="","",IF(ISNUMBER($I2514),TEXT($I2514,"0"),$I2514))</f>
        <v/>
      </c>
    </row>
    <row r="2515">
      <c r="B2515" s="25" t="n"/>
      <c r="I2515" s="25" t="n"/>
      <c r="U2515" s="19">
        <f>IF($V2515&lt;&gt;'設定'!$C$4,N(U2514),IF(OR(NOT(COUNTIF('商品マスタ'!$B$6:$B$1005,$W2515)=0),COUNTIFS('①在庫を貼る'!$V$6:$V$10005,$V2515,'①在庫を貼る'!$W$6:$W$10005,$W2515)+COUNTIFS('月1回_1ヶ月前の在庫'!$V$6:$V$10005,$V2515,'月1回_1ヶ月前の在庫'!$W$6:$W$10005,$W2515)&gt;0),N(U2514),N(U2514)+1))</f>
        <v/>
      </c>
      <c r="V2515" s="19">
        <f>IF($B2515="","",TEXT($B2515,"0000"))</f>
        <v/>
      </c>
      <c r="W2515" s="19">
        <f>IF($I2515="","",IF(ISNUMBER($I2515),TEXT($I2515,"0"),$I2515))</f>
        <v/>
      </c>
    </row>
    <row r="2516">
      <c r="B2516" s="25" t="n"/>
      <c r="I2516" s="25" t="n"/>
      <c r="U2516" s="19">
        <f>IF($V2516&lt;&gt;'設定'!$C$4,N(U2515),IF(OR(NOT(COUNTIF('商品マスタ'!$B$6:$B$1005,$W2516)=0),COUNTIFS('①在庫を貼る'!$V$6:$V$10005,$V2516,'①在庫を貼る'!$W$6:$W$10005,$W2516)+COUNTIFS('月1回_1ヶ月前の在庫'!$V$6:$V$10005,$V2516,'月1回_1ヶ月前の在庫'!$W$6:$W$10005,$W2516)&gt;0),N(U2515),N(U2515)+1))</f>
        <v/>
      </c>
      <c r="V2516" s="19">
        <f>IF($B2516="","",TEXT($B2516,"0000"))</f>
        <v/>
      </c>
      <c r="W2516" s="19">
        <f>IF($I2516="","",IF(ISNUMBER($I2516),TEXT($I2516,"0"),$I2516))</f>
        <v/>
      </c>
    </row>
    <row r="2517">
      <c r="B2517" s="25" t="n"/>
      <c r="I2517" s="25" t="n"/>
      <c r="U2517" s="19">
        <f>IF($V2517&lt;&gt;'設定'!$C$4,N(U2516),IF(OR(NOT(COUNTIF('商品マスタ'!$B$6:$B$1005,$W2517)=0),COUNTIFS('①在庫を貼る'!$V$6:$V$10005,$V2517,'①在庫を貼る'!$W$6:$W$10005,$W2517)+COUNTIFS('月1回_1ヶ月前の在庫'!$V$6:$V$10005,$V2517,'月1回_1ヶ月前の在庫'!$W$6:$W$10005,$W2517)&gt;0),N(U2516),N(U2516)+1))</f>
        <v/>
      </c>
      <c r="V2517" s="19">
        <f>IF($B2517="","",TEXT($B2517,"0000"))</f>
        <v/>
      </c>
      <c r="W2517" s="19">
        <f>IF($I2517="","",IF(ISNUMBER($I2517),TEXT($I2517,"0"),$I2517))</f>
        <v/>
      </c>
    </row>
    <row r="2518">
      <c r="B2518" s="25" t="n"/>
      <c r="I2518" s="25" t="n"/>
      <c r="U2518" s="19">
        <f>IF($V2518&lt;&gt;'設定'!$C$4,N(U2517),IF(OR(NOT(COUNTIF('商品マスタ'!$B$6:$B$1005,$W2518)=0),COUNTIFS('①在庫を貼る'!$V$6:$V$10005,$V2518,'①在庫を貼る'!$W$6:$W$10005,$W2518)+COUNTIFS('月1回_1ヶ月前の在庫'!$V$6:$V$10005,$V2518,'月1回_1ヶ月前の在庫'!$W$6:$W$10005,$W2518)&gt;0),N(U2517),N(U2517)+1))</f>
        <v/>
      </c>
      <c r="V2518" s="19">
        <f>IF($B2518="","",TEXT($B2518,"0000"))</f>
        <v/>
      </c>
      <c r="W2518" s="19">
        <f>IF($I2518="","",IF(ISNUMBER($I2518),TEXT($I2518,"0"),$I2518))</f>
        <v/>
      </c>
    </row>
    <row r="2519">
      <c r="B2519" s="25" t="n"/>
      <c r="I2519" s="25" t="n"/>
      <c r="U2519" s="19">
        <f>IF($V2519&lt;&gt;'設定'!$C$4,N(U2518),IF(OR(NOT(COUNTIF('商品マスタ'!$B$6:$B$1005,$W2519)=0),COUNTIFS('①在庫を貼る'!$V$6:$V$10005,$V2519,'①在庫を貼る'!$W$6:$W$10005,$W2519)+COUNTIFS('月1回_1ヶ月前の在庫'!$V$6:$V$10005,$V2519,'月1回_1ヶ月前の在庫'!$W$6:$W$10005,$W2519)&gt;0),N(U2518),N(U2518)+1))</f>
        <v/>
      </c>
      <c r="V2519" s="19">
        <f>IF($B2519="","",TEXT($B2519,"0000"))</f>
        <v/>
      </c>
      <c r="W2519" s="19">
        <f>IF($I2519="","",IF(ISNUMBER($I2519),TEXT($I2519,"0"),$I2519))</f>
        <v/>
      </c>
    </row>
    <row r="2520">
      <c r="B2520" s="25" t="n"/>
      <c r="I2520" s="25" t="n"/>
      <c r="U2520" s="19">
        <f>IF($V2520&lt;&gt;'設定'!$C$4,N(U2519),IF(OR(NOT(COUNTIF('商品マスタ'!$B$6:$B$1005,$W2520)=0),COUNTIFS('①在庫を貼る'!$V$6:$V$10005,$V2520,'①在庫を貼る'!$W$6:$W$10005,$W2520)+COUNTIFS('月1回_1ヶ月前の在庫'!$V$6:$V$10005,$V2520,'月1回_1ヶ月前の在庫'!$W$6:$W$10005,$W2520)&gt;0),N(U2519),N(U2519)+1))</f>
        <v/>
      </c>
      <c r="V2520" s="19">
        <f>IF($B2520="","",TEXT($B2520,"0000"))</f>
        <v/>
      </c>
      <c r="W2520" s="19">
        <f>IF($I2520="","",IF(ISNUMBER($I2520),TEXT($I2520,"0"),$I2520))</f>
        <v/>
      </c>
    </row>
    <row r="2521">
      <c r="B2521" s="25" t="n"/>
      <c r="I2521" s="25" t="n"/>
      <c r="U2521" s="19">
        <f>IF($V2521&lt;&gt;'設定'!$C$4,N(U2520),IF(OR(NOT(COUNTIF('商品マスタ'!$B$6:$B$1005,$W2521)=0),COUNTIFS('①在庫を貼る'!$V$6:$V$10005,$V2521,'①在庫を貼る'!$W$6:$W$10005,$W2521)+COUNTIFS('月1回_1ヶ月前の在庫'!$V$6:$V$10005,$V2521,'月1回_1ヶ月前の在庫'!$W$6:$W$10005,$W2521)&gt;0),N(U2520),N(U2520)+1))</f>
        <v/>
      </c>
      <c r="V2521" s="19">
        <f>IF($B2521="","",TEXT($B2521,"0000"))</f>
        <v/>
      </c>
      <c r="W2521" s="19">
        <f>IF($I2521="","",IF(ISNUMBER($I2521),TEXT($I2521,"0"),$I2521))</f>
        <v/>
      </c>
    </row>
    <row r="2522">
      <c r="B2522" s="25" t="n"/>
      <c r="I2522" s="25" t="n"/>
      <c r="U2522" s="19">
        <f>IF($V2522&lt;&gt;'設定'!$C$4,N(U2521),IF(OR(NOT(COUNTIF('商品マスタ'!$B$6:$B$1005,$W2522)=0),COUNTIFS('①在庫を貼る'!$V$6:$V$10005,$V2522,'①在庫を貼る'!$W$6:$W$10005,$W2522)+COUNTIFS('月1回_1ヶ月前の在庫'!$V$6:$V$10005,$V2522,'月1回_1ヶ月前の在庫'!$W$6:$W$10005,$W2522)&gt;0),N(U2521),N(U2521)+1))</f>
        <v/>
      </c>
      <c r="V2522" s="19">
        <f>IF($B2522="","",TEXT($B2522,"0000"))</f>
        <v/>
      </c>
      <c r="W2522" s="19">
        <f>IF($I2522="","",IF(ISNUMBER($I2522),TEXT($I2522,"0"),$I2522))</f>
        <v/>
      </c>
    </row>
    <row r="2523">
      <c r="B2523" s="25" t="n"/>
      <c r="I2523" s="25" t="n"/>
      <c r="U2523" s="19">
        <f>IF($V2523&lt;&gt;'設定'!$C$4,N(U2522),IF(OR(NOT(COUNTIF('商品マスタ'!$B$6:$B$1005,$W2523)=0),COUNTIFS('①在庫を貼る'!$V$6:$V$10005,$V2523,'①在庫を貼る'!$W$6:$W$10005,$W2523)+COUNTIFS('月1回_1ヶ月前の在庫'!$V$6:$V$10005,$V2523,'月1回_1ヶ月前の在庫'!$W$6:$W$10005,$W2523)&gt;0),N(U2522),N(U2522)+1))</f>
        <v/>
      </c>
      <c r="V2523" s="19">
        <f>IF($B2523="","",TEXT($B2523,"0000"))</f>
        <v/>
      </c>
      <c r="W2523" s="19">
        <f>IF($I2523="","",IF(ISNUMBER($I2523),TEXT($I2523,"0"),$I2523))</f>
        <v/>
      </c>
    </row>
    <row r="2524">
      <c r="B2524" s="25" t="n"/>
      <c r="I2524" s="25" t="n"/>
      <c r="U2524" s="19">
        <f>IF($V2524&lt;&gt;'設定'!$C$4,N(U2523),IF(OR(NOT(COUNTIF('商品マスタ'!$B$6:$B$1005,$W2524)=0),COUNTIFS('①在庫を貼る'!$V$6:$V$10005,$V2524,'①在庫を貼る'!$W$6:$W$10005,$W2524)+COUNTIFS('月1回_1ヶ月前の在庫'!$V$6:$V$10005,$V2524,'月1回_1ヶ月前の在庫'!$W$6:$W$10005,$W2524)&gt;0),N(U2523),N(U2523)+1))</f>
        <v/>
      </c>
      <c r="V2524" s="19">
        <f>IF($B2524="","",TEXT($B2524,"0000"))</f>
        <v/>
      </c>
      <c r="W2524" s="19">
        <f>IF($I2524="","",IF(ISNUMBER($I2524),TEXT($I2524,"0"),$I2524))</f>
        <v/>
      </c>
    </row>
    <row r="2525">
      <c r="B2525" s="25" t="n"/>
      <c r="I2525" s="25" t="n"/>
      <c r="U2525" s="19">
        <f>IF($V2525&lt;&gt;'設定'!$C$4,N(U2524),IF(OR(NOT(COUNTIF('商品マスタ'!$B$6:$B$1005,$W2525)=0),COUNTIFS('①在庫を貼る'!$V$6:$V$10005,$V2525,'①在庫を貼る'!$W$6:$W$10005,$W2525)+COUNTIFS('月1回_1ヶ月前の在庫'!$V$6:$V$10005,$V2525,'月1回_1ヶ月前の在庫'!$W$6:$W$10005,$W2525)&gt;0),N(U2524),N(U2524)+1))</f>
        <v/>
      </c>
      <c r="V2525" s="19">
        <f>IF($B2525="","",TEXT($B2525,"0000"))</f>
        <v/>
      </c>
      <c r="W2525" s="19">
        <f>IF($I2525="","",IF(ISNUMBER($I2525),TEXT($I2525,"0"),$I2525))</f>
        <v/>
      </c>
    </row>
    <row r="2526">
      <c r="B2526" s="25" t="n"/>
      <c r="I2526" s="25" t="n"/>
      <c r="U2526" s="19">
        <f>IF($V2526&lt;&gt;'設定'!$C$4,N(U2525),IF(OR(NOT(COUNTIF('商品マスタ'!$B$6:$B$1005,$W2526)=0),COUNTIFS('①在庫を貼る'!$V$6:$V$10005,$V2526,'①在庫を貼る'!$W$6:$W$10005,$W2526)+COUNTIFS('月1回_1ヶ月前の在庫'!$V$6:$V$10005,$V2526,'月1回_1ヶ月前の在庫'!$W$6:$W$10005,$W2526)&gt;0),N(U2525),N(U2525)+1))</f>
        <v/>
      </c>
      <c r="V2526" s="19">
        <f>IF($B2526="","",TEXT($B2526,"0000"))</f>
        <v/>
      </c>
      <c r="W2526" s="19">
        <f>IF($I2526="","",IF(ISNUMBER($I2526),TEXT($I2526,"0"),$I2526))</f>
        <v/>
      </c>
    </row>
    <row r="2527">
      <c r="B2527" s="25" t="n"/>
      <c r="I2527" s="25" t="n"/>
      <c r="U2527" s="19">
        <f>IF($V2527&lt;&gt;'設定'!$C$4,N(U2526),IF(OR(NOT(COUNTIF('商品マスタ'!$B$6:$B$1005,$W2527)=0),COUNTIFS('①在庫を貼る'!$V$6:$V$10005,$V2527,'①在庫を貼る'!$W$6:$W$10005,$W2527)+COUNTIFS('月1回_1ヶ月前の在庫'!$V$6:$V$10005,$V2527,'月1回_1ヶ月前の在庫'!$W$6:$W$10005,$W2527)&gt;0),N(U2526),N(U2526)+1))</f>
        <v/>
      </c>
      <c r="V2527" s="19">
        <f>IF($B2527="","",TEXT($B2527,"0000"))</f>
        <v/>
      </c>
      <c r="W2527" s="19">
        <f>IF($I2527="","",IF(ISNUMBER($I2527),TEXT($I2527,"0"),$I2527))</f>
        <v/>
      </c>
    </row>
    <row r="2528">
      <c r="B2528" s="25" t="n"/>
      <c r="I2528" s="25" t="n"/>
      <c r="U2528" s="19">
        <f>IF($V2528&lt;&gt;'設定'!$C$4,N(U2527),IF(OR(NOT(COUNTIF('商品マスタ'!$B$6:$B$1005,$W2528)=0),COUNTIFS('①在庫を貼る'!$V$6:$V$10005,$V2528,'①在庫を貼る'!$W$6:$W$10005,$W2528)+COUNTIFS('月1回_1ヶ月前の在庫'!$V$6:$V$10005,$V2528,'月1回_1ヶ月前の在庫'!$W$6:$W$10005,$W2528)&gt;0),N(U2527),N(U2527)+1))</f>
        <v/>
      </c>
      <c r="V2528" s="19">
        <f>IF($B2528="","",TEXT($B2528,"0000"))</f>
        <v/>
      </c>
      <c r="W2528" s="19">
        <f>IF($I2528="","",IF(ISNUMBER($I2528),TEXT($I2528,"0"),$I2528))</f>
        <v/>
      </c>
    </row>
    <row r="2529">
      <c r="B2529" s="25" t="n"/>
      <c r="I2529" s="25" t="n"/>
      <c r="U2529" s="19">
        <f>IF($V2529&lt;&gt;'設定'!$C$4,N(U2528),IF(OR(NOT(COUNTIF('商品マスタ'!$B$6:$B$1005,$W2529)=0),COUNTIFS('①在庫を貼る'!$V$6:$V$10005,$V2529,'①在庫を貼る'!$W$6:$W$10005,$W2529)+COUNTIFS('月1回_1ヶ月前の在庫'!$V$6:$V$10005,$V2529,'月1回_1ヶ月前の在庫'!$W$6:$W$10005,$W2529)&gt;0),N(U2528),N(U2528)+1))</f>
        <v/>
      </c>
      <c r="V2529" s="19">
        <f>IF($B2529="","",TEXT($B2529,"0000"))</f>
        <v/>
      </c>
      <c r="W2529" s="19">
        <f>IF($I2529="","",IF(ISNUMBER($I2529),TEXT($I2529,"0"),$I2529))</f>
        <v/>
      </c>
    </row>
    <row r="2530">
      <c r="B2530" s="25" t="n"/>
      <c r="I2530" s="25" t="n"/>
      <c r="U2530" s="19">
        <f>IF($V2530&lt;&gt;'設定'!$C$4,N(U2529),IF(OR(NOT(COUNTIF('商品マスタ'!$B$6:$B$1005,$W2530)=0),COUNTIFS('①在庫を貼る'!$V$6:$V$10005,$V2530,'①在庫を貼る'!$W$6:$W$10005,$W2530)+COUNTIFS('月1回_1ヶ月前の在庫'!$V$6:$V$10005,$V2530,'月1回_1ヶ月前の在庫'!$W$6:$W$10005,$W2530)&gt;0),N(U2529),N(U2529)+1))</f>
        <v/>
      </c>
      <c r="V2530" s="19">
        <f>IF($B2530="","",TEXT($B2530,"0000"))</f>
        <v/>
      </c>
      <c r="W2530" s="19">
        <f>IF($I2530="","",IF(ISNUMBER($I2530),TEXT($I2530,"0"),$I2530))</f>
        <v/>
      </c>
    </row>
    <row r="2531">
      <c r="B2531" s="25" t="n"/>
      <c r="I2531" s="25" t="n"/>
      <c r="U2531" s="19">
        <f>IF($V2531&lt;&gt;'設定'!$C$4,N(U2530),IF(OR(NOT(COUNTIF('商品マスタ'!$B$6:$B$1005,$W2531)=0),COUNTIFS('①在庫を貼る'!$V$6:$V$10005,$V2531,'①在庫を貼る'!$W$6:$W$10005,$W2531)+COUNTIFS('月1回_1ヶ月前の在庫'!$V$6:$V$10005,$V2531,'月1回_1ヶ月前の在庫'!$W$6:$W$10005,$W2531)&gt;0),N(U2530),N(U2530)+1))</f>
        <v/>
      </c>
      <c r="V2531" s="19">
        <f>IF($B2531="","",TEXT($B2531,"0000"))</f>
        <v/>
      </c>
      <c r="W2531" s="19">
        <f>IF($I2531="","",IF(ISNUMBER($I2531),TEXT($I2531,"0"),$I2531))</f>
        <v/>
      </c>
    </row>
    <row r="2532">
      <c r="B2532" s="25" t="n"/>
      <c r="I2532" s="25" t="n"/>
      <c r="U2532" s="19">
        <f>IF($V2532&lt;&gt;'設定'!$C$4,N(U2531),IF(OR(NOT(COUNTIF('商品マスタ'!$B$6:$B$1005,$W2532)=0),COUNTIFS('①在庫を貼る'!$V$6:$V$10005,$V2532,'①在庫を貼る'!$W$6:$W$10005,$W2532)+COUNTIFS('月1回_1ヶ月前の在庫'!$V$6:$V$10005,$V2532,'月1回_1ヶ月前の在庫'!$W$6:$W$10005,$W2532)&gt;0),N(U2531),N(U2531)+1))</f>
        <v/>
      </c>
      <c r="V2532" s="19">
        <f>IF($B2532="","",TEXT($B2532,"0000"))</f>
        <v/>
      </c>
      <c r="W2532" s="19">
        <f>IF($I2532="","",IF(ISNUMBER($I2532),TEXT($I2532,"0"),$I2532))</f>
        <v/>
      </c>
    </row>
    <row r="2533">
      <c r="B2533" s="25" t="n"/>
      <c r="I2533" s="25" t="n"/>
      <c r="U2533" s="19">
        <f>IF($V2533&lt;&gt;'設定'!$C$4,N(U2532),IF(OR(NOT(COUNTIF('商品マスタ'!$B$6:$B$1005,$W2533)=0),COUNTIFS('①在庫を貼る'!$V$6:$V$10005,$V2533,'①在庫を貼る'!$W$6:$W$10005,$W2533)+COUNTIFS('月1回_1ヶ月前の在庫'!$V$6:$V$10005,$V2533,'月1回_1ヶ月前の在庫'!$W$6:$W$10005,$W2533)&gt;0),N(U2532),N(U2532)+1))</f>
        <v/>
      </c>
      <c r="V2533" s="19">
        <f>IF($B2533="","",TEXT($B2533,"0000"))</f>
        <v/>
      </c>
      <c r="W2533" s="19">
        <f>IF($I2533="","",IF(ISNUMBER($I2533),TEXT($I2533,"0"),$I2533))</f>
        <v/>
      </c>
    </row>
    <row r="2534">
      <c r="B2534" s="25" t="n"/>
      <c r="I2534" s="25" t="n"/>
      <c r="U2534" s="19">
        <f>IF($V2534&lt;&gt;'設定'!$C$4,N(U2533),IF(OR(NOT(COUNTIF('商品マスタ'!$B$6:$B$1005,$W2534)=0),COUNTIFS('①在庫を貼る'!$V$6:$V$10005,$V2534,'①在庫を貼る'!$W$6:$W$10005,$W2534)+COUNTIFS('月1回_1ヶ月前の在庫'!$V$6:$V$10005,$V2534,'月1回_1ヶ月前の在庫'!$W$6:$W$10005,$W2534)&gt;0),N(U2533),N(U2533)+1))</f>
        <v/>
      </c>
      <c r="V2534" s="19">
        <f>IF($B2534="","",TEXT($B2534,"0000"))</f>
        <v/>
      </c>
      <c r="W2534" s="19">
        <f>IF($I2534="","",IF(ISNUMBER($I2534),TEXT($I2534,"0"),$I2534))</f>
        <v/>
      </c>
    </row>
    <row r="2535">
      <c r="B2535" s="25" t="n"/>
      <c r="I2535" s="25" t="n"/>
      <c r="U2535" s="19">
        <f>IF($V2535&lt;&gt;'設定'!$C$4,N(U2534),IF(OR(NOT(COUNTIF('商品マスタ'!$B$6:$B$1005,$W2535)=0),COUNTIFS('①在庫を貼る'!$V$6:$V$10005,$V2535,'①在庫を貼る'!$W$6:$W$10005,$W2535)+COUNTIFS('月1回_1ヶ月前の在庫'!$V$6:$V$10005,$V2535,'月1回_1ヶ月前の在庫'!$W$6:$W$10005,$W2535)&gt;0),N(U2534),N(U2534)+1))</f>
        <v/>
      </c>
      <c r="V2535" s="19">
        <f>IF($B2535="","",TEXT($B2535,"0000"))</f>
        <v/>
      </c>
      <c r="W2535" s="19">
        <f>IF($I2535="","",IF(ISNUMBER($I2535),TEXT($I2535,"0"),$I2535))</f>
        <v/>
      </c>
    </row>
    <row r="2536">
      <c r="B2536" s="25" t="n"/>
      <c r="I2536" s="25" t="n"/>
      <c r="U2536" s="19">
        <f>IF($V2536&lt;&gt;'設定'!$C$4,N(U2535),IF(OR(NOT(COUNTIF('商品マスタ'!$B$6:$B$1005,$W2536)=0),COUNTIFS('①在庫を貼る'!$V$6:$V$10005,$V2536,'①在庫を貼る'!$W$6:$W$10005,$W2536)+COUNTIFS('月1回_1ヶ月前の在庫'!$V$6:$V$10005,$V2536,'月1回_1ヶ月前の在庫'!$W$6:$W$10005,$W2536)&gt;0),N(U2535),N(U2535)+1))</f>
        <v/>
      </c>
      <c r="V2536" s="19">
        <f>IF($B2536="","",TEXT($B2536,"0000"))</f>
        <v/>
      </c>
      <c r="W2536" s="19">
        <f>IF($I2536="","",IF(ISNUMBER($I2536),TEXT($I2536,"0"),$I2536))</f>
        <v/>
      </c>
    </row>
    <row r="2537">
      <c r="B2537" s="25" t="n"/>
      <c r="I2537" s="25" t="n"/>
      <c r="U2537" s="19">
        <f>IF($V2537&lt;&gt;'設定'!$C$4,N(U2536),IF(OR(NOT(COUNTIF('商品マスタ'!$B$6:$B$1005,$W2537)=0),COUNTIFS('①在庫を貼る'!$V$6:$V$10005,$V2537,'①在庫を貼る'!$W$6:$W$10005,$W2537)+COUNTIFS('月1回_1ヶ月前の在庫'!$V$6:$V$10005,$V2537,'月1回_1ヶ月前の在庫'!$W$6:$W$10005,$W2537)&gt;0),N(U2536),N(U2536)+1))</f>
        <v/>
      </c>
      <c r="V2537" s="19">
        <f>IF($B2537="","",TEXT($B2537,"0000"))</f>
        <v/>
      </c>
      <c r="W2537" s="19">
        <f>IF($I2537="","",IF(ISNUMBER($I2537),TEXT($I2537,"0"),$I2537))</f>
        <v/>
      </c>
    </row>
    <row r="2538">
      <c r="B2538" s="25" t="n"/>
      <c r="I2538" s="25" t="n"/>
      <c r="U2538" s="19">
        <f>IF($V2538&lt;&gt;'設定'!$C$4,N(U2537),IF(OR(NOT(COUNTIF('商品マスタ'!$B$6:$B$1005,$W2538)=0),COUNTIFS('①在庫を貼る'!$V$6:$V$10005,$V2538,'①在庫を貼る'!$W$6:$W$10005,$W2538)+COUNTIFS('月1回_1ヶ月前の在庫'!$V$6:$V$10005,$V2538,'月1回_1ヶ月前の在庫'!$W$6:$W$10005,$W2538)&gt;0),N(U2537),N(U2537)+1))</f>
        <v/>
      </c>
      <c r="V2538" s="19">
        <f>IF($B2538="","",TEXT($B2538,"0000"))</f>
        <v/>
      </c>
      <c r="W2538" s="19">
        <f>IF($I2538="","",IF(ISNUMBER($I2538),TEXT($I2538,"0"),$I2538))</f>
        <v/>
      </c>
    </row>
    <row r="2539">
      <c r="B2539" s="25" t="n"/>
      <c r="I2539" s="25" t="n"/>
      <c r="U2539" s="19">
        <f>IF($V2539&lt;&gt;'設定'!$C$4,N(U2538),IF(OR(NOT(COUNTIF('商品マスタ'!$B$6:$B$1005,$W2539)=0),COUNTIFS('①在庫を貼る'!$V$6:$V$10005,$V2539,'①在庫を貼る'!$W$6:$W$10005,$W2539)+COUNTIFS('月1回_1ヶ月前の在庫'!$V$6:$V$10005,$V2539,'月1回_1ヶ月前の在庫'!$W$6:$W$10005,$W2539)&gt;0),N(U2538),N(U2538)+1))</f>
        <v/>
      </c>
      <c r="V2539" s="19">
        <f>IF($B2539="","",TEXT($B2539,"0000"))</f>
        <v/>
      </c>
      <c r="W2539" s="19">
        <f>IF($I2539="","",IF(ISNUMBER($I2539),TEXT($I2539,"0"),$I2539))</f>
        <v/>
      </c>
    </row>
    <row r="2540">
      <c r="B2540" s="25" t="n"/>
      <c r="I2540" s="25" t="n"/>
      <c r="U2540" s="19">
        <f>IF($V2540&lt;&gt;'設定'!$C$4,N(U2539),IF(OR(NOT(COUNTIF('商品マスタ'!$B$6:$B$1005,$W2540)=0),COUNTIFS('①在庫を貼る'!$V$6:$V$10005,$V2540,'①在庫を貼る'!$W$6:$W$10005,$W2540)+COUNTIFS('月1回_1ヶ月前の在庫'!$V$6:$V$10005,$V2540,'月1回_1ヶ月前の在庫'!$W$6:$W$10005,$W2540)&gt;0),N(U2539),N(U2539)+1))</f>
        <v/>
      </c>
      <c r="V2540" s="19">
        <f>IF($B2540="","",TEXT($B2540,"0000"))</f>
        <v/>
      </c>
      <c r="W2540" s="19">
        <f>IF($I2540="","",IF(ISNUMBER($I2540),TEXT($I2540,"0"),$I2540))</f>
        <v/>
      </c>
    </row>
    <row r="2541">
      <c r="B2541" s="25" t="n"/>
      <c r="I2541" s="25" t="n"/>
      <c r="U2541" s="19">
        <f>IF($V2541&lt;&gt;'設定'!$C$4,N(U2540),IF(OR(NOT(COUNTIF('商品マスタ'!$B$6:$B$1005,$W2541)=0),COUNTIFS('①在庫を貼る'!$V$6:$V$10005,$V2541,'①在庫を貼る'!$W$6:$W$10005,$W2541)+COUNTIFS('月1回_1ヶ月前の在庫'!$V$6:$V$10005,$V2541,'月1回_1ヶ月前の在庫'!$W$6:$W$10005,$W2541)&gt;0),N(U2540),N(U2540)+1))</f>
        <v/>
      </c>
      <c r="V2541" s="19">
        <f>IF($B2541="","",TEXT($B2541,"0000"))</f>
        <v/>
      </c>
      <c r="W2541" s="19">
        <f>IF($I2541="","",IF(ISNUMBER($I2541),TEXT($I2541,"0"),$I2541))</f>
        <v/>
      </c>
    </row>
    <row r="2542">
      <c r="B2542" s="25" t="n"/>
      <c r="I2542" s="25" t="n"/>
      <c r="U2542" s="19">
        <f>IF($V2542&lt;&gt;'設定'!$C$4,N(U2541),IF(OR(NOT(COUNTIF('商品マスタ'!$B$6:$B$1005,$W2542)=0),COUNTIFS('①在庫を貼る'!$V$6:$V$10005,$V2542,'①在庫を貼る'!$W$6:$W$10005,$W2542)+COUNTIFS('月1回_1ヶ月前の在庫'!$V$6:$V$10005,$V2542,'月1回_1ヶ月前の在庫'!$W$6:$W$10005,$W2542)&gt;0),N(U2541),N(U2541)+1))</f>
        <v/>
      </c>
      <c r="V2542" s="19">
        <f>IF($B2542="","",TEXT($B2542,"0000"))</f>
        <v/>
      </c>
      <c r="W2542" s="19">
        <f>IF($I2542="","",IF(ISNUMBER($I2542),TEXT($I2542,"0"),$I2542))</f>
        <v/>
      </c>
    </row>
    <row r="2543">
      <c r="B2543" s="25" t="n"/>
      <c r="I2543" s="25" t="n"/>
      <c r="U2543" s="19">
        <f>IF($V2543&lt;&gt;'設定'!$C$4,N(U2542),IF(OR(NOT(COUNTIF('商品マスタ'!$B$6:$B$1005,$W2543)=0),COUNTIFS('①在庫を貼る'!$V$6:$V$10005,$V2543,'①在庫を貼る'!$W$6:$W$10005,$W2543)+COUNTIFS('月1回_1ヶ月前の在庫'!$V$6:$V$10005,$V2543,'月1回_1ヶ月前の在庫'!$W$6:$W$10005,$W2543)&gt;0),N(U2542),N(U2542)+1))</f>
        <v/>
      </c>
      <c r="V2543" s="19">
        <f>IF($B2543="","",TEXT($B2543,"0000"))</f>
        <v/>
      </c>
      <c r="W2543" s="19">
        <f>IF($I2543="","",IF(ISNUMBER($I2543),TEXT($I2543,"0"),$I2543))</f>
        <v/>
      </c>
    </row>
    <row r="2544">
      <c r="B2544" s="25" t="n"/>
      <c r="I2544" s="25" t="n"/>
      <c r="U2544" s="19">
        <f>IF($V2544&lt;&gt;'設定'!$C$4,N(U2543),IF(OR(NOT(COUNTIF('商品マスタ'!$B$6:$B$1005,$W2544)=0),COUNTIFS('①在庫を貼る'!$V$6:$V$10005,$V2544,'①在庫を貼る'!$W$6:$W$10005,$W2544)+COUNTIFS('月1回_1ヶ月前の在庫'!$V$6:$V$10005,$V2544,'月1回_1ヶ月前の在庫'!$W$6:$W$10005,$W2544)&gt;0),N(U2543),N(U2543)+1))</f>
        <v/>
      </c>
      <c r="V2544" s="19">
        <f>IF($B2544="","",TEXT($B2544,"0000"))</f>
        <v/>
      </c>
      <c r="W2544" s="19">
        <f>IF($I2544="","",IF(ISNUMBER($I2544),TEXT($I2544,"0"),$I2544))</f>
        <v/>
      </c>
    </row>
    <row r="2545">
      <c r="B2545" s="25" t="n"/>
      <c r="I2545" s="25" t="n"/>
      <c r="U2545" s="19">
        <f>IF($V2545&lt;&gt;'設定'!$C$4,N(U2544),IF(OR(NOT(COUNTIF('商品マスタ'!$B$6:$B$1005,$W2545)=0),COUNTIFS('①在庫を貼る'!$V$6:$V$10005,$V2545,'①在庫を貼る'!$W$6:$W$10005,$W2545)+COUNTIFS('月1回_1ヶ月前の在庫'!$V$6:$V$10005,$V2545,'月1回_1ヶ月前の在庫'!$W$6:$W$10005,$W2545)&gt;0),N(U2544),N(U2544)+1))</f>
        <v/>
      </c>
      <c r="V2545" s="19">
        <f>IF($B2545="","",TEXT($B2545,"0000"))</f>
        <v/>
      </c>
      <c r="W2545" s="19">
        <f>IF($I2545="","",IF(ISNUMBER($I2545),TEXT($I2545,"0"),$I2545))</f>
        <v/>
      </c>
    </row>
    <row r="2546">
      <c r="B2546" s="25" t="n"/>
      <c r="I2546" s="25" t="n"/>
      <c r="U2546" s="19">
        <f>IF($V2546&lt;&gt;'設定'!$C$4,N(U2545),IF(OR(NOT(COUNTIF('商品マスタ'!$B$6:$B$1005,$W2546)=0),COUNTIFS('①在庫を貼る'!$V$6:$V$10005,$V2546,'①在庫を貼る'!$W$6:$W$10005,$W2546)+COUNTIFS('月1回_1ヶ月前の在庫'!$V$6:$V$10005,$V2546,'月1回_1ヶ月前の在庫'!$W$6:$W$10005,$W2546)&gt;0),N(U2545),N(U2545)+1))</f>
        <v/>
      </c>
      <c r="V2546" s="19">
        <f>IF($B2546="","",TEXT($B2546,"0000"))</f>
        <v/>
      </c>
      <c r="W2546" s="19">
        <f>IF($I2546="","",IF(ISNUMBER($I2546),TEXT($I2546,"0"),$I2546))</f>
        <v/>
      </c>
    </row>
    <row r="2547">
      <c r="B2547" s="25" t="n"/>
      <c r="I2547" s="25" t="n"/>
      <c r="U2547" s="19">
        <f>IF($V2547&lt;&gt;'設定'!$C$4,N(U2546),IF(OR(NOT(COUNTIF('商品マスタ'!$B$6:$B$1005,$W2547)=0),COUNTIFS('①在庫を貼る'!$V$6:$V$10005,$V2547,'①在庫を貼る'!$W$6:$W$10005,$W2547)+COUNTIFS('月1回_1ヶ月前の在庫'!$V$6:$V$10005,$V2547,'月1回_1ヶ月前の在庫'!$W$6:$W$10005,$W2547)&gt;0),N(U2546),N(U2546)+1))</f>
        <v/>
      </c>
      <c r="V2547" s="19">
        <f>IF($B2547="","",TEXT($B2547,"0000"))</f>
        <v/>
      </c>
      <c r="W2547" s="19">
        <f>IF($I2547="","",IF(ISNUMBER($I2547),TEXT($I2547,"0"),$I2547))</f>
        <v/>
      </c>
    </row>
    <row r="2548">
      <c r="B2548" s="25" t="n"/>
      <c r="I2548" s="25" t="n"/>
      <c r="U2548" s="19">
        <f>IF($V2548&lt;&gt;'設定'!$C$4,N(U2547),IF(OR(NOT(COUNTIF('商品マスタ'!$B$6:$B$1005,$W2548)=0),COUNTIFS('①在庫を貼る'!$V$6:$V$10005,$V2548,'①在庫を貼る'!$W$6:$W$10005,$W2548)+COUNTIFS('月1回_1ヶ月前の在庫'!$V$6:$V$10005,$V2548,'月1回_1ヶ月前の在庫'!$W$6:$W$10005,$W2548)&gt;0),N(U2547),N(U2547)+1))</f>
        <v/>
      </c>
      <c r="V2548" s="19">
        <f>IF($B2548="","",TEXT($B2548,"0000"))</f>
        <v/>
      </c>
      <c r="W2548" s="19">
        <f>IF($I2548="","",IF(ISNUMBER($I2548),TEXT($I2548,"0"),$I2548))</f>
        <v/>
      </c>
    </row>
    <row r="2549">
      <c r="B2549" s="25" t="n"/>
      <c r="I2549" s="25" t="n"/>
      <c r="U2549" s="19">
        <f>IF($V2549&lt;&gt;'設定'!$C$4,N(U2548),IF(OR(NOT(COUNTIF('商品マスタ'!$B$6:$B$1005,$W2549)=0),COUNTIFS('①在庫を貼る'!$V$6:$V$10005,$V2549,'①在庫を貼る'!$W$6:$W$10005,$W2549)+COUNTIFS('月1回_1ヶ月前の在庫'!$V$6:$V$10005,$V2549,'月1回_1ヶ月前の在庫'!$W$6:$W$10005,$W2549)&gt;0),N(U2548),N(U2548)+1))</f>
        <v/>
      </c>
      <c r="V2549" s="19">
        <f>IF($B2549="","",TEXT($B2549,"0000"))</f>
        <v/>
      </c>
      <c r="W2549" s="19">
        <f>IF($I2549="","",IF(ISNUMBER($I2549),TEXT($I2549,"0"),$I2549))</f>
        <v/>
      </c>
    </row>
    <row r="2550">
      <c r="B2550" s="25" t="n"/>
      <c r="I2550" s="25" t="n"/>
      <c r="U2550" s="19">
        <f>IF($V2550&lt;&gt;'設定'!$C$4,N(U2549),IF(OR(NOT(COUNTIF('商品マスタ'!$B$6:$B$1005,$W2550)=0),COUNTIFS('①在庫を貼る'!$V$6:$V$10005,$V2550,'①在庫を貼る'!$W$6:$W$10005,$W2550)+COUNTIFS('月1回_1ヶ月前の在庫'!$V$6:$V$10005,$V2550,'月1回_1ヶ月前の在庫'!$W$6:$W$10005,$W2550)&gt;0),N(U2549),N(U2549)+1))</f>
        <v/>
      </c>
      <c r="V2550" s="19">
        <f>IF($B2550="","",TEXT($B2550,"0000"))</f>
        <v/>
      </c>
      <c r="W2550" s="19">
        <f>IF($I2550="","",IF(ISNUMBER($I2550),TEXT($I2550,"0"),$I2550))</f>
        <v/>
      </c>
    </row>
    <row r="2551">
      <c r="B2551" s="25" t="n"/>
      <c r="I2551" s="25" t="n"/>
      <c r="U2551" s="19">
        <f>IF($V2551&lt;&gt;'設定'!$C$4,N(U2550),IF(OR(NOT(COUNTIF('商品マスタ'!$B$6:$B$1005,$W2551)=0),COUNTIFS('①在庫を貼る'!$V$6:$V$10005,$V2551,'①在庫を貼る'!$W$6:$W$10005,$W2551)+COUNTIFS('月1回_1ヶ月前の在庫'!$V$6:$V$10005,$V2551,'月1回_1ヶ月前の在庫'!$W$6:$W$10005,$W2551)&gt;0),N(U2550),N(U2550)+1))</f>
        <v/>
      </c>
      <c r="V2551" s="19">
        <f>IF($B2551="","",TEXT($B2551,"0000"))</f>
        <v/>
      </c>
      <c r="W2551" s="19">
        <f>IF($I2551="","",IF(ISNUMBER($I2551),TEXT($I2551,"0"),$I2551))</f>
        <v/>
      </c>
    </row>
    <row r="2552">
      <c r="B2552" s="25" t="n"/>
      <c r="I2552" s="25" t="n"/>
      <c r="U2552" s="19">
        <f>IF($V2552&lt;&gt;'設定'!$C$4,N(U2551),IF(OR(NOT(COUNTIF('商品マスタ'!$B$6:$B$1005,$W2552)=0),COUNTIFS('①在庫を貼る'!$V$6:$V$10005,$V2552,'①在庫を貼る'!$W$6:$W$10005,$W2552)+COUNTIFS('月1回_1ヶ月前の在庫'!$V$6:$V$10005,$V2552,'月1回_1ヶ月前の在庫'!$W$6:$W$10005,$W2552)&gt;0),N(U2551),N(U2551)+1))</f>
        <v/>
      </c>
      <c r="V2552" s="19">
        <f>IF($B2552="","",TEXT($B2552,"0000"))</f>
        <v/>
      </c>
      <c r="W2552" s="19">
        <f>IF($I2552="","",IF(ISNUMBER($I2552),TEXT($I2552,"0"),$I2552))</f>
        <v/>
      </c>
    </row>
    <row r="2553">
      <c r="B2553" s="25" t="n"/>
      <c r="I2553" s="25" t="n"/>
      <c r="U2553" s="19">
        <f>IF($V2553&lt;&gt;'設定'!$C$4,N(U2552),IF(OR(NOT(COUNTIF('商品マスタ'!$B$6:$B$1005,$W2553)=0),COUNTIFS('①在庫を貼る'!$V$6:$V$10005,$V2553,'①在庫を貼る'!$W$6:$W$10005,$W2553)+COUNTIFS('月1回_1ヶ月前の在庫'!$V$6:$V$10005,$V2553,'月1回_1ヶ月前の在庫'!$W$6:$W$10005,$W2553)&gt;0),N(U2552),N(U2552)+1))</f>
        <v/>
      </c>
      <c r="V2553" s="19">
        <f>IF($B2553="","",TEXT($B2553,"0000"))</f>
        <v/>
      </c>
      <c r="W2553" s="19">
        <f>IF($I2553="","",IF(ISNUMBER($I2553),TEXT($I2553,"0"),$I2553))</f>
        <v/>
      </c>
    </row>
    <row r="2554">
      <c r="B2554" s="25" t="n"/>
      <c r="I2554" s="25" t="n"/>
      <c r="U2554" s="19">
        <f>IF($V2554&lt;&gt;'設定'!$C$4,N(U2553),IF(OR(NOT(COUNTIF('商品マスタ'!$B$6:$B$1005,$W2554)=0),COUNTIFS('①在庫を貼る'!$V$6:$V$10005,$V2554,'①在庫を貼る'!$W$6:$W$10005,$W2554)+COUNTIFS('月1回_1ヶ月前の在庫'!$V$6:$V$10005,$V2554,'月1回_1ヶ月前の在庫'!$W$6:$W$10005,$W2554)&gt;0),N(U2553),N(U2553)+1))</f>
        <v/>
      </c>
      <c r="V2554" s="19">
        <f>IF($B2554="","",TEXT($B2554,"0000"))</f>
        <v/>
      </c>
      <c r="W2554" s="19">
        <f>IF($I2554="","",IF(ISNUMBER($I2554),TEXT($I2554,"0"),$I2554))</f>
        <v/>
      </c>
    </row>
    <row r="2555">
      <c r="B2555" s="25" t="n"/>
      <c r="I2555" s="25" t="n"/>
      <c r="U2555" s="19">
        <f>IF($V2555&lt;&gt;'設定'!$C$4,N(U2554),IF(OR(NOT(COUNTIF('商品マスタ'!$B$6:$B$1005,$W2555)=0),COUNTIFS('①在庫を貼る'!$V$6:$V$10005,$V2555,'①在庫を貼る'!$W$6:$W$10005,$W2555)+COUNTIFS('月1回_1ヶ月前の在庫'!$V$6:$V$10005,$V2555,'月1回_1ヶ月前の在庫'!$W$6:$W$10005,$W2555)&gt;0),N(U2554),N(U2554)+1))</f>
        <v/>
      </c>
      <c r="V2555" s="19">
        <f>IF($B2555="","",TEXT($B2555,"0000"))</f>
        <v/>
      </c>
      <c r="W2555" s="19">
        <f>IF($I2555="","",IF(ISNUMBER($I2555),TEXT($I2555,"0"),$I2555))</f>
        <v/>
      </c>
    </row>
    <row r="2556">
      <c r="B2556" s="25" t="n"/>
      <c r="I2556" s="25" t="n"/>
      <c r="U2556" s="19">
        <f>IF($V2556&lt;&gt;'設定'!$C$4,N(U2555),IF(OR(NOT(COUNTIF('商品マスタ'!$B$6:$B$1005,$W2556)=0),COUNTIFS('①在庫を貼る'!$V$6:$V$10005,$V2556,'①在庫を貼る'!$W$6:$W$10005,$W2556)+COUNTIFS('月1回_1ヶ月前の在庫'!$V$6:$V$10005,$V2556,'月1回_1ヶ月前の在庫'!$W$6:$W$10005,$W2556)&gt;0),N(U2555),N(U2555)+1))</f>
        <v/>
      </c>
      <c r="V2556" s="19">
        <f>IF($B2556="","",TEXT($B2556,"0000"))</f>
        <v/>
      </c>
      <c r="W2556" s="19">
        <f>IF($I2556="","",IF(ISNUMBER($I2556),TEXT($I2556,"0"),$I2556))</f>
        <v/>
      </c>
    </row>
    <row r="2557">
      <c r="B2557" s="25" t="n"/>
      <c r="I2557" s="25" t="n"/>
      <c r="U2557" s="19">
        <f>IF($V2557&lt;&gt;'設定'!$C$4,N(U2556),IF(OR(NOT(COUNTIF('商品マスタ'!$B$6:$B$1005,$W2557)=0),COUNTIFS('①在庫を貼る'!$V$6:$V$10005,$V2557,'①在庫を貼る'!$W$6:$W$10005,$W2557)+COUNTIFS('月1回_1ヶ月前の在庫'!$V$6:$V$10005,$V2557,'月1回_1ヶ月前の在庫'!$W$6:$W$10005,$W2557)&gt;0),N(U2556),N(U2556)+1))</f>
        <v/>
      </c>
      <c r="V2557" s="19">
        <f>IF($B2557="","",TEXT($B2557,"0000"))</f>
        <v/>
      </c>
      <c r="W2557" s="19">
        <f>IF($I2557="","",IF(ISNUMBER($I2557),TEXT($I2557,"0"),$I2557))</f>
        <v/>
      </c>
    </row>
    <row r="2558">
      <c r="B2558" s="25" t="n"/>
      <c r="I2558" s="25" t="n"/>
      <c r="U2558" s="19">
        <f>IF($V2558&lt;&gt;'設定'!$C$4,N(U2557),IF(OR(NOT(COUNTIF('商品マスタ'!$B$6:$B$1005,$W2558)=0),COUNTIFS('①在庫を貼る'!$V$6:$V$10005,$V2558,'①在庫を貼る'!$W$6:$W$10005,$W2558)+COUNTIFS('月1回_1ヶ月前の在庫'!$V$6:$V$10005,$V2558,'月1回_1ヶ月前の在庫'!$W$6:$W$10005,$W2558)&gt;0),N(U2557),N(U2557)+1))</f>
        <v/>
      </c>
      <c r="V2558" s="19">
        <f>IF($B2558="","",TEXT($B2558,"0000"))</f>
        <v/>
      </c>
      <c r="W2558" s="19">
        <f>IF($I2558="","",IF(ISNUMBER($I2558),TEXT($I2558,"0"),$I2558))</f>
        <v/>
      </c>
    </row>
    <row r="2559">
      <c r="B2559" s="25" t="n"/>
      <c r="I2559" s="25" t="n"/>
      <c r="U2559" s="19">
        <f>IF($V2559&lt;&gt;'設定'!$C$4,N(U2558),IF(OR(NOT(COUNTIF('商品マスタ'!$B$6:$B$1005,$W2559)=0),COUNTIFS('①在庫を貼る'!$V$6:$V$10005,$V2559,'①在庫を貼る'!$W$6:$W$10005,$W2559)+COUNTIFS('月1回_1ヶ月前の在庫'!$V$6:$V$10005,$V2559,'月1回_1ヶ月前の在庫'!$W$6:$W$10005,$W2559)&gt;0),N(U2558),N(U2558)+1))</f>
        <v/>
      </c>
      <c r="V2559" s="19">
        <f>IF($B2559="","",TEXT($B2559,"0000"))</f>
        <v/>
      </c>
      <c r="W2559" s="19">
        <f>IF($I2559="","",IF(ISNUMBER($I2559),TEXT($I2559,"0"),$I2559))</f>
        <v/>
      </c>
    </row>
    <row r="2560">
      <c r="B2560" s="25" t="n"/>
      <c r="I2560" s="25" t="n"/>
      <c r="U2560" s="19">
        <f>IF($V2560&lt;&gt;'設定'!$C$4,N(U2559),IF(OR(NOT(COUNTIF('商品マスタ'!$B$6:$B$1005,$W2560)=0),COUNTIFS('①在庫を貼る'!$V$6:$V$10005,$V2560,'①在庫を貼る'!$W$6:$W$10005,$W2560)+COUNTIFS('月1回_1ヶ月前の在庫'!$V$6:$V$10005,$V2560,'月1回_1ヶ月前の在庫'!$W$6:$W$10005,$W2560)&gt;0),N(U2559),N(U2559)+1))</f>
        <v/>
      </c>
      <c r="V2560" s="19">
        <f>IF($B2560="","",TEXT($B2560,"0000"))</f>
        <v/>
      </c>
      <c r="W2560" s="19">
        <f>IF($I2560="","",IF(ISNUMBER($I2560),TEXT($I2560,"0"),$I2560))</f>
        <v/>
      </c>
    </row>
    <row r="2561">
      <c r="B2561" s="25" t="n"/>
      <c r="I2561" s="25" t="n"/>
      <c r="U2561" s="19">
        <f>IF($V2561&lt;&gt;'設定'!$C$4,N(U2560),IF(OR(NOT(COUNTIF('商品マスタ'!$B$6:$B$1005,$W2561)=0),COUNTIFS('①在庫を貼る'!$V$6:$V$10005,$V2561,'①在庫を貼る'!$W$6:$W$10005,$W2561)+COUNTIFS('月1回_1ヶ月前の在庫'!$V$6:$V$10005,$V2561,'月1回_1ヶ月前の在庫'!$W$6:$W$10005,$W2561)&gt;0),N(U2560),N(U2560)+1))</f>
        <v/>
      </c>
      <c r="V2561" s="19">
        <f>IF($B2561="","",TEXT($B2561,"0000"))</f>
        <v/>
      </c>
      <c r="W2561" s="19">
        <f>IF($I2561="","",IF(ISNUMBER($I2561),TEXT($I2561,"0"),$I2561))</f>
        <v/>
      </c>
    </row>
    <row r="2562">
      <c r="B2562" s="25" t="n"/>
      <c r="I2562" s="25" t="n"/>
      <c r="U2562" s="19">
        <f>IF($V2562&lt;&gt;'設定'!$C$4,N(U2561),IF(OR(NOT(COUNTIF('商品マスタ'!$B$6:$B$1005,$W2562)=0),COUNTIFS('①在庫を貼る'!$V$6:$V$10005,$V2562,'①在庫を貼る'!$W$6:$W$10005,$W2562)+COUNTIFS('月1回_1ヶ月前の在庫'!$V$6:$V$10005,$V2562,'月1回_1ヶ月前の在庫'!$W$6:$W$10005,$W2562)&gt;0),N(U2561),N(U2561)+1))</f>
        <v/>
      </c>
      <c r="V2562" s="19">
        <f>IF($B2562="","",TEXT($B2562,"0000"))</f>
        <v/>
      </c>
      <c r="W2562" s="19">
        <f>IF($I2562="","",IF(ISNUMBER($I2562),TEXT($I2562,"0"),$I2562))</f>
        <v/>
      </c>
    </row>
    <row r="2563">
      <c r="B2563" s="25" t="n"/>
      <c r="I2563" s="25" t="n"/>
      <c r="U2563" s="19">
        <f>IF($V2563&lt;&gt;'設定'!$C$4,N(U2562),IF(OR(NOT(COUNTIF('商品マスタ'!$B$6:$B$1005,$W2563)=0),COUNTIFS('①在庫を貼る'!$V$6:$V$10005,$V2563,'①在庫を貼る'!$W$6:$W$10005,$W2563)+COUNTIFS('月1回_1ヶ月前の在庫'!$V$6:$V$10005,$V2563,'月1回_1ヶ月前の在庫'!$W$6:$W$10005,$W2563)&gt;0),N(U2562),N(U2562)+1))</f>
        <v/>
      </c>
      <c r="V2563" s="19">
        <f>IF($B2563="","",TEXT($B2563,"0000"))</f>
        <v/>
      </c>
      <c r="W2563" s="19">
        <f>IF($I2563="","",IF(ISNUMBER($I2563),TEXT($I2563,"0"),$I2563))</f>
        <v/>
      </c>
    </row>
    <row r="2564">
      <c r="B2564" s="25" t="n"/>
      <c r="I2564" s="25" t="n"/>
      <c r="U2564" s="19">
        <f>IF($V2564&lt;&gt;'設定'!$C$4,N(U2563),IF(OR(NOT(COUNTIF('商品マスタ'!$B$6:$B$1005,$W2564)=0),COUNTIFS('①在庫を貼る'!$V$6:$V$10005,$V2564,'①在庫を貼る'!$W$6:$W$10005,$W2564)+COUNTIFS('月1回_1ヶ月前の在庫'!$V$6:$V$10005,$V2564,'月1回_1ヶ月前の在庫'!$W$6:$W$10005,$W2564)&gt;0),N(U2563),N(U2563)+1))</f>
        <v/>
      </c>
      <c r="V2564" s="19">
        <f>IF($B2564="","",TEXT($B2564,"0000"))</f>
        <v/>
      </c>
      <c r="W2564" s="19">
        <f>IF($I2564="","",IF(ISNUMBER($I2564),TEXT($I2564,"0"),$I2564))</f>
        <v/>
      </c>
    </row>
    <row r="2565">
      <c r="B2565" s="25" t="n"/>
      <c r="I2565" s="25" t="n"/>
      <c r="U2565" s="19">
        <f>IF($V2565&lt;&gt;'設定'!$C$4,N(U2564),IF(OR(NOT(COUNTIF('商品マスタ'!$B$6:$B$1005,$W2565)=0),COUNTIFS('①在庫を貼る'!$V$6:$V$10005,$V2565,'①在庫を貼る'!$W$6:$W$10005,$W2565)+COUNTIFS('月1回_1ヶ月前の在庫'!$V$6:$V$10005,$V2565,'月1回_1ヶ月前の在庫'!$W$6:$W$10005,$W2565)&gt;0),N(U2564),N(U2564)+1))</f>
        <v/>
      </c>
      <c r="V2565" s="19">
        <f>IF($B2565="","",TEXT($B2565,"0000"))</f>
        <v/>
      </c>
      <c r="W2565" s="19">
        <f>IF($I2565="","",IF(ISNUMBER($I2565),TEXT($I2565,"0"),$I2565))</f>
        <v/>
      </c>
    </row>
    <row r="2566">
      <c r="B2566" s="25" t="n"/>
      <c r="I2566" s="25" t="n"/>
      <c r="U2566" s="19">
        <f>IF($V2566&lt;&gt;'設定'!$C$4,N(U2565),IF(OR(NOT(COUNTIF('商品マスタ'!$B$6:$B$1005,$W2566)=0),COUNTIFS('①在庫を貼る'!$V$6:$V$10005,$V2566,'①在庫を貼る'!$W$6:$W$10005,$W2566)+COUNTIFS('月1回_1ヶ月前の在庫'!$V$6:$V$10005,$V2566,'月1回_1ヶ月前の在庫'!$W$6:$W$10005,$W2566)&gt;0),N(U2565),N(U2565)+1))</f>
        <v/>
      </c>
      <c r="V2566" s="19">
        <f>IF($B2566="","",TEXT($B2566,"0000"))</f>
        <v/>
      </c>
      <c r="W2566" s="19">
        <f>IF($I2566="","",IF(ISNUMBER($I2566),TEXT($I2566,"0"),$I2566))</f>
        <v/>
      </c>
    </row>
    <row r="2567">
      <c r="B2567" s="25" t="n"/>
      <c r="I2567" s="25" t="n"/>
      <c r="U2567" s="19">
        <f>IF($V2567&lt;&gt;'設定'!$C$4,N(U2566),IF(OR(NOT(COUNTIF('商品マスタ'!$B$6:$B$1005,$W2567)=0),COUNTIFS('①在庫を貼る'!$V$6:$V$10005,$V2567,'①在庫を貼る'!$W$6:$W$10005,$W2567)+COUNTIFS('月1回_1ヶ月前の在庫'!$V$6:$V$10005,$V2567,'月1回_1ヶ月前の在庫'!$W$6:$W$10005,$W2567)&gt;0),N(U2566),N(U2566)+1))</f>
        <v/>
      </c>
      <c r="V2567" s="19">
        <f>IF($B2567="","",TEXT($B2567,"0000"))</f>
        <v/>
      </c>
      <c r="W2567" s="19">
        <f>IF($I2567="","",IF(ISNUMBER($I2567),TEXT($I2567,"0"),$I2567))</f>
        <v/>
      </c>
    </row>
    <row r="2568">
      <c r="B2568" s="25" t="n"/>
      <c r="I2568" s="25" t="n"/>
      <c r="U2568" s="19">
        <f>IF($V2568&lt;&gt;'設定'!$C$4,N(U2567),IF(OR(NOT(COUNTIF('商品マスタ'!$B$6:$B$1005,$W2568)=0),COUNTIFS('①在庫を貼る'!$V$6:$V$10005,$V2568,'①在庫を貼る'!$W$6:$W$10005,$W2568)+COUNTIFS('月1回_1ヶ月前の在庫'!$V$6:$V$10005,$V2568,'月1回_1ヶ月前の在庫'!$W$6:$W$10005,$W2568)&gt;0),N(U2567),N(U2567)+1))</f>
        <v/>
      </c>
      <c r="V2568" s="19">
        <f>IF($B2568="","",TEXT($B2568,"0000"))</f>
        <v/>
      </c>
      <c r="W2568" s="19">
        <f>IF($I2568="","",IF(ISNUMBER($I2568),TEXT($I2568,"0"),$I2568))</f>
        <v/>
      </c>
    </row>
    <row r="2569">
      <c r="B2569" s="25" t="n"/>
      <c r="I2569" s="25" t="n"/>
      <c r="U2569" s="19">
        <f>IF($V2569&lt;&gt;'設定'!$C$4,N(U2568),IF(OR(NOT(COUNTIF('商品マスタ'!$B$6:$B$1005,$W2569)=0),COUNTIFS('①在庫を貼る'!$V$6:$V$10005,$V2569,'①在庫を貼る'!$W$6:$W$10005,$W2569)+COUNTIFS('月1回_1ヶ月前の在庫'!$V$6:$V$10005,$V2569,'月1回_1ヶ月前の在庫'!$W$6:$W$10005,$W2569)&gt;0),N(U2568),N(U2568)+1))</f>
        <v/>
      </c>
      <c r="V2569" s="19">
        <f>IF($B2569="","",TEXT($B2569,"0000"))</f>
        <v/>
      </c>
      <c r="W2569" s="19">
        <f>IF($I2569="","",IF(ISNUMBER($I2569),TEXT($I2569,"0"),$I2569))</f>
        <v/>
      </c>
    </row>
    <row r="2570">
      <c r="B2570" s="25" t="n"/>
      <c r="I2570" s="25" t="n"/>
      <c r="U2570" s="19">
        <f>IF($V2570&lt;&gt;'設定'!$C$4,N(U2569),IF(OR(NOT(COUNTIF('商品マスタ'!$B$6:$B$1005,$W2570)=0),COUNTIFS('①在庫を貼る'!$V$6:$V$10005,$V2570,'①在庫を貼る'!$W$6:$W$10005,$W2570)+COUNTIFS('月1回_1ヶ月前の在庫'!$V$6:$V$10005,$V2570,'月1回_1ヶ月前の在庫'!$W$6:$W$10005,$W2570)&gt;0),N(U2569),N(U2569)+1))</f>
        <v/>
      </c>
      <c r="V2570" s="19">
        <f>IF($B2570="","",TEXT($B2570,"0000"))</f>
        <v/>
      </c>
      <c r="W2570" s="19">
        <f>IF($I2570="","",IF(ISNUMBER($I2570),TEXT($I2570,"0"),$I2570))</f>
        <v/>
      </c>
    </row>
    <row r="2571">
      <c r="B2571" s="25" t="n"/>
      <c r="I2571" s="25" t="n"/>
      <c r="U2571" s="19">
        <f>IF($V2571&lt;&gt;'設定'!$C$4,N(U2570),IF(OR(NOT(COUNTIF('商品マスタ'!$B$6:$B$1005,$W2571)=0),COUNTIFS('①在庫を貼る'!$V$6:$V$10005,$V2571,'①在庫を貼る'!$W$6:$W$10005,$W2571)+COUNTIFS('月1回_1ヶ月前の在庫'!$V$6:$V$10005,$V2571,'月1回_1ヶ月前の在庫'!$W$6:$W$10005,$W2571)&gt;0),N(U2570),N(U2570)+1))</f>
        <v/>
      </c>
      <c r="V2571" s="19">
        <f>IF($B2571="","",TEXT($B2571,"0000"))</f>
        <v/>
      </c>
      <c r="W2571" s="19">
        <f>IF($I2571="","",IF(ISNUMBER($I2571),TEXT($I2571,"0"),$I2571))</f>
        <v/>
      </c>
    </row>
    <row r="2572">
      <c r="B2572" s="25" t="n"/>
      <c r="I2572" s="25" t="n"/>
      <c r="U2572" s="19">
        <f>IF($V2572&lt;&gt;'設定'!$C$4,N(U2571),IF(OR(NOT(COUNTIF('商品マスタ'!$B$6:$B$1005,$W2572)=0),COUNTIFS('①在庫を貼る'!$V$6:$V$10005,$V2572,'①在庫を貼る'!$W$6:$W$10005,$W2572)+COUNTIFS('月1回_1ヶ月前の在庫'!$V$6:$V$10005,$V2572,'月1回_1ヶ月前の在庫'!$W$6:$W$10005,$W2572)&gt;0),N(U2571),N(U2571)+1))</f>
        <v/>
      </c>
      <c r="V2572" s="19">
        <f>IF($B2572="","",TEXT($B2572,"0000"))</f>
        <v/>
      </c>
      <c r="W2572" s="19">
        <f>IF($I2572="","",IF(ISNUMBER($I2572),TEXT($I2572,"0"),$I2572))</f>
        <v/>
      </c>
    </row>
    <row r="2573">
      <c r="B2573" s="25" t="n"/>
      <c r="I2573" s="25" t="n"/>
      <c r="U2573" s="19">
        <f>IF($V2573&lt;&gt;'設定'!$C$4,N(U2572),IF(OR(NOT(COUNTIF('商品マスタ'!$B$6:$B$1005,$W2573)=0),COUNTIFS('①在庫を貼る'!$V$6:$V$10005,$V2573,'①在庫を貼る'!$W$6:$W$10005,$W2573)+COUNTIFS('月1回_1ヶ月前の在庫'!$V$6:$V$10005,$V2573,'月1回_1ヶ月前の在庫'!$W$6:$W$10005,$W2573)&gt;0),N(U2572),N(U2572)+1))</f>
        <v/>
      </c>
      <c r="V2573" s="19">
        <f>IF($B2573="","",TEXT($B2573,"0000"))</f>
        <v/>
      </c>
      <c r="W2573" s="19">
        <f>IF($I2573="","",IF(ISNUMBER($I2573),TEXT($I2573,"0"),$I2573))</f>
        <v/>
      </c>
    </row>
    <row r="2574">
      <c r="B2574" s="25" t="n"/>
      <c r="I2574" s="25" t="n"/>
      <c r="U2574" s="19">
        <f>IF($V2574&lt;&gt;'設定'!$C$4,N(U2573),IF(OR(NOT(COUNTIF('商品マスタ'!$B$6:$B$1005,$W2574)=0),COUNTIFS('①在庫を貼る'!$V$6:$V$10005,$V2574,'①在庫を貼る'!$W$6:$W$10005,$W2574)+COUNTIFS('月1回_1ヶ月前の在庫'!$V$6:$V$10005,$V2574,'月1回_1ヶ月前の在庫'!$W$6:$W$10005,$W2574)&gt;0),N(U2573),N(U2573)+1))</f>
        <v/>
      </c>
      <c r="V2574" s="19">
        <f>IF($B2574="","",TEXT($B2574,"0000"))</f>
        <v/>
      </c>
      <c r="W2574" s="19">
        <f>IF($I2574="","",IF(ISNUMBER($I2574),TEXT($I2574,"0"),$I2574))</f>
        <v/>
      </c>
    </row>
    <row r="2575">
      <c r="B2575" s="25" t="n"/>
      <c r="I2575" s="25" t="n"/>
      <c r="U2575" s="19">
        <f>IF($V2575&lt;&gt;'設定'!$C$4,N(U2574),IF(OR(NOT(COUNTIF('商品マスタ'!$B$6:$B$1005,$W2575)=0),COUNTIFS('①在庫を貼る'!$V$6:$V$10005,$V2575,'①在庫を貼る'!$W$6:$W$10005,$W2575)+COUNTIFS('月1回_1ヶ月前の在庫'!$V$6:$V$10005,$V2575,'月1回_1ヶ月前の在庫'!$W$6:$W$10005,$W2575)&gt;0),N(U2574),N(U2574)+1))</f>
        <v/>
      </c>
      <c r="V2575" s="19">
        <f>IF($B2575="","",TEXT($B2575,"0000"))</f>
        <v/>
      </c>
      <c r="W2575" s="19">
        <f>IF($I2575="","",IF(ISNUMBER($I2575),TEXT($I2575,"0"),$I2575))</f>
        <v/>
      </c>
    </row>
    <row r="2576">
      <c r="B2576" s="25" t="n"/>
      <c r="I2576" s="25" t="n"/>
      <c r="U2576" s="19">
        <f>IF($V2576&lt;&gt;'設定'!$C$4,N(U2575),IF(OR(NOT(COUNTIF('商品マスタ'!$B$6:$B$1005,$W2576)=0),COUNTIFS('①在庫を貼る'!$V$6:$V$10005,$V2576,'①在庫を貼る'!$W$6:$W$10005,$W2576)+COUNTIFS('月1回_1ヶ月前の在庫'!$V$6:$V$10005,$V2576,'月1回_1ヶ月前の在庫'!$W$6:$W$10005,$W2576)&gt;0),N(U2575),N(U2575)+1))</f>
        <v/>
      </c>
      <c r="V2576" s="19">
        <f>IF($B2576="","",TEXT($B2576,"0000"))</f>
        <v/>
      </c>
      <c r="W2576" s="19">
        <f>IF($I2576="","",IF(ISNUMBER($I2576),TEXT($I2576,"0"),$I2576))</f>
        <v/>
      </c>
    </row>
    <row r="2577">
      <c r="B2577" s="25" t="n"/>
      <c r="I2577" s="25" t="n"/>
      <c r="U2577" s="19">
        <f>IF($V2577&lt;&gt;'設定'!$C$4,N(U2576),IF(OR(NOT(COUNTIF('商品マスタ'!$B$6:$B$1005,$W2577)=0),COUNTIFS('①在庫を貼る'!$V$6:$V$10005,$V2577,'①在庫を貼る'!$W$6:$W$10005,$W2577)+COUNTIFS('月1回_1ヶ月前の在庫'!$V$6:$V$10005,$V2577,'月1回_1ヶ月前の在庫'!$W$6:$W$10005,$W2577)&gt;0),N(U2576),N(U2576)+1))</f>
        <v/>
      </c>
      <c r="V2577" s="19">
        <f>IF($B2577="","",TEXT($B2577,"0000"))</f>
        <v/>
      </c>
      <c r="W2577" s="19">
        <f>IF($I2577="","",IF(ISNUMBER($I2577),TEXT($I2577,"0"),$I2577))</f>
        <v/>
      </c>
    </row>
    <row r="2578">
      <c r="B2578" s="25" t="n"/>
      <c r="I2578" s="25" t="n"/>
      <c r="U2578" s="19">
        <f>IF($V2578&lt;&gt;'設定'!$C$4,N(U2577),IF(OR(NOT(COUNTIF('商品マスタ'!$B$6:$B$1005,$W2578)=0),COUNTIFS('①在庫を貼る'!$V$6:$V$10005,$V2578,'①在庫を貼る'!$W$6:$W$10005,$W2578)+COUNTIFS('月1回_1ヶ月前の在庫'!$V$6:$V$10005,$V2578,'月1回_1ヶ月前の在庫'!$W$6:$W$10005,$W2578)&gt;0),N(U2577),N(U2577)+1))</f>
        <v/>
      </c>
      <c r="V2578" s="19">
        <f>IF($B2578="","",TEXT($B2578,"0000"))</f>
        <v/>
      </c>
      <c r="W2578" s="19">
        <f>IF($I2578="","",IF(ISNUMBER($I2578),TEXT($I2578,"0"),$I2578))</f>
        <v/>
      </c>
    </row>
    <row r="2579">
      <c r="B2579" s="25" t="n"/>
      <c r="I2579" s="25" t="n"/>
      <c r="U2579" s="19">
        <f>IF($V2579&lt;&gt;'設定'!$C$4,N(U2578),IF(OR(NOT(COUNTIF('商品マスタ'!$B$6:$B$1005,$W2579)=0),COUNTIFS('①在庫を貼る'!$V$6:$V$10005,$V2579,'①在庫を貼る'!$W$6:$W$10005,$W2579)+COUNTIFS('月1回_1ヶ月前の在庫'!$V$6:$V$10005,$V2579,'月1回_1ヶ月前の在庫'!$W$6:$W$10005,$W2579)&gt;0),N(U2578),N(U2578)+1))</f>
        <v/>
      </c>
      <c r="V2579" s="19">
        <f>IF($B2579="","",TEXT($B2579,"0000"))</f>
        <v/>
      </c>
      <c r="W2579" s="19">
        <f>IF($I2579="","",IF(ISNUMBER($I2579),TEXT($I2579,"0"),$I2579))</f>
        <v/>
      </c>
    </row>
    <row r="2580">
      <c r="B2580" s="25" t="n"/>
      <c r="I2580" s="25" t="n"/>
      <c r="U2580" s="19">
        <f>IF($V2580&lt;&gt;'設定'!$C$4,N(U2579),IF(OR(NOT(COUNTIF('商品マスタ'!$B$6:$B$1005,$W2580)=0),COUNTIFS('①在庫を貼る'!$V$6:$V$10005,$V2580,'①在庫を貼る'!$W$6:$W$10005,$W2580)+COUNTIFS('月1回_1ヶ月前の在庫'!$V$6:$V$10005,$V2580,'月1回_1ヶ月前の在庫'!$W$6:$W$10005,$W2580)&gt;0),N(U2579),N(U2579)+1))</f>
        <v/>
      </c>
      <c r="V2580" s="19">
        <f>IF($B2580="","",TEXT($B2580,"0000"))</f>
        <v/>
      </c>
      <c r="W2580" s="19">
        <f>IF($I2580="","",IF(ISNUMBER($I2580),TEXT($I2580,"0"),$I2580))</f>
        <v/>
      </c>
    </row>
    <row r="2581">
      <c r="B2581" s="25" t="n"/>
      <c r="I2581" s="25" t="n"/>
      <c r="U2581" s="19">
        <f>IF($V2581&lt;&gt;'設定'!$C$4,N(U2580),IF(OR(NOT(COUNTIF('商品マスタ'!$B$6:$B$1005,$W2581)=0),COUNTIFS('①在庫を貼る'!$V$6:$V$10005,$V2581,'①在庫を貼る'!$W$6:$W$10005,$W2581)+COUNTIFS('月1回_1ヶ月前の在庫'!$V$6:$V$10005,$V2581,'月1回_1ヶ月前の在庫'!$W$6:$W$10005,$W2581)&gt;0),N(U2580),N(U2580)+1))</f>
        <v/>
      </c>
      <c r="V2581" s="19">
        <f>IF($B2581="","",TEXT($B2581,"0000"))</f>
        <v/>
      </c>
      <c r="W2581" s="19">
        <f>IF($I2581="","",IF(ISNUMBER($I2581),TEXT($I2581,"0"),$I2581))</f>
        <v/>
      </c>
    </row>
    <row r="2582">
      <c r="B2582" s="25" t="n"/>
      <c r="I2582" s="25" t="n"/>
      <c r="U2582" s="19">
        <f>IF($V2582&lt;&gt;'設定'!$C$4,N(U2581),IF(OR(NOT(COUNTIF('商品マスタ'!$B$6:$B$1005,$W2582)=0),COUNTIFS('①在庫を貼る'!$V$6:$V$10005,$V2582,'①在庫を貼る'!$W$6:$W$10005,$W2582)+COUNTIFS('月1回_1ヶ月前の在庫'!$V$6:$V$10005,$V2582,'月1回_1ヶ月前の在庫'!$W$6:$W$10005,$W2582)&gt;0),N(U2581),N(U2581)+1))</f>
        <v/>
      </c>
      <c r="V2582" s="19">
        <f>IF($B2582="","",TEXT($B2582,"0000"))</f>
        <v/>
      </c>
      <c r="W2582" s="19">
        <f>IF($I2582="","",IF(ISNUMBER($I2582),TEXT($I2582,"0"),$I2582))</f>
        <v/>
      </c>
    </row>
    <row r="2583">
      <c r="B2583" s="25" t="n"/>
      <c r="I2583" s="25" t="n"/>
      <c r="U2583" s="19">
        <f>IF($V2583&lt;&gt;'設定'!$C$4,N(U2582),IF(OR(NOT(COUNTIF('商品マスタ'!$B$6:$B$1005,$W2583)=0),COUNTIFS('①在庫を貼る'!$V$6:$V$10005,$V2583,'①在庫を貼る'!$W$6:$W$10005,$W2583)+COUNTIFS('月1回_1ヶ月前の在庫'!$V$6:$V$10005,$V2583,'月1回_1ヶ月前の在庫'!$W$6:$W$10005,$W2583)&gt;0),N(U2582),N(U2582)+1))</f>
        <v/>
      </c>
      <c r="V2583" s="19">
        <f>IF($B2583="","",TEXT($B2583,"0000"))</f>
        <v/>
      </c>
      <c r="W2583" s="19">
        <f>IF($I2583="","",IF(ISNUMBER($I2583),TEXT($I2583,"0"),$I2583))</f>
        <v/>
      </c>
    </row>
    <row r="2584">
      <c r="B2584" s="25" t="n"/>
      <c r="I2584" s="25" t="n"/>
      <c r="U2584" s="19">
        <f>IF($V2584&lt;&gt;'設定'!$C$4,N(U2583),IF(OR(NOT(COUNTIF('商品マスタ'!$B$6:$B$1005,$W2584)=0),COUNTIFS('①在庫を貼る'!$V$6:$V$10005,$V2584,'①在庫を貼る'!$W$6:$W$10005,$W2584)+COUNTIFS('月1回_1ヶ月前の在庫'!$V$6:$V$10005,$V2584,'月1回_1ヶ月前の在庫'!$W$6:$W$10005,$W2584)&gt;0),N(U2583),N(U2583)+1))</f>
        <v/>
      </c>
      <c r="V2584" s="19">
        <f>IF($B2584="","",TEXT($B2584,"0000"))</f>
        <v/>
      </c>
      <c r="W2584" s="19">
        <f>IF($I2584="","",IF(ISNUMBER($I2584),TEXT($I2584,"0"),$I2584))</f>
        <v/>
      </c>
    </row>
    <row r="2585">
      <c r="B2585" s="25" t="n"/>
      <c r="I2585" s="25" t="n"/>
      <c r="U2585" s="19">
        <f>IF($V2585&lt;&gt;'設定'!$C$4,N(U2584),IF(OR(NOT(COUNTIF('商品マスタ'!$B$6:$B$1005,$W2585)=0),COUNTIFS('①在庫を貼る'!$V$6:$V$10005,$V2585,'①在庫を貼る'!$W$6:$W$10005,$W2585)+COUNTIFS('月1回_1ヶ月前の在庫'!$V$6:$V$10005,$V2585,'月1回_1ヶ月前の在庫'!$W$6:$W$10005,$W2585)&gt;0),N(U2584),N(U2584)+1))</f>
        <v/>
      </c>
      <c r="V2585" s="19">
        <f>IF($B2585="","",TEXT($B2585,"0000"))</f>
        <v/>
      </c>
      <c r="W2585" s="19">
        <f>IF($I2585="","",IF(ISNUMBER($I2585),TEXT($I2585,"0"),$I2585))</f>
        <v/>
      </c>
    </row>
    <row r="2586">
      <c r="B2586" s="25" t="n"/>
      <c r="I2586" s="25" t="n"/>
      <c r="U2586" s="19">
        <f>IF($V2586&lt;&gt;'設定'!$C$4,N(U2585),IF(OR(NOT(COUNTIF('商品マスタ'!$B$6:$B$1005,$W2586)=0),COUNTIFS('①在庫を貼る'!$V$6:$V$10005,$V2586,'①在庫を貼る'!$W$6:$W$10005,$W2586)+COUNTIFS('月1回_1ヶ月前の在庫'!$V$6:$V$10005,$V2586,'月1回_1ヶ月前の在庫'!$W$6:$W$10005,$W2586)&gt;0),N(U2585),N(U2585)+1))</f>
        <v/>
      </c>
      <c r="V2586" s="19">
        <f>IF($B2586="","",TEXT($B2586,"0000"))</f>
        <v/>
      </c>
      <c r="W2586" s="19">
        <f>IF($I2586="","",IF(ISNUMBER($I2586),TEXT($I2586,"0"),$I2586))</f>
        <v/>
      </c>
    </row>
    <row r="2587">
      <c r="B2587" s="25" t="n"/>
      <c r="I2587" s="25" t="n"/>
      <c r="U2587" s="19">
        <f>IF($V2587&lt;&gt;'設定'!$C$4,N(U2586),IF(OR(NOT(COUNTIF('商品マスタ'!$B$6:$B$1005,$W2587)=0),COUNTIFS('①在庫を貼る'!$V$6:$V$10005,$V2587,'①在庫を貼る'!$W$6:$W$10005,$W2587)+COUNTIFS('月1回_1ヶ月前の在庫'!$V$6:$V$10005,$V2587,'月1回_1ヶ月前の在庫'!$W$6:$W$10005,$W2587)&gt;0),N(U2586),N(U2586)+1))</f>
        <v/>
      </c>
      <c r="V2587" s="19">
        <f>IF($B2587="","",TEXT($B2587,"0000"))</f>
        <v/>
      </c>
      <c r="W2587" s="19">
        <f>IF($I2587="","",IF(ISNUMBER($I2587),TEXT($I2587,"0"),$I2587))</f>
        <v/>
      </c>
    </row>
    <row r="2588">
      <c r="B2588" s="25" t="n"/>
      <c r="I2588" s="25" t="n"/>
      <c r="U2588" s="19">
        <f>IF($V2588&lt;&gt;'設定'!$C$4,N(U2587),IF(OR(NOT(COUNTIF('商品マスタ'!$B$6:$B$1005,$W2588)=0),COUNTIFS('①在庫を貼る'!$V$6:$V$10005,$V2588,'①在庫を貼る'!$W$6:$W$10005,$W2588)+COUNTIFS('月1回_1ヶ月前の在庫'!$V$6:$V$10005,$V2588,'月1回_1ヶ月前の在庫'!$W$6:$W$10005,$W2588)&gt;0),N(U2587),N(U2587)+1))</f>
        <v/>
      </c>
      <c r="V2588" s="19">
        <f>IF($B2588="","",TEXT($B2588,"0000"))</f>
        <v/>
      </c>
      <c r="W2588" s="19">
        <f>IF($I2588="","",IF(ISNUMBER($I2588),TEXT($I2588,"0"),$I2588))</f>
        <v/>
      </c>
    </row>
    <row r="2589">
      <c r="B2589" s="25" t="n"/>
      <c r="I2589" s="25" t="n"/>
      <c r="U2589" s="19">
        <f>IF($V2589&lt;&gt;'設定'!$C$4,N(U2588),IF(OR(NOT(COUNTIF('商品マスタ'!$B$6:$B$1005,$W2589)=0),COUNTIFS('①在庫を貼る'!$V$6:$V$10005,$V2589,'①在庫を貼る'!$W$6:$W$10005,$W2589)+COUNTIFS('月1回_1ヶ月前の在庫'!$V$6:$V$10005,$V2589,'月1回_1ヶ月前の在庫'!$W$6:$W$10005,$W2589)&gt;0),N(U2588),N(U2588)+1))</f>
        <v/>
      </c>
      <c r="V2589" s="19">
        <f>IF($B2589="","",TEXT($B2589,"0000"))</f>
        <v/>
      </c>
      <c r="W2589" s="19">
        <f>IF($I2589="","",IF(ISNUMBER($I2589),TEXT($I2589,"0"),$I2589))</f>
        <v/>
      </c>
    </row>
    <row r="2590">
      <c r="B2590" s="25" t="n"/>
      <c r="I2590" s="25" t="n"/>
      <c r="U2590" s="19">
        <f>IF($V2590&lt;&gt;'設定'!$C$4,N(U2589),IF(OR(NOT(COUNTIF('商品マスタ'!$B$6:$B$1005,$W2590)=0),COUNTIFS('①在庫を貼る'!$V$6:$V$10005,$V2590,'①在庫を貼る'!$W$6:$W$10005,$W2590)+COUNTIFS('月1回_1ヶ月前の在庫'!$V$6:$V$10005,$V2590,'月1回_1ヶ月前の在庫'!$W$6:$W$10005,$W2590)&gt;0),N(U2589),N(U2589)+1))</f>
        <v/>
      </c>
      <c r="V2590" s="19">
        <f>IF($B2590="","",TEXT($B2590,"0000"))</f>
        <v/>
      </c>
      <c r="W2590" s="19">
        <f>IF($I2590="","",IF(ISNUMBER($I2590),TEXT($I2590,"0"),$I2590))</f>
        <v/>
      </c>
    </row>
    <row r="2591">
      <c r="B2591" s="25" t="n"/>
      <c r="I2591" s="25" t="n"/>
      <c r="U2591" s="19">
        <f>IF($V2591&lt;&gt;'設定'!$C$4,N(U2590),IF(OR(NOT(COUNTIF('商品マスタ'!$B$6:$B$1005,$W2591)=0),COUNTIFS('①在庫を貼る'!$V$6:$V$10005,$V2591,'①在庫を貼る'!$W$6:$W$10005,$W2591)+COUNTIFS('月1回_1ヶ月前の在庫'!$V$6:$V$10005,$V2591,'月1回_1ヶ月前の在庫'!$W$6:$W$10005,$W2591)&gt;0),N(U2590),N(U2590)+1))</f>
        <v/>
      </c>
      <c r="V2591" s="19">
        <f>IF($B2591="","",TEXT($B2591,"0000"))</f>
        <v/>
      </c>
      <c r="W2591" s="19">
        <f>IF($I2591="","",IF(ISNUMBER($I2591),TEXT($I2591,"0"),$I2591))</f>
        <v/>
      </c>
    </row>
    <row r="2592">
      <c r="B2592" s="25" t="n"/>
      <c r="I2592" s="25" t="n"/>
      <c r="U2592" s="19">
        <f>IF($V2592&lt;&gt;'設定'!$C$4,N(U2591),IF(OR(NOT(COUNTIF('商品マスタ'!$B$6:$B$1005,$W2592)=0),COUNTIFS('①在庫を貼る'!$V$6:$V$10005,$V2592,'①在庫を貼る'!$W$6:$W$10005,$W2592)+COUNTIFS('月1回_1ヶ月前の在庫'!$V$6:$V$10005,$V2592,'月1回_1ヶ月前の在庫'!$W$6:$W$10005,$W2592)&gt;0),N(U2591),N(U2591)+1))</f>
        <v/>
      </c>
      <c r="V2592" s="19">
        <f>IF($B2592="","",TEXT($B2592,"0000"))</f>
        <v/>
      </c>
      <c r="W2592" s="19">
        <f>IF($I2592="","",IF(ISNUMBER($I2592),TEXT($I2592,"0"),$I2592))</f>
        <v/>
      </c>
    </row>
    <row r="2593">
      <c r="B2593" s="25" t="n"/>
      <c r="I2593" s="25" t="n"/>
      <c r="U2593" s="19">
        <f>IF($V2593&lt;&gt;'設定'!$C$4,N(U2592),IF(OR(NOT(COUNTIF('商品マスタ'!$B$6:$B$1005,$W2593)=0),COUNTIFS('①在庫を貼る'!$V$6:$V$10005,$V2593,'①在庫を貼る'!$W$6:$W$10005,$W2593)+COUNTIFS('月1回_1ヶ月前の在庫'!$V$6:$V$10005,$V2593,'月1回_1ヶ月前の在庫'!$W$6:$W$10005,$W2593)&gt;0),N(U2592),N(U2592)+1))</f>
        <v/>
      </c>
      <c r="V2593" s="19">
        <f>IF($B2593="","",TEXT($B2593,"0000"))</f>
        <v/>
      </c>
      <c r="W2593" s="19">
        <f>IF($I2593="","",IF(ISNUMBER($I2593),TEXT($I2593,"0"),$I2593))</f>
        <v/>
      </c>
    </row>
    <row r="2594">
      <c r="B2594" s="25" t="n"/>
      <c r="I2594" s="25" t="n"/>
      <c r="U2594" s="19">
        <f>IF($V2594&lt;&gt;'設定'!$C$4,N(U2593),IF(OR(NOT(COUNTIF('商品マスタ'!$B$6:$B$1005,$W2594)=0),COUNTIFS('①在庫を貼る'!$V$6:$V$10005,$V2594,'①在庫を貼る'!$W$6:$W$10005,$W2594)+COUNTIFS('月1回_1ヶ月前の在庫'!$V$6:$V$10005,$V2594,'月1回_1ヶ月前の在庫'!$W$6:$W$10005,$W2594)&gt;0),N(U2593),N(U2593)+1))</f>
        <v/>
      </c>
      <c r="V2594" s="19">
        <f>IF($B2594="","",TEXT($B2594,"0000"))</f>
        <v/>
      </c>
      <c r="W2594" s="19">
        <f>IF($I2594="","",IF(ISNUMBER($I2594),TEXT($I2594,"0"),$I2594))</f>
        <v/>
      </c>
    </row>
    <row r="2595">
      <c r="B2595" s="25" t="n"/>
      <c r="I2595" s="25" t="n"/>
      <c r="U2595" s="19">
        <f>IF($V2595&lt;&gt;'設定'!$C$4,N(U2594),IF(OR(NOT(COUNTIF('商品マスタ'!$B$6:$B$1005,$W2595)=0),COUNTIFS('①在庫を貼る'!$V$6:$V$10005,$V2595,'①在庫を貼る'!$W$6:$W$10005,$W2595)+COUNTIFS('月1回_1ヶ月前の在庫'!$V$6:$V$10005,$V2595,'月1回_1ヶ月前の在庫'!$W$6:$W$10005,$W2595)&gt;0),N(U2594),N(U2594)+1))</f>
        <v/>
      </c>
      <c r="V2595" s="19">
        <f>IF($B2595="","",TEXT($B2595,"0000"))</f>
        <v/>
      </c>
      <c r="W2595" s="19">
        <f>IF($I2595="","",IF(ISNUMBER($I2595),TEXT($I2595,"0"),$I2595))</f>
        <v/>
      </c>
    </row>
    <row r="2596">
      <c r="B2596" s="25" t="n"/>
      <c r="I2596" s="25" t="n"/>
      <c r="U2596" s="19">
        <f>IF($V2596&lt;&gt;'設定'!$C$4,N(U2595),IF(OR(NOT(COUNTIF('商品マスタ'!$B$6:$B$1005,$W2596)=0),COUNTIFS('①在庫を貼る'!$V$6:$V$10005,$V2596,'①在庫を貼る'!$W$6:$W$10005,$W2596)+COUNTIFS('月1回_1ヶ月前の在庫'!$V$6:$V$10005,$V2596,'月1回_1ヶ月前の在庫'!$W$6:$W$10005,$W2596)&gt;0),N(U2595),N(U2595)+1))</f>
        <v/>
      </c>
      <c r="V2596" s="19">
        <f>IF($B2596="","",TEXT($B2596,"0000"))</f>
        <v/>
      </c>
      <c r="W2596" s="19">
        <f>IF($I2596="","",IF(ISNUMBER($I2596),TEXT($I2596,"0"),$I2596))</f>
        <v/>
      </c>
    </row>
    <row r="2597">
      <c r="B2597" s="25" t="n"/>
      <c r="I2597" s="25" t="n"/>
      <c r="U2597" s="19">
        <f>IF($V2597&lt;&gt;'設定'!$C$4,N(U2596),IF(OR(NOT(COUNTIF('商品マスタ'!$B$6:$B$1005,$W2597)=0),COUNTIFS('①在庫を貼る'!$V$6:$V$10005,$V2597,'①在庫を貼る'!$W$6:$W$10005,$W2597)+COUNTIFS('月1回_1ヶ月前の在庫'!$V$6:$V$10005,$V2597,'月1回_1ヶ月前の在庫'!$W$6:$W$10005,$W2597)&gt;0),N(U2596),N(U2596)+1))</f>
        <v/>
      </c>
      <c r="V2597" s="19">
        <f>IF($B2597="","",TEXT($B2597,"0000"))</f>
        <v/>
      </c>
      <c r="W2597" s="19">
        <f>IF($I2597="","",IF(ISNUMBER($I2597),TEXT($I2597,"0"),$I2597))</f>
        <v/>
      </c>
    </row>
    <row r="2598">
      <c r="B2598" s="25" t="n"/>
      <c r="I2598" s="25" t="n"/>
      <c r="U2598" s="19">
        <f>IF($V2598&lt;&gt;'設定'!$C$4,N(U2597),IF(OR(NOT(COUNTIF('商品マスタ'!$B$6:$B$1005,$W2598)=0),COUNTIFS('①在庫を貼る'!$V$6:$V$10005,$V2598,'①在庫を貼る'!$W$6:$W$10005,$W2598)+COUNTIFS('月1回_1ヶ月前の在庫'!$V$6:$V$10005,$V2598,'月1回_1ヶ月前の在庫'!$W$6:$W$10005,$W2598)&gt;0),N(U2597),N(U2597)+1))</f>
        <v/>
      </c>
      <c r="V2598" s="19">
        <f>IF($B2598="","",TEXT($B2598,"0000"))</f>
        <v/>
      </c>
      <c r="W2598" s="19">
        <f>IF($I2598="","",IF(ISNUMBER($I2598),TEXT($I2598,"0"),$I2598))</f>
        <v/>
      </c>
    </row>
    <row r="2599">
      <c r="B2599" s="25" t="n"/>
      <c r="I2599" s="25" t="n"/>
      <c r="U2599" s="19">
        <f>IF($V2599&lt;&gt;'設定'!$C$4,N(U2598),IF(OR(NOT(COUNTIF('商品マスタ'!$B$6:$B$1005,$W2599)=0),COUNTIFS('①在庫を貼る'!$V$6:$V$10005,$V2599,'①在庫を貼る'!$W$6:$W$10005,$W2599)+COUNTIFS('月1回_1ヶ月前の在庫'!$V$6:$V$10005,$V2599,'月1回_1ヶ月前の在庫'!$W$6:$W$10005,$W2599)&gt;0),N(U2598),N(U2598)+1))</f>
        <v/>
      </c>
      <c r="V2599" s="19">
        <f>IF($B2599="","",TEXT($B2599,"0000"))</f>
        <v/>
      </c>
      <c r="W2599" s="19">
        <f>IF($I2599="","",IF(ISNUMBER($I2599),TEXT($I2599,"0"),$I2599))</f>
        <v/>
      </c>
    </row>
    <row r="2600">
      <c r="B2600" s="25" t="n"/>
      <c r="I2600" s="25" t="n"/>
      <c r="U2600" s="19">
        <f>IF($V2600&lt;&gt;'設定'!$C$4,N(U2599),IF(OR(NOT(COUNTIF('商品マスタ'!$B$6:$B$1005,$W2600)=0),COUNTIFS('①在庫を貼る'!$V$6:$V$10005,$V2600,'①在庫を貼る'!$W$6:$W$10005,$W2600)+COUNTIFS('月1回_1ヶ月前の在庫'!$V$6:$V$10005,$V2600,'月1回_1ヶ月前の在庫'!$W$6:$W$10005,$W2600)&gt;0),N(U2599),N(U2599)+1))</f>
        <v/>
      </c>
      <c r="V2600" s="19">
        <f>IF($B2600="","",TEXT($B2600,"0000"))</f>
        <v/>
      </c>
      <c r="W2600" s="19">
        <f>IF($I2600="","",IF(ISNUMBER($I2600),TEXT($I2600,"0"),$I2600))</f>
        <v/>
      </c>
    </row>
    <row r="2601">
      <c r="B2601" s="25" t="n"/>
      <c r="I2601" s="25" t="n"/>
      <c r="U2601" s="19">
        <f>IF($V2601&lt;&gt;'設定'!$C$4,N(U2600),IF(OR(NOT(COUNTIF('商品マスタ'!$B$6:$B$1005,$W2601)=0),COUNTIFS('①在庫を貼る'!$V$6:$V$10005,$V2601,'①在庫を貼る'!$W$6:$W$10005,$W2601)+COUNTIFS('月1回_1ヶ月前の在庫'!$V$6:$V$10005,$V2601,'月1回_1ヶ月前の在庫'!$W$6:$W$10005,$W2601)&gt;0),N(U2600),N(U2600)+1))</f>
        <v/>
      </c>
      <c r="V2601" s="19">
        <f>IF($B2601="","",TEXT($B2601,"0000"))</f>
        <v/>
      </c>
      <c r="W2601" s="19">
        <f>IF($I2601="","",IF(ISNUMBER($I2601),TEXT($I2601,"0"),$I2601))</f>
        <v/>
      </c>
    </row>
    <row r="2602">
      <c r="B2602" s="25" t="n"/>
      <c r="I2602" s="25" t="n"/>
      <c r="U2602" s="19">
        <f>IF($V2602&lt;&gt;'設定'!$C$4,N(U2601),IF(OR(NOT(COUNTIF('商品マスタ'!$B$6:$B$1005,$W2602)=0),COUNTIFS('①在庫を貼る'!$V$6:$V$10005,$V2602,'①在庫を貼る'!$W$6:$W$10005,$W2602)+COUNTIFS('月1回_1ヶ月前の在庫'!$V$6:$V$10005,$V2602,'月1回_1ヶ月前の在庫'!$W$6:$W$10005,$W2602)&gt;0),N(U2601),N(U2601)+1))</f>
        <v/>
      </c>
      <c r="V2602" s="19">
        <f>IF($B2602="","",TEXT($B2602,"0000"))</f>
        <v/>
      </c>
      <c r="W2602" s="19">
        <f>IF($I2602="","",IF(ISNUMBER($I2602),TEXT($I2602,"0"),$I2602))</f>
        <v/>
      </c>
    </row>
    <row r="2603">
      <c r="B2603" s="25" t="n"/>
      <c r="I2603" s="25" t="n"/>
      <c r="U2603" s="19">
        <f>IF($V2603&lt;&gt;'設定'!$C$4,N(U2602),IF(OR(NOT(COUNTIF('商品マスタ'!$B$6:$B$1005,$W2603)=0),COUNTIFS('①在庫を貼る'!$V$6:$V$10005,$V2603,'①在庫を貼る'!$W$6:$W$10005,$W2603)+COUNTIFS('月1回_1ヶ月前の在庫'!$V$6:$V$10005,$V2603,'月1回_1ヶ月前の在庫'!$W$6:$W$10005,$W2603)&gt;0),N(U2602),N(U2602)+1))</f>
        <v/>
      </c>
      <c r="V2603" s="19">
        <f>IF($B2603="","",TEXT($B2603,"0000"))</f>
        <v/>
      </c>
      <c r="W2603" s="19">
        <f>IF($I2603="","",IF(ISNUMBER($I2603),TEXT($I2603,"0"),$I2603))</f>
        <v/>
      </c>
    </row>
    <row r="2604">
      <c r="B2604" s="25" t="n"/>
      <c r="I2604" s="25" t="n"/>
      <c r="U2604" s="19">
        <f>IF($V2604&lt;&gt;'設定'!$C$4,N(U2603),IF(OR(NOT(COUNTIF('商品マスタ'!$B$6:$B$1005,$W2604)=0),COUNTIFS('①在庫を貼る'!$V$6:$V$10005,$V2604,'①在庫を貼る'!$W$6:$W$10005,$W2604)+COUNTIFS('月1回_1ヶ月前の在庫'!$V$6:$V$10005,$V2604,'月1回_1ヶ月前の在庫'!$W$6:$W$10005,$W2604)&gt;0),N(U2603),N(U2603)+1))</f>
        <v/>
      </c>
      <c r="V2604" s="19">
        <f>IF($B2604="","",TEXT($B2604,"0000"))</f>
        <v/>
      </c>
      <c r="W2604" s="19">
        <f>IF($I2604="","",IF(ISNUMBER($I2604),TEXT($I2604,"0"),$I2604))</f>
        <v/>
      </c>
    </row>
    <row r="2605">
      <c r="B2605" s="25" t="n"/>
      <c r="I2605" s="25" t="n"/>
      <c r="U2605" s="19">
        <f>IF($V2605&lt;&gt;'設定'!$C$4,N(U2604),IF(OR(NOT(COUNTIF('商品マスタ'!$B$6:$B$1005,$W2605)=0),COUNTIFS('①在庫を貼る'!$V$6:$V$10005,$V2605,'①在庫を貼る'!$W$6:$W$10005,$W2605)+COUNTIFS('月1回_1ヶ月前の在庫'!$V$6:$V$10005,$V2605,'月1回_1ヶ月前の在庫'!$W$6:$W$10005,$W2605)&gt;0),N(U2604),N(U2604)+1))</f>
        <v/>
      </c>
      <c r="V2605" s="19">
        <f>IF($B2605="","",TEXT($B2605,"0000"))</f>
        <v/>
      </c>
      <c r="W2605" s="19">
        <f>IF($I2605="","",IF(ISNUMBER($I2605),TEXT($I2605,"0"),$I2605))</f>
        <v/>
      </c>
    </row>
    <row r="2606">
      <c r="B2606" s="25" t="n"/>
      <c r="I2606" s="25" t="n"/>
      <c r="U2606" s="19">
        <f>IF($V2606&lt;&gt;'設定'!$C$4,N(U2605),IF(OR(NOT(COUNTIF('商品マスタ'!$B$6:$B$1005,$W2606)=0),COUNTIFS('①在庫を貼る'!$V$6:$V$10005,$V2606,'①在庫を貼る'!$W$6:$W$10005,$W2606)+COUNTIFS('月1回_1ヶ月前の在庫'!$V$6:$V$10005,$V2606,'月1回_1ヶ月前の在庫'!$W$6:$W$10005,$W2606)&gt;0),N(U2605),N(U2605)+1))</f>
        <v/>
      </c>
      <c r="V2606" s="19">
        <f>IF($B2606="","",TEXT($B2606,"0000"))</f>
        <v/>
      </c>
      <c r="W2606" s="19">
        <f>IF($I2606="","",IF(ISNUMBER($I2606),TEXT($I2606,"0"),$I2606))</f>
        <v/>
      </c>
    </row>
    <row r="2607">
      <c r="B2607" s="25" t="n"/>
      <c r="I2607" s="25" t="n"/>
      <c r="U2607" s="19">
        <f>IF($V2607&lt;&gt;'設定'!$C$4,N(U2606),IF(OR(NOT(COUNTIF('商品マスタ'!$B$6:$B$1005,$W2607)=0),COUNTIFS('①在庫を貼る'!$V$6:$V$10005,$V2607,'①在庫を貼る'!$W$6:$W$10005,$W2607)+COUNTIFS('月1回_1ヶ月前の在庫'!$V$6:$V$10005,$V2607,'月1回_1ヶ月前の在庫'!$W$6:$W$10005,$W2607)&gt;0),N(U2606),N(U2606)+1))</f>
        <v/>
      </c>
      <c r="V2607" s="19">
        <f>IF($B2607="","",TEXT($B2607,"0000"))</f>
        <v/>
      </c>
      <c r="W2607" s="19">
        <f>IF($I2607="","",IF(ISNUMBER($I2607),TEXT($I2607,"0"),$I2607))</f>
        <v/>
      </c>
    </row>
    <row r="2608">
      <c r="B2608" s="25" t="n"/>
      <c r="I2608" s="25" t="n"/>
      <c r="U2608" s="19">
        <f>IF($V2608&lt;&gt;'設定'!$C$4,N(U2607),IF(OR(NOT(COUNTIF('商品マスタ'!$B$6:$B$1005,$W2608)=0),COUNTIFS('①在庫を貼る'!$V$6:$V$10005,$V2608,'①在庫を貼る'!$W$6:$W$10005,$W2608)+COUNTIFS('月1回_1ヶ月前の在庫'!$V$6:$V$10005,$V2608,'月1回_1ヶ月前の在庫'!$W$6:$W$10005,$W2608)&gt;0),N(U2607),N(U2607)+1))</f>
        <v/>
      </c>
      <c r="V2608" s="19">
        <f>IF($B2608="","",TEXT($B2608,"0000"))</f>
        <v/>
      </c>
      <c r="W2608" s="19">
        <f>IF($I2608="","",IF(ISNUMBER($I2608),TEXT($I2608,"0"),$I2608))</f>
        <v/>
      </c>
    </row>
    <row r="2609">
      <c r="B2609" s="25" t="n"/>
      <c r="I2609" s="25" t="n"/>
      <c r="U2609" s="19">
        <f>IF($V2609&lt;&gt;'設定'!$C$4,N(U2608),IF(OR(NOT(COUNTIF('商品マスタ'!$B$6:$B$1005,$W2609)=0),COUNTIFS('①在庫を貼る'!$V$6:$V$10005,$V2609,'①在庫を貼る'!$W$6:$W$10005,$W2609)+COUNTIFS('月1回_1ヶ月前の在庫'!$V$6:$V$10005,$V2609,'月1回_1ヶ月前の在庫'!$W$6:$W$10005,$W2609)&gt;0),N(U2608),N(U2608)+1))</f>
        <v/>
      </c>
      <c r="V2609" s="19">
        <f>IF($B2609="","",TEXT($B2609,"0000"))</f>
        <v/>
      </c>
      <c r="W2609" s="19">
        <f>IF($I2609="","",IF(ISNUMBER($I2609),TEXT($I2609,"0"),$I2609))</f>
        <v/>
      </c>
    </row>
    <row r="2610">
      <c r="B2610" s="25" t="n"/>
      <c r="I2610" s="25" t="n"/>
      <c r="U2610" s="19">
        <f>IF($V2610&lt;&gt;'設定'!$C$4,N(U2609),IF(OR(NOT(COUNTIF('商品マスタ'!$B$6:$B$1005,$W2610)=0),COUNTIFS('①在庫を貼る'!$V$6:$V$10005,$V2610,'①在庫を貼る'!$W$6:$W$10005,$W2610)+COUNTIFS('月1回_1ヶ月前の在庫'!$V$6:$V$10005,$V2610,'月1回_1ヶ月前の在庫'!$W$6:$W$10005,$W2610)&gt;0),N(U2609),N(U2609)+1))</f>
        <v/>
      </c>
      <c r="V2610" s="19">
        <f>IF($B2610="","",TEXT($B2610,"0000"))</f>
        <v/>
      </c>
      <c r="W2610" s="19">
        <f>IF($I2610="","",IF(ISNUMBER($I2610),TEXT($I2610,"0"),$I2610))</f>
        <v/>
      </c>
    </row>
    <row r="2611">
      <c r="B2611" s="25" t="n"/>
      <c r="I2611" s="25" t="n"/>
      <c r="U2611" s="19">
        <f>IF($V2611&lt;&gt;'設定'!$C$4,N(U2610),IF(OR(NOT(COUNTIF('商品マスタ'!$B$6:$B$1005,$W2611)=0),COUNTIFS('①在庫を貼る'!$V$6:$V$10005,$V2611,'①在庫を貼る'!$W$6:$W$10005,$W2611)+COUNTIFS('月1回_1ヶ月前の在庫'!$V$6:$V$10005,$V2611,'月1回_1ヶ月前の在庫'!$W$6:$W$10005,$W2611)&gt;0),N(U2610),N(U2610)+1))</f>
        <v/>
      </c>
      <c r="V2611" s="19">
        <f>IF($B2611="","",TEXT($B2611,"0000"))</f>
        <v/>
      </c>
      <c r="W2611" s="19">
        <f>IF($I2611="","",IF(ISNUMBER($I2611),TEXT($I2611,"0"),$I2611))</f>
        <v/>
      </c>
    </row>
    <row r="2612">
      <c r="B2612" s="25" t="n"/>
      <c r="I2612" s="25" t="n"/>
      <c r="U2612" s="19">
        <f>IF($V2612&lt;&gt;'設定'!$C$4,N(U2611),IF(OR(NOT(COUNTIF('商品マスタ'!$B$6:$B$1005,$W2612)=0),COUNTIFS('①在庫を貼る'!$V$6:$V$10005,$V2612,'①在庫を貼る'!$W$6:$W$10005,$W2612)+COUNTIFS('月1回_1ヶ月前の在庫'!$V$6:$V$10005,$V2612,'月1回_1ヶ月前の在庫'!$W$6:$W$10005,$W2612)&gt;0),N(U2611),N(U2611)+1))</f>
        <v/>
      </c>
      <c r="V2612" s="19">
        <f>IF($B2612="","",TEXT($B2612,"0000"))</f>
        <v/>
      </c>
      <c r="W2612" s="19">
        <f>IF($I2612="","",IF(ISNUMBER($I2612),TEXT($I2612,"0"),$I2612))</f>
        <v/>
      </c>
    </row>
    <row r="2613">
      <c r="B2613" s="25" t="n"/>
      <c r="I2613" s="25" t="n"/>
      <c r="U2613" s="19">
        <f>IF($V2613&lt;&gt;'設定'!$C$4,N(U2612),IF(OR(NOT(COUNTIF('商品マスタ'!$B$6:$B$1005,$W2613)=0),COUNTIFS('①在庫を貼る'!$V$6:$V$10005,$V2613,'①在庫を貼る'!$W$6:$W$10005,$W2613)+COUNTIFS('月1回_1ヶ月前の在庫'!$V$6:$V$10005,$V2613,'月1回_1ヶ月前の在庫'!$W$6:$W$10005,$W2613)&gt;0),N(U2612),N(U2612)+1))</f>
        <v/>
      </c>
      <c r="V2613" s="19">
        <f>IF($B2613="","",TEXT($B2613,"0000"))</f>
        <v/>
      </c>
      <c r="W2613" s="19">
        <f>IF($I2613="","",IF(ISNUMBER($I2613),TEXT($I2613,"0"),$I2613))</f>
        <v/>
      </c>
    </row>
    <row r="2614">
      <c r="B2614" s="25" t="n"/>
      <c r="I2614" s="25" t="n"/>
      <c r="U2614" s="19">
        <f>IF($V2614&lt;&gt;'設定'!$C$4,N(U2613),IF(OR(NOT(COUNTIF('商品マスタ'!$B$6:$B$1005,$W2614)=0),COUNTIFS('①在庫を貼る'!$V$6:$V$10005,$V2614,'①在庫を貼る'!$W$6:$W$10005,$W2614)+COUNTIFS('月1回_1ヶ月前の在庫'!$V$6:$V$10005,$V2614,'月1回_1ヶ月前の在庫'!$W$6:$W$10005,$W2614)&gt;0),N(U2613),N(U2613)+1))</f>
        <v/>
      </c>
      <c r="V2614" s="19">
        <f>IF($B2614="","",TEXT($B2614,"0000"))</f>
        <v/>
      </c>
      <c r="W2614" s="19">
        <f>IF($I2614="","",IF(ISNUMBER($I2614),TEXT($I2614,"0"),$I2614))</f>
        <v/>
      </c>
    </row>
    <row r="2615">
      <c r="B2615" s="25" t="n"/>
      <c r="I2615" s="25" t="n"/>
      <c r="U2615" s="19">
        <f>IF($V2615&lt;&gt;'設定'!$C$4,N(U2614),IF(OR(NOT(COUNTIF('商品マスタ'!$B$6:$B$1005,$W2615)=0),COUNTIFS('①在庫を貼る'!$V$6:$V$10005,$V2615,'①在庫を貼る'!$W$6:$W$10005,$W2615)+COUNTIFS('月1回_1ヶ月前の在庫'!$V$6:$V$10005,$V2615,'月1回_1ヶ月前の在庫'!$W$6:$W$10005,$W2615)&gt;0),N(U2614),N(U2614)+1))</f>
        <v/>
      </c>
      <c r="V2615" s="19">
        <f>IF($B2615="","",TEXT($B2615,"0000"))</f>
        <v/>
      </c>
      <c r="W2615" s="19">
        <f>IF($I2615="","",IF(ISNUMBER($I2615),TEXT($I2615,"0"),$I2615))</f>
        <v/>
      </c>
    </row>
    <row r="2616">
      <c r="B2616" s="25" t="n"/>
      <c r="I2616" s="25" t="n"/>
      <c r="U2616" s="19">
        <f>IF($V2616&lt;&gt;'設定'!$C$4,N(U2615),IF(OR(NOT(COUNTIF('商品マスタ'!$B$6:$B$1005,$W2616)=0),COUNTIFS('①在庫を貼る'!$V$6:$V$10005,$V2616,'①在庫を貼る'!$W$6:$W$10005,$W2616)+COUNTIFS('月1回_1ヶ月前の在庫'!$V$6:$V$10005,$V2616,'月1回_1ヶ月前の在庫'!$W$6:$W$10005,$W2616)&gt;0),N(U2615),N(U2615)+1))</f>
        <v/>
      </c>
      <c r="V2616" s="19">
        <f>IF($B2616="","",TEXT($B2616,"0000"))</f>
        <v/>
      </c>
      <c r="W2616" s="19">
        <f>IF($I2616="","",IF(ISNUMBER($I2616),TEXT($I2616,"0"),$I2616))</f>
        <v/>
      </c>
    </row>
    <row r="2617">
      <c r="B2617" s="25" t="n"/>
      <c r="I2617" s="25" t="n"/>
      <c r="U2617" s="19">
        <f>IF($V2617&lt;&gt;'設定'!$C$4,N(U2616),IF(OR(NOT(COUNTIF('商品マスタ'!$B$6:$B$1005,$W2617)=0),COUNTIFS('①在庫を貼る'!$V$6:$V$10005,$V2617,'①在庫を貼る'!$W$6:$W$10005,$W2617)+COUNTIFS('月1回_1ヶ月前の在庫'!$V$6:$V$10005,$V2617,'月1回_1ヶ月前の在庫'!$W$6:$W$10005,$W2617)&gt;0),N(U2616),N(U2616)+1))</f>
        <v/>
      </c>
      <c r="V2617" s="19">
        <f>IF($B2617="","",TEXT($B2617,"0000"))</f>
        <v/>
      </c>
      <c r="W2617" s="19">
        <f>IF($I2617="","",IF(ISNUMBER($I2617),TEXT($I2617,"0"),$I2617))</f>
        <v/>
      </c>
    </row>
    <row r="2618">
      <c r="B2618" s="25" t="n"/>
      <c r="I2618" s="25" t="n"/>
      <c r="U2618" s="19">
        <f>IF($V2618&lt;&gt;'設定'!$C$4,N(U2617),IF(OR(NOT(COUNTIF('商品マスタ'!$B$6:$B$1005,$W2618)=0),COUNTIFS('①在庫を貼る'!$V$6:$V$10005,$V2618,'①在庫を貼る'!$W$6:$W$10005,$W2618)+COUNTIFS('月1回_1ヶ月前の在庫'!$V$6:$V$10005,$V2618,'月1回_1ヶ月前の在庫'!$W$6:$W$10005,$W2618)&gt;0),N(U2617),N(U2617)+1))</f>
        <v/>
      </c>
      <c r="V2618" s="19">
        <f>IF($B2618="","",TEXT($B2618,"0000"))</f>
        <v/>
      </c>
      <c r="W2618" s="19">
        <f>IF($I2618="","",IF(ISNUMBER($I2618),TEXT($I2618,"0"),$I2618))</f>
        <v/>
      </c>
    </row>
    <row r="2619">
      <c r="B2619" s="25" t="n"/>
      <c r="I2619" s="25" t="n"/>
      <c r="U2619" s="19">
        <f>IF($V2619&lt;&gt;'設定'!$C$4,N(U2618),IF(OR(NOT(COUNTIF('商品マスタ'!$B$6:$B$1005,$W2619)=0),COUNTIFS('①在庫を貼る'!$V$6:$V$10005,$V2619,'①在庫を貼る'!$W$6:$W$10005,$W2619)+COUNTIFS('月1回_1ヶ月前の在庫'!$V$6:$V$10005,$V2619,'月1回_1ヶ月前の在庫'!$W$6:$W$10005,$W2619)&gt;0),N(U2618),N(U2618)+1))</f>
        <v/>
      </c>
      <c r="V2619" s="19">
        <f>IF($B2619="","",TEXT($B2619,"0000"))</f>
        <v/>
      </c>
      <c r="W2619" s="19">
        <f>IF($I2619="","",IF(ISNUMBER($I2619),TEXT($I2619,"0"),$I2619))</f>
        <v/>
      </c>
    </row>
    <row r="2620">
      <c r="B2620" s="25" t="n"/>
      <c r="I2620" s="25" t="n"/>
      <c r="U2620" s="19">
        <f>IF($V2620&lt;&gt;'設定'!$C$4,N(U2619),IF(OR(NOT(COUNTIF('商品マスタ'!$B$6:$B$1005,$W2620)=0),COUNTIFS('①在庫を貼る'!$V$6:$V$10005,$V2620,'①在庫を貼る'!$W$6:$W$10005,$W2620)+COUNTIFS('月1回_1ヶ月前の在庫'!$V$6:$V$10005,$V2620,'月1回_1ヶ月前の在庫'!$W$6:$W$10005,$W2620)&gt;0),N(U2619),N(U2619)+1))</f>
        <v/>
      </c>
      <c r="V2620" s="19">
        <f>IF($B2620="","",TEXT($B2620,"0000"))</f>
        <v/>
      </c>
      <c r="W2620" s="19">
        <f>IF($I2620="","",IF(ISNUMBER($I2620),TEXT($I2620,"0"),$I2620))</f>
        <v/>
      </c>
    </row>
    <row r="2621">
      <c r="B2621" s="25" t="n"/>
      <c r="I2621" s="25" t="n"/>
      <c r="U2621" s="19">
        <f>IF($V2621&lt;&gt;'設定'!$C$4,N(U2620),IF(OR(NOT(COUNTIF('商品マスタ'!$B$6:$B$1005,$W2621)=0),COUNTIFS('①在庫を貼る'!$V$6:$V$10005,$V2621,'①在庫を貼る'!$W$6:$W$10005,$W2621)+COUNTIFS('月1回_1ヶ月前の在庫'!$V$6:$V$10005,$V2621,'月1回_1ヶ月前の在庫'!$W$6:$W$10005,$W2621)&gt;0),N(U2620),N(U2620)+1))</f>
        <v/>
      </c>
      <c r="V2621" s="19">
        <f>IF($B2621="","",TEXT($B2621,"0000"))</f>
        <v/>
      </c>
      <c r="W2621" s="19">
        <f>IF($I2621="","",IF(ISNUMBER($I2621),TEXT($I2621,"0"),$I2621))</f>
        <v/>
      </c>
    </row>
    <row r="2622">
      <c r="B2622" s="25" t="n"/>
      <c r="I2622" s="25" t="n"/>
      <c r="U2622" s="19">
        <f>IF($V2622&lt;&gt;'設定'!$C$4,N(U2621),IF(OR(NOT(COUNTIF('商品マスタ'!$B$6:$B$1005,$W2622)=0),COUNTIFS('①在庫を貼る'!$V$6:$V$10005,$V2622,'①在庫を貼る'!$W$6:$W$10005,$W2622)+COUNTIFS('月1回_1ヶ月前の在庫'!$V$6:$V$10005,$V2622,'月1回_1ヶ月前の在庫'!$W$6:$W$10005,$W2622)&gt;0),N(U2621),N(U2621)+1))</f>
        <v/>
      </c>
      <c r="V2622" s="19">
        <f>IF($B2622="","",TEXT($B2622,"0000"))</f>
        <v/>
      </c>
      <c r="W2622" s="19">
        <f>IF($I2622="","",IF(ISNUMBER($I2622),TEXT($I2622,"0"),$I2622))</f>
        <v/>
      </c>
    </row>
    <row r="2623">
      <c r="B2623" s="25" t="n"/>
      <c r="I2623" s="25" t="n"/>
      <c r="U2623" s="19">
        <f>IF($V2623&lt;&gt;'設定'!$C$4,N(U2622),IF(OR(NOT(COUNTIF('商品マスタ'!$B$6:$B$1005,$W2623)=0),COUNTIFS('①在庫を貼る'!$V$6:$V$10005,$V2623,'①在庫を貼る'!$W$6:$W$10005,$W2623)+COUNTIFS('月1回_1ヶ月前の在庫'!$V$6:$V$10005,$V2623,'月1回_1ヶ月前の在庫'!$W$6:$W$10005,$W2623)&gt;0),N(U2622),N(U2622)+1))</f>
        <v/>
      </c>
      <c r="V2623" s="19">
        <f>IF($B2623="","",TEXT($B2623,"0000"))</f>
        <v/>
      </c>
      <c r="W2623" s="19">
        <f>IF($I2623="","",IF(ISNUMBER($I2623),TEXT($I2623,"0"),$I2623))</f>
        <v/>
      </c>
    </row>
    <row r="2624">
      <c r="B2624" s="25" t="n"/>
      <c r="I2624" s="25" t="n"/>
      <c r="U2624" s="19">
        <f>IF($V2624&lt;&gt;'設定'!$C$4,N(U2623),IF(OR(NOT(COUNTIF('商品マスタ'!$B$6:$B$1005,$W2624)=0),COUNTIFS('①在庫を貼る'!$V$6:$V$10005,$V2624,'①在庫を貼る'!$W$6:$W$10005,$W2624)+COUNTIFS('月1回_1ヶ月前の在庫'!$V$6:$V$10005,$V2624,'月1回_1ヶ月前の在庫'!$W$6:$W$10005,$W2624)&gt;0),N(U2623),N(U2623)+1))</f>
        <v/>
      </c>
      <c r="V2624" s="19">
        <f>IF($B2624="","",TEXT($B2624,"0000"))</f>
        <v/>
      </c>
      <c r="W2624" s="19">
        <f>IF($I2624="","",IF(ISNUMBER($I2624),TEXT($I2624,"0"),$I2624))</f>
        <v/>
      </c>
    </row>
    <row r="2625">
      <c r="B2625" s="25" t="n"/>
      <c r="I2625" s="25" t="n"/>
      <c r="U2625" s="19">
        <f>IF($V2625&lt;&gt;'設定'!$C$4,N(U2624),IF(OR(NOT(COUNTIF('商品マスタ'!$B$6:$B$1005,$W2625)=0),COUNTIFS('①在庫を貼る'!$V$6:$V$10005,$V2625,'①在庫を貼る'!$W$6:$W$10005,$W2625)+COUNTIFS('月1回_1ヶ月前の在庫'!$V$6:$V$10005,$V2625,'月1回_1ヶ月前の在庫'!$W$6:$W$10005,$W2625)&gt;0),N(U2624),N(U2624)+1))</f>
        <v/>
      </c>
      <c r="V2625" s="19">
        <f>IF($B2625="","",TEXT($B2625,"0000"))</f>
        <v/>
      </c>
      <c r="W2625" s="19">
        <f>IF($I2625="","",IF(ISNUMBER($I2625),TEXT($I2625,"0"),$I2625))</f>
        <v/>
      </c>
    </row>
    <row r="2626">
      <c r="B2626" s="25" t="n"/>
      <c r="I2626" s="25" t="n"/>
      <c r="U2626" s="19">
        <f>IF($V2626&lt;&gt;'設定'!$C$4,N(U2625),IF(OR(NOT(COUNTIF('商品マスタ'!$B$6:$B$1005,$W2626)=0),COUNTIFS('①在庫を貼る'!$V$6:$V$10005,$V2626,'①在庫を貼る'!$W$6:$W$10005,$W2626)+COUNTIFS('月1回_1ヶ月前の在庫'!$V$6:$V$10005,$V2626,'月1回_1ヶ月前の在庫'!$W$6:$W$10005,$W2626)&gt;0),N(U2625),N(U2625)+1))</f>
        <v/>
      </c>
      <c r="V2626" s="19">
        <f>IF($B2626="","",TEXT($B2626,"0000"))</f>
        <v/>
      </c>
      <c r="W2626" s="19">
        <f>IF($I2626="","",IF(ISNUMBER($I2626),TEXT($I2626,"0"),$I2626))</f>
        <v/>
      </c>
    </row>
    <row r="2627">
      <c r="B2627" s="25" t="n"/>
      <c r="I2627" s="25" t="n"/>
      <c r="U2627" s="19">
        <f>IF($V2627&lt;&gt;'設定'!$C$4,N(U2626),IF(OR(NOT(COUNTIF('商品マスタ'!$B$6:$B$1005,$W2627)=0),COUNTIFS('①在庫を貼る'!$V$6:$V$10005,$V2627,'①在庫を貼る'!$W$6:$W$10005,$W2627)+COUNTIFS('月1回_1ヶ月前の在庫'!$V$6:$V$10005,$V2627,'月1回_1ヶ月前の在庫'!$W$6:$W$10005,$W2627)&gt;0),N(U2626),N(U2626)+1))</f>
        <v/>
      </c>
      <c r="V2627" s="19">
        <f>IF($B2627="","",TEXT($B2627,"0000"))</f>
        <v/>
      </c>
      <c r="W2627" s="19">
        <f>IF($I2627="","",IF(ISNUMBER($I2627),TEXT($I2627,"0"),$I2627))</f>
        <v/>
      </c>
    </row>
    <row r="2628">
      <c r="B2628" s="25" t="n"/>
      <c r="I2628" s="25" t="n"/>
      <c r="U2628" s="19">
        <f>IF($V2628&lt;&gt;'設定'!$C$4,N(U2627),IF(OR(NOT(COUNTIF('商品マスタ'!$B$6:$B$1005,$W2628)=0),COUNTIFS('①在庫を貼る'!$V$6:$V$10005,$V2628,'①在庫を貼る'!$W$6:$W$10005,$W2628)+COUNTIFS('月1回_1ヶ月前の在庫'!$V$6:$V$10005,$V2628,'月1回_1ヶ月前の在庫'!$W$6:$W$10005,$W2628)&gt;0),N(U2627),N(U2627)+1))</f>
        <v/>
      </c>
      <c r="V2628" s="19">
        <f>IF($B2628="","",TEXT($B2628,"0000"))</f>
        <v/>
      </c>
      <c r="W2628" s="19">
        <f>IF($I2628="","",IF(ISNUMBER($I2628),TEXT($I2628,"0"),$I2628))</f>
        <v/>
      </c>
    </row>
    <row r="2629">
      <c r="B2629" s="25" t="n"/>
      <c r="I2629" s="25" t="n"/>
      <c r="U2629" s="19">
        <f>IF($V2629&lt;&gt;'設定'!$C$4,N(U2628),IF(OR(NOT(COUNTIF('商品マスタ'!$B$6:$B$1005,$W2629)=0),COUNTIFS('①在庫を貼る'!$V$6:$V$10005,$V2629,'①在庫を貼る'!$W$6:$W$10005,$W2629)+COUNTIFS('月1回_1ヶ月前の在庫'!$V$6:$V$10005,$V2629,'月1回_1ヶ月前の在庫'!$W$6:$W$10005,$W2629)&gt;0),N(U2628),N(U2628)+1))</f>
        <v/>
      </c>
      <c r="V2629" s="19">
        <f>IF($B2629="","",TEXT($B2629,"0000"))</f>
        <v/>
      </c>
      <c r="W2629" s="19">
        <f>IF($I2629="","",IF(ISNUMBER($I2629),TEXT($I2629,"0"),$I2629))</f>
        <v/>
      </c>
    </row>
    <row r="2630">
      <c r="B2630" s="25" t="n"/>
      <c r="I2630" s="25" t="n"/>
      <c r="U2630" s="19">
        <f>IF($V2630&lt;&gt;'設定'!$C$4,N(U2629),IF(OR(NOT(COUNTIF('商品マスタ'!$B$6:$B$1005,$W2630)=0),COUNTIFS('①在庫を貼る'!$V$6:$V$10005,$V2630,'①在庫を貼る'!$W$6:$W$10005,$W2630)+COUNTIFS('月1回_1ヶ月前の在庫'!$V$6:$V$10005,$V2630,'月1回_1ヶ月前の在庫'!$W$6:$W$10005,$W2630)&gt;0),N(U2629),N(U2629)+1))</f>
        <v/>
      </c>
      <c r="V2630" s="19">
        <f>IF($B2630="","",TEXT($B2630,"0000"))</f>
        <v/>
      </c>
      <c r="W2630" s="19">
        <f>IF($I2630="","",IF(ISNUMBER($I2630),TEXT($I2630,"0"),$I2630))</f>
        <v/>
      </c>
    </row>
    <row r="2631">
      <c r="B2631" s="25" t="n"/>
      <c r="I2631" s="25" t="n"/>
      <c r="U2631" s="19">
        <f>IF($V2631&lt;&gt;'設定'!$C$4,N(U2630),IF(OR(NOT(COUNTIF('商品マスタ'!$B$6:$B$1005,$W2631)=0),COUNTIFS('①在庫を貼る'!$V$6:$V$10005,$V2631,'①在庫を貼る'!$W$6:$W$10005,$W2631)+COUNTIFS('月1回_1ヶ月前の在庫'!$V$6:$V$10005,$V2631,'月1回_1ヶ月前の在庫'!$W$6:$W$10005,$W2631)&gt;0),N(U2630),N(U2630)+1))</f>
        <v/>
      </c>
      <c r="V2631" s="19">
        <f>IF($B2631="","",TEXT($B2631,"0000"))</f>
        <v/>
      </c>
      <c r="W2631" s="19">
        <f>IF($I2631="","",IF(ISNUMBER($I2631),TEXT($I2631,"0"),$I2631))</f>
        <v/>
      </c>
    </row>
    <row r="2632">
      <c r="B2632" s="25" t="n"/>
      <c r="I2632" s="25" t="n"/>
      <c r="U2632" s="19">
        <f>IF($V2632&lt;&gt;'設定'!$C$4,N(U2631),IF(OR(NOT(COUNTIF('商品マスタ'!$B$6:$B$1005,$W2632)=0),COUNTIFS('①在庫を貼る'!$V$6:$V$10005,$V2632,'①在庫を貼る'!$W$6:$W$10005,$W2632)+COUNTIFS('月1回_1ヶ月前の在庫'!$V$6:$V$10005,$V2632,'月1回_1ヶ月前の在庫'!$W$6:$W$10005,$W2632)&gt;0),N(U2631),N(U2631)+1))</f>
        <v/>
      </c>
      <c r="V2632" s="19">
        <f>IF($B2632="","",TEXT($B2632,"0000"))</f>
        <v/>
      </c>
      <c r="W2632" s="19">
        <f>IF($I2632="","",IF(ISNUMBER($I2632),TEXT($I2632,"0"),$I2632))</f>
        <v/>
      </c>
    </row>
    <row r="2633">
      <c r="B2633" s="25" t="n"/>
      <c r="I2633" s="25" t="n"/>
      <c r="U2633" s="19">
        <f>IF($V2633&lt;&gt;'設定'!$C$4,N(U2632),IF(OR(NOT(COUNTIF('商品マスタ'!$B$6:$B$1005,$W2633)=0),COUNTIFS('①在庫を貼る'!$V$6:$V$10005,$V2633,'①在庫を貼る'!$W$6:$W$10005,$W2633)+COUNTIFS('月1回_1ヶ月前の在庫'!$V$6:$V$10005,$V2633,'月1回_1ヶ月前の在庫'!$W$6:$W$10005,$W2633)&gt;0),N(U2632),N(U2632)+1))</f>
        <v/>
      </c>
      <c r="V2633" s="19">
        <f>IF($B2633="","",TEXT($B2633,"0000"))</f>
        <v/>
      </c>
      <c r="W2633" s="19">
        <f>IF($I2633="","",IF(ISNUMBER($I2633),TEXT($I2633,"0"),$I2633))</f>
        <v/>
      </c>
    </row>
    <row r="2634">
      <c r="B2634" s="25" t="n"/>
      <c r="I2634" s="25" t="n"/>
      <c r="U2634" s="19">
        <f>IF($V2634&lt;&gt;'設定'!$C$4,N(U2633),IF(OR(NOT(COUNTIF('商品マスタ'!$B$6:$B$1005,$W2634)=0),COUNTIFS('①在庫を貼る'!$V$6:$V$10005,$V2634,'①在庫を貼る'!$W$6:$W$10005,$W2634)+COUNTIFS('月1回_1ヶ月前の在庫'!$V$6:$V$10005,$V2634,'月1回_1ヶ月前の在庫'!$W$6:$W$10005,$W2634)&gt;0),N(U2633),N(U2633)+1))</f>
        <v/>
      </c>
      <c r="V2634" s="19">
        <f>IF($B2634="","",TEXT($B2634,"0000"))</f>
        <v/>
      </c>
      <c r="W2634" s="19">
        <f>IF($I2634="","",IF(ISNUMBER($I2634),TEXT($I2634,"0"),$I2634))</f>
        <v/>
      </c>
    </row>
    <row r="2635">
      <c r="B2635" s="25" t="n"/>
      <c r="I2635" s="25" t="n"/>
      <c r="U2635" s="19">
        <f>IF($V2635&lt;&gt;'設定'!$C$4,N(U2634),IF(OR(NOT(COUNTIF('商品マスタ'!$B$6:$B$1005,$W2635)=0),COUNTIFS('①在庫を貼る'!$V$6:$V$10005,$V2635,'①在庫を貼る'!$W$6:$W$10005,$W2635)+COUNTIFS('月1回_1ヶ月前の在庫'!$V$6:$V$10005,$V2635,'月1回_1ヶ月前の在庫'!$W$6:$W$10005,$W2635)&gt;0),N(U2634),N(U2634)+1))</f>
        <v/>
      </c>
      <c r="V2635" s="19">
        <f>IF($B2635="","",TEXT($B2635,"0000"))</f>
        <v/>
      </c>
      <c r="W2635" s="19">
        <f>IF($I2635="","",IF(ISNUMBER($I2635),TEXT($I2635,"0"),$I2635))</f>
        <v/>
      </c>
    </row>
    <row r="2636">
      <c r="B2636" s="25" t="n"/>
      <c r="I2636" s="25" t="n"/>
      <c r="U2636" s="19">
        <f>IF($V2636&lt;&gt;'設定'!$C$4,N(U2635),IF(OR(NOT(COUNTIF('商品マスタ'!$B$6:$B$1005,$W2636)=0),COUNTIFS('①在庫を貼る'!$V$6:$V$10005,$V2636,'①在庫を貼る'!$W$6:$W$10005,$W2636)+COUNTIFS('月1回_1ヶ月前の在庫'!$V$6:$V$10005,$V2636,'月1回_1ヶ月前の在庫'!$W$6:$W$10005,$W2636)&gt;0),N(U2635),N(U2635)+1))</f>
        <v/>
      </c>
      <c r="V2636" s="19">
        <f>IF($B2636="","",TEXT($B2636,"0000"))</f>
        <v/>
      </c>
      <c r="W2636" s="19">
        <f>IF($I2636="","",IF(ISNUMBER($I2636),TEXT($I2636,"0"),$I2636))</f>
        <v/>
      </c>
    </row>
    <row r="2637">
      <c r="B2637" s="25" t="n"/>
      <c r="I2637" s="25" t="n"/>
      <c r="U2637" s="19">
        <f>IF($V2637&lt;&gt;'設定'!$C$4,N(U2636),IF(OR(NOT(COUNTIF('商品マスタ'!$B$6:$B$1005,$W2637)=0),COUNTIFS('①在庫を貼る'!$V$6:$V$10005,$V2637,'①在庫を貼る'!$W$6:$W$10005,$W2637)+COUNTIFS('月1回_1ヶ月前の在庫'!$V$6:$V$10005,$V2637,'月1回_1ヶ月前の在庫'!$W$6:$W$10005,$W2637)&gt;0),N(U2636),N(U2636)+1))</f>
        <v/>
      </c>
      <c r="V2637" s="19">
        <f>IF($B2637="","",TEXT($B2637,"0000"))</f>
        <v/>
      </c>
      <c r="W2637" s="19">
        <f>IF($I2637="","",IF(ISNUMBER($I2637),TEXT($I2637,"0"),$I2637))</f>
        <v/>
      </c>
    </row>
    <row r="2638">
      <c r="B2638" s="25" t="n"/>
      <c r="I2638" s="25" t="n"/>
      <c r="U2638" s="19">
        <f>IF($V2638&lt;&gt;'設定'!$C$4,N(U2637),IF(OR(NOT(COUNTIF('商品マスタ'!$B$6:$B$1005,$W2638)=0),COUNTIFS('①在庫を貼る'!$V$6:$V$10005,$V2638,'①在庫を貼る'!$W$6:$W$10005,$W2638)+COUNTIFS('月1回_1ヶ月前の在庫'!$V$6:$V$10005,$V2638,'月1回_1ヶ月前の在庫'!$W$6:$W$10005,$W2638)&gt;0),N(U2637),N(U2637)+1))</f>
        <v/>
      </c>
      <c r="V2638" s="19">
        <f>IF($B2638="","",TEXT($B2638,"0000"))</f>
        <v/>
      </c>
      <c r="W2638" s="19">
        <f>IF($I2638="","",IF(ISNUMBER($I2638),TEXT($I2638,"0"),$I2638))</f>
        <v/>
      </c>
    </row>
    <row r="2639">
      <c r="B2639" s="25" t="n"/>
      <c r="I2639" s="25" t="n"/>
      <c r="U2639" s="19">
        <f>IF($V2639&lt;&gt;'設定'!$C$4,N(U2638),IF(OR(NOT(COUNTIF('商品マスタ'!$B$6:$B$1005,$W2639)=0),COUNTIFS('①在庫を貼る'!$V$6:$V$10005,$V2639,'①在庫を貼る'!$W$6:$W$10005,$W2639)+COUNTIFS('月1回_1ヶ月前の在庫'!$V$6:$V$10005,$V2639,'月1回_1ヶ月前の在庫'!$W$6:$W$10005,$W2639)&gt;0),N(U2638),N(U2638)+1))</f>
        <v/>
      </c>
      <c r="V2639" s="19">
        <f>IF($B2639="","",TEXT($B2639,"0000"))</f>
        <v/>
      </c>
      <c r="W2639" s="19">
        <f>IF($I2639="","",IF(ISNUMBER($I2639),TEXT($I2639,"0"),$I2639))</f>
        <v/>
      </c>
    </row>
    <row r="2640">
      <c r="B2640" s="25" t="n"/>
      <c r="I2640" s="25" t="n"/>
      <c r="U2640" s="19">
        <f>IF($V2640&lt;&gt;'設定'!$C$4,N(U2639),IF(OR(NOT(COUNTIF('商品マスタ'!$B$6:$B$1005,$W2640)=0),COUNTIFS('①在庫を貼る'!$V$6:$V$10005,$V2640,'①在庫を貼る'!$W$6:$W$10005,$W2640)+COUNTIFS('月1回_1ヶ月前の在庫'!$V$6:$V$10005,$V2640,'月1回_1ヶ月前の在庫'!$W$6:$W$10005,$W2640)&gt;0),N(U2639),N(U2639)+1))</f>
        <v/>
      </c>
      <c r="V2640" s="19">
        <f>IF($B2640="","",TEXT($B2640,"0000"))</f>
        <v/>
      </c>
      <c r="W2640" s="19">
        <f>IF($I2640="","",IF(ISNUMBER($I2640),TEXT($I2640,"0"),$I2640))</f>
        <v/>
      </c>
    </row>
    <row r="2641">
      <c r="B2641" s="25" t="n"/>
      <c r="I2641" s="25" t="n"/>
      <c r="U2641" s="19">
        <f>IF($V2641&lt;&gt;'設定'!$C$4,N(U2640),IF(OR(NOT(COUNTIF('商品マスタ'!$B$6:$B$1005,$W2641)=0),COUNTIFS('①在庫を貼る'!$V$6:$V$10005,$V2641,'①在庫を貼る'!$W$6:$W$10005,$W2641)+COUNTIFS('月1回_1ヶ月前の在庫'!$V$6:$V$10005,$V2641,'月1回_1ヶ月前の在庫'!$W$6:$W$10005,$W2641)&gt;0),N(U2640),N(U2640)+1))</f>
        <v/>
      </c>
      <c r="V2641" s="19">
        <f>IF($B2641="","",TEXT($B2641,"0000"))</f>
        <v/>
      </c>
      <c r="W2641" s="19">
        <f>IF($I2641="","",IF(ISNUMBER($I2641),TEXT($I2641,"0"),$I2641))</f>
        <v/>
      </c>
    </row>
    <row r="2642">
      <c r="B2642" s="25" t="n"/>
      <c r="I2642" s="25" t="n"/>
      <c r="U2642" s="19">
        <f>IF($V2642&lt;&gt;'設定'!$C$4,N(U2641),IF(OR(NOT(COUNTIF('商品マスタ'!$B$6:$B$1005,$W2642)=0),COUNTIFS('①在庫を貼る'!$V$6:$V$10005,$V2642,'①在庫を貼る'!$W$6:$W$10005,$W2642)+COUNTIFS('月1回_1ヶ月前の在庫'!$V$6:$V$10005,$V2642,'月1回_1ヶ月前の在庫'!$W$6:$W$10005,$W2642)&gt;0),N(U2641),N(U2641)+1))</f>
        <v/>
      </c>
      <c r="V2642" s="19">
        <f>IF($B2642="","",TEXT($B2642,"0000"))</f>
        <v/>
      </c>
      <c r="W2642" s="19">
        <f>IF($I2642="","",IF(ISNUMBER($I2642),TEXT($I2642,"0"),$I2642))</f>
        <v/>
      </c>
    </row>
    <row r="2643">
      <c r="B2643" s="25" t="n"/>
      <c r="I2643" s="25" t="n"/>
      <c r="U2643" s="19">
        <f>IF($V2643&lt;&gt;'設定'!$C$4,N(U2642),IF(OR(NOT(COUNTIF('商品マスタ'!$B$6:$B$1005,$W2643)=0),COUNTIFS('①在庫を貼る'!$V$6:$V$10005,$V2643,'①在庫を貼る'!$W$6:$W$10005,$W2643)+COUNTIFS('月1回_1ヶ月前の在庫'!$V$6:$V$10005,$V2643,'月1回_1ヶ月前の在庫'!$W$6:$W$10005,$W2643)&gt;0),N(U2642),N(U2642)+1))</f>
        <v/>
      </c>
      <c r="V2643" s="19">
        <f>IF($B2643="","",TEXT($B2643,"0000"))</f>
        <v/>
      </c>
      <c r="W2643" s="19">
        <f>IF($I2643="","",IF(ISNUMBER($I2643),TEXT($I2643,"0"),$I2643))</f>
        <v/>
      </c>
    </row>
    <row r="2644">
      <c r="B2644" s="25" t="n"/>
      <c r="I2644" s="25" t="n"/>
      <c r="U2644" s="19">
        <f>IF($V2644&lt;&gt;'設定'!$C$4,N(U2643),IF(OR(NOT(COUNTIF('商品マスタ'!$B$6:$B$1005,$W2644)=0),COUNTIFS('①在庫を貼る'!$V$6:$V$10005,$V2644,'①在庫を貼る'!$W$6:$W$10005,$W2644)+COUNTIFS('月1回_1ヶ月前の在庫'!$V$6:$V$10005,$V2644,'月1回_1ヶ月前の在庫'!$W$6:$W$10005,$W2644)&gt;0),N(U2643),N(U2643)+1))</f>
        <v/>
      </c>
      <c r="V2644" s="19">
        <f>IF($B2644="","",TEXT($B2644,"0000"))</f>
        <v/>
      </c>
      <c r="W2644" s="19">
        <f>IF($I2644="","",IF(ISNUMBER($I2644),TEXT($I2644,"0"),$I2644))</f>
        <v/>
      </c>
    </row>
    <row r="2645">
      <c r="B2645" s="25" t="n"/>
      <c r="I2645" s="25" t="n"/>
      <c r="U2645" s="19">
        <f>IF($V2645&lt;&gt;'設定'!$C$4,N(U2644),IF(OR(NOT(COUNTIF('商品マスタ'!$B$6:$B$1005,$W2645)=0),COUNTIFS('①在庫を貼る'!$V$6:$V$10005,$V2645,'①在庫を貼る'!$W$6:$W$10005,$W2645)+COUNTIFS('月1回_1ヶ月前の在庫'!$V$6:$V$10005,$V2645,'月1回_1ヶ月前の在庫'!$W$6:$W$10005,$W2645)&gt;0),N(U2644),N(U2644)+1))</f>
        <v/>
      </c>
      <c r="V2645" s="19">
        <f>IF($B2645="","",TEXT($B2645,"0000"))</f>
        <v/>
      </c>
      <c r="W2645" s="19">
        <f>IF($I2645="","",IF(ISNUMBER($I2645),TEXT($I2645,"0"),$I2645))</f>
        <v/>
      </c>
    </row>
    <row r="2646">
      <c r="B2646" s="25" t="n"/>
      <c r="I2646" s="25" t="n"/>
      <c r="U2646" s="19">
        <f>IF($V2646&lt;&gt;'設定'!$C$4,N(U2645),IF(OR(NOT(COUNTIF('商品マスタ'!$B$6:$B$1005,$W2646)=0),COUNTIFS('①在庫を貼る'!$V$6:$V$10005,$V2646,'①在庫を貼る'!$W$6:$W$10005,$W2646)+COUNTIFS('月1回_1ヶ月前の在庫'!$V$6:$V$10005,$V2646,'月1回_1ヶ月前の在庫'!$W$6:$W$10005,$W2646)&gt;0),N(U2645),N(U2645)+1))</f>
        <v/>
      </c>
      <c r="V2646" s="19">
        <f>IF($B2646="","",TEXT($B2646,"0000"))</f>
        <v/>
      </c>
      <c r="W2646" s="19">
        <f>IF($I2646="","",IF(ISNUMBER($I2646),TEXT($I2646,"0"),$I2646))</f>
        <v/>
      </c>
    </row>
    <row r="2647">
      <c r="B2647" s="25" t="n"/>
      <c r="I2647" s="25" t="n"/>
      <c r="U2647" s="19">
        <f>IF($V2647&lt;&gt;'設定'!$C$4,N(U2646),IF(OR(NOT(COUNTIF('商品マスタ'!$B$6:$B$1005,$W2647)=0),COUNTIFS('①在庫を貼る'!$V$6:$V$10005,$V2647,'①在庫を貼る'!$W$6:$W$10005,$W2647)+COUNTIFS('月1回_1ヶ月前の在庫'!$V$6:$V$10005,$V2647,'月1回_1ヶ月前の在庫'!$W$6:$W$10005,$W2647)&gt;0),N(U2646),N(U2646)+1))</f>
        <v/>
      </c>
      <c r="V2647" s="19">
        <f>IF($B2647="","",TEXT($B2647,"0000"))</f>
        <v/>
      </c>
      <c r="W2647" s="19">
        <f>IF($I2647="","",IF(ISNUMBER($I2647),TEXT($I2647,"0"),$I2647))</f>
        <v/>
      </c>
    </row>
    <row r="2648">
      <c r="B2648" s="25" t="n"/>
      <c r="I2648" s="25" t="n"/>
      <c r="U2648" s="19">
        <f>IF($V2648&lt;&gt;'設定'!$C$4,N(U2647),IF(OR(NOT(COUNTIF('商品マスタ'!$B$6:$B$1005,$W2648)=0),COUNTIFS('①在庫を貼る'!$V$6:$V$10005,$V2648,'①在庫を貼る'!$W$6:$W$10005,$W2648)+COUNTIFS('月1回_1ヶ月前の在庫'!$V$6:$V$10005,$V2648,'月1回_1ヶ月前の在庫'!$W$6:$W$10005,$W2648)&gt;0),N(U2647),N(U2647)+1))</f>
        <v/>
      </c>
      <c r="V2648" s="19">
        <f>IF($B2648="","",TEXT($B2648,"0000"))</f>
        <v/>
      </c>
      <c r="W2648" s="19">
        <f>IF($I2648="","",IF(ISNUMBER($I2648),TEXT($I2648,"0"),$I2648))</f>
        <v/>
      </c>
    </row>
    <row r="2649">
      <c r="B2649" s="25" t="n"/>
      <c r="I2649" s="25" t="n"/>
      <c r="U2649" s="19">
        <f>IF($V2649&lt;&gt;'設定'!$C$4,N(U2648),IF(OR(NOT(COUNTIF('商品マスタ'!$B$6:$B$1005,$W2649)=0),COUNTIFS('①在庫を貼る'!$V$6:$V$10005,$V2649,'①在庫を貼る'!$W$6:$W$10005,$W2649)+COUNTIFS('月1回_1ヶ月前の在庫'!$V$6:$V$10005,$V2649,'月1回_1ヶ月前の在庫'!$W$6:$W$10005,$W2649)&gt;0),N(U2648),N(U2648)+1))</f>
        <v/>
      </c>
      <c r="V2649" s="19">
        <f>IF($B2649="","",TEXT($B2649,"0000"))</f>
        <v/>
      </c>
      <c r="W2649" s="19">
        <f>IF($I2649="","",IF(ISNUMBER($I2649),TEXT($I2649,"0"),$I2649))</f>
        <v/>
      </c>
    </row>
    <row r="2650">
      <c r="B2650" s="25" t="n"/>
      <c r="I2650" s="25" t="n"/>
      <c r="U2650" s="19">
        <f>IF($V2650&lt;&gt;'設定'!$C$4,N(U2649),IF(OR(NOT(COUNTIF('商品マスタ'!$B$6:$B$1005,$W2650)=0),COUNTIFS('①在庫を貼る'!$V$6:$V$10005,$V2650,'①在庫を貼る'!$W$6:$W$10005,$W2650)+COUNTIFS('月1回_1ヶ月前の在庫'!$V$6:$V$10005,$V2650,'月1回_1ヶ月前の在庫'!$W$6:$W$10005,$W2650)&gt;0),N(U2649),N(U2649)+1))</f>
        <v/>
      </c>
      <c r="V2650" s="19">
        <f>IF($B2650="","",TEXT($B2650,"0000"))</f>
        <v/>
      </c>
      <c r="W2650" s="19">
        <f>IF($I2650="","",IF(ISNUMBER($I2650),TEXT($I2650,"0"),$I2650))</f>
        <v/>
      </c>
    </row>
    <row r="2651">
      <c r="B2651" s="25" t="n"/>
      <c r="I2651" s="25" t="n"/>
      <c r="U2651" s="19">
        <f>IF($V2651&lt;&gt;'設定'!$C$4,N(U2650),IF(OR(NOT(COUNTIF('商品マスタ'!$B$6:$B$1005,$W2651)=0),COUNTIFS('①在庫を貼る'!$V$6:$V$10005,$V2651,'①在庫を貼る'!$W$6:$W$10005,$W2651)+COUNTIFS('月1回_1ヶ月前の在庫'!$V$6:$V$10005,$V2651,'月1回_1ヶ月前の在庫'!$W$6:$W$10005,$W2651)&gt;0),N(U2650),N(U2650)+1))</f>
        <v/>
      </c>
      <c r="V2651" s="19">
        <f>IF($B2651="","",TEXT($B2651,"0000"))</f>
        <v/>
      </c>
      <c r="W2651" s="19">
        <f>IF($I2651="","",IF(ISNUMBER($I2651),TEXT($I2651,"0"),$I2651))</f>
        <v/>
      </c>
    </row>
    <row r="2652">
      <c r="B2652" s="25" t="n"/>
      <c r="I2652" s="25" t="n"/>
      <c r="U2652" s="19">
        <f>IF($V2652&lt;&gt;'設定'!$C$4,N(U2651),IF(OR(NOT(COUNTIF('商品マスタ'!$B$6:$B$1005,$W2652)=0),COUNTIFS('①在庫を貼る'!$V$6:$V$10005,$V2652,'①在庫を貼る'!$W$6:$W$10005,$W2652)+COUNTIFS('月1回_1ヶ月前の在庫'!$V$6:$V$10005,$V2652,'月1回_1ヶ月前の在庫'!$W$6:$W$10005,$W2652)&gt;0),N(U2651),N(U2651)+1))</f>
        <v/>
      </c>
      <c r="V2652" s="19">
        <f>IF($B2652="","",TEXT($B2652,"0000"))</f>
        <v/>
      </c>
      <c r="W2652" s="19">
        <f>IF($I2652="","",IF(ISNUMBER($I2652),TEXT($I2652,"0"),$I2652))</f>
        <v/>
      </c>
    </row>
    <row r="2653">
      <c r="B2653" s="25" t="n"/>
      <c r="I2653" s="25" t="n"/>
      <c r="U2653" s="19">
        <f>IF($V2653&lt;&gt;'設定'!$C$4,N(U2652),IF(OR(NOT(COUNTIF('商品マスタ'!$B$6:$B$1005,$W2653)=0),COUNTIFS('①在庫を貼る'!$V$6:$V$10005,$V2653,'①在庫を貼る'!$W$6:$W$10005,$W2653)+COUNTIFS('月1回_1ヶ月前の在庫'!$V$6:$V$10005,$V2653,'月1回_1ヶ月前の在庫'!$W$6:$W$10005,$W2653)&gt;0),N(U2652),N(U2652)+1))</f>
        <v/>
      </c>
      <c r="V2653" s="19">
        <f>IF($B2653="","",TEXT($B2653,"0000"))</f>
        <v/>
      </c>
      <c r="W2653" s="19">
        <f>IF($I2653="","",IF(ISNUMBER($I2653),TEXT($I2653,"0"),$I2653))</f>
        <v/>
      </c>
    </row>
    <row r="2654">
      <c r="B2654" s="25" t="n"/>
      <c r="I2654" s="25" t="n"/>
      <c r="U2654" s="19">
        <f>IF($V2654&lt;&gt;'設定'!$C$4,N(U2653),IF(OR(NOT(COUNTIF('商品マスタ'!$B$6:$B$1005,$W2654)=0),COUNTIFS('①在庫を貼る'!$V$6:$V$10005,$V2654,'①在庫を貼る'!$W$6:$W$10005,$W2654)+COUNTIFS('月1回_1ヶ月前の在庫'!$V$6:$V$10005,$V2654,'月1回_1ヶ月前の在庫'!$W$6:$W$10005,$W2654)&gt;0),N(U2653),N(U2653)+1))</f>
        <v/>
      </c>
      <c r="V2654" s="19">
        <f>IF($B2654="","",TEXT($B2654,"0000"))</f>
        <v/>
      </c>
      <c r="W2654" s="19">
        <f>IF($I2654="","",IF(ISNUMBER($I2654),TEXT($I2654,"0"),$I2654))</f>
        <v/>
      </c>
    </row>
    <row r="2655">
      <c r="B2655" s="25" t="n"/>
      <c r="I2655" s="25" t="n"/>
      <c r="U2655" s="19">
        <f>IF($V2655&lt;&gt;'設定'!$C$4,N(U2654),IF(OR(NOT(COUNTIF('商品マスタ'!$B$6:$B$1005,$W2655)=0),COUNTIFS('①在庫を貼る'!$V$6:$V$10005,$V2655,'①在庫を貼る'!$W$6:$W$10005,$W2655)+COUNTIFS('月1回_1ヶ月前の在庫'!$V$6:$V$10005,$V2655,'月1回_1ヶ月前の在庫'!$W$6:$W$10005,$W2655)&gt;0),N(U2654),N(U2654)+1))</f>
        <v/>
      </c>
      <c r="V2655" s="19">
        <f>IF($B2655="","",TEXT($B2655,"0000"))</f>
        <v/>
      </c>
      <c r="W2655" s="19">
        <f>IF($I2655="","",IF(ISNUMBER($I2655),TEXT($I2655,"0"),$I2655))</f>
        <v/>
      </c>
    </row>
    <row r="2656">
      <c r="B2656" s="25" t="n"/>
      <c r="I2656" s="25" t="n"/>
      <c r="U2656" s="19">
        <f>IF($V2656&lt;&gt;'設定'!$C$4,N(U2655),IF(OR(NOT(COUNTIF('商品マスタ'!$B$6:$B$1005,$W2656)=0),COUNTIFS('①在庫を貼る'!$V$6:$V$10005,$V2656,'①在庫を貼る'!$W$6:$W$10005,$W2656)+COUNTIFS('月1回_1ヶ月前の在庫'!$V$6:$V$10005,$V2656,'月1回_1ヶ月前の在庫'!$W$6:$W$10005,$W2656)&gt;0),N(U2655),N(U2655)+1))</f>
        <v/>
      </c>
      <c r="V2656" s="19">
        <f>IF($B2656="","",TEXT($B2656,"0000"))</f>
        <v/>
      </c>
      <c r="W2656" s="19">
        <f>IF($I2656="","",IF(ISNUMBER($I2656),TEXT($I2656,"0"),$I2656))</f>
        <v/>
      </c>
    </row>
    <row r="2657">
      <c r="B2657" s="25" t="n"/>
      <c r="I2657" s="25" t="n"/>
      <c r="U2657" s="19">
        <f>IF($V2657&lt;&gt;'設定'!$C$4,N(U2656),IF(OR(NOT(COUNTIF('商品マスタ'!$B$6:$B$1005,$W2657)=0),COUNTIFS('①在庫を貼る'!$V$6:$V$10005,$V2657,'①在庫を貼る'!$W$6:$W$10005,$W2657)+COUNTIFS('月1回_1ヶ月前の在庫'!$V$6:$V$10005,$V2657,'月1回_1ヶ月前の在庫'!$W$6:$W$10005,$W2657)&gt;0),N(U2656),N(U2656)+1))</f>
        <v/>
      </c>
      <c r="V2657" s="19">
        <f>IF($B2657="","",TEXT($B2657,"0000"))</f>
        <v/>
      </c>
      <c r="W2657" s="19">
        <f>IF($I2657="","",IF(ISNUMBER($I2657),TEXT($I2657,"0"),$I2657))</f>
        <v/>
      </c>
    </row>
    <row r="2658">
      <c r="B2658" s="25" t="n"/>
      <c r="I2658" s="25" t="n"/>
      <c r="U2658" s="19">
        <f>IF($V2658&lt;&gt;'設定'!$C$4,N(U2657),IF(OR(NOT(COUNTIF('商品マスタ'!$B$6:$B$1005,$W2658)=0),COUNTIFS('①在庫を貼る'!$V$6:$V$10005,$V2658,'①在庫を貼る'!$W$6:$W$10005,$W2658)+COUNTIFS('月1回_1ヶ月前の在庫'!$V$6:$V$10005,$V2658,'月1回_1ヶ月前の在庫'!$W$6:$W$10005,$W2658)&gt;0),N(U2657),N(U2657)+1))</f>
        <v/>
      </c>
      <c r="V2658" s="19">
        <f>IF($B2658="","",TEXT($B2658,"0000"))</f>
        <v/>
      </c>
      <c r="W2658" s="19">
        <f>IF($I2658="","",IF(ISNUMBER($I2658),TEXT($I2658,"0"),$I2658))</f>
        <v/>
      </c>
    </row>
    <row r="2659">
      <c r="B2659" s="25" t="n"/>
      <c r="I2659" s="25" t="n"/>
      <c r="U2659" s="19">
        <f>IF($V2659&lt;&gt;'設定'!$C$4,N(U2658),IF(OR(NOT(COUNTIF('商品マスタ'!$B$6:$B$1005,$W2659)=0),COUNTIFS('①在庫を貼る'!$V$6:$V$10005,$V2659,'①在庫を貼る'!$W$6:$W$10005,$W2659)+COUNTIFS('月1回_1ヶ月前の在庫'!$V$6:$V$10005,$V2659,'月1回_1ヶ月前の在庫'!$W$6:$W$10005,$W2659)&gt;0),N(U2658),N(U2658)+1))</f>
        <v/>
      </c>
      <c r="V2659" s="19">
        <f>IF($B2659="","",TEXT($B2659,"0000"))</f>
        <v/>
      </c>
      <c r="W2659" s="19">
        <f>IF($I2659="","",IF(ISNUMBER($I2659),TEXT($I2659,"0"),$I2659))</f>
        <v/>
      </c>
    </row>
    <row r="2660">
      <c r="B2660" s="25" t="n"/>
      <c r="I2660" s="25" t="n"/>
      <c r="U2660" s="19">
        <f>IF($V2660&lt;&gt;'設定'!$C$4,N(U2659),IF(OR(NOT(COUNTIF('商品マスタ'!$B$6:$B$1005,$W2660)=0),COUNTIFS('①在庫を貼る'!$V$6:$V$10005,$V2660,'①在庫を貼る'!$W$6:$W$10005,$W2660)+COUNTIFS('月1回_1ヶ月前の在庫'!$V$6:$V$10005,$V2660,'月1回_1ヶ月前の在庫'!$W$6:$W$10005,$W2660)&gt;0),N(U2659),N(U2659)+1))</f>
        <v/>
      </c>
      <c r="V2660" s="19">
        <f>IF($B2660="","",TEXT($B2660,"0000"))</f>
        <v/>
      </c>
      <c r="W2660" s="19">
        <f>IF($I2660="","",IF(ISNUMBER($I2660),TEXT($I2660,"0"),$I2660))</f>
        <v/>
      </c>
    </row>
    <row r="2661">
      <c r="B2661" s="25" t="n"/>
      <c r="I2661" s="25" t="n"/>
      <c r="U2661" s="19">
        <f>IF($V2661&lt;&gt;'設定'!$C$4,N(U2660),IF(OR(NOT(COUNTIF('商品マスタ'!$B$6:$B$1005,$W2661)=0),COUNTIFS('①在庫を貼る'!$V$6:$V$10005,$V2661,'①在庫を貼る'!$W$6:$W$10005,$W2661)+COUNTIFS('月1回_1ヶ月前の在庫'!$V$6:$V$10005,$V2661,'月1回_1ヶ月前の在庫'!$W$6:$W$10005,$W2661)&gt;0),N(U2660),N(U2660)+1))</f>
        <v/>
      </c>
      <c r="V2661" s="19">
        <f>IF($B2661="","",TEXT($B2661,"0000"))</f>
        <v/>
      </c>
      <c r="W2661" s="19">
        <f>IF($I2661="","",IF(ISNUMBER($I2661),TEXT($I2661,"0"),$I2661))</f>
        <v/>
      </c>
    </row>
    <row r="2662">
      <c r="B2662" s="25" t="n"/>
      <c r="I2662" s="25" t="n"/>
      <c r="U2662" s="19">
        <f>IF($V2662&lt;&gt;'設定'!$C$4,N(U2661),IF(OR(NOT(COUNTIF('商品マスタ'!$B$6:$B$1005,$W2662)=0),COUNTIFS('①在庫を貼る'!$V$6:$V$10005,$V2662,'①在庫を貼る'!$W$6:$W$10005,$W2662)+COUNTIFS('月1回_1ヶ月前の在庫'!$V$6:$V$10005,$V2662,'月1回_1ヶ月前の在庫'!$W$6:$W$10005,$W2662)&gt;0),N(U2661),N(U2661)+1))</f>
        <v/>
      </c>
      <c r="V2662" s="19">
        <f>IF($B2662="","",TEXT($B2662,"0000"))</f>
        <v/>
      </c>
      <c r="W2662" s="19">
        <f>IF($I2662="","",IF(ISNUMBER($I2662),TEXT($I2662,"0"),$I2662))</f>
        <v/>
      </c>
    </row>
    <row r="2663">
      <c r="B2663" s="25" t="n"/>
      <c r="I2663" s="25" t="n"/>
      <c r="U2663" s="19">
        <f>IF($V2663&lt;&gt;'設定'!$C$4,N(U2662),IF(OR(NOT(COUNTIF('商品マスタ'!$B$6:$B$1005,$W2663)=0),COUNTIFS('①在庫を貼る'!$V$6:$V$10005,$V2663,'①在庫を貼る'!$W$6:$W$10005,$W2663)+COUNTIFS('月1回_1ヶ月前の在庫'!$V$6:$V$10005,$V2663,'月1回_1ヶ月前の在庫'!$W$6:$W$10005,$W2663)&gt;0),N(U2662),N(U2662)+1))</f>
        <v/>
      </c>
      <c r="V2663" s="19">
        <f>IF($B2663="","",TEXT($B2663,"0000"))</f>
        <v/>
      </c>
      <c r="W2663" s="19">
        <f>IF($I2663="","",IF(ISNUMBER($I2663),TEXT($I2663,"0"),$I2663))</f>
        <v/>
      </c>
    </row>
    <row r="2664">
      <c r="B2664" s="25" t="n"/>
      <c r="I2664" s="25" t="n"/>
      <c r="U2664" s="19">
        <f>IF($V2664&lt;&gt;'設定'!$C$4,N(U2663),IF(OR(NOT(COUNTIF('商品マスタ'!$B$6:$B$1005,$W2664)=0),COUNTIFS('①在庫を貼る'!$V$6:$V$10005,$V2664,'①在庫を貼る'!$W$6:$W$10005,$W2664)+COUNTIFS('月1回_1ヶ月前の在庫'!$V$6:$V$10005,$V2664,'月1回_1ヶ月前の在庫'!$W$6:$W$10005,$W2664)&gt;0),N(U2663),N(U2663)+1))</f>
        <v/>
      </c>
      <c r="V2664" s="19">
        <f>IF($B2664="","",TEXT($B2664,"0000"))</f>
        <v/>
      </c>
      <c r="W2664" s="19">
        <f>IF($I2664="","",IF(ISNUMBER($I2664),TEXT($I2664,"0"),$I2664))</f>
        <v/>
      </c>
    </row>
    <row r="2665">
      <c r="B2665" s="25" t="n"/>
      <c r="I2665" s="25" t="n"/>
      <c r="U2665" s="19">
        <f>IF($V2665&lt;&gt;'設定'!$C$4,N(U2664),IF(OR(NOT(COUNTIF('商品マスタ'!$B$6:$B$1005,$W2665)=0),COUNTIFS('①在庫を貼る'!$V$6:$V$10005,$V2665,'①在庫を貼る'!$W$6:$W$10005,$W2665)+COUNTIFS('月1回_1ヶ月前の在庫'!$V$6:$V$10005,$V2665,'月1回_1ヶ月前の在庫'!$W$6:$W$10005,$W2665)&gt;0),N(U2664),N(U2664)+1))</f>
        <v/>
      </c>
      <c r="V2665" s="19">
        <f>IF($B2665="","",TEXT($B2665,"0000"))</f>
        <v/>
      </c>
      <c r="W2665" s="19">
        <f>IF($I2665="","",IF(ISNUMBER($I2665),TEXT($I2665,"0"),$I2665))</f>
        <v/>
      </c>
    </row>
    <row r="2666">
      <c r="B2666" s="25" t="n"/>
      <c r="I2666" s="25" t="n"/>
      <c r="U2666" s="19">
        <f>IF($V2666&lt;&gt;'設定'!$C$4,N(U2665),IF(OR(NOT(COUNTIF('商品マスタ'!$B$6:$B$1005,$W2666)=0),COUNTIFS('①在庫を貼る'!$V$6:$V$10005,$V2666,'①在庫を貼る'!$W$6:$W$10005,$W2666)+COUNTIFS('月1回_1ヶ月前の在庫'!$V$6:$V$10005,$V2666,'月1回_1ヶ月前の在庫'!$W$6:$W$10005,$W2666)&gt;0),N(U2665),N(U2665)+1))</f>
        <v/>
      </c>
      <c r="V2666" s="19">
        <f>IF($B2666="","",TEXT($B2666,"0000"))</f>
        <v/>
      </c>
      <c r="W2666" s="19">
        <f>IF($I2666="","",IF(ISNUMBER($I2666),TEXT($I2666,"0"),$I2666))</f>
        <v/>
      </c>
    </row>
    <row r="2667">
      <c r="B2667" s="25" t="n"/>
      <c r="I2667" s="25" t="n"/>
      <c r="U2667" s="19">
        <f>IF($V2667&lt;&gt;'設定'!$C$4,N(U2666),IF(OR(NOT(COUNTIF('商品マスタ'!$B$6:$B$1005,$W2667)=0),COUNTIFS('①在庫を貼る'!$V$6:$V$10005,$V2667,'①在庫を貼る'!$W$6:$W$10005,$W2667)+COUNTIFS('月1回_1ヶ月前の在庫'!$V$6:$V$10005,$V2667,'月1回_1ヶ月前の在庫'!$W$6:$W$10005,$W2667)&gt;0),N(U2666),N(U2666)+1))</f>
        <v/>
      </c>
      <c r="V2667" s="19">
        <f>IF($B2667="","",TEXT($B2667,"0000"))</f>
        <v/>
      </c>
      <c r="W2667" s="19">
        <f>IF($I2667="","",IF(ISNUMBER($I2667),TEXT($I2667,"0"),$I2667))</f>
        <v/>
      </c>
    </row>
    <row r="2668">
      <c r="B2668" s="25" t="n"/>
      <c r="I2668" s="25" t="n"/>
      <c r="U2668" s="19">
        <f>IF($V2668&lt;&gt;'設定'!$C$4,N(U2667),IF(OR(NOT(COUNTIF('商品マスタ'!$B$6:$B$1005,$W2668)=0),COUNTIFS('①在庫を貼る'!$V$6:$V$10005,$V2668,'①在庫を貼る'!$W$6:$W$10005,$W2668)+COUNTIFS('月1回_1ヶ月前の在庫'!$V$6:$V$10005,$V2668,'月1回_1ヶ月前の在庫'!$W$6:$W$10005,$W2668)&gt;0),N(U2667),N(U2667)+1))</f>
        <v/>
      </c>
      <c r="V2668" s="19">
        <f>IF($B2668="","",TEXT($B2668,"0000"))</f>
        <v/>
      </c>
      <c r="W2668" s="19">
        <f>IF($I2668="","",IF(ISNUMBER($I2668),TEXT($I2668,"0"),$I2668))</f>
        <v/>
      </c>
    </row>
    <row r="2669">
      <c r="B2669" s="25" t="n"/>
      <c r="I2669" s="25" t="n"/>
      <c r="U2669" s="19">
        <f>IF($V2669&lt;&gt;'設定'!$C$4,N(U2668),IF(OR(NOT(COUNTIF('商品マスタ'!$B$6:$B$1005,$W2669)=0),COUNTIFS('①在庫を貼る'!$V$6:$V$10005,$V2669,'①在庫を貼る'!$W$6:$W$10005,$W2669)+COUNTIFS('月1回_1ヶ月前の在庫'!$V$6:$V$10005,$V2669,'月1回_1ヶ月前の在庫'!$W$6:$W$10005,$W2669)&gt;0),N(U2668),N(U2668)+1))</f>
        <v/>
      </c>
      <c r="V2669" s="19">
        <f>IF($B2669="","",TEXT($B2669,"0000"))</f>
        <v/>
      </c>
      <c r="W2669" s="19">
        <f>IF($I2669="","",IF(ISNUMBER($I2669),TEXT($I2669,"0"),$I2669))</f>
        <v/>
      </c>
    </row>
    <row r="2670">
      <c r="B2670" s="25" t="n"/>
      <c r="I2670" s="25" t="n"/>
      <c r="U2670" s="19">
        <f>IF($V2670&lt;&gt;'設定'!$C$4,N(U2669),IF(OR(NOT(COUNTIF('商品マスタ'!$B$6:$B$1005,$W2670)=0),COUNTIFS('①在庫を貼る'!$V$6:$V$10005,$V2670,'①在庫を貼る'!$W$6:$W$10005,$W2670)+COUNTIFS('月1回_1ヶ月前の在庫'!$V$6:$V$10005,$V2670,'月1回_1ヶ月前の在庫'!$W$6:$W$10005,$W2670)&gt;0),N(U2669),N(U2669)+1))</f>
        <v/>
      </c>
      <c r="V2670" s="19">
        <f>IF($B2670="","",TEXT($B2670,"0000"))</f>
        <v/>
      </c>
      <c r="W2670" s="19">
        <f>IF($I2670="","",IF(ISNUMBER($I2670),TEXT($I2670,"0"),$I2670))</f>
        <v/>
      </c>
    </row>
    <row r="2671">
      <c r="B2671" s="25" t="n"/>
      <c r="I2671" s="25" t="n"/>
      <c r="U2671" s="19">
        <f>IF($V2671&lt;&gt;'設定'!$C$4,N(U2670),IF(OR(NOT(COUNTIF('商品マスタ'!$B$6:$B$1005,$W2671)=0),COUNTIFS('①在庫を貼る'!$V$6:$V$10005,$V2671,'①在庫を貼る'!$W$6:$W$10005,$W2671)+COUNTIFS('月1回_1ヶ月前の在庫'!$V$6:$V$10005,$V2671,'月1回_1ヶ月前の在庫'!$W$6:$W$10005,$W2671)&gt;0),N(U2670),N(U2670)+1))</f>
        <v/>
      </c>
      <c r="V2671" s="19">
        <f>IF($B2671="","",TEXT($B2671,"0000"))</f>
        <v/>
      </c>
      <c r="W2671" s="19">
        <f>IF($I2671="","",IF(ISNUMBER($I2671),TEXT($I2671,"0"),$I2671))</f>
        <v/>
      </c>
    </row>
    <row r="2672">
      <c r="B2672" s="25" t="n"/>
      <c r="I2672" s="25" t="n"/>
      <c r="U2672" s="19">
        <f>IF($V2672&lt;&gt;'設定'!$C$4,N(U2671),IF(OR(NOT(COUNTIF('商品マスタ'!$B$6:$B$1005,$W2672)=0),COUNTIFS('①在庫を貼る'!$V$6:$V$10005,$V2672,'①在庫を貼る'!$W$6:$W$10005,$W2672)+COUNTIFS('月1回_1ヶ月前の在庫'!$V$6:$V$10005,$V2672,'月1回_1ヶ月前の在庫'!$W$6:$W$10005,$W2672)&gt;0),N(U2671),N(U2671)+1))</f>
        <v/>
      </c>
      <c r="V2672" s="19">
        <f>IF($B2672="","",TEXT($B2672,"0000"))</f>
        <v/>
      </c>
      <c r="W2672" s="19">
        <f>IF($I2672="","",IF(ISNUMBER($I2672),TEXT($I2672,"0"),$I2672))</f>
        <v/>
      </c>
    </row>
    <row r="2673">
      <c r="B2673" s="25" t="n"/>
      <c r="I2673" s="25" t="n"/>
      <c r="U2673" s="19">
        <f>IF($V2673&lt;&gt;'設定'!$C$4,N(U2672),IF(OR(NOT(COUNTIF('商品マスタ'!$B$6:$B$1005,$W2673)=0),COUNTIFS('①在庫を貼る'!$V$6:$V$10005,$V2673,'①在庫を貼る'!$W$6:$W$10005,$W2673)+COUNTIFS('月1回_1ヶ月前の在庫'!$V$6:$V$10005,$V2673,'月1回_1ヶ月前の在庫'!$W$6:$W$10005,$W2673)&gt;0),N(U2672),N(U2672)+1))</f>
        <v/>
      </c>
      <c r="V2673" s="19">
        <f>IF($B2673="","",TEXT($B2673,"0000"))</f>
        <v/>
      </c>
      <c r="W2673" s="19">
        <f>IF($I2673="","",IF(ISNUMBER($I2673),TEXT($I2673,"0"),$I2673))</f>
        <v/>
      </c>
    </row>
    <row r="2674">
      <c r="B2674" s="25" t="n"/>
      <c r="I2674" s="25" t="n"/>
      <c r="U2674" s="19">
        <f>IF($V2674&lt;&gt;'設定'!$C$4,N(U2673),IF(OR(NOT(COUNTIF('商品マスタ'!$B$6:$B$1005,$W2674)=0),COUNTIFS('①在庫を貼る'!$V$6:$V$10005,$V2674,'①在庫を貼る'!$W$6:$W$10005,$W2674)+COUNTIFS('月1回_1ヶ月前の在庫'!$V$6:$V$10005,$V2674,'月1回_1ヶ月前の在庫'!$W$6:$W$10005,$W2674)&gt;0),N(U2673),N(U2673)+1))</f>
        <v/>
      </c>
      <c r="V2674" s="19">
        <f>IF($B2674="","",TEXT($B2674,"0000"))</f>
        <v/>
      </c>
      <c r="W2674" s="19">
        <f>IF($I2674="","",IF(ISNUMBER($I2674),TEXT($I2674,"0"),$I2674))</f>
        <v/>
      </c>
    </row>
    <row r="2675">
      <c r="B2675" s="25" t="n"/>
      <c r="I2675" s="25" t="n"/>
      <c r="U2675" s="19">
        <f>IF($V2675&lt;&gt;'設定'!$C$4,N(U2674),IF(OR(NOT(COUNTIF('商品マスタ'!$B$6:$B$1005,$W2675)=0),COUNTIFS('①在庫を貼る'!$V$6:$V$10005,$V2675,'①在庫を貼る'!$W$6:$W$10005,$W2675)+COUNTIFS('月1回_1ヶ月前の在庫'!$V$6:$V$10005,$V2675,'月1回_1ヶ月前の在庫'!$W$6:$W$10005,$W2675)&gt;0),N(U2674),N(U2674)+1))</f>
        <v/>
      </c>
      <c r="V2675" s="19">
        <f>IF($B2675="","",TEXT($B2675,"0000"))</f>
        <v/>
      </c>
      <c r="W2675" s="19">
        <f>IF($I2675="","",IF(ISNUMBER($I2675),TEXT($I2675,"0"),$I2675))</f>
        <v/>
      </c>
    </row>
    <row r="2676">
      <c r="B2676" s="25" t="n"/>
      <c r="I2676" s="25" t="n"/>
      <c r="U2676" s="19">
        <f>IF($V2676&lt;&gt;'設定'!$C$4,N(U2675),IF(OR(NOT(COUNTIF('商品マスタ'!$B$6:$B$1005,$W2676)=0),COUNTIFS('①在庫を貼る'!$V$6:$V$10005,$V2676,'①在庫を貼る'!$W$6:$W$10005,$W2676)+COUNTIFS('月1回_1ヶ月前の在庫'!$V$6:$V$10005,$V2676,'月1回_1ヶ月前の在庫'!$W$6:$W$10005,$W2676)&gt;0),N(U2675),N(U2675)+1))</f>
        <v/>
      </c>
      <c r="V2676" s="19">
        <f>IF($B2676="","",TEXT($B2676,"0000"))</f>
        <v/>
      </c>
      <c r="W2676" s="19">
        <f>IF($I2676="","",IF(ISNUMBER($I2676),TEXT($I2676,"0"),$I2676))</f>
        <v/>
      </c>
    </row>
    <row r="2677">
      <c r="B2677" s="25" t="n"/>
      <c r="I2677" s="25" t="n"/>
      <c r="U2677" s="19">
        <f>IF($V2677&lt;&gt;'設定'!$C$4,N(U2676),IF(OR(NOT(COUNTIF('商品マスタ'!$B$6:$B$1005,$W2677)=0),COUNTIFS('①在庫を貼る'!$V$6:$V$10005,$V2677,'①在庫を貼る'!$W$6:$W$10005,$W2677)+COUNTIFS('月1回_1ヶ月前の在庫'!$V$6:$V$10005,$V2677,'月1回_1ヶ月前の在庫'!$W$6:$W$10005,$W2677)&gt;0),N(U2676),N(U2676)+1))</f>
        <v/>
      </c>
      <c r="V2677" s="19">
        <f>IF($B2677="","",TEXT($B2677,"0000"))</f>
        <v/>
      </c>
      <c r="W2677" s="19">
        <f>IF($I2677="","",IF(ISNUMBER($I2677),TEXT($I2677,"0"),$I2677))</f>
        <v/>
      </c>
    </row>
    <row r="2678">
      <c r="B2678" s="25" t="n"/>
      <c r="I2678" s="25" t="n"/>
      <c r="U2678" s="19">
        <f>IF($V2678&lt;&gt;'設定'!$C$4,N(U2677),IF(OR(NOT(COUNTIF('商品マスタ'!$B$6:$B$1005,$W2678)=0),COUNTIFS('①在庫を貼る'!$V$6:$V$10005,$V2678,'①在庫を貼る'!$W$6:$W$10005,$W2678)+COUNTIFS('月1回_1ヶ月前の在庫'!$V$6:$V$10005,$V2678,'月1回_1ヶ月前の在庫'!$W$6:$W$10005,$W2678)&gt;0),N(U2677),N(U2677)+1))</f>
        <v/>
      </c>
      <c r="V2678" s="19">
        <f>IF($B2678="","",TEXT($B2678,"0000"))</f>
        <v/>
      </c>
      <c r="W2678" s="19">
        <f>IF($I2678="","",IF(ISNUMBER($I2678),TEXT($I2678,"0"),$I2678))</f>
        <v/>
      </c>
    </row>
    <row r="2679">
      <c r="B2679" s="25" t="n"/>
      <c r="I2679" s="25" t="n"/>
      <c r="U2679" s="19">
        <f>IF($V2679&lt;&gt;'設定'!$C$4,N(U2678),IF(OR(NOT(COUNTIF('商品マスタ'!$B$6:$B$1005,$W2679)=0),COUNTIFS('①在庫を貼る'!$V$6:$V$10005,$V2679,'①在庫を貼る'!$W$6:$W$10005,$W2679)+COUNTIFS('月1回_1ヶ月前の在庫'!$V$6:$V$10005,$V2679,'月1回_1ヶ月前の在庫'!$W$6:$W$10005,$W2679)&gt;0),N(U2678),N(U2678)+1))</f>
        <v/>
      </c>
      <c r="V2679" s="19">
        <f>IF($B2679="","",TEXT($B2679,"0000"))</f>
        <v/>
      </c>
      <c r="W2679" s="19">
        <f>IF($I2679="","",IF(ISNUMBER($I2679),TEXT($I2679,"0"),$I2679))</f>
        <v/>
      </c>
    </row>
    <row r="2680">
      <c r="B2680" s="25" t="n"/>
      <c r="I2680" s="25" t="n"/>
      <c r="U2680" s="19">
        <f>IF($V2680&lt;&gt;'設定'!$C$4,N(U2679),IF(OR(NOT(COUNTIF('商品マスタ'!$B$6:$B$1005,$W2680)=0),COUNTIFS('①在庫を貼る'!$V$6:$V$10005,$V2680,'①在庫を貼る'!$W$6:$W$10005,$W2680)+COUNTIFS('月1回_1ヶ月前の在庫'!$V$6:$V$10005,$V2680,'月1回_1ヶ月前の在庫'!$W$6:$W$10005,$W2680)&gt;0),N(U2679),N(U2679)+1))</f>
        <v/>
      </c>
      <c r="V2680" s="19">
        <f>IF($B2680="","",TEXT($B2680,"0000"))</f>
        <v/>
      </c>
      <c r="W2680" s="19">
        <f>IF($I2680="","",IF(ISNUMBER($I2680),TEXT($I2680,"0"),$I2680))</f>
        <v/>
      </c>
    </row>
    <row r="2681">
      <c r="B2681" s="25" t="n"/>
      <c r="I2681" s="25" t="n"/>
      <c r="U2681" s="19">
        <f>IF($V2681&lt;&gt;'設定'!$C$4,N(U2680),IF(OR(NOT(COUNTIF('商品マスタ'!$B$6:$B$1005,$W2681)=0),COUNTIFS('①在庫を貼る'!$V$6:$V$10005,$V2681,'①在庫を貼る'!$W$6:$W$10005,$W2681)+COUNTIFS('月1回_1ヶ月前の在庫'!$V$6:$V$10005,$V2681,'月1回_1ヶ月前の在庫'!$W$6:$W$10005,$W2681)&gt;0),N(U2680),N(U2680)+1))</f>
        <v/>
      </c>
      <c r="V2681" s="19">
        <f>IF($B2681="","",TEXT($B2681,"0000"))</f>
        <v/>
      </c>
      <c r="W2681" s="19">
        <f>IF($I2681="","",IF(ISNUMBER($I2681),TEXT($I2681,"0"),$I2681))</f>
        <v/>
      </c>
    </row>
    <row r="2682">
      <c r="B2682" s="25" t="n"/>
      <c r="I2682" s="25" t="n"/>
      <c r="U2682" s="19">
        <f>IF($V2682&lt;&gt;'設定'!$C$4,N(U2681),IF(OR(NOT(COUNTIF('商品マスタ'!$B$6:$B$1005,$W2682)=0),COUNTIFS('①在庫を貼る'!$V$6:$V$10005,$V2682,'①在庫を貼る'!$W$6:$W$10005,$W2682)+COUNTIFS('月1回_1ヶ月前の在庫'!$V$6:$V$10005,$V2682,'月1回_1ヶ月前の在庫'!$W$6:$W$10005,$W2682)&gt;0),N(U2681),N(U2681)+1))</f>
        <v/>
      </c>
      <c r="V2682" s="19">
        <f>IF($B2682="","",TEXT($B2682,"0000"))</f>
        <v/>
      </c>
      <c r="W2682" s="19">
        <f>IF($I2682="","",IF(ISNUMBER($I2682),TEXT($I2682,"0"),$I2682))</f>
        <v/>
      </c>
    </row>
    <row r="2683">
      <c r="B2683" s="25" t="n"/>
      <c r="I2683" s="25" t="n"/>
      <c r="U2683" s="19">
        <f>IF($V2683&lt;&gt;'設定'!$C$4,N(U2682),IF(OR(NOT(COUNTIF('商品マスタ'!$B$6:$B$1005,$W2683)=0),COUNTIFS('①在庫を貼る'!$V$6:$V$10005,$V2683,'①在庫を貼る'!$W$6:$W$10005,$W2683)+COUNTIFS('月1回_1ヶ月前の在庫'!$V$6:$V$10005,$V2683,'月1回_1ヶ月前の在庫'!$W$6:$W$10005,$W2683)&gt;0),N(U2682),N(U2682)+1))</f>
        <v/>
      </c>
      <c r="V2683" s="19">
        <f>IF($B2683="","",TEXT($B2683,"0000"))</f>
        <v/>
      </c>
      <c r="W2683" s="19">
        <f>IF($I2683="","",IF(ISNUMBER($I2683),TEXT($I2683,"0"),$I2683))</f>
        <v/>
      </c>
    </row>
    <row r="2684">
      <c r="B2684" s="25" t="n"/>
      <c r="I2684" s="25" t="n"/>
      <c r="U2684" s="19">
        <f>IF($V2684&lt;&gt;'設定'!$C$4,N(U2683),IF(OR(NOT(COUNTIF('商品マスタ'!$B$6:$B$1005,$W2684)=0),COUNTIFS('①在庫を貼る'!$V$6:$V$10005,$V2684,'①在庫を貼る'!$W$6:$W$10005,$W2684)+COUNTIFS('月1回_1ヶ月前の在庫'!$V$6:$V$10005,$V2684,'月1回_1ヶ月前の在庫'!$W$6:$W$10005,$W2684)&gt;0),N(U2683),N(U2683)+1))</f>
        <v/>
      </c>
      <c r="V2684" s="19">
        <f>IF($B2684="","",TEXT($B2684,"0000"))</f>
        <v/>
      </c>
      <c r="W2684" s="19">
        <f>IF($I2684="","",IF(ISNUMBER($I2684),TEXT($I2684,"0"),$I2684))</f>
        <v/>
      </c>
    </row>
    <row r="2685">
      <c r="B2685" s="25" t="n"/>
      <c r="I2685" s="25" t="n"/>
      <c r="U2685" s="19">
        <f>IF($V2685&lt;&gt;'設定'!$C$4,N(U2684),IF(OR(NOT(COUNTIF('商品マスタ'!$B$6:$B$1005,$W2685)=0),COUNTIFS('①在庫を貼る'!$V$6:$V$10005,$V2685,'①在庫を貼る'!$W$6:$W$10005,$W2685)+COUNTIFS('月1回_1ヶ月前の在庫'!$V$6:$V$10005,$V2685,'月1回_1ヶ月前の在庫'!$W$6:$W$10005,$W2685)&gt;0),N(U2684),N(U2684)+1))</f>
        <v/>
      </c>
      <c r="V2685" s="19">
        <f>IF($B2685="","",TEXT($B2685,"0000"))</f>
        <v/>
      </c>
      <c r="W2685" s="19">
        <f>IF($I2685="","",IF(ISNUMBER($I2685),TEXT($I2685,"0"),$I2685))</f>
        <v/>
      </c>
    </row>
    <row r="2686">
      <c r="B2686" s="25" t="n"/>
      <c r="I2686" s="25" t="n"/>
      <c r="U2686" s="19">
        <f>IF($V2686&lt;&gt;'設定'!$C$4,N(U2685),IF(OR(NOT(COUNTIF('商品マスタ'!$B$6:$B$1005,$W2686)=0),COUNTIFS('①在庫を貼る'!$V$6:$V$10005,$V2686,'①在庫を貼る'!$W$6:$W$10005,$W2686)+COUNTIFS('月1回_1ヶ月前の在庫'!$V$6:$V$10005,$V2686,'月1回_1ヶ月前の在庫'!$W$6:$W$10005,$W2686)&gt;0),N(U2685),N(U2685)+1))</f>
        <v/>
      </c>
      <c r="V2686" s="19">
        <f>IF($B2686="","",TEXT($B2686,"0000"))</f>
        <v/>
      </c>
      <c r="W2686" s="19">
        <f>IF($I2686="","",IF(ISNUMBER($I2686),TEXT($I2686,"0"),$I2686))</f>
        <v/>
      </c>
    </row>
    <row r="2687">
      <c r="B2687" s="25" t="n"/>
      <c r="I2687" s="25" t="n"/>
      <c r="U2687" s="19">
        <f>IF($V2687&lt;&gt;'設定'!$C$4,N(U2686),IF(OR(NOT(COUNTIF('商品マスタ'!$B$6:$B$1005,$W2687)=0),COUNTIFS('①在庫を貼る'!$V$6:$V$10005,$V2687,'①在庫を貼る'!$W$6:$W$10005,$W2687)+COUNTIFS('月1回_1ヶ月前の在庫'!$V$6:$V$10005,$V2687,'月1回_1ヶ月前の在庫'!$W$6:$W$10005,$W2687)&gt;0),N(U2686),N(U2686)+1))</f>
        <v/>
      </c>
      <c r="V2687" s="19">
        <f>IF($B2687="","",TEXT($B2687,"0000"))</f>
        <v/>
      </c>
      <c r="W2687" s="19">
        <f>IF($I2687="","",IF(ISNUMBER($I2687),TEXT($I2687,"0"),$I2687))</f>
        <v/>
      </c>
    </row>
    <row r="2688">
      <c r="B2688" s="25" t="n"/>
      <c r="I2688" s="25" t="n"/>
      <c r="U2688" s="19">
        <f>IF($V2688&lt;&gt;'設定'!$C$4,N(U2687),IF(OR(NOT(COUNTIF('商品マスタ'!$B$6:$B$1005,$W2688)=0),COUNTIFS('①在庫を貼る'!$V$6:$V$10005,$V2688,'①在庫を貼る'!$W$6:$W$10005,$W2688)+COUNTIFS('月1回_1ヶ月前の在庫'!$V$6:$V$10005,$V2688,'月1回_1ヶ月前の在庫'!$W$6:$W$10005,$W2688)&gt;0),N(U2687),N(U2687)+1))</f>
        <v/>
      </c>
      <c r="V2688" s="19">
        <f>IF($B2688="","",TEXT($B2688,"0000"))</f>
        <v/>
      </c>
      <c r="W2688" s="19">
        <f>IF($I2688="","",IF(ISNUMBER($I2688),TEXT($I2688,"0"),$I2688))</f>
        <v/>
      </c>
    </row>
    <row r="2689">
      <c r="B2689" s="25" t="n"/>
      <c r="I2689" s="25" t="n"/>
      <c r="U2689" s="19">
        <f>IF($V2689&lt;&gt;'設定'!$C$4,N(U2688),IF(OR(NOT(COUNTIF('商品マスタ'!$B$6:$B$1005,$W2689)=0),COUNTIFS('①在庫を貼る'!$V$6:$V$10005,$V2689,'①在庫を貼る'!$W$6:$W$10005,$W2689)+COUNTIFS('月1回_1ヶ月前の在庫'!$V$6:$V$10005,$V2689,'月1回_1ヶ月前の在庫'!$W$6:$W$10005,$W2689)&gt;0),N(U2688),N(U2688)+1))</f>
        <v/>
      </c>
      <c r="V2689" s="19">
        <f>IF($B2689="","",TEXT($B2689,"0000"))</f>
        <v/>
      </c>
      <c r="W2689" s="19">
        <f>IF($I2689="","",IF(ISNUMBER($I2689),TEXT($I2689,"0"),$I2689))</f>
        <v/>
      </c>
    </row>
    <row r="2690">
      <c r="B2690" s="25" t="n"/>
      <c r="I2690" s="25" t="n"/>
      <c r="U2690" s="19">
        <f>IF($V2690&lt;&gt;'設定'!$C$4,N(U2689),IF(OR(NOT(COUNTIF('商品マスタ'!$B$6:$B$1005,$W2690)=0),COUNTIFS('①在庫を貼る'!$V$6:$V$10005,$V2690,'①在庫を貼る'!$W$6:$W$10005,$W2690)+COUNTIFS('月1回_1ヶ月前の在庫'!$V$6:$V$10005,$V2690,'月1回_1ヶ月前の在庫'!$W$6:$W$10005,$W2690)&gt;0),N(U2689),N(U2689)+1))</f>
        <v/>
      </c>
      <c r="V2690" s="19">
        <f>IF($B2690="","",TEXT($B2690,"0000"))</f>
        <v/>
      </c>
      <c r="W2690" s="19">
        <f>IF($I2690="","",IF(ISNUMBER($I2690),TEXT($I2690,"0"),$I2690))</f>
        <v/>
      </c>
    </row>
    <row r="2691">
      <c r="B2691" s="25" t="n"/>
      <c r="I2691" s="25" t="n"/>
      <c r="U2691" s="19">
        <f>IF($V2691&lt;&gt;'設定'!$C$4,N(U2690),IF(OR(NOT(COUNTIF('商品マスタ'!$B$6:$B$1005,$W2691)=0),COUNTIFS('①在庫を貼る'!$V$6:$V$10005,$V2691,'①在庫を貼る'!$W$6:$W$10005,$W2691)+COUNTIFS('月1回_1ヶ月前の在庫'!$V$6:$V$10005,$V2691,'月1回_1ヶ月前の在庫'!$W$6:$W$10005,$W2691)&gt;0),N(U2690),N(U2690)+1))</f>
        <v/>
      </c>
      <c r="V2691" s="19">
        <f>IF($B2691="","",TEXT($B2691,"0000"))</f>
        <v/>
      </c>
      <c r="W2691" s="19">
        <f>IF($I2691="","",IF(ISNUMBER($I2691),TEXT($I2691,"0"),$I2691))</f>
        <v/>
      </c>
    </row>
    <row r="2692">
      <c r="B2692" s="25" t="n"/>
      <c r="I2692" s="25" t="n"/>
      <c r="U2692" s="19">
        <f>IF($V2692&lt;&gt;'設定'!$C$4,N(U2691),IF(OR(NOT(COUNTIF('商品マスタ'!$B$6:$B$1005,$W2692)=0),COUNTIFS('①在庫を貼る'!$V$6:$V$10005,$V2692,'①在庫を貼る'!$W$6:$W$10005,$W2692)+COUNTIFS('月1回_1ヶ月前の在庫'!$V$6:$V$10005,$V2692,'月1回_1ヶ月前の在庫'!$W$6:$W$10005,$W2692)&gt;0),N(U2691),N(U2691)+1))</f>
        <v/>
      </c>
      <c r="V2692" s="19">
        <f>IF($B2692="","",TEXT($B2692,"0000"))</f>
        <v/>
      </c>
      <c r="W2692" s="19">
        <f>IF($I2692="","",IF(ISNUMBER($I2692),TEXT($I2692,"0"),$I2692))</f>
        <v/>
      </c>
    </row>
    <row r="2693">
      <c r="B2693" s="25" t="n"/>
      <c r="I2693" s="25" t="n"/>
      <c r="U2693" s="19">
        <f>IF($V2693&lt;&gt;'設定'!$C$4,N(U2692),IF(OR(NOT(COUNTIF('商品マスタ'!$B$6:$B$1005,$W2693)=0),COUNTIFS('①在庫を貼る'!$V$6:$V$10005,$V2693,'①在庫を貼る'!$W$6:$W$10005,$W2693)+COUNTIFS('月1回_1ヶ月前の在庫'!$V$6:$V$10005,$V2693,'月1回_1ヶ月前の在庫'!$W$6:$W$10005,$W2693)&gt;0),N(U2692),N(U2692)+1))</f>
        <v/>
      </c>
      <c r="V2693" s="19">
        <f>IF($B2693="","",TEXT($B2693,"0000"))</f>
        <v/>
      </c>
      <c r="W2693" s="19">
        <f>IF($I2693="","",IF(ISNUMBER($I2693),TEXT($I2693,"0"),$I2693))</f>
        <v/>
      </c>
    </row>
    <row r="2694">
      <c r="B2694" s="25" t="n"/>
      <c r="I2694" s="25" t="n"/>
      <c r="U2694" s="19">
        <f>IF($V2694&lt;&gt;'設定'!$C$4,N(U2693),IF(OR(NOT(COUNTIF('商品マスタ'!$B$6:$B$1005,$W2694)=0),COUNTIFS('①在庫を貼る'!$V$6:$V$10005,$V2694,'①在庫を貼る'!$W$6:$W$10005,$W2694)+COUNTIFS('月1回_1ヶ月前の在庫'!$V$6:$V$10005,$V2694,'月1回_1ヶ月前の在庫'!$W$6:$W$10005,$W2694)&gt;0),N(U2693),N(U2693)+1))</f>
        <v/>
      </c>
      <c r="V2694" s="19">
        <f>IF($B2694="","",TEXT($B2694,"0000"))</f>
        <v/>
      </c>
      <c r="W2694" s="19">
        <f>IF($I2694="","",IF(ISNUMBER($I2694),TEXT($I2694,"0"),$I2694))</f>
        <v/>
      </c>
    </row>
    <row r="2695">
      <c r="B2695" s="25" t="n"/>
      <c r="I2695" s="25" t="n"/>
      <c r="U2695" s="19">
        <f>IF($V2695&lt;&gt;'設定'!$C$4,N(U2694),IF(OR(NOT(COUNTIF('商品マスタ'!$B$6:$B$1005,$W2695)=0),COUNTIFS('①在庫を貼る'!$V$6:$V$10005,$V2695,'①在庫を貼る'!$W$6:$W$10005,$W2695)+COUNTIFS('月1回_1ヶ月前の在庫'!$V$6:$V$10005,$V2695,'月1回_1ヶ月前の在庫'!$W$6:$W$10005,$W2695)&gt;0),N(U2694),N(U2694)+1))</f>
        <v/>
      </c>
      <c r="V2695" s="19">
        <f>IF($B2695="","",TEXT($B2695,"0000"))</f>
        <v/>
      </c>
      <c r="W2695" s="19">
        <f>IF($I2695="","",IF(ISNUMBER($I2695),TEXT($I2695,"0"),$I2695))</f>
        <v/>
      </c>
    </row>
    <row r="2696">
      <c r="B2696" s="25" t="n"/>
      <c r="I2696" s="25" t="n"/>
      <c r="U2696" s="19">
        <f>IF($V2696&lt;&gt;'設定'!$C$4,N(U2695),IF(OR(NOT(COUNTIF('商品マスタ'!$B$6:$B$1005,$W2696)=0),COUNTIFS('①在庫を貼る'!$V$6:$V$10005,$V2696,'①在庫を貼る'!$W$6:$W$10005,$W2696)+COUNTIFS('月1回_1ヶ月前の在庫'!$V$6:$V$10005,$V2696,'月1回_1ヶ月前の在庫'!$W$6:$W$10005,$W2696)&gt;0),N(U2695),N(U2695)+1))</f>
        <v/>
      </c>
      <c r="V2696" s="19">
        <f>IF($B2696="","",TEXT($B2696,"0000"))</f>
        <v/>
      </c>
      <c r="W2696" s="19">
        <f>IF($I2696="","",IF(ISNUMBER($I2696),TEXT($I2696,"0"),$I2696))</f>
        <v/>
      </c>
    </row>
    <row r="2697">
      <c r="B2697" s="25" t="n"/>
      <c r="I2697" s="25" t="n"/>
      <c r="U2697" s="19">
        <f>IF($V2697&lt;&gt;'設定'!$C$4,N(U2696),IF(OR(NOT(COUNTIF('商品マスタ'!$B$6:$B$1005,$W2697)=0),COUNTIFS('①在庫を貼る'!$V$6:$V$10005,$V2697,'①在庫を貼る'!$W$6:$W$10005,$W2697)+COUNTIFS('月1回_1ヶ月前の在庫'!$V$6:$V$10005,$V2697,'月1回_1ヶ月前の在庫'!$W$6:$W$10005,$W2697)&gt;0),N(U2696),N(U2696)+1))</f>
        <v/>
      </c>
      <c r="V2697" s="19">
        <f>IF($B2697="","",TEXT($B2697,"0000"))</f>
        <v/>
      </c>
      <c r="W2697" s="19">
        <f>IF($I2697="","",IF(ISNUMBER($I2697),TEXT($I2697,"0"),$I2697))</f>
        <v/>
      </c>
    </row>
    <row r="2698">
      <c r="B2698" s="25" t="n"/>
      <c r="I2698" s="25" t="n"/>
      <c r="U2698" s="19">
        <f>IF($V2698&lt;&gt;'設定'!$C$4,N(U2697),IF(OR(NOT(COUNTIF('商品マスタ'!$B$6:$B$1005,$W2698)=0),COUNTIFS('①在庫を貼る'!$V$6:$V$10005,$V2698,'①在庫を貼る'!$W$6:$W$10005,$W2698)+COUNTIFS('月1回_1ヶ月前の在庫'!$V$6:$V$10005,$V2698,'月1回_1ヶ月前の在庫'!$W$6:$W$10005,$W2698)&gt;0),N(U2697),N(U2697)+1))</f>
        <v/>
      </c>
      <c r="V2698" s="19">
        <f>IF($B2698="","",TEXT($B2698,"0000"))</f>
        <v/>
      </c>
      <c r="W2698" s="19">
        <f>IF($I2698="","",IF(ISNUMBER($I2698),TEXT($I2698,"0"),$I2698))</f>
        <v/>
      </c>
    </row>
    <row r="2699">
      <c r="B2699" s="25" t="n"/>
      <c r="I2699" s="25" t="n"/>
      <c r="U2699" s="19">
        <f>IF($V2699&lt;&gt;'設定'!$C$4,N(U2698),IF(OR(NOT(COUNTIF('商品マスタ'!$B$6:$B$1005,$W2699)=0),COUNTIFS('①在庫を貼る'!$V$6:$V$10005,$V2699,'①在庫を貼る'!$W$6:$W$10005,$W2699)+COUNTIFS('月1回_1ヶ月前の在庫'!$V$6:$V$10005,$V2699,'月1回_1ヶ月前の在庫'!$W$6:$W$10005,$W2699)&gt;0),N(U2698),N(U2698)+1))</f>
        <v/>
      </c>
      <c r="V2699" s="19">
        <f>IF($B2699="","",TEXT($B2699,"0000"))</f>
        <v/>
      </c>
      <c r="W2699" s="19">
        <f>IF($I2699="","",IF(ISNUMBER($I2699),TEXT($I2699,"0"),$I2699))</f>
        <v/>
      </c>
    </row>
    <row r="2700">
      <c r="B2700" s="25" t="n"/>
      <c r="I2700" s="25" t="n"/>
      <c r="U2700" s="19">
        <f>IF($V2700&lt;&gt;'設定'!$C$4,N(U2699),IF(OR(NOT(COUNTIF('商品マスタ'!$B$6:$B$1005,$W2700)=0),COUNTIFS('①在庫を貼る'!$V$6:$V$10005,$V2700,'①在庫を貼る'!$W$6:$W$10005,$W2700)+COUNTIFS('月1回_1ヶ月前の在庫'!$V$6:$V$10005,$V2700,'月1回_1ヶ月前の在庫'!$W$6:$W$10005,$W2700)&gt;0),N(U2699),N(U2699)+1))</f>
        <v/>
      </c>
      <c r="V2700" s="19">
        <f>IF($B2700="","",TEXT($B2700,"0000"))</f>
        <v/>
      </c>
      <c r="W2700" s="19">
        <f>IF($I2700="","",IF(ISNUMBER($I2700),TEXT($I2700,"0"),$I2700))</f>
        <v/>
      </c>
    </row>
    <row r="2701">
      <c r="B2701" s="25" t="n"/>
      <c r="I2701" s="25" t="n"/>
      <c r="U2701" s="19">
        <f>IF($V2701&lt;&gt;'設定'!$C$4,N(U2700),IF(OR(NOT(COUNTIF('商品マスタ'!$B$6:$B$1005,$W2701)=0),COUNTIFS('①在庫を貼る'!$V$6:$V$10005,$V2701,'①在庫を貼る'!$W$6:$W$10005,$W2701)+COUNTIFS('月1回_1ヶ月前の在庫'!$V$6:$V$10005,$V2701,'月1回_1ヶ月前の在庫'!$W$6:$W$10005,$W2701)&gt;0),N(U2700),N(U2700)+1))</f>
        <v/>
      </c>
      <c r="V2701" s="19">
        <f>IF($B2701="","",TEXT($B2701,"0000"))</f>
        <v/>
      </c>
      <c r="W2701" s="19">
        <f>IF($I2701="","",IF(ISNUMBER($I2701),TEXT($I2701,"0"),$I2701))</f>
        <v/>
      </c>
    </row>
    <row r="2702">
      <c r="B2702" s="25" t="n"/>
      <c r="I2702" s="25" t="n"/>
      <c r="U2702" s="19">
        <f>IF($V2702&lt;&gt;'設定'!$C$4,N(U2701),IF(OR(NOT(COUNTIF('商品マスタ'!$B$6:$B$1005,$W2702)=0),COUNTIFS('①在庫を貼る'!$V$6:$V$10005,$V2702,'①在庫を貼る'!$W$6:$W$10005,$W2702)+COUNTIFS('月1回_1ヶ月前の在庫'!$V$6:$V$10005,$V2702,'月1回_1ヶ月前の在庫'!$W$6:$W$10005,$W2702)&gt;0),N(U2701),N(U2701)+1))</f>
        <v/>
      </c>
      <c r="V2702" s="19">
        <f>IF($B2702="","",TEXT($B2702,"0000"))</f>
        <v/>
      </c>
      <c r="W2702" s="19">
        <f>IF($I2702="","",IF(ISNUMBER($I2702),TEXT($I2702,"0"),$I2702))</f>
        <v/>
      </c>
    </row>
    <row r="2703">
      <c r="B2703" s="25" t="n"/>
      <c r="I2703" s="25" t="n"/>
      <c r="U2703" s="19">
        <f>IF($V2703&lt;&gt;'設定'!$C$4,N(U2702),IF(OR(NOT(COUNTIF('商品マスタ'!$B$6:$B$1005,$W2703)=0),COUNTIFS('①在庫を貼る'!$V$6:$V$10005,$V2703,'①在庫を貼る'!$W$6:$W$10005,$W2703)+COUNTIFS('月1回_1ヶ月前の在庫'!$V$6:$V$10005,$V2703,'月1回_1ヶ月前の在庫'!$W$6:$W$10005,$W2703)&gt;0),N(U2702),N(U2702)+1))</f>
        <v/>
      </c>
      <c r="V2703" s="19">
        <f>IF($B2703="","",TEXT($B2703,"0000"))</f>
        <v/>
      </c>
      <c r="W2703" s="19">
        <f>IF($I2703="","",IF(ISNUMBER($I2703),TEXT($I2703,"0"),$I2703))</f>
        <v/>
      </c>
    </row>
    <row r="2704">
      <c r="B2704" s="25" t="n"/>
      <c r="I2704" s="25" t="n"/>
      <c r="U2704" s="19">
        <f>IF($V2704&lt;&gt;'設定'!$C$4,N(U2703),IF(OR(NOT(COUNTIF('商品マスタ'!$B$6:$B$1005,$W2704)=0),COUNTIFS('①在庫を貼る'!$V$6:$V$10005,$V2704,'①在庫を貼る'!$W$6:$W$10005,$W2704)+COUNTIFS('月1回_1ヶ月前の在庫'!$V$6:$V$10005,$V2704,'月1回_1ヶ月前の在庫'!$W$6:$W$10005,$W2704)&gt;0),N(U2703),N(U2703)+1))</f>
        <v/>
      </c>
      <c r="V2704" s="19">
        <f>IF($B2704="","",TEXT($B2704,"0000"))</f>
        <v/>
      </c>
      <c r="W2704" s="19">
        <f>IF($I2704="","",IF(ISNUMBER($I2704),TEXT($I2704,"0"),$I2704))</f>
        <v/>
      </c>
    </row>
    <row r="2705">
      <c r="B2705" s="25" t="n"/>
      <c r="I2705" s="25" t="n"/>
      <c r="U2705" s="19">
        <f>IF($V2705&lt;&gt;'設定'!$C$4,N(U2704),IF(OR(NOT(COUNTIF('商品マスタ'!$B$6:$B$1005,$W2705)=0),COUNTIFS('①在庫を貼る'!$V$6:$V$10005,$V2705,'①在庫を貼る'!$W$6:$W$10005,$W2705)+COUNTIFS('月1回_1ヶ月前の在庫'!$V$6:$V$10005,$V2705,'月1回_1ヶ月前の在庫'!$W$6:$W$10005,$W2705)&gt;0),N(U2704),N(U2704)+1))</f>
        <v/>
      </c>
      <c r="V2705" s="19">
        <f>IF($B2705="","",TEXT($B2705,"0000"))</f>
        <v/>
      </c>
      <c r="W2705" s="19">
        <f>IF($I2705="","",IF(ISNUMBER($I2705),TEXT($I2705,"0"),$I2705))</f>
        <v/>
      </c>
    </row>
    <row r="2706">
      <c r="B2706" s="25" t="n"/>
      <c r="I2706" s="25" t="n"/>
      <c r="U2706" s="19">
        <f>IF($V2706&lt;&gt;'設定'!$C$4,N(U2705),IF(OR(NOT(COUNTIF('商品マスタ'!$B$6:$B$1005,$W2706)=0),COUNTIFS('①在庫を貼る'!$V$6:$V$10005,$V2706,'①在庫を貼る'!$W$6:$W$10005,$W2706)+COUNTIFS('月1回_1ヶ月前の在庫'!$V$6:$V$10005,$V2706,'月1回_1ヶ月前の在庫'!$W$6:$W$10005,$W2706)&gt;0),N(U2705),N(U2705)+1))</f>
        <v/>
      </c>
      <c r="V2706" s="19">
        <f>IF($B2706="","",TEXT($B2706,"0000"))</f>
        <v/>
      </c>
      <c r="W2706" s="19">
        <f>IF($I2706="","",IF(ISNUMBER($I2706),TEXT($I2706,"0"),$I2706))</f>
        <v/>
      </c>
    </row>
    <row r="2707">
      <c r="B2707" s="25" t="n"/>
      <c r="I2707" s="25" t="n"/>
      <c r="U2707" s="19">
        <f>IF($V2707&lt;&gt;'設定'!$C$4,N(U2706),IF(OR(NOT(COUNTIF('商品マスタ'!$B$6:$B$1005,$W2707)=0),COUNTIFS('①在庫を貼る'!$V$6:$V$10005,$V2707,'①在庫を貼る'!$W$6:$W$10005,$W2707)+COUNTIFS('月1回_1ヶ月前の在庫'!$V$6:$V$10005,$V2707,'月1回_1ヶ月前の在庫'!$W$6:$W$10005,$W2707)&gt;0),N(U2706),N(U2706)+1))</f>
        <v/>
      </c>
      <c r="V2707" s="19">
        <f>IF($B2707="","",TEXT($B2707,"0000"))</f>
        <v/>
      </c>
      <c r="W2707" s="19">
        <f>IF($I2707="","",IF(ISNUMBER($I2707),TEXT($I2707,"0"),$I2707))</f>
        <v/>
      </c>
    </row>
    <row r="2708">
      <c r="B2708" s="25" t="n"/>
      <c r="I2708" s="25" t="n"/>
      <c r="U2708" s="19">
        <f>IF($V2708&lt;&gt;'設定'!$C$4,N(U2707),IF(OR(NOT(COUNTIF('商品マスタ'!$B$6:$B$1005,$W2708)=0),COUNTIFS('①在庫を貼る'!$V$6:$V$10005,$V2708,'①在庫を貼る'!$W$6:$W$10005,$W2708)+COUNTIFS('月1回_1ヶ月前の在庫'!$V$6:$V$10005,$V2708,'月1回_1ヶ月前の在庫'!$W$6:$W$10005,$W2708)&gt;0),N(U2707),N(U2707)+1))</f>
        <v/>
      </c>
      <c r="V2708" s="19">
        <f>IF($B2708="","",TEXT($B2708,"0000"))</f>
        <v/>
      </c>
      <c r="W2708" s="19">
        <f>IF($I2708="","",IF(ISNUMBER($I2708),TEXT($I2708,"0"),$I2708))</f>
        <v/>
      </c>
    </row>
    <row r="2709">
      <c r="B2709" s="25" t="n"/>
      <c r="I2709" s="25" t="n"/>
      <c r="U2709" s="19">
        <f>IF($V2709&lt;&gt;'設定'!$C$4,N(U2708),IF(OR(NOT(COUNTIF('商品マスタ'!$B$6:$B$1005,$W2709)=0),COUNTIFS('①在庫を貼る'!$V$6:$V$10005,$V2709,'①在庫を貼る'!$W$6:$W$10005,$W2709)+COUNTIFS('月1回_1ヶ月前の在庫'!$V$6:$V$10005,$V2709,'月1回_1ヶ月前の在庫'!$W$6:$W$10005,$W2709)&gt;0),N(U2708),N(U2708)+1))</f>
        <v/>
      </c>
      <c r="V2709" s="19">
        <f>IF($B2709="","",TEXT($B2709,"0000"))</f>
        <v/>
      </c>
      <c r="W2709" s="19">
        <f>IF($I2709="","",IF(ISNUMBER($I2709),TEXT($I2709,"0"),$I2709))</f>
        <v/>
      </c>
    </row>
    <row r="2710">
      <c r="B2710" s="25" t="n"/>
      <c r="I2710" s="25" t="n"/>
      <c r="U2710" s="19">
        <f>IF($V2710&lt;&gt;'設定'!$C$4,N(U2709),IF(OR(NOT(COUNTIF('商品マスタ'!$B$6:$B$1005,$W2710)=0),COUNTIFS('①在庫を貼る'!$V$6:$V$10005,$V2710,'①在庫を貼る'!$W$6:$W$10005,$W2710)+COUNTIFS('月1回_1ヶ月前の在庫'!$V$6:$V$10005,$V2710,'月1回_1ヶ月前の在庫'!$W$6:$W$10005,$W2710)&gt;0),N(U2709),N(U2709)+1))</f>
        <v/>
      </c>
      <c r="V2710" s="19">
        <f>IF($B2710="","",TEXT($B2710,"0000"))</f>
        <v/>
      </c>
      <c r="W2710" s="19">
        <f>IF($I2710="","",IF(ISNUMBER($I2710),TEXT($I2710,"0"),$I2710))</f>
        <v/>
      </c>
    </row>
    <row r="2711">
      <c r="B2711" s="25" t="n"/>
      <c r="I2711" s="25" t="n"/>
      <c r="U2711" s="19">
        <f>IF($V2711&lt;&gt;'設定'!$C$4,N(U2710),IF(OR(NOT(COUNTIF('商品マスタ'!$B$6:$B$1005,$W2711)=0),COUNTIFS('①在庫を貼る'!$V$6:$V$10005,$V2711,'①在庫を貼る'!$W$6:$W$10005,$W2711)+COUNTIFS('月1回_1ヶ月前の在庫'!$V$6:$V$10005,$V2711,'月1回_1ヶ月前の在庫'!$W$6:$W$10005,$W2711)&gt;0),N(U2710),N(U2710)+1))</f>
        <v/>
      </c>
      <c r="V2711" s="19">
        <f>IF($B2711="","",TEXT($B2711,"0000"))</f>
        <v/>
      </c>
      <c r="W2711" s="19">
        <f>IF($I2711="","",IF(ISNUMBER($I2711),TEXT($I2711,"0"),$I2711))</f>
        <v/>
      </c>
    </row>
    <row r="2712">
      <c r="B2712" s="25" t="n"/>
      <c r="I2712" s="25" t="n"/>
      <c r="U2712" s="19">
        <f>IF($V2712&lt;&gt;'設定'!$C$4,N(U2711),IF(OR(NOT(COUNTIF('商品マスタ'!$B$6:$B$1005,$W2712)=0),COUNTIFS('①在庫を貼る'!$V$6:$V$10005,$V2712,'①在庫を貼る'!$W$6:$W$10005,$W2712)+COUNTIFS('月1回_1ヶ月前の在庫'!$V$6:$V$10005,$V2712,'月1回_1ヶ月前の在庫'!$W$6:$W$10005,$W2712)&gt;0),N(U2711),N(U2711)+1))</f>
        <v/>
      </c>
      <c r="V2712" s="19">
        <f>IF($B2712="","",TEXT($B2712,"0000"))</f>
        <v/>
      </c>
      <c r="W2712" s="19">
        <f>IF($I2712="","",IF(ISNUMBER($I2712),TEXT($I2712,"0"),$I2712))</f>
        <v/>
      </c>
    </row>
    <row r="2713">
      <c r="B2713" s="25" t="n"/>
      <c r="I2713" s="25" t="n"/>
      <c r="U2713" s="19">
        <f>IF($V2713&lt;&gt;'設定'!$C$4,N(U2712),IF(OR(NOT(COUNTIF('商品マスタ'!$B$6:$B$1005,$W2713)=0),COUNTIFS('①在庫を貼る'!$V$6:$V$10005,$V2713,'①在庫を貼る'!$W$6:$W$10005,$W2713)+COUNTIFS('月1回_1ヶ月前の在庫'!$V$6:$V$10005,$V2713,'月1回_1ヶ月前の在庫'!$W$6:$W$10005,$W2713)&gt;0),N(U2712),N(U2712)+1))</f>
        <v/>
      </c>
      <c r="V2713" s="19">
        <f>IF($B2713="","",TEXT($B2713,"0000"))</f>
        <v/>
      </c>
      <c r="W2713" s="19">
        <f>IF($I2713="","",IF(ISNUMBER($I2713),TEXT($I2713,"0"),$I2713))</f>
        <v/>
      </c>
    </row>
    <row r="2714">
      <c r="B2714" s="25" t="n"/>
      <c r="I2714" s="25" t="n"/>
      <c r="U2714" s="19">
        <f>IF($V2714&lt;&gt;'設定'!$C$4,N(U2713),IF(OR(NOT(COUNTIF('商品マスタ'!$B$6:$B$1005,$W2714)=0),COUNTIFS('①在庫を貼る'!$V$6:$V$10005,$V2714,'①在庫を貼る'!$W$6:$W$10005,$W2714)+COUNTIFS('月1回_1ヶ月前の在庫'!$V$6:$V$10005,$V2714,'月1回_1ヶ月前の在庫'!$W$6:$W$10005,$W2714)&gt;0),N(U2713),N(U2713)+1))</f>
        <v/>
      </c>
      <c r="V2714" s="19">
        <f>IF($B2714="","",TEXT($B2714,"0000"))</f>
        <v/>
      </c>
      <c r="W2714" s="19">
        <f>IF($I2714="","",IF(ISNUMBER($I2714),TEXT($I2714,"0"),$I2714))</f>
        <v/>
      </c>
    </row>
    <row r="2715">
      <c r="B2715" s="25" t="n"/>
      <c r="I2715" s="25" t="n"/>
      <c r="U2715" s="19">
        <f>IF($V2715&lt;&gt;'設定'!$C$4,N(U2714),IF(OR(NOT(COUNTIF('商品マスタ'!$B$6:$B$1005,$W2715)=0),COUNTIFS('①在庫を貼る'!$V$6:$V$10005,$V2715,'①在庫を貼る'!$W$6:$W$10005,$W2715)+COUNTIFS('月1回_1ヶ月前の在庫'!$V$6:$V$10005,$V2715,'月1回_1ヶ月前の在庫'!$W$6:$W$10005,$W2715)&gt;0),N(U2714),N(U2714)+1))</f>
        <v/>
      </c>
      <c r="V2715" s="19">
        <f>IF($B2715="","",TEXT($B2715,"0000"))</f>
        <v/>
      </c>
      <c r="W2715" s="19">
        <f>IF($I2715="","",IF(ISNUMBER($I2715),TEXT($I2715,"0"),$I2715))</f>
        <v/>
      </c>
    </row>
    <row r="2716">
      <c r="B2716" s="25" t="n"/>
      <c r="I2716" s="25" t="n"/>
      <c r="U2716" s="19">
        <f>IF($V2716&lt;&gt;'設定'!$C$4,N(U2715),IF(OR(NOT(COUNTIF('商品マスタ'!$B$6:$B$1005,$W2716)=0),COUNTIFS('①在庫を貼る'!$V$6:$V$10005,$V2716,'①在庫を貼る'!$W$6:$W$10005,$W2716)+COUNTIFS('月1回_1ヶ月前の在庫'!$V$6:$V$10005,$V2716,'月1回_1ヶ月前の在庫'!$W$6:$W$10005,$W2716)&gt;0),N(U2715),N(U2715)+1))</f>
        <v/>
      </c>
      <c r="V2716" s="19">
        <f>IF($B2716="","",TEXT($B2716,"0000"))</f>
        <v/>
      </c>
      <c r="W2716" s="19">
        <f>IF($I2716="","",IF(ISNUMBER($I2716),TEXT($I2716,"0"),$I2716))</f>
        <v/>
      </c>
    </row>
    <row r="2717">
      <c r="B2717" s="25" t="n"/>
      <c r="I2717" s="25" t="n"/>
      <c r="U2717" s="19">
        <f>IF($V2717&lt;&gt;'設定'!$C$4,N(U2716),IF(OR(NOT(COUNTIF('商品マスタ'!$B$6:$B$1005,$W2717)=0),COUNTIFS('①在庫を貼る'!$V$6:$V$10005,$V2717,'①在庫を貼る'!$W$6:$W$10005,$W2717)+COUNTIFS('月1回_1ヶ月前の在庫'!$V$6:$V$10005,$V2717,'月1回_1ヶ月前の在庫'!$W$6:$W$10005,$W2717)&gt;0),N(U2716),N(U2716)+1))</f>
        <v/>
      </c>
      <c r="V2717" s="19">
        <f>IF($B2717="","",TEXT($B2717,"0000"))</f>
        <v/>
      </c>
      <c r="W2717" s="19">
        <f>IF($I2717="","",IF(ISNUMBER($I2717),TEXT($I2717,"0"),$I2717))</f>
        <v/>
      </c>
    </row>
    <row r="2718">
      <c r="B2718" s="25" t="n"/>
      <c r="I2718" s="25" t="n"/>
      <c r="U2718" s="19">
        <f>IF($V2718&lt;&gt;'設定'!$C$4,N(U2717),IF(OR(NOT(COUNTIF('商品マスタ'!$B$6:$B$1005,$W2718)=0),COUNTIFS('①在庫を貼る'!$V$6:$V$10005,$V2718,'①在庫を貼る'!$W$6:$W$10005,$W2718)+COUNTIFS('月1回_1ヶ月前の在庫'!$V$6:$V$10005,$V2718,'月1回_1ヶ月前の在庫'!$W$6:$W$10005,$W2718)&gt;0),N(U2717),N(U2717)+1))</f>
        <v/>
      </c>
      <c r="V2718" s="19">
        <f>IF($B2718="","",TEXT($B2718,"0000"))</f>
        <v/>
      </c>
      <c r="W2718" s="19">
        <f>IF($I2718="","",IF(ISNUMBER($I2718),TEXT($I2718,"0"),$I2718))</f>
        <v/>
      </c>
    </row>
    <row r="2719">
      <c r="B2719" s="25" t="n"/>
      <c r="I2719" s="25" t="n"/>
      <c r="U2719" s="19">
        <f>IF($V2719&lt;&gt;'設定'!$C$4,N(U2718),IF(OR(NOT(COUNTIF('商品マスタ'!$B$6:$B$1005,$W2719)=0),COUNTIFS('①在庫を貼る'!$V$6:$V$10005,$V2719,'①在庫を貼る'!$W$6:$W$10005,$W2719)+COUNTIFS('月1回_1ヶ月前の在庫'!$V$6:$V$10005,$V2719,'月1回_1ヶ月前の在庫'!$W$6:$W$10005,$W2719)&gt;0),N(U2718),N(U2718)+1))</f>
        <v/>
      </c>
      <c r="V2719" s="19">
        <f>IF($B2719="","",TEXT($B2719,"0000"))</f>
        <v/>
      </c>
      <c r="W2719" s="19">
        <f>IF($I2719="","",IF(ISNUMBER($I2719),TEXT($I2719,"0"),$I2719))</f>
        <v/>
      </c>
    </row>
    <row r="2720">
      <c r="B2720" s="25" t="n"/>
      <c r="I2720" s="25" t="n"/>
      <c r="U2720" s="19">
        <f>IF($V2720&lt;&gt;'設定'!$C$4,N(U2719),IF(OR(NOT(COUNTIF('商品マスタ'!$B$6:$B$1005,$W2720)=0),COUNTIFS('①在庫を貼る'!$V$6:$V$10005,$V2720,'①在庫を貼る'!$W$6:$W$10005,$W2720)+COUNTIFS('月1回_1ヶ月前の在庫'!$V$6:$V$10005,$V2720,'月1回_1ヶ月前の在庫'!$W$6:$W$10005,$W2720)&gt;0),N(U2719),N(U2719)+1))</f>
        <v/>
      </c>
      <c r="V2720" s="19">
        <f>IF($B2720="","",TEXT($B2720,"0000"))</f>
        <v/>
      </c>
      <c r="W2720" s="19">
        <f>IF($I2720="","",IF(ISNUMBER($I2720),TEXT($I2720,"0"),$I2720))</f>
        <v/>
      </c>
    </row>
    <row r="2721">
      <c r="B2721" s="25" t="n"/>
      <c r="I2721" s="25" t="n"/>
      <c r="U2721" s="19">
        <f>IF($V2721&lt;&gt;'設定'!$C$4,N(U2720),IF(OR(NOT(COUNTIF('商品マスタ'!$B$6:$B$1005,$W2721)=0),COUNTIFS('①在庫を貼る'!$V$6:$V$10005,$V2721,'①在庫を貼る'!$W$6:$W$10005,$W2721)+COUNTIFS('月1回_1ヶ月前の在庫'!$V$6:$V$10005,$V2721,'月1回_1ヶ月前の在庫'!$W$6:$W$10005,$W2721)&gt;0),N(U2720),N(U2720)+1))</f>
        <v/>
      </c>
      <c r="V2721" s="19">
        <f>IF($B2721="","",TEXT($B2721,"0000"))</f>
        <v/>
      </c>
      <c r="W2721" s="19">
        <f>IF($I2721="","",IF(ISNUMBER($I2721),TEXT($I2721,"0"),$I2721))</f>
        <v/>
      </c>
    </row>
    <row r="2722">
      <c r="B2722" s="25" t="n"/>
      <c r="I2722" s="25" t="n"/>
      <c r="U2722" s="19">
        <f>IF($V2722&lt;&gt;'設定'!$C$4,N(U2721),IF(OR(NOT(COUNTIF('商品マスタ'!$B$6:$B$1005,$W2722)=0),COUNTIFS('①在庫を貼る'!$V$6:$V$10005,$V2722,'①在庫を貼る'!$W$6:$W$10005,$W2722)+COUNTIFS('月1回_1ヶ月前の在庫'!$V$6:$V$10005,$V2722,'月1回_1ヶ月前の在庫'!$W$6:$W$10005,$W2722)&gt;0),N(U2721),N(U2721)+1))</f>
        <v/>
      </c>
      <c r="V2722" s="19">
        <f>IF($B2722="","",TEXT($B2722,"0000"))</f>
        <v/>
      </c>
      <c r="W2722" s="19">
        <f>IF($I2722="","",IF(ISNUMBER($I2722),TEXT($I2722,"0"),$I2722))</f>
        <v/>
      </c>
    </row>
    <row r="2723">
      <c r="B2723" s="25" t="n"/>
      <c r="I2723" s="25" t="n"/>
      <c r="U2723" s="19">
        <f>IF($V2723&lt;&gt;'設定'!$C$4,N(U2722),IF(OR(NOT(COUNTIF('商品マスタ'!$B$6:$B$1005,$W2723)=0),COUNTIFS('①在庫を貼る'!$V$6:$V$10005,$V2723,'①在庫を貼る'!$W$6:$W$10005,$W2723)+COUNTIFS('月1回_1ヶ月前の在庫'!$V$6:$V$10005,$V2723,'月1回_1ヶ月前の在庫'!$W$6:$W$10005,$W2723)&gt;0),N(U2722),N(U2722)+1))</f>
        <v/>
      </c>
      <c r="V2723" s="19">
        <f>IF($B2723="","",TEXT($B2723,"0000"))</f>
        <v/>
      </c>
      <c r="W2723" s="19">
        <f>IF($I2723="","",IF(ISNUMBER($I2723),TEXT($I2723,"0"),$I2723))</f>
        <v/>
      </c>
    </row>
    <row r="2724">
      <c r="B2724" s="25" t="n"/>
      <c r="I2724" s="25" t="n"/>
      <c r="U2724" s="19">
        <f>IF($V2724&lt;&gt;'設定'!$C$4,N(U2723),IF(OR(NOT(COUNTIF('商品マスタ'!$B$6:$B$1005,$W2724)=0),COUNTIFS('①在庫を貼る'!$V$6:$V$10005,$V2724,'①在庫を貼る'!$W$6:$W$10005,$W2724)+COUNTIFS('月1回_1ヶ月前の在庫'!$V$6:$V$10005,$V2724,'月1回_1ヶ月前の在庫'!$W$6:$W$10005,$W2724)&gt;0),N(U2723),N(U2723)+1))</f>
        <v/>
      </c>
      <c r="V2724" s="19">
        <f>IF($B2724="","",TEXT($B2724,"0000"))</f>
        <v/>
      </c>
      <c r="W2724" s="19">
        <f>IF($I2724="","",IF(ISNUMBER($I2724),TEXT($I2724,"0"),$I2724))</f>
        <v/>
      </c>
    </row>
    <row r="2725">
      <c r="B2725" s="25" t="n"/>
      <c r="I2725" s="25" t="n"/>
      <c r="U2725" s="19">
        <f>IF($V2725&lt;&gt;'設定'!$C$4,N(U2724),IF(OR(NOT(COUNTIF('商品マスタ'!$B$6:$B$1005,$W2725)=0),COUNTIFS('①在庫を貼る'!$V$6:$V$10005,$V2725,'①在庫を貼る'!$W$6:$W$10005,$W2725)+COUNTIFS('月1回_1ヶ月前の在庫'!$V$6:$V$10005,$V2725,'月1回_1ヶ月前の在庫'!$W$6:$W$10005,$W2725)&gt;0),N(U2724),N(U2724)+1))</f>
        <v/>
      </c>
      <c r="V2725" s="19">
        <f>IF($B2725="","",TEXT($B2725,"0000"))</f>
        <v/>
      </c>
      <c r="W2725" s="19">
        <f>IF($I2725="","",IF(ISNUMBER($I2725),TEXT($I2725,"0"),$I2725))</f>
        <v/>
      </c>
    </row>
    <row r="2726">
      <c r="B2726" s="25" t="n"/>
      <c r="I2726" s="25" t="n"/>
      <c r="U2726" s="19">
        <f>IF($V2726&lt;&gt;'設定'!$C$4,N(U2725),IF(OR(NOT(COUNTIF('商品マスタ'!$B$6:$B$1005,$W2726)=0),COUNTIFS('①在庫を貼る'!$V$6:$V$10005,$V2726,'①在庫を貼る'!$W$6:$W$10005,$W2726)+COUNTIFS('月1回_1ヶ月前の在庫'!$V$6:$V$10005,$V2726,'月1回_1ヶ月前の在庫'!$W$6:$W$10005,$W2726)&gt;0),N(U2725),N(U2725)+1))</f>
        <v/>
      </c>
      <c r="V2726" s="19">
        <f>IF($B2726="","",TEXT($B2726,"0000"))</f>
        <v/>
      </c>
      <c r="W2726" s="19">
        <f>IF($I2726="","",IF(ISNUMBER($I2726),TEXT($I2726,"0"),$I2726))</f>
        <v/>
      </c>
    </row>
    <row r="2727">
      <c r="B2727" s="25" t="n"/>
      <c r="I2727" s="25" t="n"/>
      <c r="U2727" s="19">
        <f>IF($V2727&lt;&gt;'設定'!$C$4,N(U2726),IF(OR(NOT(COUNTIF('商品マスタ'!$B$6:$B$1005,$W2727)=0),COUNTIFS('①在庫を貼る'!$V$6:$V$10005,$V2727,'①在庫を貼る'!$W$6:$W$10005,$W2727)+COUNTIFS('月1回_1ヶ月前の在庫'!$V$6:$V$10005,$V2727,'月1回_1ヶ月前の在庫'!$W$6:$W$10005,$W2727)&gt;0),N(U2726),N(U2726)+1))</f>
        <v/>
      </c>
      <c r="V2727" s="19">
        <f>IF($B2727="","",TEXT($B2727,"0000"))</f>
        <v/>
      </c>
      <c r="W2727" s="19">
        <f>IF($I2727="","",IF(ISNUMBER($I2727),TEXT($I2727,"0"),$I2727))</f>
        <v/>
      </c>
    </row>
    <row r="2728">
      <c r="B2728" s="25" t="n"/>
      <c r="I2728" s="25" t="n"/>
      <c r="U2728" s="19">
        <f>IF($V2728&lt;&gt;'設定'!$C$4,N(U2727),IF(OR(NOT(COUNTIF('商品マスタ'!$B$6:$B$1005,$W2728)=0),COUNTIFS('①在庫を貼る'!$V$6:$V$10005,$V2728,'①在庫を貼る'!$W$6:$W$10005,$W2728)+COUNTIFS('月1回_1ヶ月前の在庫'!$V$6:$V$10005,$V2728,'月1回_1ヶ月前の在庫'!$W$6:$W$10005,$W2728)&gt;0),N(U2727),N(U2727)+1))</f>
        <v/>
      </c>
      <c r="V2728" s="19">
        <f>IF($B2728="","",TEXT($B2728,"0000"))</f>
        <v/>
      </c>
      <c r="W2728" s="19">
        <f>IF($I2728="","",IF(ISNUMBER($I2728),TEXT($I2728,"0"),$I2728))</f>
        <v/>
      </c>
    </row>
    <row r="2729">
      <c r="B2729" s="25" t="n"/>
      <c r="I2729" s="25" t="n"/>
      <c r="U2729" s="19">
        <f>IF($V2729&lt;&gt;'設定'!$C$4,N(U2728),IF(OR(NOT(COUNTIF('商品マスタ'!$B$6:$B$1005,$W2729)=0),COUNTIFS('①在庫を貼る'!$V$6:$V$10005,$V2729,'①在庫を貼る'!$W$6:$W$10005,$W2729)+COUNTIFS('月1回_1ヶ月前の在庫'!$V$6:$V$10005,$V2729,'月1回_1ヶ月前の在庫'!$W$6:$W$10005,$W2729)&gt;0),N(U2728),N(U2728)+1))</f>
        <v/>
      </c>
      <c r="V2729" s="19">
        <f>IF($B2729="","",TEXT($B2729,"0000"))</f>
        <v/>
      </c>
      <c r="W2729" s="19">
        <f>IF($I2729="","",IF(ISNUMBER($I2729),TEXT($I2729,"0"),$I2729))</f>
        <v/>
      </c>
    </row>
    <row r="2730">
      <c r="B2730" s="25" t="n"/>
      <c r="I2730" s="25" t="n"/>
      <c r="U2730" s="19">
        <f>IF($V2730&lt;&gt;'設定'!$C$4,N(U2729),IF(OR(NOT(COUNTIF('商品マスタ'!$B$6:$B$1005,$W2730)=0),COUNTIFS('①在庫を貼る'!$V$6:$V$10005,$V2730,'①在庫を貼る'!$W$6:$W$10005,$W2730)+COUNTIFS('月1回_1ヶ月前の在庫'!$V$6:$V$10005,$V2730,'月1回_1ヶ月前の在庫'!$W$6:$W$10005,$W2730)&gt;0),N(U2729),N(U2729)+1))</f>
        <v/>
      </c>
      <c r="V2730" s="19">
        <f>IF($B2730="","",TEXT($B2730,"0000"))</f>
        <v/>
      </c>
      <c r="W2730" s="19">
        <f>IF($I2730="","",IF(ISNUMBER($I2730),TEXT($I2730,"0"),$I2730))</f>
        <v/>
      </c>
    </row>
    <row r="2731">
      <c r="B2731" s="25" t="n"/>
      <c r="I2731" s="25" t="n"/>
      <c r="U2731" s="19">
        <f>IF($V2731&lt;&gt;'設定'!$C$4,N(U2730),IF(OR(NOT(COUNTIF('商品マスタ'!$B$6:$B$1005,$W2731)=0),COUNTIFS('①在庫を貼る'!$V$6:$V$10005,$V2731,'①在庫を貼る'!$W$6:$W$10005,$W2731)+COUNTIFS('月1回_1ヶ月前の在庫'!$V$6:$V$10005,$V2731,'月1回_1ヶ月前の在庫'!$W$6:$W$10005,$W2731)&gt;0),N(U2730),N(U2730)+1))</f>
        <v/>
      </c>
      <c r="V2731" s="19">
        <f>IF($B2731="","",TEXT($B2731,"0000"))</f>
        <v/>
      </c>
      <c r="W2731" s="19">
        <f>IF($I2731="","",IF(ISNUMBER($I2731),TEXT($I2731,"0"),$I2731))</f>
        <v/>
      </c>
    </row>
    <row r="2732">
      <c r="B2732" s="25" t="n"/>
      <c r="I2732" s="25" t="n"/>
      <c r="U2732" s="19">
        <f>IF($V2732&lt;&gt;'設定'!$C$4,N(U2731),IF(OR(NOT(COUNTIF('商品マスタ'!$B$6:$B$1005,$W2732)=0),COUNTIFS('①在庫を貼る'!$V$6:$V$10005,$V2732,'①在庫を貼る'!$W$6:$W$10005,$W2732)+COUNTIFS('月1回_1ヶ月前の在庫'!$V$6:$V$10005,$V2732,'月1回_1ヶ月前の在庫'!$W$6:$W$10005,$W2732)&gt;0),N(U2731),N(U2731)+1))</f>
        <v/>
      </c>
      <c r="V2732" s="19">
        <f>IF($B2732="","",TEXT($B2732,"0000"))</f>
        <v/>
      </c>
      <c r="W2732" s="19">
        <f>IF($I2732="","",IF(ISNUMBER($I2732),TEXT($I2732,"0"),$I2732))</f>
        <v/>
      </c>
    </row>
    <row r="2733">
      <c r="B2733" s="25" t="n"/>
      <c r="I2733" s="25" t="n"/>
      <c r="U2733" s="19">
        <f>IF($V2733&lt;&gt;'設定'!$C$4,N(U2732),IF(OR(NOT(COUNTIF('商品マスタ'!$B$6:$B$1005,$W2733)=0),COUNTIFS('①在庫を貼る'!$V$6:$V$10005,$V2733,'①在庫を貼る'!$W$6:$W$10005,$W2733)+COUNTIFS('月1回_1ヶ月前の在庫'!$V$6:$V$10005,$V2733,'月1回_1ヶ月前の在庫'!$W$6:$W$10005,$W2733)&gt;0),N(U2732),N(U2732)+1))</f>
        <v/>
      </c>
      <c r="V2733" s="19">
        <f>IF($B2733="","",TEXT($B2733,"0000"))</f>
        <v/>
      </c>
      <c r="W2733" s="19">
        <f>IF($I2733="","",IF(ISNUMBER($I2733),TEXT($I2733,"0"),$I2733))</f>
        <v/>
      </c>
    </row>
    <row r="2734">
      <c r="B2734" s="25" t="n"/>
      <c r="I2734" s="25" t="n"/>
      <c r="U2734" s="19">
        <f>IF($V2734&lt;&gt;'設定'!$C$4,N(U2733),IF(OR(NOT(COUNTIF('商品マスタ'!$B$6:$B$1005,$W2734)=0),COUNTIFS('①在庫を貼る'!$V$6:$V$10005,$V2734,'①在庫を貼る'!$W$6:$W$10005,$W2734)+COUNTIFS('月1回_1ヶ月前の在庫'!$V$6:$V$10005,$V2734,'月1回_1ヶ月前の在庫'!$W$6:$W$10005,$W2734)&gt;0),N(U2733),N(U2733)+1))</f>
        <v/>
      </c>
      <c r="V2734" s="19">
        <f>IF($B2734="","",TEXT($B2734,"0000"))</f>
        <v/>
      </c>
      <c r="W2734" s="19">
        <f>IF($I2734="","",IF(ISNUMBER($I2734),TEXT($I2734,"0"),$I2734))</f>
        <v/>
      </c>
    </row>
    <row r="2735">
      <c r="B2735" s="25" t="n"/>
      <c r="I2735" s="25" t="n"/>
      <c r="U2735" s="19">
        <f>IF($V2735&lt;&gt;'設定'!$C$4,N(U2734),IF(OR(NOT(COUNTIF('商品マスタ'!$B$6:$B$1005,$W2735)=0),COUNTIFS('①在庫を貼る'!$V$6:$V$10005,$V2735,'①在庫を貼る'!$W$6:$W$10005,$W2735)+COUNTIFS('月1回_1ヶ月前の在庫'!$V$6:$V$10005,$V2735,'月1回_1ヶ月前の在庫'!$W$6:$W$10005,$W2735)&gt;0),N(U2734),N(U2734)+1))</f>
        <v/>
      </c>
      <c r="V2735" s="19">
        <f>IF($B2735="","",TEXT($B2735,"0000"))</f>
        <v/>
      </c>
      <c r="W2735" s="19">
        <f>IF($I2735="","",IF(ISNUMBER($I2735),TEXT($I2735,"0"),$I2735))</f>
        <v/>
      </c>
    </row>
    <row r="2736">
      <c r="B2736" s="25" t="n"/>
      <c r="I2736" s="25" t="n"/>
      <c r="U2736" s="19">
        <f>IF($V2736&lt;&gt;'設定'!$C$4,N(U2735),IF(OR(NOT(COUNTIF('商品マスタ'!$B$6:$B$1005,$W2736)=0),COUNTIFS('①在庫を貼る'!$V$6:$V$10005,$V2736,'①在庫を貼る'!$W$6:$W$10005,$W2736)+COUNTIFS('月1回_1ヶ月前の在庫'!$V$6:$V$10005,$V2736,'月1回_1ヶ月前の在庫'!$W$6:$W$10005,$W2736)&gt;0),N(U2735),N(U2735)+1))</f>
        <v/>
      </c>
      <c r="V2736" s="19">
        <f>IF($B2736="","",TEXT($B2736,"0000"))</f>
        <v/>
      </c>
      <c r="W2736" s="19">
        <f>IF($I2736="","",IF(ISNUMBER($I2736),TEXT($I2736,"0"),$I2736))</f>
        <v/>
      </c>
    </row>
    <row r="2737">
      <c r="B2737" s="25" t="n"/>
      <c r="I2737" s="25" t="n"/>
      <c r="U2737" s="19">
        <f>IF($V2737&lt;&gt;'設定'!$C$4,N(U2736),IF(OR(NOT(COUNTIF('商品マスタ'!$B$6:$B$1005,$W2737)=0),COUNTIFS('①在庫を貼る'!$V$6:$V$10005,$V2737,'①在庫を貼る'!$W$6:$W$10005,$W2737)+COUNTIFS('月1回_1ヶ月前の在庫'!$V$6:$V$10005,$V2737,'月1回_1ヶ月前の在庫'!$W$6:$W$10005,$W2737)&gt;0),N(U2736),N(U2736)+1))</f>
        <v/>
      </c>
      <c r="V2737" s="19">
        <f>IF($B2737="","",TEXT($B2737,"0000"))</f>
        <v/>
      </c>
      <c r="W2737" s="19">
        <f>IF($I2737="","",IF(ISNUMBER($I2737),TEXT($I2737,"0"),$I2737))</f>
        <v/>
      </c>
    </row>
    <row r="2738">
      <c r="B2738" s="25" t="n"/>
      <c r="I2738" s="25" t="n"/>
      <c r="U2738" s="19">
        <f>IF($V2738&lt;&gt;'設定'!$C$4,N(U2737),IF(OR(NOT(COUNTIF('商品マスタ'!$B$6:$B$1005,$W2738)=0),COUNTIFS('①在庫を貼る'!$V$6:$V$10005,$V2738,'①在庫を貼る'!$W$6:$W$10005,$W2738)+COUNTIFS('月1回_1ヶ月前の在庫'!$V$6:$V$10005,$V2738,'月1回_1ヶ月前の在庫'!$W$6:$W$10005,$W2738)&gt;0),N(U2737),N(U2737)+1))</f>
        <v/>
      </c>
      <c r="V2738" s="19">
        <f>IF($B2738="","",TEXT($B2738,"0000"))</f>
        <v/>
      </c>
      <c r="W2738" s="19">
        <f>IF($I2738="","",IF(ISNUMBER($I2738),TEXT($I2738,"0"),$I2738))</f>
        <v/>
      </c>
    </row>
    <row r="2739">
      <c r="B2739" s="25" t="n"/>
      <c r="I2739" s="25" t="n"/>
      <c r="U2739" s="19">
        <f>IF($V2739&lt;&gt;'設定'!$C$4,N(U2738),IF(OR(NOT(COUNTIF('商品マスタ'!$B$6:$B$1005,$W2739)=0),COUNTIFS('①在庫を貼る'!$V$6:$V$10005,$V2739,'①在庫を貼る'!$W$6:$W$10005,$W2739)+COUNTIFS('月1回_1ヶ月前の在庫'!$V$6:$V$10005,$V2739,'月1回_1ヶ月前の在庫'!$W$6:$W$10005,$W2739)&gt;0),N(U2738),N(U2738)+1))</f>
        <v/>
      </c>
      <c r="V2739" s="19">
        <f>IF($B2739="","",TEXT($B2739,"0000"))</f>
        <v/>
      </c>
      <c r="W2739" s="19">
        <f>IF($I2739="","",IF(ISNUMBER($I2739),TEXT($I2739,"0"),$I2739))</f>
        <v/>
      </c>
    </row>
    <row r="2740">
      <c r="B2740" s="25" t="n"/>
      <c r="I2740" s="25" t="n"/>
      <c r="U2740" s="19">
        <f>IF($V2740&lt;&gt;'設定'!$C$4,N(U2739),IF(OR(NOT(COUNTIF('商品マスタ'!$B$6:$B$1005,$W2740)=0),COUNTIFS('①在庫を貼る'!$V$6:$V$10005,$V2740,'①在庫を貼る'!$W$6:$W$10005,$W2740)+COUNTIFS('月1回_1ヶ月前の在庫'!$V$6:$V$10005,$V2740,'月1回_1ヶ月前の在庫'!$W$6:$W$10005,$W2740)&gt;0),N(U2739),N(U2739)+1))</f>
        <v/>
      </c>
      <c r="V2740" s="19">
        <f>IF($B2740="","",TEXT($B2740,"0000"))</f>
        <v/>
      </c>
      <c r="W2740" s="19">
        <f>IF($I2740="","",IF(ISNUMBER($I2740),TEXT($I2740,"0"),$I2740))</f>
        <v/>
      </c>
    </row>
    <row r="2741">
      <c r="B2741" s="25" t="n"/>
      <c r="I2741" s="25" t="n"/>
      <c r="U2741" s="19">
        <f>IF($V2741&lt;&gt;'設定'!$C$4,N(U2740),IF(OR(NOT(COUNTIF('商品マスタ'!$B$6:$B$1005,$W2741)=0),COUNTIFS('①在庫を貼る'!$V$6:$V$10005,$V2741,'①在庫を貼る'!$W$6:$W$10005,$W2741)+COUNTIFS('月1回_1ヶ月前の在庫'!$V$6:$V$10005,$V2741,'月1回_1ヶ月前の在庫'!$W$6:$W$10005,$W2741)&gt;0),N(U2740),N(U2740)+1))</f>
        <v/>
      </c>
      <c r="V2741" s="19">
        <f>IF($B2741="","",TEXT($B2741,"0000"))</f>
        <v/>
      </c>
      <c r="W2741" s="19">
        <f>IF($I2741="","",IF(ISNUMBER($I2741),TEXT($I2741,"0"),$I2741))</f>
        <v/>
      </c>
    </row>
    <row r="2742">
      <c r="B2742" s="25" t="n"/>
      <c r="I2742" s="25" t="n"/>
      <c r="U2742" s="19">
        <f>IF($V2742&lt;&gt;'設定'!$C$4,N(U2741),IF(OR(NOT(COUNTIF('商品マスタ'!$B$6:$B$1005,$W2742)=0),COUNTIFS('①在庫を貼る'!$V$6:$V$10005,$V2742,'①在庫を貼る'!$W$6:$W$10005,$W2742)+COUNTIFS('月1回_1ヶ月前の在庫'!$V$6:$V$10005,$V2742,'月1回_1ヶ月前の在庫'!$W$6:$W$10005,$W2742)&gt;0),N(U2741),N(U2741)+1))</f>
        <v/>
      </c>
      <c r="V2742" s="19">
        <f>IF($B2742="","",TEXT($B2742,"0000"))</f>
        <v/>
      </c>
      <c r="W2742" s="19">
        <f>IF($I2742="","",IF(ISNUMBER($I2742),TEXT($I2742,"0"),$I2742))</f>
        <v/>
      </c>
    </row>
    <row r="2743">
      <c r="B2743" s="25" t="n"/>
      <c r="I2743" s="25" t="n"/>
      <c r="U2743" s="19">
        <f>IF($V2743&lt;&gt;'設定'!$C$4,N(U2742),IF(OR(NOT(COUNTIF('商品マスタ'!$B$6:$B$1005,$W2743)=0),COUNTIFS('①在庫を貼る'!$V$6:$V$10005,$V2743,'①在庫を貼る'!$W$6:$W$10005,$W2743)+COUNTIFS('月1回_1ヶ月前の在庫'!$V$6:$V$10005,$V2743,'月1回_1ヶ月前の在庫'!$W$6:$W$10005,$W2743)&gt;0),N(U2742),N(U2742)+1))</f>
        <v/>
      </c>
      <c r="V2743" s="19">
        <f>IF($B2743="","",TEXT($B2743,"0000"))</f>
        <v/>
      </c>
      <c r="W2743" s="19">
        <f>IF($I2743="","",IF(ISNUMBER($I2743),TEXT($I2743,"0"),$I2743))</f>
        <v/>
      </c>
    </row>
    <row r="2744">
      <c r="B2744" s="25" t="n"/>
      <c r="I2744" s="25" t="n"/>
      <c r="U2744" s="19">
        <f>IF($V2744&lt;&gt;'設定'!$C$4,N(U2743),IF(OR(NOT(COUNTIF('商品マスタ'!$B$6:$B$1005,$W2744)=0),COUNTIFS('①在庫を貼る'!$V$6:$V$10005,$V2744,'①在庫を貼る'!$W$6:$W$10005,$W2744)+COUNTIFS('月1回_1ヶ月前の在庫'!$V$6:$V$10005,$V2744,'月1回_1ヶ月前の在庫'!$W$6:$W$10005,$W2744)&gt;0),N(U2743),N(U2743)+1))</f>
        <v/>
      </c>
      <c r="V2744" s="19">
        <f>IF($B2744="","",TEXT($B2744,"0000"))</f>
        <v/>
      </c>
      <c r="W2744" s="19">
        <f>IF($I2744="","",IF(ISNUMBER($I2744),TEXT($I2744,"0"),$I2744))</f>
        <v/>
      </c>
    </row>
    <row r="2745">
      <c r="B2745" s="25" t="n"/>
      <c r="I2745" s="25" t="n"/>
      <c r="U2745" s="19">
        <f>IF($V2745&lt;&gt;'設定'!$C$4,N(U2744),IF(OR(NOT(COUNTIF('商品マスタ'!$B$6:$B$1005,$W2745)=0),COUNTIFS('①在庫を貼る'!$V$6:$V$10005,$V2745,'①在庫を貼る'!$W$6:$W$10005,$W2745)+COUNTIFS('月1回_1ヶ月前の在庫'!$V$6:$V$10005,$V2745,'月1回_1ヶ月前の在庫'!$W$6:$W$10005,$W2745)&gt;0),N(U2744),N(U2744)+1))</f>
        <v/>
      </c>
      <c r="V2745" s="19">
        <f>IF($B2745="","",TEXT($B2745,"0000"))</f>
        <v/>
      </c>
      <c r="W2745" s="19">
        <f>IF($I2745="","",IF(ISNUMBER($I2745),TEXT($I2745,"0"),$I2745))</f>
        <v/>
      </c>
    </row>
    <row r="2746">
      <c r="B2746" s="25" t="n"/>
      <c r="I2746" s="25" t="n"/>
      <c r="U2746" s="19">
        <f>IF($V2746&lt;&gt;'設定'!$C$4,N(U2745),IF(OR(NOT(COUNTIF('商品マスタ'!$B$6:$B$1005,$W2746)=0),COUNTIFS('①在庫を貼る'!$V$6:$V$10005,$V2746,'①在庫を貼る'!$W$6:$W$10005,$W2746)+COUNTIFS('月1回_1ヶ月前の在庫'!$V$6:$V$10005,$V2746,'月1回_1ヶ月前の在庫'!$W$6:$W$10005,$W2746)&gt;0),N(U2745),N(U2745)+1))</f>
        <v/>
      </c>
      <c r="V2746" s="19">
        <f>IF($B2746="","",TEXT($B2746,"0000"))</f>
        <v/>
      </c>
      <c r="W2746" s="19">
        <f>IF($I2746="","",IF(ISNUMBER($I2746),TEXT($I2746,"0"),$I2746))</f>
        <v/>
      </c>
    </row>
    <row r="2747">
      <c r="B2747" s="25" t="n"/>
      <c r="I2747" s="25" t="n"/>
      <c r="U2747" s="19">
        <f>IF($V2747&lt;&gt;'設定'!$C$4,N(U2746),IF(OR(NOT(COUNTIF('商品マスタ'!$B$6:$B$1005,$W2747)=0),COUNTIFS('①在庫を貼る'!$V$6:$V$10005,$V2747,'①在庫を貼る'!$W$6:$W$10005,$W2747)+COUNTIFS('月1回_1ヶ月前の在庫'!$V$6:$V$10005,$V2747,'月1回_1ヶ月前の在庫'!$W$6:$W$10005,$W2747)&gt;0),N(U2746),N(U2746)+1))</f>
        <v/>
      </c>
      <c r="V2747" s="19">
        <f>IF($B2747="","",TEXT($B2747,"0000"))</f>
        <v/>
      </c>
      <c r="W2747" s="19">
        <f>IF($I2747="","",IF(ISNUMBER($I2747),TEXT($I2747,"0"),$I2747))</f>
        <v/>
      </c>
    </row>
    <row r="2748">
      <c r="B2748" s="25" t="n"/>
      <c r="I2748" s="25" t="n"/>
      <c r="U2748" s="19">
        <f>IF($V2748&lt;&gt;'設定'!$C$4,N(U2747),IF(OR(NOT(COUNTIF('商品マスタ'!$B$6:$B$1005,$W2748)=0),COUNTIFS('①在庫を貼る'!$V$6:$V$10005,$V2748,'①在庫を貼る'!$W$6:$W$10005,$W2748)+COUNTIFS('月1回_1ヶ月前の在庫'!$V$6:$V$10005,$V2748,'月1回_1ヶ月前の在庫'!$W$6:$W$10005,$W2748)&gt;0),N(U2747),N(U2747)+1))</f>
        <v/>
      </c>
      <c r="V2748" s="19">
        <f>IF($B2748="","",TEXT($B2748,"0000"))</f>
        <v/>
      </c>
      <c r="W2748" s="19">
        <f>IF($I2748="","",IF(ISNUMBER($I2748),TEXT($I2748,"0"),$I2748))</f>
        <v/>
      </c>
    </row>
    <row r="2749">
      <c r="B2749" s="25" t="n"/>
      <c r="I2749" s="25" t="n"/>
      <c r="U2749" s="19">
        <f>IF($V2749&lt;&gt;'設定'!$C$4,N(U2748),IF(OR(NOT(COUNTIF('商品マスタ'!$B$6:$B$1005,$W2749)=0),COUNTIFS('①在庫を貼る'!$V$6:$V$10005,$V2749,'①在庫を貼る'!$W$6:$W$10005,$W2749)+COUNTIFS('月1回_1ヶ月前の在庫'!$V$6:$V$10005,$V2749,'月1回_1ヶ月前の在庫'!$W$6:$W$10005,$W2749)&gt;0),N(U2748),N(U2748)+1))</f>
        <v/>
      </c>
      <c r="V2749" s="19">
        <f>IF($B2749="","",TEXT($B2749,"0000"))</f>
        <v/>
      </c>
      <c r="W2749" s="19">
        <f>IF($I2749="","",IF(ISNUMBER($I2749),TEXT($I2749,"0"),$I2749))</f>
        <v/>
      </c>
    </row>
    <row r="2750">
      <c r="B2750" s="25" t="n"/>
      <c r="I2750" s="25" t="n"/>
      <c r="U2750" s="19">
        <f>IF($V2750&lt;&gt;'設定'!$C$4,N(U2749),IF(OR(NOT(COUNTIF('商品マスタ'!$B$6:$B$1005,$W2750)=0),COUNTIFS('①在庫を貼る'!$V$6:$V$10005,$V2750,'①在庫を貼る'!$W$6:$W$10005,$W2750)+COUNTIFS('月1回_1ヶ月前の在庫'!$V$6:$V$10005,$V2750,'月1回_1ヶ月前の在庫'!$W$6:$W$10005,$W2750)&gt;0),N(U2749),N(U2749)+1))</f>
        <v/>
      </c>
      <c r="V2750" s="19">
        <f>IF($B2750="","",TEXT($B2750,"0000"))</f>
        <v/>
      </c>
      <c r="W2750" s="19">
        <f>IF($I2750="","",IF(ISNUMBER($I2750),TEXT($I2750,"0"),$I2750))</f>
        <v/>
      </c>
    </row>
    <row r="2751">
      <c r="B2751" s="25" t="n"/>
      <c r="I2751" s="25" t="n"/>
      <c r="U2751" s="19">
        <f>IF($V2751&lt;&gt;'設定'!$C$4,N(U2750),IF(OR(NOT(COUNTIF('商品マスタ'!$B$6:$B$1005,$W2751)=0),COUNTIFS('①在庫を貼る'!$V$6:$V$10005,$V2751,'①在庫を貼る'!$W$6:$W$10005,$W2751)+COUNTIFS('月1回_1ヶ月前の在庫'!$V$6:$V$10005,$V2751,'月1回_1ヶ月前の在庫'!$W$6:$W$10005,$W2751)&gt;0),N(U2750),N(U2750)+1))</f>
        <v/>
      </c>
      <c r="V2751" s="19">
        <f>IF($B2751="","",TEXT($B2751,"0000"))</f>
        <v/>
      </c>
      <c r="W2751" s="19">
        <f>IF($I2751="","",IF(ISNUMBER($I2751),TEXT($I2751,"0"),$I2751))</f>
        <v/>
      </c>
    </row>
    <row r="2752">
      <c r="B2752" s="25" t="n"/>
      <c r="I2752" s="25" t="n"/>
      <c r="U2752" s="19">
        <f>IF($V2752&lt;&gt;'設定'!$C$4,N(U2751),IF(OR(NOT(COUNTIF('商品マスタ'!$B$6:$B$1005,$W2752)=0),COUNTIFS('①在庫を貼る'!$V$6:$V$10005,$V2752,'①在庫を貼る'!$W$6:$W$10005,$W2752)+COUNTIFS('月1回_1ヶ月前の在庫'!$V$6:$V$10005,$V2752,'月1回_1ヶ月前の在庫'!$W$6:$W$10005,$W2752)&gt;0),N(U2751),N(U2751)+1))</f>
        <v/>
      </c>
      <c r="V2752" s="19">
        <f>IF($B2752="","",TEXT($B2752,"0000"))</f>
        <v/>
      </c>
      <c r="W2752" s="19">
        <f>IF($I2752="","",IF(ISNUMBER($I2752),TEXT($I2752,"0"),$I2752))</f>
        <v/>
      </c>
    </row>
    <row r="2753">
      <c r="B2753" s="25" t="n"/>
      <c r="I2753" s="25" t="n"/>
      <c r="U2753" s="19">
        <f>IF($V2753&lt;&gt;'設定'!$C$4,N(U2752),IF(OR(NOT(COUNTIF('商品マスタ'!$B$6:$B$1005,$W2753)=0),COUNTIFS('①在庫を貼る'!$V$6:$V$10005,$V2753,'①在庫を貼る'!$W$6:$W$10005,$W2753)+COUNTIFS('月1回_1ヶ月前の在庫'!$V$6:$V$10005,$V2753,'月1回_1ヶ月前の在庫'!$W$6:$W$10005,$W2753)&gt;0),N(U2752),N(U2752)+1))</f>
        <v/>
      </c>
      <c r="V2753" s="19">
        <f>IF($B2753="","",TEXT($B2753,"0000"))</f>
        <v/>
      </c>
      <c r="W2753" s="19">
        <f>IF($I2753="","",IF(ISNUMBER($I2753),TEXT($I2753,"0"),$I2753))</f>
        <v/>
      </c>
    </row>
    <row r="2754">
      <c r="B2754" s="25" t="n"/>
      <c r="I2754" s="25" t="n"/>
      <c r="U2754" s="19">
        <f>IF($V2754&lt;&gt;'設定'!$C$4,N(U2753),IF(OR(NOT(COUNTIF('商品マスタ'!$B$6:$B$1005,$W2754)=0),COUNTIFS('①在庫を貼る'!$V$6:$V$10005,$V2754,'①在庫を貼る'!$W$6:$W$10005,$W2754)+COUNTIFS('月1回_1ヶ月前の在庫'!$V$6:$V$10005,$V2754,'月1回_1ヶ月前の在庫'!$W$6:$W$10005,$W2754)&gt;0),N(U2753),N(U2753)+1))</f>
        <v/>
      </c>
      <c r="V2754" s="19">
        <f>IF($B2754="","",TEXT($B2754,"0000"))</f>
        <v/>
      </c>
      <c r="W2754" s="19">
        <f>IF($I2754="","",IF(ISNUMBER($I2754),TEXT($I2754,"0"),$I2754))</f>
        <v/>
      </c>
    </row>
    <row r="2755">
      <c r="B2755" s="25" t="n"/>
      <c r="I2755" s="25" t="n"/>
      <c r="U2755" s="19">
        <f>IF($V2755&lt;&gt;'設定'!$C$4,N(U2754),IF(OR(NOT(COUNTIF('商品マスタ'!$B$6:$B$1005,$W2755)=0),COUNTIFS('①在庫を貼る'!$V$6:$V$10005,$V2755,'①在庫を貼る'!$W$6:$W$10005,$W2755)+COUNTIFS('月1回_1ヶ月前の在庫'!$V$6:$V$10005,$V2755,'月1回_1ヶ月前の在庫'!$W$6:$W$10005,$W2755)&gt;0),N(U2754),N(U2754)+1))</f>
        <v/>
      </c>
      <c r="V2755" s="19">
        <f>IF($B2755="","",TEXT($B2755,"0000"))</f>
        <v/>
      </c>
      <c r="W2755" s="19">
        <f>IF($I2755="","",IF(ISNUMBER($I2755),TEXT($I2755,"0"),$I2755))</f>
        <v/>
      </c>
    </row>
    <row r="2756">
      <c r="B2756" s="25" t="n"/>
      <c r="I2756" s="25" t="n"/>
      <c r="U2756" s="19">
        <f>IF($V2756&lt;&gt;'設定'!$C$4,N(U2755),IF(OR(NOT(COUNTIF('商品マスタ'!$B$6:$B$1005,$W2756)=0),COUNTIFS('①在庫を貼る'!$V$6:$V$10005,$V2756,'①在庫を貼る'!$W$6:$W$10005,$W2756)+COUNTIFS('月1回_1ヶ月前の在庫'!$V$6:$V$10005,$V2756,'月1回_1ヶ月前の在庫'!$W$6:$W$10005,$W2756)&gt;0),N(U2755),N(U2755)+1))</f>
        <v/>
      </c>
      <c r="V2756" s="19">
        <f>IF($B2756="","",TEXT($B2756,"0000"))</f>
        <v/>
      </c>
      <c r="W2756" s="19">
        <f>IF($I2756="","",IF(ISNUMBER($I2756),TEXT($I2756,"0"),$I2756))</f>
        <v/>
      </c>
    </row>
    <row r="2757">
      <c r="B2757" s="25" t="n"/>
      <c r="I2757" s="25" t="n"/>
      <c r="U2757" s="19">
        <f>IF($V2757&lt;&gt;'設定'!$C$4,N(U2756),IF(OR(NOT(COUNTIF('商品マスタ'!$B$6:$B$1005,$W2757)=0),COUNTIFS('①在庫を貼る'!$V$6:$V$10005,$V2757,'①在庫を貼る'!$W$6:$W$10005,$W2757)+COUNTIFS('月1回_1ヶ月前の在庫'!$V$6:$V$10005,$V2757,'月1回_1ヶ月前の在庫'!$W$6:$W$10005,$W2757)&gt;0),N(U2756),N(U2756)+1))</f>
        <v/>
      </c>
      <c r="V2757" s="19">
        <f>IF($B2757="","",TEXT($B2757,"0000"))</f>
        <v/>
      </c>
      <c r="W2757" s="19">
        <f>IF($I2757="","",IF(ISNUMBER($I2757),TEXT($I2757,"0"),$I2757))</f>
        <v/>
      </c>
    </row>
    <row r="2758">
      <c r="B2758" s="25" t="n"/>
      <c r="I2758" s="25" t="n"/>
      <c r="U2758" s="19">
        <f>IF($V2758&lt;&gt;'設定'!$C$4,N(U2757),IF(OR(NOT(COUNTIF('商品マスタ'!$B$6:$B$1005,$W2758)=0),COUNTIFS('①在庫を貼る'!$V$6:$V$10005,$V2758,'①在庫を貼る'!$W$6:$W$10005,$W2758)+COUNTIFS('月1回_1ヶ月前の在庫'!$V$6:$V$10005,$V2758,'月1回_1ヶ月前の在庫'!$W$6:$W$10005,$W2758)&gt;0),N(U2757),N(U2757)+1))</f>
        <v/>
      </c>
      <c r="V2758" s="19">
        <f>IF($B2758="","",TEXT($B2758,"0000"))</f>
        <v/>
      </c>
      <c r="W2758" s="19">
        <f>IF($I2758="","",IF(ISNUMBER($I2758),TEXT($I2758,"0"),$I2758))</f>
        <v/>
      </c>
    </row>
    <row r="2759">
      <c r="B2759" s="25" t="n"/>
      <c r="I2759" s="25" t="n"/>
      <c r="U2759" s="19">
        <f>IF($V2759&lt;&gt;'設定'!$C$4,N(U2758),IF(OR(NOT(COUNTIF('商品マスタ'!$B$6:$B$1005,$W2759)=0),COUNTIFS('①在庫を貼る'!$V$6:$V$10005,$V2759,'①在庫を貼る'!$W$6:$W$10005,$W2759)+COUNTIFS('月1回_1ヶ月前の在庫'!$V$6:$V$10005,$V2759,'月1回_1ヶ月前の在庫'!$W$6:$W$10005,$W2759)&gt;0),N(U2758),N(U2758)+1))</f>
        <v/>
      </c>
      <c r="V2759" s="19">
        <f>IF($B2759="","",TEXT($B2759,"0000"))</f>
        <v/>
      </c>
      <c r="W2759" s="19">
        <f>IF($I2759="","",IF(ISNUMBER($I2759),TEXT($I2759,"0"),$I2759))</f>
        <v/>
      </c>
    </row>
    <row r="2760">
      <c r="B2760" s="25" t="n"/>
      <c r="I2760" s="25" t="n"/>
      <c r="U2760" s="19">
        <f>IF($V2760&lt;&gt;'設定'!$C$4,N(U2759),IF(OR(NOT(COUNTIF('商品マスタ'!$B$6:$B$1005,$W2760)=0),COUNTIFS('①在庫を貼る'!$V$6:$V$10005,$V2760,'①在庫を貼る'!$W$6:$W$10005,$W2760)+COUNTIFS('月1回_1ヶ月前の在庫'!$V$6:$V$10005,$V2760,'月1回_1ヶ月前の在庫'!$W$6:$W$10005,$W2760)&gt;0),N(U2759),N(U2759)+1))</f>
        <v/>
      </c>
      <c r="V2760" s="19">
        <f>IF($B2760="","",TEXT($B2760,"0000"))</f>
        <v/>
      </c>
      <c r="W2760" s="19">
        <f>IF($I2760="","",IF(ISNUMBER($I2760),TEXT($I2760,"0"),$I2760))</f>
        <v/>
      </c>
    </row>
    <row r="2761">
      <c r="B2761" s="25" t="n"/>
      <c r="I2761" s="25" t="n"/>
      <c r="U2761" s="19">
        <f>IF($V2761&lt;&gt;'設定'!$C$4,N(U2760),IF(OR(NOT(COUNTIF('商品マスタ'!$B$6:$B$1005,$W2761)=0),COUNTIFS('①在庫を貼る'!$V$6:$V$10005,$V2761,'①在庫を貼る'!$W$6:$W$10005,$W2761)+COUNTIFS('月1回_1ヶ月前の在庫'!$V$6:$V$10005,$V2761,'月1回_1ヶ月前の在庫'!$W$6:$W$10005,$W2761)&gt;0),N(U2760),N(U2760)+1))</f>
        <v/>
      </c>
      <c r="V2761" s="19">
        <f>IF($B2761="","",TEXT($B2761,"0000"))</f>
        <v/>
      </c>
      <c r="W2761" s="19">
        <f>IF($I2761="","",IF(ISNUMBER($I2761),TEXT($I2761,"0"),$I2761))</f>
        <v/>
      </c>
    </row>
    <row r="2762">
      <c r="B2762" s="25" t="n"/>
      <c r="I2762" s="25" t="n"/>
      <c r="U2762" s="19">
        <f>IF($V2762&lt;&gt;'設定'!$C$4,N(U2761),IF(OR(NOT(COUNTIF('商品マスタ'!$B$6:$B$1005,$W2762)=0),COUNTIFS('①在庫を貼る'!$V$6:$V$10005,$V2762,'①在庫を貼る'!$W$6:$W$10005,$W2762)+COUNTIFS('月1回_1ヶ月前の在庫'!$V$6:$V$10005,$V2762,'月1回_1ヶ月前の在庫'!$W$6:$W$10005,$W2762)&gt;0),N(U2761),N(U2761)+1))</f>
        <v/>
      </c>
      <c r="V2762" s="19">
        <f>IF($B2762="","",TEXT($B2762,"0000"))</f>
        <v/>
      </c>
      <c r="W2762" s="19">
        <f>IF($I2762="","",IF(ISNUMBER($I2762),TEXT($I2762,"0"),$I2762))</f>
        <v/>
      </c>
    </row>
    <row r="2763">
      <c r="B2763" s="25" t="n"/>
      <c r="I2763" s="25" t="n"/>
      <c r="U2763" s="19">
        <f>IF($V2763&lt;&gt;'設定'!$C$4,N(U2762),IF(OR(NOT(COUNTIF('商品マスタ'!$B$6:$B$1005,$W2763)=0),COUNTIFS('①在庫を貼る'!$V$6:$V$10005,$V2763,'①在庫を貼る'!$W$6:$W$10005,$W2763)+COUNTIFS('月1回_1ヶ月前の在庫'!$V$6:$V$10005,$V2763,'月1回_1ヶ月前の在庫'!$W$6:$W$10005,$W2763)&gt;0),N(U2762),N(U2762)+1))</f>
        <v/>
      </c>
      <c r="V2763" s="19">
        <f>IF($B2763="","",TEXT($B2763,"0000"))</f>
        <v/>
      </c>
      <c r="W2763" s="19">
        <f>IF($I2763="","",IF(ISNUMBER($I2763),TEXT($I2763,"0"),$I2763))</f>
        <v/>
      </c>
    </row>
    <row r="2764">
      <c r="B2764" s="25" t="n"/>
      <c r="I2764" s="25" t="n"/>
      <c r="U2764" s="19">
        <f>IF($V2764&lt;&gt;'設定'!$C$4,N(U2763),IF(OR(NOT(COUNTIF('商品マスタ'!$B$6:$B$1005,$W2764)=0),COUNTIFS('①在庫を貼る'!$V$6:$V$10005,$V2764,'①在庫を貼る'!$W$6:$W$10005,$W2764)+COUNTIFS('月1回_1ヶ月前の在庫'!$V$6:$V$10005,$V2764,'月1回_1ヶ月前の在庫'!$W$6:$W$10005,$W2764)&gt;0),N(U2763),N(U2763)+1))</f>
        <v/>
      </c>
      <c r="V2764" s="19">
        <f>IF($B2764="","",TEXT($B2764,"0000"))</f>
        <v/>
      </c>
      <c r="W2764" s="19">
        <f>IF($I2764="","",IF(ISNUMBER($I2764),TEXT($I2764,"0"),$I2764))</f>
        <v/>
      </c>
    </row>
    <row r="2765">
      <c r="B2765" s="25" t="n"/>
      <c r="I2765" s="25" t="n"/>
      <c r="U2765" s="19">
        <f>IF($V2765&lt;&gt;'設定'!$C$4,N(U2764),IF(OR(NOT(COUNTIF('商品マスタ'!$B$6:$B$1005,$W2765)=0),COUNTIFS('①在庫を貼る'!$V$6:$V$10005,$V2765,'①在庫を貼る'!$W$6:$W$10005,$W2765)+COUNTIFS('月1回_1ヶ月前の在庫'!$V$6:$V$10005,$V2765,'月1回_1ヶ月前の在庫'!$W$6:$W$10005,$W2765)&gt;0),N(U2764),N(U2764)+1))</f>
        <v/>
      </c>
      <c r="V2765" s="19">
        <f>IF($B2765="","",TEXT($B2765,"0000"))</f>
        <v/>
      </c>
      <c r="W2765" s="19">
        <f>IF($I2765="","",IF(ISNUMBER($I2765),TEXT($I2765,"0"),$I2765))</f>
        <v/>
      </c>
    </row>
    <row r="2766">
      <c r="B2766" s="25" t="n"/>
      <c r="I2766" s="25" t="n"/>
      <c r="U2766" s="19">
        <f>IF($V2766&lt;&gt;'設定'!$C$4,N(U2765),IF(OR(NOT(COUNTIF('商品マスタ'!$B$6:$B$1005,$W2766)=0),COUNTIFS('①在庫を貼る'!$V$6:$V$10005,$V2766,'①在庫を貼る'!$W$6:$W$10005,$W2766)+COUNTIFS('月1回_1ヶ月前の在庫'!$V$6:$V$10005,$V2766,'月1回_1ヶ月前の在庫'!$W$6:$W$10005,$W2766)&gt;0),N(U2765),N(U2765)+1))</f>
        <v/>
      </c>
      <c r="V2766" s="19">
        <f>IF($B2766="","",TEXT($B2766,"0000"))</f>
        <v/>
      </c>
      <c r="W2766" s="19">
        <f>IF($I2766="","",IF(ISNUMBER($I2766),TEXT($I2766,"0"),$I2766))</f>
        <v/>
      </c>
    </row>
    <row r="2767">
      <c r="B2767" s="25" t="n"/>
      <c r="I2767" s="25" t="n"/>
      <c r="U2767" s="19">
        <f>IF($V2767&lt;&gt;'設定'!$C$4,N(U2766),IF(OR(NOT(COUNTIF('商品マスタ'!$B$6:$B$1005,$W2767)=0),COUNTIFS('①在庫を貼る'!$V$6:$V$10005,$V2767,'①在庫を貼る'!$W$6:$W$10005,$W2767)+COUNTIFS('月1回_1ヶ月前の在庫'!$V$6:$V$10005,$V2767,'月1回_1ヶ月前の在庫'!$W$6:$W$10005,$W2767)&gt;0),N(U2766),N(U2766)+1))</f>
        <v/>
      </c>
      <c r="V2767" s="19">
        <f>IF($B2767="","",TEXT($B2767,"0000"))</f>
        <v/>
      </c>
      <c r="W2767" s="19">
        <f>IF($I2767="","",IF(ISNUMBER($I2767),TEXT($I2767,"0"),$I2767))</f>
        <v/>
      </c>
    </row>
    <row r="2768">
      <c r="B2768" s="25" t="n"/>
      <c r="I2768" s="25" t="n"/>
      <c r="U2768" s="19">
        <f>IF($V2768&lt;&gt;'設定'!$C$4,N(U2767),IF(OR(NOT(COUNTIF('商品マスタ'!$B$6:$B$1005,$W2768)=0),COUNTIFS('①在庫を貼る'!$V$6:$V$10005,$V2768,'①在庫を貼る'!$W$6:$W$10005,$W2768)+COUNTIFS('月1回_1ヶ月前の在庫'!$V$6:$V$10005,$V2768,'月1回_1ヶ月前の在庫'!$W$6:$W$10005,$W2768)&gt;0),N(U2767),N(U2767)+1))</f>
        <v/>
      </c>
      <c r="V2768" s="19">
        <f>IF($B2768="","",TEXT($B2768,"0000"))</f>
        <v/>
      </c>
      <c r="W2768" s="19">
        <f>IF($I2768="","",IF(ISNUMBER($I2768),TEXT($I2768,"0"),$I2768))</f>
        <v/>
      </c>
    </row>
    <row r="2769">
      <c r="B2769" s="25" t="n"/>
      <c r="I2769" s="25" t="n"/>
      <c r="U2769" s="19">
        <f>IF($V2769&lt;&gt;'設定'!$C$4,N(U2768),IF(OR(NOT(COUNTIF('商品マスタ'!$B$6:$B$1005,$W2769)=0),COUNTIFS('①在庫を貼る'!$V$6:$V$10005,$V2769,'①在庫を貼る'!$W$6:$W$10005,$W2769)+COUNTIFS('月1回_1ヶ月前の在庫'!$V$6:$V$10005,$V2769,'月1回_1ヶ月前の在庫'!$W$6:$W$10005,$W2769)&gt;0),N(U2768),N(U2768)+1))</f>
        <v/>
      </c>
      <c r="V2769" s="19">
        <f>IF($B2769="","",TEXT($B2769,"0000"))</f>
        <v/>
      </c>
      <c r="W2769" s="19">
        <f>IF($I2769="","",IF(ISNUMBER($I2769),TEXT($I2769,"0"),$I2769))</f>
        <v/>
      </c>
    </row>
    <row r="2770">
      <c r="B2770" s="25" t="n"/>
      <c r="I2770" s="25" t="n"/>
      <c r="U2770" s="19">
        <f>IF($V2770&lt;&gt;'設定'!$C$4,N(U2769),IF(OR(NOT(COUNTIF('商品マスタ'!$B$6:$B$1005,$W2770)=0),COUNTIFS('①在庫を貼る'!$V$6:$V$10005,$V2770,'①在庫を貼る'!$W$6:$W$10005,$W2770)+COUNTIFS('月1回_1ヶ月前の在庫'!$V$6:$V$10005,$V2770,'月1回_1ヶ月前の在庫'!$W$6:$W$10005,$W2770)&gt;0),N(U2769),N(U2769)+1))</f>
        <v/>
      </c>
      <c r="V2770" s="19">
        <f>IF($B2770="","",TEXT($B2770,"0000"))</f>
        <v/>
      </c>
      <c r="W2770" s="19">
        <f>IF($I2770="","",IF(ISNUMBER($I2770),TEXT($I2770,"0"),$I2770))</f>
        <v/>
      </c>
    </row>
    <row r="2771">
      <c r="B2771" s="25" t="n"/>
      <c r="I2771" s="25" t="n"/>
      <c r="U2771" s="19">
        <f>IF($V2771&lt;&gt;'設定'!$C$4,N(U2770),IF(OR(NOT(COUNTIF('商品マスタ'!$B$6:$B$1005,$W2771)=0),COUNTIFS('①在庫を貼る'!$V$6:$V$10005,$V2771,'①在庫を貼る'!$W$6:$W$10005,$W2771)+COUNTIFS('月1回_1ヶ月前の在庫'!$V$6:$V$10005,$V2771,'月1回_1ヶ月前の在庫'!$W$6:$W$10005,$W2771)&gt;0),N(U2770),N(U2770)+1))</f>
        <v/>
      </c>
      <c r="V2771" s="19">
        <f>IF($B2771="","",TEXT($B2771,"0000"))</f>
        <v/>
      </c>
      <c r="W2771" s="19">
        <f>IF($I2771="","",IF(ISNUMBER($I2771),TEXT($I2771,"0"),$I2771))</f>
        <v/>
      </c>
    </row>
    <row r="2772">
      <c r="B2772" s="25" t="n"/>
      <c r="I2772" s="25" t="n"/>
      <c r="U2772" s="19">
        <f>IF($V2772&lt;&gt;'設定'!$C$4,N(U2771),IF(OR(NOT(COUNTIF('商品マスタ'!$B$6:$B$1005,$W2772)=0),COUNTIFS('①在庫を貼る'!$V$6:$V$10005,$V2772,'①在庫を貼る'!$W$6:$W$10005,$W2772)+COUNTIFS('月1回_1ヶ月前の在庫'!$V$6:$V$10005,$V2772,'月1回_1ヶ月前の在庫'!$W$6:$W$10005,$W2772)&gt;0),N(U2771),N(U2771)+1))</f>
        <v/>
      </c>
      <c r="V2772" s="19">
        <f>IF($B2772="","",TEXT($B2772,"0000"))</f>
        <v/>
      </c>
      <c r="W2772" s="19">
        <f>IF($I2772="","",IF(ISNUMBER($I2772),TEXT($I2772,"0"),$I2772))</f>
        <v/>
      </c>
    </row>
    <row r="2773">
      <c r="B2773" s="25" t="n"/>
      <c r="I2773" s="25" t="n"/>
      <c r="U2773" s="19">
        <f>IF($V2773&lt;&gt;'設定'!$C$4,N(U2772),IF(OR(NOT(COUNTIF('商品マスタ'!$B$6:$B$1005,$W2773)=0),COUNTIFS('①在庫を貼る'!$V$6:$V$10005,$V2773,'①在庫を貼る'!$W$6:$W$10005,$W2773)+COUNTIFS('月1回_1ヶ月前の在庫'!$V$6:$V$10005,$V2773,'月1回_1ヶ月前の在庫'!$W$6:$W$10005,$W2773)&gt;0),N(U2772),N(U2772)+1))</f>
        <v/>
      </c>
      <c r="V2773" s="19">
        <f>IF($B2773="","",TEXT($B2773,"0000"))</f>
        <v/>
      </c>
      <c r="W2773" s="19">
        <f>IF($I2773="","",IF(ISNUMBER($I2773),TEXT($I2773,"0"),$I2773))</f>
        <v/>
      </c>
    </row>
    <row r="2774">
      <c r="B2774" s="25" t="n"/>
      <c r="I2774" s="25" t="n"/>
      <c r="U2774" s="19">
        <f>IF($V2774&lt;&gt;'設定'!$C$4,N(U2773),IF(OR(NOT(COUNTIF('商品マスタ'!$B$6:$B$1005,$W2774)=0),COUNTIFS('①在庫を貼る'!$V$6:$V$10005,$V2774,'①在庫を貼る'!$W$6:$W$10005,$W2774)+COUNTIFS('月1回_1ヶ月前の在庫'!$V$6:$V$10005,$V2774,'月1回_1ヶ月前の在庫'!$W$6:$W$10005,$W2774)&gt;0),N(U2773),N(U2773)+1))</f>
        <v/>
      </c>
      <c r="V2774" s="19">
        <f>IF($B2774="","",TEXT($B2774,"0000"))</f>
        <v/>
      </c>
      <c r="W2774" s="19">
        <f>IF($I2774="","",IF(ISNUMBER($I2774),TEXT($I2774,"0"),$I2774))</f>
        <v/>
      </c>
    </row>
    <row r="2775">
      <c r="B2775" s="25" t="n"/>
      <c r="I2775" s="25" t="n"/>
      <c r="U2775" s="19">
        <f>IF($V2775&lt;&gt;'設定'!$C$4,N(U2774),IF(OR(NOT(COUNTIF('商品マスタ'!$B$6:$B$1005,$W2775)=0),COUNTIFS('①在庫を貼る'!$V$6:$V$10005,$V2775,'①在庫を貼る'!$W$6:$W$10005,$W2775)+COUNTIFS('月1回_1ヶ月前の在庫'!$V$6:$V$10005,$V2775,'月1回_1ヶ月前の在庫'!$W$6:$W$10005,$W2775)&gt;0),N(U2774),N(U2774)+1))</f>
        <v/>
      </c>
      <c r="V2775" s="19">
        <f>IF($B2775="","",TEXT($B2775,"0000"))</f>
        <v/>
      </c>
      <c r="W2775" s="19">
        <f>IF($I2775="","",IF(ISNUMBER($I2775),TEXT($I2775,"0"),$I2775))</f>
        <v/>
      </c>
    </row>
    <row r="2776">
      <c r="B2776" s="25" t="n"/>
      <c r="I2776" s="25" t="n"/>
      <c r="U2776" s="19">
        <f>IF($V2776&lt;&gt;'設定'!$C$4,N(U2775),IF(OR(NOT(COUNTIF('商品マスタ'!$B$6:$B$1005,$W2776)=0),COUNTIFS('①在庫を貼る'!$V$6:$V$10005,$V2776,'①在庫を貼る'!$W$6:$W$10005,$W2776)+COUNTIFS('月1回_1ヶ月前の在庫'!$V$6:$V$10005,$V2776,'月1回_1ヶ月前の在庫'!$W$6:$W$10005,$W2776)&gt;0),N(U2775),N(U2775)+1))</f>
        <v/>
      </c>
      <c r="V2776" s="19">
        <f>IF($B2776="","",TEXT($B2776,"0000"))</f>
        <v/>
      </c>
      <c r="W2776" s="19">
        <f>IF($I2776="","",IF(ISNUMBER($I2776),TEXT($I2776,"0"),$I2776))</f>
        <v/>
      </c>
    </row>
    <row r="2777">
      <c r="B2777" s="25" t="n"/>
      <c r="I2777" s="25" t="n"/>
      <c r="U2777" s="19">
        <f>IF($V2777&lt;&gt;'設定'!$C$4,N(U2776),IF(OR(NOT(COUNTIF('商品マスタ'!$B$6:$B$1005,$W2777)=0),COUNTIFS('①在庫を貼る'!$V$6:$V$10005,$V2777,'①在庫を貼る'!$W$6:$W$10005,$W2777)+COUNTIFS('月1回_1ヶ月前の在庫'!$V$6:$V$10005,$V2777,'月1回_1ヶ月前の在庫'!$W$6:$W$10005,$W2777)&gt;0),N(U2776),N(U2776)+1))</f>
        <v/>
      </c>
      <c r="V2777" s="19">
        <f>IF($B2777="","",TEXT($B2777,"0000"))</f>
        <v/>
      </c>
      <c r="W2777" s="19">
        <f>IF($I2777="","",IF(ISNUMBER($I2777),TEXT($I2777,"0"),$I2777))</f>
        <v/>
      </c>
    </row>
    <row r="2778">
      <c r="B2778" s="25" t="n"/>
      <c r="I2778" s="25" t="n"/>
      <c r="U2778" s="19">
        <f>IF($V2778&lt;&gt;'設定'!$C$4,N(U2777),IF(OR(NOT(COUNTIF('商品マスタ'!$B$6:$B$1005,$W2778)=0),COUNTIFS('①在庫を貼る'!$V$6:$V$10005,$V2778,'①在庫を貼る'!$W$6:$W$10005,$W2778)+COUNTIFS('月1回_1ヶ月前の在庫'!$V$6:$V$10005,$V2778,'月1回_1ヶ月前の在庫'!$W$6:$W$10005,$W2778)&gt;0),N(U2777),N(U2777)+1))</f>
        <v/>
      </c>
      <c r="V2778" s="19">
        <f>IF($B2778="","",TEXT($B2778,"0000"))</f>
        <v/>
      </c>
      <c r="W2778" s="19">
        <f>IF($I2778="","",IF(ISNUMBER($I2778),TEXT($I2778,"0"),$I2778))</f>
        <v/>
      </c>
    </row>
    <row r="2779">
      <c r="B2779" s="25" t="n"/>
      <c r="I2779" s="25" t="n"/>
      <c r="U2779" s="19">
        <f>IF($V2779&lt;&gt;'設定'!$C$4,N(U2778),IF(OR(NOT(COUNTIF('商品マスタ'!$B$6:$B$1005,$W2779)=0),COUNTIFS('①在庫を貼る'!$V$6:$V$10005,$V2779,'①在庫を貼る'!$W$6:$W$10005,$W2779)+COUNTIFS('月1回_1ヶ月前の在庫'!$V$6:$V$10005,$V2779,'月1回_1ヶ月前の在庫'!$W$6:$W$10005,$W2779)&gt;0),N(U2778),N(U2778)+1))</f>
        <v/>
      </c>
      <c r="V2779" s="19">
        <f>IF($B2779="","",TEXT($B2779,"0000"))</f>
        <v/>
      </c>
      <c r="W2779" s="19">
        <f>IF($I2779="","",IF(ISNUMBER($I2779),TEXT($I2779,"0"),$I2779))</f>
        <v/>
      </c>
    </row>
    <row r="2780">
      <c r="B2780" s="25" t="n"/>
      <c r="I2780" s="25" t="n"/>
      <c r="U2780" s="19">
        <f>IF($V2780&lt;&gt;'設定'!$C$4,N(U2779),IF(OR(NOT(COUNTIF('商品マスタ'!$B$6:$B$1005,$W2780)=0),COUNTIFS('①在庫を貼る'!$V$6:$V$10005,$V2780,'①在庫を貼る'!$W$6:$W$10005,$W2780)+COUNTIFS('月1回_1ヶ月前の在庫'!$V$6:$V$10005,$V2780,'月1回_1ヶ月前の在庫'!$W$6:$W$10005,$W2780)&gt;0),N(U2779),N(U2779)+1))</f>
        <v/>
      </c>
      <c r="V2780" s="19">
        <f>IF($B2780="","",TEXT($B2780,"0000"))</f>
        <v/>
      </c>
      <c r="W2780" s="19">
        <f>IF($I2780="","",IF(ISNUMBER($I2780),TEXT($I2780,"0"),$I2780))</f>
        <v/>
      </c>
    </row>
    <row r="2781">
      <c r="B2781" s="25" t="n"/>
      <c r="I2781" s="25" t="n"/>
      <c r="U2781" s="19">
        <f>IF($V2781&lt;&gt;'設定'!$C$4,N(U2780),IF(OR(NOT(COUNTIF('商品マスタ'!$B$6:$B$1005,$W2781)=0),COUNTIFS('①在庫を貼る'!$V$6:$V$10005,$V2781,'①在庫を貼る'!$W$6:$W$10005,$W2781)+COUNTIFS('月1回_1ヶ月前の在庫'!$V$6:$V$10005,$V2781,'月1回_1ヶ月前の在庫'!$W$6:$W$10005,$W2781)&gt;0),N(U2780),N(U2780)+1))</f>
        <v/>
      </c>
      <c r="V2781" s="19">
        <f>IF($B2781="","",TEXT($B2781,"0000"))</f>
        <v/>
      </c>
      <c r="W2781" s="19">
        <f>IF($I2781="","",IF(ISNUMBER($I2781),TEXT($I2781,"0"),$I2781))</f>
        <v/>
      </c>
    </row>
    <row r="2782">
      <c r="B2782" s="25" t="n"/>
      <c r="I2782" s="25" t="n"/>
      <c r="U2782" s="19">
        <f>IF($V2782&lt;&gt;'設定'!$C$4,N(U2781),IF(OR(NOT(COUNTIF('商品マスタ'!$B$6:$B$1005,$W2782)=0),COUNTIFS('①在庫を貼る'!$V$6:$V$10005,$V2782,'①在庫を貼る'!$W$6:$W$10005,$W2782)+COUNTIFS('月1回_1ヶ月前の在庫'!$V$6:$V$10005,$V2782,'月1回_1ヶ月前の在庫'!$W$6:$W$10005,$W2782)&gt;0),N(U2781),N(U2781)+1))</f>
        <v/>
      </c>
      <c r="V2782" s="19">
        <f>IF($B2782="","",TEXT($B2782,"0000"))</f>
        <v/>
      </c>
      <c r="W2782" s="19">
        <f>IF($I2782="","",IF(ISNUMBER($I2782),TEXT($I2782,"0"),$I2782))</f>
        <v/>
      </c>
    </row>
    <row r="2783">
      <c r="B2783" s="25" t="n"/>
      <c r="I2783" s="25" t="n"/>
      <c r="U2783" s="19">
        <f>IF($V2783&lt;&gt;'設定'!$C$4,N(U2782),IF(OR(NOT(COUNTIF('商品マスタ'!$B$6:$B$1005,$W2783)=0),COUNTIFS('①在庫を貼る'!$V$6:$V$10005,$V2783,'①在庫を貼る'!$W$6:$W$10005,$W2783)+COUNTIFS('月1回_1ヶ月前の在庫'!$V$6:$V$10005,$V2783,'月1回_1ヶ月前の在庫'!$W$6:$W$10005,$W2783)&gt;0),N(U2782),N(U2782)+1))</f>
        <v/>
      </c>
      <c r="V2783" s="19">
        <f>IF($B2783="","",TEXT($B2783,"0000"))</f>
        <v/>
      </c>
      <c r="W2783" s="19">
        <f>IF($I2783="","",IF(ISNUMBER($I2783),TEXT($I2783,"0"),$I2783))</f>
        <v/>
      </c>
    </row>
    <row r="2784">
      <c r="B2784" s="25" t="n"/>
      <c r="I2784" s="25" t="n"/>
      <c r="U2784" s="19">
        <f>IF($V2784&lt;&gt;'設定'!$C$4,N(U2783),IF(OR(NOT(COUNTIF('商品マスタ'!$B$6:$B$1005,$W2784)=0),COUNTIFS('①在庫を貼る'!$V$6:$V$10005,$V2784,'①在庫を貼る'!$W$6:$W$10005,$W2784)+COUNTIFS('月1回_1ヶ月前の在庫'!$V$6:$V$10005,$V2784,'月1回_1ヶ月前の在庫'!$W$6:$W$10005,$W2784)&gt;0),N(U2783),N(U2783)+1))</f>
        <v/>
      </c>
      <c r="V2784" s="19">
        <f>IF($B2784="","",TEXT($B2784,"0000"))</f>
        <v/>
      </c>
      <c r="W2784" s="19">
        <f>IF($I2784="","",IF(ISNUMBER($I2784),TEXT($I2784,"0"),$I2784))</f>
        <v/>
      </c>
    </row>
    <row r="2785">
      <c r="B2785" s="25" t="n"/>
      <c r="I2785" s="25" t="n"/>
      <c r="U2785" s="19">
        <f>IF($V2785&lt;&gt;'設定'!$C$4,N(U2784),IF(OR(NOT(COUNTIF('商品マスタ'!$B$6:$B$1005,$W2785)=0),COUNTIFS('①在庫を貼る'!$V$6:$V$10005,$V2785,'①在庫を貼る'!$W$6:$W$10005,$W2785)+COUNTIFS('月1回_1ヶ月前の在庫'!$V$6:$V$10005,$V2785,'月1回_1ヶ月前の在庫'!$W$6:$W$10005,$W2785)&gt;0),N(U2784),N(U2784)+1))</f>
        <v/>
      </c>
      <c r="V2785" s="19">
        <f>IF($B2785="","",TEXT($B2785,"0000"))</f>
        <v/>
      </c>
      <c r="W2785" s="19">
        <f>IF($I2785="","",IF(ISNUMBER($I2785),TEXT($I2785,"0"),$I2785))</f>
        <v/>
      </c>
    </row>
    <row r="2786">
      <c r="B2786" s="25" t="n"/>
      <c r="I2786" s="25" t="n"/>
      <c r="U2786" s="19">
        <f>IF($V2786&lt;&gt;'設定'!$C$4,N(U2785),IF(OR(NOT(COUNTIF('商品マスタ'!$B$6:$B$1005,$W2786)=0),COUNTIFS('①在庫を貼る'!$V$6:$V$10005,$V2786,'①在庫を貼る'!$W$6:$W$10005,$W2786)+COUNTIFS('月1回_1ヶ月前の在庫'!$V$6:$V$10005,$V2786,'月1回_1ヶ月前の在庫'!$W$6:$W$10005,$W2786)&gt;0),N(U2785),N(U2785)+1))</f>
        <v/>
      </c>
      <c r="V2786" s="19">
        <f>IF($B2786="","",TEXT($B2786,"0000"))</f>
        <v/>
      </c>
      <c r="W2786" s="19">
        <f>IF($I2786="","",IF(ISNUMBER($I2786),TEXT($I2786,"0"),$I2786))</f>
        <v/>
      </c>
    </row>
    <row r="2787">
      <c r="B2787" s="25" t="n"/>
      <c r="I2787" s="25" t="n"/>
      <c r="U2787" s="19">
        <f>IF($V2787&lt;&gt;'設定'!$C$4,N(U2786),IF(OR(NOT(COUNTIF('商品マスタ'!$B$6:$B$1005,$W2787)=0),COUNTIFS('①在庫を貼る'!$V$6:$V$10005,$V2787,'①在庫を貼る'!$W$6:$W$10005,$W2787)+COUNTIFS('月1回_1ヶ月前の在庫'!$V$6:$V$10005,$V2787,'月1回_1ヶ月前の在庫'!$W$6:$W$10005,$W2787)&gt;0),N(U2786),N(U2786)+1))</f>
        <v/>
      </c>
      <c r="V2787" s="19">
        <f>IF($B2787="","",TEXT($B2787,"0000"))</f>
        <v/>
      </c>
      <c r="W2787" s="19">
        <f>IF($I2787="","",IF(ISNUMBER($I2787),TEXT($I2787,"0"),$I2787))</f>
        <v/>
      </c>
    </row>
    <row r="2788">
      <c r="B2788" s="25" t="n"/>
      <c r="I2788" s="25" t="n"/>
      <c r="U2788" s="19">
        <f>IF($V2788&lt;&gt;'設定'!$C$4,N(U2787),IF(OR(NOT(COUNTIF('商品マスタ'!$B$6:$B$1005,$W2788)=0),COUNTIFS('①在庫を貼る'!$V$6:$V$10005,$V2788,'①在庫を貼る'!$W$6:$W$10005,$W2788)+COUNTIFS('月1回_1ヶ月前の在庫'!$V$6:$V$10005,$V2788,'月1回_1ヶ月前の在庫'!$W$6:$W$10005,$W2788)&gt;0),N(U2787),N(U2787)+1))</f>
        <v/>
      </c>
      <c r="V2788" s="19">
        <f>IF($B2788="","",TEXT($B2788,"0000"))</f>
        <v/>
      </c>
      <c r="W2788" s="19">
        <f>IF($I2788="","",IF(ISNUMBER($I2788),TEXT($I2788,"0"),$I2788))</f>
        <v/>
      </c>
    </row>
    <row r="2789">
      <c r="B2789" s="25" t="n"/>
      <c r="I2789" s="25" t="n"/>
      <c r="U2789" s="19">
        <f>IF($V2789&lt;&gt;'設定'!$C$4,N(U2788),IF(OR(NOT(COUNTIF('商品マスタ'!$B$6:$B$1005,$W2789)=0),COUNTIFS('①在庫を貼る'!$V$6:$V$10005,$V2789,'①在庫を貼る'!$W$6:$W$10005,$W2789)+COUNTIFS('月1回_1ヶ月前の在庫'!$V$6:$V$10005,$V2789,'月1回_1ヶ月前の在庫'!$W$6:$W$10005,$W2789)&gt;0),N(U2788),N(U2788)+1))</f>
        <v/>
      </c>
      <c r="V2789" s="19">
        <f>IF($B2789="","",TEXT($B2789,"0000"))</f>
        <v/>
      </c>
      <c r="W2789" s="19">
        <f>IF($I2789="","",IF(ISNUMBER($I2789),TEXT($I2789,"0"),$I2789))</f>
        <v/>
      </c>
    </row>
    <row r="2790">
      <c r="B2790" s="25" t="n"/>
      <c r="I2790" s="25" t="n"/>
      <c r="U2790" s="19">
        <f>IF($V2790&lt;&gt;'設定'!$C$4,N(U2789),IF(OR(NOT(COUNTIF('商品マスタ'!$B$6:$B$1005,$W2790)=0),COUNTIFS('①在庫を貼る'!$V$6:$V$10005,$V2790,'①在庫を貼る'!$W$6:$W$10005,$W2790)+COUNTIFS('月1回_1ヶ月前の在庫'!$V$6:$V$10005,$V2790,'月1回_1ヶ月前の在庫'!$W$6:$W$10005,$W2790)&gt;0),N(U2789),N(U2789)+1))</f>
        <v/>
      </c>
      <c r="V2790" s="19">
        <f>IF($B2790="","",TEXT($B2790,"0000"))</f>
        <v/>
      </c>
      <c r="W2790" s="19">
        <f>IF($I2790="","",IF(ISNUMBER($I2790),TEXT($I2790,"0"),$I2790))</f>
        <v/>
      </c>
    </row>
    <row r="2791">
      <c r="B2791" s="25" t="n"/>
      <c r="I2791" s="25" t="n"/>
      <c r="U2791" s="19">
        <f>IF($V2791&lt;&gt;'設定'!$C$4,N(U2790),IF(OR(NOT(COUNTIF('商品マスタ'!$B$6:$B$1005,$W2791)=0),COUNTIFS('①在庫を貼る'!$V$6:$V$10005,$V2791,'①在庫を貼る'!$W$6:$W$10005,$W2791)+COUNTIFS('月1回_1ヶ月前の在庫'!$V$6:$V$10005,$V2791,'月1回_1ヶ月前の在庫'!$W$6:$W$10005,$W2791)&gt;0),N(U2790),N(U2790)+1))</f>
        <v/>
      </c>
      <c r="V2791" s="19">
        <f>IF($B2791="","",TEXT($B2791,"0000"))</f>
        <v/>
      </c>
      <c r="W2791" s="19">
        <f>IF($I2791="","",IF(ISNUMBER($I2791),TEXT($I2791,"0"),$I2791))</f>
        <v/>
      </c>
    </row>
    <row r="2792">
      <c r="B2792" s="25" t="n"/>
      <c r="I2792" s="25" t="n"/>
      <c r="U2792" s="19">
        <f>IF($V2792&lt;&gt;'設定'!$C$4,N(U2791),IF(OR(NOT(COUNTIF('商品マスタ'!$B$6:$B$1005,$W2792)=0),COUNTIFS('①在庫を貼る'!$V$6:$V$10005,$V2792,'①在庫を貼る'!$W$6:$W$10005,$W2792)+COUNTIFS('月1回_1ヶ月前の在庫'!$V$6:$V$10005,$V2792,'月1回_1ヶ月前の在庫'!$W$6:$W$10005,$W2792)&gt;0),N(U2791),N(U2791)+1))</f>
        <v/>
      </c>
      <c r="V2792" s="19">
        <f>IF($B2792="","",TEXT($B2792,"0000"))</f>
        <v/>
      </c>
      <c r="W2792" s="19">
        <f>IF($I2792="","",IF(ISNUMBER($I2792),TEXT($I2792,"0"),$I2792))</f>
        <v/>
      </c>
    </row>
    <row r="2793">
      <c r="B2793" s="25" t="n"/>
      <c r="I2793" s="25" t="n"/>
      <c r="U2793" s="19">
        <f>IF($V2793&lt;&gt;'設定'!$C$4,N(U2792),IF(OR(NOT(COUNTIF('商品マスタ'!$B$6:$B$1005,$W2793)=0),COUNTIFS('①在庫を貼る'!$V$6:$V$10005,$V2793,'①在庫を貼る'!$W$6:$W$10005,$W2793)+COUNTIFS('月1回_1ヶ月前の在庫'!$V$6:$V$10005,$V2793,'月1回_1ヶ月前の在庫'!$W$6:$W$10005,$W2793)&gt;0),N(U2792),N(U2792)+1))</f>
        <v/>
      </c>
      <c r="V2793" s="19">
        <f>IF($B2793="","",TEXT($B2793,"0000"))</f>
        <v/>
      </c>
      <c r="W2793" s="19">
        <f>IF($I2793="","",IF(ISNUMBER($I2793),TEXT($I2793,"0"),$I2793))</f>
        <v/>
      </c>
    </row>
    <row r="2794">
      <c r="B2794" s="25" t="n"/>
      <c r="I2794" s="25" t="n"/>
      <c r="U2794" s="19">
        <f>IF($V2794&lt;&gt;'設定'!$C$4,N(U2793),IF(OR(NOT(COUNTIF('商品マスタ'!$B$6:$B$1005,$W2794)=0),COUNTIFS('①在庫を貼る'!$V$6:$V$10005,$V2794,'①在庫を貼る'!$W$6:$W$10005,$W2794)+COUNTIFS('月1回_1ヶ月前の在庫'!$V$6:$V$10005,$V2794,'月1回_1ヶ月前の在庫'!$W$6:$W$10005,$W2794)&gt;0),N(U2793),N(U2793)+1))</f>
        <v/>
      </c>
      <c r="V2794" s="19">
        <f>IF($B2794="","",TEXT($B2794,"0000"))</f>
        <v/>
      </c>
      <c r="W2794" s="19">
        <f>IF($I2794="","",IF(ISNUMBER($I2794),TEXT($I2794,"0"),$I2794))</f>
        <v/>
      </c>
    </row>
    <row r="2795">
      <c r="B2795" s="25" t="n"/>
      <c r="I2795" s="25" t="n"/>
      <c r="U2795" s="19">
        <f>IF($V2795&lt;&gt;'設定'!$C$4,N(U2794),IF(OR(NOT(COUNTIF('商品マスタ'!$B$6:$B$1005,$W2795)=0),COUNTIFS('①在庫を貼る'!$V$6:$V$10005,$V2795,'①在庫を貼る'!$W$6:$W$10005,$W2795)+COUNTIFS('月1回_1ヶ月前の在庫'!$V$6:$V$10005,$V2795,'月1回_1ヶ月前の在庫'!$W$6:$W$10005,$W2795)&gt;0),N(U2794),N(U2794)+1))</f>
        <v/>
      </c>
      <c r="V2795" s="19">
        <f>IF($B2795="","",TEXT($B2795,"0000"))</f>
        <v/>
      </c>
      <c r="W2795" s="19">
        <f>IF($I2795="","",IF(ISNUMBER($I2795),TEXT($I2795,"0"),$I2795))</f>
        <v/>
      </c>
    </row>
    <row r="2796">
      <c r="B2796" s="25" t="n"/>
      <c r="I2796" s="25" t="n"/>
      <c r="U2796" s="19">
        <f>IF($V2796&lt;&gt;'設定'!$C$4,N(U2795),IF(OR(NOT(COUNTIF('商品マスタ'!$B$6:$B$1005,$W2796)=0),COUNTIFS('①在庫を貼る'!$V$6:$V$10005,$V2796,'①在庫を貼る'!$W$6:$W$10005,$W2796)+COUNTIFS('月1回_1ヶ月前の在庫'!$V$6:$V$10005,$V2796,'月1回_1ヶ月前の在庫'!$W$6:$W$10005,$W2796)&gt;0),N(U2795),N(U2795)+1))</f>
        <v/>
      </c>
      <c r="V2796" s="19">
        <f>IF($B2796="","",TEXT($B2796,"0000"))</f>
        <v/>
      </c>
      <c r="W2796" s="19">
        <f>IF($I2796="","",IF(ISNUMBER($I2796),TEXT($I2796,"0"),$I2796))</f>
        <v/>
      </c>
    </row>
    <row r="2797">
      <c r="B2797" s="25" t="n"/>
      <c r="I2797" s="25" t="n"/>
      <c r="U2797" s="19">
        <f>IF($V2797&lt;&gt;'設定'!$C$4,N(U2796),IF(OR(NOT(COUNTIF('商品マスタ'!$B$6:$B$1005,$W2797)=0),COUNTIFS('①在庫を貼る'!$V$6:$V$10005,$V2797,'①在庫を貼る'!$W$6:$W$10005,$W2797)+COUNTIFS('月1回_1ヶ月前の在庫'!$V$6:$V$10005,$V2797,'月1回_1ヶ月前の在庫'!$W$6:$W$10005,$W2797)&gt;0),N(U2796),N(U2796)+1))</f>
        <v/>
      </c>
      <c r="V2797" s="19">
        <f>IF($B2797="","",TEXT($B2797,"0000"))</f>
        <v/>
      </c>
      <c r="W2797" s="19">
        <f>IF($I2797="","",IF(ISNUMBER($I2797),TEXT($I2797,"0"),$I2797))</f>
        <v/>
      </c>
    </row>
    <row r="2798">
      <c r="B2798" s="25" t="n"/>
      <c r="I2798" s="25" t="n"/>
      <c r="U2798" s="19">
        <f>IF($V2798&lt;&gt;'設定'!$C$4,N(U2797),IF(OR(NOT(COUNTIF('商品マスタ'!$B$6:$B$1005,$W2798)=0),COUNTIFS('①在庫を貼る'!$V$6:$V$10005,$V2798,'①在庫を貼る'!$W$6:$W$10005,$W2798)+COUNTIFS('月1回_1ヶ月前の在庫'!$V$6:$V$10005,$V2798,'月1回_1ヶ月前の在庫'!$W$6:$W$10005,$W2798)&gt;0),N(U2797),N(U2797)+1))</f>
        <v/>
      </c>
      <c r="V2798" s="19">
        <f>IF($B2798="","",TEXT($B2798,"0000"))</f>
        <v/>
      </c>
      <c r="W2798" s="19">
        <f>IF($I2798="","",IF(ISNUMBER($I2798),TEXT($I2798,"0"),$I2798))</f>
        <v/>
      </c>
    </row>
    <row r="2799">
      <c r="B2799" s="25" t="n"/>
      <c r="I2799" s="25" t="n"/>
      <c r="U2799" s="19">
        <f>IF($V2799&lt;&gt;'設定'!$C$4,N(U2798),IF(OR(NOT(COUNTIF('商品マスタ'!$B$6:$B$1005,$W2799)=0),COUNTIFS('①在庫を貼る'!$V$6:$V$10005,$V2799,'①在庫を貼る'!$W$6:$W$10005,$W2799)+COUNTIFS('月1回_1ヶ月前の在庫'!$V$6:$V$10005,$V2799,'月1回_1ヶ月前の在庫'!$W$6:$W$10005,$W2799)&gt;0),N(U2798),N(U2798)+1))</f>
        <v/>
      </c>
      <c r="V2799" s="19">
        <f>IF($B2799="","",TEXT($B2799,"0000"))</f>
        <v/>
      </c>
      <c r="W2799" s="19">
        <f>IF($I2799="","",IF(ISNUMBER($I2799),TEXT($I2799,"0"),$I2799))</f>
        <v/>
      </c>
    </row>
    <row r="2800">
      <c r="B2800" s="25" t="n"/>
      <c r="I2800" s="25" t="n"/>
      <c r="U2800" s="19">
        <f>IF($V2800&lt;&gt;'設定'!$C$4,N(U2799),IF(OR(NOT(COUNTIF('商品マスタ'!$B$6:$B$1005,$W2800)=0),COUNTIFS('①在庫を貼る'!$V$6:$V$10005,$V2800,'①在庫を貼る'!$W$6:$W$10005,$W2800)+COUNTIFS('月1回_1ヶ月前の在庫'!$V$6:$V$10005,$V2800,'月1回_1ヶ月前の在庫'!$W$6:$W$10005,$W2800)&gt;0),N(U2799),N(U2799)+1))</f>
        <v/>
      </c>
      <c r="V2800" s="19">
        <f>IF($B2800="","",TEXT($B2800,"0000"))</f>
        <v/>
      </c>
      <c r="W2800" s="19">
        <f>IF($I2800="","",IF(ISNUMBER($I2800),TEXT($I2800,"0"),$I2800))</f>
        <v/>
      </c>
    </row>
    <row r="2801">
      <c r="B2801" s="25" t="n"/>
      <c r="I2801" s="25" t="n"/>
      <c r="U2801" s="19">
        <f>IF($V2801&lt;&gt;'設定'!$C$4,N(U2800),IF(OR(NOT(COUNTIF('商品マスタ'!$B$6:$B$1005,$W2801)=0),COUNTIFS('①在庫を貼る'!$V$6:$V$10005,$V2801,'①在庫を貼る'!$W$6:$W$10005,$W2801)+COUNTIFS('月1回_1ヶ月前の在庫'!$V$6:$V$10005,$V2801,'月1回_1ヶ月前の在庫'!$W$6:$W$10005,$W2801)&gt;0),N(U2800),N(U2800)+1))</f>
        <v/>
      </c>
      <c r="V2801" s="19">
        <f>IF($B2801="","",TEXT($B2801,"0000"))</f>
        <v/>
      </c>
      <c r="W2801" s="19">
        <f>IF($I2801="","",IF(ISNUMBER($I2801),TEXT($I2801,"0"),$I2801))</f>
        <v/>
      </c>
    </row>
    <row r="2802">
      <c r="B2802" s="25" t="n"/>
      <c r="I2802" s="25" t="n"/>
      <c r="U2802" s="19">
        <f>IF($V2802&lt;&gt;'設定'!$C$4,N(U2801),IF(OR(NOT(COUNTIF('商品マスタ'!$B$6:$B$1005,$W2802)=0),COUNTIFS('①在庫を貼る'!$V$6:$V$10005,$V2802,'①在庫を貼る'!$W$6:$W$10005,$W2802)+COUNTIFS('月1回_1ヶ月前の在庫'!$V$6:$V$10005,$V2802,'月1回_1ヶ月前の在庫'!$W$6:$W$10005,$W2802)&gt;0),N(U2801),N(U2801)+1))</f>
        <v/>
      </c>
      <c r="V2802" s="19">
        <f>IF($B2802="","",TEXT($B2802,"0000"))</f>
        <v/>
      </c>
      <c r="W2802" s="19">
        <f>IF($I2802="","",IF(ISNUMBER($I2802),TEXT($I2802,"0"),$I2802))</f>
        <v/>
      </c>
    </row>
    <row r="2803">
      <c r="B2803" s="25" t="n"/>
      <c r="I2803" s="25" t="n"/>
      <c r="U2803" s="19">
        <f>IF($V2803&lt;&gt;'設定'!$C$4,N(U2802),IF(OR(NOT(COUNTIF('商品マスタ'!$B$6:$B$1005,$W2803)=0),COUNTIFS('①在庫を貼る'!$V$6:$V$10005,$V2803,'①在庫を貼る'!$W$6:$W$10005,$W2803)+COUNTIFS('月1回_1ヶ月前の在庫'!$V$6:$V$10005,$V2803,'月1回_1ヶ月前の在庫'!$W$6:$W$10005,$W2803)&gt;0),N(U2802),N(U2802)+1))</f>
        <v/>
      </c>
      <c r="V2803" s="19">
        <f>IF($B2803="","",TEXT($B2803,"0000"))</f>
        <v/>
      </c>
      <c r="W2803" s="19">
        <f>IF($I2803="","",IF(ISNUMBER($I2803),TEXT($I2803,"0"),$I2803))</f>
        <v/>
      </c>
    </row>
    <row r="2804">
      <c r="B2804" s="25" t="n"/>
      <c r="I2804" s="25" t="n"/>
      <c r="U2804" s="19">
        <f>IF($V2804&lt;&gt;'設定'!$C$4,N(U2803),IF(OR(NOT(COUNTIF('商品マスタ'!$B$6:$B$1005,$W2804)=0),COUNTIFS('①在庫を貼る'!$V$6:$V$10005,$V2804,'①在庫を貼る'!$W$6:$W$10005,$W2804)+COUNTIFS('月1回_1ヶ月前の在庫'!$V$6:$V$10005,$V2804,'月1回_1ヶ月前の在庫'!$W$6:$W$10005,$W2804)&gt;0),N(U2803),N(U2803)+1))</f>
        <v/>
      </c>
      <c r="V2804" s="19">
        <f>IF($B2804="","",TEXT($B2804,"0000"))</f>
        <v/>
      </c>
      <c r="W2804" s="19">
        <f>IF($I2804="","",IF(ISNUMBER($I2804),TEXT($I2804,"0"),$I2804))</f>
        <v/>
      </c>
    </row>
    <row r="2805">
      <c r="B2805" s="25" t="n"/>
      <c r="I2805" s="25" t="n"/>
      <c r="U2805" s="19">
        <f>IF($V2805&lt;&gt;'設定'!$C$4,N(U2804),IF(OR(NOT(COUNTIF('商品マスタ'!$B$6:$B$1005,$W2805)=0),COUNTIFS('①在庫を貼る'!$V$6:$V$10005,$V2805,'①在庫を貼る'!$W$6:$W$10005,$W2805)+COUNTIFS('月1回_1ヶ月前の在庫'!$V$6:$V$10005,$V2805,'月1回_1ヶ月前の在庫'!$W$6:$W$10005,$W2805)&gt;0),N(U2804),N(U2804)+1))</f>
        <v/>
      </c>
      <c r="V2805" s="19">
        <f>IF($B2805="","",TEXT($B2805,"0000"))</f>
        <v/>
      </c>
      <c r="W2805" s="19">
        <f>IF($I2805="","",IF(ISNUMBER($I2805),TEXT($I2805,"0"),$I2805))</f>
        <v/>
      </c>
    </row>
    <row r="2806">
      <c r="B2806" s="25" t="n"/>
      <c r="I2806" s="25" t="n"/>
      <c r="U2806" s="19">
        <f>IF($V2806&lt;&gt;'設定'!$C$4,N(U2805),IF(OR(NOT(COUNTIF('商品マスタ'!$B$6:$B$1005,$W2806)=0),COUNTIFS('①在庫を貼る'!$V$6:$V$10005,$V2806,'①在庫を貼る'!$W$6:$W$10005,$W2806)+COUNTIFS('月1回_1ヶ月前の在庫'!$V$6:$V$10005,$V2806,'月1回_1ヶ月前の在庫'!$W$6:$W$10005,$W2806)&gt;0),N(U2805),N(U2805)+1))</f>
        <v/>
      </c>
      <c r="V2806" s="19">
        <f>IF($B2806="","",TEXT($B2806,"0000"))</f>
        <v/>
      </c>
      <c r="W2806" s="19">
        <f>IF($I2806="","",IF(ISNUMBER($I2806),TEXT($I2806,"0"),$I2806))</f>
        <v/>
      </c>
    </row>
    <row r="2807">
      <c r="B2807" s="25" t="n"/>
      <c r="I2807" s="25" t="n"/>
      <c r="U2807" s="19">
        <f>IF($V2807&lt;&gt;'設定'!$C$4,N(U2806),IF(OR(NOT(COUNTIF('商品マスタ'!$B$6:$B$1005,$W2807)=0),COUNTIFS('①在庫を貼る'!$V$6:$V$10005,$V2807,'①在庫を貼る'!$W$6:$W$10005,$W2807)+COUNTIFS('月1回_1ヶ月前の在庫'!$V$6:$V$10005,$V2807,'月1回_1ヶ月前の在庫'!$W$6:$W$10005,$W2807)&gt;0),N(U2806),N(U2806)+1))</f>
        <v/>
      </c>
      <c r="V2807" s="19">
        <f>IF($B2807="","",TEXT($B2807,"0000"))</f>
        <v/>
      </c>
      <c r="W2807" s="19">
        <f>IF($I2807="","",IF(ISNUMBER($I2807),TEXT($I2807,"0"),$I2807))</f>
        <v/>
      </c>
    </row>
    <row r="2808">
      <c r="B2808" s="25" t="n"/>
      <c r="I2808" s="25" t="n"/>
      <c r="U2808" s="19">
        <f>IF($V2808&lt;&gt;'設定'!$C$4,N(U2807),IF(OR(NOT(COUNTIF('商品マスタ'!$B$6:$B$1005,$W2808)=0),COUNTIFS('①在庫を貼る'!$V$6:$V$10005,$V2808,'①在庫を貼る'!$W$6:$W$10005,$W2808)+COUNTIFS('月1回_1ヶ月前の在庫'!$V$6:$V$10005,$V2808,'月1回_1ヶ月前の在庫'!$W$6:$W$10005,$W2808)&gt;0),N(U2807),N(U2807)+1))</f>
        <v/>
      </c>
      <c r="V2808" s="19">
        <f>IF($B2808="","",TEXT($B2808,"0000"))</f>
        <v/>
      </c>
      <c r="W2808" s="19">
        <f>IF($I2808="","",IF(ISNUMBER($I2808),TEXT($I2808,"0"),$I2808))</f>
        <v/>
      </c>
    </row>
    <row r="2809">
      <c r="B2809" s="25" t="n"/>
      <c r="I2809" s="25" t="n"/>
      <c r="U2809" s="19">
        <f>IF($V2809&lt;&gt;'設定'!$C$4,N(U2808),IF(OR(NOT(COUNTIF('商品マスタ'!$B$6:$B$1005,$W2809)=0),COUNTIFS('①在庫を貼る'!$V$6:$V$10005,$V2809,'①在庫を貼る'!$W$6:$W$10005,$W2809)+COUNTIFS('月1回_1ヶ月前の在庫'!$V$6:$V$10005,$V2809,'月1回_1ヶ月前の在庫'!$W$6:$W$10005,$W2809)&gt;0),N(U2808),N(U2808)+1))</f>
        <v/>
      </c>
      <c r="V2809" s="19">
        <f>IF($B2809="","",TEXT($B2809,"0000"))</f>
        <v/>
      </c>
      <c r="W2809" s="19">
        <f>IF($I2809="","",IF(ISNUMBER($I2809),TEXT($I2809,"0"),$I2809))</f>
        <v/>
      </c>
    </row>
    <row r="2810">
      <c r="B2810" s="25" t="n"/>
      <c r="I2810" s="25" t="n"/>
      <c r="U2810" s="19">
        <f>IF($V2810&lt;&gt;'設定'!$C$4,N(U2809),IF(OR(NOT(COUNTIF('商品マスタ'!$B$6:$B$1005,$W2810)=0),COUNTIFS('①在庫を貼る'!$V$6:$V$10005,$V2810,'①在庫を貼る'!$W$6:$W$10005,$W2810)+COUNTIFS('月1回_1ヶ月前の在庫'!$V$6:$V$10005,$V2810,'月1回_1ヶ月前の在庫'!$W$6:$W$10005,$W2810)&gt;0),N(U2809),N(U2809)+1))</f>
        <v/>
      </c>
      <c r="V2810" s="19">
        <f>IF($B2810="","",TEXT($B2810,"0000"))</f>
        <v/>
      </c>
      <c r="W2810" s="19">
        <f>IF($I2810="","",IF(ISNUMBER($I2810),TEXT($I2810,"0"),$I2810))</f>
        <v/>
      </c>
    </row>
    <row r="2811">
      <c r="B2811" s="25" t="n"/>
      <c r="I2811" s="25" t="n"/>
      <c r="U2811" s="19">
        <f>IF($V2811&lt;&gt;'設定'!$C$4,N(U2810),IF(OR(NOT(COUNTIF('商品マスタ'!$B$6:$B$1005,$W2811)=0),COUNTIFS('①在庫を貼る'!$V$6:$V$10005,$V2811,'①在庫を貼る'!$W$6:$W$10005,$W2811)+COUNTIFS('月1回_1ヶ月前の在庫'!$V$6:$V$10005,$V2811,'月1回_1ヶ月前の在庫'!$W$6:$W$10005,$W2811)&gt;0),N(U2810),N(U2810)+1))</f>
        <v/>
      </c>
      <c r="V2811" s="19">
        <f>IF($B2811="","",TEXT($B2811,"0000"))</f>
        <v/>
      </c>
      <c r="W2811" s="19">
        <f>IF($I2811="","",IF(ISNUMBER($I2811),TEXT($I2811,"0"),$I2811))</f>
        <v/>
      </c>
    </row>
    <row r="2812">
      <c r="B2812" s="25" t="n"/>
      <c r="I2812" s="25" t="n"/>
      <c r="U2812" s="19">
        <f>IF($V2812&lt;&gt;'設定'!$C$4,N(U2811),IF(OR(NOT(COUNTIF('商品マスタ'!$B$6:$B$1005,$W2812)=0),COUNTIFS('①在庫を貼る'!$V$6:$V$10005,$V2812,'①在庫を貼る'!$W$6:$W$10005,$W2812)+COUNTIFS('月1回_1ヶ月前の在庫'!$V$6:$V$10005,$V2812,'月1回_1ヶ月前の在庫'!$W$6:$W$10005,$W2812)&gt;0),N(U2811),N(U2811)+1))</f>
        <v/>
      </c>
      <c r="V2812" s="19">
        <f>IF($B2812="","",TEXT($B2812,"0000"))</f>
        <v/>
      </c>
      <c r="W2812" s="19">
        <f>IF($I2812="","",IF(ISNUMBER($I2812),TEXT($I2812,"0"),$I2812))</f>
        <v/>
      </c>
    </row>
    <row r="2813">
      <c r="B2813" s="25" t="n"/>
      <c r="I2813" s="25" t="n"/>
      <c r="U2813" s="19">
        <f>IF($V2813&lt;&gt;'設定'!$C$4,N(U2812),IF(OR(NOT(COUNTIF('商品マスタ'!$B$6:$B$1005,$W2813)=0),COUNTIFS('①在庫を貼る'!$V$6:$V$10005,$V2813,'①在庫を貼る'!$W$6:$W$10005,$W2813)+COUNTIFS('月1回_1ヶ月前の在庫'!$V$6:$V$10005,$V2813,'月1回_1ヶ月前の在庫'!$W$6:$W$10005,$W2813)&gt;0),N(U2812),N(U2812)+1))</f>
        <v/>
      </c>
      <c r="V2813" s="19">
        <f>IF($B2813="","",TEXT($B2813,"0000"))</f>
        <v/>
      </c>
      <c r="W2813" s="19">
        <f>IF($I2813="","",IF(ISNUMBER($I2813),TEXT($I2813,"0"),$I2813))</f>
        <v/>
      </c>
    </row>
    <row r="2814">
      <c r="B2814" s="25" t="n"/>
      <c r="I2814" s="25" t="n"/>
      <c r="U2814" s="19">
        <f>IF($V2814&lt;&gt;'設定'!$C$4,N(U2813),IF(OR(NOT(COUNTIF('商品マスタ'!$B$6:$B$1005,$W2814)=0),COUNTIFS('①在庫を貼る'!$V$6:$V$10005,$V2814,'①在庫を貼る'!$W$6:$W$10005,$W2814)+COUNTIFS('月1回_1ヶ月前の在庫'!$V$6:$V$10005,$V2814,'月1回_1ヶ月前の在庫'!$W$6:$W$10005,$W2814)&gt;0),N(U2813),N(U2813)+1))</f>
        <v/>
      </c>
      <c r="V2814" s="19">
        <f>IF($B2814="","",TEXT($B2814,"0000"))</f>
        <v/>
      </c>
      <c r="W2814" s="19">
        <f>IF($I2814="","",IF(ISNUMBER($I2814),TEXT($I2814,"0"),$I2814))</f>
        <v/>
      </c>
    </row>
    <row r="2815">
      <c r="B2815" s="25" t="n"/>
      <c r="I2815" s="25" t="n"/>
      <c r="U2815" s="19">
        <f>IF($V2815&lt;&gt;'設定'!$C$4,N(U2814),IF(OR(NOT(COUNTIF('商品マスタ'!$B$6:$B$1005,$W2815)=0),COUNTIFS('①在庫を貼る'!$V$6:$V$10005,$V2815,'①在庫を貼る'!$W$6:$W$10005,$W2815)+COUNTIFS('月1回_1ヶ月前の在庫'!$V$6:$V$10005,$V2815,'月1回_1ヶ月前の在庫'!$W$6:$W$10005,$W2815)&gt;0),N(U2814),N(U2814)+1))</f>
        <v/>
      </c>
      <c r="V2815" s="19">
        <f>IF($B2815="","",TEXT($B2815,"0000"))</f>
        <v/>
      </c>
      <c r="W2815" s="19">
        <f>IF($I2815="","",IF(ISNUMBER($I2815),TEXT($I2815,"0"),$I2815))</f>
        <v/>
      </c>
    </row>
    <row r="2816">
      <c r="B2816" s="25" t="n"/>
      <c r="I2816" s="25" t="n"/>
      <c r="U2816" s="19">
        <f>IF($V2816&lt;&gt;'設定'!$C$4,N(U2815),IF(OR(NOT(COUNTIF('商品マスタ'!$B$6:$B$1005,$W2816)=0),COUNTIFS('①在庫を貼る'!$V$6:$V$10005,$V2816,'①在庫を貼る'!$W$6:$W$10005,$W2816)+COUNTIFS('月1回_1ヶ月前の在庫'!$V$6:$V$10005,$V2816,'月1回_1ヶ月前の在庫'!$W$6:$W$10005,$W2816)&gt;0),N(U2815),N(U2815)+1))</f>
        <v/>
      </c>
      <c r="V2816" s="19">
        <f>IF($B2816="","",TEXT($B2816,"0000"))</f>
        <v/>
      </c>
      <c r="W2816" s="19">
        <f>IF($I2816="","",IF(ISNUMBER($I2816),TEXT($I2816,"0"),$I2816))</f>
        <v/>
      </c>
    </row>
    <row r="2817">
      <c r="B2817" s="25" t="n"/>
      <c r="I2817" s="25" t="n"/>
      <c r="U2817" s="19">
        <f>IF($V2817&lt;&gt;'設定'!$C$4,N(U2816),IF(OR(NOT(COUNTIF('商品マスタ'!$B$6:$B$1005,$W2817)=0),COUNTIFS('①在庫を貼る'!$V$6:$V$10005,$V2817,'①在庫を貼る'!$W$6:$W$10005,$W2817)+COUNTIFS('月1回_1ヶ月前の在庫'!$V$6:$V$10005,$V2817,'月1回_1ヶ月前の在庫'!$W$6:$W$10005,$W2817)&gt;0),N(U2816),N(U2816)+1))</f>
        <v/>
      </c>
      <c r="V2817" s="19">
        <f>IF($B2817="","",TEXT($B2817,"0000"))</f>
        <v/>
      </c>
      <c r="W2817" s="19">
        <f>IF($I2817="","",IF(ISNUMBER($I2817),TEXT($I2817,"0"),$I2817))</f>
        <v/>
      </c>
    </row>
    <row r="2818">
      <c r="B2818" s="25" t="n"/>
      <c r="I2818" s="25" t="n"/>
      <c r="U2818" s="19">
        <f>IF($V2818&lt;&gt;'設定'!$C$4,N(U2817),IF(OR(NOT(COUNTIF('商品マスタ'!$B$6:$B$1005,$W2818)=0),COUNTIFS('①在庫を貼る'!$V$6:$V$10005,$V2818,'①在庫を貼る'!$W$6:$W$10005,$W2818)+COUNTIFS('月1回_1ヶ月前の在庫'!$V$6:$V$10005,$V2818,'月1回_1ヶ月前の在庫'!$W$6:$W$10005,$W2818)&gt;0),N(U2817),N(U2817)+1))</f>
        <v/>
      </c>
      <c r="V2818" s="19">
        <f>IF($B2818="","",TEXT($B2818,"0000"))</f>
        <v/>
      </c>
      <c r="W2818" s="19">
        <f>IF($I2818="","",IF(ISNUMBER($I2818),TEXT($I2818,"0"),$I2818))</f>
        <v/>
      </c>
    </row>
    <row r="2819">
      <c r="B2819" s="25" t="n"/>
      <c r="I2819" s="25" t="n"/>
      <c r="U2819" s="19">
        <f>IF($V2819&lt;&gt;'設定'!$C$4,N(U2818),IF(OR(NOT(COUNTIF('商品マスタ'!$B$6:$B$1005,$W2819)=0),COUNTIFS('①在庫を貼る'!$V$6:$V$10005,$V2819,'①在庫を貼る'!$W$6:$W$10005,$W2819)+COUNTIFS('月1回_1ヶ月前の在庫'!$V$6:$V$10005,$V2819,'月1回_1ヶ月前の在庫'!$W$6:$W$10005,$W2819)&gt;0),N(U2818),N(U2818)+1))</f>
        <v/>
      </c>
      <c r="V2819" s="19">
        <f>IF($B2819="","",TEXT($B2819,"0000"))</f>
        <v/>
      </c>
      <c r="W2819" s="19">
        <f>IF($I2819="","",IF(ISNUMBER($I2819),TEXT($I2819,"0"),$I2819))</f>
        <v/>
      </c>
    </row>
    <row r="2820">
      <c r="B2820" s="25" t="n"/>
      <c r="I2820" s="25" t="n"/>
      <c r="U2820" s="19">
        <f>IF($V2820&lt;&gt;'設定'!$C$4,N(U2819),IF(OR(NOT(COUNTIF('商品マスタ'!$B$6:$B$1005,$W2820)=0),COUNTIFS('①在庫を貼る'!$V$6:$V$10005,$V2820,'①在庫を貼る'!$W$6:$W$10005,$W2820)+COUNTIFS('月1回_1ヶ月前の在庫'!$V$6:$V$10005,$V2820,'月1回_1ヶ月前の在庫'!$W$6:$W$10005,$W2820)&gt;0),N(U2819),N(U2819)+1))</f>
        <v/>
      </c>
      <c r="V2820" s="19">
        <f>IF($B2820="","",TEXT($B2820,"0000"))</f>
        <v/>
      </c>
      <c r="W2820" s="19">
        <f>IF($I2820="","",IF(ISNUMBER($I2820),TEXT($I2820,"0"),$I2820))</f>
        <v/>
      </c>
    </row>
    <row r="2821">
      <c r="B2821" s="25" t="n"/>
      <c r="I2821" s="25" t="n"/>
      <c r="U2821" s="19">
        <f>IF($V2821&lt;&gt;'設定'!$C$4,N(U2820),IF(OR(NOT(COUNTIF('商品マスタ'!$B$6:$B$1005,$W2821)=0),COUNTIFS('①在庫を貼る'!$V$6:$V$10005,$V2821,'①在庫を貼る'!$W$6:$W$10005,$W2821)+COUNTIFS('月1回_1ヶ月前の在庫'!$V$6:$V$10005,$V2821,'月1回_1ヶ月前の在庫'!$W$6:$W$10005,$W2821)&gt;0),N(U2820),N(U2820)+1))</f>
        <v/>
      </c>
      <c r="V2821" s="19">
        <f>IF($B2821="","",TEXT($B2821,"0000"))</f>
        <v/>
      </c>
      <c r="W2821" s="19">
        <f>IF($I2821="","",IF(ISNUMBER($I2821),TEXT($I2821,"0"),$I2821))</f>
        <v/>
      </c>
    </row>
    <row r="2822">
      <c r="B2822" s="25" t="n"/>
      <c r="I2822" s="25" t="n"/>
      <c r="U2822" s="19">
        <f>IF($V2822&lt;&gt;'設定'!$C$4,N(U2821),IF(OR(NOT(COUNTIF('商品マスタ'!$B$6:$B$1005,$W2822)=0),COUNTIFS('①在庫を貼る'!$V$6:$V$10005,$V2822,'①在庫を貼る'!$W$6:$W$10005,$W2822)+COUNTIFS('月1回_1ヶ月前の在庫'!$V$6:$V$10005,$V2822,'月1回_1ヶ月前の在庫'!$W$6:$W$10005,$W2822)&gt;0),N(U2821),N(U2821)+1))</f>
        <v/>
      </c>
      <c r="V2822" s="19">
        <f>IF($B2822="","",TEXT($B2822,"0000"))</f>
        <v/>
      </c>
      <c r="W2822" s="19">
        <f>IF($I2822="","",IF(ISNUMBER($I2822),TEXT($I2822,"0"),$I2822))</f>
        <v/>
      </c>
    </row>
    <row r="2823">
      <c r="B2823" s="25" t="n"/>
      <c r="I2823" s="25" t="n"/>
      <c r="U2823" s="19">
        <f>IF($V2823&lt;&gt;'設定'!$C$4,N(U2822),IF(OR(NOT(COUNTIF('商品マスタ'!$B$6:$B$1005,$W2823)=0),COUNTIFS('①在庫を貼る'!$V$6:$V$10005,$V2823,'①在庫を貼る'!$W$6:$W$10005,$W2823)+COUNTIFS('月1回_1ヶ月前の在庫'!$V$6:$V$10005,$V2823,'月1回_1ヶ月前の在庫'!$W$6:$W$10005,$W2823)&gt;0),N(U2822),N(U2822)+1))</f>
        <v/>
      </c>
      <c r="V2823" s="19">
        <f>IF($B2823="","",TEXT($B2823,"0000"))</f>
        <v/>
      </c>
      <c r="W2823" s="19">
        <f>IF($I2823="","",IF(ISNUMBER($I2823),TEXT($I2823,"0"),$I2823))</f>
        <v/>
      </c>
    </row>
    <row r="2824">
      <c r="B2824" s="25" t="n"/>
      <c r="I2824" s="25" t="n"/>
      <c r="U2824" s="19">
        <f>IF($V2824&lt;&gt;'設定'!$C$4,N(U2823),IF(OR(NOT(COUNTIF('商品マスタ'!$B$6:$B$1005,$W2824)=0),COUNTIFS('①在庫を貼る'!$V$6:$V$10005,$V2824,'①在庫を貼る'!$W$6:$W$10005,$W2824)+COUNTIFS('月1回_1ヶ月前の在庫'!$V$6:$V$10005,$V2824,'月1回_1ヶ月前の在庫'!$W$6:$W$10005,$W2824)&gt;0),N(U2823),N(U2823)+1))</f>
        <v/>
      </c>
      <c r="V2824" s="19">
        <f>IF($B2824="","",TEXT($B2824,"0000"))</f>
        <v/>
      </c>
      <c r="W2824" s="19">
        <f>IF($I2824="","",IF(ISNUMBER($I2824),TEXT($I2824,"0"),$I2824))</f>
        <v/>
      </c>
    </row>
    <row r="2825">
      <c r="B2825" s="25" t="n"/>
      <c r="I2825" s="25" t="n"/>
      <c r="U2825" s="19">
        <f>IF($V2825&lt;&gt;'設定'!$C$4,N(U2824),IF(OR(NOT(COUNTIF('商品マスタ'!$B$6:$B$1005,$W2825)=0),COUNTIFS('①在庫を貼る'!$V$6:$V$10005,$V2825,'①在庫を貼る'!$W$6:$W$10005,$W2825)+COUNTIFS('月1回_1ヶ月前の在庫'!$V$6:$V$10005,$V2825,'月1回_1ヶ月前の在庫'!$W$6:$W$10005,$W2825)&gt;0),N(U2824),N(U2824)+1))</f>
        <v/>
      </c>
      <c r="V2825" s="19">
        <f>IF($B2825="","",TEXT($B2825,"0000"))</f>
        <v/>
      </c>
      <c r="W2825" s="19">
        <f>IF($I2825="","",IF(ISNUMBER($I2825),TEXT($I2825,"0"),$I2825))</f>
        <v/>
      </c>
    </row>
    <row r="2826">
      <c r="B2826" s="25" t="n"/>
      <c r="I2826" s="25" t="n"/>
      <c r="U2826" s="19">
        <f>IF($V2826&lt;&gt;'設定'!$C$4,N(U2825),IF(OR(NOT(COUNTIF('商品マスタ'!$B$6:$B$1005,$W2826)=0),COUNTIFS('①在庫を貼る'!$V$6:$V$10005,$V2826,'①在庫を貼る'!$W$6:$W$10005,$W2826)+COUNTIFS('月1回_1ヶ月前の在庫'!$V$6:$V$10005,$V2826,'月1回_1ヶ月前の在庫'!$W$6:$W$10005,$W2826)&gt;0),N(U2825),N(U2825)+1))</f>
        <v/>
      </c>
      <c r="V2826" s="19">
        <f>IF($B2826="","",TEXT($B2826,"0000"))</f>
        <v/>
      </c>
      <c r="W2826" s="19">
        <f>IF($I2826="","",IF(ISNUMBER($I2826),TEXT($I2826,"0"),$I2826))</f>
        <v/>
      </c>
    </row>
    <row r="2827">
      <c r="B2827" s="25" t="n"/>
      <c r="I2827" s="25" t="n"/>
      <c r="U2827" s="19">
        <f>IF($V2827&lt;&gt;'設定'!$C$4,N(U2826),IF(OR(NOT(COUNTIF('商品マスタ'!$B$6:$B$1005,$W2827)=0),COUNTIFS('①在庫を貼る'!$V$6:$V$10005,$V2827,'①在庫を貼る'!$W$6:$W$10005,$W2827)+COUNTIFS('月1回_1ヶ月前の在庫'!$V$6:$V$10005,$V2827,'月1回_1ヶ月前の在庫'!$W$6:$W$10005,$W2827)&gt;0),N(U2826),N(U2826)+1))</f>
        <v/>
      </c>
      <c r="V2827" s="19">
        <f>IF($B2827="","",TEXT($B2827,"0000"))</f>
        <v/>
      </c>
      <c r="W2827" s="19">
        <f>IF($I2827="","",IF(ISNUMBER($I2827),TEXT($I2827,"0"),$I2827))</f>
        <v/>
      </c>
    </row>
    <row r="2828">
      <c r="B2828" s="25" t="n"/>
      <c r="I2828" s="25" t="n"/>
      <c r="U2828" s="19">
        <f>IF($V2828&lt;&gt;'設定'!$C$4,N(U2827),IF(OR(NOT(COUNTIF('商品マスタ'!$B$6:$B$1005,$W2828)=0),COUNTIFS('①在庫を貼る'!$V$6:$V$10005,$V2828,'①在庫を貼る'!$W$6:$W$10005,$W2828)+COUNTIFS('月1回_1ヶ月前の在庫'!$V$6:$V$10005,$V2828,'月1回_1ヶ月前の在庫'!$W$6:$W$10005,$W2828)&gt;0),N(U2827),N(U2827)+1))</f>
        <v/>
      </c>
      <c r="V2828" s="19">
        <f>IF($B2828="","",TEXT($B2828,"0000"))</f>
        <v/>
      </c>
      <c r="W2828" s="19">
        <f>IF($I2828="","",IF(ISNUMBER($I2828),TEXT($I2828,"0"),$I2828))</f>
        <v/>
      </c>
    </row>
    <row r="2829">
      <c r="B2829" s="25" t="n"/>
      <c r="I2829" s="25" t="n"/>
      <c r="U2829" s="19">
        <f>IF($V2829&lt;&gt;'設定'!$C$4,N(U2828),IF(OR(NOT(COUNTIF('商品マスタ'!$B$6:$B$1005,$W2829)=0),COUNTIFS('①在庫を貼る'!$V$6:$V$10005,$V2829,'①在庫を貼る'!$W$6:$W$10005,$W2829)+COUNTIFS('月1回_1ヶ月前の在庫'!$V$6:$V$10005,$V2829,'月1回_1ヶ月前の在庫'!$W$6:$W$10005,$W2829)&gt;0),N(U2828),N(U2828)+1))</f>
        <v/>
      </c>
      <c r="V2829" s="19">
        <f>IF($B2829="","",TEXT($B2829,"0000"))</f>
        <v/>
      </c>
      <c r="W2829" s="19">
        <f>IF($I2829="","",IF(ISNUMBER($I2829),TEXT($I2829,"0"),$I2829))</f>
        <v/>
      </c>
    </row>
    <row r="2830">
      <c r="B2830" s="25" t="n"/>
      <c r="I2830" s="25" t="n"/>
      <c r="U2830" s="19">
        <f>IF($V2830&lt;&gt;'設定'!$C$4,N(U2829),IF(OR(NOT(COUNTIF('商品マスタ'!$B$6:$B$1005,$W2830)=0),COUNTIFS('①在庫を貼る'!$V$6:$V$10005,$V2830,'①在庫を貼る'!$W$6:$W$10005,$W2830)+COUNTIFS('月1回_1ヶ月前の在庫'!$V$6:$V$10005,$V2830,'月1回_1ヶ月前の在庫'!$W$6:$W$10005,$W2830)&gt;0),N(U2829),N(U2829)+1))</f>
        <v/>
      </c>
      <c r="V2830" s="19">
        <f>IF($B2830="","",TEXT($B2830,"0000"))</f>
        <v/>
      </c>
      <c r="W2830" s="19">
        <f>IF($I2830="","",IF(ISNUMBER($I2830),TEXT($I2830,"0"),$I2830))</f>
        <v/>
      </c>
    </row>
    <row r="2831">
      <c r="B2831" s="25" t="n"/>
      <c r="I2831" s="25" t="n"/>
      <c r="U2831" s="19">
        <f>IF($V2831&lt;&gt;'設定'!$C$4,N(U2830),IF(OR(NOT(COUNTIF('商品マスタ'!$B$6:$B$1005,$W2831)=0),COUNTIFS('①在庫を貼る'!$V$6:$V$10005,$V2831,'①在庫を貼る'!$W$6:$W$10005,$W2831)+COUNTIFS('月1回_1ヶ月前の在庫'!$V$6:$V$10005,$V2831,'月1回_1ヶ月前の在庫'!$W$6:$W$10005,$W2831)&gt;0),N(U2830),N(U2830)+1))</f>
        <v/>
      </c>
      <c r="V2831" s="19">
        <f>IF($B2831="","",TEXT($B2831,"0000"))</f>
        <v/>
      </c>
      <c r="W2831" s="19">
        <f>IF($I2831="","",IF(ISNUMBER($I2831),TEXT($I2831,"0"),$I2831))</f>
        <v/>
      </c>
    </row>
    <row r="2832">
      <c r="B2832" s="25" t="n"/>
      <c r="I2832" s="25" t="n"/>
      <c r="U2832" s="19">
        <f>IF($V2832&lt;&gt;'設定'!$C$4,N(U2831),IF(OR(NOT(COUNTIF('商品マスタ'!$B$6:$B$1005,$W2832)=0),COUNTIFS('①在庫を貼る'!$V$6:$V$10005,$V2832,'①在庫を貼る'!$W$6:$W$10005,$W2832)+COUNTIFS('月1回_1ヶ月前の在庫'!$V$6:$V$10005,$V2832,'月1回_1ヶ月前の在庫'!$W$6:$W$10005,$W2832)&gt;0),N(U2831),N(U2831)+1))</f>
        <v/>
      </c>
      <c r="V2832" s="19">
        <f>IF($B2832="","",TEXT($B2832,"0000"))</f>
        <v/>
      </c>
      <c r="W2832" s="19">
        <f>IF($I2832="","",IF(ISNUMBER($I2832),TEXT($I2832,"0"),$I2832))</f>
        <v/>
      </c>
    </row>
    <row r="2833">
      <c r="B2833" s="25" t="n"/>
      <c r="I2833" s="25" t="n"/>
      <c r="U2833" s="19">
        <f>IF($V2833&lt;&gt;'設定'!$C$4,N(U2832),IF(OR(NOT(COUNTIF('商品マスタ'!$B$6:$B$1005,$W2833)=0),COUNTIFS('①在庫を貼る'!$V$6:$V$10005,$V2833,'①在庫を貼る'!$W$6:$W$10005,$W2833)+COUNTIFS('月1回_1ヶ月前の在庫'!$V$6:$V$10005,$V2833,'月1回_1ヶ月前の在庫'!$W$6:$W$10005,$W2833)&gt;0),N(U2832),N(U2832)+1))</f>
        <v/>
      </c>
      <c r="V2833" s="19">
        <f>IF($B2833="","",TEXT($B2833,"0000"))</f>
        <v/>
      </c>
      <c r="W2833" s="19">
        <f>IF($I2833="","",IF(ISNUMBER($I2833),TEXT($I2833,"0"),$I2833))</f>
        <v/>
      </c>
    </row>
    <row r="2834">
      <c r="B2834" s="25" t="n"/>
      <c r="I2834" s="25" t="n"/>
      <c r="U2834" s="19">
        <f>IF($V2834&lt;&gt;'設定'!$C$4,N(U2833),IF(OR(NOT(COUNTIF('商品マスタ'!$B$6:$B$1005,$W2834)=0),COUNTIFS('①在庫を貼る'!$V$6:$V$10005,$V2834,'①在庫を貼る'!$W$6:$W$10005,$W2834)+COUNTIFS('月1回_1ヶ月前の在庫'!$V$6:$V$10005,$V2834,'月1回_1ヶ月前の在庫'!$W$6:$W$10005,$W2834)&gt;0),N(U2833),N(U2833)+1))</f>
        <v/>
      </c>
      <c r="V2834" s="19">
        <f>IF($B2834="","",TEXT($B2834,"0000"))</f>
        <v/>
      </c>
      <c r="W2834" s="19">
        <f>IF($I2834="","",IF(ISNUMBER($I2834),TEXT($I2834,"0"),$I2834))</f>
        <v/>
      </c>
    </row>
    <row r="2835">
      <c r="B2835" s="25" t="n"/>
      <c r="I2835" s="25" t="n"/>
      <c r="U2835" s="19">
        <f>IF($V2835&lt;&gt;'設定'!$C$4,N(U2834),IF(OR(NOT(COUNTIF('商品マスタ'!$B$6:$B$1005,$W2835)=0),COUNTIFS('①在庫を貼る'!$V$6:$V$10005,$V2835,'①在庫を貼る'!$W$6:$W$10005,$W2835)+COUNTIFS('月1回_1ヶ月前の在庫'!$V$6:$V$10005,$V2835,'月1回_1ヶ月前の在庫'!$W$6:$W$10005,$W2835)&gt;0),N(U2834),N(U2834)+1))</f>
        <v/>
      </c>
      <c r="V2835" s="19">
        <f>IF($B2835="","",TEXT($B2835,"0000"))</f>
        <v/>
      </c>
      <c r="W2835" s="19">
        <f>IF($I2835="","",IF(ISNUMBER($I2835),TEXT($I2835,"0"),$I2835))</f>
        <v/>
      </c>
    </row>
    <row r="2836">
      <c r="B2836" s="25" t="n"/>
      <c r="I2836" s="25" t="n"/>
      <c r="U2836" s="19">
        <f>IF($V2836&lt;&gt;'設定'!$C$4,N(U2835),IF(OR(NOT(COUNTIF('商品マスタ'!$B$6:$B$1005,$W2836)=0),COUNTIFS('①在庫を貼る'!$V$6:$V$10005,$V2836,'①在庫を貼る'!$W$6:$W$10005,$W2836)+COUNTIFS('月1回_1ヶ月前の在庫'!$V$6:$V$10005,$V2836,'月1回_1ヶ月前の在庫'!$W$6:$W$10005,$W2836)&gt;0),N(U2835),N(U2835)+1))</f>
        <v/>
      </c>
      <c r="V2836" s="19">
        <f>IF($B2836="","",TEXT($B2836,"0000"))</f>
        <v/>
      </c>
      <c r="W2836" s="19">
        <f>IF($I2836="","",IF(ISNUMBER($I2836),TEXT($I2836,"0"),$I2836))</f>
        <v/>
      </c>
    </row>
    <row r="2837">
      <c r="B2837" s="25" t="n"/>
      <c r="I2837" s="25" t="n"/>
      <c r="U2837" s="19">
        <f>IF($V2837&lt;&gt;'設定'!$C$4,N(U2836),IF(OR(NOT(COUNTIF('商品マスタ'!$B$6:$B$1005,$W2837)=0),COUNTIFS('①在庫を貼る'!$V$6:$V$10005,$V2837,'①在庫を貼る'!$W$6:$W$10005,$W2837)+COUNTIFS('月1回_1ヶ月前の在庫'!$V$6:$V$10005,$V2837,'月1回_1ヶ月前の在庫'!$W$6:$W$10005,$W2837)&gt;0),N(U2836),N(U2836)+1))</f>
        <v/>
      </c>
      <c r="V2837" s="19">
        <f>IF($B2837="","",TEXT($B2837,"0000"))</f>
        <v/>
      </c>
      <c r="W2837" s="19">
        <f>IF($I2837="","",IF(ISNUMBER($I2837),TEXT($I2837,"0"),$I2837))</f>
        <v/>
      </c>
    </row>
    <row r="2838">
      <c r="B2838" s="25" t="n"/>
      <c r="I2838" s="25" t="n"/>
      <c r="U2838" s="19">
        <f>IF($V2838&lt;&gt;'設定'!$C$4,N(U2837),IF(OR(NOT(COUNTIF('商品マスタ'!$B$6:$B$1005,$W2838)=0),COUNTIFS('①在庫を貼る'!$V$6:$V$10005,$V2838,'①在庫を貼る'!$W$6:$W$10005,$W2838)+COUNTIFS('月1回_1ヶ月前の在庫'!$V$6:$V$10005,$V2838,'月1回_1ヶ月前の在庫'!$W$6:$W$10005,$W2838)&gt;0),N(U2837),N(U2837)+1))</f>
        <v/>
      </c>
      <c r="V2838" s="19">
        <f>IF($B2838="","",TEXT($B2838,"0000"))</f>
        <v/>
      </c>
      <c r="W2838" s="19">
        <f>IF($I2838="","",IF(ISNUMBER($I2838),TEXT($I2838,"0"),$I2838))</f>
        <v/>
      </c>
    </row>
    <row r="2839">
      <c r="B2839" s="25" t="n"/>
      <c r="I2839" s="25" t="n"/>
      <c r="U2839" s="19">
        <f>IF($V2839&lt;&gt;'設定'!$C$4,N(U2838),IF(OR(NOT(COUNTIF('商品マスタ'!$B$6:$B$1005,$W2839)=0),COUNTIFS('①在庫を貼る'!$V$6:$V$10005,$V2839,'①在庫を貼る'!$W$6:$W$10005,$W2839)+COUNTIFS('月1回_1ヶ月前の在庫'!$V$6:$V$10005,$V2839,'月1回_1ヶ月前の在庫'!$W$6:$W$10005,$W2839)&gt;0),N(U2838),N(U2838)+1))</f>
        <v/>
      </c>
      <c r="V2839" s="19">
        <f>IF($B2839="","",TEXT($B2839,"0000"))</f>
        <v/>
      </c>
      <c r="W2839" s="19">
        <f>IF($I2839="","",IF(ISNUMBER($I2839),TEXT($I2839,"0"),$I2839))</f>
        <v/>
      </c>
    </row>
    <row r="2840">
      <c r="B2840" s="25" t="n"/>
      <c r="I2840" s="25" t="n"/>
      <c r="U2840" s="19">
        <f>IF($V2840&lt;&gt;'設定'!$C$4,N(U2839),IF(OR(NOT(COUNTIF('商品マスタ'!$B$6:$B$1005,$W2840)=0),COUNTIFS('①在庫を貼る'!$V$6:$V$10005,$V2840,'①在庫を貼る'!$W$6:$W$10005,$W2840)+COUNTIFS('月1回_1ヶ月前の在庫'!$V$6:$V$10005,$V2840,'月1回_1ヶ月前の在庫'!$W$6:$W$10005,$W2840)&gt;0),N(U2839),N(U2839)+1))</f>
        <v/>
      </c>
      <c r="V2840" s="19">
        <f>IF($B2840="","",TEXT($B2840,"0000"))</f>
        <v/>
      </c>
      <c r="W2840" s="19">
        <f>IF($I2840="","",IF(ISNUMBER($I2840),TEXT($I2840,"0"),$I2840))</f>
        <v/>
      </c>
    </row>
    <row r="2841">
      <c r="B2841" s="25" t="n"/>
      <c r="I2841" s="25" t="n"/>
      <c r="U2841" s="19">
        <f>IF($V2841&lt;&gt;'設定'!$C$4,N(U2840),IF(OR(NOT(COUNTIF('商品マスタ'!$B$6:$B$1005,$W2841)=0),COUNTIFS('①在庫を貼る'!$V$6:$V$10005,$V2841,'①在庫を貼る'!$W$6:$W$10005,$W2841)+COUNTIFS('月1回_1ヶ月前の在庫'!$V$6:$V$10005,$V2841,'月1回_1ヶ月前の在庫'!$W$6:$W$10005,$W2841)&gt;0),N(U2840),N(U2840)+1))</f>
        <v/>
      </c>
      <c r="V2841" s="19">
        <f>IF($B2841="","",TEXT($B2841,"0000"))</f>
        <v/>
      </c>
      <c r="W2841" s="19">
        <f>IF($I2841="","",IF(ISNUMBER($I2841),TEXT($I2841,"0"),$I2841))</f>
        <v/>
      </c>
    </row>
    <row r="2842">
      <c r="B2842" s="25" t="n"/>
      <c r="I2842" s="25" t="n"/>
      <c r="U2842" s="19">
        <f>IF($V2842&lt;&gt;'設定'!$C$4,N(U2841),IF(OR(NOT(COUNTIF('商品マスタ'!$B$6:$B$1005,$W2842)=0),COUNTIFS('①在庫を貼る'!$V$6:$V$10005,$V2842,'①在庫を貼る'!$W$6:$W$10005,$W2842)+COUNTIFS('月1回_1ヶ月前の在庫'!$V$6:$V$10005,$V2842,'月1回_1ヶ月前の在庫'!$W$6:$W$10005,$W2842)&gt;0),N(U2841),N(U2841)+1))</f>
        <v/>
      </c>
      <c r="V2842" s="19">
        <f>IF($B2842="","",TEXT($B2842,"0000"))</f>
        <v/>
      </c>
      <c r="W2842" s="19">
        <f>IF($I2842="","",IF(ISNUMBER($I2842),TEXT($I2842,"0"),$I2842))</f>
        <v/>
      </c>
    </row>
    <row r="2843">
      <c r="B2843" s="25" t="n"/>
      <c r="I2843" s="25" t="n"/>
      <c r="U2843" s="19">
        <f>IF($V2843&lt;&gt;'設定'!$C$4,N(U2842),IF(OR(NOT(COUNTIF('商品マスタ'!$B$6:$B$1005,$W2843)=0),COUNTIFS('①在庫を貼る'!$V$6:$V$10005,$V2843,'①在庫を貼る'!$W$6:$W$10005,$W2843)+COUNTIFS('月1回_1ヶ月前の在庫'!$V$6:$V$10005,$V2843,'月1回_1ヶ月前の在庫'!$W$6:$W$10005,$W2843)&gt;0),N(U2842),N(U2842)+1))</f>
        <v/>
      </c>
      <c r="V2843" s="19">
        <f>IF($B2843="","",TEXT($B2843,"0000"))</f>
        <v/>
      </c>
      <c r="W2843" s="19">
        <f>IF($I2843="","",IF(ISNUMBER($I2843),TEXT($I2843,"0"),$I2843))</f>
        <v/>
      </c>
    </row>
    <row r="2844">
      <c r="B2844" s="25" t="n"/>
      <c r="I2844" s="25" t="n"/>
      <c r="U2844" s="19">
        <f>IF($V2844&lt;&gt;'設定'!$C$4,N(U2843),IF(OR(NOT(COUNTIF('商品マスタ'!$B$6:$B$1005,$W2844)=0),COUNTIFS('①在庫を貼る'!$V$6:$V$10005,$V2844,'①在庫を貼る'!$W$6:$W$10005,$W2844)+COUNTIFS('月1回_1ヶ月前の在庫'!$V$6:$V$10005,$V2844,'月1回_1ヶ月前の在庫'!$W$6:$W$10005,$W2844)&gt;0),N(U2843),N(U2843)+1))</f>
        <v/>
      </c>
      <c r="V2844" s="19">
        <f>IF($B2844="","",TEXT($B2844,"0000"))</f>
        <v/>
      </c>
      <c r="W2844" s="19">
        <f>IF($I2844="","",IF(ISNUMBER($I2844),TEXT($I2844,"0"),$I2844))</f>
        <v/>
      </c>
    </row>
    <row r="2845">
      <c r="B2845" s="25" t="n"/>
      <c r="I2845" s="25" t="n"/>
      <c r="U2845" s="19">
        <f>IF($V2845&lt;&gt;'設定'!$C$4,N(U2844),IF(OR(NOT(COUNTIF('商品マスタ'!$B$6:$B$1005,$W2845)=0),COUNTIFS('①在庫を貼る'!$V$6:$V$10005,$V2845,'①在庫を貼る'!$W$6:$W$10005,$W2845)+COUNTIFS('月1回_1ヶ月前の在庫'!$V$6:$V$10005,$V2845,'月1回_1ヶ月前の在庫'!$W$6:$W$10005,$W2845)&gt;0),N(U2844),N(U2844)+1))</f>
        <v/>
      </c>
      <c r="V2845" s="19">
        <f>IF($B2845="","",TEXT($B2845,"0000"))</f>
        <v/>
      </c>
      <c r="W2845" s="19">
        <f>IF($I2845="","",IF(ISNUMBER($I2845),TEXT($I2845,"0"),$I2845))</f>
        <v/>
      </c>
    </row>
    <row r="2846">
      <c r="B2846" s="25" t="n"/>
      <c r="I2846" s="25" t="n"/>
      <c r="U2846" s="19">
        <f>IF($V2846&lt;&gt;'設定'!$C$4,N(U2845),IF(OR(NOT(COUNTIF('商品マスタ'!$B$6:$B$1005,$W2846)=0),COUNTIFS('①在庫を貼る'!$V$6:$V$10005,$V2846,'①在庫を貼る'!$W$6:$W$10005,$W2846)+COUNTIFS('月1回_1ヶ月前の在庫'!$V$6:$V$10005,$V2846,'月1回_1ヶ月前の在庫'!$W$6:$W$10005,$W2846)&gt;0),N(U2845),N(U2845)+1))</f>
        <v/>
      </c>
      <c r="V2846" s="19">
        <f>IF($B2846="","",TEXT($B2846,"0000"))</f>
        <v/>
      </c>
      <c r="W2846" s="19">
        <f>IF($I2846="","",IF(ISNUMBER($I2846),TEXT($I2846,"0"),$I2846))</f>
        <v/>
      </c>
    </row>
    <row r="2847">
      <c r="B2847" s="25" t="n"/>
      <c r="I2847" s="25" t="n"/>
      <c r="U2847" s="19">
        <f>IF($V2847&lt;&gt;'設定'!$C$4,N(U2846),IF(OR(NOT(COUNTIF('商品マスタ'!$B$6:$B$1005,$W2847)=0),COUNTIFS('①在庫を貼る'!$V$6:$V$10005,$V2847,'①在庫を貼る'!$W$6:$W$10005,$W2847)+COUNTIFS('月1回_1ヶ月前の在庫'!$V$6:$V$10005,$V2847,'月1回_1ヶ月前の在庫'!$W$6:$W$10005,$W2847)&gt;0),N(U2846),N(U2846)+1))</f>
        <v/>
      </c>
      <c r="V2847" s="19">
        <f>IF($B2847="","",TEXT($B2847,"0000"))</f>
        <v/>
      </c>
      <c r="W2847" s="19">
        <f>IF($I2847="","",IF(ISNUMBER($I2847),TEXT($I2847,"0"),$I2847))</f>
        <v/>
      </c>
    </row>
    <row r="2848">
      <c r="B2848" s="25" t="n"/>
      <c r="I2848" s="25" t="n"/>
      <c r="U2848" s="19">
        <f>IF($V2848&lt;&gt;'設定'!$C$4,N(U2847),IF(OR(NOT(COUNTIF('商品マスタ'!$B$6:$B$1005,$W2848)=0),COUNTIFS('①在庫を貼る'!$V$6:$V$10005,$V2848,'①在庫を貼る'!$W$6:$W$10005,$W2848)+COUNTIFS('月1回_1ヶ月前の在庫'!$V$6:$V$10005,$V2848,'月1回_1ヶ月前の在庫'!$W$6:$W$10005,$W2848)&gt;0),N(U2847),N(U2847)+1))</f>
        <v/>
      </c>
      <c r="V2848" s="19">
        <f>IF($B2848="","",TEXT($B2848,"0000"))</f>
        <v/>
      </c>
      <c r="W2848" s="19">
        <f>IF($I2848="","",IF(ISNUMBER($I2848),TEXT($I2848,"0"),$I2848))</f>
        <v/>
      </c>
    </row>
    <row r="2849">
      <c r="B2849" s="25" t="n"/>
      <c r="I2849" s="25" t="n"/>
      <c r="U2849" s="19">
        <f>IF($V2849&lt;&gt;'設定'!$C$4,N(U2848),IF(OR(NOT(COUNTIF('商品マスタ'!$B$6:$B$1005,$W2849)=0),COUNTIFS('①在庫を貼る'!$V$6:$V$10005,$V2849,'①在庫を貼る'!$W$6:$W$10005,$W2849)+COUNTIFS('月1回_1ヶ月前の在庫'!$V$6:$V$10005,$V2849,'月1回_1ヶ月前の在庫'!$W$6:$W$10005,$W2849)&gt;0),N(U2848),N(U2848)+1))</f>
        <v/>
      </c>
      <c r="V2849" s="19">
        <f>IF($B2849="","",TEXT($B2849,"0000"))</f>
        <v/>
      </c>
      <c r="W2849" s="19">
        <f>IF($I2849="","",IF(ISNUMBER($I2849),TEXT($I2849,"0"),$I2849))</f>
        <v/>
      </c>
    </row>
    <row r="2850">
      <c r="B2850" s="25" t="n"/>
      <c r="I2850" s="25" t="n"/>
      <c r="U2850" s="19">
        <f>IF($V2850&lt;&gt;'設定'!$C$4,N(U2849),IF(OR(NOT(COUNTIF('商品マスタ'!$B$6:$B$1005,$W2850)=0),COUNTIFS('①在庫を貼る'!$V$6:$V$10005,$V2850,'①在庫を貼る'!$W$6:$W$10005,$W2850)+COUNTIFS('月1回_1ヶ月前の在庫'!$V$6:$V$10005,$V2850,'月1回_1ヶ月前の在庫'!$W$6:$W$10005,$W2850)&gt;0),N(U2849),N(U2849)+1))</f>
        <v/>
      </c>
      <c r="V2850" s="19">
        <f>IF($B2850="","",TEXT($B2850,"0000"))</f>
        <v/>
      </c>
      <c r="W2850" s="19">
        <f>IF($I2850="","",IF(ISNUMBER($I2850),TEXT($I2850,"0"),$I2850))</f>
        <v/>
      </c>
    </row>
    <row r="2851">
      <c r="B2851" s="25" t="n"/>
      <c r="I2851" s="25" t="n"/>
      <c r="U2851" s="19">
        <f>IF($V2851&lt;&gt;'設定'!$C$4,N(U2850),IF(OR(NOT(COUNTIF('商品マスタ'!$B$6:$B$1005,$W2851)=0),COUNTIFS('①在庫を貼る'!$V$6:$V$10005,$V2851,'①在庫を貼る'!$W$6:$W$10005,$W2851)+COUNTIFS('月1回_1ヶ月前の在庫'!$V$6:$V$10005,$V2851,'月1回_1ヶ月前の在庫'!$W$6:$W$10005,$W2851)&gt;0),N(U2850),N(U2850)+1))</f>
        <v/>
      </c>
      <c r="V2851" s="19">
        <f>IF($B2851="","",TEXT($B2851,"0000"))</f>
        <v/>
      </c>
      <c r="W2851" s="19">
        <f>IF($I2851="","",IF(ISNUMBER($I2851),TEXT($I2851,"0"),$I2851))</f>
        <v/>
      </c>
    </row>
    <row r="2852">
      <c r="B2852" s="25" t="n"/>
      <c r="I2852" s="25" t="n"/>
      <c r="U2852" s="19">
        <f>IF($V2852&lt;&gt;'設定'!$C$4,N(U2851),IF(OR(NOT(COUNTIF('商品マスタ'!$B$6:$B$1005,$W2852)=0),COUNTIFS('①在庫を貼る'!$V$6:$V$10005,$V2852,'①在庫を貼る'!$W$6:$W$10005,$W2852)+COUNTIFS('月1回_1ヶ月前の在庫'!$V$6:$V$10005,$V2852,'月1回_1ヶ月前の在庫'!$W$6:$W$10005,$W2852)&gt;0),N(U2851),N(U2851)+1))</f>
        <v/>
      </c>
      <c r="V2852" s="19">
        <f>IF($B2852="","",TEXT($B2852,"0000"))</f>
        <v/>
      </c>
      <c r="W2852" s="19">
        <f>IF($I2852="","",IF(ISNUMBER($I2852),TEXT($I2852,"0"),$I2852))</f>
        <v/>
      </c>
    </row>
    <row r="2853">
      <c r="B2853" s="25" t="n"/>
      <c r="I2853" s="25" t="n"/>
      <c r="U2853" s="19">
        <f>IF($V2853&lt;&gt;'設定'!$C$4,N(U2852),IF(OR(NOT(COUNTIF('商品マスタ'!$B$6:$B$1005,$W2853)=0),COUNTIFS('①在庫を貼る'!$V$6:$V$10005,$V2853,'①在庫を貼る'!$W$6:$W$10005,$W2853)+COUNTIFS('月1回_1ヶ月前の在庫'!$V$6:$V$10005,$V2853,'月1回_1ヶ月前の在庫'!$W$6:$W$10005,$W2853)&gt;0),N(U2852),N(U2852)+1))</f>
        <v/>
      </c>
      <c r="V2853" s="19">
        <f>IF($B2853="","",TEXT($B2853,"0000"))</f>
        <v/>
      </c>
      <c r="W2853" s="19">
        <f>IF($I2853="","",IF(ISNUMBER($I2853),TEXT($I2853,"0"),$I2853))</f>
        <v/>
      </c>
    </row>
    <row r="2854">
      <c r="B2854" s="25" t="n"/>
      <c r="I2854" s="25" t="n"/>
      <c r="U2854" s="19">
        <f>IF($V2854&lt;&gt;'設定'!$C$4,N(U2853),IF(OR(NOT(COUNTIF('商品マスタ'!$B$6:$B$1005,$W2854)=0),COUNTIFS('①在庫を貼る'!$V$6:$V$10005,$V2854,'①在庫を貼る'!$W$6:$W$10005,$W2854)+COUNTIFS('月1回_1ヶ月前の在庫'!$V$6:$V$10005,$V2854,'月1回_1ヶ月前の在庫'!$W$6:$W$10005,$W2854)&gt;0),N(U2853),N(U2853)+1))</f>
        <v/>
      </c>
      <c r="V2854" s="19">
        <f>IF($B2854="","",TEXT($B2854,"0000"))</f>
        <v/>
      </c>
      <c r="W2854" s="19">
        <f>IF($I2854="","",IF(ISNUMBER($I2854),TEXT($I2854,"0"),$I2854))</f>
        <v/>
      </c>
    </row>
    <row r="2855">
      <c r="B2855" s="25" t="n"/>
      <c r="I2855" s="25" t="n"/>
      <c r="U2855" s="19">
        <f>IF($V2855&lt;&gt;'設定'!$C$4,N(U2854),IF(OR(NOT(COUNTIF('商品マスタ'!$B$6:$B$1005,$W2855)=0),COUNTIFS('①在庫を貼る'!$V$6:$V$10005,$V2855,'①在庫を貼る'!$W$6:$W$10005,$W2855)+COUNTIFS('月1回_1ヶ月前の在庫'!$V$6:$V$10005,$V2855,'月1回_1ヶ月前の在庫'!$W$6:$W$10005,$W2855)&gt;0),N(U2854),N(U2854)+1))</f>
        <v/>
      </c>
      <c r="V2855" s="19">
        <f>IF($B2855="","",TEXT($B2855,"0000"))</f>
        <v/>
      </c>
      <c r="W2855" s="19">
        <f>IF($I2855="","",IF(ISNUMBER($I2855),TEXT($I2855,"0"),$I2855))</f>
        <v/>
      </c>
    </row>
    <row r="2856">
      <c r="B2856" s="25" t="n"/>
      <c r="I2856" s="25" t="n"/>
      <c r="U2856" s="19">
        <f>IF($V2856&lt;&gt;'設定'!$C$4,N(U2855),IF(OR(NOT(COUNTIF('商品マスタ'!$B$6:$B$1005,$W2856)=0),COUNTIFS('①在庫を貼る'!$V$6:$V$10005,$V2856,'①在庫を貼る'!$W$6:$W$10005,$W2856)+COUNTIFS('月1回_1ヶ月前の在庫'!$V$6:$V$10005,$V2856,'月1回_1ヶ月前の在庫'!$W$6:$W$10005,$W2856)&gt;0),N(U2855),N(U2855)+1))</f>
        <v/>
      </c>
      <c r="V2856" s="19">
        <f>IF($B2856="","",TEXT($B2856,"0000"))</f>
        <v/>
      </c>
      <c r="W2856" s="19">
        <f>IF($I2856="","",IF(ISNUMBER($I2856),TEXT($I2856,"0"),$I2856))</f>
        <v/>
      </c>
    </row>
    <row r="2857">
      <c r="B2857" s="25" t="n"/>
      <c r="I2857" s="25" t="n"/>
      <c r="U2857" s="19">
        <f>IF($V2857&lt;&gt;'設定'!$C$4,N(U2856),IF(OR(NOT(COUNTIF('商品マスタ'!$B$6:$B$1005,$W2857)=0),COUNTIFS('①在庫を貼る'!$V$6:$V$10005,$V2857,'①在庫を貼る'!$W$6:$W$10005,$W2857)+COUNTIFS('月1回_1ヶ月前の在庫'!$V$6:$V$10005,$V2857,'月1回_1ヶ月前の在庫'!$W$6:$W$10005,$W2857)&gt;0),N(U2856),N(U2856)+1))</f>
        <v/>
      </c>
      <c r="V2857" s="19">
        <f>IF($B2857="","",TEXT($B2857,"0000"))</f>
        <v/>
      </c>
      <c r="W2857" s="19">
        <f>IF($I2857="","",IF(ISNUMBER($I2857),TEXT($I2857,"0"),$I2857))</f>
        <v/>
      </c>
    </row>
    <row r="2858">
      <c r="B2858" s="25" t="n"/>
      <c r="I2858" s="25" t="n"/>
      <c r="U2858" s="19">
        <f>IF($V2858&lt;&gt;'設定'!$C$4,N(U2857),IF(OR(NOT(COUNTIF('商品マスタ'!$B$6:$B$1005,$W2858)=0),COUNTIFS('①在庫を貼る'!$V$6:$V$10005,$V2858,'①在庫を貼る'!$W$6:$W$10005,$W2858)+COUNTIFS('月1回_1ヶ月前の在庫'!$V$6:$V$10005,$V2858,'月1回_1ヶ月前の在庫'!$W$6:$W$10005,$W2858)&gt;0),N(U2857),N(U2857)+1))</f>
        <v/>
      </c>
      <c r="V2858" s="19">
        <f>IF($B2858="","",TEXT($B2858,"0000"))</f>
        <v/>
      </c>
      <c r="W2858" s="19">
        <f>IF($I2858="","",IF(ISNUMBER($I2858),TEXT($I2858,"0"),$I2858))</f>
        <v/>
      </c>
    </row>
    <row r="2859">
      <c r="B2859" s="25" t="n"/>
      <c r="I2859" s="25" t="n"/>
      <c r="U2859" s="19">
        <f>IF($V2859&lt;&gt;'設定'!$C$4,N(U2858),IF(OR(NOT(COUNTIF('商品マスタ'!$B$6:$B$1005,$W2859)=0),COUNTIFS('①在庫を貼る'!$V$6:$V$10005,$V2859,'①在庫を貼る'!$W$6:$W$10005,$W2859)+COUNTIFS('月1回_1ヶ月前の在庫'!$V$6:$V$10005,$V2859,'月1回_1ヶ月前の在庫'!$W$6:$W$10005,$W2859)&gt;0),N(U2858),N(U2858)+1))</f>
        <v/>
      </c>
      <c r="V2859" s="19">
        <f>IF($B2859="","",TEXT($B2859,"0000"))</f>
        <v/>
      </c>
      <c r="W2859" s="19">
        <f>IF($I2859="","",IF(ISNUMBER($I2859),TEXT($I2859,"0"),$I2859))</f>
        <v/>
      </c>
    </row>
    <row r="2860">
      <c r="B2860" s="25" t="n"/>
      <c r="I2860" s="25" t="n"/>
      <c r="U2860" s="19">
        <f>IF($V2860&lt;&gt;'設定'!$C$4,N(U2859),IF(OR(NOT(COUNTIF('商品マスタ'!$B$6:$B$1005,$W2860)=0),COUNTIFS('①在庫を貼る'!$V$6:$V$10005,$V2860,'①在庫を貼る'!$W$6:$W$10005,$W2860)+COUNTIFS('月1回_1ヶ月前の在庫'!$V$6:$V$10005,$V2860,'月1回_1ヶ月前の在庫'!$W$6:$W$10005,$W2860)&gt;0),N(U2859),N(U2859)+1))</f>
        <v/>
      </c>
      <c r="V2860" s="19">
        <f>IF($B2860="","",TEXT($B2860,"0000"))</f>
        <v/>
      </c>
      <c r="W2860" s="19">
        <f>IF($I2860="","",IF(ISNUMBER($I2860),TEXT($I2860,"0"),$I2860))</f>
        <v/>
      </c>
    </row>
    <row r="2861">
      <c r="B2861" s="25" t="n"/>
      <c r="I2861" s="25" t="n"/>
      <c r="U2861" s="19">
        <f>IF($V2861&lt;&gt;'設定'!$C$4,N(U2860),IF(OR(NOT(COUNTIF('商品マスタ'!$B$6:$B$1005,$W2861)=0),COUNTIFS('①在庫を貼る'!$V$6:$V$10005,$V2861,'①在庫を貼る'!$W$6:$W$10005,$W2861)+COUNTIFS('月1回_1ヶ月前の在庫'!$V$6:$V$10005,$V2861,'月1回_1ヶ月前の在庫'!$W$6:$W$10005,$W2861)&gt;0),N(U2860),N(U2860)+1))</f>
        <v/>
      </c>
      <c r="V2861" s="19">
        <f>IF($B2861="","",TEXT($B2861,"0000"))</f>
        <v/>
      </c>
      <c r="W2861" s="19">
        <f>IF($I2861="","",IF(ISNUMBER($I2861),TEXT($I2861,"0"),$I2861))</f>
        <v/>
      </c>
    </row>
    <row r="2862">
      <c r="B2862" s="25" t="n"/>
      <c r="I2862" s="25" t="n"/>
      <c r="U2862" s="19">
        <f>IF($V2862&lt;&gt;'設定'!$C$4,N(U2861),IF(OR(NOT(COUNTIF('商品マスタ'!$B$6:$B$1005,$W2862)=0),COUNTIFS('①在庫を貼る'!$V$6:$V$10005,$V2862,'①在庫を貼る'!$W$6:$W$10005,$W2862)+COUNTIFS('月1回_1ヶ月前の在庫'!$V$6:$V$10005,$V2862,'月1回_1ヶ月前の在庫'!$W$6:$W$10005,$W2862)&gt;0),N(U2861),N(U2861)+1))</f>
        <v/>
      </c>
      <c r="V2862" s="19">
        <f>IF($B2862="","",TEXT($B2862,"0000"))</f>
        <v/>
      </c>
      <c r="W2862" s="19">
        <f>IF($I2862="","",IF(ISNUMBER($I2862),TEXT($I2862,"0"),$I2862))</f>
        <v/>
      </c>
    </row>
    <row r="2863">
      <c r="B2863" s="25" t="n"/>
      <c r="I2863" s="25" t="n"/>
      <c r="U2863" s="19">
        <f>IF($V2863&lt;&gt;'設定'!$C$4,N(U2862),IF(OR(NOT(COUNTIF('商品マスタ'!$B$6:$B$1005,$W2863)=0),COUNTIFS('①在庫を貼る'!$V$6:$V$10005,$V2863,'①在庫を貼る'!$W$6:$W$10005,$W2863)+COUNTIFS('月1回_1ヶ月前の在庫'!$V$6:$V$10005,$V2863,'月1回_1ヶ月前の在庫'!$W$6:$W$10005,$W2863)&gt;0),N(U2862),N(U2862)+1))</f>
        <v/>
      </c>
      <c r="V2863" s="19">
        <f>IF($B2863="","",TEXT($B2863,"0000"))</f>
        <v/>
      </c>
      <c r="W2863" s="19">
        <f>IF($I2863="","",IF(ISNUMBER($I2863),TEXT($I2863,"0"),$I2863))</f>
        <v/>
      </c>
    </row>
    <row r="2864">
      <c r="B2864" s="25" t="n"/>
      <c r="I2864" s="25" t="n"/>
      <c r="U2864" s="19">
        <f>IF($V2864&lt;&gt;'設定'!$C$4,N(U2863),IF(OR(NOT(COUNTIF('商品マスタ'!$B$6:$B$1005,$W2864)=0),COUNTIFS('①在庫を貼る'!$V$6:$V$10005,$V2864,'①在庫を貼る'!$W$6:$W$10005,$W2864)+COUNTIFS('月1回_1ヶ月前の在庫'!$V$6:$V$10005,$V2864,'月1回_1ヶ月前の在庫'!$W$6:$W$10005,$W2864)&gt;0),N(U2863),N(U2863)+1))</f>
        <v/>
      </c>
      <c r="V2864" s="19">
        <f>IF($B2864="","",TEXT($B2864,"0000"))</f>
        <v/>
      </c>
      <c r="W2864" s="19">
        <f>IF($I2864="","",IF(ISNUMBER($I2864),TEXT($I2864,"0"),$I2864))</f>
        <v/>
      </c>
    </row>
    <row r="2865">
      <c r="B2865" s="25" t="n"/>
      <c r="I2865" s="25" t="n"/>
      <c r="U2865" s="19">
        <f>IF($V2865&lt;&gt;'設定'!$C$4,N(U2864),IF(OR(NOT(COUNTIF('商品マスタ'!$B$6:$B$1005,$W2865)=0),COUNTIFS('①在庫を貼る'!$V$6:$V$10005,$V2865,'①在庫を貼る'!$W$6:$W$10005,$W2865)+COUNTIFS('月1回_1ヶ月前の在庫'!$V$6:$V$10005,$V2865,'月1回_1ヶ月前の在庫'!$W$6:$W$10005,$W2865)&gt;0),N(U2864),N(U2864)+1))</f>
        <v/>
      </c>
      <c r="V2865" s="19">
        <f>IF($B2865="","",TEXT($B2865,"0000"))</f>
        <v/>
      </c>
      <c r="W2865" s="19">
        <f>IF($I2865="","",IF(ISNUMBER($I2865),TEXT($I2865,"0"),$I2865))</f>
        <v/>
      </c>
    </row>
    <row r="2866">
      <c r="B2866" s="25" t="n"/>
      <c r="I2866" s="25" t="n"/>
      <c r="U2866" s="19">
        <f>IF($V2866&lt;&gt;'設定'!$C$4,N(U2865),IF(OR(NOT(COUNTIF('商品マスタ'!$B$6:$B$1005,$W2866)=0),COUNTIFS('①在庫を貼る'!$V$6:$V$10005,$V2866,'①在庫を貼る'!$W$6:$W$10005,$W2866)+COUNTIFS('月1回_1ヶ月前の在庫'!$V$6:$V$10005,$V2866,'月1回_1ヶ月前の在庫'!$W$6:$W$10005,$W2866)&gt;0),N(U2865),N(U2865)+1))</f>
        <v/>
      </c>
      <c r="V2866" s="19">
        <f>IF($B2866="","",TEXT($B2866,"0000"))</f>
        <v/>
      </c>
      <c r="W2866" s="19">
        <f>IF($I2866="","",IF(ISNUMBER($I2866),TEXT($I2866,"0"),$I2866))</f>
        <v/>
      </c>
    </row>
    <row r="2867">
      <c r="B2867" s="25" t="n"/>
      <c r="I2867" s="25" t="n"/>
      <c r="U2867" s="19">
        <f>IF($V2867&lt;&gt;'設定'!$C$4,N(U2866),IF(OR(NOT(COUNTIF('商品マスタ'!$B$6:$B$1005,$W2867)=0),COUNTIFS('①在庫を貼る'!$V$6:$V$10005,$V2867,'①在庫を貼る'!$W$6:$W$10005,$W2867)+COUNTIFS('月1回_1ヶ月前の在庫'!$V$6:$V$10005,$V2867,'月1回_1ヶ月前の在庫'!$W$6:$W$10005,$W2867)&gt;0),N(U2866),N(U2866)+1))</f>
        <v/>
      </c>
      <c r="V2867" s="19">
        <f>IF($B2867="","",TEXT($B2867,"0000"))</f>
        <v/>
      </c>
      <c r="W2867" s="19">
        <f>IF($I2867="","",IF(ISNUMBER($I2867),TEXT($I2867,"0"),$I2867))</f>
        <v/>
      </c>
    </row>
    <row r="2868">
      <c r="B2868" s="25" t="n"/>
      <c r="I2868" s="25" t="n"/>
      <c r="U2868" s="19">
        <f>IF($V2868&lt;&gt;'設定'!$C$4,N(U2867),IF(OR(NOT(COUNTIF('商品マスタ'!$B$6:$B$1005,$W2868)=0),COUNTIFS('①在庫を貼る'!$V$6:$V$10005,$V2868,'①在庫を貼る'!$W$6:$W$10005,$W2868)+COUNTIFS('月1回_1ヶ月前の在庫'!$V$6:$V$10005,$V2868,'月1回_1ヶ月前の在庫'!$W$6:$W$10005,$W2868)&gt;0),N(U2867),N(U2867)+1))</f>
        <v/>
      </c>
      <c r="V2868" s="19">
        <f>IF($B2868="","",TEXT($B2868,"0000"))</f>
        <v/>
      </c>
      <c r="W2868" s="19">
        <f>IF($I2868="","",IF(ISNUMBER($I2868),TEXT($I2868,"0"),$I2868))</f>
        <v/>
      </c>
    </row>
    <row r="2869">
      <c r="B2869" s="25" t="n"/>
      <c r="I2869" s="25" t="n"/>
      <c r="U2869" s="19">
        <f>IF($V2869&lt;&gt;'設定'!$C$4,N(U2868),IF(OR(NOT(COUNTIF('商品マスタ'!$B$6:$B$1005,$W2869)=0),COUNTIFS('①在庫を貼る'!$V$6:$V$10005,$V2869,'①在庫を貼る'!$W$6:$W$10005,$W2869)+COUNTIFS('月1回_1ヶ月前の在庫'!$V$6:$V$10005,$V2869,'月1回_1ヶ月前の在庫'!$W$6:$W$10005,$W2869)&gt;0),N(U2868),N(U2868)+1))</f>
        <v/>
      </c>
      <c r="V2869" s="19">
        <f>IF($B2869="","",TEXT($B2869,"0000"))</f>
        <v/>
      </c>
      <c r="W2869" s="19">
        <f>IF($I2869="","",IF(ISNUMBER($I2869),TEXT($I2869,"0"),$I2869))</f>
        <v/>
      </c>
    </row>
    <row r="2870">
      <c r="B2870" s="25" t="n"/>
      <c r="I2870" s="25" t="n"/>
      <c r="U2870" s="19">
        <f>IF($V2870&lt;&gt;'設定'!$C$4,N(U2869),IF(OR(NOT(COUNTIF('商品マスタ'!$B$6:$B$1005,$W2870)=0),COUNTIFS('①在庫を貼る'!$V$6:$V$10005,$V2870,'①在庫を貼る'!$W$6:$W$10005,$W2870)+COUNTIFS('月1回_1ヶ月前の在庫'!$V$6:$V$10005,$V2870,'月1回_1ヶ月前の在庫'!$W$6:$W$10005,$W2870)&gt;0),N(U2869),N(U2869)+1))</f>
        <v/>
      </c>
      <c r="V2870" s="19">
        <f>IF($B2870="","",TEXT($B2870,"0000"))</f>
        <v/>
      </c>
      <c r="W2870" s="19">
        <f>IF($I2870="","",IF(ISNUMBER($I2870),TEXT($I2870,"0"),$I2870))</f>
        <v/>
      </c>
    </row>
    <row r="2871">
      <c r="B2871" s="25" t="n"/>
      <c r="I2871" s="25" t="n"/>
      <c r="U2871" s="19">
        <f>IF($V2871&lt;&gt;'設定'!$C$4,N(U2870),IF(OR(NOT(COUNTIF('商品マスタ'!$B$6:$B$1005,$W2871)=0),COUNTIFS('①在庫を貼る'!$V$6:$V$10005,$V2871,'①在庫を貼る'!$W$6:$W$10005,$W2871)+COUNTIFS('月1回_1ヶ月前の在庫'!$V$6:$V$10005,$V2871,'月1回_1ヶ月前の在庫'!$W$6:$W$10005,$W2871)&gt;0),N(U2870),N(U2870)+1))</f>
        <v/>
      </c>
      <c r="V2871" s="19">
        <f>IF($B2871="","",TEXT($B2871,"0000"))</f>
        <v/>
      </c>
      <c r="W2871" s="19">
        <f>IF($I2871="","",IF(ISNUMBER($I2871),TEXT($I2871,"0"),$I2871))</f>
        <v/>
      </c>
    </row>
    <row r="2872">
      <c r="B2872" s="25" t="n"/>
      <c r="I2872" s="25" t="n"/>
      <c r="U2872" s="19">
        <f>IF($V2872&lt;&gt;'設定'!$C$4,N(U2871),IF(OR(NOT(COUNTIF('商品マスタ'!$B$6:$B$1005,$W2872)=0),COUNTIFS('①在庫を貼る'!$V$6:$V$10005,$V2872,'①在庫を貼る'!$W$6:$W$10005,$W2872)+COUNTIFS('月1回_1ヶ月前の在庫'!$V$6:$V$10005,$V2872,'月1回_1ヶ月前の在庫'!$W$6:$W$10005,$W2872)&gt;0),N(U2871),N(U2871)+1))</f>
        <v/>
      </c>
      <c r="V2872" s="19">
        <f>IF($B2872="","",TEXT($B2872,"0000"))</f>
        <v/>
      </c>
      <c r="W2872" s="19">
        <f>IF($I2872="","",IF(ISNUMBER($I2872),TEXT($I2872,"0"),$I2872))</f>
        <v/>
      </c>
    </row>
    <row r="2873">
      <c r="B2873" s="25" t="n"/>
      <c r="I2873" s="25" t="n"/>
      <c r="U2873" s="19">
        <f>IF($V2873&lt;&gt;'設定'!$C$4,N(U2872),IF(OR(NOT(COUNTIF('商品マスタ'!$B$6:$B$1005,$W2873)=0),COUNTIFS('①在庫を貼る'!$V$6:$V$10005,$V2873,'①在庫を貼る'!$W$6:$W$10005,$W2873)+COUNTIFS('月1回_1ヶ月前の在庫'!$V$6:$V$10005,$V2873,'月1回_1ヶ月前の在庫'!$W$6:$W$10005,$W2873)&gt;0),N(U2872),N(U2872)+1))</f>
        <v/>
      </c>
      <c r="V2873" s="19">
        <f>IF($B2873="","",TEXT($B2873,"0000"))</f>
        <v/>
      </c>
      <c r="W2873" s="19">
        <f>IF($I2873="","",IF(ISNUMBER($I2873),TEXT($I2873,"0"),$I2873))</f>
        <v/>
      </c>
    </row>
    <row r="2874">
      <c r="B2874" s="25" t="n"/>
      <c r="I2874" s="25" t="n"/>
      <c r="U2874" s="19">
        <f>IF($V2874&lt;&gt;'設定'!$C$4,N(U2873),IF(OR(NOT(COUNTIF('商品マスタ'!$B$6:$B$1005,$W2874)=0),COUNTIFS('①在庫を貼る'!$V$6:$V$10005,$V2874,'①在庫を貼る'!$W$6:$W$10005,$W2874)+COUNTIFS('月1回_1ヶ月前の在庫'!$V$6:$V$10005,$V2874,'月1回_1ヶ月前の在庫'!$W$6:$W$10005,$W2874)&gt;0),N(U2873),N(U2873)+1))</f>
        <v/>
      </c>
      <c r="V2874" s="19">
        <f>IF($B2874="","",TEXT($B2874,"0000"))</f>
        <v/>
      </c>
      <c r="W2874" s="19">
        <f>IF($I2874="","",IF(ISNUMBER($I2874),TEXT($I2874,"0"),$I2874))</f>
        <v/>
      </c>
    </row>
    <row r="2875">
      <c r="B2875" s="25" t="n"/>
      <c r="I2875" s="25" t="n"/>
      <c r="U2875" s="19">
        <f>IF($V2875&lt;&gt;'設定'!$C$4,N(U2874),IF(OR(NOT(COUNTIF('商品マスタ'!$B$6:$B$1005,$W2875)=0),COUNTIFS('①在庫を貼る'!$V$6:$V$10005,$V2875,'①在庫を貼る'!$W$6:$W$10005,$W2875)+COUNTIFS('月1回_1ヶ月前の在庫'!$V$6:$V$10005,$V2875,'月1回_1ヶ月前の在庫'!$W$6:$W$10005,$W2875)&gt;0),N(U2874),N(U2874)+1))</f>
        <v/>
      </c>
      <c r="V2875" s="19">
        <f>IF($B2875="","",TEXT($B2875,"0000"))</f>
        <v/>
      </c>
      <c r="W2875" s="19">
        <f>IF($I2875="","",IF(ISNUMBER($I2875),TEXT($I2875,"0"),$I2875))</f>
        <v/>
      </c>
    </row>
    <row r="2876">
      <c r="B2876" s="25" t="n"/>
      <c r="I2876" s="25" t="n"/>
      <c r="U2876" s="19">
        <f>IF($V2876&lt;&gt;'設定'!$C$4,N(U2875),IF(OR(NOT(COUNTIF('商品マスタ'!$B$6:$B$1005,$W2876)=0),COUNTIFS('①在庫を貼る'!$V$6:$V$10005,$V2876,'①在庫を貼る'!$W$6:$W$10005,$W2876)+COUNTIFS('月1回_1ヶ月前の在庫'!$V$6:$V$10005,$V2876,'月1回_1ヶ月前の在庫'!$W$6:$W$10005,$W2876)&gt;0),N(U2875),N(U2875)+1))</f>
        <v/>
      </c>
      <c r="V2876" s="19">
        <f>IF($B2876="","",TEXT($B2876,"0000"))</f>
        <v/>
      </c>
      <c r="W2876" s="19">
        <f>IF($I2876="","",IF(ISNUMBER($I2876),TEXT($I2876,"0"),$I2876))</f>
        <v/>
      </c>
    </row>
    <row r="2877">
      <c r="B2877" s="25" t="n"/>
      <c r="I2877" s="25" t="n"/>
      <c r="U2877" s="19">
        <f>IF($V2877&lt;&gt;'設定'!$C$4,N(U2876),IF(OR(NOT(COUNTIF('商品マスタ'!$B$6:$B$1005,$W2877)=0),COUNTIFS('①在庫を貼る'!$V$6:$V$10005,$V2877,'①在庫を貼る'!$W$6:$W$10005,$W2877)+COUNTIFS('月1回_1ヶ月前の在庫'!$V$6:$V$10005,$V2877,'月1回_1ヶ月前の在庫'!$W$6:$W$10005,$W2877)&gt;0),N(U2876),N(U2876)+1))</f>
        <v/>
      </c>
      <c r="V2877" s="19">
        <f>IF($B2877="","",TEXT($B2877,"0000"))</f>
        <v/>
      </c>
      <c r="W2877" s="19">
        <f>IF($I2877="","",IF(ISNUMBER($I2877),TEXT($I2877,"0"),$I2877))</f>
        <v/>
      </c>
    </row>
    <row r="2878">
      <c r="B2878" s="25" t="n"/>
      <c r="I2878" s="25" t="n"/>
      <c r="U2878" s="19">
        <f>IF($V2878&lt;&gt;'設定'!$C$4,N(U2877),IF(OR(NOT(COUNTIF('商品マスタ'!$B$6:$B$1005,$W2878)=0),COUNTIFS('①在庫を貼る'!$V$6:$V$10005,$V2878,'①在庫を貼る'!$W$6:$W$10005,$W2878)+COUNTIFS('月1回_1ヶ月前の在庫'!$V$6:$V$10005,$V2878,'月1回_1ヶ月前の在庫'!$W$6:$W$10005,$W2878)&gt;0),N(U2877),N(U2877)+1))</f>
        <v/>
      </c>
      <c r="V2878" s="19">
        <f>IF($B2878="","",TEXT($B2878,"0000"))</f>
        <v/>
      </c>
      <c r="W2878" s="19">
        <f>IF($I2878="","",IF(ISNUMBER($I2878),TEXT($I2878,"0"),$I2878))</f>
        <v/>
      </c>
    </row>
    <row r="2879">
      <c r="B2879" s="25" t="n"/>
      <c r="I2879" s="25" t="n"/>
      <c r="U2879" s="19">
        <f>IF($V2879&lt;&gt;'設定'!$C$4,N(U2878),IF(OR(NOT(COUNTIF('商品マスタ'!$B$6:$B$1005,$W2879)=0),COUNTIFS('①在庫を貼る'!$V$6:$V$10005,$V2879,'①在庫を貼る'!$W$6:$W$10005,$W2879)+COUNTIFS('月1回_1ヶ月前の在庫'!$V$6:$V$10005,$V2879,'月1回_1ヶ月前の在庫'!$W$6:$W$10005,$W2879)&gt;0),N(U2878),N(U2878)+1))</f>
        <v/>
      </c>
      <c r="V2879" s="19">
        <f>IF($B2879="","",TEXT($B2879,"0000"))</f>
        <v/>
      </c>
      <c r="W2879" s="19">
        <f>IF($I2879="","",IF(ISNUMBER($I2879),TEXT($I2879,"0"),$I2879))</f>
        <v/>
      </c>
    </row>
    <row r="2880">
      <c r="B2880" s="25" t="n"/>
      <c r="I2880" s="25" t="n"/>
      <c r="U2880" s="19">
        <f>IF($V2880&lt;&gt;'設定'!$C$4,N(U2879),IF(OR(NOT(COUNTIF('商品マスタ'!$B$6:$B$1005,$W2880)=0),COUNTIFS('①在庫を貼る'!$V$6:$V$10005,$V2880,'①在庫を貼る'!$W$6:$W$10005,$W2880)+COUNTIFS('月1回_1ヶ月前の在庫'!$V$6:$V$10005,$V2880,'月1回_1ヶ月前の在庫'!$W$6:$W$10005,$W2880)&gt;0),N(U2879),N(U2879)+1))</f>
        <v/>
      </c>
      <c r="V2880" s="19">
        <f>IF($B2880="","",TEXT($B2880,"0000"))</f>
        <v/>
      </c>
      <c r="W2880" s="19">
        <f>IF($I2880="","",IF(ISNUMBER($I2880),TEXT($I2880,"0"),$I2880))</f>
        <v/>
      </c>
    </row>
    <row r="2881">
      <c r="B2881" s="25" t="n"/>
      <c r="I2881" s="25" t="n"/>
      <c r="U2881" s="19">
        <f>IF($V2881&lt;&gt;'設定'!$C$4,N(U2880),IF(OR(NOT(COUNTIF('商品マスタ'!$B$6:$B$1005,$W2881)=0),COUNTIFS('①在庫を貼る'!$V$6:$V$10005,$V2881,'①在庫を貼る'!$W$6:$W$10005,$W2881)+COUNTIFS('月1回_1ヶ月前の在庫'!$V$6:$V$10005,$V2881,'月1回_1ヶ月前の在庫'!$W$6:$W$10005,$W2881)&gt;0),N(U2880),N(U2880)+1))</f>
        <v/>
      </c>
      <c r="V2881" s="19">
        <f>IF($B2881="","",TEXT($B2881,"0000"))</f>
        <v/>
      </c>
      <c r="W2881" s="19">
        <f>IF($I2881="","",IF(ISNUMBER($I2881),TEXT($I2881,"0"),$I2881))</f>
        <v/>
      </c>
    </row>
    <row r="2882">
      <c r="B2882" s="25" t="n"/>
      <c r="I2882" s="25" t="n"/>
      <c r="U2882" s="19">
        <f>IF($V2882&lt;&gt;'設定'!$C$4,N(U2881),IF(OR(NOT(COUNTIF('商品マスタ'!$B$6:$B$1005,$W2882)=0),COUNTIFS('①在庫を貼る'!$V$6:$V$10005,$V2882,'①在庫を貼る'!$W$6:$W$10005,$W2882)+COUNTIFS('月1回_1ヶ月前の在庫'!$V$6:$V$10005,$V2882,'月1回_1ヶ月前の在庫'!$W$6:$W$10005,$W2882)&gt;0),N(U2881),N(U2881)+1))</f>
        <v/>
      </c>
      <c r="V2882" s="19">
        <f>IF($B2882="","",TEXT($B2882,"0000"))</f>
        <v/>
      </c>
      <c r="W2882" s="19">
        <f>IF($I2882="","",IF(ISNUMBER($I2882),TEXT($I2882,"0"),$I2882))</f>
        <v/>
      </c>
    </row>
    <row r="2883">
      <c r="B2883" s="25" t="n"/>
      <c r="I2883" s="25" t="n"/>
      <c r="U2883" s="19">
        <f>IF($V2883&lt;&gt;'設定'!$C$4,N(U2882),IF(OR(NOT(COUNTIF('商品マスタ'!$B$6:$B$1005,$W2883)=0),COUNTIFS('①在庫を貼る'!$V$6:$V$10005,$V2883,'①在庫を貼る'!$W$6:$W$10005,$W2883)+COUNTIFS('月1回_1ヶ月前の在庫'!$V$6:$V$10005,$V2883,'月1回_1ヶ月前の在庫'!$W$6:$W$10005,$W2883)&gt;0),N(U2882),N(U2882)+1))</f>
        <v/>
      </c>
      <c r="V2883" s="19">
        <f>IF($B2883="","",TEXT($B2883,"0000"))</f>
        <v/>
      </c>
      <c r="W2883" s="19">
        <f>IF($I2883="","",IF(ISNUMBER($I2883),TEXT($I2883,"0"),$I2883))</f>
        <v/>
      </c>
    </row>
    <row r="2884">
      <c r="B2884" s="25" t="n"/>
      <c r="I2884" s="25" t="n"/>
      <c r="U2884" s="19">
        <f>IF($V2884&lt;&gt;'設定'!$C$4,N(U2883),IF(OR(NOT(COUNTIF('商品マスタ'!$B$6:$B$1005,$W2884)=0),COUNTIFS('①在庫を貼る'!$V$6:$V$10005,$V2884,'①在庫を貼る'!$W$6:$W$10005,$W2884)+COUNTIFS('月1回_1ヶ月前の在庫'!$V$6:$V$10005,$V2884,'月1回_1ヶ月前の在庫'!$W$6:$W$10005,$W2884)&gt;0),N(U2883),N(U2883)+1))</f>
        <v/>
      </c>
      <c r="V2884" s="19">
        <f>IF($B2884="","",TEXT($B2884,"0000"))</f>
        <v/>
      </c>
      <c r="W2884" s="19">
        <f>IF($I2884="","",IF(ISNUMBER($I2884),TEXT($I2884,"0"),$I2884))</f>
        <v/>
      </c>
    </row>
    <row r="2885">
      <c r="B2885" s="25" t="n"/>
      <c r="I2885" s="25" t="n"/>
      <c r="U2885" s="19">
        <f>IF($V2885&lt;&gt;'設定'!$C$4,N(U2884),IF(OR(NOT(COUNTIF('商品マスタ'!$B$6:$B$1005,$W2885)=0),COUNTIFS('①在庫を貼る'!$V$6:$V$10005,$V2885,'①在庫を貼る'!$W$6:$W$10005,$W2885)+COUNTIFS('月1回_1ヶ月前の在庫'!$V$6:$V$10005,$V2885,'月1回_1ヶ月前の在庫'!$W$6:$W$10005,$W2885)&gt;0),N(U2884),N(U2884)+1))</f>
        <v/>
      </c>
      <c r="V2885" s="19">
        <f>IF($B2885="","",TEXT($B2885,"0000"))</f>
        <v/>
      </c>
      <c r="W2885" s="19">
        <f>IF($I2885="","",IF(ISNUMBER($I2885),TEXT($I2885,"0"),$I2885))</f>
        <v/>
      </c>
    </row>
    <row r="2886">
      <c r="B2886" s="25" t="n"/>
      <c r="I2886" s="25" t="n"/>
      <c r="U2886" s="19">
        <f>IF($V2886&lt;&gt;'設定'!$C$4,N(U2885),IF(OR(NOT(COUNTIF('商品マスタ'!$B$6:$B$1005,$W2886)=0),COUNTIFS('①在庫を貼る'!$V$6:$V$10005,$V2886,'①在庫を貼る'!$W$6:$W$10005,$W2886)+COUNTIFS('月1回_1ヶ月前の在庫'!$V$6:$V$10005,$V2886,'月1回_1ヶ月前の在庫'!$W$6:$W$10005,$W2886)&gt;0),N(U2885),N(U2885)+1))</f>
        <v/>
      </c>
      <c r="V2886" s="19">
        <f>IF($B2886="","",TEXT($B2886,"0000"))</f>
        <v/>
      </c>
      <c r="W2886" s="19">
        <f>IF($I2886="","",IF(ISNUMBER($I2886),TEXT($I2886,"0"),$I2886))</f>
        <v/>
      </c>
    </row>
    <row r="2887">
      <c r="B2887" s="25" t="n"/>
      <c r="I2887" s="25" t="n"/>
      <c r="U2887" s="19">
        <f>IF($V2887&lt;&gt;'設定'!$C$4,N(U2886),IF(OR(NOT(COUNTIF('商品マスタ'!$B$6:$B$1005,$W2887)=0),COUNTIFS('①在庫を貼る'!$V$6:$V$10005,$V2887,'①在庫を貼る'!$W$6:$W$10005,$W2887)+COUNTIFS('月1回_1ヶ月前の在庫'!$V$6:$V$10005,$V2887,'月1回_1ヶ月前の在庫'!$W$6:$W$10005,$W2887)&gt;0),N(U2886),N(U2886)+1))</f>
        <v/>
      </c>
      <c r="V2887" s="19">
        <f>IF($B2887="","",TEXT($B2887,"0000"))</f>
        <v/>
      </c>
      <c r="W2887" s="19">
        <f>IF($I2887="","",IF(ISNUMBER($I2887),TEXT($I2887,"0"),$I2887))</f>
        <v/>
      </c>
    </row>
    <row r="2888">
      <c r="B2888" s="25" t="n"/>
      <c r="I2888" s="25" t="n"/>
      <c r="U2888" s="19">
        <f>IF($V2888&lt;&gt;'設定'!$C$4,N(U2887),IF(OR(NOT(COUNTIF('商品マスタ'!$B$6:$B$1005,$W2888)=0),COUNTIFS('①在庫を貼る'!$V$6:$V$10005,$V2888,'①在庫を貼る'!$W$6:$W$10005,$W2888)+COUNTIFS('月1回_1ヶ月前の在庫'!$V$6:$V$10005,$V2888,'月1回_1ヶ月前の在庫'!$W$6:$W$10005,$W2888)&gt;0),N(U2887),N(U2887)+1))</f>
        <v/>
      </c>
      <c r="V2888" s="19">
        <f>IF($B2888="","",TEXT($B2888,"0000"))</f>
        <v/>
      </c>
      <c r="W2888" s="19">
        <f>IF($I2888="","",IF(ISNUMBER($I2888),TEXT($I2888,"0"),$I2888))</f>
        <v/>
      </c>
    </row>
    <row r="2889">
      <c r="B2889" s="25" t="n"/>
      <c r="I2889" s="25" t="n"/>
      <c r="U2889" s="19">
        <f>IF($V2889&lt;&gt;'設定'!$C$4,N(U2888),IF(OR(NOT(COUNTIF('商品マスタ'!$B$6:$B$1005,$W2889)=0),COUNTIFS('①在庫を貼る'!$V$6:$V$10005,$V2889,'①在庫を貼る'!$W$6:$W$10005,$W2889)+COUNTIFS('月1回_1ヶ月前の在庫'!$V$6:$V$10005,$V2889,'月1回_1ヶ月前の在庫'!$W$6:$W$10005,$W2889)&gt;0),N(U2888),N(U2888)+1))</f>
        <v/>
      </c>
      <c r="V2889" s="19">
        <f>IF($B2889="","",TEXT($B2889,"0000"))</f>
        <v/>
      </c>
      <c r="W2889" s="19">
        <f>IF($I2889="","",IF(ISNUMBER($I2889),TEXT($I2889,"0"),$I2889))</f>
        <v/>
      </c>
    </row>
    <row r="2890">
      <c r="B2890" s="25" t="n"/>
      <c r="I2890" s="25" t="n"/>
      <c r="U2890" s="19">
        <f>IF($V2890&lt;&gt;'設定'!$C$4,N(U2889),IF(OR(NOT(COUNTIF('商品マスタ'!$B$6:$B$1005,$W2890)=0),COUNTIFS('①在庫を貼る'!$V$6:$V$10005,$V2890,'①在庫を貼る'!$W$6:$W$10005,$W2890)+COUNTIFS('月1回_1ヶ月前の在庫'!$V$6:$V$10005,$V2890,'月1回_1ヶ月前の在庫'!$W$6:$W$10005,$W2890)&gt;0),N(U2889),N(U2889)+1))</f>
        <v/>
      </c>
      <c r="V2890" s="19">
        <f>IF($B2890="","",TEXT($B2890,"0000"))</f>
        <v/>
      </c>
      <c r="W2890" s="19">
        <f>IF($I2890="","",IF(ISNUMBER($I2890),TEXT($I2890,"0"),$I2890))</f>
        <v/>
      </c>
    </row>
    <row r="2891">
      <c r="B2891" s="25" t="n"/>
      <c r="I2891" s="25" t="n"/>
      <c r="U2891" s="19">
        <f>IF($V2891&lt;&gt;'設定'!$C$4,N(U2890),IF(OR(NOT(COUNTIF('商品マスタ'!$B$6:$B$1005,$W2891)=0),COUNTIFS('①在庫を貼る'!$V$6:$V$10005,$V2891,'①在庫を貼る'!$W$6:$W$10005,$W2891)+COUNTIFS('月1回_1ヶ月前の在庫'!$V$6:$V$10005,$V2891,'月1回_1ヶ月前の在庫'!$W$6:$W$10005,$W2891)&gt;0),N(U2890),N(U2890)+1))</f>
        <v/>
      </c>
      <c r="V2891" s="19">
        <f>IF($B2891="","",TEXT($B2891,"0000"))</f>
        <v/>
      </c>
      <c r="W2891" s="19">
        <f>IF($I2891="","",IF(ISNUMBER($I2891),TEXT($I2891,"0"),$I2891))</f>
        <v/>
      </c>
    </row>
    <row r="2892">
      <c r="B2892" s="25" t="n"/>
      <c r="I2892" s="25" t="n"/>
      <c r="U2892" s="19">
        <f>IF($V2892&lt;&gt;'設定'!$C$4,N(U2891),IF(OR(NOT(COUNTIF('商品マスタ'!$B$6:$B$1005,$W2892)=0),COUNTIFS('①在庫を貼る'!$V$6:$V$10005,$V2892,'①在庫を貼る'!$W$6:$W$10005,$W2892)+COUNTIFS('月1回_1ヶ月前の在庫'!$V$6:$V$10005,$V2892,'月1回_1ヶ月前の在庫'!$W$6:$W$10005,$W2892)&gt;0),N(U2891),N(U2891)+1))</f>
        <v/>
      </c>
      <c r="V2892" s="19">
        <f>IF($B2892="","",TEXT($B2892,"0000"))</f>
        <v/>
      </c>
      <c r="W2892" s="19">
        <f>IF($I2892="","",IF(ISNUMBER($I2892),TEXT($I2892,"0"),$I2892))</f>
        <v/>
      </c>
    </row>
    <row r="2893">
      <c r="B2893" s="25" t="n"/>
      <c r="I2893" s="25" t="n"/>
      <c r="U2893" s="19">
        <f>IF($V2893&lt;&gt;'設定'!$C$4,N(U2892),IF(OR(NOT(COUNTIF('商品マスタ'!$B$6:$B$1005,$W2893)=0),COUNTIFS('①在庫を貼る'!$V$6:$V$10005,$V2893,'①在庫を貼る'!$W$6:$W$10005,$W2893)+COUNTIFS('月1回_1ヶ月前の在庫'!$V$6:$V$10005,$V2893,'月1回_1ヶ月前の在庫'!$W$6:$W$10005,$W2893)&gt;0),N(U2892),N(U2892)+1))</f>
        <v/>
      </c>
      <c r="V2893" s="19">
        <f>IF($B2893="","",TEXT($B2893,"0000"))</f>
        <v/>
      </c>
      <c r="W2893" s="19">
        <f>IF($I2893="","",IF(ISNUMBER($I2893),TEXT($I2893,"0"),$I2893))</f>
        <v/>
      </c>
    </row>
    <row r="2894">
      <c r="B2894" s="25" t="n"/>
      <c r="I2894" s="25" t="n"/>
      <c r="U2894" s="19">
        <f>IF($V2894&lt;&gt;'設定'!$C$4,N(U2893),IF(OR(NOT(COUNTIF('商品マスタ'!$B$6:$B$1005,$W2894)=0),COUNTIFS('①在庫を貼る'!$V$6:$V$10005,$V2894,'①在庫を貼る'!$W$6:$W$10005,$W2894)+COUNTIFS('月1回_1ヶ月前の在庫'!$V$6:$V$10005,$V2894,'月1回_1ヶ月前の在庫'!$W$6:$W$10005,$W2894)&gt;0),N(U2893),N(U2893)+1))</f>
        <v/>
      </c>
      <c r="V2894" s="19">
        <f>IF($B2894="","",TEXT($B2894,"0000"))</f>
        <v/>
      </c>
      <c r="W2894" s="19">
        <f>IF($I2894="","",IF(ISNUMBER($I2894),TEXT($I2894,"0"),$I2894))</f>
        <v/>
      </c>
    </row>
    <row r="2895">
      <c r="B2895" s="25" t="n"/>
      <c r="I2895" s="25" t="n"/>
      <c r="U2895" s="19">
        <f>IF($V2895&lt;&gt;'設定'!$C$4,N(U2894),IF(OR(NOT(COUNTIF('商品マスタ'!$B$6:$B$1005,$W2895)=0),COUNTIFS('①在庫を貼る'!$V$6:$V$10005,$V2895,'①在庫を貼る'!$W$6:$W$10005,$W2895)+COUNTIFS('月1回_1ヶ月前の在庫'!$V$6:$V$10005,$V2895,'月1回_1ヶ月前の在庫'!$W$6:$W$10005,$W2895)&gt;0),N(U2894),N(U2894)+1))</f>
        <v/>
      </c>
      <c r="V2895" s="19">
        <f>IF($B2895="","",TEXT($B2895,"0000"))</f>
        <v/>
      </c>
      <c r="W2895" s="19">
        <f>IF($I2895="","",IF(ISNUMBER($I2895),TEXT($I2895,"0"),$I2895))</f>
        <v/>
      </c>
    </row>
    <row r="2896">
      <c r="B2896" s="25" t="n"/>
      <c r="I2896" s="25" t="n"/>
      <c r="U2896" s="19">
        <f>IF($V2896&lt;&gt;'設定'!$C$4,N(U2895),IF(OR(NOT(COUNTIF('商品マスタ'!$B$6:$B$1005,$W2896)=0),COUNTIFS('①在庫を貼る'!$V$6:$V$10005,$V2896,'①在庫を貼る'!$W$6:$W$10005,$W2896)+COUNTIFS('月1回_1ヶ月前の在庫'!$V$6:$V$10005,$V2896,'月1回_1ヶ月前の在庫'!$W$6:$W$10005,$W2896)&gt;0),N(U2895),N(U2895)+1))</f>
        <v/>
      </c>
      <c r="V2896" s="19">
        <f>IF($B2896="","",TEXT($B2896,"0000"))</f>
        <v/>
      </c>
      <c r="W2896" s="19">
        <f>IF($I2896="","",IF(ISNUMBER($I2896),TEXT($I2896,"0"),$I2896))</f>
        <v/>
      </c>
    </row>
    <row r="2897">
      <c r="B2897" s="25" t="n"/>
      <c r="I2897" s="25" t="n"/>
      <c r="U2897" s="19">
        <f>IF($V2897&lt;&gt;'設定'!$C$4,N(U2896),IF(OR(NOT(COUNTIF('商品マスタ'!$B$6:$B$1005,$W2897)=0),COUNTIFS('①在庫を貼る'!$V$6:$V$10005,$V2897,'①在庫を貼る'!$W$6:$W$10005,$W2897)+COUNTIFS('月1回_1ヶ月前の在庫'!$V$6:$V$10005,$V2897,'月1回_1ヶ月前の在庫'!$W$6:$W$10005,$W2897)&gt;0),N(U2896),N(U2896)+1))</f>
        <v/>
      </c>
      <c r="V2897" s="19">
        <f>IF($B2897="","",TEXT($B2897,"0000"))</f>
        <v/>
      </c>
      <c r="W2897" s="19">
        <f>IF($I2897="","",IF(ISNUMBER($I2897),TEXT($I2897,"0"),$I2897))</f>
        <v/>
      </c>
    </row>
    <row r="2898">
      <c r="B2898" s="25" t="n"/>
      <c r="I2898" s="25" t="n"/>
      <c r="U2898" s="19">
        <f>IF($V2898&lt;&gt;'設定'!$C$4,N(U2897),IF(OR(NOT(COUNTIF('商品マスタ'!$B$6:$B$1005,$W2898)=0),COUNTIFS('①在庫を貼る'!$V$6:$V$10005,$V2898,'①在庫を貼る'!$W$6:$W$10005,$W2898)+COUNTIFS('月1回_1ヶ月前の在庫'!$V$6:$V$10005,$V2898,'月1回_1ヶ月前の在庫'!$W$6:$W$10005,$W2898)&gt;0),N(U2897),N(U2897)+1))</f>
        <v/>
      </c>
      <c r="V2898" s="19">
        <f>IF($B2898="","",TEXT($B2898,"0000"))</f>
        <v/>
      </c>
      <c r="W2898" s="19">
        <f>IF($I2898="","",IF(ISNUMBER($I2898),TEXT($I2898,"0"),$I2898))</f>
        <v/>
      </c>
    </row>
    <row r="2899">
      <c r="B2899" s="25" t="n"/>
      <c r="I2899" s="25" t="n"/>
      <c r="U2899" s="19">
        <f>IF($V2899&lt;&gt;'設定'!$C$4,N(U2898),IF(OR(NOT(COUNTIF('商品マスタ'!$B$6:$B$1005,$W2899)=0),COUNTIFS('①在庫を貼る'!$V$6:$V$10005,$V2899,'①在庫を貼る'!$W$6:$W$10005,$W2899)+COUNTIFS('月1回_1ヶ月前の在庫'!$V$6:$V$10005,$V2899,'月1回_1ヶ月前の在庫'!$W$6:$W$10005,$W2899)&gt;0),N(U2898),N(U2898)+1))</f>
        <v/>
      </c>
      <c r="V2899" s="19">
        <f>IF($B2899="","",TEXT($B2899,"0000"))</f>
        <v/>
      </c>
      <c r="W2899" s="19">
        <f>IF($I2899="","",IF(ISNUMBER($I2899),TEXT($I2899,"0"),$I2899))</f>
        <v/>
      </c>
    </row>
    <row r="2900">
      <c r="B2900" s="25" t="n"/>
      <c r="I2900" s="25" t="n"/>
      <c r="U2900" s="19">
        <f>IF($V2900&lt;&gt;'設定'!$C$4,N(U2899),IF(OR(NOT(COUNTIF('商品マスタ'!$B$6:$B$1005,$W2900)=0),COUNTIFS('①在庫を貼る'!$V$6:$V$10005,$V2900,'①在庫を貼る'!$W$6:$W$10005,$W2900)+COUNTIFS('月1回_1ヶ月前の在庫'!$V$6:$V$10005,$V2900,'月1回_1ヶ月前の在庫'!$W$6:$W$10005,$W2900)&gt;0),N(U2899),N(U2899)+1))</f>
        <v/>
      </c>
      <c r="V2900" s="19">
        <f>IF($B2900="","",TEXT($B2900,"0000"))</f>
        <v/>
      </c>
      <c r="W2900" s="19">
        <f>IF($I2900="","",IF(ISNUMBER($I2900),TEXT($I2900,"0"),$I2900))</f>
        <v/>
      </c>
    </row>
    <row r="2901">
      <c r="B2901" s="25" t="n"/>
      <c r="I2901" s="25" t="n"/>
      <c r="U2901" s="19">
        <f>IF($V2901&lt;&gt;'設定'!$C$4,N(U2900),IF(OR(NOT(COUNTIF('商品マスタ'!$B$6:$B$1005,$W2901)=0),COUNTIFS('①在庫を貼る'!$V$6:$V$10005,$V2901,'①在庫を貼る'!$W$6:$W$10005,$W2901)+COUNTIFS('月1回_1ヶ月前の在庫'!$V$6:$V$10005,$V2901,'月1回_1ヶ月前の在庫'!$W$6:$W$10005,$W2901)&gt;0),N(U2900),N(U2900)+1))</f>
        <v/>
      </c>
      <c r="V2901" s="19">
        <f>IF($B2901="","",TEXT($B2901,"0000"))</f>
        <v/>
      </c>
      <c r="W2901" s="19">
        <f>IF($I2901="","",IF(ISNUMBER($I2901),TEXT($I2901,"0"),$I2901))</f>
        <v/>
      </c>
    </row>
    <row r="2902">
      <c r="B2902" s="25" t="n"/>
      <c r="I2902" s="25" t="n"/>
      <c r="U2902" s="19">
        <f>IF($V2902&lt;&gt;'設定'!$C$4,N(U2901),IF(OR(NOT(COUNTIF('商品マスタ'!$B$6:$B$1005,$W2902)=0),COUNTIFS('①在庫を貼る'!$V$6:$V$10005,$V2902,'①在庫を貼る'!$W$6:$W$10005,$W2902)+COUNTIFS('月1回_1ヶ月前の在庫'!$V$6:$V$10005,$V2902,'月1回_1ヶ月前の在庫'!$W$6:$W$10005,$W2902)&gt;0),N(U2901),N(U2901)+1))</f>
        <v/>
      </c>
      <c r="V2902" s="19">
        <f>IF($B2902="","",TEXT($B2902,"0000"))</f>
        <v/>
      </c>
      <c r="W2902" s="19">
        <f>IF($I2902="","",IF(ISNUMBER($I2902),TEXT($I2902,"0"),$I2902))</f>
        <v/>
      </c>
    </row>
    <row r="2903">
      <c r="B2903" s="25" t="n"/>
      <c r="I2903" s="25" t="n"/>
      <c r="U2903" s="19">
        <f>IF($V2903&lt;&gt;'設定'!$C$4,N(U2902),IF(OR(NOT(COUNTIF('商品マスタ'!$B$6:$B$1005,$W2903)=0),COUNTIFS('①在庫を貼る'!$V$6:$V$10005,$V2903,'①在庫を貼る'!$W$6:$W$10005,$W2903)+COUNTIFS('月1回_1ヶ月前の在庫'!$V$6:$V$10005,$V2903,'月1回_1ヶ月前の在庫'!$W$6:$W$10005,$W2903)&gt;0),N(U2902),N(U2902)+1))</f>
        <v/>
      </c>
      <c r="V2903" s="19">
        <f>IF($B2903="","",TEXT($B2903,"0000"))</f>
        <v/>
      </c>
      <c r="W2903" s="19">
        <f>IF($I2903="","",IF(ISNUMBER($I2903),TEXT($I2903,"0"),$I2903))</f>
        <v/>
      </c>
    </row>
    <row r="2904">
      <c r="B2904" s="25" t="n"/>
      <c r="I2904" s="25" t="n"/>
      <c r="U2904" s="19">
        <f>IF($V2904&lt;&gt;'設定'!$C$4,N(U2903),IF(OR(NOT(COUNTIF('商品マスタ'!$B$6:$B$1005,$W2904)=0),COUNTIFS('①在庫を貼る'!$V$6:$V$10005,$V2904,'①在庫を貼る'!$W$6:$W$10005,$W2904)+COUNTIFS('月1回_1ヶ月前の在庫'!$V$6:$V$10005,$V2904,'月1回_1ヶ月前の在庫'!$W$6:$W$10005,$W2904)&gt;0),N(U2903),N(U2903)+1))</f>
        <v/>
      </c>
      <c r="V2904" s="19">
        <f>IF($B2904="","",TEXT($B2904,"0000"))</f>
        <v/>
      </c>
      <c r="W2904" s="19">
        <f>IF($I2904="","",IF(ISNUMBER($I2904),TEXT($I2904,"0"),$I2904))</f>
        <v/>
      </c>
    </row>
    <row r="2905">
      <c r="B2905" s="25" t="n"/>
      <c r="I2905" s="25" t="n"/>
      <c r="U2905" s="19">
        <f>IF($V2905&lt;&gt;'設定'!$C$4,N(U2904),IF(OR(NOT(COUNTIF('商品マスタ'!$B$6:$B$1005,$W2905)=0),COUNTIFS('①在庫を貼る'!$V$6:$V$10005,$V2905,'①在庫を貼る'!$W$6:$W$10005,$W2905)+COUNTIFS('月1回_1ヶ月前の在庫'!$V$6:$V$10005,$V2905,'月1回_1ヶ月前の在庫'!$W$6:$W$10005,$W2905)&gt;0),N(U2904),N(U2904)+1))</f>
        <v/>
      </c>
      <c r="V2905" s="19">
        <f>IF($B2905="","",TEXT($B2905,"0000"))</f>
        <v/>
      </c>
      <c r="W2905" s="19">
        <f>IF($I2905="","",IF(ISNUMBER($I2905),TEXT($I2905,"0"),$I2905))</f>
        <v/>
      </c>
    </row>
    <row r="2906">
      <c r="B2906" s="25" t="n"/>
      <c r="I2906" s="25" t="n"/>
      <c r="U2906" s="19">
        <f>IF($V2906&lt;&gt;'設定'!$C$4,N(U2905),IF(OR(NOT(COUNTIF('商品マスタ'!$B$6:$B$1005,$W2906)=0),COUNTIFS('①在庫を貼る'!$V$6:$V$10005,$V2906,'①在庫を貼る'!$W$6:$W$10005,$W2906)+COUNTIFS('月1回_1ヶ月前の在庫'!$V$6:$V$10005,$V2906,'月1回_1ヶ月前の在庫'!$W$6:$W$10005,$W2906)&gt;0),N(U2905),N(U2905)+1))</f>
        <v/>
      </c>
      <c r="V2906" s="19">
        <f>IF($B2906="","",TEXT($B2906,"0000"))</f>
        <v/>
      </c>
      <c r="W2906" s="19">
        <f>IF($I2906="","",IF(ISNUMBER($I2906),TEXT($I2906,"0"),$I2906))</f>
        <v/>
      </c>
    </row>
    <row r="2907">
      <c r="B2907" s="25" t="n"/>
      <c r="I2907" s="25" t="n"/>
      <c r="U2907" s="19">
        <f>IF($V2907&lt;&gt;'設定'!$C$4,N(U2906),IF(OR(NOT(COUNTIF('商品マスタ'!$B$6:$B$1005,$W2907)=0),COUNTIFS('①在庫を貼る'!$V$6:$V$10005,$V2907,'①在庫を貼る'!$W$6:$W$10005,$W2907)+COUNTIFS('月1回_1ヶ月前の在庫'!$V$6:$V$10005,$V2907,'月1回_1ヶ月前の在庫'!$W$6:$W$10005,$W2907)&gt;0),N(U2906),N(U2906)+1))</f>
        <v/>
      </c>
      <c r="V2907" s="19">
        <f>IF($B2907="","",TEXT($B2907,"0000"))</f>
        <v/>
      </c>
      <c r="W2907" s="19">
        <f>IF($I2907="","",IF(ISNUMBER($I2907),TEXT($I2907,"0"),$I2907))</f>
        <v/>
      </c>
    </row>
    <row r="2908">
      <c r="B2908" s="25" t="n"/>
      <c r="I2908" s="25" t="n"/>
      <c r="U2908" s="19">
        <f>IF($V2908&lt;&gt;'設定'!$C$4,N(U2907),IF(OR(NOT(COUNTIF('商品マスタ'!$B$6:$B$1005,$W2908)=0),COUNTIFS('①在庫を貼る'!$V$6:$V$10005,$V2908,'①在庫を貼る'!$W$6:$W$10005,$W2908)+COUNTIFS('月1回_1ヶ月前の在庫'!$V$6:$V$10005,$V2908,'月1回_1ヶ月前の在庫'!$W$6:$W$10005,$W2908)&gt;0),N(U2907),N(U2907)+1))</f>
        <v/>
      </c>
      <c r="V2908" s="19">
        <f>IF($B2908="","",TEXT($B2908,"0000"))</f>
        <v/>
      </c>
      <c r="W2908" s="19">
        <f>IF($I2908="","",IF(ISNUMBER($I2908),TEXT($I2908,"0"),$I2908))</f>
        <v/>
      </c>
    </row>
    <row r="2909">
      <c r="B2909" s="25" t="n"/>
      <c r="I2909" s="25" t="n"/>
      <c r="U2909" s="19">
        <f>IF($V2909&lt;&gt;'設定'!$C$4,N(U2908),IF(OR(NOT(COUNTIF('商品マスタ'!$B$6:$B$1005,$W2909)=0),COUNTIFS('①在庫を貼る'!$V$6:$V$10005,$V2909,'①在庫を貼る'!$W$6:$W$10005,$W2909)+COUNTIFS('月1回_1ヶ月前の在庫'!$V$6:$V$10005,$V2909,'月1回_1ヶ月前の在庫'!$W$6:$W$10005,$W2909)&gt;0),N(U2908),N(U2908)+1))</f>
        <v/>
      </c>
      <c r="V2909" s="19">
        <f>IF($B2909="","",TEXT($B2909,"0000"))</f>
        <v/>
      </c>
      <c r="W2909" s="19">
        <f>IF($I2909="","",IF(ISNUMBER($I2909),TEXT($I2909,"0"),$I2909))</f>
        <v/>
      </c>
    </row>
    <row r="2910">
      <c r="B2910" s="25" t="n"/>
      <c r="I2910" s="25" t="n"/>
      <c r="U2910" s="19">
        <f>IF($V2910&lt;&gt;'設定'!$C$4,N(U2909),IF(OR(NOT(COUNTIF('商品マスタ'!$B$6:$B$1005,$W2910)=0),COUNTIFS('①在庫を貼る'!$V$6:$V$10005,$V2910,'①在庫を貼る'!$W$6:$W$10005,$W2910)+COUNTIFS('月1回_1ヶ月前の在庫'!$V$6:$V$10005,$V2910,'月1回_1ヶ月前の在庫'!$W$6:$W$10005,$W2910)&gt;0),N(U2909),N(U2909)+1))</f>
        <v/>
      </c>
      <c r="V2910" s="19">
        <f>IF($B2910="","",TEXT($B2910,"0000"))</f>
        <v/>
      </c>
      <c r="W2910" s="19">
        <f>IF($I2910="","",IF(ISNUMBER($I2910),TEXT($I2910,"0"),$I2910))</f>
        <v/>
      </c>
    </row>
    <row r="2911">
      <c r="B2911" s="25" t="n"/>
      <c r="I2911" s="25" t="n"/>
      <c r="U2911" s="19">
        <f>IF($V2911&lt;&gt;'設定'!$C$4,N(U2910),IF(OR(NOT(COUNTIF('商品マスタ'!$B$6:$B$1005,$W2911)=0),COUNTIFS('①在庫を貼る'!$V$6:$V$10005,$V2911,'①在庫を貼る'!$W$6:$W$10005,$W2911)+COUNTIFS('月1回_1ヶ月前の在庫'!$V$6:$V$10005,$V2911,'月1回_1ヶ月前の在庫'!$W$6:$W$10005,$W2911)&gt;0),N(U2910),N(U2910)+1))</f>
        <v/>
      </c>
      <c r="V2911" s="19">
        <f>IF($B2911="","",TEXT($B2911,"0000"))</f>
        <v/>
      </c>
      <c r="W2911" s="19">
        <f>IF($I2911="","",IF(ISNUMBER($I2911),TEXT($I2911,"0"),$I2911))</f>
        <v/>
      </c>
    </row>
    <row r="2912">
      <c r="B2912" s="25" t="n"/>
      <c r="I2912" s="25" t="n"/>
      <c r="U2912" s="19">
        <f>IF($V2912&lt;&gt;'設定'!$C$4,N(U2911),IF(OR(NOT(COUNTIF('商品マスタ'!$B$6:$B$1005,$W2912)=0),COUNTIFS('①在庫を貼る'!$V$6:$V$10005,$V2912,'①在庫を貼る'!$W$6:$W$10005,$W2912)+COUNTIFS('月1回_1ヶ月前の在庫'!$V$6:$V$10005,$V2912,'月1回_1ヶ月前の在庫'!$W$6:$W$10005,$W2912)&gt;0),N(U2911),N(U2911)+1))</f>
        <v/>
      </c>
      <c r="V2912" s="19">
        <f>IF($B2912="","",TEXT($B2912,"0000"))</f>
        <v/>
      </c>
      <c r="W2912" s="19">
        <f>IF($I2912="","",IF(ISNUMBER($I2912),TEXT($I2912,"0"),$I2912))</f>
        <v/>
      </c>
    </row>
    <row r="2913">
      <c r="B2913" s="25" t="n"/>
      <c r="I2913" s="25" t="n"/>
      <c r="U2913" s="19">
        <f>IF($V2913&lt;&gt;'設定'!$C$4,N(U2912),IF(OR(NOT(COUNTIF('商品マスタ'!$B$6:$B$1005,$W2913)=0),COUNTIFS('①在庫を貼る'!$V$6:$V$10005,$V2913,'①在庫を貼る'!$W$6:$W$10005,$W2913)+COUNTIFS('月1回_1ヶ月前の在庫'!$V$6:$V$10005,$V2913,'月1回_1ヶ月前の在庫'!$W$6:$W$10005,$W2913)&gt;0),N(U2912),N(U2912)+1))</f>
        <v/>
      </c>
      <c r="V2913" s="19">
        <f>IF($B2913="","",TEXT($B2913,"0000"))</f>
        <v/>
      </c>
      <c r="W2913" s="19">
        <f>IF($I2913="","",IF(ISNUMBER($I2913),TEXT($I2913,"0"),$I2913))</f>
        <v/>
      </c>
    </row>
    <row r="2914">
      <c r="B2914" s="25" t="n"/>
      <c r="I2914" s="25" t="n"/>
      <c r="U2914" s="19">
        <f>IF($V2914&lt;&gt;'設定'!$C$4,N(U2913),IF(OR(NOT(COUNTIF('商品マスタ'!$B$6:$B$1005,$W2914)=0),COUNTIFS('①在庫を貼る'!$V$6:$V$10005,$V2914,'①在庫を貼る'!$W$6:$W$10005,$W2914)+COUNTIFS('月1回_1ヶ月前の在庫'!$V$6:$V$10005,$V2914,'月1回_1ヶ月前の在庫'!$W$6:$W$10005,$W2914)&gt;0),N(U2913),N(U2913)+1))</f>
        <v/>
      </c>
      <c r="V2914" s="19">
        <f>IF($B2914="","",TEXT($B2914,"0000"))</f>
        <v/>
      </c>
      <c r="W2914" s="19">
        <f>IF($I2914="","",IF(ISNUMBER($I2914),TEXT($I2914,"0"),$I2914))</f>
        <v/>
      </c>
    </row>
    <row r="2915">
      <c r="B2915" s="25" t="n"/>
      <c r="I2915" s="25" t="n"/>
      <c r="U2915" s="19">
        <f>IF($V2915&lt;&gt;'設定'!$C$4,N(U2914),IF(OR(NOT(COUNTIF('商品マスタ'!$B$6:$B$1005,$W2915)=0),COUNTIFS('①在庫を貼る'!$V$6:$V$10005,$V2915,'①在庫を貼る'!$W$6:$W$10005,$W2915)+COUNTIFS('月1回_1ヶ月前の在庫'!$V$6:$V$10005,$V2915,'月1回_1ヶ月前の在庫'!$W$6:$W$10005,$W2915)&gt;0),N(U2914),N(U2914)+1))</f>
        <v/>
      </c>
      <c r="V2915" s="19">
        <f>IF($B2915="","",TEXT($B2915,"0000"))</f>
        <v/>
      </c>
      <c r="W2915" s="19">
        <f>IF($I2915="","",IF(ISNUMBER($I2915),TEXT($I2915,"0"),$I2915))</f>
        <v/>
      </c>
    </row>
    <row r="2916">
      <c r="B2916" s="25" t="n"/>
      <c r="I2916" s="25" t="n"/>
      <c r="U2916" s="19">
        <f>IF($V2916&lt;&gt;'設定'!$C$4,N(U2915),IF(OR(NOT(COUNTIF('商品マスタ'!$B$6:$B$1005,$W2916)=0),COUNTIFS('①在庫を貼る'!$V$6:$V$10005,$V2916,'①在庫を貼る'!$W$6:$W$10005,$W2916)+COUNTIFS('月1回_1ヶ月前の在庫'!$V$6:$V$10005,$V2916,'月1回_1ヶ月前の在庫'!$W$6:$W$10005,$W2916)&gt;0),N(U2915),N(U2915)+1))</f>
        <v/>
      </c>
      <c r="V2916" s="19">
        <f>IF($B2916="","",TEXT($B2916,"0000"))</f>
        <v/>
      </c>
      <c r="W2916" s="19">
        <f>IF($I2916="","",IF(ISNUMBER($I2916),TEXT($I2916,"0"),$I2916))</f>
        <v/>
      </c>
    </row>
    <row r="2917">
      <c r="B2917" s="25" t="n"/>
      <c r="I2917" s="25" t="n"/>
      <c r="U2917" s="19">
        <f>IF($V2917&lt;&gt;'設定'!$C$4,N(U2916),IF(OR(NOT(COUNTIF('商品マスタ'!$B$6:$B$1005,$W2917)=0),COUNTIFS('①在庫を貼る'!$V$6:$V$10005,$V2917,'①在庫を貼る'!$W$6:$W$10005,$W2917)+COUNTIFS('月1回_1ヶ月前の在庫'!$V$6:$V$10005,$V2917,'月1回_1ヶ月前の在庫'!$W$6:$W$10005,$W2917)&gt;0),N(U2916),N(U2916)+1))</f>
        <v/>
      </c>
      <c r="V2917" s="19">
        <f>IF($B2917="","",TEXT($B2917,"0000"))</f>
        <v/>
      </c>
      <c r="W2917" s="19">
        <f>IF($I2917="","",IF(ISNUMBER($I2917),TEXT($I2917,"0"),$I2917))</f>
        <v/>
      </c>
    </row>
    <row r="2918">
      <c r="B2918" s="25" t="n"/>
      <c r="I2918" s="25" t="n"/>
      <c r="U2918" s="19">
        <f>IF($V2918&lt;&gt;'設定'!$C$4,N(U2917),IF(OR(NOT(COUNTIF('商品マスタ'!$B$6:$B$1005,$W2918)=0),COUNTIFS('①在庫を貼る'!$V$6:$V$10005,$V2918,'①在庫を貼る'!$W$6:$W$10005,$W2918)+COUNTIFS('月1回_1ヶ月前の在庫'!$V$6:$V$10005,$V2918,'月1回_1ヶ月前の在庫'!$W$6:$W$10005,$W2918)&gt;0),N(U2917),N(U2917)+1))</f>
        <v/>
      </c>
      <c r="V2918" s="19">
        <f>IF($B2918="","",TEXT($B2918,"0000"))</f>
        <v/>
      </c>
      <c r="W2918" s="19">
        <f>IF($I2918="","",IF(ISNUMBER($I2918),TEXT($I2918,"0"),$I2918))</f>
        <v/>
      </c>
    </row>
    <row r="2919">
      <c r="B2919" s="25" t="n"/>
      <c r="I2919" s="25" t="n"/>
      <c r="U2919" s="19">
        <f>IF($V2919&lt;&gt;'設定'!$C$4,N(U2918),IF(OR(NOT(COUNTIF('商品マスタ'!$B$6:$B$1005,$W2919)=0),COUNTIFS('①在庫を貼る'!$V$6:$V$10005,$V2919,'①在庫を貼る'!$W$6:$W$10005,$W2919)+COUNTIFS('月1回_1ヶ月前の在庫'!$V$6:$V$10005,$V2919,'月1回_1ヶ月前の在庫'!$W$6:$W$10005,$W2919)&gt;0),N(U2918),N(U2918)+1))</f>
        <v/>
      </c>
      <c r="V2919" s="19">
        <f>IF($B2919="","",TEXT($B2919,"0000"))</f>
        <v/>
      </c>
      <c r="W2919" s="19">
        <f>IF($I2919="","",IF(ISNUMBER($I2919),TEXT($I2919,"0"),$I2919))</f>
        <v/>
      </c>
    </row>
    <row r="2920">
      <c r="B2920" s="25" t="n"/>
      <c r="I2920" s="25" t="n"/>
      <c r="U2920" s="19">
        <f>IF($V2920&lt;&gt;'設定'!$C$4,N(U2919),IF(OR(NOT(COUNTIF('商品マスタ'!$B$6:$B$1005,$W2920)=0),COUNTIFS('①在庫を貼る'!$V$6:$V$10005,$V2920,'①在庫を貼る'!$W$6:$W$10005,$W2920)+COUNTIFS('月1回_1ヶ月前の在庫'!$V$6:$V$10005,$V2920,'月1回_1ヶ月前の在庫'!$W$6:$W$10005,$W2920)&gt;0),N(U2919),N(U2919)+1))</f>
        <v/>
      </c>
      <c r="V2920" s="19">
        <f>IF($B2920="","",TEXT($B2920,"0000"))</f>
        <v/>
      </c>
      <c r="W2920" s="19">
        <f>IF($I2920="","",IF(ISNUMBER($I2920),TEXT($I2920,"0"),$I2920))</f>
        <v/>
      </c>
    </row>
    <row r="2921">
      <c r="B2921" s="25" t="n"/>
      <c r="I2921" s="25" t="n"/>
      <c r="U2921" s="19">
        <f>IF($V2921&lt;&gt;'設定'!$C$4,N(U2920),IF(OR(NOT(COUNTIF('商品マスタ'!$B$6:$B$1005,$W2921)=0),COUNTIFS('①在庫を貼る'!$V$6:$V$10005,$V2921,'①在庫を貼る'!$W$6:$W$10005,$W2921)+COUNTIFS('月1回_1ヶ月前の在庫'!$V$6:$V$10005,$V2921,'月1回_1ヶ月前の在庫'!$W$6:$W$10005,$W2921)&gt;0),N(U2920),N(U2920)+1))</f>
        <v/>
      </c>
      <c r="V2921" s="19">
        <f>IF($B2921="","",TEXT($B2921,"0000"))</f>
        <v/>
      </c>
      <c r="W2921" s="19">
        <f>IF($I2921="","",IF(ISNUMBER($I2921),TEXT($I2921,"0"),$I2921))</f>
        <v/>
      </c>
    </row>
    <row r="2922">
      <c r="B2922" s="25" t="n"/>
      <c r="I2922" s="25" t="n"/>
      <c r="U2922" s="19">
        <f>IF($V2922&lt;&gt;'設定'!$C$4,N(U2921),IF(OR(NOT(COUNTIF('商品マスタ'!$B$6:$B$1005,$W2922)=0),COUNTIFS('①在庫を貼る'!$V$6:$V$10005,$V2922,'①在庫を貼る'!$W$6:$W$10005,$W2922)+COUNTIFS('月1回_1ヶ月前の在庫'!$V$6:$V$10005,$V2922,'月1回_1ヶ月前の在庫'!$W$6:$W$10005,$W2922)&gt;0),N(U2921),N(U2921)+1))</f>
        <v/>
      </c>
      <c r="V2922" s="19">
        <f>IF($B2922="","",TEXT($B2922,"0000"))</f>
        <v/>
      </c>
      <c r="W2922" s="19">
        <f>IF($I2922="","",IF(ISNUMBER($I2922),TEXT($I2922,"0"),$I2922))</f>
        <v/>
      </c>
    </row>
    <row r="2923">
      <c r="B2923" s="25" t="n"/>
      <c r="I2923" s="25" t="n"/>
      <c r="U2923" s="19">
        <f>IF($V2923&lt;&gt;'設定'!$C$4,N(U2922),IF(OR(NOT(COUNTIF('商品マスタ'!$B$6:$B$1005,$W2923)=0),COUNTIFS('①在庫を貼る'!$V$6:$V$10005,$V2923,'①在庫を貼る'!$W$6:$W$10005,$W2923)+COUNTIFS('月1回_1ヶ月前の在庫'!$V$6:$V$10005,$V2923,'月1回_1ヶ月前の在庫'!$W$6:$W$10005,$W2923)&gt;0),N(U2922),N(U2922)+1))</f>
        <v/>
      </c>
      <c r="V2923" s="19">
        <f>IF($B2923="","",TEXT($B2923,"0000"))</f>
        <v/>
      </c>
      <c r="W2923" s="19">
        <f>IF($I2923="","",IF(ISNUMBER($I2923),TEXT($I2923,"0"),$I2923))</f>
        <v/>
      </c>
    </row>
    <row r="2924">
      <c r="B2924" s="25" t="n"/>
      <c r="I2924" s="25" t="n"/>
      <c r="U2924" s="19">
        <f>IF($V2924&lt;&gt;'設定'!$C$4,N(U2923),IF(OR(NOT(COUNTIF('商品マスタ'!$B$6:$B$1005,$W2924)=0),COUNTIFS('①在庫を貼る'!$V$6:$V$10005,$V2924,'①在庫を貼る'!$W$6:$W$10005,$W2924)+COUNTIFS('月1回_1ヶ月前の在庫'!$V$6:$V$10005,$V2924,'月1回_1ヶ月前の在庫'!$W$6:$W$10005,$W2924)&gt;0),N(U2923),N(U2923)+1))</f>
        <v/>
      </c>
      <c r="V2924" s="19">
        <f>IF($B2924="","",TEXT($B2924,"0000"))</f>
        <v/>
      </c>
      <c r="W2924" s="19">
        <f>IF($I2924="","",IF(ISNUMBER($I2924),TEXT($I2924,"0"),$I2924))</f>
        <v/>
      </c>
    </row>
    <row r="2925">
      <c r="B2925" s="25" t="n"/>
      <c r="I2925" s="25" t="n"/>
      <c r="U2925" s="19">
        <f>IF($V2925&lt;&gt;'設定'!$C$4,N(U2924),IF(OR(NOT(COUNTIF('商品マスタ'!$B$6:$B$1005,$W2925)=0),COUNTIFS('①在庫を貼る'!$V$6:$V$10005,$V2925,'①在庫を貼る'!$W$6:$W$10005,$W2925)+COUNTIFS('月1回_1ヶ月前の在庫'!$V$6:$V$10005,$V2925,'月1回_1ヶ月前の在庫'!$W$6:$W$10005,$W2925)&gt;0),N(U2924),N(U2924)+1))</f>
        <v/>
      </c>
      <c r="V2925" s="19">
        <f>IF($B2925="","",TEXT($B2925,"0000"))</f>
        <v/>
      </c>
      <c r="W2925" s="19">
        <f>IF($I2925="","",IF(ISNUMBER($I2925),TEXT($I2925,"0"),$I2925))</f>
        <v/>
      </c>
    </row>
    <row r="2926">
      <c r="B2926" s="25" t="n"/>
      <c r="I2926" s="25" t="n"/>
      <c r="U2926" s="19">
        <f>IF($V2926&lt;&gt;'設定'!$C$4,N(U2925),IF(OR(NOT(COUNTIF('商品マスタ'!$B$6:$B$1005,$W2926)=0),COUNTIFS('①在庫を貼る'!$V$6:$V$10005,$V2926,'①在庫を貼る'!$W$6:$W$10005,$W2926)+COUNTIFS('月1回_1ヶ月前の在庫'!$V$6:$V$10005,$V2926,'月1回_1ヶ月前の在庫'!$W$6:$W$10005,$W2926)&gt;0),N(U2925),N(U2925)+1))</f>
        <v/>
      </c>
      <c r="V2926" s="19">
        <f>IF($B2926="","",TEXT($B2926,"0000"))</f>
        <v/>
      </c>
      <c r="W2926" s="19">
        <f>IF($I2926="","",IF(ISNUMBER($I2926),TEXT($I2926,"0"),$I2926))</f>
        <v/>
      </c>
    </row>
    <row r="2927">
      <c r="B2927" s="25" t="n"/>
      <c r="I2927" s="25" t="n"/>
      <c r="U2927" s="19">
        <f>IF($V2927&lt;&gt;'設定'!$C$4,N(U2926),IF(OR(NOT(COUNTIF('商品マスタ'!$B$6:$B$1005,$W2927)=0),COUNTIFS('①在庫を貼る'!$V$6:$V$10005,$V2927,'①在庫を貼る'!$W$6:$W$10005,$W2927)+COUNTIFS('月1回_1ヶ月前の在庫'!$V$6:$V$10005,$V2927,'月1回_1ヶ月前の在庫'!$W$6:$W$10005,$W2927)&gt;0),N(U2926),N(U2926)+1))</f>
        <v/>
      </c>
      <c r="V2927" s="19">
        <f>IF($B2927="","",TEXT($B2927,"0000"))</f>
        <v/>
      </c>
      <c r="W2927" s="19">
        <f>IF($I2927="","",IF(ISNUMBER($I2927),TEXT($I2927,"0"),$I2927))</f>
        <v/>
      </c>
    </row>
    <row r="2928">
      <c r="B2928" s="25" t="n"/>
      <c r="I2928" s="25" t="n"/>
      <c r="U2928" s="19">
        <f>IF($V2928&lt;&gt;'設定'!$C$4,N(U2927),IF(OR(NOT(COUNTIF('商品マスタ'!$B$6:$B$1005,$W2928)=0),COUNTIFS('①在庫を貼る'!$V$6:$V$10005,$V2928,'①在庫を貼る'!$W$6:$W$10005,$W2928)+COUNTIFS('月1回_1ヶ月前の在庫'!$V$6:$V$10005,$V2928,'月1回_1ヶ月前の在庫'!$W$6:$W$10005,$W2928)&gt;0),N(U2927),N(U2927)+1))</f>
        <v/>
      </c>
      <c r="V2928" s="19">
        <f>IF($B2928="","",TEXT($B2928,"0000"))</f>
        <v/>
      </c>
      <c r="W2928" s="19">
        <f>IF($I2928="","",IF(ISNUMBER($I2928),TEXT($I2928,"0"),$I2928))</f>
        <v/>
      </c>
    </row>
    <row r="2929">
      <c r="B2929" s="25" t="n"/>
      <c r="I2929" s="25" t="n"/>
      <c r="U2929" s="19">
        <f>IF($V2929&lt;&gt;'設定'!$C$4,N(U2928),IF(OR(NOT(COUNTIF('商品マスタ'!$B$6:$B$1005,$W2929)=0),COUNTIFS('①在庫を貼る'!$V$6:$V$10005,$V2929,'①在庫を貼る'!$W$6:$W$10005,$W2929)+COUNTIFS('月1回_1ヶ月前の在庫'!$V$6:$V$10005,$V2929,'月1回_1ヶ月前の在庫'!$W$6:$W$10005,$W2929)&gt;0),N(U2928),N(U2928)+1))</f>
        <v/>
      </c>
      <c r="V2929" s="19">
        <f>IF($B2929="","",TEXT($B2929,"0000"))</f>
        <v/>
      </c>
      <c r="W2929" s="19">
        <f>IF($I2929="","",IF(ISNUMBER($I2929),TEXT($I2929,"0"),$I2929))</f>
        <v/>
      </c>
    </row>
    <row r="2930">
      <c r="B2930" s="25" t="n"/>
      <c r="I2930" s="25" t="n"/>
      <c r="U2930" s="19">
        <f>IF($V2930&lt;&gt;'設定'!$C$4,N(U2929),IF(OR(NOT(COUNTIF('商品マスタ'!$B$6:$B$1005,$W2930)=0),COUNTIFS('①在庫を貼る'!$V$6:$V$10005,$V2930,'①在庫を貼る'!$W$6:$W$10005,$W2930)+COUNTIFS('月1回_1ヶ月前の在庫'!$V$6:$V$10005,$V2930,'月1回_1ヶ月前の在庫'!$W$6:$W$10005,$W2930)&gt;0),N(U2929),N(U2929)+1))</f>
        <v/>
      </c>
      <c r="V2930" s="19">
        <f>IF($B2930="","",TEXT($B2930,"0000"))</f>
        <v/>
      </c>
      <c r="W2930" s="19">
        <f>IF($I2930="","",IF(ISNUMBER($I2930),TEXT($I2930,"0"),$I2930))</f>
        <v/>
      </c>
    </row>
    <row r="2931">
      <c r="B2931" s="25" t="n"/>
      <c r="I2931" s="25" t="n"/>
      <c r="U2931" s="19">
        <f>IF($V2931&lt;&gt;'設定'!$C$4,N(U2930),IF(OR(NOT(COUNTIF('商品マスタ'!$B$6:$B$1005,$W2931)=0),COUNTIFS('①在庫を貼る'!$V$6:$V$10005,$V2931,'①在庫を貼る'!$W$6:$W$10005,$W2931)+COUNTIFS('月1回_1ヶ月前の在庫'!$V$6:$V$10005,$V2931,'月1回_1ヶ月前の在庫'!$W$6:$W$10005,$W2931)&gt;0),N(U2930),N(U2930)+1))</f>
        <v/>
      </c>
      <c r="V2931" s="19">
        <f>IF($B2931="","",TEXT($B2931,"0000"))</f>
        <v/>
      </c>
      <c r="W2931" s="19">
        <f>IF($I2931="","",IF(ISNUMBER($I2931),TEXT($I2931,"0"),$I2931))</f>
        <v/>
      </c>
    </row>
    <row r="2932">
      <c r="B2932" s="25" t="n"/>
      <c r="I2932" s="25" t="n"/>
      <c r="U2932" s="19">
        <f>IF($V2932&lt;&gt;'設定'!$C$4,N(U2931),IF(OR(NOT(COUNTIF('商品マスタ'!$B$6:$B$1005,$W2932)=0),COUNTIFS('①在庫を貼る'!$V$6:$V$10005,$V2932,'①在庫を貼る'!$W$6:$W$10005,$W2932)+COUNTIFS('月1回_1ヶ月前の在庫'!$V$6:$V$10005,$V2932,'月1回_1ヶ月前の在庫'!$W$6:$W$10005,$W2932)&gt;0),N(U2931),N(U2931)+1))</f>
        <v/>
      </c>
      <c r="V2932" s="19">
        <f>IF($B2932="","",TEXT($B2932,"0000"))</f>
        <v/>
      </c>
      <c r="W2932" s="19">
        <f>IF($I2932="","",IF(ISNUMBER($I2932),TEXT($I2932,"0"),$I2932))</f>
        <v/>
      </c>
    </row>
    <row r="2933">
      <c r="B2933" s="25" t="n"/>
      <c r="I2933" s="25" t="n"/>
      <c r="U2933" s="19">
        <f>IF($V2933&lt;&gt;'設定'!$C$4,N(U2932),IF(OR(NOT(COUNTIF('商品マスタ'!$B$6:$B$1005,$W2933)=0),COUNTIFS('①在庫を貼る'!$V$6:$V$10005,$V2933,'①在庫を貼る'!$W$6:$W$10005,$W2933)+COUNTIFS('月1回_1ヶ月前の在庫'!$V$6:$V$10005,$V2933,'月1回_1ヶ月前の在庫'!$W$6:$W$10005,$W2933)&gt;0),N(U2932),N(U2932)+1))</f>
        <v/>
      </c>
      <c r="V2933" s="19">
        <f>IF($B2933="","",TEXT($B2933,"0000"))</f>
        <v/>
      </c>
      <c r="W2933" s="19">
        <f>IF($I2933="","",IF(ISNUMBER($I2933),TEXT($I2933,"0"),$I2933))</f>
        <v/>
      </c>
    </row>
    <row r="2934">
      <c r="B2934" s="25" t="n"/>
      <c r="I2934" s="25" t="n"/>
      <c r="U2934" s="19">
        <f>IF($V2934&lt;&gt;'設定'!$C$4,N(U2933),IF(OR(NOT(COUNTIF('商品マスタ'!$B$6:$B$1005,$W2934)=0),COUNTIFS('①在庫を貼る'!$V$6:$V$10005,$V2934,'①在庫を貼る'!$W$6:$W$10005,$W2934)+COUNTIFS('月1回_1ヶ月前の在庫'!$V$6:$V$10005,$V2934,'月1回_1ヶ月前の在庫'!$W$6:$W$10005,$W2934)&gt;0),N(U2933),N(U2933)+1))</f>
        <v/>
      </c>
      <c r="V2934" s="19">
        <f>IF($B2934="","",TEXT($B2934,"0000"))</f>
        <v/>
      </c>
      <c r="W2934" s="19">
        <f>IF($I2934="","",IF(ISNUMBER($I2934),TEXT($I2934,"0"),$I2934))</f>
        <v/>
      </c>
    </row>
    <row r="2935">
      <c r="B2935" s="25" t="n"/>
      <c r="I2935" s="25" t="n"/>
      <c r="U2935" s="19">
        <f>IF($V2935&lt;&gt;'設定'!$C$4,N(U2934),IF(OR(NOT(COUNTIF('商品マスタ'!$B$6:$B$1005,$W2935)=0),COUNTIFS('①在庫を貼る'!$V$6:$V$10005,$V2935,'①在庫を貼る'!$W$6:$W$10005,$W2935)+COUNTIFS('月1回_1ヶ月前の在庫'!$V$6:$V$10005,$V2935,'月1回_1ヶ月前の在庫'!$W$6:$W$10005,$W2935)&gt;0),N(U2934),N(U2934)+1))</f>
        <v/>
      </c>
      <c r="V2935" s="19">
        <f>IF($B2935="","",TEXT($B2935,"0000"))</f>
        <v/>
      </c>
      <c r="W2935" s="19">
        <f>IF($I2935="","",IF(ISNUMBER($I2935),TEXT($I2935,"0"),$I2935))</f>
        <v/>
      </c>
    </row>
    <row r="2936">
      <c r="B2936" s="25" t="n"/>
      <c r="I2936" s="25" t="n"/>
      <c r="U2936" s="19">
        <f>IF($V2936&lt;&gt;'設定'!$C$4,N(U2935),IF(OR(NOT(COUNTIF('商品マスタ'!$B$6:$B$1005,$W2936)=0),COUNTIFS('①在庫を貼る'!$V$6:$V$10005,$V2936,'①在庫を貼る'!$W$6:$W$10005,$W2936)+COUNTIFS('月1回_1ヶ月前の在庫'!$V$6:$V$10005,$V2936,'月1回_1ヶ月前の在庫'!$W$6:$W$10005,$W2936)&gt;0),N(U2935),N(U2935)+1))</f>
        <v/>
      </c>
      <c r="V2936" s="19">
        <f>IF($B2936="","",TEXT($B2936,"0000"))</f>
        <v/>
      </c>
      <c r="W2936" s="19">
        <f>IF($I2936="","",IF(ISNUMBER($I2936),TEXT($I2936,"0"),$I2936))</f>
        <v/>
      </c>
    </row>
    <row r="2937">
      <c r="B2937" s="25" t="n"/>
      <c r="I2937" s="25" t="n"/>
      <c r="U2937" s="19">
        <f>IF($V2937&lt;&gt;'設定'!$C$4,N(U2936),IF(OR(NOT(COUNTIF('商品マスタ'!$B$6:$B$1005,$W2937)=0),COUNTIFS('①在庫を貼る'!$V$6:$V$10005,$V2937,'①在庫を貼る'!$W$6:$W$10005,$W2937)+COUNTIFS('月1回_1ヶ月前の在庫'!$V$6:$V$10005,$V2937,'月1回_1ヶ月前の在庫'!$W$6:$W$10005,$W2937)&gt;0),N(U2936),N(U2936)+1))</f>
        <v/>
      </c>
      <c r="V2937" s="19">
        <f>IF($B2937="","",TEXT($B2937,"0000"))</f>
        <v/>
      </c>
      <c r="W2937" s="19">
        <f>IF($I2937="","",IF(ISNUMBER($I2937),TEXT($I2937,"0"),$I2937))</f>
        <v/>
      </c>
    </row>
    <row r="2938">
      <c r="B2938" s="25" t="n"/>
      <c r="I2938" s="25" t="n"/>
      <c r="U2938" s="19">
        <f>IF($V2938&lt;&gt;'設定'!$C$4,N(U2937),IF(OR(NOT(COUNTIF('商品マスタ'!$B$6:$B$1005,$W2938)=0),COUNTIFS('①在庫を貼る'!$V$6:$V$10005,$V2938,'①在庫を貼る'!$W$6:$W$10005,$W2938)+COUNTIFS('月1回_1ヶ月前の在庫'!$V$6:$V$10005,$V2938,'月1回_1ヶ月前の在庫'!$W$6:$W$10005,$W2938)&gt;0),N(U2937),N(U2937)+1))</f>
        <v/>
      </c>
      <c r="V2938" s="19">
        <f>IF($B2938="","",TEXT($B2938,"0000"))</f>
        <v/>
      </c>
      <c r="W2938" s="19">
        <f>IF($I2938="","",IF(ISNUMBER($I2938),TEXT($I2938,"0"),$I2938))</f>
        <v/>
      </c>
    </row>
    <row r="2939">
      <c r="B2939" s="25" t="n"/>
      <c r="I2939" s="25" t="n"/>
      <c r="U2939" s="19">
        <f>IF($V2939&lt;&gt;'設定'!$C$4,N(U2938),IF(OR(NOT(COUNTIF('商品マスタ'!$B$6:$B$1005,$W2939)=0),COUNTIFS('①在庫を貼る'!$V$6:$V$10005,$V2939,'①在庫を貼る'!$W$6:$W$10005,$W2939)+COUNTIFS('月1回_1ヶ月前の在庫'!$V$6:$V$10005,$V2939,'月1回_1ヶ月前の在庫'!$W$6:$W$10005,$W2939)&gt;0),N(U2938),N(U2938)+1))</f>
        <v/>
      </c>
      <c r="V2939" s="19">
        <f>IF($B2939="","",TEXT($B2939,"0000"))</f>
        <v/>
      </c>
      <c r="W2939" s="19">
        <f>IF($I2939="","",IF(ISNUMBER($I2939),TEXT($I2939,"0"),$I2939))</f>
        <v/>
      </c>
    </row>
    <row r="2940">
      <c r="B2940" s="25" t="n"/>
      <c r="I2940" s="25" t="n"/>
      <c r="U2940" s="19">
        <f>IF($V2940&lt;&gt;'設定'!$C$4,N(U2939),IF(OR(NOT(COUNTIF('商品マスタ'!$B$6:$B$1005,$W2940)=0),COUNTIFS('①在庫を貼る'!$V$6:$V$10005,$V2940,'①在庫を貼る'!$W$6:$W$10005,$W2940)+COUNTIFS('月1回_1ヶ月前の在庫'!$V$6:$V$10005,$V2940,'月1回_1ヶ月前の在庫'!$W$6:$W$10005,$W2940)&gt;0),N(U2939),N(U2939)+1))</f>
        <v/>
      </c>
      <c r="V2940" s="19">
        <f>IF($B2940="","",TEXT($B2940,"0000"))</f>
        <v/>
      </c>
      <c r="W2940" s="19">
        <f>IF($I2940="","",IF(ISNUMBER($I2940),TEXT($I2940,"0"),$I2940))</f>
        <v/>
      </c>
    </row>
    <row r="2941">
      <c r="B2941" s="25" t="n"/>
      <c r="I2941" s="25" t="n"/>
      <c r="U2941" s="19">
        <f>IF($V2941&lt;&gt;'設定'!$C$4,N(U2940),IF(OR(NOT(COUNTIF('商品マスタ'!$B$6:$B$1005,$W2941)=0),COUNTIFS('①在庫を貼る'!$V$6:$V$10005,$V2941,'①在庫を貼る'!$W$6:$W$10005,$W2941)+COUNTIFS('月1回_1ヶ月前の在庫'!$V$6:$V$10005,$V2941,'月1回_1ヶ月前の在庫'!$W$6:$W$10005,$W2941)&gt;0),N(U2940),N(U2940)+1))</f>
        <v/>
      </c>
      <c r="V2941" s="19">
        <f>IF($B2941="","",TEXT($B2941,"0000"))</f>
        <v/>
      </c>
      <c r="W2941" s="19">
        <f>IF($I2941="","",IF(ISNUMBER($I2941),TEXT($I2941,"0"),$I2941))</f>
        <v/>
      </c>
    </row>
    <row r="2942">
      <c r="B2942" s="25" t="n"/>
      <c r="I2942" s="25" t="n"/>
      <c r="U2942" s="19">
        <f>IF($V2942&lt;&gt;'設定'!$C$4,N(U2941),IF(OR(NOT(COUNTIF('商品マスタ'!$B$6:$B$1005,$W2942)=0),COUNTIFS('①在庫を貼る'!$V$6:$V$10005,$V2942,'①在庫を貼る'!$W$6:$W$10005,$W2942)+COUNTIFS('月1回_1ヶ月前の在庫'!$V$6:$V$10005,$V2942,'月1回_1ヶ月前の在庫'!$W$6:$W$10005,$W2942)&gt;0),N(U2941),N(U2941)+1))</f>
        <v/>
      </c>
      <c r="V2942" s="19">
        <f>IF($B2942="","",TEXT($B2942,"0000"))</f>
        <v/>
      </c>
      <c r="W2942" s="19">
        <f>IF($I2942="","",IF(ISNUMBER($I2942),TEXT($I2942,"0"),$I2942))</f>
        <v/>
      </c>
    </row>
    <row r="2943">
      <c r="B2943" s="25" t="n"/>
      <c r="I2943" s="25" t="n"/>
      <c r="U2943" s="19">
        <f>IF($V2943&lt;&gt;'設定'!$C$4,N(U2942),IF(OR(NOT(COUNTIF('商品マスタ'!$B$6:$B$1005,$W2943)=0),COUNTIFS('①在庫を貼る'!$V$6:$V$10005,$V2943,'①在庫を貼る'!$W$6:$W$10005,$W2943)+COUNTIFS('月1回_1ヶ月前の在庫'!$V$6:$V$10005,$V2943,'月1回_1ヶ月前の在庫'!$W$6:$W$10005,$W2943)&gt;0),N(U2942),N(U2942)+1))</f>
        <v/>
      </c>
      <c r="V2943" s="19">
        <f>IF($B2943="","",TEXT($B2943,"0000"))</f>
        <v/>
      </c>
      <c r="W2943" s="19">
        <f>IF($I2943="","",IF(ISNUMBER($I2943),TEXT($I2943,"0"),$I2943))</f>
        <v/>
      </c>
    </row>
    <row r="2944">
      <c r="B2944" s="25" t="n"/>
      <c r="I2944" s="25" t="n"/>
      <c r="U2944" s="19">
        <f>IF($V2944&lt;&gt;'設定'!$C$4,N(U2943),IF(OR(NOT(COUNTIF('商品マスタ'!$B$6:$B$1005,$W2944)=0),COUNTIFS('①在庫を貼る'!$V$6:$V$10005,$V2944,'①在庫を貼る'!$W$6:$W$10005,$W2944)+COUNTIFS('月1回_1ヶ月前の在庫'!$V$6:$V$10005,$V2944,'月1回_1ヶ月前の在庫'!$W$6:$W$10005,$W2944)&gt;0),N(U2943),N(U2943)+1))</f>
        <v/>
      </c>
      <c r="V2944" s="19">
        <f>IF($B2944="","",TEXT($B2944,"0000"))</f>
        <v/>
      </c>
      <c r="W2944" s="19">
        <f>IF($I2944="","",IF(ISNUMBER($I2944),TEXT($I2944,"0"),$I2944))</f>
        <v/>
      </c>
    </row>
    <row r="2945">
      <c r="B2945" s="25" t="n"/>
      <c r="I2945" s="25" t="n"/>
      <c r="U2945" s="19">
        <f>IF($V2945&lt;&gt;'設定'!$C$4,N(U2944),IF(OR(NOT(COUNTIF('商品マスタ'!$B$6:$B$1005,$W2945)=0),COUNTIFS('①在庫を貼る'!$V$6:$V$10005,$V2945,'①在庫を貼る'!$W$6:$W$10005,$W2945)+COUNTIFS('月1回_1ヶ月前の在庫'!$V$6:$V$10005,$V2945,'月1回_1ヶ月前の在庫'!$W$6:$W$10005,$W2945)&gt;0),N(U2944),N(U2944)+1))</f>
        <v/>
      </c>
      <c r="V2945" s="19">
        <f>IF($B2945="","",TEXT($B2945,"0000"))</f>
        <v/>
      </c>
      <c r="W2945" s="19">
        <f>IF($I2945="","",IF(ISNUMBER($I2945),TEXT($I2945,"0"),$I2945))</f>
        <v/>
      </c>
    </row>
    <row r="2946">
      <c r="B2946" s="25" t="n"/>
      <c r="I2946" s="25" t="n"/>
      <c r="U2946" s="19">
        <f>IF($V2946&lt;&gt;'設定'!$C$4,N(U2945),IF(OR(NOT(COUNTIF('商品マスタ'!$B$6:$B$1005,$W2946)=0),COUNTIFS('①在庫を貼る'!$V$6:$V$10005,$V2946,'①在庫を貼る'!$W$6:$W$10005,$W2946)+COUNTIFS('月1回_1ヶ月前の在庫'!$V$6:$V$10005,$V2946,'月1回_1ヶ月前の在庫'!$W$6:$W$10005,$W2946)&gt;0),N(U2945),N(U2945)+1))</f>
        <v/>
      </c>
      <c r="V2946" s="19">
        <f>IF($B2946="","",TEXT($B2946,"0000"))</f>
        <v/>
      </c>
      <c r="W2946" s="19">
        <f>IF($I2946="","",IF(ISNUMBER($I2946),TEXT($I2946,"0"),$I2946))</f>
        <v/>
      </c>
    </row>
    <row r="2947">
      <c r="B2947" s="25" t="n"/>
      <c r="I2947" s="25" t="n"/>
      <c r="U2947" s="19">
        <f>IF($V2947&lt;&gt;'設定'!$C$4,N(U2946),IF(OR(NOT(COUNTIF('商品マスタ'!$B$6:$B$1005,$W2947)=0),COUNTIFS('①在庫を貼る'!$V$6:$V$10005,$V2947,'①在庫を貼る'!$W$6:$W$10005,$W2947)+COUNTIFS('月1回_1ヶ月前の在庫'!$V$6:$V$10005,$V2947,'月1回_1ヶ月前の在庫'!$W$6:$W$10005,$W2947)&gt;0),N(U2946),N(U2946)+1))</f>
        <v/>
      </c>
      <c r="V2947" s="19">
        <f>IF($B2947="","",TEXT($B2947,"0000"))</f>
        <v/>
      </c>
      <c r="W2947" s="19">
        <f>IF($I2947="","",IF(ISNUMBER($I2947),TEXT($I2947,"0"),$I2947))</f>
        <v/>
      </c>
    </row>
    <row r="2948">
      <c r="B2948" s="25" t="n"/>
      <c r="I2948" s="25" t="n"/>
      <c r="U2948" s="19">
        <f>IF($V2948&lt;&gt;'設定'!$C$4,N(U2947),IF(OR(NOT(COUNTIF('商品マスタ'!$B$6:$B$1005,$W2948)=0),COUNTIFS('①在庫を貼る'!$V$6:$V$10005,$V2948,'①在庫を貼る'!$W$6:$W$10005,$W2948)+COUNTIFS('月1回_1ヶ月前の在庫'!$V$6:$V$10005,$V2948,'月1回_1ヶ月前の在庫'!$W$6:$W$10005,$W2948)&gt;0),N(U2947),N(U2947)+1))</f>
        <v/>
      </c>
      <c r="V2948" s="19">
        <f>IF($B2948="","",TEXT($B2948,"0000"))</f>
        <v/>
      </c>
      <c r="W2948" s="19">
        <f>IF($I2948="","",IF(ISNUMBER($I2948),TEXT($I2948,"0"),$I2948))</f>
        <v/>
      </c>
    </row>
    <row r="2949">
      <c r="B2949" s="25" t="n"/>
      <c r="I2949" s="25" t="n"/>
      <c r="U2949" s="19">
        <f>IF($V2949&lt;&gt;'設定'!$C$4,N(U2948),IF(OR(NOT(COUNTIF('商品マスタ'!$B$6:$B$1005,$W2949)=0),COUNTIFS('①在庫を貼る'!$V$6:$V$10005,$V2949,'①在庫を貼る'!$W$6:$W$10005,$W2949)+COUNTIFS('月1回_1ヶ月前の在庫'!$V$6:$V$10005,$V2949,'月1回_1ヶ月前の在庫'!$W$6:$W$10005,$W2949)&gt;0),N(U2948),N(U2948)+1))</f>
        <v/>
      </c>
      <c r="V2949" s="19">
        <f>IF($B2949="","",TEXT($B2949,"0000"))</f>
        <v/>
      </c>
      <c r="W2949" s="19">
        <f>IF($I2949="","",IF(ISNUMBER($I2949),TEXT($I2949,"0"),$I2949))</f>
        <v/>
      </c>
    </row>
    <row r="2950">
      <c r="B2950" s="25" t="n"/>
      <c r="I2950" s="25" t="n"/>
      <c r="U2950" s="19">
        <f>IF($V2950&lt;&gt;'設定'!$C$4,N(U2949),IF(OR(NOT(COUNTIF('商品マスタ'!$B$6:$B$1005,$W2950)=0),COUNTIFS('①在庫を貼る'!$V$6:$V$10005,$V2950,'①在庫を貼る'!$W$6:$W$10005,$W2950)+COUNTIFS('月1回_1ヶ月前の在庫'!$V$6:$V$10005,$V2950,'月1回_1ヶ月前の在庫'!$W$6:$W$10005,$W2950)&gt;0),N(U2949),N(U2949)+1))</f>
        <v/>
      </c>
      <c r="V2950" s="19">
        <f>IF($B2950="","",TEXT($B2950,"0000"))</f>
        <v/>
      </c>
      <c r="W2950" s="19">
        <f>IF($I2950="","",IF(ISNUMBER($I2950),TEXT($I2950,"0"),$I2950))</f>
        <v/>
      </c>
    </row>
    <row r="2951">
      <c r="B2951" s="25" t="n"/>
      <c r="I2951" s="25" t="n"/>
      <c r="U2951" s="19">
        <f>IF($V2951&lt;&gt;'設定'!$C$4,N(U2950),IF(OR(NOT(COUNTIF('商品マスタ'!$B$6:$B$1005,$W2951)=0),COUNTIFS('①在庫を貼る'!$V$6:$V$10005,$V2951,'①在庫を貼る'!$W$6:$W$10005,$W2951)+COUNTIFS('月1回_1ヶ月前の在庫'!$V$6:$V$10005,$V2951,'月1回_1ヶ月前の在庫'!$W$6:$W$10005,$W2951)&gt;0),N(U2950),N(U2950)+1))</f>
        <v/>
      </c>
      <c r="V2951" s="19">
        <f>IF($B2951="","",TEXT($B2951,"0000"))</f>
        <v/>
      </c>
      <c r="W2951" s="19">
        <f>IF($I2951="","",IF(ISNUMBER($I2951),TEXT($I2951,"0"),$I2951))</f>
        <v/>
      </c>
    </row>
    <row r="2952">
      <c r="B2952" s="25" t="n"/>
      <c r="I2952" s="25" t="n"/>
      <c r="U2952" s="19">
        <f>IF($V2952&lt;&gt;'設定'!$C$4,N(U2951),IF(OR(NOT(COUNTIF('商品マスタ'!$B$6:$B$1005,$W2952)=0),COUNTIFS('①在庫を貼る'!$V$6:$V$10005,$V2952,'①在庫を貼る'!$W$6:$W$10005,$W2952)+COUNTIFS('月1回_1ヶ月前の在庫'!$V$6:$V$10005,$V2952,'月1回_1ヶ月前の在庫'!$W$6:$W$10005,$W2952)&gt;0),N(U2951),N(U2951)+1))</f>
        <v/>
      </c>
      <c r="V2952" s="19">
        <f>IF($B2952="","",TEXT($B2952,"0000"))</f>
        <v/>
      </c>
      <c r="W2952" s="19">
        <f>IF($I2952="","",IF(ISNUMBER($I2952),TEXT($I2952,"0"),$I2952))</f>
        <v/>
      </c>
    </row>
    <row r="2953">
      <c r="B2953" s="25" t="n"/>
      <c r="I2953" s="25" t="n"/>
      <c r="U2953" s="19">
        <f>IF($V2953&lt;&gt;'設定'!$C$4,N(U2952),IF(OR(NOT(COUNTIF('商品マスタ'!$B$6:$B$1005,$W2953)=0),COUNTIFS('①在庫を貼る'!$V$6:$V$10005,$V2953,'①在庫を貼る'!$W$6:$W$10005,$W2953)+COUNTIFS('月1回_1ヶ月前の在庫'!$V$6:$V$10005,$V2953,'月1回_1ヶ月前の在庫'!$W$6:$W$10005,$W2953)&gt;0),N(U2952),N(U2952)+1))</f>
        <v/>
      </c>
      <c r="V2953" s="19">
        <f>IF($B2953="","",TEXT($B2953,"0000"))</f>
        <v/>
      </c>
      <c r="W2953" s="19">
        <f>IF($I2953="","",IF(ISNUMBER($I2953),TEXT($I2953,"0"),$I2953))</f>
        <v/>
      </c>
    </row>
    <row r="2954">
      <c r="B2954" s="25" t="n"/>
      <c r="I2954" s="25" t="n"/>
      <c r="U2954" s="19">
        <f>IF($V2954&lt;&gt;'設定'!$C$4,N(U2953),IF(OR(NOT(COUNTIF('商品マスタ'!$B$6:$B$1005,$W2954)=0),COUNTIFS('①在庫を貼る'!$V$6:$V$10005,$V2954,'①在庫を貼る'!$W$6:$W$10005,$W2954)+COUNTIFS('月1回_1ヶ月前の在庫'!$V$6:$V$10005,$V2954,'月1回_1ヶ月前の在庫'!$W$6:$W$10005,$W2954)&gt;0),N(U2953),N(U2953)+1))</f>
        <v/>
      </c>
      <c r="V2954" s="19">
        <f>IF($B2954="","",TEXT($B2954,"0000"))</f>
        <v/>
      </c>
      <c r="W2954" s="19">
        <f>IF($I2954="","",IF(ISNUMBER($I2954),TEXT($I2954,"0"),$I2954))</f>
        <v/>
      </c>
    </row>
    <row r="2955">
      <c r="B2955" s="25" t="n"/>
      <c r="I2955" s="25" t="n"/>
      <c r="U2955" s="19">
        <f>IF($V2955&lt;&gt;'設定'!$C$4,N(U2954),IF(OR(NOT(COUNTIF('商品マスタ'!$B$6:$B$1005,$W2955)=0),COUNTIFS('①在庫を貼る'!$V$6:$V$10005,$V2955,'①在庫を貼る'!$W$6:$W$10005,$W2955)+COUNTIFS('月1回_1ヶ月前の在庫'!$V$6:$V$10005,$V2955,'月1回_1ヶ月前の在庫'!$W$6:$W$10005,$W2955)&gt;0),N(U2954),N(U2954)+1))</f>
        <v/>
      </c>
      <c r="V2955" s="19">
        <f>IF($B2955="","",TEXT($B2955,"0000"))</f>
        <v/>
      </c>
      <c r="W2955" s="19">
        <f>IF($I2955="","",IF(ISNUMBER($I2955),TEXT($I2955,"0"),$I2955))</f>
        <v/>
      </c>
    </row>
    <row r="2956">
      <c r="B2956" s="25" t="n"/>
      <c r="I2956" s="25" t="n"/>
      <c r="U2956" s="19">
        <f>IF($V2956&lt;&gt;'設定'!$C$4,N(U2955),IF(OR(NOT(COUNTIF('商品マスタ'!$B$6:$B$1005,$W2956)=0),COUNTIFS('①在庫を貼る'!$V$6:$V$10005,$V2956,'①在庫を貼る'!$W$6:$W$10005,$W2956)+COUNTIFS('月1回_1ヶ月前の在庫'!$V$6:$V$10005,$V2956,'月1回_1ヶ月前の在庫'!$W$6:$W$10005,$W2956)&gt;0),N(U2955),N(U2955)+1))</f>
        <v/>
      </c>
      <c r="V2956" s="19">
        <f>IF($B2956="","",TEXT($B2956,"0000"))</f>
        <v/>
      </c>
      <c r="W2956" s="19">
        <f>IF($I2956="","",IF(ISNUMBER($I2956),TEXT($I2956,"0"),$I2956))</f>
        <v/>
      </c>
    </row>
    <row r="2957">
      <c r="B2957" s="25" t="n"/>
      <c r="I2957" s="25" t="n"/>
      <c r="U2957" s="19">
        <f>IF($V2957&lt;&gt;'設定'!$C$4,N(U2956),IF(OR(NOT(COUNTIF('商品マスタ'!$B$6:$B$1005,$W2957)=0),COUNTIFS('①在庫を貼る'!$V$6:$V$10005,$V2957,'①在庫を貼る'!$W$6:$W$10005,$W2957)+COUNTIFS('月1回_1ヶ月前の在庫'!$V$6:$V$10005,$V2957,'月1回_1ヶ月前の在庫'!$W$6:$W$10005,$W2957)&gt;0),N(U2956),N(U2956)+1))</f>
        <v/>
      </c>
      <c r="V2957" s="19">
        <f>IF($B2957="","",TEXT($B2957,"0000"))</f>
        <v/>
      </c>
      <c r="W2957" s="19">
        <f>IF($I2957="","",IF(ISNUMBER($I2957),TEXT($I2957,"0"),$I2957))</f>
        <v/>
      </c>
    </row>
    <row r="2958">
      <c r="B2958" s="25" t="n"/>
      <c r="I2958" s="25" t="n"/>
      <c r="U2958" s="19">
        <f>IF($V2958&lt;&gt;'設定'!$C$4,N(U2957),IF(OR(NOT(COUNTIF('商品マスタ'!$B$6:$B$1005,$W2958)=0),COUNTIFS('①在庫を貼る'!$V$6:$V$10005,$V2958,'①在庫を貼る'!$W$6:$W$10005,$W2958)+COUNTIFS('月1回_1ヶ月前の在庫'!$V$6:$V$10005,$V2958,'月1回_1ヶ月前の在庫'!$W$6:$W$10005,$W2958)&gt;0),N(U2957),N(U2957)+1))</f>
        <v/>
      </c>
      <c r="V2958" s="19">
        <f>IF($B2958="","",TEXT($B2958,"0000"))</f>
        <v/>
      </c>
      <c r="W2958" s="19">
        <f>IF($I2958="","",IF(ISNUMBER($I2958),TEXT($I2958,"0"),$I2958))</f>
        <v/>
      </c>
    </row>
    <row r="2959">
      <c r="B2959" s="25" t="n"/>
      <c r="I2959" s="25" t="n"/>
      <c r="U2959" s="19">
        <f>IF($V2959&lt;&gt;'設定'!$C$4,N(U2958),IF(OR(NOT(COUNTIF('商品マスタ'!$B$6:$B$1005,$W2959)=0),COUNTIFS('①在庫を貼る'!$V$6:$V$10005,$V2959,'①在庫を貼る'!$W$6:$W$10005,$W2959)+COUNTIFS('月1回_1ヶ月前の在庫'!$V$6:$V$10005,$V2959,'月1回_1ヶ月前の在庫'!$W$6:$W$10005,$W2959)&gt;0),N(U2958),N(U2958)+1))</f>
        <v/>
      </c>
      <c r="V2959" s="19">
        <f>IF($B2959="","",TEXT($B2959,"0000"))</f>
        <v/>
      </c>
      <c r="W2959" s="19">
        <f>IF($I2959="","",IF(ISNUMBER($I2959),TEXT($I2959,"0"),$I2959))</f>
        <v/>
      </c>
    </row>
    <row r="2960">
      <c r="B2960" s="25" t="n"/>
      <c r="I2960" s="25" t="n"/>
      <c r="U2960" s="19">
        <f>IF($V2960&lt;&gt;'設定'!$C$4,N(U2959),IF(OR(NOT(COUNTIF('商品マスタ'!$B$6:$B$1005,$W2960)=0),COUNTIFS('①在庫を貼る'!$V$6:$V$10005,$V2960,'①在庫を貼る'!$W$6:$W$10005,$W2960)+COUNTIFS('月1回_1ヶ月前の在庫'!$V$6:$V$10005,$V2960,'月1回_1ヶ月前の在庫'!$W$6:$W$10005,$W2960)&gt;0),N(U2959),N(U2959)+1))</f>
        <v/>
      </c>
      <c r="V2960" s="19">
        <f>IF($B2960="","",TEXT($B2960,"0000"))</f>
        <v/>
      </c>
      <c r="W2960" s="19">
        <f>IF($I2960="","",IF(ISNUMBER($I2960),TEXT($I2960,"0"),$I2960))</f>
        <v/>
      </c>
    </row>
    <row r="2961">
      <c r="B2961" s="25" t="n"/>
      <c r="I2961" s="25" t="n"/>
      <c r="U2961" s="19">
        <f>IF($V2961&lt;&gt;'設定'!$C$4,N(U2960),IF(OR(NOT(COUNTIF('商品マスタ'!$B$6:$B$1005,$W2961)=0),COUNTIFS('①在庫を貼る'!$V$6:$V$10005,$V2961,'①在庫を貼る'!$W$6:$W$10005,$W2961)+COUNTIFS('月1回_1ヶ月前の在庫'!$V$6:$V$10005,$V2961,'月1回_1ヶ月前の在庫'!$W$6:$W$10005,$W2961)&gt;0),N(U2960),N(U2960)+1))</f>
        <v/>
      </c>
      <c r="V2961" s="19">
        <f>IF($B2961="","",TEXT($B2961,"0000"))</f>
        <v/>
      </c>
      <c r="W2961" s="19">
        <f>IF($I2961="","",IF(ISNUMBER($I2961),TEXT($I2961,"0"),$I2961))</f>
        <v/>
      </c>
    </row>
    <row r="2962">
      <c r="B2962" s="25" t="n"/>
      <c r="I2962" s="25" t="n"/>
      <c r="U2962" s="19">
        <f>IF($V2962&lt;&gt;'設定'!$C$4,N(U2961),IF(OR(NOT(COUNTIF('商品マスタ'!$B$6:$B$1005,$W2962)=0),COUNTIFS('①在庫を貼る'!$V$6:$V$10005,$V2962,'①在庫を貼る'!$W$6:$W$10005,$W2962)+COUNTIFS('月1回_1ヶ月前の在庫'!$V$6:$V$10005,$V2962,'月1回_1ヶ月前の在庫'!$W$6:$W$10005,$W2962)&gt;0),N(U2961),N(U2961)+1))</f>
        <v/>
      </c>
      <c r="V2962" s="19">
        <f>IF($B2962="","",TEXT($B2962,"0000"))</f>
        <v/>
      </c>
      <c r="W2962" s="19">
        <f>IF($I2962="","",IF(ISNUMBER($I2962),TEXT($I2962,"0"),$I2962))</f>
        <v/>
      </c>
    </row>
    <row r="2963">
      <c r="B2963" s="25" t="n"/>
      <c r="I2963" s="25" t="n"/>
      <c r="U2963" s="19">
        <f>IF($V2963&lt;&gt;'設定'!$C$4,N(U2962),IF(OR(NOT(COUNTIF('商品マスタ'!$B$6:$B$1005,$W2963)=0),COUNTIFS('①在庫を貼る'!$V$6:$V$10005,$V2963,'①在庫を貼る'!$W$6:$W$10005,$W2963)+COUNTIFS('月1回_1ヶ月前の在庫'!$V$6:$V$10005,$V2963,'月1回_1ヶ月前の在庫'!$W$6:$W$10005,$W2963)&gt;0),N(U2962),N(U2962)+1))</f>
        <v/>
      </c>
      <c r="V2963" s="19">
        <f>IF($B2963="","",TEXT($B2963,"0000"))</f>
        <v/>
      </c>
      <c r="W2963" s="19">
        <f>IF($I2963="","",IF(ISNUMBER($I2963),TEXT($I2963,"0"),$I2963))</f>
        <v/>
      </c>
    </row>
    <row r="2964">
      <c r="B2964" s="25" t="n"/>
      <c r="I2964" s="25" t="n"/>
      <c r="U2964" s="19">
        <f>IF($V2964&lt;&gt;'設定'!$C$4,N(U2963),IF(OR(NOT(COUNTIF('商品マスタ'!$B$6:$B$1005,$W2964)=0),COUNTIFS('①在庫を貼る'!$V$6:$V$10005,$V2964,'①在庫を貼る'!$W$6:$W$10005,$W2964)+COUNTIFS('月1回_1ヶ月前の在庫'!$V$6:$V$10005,$V2964,'月1回_1ヶ月前の在庫'!$W$6:$W$10005,$W2964)&gt;0),N(U2963),N(U2963)+1))</f>
        <v/>
      </c>
      <c r="V2964" s="19">
        <f>IF($B2964="","",TEXT($B2964,"0000"))</f>
        <v/>
      </c>
      <c r="W2964" s="19">
        <f>IF($I2964="","",IF(ISNUMBER($I2964),TEXT($I2964,"0"),$I2964))</f>
        <v/>
      </c>
    </row>
    <row r="2965">
      <c r="B2965" s="25" t="n"/>
      <c r="I2965" s="25" t="n"/>
      <c r="U2965" s="19">
        <f>IF($V2965&lt;&gt;'設定'!$C$4,N(U2964),IF(OR(NOT(COUNTIF('商品マスタ'!$B$6:$B$1005,$W2965)=0),COUNTIFS('①在庫を貼る'!$V$6:$V$10005,$V2965,'①在庫を貼る'!$W$6:$W$10005,$W2965)+COUNTIFS('月1回_1ヶ月前の在庫'!$V$6:$V$10005,$V2965,'月1回_1ヶ月前の在庫'!$W$6:$W$10005,$W2965)&gt;0),N(U2964),N(U2964)+1))</f>
        <v/>
      </c>
      <c r="V2965" s="19">
        <f>IF($B2965="","",TEXT($B2965,"0000"))</f>
        <v/>
      </c>
      <c r="W2965" s="19">
        <f>IF($I2965="","",IF(ISNUMBER($I2965),TEXT($I2965,"0"),$I2965))</f>
        <v/>
      </c>
    </row>
    <row r="2966">
      <c r="B2966" s="25" t="n"/>
      <c r="I2966" s="25" t="n"/>
      <c r="U2966" s="19">
        <f>IF($V2966&lt;&gt;'設定'!$C$4,N(U2965),IF(OR(NOT(COUNTIF('商品マスタ'!$B$6:$B$1005,$W2966)=0),COUNTIFS('①在庫を貼る'!$V$6:$V$10005,$V2966,'①在庫を貼る'!$W$6:$W$10005,$W2966)+COUNTIFS('月1回_1ヶ月前の在庫'!$V$6:$V$10005,$V2966,'月1回_1ヶ月前の在庫'!$W$6:$W$10005,$W2966)&gt;0),N(U2965),N(U2965)+1))</f>
        <v/>
      </c>
      <c r="V2966" s="19">
        <f>IF($B2966="","",TEXT($B2966,"0000"))</f>
        <v/>
      </c>
      <c r="W2966" s="19">
        <f>IF($I2966="","",IF(ISNUMBER($I2966),TEXT($I2966,"0"),$I2966))</f>
        <v/>
      </c>
    </row>
    <row r="2967">
      <c r="B2967" s="25" t="n"/>
      <c r="I2967" s="25" t="n"/>
      <c r="U2967" s="19">
        <f>IF($V2967&lt;&gt;'設定'!$C$4,N(U2966),IF(OR(NOT(COUNTIF('商品マスタ'!$B$6:$B$1005,$W2967)=0),COUNTIFS('①在庫を貼る'!$V$6:$V$10005,$V2967,'①在庫を貼る'!$W$6:$W$10005,$W2967)+COUNTIFS('月1回_1ヶ月前の在庫'!$V$6:$V$10005,$V2967,'月1回_1ヶ月前の在庫'!$W$6:$W$10005,$W2967)&gt;0),N(U2966),N(U2966)+1))</f>
        <v/>
      </c>
      <c r="V2967" s="19">
        <f>IF($B2967="","",TEXT($B2967,"0000"))</f>
        <v/>
      </c>
      <c r="W2967" s="19">
        <f>IF($I2967="","",IF(ISNUMBER($I2967),TEXT($I2967,"0"),$I2967))</f>
        <v/>
      </c>
    </row>
    <row r="2968">
      <c r="B2968" s="25" t="n"/>
      <c r="I2968" s="25" t="n"/>
      <c r="U2968" s="19">
        <f>IF($V2968&lt;&gt;'設定'!$C$4,N(U2967),IF(OR(NOT(COUNTIF('商品マスタ'!$B$6:$B$1005,$W2968)=0),COUNTIFS('①在庫を貼る'!$V$6:$V$10005,$V2968,'①在庫を貼る'!$W$6:$W$10005,$W2968)+COUNTIFS('月1回_1ヶ月前の在庫'!$V$6:$V$10005,$V2968,'月1回_1ヶ月前の在庫'!$W$6:$W$10005,$W2968)&gt;0),N(U2967),N(U2967)+1))</f>
        <v/>
      </c>
      <c r="V2968" s="19">
        <f>IF($B2968="","",TEXT($B2968,"0000"))</f>
        <v/>
      </c>
      <c r="W2968" s="19">
        <f>IF($I2968="","",IF(ISNUMBER($I2968),TEXT($I2968,"0"),$I2968))</f>
        <v/>
      </c>
    </row>
    <row r="2969">
      <c r="B2969" s="25" t="n"/>
      <c r="I2969" s="25" t="n"/>
      <c r="U2969" s="19">
        <f>IF($V2969&lt;&gt;'設定'!$C$4,N(U2968),IF(OR(NOT(COUNTIF('商品マスタ'!$B$6:$B$1005,$W2969)=0),COUNTIFS('①在庫を貼る'!$V$6:$V$10005,$V2969,'①在庫を貼る'!$W$6:$W$10005,$W2969)+COUNTIFS('月1回_1ヶ月前の在庫'!$V$6:$V$10005,$V2969,'月1回_1ヶ月前の在庫'!$W$6:$W$10005,$W2969)&gt;0),N(U2968),N(U2968)+1))</f>
        <v/>
      </c>
      <c r="V2969" s="19">
        <f>IF($B2969="","",TEXT($B2969,"0000"))</f>
        <v/>
      </c>
      <c r="W2969" s="19">
        <f>IF($I2969="","",IF(ISNUMBER($I2969),TEXT($I2969,"0"),$I2969))</f>
        <v/>
      </c>
    </row>
    <row r="2970">
      <c r="B2970" s="25" t="n"/>
      <c r="I2970" s="25" t="n"/>
      <c r="U2970" s="19">
        <f>IF($V2970&lt;&gt;'設定'!$C$4,N(U2969),IF(OR(NOT(COUNTIF('商品マスタ'!$B$6:$B$1005,$W2970)=0),COUNTIFS('①在庫を貼る'!$V$6:$V$10005,$V2970,'①在庫を貼る'!$W$6:$W$10005,$W2970)+COUNTIFS('月1回_1ヶ月前の在庫'!$V$6:$V$10005,$V2970,'月1回_1ヶ月前の在庫'!$W$6:$W$10005,$W2970)&gt;0),N(U2969),N(U2969)+1))</f>
        <v/>
      </c>
      <c r="V2970" s="19">
        <f>IF($B2970="","",TEXT($B2970,"0000"))</f>
        <v/>
      </c>
      <c r="W2970" s="19">
        <f>IF($I2970="","",IF(ISNUMBER($I2970),TEXT($I2970,"0"),$I2970))</f>
        <v/>
      </c>
    </row>
    <row r="2971">
      <c r="B2971" s="25" t="n"/>
      <c r="I2971" s="25" t="n"/>
      <c r="U2971" s="19">
        <f>IF($V2971&lt;&gt;'設定'!$C$4,N(U2970),IF(OR(NOT(COUNTIF('商品マスタ'!$B$6:$B$1005,$W2971)=0),COUNTIFS('①在庫を貼る'!$V$6:$V$10005,$V2971,'①在庫を貼る'!$W$6:$W$10005,$W2971)+COUNTIFS('月1回_1ヶ月前の在庫'!$V$6:$V$10005,$V2971,'月1回_1ヶ月前の在庫'!$W$6:$W$10005,$W2971)&gt;0),N(U2970),N(U2970)+1))</f>
        <v/>
      </c>
      <c r="V2971" s="19">
        <f>IF($B2971="","",TEXT($B2971,"0000"))</f>
        <v/>
      </c>
      <c r="W2971" s="19">
        <f>IF($I2971="","",IF(ISNUMBER($I2971),TEXT($I2971,"0"),$I2971))</f>
        <v/>
      </c>
    </row>
    <row r="2972">
      <c r="B2972" s="25" t="n"/>
      <c r="I2972" s="25" t="n"/>
      <c r="U2972" s="19">
        <f>IF($V2972&lt;&gt;'設定'!$C$4,N(U2971),IF(OR(NOT(COUNTIF('商品マスタ'!$B$6:$B$1005,$W2972)=0),COUNTIFS('①在庫を貼る'!$V$6:$V$10005,$V2972,'①在庫を貼る'!$W$6:$W$10005,$W2972)+COUNTIFS('月1回_1ヶ月前の在庫'!$V$6:$V$10005,$V2972,'月1回_1ヶ月前の在庫'!$W$6:$W$10005,$W2972)&gt;0),N(U2971),N(U2971)+1))</f>
        <v/>
      </c>
      <c r="V2972" s="19">
        <f>IF($B2972="","",TEXT($B2972,"0000"))</f>
        <v/>
      </c>
      <c r="W2972" s="19">
        <f>IF($I2972="","",IF(ISNUMBER($I2972),TEXT($I2972,"0"),$I2972))</f>
        <v/>
      </c>
    </row>
    <row r="2973">
      <c r="B2973" s="25" t="n"/>
      <c r="I2973" s="25" t="n"/>
      <c r="U2973" s="19">
        <f>IF($V2973&lt;&gt;'設定'!$C$4,N(U2972),IF(OR(NOT(COUNTIF('商品マスタ'!$B$6:$B$1005,$W2973)=0),COUNTIFS('①在庫を貼る'!$V$6:$V$10005,$V2973,'①在庫を貼る'!$W$6:$W$10005,$W2973)+COUNTIFS('月1回_1ヶ月前の在庫'!$V$6:$V$10005,$V2973,'月1回_1ヶ月前の在庫'!$W$6:$W$10005,$W2973)&gt;0),N(U2972),N(U2972)+1))</f>
        <v/>
      </c>
      <c r="V2973" s="19">
        <f>IF($B2973="","",TEXT($B2973,"0000"))</f>
        <v/>
      </c>
      <c r="W2973" s="19">
        <f>IF($I2973="","",IF(ISNUMBER($I2973),TEXT($I2973,"0"),$I2973))</f>
        <v/>
      </c>
    </row>
    <row r="2974">
      <c r="B2974" s="25" t="n"/>
      <c r="I2974" s="25" t="n"/>
      <c r="U2974" s="19">
        <f>IF($V2974&lt;&gt;'設定'!$C$4,N(U2973),IF(OR(NOT(COUNTIF('商品マスタ'!$B$6:$B$1005,$W2974)=0),COUNTIFS('①在庫を貼る'!$V$6:$V$10005,$V2974,'①在庫を貼る'!$W$6:$W$10005,$W2974)+COUNTIFS('月1回_1ヶ月前の在庫'!$V$6:$V$10005,$V2974,'月1回_1ヶ月前の在庫'!$W$6:$W$10005,$W2974)&gt;0),N(U2973),N(U2973)+1))</f>
        <v/>
      </c>
      <c r="V2974" s="19">
        <f>IF($B2974="","",TEXT($B2974,"0000"))</f>
        <v/>
      </c>
      <c r="W2974" s="19">
        <f>IF($I2974="","",IF(ISNUMBER($I2974),TEXT($I2974,"0"),$I2974))</f>
        <v/>
      </c>
    </row>
    <row r="2975">
      <c r="B2975" s="25" t="n"/>
      <c r="I2975" s="25" t="n"/>
      <c r="U2975" s="19">
        <f>IF($V2975&lt;&gt;'設定'!$C$4,N(U2974),IF(OR(NOT(COUNTIF('商品マスタ'!$B$6:$B$1005,$W2975)=0),COUNTIFS('①在庫を貼る'!$V$6:$V$10005,$V2975,'①在庫を貼る'!$W$6:$W$10005,$W2975)+COUNTIFS('月1回_1ヶ月前の在庫'!$V$6:$V$10005,$V2975,'月1回_1ヶ月前の在庫'!$W$6:$W$10005,$W2975)&gt;0),N(U2974),N(U2974)+1))</f>
        <v/>
      </c>
      <c r="V2975" s="19">
        <f>IF($B2975="","",TEXT($B2975,"0000"))</f>
        <v/>
      </c>
      <c r="W2975" s="19">
        <f>IF($I2975="","",IF(ISNUMBER($I2975),TEXT($I2975,"0"),$I2975))</f>
        <v/>
      </c>
    </row>
    <row r="2976">
      <c r="B2976" s="25" t="n"/>
      <c r="I2976" s="25" t="n"/>
      <c r="U2976" s="19">
        <f>IF($V2976&lt;&gt;'設定'!$C$4,N(U2975),IF(OR(NOT(COUNTIF('商品マスタ'!$B$6:$B$1005,$W2976)=0),COUNTIFS('①在庫を貼る'!$V$6:$V$10005,$V2976,'①在庫を貼る'!$W$6:$W$10005,$W2976)+COUNTIFS('月1回_1ヶ月前の在庫'!$V$6:$V$10005,$V2976,'月1回_1ヶ月前の在庫'!$W$6:$W$10005,$W2976)&gt;0),N(U2975),N(U2975)+1))</f>
        <v/>
      </c>
      <c r="V2976" s="19">
        <f>IF($B2976="","",TEXT($B2976,"0000"))</f>
        <v/>
      </c>
      <c r="W2976" s="19">
        <f>IF($I2976="","",IF(ISNUMBER($I2976),TEXT($I2976,"0"),$I2976))</f>
        <v/>
      </c>
    </row>
    <row r="2977">
      <c r="B2977" s="25" t="n"/>
      <c r="I2977" s="25" t="n"/>
      <c r="U2977" s="19">
        <f>IF($V2977&lt;&gt;'設定'!$C$4,N(U2976),IF(OR(NOT(COUNTIF('商品マスタ'!$B$6:$B$1005,$W2977)=0),COUNTIFS('①在庫を貼る'!$V$6:$V$10005,$V2977,'①在庫を貼る'!$W$6:$W$10005,$W2977)+COUNTIFS('月1回_1ヶ月前の在庫'!$V$6:$V$10005,$V2977,'月1回_1ヶ月前の在庫'!$W$6:$W$10005,$W2977)&gt;0),N(U2976),N(U2976)+1))</f>
        <v/>
      </c>
      <c r="V2977" s="19">
        <f>IF($B2977="","",TEXT($B2977,"0000"))</f>
        <v/>
      </c>
      <c r="W2977" s="19">
        <f>IF($I2977="","",IF(ISNUMBER($I2977),TEXT($I2977,"0"),$I2977))</f>
        <v/>
      </c>
    </row>
    <row r="2978">
      <c r="B2978" s="25" t="n"/>
      <c r="I2978" s="25" t="n"/>
      <c r="U2978" s="19">
        <f>IF($V2978&lt;&gt;'設定'!$C$4,N(U2977),IF(OR(NOT(COUNTIF('商品マスタ'!$B$6:$B$1005,$W2978)=0),COUNTIFS('①在庫を貼る'!$V$6:$V$10005,$V2978,'①在庫を貼る'!$W$6:$W$10005,$W2978)+COUNTIFS('月1回_1ヶ月前の在庫'!$V$6:$V$10005,$V2978,'月1回_1ヶ月前の在庫'!$W$6:$W$10005,$W2978)&gt;0),N(U2977),N(U2977)+1))</f>
        <v/>
      </c>
      <c r="V2978" s="19">
        <f>IF($B2978="","",TEXT($B2978,"0000"))</f>
        <v/>
      </c>
      <c r="W2978" s="19">
        <f>IF($I2978="","",IF(ISNUMBER($I2978),TEXT($I2978,"0"),$I2978))</f>
        <v/>
      </c>
    </row>
    <row r="2979">
      <c r="B2979" s="25" t="n"/>
      <c r="I2979" s="25" t="n"/>
      <c r="U2979" s="19">
        <f>IF($V2979&lt;&gt;'設定'!$C$4,N(U2978),IF(OR(NOT(COUNTIF('商品マスタ'!$B$6:$B$1005,$W2979)=0),COUNTIFS('①在庫を貼る'!$V$6:$V$10005,$V2979,'①在庫を貼る'!$W$6:$W$10005,$W2979)+COUNTIFS('月1回_1ヶ月前の在庫'!$V$6:$V$10005,$V2979,'月1回_1ヶ月前の在庫'!$W$6:$W$10005,$W2979)&gt;0),N(U2978),N(U2978)+1))</f>
        <v/>
      </c>
      <c r="V2979" s="19">
        <f>IF($B2979="","",TEXT($B2979,"0000"))</f>
        <v/>
      </c>
      <c r="W2979" s="19">
        <f>IF($I2979="","",IF(ISNUMBER($I2979),TEXT($I2979,"0"),$I2979))</f>
        <v/>
      </c>
    </row>
    <row r="2980">
      <c r="B2980" s="25" t="n"/>
      <c r="I2980" s="25" t="n"/>
      <c r="U2980" s="19">
        <f>IF($V2980&lt;&gt;'設定'!$C$4,N(U2979),IF(OR(NOT(COUNTIF('商品マスタ'!$B$6:$B$1005,$W2980)=0),COUNTIFS('①在庫を貼る'!$V$6:$V$10005,$V2980,'①在庫を貼る'!$W$6:$W$10005,$W2980)+COUNTIFS('月1回_1ヶ月前の在庫'!$V$6:$V$10005,$V2980,'月1回_1ヶ月前の在庫'!$W$6:$W$10005,$W2980)&gt;0),N(U2979),N(U2979)+1))</f>
        <v/>
      </c>
      <c r="V2980" s="19">
        <f>IF($B2980="","",TEXT($B2980,"0000"))</f>
        <v/>
      </c>
      <c r="W2980" s="19">
        <f>IF($I2980="","",IF(ISNUMBER($I2980),TEXT($I2980,"0"),$I2980))</f>
        <v/>
      </c>
    </row>
    <row r="2981">
      <c r="B2981" s="25" t="n"/>
      <c r="I2981" s="25" t="n"/>
      <c r="U2981" s="19">
        <f>IF($V2981&lt;&gt;'設定'!$C$4,N(U2980),IF(OR(NOT(COUNTIF('商品マスタ'!$B$6:$B$1005,$W2981)=0),COUNTIFS('①在庫を貼る'!$V$6:$V$10005,$V2981,'①在庫を貼る'!$W$6:$W$10005,$W2981)+COUNTIFS('月1回_1ヶ月前の在庫'!$V$6:$V$10005,$V2981,'月1回_1ヶ月前の在庫'!$W$6:$W$10005,$W2981)&gt;0),N(U2980),N(U2980)+1))</f>
        <v/>
      </c>
      <c r="V2981" s="19">
        <f>IF($B2981="","",TEXT($B2981,"0000"))</f>
        <v/>
      </c>
      <c r="W2981" s="19">
        <f>IF($I2981="","",IF(ISNUMBER($I2981),TEXT($I2981,"0"),$I2981))</f>
        <v/>
      </c>
    </row>
    <row r="2982">
      <c r="B2982" s="25" t="n"/>
      <c r="I2982" s="25" t="n"/>
      <c r="U2982" s="19">
        <f>IF($V2982&lt;&gt;'設定'!$C$4,N(U2981),IF(OR(NOT(COUNTIF('商品マスタ'!$B$6:$B$1005,$W2982)=0),COUNTIFS('①在庫を貼る'!$V$6:$V$10005,$V2982,'①在庫を貼る'!$W$6:$W$10005,$W2982)+COUNTIFS('月1回_1ヶ月前の在庫'!$V$6:$V$10005,$V2982,'月1回_1ヶ月前の在庫'!$W$6:$W$10005,$W2982)&gt;0),N(U2981),N(U2981)+1))</f>
        <v/>
      </c>
      <c r="V2982" s="19">
        <f>IF($B2982="","",TEXT($B2982,"0000"))</f>
        <v/>
      </c>
      <c r="W2982" s="19">
        <f>IF($I2982="","",IF(ISNUMBER($I2982),TEXT($I2982,"0"),$I2982))</f>
        <v/>
      </c>
    </row>
    <row r="2983">
      <c r="B2983" s="25" t="n"/>
      <c r="I2983" s="25" t="n"/>
      <c r="U2983" s="19">
        <f>IF($V2983&lt;&gt;'設定'!$C$4,N(U2982),IF(OR(NOT(COUNTIF('商品マスタ'!$B$6:$B$1005,$W2983)=0),COUNTIFS('①在庫を貼る'!$V$6:$V$10005,$V2983,'①在庫を貼る'!$W$6:$W$10005,$W2983)+COUNTIFS('月1回_1ヶ月前の在庫'!$V$6:$V$10005,$V2983,'月1回_1ヶ月前の在庫'!$W$6:$W$10005,$W2983)&gt;0),N(U2982),N(U2982)+1))</f>
        <v/>
      </c>
      <c r="V2983" s="19">
        <f>IF($B2983="","",TEXT($B2983,"0000"))</f>
        <v/>
      </c>
      <c r="W2983" s="19">
        <f>IF($I2983="","",IF(ISNUMBER($I2983),TEXT($I2983,"0"),$I2983))</f>
        <v/>
      </c>
    </row>
    <row r="2984">
      <c r="B2984" s="25" t="n"/>
      <c r="I2984" s="25" t="n"/>
      <c r="U2984" s="19">
        <f>IF($V2984&lt;&gt;'設定'!$C$4,N(U2983),IF(OR(NOT(COUNTIF('商品マスタ'!$B$6:$B$1005,$W2984)=0),COUNTIFS('①在庫を貼る'!$V$6:$V$10005,$V2984,'①在庫を貼る'!$W$6:$W$10005,$W2984)+COUNTIFS('月1回_1ヶ月前の在庫'!$V$6:$V$10005,$V2984,'月1回_1ヶ月前の在庫'!$W$6:$W$10005,$W2984)&gt;0),N(U2983),N(U2983)+1))</f>
        <v/>
      </c>
      <c r="V2984" s="19">
        <f>IF($B2984="","",TEXT($B2984,"0000"))</f>
        <v/>
      </c>
      <c r="W2984" s="19">
        <f>IF($I2984="","",IF(ISNUMBER($I2984),TEXT($I2984,"0"),$I2984))</f>
        <v/>
      </c>
    </row>
    <row r="2985">
      <c r="B2985" s="25" t="n"/>
      <c r="I2985" s="25" t="n"/>
      <c r="U2985" s="19">
        <f>IF($V2985&lt;&gt;'設定'!$C$4,N(U2984),IF(OR(NOT(COUNTIF('商品マスタ'!$B$6:$B$1005,$W2985)=0),COUNTIFS('①在庫を貼る'!$V$6:$V$10005,$V2985,'①在庫を貼る'!$W$6:$W$10005,$W2985)+COUNTIFS('月1回_1ヶ月前の在庫'!$V$6:$V$10005,$V2985,'月1回_1ヶ月前の在庫'!$W$6:$W$10005,$W2985)&gt;0),N(U2984),N(U2984)+1))</f>
        <v/>
      </c>
      <c r="V2985" s="19">
        <f>IF($B2985="","",TEXT($B2985,"0000"))</f>
        <v/>
      </c>
      <c r="W2985" s="19">
        <f>IF($I2985="","",IF(ISNUMBER($I2985),TEXT($I2985,"0"),$I2985))</f>
        <v/>
      </c>
    </row>
    <row r="2986">
      <c r="B2986" s="25" t="n"/>
      <c r="I2986" s="25" t="n"/>
      <c r="U2986" s="19">
        <f>IF($V2986&lt;&gt;'設定'!$C$4,N(U2985),IF(OR(NOT(COUNTIF('商品マスタ'!$B$6:$B$1005,$W2986)=0),COUNTIFS('①在庫を貼る'!$V$6:$V$10005,$V2986,'①在庫を貼る'!$W$6:$W$10005,$W2986)+COUNTIFS('月1回_1ヶ月前の在庫'!$V$6:$V$10005,$V2986,'月1回_1ヶ月前の在庫'!$W$6:$W$10005,$W2986)&gt;0),N(U2985),N(U2985)+1))</f>
        <v/>
      </c>
      <c r="V2986" s="19">
        <f>IF($B2986="","",TEXT($B2986,"0000"))</f>
        <v/>
      </c>
      <c r="W2986" s="19">
        <f>IF($I2986="","",IF(ISNUMBER($I2986),TEXT($I2986,"0"),$I2986))</f>
        <v/>
      </c>
    </row>
    <row r="2987">
      <c r="B2987" s="25" t="n"/>
      <c r="I2987" s="25" t="n"/>
      <c r="U2987" s="19">
        <f>IF($V2987&lt;&gt;'設定'!$C$4,N(U2986),IF(OR(NOT(COUNTIF('商品マスタ'!$B$6:$B$1005,$W2987)=0),COUNTIFS('①在庫を貼る'!$V$6:$V$10005,$V2987,'①在庫を貼る'!$W$6:$W$10005,$W2987)+COUNTIFS('月1回_1ヶ月前の在庫'!$V$6:$V$10005,$V2987,'月1回_1ヶ月前の在庫'!$W$6:$W$10005,$W2987)&gt;0),N(U2986),N(U2986)+1))</f>
        <v/>
      </c>
      <c r="V2987" s="19">
        <f>IF($B2987="","",TEXT($B2987,"0000"))</f>
        <v/>
      </c>
      <c r="W2987" s="19">
        <f>IF($I2987="","",IF(ISNUMBER($I2987),TEXT($I2987,"0"),$I2987))</f>
        <v/>
      </c>
    </row>
    <row r="2988">
      <c r="B2988" s="25" t="n"/>
      <c r="I2988" s="25" t="n"/>
      <c r="U2988" s="19">
        <f>IF($V2988&lt;&gt;'設定'!$C$4,N(U2987),IF(OR(NOT(COUNTIF('商品マスタ'!$B$6:$B$1005,$W2988)=0),COUNTIFS('①在庫を貼る'!$V$6:$V$10005,$V2988,'①在庫を貼る'!$W$6:$W$10005,$W2988)+COUNTIFS('月1回_1ヶ月前の在庫'!$V$6:$V$10005,$V2988,'月1回_1ヶ月前の在庫'!$W$6:$W$10005,$W2988)&gt;0),N(U2987),N(U2987)+1))</f>
        <v/>
      </c>
      <c r="V2988" s="19">
        <f>IF($B2988="","",TEXT($B2988,"0000"))</f>
        <v/>
      </c>
      <c r="W2988" s="19">
        <f>IF($I2988="","",IF(ISNUMBER($I2988),TEXT($I2988,"0"),$I2988))</f>
        <v/>
      </c>
    </row>
    <row r="2989">
      <c r="B2989" s="25" t="n"/>
      <c r="I2989" s="25" t="n"/>
      <c r="U2989" s="19">
        <f>IF($V2989&lt;&gt;'設定'!$C$4,N(U2988),IF(OR(NOT(COUNTIF('商品マスタ'!$B$6:$B$1005,$W2989)=0),COUNTIFS('①在庫を貼る'!$V$6:$V$10005,$V2989,'①在庫を貼る'!$W$6:$W$10005,$W2989)+COUNTIFS('月1回_1ヶ月前の在庫'!$V$6:$V$10005,$V2989,'月1回_1ヶ月前の在庫'!$W$6:$W$10005,$W2989)&gt;0),N(U2988),N(U2988)+1))</f>
        <v/>
      </c>
      <c r="V2989" s="19">
        <f>IF($B2989="","",TEXT($B2989,"0000"))</f>
        <v/>
      </c>
      <c r="W2989" s="19">
        <f>IF($I2989="","",IF(ISNUMBER($I2989),TEXT($I2989,"0"),$I2989))</f>
        <v/>
      </c>
    </row>
    <row r="2990">
      <c r="B2990" s="25" t="n"/>
      <c r="I2990" s="25" t="n"/>
      <c r="U2990" s="19">
        <f>IF($V2990&lt;&gt;'設定'!$C$4,N(U2989),IF(OR(NOT(COUNTIF('商品マスタ'!$B$6:$B$1005,$W2990)=0),COUNTIFS('①在庫を貼る'!$V$6:$V$10005,$V2990,'①在庫を貼る'!$W$6:$W$10005,$W2990)+COUNTIFS('月1回_1ヶ月前の在庫'!$V$6:$V$10005,$V2990,'月1回_1ヶ月前の在庫'!$W$6:$W$10005,$W2990)&gt;0),N(U2989),N(U2989)+1))</f>
        <v/>
      </c>
      <c r="V2990" s="19">
        <f>IF($B2990="","",TEXT($B2990,"0000"))</f>
        <v/>
      </c>
      <c r="W2990" s="19">
        <f>IF($I2990="","",IF(ISNUMBER($I2990),TEXT($I2990,"0"),$I2990))</f>
        <v/>
      </c>
    </row>
    <row r="2991">
      <c r="B2991" s="25" t="n"/>
      <c r="I2991" s="25" t="n"/>
      <c r="U2991" s="19">
        <f>IF($V2991&lt;&gt;'設定'!$C$4,N(U2990),IF(OR(NOT(COUNTIF('商品マスタ'!$B$6:$B$1005,$W2991)=0),COUNTIFS('①在庫を貼る'!$V$6:$V$10005,$V2991,'①在庫を貼る'!$W$6:$W$10005,$W2991)+COUNTIFS('月1回_1ヶ月前の在庫'!$V$6:$V$10005,$V2991,'月1回_1ヶ月前の在庫'!$W$6:$W$10005,$W2991)&gt;0),N(U2990),N(U2990)+1))</f>
        <v/>
      </c>
      <c r="V2991" s="19">
        <f>IF($B2991="","",TEXT($B2991,"0000"))</f>
        <v/>
      </c>
      <c r="W2991" s="19">
        <f>IF($I2991="","",IF(ISNUMBER($I2991),TEXT($I2991,"0"),$I2991))</f>
        <v/>
      </c>
    </row>
    <row r="2992">
      <c r="B2992" s="25" t="n"/>
      <c r="I2992" s="25" t="n"/>
      <c r="U2992" s="19">
        <f>IF($V2992&lt;&gt;'設定'!$C$4,N(U2991),IF(OR(NOT(COUNTIF('商品マスタ'!$B$6:$B$1005,$W2992)=0),COUNTIFS('①在庫を貼る'!$V$6:$V$10005,$V2992,'①在庫を貼る'!$W$6:$W$10005,$W2992)+COUNTIFS('月1回_1ヶ月前の在庫'!$V$6:$V$10005,$V2992,'月1回_1ヶ月前の在庫'!$W$6:$W$10005,$W2992)&gt;0),N(U2991),N(U2991)+1))</f>
        <v/>
      </c>
      <c r="V2992" s="19">
        <f>IF($B2992="","",TEXT($B2992,"0000"))</f>
        <v/>
      </c>
      <c r="W2992" s="19">
        <f>IF($I2992="","",IF(ISNUMBER($I2992),TEXT($I2992,"0"),$I2992))</f>
        <v/>
      </c>
    </row>
    <row r="2993">
      <c r="B2993" s="25" t="n"/>
      <c r="I2993" s="25" t="n"/>
      <c r="U2993" s="19">
        <f>IF($V2993&lt;&gt;'設定'!$C$4,N(U2992),IF(OR(NOT(COUNTIF('商品マスタ'!$B$6:$B$1005,$W2993)=0),COUNTIFS('①在庫を貼る'!$V$6:$V$10005,$V2993,'①在庫を貼る'!$W$6:$W$10005,$W2993)+COUNTIFS('月1回_1ヶ月前の在庫'!$V$6:$V$10005,$V2993,'月1回_1ヶ月前の在庫'!$W$6:$W$10005,$W2993)&gt;0),N(U2992),N(U2992)+1))</f>
        <v/>
      </c>
      <c r="V2993" s="19">
        <f>IF($B2993="","",TEXT($B2993,"0000"))</f>
        <v/>
      </c>
      <c r="W2993" s="19">
        <f>IF($I2993="","",IF(ISNUMBER($I2993),TEXT($I2993,"0"),$I2993))</f>
        <v/>
      </c>
    </row>
    <row r="2994">
      <c r="B2994" s="25" t="n"/>
      <c r="I2994" s="25" t="n"/>
      <c r="U2994" s="19">
        <f>IF($V2994&lt;&gt;'設定'!$C$4,N(U2993),IF(OR(NOT(COUNTIF('商品マスタ'!$B$6:$B$1005,$W2994)=0),COUNTIFS('①在庫を貼る'!$V$6:$V$10005,$V2994,'①在庫を貼る'!$W$6:$W$10005,$W2994)+COUNTIFS('月1回_1ヶ月前の在庫'!$V$6:$V$10005,$V2994,'月1回_1ヶ月前の在庫'!$W$6:$W$10005,$W2994)&gt;0),N(U2993),N(U2993)+1))</f>
        <v/>
      </c>
      <c r="V2994" s="19">
        <f>IF($B2994="","",TEXT($B2994,"0000"))</f>
        <v/>
      </c>
      <c r="W2994" s="19">
        <f>IF($I2994="","",IF(ISNUMBER($I2994),TEXT($I2994,"0"),$I2994))</f>
        <v/>
      </c>
    </row>
    <row r="2995">
      <c r="B2995" s="25" t="n"/>
      <c r="I2995" s="25" t="n"/>
      <c r="U2995" s="19">
        <f>IF($V2995&lt;&gt;'設定'!$C$4,N(U2994),IF(OR(NOT(COUNTIF('商品マスタ'!$B$6:$B$1005,$W2995)=0),COUNTIFS('①在庫を貼る'!$V$6:$V$10005,$V2995,'①在庫を貼る'!$W$6:$W$10005,$W2995)+COUNTIFS('月1回_1ヶ月前の在庫'!$V$6:$V$10005,$V2995,'月1回_1ヶ月前の在庫'!$W$6:$W$10005,$W2995)&gt;0),N(U2994),N(U2994)+1))</f>
        <v/>
      </c>
      <c r="V2995" s="19">
        <f>IF($B2995="","",TEXT($B2995,"0000"))</f>
        <v/>
      </c>
      <c r="W2995" s="19">
        <f>IF($I2995="","",IF(ISNUMBER($I2995),TEXT($I2995,"0"),$I2995))</f>
        <v/>
      </c>
    </row>
    <row r="2996">
      <c r="B2996" s="25" t="n"/>
      <c r="I2996" s="25" t="n"/>
      <c r="U2996" s="19">
        <f>IF($V2996&lt;&gt;'設定'!$C$4,N(U2995),IF(OR(NOT(COUNTIF('商品マスタ'!$B$6:$B$1005,$W2996)=0),COUNTIFS('①在庫を貼る'!$V$6:$V$10005,$V2996,'①在庫を貼る'!$W$6:$W$10005,$W2996)+COUNTIFS('月1回_1ヶ月前の在庫'!$V$6:$V$10005,$V2996,'月1回_1ヶ月前の在庫'!$W$6:$W$10005,$W2996)&gt;0),N(U2995),N(U2995)+1))</f>
        <v/>
      </c>
      <c r="V2996" s="19">
        <f>IF($B2996="","",TEXT($B2996,"0000"))</f>
        <v/>
      </c>
      <c r="W2996" s="19">
        <f>IF($I2996="","",IF(ISNUMBER($I2996),TEXT($I2996,"0"),$I2996))</f>
        <v/>
      </c>
    </row>
    <row r="2997">
      <c r="B2997" s="25" t="n"/>
      <c r="I2997" s="25" t="n"/>
      <c r="U2997" s="19">
        <f>IF($V2997&lt;&gt;'設定'!$C$4,N(U2996),IF(OR(NOT(COUNTIF('商品マスタ'!$B$6:$B$1005,$W2997)=0),COUNTIFS('①在庫を貼る'!$V$6:$V$10005,$V2997,'①在庫を貼る'!$W$6:$W$10005,$W2997)+COUNTIFS('月1回_1ヶ月前の在庫'!$V$6:$V$10005,$V2997,'月1回_1ヶ月前の在庫'!$W$6:$W$10005,$W2997)&gt;0),N(U2996),N(U2996)+1))</f>
        <v/>
      </c>
      <c r="V2997" s="19">
        <f>IF($B2997="","",TEXT($B2997,"0000"))</f>
        <v/>
      </c>
      <c r="W2997" s="19">
        <f>IF($I2997="","",IF(ISNUMBER($I2997),TEXT($I2997,"0"),$I2997))</f>
        <v/>
      </c>
    </row>
    <row r="2998">
      <c r="B2998" s="25" t="n"/>
      <c r="I2998" s="25" t="n"/>
      <c r="U2998" s="19">
        <f>IF($V2998&lt;&gt;'設定'!$C$4,N(U2997),IF(OR(NOT(COUNTIF('商品マスタ'!$B$6:$B$1005,$W2998)=0),COUNTIFS('①在庫を貼る'!$V$6:$V$10005,$V2998,'①在庫を貼る'!$W$6:$W$10005,$W2998)+COUNTIFS('月1回_1ヶ月前の在庫'!$V$6:$V$10005,$V2998,'月1回_1ヶ月前の在庫'!$W$6:$W$10005,$W2998)&gt;0),N(U2997),N(U2997)+1))</f>
        <v/>
      </c>
      <c r="V2998" s="19">
        <f>IF($B2998="","",TEXT($B2998,"0000"))</f>
        <v/>
      </c>
      <c r="W2998" s="19">
        <f>IF($I2998="","",IF(ISNUMBER($I2998),TEXT($I2998,"0"),$I2998))</f>
        <v/>
      </c>
    </row>
    <row r="2999">
      <c r="B2999" s="25" t="n"/>
      <c r="I2999" s="25" t="n"/>
      <c r="U2999" s="19">
        <f>IF($V2999&lt;&gt;'設定'!$C$4,N(U2998),IF(OR(NOT(COUNTIF('商品マスタ'!$B$6:$B$1005,$W2999)=0),COUNTIFS('①在庫を貼る'!$V$6:$V$10005,$V2999,'①在庫を貼る'!$W$6:$W$10005,$W2999)+COUNTIFS('月1回_1ヶ月前の在庫'!$V$6:$V$10005,$V2999,'月1回_1ヶ月前の在庫'!$W$6:$W$10005,$W2999)&gt;0),N(U2998),N(U2998)+1))</f>
        <v/>
      </c>
      <c r="V2999" s="19">
        <f>IF($B2999="","",TEXT($B2999,"0000"))</f>
        <v/>
      </c>
      <c r="W2999" s="19">
        <f>IF($I2999="","",IF(ISNUMBER($I2999),TEXT($I2999,"0"),$I2999))</f>
        <v/>
      </c>
    </row>
    <row r="3000">
      <c r="B3000" s="25" t="n"/>
      <c r="I3000" s="25" t="n"/>
      <c r="U3000" s="19">
        <f>IF($V3000&lt;&gt;'設定'!$C$4,N(U2999),IF(OR(NOT(COUNTIF('商品マスタ'!$B$6:$B$1005,$W3000)=0),COUNTIFS('①在庫を貼る'!$V$6:$V$10005,$V3000,'①在庫を貼る'!$W$6:$W$10005,$W3000)+COUNTIFS('月1回_1ヶ月前の在庫'!$V$6:$V$10005,$V3000,'月1回_1ヶ月前の在庫'!$W$6:$W$10005,$W3000)&gt;0),N(U2999),N(U2999)+1))</f>
        <v/>
      </c>
      <c r="V3000" s="19">
        <f>IF($B3000="","",TEXT($B3000,"0000"))</f>
        <v/>
      </c>
      <c r="W3000" s="19">
        <f>IF($I3000="","",IF(ISNUMBER($I3000),TEXT($I3000,"0"),$I3000))</f>
        <v/>
      </c>
    </row>
    <row r="3001">
      <c r="B3001" s="25" t="n"/>
      <c r="I3001" s="25" t="n"/>
      <c r="U3001" s="19">
        <f>IF($V3001&lt;&gt;'設定'!$C$4,N(U3000),IF(OR(NOT(COUNTIF('商品マスタ'!$B$6:$B$1005,$W3001)=0),COUNTIFS('①在庫を貼る'!$V$6:$V$10005,$V3001,'①在庫を貼る'!$W$6:$W$10005,$W3001)+COUNTIFS('月1回_1ヶ月前の在庫'!$V$6:$V$10005,$V3001,'月1回_1ヶ月前の在庫'!$W$6:$W$10005,$W3001)&gt;0),N(U3000),N(U3000)+1))</f>
        <v/>
      </c>
      <c r="V3001" s="19">
        <f>IF($B3001="","",TEXT($B3001,"0000"))</f>
        <v/>
      </c>
      <c r="W3001" s="19">
        <f>IF($I3001="","",IF(ISNUMBER($I3001),TEXT($I3001,"0"),$I3001))</f>
        <v/>
      </c>
    </row>
    <row r="3002">
      <c r="B3002" s="25" t="n"/>
      <c r="I3002" s="25" t="n"/>
      <c r="U3002" s="19">
        <f>IF($V3002&lt;&gt;'設定'!$C$4,N(U3001),IF(OR(NOT(COUNTIF('商品マスタ'!$B$6:$B$1005,$W3002)=0),COUNTIFS('①在庫を貼る'!$V$6:$V$10005,$V3002,'①在庫を貼る'!$W$6:$W$10005,$W3002)+COUNTIFS('月1回_1ヶ月前の在庫'!$V$6:$V$10005,$V3002,'月1回_1ヶ月前の在庫'!$W$6:$W$10005,$W3002)&gt;0),N(U3001),N(U3001)+1))</f>
        <v/>
      </c>
      <c r="V3002" s="19">
        <f>IF($B3002="","",TEXT($B3002,"0000"))</f>
        <v/>
      </c>
      <c r="W3002" s="19">
        <f>IF($I3002="","",IF(ISNUMBER($I3002),TEXT($I3002,"0"),$I3002))</f>
        <v/>
      </c>
    </row>
    <row r="3003">
      <c r="B3003" s="25" t="n"/>
      <c r="I3003" s="25" t="n"/>
      <c r="U3003" s="19">
        <f>IF($V3003&lt;&gt;'設定'!$C$4,N(U3002),IF(OR(NOT(COUNTIF('商品マスタ'!$B$6:$B$1005,$W3003)=0),COUNTIFS('①在庫を貼る'!$V$6:$V$10005,$V3003,'①在庫を貼る'!$W$6:$W$10005,$W3003)+COUNTIFS('月1回_1ヶ月前の在庫'!$V$6:$V$10005,$V3003,'月1回_1ヶ月前の在庫'!$W$6:$W$10005,$W3003)&gt;0),N(U3002),N(U3002)+1))</f>
        <v/>
      </c>
      <c r="V3003" s="19">
        <f>IF($B3003="","",TEXT($B3003,"0000"))</f>
        <v/>
      </c>
      <c r="W3003" s="19">
        <f>IF($I3003="","",IF(ISNUMBER($I3003),TEXT($I3003,"0"),$I3003))</f>
        <v/>
      </c>
    </row>
    <row r="3004">
      <c r="B3004" s="25" t="n"/>
      <c r="I3004" s="25" t="n"/>
      <c r="U3004" s="19">
        <f>IF($V3004&lt;&gt;'設定'!$C$4,N(U3003),IF(OR(NOT(COUNTIF('商品マスタ'!$B$6:$B$1005,$W3004)=0),COUNTIFS('①在庫を貼る'!$V$6:$V$10005,$V3004,'①在庫を貼る'!$W$6:$W$10005,$W3004)+COUNTIFS('月1回_1ヶ月前の在庫'!$V$6:$V$10005,$V3004,'月1回_1ヶ月前の在庫'!$W$6:$W$10005,$W3004)&gt;0),N(U3003),N(U3003)+1))</f>
        <v/>
      </c>
      <c r="V3004" s="19">
        <f>IF($B3004="","",TEXT($B3004,"0000"))</f>
        <v/>
      </c>
      <c r="W3004" s="19">
        <f>IF($I3004="","",IF(ISNUMBER($I3004),TEXT($I3004,"0"),$I3004))</f>
        <v/>
      </c>
    </row>
    <row r="3005">
      <c r="B3005" s="25" t="n"/>
      <c r="I3005" s="25" t="n"/>
      <c r="U3005" s="19">
        <f>IF($V3005&lt;&gt;'設定'!$C$4,N(U3004),IF(OR(NOT(COUNTIF('商品マスタ'!$B$6:$B$1005,$W3005)=0),COUNTIFS('①在庫を貼る'!$V$6:$V$10005,$V3005,'①在庫を貼る'!$W$6:$W$10005,$W3005)+COUNTIFS('月1回_1ヶ月前の在庫'!$V$6:$V$10005,$V3005,'月1回_1ヶ月前の在庫'!$W$6:$W$10005,$W3005)&gt;0),N(U3004),N(U3004)+1))</f>
        <v/>
      </c>
      <c r="V3005" s="19">
        <f>IF($B3005="","",TEXT($B3005,"0000"))</f>
        <v/>
      </c>
      <c r="W3005" s="19">
        <f>IF($I3005="","",IF(ISNUMBER($I3005),TEXT($I3005,"0"),$I3005))</f>
        <v/>
      </c>
    </row>
    <row r="3006">
      <c r="B3006" s="25" t="n"/>
      <c r="I3006" s="25" t="n"/>
      <c r="U3006" s="19">
        <f>IF($V3006&lt;&gt;'設定'!$C$4,N(U3005),IF(OR(NOT(COUNTIF('商品マスタ'!$B$6:$B$1005,$W3006)=0),COUNTIFS('①在庫を貼る'!$V$6:$V$10005,$V3006,'①在庫を貼る'!$W$6:$W$10005,$W3006)+COUNTIFS('月1回_1ヶ月前の在庫'!$V$6:$V$10005,$V3006,'月1回_1ヶ月前の在庫'!$W$6:$W$10005,$W3006)&gt;0),N(U3005),N(U3005)+1))</f>
        <v/>
      </c>
      <c r="V3006" s="19">
        <f>IF($B3006="","",TEXT($B3006,"0000"))</f>
        <v/>
      </c>
      <c r="W3006" s="19">
        <f>IF($I3006="","",IF(ISNUMBER($I3006),TEXT($I3006,"0"),$I3006))</f>
        <v/>
      </c>
    </row>
    <row r="3007">
      <c r="B3007" s="25" t="n"/>
      <c r="I3007" s="25" t="n"/>
      <c r="U3007" s="19">
        <f>IF($V3007&lt;&gt;'設定'!$C$4,N(U3006),IF(OR(NOT(COUNTIF('商品マスタ'!$B$6:$B$1005,$W3007)=0),COUNTIFS('①在庫を貼る'!$V$6:$V$10005,$V3007,'①在庫を貼る'!$W$6:$W$10005,$W3007)+COUNTIFS('月1回_1ヶ月前の在庫'!$V$6:$V$10005,$V3007,'月1回_1ヶ月前の在庫'!$W$6:$W$10005,$W3007)&gt;0),N(U3006),N(U3006)+1))</f>
        <v/>
      </c>
      <c r="V3007" s="19">
        <f>IF($B3007="","",TEXT($B3007,"0000"))</f>
        <v/>
      </c>
      <c r="W3007" s="19">
        <f>IF($I3007="","",IF(ISNUMBER($I3007),TEXT($I3007,"0"),$I3007))</f>
        <v/>
      </c>
    </row>
    <row r="3008">
      <c r="B3008" s="25" t="n"/>
      <c r="I3008" s="25" t="n"/>
      <c r="U3008" s="19">
        <f>IF($V3008&lt;&gt;'設定'!$C$4,N(U3007),IF(OR(NOT(COUNTIF('商品マスタ'!$B$6:$B$1005,$W3008)=0),COUNTIFS('①在庫を貼る'!$V$6:$V$10005,$V3008,'①在庫を貼る'!$W$6:$W$10005,$W3008)+COUNTIFS('月1回_1ヶ月前の在庫'!$V$6:$V$10005,$V3008,'月1回_1ヶ月前の在庫'!$W$6:$W$10005,$W3008)&gt;0),N(U3007),N(U3007)+1))</f>
        <v/>
      </c>
      <c r="V3008" s="19">
        <f>IF($B3008="","",TEXT($B3008,"0000"))</f>
        <v/>
      </c>
      <c r="W3008" s="19">
        <f>IF($I3008="","",IF(ISNUMBER($I3008),TEXT($I3008,"0"),$I3008))</f>
        <v/>
      </c>
    </row>
    <row r="3009">
      <c r="B3009" s="25" t="n"/>
      <c r="I3009" s="25" t="n"/>
      <c r="U3009" s="19">
        <f>IF($V3009&lt;&gt;'設定'!$C$4,N(U3008),IF(OR(NOT(COUNTIF('商品マスタ'!$B$6:$B$1005,$W3009)=0),COUNTIFS('①在庫を貼る'!$V$6:$V$10005,$V3009,'①在庫を貼る'!$W$6:$W$10005,$W3009)+COUNTIFS('月1回_1ヶ月前の在庫'!$V$6:$V$10005,$V3009,'月1回_1ヶ月前の在庫'!$W$6:$W$10005,$W3009)&gt;0),N(U3008),N(U3008)+1))</f>
        <v/>
      </c>
      <c r="V3009" s="19">
        <f>IF($B3009="","",TEXT($B3009,"0000"))</f>
        <v/>
      </c>
      <c r="W3009" s="19">
        <f>IF($I3009="","",IF(ISNUMBER($I3009),TEXT($I3009,"0"),$I3009))</f>
        <v/>
      </c>
    </row>
    <row r="3010">
      <c r="B3010" s="25" t="n"/>
      <c r="I3010" s="25" t="n"/>
      <c r="U3010" s="19">
        <f>IF($V3010&lt;&gt;'設定'!$C$4,N(U3009),IF(OR(NOT(COUNTIF('商品マスタ'!$B$6:$B$1005,$W3010)=0),COUNTIFS('①在庫を貼る'!$V$6:$V$10005,$V3010,'①在庫を貼る'!$W$6:$W$10005,$W3010)+COUNTIFS('月1回_1ヶ月前の在庫'!$V$6:$V$10005,$V3010,'月1回_1ヶ月前の在庫'!$W$6:$W$10005,$W3010)&gt;0),N(U3009),N(U3009)+1))</f>
        <v/>
      </c>
      <c r="V3010" s="19">
        <f>IF($B3010="","",TEXT($B3010,"0000"))</f>
        <v/>
      </c>
      <c r="W3010" s="19">
        <f>IF($I3010="","",IF(ISNUMBER($I3010),TEXT($I3010,"0"),$I3010))</f>
        <v/>
      </c>
    </row>
    <row r="3011">
      <c r="B3011" s="25" t="n"/>
      <c r="I3011" s="25" t="n"/>
      <c r="U3011" s="19">
        <f>IF($V3011&lt;&gt;'設定'!$C$4,N(U3010),IF(OR(NOT(COUNTIF('商品マスタ'!$B$6:$B$1005,$W3011)=0),COUNTIFS('①在庫を貼る'!$V$6:$V$10005,$V3011,'①在庫を貼る'!$W$6:$W$10005,$W3011)+COUNTIFS('月1回_1ヶ月前の在庫'!$V$6:$V$10005,$V3011,'月1回_1ヶ月前の在庫'!$W$6:$W$10005,$W3011)&gt;0),N(U3010),N(U3010)+1))</f>
        <v/>
      </c>
      <c r="V3011" s="19">
        <f>IF($B3011="","",TEXT($B3011,"0000"))</f>
        <v/>
      </c>
      <c r="W3011" s="19">
        <f>IF($I3011="","",IF(ISNUMBER($I3011),TEXT($I3011,"0"),$I3011))</f>
        <v/>
      </c>
    </row>
    <row r="3012">
      <c r="B3012" s="25" t="n"/>
      <c r="I3012" s="25" t="n"/>
      <c r="U3012" s="19">
        <f>IF($V3012&lt;&gt;'設定'!$C$4,N(U3011),IF(OR(NOT(COUNTIF('商品マスタ'!$B$6:$B$1005,$W3012)=0),COUNTIFS('①在庫を貼る'!$V$6:$V$10005,$V3012,'①在庫を貼る'!$W$6:$W$10005,$W3012)+COUNTIFS('月1回_1ヶ月前の在庫'!$V$6:$V$10005,$V3012,'月1回_1ヶ月前の在庫'!$W$6:$W$10005,$W3012)&gt;0),N(U3011),N(U3011)+1))</f>
        <v/>
      </c>
      <c r="V3012" s="19">
        <f>IF($B3012="","",TEXT($B3012,"0000"))</f>
        <v/>
      </c>
      <c r="W3012" s="19">
        <f>IF($I3012="","",IF(ISNUMBER($I3012),TEXT($I3012,"0"),$I3012))</f>
        <v/>
      </c>
    </row>
    <row r="3013">
      <c r="B3013" s="25" t="n"/>
      <c r="I3013" s="25" t="n"/>
      <c r="U3013" s="19">
        <f>IF($V3013&lt;&gt;'設定'!$C$4,N(U3012),IF(OR(NOT(COUNTIF('商品マスタ'!$B$6:$B$1005,$W3013)=0),COUNTIFS('①在庫を貼る'!$V$6:$V$10005,$V3013,'①在庫を貼る'!$W$6:$W$10005,$W3013)+COUNTIFS('月1回_1ヶ月前の在庫'!$V$6:$V$10005,$V3013,'月1回_1ヶ月前の在庫'!$W$6:$W$10005,$W3013)&gt;0),N(U3012),N(U3012)+1))</f>
        <v/>
      </c>
      <c r="V3013" s="19">
        <f>IF($B3013="","",TEXT($B3013,"0000"))</f>
        <v/>
      </c>
      <c r="W3013" s="19">
        <f>IF($I3013="","",IF(ISNUMBER($I3013),TEXT($I3013,"0"),$I3013))</f>
        <v/>
      </c>
    </row>
    <row r="3014">
      <c r="B3014" s="25" t="n"/>
      <c r="I3014" s="25" t="n"/>
      <c r="U3014" s="19">
        <f>IF($V3014&lt;&gt;'設定'!$C$4,N(U3013),IF(OR(NOT(COUNTIF('商品マスタ'!$B$6:$B$1005,$W3014)=0),COUNTIFS('①在庫を貼る'!$V$6:$V$10005,$V3014,'①在庫を貼る'!$W$6:$W$10005,$W3014)+COUNTIFS('月1回_1ヶ月前の在庫'!$V$6:$V$10005,$V3014,'月1回_1ヶ月前の在庫'!$W$6:$W$10005,$W3014)&gt;0),N(U3013),N(U3013)+1))</f>
        <v/>
      </c>
      <c r="V3014" s="19">
        <f>IF($B3014="","",TEXT($B3014,"0000"))</f>
        <v/>
      </c>
      <c r="W3014" s="19">
        <f>IF($I3014="","",IF(ISNUMBER($I3014),TEXT($I3014,"0"),$I3014))</f>
        <v/>
      </c>
    </row>
    <row r="3015">
      <c r="B3015" s="25" t="n"/>
      <c r="I3015" s="25" t="n"/>
      <c r="U3015" s="19">
        <f>IF($V3015&lt;&gt;'設定'!$C$4,N(U3014),IF(OR(NOT(COUNTIF('商品マスタ'!$B$6:$B$1005,$W3015)=0),COUNTIFS('①在庫を貼る'!$V$6:$V$10005,$V3015,'①在庫を貼る'!$W$6:$W$10005,$W3015)+COUNTIFS('月1回_1ヶ月前の在庫'!$V$6:$V$10005,$V3015,'月1回_1ヶ月前の在庫'!$W$6:$W$10005,$W3015)&gt;0),N(U3014),N(U3014)+1))</f>
        <v/>
      </c>
      <c r="V3015" s="19">
        <f>IF($B3015="","",TEXT($B3015,"0000"))</f>
        <v/>
      </c>
      <c r="W3015" s="19">
        <f>IF($I3015="","",IF(ISNUMBER($I3015),TEXT($I3015,"0"),$I3015))</f>
        <v/>
      </c>
    </row>
    <row r="3016">
      <c r="B3016" s="25" t="n"/>
      <c r="I3016" s="25" t="n"/>
      <c r="U3016" s="19">
        <f>IF($V3016&lt;&gt;'設定'!$C$4,N(U3015),IF(OR(NOT(COUNTIF('商品マスタ'!$B$6:$B$1005,$W3016)=0),COUNTIFS('①在庫を貼る'!$V$6:$V$10005,$V3016,'①在庫を貼る'!$W$6:$W$10005,$W3016)+COUNTIFS('月1回_1ヶ月前の在庫'!$V$6:$V$10005,$V3016,'月1回_1ヶ月前の在庫'!$W$6:$W$10005,$W3016)&gt;0),N(U3015),N(U3015)+1))</f>
        <v/>
      </c>
      <c r="V3016" s="19">
        <f>IF($B3016="","",TEXT($B3016,"0000"))</f>
        <v/>
      </c>
      <c r="W3016" s="19">
        <f>IF($I3016="","",IF(ISNUMBER($I3016),TEXT($I3016,"0"),$I3016))</f>
        <v/>
      </c>
    </row>
    <row r="3017">
      <c r="B3017" s="25" t="n"/>
      <c r="I3017" s="25" t="n"/>
      <c r="U3017" s="19">
        <f>IF($V3017&lt;&gt;'設定'!$C$4,N(U3016),IF(OR(NOT(COUNTIF('商品マスタ'!$B$6:$B$1005,$W3017)=0),COUNTIFS('①在庫を貼る'!$V$6:$V$10005,$V3017,'①在庫を貼る'!$W$6:$W$10005,$W3017)+COUNTIFS('月1回_1ヶ月前の在庫'!$V$6:$V$10005,$V3017,'月1回_1ヶ月前の在庫'!$W$6:$W$10005,$W3017)&gt;0),N(U3016),N(U3016)+1))</f>
        <v/>
      </c>
      <c r="V3017" s="19">
        <f>IF($B3017="","",TEXT($B3017,"0000"))</f>
        <v/>
      </c>
      <c r="W3017" s="19">
        <f>IF($I3017="","",IF(ISNUMBER($I3017),TEXT($I3017,"0"),$I3017))</f>
        <v/>
      </c>
    </row>
    <row r="3018">
      <c r="B3018" s="25" t="n"/>
      <c r="I3018" s="25" t="n"/>
      <c r="U3018" s="19">
        <f>IF($V3018&lt;&gt;'設定'!$C$4,N(U3017),IF(OR(NOT(COUNTIF('商品マスタ'!$B$6:$B$1005,$W3018)=0),COUNTIFS('①在庫を貼る'!$V$6:$V$10005,$V3018,'①在庫を貼る'!$W$6:$W$10005,$W3018)+COUNTIFS('月1回_1ヶ月前の在庫'!$V$6:$V$10005,$V3018,'月1回_1ヶ月前の在庫'!$W$6:$W$10005,$W3018)&gt;0),N(U3017),N(U3017)+1))</f>
        <v/>
      </c>
      <c r="V3018" s="19">
        <f>IF($B3018="","",TEXT($B3018,"0000"))</f>
        <v/>
      </c>
      <c r="W3018" s="19">
        <f>IF($I3018="","",IF(ISNUMBER($I3018),TEXT($I3018,"0"),$I3018))</f>
        <v/>
      </c>
    </row>
    <row r="3019">
      <c r="B3019" s="25" t="n"/>
      <c r="I3019" s="25" t="n"/>
      <c r="U3019" s="19">
        <f>IF($V3019&lt;&gt;'設定'!$C$4,N(U3018),IF(OR(NOT(COUNTIF('商品マスタ'!$B$6:$B$1005,$W3019)=0),COUNTIFS('①在庫を貼る'!$V$6:$V$10005,$V3019,'①在庫を貼る'!$W$6:$W$10005,$W3019)+COUNTIFS('月1回_1ヶ月前の在庫'!$V$6:$V$10005,$V3019,'月1回_1ヶ月前の在庫'!$W$6:$W$10005,$W3019)&gt;0),N(U3018),N(U3018)+1))</f>
        <v/>
      </c>
      <c r="V3019" s="19">
        <f>IF($B3019="","",TEXT($B3019,"0000"))</f>
        <v/>
      </c>
      <c r="W3019" s="19">
        <f>IF($I3019="","",IF(ISNUMBER($I3019),TEXT($I3019,"0"),$I3019))</f>
        <v/>
      </c>
    </row>
    <row r="3020">
      <c r="B3020" s="25" t="n"/>
      <c r="I3020" s="25" t="n"/>
      <c r="U3020" s="19">
        <f>IF($V3020&lt;&gt;'設定'!$C$4,N(U3019),IF(OR(NOT(COUNTIF('商品マスタ'!$B$6:$B$1005,$W3020)=0),COUNTIFS('①在庫を貼る'!$V$6:$V$10005,$V3020,'①在庫を貼る'!$W$6:$W$10005,$W3020)+COUNTIFS('月1回_1ヶ月前の在庫'!$V$6:$V$10005,$V3020,'月1回_1ヶ月前の在庫'!$W$6:$W$10005,$W3020)&gt;0),N(U3019),N(U3019)+1))</f>
        <v/>
      </c>
      <c r="V3020" s="19">
        <f>IF($B3020="","",TEXT($B3020,"0000"))</f>
        <v/>
      </c>
      <c r="W3020" s="19">
        <f>IF($I3020="","",IF(ISNUMBER($I3020),TEXT($I3020,"0"),$I3020))</f>
        <v/>
      </c>
    </row>
    <row r="3021">
      <c r="B3021" s="25" t="n"/>
      <c r="I3021" s="25" t="n"/>
      <c r="U3021" s="19">
        <f>IF($V3021&lt;&gt;'設定'!$C$4,N(U3020),IF(OR(NOT(COUNTIF('商品マスタ'!$B$6:$B$1005,$W3021)=0),COUNTIFS('①在庫を貼る'!$V$6:$V$10005,$V3021,'①在庫を貼る'!$W$6:$W$10005,$W3021)+COUNTIFS('月1回_1ヶ月前の在庫'!$V$6:$V$10005,$V3021,'月1回_1ヶ月前の在庫'!$W$6:$W$10005,$W3021)&gt;0),N(U3020),N(U3020)+1))</f>
        <v/>
      </c>
      <c r="V3021" s="19">
        <f>IF($B3021="","",TEXT($B3021,"0000"))</f>
        <v/>
      </c>
      <c r="W3021" s="19">
        <f>IF($I3021="","",IF(ISNUMBER($I3021),TEXT($I3021,"0"),$I3021))</f>
        <v/>
      </c>
    </row>
    <row r="3022">
      <c r="B3022" s="25" t="n"/>
      <c r="I3022" s="25" t="n"/>
      <c r="U3022" s="19">
        <f>IF($V3022&lt;&gt;'設定'!$C$4,N(U3021),IF(OR(NOT(COUNTIF('商品マスタ'!$B$6:$B$1005,$W3022)=0),COUNTIFS('①在庫を貼る'!$V$6:$V$10005,$V3022,'①在庫を貼る'!$W$6:$W$10005,$W3022)+COUNTIFS('月1回_1ヶ月前の在庫'!$V$6:$V$10005,$V3022,'月1回_1ヶ月前の在庫'!$W$6:$W$10005,$W3022)&gt;0),N(U3021),N(U3021)+1))</f>
        <v/>
      </c>
      <c r="V3022" s="19">
        <f>IF($B3022="","",TEXT($B3022,"0000"))</f>
        <v/>
      </c>
      <c r="W3022" s="19">
        <f>IF($I3022="","",IF(ISNUMBER($I3022),TEXT($I3022,"0"),$I3022))</f>
        <v/>
      </c>
    </row>
    <row r="3023">
      <c r="B3023" s="25" t="n"/>
      <c r="I3023" s="25" t="n"/>
      <c r="U3023" s="19">
        <f>IF($V3023&lt;&gt;'設定'!$C$4,N(U3022),IF(OR(NOT(COUNTIF('商品マスタ'!$B$6:$B$1005,$W3023)=0),COUNTIFS('①在庫を貼る'!$V$6:$V$10005,$V3023,'①在庫を貼る'!$W$6:$W$10005,$W3023)+COUNTIFS('月1回_1ヶ月前の在庫'!$V$6:$V$10005,$V3023,'月1回_1ヶ月前の在庫'!$W$6:$W$10005,$W3023)&gt;0),N(U3022),N(U3022)+1))</f>
        <v/>
      </c>
      <c r="V3023" s="19">
        <f>IF($B3023="","",TEXT($B3023,"0000"))</f>
        <v/>
      </c>
      <c r="W3023" s="19">
        <f>IF($I3023="","",IF(ISNUMBER($I3023),TEXT($I3023,"0"),$I3023))</f>
        <v/>
      </c>
    </row>
    <row r="3024">
      <c r="B3024" s="25" t="n"/>
      <c r="I3024" s="25" t="n"/>
      <c r="U3024" s="19">
        <f>IF($V3024&lt;&gt;'設定'!$C$4,N(U3023),IF(OR(NOT(COUNTIF('商品マスタ'!$B$6:$B$1005,$W3024)=0),COUNTIFS('①在庫を貼る'!$V$6:$V$10005,$V3024,'①在庫を貼る'!$W$6:$W$10005,$W3024)+COUNTIFS('月1回_1ヶ月前の在庫'!$V$6:$V$10005,$V3024,'月1回_1ヶ月前の在庫'!$W$6:$W$10005,$W3024)&gt;0),N(U3023),N(U3023)+1))</f>
        <v/>
      </c>
      <c r="V3024" s="19">
        <f>IF($B3024="","",TEXT($B3024,"0000"))</f>
        <v/>
      </c>
      <c r="W3024" s="19">
        <f>IF($I3024="","",IF(ISNUMBER($I3024),TEXT($I3024,"0"),$I3024))</f>
        <v/>
      </c>
    </row>
    <row r="3025">
      <c r="B3025" s="25" t="n"/>
      <c r="I3025" s="25" t="n"/>
      <c r="U3025" s="19">
        <f>IF($V3025&lt;&gt;'設定'!$C$4,N(U3024),IF(OR(NOT(COUNTIF('商品マスタ'!$B$6:$B$1005,$W3025)=0),COUNTIFS('①在庫を貼る'!$V$6:$V$10005,$V3025,'①在庫を貼る'!$W$6:$W$10005,$W3025)+COUNTIFS('月1回_1ヶ月前の在庫'!$V$6:$V$10005,$V3025,'月1回_1ヶ月前の在庫'!$W$6:$W$10005,$W3025)&gt;0),N(U3024),N(U3024)+1))</f>
        <v/>
      </c>
      <c r="V3025" s="19">
        <f>IF($B3025="","",TEXT($B3025,"0000"))</f>
        <v/>
      </c>
      <c r="W3025" s="19">
        <f>IF($I3025="","",IF(ISNUMBER($I3025),TEXT($I3025,"0"),$I3025))</f>
        <v/>
      </c>
    </row>
    <row r="3026">
      <c r="B3026" s="25" t="n"/>
      <c r="I3026" s="25" t="n"/>
      <c r="U3026" s="19">
        <f>IF($V3026&lt;&gt;'設定'!$C$4,N(U3025),IF(OR(NOT(COUNTIF('商品マスタ'!$B$6:$B$1005,$W3026)=0),COUNTIFS('①在庫を貼る'!$V$6:$V$10005,$V3026,'①在庫を貼る'!$W$6:$W$10005,$W3026)+COUNTIFS('月1回_1ヶ月前の在庫'!$V$6:$V$10005,$V3026,'月1回_1ヶ月前の在庫'!$W$6:$W$10005,$W3026)&gt;0),N(U3025),N(U3025)+1))</f>
        <v/>
      </c>
      <c r="V3026" s="19">
        <f>IF($B3026="","",TEXT($B3026,"0000"))</f>
        <v/>
      </c>
      <c r="W3026" s="19">
        <f>IF($I3026="","",IF(ISNUMBER($I3026),TEXT($I3026,"0"),$I3026))</f>
        <v/>
      </c>
    </row>
    <row r="3027">
      <c r="B3027" s="25" t="n"/>
      <c r="I3027" s="25" t="n"/>
      <c r="U3027" s="19">
        <f>IF($V3027&lt;&gt;'設定'!$C$4,N(U3026),IF(OR(NOT(COUNTIF('商品マスタ'!$B$6:$B$1005,$W3027)=0),COUNTIFS('①在庫を貼る'!$V$6:$V$10005,$V3027,'①在庫を貼る'!$W$6:$W$10005,$W3027)+COUNTIFS('月1回_1ヶ月前の在庫'!$V$6:$V$10005,$V3027,'月1回_1ヶ月前の在庫'!$W$6:$W$10005,$W3027)&gt;0),N(U3026),N(U3026)+1))</f>
        <v/>
      </c>
      <c r="V3027" s="19">
        <f>IF($B3027="","",TEXT($B3027,"0000"))</f>
        <v/>
      </c>
      <c r="W3027" s="19">
        <f>IF($I3027="","",IF(ISNUMBER($I3027),TEXT($I3027,"0"),$I3027))</f>
        <v/>
      </c>
    </row>
    <row r="3028">
      <c r="B3028" s="25" t="n"/>
      <c r="I3028" s="25" t="n"/>
      <c r="U3028" s="19">
        <f>IF($V3028&lt;&gt;'設定'!$C$4,N(U3027),IF(OR(NOT(COUNTIF('商品マスタ'!$B$6:$B$1005,$W3028)=0),COUNTIFS('①在庫を貼る'!$V$6:$V$10005,$V3028,'①在庫を貼る'!$W$6:$W$10005,$W3028)+COUNTIFS('月1回_1ヶ月前の在庫'!$V$6:$V$10005,$V3028,'月1回_1ヶ月前の在庫'!$W$6:$W$10005,$W3028)&gt;0),N(U3027),N(U3027)+1))</f>
        <v/>
      </c>
      <c r="V3028" s="19">
        <f>IF($B3028="","",TEXT($B3028,"0000"))</f>
        <v/>
      </c>
      <c r="W3028" s="19">
        <f>IF($I3028="","",IF(ISNUMBER($I3028),TEXT($I3028,"0"),$I3028))</f>
        <v/>
      </c>
    </row>
    <row r="3029">
      <c r="B3029" s="25" t="n"/>
      <c r="I3029" s="25" t="n"/>
      <c r="U3029" s="19">
        <f>IF($V3029&lt;&gt;'設定'!$C$4,N(U3028),IF(OR(NOT(COUNTIF('商品マスタ'!$B$6:$B$1005,$W3029)=0),COUNTIFS('①在庫を貼る'!$V$6:$V$10005,$V3029,'①在庫を貼る'!$W$6:$W$10005,$W3029)+COUNTIFS('月1回_1ヶ月前の在庫'!$V$6:$V$10005,$V3029,'月1回_1ヶ月前の在庫'!$W$6:$W$10005,$W3029)&gt;0),N(U3028),N(U3028)+1))</f>
        <v/>
      </c>
      <c r="V3029" s="19">
        <f>IF($B3029="","",TEXT($B3029,"0000"))</f>
        <v/>
      </c>
      <c r="W3029" s="19">
        <f>IF($I3029="","",IF(ISNUMBER($I3029),TEXT($I3029,"0"),$I3029))</f>
        <v/>
      </c>
    </row>
    <row r="3030">
      <c r="B3030" s="25" t="n"/>
      <c r="I3030" s="25" t="n"/>
      <c r="U3030" s="19">
        <f>IF($V3030&lt;&gt;'設定'!$C$4,N(U3029),IF(OR(NOT(COUNTIF('商品マスタ'!$B$6:$B$1005,$W3030)=0),COUNTIFS('①在庫を貼る'!$V$6:$V$10005,$V3030,'①在庫を貼る'!$W$6:$W$10005,$W3030)+COUNTIFS('月1回_1ヶ月前の在庫'!$V$6:$V$10005,$V3030,'月1回_1ヶ月前の在庫'!$W$6:$W$10005,$W3030)&gt;0),N(U3029),N(U3029)+1))</f>
        <v/>
      </c>
      <c r="V3030" s="19">
        <f>IF($B3030="","",TEXT($B3030,"0000"))</f>
        <v/>
      </c>
      <c r="W3030" s="19">
        <f>IF($I3030="","",IF(ISNUMBER($I3030),TEXT($I3030,"0"),$I3030))</f>
        <v/>
      </c>
    </row>
    <row r="3031">
      <c r="B3031" s="25" t="n"/>
      <c r="I3031" s="25" t="n"/>
      <c r="U3031" s="19">
        <f>IF($V3031&lt;&gt;'設定'!$C$4,N(U3030),IF(OR(NOT(COUNTIF('商品マスタ'!$B$6:$B$1005,$W3031)=0),COUNTIFS('①在庫を貼る'!$V$6:$V$10005,$V3031,'①在庫を貼る'!$W$6:$W$10005,$W3031)+COUNTIFS('月1回_1ヶ月前の在庫'!$V$6:$V$10005,$V3031,'月1回_1ヶ月前の在庫'!$W$6:$W$10005,$W3031)&gt;0),N(U3030),N(U3030)+1))</f>
        <v/>
      </c>
      <c r="V3031" s="19">
        <f>IF($B3031="","",TEXT($B3031,"0000"))</f>
        <v/>
      </c>
      <c r="W3031" s="19">
        <f>IF($I3031="","",IF(ISNUMBER($I3031),TEXT($I3031,"0"),$I3031))</f>
        <v/>
      </c>
    </row>
    <row r="3032">
      <c r="B3032" s="25" t="n"/>
      <c r="I3032" s="25" t="n"/>
      <c r="U3032" s="19">
        <f>IF($V3032&lt;&gt;'設定'!$C$4,N(U3031),IF(OR(NOT(COUNTIF('商品マスタ'!$B$6:$B$1005,$W3032)=0),COUNTIFS('①在庫を貼る'!$V$6:$V$10005,$V3032,'①在庫を貼る'!$W$6:$W$10005,$W3032)+COUNTIFS('月1回_1ヶ月前の在庫'!$V$6:$V$10005,$V3032,'月1回_1ヶ月前の在庫'!$W$6:$W$10005,$W3032)&gt;0),N(U3031),N(U3031)+1))</f>
        <v/>
      </c>
      <c r="V3032" s="19">
        <f>IF($B3032="","",TEXT($B3032,"0000"))</f>
        <v/>
      </c>
      <c r="W3032" s="19">
        <f>IF($I3032="","",IF(ISNUMBER($I3032),TEXT($I3032,"0"),$I3032))</f>
        <v/>
      </c>
    </row>
    <row r="3033">
      <c r="B3033" s="25" t="n"/>
      <c r="I3033" s="25" t="n"/>
      <c r="U3033" s="19">
        <f>IF($V3033&lt;&gt;'設定'!$C$4,N(U3032),IF(OR(NOT(COUNTIF('商品マスタ'!$B$6:$B$1005,$W3033)=0),COUNTIFS('①在庫を貼る'!$V$6:$V$10005,$V3033,'①在庫を貼る'!$W$6:$W$10005,$W3033)+COUNTIFS('月1回_1ヶ月前の在庫'!$V$6:$V$10005,$V3033,'月1回_1ヶ月前の在庫'!$W$6:$W$10005,$W3033)&gt;0),N(U3032),N(U3032)+1))</f>
        <v/>
      </c>
      <c r="V3033" s="19">
        <f>IF($B3033="","",TEXT($B3033,"0000"))</f>
        <v/>
      </c>
      <c r="W3033" s="19">
        <f>IF($I3033="","",IF(ISNUMBER($I3033),TEXT($I3033,"0"),$I3033))</f>
        <v/>
      </c>
    </row>
    <row r="3034">
      <c r="B3034" s="25" t="n"/>
      <c r="I3034" s="25" t="n"/>
      <c r="U3034" s="19">
        <f>IF($V3034&lt;&gt;'設定'!$C$4,N(U3033),IF(OR(NOT(COUNTIF('商品マスタ'!$B$6:$B$1005,$W3034)=0),COUNTIFS('①在庫を貼る'!$V$6:$V$10005,$V3034,'①在庫を貼る'!$W$6:$W$10005,$W3034)+COUNTIFS('月1回_1ヶ月前の在庫'!$V$6:$V$10005,$V3034,'月1回_1ヶ月前の在庫'!$W$6:$W$10005,$W3034)&gt;0),N(U3033),N(U3033)+1))</f>
        <v/>
      </c>
      <c r="V3034" s="19">
        <f>IF($B3034="","",TEXT($B3034,"0000"))</f>
        <v/>
      </c>
      <c r="W3034" s="19">
        <f>IF($I3034="","",IF(ISNUMBER($I3034),TEXT($I3034,"0"),$I3034))</f>
        <v/>
      </c>
    </row>
    <row r="3035">
      <c r="B3035" s="25" t="n"/>
      <c r="I3035" s="25" t="n"/>
      <c r="U3035" s="19">
        <f>IF($V3035&lt;&gt;'設定'!$C$4,N(U3034),IF(OR(NOT(COUNTIF('商品マスタ'!$B$6:$B$1005,$W3035)=0),COUNTIFS('①在庫を貼る'!$V$6:$V$10005,$V3035,'①在庫を貼る'!$W$6:$W$10005,$W3035)+COUNTIFS('月1回_1ヶ月前の在庫'!$V$6:$V$10005,$V3035,'月1回_1ヶ月前の在庫'!$W$6:$W$10005,$W3035)&gt;0),N(U3034),N(U3034)+1))</f>
        <v/>
      </c>
      <c r="V3035" s="19">
        <f>IF($B3035="","",TEXT($B3035,"0000"))</f>
        <v/>
      </c>
      <c r="W3035" s="19">
        <f>IF($I3035="","",IF(ISNUMBER($I3035),TEXT($I3035,"0"),$I3035))</f>
        <v/>
      </c>
    </row>
    <row r="3036">
      <c r="B3036" s="25" t="n"/>
      <c r="I3036" s="25" t="n"/>
      <c r="U3036" s="19">
        <f>IF($V3036&lt;&gt;'設定'!$C$4,N(U3035),IF(OR(NOT(COUNTIF('商品マスタ'!$B$6:$B$1005,$W3036)=0),COUNTIFS('①在庫を貼る'!$V$6:$V$10005,$V3036,'①在庫を貼る'!$W$6:$W$10005,$W3036)+COUNTIFS('月1回_1ヶ月前の在庫'!$V$6:$V$10005,$V3036,'月1回_1ヶ月前の在庫'!$W$6:$W$10005,$W3036)&gt;0),N(U3035),N(U3035)+1))</f>
        <v/>
      </c>
      <c r="V3036" s="19">
        <f>IF($B3036="","",TEXT($B3036,"0000"))</f>
        <v/>
      </c>
      <c r="W3036" s="19">
        <f>IF($I3036="","",IF(ISNUMBER($I3036),TEXT($I3036,"0"),$I3036))</f>
        <v/>
      </c>
    </row>
    <row r="3037">
      <c r="B3037" s="25" t="n"/>
      <c r="I3037" s="25" t="n"/>
      <c r="U3037" s="19">
        <f>IF($V3037&lt;&gt;'設定'!$C$4,N(U3036),IF(OR(NOT(COUNTIF('商品マスタ'!$B$6:$B$1005,$W3037)=0),COUNTIFS('①在庫を貼る'!$V$6:$V$10005,$V3037,'①在庫を貼る'!$W$6:$W$10005,$W3037)+COUNTIFS('月1回_1ヶ月前の在庫'!$V$6:$V$10005,$V3037,'月1回_1ヶ月前の在庫'!$W$6:$W$10005,$W3037)&gt;0),N(U3036),N(U3036)+1))</f>
        <v/>
      </c>
      <c r="V3037" s="19">
        <f>IF($B3037="","",TEXT($B3037,"0000"))</f>
        <v/>
      </c>
      <c r="W3037" s="19">
        <f>IF($I3037="","",IF(ISNUMBER($I3037),TEXT($I3037,"0"),$I3037))</f>
        <v/>
      </c>
    </row>
    <row r="3038">
      <c r="B3038" s="25" t="n"/>
      <c r="I3038" s="25" t="n"/>
      <c r="U3038" s="19">
        <f>IF($V3038&lt;&gt;'設定'!$C$4,N(U3037),IF(OR(NOT(COUNTIF('商品マスタ'!$B$6:$B$1005,$W3038)=0),COUNTIFS('①在庫を貼る'!$V$6:$V$10005,$V3038,'①在庫を貼る'!$W$6:$W$10005,$W3038)+COUNTIFS('月1回_1ヶ月前の在庫'!$V$6:$V$10005,$V3038,'月1回_1ヶ月前の在庫'!$W$6:$W$10005,$W3038)&gt;0),N(U3037),N(U3037)+1))</f>
        <v/>
      </c>
      <c r="V3038" s="19">
        <f>IF($B3038="","",TEXT($B3038,"0000"))</f>
        <v/>
      </c>
      <c r="W3038" s="19">
        <f>IF($I3038="","",IF(ISNUMBER($I3038),TEXT($I3038,"0"),$I3038))</f>
        <v/>
      </c>
    </row>
    <row r="3039">
      <c r="B3039" s="25" t="n"/>
      <c r="I3039" s="25" t="n"/>
      <c r="U3039" s="19">
        <f>IF($V3039&lt;&gt;'設定'!$C$4,N(U3038),IF(OR(NOT(COUNTIF('商品マスタ'!$B$6:$B$1005,$W3039)=0),COUNTIFS('①在庫を貼る'!$V$6:$V$10005,$V3039,'①在庫を貼る'!$W$6:$W$10005,$W3039)+COUNTIFS('月1回_1ヶ月前の在庫'!$V$6:$V$10005,$V3039,'月1回_1ヶ月前の在庫'!$W$6:$W$10005,$W3039)&gt;0),N(U3038),N(U3038)+1))</f>
        <v/>
      </c>
      <c r="V3039" s="19">
        <f>IF($B3039="","",TEXT($B3039,"0000"))</f>
        <v/>
      </c>
      <c r="W3039" s="19">
        <f>IF($I3039="","",IF(ISNUMBER($I3039),TEXT($I3039,"0"),$I3039))</f>
        <v/>
      </c>
    </row>
    <row r="3040">
      <c r="B3040" s="25" t="n"/>
      <c r="I3040" s="25" t="n"/>
      <c r="U3040" s="19">
        <f>IF($V3040&lt;&gt;'設定'!$C$4,N(U3039),IF(OR(NOT(COUNTIF('商品マスタ'!$B$6:$B$1005,$W3040)=0),COUNTIFS('①在庫を貼る'!$V$6:$V$10005,$V3040,'①在庫を貼る'!$W$6:$W$10005,$W3040)+COUNTIFS('月1回_1ヶ月前の在庫'!$V$6:$V$10005,$V3040,'月1回_1ヶ月前の在庫'!$W$6:$W$10005,$W3040)&gt;0),N(U3039),N(U3039)+1))</f>
        <v/>
      </c>
      <c r="V3040" s="19">
        <f>IF($B3040="","",TEXT($B3040,"0000"))</f>
        <v/>
      </c>
      <c r="W3040" s="19">
        <f>IF($I3040="","",IF(ISNUMBER($I3040),TEXT($I3040,"0"),$I3040))</f>
        <v/>
      </c>
    </row>
    <row r="3041">
      <c r="B3041" s="25" t="n"/>
      <c r="I3041" s="25" t="n"/>
      <c r="U3041" s="19">
        <f>IF($V3041&lt;&gt;'設定'!$C$4,N(U3040),IF(OR(NOT(COUNTIF('商品マスタ'!$B$6:$B$1005,$W3041)=0),COUNTIFS('①在庫を貼る'!$V$6:$V$10005,$V3041,'①在庫を貼る'!$W$6:$W$10005,$W3041)+COUNTIFS('月1回_1ヶ月前の在庫'!$V$6:$V$10005,$V3041,'月1回_1ヶ月前の在庫'!$W$6:$W$10005,$W3041)&gt;0),N(U3040),N(U3040)+1))</f>
        <v/>
      </c>
      <c r="V3041" s="19">
        <f>IF($B3041="","",TEXT($B3041,"0000"))</f>
        <v/>
      </c>
      <c r="W3041" s="19">
        <f>IF($I3041="","",IF(ISNUMBER($I3041),TEXT($I3041,"0"),$I3041))</f>
        <v/>
      </c>
    </row>
    <row r="3042">
      <c r="B3042" s="25" t="n"/>
      <c r="I3042" s="25" t="n"/>
      <c r="U3042" s="19">
        <f>IF($V3042&lt;&gt;'設定'!$C$4,N(U3041),IF(OR(NOT(COUNTIF('商品マスタ'!$B$6:$B$1005,$W3042)=0),COUNTIFS('①在庫を貼る'!$V$6:$V$10005,$V3042,'①在庫を貼る'!$W$6:$W$10005,$W3042)+COUNTIFS('月1回_1ヶ月前の在庫'!$V$6:$V$10005,$V3042,'月1回_1ヶ月前の在庫'!$W$6:$W$10005,$W3042)&gt;0),N(U3041),N(U3041)+1))</f>
        <v/>
      </c>
      <c r="V3042" s="19">
        <f>IF($B3042="","",TEXT($B3042,"0000"))</f>
        <v/>
      </c>
      <c r="W3042" s="19">
        <f>IF($I3042="","",IF(ISNUMBER($I3042),TEXT($I3042,"0"),$I3042))</f>
        <v/>
      </c>
    </row>
    <row r="3043">
      <c r="B3043" s="25" t="n"/>
      <c r="I3043" s="25" t="n"/>
      <c r="U3043" s="19">
        <f>IF($V3043&lt;&gt;'設定'!$C$4,N(U3042),IF(OR(NOT(COUNTIF('商品マスタ'!$B$6:$B$1005,$W3043)=0),COUNTIFS('①在庫を貼る'!$V$6:$V$10005,$V3043,'①在庫を貼る'!$W$6:$W$10005,$W3043)+COUNTIFS('月1回_1ヶ月前の在庫'!$V$6:$V$10005,$V3043,'月1回_1ヶ月前の在庫'!$W$6:$W$10005,$W3043)&gt;0),N(U3042),N(U3042)+1))</f>
        <v/>
      </c>
      <c r="V3043" s="19">
        <f>IF($B3043="","",TEXT($B3043,"0000"))</f>
        <v/>
      </c>
      <c r="W3043" s="19">
        <f>IF($I3043="","",IF(ISNUMBER($I3043),TEXT($I3043,"0"),$I3043))</f>
        <v/>
      </c>
    </row>
    <row r="3044">
      <c r="B3044" s="25" t="n"/>
      <c r="I3044" s="25" t="n"/>
      <c r="U3044" s="19">
        <f>IF($V3044&lt;&gt;'設定'!$C$4,N(U3043),IF(OR(NOT(COUNTIF('商品マスタ'!$B$6:$B$1005,$W3044)=0),COUNTIFS('①在庫を貼る'!$V$6:$V$10005,$V3044,'①在庫を貼る'!$W$6:$W$10005,$W3044)+COUNTIFS('月1回_1ヶ月前の在庫'!$V$6:$V$10005,$V3044,'月1回_1ヶ月前の在庫'!$W$6:$W$10005,$W3044)&gt;0),N(U3043),N(U3043)+1))</f>
        <v/>
      </c>
      <c r="V3044" s="19">
        <f>IF($B3044="","",TEXT($B3044,"0000"))</f>
        <v/>
      </c>
      <c r="W3044" s="19">
        <f>IF($I3044="","",IF(ISNUMBER($I3044),TEXT($I3044,"0"),$I3044))</f>
        <v/>
      </c>
    </row>
    <row r="3045">
      <c r="B3045" s="25" t="n"/>
      <c r="I3045" s="25" t="n"/>
      <c r="U3045" s="19">
        <f>IF($V3045&lt;&gt;'設定'!$C$4,N(U3044),IF(OR(NOT(COUNTIF('商品マスタ'!$B$6:$B$1005,$W3045)=0),COUNTIFS('①在庫を貼る'!$V$6:$V$10005,$V3045,'①在庫を貼る'!$W$6:$W$10005,$W3045)+COUNTIFS('月1回_1ヶ月前の在庫'!$V$6:$V$10005,$V3045,'月1回_1ヶ月前の在庫'!$W$6:$W$10005,$W3045)&gt;0),N(U3044),N(U3044)+1))</f>
        <v/>
      </c>
      <c r="V3045" s="19">
        <f>IF($B3045="","",TEXT($B3045,"0000"))</f>
        <v/>
      </c>
      <c r="W3045" s="19">
        <f>IF($I3045="","",IF(ISNUMBER($I3045),TEXT($I3045,"0"),$I3045))</f>
        <v/>
      </c>
    </row>
    <row r="3046">
      <c r="B3046" s="25" t="n"/>
      <c r="I3046" s="25" t="n"/>
      <c r="U3046" s="19">
        <f>IF($V3046&lt;&gt;'設定'!$C$4,N(U3045),IF(OR(NOT(COUNTIF('商品マスタ'!$B$6:$B$1005,$W3046)=0),COUNTIFS('①在庫を貼る'!$V$6:$V$10005,$V3046,'①在庫を貼る'!$W$6:$W$10005,$W3046)+COUNTIFS('月1回_1ヶ月前の在庫'!$V$6:$V$10005,$V3046,'月1回_1ヶ月前の在庫'!$W$6:$W$10005,$W3046)&gt;0),N(U3045),N(U3045)+1))</f>
        <v/>
      </c>
      <c r="V3046" s="19">
        <f>IF($B3046="","",TEXT($B3046,"0000"))</f>
        <v/>
      </c>
      <c r="W3046" s="19">
        <f>IF($I3046="","",IF(ISNUMBER($I3046),TEXT($I3046,"0"),$I3046))</f>
        <v/>
      </c>
    </row>
    <row r="3047">
      <c r="B3047" s="25" t="n"/>
      <c r="I3047" s="25" t="n"/>
      <c r="U3047" s="19">
        <f>IF($V3047&lt;&gt;'設定'!$C$4,N(U3046),IF(OR(NOT(COUNTIF('商品マスタ'!$B$6:$B$1005,$W3047)=0),COUNTIFS('①在庫を貼る'!$V$6:$V$10005,$V3047,'①在庫を貼る'!$W$6:$W$10005,$W3047)+COUNTIFS('月1回_1ヶ月前の在庫'!$V$6:$V$10005,$V3047,'月1回_1ヶ月前の在庫'!$W$6:$W$10005,$W3047)&gt;0),N(U3046),N(U3046)+1))</f>
        <v/>
      </c>
      <c r="V3047" s="19">
        <f>IF($B3047="","",TEXT($B3047,"0000"))</f>
        <v/>
      </c>
      <c r="W3047" s="19">
        <f>IF($I3047="","",IF(ISNUMBER($I3047),TEXT($I3047,"0"),$I3047))</f>
        <v/>
      </c>
    </row>
    <row r="3048">
      <c r="B3048" s="25" t="n"/>
      <c r="I3048" s="25" t="n"/>
      <c r="U3048" s="19">
        <f>IF($V3048&lt;&gt;'設定'!$C$4,N(U3047),IF(OR(NOT(COUNTIF('商品マスタ'!$B$6:$B$1005,$W3048)=0),COUNTIFS('①在庫を貼る'!$V$6:$V$10005,$V3048,'①在庫を貼る'!$W$6:$W$10005,$W3048)+COUNTIFS('月1回_1ヶ月前の在庫'!$V$6:$V$10005,$V3048,'月1回_1ヶ月前の在庫'!$W$6:$W$10005,$W3048)&gt;0),N(U3047),N(U3047)+1))</f>
        <v/>
      </c>
      <c r="V3048" s="19">
        <f>IF($B3048="","",TEXT($B3048,"0000"))</f>
        <v/>
      </c>
      <c r="W3048" s="19">
        <f>IF($I3048="","",IF(ISNUMBER($I3048),TEXT($I3048,"0"),$I3048))</f>
        <v/>
      </c>
    </row>
    <row r="3049">
      <c r="B3049" s="25" t="n"/>
      <c r="I3049" s="25" t="n"/>
      <c r="U3049" s="19">
        <f>IF($V3049&lt;&gt;'設定'!$C$4,N(U3048),IF(OR(NOT(COUNTIF('商品マスタ'!$B$6:$B$1005,$W3049)=0),COUNTIFS('①在庫を貼る'!$V$6:$V$10005,$V3049,'①在庫を貼る'!$W$6:$W$10005,$W3049)+COUNTIFS('月1回_1ヶ月前の在庫'!$V$6:$V$10005,$V3049,'月1回_1ヶ月前の在庫'!$W$6:$W$10005,$W3049)&gt;0),N(U3048),N(U3048)+1))</f>
        <v/>
      </c>
      <c r="V3049" s="19">
        <f>IF($B3049="","",TEXT($B3049,"0000"))</f>
        <v/>
      </c>
      <c r="W3049" s="19">
        <f>IF($I3049="","",IF(ISNUMBER($I3049),TEXT($I3049,"0"),$I3049))</f>
        <v/>
      </c>
    </row>
    <row r="3050">
      <c r="B3050" s="25" t="n"/>
      <c r="I3050" s="25" t="n"/>
      <c r="U3050" s="19">
        <f>IF($V3050&lt;&gt;'設定'!$C$4,N(U3049),IF(OR(NOT(COUNTIF('商品マスタ'!$B$6:$B$1005,$W3050)=0),COUNTIFS('①在庫を貼る'!$V$6:$V$10005,$V3050,'①在庫を貼る'!$W$6:$W$10005,$W3050)+COUNTIFS('月1回_1ヶ月前の在庫'!$V$6:$V$10005,$V3050,'月1回_1ヶ月前の在庫'!$W$6:$W$10005,$W3050)&gt;0),N(U3049),N(U3049)+1))</f>
        <v/>
      </c>
      <c r="V3050" s="19">
        <f>IF($B3050="","",TEXT($B3050,"0000"))</f>
        <v/>
      </c>
      <c r="W3050" s="19">
        <f>IF($I3050="","",IF(ISNUMBER($I3050),TEXT($I3050,"0"),$I3050))</f>
        <v/>
      </c>
    </row>
    <row r="3051">
      <c r="B3051" s="25" t="n"/>
      <c r="I3051" s="25" t="n"/>
      <c r="U3051" s="19">
        <f>IF($V3051&lt;&gt;'設定'!$C$4,N(U3050),IF(OR(NOT(COUNTIF('商品マスタ'!$B$6:$B$1005,$W3051)=0),COUNTIFS('①在庫を貼る'!$V$6:$V$10005,$V3051,'①在庫を貼る'!$W$6:$W$10005,$W3051)+COUNTIFS('月1回_1ヶ月前の在庫'!$V$6:$V$10005,$V3051,'月1回_1ヶ月前の在庫'!$W$6:$W$10005,$W3051)&gt;0),N(U3050),N(U3050)+1))</f>
        <v/>
      </c>
      <c r="V3051" s="19">
        <f>IF($B3051="","",TEXT($B3051,"0000"))</f>
        <v/>
      </c>
      <c r="W3051" s="19">
        <f>IF($I3051="","",IF(ISNUMBER($I3051),TEXT($I3051,"0"),$I3051))</f>
        <v/>
      </c>
    </row>
    <row r="3052">
      <c r="B3052" s="25" t="n"/>
      <c r="I3052" s="25" t="n"/>
      <c r="U3052" s="19">
        <f>IF($V3052&lt;&gt;'設定'!$C$4,N(U3051),IF(OR(NOT(COUNTIF('商品マスタ'!$B$6:$B$1005,$W3052)=0),COUNTIFS('①在庫を貼る'!$V$6:$V$10005,$V3052,'①在庫を貼る'!$W$6:$W$10005,$W3052)+COUNTIFS('月1回_1ヶ月前の在庫'!$V$6:$V$10005,$V3052,'月1回_1ヶ月前の在庫'!$W$6:$W$10005,$W3052)&gt;0),N(U3051),N(U3051)+1))</f>
        <v/>
      </c>
      <c r="V3052" s="19">
        <f>IF($B3052="","",TEXT($B3052,"0000"))</f>
        <v/>
      </c>
      <c r="W3052" s="19">
        <f>IF($I3052="","",IF(ISNUMBER($I3052),TEXT($I3052,"0"),$I3052))</f>
        <v/>
      </c>
    </row>
    <row r="3053">
      <c r="B3053" s="25" t="n"/>
      <c r="I3053" s="25" t="n"/>
      <c r="U3053" s="19">
        <f>IF($V3053&lt;&gt;'設定'!$C$4,N(U3052),IF(OR(NOT(COUNTIF('商品マスタ'!$B$6:$B$1005,$W3053)=0),COUNTIFS('①在庫を貼る'!$V$6:$V$10005,$V3053,'①在庫を貼る'!$W$6:$W$10005,$W3053)+COUNTIFS('月1回_1ヶ月前の在庫'!$V$6:$V$10005,$V3053,'月1回_1ヶ月前の在庫'!$W$6:$W$10005,$W3053)&gt;0),N(U3052),N(U3052)+1))</f>
        <v/>
      </c>
      <c r="V3053" s="19">
        <f>IF($B3053="","",TEXT($B3053,"0000"))</f>
        <v/>
      </c>
      <c r="W3053" s="19">
        <f>IF($I3053="","",IF(ISNUMBER($I3053),TEXT($I3053,"0"),$I3053))</f>
        <v/>
      </c>
    </row>
    <row r="3054">
      <c r="B3054" s="25" t="n"/>
      <c r="I3054" s="25" t="n"/>
      <c r="U3054" s="19">
        <f>IF($V3054&lt;&gt;'設定'!$C$4,N(U3053),IF(OR(NOT(COUNTIF('商品マスタ'!$B$6:$B$1005,$W3054)=0),COUNTIFS('①在庫を貼る'!$V$6:$V$10005,$V3054,'①在庫を貼る'!$W$6:$W$10005,$W3054)+COUNTIFS('月1回_1ヶ月前の在庫'!$V$6:$V$10005,$V3054,'月1回_1ヶ月前の在庫'!$W$6:$W$10005,$W3054)&gt;0),N(U3053),N(U3053)+1))</f>
        <v/>
      </c>
      <c r="V3054" s="19">
        <f>IF($B3054="","",TEXT($B3054,"0000"))</f>
        <v/>
      </c>
      <c r="W3054" s="19">
        <f>IF($I3054="","",IF(ISNUMBER($I3054),TEXT($I3054,"0"),$I3054))</f>
        <v/>
      </c>
    </row>
    <row r="3055">
      <c r="B3055" s="25" t="n"/>
      <c r="I3055" s="25" t="n"/>
      <c r="U3055" s="19">
        <f>IF($V3055&lt;&gt;'設定'!$C$4,N(U3054),IF(OR(NOT(COUNTIF('商品マスタ'!$B$6:$B$1005,$W3055)=0),COUNTIFS('①在庫を貼る'!$V$6:$V$10005,$V3055,'①在庫を貼る'!$W$6:$W$10005,$W3055)+COUNTIFS('月1回_1ヶ月前の在庫'!$V$6:$V$10005,$V3055,'月1回_1ヶ月前の在庫'!$W$6:$W$10005,$W3055)&gt;0),N(U3054),N(U3054)+1))</f>
        <v/>
      </c>
      <c r="V3055" s="19">
        <f>IF($B3055="","",TEXT($B3055,"0000"))</f>
        <v/>
      </c>
      <c r="W3055" s="19">
        <f>IF($I3055="","",IF(ISNUMBER($I3055),TEXT($I3055,"0"),$I3055))</f>
        <v/>
      </c>
    </row>
    <row r="3056">
      <c r="B3056" s="25" t="n"/>
      <c r="I3056" s="25" t="n"/>
      <c r="U3056" s="19">
        <f>IF($V3056&lt;&gt;'設定'!$C$4,N(U3055),IF(OR(NOT(COUNTIF('商品マスタ'!$B$6:$B$1005,$W3056)=0),COUNTIFS('①在庫を貼る'!$V$6:$V$10005,$V3056,'①在庫を貼る'!$W$6:$W$10005,$W3056)+COUNTIFS('月1回_1ヶ月前の在庫'!$V$6:$V$10005,$V3056,'月1回_1ヶ月前の在庫'!$W$6:$W$10005,$W3056)&gt;0),N(U3055),N(U3055)+1))</f>
        <v/>
      </c>
      <c r="V3056" s="19">
        <f>IF($B3056="","",TEXT($B3056,"0000"))</f>
        <v/>
      </c>
      <c r="W3056" s="19">
        <f>IF($I3056="","",IF(ISNUMBER($I3056),TEXT($I3056,"0"),$I3056))</f>
        <v/>
      </c>
    </row>
    <row r="3057">
      <c r="B3057" s="25" t="n"/>
      <c r="I3057" s="25" t="n"/>
      <c r="U3057" s="19">
        <f>IF($V3057&lt;&gt;'設定'!$C$4,N(U3056),IF(OR(NOT(COUNTIF('商品マスタ'!$B$6:$B$1005,$W3057)=0),COUNTIFS('①在庫を貼る'!$V$6:$V$10005,$V3057,'①在庫を貼る'!$W$6:$W$10005,$W3057)+COUNTIFS('月1回_1ヶ月前の在庫'!$V$6:$V$10005,$V3057,'月1回_1ヶ月前の在庫'!$W$6:$W$10005,$W3057)&gt;0),N(U3056),N(U3056)+1))</f>
        <v/>
      </c>
      <c r="V3057" s="19">
        <f>IF($B3057="","",TEXT($B3057,"0000"))</f>
        <v/>
      </c>
      <c r="W3057" s="19">
        <f>IF($I3057="","",IF(ISNUMBER($I3057),TEXT($I3057,"0"),$I3057))</f>
        <v/>
      </c>
    </row>
    <row r="3058">
      <c r="B3058" s="25" t="n"/>
      <c r="I3058" s="25" t="n"/>
      <c r="U3058" s="19">
        <f>IF($V3058&lt;&gt;'設定'!$C$4,N(U3057),IF(OR(NOT(COUNTIF('商品マスタ'!$B$6:$B$1005,$W3058)=0),COUNTIFS('①在庫を貼る'!$V$6:$V$10005,$V3058,'①在庫を貼る'!$W$6:$W$10005,$W3058)+COUNTIFS('月1回_1ヶ月前の在庫'!$V$6:$V$10005,$V3058,'月1回_1ヶ月前の在庫'!$W$6:$W$10005,$W3058)&gt;0),N(U3057),N(U3057)+1))</f>
        <v/>
      </c>
      <c r="V3058" s="19">
        <f>IF($B3058="","",TEXT($B3058,"0000"))</f>
        <v/>
      </c>
      <c r="W3058" s="19">
        <f>IF($I3058="","",IF(ISNUMBER($I3058),TEXT($I3058,"0"),$I3058))</f>
        <v/>
      </c>
    </row>
    <row r="3059">
      <c r="B3059" s="25" t="n"/>
      <c r="I3059" s="25" t="n"/>
      <c r="U3059" s="19">
        <f>IF($V3059&lt;&gt;'設定'!$C$4,N(U3058),IF(OR(NOT(COUNTIF('商品マスタ'!$B$6:$B$1005,$W3059)=0),COUNTIFS('①在庫を貼る'!$V$6:$V$10005,$V3059,'①在庫を貼る'!$W$6:$W$10005,$W3059)+COUNTIFS('月1回_1ヶ月前の在庫'!$V$6:$V$10005,$V3059,'月1回_1ヶ月前の在庫'!$W$6:$W$10005,$W3059)&gt;0),N(U3058),N(U3058)+1))</f>
        <v/>
      </c>
      <c r="V3059" s="19">
        <f>IF($B3059="","",TEXT($B3059,"0000"))</f>
        <v/>
      </c>
      <c r="W3059" s="19">
        <f>IF($I3059="","",IF(ISNUMBER($I3059),TEXT($I3059,"0"),$I3059))</f>
        <v/>
      </c>
    </row>
    <row r="3060">
      <c r="B3060" s="25" t="n"/>
      <c r="I3060" s="25" t="n"/>
      <c r="U3060" s="19">
        <f>IF($V3060&lt;&gt;'設定'!$C$4,N(U3059),IF(OR(NOT(COUNTIF('商品マスタ'!$B$6:$B$1005,$W3060)=0),COUNTIFS('①在庫を貼る'!$V$6:$V$10005,$V3060,'①在庫を貼る'!$W$6:$W$10005,$W3060)+COUNTIFS('月1回_1ヶ月前の在庫'!$V$6:$V$10005,$V3060,'月1回_1ヶ月前の在庫'!$W$6:$W$10005,$W3060)&gt;0),N(U3059),N(U3059)+1))</f>
        <v/>
      </c>
      <c r="V3060" s="19">
        <f>IF($B3060="","",TEXT($B3060,"0000"))</f>
        <v/>
      </c>
      <c r="W3060" s="19">
        <f>IF($I3060="","",IF(ISNUMBER($I3060),TEXT($I3060,"0"),$I3060))</f>
        <v/>
      </c>
    </row>
    <row r="3061">
      <c r="B3061" s="25" t="n"/>
      <c r="I3061" s="25" t="n"/>
      <c r="U3061" s="19">
        <f>IF($V3061&lt;&gt;'設定'!$C$4,N(U3060),IF(OR(NOT(COUNTIF('商品マスタ'!$B$6:$B$1005,$W3061)=0),COUNTIFS('①在庫を貼る'!$V$6:$V$10005,$V3061,'①在庫を貼る'!$W$6:$W$10005,$W3061)+COUNTIFS('月1回_1ヶ月前の在庫'!$V$6:$V$10005,$V3061,'月1回_1ヶ月前の在庫'!$W$6:$W$10005,$W3061)&gt;0),N(U3060),N(U3060)+1))</f>
        <v/>
      </c>
      <c r="V3061" s="19">
        <f>IF($B3061="","",TEXT($B3061,"0000"))</f>
        <v/>
      </c>
      <c r="W3061" s="19">
        <f>IF($I3061="","",IF(ISNUMBER($I3061),TEXT($I3061,"0"),$I3061))</f>
        <v/>
      </c>
    </row>
    <row r="3062">
      <c r="B3062" s="25" t="n"/>
      <c r="I3062" s="25" t="n"/>
      <c r="U3062" s="19">
        <f>IF($V3062&lt;&gt;'設定'!$C$4,N(U3061),IF(OR(NOT(COUNTIF('商品マスタ'!$B$6:$B$1005,$W3062)=0),COUNTIFS('①在庫を貼る'!$V$6:$V$10005,$V3062,'①在庫を貼る'!$W$6:$W$10005,$W3062)+COUNTIFS('月1回_1ヶ月前の在庫'!$V$6:$V$10005,$V3062,'月1回_1ヶ月前の在庫'!$W$6:$W$10005,$W3062)&gt;0),N(U3061),N(U3061)+1))</f>
        <v/>
      </c>
      <c r="V3062" s="19">
        <f>IF($B3062="","",TEXT($B3062,"0000"))</f>
        <v/>
      </c>
      <c r="W3062" s="19">
        <f>IF($I3062="","",IF(ISNUMBER($I3062),TEXT($I3062,"0"),$I3062))</f>
        <v/>
      </c>
    </row>
    <row r="3063">
      <c r="B3063" s="25" t="n"/>
      <c r="I3063" s="25" t="n"/>
      <c r="U3063" s="19">
        <f>IF($V3063&lt;&gt;'設定'!$C$4,N(U3062),IF(OR(NOT(COUNTIF('商品マスタ'!$B$6:$B$1005,$W3063)=0),COUNTIFS('①在庫を貼る'!$V$6:$V$10005,$V3063,'①在庫を貼る'!$W$6:$W$10005,$W3063)+COUNTIFS('月1回_1ヶ月前の在庫'!$V$6:$V$10005,$V3063,'月1回_1ヶ月前の在庫'!$W$6:$W$10005,$W3063)&gt;0),N(U3062),N(U3062)+1))</f>
        <v/>
      </c>
      <c r="V3063" s="19">
        <f>IF($B3063="","",TEXT($B3063,"0000"))</f>
        <v/>
      </c>
      <c r="W3063" s="19">
        <f>IF($I3063="","",IF(ISNUMBER($I3063),TEXT($I3063,"0"),$I3063))</f>
        <v/>
      </c>
    </row>
    <row r="3064">
      <c r="B3064" s="25" t="n"/>
      <c r="I3064" s="25" t="n"/>
      <c r="U3064" s="19">
        <f>IF($V3064&lt;&gt;'設定'!$C$4,N(U3063),IF(OR(NOT(COUNTIF('商品マスタ'!$B$6:$B$1005,$W3064)=0),COUNTIFS('①在庫を貼る'!$V$6:$V$10005,$V3064,'①在庫を貼る'!$W$6:$W$10005,$W3064)+COUNTIFS('月1回_1ヶ月前の在庫'!$V$6:$V$10005,$V3064,'月1回_1ヶ月前の在庫'!$W$6:$W$10005,$W3064)&gt;0),N(U3063),N(U3063)+1))</f>
        <v/>
      </c>
      <c r="V3064" s="19">
        <f>IF($B3064="","",TEXT($B3064,"0000"))</f>
        <v/>
      </c>
      <c r="W3064" s="19">
        <f>IF($I3064="","",IF(ISNUMBER($I3064),TEXT($I3064,"0"),$I3064))</f>
        <v/>
      </c>
    </row>
    <row r="3065">
      <c r="B3065" s="25" t="n"/>
      <c r="I3065" s="25" t="n"/>
      <c r="U3065" s="19">
        <f>IF($V3065&lt;&gt;'設定'!$C$4,N(U3064),IF(OR(NOT(COUNTIF('商品マスタ'!$B$6:$B$1005,$W3065)=0),COUNTIFS('①在庫を貼る'!$V$6:$V$10005,$V3065,'①在庫を貼る'!$W$6:$W$10005,$W3065)+COUNTIFS('月1回_1ヶ月前の在庫'!$V$6:$V$10005,$V3065,'月1回_1ヶ月前の在庫'!$W$6:$W$10005,$W3065)&gt;0),N(U3064),N(U3064)+1))</f>
        <v/>
      </c>
      <c r="V3065" s="19">
        <f>IF($B3065="","",TEXT($B3065,"0000"))</f>
        <v/>
      </c>
      <c r="W3065" s="19">
        <f>IF($I3065="","",IF(ISNUMBER($I3065),TEXT($I3065,"0"),$I3065))</f>
        <v/>
      </c>
    </row>
    <row r="3066">
      <c r="B3066" s="25" t="n"/>
      <c r="I3066" s="25" t="n"/>
      <c r="U3066" s="19">
        <f>IF($V3066&lt;&gt;'設定'!$C$4,N(U3065),IF(OR(NOT(COUNTIF('商品マスタ'!$B$6:$B$1005,$W3066)=0),COUNTIFS('①在庫を貼る'!$V$6:$V$10005,$V3066,'①在庫を貼る'!$W$6:$W$10005,$W3066)+COUNTIFS('月1回_1ヶ月前の在庫'!$V$6:$V$10005,$V3066,'月1回_1ヶ月前の在庫'!$W$6:$W$10005,$W3066)&gt;0),N(U3065),N(U3065)+1))</f>
        <v/>
      </c>
      <c r="V3066" s="19">
        <f>IF($B3066="","",TEXT($B3066,"0000"))</f>
        <v/>
      </c>
      <c r="W3066" s="19">
        <f>IF($I3066="","",IF(ISNUMBER($I3066),TEXT($I3066,"0"),$I3066))</f>
        <v/>
      </c>
    </row>
    <row r="3067">
      <c r="B3067" s="25" t="n"/>
      <c r="I3067" s="25" t="n"/>
      <c r="U3067" s="19">
        <f>IF($V3067&lt;&gt;'設定'!$C$4,N(U3066),IF(OR(NOT(COUNTIF('商品マスタ'!$B$6:$B$1005,$W3067)=0),COUNTIFS('①在庫を貼る'!$V$6:$V$10005,$V3067,'①在庫を貼る'!$W$6:$W$10005,$W3067)+COUNTIFS('月1回_1ヶ月前の在庫'!$V$6:$V$10005,$V3067,'月1回_1ヶ月前の在庫'!$W$6:$W$10005,$W3067)&gt;0),N(U3066),N(U3066)+1))</f>
        <v/>
      </c>
      <c r="V3067" s="19">
        <f>IF($B3067="","",TEXT($B3067,"0000"))</f>
        <v/>
      </c>
      <c r="W3067" s="19">
        <f>IF($I3067="","",IF(ISNUMBER($I3067),TEXT($I3067,"0"),$I3067))</f>
        <v/>
      </c>
    </row>
    <row r="3068">
      <c r="B3068" s="25" t="n"/>
      <c r="I3068" s="25" t="n"/>
      <c r="U3068" s="19">
        <f>IF($V3068&lt;&gt;'設定'!$C$4,N(U3067),IF(OR(NOT(COUNTIF('商品マスタ'!$B$6:$B$1005,$W3068)=0),COUNTIFS('①在庫を貼る'!$V$6:$V$10005,$V3068,'①在庫を貼る'!$W$6:$W$10005,$W3068)+COUNTIFS('月1回_1ヶ月前の在庫'!$V$6:$V$10005,$V3068,'月1回_1ヶ月前の在庫'!$W$6:$W$10005,$W3068)&gt;0),N(U3067),N(U3067)+1))</f>
        <v/>
      </c>
      <c r="V3068" s="19">
        <f>IF($B3068="","",TEXT($B3068,"0000"))</f>
        <v/>
      </c>
      <c r="W3068" s="19">
        <f>IF($I3068="","",IF(ISNUMBER($I3068),TEXT($I3068,"0"),$I3068))</f>
        <v/>
      </c>
    </row>
    <row r="3069">
      <c r="B3069" s="25" t="n"/>
      <c r="I3069" s="25" t="n"/>
      <c r="U3069" s="19">
        <f>IF($V3069&lt;&gt;'設定'!$C$4,N(U3068),IF(OR(NOT(COUNTIF('商品マスタ'!$B$6:$B$1005,$W3069)=0),COUNTIFS('①在庫を貼る'!$V$6:$V$10005,$V3069,'①在庫を貼る'!$W$6:$W$10005,$W3069)+COUNTIFS('月1回_1ヶ月前の在庫'!$V$6:$V$10005,$V3069,'月1回_1ヶ月前の在庫'!$W$6:$W$10005,$W3069)&gt;0),N(U3068),N(U3068)+1))</f>
        <v/>
      </c>
      <c r="V3069" s="19">
        <f>IF($B3069="","",TEXT($B3069,"0000"))</f>
        <v/>
      </c>
      <c r="W3069" s="19">
        <f>IF($I3069="","",IF(ISNUMBER($I3069),TEXT($I3069,"0"),$I3069))</f>
        <v/>
      </c>
    </row>
    <row r="3070">
      <c r="B3070" s="25" t="n"/>
      <c r="I3070" s="25" t="n"/>
      <c r="U3070" s="19">
        <f>IF($V3070&lt;&gt;'設定'!$C$4,N(U3069),IF(OR(NOT(COUNTIF('商品マスタ'!$B$6:$B$1005,$W3070)=0),COUNTIFS('①在庫を貼る'!$V$6:$V$10005,$V3070,'①在庫を貼る'!$W$6:$W$10005,$W3070)+COUNTIFS('月1回_1ヶ月前の在庫'!$V$6:$V$10005,$V3070,'月1回_1ヶ月前の在庫'!$W$6:$W$10005,$W3070)&gt;0),N(U3069),N(U3069)+1))</f>
        <v/>
      </c>
      <c r="V3070" s="19">
        <f>IF($B3070="","",TEXT($B3070,"0000"))</f>
        <v/>
      </c>
      <c r="W3070" s="19">
        <f>IF($I3070="","",IF(ISNUMBER($I3070),TEXT($I3070,"0"),$I3070))</f>
        <v/>
      </c>
    </row>
    <row r="3071">
      <c r="B3071" s="25" t="n"/>
      <c r="I3071" s="25" t="n"/>
      <c r="U3071" s="19">
        <f>IF($V3071&lt;&gt;'設定'!$C$4,N(U3070),IF(OR(NOT(COUNTIF('商品マスタ'!$B$6:$B$1005,$W3071)=0),COUNTIFS('①在庫を貼る'!$V$6:$V$10005,$V3071,'①在庫を貼る'!$W$6:$W$10005,$W3071)+COUNTIFS('月1回_1ヶ月前の在庫'!$V$6:$V$10005,$V3071,'月1回_1ヶ月前の在庫'!$W$6:$W$10005,$W3071)&gt;0),N(U3070),N(U3070)+1))</f>
        <v/>
      </c>
      <c r="V3071" s="19">
        <f>IF($B3071="","",TEXT($B3071,"0000"))</f>
        <v/>
      </c>
      <c r="W3071" s="19">
        <f>IF($I3071="","",IF(ISNUMBER($I3071),TEXT($I3071,"0"),$I3071))</f>
        <v/>
      </c>
    </row>
    <row r="3072">
      <c r="B3072" s="25" t="n"/>
      <c r="I3072" s="25" t="n"/>
      <c r="U3072" s="19">
        <f>IF($V3072&lt;&gt;'設定'!$C$4,N(U3071),IF(OR(NOT(COUNTIF('商品マスタ'!$B$6:$B$1005,$W3072)=0),COUNTIFS('①在庫を貼る'!$V$6:$V$10005,$V3072,'①在庫を貼る'!$W$6:$W$10005,$W3072)+COUNTIFS('月1回_1ヶ月前の在庫'!$V$6:$V$10005,$V3072,'月1回_1ヶ月前の在庫'!$W$6:$W$10005,$W3072)&gt;0),N(U3071),N(U3071)+1))</f>
        <v/>
      </c>
      <c r="V3072" s="19">
        <f>IF($B3072="","",TEXT($B3072,"0000"))</f>
        <v/>
      </c>
      <c r="W3072" s="19">
        <f>IF($I3072="","",IF(ISNUMBER($I3072),TEXT($I3072,"0"),$I3072))</f>
        <v/>
      </c>
    </row>
    <row r="3073">
      <c r="B3073" s="25" t="n"/>
      <c r="I3073" s="25" t="n"/>
      <c r="U3073" s="19">
        <f>IF($V3073&lt;&gt;'設定'!$C$4,N(U3072),IF(OR(NOT(COUNTIF('商品マスタ'!$B$6:$B$1005,$W3073)=0),COUNTIFS('①在庫を貼る'!$V$6:$V$10005,$V3073,'①在庫を貼る'!$W$6:$W$10005,$W3073)+COUNTIFS('月1回_1ヶ月前の在庫'!$V$6:$V$10005,$V3073,'月1回_1ヶ月前の在庫'!$W$6:$W$10005,$W3073)&gt;0),N(U3072),N(U3072)+1))</f>
        <v/>
      </c>
      <c r="V3073" s="19">
        <f>IF($B3073="","",TEXT($B3073,"0000"))</f>
        <v/>
      </c>
      <c r="W3073" s="19">
        <f>IF($I3073="","",IF(ISNUMBER($I3073),TEXT($I3073,"0"),$I3073))</f>
        <v/>
      </c>
    </row>
    <row r="3074">
      <c r="B3074" s="25" t="n"/>
      <c r="I3074" s="25" t="n"/>
      <c r="U3074" s="19">
        <f>IF($V3074&lt;&gt;'設定'!$C$4,N(U3073),IF(OR(NOT(COUNTIF('商品マスタ'!$B$6:$B$1005,$W3074)=0),COUNTIFS('①在庫を貼る'!$V$6:$V$10005,$V3074,'①在庫を貼る'!$W$6:$W$10005,$W3074)+COUNTIFS('月1回_1ヶ月前の在庫'!$V$6:$V$10005,$V3074,'月1回_1ヶ月前の在庫'!$W$6:$W$10005,$W3074)&gt;0),N(U3073),N(U3073)+1))</f>
        <v/>
      </c>
      <c r="V3074" s="19">
        <f>IF($B3074="","",TEXT($B3074,"0000"))</f>
        <v/>
      </c>
      <c r="W3074" s="19">
        <f>IF($I3074="","",IF(ISNUMBER($I3074),TEXT($I3074,"0"),$I3074))</f>
        <v/>
      </c>
    </row>
    <row r="3075">
      <c r="B3075" s="25" t="n"/>
      <c r="I3075" s="25" t="n"/>
      <c r="U3075" s="19">
        <f>IF($V3075&lt;&gt;'設定'!$C$4,N(U3074),IF(OR(NOT(COUNTIF('商品マスタ'!$B$6:$B$1005,$W3075)=0),COUNTIFS('①在庫を貼る'!$V$6:$V$10005,$V3075,'①在庫を貼る'!$W$6:$W$10005,$W3075)+COUNTIFS('月1回_1ヶ月前の在庫'!$V$6:$V$10005,$V3075,'月1回_1ヶ月前の在庫'!$W$6:$W$10005,$W3075)&gt;0),N(U3074),N(U3074)+1))</f>
        <v/>
      </c>
      <c r="V3075" s="19">
        <f>IF($B3075="","",TEXT($B3075,"0000"))</f>
        <v/>
      </c>
      <c r="W3075" s="19">
        <f>IF($I3075="","",IF(ISNUMBER($I3075),TEXT($I3075,"0"),$I3075))</f>
        <v/>
      </c>
    </row>
    <row r="3076">
      <c r="B3076" s="25" t="n"/>
      <c r="I3076" s="25" t="n"/>
      <c r="U3076" s="19">
        <f>IF($V3076&lt;&gt;'設定'!$C$4,N(U3075),IF(OR(NOT(COUNTIF('商品マスタ'!$B$6:$B$1005,$W3076)=0),COUNTIFS('①在庫を貼る'!$V$6:$V$10005,$V3076,'①在庫を貼る'!$W$6:$W$10005,$W3076)+COUNTIFS('月1回_1ヶ月前の在庫'!$V$6:$V$10005,$V3076,'月1回_1ヶ月前の在庫'!$W$6:$W$10005,$W3076)&gt;0),N(U3075),N(U3075)+1))</f>
        <v/>
      </c>
      <c r="V3076" s="19">
        <f>IF($B3076="","",TEXT($B3076,"0000"))</f>
        <v/>
      </c>
      <c r="W3076" s="19">
        <f>IF($I3076="","",IF(ISNUMBER($I3076),TEXT($I3076,"0"),$I3076))</f>
        <v/>
      </c>
    </row>
    <row r="3077">
      <c r="B3077" s="25" t="n"/>
      <c r="I3077" s="25" t="n"/>
      <c r="U3077" s="19">
        <f>IF($V3077&lt;&gt;'設定'!$C$4,N(U3076),IF(OR(NOT(COUNTIF('商品マスタ'!$B$6:$B$1005,$W3077)=0),COUNTIFS('①在庫を貼る'!$V$6:$V$10005,$V3077,'①在庫を貼る'!$W$6:$W$10005,$W3077)+COUNTIFS('月1回_1ヶ月前の在庫'!$V$6:$V$10005,$V3077,'月1回_1ヶ月前の在庫'!$W$6:$W$10005,$W3077)&gt;0),N(U3076),N(U3076)+1))</f>
        <v/>
      </c>
      <c r="V3077" s="19">
        <f>IF($B3077="","",TEXT($B3077,"0000"))</f>
        <v/>
      </c>
      <c r="W3077" s="19">
        <f>IF($I3077="","",IF(ISNUMBER($I3077),TEXT($I3077,"0"),$I3077))</f>
        <v/>
      </c>
    </row>
    <row r="3078">
      <c r="B3078" s="25" t="n"/>
      <c r="I3078" s="25" t="n"/>
      <c r="U3078" s="19">
        <f>IF($V3078&lt;&gt;'設定'!$C$4,N(U3077),IF(OR(NOT(COUNTIF('商品マスタ'!$B$6:$B$1005,$W3078)=0),COUNTIFS('①在庫を貼る'!$V$6:$V$10005,$V3078,'①在庫を貼る'!$W$6:$W$10005,$W3078)+COUNTIFS('月1回_1ヶ月前の在庫'!$V$6:$V$10005,$V3078,'月1回_1ヶ月前の在庫'!$W$6:$W$10005,$W3078)&gt;0),N(U3077),N(U3077)+1))</f>
        <v/>
      </c>
      <c r="V3078" s="19">
        <f>IF($B3078="","",TEXT($B3078,"0000"))</f>
        <v/>
      </c>
      <c r="W3078" s="19">
        <f>IF($I3078="","",IF(ISNUMBER($I3078),TEXT($I3078,"0"),$I3078))</f>
        <v/>
      </c>
    </row>
    <row r="3079">
      <c r="B3079" s="25" t="n"/>
      <c r="I3079" s="25" t="n"/>
      <c r="U3079" s="19">
        <f>IF($V3079&lt;&gt;'設定'!$C$4,N(U3078),IF(OR(NOT(COUNTIF('商品マスタ'!$B$6:$B$1005,$W3079)=0),COUNTIFS('①在庫を貼る'!$V$6:$V$10005,$V3079,'①在庫を貼る'!$W$6:$W$10005,$W3079)+COUNTIFS('月1回_1ヶ月前の在庫'!$V$6:$V$10005,$V3079,'月1回_1ヶ月前の在庫'!$W$6:$W$10005,$W3079)&gt;0),N(U3078),N(U3078)+1))</f>
        <v/>
      </c>
      <c r="V3079" s="19">
        <f>IF($B3079="","",TEXT($B3079,"0000"))</f>
        <v/>
      </c>
      <c r="W3079" s="19">
        <f>IF($I3079="","",IF(ISNUMBER($I3079),TEXT($I3079,"0"),$I3079))</f>
        <v/>
      </c>
    </row>
    <row r="3080">
      <c r="B3080" s="25" t="n"/>
      <c r="I3080" s="25" t="n"/>
      <c r="U3080" s="19">
        <f>IF($V3080&lt;&gt;'設定'!$C$4,N(U3079),IF(OR(NOT(COUNTIF('商品マスタ'!$B$6:$B$1005,$W3080)=0),COUNTIFS('①在庫を貼る'!$V$6:$V$10005,$V3080,'①在庫を貼る'!$W$6:$W$10005,$W3080)+COUNTIFS('月1回_1ヶ月前の在庫'!$V$6:$V$10005,$V3080,'月1回_1ヶ月前の在庫'!$W$6:$W$10005,$W3080)&gt;0),N(U3079),N(U3079)+1))</f>
        <v/>
      </c>
      <c r="V3080" s="19">
        <f>IF($B3080="","",TEXT($B3080,"0000"))</f>
        <v/>
      </c>
      <c r="W3080" s="19">
        <f>IF($I3080="","",IF(ISNUMBER($I3080),TEXT($I3080,"0"),$I3080))</f>
        <v/>
      </c>
    </row>
    <row r="3081">
      <c r="B3081" s="25" t="n"/>
      <c r="I3081" s="25" t="n"/>
      <c r="U3081" s="19">
        <f>IF($V3081&lt;&gt;'設定'!$C$4,N(U3080),IF(OR(NOT(COUNTIF('商品マスタ'!$B$6:$B$1005,$W3081)=0),COUNTIFS('①在庫を貼る'!$V$6:$V$10005,$V3081,'①在庫を貼る'!$W$6:$W$10005,$W3081)+COUNTIFS('月1回_1ヶ月前の在庫'!$V$6:$V$10005,$V3081,'月1回_1ヶ月前の在庫'!$W$6:$W$10005,$W3081)&gt;0),N(U3080),N(U3080)+1))</f>
        <v/>
      </c>
      <c r="V3081" s="19">
        <f>IF($B3081="","",TEXT($B3081,"0000"))</f>
        <v/>
      </c>
      <c r="W3081" s="19">
        <f>IF($I3081="","",IF(ISNUMBER($I3081),TEXT($I3081,"0"),$I3081))</f>
        <v/>
      </c>
    </row>
    <row r="3082">
      <c r="B3082" s="25" t="n"/>
      <c r="I3082" s="25" t="n"/>
      <c r="U3082" s="19">
        <f>IF($V3082&lt;&gt;'設定'!$C$4,N(U3081),IF(OR(NOT(COUNTIF('商品マスタ'!$B$6:$B$1005,$W3082)=0),COUNTIFS('①在庫を貼る'!$V$6:$V$10005,$V3082,'①在庫を貼る'!$W$6:$W$10005,$W3082)+COUNTIFS('月1回_1ヶ月前の在庫'!$V$6:$V$10005,$V3082,'月1回_1ヶ月前の在庫'!$W$6:$W$10005,$W3082)&gt;0),N(U3081),N(U3081)+1))</f>
        <v/>
      </c>
      <c r="V3082" s="19">
        <f>IF($B3082="","",TEXT($B3082,"0000"))</f>
        <v/>
      </c>
      <c r="W3082" s="19">
        <f>IF($I3082="","",IF(ISNUMBER($I3082),TEXT($I3082,"0"),$I3082))</f>
        <v/>
      </c>
    </row>
    <row r="3083">
      <c r="B3083" s="25" t="n"/>
      <c r="I3083" s="25" t="n"/>
      <c r="U3083" s="19">
        <f>IF($V3083&lt;&gt;'設定'!$C$4,N(U3082),IF(OR(NOT(COUNTIF('商品マスタ'!$B$6:$B$1005,$W3083)=0),COUNTIFS('①在庫を貼る'!$V$6:$V$10005,$V3083,'①在庫を貼る'!$W$6:$W$10005,$W3083)+COUNTIFS('月1回_1ヶ月前の在庫'!$V$6:$V$10005,$V3083,'月1回_1ヶ月前の在庫'!$W$6:$W$10005,$W3083)&gt;0),N(U3082),N(U3082)+1))</f>
        <v/>
      </c>
      <c r="V3083" s="19">
        <f>IF($B3083="","",TEXT($B3083,"0000"))</f>
        <v/>
      </c>
      <c r="W3083" s="19">
        <f>IF($I3083="","",IF(ISNUMBER($I3083),TEXT($I3083,"0"),$I3083))</f>
        <v/>
      </c>
    </row>
    <row r="3084">
      <c r="B3084" s="25" t="n"/>
      <c r="I3084" s="25" t="n"/>
      <c r="U3084" s="19">
        <f>IF($V3084&lt;&gt;'設定'!$C$4,N(U3083),IF(OR(NOT(COUNTIF('商品マスタ'!$B$6:$B$1005,$W3084)=0),COUNTIFS('①在庫を貼る'!$V$6:$V$10005,$V3084,'①在庫を貼る'!$W$6:$W$10005,$W3084)+COUNTIFS('月1回_1ヶ月前の在庫'!$V$6:$V$10005,$V3084,'月1回_1ヶ月前の在庫'!$W$6:$W$10005,$W3084)&gt;0),N(U3083),N(U3083)+1))</f>
        <v/>
      </c>
      <c r="V3084" s="19">
        <f>IF($B3084="","",TEXT($B3084,"0000"))</f>
        <v/>
      </c>
      <c r="W3084" s="19">
        <f>IF($I3084="","",IF(ISNUMBER($I3084),TEXT($I3084,"0"),$I3084))</f>
        <v/>
      </c>
    </row>
    <row r="3085">
      <c r="B3085" s="25" t="n"/>
      <c r="I3085" s="25" t="n"/>
      <c r="U3085" s="19">
        <f>IF($V3085&lt;&gt;'設定'!$C$4,N(U3084),IF(OR(NOT(COUNTIF('商品マスタ'!$B$6:$B$1005,$W3085)=0),COUNTIFS('①在庫を貼る'!$V$6:$V$10005,$V3085,'①在庫を貼る'!$W$6:$W$10005,$W3085)+COUNTIFS('月1回_1ヶ月前の在庫'!$V$6:$V$10005,$V3085,'月1回_1ヶ月前の在庫'!$W$6:$W$10005,$W3085)&gt;0),N(U3084),N(U3084)+1))</f>
        <v/>
      </c>
      <c r="V3085" s="19">
        <f>IF($B3085="","",TEXT($B3085,"0000"))</f>
        <v/>
      </c>
      <c r="W3085" s="19">
        <f>IF($I3085="","",IF(ISNUMBER($I3085),TEXT($I3085,"0"),$I3085))</f>
        <v/>
      </c>
    </row>
    <row r="3086">
      <c r="B3086" s="25" t="n"/>
      <c r="I3086" s="25" t="n"/>
      <c r="U3086" s="19">
        <f>IF($V3086&lt;&gt;'設定'!$C$4,N(U3085),IF(OR(NOT(COUNTIF('商品マスタ'!$B$6:$B$1005,$W3086)=0),COUNTIFS('①在庫を貼る'!$V$6:$V$10005,$V3086,'①在庫を貼る'!$W$6:$W$10005,$W3086)+COUNTIFS('月1回_1ヶ月前の在庫'!$V$6:$V$10005,$V3086,'月1回_1ヶ月前の在庫'!$W$6:$W$10005,$W3086)&gt;0),N(U3085),N(U3085)+1))</f>
        <v/>
      </c>
      <c r="V3086" s="19">
        <f>IF($B3086="","",TEXT($B3086,"0000"))</f>
        <v/>
      </c>
      <c r="W3086" s="19">
        <f>IF($I3086="","",IF(ISNUMBER($I3086),TEXT($I3086,"0"),$I3086))</f>
        <v/>
      </c>
    </row>
    <row r="3087">
      <c r="B3087" s="25" t="n"/>
      <c r="I3087" s="25" t="n"/>
      <c r="U3087" s="19">
        <f>IF($V3087&lt;&gt;'設定'!$C$4,N(U3086),IF(OR(NOT(COUNTIF('商品マスタ'!$B$6:$B$1005,$W3087)=0),COUNTIFS('①在庫を貼る'!$V$6:$V$10005,$V3087,'①在庫を貼る'!$W$6:$W$10005,$W3087)+COUNTIFS('月1回_1ヶ月前の在庫'!$V$6:$V$10005,$V3087,'月1回_1ヶ月前の在庫'!$W$6:$W$10005,$W3087)&gt;0),N(U3086),N(U3086)+1))</f>
        <v/>
      </c>
      <c r="V3087" s="19">
        <f>IF($B3087="","",TEXT($B3087,"0000"))</f>
        <v/>
      </c>
      <c r="W3087" s="19">
        <f>IF($I3087="","",IF(ISNUMBER($I3087),TEXT($I3087,"0"),$I3087))</f>
        <v/>
      </c>
    </row>
    <row r="3088">
      <c r="B3088" s="25" t="n"/>
      <c r="I3088" s="25" t="n"/>
      <c r="U3088" s="19">
        <f>IF($V3088&lt;&gt;'設定'!$C$4,N(U3087),IF(OR(NOT(COUNTIF('商品マスタ'!$B$6:$B$1005,$W3088)=0),COUNTIFS('①在庫を貼る'!$V$6:$V$10005,$V3088,'①在庫を貼る'!$W$6:$W$10005,$W3088)+COUNTIFS('月1回_1ヶ月前の在庫'!$V$6:$V$10005,$V3088,'月1回_1ヶ月前の在庫'!$W$6:$W$10005,$W3088)&gt;0),N(U3087),N(U3087)+1))</f>
        <v/>
      </c>
      <c r="V3088" s="19">
        <f>IF($B3088="","",TEXT($B3088,"0000"))</f>
        <v/>
      </c>
      <c r="W3088" s="19">
        <f>IF($I3088="","",IF(ISNUMBER($I3088),TEXT($I3088,"0"),$I3088))</f>
        <v/>
      </c>
    </row>
    <row r="3089">
      <c r="B3089" s="25" t="n"/>
      <c r="I3089" s="25" t="n"/>
      <c r="U3089" s="19">
        <f>IF($V3089&lt;&gt;'設定'!$C$4,N(U3088),IF(OR(NOT(COUNTIF('商品マスタ'!$B$6:$B$1005,$W3089)=0),COUNTIFS('①在庫を貼る'!$V$6:$V$10005,$V3089,'①在庫を貼る'!$W$6:$W$10005,$W3089)+COUNTIFS('月1回_1ヶ月前の在庫'!$V$6:$V$10005,$V3089,'月1回_1ヶ月前の在庫'!$W$6:$W$10005,$W3089)&gt;0),N(U3088),N(U3088)+1))</f>
        <v/>
      </c>
      <c r="V3089" s="19">
        <f>IF($B3089="","",TEXT($B3089,"0000"))</f>
        <v/>
      </c>
      <c r="W3089" s="19">
        <f>IF($I3089="","",IF(ISNUMBER($I3089),TEXT($I3089,"0"),$I3089))</f>
        <v/>
      </c>
    </row>
    <row r="3090">
      <c r="B3090" s="25" t="n"/>
      <c r="I3090" s="25" t="n"/>
      <c r="U3090" s="19">
        <f>IF($V3090&lt;&gt;'設定'!$C$4,N(U3089),IF(OR(NOT(COUNTIF('商品マスタ'!$B$6:$B$1005,$W3090)=0),COUNTIFS('①在庫を貼る'!$V$6:$V$10005,$V3090,'①在庫を貼る'!$W$6:$W$10005,$W3090)+COUNTIFS('月1回_1ヶ月前の在庫'!$V$6:$V$10005,$V3090,'月1回_1ヶ月前の在庫'!$W$6:$W$10005,$W3090)&gt;0),N(U3089),N(U3089)+1))</f>
        <v/>
      </c>
      <c r="V3090" s="19">
        <f>IF($B3090="","",TEXT($B3090,"0000"))</f>
        <v/>
      </c>
      <c r="W3090" s="19">
        <f>IF($I3090="","",IF(ISNUMBER($I3090),TEXT($I3090,"0"),$I3090))</f>
        <v/>
      </c>
    </row>
    <row r="3091">
      <c r="B3091" s="25" t="n"/>
      <c r="I3091" s="25" t="n"/>
      <c r="U3091" s="19">
        <f>IF($V3091&lt;&gt;'設定'!$C$4,N(U3090),IF(OR(NOT(COUNTIF('商品マスタ'!$B$6:$B$1005,$W3091)=0),COUNTIFS('①在庫を貼る'!$V$6:$V$10005,$V3091,'①在庫を貼る'!$W$6:$W$10005,$W3091)+COUNTIFS('月1回_1ヶ月前の在庫'!$V$6:$V$10005,$V3091,'月1回_1ヶ月前の在庫'!$W$6:$W$10005,$W3091)&gt;0),N(U3090),N(U3090)+1))</f>
        <v/>
      </c>
      <c r="V3091" s="19">
        <f>IF($B3091="","",TEXT($B3091,"0000"))</f>
        <v/>
      </c>
      <c r="W3091" s="19">
        <f>IF($I3091="","",IF(ISNUMBER($I3091),TEXT($I3091,"0"),$I3091))</f>
        <v/>
      </c>
    </row>
    <row r="3092">
      <c r="B3092" s="25" t="n"/>
      <c r="I3092" s="25" t="n"/>
      <c r="U3092" s="19">
        <f>IF($V3092&lt;&gt;'設定'!$C$4,N(U3091),IF(OR(NOT(COUNTIF('商品マスタ'!$B$6:$B$1005,$W3092)=0),COUNTIFS('①在庫を貼る'!$V$6:$V$10005,$V3092,'①在庫を貼る'!$W$6:$W$10005,$W3092)+COUNTIFS('月1回_1ヶ月前の在庫'!$V$6:$V$10005,$V3092,'月1回_1ヶ月前の在庫'!$W$6:$W$10005,$W3092)&gt;0),N(U3091),N(U3091)+1))</f>
        <v/>
      </c>
      <c r="V3092" s="19">
        <f>IF($B3092="","",TEXT($B3092,"0000"))</f>
        <v/>
      </c>
      <c r="W3092" s="19">
        <f>IF($I3092="","",IF(ISNUMBER($I3092),TEXT($I3092,"0"),$I3092))</f>
        <v/>
      </c>
    </row>
    <row r="3093">
      <c r="B3093" s="25" t="n"/>
      <c r="I3093" s="25" t="n"/>
      <c r="U3093" s="19">
        <f>IF($V3093&lt;&gt;'設定'!$C$4,N(U3092),IF(OR(NOT(COUNTIF('商品マスタ'!$B$6:$B$1005,$W3093)=0),COUNTIFS('①在庫を貼る'!$V$6:$V$10005,$V3093,'①在庫を貼る'!$W$6:$W$10005,$W3093)+COUNTIFS('月1回_1ヶ月前の在庫'!$V$6:$V$10005,$V3093,'月1回_1ヶ月前の在庫'!$W$6:$W$10005,$W3093)&gt;0),N(U3092),N(U3092)+1))</f>
        <v/>
      </c>
      <c r="V3093" s="19">
        <f>IF($B3093="","",TEXT($B3093,"0000"))</f>
        <v/>
      </c>
      <c r="W3093" s="19">
        <f>IF($I3093="","",IF(ISNUMBER($I3093),TEXT($I3093,"0"),$I3093))</f>
        <v/>
      </c>
    </row>
    <row r="3094">
      <c r="B3094" s="25" t="n"/>
      <c r="I3094" s="25" t="n"/>
      <c r="U3094" s="19">
        <f>IF($V3094&lt;&gt;'設定'!$C$4,N(U3093),IF(OR(NOT(COUNTIF('商品マスタ'!$B$6:$B$1005,$W3094)=0),COUNTIFS('①在庫を貼る'!$V$6:$V$10005,$V3094,'①在庫を貼る'!$W$6:$W$10005,$W3094)+COUNTIFS('月1回_1ヶ月前の在庫'!$V$6:$V$10005,$V3094,'月1回_1ヶ月前の在庫'!$W$6:$W$10005,$W3094)&gt;0),N(U3093),N(U3093)+1))</f>
        <v/>
      </c>
      <c r="V3094" s="19">
        <f>IF($B3094="","",TEXT($B3094,"0000"))</f>
        <v/>
      </c>
      <c r="W3094" s="19">
        <f>IF($I3094="","",IF(ISNUMBER($I3094),TEXT($I3094,"0"),$I3094))</f>
        <v/>
      </c>
    </row>
    <row r="3095">
      <c r="B3095" s="25" t="n"/>
      <c r="I3095" s="25" t="n"/>
      <c r="U3095" s="19">
        <f>IF($V3095&lt;&gt;'設定'!$C$4,N(U3094),IF(OR(NOT(COUNTIF('商品マスタ'!$B$6:$B$1005,$W3095)=0),COUNTIFS('①在庫を貼る'!$V$6:$V$10005,$V3095,'①在庫を貼る'!$W$6:$W$10005,$W3095)+COUNTIFS('月1回_1ヶ月前の在庫'!$V$6:$V$10005,$V3095,'月1回_1ヶ月前の在庫'!$W$6:$W$10005,$W3095)&gt;0),N(U3094),N(U3094)+1))</f>
        <v/>
      </c>
      <c r="V3095" s="19">
        <f>IF($B3095="","",TEXT($B3095,"0000"))</f>
        <v/>
      </c>
      <c r="W3095" s="19">
        <f>IF($I3095="","",IF(ISNUMBER($I3095),TEXT($I3095,"0"),$I3095))</f>
        <v/>
      </c>
    </row>
    <row r="3096">
      <c r="B3096" s="25" t="n"/>
      <c r="I3096" s="25" t="n"/>
      <c r="U3096" s="19">
        <f>IF($V3096&lt;&gt;'設定'!$C$4,N(U3095),IF(OR(NOT(COUNTIF('商品マスタ'!$B$6:$B$1005,$W3096)=0),COUNTIFS('①在庫を貼る'!$V$6:$V$10005,$V3096,'①在庫を貼る'!$W$6:$W$10005,$W3096)+COUNTIFS('月1回_1ヶ月前の在庫'!$V$6:$V$10005,$V3096,'月1回_1ヶ月前の在庫'!$W$6:$W$10005,$W3096)&gt;0),N(U3095),N(U3095)+1))</f>
        <v/>
      </c>
      <c r="V3096" s="19">
        <f>IF($B3096="","",TEXT($B3096,"0000"))</f>
        <v/>
      </c>
      <c r="W3096" s="19">
        <f>IF($I3096="","",IF(ISNUMBER($I3096),TEXT($I3096,"0"),$I3096))</f>
        <v/>
      </c>
    </row>
    <row r="3097">
      <c r="B3097" s="25" t="n"/>
      <c r="I3097" s="25" t="n"/>
      <c r="U3097" s="19">
        <f>IF($V3097&lt;&gt;'設定'!$C$4,N(U3096),IF(OR(NOT(COUNTIF('商品マスタ'!$B$6:$B$1005,$W3097)=0),COUNTIFS('①在庫を貼る'!$V$6:$V$10005,$V3097,'①在庫を貼る'!$W$6:$W$10005,$W3097)+COUNTIFS('月1回_1ヶ月前の在庫'!$V$6:$V$10005,$V3097,'月1回_1ヶ月前の在庫'!$W$6:$W$10005,$W3097)&gt;0),N(U3096),N(U3096)+1))</f>
        <v/>
      </c>
      <c r="V3097" s="19">
        <f>IF($B3097="","",TEXT($B3097,"0000"))</f>
        <v/>
      </c>
      <c r="W3097" s="19">
        <f>IF($I3097="","",IF(ISNUMBER($I3097),TEXT($I3097,"0"),$I3097))</f>
        <v/>
      </c>
    </row>
    <row r="3098">
      <c r="B3098" s="25" t="n"/>
      <c r="I3098" s="25" t="n"/>
      <c r="U3098" s="19">
        <f>IF($V3098&lt;&gt;'設定'!$C$4,N(U3097),IF(OR(NOT(COUNTIF('商品マスタ'!$B$6:$B$1005,$W3098)=0),COUNTIFS('①在庫を貼る'!$V$6:$V$10005,$V3098,'①在庫を貼る'!$W$6:$W$10005,$W3098)+COUNTIFS('月1回_1ヶ月前の在庫'!$V$6:$V$10005,$V3098,'月1回_1ヶ月前の在庫'!$W$6:$W$10005,$W3098)&gt;0),N(U3097),N(U3097)+1))</f>
        <v/>
      </c>
      <c r="V3098" s="19">
        <f>IF($B3098="","",TEXT($B3098,"0000"))</f>
        <v/>
      </c>
      <c r="W3098" s="19">
        <f>IF($I3098="","",IF(ISNUMBER($I3098),TEXT($I3098,"0"),$I3098))</f>
        <v/>
      </c>
    </row>
    <row r="3099">
      <c r="B3099" s="25" t="n"/>
      <c r="I3099" s="25" t="n"/>
      <c r="U3099" s="19">
        <f>IF($V3099&lt;&gt;'設定'!$C$4,N(U3098),IF(OR(NOT(COUNTIF('商品マスタ'!$B$6:$B$1005,$W3099)=0),COUNTIFS('①在庫を貼る'!$V$6:$V$10005,$V3099,'①在庫を貼る'!$W$6:$W$10005,$W3099)+COUNTIFS('月1回_1ヶ月前の在庫'!$V$6:$V$10005,$V3099,'月1回_1ヶ月前の在庫'!$W$6:$W$10005,$W3099)&gt;0),N(U3098),N(U3098)+1))</f>
        <v/>
      </c>
      <c r="V3099" s="19">
        <f>IF($B3099="","",TEXT($B3099,"0000"))</f>
        <v/>
      </c>
      <c r="W3099" s="19">
        <f>IF($I3099="","",IF(ISNUMBER($I3099),TEXT($I3099,"0"),$I3099))</f>
        <v/>
      </c>
    </row>
    <row r="3100">
      <c r="B3100" s="25" t="n"/>
      <c r="I3100" s="25" t="n"/>
      <c r="U3100" s="19">
        <f>IF($V3100&lt;&gt;'設定'!$C$4,N(U3099),IF(OR(NOT(COUNTIF('商品マスタ'!$B$6:$B$1005,$W3100)=0),COUNTIFS('①在庫を貼る'!$V$6:$V$10005,$V3100,'①在庫を貼る'!$W$6:$W$10005,$W3100)+COUNTIFS('月1回_1ヶ月前の在庫'!$V$6:$V$10005,$V3100,'月1回_1ヶ月前の在庫'!$W$6:$W$10005,$W3100)&gt;0),N(U3099),N(U3099)+1))</f>
        <v/>
      </c>
      <c r="V3100" s="19">
        <f>IF($B3100="","",TEXT($B3100,"0000"))</f>
        <v/>
      </c>
      <c r="W3100" s="19">
        <f>IF($I3100="","",IF(ISNUMBER($I3100),TEXT($I3100,"0"),$I3100))</f>
        <v/>
      </c>
    </row>
    <row r="3101">
      <c r="B3101" s="25" t="n"/>
      <c r="I3101" s="25" t="n"/>
      <c r="U3101" s="19">
        <f>IF($V3101&lt;&gt;'設定'!$C$4,N(U3100),IF(OR(NOT(COUNTIF('商品マスタ'!$B$6:$B$1005,$W3101)=0),COUNTIFS('①在庫を貼る'!$V$6:$V$10005,$V3101,'①在庫を貼る'!$W$6:$W$10005,$W3101)+COUNTIFS('月1回_1ヶ月前の在庫'!$V$6:$V$10005,$V3101,'月1回_1ヶ月前の在庫'!$W$6:$W$10005,$W3101)&gt;0),N(U3100),N(U3100)+1))</f>
        <v/>
      </c>
      <c r="V3101" s="19">
        <f>IF($B3101="","",TEXT($B3101,"0000"))</f>
        <v/>
      </c>
      <c r="W3101" s="19">
        <f>IF($I3101="","",IF(ISNUMBER($I3101),TEXT($I3101,"0"),$I3101))</f>
        <v/>
      </c>
    </row>
    <row r="3102">
      <c r="B3102" s="25" t="n"/>
      <c r="I3102" s="25" t="n"/>
      <c r="U3102" s="19">
        <f>IF($V3102&lt;&gt;'設定'!$C$4,N(U3101),IF(OR(NOT(COUNTIF('商品マスタ'!$B$6:$B$1005,$W3102)=0),COUNTIFS('①在庫を貼る'!$V$6:$V$10005,$V3102,'①在庫を貼る'!$W$6:$W$10005,$W3102)+COUNTIFS('月1回_1ヶ月前の在庫'!$V$6:$V$10005,$V3102,'月1回_1ヶ月前の在庫'!$W$6:$W$10005,$W3102)&gt;0),N(U3101),N(U3101)+1))</f>
        <v/>
      </c>
      <c r="V3102" s="19">
        <f>IF($B3102="","",TEXT($B3102,"0000"))</f>
        <v/>
      </c>
      <c r="W3102" s="19">
        <f>IF($I3102="","",IF(ISNUMBER($I3102),TEXT($I3102,"0"),$I3102))</f>
        <v/>
      </c>
    </row>
    <row r="3103">
      <c r="B3103" s="25" t="n"/>
      <c r="I3103" s="25" t="n"/>
      <c r="U3103" s="19">
        <f>IF($V3103&lt;&gt;'設定'!$C$4,N(U3102),IF(OR(NOT(COUNTIF('商品マスタ'!$B$6:$B$1005,$W3103)=0),COUNTIFS('①在庫を貼る'!$V$6:$V$10005,$V3103,'①在庫を貼る'!$W$6:$W$10005,$W3103)+COUNTIFS('月1回_1ヶ月前の在庫'!$V$6:$V$10005,$V3103,'月1回_1ヶ月前の在庫'!$W$6:$W$10005,$W3103)&gt;0),N(U3102),N(U3102)+1))</f>
        <v/>
      </c>
      <c r="V3103" s="19">
        <f>IF($B3103="","",TEXT($B3103,"0000"))</f>
        <v/>
      </c>
      <c r="W3103" s="19">
        <f>IF($I3103="","",IF(ISNUMBER($I3103),TEXT($I3103,"0"),$I3103))</f>
        <v/>
      </c>
    </row>
    <row r="3104">
      <c r="B3104" s="25" t="n"/>
      <c r="I3104" s="25" t="n"/>
      <c r="U3104" s="19">
        <f>IF($V3104&lt;&gt;'設定'!$C$4,N(U3103),IF(OR(NOT(COUNTIF('商品マスタ'!$B$6:$B$1005,$W3104)=0),COUNTIFS('①在庫を貼る'!$V$6:$V$10005,$V3104,'①在庫を貼る'!$W$6:$W$10005,$W3104)+COUNTIFS('月1回_1ヶ月前の在庫'!$V$6:$V$10005,$V3104,'月1回_1ヶ月前の在庫'!$W$6:$W$10005,$W3104)&gt;0),N(U3103),N(U3103)+1))</f>
        <v/>
      </c>
      <c r="V3104" s="19">
        <f>IF($B3104="","",TEXT($B3104,"0000"))</f>
        <v/>
      </c>
      <c r="W3104" s="19">
        <f>IF($I3104="","",IF(ISNUMBER($I3104),TEXT($I3104,"0"),$I3104))</f>
        <v/>
      </c>
    </row>
    <row r="3105">
      <c r="B3105" s="25" t="n"/>
      <c r="I3105" s="25" t="n"/>
      <c r="U3105" s="19">
        <f>IF($V3105&lt;&gt;'設定'!$C$4,N(U3104),IF(OR(NOT(COUNTIF('商品マスタ'!$B$6:$B$1005,$W3105)=0),COUNTIFS('①在庫を貼る'!$V$6:$V$10005,$V3105,'①在庫を貼る'!$W$6:$W$10005,$W3105)+COUNTIFS('月1回_1ヶ月前の在庫'!$V$6:$V$10005,$V3105,'月1回_1ヶ月前の在庫'!$W$6:$W$10005,$W3105)&gt;0),N(U3104),N(U3104)+1))</f>
        <v/>
      </c>
      <c r="V3105" s="19">
        <f>IF($B3105="","",TEXT($B3105,"0000"))</f>
        <v/>
      </c>
      <c r="W3105" s="19">
        <f>IF($I3105="","",IF(ISNUMBER($I3105),TEXT($I3105,"0"),$I3105))</f>
        <v/>
      </c>
    </row>
    <row r="3106">
      <c r="B3106" s="25" t="n"/>
      <c r="I3106" s="25" t="n"/>
      <c r="U3106" s="19">
        <f>IF($V3106&lt;&gt;'設定'!$C$4,N(U3105),IF(OR(NOT(COUNTIF('商品マスタ'!$B$6:$B$1005,$W3106)=0),COUNTIFS('①在庫を貼る'!$V$6:$V$10005,$V3106,'①在庫を貼る'!$W$6:$W$10005,$W3106)+COUNTIFS('月1回_1ヶ月前の在庫'!$V$6:$V$10005,$V3106,'月1回_1ヶ月前の在庫'!$W$6:$W$10005,$W3106)&gt;0),N(U3105),N(U3105)+1))</f>
        <v/>
      </c>
      <c r="V3106" s="19">
        <f>IF($B3106="","",TEXT($B3106,"0000"))</f>
        <v/>
      </c>
      <c r="W3106" s="19">
        <f>IF($I3106="","",IF(ISNUMBER($I3106),TEXT($I3106,"0"),$I3106))</f>
        <v/>
      </c>
    </row>
    <row r="3107">
      <c r="B3107" s="25" t="n"/>
      <c r="I3107" s="25" t="n"/>
      <c r="U3107" s="19">
        <f>IF($V3107&lt;&gt;'設定'!$C$4,N(U3106),IF(OR(NOT(COUNTIF('商品マスタ'!$B$6:$B$1005,$W3107)=0),COUNTIFS('①在庫を貼る'!$V$6:$V$10005,$V3107,'①在庫を貼る'!$W$6:$W$10005,$W3107)+COUNTIFS('月1回_1ヶ月前の在庫'!$V$6:$V$10005,$V3107,'月1回_1ヶ月前の在庫'!$W$6:$W$10005,$W3107)&gt;0),N(U3106),N(U3106)+1))</f>
        <v/>
      </c>
      <c r="V3107" s="19">
        <f>IF($B3107="","",TEXT($B3107,"0000"))</f>
        <v/>
      </c>
      <c r="W3107" s="19">
        <f>IF($I3107="","",IF(ISNUMBER($I3107),TEXT($I3107,"0"),$I3107))</f>
        <v/>
      </c>
    </row>
    <row r="3108">
      <c r="B3108" s="25" t="n"/>
      <c r="I3108" s="25" t="n"/>
      <c r="U3108" s="19">
        <f>IF($V3108&lt;&gt;'設定'!$C$4,N(U3107),IF(OR(NOT(COUNTIF('商品マスタ'!$B$6:$B$1005,$W3108)=0),COUNTIFS('①在庫を貼る'!$V$6:$V$10005,$V3108,'①在庫を貼る'!$W$6:$W$10005,$W3108)+COUNTIFS('月1回_1ヶ月前の在庫'!$V$6:$V$10005,$V3108,'月1回_1ヶ月前の在庫'!$W$6:$W$10005,$W3108)&gt;0),N(U3107),N(U3107)+1))</f>
        <v/>
      </c>
      <c r="V3108" s="19">
        <f>IF($B3108="","",TEXT($B3108,"0000"))</f>
        <v/>
      </c>
      <c r="W3108" s="19">
        <f>IF($I3108="","",IF(ISNUMBER($I3108),TEXT($I3108,"0"),$I3108))</f>
        <v/>
      </c>
    </row>
    <row r="3109">
      <c r="B3109" s="25" t="n"/>
      <c r="I3109" s="25" t="n"/>
      <c r="U3109" s="19">
        <f>IF($V3109&lt;&gt;'設定'!$C$4,N(U3108),IF(OR(NOT(COUNTIF('商品マスタ'!$B$6:$B$1005,$W3109)=0),COUNTIFS('①在庫を貼る'!$V$6:$V$10005,$V3109,'①在庫を貼る'!$W$6:$W$10005,$W3109)+COUNTIFS('月1回_1ヶ月前の在庫'!$V$6:$V$10005,$V3109,'月1回_1ヶ月前の在庫'!$W$6:$W$10005,$W3109)&gt;0),N(U3108),N(U3108)+1))</f>
        <v/>
      </c>
      <c r="V3109" s="19">
        <f>IF($B3109="","",TEXT($B3109,"0000"))</f>
        <v/>
      </c>
      <c r="W3109" s="19">
        <f>IF($I3109="","",IF(ISNUMBER($I3109),TEXT($I3109,"0"),$I3109))</f>
        <v/>
      </c>
    </row>
    <row r="3110">
      <c r="B3110" s="25" t="n"/>
      <c r="I3110" s="25" t="n"/>
      <c r="U3110" s="19">
        <f>IF($V3110&lt;&gt;'設定'!$C$4,N(U3109),IF(OR(NOT(COUNTIF('商品マスタ'!$B$6:$B$1005,$W3110)=0),COUNTIFS('①在庫を貼る'!$V$6:$V$10005,$V3110,'①在庫を貼る'!$W$6:$W$10005,$W3110)+COUNTIFS('月1回_1ヶ月前の在庫'!$V$6:$V$10005,$V3110,'月1回_1ヶ月前の在庫'!$W$6:$W$10005,$W3110)&gt;0),N(U3109),N(U3109)+1))</f>
        <v/>
      </c>
      <c r="V3110" s="19">
        <f>IF($B3110="","",TEXT($B3110,"0000"))</f>
        <v/>
      </c>
      <c r="W3110" s="19">
        <f>IF($I3110="","",IF(ISNUMBER($I3110),TEXT($I3110,"0"),$I3110))</f>
        <v/>
      </c>
    </row>
    <row r="3111">
      <c r="B3111" s="25" t="n"/>
      <c r="I3111" s="25" t="n"/>
      <c r="U3111" s="19">
        <f>IF($V3111&lt;&gt;'設定'!$C$4,N(U3110),IF(OR(NOT(COUNTIF('商品マスタ'!$B$6:$B$1005,$W3111)=0),COUNTIFS('①在庫を貼る'!$V$6:$V$10005,$V3111,'①在庫を貼る'!$W$6:$W$10005,$W3111)+COUNTIFS('月1回_1ヶ月前の在庫'!$V$6:$V$10005,$V3111,'月1回_1ヶ月前の在庫'!$W$6:$W$10005,$W3111)&gt;0),N(U3110),N(U3110)+1))</f>
        <v/>
      </c>
      <c r="V3111" s="19">
        <f>IF($B3111="","",TEXT($B3111,"0000"))</f>
        <v/>
      </c>
      <c r="W3111" s="19">
        <f>IF($I3111="","",IF(ISNUMBER($I3111),TEXT($I3111,"0"),$I3111))</f>
        <v/>
      </c>
    </row>
    <row r="3112">
      <c r="B3112" s="25" t="n"/>
      <c r="I3112" s="25" t="n"/>
      <c r="U3112" s="19">
        <f>IF($V3112&lt;&gt;'設定'!$C$4,N(U3111),IF(OR(NOT(COUNTIF('商品マスタ'!$B$6:$B$1005,$W3112)=0),COUNTIFS('①在庫を貼る'!$V$6:$V$10005,$V3112,'①在庫を貼る'!$W$6:$W$10005,$W3112)+COUNTIFS('月1回_1ヶ月前の在庫'!$V$6:$V$10005,$V3112,'月1回_1ヶ月前の在庫'!$W$6:$W$10005,$W3112)&gt;0),N(U3111),N(U3111)+1))</f>
        <v/>
      </c>
      <c r="V3112" s="19">
        <f>IF($B3112="","",TEXT($B3112,"0000"))</f>
        <v/>
      </c>
      <c r="W3112" s="19">
        <f>IF($I3112="","",IF(ISNUMBER($I3112),TEXT($I3112,"0"),$I3112))</f>
        <v/>
      </c>
    </row>
    <row r="3113">
      <c r="B3113" s="25" t="n"/>
      <c r="I3113" s="25" t="n"/>
      <c r="U3113" s="19">
        <f>IF($V3113&lt;&gt;'設定'!$C$4,N(U3112),IF(OR(NOT(COUNTIF('商品マスタ'!$B$6:$B$1005,$W3113)=0),COUNTIFS('①在庫を貼る'!$V$6:$V$10005,$V3113,'①在庫を貼る'!$W$6:$W$10005,$W3113)+COUNTIFS('月1回_1ヶ月前の在庫'!$V$6:$V$10005,$V3113,'月1回_1ヶ月前の在庫'!$W$6:$W$10005,$W3113)&gt;0),N(U3112),N(U3112)+1))</f>
        <v/>
      </c>
      <c r="V3113" s="19">
        <f>IF($B3113="","",TEXT($B3113,"0000"))</f>
        <v/>
      </c>
      <c r="W3113" s="19">
        <f>IF($I3113="","",IF(ISNUMBER($I3113),TEXT($I3113,"0"),$I3113))</f>
        <v/>
      </c>
    </row>
    <row r="3114">
      <c r="B3114" s="25" t="n"/>
      <c r="I3114" s="25" t="n"/>
      <c r="U3114" s="19">
        <f>IF($V3114&lt;&gt;'設定'!$C$4,N(U3113),IF(OR(NOT(COUNTIF('商品マスタ'!$B$6:$B$1005,$W3114)=0),COUNTIFS('①在庫を貼る'!$V$6:$V$10005,$V3114,'①在庫を貼る'!$W$6:$W$10005,$W3114)+COUNTIFS('月1回_1ヶ月前の在庫'!$V$6:$V$10005,$V3114,'月1回_1ヶ月前の在庫'!$W$6:$W$10005,$W3114)&gt;0),N(U3113),N(U3113)+1))</f>
        <v/>
      </c>
      <c r="V3114" s="19">
        <f>IF($B3114="","",TEXT($B3114,"0000"))</f>
        <v/>
      </c>
      <c r="W3114" s="19">
        <f>IF($I3114="","",IF(ISNUMBER($I3114),TEXT($I3114,"0"),$I3114))</f>
        <v/>
      </c>
    </row>
    <row r="3115">
      <c r="B3115" s="25" t="n"/>
      <c r="I3115" s="25" t="n"/>
      <c r="U3115" s="19">
        <f>IF($V3115&lt;&gt;'設定'!$C$4,N(U3114),IF(OR(NOT(COUNTIF('商品マスタ'!$B$6:$B$1005,$W3115)=0),COUNTIFS('①在庫を貼る'!$V$6:$V$10005,$V3115,'①在庫を貼る'!$W$6:$W$10005,$W3115)+COUNTIFS('月1回_1ヶ月前の在庫'!$V$6:$V$10005,$V3115,'月1回_1ヶ月前の在庫'!$W$6:$W$10005,$W3115)&gt;0),N(U3114),N(U3114)+1))</f>
        <v/>
      </c>
      <c r="V3115" s="19">
        <f>IF($B3115="","",TEXT($B3115,"0000"))</f>
        <v/>
      </c>
      <c r="W3115" s="19">
        <f>IF($I3115="","",IF(ISNUMBER($I3115),TEXT($I3115,"0"),$I3115))</f>
        <v/>
      </c>
    </row>
    <row r="3116">
      <c r="B3116" s="25" t="n"/>
      <c r="I3116" s="25" t="n"/>
      <c r="U3116" s="19">
        <f>IF($V3116&lt;&gt;'設定'!$C$4,N(U3115),IF(OR(NOT(COUNTIF('商品マスタ'!$B$6:$B$1005,$W3116)=0),COUNTIFS('①在庫を貼る'!$V$6:$V$10005,$V3116,'①在庫を貼る'!$W$6:$W$10005,$W3116)+COUNTIFS('月1回_1ヶ月前の在庫'!$V$6:$V$10005,$V3116,'月1回_1ヶ月前の在庫'!$W$6:$W$10005,$W3116)&gt;0),N(U3115),N(U3115)+1))</f>
        <v/>
      </c>
      <c r="V3116" s="19">
        <f>IF($B3116="","",TEXT($B3116,"0000"))</f>
        <v/>
      </c>
      <c r="W3116" s="19">
        <f>IF($I3116="","",IF(ISNUMBER($I3116),TEXT($I3116,"0"),$I3116))</f>
        <v/>
      </c>
    </row>
    <row r="3117">
      <c r="B3117" s="25" t="n"/>
      <c r="I3117" s="25" t="n"/>
      <c r="U3117" s="19">
        <f>IF($V3117&lt;&gt;'設定'!$C$4,N(U3116),IF(OR(NOT(COUNTIF('商品マスタ'!$B$6:$B$1005,$W3117)=0),COUNTIFS('①在庫を貼る'!$V$6:$V$10005,$V3117,'①在庫を貼る'!$W$6:$W$10005,$W3117)+COUNTIFS('月1回_1ヶ月前の在庫'!$V$6:$V$10005,$V3117,'月1回_1ヶ月前の在庫'!$W$6:$W$10005,$W3117)&gt;0),N(U3116),N(U3116)+1))</f>
        <v/>
      </c>
      <c r="V3117" s="19">
        <f>IF($B3117="","",TEXT($B3117,"0000"))</f>
        <v/>
      </c>
      <c r="W3117" s="19">
        <f>IF($I3117="","",IF(ISNUMBER($I3117),TEXT($I3117,"0"),$I3117))</f>
        <v/>
      </c>
    </row>
    <row r="3118">
      <c r="B3118" s="25" t="n"/>
      <c r="I3118" s="25" t="n"/>
      <c r="U3118" s="19">
        <f>IF($V3118&lt;&gt;'設定'!$C$4,N(U3117),IF(OR(NOT(COUNTIF('商品マスタ'!$B$6:$B$1005,$W3118)=0),COUNTIFS('①在庫を貼る'!$V$6:$V$10005,$V3118,'①在庫を貼る'!$W$6:$W$10005,$W3118)+COUNTIFS('月1回_1ヶ月前の在庫'!$V$6:$V$10005,$V3118,'月1回_1ヶ月前の在庫'!$W$6:$W$10005,$W3118)&gt;0),N(U3117),N(U3117)+1))</f>
        <v/>
      </c>
      <c r="V3118" s="19">
        <f>IF($B3118="","",TEXT($B3118,"0000"))</f>
        <v/>
      </c>
      <c r="W3118" s="19">
        <f>IF($I3118="","",IF(ISNUMBER($I3118),TEXT($I3118,"0"),$I3118))</f>
        <v/>
      </c>
    </row>
    <row r="3119">
      <c r="B3119" s="25" t="n"/>
      <c r="I3119" s="25" t="n"/>
      <c r="U3119" s="19">
        <f>IF($V3119&lt;&gt;'設定'!$C$4,N(U3118),IF(OR(NOT(COUNTIF('商品マスタ'!$B$6:$B$1005,$W3119)=0),COUNTIFS('①在庫を貼る'!$V$6:$V$10005,$V3119,'①在庫を貼る'!$W$6:$W$10005,$W3119)+COUNTIFS('月1回_1ヶ月前の在庫'!$V$6:$V$10005,$V3119,'月1回_1ヶ月前の在庫'!$W$6:$W$10005,$W3119)&gt;0),N(U3118),N(U3118)+1))</f>
        <v/>
      </c>
      <c r="V3119" s="19">
        <f>IF($B3119="","",TEXT($B3119,"0000"))</f>
        <v/>
      </c>
      <c r="W3119" s="19">
        <f>IF($I3119="","",IF(ISNUMBER($I3119),TEXT($I3119,"0"),$I3119))</f>
        <v/>
      </c>
    </row>
    <row r="3120">
      <c r="B3120" s="25" t="n"/>
      <c r="I3120" s="25" t="n"/>
      <c r="U3120" s="19">
        <f>IF($V3120&lt;&gt;'設定'!$C$4,N(U3119),IF(OR(NOT(COUNTIF('商品マスタ'!$B$6:$B$1005,$W3120)=0),COUNTIFS('①在庫を貼る'!$V$6:$V$10005,$V3120,'①在庫を貼る'!$W$6:$W$10005,$W3120)+COUNTIFS('月1回_1ヶ月前の在庫'!$V$6:$V$10005,$V3120,'月1回_1ヶ月前の在庫'!$W$6:$W$10005,$W3120)&gt;0),N(U3119),N(U3119)+1))</f>
        <v/>
      </c>
      <c r="V3120" s="19">
        <f>IF($B3120="","",TEXT($B3120,"0000"))</f>
        <v/>
      </c>
      <c r="W3120" s="19">
        <f>IF($I3120="","",IF(ISNUMBER($I3120),TEXT($I3120,"0"),$I3120))</f>
        <v/>
      </c>
    </row>
    <row r="3121">
      <c r="B3121" s="25" t="n"/>
      <c r="I3121" s="25" t="n"/>
      <c r="U3121" s="19">
        <f>IF($V3121&lt;&gt;'設定'!$C$4,N(U3120),IF(OR(NOT(COUNTIF('商品マスタ'!$B$6:$B$1005,$W3121)=0),COUNTIFS('①在庫を貼る'!$V$6:$V$10005,$V3121,'①在庫を貼る'!$W$6:$W$10005,$W3121)+COUNTIFS('月1回_1ヶ月前の在庫'!$V$6:$V$10005,$V3121,'月1回_1ヶ月前の在庫'!$W$6:$W$10005,$W3121)&gt;0),N(U3120),N(U3120)+1))</f>
        <v/>
      </c>
      <c r="V3121" s="19">
        <f>IF($B3121="","",TEXT($B3121,"0000"))</f>
        <v/>
      </c>
      <c r="W3121" s="19">
        <f>IF($I3121="","",IF(ISNUMBER($I3121),TEXT($I3121,"0"),$I3121))</f>
        <v/>
      </c>
    </row>
    <row r="3122">
      <c r="B3122" s="25" t="n"/>
      <c r="I3122" s="25" t="n"/>
      <c r="U3122" s="19">
        <f>IF($V3122&lt;&gt;'設定'!$C$4,N(U3121),IF(OR(NOT(COUNTIF('商品マスタ'!$B$6:$B$1005,$W3122)=0),COUNTIFS('①在庫を貼る'!$V$6:$V$10005,$V3122,'①在庫を貼る'!$W$6:$W$10005,$W3122)+COUNTIFS('月1回_1ヶ月前の在庫'!$V$6:$V$10005,$V3122,'月1回_1ヶ月前の在庫'!$W$6:$W$10005,$W3122)&gt;0),N(U3121),N(U3121)+1))</f>
        <v/>
      </c>
      <c r="V3122" s="19">
        <f>IF($B3122="","",TEXT($B3122,"0000"))</f>
        <v/>
      </c>
      <c r="W3122" s="19">
        <f>IF($I3122="","",IF(ISNUMBER($I3122),TEXT($I3122,"0"),$I3122))</f>
        <v/>
      </c>
    </row>
    <row r="3123">
      <c r="B3123" s="25" t="n"/>
      <c r="I3123" s="25" t="n"/>
      <c r="U3123" s="19">
        <f>IF($V3123&lt;&gt;'設定'!$C$4,N(U3122),IF(OR(NOT(COUNTIF('商品マスタ'!$B$6:$B$1005,$W3123)=0),COUNTIFS('①在庫を貼る'!$V$6:$V$10005,$V3123,'①在庫を貼る'!$W$6:$W$10005,$W3123)+COUNTIFS('月1回_1ヶ月前の在庫'!$V$6:$V$10005,$V3123,'月1回_1ヶ月前の在庫'!$W$6:$W$10005,$W3123)&gt;0),N(U3122),N(U3122)+1))</f>
        <v/>
      </c>
      <c r="V3123" s="19">
        <f>IF($B3123="","",TEXT($B3123,"0000"))</f>
        <v/>
      </c>
      <c r="W3123" s="19">
        <f>IF($I3123="","",IF(ISNUMBER($I3123),TEXT($I3123,"0"),$I3123))</f>
        <v/>
      </c>
    </row>
    <row r="3124">
      <c r="B3124" s="25" t="n"/>
      <c r="I3124" s="25" t="n"/>
      <c r="U3124" s="19">
        <f>IF($V3124&lt;&gt;'設定'!$C$4,N(U3123),IF(OR(NOT(COUNTIF('商品マスタ'!$B$6:$B$1005,$W3124)=0),COUNTIFS('①在庫を貼る'!$V$6:$V$10005,$V3124,'①在庫を貼る'!$W$6:$W$10005,$W3124)+COUNTIFS('月1回_1ヶ月前の在庫'!$V$6:$V$10005,$V3124,'月1回_1ヶ月前の在庫'!$W$6:$W$10005,$W3124)&gt;0),N(U3123),N(U3123)+1))</f>
        <v/>
      </c>
      <c r="V3124" s="19">
        <f>IF($B3124="","",TEXT($B3124,"0000"))</f>
        <v/>
      </c>
      <c r="W3124" s="19">
        <f>IF($I3124="","",IF(ISNUMBER($I3124),TEXT($I3124,"0"),$I3124))</f>
        <v/>
      </c>
    </row>
    <row r="3125">
      <c r="B3125" s="25" t="n"/>
      <c r="I3125" s="25" t="n"/>
      <c r="U3125" s="19">
        <f>IF($V3125&lt;&gt;'設定'!$C$4,N(U3124),IF(OR(NOT(COUNTIF('商品マスタ'!$B$6:$B$1005,$W3125)=0),COUNTIFS('①在庫を貼る'!$V$6:$V$10005,$V3125,'①在庫を貼る'!$W$6:$W$10005,$W3125)+COUNTIFS('月1回_1ヶ月前の在庫'!$V$6:$V$10005,$V3125,'月1回_1ヶ月前の在庫'!$W$6:$W$10005,$W3125)&gt;0),N(U3124),N(U3124)+1))</f>
        <v/>
      </c>
      <c r="V3125" s="19">
        <f>IF($B3125="","",TEXT($B3125,"0000"))</f>
        <v/>
      </c>
      <c r="W3125" s="19">
        <f>IF($I3125="","",IF(ISNUMBER($I3125),TEXT($I3125,"0"),$I3125))</f>
        <v/>
      </c>
    </row>
    <row r="3126">
      <c r="B3126" s="25" t="n"/>
      <c r="I3126" s="25" t="n"/>
      <c r="U3126" s="19">
        <f>IF($V3126&lt;&gt;'設定'!$C$4,N(U3125),IF(OR(NOT(COUNTIF('商品マスタ'!$B$6:$B$1005,$W3126)=0),COUNTIFS('①在庫を貼る'!$V$6:$V$10005,$V3126,'①在庫を貼る'!$W$6:$W$10005,$W3126)+COUNTIFS('月1回_1ヶ月前の在庫'!$V$6:$V$10005,$V3126,'月1回_1ヶ月前の在庫'!$W$6:$W$10005,$W3126)&gt;0),N(U3125),N(U3125)+1))</f>
        <v/>
      </c>
      <c r="V3126" s="19">
        <f>IF($B3126="","",TEXT($B3126,"0000"))</f>
        <v/>
      </c>
      <c r="W3126" s="19">
        <f>IF($I3126="","",IF(ISNUMBER($I3126),TEXT($I3126,"0"),$I3126))</f>
        <v/>
      </c>
    </row>
    <row r="3127">
      <c r="B3127" s="25" t="n"/>
      <c r="I3127" s="25" t="n"/>
      <c r="U3127" s="19">
        <f>IF($V3127&lt;&gt;'設定'!$C$4,N(U3126),IF(OR(NOT(COUNTIF('商品マスタ'!$B$6:$B$1005,$W3127)=0),COUNTIFS('①在庫を貼る'!$V$6:$V$10005,$V3127,'①在庫を貼る'!$W$6:$W$10005,$W3127)+COUNTIFS('月1回_1ヶ月前の在庫'!$V$6:$V$10005,$V3127,'月1回_1ヶ月前の在庫'!$W$6:$W$10005,$W3127)&gt;0),N(U3126),N(U3126)+1))</f>
        <v/>
      </c>
      <c r="V3127" s="19">
        <f>IF($B3127="","",TEXT($B3127,"0000"))</f>
        <v/>
      </c>
      <c r="W3127" s="19">
        <f>IF($I3127="","",IF(ISNUMBER($I3127),TEXT($I3127,"0"),$I3127))</f>
        <v/>
      </c>
    </row>
    <row r="3128">
      <c r="B3128" s="25" t="n"/>
      <c r="I3128" s="25" t="n"/>
      <c r="U3128" s="19">
        <f>IF($V3128&lt;&gt;'設定'!$C$4,N(U3127),IF(OR(NOT(COUNTIF('商品マスタ'!$B$6:$B$1005,$W3128)=0),COUNTIFS('①在庫を貼る'!$V$6:$V$10005,$V3128,'①在庫を貼る'!$W$6:$W$10005,$W3128)+COUNTIFS('月1回_1ヶ月前の在庫'!$V$6:$V$10005,$V3128,'月1回_1ヶ月前の在庫'!$W$6:$W$10005,$W3128)&gt;0),N(U3127),N(U3127)+1))</f>
        <v/>
      </c>
      <c r="V3128" s="19">
        <f>IF($B3128="","",TEXT($B3128,"0000"))</f>
        <v/>
      </c>
      <c r="W3128" s="19">
        <f>IF($I3128="","",IF(ISNUMBER($I3128),TEXT($I3128,"0"),$I3128))</f>
        <v/>
      </c>
    </row>
    <row r="3129">
      <c r="B3129" s="25" t="n"/>
      <c r="I3129" s="25" t="n"/>
      <c r="U3129" s="19">
        <f>IF($V3129&lt;&gt;'設定'!$C$4,N(U3128),IF(OR(NOT(COUNTIF('商品マスタ'!$B$6:$B$1005,$W3129)=0),COUNTIFS('①在庫を貼る'!$V$6:$V$10005,$V3129,'①在庫を貼る'!$W$6:$W$10005,$W3129)+COUNTIFS('月1回_1ヶ月前の在庫'!$V$6:$V$10005,$V3129,'月1回_1ヶ月前の在庫'!$W$6:$W$10005,$W3129)&gt;0),N(U3128),N(U3128)+1))</f>
        <v/>
      </c>
      <c r="V3129" s="19">
        <f>IF($B3129="","",TEXT($B3129,"0000"))</f>
        <v/>
      </c>
      <c r="W3129" s="19">
        <f>IF($I3129="","",IF(ISNUMBER($I3129),TEXT($I3129,"0"),$I3129))</f>
        <v/>
      </c>
    </row>
    <row r="3130">
      <c r="B3130" s="25" t="n"/>
      <c r="I3130" s="25" t="n"/>
      <c r="U3130" s="19">
        <f>IF($V3130&lt;&gt;'設定'!$C$4,N(U3129),IF(OR(NOT(COUNTIF('商品マスタ'!$B$6:$B$1005,$W3130)=0),COUNTIFS('①在庫を貼る'!$V$6:$V$10005,$V3130,'①在庫を貼る'!$W$6:$W$10005,$W3130)+COUNTIFS('月1回_1ヶ月前の在庫'!$V$6:$V$10005,$V3130,'月1回_1ヶ月前の在庫'!$W$6:$W$10005,$W3130)&gt;0),N(U3129),N(U3129)+1))</f>
        <v/>
      </c>
      <c r="V3130" s="19">
        <f>IF($B3130="","",TEXT($B3130,"0000"))</f>
        <v/>
      </c>
      <c r="W3130" s="19">
        <f>IF($I3130="","",IF(ISNUMBER($I3130),TEXT($I3130,"0"),$I3130))</f>
        <v/>
      </c>
    </row>
    <row r="3131">
      <c r="B3131" s="25" t="n"/>
      <c r="I3131" s="25" t="n"/>
      <c r="U3131" s="19">
        <f>IF($V3131&lt;&gt;'設定'!$C$4,N(U3130),IF(OR(NOT(COUNTIF('商品マスタ'!$B$6:$B$1005,$W3131)=0),COUNTIFS('①在庫を貼る'!$V$6:$V$10005,$V3131,'①在庫を貼る'!$W$6:$W$10005,$W3131)+COUNTIFS('月1回_1ヶ月前の在庫'!$V$6:$V$10005,$V3131,'月1回_1ヶ月前の在庫'!$W$6:$W$10005,$W3131)&gt;0),N(U3130),N(U3130)+1))</f>
        <v/>
      </c>
      <c r="V3131" s="19">
        <f>IF($B3131="","",TEXT($B3131,"0000"))</f>
        <v/>
      </c>
      <c r="W3131" s="19">
        <f>IF($I3131="","",IF(ISNUMBER($I3131),TEXT($I3131,"0"),$I3131))</f>
        <v/>
      </c>
    </row>
    <row r="3132">
      <c r="B3132" s="25" t="n"/>
      <c r="I3132" s="25" t="n"/>
      <c r="U3132" s="19">
        <f>IF($V3132&lt;&gt;'設定'!$C$4,N(U3131),IF(OR(NOT(COUNTIF('商品マスタ'!$B$6:$B$1005,$W3132)=0),COUNTIFS('①在庫を貼る'!$V$6:$V$10005,$V3132,'①在庫を貼る'!$W$6:$W$10005,$W3132)+COUNTIFS('月1回_1ヶ月前の在庫'!$V$6:$V$10005,$V3132,'月1回_1ヶ月前の在庫'!$W$6:$W$10005,$W3132)&gt;0),N(U3131),N(U3131)+1))</f>
        <v/>
      </c>
      <c r="V3132" s="19">
        <f>IF($B3132="","",TEXT($B3132,"0000"))</f>
        <v/>
      </c>
      <c r="W3132" s="19">
        <f>IF($I3132="","",IF(ISNUMBER($I3132),TEXT($I3132,"0"),$I3132))</f>
        <v/>
      </c>
    </row>
    <row r="3133">
      <c r="B3133" s="25" t="n"/>
      <c r="I3133" s="25" t="n"/>
      <c r="U3133" s="19">
        <f>IF($V3133&lt;&gt;'設定'!$C$4,N(U3132),IF(OR(NOT(COUNTIF('商品マスタ'!$B$6:$B$1005,$W3133)=0),COUNTIFS('①在庫を貼る'!$V$6:$V$10005,$V3133,'①在庫を貼る'!$W$6:$W$10005,$W3133)+COUNTIFS('月1回_1ヶ月前の在庫'!$V$6:$V$10005,$V3133,'月1回_1ヶ月前の在庫'!$W$6:$W$10005,$W3133)&gt;0),N(U3132),N(U3132)+1))</f>
        <v/>
      </c>
      <c r="V3133" s="19">
        <f>IF($B3133="","",TEXT($B3133,"0000"))</f>
        <v/>
      </c>
      <c r="W3133" s="19">
        <f>IF($I3133="","",IF(ISNUMBER($I3133),TEXT($I3133,"0"),$I3133))</f>
        <v/>
      </c>
    </row>
    <row r="3134">
      <c r="B3134" s="25" t="n"/>
      <c r="I3134" s="25" t="n"/>
      <c r="U3134" s="19">
        <f>IF($V3134&lt;&gt;'設定'!$C$4,N(U3133),IF(OR(NOT(COUNTIF('商品マスタ'!$B$6:$B$1005,$W3134)=0),COUNTIFS('①在庫を貼る'!$V$6:$V$10005,$V3134,'①在庫を貼る'!$W$6:$W$10005,$W3134)+COUNTIFS('月1回_1ヶ月前の在庫'!$V$6:$V$10005,$V3134,'月1回_1ヶ月前の在庫'!$W$6:$W$10005,$W3134)&gt;0),N(U3133),N(U3133)+1))</f>
        <v/>
      </c>
      <c r="V3134" s="19">
        <f>IF($B3134="","",TEXT($B3134,"0000"))</f>
        <v/>
      </c>
      <c r="W3134" s="19">
        <f>IF($I3134="","",IF(ISNUMBER($I3134),TEXT($I3134,"0"),$I3134))</f>
        <v/>
      </c>
    </row>
    <row r="3135">
      <c r="B3135" s="25" t="n"/>
      <c r="I3135" s="25" t="n"/>
      <c r="U3135" s="19">
        <f>IF($V3135&lt;&gt;'設定'!$C$4,N(U3134),IF(OR(NOT(COUNTIF('商品マスタ'!$B$6:$B$1005,$W3135)=0),COUNTIFS('①在庫を貼る'!$V$6:$V$10005,$V3135,'①在庫を貼る'!$W$6:$W$10005,$W3135)+COUNTIFS('月1回_1ヶ月前の在庫'!$V$6:$V$10005,$V3135,'月1回_1ヶ月前の在庫'!$W$6:$W$10005,$W3135)&gt;0),N(U3134),N(U3134)+1))</f>
        <v/>
      </c>
      <c r="V3135" s="19">
        <f>IF($B3135="","",TEXT($B3135,"0000"))</f>
        <v/>
      </c>
      <c r="W3135" s="19">
        <f>IF($I3135="","",IF(ISNUMBER($I3135),TEXT($I3135,"0"),$I3135))</f>
        <v/>
      </c>
    </row>
    <row r="3136">
      <c r="B3136" s="25" t="n"/>
      <c r="I3136" s="25" t="n"/>
      <c r="U3136" s="19">
        <f>IF($V3136&lt;&gt;'設定'!$C$4,N(U3135),IF(OR(NOT(COUNTIF('商品マスタ'!$B$6:$B$1005,$W3136)=0),COUNTIFS('①在庫を貼る'!$V$6:$V$10005,$V3136,'①在庫を貼る'!$W$6:$W$10005,$W3136)+COUNTIFS('月1回_1ヶ月前の在庫'!$V$6:$V$10005,$V3136,'月1回_1ヶ月前の在庫'!$W$6:$W$10005,$W3136)&gt;0),N(U3135),N(U3135)+1))</f>
        <v/>
      </c>
      <c r="V3136" s="19">
        <f>IF($B3136="","",TEXT($B3136,"0000"))</f>
        <v/>
      </c>
      <c r="W3136" s="19">
        <f>IF($I3136="","",IF(ISNUMBER($I3136),TEXT($I3136,"0"),$I3136))</f>
        <v/>
      </c>
    </row>
    <row r="3137">
      <c r="B3137" s="25" t="n"/>
      <c r="I3137" s="25" t="n"/>
      <c r="U3137" s="19">
        <f>IF($V3137&lt;&gt;'設定'!$C$4,N(U3136),IF(OR(NOT(COUNTIF('商品マスタ'!$B$6:$B$1005,$W3137)=0),COUNTIFS('①在庫を貼る'!$V$6:$V$10005,$V3137,'①在庫を貼る'!$W$6:$W$10005,$W3137)+COUNTIFS('月1回_1ヶ月前の在庫'!$V$6:$V$10005,$V3137,'月1回_1ヶ月前の在庫'!$W$6:$W$10005,$W3137)&gt;0),N(U3136),N(U3136)+1))</f>
        <v/>
      </c>
      <c r="V3137" s="19">
        <f>IF($B3137="","",TEXT($B3137,"0000"))</f>
        <v/>
      </c>
      <c r="W3137" s="19">
        <f>IF($I3137="","",IF(ISNUMBER($I3137),TEXT($I3137,"0"),$I3137))</f>
        <v/>
      </c>
    </row>
    <row r="3138">
      <c r="B3138" s="25" t="n"/>
      <c r="I3138" s="25" t="n"/>
      <c r="U3138" s="19">
        <f>IF($V3138&lt;&gt;'設定'!$C$4,N(U3137),IF(OR(NOT(COUNTIF('商品マスタ'!$B$6:$B$1005,$W3138)=0),COUNTIFS('①在庫を貼る'!$V$6:$V$10005,$V3138,'①在庫を貼る'!$W$6:$W$10005,$W3138)+COUNTIFS('月1回_1ヶ月前の在庫'!$V$6:$V$10005,$V3138,'月1回_1ヶ月前の在庫'!$W$6:$W$10005,$W3138)&gt;0),N(U3137),N(U3137)+1))</f>
        <v/>
      </c>
      <c r="V3138" s="19">
        <f>IF($B3138="","",TEXT($B3138,"0000"))</f>
        <v/>
      </c>
      <c r="W3138" s="19">
        <f>IF($I3138="","",IF(ISNUMBER($I3138),TEXT($I3138,"0"),$I3138))</f>
        <v/>
      </c>
    </row>
    <row r="3139">
      <c r="B3139" s="25" t="n"/>
      <c r="I3139" s="25" t="n"/>
      <c r="U3139" s="19">
        <f>IF($V3139&lt;&gt;'設定'!$C$4,N(U3138),IF(OR(NOT(COUNTIF('商品マスタ'!$B$6:$B$1005,$W3139)=0),COUNTIFS('①在庫を貼る'!$V$6:$V$10005,$V3139,'①在庫を貼る'!$W$6:$W$10005,$W3139)+COUNTIFS('月1回_1ヶ月前の在庫'!$V$6:$V$10005,$V3139,'月1回_1ヶ月前の在庫'!$W$6:$W$10005,$W3139)&gt;0),N(U3138),N(U3138)+1))</f>
        <v/>
      </c>
      <c r="V3139" s="19">
        <f>IF($B3139="","",TEXT($B3139,"0000"))</f>
        <v/>
      </c>
      <c r="W3139" s="19">
        <f>IF($I3139="","",IF(ISNUMBER($I3139),TEXT($I3139,"0"),$I3139))</f>
        <v/>
      </c>
    </row>
    <row r="3140">
      <c r="B3140" s="25" t="n"/>
      <c r="I3140" s="25" t="n"/>
      <c r="U3140" s="19">
        <f>IF($V3140&lt;&gt;'設定'!$C$4,N(U3139),IF(OR(NOT(COUNTIF('商品マスタ'!$B$6:$B$1005,$W3140)=0),COUNTIFS('①在庫を貼る'!$V$6:$V$10005,$V3140,'①在庫を貼る'!$W$6:$W$10005,$W3140)+COUNTIFS('月1回_1ヶ月前の在庫'!$V$6:$V$10005,$V3140,'月1回_1ヶ月前の在庫'!$W$6:$W$10005,$W3140)&gt;0),N(U3139),N(U3139)+1))</f>
        <v/>
      </c>
      <c r="V3140" s="19">
        <f>IF($B3140="","",TEXT($B3140,"0000"))</f>
        <v/>
      </c>
      <c r="W3140" s="19">
        <f>IF($I3140="","",IF(ISNUMBER($I3140),TEXT($I3140,"0"),$I3140))</f>
        <v/>
      </c>
    </row>
    <row r="3141">
      <c r="B3141" s="25" t="n"/>
      <c r="I3141" s="25" t="n"/>
      <c r="U3141" s="19">
        <f>IF($V3141&lt;&gt;'設定'!$C$4,N(U3140),IF(OR(NOT(COUNTIF('商品マスタ'!$B$6:$B$1005,$W3141)=0),COUNTIFS('①在庫を貼る'!$V$6:$V$10005,$V3141,'①在庫を貼る'!$W$6:$W$10005,$W3141)+COUNTIFS('月1回_1ヶ月前の在庫'!$V$6:$V$10005,$V3141,'月1回_1ヶ月前の在庫'!$W$6:$W$10005,$W3141)&gt;0),N(U3140),N(U3140)+1))</f>
        <v/>
      </c>
      <c r="V3141" s="19">
        <f>IF($B3141="","",TEXT($B3141,"0000"))</f>
        <v/>
      </c>
      <c r="W3141" s="19">
        <f>IF($I3141="","",IF(ISNUMBER($I3141),TEXT($I3141,"0"),$I3141))</f>
        <v/>
      </c>
    </row>
    <row r="3142">
      <c r="B3142" s="25" t="n"/>
      <c r="I3142" s="25" t="n"/>
      <c r="U3142" s="19">
        <f>IF($V3142&lt;&gt;'設定'!$C$4,N(U3141),IF(OR(NOT(COUNTIF('商品マスタ'!$B$6:$B$1005,$W3142)=0),COUNTIFS('①在庫を貼る'!$V$6:$V$10005,$V3142,'①在庫を貼る'!$W$6:$W$10005,$W3142)+COUNTIFS('月1回_1ヶ月前の在庫'!$V$6:$V$10005,$V3142,'月1回_1ヶ月前の在庫'!$W$6:$W$10005,$W3142)&gt;0),N(U3141),N(U3141)+1))</f>
        <v/>
      </c>
      <c r="V3142" s="19">
        <f>IF($B3142="","",TEXT($B3142,"0000"))</f>
        <v/>
      </c>
      <c r="W3142" s="19">
        <f>IF($I3142="","",IF(ISNUMBER($I3142),TEXT($I3142,"0"),$I3142))</f>
        <v/>
      </c>
    </row>
    <row r="3143">
      <c r="B3143" s="25" t="n"/>
      <c r="I3143" s="25" t="n"/>
      <c r="U3143" s="19">
        <f>IF($V3143&lt;&gt;'設定'!$C$4,N(U3142),IF(OR(NOT(COUNTIF('商品マスタ'!$B$6:$B$1005,$W3143)=0),COUNTIFS('①在庫を貼る'!$V$6:$V$10005,$V3143,'①在庫を貼る'!$W$6:$W$10005,$W3143)+COUNTIFS('月1回_1ヶ月前の在庫'!$V$6:$V$10005,$V3143,'月1回_1ヶ月前の在庫'!$W$6:$W$10005,$W3143)&gt;0),N(U3142),N(U3142)+1))</f>
        <v/>
      </c>
      <c r="V3143" s="19">
        <f>IF($B3143="","",TEXT($B3143,"0000"))</f>
        <v/>
      </c>
      <c r="W3143" s="19">
        <f>IF($I3143="","",IF(ISNUMBER($I3143),TEXT($I3143,"0"),$I3143))</f>
        <v/>
      </c>
    </row>
    <row r="3144">
      <c r="B3144" s="25" t="n"/>
      <c r="I3144" s="25" t="n"/>
      <c r="U3144" s="19">
        <f>IF($V3144&lt;&gt;'設定'!$C$4,N(U3143),IF(OR(NOT(COUNTIF('商品マスタ'!$B$6:$B$1005,$W3144)=0),COUNTIFS('①在庫を貼る'!$V$6:$V$10005,$V3144,'①在庫を貼る'!$W$6:$W$10005,$W3144)+COUNTIFS('月1回_1ヶ月前の在庫'!$V$6:$V$10005,$V3144,'月1回_1ヶ月前の在庫'!$W$6:$W$10005,$W3144)&gt;0),N(U3143),N(U3143)+1))</f>
        <v/>
      </c>
      <c r="V3144" s="19">
        <f>IF($B3144="","",TEXT($B3144,"0000"))</f>
        <v/>
      </c>
      <c r="W3144" s="19">
        <f>IF($I3144="","",IF(ISNUMBER($I3144),TEXT($I3144,"0"),$I3144))</f>
        <v/>
      </c>
    </row>
    <row r="3145">
      <c r="B3145" s="25" t="n"/>
      <c r="I3145" s="25" t="n"/>
      <c r="U3145" s="19">
        <f>IF($V3145&lt;&gt;'設定'!$C$4,N(U3144),IF(OR(NOT(COUNTIF('商品マスタ'!$B$6:$B$1005,$W3145)=0),COUNTIFS('①在庫を貼る'!$V$6:$V$10005,$V3145,'①在庫を貼る'!$W$6:$W$10005,$W3145)+COUNTIFS('月1回_1ヶ月前の在庫'!$V$6:$V$10005,$V3145,'月1回_1ヶ月前の在庫'!$W$6:$W$10005,$W3145)&gt;0),N(U3144),N(U3144)+1))</f>
        <v/>
      </c>
      <c r="V3145" s="19">
        <f>IF($B3145="","",TEXT($B3145,"0000"))</f>
        <v/>
      </c>
      <c r="W3145" s="19">
        <f>IF($I3145="","",IF(ISNUMBER($I3145),TEXT($I3145,"0"),$I3145))</f>
        <v/>
      </c>
    </row>
    <row r="3146">
      <c r="B3146" s="25" t="n"/>
      <c r="I3146" s="25" t="n"/>
      <c r="U3146" s="19">
        <f>IF($V3146&lt;&gt;'設定'!$C$4,N(U3145),IF(OR(NOT(COUNTIF('商品マスタ'!$B$6:$B$1005,$W3146)=0),COUNTIFS('①在庫を貼る'!$V$6:$V$10005,$V3146,'①在庫を貼る'!$W$6:$W$10005,$W3146)+COUNTIFS('月1回_1ヶ月前の在庫'!$V$6:$V$10005,$V3146,'月1回_1ヶ月前の在庫'!$W$6:$W$10005,$W3146)&gt;0),N(U3145),N(U3145)+1))</f>
        <v/>
      </c>
      <c r="V3146" s="19">
        <f>IF($B3146="","",TEXT($B3146,"0000"))</f>
        <v/>
      </c>
      <c r="W3146" s="19">
        <f>IF($I3146="","",IF(ISNUMBER($I3146),TEXT($I3146,"0"),$I3146))</f>
        <v/>
      </c>
    </row>
    <row r="3147">
      <c r="B3147" s="25" t="n"/>
      <c r="I3147" s="25" t="n"/>
      <c r="U3147" s="19">
        <f>IF($V3147&lt;&gt;'設定'!$C$4,N(U3146),IF(OR(NOT(COUNTIF('商品マスタ'!$B$6:$B$1005,$W3147)=0),COUNTIFS('①在庫を貼る'!$V$6:$V$10005,$V3147,'①在庫を貼る'!$W$6:$W$10005,$W3147)+COUNTIFS('月1回_1ヶ月前の在庫'!$V$6:$V$10005,$V3147,'月1回_1ヶ月前の在庫'!$W$6:$W$10005,$W3147)&gt;0),N(U3146),N(U3146)+1))</f>
        <v/>
      </c>
      <c r="V3147" s="19">
        <f>IF($B3147="","",TEXT($B3147,"0000"))</f>
        <v/>
      </c>
      <c r="W3147" s="19">
        <f>IF($I3147="","",IF(ISNUMBER($I3147),TEXT($I3147,"0"),$I3147))</f>
        <v/>
      </c>
    </row>
    <row r="3148">
      <c r="B3148" s="25" t="n"/>
      <c r="I3148" s="25" t="n"/>
      <c r="U3148" s="19">
        <f>IF($V3148&lt;&gt;'設定'!$C$4,N(U3147),IF(OR(NOT(COUNTIF('商品マスタ'!$B$6:$B$1005,$W3148)=0),COUNTIFS('①在庫を貼る'!$V$6:$V$10005,$V3148,'①在庫を貼る'!$W$6:$W$10005,$W3148)+COUNTIFS('月1回_1ヶ月前の在庫'!$V$6:$V$10005,$V3148,'月1回_1ヶ月前の在庫'!$W$6:$W$10005,$W3148)&gt;0),N(U3147),N(U3147)+1))</f>
        <v/>
      </c>
      <c r="V3148" s="19">
        <f>IF($B3148="","",TEXT($B3148,"0000"))</f>
        <v/>
      </c>
      <c r="W3148" s="19">
        <f>IF($I3148="","",IF(ISNUMBER($I3148),TEXT($I3148,"0"),$I3148))</f>
        <v/>
      </c>
    </row>
    <row r="3149">
      <c r="B3149" s="25" t="n"/>
      <c r="I3149" s="25" t="n"/>
      <c r="U3149" s="19">
        <f>IF($V3149&lt;&gt;'設定'!$C$4,N(U3148),IF(OR(NOT(COUNTIF('商品マスタ'!$B$6:$B$1005,$W3149)=0),COUNTIFS('①在庫を貼る'!$V$6:$V$10005,$V3149,'①在庫を貼る'!$W$6:$W$10005,$W3149)+COUNTIFS('月1回_1ヶ月前の在庫'!$V$6:$V$10005,$V3149,'月1回_1ヶ月前の在庫'!$W$6:$W$10005,$W3149)&gt;0),N(U3148),N(U3148)+1))</f>
        <v/>
      </c>
      <c r="V3149" s="19">
        <f>IF($B3149="","",TEXT($B3149,"0000"))</f>
        <v/>
      </c>
      <c r="W3149" s="19">
        <f>IF($I3149="","",IF(ISNUMBER($I3149),TEXT($I3149,"0"),$I3149))</f>
        <v/>
      </c>
    </row>
    <row r="3150">
      <c r="B3150" s="25" t="n"/>
      <c r="I3150" s="25" t="n"/>
      <c r="U3150" s="19">
        <f>IF($V3150&lt;&gt;'設定'!$C$4,N(U3149),IF(OR(NOT(COUNTIF('商品マスタ'!$B$6:$B$1005,$W3150)=0),COUNTIFS('①在庫を貼る'!$V$6:$V$10005,$V3150,'①在庫を貼る'!$W$6:$W$10005,$W3150)+COUNTIFS('月1回_1ヶ月前の在庫'!$V$6:$V$10005,$V3150,'月1回_1ヶ月前の在庫'!$W$6:$W$10005,$W3150)&gt;0),N(U3149),N(U3149)+1))</f>
        <v/>
      </c>
      <c r="V3150" s="19">
        <f>IF($B3150="","",TEXT($B3150,"0000"))</f>
        <v/>
      </c>
      <c r="W3150" s="19">
        <f>IF($I3150="","",IF(ISNUMBER($I3150),TEXT($I3150,"0"),$I3150))</f>
        <v/>
      </c>
    </row>
    <row r="3151">
      <c r="B3151" s="25" t="n"/>
      <c r="I3151" s="25" t="n"/>
      <c r="U3151" s="19">
        <f>IF($V3151&lt;&gt;'設定'!$C$4,N(U3150),IF(OR(NOT(COUNTIF('商品マスタ'!$B$6:$B$1005,$W3151)=0),COUNTIFS('①在庫を貼る'!$V$6:$V$10005,$V3151,'①在庫を貼る'!$W$6:$W$10005,$W3151)+COUNTIFS('月1回_1ヶ月前の在庫'!$V$6:$V$10005,$V3151,'月1回_1ヶ月前の在庫'!$W$6:$W$10005,$W3151)&gt;0),N(U3150),N(U3150)+1))</f>
        <v/>
      </c>
      <c r="V3151" s="19">
        <f>IF($B3151="","",TEXT($B3151,"0000"))</f>
        <v/>
      </c>
      <c r="W3151" s="19">
        <f>IF($I3151="","",IF(ISNUMBER($I3151),TEXT($I3151,"0"),$I3151))</f>
        <v/>
      </c>
    </row>
    <row r="3152">
      <c r="B3152" s="25" t="n"/>
      <c r="I3152" s="25" t="n"/>
      <c r="U3152" s="19">
        <f>IF($V3152&lt;&gt;'設定'!$C$4,N(U3151),IF(OR(NOT(COUNTIF('商品マスタ'!$B$6:$B$1005,$W3152)=0),COUNTIFS('①在庫を貼る'!$V$6:$V$10005,$V3152,'①在庫を貼る'!$W$6:$W$10005,$W3152)+COUNTIFS('月1回_1ヶ月前の在庫'!$V$6:$V$10005,$V3152,'月1回_1ヶ月前の在庫'!$W$6:$W$10005,$W3152)&gt;0),N(U3151),N(U3151)+1))</f>
        <v/>
      </c>
      <c r="V3152" s="19">
        <f>IF($B3152="","",TEXT($B3152,"0000"))</f>
        <v/>
      </c>
      <c r="W3152" s="19">
        <f>IF($I3152="","",IF(ISNUMBER($I3152),TEXT($I3152,"0"),$I3152))</f>
        <v/>
      </c>
    </row>
    <row r="3153">
      <c r="B3153" s="25" t="n"/>
      <c r="I3153" s="25" t="n"/>
      <c r="U3153" s="19">
        <f>IF($V3153&lt;&gt;'設定'!$C$4,N(U3152),IF(OR(NOT(COUNTIF('商品マスタ'!$B$6:$B$1005,$W3153)=0),COUNTIFS('①在庫を貼る'!$V$6:$V$10005,$V3153,'①在庫を貼る'!$W$6:$W$10005,$W3153)+COUNTIFS('月1回_1ヶ月前の在庫'!$V$6:$V$10005,$V3153,'月1回_1ヶ月前の在庫'!$W$6:$W$10005,$W3153)&gt;0),N(U3152),N(U3152)+1))</f>
        <v/>
      </c>
      <c r="V3153" s="19">
        <f>IF($B3153="","",TEXT($B3153,"0000"))</f>
        <v/>
      </c>
      <c r="W3153" s="19">
        <f>IF($I3153="","",IF(ISNUMBER($I3153),TEXT($I3153,"0"),$I3153))</f>
        <v/>
      </c>
    </row>
    <row r="3154">
      <c r="B3154" s="25" t="n"/>
      <c r="I3154" s="25" t="n"/>
      <c r="U3154" s="19">
        <f>IF($V3154&lt;&gt;'設定'!$C$4,N(U3153),IF(OR(NOT(COUNTIF('商品マスタ'!$B$6:$B$1005,$W3154)=0),COUNTIFS('①在庫を貼る'!$V$6:$V$10005,$V3154,'①在庫を貼る'!$W$6:$W$10005,$W3154)+COUNTIFS('月1回_1ヶ月前の在庫'!$V$6:$V$10005,$V3154,'月1回_1ヶ月前の在庫'!$W$6:$W$10005,$W3154)&gt;0),N(U3153),N(U3153)+1))</f>
        <v/>
      </c>
      <c r="V3154" s="19">
        <f>IF($B3154="","",TEXT($B3154,"0000"))</f>
        <v/>
      </c>
      <c r="W3154" s="19">
        <f>IF($I3154="","",IF(ISNUMBER($I3154),TEXT($I3154,"0"),$I3154))</f>
        <v/>
      </c>
    </row>
    <row r="3155">
      <c r="B3155" s="25" t="n"/>
      <c r="I3155" s="25" t="n"/>
      <c r="U3155" s="19">
        <f>IF($V3155&lt;&gt;'設定'!$C$4,N(U3154),IF(OR(NOT(COUNTIF('商品マスタ'!$B$6:$B$1005,$W3155)=0),COUNTIFS('①在庫を貼る'!$V$6:$V$10005,$V3155,'①在庫を貼る'!$W$6:$W$10005,$W3155)+COUNTIFS('月1回_1ヶ月前の在庫'!$V$6:$V$10005,$V3155,'月1回_1ヶ月前の在庫'!$W$6:$W$10005,$W3155)&gt;0),N(U3154),N(U3154)+1))</f>
        <v/>
      </c>
      <c r="V3155" s="19">
        <f>IF($B3155="","",TEXT($B3155,"0000"))</f>
        <v/>
      </c>
      <c r="W3155" s="19">
        <f>IF($I3155="","",IF(ISNUMBER($I3155),TEXT($I3155,"0"),$I3155))</f>
        <v/>
      </c>
    </row>
    <row r="3156">
      <c r="B3156" s="25" t="n"/>
      <c r="I3156" s="25" t="n"/>
      <c r="U3156" s="19">
        <f>IF($V3156&lt;&gt;'設定'!$C$4,N(U3155),IF(OR(NOT(COUNTIF('商品マスタ'!$B$6:$B$1005,$W3156)=0),COUNTIFS('①在庫を貼る'!$V$6:$V$10005,$V3156,'①在庫を貼る'!$W$6:$W$10005,$W3156)+COUNTIFS('月1回_1ヶ月前の在庫'!$V$6:$V$10005,$V3156,'月1回_1ヶ月前の在庫'!$W$6:$W$10005,$W3156)&gt;0),N(U3155),N(U3155)+1))</f>
        <v/>
      </c>
      <c r="V3156" s="19">
        <f>IF($B3156="","",TEXT($B3156,"0000"))</f>
        <v/>
      </c>
      <c r="W3156" s="19">
        <f>IF($I3156="","",IF(ISNUMBER($I3156),TEXT($I3156,"0"),$I3156))</f>
        <v/>
      </c>
    </row>
    <row r="3157">
      <c r="B3157" s="25" t="n"/>
      <c r="I3157" s="25" t="n"/>
      <c r="U3157" s="19">
        <f>IF($V3157&lt;&gt;'設定'!$C$4,N(U3156),IF(OR(NOT(COUNTIF('商品マスタ'!$B$6:$B$1005,$W3157)=0),COUNTIFS('①在庫を貼る'!$V$6:$V$10005,$V3157,'①在庫を貼る'!$W$6:$W$10005,$W3157)+COUNTIFS('月1回_1ヶ月前の在庫'!$V$6:$V$10005,$V3157,'月1回_1ヶ月前の在庫'!$W$6:$W$10005,$W3157)&gt;0),N(U3156),N(U3156)+1))</f>
        <v/>
      </c>
      <c r="V3157" s="19">
        <f>IF($B3157="","",TEXT($B3157,"0000"))</f>
        <v/>
      </c>
      <c r="W3157" s="19">
        <f>IF($I3157="","",IF(ISNUMBER($I3157),TEXT($I3157,"0"),$I3157))</f>
        <v/>
      </c>
    </row>
    <row r="3158">
      <c r="B3158" s="25" t="n"/>
      <c r="I3158" s="25" t="n"/>
      <c r="U3158" s="19">
        <f>IF($V3158&lt;&gt;'設定'!$C$4,N(U3157),IF(OR(NOT(COUNTIF('商品マスタ'!$B$6:$B$1005,$W3158)=0),COUNTIFS('①在庫を貼る'!$V$6:$V$10005,$V3158,'①在庫を貼る'!$W$6:$W$10005,$W3158)+COUNTIFS('月1回_1ヶ月前の在庫'!$V$6:$V$10005,$V3158,'月1回_1ヶ月前の在庫'!$W$6:$W$10005,$W3158)&gt;0),N(U3157),N(U3157)+1))</f>
        <v/>
      </c>
      <c r="V3158" s="19">
        <f>IF($B3158="","",TEXT($B3158,"0000"))</f>
        <v/>
      </c>
      <c r="W3158" s="19">
        <f>IF($I3158="","",IF(ISNUMBER($I3158),TEXT($I3158,"0"),$I3158))</f>
        <v/>
      </c>
    </row>
    <row r="3159">
      <c r="B3159" s="25" t="n"/>
      <c r="I3159" s="25" t="n"/>
      <c r="U3159" s="19">
        <f>IF($V3159&lt;&gt;'設定'!$C$4,N(U3158),IF(OR(NOT(COUNTIF('商品マスタ'!$B$6:$B$1005,$W3159)=0),COUNTIFS('①在庫を貼る'!$V$6:$V$10005,$V3159,'①在庫を貼る'!$W$6:$W$10005,$W3159)+COUNTIFS('月1回_1ヶ月前の在庫'!$V$6:$V$10005,$V3159,'月1回_1ヶ月前の在庫'!$W$6:$W$10005,$W3159)&gt;0),N(U3158),N(U3158)+1))</f>
        <v/>
      </c>
      <c r="V3159" s="19">
        <f>IF($B3159="","",TEXT($B3159,"0000"))</f>
        <v/>
      </c>
      <c r="W3159" s="19">
        <f>IF($I3159="","",IF(ISNUMBER($I3159),TEXT($I3159,"0"),$I3159))</f>
        <v/>
      </c>
    </row>
    <row r="3160">
      <c r="B3160" s="25" t="n"/>
      <c r="I3160" s="25" t="n"/>
      <c r="U3160" s="19">
        <f>IF($V3160&lt;&gt;'設定'!$C$4,N(U3159),IF(OR(NOT(COUNTIF('商品マスタ'!$B$6:$B$1005,$W3160)=0),COUNTIFS('①在庫を貼る'!$V$6:$V$10005,$V3160,'①在庫を貼る'!$W$6:$W$10005,$W3160)+COUNTIFS('月1回_1ヶ月前の在庫'!$V$6:$V$10005,$V3160,'月1回_1ヶ月前の在庫'!$W$6:$W$10005,$W3160)&gt;0),N(U3159),N(U3159)+1))</f>
        <v/>
      </c>
      <c r="V3160" s="19">
        <f>IF($B3160="","",TEXT($B3160,"0000"))</f>
        <v/>
      </c>
      <c r="W3160" s="19">
        <f>IF($I3160="","",IF(ISNUMBER($I3160),TEXT($I3160,"0"),$I3160))</f>
        <v/>
      </c>
    </row>
    <row r="3161">
      <c r="B3161" s="25" t="n"/>
      <c r="I3161" s="25" t="n"/>
      <c r="U3161" s="19">
        <f>IF($V3161&lt;&gt;'設定'!$C$4,N(U3160),IF(OR(NOT(COUNTIF('商品マスタ'!$B$6:$B$1005,$W3161)=0),COUNTIFS('①在庫を貼る'!$V$6:$V$10005,$V3161,'①在庫を貼る'!$W$6:$W$10005,$W3161)+COUNTIFS('月1回_1ヶ月前の在庫'!$V$6:$V$10005,$V3161,'月1回_1ヶ月前の在庫'!$W$6:$W$10005,$W3161)&gt;0),N(U3160),N(U3160)+1))</f>
        <v/>
      </c>
      <c r="V3161" s="19">
        <f>IF($B3161="","",TEXT($B3161,"0000"))</f>
        <v/>
      </c>
      <c r="W3161" s="19">
        <f>IF($I3161="","",IF(ISNUMBER($I3161),TEXT($I3161,"0"),$I3161))</f>
        <v/>
      </c>
    </row>
    <row r="3162">
      <c r="B3162" s="25" t="n"/>
      <c r="I3162" s="25" t="n"/>
      <c r="U3162" s="19">
        <f>IF($V3162&lt;&gt;'設定'!$C$4,N(U3161),IF(OR(NOT(COUNTIF('商品マスタ'!$B$6:$B$1005,$W3162)=0),COUNTIFS('①在庫を貼る'!$V$6:$V$10005,$V3162,'①在庫を貼る'!$W$6:$W$10005,$W3162)+COUNTIFS('月1回_1ヶ月前の在庫'!$V$6:$V$10005,$V3162,'月1回_1ヶ月前の在庫'!$W$6:$W$10005,$W3162)&gt;0),N(U3161),N(U3161)+1))</f>
        <v/>
      </c>
      <c r="V3162" s="19">
        <f>IF($B3162="","",TEXT($B3162,"0000"))</f>
        <v/>
      </c>
      <c r="W3162" s="19">
        <f>IF($I3162="","",IF(ISNUMBER($I3162),TEXT($I3162,"0"),$I3162))</f>
        <v/>
      </c>
    </row>
    <row r="3163">
      <c r="B3163" s="25" t="n"/>
      <c r="I3163" s="25" t="n"/>
      <c r="U3163" s="19">
        <f>IF($V3163&lt;&gt;'設定'!$C$4,N(U3162),IF(OR(NOT(COUNTIF('商品マスタ'!$B$6:$B$1005,$W3163)=0),COUNTIFS('①在庫を貼る'!$V$6:$V$10005,$V3163,'①在庫を貼る'!$W$6:$W$10005,$W3163)+COUNTIFS('月1回_1ヶ月前の在庫'!$V$6:$V$10005,$V3163,'月1回_1ヶ月前の在庫'!$W$6:$W$10005,$W3163)&gt;0),N(U3162),N(U3162)+1))</f>
        <v/>
      </c>
      <c r="V3163" s="19">
        <f>IF($B3163="","",TEXT($B3163,"0000"))</f>
        <v/>
      </c>
      <c r="W3163" s="19">
        <f>IF($I3163="","",IF(ISNUMBER($I3163),TEXT($I3163,"0"),$I3163))</f>
        <v/>
      </c>
    </row>
    <row r="3164">
      <c r="B3164" s="25" t="n"/>
      <c r="I3164" s="25" t="n"/>
      <c r="U3164" s="19">
        <f>IF($V3164&lt;&gt;'設定'!$C$4,N(U3163),IF(OR(NOT(COUNTIF('商品マスタ'!$B$6:$B$1005,$W3164)=0),COUNTIFS('①在庫を貼る'!$V$6:$V$10005,$V3164,'①在庫を貼る'!$W$6:$W$10005,$W3164)+COUNTIFS('月1回_1ヶ月前の在庫'!$V$6:$V$10005,$V3164,'月1回_1ヶ月前の在庫'!$W$6:$W$10005,$W3164)&gt;0),N(U3163),N(U3163)+1))</f>
        <v/>
      </c>
      <c r="V3164" s="19">
        <f>IF($B3164="","",TEXT($B3164,"0000"))</f>
        <v/>
      </c>
      <c r="W3164" s="19">
        <f>IF($I3164="","",IF(ISNUMBER($I3164),TEXT($I3164,"0"),$I3164))</f>
        <v/>
      </c>
    </row>
    <row r="3165">
      <c r="B3165" s="25" t="n"/>
      <c r="I3165" s="25" t="n"/>
      <c r="U3165" s="19">
        <f>IF($V3165&lt;&gt;'設定'!$C$4,N(U3164),IF(OR(NOT(COUNTIF('商品マスタ'!$B$6:$B$1005,$W3165)=0),COUNTIFS('①在庫を貼る'!$V$6:$V$10005,$V3165,'①在庫を貼る'!$W$6:$W$10005,$W3165)+COUNTIFS('月1回_1ヶ月前の在庫'!$V$6:$V$10005,$V3165,'月1回_1ヶ月前の在庫'!$W$6:$W$10005,$W3165)&gt;0),N(U3164),N(U3164)+1))</f>
        <v/>
      </c>
      <c r="V3165" s="19">
        <f>IF($B3165="","",TEXT($B3165,"0000"))</f>
        <v/>
      </c>
      <c r="W3165" s="19">
        <f>IF($I3165="","",IF(ISNUMBER($I3165),TEXT($I3165,"0"),$I3165))</f>
        <v/>
      </c>
    </row>
    <row r="3166">
      <c r="B3166" s="25" t="n"/>
      <c r="I3166" s="25" t="n"/>
      <c r="U3166" s="19">
        <f>IF($V3166&lt;&gt;'設定'!$C$4,N(U3165),IF(OR(NOT(COUNTIF('商品マスタ'!$B$6:$B$1005,$W3166)=0),COUNTIFS('①在庫を貼る'!$V$6:$V$10005,$V3166,'①在庫を貼る'!$W$6:$W$10005,$W3166)+COUNTIFS('月1回_1ヶ月前の在庫'!$V$6:$V$10005,$V3166,'月1回_1ヶ月前の在庫'!$W$6:$W$10005,$W3166)&gt;0),N(U3165),N(U3165)+1))</f>
        <v/>
      </c>
      <c r="V3166" s="19">
        <f>IF($B3166="","",TEXT($B3166,"0000"))</f>
        <v/>
      </c>
      <c r="W3166" s="19">
        <f>IF($I3166="","",IF(ISNUMBER($I3166),TEXT($I3166,"0"),$I3166))</f>
        <v/>
      </c>
    </row>
    <row r="3167">
      <c r="B3167" s="25" t="n"/>
      <c r="I3167" s="25" t="n"/>
      <c r="U3167" s="19">
        <f>IF($V3167&lt;&gt;'設定'!$C$4,N(U3166),IF(OR(NOT(COUNTIF('商品マスタ'!$B$6:$B$1005,$W3167)=0),COUNTIFS('①在庫を貼る'!$V$6:$V$10005,$V3167,'①在庫を貼る'!$W$6:$W$10005,$W3167)+COUNTIFS('月1回_1ヶ月前の在庫'!$V$6:$V$10005,$V3167,'月1回_1ヶ月前の在庫'!$W$6:$W$10005,$W3167)&gt;0),N(U3166),N(U3166)+1))</f>
        <v/>
      </c>
      <c r="V3167" s="19">
        <f>IF($B3167="","",TEXT($B3167,"0000"))</f>
        <v/>
      </c>
      <c r="W3167" s="19">
        <f>IF($I3167="","",IF(ISNUMBER($I3167),TEXT($I3167,"0"),$I3167))</f>
        <v/>
      </c>
    </row>
    <row r="3168">
      <c r="B3168" s="25" t="n"/>
      <c r="I3168" s="25" t="n"/>
      <c r="U3168" s="19">
        <f>IF($V3168&lt;&gt;'設定'!$C$4,N(U3167),IF(OR(NOT(COUNTIF('商品マスタ'!$B$6:$B$1005,$W3168)=0),COUNTIFS('①在庫を貼る'!$V$6:$V$10005,$V3168,'①在庫を貼る'!$W$6:$W$10005,$W3168)+COUNTIFS('月1回_1ヶ月前の在庫'!$V$6:$V$10005,$V3168,'月1回_1ヶ月前の在庫'!$W$6:$W$10005,$W3168)&gt;0),N(U3167),N(U3167)+1))</f>
        <v/>
      </c>
      <c r="V3168" s="19">
        <f>IF($B3168="","",TEXT($B3168,"0000"))</f>
        <v/>
      </c>
      <c r="W3168" s="19">
        <f>IF($I3168="","",IF(ISNUMBER($I3168),TEXT($I3168,"0"),$I3168))</f>
        <v/>
      </c>
    </row>
    <row r="3169">
      <c r="B3169" s="25" t="n"/>
      <c r="I3169" s="25" t="n"/>
      <c r="U3169" s="19">
        <f>IF($V3169&lt;&gt;'設定'!$C$4,N(U3168),IF(OR(NOT(COUNTIF('商品マスタ'!$B$6:$B$1005,$W3169)=0),COUNTIFS('①在庫を貼る'!$V$6:$V$10005,$V3169,'①在庫を貼る'!$W$6:$W$10005,$W3169)+COUNTIFS('月1回_1ヶ月前の在庫'!$V$6:$V$10005,$V3169,'月1回_1ヶ月前の在庫'!$W$6:$W$10005,$W3169)&gt;0),N(U3168),N(U3168)+1))</f>
        <v/>
      </c>
      <c r="V3169" s="19">
        <f>IF($B3169="","",TEXT($B3169,"0000"))</f>
        <v/>
      </c>
      <c r="W3169" s="19">
        <f>IF($I3169="","",IF(ISNUMBER($I3169),TEXT($I3169,"0"),$I3169))</f>
        <v/>
      </c>
    </row>
    <row r="3170">
      <c r="B3170" s="25" t="n"/>
      <c r="I3170" s="25" t="n"/>
      <c r="U3170" s="19">
        <f>IF($V3170&lt;&gt;'設定'!$C$4,N(U3169),IF(OR(NOT(COUNTIF('商品マスタ'!$B$6:$B$1005,$W3170)=0),COUNTIFS('①在庫を貼る'!$V$6:$V$10005,$V3170,'①在庫を貼る'!$W$6:$W$10005,$W3170)+COUNTIFS('月1回_1ヶ月前の在庫'!$V$6:$V$10005,$V3170,'月1回_1ヶ月前の在庫'!$W$6:$W$10005,$W3170)&gt;0),N(U3169),N(U3169)+1))</f>
        <v/>
      </c>
      <c r="V3170" s="19">
        <f>IF($B3170="","",TEXT($B3170,"0000"))</f>
        <v/>
      </c>
      <c r="W3170" s="19">
        <f>IF($I3170="","",IF(ISNUMBER($I3170),TEXT($I3170,"0"),$I3170))</f>
        <v/>
      </c>
    </row>
    <row r="3171">
      <c r="B3171" s="25" t="n"/>
      <c r="I3171" s="25" t="n"/>
      <c r="U3171" s="19">
        <f>IF($V3171&lt;&gt;'設定'!$C$4,N(U3170),IF(OR(NOT(COUNTIF('商品マスタ'!$B$6:$B$1005,$W3171)=0),COUNTIFS('①在庫を貼る'!$V$6:$V$10005,$V3171,'①在庫を貼る'!$W$6:$W$10005,$W3171)+COUNTIFS('月1回_1ヶ月前の在庫'!$V$6:$V$10005,$V3171,'月1回_1ヶ月前の在庫'!$W$6:$W$10005,$W3171)&gt;0),N(U3170),N(U3170)+1))</f>
        <v/>
      </c>
      <c r="V3171" s="19">
        <f>IF($B3171="","",TEXT($B3171,"0000"))</f>
        <v/>
      </c>
      <c r="W3171" s="19">
        <f>IF($I3171="","",IF(ISNUMBER($I3171),TEXT($I3171,"0"),$I3171))</f>
        <v/>
      </c>
    </row>
    <row r="3172">
      <c r="B3172" s="25" t="n"/>
      <c r="I3172" s="25" t="n"/>
      <c r="U3172" s="19">
        <f>IF($V3172&lt;&gt;'設定'!$C$4,N(U3171),IF(OR(NOT(COUNTIF('商品マスタ'!$B$6:$B$1005,$W3172)=0),COUNTIFS('①在庫を貼る'!$V$6:$V$10005,$V3172,'①在庫を貼る'!$W$6:$W$10005,$W3172)+COUNTIFS('月1回_1ヶ月前の在庫'!$V$6:$V$10005,$V3172,'月1回_1ヶ月前の在庫'!$W$6:$W$10005,$W3172)&gt;0),N(U3171),N(U3171)+1))</f>
        <v/>
      </c>
      <c r="V3172" s="19">
        <f>IF($B3172="","",TEXT($B3172,"0000"))</f>
        <v/>
      </c>
      <c r="W3172" s="19">
        <f>IF($I3172="","",IF(ISNUMBER($I3172),TEXT($I3172,"0"),$I3172))</f>
        <v/>
      </c>
    </row>
    <row r="3173">
      <c r="B3173" s="25" t="n"/>
      <c r="I3173" s="25" t="n"/>
      <c r="U3173" s="19">
        <f>IF($V3173&lt;&gt;'設定'!$C$4,N(U3172),IF(OR(NOT(COUNTIF('商品マスタ'!$B$6:$B$1005,$W3173)=0),COUNTIFS('①在庫を貼る'!$V$6:$V$10005,$V3173,'①在庫を貼る'!$W$6:$W$10005,$W3173)+COUNTIFS('月1回_1ヶ月前の在庫'!$V$6:$V$10005,$V3173,'月1回_1ヶ月前の在庫'!$W$6:$W$10005,$W3173)&gt;0),N(U3172),N(U3172)+1))</f>
        <v/>
      </c>
      <c r="V3173" s="19">
        <f>IF($B3173="","",TEXT($B3173,"0000"))</f>
        <v/>
      </c>
      <c r="W3173" s="19">
        <f>IF($I3173="","",IF(ISNUMBER($I3173),TEXT($I3173,"0"),$I3173))</f>
        <v/>
      </c>
    </row>
    <row r="3174">
      <c r="B3174" s="25" t="n"/>
      <c r="I3174" s="25" t="n"/>
      <c r="U3174" s="19">
        <f>IF($V3174&lt;&gt;'設定'!$C$4,N(U3173),IF(OR(NOT(COUNTIF('商品マスタ'!$B$6:$B$1005,$W3174)=0),COUNTIFS('①在庫を貼る'!$V$6:$V$10005,$V3174,'①在庫を貼る'!$W$6:$W$10005,$W3174)+COUNTIFS('月1回_1ヶ月前の在庫'!$V$6:$V$10005,$V3174,'月1回_1ヶ月前の在庫'!$W$6:$W$10005,$W3174)&gt;0),N(U3173),N(U3173)+1))</f>
        <v/>
      </c>
      <c r="V3174" s="19">
        <f>IF($B3174="","",TEXT($B3174,"0000"))</f>
        <v/>
      </c>
      <c r="W3174" s="19">
        <f>IF($I3174="","",IF(ISNUMBER($I3174),TEXT($I3174,"0"),$I3174))</f>
        <v/>
      </c>
    </row>
    <row r="3175">
      <c r="B3175" s="25" t="n"/>
      <c r="I3175" s="25" t="n"/>
      <c r="U3175" s="19">
        <f>IF($V3175&lt;&gt;'設定'!$C$4,N(U3174),IF(OR(NOT(COUNTIF('商品マスタ'!$B$6:$B$1005,$W3175)=0),COUNTIFS('①在庫を貼る'!$V$6:$V$10005,$V3175,'①在庫を貼る'!$W$6:$W$10005,$W3175)+COUNTIFS('月1回_1ヶ月前の在庫'!$V$6:$V$10005,$V3175,'月1回_1ヶ月前の在庫'!$W$6:$W$10005,$W3175)&gt;0),N(U3174),N(U3174)+1))</f>
        <v/>
      </c>
      <c r="V3175" s="19">
        <f>IF($B3175="","",TEXT($B3175,"0000"))</f>
        <v/>
      </c>
      <c r="W3175" s="19">
        <f>IF($I3175="","",IF(ISNUMBER($I3175),TEXT($I3175,"0"),$I3175))</f>
        <v/>
      </c>
    </row>
    <row r="3176">
      <c r="B3176" s="25" t="n"/>
      <c r="I3176" s="25" t="n"/>
      <c r="U3176" s="19">
        <f>IF($V3176&lt;&gt;'設定'!$C$4,N(U3175),IF(OR(NOT(COUNTIF('商品マスタ'!$B$6:$B$1005,$W3176)=0),COUNTIFS('①在庫を貼る'!$V$6:$V$10005,$V3176,'①在庫を貼る'!$W$6:$W$10005,$W3176)+COUNTIFS('月1回_1ヶ月前の在庫'!$V$6:$V$10005,$V3176,'月1回_1ヶ月前の在庫'!$W$6:$W$10005,$W3176)&gt;0),N(U3175),N(U3175)+1))</f>
        <v/>
      </c>
      <c r="V3176" s="19">
        <f>IF($B3176="","",TEXT($B3176,"0000"))</f>
        <v/>
      </c>
      <c r="W3176" s="19">
        <f>IF($I3176="","",IF(ISNUMBER($I3176),TEXT($I3176,"0"),$I3176))</f>
        <v/>
      </c>
    </row>
    <row r="3177">
      <c r="B3177" s="25" t="n"/>
      <c r="I3177" s="25" t="n"/>
      <c r="U3177" s="19">
        <f>IF($V3177&lt;&gt;'設定'!$C$4,N(U3176),IF(OR(NOT(COUNTIF('商品マスタ'!$B$6:$B$1005,$W3177)=0),COUNTIFS('①在庫を貼る'!$V$6:$V$10005,$V3177,'①在庫を貼る'!$W$6:$W$10005,$W3177)+COUNTIFS('月1回_1ヶ月前の在庫'!$V$6:$V$10005,$V3177,'月1回_1ヶ月前の在庫'!$W$6:$W$10005,$W3177)&gt;0),N(U3176),N(U3176)+1))</f>
        <v/>
      </c>
      <c r="V3177" s="19">
        <f>IF($B3177="","",TEXT($B3177,"0000"))</f>
        <v/>
      </c>
      <c r="W3177" s="19">
        <f>IF($I3177="","",IF(ISNUMBER($I3177),TEXT($I3177,"0"),$I3177))</f>
        <v/>
      </c>
    </row>
    <row r="3178">
      <c r="B3178" s="25" t="n"/>
      <c r="I3178" s="25" t="n"/>
      <c r="U3178" s="19">
        <f>IF($V3178&lt;&gt;'設定'!$C$4,N(U3177),IF(OR(NOT(COUNTIF('商品マスタ'!$B$6:$B$1005,$W3178)=0),COUNTIFS('①在庫を貼る'!$V$6:$V$10005,$V3178,'①在庫を貼る'!$W$6:$W$10005,$W3178)+COUNTIFS('月1回_1ヶ月前の在庫'!$V$6:$V$10005,$V3178,'月1回_1ヶ月前の在庫'!$W$6:$W$10005,$W3178)&gt;0),N(U3177),N(U3177)+1))</f>
        <v/>
      </c>
      <c r="V3178" s="19">
        <f>IF($B3178="","",TEXT($B3178,"0000"))</f>
        <v/>
      </c>
      <c r="W3178" s="19">
        <f>IF($I3178="","",IF(ISNUMBER($I3178),TEXT($I3178,"0"),$I3178))</f>
        <v/>
      </c>
    </row>
    <row r="3179">
      <c r="B3179" s="25" t="n"/>
      <c r="I3179" s="25" t="n"/>
      <c r="U3179" s="19">
        <f>IF($V3179&lt;&gt;'設定'!$C$4,N(U3178),IF(OR(NOT(COUNTIF('商品マスタ'!$B$6:$B$1005,$W3179)=0),COUNTIFS('①在庫を貼る'!$V$6:$V$10005,$V3179,'①在庫を貼る'!$W$6:$W$10005,$W3179)+COUNTIFS('月1回_1ヶ月前の在庫'!$V$6:$V$10005,$V3179,'月1回_1ヶ月前の在庫'!$W$6:$W$10005,$W3179)&gt;0),N(U3178),N(U3178)+1))</f>
        <v/>
      </c>
      <c r="V3179" s="19">
        <f>IF($B3179="","",TEXT($B3179,"0000"))</f>
        <v/>
      </c>
      <c r="W3179" s="19">
        <f>IF($I3179="","",IF(ISNUMBER($I3179),TEXT($I3179,"0"),$I3179))</f>
        <v/>
      </c>
    </row>
    <row r="3180">
      <c r="B3180" s="25" t="n"/>
      <c r="I3180" s="25" t="n"/>
      <c r="U3180" s="19">
        <f>IF($V3180&lt;&gt;'設定'!$C$4,N(U3179),IF(OR(NOT(COUNTIF('商品マスタ'!$B$6:$B$1005,$W3180)=0),COUNTIFS('①在庫を貼る'!$V$6:$V$10005,$V3180,'①在庫を貼る'!$W$6:$W$10005,$W3180)+COUNTIFS('月1回_1ヶ月前の在庫'!$V$6:$V$10005,$V3180,'月1回_1ヶ月前の在庫'!$W$6:$W$10005,$W3180)&gt;0),N(U3179),N(U3179)+1))</f>
        <v/>
      </c>
      <c r="V3180" s="19">
        <f>IF($B3180="","",TEXT($B3180,"0000"))</f>
        <v/>
      </c>
      <c r="W3180" s="19">
        <f>IF($I3180="","",IF(ISNUMBER($I3180),TEXT($I3180,"0"),$I3180))</f>
        <v/>
      </c>
    </row>
    <row r="3181">
      <c r="B3181" s="25" t="n"/>
      <c r="I3181" s="25" t="n"/>
      <c r="U3181" s="19">
        <f>IF($V3181&lt;&gt;'設定'!$C$4,N(U3180),IF(OR(NOT(COUNTIF('商品マスタ'!$B$6:$B$1005,$W3181)=0),COUNTIFS('①在庫を貼る'!$V$6:$V$10005,$V3181,'①在庫を貼る'!$W$6:$W$10005,$W3181)+COUNTIFS('月1回_1ヶ月前の在庫'!$V$6:$V$10005,$V3181,'月1回_1ヶ月前の在庫'!$W$6:$W$10005,$W3181)&gt;0),N(U3180),N(U3180)+1))</f>
        <v/>
      </c>
      <c r="V3181" s="19">
        <f>IF($B3181="","",TEXT($B3181,"0000"))</f>
        <v/>
      </c>
      <c r="W3181" s="19">
        <f>IF($I3181="","",IF(ISNUMBER($I3181),TEXT($I3181,"0"),$I3181))</f>
        <v/>
      </c>
    </row>
    <row r="3182">
      <c r="B3182" s="25" t="n"/>
      <c r="I3182" s="25" t="n"/>
      <c r="U3182" s="19">
        <f>IF($V3182&lt;&gt;'設定'!$C$4,N(U3181),IF(OR(NOT(COUNTIF('商品マスタ'!$B$6:$B$1005,$W3182)=0),COUNTIFS('①在庫を貼る'!$V$6:$V$10005,$V3182,'①在庫を貼る'!$W$6:$W$10005,$W3182)+COUNTIFS('月1回_1ヶ月前の在庫'!$V$6:$V$10005,$V3182,'月1回_1ヶ月前の在庫'!$W$6:$W$10005,$W3182)&gt;0),N(U3181),N(U3181)+1))</f>
        <v/>
      </c>
      <c r="V3182" s="19">
        <f>IF($B3182="","",TEXT($B3182,"0000"))</f>
        <v/>
      </c>
      <c r="W3182" s="19">
        <f>IF($I3182="","",IF(ISNUMBER($I3182),TEXT($I3182,"0"),$I3182))</f>
        <v/>
      </c>
    </row>
    <row r="3183">
      <c r="B3183" s="25" t="n"/>
      <c r="I3183" s="25" t="n"/>
      <c r="U3183" s="19">
        <f>IF($V3183&lt;&gt;'設定'!$C$4,N(U3182),IF(OR(NOT(COUNTIF('商品マスタ'!$B$6:$B$1005,$W3183)=0),COUNTIFS('①在庫を貼る'!$V$6:$V$10005,$V3183,'①在庫を貼る'!$W$6:$W$10005,$W3183)+COUNTIFS('月1回_1ヶ月前の在庫'!$V$6:$V$10005,$V3183,'月1回_1ヶ月前の在庫'!$W$6:$W$10005,$W3183)&gt;0),N(U3182),N(U3182)+1))</f>
        <v/>
      </c>
      <c r="V3183" s="19">
        <f>IF($B3183="","",TEXT($B3183,"0000"))</f>
        <v/>
      </c>
      <c r="W3183" s="19">
        <f>IF($I3183="","",IF(ISNUMBER($I3183),TEXT($I3183,"0"),$I3183))</f>
        <v/>
      </c>
    </row>
    <row r="3184">
      <c r="B3184" s="25" t="n"/>
      <c r="I3184" s="25" t="n"/>
      <c r="U3184" s="19">
        <f>IF($V3184&lt;&gt;'設定'!$C$4,N(U3183),IF(OR(NOT(COUNTIF('商品マスタ'!$B$6:$B$1005,$W3184)=0),COUNTIFS('①在庫を貼る'!$V$6:$V$10005,$V3184,'①在庫を貼る'!$W$6:$W$10005,$W3184)+COUNTIFS('月1回_1ヶ月前の在庫'!$V$6:$V$10005,$V3184,'月1回_1ヶ月前の在庫'!$W$6:$W$10005,$W3184)&gt;0),N(U3183),N(U3183)+1))</f>
        <v/>
      </c>
      <c r="V3184" s="19">
        <f>IF($B3184="","",TEXT($B3184,"0000"))</f>
        <v/>
      </c>
      <c r="W3184" s="19">
        <f>IF($I3184="","",IF(ISNUMBER($I3184),TEXT($I3184,"0"),$I3184))</f>
        <v/>
      </c>
    </row>
    <row r="3185">
      <c r="B3185" s="25" t="n"/>
      <c r="I3185" s="25" t="n"/>
      <c r="U3185" s="19">
        <f>IF($V3185&lt;&gt;'設定'!$C$4,N(U3184),IF(OR(NOT(COUNTIF('商品マスタ'!$B$6:$B$1005,$W3185)=0),COUNTIFS('①在庫を貼る'!$V$6:$V$10005,$V3185,'①在庫を貼る'!$W$6:$W$10005,$W3185)+COUNTIFS('月1回_1ヶ月前の在庫'!$V$6:$V$10005,$V3185,'月1回_1ヶ月前の在庫'!$W$6:$W$10005,$W3185)&gt;0),N(U3184),N(U3184)+1))</f>
        <v/>
      </c>
      <c r="V3185" s="19">
        <f>IF($B3185="","",TEXT($B3185,"0000"))</f>
        <v/>
      </c>
      <c r="W3185" s="19">
        <f>IF($I3185="","",IF(ISNUMBER($I3185),TEXT($I3185,"0"),$I3185))</f>
        <v/>
      </c>
    </row>
    <row r="3186">
      <c r="B3186" s="25" t="n"/>
      <c r="I3186" s="25" t="n"/>
      <c r="U3186" s="19">
        <f>IF($V3186&lt;&gt;'設定'!$C$4,N(U3185),IF(OR(NOT(COUNTIF('商品マスタ'!$B$6:$B$1005,$W3186)=0),COUNTIFS('①在庫を貼る'!$V$6:$V$10005,$V3186,'①在庫を貼る'!$W$6:$W$10005,$W3186)+COUNTIFS('月1回_1ヶ月前の在庫'!$V$6:$V$10005,$V3186,'月1回_1ヶ月前の在庫'!$W$6:$W$10005,$W3186)&gt;0),N(U3185),N(U3185)+1))</f>
        <v/>
      </c>
      <c r="V3186" s="19">
        <f>IF($B3186="","",TEXT($B3186,"0000"))</f>
        <v/>
      </c>
      <c r="W3186" s="19">
        <f>IF($I3186="","",IF(ISNUMBER($I3186),TEXT($I3186,"0"),$I3186))</f>
        <v/>
      </c>
    </row>
    <row r="3187">
      <c r="B3187" s="25" t="n"/>
      <c r="I3187" s="25" t="n"/>
      <c r="U3187" s="19">
        <f>IF($V3187&lt;&gt;'設定'!$C$4,N(U3186),IF(OR(NOT(COUNTIF('商品マスタ'!$B$6:$B$1005,$W3187)=0),COUNTIFS('①在庫を貼る'!$V$6:$V$10005,$V3187,'①在庫を貼る'!$W$6:$W$10005,$W3187)+COUNTIFS('月1回_1ヶ月前の在庫'!$V$6:$V$10005,$V3187,'月1回_1ヶ月前の在庫'!$W$6:$W$10005,$W3187)&gt;0),N(U3186),N(U3186)+1))</f>
        <v/>
      </c>
      <c r="V3187" s="19">
        <f>IF($B3187="","",TEXT($B3187,"0000"))</f>
        <v/>
      </c>
      <c r="W3187" s="19">
        <f>IF($I3187="","",IF(ISNUMBER($I3187),TEXT($I3187,"0"),$I3187))</f>
        <v/>
      </c>
    </row>
    <row r="3188">
      <c r="B3188" s="25" t="n"/>
      <c r="I3188" s="25" t="n"/>
      <c r="U3188" s="19">
        <f>IF($V3188&lt;&gt;'設定'!$C$4,N(U3187),IF(OR(NOT(COUNTIF('商品マスタ'!$B$6:$B$1005,$W3188)=0),COUNTIFS('①在庫を貼る'!$V$6:$V$10005,$V3188,'①在庫を貼る'!$W$6:$W$10005,$W3188)+COUNTIFS('月1回_1ヶ月前の在庫'!$V$6:$V$10005,$V3188,'月1回_1ヶ月前の在庫'!$W$6:$W$10005,$W3188)&gt;0),N(U3187),N(U3187)+1))</f>
        <v/>
      </c>
      <c r="V3188" s="19">
        <f>IF($B3188="","",TEXT($B3188,"0000"))</f>
        <v/>
      </c>
      <c r="W3188" s="19">
        <f>IF($I3188="","",IF(ISNUMBER($I3188),TEXT($I3188,"0"),$I3188))</f>
        <v/>
      </c>
    </row>
    <row r="3189">
      <c r="B3189" s="25" t="n"/>
      <c r="I3189" s="25" t="n"/>
      <c r="U3189" s="19">
        <f>IF($V3189&lt;&gt;'設定'!$C$4,N(U3188),IF(OR(NOT(COUNTIF('商品マスタ'!$B$6:$B$1005,$W3189)=0),COUNTIFS('①在庫を貼る'!$V$6:$V$10005,$V3189,'①在庫を貼る'!$W$6:$W$10005,$W3189)+COUNTIFS('月1回_1ヶ月前の在庫'!$V$6:$V$10005,$V3189,'月1回_1ヶ月前の在庫'!$W$6:$W$10005,$W3189)&gt;0),N(U3188),N(U3188)+1))</f>
        <v/>
      </c>
      <c r="V3189" s="19">
        <f>IF($B3189="","",TEXT($B3189,"0000"))</f>
        <v/>
      </c>
      <c r="W3189" s="19">
        <f>IF($I3189="","",IF(ISNUMBER($I3189),TEXT($I3189,"0"),$I3189))</f>
        <v/>
      </c>
    </row>
    <row r="3190">
      <c r="B3190" s="25" t="n"/>
      <c r="I3190" s="25" t="n"/>
      <c r="U3190" s="19">
        <f>IF($V3190&lt;&gt;'設定'!$C$4,N(U3189),IF(OR(NOT(COUNTIF('商品マスタ'!$B$6:$B$1005,$W3190)=0),COUNTIFS('①在庫を貼る'!$V$6:$V$10005,$V3190,'①在庫を貼る'!$W$6:$W$10005,$W3190)+COUNTIFS('月1回_1ヶ月前の在庫'!$V$6:$V$10005,$V3190,'月1回_1ヶ月前の在庫'!$W$6:$W$10005,$W3190)&gt;0),N(U3189),N(U3189)+1))</f>
        <v/>
      </c>
      <c r="V3190" s="19">
        <f>IF($B3190="","",TEXT($B3190,"0000"))</f>
        <v/>
      </c>
      <c r="W3190" s="19">
        <f>IF($I3190="","",IF(ISNUMBER($I3190),TEXT($I3190,"0"),$I3190))</f>
        <v/>
      </c>
    </row>
    <row r="3191">
      <c r="B3191" s="25" t="n"/>
      <c r="I3191" s="25" t="n"/>
      <c r="U3191" s="19">
        <f>IF($V3191&lt;&gt;'設定'!$C$4,N(U3190),IF(OR(NOT(COUNTIF('商品マスタ'!$B$6:$B$1005,$W3191)=0),COUNTIFS('①在庫を貼る'!$V$6:$V$10005,$V3191,'①在庫を貼る'!$W$6:$W$10005,$W3191)+COUNTIFS('月1回_1ヶ月前の在庫'!$V$6:$V$10005,$V3191,'月1回_1ヶ月前の在庫'!$W$6:$W$10005,$W3191)&gt;0),N(U3190),N(U3190)+1))</f>
        <v/>
      </c>
      <c r="V3191" s="19">
        <f>IF($B3191="","",TEXT($B3191,"0000"))</f>
        <v/>
      </c>
      <c r="W3191" s="19">
        <f>IF($I3191="","",IF(ISNUMBER($I3191),TEXT($I3191,"0"),$I3191))</f>
        <v/>
      </c>
    </row>
    <row r="3192">
      <c r="B3192" s="25" t="n"/>
      <c r="I3192" s="25" t="n"/>
      <c r="U3192" s="19">
        <f>IF($V3192&lt;&gt;'設定'!$C$4,N(U3191),IF(OR(NOT(COUNTIF('商品マスタ'!$B$6:$B$1005,$W3192)=0),COUNTIFS('①在庫を貼る'!$V$6:$V$10005,$V3192,'①在庫を貼る'!$W$6:$W$10005,$W3192)+COUNTIFS('月1回_1ヶ月前の在庫'!$V$6:$V$10005,$V3192,'月1回_1ヶ月前の在庫'!$W$6:$W$10005,$W3192)&gt;0),N(U3191),N(U3191)+1))</f>
        <v/>
      </c>
      <c r="V3192" s="19">
        <f>IF($B3192="","",TEXT($B3192,"0000"))</f>
        <v/>
      </c>
      <c r="W3192" s="19">
        <f>IF($I3192="","",IF(ISNUMBER($I3192),TEXT($I3192,"0"),$I3192))</f>
        <v/>
      </c>
    </row>
    <row r="3193">
      <c r="B3193" s="25" t="n"/>
      <c r="I3193" s="25" t="n"/>
      <c r="U3193" s="19">
        <f>IF($V3193&lt;&gt;'設定'!$C$4,N(U3192),IF(OR(NOT(COUNTIF('商品マスタ'!$B$6:$B$1005,$W3193)=0),COUNTIFS('①在庫を貼る'!$V$6:$V$10005,$V3193,'①在庫を貼る'!$W$6:$W$10005,$W3193)+COUNTIFS('月1回_1ヶ月前の在庫'!$V$6:$V$10005,$V3193,'月1回_1ヶ月前の在庫'!$W$6:$W$10005,$W3193)&gt;0),N(U3192),N(U3192)+1))</f>
        <v/>
      </c>
      <c r="V3193" s="19">
        <f>IF($B3193="","",TEXT($B3193,"0000"))</f>
        <v/>
      </c>
      <c r="W3193" s="19">
        <f>IF($I3193="","",IF(ISNUMBER($I3193),TEXT($I3193,"0"),$I3193))</f>
        <v/>
      </c>
    </row>
    <row r="3194">
      <c r="B3194" s="25" t="n"/>
      <c r="I3194" s="25" t="n"/>
      <c r="U3194" s="19">
        <f>IF($V3194&lt;&gt;'設定'!$C$4,N(U3193),IF(OR(NOT(COUNTIF('商品マスタ'!$B$6:$B$1005,$W3194)=0),COUNTIFS('①在庫を貼る'!$V$6:$V$10005,$V3194,'①在庫を貼る'!$W$6:$W$10005,$W3194)+COUNTIFS('月1回_1ヶ月前の在庫'!$V$6:$V$10005,$V3194,'月1回_1ヶ月前の在庫'!$W$6:$W$10005,$W3194)&gt;0),N(U3193),N(U3193)+1))</f>
        <v/>
      </c>
      <c r="V3194" s="19">
        <f>IF($B3194="","",TEXT($B3194,"0000"))</f>
        <v/>
      </c>
      <c r="W3194" s="19">
        <f>IF($I3194="","",IF(ISNUMBER($I3194),TEXT($I3194,"0"),$I3194))</f>
        <v/>
      </c>
    </row>
    <row r="3195">
      <c r="B3195" s="25" t="n"/>
      <c r="I3195" s="25" t="n"/>
      <c r="U3195" s="19">
        <f>IF($V3195&lt;&gt;'設定'!$C$4,N(U3194),IF(OR(NOT(COUNTIF('商品マスタ'!$B$6:$B$1005,$W3195)=0),COUNTIFS('①在庫を貼る'!$V$6:$V$10005,$V3195,'①在庫を貼る'!$W$6:$W$10005,$W3195)+COUNTIFS('月1回_1ヶ月前の在庫'!$V$6:$V$10005,$V3195,'月1回_1ヶ月前の在庫'!$W$6:$W$10005,$W3195)&gt;0),N(U3194),N(U3194)+1))</f>
        <v/>
      </c>
      <c r="V3195" s="19">
        <f>IF($B3195="","",TEXT($B3195,"0000"))</f>
        <v/>
      </c>
      <c r="W3195" s="19">
        <f>IF($I3195="","",IF(ISNUMBER($I3195),TEXT($I3195,"0"),$I3195))</f>
        <v/>
      </c>
    </row>
    <row r="3196">
      <c r="B3196" s="25" t="n"/>
      <c r="I3196" s="25" t="n"/>
      <c r="U3196" s="19">
        <f>IF($V3196&lt;&gt;'設定'!$C$4,N(U3195),IF(OR(NOT(COUNTIF('商品マスタ'!$B$6:$B$1005,$W3196)=0),COUNTIFS('①在庫を貼る'!$V$6:$V$10005,$V3196,'①在庫を貼る'!$W$6:$W$10005,$W3196)+COUNTIFS('月1回_1ヶ月前の在庫'!$V$6:$V$10005,$V3196,'月1回_1ヶ月前の在庫'!$W$6:$W$10005,$W3196)&gt;0),N(U3195),N(U3195)+1))</f>
        <v/>
      </c>
      <c r="V3196" s="19">
        <f>IF($B3196="","",TEXT($B3196,"0000"))</f>
        <v/>
      </c>
      <c r="W3196" s="19">
        <f>IF($I3196="","",IF(ISNUMBER($I3196),TEXT($I3196,"0"),$I3196))</f>
        <v/>
      </c>
    </row>
    <row r="3197">
      <c r="B3197" s="25" t="n"/>
      <c r="I3197" s="25" t="n"/>
      <c r="U3197" s="19">
        <f>IF($V3197&lt;&gt;'設定'!$C$4,N(U3196),IF(OR(NOT(COUNTIF('商品マスタ'!$B$6:$B$1005,$W3197)=0),COUNTIFS('①在庫を貼る'!$V$6:$V$10005,$V3197,'①在庫を貼る'!$W$6:$W$10005,$W3197)+COUNTIFS('月1回_1ヶ月前の在庫'!$V$6:$V$10005,$V3197,'月1回_1ヶ月前の在庫'!$W$6:$W$10005,$W3197)&gt;0),N(U3196),N(U3196)+1))</f>
        <v/>
      </c>
      <c r="V3197" s="19">
        <f>IF($B3197="","",TEXT($B3197,"0000"))</f>
        <v/>
      </c>
      <c r="W3197" s="19">
        <f>IF($I3197="","",IF(ISNUMBER($I3197),TEXT($I3197,"0"),$I3197))</f>
        <v/>
      </c>
    </row>
    <row r="3198">
      <c r="B3198" s="25" t="n"/>
      <c r="I3198" s="25" t="n"/>
      <c r="U3198" s="19">
        <f>IF($V3198&lt;&gt;'設定'!$C$4,N(U3197),IF(OR(NOT(COUNTIF('商品マスタ'!$B$6:$B$1005,$W3198)=0),COUNTIFS('①在庫を貼る'!$V$6:$V$10005,$V3198,'①在庫を貼る'!$W$6:$W$10005,$W3198)+COUNTIFS('月1回_1ヶ月前の在庫'!$V$6:$V$10005,$V3198,'月1回_1ヶ月前の在庫'!$W$6:$W$10005,$W3198)&gt;0),N(U3197),N(U3197)+1))</f>
        <v/>
      </c>
      <c r="V3198" s="19">
        <f>IF($B3198="","",TEXT($B3198,"0000"))</f>
        <v/>
      </c>
      <c r="W3198" s="19">
        <f>IF($I3198="","",IF(ISNUMBER($I3198),TEXT($I3198,"0"),$I3198))</f>
        <v/>
      </c>
    </row>
    <row r="3199">
      <c r="B3199" s="25" t="n"/>
      <c r="I3199" s="25" t="n"/>
      <c r="U3199" s="19">
        <f>IF($V3199&lt;&gt;'設定'!$C$4,N(U3198),IF(OR(NOT(COUNTIF('商品マスタ'!$B$6:$B$1005,$W3199)=0),COUNTIFS('①在庫を貼る'!$V$6:$V$10005,$V3199,'①在庫を貼る'!$W$6:$W$10005,$W3199)+COUNTIFS('月1回_1ヶ月前の在庫'!$V$6:$V$10005,$V3199,'月1回_1ヶ月前の在庫'!$W$6:$W$10005,$W3199)&gt;0),N(U3198),N(U3198)+1))</f>
        <v/>
      </c>
      <c r="V3199" s="19">
        <f>IF($B3199="","",TEXT($B3199,"0000"))</f>
        <v/>
      </c>
      <c r="W3199" s="19">
        <f>IF($I3199="","",IF(ISNUMBER($I3199),TEXT($I3199,"0"),$I3199))</f>
        <v/>
      </c>
    </row>
    <row r="3200">
      <c r="B3200" s="25" t="n"/>
      <c r="I3200" s="25" t="n"/>
      <c r="U3200" s="19">
        <f>IF($V3200&lt;&gt;'設定'!$C$4,N(U3199),IF(OR(NOT(COUNTIF('商品マスタ'!$B$6:$B$1005,$W3200)=0),COUNTIFS('①在庫を貼る'!$V$6:$V$10005,$V3200,'①在庫を貼る'!$W$6:$W$10005,$W3200)+COUNTIFS('月1回_1ヶ月前の在庫'!$V$6:$V$10005,$V3200,'月1回_1ヶ月前の在庫'!$W$6:$W$10005,$W3200)&gt;0),N(U3199),N(U3199)+1))</f>
        <v/>
      </c>
      <c r="V3200" s="19">
        <f>IF($B3200="","",TEXT($B3200,"0000"))</f>
        <v/>
      </c>
      <c r="W3200" s="19">
        <f>IF($I3200="","",IF(ISNUMBER($I3200),TEXT($I3200,"0"),$I3200))</f>
        <v/>
      </c>
    </row>
    <row r="3201">
      <c r="B3201" s="25" t="n"/>
      <c r="I3201" s="25" t="n"/>
      <c r="U3201" s="19">
        <f>IF($V3201&lt;&gt;'設定'!$C$4,N(U3200),IF(OR(NOT(COUNTIF('商品マスタ'!$B$6:$B$1005,$W3201)=0),COUNTIFS('①在庫を貼る'!$V$6:$V$10005,$V3201,'①在庫を貼る'!$W$6:$W$10005,$W3201)+COUNTIFS('月1回_1ヶ月前の在庫'!$V$6:$V$10005,$V3201,'月1回_1ヶ月前の在庫'!$W$6:$W$10005,$W3201)&gt;0),N(U3200),N(U3200)+1))</f>
        <v/>
      </c>
      <c r="V3201" s="19">
        <f>IF($B3201="","",TEXT($B3201,"0000"))</f>
        <v/>
      </c>
      <c r="W3201" s="19">
        <f>IF($I3201="","",IF(ISNUMBER($I3201),TEXT($I3201,"0"),$I3201))</f>
        <v/>
      </c>
    </row>
    <row r="3202">
      <c r="B3202" s="25" t="n"/>
      <c r="I3202" s="25" t="n"/>
      <c r="U3202" s="19">
        <f>IF($V3202&lt;&gt;'設定'!$C$4,N(U3201),IF(OR(NOT(COUNTIF('商品マスタ'!$B$6:$B$1005,$W3202)=0),COUNTIFS('①在庫を貼る'!$V$6:$V$10005,$V3202,'①在庫を貼る'!$W$6:$W$10005,$W3202)+COUNTIFS('月1回_1ヶ月前の在庫'!$V$6:$V$10005,$V3202,'月1回_1ヶ月前の在庫'!$W$6:$W$10005,$W3202)&gt;0),N(U3201),N(U3201)+1))</f>
        <v/>
      </c>
      <c r="V3202" s="19">
        <f>IF($B3202="","",TEXT($B3202,"0000"))</f>
        <v/>
      </c>
      <c r="W3202" s="19">
        <f>IF($I3202="","",IF(ISNUMBER($I3202),TEXT($I3202,"0"),$I3202))</f>
        <v/>
      </c>
    </row>
    <row r="3203">
      <c r="B3203" s="25" t="n"/>
      <c r="I3203" s="25" t="n"/>
      <c r="U3203" s="19">
        <f>IF($V3203&lt;&gt;'設定'!$C$4,N(U3202),IF(OR(NOT(COUNTIF('商品マスタ'!$B$6:$B$1005,$W3203)=0),COUNTIFS('①在庫を貼る'!$V$6:$V$10005,$V3203,'①在庫を貼る'!$W$6:$W$10005,$W3203)+COUNTIFS('月1回_1ヶ月前の在庫'!$V$6:$V$10005,$V3203,'月1回_1ヶ月前の在庫'!$W$6:$W$10005,$W3203)&gt;0),N(U3202),N(U3202)+1))</f>
        <v/>
      </c>
      <c r="V3203" s="19">
        <f>IF($B3203="","",TEXT($B3203,"0000"))</f>
        <v/>
      </c>
      <c r="W3203" s="19">
        <f>IF($I3203="","",IF(ISNUMBER($I3203),TEXT($I3203,"0"),$I3203))</f>
        <v/>
      </c>
    </row>
    <row r="3204">
      <c r="B3204" s="25" t="n"/>
      <c r="I3204" s="25" t="n"/>
      <c r="U3204" s="19">
        <f>IF($V3204&lt;&gt;'設定'!$C$4,N(U3203),IF(OR(NOT(COUNTIF('商品マスタ'!$B$6:$B$1005,$W3204)=0),COUNTIFS('①在庫を貼る'!$V$6:$V$10005,$V3204,'①在庫を貼る'!$W$6:$W$10005,$W3204)+COUNTIFS('月1回_1ヶ月前の在庫'!$V$6:$V$10005,$V3204,'月1回_1ヶ月前の在庫'!$W$6:$W$10005,$W3204)&gt;0),N(U3203),N(U3203)+1))</f>
        <v/>
      </c>
      <c r="V3204" s="19">
        <f>IF($B3204="","",TEXT($B3204,"0000"))</f>
        <v/>
      </c>
      <c r="W3204" s="19">
        <f>IF($I3204="","",IF(ISNUMBER($I3204),TEXT($I3204,"0"),$I3204))</f>
        <v/>
      </c>
    </row>
    <row r="3205">
      <c r="B3205" s="25" t="n"/>
      <c r="I3205" s="25" t="n"/>
      <c r="U3205" s="19">
        <f>IF($V3205&lt;&gt;'設定'!$C$4,N(U3204),IF(OR(NOT(COUNTIF('商品マスタ'!$B$6:$B$1005,$W3205)=0),COUNTIFS('①在庫を貼る'!$V$6:$V$10005,$V3205,'①在庫を貼る'!$W$6:$W$10005,$W3205)+COUNTIFS('月1回_1ヶ月前の在庫'!$V$6:$V$10005,$V3205,'月1回_1ヶ月前の在庫'!$W$6:$W$10005,$W3205)&gt;0),N(U3204),N(U3204)+1))</f>
        <v/>
      </c>
      <c r="V3205" s="19">
        <f>IF($B3205="","",TEXT($B3205,"0000"))</f>
        <v/>
      </c>
      <c r="W3205" s="19">
        <f>IF($I3205="","",IF(ISNUMBER($I3205),TEXT($I3205,"0"),$I3205))</f>
        <v/>
      </c>
    </row>
    <row r="3206">
      <c r="B3206" s="25" t="n"/>
      <c r="I3206" s="25" t="n"/>
      <c r="U3206" s="19">
        <f>IF($V3206&lt;&gt;'設定'!$C$4,N(U3205),IF(OR(NOT(COUNTIF('商品マスタ'!$B$6:$B$1005,$W3206)=0),COUNTIFS('①在庫を貼る'!$V$6:$V$10005,$V3206,'①在庫を貼る'!$W$6:$W$10005,$W3206)+COUNTIFS('月1回_1ヶ月前の在庫'!$V$6:$V$10005,$V3206,'月1回_1ヶ月前の在庫'!$W$6:$W$10005,$W3206)&gt;0),N(U3205),N(U3205)+1))</f>
        <v/>
      </c>
      <c r="V3206" s="19">
        <f>IF($B3206="","",TEXT($B3206,"0000"))</f>
        <v/>
      </c>
      <c r="W3206" s="19">
        <f>IF($I3206="","",IF(ISNUMBER($I3206),TEXT($I3206,"0"),$I3206))</f>
        <v/>
      </c>
    </row>
    <row r="3207">
      <c r="B3207" s="25" t="n"/>
      <c r="I3207" s="25" t="n"/>
      <c r="U3207" s="19">
        <f>IF($V3207&lt;&gt;'設定'!$C$4,N(U3206),IF(OR(NOT(COUNTIF('商品マスタ'!$B$6:$B$1005,$W3207)=0),COUNTIFS('①在庫を貼る'!$V$6:$V$10005,$V3207,'①在庫を貼る'!$W$6:$W$10005,$W3207)+COUNTIFS('月1回_1ヶ月前の在庫'!$V$6:$V$10005,$V3207,'月1回_1ヶ月前の在庫'!$W$6:$W$10005,$W3207)&gt;0),N(U3206),N(U3206)+1))</f>
        <v/>
      </c>
      <c r="V3207" s="19">
        <f>IF($B3207="","",TEXT($B3207,"0000"))</f>
        <v/>
      </c>
      <c r="W3207" s="19">
        <f>IF($I3207="","",IF(ISNUMBER($I3207),TEXT($I3207,"0"),$I3207))</f>
        <v/>
      </c>
    </row>
    <row r="3208">
      <c r="B3208" s="25" t="n"/>
      <c r="I3208" s="25" t="n"/>
      <c r="U3208" s="19">
        <f>IF($V3208&lt;&gt;'設定'!$C$4,N(U3207),IF(OR(NOT(COUNTIF('商品マスタ'!$B$6:$B$1005,$W3208)=0),COUNTIFS('①在庫を貼る'!$V$6:$V$10005,$V3208,'①在庫を貼る'!$W$6:$W$10005,$W3208)+COUNTIFS('月1回_1ヶ月前の在庫'!$V$6:$V$10005,$V3208,'月1回_1ヶ月前の在庫'!$W$6:$W$10005,$W3208)&gt;0),N(U3207),N(U3207)+1))</f>
        <v/>
      </c>
      <c r="V3208" s="19">
        <f>IF($B3208="","",TEXT($B3208,"0000"))</f>
        <v/>
      </c>
      <c r="W3208" s="19">
        <f>IF($I3208="","",IF(ISNUMBER($I3208),TEXT($I3208,"0"),$I3208))</f>
        <v/>
      </c>
    </row>
    <row r="3209">
      <c r="B3209" s="25" t="n"/>
      <c r="I3209" s="25" t="n"/>
      <c r="U3209" s="19">
        <f>IF($V3209&lt;&gt;'設定'!$C$4,N(U3208),IF(OR(NOT(COUNTIF('商品マスタ'!$B$6:$B$1005,$W3209)=0),COUNTIFS('①在庫を貼る'!$V$6:$V$10005,$V3209,'①在庫を貼る'!$W$6:$W$10005,$W3209)+COUNTIFS('月1回_1ヶ月前の在庫'!$V$6:$V$10005,$V3209,'月1回_1ヶ月前の在庫'!$W$6:$W$10005,$W3209)&gt;0),N(U3208),N(U3208)+1))</f>
        <v/>
      </c>
      <c r="V3209" s="19">
        <f>IF($B3209="","",TEXT($B3209,"0000"))</f>
        <v/>
      </c>
      <c r="W3209" s="19">
        <f>IF($I3209="","",IF(ISNUMBER($I3209),TEXT($I3209,"0"),$I3209))</f>
        <v/>
      </c>
    </row>
    <row r="3210">
      <c r="B3210" s="25" t="n"/>
      <c r="I3210" s="25" t="n"/>
      <c r="U3210" s="19">
        <f>IF($V3210&lt;&gt;'設定'!$C$4,N(U3209),IF(OR(NOT(COUNTIF('商品マスタ'!$B$6:$B$1005,$W3210)=0),COUNTIFS('①在庫を貼る'!$V$6:$V$10005,$V3210,'①在庫を貼る'!$W$6:$W$10005,$W3210)+COUNTIFS('月1回_1ヶ月前の在庫'!$V$6:$V$10005,$V3210,'月1回_1ヶ月前の在庫'!$W$6:$W$10005,$W3210)&gt;0),N(U3209),N(U3209)+1))</f>
        <v/>
      </c>
      <c r="V3210" s="19">
        <f>IF($B3210="","",TEXT($B3210,"0000"))</f>
        <v/>
      </c>
      <c r="W3210" s="19">
        <f>IF($I3210="","",IF(ISNUMBER($I3210),TEXT($I3210,"0"),$I3210))</f>
        <v/>
      </c>
    </row>
    <row r="3211">
      <c r="B3211" s="25" t="n"/>
      <c r="I3211" s="25" t="n"/>
      <c r="U3211" s="19">
        <f>IF($V3211&lt;&gt;'設定'!$C$4,N(U3210),IF(OR(NOT(COUNTIF('商品マスタ'!$B$6:$B$1005,$W3211)=0),COUNTIFS('①在庫を貼る'!$V$6:$V$10005,$V3211,'①在庫を貼る'!$W$6:$W$10005,$W3211)+COUNTIFS('月1回_1ヶ月前の在庫'!$V$6:$V$10005,$V3211,'月1回_1ヶ月前の在庫'!$W$6:$W$10005,$W3211)&gt;0),N(U3210),N(U3210)+1))</f>
        <v/>
      </c>
      <c r="V3211" s="19">
        <f>IF($B3211="","",TEXT($B3211,"0000"))</f>
        <v/>
      </c>
      <c r="W3211" s="19">
        <f>IF($I3211="","",IF(ISNUMBER($I3211),TEXT($I3211,"0"),$I3211))</f>
        <v/>
      </c>
    </row>
    <row r="3212">
      <c r="B3212" s="25" t="n"/>
      <c r="I3212" s="25" t="n"/>
      <c r="U3212" s="19">
        <f>IF($V3212&lt;&gt;'設定'!$C$4,N(U3211),IF(OR(NOT(COUNTIF('商品マスタ'!$B$6:$B$1005,$W3212)=0),COUNTIFS('①在庫を貼る'!$V$6:$V$10005,$V3212,'①在庫を貼る'!$W$6:$W$10005,$W3212)+COUNTIFS('月1回_1ヶ月前の在庫'!$V$6:$V$10005,$V3212,'月1回_1ヶ月前の在庫'!$W$6:$W$10005,$W3212)&gt;0),N(U3211),N(U3211)+1))</f>
        <v/>
      </c>
      <c r="V3212" s="19">
        <f>IF($B3212="","",TEXT($B3212,"0000"))</f>
        <v/>
      </c>
      <c r="W3212" s="19">
        <f>IF($I3212="","",IF(ISNUMBER($I3212),TEXT($I3212,"0"),$I3212))</f>
        <v/>
      </c>
    </row>
    <row r="3213">
      <c r="B3213" s="25" t="n"/>
      <c r="I3213" s="25" t="n"/>
      <c r="U3213" s="19">
        <f>IF($V3213&lt;&gt;'設定'!$C$4,N(U3212),IF(OR(NOT(COUNTIF('商品マスタ'!$B$6:$B$1005,$W3213)=0),COUNTIFS('①在庫を貼る'!$V$6:$V$10005,$V3213,'①在庫を貼る'!$W$6:$W$10005,$W3213)+COUNTIFS('月1回_1ヶ月前の在庫'!$V$6:$V$10005,$V3213,'月1回_1ヶ月前の在庫'!$W$6:$W$10005,$W3213)&gt;0),N(U3212),N(U3212)+1))</f>
        <v/>
      </c>
      <c r="V3213" s="19">
        <f>IF($B3213="","",TEXT($B3213,"0000"))</f>
        <v/>
      </c>
      <c r="W3213" s="19">
        <f>IF($I3213="","",IF(ISNUMBER($I3213),TEXT($I3213,"0"),$I3213))</f>
        <v/>
      </c>
    </row>
    <row r="3214">
      <c r="B3214" s="25" t="n"/>
      <c r="I3214" s="25" t="n"/>
      <c r="U3214" s="19">
        <f>IF($V3214&lt;&gt;'設定'!$C$4,N(U3213),IF(OR(NOT(COUNTIF('商品マスタ'!$B$6:$B$1005,$W3214)=0),COUNTIFS('①在庫を貼る'!$V$6:$V$10005,$V3214,'①在庫を貼る'!$W$6:$W$10005,$W3214)+COUNTIFS('月1回_1ヶ月前の在庫'!$V$6:$V$10005,$V3214,'月1回_1ヶ月前の在庫'!$W$6:$W$10005,$W3214)&gt;0),N(U3213),N(U3213)+1))</f>
        <v/>
      </c>
      <c r="V3214" s="19">
        <f>IF($B3214="","",TEXT($B3214,"0000"))</f>
        <v/>
      </c>
      <c r="W3214" s="19">
        <f>IF($I3214="","",IF(ISNUMBER($I3214),TEXT($I3214,"0"),$I3214))</f>
        <v/>
      </c>
    </row>
    <row r="3215">
      <c r="B3215" s="25" t="n"/>
      <c r="I3215" s="25" t="n"/>
      <c r="U3215" s="19">
        <f>IF($V3215&lt;&gt;'設定'!$C$4,N(U3214),IF(OR(NOT(COUNTIF('商品マスタ'!$B$6:$B$1005,$W3215)=0),COUNTIFS('①在庫を貼る'!$V$6:$V$10005,$V3215,'①在庫を貼る'!$W$6:$W$10005,$W3215)+COUNTIFS('月1回_1ヶ月前の在庫'!$V$6:$V$10005,$V3215,'月1回_1ヶ月前の在庫'!$W$6:$W$10005,$W3215)&gt;0),N(U3214),N(U3214)+1))</f>
        <v/>
      </c>
      <c r="V3215" s="19">
        <f>IF($B3215="","",TEXT($B3215,"0000"))</f>
        <v/>
      </c>
      <c r="W3215" s="19">
        <f>IF($I3215="","",IF(ISNUMBER($I3215),TEXT($I3215,"0"),$I3215))</f>
        <v/>
      </c>
    </row>
    <row r="3216">
      <c r="B3216" s="25" t="n"/>
      <c r="I3216" s="25" t="n"/>
      <c r="U3216" s="19">
        <f>IF($V3216&lt;&gt;'設定'!$C$4,N(U3215),IF(OR(NOT(COUNTIF('商品マスタ'!$B$6:$B$1005,$W3216)=0),COUNTIFS('①在庫を貼る'!$V$6:$V$10005,$V3216,'①在庫を貼る'!$W$6:$W$10005,$W3216)+COUNTIFS('月1回_1ヶ月前の在庫'!$V$6:$V$10005,$V3216,'月1回_1ヶ月前の在庫'!$W$6:$W$10005,$W3216)&gt;0),N(U3215),N(U3215)+1))</f>
        <v/>
      </c>
      <c r="V3216" s="19">
        <f>IF($B3216="","",TEXT($B3216,"0000"))</f>
        <v/>
      </c>
      <c r="W3216" s="19">
        <f>IF($I3216="","",IF(ISNUMBER($I3216),TEXT($I3216,"0"),$I3216))</f>
        <v/>
      </c>
    </row>
    <row r="3217">
      <c r="B3217" s="25" t="n"/>
      <c r="I3217" s="25" t="n"/>
      <c r="U3217" s="19">
        <f>IF($V3217&lt;&gt;'設定'!$C$4,N(U3216),IF(OR(NOT(COUNTIF('商品マスタ'!$B$6:$B$1005,$W3217)=0),COUNTIFS('①在庫を貼る'!$V$6:$V$10005,$V3217,'①在庫を貼る'!$W$6:$W$10005,$W3217)+COUNTIFS('月1回_1ヶ月前の在庫'!$V$6:$V$10005,$V3217,'月1回_1ヶ月前の在庫'!$W$6:$W$10005,$W3217)&gt;0),N(U3216),N(U3216)+1))</f>
        <v/>
      </c>
      <c r="V3217" s="19">
        <f>IF($B3217="","",TEXT($B3217,"0000"))</f>
        <v/>
      </c>
      <c r="W3217" s="19">
        <f>IF($I3217="","",IF(ISNUMBER($I3217),TEXT($I3217,"0"),$I3217))</f>
        <v/>
      </c>
    </row>
    <row r="3218">
      <c r="B3218" s="25" t="n"/>
      <c r="I3218" s="25" t="n"/>
      <c r="U3218" s="19">
        <f>IF($V3218&lt;&gt;'設定'!$C$4,N(U3217),IF(OR(NOT(COUNTIF('商品マスタ'!$B$6:$B$1005,$W3218)=0),COUNTIFS('①在庫を貼る'!$V$6:$V$10005,$V3218,'①在庫を貼る'!$W$6:$W$10005,$W3218)+COUNTIFS('月1回_1ヶ月前の在庫'!$V$6:$V$10005,$V3218,'月1回_1ヶ月前の在庫'!$W$6:$W$10005,$W3218)&gt;0),N(U3217),N(U3217)+1))</f>
        <v/>
      </c>
      <c r="V3218" s="19">
        <f>IF($B3218="","",TEXT($B3218,"0000"))</f>
        <v/>
      </c>
      <c r="W3218" s="19">
        <f>IF($I3218="","",IF(ISNUMBER($I3218),TEXT($I3218,"0"),$I3218))</f>
        <v/>
      </c>
    </row>
    <row r="3219">
      <c r="B3219" s="25" t="n"/>
      <c r="I3219" s="25" t="n"/>
      <c r="U3219" s="19">
        <f>IF($V3219&lt;&gt;'設定'!$C$4,N(U3218),IF(OR(NOT(COUNTIF('商品マスタ'!$B$6:$B$1005,$W3219)=0),COUNTIFS('①在庫を貼る'!$V$6:$V$10005,$V3219,'①在庫を貼る'!$W$6:$W$10005,$W3219)+COUNTIFS('月1回_1ヶ月前の在庫'!$V$6:$V$10005,$V3219,'月1回_1ヶ月前の在庫'!$W$6:$W$10005,$W3219)&gt;0),N(U3218),N(U3218)+1))</f>
        <v/>
      </c>
      <c r="V3219" s="19">
        <f>IF($B3219="","",TEXT($B3219,"0000"))</f>
        <v/>
      </c>
      <c r="W3219" s="19">
        <f>IF($I3219="","",IF(ISNUMBER($I3219),TEXT($I3219,"0"),$I3219))</f>
        <v/>
      </c>
    </row>
    <row r="3220">
      <c r="B3220" s="25" t="n"/>
      <c r="I3220" s="25" t="n"/>
      <c r="U3220" s="19">
        <f>IF($V3220&lt;&gt;'設定'!$C$4,N(U3219),IF(OR(NOT(COUNTIF('商品マスタ'!$B$6:$B$1005,$W3220)=0),COUNTIFS('①在庫を貼る'!$V$6:$V$10005,$V3220,'①在庫を貼る'!$W$6:$W$10005,$W3220)+COUNTIFS('月1回_1ヶ月前の在庫'!$V$6:$V$10005,$V3220,'月1回_1ヶ月前の在庫'!$W$6:$W$10005,$W3220)&gt;0),N(U3219),N(U3219)+1))</f>
        <v/>
      </c>
      <c r="V3220" s="19">
        <f>IF($B3220="","",TEXT($B3220,"0000"))</f>
        <v/>
      </c>
      <c r="W3220" s="19">
        <f>IF($I3220="","",IF(ISNUMBER($I3220),TEXT($I3220,"0"),$I3220))</f>
        <v/>
      </c>
    </row>
    <row r="3221">
      <c r="B3221" s="25" t="n"/>
      <c r="I3221" s="25" t="n"/>
      <c r="U3221" s="19">
        <f>IF($V3221&lt;&gt;'設定'!$C$4,N(U3220),IF(OR(NOT(COUNTIF('商品マスタ'!$B$6:$B$1005,$W3221)=0),COUNTIFS('①在庫を貼る'!$V$6:$V$10005,$V3221,'①在庫を貼る'!$W$6:$W$10005,$W3221)+COUNTIFS('月1回_1ヶ月前の在庫'!$V$6:$V$10005,$V3221,'月1回_1ヶ月前の在庫'!$W$6:$W$10005,$W3221)&gt;0),N(U3220),N(U3220)+1))</f>
        <v/>
      </c>
      <c r="V3221" s="19">
        <f>IF($B3221="","",TEXT($B3221,"0000"))</f>
        <v/>
      </c>
      <c r="W3221" s="19">
        <f>IF($I3221="","",IF(ISNUMBER($I3221),TEXT($I3221,"0"),$I3221))</f>
        <v/>
      </c>
    </row>
    <row r="3222">
      <c r="B3222" s="25" t="n"/>
      <c r="I3222" s="25" t="n"/>
      <c r="U3222" s="19">
        <f>IF($V3222&lt;&gt;'設定'!$C$4,N(U3221),IF(OR(NOT(COUNTIF('商品マスタ'!$B$6:$B$1005,$W3222)=0),COUNTIFS('①在庫を貼る'!$V$6:$V$10005,$V3222,'①在庫を貼る'!$W$6:$W$10005,$W3222)+COUNTIFS('月1回_1ヶ月前の在庫'!$V$6:$V$10005,$V3222,'月1回_1ヶ月前の在庫'!$W$6:$W$10005,$W3222)&gt;0),N(U3221),N(U3221)+1))</f>
        <v/>
      </c>
      <c r="V3222" s="19">
        <f>IF($B3222="","",TEXT($B3222,"0000"))</f>
        <v/>
      </c>
      <c r="W3222" s="19">
        <f>IF($I3222="","",IF(ISNUMBER($I3222),TEXT($I3222,"0"),$I3222))</f>
        <v/>
      </c>
    </row>
    <row r="3223">
      <c r="B3223" s="25" t="n"/>
      <c r="I3223" s="25" t="n"/>
      <c r="U3223" s="19">
        <f>IF($V3223&lt;&gt;'設定'!$C$4,N(U3222),IF(OR(NOT(COUNTIF('商品マスタ'!$B$6:$B$1005,$W3223)=0),COUNTIFS('①在庫を貼る'!$V$6:$V$10005,$V3223,'①在庫を貼る'!$W$6:$W$10005,$W3223)+COUNTIFS('月1回_1ヶ月前の在庫'!$V$6:$V$10005,$V3223,'月1回_1ヶ月前の在庫'!$W$6:$W$10005,$W3223)&gt;0),N(U3222),N(U3222)+1))</f>
        <v/>
      </c>
      <c r="V3223" s="19">
        <f>IF($B3223="","",TEXT($B3223,"0000"))</f>
        <v/>
      </c>
      <c r="W3223" s="19">
        <f>IF($I3223="","",IF(ISNUMBER($I3223),TEXT($I3223,"0"),$I3223))</f>
        <v/>
      </c>
    </row>
    <row r="3224">
      <c r="B3224" s="25" t="n"/>
      <c r="I3224" s="25" t="n"/>
      <c r="U3224" s="19">
        <f>IF($V3224&lt;&gt;'設定'!$C$4,N(U3223),IF(OR(NOT(COUNTIF('商品マスタ'!$B$6:$B$1005,$W3224)=0),COUNTIFS('①在庫を貼る'!$V$6:$V$10005,$V3224,'①在庫を貼る'!$W$6:$W$10005,$W3224)+COUNTIFS('月1回_1ヶ月前の在庫'!$V$6:$V$10005,$V3224,'月1回_1ヶ月前の在庫'!$W$6:$W$10005,$W3224)&gt;0),N(U3223),N(U3223)+1))</f>
        <v/>
      </c>
      <c r="V3224" s="19">
        <f>IF($B3224="","",TEXT($B3224,"0000"))</f>
        <v/>
      </c>
      <c r="W3224" s="19">
        <f>IF($I3224="","",IF(ISNUMBER($I3224),TEXT($I3224,"0"),$I3224))</f>
        <v/>
      </c>
    </row>
    <row r="3225">
      <c r="B3225" s="25" t="n"/>
      <c r="I3225" s="25" t="n"/>
      <c r="U3225" s="19">
        <f>IF($V3225&lt;&gt;'設定'!$C$4,N(U3224),IF(OR(NOT(COUNTIF('商品マスタ'!$B$6:$B$1005,$W3225)=0),COUNTIFS('①在庫を貼る'!$V$6:$V$10005,$V3225,'①在庫を貼る'!$W$6:$W$10005,$W3225)+COUNTIFS('月1回_1ヶ月前の在庫'!$V$6:$V$10005,$V3225,'月1回_1ヶ月前の在庫'!$W$6:$W$10005,$W3225)&gt;0),N(U3224),N(U3224)+1))</f>
        <v/>
      </c>
      <c r="V3225" s="19">
        <f>IF($B3225="","",TEXT($B3225,"0000"))</f>
        <v/>
      </c>
      <c r="W3225" s="19">
        <f>IF($I3225="","",IF(ISNUMBER($I3225),TEXT($I3225,"0"),$I3225))</f>
        <v/>
      </c>
    </row>
    <row r="3226">
      <c r="B3226" s="25" t="n"/>
      <c r="I3226" s="25" t="n"/>
      <c r="U3226" s="19">
        <f>IF($V3226&lt;&gt;'設定'!$C$4,N(U3225),IF(OR(NOT(COUNTIF('商品マスタ'!$B$6:$B$1005,$W3226)=0),COUNTIFS('①在庫を貼る'!$V$6:$V$10005,$V3226,'①在庫を貼る'!$W$6:$W$10005,$W3226)+COUNTIFS('月1回_1ヶ月前の在庫'!$V$6:$V$10005,$V3226,'月1回_1ヶ月前の在庫'!$W$6:$W$10005,$W3226)&gt;0),N(U3225),N(U3225)+1))</f>
        <v/>
      </c>
      <c r="V3226" s="19">
        <f>IF($B3226="","",TEXT($B3226,"0000"))</f>
        <v/>
      </c>
      <c r="W3226" s="19">
        <f>IF($I3226="","",IF(ISNUMBER($I3226),TEXT($I3226,"0"),$I3226))</f>
        <v/>
      </c>
    </row>
    <row r="3227">
      <c r="B3227" s="25" t="n"/>
      <c r="I3227" s="25" t="n"/>
      <c r="U3227" s="19">
        <f>IF($V3227&lt;&gt;'設定'!$C$4,N(U3226),IF(OR(NOT(COUNTIF('商品マスタ'!$B$6:$B$1005,$W3227)=0),COUNTIFS('①在庫を貼る'!$V$6:$V$10005,$V3227,'①在庫を貼る'!$W$6:$W$10005,$W3227)+COUNTIFS('月1回_1ヶ月前の在庫'!$V$6:$V$10005,$V3227,'月1回_1ヶ月前の在庫'!$W$6:$W$10005,$W3227)&gt;0),N(U3226),N(U3226)+1))</f>
        <v/>
      </c>
      <c r="V3227" s="19">
        <f>IF($B3227="","",TEXT($B3227,"0000"))</f>
        <v/>
      </c>
      <c r="W3227" s="19">
        <f>IF($I3227="","",IF(ISNUMBER($I3227),TEXT($I3227,"0"),$I3227))</f>
        <v/>
      </c>
    </row>
    <row r="3228">
      <c r="B3228" s="25" t="n"/>
      <c r="I3228" s="25" t="n"/>
      <c r="U3228" s="19">
        <f>IF($V3228&lt;&gt;'設定'!$C$4,N(U3227),IF(OR(NOT(COUNTIF('商品マスタ'!$B$6:$B$1005,$W3228)=0),COUNTIFS('①在庫を貼る'!$V$6:$V$10005,$V3228,'①在庫を貼る'!$W$6:$W$10005,$W3228)+COUNTIFS('月1回_1ヶ月前の在庫'!$V$6:$V$10005,$V3228,'月1回_1ヶ月前の在庫'!$W$6:$W$10005,$W3228)&gt;0),N(U3227),N(U3227)+1))</f>
        <v/>
      </c>
      <c r="V3228" s="19">
        <f>IF($B3228="","",TEXT($B3228,"0000"))</f>
        <v/>
      </c>
      <c r="W3228" s="19">
        <f>IF($I3228="","",IF(ISNUMBER($I3228),TEXT($I3228,"0"),$I3228))</f>
        <v/>
      </c>
    </row>
    <row r="3229">
      <c r="B3229" s="25" t="n"/>
      <c r="I3229" s="25" t="n"/>
      <c r="U3229" s="19">
        <f>IF($V3229&lt;&gt;'設定'!$C$4,N(U3228),IF(OR(NOT(COUNTIF('商品マスタ'!$B$6:$B$1005,$W3229)=0),COUNTIFS('①在庫を貼る'!$V$6:$V$10005,$V3229,'①在庫を貼る'!$W$6:$W$10005,$W3229)+COUNTIFS('月1回_1ヶ月前の在庫'!$V$6:$V$10005,$V3229,'月1回_1ヶ月前の在庫'!$W$6:$W$10005,$W3229)&gt;0),N(U3228),N(U3228)+1))</f>
        <v/>
      </c>
      <c r="V3229" s="19">
        <f>IF($B3229="","",TEXT($B3229,"0000"))</f>
        <v/>
      </c>
      <c r="W3229" s="19">
        <f>IF($I3229="","",IF(ISNUMBER($I3229),TEXT($I3229,"0"),$I3229))</f>
        <v/>
      </c>
    </row>
    <row r="3230">
      <c r="B3230" s="25" t="n"/>
      <c r="I3230" s="25" t="n"/>
      <c r="U3230" s="19">
        <f>IF($V3230&lt;&gt;'設定'!$C$4,N(U3229),IF(OR(NOT(COUNTIF('商品マスタ'!$B$6:$B$1005,$W3230)=0),COUNTIFS('①在庫を貼る'!$V$6:$V$10005,$V3230,'①在庫を貼る'!$W$6:$W$10005,$W3230)+COUNTIFS('月1回_1ヶ月前の在庫'!$V$6:$V$10005,$V3230,'月1回_1ヶ月前の在庫'!$W$6:$W$10005,$W3230)&gt;0),N(U3229),N(U3229)+1))</f>
        <v/>
      </c>
      <c r="V3230" s="19">
        <f>IF($B3230="","",TEXT($B3230,"0000"))</f>
        <v/>
      </c>
      <c r="W3230" s="19">
        <f>IF($I3230="","",IF(ISNUMBER($I3230),TEXT($I3230,"0"),$I3230))</f>
        <v/>
      </c>
    </row>
    <row r="3231">
      <c r="B3231" s="25" t="n"/>
      <c r="I3231" s="25" t="n"/>
      <c r="U3231" s="19">
        <f>IF($V3231&lt;&gt;'設定'!$C$4,N(U3230),IF(OR(NOT(COUNTIF('商品マスタ'!$B$6:$B$1005,$W3231)=0),COUNTIFS('①在庫を貼る'!$V$6:$V$10005,$V3231,'①在庫を貼る'!$W$6:$W$10005,$W3231)+COUNTIFS('月1回_1ヶ月前の在庫'!$V$6:$V$10005,$V3231,'月1回_1ヶ月前の在庫'!$W$6:$W$10005,$W3231)&gt;0),N(U3230),N(U3230)+1))</f>
        <v/>
      </c>
      <c r="V3231" s="19">
        <f>IF($B3231="","",TEXT($B3231,"0000"))</f>
        <v/>
      </c>
      <c r="W3231" s="19">
        <f>IF($I3231="","",IF(ISNUMBER($I3231),TEXT($I3231,"0"),$I3231))</f>
        <v/>
      </c>
    </row>
    <row r="3232">
      <c r="B3232" s="25" t="n"/>
      <c r="I3232" s="25" t="n"/>
      <c r="U3232" s="19">
        <f>IF($V3232&lt;&gt;'設定'!$C$4,N(U3231),IF(OR(NOT(COUNTIF('商品マスタ'!$B$6:$B$1005,$W3232)=0),COUNTIFS('①在庫を貼る'!$V$6:$V$10005,$V3232,'①在庫を貼る'!$W$6:$W$10005,$W3232)+COUNTIFS('月1回_1ヶ月前の在庫'!$V$6:$V$10005,$V3232,'月1回_1ヶ月前の在庫'!$W$6:$W$10005,$W3232)&gt;0),N(U3231),N(U3231)+1))</f>
        <v/>
      </c>
      <c r="V3232" s="19">
        <f>IF($B3232="","",TEXT($B3232,"0000"))</f>
        <v/>
      </c>
      <c r="W3232" s="19">
        <f>IF($I3232="","",IF(ISNUMBER($I3232),TEXT($I3232,"0"),$I3232))</f>
        <v/>
      </c>
    </row>
    <row r="3233">
      <c r="B3233" s="25" t="n"/>
      <c r="I3233" s="25" t="n"/>
      <c r="U3233" s="19">
        <f>IF($V3233&lt;&gt;'設定'!$C$4,N(U3232),IF(OR(NOT(COUNTIF('商品マスタ'!$B$6:$B$1005,$W3233)=0),COUNTIFS('①在庫を貼る'!$V$6:$V$10005,$V3233,'①在庫を貼る'!$W$6:$W$10005,$W3233)+COUNTIFS('月1回_1ヶ月前の在庫'!$V$6:$V$10005,$V3233,'月1回_1ヶ月前の在庫'!$W$6:$W$10005,$W3233)&gt;0),N(U3232),N(U3232)+1))</f>
        <v/>
      </c>
      <c r="V3233" s="19">
        <f>IF($B3233="","",TEXT($B3233,"0000"))</f>
        <v/>
      </c>
      <c r="W3233" s="19">
        <f>IF($I3233="","",IF(ISNUMBER($I3233),TEXT($I3233,"0"),$I3233))</f>
        <v/>
      </c>
    </row>
    <row r="3234">
      <c r="B3234" s="25" t="n"/>
      <c r="I3234" s="25" t="n"/>
      <c r="U3234" s="19">
        <f>IF($V3234&lt;&gt;'設定'!$C$4,N(U3233),IF(OR(NOT(COUNTIF('商品マスタ'!$B$6:$B$1005,$W3234)=0),COUNTIFS('①在庫を貼る'!$V$6:$V$10005,$V3234,'①在庫を貼る'!$W$6:$W$10005,$W3234)+COUNTIFS('月1回_1ヶ月前の在庫'!$V$6:$V$10005,$V3234,'月1回_1ヶ月前の在庫'!$W$6:$W$10005,$W3234)&gt;0),N(U3233),N(U3233)+1))</f>
        <v/>
      </c>
      <c r="V3234" s="19">
        <f>IF($B3234="","",TEXT($B3234,"0000"))</f>
        <v/>
      </c>
      <c r="W3234" s="19">
        <f>IF($I3234="","",IF(ISNUMBER($I3234),TEXT($I3234,"0"),$I3234))</f>
        <v/>
      </c>
    </row>
    <row r="3235">
      <c r="B3235" s="25" t="n"/>
      <c r="I3235" s="25" t="n"/>
      <c r="U3235" s="19">
        <f>IF($V3235&lt;&gt;'設定'!$C$4,N(U3234),IF(OR(NOT(COUNTIF('商品マスタ'!$B$6:$B$1005,$W3235)=0),COUNTIFS('①在庫を貼る'!$V$6:$V$10005,$V3235,'①在庫を貼る'!$W$6:$W$10005,$W3235)+COUNTIFS('月1回_1ヶ月前の在庫'!$V$6:$V$10005,$V3235,'月1回_1ヶ月前の在庫'!$W$6:$W$10005,$W3235)&gt;0),N(U3234),N(U3234)+1))</f>
        <v/>
      </c>
      <c r="V3235" s="19">
        <f>IF($B3235="","",TEXT($B3235,"0000"))</f>
        <v/>
      </c>
      <c r="W3235" s="19">
        <f>IF($I3235="","",IF(ISNUMBER($I3235),TEXT($I3235,"0"),$I3235))</f>
        <v/>
      </c>
    </row>
    <row r="3236">
      <c r="B3236" s="25" t="n"/>
      <c r="I3236" s="25" t="n"/>
      <c r="U3236" s="19">
        <f>IF($V3236&lt;&gt;'設定'!$C$4,N(U3235),IF(OR(NOT(COUNTIF('商品マスタ'!$B$6:$B$1005,$W3236)=0),COUNTIFS('①在庫を貼る'!$V$6:$V$10005,$V3236,'①在庫を貼る'!$W$6:$W$10005,$W3236)+COUNTIFS('月1回_1ヶ月前の在庫'!$V$6:$V$10005,$V3236,'月1回_1ヶ月前の在庫'!$W$6:$W$10005,$W3236)&gt;0),N(U3235),N(U3235)+1))</f>
        <v/>
      </c>
      <c r="V3236" s="19">
        <f>IF($B3236="","",TEXT($B3236,"0000"))</f>
        <v/>
      </c>
      <c r="W3236" s="19">
        <f>IF($I3236="","",IF(ISNUMBER($I3236),TEXT($I3236,"0"),$I3236))</f>
        <v/>
      </c>
    </row>
    <row r="3237">
      <c r="B3237" s="25" t="n"/>
      <c r="I3237" s="25" t="n"/>
      <c r="U3237" s="19">
        <f>IF($V3237&lt;&gt;'設定'!$C$4,N(U3236),IF(OR(NOT(COUNTIF('商品マスタ'!$B$6:$B$1005,$W3237)=0),COUNTIFS('①在庫を貼る'!$V$6:$V$10005,$V3237,'①在庫を貼る'!$W$6:$W$10005,$W3237)+COUNTIFS('月1回_1ヶ月前の在庫'!$V$6:$V$10005,$V3237,'月1回_1ヶ月前の在庫'!$W$6:$W$10005,$W3237)&gt;0),N(U3236),N(U3236)+1))</f>
        <v/>
      </c>
      <c r="V3237" s="19">
        <f>IF($B3237="","",TEXT($B3237,"0000"))</f>
        <v/>
      </c>
      <c r="W3237" s="19">
        <f>IF($I3237="","",IF(ISNUMBER($I3237),TEXT($I3237,"0"),$I3237))</f>
        <v/>
      </c>
    </row>
    <row r="3238">
      <c r="B3238" s="25" t="n"/>
      <c r="I3238" s="25" t="n"/>
      <c r="U3238" s="19">
        <f>IF($V3238&lt;&gt;'設定'!$C$4,N(U3237),IF(OR(NOT(COUNTIF('商品マスタ'!$B$6:$B$1005,$W3238)=0),COUNTIFS('①在庫を貼る'!$V$6:$V$10005,$V3238,'①在庫を貼る'!$W$6:$W$10005,$W3238)+COUNTIFS('月1回_1ヶ月前の在庫'!$V$6:$V$10005,$V3238,'月1回_1ヶ月前の在庫'!$W$6:$W$10005,$W3238)&gt;0),N(U3237),N(U3237)+1))</f>
        <v/>
      </c>
      <c r="V3238" s="19">
        <f>IF($B3238="","",TEXT($B3238,"0000"))</f>
        <v/>
      </c>
      <c r="W3238" s="19">
        <f>IF($I3238="","",IF(ISNUMBER($I3238),TEXT($I3238,"0"),$I3238))</f>
        <v/>
      </c>
    </row>
    <row r="3239">
      <c r="B3239" s="25" t="n"/>
      <c r="I3239" s="25" t="n"/>
      <c r="U3239" s="19">
        <f>IF($V3239&lt;&gt;'設定'!$C$4,N(U3238),IF(OR(NOT(COUNTIF('商品マスタ'!$B$6:$B$1005,$W3239)=0),COUNTIFS('①在庫を貼る'!$V$6:$V$10005,$V3239,'①在庫を貼る'!$W$6:$W$10005,$W3239)+COUNTIFS('月1回_1ヶ月前の在庫'!$V$6:$V$10005,$V3239,'月1回_1ヶ月前の在庫'!$W$6:$W$10005,$W3239)&gt;0),N(U3238),N(U3238)+1))</f>
        <v/>
      </c>
      <c r="V3239" s="19">
        <f>IF($B3239="","",TEXT($B3239,"0000"))</f>
        <v/>
      </c>
      <c r="W3239" s="19">
        <f>IF($I3239="","",IF(ISNUMBER($I3239),TEXT($I3239,"0"),$I3239))</f>
        <v/>
      </c>
    </row>
    <row r="3240">
      <c r="B3240" s="25" t="n"/>
      <c r="I3240" s="25" t="n"/>
      <c r="U3240" s="19">
        <f>IF($V3240&lt;&gt;'設定'!$C$4,N(U3239),IF(OR(NOT(COUNTIF('商品マスタ'!$B$6:$B$1005,$W3240)=0),COUNTIFS('①在庫を貼る'!$V$6:$V$10005,$V3240,'①在庫を貼る'!$W$6:$W$10005,$W3240)+COUNTIFS('月1回_1ヶ月前の在庫'!$V$6:$V$10005,$V3240,'月1回_1ヶ月前の在庫'!$W$6:$W$10005,$W3240)&gt;0),N(U3239),N(U3239)+1))</f>
        <v/>
      </c>
      <c r="V3240" s="19">
        <f>IF($B3240="","",TEXT($B3240,"0000"))</f>
        <v/>
      </c>
      <c r="W3240" s="19">
        <f>IF($I3240="","",IF(ISNUMBER($I3240),TEXT($I3240,"0"),$I3240))</f>
        <v/>
      </c>
    </row>
    <row r="3241">
      <c r="B3241" s="25" t="n"/>
      <c r="I3241" s="25" t="n"/>
      <c r="U3241" s="19">
        <f>IF($V3241&lt;&gt;'設定'!$C$4,N(U3240),IF(OR(NOT(COUNTIF('商品マスタ'!$B$6:$B$1005,$W3241)=0),COUNTIFS('①在庫を貼る'!$V$6:$V$10005,$V3241,'①在庫を貼る'!$W$6:$W$10005,$W3241)+COUNTIFS('月1回_1ヶ月前の在庫'!$V$6:$V$10005,$V3241,'月1回_1ヶ月前の在庫'!$W$6:$W$10005,$W3241)&gt;0),N(U3240),N(U3240)+1))</f>
        <v/>
      </c>
      <c r="V3241" s="19">
        <f>IF($B3241="","",TEXT($B3241,"0000"))</f>
        <v/>
      </c>
      <c r="W3241" s="19">
        <f>IF($I3241="","",IF(ISNUMBER($I3241),TEXT($I3241,"0"),$I3241))</f>
        <v/>
      </c>
    </row>
    <row r="3242">
      <c r="B3242" s="25" t="n"/>
      <c r="I3242" s="25" t="n"/>
      <c r="U3242" s="19">
        <f>IF($V3242&lt;&gt;'設定'!$C$4,N(U3241),IF(OR(NOT(COUNTIF('商品マスタ'!$B$6:$B$1005,$W3242)=0),COUNTIFS('①在庫を貼る'!$V$6:$V$10005,$V3242,'①在庫を貼る'!$W$6:$W$10005,$W3242)+COUNTIFS('月1回_1ヶ月前の在庫'!$V$6:$V$10005,$V3242,'月1回_1ヶ月前の在庫'!$W$6:$W$10005,$W3242)&gt;0),N(U3241),N(U3241)+1))</f>
        <v/>
      </c>
      <c r="V3242" s="19">
        <f>IF($B3242="","",TEXT($B3242,"0000"))</f>
        <v/>
      </c>
      <c r="W3242" s="19">
        <f>IF($I3242="","",IF(ISNUMBER($I3242),TEXT($I3242,"0"),$I3242))</f>
        <v/>
      </c>
    </row>
    <row r="3243">
      <c r="B3243" s="25" t="n"/>
      <c r="I3243" s="25" t="n"/>
      <c r="U3243" s="19">
        <f>IF($V3243&lt;&gt;'設定'!$C$4,N(U3242),IF(OR(NOT(COUNTIF('商品マスタ'!$B$6:$B$1005,$W3243)=0),COUNTIFS('①在庫を貼る'!$V$6:$V$10005,$V3243,'①在庫を貼る'!$W$6:$W$10005,$W3243)+COUNTIFS('月1回_1ヶ月前の在庫'!$V$6:$V$10005,$V3243,'月1回_1ヶ月前の在庫'!$W$6:$W$10005,$W3243)&gt;0),N(U3242),N(U3242)+1))</f>
        <v/>
      </c>
      <c r="V3243" s="19">
        <f>IF($B3243="","",TEXT($B3243,"0000"))</f>
        <v/>
      </c>
      <c r="W3243" s="19">
        <f>IF($I3243="","",IF(ISNUMBER($I3243),TEXT($I3243,"0"),$I3243))</f>
        <v/>
      </c>
    </row>
    <row r="3244">
      <c r="B3244" s="25" t="n"/>
      <c r="I3244" s="25" t="n"/>
      <c r="U3244" s="19">
        <f>IF($V3244&lt;&gt;'設定'!$C$4,N(U3243),IF(OR(NOT(COUNTIF('商品マスタ'!$B$6:$B$1005,$W3244)=0),COUNTIFS('①在庫を貼る'!$V$6:$V$10005,$V3244,'①在庫を貼る'!$W$6:$W$10005,$W3244)+COUNTIFS('月1回_1ヶ月前の在庫'!$V$6:$V$10005,$V3244,'月1回_1ヶ月前の在庫'!$W$6:$W$10005,$W3244)&gt;0),N(U3243),N(U3243)+1))</f>
        <v/>
      </c>
      <c r="V3244" s="19">
        <f>IF($B3244="","",TEXT($B3244,"0000"))</f>
        <v/>
      </c>
      <c r="W3244" s="19">
        <f>IF($I3244="","",IF(ISNUMBER($I3244),TEXT($I3244,"0"),$I3244))</f>
        <v/>
      </c>
    </row>
    <row r="3245">
      <c r="B3245" s="25" t="n"/>
      <c r="I3245" s="25" t="n"/>
      <c r="U3245" s="19">
        <f>IF($V3245&lt;&gt;'設定'!$C$4,N(U3244),IF(OR(NOT(COUNTIF('商品マスタ'!$B$6:$B$1005,$W3245)=0),COUNTIFS('①在庫を貼る'!$V$6:$V$10005,$V3245,'①在庫を貼る'!$W$6:$W$10005,$W3245)+COUNTIFS('月1回_1ヶ月前の在庫'!$V$6:$V$10005,$V3245,'月1回_1ヶ月前の在庫'!$W$6:$W$10005,$W3245)&gt;0),N(U3244),N(U3244)+1))</f>
        <v/>
      </c>
      <c r="V3245" s="19">
        <f>IF($B3245="","",TEXT($B3245,"0000"))</f>
        <v/>
      </c>
      <c r="W3245" s="19">
        <f>IF($I3245="","",IF(ISNUMBER($I3245),TEXT($I3245,"0"),$I3245))</f>
        <v/>
      </c>
    </row>
    <row r="3246">
      <c r="B3246" s="25" t="n"/>
      <c r="I3246" s="25" t="n"/>
      <c r="U3246" s="19">
        <f>IF($V3246&lt;&gt;'設定'!$C$4,N(U3245),IF(OR(NOT(COUNTIF('商品マスタ'!$B$6:$B$1005,$W3246)=0),COUNTIFS('①在庫を貼る'!$V$6:$V$10005,$V3246,'①在庫を貼る'!$W$6:$W$10005,$W3246)+COUNTIFS('月1回_1ヶ月前の在庫'!$V$6:$V$10005,$V3246,'月1回_1ヶ月前の在庫'!$W$6:$W$10005,$W3246)&gt;0),N(U3245),N(U3245)+1))</f>
        <v/>
      </c>
      <c r="V3246" s="19">
        <f>IF($B3246="","",TEXT($B3246,"0000"))</f>
        <v/>
      </c>
      <c r="W3246" s="19">
        <f>IF($I3246="","",IF(ISNUMBER($I3246),TEXT($I3246,"0"),$I3246))</f>
        <v/>
      </c>
    </row>
    <row r="3247">
      <c r="B3247" s="25" t="n"/>
      <c r="I3247" s="25" t="n"/>
      <c r="U3247" s="19">
        <f>IF($V3247&lt;&gt;'設定'!$C$4,N(U3246),IF(OR(NOT(COUNTIF('商品マスタ'!$B$6:$B$1005,$W3247)=0),COUNTIFS('①在庫を貼る'!$V$6:$V$10005,$V3247,'①在庫を貼る'!$W$6:$W$10005,$W3247)+COUNTIFS('月1回_1ヶ月前の在庫'!$V$6:$V$10005,$V3247,'月1回_1ヶ月前の在庫'!$W$6:$W$10005,$W3247)&gt;0),N(U3246),N(U3246)+1))</f>
        <v/>
      </c>
      <c r="V3247" s="19">
        <f>IF($B3247="","",TEXT($B3247,"0000"))</f>
        <v/>
      </c>
      <c r="W3247" s="19">
        <f>IF($I3247="","",IF(ISNUMBER($I3247),TEXT($I3247,"0"),$I3247))</f>
        <v/>
      </c>
    </row>
    <row r="3248">
      <c r="B3248" s="25" t="n"/>
      <c r="I3248" s="25" t="n"/>
      <c r="U3248" s="19">
        <f>IF($V3248&lt;&gt;'設定'!$C$4,N(U3247),IF(OR(NOT(COUNTIF('商品マスタ'!$B$6:$B$1005,$W3248)=0),COUNTIFS('①在庫を貼る'!$V$6:$V$10005,$V3248,'①在庫を貼る'!$W$6:$W$10005,$W3248)+COUNTIFS('月1回_1ヶ月前の在庫'!$V$6:$V$10005,$V3248,'月1回_1ヶ月前の在庫'!$W$6:$W$10005,$W3248)&gt;0),N(U3247),N(U3247)+1))</f>
        <v/>
      </c>
      <c r="V3248" s="19">
        <f>IF($B3248="","",TEXT($B3248,"0000"))</f>
        <v/>
      </c>
      <c r="W3248" s="19">
        <f>IF($I3248="","",IF(ISNUMBER($I3248),TEXT($I3248,"0"),$I3248))</f>
        <v/>
      </c>
    </row>
    <row r="3249">
      <c r="B3249" s="25" t="n"/>
      <c r="I3249" s="25" t="n"/>
      <c r="U3249" s="19">
        <f>IF($V3249&lt;&gt;'設定'!$C$4,N(U3248),IF(OR(NOT(COUNTIF('商品マスタ'!$B$6:$B$1005,$W3249)=0),COUNTIFS('①在庫を貼る'!$V$6:$V$10005,$V3249,'①在庫を貼る'!$W$6:$W$10005,$W3249)+COUNTIFS('月1回_1ヶ月前の在庫'!$V$6:$V$10005,$V3249,'月1回_1ヶ月前の在庫'!$W$6:$W$10005,$W3249)&gt;0),N(U3248),N(U3248)+1))</f>
        <v/>
      </c>
      <c r="V3249" s="19">
        <f>IF($B3249="","",TEXT($B3249,"0000"))</f>
        <v/>
      </c>
      <c r="W3249" s="19">
        <f>IF($I3249="","",IF(ISNUMBER($I3249),TEXT($I3249,"0"),$I3249))</f>
        <v/>
      </c>
    </row>
    <row r="3250">
      <c r="B3250" s="25" t="n"/>
      <c r="I3250" s="25" t="n"/>
      <c r="U3250" s="19">
        <f>IF($V3250&lt;&gt;'設定'!$C$4,N(U3249),IF(OR(NOT(COUNTIF('商品マスタ'!$B$6:$B$1005,$W3250)=0),COUNTIFS('①在庫を貼る'!$V$6:$V$10005,$V3250,'①在庫を貼る'!$W$6:$W$10005,$W3250)+COUNTIFS('月1回_1ヶ月前の在庫'!$V$6:$V$10005,$V3250,'月1回_1ヶ月前の在庫'!$W$6:$W$10005,$W3250)&gt;0),N(U3249),N(U3249)+1))</f>
        <v/>
      </c>
      <c r="V3250" s="19">
        <f>IF($B3250="","",TEXT($B3250,"0000"))</f>
        <v/>
      </c>
      <c r="W3250" s="19">
        <f>IF($I3250="","",IF(ISNUMBER($I3250),TEXT($I3250,"0"),$I3250))</f>
        <v/>
      </c>
    </row>
    <row r="3251">
      <c r="B3251" s="25" t="n"/>
      <c r="I3251" s="25" t="n"/>
      <c r="U3251" s="19">
        <f>IF($V3251&lt;&gt;'設定'!$C$4,N(U3250),IF(OR(NOT(COUNTIF('商品マスタ'!$B$6:$B$1005,$W3251)=0),COUNTIFS('①在庫を貼る'!$V$6:$V$10005,$V3251,'①在庫を貼る'!$W$6:$W$10005,$W3251)+COUNTIFS('月1回_1ヶ月前の在庫'!$V$6:$V$10005,$V3251,'月1回_1ヶ月前の在庫'!$W$6:$W$10005,$W3251)&gt;0),N(U3250),N(U3250)+1))</f>
        <v/>
      </c>
      <c r="V3251" s="19">
        <f>IF($B3251="","",TEXT($B3251,"0000"))</f>
        <v/>
      </c>
      <c r="W3251" s="19">
        <f>IF($I3251="","",IF(ISNUMBER($I3251),TEXT($I3251,"0"),$I3251))</f>
        <v/>
      </c>
    </row>
    <row r="3252">
      <c r="B3252" s="25" t="n"/>
      <c r="I3252" s="25" t="n"/>
      <c r="U3252" s="19">
        <f>IF($V3252&lt;&gt;'設定'!$C$4,N(U3251),IF(OR(NOT(COUNTIF('商品マスタ'!$B$6:$B$1005,$W3252)=0),COUNTIFS('①在庫を貼る'!$V$6:$V$10005,$V3252,'①在庫を貼る'!$W$6:$W$10005,$W3252)+COUNTIFS('月1回_1ヶ月前の在庫'!$V$6:$V$10005,$V3252,'月1回_1ヶ月前の在庫'!$W$6:$W$10005,$W3252)&gt;0),N(U3251),N(U3251)+1))</f>
        <v/>
      </c>
      <c r="V3252" s="19">
        <f>IF($B3252="","",TEXT($B3252,"0000"))</f>
        <v/>
      </c>
      <c r="W3252" s="19">
        <f>IF($I3252="","",IF(ISNUMBER($I3252),TEXT($I3252,"0"),$I3252))</f>
        <v/>
      </c>
    </row>
    <row r="3253">
      <c r="B3253" s="25" t="n"/>
      <c r="I3253" s="25" t="n"/>
      <c r="U3253" s="19">
        <f>IF($V3253&lt;&gt;'設定'!$C$4,N(U3252),IF(OR(NOT(COUNTIF('商品マスタ'!$B$6:$B$1005,$W3253)=0),COUNTIFS('①在庫を貼る'!$V$6:$V$10005,$V3253,'①在庫を貼る'!$W$6:$W$10005,$W3253)+COUNTIFS('月1回_1ヶ月前の在庫'!$V$6:$V$10005,$V3253,'月1回_1ヶ月前の在庫'!$W$6:$W$10005,$W3253)&gt;0),N(U3252),N(U3252)+1))</f>
        <v/>
      </c>
      <c r="V3253" s="19">
        <f>IF($B3253="","",TEXT($B3253,"0000"))</f>
        <v/>
      </c>
      <c r="W3253" s="19">
        <f>IF($I3253="","",IF(ISNUMBER($I3253),TEXT($I3253,"0"),$I3253))</f>
        <v/>
      </c>
    </row>
    <row r="3254">
      <c r="B3254" s="25" t="n"/>
      <c r="I3254" s="25" t="n"/>
      <c r="U3254" s="19">
        <f>IF($V3254&lt;&gt;'設定'!$C$4,N(U3253),IF(OR(NOT(COUNTIF('商品マスタ'!$B$6:$B$1005,$W3254)=0),COUNTIFS('①在庫を貼る'!$V$6:$V$10005,$V3254,'①在庫を貼る'!$W$6:$W$10005,$W3254)+COUNTIFS('月1回_1ヶ月前の在庫'!$V$6:$V$10005,$V3254,'月1回_1ヶ月前の在庫'!$W$6:$W$10005,$W3254)&gt;0),N(U3253),N(U3253)+1))</f>
        <v/>
      </c>
      <c r="V3254" s="19">
        <f>IF($B3254="","",TEXT($B3254,"0000"))</f>
        <v/>
      </c>
      <c r="W3254" s="19">
        <f>IF($I3254="","",IF(ISNUMBER($I3254),TEXT($I3254,"0"),$I3254))</f>
        <v/>
      </c>
    </row>
    <row r="3255">
      <c r="B3255" s="25" t="n"/>
      <c r="I3255" s="25" t="n"/>
      <c r="U3255" s="19">
        <f>IF($V3255&lt;&gt;'設定'!$C$4,N(U3254),IF(OR(NOT(COUNTIF('商品マスタ'!$B$6:$B$1005,$W3255)=0),COUNTIFS('①在庫を貼る'!$V$6:$V$10005,$V3255,'①在庫を貼る'!$W$6:$W$10005,$W3255)+COUNTIFS('月1回_1ヶ月前の在庫'!$V$6:$V$10005,$V3255,'月1回_1ヶ月前の在庫'!$W$6:$W$10005,$W3255)&gt;0),N(U3254),N(U3254)+1))</f>
        <v/>
      </c>
      <c r="V3255" s="19">
        <f>IF($B3255="","",TEXT($B3255,"0000"))</f>
        <v/>
      </c>
      <c r="W3255" s="19">
        <f>IF($I3255="","",IF(ISNUMBER($I3255),TEXT($I3255,"0"),$I3255))</f>
        <v/>
      </c>
    </row>
    <row r="3256">
      <c r="B3256" s="25" t="n"/>
      <c r="I3256" s="25" t="n"/>
      <c r="U3256" s="19">
        <f>IF($V3256&lt;&gt;'設定'!$C$4,N(U3255),IF(OR(NOT(COUNTIF('商品マスタ'!$B$6:$B$1005,$W3256)=0),COUNTIFS('①在庫を貼る'!$V$6:$V$10005,$V3256,'①在庫を貼る'!$W$6:$W$10005,$W3256)+COUNTIFS('月1回_1ヶ月前の在庫'!$V$6:$V$10005,$V3256,'月1回_1ヶ月前の在庫'!$W$6:$W$10005,$W3256)&gt;0),N(U3255),N(U3255)+1))</f>
        <v/>
      </c>
      <c r="V3256" s="19">
        <f>IF($B3256="","",TEXT($B3256,"0000"))</f>
        <v/>
      </c>
      <c r="W3256" s="19">
        <f>IF($I3256="","",IF(ISNUMBER($I3256),TEXT($I3256,"0"),$I3256))</f>
        <v/>
      </c>
    </row>
    <row r="3257">
      <c r="B3257" s="25" t="n"/>
      <c r="I3257" s="25" t="n"/>
      <c r="U3257" s="19">
        <f>IF($V3257&lt;&gt;'設定'!$C$4,N(U3256),IF(OR(NOT(COUNTIF('商品マスタ'!$B$6:$B$1005,$W3257)=0),COUNTIFS('①在庫を貼る'!$V$6:$V$10005,$V3257,'①在庫を貼る'!$W$6:$W$10005,$W3257)+COUNTIFS('月1回_1ヶ月前の在庫'!$V$6:$V$10005,$V3257,'月1回_1ヶ月前の在庫'!$W$6:$W$10005,$W3257)&gt;0),N(U3256),N(U3256)+1))</f>
        <v/>
      </c>
      <c r="V3257" s="19">
        <f>IF($B3257="","",TEXT($B3257,"0000"))</f>
        <v/>
      </c>
      <c r="W3257" s="19">
        <f>IF($I3257="","",IF(ISNUMBER($I3257),TEXT($I3257,"0"),$I3257))</f>
        <v/>
      </c>
    </row>
    <row r="3258">
      <c r="B3258" s="25" t="n"/>
      <c r="I3258" s="25" t="n"/>
      <c r="U3258" s="19">
        <f>IF($V3258&lt;&gt;'設定'!$C$4,N(U3257),IF(OR(NOT(COUNTIF('商品マスタ'!$B$6:$B$1005,$W3258)=0),COUNTIFS('①在庫を貼る'!$V$6:$V$10005,$V3258,'①在庫を貼る'!$W$6:$W$10005,$W3258)+COUNTIFS('月1回_1ヶ月前の在庫'!$V$6:$V$10005,$V3258,'月1回_1ヶ月前の在庫'!$W$6:$W$10005,$W3258)&gt;0),N(U3257),N(U3257)+1))</f>
        <v/>
      </c>
      <c r="V3258" s="19">
        <f>IF($B3258="","",TEXT($B3258,"0000"))</f>
        <v/>
      </c>
      <c r="W3258" s="19">
        <f>IF($I3258="","",IF(ISNUMBER($I3258),TEXT($I3258,"0"),$I3258))</f>
        <v/>
      </c>
    </row>
    <row r="3259">
      <c r="B3259" s="25" t="n"/>
      <c r="I3259" s="25" t="n"/>
      <c r="U3259" s="19">
        <f>IF($V3259&lt;&gt;'設定'!$C$4,N(U3258),IF(OR(NOT(COUNTIF('商品マスタ'!$B$6:$B$1005,$W3259)=0),COUNTIFS('①在庫を貼る'!$V$6:$V$10005,$V3259,'①在庫を貼る'!$W$6:$W$10005,$W3259)+COUNTIFS('月1回_1ヶ月前の在庫'!$V$6:$V$10005,$V3259,'月1回_1ヶ月前の在庫'!$W$6:$W$10005,$W3259)&gt;0),N(U3258),N(U3258)+1))</f>
        <v/>
      </c>
      <c r="V3259" s="19">
        <f>IF($B3259="","",TEXT($B3259,"0000"))</f>
        <v/>
      </c>
      <c r="W3259" s="19">
        <f>IF($I3259="","",IF(ISNUMBER($I3259),TEXT($I3259,"0"),$I3259))</f>
        <v/>
      </c>
    </row>
    <row r="3260">
      <c r="B3260" s="25" t="n"/>
      <c r="I3260" s="25" t="n"/>
      <c r="U3260" s="19">
        <f>IF($V3260&lt;&gt;'設定'!$C$4,N(U3259),IF(OR(NOT(COUNTIF('商品マスタ'!$B$6:$B$1005,$W3260)=0),COUNTIFS('①在庫を貼る'!$V$6:$V$10005,$V3260,'①在庫を貼る'!$W$6:$W$10005,$W3260)+COUNTIFS('月1回_1ヶ月前の在庫'!$V$6:$V$10005,$V3260,'月1回_1ヶ月前の在庫'!$W$6:$W$10005,$W3260)&gt;0),N(U3259),N(U3259)+1))</f>
        <v/>
      </c>
      <c r="V3260" s="19">
        <f>IF($B3260="","",TEXT($B3260,"0000"))</f>
        <v/>
      </c>
      <c r="W3260" s="19">
        <f>IF($I3260="","",IF(ISNUMBER($I3260),TEXT($I3260,"0"),$I3260))</f>
        <v/>
      </c>
    </row>
    <row r="3261">
      <c r="B3261" s="25" t="n"/>
      <c r="I3261" s="25" t="n"/>
      <c r="U3261" s="19">
        <f>IF($V3261&lt;&gt;'設定'!$C$4,N(U3260),IF(OR(NOT(COUNTIF('商品マスタ'!$B$6:$B$1005,$W3261)=0),COUNTIFS('①在庫を貼る'!$V$6:$V$10005,$V3261,'①在庫を貼る'!$W$6:$W$10005,$W3261)+COUNTIFS('月1回_1ヶ月前の在庫'!$V$6:$V$10005,$V3261,'月1回_1ヶ月前の在庫'!$W$6:$W$10005,$W3261)&gt;0),N(U3260),N(U3260)+1))</f>
        <v/>
      </c>
      <c r="V3261" s="19">
        <f>IF($B3261="","",TEXT($B3261,"0000"))</f>
        <v/>
      </c>
      <c r="W3261" s="19">
        <f>IF($I3261="","",IF(ISNUMBER($I3261),TEXT($I3261,"0"),$I3261))</f>
        <v/>
      </c>
    </row>
    <row r="3262">
      <c r="B3262" s="25" t="n"/>
      <c r="I3262" s="25" t="n"/>
      <c r="U3262" s="19">
        <f>IF($V3262&lt;&gt;'設定'!$C$4,N(U3261),IF(OR(NOT(COUNTIF('商品マスタ'!$B$6:$B$1005,$W3262)=0),COUNTIFS('①在庫を貼る'!$V$6:$V$10005,$V3262,'①在庫を貼る'!$W$6:$W$10005,$W3262)+COUNTIFS('月1回_1ヶ月前の在庫'!$V$6:$V$10005,$V3262,'月1回_1ヶ月前の在庫'!$W$6:$W$10005,$W3262)&gt;0),N(U3261),N(U3261)+1))</f>
        <v/>
      </c>
      <c r="V3262" s="19">
        <f>IF($B3262="","",TEXT($B3262,"0000"))</f>
        <v/>
      </c>
      <c r="W3262" s="19">
        <f>IF($I3262="","",IF(ISNUMBER($I3262),TEXT($I3262,"0"),$I3262))</f>
        <v/>
      </c>
    </row>
    <row r="3263">
      <c r="B3263" s="25" t="n"/>
      <c r="I3263" s="25" t="n"/>
      <c r="U3263" s="19">
        <f>IF($V3263&lt;&gt;'設定'!$C$4,N(U3262),IF(OR(NOT(COUNTIF('商品マスタ'!$B$6:$B$1005,$W3263)=0),COUNTIFS('①在庫を貼る'!$V$6:$V$10005,$V3263,'①在庫を貼る'!$W$6:$W$10005,$W3263)+COUNTIFS('月1回_1ヶ月前の在庫'!$V$6:$V$10005,$V3263,'月1回_1ヶ月前の在庫'!$W$6:$W$10005,$W3263)&gt;0),N(U3262),N(U3262)+1))</f>
        <v/>
      </c>
      <c r="V3263" s="19">
        <f>IF($B3263="","",TEXT($B3263,"0000"))</f>
        <v/>
      </c>
      <c r="W3263" s="19">
        <f>IF($I3263="","",IF(ISNUMBER($I3263),TEXT($I3263,"0"),$I3263))</f>
        <v/>
      </c>
    </row>
    <row r="3264">
      <c r="B3264" s="25" t="n"/>
      <c r="I3264" s="25" t="n"/>
      <c r="U3264" s="19">
        <f>IF($V3264&lt;&gt;'設定'!$C$4,N(U3263),IF(OR(NOT(COUNTIF('商品マスタ'!$B$6:$B$1005,$W3264)=0),COUNTIFS('①在庫を貼る'!$V$6:$V$10005,$V3264,'①在庫を貼る'!$W$6:$W$10005,$W3264)+COUNTIFS('月1回_1ヶ月前の在庫'!$V$6:$V$10005,$V3264,'月1回_1ヶ月前の在庫'!$W$6:$W$10005,$W3264)&gt;0),N(U3263),N(U3263)+1))</f>
        <v/>
      </c>
      <c r="V3264" s="19">
        <f>IF($B3264="","",TEXT($B3264,"0000"))</f>
        <v/>
      </c>
      <c r="W3264" s="19">
        <f>IF($I3264="","",IF(ISNUMBER($I3264),TEXT($I3264,"0"),$I3264))</f>
        <v/>
      </c>
    </row>
    <row r="3265">
      <c r="B3265" s="25" t="n"/>
      <c r="I3265" s="25" t="n"/>
      <c r="U3265" s="19">
        <f>IF($V3265&lt;&gt;'設定'!$C$4,N(U3264),IF(OR(NOT(COUNTIF('商品マスタ'!$B$6:$B$1005,$W3265)=0),COUNTIFS('①在庫を貼る'!$V$6:$V$10005,$V3265,'①在庫を貼る'!$W$6:$W$10005,$W3265)+COUNTIFS('月1回_1ヶ月前の在庫'!$V$6:$V$10005,$V3265,'月1回_1ヶ月前の在庫'!$W$6:$W$10005,$W3265)&gt;0),N(U3264),N(U3264)+1))</f>
        <v/>
      </c>
      <c r="V3265" s="19">
        <f>IF($B3265="","",TEXT($B3265,"0000"))</f>
        <v/>
      </c>
      <c r="W3265" s="19">
        <f>IF($I3265="","",IF(ISNUMBER($I3265),TEXT($I3265,"0"),$I3265))</f>
        <v/>
      </c>
    </row>
    <row r="3266">
      <c r="B3266" s="25" t="n"/>
      <c r="I3266" s="25" t="n"/>
      <c r="U3266" s="19">
        <f>IF($V3266&lt;&gt;'設定'!$C$4,N(U3265),IF(OR(NOT(COUNTIF('商品マスタ'!$B$6:$B$1005,$W3266)=0),COUNTIFS('①在庫を貼る'!$V$6:$V$10005,$V3266,'①在庫を貼る'!$W$6:$W$10005,$W3266)+COUNTIFS('月1回_1ヶ月前の在庫'!$V$6:$V$10005,$V3266,'月1回_1ヶ月前の在庫'!$W$6:$W$10005,$W3266)&gt;0),N(U3265),N(U3265)+1))</f>
        <v/>
      </c>
      <c r="V3266" s="19">
        <f>IF($B3266="","",TEXT($B3266,"0000"))</f>
        <v/>
      </c>
      <c r="W3266" s="19">
        <f>IF($I3266="","",IF(ISNUMBER($I3266),TEXT($I3266,"0"),$I3266))</f>
        <v/>
      </c>
    </row>
    <row r="3267">
      <c r="B3267" s="25" t="n"/>
      <c r="I3267" s="25" t="n"/>
      <c r="U3267" s="19">
        <f>IF($V3267&lt;&gt;'設定'!$C$4,N(U3266),IF(OR(NOT(COUNTIF('商品マスタ'!$B$6:$B$1005,$W3267)=0),COUNTIFS('①在庫を貼る'!$V$6:$V$10005,$V3267,'①在庫を貼る'!$W$6:$W$10005,$W3267)+COUNTIFS('月1回_1ヶ月前の在庫'!$V$6:$V$10005,$V3267,'月1回_1ヶ月前の在庫'!$W$6:$W$10005,$W3267)&gt;0),N(U3266),N(U3266)+1))</f>
        <v/>
      </c>
      <c r="V3267" s="19">
        <f>IF($B3267="","",TEXT($B3267,"0000"))</f>
        <v/>
      </c>
      <c r="W3267" s="19">
        <f>IF($I3267="","",IF(ISNUMBER($I3267),TEXT($I3267,"0"),$I3267))</f>
        <v/>
      </c>
    </row>
    <row r="3268">
      <c r="B3268" s="25" t="n"/>
      <c r="I3268" s="25" t="n"/>
      <c r="U3268" s="19">
        <f>IF($V3268&lt;&gt;'設定'!$C$4,N(U3267),IF(OR(NOT(COUNTIF('商品マスタ'!$B$6:$B$1005,$W3268)=0),COUNTIFS('①在庫を貼る'!$V$6:$V$10005,$V3268,'①在庫を貼る'!$W$6:$W$10005,$W3268)+COUNTIFS('月1回_1ヶ月前の在庫'!$V$6:$V$10005,$V3268,'月1回_1ヶ月前の在庫'!$W$6:$W$10005,$W3268)&gt;0),N(U3267),N(U3267)+1))</f>
        <v/>
      </c>
      <c r="V3268" s="19">
        <f>IF($B3268="","",TEXT($B3268,"0000"))</f>
        <v/>
      </c>
      <c r="W3268" s="19">
        <f>IF($I3268="","",IF(ISNUMBER($I3268),TEXT($I3268,"0"),$I3268))</f>
        <v/>
      </c>
    </row>
    <row r="3269">
      <c r="B3269" s="25" t="n"/>
      <c r="I3269" s="25" t="n"/>
      <c r="U3269" s="19">
        <f>IF($V3269&lt;&gt;'設定'!$C$4,N(U3268),IF(OR(NOT(COUNTIF('商品マスタ'!$B$6:$B$1005,$W3269)=0),COUNTIFS('①在庫を貼る'!$V$6:$V$10005,$V3269,'①在庫を貼る'!$W$6:$W$10005,$W3269)+COUNTIFS('月1回_1ヶ月前の在庫'!$V$6:$V$10005,$V3269,'月1回_1ヶ月前の在庫'!$W$6:$W$10005,$W3269)&gt;0),N(U3268),N(U3268)+1))</f>
        <v/>
      </c>
      <c r="V3269" s="19">
        <f>IF($B3269="","",TEXT($B3269,"0000"))</f>
        <v/>
      </c>
      <c r="W3269" s="19">
        <f>IF($I3269="","",IF(ISNUMBER($I3269),TEXT($I3269,"0"),$I3269))</f>
        <v/>
      </c>
    </row>
    <row r="3270">
      <c r="B3270" s="25" t="n"/>
      <c r="I3270" s="25" t="n"/>
      <c r="U3270" s="19">
        <f>IF($V3270&lt;&gt;'設定'!$C$4,N(U3269),IF(OR(NOT(COUNTIF('商品マスタ'!$B$6:$B$1005,$W3270)=0),COUNTIFS('①在庫を貼る'!$V$6:$V$10005,$V3270,'①在庫を貼る'!$W$6:$W$10005,$W3270)+COUNTIFS('月1回_1ヶ月前の在庫'!$V$6:$V$10005,$V3270,'月1回_1ヶ月前の在庫'!$W$6:$W$10005,$W3270)&gt;0),N(U3269),N(U3269)+1))</f>
        <v/>
      </c>
      <c r="V3270" s="19">
        <f>IF($B3270="","",TEXT($B3270,"0000"))</f>
        <v/>
      </c>
      <c r="W3270" s="19">
        <f>IF($I3270="","",IF(ISNUMBER($I3270),TEXT($I3270,"0"),$I3270))</f>
        <v/>
      </c>
    </row>
    <row r="3271">
      <c r="B3271" s="25" t="n"/>
      <c r="I3271" s="25" t="n"/>
      <c r="U3271" s="19">
        <f>IF($V3271&lt;&gt;'設定'!$C$4,N(U3270),IF(OR(NOT(COUNTIF('商品マスタ'!$B$6:$B$1005,$W3271)=0),COUNTIFS('①在庫を貼る'!$V$6:$V$10005,$V3271,'①在庫を貼る'!$W$6:$W$10005,$W3271)+COUNTIFS('月1回_1ヶ月前の在庫'!$V$6:$V$10005,$V3271,'月1回_1ヶ月前の在庫'!$W$6:$W$10005,$W3271)&gt;0),N(U3270),N(U3270)+1))</f>
        <v/>
      </c>
      <c r="V3271" s="19">
        <f>IF($B3271="","",TEXT($B3271,"0000"))</f>
        <v/>
      </c>
      <c r="W3271" s="19">
        <f>IF($I3271="","",IF(ISNUMBER($I3271),TEXT($I3271,"0"),$I3271))</f>
        <v/>
      </c>
    </row>
    <row r="3272">
      <c r="B3272" s="25" t="n"/>
      <c r="I3272" s="25" t="n"/>
      <c r="U3272" s="19">
        <f>IF($V3272&lt;&gt;'設定'!$C$4,N(U3271),IF(OR(NOT(COUNTIF('商品マスタ'!$B$6:$B$1005,$W3272)=0),COUNTIFS('①在庫を貼る'!$V$6:$V$10005,$V3272,'①在庫を貼る'!$W$6:$W$10005,$W3272)+COUNTIFS('月1回_1ヶ月前の在庫'!$V$6:$V$10005,$V3272,'月1回_1ヶ月前の在庫'!$W$6:$W$10005,$W3272)&gt;0),N(U3271),N(U3271)+1))</f>
        <v/>
      </c>
      <c r="V3272" s="19">
        <f>IF($B3272="","",TEXT($B3272,"0000"))</f>
        <v/>
      </c>
      <c r="W3272" s="19">
        <f>IF($I3272="","",IF(ISNUMBER($I3272),TEXT($I3272,"0"),$I3272))</f>
        <v/>
      </c>
    </row>
    <row r="3273">
      <c r="B3273" s="25" t="n"/>
      <c r="I3273" s="25" t="n"/>
      <c r="U3273" s="19">
        <f>IF($V3273&lt;&gt;'設定'!$C$4,N(U3272),IF(OR(NOT(COUNTIF('商品マスタ'!$B$6:$B$1005,$W3273)=0),COUNTIFS('①在庫を貼る'!$V$6:$V$10005,$V3273,'①在庫を貼る'!$W$6:$W$10005,$W3273)+COUNTIFS('月1回_1ヶ月前の在庫'!$V$6:$V$10005,$V3273,'月1回_1ヶ月前の在庫'!$W$6:$W$10005,$W3273)&gt;0),N(U3272),N(U3272)+1))</f>
        <v/>
      </c>
      <c r="V3273" s="19">
        <f>IF($B3273="","",TEXT($B3273,"0000"))</f>
        <v/>
      </c>
      <c r="W3273" s="19">
        <f>IF($I3273="","",IF(ISNUMBER($I3273),TEXT($I3273,"0"),$I3273))</f>
        <v/>
      </c>
    </row>
    <row r="3274">
      <c r="B3274" s="25" t="n"/>
      <c r="I3274" s="25" t="n"/>
      <c r="U3274" s="19">
        <f>IF($V3274&lt;&gt;'設定'!$C$4,N(U3273),IF(OR(NOT(COUNTIF('商品マスタ'!$B$6:$B$1005,$W3274)=0),COUNTIFS('①在庫を貼る'!$V$6:$V$10005,$V3274,'①在庫を貼る'!$W$6:$W$10005,$W3274)+COUNTIFS('月1回_1ヶ月前の在庫'!$V$6:$V$10005,$V3274,'月1回_1ヶ月前の在庫'!$W$6:$W$10005,$W3274)&gt;0),N(U3273),N(U3273)+1))</f>
        <v/>
      </c>
      <c r="V3274" s="19">
        <f>IF($B3274="","",TEXT($B3274,"0000"))</f>
        <v/>
      </c>
      <c r="W3274" s="19">
        <f>IF($I3274="","",IF(ISNUMBER($I3274),TEXT($I3274,"0"),$I3274))</f>
        <v/>
      </c>
    </row>
    <row r="3275">
      <c r="B3275" s="25" t="n"/>
      <c r="I3275" s="25" t="n"/>
      <c r="U3275" s="19">
        <f>IF($V3275&lt;&gt;'設定'!$C$4,N(U3274),IF(OR(NOT(COUNTIF('商品マスタ'!$B$6:$B$1005,$W3275)=0),COUNTIFS('①在庫を貼る'!$V$6:$V$10005,$V3275,'①在庫を貼る'!$W$6:$W$10005,$W3275)+COUNTIFS('月1回_1ヶ月前の在庫'!$V$6:$V$10005,$V3275,'月1回_1ヶ月前の在庫'!$W$6:$W$10005,$W3275)&gt;0),N(U3274),N(U3274)+1))</f>
        <v/>
      </c>
      <c r="V3275" s="19">
        <f>IF($B3275="","",TEXT($B3275,"0000"))</f>
        <v/>
      </c>
      <c r="W3275" s="19">
        <f>IF($I3275="","",IF(ISNUMBER($I3275),TEXT($I3275,"0"),$I3275))</f>
        <v/>
      </c>
    </row>
    <row r="3276">
      <c r="B3276" s="25" t="n"/>
      <c r="I3276" s="25" t="n"/>
      <c r="U3276" s="19">
        <f>IF($V3276&lt;&gt;'設定'!$C$4,N(U3275),IF(OR(NOT(COUNTIF('商品マスタ'!$B$6:$B$1005,$W3276)=0),COUNTIFS('①在庫を貼る'!$V$6:$V$10005,$V3276,'①在庫を貼る'!$W$6:$W$10005,$W3276)+COUNTIFS('月1回_1ヶ月前の在庫'!$V$6:$V$10005,$V3276,'月1回_1ヶ月前の在庫'!$W$6:$W$10005,$W3276)&gt;0),N(U3275),N(U3275)+1))</f>
        <v/>
      </c>
      <c r="V3276" s="19">
        <f>IF($B3276="","",TEXT($B3276,"0000"))</f>
        <v/>
      </c>
      <c r="W3276" s="19">
        <f>IF($I3276="","",IF(ISNUMBER($I3276),TEXT($I3276,"0"),$I3276))</f>
        <v/>
      </c>
    </row>
    <row r="3277">
      <c r="B3277" s="25" t="n"/>
      <c r="I3277" s="25" t="n"/>
      <c r="U3277" s="19">
        <f>IF($V3277&lt;&gt;'設定'!$C$4,N(U3276),IF(OR(NOT(COUNTIF('商品マスタ'!$B$6:$B$1005,$W3277)=0),COUNTIFS('①在庫を貼る'!$V$6:$V$10005,$V3277,'①在庫を貼る'!$W$6:$W$10005,$W3277)+COUNTIFS('月1回_1ヶ月前の在庫'!$V$6:$V$10005,$V3277,'月1回_1ヶ月前の在庫'!$W$6:$W$10005,$W3277)&gt;0),N(U3276),N(U3276)+1))</f>
        <v/>
      </c>
      <c r="V3277" s="19">
        <f>IF($B3277="","",TEXT($B3277,"0000"))</f>
        <v/>
      </c>
      <c r="W3277" s="19">
        <f>IF($I3277="","",IF(ISNUMBER($I3277),TEXT($I3277,"0"),$I3277))</f>
        <v/>
      </c>
    </row>
    <row r="3278">
      <c r="B3278" s="25" t="n"/>
      <c r="I3278" s="25" t="n"/>
      <c r="U3278" s="19">
        <f>IF($V3278&lt;&gt;'設定'!$C$4,N(U3277),IF(OR(NOT(COUNTIF('商品マスタ'!$B$6:$B$1005,$W3278)=0),COUNTIFS('①在庫を貼る'!$V$6:$V$10005,$V3278,'①在庫を貼る'!$W$6:$W$10005,$W3278)+COUNTIFS('月1回_1ヶ月前の在庫'!$V$6:$V$10005,$V3278,'月1回_1ヶ月前の在庫'!$W$6:$W$10005,$W3278)&gt;0),N(U3277),N(U3277)+1))</f>
        <v/>
      </c>
      <c r="V3278" s="19">
        <f>IF($B3278="","",TEXT($B3278,"0000"))</f>
        <v/>
      </c>
      <c r="W3278" s="19">
        <f>IF($I3278="","",IF(ISNUMBER($I3278),TEXT($I3278,"0"),$I3278))</f>
        <v/>
      </c>
    </row>
    <row r="3279">
      <c r="B3279" s="25" t="n"/>
      <c r="I3279" s="25" t="n"/>
      <c r="U3279" s="19">
        <f>IF($V3279&lt;&gt;'設定'!$C$4,N(U3278),IF(OR(NOT(COUNTIF('商品マスタ'!$B$6:$B$1005,$W3279)=0),COUNTIFS('①在庫を貼る'!$V$6:$V$10005,$V3279,'①在庫を貼る'!$W$6:$W$10005,$W3279)+COUNTIFS('月1回_1ヶ月前の在庫'!$V$6:$V$10005,$V3279,'月1回_1ヶ月前の在庫'!$W$6:$W$10005,$W3279)&gt;0),N(U3278),N(U3278)+1))</f>
        <v/>
      </c>
      <c r="V3279" s="19">
        <f>IF($B3279="","",TEXT($B3279,"0000"))</f>
        <v/>
      </c>
      <c r="W3279" s="19">
        <f>IF($I3279="","",IF(ISNUMBER($I3279),TEXT($I3279,"0"),$I3279))</f>
        <v/>
      </c>
    </row>
    <row r="3280">
      <c r="B3280" s="25" t="n"/>
      <c r="I3280" s="25" t="n"/>
      <c r="U3280" s="19">
        <f>IF($V3280&lt;&gt;'設定'!$C$4,N(U3279),IF(OR(NOT(COUNTIF('商品マスタ'!$B$6:$B$1005,$W3280)=0),COUNTIFS('①在庫を貼る'!$V$6:$V$10005,$V3280,'①在庫を貼る'!$W$6:$W$10005,$W3280)+COUNTIFS('月1回_1ヶ月前の在庫'!$V$6:$V$10005,$V3280,'月1回_1ヶ月前の在庫'!$W$6:$W$10005,$W3280)&gt;0),N(U3279),N(U3279)+1))</f>
        <v/>
      </c>
      <c r="V3280" s="19">
        <f>IF($B3280="","",TEXT($B3280,"0000"))</f>
        <v/>
      </c>
      <c r="W3280" s="19">
        <f>IF($I3280="","",IF(ISNUMBER($I3280),TEXT($I3280,"0"),$I3280))</f>
        <v/>
      </c>
    </row>
    <row r="3281">
      <c r="B3281" s="25" t="n"/>
      <c r="I3281" s="25" t="n"/>
      <c r="U3281" s="19">
        <f>IF($V3281&lt;&gt;'設定'!$C$4,N(U3280),IF(OR(NOT(COUNTIF('商品マスタ'!$B$6:$B$1005,$W3281)=0),COUNTIFS('①在庫を貼る'!$V$6:$V$10005,$V3281,'①在庫を貼る'!$W$6:$W$10005,$W3281)+COUNTIFS('月1回_1ヶ月前の在庫'!$V$6:$V$10005,$V3281,'月1回_1ヶ月前の在庫'!$W$6:$W$10005,$W3281)&gt;0),N(U3280),N(U3280)+1))</f>
        <v/>
      </c>
      <c r="V3281" s="19">
        <f>IF($B3281="","",TEXT($B3281,"0000"))</f>
        <v/>
      </c>
      <c r="W3281" s="19">
        <f>IF($I3281="","",IF(ISNUMBER($I3281),TEXT($I3281,"0"),$I3281))</f>
        <v/>
      </c>
    </row>
    <row r="3282">
      <c r="B3282" s="25" t="n"/>
      <c r="I3282" s="25" t="n"/>
      <c r="U3282" s="19">
        <f>IF($V3282&lt;&gt;'設定'!$C$4,N(U3281),IF(OR(NOT(COUNTIF('商品マスタ'!$B$6:$B$1005,$W3282)=0),COUNTIFS('①在庫を貼る'!$V$6:$V$10005,$V3282,'①在庫を貼る'!$W$6:$W$10005,$W3282)+COUNTIFS('月1回_1ヶ月前の在庫'!$V$6:$V$10005,$V3282,'月1回_1ヶ月前の在庫'!$W$6:$W$10005,$W3282)&gt;0),N(U3281),N(U3281)+1))</f>
        <v/>
      </c>
      <c r="V3282" s="19">
        <f>IF($B3282="","",TEXT($B3282,"0000"))</f>
        <v/>
      </c>
      <c r="W3282" s="19">
        <f>IF($I3282="","",IF(ISNUMBER($I3282),TEXT($I3282,"0"),$I3282))</f>
        <v/>
      </c>
    </row>
    <row r="3283">
      <c r="B3283" s="25" t="n"/>
      <c r="I3283" s="25" t="n"/>
      <c r="U3283" s="19">
        <f>IF($V3283&lt;&gt;'設定'!$C$4,N(U3282),IF(OR(NOT(COUNTIF('商品マスタ'!$B$6:$B$1005,$W3283)=0),COUNTIFS('①在庫を貼る'!$V$6:$V$10005,$V3283,'①在庫を貼る'!$W$6:$W$10005,$W3283)+COUNTIFS('月1回_1ヶ月前の在庫'!$V$6:$V$10005,$V3283,'月1回_1ヶ月前の在庫'!$W$6:$W$10005,$W3283)&gt;0),N(U3282),N(U3282)+1))</f>
        <v/>
      </c>
      <c r="V3283" s="19">
        <f>IF($B3283="","",TEXT($B3283,"0000"))</f>
        <v/>
      </c>
      <c r="W3283" s="19">
        <f>IF($I3283="","",IF(ISNUMBER($I3283),TEXT($I3283,"0"),$I3283))</f>
        <v/>
      </c>
    </row>
    <row r="3284">
      <c r="B3284" s="25" t="n"/>
      <c r="I3284" s="25" t="n"/>
      <c r="U3284" s="19">
        <f>IF($V3284&lt;&gt;'設定'!$C$4,N(U3283),IF(OR(NOT(COUNTIF('商品マスタ'!$B$6:$B$1005,$W3284)=0),COUNTIFS('①在庫を貼る'!$V$6:$V$10005,$V3284,'①在庫を貼る'!$W$6:$W$10005,$W3284)+COUNTIFS('月1回_1ヶ月前の在庫'!$V$6:$V$10005,$V3284,'月1回_1ヶ月前の在庫'!$W$6:$W$10005,$W3284)&gt;0),N(U3283),N(U3283)+1))</f>
        <v/>
      </c>
      <c r="V3284" s="19">
        <f>IF($B3284="","",TEXT($B3284,"0000"))</f>
        <v/>
      </c>
      <c r="W3284" s="19">
        <f>IF($I3284="","",IF(ISNUMBER($I3284),TEXT($I3284,"0"),$I3284))</f>
        <v/>
      </c>
    </row>
    <row r="3285">
      <c r="B3285" s="25" t="n"/>
      <c r="I3285" s="25" t="n"/>
      <c r="U3285" s="19">
        <f>IF($V3285&lt;&gt;'設定'!$C$4,N(U3284),IF(OR(NOT(COUNTIF('商品マスタ'!$B$6:$B$1005,$W3285)=0),COUNTIFS('①在庫を貼る'!$V$6:$V$10005,$V3285,'①在庫を貼る'!$W$6:$W$10005,$W3285)+COUNTIFS('月1回_1ヶ月前の在庫'!$V$6:$V$10005,$V3285,'月1回_1ヶ月前の在庫'!$W$6:$W$10005,$W3285)&gt;0),N(U3284),N(U3284)+1))</f>
        <v/>
      </c>
      <c r="V3285" s="19">
        <f>IF($B3285="","",TEXT($B3285,"0000"))</f>
        <v/>
      </c>
      <c r="W3285" s="19">
        <f>IF($I3285="","",IF(ISNUMBER($I3285),TEXT($I3285,"0"),$I3285))</f>
        <v/>
      </c>
    </row>
    <row r="3286">
      <c r="B3286" s="25" t="n"/>
      <c r="I3286" s="25" t="n"/>
      <c r="U3286" s="19">
        <f>IF($V3286&lt;&gt;'設定'!$C$4,N(U3285),IF(OR(NOT(COUNTIF('商品マスタ'!$B$6:$B$1005,$W3286)=0),COUNTIFS('①在庫を貼る'!$V$6:$V$10005,$V3286,'①在庫を貼る'!$W$6:$W$10005,$W3286)+COUNTIFS('月1回_1ヶ月前の在庫'!$V$6:$V$10005,$V3286,'月1回_1ヶ月前の在庫'!$W$6:$W$10005,$W3286)&gt;0),N(U3285),N(U3285)+1))</f>
        <v/>
      </c>
      <c r="V3286" s="19">
        <f>IF($B3286="","",TEXT($B3286,"0000"))</f>
        <v/>
      </c>
      <c r="W3286" s="19">
        <f>IF($I3286="","",IF(ISNUMBER($I3286),TEXT($I3286,"0"),$I3286))</f>
        <v/>
      </c>
    </row>
    <row r="3287">
      <c r="B3287" s="25" t="n"/>
      <c r="I3287" s="25" t="n"/>
      <c r="U3287" s="19">
        <f>IF($V3287&lt;&gt;'設定'!$C$4,N(U3286),IF(OR(NOT(COUNTIF('商品マスタ'!$B$6:$B$1005,$W3287)=0),COUNTIFS('①在庫を貼る'!$V$6:$V$10005,$V3287,'①在庫を貼る'!$W$6:$W$10005,$W3287)+COUNTIFS('月1回_1ヶ月前の在庫'!$V$6:$V$10005,$V3287,'月1回_1ヶ月前の在庫'!$W$6:$W$10005,$W3287)&gt;0),N(U3286),N(U3286)+1))</f>
        <v/>
      </c>
      <c r="V3287" s="19">
        <f>IF($B3287="","",TEXT($B3287,"0000"))</f>
        <v/>
      </c>
      <c r="W3287" s="19">
        <f>IF($I3287="","",IF(ISNUMBER($I3287),TEXT($I3287,"0"),$I3287))</f>
        <v/>
      </c>
    </row>
    <row r="3288">
      <c r="B3288" s="25" t="n"/>
      <c r="I3288" s="25" t="n"/>
      <c r="U3288" s="19">
        <f>IF($V3288&lt;&gt;'設定'!$C$4,N(U3287),IF(OR(NOT(COUNTIF('商品マスタ'!$B$6:$B$1005,$W3288)=0),COUNTIFS('①在庫を貼る'!$V$6:$V$10005,$V3288,'①在庫を貼る'!$W$6:$W$10005,$W3288)+COUNTIFS('月1回_1ヶ月前の在庫'!$V$6:$V$10005,$V3288,'月1回_1ヶ月前の在庫'!$W$6:$W$10005,$W3288)&gt;0),N(U3287),N(U3287)+1))</f>
        <v/>
      </c>
      <c r="V3288" s="19">
        <f>IF($B3288="","",TEXT($B3288,"0000"))</f>
        <v/>
      </c>
      <c r="W3288" s="19">
        <f>IF($I3288="","",IF(ISNUMBER($I3288),TEXT($I3288,"0"),$I3288))</f>
        <v/>
      </c>
    </row>
    <row r="3289">
      <c r="B3289" s="25" t="n"/>
      <c r="I3289" s="25" t="n"/>
      <c r="U3289" s="19">
        <f>IF($V3289&lt;&gt;'設定'!$C$4,N(U3288),IF(OR(NOT(COUNTIF('商品マスタ'!$B$6:$B$1005,$W3289)=0),COUNTIFS('①在庫を貼る'!$V$6:$V$10005,$V3289,'①在庫を貼る'!$W$6:$W$10005,$W3289)+COUNTIFS('月1回_1ヶ月前の在庫'!$V$6:$V$10005,$V3289,'月1回_1ヶ月前の在庫'!$W$6:$W$10005,$W3289)&gt;0),N(U3288),N(U3288)+1))</f>
        <v/>
      </c>
      <c r="V3289" s="19">
        <f>IF($B3289="","",TEXT($B3289,"0000"))</f>
        <v/>
      </c>
      <c r="W3289" s="19">
        <f>IF($I3289="","",IF(ISNUMBER($I3289),TEXT($I3289,"0"),$I3289))</f>
        <v/>
      </c>
    </row>
    <row r="3290">
      <c r="B3290" s="25" t="n"/>
      <c r="I3290" s="25" t="n"/>
      <c r="U3290" s="19">
        <f>IF($V3290&lt;&gt;'設定'!$C$4,N(U3289),IF(OR(NOT(COUNTIF('商品マスタ'!$B$6:$B$1005,$W3290)=0),COUNTIFS('①在庫を貼る'!$V$6:$V$10005,$V3290,'①在庫を貼る'!$W$6:$W$10005,$W3290)+COUNTIFS('月1回_1ヶ月前の在庫'!$V$6:$V$10005,$V3290,'月1回_1ヶ月前の在庫'!$W$6:$W$10005,$W3290)&gt;0),N(U3289),N(U3289)+1))</f>
        <v/>
      </c>
      <c r="V3290" s="19">
        <f>IF($B3290="","",TEXT($B3290,"0000"))</f>
        <v/>
      </c>
      <c r="W3290" s="19">
        <f>IF($I3290="","",IF(ISNUMBER($I3290),TEXT($I3290,"0"),$I3290))</f>
        <v/>
      </c>
    </row>
    <row r="3291">
      <c r="B3291" s="25" t="n"/>
      <c r="I3291" s="25" t="n"/>
      <c r="U3291" s="19">
        <f>IF($V3291&lt;&gt;'設定'!$C$4,N(U3290),IF(OR(NOT(COUNTIF('商品マスタ'!$B$6:$B$1005,$W3291)=0),COUNTIFS('①在庫を貼る'!$V$6:$V$10005,$V3291,'①在庫を貼る'!$W$6:$W$10005,$W3291)+COUNTIFS('月1回_1ヶ月前の在庫'!$V$6:$V$10005,$V3291,'月1回_1ヶ月前の在庫'!$W$6:$W$10005,$W3291)&gt;0),N(U3290),N(U3290)+1))</f>
        <v/>
      </c>
      <c r="V3291" s="19">
        <f>IF($B3291="","",TEXT($B3291,"0000"))</f>
        <v/>
      </c>
      <c r="W3291" s="19">
        <f>IF($I3291="","",IF(ISNUMBER($I3291),TEXT($I3291,"0"),$I3291))</f>
        <v/>
      </c>
    </row>
    <row r="3292">
      <c r="B3292" s="25" t="n"/>
      <c r="I3292" s="25" t="n"/>
      <c r="U3292" s="19">
        <f>IF($V3292&lt;&gt;'設定'!$C$4,N(U3291),IF(OR(NOT(COUNTIF('商品マスタ'!$B$6:$B$1005,$W3292)=0),COUNTIFS('①在庫を貼る'!$V$6:$V$10005,$V3292,'①在庫を貼る'!$W$6:$W$10005,$W3292)+COUNTIFS('月1回_1ヶ月前の在庫'!$V$6:$V$10005,$V3292,'月1回_1ヶ月前の在庫'!$W$6:$W$10005,$W3292)&gt;0),N(U3291),N(U3291)+1))</f>
        <v/>
      </c>
      <c r="V3292" s="19">
        <f>IF($B3292="","",TEXT($B3292,"0000"))</f>
        <v/>
      </c>
      <c r="W3292" s="19">
        <f>IF($I3292="","",IF(ISNUMBER($I3292),TEXT($I3292,"0"),$I3292))</f>
        <v/>
      </c>
    </row>
    <row r="3293">
      <c r="B3293" s="25" t="n"/>
      <c r="I3293" s="25" t="n"/>
      <c r="U3293" s="19">
        <f>IF($V3293&lt;&gt;'設定'!$C$4,N(U3292),IF(OR(NOT(COUNTIF('商品マスタ'!$B$6:$B$1005,$W3293)=0),COUNTIFS('①在庫を貼る'!$V$6:$V$10005,$V3293,'①在庫を貼る'!$W$6:$W$10005,$W3293)+COUNTIFS('月1回_1ヶ月前の在庫'!$V$6:$V$10005,$V3293,'月1回_1ヶ月前の在庫'!$W$6:$W$10005,$W3293)&gt;0),N(U3292),N(U3292)+1))</f>
        <v/>
      </c>
      <c r="V3293" s="19">
        <f>IF($B3293="","",TEXT($B3293,"0000"))</f>
        <v/>
      </c>
      <c r="W3293" s="19">
        <f>IF($I3293="","",IF(ISNUMBER($I3293),TEXT($I3293,"0"),$I3293))</f>
        <v/>
      </c>
    </row>
    <row r="3294">
      <c r="B3294" s="25" t="n"/>
      <c r="I3294" s="25" t="n"/>
      <c r="U3294" s="19">
        <f>IF($V3294&lt;&gt;'設定'!$C$4,N(U3293),IF(OR(NOT(COUNTIF('商品マスタ'!$B$6:$B$1005,$W3294)=0),COUNTIFS('①在庫を貼る'!$V$6:$V$10005,$V3294,'①在庫を貼る'!$W$6:$W$10005,$W3294)+COUNTIFS('月1回_1ヶ月前の在庫'!$V$6:$V$10005,$V3294,'月1回_1ヶ月前の在庫'!$W$6:$W$10005,$W3294)&gt;0),N(U3293),N(U3293)+1))</f>
        <v/>
      </c>
      <c r="V3294" s="19">
        <f>IF($B3294="","",TEXT($B3294,"0000"))</f>
        <v/>
      </c>
      <c r="W3294" s="19">
        <f>IF($I3294="","",IF(ISNUMBER($I3294),TEXT($I3294,"0"),$I3294))</f>
        <v/>
      </c>
    </row>
    <row r="3295">
      <c r="B3295" s="25" t="n"/>
      <c r="I3295" s="25" t="n"/>
      <c r="U3295" s="19">
        <f>IF($V3295&lt;&gt;'設定'!$C$4,N(U3294),IF(OR(NOT(COUNTIF('商品マスタ'!$B$6:$B$1005,$W3295)=0),COUNTIFS('①在庫を貼る'!$V$6:$V$10005,$V3295,'①在庫を貼る'!$W$6:$W$10005,$W3295)+COUNTIFS('月1回_1ヶ月前の在庫'!$V$6:$V$10005,$V3295,'月1回_1ヶ月前の在庫'!$W$6:$W$10005,$W3295)&gt;0),N(U3294),N(U3294)+1))</f>
        <v/>
      </c>
      <c r="V3295" s="19">
        <f>IF($B3295="","",TEXT($B3295,"0000"))</f>
        <v/>
      </c>
      <c r="W3295" s="19">
        <f>IF($I3295="","",IF(ISNUMBER($I3295),TEXT($I3295,"0"),$I3295))</f>
        <v/>
      </c>
    </row>
    <row r="3296">
      <c r="B3296" s="25" t="n"/>
      <c r="I3296" s="25" t="n"/>
      <c r="U3296" s="19">
        <f>IF($V3296&lt;&gt;'設定'!$C$4,N(U3295),IF(OR(NOT(COUNTIF('商品マスタ'!$B$6:$B$1005,$W3296)=0),COUNTIFS('①在庫を貼る'!$V$6:$V$10005,$V3296,'①在庫を貼る'!$W$6:$W$10005,$W3296)+COUNTIFS('月1回_1ヶ月前の在庫'!$V$6:$V$10005,$V3296,'月1回_1ヶ月前の在庫'!$W$6:$W$10005,$W3296)&gt;0),N(U3295),N(U3295)+1))</f>
        <v/>
      </c>
      <c r="V3296" s="19">
        <f>IF($B3296="","",TEXT($B3296,"0000"))</f>
        <v/>
      </c>
      <c r="W3296" s="19">
        <f>IF($I3296="","",IF(ISNUMBER($I3296),TEXT($I3296,"0"),$I3296))</f>
        <v/>
      </c>
    </row>
    <row r="3297">
      <c r="B3297" s="25" t="n"/>
      <c r="I3297" s="25" t="n"/>
      <c r="U3297" s="19">
        <f>IF($V3297&lt;&gt;'設定'!$C$4,N(U3296),IF(OR(NOT(COUNTIF('商品マスタ'!$B$6:$B$1005,$W3297)=0),COUNTIFS('①在庫を貼る'!$V$6:$V$10005,$V3297,'①在庫を貼る'!$W$6:$W$10005,$W3297)+COUNTIFS('月1回_1ヶ月前の在庫'!$V$6:$V$10005,$V3297,'月1回_1ヶ月前の在庫'!$W$6:$W$10005,$W3297)&gt;0),N(U3296),N(U3296)+1))</f>
        <v/>
      </c>
      <c r="V3297" s="19">
        <f>IF($B3297="","",TEXT($B3297,"0000"))</f>
        <v/>
      </c>
      <c r="W3297" s="19">
        <f>IF($I3297="","",IF(ISNUMBER($I3297),TEXT($I3297,"0"),$I3297))</f>
        <v/>
      </c>
    </row>
    <row r="3298">
      <c r="B3298" s="25" t="n"/>
      <c r="I3298" s="25" t="n"/>
      <c r="U3298" s="19">
        <f>IF($V3298&lt;&gt;'設定'!$C$4,N(U3297),IF(OR(NOT(COUNTIF('商品マスタ'!$B$6:$B$1005,$W3298)=0),COUNTIFS('①在庫を貼る'!$V$6:$V$10005,$V3298,'①在庫を貼る'!$W$6:$W$10005,$W3298)+COUNTIFS('月1回_1ヶ月前の在庫'!$V$6:$V$10005,$V3298,'月1回_1ヶ月前の在庫'!$W$6:$W$10005,$W3298)&gt;0),N(U3297),N(U3297)+1))</f>
        <v/>
      </c>
      <c r="V3298" s="19">
        <f>IF($B3298="","",TEXT($B3298,"0000"))</f>
        <v/>
      </c>
      <c r="W3298" s="19">
        <f>IF($I3298="","",IF(ISNUMBER($I3298),TEXT($I3298,"0"),$I3298))</f>
        <v/>
      </c>
    </row>
    <row r="3299">
      <c r="B3299" s="25" t="n"/>
      <c r="I3299" s="25" t="n"/>
      <c r="U3299" s="19">
        <f>IF($V3299&lt;&gt;'設定'!$C$4,N(U3298),IF(OR(NOT(COUNTIF('商品マスタ'!$B$6:$B$1005,$W3299)=0),COUNTIFS('①在庫を貼る'!$V$6:$V$10005,$V3299,'①在庫を貼る'!$W$6:$W$10005,$W3299)+COUNTIFS('月1回_1ヶ月前の在庫'!$V$6:$V$10005,$V3299,'月1回_1ヶ月前の在庫'!$W$6:$W$10005,$W3299)&gt;0),N(U3298),N(U3298)+1))</f>
        <v/>
      </c>
      <c r="V3299" s="19">
        <f>IF($B3299="","",TEXT($B3299,"0000"))</f>
        <v/>
      </c>
      <c r="W3299" s="19">
        <f>IF($I3299="","",IF(ISNUMBER($I3299),TEXT($I3299,"0"),$I3299))</f>
        <v/>
      </c>
    </row>
    <row r="3300">
      <c r="B3300" s="25" t="n"/>
      <c r="I3300" s="25" t="n"/>
      <c r="U3300" s="19">
        <f>IF($V3300&lt;&gt;'設定'!$C$4,N(U3299),IF(OR(NOT(COUNTIF('商品マスタ'!$B$6:$B$1005,$W3300)=0),COUNTIFS('①在庫を貼る'!$V$6:$V$10005,$V3300,'①在庫を貼る'!$W$6:$W$10005,$W3300)+COUNTIFS('月1回_1ヶ月前の在庫'!$V$6:$V$10005,$V3300,'月1回_1ヶ月前の在庫'!$W$6:$W$10005,$W3300)&gt;0),N(U3299),N(U3299)+1))</f>
        <v/>
      </c>
      <c r="V3300" s="19">
        <f>IF($B3300="","",TEXT($B3300,"0000"))</f>
        <v/>
      </c>
      <c r="W3300" s="19">
        <f>IF($I3300="","",IF(ISNUMBER($I3300),TEXT($I3300,"0"),$I3300))</f>
        <v/>
      </c>
    </row>
    <row r="3301">
      <c r="B3301" s="25" t="n"/>
      <c r="I3301" s="25" t="n"/>
      <c r="U3301" s="19">
        <f>IF($V3301&lt;&gt;'設定'!$C$4,N(U3300),IF(OR(NOT(COUNTIF('商品マスタ'!$B$6:$B$1005,$W3301)=0),COUNTIFS('①在庫を貼る'!$V$6:$V$10005,$V3301,'①在庫を貼る'!$W$6:$W$10005,$W3301)+COUNTIFS('月1回_1ヶ月前の在庫'!$V$6:$V$10005,$V3301,'月1回_1ヶ月前の在庫'!$W$6:$W$10005,$W3301)&gt;0),N(U3300),N(U3300)+1))</f>
        <v/>
      </c>
      <c r="V3301" s="19">
        <f>IF($B3301="","",TEXT($B3301,"0000"))</f>
        <v/>
      </c>
      <c r="W3301" s="19">
        <f>IF($I3301="","",IF(ISNUMBER($I3301),TEXT($I3301,"0"),$I3301))</f>
        <v/>
      </c>
    </row>
    <row r="3302">
      <c r="B3302" s="25" t="n"/>
      <c r="I3302" s="25" t="n"/>
      <c r="U3302" s="19">
        <f>IF($V3302&lt;&gt;'設定'!$C$4,N(U3301),IF(OR(NOT(COUNTIF('商品マスタ'!$B$6:$B$1005,$W3302)=0),COUNTIFS('①在庫を貼る'!$V$6:$V$10005,$V3302,'①在庫を貼る'!$W$6:$W$10005,$W3302)+COUNTIFS('月1回_1ヶ月前の在庫'!$V$6:$V$10005,$V3302,'月1回_1ヶ月前の在庫'!$W$6:$W$10005,$W3302)&gt;0),N(U3301),N(U3301)+1))</f>
        <v/>
      </c>
      <c r="V3302" s="19">
        <f>IF($B3302="","",TEXT($B3302,"0000"))</f>
        <v/>
      </c>
      <c r="W3302" s="19">
        <f>IF($I3302="","",IF(ISNUMBER($I3302),TEXT($I3302,"0"),$I3302))</f>
        <v/>
      </c>
    </row>
    <row r="3303">
      <c r="B3303" s="25" t="n"/>
      <c r="I3303" s="25" t="n"/>
      <c r="U3303" s="19">
        <f>IF($V3303&lt;&gt;'設定'!$C$4,N(U3302),IF(OR(NOT(COUNTIF('商品マスタ'!$B$6:$B$1005,$W3303)=0),COUNTIFS('①在庫を貼る'!$V$6:$V$10005,$V3303,'①在庫を貼る'!$W$6:$W$10005,$W3303)+COUNTIFS('月1回_1ヶ月前の在庫'!$V$6:$V$10005,$V3303,'月1回_1ヶ月前の在庫'!$W$6:$W$10005,$W3303)&gt;0),N(U3302),N(U3302)+1))</f>
        <v/>
      </c>
      <c r="V3303" s="19">
        <f>IF($B3303="","",TEXT($B3303,"0000"))</f>
        <v/>
      </c>
      <c r="W3303" s="19">
        <f>IF($I3303="","",IF(ISNUMBER($I3303),TEXT($I3303,"0"),$I3303))</f>
        <v/>
      </c>
    </row>
    <row r="3304">
      <c r="B3304" s="25" t="n"/>
      <c r="I3304" s="25" t="n"/>
      <c r="U3304" s="19">
        <f>IF($V3304&lt;&gt;'設定'!$C$4,N(U3303),IF(OR(NOT(COUNTIF('商品マスタ'!$B$6:$B$1005,$W3304)=0),COUNTIFS('①在庫を貼る'!$V$6:$V$10005,$V3304,'①在庫を貼る'!$W$6:$W$10005,$W3304)+COUNTIFS('月1回_1ヶ月前の在庫'!$V$6:$V$10005,$V3304,'月1回_1ヶ月前の在庫'!$W$6:$W$10005,$W3304)&gt;0),N(U3303),N(U3303)+1))</f>
        <v/>
      </c>
      <c r="V3304" s="19">
        <f>IF($B3304="","",TEXT($B3304,"0000"))</f>
        <v/>
      </c>
      <c r="W3304" s="19">
        <f>IF($I3304="","",IF(ISNUMBER($I3304),TEXT($I3304,"0"),$I3304))</f>
        <v/>
      </c>
    </row>
    <row r="3305">
      <c r="B3305" s="25" t="n"/>
      <c r="I3305" s="25" t="n"/>
      <c r="U3305" s="19">
        <f>IF($V3305&lt;&gt;'設定'!$C$4,N(U3304),IF(OR(NOT(COUNTIF('商品マスタ'!$B$6:$B$1005,$W3305)=0),COUNTIFS('①在庫を貼る'!$V$6:$V$10005,$V3305,'①在庫を貼る'!$W$6:$W$10005,$W3305)+COUNTIFS('月1回_1ヶ月前の在庫'!$V$6:$V$10005,$V3305,'月1回_1ヶ月前の在庫'!$W$6:$W$10005,$W3305)&gt;0),N(U3304),N(U3304)+1))</f>
        <v/>
      </c>
      <c r="V3305" s="19">
        <f>IF($B3305="","",TEXT($B3305,"0000"))</f>
        <v/>
      </c>
      <c r="W3305" s="19">
        <f>IF($I3305="","",IF(ISNUMBER($I3305),TEXT($I3305,"0"),$I3305))</f>
        <v/>
      </c>
    </row>
    <row r="3306">
      <c r="B3306" s="25" t="n"/>
      <c r="I3306" s="25" t="n"/>
      <c r="U3306" s="19">
        <f>IF($V3306&lt;&gt;'設定'!$C$4,N(U3305),IF(OR(NOT(COUNTIF('商品マスタ'!$B$6:$B$1005,$W3306)=0),COUNTIFS('①在庫を貼る'!$V$6:$V$10005,$V3306,'①在庫を貼る'!$W$6:$W$10005,$W3306)+COUNTIFS('月1回_1ヶ月前の在庫'!$V$6:$V$10005,$V3306,'月1回_1ヶ月前の在庫'!$W$6:$W$10005,$W3306)&gt;0),N(U3305),N(U3305)+1))</f>
        <v/>
      </c>
      <c r="V3306" s="19">
        <f>IF($B3306="","",TEXT($B3306,"0000"))</f>
        <v/>
      </c>
      <c r="W3306" s="19">
        <f>IF($I3306="","",IF(ISNUMBER($I3306),TEXT($I3306,"0"),$I3306))</f>
        <v/>
      </c>
    </row>
    <row r="3307">
      <c r="B3307" s="25" t="n"/>
      <c r="I3307" s="25" t="n"/>
      <c r="U3307" s="19">
        <f>IF($V3307&lt;&gt;'設定'!$C$4,N(U3306),IF(OR(NOT(COUNTIF('商品マスタ'!$B$6:$B$1005,$W3307)=0),COUNTIFS('①在庫を貼る'!$V$6:$V$10005,$V3307,'①在庫を貼る'!$W$6:$W$10005,$W3307)+COUNTIFS('月1回_1ヶ月前の在庫'!$V$6:$V$10005,$V3307,'月1回_1ヶ月前の在庫'!$W$6:$W$10005,$W3307)&gt;0),N(U3306),N(U3306)+1))</f>
        <v/>
      </c>
      <c r="V3307" s="19">
        <f>IF($B3307="","",TEXT($B3307,"0000"))</f>
        <v/>
      </c>
      <c r="W3307" s="19">
        <f>IF($I3307="","",IF(ISNUMBER($I3307),TEXT($I3307,"0"),$I3307))</f>
        <v/>
      </c>
    </row>
    <row r="3308">
      <c r="B3308" s="25" t="n"/>
      <c r="I3308" s="25" t="n"/>
      <c r="U3308" s="19">
        <f>IF($V3308&lt;&gt;'設定'!$C$4,N(U3307),IF(OR(NOT(COUNTIF('商品マスタ'!$B$6:$B$1005,$W3308)=0),COUNTIFS('①在庫を貼る'!$V$6:$V$10005,$V3308,'①在庫を貼る'!$W$6:$W$10005,$W3308)+COUNTIFS('月1回_1ヶ月前の在庫'!$V$6:$V$10005,$V3308,'月1回_1ヶ月前の在庫'!$W$6:$W$10005,$W3308)&gt;0),N(U3307),N(U3307)+1))</f>
        <v/>
      </c>
      <c r="V3308" s="19">
        <f>IF($B3308="","",TEXT($B3308,"0000"))</f>
        <v/>
      </c>
      <c r="W3308" s="19">
        <f>IF($I3308="","",IF(ISNUMBER($I3308),TEXT($I3308,"0"),$I3308))</f>
        <v/>
      </c>
    </row>
    <row r="3309">
      <c r="B3309" s="25" t="n"/>
      <c r="I3309" s="25" t="n"/>
      <c r="U3309" s="19">
        <f>IF($V3309&lt;&gt;'設定'!$C$4,N(U3308),IF(OR(NOT(COUNTIF('商品マスタ'!$B$6:$B$1005,$W3309)=0),COUNTIFS('①在庫を貼る'!$V$6:$V$10005,$V3309,'①在庫を貼る'!$W$6:$W$10005,$W3309)+COUNTIFS('月1回_1ヶ月前の在庫'!$V$6:$V$10005,$V3309,'月1回_1ヶ月前の在庫'!$W$6:$W$10005,$W3309)&gt;0),N(U3308),N(U3308)+1))</f>
        <v/>
      </c>
      <c r="V3309" s="19">
        <f>IF($B3309="","",TEXT($B3309,"0000"))</f>
        <v/>
      </c>
      <c r="W3309" s="19">
        <f>IF($I3309="","",IF(ISNUMBER($I3309),TEXT($I3309,"0"),$I3309))</f>
        <v/>
      </c>
    </row>
    <row r="3310">
      <c r="B3310" s="25" t="n"/>
      <c r="I3310" s="25" t="n"/>
      <c r="U3310" s="19">
        <f>IF($V3310&lt;&gt;'設定'!$C$4,N(U3309),IF(OR(NOT(COUNTIF('商品マスタ'!$B$6:$B$1005,$W3310)=0),COUNTIFS('①在庫を貼る'!$V$6:$V$10005,$V3310,'①在庫を貼る'!$W$6:$W$10005,$W3310)+COUNTIFS('月1回_1ヶ月前の在庫'!$V$6:$V$10005,$V3310,'月1回_1ヶ月前の在庫'!$W$6:$W$10005,$W3310)&gt;0),N(U3309),N(U3309)+1))</f>
        <v/>
      </c>
      <c r="V3310" s="19">
        <f>IF($B3310="","",TEXT($B3310,"0000"))</f>
        <v/>
      </c>
      <c r="W3310" s="19">
        <f>IF($I3310="","",IF(ISNUMBER($I3310),TEXT($I3310,"0"),$I3310))</f>
        <v/>
      </c>
    </row>
    <row r="3311">
      <c r="B3311" s="25" t="n"/>
      <c r="I3311" s="25" t="n"/>
      <c r="U3311" s="19">
        <f>IF($V3311&lt;&gt;'設定'!$C$4,N(U3310),IF(OR(NOT(COUNTIF('商品マスタ'!$B$6:$B$1005,$W3311)=0),COUNTIFS('①在庫を貼る'!$V$6:$V$10005,$V3311,'①在庫を貼る'!$W$6:$W$10005,$W3311)+COUNTIFS('月1回_1ヶ月前の在庫'!$V$6:$V$10005,$V3311,'月1回_1ヶ月前の在庫'!$W$6:$W$10005,$W3311)&gt;0),N(U3310),N(U3310)+1))</f>
        <v/>
      </c>
      <c r="V3311" s="19">
        <f>IF($B3311="","",TEXT($B3311,"0000"))</f>
        <v/>
      </c>
      <c r="W3311" s="19">
        <f>IF($I3311="","",IF(ISNUMBER($I3311),TEXT($I3311,"0"),$I3311))</f>
        <v/>
      </c>
    </row>
    <row r="3312">
      <c r="B3312" s="25" t="n"/>
      <c r="I3312" s="25" t="n"/>
      <c r="U3312" s="19">
        <f>IF($V3312&lt;&gt;'設定'!$C$4,N(U3311),IF(OR(NOT(COUNTIF('商品マスタ'!$B$6:$B$1005,$W3312)=0),COUNTIFS('①在庫を貼る'!$V$6:$V$10005,$V3312,'①在庫を貼る'!$W$6:$W$10005,$W3312)+COUNTIFS('月1回_1ヶ月前の在庫'!$V$6:$V$10005,$V3312,'月1回_1ヶ月前の在庫'!$W$6:$W$10005,$W3312)&gt;0),N(U3311),N(U3311)+1))</f>
        <v/>
      </c>
      <c r="V3312" s="19">
        <f>IF($B3312="","",TEXT($B3312,"0000"))</f>
        <v/>
      </c>
      <c r="W3312" s="19">
        <f>IF($I3312="","",IF(ISNUMBER($I3312),TEXT($I3312,"0"),$I3312))</f>
        <v/>
      </c>
    </row>
    <row r="3313">
      <c r="B3313" s="25" t="n"/>
      <c r="I3313" s="25" t="n"/>
      <c r="U3313" s="19">
        <f>IF($V3313&lt;&gt;'設定'!$C$4,N(U3312),IF(OR(NOT(COUNTIF('商品マスタ'!$B$6:$B$1005,$W3313)=0),COUNTIFS('①在庫を貼る'!$V$6:$V$10005,$V3313,'①在庫を貼る'!$W$6:$W$10005,$W3313)+COUNTIFS('月1回_1ヶ月前の在庫'!$V$6:$V$10005,$V3313,'月1回_1ヶ月前の在庫'!$W$6:$W$10005,$W3313)&gt;0),N(U3312),N(U3312)+1))</f>
        <v/>
      </c>
      <c r="V3313" s="19">
        <f>IF($B3313="","",TEXT($B3313,"0000"))</f>
        <v/>
      </c>
      <c r="W3313" s="19">
        <f>IF($I3313="","",IF(ISNUMBER($I3313),TEXT($I3313,"0"),$I3313))</f>
        <v/>
      </c>
    </row>
    <row r="3314">
      <c r="B3314" s="25" t="n"/>
      <c r="I3314" s="25" t="n"/>
      <c r="U3314" s="19">
        <f>IF($V3314&lt;&gt;'設定'!$C$4,N(U3313),IF(OR(NOT(COUNTIF('商品マスタ'!$B$6:$B$1005,$W3314)=0),COUNTIFS('①在庫を貼る'!$V$6:$V$10005,$V3314,'①在庫を貼る'!$W$6:$W$10005,$W3314)+COUNTIFS('月1回_1ヶ月前の在庫'!$V$6:$V$10005,$V3314,'月1回_1ヶ月前の在庫'!$W$6:$W$10005,$W3314)&gt;0),N(U3313),N(U3313)+1))</f>
        <v/>
      </c>
      <c r="V3314" s="19">
        <f>IF($B3314="","",TEXT($B3314,"0000"))</f>
        <v/>
      </c>
      <c r="W3314" s="19">
        <f>IF($I3314="","",IF(ISNUMBER($I3314),TEXT($I3314,"0"),$I3314))</f>
        <v/>
      </c>
    </row>
    <row r="3315">
      <c r="B3315" s="25" t="n"/>
      <c r="I3315" s="25" t="n"/>
      <c r="U3315" s="19">
        <f>IF($V3315&lt;&gt;'設定'!$C$4,N(U3314),IF(OR(NOT(COUNTIF('商品マスタ'!$B$6:$B$1005,$W3315)=0),COUNTIFS('①在庫を貼る'!$V$6:$V$10005,$V3315,'①在庫を貼る'!$W$6:$W$10005,$W3315)+COUNTIFS('月1回_1ヶ月前の在庫'!$V$6:$V$10005,$V3315,'月1回_1ヶ月前の在庫'!$W$6:$W$10005,$W3315)&gt;0),N(U3314),N(U3314)+1))</f>
        <v/>
      </c>
      <c r="V3315" s="19">
        <f>IF($B3315="","",TEXT($B3315,"0000"))</f>
        <v/>
      </c>
      <c r="W3315" s="19">
        <f>IF($I3315="","",IF(ISNUMBER($I3315),TEXT($I3315,"0"),$I3315))</f>
        <v/>
      </c>
    </row>
    <row r="3316">
      <c r="B3316" s="25" t="n"/>
      <c r="I3316" s="25" t="n"/>
      <c r="U3316" s="19">
        <f>IF($V3316&lt;&gt;'設定'!$C$4,N(U3315),IF(OR(NOT(COUNTIF('商品マスタ'!$B$6:$B$1005,$W3316)=0),COUNTIFS('①在庫を貼る'!$V$6:$V$10005,$V3316,'①在庫を貼る'!$W$6:$W$10005,$W3316)+COUNTIFS('月1回_1ヶ月前の在庫'!$V$6:$V$10005,$V3316,'月1回_1ヶ月前の在庫'!$W$6:$W$10005,$W3316)&gt;0),N(U3315),N(U3315)+1))</f>
        <v/>
      </c>
      <c r="V3316" s="19">
        <f>IF($B3316="","",TEXT($B3316,"0000"))</f>
        <v/>
      </c>
      <c r="W3316" s="19">
        <f>IF($I3316="","",IF(ISNUMBER($I3316),TEXT($I3316,"0"),$I3316))</f>
        <v/>
      </c>
    </row>
    <row r="3317">
      <c r="B3317" s="25" t="n"/>
      <c r="I3317" s="25" t="n"/>
      <c r="U3317" s="19">
        <f>IF($V3317&lt;&gt;'設定'!$C$4,N(U3316),IF(OR(NOT(COUNTIF('商品マスタ'!$B$6:$B$1005,$W3317)=0),COUNTIFS('①在庫を貼る'!$V$6:$V$10005,$V3317,'①在庫を貼る'!$W$6:$W$10005,$W3317)+COUNTIFS('月1回_1ヶ月前の在庫'!$V$6:$V$10005,$V3317,'月1回_1ヶ月前の在庫'!$W$6:$W$10005,$W3317)&gt;0),N(U3316),N(U3316)+1))</f>
        <v/>
      </c>
      <c r="V3317" s="19">
        <f>IF($B3317="","",TEXT($B3317,"0000"))</f>
        <v/>
      </c>
      <c r="W3317" s="19">
        <f>IF($I3317="","",IF(ISNUMBER($I3317),TEXT($I3317,"0"),$I3317))</f>
        <v/>
      </c>
    </row>
    <row r="3318">
      <c r="B3318" s="25" t="n"/>
      <c r="I3318" s="25" t="n"/>
      <c r="U3318" s="19">
        <f>IF($V3318&lt;&gt;'設定'!$C$4,N(U3317),IF(OR(NOT(COUNTIF('商品マスタ'!$B$6:$B$1005,$W3318)=0),COUNTIFS('①在庫を貼る'!$V$6:$V$10005,$V3318,'①在庫を貼る'!$W$6:$W$10005,$W3318)+COUNTIFS('月1回_1ヶ月前の在庫'!$V$6:$V$10005,$V3318,'月1回_1ヶ月前の在庫'!$W$6:$W$10005,$W3318)&gt;0),N(U3317),N(U3317)+1))</f>
        <v/>
      </c>
      <c r="V3318" s="19">
        <f>IF($B3318="","",TEXT($B3318,"0000"))</f>
        <v/>
      </c>
      <c r="W3318" s="19">
        <f>IF($I3318="","",IF(ISNUMBER($I3318),TEXT($I3318,"0"),$I3318))</f>
        <v/>
      </c>
    </row>
    <row r="3319">
      <c r="B3319" s="25" t="n"/>
      <c r="I3319" s="25" t="n"/>
      <c r="U3319" s="19">
        <f>IF($V3319&lt;&gt;'設定'!$C$4,N(U3318),IF(OR(NOT(COUNTIF('商品マスタ'!$B$6:$B$1005,$W3319)=0),COUNTIFS('①在庫を貼る'!$V$6:$V$10005,$V3319,'①在庫を貼る'!$W$6:$W$10005,$W3319)+COUNTIFS('月1回_1ヶ月前の在庫'!$V$6:$V$10005,$V3319,'月1回_1ヶ月前の在庫'!$W$6:$W$10005,$W3319)&gt;0),N(U3318),N(U3318)+1))</f>
        <v/>
      </c>
      <c r="V3319" s="19">
        <f>IF($B3319="","",TEXT($B3319,"0000"))</f>
        <v/>
      </c>
      <c r="W3319" s="19">
        <f>IF($I3319="","",IF(ISNUMBER($I3319),TEXT($I3319,"0"),$I3319))</f>
        <v/>
      </c>
    </row>
    <row r="3320">
      <c r="B3320" s="25" t="n"/>
      <c r="I3320" s="25" t="n"/>
      <c r="U3320" s="19">
        <f>IF($V3320&lt;&gt;'設定'!$C$4,N(U3319),IF(OR(NOT(COUNTIF('商品マスタ'!$B$6:$B$1005,$W3320)=0),COUNTIFS('①在庫を貼る'!$V$6:$V$10005,$V3320,'①在庫を貼る'!$W$6:$W$10005,$W3320)+COUNTIFS('月1回_1ヶ月前の在庫'!$V$6:$V$10005,$V3320,'月1回_1ヶ月前の在庫'!$W$6:$W$10005,$W3320)&gt;0),N(U3319),N(U3319)+1))</f>
        <v/>
      </c>
      <c r="V3320" s="19">
        <f>IF($B3320="","",TEXT($B3320,"0000"))</f>
        <v/>
      </c>
      <c r="W3320" s="19">
        <f>IF($I3320="","",IF(ISNUMBER($I3320),TEXT($I3320,"0"),$I3320))</f>
        <v/>
      </c>
    </row>
    <row r="3321">
      <c r="B3321" s="25" t="n"/>
      <c r="I3321" s="25" t="n"/>
      <c r="U3321" s="19">
        <f>IF($V3321&lt;&gt;'設定'!$C$4,N(U3320),IF(OR(NOT(COUNTIF('商品マスタ'!$B$6:$B$1005,$W3321)=0),COUNTIFS('①在庫を貼る'!$V$6:$V$10005,$V3321,'①在庫を貼る'!$W$6:$W$10005,$W3321)+COUNTIFS('月1回_1ヶ月前の在庫'!$V$6:$V$10005,$V3321,'月1回_1ヶ月前の在庫'!$W$6:$W$10005,$W3321)&gt;0),N(U3320),N(U3320)+1))</f>
        <v/>
      </c>
      <c r="V3321" s="19">
        <f>IF($B3321="","",TEXT($B3321,"0000"))</f>
        <v/>
      </c>
      <c r="W3321" s="19">
        <f>IF($I3321="","",IF(ISNUMBER($I3321),TEXT($I3321,"0"),$I3321))</f>
        <v/>
      </c>
    </row>
    <row r="3322">
      <c r="B3322" s="25" t="n"/>
      <c r="I3322" s="25" t="n"/>
      <c r="U3322" s="19">
        <f>IF($V3322&lt;&gt;'設定'!$C$4,N(U3321),IF(OR(NOT(COUNTIF('商品マスタ'!$B$6:$B$1005,$W3322)=0),COUNTIFS('①在庫を貼る'!$V$6:$V$10005,$V3322,'①在庫を貼る'!$W$6:$W$10005,$W3322)+COUNTIFS('月1回_1ヶ月前の在庫'!$V$6:$V$10005,$V3322,'月1回_1ヶ月前の在庫'!$W$6:$W$10005,$W3322)&gt;0),N(U3321),N(U3321)+1))</f>
        <v/>
      </c>
      <c r="V3322" s="19">
        <f>IF($B3322="","",TEXT($B3322,"0000"))</f>
        <v/>
      </c>
      <c r="W3322" s="19">
        <f>IF($I3322="","",IF(ISNUMBER($I3322),TEXT($I3322,"0"),$I3322))</f>
        <v/>
      </c>
    </row>
    <row r="3323">
      <c r="B3323" s="25" t="n"/>
      <c r="I3323" s="25" t="n"/>
      <c r="U3323" s="19">
        <f>IF($V3323&lt;&gt;'設定'!$C$4,N(U3322),IF(OR(NOT(COUNTIF('商品マスタ'!$B$6:$B$1005,$W3323)=0),COUNTIFS('①在庫を貼る'!$V$6:$V$10005,$V3323,'①在庫を貼る'!$W$6:$W$10005,$W3323)+COUNTIFS('月1回_1ヶ月前の在庫'!$V$6:$V$10005,$V3323,'月1回_1ヶ月前の在庫'!$W$6:$W$10005,$W3323)&gt;0),N(U3322),N(U3322)+1))</f>
        <v/>
      </c>
      <c r="V3323" s="19">
        <f>IF($B3323="","",TEXT($B3323,"0000"))</f>
        <v/>
      </c>
      <c r="W3323" s="19">
        <f>IF($I3323="","",IF(ISNUMBER($I3323),TEXT($I3323,"0"),$I3323))</f>
        <v/>
      </c>
    </row>
    <row r="3324">
      <c r="B3324" s="25" t="n"/>
      <c r="I3324" s="25" t="n"/>
      <c r="U3324" s="19">
        <f>IF($V3324&lt;&gt;'設定'!$C$4,N(U3323),IF(OR(NOT(COUNTIF('商品マスタ'!$B$6:$B$1005,$W3324)=0),COUNTIFS('①在庫を貼る'!$V$6:$V$10005,$V3324,'①在庫を貼る'!$W$6:$W$10005,$W3324)+COUNTIFS('月1回_1ヶ月前の在庫'!$V$6:$V$10005,$V3324,'月1回_1ヶ月前の在庫'!$W$6:$W$10005,$W3324)&gt;0),N(U3323),N(U3323)+1))</f>
        <v/>
      </c>
      <c r="V3324" s="19">
        <f>IF($B3324="","",TEXT($B3324,"0000"))</f>
        <v/>
      </c>
      <c r="W3324" s="19">
        <f>IF($I3324="","",IF(ISNUMBER($I3324),TEXT($I3324,"0"),$I3324))</f>
        <v/>
      </c>
    </row>
    <row r="3325">
      <c r="B3325" s="25" t="n"/>
      <c r="I3325" s="25" t="n"/>
      <c r="U3325" s="19">
        <f>IF($V3325&lt;&gt;'設定'!$C$4,N(U3324),IF(OR(NOT(COUNTIF('商品マスタ'!$B$6:$B$1005,$W3325)=0),COUNTIFS('①在庫を貼る'!$V$6:$V$10005,$V3325,'①在庫を貼る'!$W$6:$W$10005,$W3325)+COUNTIFS('月1回_1ヶ月前の在庫'!$V$6:$V$10005,$V3325,'月1回_1ヶ月前の在庫'!$W$6:$W$10005,$W3325)&gt;0),N(U3324),N(U3324)+1))</f>
        <v/>
      </c>
      <c r="V3325" s="19">
        <f>IF($B3325="","",TEXT($B3325,"0000"))</f>
        <v/>
      </c>
      <c r="W3325" s="19">
        <f>IF($I3325="","",IF(ISNUMBER($I3325),TEXT($I3325,"0"),$I3325))</f>
        <v/>
      </c>
    </row>
    <row r="3326">
      <c r="B3326" s="25" t="n"/>
      <c r="I3326" s="25" t="n"/>
      <c r="U3326" s="19">
        <f>IF($V3326&lt;&gt;'設定'!$C$4,N(U3325),IF(OR(NOT(COUNTIF('商品マスタ'!$B$6:$B$1005,$W3326)=0),COUNTIFS('①在庫を貼る'!$V$6:$V$10005,$V3326,'①在庫を貼る'!$W$6:$W$10005,$W3326)+COUNTIFS('月1回_1ヶ月前の在庫'!$V$6:$V$10005,$V3326,'月1回_1ヶ月前の在庫'!$W$6:$W$10005,$W3326)&gt;0),N(U3325),N(U3325)+1))</f>
        <v/>
      </c>
      <c r="V3326" s="19">
        <f>IF($B3326="","",TEXT($B3326,"0000"))</f>
        <v/>
      </c>
      <c r="W3326" s="19">
        <f>IF($I3326="","",IF(ISNUMBER($I3326),TEXT($I3326,"0"),$I3326))</f>
        <v/>
      </c>
    </row>
    <row r="3327">
      <c r="B3327" s="25" t="n"/>
      <c r="I3327" s="25" t="n"/>
      <c r="U3327" s="19">
        <f>IF($V3327&lt;&gt;'設定'!$C$4,N(U3326),IF(OR(NOT(COUNTIF('商品マスタ'!$B$6:$B$1005,$W3327)=0),COUNTIFS('①在庫を貼る'!$V$6:$V$10005,$V3327,'①在庫を貼る'!$W$6:$W$10005,$W3327)+COUNTIFS('月1回_1ヶ月前の在庫'!$V$6:$V$10005,$V3327,'月1回_1ヶ月前の在庫'!$W$6:$W$10005,$W3327)&gt;0),N(U3326),N(U3326)+1))</f>
        <v/>
      </c>
      <c r="V3327" s="19">
        <f>IF($B3327="","",TEXT($B3327,"0000"))</f>
        <v/>
      </c>
      <c r="W3327" s="19">
        <f>IF($I3327="","",IF(ISNUMBER($I3327),TEXT($I3327,"0"),$I3327))</f>
        <v/>
      </c>
    </row>
    <row r="3328">
      <c r="B3328" s="25" t="n"/>
      <c r="I3328" s="25" t="n"/>
      <c r="U3328" s="19">
        <f>IF($V3328&lt;&gt;'設定'!$C$4,N(U3327),IF(OR(NOT(COUNTIF('商品マスタ'!$B$6:$B$1005,$W3328)=0),COUNTIFS('①在庫を貼る'!$V$6:$V$10005,$V3328,'①在庫を貼る'!$W$6:$W$10005,$W3328)+COUNTIFS('月1回_1ヶ月前の在庫'!$V$6:$V$10005,$V3328,'月1回_1ヶ月前の在庫'!$W$6:$W$10005,$W3328)&gt;0),N(U3327),N(U3327)+1))</f>
        <v/>
      </c>
      <c r="V3328" s="19">
        <f>IF($B3328="","",TEXT($B3328,"0000"))</f>
        <v/>
      </c>
      <c r="W3328" s="19">
        <f>IF($I3328="","",IF(ISNUMBER($I3328),TEXT($I3328,"0"),$I3328))</f>
        <v/>
      </c>
    </row>
    <row r="3329">
      <c r="B3329" s="25" t="n"/>
      <c r="I3329" s="25" t="n"/>
      <c r="U3329" s="19">
        <f>IF($V3329&lt;&gt;'設定'!$C$4,N(U3328),IF(OR(NOT(COUNTIF('商品マスタ'!$B$6:$B$1005,$W3329)=0),COUNTIFS('①在庫を貼る'!$V$6:$V$10005,$V3329,'①在庫を貼る'!$W$6:$W$10005,$W3329)+COUNTIFS('月1回_1ヶ月前の在庫'!$V$6:$V$10005,$V3329,'月1回_1ヶ月前の在庫'!$W$6:$W$10005,$W3329)&gt;0),N(U3328),N(U3328)+1))</f>
        <v/>
      </c>
      <c r="V3329" s="19">
        <f>IF($B3329="","",TEXT($B3329,"0000"))</f>
        <v/>
      </c>
      <c r="W3329" s="19">
        <f>IF($I3329="","",IF(ISNUMBER($I3329),TEXT($I3329,"0"),$I3329))</f>
        <v/>
      </c>
    </row>
    <row r="3330">
      <c r="B3330" s="25" t="n"/>
      <c r="I3330" s="25" t="n"/>
      <c r="U3330" s="19">
        <f>IF($V3330&lt;&gt;'設定'!$C$4,N(U3329),IF(OR(NOT(COUNTIF('商品マスタ'!$B$6:$B$1005,$W3330)=0),COUNTIFS('①在庫を貼る'!$V$6:$V$10005,$V3330,'①在庫を貼る'!$W$6:$W$10005,$W3330)+COUNTIFS('月1回_1ヶ月前の在庫'!$V$6:$V$10005,$V3330,'月1回_1ヶ月前の在庫'!$W$6:$W$10005,$W3330)&gt;0),N(U3329),N(U3329)+1))</f>
        <v/>
      </c>
      <c r="V3330" s="19">
        <f>IF($B3330="","",TEXT($B3330,"0000"))</f>
        <v/>
      </c>
      <c r="W3330" s="19">
        <f>IF($I3330="","",IF(ISNUMBER($I3330),TEXT($I3330,"0"),$I3330))</f>
        <v/>
      </c>
    </row>
    <row r="3331">
      <c r="B3331" s="25" t="n"/>
      <c r="I3331" s="25" t="n"/>
      <c r="U3331" s="19">
        <f>IF($V3331&lt;&gt;'設定'!$C$4,N(U3330),IF(OR(NOT(COUNTIF('商品マスタ'!$B$6:$B$1005,$W3331)=0),COUNTIFS('①在庫を貼る'!$V$6:$V$10005,$V3331,'①在庫を貼る'!$W$6:$W$10005,$W3331)+COUNTIFS('月1回_1ヶ月前の在庫'!$V$6:$V$10005,$V3331,'月1回_1ヶ月前の在庫'!$W$6:$W$10005,$W3331)&gt;0),N(U3330),N(U3330)+1))</f>
        <v/>
      </c>
      <c r="V3331" s="19">
        <f>IF($B3331="","",TEXT($B3331,"0000"))</f>
        <v/>
      </c>
      <c r="W3331" s="19">
        <f>IF($I3331="","",IF(ISNUMBER($I3331),TEXT($I3331,"0"),$I3331))</f>
        <v/>
      </c>
    </row>
    <row r="3332">
      <c r="B3332" s="25" t="n"/>
      <c r="I3332" s="25" t="n"/>
      <c r="U3332" s="19">
        <f>IF($V3332&lt;&gt;'設定'!$C$4,N(U3331),IF(OR(NOT(COUNTIF('商品マスタ'!$B$6:$B$1005,$W3332)=0),COUNTIFS('①在庫を貼る'!$V$6:$V$10005,$V3332,'①在庫を貼る'!$W$6:$W$10005,$W3332)+COUNTIFS('月1回_1ヶ月前の在庫'!$V$6:$V$10005,$V3332,'月1回_1ヶ月前の在庫'!$W$6:$W$10005,$W3332)&gt;0),N(U3331),N(U3331)+1))</f>
        <v/>
      </c>
      <c r="V3332" s="19">
        <f>IF($B3332="","",TEXT($B3332,"0000"))</f>
        <v/>
      </c>
      <c r="W3332" s="19">
        <f>IF($I3332="","",IF(ISNUMBER($I3332),TEXT($I3332,"0"),$I3332))</f>
        <v/>
      </c>
    </row>
    <row r="3333">
      <c r="B3333" s="25" t="n"/>
      <c r="I3333" s="25" t="n"/>
      <c r="U3333" s="19">
        <f>IF($V3333&lt;&gt;'設定'!$C$4,N(U3332),IF(OR(NOT(COUNTIF('商品マスタ'!$B$6:$B$1005,$W3333)=0),COUNTIFS('①在庫を貼る'!$V$6:$V$10005,$V3333,'①在庫を貼る'!$W$6:$W$10005,$W3333)+COUNTIFS('月1回_1ヶ月前の在庫'!$V$6:$V$10005,$V3333,'月1回_1ヶ月前の在庫'!$W$6:$W$10005,$W3333)&gt;0),N(U3332),N(U3332)+1))</f>
        <v/>
      </c>
      <c r="V3333" s="19">
        <f>IF($B3333="","",TEXT($B3333,"0000"))</f>
        <v/>
      </c>
      <c r="W3333" s="19">
        <f>IF($I3333="","",IF(ISNUMBER($I3333),TEXT($I3333,"0"),$I3333))</f>
        <v/>
      </c>
    </row>
    <row r="3334">
      <c r="B3334" s="25" t="n"/>
      <c r="I3334" s="25" t="n"/>
      <c r="U3334" s="19">
        <f>IF($V3334&lt;&gt;'設定'!$C$4,N(U3333),IF(OR(NOT(COUNTIF('商品マスタ'!$B$6:$B$1005,$W3334)=0),COUNTIFS('①在庫を貼る'!$V$6:$V$10005,$V3334,'①在庫を貼る'!$W$6:$W$10005,$W3334)+COUNTIFS('月1回_1ヶ月前の在庫'!$V$6:$V$10005,$V3334,'月1回_1ヶ月前の在庫'!$W$6:$W$10005,$W3334)&gt;0),N(U3333),N(U3333)+1))</f>
        <v/>
      </c>
      <c r="V3334" s="19">
        <f>IF($B3334="","",TEXT($B3334,"0000"))</f>
        <v/>
      </c>
      <c r="W3334" s="19">
        <f>IF($I3334="","",IF(ISNUMBER($I3334),TEXT($I3334,"0"),$I3334))</f>
        <v/>
      </c>
    </row>
    <row r="3335">
      <c r="B3335" s="25" t="n"/>
      <c r="I3335" s="25" t="n"/>
      <c r="U3335" s="19">
        <f>IF($V3335&lt;&gt;'設定'!$C$4,N(U3334),IF(OR(NOT(COUNTIF('商品マスタ'!$B$6:$B$1005,$W3335)=0),COUNTIFS('①在庫を貼る'!$V$6:$V$10005,$V3335,'①在庫を貼る'!$W$6:$W$10005,$W3335)+COUNTIFS('月1回_1ヶ月前の在庫'!$V$6:$V$10005,$V3335,'月1回_1ヶ月前の在庫'!$W$6:$W$10005,$W3335)&gt;0),N(U3334),N(U3334)+1))</f>
        <v/>
      </c>
      <c r="V3335" s="19">
        <f>IF($B3335="","",TEXT($B3335,"0000"))</f>
        <v/>
      </c>
      <c r="W3335" s="19">
        <f>IF($I3335="","",IF(ISNUMBER($I3335),TEXT($I3335,"0"),$I3335))</f>
        <v/>
      </c>
    </row>
    <row r="3336">
      <c r="B3336" s="25" t="n"/>
      <c r="I3336" s="25" t="n"/>
      <c r="U3336" s="19">
        <f>IF($V3336&lt;&gt;'設定'!$C$4,N(U3335),IF(OR(NOT(COUNTIF('商品マスタ'!$B$6:$B$1005,$W3336)=0),COUNTIFS('①在庫を貼る'!$V$6:$V$10005,$V3336,'①在庫を貼る'!$W$6:$W$10005,$W3336)+COUNTIFS('月1回_1ヶ月前の在庫'!$V$6:$V$10005,$V3336,'月1回_1ヶ月前の在庫'!$W$6:$W$10005,$W3336)&gt;0),N(U3335),N(U3335)+1))</f>
        <v/>
      </c>
      <c r="V3336" s="19">
        <f>IF($B3336="","",TEXT($B3336,"0000"))</f>
        <v/>
      </c>
      <c r="W3336" s="19">
        <f>IF($I3336="","",IF(ISNUMBER($I3336),TEXT($I3336,"0"),$I3336))</f>
        <v/>
      </c>
    </row>
    <row r="3337">
      <c r="B3337" s="25" t="n"/>
      <c r="I3337" s="25" t="n"/>
      <c r="U3337" s="19">
        <f>IF($V3337&lt;&gt;'設定'!$C$4,N(U3336),IF(OR(NOT(COUNTIF('商品マスタ'!$B$6:$B$1005,$W3337)=0),COUNTIFS('①在庫を貼る'!$V$6:$V$10005,$V3337,'①在庫を貼る'!$W$6:$W$10005,$W3337)+COUNTIFS('月1回_1ヶ月前の在庫'!$V$6:$V$10005,$V3337,'月1回_1ヶ月前の在庫'!$W$6:$W$10005,$W3337)&gt;0),N(U3336),N(U3336)+1))</f>
        <v/>
      </c>
      <c r="V3337" s="19">
        <f>IF($B3337="","",TEXT($B3337,"0000"))</f>
        <v/>
      </c>
      <c r="W3337" s="19">
        <f>IF($I3337="","",IF(ISNUMBER($I3337),TEXT($I3337,"0"),$I3337))</f>
        <v/>
      </c>
    </row>
    <row r="3338">
      <c r="B3338" s="25" t="n"/>
      <c r="I3338" s="25" t="n"/>
      <c r="U3338" s="19">
        <f>IF($V3338&lt;&gt;'設定'!$C$4,N(U3337),IF(OR(NOT(COUNTIF('商品マスタ'!$B$6:$B$1005,$W3338)=0),COUNTIFS('①在庫を貼る'!$V$6:$V$10005,$V3338,'①在庫を貼る'!$W$6:$W$10005,$W3338)+COUNTIFS('月1回_1ヶ月前の在庫'!$V$6:$V$10005,$V3338,'月1回_1ヶ月前の在庫'!$W$6:$W$10005,$W3338)&gt;0),N(U3337),N(U3337)+1))</f>
        <v/>
      </c>
      <c r="V3338" s="19">
        <f>IF($B3338="","",TEXT($B3338,"0000"))</f>
        <v/>
      </c>
      <c r="W3338" s="19">
        <f>IF($I3338="","",IF(ISNUMBER($I3338),TEXT($I3338,"0"),$I3338))</f>
        <v/>
      </c>
    </row>
    <row r="3339">
      <c r="B3339" s="25" t="n"/>
      <c r="I3339" s="25" t="n"/>
      <c r="U3339" s="19">
        <f>IF($V3339&lt;&gt;'設定'!$C$4,N(U3338),IF(OR(NOT(COUNTIF('商品マスタ'!$B$6:$B$1005,$W3339)=0),COUNTIFS('①在庫を貼る'!$V$6:$V$10005,$V3339,'①在庫を貼る'!$W$6:$W$10005,$W3339)+COUNTIFS('月1回_1ヶ月前の在庫'!$V$6:$V$10005,$V3339,'月1回_1ヶ月前の在庫'!$W$6:$W$10005,$W3339)&gt;0),N(U3338),N(U3338)+1))</f>
        <v/>
      </c>
      <c r="V3339" s="19">
        <f>IF($B3339="","",TEXT($B3339,"0000"))</f>
        <v/>
      </c>
      <c r="W3339" s="19">
        <f>IF($I3339="","",IF(ISNUMBER($I3339),TEXT($I3339,"0"),$I3339))</f>
        <v/>
      </c>
    </row>
    <row r="3340">
      <c r="B3340" s="25" t="n"/>
      <c r="I3340" s="25" t="n"/>
      <c r="U3340" s="19">
        <f>IF($V3340&lt;&gt;'設定'!$C$4,N(U3339),IF(OR(NOT(COUNTIF('商品マスタ'!$B$6:$B$1005,$W3340)=0),COUNTIFS('①在庫を貼る'!$V$6:$V$10005,$V3340,'①在庫を貼る'!$W$6:$W$10005,$W3340)+COUNTIFS('月1回_1ヶ月前の在庫'!$V$6:$V$10005,$V3340,'月1回_1ヶ月前の在庫'!$W$6:$W$10005,$W3340)&gt;0),N(U3339),N(U3339)+1))</f>
        <v/>
      </c>
      <c r="V3340" s="19">
        <f>IF($B3340="","",TEXT($B3340,"0000"))</f>
        <v/>
      </c>
      <c r="W3340" s="19">
        <f>IF($I3340="","",IF(ISNUMBER($I3340),TEXT($I3340,"0"),$I3340))</f>
        <v/>
      </c>
    </row>
    <row r="3341">
      <c r="B3341" s="25" t="n"/>
      <c r="I3341" s="25" t="n"/>
      <c r="U3341" s="19">
        <f>IF($V3341&lt;&gt;'設定'!$C$4,N(U3340),IF(OR(NOT(COUNTIF('商品マスタ'!$B$6:$B$1005,$W3341)=0),COUNTIFS('①在庫を貼る'!$V$6:$V$10005,$V3341,'①在庫を貼る'!$W$6:$W$10005,$W3341)+COUNTIFS('月1回_1ヶ月前の在庫'!$V$6:$V$10005,$V3341,'月1回_1ヶ月前の在庫'!$W$6:$W$10005,$W3341)&gt;0),N(U3340),N(U3340)+1))</f>
        <v/>
      </c>
      <c r="V3341" s="19">
        <f>IF($B3341="","",TEXT($B3341,"0000"))</f>
        <v/>
      </c>
      <c r="W3341" s="19">
        <f>IF($I3341="","",IF(ISNUMBER($I3341),TEXT($I3341,"0"),$I3341))</f>
        <v/>
      </c>
    </row>
    <row r="3342">
      <c r="B3342" s="25" t="n"/>
      <c r="I3342" s="25" t="n"/>
      <c r="U3342" s="19">
        <f>IF($V3342&lt;&gt;'設定'!$C$4,N(U3341),IF(OR(NOT(COUNTIF('商品マスタ'!$B$6:$B$1005,$W3342)=0),COUNTIFS('①在庫を貼る'!$V$6:$V$10005,$V3342,'①在庫を貼る'!$W$6:$W$10005,$W3342)+COUNTIFS('月1回_1ヶ月前の在庫'!$V$6:$V$10005,$V3342,'月1回_1ヶ月前の在庫'!$W$6:$W$10005,$W3342)&gt;0),N(U3341),N(U3341)+1))</f>
        <v/>
      </c>
      <c r="V3342" s="19">
        <f>IF($B3342="","",TEXT($B3342,"0000"))</f>
        <v/>
      </c>
      <c r="W3342" s="19">
        <f>IF($I3342="","",IF(ISNUMBER($I3342),TEXT($I3342,"0"),$I3342))</f>
        <v/>
      </c>
    </row>
    <row r="3343">
      <c r="B3343" s="25" t="n"/>
      <c r="I3343" s="25" t="n"/>
      <c r="U3343" s="19">
        <f>IF($V3343&lt;&gt;'設定'!$C$4,N(U3342),IF(OR(NOT(COUNTIF('商品マスタ'!$B$6:$B$1005,$W3343)=0),COUNTIFS('①在庫を貼る'!$V$6:$V$10005,$V3343,'①在庫を貼る'!$W$6:$W$10005,$W3343)+COUNTIFS('月1回_1ヶ月前の在庫'!$V$6:$V$10005,$V3343,'月1回_1ヶ月前の在庫'!$W$6:$W$10005,$W3343)&gt;0),N(U3342),N(U3342)+1))</f>
        <v/>
      </c>
      <c r="V3343" s="19">
        <f>IF($B3343="","",TEXT($B3343,"0000"))</f>
        <v/>
      </c>
      <c r="W3343" s="19">
        <f>IF($I3343="","",IF(ISNUMBER($I3343),TEXT($I3343,"0"),$I3343))</f>
        <v/>
      </c>
    </row>
    <row r="3344">
      <c r="B3344" s="25" t="n"/>
      <c r="I3344" s="25" t="n"/>
      <c r="U3344" s="19">
        <f>IF($V3344&lt;&gt;'設定'!$C$4,N(U3343),IF(OR(NOT(COUNTIF('商品マスタ'!$B$6:$B$1005,$W3344)=0),COUNTIFS('①在庫を貼る'!$V$6:$V$10005,$V3344,'①在庫を貼る'!$W$6:$W$10005,$W3344)+COUNTIFS('月1回_1ヶ月前の在庫'!$V$6:$V$10005,$V3344,'月1回_1ヶ月前の在庫'!$W$6:$W$10005,$W3344)&gt;0),N(U3343),N(U3343)+1))</f>
        <v/>
      </c>
      <c r="V3344" s="19">
        <f>IF($B3344="","",TEXT($B3344,"0000"))</f>
        <v/>
      </c>
      <c r="W3344" s="19">
        <f>IF($I3344="","",IF(ISNUMBER($I3344),TEXT($I3344,"0"),$I3344))</f>
        <v/>
      </c>
    </row>
    <row r="3345">
      <c r="B3345" s="25" t="n"/>
      <c r="I3345" s="25" t="n"/>
      <c r="U3345" s="19">
        <f>IF($V3345&lt;&gt;'設定'!$C$4,N(U3344),IF(OR(NOT(COUNTIF('商品マスタ'!$B$6:$B$1005,$W3345)=0),COUNTIFS('①在庫を貼る'!$V$6:$V$10005,$V3345,'①在庫を貼る'!$W$6:$W$10005,$W3345)+COUNTIFS('月1回_1ヶ月前の在庫'!$V$6:$V$10005,$V3345,'月1回_1ヶ月前の在庫'!$W$6:$W$10005,$W3345)&gt;0),N(U3344),N(U3344)+1))</f>
        <v/>
      </c>
      <c r="V3345" s="19">
        <f>IF($B3345="","",TEXT($B3345,"0000"))</f>
        <v/>
      </c>
      <c r="W3345" s="19">
        <f>IF($I3345="","",IF(ISNUMBER($I3345),TEXT($I3345,"0"),$I3345))</f>
        <v/>
      </c>
    </row>
    <row r="3346">
      <c r="B3346" s="25" t="n"/>
      <c r="I3346" s="25" t="n"/>
      <c r="U3346" s="19">
        <f>IF($V3346&lt;&gt;'設定'!$C$4,N(U3345),IF(OR(NOT(COUNTIF('商品マスタ'!$B$6:$B$1005,$W3346)=0),COUNTIFS('①在庫を貼る'!$V$6:$V$10005,$V3346,'①在庫を貼る'!$W$6:$W$10005,$W3346)+COUNTIFS('月1回_1ヶ月前の在庫'!$V$6:$V$10005,$V3346,'月1回_1ヶ月前の在庫'!$W$6:$W$10005,$W3346)&gt;0),N(U3345),N(U3345)+1))</f>
        <v/>
      </c>
      <c r="V3346" s="19">
        <f>IF($B3346="","",TEXT($B3346,"0000"))</f>
        <v/>
      </c>
      <c r="W3346" s="19">
        <f>IF($I3346="","",IF(ISNUMBER($I3346),TEXT($I3346,"0"),$I3346))</f>
        <v/>
      </c>
    </row>
    <row r="3347">
      <c r="B3347" s="25" t="n"/>
      <c r="I3347" s="25" t="n"/>
      <c r="U3347" s="19">
        <f>IF($V3347&lt;&gt;'設定'!$C$4,N(U3346),IF(OR(NOT(COUNTIF('商品マスタ'!$B$6:$B$1005,$W3347)=0),COUNTIFS('①在庫を貼る'!$V$6:$V$10005,$V3347,'①在庫を貼る'!$W$6:$W$10005,$W3347)+COUNTIFS('月1回_1ヶ月前の在庫'!$V$6:$V$10005,$V3347,'月1回_1ヶ月前の在庫'!$W$6:$W$10005,$W3347)&gt;0),N(U3346),N(U3346)+1))</f>
        <v/>
      </c>
      <c r="V3347" s="19">
        <f>IF($B3347="","",TEXT($B3347,"0000"))</f>
        <v/>
      </c>
      <c r="W3347" s="19">
        <f>IF($I3347="","",IF(ISNUMBER($I3347),TEXT($I3347,"0"),$I3347))</f>
        <v/>
      </c>
    </row>
    <row r="3348">
      <c r="B3348" s="25" t="n"/>
      <c r="I3348" s="25" t="n"/>
      <c r="U3348" s="19">
        <f>IF($V3348&lt;&gt;'設定'!$C$4,N(U3347),IF(OR(NOT(COUNTIF('商品マスタ'!$B$6:$B$1005,$W3348)=0),COUNTIFS('①在庫を貼る'!$V$6:$V$10005,$V3348,'①在庫を貼る'!$W$6:$W$10005,$W3348)+COUNTIFS('月1回_1ヶ月前の在庫'!$V$6:$V$10005,$V3348,'月1回_1ヶ月前の在庫'!$W$6:$W$10005,$W3348)&gt;0),N(U3347),N(U3347)+1))</f>
        <v/>
      </c>
      <c r="V3348" s="19">
        <f>IF($B3348="","",TEXT($B3348,"0000"))</f>
        <v/>
      </c>
      <c r="W3348" s="19">
        <f>IF($I3348="","",IF(ISNUMBER($I3348),TEXT($I3348,"0"),$I3348))</f>
        <v/>
      </c>
    </row>
    <row r="3349">
      <c r="B3349" s="25" t="n"/>
      <c r="I3349" s="25" t="n"/>
      <c r="U3349" s="19">
        <f>IF($V3349&lt;&gt;'設定'!$C$4,N(U3348),IF(OR(NOT(COUNTIF('商品マスタ'!$B$6:$B$1005,$W3349)=0),COUNTIFS('①在庫を貼る'!$V$6:$V$10005,$V3349,'①在庫を貼る'!$W$6:$W$10005,$W3349)+COUNTIFS('月1回_1ヶ月前の在庫'!$V$6:$V$10005,$V3349,'月1回_1ヶ月前の在庫'!$W$6:$W$10005,$W3349)&gt;0),N(U3348),N(U3348)+1))</f>
        <v/>
      </c>
      <c r="V3349" s="19">
        <f>IF($B3349="","",TEXT($B3349,"0000"))</f>
        <v/>
      </c>
      <c r="W3349" s="19">
        <f>IF($I3349="","",IF(ISNUMBER($I3349),TEXT($I3349,"0"),$I3349))</f>
        <v/>
      </c>
    </row>
    <row r="3350">
      <c r="B3350" s="25" t="n"/>
      <c r="I3350" s="25" t="n"/>
      <c r="U3350" s="19">
        <f>IF($V3350&lt;&gt;'設定'!$C$4,N(U3349),IF(OR(NOT(COUNTIF('商品マスタ'!$B$6:$B$1005,$W3350)=0),COUNTIFS('①在庫を貼る'!$V$6:$V$10005,$V3350,'①在庫を貼る'!$W$6:$W$10005,$W3350)+COUNTIFS('月1回_1ヶ月前の在庫'!$V$6:$V$10005,$V3350,'月1回_1ヶ月前の在庫'!$W$6:$W$10005,$W3350)&gt;0),N(U3349),N(U3349)+1))</f>
        <v/>
      </c>
      <c r="V3350" s="19">
        <f>IF($B3350="","",TEXT($B3350,"0000"))</f>
        <v/>
      </c>
      <c r="W3350" s="19">
        <f>IF($I3350="","",IF(ISNUMBER($I3350),TEXT($I3350,"0"),$I3350))</f>
        <v/>
      </c>
    </row>
    <row r="3351">
      <c r="B3351" s="25" t="n"/>
      <c r="I3351" s="25" t="n"/>
      <c r="U3351" s="19">
        <f>IF($V3351&lt;&gt;'設定'!$C$4,N(U3350),IF(OR(NOT(COUNTIF('商品マスタ'!$B$6:$B$1005,$W3351)=0),COUNTIFS('①在庫を貼る'!$V$6:$V$10005,$V3351,'①在庫を貼る'!$W$6:$W$10005,$W3351)+COUNTIFS('月1回_1ヶ月前の在庫'!$V$6:$V$10005,$V3351,'月1回_1ヶ月前の在庫'!$W$6:$W$10005,$W3351)&gt;0),N(U3350),N(U3350)+1))</f>
        <v/>
      </c>
      <c r="V3351" s="19">
        <f>IF($B3351="","",TEXT($B3351,"0000"))</f>
        <v/>
      </c>
      <c r="W3351" s="19">
        <f>IF($I3351="","",IF(ISNUMBER($I3351),TEXT($I3351,"0"),$I3351))</f>
        <v/>
      </c>
    </row>
    <row r="3352">
      <c r="B3352" s="25" t="n"/>
      <c r="I3352" s="25" t="n"/>
      <c r="U3352" s="19">
        <f>IF($V3352&lt;&gt;'設定'!$C$4,N(U3351),IF(OR(NOT(COUNTIF('商品マスタ'!$B$6:$B$1005,$W3352)=0),COUNTIFS('①在庫を貼る'!$V$6:$V$10005,$V3352,'①在庫を貼る'!$W$6:$W$10005,$W3352)+COUNTIFS('月1回_1ヶ月前の在庫'!$V$6:$V$10005,$V3352,'月1回_1ヶ月前の在庫'!$W$6:$W$10005,$W3352)&gt;0),N(U3351),N(U3351)+1))</f>
        <v/>
      </c>
      <c r="V3352" s="19">
        <f>IF($B3352="","",TEXT($B3352,"0000"))</f>
        <v/>
      </c>
      <c r="W3352" s="19">
        <f>IF($I3352="","",IF(ISNUMBER($I3352),TEXT($I3352,"0"),$I3352))</f>
        <v/>
      </c>
    </row>
    <row r="3353">
      <c r="B3353" s="25" t="n"/>
      <c r="I3353" s="25" t="n"/>
      <c r="U3353" s="19">
        <f>IF($V3353&lt;&gt;'設定'!$C$4,N(U3352),IF(OR(NOT(COUNTIF('商品マスタ'!$B$6:$B$1005,$W3353)=0),COUNTIFS('①在庫を貼る'!$V$6:$V$10005,$V3353,'①在庫を貼る'!$W$6:$W$10005,$W3353)+COUNTIFS('月1回_1ヶ月前の在庫'!$V$6:$V$10005,$V3353,'月1回_1ヶ月前の在庫'!$W$6:$W$10005,$W3353)&gt;0),N(U3352),N(U3352)+1))</f>
        <v/>
      </c>
      <c r="V3353" s="19">
        <f>IF($B3353="","",TEXT($B3353,"0000"))</f>
        <v/>
      </c>
      <c r="W3353" s="19">
        <f>IF($I3353="","",IF(ISNUMBER($I3353),TEXT($I3353,"0"),$I3353))</f>
        <v/>
      </c>
    </row>
    <row r="3354">
      <c r="B3354" s="25" t="n"/>
      <c r="I3354" s="25" t="n"/>
      <c r="U3354" s="19">
        <f>IF($V3354&lt;&gt;'設定'!$C$4,N(U3353),IF(OR(NOT(COUNTIF('商品マスタ'!$B$6:$B$1005,$W3354)=0),COUNTIFS('①在庫を貼る'!$V$6:$V$10005,$V3354,'①在庫を貼る'!$W$6:$W$10005,$W3354)+COUNTIFS('月1回_1ヶ月前の在庫'!$V$6:$V$10005,$V3354,'月1回_1ヶ月前の在庫'!$W$6:$W$10005,$W3354)&gt;0),N(U3353),N(U3353)+1))</f>
        <v/>
      </c>
      <c r="V3354" s="19">
        <f>IF($B3354="","",TEXT($B3354,"0000"))</f>
        <v/>
      </c>
      <c r="W3354" s="19">
        <f>IF($I3354="","",IF(ISNUMBER($I3354),TEXT($I3354,"0"),$I3354))</f>
        <v/>
      </c>
    </row>
    <row r="3355">
      <c r="B3355" s="25" t="n"/>
      <c r="I3355" s="25" t="n"/>
      <c r="U3355" s="19">
        <f>IF($V3355&lt;&gt;'設定'!$C$4,N(U3354),IF(OR(NOT(COUNTIF('商品マスタ'!$B$6:$B$1005,$W3355)=0),COUNTIFS('①在庫を貼る'!$V$6:$V$10005,$V3355,'①在庫を貼る'!$W$6:$W$10005,$W3355)+COUNTIFS('月1回_1ヶ月前の在庫'!$V$6:$V$10005,$V3355,'月1回_1ヶ月前の在庫'!$W$6:$W$10005,$W3355)&gt;0),N(U3354),N(U3354)+1))</f>
        <v/>
      </c>
      <c r="V3355" s="19">
        <f>IF($B3355="","",TEXT($B3355,"0000"))</f>
        <v/>
      </c>
      <c r="W3355" s="19">
        <f>IF($I3355="","",IF(ISNUMBER($I3355),TEXT($I3355,"0"),$I3355))</f>
        <v/>
      </c>
    </row>
    <row r="3356">
      <c r="B3356" s="25" t="n"/>
      <c r="I3356" s="25" t="n"/>
      <c r="U3356" s="19">
        <f>IF($V3356&lt;&gt;'設定'!$C$4,N(U3355),IF(OR(NOT(COUNTIF('商品マスタ'!$B$6:$B$1005,$W3356)=0),COUNTIFS('①在庫を貼る'!$V$6:$V$10005,$V3356,'①在庫を貼る'!$W$6:$W$10005,$W3356)+COUNTIFS('月1回_1ヶ月前の在庫'!$V$6:$V$10005,$V3356,'月1回_1ヶ月前の在庫'!$W$6:$W$10005,$W3356)&gt;0),N(U3355),N(U3355)+1))</f>
        <v/>
      </c>
      <c r="V3356" s="19">
        <f>IF($B3356="","",TEXT($B3356,"0000"))</f>
        <v/>
      </c>
      <c r="W3356" s="19">
        <f>IF($I3356="","",IF(ISNUMBER($I3356),TEXT($I3356,"0"),$I3356))</f>
        <v/>
      </c>
    </row>
    <row r="3357">
      <c r="B3357" s="25" t="n"/>
      <c r="I3357" s="25" t="n"/>
      <c r="U3357" s="19">
        <f>IF($V3357&lt;&gt;'設定'!$C$4,N(U3356),IF(OR(NOT(COUNTIF('商品マスタ'!$B$6:$B$1005,$W3357)=0),COUNTIFS('①在庫を貼る'!$V$6:$V$10005,$V3357,'①在庫を貼る'!$W$6:$W$10005,$W3357)+COUNTIFS('月1回_1ヶ月前の在庫'!$V$6:$V$10005,$V3357,'月1回_1ヶ月前の在庫'!$W$6:$W$10005,$W3357)&gt;0),N(U3356),N(U3356)+1))</f>
        <v/>
      </c>
      <c r="V3357" s="19">
        <f>IF($B3357="","",TEXT($B3357,"0000"))</f>
        <v/>
      </c>
      <c r="W3357" s="19">
        <f>IF($I3357="","",IF(ISNUMBER($I3357),TEXT($I3357,"0"),$I3357))</f>
        <v/>
      </c>
    </row>
    <row r="3358">
      <c r="B3358" s="25" t="n"/>
      <c r="I3358" s="25" t="n"/>
      <c r="U3358" s="19">
        <f>IF($V3358&lt;&gt;'設定'!$C$4,N(U3357),IF(OR(NOT(COUNTIF('商品マスタ'!$B$6:$B$1005,$W3358)=0),COUNTIFS('①在庫を貼る'!$V$6:$V$10005,$V3358,'①在庫を貼る'!$W$6:$W$10005,$W3358)+COUNTIFS('月1回_1ヶ月前の在庫'!$V$6:$V$10005,$V3358,'月1回_1ヶ月前の在庫'!$W$6:$W$10005,$W3358)&gt;0),N(U3357),N(U3357)+1))</f>
        <v/>
      </c>
      <c r="V3358" s="19">
        <f>IF($B3358="","",TEXT($B3358,"0000"))</f>
        <v/>
      </c>
      <c r="W3358" s="19">
        <f>IF($I3358="","",IF(ISNUMBER($I3358),TEXT($I3358,"0"),$I3358))</f>
        <v/>
      </c>
    </row>
    <row r="3359">
      <c r="B3359" s="25" t="n"/>
      <c r="I3359" s="25" t="n"/>
      <c r="U3359" s="19">
        <f>IF($V3359&lt;&gt;'設定'!$C$4,N(U3358),IF(OR(NOT(COUNTIF('商品マスタ'!$B$6:$B$1005,$W3359)=0),COUNTIFS('①在庫を貼る'!$V$6:$V$10005,$V3359,'①在庫を貼る'!$W$6:$W$10005,$W3359)+COUNTIFS('月1回_1ヶ月前の在庫'!$V$6:$V$10005,$V3359,'月1回_1ヶ月前の在庫'!$W$6:$W$10005,$W3359)&gt;0),N(U3358),N(U3358)+1))</f>
        <v/>
      </c>
      <c r="V3359" s="19">
        <f>IF($B3359="","",TEXT($B3359,"0000"))</f>
        <v/>
      </c>
      <c r="W3359" s="19">
        <f>IF($I3359="","",IF(ISNUMBER($I3359),TEXT($I3359,"0"),$I3359))</f>
        <v/>
      </c>
    </row>
    <row r="3360">
      <c r="B3360" s="25" t="n"/>
      <c r="I3360" s="25" t="n"/>
      <c r="U3360" s="19">
        <f>IF($V3360&lt;&gt;'設定'!$C$4,N(U3359),IF(OR(NOT(COUNTIF('商品マスタ'!$B$6:$B$1005,$W3360)=0),COUNTIFS('①在庫を貼る'!$V$6:$V$10005,$V3360,'①在庫を貼る'!$W$6:$W$10005,$W3360)+COUNTIFS('月1回_1ヶ月前の在庫'!$V$6:$V$10005,$V3360,'月1回_1ヶ月前の在庫'!$W$6:$W$10005,$W3360)&gt;0),N(U3359),N(U3359)+1))</f>
        <v/>
      </c>
      <c r="V3360" s="19">
        <f>IF($B3360="","",TEXT($B3360,"0000"))</f>
        <v/>
      </c>
      <c r="W3360" s="19">
        <f>IF($I3360="","",IF(ISNUMBER($I3360),TEXT($I3360,"0"),$I3360))</f>
        <v/>
      </c>
    </row>
    <row r="3361">
      <c r="B3361" s="25" t="n"/>
      <c r="I3361" s="25" t="n"/>
      <c r="U3361" s="19">
        <f>IF($V3361&lt;&gt;'設定'!$C$4,N(U3360),IF(OR(NOT(COUNTIF('商品マスタ'!$B$6:$B$1005,$W3361)=0),COUNTIFS('①在庫を貼る'!$V$6:$V$10005,$V3361,'①在庫を貼る'!$W$6:$W$10005,$W3361)+COUNTIFS('月1回_1ヶ月前の在庫'!$V$6:$V$10005,$V3361,'月1回_1ヶ月前の在庫'!$W$6:$W$10005,$W3361)&gt;0),N(U3360),N(U3360)+1))</f>
        <v/>
      </c>
      <c r="V3361" s="19">
        <f>IF($B3361="","",TEXT($B3361,"0000"))</f>
        <v/>
      </c>
      <c r="W3361" s="19">
        <f>IF($I3361="","",IF(ISNUMBER($I3361),TEXT($I3361,"0"),$I3361))</f>
        <v/>
      </c>
    </row>
    <row r="3362">
      <c r="B3362" s="25" t="n"/>
      <c r="I3362" s="25" t="n"/>
      <c r="U3362" s="19">
        <f>IF($V3362&lt;&gt;'設定'!$C$4,N(U3361),IF(OR(NOT(COUNTIF('商品マスタ'!$B$6:$B$1005,$W3362)=0),COUNTIFS('①在庫を貼る'!$V$6:$V$10005,$V3362,'①在庫を貼る'!$W$6:$W$10005,$W3362)+COUNTIFS('月1回_1ヶ月前の在庫'!$V$6:$V$10005,$V3362,'月1回_1ヶ月前の在庫'!$W$6:$W$10005,$W3362)&gt;0),N(U3361),N(U3361)+1))</f>
        <v/>
      </c>
      <c r="V3362" s="19">
        <f>IF($B3362="","",TEXT($B3362,"0000"))</f>
        <v/>
      </c>
      <c r="W3362" s="19">
        <f>IF($I3362="","",IF(ISNUMBER($I3362),TEXT($I3362,"0"),$I3362))</f>
        <v/>
      </c>
    </row>
    <row r="3363">
      <c r="B3363" s="25" t="n"/>
      <c r="I3363" s="25" t="n"/>
      <c r="U3363" s="19">
        <f>IF($V3363&lt;&gt;'設定'!$C$4,N(U3362),IF(OR(NOT(COUNTIF('商品マスタ'!$B$6:$B$1005,$W3363)=0),COUNTIFS('①在庫を貼る'!$V$6:$V$10005,$V3363,'①在庫を貼る'!$W$6:$W$10005,$W3363)+COUNTIFS('月1回_1ヶ月前の在庫'!$V$6:$V$10005,$V3363,'月1回_1ヶ月前の在庫'!$W$6:$W$10005,$W3363)&gt;0),N(U3362),N(U3362)+1))</f>
        <v/>
      </c>
      <c r="V3363" s="19">
        <f>IF($B3363="","",TEXT($B3363,"0000"))</f>
        <v/>
      </c>
      <c r="W3363" s="19">
        <f>IF($I3363="","",IF(ISNUMBER($I3363),TEXT($I3363,"0"),$I3363))</f>
        <v/>
      </c>
    </row>
    <row r="3364">
      <c r="B3364" s="25" t="n"/>
      <c r="I3364" s="25" t="n"/>
      <c r="U3364" s="19">
        <f>IF($V3364&lt;&gt;'設定'!$C$4,N(U3363),IF(OR(NOT(COUNTIF('商品マスタ'!$B$6:$B$1005,$W3364)=0),COUNTIFS('①在庫を貼る'!$V$6:$V$10005,$V3364,'①在庫を貼る'!$W$6:$W$10005,$W3364)+COUNTIFS('月1回_1ヶ月前の在庫'!$V$6:$V$10005,$V3364,'月1回_1ヶ月前の在庫'!$W$6:$W$10005,$W3364)&gt;0),N(U3363),N(U3363)+1))</f>
        <v/>
      </c>
      <c r="V3364" s="19">
        <f>IF($B3364="","",TEXT($B3364,"0000"))</f>
        <v/>
      </c>
      <c r="W3364" s="19">
        <f>IF($I3364="","",IF(ISNUMBER($I3364),TEXT($I3364,"0"),$I3364))</f>
        <v/>
      </c>
    </row>
    <row r="3365">
      <c r="B3365" s="25" t="n"/>
      <c r="I3365" s="25" t="n"/>
      <c r="U3365" s="19">
        <f>IF($V3365&lt;&gt;'設定'!$C$4,N(U3364),IF(OR(NOT(COUNTIF('商品マスタ'!$B$6:$B$1005,$W3365)=0),COUNTIFS('①在庫を貼る'!$V$6:$V$10005,$V3365,'①在庫を貼る'!$W$6:$W$10005,$W3365)+COUNTIFS('月1回_1ヶ月前の在庫'!$V$6:$V$10005,$V3365,'月1回_1ヶ月前の在庫'!$W$6:$W$10005,$W3365)&gt;0),N(U3364),N(U3364)+1))</f>
        <v/>
      </c>
      <c r="V3365" s="19">
        <f>IF($B3365="","",TEXT($B3365,"0000"))</f>
        <v/>
      </c>
      <c r="W3365" s="19">
        <f>IF($I3365="","",IF(ISNUMBER($I3365),TEXT($I3365,"0"),$I3365))</f>
        <v/>
      </c>
    </row>
    <row r="3366">
      <c r="B3366" s="25" t="n"/>
      <c r="I3366" s="25" t="n"/>
      <c r="U3366" s="19">
        <f>IF($V3366&lt;&gt;'設定'!$C$4,N(U3365),IF(OR(NOT(COUNTIF('商品マスタ'!$B$6:$B$1005,$W3366)=0),COUNTIFS('①在庫を貼る'!$V$6:$V$10005,$V3366,'①在庫を貼る'!$W$6:$W$10005,$W3366)+COUNTIFS('月1回_1ヶ月前の在庫'!$V$6:$V$10005,$V3366,'月1回_1ヶ月前の在庫'!$W$6:$W$10005,$W3366)&gt;0),N(U3365),N(U3365)+1))</f>
        <v/>
      </c>
      <c r="V3366" s="19">
        <f>IF($B3366="","",TEXT($B3366,"0000"))</f>
        <v/>
      </c>
      <c r="W3366" s="19">
        <f>IF($I3366="","",IF(ISNUMBER($I3366),TEXT($I3366,"0"),$I3366))</f>
        <v/>
      </c>
    </row>
    <row r="3367">
      <c r="B3367" s="25" t="n"/>
      <c r="I3367" s="25" t="n"/>
      <c r="U3367" s="19">
        <f>IF($V3367&lt;&gt;'設定'!$C$4,N(U3366),IF(OR(NOT(COUNTIF('商品マスタ'!$B$6:$B$1005,$W3367)=0),COUNTIFS('①在庫を貼る'!$V$6:$V$10005,$V3367,'①在庫を貼る'!$W$6:$W$10005,$W3367)+COUNTIFS('月1回_1ヶ月前の在庫'!$V$6:$V$10005,$V3367,'月1回_1ヶ月前の在庫'!$W$6:$W$10005,$W3367)&gt;0),N(U3366),N(U3366)+1))</f>
        <v/>
      </c>
      <c r="V3367" s="19">
        <f>IF($B3367="","",TEXT($B3367,"0000"))</f>
        <v/>
      </c>
      <c r="W3367" s="19">
        <f>IF($I3367="","",IF(ISNUMBER($I3367),TEXT($I3367,"0"),$I3367))</f>
        <v/>
      </c>
    </row>
    <row r="3368">
      <c r="B3368" s="25" t="n"/>
      <c r="I3368" s="25" t="n"/>
      <c r="U3368" s="19">
        <f>IF($V3368&lt;&gt;'設定'!$C$4,N(U3367),IF(OR(NOT(COUNTIF('商品マスタ'!$B$6:$B$1005,$W3368)=0),COUNTIFS('①在庫を貼る'!$V$6:$V$10005,$V3368,'①在庫を貼る'!$W$6:$W$10005,$W3368)+COUNTIFS('月1回_1ヶ月前の在庫'!$V$6:$V$10005,$V3368,'月1回_1ヶ月前の在庫'!$W$6:$W$10005,$W3368)&gt;0),N(U3367),N(U3367)+1))</f>
        <v/>
      </c>
      <c r="V3368" s="19">
        <f>IF($B3368="","",TEXT($B3368,"0000"))</f>
        <v/>
      </c>
      <c r="W3368" s="19">
        <f>IF($I3368="","",IF(ISNUMBER($I3368),TEXT($I3368,"0"),$I3368))</f>
        <v/>
      </c>
    </row>
    <row r="3369">
      <c r="B3369" s="25" t="n"/>
      <c r="I3369" s="25" t="n"/>
      <c r="U3369" s="19">
        <f>IF($V3369&lt;&gt;'設定'!$C$4,N(U3368),IF(OR(NOT(COUNTIF('商品マスタ'!$B$6:$B$1005,$W3369)=0),COUNTIFS('①在庫を貼る'!$V$6:$V$10005,$V3369,'①在庫を貼る'!$W$6:$W$10005,$W3369)+COUNTIFS('月1回_1ヶ月前の在庫'!$V$6:$V$10005,$V3369,'月1回_1ヶ月前の在庫'!$W$6:$W$10005,$W3369)&gt;0),N(U3368),N(U3368)+1))</f>
        <v/>
      </c>
      <c r="V3369" s="19">
        <f>IF($B3369="","",TEXT($B3369,"0000"))</f>
        <v/>
      </c>
      <c r="W3369" s="19">
        <f>IF($I3369="","",IF(ISNUMBER($I3369),TEXT($I3369,"0"),$I3369))</f>
        <v/>
      </c>
    </row>
    <row r="3370">
      <c r="B3370" s="25" t="n"/>
      <c r="I3370" s="25" t="n"/>
      <c r="U3370" s="19">
        <f>IF($V3370&lt;&gt;'設定'!$C$4,N(U3369),IF(OR(NOT(COUNTIF('商品マスタ'!$B$6:$B$1005,$W3370)=0),COUNTIFS('①在庫を貼る'!$V$6:$V$10005,$V3370,'①在庫を貼る'!$W$6:$W$10005,$W3370)+COUNTIFS('月1回_1ヶ月前の在庫'!$V$6:$V$10005,$V3370,'月1回_1ヶ月前の在庫'!$W$6:$W$10005,$W3370)&gt;0),N(U3369),N(U3369)+1))</f>
        <v/>
      </c>
      <c r="V3370" s="19">
        <f>IF($B3370="","",TEXT($B3370,"0000"))</f>
        <v/>
      </c>
      <c r="W3370" s="19">
        <f>IF($I3370="","",IF(ISNUMBER($I3370),TEXT($I3370,"0"),$I3370))</f>
        <v/>
      </c>
    </row>
    <row r="3371">
      <c r="B3371" s="25" t="n"/>
      <c r="I3371" s="25" t="n"/>
      <c r="U3371" s="19">
        <f>IF($V3371&lt;&gt;'設定'!$C$4,N(U3370),IF(OR(NOT(COUNTIF('商品マスタ'!$B$6:$B$1005,$W3371)=0),COUNTIFS('①在庫を貼る'!$V$6:$V$10005,$V3371,'①在庫を貼る'!$W$6:$W$10005,$W3371)+COUNTIFS('月1回_1ヶ月前の在庫'!$V$6:$V$10005,$V3371,'月1回_1ヶ月前の在庫'!$W$6:$W$10005,$W3371)&gt;0),N(U3370),N(U3370)+1))</f>
        <v/>
      </c>
      <c r="V3371" s="19">
        <f>IF($B3371="","",TEXT($B3371,"0000"))</f>
        <v/>
      </c>
      <c r="W3371" s="19">
        <f>IF($I3371="","",IF(ISNUMBER($I3371),TEXT($I3371,"0"),$I3371))</f>
        <v/>
      </c>
    </row>
    <row r="3372">
      <c r="B3372" s="25" t="n"/>
      <c r="I3372" s="25" t="n"/>
      <c r="U3372" s="19">
        <f>IF($V3372&lt;&gt;'設定'!$C$4,N(U3371),IF(OR(NOT(COUNTIF('商品マスタ'!$B$6:$B$1005,$W3372)=0),COUNTIFS('①在庫を貼る'!$V$6:$V$10005,$V3372,'①在庫を貼る'!$W$6:$W$10005,$W3372)+COUNTIFS('月1回_1ヶ月前の在庫'!$V$6:$V$10005,$V3372,'月1回_1ヶ月前の在庫'!$W$6:$W$10005,$W3372)&gt;0),N(U3371),N(U3371)+1))</f>
        <v/>
      </c>
      <c r="V3372" s="19">
        <f>IF($B3372="","",TEXT($B3372,"0000"))</f>
        <v/>
      </c>
      <c r="W3372" s="19">
        <f>IF($I3372="","",IF(ISNUMBER($I3372),TEXT($I3372,"0"),$I3372))</f>
        <v/>
      </c>
    </row>
    <row r="3373">
      <c r="B3373" s="25" t="n"/>
      <c r="I3373" s="25" t="n"/>
      <c r="U3373" s="19">
        <f>IF($V3373&lt;&gt;'設定'!$C$4,N(U3372),IF(OR(NOT(COUNTIF('商品マスタ'!$B$6:$B$1005,$W3373)=0),COUNTIFS('①在庫を貼る'!$V$6:$V$10005,$V3373,'①在庫を貼る'!$W$6:$W$10005,$W3373)+COUNTIFS('月1回_1ヶ月前の在庫'!$V$6:$V$10005,$V3373,'月1回_1ヶ月前の在庫'!$W$6:$W$10005,$W3373)&gt;0),N(U3372),N(U3372)+1))</f>
        <v/>
      </c>
      <c r="V3373" s="19">
        <f>IF($B3373="","",TEXT($B3373,"0000"))</f>
        <v/>
      </c>
      <c r="W3373" s="19">
        <f>IF($I3373="","",IF(ISNUMBER($I3373),TEXT($I3373,"0"),$I3373))</f>
        <v/>
      </c>
    </row>
    <row r="3374">
      <c r="B3374" s="25" t="n"/>
      <c r="I3374" s="25" t="n"/>
      <c r="U3374" s="19">
        <f>IF($V3374&lt;&gt;'設定'!$C$4,N(U3373),IF(OR(NOT(COUNTIF('商品マスタ'!$B$6:$B$1005,$W3374)=0),COUNTIFS('①在庫を貼る'!$V$6:$V$10005,$V3374,'①在庫を貼る'!$W$6:$W$10005,$W3374)+COUNTIFS('月1回_1ヶ月前の在庫'!$V$6:$V$10005,$V3374,'月1回_1ヶ月前の在庫'!$W$6:$W$10005,$W3374)&gt;0),N(U3373),N(U3373)+1))</f>
        <v/>
      </c>
      <c r="V3374" s="19">
        <f>IF($B3374="","",TEXT($B3374,"0000"))</f>
        <v/>
      </c>
      <c r="W3374" s="19">
        <f>IF($I3374="","",IF(ISNUMBER($I3374),TEXT($I3374,"0"),$I3374))</f>
        <v/>
      </c>
    </row>
    <row r="3375">
      <c r="B3375" s="25" t="n"/>
      <c r="I3375" s="25" t="n"/>
      <c r="U3375" s="19">
        <f>IF($V3375&lt;&gt;'設定'!$C$4,N(U3374),IF(OR(NOT(COUNTIF('商品マスタ'!$B$6:$B$1005,$W3375)=0),COUNTIFS('①在庫を貼る'!$V$6:$V$10005,$V3375,'①在庫を貼る'!$W$6:$W$10005,$W3375)+COUNTIFS('月1回_1ヶ月前の在庫'!$V$6:$V$10005,$V3375,'月1回_1ヶ月前の在庫'!$W$6:$W$10005,$W3375)&gt;0),N(U3374),N(U3374)+1))</f>
        <v/>
      </c>
      <c r="V3375" s="19">
        <f>IF($B3375="","",TEXT($B3375,"0000"))</f>
        <v/>
      </c>
      <c r="W3375" s="19">
        <f>IF($I3375="","",IF(ISNUMBER($I3375),TEXT($I3375,"0"),$I3375))</f>
        <v/>
      </c>
    </row>
    <row r="3376">
      <c r="B3376" s="25" t="n"/>
      <c r="I3376" s="25" t="n"/>
      <c r="U3376" s="19">
        <f>IF($V3376&lt;&gt;'設定'!$C$4,N(U3375),IF(OR(NOT(COUNTIF('商品マスタ'!$B$6:$B$1005,$W3376)=0),COUNTIFS('①在庫を貼る'!$V$6:$V$10005,$V3376,'①在庫を貼る'!$W$6:$W$10005,$W3376)+COUNTIFS('月1回_1ヶ月前の在庫'!$V$6:$V$10005,$V3376,'月1回_1ヶ月前の在庫'!$W$6:$W$10005,$W3376)&gt;0),N(U3375),N(U3375)+1))</f>
        <v/>
      </c>
      <c r="V3376" s="19">
        <f>IF($B3376="","",TEXT($B3376,"0000"))</f>
        <v/>
      </c>
      <c r="W3376" s="19">
        <f>IF($I3376="","",IF(ISNUMBER($I3376),TEXT($I3376,"0"),$I3376))</f>
        <v/>
      </c>
    </row>
    <row r="3377">
      <c r="B3377" s="25" t="n"/>
      <c r="I3377" s="25" t="n"/>
      <c r="U3377" s="19">
        <f>IF($V3377&lt;&gt;'設定'!$C$4,N(U3376),IF(OR(NOT(COUNTIF('商品マスタ'!$B$6:$B$1005,$W3377)=0),COUNTIFS('①在庫を貼る'!$V$6:$V$10005,$V3377,'①在庫を貼る'!$W$6:$W$10005,$W3377)+COUNTIFS('月1回_1ヶ月前の在庫'!$V$6:$V$10005,$V3377,'月1回_1ヶ月前の在庫'!$W$6:$W$10005,$W3377)&gt;0),N(U3376),N(U3376)+1))</f>
        <v/>
      </c>
      <c r="V3377" s="19">
        <f>IF($B3377="","",TEXT($B3377,"0000"))</f>
        <v/>
      </c>
      <c r="W3377" s="19">
        <f>IF($I3377="","",IF(ISNUMBER($I3377),TEXT($I3377,"0"),$I3377))</f>
        <v/>
      </c>
    </row>
    <row r="3378">
      <c r="B3378" s="25" t="n"/>
      <c r="I3378" s="25" t="n"/>
      <c r="U3378" s="19">
        <f>IF($V3378&lt;&gt;'設定'!$C$4,N(U3377),IF(OR(NOT(COUNTIF('商品マスタ'!$B$6:$B$1005,$W3378)=0),COUNTIFS('①在庫を貼る'!$V$6:$V$10005,$V3378,'①在庫を貼る'!$W$6:$W$10005,$W3378)+COUNTIFS('月1回_1ヶ月前の在庫'!$V$6:$V$10005,$V3378,'月1回_1ヶ月前の在庫'!$W$6:$W$10005,$W3378)&gt;0),N(U3377),N(U3377)+1))</f>
        <v/>
      </c>
      <c r="V3378" s="19">
        <f>IF($B3378="","",TEXT($B3378,"0000"))</f>
        <v/>
      </c>
      <c r="W3378" s="19">
        <f>IF($I3378="","",IF(ISNUMBER($I3378),TEXT($I3378,"0"),$I3378))</f>
        <v/>
      </c>
    </row>
    <row r="3379">
      <c r="B3379" s="25" t="n"/>
      <c r="I3379" s="25" t="n"/>
      <c r="U3379" s="19">
        <f>IF($V3379&lt;&gt;'設定'!$C$4,N(U3378),IF(OR(NOT(COUNTIF('商品マスタ'!$B$6:$B$1005,$W3379)=0),COUNTIFS('①在庫を貼る'!$V$6:$V$10005,$V3379,'①在庫を貼る'!$W$6:$W$10005,$W3379)+COUNTIFS('月1回_1ヶ月前の在庫'!$V$6:$V$10005,$V3379,'月1回_1ヶ月前の在庫'!$W$6:$W$10005,$W3379)&gt;0),N(U3378),N(U3378)+1))</f>
        <v/>
      </c>
      <c r="V3379" s="19">
        <f>IF($B3379="","",TEXT($B3379,"0000"))</f>
        <v/>
      </c>
      <c r="W3379" s="19">
        <f>IF($I3379="","",IF(ISNUMBER($I3379),TEXT($I3379,"0"),$I3379))</f>
        <v/>
      </c>
    </row>
    <row r="3380">
      <c r="B3380" s="25" t="n"/>
      <c r="I3380" s="25" t="n"/>
      <c r="U3380" s="19">
        <f>IF($V3380&lt;&gt;'設定'!$C$4,N(U3379),IF(OR(NOT(COUNTIF('商品マスタ'!$B$6:$B$1005,$W3380)=0),COUNTIFS('①在庫を貼る'!$V$6:$V$10005,$V3380,'①在庫を貼る'!$W$6:$W$10005,$W3380)+COUNTIFS('月1回_1ヶ月前の在庫'!$V$6:$V$10005,$V3380,'月1回_1ヶ月前の在庫'!$W$6:$W$10005,$W3380)&gt;0),N(U3379),N(U3379)+1))</f>
        <v/>
      </c>
      <c r="V3380" s="19">
        <f>IF($B3380="","",TEXT($B3380,"0000"))</f>
        <v/>
      </c>
      <c r="W3380" s="19">
        <f>IF($I3380="","",IF(ISNUMBER($I3380),TEXT($I3380,"0"),$I3380))</f>
        <v/>
      </c>
    </row>
    <row r="3381">
      <c r="B3381" s="25" t="n"/>
      <c r="I3381" s="25" t="n"/>
      <c r="U3381" s="19">
        <f>IF($V3381&lt;&gt;'設定'!$C$4,N(U3380),IF(OR(NOT(COUNTIF('商品マスタ'!$B$6:$B$1005,$W3381)=0),COUNTIFS('①在庫を貼る'!$V$6:$V$10005,$V3381,'①在庫を貼る'!$W$6:$W$10005,$W3381)+COUNTIFS('月1回_1ヶ月前の在庫'!$V$6:$V$10005,$V3381,'月1回_1ヶ月前の在庫'!$W$6:$W$10005,$W3381)&gt;0),N(U3380),N(U3380)+1))</f>
        <v/>
      </c>
      <c r="V3381" s="19">
        <f>IF($B3381="","",TEXT($B3381,"0000"))</f>
        <v/>
      </c>
      <c r="W3381" s="19">
        <f>IF($I3381="","",IF(ISNUMBER($I3381),TEXT($I3381,"0"),$I3381))</f>
        <v/>
      </c>
    </row>
    <row r="3382">
      <c r="B3382" s="25" t="n"/>
      <c r="I3382" s="25" t="n"/>
      <c r="U3382" s="19">
        <f>IF($V3382&lt;&gt;'設定'!$C$4,N(U3381),IF(OR(NOT(COUNTIF('商品マスタ'!$B$6:$B$1005,$W3382)=0),COUNTIFS('①在庫を貼る'!$V$6:$V$10005,$V3382,'①在庫を貼る'!$W$6:$W$10005,$W3382)+COUNTIFS('月1回_1ヶ月前の在庫'!$V$6:$V$10005,$V3382,'月1回_1ヶ月前の在庫'!$W$6:$W$10005,$W3382)&gt;0),N(U3381),N(U3381)+1))</f>
        <v/>
      </c>
      <c r="V3382" s="19">
        <f>IF($B3382="","",TEXT($B3382,"0000"))</f>
        <v/>
      </c>
      <c r="W3382" s="19">
        <f>IF($I3382="","",IF(ISNUMBER($I3382),TEXT($I3382,"0"),$I3382))</f>
        <v/>
      </c>
    </row>
    <row r="3383">
      <c r="B3383" s="25" t="n"/>
      <c r="I3383" s="25" t="n"/>
      <c r="U3383" s="19">
        <f>IF($V3383&lt;&gt;'設定'!$C$4,N(U3382),IF(OR(NOT(COUNTIF('商品マスタ'!$B$6:$B$1005,$W3383)=0),COUNTIFS('①在庫を貼る'!$V$6:$V$10005,$V3383,'①在庫を貼る'!$W$6:$W$10005,$W3383)+COUNTIFS('月1回_1ヶ月前の在庫'!$V$6:$V$10005,$V3383,'月1回_1ヶ月前の在庫'!$W$6:$W$10005,$W3383)&gt;0),N(U3382),N(U3382)+1))</f>
        <v/>
      </c>
      <c r="V3383" s="19">
        <f>IF($B3383="","",TEXT($B3383,"0000"))</f>
        <v/>
      </c>
      <c r="W3383" s="19">
        <f>IF($I3383="","",IF(ISNUMBER($I3383),TEXT($I3383,"0"),$I3383))</f>
        <v/>
      </c>
    </row>
    <row r="3384">
      <c r="B3384" s="25" t="n"/>
      <c r="I3384" s="25" t="n"/>
      <c r="U3384" s="19">
        <f>IF($V3384&lt;&gt;'設定'!$C$4,N(U3383),IF(OR(NOT(COUNTIF('商品マスタ'!$B$6:$B$1005,$W3384)=0),COUNTIFS('①在庫を貼る'!$V$6:$V$10005,$V3384,'①在庫を貼る'!$W$6:$W$10005,$W3384)+COUNTIFS('月1回_1ヶ月前の在庫'!$V$6:$V$10005,$V3384,'月1回_1ヶ月前の在庫'!$W$6:$W$10005,$W3384)&gt;0),N(U3383),N(U3383)+1))</f>
        <v/>
      </c>
      <c r="V3384" s="19">
        <f>IF($B3384="","",TEXT($B3384,"0000"))</f>
        <v/>
      </c>
      <c r="W3384" s="19">
        <f>IF($I3384="","",IF(ISNUMBER($I3384),TEXT($I3384,"0"),$I3384))</f>
        <v/>
      </c>
    </row>
    <row r="3385">
      <c r="B3385" s="25" t="n"/>
      <c r="I3385" s="25" t="n"/>
      <c r="U3385" s="19">
        <f>IF($V3385&lt;&gt;'設定'!$C$4,N(U3384),IF(OR(NOT(COUNTIF('商品マスタ'!$B$6:$B$1005,$W3385)=0),COUNTIFS('①在庫を貼る'!$V$6:$V$10005,$V3385,'①在庫を貼る'!$W$6:$W$10005,$W3385)+COUNTIFS('月1回_1ヶ月前の在庫'!$V$6:$V$10005,$V3385,'月1回_1ヶ月前の在庫'!$W$6:$W$10005,$W3385)&gt;0),N(U3384),N(U3384)+1))</f>
        <v/>
      </c>
      <c r="V3385" s="19">
        <f>IF($B3385="","",TEXT($B3385,"0000"))</f>
        <v/>
      </c>
      <c r="W3385" s="19">
        <f>IF($I3385="","",IF(ISNUMBER($I3385),TEXT($I3385,"0"),$I3385))</f>
        <v/>
      </c>
    </row>
    <row r="3386">
      <c r="B3386" s="25" t="n"/>
      <c r="I3386" s="25" t="n"/>
      <c r="U3386" s="19">
        <f>IF($V3386&lt;&gt;'設定'!$C$4,N(U3385),IF(OR(NOT(COUNTIF('商品マスタ'!$B$6:$B$1005,$W3386)=0),COUNTIFS('①在庫を貼る'!$V$6:$V$10005,$V3386,'①在庫を貼る'!$W$6:$W$10005,$W3386)+COUNTIFS('月1回_1ヶ月前の在庫'!$V$6:$V$10005,$V3386,'月1回_1ヶ月前の在庫'!$W$6:$W$10005,$W3386)&gt;0),N(U3385),N(U3385)+1))</f>
        <v/>
      </c>
      <c r="V3386" s="19">
        <f>IF($B3386="","",TEXT($B3386,"0000"))</f>
        <v/>
      </c>
      <c r="W3386" s="19">
        <f>IF($I3386="","",IF(ISNUMBER($I3386),TEXT($I3386,"0"),$I3386))</f>
        <v/>
      </c>
    </row>
    <row r="3387">
      <c r="B3387" s="25" t="n"/>
      <c r="I3387" s="25" t="n"/>
      <c r="U3387" s="19">
        <f>IF($V3387&lt;&gt;'設定'!$C$4,N(U3386),IF(OR(NOT(COUNTIF('商品マスタ'!$B$6:$B$1005,$W3387)=0),COUNTIFS('①在庫を貼る'!$V$6:$V$10005,$V3387,'①在庫を貼る'!$W$6:$W$10005,$W3387)+COUNTIFS('月1回_1ヶ月前の在庫'!$V$6:$V$10005,$V3387,'月1回_1ヶ月前の在庫'!$W$6:$W$10005,$W3387)&gt;0),N(U3386),N(U3386)+1))</f>
        <v/>
      </c>
      <c r="V3387" s="19">
        <f>IF($B3387="","",TEXT($B3387,"0000"))</f>
        <v/>
      </c>
      <c r="W3387" s="19">
        <f>IF($I3387="","",IF(ISNUMBER($I3387),TEXT($I3387,"0"),$I3387))</f>
        <v/>
      </c>
    </row>
    <row r="3388">
      <c r="B3388" s="25" t="n"/>
      <c r="I3388" s="25" t="n"/>
      <c r="U3388" s="19">
        <f>IF($V3388&lt;&gt;'設定'!$C$4,N(U3387),IF(OR(NOT(COUNTIF('商品マスタ'!$B$6:$B$1005,$W3388)=0),COUNTIFS('①在庫を貼る'!$V$6:$V$10005,$V3388,'①在庫を貼る'!$W$6:$W$10005,$W3388)+COUNTIFS('月1回_1ヶ月前の在庫'!$V$6:$V$10005,$V3388,'月1回_1ヶ月前の在庫'!$W$6:$W$10005,$W3388)&gt;0),N(U3387),N(U3387)+1))</f>
        <v/>
      </c>
      <c r="V3388" s="19">
        <f>IF($B3388="","",TEXT($B3388,"0000"))</f>
        <v/>
      </c>
      <c r="W3388" s="19">
        <f>IF($I3388="","",IF(ISNUMBER($I3388),TEXT($I3388,"0"),$I3388))</f>
        <v/>
      </c>
    </row>
    <row r="3389">
      <c r="B3389" s="25" t="n"/>
      <c r="I3389" s="25" t="n"/>
      <c r="U3389" s="19">
        <f>IF($V3389&lt;&gt;'設定'!$C$4,N(U3388),IF(OR(NOT(COUNTIF('商品マスタ'!$B$6:$B$1005,$W3389)=0),COUNTIFS('①在庫を貼る'!$V$6:$V$10005,$V3389,'①在庫を貼る'!$W$6:$W$10005,$W3389)+COUNTIFS('月1回_1ヶ月前の在庫'!$V$6:$V$10005,$V3389,'月1回_1ヶ月前の在庫'!$W$6:$W$10005,$W3389)&gt;0),N(U3388),N(U3388)+1))</f>
        <v/>
      </c>
      <c r="V3389" s="19">
        <f>IF($B3389="","",TEXT($B3389,"0000"))</f>
        <v/>
      </c>
      <c r="W3389" s="19">
        <f>IF($I3389="","",IF(ISNUMBER($I3389),TEXT($I3389,"0"),$I3389))</f>
        <v/>
      </c>
    </row>
    <row r="3390">
      <c r="B3390" s="25" t="n"/>
      <c r="I3390" s="25" t="n"/>
      <c r="U3390" s="19">
        <f>IF($V3390&lt;&gt;'設定'!$C$4,N(U3389),IF(OR(NOT(COUNTIF('商品マスタ'!$B$6:$B$1005,$W3390)=0),COUNTIFS('①在庫を貼る'!$V$6:$V$10005,$V3390,'①在庫を貼る'!$W$6:$W$10005,$W3390)+COUNTIFS('月1回_1ヶ月前の在庫'!$V$6:$V$10005,$V3390,'月1回_1ヶ月前の在庫'!$W$6:$W$10005,$W3390)&gt;0),N(U3389),N(U3389)+1))</f>
        <v/>
      </c>
      <c r="V3390" s="19">
        <f>IF($B3390="","",TEXT($B3390,"0000"))</f>
        <v/>
      </c>
      <c r="W3390" s="19">
        <f>IF($I3390="","",IF(ISNUMBER($I3390),TEXT($I3390,"0"),$I3390))</f>
        <v/>
      </c>
    </row>
    <row r="3391">
      <c r="B3391" s="25" t="n"/>
      <c r="I3391" s="25" t="n"/>
      <c r="U3391" s="19">
        <f>IF($V3391&lt;&gt;'設定'!$C$4,N(U3390),IF(OR(NOT(COUNTIF('商品マスタ'!$B$6:$B$1005,$W3391)=0),COUNTIFS('①在庫を貼る'!$V$6:$V$10005,$V3391,'①在庫を貼る'!$W$6:$W$10005,$W3391)+COUNTIFS('月1回_1ヶ月前の在庫'!$V$6:$V$10005,$V3391,'月1回_1ヶ月前の在庫'!$W$6:$W$10005,$W3391)&gt;0),N(U3390),N(U3390)+1))</f>
        <v/>
      </c>
      <c r="V3391" s="19">
        <f>IF($B3391="","",TEXT($B3391,"0000"))</f>
        <v/>
      </c>
      <c r="W3391" s="19">
        <f>IF($I3391="","",IF(ISNUMBER($I3391),TEXT($I3391,"0"),$I3391))</f>
        <v/>
      </c>
    </row>
    <row r="3392">
      <c r="B3392" s="25" t="n"/>
      <c r="I3392" s="25" t="n"/>
      <c r="U3392" s="19">
        <f>IF($V3392&lt;&gt;'設定'!$C$4,N(U3391),IF(OR(NOT(COUNTIF('商品マスタ'!$B$6:$B$1005,$W3392)=0),COUNTIFS('①在庫を貼る'!$V$6:$V$10005,$V3392,'①在庫を貼る'!$W$6:$W$10005,$W3392)+COUNTIFS('月1回_1ヶ月前の在庫'!$V$6:$V$10005,$V3392,'月1回_1ヶ月前の在庫'!$W$6:$W$10005,$W3392)&gt;0),N(U3391),N(U3391)+1))</f>
        <v/>
      </c>
      <c r="V3392" s="19">
        <f>IF($B3392="","",TEXT($B3392,"0000"))</f>
        <v/>
      </c>
      <c r="W3392" s="19">
        <f>IF($I3392="","",IF(ISNUMBER($I3392),TEXT($I3392,"0"),$I3392))</f>
        <v/>
      </c>
    </row>
    <row r="3393">
      <c r="B3393" s="25" t="n"/>
      <c r="I3393" s="25" t="n"/>
      <c r="U3393" s="19">
        <f>IF($V3393&lt;&gt;'設定'!$C$4,N(U3392),IF(OR(NOT(COUNTIF('商品マスタ'!$B$6:$B$1005,$W3393)=0),COUNTIFS('①在庫を貼る'!$V$6:$V$10005,$V3393,'①在庫を貼る'!$W$6:$W$10005,$W3393)+COUNTIFS('月1回_1ヶ月前の在庫'!$V$6:$V$10005,$V3393,'月1回_1ヶ月前の在庫'!$W$6:$W$10005,$W3393)&gt;0),N(U3392),N(U3392)+1))</f>
        <v/>
      </c>
      <c r="V3393" s="19">
        <f>IF($B3393="","",TEXT($B3393,"0000"))</f>
        <v/>
      </c>
      <c r="W3393" s="19">
        <f>IF($I3393="","",IF(ISNUMBER($I3393),TEXT($I3393,"0"),$I3393))</f>
        <v/>
      </c>
    </row>
    <row r="3394">
      <c r="B3394" s="25" t="n"/>
      <c r="I3394" s="25" t="n"/>
      <c r="U3394" s="19">
        <f>IF($V3394&lt;&gt;'設定'!$C$4,N(U3393),IF(OR(NOT(COUNTIF('商品マスタ'!$B$6:$B$1005,$W3394)=0),COUNTIFS('①在庫を貼る'!$V$6:$V$10005,$V3394,'①在庫を貼る'!$W$6:$W$10005,$W3394)+COUNTIFS('月1回_1ヶ月前の在庫'!$V$6:$V$10005,$V3394,'月1回_1ヶ月前の在庫'!$W$6:$W$10005,$W3394)&gt;0),N(U3393),N(U3393)+1))</f>
        <v/>
      </c>
      <c r="V3394" s="19">
        <f>IF($B3394="","",TEXT($B3394,"0000"))</f>
        <v/>
      </c>
      <c r="W3394" s="19">
        <f>IF($I3394="","",IF(ISNUMBER($I3394),TEXT($I3394,"0"),$I3394))</f>
        <v/>
      </c>
    </row>
    <row r="3395">
      <c r="B3395" s="25" t="n"/>
      <c r="I3395" s="25" t="n"/>
      <c r="U3395" s="19">
        <f>IF($V3395&lt;&gt;'設定'!$C$4,N(U3394),IF(OR(NOT(COUNTIF('商品マスタ'!$B$6:$B$1005,$W3395)=0),COUNTIFS('①在庫を貼る'!$V$6:$V$10005,$V3395,'①在庫を貼る'!$W$6:$W$10005,$W3395)+COUNTIFS('月1回_1ヶ月前の在庫'!$V$6:$V$10005,$V3395,'月1回_1ヶ月前の在庫'!$W$6:$W$10005,$W3395)&gt;0),N(U3394),N(U3394)+1))</f>
        <v/>
      </c>
      <c r="V3395" s="19">
        <f>IF($B3395="","",TEXT($B3395,"0000"))</f>
        <v/>
      </c>
      <c r="W3395" s="19">
        <f>IF($I3395="","",IF(ISNUMBER($I3395),TEXT($I3395,"0"),$I3395))</f>
        <v/>
      </c>
    </row>
    <row r="3396">
      <c r="B3396" s="25" t="n"/>
      <c r="I3396" s="25" t="n"/>
      <c r="U3396" s="19">
        <f>IF($V3396&lt;&gt;'設定'!$C$4,N(U3395),IF(OR(NOT(COUNTIF('商品マスタ'!$B$6:$B$1005,$W3396)=0),COUNTIFS('①在庫を貼る'!$V$6:$V$10005,$V3396,'①在庫を貼る'!$W$6:$W$10005,$W3396)+COUNTIFS('月1回_1ヶ月前の在庫'!$V$6:$V$10005,$V3396,'月1回_1ヶ月前の在庫'!$W$6:$W$10005,$W3396)&gt;0),N(U3395),N(U3395)+1))</f>
        <v/>
      </c>
      <c r="V3396" s="19">
        <f>IF($B3396="","",TEXT($B3396,"0000"))</f>
        <v/>
      </c>
      <c r="W3396" s="19">
        <f>IF($I3396="","",IF(ISNUMBER($I3396),TEXT($I3396,"0"),$I3396))</f>
        <v/>
      </c>
    </row>
    <row r="3397">
      <c r="B3397" s="25" t="n"/>
      <c r="I3397" s="25" t="n"/>
      <c r="U3397" s="19">
        <f>IF($V3397&lt;&gt;'設定'!$C$4,N(U3396),IF(OR(NOT(COUNTIF('商品マスタ'!$B$6:$B$1005,$W3397)=0),COUNTIFS('①在庫を貼る'!$V$6:$V$10005,$V3397,'①在庫を貼る'!$W$6:$W$10005,$W3397)+COUNTIFS('月1回_1ヶ月前の在庫'!$V$6:$V$10005,$V3397,'月1回_1ヶ月前の在庫'!$W$6:$W$10005,$W3397)&gt;0),N(U3396),N(U3396)+1))</f>
        <v/>
      </c>
      <c r="V3397" s="19">
        <f>IF($B3397="","",TEXT($B3397,"0000"))</f>
        <v/>
      </c>
      <c r="W3397" s="19">
        <f>IF($I3397="","",IF(ISNUMBER($I3397),TEXT($I3397,"0"),$I3397))</f>
        <v/>
      </c>
    </row>
    <row r="3398">
      <c r="B3398" s="25" t="n"/>
      <c r="I3398" s="25" t="n"/>
      <c r="U3398" s="19">
        <f>IF($V3398&lt;&gt;'設定'!$C$4,N(U3397),IF(OR(NOT(COUNTIF('商品マスタ'!$B$6:$B$1005,$W3398)=0),COUNTIFS('①在庫を貼る'!$V$6:$V$10005,$V3398,'①在庫を貼る'!$W$6:$W$10005,$W3398)+COUNTIFS('月1回_1ヶ月前の在庫'!$V$6:$V$10005,$V3398,'月1回_1ヶ月前の在庫'!$W$6:$W$10005,$W3398)&gt;0),N(U3397),N(U3397)+1))</f>
        <v/>
      </c>
      <c r="V3398" s="19">
        <f>IF($B3398="","",TEXT($B3398,"0000"))</f>
        <v/>
      </c>
      <c r="W3398" s="19">
        <f>IF($I3398="","",IF(ISNUMBER($I3398),TEXT($I3398,"0"),$I3398))</f>
        <v/>
      </c>
    </row>
    <row r="3399">
      <c r="B3399" s="25" t="n"/>
      <c r="I3399" s="25" t="n"/>
      <c r="U3399" s="19">
        <f>IF($V3399&lt;&gt;'設定'!$C$4,N(U3398),IF(OR(NOT(COUNTIF('商品マスタ'!$B$6:$B$1005,$W3399)=0),COUNTIFS('①在庫を貼る'!$V$6:$V$10005,$V3399,'①在庫を貼る'!$W$6:$W$10005,$W3399)+COUNTIFS('月1回_1ヶ月前の在庫'!$V$6:$V$10005,$V3399,'月1回_1ヶ月前の在庫'!$W$6:$W$10005,$W3399)&gt;0),N(U3398),N(U3398)+1))</f>
        <v/>
      </c>
      <c r="V3399" s="19">
        <f>IF($B3399="","",TEXT($B3399,"0000"))</f>
        <v/>
      </c>
      <c r="W3399" s="19">
        <f>IF($I3399="","",IF(ISNUMBER($I3399),TEXT($I3399,"0"),$I3399))</f>
        <v/>
      </c>
    </row>
    <row r="3400">
      <c r="B3400" s="25" t="n"/>
      <c r="I3400" s="25" t="n"/>
      <c r="U3400" s="19">
        <f>IF($V3400&lt;&gt;'設定'!$C$4,N(U3399),IF(OR(NOT(COUNTIF('商品マスタ'!$B$6:$B$1005,$W3400)=0),COUNTIFS('①在庫を貼る'!$V$6:$V$10005,$V3400,'①在庫を貼る'!$W$6:$W$10005,$W3400)+COUNTIFS('月1回_1ヶ月前の在庫'!$V$6:$V$10005,$V3400,'月1回_1ヶ月前の在庫'!$W$6:$W$10005,$W3400)&gt;0),N(U3399),N(U3399)+1))</f>
        <v/>
      </c>
      <c r="V3400" s="19">
        <f>IF($B3400="","",TEXT($B3400,"0000"))</f>
        <v/>
      </c>
      <c r="W3400" s="19">
        <f>IF($I3400="","",IF(ISNUMBER($I3400),TEXT($I3400,"0"),$I3400))</f>
        <v/>
      </c>
    </row>
    <row r="3401">
      <c r="B3401" s="25" t="n"/>
      <c r="I3401" s="25" t="n"/>
      <c r="U3401" s="19">
        <f>IF($V3401&lt;&gt;'設定'!$C$4,N(U3400),IF(OR(NOT(COUNTIF('商品マスタ'!$B$6:$B$1005,$W3401)=0),COUNTIFS('①在庫を貼る'!$V$6:$V$10005,$V3401,'①在庫を貼る'!$W$6:$W$10005,$W3401)+COUNTIFS('月1回_1ヶ月前の在庫'!$V$6:$V$10005,$V3401,'月1回_1ヶ月前の在庫'!$W$6:$W$10005,$W3401)&gt;0),N(U3400),N(U3400)+1))</f>
        <v/>
      </c>
      <c r="V3401" s="19">
        <f>IF($B3401="","",TEXT($B3401,"0000"))</f>
        <v/>
      </c>
      <c r="W3401" s="19">
        <f>IF($I3401="","",IF(ISNUMBER($I3401),TEXT($I3401,"0"),$I3401))</f>
        <v/>
      </c>
    </row>
    <row r="3402">
      <c r="B3402" s="25" t="n"/>
      <c r="I3402" s="25" t="n"/>
      <c r="U3402" s="19">
        <f>IF($V3402&lt;&gt;'設定'!$C$4,N(U3401),IF(OR(NOT(COUNTIF('商品マスタ'!$B$6:$B$1005,$W3402)=0),COUNTIFS('①在庫を貼る'!$V$6:$V$10005,$V3402,'①在庫を貼る'!$W$6:$W$10005,$W3402)+COUNTIFS('月1回_1ヶ月前の在庫'!$V$6:$V$10005,$V3402,'月1回_1ヶ月前の在庫'!$W$6:$W$10005,$W3402)&gt;0),N(U3401),N(U3401)+1))</f>
        <v/>
      </c>
      <c r="V3402" s="19">
        <f>IF($B3402="","",TEXT($B3402,"0000"))</f>
        <v/>
      </c>
      <c r="W3402" s="19">
        <f>IF($I3402="","",IF(ISNUMBER($I3402),TEXT($I3402,"0"),$I3402))</f>
        <v/>
      </c>
    </row>
    <row r="3403">
      <c r="B3403" s="25" t="n"/>
      <c r="I3403" s="25" t="n"/>
      <c r="U3403" s="19">
        <f>IF($V3403&lt;&gt;'設定'!$C$4,N(U3402),IF(OR(NOT(COUNTIF('商品マスタ'!$B$6:$B$1005,$W3403)=0),COUNTIFS('①在庫を貼る'!$V$6:$V$10005,$V3403,'①在庫を貼る'!$W$6:$W$10005,$W3403)+COUNTIFS('月1回_1ヶ月前の在庫'!$V$6:$V$10005,$V3403,'月1回_1ヶ月前の在庫'!$W$6:$W$10005,$W3403)&gt;0),N(U3402),N(U3402)+1))</f>
        <v/>
      </c>
      <c r="V3403" s="19">
        <f>IF($B3403="","",TEXT($B3403,"0000"))</f>
        <v/>
      </c>
      <c r="W3403" s="19">
        <f>IF($I3403="","",IF(ISNUMBER($I3403),TEXT($I3403,"0"),$I3403))</f>
        <v/>
      </c>
    </row>
    <row r="3404">
      <c r="B3404" s="25" t="n"/>
      <c r="I3404" s="25" t="n"/>
      <c r="U3404" s="19">
        <f>IF($V3404&lt;&gt;'設定'!$C$4,N(U3403),IF(OR(NOT(COUNTIF('商品マスタ'!$B$6:$B$1005,$W3404)=0),COUNTIFS('①在庫を貼る'!$V$6:$V$10005,$V3404,'①在庫を貼る'!$W$6:$W$10005,$W3404)+COUNTIFS('月1回_1ヶ月前の在庫'!$V$6:$V$10005,$V3404,'月1回_1ヶ月前の在庫'!$W$6:$W$10005,$W3404)&gt;0),N(U3403),N(U3403)+1))</f>
        <v/>
      </c>
      <c r="V3404" s="19">
        <f>IF($B3404="","",TEXT($B3404,"0000"))</f>
        <v/>
      </c>
      <c r="W3404" s="19">
        <f>IF($I3404="","",IF(ISNUMBER($I3404),TEXT($I3404,"0"),$I3404))</f>
        <v/>
      </c>
    </row>
    <row r="3405">
      <c r="B3405" s="25" t="n"/>
      <c r="I3405" s="25" t="n"/>
      <c r="U3405" s="19">
        <f>IF($V3405&lt;&gt;'設定'!$C$4,N(U3404),IF(OR(NOT(COUNTIF('商品マスタ'!$B$6:$B$1005,$W3405)=0),COUNTIFS('①在庫を貼る'!$V$6:$V$10005,$V3405,'①在庫を貼る'!$W$6:$W$10005,$W3405)+COUNTIFS('月1回_1ヶ月前の在庫'!$V$6:$V$10005,$V3405,'月1回_1ヶ月前の在庫'!$W$6:$W$10005,$W3405)&gt;0),N(U3404),N(U3404)+1))</f>
        <v/>
      </c>
      <c r="V3405" s="19">
        <f>IF($B3405="","",TEXT($B3405,"0000"))</f>
        <v/>
      </c>
      <c r="W3405" s="19">
        <f>IF($I3405="","",IF(ISNUMBER($I3405),TEXT($I3405,"0"),$I3405))</f>
        <v/>
      </c>
    </row>
    <row r="3406">
      <c r="B3406" s="25" t="n"/>
      <c r="I3406" s="25" t="n"/>
      <c r="U3406" s="19">
        <f>IF($V3406&lt;&gt;'設定'!$C$4,N(U3405),IF(OR(NOT(COUNTIF('商品マスタ'!$B$6:$B$1005,$W3406)=0),COUNTIFS('①在庫を貼る'!$V$6:$V$10005,$V3406,'①在庫を貼る'!$W$6:$W$10005,$W3406)+COUNTIFS('月1回_1ヶ月前の在庫'!$V$6:$V$10005,$V3406,'月1回_1ヶ月前の在庫'!$W$6:$W$10005,$W3406)&gt;0),N(U3405),N(U3405)+1))</f>
        <v/>
      </c>
      <c r="V3406" s="19">
        <f>IF($B3406="","",TEXT($B3406,"0000"))</f>
        <v/>
      </c>
      <c r="W3406" s="19">
        <f>IF($I3406="","",IF(ISNUMBER($I3406),TEXT($I3406,"0"),$I3406))</f>
        <v/>
      </c>
    </row>
    <row r="3407">
      <c r="B3407" s="25" t="n"/>
      <c r="I3407" s="25" t="n"/>
      <c r="U3407" s="19">
        <f>IF($V3407&lt;&gt;'設定'!$C$4,N(U3406),IF(OR(NOT(COUNTIF('商品マスタ'!$B$6:$B$1005,$W3407)=0),COUNTIFS('①在庫を貼る'!$V$6:$V$10005,$V3407,'①在庫を貼る'!$W$6:$W$10005,$W3407)+COUNTIFS('月1回_1ヶ月前の在庫'!$V$6:$V$10005,$V3407,'月1回_1ヶ月前の在庫'!$W$6:$W$10005,$W3407)&gt;0),N(U3406),N(U3406)+1))</f>
        <v/>
      </c>
      <c r="V3407" s="19">
        <f>IF($B3407="","",TEXT($B3407,"0000"))</f>
        <v/>
      </c>
      <c r="W3407" s="19">
        <f>IF($I3407="","",IF(ISNUMBER($I3407),TEXT($I3407,"0"),$I3407))</f>
        <v/>
      </c>
    </row>
    <row r="3408">
      <c r="B3408" s="25" t="n"/>
      <c r="I3408" s="25" t="n"/>
      <c r="U3408" s="19">
        <f>IF($V3408&lt;&gt;'設定'!$C$4,N(U3407),IF(OR(NOT(COUNTIF('商品マスタ'!$B$6:$B$1005,$W3408)=0),COUNTIFS('①在庫を貼る'!$V$6:$V$10005,$V3408,'①在庫を貼る'!$W$6:$W$10005,$W3408)+COUNTIFS('月1回_1ヶ月前の在庫'!$V$6:$V$10005,$V3408,'月1回_1ヶ月前の在庫'!$W$6:$W$10005,$W3408)&gt;0),N(U3407),N(U3407)+1))</f>
        <v/>
      </c>
      <c r="V3408" s="19">
        <f>IF($B3408="","",TEXT($B3408,"0000"))</f>
        <v/>
      </c>
      <c r="W3408" s="19">
        <f>IF($I3408="","",IF(ISNUMBER($I3408),TEXT($I3408,"0"),$I3408))</f>
        <v/>
      </c>
    </row>
    <row r="3409">
      <c r="B3409" s="25" t="n"/>
      <c r="I3409" s="25" t="n"/>
      <c r="U3409" s="19">
        <f>IF($V3409&lt;&gt;'設定'!$C$4,N(U3408),IF(OR(NOT(COUNTIF('商品マスタ'!$B$6:$B$1005,$W3409)=0),COUNTIFS('①在庫を貼る'!$V$6:$V$10005,$V3409,'①在庫を貼る'!$W$6:$W$10005,$W3409)+COUNTIFS('月1回_1ヶ月前の在庫'!$V$6:$V$10005,$V3409,'月1回_1ヶ月前の在庫'!$W$6:$W$10005,$W3409)&gt;0),N(U3408),N(U3408)+1))</f>
        <v/>
      </c>
      <c r="V3409" s="19">
        <f>IF($B3409="","",TEXT($B3409,"0000"))</f>
        <v/>
      </c>
      <c r="W3409" s="19">
        <f>IF($I3409="","",IF(ISNUMBER($I3409),TEXT($I3409,"0"),$I3409))</f>
        <v/>
      </c>
    </row>
    <row r="3410">
      <c r="B3410" s="25" t="n"/>
      <c r="I3410" s="25" t="n"/>
      <c r="U3410" s="19">
        <f>IF($V3410&lt;&gt;'設定'!$C$4,N(U3409),IF(OR(NOT(COUNTIF('商品マスタ'!$B$6:$B$1005,$W3410)=0),COUNTIFS('①在庫を貼る'!$V$6:$V$10005,$V3410,'①在庫を貼る'!$W$6:$W$10005,$W3410)+COUNTIFS('月1回_1ヶ月前の在庫'!$V$6:$V$10005,$V3410,'月1回_1ヶ月前の在庫'!$W$6:$W$10005,$W3410)&gt;0),N(U3409),N(U3409)+1))</f>
        <v/>
      </c>
      <c r="V3410" s="19">
        <f>IF($B3410="","",TEXT($B3410,"0000"))</f>
        <v/>
      </c>
      <c r="W3410" s="19">
        <f>IF($I3410="","",IF(ISNUMBER($I3410),TEXT($I3410,"0"),$I3410))</f>
        <v/>
      </c>
    </row>
    <row r="3411">
      <c r="B3411" s="25" t="n"/>
      <c r="I3411" s="25" t="n"/>
      <c r="U3411" s="19">
        <f>IF($V3411&lt;&gt;'設定'!$C$4,N(U3410),IF(OR(NOT(COUNTIF('商品マスタ'!$B$6:$B$1005,$W3411)=0),COUNTIFS('①在庫を貼る'!$V$6:$V$10005,$V3411,'①在庫を貼る'!$W$6:$W$10005,$W3411)+COUNTIFS('月1回_1ヶ月前の在庫'!$V$6:$V$10005,$V3411,'月1回_1ヶ月前の在庫'!$W$6:$W$10005,$W3411)&gt;0),N(U3410),N(U3410)+1))</f>
        <v/>
      </c>
      <c r="V3411" s="19">
        <f>IF($B3411="","",TEXT($B3411,"0000"))</f>
        <v/>
      </c>
      <c r="W3411" s="19">
        <f>IF($I3411="","",IF(ISNUMBER($I3411),TEXT($I3411,"0"),$I3411))</f>
        <v/>
      </c>
    </row>
    <row r="3412">
      <c r="B3412" s="25" t="n"/>
      <c r="I3412" s="25" t="n"/>
      <c r="U3412" s="19">
        <f>IF($V3412&lt;&gt;'設定'!$C$4,N(U3411),IF(OR(NOT(COUNTIF('商品マスタ'!$B$6:$B$1005,$W3412)=0),COUNTIFS('①在庫を貼る'!$V$6:$V$10005,$V3412,'①在庫を貼る'!$W$6:$W$10005,$W3412)+COUNTIFS('月1回_1ヶ月前の在庫'!$V$6:$V$10005,$V3412,'月1回_1ヶ月前の在庫'!$W$6:$W$10005,$W3412)&gt;0),N(U3411),N(U3411)+1))</f>
        <v/>
      </c>
      <c r="V3412" s="19">
        <f>IF($B3412="","",TEXT($B3412,"0000"))</f>
        <v/>
      </c>
      <c r="W3412" s="19">
        <f>IF($I3412="","",IF(ISNUMBER($I3412),TEXT($I3412,"0"),$I3412))</f>
        <v/>
      </c>
    </row>
    <row r="3413">
      <c r="B3413" s="25" t="n"/>
      <c r="I3413" s="25" t="n"/>
      <c r="U3413" s="19">
        <f>IF($V3413&lt;&gt;'設定'!$C$4,N(U3412),IF(OR(NOT(COUNTIF('商品マスタ'!$B$6:$B$1005,$W3413)=0),COUNTIFS('①在庫を貼る'!$V$6:$V$10005,$V3413,'①在庫を貼る'!$W$6:$W$10005,$W3413)+COUNTIFS('月1回_1ヶ月前の在庫'!$V$6:$V$10005,$V3413,'月1回_1ヶ月前の在庫'!$W$6:$W$10005,$W3413)&gt;0),N(U3412),N(U3412)+1))</f>
        <v/>
      </c>
      <c r="V3413" s="19">
        <f>IF($B3413="","",TEXT($B3413,"0000"))</f>
        <v/>
      </c>
      <c r="W3413" s="19">
        <f>IF($I3413="","",IF(ISNUMBER($I3413),TEXT($I3413,"0"),$I3413))</f>
        <v/>
      </c>
    </row>
    <row r="3414">
      <c r="B3414" s="25" t="n"/>
      <c r="I3414" s="25" t="n"/>
      <c r="U3414" s="19">
        <f>IF($V3414&lt;&gt;'設定'!$C$4,N(U3413),IF(OR(NOT(COUNTIF('商品マスタ'!$B$6:$B$1005,$W3414)=0),COUNTIFS('①在庫を貼る'!$V$6:$V$10005,$V3414,'①在庫を貼る'!$W$6:$W$10005,$W3414)+COUNTIFS('月1回_1ヶ月前の在庫'!$V$6:$V$10005,$V3414,'月1回_1ヶ月前の在庫'!$W$6:$W$10005,$W3414)&gt;0),N(U3413),N(U3413)+1))</f>
        <v/>
      </c>
      <c r="V3414" s="19">
        <f>IF($B3414="","",TEXT($B3414,"0000"))</f>
        <v/>
      </c>
      <c r="W3414" s="19">
        <f>IF($I3414="","",IF(ISNUMBER($I3414),TEXT($I3414,"0"),$I3414))</f>
        <v/>
      </c>
    </row>
    <row r="3415">
      <c r="B3415" s="25" t="n"/>
      <c r="I3415" s="25" t="n"/>
      <c r="U3415" s="19">
        <f>IF($V3415&lt;&gt;'設定'!$C$4,N(U3414),IF(OR(NOT(COUNTIF('商品マスタ'!$B$6:$B$1005,$W3415)=0),COUNTIFS('①在庫を貼る'!$V$6:$V$10005,$V3415,'①在庫を貼る'!$W$6:$W$10005,$W3415)+COUNTIFS('月1回_1ヶ月前の在庫'!$V$6:$V$10005,$V3415,'月1回_1ヶ月前の在庫'!$W$6:$W$10005,$W3415)&gt;0),N(U3414),N(U3414)+1))</f>
        <v/>
      </c>
      <c r="V3415" s="19">
        <f>IF($B3415="","",TEXT($B3415,"0000"))</f>
        <v/>
      </c>
      <c r="W3415" s="19">
        <f>IF($I3415="","",IF(ISNUMBER($I3415),TEXT($I3415,"0"),$I3415))</f>
        <v/>
      </c>
    </row>
    <row r="3416">
      <c r="B3416" s="25" t="n"/>
      <c r="I3416" s="25" t="n"/>
      <c r="U3416" s="19">
        <f>IF($V3416&lt;&gt;'設定'!$C$4,N(U3415),IF(OR(NOT(COUNTIF('商品マスタ'!$B$6:$B$1005,$W3416)=0),COUNTIFS('①在庫を貼る'!$V$6:$V$10005,$V3416,'①在庫を貼る'!$W$6:$W$10005,$W3416)+COUNTIFS('月1回_1ヶ月前の在庫'!$V$6:$V$10005,$V3416,'月1回_1ヶ月前の在庫'!$W$6:$W$10005,$W3416)&gt;0),N(U3415),N(U3415)+1))</f>
        <v/>
      </c>
      <c r="V3416" s="19">
        <f>IF($B3416="","",TEXT($B3416,"0000"))</f>
        <v/>
      </c>
      <c r="W3416" s="19">
        <f>IF($I3416="","",IF(ISNUMBER($I3416),TEXT($I3416,"0"),$I3416))</f>
        <v/>
      </c>
    </row>
    <row r="3417">
      <c r="B3417" s="25" t="n"/>
      <c r="I3417" s="25" t="n"/>
      <c r="U3417" s="19">
        <f>IF($V3417&lt;&gt;'設定'!$C$4,N(U3416),IF(OR(NOT(COUNTIF('商品マスタ'!$B$6:$B$1005,$W3417)=0),COUNTIFS('①在庫を貼る'!$V$6:$V$10005,$V3417,'①在庫を貼る'!$W$6:$W$10005,$W3417)+COUNTIFS('月1回_1ヶ月前の在庫'!$V$6:$V$10005,$V3417,'月1回_1ヶ月前の在庫'!$W$6:$W$10005,$W3417)&gt;0),N(U3416),N(U3416)+1))</f>
        <v/>
      </c>
      <c r="V3417" s="19">
        <f>IF($B3417="","",TEXT($B3417,"0000"))</f>
        <v/>
      </c>
      <c r="W3417" s="19">
        <f>IF($I3417="","",IF(ISNUMBER($I3417),TEXT($I3417,"0"),$I3417))</f>
        <v/>
      </c>
    </row>
    <row r="3418">
      <c r="B3418" s="25" t="n"/>
      <c r="I3418" s="25" t="n"/>
      <c r="U3418" s="19">
        <f>IF($V3418&lt;&gt;'設定'!$C$4,N(U3417),IF(OR(NOT(COUNTIF('商品マスタ'!$B$6:$B$1005,$W3418)=0),COUNTIFS('①在庫を貼る'!$V$6:$V$10005,$V3418,'①在庫を貼る'!$W$6:$W$10005,$W3418)+COUNTIFS('月1回_1ヶ月前の在庫'!$V$6:$V$10005,$V3418,'月1回_1ヶ月前の在庫'!$W$6:$W$10005,$W3418)&gt;0),N(U3417),N(U3417)+1))</f>
        <v/>
      </c>
      <c r="V3418" s="19">
        <f>IF($B3418="","",TEXT($B3418,"0000"))</f>
        <v/>
      </c>
      <c r="W3418" s="19">
        <f>IF($I3418="","",IF(ISNUMBER($I3418),TEXT($I3418,"0"),$I3418))</f>
        <v/>
      </c>
    </row>
    <row r="3419">
      <c r="B3419" s="25" t="n"/>
      <c r="I3419" s="25" t="n"/>
      <c r="U3419" s="19">
        <f>IF($V3419&lt;&gt;'設定'!$C$4,N(U3418),IF(OR(NOT(COUNTIF('商品マスタ'!$B$6:$B$1005,$W3419)=0),COUNTIFS('①在庫を貼る'!$V$6:$V$10005,$V3419,'①在庫を貼る'!$W$6:$W$10005,$W3419)+COUNTIFS('月1回_1ヶ月前の在庫'!$V$6:$V$10005,$V3419,'月1回_1ヶ月前の在庫'!$W$6:$W$10005,$W3419)&gt;0),N(U3418),N(U3418)+1))</f>
        <v/>
      </c>
      <c r="V3419" s="19">
        <f>IF($B3419="","",TEXT($B3419,"0000"))</f>
        <v/>
      </c>
      <c r="W3419" s="19">
        <f>IF($I3419="","",IF(ISNUMBER($I3419),TEXT($I3419,"0"),$I3419))</f>
        <v/>
      </c>
    </row>
    <row r="3420">
      <c r="B3420" s="25" t="n"/>
      <c r="I3420" s="25" t="n"/>
      <c r="U3420" s="19">
        <f>IF($V3420&lt;&gt;'設定'!$C$4,N(U3419),IF(OR(NOT(COUNTIF('商品マスタ'!$B$6:$B$1005,$W3420)=0),COUNTIFS('①在庫を貼る'!$V$6:$V$10005,$V3420,'①在庫を貼る'!$W$6:$W$10005,$W3420)+COUNTIFS('月1回_1ヶ月前の在庫'!$V$6:$V$10005,$V3420,'月1回_1ヶ月前の在庫'!$W$6:$W$10005,$W3420)&gt;0),N(U3419),N(U3419)+1))</f>
        <v/>
      </c>
      <c r="V3420" s="19">
        <f>IF($B3420="","",TEXT($B3420,"0000"))</f>
        <v/>
      </c>
      <c r="W3420" s="19">
        <f>IF($I3420="","",IF(ISNUMBER($I3420),TEXT($I3420,"0"),$I3420))</f>
        <v/>
      </c>
    </row>
    <row r="3421">
      <c r="B3421" s="25" t="n"/>
      <c r="I3421" s="25" t="n"/>
      <c r="U3421" s="19">
        <f>IF($V3421&lt;&gt;'設定'!$C$4,N(U3420),IF(OR(NOT(COUNTIF('商品マスタ'!$B$6:$B$1005,$W3421)=0),COUNTIFS('①在庫を貼る'!$V$6:$V$10005,$V3421,'①在庫を貼る'!$W$6:$W$10005,$W3421)+COUNTIFS('月1回_1ヶ月前の在庫'!$V$6:$V$10005,$V3421,'月1回_1ヶ月前の在庫'!$W$6:$W$10005,$W3421)&gt;0),N(U3420),N(U3420)+1))</f>
        <v/>
      </c>
      <c r="V3421" s="19">
        <f>IF($B3421="","",TEXT($B3421,"0000"))</f>
        <v/>
      </c>
      <c r="W3421" s="19">
        <f>IF($I3421="","",IF(ISNUMBER($I3421),TEXT($I3421,"0"),$I3421))</f>
        <v/>
      </c>
    </row>
    <row r="3422">
      <c r="B3422" s="25" t="n"/>
      <c r="I3422" s="25" t="n"/>
      <c r="U3422" s="19">
        <f>IF($V3422&lt;&gt;'設定'!$C$4,N(U3421),IF(OR(NOT(COUNTIF('商品マスタ'!$B$6:$B$1005,$W3422)=0),COUNTIFS('①在庫を貼る'!$V$6:$V$10005,$V3422,'①在庫を貼る'!$W$6:$W$10005,$W3422)+COUNTIFS('月1回_1ヶ月前の在庫'!$V$6:$V$10005,$V3422,'月1回_1ヶ月前の在庫'!$W$6:$W$10005,$W3422)&gt;0),N(U3421),N(U3421)+1))</f>
        <v/>
      </c>
      <c r="V3422" s="19">
        <f>IF($B3422="","",TEXT($B3422,"0000"))</f>
        <v/>
      </c>
      <c r="W3422" s="19">
        <f>IF($I3422="","",IF(ISNUMBER($I3422),TEXT($I3422,"0"),$I3422))</f>
        <v/>
      </c>
    </row>
    <row r="3423">
      <c r="B3423" s="25" t="n"/>
      <c r="I3423" s="25" t="n"/>
      <c r="U3423" s="19">
        <f>IF($V3423&lt;&gt;'設定'!$C$4,N(U3422),IF(OR(NOT(COUNTIF('商品マスタ'!$B$6:$B$1005,$W3423)=0),COUNTIFS('①在庫を貼る'!$V$6:$V$10005,$V3423,'①在庫を貼る'!$W$6:$W$10005,$W3423)+COUNTIFS('月1回_1ヶ月前の在庫'!$V$6:$V$10005,$V3423,'月1回_1ヶ月前の在庫'!$W$6:$W$10005,$W3423)&gt;0),N(U3422),N(U3422)+1))</f>
        <v/>
      </c>
      <c r="V3423" s="19">
        <f>IF($B3423="","",TEXT($B3423,"0000"))</f>
        <v/>
      </c>
      <c r="W3423" s="19">
        <f>IF($I3423="","",IF(ISNUMBER($I3423),TEXT($I3423,"0"),$I3423))</f>
        <v/>
      </c>
    </row>
    <row r="3424">
      <c r="B3424" s="25" t="n"/>
      <c r="I3424" s="25" t="n"/>
      <c r="U3424" s="19">
        <f>IF($V3424&lt;&gt;'設定'!$C$4,N(U3423),IF(OR(NOT(COUNTIF('商品マスタ'!$B$6:$B$1005,$W3424)=0),COUNTIFS('①在庫を貼る'!$V$6:$V$10005,$V3424,'①在庫を貼る'!$W$6:$W$10005,$W3424)+COUNTIFS('月1回_1ヶ月前の在庫'!$V$6:$V$10005,$V3424,'月1回_1ヶ月前の在庫'!$W$6:$W$10005,$W3424)&gt;0),N(U3423),N(U3423)+1))</f>
        <v/>
      </c>
      <c r="V3424" s="19">
        <f>IF($B3424="","",TEXT($B3424,"0000"))</f>
        <v/>
      </c>
      <c r="W3424" s="19">
        <f>IF($I3424="","",IF(ISNUMBER($I3424),TEXT($I3424,"0"),$I3424))</f>
        <v/>
      </c>
    </row>
    <row r="3425">
      <c r="B3425" s="25" t="n"/>
      <c r="I3425" s="25" t="n"/>
      <c r="U3425" s="19">
        <f>IF($V3425&lt;&gt;'設定'!$C$4,N(U3424),IF(OR(NOT(COUNTIF('商品マスタ'!$B$6:$B$1005,$W3425)=0),COUNTIFS('①在庫を貼る'!$V$6:$V$10005,$V3425,'①在庫を貼る'!$W$6:$W$10005,$W3425)+COUNTIFS('月1回_1ヶ月前の在庫'!$V$6:$V$10005,$V3425,'月1回_1ヶ月前の在庫'!$W$6:$W$10005,$W3425)&gt;0),N(U3424),N(U3424)+1))</f>
        <v/>
      </c>
      <c r="V3425" s="19">
        <f>IF($B3425="","",TEXT($B3425,"0000"))</f>
        <v/>
      </c>
      <c r="W3425" s="19">
        <f>IF($I3425="","",IF(ISNUMBER($I3425),TEXT($I3425,"0"),$I3425))</f>
        <v/>
      </c>
    </row>
    <row r="3426">
      <c r="B3426" s="25" t="n"/>
      <c r="I3426" s="25" t="n"/>
      <c r="U3426" s="19">
        <f>IF($V3426&lt;&gt;'設定'!$C$4,N(U3425),IF(OR(NOT(COUNTIF('商品マスタ'!$B$6:$B$1005,$W3426)=0),COUNTIFS('①在庫を貼る'!$V$6:$V$10005,$V3426,'①在庫を貼る'!$W$6:$W$10005,$W3426)+COUNTIFS('月1回_1ヶ月前の在庫'!$V$6:$V$10005,$V3426,'月1回_1ヶ月前の在庫'!$W$6:$W$10005,$W3426)&gt;0),N(U3425),N(U3425)+1))</f>
        <v/>
      </c>
      <c r="V3426" s="19">
        <f>IF($B3426="","",TEXT($B3426,"0000"))</f>
        <v/>
      </c>
      <c r="W3426" s="19">
        <f>IF($I3426="","",IF(ISNUMBER($I3426),TEXT($I3426,"0"),$I3426))</f>
        <v/>
      </c>
    </row>
    <row r="3427">
      <c r="B3427" s="25" t="n"/>
      <c r="I3427" s="25" t="n"/>
      <c r="U3427" s="19">
        <f>IF($V3427&lt;&gt;'設定'!$C$4,N(U3426),IF(OR(NOT(COUNTIF('商品マスタ'!$B$6:$B$1005,$W3427)=0),COUNTIFS('①在庫を貼る'!$V$6:$V$10005,$V3427,'①在庫を貼る'!$W$6:$W$10005,$W3427)+COUNTIFS('月1回_1ヶ月前の在庫'!$V$6:$V$10005,$V3427,'月1回_1ヶ月前の在庫'!$W$6:$W$10005,$W3427)&gt;0),N(U3426),N(U3426)+1))</f>
        <v/>
      </c>
      <c r="V3427" s="19">
        <f>IF($B3427="","",TEXT($B3427,"0000"))</f>
        <v/>
      </c>
      <c r="W3427" s="19">
        <f>IF($I3427="","",IF(ISNUMBER($I3427),TEXT($I3427,"0"),$I3427))</f>
        <v/>
      </c>
    </row>
    <row r="3428">
      <c r="B3428" s="25" t="n"/>
      <c r="I3428" s="25" t="n"/>
      <c r="U3428" s="19">
        <f>IF($V3428&lt;&gt;'設定'!$C$4,N(U3427),IF(OR(NOT(COUNTIF('商品マスタ'!$B$6:$B$1005,$W3428)=0),COUNTIFS('①在庫を貼る'!$V$6:$V$10005,$V3428,'①在庫を貼る'!$W$6:$W$10005,$W3428)+COUNTIFS('月1回_1ヶ月前の在庫'!$V$6:$V$10005,$V3428,'月1回_1ヶ月前の在庫'!$W$6:$W$10005,$W3428)&gt;0),N(U3427),N(U3427)+1))</f>
        <v/>
      </c>
      <c r="V3428" s="19">
        <f>IF($B3428="","",TEXT($B3428,"0000"))</f>
        <v/>
      </c>
      <c r="W3428" s="19">
        <f>IF($I3428="","",IF(ISNUMBER($I3428),TEXT($I3428,"0"),$I3428))</f>
        <v/>
      </c>
    </row>
    <row r="3429">
      <c r="B3429" s="25" t="n"/>
      <c r="I3429" s="25" t="n"/>
      <c r="U3429" s="19">
        <f>IF($V3429&lt;&gt;'設定'!$C$4,N(U3428),IF(OR(NOT(COUNTIF('商品マスタ'!$B$6:$B$1005,$W3429)=0),COUNTIFS('①在庫を貼る'!$V$6:$V$10005,$V3429,'①在庫を貼る'!$W$6:$W$10005,$W3429)+COUNTIFS('月1回_1ヶ月前の在庫'!$V$6:$V$10005,$V3429,'月1回_1ヶ月前の在庫'!$W$6:$W$10005,$W3429)&gt;0),N(U3428),N(U3428)+1))</f>
        <v/>
      </c>
      <c r="V3429" s="19">
        <f>IF($B3429="","",TEXT($B3429,"0000"))</f>
        <v/>
      </c>
      <c r="W3429" s="19">
        <f>IF($I3429="","",IF(ISNUMBER($I3429),TEXT($I3429,"0"),$I3429))</f>
        <v/>
      </c>
    </row>
    <row r="3430">
      <c r="B3430" s="25" t="n"/>
      <c r="I3430" s="25" t="n"/>
      <c r="U3430" s="19">
        <f>IF($V3430&lt;&gt;'設定'!$C$4,N(U3429),IF(OR(NOT(COUNTIF('商品マスタ'!$B$6:$B$1005,$W3430)=0),COUNTIFS('①在庫を貼る'!$V$6:$V$10005,$V3430,'①在庫を貼る'!$W$6:$W$10005,$W3430)+COUNTIFS('月1回_1ヶ月前の在庫'!$V$6:$V$10005,$V3430,'月1回_1ヶ月前の在庫'!$W$6:$W$10005,$W3430)&gt;0),N(U3429),N(U3429)+1))</f>
        <v/>
      </c>
      <c r="V3430" s="19">
        <f>IF($B3430="","",TEXT($B3430,"0000"))</f>
        <v/>
      </c>
      <c r="W3430" s="19">
        <f>IF($I3430="","",IF(ISNUMBER($I3430),TEXT($I3430,"0"),$I3430))</f>
        <v/>
      </c>
    </row>
    <row r="3431">
      <c r="B3431" s="25" t="n"/>
      <c r="I3431" s="25" t="n"/>
      <c r="U3431" s="19">
        <f>IF($V3431&lt;&gt;'設定'!$C$4,N(U3430),IF(OR(NOT(COUNTIF('商品マスタ'!$B$6:$B$1005,$W3431)=0),COUNTIFS('①在庫を貼る'!$V$6:$V$10005,$V3431,'①在庫を貼る'!$W$6:$W$10005,$W3431)+COUNTIFS('月1回_1ヶ月前の在庫'!$V$6:$V$10005,$V3431,'月1回_1ヶ月前の在庫'!$W$6:$W$10005,$W3431)&gt;0),N(U3430),N(U3430)+1))</f>
        <v/>
      </c>
      <c r="V3431" s="19">
        <f>IF($B3431="","",TEXT($B3431,"0000"))</f>
        <v/>
      </c>
      <c r="W3431" s="19">
        <f>IF($I3431="","",IF(ISNUMBER($I3431),TEXT($I3431,"0"),$I3431))</f>
        <v/>
      </c>
    </row>
    <row r="3432">
      <c r="B3432" s="25" t="n"/>
      <c r="I3432" s="25" t="n"/>
      <c r="U3432" s="19">
        <f>IF($V3432&lt;&gt;'設定'!$C$4,N(U3431),IF(OR(NOT(COUNTIF('商品マスタ'!$B$6:$B$1005,$W3432)=0),COUNTIFS('①在庫を貼る'!$V$6:$V$10005,$V3432,'①在庫を貼る'!$W$6:$W$10005,$W3432)+COUNTIFS('月1回_1ヶ月前の在庫'!$V$6:$V$10005,$V3432,'月1回_1ヶ月前の在庫'!$W$6:$W$10005,$W3432)&gt;0),N(U3431),N(U3431)+1))</f>
        <v/>
      </c>
      <c r="V3432" s="19">
        <f>IF($B3432="","",TEXT($B3432,"0000"))</f>
        <v/>
      </c>
      <c r="W3432" s="19">
        <f>IF($I3432="","",IF(ISNUMBER($I3432),TEXT($I3432,"0"),$I3432))</f>
        <v/>
      </c>
    </row>
    <row r="3433">
      <c r="B3433" s="25" t="n"/>
      <c r="I3433" s="25" t="n"/>
      <c r="U3433" s="19">
        <f>IF($V3433&lt;&gt;'設定'!$C$4,N(U3432),IF(OR(NOT(COUNTIF('商品マスタ'!$B$6:$B$1005,$W3433)=0),COUNTIFS('①在庫を貼る'!$V$6:$V$10005,$V3433,'①在庫を貼る'!$W$6:$W$10005,$W3433)+COUNTIFS('月1回_1ヶ月前の在庫'!$V$6:$V$10005,$V3433,'月1回_1ヶ月前の在庫'!$W$6:$W$10005,$W3433)&gt;0),N(U3432),N(U3432)+1))</f>
        <v/>
      </c>
      <c r="V3433" s="19">
        <f>IF($B3433="","",TEXT($B3433,"0000"))</f>
        <v/>
      </c>
      <c r="W3433" s="19">
        <f>IF($I3433="","",IF(ISNUMBER($I3433),TEXT($I3433,"0"),$I3433))</f>
        <v/>
      </c>
    </row>
    <row r="3434">
      <c r="B3434" s="25" t="n"/>
      <c r="I3434" s="25" t="n"/>
      <c r="U3434" s="19">
        <f>IF($V3434&lt;&gt;'設定'!$C$4,N(U3433),IF(OR(NOT(COUNTIF('商品マスタ'!$B$6:$B$1005,$W3434)=0),COUNTIFS('①在庫を貼る'!$V$6:$V$10005,$V3434,'①在庫を貼る'!$W$6:$W$10005,$W3434)+COUNTIFS('月1回_1ヶ月前の在庫'!$V$6:$V$10005,$V3434,'月1回_1ヶ月前の在庫'!$W$6:$W$10005,$W3434)&gt;0),N(U3433),N(U3433)+1))</f>
        <v/>
      </c>
      <c r="V3434" s="19">
        <f>IF($B3434="","",TEXT($B3434,"0000"))</f>
        <v/>
      </c>
      <c r="W3434" s="19">
        <f>IF($I3434="","",IF(ISNUMBER($I3434),TEXT($I3434,"0"),$I3434))</f>
        <v/>
      </c>
    </row>
    <row r="3435">
      <c r="B3435" s="25" t="n"/>
      <c r="I3435" s="25" t="n"/>
      <c r="U3435" s="19">
        <f>IF($V3435&lt;&gt;'設定'!$C$4,N(U3434),IF(OR(NOT(COUNTIF('商品マスタ'!$B$6:$B$1005,$W3435)=0),COUNTIFS('①在庫を貼る'!$V$6:$V$10005,$V3435,'①在庫を貼る'!$W$6:$W$10005,$W3435)+COUNTIFS('月1回_1ヶ月前の在庫'!$V$6:$V$10005,$V3435,'月1回_1ヶ月前の在庫'!$W$6:$W$10005,$W3435)&gt;0),N(U3434),N(U3434)+1))</f>
        <v/>
      </c>
      <c r="V3435" s="19">
        <f>IF($B3435="","",TEXT($B3435,"0000"))</f>
        <v/>
      </c>
      <c r="W3435" s="19">
        <f>IF($I3435="","",IF(ISNUMBER($I3435),TEXT($I3435,"0"),$I3435))</f>
        <v/>
      </c>
    </row>
    <row r="3436">
      <c r="B3436" s="25" t="n"/>
      <c r="I3436" s="25" t="n"/>
      <c r="U3436" s="19">
        <f>IF($V3436&lt;&gt;'設定'!$C$4,N(U3435),IF(OR(NOT(COUNTIF('商品マスタ'!$B$6:$B$1005,$W3436)=0),COUNTIFS('①在庫を貼る'!$V$6:$V$10005,$V3436,'①在庫を貼る'!$W$6:$W$10005,$W3436)+COUNTIFS('月1回_1ヶ月前の在庫'!$V$6:$V$10005,$V3436,'月1回_1ヶ月前の在庫'!$W$6:$W$10005,$W3436)&gt;0),N(U3435),N(U3435)+1))</f>
        <v/>
      </c>
      <c r="V3436" s="19">
        <f>IF($B3436="","",TEXT($B3436,"0000"))</f>
        <v/>
      </c>
      <c r="W3436" s="19">
        <f>IF($I3436="","",IF(ISNUMBER($I3436),TEXT($I3436,"0"),$I3436))</f>
        <v/>
      </c>
    </row>
    <row r="3437">
      <c r="B3437" s="25" t="n"/>
      <c r="I3437" s="25" t="n"/>
      <c r="U3437" s="19">
        <f>IF($V3437&lt;&gt;'設定'!$C$4,N(U3436),IF(OR(NOT(COUNTIF('商品マスタ'!$B$6:$B$1005,$W3437)=0),COUNTIFS('①在庫を貼る'!$V$6:$V$10005,$V3437,'①在庫を貼る'!$W$6:$W$10005,$W3437)+COUNTIFS('月1回_1ヶ月前の在庫'!$V$6:$V$10005,$V3437,'月1回_1ヶ月前の在庫'!$W$6:$W$10005,$W3437)&gt;0),N(U3436),N(U3436)+1))</f>
        <v/>
      </c>
      <c r="V3437" s="19">
        <f>IF($B3437="","",TEXT($B3437,"0000"))</f>
        <v/>
      </c>
      <c r="W3437" s="19">
        <f>IF($I3437="","",IF(ISNUMBER($I3437),TEXT($I3437,"0"),$I3437))</f>
        <v/>
      </c>
    </row>
    <row r="3438">
      <c r="B3438" s="25" t="n"/>
      <c r="I3438" s="25" t="n"/>
      <c r="U3438" s="19">
        <f>IF($V3438&lt;&gt;'設定'!$C$4,N(U3437),IF(OR(NOT(COUNTIF('商品マスタ'!$B$6:$B$1005,$W3438)=0),COUNTIFS('①在庫を貼る'!$V$6:$V$10005,$V3438,'①在庫を貼る'!$W$6:$W$10005,$W3438)+COUNTIFS('月1回_1ヶ月前の在庫'!$V$6:$V$10005,$V3438,'月1回_1ヶ月前の在庫'!$W$6:$W$10005,$W3438)&gt;0),N(U3437),N(U3437)+1))</f>
        <v/>
      </c>
      <c r="V3438" s="19">
        <f>IF($B3438="","",TEXT($B3438,"0000"))</f>
        <v/>
      </c>
      <c r="W3438" s="19">
        <f>IF($I3438="","",IF(ISNUMBER($I3438),TEXT($I3438,"0"),$I3438))</f>
        <v/>
      </c>
    </row>
    <row r="3439">
      <c r="B3439" s="25" t="n"/>
      <c r="I3439" s="25" t="n"/>
      <c r="U3439" s="19">
        <f>IF($V3439&lt;&gt;'設定'!$C$4,N(U3438),IF(OR(NOT(COUNTIF('商品マスタ'!$B$6:$B$1005,$W3439)=0),COUNTIFS('①在庫を貼る'!$V$6:$V$10005,$V3439,'①在庫を貼る'!$W$6:$W$10005,$W3439)+COUNTIFS('月1回_1ヶ月前の在庫'!$V$6:$V$10005,$V3439,'月1回_1ヶ月前の在庫'!$W$6:$W$10005,$W3439)&gt;0),N(U3438),N(U3438)+1))</f>
        <v/>
      </c>
      <c r="V3439" s="19">
        <f>IF($B3439="","",TEXT($B3439,"0000"))</f>
        <v/>
      </c>
      <c r="W3439" s="19">
        <f>IF($I3439="","",IF(ISNUMBER($I3439),TEXT($I3439,"0"),$I3439))</f>
        <v/>
      </c>
    </row>
    <row r="3440">
      <c r="B3440" s="25" t="n"/>
      <c r="I3440" s="25" t="n"/>
      <c r="U3440" s="19">
        <f>IF($V3440&lt;&gt;'設定'!$C$4,N(U3439),IF(OR(NOT(COUNTIF('商品マスタ'!$B$6:$B$1005,$W3440)=0),COUNTIFS('①在庫を貼る'!$V$6:$V$10005,$V3440,'①在庫を貼る'!$W$6:$W$10005,$W3440)+COUNTIFS('月1回_1ヶ月前の在庫'!$V$6:$V$10005,$V3440,'月1回_1ヶ月前の在庫'!$W$6:$W$10005,$W3440)&gt;0),N(U3439),N(U3439)+1))</f>
        <v/>
      </c>
      <c r="V3440" s="19">
        <f>IF($B3440="","",TEXT($B3440,"0000"))</f>
        <v/>
      </c>
      <c r="W3440" s="19">
        <f>IF($I3440="","",IF(ISNUMBER($I3440),TEXT($I3440,"0"),$I3440))</f>
        <v/>
      </c>
    </row>
    <row r="3441">
      <c r="B3441" s="25" t="n"/>
      <c r="I3441" s="25" t="n"/>
      <c r="U3441" s="19">
        <f>IF($V3441&lt;&gt;'設定'!$C$4,N(U3440),IF(OR(NOT(COUNTIF('商品マスタ'!$B$6:$B$1005,$W3441)=0),COUNTIFS('①在庫を貼る'!$V$6:$V$10005,$V3441,'①在庫を貼る'!$W$6:$W$10005,$W3441)+COUNTIFS('月1回_1ヶ月前の在庫'!$V$6:$V$10005,$V3441,'月1回_1ヶ月前の在庫'!$W$6:$W$10005,$W3441)&gt;0),N(U3440),N(U3440)+1))</f>
        <v/>
      </c>
      <c r="V3441" s="19">
        <f>IF($B3441="","",TEXT($B3441,"0000"))</f>
        <v/>
      </c>
      <c r="W3441" s="19">
        <f>IF($I3441="","",IF(ISNUMBER($I3441),TEXT($I3441,"0"),$I3441))</f>
        <v/>
      </c>
    </row>
    <row r="3442">
      <c r="B3442" s="25" t="n"/>
      <c r="I3442" s="25" t="n"/>
      <c r="U3442" s="19">
        <f>IF($V3442&lt;&gt;'設定'!$C$4,N(U3441),IF(OR(NOT(COUNTIF('商品マスタ'!$B$6:$B$1005,$W3442)=0),COUNTIFS('①在庫を貼る'!$V$6:$V$10005,$V3442,'①在庫を貼る'!$W$6:$W$10005,$W3442)+COUNTIFS('月1回_1ヶ月前の在庫'!$V$6:$V$10005,$V3442,'月1回_1ヶ月前の在庫'!$W$6:$W$10005,$W3442)&gt;0),N(U3441),N(U3441)+1))</f>
        <v/>
      </c>
      <c r="V3442" s="19">
        <f>IF($B3442="","",TEXT($B3442,"0000"))</f>
        <v/>
      </c>
      <c r="W3442" s="19">
        <f>IF($I3442="","",IF(ISNUMBER($I3442),TEXT($I3442,"0"),$I3442))</f>
        <v/>
      </c>
    </row>
    <row r="3443">
      <c r="B3443" s="25" t="n"/>
      <c r="I3443" s="25" t="n"/>
      <c r="U3443" s="19">
        <f>IF($V3443&lt;&gt;'設定'!$C$4,N(U3442),IF(OR(NOT(COUNTIF('商品マスタ'!$B$6:$B$1005,$W3443)=0),COUNTIFS('①在庫を貼る'!$V$6:$V$10005,$V3443,'①在庫を貼る'!$W$6:$W$10005,$W3443)+COUNTIFS('月1回_1ヶ月前の在庫'!$V$6:$V$10005,$V3443,'月1回_1ヶ月前の在庫'!$W$6:$W$10005,$W3443)&gt;0),N(U3442),N(U3442)+1))</f>
        <v/>
      </c>
      <c r="V3443" s="19">
        <f>IF($B3443="","",TEXT($B3443,"0000"))</f>
        <v/>
      </c>
      <c r="W3443" s="19">
        <f>IF($I3443="","",IF(ISNUMBER($I3443),TEXT($I3443,"0"),$I3443))</f>
        <v/>
      </c>
    </row>
    <row r="3444">
      <c r="B3444" s="25" t="n"/>
      <c r="I3444" s="25" t="n"/>
      <c r="U3444" s="19">
        <f>IF($V3444&lt;&gt;'設定'!$C$4,N(U3443),IF(OR(NOT(COUNTIF('商品マスタ'!$B$6:$B$1005,$W3444)=0),COUNTIFS('①在庫を貼る'!$V$6:$V$10005,$V3444,'①在庫を貼る'!$W$6:$W$10005,$W3444)+COUNTIFS('月1回_1ヶ月前の在庫'!$V$6:$V$10005,$V3444,'月1回_1ヶ月前の在庫'!$W$6:$W$10005,$W3444)&gt;0),N(U3443),N(U3443)+1))</f>
        <v/>
      </c>
      <c r="V3444" s="19">
        <f>IF($B3444="","",TEXT($B3444,"0000"))</f>
        <v/>
      </c>
      <c r="W3444" s="19">
        <f>IF($I3444="","",IF(ISNUMBER($I3444),TEXT($I3444,"0"),$I3444))</f>
        <v/>
      </c>
    </row>
    <row r="3445">
      <c r="B3445" s="25" t="n"/>
      <c r="I3445" s="25" t="n"/>
      <c r="U3445" s="19">
        <f>IF($V3445&lt;&gt;'設定'!$C$4,N(U3444),IF(OR(NOT(COUNTIF('商品マスタ'!$B$6:$B$1005,$W3445)=0),COUNTIFS('①在庫を貼る'!$V$6:$V$10005,$V3445,'①在庫を貼る'!$W$6:$W$10005,$W3445)+COUNTIFS('月1回_1ヶ月前の在庫'!$V$6:$V$10005,$V3445,'月1回_1ヶ月前の在庫'!$W$6:$W$10005,$W3445)&gt;0),N(U3444),N(U3444)+1))</f>
        <v/>
      </c>
      <c r="V3445" s="19">
        <f>IF($B3445="","",TEXT($B3445,"0000"))</f>
        <v/>
      </c>
      <c r="W3445" s="19">
        <f>IF($I3445="","",IF(ISNUMBER($I3445),TEXT($I3445,"0"),$I3445))</f>
        <v/>
      </c>
    </row>
    <row r="3446">
      <c r="B3446" s="25" t="n"/>
      <c r="I3446" s="25" t="n"/>
      <c r="U3446" s="19">
        <f>IF($V3446&lt;&gt;'設定'!$C$4,N(U3445),IF(OR(NOT(COUNTIF('商品マスタ'!$B$6:$B$1005,$W3446)=0),COUNTIFS('①在庫を貼る'!$V$6:$V$10005,$V3446,'①在庫を貼る'!$W$6:$W$10005,$W3446)+COUNTIFS('月1回_1ヶ月前の在庫'!$V$6:$V$10005,$V3446,'月1回_1ヶ月前の在庫'!$W$6:$W$10005,$W3446)&gt;0),N(U3445),N(U3445)+1))</f>
        <v/>
      </c>
      <c r="V3446" s="19">
        <f>IF($B3446="","",TEXT($B3446,"0000"))</f>
        <v/>
      </c>
      <c r="W3446" s="19">
        <f>IF($I3446="","",IF(ISNUMBER($I3446),TEXT($I3446,"0"),$I3446))</f>
        <v/>
      </c>
    </row>
    <row r="3447">
      <c r="B3447" s="25" t="n"/>
      <c r="I3447" s="25" t="n"/>
      <c r="U3447" s="19">
        <f>IF($V3447&lt;&gt;'設定'!$C$4,N(U3446),IF(OR(NOT(COUNTIF('商品マスタ'!$B$6:$B$1005,$W3447)=0),COUNTIFS('①在庫を貼る'!$V$6:$V$10005,$V3447,'①在庫を貼る'!$W$6:$W$10005,$W3447)+COUNTIFS('月1回_1ヶ月前の在庫'!$V$6:$V$10005,$V3447,'月1回_1ヶ月前の在庫'!$W$6:$W$10005,$W3447)&gt;0),N(U3446),N(U3446)+1))</f>
        <v/>
      </c>
      <c r="V3447" s="19">
        <f>IF($B3447="","",TEXT($B3447,"0000"))</f>
        <v/>
      </c>
      <c r="W3447" s="19">
        <f>IF($I3447="","",IF(ISNUMBER($I3447),TEXT($I3447,"0"),$I3447))</f>
        <v/>
      </c>
    </row>
    <row r="3448">
      <c r="B3448" s="25" t="n"/>
      <c r="I3448" s="25" t="n"/>
      <c r="U3448" s="19">
        <f>IF($V3448&lt;&gt;'設定'!$C$4,N(U3447),IF(OR(NOT(COUNTIF('商品マスタ'!$B$6:$B$1005,$W3448)=0),COUNTIFS('①在庫を貼る'!$V$6:$V$10005,$V3448,'①在庫を貼る'!$W$6:$W$10005,$W3448)+COUNTIFS('月1回_1ヶ月前の在庫'!$V$6:$V$10005,$V3448,'月1回_1ヶ月前の在庫'!$W$6:$W$10005,$W3448)&gt;0),N(U3447),N(U3447)+1))</f>
        <v/>
      </c>
      <c r="V3448" s="19">
        <f>IF($B3448="","",TEXT($B3448,"0000"))</f>
        <v/>
      </c>
      <c r="W3448" s="19">
        <f>IF($I3448="","",IF(ISNUMBER($I3448),TEXT($I3448,"0"),$I3448))</f>
        <v/>
      </c>
    </row>
    <row r="3449">
      <c r="B3449" s="25" t="n"/>
      <c r="I3449" s="25" t="n"/>
      <c r="U3449" s="19">
        <f>IF($V3449&lt;&gt;'設定'!$C$4,N(U3448),IF(OR(NOT(COUNTIF('商品マスタ'!$B$6:$B$1005,$W3449)=0),COUNTIFS('①在庫を貼る'!$V$6:$V$10005,$V3449,'①在庫を貼る'!$W$6:$W$10005,$W3449)+COUNTIFS('月1回_1ヶ月前の在庫'!$V$6:$V$10005,$V3449,'月1回_1ヶ月前の在庫'!$W$6:$W$10005,$W3449)&gt;0),N(U3448),N(U3448)+1))</f>
        <v/>
      </c>
      <c r="V3449" s="19">
        <f>IF($B3449="","",TEXT($B3449,"0000"))</f>
        <v/>
      </c>
      <c r="W3449" s="19">
        <f>IF($I3449="","",IF(ISNUMBER($I3449),TEXT($I3449,"0"),$I3449))</f>
        <v/>
      </c>
    </row>
    <row r="3450">
      <c r="B3450" s="25" t="n"/>
      <c r="I3450" s="25" t="n"/>
      <c r="U3450" s="19">
        <f>IF($V3450&lt;&gt;'設定'!$C$4,N(U3449),IF(OR(NOT(COUNTIF('商品マスタ'!$B$6:$B$1005,$W3450)=0),COUNTIFS('①在庫を貼る'!$V$6:$V$10005,$V3450,'①在庫を貼る'!$W$6:$W$10005,$W3450)+COUNTIFS('月1回_1ヶ月前の在庫'!$V$6:$V$10005,$V3450,'月1回_1ヶ月前の在庫'!$W$6:$W$10005,$W3450)&gt;0),N(U3449),N(U3449)+1))</f>
        <v/>
      </c>
      <c r="V3450" s="19">
        <f>IF($B3450="","",TEXT($B3450,"0000"))</f>
        <v/>
      </c>
      <c r="W3450" s="19">
        <f>IF($I3450="","",IF(ISNUMBER($I3450),TEXT($I3450,"0"),$I3450))</f>
        <v/>
      </c>
    </row>
    <row r="3451">
      <c r="B3451" s="25" t="n"/>
      <c r="I3451" s="25" t="n"/>
      <c r="U3451" s="19">
        <f>IF($V3451&lt;&gt;'設定'!$C$4,N(U3450),IF(OR(NOT(COUNTIF('商品マスタ'!$B$6:$B$1005,$W3451)=0),COUNTIFS('①在庫を貼る'!$V$6:$V$10005,$V3451,'①在庫を貼る'!$W$6:$W$10005,$W3451)+COUNTIFS('月1回_1ヶ月前の在庫'!$V$6:$V$10005,$V3451,'月1回_1ヶ月前の在庫'!$W$6:$W$10005,$W3451)&gt;0),N(U3450),N(U3450)+1))</f>
        <v/>
      </c>
      <c r="V3451" s="19">
        <f>IF($B3451="","",TEXT($B3451,"0000"))</f>
        <v/>
      </c>
      <c r="W3451" s="19">
        <f>IF($I3451="","",IF(ISNUMBER($I3451),TEXT($I3451,"0"),$I3451))</f>
        <v/>
      </c>
    </row>
    <row r="3452">
      <c r="B3452" s="25" t="n"/>
      <c r="I3452" s="25" t="n"/>
      <c r="U3452" s="19">
        <f>IF($V3452&lt;&gt;'設定'!$C$4,N(U3451),IF(OR(NOT(COUNTIF('商品マスタ'!$B$6:$B$1005,$W3452)=0),COUNTIFS('①在庫を貼る'!$V$6:$V$10005,$V3452,'①在庫を貼る'!$W$6:$W$10005,$W3452)+COUNTIFS('月1回_1ヶ月前の在庫'!$V$6:$V$10005,$V3452,'月1回_1ヶ月前の在庫'!$W$6:$W$10005,$W3452)&gt;0),N(U3451),N(U3451)+1))</f>
        <v/>
      </c>
      <c r="V3452" s="19">
        <f>IF($B3452="","",TEXT($B3452,"0000"))</f>
        <v/>
      </c>
      <c r="W3452" s="19">
        <f>IF($I3452="","",IF(ISNUMBER($I3452),TEXT($I3452,"0"),$I3452))</f>
        <v/>
      </c>
    </row>
    <row r="3453">
      <c r="B3453" s="25" t="n"/>
      <c r="I3453" s="25" t="n"/>
      <c r="U3453" s="19">
        <f>IF($V3453&lt;&gt;'設定'!$C$4,N(U3452),IF(OR(NOT(COUNTIF('商品マスタ'!$B$6:$B$1005,$W3453)=0),COUNTIFS('①在庫を貼る'!$V$6:$V$10005,$V3453,'①在庫を貼る'!$W$6:$W$10005,$W3453)+COUNTIFS('月1回_1ヶ月前の在庫'!$V$6:$V$10005,$V3453,'月1回_1ヶ月前の在庫'!$W$6:$W$10005,$W3453)&gt;0),N(U3452),N(U3452)+1))</f>
        <v/>
      </c>
      <c r="V3453" s="19">
        <f>IF($B3453="","",TEXT($B3453,"0000"))</f>
        <v/>
      </c>
      <c r="W3453" s="19">
        <f>IF($I3453="","",IF(ISNUMBER($I3453),TEXT($I3453,"0"),$I3453))</f>
        <v/>
      </c>
    </row>
    <row r="3454">
      <c r="B3454" s="25" t="n"/>
      <c r="I3454" s="25" t="n"/>
      <c r="U3454" s="19">
        <f>IF($V3454&lt;&gt;'設定'!$C$4,N(U3453),IF(OR(NOT(COUNTIF('商品マスタ'!$B$6:$B$1005,$W3454)=0),COUNTIFS('①在庫を貼る'!$V$6:$V$10005,$V3454,'①在庫を貼る'!$W$6:$W$10005,$W3454)+COUNTIFS('月1回_1ヶ月前の在庫'!$V$6:$V$10005,$V3454,'月1回_1ヶ月前の在庫'!$W$6:$W$10005,$W3454)&gt;0),N(U3453),N(U3453)+1))</f>
        <v/>
      </c>
      <c r="V3454" s="19">
        <f>IF($B3454="","",TEXT($B3454,"0000"))</f>
        <v/>
      </c>
      <c r="W3454" s="19">
        <f>IF($I3454="","",IF(ISNUMBER($I3454),TEXT($I3454,"0"),$I3454))</f>
        <v/>
      </c>
    </row>
    <row r="3455">
      <c r="B3455" s="25" t="n"/>
      <c r="I3455" s="25" t="n"/>
      <c r="U3455" s="19">
        <f>IF($V3455&lt;&gt;'設定'!$C$4,N(U3454),IF(OR(NOT(COUNTIF('商品マスタ'!$B$6:$B$1005,$W3455)=0),COUNTIFS('①在庫を貼る'!$V$6:$V$10005,$V3455,'①在庫を貼る'!$W$6:$W$10005,$W3455)+COUNTIFS('月1回_1ヶ月前の在庫'!$V$6:$V$10005,$V3455,'月1回_1ヶ月前の在庫'!$W$6:$W$10005,$W3455)&gt;0),N(U3454),N(U3454)+1))</f>
        <v/>
      </c>
      <c r="V3455" s="19">
        <f>IF($B3455="","",TEXT($B3455,"0000"))</f>
        <v/>
      </c>
      <c r="W3455" s="19">
        <f>IF($I3455="","",IF(ISNUMBER($I3455),TEXT($I3455,"0"),$I3455))</f>
        <v/>
      </c>
    </row>
    <row r="3456">
      <c r="B3456" s="25" t="n"/>
      <c r="I3456" s="25" t="n"/>
      <c r="U3456" s="19">
        <f>IF($V3456&lt;&gt;'設定'!$C$4,N(U3455),IF(OR(NOT(COUNTIF('商品マスタ'!$B$6:$B$1005,$W3456)=0),COUNTIFS('①在庫を貼る'!$V$6:$V$10005,$V3456,'①在庫を貼る'!$W$6:$W$10005,$W3456)+COUNTIFS('月1回_1ヶ月前の在庫'!$V$6:$V$10005,$V3456,'月1回_1ヶ月前の在庫'!$W$6:$W$10005,$W3456)&gt;0),N(U3455),N(U3455)+1))</f>
        <v/>
      </c>
      <c r="V3456" s="19">
        <f>IF($B3456="","",TEXT($B3456,"0000"))</f>
        <v/>
      </c>
      <c r="W3456" s="19">
        <f>IF($I3456="","",IF(ISNUMBER($I3456),TEXT($I3456,"0"),$I3456))</f>
        <v/>
      </c>
    </row>
    <row r="3457">
      <c r="B3457" s="25" t="n"/>
      <c r="I3457" s="25" t="n"/>
      <c r="U3457" s="19">
        <f>IF($V3457&lt;&gt;'設定'!$C$4,N(U3456),IF(OR(NOT(COUNTIF('商品マスタ'!$B$6:$B$1005,$W3457)=0),COUNTIFS('①在庫を貼る'!$V$6:$V$10005,$V3457,'①在庫を貼る'!$W$6:$W$10005,$W3457)+COUNTIFS('月1回_1ヶ月前の在庫'!$V$6:$V$10005,$V3457,'月1回_1ヶ月前の在庫'!$W$6:$W$10005,$W3457)&gt;0),N(U3456),N(U3456)+1))</f>
        <v/>
      </c>
      <c r="V3457" s="19">
        <f>IF($B3457="","",TEXT($B3457,"0000"))</f>
        <v/>
      </c>
      <c r="W3457" s="19">
        <f>IF($I3457="","",IF(ISNUMBER($I3457),TEXT($I3457,"0"),$I3457))</f>
        <v/>
      </c>
    </row>
    <row r="3458">
      <c r="B3458" s="25" t="n"/>
      <c r="I3458" s="25" t="n"/>
      <c r="U3458" s="19">
        <f>IF($V3458&lt;&gt;'設定'!$C$4,N(U3457),IF(OR(NOT(COUNTIF('商品マスタ'!$B$6:$B$1005,$W3458)=0),COUNTIFS('①在庫を貼る'!$V$6:$V$10005,$V3458,'①在庫を貼る'!$W$6:$W$10005,$W3458)+COUNTIFS('月1回_1ヶ月前の在庫'!$V$6:$V$10005,$V3458,'月1回_1ヶ月前の在庫'!$W$6:$W$10005,$W3458)&gt;0),N(U3457),N(U3457)+1))</f>
        <v/>
      </c>
      <c r="V3458" s="19">
        <f>IF($B3458="","",TEXT($B3458,"0000"))</f>
        <v/>
      </c>
      <c r="W3458" s="19">
        <f>IF($I3458="","",IF(ISNUMBER($I3458),TEXT($I3458,"0"),$I3458))</f>
        <v/>
      </c>
    </row>
    <row r="3459">
      <c r="B3459" s="25" t="n"/>
      <c r="I3459" s="25" t="n"/>
      <c r="U3459" s="19">
        <f>IF($V3459&lt;&gt;'設定'!$C$4,N(U3458),IF(OR(NOT(COUNTIF('商品マスタ'!$B$6:$B$1005,$W3459)=0),COUNTIFS('①在庫を貼る'!$V$6:$V$10005,$V3459,'①在庫を貼る'!$W$6:$W$10005,$W3459)+COUNTIFS('月1回_1ヶ月前の在庫'!$V$6:$V$10005,$V3459,'月1回_1ヶ月前の在庫'!$W$6:$W$10005,$W3459)&gt;0),N(U3458),N(U3458)+1))</f>
        <v/>
      </c>
      <c r="V3459" s="19">
        <f>IF($B3459="","",TEXT($B3459,"0000"))</f>
        <v/>
      </c>
      <c r="W3459" s="19">
        <f>IF($I3459="","",IF(ISNUMBER($I3459),TEXT($I3459,"0"),$I3459))</f>
        <v/>
      </c>
    </row>
    <row r="3460">
      <c r="B3460" s="25" t="n"/>
      <c r="I3460" s="25" t="n"/>
      <c r="U3460" s="19">
        <f>IF($V3460&lt;&gt;'設定'!$C$4,N(U3459),IF(OR(NOT(COUNTIF('商品マスタ'!$B$6:$B$1005,$W3460)=0),COUNTIFS('①在庫を貼る'!$V$6:$V$10005,$V3460,'①在庫を貼る'!$W$6:$W$10005,$W3460)+COUNTIFS('月1回_1ヶ月前の在庫'!$V$6:$V$10005,$V3460,'月1回_1ヶ月前の在庫'!$W$6:$W$10005,$W3460)&gt;0),N(U3459),N(U3459)+1))</f>
        <v/>
      </c>
      <c r="V3460" s="19">
        <f>IF($B3460="","",TEXT($B3460,"0000"))</f>
        <v/>
      </c>
      <c r="W3460" s="19">
        <f>IF($I3460="","",IF(ISNUMBER($I3460),TEXT($I3460,"0"),$I3460))</f>
        <v/>
      </c>
    </row>
    <row r="3461">
      <c r="B3461" s="25" t="n"/>
      <c r="I3461" s="25" t="n"/>
      <c r="U3461" s="19">
        <f>IF($V3461&lt;&gt;'設定'!$C$4,N(U3460),IF(OR(NOT(COUNTIF('商品マスタ'!$B$6:$B$1005,$W3461)=0),COUNTIFS('①在庫を貼る'!$V$6:$V$10005,$V3461,'①在庫を貼る'!$W$6:$W$10005,$W3461)+COUNTIFS('月1回_1ヶ月前の在庫'!$V$6:$V$10005,$V3461,'月1回_1ヶ月前の在庫'!$W$6:$W$10005,$W3461)&gt;0),N(U3460),N(U3460)+1))</f>
        <v/>
      </c>
      <c r="V3461" s="19">
        <f>IF($B3461="","",TEXT($B3461,"0000"))</f>
        <v/>
      </c>
      <c r="W3461" s="19">
        <f>IF($I3461="","",IF(ISNUMBER($I3461),TEXT($I3461,"0"),$I3461))</f>
        <v/>
      </c>
    </row>
    <row r="3462">
      <c r="B3462" s="25" t="n"/>
      <c r="I3462" s="25" t="n"/>
      <c r="U3462" s="19">
        <f>IF($V3462&lt;&gt;'設定'!$C$4,N(U3461),IF(OR(NOT(COUNTIF('商品マスタ'!$B$6:$B$1005,$W3462)=0),COUNTIFS('①在庫を貼る'!$V$6:$V$10005,$V3462,'①在庫を貼る'!$W$6:$W$10005,$W3462)+COUNTIFS('月1回_1ヶ月前の在庫'!$V$6:$V$10005,$V3462,'月1回_1ヶ月前の在庫'!$W$6:$W$10005,$W3462)&gt;0),N(U3461),N(U3461)+1))</f>
        <v/>
      </c>
      <c r="V3462" s="19">
        <f>IF($B3462="","",TEXT($B3462,"0000"))</f>
        <v/>
      </c>
      <c r="W3462" s="19">
        <f>IF($I3462="","",IF(ISNUMBER($I3462),TEXT($I3462,"0"),$I3462))</f>
        <v/>
      </c>
    </row>
    <row r="3463">
      <c r="B3463" s="25" t="n"/>
      <c r="I3463" s="25" t="n"/>
      <c r="U3463" s="19">
        <f>IF($V3463&lt;&gt;'設定'!$C$4,N(U3462),IF(OR(NOT(COUNTIF('商品マスタ'!$B$6:$B$1005,$W3463)=0),COUNTIFS('①在庫を貼る'!$V$6:$V$10005,$V3463,'①在庫を貼る'!$W$6:$W$10005,$W3463)+COUNTIFS('月1回_1ヶ月前の在庫'!$V$6:$V$10005,$V3463,'月1回_1ヶ月前の在庫'!$W$6:$W$10005,$W3463)&gt;0),N(U3462),N(U3462)+1))</f>
        <v/>
      </c>
      <c r="V3463" s="19">
        <f>IF($B3463="","",TEXT($B3463,"0000"))</f>
        <v/>
      </c>
      <c r="W3463" s="19">
        <f>IF($I3463="","",IF(ISNUMBER($I3463),TEXT($I3463,"0"),$I3463))</f>
        <v/>
      </c>
    </row>
    <row r="3464">
      <c r="B3464" s="25" t="n"/>
      <c r="I3464" s="25" t="n"/>
      <c r="U3464" s="19">
        <f>IF($V3464&lt;&gt;'設定'!$C$4,N(U3463),IF(OR(NOT(COUNTIF('商品マスタ'!$B$6:$B$1005,$W3464)=0),COUNTIFS('①在庫を貼る'!$V$6:$V$10005,$V3464,'①在庫を貼る'!$W$6:$W$10005,$W3464)+COUNTIFS('月1回_1ヶ月前の在庫'!$V$6:$V$10005,$V3464,'月1回_1ヶ月前の在庫'!$W$6:$W$10005,$W3464)&gt;0),N(U3463),N(U3463)+1))</f>
        <v/>
      </c>
      <c r="V3464" s="19">
        <f>IF($B3464="","",TEXT($B3464,"0000"))</f>
        <v/>
      </c>
      <c r="W3464" s="19">
        <f>IF($I3464="","",IF(ISNUMBER($I3464),TEXT($I3464,"0"),$I3464))</f>
        <v/>
      </c>
    </row>
    <row r="3465">
      <c r="B3465" s="25" t="n"/>
      <c r="I3465" s="25" t="n"/>
      <c r="U3465" s="19">
        <f>IF($V3465&lt;&gt;'設定'!$C$4,N(U3464),IF(OR(NOT(COUNTIF('商品マスタ'!$B$6:$B$1005,$W3465)=0),COUNTIFS('①在庫を貼る'!$V$6:$V$10005,$V3465,'①在庫を貼る'!$W$6:$W$10005,$W3465)+COUNTIFS('月1回_1ヶ月前の在庫'!$V$6:$V$10005,$V3465,'月1回_1ヶ月前の在庫'!$W$6:$W$10005,$W3465)&gt;0),N(U3464),N(U3464)+1))</f>
        <v/>
      </c>
      <c r="V3465" s="19">
        <f>IF($B3465="","",TEXT($B3465,"0000"))</f>
        <v/>
      </c>
      <c r="W3465" s="19">
        <f>IF($I3465="","",IF(ISNUMBER($I3465),TEXT($I3465,"0"),$I3465))</f>
        <v/>
      </c>
    </row>
    <row r="3466">
      <c r="B3466" s="25" t="n"/>
      <c r="I3466" s="25" t="n"/>
      <c r="U3466" s="19">
        <f>IF($V3466&lt;&gt;'設定'!$C$4,N(U3465),IF(OR(NOT(COUNTIF('商品マスタ'!$B$6:$B$1005,$W3466)=0),COUNTIFS('①在庫を貼る'!$V$6:$V$10005,$V3466,'①在庫を貼る'!$W$6:$W$10005,$W3466)+COUNTIFS('月1回_1ヶ月前の在庫'!$V$6:$V$10005,$V3466,'月1回_1ヶ月前の在庫'!$W$6:$W$10005,$W3466)&gt;0),N(U3465),N(U3465)+1))</f>
        <v/>
      </c>
      <c r="V3466" s="19">
        <f>IF($B3466="","",TEXT($B3466,"0000"))</f>
        <v/>
      </c>
      <c r="W3466" s="19">
        <f>IF($I3466="","",IF(ISNUMBER($I3466),TEXT($I3466,"0"),$I3466))</f>
        <v/>
      </c>
    </row>
    <row r="3467">
      <c r="B3467" s="25" t="n"/>
      <c r="I3467" s="25" t="n"/>
      <c r="U3467" s="19">
        <f>IF($V3467&lt;&gt;'設定'!$C$4,N(U3466),IF(OR(NOT(COUNTIF('商品マスタ'!$B$6:$B$1005,$W3467)=0),COUNTIFS('①在庫を貼る'!$V$6:$V$10005,$V3467,'①在庫を貼る'!$W$6:$W$10005,$W3467)+COUNTIFS('月1回_1ヶ月前の在庫'!$V$6:$V$10005,$V3467,'月1回_1ヶ月前の在庫'!$W$6:$W$10005,$W3467)&gt;0),N(U3466),N(U3466)+1))</f>
        <v/>
      </c>
      <c r="V3467" s="19">
        <f>IF($B3467="","",TEXT($B3467,"0000"))</f>
        <v/>
      </c>
      <c r="W3467" s="19">
        <f>IF($I3467="","",IF(ISNUMBER($I3467),TEXT($I3467,"0"),$I3467))</f>
        <v/>
      </c>
    </row>
    <row r="3468">
      <c r="B3468" s="25" t="n"/>
      <c r="I3468" s="25" t="n"/>
      <c r="U3468" s="19">
        <f>IF($V3468&lt;&gt;'設定'!$C$4,N(U3467),IF(OR(NOT(COUNTIF('商品マスタ'!$B$6:$B$1005,$W3468)=0),COUNTIFS('①在庫を貼る'!$V$6:$V$10005,$V3468,'①在庫を貼る'!$W$6:$W$10005,$W3468)+COUNTIFS('月1回_1ヶ月前の在庫'!$V$6:$V$10005,$V3468,'月1回_1ヶ月前の在庫'!$W$6:$W$10005,$W3468)&gt;0),N(U3467),N(U3467)+1))</f>
        <v/>
      </c>
      <c r="V3468" s="19">
        <f>IF($B3468="","",TEXT($B3468,"0000"))</f>
        <v/>
      </c>
      <c r="W3468" s="19">
        <f>IF($I3468="","",IF(ISNUMBER($I3468),TEXT($I3468,"0"),$I3468))</f>
        <v/>
      </c>
    </row>
    <row r="3469">
      <c r="B3469" s="25" t="n"/>
      <c r="I3469" s="25" t="n"/>
      <c r="U3469" s="19">
        <f>IF($V3469&lt;&gt;'設定'!$C$4,N(U3468),IF(OR(NOT(COUNTIF('商品マスタ'!$B$6:$B$1005,$W3469)=0),COUNTIFS('①在庫を貼る'!$V$6:$V$10005,$V3469,'①在庫を貼る'!$W$6:$W$10005,$W3469)+COUNTIFS('月1回_1ヶ月前の在庫'!$V$6:$V$10005,$V3469,'月1回_1ヶ月前の在庫'!$W$6:$W$10005,$W3469)&gt;0),N(U3468),N(U3468)+1))</f>
        <v/>
      </c>
      <c r="V3469" s="19">
        <f>IF($B3469="","",TEXT($B3469,"0000"))</f>
        <v/>
      </c>
      <c r="W3469" s="19">
        <f>IF($I3469="","",IF(ISNUMBER($I3469),TEXT($I3469,"0"),$I3469))</f>
        <v/>
      </c>
    </row>
    <row r="3470">
      <c r="B3470" s="25" t="n"/>
      <c r="I3470" s="25" t="n"/>
      <c r="U3470" s="19">
        <f>IF($V3470&lt;&gt;'設定'!$C$4,N(U3469),IF(OR(NOT(COUNTIF('商品マスタ'!$B$6:$B$1005,$W3470)=0),COUNTIFS('①在庫を貼る'!$V$6:$V$10005,$V3470,'①在庫を貼る'!$W$6:$W$10005,$W3470)+COUNTIFS('月1回_1ヶ月前の在庫'!$V$6:$V$10005,$V3470,'月1回_1ヶ月前の在庫'!$W$6:$W$10005,$W3470)&gt;0),N(U3469),N(U3469)+1))</f>
        <v/>
      </c>
      <c r="V3470" s="19">
        <f>IF($B3470="","",TEXT($B3470,"0000"))</f>
        <v/>
      </c>
      <c r="W3470" s="19">
        <f>IF($I3470="","",IF(ISNUMBER($I3470),TEXT($I3470,"0"),$I3470))</f>
        <v/>
      </c>
    </row>
    <row r="3471">
      <c r="B3471" s="25" t="n"/>
      <c r="I3471" s="25" t="n"/>
      <c r="U3471" s="19">
        <f>IF($V3471&lt;&gt;'設定'!$C$4,N(U3470),IF(OR(NOT(COUNTIF('商品マスタ'!$B$6:$B$1005,$W3471)=0),COUNTIFS('①在庫を貼る'!$V$6:$V$10005,$V3471,'①在庫を貼る'!$W$6:$W$10005,$W3471)+COUNTIFS('月1回_1ヶ月前の在庫'!$V$6:$V$10005,$V3471,'月1回_1ヶ月前の在庫'!$W$6:$W$10005,$W3471)&gt;0),N(U3470),N(U3470)+1))</f>
        <v/>
      </c>
      <c r="V3471" s="19">
        <f>IF($B3471="","",TEXT($B3471,"0000"))</f>
        <v/>
      </c>
      <c r="W3471" s="19">
        <f>IF($I3471="","",IF(ISNUMBER($I3471),TEXT($I3471,"0"),$I3471))</f>
        <v/>
      </c>
    </row>
    <row r="3472">
      <c r="B3472" s="25" t="n"/>
      <c r="I3472" s="25" t="n"/>
      <c r="U3472" s="19">
        <f>IF($V3472&lt;&gt;'設定'!$C$4,N(U3471),IF(OR(NOT(COUNTIF('商品マスタ'!$B$6:$B$1005,$W3472)=0),COUNTIFS('①在庫を貼る'!$V$6:$V$10005,$V3472,'①在庫を貼る'!$W$6:$W$10005,$W3472)+COUNTIFS('月1回_1ヶ月前の在庫'!$V$6:$V$10005,$V3472,'月1回_1ヶ月前の在庫'!$W$6:$W$10005,$W3472)&gt;0),N(U3471),N(U3471)+1))</f>
        <v/>
      </c>
      <c r="V3472" s="19">
        <f>IF($B3472="","",TEXT($B3472,"0000"))</f>
        <v/>
      </c>
      <c r="W3472" s="19">
        <f>IF($I3472="","",IF(ISNUMBER($I3472),TEXT($I3472,"0"),$I3472))</f>
        <v/>
      </c>
    </row>
    <row r="3473">
      <c r="B3473" s="25" t="n"/>
      <c r="I3473" s="25" t="n"/>
      <c r="U3473" s="19">
        <f>IF($V3473&lt;&gt;'設定'!$C$4,N(U3472),IF(OR(NOT(COUNTIF('商品マスタ'!$B$6:$B$1005,$W3473)=0),COUNTIFS('①在庫を貼る'!$V$6:$V$10005,$V3473,'①在庫を貼る'!$W$6:$W$10005,$W3473)+COUNTIFS('月1回_1ヶ月前の在庫'!$V$6:$V$10005,$V3473,'月1回_1ヶ月前の在庫'!$W$6:$W$10005,$W3473)&gt;0),N(U3472),N(U3472)+1))</f>
        <v/>
      </c>
      <c r="V3473" s="19">
        <f>IF($B3473="","",TEXT($B3473,"0000"))</f>
        <v/>
      </c>
      <c r="W3473" s="19">
        <f>IF($I3473="","",IF(ISNUMBER($I3473),TEXT($I3473,"0"),$I3473))</f>
        <v/>
      </c>
    </row>
    <row r="3474">
      <c r="B3474" s="25" t="n"/>
      <c r="I3474" s="25" t="n"/>
      <c r="U3474" s="19">
        <f>IF($V3474&lt;&gt;'設定'!$C$4,N(U3473),IF(OR(NOT(COUNTIF('商品マスタ'!$B$6:$B$1005,$W3474)=0),COUNTIFS('①在庫を貼る'!$V$6:$V$10005,$V3474,'①在庫を貼る'!$W$6:$W$10005,$W3474)+COUNTIFS('月1回_1ヶ月前の在庫'!$V$6:$V$10005,$V3474,'月1回_1ヶ月前の在庫'!$W$6:$W$10005,$W3474)&gt;0),N(U3473),N(U3473)+1))</f>
        <v/>
      </c>
      <c r="V3474" s="19">
        <f>IF($B3474="","",TEXT($B3474,"0000"))</f>
        <v/>
      </c>
      <c r="W3474" s="19">
        <f>IF($I3474="","",IF(ISNUMBER($I3474),TEXT($I3474,"0"),$I3474))</f>
        <v/>
      </c>
    </row>
    <row r="3475">
      <c r="B3475" s="25" t="n"/>
      <c r="I3475" s="25" t="n"/>
      <c r="U3475" s="19">
        <f>IF($V3475&lt;&gt;'設定'!$C$4,N(U3474),IF(OR(NOT(COUNTIF('商品マスタ'!$B$6:$B$1005,$W3475)=0),COUNTIFS('①在庫を貼る'!$V$6:$V$10005,$V3475,'①在庫を貼る'!$W$6:$W$10005,$W3475)+COUNTIFS('月1回_1ヶ月前の在庫'!$V$6:$V$10005,$V3475,'月1回_1ヶ月前の在庫'!$W$6:$W$10005,$W3475)&gt;0),N(U3474),N(U3474)+1))</f>
        <v/>
      </c>
      <c r="V3475" s="19">
        <f>IF($B3475="","",TEXT($B3475,"0000"))</f>
        <v/>
      </c>
      <c r="W3475" s="19">
        <f>IF($I3475="","",IF(ISNUMBER($I3475),TEXT($I3475,"0"),$I3475))</f>
        <v/>
      </c>
    </row>
    <row r="3476">
      <c r="B3476" s="25" t="n"/>
      <c r="I3476" s="25" t="n"/>
      <c r="U3476" s="19">
        <f>IF($V3476&lt;&gt;'設定'!$C$4,N(U3475),IF(OR(NOT(COUNTIF('商品マスタ'!$B$6:$B$1005,$W3476)=0),COUNTIFS('①在庫を貼る'!$V$6:$V$10005,$V3476,'①在庫を貼る'!$W$6:$W$10005,$W3476)+COUNTIFS('月1回_1ヶ月前の在庫'!$V$6:$V$10005,$V3476,'月1回_1ヶ月前の在庫'!$W$6:$W$10005,$W3476)&gt;0),N(U3475),N(U3475)+1))</f>
        <v/>
      </c>
      <c r="V3476" s="19">
        <f>IF($B3476="","",TEXT($B3476,"0000"))</f>
        <v/>
      </c>
      <c r="W3476" s="19">
        <f>IF($I3476="","",IF(ISNUMBER($I3476),TEXT($I3476,"0"),$I3476))</f>
        <v/>
      </c>
    </row>
    <row r="3477">
      <c r="B3477" s="25" t="n"/>
      <c r="I3477" s="25" t="n"/>
      <c r="U3477" s="19">
        <f>IF($V3477&lt;&gt;'設定'!$C$4,N(U3476),IF(OR(NOT(COUNTIF('商品マスタ'!$B$6:$B$1005,$W3477)=0),COUNTIFS('①在庫を貼る'!$V$6:$V$10005,$V3477,'①在庫を貼る'!$W$6:$W$10005,$W3477)+COUNTIFS('月1回_1ヶ月前の在庫'!$V$6:$V$10005,$V3477,'月1回_1ヶ月前の在庫'!$W$6:$W$10005,$W3477)&gt;0),N(U3476),N(U3476)+1))</f>
        <v/>
      </c>
      <c r="V3477" s="19">
        <f>IF($B3477="","",TEXT($B3477,"0000"))</f>
        <v/>
      </c>
      <c r="W3477" s="19">
        <f>IF($I3477="","",IF(ISNUMBER($I3477),TEXT($I3477,"0"),$I3477))</f>
        <v/>
      </c>
    </row>
    <row r="3478">
      <c r="B3478" s="25" t="n"/>
      <c r="I3478" s="25" t="n"/>
      <c r="U3478" s="19">
        <f>IF($V3478&lt;&gt;'設定'!$C$4,N(U3477),IF(OR(NOT(COUNTIF('商品マスタ'!$B$6:$B$1005,$W3478)=0),COUNTIFS('①在庫を貼る'!$V$6:$V$10005,$V3478,'①在庫を貼る'!$W$6:$W$10005,$W3478)+COUNTIFS('月1回_1ヶ月前の在庫'!$V$6:$V$10005,$V3478,'月1回_1ヶ月前の在庫'!$W$6:$W$10005,$W3478)&gt;0),N(U3477),N(U3477)+1))</f>
        <v/>
      </c>
      <c r="V3478" s="19">
        <f>IF($B3478="","",TEXT($B3478,"0000"))</f>
        <v/>
      </c>
      <c r="W3478" s="19">
        <f>IF($I3478="","",IF(ISNUMBER($I3478),TEXT($I3478,"0"),$I3478))</f>
        <v/>
      </c>
    </row>
    <row r="3479">
      <c r="B3479" s="25" t="n"/>
      <c r="I3479" s="25" t="n"/>
      <c r="U3479" s="19">
        <f>IF($V3479&lt;&gt;'設定'!$C$4,N(U3478),IF(OR(NOT(COUNTIF('商品マスタ'!$B$6:$B$1005,$W3479)=0),COUNTIFS('①在庫を貼る'!$V$6:$V$10005,$V3479,'①在庫を貼る'!$W$6:$W$10005,$W3479)+COUNTIFS('月1回_1ヶ月前の在庫'!$V$6:$V$10005,$V3479,'月1回_1ヶ月前の在庫'!$W$6:$W$10005,$W3479)&gt;0),N(U3478),N(U3478)+1))</f>
        <v/>
      </c>
      <c r="V3479" s="19">
        <f>IF($B3479="","",TEXT($B3479,"0000"))</f>
        <v/>
      </c>
      <c r="W3479" s="19">
        <f>IF($I3479="","",IF(ISNUMBER($I3479),TEXT($I3479,"0"),$I3479))</f>
        <v/>
      </c>
    </row>
    <row r="3480">
      <c r="B3480" s="25" t="n"/>
      <c r="I3480" s="25" t="n"/>
      <c r="U3480" s="19">
        <f>IF($V3480&lt;&gt;'設定'!$C$4,N(U3479),IF(OR(NOT(COUNTIF('商品マスタ'!$B$6:$B$1005,$W3480)=0),COUNTIFS('①在庫を貼る'!$V$6:$V$10005,$V3480,'①在庫を貼る'!$W$6:$W$10005,$W3480)+COUNTIFS('月1回_1ヶ月前の在庫'!$V$6:$V$10005,$V3480,'月1回_1ヶ月前の在庫'!$W$6:$W$10005,$W3480)&gt;0),N(U3479),N(U3479)+1))</f>
        <v/>
      </c>
      <c r="V3480" s="19">
        <f>IF($B3480="","",TEXT($B3480,"0000"))</f>
        <v/>
      </c>
      <c r="W3480" s="19">
        <f>IF($I3480="","",IF(ISNUMBER($I3480),TEXT($I3480,"0"),$I3480))</f>
        <v/>
      </c>
    </row>
    <row r="3481">
      <c r="B3481" s="25" t="n"/>
      <c r="I3481" s="25" t="n"/>
      <c r="U3481" s="19">
        <f>IF($V3481&lt;&gt;'設定'!$C$4,N(U3480),IF(OR(NOT(COUNTIF('商品マスタ'!$B$6:$B$1005,$W3481)=0),COUNTIFS('①在庫を貼る'!$V$6:$V$10005,$V3481,'①在庫を貼る'!$W$6:$W$10005,$W3481)+COUNTIFS('月1回_1ヶ月前の在庫'!$V$6:$V$10005,$V3481,'月1回_1ヶ月前の在庫'!$W$6:$W$10005,$W3481)&gt;0),N(U3480),N(U3480)+1))</f>
        <v/>
      </c>
      <c r="V3481" s="19">
        <f>IF($B3481="","",TEXT($B3481,"0000"))</f>
        <v/>
      </c>
      <c r="W3481" s="19">
        <f>IF($I3481="","",IF(ISNUMBER($I3481),TEXT($I3481,"0"),$I3481))</f>
        <v/>
      </c>
    </row>
    <row r="3482">
      <c r="B3482" s="25" t="n"/>
      <c r="I3482" s="25" t="n"/>
      <c r="U3482" s="19">
        <f>IF($V3482&lt;&gt;'設定'!$C$4,N(U3481),IF(OR(NOT(COUNTIF('商品マスタ'!$B$6:$B$1005,$W3482)=0),COUNTIFS('①在庫を貼る'!$V$6:$V$10005,$V3482,'①在庫を貼る'!$W$6:$W$10005,$W3482)+COUNTIFS('月1回_1ヶ月前の在庫'!$V$6:$V$10005,$V3482,'月1回_1ヶ月前の在庫'!$W$6:$W$10005,$W3482)&gt;0),N(U3481),N(U3481)+1))</f>
        <v/>
      </c>
      <c r="V3482" s="19">
        <f>IF($B3482="","",TEXT($B3482,"0000"))</f>
        <v/>
      </c>
      <c r="W3482" s="19">
        <f>IF($I3482="","",IF(ISNUMBER($I3482),TEXT($I3482,"0"),$I3482))</f>
        <v/>
      </c>
    </row>
    <row r="3483">
      <c r="B3483" s="25" t="n"/>
      <c r="I3483" s="25" t="n"/>
      <c r="U3483" s="19">
        <f>IF($V3483&lt;&gt;'設定'!$C$4,N(U3482),IF(OR(NOT(COUNTIF('商品マスタ'!$B$6:$B$1005,$W3483)=0),COUNTIFS('①在庫を貼る'!$V$6:$V$10005,$V3483,'①在庫を貼る'!$W$6:$W$10005,$W3483)+COUNTIFS('月1回_1ヶ月前の在庫'!$V$6:$V$10005,$V3483,'月1回_1ヶ月前の在庫'!$W$6:$W$10005,$W3483)&gt;0),N(U3482),N(U3482)+1))</f>
        <v/>
      </c>
      <c r="V3483" s="19">
        <f>IF($B3483="","",TEXT($B3483,"0000"))</f>
        <v/>
      </c>
      <c r="W3483" s="19">
        <f>IF($I3483="","",IF(ISNUMBER($I3483),TEXT($I3483,"0"),$I3483))</f>
        <v/>
      </c>
    </row>
    <row r="3484">
      <c r="B3484" s="25" t="n"/>
      <c r="I3484" s="25" t="n"/>
      <c r="U3484" s="19">
        <f>IF($V3484&lt;&gt;'設定'!$C$4,N(U3483),IF(OR(NOT(COUNTIF('商品マスタ'!$B$6:$B$1005,$W3484)=0),COUNTIFS('①在庫を貼る'!$V$6:$V$10005,$V3484,'①在庫を貼る'!$W$6:$W$10005,$W3484)+COUNTIFS('月1回_1ヶ月前の在庫'!$V$6:$V$10005,$V3484,'月1回_1ヶ月前の在庫'!$W$6:$W$10005,$W3484)&gt;0),N(U3483),N(U3483)+1))</f>
        <v/>
      </c>
      <c r="V3484" s="19">
        <f>IF($B3484="","",TEXT($B3484,"0000"))</f>
        <v/>
      </c>
      <c r="W3484" s="19">
        <f>IF($I3484="","",IF(ISNUMBER($I3484),TEXT($I3484,"0"),$I3484))</f>
        <v/>
      </c>
    </row>
    <row r="3485">
      <c r="B3485" s="25" t="n"/>
      <c r="I3485" s="25" t="n"/>
      <c r="U3485" s="19">
        <f>IF($V3485&lt;&gt;'設定'!$C$4,N(U3484),IF(OR(NOT(COUNTIF('商品マスタ'!$B$6:$B$1005,$W3485)=0),COUNTIFS('①在庫を貼る'!$V$6:$V$10005,$V3485,'①在庫を貼る'!$W$6:$W$10005,$W3485)+COUNTIFS('月1回_1ヶ月前の在庫'!$V$6:$V$10005,$V3485,'月1回_1ヶ月前の在庫'!$W$6:$W$10005,$W3485)&gt;0),N(U3484),N(U3484)+1))</f>
        <v/>
      </c>
      <c r="V3485" s="19">
        <f>IF($B3485="","",TEXT($B3485,"0000"))</f>
        <v/>
      </c>
      <c r="W3485" s="19">
        <f>IF($I3485="","",IF(ISNUMBER($I3485),TEXT($I3485,"0"),$I3485))</f>
        <v/>
      </c>
    </row>
    <row r="3486">
      <c r="B3486" s="25" t="n"/>
      <c r="I3486" s="25" t="n"/>
      <c r="U3486" s="19">
        <f>IF($V3486&lt;&gt;'設定'!$C$4,N(U3485),IF(OR(NOT(COUNTIF('商品マスタ'!$B$6:$B$1005,$W3486)=0),COUNTIFS('①在庫を貼る'!$V$6:$V$10005,$V3486,'①在庫を貼る'!$W$6:$W$10005,$W3486)+COUNTIFS('月1回_1ヶ月前の在庫'!$V$6:$V$10005,$V3486,'月1回_1ヶ月前の在庫'!$W$6:$W$10005,$W3486)&gt;0),N(U3485),N(U3485)+1))</f>
        <v/>
      </c>
      <c r="V3486" s="19">
        <f>IF($B3486="","",TEXT($B3486,"0000"))</f>
        <v/>
      </c>
      <c r="W3486" s="19">
        <f>IF($I3486="","",IF(ISNUMBER($I3486),TEXT($I3486,"0"),$I3486))</f>
        <v/>
      </c>
    </row>
    <row r="3487">
      <c r="B3487" s="25" t="n"/>
      <c r="I3487" s="25" t="n"/>
      <c r="U3487" s="19">
        <f>IF($V3487&lt;&gt;'設定'!$C$4,N(U3486),IF(OR(NOT(COUNTIF('商品マスタ'!$B$6:$B$1005,$W3487)=0),COUNTIFS('①在庫を貼る'!$V$6:$V$10005,$V3487,'①在庫を貼る'!$W$6:$W$10005,$W3487)+COUNTIFS('月1回_1ヶ月前の在庫'!$V$6:$V$10005,$V3487,'月1回_1ヶ月前の在庫'!$W$6:$W$10005,$W3487)&gt;0),N(U3486),N(U3486)+1))</f>
        <v/>
      </c>
      <c r="V3487" s="19">
        <f>IF($B3487="","",TEXT($B3487,"0000"))</f>
        <v/>
      </c>
      <c r="W3487" s="19">
        <f>IF($I3487="","",IF(ISNUMBER($I3487),TEXT($I3487,"0"),$I3487))</f>
        <v/>
      </c>
    </row>
    <row r="3488">
      <c r="B3488" s="25" t="n"/>
      <c r="I3488" s="25" t="n"/>
      <c r="U3488" s="19">
        <f>IF($V3488&lt;&gt;'設定'!$C$4,N(U3487),IF(OR(NOT(COUNTIF('商品マスタ'!$B$6:$B$1005,$W3488)=0),COUNTIFS('①在庫を貼る'!$V$6:$V$10005,$V3488,'①在庫を貼る'!$W$6:$W$10005,$W3488)+COUNTIFS('月1回_1ヶ月前の在庫'!$V$6:$V$10005,$V3488,'月1回_1ヶ月前の在庫'!$W$6:$W$10005,$W3488)&gt;0),N(U3487),N(U3487)+1))</f>
        <v/>
      </c>
      <c r="V3488" s="19">
        <f>IF($B3488="","",TEXT($B3488,"0000"))</f>
        <v/>
      </c>
      <c r="W3488" s="19">
        <f>IF($I3488="","",IF(ISNUMBER($I3488),TEXT($I3488,"0"),$I3488))</f>
        <v/>
      </c>
    </row>
    <row r="3489">
      <c r="B3489" s="25" t="n"/>
      <c r="I3489" s="25" t="n"/>
      <c r="U3489" s="19">
        <f>IF($V3489&lt;&gt;'設定'!$C$4,N(U3488),IF(OR(NOT(COUNTIF('商品マスタ'!$B$6:$B$1005,$W3489)=0),COUNTIFS('①在庫を貼る'!$V$6:$V$10005,$V3489,'①在庫を貼る'!$W$6:$W$10005,$W3489)+COUNTIFS('月1回_1ヶ月前の在庫'!$V$6:$V$10005,$V3489,'月1回_1ヶ月前の在庫'!$W$6:$W$10005,$W3489)&gt;0),N(U3488),N(U3488)+1))</f>
        <v/>
      </c>
      <c r="V3489" s="19">
        <f>IF($B3489="","",TEXT($B3489,"0000"))</f>
        <v/>
      </c>
      <c r="W3489" s="19">
        <f>IF($I3489="","",IF(ISNUMBER($I3489),TEXT($I3489,"0"),$I3489))</f>
        <v/>
      </c>
    </row>
    <row r="3490">
      <c r="B3490" s="25" t="n"/>
      <c r="I3490" s="25" t="n"/>
      <c r="U3490" s="19">
        <f>IF($V3490&lt;&gt;'設定'!$C$4,N(U3489),IF(OR(NOT(COUNTIF('商品マスタ'!$B$6:$B$1005,$W3490)=0),COUNTIFS('①在庫を貼る'!$V$6:$V$10005,$V3490,'①在庫を貼る'!$W$6:$W$10005,$W3490)+COUNTIFS('月1回_1ヶ月前の在庫'!$V$6:$V$10005,$V3490,'月1回_1ヶ月前の在庫'!$W$6:$W$10005,$W3490)&gt;0),N(U3489),N(U3489)+1))</f>
        <v/>
      </c>
      <c r="V3490" s="19">
        <f>IF($B3490="","",TEXT($B3490,"0000"))</f>
        <v/>
      </c>
      <c r="W3490" s="19">
        <f>IF($I3490="","",IF(ISNUMBER($I3490),TEXT($I3490,"0"),$I3490))</f>
        <v/>
      </c>
    </row>
    <row r="3491">
      <c r="B3491" s="25" t="n"/>
      <c r="I3491" s="25" t="n"/>
      <c r="U3491" s="19">
        <f>IF($V3491&lt;&gt;'設定'!$C$4,N(U3490),IF(OR(NOT(COUNTIF('商品マスタ'!$B$6:$B$1005,$W3491)=0),COUNTIFS('①在庫を貼る'!$V$6:$V$10005,$V3491,'①在庫を貼る'!$W$6:$W$10005,$W3491)+COUNTIFS('月1回_1ヶ月前の在庫'!$V$6:$V$10005,$V3491,'月1回_1ヶ月前の在庫'!$W$6:$W$10005,$W3491)&gt;0),N(U3490),N(U3490)+1))</f>
        <v/>
      </c>
      <c r="V3491" s="19">
        <f>IF($B3491="","",TEXT($B3491,"0000"))</f>
        <v/>
      </c>
      <c r="W3491" s="19">
        <f>IF($I3491="","",IF(ISNUMBER($I3491),TEXT($I3491,"0"),$I3491))</f>
        <v/>
      </c>
    </row>
    <row r="3492">
      <c r="B3492" s="25" t="n"/>
      <c r="I3492" s="25" t="n"/>
      <c r="U3492" s="19">
        <f>IF($V3492&lt;&gt;'設定'!$C$4,N(U3491),IF(OR(NOT(COUNTIF('商品マスタ'!$B$6:$B$1005,$W3492)=0),COUNTIFS('①在庫を貼る'!$V$6:$V$10005,$V3492,'①在庫を貼る'!$W$6:$W$10005,$W3492)+COUNTIFS('月1回_1ヶ月前の在庫'!$V$6:$V$10005,$V3492,'月1回_1ヶ月前の在庫'!$W$6:$W$10005,$W3492)&gt;0),N(U3491),N(U3491)+1))</f>
        <v/>
      </c>
      <c r="V3492" s="19">
        <f>IF($B3492="","",TEXT($B3492,"0000"))</f>
        <v/>
      </c>
      <c r="W3492" s="19">
        <f>IF($I3492="","",IF(ISNUMBER($I3492),TEXT($I3492,"0"),$I3492))</f>
        <v/>
      </c>
    </row>
    <row r="3493">
      <c r="B3493" s="25" t="n"/>
      <c r="I3493" s="25" t="n"/>
      <c r="U3493" s="19">
        <f>IF($V3493&lt;&gt;'設定'!$C$4,N(U3492),IF(OR(NOT(COUNTIF('商品マスタ'!$B$6:$B$1005,$W3493)=0),COUNTIFS('①在庫を貼る'!$V$6:$V$10005,$V3493,'①在庫を貼る'!$W$6:$W$10005,$W3493)+COUNTIFS('月1回_1ヶ月前の在庫'!$V$6:$V$10005,$V3493,'月1回_1ヶ月前の在庫'!$W$6:$W$10005,$W3493)&gt;0),N(U3492),N(U3492)+1))</f>
        <v/>
      </c>
      <c r="V3493" s="19">
        <f>IF($B3493="","",TEXT($B3493,"0000"))</f>
        <v/>
      </c>
      <c r="W3493" s="19">
        <f>IF($I3493="","",IF(ISNUMBER($I3493),TEXT($I3493,"0"),$I3493))</f>
        <v/>
      </c>
    </row>
    <row r="3494">
      <c r="B3494" s="25" t="n"/>
      <c r="I3494" s="25" t="n"/>
      <c r="U3494" s="19">
        <f>IF($V3494&lt;&gt;'設定'!$C$4,N(U3493),IF(OR(NOT(COUNTIF('商品マスタ'!$B$6:$B$1005,$W3494)=0),COUNTIFS('①在庫を貼る'!$V$6:$V$10005,$V3494,'①在庫を貼る'!$W$6:$W$10005,$W3494)+COUNTIFS('月1回_1ヶ月前の在庫'!$V$6:$V$10005,$V3494,'月1回_1ヶ月前の在庫'!$W$6:$W$10005,$W3494)&gt;0),N(U3493),N(U3493)+1))</f>
        <v/>
      </c>
      <c r="V3494" s="19">
        <f>IF($B3494="","",TEXT($B3494,"0000"))</f>
        <v/>
      </c>
      <c r="W3494" s="19">
        <f>IF($I3494="","",IF(ISNUMBER($I3494),TEXT($I3494,"0"),$I3494))</f>
        <v/>
      </c>
    </row>
    <row r="3495">
      <c r="B3495" s="25" t="n"/>
      <c r="I3495" s="25" t="n"/>
      <c r="U3495" s="19">
        <f>IF($V3495&lt;&gt;'設定'!$C$4,N(U3494),IF(OR(NOT(COUNTIF('商品マスタ'!$B$6:$B$1005,$W3495)=0),COUNTIFS('①在庫を貼る'!$V$6:$V$10005,$V3495,'①在庫を貼る'!$W$6:$W$10005,$W3495)+COUNTIFS('月1回_1ヶ月前の在庫'!$V$6:$V$10005,$V3495,'月1回_1ヶ月前の在庫'!$W$6:$W$10005,$W3495)&gt;0),N(U3494),N(U3494)+1))</f>
        <v/>
      </c>
      <c r="V3495" s="19">
        <f>IF($B3495="","",TEXT($B3495,"0000"))</f>
        <v/>
      </c>
      <c r="W3495" s="19">
        <f>IF($I3495="","",IF(ISNUMBER($I3495),TEXT($I3495,"0"),$I3495))</f>
        <v/>
      </c>
    </row>
    <row r="3496">
      <c r="B3496" s="25" t="n"/>
      <c r="I3496" s="25" t="n"/>
      <c r="U3496" s="19">
        <f>IF($V3496&lt;&gt;'設定'!$C$4,N(U3495),IF(OR(NOT(COUNTIF('商品マスタ'!$B$6:$B$1005,$W3496)=0),COUNTIFS('①在庫を貼る'!$V$6:$V$10005,$V3496,'①在庫を貼る'!$W$6:$W$10005,$W3496)+COUNTIFS('月1回_1ヶ月前の在庫'!$V$6:$V$10005,$V3496,'月1回_1ヶ月前の在庫'!$W$6:$W$10005,$W3496)&gt;0),N(U3495),N(U3495)+1))</f>
        <v/>
      </c>
      <c r="V3496" s="19">
        <f>IF($B3496="","",TEXT($B3496,"0000"))</f>
        <v/>
      </c>
      <c r="W3496" s="19">
        <f>IF($I3496="","",IF(ISNUMBER($I3496),TEXT($I3496,"0"),$I3496))</f>
        <v/>
      </c>
    </row>
    <row r="3497">
      <c r="B3497" s="25" t="n"/>
      <c r="I3497" s="25" t="n"/>
      <c r="U3497" s="19">
        <f>IF($V3497&lt;&gt;'設定'!$C$4,N(U3496),IF(OR(NOT(COUNTIF('商品マスタ'!$B$6:$B$1005,$W3497)=0),COUNTIFS('①在庫を貼る'!$V$6:$V$10005,$V3497,'①在庫を貼る'!$W$6:$W$10005,$W3497)+COUNTIFS('月1回_1ヶ月前の在庫'!$V$6:$V$10005,$V3497,'月1回_1ヶ月前の在庫'!$W$6:$W$10005,$W3497)&gt;0),N(U3496),N(U3496)+1))</f>
        <v/>
      </c>
      <c r="V3497" s="19">
        <f>IF($B3497="","",TEXT($B3497,"0000"))</f>
        <v/>
      </c>
      <c r="W3497" s="19">
        <f>IF($I3497="","",IF(ISNUMBER($I3497),TEXT($I3497,"0"),$I3497))</f>
        <v/>
      </c>
    </row>
    <row r="3498">
      <c r="B3498" s="25" t="n"/>
      <c r="I3498" s="25" t="n"/>
      <c r="U3498" s="19">
        <f>IF($V3498&lt;&gt;'設定'!$C$4,N(U3497),IF(OR(NOT(COUNTIF('商品マスタ'!$B$6:$B$1005,$W3498)=0),COUNTIFS('①在庫を貼る'!$V$6:$V$10005,$V3498,'①在庫を貼る'!$W$6:$W$10005,$W3498)+COUNTIFS('月1回_1ヶ月前の在庫'!$V$6:$V$10005,$V3498,'月1回_1ヶ月前の在庫'!$W$6:$W$10005,$W3498)&gt;0),N(U3497),N(U3497)+1))</f>
        <v/>
      </c>
      <c r="V3498" s="19">
        <f>IF($B3498="","",TEXT($B3498,"0000"))</f>
        <v/>
      </c>
      <c r="W3498" s="19">
        <f>IF($I3498="","",IF(ISNUMBER($I3498),TEXT($I3498,"0"),$I3498))</f>
        <v/>
      </c>
    </row>
    <row r="3499">
      <c r="B3499" s="25" t="n"/>
      <c r="I3499" s="25" t="n"/>
      <c r="U3499" s="19">
        <f>IF($V3499&lt;&gt;'設定'!$C$4,N(U3498),IF(OR(NOT(COUNTIF('商品マスタ'!$B$6:$B$1005,$W3499)=0),COUNTIFS('①在庫を貼る'!$V$6:$V$10005,$V3499,'①在庫を貼る'!$W$6:$W$10005,$W3499)+COUNTIFS('月1回_1ヶ月前の在庫'!$V$6:$V$10005,$V3499,'月1回_1ヶ月前の在庫'!$W$6:$W$10005,$W3499)&gt;0),N(U3498),N(U3498)+1))</f>
        <v/>
      </c>
      <c r="V3499" s="19">
        <f>IF($B3499="","",TEXT($B3499,"0000"))</f>
        <v/>
      </c>
      <c r="W3499" s="19">
        <f>IF($I3499="","",IF(ISNUMBER($I3499),TEXT($I3499,"0"),$I3499))</f>
        <v/>
      </c>
    </row>
    <row r="3500">
      <c r="B3500" s="25" t="n"/>
      <c r="I3500" s="25" t="n"/>
      <c r="U3500" s="19">
        <f>IF($V3500&lt;&gt;'設定'!$C$4,N(U3499),IF(OR(NOT(COUNTIF('商品マスタ'!$B$6:$B$1005,$W3500)=0),COUNTIFS('①在庫を貼る'!$V$6:$V$10005,$V3500,'①在庫を貼る'!$W$6:$W$10005,$W3500)+COUNTIFS('月1回_1ヶ月前の在庫'!$V$6:$V$10005,$V3500,'月1回_1ヶ月前の在庫'!$W$6:$W$10005,$W3500)&gt;0),N(U3499),N(U3499)+1))</f>
        <v/>
      </c>
      <c r="V3500" s="19">
        <f>IF($B3500="","",TEXT($B3500,"0000"))</f>
        <v/>
      </c>
      <c r="W3500" s="19">
        <f>IF($I3500="","",IF(ISNUMBER($I3500),TEXT($I3500,"0"),$I3500))</f>
        <v/>
      </c>
    </row>
    <row r="3501">
      <c r="B3501" s="25" t="n"/>
      <c r="I3501" s="25" t="n"/>
      <c r="U3501" s="19">
        <f>IF($V3501&lt;&gt;'設定'!$C$4,N(U3500),IF(OR(NOT(COUNTIF('商品マスタ'!$B$6:$B$1005,$W3501)=0),COUNTIFS('①在庫を貼る'!$V$6:$V$10005,$V3501,'①在庫を貼る'!$W$6:$W$10005,$W3501)+COUNTIFS('月1回_1ヶ月前の在庫'!$V$6:$V$10005,$V3501,'月1回_1ヶ月前の在庫'!$W$6:$W$10005,$W3501)&gt;0),N(U3500),N(U3500)+1))</f>
        <v/>
      </c>
      <c r="V3501" s="19">
        <f>IF($B3501="","",TEXT($B3501,"0000"))</f>
        <v/>
      </c>
      <c r="W3501" s="19">
        <f>IF($I3501="","",IF(ISNUMBER($I3501),TEXT($I3501,"0"),$I3501))</f>
        <v/>
      </c>
    </row>
    <row r="3502">
      <c r="B3502" s="25" t="n"/>
      <c r="I3502" s="25" t="n"/>
      <c r="U3502" s="19">
        <f>IF($V3502&lt;&gt;'設定'!$C$4,N(U3501),IF(OR(NOT(COUNTIF('商品マスタ'!$B$6:$B$1005,$W3502)=0),COUNTIFS('①在庫を貼る'!$V$6:$V$10005,$V3502,'①在庫を貼る'!$W$6:$W$10005,$W3502)+COUNTIFS('月1回_1ヶ月前の在庫'!$V$6:$V$10005,$V3502,'月1回_1ヶ月前の在庫'!$W$6:$W$10005,$W3502)&gt;0),N(U3501),N(U3501)+1))</f>
        <v/>
      </c>
      <c r="V3502" s="19">
        <f>IF($B3502="","",TEXT($B3502,"0000"))</f>
        <v/>
      </c>
      <c r="W3502" s="19">
        <f>IF($I3502="","",IF(ISNUMBER($I3502),TEXT($I3502,"0"),$I3502))</f>
        <v/>
      </c>
    </row>
    <row r="3503">
      <c r="B3503" s="25" t="n"/>
      <c r="I3503" s="25" t="n"/>
      <c r="U3503" s="19">
        <f>IF($V3503&lt;&gt;'設定'!$C$4,N(U3502),IF(OR(NOT(COUNTIF('商品マスタ'!$B$6:$B$1005,$W3503)=0),COUNTIFS('①在庫を貼る'!$V$6:$V$10005,$V3503,'①在庫を貼る'!$W$6:$W$10005,$W3503)+COUNTIFS('月1回_1ヶ月前の在庫'!$V$6:$V$10005,$V3503,'月1回_1ヶ月前の在庫'!$W$6:$W$10005,$W3503)&gt;0),N(U3502),N(U3502)+1))</f>
        <v/>
      </c>
      <c r="V3503" s="19">
        <f>IF($B3503="","",TEXT($B3503,"0000"))</f>
        <v/>
      </c>
      <c r="W3503" s="19">
        <f>IF($I3503="","",IF(ISNUMBER($I3503),TEXT($I3503,"0"),$I3503))</f>
        <v/>
      </c>
    </row>
    <row r="3504">
      <c r="B3504" s="25" t="n"/>
      <c r="I3504" s="25" t="n"/>
      <c r="U3504" s="19">
        <f>IF($V3504&lt;&gt;'設定'!$C$4,N(U3503),IF(OR(NOT(COUNTIF('商品マスタ'!$B$6:$B$1005,$W3504)=0),COUNTIFS('①在庫を貼る'!$V$6:$V$10005,$V3504,'①在庫を貼る'!$W$6:$W$10005,$W3504)+COUNTIFS('月1回_1ヶ月前の在庫'!$V$6:$V$10005,$V3504,'月1回_1ヶ月前の在庫'!$W$6:$W$10005,$W3504)&gt;0),N(U3503),N(U3503)+1))</f>
        <v/>
      </c>
      <c r="V3504" s="19">
        <f>IF($B3504="","",TEXT($B3504,"0000"))</f>
        <v/>
      </c>
      <c r="W3504" s="19">
        <f>IF($I3504="","",IF(ISNUMBER($I3504),TEXT($I3504,"0"),$I3504))</f>
        <v/>
      </c>
    </row>
    <row r="3505">
      <c r="B3505" s="25" t="n"/>
      <c r="I3505" s="25" t="n"/>
      <c r="U3505" s="19">
        <f>IF($V3505&lt;&gt;'設定'!$C$4,N(U3504),IF(OR(NOT(COUNTIF('商品マスタ'!$B$6:$B$1005,$W3505)=0),COUNTIFS('①在庫を貼る'!$V$6:$V$10005,$V3505,'①在庫を貼る'!$W$6:$W$10005,$W3505)+COUNTIFS('月1回_1ヶ月前の在庫'!$V$6:$V$10005,$V3505,'月1回_1ヶ月前の在庫'!$W$6:$W$10005,$W3505)&gt;0),N(U3504),N(U3504)+1))</f>
        <v/>
      </c>
      <c r="V3505" s="19">
        <f>IF($B3505="","",TEXT($B3505,"0000"))</f>
        <v/>
      </c>
      <c r="W3505" s="19">
        <f>IF($I3505="","",IF(ISNUMBER($I3505),TEXT($I3505,"0"),$I3505))</f>
        <v/>
      </c>
    </row>
    <row r="3506">
      <c r="B3506" s="25" t="n"/>
      <c r="I3506" s="25" t="n"/>
      <c r="U3506" s="19">
        <f>IF($V3506&lt;&gt;'設定'!$C$4,N(U3505),IF(OR(NOT(COUNTIF('商品マスタ'!$B$6:$B$1005,$W3506)=0),COUNTIFS('①在庫を貼る'!$V$6:$V$10005,$V3506,'①在庫を貼る'!$W$6:$W$10005,$W3506)+COUNTIFS('月1回_1ヶ月前の在庫'!$V$6:$V$10005,$V3506,'月1回_1ヶ月前の在庫'!$W$6:$W$10005,$W3506)&gt;0),N(U3505),N(U3505)+1))</f>
        <v/>
      </c>
      <c r="V3506" s="19">
        <f>IF($B3506="","",TEXT($B3506,"0000"))</f>
        <v/>
      </c>
      <c r="W3506" s="19">
        <f>IF($I3506="","",IF(ISNUMBER($I3506),TEXT($I3506,"0"),$I3506))</f>
        <v/>
      </c>
    </row>
    <row r="3507">
      <c r="B3507" s="25" t="n"/>
      <c r="I3507" s="25" t="n"/>
      <c r="U3507" s="19">
        <f>IF($V3507&lt;&gt;'設定'!$C$4,N(U3506),IF(OR(NOT(COUNTIF('商品マスタ'!$B$6:$B$1005,$W3507)=0),COUNTIFS('①在庫を貼る'!$V$6:$V$10005,$V3507,'①在庫を貼る'!$W$6:$W$10005,$W3507)+COUNTIFS('月1回_1ヶ月前の在庫'!$V$6:$V$10005,$V3507,'月1回_1ヶ月前の在庫'!$W$6:$W$10005,$W3507)&gt;0),N(U3506),N(U3506)+1))</f>
        <v/>
      </c>
      <c r="V3507" s="19">
        <f>IF($B3507="","",TEXT($B3507,"0000"))</f>
        <v/>
      </c>
      <c r="W3507" s="19">
        <f>IF($I3507="","",IF(ISNUMBER($I3507),TEXT($I3507,"0"),$I3507))</f>
        <v/>
      </c>
    </row>
    <row r="3508">
      <c r="B3508" s="25" t="n"/>
      <c r="I3508" s="25" t="n"/>
      <c r="U3508" s="19">
        <f>IF($V3508&lt;&gt;'設定'!$C$4,N(U3507),IF(OR(NOT(COUNTIF('商品マスタ'!$B$6:$B$1005,$W3508)=0),COUNTIFS('①在庫を貼る'!$V$6:$V$10005,$V3508,'①在庫を貼る'!$W$6:$W$10005,$W3508)+COUNTIFS('月1回_1ヶ月前の在庫'!$V$6:$V$10005,$V3508,'月1回_1ヶ月前の在庫'!$W$6:$W$10005,$W3508)&gt;0),N(U3507),N(U3507)+1))</f>
        <v/>
      </c>
      <c r="V3508" s="19">
        <f>IF($B3508="","",TEXT($B3508,"0000"))</f>
        <v/>
      </c>
      <c r="W3508" s="19">
        <f>IF($I3508="","",IF(ISNUMBER($I3508),TEXT($I3508,"0"),$I3508))</f>
        <v/>
      </c>
    </row>
    <row r="3509">
      <c r="B3509" s="25" t="n"/>
      <c r="I3509" s="25" t="n"/>
      <c r="U3509" s="19">
        <f>IF($V3509&lt;&gt;'設定'!$C$4,N(U3508),IF(OR(NOT(COUNTIF('商品マスタ'!$B$6:$B$1005,$W3509)=0),COUNTIFS('①在庫を貼る'!$V$6:$V$10005,$V3509,'①在庫を貼る'!$W$6:$W$10005,$W3509)+COUNTIFS('月1回_1ヶ月前の在庫'!$V$6:$V$10005,$V3509,'月1回_1ヶ月前の在庫'!$W$6:$W$10005,$W3509)&gt;0),N(U3508),N(U3508)+1))</f>
        <v/>
      </c>
      <c r="V3509" s="19">
        <f>IF($B3509="","",TEXT($B3509,"0000"))</f>
        <v/>
      </c>
      <c r="W3509" s="19">
        <f>IF($I3509="","",IF(ISNUMBER($I3509),TEXT($I3509,"0"),$I3509))</f>
        <v/>
      </c>
    </row>
    <row r="3510">
      <c r="B3510" s="25" t="n"/>
      <c r="I3510" s="25" t="n"/>
      <c r="U3510" s="19">
        <f>IF($V3510&lt;&gt;'設定'!$C$4,N(U3509),IF(OR(NOT(COUNTIF('商品マスタ'!$B$6:$B$1005,$W3510)=0),COUNTIFS('①在庫を貼る'!$V$6:$V$10005,$V3510,'①在庫を貼る'!$W$6:$W$10005,$W3510)+COUNTIFS('月1回_1ヶ月前の在庫'!$V$6:$V$10005,$V3510,'月1回_1ヶ月前の在庫'!$W$6:$W$10005,$W3510)&gt;0),N(U3509),N(U3509)+1))</f>
        <v/>
      </c>
      <c r="V3510" s="19">
        <f>IF($B3510="","",TEXT($B3510,"0000"))</f>
        <v/>
      </c>
      <c r="W3510" s="19">
        <f>IF($I3510="","",IF(ISNUMBER($I3510),TEXT($I3510,"0"),$I3510))</f>
        <v/>
      </c>
    </row>
    <row r="3511">
      <c r="B3511" s="25" t="n"/>
      <c r="I3511" s="25" t="n"/>
      <c r="U3511" s="19">
        <f>IF($V3511&lt;&gt;'設定'!$C$4,N(U3510),IF(OR(NOT(COUNTIF('商品マスタ'!$B$6:$B$1005,$W3511)=0),COUNTIFS('①在庫を貼る'!$V$6:$V$10005,$V3511,'①在庫を貼る'!$W$6:$W$10005,$W3511)+COUNTIFS('月1回_1ヶ月前の在庫'!$V$6:$V$10005,$V3511,'月1回_1ヶ月前の在庫'!$W$6:$W$10005,$W3511)&gt;0),N(U3510),N(U3510)+1))</f>
        <v/>
      </c>
      <c r="V3511" s="19">
        <f>IF($B3511="","",TEXT($B3511,"0000"))</f>
        <v/>
      </c>
      <c r="W3511" s="19">
        <f>IF($I3511="","",IF(ISNUMBER($I3511),TEXT($I3511,"0"),$I3511))</f>
        <v/>
      </c>
    </row>
    <row r="3512">
      <c r="B3512" s="25" t="n"/>
      <c r="I3512" s="25" t="n"/>
      <c r="U3512" s="19">
        <f>IF($V3512&lt;&gt;'設定'!$C$4,N(U3511),IF(OR(NOT(COUNTIF('商品マスタ'!$B$6:$B$1005,$W3512)=0),COUNTIFS('①在庫を貼る'!$V$6:$V$10005,$V3512,'①在庫を貼る'!$W$6:$W$10005,$W3512)+COUNTIFS('月1回_1ヶ月前の在庫'!$V$6:$V$10005,$V3512,'月1回_1ヶ月前の在庫'!$W$6:$W$10005,$W3512)&gt;0),N(U3511),N(U3511)+1))</f>
        <v/>
      </c>
      <c r="V3512" s="19">
        <f>IF($B3512="","",TEXT($B3512,"0000"))</f>
        <v/>
      </c>
      <c r="W3512" s="19">
        <f>IF($I3512="","",IF(ISNUMBER($I3512),TEXT($I3512,"0"),$I3512))</f>
        <v/>
      </c>
    </row>
    <row r="3513">
      <c r="B3513" s="25" t="n"/>
      <c r="I3513" s="25" t="n"/>
      <c r="U3513" s="19">
        <f>IF($V3513&lt;&gt;'設定'!$C$4,N(U3512),IF(OR(NOT(COUNTIF('商品マスタ'!$B$6:$B$1005,$W3513)=0),COUNTIFS('①在庫を貼る'!$V$6:$V$10005,$V3513,'①在庫を貼る'!$W$6:$W$10005,$W3513)+COUNTIFS('月1回_1ヶ月前の在庫'!$V$6:$V$10005,$V3513,'月1回_1ヶ月前の在庫'!$W$6:$W$10005,$W3513)&gt;0),N(U3512),N(U3512)+1))</f>
        <v/>
      </c>
      <c r="V3513" s="19">
        <f>IF($B3513="","",TEXT($B3513,"0000"))</f>
        <v/>
      </c>
      <c r="W3513" s="19">
        <f>IF($I3513="","",IF(ISNUMBER($I3513),TEXT($I3513,"0"),$I3513))</f>
        <v/>
      </c>
    </row>
    <row r="3514">
      <c r="B3514" s="25" t="n"/>
      <c r="I3514" s="25" t="n"/>
      <c r="U3514" s="19">
        <f>IF($V3514&lt;&gt;'設定'!$C$4,N(U3513),IF(OR(NOT(COUNTIF('商品マスタ'!$B$6:$B$1005,$W3514)=0),COUNTIFS('①在庫を貼る'!$V$6:$V$10005,$V3514,'①在庫を貼る'!$W$6:$W$10005,$W3514)+COUNTIFS('月1回_1ヶ月前の在庫'!$V$6:$V$10005,$V3514,'月1回_1ヶ月前の在庫'!$W$6:$W$10005,$W3514)&gt;0),N(U3513),N(U3513)+1))</f>
        <v/>
      </c>
      <c r="V3514" s="19">
        <f>IF($B3514="","",TEXT($B3514,"0000"))</f>
        <v/>
      </c>
      <c r="W3514" s="19">
        <f>IF($I3514="","",IF(ISNUMBER($I3514),TEXT($I3514,"0"),$I3514))</f>
        <v/>
      </c>
    </row>
    <row r="3515">
      <c r="B3515" s="25" t="n"/>
      <c r="I3515" s="25" t="n"/>
      <c r="U3515" s="19">
        <f>IF($V3515&lt;&gt;'設定'!$C$4,N(U3514),IF(OR(NOT(COUNTIF('商品マスタ'!$B$6:$B$1005,$W3515)=0),COUNTIFS('①在庫を貼る'!$V$6:$V$10005,$V3515,'①在庫を貼る'!$W$6:$W$10005,$W3515)+COUNTIFS('月1回_1ヶ月前の在庫'!$V$6:$V$10005,$V3515,'月1回_1ヶ月前の在庫'!$W$6:$W$10005,$W3515)&gt;0),N(U3514),N(U3514)+1))</f>
        <v/>
      </c>
      <c r="V3515" s="19">
        <f>IF($B3515="","",TEXT($B3515,"0000"))</f>
        <v/>
      </c>
      <c r="W3515" s="19">
        <f>IF($I3515="","",IF(ISNUMBER($I3515),TEXT($I3515,"0"),$I3515))</f>
        <v/>
      </c>
    </row>
    <row r="3516">
      <c r="B3516" s="25" t="n"/>
      <c r="I3516" s="25" t="n"/>
      <c r="U3516" s="19">
        <f>IF($V3516&lt;&gt;'設定'!$C$4,N(U3515),IF(OR(NOT(COUNTIF('商品マスタ'!$B$6:$B$1005,$W3516)=0),COUNTIFS('①在庫を貼る'!$V$6:$V$10005,$V3516,'①在庫を貼る'!$W$6:$W$10005,$W3516)+COUNTIFS('月1回_1ヶ月前の在庫'!$V$6:$V$10005,$V3516,'月1回_1ヶ月前の在庫'!$W$6:$W$10005,$W3516)&gt;0),N(U3515),N(U3515)+1))</f>
        <v/>
      </c>
      <c r="V3516" s="19">
        <f>IF($B3516="","",TEXT($B3516,"0000"))</f>
        <v/>
      </c>
      <c r="W3516" s="19">
        <f>IF($I3516="","",IF(ISNUMBER($I3516),TEXT($I3516,"0"),$I3516))</f>
        <v/>
      </c>
    </row>
    <row r="3517">
      <c r="B3517" s="25" t="n"/>
      <c r="I3517" s="25" t="n"/>
      <c r="U3517" s="19">
        <f>IF($V3517&lt;&gt;'設定'!$C$4,N(U3516),IF(OR(NOT(COUNTIF('商品マスタ'!$B$6:$B$1005,$W3517)=0),COUNTIFS('①在庫を貼る'!$V$6:$V$10005,$V3517,'①在庫を貼る'!$W$6:$W$10005,$W3517)+COUNTIFS('月1回_1ヶ月前の在庫'!$V$6:$V$10005,$V3517,'月1回_1ヶ月前の在庫'!$W$6:$W$10005,$W3517)&gt;0),N(U3516),N(U3516)+1))</f>
        <v/>
      </c>
      <c r="V3517" s="19">
        <f>IF($B3517="","",TEXT($B3517,"0000"))</f>
        <v/>
      </c>
      <c r="W3517" s="19">
        <f>IF($I3517="","",IF(ISNUMBER($I3517),TEXT($I3517,"0"),$I3517))</f>
        <v/>
      </c>
    </row>
    <row r="3518">
      <c r="B3518" s="25" t="n"/>
      <c r="I3518" s="25" t="n"/>
      <c r="U3518" s="19">
        <f>IF($V3518&lt;&gt;'設定'!$C$4,N(U3517),IF(OR(NOT(COUNTIF('商品マスタ'!$B$6:$B$1005,$W3518)=0),COUNTIFS('①在庫を貼る'!$V$6:$V$10005,$V3518,'①在庫を貼る'!$W$6:$W$10005,$W3518)+COUNTIFS('月1回_1ヶ月前の在庫'!$V$6:$V$10005,$V3518,'月1回_1ヶ月前の在庫'!$W$6:$W$10005,$W3518)&gt;0),N(U3517),N(U3517)+1))</f>
        <v/>
      </c>
      <c r="V3518" s="19">
        <f>IF($B3518="","",TEXT($B3518,"0000"))</f>
        <v/>
      </c>
      <c r="W3518" s="19">
        <f>IF($I3518="","",IF(ISNUMBER($I3518),TEXT($I3518,"0"),$I3518))</f>
        <v/>
      </c>
    </row>
    <row r="3519">
      <c r="B3519" s="25" t="n"/>
      <c r="I3519" s="25" t="n"/>
      <c r="U3519" s="19">
        <f>IF($V3519&lt;&gt;'設定'!$C$4,N(U3518),IF(OR(NOT(COUNTIF('商品マスタ'!$B$6:$B$1005,$W3519)=0),COUNTIFS('①在庫を貼る'!$V$6:$V$10005,$V3519,'①在庫を貼る'!$W$6:$W$10005,$W3519)+COUNTIFS('月1回_1ヶ月前の在庫'!$V$6:$V$10005,$V3519,'月1回_1ヶ月前の在庫'!$W$6:$W$10005,$W3519)&gt;0),N(U3518),N(U3518)+1))</f>
        <v/>
      </c>
      <c r="V3519" s="19">
        <f>IF($B3519="","",TEXT($B3519,"0000"))</f>
        <v/>
      </c>
      <c r="W3519" s="19">
        <f>IF($I3519="","",IF(ISNUMBER($I3519),TEXT($I3519,"0"),$I3519))</f>
        <v/>
      </c>
    </row>
    <row r="3520">
      <c r="B3520" s="25" t="n"/>
      <c r="I3520" s="25" t="n"/>
      <c r="U3520" s="19">
        <f>IF($V3520&lt;&gt;'設定'!$C$4,N(U3519),IF(OR(NOT(COUNTIF('商品マスタ'!$B$6:$B$1005,$W3520)=0),COUNTIFS('①在庫を貼る'!$V$6:$V$10005,$V3520,'①在庫を貼る'!$W$6:$W$10005,$W3520)+COUNTIFS('月1回_1ヶ月前の在庫'!$V$6:$V$10005,$V3520,'月1回_1ヶ月前の在庫'!$W$6:$W$10005,$W3520)&gt;0),N(U3519),N(U3519)+1))</f>
        <v/>
      </c>
      <c r="V3520" s="19">
        <f>IF($B3520="","",TEXT($B3520,"0000"))</f>
        <v/>
      </c>
      <c r="W3520" s="19">
        <f>IF($I3520="","",IF(ISNUMBER($I3520),TEXT($I3520,"0"),$I3520))</f>
        <v/>
      </c>
    </row>
    <row r="3521">
      <c r="B3521" s="25" t="n"/>
      <c r="I3521" s="25" t="n"/>
      <c r="U3521" s="19">
        <f>IF($V3521&lt;&gt;'設定'!$C$4,N(U3520),IF(OR(NOT(COUNTIF('商品マスタ'!$B$6:$B$1005,$W3521)=0),COUNTIFS('①在庫を貼る'!$V$6:$V$10005,$V3521,'①在庫を貼る'!$W$6:$W$10005,$W3521)+COUNTIFS('月1回_1ヶ月前の在庫'!$V$6:$V$10005,$V3521,'月1回_1ヶ月前の在庫'!$W$6:$W$10005,$W3521)&gt;0),N(U3520),N(U3520)+1))</f>
        <v/>
      </c>
      <c r="V3521" s="19">
        <f>IF($B3521="","",TEXT($B3521,"0000"))</f>
        <v/>
      </c>
      <c r="W3521" s="19">
        <f>IF($I3521="","",IF(ISNUMBER($I3521),TEXT($I3521,"0"),$I3521))</f>
        <v/>
      </c>
    </row>
    <row r="3522">
      <c r="B3522" s="25" t="n"/>
      <c r="I3522" s="25" t="n"/>
      <c r="U3522" s="19">
        <f>IF($V3522&lt;&gt;'設定'!$C$4,N(U3521),IF(OR(NOT(COUNTIF('商品マスタ'!$B$6:$B$1005,$W3522)=0),COUNTIFS('①在庫を貼る'!$V$6:$V$10005,$V3522,'①在庫を貼る'!$W$6:$W$10005,$W3522)+COUNTIFS('月1回_1ヶ月前の在庫'!$V$6:$V$10005,$V3522,'月1回_1ヶ月前の在庫'!$W$6:$W$10005,$W3522)&gt;0),N(U3521),N(U3521)+1))</f>
        <v/>
      </c>
      <c r="V3522" s="19">
        <f>IF($B3522="","",TEXT($B3522,"0000"))</f>
        <v/>
      </c>
      <c r="W3522" s="19">
        <f>IF($I3522="","",IF(ISNUMBER($I3522),TEXT($I3522,"0"),$I3522))</f>
        <v/>
      </c>
    </row>
    <row r="3523">
      <c r="B3523" s="25" t="n"/>
      <c r="I3523" s="25" t="n"/>
      <c r="U3523" s="19">
        <f>IF($V3523&lt;&gt;'設定'!$C$4,N(U3522),IF(OR(NOT(COUNTIF('商品マスタ'!$B$6:$B$1005,$W3523)=0),COUNTIFS('①在庫を貼る'!$V$6:$V$10005,$V3523,'①在庫を貼る'!$W$6:$W$10005,$W3523)+COUNTIFS('月1回_1ヶ月前の在庫'!$V$6:$V$10005,$V3523,'月1回_1ヶ月前の在庫'!$W$6:$W$10005,$W3523)&gt;0),N(U3522),N(U3522)+1))</f>
        <v/>
      </c>
      <c r="V3523" s="19">
        <f>IF($B3523="","",TEXT($B3523,"0000"))</f>
        <v/>
      </c>
      <c r="W3523" s="19">
        <f>IF($I3523="","",IF(ISNUMBER($I3523),TEXT($I3523,"0"),$I3523))</f>
        <v/>
      </c>
    </row>
    <row r="3524">
      <c r="B3524" s="25" t="n"/>
      <c r="I3524" s="25" t="n"/>
      <c r="U3524" s="19">
        <f>IF($V3524&lt;&gt;'設定'!$C$4,N(U3523),IF(OR(NOT(COUNTIF('商品マスタ'!$B$6:$B$1005,$W3524)=0),COUNTIFS('①在庫を貼る'!$V$6:$V$10005,$V3524,'①在庫を貼る'!$W$6:$W$10005,$W3524)+COUNTIFS('月1回_1ヶ月前の在庫'!$V$6:$V$10005,$V3524,'月1回_1ヶ月前の在庫'!$W$6:$W$10005,$W3524)&gt;0),N(U3523),N(U3523)+1))</f>
        <v/>
      </c>
      <c r="V3524" s="19">
        <f>IF($B3524="","",TEXT($B3524,"0000"))</f>
        <v/>
      </c>
      <c r="W3524" s="19">
        <f>IF($I3524="","",IF(ISNUMBER($I3524),TEXT($I3524,"0"),$I3524))</f>
        <v/>
      </c>
    </row>
    <row r="3525">
      <c r="B3525" s="25" t="n"/>
      <c r="I3525" s="25" t="n"/>
      <c r="U3525" s="19">
        <f>IF($V3525&lt;&gt;'設定'!$C$4,N(U3524),IF(OR(NOT(COUNTIF('商品マスタ'!$B$6:$B$1005,$W3525)=0),COUNTIFS('①在庫を貼る'!$V$6:$V$10005,$V3525,'①在庫を貼る'!$W$6:$W$10005,$W3525)+COUNTIFS('月1回_1ヶ月前の在庫'!$V$6:$V$10005,$V3525,'月1回_1ヶ月前の在庫'!$W$6:$W$10005,$W3525)&gt;0),N(U3524),N(U3524)+1))</f>
        <v/>
      </c>
      <c r="V3525" s="19">
        <f>IF($B3525="","",TEXT($B3525,"0000"))</f>
        <v/>
      </c>
      <c r="W3525" s="19">
        <f>IF($I3525="","",IF(ISNUMBER($I3525),TEXT($I3525,"0"),$I3525))</f>
        <v/>
      </c>
    </row>
    <row r="3526">
      <c r="B3526" s="25" t="n"/>
      <c r="I3526" s="25" t="n"/>
      <c r="U3526" s="19">
        <f>IF($V3526&lt;&gt;'設定'!$C$4,N(U3525),IF(OR(NOT(COUNTIF('商品マスタ'!$B$6:$B$1005,$W3526)=0),COUNTIFS('①在庫を貼る'!$V$6:$V$10005,$V3526,'①在庫を貼る'!$W$6:$W$10005,$W3526)+COUNTIFS('月1回_1ヶ月前の在庫'!$V$6:$V$10005,$V3526,'月1回_1ヶ月前の在庫'!$W$6:$W$10005,$W3526)&gt;0),N(U3525),N(U3525)+1))</f>
        <v/>
      </c>
      <c r="V3526" s="19">
        <f>IF($B3526="","",TEXT($B3526,"0000"))</f>
        <v/>
      </c>
      <c r="W3526" s="19">
        <f>IF($I3526="","",IF(ISNUMBER($I3526),TEXT($I3526,"0"),$I3526))</f>
        <v/>
      </c>
    </row>
    <row r="3527">
      <c r="B3527" s="25" t="n"/>
      <c r="I3527" s="25" t="n"/>
      <c r="U3527" s="19">
        <f>IF($V3527&lt;&gt;'設定'!$C$4,N(U3526),IF(OR(NOT(COUNTIF('商品マスタ'!$B$6:$B$1005,$W3527)=0),COUNTIFS('①在庫を貼る'!$V$6:$V$10005,$V3527,'①在庫を貼る'!$W$6:$W$10005,$W3527)+COUNTIFS('月1回_1ヶ月前の在庫'!$V$6:$V$10005,$V3527,'月1回_1ヶ月前の在庫'!$W$6:$W$10005,$W3527)&gt;0),N(U3526),N(U3526)+1))</f>
        <v/>
      </c>
      <c r="V3527" s="19">
        <f>IF($B3527="","",TEXT($B3527,"0000"))</f>
        <v/>
      </c>
      <c r="W3527" s="19">
        <f>IF($I3527="","",IF(ISNUMBER($I3527),TEXT($I3527,"0"),$I3527))</f>
        <v/>
      </c>
    </row>
    <row r="3528">
      <c r="B3528" s="25" t="n"/>
      <c r="I3528" s="25" t="n"/>
      <c r="U3528" s="19">
        <f>IF($V3528&lt;&gt;'設定'!$C$4,N(U3527),IF(OR(NOT(COUNTIF('商品マスタ'!$B$6:$B$1005,$W3528)=0),COUNTIFS('①在庫を貼る'!$V$6:$V$10005,$V3528,'①在庫を貼る'!$W$6:$W$10005,$W3528)+COUNTIFS('月1回_1ヶ月前の在庫'!$V$6:$V$10005,$V3528,'月1回_1ヶ月前の在庫'!$W$6:$W$10005,$W3528)&gt;0),N(U3527),N(U3527)+1))</f>
        <v/>
      </c>
      <c r="V3528" s="19">
        <f>IF($B3528="","",TEXT($B3528,"0000"))</f>
        <v/>
      </c>
      <c r="W3528" s="19">
        <f>IF($I3528="","",IF(ISNUMBER($I3528),TEXT($I3528,"0"),$I3528))</f>
        <v/>
      </c>
    </row>
    <row r="3529">
      <c r="B3529" s="25" t="n"/>
      <c r="I3529" s="25" t="n"/>
      <c r="U3529" s="19">
        <f>IF($V3529&lt;&gt;'設定'!$C$4,N(U3528),IF(OR(NOT(COUNTIF('商品マスタ'!$B$6:$B$1005,$W3529)=0),COUNTIFS('①在庫を貼る'!$V$6:$V$10005,$V3529,'①在庫を貼る'!$W$6:$W$10005,$W3529)+COUNTIFS('月1回_1ヶ月前の在庫'!$V$6:$V$10005,$V3529,'月1回_1ヶ月前の在庫'!$W$6:$W$10005,$W3529)&gt;0),N(U3528),N(U3528)+1))</f>
        <v/>
      </c>
      <c r="V3529" s="19">
        <f>IF($B3529="","",TEXT($B3529,"0000"))</f>
        <v/>
      </c>
      <c r="W3529" s="19">
        <f>IF($I3529="","",IF(ISNUMBER($I3529),TEXT($I3529,"0"),$I3529))</f>
        <v/>
      </c>
    </row>
    <row r="3530">
      <c r="B3530" s="25" t="n"/>
      <c r="I3530" s="25" t="n"/>
      <c r="U3530" s="19">
        <f>IF($V3530&lt;&gt;'設定'!$C$4,N(U3529),IF(OR(NOT(COUNTIF('商品マスタ'!$B$6:$B$1005,$W3530)=0),COUNTIFS('①在庫を貼る'!$V$6:$V$10005,$V3530,'①在庫を貼る'!$W$6:$W$10005,$W3530)+COUNTIFS('月1回_1ヶ月前の在庫'!$V$6:$V$10005,$V3530,'月1回_1ヶ月前の在庫'!$W$6:$W$10005,$W3530)&gt;0),N(U3529),N(U3529)+1))</f>
        <v/>
      </c>
      <c r="V3530" s="19">
        <f>IF($B3530="","",TEXT($B3530,"0000"))</f>
        <v/>
      </c>
      <c r="W3530" s="19">
        <f>IF($I3530="","",IF(ISNUMBER($I3530),TEXT($I3530,"0"),$I3530))</f>
        <v/>
      </c>
    </row>
    <row r="3531">
      <c r="B3531" s="25" t="n"/>
      <c r="I3531" s="25" t="n"/>
      <c r="U3531" s="19">
        <f>IF($V3531&lt;&gt;'設定'!$C$4,N(U3530),IF(OR(NOT(COUNTIF('商品マスタ'!$B$6:$B$1005,$W3531)=0),COUNTIFS('①在庫を貼る'!$V$6:$V$10005,$V3531,'①在庫を貼る'!$W$6:$W$10005,$W3531)+COUNTIFS('月1回_1ヶ月前の在庫'!$V$6:$V$10005,$V3531,'月1回_1ヶ月前の在庫'!$W$6:$W$10005,$W3531)&gt;0),N(U3530),N(U3530)+1))</f>
        <v/>
      </c>
      <c r="V3531" s="19">
        <f>IF($B3531="","",TEXT($B3531,"0000"))</f>
        <v/>
      </c>
      <c r="W3531" s="19">
        <f>IF($I3531="","",IF(ISNUMBER($I3531),TEXT($I3531,"0"),$I3531))</f>
        <v/>
      </c>
    </row>
    <row r="3532">
      <c r="B3532" s="25" t="n"/>
      <c r="I3532" s="25" t="n"/>
      <c r="U3532" s="19">
        <f>IF($V3532&lt;&gt;'設定'!$C$4,N(U3531),IF(OR(NOT(COUNTIF('商品マスタ'!$B$6:$B$1005,$W3532)=0),COUNTIFS('①在庫を貼る'!$V$6:$V$10005,$V3532,'①在庫を貼る'!$W$6:$W$10005,$W3532)+COUNTIFS('月1回_1ヶ月前の在庫'!$V$6:$V$10005,$V3532,'月1回_1ヶ月前の在庫'!$W$6:$W$10005,$W3532)&gt;0),N(U3531),N(U3531)+1))</f>
        <v/>
      </c>
      <c r="V3532" s="19">
        <f>IF($B3532="","",TEXT($B3532,"0000"))</f>
        <v/>
      </c>
      <c r="W3532" s="19">
        <f>IF($I3532="","",IF(ISNUMBER($I3532),TEXT($I3532,"0"),$I3532))</f>
        <v/>
      </c>
    </row>
    <row r="3533">
      <c r="B3533" s="25" t="n"/>
      <c r="I3533" s="25" t="n"/>
      <c r="U3533" s="19">
        <f>IF($V3533&lt;&gt;'設定'!$C$4,N(U3532),IF(OR(NOT(COUNTIF('商品マスタ'!$B$6:$B$1005,$W3533)=0),COUNTIFS('①在庫を貼る'!$V$6:$V$10005,$V3533,'①在庫を貼る'!$W$6:$W$10005,$W3533)+COUNTIFS('月1回_1ヶ月前の在庫'!$V$6:$V$10005,$V3533,'月1回_1ヶ月前の在庫'!$W$6:$W$10005,$W3533)&gt;0),N(U3532),N(U3532)+1))</f>
        <v/>
      </c>
      <c r="V3533" s="19">
        <f>IF($B3533="","",TEXT($B3533,"0000"))</f>
        <v/>
      </c>
      <c r="W3533" s="19">
        <f>IF($I3533="","",IF(ISNUMBER($I3533),TEXT($I3533,"0"),$I3533))</f>
        <v/>
      </c>
    </row>
    <row r="3534">
      <c r="B3534" s="25" t="n"/>
      <c r="I3534" s="25" t="n"/>
      <c r="U3534" s="19">
        <f>IF($V3534&lt;&gt;'設定'!$C$4,N(U3533),IF(OR(NOT(COUNTIF('商品マスタ'!$B$6:$B$1005,$W3534)=0),COUNTIFS('①在庫を貼る'!$V$6:$V$10005,$V3534,'①在庫を貼る'!$W$6:$W$10005,$W3534)+COUNTIFS('月1回_1ヶ月前の在庫'!$V$6:$V$10005,$V3534,'月1回_1ヶ月前の在庫'!$W$6:$W$10005,$W3534)&gt;0),N(U3533),N(U3533)+1))</f>
        <v/>
      </c>
      <c r="V3534" s="19">
        <f>IF($B3534="","",TEXT($B3534,"0000"))</f>
        <v/>
      </c>
      <c r="W3534" s="19">
        <f>IF($I3534="","",IF(ISNUMBER($I3534),TEXT($I3534,"0"),$I3534))</f>
        <v/>
      </c>
    </row>
    <row r="3535">
      <c r="B3535" s="25" t="n"/>
      <c r="I3535" s="25" t="n"/>
      <c r="U3535" s="19">
        <f>IF($V3535&lt;&gt;'設定'!$C$4,N(U3534),IF(OR(NOT(COUNTIF('商品マスタ'!$B$6:$B$1005,$W3535)=0),COUNTIFS('①在庫を貼る'!$V$6:$V$10005,$V3535,'①在庫を貼る'!$W$6:$W$10005,$W3535)+COUNTIFS('月1回_1ヶ月前の在庫'!$V$6:$V$10005,$V3535,'月1回_1ヶ月前の在庫'!$W$6:$W$10005,$W3535)&gt;0),N(U3534),N(U3534)+1))</f>
        <v/>
      </c>
      <c r="V3535" s="19">
        <f>IF($B3535="","",TEXT($B3535,"0000"))</f>
        <v/>
      </c>
      <c r="W3535" s="19">
        <f>IF($I3535="","",IF(ISNUMBER($I3535),TEXT($I3535,"0"),$I3535))</f>
        <v/>
      </c>
    </row>
    <row r="3536">
      <c r="B3536" s="25" t="n"/>
      <c r="I3536" s="25" t="n"/>
      <c r="U3536" s="19">
        <f>IF($V3536&lt;&gt;'設定'!$C$4,N(U3535),IF(OR(NOT(COUNTIF('商品マスタ'!$B$6:$B$1005,$W3536)=0),COUNTIFS('①在庫を貼る'!$V$6:$V$10005,$V3536,'①在庫を貼る'!$W$6:$W$10005,$W3536)+COUNTIFS('月1回_1ヶ月前の在庫'!$V$6:$V$10005,$V3536,'月1回_1ヶ月前の在庫'!$W$6:$W$10005,$W3536)&gt;0),N(U3535),N(U3535)+1))</f>
        <v/>
      </c>
      <c r="V3536" s="19">
        <f>IF($B3536="","",TEXT($B3536,"0000"))</f>
        <v/>
      </c>
      <c r="W3536" s="19">
        <f>IF($I3536="","",IF(ISNUMBER($I3536),TEXT($I3536,"0"),$I3536))</f>
        <v/>
      </c>
    </row>
    <row r="3537">
      <c r="B3537" s="25" t="n"/>
      <c r="I3537" s="25" t="n"/>
      <c r="U3537" s="19">
        <f>IF($V3537&lt;&gt;'設定'!$C$4,N(U3536),IF(OR(NOT(COUNTIF('商品マスタ'!$B$6:$B$1005,$W3537)=0),COUNTIFS('①在庫を貼る'!$V$6:$V$10005,$V3537,'①在庫を貼る'!$W$6:$W$10005,$W3537)+COUNTIFS('月1回_1ヶ月前の在庫'!$V$6:$V$10005,$V3537,'月1回_1ヶ月前の在庫'!$W$6:$W$10005,$W3537)&gt;0),N(U3536),N(U3536)+1))</f>
        <v/>
      </c>
      <c r="V3537" s="19">
        <f>IF($B3537="","",TEXT($B3537,"0000"))</f>
        <v/>
      </c>
      <c r="W3537" s="19">
        <f>IF($I3537="","",IF(ISNUMBER($I3537),TEXT($I3537,"0"),$I3537))</f>
        <v/>
      </c>
    </row>
    <row r="3538">
      <c r="B3538" s="25" t="n"/>
      <c r="I3538" s="25" t="n"/>
      <c r="U3538" s="19">
        <f>IF($V3538&lt;&gt;'設定'!$C$4,N(U3537),IF(OR(NOT(COUNTIF('商品マスタ'!$B$6:$B$1005,$W3538)=0),COUNTIFS('①在庫を貼る'!$V$6:$V$10005,$V3538,'①在庫を貼る'!$W$6:$W$10005,$W3538)+COUNTIFS('月1回_1ヶ月前の在庫'!$V$6:$V$10005,$V3538,'月1回_1ヶ月前の在庫'!$W$6:$W$10005,$W3538)&gt;0),N(U3537),N(U3537)+1))</f>
        <v/>
      </c>
      <c r="V3538" s="19">
        <f>IF($B3538="","",TEXT($B3538,"0000"))</f>
        <v/>
      </c>
      <c r="W3538" s="19">
        <f>IF($I3538="","",IF(ISNUMBER($I3538),TEXT($I3538,"0"),$I3538))</f>
        <v/>
      </c>
    </row>
    <row r="3539">
      <c r="B3539" s="25" t="n"/>
      <c r="I3539" s="25" t="n"/>
      <c r="U3539" s="19">
        <f>IF($V3539&lt;&gt;'設定'!$C$4,N(U3538),IF(OR(NOT(COUNTIF('商品マスタ'!$B$6:$B$1005,$W3539)=0),COUNTIFS('①在庫を貼る'!$V$6:$V$10005,$V3539,'①在庫を貼る'!$W$6:$W$10005,$W3539)+COUNTIFS('月1回_1ヶ月前の在庫'!$V$6:$V$10005,$V3539,'月1回_1ヶ月前の在庫'!$W$6:$W$10005,$W3539)&gt;0),N(U3538),N(U3538)+1))</f>
        <v/>
      </c>
      <c r="V3539" s="19">
        <f>IF($B3539="","",TEXT($B3539,"0000"))</f>
        <v/>
      </c>
      <c r="W3539" s="19">
        <f>IF($I3539="","",IF(ISNUMBER($I3539),TEXT($I3539,"0"),$I3539))</f>
        <v/>
      </c>
    </row>
    <row r="3540">
      <c r="B3540" s="25" t="n"/>
      <c r="I3540" s="25" t="n"/>
      <c r="U3540" s="19">
        <f>IF($V3540&lt;&gt;'設定'!$C$4,N(U3539),IF(OR(NOT(COUNTIF('商品マスタ'!$B$6:$B$1005,$W3540)=0),COUNTIFS('①在庫を貼る'!$V$6:$V$10005,$V3540,'①在庫を貼る'!$W$6:$W$10005,$W3540)+COUNTIFS('月1回_1ヶ月前の在庫'!$V$6:$V$10005,$V3540,'月1回_1ヶ月前の在庫'!$W$6:$W$10005,$W3540)&gt;0),N(U3539),N(U3539)+1))</f>
        <v/>
      </c>
      <c r="V3540" s="19">
        <f>IF($B3540="","",TEXT($B3540,"0000"))</f>
        <v/>
      </c>
      <c r="W3540" s="19">
        <f>IF($I3540="","",IF(ISNUMBER($I3540),TEXT($I3540,"0"),$I3540))</f>
        <v/>
      </c>
    </row>
    <row r="3541">
      <c r="B3541" s="25" t="n"/>
      <c r="I3541" s="25" t="n"/>
      <c r="U3541" s="19">
        <f>IF($V3541&lt;&gt;'設定'!$C$4,N(U3540),IF(OR(NOT(COUNTIF('商品マスタ'!$B$6:$B$1005,$W3541)=0),COUNTIFS('①在庫を貼る'!$V$6:$V$10005,$V3541,'①在庫を貼る'!$W$6:$W$10005,$W3541)+COUNTIFS('月1回_1ヶ月前の在庫'!$V$6:$V$10005,$V3541,'月1回_1ヶ月前の在庫'!$W$6:$W$10005,$W3541)&gt;0),N(U3540),N(U3540)+1))</f>
        <v/>
      </c>
      <c r="V3541" s="19">
        <f>IF($B3541="","",TEXT($B3541,"0000"))</f>
        <v/>
      </c>
      <c r="W3541" s="19">
        <f>IF($I3541="","",IF(ISNUMBER($I3541),TEXT($I3541,"0"),$I3541))</f>
        <v/>
      </c>
    </row>
    <row r="3542">
      <c r="B3542" s="25" t="n"/>
      <c r="I3542" s="25" t="n"/>
      <c r="U3542" s="19">
        <f>IF($V3542&lt;&gt;'設定'!$C$4,N(U3541),IF(OR(NOT(COUNTIF('商品マスタ'!$B$6:$B$1005,$W3542)=0),COUNTIFS('①在庫を貼る'!$V$6:$V$10005,$V3542,'①在庫を貼る'!$W$6:$W$10005,$W3542)+COUNTIFS('月1回_1ヶ月前の在庫'!$V$6:$V$10005,$V3542,'月1回_1ヶ月前の在庫'!$W$6:$W$10005,$W3542)&gt;0),N(U3541),N(U3541)+1))</f>
        <v/>
      </c>
      <c r="V3542" s="19">
        <f>IF($B3542="","",TEXT($B3542,"0000"))</f>
        <v/>
      </c>
      <c r="W3542" s="19">
        <f>IF($I3542="","",IF(ISNUMBER($I3542),TEXT($I3542,"0"),$I3542))</f>
        <v/>
      </c>
    </row>
    <row r="3543">
      <c r="B3543" s="25" t="n"/>
      <c r="I3543" s="25" t="n"/>
      <c r="U3543" s="19">
        <f>IF($V3543&lt;&gt;'設定'!$C$4,N(U3542),IF(OR(NOT(COUNTIF('商品マスタ'!$B$6:$B$1005,$W3543)=0),COUNTIFS('①在庫を貼る'!$V$6:$V$10005,$V3543,'①在庫を貼る'!$W$6:$W$10005,$W3543)+COUNTIFS('月1回_1ヶ月前の在庫'!$V$6:$V$10005,$V3543,'月1回_1ヶ月前の在庫'!$W$6:$W$10005,$W3543)&gt;0),N(U3542),N(U3542)+1))</f>
        <v/>
      </c>
      <c r="V3543" s="19">
        <f>IF($B3543="","",TEXT($B3543,"0000"))</f>
        <v/>
      </c>
      <c r="W3543" s="19">
        <f>IF($I3543="","",IF(ISNUMBER($I3543),TEXT($I3543,"0"),$I3543))</f>
        <v/>
      </c>
    </row>
    <row r="3544">
      <c r="B3544" s="25" t="n"/>
      <c r="I3544" s="25" t="n"/>
      <c r="U3544" s="19">
        <f>IF($V3544&lt;&gt;'設定'!$C$4,N(U3543),IF(OR(NOT(COUNTIF('商品マスタ'!$B$6:$B$1005,$W3544)=0),COUNTIFS('①在庫を貼る'!$V$6:$V$10005,$V3544,'①在庫を貼る'!$W$6:$W$10005,$W3544)+COUNTIFS('月1回_1ヶ月前の在庫'!$V$6:$V$10005,$V3544,'月1回_1ヶ月前の在庫'!$W$6:$W$10005,$W3544)&gt;0),N(U3543),N(U3543)+1))</f>
        <v/>
      </c>
      <c r="V3544" s="19">
        <f>IF($B3544="","",TEXT($B3544,"0000"))</f>
        <v/>
      </c>
      <c r="W3544" s="19">
        <f>IF($I3544="","",IF(ISNUMBER($I3544),TEXT($I3544,"0"),$I3544))</f>
        <v/>
      </c>
    </row>
    <row r="3545">
      <c r="B3545" s="25" t="n"/>
      <c r="I3545" s="25" t="n"/>
      <c r="U3545" s="19">
        <f>IF($V3545&lt;&gt;'設定'!$C$4,N(U3544),IF(OR(NOT(COUNTIF('商品マスタ'!$B$6:$B$1005,$W3545)=0),COUNTIFS('①在庫を貼る'!$V$6:$V$10005,$V3545,'①在庫を貼る'!$W$6:$W$10005,$W3545)+COUNTIFS('月1回_1ヶ月前の在庫'!$V$6:$V$10005,$V3545,'月1回_1ヶ月前の在庫'!$W$6:$W$10005,$W3545)&gt;0),N(U3544),N(U3544)+1))</f>
        <v/>
      </c>
      <c r="V3545" s="19">
        <f>IF($B3545="","",TEXT($B3545,"0000"))</f>
        <v/>
      </c>
      <c r="W3545" s="19">
        <f>IF($I3545="","",IF(ISNUMBER($I3545),TEXT($I3545,"0"),$I3545))</f>
        <v/>
      </c>
    </row>
    <row r="3546">
      <c r="B3546" s="25" t="n"/>
      <c r="I3546" s="25" t="n"/>
      <c r="U3546" s="19">
        <f>IF($V3546&lt;&gt;'設定'!$C$4,N(U3545),IF(OR(NOT(COUNTIF('商品マスタ'!$B$6:$B$1005,$W3546)=0),COUNTIFS('①在庫を貼る'!$V$6:$V$10005,$V3546,'①在庫を貼る'!$W$6:$W$10005,$W3546)+COUNTIFS('月1回_1ヶ月前の在庫'!$V$6:$V$10005,$V3546,'月1回_1ヶ月前の在庫'!$W$6:$W$10005,$W3546)&gt;0),N(U3545),N(U3545)+1))</f>
        <v/>
      </c>
      <c r="V3546" s="19">
        <f>IF($B3546="","",TEXT($B3546,"0000"))</f>
        <v/>
      </c>
      <c r="W3546" s="19">
        <f>IF($I3546="","",IF(ISNUMBER($I3546),TEXT($I3546,"0"),$I3546))</f>
        <v/>
      </c>
    </row>
    <row r="3547">
      <c r="B3547" s="25" t="n"/>
      <c r="I3547" s="25" t="n"/>
      <c r="U3547" s="19">
        <f>IF($V3547&lt;&gt;'設定'!$C$4,N(U3546),IF(OR(NOT(COUNTIF('商品マスタ'!$B$6:$B$1005,$W3547)=0),COUNTIFS('①在庫を貼る'!$V$6:$V$10005,$V3547,'①在庫を貼る'!$W$6:$W$10005,$W3547)+COUNTIFS('月1回_1ヶ月前の在庫'!$V$6:$V$10005,$V3547,'月1回_1ヶ月前の在庫'!$W$6:$W$10005,$W3547)&gt;0),N(U3546),N(U3546)+1))</f>
        <v/>
      </c>
      <c r="V3547" s="19">
        <f>IF($B3547="","",TEXT($B3547,"0000"))</f>
        <v/>
      </c>
      <c r="W3547" s="19">
        <f>IF($I3547="","",IF(ISNUMBER($I3547),TEXT($I3547,"0"),$I3547))</f>
        <v/>
      </c>
    </row>
    <row r="3548">
      <c r="B3548" s="25" t="n"/>
      <c r="I3548" s="25" t="n"/>
      <c r="U3548" s="19">
        <f>IF($V3548&lt;&gt;'設定'!$C$4,N(U3547),IF(OR(NOT(COUNTIF('商品マスタ'!$B$6:$B$1005,$W3548)=0),COUNTIFS('①在庫を貼る'!$V$6:$V$10005,$V3548,'①在庫を貼る'!$W$6:$W$10005,$W3548)+COUNTIFS('月1回_1ヶ月前の在庫'!$V$6:$V$10005,$V3548,'月1回_1ヶ月前の在庫'!$W$6:$W$10005,$W3548)&gt;0),N(U3547),N(U3547)+1))</f>
        <v/>
      </c>
      <c r="V3548" s="19">
        <f>IF($B3548="","",TEXT($B3548,"0000"))</f>
        <v/>
      </c>
      <c r="W3548" s="19">
        <f>IF($I3548="","",IF(ISNUMBER($I3548),TEXT($I3548,"0"),$I3548))</f>
        <v/>
      </c>
    </row>
    <row r="3549">
      <c r="B3549" s="25" t="n"/>
      <c r="I3549" s="25" t="n"/>
      <c r="U3549" s="19">
        <f>IF($V3549&lt;&gt;'設定'!$C$4,N(U3548),IF(OR(NOT(COUNTIF('商品マスタ'!$B$6:$B$1005,$W3549)=0),COUNTIFS('①在庫を貼る'!$V$6:$V$10005,$V3549,'①在庫を貼る'!$W$6:$W$10005,$W3549)+COUNTIFS('月1回_1ヶ月前の在庫'!$V$6:$V$10005,$V3549,'月1回_1ヶ月前の在庫'!$W$6:$W$10005,$W3549)&gt;0),N(U3548),N(U3548)+1))</f>
        <v/>
      </c>
      <c r="V3549" s="19">
        <f>IF($B3549="","",TEXT($B3549,"0000"))</f>
        <v/>
      </c>
      <c r="W3549" s="19">
        <f>IF($I3549="","",IF(ISNUMBER($I3549),TEXT($I3549,"0"),$I3549))</f>
        <v/>
      </c>
    </row>
    <row r="3550">
      <c r="B3550" s="25" t="n"/>
      <c r="I3550" s="25" t="n"/>
      <c r="U3550" s="19">
        <f>IF($V3550&lt;&gt;'設定'!$C$4,N(U3549),IF(OR(NOT(COUNTIF('商品マスタ'!$B$6:$B$1005,$W3550)=0),COUNTIFS('①在庫を貼る'!$V$6:$V$10005,$V3550,'①在庫を貼る'!$W$6:$W$10005,$W3550)+COUNTIFS('月1回_1ヶ月前の在庫'!$V$6:$V$10005,$V3550,'月1回_1ヶ月前の在庫'!$W$6:$W$10005,$W3550)&gt;0),N(U3549),N(U3549)+1))</f>
        <v/>
      </c>
      <c r="V3550" s="19">
        <f>IF($B3550="","",TEXT($B3550,"0000"))</f>
        <v/>
      </c>
      <c r="W3550" s="19">
        <f>IF($I3550="","",IF(ISNUMBER($I3550),TEXT($I3550,"0"),$I3550))</f>
        <v/>
      </c>
    </row>
    <row r="3551">
      <c r="B3551" s="25" t="n"/>
      <c r="I3551" s="25" t="n"/>
      <c r="U3551" s="19">
        <f>IF($V3551&lt;&gt;'設定'!$C$4,N(U3550),IF(OR(NOT(COUNTIF('商品マスタ'!$B$6:$B$1005,$W3551)=0),COUNTIFS('①在庫を貼る'!$V$6:$V$10005,$V3551,'①在庫を貼る'!$W$6:$W$10005,$W3551)+COUNTIFS('月1回_1ヶ月前の在庫'!$V$6:$V$10005,$V3551,'月1回_1ヶ月前の在庫'!$W$6:$W$10005,$W3551)&gt;0),N(U3550),N(U3550)+1))</f>
        <v/>
      </c>
      <c r="V3551" s="19">
        <f>IF($B3551="","",TEXT($B3551,"0000"))</f>
        <v/>
      </c>
      <c r="W3551" s="19">
        <f>IF($I3551="","",IF(ISNUMBER($I3551),TEXT($I3551,"0"),$I3551))</f>
        <v/>
      </c>
    </row>
    <row r="3552">
      <c r="B3552" s="25" t="n"/>
      <c r="I3552" s="25" t="n"/>
      <c r="U3552" s="19">
        <f>IF($V3552&lt;&gt;'設定'!$C$4,N(U3551),IF(OR(NOT(COUNTIF('商品マスタ'!$B$6:$B$1005,$W3552)=0),COUNTIFS('①在庫を貼る'!$V$6:$V$10005,$V3552,'①在庫を貼る'!$W$6:$W$10005,$W3552)+COUNTIFS('月1回_1ヶ月前の在庫'!$V$6:$V$10005,$V3552,'月1回_1ヶ月前の在庫'!$W$6:$W$10005,$W3552)&gt;0),N(U3551),N(U3551)+1))</f>
        <v/>
      </c>
      <c r="V3552" s="19">
        <f>IF($B3552="","",TEXT($B3552,"0000"))</f>
        <v/>
      </c>
      <c r="W3552" s="19">
        <f>IF($I3552="","",IF(ISNUMBER($I3552),TEXT($I3552,"0"),$I3552))</f>
        <v/>
      </c>
    </row>
    <row r="3553">
      <c r="B3553" s="25" t="n"/>
      <c r="I3553" s="25" t="n"/>
      <c r="U3553" s="19">
        <f>IF($V3553&lt;&gt;'設定'!$C$4,N(U3552),IF(OR(NOT(COUNTIF('商品マスタ'!$B$6:$B$1005,$W3553)=0),COUNTIFS('①在庫を貼る'!$V$6:$V$10005,$V3553,'①在庫を貼る'!$W$6:$W$10005,$W3553)+COUNTIFS('月1回_1ヶ月前の在庫'!$V$6:$V$10005,$V3553,'月1回_1ヶ月前の在庫'!$W$6:$W$10005,$W3553)&gt;0),N(U3552),N(U3552)+1))</f>
        <v/>
      </c>
      <c r="V3553" s="19">
        <f>IF($B3553="","",TEXT($B3553,"0000"))</f>
        <v/>
      </c>
      <c r="W3553" s="19">
        <f>IF($I3553="","",IF(ISNUMBER($I3553),TEXT($I3553,"0"),$I3553))</f>
        <v/>
      </c>
    </row>
    <row r="3554">
      <c r="B3554" s="25" t="n"/>
      <c r="I3554" s="25" t="n"/>
      <c r="U3554" s="19">
        <f>IF($V3554&lt;&gt;'設定'!$C$4,N(U3553),IF(OR(NOT(COUNTIF('商品マスタ'!$B$6:$B$1005,$W3554)=0),COUNTIFS('①在庫を貼る'!$V$6:$V$10005,$V3554,'①在庫を貼る'!$W$6:$W$10005,$W3554)+COUNTIFS('月1回_1ヶ月前の在庫'!$V$6:$V$10005,$V3554,'月1回_1ヶ月前の在庫'!$W$6:$W$10005,$W3554)&gt;0),N(U3553),N(U3553)+1))</f>
        <v/>
      </c>
      <c r="V3554" s="19">
        <f>IF($B3554="","",TEXT($B3554,"0000"))</f>
        <v/>
      </c>
      <c r="W3554" s="19">
        <f>IF($I3554="","",IF(ISNUMBER($I3554),TEXT($I3554,"0"),$I3554))</f>
        <v/>
      </c>
    </row>
    <row r="3555">
      <c r="B3555" s="25" t="n"/>
      <c r="I3555" s="25" t="n"/>
      <c r="U3555" s="19">
        <f>IF($V3555&lt;&gt;'設定'!$C$4,N(U3554),IF(OR(NOT(COUNTIF('商品マスタ'!$B$6:$B$1005,$W3555)=0),COUNTIFS('①在庫を貼る'!$V$6:$V$10005,$V3555,'①在庫を貼る'!$W$6:$W$10005,$W3555)+COUNTIFS('月1回_1ヶ月前の在庫'!$V$6:$V$10005,$V3555,'月1回_1ヶ月前の在庫'!$W$6:$W$10005,$W3555)&gt;0),N(U3554),N(U3554)+1))</f>
        <v/>
      </c>
      <c r="V3555" s="19">
        <f>IF($B3555="","",TEXT($B3555,"0000"))</f>
        <v/>
      </c>
      <c r="W3555" s="19">
        <f>IF($I3555="","",IF(ISNUMBER($I3555),TEXT($I3555,"0"),$I3555))</f>
        <v/>
      </c>
    </row>
    <row r="3556">
      <c r="B3556" s="25" t="n"/>
      <c r="I3556" s="25" t="n"/>
      <c r="U3556" s="19">
        <f>IF($V3556&lt;&gt;'設定'!$C$4,N(U3555),IF(OR(NOT(COUNTIF('商品マスタ'!$B$6:$B$1005,$W3556)=0),COUNTIFS('①在庫を貼る'!$V$6:$V$10005,$V3556,'①在庫を貼る'!$W$6:$W$10005,$W3556)+COUNTIFS('月1回_1ヶ月前の在庫'!$V$6:$V$10005,$V3556,'月1回_1ヶ月前の在庫'!$W$6:$W$10005,$W3556)&gt;0),N(U3555),N(U3555)+1))</f>
        <v/>
      </c>
      <c r="V3556" s="19">
        <f>IF($B3556="","",TEXT($B3556,"0000"))</f>
        <v/>
      </c>
      <c r="W3556" s="19">
        <f>IF($I3556="","",IF(ISNUMBER($I3556),TEXT($I3556,"0"),$I3556))</f>
        <v/>
      </c>
    </row>
    <row r="3557">
      <c r="B3557" s="25" t="n"/>
      <c r="I3557" s="25" t="n"/>
      <c r="U3557" s="19">
        <f>IF($V3557&lt;&gt;'設定'!$C$4,N(U3556),IF(OR(NOT(COUNTIF('商品マスタ'!$B$6:$B$1005,$W3557)=0),COUNTIFS('①在庫を貼る'!$V$6:$V$10005,$V3557,'①在庫を貼る'!$W$6:$W$10005,$W3557)+COUNTIFS('月1回_1ヶ月前の在庫'!$V$6:$V$10005,$V3557,'月1回_1ヶ月前の在庫'!$W$6:$W$10005,$W3557)&gt;0),N(U3556),N(U3556)+1))</f>
        <v/>
      </c>
      <c r="V3557" s="19">
        <f>IF($B3557="","",TEXT($B3557,"0000"))</f>
        <v/>
      </c>
      <c r="W3557" s="19">
        <f>IF($I3557="","",IF(ISNUMBER($I3557),TEXT($I3557,"0"),$I3557))</f>
        <v/>
      </c>
    </row>
    <row r="3558">
      <c r="B3558" s="25" t="n"/>
      <c r="I3558" s="25" t="n"/>
      <c r="U3558" s="19">
        <f>IF($V3558&lt;&gt;'設定'!$C$4,N(U3557),IF(OR(NOT(COUNTIF('商品マスタ'!$B$6:$B$1005,$W3558)=0),COUNTIFS('①在庫を貼る'!$V$6:$V$10005,$V3558,'①在庫を貼る'!$W$6:$W$10005,$W3558)+COUNTIFS('月1回_1ヶ月前の在庫'!$V$6:$V$10005,$V3558,'月1回_1ヶ月前の在庫'!$W$6:$W$10005,$W3558)&gt;0),N(U3557),N(U3557)+1))</f>
        <v/>
      </c>
      <c r="V3558" s="19">
        <f>IF($B3558="","",TEXT($B3558,"0000"))</f>
        <v/>
      </c>
      <c r="W3558" s="19">
        <f>IF($I3558="","",IF(ISNUMBER($I3558),TEXT($I3558,"0"),$I3558))</f>
        <v/>
      </c>
    </row>
    <row r="3559">
      <c r="B3559" s="25" t="n"/>
      <c r="I3559" s="25" t="n"/>
      <c r="U3559" s="19">
        <f>IF($V3559&lt;&gt;'設定'!$C$4,N(U3558),IF(OR(NOT(COUNTIF('商品マスタ'!$B$6:$B$1005,$W3559)=0),COUNTIFS('①在庫を貼る'!$V$6:$V$10005,$V3559,'①在庫を貼る'!$W$6:$W$10005,$W3559)+COUNTIFS('月1回_1ヶ月前の在庫'!$V$6:$V$10005,$V3559,'月1回_1ヶ月前の在庫'!$W$6:$W$10005,$W3559)&gt;0),N(U3558),N(U3558)+1))</f>
        <v/>
      </c>
      <c r="V3559" s="19">
        <f>IF($B3559="","",TEXT($B3559,"0000"))</f>
        <v/>
      </c>
      <c r="W3559" s="19">
        <f>IF($I3559="","",IF(ISNUMBER($I3559),TEXT($I3559,"0"),$I3559))</f>
        <v/>
      </c>
    </row>
    <row r="3560">
      <c r="B3560" s="25" t="n"/>
      <c r="I3560" s="25" t="n"/>
      <c r="U3560" s="19">
        <f>IF($V3560&lt;&gt;'設定'!$C$4,N(U3559),IF(OR(NOT(COUNTIF('商品マスタ'!$B$6:$B$1005,$W3560)=0),COUNTIFS('①在庫を貼る'!$V$6:$V$10005,$V3560,'①在庫を貼る'!$W$6:$W$10005,$W3560)+COUNTIFS('月1回_1ヶ月前の在庫'!$V$6:$V$10005,$V3560,'月1回_1ヶ月前の在庫'!$W$6:$W$10005,$W3560)&gt;0),N(U3559),N(U3559)+1))</f>
        <v/>
      </c>
      <c r="V3560" s="19">
        <f>IF($B3560="","",TEXT($B3560,"0000"))</f>
        <v/>
      </c>
      <c r="W3560" s="19">
        <f>IF($I3560="","",IF(ISNUMBER($I3560),TEXT($I3560,"0"),$I3560))</f>
        <v/>
      </c>
    </row>
    <row r="3561">
      <c r="B3561" s="25" t="n"/>
      <c r="I3561" s="25" t="n"/>
      <c r="U3561" s="19">
        <f>IF($V3561&lt;&gt;'設定'!$C$4,N(U3560),IF(OR(NOT(COUNTIF('商品マスタ'!$B$6:$B$1005,$W3561)=0),COUNTIFS('①在庫を貼る'!$V$6:$V$10005,$V3561,'①在庫を貼る'!$W$6:$W$10005,$W3561)+COUNTIFS('月1回_1ヶ月前の在庫'!$V$6:$V$10005,$V3561,'月1回_1ヶ月前の在庫'!$W$6:$W$10005,$W3561)&gt;0),N(U3560),N(U3560)+1))</f>
        <v/>
      </c>
      <c r="V3561" s="19">
        <f>IF($B3561="","",TEXT($B3561,"0000"))</f>
        <v/>
      </c>
      <c r="W3561" s="19">
        <f>IF($I3561="","",IF(ISNUMBER($I3561),TEXT($I3561,"0"),$I3561))</f>
        <v/>
      </c>
    </row>
    <row r="3562">
      <c r="B3562" s="25" t="n"/>
      <c r="I3562" s="25" t="n"/>
      <c r="U3562" s="19">
        <f>IF($V3562&lt;&gt;'設定'!$C$4,N(U3561),IF(OR(NOT(COUNTIF('商品マスタ'!$B$6:$B$1005,$W3562)=0),COUNTIFS('①在庫を貼る'!$V$6:$V$10005,$V3562,'①在庫を貼る'!$W$6:$W$10005,$W3562)+COUNTIFS('月1回_1ヶ月前の在庫'!$V$6:$V$10005,$V3562,'月1回_1ヶ月前の在庫'!$W$6:$W$10005,$W3562)&gt;0),N(U3561),N(U3561)+1))</f>
        <v/>
      </c>
      <c r="V3562" s="19">
        <f>IF($B3562="","",TEXT($B3562,"0000"))</f>
        <v/>
      </c>
      <c r="W3562" s="19">
        <f>IF($I3562="","",IF(ISNUMBER($I3562),TEXT($I3562,"0"),$I3562))</f>
        <v/>
      </c>
    </row>
    <row r="3563">
      <c r="B3563" s="25" t="n"/>
      <c r="I3563" s="25" t="n"/>
      <c r="U3563" s="19">
        <f>IF($V3563&lt;&gt;'設定'!$C$4,N(U3562),IF(OR(NOT(COUNTIF('商品マスタ'!$B$6:$B$1005,$W3563)=0),COUNTIFS('①在庫を貼る'!$V$6:$V$10005,$V3563,'①在庫を貼る'!$W$6:$W$10005,$W3563)+COUNTIFS('月1回_1ヶ月前の在庫'!$V$6:$V$10005,$V3563,'月1回_1ヶ月前の在庫'!$W$6:$W$10005,$W3563)&gt;0),N(U3562),N(U3562)+1))</f>
        <v/>
      </c>
      <c r="V3563" s="19">
        <f>IF($B3563="","",TEXT($B3563,"0000"))</f>
        <v/>
      </c>
      <c r="W3563" s="19">
        <f>IF($I3563="","",IF(ISNUMBER($I3563),TEXT($I3563,"0"),$I3563))</f>
        <v/>
      </c>
    </row>
    <row r="3564">
      <c r="B3564" s="25" t="n"/>
      <c r="I3564" s="25" t="n"/>
      <c r="U3564" s="19">
        <f>IF($V3564&lt;&gt;'設定'!$C$4,N(U3563),IF(OR(NOT(COUNTIF('商品マスタ'!$B$6:$B$1005,$W3564)=0),COUNTIFS('①在庫を貼る'!$V$6:$V$10005,$V3564,'①在庫を貼る'!$W$6:$W$10005,$W3564)+COUNTIFS('月1回_1ヶ月前の在庫'!$V$6:$V$10005,$V3564,'月1回_1ヶ月前の在庫'!$W$6:$W$10005,$W3564)&gt;0),N(U3563),N(U3563)+1))</f>
        <v/>
      </c>
      <c r="V3564" s="19">
        <f>IF($B3564="","",TEXT($B3564,"0000"))</f>
        <v/>
      </c>
      <c r="W3564" s="19">
        <f>IF($I3564="","",IF(ISNUMBER($I3564),TEXT($I3564,"0"),$I3564))</f>
        <v/>
      </c>
    </row>
    <row r="3565">
      <c r="B3565" s="25" t="n"/>
      <c r="I3565" s="25" t="n"/>
      <c r="U3565" s="19">
        <f>IF($V3565&lt;&gt;'設定'!$C$4,N(U3564),IF(OR(NOT(COUNTIF('商品マスタ'!$B$6:$B$1005,$W3565)=0),COUNTIFS('①在庫を貼る'!$V$6:$V$10005,$V3565,'①在庫を貼る'!$W$6:$W$10005,$W3565)+COUNTIFS('月1回_1ヶ月前の在庫'!$V$6:$V$10005,$V3565,'月1回_1ヶ月前の在庫'!$W$6:$W$10005,$W3565)&gt;0),N(U3564),N(U3564)+1))</f>
        <v/>
      </c>
      <c r="V3565" s="19">
        <f>IF($B3565="","",TEXT($B3565,"0000"))</f>
        <v/>
      </c>
      <c r="W3565" s="19">
        <f>IF($I3565="","",IF(ISNUMBER($I3565),TEXT($I3565,"0"),$I3565))</f>
        <v/>
      </c>
    </row>
    <row r="3566">
      <c r="B3566" s="25" t="n"/>
      <c r="I3566" s="25" t="n"/>
      <c r="U3566" s="19">
        <f>IF($V3566&lt;&gt;'設定'!$C$4,N(U3565),IF(OR(NOT(COUNTIF('商品マスタ'!$B$6:$B$1005,$W3566)=0),COUNTIFS('①在庫を貼る'!$V$6:$V$10005,$V3566,'①在庫を貼る'!$W$6:$W$10005,$W3566)+COUNTIFS('月1回_1ヶ月前の在庫'!$V$6:$V$10005,$V3566,'月1回_1ヶ月前の在庫'!$W$6:$W$10005,$W3566)&gt;0),N(U3565),N(U3565)+1))</f>
        <v/>
      </c>
      <c r="V3566" s="19">
        <f>IF($B3566="","",TEXT($B3566,"0000"))</f>
        <v/>
      </c>
      <c r="W3566" s="19">
        <f>IF($I3566="","",IF(ISNUMBER($I3566),TEXT($I3566,"0"),$I3566))</f>
        <v/>
      </c>
    </row>
    <row r="3567">
      <c r="B3567" s="25" t="n"/>
      <c r="I3567" s="25" t="n"/>
      <c r="U3567" s="19">
        <f>IF($V3567&lt;&gt;'設定'!$C$4,N(U3566),IF(OR(NOT(COUNTIF('商品マスタ'!$B$6:$B$1005,$W3567)=0),COUNTIFS('①在庫を貼る'!$V$6:$V$10005,$V3567,'①在庫を貼る'!$W$6:$W$10005,$W3567)+COUNTIFS('月1回_1ヶ月前の在庫'!$V$6:$V$10005,$V3567,'月1回_1ヶ月前の在庫'!$W$6:$W$10005,$W3567)&gt;0),N(U3566),N(U3566)+1))</f>
        <v/>
      </c>
      <c r="V3567" s="19">
        <f>IF($B3567="","",TEXT($B3567,"0000"))</f>
        <v/>
      </c>
      <c r="W3567" s="19">
        <f>IF($I3567="","",IF(ISNUMBER($I3567),TEXT($I3567,"0"),$I3567))</f>
        <v/>
      </c>
    </row>
    <row r="3568">
      <c r="B3568" s="25" t="n"/>
      <c r="I3568" s="25" t="n"/>
      <c r="U3568" s="19">
        <f>IF($V3568&lt;&gt;'設定'!$C$4,N(U3567),IF(OR(NOT(COUNTIF('商品マスタ'!$B$6:$B$1005,$W3568)=0),COUNTIFS('①在庫を貼る'!$V$6:$V$10005,$V3568,'①在庫を貼る'!$W$6:$W$10005,$W3568)+COUNTIFS('月1回_1ヶ月前の在庫'!$V$6:$V$10005,$V3568,'月1回_1ヶ月前の在庫'!$W$6:$W$10005,$W3568)&gt;0),N(U3567),N(U3567)+1))</f>
        <v/>
      </c>
      <c r="V3568" s="19">
        <f>IF($B3568="","",TEXT($B3568,"0000"))</f>
        <v/>
      </c>
      <c r="W3568" s="19">
        <f>IF($I3568="","",IF(ISNUMBER($I3568),TEXT($I3568,"0"),$I3568))</f>
        <v/>
      </c>
    </row>
    <row r="3569">
      <c r="B3569" s="25" t="n"/>
      <c r="I3569" s="25" t="n"/>
      <c r="U3569" s="19">
        <f>IF($V3569&lt;&gt;'設定'!$C$4,N(U3568),IF(OR(NOT(COUNTIF('商品マスタ'!$B$6:$B$1005,$W3569)=0),COUNTIFS('①在庫を貼る'!$V$6:$V$10005,$V3569,'①在庫を貼る'!$W$6:$W$10005,$W3569)+COUNTIFS('月1回_1ヶ月前の在庫'!$V$6:$V$10005,$V3569,'月1回_1ヶ月前の在庫'!$W$6:$W$10005,$W3569)&gt;0),N(U3568),N(U3568)+1))</f>
        <v/>
      </c>
      <c r="V3569" s="19">
        <f>IF($B3569="","",TEXT($B3569,"0000"))</f>
        <v/>
      </c>
      <c r="W3569" s="19">
        <f>IF($I3569="","",IF(ISNUMBER($I3569),TEXT($I3569,"0"),$I3569))</f>
        <v/>
      </c>
    </row>
    <row r="3570">
      <c r="B3570" s="25" t="n"/>
      <c r="I3570" s="25" t="n"/>
      <c r="U3570" s="19">
        <f>IF($V3570&lt;&gt;'設定'!$C$4,N(U3569),IF(OR(NOT(COUNTIF('商品マスタ'!$B$6:$B$1005,$W3570)=0),COUNTIFS('①在庫を貼る'!$V$6:$V$10005,$V3570,'①在庫を貼る'!$W$6:$W$10005,$W3570)+COUNTIFS('月1回_1ヶ月前の在庫'!$V$6:$V$10005,$V3570,'月1回_1ヶ月前の在庫'!$W$6:$W$10005,$W3570)&gt;0),N(U3569),N(U3569)+1))</f>
        <v/>
      </c>
      <c r="V3570" s="19">
        <f>IF($B3570="","",TEXT($B3570,"0000"))</f>
        <v/>
      </c>
      <c r="W3570" s="19">
        <f>IF($I3570="","",IF(ISNUMBER($I3570),TEXT($I3570,"0"),$I3570))</f>
        <v/>
      </c>
    </row>
    <row r="3571">
      <c r="B3571" s="25" t="n"/>
      <c r="I3571" s="25" t="n"/>
      <c r="U3571" s="19">
        <f>IF($V3571&lt;&gt;'設定'!$C$4,N(U3570),IF(OR(NOT(COUNTIF('商品マスタ'!$B$6:$B$1005,$W3571)=0),COUNTIFS('①在庫を貼る'!$V$6:$V$10005,$V3571,'①在庫を貼る'!$W$6:$W$10005,$W3571)+COUNTIFS('月1回_1ヶ月前の在庫'!$V$6:$V$10005,$V3571,'月1回_1ヶ月前の在庫'!$W$6:$W$10005,$W3571)&gt;0),N(U3570),N(U3570)+1))</f>
        <v/>
      </c>
      <c r="V3571" s="19">
        <f>IF($B3571="","",TEXT($B3571,"0000"))</f>
        <v/>
      </c>
      <c r="W3571" s="19">
        <f>IF($I3571="","",IF(ISNUMBER($I3571),TEXT($I3571,"0"),$I3571))</f>
        <v/>
      </c>
    </row>
    <row r="3572">
      <c r="B3572" s="25" t="n"/>
      <c r="I3572" s="25" t="n"/>
      <c r="U3572" s="19">
        <f>IF($V3572&lt;&gt;'設定'!$C$4,N(U3571),IF(OR(NOT(COUNTIF('商品マスタ'!$B$6:$B$1005,$W3572)=0),COUNTIFS('①在庫を貼る'!$V$6:$V$10005,$V3572,'①在庫を貼る'!$W$6:$W$10005,$W3572)+COUNTIFS('月1回_1ヶ月前の在庫'!$V$6:$V$10005,$V3572,'月1回_1ヶ月前の在庫'!$W$6:$W$10005,$W3572)&gt;0),N(U3571),N(U3571)+1))</f>
        <v/>
      </c>
      <c r="V3572" s="19">
        <f>IF($B3572="","",TEXT($B3572,"0000"))</f>
        <v/>
      </c>
      <c r="W3572" s="19">
        <f>IF($I3572="","",IF(ISNUMBER($I3572),TEXT($I3572,"0"),$I3572))</f>
        <v/>
      </c>
    </row>
    <row r="3573">
      <c r="B3573" s="25" t="n"/>
      <c r="I3573" s="25" t="n"/>
      <c r="U3573" s="19">
        <f>IF($V3573&lt;&gt;'設定'!$C$4,N(U3572),IF(OR(NOT(COUNTIF('商品マスタ'!$B$6:$B$1005,$W3573)=0),COUNTIFS('①在庫を貼る'!$V$6:$V$10005,$V3573,'①在庫を貼る'!$W$6:$W$10005,$W3573)+COUNTIFS('月1回_1ヶ月前の在庫'!$V$6:$V$10005,$V3573,'月1回_1ヶ月前の在庫'!$W$6:$W$10005,$W3573)&gt;0),N(U3572),N(U3572)+1))</f>
        <v/>
      </c>
      <c r="V3573" s="19">
        <f>IF($B3573="","",TEXT($B3573,"0000"))</f>
        <v/>
      </c>
      <c r="W3573" s="19">
        <f>IF($I3573="","",IF(ISNUMBER($I3573),TEXT($I3573,"0"),$I3573))</f>
        <v/>
      </c>
    </row>
    <row r="3574">
      <c r="B3574" s="25" t="n"/>
      <c r="I3574" s="25" t="n"/>
      <c r="U3574" s="19">
        <f>IF($V3574&lt;&gt;'設定'!$C$4,N(U3573),IF(OR(NOT(COUNTIF('商品マスタ'!$B$6:$B$1005,$W3574)=0),COUNTIFS('①在庫を貼る'!$V$6:$V$10005,$V3574,'①在庫を貼る'!$W$6:$W$10005,$W3574)+COUNTIFS('月1回_1ヶ月前の在庫'!$V$6:$V$10005,$V3574,'月1回_1ヶ月前の在庫'!$W$6:$W$10005,$W3574)&gt;0),N(U3573),N(U3573)+1))</f>
        <v/>
      </c>
      <c r="V3574" s="19">
        <f>IF($B3574="","",TEXT($B3574,"0000"))</f>
        <v/>
      </c>
      <c r="W3574" s="19">
        <f>IF($I3574="","",IF(ISNUMBER($I3574),TEXT($I3574,"0"),$I3574))</f>
        <v/>
      </c>
    </row>
    <row r="3575">
      <c r="B3575" s="25" t="n"/>
      <c r="I3575" s="25" t="n"/>
      <c r="U3575" s="19">
        <f>IF($V3575&lt;&gt;'設定'!$C$4,N(U3574),IF(OR(NOT(COUNTIF('商品マスタ'!$B$6:$B$1005,$W3575)=0),COUNTIFS('①在庫を貼る'!$V$6:$V$10005,$V3575,'①在庫を貼る'!$W$6:$W$10005,$W3575)+COUNTIFS('月1回_1ヶ月前の在庫'!$V$6:$V$10005,$V3575,'月1回_1ヶ月前の在庫'!$W$6:$W$10005,$W3575)&gt;0),N(U3574),N(U3574)+1))</f>
        <v/>
      </c>
      <c r="V3575" s="19">
        <f>IF($B3575="","",TEXT($B3575,"0000"))</f>
        <v/>
      </c>
      <c r="W3575" s="19">
        <f>IF($I3575="","",IF(ISNUMBER($I3575),TEXT($I3575,"0"),$I3575))</f>
        <v/>
      </c>
    </row>
    <row r="3576">
      <c r="B3576" s="25" t="n"/>
      <c r="I3576" s="25" t="n"/>
      <c r="U3576" s="19">
        <f>IF($V3576&lt;&gt;'設定'!$C$4,N(U3575),IF(OR(NOT(COUNTIF('商品マスタ'!$B$6:$B$1005,$W3576)=0),COUNTIFS('①在庫を貼る'!$V$6:$V$10005,$V3576,'①在庫を貼る'!$W$6:$W$10005,$W3576)+COUNTIFS('月1回_1ヶ月前の在庫'!$V$6:$V$10005,$V3576,'月1回_1ヶ月前の在庫'!$W$6:$W$10005,$W3576)&gt;0),N(U3575),N(U3575)+1))</f>
        <v/>
      </c>
      <c r="V3576" s="19">
        <f>IF($B3576="","",TEXT($B3576,"0000"))</f>
        <v/>
      </c>
      <c r="W3576" s="19">
        <f>IF($I3576="","",IF(ISNUMBER($I3576),TEXT($I3576,"0"),$I3576))</f>
        <v/>
      </c>
    </row>
    <row r="3577">
      <c r="B3577" s="25" t="n"/>
      <c r="I3577" s="25" t="n"/>
      <c r="U3577" s="19">
        <f>IF($V3577&lt;&gt;'設定'!$C$4,N(U3576),IF(OR(NOT(COUNTIF('商品マスタ'!$B$6:$B$1005,$W3577)=0),COUNTIFS('①在庫を貼る'!$V$6:$V$10005,$V3577,'①在庫を貼る'!$W$6:$W$10005,$W3577)+COUNTIFS('月1回_1ヶ月前の在庫'!$V$6:$V$10005,$V3577,'月1回_1ヶ月前の在庫'!$W$6:$W$10005,$W3577)&gt;0),N(U3576),N(U3576)+1))</f>
        <v/>
      </c>
      <c r="V3577" s="19">
        <f>IF($B3577="","",TEXT($B3577,"0000"))</f>
        <v/>
      </c>
      <c r="W3577" s="19">
        <f>IF($I3577="","",IF(ISNUMBER($I3577),TEXT($I3577,"0"),$I3577))</f>
        <v/>
      </c>
    </row>
    <row r="3578">
      <c r="B3578" s="25" t="n"/>
      <c r="I3578" s="25" t="n"/>
      <c r="U3578" s="19">
        <f>IF($V3578&lt;&gt;'設定'!$C$4,N(U3577),IF(OR(NOT(COUNTIF('商品マスタ'!$B$6:$B$1005,$W3578)=0),COUNTIFS('①在庫を貼る'!$V$6:$V$10005,$V3578,'①在庫を貼る'!$W$6:$W$10005,$W3578)+COUNTIFS('月1回_1ヶ月前の在庫'!$V$6:$V$10005,$V3578,'月1回_1ヶ月前の在庫'!$W$6:$W$10005,$W3578)&gt;0),N(U3577),N(U3577)+1))</f>
        <v/>
      </c>
      <c r="V3578" s="19">
        <f>IF($B3578="","",TEXT($B3578,"0000"))</f>
        <v/>
      </c>
      <c r="W3578" s="19">
        <f>IF($I3578="","",IF(ISNUMBER($I3578),TEXT($I3578,"0"),$I3578))</f>
        <v/>
      </c>
    </row>
    <row r="3579">
      <c r="B3579" s="25" t="n"/>
      <c r="I3579" s="25" t="n"/>
      <c r="U3579" s="19">
        <f>IF($V3579&lt;&gt;'設定'!$C$4,N(U3578),IF(OR(NOT(COUNTIF('商品マスタ'!$B$6:$B$1005,$W3579)=0),COUNTIFS('①在庫を貼る'!$V$6:$V$10005,$V3579,'①在庫を貼る'!$W$6:$W$10005,$W3579)+COUNTIFS('月1回_1ヶ月前の在庫'!$V$6:$V$10005,$V3579,'月1回_1ヶ月前の在庫'!$W$6:$W$10005,$W3579)&gt;0),N(U3578),N(U3578)+1))</f>
        <v/>
      </c>
      <c r="V3579" s="19">
        <f>IF($B3579="","",TEXT($B3579,"0000"))</f>
        <v/>
      </c>
      <c r="W3579" s="19">
        <f>IF($I3579="","",IF(ISNUMBER($I3579),TEXT($I3579,"0"),$I3579))</f>
        <v/>
      </c>
    </row>
    <row r="3580">
      <c r="B3580" s="25" t="n"/>
      <c r="I3580" s="25" t="n"/>
      <c r="U3580" s="19">
        <f>IF($V3580&lt;&gt;'設定'!$C$4,N(U3579),IF(OR(NOT(COUNTIF('商品マスタ'!$B$6:$B$1005,$W3580)=0),COUNTIFS('①在庫を貼る'!$V$6:$V$10005,$V3580,'①在庫を貼る'!$W$6:$W$10005,$W3580)+COUNTIFS('月1回_1ヶ月前の在庫'!$V$6:$V$10005,$V3580,'月1回_1ヶ月前の在庫'!$W$6:$W$10005,$W3580)&gt;0),N(U3579),N(U3579)+1))</f>
        <v/>
      </c>
      <c r="V3580" s="19">
        <f>IF($B3580="","",TEXT($B3580,"0000"))</f>
        <v/>
      </c>
      <c r="W3580" s="19">
        <f>IF($I3580="","",IF(ISNUMBER($I3580),TEXT($I3580,"0"),$I3580))</f>
        <v/>
      </c>
    </row>
    <row r="3581">
      <c r="B3581" s="25" t="n"/>
      <c r="I3581" s="25" t="n"/>
      <c r="U3581" s="19">
        <f>IF($V3581&lt;&gt;'設定'!$C$4,N(U3580),IF(OR(NOT(COUNTIF('商品マスタ'!$B$6:$B$1005,$W3581)=0),COUNTIFS('①在庫を貼る'!$V$6:$V$10005,$V3581,'①在庫を貼る'!$W$6:$W$10005,$W3581)+COUNTIFS('月1回_1ヶ月前の在庫'!$V$6:$V$10005,$V3581,'月1回_1ヶ月前の在庫'!$W$6:$W$10005,$W3581)&gt;0),N(U3580),N(U3580)+1))</f>
        <v/>
      </c>
      <c r="V3581" s="19">
        <f>IF($B3581="","",TEXT($B3581,"0000"))</f>
        <v/>
      </c>
      <c r="W3581" s="19">
        <f>IF($I3581="","",IF(ISNUMBER($I3581),TEXT($I3581,"0"),$I3581))</f>
        <v/>
      </c>
    </row>
    <row r="3582">
      <c r="B3582" s="25" t="n"/>
      <c r="I3582" s="25" t="n"/>
      <c r="U3582" s="19">
        <f>IF($V3582&lt;&gt;'設定'!$C$4,N(U3581),IF(OR(NOT(COUNTIF('商品マスタ'!$B$6:$B$1005,$W3582)=0),COUNTIFS('①在庫を貼る'!$V$6:$V$10005,$V3582,'①在庫を貼る'!$W$6:$W$10005,$W3582)+COUNTIFS('月1回_1ヶ月前の在庫'!$V$6:$V$10005,$V3582,'月1回_1ヶ月前の在庫'!$W$6:$W$10005,$W3582)&gt;0),N(U3581),N(U3581)+1))</f>
        <v/>
      </c>
      <c r="V3582" s="19">
        <f>IF($B3582="","",TEXT($B3582,"0000"))</f>
        <v/>
      </c>
      <c r="W3582" s="19">
        <f>IF($I3582="","",IF(ISNUMBER($I3582),TEXT($I3582,"0"),$I3582))</f>
        <v/>
      </c>
    </row>
    <row r="3583">
      <c r="B3583" s="25" t="n"/>
      <c r="I3583" s="25" t="n"/>
      <c r="U3583" s="19">
        <f>IF($V3583&lt;&gt;'設定'!$C$4,N(U3582),IF(OR(NOT(COUNTIF('商品マスタ'!$B$6:$B$1005,$W3583)=0),COUNTIFS('①在庫を貼る'!$V$6:$V$10005,$V3583,'①在庫を貼る'!$W$6:$W$10005,$W3583)+COUNTIFS('月1回_1ヶ月前の在庫'!$V$6:$V$10005,$V3583,'月1回_1ヶ月前の在庫'!$W$6:$W$10005,$W3583)&gt;0),N(U3582),N(U3582)+1))</f>
        <v/>
      </c>
      <c r="V3583" s="19">
        <f>IF($B3583="","",TEXT($B3583,"0000"))</f>
        <v/>
      </c>
      <c r="W3583" s="19">
        <f>IF($I3583="","",IF(ISNUMBER($I3583),TEXT($I3583,"0"),$I3583))</f>
        <v/>
      </c>
    </row>
    <row r="3584">
      <c r="B3584" s="25" t="n"/>
      <c r="I3584" s="25" t="n"/>
      <c r="U3584" s="19">
        <f>IF($V3584&lt;&gt;'設定'!$C$4,N(U3583),IF(OR(NOT(COUNTIF('商品マスタ'!$B$6:$B$1005,$W3584)=0),COUNTIFS('①在庫を貼る'!$V$6:$V$10005,$V3584,'①在庫を貼る'!$W$6:$W$10005,$W3584)+COUNTIFS('月1回_1ヶ月前の在庫'!$V$6:$V$10005,$V3584,'月1回_1ヶ月前の在庫'!$W$6:$W$10005,$W3584)&gt;0),N(U3583),N(U3583)+1))</f>
        <v/>
      </c>
      <c r="V3584" s="19">
        <f>IF($B3584="","",TEXT($B3584,"0000"))</f>
        <v/>
      </c>
      <c r="W3584" s="19">
        <f>IF($I3584="","",IF(ISNUMBER($I3584),TEXT($I3584,"0"),$I3584))</f>
        <v/>
      </c>
    </row>
    <row r="3585">
      <c r="B3585" s="25" t="n"/>
      <c r="I3585" s="25" t="n"/>
      <c r="U3585" s="19">
        <f>IF($V3585&lt;&gt;'設定'!$C$4,N(U3584),IF(OR(NOT(COUNTIF('商品マスタ'!$B$6:$B$1005,$W3585)=0),COUNTIFS('①在庫を貼る'!$V$6:$V$10005,$V3585,'①在庫を貼る'!$W$6:$W$10005,$W3585)+COUNTIFS('月1回_1ヶ月前の在庫'!$V$6:$V$10005,$V3585,'月1回_1ヶ月前の在庫'!$W$6:$W$10005,$W3585)&gt;0),N(U3584),N(U3584)+1))</f>
        <v/>
      </c>
      <c r="V3585" s="19">
        <f>IF($B3585="","",TEXT($B3585,"0000"))</f>
        <v/>
      </c>
      <c r="W3585" s="19">
        <f>IF($I3585="","",IF(ISNUMBER($I3585),TEXT($I3585,"0"),$I3585))</f>
        <v/>
      </c>
    </row>
    <row r="3586">
      <c r="B3586" s="25" t="n"/>
      <c r="I3586" s="25" t="n"/>
      <c r="U3586" s="19">
        <f>IF($V3586&lt;&gt;'設定'!$C$4,N(U3585),IF(OR(NOT(COUNTIF('商品マスタ'!$B$6:$B$1005,$W3586)=0),COUNTIFS('①在庫を貼る'!$V$6:$V$10005,$V3586,'①在庫を貼る'!$W$6:$W$10005,$W3586)+COUNTIFS('月1回_1ヶ月前の在庫'!$V$6:$V$10005,$V3586,'月1回_1ヶ月前の在庫'!$W$6:$W$10005,$W3586)&gt;0),N(U3585),N(U3585)+1))</f>
        <v/>
      </c>
      <c r="V3586" s="19">
        <f>IF($B3586="","",TEXT($B3586,"0000"))</f>
        <v/>
      </c>
      <c r="W3586" s="19">
        <f>IF($I3586="","",IF(ISNUMBER($I3586),TEXT($I3586,"0"),$I3586))</f>
        <v/>
      </c>
    </row>
    <row r="3587">
      <c r="B3587" s="25" t="n"/>
      <c r="I3587" s="25" t="n"/>
      <c r="U3587" s="19">
        <f>IF($V3587&lt;&gt;'設定'!$C$4,N(U3586),IF(OR(NOT(COUNTIF('商品マスタ'!$B$6:$B$1005,$W3587)=0),COUNTIFS('①在庫を貼る'!$V$6:$V$10005,$V3587,'①在庫を貼る'!$W$6:$W$10005,$W3587)+COUNTIFS('月1回_1ヶ月前の在庫'!$V$6:$V$10005,$V3587,'月1回_1ヶ月前の在庫'!$W$6:$W$10005,$W3587)&gt;0),N(U3586),N(U3586)+1))</f>
        <v/>
      </c>
      <c r="V3587" s="19">
        <f>IF($B3587="","",TEXT($B3587,"0000"))</f>
        <v/>
      </c>
      <c r="W3587" s="19">
        <f>IF($I3587="","",IF(ISNUMBER($I3587),TEXT($I3587,"0"),$I3587))</f>
        <v/>
      </c>
    </row>
    <row r="3588">
      <c r="B3588" s="25" t="n"/>
      <c r="I3588" s="25" t="n"/>
      <c r="U3588" s="19">
        <f>IF($V3588&lt;&gt;'設定'!$C$4,N(U3587),IF(OR(NOT(COUNTIF('商品マスタ'!$B$6:$B$1005,$W3588)=0),COUNTIFS('①在庫を貼る'!$V$6:$V$10005,$V3588,'①在庫を貼る'!$W$6:$W$10005,$W3588)+COUNTIFS('月1回_1ヶ月前の在庫'!$V$6:$V$10005,$V3588,'月1回_1ヶ月前の在庫'!$W$6:$W$10005,$W3588)&gt;0),N(U3587),N(U3587)+1))</f>
        <v/>
      </c>
      <c r="V3588" s="19">
        <f>IF($B3588="","",TEXT($B3588,"0000"))</f>
        <v/>
      </c>
      <c r="W3588" s="19">
        <f>IF($I3588="","",IF(ISNUMBER($I3588),TEXT($I3588,"0"),$I3588))</f>
        <v/>
      </c>
    </row>
    <row r="3589">
      <c r="B3589" s="25" t="n"/>
      <c r="I3589" s="25" t="n"/>
      <c r="U3589" s="19">
        <f>IF($V3589&lt;&gt;'設定'!$C$4,N(U3588),IF(OR(NOT(COUNTIF('商品マスタ'!$B$6:$B$1005,$W3589)=0),COUNTIFS('①在庫を貼る'!$V$6:$V$10005,$V3589,'①在庫を貼る'!$W$6:$W$10005,$W3589)+COUNTIFS('月1回_1ヶ月前の在庫'!$V$6:$V$10005,$V3589,'月1回_1ヶ月前の在庫'!$W$6:$W$10005,$W3589)&gt;0),N(U3588),N(U3588)+1))</f>
        <v/>
      </c>
      <c r="V3589" s="19">
        <f>IF($B3589="","",TEXT($B3589,"0000"))</f>
        <v/>
      </c>
      <c r="W3589" s="19">
        <f>IF($I3589="","",IF(ISNUMBER($I3589),TEXT($I3589,"0"),$I3589))</f>
        <v/>
      </c>
    </row>
    <row r="3590">
      <c r="B3590" s="25" t="n"/>
      <c r="I3590" s="25" t="n"/>
      <c r="U3590" s="19">
        <f>IF($V3590&lt;&gt;'設定'!$C$4,N(U3589),IF(OR(NOT(COUNTIF('商品マスタ'!$B$6:$B$1005,$W3590)=0),COUNTIFS('①在庫を貼る'!$V$6:$V$10005,$V3590,'①在庫を貼る'!$W$6:$W$10005,$W3590)+COUNTIFS('月1回_1ヶ月前の在庫'!$V$6:$V$10005,$V3590,'月1回_1ヶ月前の在庫'!$W$6:$W$10005,$W3590)&gt;0),N(U3589),N(U3589)+1))</f>
        <v/>
      </c>
      <c r="V3590" s="19">
        <f>IF($B3590="","",TEXT($B3590,"0000"))</f>
        <v/>
      </c>
      <c r="W3590" s="19">
        <f>IF($I3590="","",IF(ISNUMBER($I3590),TEXT($I3590,"0"),$I3590))</f>
        <v/>
      </c>
    </row>
    <row r="3591">
      <c r="B3591" s="25" t="n"/>
      <c r="I3591" s="25" t="n"/>
      <c r="U3591" s="19">
        <f>IF($V3591&lt;&gt;'設定'!$C$4,N(U3590),IF(OR(NOT(COUNTIF('商品マスタ'!$B$6:$B$1005,$W3591)=0),COUNTIFS('①在庫を貼る'!$V$6:$V$10005,$V3591,'①在庫を貼る'!$W$6:$W$10005,$W3591)+COUNTIFS('月1回_1ヶ月前の在庫'!$V$6:$V$10005,$V3591,'月1回_1ヶ月前の在庫'!$W$6:$W$10005,$W3591)&gt;0),N(U3590),N(U3590)+1))</f>
        <v/>
      </c>
      <c r="V3591" s="19">
        <f>IF($B3591="","",TEXT($B3591,"0000"))</f>
        <v/>
      </c>
      <c r="W3591" s="19">
        <f>IF($I3591="","",IF(ISNUMBER($I3591),TEXT($I3591,"0"),$I3591))</f>
        <v/>
      </c>
    </row>
    <row r="3592">
      <c r="B3592" s="25" t="n"/>
      <c r="I3592" s="25" t="n"/>
      <c r="U3592" s="19">
        <f>IF($V3592&lt;&gt;'設定'!$C$4,N(U3591),IF(OR(NOT(COUNTIF('商品マスタ'!$B$6:$B$1005,$W3592)=0),COUNTIFS('①在庫を貼る'!$V$6:$V$10005,$V3592,'①在庫を貼る'!$W$6:$W$10005,$W3592)+COUNTIFS('月1回_1ヶ月前の在庫'!$V$6:$V$10005,$V3592,'月1回_1ヶ月前の在庫'!$W$6:$W$10005,$W3592)&gt;0),N(U3591),N(U3591)+1))</f>
        <v/>
      </c>
      <c r="V3592" s="19">
        <f>IF($B3592="","",TEXT($B3592,"0000"))</f>
        <v/>
      </c>
      <c r="W3592" s="19">
        <f>IF($I3592="","",IF(ISNUMBER($I3592),TEXT($I3592,"0"),$I3592))</f>
        <v/>
      </c>
    </row>
    <row r="3593">
      <c r="B3593" s="25" t="n"/>
      <c r="I3593" s="25" t="n"/>
      <c r="U3593" s="19">
        <f>IF($V3593&lt;&gt;'設定'!$C$4,N(U3592),IF(OR(NOT(COUNTIF('商品マスタ'!$B$6:$B$1005,$W3593)=0),COUNTIFS('①在庫を貼る'!$V$6:$V$10005,$V3593,'①在庫を貼る'!$W$6:$W$10005,$W3593)+COUNTIFS('月1回_1ヶ月前の在庫'!$V$6:$V$10005,$V3593,'月1回_1ヶ月前の在庫'!$W$6:$W$10005,$W3593)&gt;0),N(U3592),N(U3592)+1))</f>
        <v/>
      </c>
      <c r="V3593" s="19">
        <f>IF($B3593="","",TEXT($B3593,"0000"))</f>
        <v/>
      </c>
      <c r="W3593" s="19">
        <f>IF($I3593="","",IF(ISNUMBER($I3593),TEXT($I3593,"0"),$I3593))</f>
        <v/>
      </c>
    </row>
    <row r="3594">
      <c r="B3594" s="25" t="n"/>
      <c r="I3594" s="25" t="n"/>
      <c r="U3594" s="19">
        <f>IF($V3594&lt;&gt;'設定'!$C$4,N(U3593),IF(OR(NOT(COUNTIF('商品マスタ'!$B$6:$B$1005,$W3594)=0),COUNTIFS('①在庫を貼る'!$V$6:$V$10005,$V3594,'①在庫を貼る'!$W$6:$W$10005,$W3594)+COUNTIFS('月1回_1ヶ月前の在庫'!$V$6:$V$10005,$V3594,'月1回_1ヶ月前の在庫'!$W$6:$W$10005,$W3594)&gt;0),N(U3593),N(U3593)+1))</f>
        <v/>
      </c>
      <c r="V3594" s="19">
        <f>IF($B3594="","",TEXT($B3594,"0000"))</f>
        <v/>
      </c>
      <c r="W3594" s="19">
        <f>IF($I3594="","",IF(ISNUMBER($I3594),TEXT($I3594,"0"),$I3594))</f>
        <v/>
      </c>
    </row>
    <row r="3595">
      <c r="B3595" s="25" t="n"/>
      <c r="I3595" s="25" t="n"/>
      <c r="U3595" s="19">
        <f>IF($V3595&lt;&gt;'設定'!$C$4,N(U3594),IF(OR(NOT(COUNTIF('商品マスタ'!$B$6:$B$1005,$W3595)=0),COUNTIFS('①在庫を貼る'!$V$6:$V$10005,$V3595,'①在庫を貼る'!$W$6:$W$10005,$W3595)+COUNTIFS('月1回_1ヶ月前の在庫'!$V$6:$V$10005,$V3595,'月1回_1ヶ月前の在庫'!$W$6:$W$10005,$W3595)&gt;0),N(U3594),N(U3594)+1))</f>
        <v/>
      </c>
      <c r="V3595" s="19">
        <f>IF($B3595="","",TEXT($B3595,"0000"))</f>
        <v/>
      </c>
      <c r="W3595" s="19">
        <f>IF($I3595="","",IF(ISNUMBER($I3595),TEXT($I3595,"0"),$I3595))</f>
        <v/>
      </c>
    </row>
    <row r="3596">
      <c r="B3596" s="25" t="n"/>
      <c r="I3596" s="25" t="n"/>
      <c r="U3596" s="19">
        <f>IF($V3596&lt;&gt;'設定'!$C$4,N(U3595),IF(OR(NOT(COUNTIF('商品マスタ'!$B$6:$B$1005,$W3596)=0),COUNTIFS('①在庫を貼る'!$V$6:$V$10005,$V3596,'①在庫を貼る'!$W$6:$W$10005,$W3596)+COUNTIFS('月1回_1ヶ月前の在庫'!$V$6:$V$10005,$V3596,'月1回_1ヶ月前の在庫'!$W$6:$W$10005,$W3596)&gt;0),N(U3595),N(U3595)+1))</f>
        <v/>
      </c>
      <c r="V3596" s="19">
        <f>IF($B3596="","",TEXT($B3596,"0000"))</f>
        <v/>
      </c>
      <c r="W3596" s="19">
        <f>IF($I3596="","",IF(ISNUMBER($I3596),TEXT($I3596,"0"),$I3596))</f>
        <v/>
      </c>
    </row>
    <row r="3597">
      <c r="B3597" s="25" t="n"/>
      <c r="I3597" s="25" t="n"/>
      <c r="U3597" s="19">
        <f>IF($V3597&lt;&gt;'設定'!$C$4,N(U3596),IF(OR(NOT(COUNTIF('商品マスタ'!$B$6:$B$1005,$W3597)=0),COUNTIFS('①在庫を貼る'!$V$6:$V$10005,$V3597,'①在庫を貼る'!$W$6:$W$10005,$W3597)+COUNTIFS('月1回_1ヶ月前の在庫'!$V$6:$V$10005,$V3597,'月1回_1ヶ月前の在庫'!$W$6:$W$10005,$W3597)&gt;0),N(U3596),N(U3596)+1))</f>
        <v/>
      </c>
      <c r="V3597" s="19">
        <f>IF($B3597="","",TEXT($B3597,"0000"))</f>
        <v/>
      </c>
      <c r="W3597" s="19">
        <f>IF($I3597="","",IF(ISNUMBER($I3597),TEXT($I3597,"0"),$I3597))</f>
        <v/>
      </c>
    </row>
    <row r="3598">
      <c r="B3598" s="25" t="n"/>
      <c r="I3598" s="25" t="n"/>
      <c r="U3598" s="19">
        <f>IF($V3598&lt;&gt;'設定'!$C$4,N(U3597),IF(OR(NOT(COUNTIF('商品マスタ'!$B$6:$B$1005,$W3598)=0),COUNTIFS('①在庫を貼る'!$V$6:$V$10005,$V3598,'①在庫を貼る'!$W$6:$W$10005,$W3598)+COUNTIFS('月1回_1ヶ月前の在庫'!$V$6:$V$10005,$V3598,'月1回_1ヶ月前の在庫'!$W$6:$W$10005,$W3598)&gt;0),N(U3597),N(U3597)+1))</f>
        <v/>
      </c>
      <c r="V3598" s="19">
        <f>IF($B3598="","",TEXT($B3598,"0000"))</f>
        <v/>
      </c>
      <c r="W3598" s="19">
        <f>IF($I3598="","",IF(ISNUMBER($I3598),TEXT($I3598,"0"),$I3598))</f>
        <v/>
      </c>
    </row>
    <row r="3599">
      <c r="B3599" s="25" t="n"/>
      <c r="I3599" s="25" t="n"/>
      <c r="U3599" s="19">
        <f>IF($V3599&lt;&gt;'設定'!$C$4,N(U3598),IF(OR(NOT(COUNTIF('商品マスタ'!$B$6:$B$1005,$W3599)=0),COUNTIFS('①在庫を貼る'!$V$6:$V$10005,$V3599,'①在庫を貼る'!$W$6:$W$10005,$W3599)+COUNTIFS('月1回_1ヶ月前の在庫'!$V$6:$V$10005,$V3599,'月1回_1ヶ月前の在庫'!$W$6:$W$10005,$W3599)&gt;0),N(U3598),N(U3598)+1))</f>
        <v/>
      </c>
      <c r="V3599" s="19">
        <f>IF($B3599="","",TEXT($B3599,"0000"))</f>
        <v/>
      </c>
      <c r="W3599" s="19">
        <f>IF($I3599="","",IF(ISNUMBER($I3599),TEXT($I3599,"0"),$I3599))</f>
        <v/>
      </c>
    </row>
    <row r="3600">
      <c r="B3600" s="25" t="n"/>
      <c r="I3600" s="25" t="n"/>
      <c r="U3600" s="19">
        <f>IF($V3600&lt;&gt;'設定'!$C$4,N(U3599),IF(OR(NOT(COUNTIF('商品マスタ'!$B$6:$B$1005,$W3600)=0),COUNTIFS('①在庫を貼る'!$V$6:$V$10005,$V3600,'①在庫を貼る'!$W$6:$W$10005,$W3600)+COUNTIFS('月1回_1ヶ月前の在庫'!$V$6:$V$10005,$V3600,'月1回_1ヶ月前の在庫'!$W$6:$W$10005,$W3600)&gt;0),N(U3599),N(U3599)+1))</f>
        <v/>
      </c>
      <c r="V3600" s="19">
        <f>IF($B3600="","",TEXT($B3600,"0000"))</f>
        <v/>
      </c>
      <c r="W3600" s="19">
        <f>IF($I3600="","",IF(ISNUMBER($I3600),TEXT($I3600,"0"),$I3600))</f>
        <v/>
      </c>
    </row>
    <row r="3601">
      <c r="B3601" s="25" t="n"/>
      <c r="I3601" s="25" t="n"/>
      <c r="U3601" s="19">
        <f>IF($V3601&lt;&gt;'設定'!$C$4,N(U3600),IF(OR(NOT(COUNTIF('商品マスタ'!$B$6:$B$1005,$W3601)=0),COUNTIFS('①在庫を貼る'!$V$6:$V$10005,$V3601,'①在庫を貼る'!$W$6:$W$10005,$W3601)+COUNTIFS('月1回_1ヶ月前の在庫'!$V$6:$V$10005,$V3601,'月1回_1ヶ月前の在庫'!$W$6:$W$10005,$W3601)&gt;0),N(U3600),N(U3600)+1))</f>
        <v/>
      </c>
      <c r="V3601" s="19">
        <f>IF($B3601="","",TEXT($B3601,"0000"))</f>
        <v/>
      </c>
      <c r="W3601" s="19">
        <f>IF($I3601="","",IF(ISNUMBER($I3601),TEXT($I3601,"0"),$I3601))</f>
        <v/>
      </c>
    </row>
    <row r="3602">
      <c r="B3602" s="25" t="n"/>
      <c r="I3602" s="25" t="n"/>
      <c r="U3602" s="19">
        <f>IF($V3602&lt;&gt;'設定'!$C$4,N(U3601),IF(OR(NOT(COUNTIF('商品マスタ'!$B$6:$B$1005,$W3602)=0),COUNTIFS('①在庫を貼る'!$V$6:$V$10005,$V3602,'①在庫を貼る'!$W$6:$W$10005,$W3602)+COUNTIFS('月1回_1ヶ月前の在庫'!$V$6:$V$10005,$V3602,'月1回_1ヶ月前の在庫'!$W$6:$W$10005,$W3602)&gt;0),N(U3601),N(U3601)+1))</f>
        <v/>
      </c>
      <c r="V3602" s="19">
        <f>IF($B3602="","",TEXT($B3602,"0000"))</f>
        <v/>
      </c>
      <c r="W3602" s="19">
        <f>IF($I3602="","",IF(ISNUMBER($I3602),TEXT($I3602,"0"),$I3602))</f>
        <v/>
      </c>
    </row>
    <row r="3603">
      <c r="B3603" s="25" t="n"/>
      <c r="I3603" s="25" t="n"/>
      <c r="U3603" s="19">
        <f>IF($V3603&lt;&gt;'設定'!$C$4,N(U3602),IF(OR(NOT(COUNTIF('商品マスタ'!$B$6:$B$1005,$W3603)=0),COUNTIFS('①在庫を貼る'!$V$6:$V$10005,$V3603,'①在庫を貼る'!$W$6:$W$10005,$W3603)+COUNTIFS('月1回_1ヶ月前の在庫'!$V$6:$V$10005,$V3603,'月1回_1ヶ月前の在庫'!$W$6:$W$10005,$W3603)&gt;0),N(U3602),N(U3602)+1))</f>
        <v/>
      </c>
      <c r="V3603" s="19">
        <f>IF($B3603="","",TEXT($B3603,"0000"))</f>
        <v/>
      </c>
      <c r="W3603" s="19">
        <f>IF($I3603="","",IF(ISNUMBER($I3603),TEXT($I3603,"0"),$I3603))</f>
        <v/>
      </c>
    </row>
    <row r="3604">
      <c r="B3604" s="25" t="n"/>
      <c r="I3604" s="25" t="n"/>
      <c r="U3604" s="19">
        <f>IF($V3604&lt;&gt;'設定'!$C$4,N(U3603),IF(OR(NOT(COUNTIF('商品マスタ'!$B$6:$B$1005,$W3604)=0),COUNTIFS('①在庫を貼る'!$V$6:$V$10005,$V3604,'①在庫を貼る'!$W$6:$W$10005,$W3604)+COUNTIFS('月1回_1ヶ月前の在庫'!$V$6:$V$10005,$V3604,'月1回_1ヶ月前の在庫'!$W$6:$W$10005,$W3604)&gt;0),N(U3603),N(U3603)+1))</f>
        <v/>
      </c>
      <c r="V3604" s="19">
        <f>IF($B3604="","",TEXT($B3604,"0000"))</f>
        <v/>
      </c>
      <c r="W3604" s="19">
        <f>IF($I3604="","",IF(ISNUMBER($I3604),TEXT($I3604,"0"),$I3604))</f>
        <v/>
      </c>
    </row>
    <row r="3605">
      <c r="B3605" s="25" t="n"/>
      <c r="I3605" s="25" t="n"/>
      <c r="U3605" s="19">
        <f>IF($V3605&lt;&gt;'設定'!$C$4,N(U3604),IF(OR(NOT(COUNTIF('商品マスタ'!$B$6:$B$1005,$W3605)=0),COUNTIFS('①在庫を貼る'!$V$6:$V$10005,$V3605,'①在庫を貼る'!$W$6:$W$10005,$W3605)+COUNTIFS('月1回_1ヶ月前の在庫'!$V$6:$V$10005,$V3605,'月1回_1ヶ月前の在庫'!$W$6:$W$10005,$W3605)&gt;0),N(U3604),N(U3604)+1))</f>
        <v/>
      </c>
      <c r="V3605" s="19">
        <f>IF($B3605="","",TEXT($B3605,"0000"))</f>
        <v/>
      </c>
      <c r="W3605" s="19">
        <f>IF($I3605="","",IF(ISNUMBER($I3605),TEXT($I3605,"0"),$I3605))</f>
        <v/>
      </c>
    </row>
    <row r="3606">
      <c r="B3606" s="25" t="n"/>
      <c r="I3606" s="25" t="n"/>
      <c r="U3606" s="19">
        <f>IF($V3606&lt;&gt;'設定'!$C$4,N(U3605),IF(OR(NOT(COUNTIF('商品マスタ'!$B$6:$B$1005,$W3606)=0),COUNTIFS('①在庫を貼る'!$V$6:$V$10005,$V3606,'①在庫を貼る'!$W$6:$W$10005,$W3606)+COUNTIFS('月1回_1ヶ月前の在庫'!$V$6:$V$10005,$V3606,'月1回_1ヶ月前の在庫'!$W$6:$W$10005,$W3606)&gt;0),N(U3605),N(U3605)+1))</f>
        <v/>
      </c>
      <c r="V3606" s="19">
        <f>IF($B3606="","",TEXT($B3606,"0000"))</f>
        <v/>
      </c>
      <c r="W3606" s="19">
        <f>IF($I3606="","",IF(ISNUMBER($I3606),TEXT($I3606,"0"),$I3606))</f>
        <v/>
      </c>
    </row>
    <row r="3607">
      <c r="B3607" s="25" t="n"/>
      <c r="I3607" s="25" t="n"/>
      <c r="U3607" s="19">
        <f>IF($V3607&lt;&gt;'設定'!$C$4,N(U3606),IF(OR(NOT(COUNTIF('商品マスタ'!$B$6:$B$1005,$W3607)=0),COUNTIFS('①在庫を貼る'!$V$6:$V$10005,$V3607,'①在庫を貼る'!$W$6:$W$10005,$W3607)+COUNTIFS('月1回_1ヶ月前の在庫'!$V$6:$V$10005,$V3607,'月1回_1ヶ月前の在庫'!$W$6:$W$10005,$W3607)&gt;0),N(U3606),N(U3606)+1))</f>
        <v/>
      </c>
      <c r="V3607" s="19">
        <f>IF($B3607="","",TEXT($B3607,"0000"))</f>
        <v/>
      </c>
      <c r="W3607" s="19">
        <f>IF($I3607="","",IF(ISNUMBER($I3607),TEXT($I3607,"0"),$I3607))</f>
        <v/>
      </c>
    </row>
    <row r="3608">
      <c r="B3608" s="25" t="n"/>
      <c r="I3608" s="25" t="n"/>
      <c r="U3608" s="19">
        <f>IF($V3608&lt;&gt;'設定'!$C$4,N(U3607),IF(OR(NOT(COUNTIF('商品マスタ'!$B$6:$B$1005,$W3608)=0),COUNTIFS('①在庫を貼る'!$V$6:$V$10005,$V3608,'①在庫を貼る'!$W$6:$W$10005,$W3608)+COUNTIFS('月1回_1ヶ月前の在庫'!$V$6:$V$10005,$V3608,'月1回_1ヶ月前の在庫'!$W$6:$W$10005,$W3608)&gt;0),N(U3607),N(U3607)+1))</f>
        <v/>
      </c>
      <c r="V3608" s="19">
        <f>IF($B3608="","",TEXT($B3608,"0000"))</f>
        <v/>
      </c>
      <c r="W3608" s="19">
        <f>IF($I3608="","",IF(ISNUMBER($I3608),TEXT($I3608,"0"),$I3608))</f>
        <v/>
      </c>
    </row>
    <row r="3609">
      <c r="B3609" s="25" t="n"/>
      <c r="I3609" s="25" t="n"/>
      <c r="U3609" s="19">
        <f>IF($V3609&lt;&gt;'設定'!$C$4,N(U3608),IF(OR(NOT(COUNTIF('商品マスタ'!$B$6:$B$1005,$W3609)=0),COUNTIFS('①在庫を貼る'!$V$6:$V$10005,$V3609,'①在庫を貼る'!$W$6:$W$10005,$W3609)+COUNTIFS('月1回_1ヶ月前の在庫'!$V$6:$V$10005,$V3609,'月1回_1ヶ月前の在庫'!$W$6:$W$10005,$W3609)&gt;0),N(U3608),N(U3608)+1))</f>
        <v/>
      </c>
      <c r="V3609" s="19">
        <f>IF($B3609="","",TEXT($B3609,"0000"))</f>
        <v/>
      </c>
      <c r="W3609" s="19">
        <f>IF($I3609="","",IF(ISNUMBER($I3609),TEXT($I3609,"0"),$I3609))</f>
        <v/>
      </c>
    </row>
    <row r="3610">
      <c r="B3610" s="25" t="n"/>
      <c r="I3610" s="25" t="n"/>
      <c r="U3610" s="19">
        <f>IF($V3610&lt;&gt;'設定'!$C$4,N(U3609),IF(OR(NOT(COUNTIF('商品マスタ'!$B$6:$B$1005,$W3610)=0),COUNTIFS('①在庫を貼る'!$V$6:$V$10005,$V3610,'①在庫を貼る'!$W$6:$W$10005,$W3610)+COUNTIFS('月1回_1ヶ月前の在庫'!$V$6:$V$10005,$V3610,'月1回_1ヶ月前の在庫'!$W$6:$W$10005,$W3610)&gt;0),N(U3609),N(U3609)+1))</f>
        <v/>
      </c>
      <c r="V3610" s="19">
        <f>IF($B3610="","",TEXT($B3610,"0000"))</f>
        <v/>
      </c>
      <c r="W3610" s="19">
        <f>IF($I3610="","",IF(ISNUMBER($I3610),TEXT($I3610,"0"),$I3610))</f>
        <v/>
      </c>
    </row>
    <row r="3611">
      <c r="B3611" s="25" t="n"/>
      <c r="I3611" s="25" t="n"/>
      <c r="U3611" s="19">
        <f>IF($V3611&lt;&gt;'設定'!$C$4,N(U3610),IF(OR(NOT(COUNTIF('商品マスタ'!$B$6:$B$1005,$W3611)=0),COUNTIFS('①在庫を貼る'!$V$6:$V$10005,$V3611,'①在庫を貼る'!$W$6:$W$10005,$W3611)+COUNTIFS('月1回_1ヶ月前の在庫'!$V$6:$V$10005,$V3611,'月1回_1ヶ月前の在庫'!$W$6:$W$10005,$W3611)&gt;0),N(U3610),N(U3610)+1))</f>
        <v/>
      </c>
      <c r="V3611" s="19">
        <f>IF($B3611="","",TEXT($B3611,"0000"))</f>
        <v/>
      </c>
      <c r="W3611" s="19">
        <f>IF($I3611="","",IF(ISNUMBER($I3611),TEXT($I3611,"0"),$I3611))</f>
        <v/>
      </c>
    </row>
    <row r="3612">
      <c r="B3612" s="25" t="n"/>
      <c r="I3612" s="25" t="n"/>
      <c r="U3612" s="19">
        <f>IF($V3612&lt;&gt;'設定'!$C$4,N(U3611),IF(OR(NOT(COUNTIF('商品マスタ'!$B$6:$B$1005,$W3612)=0),COUNTIFS('①在庫を貼る'!$V$6:$V$10005,$V3612,'①在庫を貼る'!$W$6:$W$10005,$W3612)+COUNTIFS('月1回_1ヶ月前の在庫'!$V$6:$V$10005,$V3612,'月1回_1ヶ月前の在庫'!$W$6:$W$10005,$W3612)&gt;0),N(U3611),N(U3611)+1))</f>
        <v/>
      </c>
      <c r="V3612" s="19">
        <f>IF($B3612="","",TEXT($B3612,"0000"))</f>
        <v/>
      </c>
      <c r="W3612" s="19">
        <f>IF($I3612="","",IF(ISNUMBER($I3612),TEXT($I3612,"0"),$I3612))</f>
        <v/>
      </c>
    </row>
    <row r="3613">
      <c r="B3613" s="25" t="n"/>
      <c r="I3613" s="25" t="n"/>
      <c r="U3613" s="19">
        <f>IF($V3613&lt;&gt;'設定'!$C$4,N(U3612),IF(OR(NOT(COUNTIF('商品マスタ'!$B$6:$B$1005,$W3613)=0),COUNTIFS('①在庫を貼る'!$V$6:$V$10005,$V3613,'①在庫を貼る'!$W$6:$W$10005,$W3613)+COUNTIFS('月1回_1ヶ月前の在庫'!$V$6:$V$10005,$V3613,'月1回_1ヶ月前の在庫'!$W$6:$W$10005,$W3613)&gt;0),N(U3612),N(U3612)+1))</f>
        <v/>
      </c>
      <c r="V3613" s="19">
        <f>IF($B3613="","",TEXT($B3613,"0000"))</f>
        <v/>
      </c>
      <c r="W3613" s="19">
        <f>IF($I3613="","",IF(ISNUMBER($I3613),TEXT($I3613,"0"),$I3613))</f>
        <v/>
      </c>
    </row>
    <row r="3614">
      <c r="B3614" s="25" t="n"/>
      <c r="I3614" s="25" t="n"/>
      <c r="U3614" s="19">
        <f>IF($V3614&lt;&gt;'設定'!$C$4,N(U3613),IF(OR(NOT(COUNTIF('商品マスタ'!$B$6:$B$1005,$W3614)=0),COUNTIFS('①在庫を貼る'!$V$6:$V$10005,$V3614,'①在庫を貼る'!$W$6:$W$10005,$W3614)+COUNTIFS('月1回_1ヶ月前の在庫'!$V$6:$V$10005,$V3614,'月1回_1ヶ月前の在庫'!$W$6:$W$10005,$W3614)&gt;0),N(U3613),N(U3613)+1))</f>
        <v/>
      </c>
      <c r="V3614" s="19">
        <f>IF($B3614="","",TEXT($B3614,"0000"))</f>
        <v/>
      </c>
      <c r="W3614" s="19">
        <f>IF($I3614="","",IF(ISNUMBER($I3614),TEXT($I3614,"0"),$I3614))</f>
        <v/>
      </c>
    </row>
    <row r="3615">
      <c r="B3615" s="25" t="n"/>
      <c r="I3615" s="25" t="n"/>
      <c r="U3615" s="19">
        <f>IF($V3615&lt;&gt;'設定'!$C$4,N(U3614),IF(OR(NOT(COUNTIF('商品マスタ'!$B$6:$B$1005,$W3615)=0),COUNTIFS('①在庫を貼る'!$V$6:$V$10005,$V3615,'①在庫を貼る'!$W$6:$W$10005,$W3615)+COUNTIFS('月1回_1ヶ月前の在庫'!$V$6:$V$10005,$V3615,'月1回_1ヶ月前の在庫'!$W$6:$W$10005,$W3615)&gt;0),N(U3614),N(U3614)+1))</f>
        <v/>
      </c>
      <c r="V3615" s="19">
        <f>IF($B3615="","",TEXT($B3615,"0000"))</f>
        <v/>
      </c>
      <c r="W3615" s="19">
        <f>IF($I3615="","",IF(ISNUMBER($I3615),TEXT($I3615,"0"),$I3615))</f>
        <v/>
      </c>
    </row>
    <row r="3616">
      <c r="B3616" s="25" t="n"/>
      <c r="I3616" s="25" t="n"/>
      <c r="U3616" s="19">
        <f>IF($V3616&lt;&gt;'設定'!$C$4,N(U3615),IF(OR(NOT(COUNTIF('商品マスタ'!$B$6:$B$1005,$W3616)=0),COUNTIFS('①在庫を貼る'!$V$6:$V$10005,$V3616,'①在庫を貼る'!$W$6:$W$10005,$W3616)+COUNTIFS('月1回_1ヶ月前の在庫'!$V$6:$V$10005,$V3616,'月1回_1ヶ月前の在庫'!$W$6:$W$10005,$W3616)&gt;0),N(U3615),N(U3615)+1))</f>
        <v/>
      </c>
      <c r="V3616" s="19">
        <f>IF($B3616="","",TEXT($B3616,"0000"))</f>
        <v/>
      </c>
      <c r="W3616" s="19">
        <f>IF($I3616="","",IF(ISNUMBER($I3616),TEXT($I3616,"0"),$I3616))</f>
        <v/>
      </c>
    </row>
    <row r="3617">
      <c r="B3617" s="25" t="n"/>
      <c r="I3617" s="25" t="n"/>
      <c r="U3617" s="19">
        <f>IF($V3617&lt;&gt;'設定'!$C$4,N(U3616),IF(OR(NOT(COUNTIF('商品マスタ'!$B$6:$B$1005,$W3617)=0),COUNTIFS('①在庫を貼る'!$V$6:$V$10005,$V3617,'①在庫を貼る'!$W$6:$W$10005,$W3617)+COUNTIFS('月1回_1ヶ月前の在庫'!$V$6:$V$10005,$V3617,'月1回_1ヶ月前の在庫'!$W$6:$W$10005,$W3617)&gt;0),N(U3616),N(U3616)+1))</f>
        <v/>
      </c>
      <c r="V3617" s="19">
        <f>IF($B3617="","",TEXT($B3617,"0000"))</f>
        <v/>
      </c>
      <c r="W3617" s="19">
        <f>IF($I3617="","",IF(ISNUMBER($I3617),TEXT($I3617,"0"),$I3617))</f>
        <v/>
      </c>
    </row>
    <row r="3618">
      <c r="B3618" s="25" t="n"/>
      <c r="I3618" s="25" t="n"/>
      <c r="U3618" s="19">
        <f>IF($V3618&lt;&gt;'設定'!$C$4,N(U3617),IF(OR(NOT(COUNTIF('商品マスタ'!$B$6:$B$1005,$W3618)=0),COUNTIFS('①在庫を貼る'!$V$6:$V$10005,$V3618,'①在庫を貼る'!$W$6:$W$10005,$W3618)+COUNTIFS('月1回_1ヶ月前の在庫'!$V$6:$V$10005,$V3618,'月1回_1ヶ月前の在庫'!$W$6:$W$10005,$W3618)&gt;0),N(U3617),N(U3617)+1))</f>
        <v/>
      </c>
      <c r="V3618" s="19">
        <f>IF($B3618="","",TEXT($B3618,"0000"))</f>
        <v/>
      </c>
      <c r="W3618" s="19">
        <f>IF($I3618="","",IF(ISNUMBER($I3618),TEXT($I3618,"0"),$I3618))</f>
        <v/>
      </c>
    </row>
    <row r="3619">
      <c r="B3619" s="25" t="n"/>
      <c r="I3619" s="25" t="n"/>
      <c r="U3619" s="19">
        <f>IF($V3619&lt;&gt;'設定'!$C$4,N(U3618),IF(OR(NOT(COUNTIF('商品マスタ'!$B$6:$B$1005,$W3619)=0),COUNTIFS('①在庫を貼る'!$V$6:$V$10005,$V3619,'①在庫を貼る'!$W$6:$W$10005,$W3619)+COUNTIFS('月1回_1ヶ月前の在庫'!$V$6:$V$10005,$V3619,'月1回_1ヶ月前の在庫'!$W$6:$W$10005,$W3619)&gt;0),N(U3618),N(U3618)+1))</f>
        <v/>
      </c>
      <c r="V3619" s="19">
        <f>IF($B3619="","",TEXT($B3619,"0000"))</f>
        <v/>
      </c>
      <c r="W3619" s="19">
        <f>IF($I3619="","",IF(ISNUMBER($I3619),TEXT($I3619,"0"),$I3619))</f>
        <v/>
      </c>
    </row>
    <row r="3620">
      <c r="B3620" s="25" t="n"/>
      <c r="I3620" s="25" t="n"/>
      <c r="U3620" s="19">
        <f>IF($V3620&lt;&gt;'設定'!$C$4,N(U3619),IF(OR(NOT(COUNTIF('商品マスタ'!$B$6:$B$1005,$W3620)=0),COUNTIFS('①在庫を貼る'!$V$6:$V$10005,$V3620,'①在庫を貼る'!$W$6:$W$10005,$W3620)+COUNTIFS('月1回_1ヶ月前の在庫'!$V$6:$V$10005,$V3620,'月1回_1ヶ月前の在庫'!$W$6:$W$10005,$W3620)&gt;0),N(U3619),N(U3619)+1))</f>
        <v/>
      </c>
      <c r="V3620" s="19">
        <f>IF($B3620="","",TEXT($B3620,"0000"))</f>
        <v/>
      </c>
      <c r="W3620" s="19">
        <f>IF($I3620="","",IF(ISNUMBER($I3620),TEXT($I3620,"0"),$I3620))</f>
        <v/>
      </c>
    </row>
    <row r="3621">
      <c r="B3621" s="25" t="n"/>
      <c r="I3621" s="25" t="n"/>
      <c r="U3621" s="19">
        <f>IF($V3621&lt;&gt;'設定'!$C$4,N(U3620),IF(OR(NOT(COUNTIF('商品マスタ'!$B$6:$B$1005,$W3621)=0),COUNTIFS('①在庫を貼る'!$V$6:$V$10005,$V3621,'①在庫を貼る'!$W$6:$W$10005,$W3621)+COUNTIFS('月1回_1ヶ月前の在庫'!$V$6:$V$10005,$V3621,'月1回_1ヶ月前の在庫'!$W$6:$W$10005,$W3621)&gt;0),N(U3620),N(U3620)+1))</f>
        <v/>
      </c>
      <c r="V3621" s="19">
        <f>IF($B3621="","",TEXT($B3621,"0000"))</f>
        <v/>
      </c>
      <c r="W3621" s="19">
        <f>IF($I3621="","",IF(ISNUMBER($I3621),TEXT($I3621,"0"),$I3621))</f>
        <v/>
      </c>
    </row>
    <row r="3622">
      <c r="B3622" s="25" t="n"/>
      <c r="I3622" s="25" t="n"/>
      <c r="U3622" s="19">
        <f>IF($V3622&lt;&gt;'設定'!$C$4,N(U3621),IF(OR(NOT(COUNTIF('商品マスタ'!$B$6:$B$1005,$W3622)=0),COUNTIFS('①在庫を貼る'!$V$6:$V$10005,$V3622,'①在庫を貼る'!$W$6:$W$10005,$W3622)+COUNTIFS('月1回_1ヶ月前の在庫'!$V$6:$V$10005,$V3622,'月1回_1ヶ月前の在庫'!$W$6:$W$10005,$W3622)&gt;0),N(U3621),N(U3621)+1))</f>
        <v/>
      </c>
      <c r="V3622" s="19">
        <f>IF($B3622="","",TEXT($B3622,"0000"))</f>
        <v/>
      </c>
      <c r="W3622" s="19">
        <f>IF($I3622="","",IF(ISNUMBER($I3622),TEXT($I3622,"0"),$I3622))</f>
        <v/>
      </c>
    </row>
    <row r="3623">
      <c r="B3623" s="25" t="n"/>
      <c r="I3623" s="25" t="n"/>
      <c r="U3623" s="19">
        <f>IF($V3623&lt;&gt;'設定'!$C$4,N(U3622),IF(OR(NOT(COUNTIF('商品マスタ'!$B$6:$B$1005,$W3623)=0),COUNTIFS('①在庫を貼る'!$V$6:$V$10005,$V3623,'①在庫を貼る'!$W$6:$W$10005,$W3623)+COUNTIFS('月1回_1ヶ月前の在庫'!$V$6:$V$10005,$V3623,'月1回_1ヶ月前の在庫'!$W$6:$W$10005,$W3623)&gt;0),N(U3622),N(U3622)+1))</f>
        <v/>
      </c>
      <c r="V3623" s="19">
        <f>IF($B3623="","",TEXT($B3623,"0000"))</f>
        <v/>
      </c>
      <c r="W3623" s="19">
        <f>IF($I3623="","",IF(ISNUMBER($I3623),TEXT($I3623,"0"),$I3623))</f>
        <v/>
      </c>
    </row>
    <row r="3624">
      <c r="B3624" s="25" t="n"/>
      <c r="I3624" s="25" t="n"/>
      <c r="U3624" s="19">
        <f>IF($V3624&lt;&gt;'設定'!$C$4,N(U3623),IF(OR(NOT(COUNTIF('商品マスタ'!$B$6:$B$1005,$W3624)=0),COUNTIFS('①在庫を貼る'!$V$6:$V$10005,$V3624,'①在庫を貼る'!$W$6:$W$10005,$W3624)+COUNTIFS('月1回_1ヶ月前の在庫'!$V$6:$V$10005,$V3624,'月1回_1ヶ月前の在庫'!$W$6:$W$10005,$W3624)&gt;0),N(U3623),N(U3623)+1))</f>
        <v/>
      </c>
      <c r="V3624" s="19">
        <f>IF($B3624="","",TEXT($B3624,"0000"))</f>
        <v/>
      </c>
      <c r="W3624" s="19">
        <f>IF($I3624="","",IF(ISNUMBER($I3624),TEXT($I3624,"0"),$I3624))</f>
        <v/>
      </c>
    </row>
    <row r="3625">
      <c r="B3625" s="25" t="n"/>
      <c r="I3625" s="25" t="n"/>
      <c r="U3625" s="19">
        <f>IF($V3625&lt;&gt;'設定'!$C$4,N(U3624),IF(OR(NOT(COUNTIF('商品マスタ'!$B$6:$B$1005,$W3625)=0),COUNTIFS('①在庫を貼る'!$V$6:$V$10005,$V3625,'①在庫を貼る'!$W$6:$W$10005,$W3625)+COUNTIFS('月1回_1ヶ月前の在庫'!$V$6:$V$10005,$V3625,'月1回_1ヶ月前の在庫'!$W$6:$W$10005,$W3625)&gt;0),N(U3624),N(U3624)+1))</f>
        <v/>
      </c>
      <c r="V3625" s="19">
        <f>IF($B3625="","",TEXT($B3625,"0000"))</f>
        <v/>
      </c>
      <c r="W3625" s="19">
        <f>IF($I3625="","",IF(ISNUMBER($I3625),TEXT($I3625,"0"),$I3625))</f>
        <v/>
      </c>
    </row>
    <row r="3626">
      <c r="B3626" s="25" t="n"/>
      <c r="I3626" s="25" t="n"/>
      <c r="U3626" s="19">
        <f>IF($V3626&lt;&gt;'設定'!$C$4,N(U3625),IF(OR(NOT(COUNTIF('商品マスタ'!$B$6:$B$1005,$W3626)=0),COUNTIFS('①在庫を貼る'!$V$6:$V$10005,$V3626,'①在庫を貼る'!$W$6:$W$10005,$W3626)+COUNTIFS('月1回_1ヶ月前の在庫'!$V$6:$V$10005,$V3626,'月1回_1ヶ月前の在庫'!$W$6:$W$10005,$W3626)&gt;0),N(U3625),N(U3625)+1))</f>
        <v/>
      </c>
      <c r="V3626" s="19">
        <f>IF($B3626="","",TEXT($B3626,"0000"))</f>
        <v/>
      </c>
      <c r="W3626" s="19">
        <f>IF($I3626="","",IF(ISNUMBER($I3626),TEXT($I3626,"0"),$I3626))</f>
        <v/>
      </c>
    </row>
    <row r="3627">
      <c r="B3627" s="25" t="n"/>
      <c r="I3627" s="25" t="n"/>
      <c r="U3627" s="19">
        <f>IF($V3627&lt;&gt;'設定'!$C$4,N(U3626),IF(OR(NOT(COUNTIF('商品マスタ'!$B$6:$B$1005,$W3627)=0),COUNTIFS('①在庫を貼る'!$V$6:$V$10005,$V3627,'①在庫を貼る'!$W$6:$W$10005,$W3627)+COUNTIFS('月1回_1ヶ月前の在庫'!$V$6:$V$10005,$V3627,'月1回_1ヶ月前の在庫'!$W$6:$W$10005,$W3627)&gt;0),N(U3626),N(U3626)+1))</f>
        <v/>
      </c>
      <c r="V3627" s="19">
        <f>IF($B3627="","",TEXT($B3627,"0000"))</f>
        <v/>
      </c>
      <c r="W3627" s="19">
        <f>IF($I3627="","",IF(ISNUMBER($I3627),TEXT($I3627,"0"),$I3627))</f>
        <v/>
      </c>
    </row>
    <row r="3628">
      <c r="B3628" s="25" t="n"/>
      <c r="I3628" s="25" t="n"/>
      <c r="U3628" s="19">
        <f>IF($V3628&lt;&gt;'設定'!$C$4,N(U3627),IF(OR(NOT(COUNTIF('商品マスタ'!$B$6:$B$1005,$W3628)=0),COUNTIFS('①在庫を貼る'!$V$6:$V$10005,$V3628,'①在庫を貼る'!$W$6:$W$10005,$W3628)+COUNTIFS('月1回_1ヶ月前の在庫'!$V$6:$V$10005,$V3628,'月1回_1ヶ月前の在庫'!$W$6:$W$10005,$W3628)&gt;0),N(U3627),N(U3627)+1))</f>
        <v/>
      </c>
      <c r="V3628" s="19">
        <f>IF($B3628="","",TEXT($B3628,"0000"))</f>
        <v/>
      </c>
      <c r="W3628" s="19">
        <f>IF($I3628="","",IF(ISNUMBER($I3628),TEXT($I3628,"0"),$I3628))</f>
        <v/>
      </c>
    </row>
    <row r="3629">
      <c r="B3629" s="25" t="n"/>
      <c r="I3629" s="25" t="n"/>
      <c r="U3629" s="19">
        <f>IF($V3629&lt;&gt;'設定'!$C$4,N(U3628),IF(OR(NOT(COUNTIF('商品マスタ'!$B$6:$B$1005,$W3629)=0),COUNTIFS('①在庫を貼る'!$V$6:$V$10005,$V3629,'①在庫を貼る'!$W$6:$W$10005,$W3629)+COUNTIFS('月1回_1ヶ月前の在庫'!$V$6:$V$10005,$V3629,'月1回_1ヶ月前の在庫'!$W$6:$W$10005,$W3629)&gt;0),N(U3628),N(U3628)+1))</f>
        <v/>
      </c>
      <c r="V3629" s="19">
        <f>IF($B3629="","",TEXT($B3629,"0000"))</f>
        <v/>
      </c>
      <c r="W3629" s="19">
        <f>IF($I3629="","",IF(ISNUMBER($I3629),TEXT($I3629,"0"),$I3629))</f>
        <v/>
      </c>
    </row>
    <row r="3630">
      <c r="B3630" s="25" t="n"/>
      <c r="I3630" s="25" t="n"/>
      <c r="U3630" s="19">
        <f>IF($V3630&lt;&gt;'設定'!$C$4,N(U3629),IF(OR(NOT(COUNTIF('商品マスタ'!$B$6:$B$1005,$W3630)=0),COUNTIFS('①在庫を貼る'!$V$6:$V$10005,$V3630,'①在庫を貼る'!$W$6:$W$10005,$W3630)+COUNTIFS('月1回_1ヶ月前の在庫'!$V$6:$V$10005,$V3630,'月1回_1ヶ月前の在庫'!$W$6:$W$10005,$W3630)&gt;0),N(U3629),N(U3629)+1))</f>
        <v/>
      </c>
      <c r="V3630" s="19">
        <f>IF($B3630="","",TEXT($B3630,"0000"))</f>
        <v/>
      </c>
      <c r="W3630" s="19">
        <f>IF($I3630="","",IF(ISNUMBER($I3630),TEXT($I3630,"0"),$I3630))</f>
        <v/>
      </c>
    </row>
    <row r="3631">
      <c r="B3631" s="25" t="n"/>
      <c r="I3631" s="25" t="n"/>
      <c r="U3631" s="19">
        <f>IF($V3631&lt;&gt;'設定'!$C$4,N(U3630),IF(OR(NOT(COUNTIF('商品マスタ'!$B$6:$B$1005,$W3631)=0),COUNTIFS('①在庫を貼る'!$V$6:$V$10005,$V3631,'①在庫を貼る'!$W$6:$W$10005,$W3631)+COUNTIFS('月1回_1ヶ月前の在庫'!$V$6:$V$10005,$V3631,'月1回_1ヶ月前の在庫'!$W$6:$W$10005,$W3631)&gt;0),N(U3630),N(U3630)+1))</f>
        <v/>
      </c>
      <c r="V3631" s="19">
        <f>IF($B3631="","",TEXT($B3631,"0000"))</f>
        <v/>
      </c>
      <c r="W3631" s="19">
        <f>IF($I3631="","",IF(ISNUMBER($I3631),TEXT($I3631,"0"),$I3631))</f>
        <v/>
      </c>
    </row>
    <row r="3632">
      <c r="B3632" s="25" t="n"/>
      <c r="I3632" s="25" t="n"/>
      <c r="U3632" s="19">
        <f>IF($V3632&lt;&gt;'設定'!$C$4,N(U3631),IF(OR(NOT(COUNTIF('商品マスタ'!$B$6:$B$1005,$W3632)=0),COUNTIFS('①在庫を貼る'!$V$6:$V$10005,$V3632,'①在庫を貼る'!$W$6:$W$10005,$W3632)+COUNTIFS('月1回_1ヶ月前の在庫'!$V$6:$V$10005,$V3632,'月1回_1ヶ月前の在庫'!$W$6:$W$10005,$W3632)&gt;0),N(U3631),N(U3631)+1))</f>
        <v/>
      </c>
      <c r="V3632" s="19">
        <f>IF($B3632="","",TEXT($B3632,"0000"))</f>
        <v/>
      </c>
      <c r="W3632" s="19">
        <f>IF($I3632="","",IF(ISNUMBER($I3632),TEXT($I3632,"0"),$I3632))</f>
        <v/>
      </c>
    </row>
    <row r="3633">
      <c r="B3633" s="25" t="n"/>
      <c r="I3633" s="25" t="n"/>
      <c r="U3633" s="19">
        <f>IF($V3633&lt;&gt;'設定'!$C$4,N(U3632),IF(OR(NOT(COUNTIF('商品マスタ'!$B$6:$B$1005,$W3633)=0),COUNTIFS('①在庫を貼る'!$V$6:$V$10005,$V3633,'①在庫を貼る'!$W$6:$W$10005,$W3633)+COUNTIFS('月1回_1ヶ月前の在庫'!$V$6:$V$10005,$V3633,'月1回_1ヶ月前の在庫'!$W$6:$W$10005,$W3633)&gt;0),N(U3632),N(U3632)+1))</f>
        <v/>
      </c>
      <c r="V3633" s="19">
        <f>IF($B3633="","",TEXT($B3633,"0000"))</f>
        <v/>
      </c>
      <c r="W3633" s="19">
        <f>IF($I3633="","",IF(ISNUMBER($I3633),TEXT($I3633,"0"),$I3633))</f>
        <v/>
      </c>
    </row>
    <row r="3634">
      <c r="B3634" s="25" t="n"/>
      <c r="I3634" s="25" t="n"/>
      <c r="U3634" s="19">
        <f>IF($V3634&lt;&gt;'設定'!$C$4,N(U3633),IF(OR(NOT(COUNTIF('商品マスタ'!$B$6:$B$1005,$W3634)=0),COUNTIFS('①在庫を貼る'!$V$6:$V$10005,$V3634,'①在庫を貼る'!$W$6:$W$10005,$W3634)+COUNTIFS('月1回_1ヶ月前の在庫'!$V$6:$V$10005,$V3634,'月1回_1ヶ月前の在庫'!$W$6:$W$10005,$W3634)&gt;0),N(U3633),N(U3633)+1))</f>
        <v/>
      </c>
      <c r="V3634" s="19">
        <f>IF($B3634="","",TEXT($B3634,"0000"))</f>
        <v/>
      </c>
      <c r="W3634" s="19">
        <f>IF($I3634="","",IF(ISNUMBER($I3634),TEXT($I3634,"0"),$I3634))</f>
        <v/>
      </c>
    </row>
    <row r="3635">
      <c r="B3635" s="25" t="n"/>
      <c r="I3635" s="25" t="n"/>
      <c r="U3635" s="19">
        <f>IF($V3635&lt;&gt;'設定'!$C$4,N(U3634),IF(OR(NOT(COUNTIF('商品マスタ'!$B$6:$B$1005,$W3635)=0),COUNTIFS('①在庫を貼る'!$V$6:$V$10005,$V3635,'①在庫を貼る'!$W$6:$W$10005,$W3635)+COUNTIFS('月1回_1ヶ月前の在庫'!$V$6:$V$10005,$V3635,'月1回_1ヶ月前の在庫'!$W$6:$W$10005,$W3635)&gt;0),N(U3634),N(U3634)+1))</f>
        <v/>
      </c>
      <c r="V3635" s="19">
        <f>IF($B3635="","",TEXT($B3635,"0000"))</f>
        <v/>
      </c>
      <c r="W3635" s="19">
        <f>IF($I3635="","",IF(ISNUMBER($I3635),TEXT($I3635,"0"),$I3635))</f>
        <v/>
      </c>
    </row>
    <row r="3636">
      <c r="B3636" s="25" t="n"/>
      <c r="I3636" s="25" t="n"/>
      <c r="U3636" s="19">
        <f>IF($V3636&lt;&gt;'設定'!$C$4,N(U3635),IF(OR(NOT(COUNTIF('商品マスタ'!$B$6:$B$1005,$W3636)=0),COUNTIFS('①在庫を貼る'!$V$6:$V$10005,$V3636,'①在庫を貼る'!$W$6:$W$10005,$W3636)+COUNTIFS('月1回_1ヶ月前の在庫'!$V$6:$V$10005,$V3636,'月1回_1ヶ月前の在庫'!$W$6:$W$10005,$W3636)&gt;0),N(U3635),N(U3635)+1))</f>
        <v/>
      </c>
      <c r="V3636" s="19">
        <f>IF($B3636="","",TEXT($B3636,"0000"))</f>
        <v/>
      </c>
      <c r="W3636" s="19">
        <f>IF($I3636="","",IF(ISNUMBER($I3636),TEXT($I3636,"0"),$I3636))</f>
        <v/>
      </c>
    </row>
    <row r="3637">
      <c r="B3637" s="25" t="n"/>
      <c r="I3637" s="25" t="n"/>
      <c r="U3637" s="19">
        <f>IF($V3637&lt;&gt;'設定'!$C$4,N(U3636),IF(OR(NOT(COUNTIF('商品マスタ'!$B$6:$B$1005,$W3637)=0),COUNTIFS('①在庫を貼る'!$V$6:$V$10005,$V3637,'①在庫を貼る'!$W$6:$W$10005,$W3637)+COUNTIFS('月1回_1ヶ月前の在庫'!$V$6:$V$10005,$V3637,'月1回_1ヶ月前の在庫'!$W$6:$W$10005,$W3637)&gt;0),N(U3636),N(U3636)+1))</f>
        <v/>
      </c>
      <c r="V3637" s="19">
        <f>IF($B3637="","",TEXT($B3637,"0000"))</f>
        <v/>
      </c>
      <c r="W3637" s="19">
        <f>IF($I3637="","",IF(ISNUMBER($I3637),TEXT($I3637,"0"),$I3637))</f>
        <v/>
      </c>
    </row>
    <row r="3638">
      <c r="B3638" s="25" t="n"/>
      <c r="I3638" s="25" t="n"/>
      <c r="U3638" s="19">
        <f>IF($V3638&lt;&gt;'設定'!$C$4,N(U3637),IF(OR(NOT(COUNTIF('商品マスタ'!$B$6:$B$1005,$W3638)=0),COUNTIFS('①在庫を貼る'!$V$6:$V$10005,$V3638,'①在庫を貼る'!$W$6:$W$10005,$W3638)+COUNTIFS('月1回_1ヶ月前の在庫'!$V$6:$V$10005,$V3638,'月1回_1ヶ月前の在庫'!$W$6:$W$10005,$W3638)&gt;0),N(U3637),N(U3637)+1))</f>
        <v/>
      </c>
      <c r="V3638" s="19">
        <f>IF($B3638="","",TEXT($B3638,"0000"))</f>
        <v/>
      </c>
      <c r="W3638" s="19">
        <f>IF($I3638="","",IF(ISNUMBER($I3638),TEXT($I3638,"0"),$I3638))</f>
        <v/>
      </c>
    </row>
    <row r="3639">
      <c r="B3639" s="25" t="n"/>
      <c r="I3639" s="25" t="n"/>
      <c r="U3639" s="19">
        <f>IF($V3639&lt;&gt;'設定'!$C$4,N(U3638),IF(OR(NOT(COUNTIF('商品マスタ'!$B$6:$B$1005,$W3639)=0),COUNTIFS('①在庫を貼る'!$V$6:$V$10005,$V3639,'①在庫を貼る'!$W$6:$W$10005,$W3639)+COUNTIFS('月1回_1ヶ月前の在庫'!$V$6:$V$10005,$V3639,'月1回_1ヶ月前の在庫'!$W$6:$W$10005,$W3639)&gt;0),N(U3638),N(U3638)+1))</f>
        <v/>
      </c>
      <c r="V3639" s="19">
        <f>IF($B3639="","",TEXT($B3639,"0000"))</f>
        <v/>
      </c>
      <c r="W3639" s="19">
        <f>IF($I3639="","",IF(ISNUMBER($I3639),TEXT($I3639,"0"),$I3639))</f>
        <v/>
      </c>
    </row>
    <row r="3640">
      <c r="B3640" s="25" t="n"/>
      <c r="I3640" s="25" t="n"/>
      <c r="U3640" s="19">
        <f>IF($V3640&lt;&gt;'設定'!$C$4,N(U3639),IF(OR(NOT(COUNTIF('商品マスタ'!$B$6:$B$1005,$W3640)=0),COUNTIFS('①在庫を貼る'!$V$6:$V$10005,$V3640,'①在庫を貼る'!$W$6:$W$10005,$W3640)+COUNTIFS('月1回_1ヶ月前の在庫'!$V$6:$V$10005,$V3640,'月1回_1ヶ月前の在庫'!$W$6:$W$10005,$W3640)&gt;0),N(U3639),N(U3639)+1))</f>
        <v/>
      </c>
      <c r="V3640" s="19">
        <f>IF($B3640="","",TEXT($B3640,"0000"))</f>
        <v/>
      </c>
      <c r="W3640" s="19">
        <f>IF($I3640="","",IF(ISNUMBER($I3640),TEXT($I3640,"0"),$I3640))</f>
        <v/>
      </c>
    </row>
    <row r="3641">
      <c r="B3641" s="25" t="n"/>
      <c r="I3641" s="25" t="n"/>
      <c r="U3641" s="19">
        <f>IF($V3641&lt;&gt;'設定'!$C$4,N(U3640),IF(OR(NOT(COUNTIF('商品マスタ'!$B$6:$B$1005,$W3641)=0),COUNTIFS('①在庫を貼る'!$V$6:$V$10005,$V3641,'①在庫を貼る'!$W$6:$W$10005,$W3641)+COUNTIFS('月1回_1ヶ月前の在庫'!$V$6:$V$10005,$V3641,'月1回_1ヶ月前の在庫'!$W$6:$W$10005,$W3641)&gt;0),N(U3640),N(U3640)+1))</f>
        <v/>
      </c>
      <c r="V3641" s="19">
        <f>IF($B3641="","",TEXT($B3641,"0000"))</f>
        <v/>
      </c>
      <c r="W3641" s="19">
        <f>IF($I3641="","",IF(ISNUMBER($I3641),TEXT($I3641,"0"),$I3641))</f>
        <v/>
      </c>
    </row>
    <row r="3642">
      <c r="B3642" s="25" t="n"/>
      <c r="I3642" s="25" t="n"/>
      <c r="U3642" s="19">
        <f>IF($V3642&lt;&gt;'設定'!$C$4,N(U3641),IF(OR(NOT(COUNTIF('商品マスタ'!$B$6:$B$1005,$W3642)=0),COUNTIFS('①在庫を貼る'!$V$6:$V$10005,$V3642,'①在庫を貼る'!$W$6:$W$10005,$W3642)+COUNTIFS('月1回_1ヶ月前の在庫'!$V$6:$V$10005,$V3642,'月1回_1ヶ月前の在庫'!$W$6:$W$10005,$W3642)&gt;0),N(U3641),N(U3641)+1))</f>
        <v/>
      </c>
      <c r="V3642" s="19">
        <f>IF($B3642="","",TEXT($B3642,"0000"))</f>
        <v/>
      </c>
      <c r="W3642" s="19">
        <f>IF($I3642="","",IF(ISNUMBER($I3642),TEXT($I3642,"0"),$I3642))</f>
        <v/>
      </c>
    </row>
    <row r="3643">
      <c r="B3643" s="25" t="n"/>
      <c r="I3643" s="25" t="n"/>
      <c r="U3643" s="19">
        <f>IF($V3643&lt;&gt;'設定'!$C$4,N(U3642),IF(OR(NOT(COUNTIF('商品マスタ'!$B$6:$B$1005,$W3643)=0),COUNTIFS('①在庫を貼る'!$V$6:$V$10005,$V3643,'①在庫を貼る'!$W$6:$W$10005,$W3643)+COUNTIFS('月1回_1ヶ月前の在庫'!$V$6:$V$10005,$V3643,'月1回_1ヶ月前の在庫'!$W$6:$W$10005,$W3643)&gt;0),N(U3642),N(U3642)+1))</f>
        <v/>
      </c>
      <c r="V3643" s="19">
        <f>IF($B3643="","",TEXT($B3643,"0000"))</f>
        <v/>
      </c>
      <c r="W3643" s="19">
        <f>IF($I3643="","",IF(ISNUMBER($I3643),TEXT($I3643,"0"),$I3643))</f>
        <v/>
      </c>
    </row>
    <row r="3644">
      <c r="B3644" s="25" t="n"/>
      <c r="I3644" s="25" t="n"/>
      <c r="U3644" s="19">
        <f>IF($V3644&lt;&gt;'設定'!$C$4,N(U3643),IF(OR(NOT(COUNTIF('商品マスタ'!$B$6:$B$1005,$W3644)=0),COUNTIFS('①在庫を貼る'!$V$6:$V$10005,$V3644,'①在庫を貼る'!$W$6:$W$10005,$W3644)+COUNTIFS('月1回_1ヶ月前の在庫'!$V$6:$V$10005,$V3644,'月1回_1ヶ月前の在庫'!$W$6:$W$10005,$W3644)&gt;0),N(U3643),N(U3643)+1))</f>
        <v/>
      </c>
      <c r="V3644" s="19">
        <f>IF($B3644="","",TEXT($B3644,"0000"))</f>
        <v/>
      </c>
      <c r="W3644" s="19">
        <f>IF($I3644="","",IF(ISNUMBER($I3644),TEXT($I3644,"0"),$I3644))</f>
        <v/>
      </c>
    </row>
    <row r="3645">
      <c r="B3645" s="25" t="n"/>
      <c r="I3645" s="25" t="n"/>
      <c r="U3645" s="19">
        <f>IF($V3645&lt;&gt;'設定'!$C$4,N(U3644),IF(OR(NOT(COUNTIF('商品マスタ'!$B$6:$B$1005,$W3645)=0),COUNTIFS('①在庫を貼る'!$V$6:$V$10005,$V3645,'①在庫を貼る'!$W$6:$W$10005,$W3645)+COUNTIFS('月1回_1ヶ月前の在庫'!$V$6:$V$10005,$V3645,'月1回_1ヶ月前の在庫'!$W$6:$W$10005,$W3645)&gt;0),N(U3644),N(U3644)+1))</f>
        <v/>
      </c>
      <c r="V3645" s="19">
        <f>IF($B3645="","",TEXT($B3645,"0000"))</f>
        <v/>
      </c>
      <c r="W3645" s="19">
        <f>IF($I3645="","",IF(ISNUMBER($I3645),TEXT($I3645,"0"),$I3645))</f>
        <v/>
      </c>
    </row>
    <row r="3646">
      <c r="B3646" s="25" t="n"/>
      <c r="I3646" s="25" t="n"/>
      <c r="U3646" s="19">
        <f>IF($V3646&lt;&gt;'設定'!$C$4,N(U3645),IF(OR(NOT(COUNTIF('商品マスタ'!$B$6:$B$1005,$W3646)=0),COUNTIFS('①在庫を貼る'!$V$6:$V$10005,$V3646,'①在庫を貼る'!$W$6:$W$10005,$W3646)+COUNTIFS('月1回_1ヶ月前の在庫'!$V$6:$V$10005,$V3646,'月1回_1ヶ月前の在庫'!$W$6:$W$10005,$W3646)&gt;0),N(U3645),N(U3645)+1))</f>
        <v/>
      </c>
      <c r="V3646" s="19">
        <f>IF($B3646="","",TEXT($B3646,"0000"))</f>
        <v/>
      </c>
      <c r="W3646" s="19">
        <f>IF($I3646="","",IF(ISNUMBER($I3646),TEXT($I3646,"0"),$I3646))</f>
        <v/>
      </c>
    </row>
    <row r="3647">
      <c r="B3647" s="25" t="n"/>
      <c r="I3647" s="25" t="n"/>
      <c r="U3647" s="19">
        <f>IF($V3647&lt;&gt;'設定'!$C$4,N(U3646),IF(OR(NOT(COUNTIF('商品マスタ'!$B$6:$B$1005,$W3647)=0),COUNTIFS('①在庫を貼る'!$V$6:$V$10005,$V3647,'①在庫を貼る'!$W$6:$W$10005,$W3647)+COUNTIFS('月1回_1ヶ月前の在庫'!$V$6:$V$10005,$V3647,'月1回_1ヶ月前の在庫'!$W$6:$W$10005,$W3647)&gt;0),N(U3646),N(U3646)+1))</f>
        <v/>
      </c>
      <c r="V3647" s="19">
        <f>IF($B3647="","",TEXT($B3647,"0000"))</f>
        <v/>
      </c>
      <c r="W3647" s="19">
        <f>IF($I3647="","",IF(ISNUMBER($I3647),TEXT($I3647,"0"),$I3647))</f>
        <v/>
      </c>
    </row>
    <row r="3648">
      <c r="B3648" s="25" t="n"/>
      <c r="I3648" s="25" t="n"/>
      <c r="U3648" s="19">
        <f>IF($V3648&lt;&gt;'設定'!$C$4,N(U3647),IF(OR(NOT(COUNTIF('商品マスタ'!$B$6:$B$1005,$W3648)=0),COUNTIFS('①在庫を貼る'!$V$6:$V$10005,$V3648,'①在庫を貼る'!$W$6:$W$10005,$W3648)+COUNTIFS('月1回_1ヶ月前の在庫'!$V$6:$V$10005,$V3648,'月1回_1ヶ月前の在庫'!$W$6:$W$10005,$W3648)&gt;0),N(U3647),N(U3647)+1))</f>
        <v/>
      </c>
      <c r="V3648" s="19">
        <f>IF($B3648="","",TEXT($B3648,"0000"))</f>
        <v/>
      </c>
      <c r="W3648" s="19">
        <f>IF($I3648="","",IF(ISNUMBER($I3648),TEXT($I3648,"0"),$I3648))</f>
        <v/>
      </c>
    </row>
    <row r="3649">
      <c r="B3649" s="25" t="n"/>
      <c r="I3649" s="25" t="n"/>
      <c r="U3649" s="19">
        <f>IF($V3649&lt;&gt;'設定'!$C$4,N(U3648),IF(OR(NOT(COUNTIF('商品マスタ'!$B$6:$B$1005,$W3649)=0),COUNTIFS('①在庫を貼る'!$V$6:$V$10005,$V3649,'①在庫を貼る'!$W$6:$W$10005,$W3649)+COUNTIFS('月1回_1ヶ月前の在庫'!$V$6:$V$10005,$V3649,'月1回_1ヶ月前の在庫'!$W$6:$W$10005,$W3649)&gt;0),N(U3648),N(U3648)+1))</f>
        <v/>
      </c>
      <c r="V3649" s="19">
        <f>IF($B3649="","",TEXT($B3649,"0000"))</f>
        <v/>
      </c>
      <c r="W3649" s="19">
        <f>IF($I3649="","",IF(ISNUMBER($I3649),TEXT($I3649,"0"),$I3649))</f>
        <v/>
      </c>
    </row>
    <row r="3650">
      <c r="B3650" s="25" t="n"/>
      <c r="I3650" s="25" t="n"/>
      <c r="U3650" s="19">
        <f>IF($V3650&lt;&gt;'設定'!$C$4,N(U3649),IF(OR(NOT(COUNTIF('商品マスタ'!$B$6:$B$1005,$W3650)=0),COUNTIFS('①在庫を貼る'!$V$6:$V$10005,$V3650,'①在庫を貼る'!$W$6:$W$10005,$W3650)+COUNTIFS('月1回_1ヶ月前の在庫'!$V$6:$V$10005,$V3650,'月1回_1ヶ月前の在庫'!$W$6:$W$10005,$W3650)&gt;0),N(U3649),N(U3649)+1))</f>
        <v/>
      </c>
      <c r="V3650" s="19">
        <f>IF($B3650="","",TEXT($B3650,"0000"))</f>
        <v/>
      </c>
      <c r="W3650" s="19">
        <f>IF($I3650="","",IF(ISNUMBER($I3650),TEXT($I3650,"0"),$I3650))</f>
        <v/>
      </c>
    </row>
    <row r="3651">
      <c r="B3651" s="25" t="n"/>
      <c r="I3651" s="25" t="n"/>
      <c r="U3651" s="19">
        <f>IF($V3651&lt;&gt;'設定'!$C$4,N(U3650),IF(OR(NOT(COUNTIF('商品マスタ'!$B$6:$B$1005,$W3651)=0),COUNTIFS('①在庫を貼る'!$V$6:$V$10005,$V3651,'①在庫を貼る'!$W$6:$W$10005,$W3651)+COUNTIFS('月1回_1ヶ月前の在庫'!$V$6:$V$10005,$V3651,'月1回_1ヶ月前の在庫'!$W$6:$W$10005,$W3651)&gt;0),N(U3650),N(U3650)+1))</f>
        <v/>
      </c>
      <c r="V3651" s="19">
        <f>IF($B3651="","",TEXT($B3651,"0000"))</f>
        <v/>
      </c>
      <c r="W3651" s="19">
        <f>IF($I3651="","",IF(ISNUMBER($I3651),TEXT($I3651,"0"),$I3651))</f>
        <v/>
      </c>
    </row>
    <row r="3652">
      <c r="B3652" s="25" t="n"/>
      <c r="I3652" s="25" t="n"/>
      <c r="U3652" s="19">
        <f>IF($V3652&lt;&gt;'設定'!$C$4,N(U3651),IF(OR(NOT(COUNTIF('商品マスタ'!$B$6:$B$1005,$W3652)=0),COUNTIFS('①在庫を貼る'!$V$6:$V$10005,$V3652,'①在庫を貼る'!$W$6:$W$10005,$W3652)+COUNTIFS('月1回_1ヶ月前の在庫'!$V$6:$V$10005,$V3652,'月1回_1ヶ月前の在庫'!$W$6:$W$10005,$W3652)&gt;0),N(U3651),N(U3651)+1))</f>
        <v/>
      </c>
      <c r="V3652" s="19">
        <f>IF($B3652="","",TEXT($B3652,"0000"))</f>
        <v/>
      </c>
      <c r="W3652" s="19">
        <f>IF($I3652="","",IF(ISNUMBER($I3652),TEXT($I3652,"0"),$I3652))</f>
        <v/>
      </c>
    </row>
    <row r="3653">
      <c r="B3653" s="25" t="n"/>
      <c r="I3653" s="25" t="n"/>
      <c r="U3653" s="19">
        <f>IF($V3653&lt;&gt;'設定'!$C$4,N(U3652),IF(OR(NOT(COUNTIF('商品マスタ'!$B$6:$B$1005,$W3653)=0),COUNTIFS('①在庫を貼る'!$V$6:$V$10005,$V3653,'①在庫を貼る'!$W$6:$W$10005,$W3653)+COUNTIFS('月1回_1ヶ月前の在庫'!$V$6:$V$10005,$V3653,'月1回_1ヶ月前の在庫'!$W$6:$W$10005,$W3653)&gt;0),N(U3652),N(U3652)+1))</f>
        <v/>
      </c>
      <c r="V3653" s="19">
        <f>IF($B3653="","",TEXT($B3653,"0000"))</f>
        <v/>
      </c>
      <c r="W3653" s="19">
        <f>IF($I3653="","",IF(ISNUMBER($I3653),TEXT($I3653,"0"),$I3653))</f>
        <v/>
      </c>
    </row>
    <row r="3654">
      <c r="B3654" s="25" t="n"/>
      <c r="I3654" s="25" t="n"/>
      <c r="U3654" s="19">
        <f>IF($V3654&lt;&gt;'設定'!$C$4,N(U3653),IF(OR(NOT(COUNTIF('商品マスタ'!$B$6:$B$1005,$W3654)=0),COUNTIFS('①在庫を貼る'!$V$6:$V$10005,$V3654,'①在庫を貼る'!$W$6:$W$10005,$W3654)+COUNTIFS('月1回_1ヶ月前の在庫'!$V$6:$V$10005,$V3654,'月1回_1ヶ月前の在庫'!$W$6:$W$10005,$W3654)&gt;0),N(U3653),N(U3653)+1))</f>
        <v/>
      </c>
      <c r="V3654" s="19">
        <f>IF($B3654="","",TEXT($B3654,"0000"))</f>
        <v/>
      </c>
      <c r="W3654" s="19">
        <f>IF($I3654="","",IF(ISNUMBER($I3654),TEXT($I3654,"0"),$I3654))</f>
        <v/>
      </c>
    </row>
    <row r="3655">
      <c r="B3655" s="25" t="n"/>
      <c r="I3655" s="25" t="n"/>
      <c r="U3655" s="19">
        <f>IF($V3655&lt;&gt;'設定'!$C$4,N(U3654),IF(OR(NOT(COUNTIF('商品マスタ'!$B$6:$B$1005,$W3655)=0),COUNTIFS('①在庫を貼る'!$V$6:$V$10005,$V3655,'①在庫を貼る'!$W$6:$W$10005,$W3655)+COUNTIFS('月1回_1ヶ月前の在庫'!$V$6:$V$10005,$V3655,'月1回_1ヶ月前の在庫'!$W$6:$W$10005,$W3655)&gt;0),N(U3654),N(U3654)+1))</f>
        <v/>
      </c>
      <c r="V3655" s="19">
        <f>IF($B3655="","",TEXT($B3655,"0000"))</f>
        <v/>
      </c>
      <c r="W3655" s="19">
        <f>IF($I3655="","",IF(ISNUMBER($I3655),TEXT($I3655,"0"),$I3655))</f>
        <v/>
      </c>
    </row>
    <row r="3656">
      <c r="B3656" s="25" t="n"/>
      <c r="I3656" s="25" t="n"/>
      <c r="U3656" s="19">
        <f>IF($V3656&lt;&gt;'設定'!$C$4,N(U3655),IF(OR(NOT(COUNTIF('商品マスタ'!$B$6:$B$1005,$W3656)=0),COUNTIFS('①在庫を貼る'!$V$6:$V$10005,$V3656,'①在庫を貼る'!$W$6:$W$10005,$W3656)+COUNTIFS('月1回_1ヶ月前の在庫'!$V$6:$V$10005,$V3656,'月1回_1ヶ月前の在庫'!$W$6:$W$10005,$W3656)&gt;0),N(U3655),N(U3655)+1))</f>
        <v/>
      </c>
      <c r="V3656" s="19">
        <f>IF($B3656="","",TEXT($B3656,"0000"))</f>
        <v/>
      </c>
      <c r="W3656" s="19">
        <f>IF($I3656="","",IF(ISNUMBER($I3656),TEXT($I3656,"0"),$I3656))</f>
        <v/>
      </c>
    </row>
    <row r="3657">
      <c r="B3657" s="25" t="n"/>
      <c r="I3657" s="25" t="n"/>
      <c r="U3657" s="19">
        <f>IF($V3657&lt;&gt;'設定'!$C$4,N(U3656),IF(OR(NOT(COUNTIF('商品マスタ'!$B$6:$B$1005,$W3657)=0),COUNTIFS('①在庫を貼る'!$V$6:$V$10005,$V3657,'①在庫を貼る'!$W$6:$W$10005,$W3657)+COUNTIFS('月1回_1ヶ月前の在庫'!$V$6:$V$10005,$V3657,'月1回_1ヶ月前の在庫'!$W$6:$W$10005,$W3657)&gt;0),N(U3656),N(U3656)+1))</f>
        <v/>
      </c>
      <c r="V3657" s="19">
        <f>IF($B3657="","",TEXT($B3657,"0000"))</f>
        <v/>
      </c>
      <c r="W3657" s="19">
        <f>IF($I3657="","",IF(ISNUMBER($I3657),TEXT($I3657,"0"),$I3657))</f>
        <v/>
      </c>
    </row>
    <row r="3658">
      <c r="B3658" s="25" t="n"/>
      <c r="I3658" s="25" t="n"/>
      <c r="U3658" s="19">
        <f>IF($V3658&lt;&gt;'設定'!$C$4,N(U3657),IF(OR(NOT(COUNTIF('商品マスタ'!$B$6:$B$1005,$W3658)=0),COUNTIFS('①在庫を貼る'!$V$6:$V$10005,$V3658,'①在庫を貼る'!$W$6:$W$10005,$W3658)+COUNTIFS('月1回_1ヶ月前の在庫'!$V$6:$V$10005,$V3658,'月1回_1ヶ月前の在庫'!$W$6:$W$10005,$W3658)&gt;0),N(U3657),N(U3657)+1))</f>
        <v/>
      </c>
      <c r="V3658" s="19">
        <f>IF($B3658="","",TEXT($B3658,"0000"))</f>
        <v/>
      </c>
      <c r="W3658" s="19">
        <f>IF($I3658="","",IF(ISNUMBER($I3658),TEXT($I3658,"0"),$I3658))</f>
        <v/>
      </c>
    </row>
    <row r="3659">
      <c r="B3659" s="25" t="n"/>
      <c r="I3659" s="25" t="n"/>
      <c r="U3659" s="19">
        <f>IF($V3659&lt;&gt;'設定'!$C$4,N(U3658),IF(OR(NOT(COUNTIF('商品マスタ'!$B$6:$B$1005,$W3659)=0),COUNTIFS('①在庫を貼る'!$V$6:$V$10005,$V3659,'①在庫を貼る'!$W$6:$W$10005,$W3659)+COUNTIFS('月1回_1ヶ月前の在庫'!$V$6:$V$10005,$V3659,'月1回_1ヶ月前の在庫'!$W$6:$W$10005,$W3659)&gt;0),N(U3658),N(U3658)+1))</f>
        <v/>
      </c>
      <c r="V3659" s="19">
        <f>IF($B3659="","",TEXT($B3659,"0000"))</f>
        <v/>
      </c>
      <c r="W3659" s="19">
        <f>IF($I3659="","",IF(ISNUMBER($I3659),TEXT($I3659,"0"),$I3659))</f>
        <v/>
      </c>
    </row>
    <row r="3660">
      <c r="B3660" s="25" t="n"/>
      <c r="I3660" s="25" t="n"/>
      <c r="U3660" s="19">
        <f>IF($V3660&lt;&gt;'設定'!$C$4,N(U3659),IF(OR(NOT(COUNTIF('商品マスタ'!$B$6:$B$1005,$W3660)=0),COUNTIFS('①在庫を貼る'!$V$6:$V$10005,$V3660,'①在庫を貼る'!$W$6:$W$10005,$W3660)+COUNTIFS('月1回_1ヶ月前の在庫'!$V$6:$V$10005,$V3660,'月1回_1ヶ月前の在庫'!$W$6:$W$10005,$W3660)&gt;0),N(U3659),N(U3659)+1))</f>
        <v/>
      </c>
      <c r="V3660" s="19">
        <f>IF($B3660="","",TEXT($B3660,"0000"))</f>
        <v/>
      </c>
      <c r="W3660" s="19">
        <f>IF($I3660="","",IF(ISNUMBER($I3660),TEXT($I3660,"0"),$I3660))</f>
        <v/>
      </c>
    </row>
    <row r="3661">
      <c r="B3661" s="25" t="n"/>
      <c r="I3661" s="25" t="n"/>
      <c r="U3661" s="19">
        <f>IF($V3661&lt;&gt;'設定'!$C$4,N(U3660),IF(OR(NOT(COUNTIF('商品マスタ'!$B$6:$B$1005,$W3661)=0),COUNTIFS('①在庫を貼る'!$V$6:$V$10005,$V3661,'①在庫を貼る'!$W$6:$W$10005,$W3661)+COUNTIFS('月1回_1ヶ月前の在庫'!$V$6:$V$10005,$V3661,'月1回_1ヶ月前の在庫'!$W$6:$W$10005,$W3661)&gt;0),N(U3660),N(U3660)+1))</f>
        <v/>
      </c>
      <c r="V3661" s="19">
        <f>IF($B3661="","",TEXT($B3661,"0000"))</f>
        <v/>
      </c>
      <c r="W3661" s="19">
        <f>IF($I3661="","",IF(ISNUMBER($I3661),TEXT($I3661,"0"),$I3661))</f>
        <v/>
      </c>
    </row>
    <row r="3662">
      <c r="B3662" s="25" t="n"/>
      <c r="I3662" s="25" t="n"/>
      <c r="U3662" s="19">
        <f>IF($V3662&lt;&gt;'設定'!$C$4,N(U3661),IF(OR(NOT(COUNTIF('商品マスタ'!$B$6:$B$1005,$W3662)=0),COUNTIFS('①在庫を貼る'!$V$6:$V$10005,$V3662,'①在庫を貼る'!$W$6:$W$10005,$W3662)+COUNTIFS('月1回_1ヶ月前の在庫'!$V$6:$V$10005,$V3662,'月1回_1ヶ月前の在庫'!$W$6:$W$10005,$W3662)&gt;0),N(U3661),N(U3661)+1))</f>
        <v/>
      </c>
      <c r="V3662" s="19">
        <f>IF($B3662="","",TEXT($B3662,"0000"))</f>
        <v/>
      </c>
      <c r="W3662" s="19">
        <f>IF($I3662="","",IF(ISNUMBER($I3662),TEXT($I3662,"0"),$I3662))</f>
        <v/>
      </c>
    </row>
    <row r="3663">
      <c r="B3663" s="25" t="n"/>
      <c r="I3663" s="25" t="n"/>
      <c r="U3663" s="19">
        <f>IF($V3663&lt;&gt;'設定'!$C$4,N(U3662),IF(OR(NOT(COUNTIF('商品マスタ'!$B$6:$B$1005,$W3663)=0),COUNTIFS('①在庫を貼る'!$V$6:$V$10005,$V3663,'①在庫を貼る'!$W$6:$W$10005,$W3663)+COUNTIFS('月1回_1ヶ月前の在庫'!$V$6:$V$10005,$V3663,'月1回_1ヶ月前の在庫'!$W$6:$W$10005,$W3663)&gt;0),N(U3662),N(U3662)+1))</f>
        <v/>
      </c>
      <c r="V3663" s="19">
        <f>IF($B3663="","",TEXT($B3663,"0000"))</f>
        <v/>
      </c>
      <c r="W3663" s="19">
        <f>IF($I3663="","",IF(ISNUMBER($I3663),TEXT($I3663,"0"),$I3663))</f>
        <v/>
      </c>
    </row>
    <row r="3664">
      <c r="B3664" s="25" t="n"/>
      <c r="I3664" s="25" t="n"/>
      <c r="U3664" s="19">
        <f>IF($V3664&lt;&gt;'設定'!$C$4,N(U3663),IF(OR(NOT(COUNTIF('商品マスタ'!$B$6:$B$1005,$W3664)=0),COUNTIFS('①在庫を貼る'!$V$6:$V$10005,$V3664,'①在庫を貼る'!$W$6:$W$10005,$W3664)+COUNTIFS('月1回_1ヶ月前の在庫'!$V$6:$V$10005,$V3664,'月1回_1ヶ月前の在庫'!$W$6:$W$10005,$W3664)&gt;0),N(U3663),N(U3663)+1))</f>
        <v/>
      </c>
      <c r="V3664" s="19">
        <f>IF($B3664="","",TEXT($B3664,"0000"))</f>
        <v/>
      </c>
      <c r="W3664" s="19">
        <f>IF($I3664="","",IF(ISNUMBER($I3664),TEXT($I3664,"0"),$I3664))</f>
        <v/>
      </c>
    </row>
    <row r="3665">
      <c r="B3665" s="25" t="n"/>
      <c r="I3665" s="25" t="n"/>
      <c r="U3665" s="19">
        <f>IF($V3665&lt;&gt;'設定'!$C$4,N(U3664),IF(OR(NOT(COUNTIF('商品マスタ'!$B$6:$B$1005,$W3665)=0),COUNTIFS('①在庫を貼る'!$V$6:$V$10005,$V3665,'①在庫を貼る'!$W$6:$W$10005,$W3665)+COUNTIFS('月1回_1ヶ月前の在庫'!$V$6:$V$10005,$V3665,'月1回_1ヶ月前の在庫'!$W$6:$W$10005,$W3665)&gt;0),N(U3664),N(U3664)+1))</f>
        <v/>
      </c>
      <c r="V3665" s="19">
        <f>IF($B3665="","",TEXT($B3665,"0000"))</f>
        <v/>
      </c>
      <c r="W3665" s="19">
        <f>IF($I3665="","",IF(ISNUMBER($I3665),TEXT($I3665,"0"),$I3665))</f>
        <v/>
      </c>
    </row>
    <row r="3666">
      <c r="B3666" s="25" t="n"/>
      <c r="I3666" s="25" t="n"/>
      <c r="U3666" s="19">
        <f>IF($V3666&lt;&gt;'設定'!$C$4,N(U3665),IF(OR(NOT(COUNTIF('商品マスタ'!$B$6:$B$1005,$W3666)=0),COUNTIFS('①在庫を貼る'!$V$6:$V$10005,$V3666,'①在庫を貼る'!$W$6:$W$10005,$W3666)+COUNTIFS('月1回_1ヶ月前の在庫'!$V$6:$V$10005,$V3666,'月1回_1ヶ月前の在庫'!$W$6:$W$10005,$W3666)&gt;0),N(U3665),N(U3665)+1))</f>
        <v/>
      </c>
      <c r="V3666" s="19">
        <f>IF($B3666="","",TEXT($B3666,"0000"))</f>
        <v/>
      </c>
      <c r="W3666" s="19">
        <f>IF($I3666="","",IF(ISNUMBER($I3666),TEXT($I3666,"0"),$I3666))</f>
        <v/>
      </c>
    </row>
    <row r="3667">
      <c r="B3667" s="25" t="n"/>
      <c r="I3667" s="25" t="n"/>
      <c r="U3667" s="19">
        <f>IF($V3667&lt;&gt;'設定'!$C$4,N(U3666),IF(OR(NOT(COUNTIF('商品マスタ'!$B$6:$B$1005,$W3667)=0),COUNTIFS('①在庫を貼る'!$V$6:$V$10005,$V3667,'①在庫を貼る'!$W$6:$W$10005,$W3667)+COUNTIFS('月1回_1ヶ月前の在庫'!$V$6:$V$10005,$V3667,'月1回_1ヶ月前の在庫'!$W$6:$W$10005,$W3667)&gt;0),N(U3666),N(U3666)+1))</f>
        <v/>
      </c>
      <c r="V3667" s="19">
        <f>IF($B3667="","",TEXT($B3667,"0000"))</f>
        <v/>
      </c>
      <c r="W3667" s="19">
        <f>IF($I3667="","",IF(ISNUMBER($I3667),TEXT($I3667,"0"),$I3667))</f>
        <v/>
      </c>
    </row>
    <row r="3668">
      <c r="B3668" s="25" t="n"/>
      <c r="I3668" s="25" t="n"/>
      <c r="U3668" s="19">
        <f>IF($V3668&lt;&gt;'設定'!$C$4,N(U3667),IF(OR(NOT(COUNTIF('商品マスタ'!$B$6:$B$1005,$W3668)=0),COUNTIFS('①在庫を貼る'!$V$6:$V$10005,$V3668,'①在庫を貼る'!$W$6:$W$10005,$W3668)+COUNTIFS('月1回_1ヶ月前の在庫'!$V$6:$V$10005,$V3668,'月1回_1ヶ月前の在庫'!$W$6:$W$10005,$W3668)&gt;0),N(U3667),N(U3667)+1))</f>
        <v/>
      </c>
      <c r="V3668" s="19">
        <f>IF($B3668="","",TEXT($B3668,"0000"))</f>
        <v/>
      </c>
      <c r="W3668" s="19">
        <f>IF($I3668="","",IF(ISNUMBER($I3668),TEXT($I3668,"0"),$I3668))</f>
        <v/>
      </c>
    </row>
    <row r="3669">
      <c r="B3669" s="25" t="n"/>
      <c r="I3669" s="25" t="n"/>
      <c r="U3669" s="19">
        <f>IF($V3669&lt;&gt;'設定'!$C$4,N(U3668),IF(OR(NOT(COUNTIF('商品マスタ'!$B$6:$B$1005,$W3669)=0),COUNTIFS('①在庫を貼る'!$V$6:$V$10005,$V3669,'①在庫を貼る'!$W$6:$W$10005,$W3669)+COUNTIFS('月1回_1ヶ月前の在庫'!$V$6:$V$10005,$V3669,'月1回_1ヶ月前の在庫'!$W$6:$W$10005,$W3669)&gt;0),N(U3668),N(U3668)+1))</f>
        <v/>
      </c>
      <c r="V3669" s="19">
        <f>IF($B3669="","",TEXT($B3669,"0000"))</f>
        <v/>
      </c>
      <c r="W3669" s="19">
        <f>IF($I3669="","",IF(ISNUMBER($I3669),TEXT($I3669,"0"),$I3669))</f>
        <v/>
      </c>
    </row>
    <row r="3670">
      <c r="B3670" s="25" t="n"/>
      <c r="I3670" s="25" t="n"/>
      <c r="U3670" s="19">
        <f>IF($V3670&lt;&gt;'設定'!$C$4,N(U3669),IF(OR(NOT(COUNTIF('商品マスタ'!$B$6:$B$1005,$W3670)=0),COUNTIFS('①在庫を貼る'!$V$6:$V$10005,$V3670,'①在庫を貼る'!$W$6:$W$10005,$W3670)+COUNTIFS('月1回_1ヶ月前の在庫'!$V$6:$V$10005,$V3670,'月1回_1ヶ月前の在庫'!$W$6:$W$10005,$W3670)&gt;0),N(U3669),N(U3669)+1))</f>
        <v/>
      </c>
      <c r="V3670" s="19">
        <f>IF($B3670="","",TEXT($B3670,"0000"))</f>
        <v/>
      </c>
      <c r="W3670" s="19">
        <f>IF($I3670="","",IF(ISNUMBER($I3670),TEXT($I3670,"0"),$I3670))</f>
        <v/>
      </c>
    </row>
    <row r="3671">
      <c r="B3671" s="25" t="n"/>
      <c r="I3671" s="25" t="n"/>
      <c r="U3671" s="19">
        <f>IF($V3671&lt;&gt;'設定'!$C$4,N(U3670),IF(OR(NOT(COUNTIF('商品マスタ'!$B$6:$B$1005,$W3671)=0),COUNTIFS('①在庫を貼る'!$V$6:$V$10005,$V3671,'①在庫を貼る'!$W$6:$W$10005,$W3671)+COUNTIFS('月1回_1ヶ月前の在庫'!$V$6:$V$10005,$V3671,'月1回_1ヶ月前の在庫'!$W$6:$W$10005,$W3671)&gt;0),N(U3670),N(U3670)+1))</f>
        <v/>
      </c>
      <c r="V3671" s="19">
        <f>IF($B3671="","",TEXT($B3671,"0000"))</f>
        <v/>
      </c>
      <c r="W3671" s="19">
        <f>IF($I3671="","",IF(ISNUMBER($I3671),TEXT($I3671,"0"),$I3671))</f>
        <v/>
      </c>
    </row>
    <row r="3672">
      <c r="B3672" s="25" t="n"/>
      <c r="I3672" s="25" t="n"/>
      <c r="U3672" s="19">
        <f>IF($V3672&lt;&gt;'設定'!$C$4,N(U3671),IF(OR(NOT(COUNTIF('商品マスタ'!$B$6:$B$1005,$W3672)=0),COUNTIFS('①在庫を貼る'!$V$6:$V$10005,$V3672,'①在庫を貼る'!$W$6:$W$10005,$W3672)+COUNTIFS('月1回_1ヶ月前の在庫'!$V$6:$V$10005,$V3672,'月1回_1ヶ月前の在庫'!$W$6:$W$10005,$W3672)&gt;0),N(U3671),N(U3671)+1))</f>
        <v/>
      </c>
      <c r="V3672" s="19">
        <f>IF($B3672="","",TEXT($B3672,"0000"))</f>
        <v/>
      </c>
      <c r="W3672" s="19">
        <f>IF($I3672="","",IF(ISNUMBER($I3672),TEXT($I3672,"0"),$I3672))</f>
        <v/>
      </c>
    </row>
    <row r="3673">
      <c r="B3673" s="25" t="n"/>
      <c r="I3673" s="25" t="n"/>
      <c r="U3673" s="19">
        <f>IF($V3673&lt;&gt;'設定'!$C$4,N(U3672),IF(OR(NOT(COUNTIF('商品マスタ'!$B$6:$B$1005,$W3673)=0),COUNTIFS('①在庫を貼る'!$V$6:$V$10005,$V3673,'①在庫を貼る'!$W$6:$W$10005,$W3673)+COUNTIFS('月1回_1ヶ月前の在庫'!$V$6:$V$10005,$V3673,'月1回_1ヶ月前の在庫'!$W$6:$W$10005,$W3673)&gt;0),N(U3672),N(U3672)+1))</f>
        <v/>
      </c>
      <c r="V3673" s="19">
        <f>IF($B3673="","",TEXT($B3673,"0000"))</f>
        <v/>
      </c>
      <c r="W3673" s="19">
        <f>IF($I3673="","",IF(ISNUMBER($I3673),TEXT($I3673,"0"),$I3673))</f>
        <v/>
      </c>
    </row>
    <row r="3674">
      <c r="B3674" s="25" t="n"/>
      <c r="I3674" s="25" t="n"/>
      <c r="U3674" s="19">
        <f>IF($V3674&lt;&gt;'設定'!$C$4,N(U3673),IF(OR(NOT(COUNTIF('商品マスタ'!$B$6:$B$1005,$W3674)=0),COUNTIFS('①在庫を貼る'!$V$6:$V$10005,$V3674,'①在庫を貼る'!$W$6:$W$10005,$W3674)+COUNTIFS('月1回_1ヶ月前の在庫'!$V$6:$V$10005,$V3674,'月1回_1ヶ月前の在庫'!$W$6:$W$10005,$W3674)&gt;0),N(U3673),N(U3673)+1))</f>
        <v/>
      </c>
      <c r="V3674" s="19">
        <f>IF($B3674="","",TEXT($B3674,"0000"))</f>
        <v/>
      </c>
      <c r="W3674" s="19">
        <f>IF($I3674="","",IF(ISNUMBER($I3674),TEXT($I3674,"0"),$I3674))</f>
        <v/>
      </c>
    </row>
    <row r="3675">
      <c r="B3675" s="25" t="n"/>
      <c r="I3675" s="25" t="n"/>
      <c r="U3675" s="19">
        <f>IF($V3675&lt;&gt;'設定'!$C$4,N(U3674),IF(OR(NOT(COUNTIF('商品マスタ'!$B$6:$B$1005,$W3675)=0),COUNTIFS('①在庫を貼る'!$V$6:$V$10005,$V3675,'①在庫を貼る'!$W$6:$W$10005,$W3675)+COUNTIFS('月1回_1ヶ月前の在庫'!$V$6:$V$10005,$V3675,'月1回_1ヶ月前の在庫'!$W$6:$W$10005,$W3675)&gt;0),N(U3674),N(U3674)+1))</f>
        <v/>
      </c>
      <c r="V3675" s="19">
        <f>IF($B3675="","",TEXT($B3675,"0000"))</f>
        <v/>
      </c>
      <c r="W3675" s="19">
        <f>IF($I3675="","",IF(ISNUMBER($I3675),TEXT($I3675,"0"),$I3675))</f>
        <v/>
      </c>
    </row>
    <row r="3676">
      <c r="B3676" s="25" t="n"/>
      <c r="I3676" s="25" t="n"/>
      <c r="U3676" s="19">
        <f>IF($V3676&lt;&gt;'設定'!$C$4,N(U3675),IF(OR(NOT(COUNTIF('商品マスタ'!$B$6:$B$1005,$W3676)=0),COUNTIFS('①在庫を貼る'!$V$6:$V$10005,$V3676,'①在庫を貼る'!$W$6:$W$10005,$W3676)+COUNTIFS('月1回_1ヶ月前の在庫'!$V$6:$V$10005,$V3676,'月1回_1ヶ月前の在庫'!$W$6:$W$10005,$W3676)&gt;0),N(U3675),N(U3675)+1))</f>
        <v/>
      </c>
      <c r="V3676" s="19">
        <f>IF($B3676="","",TEXT($B3676,"0000"))</f>
        <v/>
      </c>
      <c r="W3676" s="19">
        <f>IF($I3676="","",IF(ISNUMBER($I3676),TEXT($I3676,"0"),$I3676))</f>
        <v/>
      </c>
    </row>
    <row r="3677">
      <c r="B3677" s="25" t="n"/>
      <c r="I3677" s="25" t="n"/>
      <c r="U3677" s="19">
        <f>IF($V3677&lt;&gt;'設定'!$C$4,N(U3676),IF(OR(NOT(COUNTIF('商品マスタ'!$B$6:$B$1005,$W3677)=0),COUNTIFS('①在庫を貼る'!$V$6:$V$10005,$V3677,'①在庫を貼る'!$W$6:$W$10005,$W3677)+COUNTIFS('月1回_1ヶ月前の在庫'!$V$6:$V$10005,$V3677,'月1回_1ヶ月前の在庫'!$W$6:$W$10005,$W3677)&gt;0),N(U3676),N(U3676)+1))</f>
        <v/>
      </c>
      <c r="V3677" s="19">
        <f>IF($B3677="","",TEXT($B3677,"0000"))</f>
        <v/>
      </c>
      <c r="W3677" s="19">
        <f>IF($I3677="","",IF(ISNUMBER($I3677),TEXT($I3677,"0"),$I3677))</f>
        <v/>
      </c>
    </row>
    <row r="3678">
      <c r="B3678" s="25" t="n"/>
      <c r="I3678" s="25" t="n"/>
      <c r="U3678" s="19">
        <f>IF($V3678&lt;&gt;'設定'!$C$4,N(U3677),IF(OR(NOT(COUNTIF('商品マスタ'!$B$6:$B$1005,$W3678)=0),COUNTIFS('①在庫を貼る'!$V$6:$V$10005,$V3678,'①在庫を貼る'!$W$6:$W$10005,$W3678)+COUNTIFS('月1回_1ヶ月前の在庫'!$V$6:$V$10005,$V3678,'月1回_1ヶ月前の在庫'!$W$6:$W$10005,$W3678)&gt;0),N(U3677),N(U3677)+1))</f>
        <v/>
      </c>
      <c r="V3678" s="19">
        <f>IF($B3678="","",TEXT($B3678,"0000"))</f>
        <v/>
      </c>
      <c r="W3678" s="19">
        <f>IF($I3678="","",IF(ISNUMBER($I3678),TEXT($I3678,"0"),$I3678))</f>
        <v/>
      </c>
    </row>
    <row r="3679">
      <c r="B3679" s="25" t="n"/>
      <c r="I3679" s="25" t="n"/>
      <c r="U3679" s="19">
        <f>IF($V3679&lt;&gt;'設定'!$C$4,N(U3678),IF(OR(NOT(COUNTIF('商品マスタ'!$B$6:$B$1005,$W3679)=0),COUNTIFS('①在庫を貼る'!$V$6:$V$10005,$V3679,'①在庫を貼る'!$W$6:$W$10005,$W3679)+COUNTIFS('月1回_1ヶ月前の在庫'!$V$6:$V$10005,$V3679,'月1回_1ヶ月前の在庫'!$W$6:$W$10005,$W3679)&gt;0),N(U3678),N(U3678)+1))</f>
        <v/>
      </c>
      <c r="V3679" s="19">
        <f>IF($B3679="","",TEXT($B3679,"0000"))</f>
        <v/>
      </c>
      <c r="W3679" s="19">
        <f>IF($I3679="","",IF(ISNUMBER($I3679),TEXT($I3679,"0"),$I3679))</f>
        <v/>
      </c>
    </row>
    <row r="3680">
      <c r="B3680" s="25" t="n"/>
      <c r="I3680" s="25" t="n"/>
      <c r="U3680" s="19">
        <f>IF($V3680&lt;&gt;'設定'!$C$4,N(U3679),IF(OR(NOT(COUNTIF('商品マスタ'!$B$6:$B$1005,$W3680)=0),COUNTIFS('①在庫を貼る'!$V$6:$V$10005,$V3680,'①在庫を貼る'!$W$6:$W$10005,$W3680)+COUNTIFS('月1回_1ヶ月前の在庫'!$V$6:$V$10005,$V3680,'月1回_1ヶ月前の在庫'!$W$6:$W$10005,$W3680)&gt;0),N(U3679),N(U3679)+1))</f>
        <v/>
      </c>
      <c r="V3680" s="19">
        <f>IF($B3680="","",TEXT($B3680,"0000"))</f>
        <v/>
      </c>
      <c r="W3680" s="19">
        <f>IF($I3680="","",IF(ISNUMBER($I3680),TEXT($I3680,"0"),$I3680))</f>
        <v/>
      </c>
    </row>
    <row r="3681">
      <c r="B3681" s="25" t="n"/>
      <c r="I3681" s="25" t="n"/>
      <c r="U3681" s="19">
        <f>IF($V3681&lt;&gt;'設定'!$C$4,N(U3680),IF(OR(NOT(COUNTIF('商品マスタ'!$B$6:$B$1005,$W3681)=0),COUNTIFS('①在庫を貼る'!$V$6:$V$10005,$V3681,'①在庫を貼る'!$W$6:$W$10005,$W3681)+COUNTIFS('月1回_1ヶ月前の在庫'!$V$6:$V$10005,$V3681,'月1回_1ヶ月前の在庫'!$W$6:$W$10005,$W3681)&gt;0),N(U3680),N(U3680)+1))</f>
        <v/>
      </c>
      <c r="V3681" s="19">
        <f>IF($B3681="","",TEXT($B3681,"0000"))</f>
        <v/>
      </c>
      <c r="W3681" s="19">
        <f>IF($I3681="","",IF(ISNUMBER($I3681),TEXT($I3681,"0"),$I3681))</f>
        <v/>
      </c>
    </row>
    <row r="3682">
      <c r="B3682" s="25" t="n"/>
      <c r="I3682" s="25" t="n"/>
      <c r="U3682" s="19">
        <f>IF($V3682&lt;&gt;'設定'!$C$4,N(U3681),IF(OR(NOT(COUNTIF('商品マスタ'!$B$6:$B$1005,$W3682)=0),COUNTIFS('①在庫を貼る'!$V$6:$V$10005,$V3682,'①在庫を貼る'!$W$6:$W$10005,$W3682)+COUNTIFS('月1回_1ヶ月前の在庫'!$V$6:$V$10005,$V3682,'月1回_1ヶ月前の在庫'!$W$6:$W$10005,$W3682)&gt;0),N(U3681),N(U3681)+1))</f>
        <v/>
      </c>
      <c r="V3682" s="19">
        <f>IF($B3682="","",TEXT($B3682,"0000"))</f>
        <v/>
      </c>
      <c r="W3682" s="19">
        <f>IF($I3682="","",IF(ISNUMBER($I3682),TEXT($I3682,"0"),$I3682))</f>
        <v/>
      </c>
    </row>
    <row r="3683">
      <c r="B3683" s="25" t="n"/>
      <c r="I3683" s="25" t="n"/>
      <c r="U3683" s="19">
        <f>IF($V3683&lt;&gt;'設定'!$C$4,N(U3682),IF(OR(NOT(COUNTIF('商品マスタ'!$B$6:$B$1005,$W3683)=0),COUNTIFS('①在庫を貼る'!$V$6:$V$10005,$V3683,'①在庫を貼る'!$W$6:$W$10005,$W3683)+COUNTIFS('月1回_1ヶ月前の在庫'!$V$6:$V$10005,$V3683,'月1回_1ヶ月前の在庫'!$W$6:$W$10005,$W3683)&gt;0),N(U3682),N(U3682)+1))</f>
        <v/>
      </c>
      <c r="V3683" s="19">
        <f>IF($B3683="","",TEXT($B3683,"0000"))</f>
        <v/>
      </c>
      <c r="W3683" s="19">
        <f>IF($I3683="","",IF(ISNUMBER($I3683),TEXT($I3683,"0"),$I3683))</f>
        <v/>
      </c>
    </row>
    <row r="3684">
      <c r="B3684" s="25" t="n"/>
      <c r="I3684" s="25" t="n"/>
      <c r="U3684" s="19">
        <f>IF($V3684&lt;&gt;'設定'!$C$4,N(U3683),IF(OR(NOT(COUNTIF('商品マスタ'!$B$6:$B$1005,$W3684)=0),COUNTIFS('①在庫を貼る'!$V$6:$V$10005,$V3684,'①在庫を貼る'!$W$6:$W$10005,$W3684)+COUNTIFS('月1回_1ヶ月前の在庫'!$V$6:$V$10005,$V3684,'月1回_1ヶ月前の在庫'!$W$6:$W$10005,$W3684)&gt;0),N(U3683),N(U3683)+1))</f>
        <v/>
      </c>
      <c r="V3684" s="19">
        <f>IF($B3684="","",TEXT($B3684,"0000"))</f>
        <v/>
      </c>
      <c r="W3684" s="19">
        <f>IF($I3684="","",IF(ISNUMBER($I3684),TEXT($I3684,"0"),$I3684))</f>
        <v/>
      </c>
    </row>
    <row r="3685">
      <c r="B3685" s="25" t="n"/>
      <c r="I3685" s="25" t="n"/>
      <c r="U3685" s="19">
        <f>IF($V3685&lt;&gt;'設定'!$C$4,N(U3684),IF(OR(NOT(COUNTIF('商品マスタ'!$B$6:$B$1005,$W3685)=0),COUNTIFS('①在庫を貼る'!$V$6:$V$10005,$V3685,'①在庫を貼る'!$W$6:$W$10005,$W3685)+COUNTIFS('月1回_1ヶ月前の在庫'!$V$6:$V$10005,$V3685,'月1回_1ヶ月前の在庫'!$W$6:$W$10005,$W3685)&gt;0),N(U3684),N(U3684)+1))</f>
        <v/>
      </c>
      <c r="V3685" s="19">
        <f>IF($B3685="","",TEXT($B3685,"0000"))</f>
        <v/>
      </c>
      <c r="W3685" s="19">
        <f>IF($I3685="","",IF(ISNUMBER($I3685),TEXT($I3685,"0"),$I3685))</f>
        <v/>
      </c>
    </row>
    <row r="3686">
      <c r="B3686" s="25" t="n"/>
      <c r="I3686" s="25" t="n"/>
      <c r="U3686" s="19">
        <f>IF($V3686&lt;&gt;'設定'!$C$4,N(U3685),IF(OR(NOT(COUNTIF('商品マスタ'!$B$6:$B$1005,$W3686)=0),COUNTIFS('①在庫を貼る'!$V$6:$V$10005,$V3686,'①在庫を貼る'!$W$6:$W$10005,$W3686)+COUNTIFS('月1回_1ヶ月前の在庫'!$V$6:$V$10005,$V3686,'月1回_1ヶ月前の在庫'!$W$6:$W$10005,$W3686)&gt;0),N(U3685),N(U3685)+1))</f>
        <v/>
      </c>
      <c r="V3686" s="19">
        <f>IF($B3686="","",TEXT($B3686,"0000"))</f>
        <v/>
      </c>
      <c r="W3686" s="19">
        <f>IF($I3686="","",IF(ISNUMBER($I3686),TEXT($I3686,"0"),$I3686))</f>
        <v/>
      </c>
    </row>
    <row r="3687">
      <c r="B3687" s="25" t="n"/>
      <c r="I3687" s="25" t="n"/>
      <c r="U3687" s="19">
        <f>IF($V3687&lt;&gt;'設定'!$C$4,N(U3686),IF(OR(NOT(COUNTIF('商品マスタ'!$B$6:$B$1005,$W3687)=0),COUNTIFS('①在庫を貼る'!$V$6:$V$10005,$V3687,'①在庫を貼る'!$W$6:$W$10005,$W3687)+COUNTIFS('月1回_1ヶ月前の在庫'!$V$6:$V$10005,$V3687,'月1回_1ヶ月前の在庫'!$W$6:$W$10005,$W3687)&gt;0),N(U3686),N(U3686)+1))</f>
        <v/>
      </c>
      <c r="V3687" s="19">
        <f>IF($B3687="","",TEXT($B3687,"0000"))</f>
        <v/>
      </c>
      <c r="W3687" s="19">
        <f>IF($I3687="","",IF(ISNUMBER($I3687),TEXT($I3687,"0"),$I3687))</f>
        <v/>
      </c>
    </row>
    <row r="3688">
      <c r="B3688" s="25" t="n"/>
      <c r="I3688" s="25" t="n"/>
      <c r="U3688" s="19">
        <f>IF($V3688&lt;&gt;'設定'!$C$4,N(U3687),IF(OR(NOT(COUNTIF('商品マスタ'!$B$6:$B$1005,$W3688)=0),COUNTIFS('①在庫を貼る'!$V$6:$V$10005,$V3688,'①在庫を貼る'!$W$6:$W$10005,$W3688)+COUNTIFS('月1回_1ヶ月前の在庫'!$V$6:$V$10005,$V3688,'月1回_1ヶ月前の在庫'!$W$6:$W$10005,$W3688)&gt;0),N(U3687),N(U3687)+1))</f>
        <v/>
      </c>
      <c r="V3688" s="19">
        <f>IF($B3688="","",TEXT($B3688,"0000"))</f>
        <v/>
      </c>
      <c r="W3688" s="19">
        <f>IF($I3688="","",IF(ISNUMBER($I3688),TEXT($I3688,"0"),$I3688))</f>
        <v/>
      </c>
    </row>
    <row r="3689">
      <c r="B3689" s="25" t="n"/>
      <c r="I3689" s="25" t="n"/>
      <c r="U3689" s="19">
        <f>IF($V3689&lt;&gt;'設定'!$C$4,N(U3688),IF(OR(NOT(COUNTIF('商品マスタ'!$B$6:$B$1005,$W3689)=0),COUNTIFS('①在庫を貼る'!$V$6:$V$10005,$V3689,'①在庫を貼る'!$W$6:$W$10005,$W3689)+COUNTIFS('月1回_1ヶ月前の在庫'!$V$6:$V$10005,$V3689,'月1回_1ヶ月前の在庫'!$W$6:$W$10005,$W3689)&gt;0),N(U3688),N(U3688)+1))</f>
        <v/>
      </c>
      <c r="V3689" s="19">
        <f>IF($B3689="","",TEXT($B3689,"0000"))</f>
        <v/>
      </c>
      <c r="W3689" s="19">
        <f>IF($I3689="","",IF(ISNUMBER($I3689),TEXT($I3689,"0"),$I3689))</f>
        <v/>
      </c>
    </row>
    <row r="3690">
      <c r="B3690" s="25" t="n"/>
      <c r="I3690" s="25" t="n"/>
      <c r="U3690" s="19">
        <f>IF($V3690&lt;&gt;'設定'!$C$4,N(U3689),IF(OR(NOT(COUNTIF('商品マスタ'!$B$6:$B$1005,$W3690)=0),COUNTIFS('①在庫を貼る'!$V$6:$V$10005,$V3690,'①在庫を貼る'!$W$6:$W$10005,$W3690)+COUNTIFS('月1回_1ヶ月前の在庫'!$V$6:$V$10005,$V3690,'月1回_1ヶ月前の在庫'!$W$6:$W$10005,$W3690)&gt;0),N(U3689),N(U3689)+1))</f>
        <v/>
      </c>
      <c r="V3690" s="19">
        <f>IF($B3690="","",TEXT($B3690,"0000"))</f>
        <v/>
      </c>
      <c r="W3690" s="19">
        <f>IF($I3690="","",IF(ISNUMBER($I3690),TEXT($I3690,"0"),$I3690))</f>
        <v/>
      </c>
    </row>
    <row r="3691">
      <c r="B3691" s="25" t="n"/>
      <c r="I3691" s="25" t="n"/>
      <c r="U3691" s="19">
        <f>IF($V3691&lt;&gt;'設定'!$C$4,N(U3690),IF(OR(NOT(COUNTIF('商品マスタ'!$B$6:$B$1005,$W3691)=0),COUNTIFS('①在庫を貼る'!$V$6:$V$10005,$V3691,'①在庫を貼る'!$W$6:$W$10005,$W3691)+COUNTIFS('月1回_1ヶ月前の在庫'!$V$6:$V$10005,$V3691,'月1回_1ヶ月前の在庫'!$W$6:$W$10005,$W3691)&gt;0),N(U3690),N(U3690)+1))</f>
        <v/>
      </c>
      <c r="V3691" s="19">
        <f>IF($B3691="","",TEXT($B3691,"0000"))</f>
        <v/>
      </c>
      <c r="W3691" s="19">
        <f>IF($I3691="","",IF(ISNUMBER($I3691),TEXT($I3691,"0"),$I3691))</f>
        <v/>
      </c>
    </row>
    <row r="3692">
      <c r="B3692" s="25" t="n"/>
      <c r="I3692" s="25" t="n"/>
      <c r="U3692" s="19">
        <f>IF($V3692&lt;&gt;'設定'!$C$4,N(U3691),IF(OR(NOT(COUNTIF('商品マスタ'!$B$6:$B$1005,$W3692)=0),COUNTIFS('①在庫を貼る'!$V$6:$V$10005,$V3692,'①在庫を貼る'!$W$6:$W$10005,$W3692)+COUNTIFS('月1回_1ヶ月前の在庫'!$V$6:$V$10005,$V3692,'月1回_1ヶ月前の在庫'!$W$6:$W$10005,$W3692)&gt;0),N(U3691),N(U3691)+1))</f>
        <v/>
      </c>
      <c r="V3692" s="19">
        <f>IF($B3692="","",TEXT($B3692,"0000"))</f>
        <v/>
      </c>
      <c r="W3692" s="19">
        <f>IF($I3692="","",IF(ISNUMBER($I3692),TEXT($I3692,"0"),$I3692))</f>
        <v/>
      </c>
    </row>
    <row r="3693">
      <c r="B3693" s="25" t="n"/>
      <c r="I3693" s="25" t="n"/>
      <c r="U3693" s="19">
        <f>IF($V3693&lt;&gt;'設定'!$C$4,N(U3692),IF(OR(NOT(COUNTIF('商品マスタ'!$B$6:$B$1005,$W3693)=0),COUNTIFS('①在庫を貼る'!$V$6:$V$10005,$V3693,'①在庫を貼る'!$W$6:$W$10005,$W3693)+COUNTIFS('月1回_1ヶ月前の在庫'!$V$6:$V$10005,$V3693,'月1回_1ヶ月前の在庫'!$W$6:$W$10005,$W3693)&gt;0),N(U3692),N(U3692)+1))</f>
        <v/>
      </c>
      <c r="V3693" s="19">
        <f>IF($B3693="","",TEXT($B3693,"0000"))</f>
        <v/>
      </c>
      <c r="W3693" s="19">
        <f>IF($I3693="","",IF(ISNUMBER($I3693),TEXT($I3693,"0"),$I3693))</f>
        <v/>
      </c>
    </row>
    <row r="3694">
      <c r="B3694" s="25" t="n"/>
      <c r="I3694" s="25" t="n"/>
      <c r="U3694" s="19">
        <f>IF($V3694&lt;&gt;'設定'!$C$4,N(U3693),IF(OR(NOT(COUNTIF('商品マスタ'!$B$6:$B$1005,$W3694)=0),COUNTIFS('①在庫を貼る'!$V$6:$V$10005,$V3694,'①在庫を貼る'!$W$6:$W$10005,$W3694)+COUNTIFS('月1回_1ヶ月前の在庫'!$V$6:$V$10005,$V3694,'月1回_1ヶ月前の在庫'!$W$6:$W$10005,$W3694)&gt;0),N(U3693),N(U3693)+1))</f>
        <v/>
      </c>
      <c r="V3694" s="19">
        <f>IF($B3694="","",TEXT($B3694,"0000"))</f>
        <v/>
      </c>
      <c r="W3694" s="19">
        <f>IF($I3694="","",IF(ISNUMBER($I3694),TEXT($I3694,"0"),$I3694))</f>
        <v/>
      </c>
    </row>
    <row r="3695">
      <c r="B3695" s="25" t="n"/>
      <c r="I3695" s="25" t="n"/>
      <c r="U3695" s="19">
        <f>IF($V3695&lt;&gt;'設定'!$C$4,N(U3694),IF(OR(NOT(COUNTIF('商品マスタ'!$B$6:$B$1005,$W3695)=0),COUNTIFS('①在庫を貼る'!$V$6:$V$10005,$V3695,'①在庫を貼る'!$W$6:$W$10005,$W3695)+COUNTIFS('月1回_1ヶ月前の在庫'!$V$6:$V$10005,$V3695,'月1回_1ヶ月前の在庫'!$W$6:$W$10005,$W3695)&gt;0),N(U3694),N(U3694)+1))</f>
        <v/>
      </c>
      <c r="V3695" s="19">
        <f>IF($B3695="","",TEXT($B3695,"0000"))</f>
        <v/>
      </c>
      <c r="W3695" s="19">
        <f>IF($I3695="","",IF(ISNUMBER($I3695),TEXT($I3695,"0"),$I3695))</f>
        <v/>
      </c>
    </row>
    <row r="3696">
      <c r="B3696" s="25" t="n"/>
      <c r="I3696" s="25" t="n"/>
      <c r="U3696" s="19">
        <f>IF($V3696&lt;&gt;'設定'!$C$4,N(U3695),IF(OR(NOT(COUNTIF('商品マスタ'!$B$6:$B$1005,$W3696)=0),COUNTIFS('①在庫を貼る'!$V$6:$V$10005,$V3696,'①在庫を貼る'!$W$6:$W$10005,$W3696)+COUNTIFS('月1回_1ヶ月前の在庫'!$V$6:$V$10005,$V3696,'月1回_1ヶ月前の在庫'!$W$6:$W$10005,$W3696)&gt;0),N(U3695),N(U3695)+1))</f>
        <v/>
      </c>
      <c r="V3696" s="19">
        <f>IF($B3696="","",TEXT($B3696,"0000"))</f>
        <v/>
      </c>
      <c r="W3696" s="19">
        <f>IF($I3696="","",IF(ISNUMBER($I3696),TEXT($I3696,"0"),$I3696))</f>
        <v/>
      </c>
    </row>
    <row r="3697">
      <c r="B3697" s="25" t="n"/>
      <c r="I3697" s="25" t="n"/>
      <c r="U3697" s="19">
        <f>IF($V3697&lt;&gt;'設定'!$C$4,N(U3696),IF(OR(NOT(COUNTIF('商品マスタ'!$B$6:$B$1005,$W3697)=0),COUNTIFS('①在庫を貼る'!$V$6:$V$10005,$V3697,'①在庫を貼る'!$W$6:$W$10005,$W3697)+COUNTIFS('月1回_1ヶ月前の在庫'!$V$6:$V$10005,$V3697,'月1回_1ヶ月前の在庫'!$W$6:$W$10005,$W3697)&gt;0),N(U3696),N(U3696)+1))</f>
        <v/>
      </c>
      <c r="V3697" s="19">
        <f>IF($B3697="","",TEXT($B3697,"0000"))</f>
        <v/>
      </c>
      <c r="W3697" s="19">
        <f>IF($I3697="","",IF(ISNUMBER($I3697),TEXT($I3697,"0"),$I3697))</f>
        <v/>
      </c>
    </row>
    <row r="3698">
      <c r="B3698" s="25" t="n"/>
      <c r="I3698" s="25" t="n"/>
      <c r="U3698" s="19">
        <f>IF($V3698&lt;&gt;'設定'!$C$4,N(U3697),IF(OR(NOT(COUNTIF('商品マスタ'!$B$6:$B$1005,$W3698)=0),COUNTIFS('①在庫を貼る'!$V$6:$V$10005,$V3698,'①在庫を貼る'!$W$6:$W$10005,$W3698)+COUNTIFS('月1回_1ヶ月前の在庫'!$V$6:$V$10005,$V3698,'月1回_1ヶ月前の在庫'!$W$6:$W$10005,$W3698)&gt;0),N(U3697),N(U3697)+1))</f>
        <v/>
      </c>
      <c r="V3698" s="19">
        <f>IF($B3698="","",TEXT($B3698,"0000"))</f>
        <v/>
      </c>
      <c r="W3698" s="19">
        <f>IF($I3698="","",IF(ISNUMBER($I3698),TEXT($I3698,"0"),$I3698))</f>
        <v/>
      </c>
    </row>
    <row r="3699">
      <c r="B3699" s="25" t="n"/>
      <c r="I3699" s="25" t="n"/>
      <c r="U3699" s="19">
        <f>IF($V3699&lt;&gt;'設定'!$C$4,N(U3698),IF(OR(NOT(COUNTIF('商品マスタ'!$B$6:$B$1005,$W3699)=0),COUNTIFS('①在庫を貼る'!$V$6:$V$10005,$V3699,'①在庫を貼る'!$W$6:$W$10005,$W3699)+COUNTIFS('月1回_1ヶ月前の在庫'!$V$6:$V$10005,$V3699,'月1回_1ヶ月前の在庫'!$W$6:$W$10005,$W3699)&gt;0),N(U3698),N(U3698)+1))</f>
        <v/>
      </c>
      <c r="V3699" s="19">
        <f>IF($B3699="","",TEXT($B3699,"0000"))</f>
        <v/>
      </c>
      <c r="W3699" s="19">
        <f>IF($I3699="","",IF(ISNUMBER($I3699),TEXT($I3699,"0"),$I3699))</f>
        <v/>
      </c>
    </row>
    <row r="3700">
      <c r="B3700" s="25" t="n"/>
      <c r="I3700" s="25" t="n"/>
      <c r="U3700" s="19">
        <f>IF($V3700&lt;&gt;'設定'!$C$4,N(U3699),IF(OR(NOT(COUNTIF('商品マスタ'!$B$6:$B$1005,$W3700)=0),COUNTIFS('①在庫を貼る'!$V$6:$V$10005,$V3700,'①在庫を貼る'!$W$6:$W$10005,$W3700)+COUNTIFS('月1回_1ヶ月前の在庫'!$V$6:$V$10005,$V3700,'月1回_1ヶ月前の在庫'!$W$6:$W$10005,$W3700)&gt;0),N(U3699),N(U3699)+1))</f>
        <v/>
      </c>
      <c r="V3700" s="19">
        <f>IF($B3700="","",TEXT($B3700,"0000"))</f>
        <v/>
      </c>
      <c r="W3700" s="19">
        <f>IF($I3700="","",IF(ISNUMBER($I3700),TEXT($I3700,"0"),$I3700))</f>
        <v/>
      </c>
    </row>
    <row r="3701">
      <c r="B3701" s="25" t="n"/>
      <c r="I3701" s="25" t="n"/>
      <c r="U3701" s="19">
        <f>IF($V3701&lt;&gt;'設定'!$C$4,N(U3700),IF(OR(NOT(COUNTIF('商品マスタ'!$B$6:$B$1005,$W3701)=0),COUNTIFS('①在庫を貼る'!$V$6:$V$10005,$V3701,'①在庫を貼る'!$W$6:$W$10005,$W3701)+COUNTIFS('月1回_1ヶ月前の在庫'!$V$6:$V$10005,$V3701,'月1回_1ヶ月前の在庫'!$W$6:$W$10005,$W3701)&gt;0),N(U3700),N(U3700)+1))</f>
        <v/>
      </c>
      <c r="V3701" s="19">
        <f>IF($B3701="","",TEXT($B3701,"0000"))</f>
        <v/>
      </c>
      <c r="W3701" s="19">
        <f>IF($I3701="","",IF(ISNUMBER($I3701),TEXT($I3701,"0"),$I3701))</f>
        <v/>
      </c>
    </row>
    <row r="3702">
      <c r="B3702" s="25" t="n"/>
      <c r="I3702" s="25" t="n"/>
      <c r="U3702" s="19">
        <f>IF($V3702&lt;&gt;'設定'!$C$4,N(U3701),IF(OR(NOT(COUNTIF('商品マスタ'!$B$6:$B$1005,$W3702)=0),COUNTIFS('①在庫を貼る'!$V$6:$V$10005,$V3702,'①在庫を貼る'!$W$6:$W$10005,$W3702)+COUNTIFS('月1回_1ヶ月前の在庫'!$V$6:$V$10005,$V3702,'月1回_1ヶ月前の在庫'!$W$6:$W$10005,$W3702)&gt;0),N(U3701),N(U3701)+1))</f>
        <v/>
      </c>
      <c r="V3702" s="19">
        <f>IF($B3702="","",TEXT($B3702,"0000"))</f>
        <v/>
      </c>
      <c r="W3702" s="19">
        <f>IF($I3702="","",IF(ISNUMBER($I3702),TEXT($I3702,"0"),$I3702))</f>
        <v/>
      </c>
    </row>
    <row r="3703">
      <c r="B3703" s="25" t="n"/>
      <c r="I3703" s="25" t="n"/>
      <c r="U3703" s="19">
        <f>IF($V3703&lt;&gt;'設定'!$C$4,N(U3702),IF(OR(NOT(COUNTIF('商品マスタ'!$B$6:$B$1005,$W3703)=0),COUNTIFS('①在庫を貼る'!$V$6:$V$10005,$V3703,'①在庫を貼る'!$W$6:$W$10005,$W3703)+COUNTIFS('月1回_1ヶ月前の在庫'!$V$6:$V$10005,$V3703,'月1回_1ヶ月前の在庫'!$W$6:$W$10005,$W3703)&gt;0),N(U3702),N(U3702)+1))</f>
        <v/>
      </c>
      <c r="V3703" s="19">
        <f>IF($B3703="","",TEXT($B3703,"0000"))</f>
        <v/>
      </c>
      <c r="W3703" s="19">
        <f>IF($I3703="","",IF(ISNUMBER($I3703),TEXT($I3703,"0"),$I3703))</f>
        <v/>
      </c>
    </row>
    <row r="3704">
      <c r="B3704" s="25" t="n"/>
      <c r="I3704" s="25" t="n"/>
      <c r="U3704" s="19">
        <f>IF($V3704&lt;&gt;'設定'!$C$4,N(U3703),IF(OR(NOT(COUNTIF('商品マスタ'!$B$6:$B$1005,$W3704)=0),COUNTIFS('①在庫を貼る'!$V$6:$V$10005,$V3704,'①在庫を貼る'!$W$6:$W$10005,$W3704)+COUNTIFS('月1回_1ヶ月前の在庫'!$V$6:$V$10005,$V3704,'月1回_1ヶ月前の在庫'!$W$6:$W$10005,$W3704)&gt;0),N(U3703),N(U3703)+1))</f>
        <v/>
      </c>
      <c r="V3704" s="19">
        <f>IF($B3704="","",TEXT($B3704,"0000"))</f>
        <v/>
      </c>
      <c r="W3704" s="19">
        <f>IF($I3704="","",IF(ISNUMBER($I3704),TEXT($I3704,"0"),$I3704))</f>
        <v/>
      </c>
    </row>
    <row r="3705">
      <c r="B3705" s="25" t="n"/>
      <c r="I3705" s="25" t="n"/>
      <c r="U3705" s="19">
        <f>IF($V3705&lt;&gt;'設定'!$C$4,N(U3704),IF(OR(NOT(COUNTIF('商品マスタ'!$B$6:$B$1005,$W3705)=0),COUNTIFS('①在庫を貼る'!$V$6:$V$10005,$V3705,'①在庫を貼る'!$W$6:$W$10005,$W3705)+COUNTIFS('月1回_1ヶ月前の在庫'!$V$6:$V$10005,$V3705,'月1回_1ヶ月前の在庫'!$W$6:$W$10005,$W3705)&gt;0),N(U3704),N(U3704)+1))</f>
        <v/>
      </c>
      <c r="V3705" s="19">
        <f>IF($B3705="","",TEXT($B3705,"0000"))</f>
        <v/>
      </c>
      <c r="W3705" s="19">
        <f>IF($I3705="","",IF(ISNUMBER($I3705),TEXT($I3705,"0"),$I3705))</f>
        <v/>
      </c>
    </row>
    <row r="3706">
      <c r="B3706" s="25" t="n"/>
      <c r="I3706" s="25" t="n"/>
      <c r="U3706" s="19">
        <f>IF($V3706&lt;&gt;'設定'!$C$4,N(U3705),IF(OR(NOT(COUNTIF('商品マスタ'!$B$6:$B$1005,$W3706)=0),COUNTIFS('①在庫を貼る'!$V$6:$V$10005,$V3706,'①在庫を貼る'!$W$6:$W$10005,$W3706)+COUNTIFS('月1回_1ヶ月前の在庫'!$V$6:$V$10005,$V3706,'月1回_1ヶ月前の在庫'!$W$6:$W$10005,$W3706)&gt;0),N(U3705),N(U3705)+1))</f>
        <v/>
      </c>
      <c r="V3706" s="19">
        <f>IF($B3706="","",TEXT($B3706,"0000"))</f>
        <v/>
      </c>
      <c r="W3706" s="19">
        <f>IF($I3706="","",IF(ISNUMBER($I3706),TEXT($I3706,"0"),$I3706))</f>
        <v/>
      </c>
    </row>
    <row r="3707">
      <c r="B3707" s="25" t="n"/>
      <c r="I3707" s="25" t="n"/>
      <c r="U3707" s="19">
        <f>IF($V3707&lt;&gt;'設定'!$C$4,N(U3706),IF(OR(NOT(COUNTIF('商品マスタ'!$B$6:$B$1005,$W3707)=0),COUNTIFS('①在庫を貼る'!$V$6:$V$10005,$V3707,'①在庫を貼る'!$W$6:$W$10005,$W3707)+COUNTIFS('月1回_1ヶ月前の在庫'!$V$6:$V$10005,$V3707,'月1回_1ヶ月前の在庫'!$W$6:$W$10005,$W3707)&gt;0),N(U3706),N(U3706)+1))</f>
        <v/>
      </c>
      <c r="V3707" s="19">
        <f>IF($B3707="","",TEXT($B3707,"0000"))</f>
        <v/>
      </c>
      <c r="W3707" s="19">
        <f>IF($I3707="","",IF(ISNUMBER($I3707),TEXT($I3707,"0"),$I3707))</f>
        <v/>
      </c>
    </row>
    <row r="3708">
      <c r="B3708" s="25" t="n"/>
      <c r="I3708" s="25" t="n"/>
      <c r="U3708" s="19">
        <f>IF($V3708&lt;&gt;'設定'!$C$4,N(U3707),IF(OR(NOT(COUNTIF('商品マスタ'!$B$6:$B$1005,$W3708)=0),COUNTIFS('①在庫を貼る'!$V$6:$V$10005,$V3708,'①在庫を貼る'!$W$6:$W$10005,$W3708)+COUNTIFS('月1回_1ヶ月前の在庫'!$V$6:$V$10005,$V3708,'月1回_1ヶ月前の在庫'!$W$6:$W$10005,$W3708)&gt;0),N(U3707),N(U3707)+1))</f>
        <v/>
      </c>
      <c r="V3708" s="19">
        <f>IF($B3708="","",TEXT($B3708,"0000"))</f>
        <v/>
      </c>
      <c r="W3708" s="19">
        <f>IF($I3708="","",IF(ISNUMBER($I3708),TEXT($I3708,"0"),$I3708))</f>
        <v/>
      </c>
    </row>
    <row r="3709">
      <c r="B3709" s="25" t="n"/>
      <c r="I3709" s="25" t="n"/>
      <c r="U3709" s="19">
        <f>IF($V3709&lt;&gt;'設定'!$C$4,N(U3708),IF(OR(NOT(COUNTIF('商品マスタ'!$B$6:$B$1005,$W3709)=0),COUNTIFS('①在庫を貼る'!$V$6:$V$10005,$V3709,'①在庫を貼る'!$W$6:$W$10005,$W3709)+COUNTIFS('月1回_1ヶ月前の在庫'!$V$6:$V$10005,$V3709,'月1回_1ヶ月前の在庫'!$W$6:$W$10005,$W3709)&gt;0),N(U3708),N(U3708)+1))</f>
        <v/>
      </c>
      <c r="V3709" s="19">
        <f>IF($B3709="","",TEXT($B3709,"0000"))</f>
        <v/>
      </c>
      <c r="W3709" s="19">
        <f>IF($I3709="","",IF(ISNUMBER($I3709),TEXT($I3709,"0"),$I3709))</f>
        <v/>
      </c>
    </row>
    <row r="3710">
      <c r="B3710" s="25" t="n"/>
      <c r="I3710" s="25" t="n"/>
      <c r="U3710" s="19">
        <f>IF($V3710&lt;&gt;'設定'!$C$4,N(U3709),IF(OR(NOT(COUNTIF('商品マスタ'!$B$6:$B$1005,$W3710)=0),COUNTIFS('①在庫を貼る'!$V$6:$V$10005,$V3710,'①在庫を貼る'!$W$6:$W$10005,$W3710)+COUNTIFS('月1回_1ヶ月前の在庫'!$V$6:$V$10005,$V3710,'月1回_1ヶ月前の在庫'!$W$6:$W$10005,$W3710)&gt;0),N(U3709),N(U3709)+1))</f>
        <v/>
      </c>
      <c r="V3710" s="19">
        <f>IF($B3710="","",TEXT($B3710,"0000"))</f>
        <v/>
      </c>
      <c r="W3710" s="19">
        <f>IF($I3710="","",IF(ISNUMBER($I3710),TEXT($I3710,"0"),$I3710))</f>
        <v/>
      </c>
    </row>
    <row r="3711">
      <c r="B3711" s="25" t="n"/>
      <c r="I3711" s="25" t="n"/>
      <c r="U3711" s="19">
        <f>IF($V3711&lt;&gt;'設定'!$C$4,N(U3710),IF(OR(NOT(COUNTIF('商品マスタ'!$B$6:$B$1005,$W3711)=0),COUNTIFS('①在庫を貼る'!$V$6:$V$10005,$V3711,'①在庫を貼る'!$W$6:$W$10005,$W3711)+COUNTIFS('月1回_1ヶ月前の在庫'!$V$6:$V$10005,$V3711,'月1回_1ヶ月前の在庫'!$W$6:$W$10005,$W3711)&gt;0),N(U3710),N(U3710)+1))</f>
        <v/>
      </c>
      <c r="V3711" s="19">
        <f>IF($B3711="","",TEXT($B3711,"0000"))</f>
        <v/>
      </c>
      <c r="W3711" s="19">
        <f>IF($I3711="","",IF(ISNUMBER($I3711),TEXT($I3711,"0"),$I3711))</f>
        <v/>
      </c>
    </row>
    <row r="3712">
      <c r="B3712" s="25" t="n"/>
      <c r="I3712" s="25" t="n"/>
      <c r="U3712" s="19">
        <f>IF($V3712&lt;&gt;'設定'!$C$4,N(U3711),IF(OR(NOT(COUNTIF('商品マスタ'!$B$6:$B$1005,$W3712)=0),COUNTIFS('①在庫を貼る'!$V$6:$V$10005,$V3712,'①在庫を貼る'!$W$6:$W$10005,$W3712)+COUNTIFS('月1回_1ヶ月前の在庫'!$V$6:$V$10005,$V3712,'月1回_1ヶ月前の在庫'!$W$6:$W$10005,$W3712)&gt;0),N(U3711),N(U3711)+1))</f>
        <v/>
      </c>
      <c r="V3712" s="19">
        <f>IF($B3712="","",TEXT($B3712,"0000"))</f>
        <v/>
      </c>
      <c r="W3712" s="19">
        <f>IF($I3712="","",IF(ISNUMBER($I3712),TEXT($I3712,"0"),$I3712))</f>
        <v/>
      </c>
    </row>
    <row r="3713">
      <c r="B3713" s="25" t="n"/>
      <c r="I3713" s="25" t="n"/>
      <c r="U3713" s="19">
        <f>IF($V3713&lt;&gt;'設定'!$C$4,N(U3712),IF(OR(NOT(COUNTIF('商品マスタ'!$B$6:$B$1005,$W3713)=0),COUNTIFS('①在庫を貼る'!$V$6:$V$10005,$V3713,'①在庫を貼る'!$W$6:$W$10005,$W3713)+COUNTIFS('月1回_1ヶ月前の在庫'!$V$6:$V$10005,$V3713,'月1回_1ヶ月前の在庫'!$W$6:$W$10005,$W3713)&gt;0),N(U3712),N(U3712)+1))</f>
        <v/>
      </c>
      <c r="V3713" s="19">
        <f>IF($B3713="","",TEXT($B3713,"0000"))</f>
        <v/>
      </c>
      <c r="W3713" s="19">
        <f>IF($I3713="","",IF(ISNUMBER($I3713),TEXT($I3713,"0"),$I3713))</f>
        <v/>
      </c>
    </row>
    <row r="3714">
      <c r="B3714" s="25" t="n"/>
      <c r="I3714" s="25" t="n"/>
      <c r="U3714" s="19">
        <f>IF($V3714&lt;&gt;'設定'!$C$4,N(U3713),IF(OR(NOT(COUNTIF('商品マスタ'!$B$6:$B$1005,$W3714)=0),COUNTIFS('①在庫を貼る'!$V$6:$V$10005,$V3714,'①在庫を貼る'!$W$6:$W$10005,$W3714)+COUNTIFS('月1回_1ヶ月前の在庫'!$V$6:$V$10005,$V3714,'月1回_1ヶ月前の在庫'!$W$6:$W$10005,$W3714)&gt;0),N(U3713),N(U3713)+1))</f>
        <v/>
      </c>
      <c r="V3714" s="19">
        <f>IF($B3714="","",TEXT($B3714,"0000"))</f>
        <v/>
      </c>
      <c r="W3714" s="19">
        <f>IF($I3714="","",IF(ISNUMBER($I3714),TEXT($I3714,"0"),$I3714))</f>
        <v/>
      </c>
    </row>
    <row r="3715">
      <c r="B3715" s="25" t="n"/>
      <c r="I3715" s="25" t="n"/>
      <c r="U3715" s="19">
        <f>IF($V3715&lt;&gt;'設定'!$C$4,N(U3714),IF(OR(NOT(COUNTIF('商品マスタ'!$B$6:$B$1005,$W3715)=0),COUNTIFS('①在庫を貼る'!$V$6:$V$10005,$V3715,'①在庫を貼る'!$W$6:$W$10005,$W3715)+COUNTIFS('月1回_1ヶ月前の在庫'!$V$6:$V$10005,$V3715,'月1回_1ヶ月前の在庫'!$W$6:$W$10005,$W3715)&gt;0),N(U3714),N(U3714)+1))</f>
        <v/>
      </c>
      <c r="V3715" s="19">
        <f>IF($B3715="","",TEXT($B3715,"0000"))</f>
        <v/>
      </c>
      <c r="W3715" s="19">
        <f>IF($I3715="","",IF(ISNUMBER($I3715),TEXT($I3715,"0"),$I3715))</f>
        <v/>
      </c>
    </row>
    <row r="3716">
      <c r="B3716" s="25" t="n"/>
      <c r="I3716" s="25" t="n"/>
      <c r="U3716" s="19">
        <f>IF($V3716&lt;&gt;'設定'!$C$4,N(U3715),IF(OR(NOT(COUNTIF('商品マスタ'!$B$6:$B$1005,$W3716)=0),COUNTIFS('①在庫を貼る'!$V$6:$V$10005,$V3716,'①在庫を貼る'!$W$6:$W$10005,$W3716)+COUNTIFS('月1回_1ヶ月前の在庫'!$V$6:$V$10005,$V3716,'月1回_1ヶ月前の在庫'!$W$6:$W$10005,$W3716)&gt;0),N(U3715),N(U3715)+1))</f>
        <v/>
      </c>
      <c r="V3716" s="19">
        <f>IF($B3716="","",TEXT($B3716,"0000"))</f>
        <v/>
      </c>
      <c r="W3716" s="19">
        <f>IF($I3716="","",IF(ISNUMBER($I3716),TEXT($I3716,"0"),$I3716))</f>
        <v/>
      </c>
    </row>
    <row r="3717">
      <c r="B3717" s="25" t="n"/>
      <c r="I3717" s="25" t="n"/>
      <c r="U3717" s="19">
        <f>IF($V3717&lt;&gt;'設定'!$C$4,N(U3716),IF(OR(NOT(COUNTIF('商品マスタ'!$B$6:$B$1005,$W3717)=0),COUNTIFS('①在庫を貼る'!$V$6:$V$10005,$V3717,'①在庫を貼る'!$W$6:$W$10005,$W3717)+COUNTIFS('月1回_1ヶ月前の在庫'!$V$6:$V$10005,$V3717,'月1回_1ヶ月前の在庫'!$W$6:$W$10005,$W3717)&gt;0),N(U3716),N(U3716)+1))</f>
        <v/>
      </c>
      <c r="V3717" s="19">
        <f>IF($B3717="","",TEXT($B3717,"0000"))</f>
        <v/>
      </c>
      <c r="W3717" s="19">
        <f>IF($I3717="","",IF(ISNUMBER($I3717),TEXT($I3717,"0"),$I3717))</f>
        <v/>
      </c>
    </row>
    <row r="3718">
      <c r="B3718" s="25" t="n"/>
      <c r="I3718" s="25" t="n"/>
      <c r="U3718" s="19">
        <f>IF($V3718&lt;&gt;'設定'!$C$4,N(U3717),IF(OR(NOT(COUNTIF('商品マスタ'!$B$6:$B$1005,$W3718)=0),COUNTIFS('①在庫を貼る'!$V$6:$V$10005,$V3718,'①在庫を貼る'!$W$6:$W$10005,$W3718)+COUNTIFS('月1回_1ヶ月前の在庫'!$V$6:$V$10005,$V3718,'月1回_1ヶ月前の在庫'!$W$6:$W$10005,$W3718)&gt;0),N(U3717),N(U3717)+1))</f>
        <v/>
      </c>
      <c r="V3718" s="19">
        <f>IF($B3718="","",TEXT($B3718,"0000"))</f>
        <v/>
      </c>
      <c r="W3718" s="19">
        <f>IF($I3718="","",IF(ISNUMBER($I3718),TEXT($I3718,"0"),$I3718))</f>
        <v/>
      </c>
    </row>
    <row r="3719">
      <c r="B3719" s="25" t="n"/>
      <c r="I3719" s="25" t="n"/>
      <c r="U3719" s="19">
        <f>IF($V3719&lt;&gt;'設定'!$C$4,N(U3718),IF(OR(NOT(COUNTIF('商品マスタ'!$B$6:$B$1005,$W3719)=0),COUNTIFS('①在庫を貼る'!$V$6:$V$10005,$V3719,'①在庫を貼る'!$W$6:$W$10005,$W3719)+COUNTIFS('月1回_1ヶ月前の在庫'!$V$6:$V$10005,$V3719,'月1回_1ヶ月前の在庫'!$W$6:$W$10005,$W3719)&gt;0),N(U3718),N(U3718)+1))</f>
        <v/>
      </c>
      <c r="V3719" s="19">
        <f>IF($B3719="","",TEXT($B3719,"0000"))</f>
        <v/>
      </c>
      <c r="W3719" s="19">
        <f>IF($I3719="","",IF(ISNUMBER($I3719),TEXT($I3719,"0"),$I3719))</f>
        <v/>
      </c>
    </row>
    <row r="3720">
      <c r="B3720" s="25" t="n"/>
      <c r="I3720" s="25" t="n"/>
      <c r="U3720" s="19">
        <f>IF($V3720&lt;&gt;'設定'!$C$4,N(U3719),IF(OR(NOT(COUNTIF('商品マスタ'!$B$6:$B$1005,$W3720)=0),COUNTIFS('①在庫を貼る'!$V$6:$V$10005,$V3720,'①在庫を貼る'!$W$6:$W$10005,$W3720)+COUNTIFS('月1回_1ヶ月前の在庫'!$V$6:$V$10005,$V3720,'月1回_1ヶ月前の在庫'!$W$6:$W$10005,$W3720)&gt;0),N(U3719),N(U3719)+1))</f>
        <v/>
      </c>
      <c r="V3720" s="19">
        <f>IF($B3720="","",TEXT($B3720,"0000"))</f>
        <v/>
      </c>
      <c r="W3720" s="19">
        <f>IF($I3720="","",IF(ISNUMBER($I3720),TEXT($I3720,"0"),$I3720))</f>
        <v/>
      </c>
    </row>
    <row r="3721">
      <c r="B3721" s="25" t="n"/>
      <c r="I3721" s="25" t="n"/>
      <c r="U3721" s="19">
        <f>IF($V3721&lt;&gt;'設定'!$C$4,N(U3720),IF(OR(NOT(COUNTIF('商品マスタ'!$B$6:$B$1005,$W3721)=0),COUNTIFS('①在庫を貼る'!$V$6:$V$10005,$V3721,'①在庫を貼る'!$W$6:$W$10005,$W3721)+COUNTIFS('月1回_1ヶ月前の在庫'!$V$6:$V$10005,$V3721,'月1回_1ヶ月前の在庫'!$W$6:$W$10005,$W3721)&gt;0),N(U3720),N(U3720)+1))</f>
        <v/>
      </c>
      <c r="V3721" s="19">
        <f>IF($B3721="","",TEXT($B3721,"0000"))</f>
        <v/>
      </c>
      <c r="W3721" s="19">
        <f>IF($I3721="","",IF(ISNUMBER($I3721),TEXT($I3721,"0"),$I3721))</f>
        <v/>
      </c>
    </row>
    <row r="3722">
      <c r="B3722" s="25" t="n"/>
      <c r="I3722" s="25" t="n"/>
      <c r="U3722" s="19">
        <f>IF($V3722&lt;&gt;'設定'!$C$4,N(U3721),IF(OR(NOT(COUNTIF('商品マスタ'!$B$6:$B$1005,$W3722)=0),COUNTIFS('①在庫を貼る'!$V$6:$V$10005,$V3722,'①在庫を貼る'!$W$6:$W$10005,$W3722)+COUNTIFS('月1回_1ヶ月前の在庫'!$V$6:$V$10005,$V3722,'月1回_1ヶ月前の在庫'!$W$6:$W$10005,$W3722)&gt;0),N(U3721),N(U3721)+1))</f>
        <v/>
      </c>
      <c r="V3722" s="19">
        <f>IF($B3722="","",TEXT($B3722,"0000"))</f>
        <v/>
      </c>
      <c r="W3722" s="19">
        <f>IF($I3722="","",IF(ISNUMBER($I3722),TEXT($I3722,"0"),$I3722))</f>
        <v/>
      </c>
    </row>
    <row r="3723">
      <c r="B3723" s="25" t="n"/>
      <c r="I3723" s="25" t="n"/>
      <c r="U3723" s="19">
        <f>IF($V3723&lt;&gt;'設定'!$C$4,N(U3722),IF(OR(NOT(COUNTIF('商品マスタ'!$B$6:$B$1005,$W3723)=0),COUNTIFS('①在庫を貼る'!$V$6:$V$10005,$V3723,'①在庫を貼る'!$W$6:$W$10005,$W3723)+COUNTIFS('月1回_1ヶ月前の在庫'!$V$6:$V$10005,$V3723,'月1回_1ヶ月前の在庫'!$W$6:$W$10005,$W3723)&gt;0),N(U3722),N(U3722)+1))</f>
        <v/>
      </c>
      <c r="V3723" s="19">
        <f>IF($B3723="","",TEXT($B3723,"0000"))</f>
        <v/>
      </c>
      <c r="W3723" s="19">
        <f>IF($I3723="","",IF(ISNUMBER($I3723),TEXT($I3723,"0"),$I3723))</f>
        <v/>
      </c>
    </row>
    <row r="3724">
      <c r="B3724" s="25" t="n"/>
      <c r="I3724" s="25" t="n"/>
      <c r="U3724" s="19">
        <f>IF($V3724&lt;&gt;'設定'!$C$4,N(U3723),IF(OR(NOT(COUNTIF('商品マスタ'!$B$6:$B$1005,$W3724)=0),COUNTIFS('①在庫を貼る'!$V$6:$V$10005,$V3724,'①在庫を貼る'!$W$6:$W$10005,$W3724)+COUNTIFS('月1回_1ヶ月前の在庫'!$V$6:$V$10005,$V3724,'月1回_1ヶ月前の在庫'!$W$6:$W$10005,$W3724)&gt;0),N(U3723),N(U3723)+1))</f>
        <v/>
      </c>
      <c r="V3724" s="19">
        <f>IF($B3724="","",TEXT($B3724,"0000"))</f>
        <v/>
      </c>
      <c r="W3724" s="19">
        <f>IF($I3724="","",IF(ISNUMBER($I3724),TEXT($I3724,"0"),$I3724))</f>
        <v/>
      </c>
    </row>
    <row r="3725">
      <c r="B3725" s="25" t="n"/>
      <c r="I3725" s="25" t="n"/>
      <c r="U3725" s="19">
        <f>IF($V3725&lt;&gt;'設定'!$C$4,N(U3724),IF(OR(NOT(COUNTIF('商品マスタ'!$B$6:$B$1005,$W3725)=0),COUNTIFS('①在庫を貼る'!$V$6:$V$10005,$V3725,'①在庫を貼る'!$W$6:$W$10005,$W3725)+COUNTIFS('月1回_1ヶ月前の在庫'!$V$6:$V$10005,$V3725,'月1回_1ヶ月前の在庫'!$W$6:$W$10005,$W3725)&gt;0),N(U3724),N(U3724)+1))</f>
        <v/>
      </c>
      <c r="V3725" s="19">
        <f>IF($B3725="","",TEXT($B3725,"0000"))</f>
        <v/>
      </c>
      <c r="W3725" s="19">
        <f>IF($I3725="","",IF(ISNUMBER($I3725),TEXT($I3725,"0"),$I3725))</f>
        <v/>
      </c>
    </row>
    <row r="3726">
      <c r="B3726" s="25" t="n"/>
      <c r="I3726" s="25" t="n"/>
      <c r="U3726" s="19">
        <f>IF($V3726&lt;&gt;'設定'!$C$4,N(U3725),IF(OR(NOT(COUNTIF('商品マスタ'!$B$6:$B$1005,$W3726)=0),COUNTIFS('①在庫を貼る'!$V$6:$V$10005,$V3726,'①在庫を貼る'!$W$6:$W$10005,$W3726)+COUNTIFS('月1回_1ヶ月前の在庫'!$V$6:$V$10005,$V3726,'月1回_1ヶ月前の在庫'!$W$6:$W$10005,$W3726)&gt;0),N(U3725),N(U3725)+1))</f>
        <v/>
      </c>
      <c r="V3726" s="19">
        <f>IF($B3726="","",TEXT($B3726,"0000"))</f>
        <v/>
      </c>
      <c r="W3726" s="19">
        <f>IF($I3726="","",IF(ISNUMBER($I3726),TEXT($I3726,"0"),$I3726))</f>
        <v/>
      </c>
    </row>
    <row r="3727">
      <c r="B3727" s="25" t="n"/>
      <c r="I3727" s="25" t="n"/>
      <c r="U3727" s="19">
        <f>IF($V3727&lt;&gt;'設定'!$C$4,N(U3726),IF(OR(NOT(COUNTIF('商品マスタ'!$B$6:$B$1005,$W3727)=0),COUNTIFS('①在庫を貼る'!$V$6:$V$10005,$V3727,'①在庫を貼る'!$W$6:$W$10005,$W3727)+COUNTIFS('月1回_1ヶ月前の在庫'!$V$6:$V$10005,$V3727,'月1回_1ヶ月前の在庫'!$W$6:$W$10005,$W3727)&gt;0),N(U3726),N(U3726)+1))</f>
        <v/>
      </c>
      <c r="V3727" s="19">
        <f>IF($B3727="","",TEXT($B3727,"0000"))</f>
        <v/>
      </c>
      <c r="W3727" s="19">
        <f>IF($I3727="","",IF(ISNUMBER($I3727),TEXT($I3727,"0"),$I3727))</f>
        <v/>
      </c>
    </row>
    <row r="3728">
      <c r="B3728" s="25" t="n"/>
      <c r="I3728" s="25" t="n"/>
      <c r="U3728" s="19">
        <f>IF($V3728&lt;&gt;'設定'!$C$4,N(U3727),IF(OR(NOT(COUNTIF('商品マスタ'!$B$6:$B$1005,$W3728)=0),COUNTIFS('①在庫を貼る'!$V$6:$V$10005,$V3728,'①在庫を貼る'!$W$6:$W$10005,$W3728)+COUNTIFS('月1回_1ヶ月前の在庫'!$V$6:$V$10005,$V3728,'月1回_1ヶ月前の在庫'!$W$6:$W$10005,$W3728)&gt;0),N(U3727),N(U3727)+1))</f>
        <v/>
      </c>
      <c r="V3728" s="19">
        <f>IF($B3728="","",TEXT($B3728,"0000"))</f>
        <v/>
      </c>
      <c r="W3728" s="19">
        <f>IF($I3728="","",IF(ISNUMBER($I3728),TEXT($I3728,"0"),$I3728))</f>
        <v/>
      </c>
    </row>
    <row r="3729">
      <c r="B3729" s="25" t="n"/>
      <c r="I3729" s="25" t="n"/>
      <c r="U3729" s="19">
        <f>IF($V3729&lt;&gt;'設定'!$C$4,N(U3728),IF(OR(NOT(COUNTIF('商品マスタ'!$B$6:$B$1005,$W3729)=0),COUNTIFS('①在庫を貼る'!$V$6:$V$10005,$V3729,'①在庫を貼る'!$W$6:$W$10005,$W3729)+COUNTIFS('月1回_1ヶ月前の在庫'!$V$6:$V$10005,$V3729,'月1回_1ヶ月前の在庫'!$W$6:$W$10005,$W3729)&gt;0),N(U3728),N(U3728)+1))</f>
        <v/>
      </c>
      <c r="V3729" s="19">
        <f>IF($B3729="","",TEXT($B3729,"0000"))</f>
        <v/>
      </c>
      <c r="W3729" s="19">
        <f>IF($I3729="","",IF(ISNUMBER($I3729),TEXT($I3729,"0"),$I3729))</f>
        <v/>
      </c>
    </row>
    <row r="3730">
      <c r="B3730" s="25" t="n"/>
      <c r="I3730" s="25" t="n"/>
      <c r="U3730" s="19">
        <f>IF($V3730&lt;&gt;'設定'!$C$4,N(U3729),IF(OR(NOT(COUNTIF('商品マスタ'!$B$6:$B$1005,$W3730)=0),COUNTIFS('①在庫を貼る'!$V$6:$V$10005,$V3730,'①在庫を貼る'!$W$6:$W$10005,$W3730)+COUNTIFS('月1回_1ヶ月前の在庫'!$V$6:$V$10005,$V3730,'月1回_1ヶ月前の在庫'!$W$6:$W$10005,$W3730)&gt;0),N(U3729),N(U3729)+1))</f>
        <v/>
      </c>
      <c r="V3730" s="19">
        <f>IF($B3730="","",TEXT($B3730,"0000"))</f>
        <v/>
      </c>
      <c r="W3730" s="19">
        <f>IF($I3730="","",IF(ISNUMBER($I3730),TEXT($I3730,"0"),$I3730))</f>
        <v/>
      </c>
    </row>
    <row r="3731">
      <c r="B3731" s="25" t="n"/>
      <c r="I3731" s="25" t="n"/>
      <c r="U3731" s="19">
        <f>IF($V3731&lt;&gt;'設定'!$C$4,N(U3730),IF(OR(NOT(COUNTIF('商品マスタ'!$B$6:$B$1005,$W3731)=0),COUNTIFS('①在庫を貼る'!$V$6:$V$10005,$V3731,'①在庫を貼る'!$W$6:$W$10005,$W3731)+COUNTIFS('月1回_1ヶ月前の在庫'!$V$6:$V$10005,$V3731,'月1回_1ヶ月前の在庫'!$W$6:$W$10005,$W3731)&gt;0),N(U3730),N(U3730)+1))</f>
        <v/>
      </c>
      <c r="V3731" s="19">
        <f>IF($B3731="","",TEXT($B3731,"0000"))</f>
        <v/>
      </c>
      <c r="W3731" s="19">
        <f>IF($I3731="","",IF(ISNUMBER($I3731),TEXT($I3731,"0"),$I3731))</f>
        <v/>
      </c>
    </row>
    <row r="3732">
      <c r="B3732" s="25" t="n"/>
      <c r="I3732" s="25" t="n"/>
      <c r="U3732" s="19">
        <f>IF($V3732&lt;&gt;'設定'!$C$4,N(U3731),IF(OR(NOT(COUNTIF('商品マスタ'!$B$6:$B$1005,$W3732)=0),COUNTIFS('①在庫を貼る'!$V$6:$V$10005,$V3732,'①在庫を貼る'!$W$6:$W$10005,$W3732)+COUNTIFS('月1回_1ヶ月前の在庫'!$V$6:$V$10005,$V3732,'月1回_1ヶ月前の在庫'!$W$6:$W$10005,$W3732)&gt;0),N(U3731),N(U3731)+1))</f>
        <v/>
      </c>
      <c r="V3732" s="19">
        <f>IF($B3732="","",TEXT($B3732,"0000"))</f>
        <v/>
      </c>
      <c r="W3732" s="19">
        <f>IF($I3732="","",IF(ISNUMBER($I3732),TEXT($I3732,"0"),$I3732))</f>
        <v/>
      </c>
    </row>
    <row r="3733">
      <c r="B3733" s="25" t="n"/>
      <c r="I3733" s="25" t="n"/>
      <c r="U3733" s="19">
        <f>IF($V3733&lt;&gt;'設定'!$C$4,N(U3732),IF(OR(NOT(COUNTIF('商品マスタ'!$B$6:$B$1005,$W3733)=0),COUNTIFS('①在庫を貼る'!$V$6:$V$10005,$V3733,'①在庫を貼る'!$W$6:$W$10005,$W3733)+COUNTIFS('月1回_1ヶ月前の在庫'!$V$6:$V$10005,$V3733,'月1回_1ヶ月前の在庫'!$W$6:$W$10005,$W3733)&gt;0),N(U3732),N(U3732)+1))</f>
        <v/>
      </c>
      <c r="V3733" s="19">
        <f>IF($B3733="","",TEXT($B3733,"0000"))</f>
        <v/>
      </c>
      <c r="W3733" s="19">
        <f>IF($I3733="","",IF(ISNUMBER($I3733),TEXT($I3733,"0"),$I3733))</f>
        <v/>
      </c>
    </row>
    <row r="3734">
      <c r="B3734" s="25" t="n"/>
      <c r="I3734" s="25" t="n"/>
      <c r="U3734" s="19">
        <f>IF($V3734&lt;&gt;'設定'!$C$4,N(U3733),IF(OR(NOT(COUNTIF('商品マスタ'!$B$6:$B$1005,$W3734)=0),COUNTIFS('①在庫を貼る'!$V$6:$V$10005,$V3734,'①在庫を貼る'!$W$6:$W$10005,$W3734)+COUNTIFS('月1回_1ヶ月前の在庫'!$V$6:$V$10005,$V3734,'月1回_1ヶ月前の在庫'!$W$6:$W$10005,$W3734)&gt;0),N(U3733),N(U3733)+1))</f>
        <v/>
      </c>
      <c r="V3734" s="19">
        <f>IF($B3734="","",TEXT($B3734,"0000"))</f>
        <v/>
      </c>
      <c r="W3734" s="19">
        <f>IF($I3734="","",IF(ISNUMBER($I3734),TEXT($I3734,"0"),$I3734))</f>
        <v/>
      </c>
    </row>
    <row r="3735">
      <c r="B3735" s="25" t="n"/>
      <c r="I3735" s="25" t="n"/>
      <c r="U3735" s="19">
        <f>IF($V3735&lt;&gt;'設定'!$C$4,N(U3734),IF(OR(NOT(COUNTIF('商品マスタ'!$B$6:$B$1005,$W3735)=0),COUNTIFS('①在庫を貼る'!$V$6:$V$10005,$V3735,'①在庫を貼る'!$W$6:$W$10005,$W3735)+COUNTIFS('月1回_1ヶ月前の在庫'!$V$6:$V$10005,$V3735,'月1回_1ヶ月前の在庫'!$W$6:$W$10005,$W3735)&gt;0),N(U3734),N(U3734)+1))</f>
        <v/>
      </c>
      <c r="V3735" s="19">
        <f>IF($B3735="","",TEXT($B3735,"0000"))</f>
        <v/>
      </c>
      <c r="W3735" s="19">
        <f>IF($I3735="","",IF(ISNUMBER($I3735),TEXT($I3735,"0"),$I3735))</f>
        <v/>
      </c>
    </row>
    <row r="3736">
      <c r="B3736" s="25" t="n"/>
      <c r="I3736" s="25" t="n"/>
      <c r="U3736" s="19">
        <f>IF($V3736&lt;&gt;'設定'!$C$4,N(U3735),IF(OR(NOT(COUNTIF('商品マスタ'!$B$6:$B$1005,$W3736)=0),COUNTIFS('①在庫を貼る'!$V$6:$V$10005,$V3736,'①在庫を貼る'!$W$6:$W$10005,$W3736)+COUNTIFS('月1回_1ヶ月前の在庫'!$V$6:$V$10005,$V3736,'月1回_1ヶ月前の在庫'!$W$6:$W$10005,$W3736)&gt;0),N(U3735),N(U3735)+1))</f>
        <v/>
      </c>
      <c r="V3736" s="19">
        <f>IF($B3736="","",TEXT($B3736,"0000"))</f>
        <v/>
      </c>
      <c r="W3736" s="19">
        <f>IF($I3736="","",IF(ISNUMBER($I3736),TEXT($I3736,"0"),$I3736))</f>
        <v/>
      </c>
    </row>
    <row r="3737">
      <c r="B3737" s="25" t="n"/>
      <c r="I3737" s="25" t="n"/>
      <c r="U3737" s="19">
        <f>IF($V3737&lt;&gt;'設定'!$C$4,N(U3736),IF(OR(NOT(COUNTIF('商品マスタ'!$B$6:$B$1005,$W3737)=0),COUNTIFS('①在庫を貼る'!$V$6:$V$10005,$V3737,'①在庫を貼る'!$W$6:$W$10005,$W3737)+COUNTIFS('月1回_1ヶ月前の在庫'!$V$6:$V$10005,$V3737,'月1回_1ヶ月前の在庫'!$W$6:$W$10005,$W3737)&gt;0),N(U3736),N(U3736)+1))</f>
        <v/>
      </c>
      <c r="V3737" s="19">
        <f>IF($B3737="","",TEXT($B3737,"0000"))</f>
        <v/>
      </c>
      <c r="W3737" s="19">
        <f>IF($I3737="","",IF(ISNUMBER($I3737),TEXT($I3737,"0"),$I3737))</f>
        <v/>
      </c>
    </row>
    <row r="3738">
      <c r="B3738" s="25" t="n"/>
      <c r="I3738" s="25" t="n"/>
      <c r="U3738" s="19">
        <f>IF($V3738&lt;&gt;'設定'!$C$4,N(U3737),IF(OR(NOT(COUNTIF('商品マスタ'!$B$6:$B$1005,$W3738)=0),COUNTIFS('①在庫を貼る'!$V$6:$V$10005,$V3738,'①在庫を貼る'!$W$6:$W$10005,$W3738)+COUNTIFS('月1回_1ヶ月前の在庫'!$V$6:$V$10005,$V3738,'月1回_1ヶ月前の在庫'!$W$6:$W$10005,$W3738)&gt;0),N(U3737),N(U3737)+1))</f>
        <v/>
      </c>
      <c r="V3738" s="19">
        <f>IF($B3738="","",TEXT($B3738,"0000"))</f>
        <v/>
      </c>
      <c r="W3738" s="19">
        <f>IF($I3738="","",IF(ISNUMBER($I3738),TEXT($I3738,"0"),$I3738))</f>
        <v/>
      </c>
    </row>
    <row r="3739">
      <c r="B3739" s="25" t="n"/>
      <c r="I3739" s="25" t="n"/>
      <c r="U3739" s="19">
        <f>IF($V3739&lt;&gt;'設定'!$C$4,N(U3738),IF(OR(NOT(COUNTIF('商品マスタ'!$B$6:$B$1005,$W3739)=0),COUNTIFS('①在庫を貼る'!$V$6:$V$10005,$V3739,'①在庫を貼る'!$W$6:$W$10005,$W3739)+COUNTIFS('月1回_1ヶ月前の在庫'!$V$6:$V$10005,$V3739,'月1回_1ヶ月前の在庫'!$W$6:$W$10005,$W3739)&gt;0),N(U3738),N(U3738)+1))</f>
        <v/>
      </c>
      <c r="V3739" s="19">
        <f>IF($B3739="","",TEXT($B3739,"0000"))</f>
        <v/>
      </c>
      <c r="W3739" s="19">
        <f>IF($I3739="","",IF(ISNUMBER($I3739),TEXT($I3739,"0"),$I3739))</f>
        <v/>
      </c>
    </row>
    <row r="3740">
      <c r="B3740" s="25" t="n"/>
      <c r="I3740" s="25" t="n"/>
      <c r="U3740" s="19">
        <f>IF($V3740&lt;&gt;'設定'!$C$4,N(U3739),IF(OR(NOT(COUNTIF('商品マスタ'!$B$6:$B$1005,$W3740)=0),COUNTIFS('①在庫を貼る'!$V$6:$V$10005,$V3740,'①在庫を貼る'!$W$6:$W$10005,$W3740)+COUNTIFS('月1回_1ヶ月前の在庫'!$V$6:$V$10005,$V3740,'月1回_1ヶ月前の在庫'!$W$6:$W$10005,$W3740)&gt;0),N(U3739),N(U3739)+1))</f>
        <v/>
      </c>
      <c r="V3740" s="19">
        <f>IF($B3740="","",TEXT($B3740,"0000"))</f>
        <v/>
      </c>
      <c r="W3740" s="19">
        <f>IF($I3740="","",IF(ISNUMBER($I3740),TEXT($I3740,"0"),$I3740))</f>
        <v/>
      </c>
    </row>
    <row r="3741">
      <c r="B3741" s="25" t="n"/>
      <c r="I3741" s="25" t="n"/>
      <c r="U3741" s="19">
        <f>IF($V3741&lt;&gt;'設定'!$C$4,N(U3740),IF(OR(NOT(COUNTIF('商品マスタ'!$B$6:$B$1005,$W3741)=0),COUNTIFS('①在庫を貼る'!$V$6:$V$10005,$V3741,'①在庫を貼る'!$W$6:$W$10005,$W3741)+COUNTIFS('月1回_1ヶ月前の在庫'!$V$6:$V$10005,$V3741,'月1回_1ヶ月前の在庫'!$W$6:$W$10005,$W3741)&gt;0),N(U3740),N(U3740)+1))</f>
        <v/>
      </c>
      <c r="V3741" s="19">
        <f>IF($B3741="","",TEXT($B3741,"0000"))</f>
        <v/>
      </c>
      <c r="W3741" s="19">
        <f>IF($I3741="","",IF(ISNUMBER($I3741),TEXT($I3741,"0"),$I3741))</f>
        <v/>
      </c>
    </row>
    <row r="3742">
      <c r="B3742" s="25" t="n"/>
      <c r="I3742" s="25" t="n"/>
      <c r="U3742" s="19">
        <f>IF($V3742&lt;&gt;'設定'!$C$4,N(U3741),IF(OR(NOT(COUNTIF('商品マスタ'!$B$6:$B$1005,$W3742)=0),COUNTIFS('①在庫を貼る'!$V$6:$V$10005,$V3742,'①在庫を貼る'!$W$6:$W$10005,$W3742)+COUNTIFS('月1回_1ヶ月前の在庫'!$V$6:$V$10005,$V3742,'月1回_1ヶ月前の在庫'!$W$6:$W$10005,$W3742)&gt;0),N(U3741),N(U3741)+1))</f>
        <v/>
      </c>
      <c r="V3742" s="19">
        <f>IF($B3742="","",TEXT($B3742,"0000"))</f>
        <v/>
      </c>
      <c r="W3742" s="19">
        <f>IF($I3742="","",IF(ISNUMBER($I3742),TEXT($I3742,"0"),$I3742))</f>
        <v/>
      </c>
    </row>
    <row r="3743">
      <c r="B3743" s="25" t="n"/>
      <c r="I3743" s="25" t="n"/>
      <c r="U3743" s="19">
        <f>IF($V3743&lt;&gt;'設定'!$C$4,N(U3742),IF(OR(NOT(COUNTIF('商品マスタ'!$B$6:$B$1005,$W3743)=0),COUNTIFS('①在庫を貼る'!$V$6:$V$10005,$V3743,'①在庫を貼る'!$W$6:$W$10005,$W3743)+COUNTIFS('月1回_1ヶ月前の在庫'!$V$6:$V$10005,$V3743,'月1回_1ヶ月前の在庫'!$W$6:$W$10005,$W3743)&gt;0),N(U3742),N(U3742)+1))</f>
        <v/>
      </c>
      <c r="V3743" s="19">
        <f>IF($B3743="","",TEXT($B3743,"0000"))</f>
        <v/>
      </c>
      <c r="W3743" s="19">
        <f>IF($I3743="","",IF(ISNUMBER($I3743),TEXT($I3743,"0"),$I3743))</f>
        <v/>
      </c>
    </row>
    <row r="3744">
      <c r="B3744" s="25" t="n"/>
      <c r="I3744" s="25" t="n"/>
      <c r="U3744" s="19">
        <f>IF($V3744&lt;&gt;'設定'!$C$4,N(U3743),IF(OR(NOT(COUNTIF('商品マスタ'!$B$6:$B$1005,$W3744)=0),COUNTIFS('①在庫を貼る'!$V$6:$V$10005,$V3744,'①在庫を貼る'!$W$6:$W$10005,$W3744)+COUNTIFS('月1回_1ヶ月前の在庫'!$V$6:$V$10005,$V3744,'月1回_1ヶ月前の在庫'!$W$6:$W$10005,$W3744)&gt;0),N(U3743),N(U3743)+1))</f>
        <v/>
      </c>
      <c r="V3744" s="19">
        <f>IF($B3744="","",TEXT($B3744,"0000"))</f>
        <v/>
      </c>
      <c r="W3744" s="19">
        <f>IF($I3744="","",IF(ISNUMBER($I3744),TEXT($I3744,"0"),$I3744))</f>
        <v/>
      </c>
    </row>
    <row r="3745">
      <c r="B3745" s="25" t="n"/>
      <c r="I3745" s="25" t="n"/>
      <c r="U3745" s="19">
        <f>IF($V3745&lt;&gt;'設定'!$C$4,N(U3744),IF(OR(NOT(COUNTIF('商品マスタ'!$B$6:$B$1005,$W3745)=0),COUNTIFS('①在庫を貼る'!$V$6:$V$10005,$V3745,'①在庫を貼る'!$W$6:$W$10005,$W3745)+COUNTIFS('月1回_1ヶ月前の在庫'!$V$6:$V$10005,$V3745,'月1回_1ヶ月前の在庫'!$W$6:$W$10005,$W3745)&gt;0),N(U3744),N(U3744)+1))</f>
        <v/>
      </c>
      <c r="V3745" s="19">
        <f>IF($B3745="","",TEXT($B3745,"0000"))</f>
        <v/>
      </c>
      <c r="W3745" s="19">
        <f>IF($I3745="","",IF(ISNUMBER($I3745),TEXT($I3745,"0"),$I3745))</f>
        <v/>
      </c>
    </row>
    <row r="3746">
      <c r="B3746" s="25" t="n"/>
      <c r="I3746" s="25" t="n"/>
      <c r="U3746" s="19">
        <f>IF($V3746&lt;&gt;'設定'!$C$4,N(U3745),IF(OR(NOT(COUNTIF('商品マスタ'!$B$6:$B$1005,$W3746)=0),COUNTIFS('①在庫を貼る'!$V$6:$V$10005,$V3746,'①在庫を貼る'!$W$6:$W$10005,$W3746)+COUNTIFS('月1回_1ヶ月前の在庫'!$V$6:$V$10005,$V3746,'月1回_1ヶ月前の在庫'!$W$6:$W$10005,$W3746)&gt;0),N(U3745),N(U3745)+1))</f>
        <v/>
      </c>
      <c r="V3746" s="19">
        <f>IF($B3746="","",TEXT($B3746,"0000"))</f>
        <v/>
      </c>
      <c r="W3746" s="19">
        <f>IF($I3746="","",IF(ISNUMBER($I3746),TEXT($I3746,"0"),$I3746))</f>
        <v/>
      </c>
    </row>
    <row r="3747">
      <c r="B3747" s="25" t="n"/>
      <c r="I3747" s="25" t="n"/>
      <c r="U3747" s="19">
        <f>IF($V3747&lt;&gt;'設定'!$C$4,N(U3746),IF(OR(NOT(COUNTIF('商品マスタ'!$B$6:$B$1005,$W3747)=0),COUNTIFS('①在庫を貼る'!$V$6:$V$10005,$V3747,'①在庫を貼る'!$W$6:$W$10005,$W3747)+COUNTIFS('月1回_1ヶ月前の在庫'!$V$6:$V$10005,$V3747,'月1回_1ヶ月前の在庫'!$W$6:$W$10005,$W3747)&gt;0),N(U3746),N(U3746)+1))</f>
        <v/>
      </c>
      <c r="V3747" s="19">
        <f>IF($B3747="","",TEXT($B3747,"0000"))</f>
        <v/>
      </c>
      <c r="W3747" s="19">
        <f>IF($I3747="","",IF(ISNUMBER($I3747),TEXT($I3747,"0"),$I3747))</f>
        <v/>
      </c>
    </row>
    <row r="3748">
      <c r="B3748" s="25" t="n"/>
      <c r="I3748" s="25" t="n"/>
      <c r="U3748" s="19">
        <f>IF($V3748&lt;&gt;'設定'!$C$4,N(U3747),IF(OR(NOT(COUNTIF('商品マスタ'!$B$6:$B$1005,$W3748)=0),COUNTIFS('①在庫を貼る'!$V$6:$V$10005,$V3748,'①在庫を貼る'!$W$6:$W$10005,$W3748)+COUNTIFS('月1回_1ヶ月前の在庫'!$V$6:$V$10005,$V3748,'月1回_1ヶ月前の在庫'!$W$6:$W$10005,$W3748)&gt;0),N(U3747),N(U3747)+1))</f>
        <v/>
      </c>
      <c r="V3748" s="19">
        <f>IF($B3748="","",TEXT($B3748,"0000"))</f>
        <v/>
      </c>
      <c r="W3748" s="19">
        <f>IF($I3748="","",IF(ISNUMBER($I3748),TEXT($I3748,"0"),$I3748))</f>
        <v/>
      </c>
    </row>
    <row r="3749">
      <c r="B3749" s="25" t="n"/>
      <c r="I3749" s="25" t="n"/>
      <c r="U3749" s="19">
        <f>IF($V3749&lt;&gt;'設定'!$C$4,N(U3748),IF(OR(NOT(COUNTIF('商品マスタ'!$B$6:$B$1005,$W3749)=0),COUNTIFS('①在庫を貼る'!$V$6:$V$10005,$V3749,'①在庫を貼る'!$W$6:$W$10005,$W3749)+COUNTIFS('月1回_1ヶ月前の在庫'!$V$6:$V$10005,$V3749,'月1回_1ヶ月前の在庫'!$W$6:$W$10005,$W3749)&gt;0),N(U3748),N(U3748)+1))</f>
        <v/>
      </c>
      <c r="V3749" s="19">
        <f>IF($B3749="","",TEXT($B3749,"0000"))</f>
        <v/>
      </c>
      <c r="W3749" s="19">
        <f>IF($I3749="","",IF(ISNUMBER($I3749),TEXT($I3749,"0"),$I3749))</f>
        <v/>
      </c>
    </row>
    <row r="3750">
      <c r="B3750" s="25" t="n"/>
      <c r="I3750" s="25" t="n"/>
      <c r="U3750" s="19">
        <f>IF($V3750&lt;&gt;'設定'!$C$4,N(U3749),IF(OR(NOT(COUNTIF('商品マスタ'!$B$6:$B$1005,$W3750)=0),COUNTIFS('①在庫を貼る'!$V$6:$V$10005,$V3750,'①在庫を貼る'!$W$6:$W$10005,$W3750)+COUNTIFS('月1回_1ヶ月前の在庫'!$V$6:$V$10005,$V3750,'月1回_1ヶ月前の在庫'!$W$6:$W$10005,$W3750)&gt;0),N(U3749),N(U3749)+1))</f>
        <v/>
      </c>
      <c r="V3750" s="19">
        <f>IF($B3750="","",TEXT($B3750,"0000"))</f>
        <v/>
      </c>
      <c r="W3750" s="19">
        <f>IF($I3750="","",IF(ISNUMBER($I3750),TEXT($I3750,"0"),$I3750))</f>
        <v/>
      </c>
    </row>
    <row r="3751">
      <c r="B3751" s="25" t="n"/>
      <c r="I3751" s="25" t="n"/>
      <c r="U3751" s="19">
        <f>IF($V3751&lt;&gt;'設定'!$C$4,N(U3750),IF(OR(NOT(COUNTIF('商品マスタ'!$B$6:$B$1005,$W3751)=0),COUNTIFS('①在庫を貼る'!$V$6:$V$10005,$V3751,'①在庫を貼る'!$W$6:$W$10005,$W3751)+COUNTIFS('月1回_1ヶ月前の在庫'!$V$6:$V$10005,$V3751,'月1回_1ヶ月前の在庫'!$W$6:$W$10005,$W3751)&gt;0),N(U3750),N(U3750)+1))</f>
        <v/>
      </c>
      <c r="V3751" s="19">
        <f>IF($B3751="","",TEXT($B3751,"0000"))</f>
        <v/>
      </c>
      <c r="W3751" s="19">
        <f>IF($I3751="","",IF(ISNUMBER($I3751),TEXT($I3751,"0"),$I3751))</f>
        <v/>
      </c>
    </row>
    <row r="3752">
      <c r="B3752" s="25" t="n"/>
      <c r="I3752" s="25" t="n"/>
      <c r="U3752" s="19">
        <f>IF($V3752&lt;&gt;'設定'!$C$4,N(U3751),IF(OR(NOT(COUNTIF('商品マスタ'!$B$6:$B$1005,$W3752)=0),COUNTIFS('①在庫を貼る'!$V$6:$V$10005,$V3752,'①在庫を貼る'!$W$6:$W$10005,$W3752)+COUNTIFS('月1回_1ヶ月前の在庫'!$V$6:$V$10005,$V3752,'月1回_1ヶ月前の在庫'!$W$6:$W$10005,$W3752)&gt;0),N(U3751),N(U3751)+1))</f>
        <v/>
      </c>
      <c r="V3752" s="19">
        <f>IF($B3752="","",TEXT($B3752,"0000"))</f>
        <v/>
      </c>
      <c r="W3752" s="19">
        <f>IF($I3752="","",IF(ISNUMBER($I3752),TEXT($I3752,"0"),$I3752))</f>
        <v/>
      </c>
    </row>
    <row r="3753">
      <c r="B3753" s="25" t="n"/>
      <c r="I3753" s="25" t="n"/>
      <c r="U3753" s="19">
        <f>IF($V3753&lt;&gt;'設定'!$C$4,N(U3752),IF(OR(NOT(COUNTIF('商品マスタ'!$B$6:$B$1005,$W3753)=0),COUNTIFS('①在庫を貼る'!$V$6:$V$10005,$V3753,'①在庫を貼る'!$W$6:$W$10005,$W3753)+COUNTIFS('月1回_1ヶ月前の在庫'!$V$6:$V$10005,$V3753,'月1回_1ヶ月前の在庫'!$W$6:$W$10005,$W3753)&gt;0),N(U3752),N(U3752)+1))</f>
        <v/>
      </c>
      <c r="V3753" s="19">
        <f>IF($B3753="","",TEXT($B3753,"0000"))</f>
        <v/>
      </c>
      <c r="W3753" s="19">
        <f>IF($I3753="","",IF(ISNUMBER($I3753),TEXT($I3753,"0"),$I3753))</f>
        <v/>
      </c>
    </row>
    <row r="3754">
      <c r="B3754" s="25" t="n"/>
      <c r="I3754" s="25" t="n"/>
      <c r="U3754" s="19">
        <f>IF($V3754&lt;&gt;'設定'!$C$4,N(U3753),IF(OR(NOT(COUNTIF('商品マスタ'!$B$6:$B$1005,$W3754)=0),COUNTIFS('①在庫を貼る'!$V$6:$V$10005,$V3754,'①在庫を貼る'!$W$6:$W$10005,$W3754)+COUNTIFS('月1回_1ヶ月前の在庫'!$V$6:$V$10005,$V3754,'月1回_1ヶ月前の在庫'!$W$6:$W$10005,$W3754)&gt;0),N(U3753),N(U3753)+1))</f>
        <v/>
      </c>
      <c r="V3754" s="19">
        <f>IF($B3754="","",TEXT($B3754,"0000"))</f>
        <v/>
      </c>
      <c r="W3754" s="19">
        <f>IF($I3754="","",IF(ISNUMBER($I3754),TEXT($I3754,"0"),$I3754))</f>
        <v/>
      </c>
    </row>
    <row r="3755">
      <c r="B3755" s="25" t="n"/>
      <c r="I3755" s="25" t="n"/>
      <c r="U3755" s="19">
        <f>IF($V3755&lt;&gt;'設定'!$C$4,N(U3754),IF(OR(NOT(COUNTIF('商品マスタ'!$B$6:$B$1005,$W3755)=0),COUNTIFS('①在庫を貼る'!$V$6:$V$10005,$V3755,'①在庫を貼る'!$W$6:$W$10005,$W3755)+COUNTIFS('月1回_1ヶ月前の在庫'!$V$6:$V$10005,$V3755,'月1回_1ヶ月前の在庫'!$W$6:$W$10005,$W3755)&gt;0),N(U3754),N(U3754)+1))</f>
        <v/>
      </c>
      <c r="V3755" s="19">
        <f>IF($B3755="","",TEXT($B3755,"0000"))</f>
        <v/>
      </c>
      <c r="W3755" s="19">
        <f>IF($I3755="","",IF(ISNUMBER($I3755),TEXT($I3755,"0"),$I3755))</f>
        <v/>
      </c>
    </row>
    <row r="3756">
      <c r="B3756" s="25" t="n"/>
      <c r="I3756" s="25" t="n"/>
      <c r="U3756" s="19">
        <f>IF($V3756&lt;&gt;'設定'!$C$4,N(U3755),IF(OR(NOT(COUNTIF('商品マスタ'!$B$6:$B$1005,$W3756)=0),COUNTIFS('①在庫を貼る'!$V$6:$V$10005,$V3756,'①在庫を貼る'!$W$6:$W$10005,$W3756)+COUNTIFS('月1回_1ヶ月前の在庫'!$V$6:$V$10005,$V3756,'月1回_1ヶ月前の在庫'!$W$6:$W$10005,$W3756)&gt;0),N(U3755),N(U3755)+1))</f>
        <v/>
      </c>
      <c r="V3756" s="19">
        <f>IF($B3756="","",TEXT($B3756,"0000"))</f>
        <v/>
      </c>
      <c r="W3756" s="19">
        <f>IF($I3756="","",IF(ISNUMBER($I3756),TEXT($I3756,"0"),$I3756))</f>
        <v/>
      </c>
    </row>
    <row r="3757">
      <c r="B3757" s="25" t="n"/>
      <c r="I3757" s="25" t="n"/>
      <c r="U3757" s="19">
        <f>IF($V3757&lt;&gt;'設定'!$C$4,N(U3756),IF(OR(NOT(COUNTIF('商品マスタ'!$B$6:$B$1005,$W3757)=0),COUNTIFS('①在庫を貼る'!$V$6:$V$10005,$V3757,'①在庫を貼る'!$W$6:$W$10005,$W3757)+COUNTIFS('月1回_1ヶ月前の在庫'!$V$6:$V$10005,$V3757,'月1回_1ヶ月前の在庫'!$W$6:$W$10005,$W3757)&gt;0),N(U3756),N(U3756)+1))</f>
        <v/>
      </c>
      <c r="V3757" s="19">
        <f>IF($B3757="","",TEXT($B3757,"0000"))</f>
        <v/>
      </c>
      <c r="W3757" s="19">
        <f>IF($I3757="","",IF(ISNUMBER($I3757),TEXT($I3757,"0"),$I3757))</f>
        <v/>
      </c>
    </row>
    <row r="3758">
      <c r="B3758" s="25" t="n"/>
      <c r="I3758" s="25" t="n"/>
      <c r="U3758" s="19">
        <f>IF($V3758&lt;&gt;'設定'!$C$4,N(U3757),IF(OR(NOT(COUNTIF('商品マスタ'!$B$6:$B$1005,$W3758)=0),COUNTIFS('①在庫を貼る'!$V$6:$V$10005,$V3758,'①在庫を貼る'!$W$6:$W$10005,$W3758)+COUNTIFS('月1回_1ヶ月前の在庫'!$V$6:$V$10005,$V3758,'月1回_1ヶ月前の在庫'!$W$6:$W$10005,$W3758)&gt;0),N(U3757),N(U3757)+1))</f>
        <v/>
      </c>
      <c r="V3758" s="19">
        <f>IF($B3758="","",TEXT($B3758,"0000"))</f>
        <v/>
      </c>
      <c r="W3758" s="19">
        <f>IF($I3758="","",IF(ISNUMBER($I3758),TEXT($I3758,"0"),$I3758))</f>
        <v/>
      </c>
    </row>
    <row r="3759">
      <c r="B3759" s="25" t="n"/>
      <c r="I3759" s="25" t="n"/>
      <c r="U3759" s="19">
        <f>IF($V3759&lt;&gt;'設定'!$C$4,N(U3758),IF(OR(NOT(COUNTIF('商品マスタ'!$B$6:$B$1005,$W3759)=0),COUNTIFS('①在庫を貼る'!$V$6:$V$10005,$V3759,'①在庫を貼る'!$W$6:$W$10005,$W3759)+COUNTIFS('月1回_1ヶ月前の在庫'!$V$6:$V$10005,$V3759,'月1回_1ヶ月前の在庫'!$W$6:$W$10005,$W3759)&gt;0),N(U3758),N(U3758)+1))</f>
        <v/>
      </c>
      <c r="V3759" s="19">
        <f>IF($B3759="","",TEXT($B3759,"0000"))</f>
        <v/>
      </c>
      <c r="W3759" s="19">
        <f>IF($I3759="","",IF(ISNUMBER($I3759),TEXT($I3759,"0"),$I3759))</f>
        <v/>
      </c>
    </row>
    <row r="3760">
      <c r="B3760" s="25" t="n"/>
      <c r="I3760" s="25" t="n"/>
      <c r="U3760" s="19">
        <f>IF($V3760&lt;&gt;'設定'!$C$4,N(U3759),IF(OR(NOT(COUNTIF('商品マスタ'!$B$6:$B$1005,$W3760)=0),COUNTIFS('①在庫を貼る'!$V$6:$V$10005,$V3760,'①在庫を貼る'!$W$6:$W$10005,$W3760)+COUNTIFS('月1回_1ヶ月前の在庫'!$V$6:$V$10005,$V3760,'月1回_1ヶ月前の在庫'!$W$6:$W$10005,$W3760)&gt;0),N(U3759),N(U3759)+1))</f>
        <v/>
      </c>
      <c r="V3760" s="19">
        <f>IF($B3760="","",TEXT($B3760,"0000"))</f>
        <v/>
      </c>
      <c r="W3760" s="19">
        <f>IF($I3760="","",IF(ISNUMBER($I3760),TEXT($I3760,"0"),$I3760))</f>
        <v/>
      </c>
    </row>
    <row r="3761">
      <c r="B3761" s="25" t="n"/>
      <c r="I3761" s="25" t="n"/>
      <c r="U3761" s="19">
        <f>IF($V3761&lt;&gt;'設定'!$C$4,N(U3760),IF(OR(NOT(COUNTIF('商品マスタ'!$B$6:$B$1005,$W3761)=0),COUNTIFS('①在庫を貼る'!$V$6:$V$10005,$V3761,'①在庫を貼る'!$W$6:$W$10005,$W3761)+COUNTIFS('月1回_1ヶ月前の在庫'!$V$6:$V$10005,$V3761,'月1回_1ヶ月前の在庫'!$W$6:$W$10005,$W3761)&gt;0),N(U3760),N(U3760)+1))</f>
        <v/>
      </c>
      <c r="V3761" s="19">
        <f>IF($B3761="","",TEXT($B3761,"0000"))</f>
        <v/>
      </c>
      <c r="W3761" s="19">
        <f>IF($I3761="","",IF(ISNUMBER($I3761),TEXT($I3761,"0"),$I3761))</f>
        <v/>
      </c>
    </row>
    <row r="3762">
      <c r="B3762" s="25" t="n"/>
      <c r="I3762" s="25" t="n"/>
      <c r="U3762" s="19">
        <f>IF($V3762&lt;&gt;'設定'!$C$4,N(U3761),IF(OR(NOT(COUNTIF('商品マスタ'!$B$6:$B$1005,$W3762)=0),COUNTIFS('①在庫を貼る'!$V$6:$V$10005,$V3762,'①在庫を貼る'!$W$6:$W$10005,$W3762)+COUNTIFS('月1回_1ヶ月前の在庫'!$V$6:$V$10005,$V3762,'月1回_1ヶ月前の在庫'!$W$6:$W$10005,$W3762)&gt;0),N(U3761),N(U3761)+1))</f>
        <v/>
      </c>
      <c r="V3762" s="19">
        <f>IF($B3762="","",TEXT($B3762,"0000"))</f>
        <v/>
      </c>
      <c r="W3762" s="19">
        <f>IF($I3762="","",IF(ISNUMBER($I3762),TEXT($I3762,"0"),$I3762))</f>
        <v/>
      </c>
    </row>
    <row r="3763">
      <c r="B3763" s="25" t="n"/>
      <c r="I3763" s="25" t="n"/>
      <c r="U3763" s="19">
        <f>IF($V3763&lt;&gt;'設定'!$C$4,N(U3762),IF(OR(NOT(COUNTIF('商品マスタ'!$B$6:$B$1005,$W3763)=0),COUNTIFS('①在庫を貼る'!$V$6:$V$10005,$V3763,'①在庫を貼る'!$W$6:$W$10005,$W3763)+COUNTIFS('月1回_1ヶ月前の在庫'!$V$6:$V$10005,$V3763,'月1回_1ヶ月前の在庫'!$W$6:$W$10005,$W3763)&gt;0),N(U3762),N(U3762)+1))</f>
        <v/>
      </c>
      <c r="V3763" s="19">
        <f>IF($B3763="","",TEXT($B3763,"0000"))</f>
        <v/>
      </c>
      <c r="W3763" s="19">
        <f>IF($I3763="","",IF(ISNUMBER($I3763),TEXT($I3763,"0"),$I3763))</f>
        <v/>
      </c>
    </row>
    <row r="3764">
      <c r="B3764" s="25" t="n"/>
      <c r="I3764" s="25" t="n"/>
      <c r="U3764" s="19">
        <f>IF($V3764&lt;&gt;'設定'!$C$4,N(U3763),IF(OR(NOT(COUNTIF('商品マスタ'!$B$6:$B$1005,$W3764)=0),COUNTIFS('①在庫を貼る'!$V$6:$V$10005,$V3764,'①在庫を貼る'!$W$6:$W$10005,$W3764)+COUNTIFS('月1回_1ヶ月前の在庫'!$V$6:$V$10005,$V3764,'月1回_1ヶ月前の在庫'!$W$6:$W$10005,$W3764)&gt;0),N(U3763),N(U3763)+1))</f>
        <v/>
      </c>
      <c r="V3764" s="19">
        <f>IF($B3764="","",TEXT($B3764,"0000"))</f>
        <v/>
      </c>
      <c r="W3764" s="19">
        <f>IF($I3764="","",IF(ISNUMBER($I3764),TEXT($I3764,"0"),$I3764))</f>
        <v/>
      </c>
    </row>
    <row r="3765">
      <c r="B3765" s="25" t="n"/>
      <c r="I3765" s="25" t="n"/>
      <c r="U3765" s="19">
        <f>IF($V3765&lt;&gt;'設定'!$C$4,N(U3764),IF(OR(NOT(COUNTIF('商品マスタ'!$B$6:$B$1005,$W3765)=0),COUNTIFS('①在庫を貼る'!$V$6:$V$10005,$V3765,'①在庫を貼る'!$W$6:$W$10005,$W3765)+COUNTIFS('月1回_1ヶ月前の在庫'!$V$6:$V$10005,$V3765,'月1回_1ヶ月前の在庫'!$W$6:$W$10005,$W3765)&gt;0),N(U3764),N(U3764)+1))</f>
        <v/>
      </c>
      <c r="V3765" s="19">
        <f>IF($B3765="","",TEXT($B3765,"0000"))</f>
        <v/>
      </c>
      <c r="W3765" s="19">
        <f>IF($I3765="","",IF(ISNUMBER($I3765),TEXT($I3765,"0"),$I3765))</f>
        <v/>
      </c>
    </row>
    <row r="3766">
      <c r="B3766" s="25" t="n"/>
      <c r="I3766" s="25" t="n"/>
      <c r="U3766" s="19">
        <f>IF($V3766&lt;&gt;'設定'!$C$4,N(U3765),IF(OR(NOT(COUNTIF('商品マスタ'!$B$6:$B$1005,$W3766)=0),COUNTIFS('①在庫を貼る'!$V$6:$V$10005,$V3766,'①在庫を貼る'!$W$6:$W$10005,$W3766)+COUNTIFS('月1回_1ヶ月前の在庫'!$V$6:$V$10005,$V3766,'月1回_1ヶ月前の在庫'!$W$6:$W$10005,$W3766)&gt;0),N(U3765),N(U3765)+1))</f>
        <v/>
      </c>
      <c r="V3766" s="19">
        <f>IF($B3766="","",TEXT($B3766,"0000"))</f>
        <v/>
      </c>
      <c r="W3766" s="19">
        <f>IF($I3766="","",IF(ISNUMBER($I3766),TEXT($I3766,"0"),$I3766))</f>
        <v/>
      </c>
    </row>
    <row r="3767">
      <c r="B3767" s="25" t="n"/>
      <c r="I3767" s="25" t="n"/>
      <c r="U3767" s="19">
        <f>IF($V3767&lt;&gt;'設定'!$C$4,N(U3766),IF(OR(NOT(COUNTIF('商品マスタ'!$B$6:$B$1005,$W3767)=0),COUNTIFS('①在庫を貼る'!$V$6:$V$10005,$V3767,'①在庫を貼る'!$W$6:$W$10005,$W3767)+COUNTIFS('月1回_1ヶ月前の在庫'!$V$6:$V$10005,$V3767,'月1回_1ヶ月前の在庫'!$W$6:$W$10005,$W3767)&gt;0),N(U3766),N(U3766)+1))</f>
        <v/>
      </c>
      <c r="V3767" s="19">
        <f>IF($B3767="","",TEXT($B3767,"0000"))</f>
        <v/>
      </c>
      <c r="W3767" s="19">
        <f>IF($I3767="","",IF(ISNUMBER($I3767),TEXT($I3767,"0"),$I3767))</f>
        <v/>
      </c>
    </row>
    <row r="3768">
      <c r="B3768" s="25" t="n"/>
      <c r="I3768" s="25" t="n"/>
      <c r="U3768" s="19">
        <f>IF($V3768&lt;&gt;'設定'!$C$4,N(U3767),IF(OR(NOT(COUNTIF('商品マスタ'!$B$6:$B$1005,$W3768)=0),COUNTIFS('①在庫を貼る'!$V$6:$V$10005,$V3768,'①在庫を貼る'!$W$6:$W$10005,$W3768)+COUNTIFS('月1回_1ヶ月前の在庫'!$V$6:$V$10005,$V3768,'月1回_1ヶ月前の在庫'!$W$6:$W$10005,$W3768)&gt;0),N(U3767),N(U3767)+1))</f>
        <v/>
      </c>
      <c r="V3768" s="19">
        <f>IF($B3768="","",TEXT($B3768,"0000"))</f>
        <v/>
      </c>
      <c r="W3768" s="19">
        <f>IF($I3768="","",IF(ISNUMBER($I3768),TEXT($I3768,"0"),$I3768))</f>
        <v/>
      </c>
    </row>
    <row r="3769">
      <c r="B3769" s="25" t="n"/>
      <c r="I3769" s="25" t="n"/>
      <c r="U3769" s="19">
        <f>IF($V3769&lt;&gt;'設定'!$C$4,N(U3768),IF(OR(NOT(COUNTIF('商品マスタ'!$B$6:$B$1005,$W3769)=0),COUNTIFS('①在庫を貼る'!$V$6:$V$10005,$V3769,'①在庫を貼る'!$W$6:$W$10005,$W3769)+COUNTIFS('月1回_1ヶ月前の在庫'!$V$6:$V$10005,$V3769,'月1回_1ヶ月前の在庫'!$W$6:$W$10005,$W3769)&gt;0),N(U3768),N(U3768)+1))</f>
        <v/>
      </c>
      <c r="V3769" s="19">
        <f>IF($B3769="","",TEXT($B3769,"0000"))</f>
        <v/>
      </c>
      <c r="W3769" s="19">
        <f>IF($I3769="","",IF(ISNUMBER($I3769),TEXT($I3769,"0"),$I3769))</f>
        <v/>
      </c>
    </row>
    <row r="3770">
      <c r="B3770" s="25" t="n"/>
      <c r="I3770" s="25" t="n"/>
      <c r="U3770" s="19">
        <f>IF($V3770&lt;&gt;'設定'!$C$4,N(U3769),IF(OR(NOT(COUNTIF('商品マスタ'!$B$6:$B$1005,$W3770)=0),COUNTIFS('①在庫を貼る'!$V$6:$V$10005,$V3770,'①在庫を貼る'!$W$6:$W$10005,$W3770)+COUNTIFS('月1回_1ヶ月前の在庫'!$V$6:$V$10005,$V3770,'月1回_1ヶ月前の在庫'!$W$6:$W$10005,$W3770)&gt;0),N(U3769),N(U3769)+1))</f>
        <v/>
      </c>
      <c r="V3770" s="19">
        <f>IF($B3770="","",TEXT($B3770,"0000"))</f>
        <v/>
      </c>
      <c r="W3770" s="19">
        <f>IF($I3770="","",IF(ISNUMBER($I3770),TEXT($I3770,"0"),$I3770))</f>
        <v/>
      </c>
    </row>
    <row r="3771">
      <c r="B3771" s="25" t="n"/>
      <c r="I3771" s="25" t="n"/>
      <c r="U3771" s="19">
        <f>IF($V3771&lt;&gt;'設定'!$C$4,N(U3770),IF(OR(NOT(COUNTIF('商品マスタ'!$B$6:$B$1005,$W3771)=0),COUNTIFS('①在庫を貼る'!$V$6:$V$10005,$V3771,'①在庫を貼る'!$W$6:$W$10005,$W3771)+COUNTIFS('月1回_1ヶ月前の在庫'!$V$6:$V$10005,$V3771,'月1回_1ヶ月前の在庫'!$W$6:$W$10005,$W3771)&gt;0),N(U3770),N(U3770)+1))</f>
        <v/>
      </c>
      <c r="V3771" s="19">
        <f>IF($B3771="","",TEXT($B3771,"0000"))</f>
        <v/>
      </c>
      <c r="W3771" s="19">
        <f>IF($I3771="","",IF(ISNUMBER($I3771),TEXT($I3771,"0"),$I3771))</f>
        <v/>
      </c>
    </row>
    <row r="3772">
      <c r="B3772" s="25" t="n"/>
      <c r="I3772" s="25" t="n"/>
      <c r="U3772" s="19">
        <f>IF($V3772&lt;&gt;'設定'!$C$4,N(U3771),IF(OR(NOT(COUNTIF('商品マスタ'!$B$6:$B$1005,$W3772)=0),COUNTIFS('①在庫を貼る'!$V$6:$V$10005,$V3772,'①在庫を貼る'!$W$6:$W$10005,$W3772)+COUNTIFS('月1回_1ヶ月前の在庫'!$V$6:$V$10005,$V3772,'月1回_1ヶ月前の在庫'!$W$6:$W$10005,$W3772)&gt;0),N(U3771),N(U3771)+1))</f>
        <v/>
      </c>
      <c r="V3772" s="19">
        <f>IF($B3772="","",TEXT($B3772,"0000"))</f>
        <v/>
      </c>
      <c r="W3772" s="19">
        <f>IF($I3772="","",IF(ISNUMBER($I3772),TEXT($I3772,"0"),$I3772))</f>
        <v/>
      </c>
    </row>
    <row r="3773">
      <c r="B3773" s="25" t="n"/>
      <c r="I3773" s="25" t="n"/>
      <c r="U3773" s="19">
        <f>IF($V3773&lt;&gt;'設定'!$C$4,N(U3772),IF(OR(NOT(COUNTIF('商品マスタ'!$B$6:$B$1005,$W3773)=0),COUNTIFS('①在庫を貼る'!$V$6:$V$10005,$V3773,'①在庫を貼る'!$W$6:$W$10005,$W3773)+COUNTIFS('月1回_1ヶ月前の在庫'!$V$6:$V$10005,$V3773,'月1回_1ヶ月前の在庫'!$W$6:$W$10005,$W3773)&gt;0),N(U3772),N(U3772)+1))</f>
        <v/>
      </c>
      <c r="V3773" s="19">
        <f>IF($B3773="","",TEXT($B3773,"0000"))</f>
        <v/>
      </c>
      <c r="W3773" s="19">
        <f>IF($I3773="","",IF(ISNUMBER($I3773),TEXT($I3773,"0"),$I3773))</f>
        <v/>
      </c>
    </row>
    <row r="3774">
      <c r="B3774" s="25" t="n"/>
      <c r="I3774" s="25" t="n"/>
      <c r="U3774" s="19">
        <f>IF($V3774&lt;&gt;'設定'!$C$4,N(U3773),IF(OR(NOT(COUNTIF('商品マスタ'!$B$6:$B$1005,$W3774)=0),COUNTIFS('①在庫を貼る'!$V$6:$V$10005,$V3774,'①在庫を貼る'!$W$6:$W$10005,$W3774)+COUNTIFS('月1回_1ヶ月前の在庫'!$V$6:$V$10005,$V3774,'月1回_1ヶ月前の在庫'!$W$6:$W$10005,$W3774)&gt;0),N(U3773),N(U3773)+1))</f>
        <v/>
      </c>
      <c r="V3774" s="19">
        <f>IF($B3774="","",TEXT($B3774,"0000"))</f>
        <v/>
      </c>
      <c r="W3774" s="19">
        <f>IF($I3774="","",IF(ISNUMBER($I3774),TEXT($I3774,"0"),$I3774))</f>
        <v/>
      </c>
    </row>
    <row r="3775">
      <c r="B3775" s="25" t="n"/>
      <c r="I3775" s="25" t="n"/>
      <c r="U3775" s="19">
        <f>IF($V3775&lt;&gt;'設定'!$C$4,N(U3774),IF(OR(NOT(COUNTIF('商品マスタ'!$B$6:$B$1005,$W3775)=0),COUNTIFS('①在庫を貼る'!$V$6:$V$10005,$V3775,'①在庫を貼る'!$W$6:$W$10005,$W3775)+COUNTIFS('月1回_1ヶ月前の在庫'!$V$6:$V$10005,$V3775,'月1回_1ヶ月前の在庫'!$W$6:$W$10005,$W3775)&gt;0),N(U3774),N(U3774)+1))</f>
        <v/>
      </c>
      <c r="V3775" s="19">
        <f>IF($B3775="","",TEXT($B3775,"0000"))</f>
        <v/>
      </c>
      <c r="W3775" s="19">
        <f>IF($I3775="","",IF(ISNUMBER($I3775),TEXT($I3775,"0"),$I3775))</f>
        <v/>
      </c>
    </row>
    <row r="3776">
      <c r="B3776" s="25" t="n"/>
      <c r="I3776" s="25" t="n"/>
      <c r="U3776" s="19">
        <f>IF($V3776&lt;&gt;'設定'!$C$4,N(U3775),IF(OR(NOT(COUNTIF('商品マスタ'!$B$6:$B$1005,$W3776)=0),COUNTIFS('①在庫を貼る'!$V$6:$V$10005,$V3776,'①在庫を貼る'!$W$6:$W$10005,$W3776)+COUNTIFS('月1回_1ヶ月前の在庫'!$V$6:$V$10005,$V3776,'月1回_1ヶ月前の在庫'!$W$6:$W$10005,$W3776)&gt;0),N(U3775),N(U3775)+1))</f>
        <v/>
      </c>
      <c r="V3776" s="19">
        <f>IF($B3776="","",TEXT($B3776,"0000"))</f>
        <v/>
      </c>
      <c r="W3776" s="19">
        <f>IF($I3776="","",IF(ISNUMBER($I3776),TEXT($I3776,"0"),$I3776))</f>
        <v/>
      </c>
    </row>
    <row r="3777">
      <c r="B3777" s="25" t="n"/>
      <c r="I3777" s="25" t="n"/>
      <c r="U3777" s="19">
        <f>IF($V3777&lt;&gt;'設定'!$C$4,N(U3776),IF(OR(NOT(COUNTIF('商品マスタ'!$B$6:$B$1005,$W3777)=0),COUNTIFS('①在庫を貼る'!$V$6:$V$10005,$V3777,'①在庫を貼る'!$W$6:$W$10005,$W3777)+COUNTIFS('月1回_1ヶ月前の在庫'!$V$6:$V$10005,$V3777,'月1回_1ヶ月前の在庫'!$W$6:$W$10005,$W3777)&gt;0),N(U3776),N(U3776)+1))</f>
        <v/>
      </c>
      <c r="V3777" s="19">
        <f>IF($B3777="","",TEXT($B3777,"0000"))</f>
        <v/>
      </c>
      <c r="W3777" s="19">
        <f>IF($I3777="","",IF(ISNUMBER($I3777),TEXT($I3777,"0"),$I3777))</f>
        <v/>
      </c>
    </row>
    <row r="3778">
      <c r="B3778" s="25" t="n"/>
      <c r="I3778" s="25" t="n"/>
      <c r="U3778" s="19">
        <f>IF($V3778&lt;&gt;'設定'!$C$4,N(U3777),IF(OR(NOT(COUNTIF('商品マスタ'!$B$6:$B$1005,$W3778)=0),COUNTIFS('①在庫を貼る'!$V$6:$V$10005,$V3778,'①在庫を貼る'!$W$6:$W$10005,$W3778)+COUNTIFS('月1回_1ヶ月前の在庫'!$V$6:$V$10005,$V3778,'月1回_1ヶ月前の在庫'!$W$6:$W$10005,$W3778)&gt;0),N(U3777),N(U3777)+1))</f>
        <v/>
      </c>
      <c r="V3778" s="19">
        <f>IF($B3778="","",TEXT($B3778,"0000"))</f>
        <v/>
      </c>
      <c r="W3778" s="19">
        <f>IF($I3778="","",IF(ISNUMBER($I3778),TEXT($I3778,"0"),$I3778))</f>
        <v/>
      </c>
    </row>
    <row r="3779">
      <c r="B3779" s="25" t="n"/>
      <c r="I3779" s="25" t="n"/>
      <c r="U3779" s="19">
        <f>IF($V3779&lt;&gt;'設定'!$C$4,N(U3778),IF(OR(NOT(COUNTIF('商品マスタ'!$B$6:$B$1005,$W3779)=0),COUNTIFS('①在庫を貼る'!$V$6:$V$10005,$V3779,'①在庫を貼る'!$W$6:$W$10005,$W3779)+COUNTIFS('月1回_1ヶ月前の在庫'!$V$6:$V$10005,$V3779,'月1回_1ヶ月前の在庫'!$W$6:$W$10005,$W3779)&gt;0),N(U3778),N(U3778)+1))</f>
        <v/>
      </c>
      <c r="V3779" s="19">
        <f>IF($B3779="","",TEXT($B3779,"0000"))</f>
        <v/>
      </c>
      <c r="W3779" s="19">
        <f>IF($I3779="","",IF(ISNUMBER($I3779),TEXT($I3779,"0"),$I3779))</f>
        <v/>
      </c>
    </row>
    <row r="3780">
      <c r="B3780" s="25" t="n"/>
      <c r="I3780" s="25" t="n"/>
      <c r="U3780" s="19">
        <f>IF($V3780&lt;&gt;'設定'!$C$4,N(U3779),IF(OR(NOT(COUNTIF('商品マスタ'!$B$6:$B$1005,$W3780)=0),COUNTIFS('①在庫を貼る'!$V$6:$V$10005,$V3780,'①在庫を貼る'!$W$6:$W$10005,$W3780)+COUNTIFS('月1回_1ヶ月前の在庫'!$V$6:$V$10005,$V3780,'月1回_1ヶ月前の在庫'!$W$6:$W$10005,$W3780)&gt;0),N(U3779),N(U3779)+1))</f>
        <v/>
      </c>
      <c r="V3780" s="19">
        <f>IF($B3780="","",TEXT($B3780,"0000"))</f>
        <v/>
      </c>
      <c r="W3780" s="19">
        <f>IF($I3780="","",IF(ISNUMBER($I3780),TEXT($I3780,"0"),$I3780))</f>
        <v/>
      </c>
    </row>
    <row r="3781">
      <c r="B3781" s="25" t="n"/>
      <c r="I3781" s="25" t="n"/>
      <c r="U3781" s="19">
        <f>IF($V3781&lt;&gt;'設定'!$C$4,N(U3780),IF(OR(NOT(COUNTIF('商品マスタ'!$B$6:$B$1005,$W3781)=0),COUNTIFS('①在庫を貼る'!$V$6:$V$10005,$V3781,'①在庫を貼る'!$W$6:$W$10005,$W3781)+COUNTIFS('月1回_1ヶ月前の在庫'!$V$6:$V$10005,$V3781,'月1回_1ヶ月前の在庫'!$W$6:$W$10005,$W3781)&gt;0),N(U3780),N(U3780)+1))</f>
        <v/>
      </c>
      <c r="V3781" s="19">
        <f>IF($B3781="","",TEXT($B3781,"0000"))</f>
        <v/>
      </c>
      <c r="W3781" s="19">
        <f>IF($I3781="","",IF(ISNUMBER($I3781),TEXT($I3781,"0"),$I3781))</f>
        <v/>
      </c>
    </row>
    <row r="3782">
      <c r="B3782" s="25" t="n"/>
      <c r="I3782" s="25" t="n"/>
      <c r="U3782" s="19">
        <f>IF($V3782&lt;&gt;'設定'!$C$4,N(U3781),IF(OR(NOT(COUNTIF('商品マスタ'!$B$6:$B$1005,$W3782)=0),COUNTIFS('①在庫を貼る'!$V$6:$V$10005,$V3782,'①在庫を貼る'!$W$6:$W$10005,$W3782)+COUNTIFS('月1回_1ヶ月前の在庫'!$V$6:$V$10005,$V3782,'月1回_1ヶ月前の在庫'!$W$6:$W$10005,$W3782)&gt;0),N(U3781),N(U3781)+1))</f>
        <v/>
      </c>
      <c r="V3782" s="19">
        <f>IF($B3782="","",TEXT($B3782,"0000"))</f>
        <v/>
      </c>
      <c r="W3782" s="19">
        <f>IF($I3782="","",IF(ISNUMBER($I3782),TEXT($I3782,"0"),$I3782))</f>
        <v/>
      </c>
    </row>
    <row r="3783">
      <c r="B3783" s="25" t="n"/>
      <c r="I3783" s="25" t="n"/>
      <c r="U3783" s="19">
        <f>IF($V3783&lt;&gt;'設定'!$C$4,N(U3782),IF(OR(NOT(COUNTIF('商品マスタ'!$B$6:$B$1005,$W3783)=0),COUNTIFS('①在庫を貼る'!$V$6:$V$10005,$V3783,'①在庫を貼る'!$W$6:$W$10005,$W3783)+COUNTIFS('月1回_1ヶ月前の在庫'!$V$6:$V$10005,$V3783,'月1回_1ヶ月前の在庫'!$W$6:$W$10005,$W3783)&gt;0),N(U3782),N(U3782)+1))</f>
        <v/>
      </c>
      <c r="V3783" s="19">
        <f>IF($B3783="","",TEXT($B3783,"0000"))</f>
        <v/>
      </c>
      <c r="W3783" s="19">
        <f>IF($I3783="","",IF(ISNUMBER($I3783),TEXT($I3783,"0"),$I3783))</f>
        <v/>
      </c>
    </row>
    <row r="3784">
      <c r="B3784" s="25" t="n"/>
      <c r="I3784" s="25" t="n"/>
      <c r="U3784" s="19">
        <f>IF($V3784&lt;&gt;'設定'!$C$4,N(U3783),IF(OR(NOT(COUNTIF('商品マスタ'!$B$6:$B$1005,$W3784)=0),COUNTIFS('①在庫を貼る'!$V$6:$V$10005,$V3784,'①在庫を貼る'!$W$6:$W$10005,$W3784)+COUNTIFS('月1回_1ヶ月前の在庫'!$V$6:$V$10005,$V3784,'月1回_1ヶ月前の在庫'!$W$6:$W$10005,$W3784)&gt;0),N(U3783),N(U3783)+1))</f>
        <v/>
      </c>
      <c r="V3784" s="19">
        <f>IF($B3784="","",TEXT($B3784,"0000"))</f>
        <v/>
      </c>
      <c r="W3784" s="19">
        <f>IF($I3784="","",IF(ISNUMBER($I3784),TEXT($I3784,"0"),$I3784))</f>
        <v/>
      </c>
    </row>
    <row r="3785">
      <c r="B3785" s="25" t="n"/>
      <c r="I3785" s="25" t="n"/>
      <c r="U3785" s="19">
        <f>IF($V3785&lt;&gt;'設定'!$C$4,N(U3784),IF(OR(NOT(COUNTIF('商品マスタ'!$B$6:$B$1005,$W3785)=0),COUNTIFS('①在庫を貼る'!$V$6:$V$10005,$V3785,'①在庫を貼る'!$W$6:$W$10005,$W3785)+COUNTIFS('月1回_1ヶ月前の在庫'!$V$6:$V$10005,$V3785,'月1回_1ヶ月前の在庫'!$W$6:$W$10005,$W3785)&gt;0),N(U3784),N(U3784)+1))</f>
        <v/>
      </c>
      <c r="V3785" s="19">
        <f>IF($B3785="","",TEXT($B3785,"0000"))</f>
        <v/>
      </c>
      <c r="W3785" s="19">
        <f>IF($I3785="","",IF(ISNUMBER($I3785),TEXT($I3785,"0"),$I3785))</f>
        <v/>
      </c>
    </row>
    <row r="3786">
      <c r="B3786" s="25" t="n"/>
      <c r="I3786" s="25" t="n"/>
      <c r="U3786" s="19">
        <f>IF($V3786&lt;&gt;'設定'!$C$4,N(U3785),IF(OR(NOT(COUNTIF('商品マスタ'!$B$6:$B$1005,$W3786)=0),COUNTIFS('①在庫を貼る'!$V$6:$V$10005,$V3786,'①在庫を貼る'!$W$6:$W$10005,$W3786)+COUNTIFS('月1回_1ヶ月前の在庫'!$V$6:$V$10005,$V3786,'月1回_1ヶ月前の在庫'!$W$6:$W$10005,$W3786)&gt;0),N(U3785),N(U3785)+1))</f>
        <v/>
      </c>
      <c r="V3786" s="19">
        <f>IF($B3786="","",TEXT($B3786,"0000"))</f>
        <v/>
      </c>
      <c r="W3786" s="19">
        <f>IF($I3786="","",IF(ISNUMBER($I3786),TEXT($I3786,"0"),$I3786))</f>
        <v/>
      </c>
    </row>
    <row r="3787">
      <c r="B3787" s="25" t="n"/>
      <c r="I3787" s="25" t="n"/>
      <c r="U3787" s="19">
        <f>IF($V3787&lt;&gt;'設定'!$C$4,N(U3786),IF(OR(NOT(COUNTIF('商品マスタ'!$B$6:$B$1005,$W3787)=0),COUNTIFS('①在庫を貼る'!$V$6:$V$10005,$V3787,'①在庫を貼る'!$W$6:$W$10005,$W3787)+COUNTIFS('月1回_1ヶ月前の在庫'!$V$6:$V$10005,$V3787,'月1回_1ヶ月前の在庫'!$W$6:$W$10005,$W3787)&gt;0),N(U3786),N(U3786)+1))</f>
        <v/>
      </c>
      <c r="V3787" s="19">
        <f>IF($B3787="","",TEXT($B3787,"0000"))</f>
        <v/>
      </c>
      <c r="W3787" s="19">
        <f>IF($I3787="","",IF(ISNUMBER($I3787),TEXT($I3787,"0"),$I3787))</f>
        <v/>
      </c>
    </row>
    <row r="3788">
      <c r="B3788" s="25" t="n"/>
      <c r="I3788" s="25" t="n"/>
      <c r="U3788" s="19">
        <f>IF($V3788&lt;&gt;'設定'!$C$4,N(U3787),IF(OR(NOT(COUNTIF('商品マスタ'!$B$6:$B$1005,$W3788)=0),COUNTIFS('①在庫を貼る'!$V$6:$V$10005,$V3788,'①在庫を貼る'!$W$6:$W$10005,$W3788)+COUNTIFS('月1回_1ヶ月前の在庫'!$V$6:$V$10005,$V3788,'月1回_1ヶ月前の在庫'!$W$6:$W$10005,$W3788)&gt;0),N(U3787),N(U3787)+1))</f>
        <v/>
      </c>
      <c r="V3788" s="19">
        <f>IF($B3788="","",TEXT($B3788,"0000"))</f>
        <v/>
      </c>
      <c r="W3788" s="19">
        <f>IF($I3788="","",IF(ISNUMBER($I3788),TEXT($I3788,"0"),$I3788))</f>
        <v/>
      </c>
    </row>
    <row r="3789">
      <c r="B3789" s="25" t="n"/>
      <c r="I3789" s="25" t="n"/>
      <c r="U3789" s="19">
        <f>IF($V3789&lt;&gt;'設定'!$C$4,N(U3788),IF(OR(NOT(COUNTIF('商品マスタ'!$B$6:$B$1005,$W3789)=0),COUNTIFS('①在庫を貼る'!$V$6:$V$10005,$V3789,'①在庫を貼る'!$W$6:$W$10005,$W3789)+COUNTIFS('月1回_1ヶ月前の在庫'!$V$6:$V$10005,$V3789,'月1回_1ヶ月前の在庫'!$W$6:$W$10005,$W3789)&gt;0),N(U3788),N(U3788)+1))</f>
        <v/>
      </c>
      <c r="V3789" s="19">
        <f>IF($B3789="","",TEXT($B3789,"0000"))</f>
        <v/>
      </c>
      <c r="W3789" s="19">
        <f>IF($I3789="","",IF(ISNUMBER($I3789),TEXT($I3789,"0"),$I3789))</f>
        <v/>
      </c>
    </row>
    <row r="3790">
      <c r="B3790" s="25" t="n"/>
      <c r="I3790" s="25" t="n"/>
      <c r="U3790" s="19">
        <f>IF($V3790&lt;&gt;'設定'!$C$4,N(U3789),IF(OR(NOT(COUNTIF('商品マスタ'!$B$6:$B$1005,$W3790)=0),COUNTIFS('①在庫を貼る'!$V$6:$V$10005,$V3790,'①在庫を貼る'!$W$6:$W$10005,$W3790)+COUNTIFS('月1回_1ヶ月前の在庫'!$V$6:$V$10005,$V3790,'月1回_1ヶ月前の在庫'!$W$6:$W$10005,$W3790)&gt;0),N(U3789),N(U3789)+1))</f>
        <v/>
      </c>
      <c r="V3790" s="19">
        <f>IF($B3790="","",TEXT($B3790,"0000"))</f>
        <v/>
      </c>
      <c r="W3790" s="19">
        <f>IF($I3790="","",IF(ISNUMBER($I3790),TEXT($I3790,"0"),$I3790))</f>
        <v/>
      </c>
    </row>
    <row r="3791">
      <c r="B3791" s="25" t="n"/>
      <c r="I3791" s="25" t="n"/>
      <c r="U3791" s="19">
        <f>IF($V3791&lt;&gt;'設定'!$C$4,N(U3790),IF(OR(NOT(COUNTIF('商品マスタ'!$B$6:$B$1005,$W3791)=0),COUNTIFS('①在庫を貼る'!$V$6:$V$10005,$V3791,'①在庫を貼る'!$W$6:$W$10005,$W3791)+COUNTIFS('月1回_1ヶ月前の在庫'!$V$6:$V$10005,$V3791,'月1回_1ヶ月前の在庫'!$W$6:$W$10005,$W3791)&gt;0),N(U3790),N(U3790)+1))</f>
        <v/>
      </c>
      <c r="V3791" s="19">
        <f>IF($B3791="","",TEXT($B3791,"0000"))</f>
        <v/>
      </c>
      <c r="W3791" s="19">
        <f>IF($I3791="","",IF(ISNUMBER($I3791),TEXT($I3791,"0"),$I3791))</f>
        <v/>
      </c>
    </row>
    <row r="3792">
      <c r="B3792" s="25" t="n"/>
      <c r="I3792" s="25" t="n"/>
      <c r="U3792" s="19">
        <f>IF($V3792&lt;&gt;'設定'!$C$4,N(U3791),IF(OR(NOT(COUNTIF('商品マスタ'!$B$6:$B$1005,$W3792)=0),COUNTIFS('①在庫を貼る'!$V$6:$V$10005,$V3792,'①在庫を貼る'!$W$6:$W$10005,$W3792)+COUNTIFS('月1回_1ヶ月前の在庫'!$V$6:$V$10005,$V3792,'月1回_1ヶ月前の在庫'!$W$6:$W$10005,$W3792)&gt;0),N(U3791),N(U3791)+1))</f>
        <v/>
      </c>
      <c r="V3792" s="19">
        <f>IF($B3792="","",TEXT($B3792,"0000"))</f>
        <v/>
      </c>
      <c r="W3792" s="19">
        <f>IF($I3792="","",IF(ISNUMBER($I3792),TEXT($I3792,"0"),$I3792))</f>
        <v/>
      </c>
    </row>
    <row r="3793">
      <c r="B3793" s="25" t="n"/>
      <c r="I3793" s="25" t="n"/>
      <c r="U3793" s="19">
        <f>IF($V3793&lt;&gt;'設定'!$C$4,N(U3792),IF(OR(NOT(COUNTIF('商品マスタ'!$B$6:$B$1005,$W3793)=0),COUNTIFS('①在庫を貼る'!$V$6:$V$10005,$V3793,'①在庫を貼る'!$W$6:$W$10005,$W3793)+COUNTIFS('月1回_1ヶ月前の在庫'!$V$6:$V$10005,$V3793,'月1回_1ヶ月前の在庫'!$W$6:$W$10005,$W3793)&gt;0),N(U3792),N(U3792)+1))</f>
        <v/>
      </c>
      <c r="V3793" s="19">
        <f>IF($B3793="","",TEXT($B3793,"0000"))</f>
        <v/>
      </c>
      <c r="W3793" s="19">
        <f>IF($I3793="","",IF(ISNUMBER($I3793),TEXT($I3793,"0"),$I3793))</f>
        <v/>
      </c>
    </row>
    <row r="3794">
      <c r="B3794" s="25" t="n"/>
      <c r="I3794" s="25" t="n"/>
      <c r="U3794" s="19">
        <f>IF($V3794&lt;&gt;'設定'!$C$4,N(U3793),IF(OR(NOT(COUNTIF('商品マスタ'!$B$6:$B$1005,$W3794)=0),COUNTIFS('①在庫を貼る'!$V$6:$V$10005,$V3794,'①在庫を貼る'!$W$6:$W$10005,$W3794)+COUNTIFS('月1回_1ヶ月前の在庫'!$V$6:$V$10005,$V3794,'月1回_1ヶ月前の在庫'!$W$6:$W$10005,$W3794)&gt;0),N(U3793),N(U3793)+1))</f>
        <v/>
      </c>
      <c r="V3794" s="19">
        <f>IF($B3794="","",TEXT($B3794,"0000"))</f>
        <v/>
      </c>
      <c r="W3794" s="19">
        <f>IF($I3794="","",IF(ISNUMBER($I3794),TEXT($I3794,"0"),$I3794))</f>
        <v/>
      </c>
    </row>
    <row r="3795">
      <c r="B3795" s="25" t="n"/>
      <c r="I3795" s="25" t="n"/>
      <c r="U3795" s="19">
        <f>IF($V3795&lt;&gt;'設定'!$C$4,N(U3794),IF(OR(NOT(COUNTIF('商品マスタ'!$B$6:$B$1005,$W3795)=0),COUNTIFS('①在庫を貼る'!$V$6:$V$10005,$V3795,'①在庫を貼る'!$W$6:$W$10005,$W3795)+COUNTIFS('月1回_1ヶ月前の在庫'!$V$6:$V$10005,$V3795,'月1回_1ヶ月前の在庫'!$W$6:$W$10005,$W3795)&gt;0),N(U3794),N(U3794)+1))</f>
        <v/>
      </c>
      <c r="V3795" s="19">
        <f>IF($B3795="","",TEXT($B3795,"0000"))</f>
        <v/>
      </c>
      <c r="W3795" s="19">
        <f>IF($I3795="","",IF(ISNUMBER($I3795),TEXT($I3795,"0"),$I3795))</f>
        <v/>
      </c>
    </row>
    <row r="3796">
      <c r="B3796" s="25" t="n"/>
      <c r="I3796" s="25" t="n"/>
      <c r="U3796" s="19">
        <f>IF($V3796&lt;&gt;'設定'!$C$4,N(U3795),IF(OR(NOT(COUNTIF('商品マスタ'!$B$6:$B$1005,$W3796)=0),COUNTIFS('①在庫を貼る'!$V$6:$V$10005,$V3796,'①在庫を貼る'!$W$6:$W$10005,$W3796)+COUNTIFS('月1回_1ヶ月前の在庫'!$V$6:$V$10005,$V3796,'月1回_1ヶ月前の在庫'!$W$6:$W$10005,$W3796)&gt;0),N(U3795),N(U3795)+1))</f>
        <v/>
      </c>
      <c r="V3796" s="19">
        <f>IF($B3796="","",TEXT($B3796,"0000"))</f>
        <v/>
      </c>
      <c r="W3796" s="19">
        <f>IF($I3796="","",IF(ISNUMBER($I3796),TEXT($I3796,"0"),$I3796))</f>
        <v/>
      </c>
    </row>
    <row r="3797">
      <c r="B3797" s="25" t="n"/>
      <c r="I3797" s="25" t="n"/>
      <c r="U3797" s="19">
        <f>IF($V3797&lt;&gt;'設定'!$C$4,N(U3796),IF(OR(NOT(COUNTIF('商品マスタ'!$B$6:$B$1005,$W3797)=0),COUNTIFS('①在庫を貼る'!$V$6:$V$10005,$V3797,'①在庫を貼る'!$W$6:$W$10005,$W3797)+COUNTIFS('月1回_1ヶ月前の在庫'!$V$6:$V$10005,$V3797,'月1回_1ヶ月前の在庫'!$W$6:$W$10005,$W3797)&gt;0),N(U3796),N(U3796)+1))</f>
        <v/>
      </c>
      <c r="V3797" s="19">
        <f>IF($B3797="","",TEXT($B3797,"0000"))</f>
        <v/>
      </c>
      <c r="W3797" s="19">
        <f>IF($I3797="","",IF(ISNUMBER($I3797),TEXT($I3797,"0"),$I3797))</f>
        <v/>
      </c>
    </row>
    <row r="3798">
      <c r="B3798" s="25" t="n"/>
      <c r="I3798" s="25" t="n"/>
      <c r="U3798" s="19">
        <f>IF($V3798&lt;&gt;'設定'!$C$4,N(U3797),IF(OR(NOT(COUNTIF('商品マスタ'!$B$6:$B$1005,$W3798)=0),COUNTIFS('①在庫を貼る'!$V$6:$V$10005,$V3798,'①在庫を貼る'!$W$6:$W$10005,$W3798)+COUNTIFS('月1回_1ヶ月前の在庫'!$V$6:$V$10005,$V3798,'月1回_1ヶ月前の在庫'!$W$6:$W$10005,$W3798)&gt;0),N(U3797),N(U3797)+1))</f>
        <v/>
      </c>
      <c r="V3798" s="19">
        <f>IF($B3798="","",TEXT($B3798,"0000"))</f>
        <v/>
      </c>
      <c r="W3798" s="19">
        <f>IF($I3798="","",IF(ISNUMBER($I3798),TEXT($I3798,"0"),$I3798))</f>
        <v/>
      </c>
    </row>
    <row r="3799">
      <c r="B3799" s="25" t="n"/>
      <c r="I3799" s="25" t="n"/>
      <c r="U3799" s="19">
        <f>IF($V3799&lt;&gt;'設定'!$C$4,N(U3798),IF(OR(NOT(COUNTIF('商品マスタ'!$B$6:$B$1005,$W3799)=0),COUNTIFS('①在庫を貼る'!$V$6:$V$10005,$V3799,'①在庫を貼る'!$W$6:$W$10005,$W3799)+COUNTIFS('月1回_1ヶ月前の在庫'!$V$6:$V$10005,$V3799,'月1回_1ヶ月前の在庫'!$W$6:$W$10005,$W3799)&gt;0),N(U3798),N(U3798)+1))</f>
        <v/>
      </c>
      <c r="V3799" s="19">
        <f>IF($B3799="","",TEXT($B3799,"0000"))</f>
        <v/>
      </c>
      <c r="W3799" s="19">
        <f>IF($I3799="","",IF(ISNUMBER($I3799),TEXT($I3799,"0"),$I3799))</f>
        <v/>
      </c>
    </row>
    <row r="3800">
      <c r="B3800" s="25" t="n"/>
      <c r="I3800" s="25" t="n"/>
      <c r="U3800" s="19">
        <f>IF($V3800&lt;&gt;'設定'!$C$4,N(U3799),IF(OR(NOT(COUNTIF('商品マスタ'!$B$6:$B$1005,$W3800)=0),COUNTIFS('①在庫を貼る'!$V$6:$V$10005,$V3800,'①在庫を貼る'!$W$6:$W$10005,$W3800)+COUNTIFS('月1回_1ヶ月前の在庫'!$V$6:$V$10005,$V3800,'月1回_1ヶ月前の在庫'!$W$6:$W$10005,$W3800)&gt;0),N(U3799),N(U3799)+1))</f>
        <v/>
      </c>
      <c r="V3800" s="19">
        <f>IF($B3800="","",TEXT($B3800,"0000"))</f>
        <v/>
      </c>
      <c r="W3800" s="19">
        <f>IF($I3800="","",IF(ISNUMBER($I3800),TEXT($I3800,"0"),$I3800))</f>
        <v/>
      </c>
    </row>
    <row r="3801">
      <c r="B3801" s="25" t="n"/>
      <c r="I3801" s="25" t="n"/>
      <c r="U3801" s="19">
        <f>IF($V3801&lt;&gt;'設定'!$C$4,N(U3800),IF(OR(NOT(COUNTIF('商品マスタ'!$B$6:$B$1005,$W3801)=0),COUNTIFS('①在庫を貼る'!$V$6:$V$10005,$V3801,'①在庫を貼る'!$W$6:$W$10005,$W3801)+COUNTIFS('月1回_1ヶ月前の在庫'!$V$6:$V$10005,$V3801,'月1回_1ヶ月前の在庫'!$W$6:$W$10005,$W3801)&gt;0),N(U3800),N(U3800)+1))</f>
        <v/>
      </c>
      <c r="V3801" s="19">
        <f>IF($B3801="","",TEXT($B3801,"0000"))</f>
        <v/>
      </c>
      <c r="W3801" s="19">
        <f>IF($I3801="","",IF(ISNUMBER($I3801),TEXT($I3801,"0"),$I3801))</f>
        <v/>
      </c>
    </row>
    <row r="3802">
      <c r="B3802" s="25" t="n"/>
      <c r="I3802" s="25" t="n"/>
      <c r="U3802" s="19">
        <f>IF($V3802&lt;&gt;'設定'!$C$4,N(U3801),IF(OR(NOT(COUNTIF('商品マスタ'!$B$6:$B$1005,$W3802)=0),COUNTIFS('①在庫を貼る'!$V$6:$V$10005,$V3802,'①在庫を貼る'!$W$6:$W$10005,$W3802)+COUNTIFS('月1回_1ヶ月前の在庫'!$V$6:$V$10005,$V3802,'月1回_1ヶ月前の在庫'!$W$6:$W$10005,$W3802)&gt;0),N(U3801),N(U3801)+1))</f>
        <v/>
      </c>
      <c r="V3802" s="19">
        <f>IF($B3802="","",TEXT($B3802,"0000"))</f>
        <v/>
      </c>
      <c r="W3802" s="19">
        <f>IF($I3802="","",IF(ISNUMBER($I3802),TEXT($I3802,"0"),$I3802))</f>
        <v/>
      </c>
    </row>
    <row r="3803">
      <c r="B3803" s="25" t="n"/>
      <c r="I3803" s="25" t="n"/>
      <c r="U3803" s="19">
        <f>IF($V3803&lt;&gt;'設定'!$C$4,N(U3802),IF(OR(NOT(COUNTIF('商品マスタ'!$B$6:$B$1005,$W3803)=0),COUNTIFS('①在庫を貼る'!$V$6:$V$10005,$V3803,'①在庫を貼る'!$W$6:$W$10005,$W3803)+COUNTIFS('月1回_1ヶ月前の在庫'!$V$6:$V$10005,$V3803,'月1回_1ヶ月前の在庫'!$W$6:$W$10005,$W3803)&gt;0),N(U3802),N(U3802)+1))</f>
        <v/>
      </c>
      <c r="V3803" s="19">
        <f>IF($B3803="","",TEXT($B3803,"0000"))</f>
        <v/>
      </c>
      <c r="W3803" s="19">
        <f>IF($I3803="","",IF(ISNUMBER($I3803),TEXT($I3803,"0"),$I3803))</f>
        <v/>
      </c>
    </row>
    <row r="3804">
      <c r="B3804" s="25" t="n"/>
      <c r="I3804" s="25" t="n"/>
      <c r="U3804" s="19">
        <f>IF($V3804&lt;&gt;'設定'!$C$4,N(U3803),IF(OR(NOT(COUNTIF('商品マスタ'!$B$6:$B$1005,$W3804)=0),COUNTIFS('①在庫を貼る'!$V$6:$V$10005,$V3804,'①在庫を貼る'!$W$6:$W$10005,$W3804)+COUNTIFS('月1回_1ヶ月前の在庫'!$V$6:$V$10005,$V3804,'月1回_1ヶ月前の在庫'!$W$6:$W$10005,$W3804)&gt;0),N(U3803),N(U3803)+1))</f>
        <v/>
      </c>
      <c r="V3804" s="19">
        <f>IF($B3804="","",TEXT($B3804,"0000"))</f>
        <v/>
      </c>
      <c r="W3804" s="19">
        <f>IF($I3804="","",IF(ISNUMBER($I3804),TEXT($I3804,"0"),$I3804))</f>
        <v/>
      </c>
    </row>
    <row r="3805">
      <c r="B3805" s="25" t="n"/>
      <c r="I3805" s="25" t="n"/>
      <c r="U3805" s="19">
        <f>IF($V3805&lt;&gt;'設定'!$C$4,N(U3804),IF(OR(NOT(COUNTIF('商品マスタ'!$B$6:$B$1005,$W3805)=0),COUNTIFS('①在庫を貼る'!$V$6:$V$10005,$V3805,'①在庫を貼る'!$W$6:$W$10005,$W3805)+COUNTIFS('月1回_1ヶ月前の在庫'!$V$6:$V$10005,$V3805,'月1回_1ヶ月前の在庫'!$W$6:$W$10005,$W3805)&gt;0),N(U3804),N(U3804)+1))</f>
        <v/>
      </c>
      <c r="V3805" s="19">
        <f>IF($B3805="","",TEXT($B3805,"0000"))</f>
        <v/>
      </c>
      <c r="W3805" s="19">
        <f>IF($I3805="","",IF(ISNUMBER($I3805),TEXT($I3805,"0"),$I3805))</f>
        <v/>
      </c>
    </row>
    <row r="3806">
      <c r="B3806" s="25" t="n"/>
      <c r="I3806" s="25" t="n"/>
      <c r="U3806" s="19">
        <f>IF($V3806&lt;&gt;'設定'!$C$4,N(U3805),IF(OR(NOT(COUNTIF('商品マスタ'!$B$6:$B$1005,$W3806)=0),COUNTIFS('①在庫を貼る'!$V$6:$V$10005,$V3806,'①在庫を貼る'!$W$6:$W$10005,$W3806)+COUNTIFS('月1回_1ヶ月前の在庫'!$V$6:$V$10005,$V3806,'月1回_1ヶ月前の在庫'!$W$6:$W$10005,$W3806)&gt;0),N(U3805),N(U3805)+1))</f>
        <v/>
      </c>
      <c r="V3806" s="19">
        <f>IF($B3806="","",TEXT($B3806,"0000"))</f>
        <v/>
      </c>
      <c r="W3806" s="19">
        <f>IF($I3806="","",IF(ISNUMBER($I3806),TEXT($I3806,"0"),$I3806))</f>
        <v/>
      </c>
    </row>
    <row r="3807">
      <c r="B3807" s="25" t="n"/>
      <c r="I3807" s="25" t="n"/>
      <c r="U3807" s="19">
        <f>IF($V3807&lt;&gt;'設定'!$C$4,N(U3806),IF(OR(NOT(COUNTIF('商品マスタ'!$B$6:$B$1005,$W3807)=0),COUNTIFS('①在庫を貼る'!$V$6:$V$10005,$V3807,'①在庫を貼る'!$W$6:$W$10005,$W3807)+COUNTIFS('月1回_1ヶ月前の在庫'!$V$6:$V$10005,$V3807,'月1回_1ヶ月前の在庫'!$W$6:$W$10005,$W3807)&gt;0),N(U3806),N(U3806)+1))</f>
        <v/>
      </c>
      <c r="V3807" s="19">
        <f>IF($B3807="","",TEXT($B3807,"0000"))</f>
        <v/>
      </c>
      <c r="W3807" s="19">
        <f>IF($I3807="","",IF(ISNUMBER($I3807),TEXT($I3807,"0"),$I3807))</f>
        <v/>
      </c>
    </row>
    <row r="3808">
      <c r="B3808" s="25" t="n"/>
      <c r="I3808" s="25" t="n"/>
      <c r="U3808" s="19">
        <f>IF($V3808&lt;&gt;'設定'!$C$4,N(U3807),IF(OR(NOT(COUNTIF('商品マスタ'!$B$6:$B$1005,$W3808)=0),COUNTIFS('①在庫を貼る'!$V$6:$V$10005,$V3808,'①在庫を貼る'!$W$6:$W$10005,$W3808)+COUNTIFS('月1回_1ヶ月前の在庫'!$V$6:$V$10005,$V3808,'月1回_1ヶ月前の在庫'!$W$6:$W$10005,$W3808)&gt;0),N(U3807),N(U3807)+1))</f>
        <v/>
      </c>
      <c r="V3808" s="19">
        <f>IF($B3808="","",TEXT($B3808,"0000"))</f>
        <v/>
      </c>
      <c r="W3808" s="19">
        <f>IF($I3808="","",IF(ISNUMBER($I3808),TEXT($I3808,"0"),$I3808))</f>
        <v/>
      </c>
    </row>
    <row r="3809">
      <c r="B3809" s="25" t="n"/>
      <c r="I3809" s="25" t="n"/>
      <c r="U3809" s="19">
        <f>IF($V3809&lt;&gt;'設定'!$C$4,N(U3808),IF(OR(NOT(COUNTIF('商品マスタ'!$B$6:$B$1005,$W3809)=0),COUNTIFS('①在庫を貼る'!$V$6:$V$10005,$V3809,'①在庫を貼る'!$W$6:$W$10005,$W3809)+COUNTIFS('月1回_1ヶ月前の在庫'!$V$6:$V$10005,$V3809,'月1回_1ヶ月前の在庫'!$W$6:$W$10005,$W3809)&gt;0),N(U3808),N(U3808)+1))</f>
        <v/>
      </c>
      <c r="V3809" s="19">
        <f>IF($B3809="","",TEXT($B3809,"0000"))</f>
        <v/>
      </c>
      <c r="W3809" s="19">
        <f>IF($I3809="","",IF(ISNUMBER($I3809),TEXT($I3809,"0"),$I3809))</f>
        <v/>
      </c>
    </row>
    <row r="3810">
      <c r="B3810" s="25" t="n"/>
      <c r="I3810" s="25" t="n"/>
      <c r="U3810" s="19">
        <f>IF($V3810&lt;&gt;'設定'!$C$4,N(U3809),IF(OR(NOT(COUNTIF('商品マスタ'!$B$6:$B$1005,$W3810)=0),COUNTIFS('①在庫を貼る'!$V$6:$V$10005,$V3810,'①在庫を貼る'!$W$6:$W$10005,$W3810)+COUNTIFS('月1回_1ヶ月前の在庫'!$V$6:$V$10005,$V3810,'月1回_1ヶ月前の在庫'!$W$6:$W$10005,$W3810)&gt;0),N(U3809),N(U3809)+1))</f>
        <v/>
      </c>
      <c r="V3810" s="19">
        <f>IF($B3810="","",TEXT($B3810,"0000"))</f>
        <v/>
      </c>
      <c r="W3810" s="19">
        <f>IF($I3810="","",IF(ISNUMBER($I3810),TEXT($I3810,"0"),$I3810))</f>
        <v/>
      </c>
    </row>
    <row r="3811">
      <c r="B3811" s="25" t="n"/>
      <c r="I3811" s="25" t="n"/>
      <c r="U3811" s="19">
        <f>IF($V3811&lt;&gt;'設定'!$C$4,N(U3810),IF(OR(NOT(COUNTIF('商品マスタ'!$B$6:$B$1005,$W3811)=0),COUNTIFS('①在庫を貼る'!$V$6:$V$10005,$V3811,'①在庫を貼る'!$W$6:$W$10005,$W3811)+COUNTIFS('月1回_1ヶ月前の在庫'!$V$6:$V$10005,$V3811,'月1回_1ヶ月前の在庫'!$W$6:$W$10005,$W3811)&gt;0),N(U3810),N(U3810)+1))</f>
        <v/>
      </c>
      <c r="V3811" s="19">
        <f>IF($B3811="","",TEXT($B3811,"0000"))</f>
        <v/>
      </c>
      <c r="W3811" s="19">
        <f>IF($I3811="","",IF(ISNUMBER($I3811),TEXT($I3811,"0"),$I3811))</f>
        <v/>
      </c>
    </row>
    <row r="3812">
      <c r="B3812" s="25" t="n"/>
      <c r="I3812" s="25" t="n"/>
      <c r="U3812" s="19">
        <f>IF($V3812&lt;&gt;'設定'!$C$4,N(U3811),IF(OR(NOT(COUNTIF('商品マスタ'!$B$6:$B$1005,$W3812)=0),COUNTIFS('①在庫を貼る'!$V$6:$V$10005,$V3812,'①在庫を貼る'!$W$6:$W$10005,$W3812)+COUNTIFS('月1回_1ヶ月前の在庫'!$V$6:$V$10005,$V3812,'月1回_1ヶ月前の在庫'!$W$6:$W$10005,$W3812)&gt;0),N(U3811),N(U3811)+1))</f>
        <v/>
      </c>
      <c r="V3812" s="19">
        <f>IF($B3812="","",TEXT($B3812,"0000"))</f>
        <v/>
      </c>
      <c r="W3812" s="19">
        <f>IF($I3812="","",IF(ISNUMBER($I3812),TEXT($I3812,"0"),$I3812))</f>
        <v/>
      </c>
    </row>
    <row r="3813">
      <c r="B3813" s="25" t="n"/>
      <c r="I3813" s="25" t="n"/>
      <c r="U3813" s="19">
        <f>IF($V3813&lt;&gt;'設定'!$C$4,N(U3812),IF(OR(NOT(COUNTIF('商品マスタ'!$B$6:$B$1005,$W3813)=0),COUNTIFS('①在庫を貼る'!$V$6:$V$10005,$V3813,'①在庫を貼る'!$W$6:$W$10005,$W3813)+COUNTIFS('月1回_1ヶ月前の在庫'!$V$6:$V$10005,$V3813,'月1回_1ヶ月前の在庫'!$W$6:$W$10005,$W3813)&gt;0),N(U3812),N(U3812)+1))</f>
        <v/>
      </c>
      <c r="V3813" s="19">
        <f>IF($B3813="","",TEXT($B3813,"0000"))</f>
        <v/>
      </c>
      <c r="W3813" s="19">
        <f>IF($I3813="","",IF(ISNUMBER($I3813),TEXT($I3813,"0"),$I3813))</f>
        <v/>
      </c>
    </row>
    <row r="3814">
      <c r="B3814" s="25" t="n"/>
      <c r="I3814" s="25" t="n"/>
      <c r="U3814" s="19">
        <f>IF($V3814&lt;&gt;'設定'!$C$4,N(U3813),IF(OR(NOT(COUNTIF('商品マスタ'!$B$6:$B$1005,$W3814)=0),COUNTIFS('①在庫を貼る'!$V$6:$V$10005,$V3814,'①在庫を貼る'!$W$6:$W$10005,$W3814)+COUNTIFS('月1回_1ヶ月前の在庫'!$V$6:$V$10005,$V3814,'月1回_1ヶ月前の在庫'!$W$6:$W$10005,$W3814)&gt;0),N(U3813),N(U3813)+1))</f>
        <v/>
      </c>
      <c r="V3814" s="19">
        <f>IF($B3814="","",TEXT($B3814,"0000"))</f>
        <v/>
      </c>
      <c r="W3814" s="19">
        <f>IF($I3814="","",IF(ISNUMBER($I3814),TEXT($I3814,"0"),$I3814))</f>
        <v/>
      </c>
    </row>
    <row r="3815">
      <c r="B3815" s="25" t="n"/>
      <c r="I3815" s="25" t="n"/>
      <c r="U3815" s="19">
        <f>IF($V3815&lt;&gt;'設定'!$C$4,N(U3814),IF(OR(NOT(COUNTIF('商品マスタ'!$B$6:$B$1005,$W3815)=0),COUNTIFS('①在庫を貼る'!$V$6:$V$10005,$V3815,'①在庫を貼る'!$W$6:$W$10005,$W3815)+COUNTIFS('月1回_1ヶ月前の在庫'!$V$6:$V$10005,$V3815,'月1回_1ヶ月前の在庫'!$W$6:$W$10005,$W3815)&gt;0),N(U3814),N(U3814)+1))</f>
        <v/>
      </c>
      <c r="V3815" s="19">
        <f>IF($B3815="","",TEXT($B3815,"0000"))</f>
        <v/>
      </c>
      <c r="W3815" s="19">
        <f>IF($I3815="","",IF(ISNUMBER($I3815),TEXT($I3815,"0"),$I3815))</f>
        <v/>
      </c>
    </row>
    <row r="3816">
      <c r="B3816" s="25" t="n"/>
      <c r="I3816" s="25" t="n"/>
      <c r="U3816" s="19">
        <f>IF($V3816&lt;&gt;'設定'!$C$4,N(U3815),IF(OR(NOT(COUNTIF('商品マスタ'!$B$6:$B$1005,$W3816)=0),COUNTIFS('①在庫を貼る'!$V$6:$V$10005,$V3816,'①在庫を貼る'!$W$6:$W$10005,$W3816)+COUNTIFS('月1回_1ヶ月前の在庫'!$V$6:$V$10005,$V3816,'月1回_1ヶ月前の在庫'!$W$6:$W$10005,$W3816)&gt;0),N(U3815),N(U3815)+1))</f>
        <v/>
      </c>
      <c r="V3816" s="19">
        <f>IF($B3816="","",TEXT($B3816,"0000"))</f>
        <v/>
      </c>
      <c r="W3816" s="19">
        <f>IF($I3816="","",IF(ISNUMBER($I3816),TEXT($I3816,"0"),$I3816))</f>
        <v/>
      </c>
    </row>
    <row r="3817">
      <c r="B3817" s="25" t="n"/>
      <c r="I3817" s="25" t="n"/>
      <c r="U3817" s="19">
        <f>IF($V3817&lt;&gt;'設定'!$C$4,N(U3816),IF(OR(NOT(COUNTIF('商品マスタ'!$B$6:$B$1005,$W3817)=0),COUNTIFS('①在庫を貼る'!$V$6:$V$10005,$V3817,'①在庫を貼る'!$W$6:$W$10005,$W3817)+COUNTIFS('月1回_1ヶ月前の在庫'!$V$6:$V$10005,$V3817,'月1回_1ヶ月前の在庫'!$W$6:$W$10005,$W3817)&gt;0),N(U3816),N(U3816)+1))</f>
        <v/>
      </c>
      <c r="V3817" s="19">
        <f>IF($B3817="","",TEXT($B3817,"0000"))</f>
        <v/>
      </c>
      <c r="W3817" s="19">
        <f>IF($I3817="","",IF(ISNUMBER($I3817),TEXT($I3817,"0"),$I3817))</f>
        <v/>
      </c>
    </row>
    <row r="3818">
      <c r="B3818" s="25" t="n"/>
      <c r="I3818" s="25" t="n"/>
      <c r="U3818" s="19">
        <f>IF($V3818&lt;&gt;'設定'!$C$4,N(U3817),IF(OR(NOT(COUNTIF('商品マスタ'!$B$6:$B$1005,$W3818)=0),COUNTIFS('①在庫を貼る'!$V$6:$V$10005,$V3818,'①在庫を貼る'!$W$6:$W$10005,$W3818)+COUNTIFS('月1回_1ヶ月前の在庫'!$V$6:$V$10005,$V3818,'月1回_1ヶ月前の在庫'!$W$6:$W$10005,$W3818)&gt;0),N(U3817),N(U3817)+1))</f>
        <v/>
      </c>
      <c r="V3818" s="19">
        <f>IF($B3818="","",TEXT($B3818,"0000"))</f>
        <v/>
      </c>
      <c r="W3818" s="19">
        <f>IF($I3818="","",IF(ISNUMBER($I3818),TEXT($I3818,"0"),$I3818))</f>
        <v/>
      </c>
    </row>
    <row r="3819">
      <c r="B3819" s="25" t="n"/>
      <c r="I3819" s="25" t="n"/>
      <c r="U3819" s="19">
        <f>IF($V3819&lt;&gt;'設定'!$C$4,N(U3818),IF(OR(NOT(COUNTIF('商品マスタ'!$B$6:$B$1005,$W3819)=0),COUNTIFS('①在庫を貼る'!$V$6:$V$10005,$V3819,'①在庫を貼る'!$W$6:$W$10005,$W3819)+COUNTIFS('月1回_1ヶ月前の在庫'!$V$6:$V$10005,$V3819,'月1回_1ヶ月前の在庫'!$W$6:$W$10005,$W3819)&gt;0),N(U3818),N(U3818)+1))</f>
        <v/>
      </c>
      <c r="V3819" s="19">
        <f>IF($B3819="","",TEXT($B3819,"0000"))</f>
        <v/>
      </c>
      <c r="W3819" s="19">
        <f>IF($I3819="","",IF(ISNUMBER($I3819),TEXT($I3819,"0"),$I3819))</f>
        <v/>
      </c>
    </row>
    <row r="3820">
      <c r="B3820" s="25" t="n"/>
      <c r="I3820" s="25" t="n"/>
      <c r="U3820" s="19">
        <f>IF($V3820&lt;&gt;'設定'!$C$4,N(U3819),IF(OR(NOT(COUNTIF('商品マスタ'!$B$6:$B$1005,$W3820)=0),COUNTIFS('①在庫を貼る'!$V$6:$V$10005,$V3820,'①在庫を貼る'!$W$6:$W$10005,$W3820)+COUNTIFS('月1回_1ヶ月前の在庫'!$V$6:$V$10005,$V3820,'月1回_1ヶ月前の在庫'!$W$6:$W$10005,$W3820)&gt;0),N(U3819),N(U3819)+1))</f>
        <v/>
      </c>
      <c r="V3820" s="19">
        <f>IF($B3820="","",TEXT($B3820,"0000"))</f>
        <v/>
      </c>
      <c r="W3820" s="19">
        <f>IF($I3820="","",IF(ISNUMBER($I3820),TEXT($I3820,"0"),$I3820))</f>
        <v/>
      </c>
    </row>
    <row r="3821">
      <c r="B3821" s="25" t="n"/>
      <c r="I3821" s="25" t="n"/>
      <c r="U3821" s="19">
        <f>IF($V3821&lt;&gt;'設定'!$C$4,N(U3820),IF(OR(NOT(COUNTIF('商品マスタ'!$B$6:$B$1005,$W3821)=0),COUNTIFS('①在庫を貼る'!$V$6:$V$10005,$V3821,'①在庫を貼る'!$W$6:$W$10005,$W3821)+COUNTIFS('月1回_1ヶ月前の在庫'!$V$6:$V$10005,$V3821,'月1回_1ヶ月前の在庫'!$W$6:$W$10005,$W3821)&gt;0),N(U3820),N(U3820)+1))</f>
        <v/>
      </c>
      <c r="V3821" s="19">
        <f>IF($B3821="","",TEXT($B3821,"0000"))</f>
        <v/>
      </c>
      <c r="W3821" s="19">
        <f>IF($I3821="","",IF(ISNUMBER($I3821),TEXT($I3821,"0"),$I3821))</f>
        <v/>
      </c>
    </row>
    <row r="3822">
      <c r="B3822" s="25" t="n"/>
      <c r="I3822" s="25" t="n"/>
      <c r="U3822" s="19">
        <f>IF($V3822&lt;&gt;'設定'!$C$4,N(U3821),IF(OR(NOT(COUNTIF('商品マスタ'!$B$6:$B$1005,$W3822)=0),COUNTIFS('①在庫を貼る'!$V$6:$V$10005,$V3822,'①在庫を貼る'!$W$6:$W$10005,$W3822)+COUNTIFS('月1回_1ヶ月前の在庫'!$V$6:$V$10005,$V3822,'月1回_1ヶ月前の在庫'!$W$6:$W$10005,$W3822)&gt;0),N(U3821),N(U3821)+1))</f>
        <v/>
      </c>
      <c r="V3822" s="19">
        <f>IF($B3822="","",TEXT($B3822,"0000"))</f>
        <v/>
      </c>
      <c r="W3822" s="19">
        <f>IF($I3822="","",IF(ISNUMBER($I3822),TEXT($I3822,"0"),$I3822))</f>
        <v/>
      </c>
    </row>
    <row r="3823">
      <c r="B3823" s="25" t="n"/>
      <c r="I3823" s="25" t="n"/>
      <c r="U3823" s="19">
        <f>IF($V3823&lt;&gt;'設定'!$C$4,N(U3822),IF(OR(NOT(COUNTIF('商品マスタ'!$B$6:$B$1005,$W3823)=0),COUNTIFS('①在庫を貼る'!$V$6:$V$10005,$V3823,'①在庫を貼る'!$W$6:$W$10005,$W3823)+COUNTIFS('月1回_1ヶ月前の在庫'!$V$6:$V$10005,$V3823,'月1回_1ヶ月前の在庫'!$W$6:$W$10005,$W3823)&gt;0),N(U3822),N(U3822)+1))</f>
        <v/>
      </c>
      <c r="V3823" s="19">
        <f>IF($B3823="","",TEXT($B3823,"0000"))</f>
        <v/>
      </c>
      <c r="W3823" s="19">
        <f>IF($I3823="","",IF(ISNUMBER($I3823),TEXT($I3823,"0"),$I3823))</f>
        <v/>
      </c>
    </row>
    <row r="3824">
      <c r="B3824" s="25" t="n"/>
      <c r="I3824" s="25" t="n"/>
      <c r="U3824" s="19">
        <f>IF($V3824&lt;&gt;'設定'!$C$4,N(U3823),IF(OR(NOT(COUNTIF('商品マスタ'!$B$6:$B$1005,$W3824)=0),COUNTIFS('①在庫を貼る'!$V$6:$V$10005,$V3824,'①在庫を貼る'!$W$6:$W$10005,$W3824)+COUNTIFS('月1回_1ヶ月前の在庫'!$V$6:$V$10005,$V3824,'月1回_1ヶ月前の在庫'!$W$6:$W$10005,$W3824)&gt;0),N(U3823),N(U3823)+1))</f>
        <v/>
      </c>
      <c r="V3824" s="19">
        <f>IF($B3824="","",TEXT($B3824,"0000"))</f>
        <v/>
      </c>
      <c r="W3824" s="19">
        <f>IF($I3824="","",IF(ISNUMBER($I3824),TEXT($I3824,"0"),$I3824))</f>
        <v/>
      </c>
    </row>
    <row r="3825">
      <c r="B3825" s="25" t="n"/>
      <c r="I3825" s="25" t="n"/>
      <c r="U3825" s="19">
        <f>IF($V3825&lt;&gt;'設定'!$C$4,N(U3824),IF(OR(NOT(COUNTIF('商品マスタ'!$B$6:$B$1005,$W3825)=0),COUNTIFS('①在庫を貼る'!$V$6:$V$10005,$V3825,'①在庫を貼る'!$W$6:$W$10005,$W3825)+COUNTIFS('月1回_1ヶ月前の在庫'!$V$6:$V$10005,$V3825,'月1回_1ヶ月前の在庫'!$W$6:$W$10005,$W3825)&gt;0),N(U3824),N(U3824)+1))</f>
        <v/>
      </c>
      <c r="V3825" s="19">
        <f>IF($B3825="","",TEXT($B3825,"0000"))</f>
        <v/>
      </c>
      <c r="W3825" s="19">
        <f>IF($I3825="","",IF(ISNUMBER($I3825),TEXT($I3825,"0"),$I3825))</f>
        <v/>
      </c>
    </row>
    <row r="3826">
      <c r="B3826" s="25" t="n"/>
      <c r="I3826" s="25" t="n"/>
      <c r="U3826" s="19">
        <f>IF($V3826&lt;&gt;'設定'!$C$4,N(U3825),IF(OR(NOT(COUNTIF('商品マスタ'!$B$6:$B$1005,$W3826)=0),COUNTIFS('①在庫を貼る'!$V$6:$V$10005,$V3826,'①在庫を貼る'!$W$6:$W$10005,$W3826)+COUNTIFS('月1回_1ヶ月前の在庫'!$V$6:$V$10005,$V3826,'月1回_1ヶ月前の在庫'!$W$6:$W$10005,$W3826)&gt;0),N(U3825),N(U3825)+1))</f>
        <v/>
      </c>
      <c r="V3826" s="19">
        <f>IF($B3826="","",TEXT($B3826,"0000"))</f>
        <v/>
      </c>
      <c r="W3826" s="19">
        <f>IF($I3826="","",IF(ISNUMBER($I3826),TEXT($I3826,"0"),$I3826))</f>
        <v/>
      </c>
    </row>
    <row r="3827">
      <c r="B3827" s="25" t="n"/>
      <c r="I3827" s="25" t="n"/>
      <c r="U3827" s="19">
        <f>IF($V3827&lt;&gt;'設定'!$C$4,N(U3826),IF(OR(NOT(COUNTIF('商品マスタ'!$B$6:$B$1005,$W3827)=0),COUNTIFS('①在庫を貼る'!$V$6:$V$10005,$V3827,'①在庫を貼る'!$W$6:$W$10005,$W3827)+COUNTIFS('月1回_1ヶ月前の在庫'!$V$6:$V$10005,$V3827,'月1回_1ヶ月前の在庫'!$W$6:$W$10005,$W3827)&gt;0),N(U3826),N(U3826)+1))</f>
        <v/>
      </c>
      <c r="V3827" s="19">
        <f>IF($B3827="","",TEXT($B3827,"0000"))</f>
        <v/>
      </c>
      <c r="W3827" s="19">
        <f>IF($I3827="","",IF(ISNUMBER($I3827),TEXT($I3827,"0"),$I3827))</f>
        <v/>
      </c>
    </row>
    <row r="3828">
      <c r="B3828" s="25" t="n"/>
      <c r="I3828" s="25" t="n"/>
      <c r="U3828" s="19">
        <f>IF($V3828&lt;&gt;'設定'!$C$4,N(U3827),IF(OR(NOT(COUNTIF('商品マスタ'!$B$6:$B$1005,$W3828)=0),COUNTIFS('①在庫を貼る'!$V$6:$V$10005,$V3828,'①在庫を貼る'!$W$6:$W$10005,$W3828)+COUNTIFS('月1回_1ヶ月前の在庫'!$V$6:$V$10005,$V3828,'月1回_1ヶ月前の在庫'!$W$6:$W$10005,$W3828)&gt;0),N(U3827),N(U3827)+1))</f>
        <v/>
      </c>
      <c r="V3828" s="19">
        <f>IF($B3828="","",TEXT($B3828,"0000"))</f>
        <v/>
      </c>
      <c r="W3828" s="19">
        <f>IF($I3828="","",IF(ISNUMBER($I3828),TEXT($I3828,"0"),$I3828))</f>
        <v/>
      </c>
    </row>
    <row r="3829">
      <c r="B3829" s="25" t="n"/>
      <c r="I3829" s="25" t="n"/>
      <c r="U3829" s="19">
        <f>IF($V3829&lt;&gt;'設定'!$C$4,N(U3828),IF(OR(NOT(COUNTIF('商品マスタ'!$B$6:$B$1005,$W3829)=0),COUNTIFS('①在庫を貼る'!$V$6:$V$10005,$V3829,'①在庫を貼る'!$W$6:$W$10005,$W3829)+COUNTIFS('月1回_1ヶ月前の在庫'!$V$6:$V$10005,$V3829,'月1回_1ヶ月前の在庫'!$W$6:$W$10005,$W3829)&gt;0),N(U3828),N(U3828)+1))</f>
        <v/>
      </c>
      <c r="V3829" s="19">
        <f>IF($B3829="","",TEXT($B3829,"0000"))</f>
        <v/>
      </c>
      <c r="W3829" s="19">
        <f>IF($I3829="","",IF(ISNUMBER($I3829),TEXT($I3829,"0"),$I3829))</f>
        <v/>
      </c>
    </row>
    <row r="3830">
      <c r="B3830" s="25" t="n"/>
      <c r="I3830" s="25" t="n"/>
      <c r="U3830" s="19">
        <f>IF($V3830&lt;&gt;'設定'!$C$4,N(U3829),IF(OR(NOT(COUNTIF('商品マスタ'!$B$6:$B$1005,$W3830)=0),COUNTIFS('①在庫を貼る'!$V$6:$V$10005,$V3830,'①在庫を貼る'!$W$6:$W$10005,$W3830)+COUNTIFS('月1回_1ヶ月前の在庫'!$V$6:$V$10005,$V3830,'月1回_1ヶ月前の在庫'!$W$6:$W$10005,$W3830)&gt;0),N(U3829),N(U3829)+1))</f>
        <v/>
      </c>
      <c r="V3830" s="19">
        <f>IF($B3830="","",TEXT($B3830,"0000"))</f>
        <v/>
      </c>
      <c r="W3830" s="19">
        <f>IF($I3830="","",IF(ISNUMBER($I3830),TEXT($I3830,"0"),$I3830))</f>
        <v/>
      </c>
    </row>
    <row r="3831">
      <c r="B3831" s="25" t="n"/>
      <c r="I3831" s="25" t="n"/>
      <c r="U3831" s="19">
        <f>IF($V3831&lt;&gt;'設定'!$C$4,N(U3830),IF(OR(NOT(COUNTIF('商品マスタ'!$B$6:$B$1005,$W3831)=0),COUNTIFS('①在庫を貼る'!$V$6:$V$10005,$V3831,'①在庫を貼る'!$W$6:$W$10005,$W3831)+COUNTIFS('月1回_1ヶ月前の在庫'!$V$6:$V$10005,$V3831,'月1回_1ヶ月前の在庫'!$W$6:$W$10005,$W3831)&gt;0),N(U3830),N(U3830)+1))</f>
        <v/>
      </c>
      <c r="V3831" s="19">
        <f>IF($B3831="","",TEXT($B3831,"0000"))</f>
        <v/>
      </c>
      <c r="W3831" s="19">
        <f>IF($I3831="","",IF(ISNUMBER($I3831),TEXT($I3831,"0"),$I3831))</f>
        <v/>
      </c>
    </row>
    <row r="3832">
      <c r="B3832" s="25" t="n"/>
      <c r="I3832" s="25" t="n"/>
      <c r="U3832" s="19">
        <f>IF($V3832&lt;&gt;'設定'!$C$4,N(U3831),IF(OR(NOT(COUNTIF('商品マスタ'!$B$6:$B$1005,$W3832)=0),COUNTIFS('①在庫を貼る'!$V$6:$V$10005,$V3832,'①在庫を貼る'!$W$6:$W$10005,$W3832)+COUNTIFS('月1回_1ヶ月前の在庫'!$V$6:$V$10005,$V3832,'月1回_1ヶ月前の在庫'!$W$6:$W$10005,$W3832)&gt;0),N(U3831),N(U3831)+1))</f>
        <v/>
      </c>
      <c r="V3832" s="19">
        <f>IF($B3832="","",TEXT($B3832,"0000"))</f>
        <v/>
      </c>
      <c r="W3832" s="19">
        <f>IF($I3832="","",IF(ISNUMBER($I3832),TEXT($I3832,"0"),$I3832))</f>
        <v/>
      </c>
    </row>
    <row r="3833">
      <c r="B3833" s="25" t="n"/>
      <c r="I3833" s="25" t="n"/>
      <c r="U3833" s="19">
        <f>IF($V3833&lt;&gt;'設定'!$C$4,N(U3832),IF(OR(NOT(COUNTIF('商品マスタ'!$B$6:$B$1005,$W3833)=0),COUNTIFS('①在庫を貼る'!$V$6:$V$10005,$V3833,'①在庫を貼る'!$W$6:$W$10005,$W3833)+COUNTIFS('月1回_1ヶ月前の在庫'!$V$6:$V$10005,$V3833,'月1回_1ヶ月前の在庫'!$W$6:$W$10005,$W3833)&gt;0),N(U3832),N(U3832)+1))</f>
        <v/>
      </c>
      <c r="V3833" s="19">
        <f>IF($B3833="","",TEXT($B3833,"0000"))</f>
        <v/>
      </c>
      <c r="W3833" s="19">
        <f>IF($I3833="","",IF(ISNUMBER($I3833),TEXT($I3833,"0"),$I3833))</f>
        <v/>
      </c>
    </row>
    <row r="3834">
      <c r="B3834" s="25" t="n"/>
      <c r="I3834" s="25" t="n"/>
      <c r="U3834" s="19">
        <f>IF($V3834&lt;&gt;'設定'!$C$4,N(U3833),IF(OR(NOT(COUNTIF('商品マスタ'!$B$6:$B$1005,$W3834)=0),COUNTIFS('①在庫を貼る'!$V$6:$V$10005,$V3834,'①在庫を貼る'!$W$6:$W$10005,$W3834)+COUNTIFS('月1回_1ヶ月前の在庫'!$V$6:$V$10005,$V3834,'月1回_1ヶ月前の在庫'!$W$6:$W$10005,$W3834)&gt;0),N(U3833),N(U3833)+1))</f>
        <v/>
      </c>
      <c r="V3834" s="19">
        <f>IF($B3834="","",TEXT($B3834,"0000"))</f>
        <v/>
      </c>
      <c r="W3834" s="19">
        <f>IF($I3834="","",IF(ISNUMBER($I3834),TEXT($I3834,"0"),$I3834))</f>
        <v/>
      </c>
    </row>
    <row r="3835">
      <c r="B3835" s="25" t="n"/>
      <c r="I3835" s="25" t="n"/>
      <c r="U3835" s="19">
        <f>IF($V3835&lt;&gt;'設定'!$C$4,N(U3834),IF(OR(NOT(COUNTIF('商品マスタ'!$B$6:$B$1005,$W3835)=0),COUNTIFS('①在庫を貼る'!$V$6:$V$10005,$V3835,'①在庫を貼る'!$W$6:$W$10005,$W3835)+COUNTIFS('月1回_1ヶ月前の在庫'!$V$6:$V$10005,$V3835,'月1回_1ヶ月前の在庫'!$W$6:$W$10005,$W3835)&gt;0),N(U3834),N(U3834)+1))</f>
        <v/>
      </c>
      <c r="V3835" s="19">
        <f>IF($B3835="","",TEXT($B3835,"0000"))</f>
        <v/>
      </c>
      <c r="W3835" s="19">
        <f>IF($I3835="","",IF(ISNUMBER($I3835),TEXT($I3835,"0"),$I3835))</f>
        <v/>
      </c>
    </row>
    <row r="3836">
      <c r="B3836" s="25" t="n"/>
      <c r="I3836" s="25" t="n"/>
      <c r="U3836" s="19">
        <f>IF($V3836&lt;&gt;'設定'!$C$4,N(U3835),IF(OR(NOT(COUNTIF('商品マスタ'!$B$6:$B$1005,$W3836)=0),COUNTIFS('①在庫を貼る'!$V$6:$V$10005,$V3836,'①在庫を貼る'!$W$6:$W$10005,$W3836)+COUNTIFS('月1回_1ヶ月前の在庫'!$V$6:$V$10005,$V3836,'月1回_1ヶ月前の在庫'!$W$6:$W$10005,$W3836)&gt;0),N(U3835),N(U3835)+1))</f>
        <v/>
      </c>
      <c r="V3836" s="19">
        <f>IF($B3836="","",TEXT($B3836,"0000"))</f>
        <v/>
      </c>
      <c r="W3836" s="19">
        <f>IF($I3836="","",IF(ISNUMBER($I3836),TEXT($I3836,"0"),$I3836))</f>
        <v/>
      </c>
    </row>
    <row r="3837">
      <c r="B3837" s="25" t="n"/>
      <c r="I3837" s="25" t="n"/>
      <c r="U3837" s="19">
        <f>IF($V3837&lt;&gt;'設定'!$C$4,N(U3836),IF(OR(NOT(COUNTIF('商品マスタ'!$B$6:$B$1005,$W3837)=0),COUNTIFS('①在庫を貼る'!$V$6:$V$10005,$V3837,'①在庫を貼る'!$W$6:$W$10005,$W3837)+COUNTIFS('月1回_1ヶ月前の在庫'!$V$6:$V$10005,$V3837,'月1回_1ヶ月前の在庫'!$W$6:$W$10005,$W3837)&gt;0),N(U3836),N(U3836)+1))</f>
        <v/>
      </c>
      <c r="V3837" s="19">
        <f>IF($B3837="","",TEXT($B3837,"0000"))</f>
        <v/>
      </c>
      <c r="W3837" s="19">
        <f>IF($I3837="","",IF(ISNUMBER($I3837),TEXT($I3837,"0"),$I3837))</f>
        <v/>
      </c>
    </row>
    <row r="3838">
      <c r="B3838" s="25" t="n"/>
      <c r="I3838" s="25" t="n"/>
      <c r="U3838" s="19">
        <f>IF($V3838&lt;&gt;'設定'!$C$4,N(U3837),IF(OR(NOT(COUNTIF('商品マスタ'!$B$6:$B$1005,$W3838)=0),COUNTIFS('①在庫を貼る'!$V$6:$V$10005,$V3838,'①在庫を貼る'!$W$6:$W$10005,$W3838)+COUNTIFS('月1回_1ヶ月前の在庫'!$V$6:$V$10005,$V3838,'月1回_1ヶ月前の在庫'!$W$6:$W$10005,$W3838)&gt;0),N(U3837),N(U3837)+1))</f>
        <v/>
      </c>
      <c r="V3838" s="19">
        <f>IF($B3838="","",TEXT($B3838,"0000"))</f>
        <v/>
      </c>
      <c r="W3838" s="19">
        <f>IF($I3838="","",IF(ISNUMBER($I3838),TEXT($I3838,"0"),$I3838))</f>
        <v/>
      </c>
    </row>
    <row r="3839">
      <c r="B3839" s="25" t="n"/>
      <c r="I3839" s="25" t="n"/>
      <c r="U3839" s="19">
        <f>IF($V3839&lt;&gt;'設定'!$C$4,N(U3838),IF(OR(NOT(COUNTIF('商品マスタ'!$B$6:$B$1005,$W3839)=0),COUNTIFS('①在庫を貼る'!$V$6:$V$10005,$V3839,'①在庫を貼る'!$W$6:$W$10005,$W3839)+COUNTIFS('月1回_1ヶ月前の在庫'!$V$6:$V$10005,$V3839,'月1回_1ヶ月前の在庫'!$W$6:$W$10005,$W3839)&gt;0),N(U3838),N(U3838)+1))</f>
        <v/>
      </c>
      <c r="V3839" s="19">
        <f>IF($B3839="","",TEXT($B3839,"0000"))</f>
        <v/>
      </c>
      <c r="W3839" s="19">
        <f>IF($I3839="","",IF(ISNUMBER($I3839),TEXT($I3839,"0"),$I3839))</f>
        <v/>
      </c>
    </row>
    <row r="3840">
      <c r="B3840" s="25" t="n"/>
      <c r="I3840" s="25" t="n"/>
      <c r="U3840" s="19">
        <f>IF($V3840&lt;&gt;'設定'!$C$4,N(U3839),IF(OR(NOT(COUNTIF('商品マスタ'!$B$6:$B$1005,$W3840)=0),COUNTIFS('①在庫を貼る'!$V$6:$V$10005,$V3840,'①在庫を貼る'!$W$6:$W$10005,$W3840)+COUNTIFS('月1回_1ヶ月前の在庫'!$V$6:$V$10005,$V3840,'月1回_1ヶ月前の在庫'!$W$6:$W$10005,$W3840)&gt;0),N(U3839),N(U3839)+1))</f>
        <v/>
      </c>
      <c r="V3840" s="19">
        <f>IF($B3840="","",TEXT($B3840,"0000"))</f>
        <v/>
      </c>
      <c r="W3840" s="19">
        <f>IF($I3840="","",IF(ISNUMBER($I3840),TEXT($I3840,"0"),$I3840))</f>
        <v/>
      </c>
    </row>
    <row r="3841">
      <c r="B3841" s="25" t="n"/>
      <c r="I3841" s="25" t="n"/>
      <c r="U3841" s="19">
        <f>IF($V3841&lt;&gt;'設定'!$C$4,N(U3840),IF(OR(NOT(COUNTIF('商品マスタ'!$B$6:$B$1005,$W3841)=0),COUNTIFS('①在庫を貼る'!$V$6:$V$10005,$V3841,'①在庫を貼る'!$W$6:$W$10005,$W3841)+COUNTIFS('月1回_1ヶ月前の在庫'!$V$6:$V$10005,$V3841,'月1回_1ヶ月前の在庫'!$W$6:$W$10005,$W3841)&gt;0),N(U3840),N(U3840)+1))</f>
        <v/>
      </c>
      <c r="V3841" s="19">
        <f>IF($B3841="","",TEXT($B3841,"0000"))</f>
        <v/>
      </c>
      <c r="W3841" s="19">
        <f>IF($I3841="","",IF(ISNUMBER($I3841),TEXT($I3841,"0"),$I3841))</f>
        <v/>
      </c>
    </row>
    <row r="3842">
      <c r="B3842" s="25" t="n"/>
      <c r="I3842" s="25" t="n"/>
      <c r="U3842" s="19">
        <f>IF($V3842&lt;&gt;'設定'!$C$4,N(U3841),IF(OR(NOT(COUNTIF('商品マスタ'!$B$6:$B$1005,$W3842)=0),COUNTIFS('①在庫を貼る'!$V$6:$V$10005,$V3842,'①在庫を貼る'!$W$6:$W$10005,$W3842)+COUNTIFS('月1回_1ヶ月前の在庫'!$V$6:$V$10005,$V3842,'月1回_1ヶ月前の在庫'!$W$6:$W$10005,$W3842)&gt;0),N(U3841),N(U3841)+1))</f>
        <v/>
      </c>
      <c r="V3842" s="19">
        <f>IF($B3842="","",TEXT($B3842,"0000"))</f>
        <v/>
      </c>
      <c r="W3842" s="19">
        <f>IF($I3842="","",IF(ISNUMBER($I3842),TEXT($I3842,"0"),$I3842))</f>
        <v/>
      </c>
    </row>
    <row r="3843">
      <c r="B3843" s="25" t="n"/>
      <c r="I3843" s="25" t="n"/>
      <c r="U3843" s="19">
        <f>IF($V3843&lt;&gt;'設定'!$C$4,N(U3842),IF(OR(NOT(COUNTIF('商品マスタ'!$B$6:$B$1005,$W3843)=0),COUNTIFS('①在庫を貼る'!$V$6:$V$10005,$V3843,'①在庫を貼る'!$W$6:$W$10005,$W3843)+COUNTIFS('月1回_1ヶ月前の在庫'!$V$6:$V$10005,$V3843,'月1回_1ヶ月前の在庫'!$W$6:$W$10005,$W3843)&gt;0),N(U3842),N(U3842)+1))</f>
        <v/>
      </c>
      <c r="V3843" s="19">
        <f>IF($B3843="","",TEXT($B3843,"0000"))</f>
        <v/>
      </c>
      <c r="W3843" s="19">
        <f>IF($I3843="","",IF(ISNUMBER($I3843),TEXT($I3843,"0"),$I3843))</f>
        <v/>
      </c>
    </row>
    <row r="3844">
      <c r="B3844" s="25" t="n"/>
      <c r="I3844" s="25" t="n"/>
      <c r="U3844" s="19">
        <f>IF($V3844&lt;&gt;'設定'!$C$4,N(U3843),IF(OR(NOT(COUNTIF('商品マスタ'!$B$6:$B$1005,$W3844)=0),COUNTIFS('①在庫を貼る'!$V$6:$V$10005,$V3844,'①在庫を貼る'!$W$6:$W$10005,$W3844)+COUNTIFS('月1回_1ヶ月前の在庫'!$V$6:$V$10005,$V3844,'月1回_1ヶ月前の在庫'!$W$6:$W$10005,$W3844)&gt;0),N(U3843),N(U3843)+1))</f>
        <v/>
      </c>
      <c r="V3844" s="19">
        <f>IF($B3844="","",TEXT($B3844,"0000"))</f>
        <v/>
      </c>
      <c r="W3844" s="19">
        <f>IF($I3844="","",IF(ISNUMBER($I3844),TEXT($I3844,"0"),$I3844))</f>
        <v/>
      </c>
    </row>
    <row r="3845">
      <c r="B3845" s="25" t="n"/>
      <c r="I3845" s="25" t="n"/>
      <c r="U3845" s="19">
        <f>IF($V3845&lt;&gt;'設定'!$C$4,N(U3844),IF(OR(NOT(COUNTIF('商品マスタ'!$B$6:$B$1005,$W3845)=0),COUNTIFS('①在庫を貼る'!$V$6:$V$10005,$V3845,'①在庫を貼る'!$W$6:$W$10005,$W3845)+COUNTIFS('月1回_1ヶ月前の在庫'!$V$6:$V$10005,$V3845,'月1回_1ヶ月前の在庫'!$W$6:$W$10005,$W3845)&gt;0),N(U3844),N(U3844)+1))</f>
        <v/>
      </c>
      <c r="V3845" s="19">
        <f>IF($B3845="","",TEXT($B3845,"0000"))</f>
        <v/>
      </c>
      <c r="W3845" s="19">
        <f>IF($I3845="","",IF(ISNUMBER($I3845),TEXT($I3845,"0"),$I3845))</f>
        <v/>
      </c>
    </row>
    <row r="3846">
      <c r="B3846" s="25" t="n"/>
      <c r="I3846" s="25" t="n"/>
      <c r="U3846" s="19">
        <f>IF($V3846&lt;&gt;'設定'!$C$4,N(U3845),IF(OR(NOT(COUNTIF('商品マスタ'!$B$6:$B$1005,$W3846)=0),COUNTIFS('①在庫を貼る'!$V$6:$V$10005,$V3846,'①在庫を貼る'!$W$6:$W$10005,$W3846)+COUNTIFS('月1回_1ヶ月前の在庫'!$V$6:$V$10005,$V3846,'月1回_1ヶ月前の在庫'!$W$6:$W$10005,$W3846)&gt;0),N(U3845),N(U3845)+1))</f>
        <v/>
      </c>
      <c r="V3846" s="19">
        <f>IF($B3846="","",TEXT($B3846,"0000"))</f>
        <v/>
      </c>
      <c r="W3846" s="19">
        <f>IF($I3846="","",IF(ISNUMBER($I3846),TEXT($I3846,"0"),$I3846))</f>
        <v/>
      </c>
    </row>
    <row r="3847">
      <c r="B3847" s="25" t="n"/>
      <c r="I3847" s="25" t="n"/>
      <c r="U3847" s="19">
        <f>IF($V3847&lt;&gt;'設定'!$C$4,N(U3846),IF(OR(NOT(COUNTIF('商品マスタ'!$B$6:$B$1005,$W3847)=0),COUNTIFS('①在庫を貼る'!$V$6:$V$10005,$V3847,'①在庫を貼る'!$W$6:$W$10005,$W3847)+COUNTIFS('月1回_1ヶ月前の在庫'!$V$6:$V$10005,$V3847,'月1回_1ヶ月前の在庫'!$W$6:$W$10005,$W3847)&gt;0),N(U3846),N(U3846)+1))</f>
        <v/>
      </c>
      <c r="V3847" s="19">
        <f>IF($B3847="","",TEXT($B3847,"0000"))</f>
        <v/>
      </c>
      <c r="W3847" s="19">
        <f>IF($I3847="","",IF(ISNUMBER($I3847),TEXT($I3847,"0"),$I3847))</f>
        <v/>
      </c>
    </row>
    <row r="3848">
      <c r="B3848" s="25" t="n"/>
      <c r="I3848" s="25" t="n"/>
      <c r="U3848" s="19">
        <f>IF($V3848&lt;&gt;'設定'!$C$4,N(U3847),IF(OR(NOT(COUNTIF('商品マスタ'!$B$6:$B$1005,$W3848)=0),COUNTIFS('①在庫を貼る'!$V$6:$V$10005,$V3848,'①在庫を貼る'!$W$6:$W$10005,$W3848)+COUNTIFS('月1回_1ヶ月前の在庫'!$V$6:$V$10005,$V3848,'月1回_1ヶ月前の在庫'!$W$6:$W$10005,$W3848)&gt;0),N(U3847),N(U3847)+1))</f>
        <v/>
      </c>
      <c r="V3848" s="19">
        <f>IF($B3848="","",TEXT($B3848,"0000"))</f>
        <v/>
      </c>
      <c r="W3848" s="19">
        <f>IF($I3848="","",IF(ISNUMBER($I3848),TEXT($I3848,"0"),$I3848))</f>
        <v/>
      </c>
    </row>
    <row r="3849">
      <c r="B3849" s="25" t="n"/>
      <c r="I3849" s="25" t="n"/>
      <c r="U3849" s="19">
        <f>IF($V3849&lt;&gt;'設定'!$C$4,N(U3848),IF(OR(NOT(COUNTIF('商品マスタ'!$B$6:$B$1005,$W3849)=0),COUNTIFS('①在庫を貼る'!$V$6:$V$10005,$V3849,'①在庫を貼る'!$W$6:$W$10005,$W3849)+COUNTIFS('月1回_1ヶ月前の在庫'!$V$6:$V$10005,$V3849,'月1回_1ヶ月前の在庫'!$W$6:$W$10005,$W3849)&gt;0),N(U3848),N(U3848)+1))</f>
        <v/>
      </c>
      <c r="V3849" s="19">
        <f>IF($B3849="","",TEXT($B3849,"0000"))</f>
        <v/>
      </c>
      <c r="W3849" s="19">
        <f>IF($I3849="","",IF(ISNUMBER($I3849),TEXT($I3849,"0"),$I3849))</f>
        <v/>
      </c>
    </row>
    <row r="3850">
      <c r="B3850" s="25" t="n"/>
      <c r="I3850" s="25" t="n"/>
      <c r="U3850" s="19">
        <f>IF($V3850&lt;&gt;'設定'!$C$4,N(U3849),IF(OR(NOT(COUNTIF('商品マスタ'!$B$6:$B$1005,$W3850)=0),COUNTIFS('①在庫を貼る'!$V$6:$V$10005,$V3850,'①在庫を貼る'!$W$6:$W$10005,$W3850)+COUNTIFS('月1回_1ヶ月前の在庫'!$V$6:$V$10005,$V3850,'月1回_1ヶ月前の在庫'!$W$6:$W$10005,$W3850)&gt;0),N(U3849),N(U3849)+1))</f>
        <v/>
      </c>
      <c r="V3850" s="19">
        <f>IF($B3850="","",TEXT($B3850,"0000"))</f>
        <v/>
      </c>
      <c r="W3850" s="19">
        <f>IF($I3850="","",IF(ISNUMBER($I3850),TEXT($I3850,"0"),$I3850))</f>
        <v/>
      </c>
    </row>
    <row r="3851">
      <c r="B3851" s="25" t="n"/>
      <c r="I3851" s="25" t="n"/>
      <c r="U3851" s="19">
        <f>IF($V3851&lt;&gt;'設定'!$C$4,N(U3850),IF(OR(NOT(COUNTIF('商品マスタ'!$B$6:$B$1005,$W3851)=0),COUNTIFS('①在庫を貼る'!$V$6:$V$10005,$V3851,'①在庫を貼る'!$W$6:$W$10005,$W3851)+COUNTIFS('月1回_1ヶ月前の在庫'!$V$6:$V$10005,$V3851,'月1回_1ヶ月前の在庫'!$W$6:$W$10005,$W3851)&gt;0),N(U3850),N(U3850)+1))</f>
        <v/>
      </c>
      <c r="V3851" s="19">
        <f>IF($B3851="","",TEXT($B3851,"0000"))</f>
        <v/>
      </c>
      <c r="W3851" s="19">
        <f>IF($I3851="","",IF(ISNUMBER($I3851),TEXT($I3851,"0"),$I3851))</f>
        <v/>
      </c>
    </row>
    <row r="3852">
      <c r="B3852" s="25" t="n"/>
      <c r="I3852" s="25" t="n"/>
      <c r="U3852" s="19">
        <f>IF($V3852&lt;&gt;'設定'!$C$4,N(U3851),IF(OR(NOT(COUNTIF('商品マスタ'!$B$6:$B$1005,$W3852)=0),COUNTIFS('①在庫を貼る'!$V$6:$V$10005,$V3852,'①在庫を貼る'!$W$6:$W$10005,$W3852)+COUNTIFS('月1回_1ヶ月前の在庫'!$V$6:$V$10005,$V3852,'月1回_1ヶ月前の在庫'!$W$6:$W$10005,$W3852)&gt;0),N(U3851),N(U3851)+1))</f>
        <v/>
      </c>
      <c r="V3852" s="19">
        <f>IF($B3852="","",TEXT($B3852,"0000"))</f>
        <v/>
      </c>
      <c r="W3852" s="19">
        <f>IF($I3852="","",IF(ISNUMBER($I3852),TEXT($I3852,"0"),$I3852))</f>
        <v/>
      </c>
    </row>
    <row r="3853">
      <c r="B3853" s="25" t="n"/>
      <c r="I3853" s="25" t="n"/>
      <c r="U3853" s="19">
        <f>IF($V3853&lt;&gt;'設定'!$C$4,N(U3852),IF(OR(NOT(COUNTIF('商品マスタ'!$B$6:$B$1005,$W3853)=0),COUNTIFS('①在庫を貼る'!$V$6:$V$10005,$V3853,'①在庫を貼る'!$W$6:$W$10005,$W3853)+COUNTIFS('月1回_1ヶ月前の在庫'!$V$6:$V$10005,$V3853,'月1回_1ヶ月前の在庫'!$W$6:$W$10005,$W3853)&gt;0),N(U3852),N(U3852)+1))</f>
        <v/>
      </c>
      <c r="V3853" s="19">
        <f>IF($B3853="","",TEXT($B3853,"0000"))</f>
        <v/>
      </c>
      <c r="W3853" s="19">
        <f>IF($I3853="","",IF(ISNUMBER($I3853),TEXT($I3853,"0"),$I3853))</f>
        <v/>
      </c>
    </row>
    <row r="3854">
      <c r="B3854" s="25" t="n"/>
      <c r="I3854" s="25" t="n"/>
      <c r="U3854" s="19">
        <f>IF($V3854&lt;&gt;'設定'!$C$4,N(U3853),IF(OR(NOT(COUNTIF('商品マスタ'!$B$6:$B$1005,$W3854)=0),COUNTIFS('①在庫を貼る'!$V$6:$V$10005,$V3854,'①在庫を貼る'!$W$6:$W$10005,$W3854)+COUNTIFS('月1回_1ヶ月前の在庫'!$V$6:$V$10005,$V3854,'月1回_1ヶ月前の在庫'!$W$6:$W$10005,$W3854)&gt;0),N(U3853),N(U3853)+1))</f>
        <v/>
      </c>
      <c r="V3854" s="19">
        <f>IF($B3854="","",TEXT($B3854,"0000"))</f>
        <v/>
      </c>
      <c r="W3854" s="19">
        <f>IF($I3854="","",IF(ISNUMBER($I3854),TEXT($I3854,"0"),$I3854))</f>
        <v/>
      </c>
    </row>
    <row r="3855">
      <c r="B3855" s="25" t="n"/>
      <c r="I3855" s="25" t="n"/>
      <c r="U3855" s="19">
        <f>IF($V3855&lt;&gt;'設定'!$C$4,N(U3854),IF(OR(NOT(COUNTIF('商品マスタ'!$B$6:$B$1005,$W3855)=0),COUNTIFS('①在庫を貼る'!$V$6:$V$10005,$V3855,'①在庫を貼る'!$W$6:$W$10005,$W3855)+COUNTIFS('月1回_1ヶ月前の在庫'!$V$6:$V$10005,$V3855,'月1回_1ヶ月前の在庫'!$W$6:$W$10005,$W3855)&gt;0),N(U3854),N(U3854)+1))</f>
        <v/>
      </c>
      <c r="V3855" s="19">
        <f>IF($B3855="","",TEXT($B3855,"0000"))</f>
        <v/>
      </c>
      <c r="W3855" s="19">
        <f>IF($I3855="","",IF(ISNUMBER($I3855),TEXT($I3855,"0"),$I3855))</f>
        <v/>
      </c>
    </row>
    <row r="3856">
      <c r="B3856" s="25" t="n"/>
      <c r="I3856" s="25" t="n"/>
      <c r="U3856" s="19">
        <f>IF($V3856&lt;&gt;'設定'!$C$4,N(U3855),IF(OR(NOT(COUNTIF('商品マスタ'!$B$6:$B$1005,$W3856)=0),COUNTIFS('①在庫を貼る'!$V$6:$V$10005,$V3856,'①在庫を貼る'!$W$6:$W$10005,$W3856)+COUNTIFS('月1回_1ヶ月前の在庫'!$V$6:$V$10005,$V3856,'月1回_1ヶ月前の在庫'!$W$6:$W$10005,$W3856)&gt;0),N(U3855),N(U3855)+1))</f>
        <v/>
      </c>
      <c r="V3856" s="19">
        <f>IF($B3856="","",TEXT($B3856,"0000"))</f>
        <v/>
      </c>
      <c r="W3856" s="19">
        <f>IF($I3856="","",IF(ISNUMBER($I3856),TEXT($I3856,"0"),$I3856))</f>
        <v/>
      </c>
    </row>
    <row r="3857">
      <c r="B3857" s="25" t="n"/>
      <c r="I3857" s="25" t="n"/>
      <c r="U3857" s="19">
        <f>IF($V3857&lt;&gt;'設定'!$C$4,N(U3856),IF(OR(NOT(COUNTIF('商品マスタ'!$B$6:$B$1005,$W3857)=0),COUNTIFS('①在庫を貼る'!$V$6:$V$10005,$V3857,'①在庫を貼る'!$W$6:$W$10005,$W3857)+COUNTIFS('月1回_1ヶ月前の在庫'!$V$6:$V$10005,$V3857,'月1回_1ヶ月前の在庫'!$W$6:$W$10005,$W3857)&gt;0),N(U3856),N(U3856)+1))</f>
        <v/>
      </c>
      <c r="V3857" s="19">
        <f>IF($B3857="","",TEXT($B3857,"0000"))</f>
        <v/>
      </c>
      <c r="W3857" s="19">
        <f>IF($I3857="","",IF(ISNUMBER($I3857),TEXT($I3857,"0"),$I3857))</f>
        <v/>
      </c>
    </row>
    <row r="3858">
      <c r="B3858" s="25" t="n"/>
      <c r="I3858" s="25" t="n"/>
      <c r="U3858" s="19">
        <f>IF($V3858&lt;&gt;'設定'!$C$4,N(U3857),IF(OR(NOT(COUNTIF('商品マスタ'!$B$6:$B$1005,$W3858)=0),COUNTIFS('①在庫を貼る'!$V$6:$V$10005,$V3858,'①在庫を貼る'!$W$6:$W$10005,$W3858)+COUNTIFS('月1回_1ヶ月前の在庫'!$V$6:$V$10005,$V3858,'月1回_1ヶ月前の在庫'!$W$6:$W$10005,$W3858)&gt;0),N(U3857),N(U3857)+1))</f>
        <v/>
      </c>
      <c r="V3858" s="19">
        <f>IF($B3858="","",TEXT($B3858,"0000"))</f>
        <v/>
      </c>
      <c r="W3858" s="19">
        <f>IF($I3858="","",IF(ISNUMBER($I3858),TEXT($I3858,"0"),$I3858))</f>
        <v/>
      </c>
    </row>
    <row r="3859">
      <c r="B3859" s="25" t="n"/>
      <c r="I3859" s="25" t="n"/>
      <c r="U3859" s="19">
        <f>IF($V3859&lt;&gt;'設定'!$C$4,N(U3858),IF(OR(NOT(COUNTIF('商品マスタ'!$B$6:$B$1005,$W3859)=0),COUNTIFS('①在庫を貼る'!$V$6:$V$10005,$V3859,'①在庫を貼る'!$W$6:$W$10005,$W3859)+COUNTIFS('月1回_1ヶ月前の在庫'!$V$6:$V$10005,$V3859,'月1回_1ヶ月前の在庫'!$W$6:$W$10005,$W3859)&gt;0),N(U3858),N(U3858)+1))</f>
        <v/>
      </c>
      <c r="V3859" s="19">
        <f>IF($B3859="","",TEXT($B3859,"0000"))</f>
        <v/>
      </c>
      <c r="W3859" s="19">
        <f>IF($I3859="","",IF(ISNUMBER($I3859),TEXT($I3859,"0"),$I3859))</f>
        <v/>
      </c>
    </row>
    <row r="3860">
      <c r="B3860" s="25" t="n"/>
      <c r="I3860" s="25" t="n"/>
      <c r="U3860" s="19">
        <f>IF($V3860&lt;&gt;'設定'!$C$4,N(U3859),IF(OR(NOT(COUNTIF('商品マスタ'!$B$6:$B$1005,$W3860)=0),COUNTIFS('①在庫を貼る'!$V$6:$V$10005,$V3860,'①在庫を貼る'!$W$6:$W$10005,$W3860)+COUNTIFS('月1回_1ヶ月前の在庫'!$V$6:$V$10005,$V3860,'月1回_1ヶ月前の在庫'!$W$6:$W$10005,$W3860)&gt;0),N(U3859),N(U3859)+1))</f>
        <v/>
      </c>
      <c r="V3860" s="19">
        <f>IF($B3860="","",TEXT($B3860,"0000"))</f>
        <v/>
      </c>
      <c r="W3860" s="19">
        <f>IF($I3860="","",IF(ISNUMBER($I3860),TEXT($I3860,"0"),$I3860))</f>
        <v/>
      </c>
    </row>
    <row r="3861">
      <c r="B3861" s="25" t="n"/>
      <c r="I3861" s="25" t="n"/>
      <c r="U3861" s="19">
        <f>IF($V3861&lt;&gt;'設定'!$C$4,N(U3860),IF(OR(NOT(COUNTIF('商品マスタ'!$B$6:$B$1005,$W3861)=0),COUNTIFS('①在庫を貼る'!$V$6:$V$10005,$V3861,'①在庫を貼る'!$W$6:$W$10005,$W3861)+COUNTIFS('月1回_1ヶ月前の在庫'!$V$6:$V$10005,$V3861,'月1回_1ヶ月前の在庫'!$W$6:$W$10005,$W3861)&gt;0),N(U3860),N(U3860)+1))</f>
        <v/>
      </c>
      <c r="V3861" s="19">
        <f>IF($B3861="","",TEXT($B3861,"0000"))</f>
        <v/>
      </c>
      <c r="W3861" s="19">
        <f>IF($I3861="","",IF(ISNUMBER($I3861),TEXT($I3861,"0"),$I3861))</f>
        <v/>
      </c>
    </row>
    <row r="3862">
      <c r="B3862" s="25" t="n"/>
      <c r="I3862" s="25" t="n"/>
      <c r="U3862" s="19">
        <f>IF($V3862&lt;&gt;'設定'!$C$4,N(U3861),IF(OR(NOT(COUNTIF('商品マスタ'!$B$6:$B$1005,$W3862)=0),COUNTIFS('①在庫を貼る'!$V$6:$V$10005,$V3862,'①在庫を貼る'!$W$6:$W$10005,$W3862)+COUNTIFS('月1回_1ヶ月前の在庫'!$V$6:$V$10005,$V3862,'月1回_1ヶ月前の在庫'!$W$6:$W$10005,$W3862)&gt;0),N(U3861),N(U3861)+1))</f>
        <v/>
      </c>
      <c r="V3862" s="19">
        <f>IF($B3862="","",TEXT($B3862,"0000"))</f>
        <v/>
      </c>
      <c r="W3862" s="19">
        <f>IF($I3862="","",IF(ISNUMBER($I3862),TEXT($I3862,"0"),$I3862))</f>
        <v/>
      </c>
    </row>
    <row r="3863">
      <c r="B3863" s="25" t="n"/>
      <c r="I3863" s="25" t="n"/>
      <c r="U3863" s="19">
        <f>IF($V3863&lt;&gt;'設定'!$C$4,N(U3862),IF(OR(NOT(COUNTIF('商品マスタ'!$B$6:$B$1005,$W3863)=0),COUNTIFS('①在庫を貼る'!$V$6:$V$10005,$V3863,'①在庫を貼る'!$W$6:$W$10005,$W3863)+COUNTIFS('月1回_1ヶ月前の在庫'!$V$6:$V$10005,$V3863,'月1回_1ヶ月前の在庫'!$W$6:$W$10005,$W3863)&gt;0),N(U3862),N(U3862)+1))</f>
        <v/>
      </c>
      <c r="V3863" s="19">
        <f>IF($B3863="","",TEXT($B3863,"0000"))</f>
        <v/>
      </c>
      <c r="W3863" s="19">
        <f>IF($I3863="","",IF(ISNUMBER($I3863),TEXT($I3863,"0"),$I3863))</f>
        <v/>
      </c>
    </row>
    <row r="3864">
      <c r="B3864" s="25" t="n"/>
      <c r="I3864" s="25" t="n"/>
      <c r="U3864" s="19">
        <f>IF($V3864&lt;&gt;'設定'!$C$4,N(U3863),IF(OR(NOT(COUNTIF('商品マスタ'!$B$6:$B$1005,$W3864)=0),COUNTIFS('①在庫を貼る'!$V$6:$V$10005,$V3864,'①在庫を貼る'!$W$6:$W$10005,$W3864)+COUNTIFS('月1回_1ヶ月前の在庫'!$V$6:$V$10005,$V3864,'月1回_1ヶ月前の在庫'!$W$6:$W$10005,$W3864)&gt;0),N(U3863),N(U3863)+1))</f>
        <v/>
      </c>
      <c r="V3864" s="19">
        <f>IF($B3864="","",TEXT($B3864,"0000"))</f>
        <v/>
      </c>
      <c r="W3864" s="19">
        <f>IF($I3864="","",IF(ISNUMBER($I3864),TEXT($I3864,"0"),$I3864))</f>
        <v/>
      </c>
    </row>
    <row r="3865">
      <c r="B3865" s="25" t="n"/>
      <c r="I3865" s="25" t="n"/>
      <c r="U3865" s="19">
        <f>IF($V3865&lt;&gt;'設定'!$C$4,N(U3864),IF(OR(NOT(COUNTIF('商品マスタ'!$B$6:$B$1005,$W3865)=0),COUNTIFS('①在庫を貼る'!$V$6:$V$10005,$V3865,'①在庫を貼る'!$W$6:$W$10005,$W3865)+COUNTIFS('月1回_1ヶ月前の在庫'!$V$6:$V$10005,$V3865,'月1回_1ヶ月前の在庫'!$W$6:$W$10005,$W3865)&gt;0),N(U3864),N(U3864)+1))</f>
        <v/>
      </c>
      <c r="V3865" s="19">
        <f>IF($B3865="","",TEXT($B3865,"0000"))</f>
        <v/>
      </c>
      <c r="W3865" s="19">
        <f>IF($I3865="","",IF(ISNUMBER($I3865),TEXT($I3865,"0"),$I3865))</f>
        <v/>
      </c>
    </row>
    <row r="3866">
      <c r="B3866" s="25" t="n"/>
      <c r="I3866" s="25" t="n"/>
      <c r="U3866" s="19">
        <f>IF($V3866&lt;&gt;'設定'!$C$4,N(U3865),IF(OR(NOT(COUNTIF('商品マスタ'!$B$6:$B$1005,$W3866)=0),COUNTIFS('①在庫を貼る'!$V$6:$V$10005,$V3866,'①在庫を貼る'!$W$6:$W$10005,$W3866)+COUNTIFS('月1回_1ヶ月前の在庫'!$V$6:$V$10005,$V3866,'月1回_1ヶ月前の在庫'!$W$6:$W$10005,$W3866)&gt;0),N(U3865),N(U3865)+1))</f>
        <v/>
      </c>
      <c r="V3866" s="19">
        <f>IF($B3866="","",TEXT($B3866,"0000"))</f>
        <v/>
      </c>
      <c r="W3866" s="19">
        <f>IF($I3866="","",IF(ISNUMBER($I3866),TEXT($I3866,"0"),$I3866))</f>
        <v/>
      </c>
    </row>
    <row r="3867">
      <c r="B3867" s="25" t="n"/>
      <c r="I3867" s="25" t="n"/>
      <c r="U3867" s="19">
        <f>IF($V3867&lt;&gt;'設定'!$C$4,N(U3866),IF(OR(NOT(COUNTIF('商品マスタ'!$B$6:$B$1005,$W3867)=0),COUNTIFS('①在庫を貼る'!$V$6:$V$10005,$V3867,'①在庫を貼る'!$W$6:$W$10005,$W3867)+COUNTIFS('月1回_1ヶ月前の在庫'!$V$6:$V$10005,$V3867,'月1回_1ヶ月前の在庫'!$W$6:$W$10005,$W3867)&gt;0),N(U3866),N(U3866)+1))</f>
        <v/>
      </c>
      <c r="V3867" s="19">
        <f>IF($B3867="","",TEXT($B3867,"0000"))</f>
        <v/>
      </c>
      <c r="W3867" s="19">
        <f>IF($I3867="","",IF(ISNUMBER($I3867),TEXT($I3867,"0"),$I3867))</f>
        <v/>
      </c>
    </row>
    <row r="3868">
      <c r="B3868" s="25" t="n"/>
      <c r="I3868" s="25" t="n"/>
      <c r="U3868" s="19">
        <f>IF($V3868&lt;&gt;'設定'!$C$4,N(U3867),IF(OR(NOT(COUNTIF('商品マスタ'!$B$6:$B$1005,$W3868)=0),COUNTIFS('①在庫を貼る'!$V$6:$V$10005,$V3868,'①在庫を貼る'!$W$6:$W$10005,$W3868)+COUNTIFS('月1回_1ヶ月前の在庫'!$V$6:$V$10005,$V3868,'月1回_1ヶ月前の在庫'!$W$6:$W$10005,$W3868)&gt;0),N(U3867),N(U3867)+1))</f>
        <v/>
      </c>
      <c r="V3868" s="19">
        <f>IF($B3868="","",TEXT($B3868,"0000"))</f>
        <v/>
      </c>
      <c r="W3868" s="19">
        <f>IF($I3868="","",IF(ISNUMBER($I3868),TEXT($I3868,"0"),$I3868))</f>
        <v/>
      </c>
    </row>
    <row r="3869">
      <c r="B3869" s="25" t="n"/>
      <c r="I3869" s="25" t="n"/>
      <c r="U3869" s="19">
        <f>IF($V3869&lt;&gt;'設定'!$C$4,N(U3868),IF(OR(NOT(COUNTIF('商品マスタ'!$B$6:$B$1005,$W3869)=0),COUNTIFS('①在庫を貼る'!$V$6:$V$10005,$V3869,'①在庫を貼る'!$W$6:$W$10005,$W3869)+COUNTIFS('月1回_1ヶ月前の在庫'!$V$6:$V$10005,$V3869,'月1回_1ヶ月前の在庫'!$W$6:$W$10005,$W3869)&gt;0),N(U3868),N(U3868)+1))</f>
        <v/>
      </c>
      <c r="V3869" s="19">
        <f>IF($B3869="","",TEXT($B3869,"0000"))</f>
        <v/>
      </c>
      <c r="W3869" s="19">
        <f>IF($I3869="","",IF(ISNUMBER($I3869),TEXT($I3869,"0"),$I3869))</f>
        <v/>
      </c>
    </row>
    <row r="3870">
      <c r="B3870" s="25" t="n"/>
      <c r="I3870" s="25" t="n"/>
      <c r="U3870" s="19">
        <f>IF($V3870&lt;&gt;'設定'!$C$4,N(U3869),IF(OR(NOT(COUNTIF('商品マスタ'!$B$6:$B$1005,$W3870)=0),COUNTIFS('①在庫を貼る'!$V$6:$V$10005,$V3870,'①在庫を貼る'!$W$6:$W$10005,$W3870)+COUNTIFS('月1回_1ヶ月前の在庫'!$V$6:$V$10005,$V3870,'月1回_1ヶ月前の在庫'!$W$6:$W$10005,$W3870)&gt;0),N(U3869),N(U3869)+1))</f>
        <v/>
      </c>
      <c r="V3870" s="19">
        <f>IF($B3870="","",TEXT($B3870,"0000"))</f>
        <v/>
      </c>
      <c r="W3870" s="19">
        <f>IF($I3870="","",IF(ISNUMBER($I3870),TEXT($I3870,"0"),$I3870))</f>
        <v/>
      </c>
    </row>
    <row r="3871">
      <c r="B3871" s="25" t="n"/>
      <c r="I3871" s="25" t="n"/>
      <c r="U3871" s="19">
        <f>IF($V3871&lt;&gt;'設定'!$C$4,N(U3870),IF(OR(NOT(COUNTIF('商品マスタ'!$B$6:$B$1005,$W3871)=0),COUNTIFS('①在庫を貼る'!$V$6:$V$10005,$V3871,'①在庫を貼る'!$W$6:$W$10005,$W3871)+COUNTIFS('月1回_1ヶ月前の在庫'!$V$6:$V$10005,$V3871,'月1回_1ヶ月前の在庫'!$W$6:$W$10005,$W3871)&gt;0),N(U3870),N(U3870)+1))</f>
        <v/>
      </c>
      <c r="V3871" s="19">
        <f>IF($B3871="","",TEXT($B3871,"0000"))</f>
        <v/>
      </c>
      <c r="W3871" s="19">
        <f>IF($I3871="","",IF(ISNUMBER($I3871),TEXT($I3871,"0"),$I3871))</f>
        <v/>
      </c>
    </row>
    <row r="3872">
      <c r="B3872" s="25" t="n"/>
      <c r="I3872" s="25" t="n"/>
      <c r="U3872" s="19">
        <f>IF($V3872&lt;&gt;'設定'!$C$4,N(U3871),IF(OR(NOT(COUNTIF('商品マスタ'!$B$6:$B$1005,$W3872)=0),COUNTIFS('①在庫を貼る'!$V$6:$V$10005,$V3872,'①在庫を貼る'!$W$6:$W$10005,$W3872)+COUNTIFS('月1回_1ヶ月前の在庫'!$V$6:$V$10005,$V3872,'月1回_1ヶ月前の在庫'!$W$6:$W$10005,$W3872)&gt;0),N(U3871),N(U3871)+1))</f>
        <v/>
      </c>
      <c r="V3872" s="19">
        <f>IF($B3872="","",TEXT($B3872,"0000"))</f>
        <v/>
      </c>
      <c r="W3872" s="19">
        <f>IF($I3872="","",IF(ISNUMBER($I3872),TEXT($I3872,"0"),$I3872))</f>
        <v/>
      </c>
    </row>
    <row r="3873">
      <c r="B3873" s="25" t="n"/>
      <c r="I3873" s="25" t="n"/>
      <c r="U3873" s="19">
        <f>IF($V3873&lt;&gt;'設定'!$C$4,N(U3872),IF(OR(NOT(COUNTIF('商品マスタ'!$B$6:$B$1005,$W3873)=0),COUNTIFS('①在庫を貼る'!$V$6:$V$10005,$V3873,'①在庫を貼る'!$W$6:$W$10005,$W3873)+COUNTIFS('月1回_1ヶ月前の在庫'!$V$6:$V$10005,$V3873,'月1回_1ヶ月前の在庫'!$W$6:$W$10005,$W3873)&gt;0),N(U3872),N(U3872)+1))</f>
        <v/>
      </c>
      <c r="V3873" s="19">
        <f>IF($B3873="","",TEXT($B3873,"0000"))</f>
        <v/>
      </c>
      <c r="W3873" s="19">
        <f>IF($I3873="","",IF(ISNUMBER($I3873),TEXT($I3873,"0"),$I3873))</f>
        <v/>
      </c>
    </row>
    <row r="3874">
      <c r="B3874" s="25" t="n"/>
      <c r="I3874" s="25" t="n"/>
      <c r="U3874" s="19">
        <f>IF($V3874&lt;&gt;'設定'!$C$4,N(U3873),IF(OR(NOT(COUNTIF('商品マスタ'!$B$6:$B$1005,$W3874)=0),COUNTIFS('①在庫を貼る'!$V$6:$V$10005,$V3874,'①在庫を貼る'!$W$6:$W$10005,$W3874)+COUNTIFS('月1回_1ヶ月前の在庫'!$V$6:$V$10005,$V3874,'月1回_1ヶ月前の在庫'!$W$6:$W$10005,$W3874)&gt;0),N(U3873),N(U3873)+1))</f>
        <v/>
      </c>
      <c r="V3874" s="19">
        <f>IF($B3874="","",TEXT($B3874,"0000"))</f>
        <v/>
      </c>
      <c r="W3874" s="19">
        <f>IF($I3874="","",IF(ISNUMBER($I3874),TEXT($I3874,"0"),$I3874))</f>
        <v/>
      </c>
    </row>
    <row r="3875">
      <c r="B3875" s="25" t="n"/>
      <c r="I3875" s="25" t="n"/>
      <c r="U3875" s="19">
        <f>IF($V3875&lt;&gt;'設定'!$C$4,N(U3874),IF(OR(NOT(COUNTIF('商品マスタ'!$B$6:$B$1005,$W3875)=0),COUNTIFS('①在庫を貼る'!$V$6:$V$10005,$V3875,'①在庫を貼る'!$W$6:$W$10005,$W3875)+COUNTIFS('月1回_1ヶ月前の在庫'!$V$6:$V$10005,$V3875,'月1回_1ヶ月前の在庫'!$W$6:$W$10005,$W3875)&gt;0),N(U3874),N(U3874)+1))</f>
        <v/>
      </c>
      <c r="V3875" s="19">
        <f>IF($B3875="","",TEXT($B3875,"0000"))</f>
        <v/>
      </c>
      <c r="W3875" s="19">
        <f>IF($I3875="","",IF(ISNUMBER($I3875),TEXT($I3875,"0"),$I3875))</f>
        <v/>
      </c>
    </row>
    <row r="3876">
      <c r="B3876" s="25" t="n"/>
      <c r="I3876" s="25" t="n"/>
      <c r="U3876" s="19">
        <f>IF($V3876&lt;&gt;'設定'!$C$4,N(U3875),IF(OR(NOT(COUNTIF('商品マスタ'!$B$6:$B$1005,$W3876)=0),COUNTIFS('①在庫を貼る'!$V$6:$V$10005,$V3876,'①在庫を貼る'!$W$6:$W$10005,$W3876)+COUNTIFS('月1回_1ヶ月前の在庫'!$V$6:$V$10005,$V3876,'月1回_1ヶ月前の在庫'!$W$6:$W$10005,$W3876)&gt;0),N(U3875),N(U3875)+1))</f>
        <v/>
      </c>
      <c r="V3876" s="19">
        <f>IF($B3876="","",TEXT($B3876,"0000"))</f>
        <v/>
      </c>
      <c r="W3876" s="19">
        <f>IF($I3876="","",IF(ISNUMBER($I3876),TEXT($I3876,"0"),$I3876))</f>
        <v/>
      </c>
    </row>
    <row r="3877">
      <c r="B3877" s="25" t="n"/>
      <c r="I3877" s="25" t="n"/>
      <c r="U3877" s="19">
        <f>IF($V3877&lt;&gt;'設定'!$C$4,N(U3876),IF(OR(NOT(COUNTIF('商品マスタ'!$B$6:$B$1005,$W3877)=0),COUNTIFS('①在庫を貼る'!$V$6:$V$10005,$V3877,'①在庫を貼る'!$W$6:$W$10005,$W3877)+COUNTIFS('月1回_1ヶ月前の在庫'!$V$6:$V$10005,$V3877,'月1回_1ヶ月前の在庫'!$W$6:$W$10005,$W3877)&gt;0),N(U3876),N(U3876)+1))</f>
        <v/>
      </c>
      <c r="V3877" s="19">
        <f>IF($B3877="","",TEXT($B3877,"0000"))</f>
        <v/>
      </c>
      <c r="W3877" s="19">
        <f>IF($I3877="","",IF(ISNUMBER($I3877),TEXT($I3877,"0"),$I3877))</f>
        <v/>
      </c>
    </row>
    <row r="3878">
      <c r="B3878" s="25" t="n"/>
      <c r="I3878" s="25" t="n"/>
      <c r="U3878" s="19">
        <f>IF($V3878&lt;&gt;'設定'!$C$4,N(U3877),IF(OR(NOT(COUNTIF('商品マスタ'!$B$6:$B$1005,$W3878)=0),COUNTIFS('①在庫を貼る'!$V$6:$V$10005,$V3878,'①在庫を貼る'!$W$6:$W$10005,$W3878)+COUNTIFS('月1回_1ヶ月前の在庫'!$V$6:$V$10005,$V3878,'月1回_1ヶ月前の在庫'!$W$6:$W$10005,$W3878)&gt;0),N(U3877),N(U3877)+1))</f>
        <v/>
      </c>
      <c r="V3878" s="19">
        <f>IF($B3878="","",TEXT($B3878,"0000"))</f>
        <v/>
      </c>
      <c r="W3878" s="19">
        <f>IF($I3878="","",IF(ISNUMBER($I3878),TEXT($I3878,"0"),$I3878))</f>
        <v/>
      </c>
    </row>
    <row r="3879">
      <c r="B3879" s="25" t="n"/>
      <c r="I3879" s="25" t="n"/>
      <c r="U3879" s="19">
        <f>IF($V3879&lt;&gt;'設定'!$C$4,N(U3878),IF(OR(NOT(COUNTIF('商品マスタ'!$B$6:$B$1005,$W3879)=0),COUNTIFS('①在庫を貼る'!$V$6:$V$10005,$V3879,'①在庫を貼る'!$W$6:$W$10005,$W3879)+COUNTIFS('月1回_1ヶ月前の在庫'!$V$6:$V$10005,$V3879,'月1回_1ヶ月前の在庫'!$W$6:$W$10005,$W3879)&gt;0),N(U3878),N(U3878)+1))</f>
        <v/>
      </c>
      <c r="V3879" s="19">
        <f>IF($B3879="","",TEXT($B3879,"0000"))</f>
        <v/>
      </c>
      <c r="W3879" s="19">
        <f>IF($I3879="","",IF(ISNUMBER($I3879),TEXT($I3879,"0"),$I3879))</f>
        <v/>
      </c>
    </row>
    <row r="3880">
      <c r="B3880" s="25" t="n"/>
      <c r="I3880" s="25" t="n"/>
      <c r="U3880" s="19">
        <f>IF($V3880&lt;&gt;'設定'!$C$4,N(U3879),IF(OR(NOT(COUNTIF('商品マスタ'!$B$6:$B$1005,$W3880)=0),COUNTIFS('①在庫を貼る'!$V$6:$V$10005,$V3880,'①在庫を貼る'!$W$6:$W$10005,$W3880)+COUNTIFS('月1回_1ヶ月前の在庫'!$V$6:$V$10005,$V3880,'月1回_1ヶ月前の在庫'!$W$6:$W$10005,$W3880)&gt;0),N(U3879),N(U3879)+1))</f>
        <v/>
      </c>
      <c r="V3880" s="19">
        <f>IF($B3880="","",TEXT($B3880,"0000"))</f>
        <v/>
      </c>
      <c r="W3880" s="19">
        <f>IF($I3880="","",IF(ISNUMBER($I3880),TEXT($I3880,"0"),$I3880))</f>
        <v/>
      </c>
    </row>
    <row r="3881">
      <c r="B3881" s="25" t="n"/>
      <c r="I3881" s="25" t="n"/>
      <c r="U3881" s="19">
        <f>IF($V3881&lt;&gt;'設定'!$C$4,N(U3880),IF(OR(NOT(COUNTIF('商品マスタ'!$B$6:$B$1005,$W3881)=0),COUNTIFS('①在庫を貼る'!$V$6:$V$10005,$V3881,'①在庫を貼る'!$W$6:$W$10005,$W3881)+COUNTIFS('月1回_1ヶ月前の在庫'!$V$6:$V$10005,$V3881,'月1回_1ヶ月前の在庫'!$W$6:$W$10005,$W3881)&gt;0),N(U3880),N(U3880)+1))</f>
        <v/>
      </c>
      <c r="V3881" s="19">
        <f>IF($B3881="","",TEXT($B3881,"0000"))</f>
        <v/>
      </c>
      <c r="W3881" s="19">
        <f>IF($I3881="","",IF(ISNUMBER($I3881),TEXT($I3881,"0"),$I3881))</f>
        <v/>
      </c>
    </row>
    <row r="3882">
      <c r="B3882" s="25" t="n"/>
      <c r="I3882" s="25" t="n"/>
      <c r="U3882" s="19">
        <f>IF($V3882&lt;&gt;'設定'!$C$4,N(U3881),IF(OR(NOT(COUNTIF('商品マスタ'!$B$6:$B$1005,$W3882)=0),COUNTIFS('①在庫を貼る'!$V$6:$V$10005,$V3882,'①在庫を貼る'!$W$6:$W$10005,$W3882)+COUNTIFS('月1回_1ヶ月前の在庫'!$V$6:$V$10005,$V3882,'月1回_1ヶ月前の在庫'!$W$6:$W$10005,$W3882)&gt;0),N(U3881),N(U3881)+1))</f>
        <v/>
      </c>
      <c r="V3882" s="19">
        <f>IF($B3882="","",TEXT($B3882,"0000"))</f>
        <v/>
      </c>
      <c r="W3882" s="19">
        <f>IF($I3882="","",IF(ISNUMBER($I3882),TEXT($I3882,"0"),$I3882))</f>
        <v/>
      </c>
    </row>
    <row r="3883">
      <c r="B3883" s="25" t="n"/>
      <c r="I3883" s="25" t="n"/>
      <c r="U3883" s="19">
        <f>IF($V3883&lt;&gt;'設定'!$C$4,N(U3882),IF(OR(NOT(COUNTIF('商品マスタ'!$B$6:$B$1005,$W3883)=0),COUNTIFS('①在庫を貼る'!$V$6:$V$10005,$V3883,'①在庫を貼る'!$W$6:$W$10005,$W3883)+COUNTIFS('月1回_1ヶ月前の在庫'!$V$6:$V$10005,$V3883,'月1回_1ヶ月前の在庫'!$W$6:$W$10005,$W3883)&gt;0),N(U3882),N(U3882)+1))</f>
        <v/>
      </c>
      <c r="V3883" s="19">
        <f>IF($B3883="","",TEXT($B3883,"0000"))</f>
        <v/>
      </c>
      <c r="W3883" s="19">
        <f>IF($I3883="","",IF(ISNUMBER($I3883),TEXT($I3883,"0"),$I3883))</f>
        <v/>
      </c>
    </row>
    <row r="3884">
      <c r="B3884" s="25" t="n"/>
      <c r="I3884" s="25" t="n"/>
      <c r="U3884" s="19">
        <f>IF($V3884&lt;&gt;'設定'!$C$4,N(U3883),IF(OR(NOT(COUNTIF('商品マスタ'!$B$6:$B$1005,$W3884)=0),COUNTIFS('①在庫を貼る'!$V$6:$V$10005,$V3884,'①在庫を貼る'!$W$6:$W$10005,$W3884)+COUNTIFS('月1回_1ヶ月前の在庫'!$V$6:$V$10005,$V3884,'月1回_1ヶ月前の在庫'!$W$6:$W$10005,$W3884)&gt;0),N(U3883),N(U3883)+1))</f>
        <v/>
      </c>
      <c r="V3884" s="19">
        <f>IF($B3884="","",TEXT($B3884,"0000"))</f>
        <v/>
      </c>
      <c r="W3884" s="19">
        <f>IF($I3884="","",IF(ISNUMBER($I3884),TEXT($I3884,"0"),$I3884))</f>
        <v/>
      </c>
    </row>
    <row r="3885">
      <c r="B3885" s="25" t="n"/>
      <c r="I3885" s="25" t="n"/>
      <c r="U3885" s="19">
        <f>IF($V3885&lt;&gt;'設定'!$C$4,N(U3884),IF(OR(NOT(COUNTIF('商品マスタ'!$B$6:$B$1005,$W3885)=0),COUNTIFS('①在庫を貼る'!$V$6:$V$10005,$V3885,'①在庫を貼る'!$W$6:$W$10005,$W3885)+COUNTIFS('月1回_1ヶ月前の在庫'!$V$6:$V$10005,$V3885,'月1回_1ヶ月前の在庫'!$W$6:$W$10005,$W3885)&gt;0),N(U3884),N(U3884)+1))</f>
        <v/>
      </c>
      <c r="V3885" s="19">
        <f>IF($B3885="","",TEXT($B3885,"0000"))</f>
        <v/>
      </c>
      <c r="W3885" s="19">
        <f>IF($I3885="","",IF(ISNUMBER($I3885),TEXT($I3885,"0"),$I3885))</f>
        <v/>
      </c>
    </row>
    <row r="3886">
      <c r="B3886" s="25" t="n"/>
      <c r="I3886" s="25" t="n"/>
      <c r="U3886" s="19">
        <f>IF($V3886&lt;&gt;'設定'!$C$4,N(U3885),IF(OR(NOT(COUNTIF('商品マスタ'!$B$6:$B$1005,$W3886)=0),COUNTIFS('①在庫を貼る'!$V$6:$V$10005,$V3886,'①在庫を貼る'!$W$6:$W$10005,$W3886)+COUNTIFS('月1回_1ヶ月前の在庫'!$V$6:$V$10005,$V3886,'月1回_1ヶ月前の在庫'!$W$6:$W$10005,$W3886)&gt;0),N(U3885),N(U3885)+1))</f>
        <v/>
      </c>
      <c r="V3886" s="19">
        <f>IF($B3886="","",TEXT($B3886,"0000"))</f>
        <v/>
      </c>
      <c r="W3886" s="19">
        <f>IF($I3886="","",IF(ISNUMBER($I3886),TEXT($I3886,"0"),$I3886))</f>
        <v/>
      </c>
    </row>
    <row r="3887">
      <c r="B3887" s="25" t="n"/>
      <c r="I3887" s="25" t="n"/>
      <c r="U3887" s="19">
        <f>IF($V3887&lt;&gt;'設定'!$C$4,N(U3886),IF(OR(NOT(COUNTIF('商品マスタ'!$B$6:$B$1005,$W3887)=0),COUNTIFS('①在庫を貼る'!$V$6:$V$10005,$V3887,'①在庫を貼る'!$W$6:$W$10005,$W3887)+COUNTIFS('月1回_1ヶ月前の在庫'!$V$6:$V$10005,$V3887,'月1回_1ヶ月前の在庫'!$W$6:$W$10005,$W3887)&gt;0),N(U3886),N(U3886)+1))</f>
        <v/>
      </c>
      <c r="V3887" s="19">
        <f>IF($B3887="","",TEXT($B3887,"0000"))</f>
        <v/>
      </c>
      <c r="W3887" s="19">
        <f>IF($I3887="","",IF(ISNUMBER($I3887),TEXT($I3887,"0"),$I3887))</f>
        <v/>
      </c>
    </row>
    <row r="3888">
      <c r="B3888" s="25" t="n"/>
      <c r="I3888" s="25" t="n"/>
      <c r="U3888" s="19">
        <f>IF($V3888&lt;&gt;'設定'!$C$4,N(U3887),IF(OR(NOT(COUNTIF('商品マスタ'!$B$6:$B$1005,$W3888)=0),COUNTIFS('①在庫を貼る'!$V$6:$V$10005,$V3888,'①在庫を貼る'!$W$6:$W$10005,$W3888)+COUNTIFS('月1回_1ヶ月前の在庫'!$V$6:$V$10005,$V3888,'月1回_1ヶ月前の在庫'!$W$6:$W$10005,$W3888)&gt;0),N(U3887),N(U3887)+1))</f>
        <v/>
      </c>
      <c r="V3888" s="19">
        <f>IF($B3888="","",TEXT($B3888,"0000"))</f>
        <v/>
      </c>
      <c r="W3888" s="19">
        <f>IF($I3888="","",IF(ISNUMBER($I3888),TEXT($I3888,"0"),$I3888))</f>
        <v/>
      </c>
    </row>
    <row r="3889">
      <c r="B3889" s="25" t="n"/>
      <c r="I3889" s="25" t="n"/>
      <c r="U3889" s="19">
        <f>IF($V3889&lt;&gt;'設定'!$C$4,N(U3888),IF(OR(NOT(COUNTIF('商品マスタ'!$B$6:$B$1005,$W3889)=0),COUNTIFS('①在庫を貼る'!$V$6:$V$10005,$V3889,'①在庫を貼る'!$W$6:$W$10005,$W3889)+COUNTIFS('月1回_1ヶ月前の在庫'!$V$6:$V$10005,$V3889,'月1回_1ヶ月前の在庫'!$W$6:$W$10005,$W3889)&gt;0),N(U3888),N(U3888)+1))</f>
        <v/>
      </c>
      <c r="V3889" s="19">
        <f>IF($B3889="","",TEXT($B3889,"0000"))</f>
        <v/>
      </c>
      <c r="W3889" s="19">
        <f>IF($I3889="","",IF(ISNUMBER($I3889),TEXT($I3889,"0"),$I3889))</f>
        <v/>
      </c>
    </row>
    <row r="3890">
      <c r="B3890" s="25" t="n"/>
      <c r="I3890" s="25" t="n"/>
      <c r="U3890" s="19">
        <f>IF($V3890&lt;&gt;'設定'!$C$4,N(U3889),IF(OR(NOT(COUNTIF('商品マスタ'!$B$6:$B$1005,$W3890)=0),COUNTIFS('①在庫を貼る'!$V$6:$V$10005,$V3890,'①在庫を貼る'!$W$6:$W$10005,$W3890)+COUNTIFS('月1回_1ヶ月前の在庫'!$V$6:$V$10005,$V3890,'月1回_1ヶ月前の在庫'!$W$6:$W$10005,$W3890)&gt;0),N(U3889),N(U3889)+1))</f>
        <v/>
      </c>
      <c r="V3890" s="19">
        <f>IF($B3890="","",TEXT($B3890,"0000"))</f>
        <v/>
      </c>
      <c r="W3890" s="19">
        <f>IF($I3890="","",IF(ISNUMBER($I3890),TEXT($I3890,"0"),$I3890))</f>
        <v/>
      </c>
    </row>
    <row r="3891">
      <c r="B3891" s="25" t="n"/>
      <c r="I3891" s="25" t="n"/>
      <c r="U3891" s="19">
        <f>IF($V3891&lt;&gt;'設定'!$C$4,N(U3890),IF(OR(NOT(COUNTIF('商品マスタ'!$B$6:$B$1005,$W3891)=0),COUNTIFS('①在庫を貼る'!$V$6:$V$10005,$V3891,'①在庫を貼る'!$W$6:$W$10005,$W3891)+COUNTIFS('月1回_1ヶ月前の在庫'!$V$6:$V$10005,$V3891,'月1回_1ヶ月前の在庫'!$W$6:$W$10005,$W3891)&gt;0),N(U3890),N(U3890)+1))</f>
        <v/>
      </c>
      <c r="V3891" s="19">
        <f>IF($B3891="","",TEXT($B3891,"0000"))</f>
        <v/>
      </c>
      <c r="W3891" s="19">
        <f>IF($I3891="","",IF(ISNUMBER($I3891),TEXT($I3891,"0"),$I3891))</f>
        <v/>
      </c>
    </row>
    <row r="3892">
      <c r="B3892" s="25" t="n"/>
      <c r="I3892" s="25" t="n"/>
      <c r="U3892" s="19">
        <f>IF($V3892&lt;&gt;'設定'!$C$4,N(U3891),IF(OR(NOT(COUNTIF('商品マスタ'!$B$6:$B$1005,$W3892)=0),COUNTIFS('①在庫を貼る'!$V$6:$V$10005,$V3892,'①在庫を貼る'!$W$6:$W$10005,$W3892)+COUNTIFS('月1回_1ヶ月前の在庫'!$V$6:$V$10005,$V3892,'月1回_1ヶ月前の在庫'!$W$6:$W$10005,$W3892)&gt;0),N(U3891),N(U3891)+1))</f>
        <v/>
      </c>
      <c r="V3892" s="19">
        <f>IF($B3892="","",TEXT($B3892,"0000"))</f>
        <v/>
      </c>
      <c r="W3892" s="19">
        <f>IF($I3892="","",IF(ISNUMBER($I3892),TEXT($I3892,"0"),$I3892))</f>
        <v/>
      </c>
    </row>
    <row r="3893">
      <c r="B3893" s="25" t="n"/>
      <c r="I3893" s="25" t="n"/>
      <c r="U3893" s="19">
        <f>IF($V3893&lt;&gt;'設定'!$C$4,N(U3892),IF(OR(NOT(COUNTIF('商品マスタ'!$B$6:$B$1005,$W3893)=0),COUNTIFS('①在庫を貼る'!$V$6:$V$10005,$V3893,'①在庫を貼る'!$W$6:$W$10005,$W3893)+COUNTIFS('月1回_1ヶ月前の在庫'!$V$6:$V$10005,$V3893,'月1回_1ヶ月前の在庫'!$W$6:$W$10005,$W3893)&gt;0),N(U3892),N(U3892)+1))</f>
        <v/>
      </c>
      <c r="V3893" s="19">
        <f>IF($B3893="","",TEXT($B3893,"0000"))</f>
        <v/>
      </c>
      <c r="W3893" s="19">
        <f>IF($I3893="","",IF(ISNUMBER($I3893),TEXT($I3893,"0"),$I3893))</f>
        <v/>
      </c>
    </row>
    <row r="3894">
      <c r="B3894" s="25" t="n"/>
      <c r="I3894" s="25" t="n"/>
      <c r="U3894" s="19">
        <f>IF($V3894&lt;&gt;'設定'!$C$4,N(U3893),IF(OR(NOT(COUNTIF('商品マスタ'!$B$6:$B$1005,$W3894)=0),COUNTIFS('①在庫を貼る'!$V$6:$V$10005,$V3894,'①在庫を貼る'!$W$6:$W$10005,$W3894)+COUNTIFS('月1回_1ヶ月前の在庫'!$V$6:$V$10005,$V3894,'月1回_1ヶ月前の在庫'!$W$6:$W$10005,$W3894)&gt;0),N(U3893),N(U3893)+1))</f>
        <v/>
      </c>
      <c r="V3894" s="19">
        <f>IF($B3894="","",TEXT($B3894,"0000"))</f>
        <v/>
      </c>
      <c r="W3894" s="19">
        <f>IF($I3894="","",IF(ISNUMBER($I3894),TEXT($I3894,"0"),$I3894))</f>
        <v/>
      </c>
    </row>
    <row r="3895">
      <c r="B3895" s="25" t="n"/>
      <c r="I3895" s="25" t="n"/>
      <c r="U3895" s="19">
        <f>IF($V3895&lt;&gt;'設定'!$C$4,N(U3894),IF(OR(NOT(COUNTIF('商品マスタ'!$B$6:$B$1005,$W3895)=0),COUNTIFS('①在庫を貼る'!$V$6:$V$10005,$V3895,'①在庫を貼る'!$W$6:$W$10005,$W3895)+COUNTIFS('月1回_1ヶ月前の在庫'!$V$6:$V$10005,$V3895,'月1回_1ヶ月前の在庫'!$W$6:$W$10005,$W3895)&gt;0),N(U3894),N(U3894)+1))</f>
        <v/>
      </c>
      <c r="V3895" s="19">
        <f>IF($B3895="","",TEXT($B3895,"0000"))</f>
        <v/>
      </c>
      <c r="W3895" s="19">
        <f>IF($I3895="","",IF(ISNUMBER($I3895),TEXT($I3895,"0"),$I3895))</f>
        <v/>
      </c>
    </row>
    <row r="3896">
      <c r="B3896" s="25" t="n"/>
      <c r="I3896" s="25" t="n"/>
      <c r="U3896" s="19">
        <f>IF($V3896&lt;&gt;'設定'!$C$4,N(U3895),IF(OR(NOT(COUNTIF('商品マスタ'!$B$6:$B$1005,$W3896)=0),COUNTIFS('①在庫を貼る'!$V$6:$V$10005,$V3896,'①在庫を貼る'!$W$6:$W$10005,$W3896)+COUNTIFS('月1回_1ヶ月前の在庫'!$V$6:$V$10005,$V3896,'月1回_1ヶ月前の在庫'!$W$6:$W$10005,$W3896)&gt;0),N(U3895),N(U3895)+1))</f>
        <v/>
      </c>
      <c r="V3896" s="19">
        <f>IF($B3896="","",TEXT($B3896,"0000"))</f>
        <v/>
      </c>
      <c r="W3896" s="19">
        <f>IF($I3896="","",IF(ISNUMBER($I3896),TEXT($I3896,"0"),$I3896))</f>
        <v/>
      </c>
    </row>
    <row r="3897">
      <c r="B3897" s="25" t="n"/>
      <c r="I3897" s="25" t="n"/>
      <c r="U3897" s="19">
        <f>IF($V3897&lt;&gt;'設定'!$C$4,N(U3896),IF(OR(NOT(COUNTIF('商品マスタ'!$B$6:$B$1005,$W3897)=0),COUNTIFS('①在庫を貼る'!$V$6:$V$10005,$V3897,'①在庫を貼る'!$W$6:$W$10005,$W3897)+COUNTIFS('月1回_1ヶ月前の在庫'!$V$6:$V$10005,$V3897,'月1回_1ヶ月前の在庫'!$W$6:$W$10005,$W3897)&gt;0),N(U3896),N(U3896)+1))</f>
        <v/>
      </c>
      <c r="V3897" s="19">
        <f>IF($B3897="","",TEXT($B3897,"0000"))</f>
        <v/>
      </c>
      <c r="W3897" s="19">
        <f>IF($I3897="","",IF(ISNUMBER($I3897),TEXT($I3897,"0"),$I3897))</f>
        <v/>
      </c>
    </row>
    <row r="3898">
      <c r="B3898" s="25" t="n"/>
      <c r="I3898" s="25" t="n"/>
      <c r="U3898" s="19">
        <f>IF($V3898&lt;&gt;'設定'!$C$4,N(U3897),IF(OR(NOT(COUNTIF('商品マスタ'!$B$6:$B$1005,$W3898)=0),COUNTIFS('①在庫を貼る'!$V$6:$V$10005,$V3898,'①在庫を貼る'!$W$6:$W$10005,$W3898)+COUNTIFS('月1回_1ヶ月前の在庫'!$V$6:$V$10005,$V3898,'月1回_1ヶ月前の在庫'!$W$6:$W$10005,$W3898)&gt;0),N(U3897),N(U3897)+1))</f>
        <v/>
      </c>
      <c r="V3898" s="19">
        <f>IF($B3898="","",TEXT($B3898,"0000"))</f>
        <v/>
      </c>
      <c r="W3898" s="19">
        <f>IF($I3898="","",IF(ISNUMBER($I3898),TEXT($I3898,"0"),$I3898))</f>
        <v/>
      </c>
    </row>
    <row r="3899">
      <c r="B3899" s="25" t="n"/>
      <c r="I3899" s="25" t="n"/>
      <c r="U3899" s="19">
        <f>IF($V3899&lt;&gt;'設定'!$C$4,N(U3898),IF(OR(NOT(COUNTIF('商品マスタ'!$B$6:$B$1005,$W3899)=0),COUNTIFS('①在庫を貼る'!$V$6:$V$10005,$V3899,'①在庫を貼る'!$W$6:$W$10005,$W3899)+COUNTIFS('月1回_1ヶ月前の在庫'!$V$6:$V$10005,$V3899,'月1回_1ヶ月前の在庫'!$W$6:$W$10005,$W3899)&gt;0),N(U3898),N(U3898)+1))</f>
        <v/>
      </c>
      <c r="V3899" s="19">
        <f>IF($B3899="","",TEXT($B3899,"0000"))</f>
        <v/>
      </c>
      <c r="W3899" s="19">
        <f>IF($I3899="","",IF(ISNUMBER($I3899),TEXT($I3899,"0"),$I3899))</f>
        <v/>
      </c>
    </row>
    <row r="3900">
      <c r="B3900" s="25" t="n"/>
      <c r="I3900" s="25" t="n"/>
      <c r="U3900" s="19">
        <f>IF($V3900&lt;&gt;'設定'!$C$4,N(U3899),IF(OR(NOT(COUNTIF('商品マスタ'!$B$6:$B$1005,$W3900)=0),COUNTIFS('①在庫を貼る'!$V$6:$V$10005,$V3900,'①在庫を貼る'!$W$6:$W$10005,$W3900)+COUNTIFS('月1回_1ヶ月前の在庫'!$V$6:$V$10005,$V3900,'月1回_1ヶ月前の在庫'!$W$6:$W$10005,$W3900)&gt;0),N(U3899),N(U3899)+1))</f>
        <v/>
      </c>
      <c r="V3900" s="19">
        <f>IF($B3900="","",TEXT($B3900,"0000"))</f>
        <v/>
      </c>
      <c r="W3900" s="19">
        <f>IF($I3900="","",IF(ISNUMBER($I3900),TEXT($I3900,"0"),$I3900))</f>
        <v/>
      </c>
    </row>
    <row r="3901">
      <c r="B3901" s="25" t="n"/>
      <c r="I3901" s="25" t="n"/>
      <c r="U3901" s="19">
        <f>IF($V3901&lt;&gt;'設定'!$C$4,N(U3900),IF(OR(NOT(COUNTIF('商品マスタ'!$B$6:$B$1005,$W3901)=0),COUNTIFS('①在庫を貼る'!$V$6:$V$10005,$V3901,'①在庫を貼る'!$W$6:$W$10005,$W3901)+COUNTIFS('月1回_1ヶ月前の在庫'!$V$6:$V$10005,$V3901,'月1回_1ヶ月前の在庫'!$W$6:$W$10005,$W3901)&gt;0),N(U3900),N(U3900)+1))</f>
        <v/>
      </c>
      <c r="V3901" s="19">
        <f>IF($B3901="","",TEXT($B3901,"0000"))</f>
        <v/>
      </c>
      <c r="W3901" s="19">
        <f>IF($I3901="","",IF(ISNUMBER($I3901),TEXT($I3901,"0"),$I3901))</f>
        <v/>
      </c>
    </row>
    <row r="3902">
      <c r="B3902" s="25" t="n"/>
      <c r="I3902" s="25" t="n"/>
      <c r="U3902" s="19">
        <f>IF($V3902&lt;&gt;'設定'!$C$4,N(U3901),IF(OR(NOT(COUNTIF('商品マスタ'!$B$6:$B$1005,$W3902)=0),COUNTIFS('①在庫を貼る'!$V$6:$V$10005,$V3902,'①在庫を貼る'!$W$6:$W$10005,$W3902)+COUNTIFS('月1回_1ヶ月前の在庫'!$V$6:$V$10005,$V3902,'月1回_1ヶ月前の在庫'!$W$6:$W$10005,$W3902)&gt;0),N(U3901),N(U3901)+1))</f>
        <v/>
      </c>
      <c r="V3902" s="19">
        <f>IF($B3902="","",TEXT($B3902,"0000"))</f>
        <v/>
      </c>
      <c r="W3902" s="19">
        <f>IF($I3902="","",IF(ISNUMBER($I3902),TEXT($I3902,"0"),$I3902))</f>
        <v/>
      </c>
    </row>
    <row r="3903">
      <c r="B3903" s="25" t="n"/>
      <c r="I3903" s="25" t="n"/>
      <c r="U3903" s="19">
        <f>IF($V3903&lt;&gt;'設定'!$C$4,N(U3902),IF(OR(NOT(COUNTIF('商品マスタ'!$B$6:$B$1005,$W3903)=0),COUNTIFS('①在庫を貼る'!$V$6:$V$10005,$V3903,'①在庫を貼る'!$W$6:$W$10005,$W3903)+COUNTIFS('月1回_1ヶ月前の在庫'!$V$6:$V$10005,$V3903,'月1回_1ヶ月前の在庫'!$W$6:$W$10005,$W3903)&gt;0),N(U3902),N(U3902)+1))</f>
        <v/>
      </c>
      <c r="V3903" s="19">
        <f>IF($B3903="","",TEXT($B3903,"0000"))</f>
        <v/>
      </c>
      <c r="W3903" s="19">
        <f>IF($I3903="","",IF(ISNUMBER($I3903),TEXT($I3903,"0"),$I3903))</f>
        <v/>
      </c>
    </row>
    <row r="3904">
      <c r="B3904" s="25" t="n"/>
      <c r="I3904" s="25" t="n"/>
      <c r="U3904" s="19">
        <f>IF($V3904&lt;&gt;'設定'!$C$4,N(U3903),IF(OR(NOT(COUNTIF('商品マスタ'!$B$6:$B$1005,$W3904)=0),COUNTIFS('①在庫を貼る'!$V$6:$V$10005,$V3904,'①在庫を貼る'!$W$6:$W$10005,$W3904)+COUNTIFS('月1回_1ヶ月前の在庫'!$V$6:$V$10005,$V3904,'月1回_1ヶ月前の在庫'!$W$6:$W$10005,$W3904)&gt;0),N(U3903),N(U3903)+1))</f>
        <v/>
      </c>
      <c r="V3904" s="19">
        <f>IF($B3904="","",TEXT($B3904,"0000"))</f>
        <v/>
      </c>
      <c r="W3904" s="19">
        <f>IF($I3904="","",IF(ISNUMBER($I3904),TEXT($I3904,"0"),$I3904))</f>
        <v/>
      </c>
    </row>
    <row r="3905">
      <c r="B3905" s="25" t="n"/>
      <c r="I3905" s="25" t="n"/>
      <c r="U3905" s="19">
        <f>IF($V3905&lt;&gt;'設定'!$C$4,N(U3904),IF(OR(NOT(COUNTIF('商品マスタ'!$B$6:$B$1005,$W3905)=0),COUNTIFS('①在庫を貼る'!$V$6:$V$10005,$V3905,'①在庫を貼る'!$W$6:$W$10005,$W3905)+COUNTIFS('月1回_1ヶ月前の在庫'!$V$6:$V$10005,$V3905,'月1回_1ヶ月前の在庫'!$W$6:$W$10005,$W3905)&gt;0),N(U3904),N(U3904)+1))</f>
        <v/>
      </c>
      <c r="V3905" s="19">
        <f>IF($B3905="","",TEXT($B3905,"0000"))</f>
        <v/>
      </c>
      <c r="W3905" s="19">
        <f>IF($I3905="","",IF(ISNUMBER($I3905),TEXT($I3905,"0"),$I3905))</f>
        <v/>
      </c>
    </row>
    <row r="3906">
      <c r="B3906" s="25" t="n"/>
      <c r="I3906" s="25" t="n"/>
      <c r="U3906" s="19">
        <f>IF($V3906&lt;&gt;'設定'!$C$4,N(U3905),IF(OR(NOT(COUNTIF('商品マスタ'!$B$6:$B$1005,$W3906)=0),COUNTIFS('①在庫を貼る'!$V$6:$V$10005,$V3906,'①在庫を貼る'!$W$6:$W$10005,$W3906)+COUNTIFS('月1回_1ヶ月前の在庫'!$V$6:$V$10005,$V3906,'月1回_1ヶ月前の在庫'!$W$6:$W$10005,$W3906)&gt;0),N(U3905),N(U3905)+1))</f>
        <v/>
      </c>
      <c r="V3906" s="19">
        <f>IF($B3906="","",TEXT($B3906,"0000"))</f>
        <v/>
      </c>
      <c r="W3906" s="19">
        <f>IF($I3906="","",IF(ISNUMBER($I3906),TEXT($I3906,"0"),$I3906))</f>
        <v/>
      </c>
    </row>
    <row r="3907">
      <c r="B3907" s="25" t="n"/>
      <c r="I3907" s="25" t="n"/>
      <c r="U3907" s="19">
        <f>IF($V3907&lt;&gt;'設定'!$C$4,N(U3906),IF(OR(NOT(COUNTIF('商品マスタ'!$B$6:$B$1005,$W3907)=0),COUNTIFS('①在庫を貼る'!$V$6:$V$10005,$V3907,'①在庫を貼る'!$W$6:$W$10005,$W3907)+COUNTIFS('月1回_1ヶ月前の在庫'!$V$6:$V$10005,$V3907,'月1回_1ヶ月前の在庫'!$W$6:$W$10005,$W3907)&gt;0),N(U3906),N(U3906)+1))</f>
        <v/>
      </c>
      <c r="V3907" s="19">
        <f>IF($B3907="","",TEXT($B3907,"0000"))</f>
        <v/>
      </c>
      <c r="W3907" s="19">
        <f>IF($I3907="","",IF(ISNUMBER($I3907),TEXT($I3907,"0"),$I3907))</f>
        <v/>
      </c>
    </row>
    <row r="3908">
      <c r="B3908" s="25" t="n"/>
      <c r="I3908" s="25" t="n"/>
      <c r="U3908" s="19">
        <f>IF($V3908&lt;&gt;'設定'!$C$4,N(U3907),IF(OR(NOT(COUNTIF('商品マスタ'!$B$6:$B$1005,$W3908)=0),COUNTIFS('①在庫を貼る'!$V$6:$V$10005,$V3908,'①在庫を貼る'!$W$6:$W$10005,$W3908)+COUNTIFS('月1回_1ヶ月前の在庫'!$V$6:$V$10005,$V3908,'月1回_1ヶ月前の在庫'!$W$6:$W$10005,$W3908)&gt;0),N(U3907),N(U3907)+1))</f>
        <v/>
      </c>
      <c r="V3908" s="19">
        <f>IF($B3908="","",TEXT($B3908,"0000"))</f>
        <v/>
      </c>
      <c r="W3908" s="19">
        <f>IF($I3908="","",IF(ISNUMBER($I3908),TEXT($I3908,"0"),$I3908))</f>
        <v/>
      </c>
    </row>
    <row r="3909">
      <c r="B3909" s="25" t="n"/>
      <c r="I3909" s="25" t="n"/>
      <c r="U3909" s="19">
        <f>IF($V3909&lt;&gt;'設定'!$C$4,N(U3908),IF(OR(NOT(COUNTIF('商品マスタ'!$B$6:$B$1005,$W3909)=0),COUNTIFS('①在庫を貼る'!$V$6:$V$10005,$V3909,'①在庫を貼る'!$W$6:$W$10005,$W3909)+COUNTIFS('月1回_1ヶ月前の在庫'!$V$6:$V$10005,$V3909,'月1回_1ヶ月前の在庫'!$W$6:$W$10005,$W3909)&gt;0),N(U3908),N(U3908)+1))</f>
        <v/>
      </c>
      <c r="V3909" s="19">
        <f>IF($B3909="","",TEXT($B3909,"0000"))</f>
        <v/>
      </c>
      <c r="W3909" s="19">
        <f>IF($I3909="","",IF(ISNUMBER($I3909),TEXT($I3909,"0"),$I3909))</f>
        <v/>
      </c>
    </row>
    <row r="3910">
      <c r="B3910" s="25" t="n"/>
      <c r="I3910" s="25" t="n"/>
      <c r="U3910" s="19">
        <f>IF($V3910&lt;&gt;'設定'!$C$4,N(U3909),IF(OR(NOT(COUNTIF('商品マスタ'!$B$6:$B$1005,$W3910)=0),COUNTIFS('①在庫を貼る'!$V$6:$V$10005,$V3910,'①在庫を貼る'!$W$6:$W$10005,$W3910)+COUNTIFS('月1回_1ヶ月前の在庫'!$V$6:$V$10005,$V3910,'月1回_1ヶ月前の在庫'!$W$6:$W$10005,$W3910)&gt;0),N(U3909),N(U3909)+1))</f>
        <v/>
      </c>
      <c r="V3910" s="19">
        <f>IF($B3910="","",TEXT($B3910,"0000"))</f>
        <v/>
      </c>
      <c r="W3910" s="19">
        <f>IF($I3910="","",IF(ISNUMBER($I3910),TEXT($I3910,"0"),$I3910))</f>
        <v/>
      </c>
    </row>
    <row r="3911">
      <c r="B3911" s="25" t="n"/>
      <c r="I3911" s="25" t="n"/>
      <c r="U3911" s="19">
        <f>IF($V3911&lt;&gt;'設定'!$C$4,N(U3910),IF(OR(NOT(COUNTIF('商品マスタ'!$B$6:$B$1005,$W3911)=0),COUNTIFS('①在庫を貼る'!$V$6:$V$10005,$V3911,'①在庫を貼る'!$W$6:$W$10005,$W3911)+COUNTIFS('月1回_1ヶ月前の在庫'!$V$6:$V$10005,$V3911,'月1回_1ヶ月前の在庫'!$W$6:$W$10005,$W3911)&gt;0),N(U3910),N(U3910)+1))</f>
        <v/>
      </c>
      <c r="V3911" s="19">
        <f>IF($B3911="","",TEXT($B3911,"0000"))</f>
        <v/>
      </c>
      <c r="W3911" s="19">
        <f>IF($I3911="","",IF(ISNUMBER($I3911),TEXT($I3911,"0"),$I3911))</f>
        <v/>
      </c>
    </row>
    <row r="3912">
      <c r="B3912" s="25" t="n"/>
      <c r="I3912" s="25" t="n"/>
      <c r="U3912" s="19">
        <f>IF($V3912&lt;&gt;'設定'!$C$4,N(U3911),IF(OR(NOT(COUNTIF('商品マスタ'!$B$6:$B$1005,$W3912)=0),COUNTIFS('①在庫を貼る'!$V$6:$V$10005,$V3912,'①在庫を貼る'!$W$6:$W$10005,$W3912)+COUNTIFS('月1回_1ヶ月前の在庫'!$V$6:$V$10005,$V3912,'月1回_1ヶ月前の在庫'!$W$6:$W$10005,$W3912)&gt;0),N(U3911),N(U3911)+1))</f>
        <v/>
      </c>
      <c r="V3912" s="19">
        <f>IF($B3912="","",TEXT($B3912,"0000"))</f>
        <v/>
      </c>
      <c r="W3912" s="19">
        <f>IF($I3912="","",IF(ISNUMBER($I3912),TEXT($I3912,"0"),$I3912))</f>
        <v/>
      </c>
    </row>
    <row r="3913">
      <c r="B3913" s="25" t="n"/>
      <c r="I3913" s="25" t="n"/>
      <c r="U3913" s="19">
        <f>IF($V3913&lt;&gt;'設定'!$C$4,N(U3912),IF(OR(NOT(COUNTIF('商品マスタ'!$B$6:$B$1005,$W3913)=0),COUNTIFS('①在庫を貼る'!$V$6:$V$10005,$V3913,'①在庫を貼る'!$W$6:$W$10005,$W3913)+COUNTIFS('月1回_1ヶ月前の在庫'!$V$6:$V$10005,$V3913,'月1回_1ヶ月前の在庫'!$W$6:$W$10005,$W3913)&gt;0),N(U3912),N(U3912)+1))</f>
        <v/>
      </c>
      <c r="V3913" s="19">
        <f>IF($B3913="","",TEXT($B3913,"0000"))</f>
        <v/>
      </c>
      <c r="W3913" s="19">
        <f>IF($I3913="","",IF(ISNUMBER($I3913),TEXT($I3913,"0"),$I3913))</f>
        <v/>
      </c>
    </row>
    <row r="3914">
      <c r="B3914" s="25" t="n"/>
      <c r="I3914" s="25" t="n"/>
      <c r="U3914" s="19">
        <f>IF($V3914&lt;&gt;'設定'!$C$4,N(U3913),IF(OR(NOT(COUNTIF('商品マスタ'!$B$6:$B$1005,$W3914)=0),COUNTIFS('①在庫を貼る'!$V$6:$V$10005,$V3914,'①在庫を貼る'!$W$6:$W$10005,$W3914)+COUNTIFS('月1回_1ヶ月前の在庫'!$V$6:$V$10005,$V3914,'月1回_1ヶ月前の在庫'!$W$6:$W$10005,$W3914)&gt;0),N(U3913),N(U3913)+1))</f>
        <v/>
      </c>
      <c r="V3914" s="19">
        <f>IF($B3914="","",TEXT($B3914,"0000"))</f>
        <v/>
      </c>
      <c r="W3914" s="19">
        <f>IF($I3914="","",IF(ISNUMBER($I3914),TEXT($I3914,"0"),$I3914))</f>
        <v/>
      </c>
    </row>
    <row r="3915">
      <c r="B3915" s="25" t="n"/>
      <c r="I3915" s="25" t="n"/>
      <c r="U3915" s="19">
        <f>IF($V3915&lt;&gt;'設定'!$C$4,N(U3914),IF(OR(NOT(COUNTIF('商品マスタ'!$B$6:$B$1005,$W3915)=0),COUNTIFS('①在庫を貼る'!$V$6:$V$10005,$V3915,'①在庫を貼る'!$W$6:$W$10005,$W3915)+COUNTIFS('月1回_1ヶ月前の在庫'!$V$6:$V$10005,$V3915,'月1回_1ヶ月前の在庫'!$W$6:$W$10005,$W3915)&gt;0),N(U3914),N(U3914)+1))</f>
        <v/>
      </c>
      <c r="V3915" s="19">
        <f>IF($B3915="","",TEXT($B3915,"0000"))</f>
        <v/>
      </c>
      <c r="W3915" s="19">
        <f>IF($I3915="","",IF(ISNUMBER($I3915),TEXT($I3915,"0"),$I3915))</f>
        <v/>
      </c>
    </row>
    <row r="3916">
      <c r="B3916" s="25" t="n"/>
      <c r="I3916" s="25" t="n"/>
      <c r="U3916" s="19">
        <f>IF($V3916&lt;&gt;'設定'!$C$4,N(U3915),IF(OR(NOT(COUNTIF('商品マスタ'!$B$6:$B$1005,$W3916)=0),COUNTIFS('①在庫を貼る'!$V$6:$V$10005,$V3916,'①在庫を貼る'!$W$6:$W$10005,$W3916)+COUNTIFS('月1回_1ヶ月前の在庫'!$V$6:$V$10005,$V3916,'月1回_1ヶ月前の在庫'!$W$6:$W$10005,$W3916)&gt;0),N(U3915),N(U3915)+1))</f>
        <v/>
      </c>
      <c r="V3916" s="19">
        <f>IF($B3916="","",TEXT($B3916,"0000"))</f>
        <v/>
      </c>
      <c r="W3916" s="19">
        <f>IF($I3916="","",IF(ISNUMBER($I3916),TEXT($I3916,"0"),$I3916))</f>
        <v/>
      </c>
    </row>
    <row r="3917">
      <c r="B3917" s="25" t="n"/>
      <c r="I3917" s="25" t="n"/>
      <c r="U3917" s="19">
        <f>IF($V3917&lt;&gt;'設定'!$C$4,N(U3916),IF(OR(NOT(COUNTIF('商品マスタ'!$B$6:$B$1005,$W3917)=0),COUNTIFS('①在庫を貼る'!$V$6:$V$10005,$V3917,'①在庫を貼る'!$W$6:$W$10005,$W3917)+COUNTIFS('月1回_1ヶ月前の在庫'!$V$6:$V$10005,$V3917,'月1回_1ヶ月前の在庫'!$W$6:$W$10005,$W3917)&gt;0),N(U3916),N(U3916)+1))</f>
        <v/>
      </c>
      <c r="V3917" s="19">
        <f>IF($B3917="","",TEXT($B3917,"0000"))</f>
        <v/>
      </c>
      <c r="W3917" s="19">
        <f>IF($I3917="","",IF(ISNUMBER($I3917),TEXT($I3917,"0"),$I3917))</f>
        <v/>
      </c>
    </row>
    <row r="3918">
      <c r="B3918" s="25" t="n"/>
      <c r="I3918" s="25" t="n"/>
      <c r="U3918" s="19">
        <f>IF($V3918&lt;&gt;'設定'!$C$4,N(U3917),IF(OR(NOT(COUNTIF('商品マスタ'!$B$6:$B$1005,$W3918)=0),COUNTIFS('①在庫を貼る'!$V$6:$V$10005,$V3918,'①在庫を貼る'!$W$6:$W$10005,$W3918)+COUNTIFS('月1回_1ヶ月前の在庫'!$V$6:$V$10005,$V3918,'月1回_1ヶ月前の在庫'!$W$6:$W$10005,$W3918)&gt;0),N(U3917),N(U3917)+1))</f>
        <v/>
      </c>
      <c r="V3918" s="19">
        <f>IF($B3918="","",TEXT($B3918,"0000"))</f>
        <v/>
      </c>
      <c r="W3918" s="19">
        <f>IF($I3918="","",IF(ISNUMBER($I3918),TEXT($I3918,"0"),$I3918))</f>
        <v/>
      </c>
    </row>
    <row r="3919">
      <c r="B3919" s="25" t="n"/>
      <c r="I3919" s="25" t="n"/>
      <c r="U3919" s="19">
        <f>IF($V3919&lt;&gt;'設定'!$C$4,N(U3918),IF(OR(NOT(COUNTIF('商品マスタ'!$B$6:$B$1005,$W3919)=0),COUNTIFS('①在庫を貼る'!$V$6:$V$10005,$V3919,'①在庫を貼る'!$W$6:$W$10005,$W3919)+COUNTIFS('月1回_1ヶ月前の在庫'!$V$6:$V$10005,$V3919,'月1回_1ヶ月前の在庫'!$W$6:$W$10005,$W3919)&gt;0),N(U3918),N(U3918)+1))</f>
        <v/>
      </c>
      <c r="V3919" s="19">
        <f>IF($B3919="","",TEXT($B3919,"0000"))</f>
        <v/>
      </c>
      <c r="W3919" s="19">
        <f>IF($I3919="","",IF(ISNUMBER($I3919),TEXT($I3919,"0"),$I3919))</f>
        <v/>
      </c>
    </row>
    <row r="3920">
      <c r="B3920" s="25" t="n"/>
      <c r="I3920" s="25" t="n"/>
      <c r="U3920" s="19">
        <f>IF($V3920&lt;&gt;'設定'!$C$4,N(U3919),IF(OR(NOT(COUNTIF('商品マスタ'!$B$6:$B$1005,$W3920)=0),COUNTIFS('①在庫を貼る'!$V$6:$V$10005,$V3920,'①在庫を貼る'!$W$6:$W$10005,$W3920)+COUNTIFS('月1回_1ヶ月前の在庫'!$V$6:$V$10005,$V3920,'月1回_1ヶ月前の在庫'!$W$6:$W$10005,$W3920)&gt;0),N(U3919),N(U3919)+1))</f>
        <v/>
      </c>
      <c r="V3920" s="19">
        <f>IF($B3920="","",TEXT($B3920,"0000"))</f>
        <v/>
      </c>
      <c r="W3920" s="19">
        <f>IF($I3920="","",IF(ISNUMBER($I3920),TEXT($I3920,"0"),$I3920))</f>
        <v/>
      </c>
    </row>
    <row r="3921">
      <c r="B3921" s="25" t="n"/>
      <c r="I3921" s="25" t="n"/>
      <c r="U3921" s="19">
        <f>IF($V3921&lt;&gt;'設定'!$C$4,N(U3920),IF(OR(NOT(COUNTIF('商品マスタ'!$B$6:$B$1005,$W3921)=0),COUNTIFS('①在庫を貼る'!$V$6:$V$10005,$V3921,'①在庫を貼る'!$W$6:$W$10005,$W3921)+COUNTIFS('月1回_1ヶ月前の在庫'!$V$6:$V$10005,$V3921,'月1回_1ヶ月前の在庫'!$W$6:$W$10005,$W3921)&gt;0),N(U3920),N(U3920)+1))</f>
        <v/>
      </c>
      <c r="V3921" s="19">
        <f>IF($B3921="","",TEXT($B3921,"0000"))</f>
        <v/>
      </c>
      <c r="W3921" s="19">
        <f>IF($I3921="","",IF(ISNUMBER($I3921),TEXT($I3921,"0"),$I3921))</f>
        <v/>
      </c>
    </row>
    <row r="3922">
      <c r="B3922" s="25" t="n"/>
      <c r="I3922" s="25" t="n"/>
      <c r="U3922" s="19">
        <f>IF($V3922&lt;&gt;'設定'!$C$4,N(U3921),IF(OR(NOT(COUNTIF('商品マスタ'!$B$6:$B$1005,$W3922)=0),COUNTIFS('①在庫を貼る'!$V$6:$V$10005,$V3922,'①在庫を貼る'!$W$6:$W$10005,$W3922)+COUNTIFS('月1回_1ヶ月前の在庫'!$V$6:$V$10005,$V3922,'月1回_1ヶ月前の在庫'!$W$6:$W$10005,$W3922)&gt;0),N(U3921),N(U3921)+1))</f>
        <v/>
      </c>
      <c r="V3922" s="19">
        <f>IF($B3922="","",TEXT($B3922,"0000"))</f>
        <v/>
      </c>
      <c r="W3922" s="19">
        <f>IF($I3922="","",IF(ISNUMBER($I3922),TEXT($I3922,"0"),$I3922))</f>
        <v/>
      </c>
    </row>
    <row r="3923">
      <c r="B3923" s="25" t="n"/>
      <c r="I3923" s="25" t="n"/>
      <c r="U3923" s="19">
        <f>IF($V3923&lt;&gt;'設定'!$C$4,N(U3922),IF(OR(NOT(COUNTIF('商品マスタ'!$B$6:$B$1005,$W3923)=0),COUNTIFS('①在庫を貼る'!$V$6:$V$10005,$V3923,'①在庫を貼る'!$W$6:$W$10005,$W3923)+COUNTIFS('月1回_1ヶ月前の在庫'!$V$6:$V$10005,$V3923,'月1回_1ヶ月前の在庫'!$W$6:$W$10005,$W3923)&gt;0),N(U3922),N(U3922)+1))</f>
        <v/>
      </c>
      <c r="V3923" s="19">
        <f>IF($B3923="","",TEXT($B3923,"0000"))</f>
        <v/>
      </c>
      <c r="W3923" s="19">
        <f>IF($I3923="","",IF(ISNUMBER($I3923),TEXT($I3923,"0"),$I3923))</f>
        <v/>
      </c>
    </row>
    <row r="3924">
      <c r="B3924" s="25" t="n"/>
      <c r="I3924" s="25" t="n"/>
      <c r="U3924" s="19">
        <f>IF($V3924&lt;&gt;'設定'!$C$4,N(U3923),IF(OR(NOT(COUNTIF('商品マスタ'!$B$6:$B$1005,$W3924)=0),COUNTIFS('①在庫を貼る'!$V$6:$V$10005,$V3924,'①在庫を貼る'!$W$6:$W$10005,$W3924)+COUNTIFS('月1回_1ヶ月前の在庫'!$V$6:$V$10005,$V3924,'月1回_1ヶ月前の在庫'!$W$6:$W$10005,$W3924)&gt;0),N(U3923),N(U3923)+1))</f>
        <v/>
      </c>
      <c r="V3924" s="19">
        <f>IF($B3924="","",TEXT($B3924,"0000"))</f>
        <v/>
      </c>
      <c r="W3924" s="19">
        <f>IF($I3924="","",IF(ISNUMBER($I3924),TEXT($I3924,"0"),$I3924))</f>
        <v/>
      </c>
    </row>
    <row r="3925">
      <c r="B3925" s="25" t="n"/>
      <c r="I3925" s="25" t="n"/>
      <c r="U3925" s="19">
        <f>IF($V3925&lt;&gt;'設定'!$C$4,N(U3924),IF(OR(NOT(COUNTIF('商品マスタ'!$B$6:$B$1005,$W3925)=0),COUNTIFS('①在庫を貼る'!$V$6:$V$10005,$V3925,'①在庫を貼る'!$W$6:$W$10005,$W3925)+COUNTIFS('月1回_1ヶ月前の在庫'!$V$6:$V$10005,$V3925,'月1回_1ヶ月前の在庫'!$W$6:$W$10005,$W3925)&gt;0),N(U3924),N(U3924)+1))</f>
        <v/>
      </c>
      <c r="V3925" s="19">
        <f>IF($B3925="","",TEXT($B3925,"0000"))</f>
        <v/>
      </c>
      <c r="W3925" s="19">
        <f>IF($I3925="","",IF(ISNUMBER($I3925),TEXT($I3925,"0"),$I3925))</f>
        <v/>
      </c>
    </row>
    <row r="3926">
      <c r="B3926" s="25" t="n"/>
      <c r="I3926" s="25" t="n"/>
      <c r="U3926" s="19">
        <f>IF($V3926&lt;&gt;'設定'!$C$4,N(U3925),IF(OR(NOT(COUNTIF('商品マスタ'!$B$6:$B$1005,$W3926)=0),COUNTIFS('①在庫を貼る'!$V$6:$V$10005,$V3926,'①在庫を貼る'!$W$6:$W$10005,$W3926)+COUNTIFS('月1回_1ヶ月前の在庫'!$V$6:$V$10005,$V3926,'月1回_1ヶ月前の在庫'!$W$6:$W$10005,$W3926)&gt;0),N(U3925),N(U3925)+1))</f>
        <v/>
      </c>
      <c r="V3926" s="19">
        <f>IF($B3926="","",TEXT($B3926,"0000"))</f>
        <v/>
      </c>
      <c r="W3926" s="19">
        <f>IF($I3926="","",IF(ISNUMBER($I3926),TEXT($I3926,"0"),$I3926))</f>
        <v/>
      </c>
    </row>
    <row r="3927">
      <c r="B3927" s="25" t="n"/>
      <c r="I3927" s="25" t="n"/>
      <c r="U3927" s="19">
        <f>IF($V3927&lt;&gt;'設定'!$C$4,N(U3926),IF(OR(NOT(COUNTIF('商品マスタ'!$B$6:$B$1005,$W3927)=0),COUNTIFS('①在庫を貼る'!$V$6:$V$10005,$V3927,'①在庫を貼る'!$W$6:$W$10005,$W3927)+COUNTIFS('月1回_1ヶ月前の在庫'!$V$6:$V$10005,$V3927,'月1回_1ヶ月前の在庫'!$W$6:$W$10005,$W3927)&gt;0),N(U3926),N(U3926)+1))</f>
        <v/>
      </c>
      <c r="V3927" s="19">
        <f>IF($B3927="","",TEXT($B3927,"0000"))</f>
        <v/>
      </c>
      <c r="W3927" s="19">
        <f>IF($I3927="","",IF(ISNUMBER($I3927),TEXT($I3927,"0"),$I3927))</f>
        <v/>
      </c>
    </row>
    <row r="3928">
      <c r="B3928" s="25" t="n"/>
      <c r="I3928" s="25" t="n"/>
      <c r="U3928" s="19">
        <f>IF($V3928&lt;&gt;'設定'!$C$4,N(U3927),IF(OR(NOT(COUNTIF('商品マスタ'!$B$6:$B$1005,$W3928)=0),COUNTIFS('①在庫を貼る'!$V$6:$V$10005,$V3928,'①在庫を貼る'!$W$6:$W$10005,$W3928)+COUNTIFS('月1回_1ヶ月前の在庫'!$V$6:$V$10005,$V3928,'月1回_1ヶ月前の在庫'!$W$6:$W$10005,$W3928)&gt;0),N(U3927),N(U3927)+1))</f>
        <v/>
      </c>
      <c r="V3928" s="19">
        <f>IF($B3928="","",TEXT($B3928,"0000"))</f>
        <v/>
      </c>
      <c r="W3928" s="19">
        <f>IF($I3928="","",IF(ISNUMBER($I3928),TEXT($I3928,"0"),$I3928))</f>
        <v/>
      </c>
    </row>
    <row r="3929">
      <c r="B3929" s="25" t="n"/>
      <c r="I3929" s="25" t="n"/>
      <c r="U3929" s="19">
        <f>IF($V3929&lt;&gt;'設定'!$C$4,N(U3928),IF(OR(NOT(COUNTIF('商品マスタ'!$B$6:$B$1005,$W3929)=0),COUNTIFS('①在庫を貼る'!$V$6:$V$10005,$V3929,'①在庫を貼る'!$W$6:$W$10005,$W3929)+COUNTIFS('月1回_1ヶ月前の在庫'!$V$6:$V$10005,$V3929,'月1回_1ヶ月前の在庫'!$W$6:$W$10005,$W3929)&gt;0),N(U3928),N(U3928)+1))</f>
        <v/>
      </c>
      <c r="V3929" s="19">
        <f>IF($B3929="","",TEXT($B3929,"0000"))</f>
        <v/>
      </c>
      <c r="W3929" s="19">
        <f>IF($I3929="","",IF(ISNUMBER($I3929),TEXT($I3929,"0"),$I3929))</f>
        <v/>
      </c>
    </row>
    <row r="3930">
      <c r="B3930" s="25" t="n"/>
      <c r="I3930" s="25" t="n"/>
      <c r="U3930" s="19">
        <f>IF($V3930&lt;&gt;'設定'!$C$4,N(U3929),IF(OR(NOT(COUNTIF('商品マスタ'!$B$6:$B$1005,$W3930)=0),COUNTIFS('①在庫を貼る'!$V$6:$V$10005,$V3930,'①在庫を貼る'!$W$6:$W$10005,$W3930)+COUNTIFS('月1回_1ヶ月前の在庫'!$V$6:$V$10005,$V3930,'月1回_1ヶ月前の在庫'!$W$6:$W$10005,$W3930)&gt;0),N(U3929),N(U3929)+1))</f>
        <v/>
      </c>
      <c r="V3930" s="19">
        <f>IF($B3930="","",TEXT($B3930,"0000"))</f>
        <v/>
      </c>
      <c r="W3930" s="19">
        <f>IF($I3930="","",IF(ISNUMBER($I3930),TEXT($I3930,"0"),$I3930))</f>
        <v/>
      </c>
    </row>
    <row r="3931">
      <c r="B3931" s="25" t="n"/>
      <c r="I3931" s="25" t="n"/>
      <c r="U3931" s="19">
        <f>IF($V3931&lt;&gt;'設定'!$C$4,N(U3930),IF(OR(NOT(COUNTIF('商品マスタ'!$B$6:$B$1005,$W3931)=0),COUNTIFS('①在庫を貼る'!$V$6:$V$10005,$V3931,'①在庫を貼る'!$W$6:$W$10005,$W3931)+COUNTIFS('月1回_1ヶ月前の在庫'!$V$6:$V$10005,$V3931,'月1回_1ヶ月前の在庫'!$W$6:$W$10005,$W3931)&gt;0),N(U3930),N(U3930)+1))</f>
        <v/>
      </c>
      <c r="V3931" s="19">
        <f>IF($B3931="","",TEXT($B3931,"0000"))</f>
        <v/>
      </c>
      <c r="W3931" s="19">
        <f>IF($I3931="","",IF(ISNUMBER($I3931),TEXT($I3931,"0"),$I3931))</f>
        <v/>
      </c>
    </row>
    <row r="3932">
      <c r="B3932" s="25" t="n"/>
      <c r="I3932" s="25" t="n"/>
      <c r="U3932" s="19">
        <f>IF($V3932&lt;&gt;'設定'!$C$4,N(U3931),IF(OR(NOT(COUNTIF('商品マスタ'!$B$6:$B$1005,$W3932)=0),COUNTIFS('①在庫を貼る'!$V$6:$V$10005,$V3932,'①在庫を貼る'!$W$6:$W$10005,$W3932)+COUNTIFS('月1回_1ヶ月前の在庫'!$V$6:$V$10005,$V3932,'月1回_1ヶ月前の在庫'!$W$6:$W$10005,$W3932)&gt;0),N(U3931),N(U3931)+1))</f>
        <v/>
      </c>
      <c r="V3932" s="19">
        <f>IF($B3932="","",TEXT($B3932,"0000"))</f>
        <v/>
      </c>
      <c r="W3932" s="19">
        <f>IF($I3932="","",IF(ISNUMBER($I3932),TEXT($I3932,"0"),$I3932))</f>
        <v/>
      </c>
    </row>
    <row r="3933">
      <c r="B3933" s="25" t="n"/>
      <c r="I3933" s="25" t="n"/>
      <c r="U3933" s="19">
        <f>IF($V3933&lt;&gt;'設定'!$C$4,N(U3932),IF(OR(NOT(COUNTIF('商品マスタ'!$B$6:$B$1005,$W3933)=0),COUNTIFS('①在庫を貼る'!$V$6:$V$10005,$V3933,'①在庫を貼る'!$W$6:$W$10005,$W3933)+COUNTIFS('月1回_1ヶ月前の在庫'!$V$6:$V$10005,$V3933,'月1回_1ヶ月前の在庫'!$W$6:$W$10005,$W3933)&gt;0),N(U3932),N(U3932)+1))</f>
        <v/>
      </c>
      <c r="V3933" s="19">
        <f>IF($B3933="","",TEXT($B3933,"0000"))</f>
        <v/>
      </c>
      <c r="W3933" s="19">
        <f>IF($I3933="","",IF(ISNUMBER($I3933),TEXT($I3933,"0"),$I3933))</f>
        <v/>
      </c>
    </row>
    <row r="3934">
      <c r="B3934" s="25" t="n"/>
      <c r="I3934" s="25" t="n"/>
      <c r="U3934" s="19">
        <f>IF($V3934&lt;&gt;'設定'!$C$4,N(U3933),IF(OR(NOT(COUNTIF('商品マスタ'!$B$6:$B$1005,$W3934)=0),COUNTIFS('①在庫を貼る'!$V$6:$V$10005,$V3934,'①在庫を貼る'!$W$6:$W$10005,$W3934)+COUNTIFS('月1回_1ヶ月前の在庫'!$V$6:$V$10005,$V3934,'月1回_1ヶ月前の在庫'!$W$6:$W$10005,$W3934)&gt;0),N(U3933),N(U3933)+1))</f>
        <v/>
      </c>
      <c r="V3934" s="19">
        <f>IF($B3934="","",TEXT($B3934,"0000"))</f>
        <v/>
      </c>
      <c r="W3934" s="19">
        <f>IF($I3934="","",IF(ISNUMBER($I3934),TEXT($I3934,"0"),$I3934))</f>
        <v/>
      </c>
    </row>
    <row r="3935">
      <c r="B3935" s="25" t="n"/>
      <c r="I3935" s="25" t="n"/>
      <c r="U3935" s="19">
        <f>IF($V3935&lt;&gt;'設定'!$C$4,N(U3934),IF(OR(NOT(COUNTIF('商品マスタ'!$B$6:$B$1005,$W3935)=0),COUNTIFS('①在庫を貼る'!$V$6:$V$10005,$V3935,'①在庫を貼る'!$W$6:$W$10005,$W3935)+COUNTIFS('月1回_1ヶ月前の在庫'!$V$6:$V$10005,$V3935,'月1回_1ヶ月前の在庫'!$W$6:$W$10005,$W3935)&gt;0),N(U3934),N(U3934)+1))</f>
        <v/>
      </c>
      <c r="V3935" s="19">
        <f>IF($B3935="","",TEXT($B3935,"0000"))</f>
        <v/>
      </c>
      <c r="W3935" s="19">
        <f>IF($I3935="","",IF(ISNUMBER($I3935),TEXT($I3935,"0"),$I3935))</f>
        <v/>
      </c>
    </row>
    <row r="3936">
      <c r="B3936" s="25" t="n"/>
      <c r="I3936" s="25" t="n"/>
      <c r="U3936" s="19">
        <f>IF($V3936&lt;&gt;'設定'!$C$4,N(U3935),IF(OR(NOT(COUNTIF('商品マスタ'!$B$6:$B$1005,$W3936)=0),COUNTIFS('①在庫を貼る'!$V$6:$V$10005,$V3936,'①在庫を貼る'!$W$6:$W$10005,$W3936)+COUNTIFS('月1回_1ヶ月前の在庫'!$V$6:$V$10005,$V3936,'月1回_1ヶ月前の在庫'!$W$6:$W$10005,$W3936)&gt;0),N(U3935),N(U3935)+1))</f>
        <v/>
      </c>
      <c r="V3936" s="19">
        <f>IF($B3936="","",TEXT($B3936,"0000"))</f>
        <v/>
      </c>
      <c r="W3936" s="19">
        <f>IF($I3936="","",IF(ISNUMBER($I3936),TEXT($I3936,"0"),$I3936))</f>
        <v/>
      </c>
    </row>
    <row r="3937">
      <c r="B3937" s="25" t="n"/>
      <c r="I3937" s="25" t="n"/>
      <c r="U3937" s="19">
        <f>IF($V3937&lt;&gt;'設定'!$C$4,N(U3936),IF(OR(NOT(COUNTIF('商品マスタ'!$B$6:$B$1005,$W3937)=0),COUNTIFS('①在庫を貼る'!$V$6:$V$10005,$V3937,'①在庫を貼る'!$W$6:$W$10005,$W3937)+COUNTIFS('月1回_1ヶ月前の在庫'!$V$6:$V$10005,$V3937,'月1回_1ヶ月前の在庫'!$W$6:$W$10005,$W3937)&gt;0),N(U3936),N(U3936)+1))</f>
        <v/>
      </c>
      <c r="V3937" s="19">
        <f>IF($B3937="","",TEXT($B3937,"0000"))</f>
        <v/>
      </c>
      <c r="W3937" s="19">
        <f>IF($I3937="","",IF(ISNUMBER($I3937),TEXT($I3937,"0"),$I3937))</f>
        <v/>
      </c>
    </row>
    <row r="3938">
      <c r="B3938" s="25" t="n"/>
      <c r="I3938" s="25" t="n"/>
      <c r="U3938" s="19">
        <f>IF($V3938&lt;&gt;'設定'!$C$4,N(U3937),IF(OR(NOT(COUNTIF('商品マスタ'!$B$6:$B$1005,$W3938)=0),COUNTIFS('①在庫を貼る'!$V$6:$V$10005,$V3938,'①在庫を貼る'!$W$6:$W$10005,$W3938)+COUNTIFS('月1回_1ヶ月前の在庫'!$V$6:$V$10005,$V3938,'月1回_1ヶ月前の在庫'!$W$6:$W$10005,$W3938)&gt;0),N(U3937),N(U3937)+1))</f>
        <v/>
      </c>
      <c r="V3938" s="19">
        <f>IF($B3938="","",TEXT($B3938,"0000"))</f>
        <v/>
      </c>
      <c r="W3938" s="19">
        <f>IF($I3938="","",IF(ISNUMBER($I3938),TEXT($I3938,"0"),$I3938))</f>
        <v/>
      </c>
    </row>
    <row r="3939">
      <c r="B3939" s="25" t="n"/>
      <c r="I3939" s="25" t="n"/>
      <c r="U3939" s="19">
        <f>IF($V3939&lt;&gt;'設定'!$C$4,N(U3938),IF(OR(NOT(COUNTIF('商品マスタ'!$B$6:$B$1005,$W3939)=0),COUNTIFS('①在庫を貼る'!$V$6:$V$10005,$V3939,'①在庫を貼る'!$W$6:$W$10005,$W3939)+COUNTIFS('月1回_1ヶ月前の在庫'!$V$6:$V$10005,$V3939,'月1回_1ヶ月前の在庫'!$W$6:$W$10005,$W3939)&gt;0),N(U3938),N(U3938)+1))</f>
        <v/>
      </c>
      <c r="V3939" s="19">
        <f>IF($B3939="","",TEXT($B3939,"0000"))</f>
        <v/>
      </c>
      <c r="W3939" s="19">
        <f>IF($I3939="","",IF(ISNUMBER($I3939),TEXT($I3939,"0"),$I3939))</f>
        <v/>
      </c>
    </row>
    <row r="3940">
      <c r="B3940" s="25" t="n"/>
      <c r="I3940" s="25" t="n"/>
      <c r="U3940" s="19">
        <f>IF($V3940&lt;&gt;'設定'!$C$4,N(U3939),IF(OR(NOT(COUNTIF('商品マスタ'!$B$6:$B$1005,$W3940)=0),COUNTIFS('①在庫を貼る'!$V$6:$V$10005,$V3940,'①在庫を貼る'!$W$6:$W$10005,$W3940)+COUNTIFS('月1回_1ヶ月前の在庫'!$V$6:$V$10005,$V3940,'月1回_1ヶ月前の在庫'!$W$6:$W$10005,$W3940)&gt;0),N(U3939),N(U3939)+1))</f>
        <v/>
      </c>
      <c r="V3940" s="19">
        <f>IF($B3940="","",TEXT($B3940,"0000"))</f>
        <v/>
      </c>
      <c r="W3940" s="19">
        <f>IF($I3940="","",IF(ISNUMBER($I3940),TEXT($I3940,"0"),$I3940))</f>
        <v/>
      </c>
    </row>
    <row r="3941">
      <c r="B3941" s="25" t="n"/>
      <c r="I3941" s="25" t="n"/>
      <c r="U3941" s="19">
        <f>IF($V3941&lt;&gt;'設定'!$C$4,N(U3940),IF(OR(NOT(COUNTIF('商品マスタ'!$B$6:$B$1005,$W3941)=0),COUNTIFS('①在庫を貼る'!$V$6:$V$10005,$V3941,'①在庫を貼る'!$W$6:$W$10005,$W3941)+COUNTIFS('月1回_1ヶ月前の在庫'!$V$6:$V$10005,$V3941,'月1回_1ヶ月前の在庫'!$W$6:$W$10005,$W3941)&gt;0),N(U3940),N(U3940)+1))</f>
        <v/>
      </c>
      <c r="V3941" s="19">
        <f>IF($B3941="","",TEXT($B3941,"0000"))</f>
        <v/>
      </c>
      <c r="W3941" s="19">
        <f>IF($I3941="","",IF(ISNUMBER($I3941),TEXT($I3941,"0"),$I3941))</f>
        <v/>
      </c>
    </row>
    <row r="3942">
      <c r="B3942" s="25" t="n"/>
      <c r="I3942" s="25" t="n"/>
      <c r="U3942" s="19">
        <f>IF($V3942&lt;&gt;'設定'!$C$4,N(U3941),IF(OR(NOT(COUNTIF('商品マスタ'!$B$6:$B$1005,$W3942)=0),COUNTIFS('①在庫を貼る'!$V$6:$V$10005,$V3942,'①在庫を貼る'!$W$6:$W$10005,$W3942)+COUNTIFS('月1回_1ヶ月前の在庫'!$V$6:$V$10005,$V3942,'月1回_1ヶ月前の在庫'!$W$6:$W$10005,$W3942)&gt;0),N(U3941),N(U3941)+1))</f>
        <v/>
      </c>
      <c r="V3942" s="19">
        <f>IF($B3942="","",TEXT($B3942,"0000"))</f>
        <v/>
      </c>
      <c r="W3942" s="19">
        <f>IF($I3942="","",IF(ISNUMBER($I3942),TEXT($I3942,"0"),$I3942))</f>
        <v/>
      </c>
    </row>
    <row r="3943">
      <c r="B3943" s="25" t="n"/>
      <c r="I3943" s="25" t="n"/>
      <c r="U3943" s="19">
        <f>IF($V3943&lt;&gt;'設定'!$C$4,N(U3942),IF(OR(NOT(COUNTIF('商品マスタ'!$B$6:$B$1005,$W3943)=0),COUNTIFS('①在庫を貼る'!$V$6:$V$10005,$V3943,'①在庫を貼る'!$W$6:$W$10005,$W3943)+COUNTIFS('月1回_1ヶ月前の在庫'!$V$6:$V$10005,$V3943,'月1回_1ヶ月前の在庫'!$W$6:$W$10005,$W3943)&gt;0),N(U3942),N(U3942)+1))</f>
        <v/>
      </c>
      <c r="V3943" s="19">
        <f>IF($B3943="","",TEXT($B3943,"0000"))</f>
        <v/>
      </c>
      <c r="W3943" s="19">
        <f>IF($I3943="","",IF(ISNUMBER($I3943),TEXT($I3943,"0"),$I3943))</f>
        <v/>
      </c>
    </row>
    <row r="3944">
      <c r="B3944" s="25" t="n"/>
      <c r="I3944" s="25" t="n"/>
      <c r="U3944" s="19">
        <f>IF($V3944&lt;&gt;'設定'!$C$4,N(U3943),IF(OR(NOT(COUNTIF('商品マスタ'!$B$6:$B$1005,$W3944)=0),COUNTIFS('①在庫を貼る'!$V$6:$V$10005,$V3944,'①在庫を貼る'!$W$6:$W$10005,$W3944)+COUNTIFS('月1回_1ヶ月前の在庫'!$V$6:$V$10005,$V3944,'月1回_1ヶ月前の在庫'!$W$6:$W$10005,$W3944)&gt;0),N(U3943),N(U3943)+1))</f>
        <v/>
      </c>
      <c r="V3944" s="19">
        <f>IF($B3944="","",TEXT($B3944,"0000"))</f>
        <v/>
      </c>
      <c r="W3944" s="19">
        <f>IF($I3944="","",IF(ISNUMBER($I3944),TEXT($I3944,"0"),$I3944))</f>
        <v/>
      </c>
    </row>
    <row r="3945">
      <c r="B3945" s="25" t="n"/>
      <c r="I3945" s="25" t="n"/>
      <c r="U3945" s="19">
        <f>IF($V3945&lt;&gt;'設定'!$C$4,N(U3944),IF(OR(NOT(COUNTIF('商品マスタ'!$B$6:$B$1005,$W3945)=0),COUNTIFS('①在庫を貼る'!$V$6:$V$10005,$V3945,'①在庫を貼る'!$W$6:$W$10005,$W3945)+COUNTIFS('月1回_1ヶ月前の在庫'!$V$6:$V$10005,$V3945,'月1回_1ヶ月前の在庫'!$W$6:$W$10005,$W3945)&gt;0),N(U3944),N(U3944)+1))</f>
        <v/>
      </c>
      <c r="V3945" s="19">
        <f>IF($B3945="","",TEXT($B3945,"0000"))</f>
        <v/>
      </c>
      <c r="W3945" s="19">
        <f>IF($I3945="","",IF(ISNUMBER($I3945),TEXT($I3945,"0"),$I3945))</f>
        <v/>
      </c>
    </row>
    <row r="3946">
      <c r="B3946" s="25" t="n"/>
      <c r="I3946" s="25" t="n"/>
      <c r="U3946" s="19">
        <f>IF($V3946&lt;&gt;'設定'!$C$4,N(U3945),IF(OR(NOT(COUNTIF('商品マスタ'!$B$6:$B$1005,$W3946)=0),COUNTIFS('①在庫を貼る'!$V$6:$V$10005,$V3946,'①在庫を貼る'!$W$6:$W$10005,$W3946)+COUNTIFS('月1回_1ヶ月前の在庫'!$V$6:$V$10005,$V3946,'月1回_1ヶ月前の在庫'!$W$6:$W$10005,$W3946)&gt;0),N(U3945),N(U3945)+1))</f>
        <v/>
      </c>
      <c r="V3946" s="19">
        <f>IF($B3946="","",TEXT($B3946,"0000"))</f>
        <v/>
      </c>
      <c r="W3946" s="19">
        <f>IF($I3946="","",IF(ISNUMBER($I3946),TEXT($I3946,"0"),$I3946))</f>
        <v/>
      </c>
    </row>
    <row r="3947">
      <c r="B3947" s="25" t="n"/>
      <c r="I3947" s="25" t="n"/>
      <c r="U3947" s="19">
        <f>IF($V3947&lt;&gt;'設定'!$C$4,N(U3946),IF(OR(NOT(COUNTIF('商品マスタ'!$B$6:$B$1005,$W3947)=0),COUNTIFS('①在庫を貼る'!$V$6:$V$10005,$V3947,'①在庫を貼る'!$W$6:$W$10005,$W3947)+COUNTIFS('月1回_1ヶ月前の在庫'!$V$6:$V$10005,$V3947,'月1回_1ヶ月前の在庫'!$W$6:$W$10005,$W3947)&gt;0),N(U3946),N(U3946)+1))</f>
        <v/>
      </c>
      <c r="V3947" s="19">
        <f>IF($B3947="","",TEXT($B3947,"0000"))</f>
        <v/>
      </c>
      <c r="W3947" s="19">
        <f>IF($I3947="","",IF(ISNUMBER($I3947),TEXT($I3947,"0"),$I3947))</f>
        <v/>
      </c>
    </row>
    <row r="3948">
      <c r="B3948" s="25" t="n"/>
      <c r="I3948" s="25" t="n"/>
      <c r="U3948" s="19">
        <f>IF($V3948&lt;&gt;'設定'!$C$4,N(U3947),IF(OR(NOT(COUNTIF('商品マスタ'!$B$6:$B$1005,$W3948)=0),COUNTIFS('①在庫を貼る'!$V$6:$V$10005,$V3948,'①在庫を貼る'!$W$6:$W$10005,$W3948)+COUNTIFS('月1回_1ヶ月前の在庫'!$V$6:$V$10005,$V3948,'月1回_1ヶ月前の在庫'!$W$6:$W$10005,$W3948)&gt;0),N(U3947),N(U3947)+1))</f>
        <v/>
      </c>
      <c r="V3948" s="19">
        <f>IF($B3948="","",TEXT($B3948,"0000"))</f>
        <v/>
      </c>
      <c r="W3948" s="19">
        <f>IF($I3948="","",IF(ISNUMBER($I3948),TEXT($I3948,"0"),$I3948))</f>
        <v/>
      </c>
    </row>
    <row r="3949">
      <c r="B3949" s="25" t="n"/>
      <c r="I3949" s="25" t="n"/>
      <c r="U3949" s="19">
        <f>IF($V3949&lt;&gt;'設定'!$C$4,N(U3948),IF(OR(NOT(COUNTIF('商品マスタ'!$B$6:$B$1005,$W3949)=0),COUNTIFS('①在庫を貼る'!$V$6:$V$10005,$V3949,'①在庫を貼る'!$W$6:$W$10005,$W3949)+COUNTIFS('月1回_1ヶ月前の在庫'!$V$6:$V$10005,$V3949,'月1回_1ヶ月前の在庫'!$W$6:$W$10005,$W3949)&gt;0),N(U3948),N(U3948)+1))</f>
        <v/>
      </c>
      <c r="V3949" s="19">
        <f>IF($B3949="","",TEXT($B3949,"0000"))</f>
        <v/>
      </c>
      <c r="W3949" s="19">
        <f>IF($I3949="","",IF(ISNUMBER($I3949),TEXT($I3949,"0"),$I3949))</f>
        <v/>
      </c>
    </row>
    <row r="3950">
      <c r="B3950" s="25" t="n"/>
      <c r="I3950" s="25" t="n"/>
      <c r="U3950" s="19">
        <f>IF($V3950&lt;&gt;'設定'!$C$4,N(U3949),IF(OR(NOT(COUNTIF('商品マスタ'!$B$6:$B$1005,$W3950)=0),COUNTIFS('①在庫を貼る'!$V$6:$V$10005,$V3950,'①在庫を貼る'!$W$6:$W$10005,$W3950)+COUNTIFS('月1回_1ヶ月前の在庫'!$V$6:$V$10005,$V3950,'月1回_1ヶ月前の在庫'!$W$6:$W$10005,$W3950)&gt;0),N(U3949),N(U3949)+1))</f>
        <v/>
      </c>
      <c r="V3950" s="19">
        <f>IF($B3950="","",TEXT($B3950,"0000"))</f>
        <v/>
      </c>
      <c r="W3950" s="19">
        <f>IF($I3950="","",IF(ISNUMBER($I3950),TEXT($I3950,"0"),$I3950))</f>
        <v/>
      </c>
    </row>
    <row r="3951">
      <c r="B3951" s="25" t="n"/>
      <c r="I3951" s="25" t="n"/>
      <c r="U3951" s="19">
        <f>IF($V3951&lt;&gt;'設定'!$C$4,N(U3950),IF(OR(NOT(COUNTIF('商品マスタ'!$B$6:$B$1005,$W3951)=0),COUNTIFS('①在庫を貼る'!$V$6:$V$10005,$V3951,'①在庫を貼る'!$W$6:$W$10005,$W3951)+COUNTIFS('月1回_1ヶ月前の在庫'!$V$6:$V$10005,$V3951,'月1回_1ヶ月前の在庫'!$W$6:$W$10005,$W3951)&gt;0),N(U3950),N(U3950)+1))</f>
        <v/>
      </c>
      <c r="V3951" s="19">
        <f>IF($B3951="","",TEXT($B3951,"0000"))</f>
        <v/>
      </c>
      <c r="W3951" s="19">
        <f>IF($I3951="","",IF(ISNUMBER($I3951),TEXT($I3951,"0"),$I3951))</f>
        <v/>
      </c>
    </row>
    <row r="3952">
      <c r="B3952" s="25" t="n"/>
      <c r="I3952" s="25" t="n"/>
      <c r="U3952" s="19">
        <f>IF($V3952&lt;&gt;'設定'!$C$4,N(U3951),IF(OR(NOT(COUNTIF('商品マスタ'!$B$6:$B$1005,$W3952)=0),COUNTIFS('①在庫を貼る'!$V$6:$V$10005,$V3952,'①在庫を貼る'!$W$6:$W$10005,$W3952)+COUNTIFS('月1回_1ヶ月前の在庫'!$V$6:$V$10005,$V3952,'月1回_1ヶ月前の在庫'!$W$6:$W$10005,$W3952)&gt;0),N(U3951),N(U3951)+1))</f>
        <v/>
      </c>
      <c r="V3952" s="19">
        <f>IF($B3952="","",TEXT($B3952,"0000"))</f>
        <v/>
      </c>
      <c r="W3952" s="19">
        <f>IF($I3952="","",IF(ISNUMBER($I3952),TEXT($I3952,"0"),$I3952))</f>
        <v/>
      </c>
    </row>
    <row r="3953">
      <c r="B3953" s="25" t="n"/>
      <c r="I3953" s="25" t="n"/>
      <c r="U3953" s="19">
        <f>IF($V3953&lt;&gt;'設定'!$C$4,N(U3952),IF(OR(NOT(COUNTIF('商品マスタ'!$B$6:$B$1005,$W3953)=0),COUNTIFS('①在庫を貼る'!$V$6:$V$10005,$V3953,'①在庫を貼る'!$W$6:$W$10005,$W3953)+COUNTIFS('月1回_1ヶ月前の在庫'!$V$6:$V$10005,$V3953,'月1回_1ヶ月前の在庫'!$W$6:$W$10005,$W3953)&gt;0),N(U3952),N(U3952)+1))</f>
        <v/>
      </c>
      <c r="V3953" s="19">
        <f>IF($B3953="","",TEXT($B3953,"0000"))</f>
        <v/>
      </c>
      <c r="W3953" s="19">
        <f>IF($I3953="","",IF(ISNUMBER($I3953),TEXT($I3953,"0"),$I3953))</f>
        <v/>
      </c>
    </row>
    <row r="3954">
      <c r="B3954" s="25" t="n"/>
      <c r="I3954" s="25" t="n"/>
      <c r="U3954" s="19">
        <f>IF($V3954&lt;&gt;'設定'!$C$4,N(U3953),IF(OR(NOT(COUNTIF('商品マスタ'!$B$6:$B$1005,$W3954)=0),COUNTIFS('①在庫を貼る'!$V$6:$V$10005,$V3954,'①在庫を貼る'!$W$6:$W$10005,$W3954)+COUNTIFS('月1回_1ヶ月前の在庫'!$V$6:$V$10005,$V3954,'月1回_1ヶ月前の在庫'!$W$6:$W$10005,$W3954)&gt;0),N(U3953),N(U3953)+1))</f>
        <v/>
      </c>
      <c r="V3954" s="19">
        <f>IF($B3954="","",TEXT($B3954,"0000"))</f>
        <v/>
      </c>
      <c r="W3954" s="19">
        <f>IF($I3954="","",IF(ISNUMBER($I3954),TEXT($I3954,"0"),$I3954))</f>
        <v/>
      </c>
    </row>
    <row r="3955">
      <c r="B3955" s="25" t="n"/>
      <c r="I3955" s="25" t="n"/>
      <c r="U3955" s="19">
        <f>IF($V3955&lt;&gt;'設定'!$C$4,N(U3954),IF(OR(NOT(COUNTIF('商品マスタ'!$B$6:$B$1005,$W3955)=0),COUNTIFS('①在庫を貼る'!$V$6:$V$10005,$V3955,'①在庫を貼る'!$W$6:$W$10005,$W3955)+COUNTIFS('月1回_1ヶ月前の在庫'!$V$6:$V$10005,$V3955,'月1回_1ヶ月前の在庫'!$W$6:$W$10005,$W3955)&gt;0),N(U3954),N(U3954)+1))</f>
        <v/>
      </c>
      <c r="V3955" s="19">
        <f>IF($B3955="","",TEXT($B3955,"0000"))</f>
        <v/>
      </c>
      <c r="W3955" s="19">
        <f>IF($I3955="","",IF(ISNUMBER($I3955),TEXT($I3955,"0"),$I3955))</f>
        <v/>
      </c>
    </row>
    <row r="3956">
      <c r="B3956" s="25" t="n"/>
      <c r="I3956" s="25" t="n"/>
      <c r="U3956" s="19">
        <f>IF($V3956&lt;&gt;'設定'!$C$4,N(U3955),IF(OR(NOT(COUNTIF('商品マスタ'!$B$6:$B$1005,$W3956)=0),COUNTIFS('①在庫を貼る'!$V$6:$V$10005,$V3956,'①在庫を貼る'!$W$6:$W$10005,$W3956)+COUNTIFS('月1回_1ヶ月前の在庫'!$V$6:$V$10005,$V3956,'月1回_1ヶ月前の在庫'!$W$6:$W$10005,$W3956)&gt;0),N(U3955),N(U3955)+1))</f>
        <v/>
      </c>
      <c r="V3956" s="19">
        <f>IF($B3956="","",TEXT($B3956,"0000"))</f>
        <v/>
      </c>
      <c r="W3956" s="19">
        <f>IF($I3956="","",IF(ISNUMBER($I3956),TEXT($I3956,"0"),$I3956))</f>
        <v/>
      </c>
    </row>
    <row r="3957">
      <c r="B3957" s="25" t="n"/>
      <c r="I3957" s="25" t="n"/>
      <c r="U3957" s="19">
        <f>IF($V3957&lt;&gt;'設定'!$C$4,N(U3956),IF(OR(NOT(COUNTIF('商品マスタ'!$B$6:$B$1005,$W3957)=0),COUNTIFS('①在庫を貼る'!$V$6:$V$10005,$V3957,'①在庫を貼る'!$W$6:$W$10005,$W3957)+COUNTIFS('月1回_1ヶ月前の在庫'!$V$6:$V$10005,$V3957,'月1回_1ヶ月前の在庫'!$W$6:$W$10005,$W3957)&gt;0),N(U3956),N(U3956)+1))</f>
        <v/>
      </c>
      <c r="V3957" s="19">
        <f>IF($B3957="","",TEXT($B3957,"0000"))</f>
        <v/>
      </c>
      <c r="W3957" s="19">
        <f>IF($I3957="","",IF(ISNUMBER($I3957),TEXT($I3957,"0"),$I3957))</f>
        <v/>
      </c>
    </row>
    <row r="3958">
      <c r="B3958" s="25" t="n"/>
      <c r="I3958" s="25" t="n"/>
      <c r="U3958" s="19">
        <f>IF($V3958&lt;&gt;'設定'!$C$4,N(U3957),IF(OR(NOT(COUNTIF('商品マスタ'!$B$6:$B$1005,$W3958)=0),COUNTIFS('①在庫を貼る'!$V$6:$V$10005,$V3958,'①在庫を貼る'!$W$6:$W$10005,$W3958)+COUNTIFS('月1回_1ヶ月前の在庫'!$V$6:$V$10005,$V3958,'月1回_1ヶ月前の在庫'!$W$6:$W$10005,$W3958)&gt;0),N(U3957),N(U3957)+1))</f>
        <v/>
      </c>
      <c r="V3958" s="19">
        <f>IF($B3958="","",TEXT($B3958,"0000"))</f>
        <v/>
      </c>
      <c r="W3958" s="19">
        <f>IF($I3958="","",IF(ISNUMBER($I3958),TEXT($I3958,"0"),$I3958))</f>
        <v/>
      </c>
    </row>
    <row r="3959">
      <c r="B3959" s="25" t="n"/>
      <c r="I3959" s="25" t="n"/>
      <c r="U3959" s="19">
        <f>IF($V3959&lt;&gt;'設定'!$C$4,N(U3958),IF(OR(NOT(COUNTIF('商品マスタ'!$B$6:$B$1005,$W3959)=0),COUNTIFS('①在庫を貼る'!$V$6:$V$10005,$V3959,'①在庫を貼る'!$W$6:$W$10005,$W3959)+COUNTIFS('月1回_1ヶ月前の在庫'!$V$6:$V$10005,$V3959,'月1回_1ヶ月前の在庫'!$W$6:$W$10005,$W3959)&gt;0),N(U3958),N(U3958)+1))</f>
        <v/>
      </c>
      <c r="V3959" s="19">
        <f>IF($B3959="","",TEXT($B3959,"0000"))</f>
        <v/>
      </c>
      <c r="W3959" s="19">
        <f>IF($I3959="","",IF(ISNUMBER($I3959),TEXT($I3959,"0"),$I3959))</f>
        <v/>
      </c>
    </row>
    <row r="3960">
      <c r="B3960" s="25" t="n"/>
      <c r="I3960" s="25" t="n"/>
      <c r="U3960" s="19">
        <f>IF($V3960&lt;&gt;'設定'!$C$4,N(U3959),IF(OR(NOT(COUNTIF('商品マスタ'!$B$6:$B$1005,$W3960)=0),COUNTIFS('①在庫を貼る'!$V$6:$V$10005,$V3960,'①在庫を貼る'!$W$6:$W$10005,$W3960)+COUNTIFS('月1回_1ヶ月前の在庫'!$V$6:$V$10005,$V3960,'月1回_1ヶ月前の在庫'!$W$6:$W$10005,$W3960)&gt;0),N(U3959),N(U3959)+1))</f>
        <v/>
      </c>
      <c r="V3960" s="19">
        <f>IF($B3960="","",TEXT($B3960,"0000"))</f>
        <v/>
      </c>
      <c r="W3960" s="19">
        <f>IF($I3960="","",IF(ISNUMBER($I3960),TEXT($I3960,"0"),$I3960))</f>
        <v/>
      </c>
    </row>
    <row r="3961">
      <c r="B3961" s="25" t="n"/>
      <c r="I3961" s="25" t="n"/>
      <c r="U3961" s="19">
        <f>IF($V3961&lt;&gt;'設定'!$C$4,N(U3960),IF(OR(NOT(COUNTIF('商品マスタ'!$B$6:$B$1005,$W3961)=0),COUNTIFS('①在庫を貼る'!$V$6:$V$10005,$V3961,'①在庫を貼る'!$W$6:$W$10005,$W3961)+COUNTIFS('月1回_1ヶ月前の在庫'!$V$6:$V$10005,$V3961,'月1回_1ヶ月前の在庫'!$W$6:$W$10005,$W3961)&gt;0),N(U3960),N(U3960)+1))</f>
        <v/>
      </c>
      <c r="V3961" s="19">
        <f>IF($B3961="","",TEXT($B3961,"0000"))</f>
        <v/>
      </c>
      <c r="W3961" s="19">
        <f>IF($I3961="","",IF(ISNUMBER($I3961),TEXT($I3961,"0"),$I3961))</f>
        <v/>
      </c>
    </row>
    <row r="3962">
      <c r="B3962" s="25" t="n"/>
      <c r="I3962" s="25" t="n"/>
      <c r="U3962" s="19">
        <f>IF($V3962&lt;&gt;'設定'!$C$4,N(U3961),IF(OR(NOT(COUNTIF('商品マスタ'!$B$6:$B$1005,$W3962)=0),COUNTIFS('①在庫を貼る'!$V$6:$V$10005,$V3962,'①在庫を貼る'!$W$6:$W$10005,$W3962)+COUNTIFS('月1回_1ヶ月前の在庫'!$V$6:$V$10005,$V3962,'月1回_1ヶ月前の在庫'!$W$6:$W$10005,$W3962)&gt;0),N(U3961),N(U3961)+1))</f>
        <v/>
      </c>
      <c r="V3962" s="19">
        <f>IF($B3962="","",TEXT($B3962,"0000"))</f>
        <v/>
      </c>
      <c r="W3962" s="19">
        <f>IF($I3962="","",IF(ISNUMBER($I3962),TEXT($I3962,"0"),$I3962))</f>
        <v/>
      </c>
    </row>
    <row r="3963">
      <c r="B3963" s="25" t="n"/>
      <c r="I3963" s="25" t="n"/>
      <c r="U3963" s="19">
        <f>IF($V3963&lt;&gt;'設定'!$C$4,N(U3962),IF(OR(NOT(COUNTIF('商品マスタ'!$B$6:$B$1005,$W3963)=0),COUNTIFS('①在庫を貼る'!$V$6:$V$10005,$V3963,'①在庫を貼る'!$W$6:$W$10005,$W3963)+COUNTIFS('月1回_1ヶ月前の在庫'!$V$6:$V$10005,$V3963,'月1回_1ヶ月前の在庫'!$W$6:$W$10005,$W3963)&gt;0),N(U3962),N(U3962)+1))</f>
        <v/>
      </c>
      <c r="V3963" s="19">
        <f>IF($B3963="","",TEXT($B3963,"0000"))</f>
        <v/>
      </c>
      <c r="W3963" s="19">
        <f>IF($I3963="","",IF(ISNUMBER($I3963),TEXT($I3963,"0"),$I3963))</f>
        <v/>
      </c>
    </row>
    <row r="3964">
      <c r="B3964" s="25" t="n"/>
      <c r="I3964" s="25" t="n"/>
      <c r="U3964" s="19">
        <f>IF($V3964&lt;&gt;'設定'!$C$4,N(U3963),IF(OR(NOT(COUNTIF('商品マスタ'!$B$6:$B$1005,$W3964)=0),COUNTIFS('①在庫を貼る'!$V$6:$V$10005,$V3964,'①在庫を貼る'!$W$6:$W$10005,$W3964)+COUNTIFS('月1回_1ヶ月前の在庫'!$V$6:$V$10005,$V3964,'月1回_1ヶ月前の在庫'!$W$6:$W$10005,$W3964)&gt;0),N(U3963),N(U3963)+1))</f>
        <v/>
      </c>
      <c r="V3964" s="19">
        <f>IF($B3964="","",TEXT($B3964,"0000"))</f>
        <v/>
      </c>
      <c r="W3964" s="19">
        <f>IF($I3964="","",IF(ISNUMBER($I3964),TEXT($I3964,"0"),$I3964))</f>
        <v/>
      </c>
    </row>
    <row r="3965">
      <c r="B3965" s="25" t="n"/>
      <c r="I3965" s="25" t="n"/>
      <c r="U3965" s="19">
        <f>IF($V3965&lt;&gt;'設定'!$C$4,N(U3964),IF(OR(NOT(COUNTIF('商品マスタ'!$B$6:$B$1005,$W3965)=0),COUNTIFS('①在庫を貼る'!$V$6:$V$10005,$V3965,'①在庫を貼る'!$W$6:$W$10005,$W3965)+COUNTIFS('月1回_1ヶ月前の在庫'!$V$6:$V$10005,$V3965,'月1回_1ヶ月前の在庫'!$W$6:$W$10005,$W3965)&gt;0),N(U3964),N(U3964)+1))</f>
        <v/>
      </c>
      <c r="V3965" s="19">
        <f>IF($B3965="","",TEXT($B3965,"0000"))</f>
        <v/>
      </c>
      <c r="W3965" s="19">
        <f>IF($I3965="","",IF(ISNUMBER($I3965),TEXT($I3965,"0"),$I3965))</f>
        <v/>
      </c>
    </row>
    <row r="3966">
      <c r="B3966" s="25" t="n"/>
      <c r="I3966" s="25" t="n"/>
      <c r="U3966" s="19">
        <f>IF($V3966&lt;&gt;'設定'!$C$4,N(U3965),IF(OR(NOT(COUNTIF('商品マスタ'!$B$6:$B$1005,$W3966)=0),COUNTIFS('①在庫を貼る'!$V$6:$V$10005,$V3966,'①在庫を貼る'!$W$6:$W$10005,$W3966)+COUNTIFS('月1回_1ヶ月前の在庫'!$V$6:$V$10005,$V3966,'月1回_1ヶ月前の在庫'!$W$6:$W$10005,$W3966)&gt;0),N(U3965),N(U3965)+1))</f>
        <v/>
      </c>
      <c r="V3966" s="19">
        <f>IF($B3966="","",TEXT($B3966,"0000"))</f>
        <v/>
      </c>
      <c r="W3966" s="19">
        <f>IF($I3966="","",IF(ISNUMBER($I3966),TEXT($I3966,"0"),$I3966))</f>
        <v/>
      </c>
    </row>
    <row r="3967">
      <c r="B3967" s="25" t="n"/>
      <c r="I3967" s="25" t="n"/>
      <c r="U3967" s="19">
        <f>IF($V3967&lt;&gt;'設定'!$C$4,N(U3966),IF(OR(NOT(COUNTIF('商品マスタ'!$B$6:$B$1005,$W3967)=0),COUNTIFS('①在庫を貼る'!$V$6:$V$10005,$V3967,'①在庫を貼る'!$W$6:$W$10005,$W3967)+COUNTIFS('月1回_1ヶ月前の在庫'!$V$6:$V$10005,$V3967,'月1回_1ヶ月前の在庫'!$W$6:$W$10005,$W3967)&gt;0),N(U3966),N(U3966)+1))</f>
        <v/>
      </c>
      <c r="V3967" s="19">
        <f>IF($B3967="","",TEXT($B3967,"0000"))</f>
        <v/>
      </c>
      <c r="W3967" s="19">
        <f>IF($I3967="","",IF(ISNUMBER($I3967),TEXT($I3967,"0"),$I3967))</f>
        <v/>
      </c>
    </row>
    <row r="3968">
      <c r="B3968" s="25" t="n"/>
      <c r="I3968" s="25" t="n"/>
      <c r="U3968" s="19">
        <f>IF($V3968&lt;&gt;'設定'!$C$4,N(U3967),IF(OR(NOT(COUNTIF('商品マスタ'!$B$6:$B$1005,$W3968)=0),COUNTIFS('①在庫を貼る'!$V$6:$V$10005,$V3968,'①在庫を貼る'!$W$6:$W$10005,$W3968)+COUNTIFS('月1回_1ヶ月前の在庫'!$V$6:$V$10005,$V3968,'月1回_1ヶ月前の在庫'!$W$6:$W$10005,$W3968)&gt;0),N(U3967),N(U3967)+1))</f>
        <v/>
      </c>
      <c r="V3968" s="19">
        <f>IF($B3968="","",TEXT($B3968,"0000"))</f>
        <v/>
      </c>
      <c r="W3968" s="19">
        <f>IF($I3968="","",IF(ISNUMBER($I3968),TEXT($I3968,"0"),$I3968))</f>
        <v/>
      </c>
    </row>
    <row r="3969">
      <c r="B3969" s="25" t="n"/>
      <c r="I3969" s="25" t="n"/>
      <c r="U3969" s="19">
        <f>IF($V3969&lt;&gt;'設定'!$C$4,N(U3968),IF(OR(NOT(COUNTIF('商品マスタ'!$B$6:$B$1005,$W3969)=0),COUNTIFS('①在庫を貼る'!$V$6:$V$10005,$V3969,'①在庫を貼る'!$W$6:$W$10005,$W3969)+COUNTIFS('月1回_1ヶ月前の在庫'!$V$6:$V$10005,$V3969,'月1回_1ヶ月前の在庫'!$W$6:$W$10005,$W3969)&gt;0),N(U3968),N(U3968)+1))</f>
        <v/>
      </c>
      <c r="V3969" s="19">
        <f>IF($B3969="","",TEXT($B3969,"0000"))</f>
        <v/>
      </c>
      <c r="W3969" s="19">
        <f>IF($I3969="","",IF(ISNUMBER($I3969),TEXT($I3969,"0"),$I3969))</f>
        <v/>
      </c>
    </row>
    <row r="3970">
      <c r="B3970" s="25" t="n"/>
      <c r="I3970" s="25" t="n"/>
      <c r="U3970" s="19">
        <f>IF($V3970&lt;&gt;'設定'!$C$4,N(U3969),IF(OR(NOT(COUNTIF('商品マスタ'!$B$6:$B$1005,$W3970)=0),COUNTIFS('①在庫を貼る'!$V$6:$V$10005,$V3970,'①在庫を貼る'!$W$6:$W$10005,$W3970)+COUNTIFS('月1回_1ヶ月前の在庫'!$V$6:$V$10005,$V3970,'月1回_1ヶ月前の在庫'!$W$6:$W$10005,$W3970)&gt;0),N(U3969),N(U3969)+1))</f>
        <v/>
      </c>
      <c r="V3970" s="19">
        <f>IF($B3970="","",TEXT($B3970,"0000"))</f>
        <v/>
      </c>
      <c r="W3970" s="19">
        <f>IF($I3970="","",IF(ISNUMBER($I3970),TEXT($I3970,"0"),$I3970))</f>
        <v/>
      </c>
    </row>
    <row r="3971">
      <c r="B3971" s="25" t="n"/>
      <c r="I3971" s="25" t="n"/>
      <c r="U3971" s="19">
        <f>IF($V3971&lt;&gt;'設定'!$C$4,N(U3970),IF(OR(NOT(COUNTIF('商品マスタ'!$B$6:$B$1005,$W3971)=0),COUNTIFS('①在庫を貼る'!$V$6:$V$10005,$V3971,'①在庫を貼る'!$W$6:$W$10005,$W3971)+COUNTIFS('月1回_1ヶ月前の在庫'!$V$6:$V$10005,$V3971,'月1回_1ヶ月前の在庫'!$W$6:$W$10005,$W3971)&gt;0),N(U3970),N(U3970)+1))</f>
        <v/>
      </c>
      <c r="V3971" s="19">
        <f>IF($B3971="","",TEXT($B3971,"0000"))</f>
        <v/>
      </c>
      <c r="W3971" s="19">
        <f>IF($I3971="","",IF(ISNUMBER($I3971),TEXT($I3971,"0"),$I3971))</f>
        <v/>
      </c>
    </row>
    <row r="3972">
      <c r="B3972" s="25" t="n"/>
      <c r="I3972" s="25" t="n"/>
      <c r="U3972" s="19">
        <f>IF($V3972&lt;&gt;'設定'!$C$4,N(U3971),IF(OR(NOT(COUNTIF('商品マスタ'!$B$6:$B$1005,$W3972)=0),COUNTIFS('①在庫を貼る'!$V$6:$V$10005,$V3972,'①在庫を貼る'!$W$6:$W$10005,$W3972)+COUNTIFS('月1回_1ヶ月前の在庫'!$V$6:$V$10005,$V3972,'月1回_1ヶ月前の在庫'!$W$6:$W$10005,$W3972)&gt;0),N(U3971),N(U3971)+1))</f>
        <v/>
      </c>
      <c r="V3972" s="19">
        <f>IF($B3972="","",TEXT($B3972,"0000"))</f>
        <v/>
      </c>
      <c r="W3972" s="19">
        <f>IF($I3972="","",IF(ISNUMBER($I3972),TEXT($I3972,"0"),$I3972))</f>
        <v/>
      </c>
    </row>
    <row r="3973">
      <c r="B3973" s="25" t="n"/>
      <c r="I3973" s="25" t="n"/>
      <c r="U3973" s="19">
        <f>IF($V3973&lt;&gt;'設定'!$C$4,N(U3972),IF(OR(NOT(COUNTIF('商品マスタ'!$B$6:$B$1005,$W3973)=0),COUNTIFS('①在庫を貼る'!$V$6:$V$10005,$V3973,'①在庫を貼る'!$W$6:$W$10005,$W3973)+COUNTIFS('月1回_1ヶ月前の在庫'!$V$6:$V$10005,$V3973,'月1回_1ヶ月前の在庫'!$W$6:$W$10005,$W3973)&gt;0),N(U3972),N(U3972)+1))</f>
        <v/>
      </c>
      <c r="V3973" s="19">
        <f>IF($B3973="","",TEXT($B3973,"0000"))</f>
        <v/>
      </c>
      <c r="W3973" s="19">
        <f>IF($I3973="","",IF(ISNUMBER($I3973),TEXT($I3973,"0"),$I3973))</f>
        <v/>
      </c>
    </row>
    <row r="3974">
      <c r="B3974" s="25" t="n"/>
      <c r="I3974" s="25" t="n"/>
      <c r="U3974" s="19">
        <f>IF($V3974&lt;&gt;'設定'!$C$4,N(U3973),IF(OR(NOT(COUNTIF('商品マスタ'!$B$6:$B$1005,$W3974)=0),COUNTIFS('①在庫を貼る'!$V$6:$V$10005,$V3974,'①在庫を貼る'!$W$6:$W$10005,$W3974)+COUNTIFS('月1回_1ヶ月前の在庫'!$V$6:$V$10005,$V3974,'月1回_1ヶ月前の在庫'!$W$6:$W$10005,$W3974)&gt;0),N(U3973),N(U3973)+1))</f>
        <v/>
      </c>
      <c r="V3974" s="19">
        <f>IF($B3974="","",TEXT($B3974,"0000"))</f>
        <v/>
      </c>
      <c r="W3974" s="19">
        <f>IF($I3974="","",IF(ISNUMBER($I3974),TEXT($I3974,"0"),$I3974))</f>
        <v/>
      </c>
    </row>
    <row r="3975">
      <c r="B3975" s="25" t="n"/>
      <c r="I3975" s="25" t="n"/>
      <c r="U3975" s="19">
        <f>IF($V3975&lt;&gt;'設定'!$C$4,N(U3974),IF(OR(NOT(COUNTIF('商品マスタ'!$B$6:$B$1005,$W3975)=0),COUNTIFS('①在庫を貼る'!$V$6:$V$10005,$V3975,'①在庫を貼る'!$W$6:$W$10005,$W3975)+COUNTIFS('月1回_1ヶ月前の在庫'!$V$6:$V$10005,$V3975,'月1回_1ヶ月前の在庫'!$W$6:$W$10005,$W3975)&gt;0),N(U3974),N(U3974)+1))</f>
        <v/>
      </c>
      <c r="V3975" s="19">
        <f>IF($B3975="","",TEXT($B3975,"0000"))</f>
        <v/>
      </c>
      <c r="W3975" s="19">
        <f>IF($I3975="","",IF(ISNUMBER($I3975),TEXT($I3975,"0"),$I3975))</f>
        <v/>
      </c>
    </row>
    <row r="3976">
      <c r="B3976" s="25" t="n"/>
      <c r="I3976" s="25" t="n"/>
      <c r="U3976" s="19">
        <f>IF($V3976&lt;&gt;'設定'!$C$4,N(U3975),IF(OR(NOT(COUNTIF('商品マスタ'!$B$6:$B$1005,$W3976)=0),COUNTIFS('①在庫を貼る'!$V$6:$V$10005,$V3976,'①在庫を貼る'!$W$6:$W$10005,$W3976)+COUNTIFS('月1回_1ヶ月前の在庫'!$V$6:$V$10005,$V3976,'月1回_1ヶ月前の在庫'!$W$6:$W$10005,$W3976)&gt;0),N(U3975),N(U3975)+1))</f>
        <v/>
      </c>
      <c r="V3976" s="19">
        <f>IF($B3976="","",TEXT($B3976,"0000"))</f>
        <v/>
      </c>
      <c r="W3976" s="19">
        <f>IF($I3976="","",IF(ISNUMBER($I3976),TEXT($I3976,"0"),$I3976))</f>
        <v/>
      </c>
    </row>
    <row r="3977">
      <c r="B3977" s="25" t="n"/>
      <c r="I3977" s="25" t="n"/>
      <c r="U3977" s="19">
        <f>IF($V3977&lt;&gt;'設定'!$C$4,N(U3976),IF(OR(NOT(COUNTIF('商品マスタ'!$B$6:$B$1005,$W3977)=0),COUNTIFS('①在庫を貼る'!$V$6:$V$10005,$V3977,'①在庫を貼る'!$W$6:$W$10005,$W3977)+COUNTIFS('月1回_1ヶ月前の在庫'!$V$6:$V$10005,$V3977,'月1回_1ヶ月前の在庫'!$W$6:$W$10005,$W3977)&gt;0),N(U3976),N(U3976)+1))</f>
        <v/>
      </c>
      <c r="V3977" s="19">
        <f>IF($B3977="","",TEXT($B3977,"0000"))</f>
        <v/>
      </c>
      <c r="W3977" s="19">
        <f>IF($I3977="","",IF(ISNUMBER($I3977),TEXT($I3977,"0"),$I3977))</f>
        <v/>
      </c>
    </row>
    <row r="3978">
      <c r="B3978" s="25" t="n"/>
      <c r="I3978" s="25" t="n"/>
      <c r="U3978" s="19">
        <f>IF($V3978&lt;&gt;'設定'!$C$4,N(U3977),IF(OR(NOT(COUNTIF('商品マスタ'!$B$6:$B$1005,$W3978)=0),COUNTIFS('①在庫を貼る'!$V$6:$V$10005,$V3978,'①在庫を貼る'!$W$6:$W$10005,$W3978)+COUNTIFS('月1回_1ヶ月前の在庫'!$V$6:$V$10005,$V3978,'月1回_1ヶ月前の在庫'!$W$6:$W$10005,$W3978)&gt;0),N(U3977),N(U3977)+1))</f>
        <v/>
      </c>
      <c r="V3978" s="19">
        <f>IF($B3978="","",TEXT($B3978,"0000"))</f>
        <v/>
      </c>
      <c r="W3978" s="19">
        <f>IF($I3978="","",IF(ISNUMBER($I3978),TEXT($I3978,"0"),$I3978))</f>
        <v/>
      </c>
    </row>
    <row r="3979">
      <c r="B3979" s="25" t="n"/>
      <c r="I3979" s="25" t="n"/>
      <c r="U3979" s="19">
        <f>IF($V3979&lt;&gt;'設定'!$C$4,N(U3978),IF(OR(NOT(COUNTIF('商品マスタ'!$B$6:$B$1005,$W3979)=0),COUNTIFS('①在庫を貼る'!$V$6:$V$10005,$V3979,'①在庫を貼る'!$W$6:$W$10005,$W3979)+COUNTIFS('月1回_1ヶ月前の在庫'!$V$6:$V$10005,$V3979,'月1回_1ヶ月前の在庫'!$W$6:$W$10005,$W3979)&gt;0),N(U3978),N(U3978)+1))</f>
        <v/>
      </c>
      <c r="V3979" s="19">
        <f>IF($B3979="","",TEXT($B3979,"0000"))</f>
        <v/>
      </c>
      <c r="W3979" s="19">
        <f>IF($I3979="","",IF(ISNUMBER($I3979),TEXT($I3979,"0"),$I3979))</f>
        <v/>
      </c>
    </row>
    <row r="3980">
      <c r="B3980" s="25" t="n"/>
      <c r="I3980" s="25" t="n"/>
      <c r="U3980" s="19">
        <f>IF($V3980&lt;&gt;'設定'!$C$4,N(U3979),IF(OR(NOT(COUNTIF('商品マスタ'!$B$6:$B$1005,$W3980)=0),COUNTIFS('①在庫を貼る'!$V$6:$V$10005,$V3980,'①在庫を貼る'!$W$6:$W$10005,$W3980)+COUNTIFS('月1回_1ヶ月前の在庫'!$V$6:$V$10005,$V3980,'月1回_1ヶ月前の在庫'!$W$6:$W$10005,$W3980)&gt;0),N(U3979),N(U3979)+1))</f>
        <v/>
      </c>
      <c r="V3980" s="19">
        <f>IF($B3980="","",TEXT($B3980,"0000"))</f>
        <v/>
      </c>
      <c r="W3980" s="19">
        <f>IF($I3980="","",IF(ISNUMBER($I3980),TEXT($I3980,"0"),$I3980))</f>
        <v/>
      </c>
    </row>
    <row r="3981">
      <c r="B3981" s="25" t="n"/>
      <c r="I3981" s="25" t="n"/>
      <c r="U3981" s="19">
        <f>IF($V3981&lt;&gt;'設定'!$C$4,N(U3980),IF(OR(NOT(COUNTIF('商品マスタ'!$B$6:$B$1005,$W3981)=0),COUNTIFS('①在庫を貼る'!$V$6:$V$10005,$V3981,'①在庫を貼る'!$W$6:$W$10005,$W3981)+COUNTIFS('月1回_1ヶ月前の在庫'!$V$6:$V$10005,$V3981,'月1回_1ヶ月前の在庫'!$W$6:$W$10005,$W3981)&gt;0),N(U3980),N(U3980)+1))</f>
        <v/>
      </c>
      <c r="V3981" s="19">
        <f>IF($B3981="","",TEXT($B3981,"0000"))</f>
        <v/>
      </c>
      <c r="W3981" s="19">
        <f>IF($I3981="","",IF(ISNUMBER($I3981),TEXT($I3981,"0"),$I3981))</f>
        <v/>
      </c>
    </row>
    <row r="3982">
      <c r="B3982" s="25" t="n"/>
      <c r="I3982" s="25" t="n"/>
      <c r="U3982" s="19">
        <f>IF($V3982&lt;&gt;'設定'!$C$4,N(U3981),IF(OR(NOT(COUNTIF('商品マスタ'!$B$6:$B$1005,$W3982)=0),COUNTIFS('①在庫を貼る'!$V$6:$V$10005,$V3982,'①在庫を貼る'!$W$6:$W$10005,$W3982)+COUNTIFS('月1回_1ヶ月前の在庫'!$V$6:$V$10005,$V3982,'月1回_1ヶ月前の在庫'!$W$6:$W$10005,$W3982)&gt;0),N(U3981),N(U3981)+1))</f>
        <v/>
      </c>
      <c r="V3982" s="19">
        <f>IF($B3982="","",TEXT($B3982,"0000"))</f>
        <v/>
      </c>
      <c r="W3982" s="19">
        <f>IF($I3982="","",IF(ISNUMBER($I3982),TEXT($I3982,"0"),$I3982))</f>
        <v/>
      </c>
    </row>
    <row r="3983">
      <c r="B3983" s="25" t="n"/>
      <c r="I3983" s="25" t="n"/>
      <c r="U3983" s="19">
        <f>IF($V3983&lt;&gt;'設定'!$C$4,N(U3982),IF(OR(NOT(COUNTIF('商品マスタ'!$B$6:$B$1005,$W3983)=0),COUNTIFS('①在庫を貼る'!$V$6:$V$10005,$V3983,'①在庫を貼る'!$W$6:$W$10005,$W3983)+COUNTIFS('月1回_1ヶ月前の在庫'!$V$6:$V$10005,$V3983,'月1回_1ヶ月前の在庫'!$W$6:$W$10005,$W3983)&gt;0),N(U3982),N(U3982)+1))</f>
        <v/>
      </c>
      <c r="V3983" s="19">
        <f>IF($B3983="","",TEXT($B3983,"0000"))</f>
        <v/>
      </c>
      <c r="W3983" s="19">
        <f>IF($I3983="","",IF(ISNUMBER($I3983),TEXT($I3983,"0"),$I3983))</f>
        <v/>
      </c>
    </row>
    <row r="3984">
      <c r="B3984" s="25" t="n"/>
      <c r="I3984" s="25" t="n"/>
      <c r="U3984" s="19">
        <f>IF($V3984&lt;&gt;'設定'!$C$4,N(U3983),IF(OR(NOT(COUNTIF('商品マスタ'!$B$6:$B$1005,$W3984)=0),COUNTIFS('①在庫を貼る'!$V$6:$V$10005,$V3984,'①在庫を貼る'!$W$6:$W$10005,$W3984)+COUNTIFS('月1回_1ヶ月前の在庫'!$V$6:$V$10005,$V3984,'月1回_1ヶ月前の在庫'!$W$6:$W$10005,$W3984)&gt;0),N(U3983),N(U3983)+1))</f>
        <v/>
      </c>
      <c r="V3984" s="19">
        <f>IF($B3984="","",TEXT($B3984,"0000"))</f>
        <v/>
      </c>
      <c r="W3984" s="19">
        <f>IF($I3984="","",IF(ISNUMBER($I3984),TEXT($I3984,"0"),$I3984))</f>
        <v/>
      </c>
    </row>
    <row r="3985">
      <c r="B3985" s="25" t="n"/>
      <c r="I3985" s="25" t="n"/>
      <c r="U3985" s="19">
        <f>IF($V3985&lt;&gt;'設定'!$C$4,N(U3984),IF(OR(NOT(COUNTIF('商品マスタ'!$B$6:$B$1005,$W3985)=0),COUNTIFS('①在庫を貼る'!$V$6:$V$10005,$V3985,'①在庫を貼る'!$W$6:$W$10005,$W3985)+COUNTIFS('月1回_1ヶ月前の在庫'!$V$6:$V$10005,$V3985,'月1回_1ヶ月前の在庫'!$W$6:$W$10005,$W3985)&gt;0),N(U3984),N(U3984)+1))</f>
        <v/>
      </c>
      <c r="V3985" s="19">
        <f>IF($B3985="","",TEXT($B3985,"0000"))</f>
        <v/>
      </c>
      <c r="W3985" s="19">
        <f>IF($I3985="","",IF(ISNUMBER($I3985),TEXT($I3985,"0"),$I3985))</f>
        <v/>
      </c>
    </row>
    <row r="3986">
      <c r="B3986" s="25" t="n"/>
      <c r="I3986" s="25" t="n"/>
      <c r="U3986" s="19">
        <f>IF($V3986&lt;&gt;'設定'!$C$4,N(U3985),IF(OR(NOT(COUNTIF('商品マスタ'!$B$6:$B$1005,$W3986)=0),COUNTIFS('①在庫を貼る'!$V$6:$V$10005,$V3986,'①在庫を貼る'!$W$6:$W$10005,$W3986)+COUNTIFS('月1回_1ヶ月前の在庫'!$V$6:$V$10005,$V3986,'月1回_1ヶ月前の在庫'!$W$6:$W$10005,$W3986)&gt;0),N(U3985),N(U3985)+1))</f>
        <v/>
      </c>
      <c r="V3986" s="19">
        <f>IF($B3986="","",TEXT($B3986,"0000"))</f>
        <v/>
      </c>
      <c r="W3986" s="19">
        <f>IF($I3986="","",IF(ISNUMBER($I3986),TEXT($I3986,"0"),$I3986))</f>
        <v/>
      </c>
    </row>
    <row r="3987">
      <c r="B3987" s="25" t="n"/>
      <c r="I3987" s="25" t="n"/>
      <c r="U3987" s="19">
        <f>IF($V3987&lt;&gt;'設定'!$C$4,N(U3986),IF(OR(NOT(COUNTIF('商品マスタ'!$B$6:$B$1005,$W3987)=0),COUNTIFS('①在庫を貼る'!$V$6:$V$10005,$V3987,'①在庫を貼る'!$W$6:$W$10005,$W3987)+COUNTIFS('月1回_1ヶ月前の在庫'!$V$6:$V$10005,$V3987,'月1回_1ヶ月前の在庫'!$W$6:$W$10005,$W3987)&gt;0),N(U3986),N(U3986)+1))</f>
        <v/>
      </c>
      <c r="V3987" s="19">
        <f>IF($B3987="","",TEXT($B3987,"0000"))</f>
        <v/>
      </c>
      <c r="W3987" s="19">
        <f>IF($I3987="","",IF(ISNUMBER($I3987),TEXT($I3987,"0"),$I3987))</f>
        <v/>
      </c>
    </row>
    <row r="3988">
      <c r="B3988" s="25" t="n"/>
      <c r="I3988" s="25" t="n"/>
      <c r="U3988" s="19">
        <f>IF($V3988&lt;&gt;'設定'!$C$4,N(U3987),IF(OR(NOT(COUNTIF('商品マスタ'!$B$6:$B$1005,$W3988)=0),COUNTIFS('①在庫を貼る'!$V$6:$V$10005,$V3988,'①在庫を貼る'!$W$6:$W$10005,$W3988)+COUNTIFS('月1回_1ヶ月前の在庫'!$V$6:$V$10005,$V3988,'月1回_1ヶ月前の在庫'!$W$6:$W$10005,$W3988)&gt;0),N(U3987),N(U3987)+1))</f>
        <v/>
      </c>
      <c r="V3988" s="19">
        <f>IF($B3988="","",TEXT($B3988,"0000"))</f>
        <v/>
      </c>
      <c r="W3988" s="19">
        <f>IF($I3988="","",IF(ISNUMBER($I3988),TEXT($I3988,"0"),$I3988))</f>
        <v/>
      </c>
    </row>
    <row r="3989">
      <c r="B3989" s="25" t="n"/>
      <c r="I3989" s="25" t="n"/>
      <c r="U3989" s="19">
        <f>IF($V3989&lt;&gt;'設定'!$C$4,N(U3988),IF(OR(NOT(COUNTIF('商品マスタ'!$B$6:$B$1005,$W3989)=0),COUNTIFS('①在庫を貼る'!$V$6:$V$10005,$V3989,'①在庫を貼る'!$W$6:$W$10005,$W3989)+COUNTIFS('月1回_1ヶ月前の在庫'!$V$6:$V$10005,$V3989,'月1回_1ヶ月前の在庫'!$W$6:$W$10005,$W3989)&gt;0),N(U3988),N(U3988)+1))</f>
        <v/>
      </c>
      <c r="V3989" s="19">
        <f>IF($B3989="","",TEXT($B3989,"0000"))</f>
        <v/>
      </c>
      <c r="W3989" s="19">
        <f>IF($I3989="","",IF(ISNUMBER($I3989),TEXT($I3989,"0"),$I3989))</f>
        <v/>
      </c>
    </row>
    <row r="3990">
      <c r="B3990" s="25" t="n"/>
      <c r="I3990" s="25" t="n"/>
      <c r="U3990" s="19">
        <f>IF($V3990&lt;&gt;'設定'!$C$4,N(U3989),IF(OR(NOT(COUNTIF('商品マスタ'!$B$6:$B$1005,$W3990)=0),COUNTIFS('①在庫を貼る'!$V$6:$V$10005,$V3990,'①在庫を貼る'!$W$6:$W$10005,$W3990)+COUNTIFS('月1回_1ヶ月前の在庫'!$V$6:$V$10005,$V3990,'月1回_1ヶ月前の在庫'!$W$6:$W$10005,$W3990)&gt;0),N(U3989),N(U3989)+1))</f>
        <v/>
      </c>
      <c r="V3990" s="19">
        <f>IF($B3990="","",TEXT($B3990,"0000"))</f>
        <v/>
      </c>
      <c r="W3990" s="19">
        <f>IF($I3990="","",IF(ISNUMBER($I3990),TEXT($I3990,"0"),$I3990))</f>
        <v/>
      </c>
    </row>
    <row r="3991">
      <c r="B3991" s="25" t="n"/>
      <c r="I3991" s="25" t="n"/>
      <c r="U3991" s="19">
        <f>IF($V3991&lt;&gt;'設定'!$C$4,N(U3990),IF(OR(NOT(COUNTIF('商品マスタ'!$B$6:$B$1005,$W3991)=0),COUNTIFS('①在庫を貼る'!$V$6:$V$10005,$V3991,'①在庫を貼る'!$W$6:$W$10005,$W3991)+COUNTIFS('月1回_1ヶ月前の在庫'!$V$6:$V$10005,$V3991,'月1回_1ヶ月前の在庫'!$W$6:$W$10005,$W3991)&gt;0),N(U3990),N(U3990)+1))</f>
        <v/>
      </c>
      <c r="V3991" s="19">
        <f>IF($B3991="","",TEXT($B3991,"0000"))</f>
        <v/>
      </c>
      <c r="W3991" s="19">
        <f>IF($I3991="","",IF(ISNUMBER($I3991),TEXT($I3991,"0"),$I3991))</f>
        <v/>
      </c>
    </row>
    <row r="3992">
      <c r="B3992" s="25" t="n"/>
      <c r="I3992" s="25" t="n"/>
      <c r="U3992" s="19">
        <f>IF($V3992&lt;&gt;'設定'!$C$4,N(U3991),IF(OR(NOT(COUNTIF('商品マスタ'!$B$6:$B$1005,$W3992)=0),COUNTIFS('①在庫を貼る'!$V$6:$V$10005,$V3992,'①在庫を貼る'!$W$6:$W$10005,$W3992)+COUNTIFS('月1回_1ヶ月前の在庫'!$V$6:$V$10005,$V3992,'月1回_1ヶ月前の在庫'!$W$6:$W$10005,$W3992)&gt;0),N(U3991),N(U3991)+1))</f>
        <v/>
      </c>
      <c r="V3992" s="19">
        <f>IF($B3992="","",TEXT($B3992,"0000"))</f>
        <v/>
      </c>
      <c r="W3992" s="19">
        <f>IF($I3992="","",IF(ISNUMBER($I3992),TEXT($I3992,"0"),$I3992))</f>
        <v/>
      </c>
    </row>
    <row r="3993">
      <c r="B3993" s="25" t="n"/>
      <c r="I3993" s="25" t="n"/>
      <c r="U3993" s="19">
        <f>IF($V3993&lt;&gt;'設定'!$C$4,N(U3992),IF(OR(NOT(COUNTIF('商品マスタ'!$B$6:$B$1005,$W3993)=0),COUNTIFS('①在庫を貼る'!$V$6:$V$10005,$V3993,'①在庫を貼る'!$W$6:$W$10005,$W3993)+COUNTIFS('月1回_1ヶ月前の在庫'!$V$6:$V$10005,$V3993,'月1回_1ヶ月前の在庫'!$W$6:$W$10005,$W3993)&gt;0),N(U3992),N(U3992)+1))</f>
        <v/>
      </c>
      <c r="V3993" s="19">
        <f>IF($B3993="","",TEXT($B3993,"0000"))</f>
        <v/>
      </c>
      <c r="W3993" s="19">
        <f>IF($I3993="","",IF(ISNUMBER($I3993),TEXT($I3993,"0"),$I3993))</f>
        <v/>
      </c>
    </row>
    <row r="3994">
      <c r="B3994" s="25" t="n"/>
      <c r="I3994" s="25" t="n"/>
      <c r="U3994" s="19">
        <f>IF($V3994&lt;&gt;'設定'!$C$4,N(U3993),IF(OR(NOT(COUNTIF('商品マスタ'!$B$6:$B$1005,$W3994)=0),COUNTIFS('①在庫を貼る'!$V$6:$V$10005,$V3994,'①在庫を貼る'!$W$6:$W$10005,$W3994)+COUNTIFS('月1回_1ヶ月前の在庫'!$V$6:$V$10005,$V3994,'月1回_1ヶ月前の在庫'!$W$6:$W$10005,$W3994)&gt;0),N(U3993),N(U3993)+1))</f>
        <v/>
      </c>
      <c r="V3994" s="19">
        <f>IF($B3994="","",TEXT($B3994,"0000"))</f>
        <v/>
      </c>
      <c r="W3994" s="19">
        <f>IF($I3994="","",IF(ISNUMBER($I3994),TEXT($I3994,"0"),$I3994))</f>
        <v/>
      </c>
    </row>
    <row r="3995">
      <c r="B3995" s="25" t="n"/>
      <c r="I3995" s="25" t="n"/>
      <c r="U3995" s="19">
        <f>IF($V3995&lt;&gt;'設定'!$C$4,N(U3994),IF(OR(NOT(COUNTIF('商品マスタ'!$B$6:$B$1005,$W3995)=0),COUNTIFS('①在庫を貼る'!$V$6:$V$10005,$V3995,'①在庫を貼る'!$W$6:$W$10005,$W3995)+COUNTIFS('月1回_1ヶ月前の在庫'!$V$6:$V$10005,$V3995,'月1回_1ヶ月前の在庫'!$W$6:$W$10005,$W3995)&gt;0),N(U3994),N(U3994)+1))</f>
        <v/>
      </c>
      <c r="V3995" s="19">
        <f>IF($B3995="","",TEXT($B3995,"0000"))</f>
        <v/>
      </c>
      <c r="W3995" s="19">
        <f>IF($I3995="","",IF(ISNUMBER($I3995),TEXT($I3995,"0"),$I3995))</f>
        <v/>
      </c>
    </row>
    <row r="3996">
      <c r="B3996" s="25" t="n"/>
      <c r="I3996" s="25" t="n"/>
      <c r="U3996" s="19">
        <f>IF($V3996&lt;&gt;'設定'!$C$4,N(U3995),IF(OR(NOT(COUNTIF('商品マスタ'!$B$6:$B$1005,$W3996)=0),COUNTIFS('①在庫を貼る'!$V$6:$V$10005,$V3996,'①在庫を貼る'!$W$6:$W$10005,$W3996)+COUNTIFS('月1回_1ヶ月前の在庫'!$V$6:$V$10005,$V3996,'月1回_1ヶ月前の在庫'!$W$6:$W$10005,$W3996)&gt;0),N(U3995),N(U3995)+1))</f>
        <v/>
      </c>
      <c r="V3996" s="19">
        <f>IF($B3996="","",TEXT($B3996,"0000"))</f>
        <v/>
      </c>
      <c r="W3996" s="19">
        <f>IF($I3996="","",IF(ISNUMBER($I3996),TEXT($I3996,"0"),$I3996))</f>
        <v/>
      </c>
    </row>
    <row r="3997">
      <c r="B3997" s="25" t="n"/>
      <c r="I3997" s="25" t="n"/>
      <c r="U3997" s="19">
        <f>IF($V3997&lt;&gt;'設定'!$C$4,N(U3996),IF(OR(NOT(COUNTIF('商品マスタ'!$B$6:$B$1005,$W3997)=0),COUNTIFS('①在庫を貼る'!$V$6:$V$10005,$V3997,'①在庫を貼る'!$W$6:$W$10005,$W3997)+COUNTIFS('月1回_1ヶ月前の在庫'!$V$6:$V$10005,$V3997,'月1回_1ヶ月前の在庫'!$W$6:$W$10005,$W3997)&gt;0),N(U3996),N(U3996)+1))</f>
        <v/>
      </c>
      <c r="V3997" s="19">
        <f>IF($B3997="","",TEXT($B3997,"0000"))</f>
        <v/>
      </c>
      <c r="W3997" s="19">
        <f>IF($I3997="","",IF(ISNUMBER($I3997),TEXT($I3997,"0"),$I3997))</f>
        <v/>
      </c>
    </row>
    <row r="3998">
      <c r="B3998" s="25" t="n"/>
      <c r="I3998" s="25" t="n"/>
      <c r="U3998" s="19">
        <f>IF($V3998&lt;&gt;'設定'!$C$4,N(U3997),IF(OR(NOT(COUNTIF('商品マスタ'!$B$6:$B$1005,$W3998)=0),COUNTIFS('①在庫を貼る'!$V$6:$V$10005,$V3998,'①在庫を貼る'!$W$6:$W$10005,$W3998)+COUNTIFS('月1回_1ヶ月前の在庫'!$V$6:$V$10005,$V3998,'月1回_1ヶ月前の在庫'!$W$6:$W$10005,$W3998)&gt;0),N(U3997),N(U3997)+1))</f>
        <v/>
      </c>
      <c r="V3998" s="19">
        <f>IF($B3998="","",TEXT($B3998,"0000"))</f>
        <v/>
      </c>
      <c r="W3998" s="19">
        <f>IF($I3998="","",IF(ISNUMBER($I3998),TEXT($I3998,"0"),$I3998))</f>
        <v/>
      </c>
    </row>
    <row r="3999">
      <c r="B3999" s="25" t="n"/>
      <c r="I3999" s="25" t="n"/>
      <c r="U3999" s="19">
        <f>IF($V3999&lt;&gt;'設定'!$C$4,N(U3998),IF(OR(NOT(COUNTIF('商品マスタ'!$B$6:$B$1005,$W3999)=0),COUNTIFS('①在庫を貼る'!$V$6:$V$10005,$V3999,'①在庫を貼る'!$W$6:$W$10005,$W3999)+COUNTIFS('月1回_1ヶ月前の在庫'!$V$6:$V$10005,$V3999,'月1回_1ヶ月前の在庫'!$W$6:$W$10005,$W3999)&gt;0),N(U3998),N(U3998)+1))</f>
        <v/>
      </c>
      <c r="V3999" s="19">
        <f>IF($B3999="","",TEXT($B3999,"0000"))</f>
        <v/>
      </c>
      <c r="W3999" s="19">
        <f>IF($I3999="","",IF(ISNUMBER($I3999),TEXT($I3999,"0"),$I3999))</f>
        <v/>
      </c>
    </row>
    <row r="4000">
      <c r="B4000" s="25" t="n"/>
      <c r="I4000" s="25" t="n"/>
      <c r="U4000" s="19">
        <f>IF($V4000&lt;&gt;'設定'!$C$4,N(U3999),IF(OR(NOT(COUNTIF('商品マスタ'!$B$6:$B$1005,$W4000)=0),COUNTIFS('①在庫を貼る'!$V$6:$V$10005,$V4000,'①在庫を貼る'!$W$6:$W$10005,$W4000)+COUNTIFS('月1回_1ヶ月前の在庫'!$V$6:$V$10005,$V4000,'月1回_1ヶ月前の在庫'!$W$6:$W$10005,$W4000)&gt;0),N(U3999),N(U3999)+1))</f>
        <v/>
      </c>
      <c r="V4000" s="19">
        <f>IF($B4000="","",TEXT($B4000,"0000"))</f>
        <v/>
      </c>
      <c r="W4000" s="19">
        <f>IF($I4000="","",IF(ISNUMBER($I4000),TEXT($I4000,"0"),$I4000))</f>
        <v/>
      </c>
    </row>
    <row r="4001">
      <c r="B4001" s="25" t="n"/>
      <c r="I4001" s="25" t="n"/>
      <c r="U4001" s="19">
        <f>IF($V4001&lt;&gt;'設定'!$C$4,N(U4000),IF(OR(NOT(COUNTIF('商品マスタ'!$B$6:$B$1005,$W4001)=0),COUNTIFS('①在庫を貼る'!$V$6:$V$10005,$V4001,'①在庫を貼る'!$W$6:$W$10005,$W4001)+COUNTIFS('月1回_1ヶ月前の在庫'!$V$6:$V$10005,$V4001,'月1回_1ヶ月前の在庫'!$W$6:$W$10005,$W4001)&gt;0),N(U4000),N(U4000)+1))</f>
        <v/>
      </c>
      <c r="V4001" s="19">
        <f>IF($B4001="","",TEXT($B4001,"0000"))</f>
        <v/>
      </c>
      <c r="W4001" s="19">
        <f>IF($I4001="","",IF(ISNUMBER($I4001),TEXT($I4001,"0"),$I4001))</f>
        <v/>
      </c>
    </row>
    <row r="4002">
      <c r="B4002" s="25" t="n"/>
      <c r="I4002" s="25" t="n"/>
      <c r="U4002" s="19">
        <f>IF($V4002&lt;&gt;'設定'!$C$4,N(U4001),IF(OR(NOT(COUNTIF('商品マスタ'!$B$6:$B$1005,$W4002)=0),COUNTIFS('①在庫を貼る'!$V$6:$V$10005,$V4002,'①在庫を貼る'!$W$6:$W$10005,$W4002)+COUNTIFS('月1回_1ヶ月前の在庫'!$V$6:$V$10005,$V4002,'月1回_1ヶ月前の在庫'!$W$6:$W$10005,$W4002)&gt;0),N(U4001),N(U4001)+1))</f>
        <v/>
      </c>
      <c r="V4002" s="19">
        <f>IF($B4002="","",TEXT($B4002,"0000"))</f>
        <v/>
      </c>
      <c r="W4002" s="19">
        <f>IF($I4002="","",IF(ISNUMBER($I4002),TEXT($I4002,"0"),$I4002))</f>
        <v/>
      </c>
    </row>
    <row r="4003">
      <c r="B4003" s="25" t="n"/>
      <c r="I4003" s="25" t="n"/>
      <c r="U4003" s="19">
        <f>IF($V4003&lt;&gt;'設定'!$C$4,N(U4002),IF(OR(NOT(COUNTIF('商品マスタ'!$B$6:$B$1005,$W4003)=0),COUNTIFS('①在庫を貼る'!$V$6:$V$10005,$V4003,'①在庫を貼る'!$W$6:$W$10005,$W4003)+COUNTIFS('月1回_1ヶ月前の在庫'!$V$6:$V$10005,$V4003,'月1回_1ヶ月前の在庫'!$W$6:$W$10005,$W4003)&gt;0),N(U4002),N(U4002)+1))</f>
        <v/>
      </c>
      <c r="V4003" s="19">
        <f>IF($B4003="","",TEXT($B4003,"0000"))</f>
        <v/>
      </c>
      <c r="W4003" s="19">
        <f>IF($I4003="","",IF(ISNUMBER($I4003),TEXT($I4003,"0"),$I4003))</f>
        <v/>
      </c>
    </row>
    <row r="4004">
      <c r="B4004" s="25" t="n"/>
      <c r="I4004" s="25" t="n"/>
      <c r="U4004" s="19">
        <f>IF($V4004&lt;&gt;'設定'!$C$4,N(U4003),IF(OR(NOT(COUNTIF('商品マスタ'!$B$6:$B$1005,$W4004)=0),COUNTIFS('①在庫を貼る'!$V$6:$V$10005,$V4004,'①在庫を貼る'!$W$6:$W$10005,$W4004)+COUNTIFS('月1回_1ヶ月前の在庫'!$V$6:$V$10005,$V4004,'月1回_1ヶ月前の在庫'!$W$6:$W$10005,$W4004)&gt;0),N(U4003),N(U4003)+1))</f>
        <v/>
      </c>
      <c r="V4004" s="19">
        <f>IF($B4004="","",TEXT($B4004,"0000"))</f>
        <v/>
      </c>
      <c r="W4004" s="19">
        <f>IF($I4004="","",IF(ISNUMBER($I4004),TEXT($I4004,"0"),$I4004))</f>
        <v/>
      </c>
    </row>
    <row r="4005">
      <c r="B4005" s="25" t="n"/>
      <c r="I4005" s="25" t="n"/>
      <c r="U4005" s="19">
        <f>IF($V4005&lt;&gt;'設定'!$C$4,N(U4004),IF(OR(NOT(COUNTIF('商品マスタ'!$B$6:$B$1005,$W4005)=0),COUNTIFS('①在庫を貼る'!$V$6:$V$10005,$V4005,'①在庫を貼る'!$W$6:$W$10005,$W4005)+COUNTIFS('月1回_1ヶ月前の在庫'!$V$6:$V$10005,$V4005,'月1回_1ヶ月前の在庫'!$W$6:$W$10005,$W4005)&gt;0),N(U4004),N(U4004)+1))</f>
        <v/>
      </c>
      <c r="V4005" s="19">
        <f>IF($B4005="","",TEXT($B4005,"0000"))</f>
        <v/>
      </c>
      <c r="W4005" s="19">
        <f>IF($I4005="","",IF(ISNUMBER($I4005),TEXT($I4005,"0"),$I4005))</f>
        <v/>
      </c>
    </row>
    <row r="4006">
      <c r="B4006" s="25" t="n"/>
      <c r="I4006" s="25" t="n"/>
      <c r="U4006" s="19">
        <f>IF($V4006&lt;&gt;'設定'!$C$4,N(U4005),IF(OR(NOT(COUNTIF('商品マスタ'!$B$6:$B$1005,$W4006)=0),COUNTIFS('①在庫を貼る'!$V$6:$V$10005,$V4006,'①在庫を貼る'!$W$6:$W$10005,$W4006)+COUNTIFS('月1回_1ヶ月前の在庫'!$V$6:$V$10005,$V4006,'月1回_1ヶ月前の在庫'!$W$6:$W$10005,$W4006)&gt;0),N(U4005),N(U4005)+1))</f>
        <v/>
      </c>
      <c r="V4006" s="19">
        <f>IF($B4006="","",TEXT($B4006,"0000"))</f>
        <v/>
      </c>
      <c r="W4006" s="19">
        <f>IF($I4006="","",IF(ISNUMBER($I4006),TEXT($I4006,"0"),$I4006))</f>
        <v/>
      </c>
    </row>
    <row r="4007">
      <c r="B4007" s="25" t="n"/>
      <c r="I4007" s="25" t="n"/>
      <c r="U4007" s="19">
        <f>IF($V4007&lt;&gt;'設定'!$C$4,N(U4006),IF(OR(NOT(COUNTIF('商品マスタ'!$B$6:$B$1005,$W4007)=0),COUNTIFS('①在庫を貼る'!$V$6:$V$10005,$V4007,'①在庫を貼る'!$W$6:$W$10005,$W4007)+COUNTIFS('月1回_1ヶ月前の在庫'!$V$6:$V$10005,$V4007,'月1回_1ヶ月前の在庫'!$W$6:$W$10005,$W4007)&gt;0),N(U4006),N(U4006)+1))</f>
        <v/>
      </c>
      <c r="V4007" s="19">
        <f>IF($B4007="","",TEXT($B4007,"0000"))</f>
        <v/>
      </c>
      <c r="W4007" s="19">
        <f>IF($I4007="","",IF(ISNUMBER($I4007),TEXT($I4007,"0"),$I4007))</f>
        <v/>
      </c>
    </row>
    <row r="4008">
      <c r="B4008" s="25" t="n"/>
      <c r="I4008" s="25" t="n"/>
      <c r="U4008" s="19">
        <f>IF($V4008&lt;&gt;'設定'!$C$4,N(U4007),IF(OR(NOT(COUNTIF('商品マスタ'!$B$6:$B$1005,$W4008)=0),COUNTIFS('①在庫を貼る'!$V$6:$V$10005,$V4008,'①在庫を貼る'!$W$6:$W$10005,$W4008)+COUNTIFS('月1回_1ヶ月前の在庫'!$V$6:$V$10005,$V4008,'月1回_1ヶ月前の在庫'!$W$6:$W$10005,$W4008)&gt;0),N(U4007),N(U4007)+1))</f>
        <v/>
      </c>
      <c r="V4008" s="19">
        <f>IF($B4008="","",TEXT($B4008,"0000"))</f>
        <v/>
      </c>
      <c r="W4008" s="19">
        <f>IF($I4008="","",IF(ISNUMBER($I4008),TEXT($I4008,"0"),$I4008))</f>
        <v/>
      </c>
    </row>
    <row r="4009">
      <c r="B4009" s="25" t="n"/>
      <c r="I4009" s="25" t="n"/>
      <c r="U4009" s="19">
        <f>IF($V4009&lt;&gt;'設定'!$C$4,N(U4008),IF(OR(NOT(COUNTIF('商品マスタ'!$B$6:$B$1005,$W4009)=0),COUNTIFS('①在庫を貼る'!$V$6:$V$10005,$V4009,'①在庫を貼る'!$W$6:$W$10005,$W4009)+COUNTIFS('月1回_1ヶ月前の在庫'!$V$6:$V$10005,$V4009,'月1回_1ヶ月前の在庫'!$W$6:$W$10005,$W4009)&gt;0),N(U4008),N(U4008)+1))</f>
        <v/>
      </c>
      <c r="V4009" s="19">
        <f>IF($B4009="","",TEXT($B4009,"0000"))</f>
        <v/>
      </c>
      <c r="W4009" s="19">
        <f>IF($I4009="","",IF(ISNUMBER($I4009),TEXT($I4009,"0"),$I4009))</f>
        <v/>
      </c>
    </row>
    <row r="4010">
      <c r="B4010" s="25" t="n"/>
      <c r="I4010" s="25" t="n"/>
      <c r="U4010" s="19">
        <f>IF($V4010&lt;&gt;'設定'!$C$4,N(U4009),IF(OR(NOT(COUNTIF('商品マスタ'!$B$6:$B$1005,$W4010)=0),COUNTIFS('①在庫を貼る'!$V$6:$V$10005,$V4010,'①在庫を貼る'!$W$6:$W$10005,$W4010)+COUNTIFS('月1回_1ヶ月前の在庫'!$V$6:$V$10005,$V4010,'月1回_1ヶ月前の在庫'!$W$6:$W$10005,$W4010)&gt;0),N(U4009),N(U4009)+1))</f>
        <v/>
      </c>
      <c r="V4010" s="19">
        <f>IF($B4010="","",TEXT($B4010,"0000"))</f>
        <v/>
      </c>
      <c r="W4010" s="19">
        <f>IF($I4010="","",IF(ISNUMBER($I4010),TEXT($I4010,"0"),$I4010))</f>
        <v/>
      </c>
    </row>
    <row r="4011">
      <c r="B4011" s="25" t="n"/>
      <c r="I4011" s="25" t="n"/>
      <c r="U4011" s="19">
        <f>IF($V4011&lt;&gt;'設定'!$C$4,N(U4010),IF(OR(NOT(COUNTIF('商品マスタ'!$B$6:$B$1005,$W4011)=0),COUNTIFS('①在庫を貼る'!$V$6:$V$10005,$V4011,'①在庫を貼る'!$W$6:$W$10005,$W4011)+COUNTIFS('月1回_1ヶ月前の在庫'!$V$6:$V$10005,$V4011,'月1回_1ヶ月前の在庫'!$W$6:$W$10005,$W4011)&gt;0),N(U4010),N(U4010)+1))</f>
        <v/>
      </c>
      <c r="V4011" s="19">
        <f>IF($B4011="","",TEXT($B4011,"0000"))</f>
        <v/>
      </c>
      <c r="W4011" s="19">
        <f>IF($I4011="","",IF(ISNUMBER($I4011),TEXT($I4011,"0"),$I4011))</f>
        <v/>
      </c>
    </row>
    <row r="4012">
      <c r="B4012" s="25" t="n"/>
      <c r="I4012" s="25" t="n"/>
      <c r="U4012" s="19">
        <f>IF($V4012&lt;&gt;'設定'!$C$4,N(U4011),IF(OR(NOT(COUNTIF('商品マスタ'!$B$6:$B$1005,$W4012)=0),COUNTIFS('①在庫を貼る'!$V$6:$V$10005,$V4012,'①在庫を貼る'!$W$6:$W$10005,$W4012)+COUNTIFS('月1回_1ヶ月前の在庫'!$V$6:$V$10005,$V4012,'月1回_1ヶ月前の在庫'!$W$6:$W$10005,$W4012)&gt;0),N(U4011),N(U4011)+1))</f>
        <v/>
      </c>
      <c r="V4012" s="19">
        <f>IF($B4012="","",TEXT($B4012,"0000"))</f>
        <v/>
      </c>
      <c r="W4012" s="19">
        <f>IF($I4012="","",IF(ISNUMBER($I4012),TEXT($I4012,"0"),$I4012))</f>
        <v/>
      </c>
    </row>
    <row r="4013">
      <c r="B4013" s="25" t="n"/>
      <c r="I4013" s="25" t="n"/>
      <c r="U4013" s="19">
        <f>IF($V4013&lt;&gt;'設定'!$C$4,N(U4012),IF(OR(NOT(COUNTIF('商品マスタ'!$B$6:$B$1005,$W4013)=0),COUNTIFS('①在庫を貼る'!$V$6:$V$10005,$V4013,'①在庫を貼る'!$W$6:$W$10005,$W4013)+COUNTIFS('月1回_1ヶ月前の在庫'!$V$6:$V$10005,$V4013,'月1回_1ヶ月前の在庫'!$W$6:$W$10005,$W4013)&gt;0),N(U4012),N(U4012)+1))</f>
        <v/>
      </c>
      <c r="V4013" s="19">
        <f>IF($B4013="","",TEXT($B4013,"0000"))</f>
        <v/>
      </c>
      <c r="W4013" s="19">
        <f>IF($I4013="","",IF(ISNUMBER($I4013),TEXT($I4013,"0"),$I4013))</f>
        <v/>
      </c>
    </row>
    <row r="4014">
      <c r="B4014" s="25" t="n"/>
      <c r="I4014" s="25" t="n"/>
      <c r="U4014" s="19">
        <f>IF($V4014&lt;&gt;'設定'!$C$4,N(U4013),IF(OR(NOT(COUNTIF('商品マスタ'!$B$6:$B$1005,$W4014)=0),COUNTIFS('①在庫を貼る'!$V$6:$V$10005,$V4014,'①在庫を貼る'!$W$6:$W$10005,$W4014)+COUNTIFS('月1回_1ヶ月前の在庫'!$V$6:$V$10005,$V4014,'月1回_1ヶ月前の在庫'!$W$6:$W$10005,$W4014)&gt;0),N(U4013),N(U4013)+1))</f>
        <v/>
      </c>
      <c r="V4014" s="19">
        <f>IF($B4014="","",TEXT($B4014,"0000"))</f>
        <v/>
      </c>
      <c r="W4014" s="19">
        <f>IF($I4014="","",IF(ISNUMBER($I4014),TEXT($I4014,"0"),$I4014))</f>
        <v/>
      </c>
    </row>
    <row r="4015">
      <c r="B4015" s="25" t="n"/>
      <c r="I4015" s="25" t="n"/>
      <c r="U4015" s="19">
        <f>IF($V4015&lt;&gt;'設定'!$C$4,N(U4014),IF(OR(NOT(COUNTIF('商品マスタ'!$B$6:$B$1005,$W4015)=0),COUNTIFS('①在庫を貼る'!$V$6:$V$10005,$V4015,'①在庫を貼る'!$W$6:$W$10005,$W4015)+COUNTIFS('月1回_1ヶ月前の在庫'!$V$6:$V$10005,$V4015,'月1回_1ヶ月前の在庫'!$W$6:$W$10005,$W4015)&gt;0),N(U4014),N(U4014)+1))</f>
        <v/>
      </c>
      <c r="V4015" s="19">
        <f>IF($B4015="","",TEXT($B4015,"0000"))</f>
        <v/>
      </c>
      <c r="W4015" s="19">
        <f>IF($I4015="","",IF(ISNUMBER($I4015),TEXT($I4015,"0"),$I4015))</f>
        <v/>
      </c>
    </row>
    <row r="4016">
      <c r="B4016" s="25" t="n"/>
      <c r="I4016" s="25" t="n"/>
      <c r="U4016" s="19">
        <f>IF($V4016&lt;&gt;'設定'!$C$4,N(U4015),IF(OR(NOT(COUNTIF('商品マスタ'!$B$6:$B$1005,$W4016)=0),COUNTIFS('①在庫を貼る'!$V$6:$V$10005,$V4016,'①在庫を貼る'!$W$6:$W$10005,$W4016)+COUNTIFS('月1回_1ヶ月前の在庫'!$V$6:$V$10005,$V4016,'月1回_1ヶ月前の在庫'!$W$6:$W$10005,$W4016)&gt;0),N(U4015),N(U4015)+1))</f>
        <v/>
      </c>
      <c r="V4016" s="19">
        <f>IF($B4016="","",TEXT($B4016,"0000"))</f>
        <v/>
      </c>
      <c r="W4016" s="19">
        <f>IF($I4016="","",IF(ISNUMBER($I4016),TEXT($I4016,"0"),$I4016))</f>
        <v/>
      </c>
    </row>
    <row r="4017">
      <c r="B4017" s="25" t="n"/>
      <c r="I4017" s="25" t="n"/>
      <c r="U4017" s="19">
        <f>IF($V4017&lt;&gt;'設定'!$C$4,N(U4016),IF(OR(NOT(COUNTIF('商品マスタ'!$B$6:$B$1005,$W4017)=0),COUNTIFS('①在庫を貼る'!$V$6:$V$10005,$V4017,'①在庫を貼る'!$W$6:$W$10005,$W4017)+COUNTIFS('月1回_1ヶ月前の在庫'!$V$6:$V$10005,$V4017,'月1回_1ヶ月前の在庫'!$W$6:$W$10005,$W4017)&gt;0),N(U4016),N(U4016)+1))</f>
        <v/>
      </c>
      <c r="V4017" s="19">
        <f>IF($B4017="","",TEXT($B4017,"0000"))</f>
        <v/>
      </c>
      <c r="W4017" s="19">
        <f>IF($I4017="","",IF(ISNUMBER($I4017),TEXT($I4017,"0"),$I4017))</f>
        <v/>
      </c>
    </row>
    <row r="4018">
      <c r="B4018" s="25" t="n"/>
      <c r="I4018" s="25" t="n"/>
      <c r="U4018" s="19">
        <f>IF($V4018&lt;&gt;'設定'!$C$4,N(U4017),IF(OR(NOT(COUNTIF('商品マスタ'!$B$6:$B$1005,$W4018)=0),COUNTIFS('①在庫を貼る'!$V$6:$V$10005,$V4018,'①在庫を貼る'!$W$6:$W$10005,$W4018)+COUNTIFS('月1回_1ヶ月前の在庫'!$V$6:$V$10005,$V4018,'月1回_1ヶ月前の在庫'!$W$6:$W$10005,$W4018)&gt;0),N(U4017),N(U4017)+1))</f>
        <v/>
      </c>
      <c r="V4018" s="19">
        <f>IF($B4018="","",TEXT($B4018,"0000"))</f>
        <v/>
      </c>
      <c r="W4018" s="19">
        <f>IF($I4018="","",IF(ISNUMBER($I4018),TEXT($I4018,"0"),$I4018))</f>
        <v/>
      </c>
    </row>
    <row r="4019">
      <c r="B4019" s="25" t="n"/>
      <c r="I4019" s="25" t="n"/>
      <c r="U4019" s="19">
        <f>IF($V4019&lt;&gt;'設定'!$C$4,N(U4018),IF(OR(NOT(COUNTIF('商品マスタ'!$B$6:$B$1005,$W4019)=0),COUNTIFS('①在庫を貼る'!$V$6:$V$10005,$V4019,'①在庫を貼る'!$W$6:$W$10005,$W4019)+COUNTIFS('月1回_1ヶ月前の在庫'!$V$6:$V$10005,$V4019,'月1回_1ヶ月前の在庫'!$W$6:$W$10005,$W4019)&gt;0),N(U4018),N(U4018)+1))</f>
        <v/>
      </c>
      <c r="V4019" s="19">
        <f>IF($B4019="","",TEXT($B4019,"0000"))</f>
        <v/>
      </c>
      <c r="W4019" s="19">
        <f>IF($I4019="","",IF(ISNUMBER($I4019),TEXT($I4019,"0"),$I4019))</f>
        <v/>
      </c>
    </row>
    <row r="4020">
      <c r="B4020" s="25" t="n"/>
      <c r="I4020" s="25" t="n"/>
      <c r="U4020" s="19">
        <f>IF($V4020&lt;&gt;'設定'!$C$4,N(U4019),IF(OR(NOT(COUNTIF('商品マスタ'!$B$6:$B$1005,$W4020)=0),COUNTIFS('①在庫を貼る'!$V$6:$V$10005,$V4020,'①在庫を貼る'!$W$6:$W$10005,$W4020)+COUNTIFS('月1回_1ヶ月前の在庫'!$V$6:$V$10005,$V4020,'月1回_1ヶ月前の在庫'!$W$6:$W$10005,$W4020)&gt;0),N(U4019),N(U4019)+1))</f>
        <v/>
      </c>
      <c r="V4020" s="19">
        <f>IF($B4020="","",TEXT($B4020,"0000"))</f>
        <v/>
      </c>
      <c r="W4020" s="19">
        <f>IF($I4020="","",IF(ISNUMBER($I4020),TEXT($I4020,"0"),$I4020))</f>
        <v/>
      </c>
    </row>
    <row r="4021">
      <c r="B4021" s="25" t="n"/>
      <c r="I4021" s="25" t="n"/>
      <c r="U4021" s="19">
        <f>IF($V4021&lt;&gt;'設定'!$C$4,N(U4020),IF(OR(NOT(COUNTIF('商品マスタ'!$B$6:$B$1005,$W4021)=0),COUNTIFS('①在庫を貼る'!$V$6:$V$10005,$V4021,'①在庫を貼る'!$W$6:$W$10005,$W4021)+COUNTIFS('月1回_1ヶ月前の在庫'!$V$6:$V$10005,$V4021,'月1回_1ヶ月前の在庫'!$W$6:$W$10005,$W4021)&gt;0),N(U4020),N(U4020)+1))</f>
        <v/>
      </c>
      <c r="V4021" s="19">
        <f>IF($B4021="","",TEXT($B4021,"0000"))</f>
        <v/>
      </c>
      <c r="W4021" s="19">
        <f>IF($I4021="","",IF(ISNUMBER($I4021),TEXT($I4021,"0"),$I4021))</f>
        <v/>
      </c>
    </row>
    <row r="4022">
      <c r="B4022" s="25" t="n"/>
      <c r="I4022" s="25" t="n"/>
      <c r="U4022" s="19">
        <f>IF($V4022&lt;&gt;'設定'!$C$4,N(U4021),IF(OR(NOT(COUNTIF('商品マスタ'!$B$6:$B$1005,$W4022)=0),COUNTIFS('①在庫を貼る'!$V$6:$V$10005,$V4022,'①在庫を貼る'!$W$6:$W$10005,$W4022)+COUNTIFS('月1回_1ヶ月前の在庫'!$V$6:$V$10005,$V4022,'月1回_1ヶ月前の在庫'!$W$6:$W$10005,$W4022)&gt;0),N(U4021),N(U4021)+1))</f>
        <v/>
      </c>
      <c r="V4022" s="19">
        <f>IF($B4022="","",TEXT($B4022,"0000"))</f>
        <v/>
      </c>
      <c r="W4022" s="19">
        <f>IF($I4022="","",IF(ISNUMBER($I4022),TEXT($I4022,"0"),$I4022))</f>
        <v/>
      </c>
    </row>
    <row r="4023">
      <c r="B4023" s="25" t="n"/>
      <c r="I4023" s="25" t="n"/>
      <c r="U4023" s="19">
        <f>IF($V4023&lt;&gt;'設定'!$C$4,N(U4022),IF(OR(NOT(COUNTIF('商品マスタ'!$B$6:$B$1005,$W4023)=0),COUNTIFS('①在庫を貼る'!$V$6:$V$10005,$V4023,'①在庫を貼る'!$W$6:$W$10005,$W4023)+COUNTIFS('月1回_1ヶ月前の在庫'!$V$6:$V$10005,$V4023,'月1回_1ヶ月前の在庫'!$W$6:$W$10005,$W4023)&gt;0),N(U4022),N(U4022)+1))</f>
        <v/>
      </c>
      <c r="V4023" s="19">
        <f>IF($B4023="","",TEXT($B4023,"0000"))</f>
        <v/>
      </c>
      <c r="W4023" s="19">
        <f>IF($I4023="","",IF(ISNUMBER($I4023),TEXT($I4023,"0"),$I4023))</f>
        <v/>
      </c>
    </row>
    <row r="4024">
      <c r="B4024" s="25" t="n"/>
      <c r="I4024" s="25" t="n"/>
      <c r="U4024" s="19">
        <f>IF($V4024&lt;&gt;'設定'!$C$4,N(U4023),IF(OR(NOT(COUNTIF('商品マスタ'!$B$6:$B$1005,$W4024)=0),COUNTIFS('①在庫を貼る'!$V$6:$V$10005,$V4024,'①在庫を貼る'!$W$6:$W$10005,$W4024)+COUNTIFS('月1回_1ヶ月前の在庫'!$V$6:$V$10005,$V4024,'月1回_1ヶ月前の在庫'!$W$6:$W$10005,$W4024)&gt;0),N(U4023),N(U4023)+1))</f>
        <v/>
      </c>
      <c r="V4024" s="19">
        <f>IF($B4024="","",TEXT($B4024,"0000"))</f>
        <v/>
      </c>
      <c r="W4024" s="19">
        <f>IF($I4024="","",IF(ISNUMBER($I4024),TEXT($I4024,"0"),$I4024))</f>
        <v/>
      </c>
    </row>
    <row r="4025">
      <c r="B4025" s="25" t="n"/>
      <c r="I4025" s="25" t="n"/>
      <c r="U4025" s="19">
        <f>IF($V4025&lt;&gt;'設定'!$C$4,N(U4024),IF(OR(NOT(COUNTIF('商品マスタ'!$B$6:$B$1005,$W4025)=0),COUNTIFS('①在庫を貼る'!$V$6:$V$10005,$V4025,'①在庫を貼る'!$W$6:$W$10005,$W4025)+COUNTIFS('月1回_1ヶ月前の在庫'!$V$6:$V$10005,$V4025,'月1回_1ヶ月前の在庫'!$W$6:$W$10005,$W4025)&gt;0),N(U4024),N(U4024)+1))</f>
        <v/>
      </c>
      <c r="V4025" s="19">
        <f>IF($B4025="","",TEXT($B4025,"0000"))</f>
        <v/>
      </c>
      <c r="W4025" s="19">
        <f>IF($I4025="","",IF(ISNUMBER($I4025),TEXT($I4025,"0"),$I4025))</f>
        <v/>
      </c>
    </row>
    <row r="4026">
      <c r="B4026" s="25" t="n"/>
      <c r="I4026" s="25" t="n"/>
      <c r="U4026" s="19">
        <f>IF($V4026&lt;&gt;'設定'!$C$4,N(U4025),IF(OR(NOT(COUNTIF('商品マスタ'!$B$6:$B$1005,$W4026)=0),COUNTIFS('①在庫を貼る'!$V$6:$V$10005,$V4026,'①在庫を貼る'!$W$6:$W$10005,$W4026)+COUNTIFS('月1回_1ヶ月前の在庫'!$V$6:$V$10005,$V4026,'月1回_1ヶ月前の在庫'!$W$6:$W$10005,$W4026)&gt;0),N(U4025),N(U4025)+1))</f>
        <v/>
      </c>
      <c r="V4026" s="19">
        <f>IF($B4026="","",TEXT($B4026,"0000"))</f>
        <v/>
      </c>
      <c r="W4026" s="19">
        <f>IF($I4026="","",IF(ISNUMBER($I4026),TEXT($I4026,"0"),$I4026))</f>
        <v/>
      </c>
    </row>
    <row r="4027">
      <c r="B4027" s="25" t="n"/>
      <c r="I4027" s="25" t="n"/>
      <c r="U4027" s="19">
        <f>IF($V4027&lt;&gt;'設定'!$C$4,N(U4026),IF(OR(NOT(COUNTIF('商品マスタ'!$B$6:$B$1005,$W4027)=0),COUNTIFS('①在庫を貼る'!$V$6:$V$10005,$V4027,'①在庫を貼る'!$W$6:$W$10005,$W4027)+COUNTIFS('月1回_1ヶ月前の在庫'!$V$6:$V$10005,$V4027,'月1回_1ヶ月前の在庫'!$W$6:$W$10005,$W4027)&gt;0),N(U4026),N(U4026)+1))</f>
        <v/>
      </c>
      <c r="V4027" s="19">
        <f>IF($B4027="","",TEXT($B4027,"0000"))</f>
        <v/>
      </c>
      <c r="W4027" s="19">
        <f>IF($I4027="","",IF(ISNUMBER($I4027),TEXT($I4027,"0"),$I4027))</f>
        <v/>
      </c>
    </row>
    <row r="4028">
      <c r="B4028" s="25" t="n"/>
      <c r="I4028" s="25" t="n"/>
      <c r="U4028" s="19">
        <f>IF($V4028&lt;&gt;'設定'!$C$4,N(U4027),IF(OR(NOT(COUNTIF('商品マスタ'!$B$6:$B$1005,$W4028)=0),COUNTIFS('①在庫を貼る'!$V$6:$V$10005,$V4028,'①在庫を貼る'!$W$6:$W$10005,$W4028)+COUNTIFS('月1回_1ヶ月前の在庫'!$V$6:$V$10005,$V4028,'月1回_1ヶ月前の在庫'!$W$6:$W$10005,$W4028)&gt;0),N(U4027),N(U4027)+1))</f>
        <v/>
      </c>
      <c r="V4028" s="19">
        <f>IF($B4028="","",TEXT($B4028,"0000"))</f>
        <v/>
      </c>
      <c r="W4028" s="19">
        <f>IF($I4028="","",IF(ISNUMBER($I4028),TEXT($I4028,"0"),$I4028))</f>
        <v/>
      </c>
    </row>
    <row r="4029">
      <c r="B4029" s="25" t="n"/>
      <c r="I4029" s="25" t="n"/>
      <c r="U4029" s="19">
        <f>IF($V4029&lt;&gt;'設定'!$C$4,N(U4028),IF(OR(NOT(COUNTIF('商品マスタ'!$B$6:$B$1005,$W4029)=0),COUNTIFS('①在庫を貼る'!$V$6:$V$10005,$V4029,'①在庫を貼る'!$W$6:$W$10005,$W4029)+COUNTIFS('月1回_1ヶ月前の在庫'!$V$6:$V$10005,$V4029,'月1回_1ヶ月前の在庫'!$W$6:$W$10005,$W4029)&gt;0),N(U4028),N(U4028)+1))</f>
        <v/>
      </c>
      <c r="V4029" s="19">
        <f>IF($B4029="","",TEXT($B4029,"0000"))</f>
        <v/>
      </c>
      <c r="W4029" s="19">
        <f>IF($I4029="","",IF(ISNUMBER($I4029),TEXT($I4029,"0"),$I4029))</f>
        <v/>
      </c>
    </row>
    <row r="4030">
      <c r="B4030" s="25" t="n"/>
      <c r="I4030" s="25" t="n"/>
      <c r="U4030" s="19">
        <f>IF($V4030&lt;&gt;'設定'!$C$4,N(U4029),IF(OR(NOT(COUNTIF('商品マスタ'!$B$6:$B$1005,$W4030)=0),COUNTIFS('①在庫を貼る'!$V$6:$V$10005,$V4030,'①在庫を貼る'!$W$6:$W$10005,$W4030)+COUNTIFS('月1回_1ヶ月前の在庫'!$V$6:$V$10005,$V4030,'月1回_1ヶ月前の在庫'!$W$6:$W$10005,$W4030)&gt;0),N(U4029),N(U4029)+1))</f>
        <v/>
      </c>
      <c r="V4030" s="19">
        <f>IF($B4030="","",TEXT($B4030,"0000"))</f>
        <v/>
      </c>
      <c r="W4030" s="19">
        <f>IF($I4030="","",IF(ISNUMBER($I4030),TEXT($I4030,"0"),$I4030))</f>
        <v/>
      </c>
    </row>
    <row r="4031">
      <c r="B4031" s="25" t="n"/>
      <c r="I4031" s="25" t="n"/>
      <c r="U4031" s="19">
        <f>IF($V4031&lt;&gt;'設定'!$C$4,N(U4030),IF(OR(NOT(COUNTIF('商品マスタ'!$B$6:$B$1005,$W4031)=0),COUNTIFS('①在庫を貼る'!$V$6:$V$10005,$V4031,'①在庫を貼る'!$W$6:$W$10005,$W4031)+COUNTIFS('月1回_1ヶ月前の在庫'!$V$6:$V$10005,$V4031,'月1回_1ヶ月前の在庫'!$W$6:$W$10005,$W4031)&gt;0),N(U4030),N(U4030)+1))</f>
        <v/>
      </c>
      <c r="V4031" s="19">
        <f>IF($B4031="","",TEXT($B4031,"0000"))</f>
        <v/>
      </c>
      <c r="W4031" s="19">
        <f>IF($I4031="","",IF(ISNUMBER($I4031),TEXT($I4031,"0"),$I4031))</f>
        <v/>
      </c>
    </row>
    <row r="4032">
      <c r="B4032" s="25" t="n"/>
      <c r="I4032" s="25" t="n"/>
      <c r="U4032" s="19">
        <f>IF($V4032&lt;&gt;'設定'!$C$4,N(U4031),IF(OR(NOT(COUNTIF('商品マスタ'!$B$6:$B$1005,$W4032)=0),COUNTIFS('①在庫を貼る'!$V$6:$V$10005,$V4032,'①在庫を貼る'!$W$6:$W$10005,$W4032)+COUNTIFS('月1回_1ヶ月前の在庫'!$V$6:$V$10005,$V4032,'月1回_1ヶ月前の在庫'!$W$6:$W$10005,$W4032)&gt;0),N(U4031),N(U4031)+1))</f>
        <v/>
      </c>
      <c r="V4032" s="19">
        <f>IF($B4032="","",TEXT($B4032,"0000"))</f>
        <v/>
      </c>
      <c r="W4032" s="19">
        <f>IF($I4032="","",IF(ISNUMBER($I4032),TEXT($I4032,"0"),$I4032))</f>
        <v/>
      </c>
    </row>
    <row r="4033">
      <c r="B4033" s="25" t="n"/>
      <c r="I4033" s="25" t="n"/>
      <c r="U4033" s="19">
        <f>IF($V4033&lt;&gt;'設定'!$C$4,N(U4032),IF(OR(NOT(COUNTIF('商品マスタ'!$B$6:$B$1005,$W4033)=0),COUNTIFS('①在庫を貼る'!$V$6:$V$10005,$V4033,'①在庫を貼る'!$W$6:$W$10005,$W4033)+COUNTIFS('月1回_1ヶ月前の在庫'!$V$6:$V$10005,$V4033,'月1回_1ヶ月前の在庫'!$W$6:$W$10005,$W4033)&gt;0),N(U4032),N(U4032)+1))</f>
        <v/>
      </c>
      <c r="V4033" s="19">
        <f>IF($B4033="","",TEXT($B4033,"0000"))</f>
        <v/>
      </c>
      <c r="W4033" s="19">
        <f>IF($I4033="","",IF(ISNUMBER($I4033),TEXT($I4033,"0"),$I4033))</f>
        <v/>
      </c>
    </row>
    <row r="4034">
      <c r="B4034" s="25" t="n"/>
      <c r="I4034" s="25" t="n"/>
      <c r="U4034" s="19">
        <f>IF($V4034&lt;&gt;'設定'!$C$4,N(U4033),IF(OR(NOT(COUNTIF('商品マスタ'!$B$6:$B$1005,$W4034)=0),COUNTIFS('①在庫を貼る'!$V$6:$V$10005,$V4034,'①在庫を貼る'!$W$6:$W$10005,$W4034)+COUNTIFS('月1回_1ヶ月前の在庫'!$V$6:$V$10005,$V4034,'月1回_1ヶ月前の在庫'!$W$6:$W$10005,$W4034)&gt;0),N(U4033),N(U4033)+1))</f>
        <v/>
      </c>
      <c r="V4034" s="19">
        <f>IF($B4034="","",TEXT($B4034,"0000"))</f>
        <v/>
      </c>
      <c r="W4034" s="19">
        <f>IF($I4034="","",IF(ISNUMBER($I4034),TEXT($I4034,"0"),$I4034))</f>
        <v/>
      </c>
    </row>
    <row r="4035">
      <c r="B4035" s="25" t="n"/>
      <c r="I4035" s="25" t="n"/>
      <c r="U4035" s="19">
        <f>IF($V4035&lt;&gt;'設定'!$C$4,N(U4034),IF(OR(NOT(COUNTIF('商品マスタ'!$B$6:$B$1005,$W4035)=0),COUNTIFS('①在庫を貼る'!$V$6:$V$10005,$V4035,'①在庫を貼る'!$W$6:$W$10005,$W4035)+COUNTIFS('月1回_1ヶ月前の在庫'!$V$6:$V$10005,$V4035,'月1回_1ヶ月前の在庫'!$W$6:$W$10005,$W4035)&gt;0),N(U4034),N(U4034)+1))</f>
        <v/>
      </c>
      <c r="V4035" s="19">
        <f>IF($B4035="","",TEXT($B4035,"0000"))</f>
        <v/>
      </c>
      <c r="W4035" s="19">
        <f>IF($I4035="","",IF(ISNUMBER($I4035),TEXT($I4035,"0"),$I4035))</f>
        <v/>
      </c>
    </row>
    <row r="4036">
      <c r="B4036" s="25" t="n"/>
      <c r="I4036" s="25" t="n"/>
      <c r="U4036" s="19">
        <f>IF($V4036&lt;&gt;'設定'!$C$4,N(U4035),IF(OR(NOT(COUNTIF('商品マスタ'!$B$6:$B$1005,$W4036)=0),COUNTIFS('①在庫を貼る'!$V$6:$V$10005,$V4036,'①在庫を貼る'!$W$6:$W$10005,$W4036)+COUNTIFS('月1回_1ヶ月前の在庫'!$V$6:$V$10005,$V4036,'月1回_1ヶ月前の在庫'!$W$6:$W$10005,$W4036)&gt;0),N(U4035),N(U4035)+1))</f>
        <v/>
      </c>
      <c r="V4036" s="19">
        <f>IF($B4036="","",TEXT($B4036,"0000"))</f>
        <v/>
      </c>
      <c r="W4036" s="19">
        <f>IF($I4036="","",IF(ISNUMBER($I4036),TEXT($I4036,"0"),$I4036))</f>
        <v/>
      </c>
    </row>
    <row r="4037">
      <c r="B4037" s="25" t="n"/>
      <c r="I4037" s="25" t="n"/>
      <c r="U4037" s="19">
        <f>IF($V4037&lt;&gt;'設定'!$C$4,N(U4036),IF(OR(NOT(COUNTIF('商品マスタ'!$B$6:$B$1005,$W4037)=0),COUNTIFS('①在庫を貼る'!$V$6:$V$10005,$V4037,'①在庫を貼る'!$W$6:$W$10005,$W4037)+COUNTIFS('月1回_1ヶ月前の在庫'!$V$6:$V$10005,$V4037,'月1回_1ヶ月前の在庫'!$W$6:$W$10005,$W4037)&gt;0),N(U4036),N(U4036)+1))</f>
        <v/>
      </c>
      <c r="V4037" s="19">
        <f>IF($B4037="","",TEXT($B4037,"0000"))</f>
        <v/>
      </c>
      <c r="W4037" s="19">
        <f>IF($I4037="","",IF(ISNUMBER($I4037),TEXT($I4037,"0"),$I4037))</f>
        <v/>
      </c>
    </row>
    <row r="4038">
      <c r="B4038" s="25" t="n"/>
      <c r="I4038" s="25" t="n"/>
      <c r="U4038" s="19">
        <f>IF($V4038&lt;&gt;'設定'!$C$4,N(U4037),IF(OR(NOT(COUNTIF('商品マスタ'!$B$6:$B$1005,$W4038)=0),COUNTIFS('①在庫を貼る'!$V$6:$V$10005,$V4038,'①在庫を貼る'!$W$6:$W$10005,$W4038)+COUNTIFS('月1回_1ヶ月前の在庫'!$V$6:$V$10005,$V4038,'月1回_1ヶ月前の在庫'!$W$6:$W$10005,$W4038)&gt;0),N(U4037),N(U4037)+1))</f>
        <v/>
      </c>
      <c r="V4038" s="19">
        <f>IF($B4038="","",TEXT($B4038,"0000"))</f>
        <v/>
      </c>
      <c r="W4038" s="19">
        <f>IF($I4038="","",IF(ISNUMBER($I4038),TEXT($I4038,"0"),$I4038))</f>
        <v/>
      </c>
    </row>
    <row r="4039">
      <c r="B4039" s="25" t="n"/>
      <c r="I4039" s="25" t="n"/>
      <c r="U4039" s="19">
        <f>IF($V4039&lt;&gt;'設定'!$C$4,N(U4038),IF(OR(NOT(COUNTIF('商品マスタ'!$B$6:$B$1005,$W4039)=0),COUNTIFS('①在庫を貼る'!$V$6:$V$10005,$V4039,'①在庫を貼る'!$W$6:$W$10005,$W4039)+COUNTIFS('月1回_1ヶ月前の在庫'!$V$6:$V$10005,$V4039,'月1回_1ヶ月前の在庫'!$W$6:$W$10005,$W4039)&gt;0),N(U4038),N(U4038)+1))</f>
        <v/>
      </c>
      <c r="V4039" s="19">
        <f>IF($B4039="","",TEXT($B4039,"0000"))</f>
        <v/>
      </c>
      <c r="W4039" s="19">
        <f>IF($I4039="","",IF(ISNUMBER($I4039),TEXT($I4039,"0"),$I4039))</f>
        <v/>
      </c>
    </row>
    <row r="4040">
      <c r="B4040" s="25" t="n"/>
      <c r="I4040" s="25" t="n"/>
      <c r="U4040" s="19">
        <f>IF($V4040&lt;&gt;'設定'!$C$4,N(U4039),IF(OR(NOT(COUNTIF('商品マスタ'!$B$6:$B$1005,$W4040)=0),COUNTIFS('①在庫を貼る'!$V$6:$V$10005,$V4040,'①在庫を貼る'!$W$6:$W$10005,$W4040)+COUNTIFS('月1回_1ヶ月前の在庫'!$V$6:$V$10005,$V4040,'月1回_1ヶ月前の在庫'!$W$6:$W$10005,$W4040)&gt;0),N(U4039),N(U4039)+1))</f>
        <v/>
      </c>
      <c r="V4040" s="19">
        <f>IF($B4040="","",TEXT($B4040,"0000"))</f>
        <v/>
      </c>
      <c r="W4040" s="19">
        <f>IF($I4040="","",IF(ISNUMBER($I4040),TEXT($I4040,"0"),$I4040))</f>
        <v/>
      </c>
    </row>
    <row r="4041">
      <c r="B4041" s="25" t="n"/>
      <c r="I4041" s="25" t="n"/>
      <c r="U4041" s="19">
        <f>IF($V4041&lt;&gt;'設定'!$C$4,N(U4040),IF(OR(NOT(COUNTIF('商品マスタ'!$B$6:$B$1005,$W4041)=0),COUNTIFS('①在庫を貼る'!$V$6:$V$10005,$V4041,'①在庫を貼る'!$W$6:$W$10005,$W4041)+COUNTIFS('月1回_1ヶ月前の在庫'!$V$6:$V$10005,$V4041,'月1回_1ヶ月前の在庫'!$W$6:$W$10005,$W4041)&gt;0),N(U4040),N(U4040)+1))</f>
        <v/>
      </c>
      <c r="V4041" s="19">
        <f>IF($B4041="","",TEXT($B4041,"0000"))</f>
        <v/>
      </c>
      <c r="W4041" s="19">
        <f>IF($I4041="","",IF(ISNUMBER($I4041),TEXT($I4041,"0"),$I4041))</f>
        <v/>
      </c>
    </row>
    <row r="4042">
      <c r="B4042" s="25" t="n"/>
      <c r="I4042" s="25" t="n"/>
      <c r="U4042" s="19">
        <f>IF($V4042&lt;&gt;'設定'!$C$4,N(U4041),IF(OR(NOT(COUNTIF('商品マスタ'!$B$6:$B$1005,$W4042)=0),COUNTIFS('①在庫を貼る'!$V$6:$V$10005,$V4042,'①在庫を貼る'!$W$6:$W$10005,$W4042)+COUNTIFS('月1回_1ヶ月前の在庫'!$V$6:$V$10005,$V4042,'月1回_1ヶ月前の在庫'!$W$6:$W$10005,$W4042)&gt;0),N(U4041),N(U4041)+1))</f>
        <v/>
      </c>
      <c r="V4042" s="19">
        <f>IF($B4042="","",TEXT($B4042,"0000"))</f>
        <v/>
      </c>
      <c r="W4042" s="19">
        <f>IF($I4042="","",IF(ISNUMBER($I4042),TEXT($I4042,"0"),$I4042))</f>
        <v/>
      </c>
    </row>
    <row r="4043">
      <c r="B4043" s="25" t="n"/>
      <c r="I4043" s="25" t="n"/>
      <c r="U4043" s="19">
        <f>IF($V4043&lt;&gt;'設定'!$C$4,N(U4042),IF(OR(NOT(COUNTIF('商品マスタ'!$B$6:$B$1005,$W4043)=0),COUNTIFS('①在庫を貼る'!$V$6:$V$10005,$V4043,'①在庫を貼る'!$W$6:$W$10005,$W4043)+COUNTIFS('月1回_1ヶ月前の在庫'!$V$6:$V$10005,$V4043,'月1回_1ヶ月前の在庫'!$W$6:$W$10005,$W4043)&gt;0),N(U4042),N(U4042)+1))</f>
        <v/>
      </c>
      <c r="V4043" s="19">
        <f>IF($B4043="","",TEXT($B4043,"0000"))</f>
        <v/>
      </c>
      <c r="W4043" s="19">
        <f>IF($I4043="","",IF(ISNUMBER($I4043),TEXT($I4043,"0"),$I4043))</f>
        <v/>
      </c>
    </row>
    <row r="4044">
      <c r="B4044" s="25" t="n"/>
      <c r="I4044" s="25" t="n"/>
      <c r="U4044" s="19">
        <f>IF($V4044&lt;&gt;'設定'!$C$4,N(U4043),IF(OR(NOT(COUNTIF('商品マスタ'!$B$6:$B$1005,$W4044)=0),COUNTIFS('①在庫を貼る'!$V$6:$V$10005,$V4044,'①在庫を貼る'!$W$6:$W$10005,$W4044)+COUNTIFS('月1回_1ヶ月前の在庫'!$V$6:$V$10005,$V4044,'月1回_1ヶ月前の在庫'!$W$6:$W$10005,$W4044)&gt;0),N(U4043),N(U4043)+1))</f>
        <v/>
      </c>
      <c r="V4044" s="19">
        <f>IF($B4044="","",TEXT($B4044,"0000"))</f>
        <v/>
      </c>
      <c r="W4044" s="19">
        <f>IF($I4044="","",IF(ISNUMBER($I4044),TEXT($I4044,"0"),$I4044))</f>
        <v/>
      </c>
    </row>
    <row r="4045">
      <c r="B4045" s="25" t="n"/>
      <c r="I4045" s="25" t="n"/>
      <c r="U4045" s="19">
        <f>IF($V4045&lt;&gt;'設定'!$C$4,N(U4044),IF(OR(NOT(COUNTIF('商品マスタ'!$B$6:$B$1005,$W4045)=0),COUNTIFS('①在庫を貼る'!$V$6:$V$10005,$V4045,'①在庫を貼る'!$W$6:$W$10005,$W4045)+COUNTIFS('月1回_1ヶ月前の在庫'!$V$6:$V$10005,$V4045,'月1回_1ヶ月前の在庫'!$W$6:$W$10005,$W4045)&gt;0),N(U4044),N(U4044)+1))</f>
        <v/>
      </c>
      <c r="V4045" s="19">
        <f>IF($B4045="","",TEXT($B4045,"0000"))</f>
        <v/>
      </c>
      <c r="W4045" s="19">
        <f>IF($I4045="","",IF(ISNUMBER($I4045),TEXT($I4045,"0"),$I4045))</f>
        <v/>
      </c>
    </row>
    <row r="4046">
      <c r="B4046" s="25" t="n"/>
      <c r="I4046" s="25" t="n"/>
      <c r="U4046" s="19">
        <f>IF($V4046&lt;&gt;'設定'!$C$4,N(U4045),IF(OR(NOT(COUNTIF('商品マスタ'!$B$6:$B$1005,$W4046)=0),COUNTIFS('①在庫を貼る'!$V$6:$V$10005,$V4046,'①在庫を貼る'!$W$6:$W$10005,$W4046)+COUNTIFS('月1回_1ヶ月前の在庫'!$V$6:$V$10005,$V4046,'月1回_1ヶ月前の在庫'!$W$6:$W$10005,$W4046)&gt;0),N(U4045),N(U4045)+1))</f>
        <v/>
      </c>
      <c r="V4046" s="19">
        <f>IF($B4046="","",TEXT($B4046,"0000"))</f>
        <v/>
      </c>
      <c r="W4046" s="19">
        <f>IF($I4046="","",IF(ISNUMBER($I4046),TEXT($I4046,"0"),$I4046))</f>
        <v/>
      </c>
    </row>
    <row r="4047">
      <c r="B4047" s="25" t="n"/>
      <c r="I4047" s="25" t="n"/>
      <c r="U4047" s="19">
        <f>IF($V4047&lt;&gt;'設定'!$C$4,N(U4046),IF(OR(NOT(COUNTIF('商品マスタ'!$B$6:$B$1005,$W4047)=0),COUNTIFS('①在庫を貼る'!$V$6:$V$10005,$V4047,'①在庫を貼る'!$W$6:$W$10005,$W4047)+COUNTIFS('月1回_1ヶ月前の在庫'!$V$6:$V$10005,$V4047,'月1回_1ヶ月前の在庫'!$W$6:$W$10005,$W4047)&gt;0),N(U4046),N(U4046)+1))</f>
        <v/>
      </c>
      <c r="V4047" s="19">
        <f>IF($B4047="","",TEXT($B4047,"0000"))</f>
        <v/>
      </c>
      <c r="W4047" s="19">
        <f>IF($I4047="","",IF(ISNUMBER($I4047),TEXT($I4047,"0"),$I4047))</f>
        <v/>
      </c>
    </row>
    <row r="4048">
      <c r="B4048" s="25" t="n"/>
      <c r="I4048" s="25" t="n"/>
      <c r="U4048" s="19">
        <f>IF($V4048&lt;&gt;'設定'!$C$4,N(U4047),IF(OR(NOT(COUNTIF('商品マスタ'!$B$6:$B$1005,$W4048)=0),COUNTIFS('①在庫を貼る'!$V$6:$V$10005,$V4048,'①在庫を貼る'!$W$6:$W$10005,$W4048)+COUNTIFS('月1回_1ヶ月前の在庫'!$V$6:$V$10005,$V4048,'月1回_1ヶ月前の在庫'!$W$6:$W$10005,$W4048)&gt;0),N(U4047),N(U4047)+1))</f>
        <v/>
      </c>
      <c r="V4048" s="19">
        <f>IF($B4048="","",TEXT($B4048,"0000"))</f>
        <v/>
      </c>
      <c r="W4048" s="19">
        <f>IF($I4048="","",IF(ISNUMBER($I4048),TEXT($I4048,"0"),$I4048))</f>
        <v/>
      </c>
    </row>
    <row r="4049">
      <c r="B4049" s="25" t="n"/>
      <c r="I4049" s="25" t="n"/>
      <c r="U4049" s="19">
        <f>IF($V4049&lt;&gt;'設定'!$C$4,N(U4048),IF(OR(NOT(COUNTIF('商品マスタ'!$B$6:$B$1005,$W4049)=0),COUNTIFS('①在庫を貼る'!$V$6:$V$10005,$V4049,'①在庫を貼る'!$W$6:$W$10005,$W4049)+COUNTIFS('月1回_1ヶ月前の在庫'!$V$6:$V$10005,$V4049,'月1回_1ヶ月前の在庫'!$W$6:$W$10005,$W4049)&gt;0),N(U4048),N(U4048)+1))</f>
        <v/>
      </c>
      <c r="V4049" s="19">
        <f>IF($B4049="","",TEXT($B4049,"0000"))</f>
        <v/>
      </c>
      <c r="W4049" s="19">
        <f>IF($I4049="","",IF(ISNUMBER($I4049),TEXT($I4049,"0"),$I4049))</f>
        <v/>
      </c>
    </row>
    <row r="4050">
      <c r="B4050" s="25" t="n"/>
      <c r="I4050" s="25" t="n"/>
      <c r="U4050" s="19">
        <f>IF($V4050&lt;&gt;'設定'!$C$4,N(U4049),IF(OR(NOT(COUNTIF('商品マスタ'!$B$6:$B$1005,$W4050)=0),COUNTIFS('①在庫を貼る'!$V$6:$V$10005,$V4050,'①在庫を貼る'!$W$6:$W$10005,$W4050)+COUNTIFS('月1回_1ヶ月前の在庫'!$V$6:$V$10005,$V4050,'月1回_1ヶ月前の在庫'!$W$6:$W$10005,$W4050)&gt;0),N(U4049),N(U4049)+1))</f>
        <v/>
      </c>
      <c r="V4050" s="19">
        <f>IF($B4050="","",TEXT($B4050,"0000"))</f>
        <v/>
      </c>
      <c r="W4050" s="19">
        <f>IF($I4050="","",IF(ISNUMBER($I4050),TEXT($I4050,"0"),$I4050))</f>
        <v/>
      </c>
    </row>
    <row r="4051">
      <c r="B4051" s="25" t="n"/>
      <c r="I4051" s="25" t="n"/>
      <c r="U4051" s="19">
        <f>IF($V4051&lt;&gt;'設定'!$C$4,N(U4050),IF(OR(NOT(COUNTIF('商品マスタ'!$B$6:$B$1005,$W4051)=0),COUNTIFS('①在庫を貼る'!$V$6:$V$10005,$V4051,'①在庫を貼る'!$W$6:$W$10005,$W4051)+COUNTIFS('月1回_1ヶ月前の在庫'!$V$6:$V$10005,$V4051,'月1回_1ヶ月前の在庫'!$W$6:$W$10005,$W4051)&gt;0),N(U4050),N(U4050)+1))</f>
        <v/>
      </c>
      <c r="V4051" s="19">
        <f>IF($B4051="","",TEXT($B4051,"0000"))</f>
        <v/>
      </c>
      <c r="W4051" s="19">
        <f>IF($I4051="","",IF(ISNUMBER($I4051),TEXT($I4051,"0"),$I4051))</f>
        <v/>
      </c>
    </row>
    <row r="4052">
      <c r="B4052" s="25" t="n"/>
      <c r="I4052" s="25" t="n"/>
      <c r="U4052" s="19">
        <f>IF($V4052&lt;&gt;'設定'!$C$4,N(U4051),IF(OR(NOT(COUNTIF('商品マスタ'!$B$6:$B$1005,$W4052)=0),COUNTIFS('①在庫を貼る'!$V$6:$V$10005,$V4052,'①在庫を貼る'!$W$6:$W$10005,$W4052)+COUNTIFS('月1回_1ヶ月前の在庫'!$V$6:$V$10005,$V4052,'月1回_1ヶ月前の在庫'!$W$6:$W$10005,$W4052)&gt;0),N(U4051),N(U4051)+1))</f>
        <v/>
      </c>
      <c r="V4052" s="19">
        <f>IF($B4052="","",TEXT($B4052,"0000"))</f>
        <v/>
      </c>
      <c r="W4052" s="19">
        <f>IF($I4052="","",IF(ISNUMBER($I4052),TEXT($I4052,"0"),$I4052))</f>
        <v/>
      </c>
    </row>
    <row r="4053">
      <c r="B4053" s="25" t="n"/>
      <c r="I4053" s="25" t="n"/>
      <c r="U4053" s="19">
        <f>IF($V4053&lt;&gt;'設定'!$C$4,N(U4052),IF(OR(NOT(COUNTIF('商品マスタ'!$B$6:$B$1005,$W4053)=0),COUNTIFS('①在庫を貼る'!$V$6:$V$10005,$V4053,'①在庫を貼る'!$W$6:$W$10005,$W4053)+COUNTIFS('月1回_1ヶ月前の在庫'!$V$6:$V$10005,$V4053,'月1回_1ヶ月前の在庫'!$W$6:$W$10005,$W4053)&gt;0),N(U4052),N(U4052)+1))</f>
        <v/>
      </c>
      <c r="V4053" s="19">
        <f>IF($B4053="","",TEXT($B4053,"0000"))</f>
        <v/>
      </c>
      <c r="W4053" s="19">
        <f>IF($I4053="","",IF(ISNUMBER($I4053),TEXT($I4053,"0"),$I4053))</f>
        <v/>
      </c>
    </row>
    <row r="4054">
      <c r="B4054" s="25" t="n"/>
      <c r="I4054" s="25" t="n"/>
      <c r="U4054" s="19">
        <f>IF($V4054&lt;&gt;'設定'!$C$4,N(U4053),IF(OR(NOT(COUNTIF('商品マスタ'!$B$6:$B$1005,$W4054)=0),COUNTIFS('①在庫を貼る'!$V$6:$V$10005,$V4054,'①在庫を貼る'!$W$6:$W$10005,$W4054)+COUNTIFS('月1回_1ヶ月前の在庫'!$V$6:$V$10005,$V4054,'月1回_1ヶ月前の在庫'!$W$6:$W$10005,$W4054)&gt;0),N(U4053),N(U4053)+1))</f>
        <v/>
      </c>
      <c r="V4054" s="19">
        <f>IF($B4054="","",TEXT($B4054,"0000"))</f>
        <v/>
      </c>
      <c r="W4054" s="19">
        <f>IF($I4054="","",IF(ISNUMBER($I4054),TEXT($I4054,"0"),$I4054))</f>
        <v/>
      </c>
    </row>
    <row r="4055">
      <c r="B4055" s="25" t="n"/>
      <c r="I4055" s="25" t="n"/>
      <c r="U4055" s="19">
        <f>IF($V4055&lt;&gt;'設定'!$C$4,N(U4054),IF(OR(NOT(COUNTIF('商品マスタ'!$B$6:$B$1005,$W4055)=0),COUNTIFS('①在庫を貼る'!$V$6:$V$10005,$V4055,'①在庫を貼る'!$W$6:$W$10005,$W4055)+COUNTIFS('月1回_1ヶ月前の在庫'!$V$6:$V$10005,$V4055,'月1回_1ヶ月前の在庫'!$W$6:$W$10005,$W4055)&gt;0),N(U4054),N(U4054)+1))</f>
        <v/>
      </c>
      <c r="V4055" s="19">
        <f>IF($B4055="","",TEXT($B4055,"0000"))</f>
        <v/>
      </c>
      <c r="W4055" s="19">
        <f>IF($I4055="","",IF(ISNUMBER($I4055),TEXT($I4055,"0"),$I4055))</f>
        <v/>
      </c>
    </row>
    <row r="4056">
      <c r="B4056" s="25" t="n"/>
      <c r="I4056" s="25" t="n"/>
      <c r="U4056" s="19">
        <f>IF($V4056&lt;&gt;'設定'!$C$4,N(U4055),IF(OR(NOT(COUNTIF('商品マスタ'!$B$6:$B$1005,$W4056)=0),COUNTIFS('①在庫を貼る'!$V$6:$V$10005,$V4056,'①在庫を貼る'!$W$6:$W$10005,$W4056)+COUNTIFS('月1回_1ヶ月前の在庫'!$V$6:$V$10005,$V4056,'月1回_1ヶ月前の在庫'!$W$6:$W$10005,$W4056)&gt;0),N(U4055),N(U4055)+1))</f>
        <v/>
      </c>
      <c r="V4056" s="19">
        <f>IF($B4056="","",TEXT($B4056,"0000"))</f>
        <v/>
      </c>
      <c r="W4056" s="19">
        <f>IF($I4056="","",IF(ISNUMBER($I4056),TEXT($I4056,"0"),$I4056))</f>
        <v/>
      </c>
    </row>
    <row r="4057">
      <c r="B4057" s="25" t="n"/>
      <c r="I4057" s="25" t="n"/>
      <c r="U4057" s="19">
        <f>IF($V4057&lt;&gt;'設定'!$C$4,N(U4056),IF(OR(NOT(COUNTIF('商品マスタ'!$B$6:$B$1005,$W4057)=0),COUNTIFS('①在庫を貼る'!$V$6:$V$10005,$V4057,'①在庫を貼る'!$W$6:$W$10005,$W4057)+COUNTIFS('月1回_1ヶ月前の在庫'!$V$6:$V$10005,$V4057,'月1回_1ヶ月前の在庫'!$W$6:$W$10005,$W4057)&gt;0),N(U4056),N(U4056)+1))</f>
        <v/>
      </c>
      <c r="V4057" s="19">
        <f>IF($B4057="","",TEXT($B4057,"0000"))</f>
        <v/>
      </c>
      <c r="W4057" s="19">
        <f>IF($I4057="","",IF(ISNUMBER($I4057),TEXT($I4057,"0"),$I4057))</f>
        <v/>
      </c>
    </row>
    <row r="4058">
      <c r="B4058" s="25" t="n"/>
      <c r="I4058" s="25" t="n"/>
      <c r="U4058" s="19">
        <f>IF($V4058&lt;&gt;'設定'!$C$4,N(U4057),IF(OR(NOT(COUNTIF('商品マスタ'!$B$6:$B$1005,$W4058)=0),COUNTIFS('①在庫を貼る'!$V$6:$V$10005,$V4058,'①在庫を貼る'!$W$6:$W$10005,$W4058)+COUNTIFS('月1回_1ヶ月前の在庫'!$V$6:$V$10005,$V4058,'月1回_1ヶ月前の在庫'!$W$6:$W$10005,$W4058)&gt;0),N(U4057),N(U4057)+1))</f>
        <v/>
      </c>
      <c r="V4058" s="19">
        <f>IF($B4058="","",TEXT($B4058,"0000"))</f>
        <v/>
      </c>
      <c r="W4058" s="19">
        <f>IF($I4058="","",IF(ISNUMBER($I4058),TEXT($I4058,"0"),$I4058))</f>
        <v/>
      </c>
    </row>
    <row r="4059">
      <c r="B4059" s="25" t="n"/>
      <c r="I4059" s="25" t="n"/>
      <c r="U4059" s="19">
        <f>IF($V4059&lt;&gt;'設定'!$C$4,N(U4058),IF(OR(NOT(COUNTIF('商品マスタ'!$B$6:$B$1005,$W4059)=0),COUNTIFS('①在庫を貼る'!$V$6:$V$10005,$V4059,'①在庫を貼る'!$W$6:$W$10005,$W4059)+COUNTIFS('月1回_1ヶ月前の在庫'!$V$6:$V$10005,$V4059,'月1回_1ヶ月前の在庫'!$W$6:$W$10005,$W4059)&gt;0),N(U4058),N(U4058)+1))</f>
        <v/>
      </c>
      <c r="V4059" s="19">
        <f>IF($B4059="","",TEXT($B4059,"0000"))</f>
        <v/>
      </c>
      <c r="W4059" s="19">
        <f>IF($I4059="","",IF(ISNUMBER($I4059),TEXT($I4059,"0"),$I4059))</f>
        <v/>
      </c>
    </row>
    <row r="4060">
      <c r="B4060" s="25" t="n"/>
      <c r="I4060" s="25" t="n"/>
      <c r="U4060" s="19">
        <f>IF($V4060&lt;&gt;'設定'!$C$4,N(U4059),IF(OR(NOT(COUNTIF('商品マスタ'!$B$6:$B$1005,$W4060)=0),COUNTIFS('①在庫を貼る'!$V$6:$V$10005,$V4060,'①在庫を貼る'!$W$6:$W$10005,$W4060)+COUNTIFS('月1回_1ヶ月前の在庫'!$V$6:$V$10005,$V4060,'月1回_1ヶ月前の在庫'!$W$6:$W$10005,$W4060)&gt;0),N(U4059),N(U4059)+1))</f>
        <v/>
      </c>
      <c r="V4060" s="19">
        <f>IF($B4060="","",TEXT($B4060,"0000"))</f>
        <v/>
      </c>
      <c r="W4060" s="19">
        <f>IF($I4060="","",IF(ISNUMBER($I4060),TEXT($I4060,"0"),$I4060))</f>
        <v/>
      </c>
    </row>
    <row r="4061">
      <c r="B4061" s="25" t="n"/>
      <c r="I4061" s="25" t="n"/>
      <c r="U4061" s="19">
        <f>IF($V4061&lt;&gt;'設定'!$C$4,N(U4060),IF(OR(NOT(COUNTIF('商品マスタ'!$B$6:$B$1005,$W4061)=0),COUNTIFS('①在庫を貼る'!$V$6:$V$10005,$V4061,'①在庫を貼る'!$W$6:$W$10005,$W4061)+COUNTIFS('月1回_1ヶ月前の在庫'!$V$6:$V$10005,$V4061,'月1回_1ヶ月前の在庫'!$W$6:$W$10005,$W4061)&gt;0),N(U4060),N(U4060)+1))</f>
        <v/>
      </c>
      <c r="V4061" s="19">
        <f>IF($B4061="","",TEXT($B4061,"0000"))</f>
        <v/>
      </c>
      <c r="W4061" s="19">
        <f>IF($I4061="","",IF(ISNUMBER($I4061),TEXT($I4061,"0"),$I4061))</f>
        <v/>
      </c>
    </row>
    <row r="4062">
      <c r="B4062" s="25" t="n"/>
      <c r="I4062" s="25" t="n"/>
      <c r="U4062" s="19">
        <f>IF($V4062&lt;&gt;'設定'!$C$4,N(U4061),IF(OR(NOT(COUNTIF('商品マスタ'!$B$6:$B$1005,$W4062)=0),COUNTIFS('①在庫を貼る'!$V$6:$V$10005,$V4062,'①在庫を貼る'!$W$6:$W$10005,$W4062)+COUNTIFS('月1回_1ヶ月前の在庫'!$V$6:$V$10005,$V4062,'月1回_1ヶ月前の在庫'!$W$6:$W$10005,$W4062)&gt;0),N(U4061),N(U4061)+1))</f>
        <v/>
      </c>
      <c r="V4062" s="19">
        <f>IF($B4062="","",TEXT($B4062,"0000"))</f>
        <v/>
      </c>
      <c r="W4062" s="19">
        <f>IF($I4062="","",IF(ISNUMBER($I4062),TEXT($I4062,"0"),$I4062))</f>
        <v/>
      </c>
    </row>
    <row r="4063">
      <c r="B4063" s="25" t="n"/>
      <c r="I4063" s="25" t="n"/>
      <c r="U4063" s="19">
        <f>IF($V4063&lt;&gt;'設定'!$C$4,N(U4062),IF(OR(NOT(COUNTIF('商品マスタ'!$B$6:$B$1005,$W4063)=0),COUNTIFS('①在庫を貼る'!$V$6:$V$10005,$V4063,'①在庫を貼る'!$W$6:$W$10005,$W4063)+COUNTIFS('月1回_1ヶ月前の在庫'!$V$6:$V$10005,$V4063,'月1回_1ヶ月前の在庫'!$W$6:$W$10005,$W4063)&gt;0),N(U4062),N(U4062)+1))</f>
        <v/>
      </c>
      <c r="V4063" s="19">
        <f>IF($B4063="","",TEXT($B4063,"0000"))</f>
        <v/>
      </c>
      <c r="W4063" s="19">
        <f>IF($I4063="","",IF(ISNUMBER($I4063),TEXT($I4063,"0"),$I4063))</f>
        <v/>
      </c>
    </row>
    <row r="4064">
      <c r="B4064" s="25" t="n"/>
      <c r="I4064" s="25" t="n"/>
      <c r="U4064" s="19">
        <f>IF($V4064&lt;&gt;'設定'!$C$4,N(U4063),IF(OR(NOT(COUNTIF('商品マスタ'!$B$6:$B$1005,$W4064)=0),COUNTIFS('①在庫を貼る'!$V$6:$V$10005,$V4064,'①在庫を貼る'!$W$6:$W$10005,$W4064)+COUNTIFS('月1回_1ヶ月前の在庫'!$V$6:$V$10005,$V4064,'月1回_1ヶ月前の在庫'!$W$6:$W$10005,$W4064)&gt;0),N(U4063),N(U4063)+1))</f>
        <v/>
      </c>
      <c r="V4064" s="19">
        <f>IF($B4064="","",TEXT($B4064,"0000"))</f>
        <v/>
      </c>
      <c r="W4064" s="19">
        <f>IF($I4064="","",IF(ISNUMBER($I4064),TEXT($I4064,"0"),$I4064))</f>
        <v/>
      </c>
    </row>
    <row r="4065">
      <c r="B4065" s="25" t="n"/>
      <c r="I4065" s="25" t="n"/>
      <c r="U4065" s="19">
        <f>IF($V4065&lt;&gt;'設定'!$C$4,N(U4064),IF(OR(NOT(COUNTIF('商品マスタ'!$B$6:$B$1005,$W4065)=0),COUNTIFS('①在庫を貼る'!$V$6:$V$10005,$V4065,'①在庫を貼る'!$W$6:$W$10005,$W4065)+COUNTIFS('月1回_1ヶ月前の在庫'!$V$6:$V$10005,$V4065,'月1回_1ヶ月前の在庫'!$W$6:$W$10005,$W4065)&gt;0),N(U4064),N(U4064)+1))</f>
        <v/>
      </c>
      <c r="V4065" s="19">
        <f>IF($B4065="","",TEXT($B4065,"0000"))</f>
        <v/>
      </c>
      <c r="W4065" s="19">
        <f>IF($I4065="","",IF(ISNUMBER($I4065),TEXT($I4065,"0"),$I4065))</f>
        <v/>
      </c>
    </row>
    <row r="4066">
      <c r="B4066" s="25" t="n"/>
      <c r="I4066" s="25" t="n"/>
      <c r="U4066" s="19">
        <f>IF($V4066&lt;&gt;'設定'!$C$4,N(U4065),IF(OR(NOT(COUNTIF('商品マスタ'!$B$6:$B$1005,$W4066)=0),COUNTIFS('①在庫を貼る'!$V$6:$V$10005,$V4066,'①在庫を貼る'!$W$6:$W$10005,$W4066)+COUNTIFS('月1回_1ヶ月前の在庫'!$V$6:$V$10005,$V4066,'月1回_1ヶ月前の在庫'!$W$6:$W$10005,$W4066)&gt;0),N(U4065),N(U4065)+1))</f>
        <v/>
      </c>
      <c r="V4066" s="19">
        <f>IF($B4066="","",TEXT($B4066,"0000"))</f>
        <v/>
      </c>
      <c r="W4066" s="19">
        <f>IF($I4066="","",IF(ISNUMBER($I4066),TEXT($I4066,"0"),$I4066))</f>
        <v/>
      </c>
    </row>
    <row r="4067">
      <c r="B4067" s="25" t="n"/>
      <c r="I4067" s="25" t="n"/>
      <c r="U4067" s="19">
        <f>IF($V4067&lt;&gt;'設定'!$C$4,N(U4066),IF(OR(NOT(COUNTIF('商品マスタ'!$B$6:$B$1005,$W4067)=0),COUNTIFS('①在庫を貼る'!$V$6:$V$10005,$V4067,'①在庫を貼る'!$W$6:$W$10005,$W4067)+COUNTIFS('月1回_1ヶ月前の在庫'!$V$6:$V$10005,$V4067,'月1回_1ヶ月前の在庫'!$W$6:$W$10005,$W4067)&gt;0),N(U4066),N(U4066)+1))</f>
        <v/>
      </c>
      <c r="V4067" s="19">
        <f>IF($B4067="","",TEXT($B4067,"0000"))</f>
        <v/>
      </c>
      <c r="W4067" s="19">
        <f>IF($I4067="","",IF(ISNUMBER($I4067),TEXT($I4067,"0"),$I4067))</f>
        <v/>
      </c>
    </row>
    <row r="4068">
      <c r="B4068" s="25" t="n"/>
      <c r="I4068" s="25" t="n"/>
      <c r="U4068" s="19">
        <f>IF($V4068&lt;&gt;'設定'!$C$4,N(U4067),IF(OR(NOT(COUNTIF('商品マスタ'!$B$6:$B$1005,$W4068)=0),COUNTIFS('①在庫を貼る'!$V$6:$V$10005,$V4068,'①在庫を貼る'!$W$6:$W$10005,$W4068)+COUNTIFS('月1回_1ヶ月前の在庫'!$V$6:$V$10005,$V4068,'月1回_1ヶ月前の在庫'!$W$6:$W$10005,$W4068)&gt;0),N(U4067),N(U4067)+1))</f>
        <v/>
      </c>
      <c r="V4068" s="19">
        <f>IF($B4068="","",TEXT($B4068,"0000"))</f>
        <v/>
      </c>
      <c r="W4068" s="19">
        <f>IF($I4068="","",IF(ISNUMBER($I4068),TEXT($I4068,"0"),$I4068))</f>
        <v/>
      </c>
    </row>
    <row r="4069">
      <c r="B4069" s="25" t="n"/>
      <c r="I4069" s="25" t="n"/>
      <c r="U4069" s="19">
        <f>IF($V4069&lt;&gt;'設定'!$C$4,N(U4068),IF(OR(NOT(COUNTIF('商品マスタ'!$B$6:$B$1005,$W4069)=0),COUNTIFS('①在庫を貼る'!$V$6:$V$10005,$V4069,'①在庫を貼る'!$W$6:$W$10005,$W4069)+COUNTIFS('月1回_1ヶ月前の在庫'!$V$6:$V$10005,$V4069,'月1回_1ヶ月前の在庫'!$W$6:$W$10005,$W4069)&gt;0),N(U4068),N(U4068)+1))</f>
        <v/>
      </c>
      <c r="V4069" s="19">
        <f>IF($B4069="","",TEXT($B4069,"0000"))</f>
        <v/>
      </c>
      <c r="W4069" s="19">
        <f>IF($I4069="","",IF(ISNUMBER($I4069),TEXT($I4069,"0"),$I4069))</f>
        <v/>
      </c>
    </row>
    <row r="4070">
      <c r="B4070" s="25" t="n"/>
      <c r="I4070" s="25" t="n"/>
      <c r="U4070" s="19">
        <f>IF($V4070&lt;&gt;'設定'!$C$4,N(U4069),IF(OR(NOT(COUNTIF('商品マスタ'!$B$6:$B$1005,$W4070)=0),COUNTIFS('①在庫を貼る'!$V$6:$V$10005,$V4070,'①在庫を貼る'!$W$6:$W$10005,$W4070)+COUNTIFS('月1回_1ヶ月前の在庫'!$V$6:$V$10005,$V4070,'月1回_1ヶ月前の在庫'!$W$6:$W$10005,$W4070)&gt;0),N(U4069),N(U4069)+1))</f>
        <v/>
      </c>
      <c r="V4070" s="19">
        <f>IF($B4070="","",TEXT($B4070,"0000"))</f>
        <v/>
      </c>
      <c r="W4070" s="19">
        <f>IF($I4070="","",IF(ISNUMBER($I4070),TEXT($I4070,"0"),$I4070))</f>
        <v/>
      </c>
    </row>
    <row r="4071">
      <c r="B4071" s="25" t="n"/>
      <c r="I4071" s="25" t="n"/>
      <c r="U4071" s="19">
        <f>IF($V4071&lt;&gt;'設定'!$C$4,N(U4070),IF(OR(NOT(COUNTIF('商品マスタ'!$B$6:$B$1005,$W4071)=0),COUNTIFS('①在庫を貼る'!$V$6:$V$10005,$V4071,'①在庫を貼る'!$W$6:$W$10005,$W4071)+COUNTIFS('月1回_1ヶ月前の在庫'!$V$6:$V$10005,$V4071,'月1回_1ヶ月前の在庫'!$W$6:$W$10005,$W4071)&gt;0),N(U4070),N(U4070)+1))</f>
        <v/>
      </c>
      <c r="V4071" s="19">
        <f>IF($B4071="","",TEXT($B4071,"0000"))</f>
        <v/>
      </c>
      <c r="W4071" s="19">
        <f>IF($I4071="","",IF(ISNUMBER($I4071),TEXT($I4071,"0"),$I4071))</f>
        <v/>
      </c>
    </row>
    <row r="4072">
      <c r="B4072" s="25" t="n"/>
      <c r="I4072" s="25" t="n"/>
      <c r="U4072" s="19">
        <f>IF($V4072&lt;&gt;'設定'!$C$4,N(U4071),IF(OR(NOT(COUNTIF('商品マスタ'!$B$6:$B$1005,$W4072)=0),COUNTIFS('①在庫を貼る'!$V$6:$V$10005,$V4072,'①在庫を貼る'!$W$6:$W$10005,$W4072)+COUNTIFS('月1回_1ヶ月前の在庫'!$V$6:$V$10005,$V4072,'月1回_1ヶ月前の在庫'!$W$6:$W$10005,$W4072)&gt;0),N(U4071),N(U4071)+1))</f>
        <v/>
      </c>
      <c r="V4072" s="19">
        <f>IF($B4072="","",TEXT($B4072,"0000"))</f>
        <v/>
      </c>
      <c r="W4072" s="19">
        <f>IF($I4072="","",IF(ISNUMBER($I4072),TEXT($I4072,"0"),$I4072))</f>
        <v/>
      </c>
    </row>
    <row r="4073">
      <c r="B4073" s="25" t="n"/>
      <c r="I4073" s="25" t="n"/>
      <c r="U4073" s="19">
        <f>IF($V4073&lt;&gt;'設定'!$C$4,N(U4072),IF(OR(NOT(COUNTIF('商品マスタ'!$B$6:$B$1005,$W4073)=0),COUNTIFS('①在庫を貼る'!$V$6:$V$10005,$V4073,'①在庫を貼る'!$W$6:$W$10005,$W4073)+COUNTIFS('月1回_1ヶ月前の在庫'!$V$6:$V$10005,$V4073,'月1回_1ヶ月前の在庫'!$W$6:$W$10005,$W4073)&gt;0),N(U4072),N(U4072)+1))</f>
        <v/>
      </c>
      <c r="V4073" s="19">
        <f>IF($B4073="","",TEXT($B4073,"0000"))</f>
        <v/>
      </c>
      <c r="W4073" s="19">
        <f>IF($I4073="","",IF(ISNUMBER($I4073),TEXT($I4073,"0"),$I4073))</f>
        <v/>
      </c>
    </row>
    <row r="4074">
      <c r="B4074" s="25" t="n"/>
      <c r="I4074" s="25" t="n"/>
      <c r="U4074" s="19">
        <f>IF($V4074&lt;&gt;'設定'!$C$4,N(U4073),IF(OR(NOT(COUNTIF('商品マスタ'!$B$6:$B$1005,$W4074)=0),COUNTIFS('①在庫を貼る'!$V$6:$V$10005,$V4074,'①在庫を貼る'!$W$6:$W$10005,$W4074)+COUNTIFS('月1回_1ヶ月前の在庫'!$V$6:$V$10005,$V4074,'月1回_1ヶ月前の在庫'!$W$6:$W$10005,$W4074)&gt;0),N(U4073),N(U4073)+1))</f>
        <v/>
      </c>
      <c r="V4074" s="19">
        <f>IF($B4074="","",TEXT($B4074,"0000"))</f>
        <v/>
      </c>
      <c r="W4074" s="19">
        <f>IF($I4074="","",IF(ISNUMBER($I4074),TEXT($I4074,"0"),$I4074))</f>
        <v/>
      </c>
    </row>
    <row r="4075">
      <c r="B4075" s="25" t="n"/>
      <c r="I4075" s="25" t="n"/>
      <c r="U4075" s="19">
        <f>IF($V4075&lt;&gt;'設定'!$C$4,N(U4074),IF(OR(NOT(COUNTIF('商品マスタ'!$B$6:$B$1005,$W4075)=0),COUNTIFS('①在庫を貼る'!$V$6:$V$10005,$V4075,'①在庫を貼る'!$W$6:$W$10005,$W4075)+COUNTIFS('月1回_1ヶ月前の在庫'!$V$6:$V$10005,$V4075,'月1回_1ヶ月前の在庫'!$W$6:$W$10005,$W4075)&gt;0),N(U4074),N(U4074)+1))</f>
        <v/>
      </c>
      <c r="V4075" s="19">
        <f>IF($B4075="","",TEXT($B4075,"0000"))</f>
        <v/>
      </c>
      <c r="W4075" s="19">
        <f>IF($I4075="","",IF(ISNUMBER($I4075),TEXT($I4075,"0"),$I4075))</f>
        <v/>
      </c>
    </row>
    <row r="4076">
      <c r="B4076" s="25" t="n"/>
      <c r="I4076" s="25" t="n"/>
      <c r="U4076" s="19">
        <f>IF($V4076&lt;&gt;'設定'!$C$4,N(U4075),IF(OR(NOT(COUNTIF('商品マスタ'!$B$6:$B$1005,$W4076)=0),COUNTIFS('①在庫を貼る'!$V$6:$V$10005,$V4076,'①在庫を貼る'!$W$6:$W$10005,$W4076)+COUNTIFS('月1回_1ヶ月前の在庫'!$V$6:$V$10005,$V4076,'月1回_1ヶ月前の在庫'!$W$6:$W$10005,$W4076)&gt;0),N(U4075),N(U4075)+1))</f>
        <v/>
      </c>
      <c r="V4076" s="19">
        <f>IF($B4076="","",TEXT($B4076,"0000"))</f>
        <v/>
      </c>
      <c r="W4076" s="19">
        <f>IF($I4076="","",IF(ISNUMBER($I4076),TEXT($I4076,"0"),$I4076))</f>
        <v/>
      </c>
    </row>
    <row r="4077">
      <c r="B4077" s="25" t="n"/>
      <c r="I4077" s="25" t="n"/>
      <c r="U4077" s="19">
        <f>IF($V4077&lt;&gt;'設定'!$C$4,N(U4076),IF(OR(NOT(COUNTIF('商品マスタ'!$B$6:$B$1005,$W4077)=0),COUNTIFS('①在庫を貼る'!$V$6:$V$10005,$V4077,'①在庫を貼る'!$W$6:$W$10005,$W4077)+COUNTIFS('月1回_1ヶ月前の在庫'!$V$6:$V$10005,$V4077,'月1回_1ヶ月前の在庫'!$W$6:$W$10005,$W4077)&gt;0),N(U4076),N(U4076)+1))</f>
        <v/>
      </c>
      <c r="V4077" s="19">
        <f>IF($B4077="","",TEXT($B4077,"0000"))</f>
        <v/>
      </c>
      <c r="W4077" s="19">
        <f>IF($I4077="","",IF(ISNUMBER($I4077),TEXT($I4077,"0"),$I4077))</f>
        <v/>
      </c>
    </row>
    <row r="4078">
      <c r="B4078" s="25" t="n"/>
      <c r="I4078" s="25" t="n"/>
      <c r="U4078" s="19">
        <f>IF($V4078&lt;&gt;'設定'!$C$4,N(U4077),IF(OR(NOT(COUNTIF('商品マスタ'!$B$6:$B$1005,$W4078)=0),COUNTIFS('①在庫を貼る'!$V$6:$V$10005,$V4078,'①在庫を貼る'!$W$6:$W$10005,$W4078)+COUNTIFS('月1回_1ヶ月前の在庫'!$V$6:$V$10005,$V4078,'月1回_1ヶ月前の在庫'!$W$6:$W$10005,$W4078)&gt;0),N(U4077),N(U4077)+1))</f>
        <v/>
      </c>
      <c r="V4078" s="19">
        <f>IF($B4078="","",TEXT($B4078,"0000"))</f>
        <v/>
      </c>
      <c r="W4078" s="19">
        <f>IF($I4078="","",IF(ISNUMBER($I4078),TEXT($I4078,"0"),$I4078))</f>
        <v/>
      </c>
    </row>
    <row r="4079">
      <c r="B4079" s="25" t="n"/>
      <c r="I4079" s="25" t="n"/>
      <c r="U4079" s="19">
        <f>IF($V4079&lt;&gt;'設定'!$C$4,N(U4078),IF(OR(NOT(COUNTIF('商品マスタ'!$B$6:$B$1005,$W4079)=0),COUNTIFS('①在庫を貼る'!$V$6:$V$10005,$V4079,'①在庫を貼る'!$W$6:$W$10005,$W4079)+COUNTIFS('月1回_1ヶ月前の在庫'!$V$6:$V$10005,$V4079,'月1回_1ヶ月前の在庫'!$W$6:$W$10005,$W4079)&gt;0),N(U4078),N(U4078)+1))</f>
        <v/>
      </c>
      <c r="V4079" s="19">
        <f>IF($B4079="","",TEXT($B4079,"0000"))</f>
        <v/>
      </c>
      <c r="W4079" s="19">
        <f>IF($I4079="","",IF(ISNUMBER($I4079),TEXT($I4079,"0"),$I4079))</f>
        <v/>
      </c>
    </row>
    <row r="4080">
      <c r="B4080" s="25" t="n"/>
      <c r="I4080" s="25" t="n"/>
      <c r="U4080" s="19">
        <f>IF($V4080&lt;&gt;'設定'!$C$4,N(U4079),IF(OR(NOT(COUNTIF('商品マスタ'!$B$6:$B$1005,$W4080)=0),COUNTIFS('①在庫を貼る'!$V$6:$V$10005,$V4080,'①在庫を貼る'!$W$6:$W$10005,$W4080)+COUNTIFS('月1回_1ヶ月前の在庫'!$V$6:$V$10005,$V4080,'月1回_1ヶ月前の在庫'!$W$6:$W$10005,$W4080)&gt;0),N(U4079),N(U4079)+1))</f>
        <v/>
      </c>
      <c r="V4080" s="19">
        <f>IF($B4080="","",TEXT($B4080,"0000"))</f>
        <v/>
      </c>
      <c r="W4080" s="19">
        <f>IF($I4080="","",IF(ISNUMBER($I4080),TEXT($I4080,"0"),$I4080))</f>
        <v/>
      </c>
    </row>
    <row r="4081">
      <c r="B4081" s="25" t="n"/>
      <c r="I4081" s="25" t="n"/>
      <c r="U4081" s="19">
        <f>IF($V4081&lt;&gt;'設定'!$C$4,N(U4080),IF(OR(NOT(COUNTIF('商品マスタ'!$B$6:$B$1005,$W4081)=0),COUNTIFS('①在庫を貼る'!$V$6:$V$10005,$V4081,'①在庫を貼る'!$W$6:$W$10005,$W4081)+COUNTIFS('月1回_1ヶ月前の在庫'!$V$6:$V$10005,$V4081,'月1回_1ヶ月前の在庫'!$W$6:$W$10005,$W4081)&gt;0),N(U4080),N(U4080)+1))</f>
        <v/>
      </c>
      <c r="V4081" s="19">
        <f>IF($B4081="","",TEXT($B4081,"0000"))</f>
        <v/>
      </c>
      <c r="W4081" s="19">
        <f>IF($I4081="","",IF(ISNUMBER($I4081),TEXT($I4081,"0"),$I4081))</f>
        <v/>
      </c>
    </row>
    <row r="4082">
      <c r="B4082" s="25" t="n"/>
      <c r="I4082" s="25" t="n"/>
      <c r="U4082" s="19">
        <f>IF($V4082&lt;&gt;'設定'!$C$4,N(U4081),IF(OR(NOT(COUNTIF('商品マスタ'!$B$6:$B$1005,$W4082)=0),COUNTIFS('①在庫を貼る'!$V$6:$V$10005,$V4082,'①在庫を貼る'!$W$6:$W$10005,$W4082)+COUNTIFS('月1回_1ヶ月前の在庫'!$V$6:$V$10005,$V4082,'月1回_1ヶ月前の在庫'!$W$6:$W$10005,$W4082)&gt;0),N(U4081),N(U4081)+1))</f>
        <v/>
      </c>
      <c r="V4082" s="19">
        <f>IF($B4082="","",TEXT($B4082,"0000"))</f>
        <v/>
      </c>
      <c r="W4082" s="19">
        <f>IF($I4082="","",IF(ISNUMBER($I4082),TEXT($I4082,"0"),$I4082))</f>
        <v/>
      </c>
    </row>
    <row r="4083">
      <c r="B4083" s="25" t="n"/>
      <c r="I4083" s="25" t="n"/>
      <c r="U4083" s="19">
        <f>IF($V4083&lt;&gt;'設定'!$C$4,N(U4082),IF(OR(NOT(COUNTIF('商品マスタ'!$B$6:$B$1005,$W4083)=0),COUNTIFS('①在庫を貼る'!$V$6:$V$10005,$V4083,'①在庫を貼る'!$W$6:$W$10005,$W4083)+COUNTIFS('月1回_1ヶ月前の在庫'!$V$6:$V$10005,$V4083,'月1回_1ヶ月前の在庫'!$W$6:$W$10005,$W4083)&gt;0),N(U4082),N(U4082)+1))</f>
        <v/>
      </c>
      <c r="V4083" s="19">
        <f>IF($B4083="","",TEXT($B4083,"0000"))</f>
        <v/>
      </c>
      <c r="W4083" s="19">
        <f>IF($I4083="","",IF(ISNUMBER($I4083),TEXT($I4083,"0"),$I4083))</f>
        <v/>
      </c>
    </row>
    <row r="4084">
      <c r="B4084" s="25" t="n"/>
      <c r="I4084" s="25" t="n"/>
      <c r="U4084" s="19">
        <f>IF($V4084&lt;&gt;'設定'!$C$4,N(U4083),IF(OR(NOT(COUNTIF('商品マスタ'!$B$6:$B$1005,$W4084)=0),COUNTIFS('①在庫を貼る'!$V$6:$V$10005,$V4084,'①在庫を貼る'!$W$6:$W$10005,$W4084)+COUNTIFS('月1回_1ヶ月前の在庫'!$V$6:$V$10005,$V4084,'月1回_1ヶ月前の在庫'!$W$6:$W$10005,$W4084)&gt;0),N(U4083),N(U4083)+1))</f>
        <v/>
      </c>
      <c r="V4084" s="19">
        <f>IF($B4084="","",TEXT($B4084,"0000"))</f>
        <v/>
      </c>
      <c r="W4084" s="19">
        <f>IF($I4084="","",IF(ISNUMBER($I4084),TEXT($I4084,"0"),$I4084))</f>
        <v/>
      </c>
    </row>
    <row r="4085">
      <c r="B4085" s="25" t="n"/>
      <c r="I4085" s="25" t="n"/>
      <c r="U4085" s="19">
        <f>IF($V4085&lt;&gt;'設定'!$C$4,N(U4084),IF(OR(NOT(COUNTIF('商品マスタ'!$B$6:$B$1005,$W4085)=0),COUNTIFS('①在庫を貼る'!$V$6:$V$10005,$V4085,'①在庫を貼る'!$W$6:$W$10005,$W4085)+COUNTIFS('月1回_1ヶ月前の在庫'!$V$6:$V$10005,$V4085,'月1回_1ヶ月前の在庫'!$W$6:$W$10005,$W4085)&gt;0),N(U4084),N(U4084)+1))</f>
        <v/>
      </c>
      <c r="V4085" s="19">
        <f>IF($B4085="","",TEXT($B4085,"0000"))</f>
        <v/>
      </c>
      <c r="W4085" s="19">
        <f>IF($I4085="","",IF(ISNUMBER($I4085),TEXT($I4085,"0"),$I4085))</f>
        <v/>
      </c>
    </row>
    <row r="4086">
      <c r="B4086" s="25" t="n"/>
      <c r="I4086" s="25" t="n"/>
      <c r="U4086" s="19">
        <f>IF($V4086&lt;&gt;'設定'!$C$4,N(U4085),IF(OR(NOT(COUNTIF('商品マスタ'!$B$6:$B$1005,$W4086)=0),COUNTIFS('①在庫を貼る'!$V$6:$V$10005,$V4086,'①在庫を貼る'!$W$6:$W$10005,$W4086)+COUNTIFS('月1回_1ヶ月前の在庫'!$V$6:$V$10005,$V4086,'月1回_1ヶ月前の在庫'!$W$6:$W$10005,$W4086)&gt;0),N(U4085),N(U4085)+1))</f>
        <v/>
      </c>
      <c r="V4086" s="19">
        <f>IF($B4086="","",TEXT($B4086,"0000"))</f>
        <v/>
      </c>
      <c r="W4086" s="19">
        <f>IF($I4086="","",IF(ISNUMBER($I4086),TEXT($I4086,"0"),$I4086))</f>
        <v/>
      </c>
    </row>
    <row r="4087">
      <c r="B4087" s="25" t="n"/>
      <c r="I4087" s="25" t="n"/>
      <c r="U4087" s="19">
        <f>IF($V4087&lt;&gt;'設定'!$C$4,N(U4086),IF(OR(NOT(COUNTIF('商品マスタ'!$B$6:$B$1005,$W4087)=0),COUNTIFS('①在庫を貼る'!$V$6:$V$10005,$V4087,'①在庫を貼る'!$W$6:$W$10005,$W4087)+COUNTIFS('月1回_1ヶ月前の在庫'!$V$6:$V$10005,$V4087,'月1回_1ヶ月前の在庫'!$W$6:$W$10005,$W4087)&gt;0),N(U4086),N(U4086)+1))</f>
        <v/>
      </c>
      <c r="V4087" s="19">
        <f>IF($B4087="","",TEXT($B4087,"0000"))</f>
        <v/>
      </c>
      <c r="W4087" s="19">
        <f>IF($I4087="","",IF(ISNUMBER($I4087),TEXT($I4087,"0"),$I4087))</f>
        <v/>
      </c>
    </row>
    <row r="4088">
      <c r="B4088" s="25" t="n"/>
      <c r="I4088" s="25" t="n"/>
      <c r="U4088" s="19">
        <f>IF($V4088&lt;&gt;'設定'!$C$4,N(U4087),IF(OR(NOT(COUNTIF('商品マスタ'!$B$6:$B$1005,$W4088)=0),COUNTIFS('①在庫を貼る'!$V$6:$V$10005,$V4088,'①在庫を貼る'!$W$6:$W$10005,$W4088)+COUNTIFS('月1回_1ヶ月前の在庫'!$V$6:$V$10005,$V4088,'月1回_1ヶ月前の在庫'!$W$6:$W$10005,$W4088)&gt;0),N(U4087),N(U4087)+1))</f>
        <v/>
      </c>
      <c r="V4088" s="19">
        <f>IF($B4088="","",TEXT($B4088,"0000"))</f>
        <v/>
      </c>
      <c r="W4088" s="19">
        <f>IF($I4088="","",IF(ISNUMBER($I4088),TEXT($I4088,"0"),$I4088))</f>
        <v/>
      </c>
    </row>
    <row r="4089">
      <c r="B4089" s="25" t="n"/>
      <c r="I4089" s="25" t="n"/>
      <c r="U4089" s="19">
        <f>IF($V4089&lt;&gt;'設定'!$C$4,N(U4088),IF(OR(NOT(COUNTIF('商品マスタ'!$B$6:$B$1005,$W4089)=0),COUNTIFS('①在庫を貼る'!$V$6:$V$10005,$V4089,'①在庫を貼る'!$W$6:$W$10005,$W4089)+COUNTIFS('月1回_1ヶ月前の在庫'!$V$6:$V$10005,$V4089,'月1回_1ヶ月前の在庫'!$W$6:$W$10005,$W4089)&gt;0),N(U4088),N(U4088)+1))</f>
        <v/>
      </c>
      <c r="V4089" s="19">
        <f>IF($B4089="","",TEXT($B4089,"0000"))</f>
        <v/>
      </c>
      <c r="W4089" s="19">
        <f>IF($I4089="","",IF(ISNUMBER($I4089),TEXT($I4089,"0"),$I4089))</f>
        <v/>
      </c>
    </row>
    <row r="4090">
      <c r="B4090" s="25" t="n"/>
      <c r="I4090" s="25" t="n"/>
      <c r="U4090" s="19">
        <f>IF($V4090&lt;&gt;'設定'!$C$4,N(U4089),IF(OR(NOT(COUNTIF('商品マスタ'!$B$6:$B$1005,$W4090)=0),COUNTIFS('①在庫を貼る'!$V$6:$V$10005,$V4090,'①在庫を貼る'!$W$6:$W$10005,$W4090)+COUNTIFS('月1回_1ヶ月前の在庫'!$V$6:$V$10005,$V4090,'月1回_1ヶ月前の在庫'!$W$6:$W$10005,$W4090)&gt;0),N(U4089),N(U4089)+1))</f>
        <v/>
      </c>
      <c r="V4090" s="19">
        <f>IF($B4090="","",TEXT($B4090,"0000"))</f>
        <v/>
      </c>
      <c r="W4090" s="19">
        <f>IF($I4090="","",IF(ISNUMBER($I4090),TEXT($I4090,"0"),$I4090))</f>
        <v/>
      </c>
    </row>
    <row r="4091">
      <c r="B4091" s="25" t="n"/>
      <c r="I4091" s="25" t="n"/>
      <c r="U4091" s="19">
        <f>IF($V4091&lt;&gt;'設定'!$C$4,N(U4090),IF(OR(NOT(COUNTIF('商品マスタ'!$B$6:$B$1005,$W4091)=0),COUNTIFS('①在庫を貼る'!$V$6:$V$10005,$V4091,'①在庫を貼る'!$W$6:$W$10005,$W4091)+COUNTIFS('月1回_1ヶ月前の在庫'!$V$6:$V$10005,$V4091,'月1回_1ヶ月前の在庫'!$W$6:$W$10005,$W4091)&gt;0),N(U4090),N(U4090)+1))</f>
        <v/>
      </c>
      <c r="V4091" s="19">
        <f>IF($B4091="","",TEXT($B4091,"0000"))</f>
        <v/>
      </c>
      <c r="W4091" s="19">
        <f>IF($I4091="","",IF(ISNUMBER($I4091),TEXT($I4091,"0"),$I4091))</f>
        <v/>
      </c>
    </row>
    <row r="4092">
      <c r="B4092" s="25" t="n"/>
      <c r="I4092" s="25" t="n"/>
      <c r="U4092" s="19">
        <f>IF($V4092&lt;&gt;'設定'!$C$4,N(U4091),IF(OR(NOT(COUNTIF('商品マスタ'!$B$6:$B$1005,$W4092)=0),COUNTIFS('①在庫を貼る'!$V$6:$V$10005,$V4092,'①在庫を貼る'!$W$6:$W$10005,$W4092)+COUNTIFS('月1回_1ヶ月前の在庫'!$V$6:$V$10005,$V4092,'月1回_1ヶ月前の在庫'!$W$6:$W$10005,$W4092)&gt;0),N(U4091),N(U4091)+1))</f>
        <v/>
      </c>
      <c r="V4092" s="19">
        <f>IF($B4092="","",TEXT($B4092,"0000"))</f>
        <v/>
      </c>
      <c r="W4092" s="19">
        <f>IF($I4092="","",IF(ISNUMBER($I4092),TEXT($I4092,"0"),$I4092))</f>
        <v/>
      </c>
    </row>
    <row r="4093">
      <c r="B4093" s="25" t="n"/>
      <c r="I4093" s="25" t="n"/>
      <c r="U4093" s="19">
        <f>IF($V4093&lt;&gt;'設定'!$C$4,N(U4092),IF(OR(NOT(COUNTIF('商品マスタ'!$B$6:$B$1005,$W4093)=0),COUNTIFS('①在庫を貼る'!$V$6:$V$10005,$V4093,'①在庫を貼る'!$W$6:$W$10005,$W4093)+COUNTIFS('月1回_1ヶ月前の在庫'!$V$6:$V$10005,$V4093,'月1回_1ヶ月前の在庫'!$W$6:$W$10005,$W4093)&gt;0),N(U4092),N(U4092)+1))</f>
        <v/>
      </c>
      <c r="V4093" s="19">
        <f>IF($B4093="","",TEXT($B4093,"0000"))</f>
        <v/>
      </c>
      <c r="W4093" s="19">
        <f>IF($I4093="","",IF(ISNUMBER($I4093),TEXT($I4093,"0"),$I4093))</f>
        <v/>
      </c>
    </row>
    <row r="4094">
      <c r="B4094" s="25" t="n"/>
      <c r="I4094" s="25" t="n"/>
      <c r="U4094" s="19">
        <f>IF($V4094&lt;&gt;'設定'!$C$4,N(U4093),IF(OR(NOT(COUNTIF('商品マスタ'!$B$6:$B$1005,$W4094)=0),COUNTIFS('①在庫を貼る'!$V$6:$V$10005,$V4094,'①在庫を貼る'!$W$6:$W$10005,$W4094)+COUNTIFS('月1回_1ヶ月前の在庫'!$V$6:$V$10005,$V4094,'月1回_1ヶ月前の在庫'!$W$6:$W$10005,$W4094)&gt;0),N(U4093),N(U4093)+1))</f>
        <v/>
      </c>
      <c r="V4094" s="19">
        <f>IF($B4094="","",TEXT($B4094,"0000"))</f>
        <v/>
      </c>
      <c r="W4094" s="19">
        <f>IF($I4094="","",IF(ISNUMBER($I4094),TEXT($I4094,"0"),$I4094))</f>
        <v/>
      </c>
    </row>
    <row r="4095">
      <c r="B4095" s="25" t="n"/>
      <c r="I4095" s="25" t="n"/>
      <c r="U4095" s="19">
        <f>IF($V4095&lt;&gt;'設定'!$C$4,N(U4094),IF(OR(NOT(COUNTIF('商品マスタ'!$B$6:$B$1005,$W4095)=0),COUNTIFS('①在庫を貼る'!$V$6:$V$10005,$V4095,'①在庫を貼る'!$W$6:$W$10005,$W4095)+COUNTIFS('月1回_1ヶ月前の在庫'!$V$6:$V$10005,$V4095,'月1回_1ヶ月前の在庫'!$W$6:$W$10005,$W4095)&gt;0),N(U4094),N(U4094)+1))</f>
        <v/>
      </c>
      <c r="V4095" s="19">
        <f>IF($B4095="","",TEXT($B4095,"0000"))</f>
        <v/>
      </c>
      <c r="W4095" s="19">
        <f>IF($I4095="","",IF(ISNUMBER($I4095),TEXT($I4095,"0"),$I4095))</f>
        <v/>
      </c>
    </row>
    <row r="4096">
      <c r="B4096" s="25" t="n"/>
      <c r="I4096" s="25" t="n"/>
      <c r="U4096" s="19">
        <f>IF($V4096&lt;&gt;'設定'!$C$4,N(U4095),IF(OR(NOT(COUNTIF('商品マスタ'!$B$6:$B$1005,$W4096)=0),COUNTIFS('①在庫を貼る'!$V$6:$V$10005,$V4096,'①在庫を貼る'!$W$6:$W$10005,$W4096)+COUNTIFS('月1回_1ヶ月前の在庫'!$V$6:$V$10005,$V4096,'月1回_1ヶ月前の在庫'!$W$6:$W$10005,$W4096)&gt;0),N(U4095),N(U4095)+1))</f>
        <v/>
      </c>
      <c r="V4096" s="19">
        <f>IF($B4096="","",TEXT($B4096,"0000"))</f>
        <v/>
      </c>
      <c r="W4096" s="19">
        <f>IF($I4096="","",IF(ISNUMBER($I4096),TEXT($I4096,"0"),$I4096))</f>
        <v/>
      </c>
    </row>
    <row r="4097">
      <c r="B4097" s="25" t="n"/>
      <c r="I4097" s="25" t="n"/>
      <c r="U4097" s="19">
        <f>IF($V4097&lt;&gt;'設定'!$C$4,N(U4096),IF(OR(NOT(COUNTIF('商品マスタ'!$B$6:$B$1005,$W4097)=0),COUNTIFS('①在庫を貼る'!$V$6:$V$10005,$V4097,'①在庫を貼る'!$W$6:$W$10005,$W4097)+COUNTIFS('月1回_1ヶ月前の在庫'!$V$6:$V$10005,$V4097,'月1回_1ヶ月前の在庫'!$W$6:$W$10005,$W4097)&gt;0),N(U4096),N(U4096)+1))</f>
        <v/>
      </c>
      <c r="V4097" s="19">
        <f>IF($B4097="","",TEXT($B4097,"0000"))</f>
        <v/>
      </c>
      <c r="W4097" s="19">
        <f>IF($I4097="","",IF(ISNUMBER($I4097),TEXT($I4097,"0"),$I4097))</f>
        <v/>
      </c>
    </row>
    <row r="4098">
      <c r="B4098" s="25" t="n"/>
      <c r="I4098" s="25" t="n"/>
      <c r="U4098" s="19">
        <f>IF($V4098&lt;&gt;'設定'!$C$4,N(U4097),IF(OR(NOT(COUNTIF('商品マスタ'!$B$6:$B$1005,$W4098)=0),COUNTIFS('①在庫を貼る'!$V$6:$V$10005,$V4098,'①在庫を貼る'!$W$6:$W$10005,$W4098)+COUNTIFS('月1回_1ヶ月前の在庫'!$V$6:$V$10005,$V4098,'月1回_1ヶ月前の在庫'!$W$6:$W$10005,$W4098)&gt;0),N(U4097),N(U4097)+1))</f>
        <v/>
      </c>
      <c r="V4098" s="19">
        <f>IF($B4098="","",TEXT($B4098,"0000"))</f>
        <v/>
      </c>
      <c r="W4098" s="19">
        <f>IF($I4098="","",IF(ISNUMBER($I4098),TEXT($I4098,"0"),$I4098))</f>
        <v/>
      </c>
    </row>
    <row r="4099">
      <c r="B4099" s="25" t="n"/>
      <c r="I4099" s="25" t="n"/>
      <c r="U4099" s="19">
        <f>IF($V4099&lt;&gt;'設定'!$C$4,N(U4098),IF(OR(NOT(COUNTIF('商品マスタ'!$B$6:$B$1005,$W4099)=0),COUNTIFS('①在庫を貼る'!$V$6:$V$10005,$V4099,'①在庫を貼る'!$W$6:$W$10005,$W4099)+COUNTIFS('月1回_1ヶ月前の在庫'!$V$6:$V$10005,$V4099,'月1回_1ヶ月前の在庫'!$W$6:$W$10005,$W4099)&gt;0),N(U4098),N(U4098)+1))</f>
        <v/>
      </c>
      <c r="V4099" s="19">
        <f>IF($B4099="","",TEXT($B4099,"0000"))</f>
        <v/>
      </c>
      <c r="W4099" s="19">
        <f>IF($I4099="","",IF(ISNUMBER($I4099),TEXT($I4099,"0"),$I4099))</f>
        <v/>
      </c>
    </row>
    <row r="4100">
      <c r="B4100" s="25" t="n"/>
      <c r="I4100" s="25" t="n"/>
      <c r="U4100" s="19">
        <f>IF($V4100&lt;&gt;'設定'!$C$4,N(U4099),IF(OR(NOT(COUNTIF('商品マスタ'!$B$6:$B$1005,$W4100)=0),COUNTIFS('①在庫を貼る'!$V$6:$V$10005,$V4100,'①在庫を貼る'!$W$6:$W$10005,$W4100)+COUNTIFS('月1回_1ヶ月前の在庫'!$V$6:$V$10005,$V4100,'月1回_1ヶ月前の在庫'!$W$6:$W$10005,$W4100)&gt;0),N(U4099),N(U4099)+1))</f>
        <v/>
      </c>
      <c r="V4100" s="19">
        <f>IF($B4100="","",TEXT($B4100,"0000"))</f>
        <v/>
      </c>
      <c r="W4100" s="19">
        <f>IF($I4100="","",IF(ISNUMBER($I4100),TEXT($I4100,"0"),$I4100))</f>
        <v/>
      </c>
    </row>
    <row r="4101">
      <c r="B4101" s="25" t="n"/>
      <c r="I4101" s="25" t="n"/>
      <c r="U4101" s="19">
        <f>IF($V4101&lt;&gt;'設定'!$C$4,N(U4100),IF(OR(NOT(COUNTIF('商品マスタ'!$B$6:$B$1005,$W4101)=0),COUNTIFS('①在庫を貼る'!$V$6:$V$10005,$V4101,'①在庫を貼る'!$W$6:$W$10005,$W4101)+COUNTIFS('月1回_1ヶ月前の在庫'!$V$6:$V$10005,$V4101,'月1回_1ヶ月前の在庫'!$W$6:$W$10005,$W4101)&gt;0),N(U4100),N(U4100)+1))</f>
        <v/>
      </c>
      <c r="V4101" s="19">
        <f>IF($B4101="","",TEXT($B4101,"0000"))</f>
        <v/>
      </c>
      <c r="W4101" s="19">
        <f>IF($I4101="","",IF(ISNUMBER($I4101),TEXT($I4101,"0"),$I4101))</f>
        <v/>
      </c>
    </row>
    <row r="4102">
      <c r="B4102" s="25" t="n"/>
      <c r="I4102" s="25" t="n"/>
      <c r="U4102" s="19">
        <f>IF($V4102&lt;&gt;'設定'!$C$4,N(U4101),IF(OR(NOT(COUNTIF('商品マスタ'!$B$6:$B$1005,$W4102)=0),COUNTIFS('①在庫を貼る'!$V$6:$V$10005,$V4102,'①在庫を貼る'!$W$6:$W$10005,$W4102)+COUNTIFS('月1回_1ヶ月前の在庫'!$V$6:$V$10005,$V4102,'月1回_1ヶ月前の在庫'!$W$6:$W$10005,$W4102)&gt;0),N(U4101),N(U4101)+1))</f>
        <v/>
      </c>
      <c r="V4102" s="19">
        <f>IF($B4102="","",TEXT($B4102,"0000"))</f>
        <v/>
      </c>
      <c r="W4102" s="19">
        <f>IF($I4102="","",IF(ISNUMBER($I4102),TEXT($I4102,"0"),$I4102))</f>
        <v/>
      </c>
    </row>
    <row r="4103">
      <c r="B4103" s="25" t="n"/>
      <c r="I4103" s="25" t="n"/>
      <c r="U4103" s="19">
        <f>IF($V4103&lt;&gt;'設定'!$C$4,N(U4102),IF(OR(NOT(COUNTIF('商品マスタ'!$B$6:$B$1005,$W4103)=0),COUNTIFS('①在庫を貼る'!$V$6:$V$10005,$V4103,'①在庫を貼る'!$W$6:$W$10005,$W4103)+COUNTIFS('月1回_1ヶ月前の在庫'!$V$6:$V$10005,$V4103,'月1回_1ヶ月前の在庫'!$W$6:$W$10005,$W4103)&gt;0),N(U4102),N(U4102)+1))</f>
        <v/>
      </c>
      <c r="V4103" s="19">
        <f>IF($B4103="","",TEXT($B4103,"0000"))</f>
        <v/>
      </c>
      <c r="W4103" s="19">
        <f>IF($I4103="","",IF(ISNUMBER($I4103),TEXT($I4103,"0"),$I4103))</f>
        <v/>
      </c>
    </row>
    <row r="4104">
      <c r="B4104" s="25" t="n"/>
      <c r="I4104" s="25" t="n"/>
      <c r="U4104" s="19">
        <f>IF($V4104&lt;&gt;'設定'!$C$4,N(U4103),IF(OR(NOT(COUNTIF('商品マスタ'!$B$6:$B$1005,$W4104)=0),COUNTIFS('①在庫を貼る'!$V$6:$V$10005,$V4104,'①在庫を貼る'!$W$6:$W$10005,$W4104)+COUNTIFS('月1回_1ヶ月前の在庫'!$V$6:$V$10005,$V4104,'月1回_1ヶ月前の在庫'!$W$6:$W$10005,$W4104)&gt;0),N(U4103),N(U4103)+1))</f>
        <v/>
      </c>
      <c r="V4104" s="19">
        <f>IF($B4104="","",TEXT($B4104,"0000"))</f>
        <v/>
      </c>
      <c r="W4104" s="19">
        <f>IF($I4104="","",IF(ISNUMBER($I4104),TEXT($I4104,"0"),$I4104))</f>
        <v/>
      </c>
    </row>
    <row r="4105">
      <c r="B4105" s="25" t="n"/>
      <c r="I4105" s="25" t="n"/>
      <c r="U4105" s="19">
        <f>IF($V4105&lt;&gt;'設定'!$C$4,N(U4104),IF(OR(NOT(COUNTIF('商品マスタ'!$B$6:$B$1005,$W4105)=0),COUNTIFS('①在庫を貼る'!$V$6:$V$10005,$V4105,'①在庫を貼る'!$W$6:$W$10005,$W4105)+COUNTIFS('月1回_1ヶ月前の在庫'!$V$6:$V$10005,$V4105,'月1回_1ヶ月前の在庫'!$W$6:$W$10005,$W4105)&gt;0),N(U4104),N(U4104)+1))</f>
        <v/>
      </c>
      <c r="V4105" s="19">
        <f>IF($B4105="","",TEXT($B4105,"0000"))</f>
        <v/>
      </c>
      <c r="W4105" s="19">
        <f>IF($I4105="","",IF(ISNUMBER($I4105),TEXT($I4105,"0"),$I4105))</f>
        <v/>
      </c>
    </row>
    <row r="4106">
      <c r="B4106" s="25" t="n"/>
      <c r="I4106" s="25" t="n"/>
      <c r="U4106" s="19">
        <f>IF($V4106&lt;&gt;'設定'!$C$4,N(U4105),IF(OR(NOT(COUNTIF('商品マスタ'!$B$6:$B$1005,$W4106)=0),COUNTIFS('①在庫を貼る'!$V$6:$V$10005,$V4106,'①在庫を貼る'!$W$6:$W$10005,$W4106)+COUNTIFS('月1回_1ヶ月前の在庫'!$V$6:$V$10005,$V4106,'月1回_1ヶ月前の在庫'!$W$6:$W$10005,$W4106)&gt;0),N(U4105),N(U4105)+1))</f>
        <v/>
      </c>
      <c r="V4106" s="19">
        <f>IF($B4106="","",TEXT($B4106,"0000"))</f>
        <v/>
      </c>
      <c r="W4106" s="19">
        <f>IF($I4106="","",IF(ISNUMBER($I4106),TEXT($I4106,"0"),$I4106))</f>
        <v/>
      </c>
    </row>
    <row r="4107">
      <c r="B4107" s="25" t="n"/>
      <c r="I4107" s="25" t="n"/>
      <c r="U4107" s="19">
        <f>IF($V4107&lt;&gt;'設定'!$C$4,N(U4106),IF(OR(NOT(COUNTIF('商品マスタ'!$B$6:$B$1005,$W4107)=0),COUNTIFS('①在庫を貼る'!$V$6:$V$10005,$V4107,'①在庫を貼る'!$W$6:$W$10005,$W4107)+COUNTIFS('月1回_1ヶ月前の在庫'!$V$6:$V$10005,$V4107,'月1回_1ヶ月前の在庫'!$W$6:$W$10005,$W4107)&gt;0),N(U4106),N(U4106)+1))</f>
        <v/>
      </c>
      <c r="V4107" s="19">
        <f>IF($B4107="","",TEXT($B4107,"0000"))</f>
        <v/>
      </c>
      <c r="W4107" s="19">
        <f>IF($I4107="","",IF(ISNUMBER($I4107),TEXT($I4107,"0"),$I4107))</f>
        <v/>
      </c>
    </row>
    <row r="4108">
      <c r="B4108" s="25" t="n"/>
      <c r="I4108" s="25" t="n"/>
      <c r="U4108" s="19">
        <f>IF($V4108&lt;&gt;'設定'!$C$4,N(U4107),IF(OR(NOT(COUNTIF('商品マスタ'!$B$6:$B$1005,$W4108)=0),COUNTIFS('①在庫を貼る'!$V$6:$V$10005,$V4108,'①在庫を貼る'!$W$6:$W$10005,$W4108)+COUNTIFS('月1回_1ヶ月前の在庫'!$V$6:$V$10005,$V4108,'月1回_1ヶ月前の在庫'!$W$6:$W$10005,$W4108)&gt;0),N(U4107),N(U4107)+1))</f>
        <v/>
      </c>
      <c r="V4108" s="19">
        <f>IF($B4108="","",TEXT($B4108,"0000"))</f>
        <v/>
      </c>
      <c r="W4108" s="19">
        <f>IF($I4108="","",IF(ISNUMBER($I4108),TEXT($I4108,"0"),$I4108))</f>
        <v/>
      </c>
    </row>
    <row r="4109">
      <c r="B4109" s="25" t="n"/>
      <c r="I4109" s="25" t="n"/>
      <c r="U4109" s="19">
        <f>IF($V4109&lt;&gt;'設定'!$C$4,N(U4108),IF(OR(NOT(COUNTIF('商品マスタ'!$B$6:$B$1005,$W4109)=0),COUNTIFS('①在庫を貼る'!$V$6:$V$10005,$V4109,'①在庫を貼る'!$W$6:$W$10005,$W4109)+COUNTIFS('月1回_1ヶ月前の在庫'!$V$6:$V$10005,$V4109,'月1回_1ヶ月前の在庫'!$W$6:$W$10005,$W4109)&gt;0),N(U4108),N(U4108)+1))</f>
        <v/>
      </c>
      <c r="V4109" s="19">
        <f>IF($B4109="","",TEXT($B4109,"0000"))</f>
        <v/>
      </c>
      <c r="W4109" s="19">
        <f>IF($I4109="","",IF(ISNUMBER($I4109),TEXT($I4109,"0"),$I4109))</f>
        <v/>
      </c>
    </row>
    <row r="4110">
      <c r="B4110" s="25" t="n"/>
      <c r="I4110" s="25" t="n"/>
      <c r="U4110" s="19">
        <f>IF($V4110&lt;&gt;'設定'!$C$4,N(U4109),IF(OR(NOT(COUNTIF('商品マスタ'!$B$6:$B$1005,$W4110)=0),COUNTIFS('①在庫を貼る'!$V$6:$V$10005,$V4110,'①在庫を貼る'!$W$6:$W$10005,$W4110)+COUNTIFS('月1回_1ヶ月前の在庫'!$V$6:$V$10005,$V4110,'月1回_1ヶ月前の在庫'!$W$6:$W$10005,$W4110)&gt;0),N(U4109),N(U4109)+1))</f>
        <v/>
      </c>
      <c r="V4110" s="19">
        <f>IF($B4110="","",TEXT($B4110,"0000"))</f>
        <v/>
      </c>
      <c r="W4110" s="19">
        <f>IF($I4110="","",IF(ISNUMBER($I4110),TEXT($I4110,"0"),$I4110))</f>
        <v/>
      </c>
    </row>
    <row r="4111">
      <c r="B4111" s="25" t="n"/>
      <c r="I4111" s="25" t="n"/>
      <c r="U4111" s="19">
        <f>IF($V4111&lt;&gt;'設定'!$C$4,N(U4110),IF(OR(NOT(COUNTIF('商品マスタ'!$B$6:$B$1005,$W4111)=0),COUNTIFS('①在庫を貼る'!$V$6:$V$10005,$V4111,'①在庫を貼る'!$W$6:$W$10005,$W4111)+COUNTIFS('月1回_1ヶ月前の在庫'!$V$6:$V$10005,$V4111,'月1回_1ヶ月前の在庫'!$W$6:$W$10005,$W4111)&gt;0),N(U4110),N(U4110)+1))</f>
        <v/>
      </c>
      <c r="V4111" s="19">
        <f>IF($B4111="","",TEXT($B4111,"0000"))</f>
        <v/>
      </c>
      <c r="W4111" s="19">
        <f>IF($I4111="","",IF(ISNUMBER($I4111),TEXT($I4111,"0"),$I4111))</f>
        <v/>
      </c>
    </row>
    <row r="4112">
      <c r="B4112" s="25" t="n"/>
      <c r="I4112" s="25" t="n"/>
      <c r="U4112" s="19">
        <f>IF($V4112&lt;&gt;'設定'!$C$4,N(U4111),IF(OR(NOT(COUNTIF('商品マスタ'!$B$6:$B$1005,$W4112)=0),COUNTIFS('①在庫を貼る'!$V$6:$V$10005,$V4112,'①在庫を貼る'!$W$6:$W$10005,$W4112)+COUNTIFS('月1回_1ヶ月前の在庫'!$V$6:$V$10005,$V4112,'月1回_1ヶ月前の在庫'!$W$6:$W$10005,$W4112)&gt;0),N(U4111),N(U4111)+1))</f>
        <v/>
      </c>
      <c r="V4112" s="19">
        <f>IF($B4112="","",TEXT($B4112,"0000"))</f>
        <v/>
      </c>
      <c r="W4112" s="19">
        <f>IF($I4112="","",IF(ISNUMBER($I4112),TEXT($I4112,"0"),$I4112))</f>
        <v/>
      </c>
    </row>
    <row r="4113">
      <c r="B4113" s="25" t="n"/>
      <c r="I4113" s="25" t="n"/>
      <c r="U4113" s="19">
        <f>IF($V4113&lt;&gt;'設定'!$C$4,N(U4112),IF(OR(NOT(COUNTIF('商品マスタ'!$B$6:$B$1005,$W4113)=0),COUNTIFS('①在庫を貼る'!$V$6:$V$10005,$V4113,'①在庫を貼る'!$W$6:$W$10005,$W4113)+COUNTIFS('月1回_1ヶ月前の在庫'!$V$6:$V$10005,$V4113,'月1回_1ヶ月前の在庫'!$W$6:$W$10005,$W4113)&gt;0),N(U4112),N(U4112)+1))</f>
        <v/>
      </c>
      <c r="V4113" s="19">
        <f>IF($B4113="","",TEXT($B4113,"0000"))</f>
        <v/>
      </c>
      <c r="W4113" s="19">
        <f>IF($I4113="","",IF(ISNUMBER($I4113),TEXT($I4113,"0"),$I4113))</f>
        <v/>
      </c>
    </row>
    <row r="4114">
      <c r="B4114" s="25" t="n"/>
      <c r="I4114" s="25" t="n"/>
      <c r="U4114" s="19">
        <f>IF($V4114&lt;&gt;'設定'!$C$4,N(U4113),IF(OR(NOT(COUNTIF('商品マスタ'!$B$6:$B$1005,$W4114)=0),COUNTIFS('①在庫を貼る'!$V$6:$V$10005,$V4114,'①在庫を貼る'!$W$6:$W$10005,$W4114)+COUNTIFS('月1回_1ヶ月前の在庫'!$V$6:$V$10005,$V4114,'月1回_1ヶ月前の在庫'!$W$6:$W$10005,$W4114)&gt;0),N(U4113),N(U4113)+1))</f>
        <v/>
      </c>
      <c r="V4114" s="19">
        <f>IF($B4114="","",TEXT($B4114,"0000"))</f>
        <v/>
      </c>
      <c r="W4114" s="19">
        <f>IF($I4114="","",IF(ISNUMBER($I4114),TEXT($I4114,"0"),$I4114))</f>
        <v/>
      </c>
    </row>
    <row r="4115">
      <c r="B4115" s="25" t="n"/>
      <c r="I4115" s="25" t="n"/>
      <c r="U4115" s="19">
        <f>IF($V4115&lt;&gt;'設定'!$C$4,N(U4114),IF(OR(NOT(COUNTIF('商品マスタ'!$B$6:$B$1005,$W4115)=0),COUNTIFS('①在庫を貼る'!$V$6:$V$10005,$V4115,'①在庫を貼る'!$W$6:$W$10005,$W4115)+COUNTIFS('月1回_1ヶ月前の在庫'!$V$6:$V$10005,$V4115,'月1回_1ヶ月前の在庫'!$W$6:$W$10005,$W4115)&gt;0),N(U4114),N(U4114)+1))</f>
        <v/>
      </c>
      <c r="V4115" s="19">
        <f>IF($B4115="","",TEXT($B4115,"0000"))</f>
        <v/>
      </c>
      <c r="W4115" s="19">
        <f>IF($I4115="","",IF(ISNUMBER($I4115),TEXT($I4115,"0"),$I4115))</f>
        <v/>
      </c>
    </row>
    <row r="4116">
      <c r="B4116" s="25" t="n"/>
      <c r="I4116" s="25" t="n"/>
      <c r="U4116" s="19">
        <f>IF($V4116&lt;&gt;'設定'!$C$4,N(U4115),IF(OR(NOT(COUNTIF('商品マスタ'!$B$6:$B$1005,$W4116)=0),COUNTIFS('①在庫を貼る'!$V$6:$V$10005,$V4116,'①在庫を貼る'!$W$6:$W$10005,$W4116)+COUNTIFS('月1回_1ヶ月前の在庫'!$V$6:$V$10005,$V4116,'月1回_1ヶ月前の在庫'!$W$6:$W$10005,$W4116)&gt;0),N(U4115),N(U4115)+1))</f>
        <v/>
      </c>
      <c r="V4116" s="19">
        <f>IF($B4116="","",TEXT($B4116,"0000"))</f>
        <v/>
      </c>
      <c r="W4116" s="19">
        <f>IF($I4116="","",IF(ISNUMBER($I4116),TEXT($I4116,"0"),$I4116))</f>
        <v/>
      </c>
    </row>
    <row r="4117">
      <c r="B4117" s="25" t="n"/>
      <c r="I4117" s="25" t="n"/>
      <c r="U4117" s="19">
        <f>IF($V4117&lt;&gt;'設定'!$C$4,N(U4116),IF(OR(NOT(COUNTIF('商品マスタ'!$B$6:$B$1005,$W4117)=0),COUNTIFS('①在庫を貼る'!$V$6:$V$10005,$V4117,'①在庫を貼る'!$W$6:$W$10005,$W4117)+COUNTIFS('月1回_1ヶ月前の在庫'!$V$6:$V$10005,$V4117,'月1回_1ヶ月前の在庫'!$W$6:$W$10005,$W4117)&gt;0),N(U4116),N(U4116)+1))</f>
        <v/>
      </c>
      <c r="V4117" s="19">
        <f>IF($B4117="","",TEXT($B4117,"0000"))</f>
        <v/>
      </c>
      <c r="W4117" s="19">
        <f>IF($I4117="","",IF(ISNUMBER($I4117),TEXT($I4117,"0"),$I4117))</f>
        <v/>
      </c>
    </row>
    <row r="4118">
      <c r="B4118" s="25" t="n"/>
      <c r="I4118" s="25" t="n"/>
      <c r="U4118" s="19">
        <f>IF($V4118&lt;&gt;'設定'!$C$4,N(U4117),IF(OR(NOT(COUNTIF('商品マスタ'!$B$6:$B$1005,$W4118)=0),COUNTIFS('①在庫を貼る'!$V$6:$V$10005,$V4118,'①在庫を貼る'!$W$6:$W$10005,$W4118)+COUNTIFS('月1回_1ヶ月前の在庫'!$V$6:$V$10005,$V4118,'月1回_1ヶ月前の在庫'!$W$6:$W$10005,$W4118)&gt;0),N(U4117),N(U4117)+1))</f>
        <v/>
      </c>
      <c r="V4118" s="19">
        <f>IF($B4118="","",TEXT($B4118,"0000"))</f>
        <v/>
      </c>
      <c r="W4118" s="19">
        <f>IF($I4118="","",IF(ISNUMBER($I4118),TEXT($I4118,"0"),$I4118))</f>
        <v/>
      </c>
    </row>
    <row r="4119">
      <c r="B4119" s="25" t="n"/>
      <c r="I4119" s="25" t="n"/>
      <c r="U4119" s="19">
        <f>IF($V4119&lt;&gt;'設定'!$C$4,N(U4118),IF(OR(NOT(COUNTIF('商品マスタ'!$B$6:$B$1005,$W4119)=0),COUNTIFS('①在庫を貼る'!$V$6:$V$10005,$V4119,'①在庫を貼る'!$W$6:$W$10005,$W4119)+COUNTIFS('月1回_1ヶ月前の在庫'!$V$6:$V$10005,$V4119,'月1回_1ヶ月前の在庫'!$W$6:$W$10005,$W4119)&gt;0),N(U4118),N(U4118)+1))</f>
        <v/>
      </c>
      <c r="V4119" s="19">
        <f>IF($B4119="","",TEXT($B4119,"0000"))</f>
        <v/>
      </c>
      <c r="W4119" s="19">
        <f>IF($I4119="","",IF(ISNUMBER($I4119),TEXT($I4119,"0"),$I4119))</f>
        <v/>
      </c>
    </row>
    <row r="4120">
      <c r="B4120" s="25" t="n"/>
      <c r="I4120" s="25" t="n"/>
      <c r="U4120" s="19">
        <f>IF($V4120&lt;&gt;'設定'!$C$4,N(U4119),IF(OR(NOT(COUNTIF('商品マスタ'!$B$6:$B$1005,$W4120)=0),COUNTIFS('①在庫を貼る'!$V$6:$V$10005,$V4120,'①在庫を貼る'!$W$6:$W$10005,$W4120)+COUNTIFS('月1回_1ヶ月前の在庫'!$V$6:$V$10005,$V4120,'月1回_1ヶ月前の在庫'!$W$6:$W$10005,$W4120)&gt;0),N(U4119),N(U4119)+1))</f>
        <v/>
      </c>
      <c r="V4120" s="19">
        <f>IF($B4120="","",TEXT($B4120,"0000"))</f>
        <v/>
      </c>
      <c r="W4120" s="19">
        <f>IF($I4120="","",IF(ISNUMBER($I4120),TEXT($I4120,"0"),$I4120))</f>
        <v/>
      </c>
    </row>
    <row r="4121">
      <c r="B4121" s="25" t="n"/>
      <c r="I4121" s="25" t="n"/>
      <c r="U4121" s="19">
        <f>IF($V4121&lt;&gt;'設定'!$C$4,N(U4120),IF(OR(NOT(COUNTIF('商品マスタ'!$B$6:$B$1005,$W4121)=0),COUNTIFS('①在庫を貼る'!$V$6:$V$10005,$V4121,'①在庫を貼る'!$W$6:$W$10005,$W4121)+COUNTIFS('月1回_1ヶ月前の在庫'!$V$6:$V$10005,$V4121,'月1回_1ヶ月前の在庫'!$W$6:$W$10005,$W4121)&gt;0),N(U4120),N(U4120)+1))</f>
        <v/>
      </c>
      <c r="V4121" s="19">
        <f>IF($B4121="","",TEXT($B4121,"0000"))</f>
        <v/>
      </c>
      <c r="W4121" s="19">
        <f>IF($I4121="","",IF(ISNUMBER($I4121),TEXT($I4121,"0"),$I4121))</f>
        <v/>
      </c>
    </row>
    <row r="4122">
      <c r="B4122" s="25" t="n"/>
      <c r="I4122" s="25" t="n"/>
      <c r="U4122" s="19">
        <f>IF($V4122&lt;&gt;'設定'!$C$4,N(U4121),IF(OR(NOT(COUNTIF('商品マスタ'!$B$6:$B$1005,$W4122)=0),COUNTIFS('①在庫を貼る'!$V$6:$V$10005,$V4122,'①在庫を貼る'!$W$6:$W$10005,$W4122)+COUNTIFS('月1回_1ヶ月前の在庫'!$V$6:$V$10005,$V4122,'月1回_1ヶ月前の在庫'!$W$6:$W$10005,$W4122)&gt;0),N(U4121),N(U4121)+1))</f>
        <v/>
      </c>
      <c r="V4122" s="19">
        <f>IF($B4122="","",TEXT($B4122,"0000"))</f>
        <v/>
      </c>
      <c r="W4122" s="19">
        <f>IF($I4122="","",IF(ISNUMBER($I4122),TEXT($I4122,"0"),$I4122))</f>
        <v/>
      </c>
    </row>
    <row r="4123">
      <c r="B4123" s="25" t="n"/>
      <c r="I4123" s="25" t="n"/>
      <c r="U4123" s="19">
        <f>IF($V4123&lt;&gt;'設定'!$C$4,N(U4122),IF(OR(NOT(COUNTIF('商品マスタ'!$B$6:$B$1005,$W4123)=0),COUNTIFS('①在庫を貼る'!$V$6:$V$10005,$V4123,'①在庫を貼る'!$W$6:$W$10005,$W4123)+COUNTIFS('月1回_1ヶ月前の在庫'!$V$6:$V$10005,$V4123,'月1回_1ヶ月前の在庫'!$W$6:$W$10005,$W4123)&gt;0),N(U4122),N(U4122)+1))</f>
        <v/>
      </c>
      <c r="V4123" s="19">
        <f>IF($B4123="","",TEXT($B4123,"0000"))</f>
        <v/>
      </c>
      <c r="W4123" s="19">
        <f>IF($I4123="","",IF(ISNUMBER($I4123),TEXT($I4123,"0"),$I4123))</f>
        <v/>
      </c>
    </row>
    <row r="4124">
      <c r="B4124" s="25" t="n"/>
      <c r="I4124" s="25" t="n"/>
      <c r="U4124" s="19">
        <f>IF($V4124&lt;&gt;'設定'!$C$4,N(U4123),IF(OR(NOT(COUNTIF('商品マスタ'!$B$6:$B$1005,$W4124)=0),COUNTIFS('①在庫を貼る'!$V$6:$V$10005,$V4124,'①在庫を貼る'!$W$6:$W$10005,$W4124)+COUNTIFS('月1回_1ヶ月前の在庫'!$V$6:$V$10005,$V4124,'月1回_1ヶ月前の在庫'!$W$6:$W$10005,$W4124)&gt;0),N(U4123),N(U4123)+1))</f>
        <v/>
      </c>
      <c r="V4124" s="19">
        <f>IF($B4124="","",TEXT($B4124,"0000"))</f>
        <v/>
      </c>
      <c r="W4124" s="19">
        <f>IF($I4124="","",IF(ISNUMBER($I4124),TEXT($I4124,"0"),$I4124))</f>
        <v/>
      </c>
    </row>
    <row r="4125">
      <c r="B4125" s="25" t="n"/>
      <c r="I4125" s="25" t="n"/>
      <c r="U4125" s="19">
        <f>IF($V4125&lt;&gt;'設定'!$C$4,N(U4124),IF(OR(NOT(COUNTIF('商品マスタ'!$B$6:$B$1005,$W4125)=0),COUNTIFS('①在庫を貼る'!$V$6:$V$10005,$V4125,'①在庫を貼る'!$W$6:$W$10005,$W4125)+COUNTIFS('月1回_1ヶ月前の在庫'!$V$6:$V$10005,$V4125,'月1回_1ヶ月前の在庫'!$W$6:$W$10005,$W4125)&gt;0),N(U4124),N(U4124)+1))</f>
        <v/>
      </c>
      <c r="V4125" s="19">
        <f>IF($B4125="","",TEXT($B4125,"0000"))</f>
        <v/>
      </c>
      <c r="W4125" s="19">
        <f>IF($I4125="","",IF(ISNUMBER($I4125),TEXT($I4125,"0"),$I4125))</f>
        <v/>
      </c>
    </row>
    <row r="4126">
      <c r="B4126" s="25" t="n"/>
      <c r="I4126" s="25" t="n"/>
      <c r="U4126" s="19">
        <f>IF($V4126&lt;&gt;'設定'!$C$4,N(U4125),IF(OR(NOT(COUNTIF('商品マスタ'!$B$6:$B$1005,$W4126)=0),COUNTIFS('①在庫を貼る'!$V$6:$V$10005,$V4126,'①在庫を貼る'!$W$6:$W$10005,$W4126)+COUNTIFS('月1回_1ヶ月前の在庫'!$V$6:$V$10005,$V4126,'月1回_1ヶ月前の在庫'!$W$6:$W$10005,$W4126)&gt;0),N(U4125),N(U4125)+1))</f>
        <v/>
      </c>
      <c r="V4126" s="19">
        <f>IF($B4126="","",TEXT($B4126,"0000"))</f>
        <v/>
      </c>
      <c r="W4126" s="19">
        <f>IF($I4126="","",IF(ISNUMBER($I4126),TEXT($I4126,"0"),$I4126))</f>
        <v/>
      </c>
    </row>
    <row r="4127">
      <c r="B4127" s="25" t="n"/>
      <c r="I4127" s="25" t="n"/>
      <c r="U4127" s="19">
        <f>IF($V4127&lt;&gt;'設定'!$C$4,N(U4126),IF(OR(NOT(COUNTIF('商品マスタ'!$B$6:$B$1005,$W4127)=0),COUNTIFS('①在庫を貼る'!$V$6:$V$10005,$V4127,'①在庫を貼る'!$W$6:$W$10005,$W4127)+COUNTIFS('月1回_1ヶ月前の在庫'!$V$6:$V$10005,$V4127,'月1回_1ヶ月前の在庫'!$W$6:$W$10005,$W4127)&gt;0),N(U4126),N(U4126)+1))</f>
        <v/>
      </c>
      <c r="V4127" s="19">
        <f>IF($B4127="","",TEXT($B4127,"0000"))</f>
        <v/>
      </c>
      <c r="W4127" s="19">
        <f>IF($I4127="","",IF(ISNUMBER($I4127),TEXT($I4127,"0"),$I4127))</f>
        <v/>
      </c>
    </row>
    <row r="4128">
      <c r="B4128" s="25" t="n"/>
      <c r="I4128" s="25" t="n"/>
      <c r="U4128" s="19">
        <f>IF($V4128&lt;&gt;'設定'!$C$4,N(U4127),IF(OR(NOT(COUNTIF('商品マスタ'!$B$6:$B$1005,$W4128)=0),COUNTIFS('①在庫を貼る'!$V$6:$V$10005,$V4128,'①在庫を貼る'!$W$6:$W$10005,$W4128)+COUNTIFS('月1回_1ヶ月前の在庫'!$V$6:$V$10005,$V4128,'月1回_1ヶ月前の在庫'!$W$6:$W$10005,$W4128)&gt;0),N(U4127),N(U4127)+1))</f>
        <v/>
      </c>
      <c r="V4128" s="19">
        <f>IF($B4128="","",TEXT($B4128,"0000"))</f>
        <v/>
      </c>
      <c r="W4128" s="19">
        <f>IF($I4128="","",IF(ISNUMBER($I4128),TEXT($I4128,"0"),$I4128))</f>
        <v/>
      </c>
    </row>
    <row r="4129">
      <c r="B4129" s="25" t="n"/>
      <c r="I4129" s="25" t="n"/>
      <c r="U4129" s="19">
        <f>IF($V4129&lt;&gt;'設定'!$C$4,N(U4128),IF(OR(NOT(COUNTIF('商品マスタ'!$B$6:$B$1005,$W4129)=0),COUNTIFS('①在庫を貼る'!$V$6:$V$10005,$V4129,'①在庫を貼る'!$W$6:$W$10005,$W4129)+COUNTIFS('月1回_1ヶ月前の在庫'!$V$6:$V$10005,$V4129,'月1回_1ヶ月前の在庫'!$W$6:$W$10005,$W4129)&gt;0),N(U4128),N(U4128)+1))</f>
        <v/>
      </c>
      <c r="V4129" s="19">
        <f>IF($B4129="","",TEXT($B4129,"0000"))</f>
        <v/>
      </c>
      <c r="W4129" s="19">
        <f>IF($I4129="","",IF(ISNUMBER($I4129),TEXT($I4129,"0"),$I4129))</f>
        <v/>
      </c>
    </row>
    <row r="4130">
      <c r="B4130" s="25" t="n"/>
      <c r="I4130" s="25" t="n"/>
      <c r="U4130" s="19">
        <f>IF($V4130&lt;&gt;'設定'!$C$4,N(U4129),IF(OR(NOT(COUNTIF('商品マスタ'!$B$6:$B$1005,$W4130)=0),COUNTIFS('①在庫を貼る'!$V$6:$V$10005,$V4130,'①在庫を貼る'!$W$6:$W$10005,$W4130)+COUNTIFS('月1回_1ヶ月前の在庫'!$V$6:$V$10005,$V4130,'月1回_1ヶ月前の在庫'!$W$6:$W$10005,$W4130)&gt;0),N(U4129),N(U4129)+1))</f>
        <v/>
      </c>
      <c r="V4130" s="19">
        <f>IF($B4130="","",TEXT($B4130,"0000"))</f>
        <v/>
      </c>
      <c r="W4130" s="19">
        <f>IF($I4130="","",IF(ISNUMBER($I4130),TEXT($I4130,"0"),$I4130))</f>
        <v/>
      </c>
    </row>
    <row r="4131">
      <c r="B4131" s="25" t="n"/>
      <c r="I4131" s="25" t="n"/>
      <c r="U4131" s="19">
        <f>IF($V4131&lt;&gt;'設定'!$C$4,N(U4130),IF(OR(NOT(COUNTIF('商品マスタ'!$B$6:$B$1005,$W4131)=0),COUNTIFS('①在庫を貼る'!$V$6:$V$10005,$V4131,'①在庫を貼る'!$W$6:$W$10005,$W4131)+COUNTIFS('月1回_1ヶ月前の在庫'!$V$6:$V$10005,$V4131,'月1回_1ヶ月前の在庫'!$W$6:$W$10005,$W4131)&gt;0),N(U4130),N(U4130)+1))</f>
        <v/>
      </c>
      <c r="V4131" s="19">
        <f>IF($B4131="","",TEXT($B4131,"0000"))</f>
        <v/>
      </c>
      <c r="W4131" s="19">
        <f>IF($I4131="","",IF(ISNUMBER($I4131),TEXT($I4131,"0"),$I4131))</f>
        <v/>
      </c>
    </row>
    <row r="4132">
      <c r="B4132" s="25" t="n"/>
      <c r="I4132" s="25" t="n"/>
      <c r="U4132" s="19">
        <f>IF($V4132&lt;&gt;'設定'!$C$4,N(U4131),IF(OR(NOT(COUNTIF('商品マスタ'!$B$6:$B$1005,$W4132)=0),COUNTIFS('①在庫を貼る'!$V$6:$V$10005,$V4132,'①在庫を貼る'!$W$6:$W$10005,$W4132)+COUNTIFS('月1回_1ヶ月前の在庫'!$V$6:$V$10005,$V4132,'月1回_1ヶ月前の在庫'!$W$6:$W$10005,$W4132)&gt;0),N(U4131),N(U4131)+1))</f>
        <v/>
      </c>
      <c r="V4132" s="19">
        <f>IF($B4132="","",TEXT($B4132,"0000"))</f>
        <v/>
      </c>
      <c r="W4132" s="19">
        <f>IF($I4132="","",IF(ISNUMBER($I4132),TEXT($I4132,"0"),$I4132))</f>
        <v/>
      </c>
    </row>
    <row r="4133">
      <c r="B4133" s="25" t="n"/>
      <c r="I4133" s="25" t="n"/>
      <c r="U4133" s="19">
        <f>IF($V4133&lt;&gt;'設定'!$C$4,N(U4132),IF(OR(NOT(COUNTIF('商品マスタ'!$B$6:$B$1005,$W4133)=0),COUNTIFS('①在庫を貼る'!$V$6:$V$10005,$V4133,'①在庫を貼る'!$W$6:$W$10005,$W4133)+COUNTIFS('月1回_1ヶ月前の在庫'!$V$6:$V$10005,$V4133,'月1回_1ヶ月前の在庫'!$W$6:$W$10005,$W4133)&gt;0),N(U4132),N(U4132)+1))</f>
        <v/>
      </c>
      <c r="V4133" s="19">
        <f>IF($B4133="","",TEXT($B4133,"0000"))</f>
        <v/>
      </c>
      <c r="W4133" s="19">
        <f>IF($I4133="","",IF(ISNUMBER($I4133),TEXT($I4133,"0"),$I4133))</f>
        <v/>
      </c>
    </row>
    <row r="4134">
      <c r="B4134" s="25" t="n"/>
      <c r="I4134" s="25" t="n"/>
      <c r="U4134" s="19">
        <f>IF($V4134&lt;&gt;'設定'!$C$4,N(U4133),IF(OR(NOT(COUNTIF('商品マスタ'!$B$6:$B$1005,$W4134)=0),COUNTIFS('①在庫を貼る'!$V$6:$V$10005,$V4134,'①在庫を貼る'!$W$6:$W$10005,$W4134)+COUNTIFS('月1回_1ヶ月前の在庫'!$V$6:$V$10005,$V4134,'月1回_1ヶ月前の在庫'!$W$6:$W$10005,$W4134)&gt;0),N(U4133),N(U4133)+1))</f>
        <v/>
      </c>
      <c r="V4134" s="19">
        <f>IF($B4134="","",TEXT($B4134,"0000"))</f>
        <v/>
      </c>
      <c r="W4134" s="19">
        <f>IF($I4134="","",IF(ISNUMBER($I4134),TEXT($I4134,"0"),$I4134))</f>
        <v/>
      </c>
    </row>
    <row r="4135">
      <c r="B4135" s="25" t="n"/>
      <c r="I4135" s="25" t="n"/>
      <c r="U4135" s="19">
        <f>IF($V4135&lt;&gt;'設定'!$C$4,N(U4134),IF(OR(NOT(COUNTIF('商品マスタ'!$B$6:$B$1005,$W4135)=0),COUNTIFS('①在庫を貼る'!$V$6:$V$10005,$V4135,'①在庫を貼る'!$W$6:$W$10005,$W4135)+COUNTIFS('月1回_1ヶ月前の在庫'!$V$6:$V$10005,$V4135,'月1回_1ヶ月前の在庫'!$W$6:$W$10005,$W4135)&gt;0),N(U4134),N(U4134)+1))</f>
        <v/>
      </c>
      <c r="V4135" s="19">
        <f>IF($B4135="","",TEXT($B4135,"0000"))</f>
        <v/>
      </c>
      <c r="W4135" s="19">
        <f>IF($I4135="","",IF(ISNUMBER($I4135),TEXT($I4135,"0"),$I4135))</f>
        <v/>
      </c>
    </row>
    <row r="4136">
      <c r="B4136" s="25" t="n"/>
      <c r="I4136" s="25" t="n"/>
      <c r="U4136" s="19">
        <f>IF($V4136&lt;&gt;'設定'!$C$4,N(U4135),IF(OR(NOT(COUNTIF('商品マスタ'!$B$6:$B$1005,$W4136)=0),COUNTIFS('①在庫を貼る'!$V$6:$V$10005,$V4136,'①在庫を貼る'!$W$6:$W$10005,$W4136)+COUNTIFS('月1回_1ヶ月前の在庫'!$V$6:$V$10005,$V4136,'月1回_1ヶ月前の在庫'!$W$6:$W$10005,$W4136)&gt;0),N(U4135),N(U4135)+1))</f>
        <v/>
      </c>
      <c r="V4136" s="19">
        <f>IF($B4136="","",TEXT($B4136,"0000"))</f>
        <v/>
      </c>
      <c r="W4136" s="19">
        <f>IF($I4136="","",IF(ISNUMBER($I4136),TEXT($I4136,"0"),$I4136))</f>
        <v/>
      </c>
    </row>
    <row r="4137">
      <c r="B4137" s="25" t="n"/>
      <c r="I4137" s="25" t="n"/>
      <c r="U4137" s="19">
        <f>IF($V4137&lt;&gt;'設定'!$C$4,N(U4136),IF(OR(NOT(COUNTIF('商品マスタ'!$B$6:$B$1005,$W4137)=0),COUNTIFS('①在庫を貼る'!$V$6:$V$10005,$V4137,'①在庫を貼る'!$W$6:$W$10005,$W4137)+COUNTIFS('月1回_1ヶ月前の在庫'!$V$6:$V$10005,$V4137,'月1回_1ヶ月前の在庫'!$W$6:$W$10005,$W4137)&gt;0),N(U4136),N(U4136)+1))</f>
        <v/>
      </c>
      <c r="V4137" s="19">
        <f>IF($B4137="","",TEXT($B4137,"0000"))</f>
        <v/>
      </c>
      <c r="W4137" s="19">
        <f>IF($I4137="","",IF(ISNUMBER($I4137),TEXT($I4137,"0"),$I4137))</f>
        <v/>
      </c>
    </row>
    <row r="4138">
      <c r="B4138" s="25" t="n"/>
      <c r="I4138" s="25" t="n"/>
      <c r="U4138" s="19">
        <f>IF($V4138&lt;&gt;'設定'!$C$4,N(U4137),IF(OR(NOT(COUNTIF('商品マスタ'!$B$6:$B$1005,$W4138)=0),COUNTIFS('①在庫を貼る'!$V$6:$V$10005,$V4138,'①在庫を貼る'!$W$6:$W$10005,$W4138)+COUNTIFS('月1回_1ヶ月前の在庫'!$V$6:$V$10005,$V4138,'月1回_1ヶ月前の在庫'!$W$6:$W$10005,$W4138)&gt;0),N(U4137),N(U4137)+1))</f>
        <v/>
      </c>
      <c r="V4138" s="19">
        <f>IF($B4138="","",TEXT($B4138,"0000"))</f>
        <v/>
      </c>
      <c r="W4138" s="19">
        <f>IF($I4138="","",IF(ISNUMBER($I4138),TEXT($I4138,"0"),$I4138))</f>
        <v/>
      </c>
    </row>
    <row r="4139">
      <c r="B4139" s="25" t="n"/>
      <c r="I4139" s="25" t="n"/>
      <c r="U4139" s="19">
        <f>IF($V4139&lt;&gt;'設定'!$C$4,N(U4138),IF(OR(NOT(COUNTIF('商品マスタ'!$B$6:$B$1005,$W4139)=0),COUNTIFS('①在庫を貼る'!$V$6:$V$10005,$V4139,'①在庫を貼る'!$W$6:$W$10005,$W4139)+COUNTIFS('月1回_1ヶ月前の在庫'!$V$6:$V$10005,$V4139,'月1回_1ヶ月前の在庫'!$W$6:$W$10005,$W4139)&gt;0),N(U4138),N(U4138)+1))</f>
        <v/>
      </c>
      <c r="V4139" s="19">
        <f>IF($B4139="","",TEXT($B4139,"0000"))</f>
        <v/>
      </c>
      <c r="W4139" s="19">
        <f>IF($I4139="","",IF(ISNUMBER($I4139),TEXT($I4139,"0"),$I4139))</f>
        <v/>
      </c>
    </row>
    <row r="4140">
      <c r="B4140" s="25" t="n"/>
      <c r="I4140" s="25" t="n"/>
      <c r="U4140" s="19">
        <f>IF($V4140&lt;&gt;'設定'!$C$4,N(U4139),IF(OR(NOT(COUNTIF('商品マスタ'!$B$6:$B$1005,$W4140)=0),COUNTIFS('①在庫を貼る'!$V$6:$V$10005,$V4140,'①在庫を貼る'!$W$6:$W$10005,$W4140)+COUNTIFS('月1回_1ヶ月前の在庫'!$V$6:$V$10005,$V4140,'月1回_1ヶ月前の在庫'!$W$6:$W$10005,$W4140)&gt;0),N(U4139),N(U4139)+1))</f>
        <v/>
      </c>
      <c r="V4140" s="19">
        <f>IF($B4140="","",TEXT($B4140,"0000"))</f>
        <v/>
      </c>
      <c r="W4140" s="19">
        <f>IF($I4140="","",IF(ISNUMBER($I4140),TEXT($I4140,"0"),$I4140))</f>
        <v/>
      </c>
    </row>
    <row r="4141">
      <c r="B4141" s="25" t="n"/>
      <c r="I4141" s="25" t="n"/>
      <c r="U4141" s="19">
        <f>IF($V4141&lt;&gt;'設定'!$C$4,N(U4140),IF(OR(NOT(COUNTIF('商品マスタ'!$B$6:$B$1005,$W4141)=0),COUNTIFS('①在庫を貼る'!$V$6:$V$10005,$V4141,'①在庫を貼る'!$W$6:$W$10005,$W4141)+COUNTIFS('月1回_1ヶ月前の在庫'!$V$6:$V$10005,$V4141,'月1回_1ヶ月前の在庫'!$W$6:$W$10005,$W4141)&gt;0),N(U4140),N(U4140)+1))</f>
        <v/>
      </c>
      <c r="V4141" s="19">
        <f>IF($B4141="","",TEXT($B4141,"0000"))</f>
        <v/>
      </c>
      <c r="W4141" s="19">
        <f>IF($I4141="","",IF(ISNUMBER($I4141),TEXT($I4141,"0"),$I4141))</f>
        <v/>
      </c>
    </row>
    <row r="4142">
      <c r="B4142" s="25" t="n"/>
      <c r="I4142" s="25" t="n"/>
      <c r="U4142" s="19">
        <f>IF($V4142&lt;&gt;'設定'!$C$4,N(U4141),IF(OR(NOT(COUNTIF('商品マスタ'!$B$6:$B$1005,$W4142)=0),COUNTIFS('①在庫を貼る'!$V$6:$V$10005,$V4142,'①在庫を貼る'!$W$6:$W$10005,$W4142)+COUNTIFS('月1回_1ヶ月前の在庫'!$V$6:$V$10005,$V4142,'月1回_1ヶ月前の在庫'!$W$6:$W$10005,$W4142)&gt;0),N(U4141),N(U4141)+1))</f>
        <v/>
      </c>
      <c r="V4142" s="19">
        <f>IF($B4142="","",TEXT($B4142,"0000"))</f>
        <v/>
      </c>
      <c r="W4142" s="19">
        <f>IF($I4142="","",IF(ISNUMBER($I4142),TEXT($I4142,"0"),$I4142))</f>
        <v/>
      </c>
    </row>
    <row r="4143">
      <c r="B4143" s="25" t="n"/>
      <c r="I4143" s="25" t="n"/>
      <c r="U4143" s="19">
        <f>IF($V4143&lt;&gt;'設定'!$C$4,N(U4142),IF(OR(NOT(COUNTIF('商品マスタ'!$B$6:$B$1005,$W4143)=0),COUNTIFS('①在庫を貼る'!$V$6:$V$10005,$V4143,'①在庫を貼る'!$W$6:$W$10005,$W4143)+COUNTIFS('月1回_1ヶ月前の在庫'!$V$6:$V$10005,$V4143,'月1回_1ヶ月前の在庫'!$W$6:$W$10005,$W4143)&gt;0),N(U4142),N(U4142)+1))</f>
        <v/>
      </c>
      <c r="V4143" s="19">
        <f>IF($B4143="","",TEXT($B4143,"0000"))</f>
        <v/>
      </c>
      <c r="W4143" s="19">
        <f>IF($I4143="","",IF(ISNUMBER($I4143),TEXT($I4143,"0"),$I4143))</f>
        <v/>
      </c>
    </row>
    <row r="4144">
      <c r="B4144" s="25" t="n"/>
      <c r="I4144" s="25" t="n"/>
      <c r="U4144" s="19">
        <f>IF($V4144&lt;&gt;'設定'!$C$4,N(U4143),IF(OR(NOT(COUNTIF('商品マスタ'!$B$6:$B$1005,$W4144)=0),COUNTIFS('①在庫を貼る'!$V$6:$V$10005,$V4144,'①在庫を貼る'!$W$6:$W$10005,$W4144)+COUNTIFS('月1回_1ヶ月前の在庫'!$V$6:$V$10005,$V4144,'月1回_1ヶ月前の在庫'!$W$6:$W$10005,$W4144)&gt;0),N(U4143),N(U4143)+1))</f>
        <v/>
      </c>
      <c r="V4144" s="19">
        <f>IF($B4144="","",TEXT($B4144,"0000"))</f>
        <v/>
      </c>
      <c r="W4144" s="19">
        <f>IF($I4144="","",IF(ISNUMBER($I4144),TEXT($I4144,"0"),$I4144))</f>
        <v/>
      </c>
    </row>
    <row r="4145">
      <c r="B4145" s="25" t="n"/>
      <c r="I4145" s="25" t="n"/>
      <c r="U4145" s="19">
        <f>IF($V4145&lt;&gt;'設定'!$C$4,N(U4144),IF(OR(NOT(COUNTIF('商品マスタ'!$B$6:$B$1005,$W4145)=0),COUNTIFS('①在庫を貼る'!$V$6:$V$10005,$V4145,'①在庫を貼る'!$W$6:$W$10005,$W4145)+COUNTIFS('月1回_1ヶ月前の在庫'!$V$6:$V$10005,$V4145,'月1回_1ヶ月前の在庫'!$W$6:$W$10005,$W4145)&gt;0),N(U4144),N(U4144)+1))</f>
        <v/>
      </c>
      <c r="V4145" s="19">
        <f>IF($B4145="","",TEXT($B4145,"0000"))</f>
        <v/>
      </c>
      <c r="W4145" s="19">
        <f>IF($I4145="","",IF(ISNUMBER($I4145),TEXT($I4145,"0"),$I4145))</f>
        <v/>
      </c>
    </row>
    <row r="4146">
      <c r="B4146" s="25" t="n"/>
      <c r="I4146" s="25" t="n"/>
      <c r="U4146" s="19">
        <f>IF($V4146&lt;&gt;'設定'!$C$4,N(U4145),IF(OR(NOT(COUNTIF('商品マスタ'!$B$6:$B$1005,$W4146)=0),COUNTIFS('①在庫を貼る'!$V$6:$V$10005,$V4146,'①在庫を貼る'!$W$6:$W$10005,$W4146)+COUNTIFS('月1回_1ヶ月前の在庫'!$V$6:$V$10005,$V4146,'月1回_1ヶ月前の在庫'!$W$6:$W$10005,$W4146)&gt;0),N(U4145),N(U4145)+1))</f>
        <v/>
      </c>
      <c r="V4146" s="19">
        <f>IF($B4146="","",TEXT($B4146,"0000"))</f>
        <v/>
      </c>
      <c r="W4146" s="19">
        <f>IF($I4146="","",IF(ISNUMBER($I4146),TEXT($I4146,"0"),$I4146))</f>
        <v/>
      </c>
    </row>
    <row r="4147">
      <c r="B4147" s="25" t="n"/>
      <c r="I4147" s="25" t="n"/>
      <c r="U4147" s="19">
        <f>IF($V4147&lt;&gt;'設定'!$C$4,N(U4146),IF(OR(NOT(COUNTIF('商品マスタ'!$B$6:$B$1005,$W4147)=0),COUNTIFS('①在庫を貼る'!$V$6:$V$10005,$V4147,'①在庫を貼る'!$W$6:$W$10005,$W4147)+COUNTIFS('月1回_1ヶ月前の在庫'!$V$6:$V$10005,$V4147,'月1回_1ヶ月前の在庫'!$W$6:$W$10005,$W4147)&gt;0),N(U4146),N(U4146)+1))</f>
        <v/>
      </c>
      <c r="V4147" s="19">
        <f>IF($B4147="","",TEXT($B4147,"0000"))</f>
        <v/>
      </c>
      <c r="W4147" s="19">
        <f>IF($I4147="","",IF(ISNUMBER($I4147),TEXT($I4147,"0"),$I4147))</f>
        <v/>
      </c>
    </row>
    <row r="4148">
      <c r="B4148" s="25" t="n"/>
      <c r="I4148" s="25" t="n"/>
      <c r="U4148" s="19">
        <f>IF($V4148&lt;&gt;'設定'!$C$4,N(U4147),IF(OR(NOT(COUNTIF('商品マスタ'!$B$6:$B$1005,$W4148)=0),COUNTIFS('①在庫を貼る'!$V$6:$V$10005,$V4148,'①在庫を貼る'!$W$6:$W$10005,$W4148)+COUNTIFS('月1回_1ヶ月前の在庫'!$V$6:$V$10005,$V4148,'月1回_1ヶ月前の在庫'!$W$6:$W$10005,$W4148)&gt;0),N(U4147),N(U4147)+1))</f>
        <v/>
      </c>
      <c r="V4148" s="19">
        <f>IF($B4148="","",TEXT($B4148,"0000"))</f>
        <v/>
      </c>
      <c r="W4148" s="19">
        <f>IF($I4148="","",IF(ISNUMBER($I4148),TEXT($I4148,"0"),$I4148))</f>
        <v/>
      </c>
    </row>
    <row r="4149">
      <c r="B4149" s="25" t="n"/>
      <c r="I4149" s="25" t="n"/>
      <c r="U4149" s="19">
        <f>IF($V4149&lt;&gt;'設定'!$C$4,N(U4148),IF(OR(NOT(COUNTIF('商品マスタ'!$B$6:$B$1005,$W4149)=0),COUNTIFS('①在庫を貼る'!$V$6:$V$10005,$V4149,'①在庫を貼る'!$W$6:$W$10005,$W4149)+COUNTIFS('月1回_1ヶ月前の在庫'!$V$6:$V$10005,$V4149,'月1回_1ヶ月前の在庫'!$W$6:$W$10005,$W4149)&gt;0),N(U4148),N(U4148)+1))</f>
        <v/>
      </c>
      <c r="V4149" s="19">
        <f>IF($B4149="","",TEXT($B4149,"0000"))</f>
        <v/>
      </c>
      <c r="W4149" s="19">
        <f>IF($I4149="","",IF(ISNUMBER($I4149),TEXT($I4149,"0"),$I4149))</f>
        <v/>
      </c>
    </row>
    <row r="4150">
      <c r="B4150" s="25" t="n"/>
      <c r="I4150" s="25" t="n"/>
      <c r="U4150" s="19">
        <f>IF($V4150&lt;&gt;'設定'!$C$4,N(U4149),IF(OR(NOT(COUNTIF('商品マスタ'!$B$6:$B$1005,$W4150)=0),COUNTIFS('①在庫を貼る'!$V$6:$V$10005,$V4150,'①在庫を貼る'!$W$6:$W$10005,$W4150)+COUNTIFS('月1回_1ヶ月前の在庫'!$V$6:$V$10005,$V4150,'月1回_1ヶ月前の在庫'!$W$6:$W$10005,$W4150)&gt;0),N(U4149),N(U4149)+1))</f>
        <v/>
      </c>
      <c r="V4150" s="19">
        <f>IF($B4150="","",TEXT($B4150,"0000"))</f>
        <v/>
      </c>
      <c r="W4150" s="19">
        <f>IF($I4150="","",IF(ISNUMBER($I4150),TEXT($I4150,"0"),$I4150))</f>
        <v/>
      </c>
    </row>
    <row r="4151">
      <c r="B4151" s="25" t="n"/>
      <c r="I4151" s="25" t="n"/>
      <c r="U4151" s="19">
        <f>IF($V4151&lt;&gt;'設定'!$C$4,N(U4150),IF(OR(NOT(COUNTIF('商品マスタ'!$B$6:$B$1005,$W4151)=0),COUNTIFS('①在庫を貼る'!$V$6:$V$10005,$V4151,'①在庫を貼る'!$W$6:$W$10005,$W4151)+COUNTIFS('月1回_1ヶ月前の在庫'!$V$6:$V$10005,$V4151,'月1回_1ヶ月前の在庫'!$W$6:$W$10005,$W4151)&gt;0),N(U4150),N(U4150)+1))</f>
        <v/>
      </c>
      <c r="V4151" s="19">
        <f>IF($B4151="","",TEXT($B4151,"0000"))</f>
        <v/>
      </c>
      <c r="W4151" s="19">
        <f>IF($I4151="","",IF(ISNUMBER($I4151),TEXT($I4151,"0"),$I4151))</f>
        <v/>
      </c>
    </row>
    <row r="4152">
      <c r="B4152" s="25" t="n"/>
      <c r="I4152" s="25" t="n"/>
      <c r="U4152" s="19">
        <f>IF($V4152&lt;&gt;'設定'!$C$4,N(U4151),IF(OR(NOT(COUNTIF('商品マスタ'!$B$6:$B$1005,$W4152)=0),COUNTIFS('①在庫を貼る'!$V$6:$V$10005,$V4152,'①在庫を貼る'!$W$6:$W$10005,$W4152)+COUNTIFS('月1回_1ヶ月前の在庫'!$V$6:$V$10005,$V4152,'月1回_1ヶ月前の在庫'!$W$6:$W$10005,$W4152)&gt;0),N(U4151),N(U4151)+1))</f>
        <v/>
      </c>
      <c r="V4152" s="19">
        <f>IF($B4152="","",TEXT($B4152,"0000"))</f>
        <v/>
      </c>
      <c r="W4152" s="19">
        <f>IF($I4152="","",IF(ISNUMBER($I4152),TEXT($I4152,"0"),$I4152))</f>
        <v/>
      </c>
    </row>
    <row r="4153">
      <c r="B4153" s="25" t="n"/>
      <c r="I4153" s="25" t="n"/>
      <c r="U4153" s="19">
        <f>IF($V4153&lt;&gt;'設定'!$C$4,N(U4152),IF(OR(NOT(COUNTIF('商品マスタ'!$B$6:$B$1005,$W4153)=0),COUNTIFS('①在庫を貼る'!$V$6:$V$10005,$V4153,'①在庫を貼る'!$W$6:$W$10005,$W4153)+COUNTIFS('月1回_1ヶ月前の在庫'!$V$6:$V$10005,$V4153,'月1回_1ヶ月前の在庫'!$W$6:$W$10005,$W4153)&gt;0),N(U4152),N(U4152)+1))</f>
        <v/>
      </c>
      <c r="V4153" s="19">
        <f>IF($B4153="","",TEXT($B4153,"0000"))</f>
        <v/>
      </c>
      <c r="W4153" s="19">
        <f>IF($I4153="","",IF(ISNUMBER($I4153),TEXT($I4153,"0"),$I4153))</f>
        <v/>
      </c>
    </row>
    <row r="4154">
      <c r="B4154" s="25" t="n"/>
      <c r="I4154" s="25" t="n"/>
      <c r="U4154" s="19">
        <f>IF($V4154&lt;&gt;'設定'!$C$4,N(U4153),IF(OR(NOT(COUNTIF('商品マスタ'!$B$6:$B$1005,$W4154)=0),COUNTIFS('①在庫を貼る'!$V$6:$V$10005,$V4154,'①在庫を貼る'!$W$6:$W$10005,$W4154)+COUNTIFS('月1回_1ヶ月前の在庫'!$V$6:$V$10005,$V4154,'月1回_1ヶ月前の在庫'!$W$6:$W$10005,$W4154)&gt;0),N(U4153),N(U4153)+1))</f>
        <v/>
      </c>
      <c r="V4154" s="19">
        <f>IF($B4154="","",TEXT($B4154,"0000"))</f>
        <v/>
      </c>
      <c r="W4154" s="19">
        <f>IF($I4154="","",IF(ISNUMBER($I4154),TEXT($I4154,"0"),$I4154))</f>
        <v/>
      </c>
    </row>
    <row r="4155">
      <c r="B4155" s="25" t="n"/>
      <c r="I4155" s="25" t="n"/>
      <c r="U4155" s="19">
        <f>IF($V4155&lt;&gt;'設定'!$C$4,N(U4154),IF(OR(NOT(COUNTIF('商品マスタ'!$B$6:$B$1005,$W4155)=0),COUNTIFS('①在庫を貼る'!$V$6:$V$10005,$V4155,'①在庫を貼る'!$W$6:$W$10005,$W4155)+COUNTIFS('月1回_1ヶ月前の在庫'!$V$6:$V$10005,$V4155,'月1回_1ヶ月前の在庫'!$W$6:$W$10005,$W4155)&gt;0),N(U4154),N(U4154)+1))</f>
        <v/>
      </c>
      <c r="V4155" s="19">
        <f>IF($B4155="","",TEXT($B4155,"0000"))</f>
        <v/>
      </c>
      <c r="W4155" s="19">
        <f>IF($I4155="","",IF(ISNUMBER($I4155),TEXT($I4155,"0"),$I4155))</f>
        <v/>
      </c>
    </row>
    <row r="4156">
      <c r="B4156" s="25" t="n"/>
      <c r="I4156" s="25" t="n"/>
      <c r="U4156" s="19">
        <f>IF($V4156&lt;&gt;'設定'!$C$4,N(U4155),IF(OR(NOT(COUNTIF('商品マスタ'!$B$6:$B$1005,$W4156)=0),COUNTIFS('①在庫を貼る'!$V$6:$V$10005,$V4156,'①在庫を貼る'!$W$6:$W$10005,$W4156)+COUNTIFS('月1回_1ヶ月前の在庫'!$V$6:$V$10005,$V4156,'月1回_1ヶ月前の在庫'!$W$6:$W$10005,$W4156)&gt;0),N(U4155),N(U4155)+1))</f>
        <v/>
      </c>
      <c r="V4156" s="19">
        <f>IF($B4156="","",TEXT($B4156,"0000"))</f>
        <v/>
      </c>
      <c r="W4156" s="19">
        <f>IF($I4156="","",IF(ISNUMBER($I4156),TEXT($I4156,"0"),$I4156))</f>
        <v/>
      </c>
    </row>
    <row r="4157">
      <c r="B4157" s="25" t="n"/>
      <c r="I4157" s="25" t="n"/>
      <c r="U4157" s="19">
        <f>IF($V4157&lt;&gt;'設定'!$C$4,N(U4156),IF(OR(NOT(COUNTIF('商品マスタ'!$B$6:$B$1005,$W4157)=0),COUNTIFS('①在庫を貼る'!$V$6:$V$10005,$V4157,'①在庫を貼る'!$W$6:$W$10005,$W4157)+COUNTIFS('月1回_1ヶ月前の在庫'!$V$6:$V$10005,$V4157,'月1回_1ヶ月前の在庫'!$W$6:$W$10005,$W4157)&gt;0),N(U4156),N(U4156)+1))</f>
        <v/>
      </c>
      <c r="V4157" s="19">
        <f>IF($B4157="","",TEXT($B4157,"0000"))</f>
        <v/>
      </c>
      <c r="W4157" s="19">
        <f>IF($I4157="","",IF(ISNUMBER($I4157),TEXT($I4157,"0"),$I4157))</f>
        <v/>
      </c>
    </row>
    <row r="4158">
      <c r="B4158" s="25" t="n"/>
      <c r="I4158" s="25" t="n"/>
      <c r="U4158" s="19">
        <f>IF($V4158&lt;&gt;'設定'!$C$4,N(U4157),IF(OR(NOT(COUNTIF('商品マスタ'!$B$6:$B$1005,$W4158)=0),COUNTIFS('①在庫を貼る'!$V$6:$V$10005,$V4158,'①在庫を貼る'!$W$6:$W$10005,$W4158)+COUNTIFS('月1回_1ヶ月前の在庫'!$V$6:$V$10005,$V4158,'月1回_1ヶ月前の在庫'!$W$6:$W$10005,$W4158)&gt;0),N(U4157),N(U4157)+1))</f>
        <v/>
      </c>
      <c r="V4158" s="19">
        <f>IF($B4158="","",TEXT($B4158,"0000"))</f>
        <v/>
      </c>
      <c r="W4158" s="19">
        <f>IF($I4158="","",IF(ISNUMBER($I4158),TEXT($I4158,"0"),$I4158))</f>
        <v/>
      </c>
    </row>
    <row r="4159">
      <c r="B4159" s="25" t="n"/>
      <c r="I4159" s="25" t="n"/>
      <c r="U4159" s="19">
        <f>IF($V4159&lt;&gt;'設定'!$C$4,N(U4158),IF(OR(NOT(COUNTIF('商品マスタ'!$B$6:$B$1005,$W4159)=0),COUNTIFS('①在庫を貼る'!$V$6:$V$10005,$V4159,'①在庫を貼る'!$W$6:$W$10005,$W4159)+COUNTIFS('月1回_1ヶ月前の在庫'!$V$6:$V$10005,$V4159,'月1回_1ヶ月前の在庫'!$W$6:$W$10005,$W4159)&gt;0),N(U4158),N(U4158)+1))</f>
        <v/>
      </c>
      <c r="V4159" s="19">
        <f>IF($B4159="","",TEXT($B4159,"0000"))</f>
        <v/>
      </c>
      <c r="W4159" s="19">
        <f>IF($I4159="","",IF(ISNUMBER($I4159),TEXT($I4159,"0"),$I4159))</f>
        <v/>
      </c>
    </row>
    <row r="4160">
      <c r="B4160" s="25" t="n"/>
      <c r="I4160" s="25" t="n"/>
      <c r="U4160" s="19">
        <f>IF($V4160&lt;&gt;'設定'!$C$4,N(U4159),IF(OR(NOT(COUNTIF('商品マスタ'!$B$6:$B$1005,$W4160)=0),COUNTIFS('①在庫を貼る'!$V$6:$V$10005,$V4160,'①在庫を貼る'!$W$6:$W$10005,$W4160)+COUNTIFS('月1回_1ヶ月前の在庫'!$V$6:$V$10005,$V4160,'月1回_1ヶ月前の在庫'!$W$6:$W$10005,$W4160)&gt;0),N(U4159),N(U4159)+1))</f>
        <v/>
      </c>
      <c r="V4160" s="19">
        <f>IF($B4160="","",TEXT($B4160,"0000"))</f>
        <v/>
      </c>
      <c r="W4160" s="19">
        <f>IF($I4160="","",IF(ISNUMBER($I4160),TEXT($I4160,"0"),$I4160))</f>
        <v/>
      </c>
    </row>
    <row r="4161">
      <c r="B4161" s="25" t="n"/>
      <c r="I4161" s="25" t="n"/>
      <c r="U4161" s="19">
        <f>IF($V4161&lt;&gt;'設定'!$C$4,N(U4160),IF(OR(NOT(COUNTIF('商品マスタ'!$B$6:$B$1005,$W4161)=0),COUNTIFS('①在庫を貼る'!$V$6:$V$10005,$V4161,'①在庫を貼る'!$W$6:$W$10005,$W4161)+COUNTIFS('月1回_1ヶ月前の在庫'!$V$6:$V$10005,$V4161,'月1回_1ヶ月前の在庫'!$W$6:$W$10005,$W4161)&gt;0),N(U4160),N(U4160)+1))</f>
        <v/>
      </c>
      <c r="V4161" s="19">
        <f>IF($B4161="","",TEXT($B4161,"0000"))</f>
        <v/>
      </c>
      <c r="W4161" s="19">
        <f>IF($I4161="","",IF(ISNUMBER($I4161),TEXT($I4161,"0"),$I4161))</f>
        <v/>
      </c>
    </row>
    <row r="4162">
      <c r="B4162" s="25" t="n"/>
      <c r="I4162" s="25" t="n"/>
      <c r="U4162" s="19">
        <f>IF($V4162&lt;&gt;'設定'!$C$4,N(U4161),IF(OR(NOT(COUNTIF('商品マスタ'!$B$6:$B$1005,$W4162)=0),COUNTIFS('①在庫を貼る'!$V$6:$V$10005,$V4162,'①在庫を貼る'!$W$6:$W$10005,$W4162)+COUNTIFS('月1回_1ヶ月前の在庫'!$V$6:$V$10005,$V4162,'月1回_1ヶ月前の在庫'!$W$6:$W$10005,$W4162)&gt;0),N(U4161),N(U4161)+1))</f>
        <v/>
      </c>
      <c r="V4162" s="19">
        <f>IF($B4162="","",TEXT($B4162,"0000"))</f>
        <v/>
      </c>
      <c r="W4162" s="19">
        <f>IF($I4162="","",IF(ISNUMBER($I4162),TEXT($I4162,"0"),$I4162))</f>
        <v/>
      </c>
    </row>
    <row r="4163">
      <c r="B4163" s="25" t="n"/>
      <c r="I4163" s="25" t="n"/>
      <c r="U4163" s="19">
        <f>IF($V4163&lt;&gt;'設定'!$C$4,N(U4162),IF(OR(NOT(COUNTIF('商品マスタ'!$B$6:$B$1005,$W4163)=0),COUNTIFS('①在庫を貼る'!$V$6:$V$10005,$V4163,'①在庫を貼る'!$W$6:$W$10005,$W4163)+COUNTIFS('月1回_1ヶ月前の在庫'!$V$6:$V$10005,$V4163,'月1回_1ヶ月前の在庫'!$W$6:$W$10005,$W4163)&gt;0),N(U4162),N(U4162)+1))</f>
        <v/>
      </c>
      <c r="V4163" s="19">
        <f>IF($B4163="","",TEXT($B4163,"0000"))</f>
        <v/>
      </c>
      <c r="W4163" s="19">
        <f>IF($I4163="","",IF(ISNUMBER($I4163),TEXT($I4163,"0"),$I4163))</f>
        <v/>
      </c>
    </row>
    <row r="4164">
      <c r="B4164" s="25" t="n"/>
      <c r="I4164" s="25" t="n"/>
      <c r="U4164" s="19">
        <f>IF($V4164&lt;&gt;'設定'!$C$4,N(U4163),IF(OR(NOT(COUNTIF('商品マスタ'!$B$6:$B$1005,$W4164)=0),COUNTIFS('①在庫を貼る'!$V$6:$V$10005,$V4164,'①在庫を貼る'!$W$6:$W$10005,$W4164)+COUNTIFS('月1回_1ヶ月前の在庫'!$V$6:$V$10005,$V4164,'月1回_1ヶ月前の在庫'!$W$6:$W$10005,$W4164)&gt;0),N(U4163),N(U4163)+1))</f>
        <v/>
      </c>
      <c r="V4164" s="19">
        <f>IF($B4164="","",TEXT($B4164,"0000"))</f>
        <v/>
      </c>
      <c r="W4164" s="19">
        <f>IF($I4164="","",IF(ISNUMBER($I4164),TEXT($I4164,"0"),$I4164))</f>
        <v/>
      </c>
    </row>
    <row r="4165">
      <c r="B4165" s="25" t="n"/>
      <c r="I4165" s="25" t="n"/>
      <c r="U4165" s="19">
        <f>IF($V4165&lt;&gt;'設定'!$C$4,N(U4164),IF(OR(NOT(COUNTIF('商品マスタ'!$B$6:$B$1005,$W4165)=0),COUNTIFS('①在庫を貼る'!$V$6:$V$10005,$V4165,'①在庫を貼る'!$W$6:$W$10005,$W4165)+COUNTIFS('月1回_1ヶ月前の在庫'!$V$6:$V$10005,$V4165,'月1回_1ヶ月前の在庫'!$W$6:$W$10005,$W4165)&gt;0),N(U4164),N(U4164)+1))</f>
        <v/>
      </c>
      <c r="V4165" s="19">
        <f>IF($B4165="","",TEXT($B4165,"0000"))</f>
        <v/>
      </c>
      <c r="W4165" s="19">
        <f>IF($I4165="","",IF(ISNUMBER($I4165),TEXT($I4165,"0"),$I4165))</f>
        <v/>
      </c>
    </row>
    <row r="4166">
      <c r="B4166" s="25" t="n"/>
      <c r="I4166" s="25" t="n"/>
      <c r="U4166" s="19">
        <f>IF($V4166&lt;&gt;'設定'!$C$4,N(U4165),IF(OR(NOT(COUNTIF('商品マスタ'!$B$6:$B$1005,$W4166)=0),COUNTIFS('①在庫を貼る'!$V$6:$V$10005,$V4166,'①在庫を貼る'!$W$6:$W$10005,$W4166)+COUNTIFS('月1回_1ヶ月前の在庫'!$V$6:$V$10005,$V4166,'月1回_1ヶ月前の在庫'!$W$6:$W$10005,$W4166)&gt;0),N(U4165),N(U4165)+1))</f>
        <v/>
      </c>
      <c r="V4166" s="19">
        <f>IF($B4166="","",TEXT($B4166,"0000"))</f>
        <v/>
      </c>
      <c r="W4166" s="19">
        <f>IF($I4166="","",IF(ISNUMBER($I4166),TEXT($I4166,"0"),$I4166))</f>
        <v/>
      </c>
    </row>
    <row r="4167">
      <c r="B4167" s="25" t="n"/>
      <c r="I4167" s="25" t="n"/>
      <c r="U4167" s="19">
        <f>IF($V4167&lt;&gt;'設定'!$C$4,N(U4166),IF(OR(NOT(COUNTIF('商品マスタ'!$B$6:$B$1005,$W4167)=0),COUNTIFS('①在庫を貼る'!$V$6:$V$10005,$V4167,'①在庫を貼る'!$W$6:$W$10005,$W4167)+COUNTIFS('月1回_1ヶ月前の在庫'!$V$6:$V$10005,$V4167,'月1回_1ヶ月前の在庫'!$W$6:$W$10005,$W4167)&gt;0),N(U4166),N(U4166)+1))</f>
        <v/>
      </c>
      <c r="V4167" s="19">
        <f>IF($B4167="","",TEXT($B4167,"0000"))</f>
        <v/>
      </c>
      <c r="W4167" s="19">
        <f>IF($I4167="","",IF(ISNUMBER($I4167),TEXT($I4167,"0"),$I4167))</f>
        <v/>
      </c>
    </row>
    <row r="4168">
      <c r="B4168" s="25" t="n"/>
      <c r="I4168" s="25" t="n"/>
      <c r="U4168" s="19">
        <f>IF($V4168&lt;&gt;'設定'!$C$4,N(U4167),IF(OR(NOT(COUNTIF('商品マスタ'!$B$6:$B$1005,$W4168)=0),COUNTIFS('①在庫を貼る'!$V$6:$V$10005,$V4168,'①在庫を貼る'!$W$6:$W$10005,$W4168)+COUNTIFS('月1回_1ヶ月前の在庫'!$V$6:$V$10005,$V4168,'月1回_1ヶ月前の在庫'!$W$6:$W$10005,$W4168)&gt;0),N(U4167),N(U4167)+1))</f>
        <v/>
      </c>
      <c r="V4168" s="19">
        <f>IF($B4168="","",TEXT($B4168,"0000"))</f>
        <v/>
      </c>
      <c r="W4168" s="19">
        <f>IF($I4168="","",IF(ISNUMBER($I4168),TEXT($I4168,"0"),$I4168))</f>
        <v/>
      </c>
    </row>
    <row r="4169">
      <c r="B4169" s="25" t="n"/>
      <c r="I4169" s="25" t="n"/>
      <c r="U4169" s="19">
        <f>IF($V4169&lt;&gt;'設定'!$C$4,N(U4168),IF(OR(NOT(COUNTIF('商品マスタ'!$B$6:$B$1005,$W4169)=0),COUNTIFS('①在庫を貼る'!$V$6:$V$10005,$V4169,'①在庫を貼る'!$W$6:$W$10005,$W4169)+COUNTIFS('月1回_1ヶ月前の在庫'!$V$6:$V$10005,$V4169,'月1回_1ヶ月前の在庫'!$W$6:$W$10005,$W4169)&gt;0),N(U4168),N(U4168)+1))</f>
        <v/>
      </c>
      <c r="V4169" s="19">
        <f>IF($B4169="","",TEXT($B4169,"0000"))</f>
        <v/>
      </c>
      <c r="W4169" s="19">
        <f>IF($I4169="","",IF(ISNUMBER($I4169),TEXT($I4169,"0"),$I4169))</f>
        <v/>
      </c>
    </row>
    <row r="4170">
      <c r="B4170" s="25" t="n"/>
      <c r="I4170" s="25" t="n"/>
      <c r="U4170" s="19">
        <f>IF($V4170&lt;&gt;'設定'!$C$4,N(U4169),IF(OR(NOT(COUNTIF('商品マスタ'!$B$6:$B$1005,$W4170)=0),COUNTIFS('①在庫を貼る'!$V$6:$V$10005,$V4170,'①在庫を貼る'!$W$6:$W$10005,$W4170)+COUNTIFS('月1回_1ヶ月前の在庫'!$V$6:$V$10005,$V4170,'月1回_1ヶ月前の在庫'!$W$6:$W$10005,$W4170)&gt;0),N(U4169),N(U4169)+1))</f>
        <v/>
      </c>
      <c r="V4170" s="19">
        <f>IF($B4170="","",TEXT($B4170,"0000"))</f>
        <v/>
      </c>
      <c r="W4170" s="19">
        <f>IF($I4170="","",IF(ISNUMBER($I4170),TEXT($I4170,"0"),$I4170))</f>
        <v/>
      </c>
    </row>
    <row r="4171">
      <c r="B4171" s="25" t="n"/>
      <c r="I4171" s="25" t="n"/>
      <c r="U4171" s="19">
        <f>IF($V4171&lt;&gt;'設定'!$C$4,N(U4170),IF(OR(NOT(COUNTIF('商品マスタ'!$B$6:$B$1005,$W4171)=0),COUNTIFS('①在庫を貼る'!$V$6:$V$10005,$V4171,'①在庫を貼る'!$W$6:$W$10005,$W4171)+COUNTIFS('月1回_1ヶ月前の在庫'!$V$6:$V$10005,$V4171,'月1回_1ヶ月前の在庫'!$W$6:$W$10005,$W4171)&gt;0),N(U4170),N(U4170)+1))</f>
        <v/>
      </c>
      <c r="V4171" s="19">
        <f>IF($B4171="","",TEXT($B4171,"0000"))</f>
        <v/>
      </c>
      <c r="W4171" s="19">
        <f>IF($I4171="","",IF(ISNUMBER($I4171),TEXT($I4171,"0"),$I4171))</f>
        <v/>
      </c>
    </row>
    <row r="4172">
      <c r="B4172" s="25" t="n"/>
      <c r="I4172" s="25" t="n"/>
      <c r="U4172" s="19">
        <f>IF($V4172&lt;&gt;'設定'!$C$4,N(U4171),IF(OR(NOT(COUNTIF('商品マスタ'!$B$6:$B$1005,$W4172)=0),COUNTIFS('①在庫を貼る'!$V$6:$V$10005,$V4172,'①在庫を貼る'!$W$6:$W$10005,$W4172)+COUNTIFS('月1回_1ヶ月前の在庫'!$V$6:$V$10005,$V4172,'月1回_1ヶ月前の在庫'!$W$6:$W$10005,$W4172)&gt;0),N(U4171),N(U4171)+1))</f>
        <v/>
      </c>
      <c r="V4172" s="19">
        <f>IF($B4172="","",TEXT($B4172,"0000"))</f>
        <v/>
      </c>
      <c r="W4172" s="19">
        <f>IF($I4172="","",IF(ISNUMBER($I4172),TEXT($I4172,"0"),$I4172))</f>
        <v/>
      </c>
    </row>
    <row r="4173">
      <c r="B4173" s="25" t="n"/>
      <c r="I4173" s="25" t="n"/>
      <c r="U4173" s="19">
        <f>IF($V4173&lt;&gt;'設定'!$C$4,N(U4172),IF(OR(NOT(COUNTIF('商品マスタ'!$B$6:$B$1005,$W4173)=0),COUNTIFS('①在庫を貼る'!$V$6:$V$10005,$V4173,'①在庫を貼る'!$W$6:$W$10005,$W4173)+COUNTIFS('月1回_1ヶ月前の在庫'!$V$6:$V$10005,$V4173,'月1回_1ヶ月前の在庫'!$W$6:$W$10005,$W4173)&gt;0),N(U4172),N(U4172)+1))</f>
        <v/>
      </c>
      <c r="V4173" s="19">
        <f>IF($B4173="","",TEXT($B4173,"0000"))</f>
        <v/>
      </c>
      <c r="W4173" s="19">
        <f>IF($I4173="","",IF(ISNUMBER($I4173),TEXT($I4173,"0"),$I4173))</f>
        <v/>
      </c>
    </row>
    <row r="4174">
      <c r="B4174" s="25" t="n"/>
      <c r="I4174" s="25" t="n"/>
      <c r="U4174" s="19">
        <f>IF($V4174&lt;&gt;'設定'!$C$4,N(U4173),IF(OR(NOT(COUNTIF('商品マスタ'!$B$6:$B$1005,$W4174)=0),COUNTIFS('①在庫を貼る'!$V$6:$V$10005,$V4174,'①在庫を貼る'!$W$6:$W$10005,$W4174)+COUNTIFS('月1回_1ヶ月前の在庫'!$V$6:$V$10005,$V4174,'月1回_1ヶ月前の在庫'!$W$6:$W$10005,$W4174)&gt;0),N(U4173),N(U4173)+1))</f>
        <v/>
      </c>
      <c r="V4174" s="19">
        <f>IF($B4174="","",TEXT($B4174,"0000"))</f>
        <v/>
      </c>
      <c r="W4174" s="19">
        <f>IF($I4174="","",IF(ISNUMBER($I4174),TEXT($I4174,"0"),$I4174))</f>
        <v/>
      </c>
    </row>
    <row r="4175">
      <c r="B4175" s="25" t="n"/>
      <c r="I4175" s="25" t="n"/>
      <c r="U4175" s="19">
        <f>IF($V4175&lt;&gt;'設定'!$C$4,N(U4174),IF(OR(NOT(COUNTIF('商品マスタ'!$B$6:$B$1005,$W4175)=0),COUNTIFS('①在庫を貼る'!$V$6:$V$10005,$V4175,'①在庫を貼る'!$W$6:$W$10005,$W4175)+COUNTIFS('月1回_1ヶ月前の在庫'!$V$6:$V$10005,$V4175,'月1回_1ヶ月前の在庫'!$W$6:$W$10005,$W4175)&gt;0),N(U4174),N(U4174)+1))</f>
        <v/>
      </c>
      <c r="V4175" s="19">
        <f>IF($B4175="","",TEXT($B4175,"0000"))</f>
        <v/>
      </c>
      <c r="W4175" s="19">
        <f>IF($I4175="","",IF(ISNUMBER($I4175),TEXT($I4175,"0"),$I4175))</f>
        <v/>
      </c>
    </row>
    <row r="4176">
      <c r="B4176" s="25" t="n"/>
      <c r="I4176" s="25" t="n"/>
      <c r="U4176" s="19">
        <f>IF($V4176&lt;&gt;'設定'!$C$4,N(U4175),IF(OR(NOT(COUNTIF('商品マスタ'!$B$6:$B$1005,$W4176)=0),COUNTIFS('①在庫を貼る'!$V$6:$V$10005,$V4176,'①在庫を貼る'!$W$6:$W$10005,$W4176)+COUNTIFS('月1回_1ヶ月前の在庫'!$V$6:$V$10005,$V4176,'月1回_1ヶ月前の在庫'!$W$6:$W$10005,$W4176)&gt;0),N(U4175),N(U4175)+1))</f>
        <v/>
      </c>
      <c r="V4176" s="19">
        <f>IF($B4176="","",TEXT($B4176,"0000"))</f>
        <v/>
      </c>
      <c r="W4176" s="19">
        <f>IF($I4176="","",IF(ISNUMBER($I4176),TEXT($I4176,"0"),$I4176))</f>
        <v/>
      </c>
    </row>
    <row r="4177">
      <c r="B4177" s="25" t="n"/>
      <c r="I4177" s="25" t="n"/>
      <c r="U4177" s="19">
        <f>IF($V4177&lt;&gt;'設定'!$C$4,N(U4176),IF(OR(NOT(COUNTIF('商品マスタ'!$B$6:$B$1005,$W4177)=0),COUNTIFS('①在庫を貼る'!$V$6:$V$10005,$V4177,'①在庫を貼る'!$W$6:$W$10005,$W4177)+COUNTIFS('月1回_1ヶ月前の在庫'!$V$6:$V$10005,$V4177,'月1回_1ヶ月前の在庫'!$W$6:$W$10005,$W4177)&gt;0),N(U4176),N(U4176)+1))</f>
        <v/>
      </c>
      <c r="V4177" s="19">
        <f>IF($B4177="","",TEXT($B4177,"0000"))</f>
        <v/>
      </c>
      <c r="W4177" s="19">
        <f>IF($I4177="","",IF(ISNUMBER($I4177),TEXT($I4177,"0"),$I4177))</f>
        <v/>
      </c>
    </row>
    <row r="4178">
      <c r="B4178" s="25" t="n"/>
      <c r="I4178" s="25" t="n"/>
      <c r="U4178" s="19">
        <f>IF($V4178&lt;&gt;'設定'!$C$4,N(U4177),IF(OR(NOT(COUNTIF('商品マスタ'!$B$6:$B$1005,$W4178)=0),COUNTIFS('①在庫を貼る'!$V$6:$V$10005,$V4178,'①在庫を貼る'!$W$6:$W$10005,$W4178)+COUNTIFS('月1回_1ヶ月前の在庫'!$V$6:$V$10005,$V4178,'月1回_1ヶ月前の在庫'!$W$6:$W$10005,$W4178)&gt;0),N(U4177),N(U4177)+1))</f>
        <v/>
      </c>
      <c r="V4178" s="19">
        <f>IF($B4178="","",TEXT($B4178,"0000"))</f>
        <v/>
      </c>
      <c r="W4178" s="19">
        <f>IF($I4178="","",IF(ISNUMBER($I4178),TEXT($I4178,"0"),$I4178))</f>
        <v/>
      </c>
    </row>
    <row r="4179">
      <c r="B4179" s="25" t="n"/>
      <c r="I4179" s="25" t="n"/>
      <c r="U4179" s="19">
        <f>IF($V4179&lt;&gt;'設定'!$C$4,N(U4178),IF(OR(NOT(COUNTIF('商品マスタ'!$B$6:$B$1005,$W4179)=0),COUNTIFS('①在庫を貼る'!$V$6:$V$10005,$V4179,'①在庫を貼る'!$W$6:$W$10005,$W4179)+COUNTIFS('月1回_1ヶ月前の在庫'!$V$6:$V$10005,$V4179,'月1回_1ヶ月前の在庫'!$W$6:$W$10005,$W4179)&gt;0),N(U4178),N(U4178)+1))</f>
        <v/>
      </c>
      <c r="V4179" s="19">
        <f>IF($B4179="","",TEXT($B4179,"0000"))</f>
        <v/>
      </c>
      <c r="W4179" s="19">
        <f>IF($I4179="","",IF(ISNUMBER($I4179),TEXT($I4179,"0"),$I4179))</f>
        <v/>
      </c>
    </row>
    <row r="4180">
      <c r="B4180" s="25" t="n"/>
      <c r="I4180" s="25" t="n"/>
      <c r="U4180" s="19">
        <f>IF($V4180&lt;&gt;'設定'!$C$4,N(U4179),IF(OR(NOT(COUNTIF('商品マスタ'!$B$6:$B$1005,$W4180)=0),COUNTIFS('①在庫を貼る'!$V$6:$V$10005,$V4180,'①在庫を貼る'!$W$6:$W$10005,$W4180)+COUNTIFS('月1回_1ヶ月前の在庫'!$V$6:$V$10005,$V4180,'月1回_1ヶ月前の在庫'!$W$6:$W$10005,$W4180)&gt;0),N(U4179),N(U4179)+1))</f>
        <v/>
      </c>
      <c r="V4180" s="19">
        <f>IF($B4180="","",TEXT($B4180,"0000"))</f>
        <v/>
      </c>
      <c r="W4180" s="19">
        <f>IF($I4180="","",IF(ISNUMBER($I4180),TEXT($I4180,"0"),$I4180))</f>
        <v/>
      </c>
    </row>
    <row r="4181">
      <c r="B4181" s="25" t="n"/>
      <c r="I4181" s="25" t="n"/>
      <c r="U4181" s="19">
        <f>IF($V4181&lt;&gt;'設定'!$C$4,N(U4180),IF(OR(NOT(COUNTIF('商品マスタ'!$B$6:$B$1005,$W4181)=0),COUNTIFS('①在庫を貼る'!$V$6:$V$10005,$V4181,'①在庫を貼る'!$W$6:$W$10005,$W4181)+COUNTIFS('月1回_1ヶ月前の在庫'!$V$6:$V$10005,$V4181,'月1回_1ヶ月前の在庫'!$W$6:$W$10005,$W4181)&gt;0),N(U4180),N(U4180)+1))</f>
        <v/>
      </c>
      <c r="V4181" s="19">
        <f>IF($B4181="","",TEXT($B4181,"0000"))</f>
        <v/>
      </c>
      <c r="W4181" s="19">
        <f>IF($I4181="","",IF(ISNUMBER($I4181),TEXT($I4181,"0"),$I4181))</f>
        <v/>
      </c>
    </row>
    <row r="4182">
      <c r="B4182" s="25" t="n"/>
      <c r="I4182" s="25" t="n"/>
      <c r="U4182" s="19">
        <f>IF($V4182&lt;&gt;'設定'!$C$4,N(U4181),IF(OR(NOT(COUNTIF('商品マスタ'!$B$6:$B$1005,$W4182)=0),COUNTIFS('①在庫を貼る'!$V$6:$V$10005,$V4182,'①在庫を貼る'!$W$6:$W$10005,$W4182)+COUNTIFS('月1回_1ヶ月前の在庫'!$V$6:$V$10005,$V4182,'月1回_1ヶ月前の在庫'!$W$6:$W$10005,$W4182)&gt;0),N(U4181),N(U4181)+1))</f>
        <v/>
      </c>
      <c r="V4182" s="19">
        <f>IF($B4182="","",TEXT($B4182,"0000"))</f>
        <v/>
      </c>
      <c r="W4182" s="19">
        <f>IF($I4182="","",IF(ISNUMBER($I4182),TEXT($I4182,"0"),$I4182))</f>
        <v/>
      </c>
    </row>
    <row r="4183">
      <c r="B4183" s="25" t="n"/>
      <c r="I4183" s="25" t="n"/>
      <c r="U4183" s="19">
        <f>IF($V4183&lt;&gt;'設定'!$C$4,N(U4182),IF(OR(NOT(COUNTIF('商品マスタ'!$B$6:$B$1005,$W4183)=0),COUNTIFS('①在庫を貼る'!$V$6:$V$10005,$V4183,'①在庫を貼る'!$W$6:$W$10005,$W4183)+COUNTIFS('月1回_1ヶ月前の在庫'!$V$6:$V$10005,$V4183,'月1回_1ヶ月前の在庫'!$W$6:$W$10005,$W4183)&gt;0),N(U4182),N(U4182)+1))</f>
        <v/>
      </c>
      <c r="V4183" s="19">
        <f>IF($B4183="","",TEXT($B4183,"0000"))</f>
        <v/>
      </c>
      <c r="W4183" s="19">
        <f>IF($I4183="","",IF(ISNUMBER($I4183),TEXT($I4183,"0"),$I4183))</f>
        <v/>
      </c>
    </row>
    <row r="4184">
      <c r="B4184" s="25" t="n"/>
      <c r="I4184" s="25" t="n"/>
      <c r="U4184" s="19">
        <f>IF($V4184&lt;&gt;'設定'!$C$4,N(U4183),IF(OR(NOT(COUNTIF('商品マスタ'!$B$6:$B$1005,$W4184)=0),COUNTIFS('①在庫を貼る'!$V$6:$V$10005,$V4184,'①在庫を貼る'!$W$6:$W$10005,$W4184)+COUNTIFS('月1回_1ヶ月前の在庫'!$V$6:$V$10005,$V4184,'月1回_1ヶ月前の在庫'!$W$6:$W$10005,$W4184)&gt;0),N(U4183),N(U4183)+1))</f>
        <v/>
      </c>
      <c r="V4184" s="19">
        <f>IF($B4184="","",TEXT($B4184,"0000"))</f>
        <v/>
      </c>
      <c r="W4184" s="19">
        <f>IF($I4184="","",IF(ISNUMBER($I4184),TEXT($I4184,"0"),$I4184))</f>
        <v/>
      </c>
    </row>
    <row r="4185">
      <c r="B4185" s="25" t="n"/>
      <c r="I4185" s="25" t="n"/>
      <c r="U4185" s="19">
        <f>IF($V4185&lt;&gt;'設定'!$C$4,N(U4184),IF(OR(NOT(COUNTIF('商品マスタ'!$B$6:$B$1005,$W4185)=0),COUNTIFS('①在庫を貼る'!$V$6:$V$10005,$V4185,'①在庫を貼る'!$W$6:$W$10005,$W4185)+COUNTIFS('月1回_1ヶ月前の在庫'!$V$6:$V$10005,$V4185,'月1回_1ヶ月前の在庫'!$W$6:$W$10005,$W4185)&gt;0),N(U4184),N(U4184)+1))</f>
        <v/>
      </c>
      <c r="V4185" s="19">
        <f>IF($B4185="","",TEXT($B4185,"0000"))</f>
        <v/>
      </c>
      <c r="W4185" s="19">
        <f>IF($I4185="","",IF(ISNUMBER($I4185),TEXT($I4185,"0"),$I4185))</f>
        <v/>
      </c>
    </row>
    <row r="4186">
      <c r="B4186" s="25" t="n"/>
      <c r="I4186" s="25" t="n"/>
      <c r="U4186" s="19">
        <f>IF($V4186&lt;&gt;'設定'!$C$4,N(U4185),IF(OR(NOT(COUNTIF('商品マスタ'!$B$6:$B$1005,$W4186)=0),COUNTIFS('①在庫を貼る'!$V$6:$V$10005,$V4186,'①在庫を貼る'!$W$6:$W$10005,$W4186)+COUNTIFS('月1回_1ヶ月前の在庫'!$V$6:$V$10005,$V4186,'月1回_1ヶ月前の在庫'!$W$6:$W$10005,$W4186)&gt;0),N(U4185),N(U4185)+1))</f>
        <v/>
      </c>
      <c r="V4186" s="19">
        <f>IF($B4186="","",TEXT($B4186,"0000"))</f>
        <v/>
      </c>
      <c r="W4186" s="19">
        <f>IF($I4186="","",IF(ISNUMBER($I4186),TEXT($I4186,"0"),$I4186))</f>
        <v/>
      </c>
    </row>
    <row r="4187">
      <c r="B4187" s="25" t="n"/>
      <c r="I4187" s="25" t="n"/>
      <c r="U4187" s="19">
        <f>IF($V4187&lt;&gt;'設定'!$C$4,N(U4186),IF(OR(NOT(COUNTIF('商品マスタ'!$B$6:$B$1005,$W4187)=0),COUNTIFS('①在庫を貼る'!$V$6:$V$10005,$V4187,'①在庫を貼る'!$W$6:$W$10005,$W4187)+COUNTIFS('月1回_1ヶ月前の在庫'!$V$6:$V$10005,$V4187,'月1回_1ヶ月前の在庫'!$W$6:$W$10005,$W4187)&gt;0),N(U4186),N(U4186)+1))</f>
        <v/>
      </c>
      <c r="V4187" s="19">
        <f>IF($B4187="","",TEXT($B4187,"0000"))</f>
        <v/>
      </c>
      <c r="W4187" s="19">
        <f>IF($I4187="","",IF(ISNUMBER($I4187),TEXT($I4187,"0"),$I4187))</f>
        <v/>
      </c>
    </row>
    <row r="4188">
      <c r="B4188" s="25" t="n"/>
      <c r="I4188" s="25" t="n"/>
      <c r="U4188" s="19">
        <f>IF($V4188&lt;&gt;'設定'!$C$4,N(U4187),IF(OR(NOT(COUNTIF('商品マスタ'!$B$6:$B$1005,$W4188)=0),COUNTIFS('①在庫を貼る'!$V$6:$V$10005,$V4188,'①在庫を貼る'!$W$6:$W$10005,$W4188)+COUNTIFS('月1回_1ヶ月前の在庫'!$V$6:$V$10005,$V4188,'月1回_1ヶ月前の在庫'!$W$6:$W$10005,$W4188)&gt;0),N(U4187),N(U4187)+1))</f>
        <v/>
      </c>
      <c r="V4188" s="19">
        <f>IF($B4188="","",TEXT($B4188,"0000"))</f>
        <v/>
      </c>
      <c r="W4188" s="19">
        <f>IF($I4188="","",IF(ISNUMBER($I4188),TEXT($I4188,"0"),$I4188))</f>
        <v/>
      </c>
    </row>
    <row r="4189">
      <c r="B4189" s="25" t="n"/>
      <c r="I4189" s="25" t="n"/>
      <c r="U4189" s="19">
        <f>IF($V4189&lt;&gt;'設定'!$C$4,N(U4188),IF(OR(NOT(COUNTIF('商品マスタ'!$B$6:$B$1005,$W4189)=0),COUNTIFS('①在庫を貼る'!$V$6:$V$10005,$V4189,'①在庫を貼る'!$W$6:$W$10005,$W4189)+COUNTIFS('月1回_1ヶ月前の在庫'!$V$6:$V$10005,$V4189,'月1回_1ヶ月前の在庫'!$W$6:$W$10005,$W4189)&gt;0),N(U4188),N(U4188)+1))</f>
        <v/>
      </c>
      <c r="V4189" s="19">
        <f>IF($B4189="","",TEXT($B4189,"0000"))</f>
        <v/>
      </c>
      <c r="W4189" s="19">
        <f>IF($I4189="","",IF(ISNUMBER($I4189),TEXT($I4189,"0"),$I4189))</f>
        <v/>
      </c>
    </row>
    <row r="4190">
      <c r="B4190" s="25" t="n"/>
      <c r="I4190" s="25" t="n"/>
      <c r="U4190" s="19">
        <f>IF($V4190&lt;&gt;'設定'!$C$4,N(U4189),IF(OR(NOT(COUNTIF('商品マスタ'!$B$6:$B$1005,$W4190)=0),COUNTIFS('①在庫を貼る'!$V$6:$V$10005,$V4190,'①在庫を貼る'!$W$6:$W$10005,$W4190)+COUNTIFS('月1回_1ヶ月前の在庫'!$V$6:$V$10005,$V4190,'月1回_1ヶ月前の在庫'!$W$6:$W$10005,$W4190)&gt;0),N(U4189),N(U4189)+1))</f>
        <v/>
      </c>
      <c r="V4190" s="19">
        <f>IF($B4190="","",TEXT($B4190,"0000"))</f>
        <v/>
      </c>
      <c r="W4190" s="19">
        <f>IF($I4190="","",IF(ISNUMBER($I4190),TEXT($I4190,"0"),$I4190))</f>
        <v/>
      </c>
    </row>
    <row r="4191">
      <c r="B4191" s="25" t="n"/>
      <c r="I4191" s="25" t="n"/>
      <c r="U4191" s="19">
        <f>IF($V4191&lt;&gt;'設定'!$C$4,N(U4190),IF(OR(NOT(COUNTIF('商品マスタ'!$B$6:$B$1005,$W4191)=0),COUNTIFS('①在庫を貼る'!$V$6:$V$10005,$V4191,'①在庫を貼る'!$W$6:$W$10005,$W4191)+COUNTIFS('月1回_1ヶ月前の在庫'!$V$6:$V$10005,$V4191,'月1回_1ヶ月前の在庫'!$W$6:$W$10005,$W4191)&gt;0),N(U4190),N(U4190)+1))</f>
        <v/>
      </c>
      <c r="V4191" s="19">
        <f>IF($B4191="","",TEXT($B4191,"0000"))</f>
        <v/>
      </c>
      <c r="W4191" s="19">
        <f>IF($I4191="","",IF(ISNUMBER($I4191),TEXT($I4191,"0"),$I4191))</f>
        <v/>
      </c>
    </row>
    <row r="4192">
      <c r="B4192" s="25" t="n"/>
      <c r="I4192" s="25" t="n"/>
      <c r="U4192" s="19">
        <f>IF($V4192&lt;&gt;'設定'!$C$4,N(U4191),IF(OR(NOT(COUNTIF('商品マスタ'!$B$6:$B$1005,$W4192)=0),COUNTIFS('①在庫を貼る'!$V$6:$V$10005,$V4192,'①在庫を貼る'!$W$6:$W$10005,$W4192)+COUNTIFS('月1回_1ヶ月前の在庫'!$V$6:$V$10005,$V4192,'月1回_1ヶ月前の在庫'!$W$6:$W$10005,$W4192)&gt;0),N(U4191),N(U4191)+1))</f>
        <v/>
      </c>
      <c r="V4192" s="19">
        <f>IF($B4192="","",TEXT($B4192,"0000"))</f>
        <v/>
      </c>
      <c r="W4192" s="19">
        <f>IF($I4192="","",IF(ISNUMBER($I4192),TEXT($I4192,"0"),$I4192))</f>
        <v/>
      </c>
    </row>
    <row r="4193">
      <c r="B4193" s="25" t="n"/>
      <c r="I4193" s="25" t="n"/>
      <c r="U4193" s="19">
        <f>IF($V4193&lt;&gt;'設定'!$C$4,N(U4192),IF(OR(NOT(COUNTIF('商品マスタ'!$B$6:$B$1005,$W4193)=0),COUNTIFS('①在庫を貼る'!$V$6:$V$10005,$V4193,'①在庫を貼る'!$W$6:$W$10005,$W4193)+COUNTIFS('月1回_1ヶ月前の在庫'!$V$6:$V$10005,$V4193,'月1回_1ヶ月前の在庫'!$W$6:$W$10005,$W4193)&gt;0),N(U4192),N(U4192)+1))</f>
        <v/>
      </c>
      <c r="V4193" s="19">
        <f>IF($B4193="","",TEXT($B4193,"0000"))</f>
        <v/>
      </c>
      <c r="W4193" s="19">
        <f>IF($I4193="","",IF(ISNUMBER($I4193),TEXT($I4193,"0"),$I4193))</f>
        <v/>
      </c>
    </row>
    <row r="4194">
      <c r="B4194" s="25" t="n"/>
      <c r="I4194" s="25" t="n"/>
      <c r="U4194" s="19">
        <f>IF($V4194&lt;&gt;'設定'!$C$4,N(U4193),IF(OR(NOT(COUNTIF('商品マスタ'!$B$6:$B$1005,$W4194)=0),COUNTIFS('①在庫を貼る'!$V$6:$V$10005,$V4194,'①在庫を貼る'!$W$6:$W$10005,$W4194)+COUNTIFS('月1回_1ヶ月前の在庫'!$V$6:$V$10005,$V4194,'月1回_1ヶ月前の在庫'!$W$6:$W$10005,$W4194)&gt;0),N(U4193),N(U4193)+1))</f>
        <v/>
      </c>
      <c r="V4194" s="19">
        <f>IF($B4194="","",TEXT($B4194,"0000"))</f>
        <v/>
      </c>
      <c r="W4194" s="19">
        <f>IF($I4194="","",IF(ISNUMBER($I4194),TEXT($I4194,"0"),$I4194))</f>
        <v/>
      </c>
    </row>
    <row r="4195">
      <c r="B4195" s="25" t="n"/>
      <c r="I4195" s="25" t="n"/>
      <c r="U4195" s="19">
        <f>IF($V4195&lt;&gt;'設定'!$C$4,N(U4194),IF(OR(NOT(COUNTIF('商品マスタ'!$B$6:$B$1005,$W4195)=0),COUNTIFS('①在庫を貼る'!$V$6:$V$10005,$V4195,'①在庫を貼る'!$W$6:$W$10005,$W4195)+COUNTIFS('月1回_1ヶ月前の在庫'!$V$6:$V$10005,$V4195,'月1回_1ヶ月前の在庫'!$W$6:$W$10005,$W4195)&gt;0),N(U4194),N(U4194)+1))</f>
        <v/>
      </c>
      <c r="V4195" s="19">
        <f>IF($B4195="","",TEXT($B4195,"0000"))</f>
        <v/>
      </c>
      <c r="W4195" s="19">
        <f>IF($I4195="","",IF(ISNUMBER($I4195),TEXT($I4195,"0"),$I4195))</f>
        <v/>
      </c>
    </row>
    <row r="4196">
      <c r="B4196" s="25" t="n"/>
      <c r="I4196" s="25" t="n"/>
      <c r="U4196" s="19">
        <f>IF($V4196&lt;&gt;'設定'!$C$4,N(U4195),IF(OR(NOT(COUNTIF('商品マスタ'!$B$6:$B$1005,$W4196)=0),COUNTIFS('①在庫を貼る'!$V$6:$V$10005,$V4196,'①在庫を貼る'!$W$6:$W$10005,$W4196)+COUNTIFS('月1回_1ヶ月前の在庫'!$V$6:$V$10005,$V4196,'月1回_1ヶ月前の在庫'!$W$6:$W$10005,$W4196)&gt;0),N(U4195),N(U4195)+1))</f>
        <v/>
      </c>
      <c r="V4196" s="19">
        <f>IF($B4196="","",TEXT($B4196,"0000"))</f>
        <v/>
      </c>
      <c r="W4196" s="19">
        <f>IF($I4196="","",IF(ISNUMBER($I4196),TEXT($I4196,"0"),$I4196))</f>
        <v/>
      </c>
    </row>
    <row r="4197">
      <c r="B4197" s="25" t="n"/>
      <c r="I4197" s="25" t="n"/>
      <c r="U4197" s="19">
        <f>IF($V4197&lt;&gt;'設定'!$C$4,N(U4196),IF(OR(NOT(COUNTIF('商品マスタ'!$B$6:$B$1005,$W4197)=0),COUNTIFS('①在庫を貼る'!$V$6:$V$10005,$V4197,'①在庫を貼る'!$W$6:$W$10005,$W4197)+COUNTIFS('月1回_1ヶ月前の在庫'!$V$6:$V$10005,$V4197,'月1回_1ヶ月前の在庫'!$W$6:$W$10005,$W4197)&gt;0),N(U4196),N(U4196)+1))</f>
        <v/>
      </c>
      <c r="V4197" s="19">
        <f>IF($B4197="","",TEXT($B4197,"0000"))</f>
        <v/>
      </c>
      <c r="W4197" s="19">
        <f>IF($I4197="","",IF(ISNUMBER($I4197),TEXT($I4197,"0"),$I4197))</f>
        <v/>
      </c>
    </row>
    <row r="4198">
      <c r="B4198" s="25" t="n"/>
      <c r="I4198" s="25" t="n"/>
      <c r="U4198" s="19">
        <f>IF($V4198&lt;&gt;'設定'!$C$4,N(U4197),IF(OR(NOT(COUNTIF('商品マスタ'!$B$6:$B$1005,$W4198)=0),COUNTIFS('①在庫を貼る'!$V$6:$V$10005,$V4198,'①在庫を貼る'!$W$6:$W$10005,$W4198)+COUNTIFS('月1回_1ヶ月前の在庫'!$V$6:$V$10005,$V4198,'月1回_1ヶ月前の在庫'!$W$6:$W$10005,$W4198)&gt;0),N(U4197),N(U4197)+1))</f>
        <v/>
      </c>
      <c r="V4198" s="19">
        <f>IF($B4198="","",TEXT($B4198,"0000"))</f>
        <v/>
      </c>
      <c r="W4198" s="19">
        <f>IF($I4198="","",IF(ISNUMBER($I4198),TEXT($I4198,"0"),$I4198))</f>
        <v/>
      </c>
    </row>
    <row r="4199">
      <c r="B4199" s="25" t="n"/>
      <c r="I4199" s="25" t="n"/>
      <c r="U4199" s="19">
        <f>IF($V4199&lt;&gt;'設定'!$C$4,N(U4198),IF(OR(NOT(COUNTIF('商品マスタ'!$B$6:$B$1005,$W4199)=0),COUNTIFS('①在庫を貼る'!$V$6:$V$10005,$V4199,'①在庫を貼る'!$W$6:$W$10005,$W4199)+COUNTIFS('月1回_1ヶ月前の在庫'!$V$6:$V$10005,$V4199,'月1回_1ヶ月前の在庫'!$W$6:$W$10005,$W4199)&gt;0),N(U4198),N(U4198)+1))</f>
        <v/>
      </c>
      <c r="V4199" s="19">
        <f>IF($B4199="","",TEXT($B4199,"0000"))</f>
        <v/>
      </c>
      <c r="W4199" s="19">
        <f>IF($I4199="","",IF(ISNUMBER($I4199),TEXT($I4199,"0"),$I4199))</f>
        <v/>
      </c>
    </row>
    <row r="4200">
      <c r="B4200" s="25" t="n"/>
      <c r="I4200" s="25" t="n"/>
      <c r="U4200" s="19">
        <f>IF($V4200&lt;&gt;'設定'!$C$4,N(U4199),IF(OR(NOT(COUNTIF('商品マスタ'!$B$6:$B$1005,$W4200)=0),COUNTIFS('①在庫を貼る'!$V$6:$V$10005,$V4200,'①在庫を貼る'!$W$6:$W$10005,$W4200)+COUNTIFS('月1回_1ヶ月前の在庫'!$V$6:$V$10005,$V4200,'月1回_1ヶ月前の在庫'!$W$6:$W$10005,$W4200)&gt;0),N(U4199),N(U4199)+1))</f>
        <v/>
      </c>
      <c r="V4200" s="19">
        <f>IF($B4200="","",TEXT($B4200,"0000"))</f>
        <v/>
      </c>
      <c r="W4200" s="19">
        <f>IF($I4200="","",IF(ISNUMBER($I4200),TEXT($I4200,"0"),$I4200))</f>
        <v/>
      </c>
    </row>
    <row r="4201">
      <c r="B4201" s="25" t="n"/>
      <c r="I4201" s="25" t="n"/>
      <c r="U4201" s="19">
        <f>IF($V4201&lt;&gt;'設定'!$C$4,N(U4200),IF(OR(NOT(COUNTIF('商品マスタ'!$B$6:$B$1005,$W4201)=0),COUNTIFS('①在庫を貼る'!$V$6:$V$10005,$V4201,'①在庫を貼る'!$W$6:$W$10005,$W4201)+COUNTIFS('月1回_1ヶ月前の在庫'!$V$6:$V$10005,$V4201,'月1回_1ヶ月前の在庫'!$W$6:$W$10005,$W4201)&gt;0),N(U4200),N(U4200)+1))</f>
        <v/>
      </c>
      <c r="V4201" s="19">
        <f>IF($B4201="","",TEXT($B4201,"0000"))</f>
        <v/>
      </c>
      <c r="W4201" s="19">
        <f>IF($I4201="","",IF(ISNUMBER($I4201),TEXT($I4201,"0"),$I4201))</f>
        <v/>
      </c>
    </row>
    <row r="4202">
      <c r="B4202" s="25" t="n"/>
      <c r="I4202" s="25" t="n"/>
      <c r="U4202" s="19">
        <f>IF($V4202&lt;&gt;'設定'!$C$4,N(U4201),IF(OR(NOT(COUNTIF('商品マスタ'!$B$6:$B$1005,$W4202)=0),COUNTIFS('①在庫を貼る'!$V$6:$V$10005,$V4202,'①在庫を貼る'!$W$6:$W$10005,$W4202)+COUNTIFS('月1回_1ヶ月前の在庫'!$V$6:$V$10005,$V4202,'月1回_1ヶ月前の在庫'!$W$6:$W$10005,$W4202)&gt;0),N(U4201),N(U4201)+1))</f>
        <v/>
      </c>
      <c r="V4202" s="19">
        <f>IF($B4202="","",TEXT($B4202,"0000"))</f>
        <v/>
      </c>
      <c r="W4202" s="19">
        <f>IF($I4202="","",IF(ISNUMBER($I4202),TEXT($I4202,"0"),$I4202))</f>
        <v/>
      </c>
    </row>
    <row r="4203">
      <c r="B4203" s="25" t="n"/>
      <c r="I4203" s="25" t="n"/>
      <c r="U4203" s="19">
        <f>IF($V4203&lt;&gt;'設定'!$C$4,N(U4202),IF(OR(NOT(COUNTIF('商品マスタ'!$B$6:$B$1005,$W4203)=0),COUNTIFS('①在庫を貼る'!$V$6:$V$10005,$V4203,'①在庫を貼る'!$W$6:$W$10005,$W4203)+COUNTIFS('月1回_1ヶ月前の在庫'!$V$6:$V$10005,$V4203,'月1回_1ヶ月前の在庫'!$W$6:$W$10005,$W4203)&gt;0),N(U4202),N(U4202)+1))</f>
        <v/>
      </c>
      <c r="V4203" s="19">
        <f>IF($B4203="","",TEXT($B4203,"0000"))</f>
        <v/>
      </c>
      <c r="W4203" s="19">
        <f>IF($I4203="","",IF(ISNUMBER($I4203),TEXT($I4203,"0"),$I4203))</f>
        <v/>
      </c>
    </row>
    <row r="4204">
      <c r="B4204" s="25" t="n"/>
      <c r="I4204" s="25" t="n"/>
      <c r="U4204" s="19">
        <f>IF($V4204&lt;&gt;'設定'!$C$4,N(U4203),IF(OR(NOT(COUNTIF('商品マスタ'!$B$6:$B$1005,$W4204)=0),COUNTIFS('①在庫を貼る'!$V$6:$V$10005,$V4204,'①在庫を貼る'!$W$6:$W$10005,$W4204)+COUNTIFS('月1回_1ヶ月前の在庫'!$V$6:$V$10005,$V4204,'月1回_1ヶ月前の在庫'!$W$6:$W$10005,$W4204)&gt;0),N(U4203),N(U4203)+1))</f>
        <v/>
      </c>
      <c r="V4204" s="19">
        <f>IF($B4204="","",TEXT($B4204,"0000"))</f>
        <v/>
      </c>
      <c r="W4204" s="19">
        <f>IF($I4204="","",IF(ISNUMBER($I4204),TEXT($I4204,"0"),$I4204))</f>
        <v/>
      </c>
    </row>
    <row r="4205">
      <c r="B4205" s="25" t="n"/>
      <c r="I4205" s="25" t="n"/>
      <c r="U4205" s="19">
        <f>IF($V4205&lt;&gt;'設定'!$C$4,N(U4204),IF(OR(NOT(COUNTIF('商品マスタ'!$B$6:$B$1005,$W4205)=0),COUNTIFS('①在庫を貼る'!$V$6:$V$10005,$V4205,'①在庫を貼る'!$W$6:$W$10005,$W4205)+COUNTIFS('月1回_1ヶ月前の在庫'!$V$6:$V$10005,$V4205,'月1回_1ヶ月前の在庫'!$W$6:$W$10005,$W4205)&gt;0),N(U4204),N(U4204)+1))</f>
        <v/>
      </c>
      <c r="V4205" s="19">
        <f>IF($B4205="","",TEXT($B4205,"0000"))</f>
        <v/>
      </c>
      <c r="W4205" s="19">
        <f>IF($I4205="","",IF(ISNUMBER($I4205),TEXT($I4205,"0"),$I4205))</f>
        <v/>
      </c>
    </row>
    <row r="4206">
      <c r="B4206" s="25" t="n"/>
      <c r="I4206" s="25" t="n"/>
      <c r="U4206" s="19">
        <f>IF($V4206&lt;&gt;'設定'!$C$4,N(U4205),IF(OR(NOT(COUNTIF('商品マスタ'!$B$6:$B$1005,$W4206)=0),COUNTIFS('①在庫を貼る'!$V$6:$V$10005,$V4206,'①在庫を貼る'!$W$6:$W$10005,$W4206)+COUNTIFS('月1回_1ヶ月前の在庫'!$V$6:$V$10005,$V4206,'月1回_1ヶ月前の在庫'!$W$6:$W$10005,$W4206)&gt;0),N(U4205),N(U4205)+1))</f>
        <v/>
      </c>
      <c r="V4206" s="19">
        <f>IF($B4206="","",TEXT($B4206,"0000"))</f>
        <v/>
      </c>
      <c r="W4206" s="19">
        <f>IF($I4206="","",IF(ISNUMBER($I4206),TEXT($I4206,"0"),$I4206))</f>
        <v/>
      </c>
    </row>
    <row r="4207">
      <c r="B4207" s="25" t="n"/>
      <c r="I4207" s="25" t="n"/>
      <c r="U4207" s="19">
        <f>IF($V4207&lt;&gt;'設定'!$C$4,N(U4206),IF(OR(NOT(COUNTIF('商品マスタ'!$B$6:$B$1005,$W4207)=0),COUNTIFS('①在庫を貼る'!$V$6:$V$10005,$V4207,'①在庫を貼る'!$W$6:$W$10005,$W4207)+COUNTIFS('月1回_1ヶ月前の在庫'!$V$6:$V$10005,$V4207,'月1回_1ヶ月前の在庫'!$W$6:$W$10005,$W4207)&gt;0),N(U4206),N(U4206)+1))</f>
        <v/>
      </c>
      <c r="V4207" s="19">
        <f>IF($B4207="","",TEXT($B4207,"0000"))</f>
        <v/>
      </c>
      <c r="W4207" s="19">
        <f>IF($I4207="","",IF(ISNUMBER($I4207),TEXT($I4207,"0"),$I4207))</f>
        <v/>
      </c>
    </row>
    <row r="4208">
      <c r="B4208" s="25" t="n"/>
      <c r="I4208" s="25" t="n"/>
      <c r="U4208" s="19">
        <f>IF($V4208&lt;&gt;'設定'!$C$4,N(U4207),IF(OR(NOT(COUNTIF('商品マスタ'!$B$6:$B$1005,$W4208)=0),COUNTIFS('①在庫を貼る'!$V$6:$V$10005,$V4208,'①在庫を貼る'!$W$6:$W$10005,$W4208)+COUNTIFS('月1回_1ヶ月前の在庫'!$V$6:$V$10005,$V4208,'月1回_1ヶ月前の在庫'!$W$6:$W$10005,$W4208)&gt;0),N(U4207),N(U4207)+1))</f>
        <v/>
      </c>
      <c r="V4208" s="19">
        <f>IF($B4208="","",TEXT($B4208,"0000"))</f>
        <v/>
      </c>
      <c r="W4208" s="19">
        <f>IF($I4208="","",IF(ISNUMBER($I4208),TEXT($I4208,"0"),$I4208))</f>
        <v/>
      </c>
    </row>
    <row r="4209">
      <c r="B4209" s="25" t="n"/>
      <c r="I4209" s="25" t="n"/>
      <c r="U4209" s="19">
        <f>IF($V4209&lt;&gt;'設定'!$C$4,N(U4208),IF(OR(NOT(COUNTIF('商品マスタ'!$B$6:$B$1005,$W4209)=0),COUNTIFS('①在庫を貼る'!$V$6:$V$10005,$V4209,'①在庫を貼る'!$W$6:$W$10005,$W4209)+COUNTIFS('月1回_1ヶ月前の在庫'!$V$6:$V$10005,$V4209,'月1回_1ヶ月前の在庫'!$W$6:$W$10005,$W4209)&gt;0),N(U4208),N(U4208)+1))</f>
        <v/>
      </c>
      <c r="V4209" s="19">
        <f>IF($B4209="","",TEXT($B4209,"0000"))</f>
        <v/>
      </c>
      <c r="W4209" s="19">
        <f>IF($I4209="","",IF(ISNUMBER($I4209),TEXT($I4209,"0"),$I4209))</f>
        <v/>
      </c>
    </row>
    <row r="4210">
      <c r="B4210" s="25" t="n"/>
      <c r="I4210" s="25" t="n"/>
      <c r="U4210" s="19">
        <f>IF($V4210&lt;&gt;'設定'!$C$4,N(U4209),IF(OR(NOT(COUNTIF('商品マスタ'!$B$6:$B$1005,$W4210)=0),COUNTIFS('①在庫を貼る'!$V$6:$V$10005,$V4210,'①在庫を貼る'!$W$6:$W$10005,$W4210)+COUNTIFS('月1回_1ヶ月前の在庫'!$V$6:$V$10005,$V4210,'月1回_1ヶ月前の在庫'!$W$6:$W$10005,$W4210)&gt;0),N(U4209),N(U4209)+1))</f>
        <v/>
      </c>
      <c r="V4210" s="19">
        <f>IF($B4210="","",TEXT($B4210,"0000"))</f>
        <v/>
      </c>
      <c r="W4210" s="19">
        <f>IF($I4210="","",IF(ISNUMBER($I4210),TEXT($I4210,"0"),$I4210))</f>
        <v/>
      </c>
    </row>
    <row r="4211">
      <c r="B4211" s="25" t="n"/>
      <c r="I4211" s="25" t="n"/>
      <c r="U4211" s="19">
        <f>IF($V4211&lt;&gt;'設定'!$C$4,N(U4210),IF(OR(NOT(COUNTIF('商品マスタ'!$B$6:$B$1005,$W4211)=0),COUNTIFS('①在庫を貼る'!$V$6:$V$10005,$V4211,'①在庫を貼る'!$W$6:$W$10005,$W4211)+COUNTIFS('月1回_1ヶ月前の在庫'!$V$6:$V$10005,$V4211,'月1回_1ヶ月前の在庫'!$W$6:$W$10005,$W4211)&gt;0),N(U4210),N(U4210)+1))</f>
        <v/>
      </c>
      <c r="V4211" s="19">
        <f>IF($B4211="","",TEXT($B4211,"0000"))</f>
        <v/>
      </c>
      <c r="W4211" s="19">
        <f>IF($I4211="","",IF(ISNUMBER($I4211),TEXT($I4211,"0"),$I4211))</f>
        <v/>
      </c>
    </row>
    <row r="4212">
      <c r="B4212" s="25" t="n"/>
      <c r="I4212" s="25" t="n"/>
      <c r="U4212" s="19">
        <f>IF($V4212&lt;&gt;'設定'!$C$4,N(U4211),IF(OR(NOT(COUNTIF('商品マスタ'!$B$6:$B$1005,$W4212)=0),COUNTIFS('①在庫を貼る'!$V$6:$V$10005,$V4212,'①在庫を貼る'!$W$6:$W$10005,$W4212)+COUNTIFS('月1回_1ヶ月前の在庫'!$V$6:$V$10005,$V4212,'月1回_1ヶ月前の在庫'!$W$6:$W$10005,$W4212)&gt;0),N(U4211),N(U4211)+1))</f>
        <v/>
      </c>
      <c r="V4212" s="19">
        <f>IF($B4212="","",TEXT($B4212,"0000"))</f>
        <v/>
      </c>
      <c r="W4212" s="19">
        <f>IF($I4212="","",IF(ISNUMBER($I4212),TEXT($I4212,"0"),$I4212))</f>
        <v/>
      </c>
    </row>
    <row r="4213">
      <c r="B4213" s="25" t="n"/>
      <c r="I4213" s="25" t="n"/>
      <c r="U4213" s="19">
        <f>IF($V4213&lt;&gt;'設定'!$C$4,N(U4212),IF(OR(NOT(COUNTIF('商品マスタ'!$B$6:$B$1005,$W4213)=0),COUNTIFS('①在庫を貼る'!$V$6:$V$10005,$V4213,'①在庫を貼る'!$W$6:$W$10005,$W4213)+COUNTIFS('月1回_1ヶ月前の在庫'!$V$6:$V$10005,$V4213,'月1回_1ヶ月前の在庫'!$W$6:$W$10005,$W4213)&gt;0),N(U4212),N(U4212)+1))</f>
        <v/>
      </c>
      <c r="V4213" s="19">
        <f>IF($B4213="","",TEXT($B4213,"0000"))</f>
        <v/>
      </c>
      <c r="W4213" s="19">
        <f>IF($I4213="","",IF(ISNUMBER($I4213),TEXT($I4213,"0"),$I4213))</f>
        <v/>
      </c>
    </row>
    <row r="4214">
      <c r="B4214" s="25" t="n"/>
      <c r="I4214" s="25" t="n"/>
      <c r="U4214" s="19">
        <f>IF($V4214&lt;&gt;'設定'!$C$4,N(U4213),IF(OR(NOT(COUNTIF('商品マスタ'!$B$6:$B$1005,$W4214)=0),COUNTIFS('①在庫を貼る'!$V$6:$V$10005,$V4214,'①在庫を貼る'!$W$6:$W$10005,$W4214)+COUNTIFS('月1回_1ヶ月前の在庫'!$V$6:$V$10005,$V4214,'月1回_1ヶ月前の在庫'!$W$6:$W$10005,$W4214)&gt;0),N(U4213),N(U4213)+1))</f>
        <v/>
      </c>
      <c r="V4214" s="19">
        <f>IF($B4214="","",TEXT($B4214,"0000"))</f>
        <v/>
      </c>
      <c r="W4214" s="19">
        <f>IF($I4214="","",IF(ISNUMBER($I4214),TEXT($I4214,"0"),$I4214))</f>
        <v/>
      </c>
    </row>
    <row r="4215">
      <c r="B4215" s="25" t="n"/>
      <c r="I4215" s="25" t="n"/>
      <c r="U4215" s="19">
        <f>IF($V4215&lt;&gt;'設定'!$C$4,N(U4214),IF(OR(NOT(COUNTIF('商品マスタ'!$B$6:$B$1005,$W4215)=0),COUNTIFS('①在庫を貼る'!$V$6:$V$10005,$V4215,'①在庫を貼る'!$W$6:$W$10005,$W4215)+COUNTIFS('月1回_1ヶ月前の在庫'!$V$6:$V$10005,$V4215,'月1回_1ヶ月前の在庫'!$W$6:$W$10005,$W4215)&gt;0),N(U4214),N(U4214)+1))</f>
        <v/>
      </c>
      <c r="V4215" s="19">
        <f>IF($B4215="","",TEXT($B4215,"0000"))</f>
        <v/>
      </c>
      <c r="W4215" s="19">
        <f>IF($I4215="","",IF(ISNUMBER($I4215),TEXT($I4215,"0"),$I4215))</f>
        <v/>
      </c>
    </row>
    <row r="4216">
      <c r="B4216" s="25" t="n"/>
      <c r="I4216" s="25" t="n"/>
      <c r="U4216" s="19">
        <f>IF($V4216&lt;&gt;'設定'!$C$4,N(U4215),IF(OR(NOT(COUNTIF('商品マスタ'!$B$6:$B$1005,$W4216)=0),COUNTIFS('①在庫を貼る'!$V$6:$V$10005,$V4216,'①在庫を貼る'!$W$6:$W$10005,$W4216)+COUNTIFS('月1回_1ヶ月前の在庫'!$V$6:$V$10005,$V4216,'月1回_1ヶ月前の在庫'!$W$6:$W$10005,$W4216)&gt;0),N(U4215),N(U4215)+1))</f>
        <v/>
      </c>
      <c r="V4216" s="19">
        <f>IF($B4216="","",TEXT($B4216,"0000"))</f>
        <v/>
      </c>
      <c r="W4216" s="19">
        <f>IF($I4216="","",IF(ISNUMBER($I4216),TEXT($I4216,"0"),$I4216))</f>
        <v/>
      </c>
    </row>
    <row r="4217">
      <c r="B4217" s="25" t="n"/>
      <c r="I4217" s="25" t="n"/>
      <c r="U4217" s="19">
        <f>IF($V4217&lt;&gt;'設定'!$C$4,N(U4216),IF(OR(NOT(COUNTIF('商品マスタ'!$B$6:$B$1005,$W4217)=0),COUNTIFS('①在庫を貼る'!$V$6:$V$10005,$V4217,'①在庫を貼る'!$W$6:$W$10005,$W4217)+COUNTIFS('月1回_1ヶ月前の在庫'!$V$6:$V$10005,$V4217,'月1回_1ヶ月前の在庫'!$W$6:$W$10005,$W4217)&gt;0),N(U4216),N(U4216)+1))</f>
        <v/>
      </c>
      <c r="V4217" s="19">
        <f>IF($B4217="","",TEXT($B4217,"0000"))</f>
        <v/>
      </c>
      <c r="W4217" s="19">
        <f>IF($I4217="","",IF(ISNUMBER($I4217),TEXT($I4217,"0"),$I4217))</f>
        <v/>
      </c>
    </row>
    <row r="4218">
      <c r="B4218" s="25" t="n"/>
      <c r="I4218" s="25" t="n"/>
      <c r="U4218" s="19">
        <f>IF($V4218&lt;&gt;'設定'!$C$4,N(U4217),IF(OR(NOT(COUNTIF('商品マスタ'!$B$6:$B$1005,$W4218)=0),COUNTIFS('①在庫を貼る'!$V$6:$V$10005,$V4218,'①在庫を貼る'!$W$6:$W$10005,$W4218)+COUNTIFS('月1回_1ヶ月前の在庫'!$V$6:$V$10005,$V4218,'月1回_1ヶ月前の在庫'!$W$6:$W$10005,$W4218)&gt;0),N(U4217),N(U4217)+1))</f>
        <v/>
      </c>
      <c r="V4218" s="19">
        <f>IF($B4218="","",TEXT($B4218,"0000"))</f>
        <v/>
      </c>
      <c r="W4218" s="19">
        <f>IF($I4218="","",IF(ISNUMBER($I4218),TEXT($I4218,"0"),$I4218))</f>
        <v/>
      </c>
    </row>
    <row r="4219">
      <c r="B4219" s="25" t="n"/>
      <c r="I4219" s="25" t="n"/>
      <c r="U4219" s="19">
        <f>IF($V4219&lt;&gt;'設定'!$C$4,N(U4218),IF(OR(NOT(COUNTIF('商品マスタ'!$B$6:$B$1005,$W4219)=0),COUNTIFS('①在庫を貼る'!$V$6:$V$10005,$V4219,'①在庫を貼る'!$W$6:$W$10005,$W4219)+COUNTIFS('月1回_1ヶ月前の在庫'!$V$6:$V$10005,$V4219,'月1回_1ヶ月前の在庫'!$W$6:$W$10005,$W4219)&gt;0),N(U4218),N(U4218)+1))</f>
        <v/>
      </c>
      <c r="V4219" s="19">
        <f>IF($B4219="","",TEXT($B4219,"0000"))</f>
        <v/>
      </c>
      <c r="W4219" s="19">
        <f>IF($I4219="","",IF(ISNUMBER($I4219),TEXT($I4219,"0"),$I4219))</f>
        <v/>
      </c>
    </row>
    <row r="4220">
      <c r="B4220" s="25" t="n"/>
      <c r="I4220" s="25" t="n"/>
      <c r="U4220" s="19">
        <f>IF($V4220&lt;&gt;'設定'!$C$4,N(U4219),IF(OR(NOT(COUNTIF('商品マスタ'!$B$6:$B$1005,$W4220)=0),COUNTIFS('①在庫を貼る'!$V$6:$V$10005,$V4220,'①在庫を貼る'!$W$6:$W$10005,$W4220)+COUNTIFS('月1回_1ヶ月前の在庫'!$V$6:$V$10005,$V4220,'月1回_1ヶ月前の在庫'!$W$6:$W$10005,$W4220)&gt;0),N(U4219),N(U4219)+1))</f>
        <v/>
      </c>
      <c r="V4220" s="19">
        <f>IF($B4220="","",TEXT($B4220,"0000"))</f>
        <v/>
      </c>
      <c r="W4220" s="19">
        <f>IF($I4220="","",IF(ISNUMBER($I4220),TEXT($I4220,"0"),$I4220))</f>
        <v/>
      </c>
    </row>
    <row r="4221">
      <c r="B4221" s="25" t="n"/>
      <c r="I4221" s="25" t="n"/>
      <c r="U4221" s="19">
        <f>IF($V4221&lt;&gt;'設定'!$C$4,N(U4220),IF(OR(NOT(COUNTIF('商品マスタ'!$B$6:$B$1005,$W4221)=0),COUNTIFS('①在庫を貼る'!$V$6:$V$10005,$V4221,'①在庫を貼る'!$W$6:$W$10005,$W4221)+COUNTIFS('月1回_1ヶ月前の在庫'!$V$6:$V$10005,$V4221,'月1回_1ヶ月前の在庫'!$W$6:$W$10005,$W4221)&gt;0),N(U4220),N(U4220)+1))</f>
        <v/>
      </c>
      <c r="V4221" s="19">
        <f>IF($B4221="","",TEXT($B4221,"0000"))</f>
        <v/>
      </c>
      <c r="W4221" s="19">
        <f>IF($I4221="","",IF(ISNUMBER($I4221),TEXT($I4221,"0"),$I4221))</f>
        <v/>
      </c>
    </row>
    <row r="4222">
      <c r="B4222" s="25" t="n"/>
      <c r="I4222" s="25" t="n"/>
      <c r="U4222" s="19">
        <f>IF($V4222&lt;&gt;'設定'!$C$4,N(U4221),IF(OR(NOT(COUNTIF('商品マスタ'!$B$6:$B$1005,$W4222)=0),COUNTIFS('①在庫を貼る'!$V$6:$V$10005,$V4222,'①在庫を貼る'!$W$6:$W$10005,$W4222)+COUNTIFS('月1回_1ヶ月前の在庫'!$V$6:$V$10005,$V4222,'月1回_1ヶ月前の在庫'!$W$6:$W$10005,$W4222)&gt;0),N(U4221),N(U4221)+1))</f>
        <v/>
      </c>
      <c r="V4222" s="19">
        <f>IF($B4222="","",TEXT($B4222,"0000"))</f>
        <v/>
      </c>
      <c r="W4222" s="19">
        <f>IF($I4222="","",IF(ISNUMBER($I4222),TEXT($I4222,"0"),$I4222))</f>
        <v/>
      </c>
    </row>
    <row r="4223">
      <c r="B4223" s="25" t="n"/>
      <c r="I4223" s="25" t="n"/>
      <c r="U4223" s="19">
        <f>IF($V4223&lt;&gt;'設定'!$C$4,N(U4222),IF(OR(NOT(COUNTIF('商品マスタ'!$B$6:$B$1005,$W4223)=0),COUNTIFS('①在庫を貼る'!$V$6:$V$10005,$V4223,'①在庫を貼る'!$W$6:$W$10005,$W4223)+COUNTIFS('月1回_1ヶ月前の在庫'!$V$6:$V$10005,$V4223,'月1回_1ヶ月前の在庫'!$W$6:$W$10005,$W4223)&gt;0),N(U4222),N(U4222)+1))</f>
        <v/>
      </c>
      <c r="V4223" s="19">
        <f>IF($B4223="","",TEXT($B4223,"0000"))</f>
        <v/>
      </c>
      <c r="W4223" s="19">
        <f>IF($I4223="","",IF(ISNUMBER($I4223),TEXT($I4223,"0"),$I4223))</f>
        <v/>
      </c>
    </row>
    <row r="4224">
      <c r="B4224" s="25" t="n"/>
      <c r="I4224" s="25" t="n"/>
      <c r="U4224" s="19">
        <f>IF($V4224&lt;&gt;'設定'!$C$4,N(U4223),IF(OR(NOT(COUNTIF('商品マスタ'!$B$6:$B$1005,$W4224)=0),COUNTIFS('①在庫を貼る'!$V$6:$V$10005,$V4224,'①在庫を貼る'!$W$6:$W$10005,$W4224)+COUNTIFS('月1回_1ヶ月前の在庫'!$V$6:$V$10005,$V4224,'月1回_1ヶ月前の在庫'!$W$6:$W$10005,$W4224)&gt;0),N(U4223),N(U4223)+1))</f>
        <v/>
      </c>
      <c r="V4224" s="19">
        <f>IF($B4224="","",TEXT($B4224,"0000"))</f>
        <v/>
      </c>
      <c r="W4224" s="19">
        <f>IF($I4224="","",IF(ISNUMBER($I4224),TEXT($I4224,"0"),$I4224))</f>
        <v/>
      </c>
    </row>
    <row r="4225">
      <c r="B4225" s="25" t="n"/>
      <c r="I4225" s="25" t="n"/>
      <c r="U4225" s="19">
        <f>IF($V4225&lt;&gt;'設定'!$C$4,N(U4224),IF(OR(NOT(COUNTIF('商品マスタ'!$B$6:$B$1005,$W4225)=0),COUNTIFS('①在庫を貼る'!$V$6:$V$10005,$V4225,'①在庫を貼る'!$W$6:$W$10005,$W4225)+COUNTIFS('月1回_1ヶ月前の在庫'!$V$6:$V$10005,$V4225,'月1回_1ヶ月前の在庫'!$W$6:$W$10005,$W4225)&gt;0),N(U4224),N(U4224)+1))</f>
        <v/>
      </c>
      <c r="V4225" s="19">
        <f>IF($B4225="","",TEXT($B4225,"0000"))</f>
        <v/>
      </c>
      <c r="W4225" s="19">
        <f>IF($I4225="","",IF(ISNUMBER($I4225),TEXT($I4225,"0"),$I4225))</f>
        <v/>
      </c>
    </row>
    <row r="4226">
      <c r="B4226" s="25" t="n"/>
      <c r="I4226" s="25" t="n"/>
      <c r="U4226" s="19">
        <f>IF($V4226&lt;&gt;'設定'!$C$4,N(U4225),IF(OR(NOT(COUNTIF('商品マスタ'!$B$6:$B$1005,$W4226)=0),COUNTIFS('①在庫を貼る'!$V$6:$V$10005,$V4226,'①在庫を貼る'!$W$6:$W$10005,$W4226)+COUNTIFS('月1回_1ヶ月前の在庫'!$V$6:$V$10005,$V4226,'月1回_1ヶ月前の在庫'!$W$6:$W$10005,$W4226)&gt;0),N(U4225),N(U4225)+1))</f>
        <v/>
      </c>
      <c r="V4226" s="19">
        <f>IF($B4226="","",TEXT($B4226,"0000"))</f>
        <v/>
      </c>
      <c r="W4226" s="19">
        <f>IF($I4226="","",IF(ISNUMBER($I4226),TEXT($I4226,"0"),$I4226))</f>
        <v/>
      </c>
    </row>
    <row r="4227">
      <c r="B4227" s="25" t="n"/>
      <c r="I4227" s="25" t="n"/>
      <c r="U4227" s="19">
        <f>IF($V4227&lt;&gt;'設定'!$C$4,N(U4226),IF(OR(NOT(COUNTIF('商品マスタ'!$B$6:$B$1005,$W4227)=0),COUNTIFS('①在庫を貼る'!$V$6:$V$10005,$V4227,'①在庫を貼る'!$W$6:$W$10005,$W4227)+COUNTIFS('月1回_1ヶ月前の在庫'!$V$6:$V$10005,$V4227,'月1回_1ヶ月前の在庫'!$W$6:$W$10005,$W4227)&gt;0),N(U4226),N(U4226)+1))</f>
        <v/>
      </c>
      <c r="V4227" s="19">
        <f>IF($B4227="","",TEXT($B4227,"0000"))</f>
        <v/>
      </c>
      <c r="W4227" s="19">
        <f>IF($I4227="","",IF(ISNUMBER($I4227),TEXT($I4227,"0"),$I4227))</f>
        <v/>
      </c>
    </row>
    <row r="4228">
      <c r="B4228" s="25" t="n"/>
      <c r="I4228" s="25" t="n"/>
      <c r="U4228" s="19">
        <f>IF($V4228&lt;&gt;'設定'!$C$4,N(U4227),IF(OR(NOT(COUNTIF('商品マスタ'!$B$6:$B$1005,$W4228)=0),COUNTIFS('①在庫を貼る'!$V$6:$V$10005,$V4228,'①在庫を貼る'!$W$6:$W$10005,$W4228)+COUNTIFS('月1回_1ヶ月前の在庫'!$V$6:$V$10005,$V4228,'月1回_1ヶ月前の在庫'!$W$6:$W$10005,$W4228)&gt;0),N(U4227),N(U4227)+1))</f>
        <v/>
      </c>
      <c r="V4228" s="19">
        <f>IF($B4228="","",TEXT($B4228,"0000"))</f>
        <v/>
      </c>
      <c r="W4228" s="19">
        <f>IF($I4228="","",IF(ISNUMBER($I4228),TEXT($I4228,"0"),$I4228))</f>
        <v/>
      </c>
    </row>
    <row r="4229">
      <c r="B4229" s="25" t="n"/>
      <c r="I4229" s="25" t="n"/>
      <c r="U4229" s="19">
        <f>IF($V4229&lt;&gt;'設定'!$C$4,N(U4228),IF(OR(NOT(COUNTIF('商品マスタ'!$B$6:$B$1005,$W4229)=0),COUNTIFS('①在庫を貼る'!$V$6:$V$10005,$V4229,'①在庫を貼る'!$W$6:$W$10005,$W4229)+COUNTIFS('月1回_1ヶ月前の在庫'!$V$6:$V$10005,$V4229,'月1回_1ヶ月前の在庫'!$W$6:$W$10005,$W4229)&gt;0),N(U4228),N(U4228)+1))</f>
        <v/>
      </c>
      <c r="V4229" s="19">
        <f>IF($B4229="","",TEXT($B4229,"0000"))</f>
        <v/>
      </c>
      <c r="W4229" s="19">
        <f>IF($I4229="","",IF(ISNUMBER($I4229),TEXT($I4229,"0"),$I4229))</f>
        <v/>
      </c>
    </row>
    <row r="4230">
      <c r="B4230" s="25" t="n"/>
      <c r="I4230" s="25" t="n"/>
      <c r="U4230" s="19">
        <f>IF($V4230&lt;&gt;'設定'!$C$4,N(U4229),IF(OR(NOT(COUNTIF('商品マスタ'!$B$6:$B$1005,$W4230)=0),COUNTIFS('①在庫を貼る'!$V$6:$V$10005,$V4230,'①在庫を貼る'!$W$6:$W$10005,$W4230)+COUNTIFS('月1回_1ヶ月前の在庫'!$V$6:$V$10005,$V4230,'月1回_1ヶ月前の在庫'!$W$6:$W$10005,$W4230)&gt;0),N(U4229),N(U4229)+1))</f>
        <v/>
      </c>
      <c r="V4230" s="19">
        <f>IF($B4230="","",TEXT($B4230,"0000"))</f>
        <v/>
      </c>
      <c r="W4230" s="19">
        <f>IF($I4230="","",IF(ISNUMBER($I4230),TEXT($I4230,"0"),$I4230))</f>
        <v/>
      </c>
    </row>
    <row r="4231">
      <c r="B4231" s="25" t="n"/>
      <c r="I4231" s="25" t="n"/>
      <c r="U4231" s="19">
        <f>IF($V4231&lt;&gt;'設定'!$C$4,N(U4230),IF(OR(NOT(COUNTIF('商品マスタ'!$B$6:$B$1005,$W4231)=0),COUNTIFS('①在庫を貼る'!$V$6:$V$10005,$V4231,'①在庫を貼る'!$W$6:$W$10005,$W4231)+COUNTIFS('月1回_1ヶ月前の在庫'!$V$6:$V$10005,$V4231,'月1回_1ヶ月前の在庫'!$W$6:$W$10005,$W4231)&gt;0),N(U4230),N(U4230)+1))</f>
        <v/>
      </c>
      <c r="V4231" s="19">
        <f>IF($B4231="","",TEXT($B4231,"0000"))</f>
        <v/>
      </c>
      <c r="W4231" s="19">
        <f>IF($I4231="","",IF(ISNUMBER($I4231),TEXT($I4231,"0"),$I4231))</f>
        <v/>
      </c>
    </row>
    <row r="4232">
      <c r="B4232" s="25" t="n"/>
      <c r="I4232" s="25" t="n"/>
      <c r="U4232" s="19">
        <f>IF($V4232&lt;&gt;'設定'!$C$4,N(U4231),IF(OR(NOT(COUNTIF('商品マスタ'!$B$6:$B$1005,$W4232)=0),COUNTIFS('①在庫を貼る'!$V$6:$V$10005,$V4232,'①在庫を貼る'!$W$6:$W$10005,$W4232)+COUNTIFS('月1回_1ヶ月前の在庫'!$V$6:$V$10005,$V4232,'月1回_1ヶ月前の在庫'!$W$6:$W$10005,$W4232)&gt;0),N(U4231),N(U4231)+1))</f>
        <v/>
      </c>
      <c r="V4232" s="19">
        <f>IF($B4232="","",TEXT($B4232,"0000"))</f>
        <v/>
      </c>
      <c r="W4232" s="19">
        <f>IF($I4232="","",IF(ISNUMBER($I4232),TEXT($I4232,"0"),$I4232))</f>
        <v/>
      </c>
    </row>
    <row r="4233">
      <c r="B4233" s="25" t="n"/>
      <c r="I4233" s="25" t="n"/>
      <c r="U4233" s="19">
        <f>IF($V4233&lt;&gt;'設定'!$C$4,N(U4232),IF(OR(NOT(COUNTIF('商品マスタ'!$B$6:$B$1005,$W4233)=0),COUNTIFS('①在庫を貼る'!$V$6:$V$10005,$V4233,'①在庫を貼る'!$W$6:$W$10005,$W4233)+COUNTIFS('月1回_1ヶ月前の在庫'!$V$6:$V$10005,$V4233,'月1回_1ヶ月前の在庫'!$W$6:$W$10005,$W4233)&gt;0),N(U4232),N(U4232)+1))</f>
        <v/>
      </c>
      <c r="V4233" s="19">
        <f>IF($B4233="","",TEXT($B4233,"0000"))</f>
        <v/>
      </c>
      <c r="W4233" s="19">
        <f>IF($I4233="","",IF(ISNUMBER($I4233),TEXT($I4233,"0"),$I4233))</f>
        <v/>
      </c>
    </row>
    <row r="4234">
      <c r="B4234" s="25" t="n"/>
      <c r="I4234" s="25" t="n"/>
      <c r="U4234" s="19">
        <f>IF($V4234&lt;&gt;'設定'!$C$4,N(U4233),IF(OR(NOT(COUNTIF('商品マスタ'!$B$6:$B$1005,$W4234)=0),COUNTIFS('①在庫を貼る'!$V$6:$V$10005,$V4234,'①在庫を貼る'!$W$6:$W$10005,$W4234)+COUNTIFS('月1回_1ヶ月前の在庫'!$V$6:$V$10005,$V4234,'月1回_1ヶ月前の在庫'!$W$6:$W$10005,$W4234)&gt;0),N(U4233),N(U4233)+1))</f>
        <v/>
      </c>
      <c r="V4234" s="19">
        <f>IF($B4234="","",TEXT($B4234,"0000"))</f>
        <v/>
      </c>
      <c r="W4234" s="19">
        <f>IF($I4234="","",IF(ISNUMBER($I4234),TEXT($I4234,"0"),$I4234))</f>
        <v/>
      </c>
    </row>
    <row r="4235">
      <c r="B4235" s="25" t="n"/>
      <c r="I4235" s="25" t="n"/>
      <c r="U4235" s="19">
        <f>IF($V4235&lt;&gt;'設定'!$C$4,N(U4234),IF(OR(NOT(COUNTIF('商品マスタ'!$B$6:$B$1005,$W4235)=0),COUNTIFS('①在庫を貼る'!$V$6:$V$10005,$V4235,'①在庫を貼る'!$W$6:$W$10005,$W4235)+COUNTIFS('月1回_1ヶ月前の在庫'!$V$6:$V$10005,$V4235,'月1回_1ヶ月前の在庫'!$W$6:$W$10005,$W4235)&gt;0),N(U4234),N(U4234)+1))</f>
        <v/>
      </c>
      <c r="V4235" s="19">
        <f>IF($B4235="","",TEXT($B4235,"0000"))</f>
        <v/>
      </c>
      <c r="W4235" s="19">
        <f>IF($I4235="","",IF(ISNUMBER($I4235),TEXT($I4235,"0"),$I4235))</f>
        <v/>
      </c>
    </row>
    <row r="4236">
      <c r="B4236" s="25" t="n"/>
      <c r="I4236" s="25" t="n"/>
      <c r="U4236" s="19">
        <f>IF($V4236&lt;&gt;'設定'!$C$4,N(U4235),IF(OR(NOT(COUNTIF('商品マスタ'!$B$6:$B$1005,$W4236)=0),COUNTIFS('①在庫を貼る'!$V$6:$V$10005,$V4236,'①在庫を貼る'!$W$6:$W$10005,$W4236)+COUNTIFS('月1回_1ヶ月前の在庫'!$V$6:$V$10005,$V4236,'月1回_1ヶ月前の在庫'!$W$6:$W$10005,$W4236)&gt;0),N(U4235),N(U4235)+1))</f>
        <v/>
      </c>
      <c r="V4236" s="19">
        <f>IF($B4236="","",TEXT($B4236,"0000"))</f>
        <v/>
      </c>
      <c r="W4236" s="19">
        <f>IF($I4236="","",IF(ISNUMBER($I4236),TEXT($I4236,"0"),$I4236))</f>
        <v/>
      </c>
    </row>
    <row r="4237">
      <c r="B4237" s="25" t="n"/>
      <c r="I4237" s="25" t="n"/>
      <c r="U4237" s="19">
        <f>IF($V4237&lt;&gt;'設定'!$C$4,N(U4236),IF(OR(NOT(COUNTIF('商品マスタ'!$B$6:$B$1005,$W4237)=0),COUNTIFS('①在庫を貼る'!$V$6:$V$10005,$V4237,'①在庫を貼る'!$W$6:$W$10005,$W4237)+COUNTIFS('月1回_1ヶ月前の在庫'!$V$6:$V$10005,$V4237,'月1回_1ヶ月前の在庫'!$W$6:$W$10005,$W4237)&gt;0),N(U4236),N(U4236)+1))</f>
        <v/>
      </c>
      <c r="V4237" s="19">
        <f>IF($B4237="","",TEXT($B4237,"0000"))</f>
        <v/>
      </c>
      <c r="W4237" s="19">
        <f>IF($I4237="","",IF(ISNUMBER($I4237),TEXT($I4237,"0"),$I4237))</f>
        <v/>
      </c>
    </row>
    <row r="4238">
      <c r="B4238" s="25" t="n"/>
      <c r="I4238" s="25" t="n"/>
      <c r="U4238" s="19">
        <f>IF($V4238&lt;&gt;'設定'!$C$4,N(U4237),IF(OR(NOT(COUNTIF('商品マスタ'!$B$6:$B$1005,$W4238)=0),COUNTIFS('①在庫を貼る'!$V$6:$V$10005,$V4238,'①在庫を貼る'!$W$6:$W$10005,$W4238)+COUNTIFS('月1回_1ヶ月前の在庫'!$V$6:$V$10005,$V4238,'月1回_1ヶ月前の在庫'!$W$6:$W$10005,$W4238)&gt;0),N(U4237),N(U4237)+1))</f>
        <v/>
      </c>
      <c r="V4238" s="19">
        <f>IF($B4238="","",TEXT($B4238,"0000"))</f>
        <v/>
      </c>
      <c r="W4238" s="19">
        <f>IF($I4238="","",IF(ISNUMBER($I4238),TEXT($I4238,"0"),$I4238))</f>
        <v/>
      </c>
    </row>
    <row r="4239">
      <c r="B4239" s="25" t="n"/>
      <c r="I4239" s="25" t="n"/>
      <c r="U4239" s="19">
        <f>IF($V4239&lt;&gt;'設定'!$C$4,N(U4238),IF(OR(NOT(COUNTIF('商品マスタ'!$B$6:$B$1005,$W4239)=0),COUNTIFS('①在庫を貼る'!$V$6:$V$10005,$V4239,'①在庫を貼る'!$W$6:$W$10005,$W4239)+COUNTIFS('月1回_1ヶ月前の在庫'!$V$6:$V$10005,$V4239,'月1回_1ヶ月前の在庫'!$W$6:$W$10005,$W4239)&gt;0),N(U4238),N(U4238)+1))</f>
        <v/>
      </c>
      <c r="V4239" s="19">
        <f>IF($B4239="","",TEXT($B4239,"0000"))</f>
        <v/>
      </c>
      <c r="W4239" s="19">
        <f>IF($I4239="","",IF(ISNUMBER($I4239),TEXT($I4239,"0"),$I4239))</f>
        <v/>
      </c>
    </row>
    <row r="4240">
      <c r="B4240" s="25" t="n"/>
      <c r="I4240" s="25" t="n"/>
      <c r="U4240" s="19">
        <f>IF($V4240&lt;&gt;'設定'!$C$4,N(U4239),IF(OR(NOT(COUNTIF('商品マスタ'!$B$6:$B$1005,$W4240)=0),COUNTIFS('①在庫を貼る'!$V$6:$V$10005,$V4240,'①在庫を貼る'!$W$6:$W$10005,$W4240)+COUNTIFS('月1回_1ヶ月前の在庫'!$V$6:$V$10005,$V4240,'月1回_1ヶ月前の在庫'!$W$6:$W$10005,$W4240)&gt;0),N(U4239),N(U4239)+1))</f>
        <v/>
      </c>
      <c r="V4240" s="19">
        <f>IF($B4240="","",TEXT($B4240,"0000"))</f>
        <v/>
      </c>
      <c r="W4240" s="19">
        <f>IF($I4240="","",IF(ISNUMBER($I4240),TEXT($I4240,"0"),$I4240))</f>
        <v/>
      </c>
    </row>
    <row r="4241">
      <c r="B4241" s="25" t="n"/>
      <c r="I4241" s="25" t="n"/>
      <c r="U4241" s="19">
        <f>IF($V4241&lt;&gt;'設定'!$C$4,N(U4240),IF(OR(NOT(COUNTIF('商品マスタ'!$B$6:$B$1005,$W4241)=0),COUNTIFS('①在庫を貼る'!$V$6:$V$10005,$V4241,'①在庫を貼る'!$W$6:$W$10005,$W4241)+COUNTIFS('月1回_1ヶ月前の在庫'!$V$6:$V$10005,$V4241,'月1回_1ヶ月前の在庫'!$W$6:$W$10005,$W4241)&gt;0),N(U4240),N(U4240)+1))</f>
        <v/>
      </c>
      <c r="V4241" s="19">
        <f>IF($B4241="","",TEXT($B4241,"0000"))</f>
        <v/>
      </c>
      <c r="W4241" s="19">
        <f>IF($I4241="","",IF(ISNUMBER($I4241),TEXT($I4241,"0"),$I4241))</f>
        <v/>
      </c>
    </row>
    <row r="4242">
      <c r="B4242" s="25" t="n"/>
      <c r="I4242" s="25" t="n"/>
      <c r="U4242" s="19">
        <f>IF($V4242&lt;&gt;'設定'!$C$4,N(U4241),IF(OR(NOT(COUNTIF('商品マスタ'!$B$6:$B$1005,$W4242)=0),COUNTIFS('①在庫を貼る'!$V$6:$V$10005,$V4242,'①在庫を貼る'!$W$6:$W$10005,$W4242)+COUNTIFS('月1回_1ヶ月前の在庫'!$V$6:$V$10005,$V4242,'月1回_1ヶ月前の在庫'!$W$6:$W$10005,$W4242)&gt;0),N(U4241),N(U4241)+1))</f>
        <v/>
      </c>
      <c r="V4242" s="19">
        <f>IF($B4242="","",TEXT($B4242,"0000"))</f>
        <v/>
      </c>
      <c r="W4242" s="19">
        <f>IF($I4242="","",IF(ISNUMBER($I4242),TEXT($I4242,"0"),$I4242))</f>
        <v/>
      </c>
    </row>
    <row r="4243">
      <c r="B4243" s="25" t="n"/>
      <c r="I4243" s="25" t="n"/>
      <c r="U4243" s="19">
        <f>IF($V4243&lt;&gt;'設定'!$C$4,N(U4242),IF(OR(NOT(COUNTIF('商品マスタ'!$B$6:$B$1005,$W4243)=0),COUNTIFS('①在庫を貼る'!$V$6:$V$10005,$V4243,'①在庫を貼る'!$W$6:$W$10005,$W4243)+COUNTIFS('月1回_1ヶ月前の在庫'!$V$6:$V$10005,$V4243,'月1回_1ヶ月前の在庫'!$W$6:$W$10005,$W4243)&gt;0),N(U4242),N(U4242)+1))</f>
        <v/>
      </c>
      <c r="V4243" s="19">
        <f>IF($B4243="","",TEXT($B4243,"0000"))</f>
        <v/>
      </c>
      <c r="W4243" s="19">
        <f>IF($I4243="","",IF(ISNUMBER($I4243),TEXT($I4243,"0"),$I4243))</f>
        <v/>
      </c>
    </row>
    <row r="4244">
      <c r="B4244" s="25" t="n"/>
      <c r="I4244" s="25" t="n"/>
      <c r="U4244" s="19">
        <f>IF($V4244&lt;&gt;'設定'!$C$4,N(U4243),IF(OR(NOT(COUNTIF('商品マスタ'!$B$6:$B$1005,$W4244)=0),COUNTIFS('①在庫を貼る'!$V$6:$V$10005,$V4244,'①在庫を貼る'!$W$6:$W$10005,$W4244)+COUNTIFS('月1回_1ヶ月前の在庫'!$V$6:$V$10005,$V4244,'月1回_1ヶ月前の在庫'!$W$6:$W$10005,$W4244)&gt;0),N(U4243),N(U4243)+1))</f>
        <v/>
      </c>
      <c r="V4244" s="19">
        <f>IF($B4244="","",TEXT($B4244,"0000"))</f>
        <v/>
      </c>
      <c r="W4244" s="19">
        <f>IF($I4244="","",IF(ISNUMBER($I4244),TEXT($I4244,"0"),$I4244))</f>
        <v/>
      </c>
    </row>
    <row r="4245">
      <c r="B4245" s="25" t="n"/>
      <c r="I4245" s="25" t="n"/>
      <c r="U4245" s="19">
        <f>IF($V4245&lt;&gt;'設定'!$C$4,N(U4244),IF(OR(NOT(COUNTIF('商品マスタ'!$B$6:$B$1005,$W4245)=0),COUNTIFS('①在庫を貼る'!$V$6:$V$10005,$V4245,'①在庫を貼る'!$W$6:$W$10005,$W4245)+COUNTIFS('月1回_1ヶ月前の在庫'!$V$6:$V$10005,$V4245,'月1回_1ヶ月前の在庫'!$W$6:$W$10005,$W4245)&gt;0),N(U4244),N(U4244)+1))</f>
        <v/>
      </c>
      <c r="V4245" s="19">
        <f>IF($B4245="","",TEXT($B4245,"0000"))</f>
        <v/>
      </c>
      <c r="W4245" s="19">
        <f>IF($I4245="","",IF(ISNUMBER($I4245),TEXT($I4245,"0"),$I4245))</f>
        <v/>
      </c>
    </row>
    <row r="4246">
      <c r="B4246" s="25" t="n"/>
      <c r="I4246" s="25" t="n"/>
      <c r="U4246" s="19">
        <f>IF($V4246&lt;&gt;'設定'!$C$4,N(U4245),IF(OR(NOT(COUNTIF('商品マスタ'!$B$6:$B$1005,$W4246)=0),COUNTIFS('①在庫を貼る'!$V$6:$V$10005,$V4246,'①在庫を貼る'!$W$6:$W$10005,$W4246)+COUNTIFS('月1回_1ヶ月前の在庫'!$V$6:$V$10005,$V4246,'月1回_1ヶ月前の在庫'!$W$6:$W$10005,$W4246)&gt;0),N(U4245),N(U4245)+1))</f>
        <v/>
      </c>
      <c r="V4246" s="19">
        <f>IF($B4246="","",TEXT($B4246,"0000"))</f>
        <v/>
      </c>
      <c r="W4246" s="19">
        <f>IF($I4246="","",IF(ISNUMBER($I4246),TEXT($I4246,"0"),$I4246))</f>
        <v/>
      </c>
    </row>
    <row r="4247">
      <c r="B4247" s="25" t="n"/>
      <c r="I4247" s="25" t="n"/>
      <c r="U4247" s="19">
        <f>IF($V4247&lt;&gt;'設定'!$C$4,N(U4246),IF(OR(NOT(COUNTIF('商品マスタ'!$B$6:$B$1005,$W4247)=0),COUNTIFS('①在庫を貼る'!$V$6:$V$10005,$V4247,'①在庫を貼る'!$W$6:$W$10005,$W4247)+COUNTIFS('月1回_1ヶ月前の在庫'!$V$6:$V$10005,$V4247,'月1回_1ヶ月前の在庫'!$W$6:$W$10005,$W4247)&gt;0),N(U4246),N(U4246)+1))</f>
        <v/>
      </c>
      <c r="V4247" s="19">
        <f>IF($B4247="","",TEXT($B4247,"0000"))</f>
        <v/>
      </c>
      <c r="W4247" s="19">
        <f>IF($I4247="","",IF(ISNUMBER($I4247),TEXT($I4247,"0"),$I4247))</f>
        <v/>
      </c>
    </row>
    <row r="4248">
      <c r="B4248" s="25" t="n"/>
      <c r="I4248" s="25" t="n"/>
      <c r="U4248" s="19">
        <f>IF($V4248&lt;&gt;'設定'!$C$4,N(U4247),IF(OR(NOT(COUNTIF('商品マスタ'!$B$6:$B$1005,$W4248)=0),COUNTIFS('①在庫を貼る'!$V$6:$V$10005,$V4248,'①在庫を貼る'!$W$6:$W$10005,$W4248)+COUNTIFS('月1回_1ヶ月前の在庫'!$V$6:$V$10005,$V4248,'月1回_1ヶ月前の在庫'!$W$6:$W$10005,$W4248)&gt;0),N(U4247),N(U4247)+1))</f>
        <v/>
      </c>
      <c r="V4248" s="19">
        <f>IF($B4248="","",TEXT($B4248,"0000"))</f>
        <v/>
      </c>
      <c r="W4248" s="19">
        <f>IF($I4248="","",IF(ISNUMBER($I4248),TEXT($I4248,"0"),$I4248))</f>
        <v/>
      </c>
    </row>
    <row r="4249">
      <c r="B4249" s="25" t="n"/>
      <c r="I4249" s="25" t="n"/>
      <c r="U4249" s="19">
        <f>IF($V4249&lt;&gt;'設定'!$C$4,N(U4248),IF(OR(NOT(COUNTIF('商品マスタ'!$B$6:$B$1005,$W4249)=0),COUNTIFS('①在庫を貼る'!$V$6:$V$10005,$V4249,'①在庫を貼る'!$W$6:$W$10005,$W4249)+COUNTIFS('月1回_1ヶ月前の在庫'!$V$6:$V$10005,$V4249,'月1回_1ヶ月前の在庫'!$W$6:$W$10005,$W4249)&gt;0),N(U4248),N(U4248)+1))</f>
        <v/>
      </c>
      <c r="V4249" s="19">
        <f>IF($B4249="","",TEXT($B4249,"0000"))</f>
        <v/>
      </c>
      <c r="W4249" s="19">
        <f>IF($I4249="","",IF(ISNUMBER($I4249),TEXT($I4249,"0"),$I4249))</f>
        <v/>
      </c>
    </row>
    <row r="4250">
      <c r="B4250" s="25" t="n"/>
      <c r="I4250" s="25" t="n"/>
      <c r="U4250" s="19">
        <f>IF($V4250&lt;&gt;'設定'!$C$4,N(U4249),IF(OR(NOT(COUNTIF('商品マスタ'!$B$6:$B$1005,$W4250)=0),COUNTIFS('①在庫を貼る'!$V$6:$V$10005,$V4250,'①在庫を貼る'!$W$6:$W$10005,$W4250)+COUNTIFS('月1回_1ヶ月前の在庫'!$V$6:$V$10005,$V4250,'月1回_1ヶ月前の在庫'!$W$6:$W$10005,$W4250)&gt;0),N(U4249),N(U4249)+1))</f>
        <v/>
      </c>
      <c r="V4250" s="19">
        <f>IF($B4250="","",TEXT($B4250,"0000"))</f>
        <v/>
      </c>
      <c r="W4250" s="19">
        <f>IF($I4250="","",IF(ISNUMBER($I4250),TEXT($I4250,"0"),$I4250))</f>
        <v/>
      </c>
    </row>
    <row r="4251">
      <c r="B4251" s="25" t="n"/>
      <c r="I4251" s="25" t="n"/>
      <c r="U4251" s="19">
        <f>IF($V4251&lt;&gt;'設定'!$C$4,N(U4250),IF(OR(NOT(COUNTIF('商品マスタ'!$B$6:$B$1005,$W4251)=0),COUNTIFS('①在庫を貼る'!$V$6:$V$10005,$V4251,'①在庫を貼る'!$W$6:$W$10005,$W4251)+COUNTIFS('月1回_1ヶ月前の在庫'!$V$6:$V$10005,$V4251,'月1回_1ヶ月前の在庫'!$W$6:$W$10005,$W4251)&gt;0),N(U4250),N(U4250)+1))</f>
        <v/>
      </c>
      <c r="V4251" s="19">
        <f>IF($B4251="","",TEXT($B4251,"0000"))</f>
        <v/>
      </c>
      <c r="W4251" s="19">
        <f>IF($I4251="","",IF(ISNUMBER($I4251),TEXT($I4251,"0"),$I4251))</f>
        <v/>
      </c>
    </row>
    <row r="4252">
      <c r="B4252" s="25" t="n"/>
      <c r="I4252" s="25" t="n"/>
      <c r="U4252" s="19">
        <f>IF($V4252&lt;&gt;'設定'!$C$4,N(U4251),IF(OR(NOT(COUNTIF('商品マスタ'!$B$6:$B$1005,$W4252)=0),COUNTIFS('①在庫を貼る'!$V$6:$V$10005,$V4252,'①在庫を貼る'!$W$6:$W$10005,$W4252)+COUNTIFS('月1回_1ヶ月前の在庫'!$V$6:$V$10005,$V4252,'月1回_1ヶ月前の在庫'!$W$6:$W$10005,$W4252)&gt;0),N(U4251),N(U4251)+1))</f>
        <v/>
      </c>
      <c r="V4252" s="19">
        <f>IF($B4252="","",TEXT($B4252,"0000"))</f>
        <v/>
      </c>
      <c r="W4252" s="19">
        <f>IF($I4252="","",IF(ISNUMBER($I4252),TEXT($I4252,"0"),$I4252))</f>
        <v/>
      </c>
    </row>
    <row r="4253">
      <c r="B4253" s="25" t="n"/>
      <c r="I4253" s="25" t="n"/>
      <c r="U4253" s="19">
        <f>IF($V4253&lt;&gt;'設定'!$C$4,N(U4252),IF(OR(NOT(COUNTIF('商品マスタ'!$B$6:$B$1005,$W4253)=0),COUNTIFS('①在庫を貼る'!$V$6:$V$10005,$V4253,'①在庫を貼る'!$W$6:$W$10005,$W4253)+COUNTIFS('月1回_1ヶ月前の在庫'!$V$6:$V$10005,$V4253,'月1回_1ヶ月前の在庫'!$W$6:$W$10005,$W4253)&gt;0),N(U4252),N(U4252)+1))</f>
        <v/>
      </c>
      <c r="V4253" s="19">
        <f>IF($B4253="","",TEXT($B4253,"0000"))</f>
        <v/>
      </c>
      <c r="W4253" s="19">
        <f>IF($I4253="","",IF(ISNUMBER($I4253),TEXT($I4253,"0"),$I4253))</f>
        <v/>
      </c>
    </row>
    <row r="4254">
      <c r="B4254" s="25" t="n"/>
      <c r="I4254" s="25" t="n"/>
      <c r="U4254" s="19">
        <f>IF($V4254&lt;&gt;'設定'!$C$4,N(U4253),IF(OR(NOT(COUNTIF('商品マスタ'!$B$6:$B$1005,$W4254)=0),COUNTIFS('①在庫を貼る'!$V$6:$V$10005,$V4254,'①在庫を貼る'!$W$6:$W$10005,$W4254)+COUNTIFS('月1回_1ヶ月前の在庫'!$V$6:$V$10005,$V4254,'月1回_1ヶ月前の在庫'!$W$6:$W$10005,$W4254)&gt;0),N(U4253),N(U4253)+1))</f>
        <v/>
      </c>
      <c r="V4254" s="19">
        <f>IF($B4254="","",TEXT($B4254,"0000"))</f>
        <v/>
      </c>
      <c r="W4254" s="19">
        <f>IF($I4254="","",IF(ISNUMBER($I4254),TEXT($I4254,"0"),$I4254))</f>
        <v/>
      </c>
    </row>
    <row r="4255">
      <c r="B4255" s="25" t="n"/>
      <c r="I4255" s="25" t="n"/>
      <c r="U4255" s="19">
        <f>IF($V4255&lt;&gt;'設定'!$C$4,N(U4254),IF(OR(NOT(COUNTIF('商品マスタ'!$B$6:$B$1005,$W4255)=0),COUNTIFS('①在庫を貼る'!$V$6:$V$10005,$V4255,'①在庫を貼る'!$W$6:$W$10005,$W4255)+COUNTIFS('月1回_1ヶ月前の在庫'!$V$6:$V$10005,$V4255,'月1回_1ヶ月前の在庫'!$W$6:$W$10005,$W4255)&gt;0),N(U4254),N(U4254)+1))</f>
        <v/>
      </c>
      <c r="V4255" s="19">
        <f>IF($B4255="","",TEXT($B4255,"0000"))</f>
        <v/>
      </c>
      <c r="W4255" s="19">
        <f>IF($I4255="","",IF(ISNUMBER($I4255),TEXT($I4255,"0"),$I4255))</f>
        <v/>
      </c>
    </row>
    <row r="4256">
      <c r="B4256" s="25" t="n"/>
      <c r="I4256" s="25" t="n"/>
      <c r="U4256" s="19">
        <f>IF($V4256&lt;&gt;'設定'!$C$4,N(U4255),IF(OR(NOT(COUNTIF('商品マスタ'!$B$6:$B$1005,$W4256)=0),COUNTIFS('①在庫を貼る'!$V$6:$V$10005,$V4256,'①在庫を貼る'!$W$6:$W$10005,$W4256)+COUNTIFS('月1回_1ヶ月前の在庫'!$V$6:$V$10005,$V4256,'月1回_1ヶ月前の在庫'!$W$6:$W$10005,$W4256)&gt;0),N(U4255),N(U4255)+1))</f>
        <v/>
      </c>
      <c r="V4256" s="19">
        <f>IF($B4256="","",TEXT($B4256,"0000"))</f>
        <v/>
      </c>
      <c r="W4256" s="19">
        <f>IF($I4256="","",IF(ISNUMBER($I4256),TEXT($I4256,"0"),$I4256))</f>
        <v/>
      </c>
    </row>
    <row r="4257">
      <c r="B4257" s="25" t="n"/>
      <c r="I4257" s="25" t="n"/>
      <c r="U4257" s="19">
        <f>IF($V4257&lt;&gt;'設定'!$C$4,N(U4256),IF(OR(NOT(COUNTIF('商品マスタ'!$B$6:$B$1005,$W4257)=0),COUNTIFS('①在庫を貼る'!$V$6:$V$10005,$V4257,'①在庫を貼る'!$W$6:$W$10005,$W4257)+COUNTIFS('月1回_1ヶ月前の在庫'!$V$6:$V$10005,$V4257,'月1回_1ヶ月前の在庫'!$W$6:$W$10005,$W4257)&gt;0),N(U4256),N(U4256)+1))</f>
        <v/>
      </c>
      <c r="V4257" s="19">
        <f>IF($B4257="","",TEXT($B4257,"0000"))</f>
        <v/>
      </c>
      <c r="W4257" s="19">
        <f>IF($I4257="","",IF(ISNUMBER($I4257),TEXT($I4257,"0"),$I4257))</f>
        <v/>
      </c>
    </row>
    <row r="4258">
      <c r="B4258" s="25" t="n"/>
      <c r="I4258" s="25" t="n"/>
      <c r="U4258" s="19">
        <f>IF($V4258&lt;&gt;'設定'!$C$4,N(U4257),IF(OR(NOT(COUNTIF('商品マスタ'!$B$6:$B$1005,$W4258)=0),COUNTIFS('①在庫を貼る'!$V$6:$V$10005,$V4258,'①在庫を貼る'!$W$6:$W$10005,$W4258)+COUNTIFS('月1回_1ヶ月前の在庫'!$V$6:$V$10005,$V4258,'月1回_1ヶ月前の在庫'!$W$6:$W$10005,$W4258)&gt;0),N(U4257),N(U4257)+1))</f>
        <v/>
      </c>
      <c r="V4258" s="19">
        <f>IF($B4258="","",TEXT($B4258,"0000"))</f>
        <v/>
      </c>
      <c r="W4258" s="19">
        <f>IF($I4258="","",IF(ISNUMBER($I4258),TEXT($I4258,"0"),$I4258))</f>
        <v/>
      </c>
    </row>
    <row r="4259">
      <c r="B4259" s="25" t="n"/>
      <c r="I4259" s="25" t="n"/>
      <c r="U4259" s="19">
        <f>IF($V4259&lt;&gt;'設定'!$C$4,N(U4258),IF(OR(NOT(COUNTIF('商品マスタ'!$B$6:$B$1005,$W4259)=0),COUNTIFS('①在庫を貼る'!$V$6:$V$10005,$V4259,'①在庫を貼る'!$W$6:$W$10005,$W4259)+COUNTIFS('月1回_1ヶ月前の在庫'!$V$6:$V$10005,$V4259,'月1回_1ヶ月前の在庫'!$W$6:$W$10005,$W4259)&gt;0),N(U4258),N(U4258)+1))</f>
        <v/>
      </c>
      <c r="V4259" s="19">
        <f>IF($B4259="","",TEXT($B4259,"0000"))</f>
        <v/>
      </c>
      <c r="W4259" s="19">
        <f>IF($I4259="","",IF(ISNUMBER($I4259),TEXT($I4259,"0"),$I4259))</f>
        <v/>
      </c>
    </row>
    <row r="4260">
      <c r="B4260" s="25" t="n"/>
      <c r="I4260" s="25" t="n"/>
      <c r="U4260" s="19">
        <f>IF($V4260&lt;&gt;'設定'!$C$4,N(U4259),IF(OR(NOT(COUNTIF('商品マスタ'!$B$6:$B$1005,$W4260)=0),COUNTIFS('①在庫を貼る'!$V$6:$V$10005,$V4260,'①在庫を貼る'!$W$6:$W$10005,$W4260)+COUNTIFS('月1回_1ヶ月前の在庫'!$V$6:$V$10005,$V4260,'月1回_1ヶ月前の在庫'!$W$6:$W$10005,$W4260)&gt;0),N(U4259),N(U4259)+1))</f>
        <v/>
      </c>
      <c r="V4260" s="19">
        <f>IF($B4260="","",TEXT($B4260,"0000"))</f>
        <v/>
      </c>
      <c r="W4260" s="19">
        <f>IF($I4260="","",IF(ISNUMBER($I4260),TEXT($I4260,"0"),$I4260))</f>
        <v/>
      </c>
    </row>
    <row r="4261">
      <c r="B4261" s="25" t="n"/>
      <c r="I4261" s="25" t="n"/>
      <c r="U4261" s="19">
        <f>IF($V4261&lt;&gt;'設定'!$C$4,N(U4260),IF(OR(NOT(COUNTIF('商品マスタ'!$B$6:$B$1005,$W4261)=0),COUNTIFS('①在庫を貼る'!$V$6:$V$10005,$V4261,'①在庫を貼る'!$W$6:$W$10005,$W4261)+COUNTIFS('月1回_1ヶ月前の在庫'!$V$6:$V$10005,$V4261,'月1回_1ヶ月前の在庫'!$W$6:$W$10005,$W4261)&gt;0),N(U4260),N(U4260)+1))</f>
        <v/>
      </c>
      <c r="V4261" s="19">
        <f>IF($B4261="","",TEXT($B4261,"0000"))</f>
        <v/>
      </c>
      <c r="W4261" s="19">
        <f>IF($I4261="","",IF(ISNUMBER($I4261),TEXT($I4261,"0"),$I4261))</f>
        <v/>
      </c>
    </row>
    <row r="4262">
      <c r="B4262" s="25" t="n"/>
      <c r="I4262" s="25" t="n"/>
      <c r="U4262" s="19">
        <f>IF($V4262&lt;&gt;'設定'!$C$4,N(U4261),IF(OR(NOT(COUNTIF('商品マスタ'!$B$6:$B$1005,$W4262)=0),COUNTIFS('①在庫を貼る'!$V$6:$V$10005,$V4262,'①在庫を貼る'!$W$6:$W$10005,$W4262)+COUNTIFS('月1回_1ヶ月前の在庫'!$V$6:$V$10005,$V4262,'月1回_1ヶ月前の在庫'!$W$6:$W$10005,$W4262)&gt;0),N(U4261),N(U4261)+1))</f>
        <v/>
      </c>
      <c r="V4262" s="19">
        <f>IF($B4262="","",TEXT($B4262,"0000"))</f>
        <v/>
      </c>
      <c r="W4262" s="19">
        <f>IF($I4262="","",IF(ISNUMBER($I4262),TEXT($I4262,"0"),$I4262))</f>
        <v/>
      </c>
    </row>
    <row r="4263">
      <c r="B4263" s="25" t="n"/>
      <c r="I4263" s="25" t="n"/>
      <c r="U4263" s="19">
        <f>IF($V4263&lt;&gt;'設定'!$C$4,N(U4262),IF(OR(NOT(COUNTIF('商品マスタ'!$B$6:$B$1005,$W4263)=0),COUNTIFS('①在庫を貼る'!$V$6:$V$10005,$V4263,'①在庫を貼る'!$W$6:$W$10005,$W4263)+COUNTIFS('月1回_1ヶ月前の在庫'!$V$6:$V$10005,$V4263,'月1回_1ヶ月前の在庫'!$W$6:$W$10005,$W4263)&gt;0),N(U4262),N(U4262)+1))</f>
        <v/>
      </c>
      <c r="V4263" s="19">
        <f>IF($B4263="","",TEXT($B4263,"0000"))</f>
        <v/>
      </c>
      <c r="W4263" s="19">
        <f>IF($I4263="","",IF(ISNUMBER($I4263),TEXT($I4263,"0"),$I4263))</f>
        <v/>
      </c>
    </row>
    <row r="4264">
      <c r="B4264" s="25" t="n"/>
      <c r="I4264" s="25" t="n"/>
      <c r="U4264" s="19">
        <f>IF($V4264&lt;&gt;'設定'!$C$4,N(U4263),IF(OR(NOT(COUNTIF('商品マスタ'!$B$6:$B$1005,$W4264)=0),COUNTIFS('①在庫を貼る'!$V$6:$V$10005,$V4264,'①在庫を貼る'!$W$6:$W$10005,$W4264)+COUNTIFS('月1回_1ヶ月前の在庫'!$V$6:$V$10005,$V4264,'月1回_1ヶ月前の在庫'!$W$6:$W$10005,$W4264)&gt;0),N(U4263),N(U4263)+1))</f>
        <v/>
      </c>
      <c r="V4264" s="19">
        <f>IF($B4264="","",TEXT($B4264,"0000"))</f>
        <v/>
      </c>
      <c r="W4264" s="19">
        <f>IF($I4264="","",IF(ISNUMBER($I4264),TEXT($I4264,"0"),$I4264))</f>
        <v/>
      </c>
    </row>
    <row r="4265">
      <c r="B4265" s="25" t="n"/>
      <c r="I4265" s="25" t="n"/>
      <c r="U4265" s="19">
        <f>IF($V4265&lt;&gt;'設定'!$C$4,N(U4264),IF(OR(NOT(COUNTIF('商品マスタ'!$B$6:$B$1005,$W4265)=0),COUNTIFS('①在庫を貼る'!$V$6:$V$10005,$V4265,'①在庫を貼る'!$W$6:$W$10005,$W4265)+COUNTIFS('月1回_1ヶ月前の在庫'!$V$6:$V$10005,$V4265,'月1回_1ヶ月前の在庫'!$W$6:$W$10005,$W4265)&gt;0),N(U4264),N(U4264)+1))</f>
        <v/>
      </c>
      <c r="V4265" s="19">
        <f>IF($B4265="","",TEXT($B4265,"0000"))</f>
        <v/>
      </c>
      <c r="W4265" s="19">
        <f>IF($I4265="","",IF(ISNUMBER($I4265),TEXT($I4265,"0"),$I4265))</f>
        <v/>
      </c>
    </row>
    <row r="4266">
      <c r="B4266" s="25" t="n"/>
      <c r="I4266" s="25" t="n"/>
      <c r="U4266" s="19">
        <f>IF($V4266&lt;&gt;'設定'!$C$4,N(U4265),IF(OR(NOT(COUNTIF('商品マスタ'!$B$6:$B$1005,$W4266)=0),COUNTIFS('①在庫を貼る'!$V$6:$V$10005,$V4266,'①在庫を貼る'!$W$6:$W$10005,$W4266)+COUNTIFS('月1回_1ヶ月前の在庫'!$V$6:$V$10005,$V4266,'月1回_1ヶ月前の在庫'!$W$6:$W$10005,$W4266)&gt;0),N(U4265),N(U4265)+1))</f>
        <v/>
      </c>
      <c r="V4266" s="19">
        <f>IF($B4266="","",TEXT($B4266,"0000"))</f>
        <v/>
      </c>
      <c r="W4266" s="19">
        <f>IF($I4266="","",IF(ISNUMBER($I4266),TEXT($I4266,"0"),$I4266))</f>
        <v/>
      </c>
    </row>
    <row r="4267">
      <c r="B4267" s="25" t="n"/>
      <c r="I4267" s="25" t="n"/>
      <c r="U4267" s="19">
        <f>IF($V4267&lt;&gt;'設定'!$C$4,N(U4266),IF(OR(NOT(COUNTIF('商品マスタ'!$B$6:$B$1005,$W4267)=0),COUNTIFS('①在庫を貼る'!$V$6:$V$10005,$V4267,'①在庫を貼る'!$W$6:$W$10005,$W4267)+COUNTIFS('月1回_1ヶ月前の在庫'!$V$6:$V$10005,$V4267,'月1回_1ヶ月前の在庫'!$W$6:$W$10005,$W4267)&gt;0),N(U4266),N(U4266)+1))</f>
        <v/>
      </c>
      <c r="V4267" s="19">
        <f>IF($B4267="","",TEXT($B4267,"0000"))</f>
        <v/>
      </c>
      <c r="W4267" s="19">
        <f>IF($I4267="","",IF(ISNUMBER($I4267),TEXT($I4267,"0"),$I4267))</f>
        <v/>
      </c>
    </row>
    <row r="4268">
      <c r="B4268" s="25" t="n"/>
      <c r="I4268" s="25" t="n"/>
      <c r="U4268" s="19">
        <f>IF($V4268&lt;&gt;'設定'!$C$4,N(U4267),IF(OR(NOT(COUNTIF('商品マスタ'!$B$6:$B$1005,$W4268)=0),COUNTIFS('①在庫を貼る'!$V$6:$V$10005,$V4268,'①在庫を貼る'!$W$6:$W$10005,$W4268)+COUNTIFS('月1回_1ヶ月前の在庫'!$V$6:$V$10005,$V4268,'月1回_1ヶ月前の在庫'!$W$6:$W$10005,$W4268)&gt;0),N(U4267),N(U4267)+1))</f>
        <v/>
      </c>
      <c r="V4268" s="19">
        <f>IF($B4268="","",TEXT($B4268,"0000"))</f>
        <v/>
      </c>
      <c r="W4268" s="19">
        <f>IF($I4268="","",IF(ISNUMBER($I4268),TEXT($I4268,"0"),$I4268))</f>
        <v/>
      </c>
    </row>
    <row r="4269">
      <c r="B4269" s="25" t="n"/>
      <c r="I4269" s="25" t="n"/>
      <c r="U4269" s="19">
        <f>IF($V4269&lt;&gt;'設定'!$C$4,N(U4268),IF(OR(NOT(COUNTIF('商品マスタ'!$B$6:$B$1005,$W4269)=0),COUNTIFS('①在庫を貼る'!$V$6:$V$10005,$V4269,'①在庫を貼る'!$W$6:$W$10005,$W4269)+COUNTIFS('月1回_1ヶ月前の在庫'!$V$6:$V$10005,$V4269,'月1回_1ヶ月前の在庫'!$W$6:$W$10005,$W4269)&gt;0),N(U4268),N(U4268)+1))</f>
        <v/>
      </c>
      <c r="V4269" s="19">
        <f>IF($B4269="","",TEXT($B4269,"0000"))</f>
        <v/>
      </c>
      <c r="W4269" s="19">
        <f>IF($I4269="","",IF(ISNUMBER($I4269),TEXT($I4269,"0"),$I4269))</f>
        <v/>
      </c>
    </row>
    <row r="4270">
      <c r="B4270" s="25" t="n"/>
      <c r="I4270" s="25" t="n"/>
      <c r="U4270" s="19">
        <f>IF($V4270&lt;&gt;'設定'!$C$4,N(U4269),IF(OR(NOT(COUNTIF('商品マスタ'!$B$6:$B$1005,$W4270)=0),COUNTIFS('①在庫を貼る'!$V$6:$V$10005,$V4270,'①在庫を貼る'!$W$6:$W$10005,$W4270)+COUNTIFS('月1回_1ヶ月前の在庫'!$V$6:$V$10005,$V4270,'月1回_1ヶ月前の在庫'!$W$6:$W$10005,$W4270)&gt;0),N(U4269),N(U4269)+1))</f>
        <v/>
      </c>
      <c r="V4270" s="19">
        <f>IF($B4270="","",TEXT($B4270,"0000"))</f>
        <v/>
      </c>
      <c r="W4270" s="19">
        <f>IF($I4270="","",IF(ISNUMBER($I4270),TEXT($I4270,"0"),$I4270))</f>
        <v/>
      </c>
    </row>
    <row r="4271">
      <c r="B4271" s="25" t="n"/>
      <c r="I4271" s="25" t="n"/>
      <c r="U4271" s="19">
        <f>IF($V4271&lt;&gt;'設定'!$C$4,N(U4270),IF(OR(NOT(COUNTIF('商品マスタ'!$B$6:$B$1005,$W4271)=0),COUNTIFS('①在庫を貼る'!$V$6:$V$10005,$V4271,'①在庫を貼る'!$W$6:$W$10005,$W4271)+COUNTIFS('月1回_1ヶ月前の在庫'!$V$6:$V$10005,$V4271,'月1回_1ヶ月前の在庫'!$W$6:$W$10005,$W4271)&gt;0),N(U4270),N(U4270)+1))</f>
        <v/>
      </c>
      <c r="V4271" s="19">
        <f>IF($B4271="","",TEXT($B4271,"0000"))</f>
        <v/>
      </c>
      <c r="W4271" s="19">
        <f>IF($I4271="","",IF(ISNUMBER($I4271),TEXT($I4271,"0"),$I4271))</f>
        <v/>
      </c>
    </row>
    <row r="4272">
      <c r="B4272" s="25" t="n"/>
      <c r="I4272" s="25" t="n"/>
      <c r="U4272" s="19">
        <f>IF($V4272&lt;&gt;'設定'!$C$4,N(U4271),IF(OR(NOT(COUNTIF('商品マスタ'!$B$6:$B$1005,$W4272)=0),COUNTIFS('①在庫を貼る'!$V$6:$V$10005,$V4272,'①在庫を貼る'!$W$6:$W$10005,$W4272)+COUNTIFS('月1回_1ヶ月前の在庫'!$V$6:$V$10005,$V4272,'月1回_1ヶ月前の在庫'!$W$6:$W$10005,$W4272)&gt;0),N(U4271),N(U4271)+1))</f>
        <v/>
      </c>
      <c r="V4272" s="19">
        <f>IF($B4272="","",TEXT($B4272,"0000"))</f>
        <v/>
      </c>
      <c r="W4272" s="19">
        <f>IF($I4272="","",IF(ISNUMBER($I4272),TEXT($I4272,"0"),$I4272))</f>
        <v/>
      </c>
    </row>
    <row r="4273">
      <c r="B4273" s="25" t="n"/>
      <c r="I4273" s="25" t="n"/>
      <c r="U4273" s="19">
        <f>IF($V4273&lt;&gt;'設定'!$C$4,N(U4272),IF(OR(NOT(COUNTIF('商品マスタ'!$B$6:$B$1005,$W4273)=0),COUNTIFS('①在庫を貼る'!$V$6:$V$10005,$V4273,'①在庫を貼る'!$W$6:$W$10005,$W4273)+COUNTIFS('月1回_1ヶ月前の在庫'!$V$6:$V$10005,$V4273,'月1回_1ヶ月前の在庫'!$W$6:$W$10005,$W4273)&gt;0),N(U4272),N(U4272)+1))</f>
        <v/>
      </c>
      <c r="V4273" s="19">
        <f>IF($B4273="","",TEXT($B4273,"0000"))</f>
        <v/>
      </c>
      <c r="W4273" s="19">
        <f>IF($I4273="","",IF(ISNUMBER($I4273),TEXT($I4273,"0"),$I4273))</f>
        <v/>
      </c>
    </row>
    <row r="4274">
      <c r="B4274" s="25" t="n"/>
      <c r="I4274" s="25" t="n"/>
      <c r="U4274" s="19">
        <f>IF($V4274&lt;&gt;'設定'!$C$4,N(U4273),IF(OR(NOT(COUNTIF('商品マスタ'!$B$6:$B$1005,$W4274)=0),COUNTIFS('①在庫を貼る'!$V$6:$V$10005,$V4274,'①在庫を貼る'!$W$6:$W$10005,$W4274)+COUNTIFS('月1回_1ヶ月前の在庫'!$V$6:$V$10005,$V4274,'月1回_1ヶ月前の在庫'!$W$6:$W$10005,$W4274)&gt;0),N(U4273),N(U4273)+1))</f>
        <v/>
      </c>
      <c r="V4274" s="19">
        <f>IF($B4274="","",TEXT($B4274,"0000"))</f>
        <v/>
      </c>
      <c r="W4274" s="19">
        <f>IF($I4274="","",IF(ISNUMBER($I4274),TEXT($I4274,"0"),$I4274))</f>
        <v/>
      </c>
    </row>
    <row r="4275">
      <c r="B4275" s="25" t="n"/>
      <c r="I4275" s="25" t="n"/>
      <c r="U4275" s="19">
        <f>IF($V4275&lt;&gt;'設定'!$C$4,N(U4274),IF(OR(NOT(COUNTIF('商品マスタ'!$B$6:$B$1005,$W4275)=0),COUNTIFS('①在庫を貼る'!$V$6:$V$10005,$V4275,'①在庫を貼る'!$W$6:$W$10005,$W4275)+COUNTIFS('月1回_1ヶ月前の在庫'!$V$6:$V$10005,$V4275,'月1回_1ヶ月前の在庫'!$W$6:$W$10005,$W4275)&gt;0),N(U4274),N(U4274)+1))</f>
        <v/>
      </c>
      <c r="V4275" s="19">
        <f>IF($B4275="","",TEXT($B4275,"0000"))</f>
        <v/>
      </c>
      <c r="W4275" s="19">
        <f>IF($I4275="","",IF(ISNUMBER($I4275),TEXT($I4275,"0"),$I4275))</f>
        <v/>
      </c>
    </row>
    <row r="4276">
      <c r="B4276" s="25" t="n"/>
      <c r="I4276" s="25" t="n"/>
      <c r="U4276" s="19">
        <f>IF($V4276&lt;&gt;'設定'!$C$4,N(U4275),IF(OR(NOT(COUNTIF('商品マスタ'!$B$6:$B$1005,$W4276)=0),COUNTIFS('①在庫を貼る'!$V$6:$V$10005,$V4276,'①在庫を貼る'!$W$6:$W$10005,$W4276)+COUNTIFS('月1回_1ヶ月前の在庫'!$V$6:$V$10005,$V4276,'月1回_1ヶ月前の在庫'!$W$6:$W$10005,$W4276)&gt;0),N(U4275),N(U4275)+1))</f>
        <v/>
      </c>
      <c r="V4276" s="19">
        <f>IF($B4276="","",TEXT($B4276,"0000"))</f>
        <v/>
      </c>
      <c r="W4276" s="19">
        <f>IF($I4276="","",IF(ISNUMBER($I4276),TEXT($I4276,"0"),$I4276))</f>
        <v/>
      </c>
    </row>
    <row r="4277">
      <c r="B4277" s="25" t="n"/>
      <c r="I4277" s="25" t="n"/>
      <c r="U4277" s="19">
        <f>IF($V4277&lt;&gt;'設定'!$C$4,N(U4276),IF(OR(NOT(COUNTIF('商品マスタ'!$B$6:$B$1005,$W4277)=0),COUNTIFS('①在庫を貼る'!$V$6:$V$10005,$V4277,'①在庫を貼る'!$W$6:$W$10005,$W4277)+COUNTIFS('月1回_1ヶ月前の在庫'!$V$6:$V$10005,$V4277,'月1回_1ヶ月前の在庫'!$W$6:$W$10005,$W4277)&gt;0),N(U4276),N(U4276)+1))</f>
        <v/>
      </c>
      <c r="V4277" s="19">
        <f>IF($B4277="","",TEXT($B4277,"0000"))</f>
        <v/>
      </c>
      <c r="W4277" s="19">
        <f>IF($I4277="","",IF(ISNUMBER($I4277),TEXT($I4277,"0"),$I4277))</f>
        <v/>
      </c>
    </row>
    <row r="4278">
      <c r="B4278" s="25" t="n"/>
      <c r="I4278" s="25" t="n"/>
      <c r="U4278" s="19">
        <f>IF($V4278&lt;&gt;'設定'!$C$4,N(U4277),IF(OR(NOT(COUNTIF('商品マスタ'!$B$6:$B$1005,$W4278)=0),COUNTIFS('①在庫を貼る'!$V$6:$V$10005,$V4278,'①在庫を貼る'!$W$6:$W$10005,$W4278)+COUNTIFS('月1回_1ヶ月前の在庫'!$V$6:$V$10005,$V4278,'月1回_1ヶ月前の在庫'!$W$6:$W$10005,$W4278)&gt;0),N(U4277),N(U4277)+1))</f>
        <v/>
      </c>
      <c r="V4278" s="19">
        <f>IF($B4278="","",TEXT($B4278,"0000"))</f>
        <v/>
      </c>
      <c r="W4278" s="19">
        <f>IF($I4278="","",IF(ISNUMBER($I4278),TEXT($I4278,"0"),$I4278))</f>
        <v/>
      </c>
    </row>
    <row r="4279">
      <c r="B4279" s="25" t="n"/>
      <c r="I4279" s="25" t="n"/>
      <c r="U4279" s="19">
        <f>IF($V4279&lt;&gt;'設定'!$C$4,N(U4278),IF(OR(NOT(COUNTIF('商品マスタ'!$B$6:$B$1005,$W4279)=0),COUNTIFS('①在庫を貼る'!$V$6:$V$10005,$V4279,'①在庫を貼る'!$W$6:$W$10005,$W4279)+COUNTIFS('月1回_1ヶ月前の在庫'!$V$6:$V$10005,$V4279,'月1回_1ヶ月前の在庫'!$W$6:$W$10005,$W4279)&gt;0),N(U4278),N(U4278)+1))</f>
        <v/>
      </c>
      <c r="V4279" s="19">
        <f>IF($B4279="","",TEXT($B4279,"0000"))</f>
        <v/>
      </c>
      <c r="W4279" s="19">
        <f>IF($I4279="","",IF(ISNUMBER($I4279),TEXT($I4279,"0"),$I4279))</f>
        <v/>
      </c>
    </row>
    <row r="4280">
      <c r="B4280" s="25" t="n"/>
      <c r="I4280" s="25" t="n"/>
      <c r="U4280" s="19">
        <f>IF($V4280&lt;&gt;'設定'!$C$4,N(U4279),IF(OR(NOT(COUNTIF('商品マスタ'!$B$6:$B$1005,$W4280)=0),COUNTIFS('①在庫を貼る'!$V$6:$V$10005,$V4280,'①在庫を貼る'!$W$6:$W$10005,$W4280)+COUNTIFS('月1回_1ヶ月前の在庫'!$V$6:$V$10005,$V4280,'月1回_1ヶ月前の在庫'!$W$6:$W$10005,$W4280)&gt;0),N(U4279),N(U4279)+1))</f>
        <v/>
      </c>
      <c r="V4280" s="19">
        <f>IF($B4280="","",TEXT($B4280,"0000"))</f>
        <v/>
      </c>
      <c r="W4280" s="19">
        <f>IF($I4280="","",IF(ISNUMBER($I4280),TEXT($I4280,"0"),$I4280))</f>
        <v/>
      </c>
    </row>
    <row r="4281">
      <c r="B4281" s="25" t="n"/>
      <c r="I4281" s="25" t="n"/>
      <c r="U4281" s="19">
        <f>IF($V4281&lt;&gt;'設定'!$C$4,N(U4280),IF(OR(NOT(COUNTIF('商品マスタ'!$B$6:$B$1005,$W4281)=0),COUNTIFS('①在庫を貼る'!$V$6:$V$10005,$V4281,'①在庫を貼る'!$W$6:$W$10005,$W4281)+COUNTIFS('月1回_1ヶ月前の在庫'!$V$6:$V$10005,$V4281,'月1回_1ヶ月前の在庫'!$W$6:$W$10005,$W4281)&gt;0),N(U4280),N(U4280)+1))</f>
        <v/>
      </c>
      <c r="V4281" s="19">
        <f>IF($B4281="","",TEXT($B4281,"0000"))</f>
        <v/>
      </c>
      <c r="W4281" s="19">
        <f>IF($I4281="","",IF(ISNUMBER($I4281),TEXT($I4281,"0"),$I4281))</f>
        <v/>
      </c>
    </row>
    <row r="4282">
      <c r="B4282" s="25" t="n"/>
      <c r="I4282" s="25" t="n"/>
      <c r="U4282" s="19">
        <f>IF($V4282&lt;&gt;'設定'!$C$4,N(U4281),IF(OR(NOT(COUNTIF('商品マスタ'!$B$6:$B$1005,$W4282)=0),COUNTIFS('①在庫を貼る'!$V$6:$V$10005,$V4282,'①在庫を貼る'!$W$6:$W$10005,$W4282)+COUNTIFS('月1回_1ヶ月前の在庫'!$V$6:$V$10005,$V4282,'月1回_1ヶ月前の在庫'!$W$6:$W$10005,$W4282)&gt;0),N(U4281),N(U4281)+1))</f>
        <v/>
      </c>
      <c r="V4282" s="19">
        <f>IF($B4282="","",TEXT($B4282,"0000"))</f>
        <v/>
      </c>
      <c r="W4282" s="19">
        <f>IF($I4282="","",IF(ISNUMBER($I4282),TEXT($I4282,"0"),$I4282))</f>
        <v/>
      </c>
    </row>
    <row r="4283">
      <c r="B4283" s="25" t="n"/>
      <c r="I4283" s="25" t="n"/>
      <c r="U4283" s="19">
        <f>IF($V4283&lt;&gt;'設定'!$C$4,N(U4282),IF(OR(NOT(COUNTIF('商品マスタ'!$B$6:$B$1005,$W4283)=0),COUNTIFS('①在庫を貼る'!$V$6:$V$10005,$V4283,'①在庫を貼る'!$W$6:$W$10005,$W4283)+COUNTIFS('月1回_1ヶ月前の在庫'!$V$6:$V$10005,$V4283,'月1回_1ヶ月前の在庫'!$W$6:$W$10005,$W4283)&gt;0),N(U4282),N(U4282)+1))</f>
        <v/>
      </c>
      <c r="V4283" s="19">
        <f>IF($B4283="","",TEXT($B4283,"0000"))</f>
        <v/>
      </c>
      <c r="W4283" s="19">
        <f>IF($I4283="","",IF(ISNUMBER($I4283),TEXT($I4283,"0"),$I4283))</f>
        <v/>
      </c>
    </row>
    <row r="4284">
      <c r="B4284" s="25" t="n"/>
      <c r="I4284" s="25" t="n"/>
      <c r="U4284" s="19">
        <f>IF($V4284&lt;&gt;'設定'!$C$4,N(U4283),IF(OR(NOT(COUNTIF('商品マスタ'!$B$6:$B$1005,$W4284)=0),COUNTIFS('①在庫を貼る'!$V$6:$V$10005,$V4284,'①在庫を貼る'!$W$6:$W$10005,$W4284)+COUNTIFS('月1回_1ヶ月前の在庫'!$V$6:$V$10005,$V4284,'月1回_1ヶ月前の在庫'!$W$6:$W$10005,$W4284)&gt;0),N(U4283),N(U4283)+1))</f>
        <v/>
      </c>
      <c r="V4284" s="19">
        <f>IF($B4284="","",TEXT($B4284,"0000"))</f>
        <v/>
      </c>
      <c r="W4284" s="19">
        <f>IF($I4284="","",IF(ISNUMBER($I4284),TEXT($I4284,"0"),$I4284))</f>
        <v/>
      </c>
    </row>
    <row r="4285">
      <c r="B4285" s="25" t="n"/>
      <c r="I4285" s="25" t="n"/>
      <c r="U4285" s="19">
        <f>IF($V4285&lt;&gt;'設定'!$C$4,N(U4284),IF(OR(NOT(COUNTIF('商品マスタ'!$B$6:$B$1005,$W4285)=0),COUNTIFS('①在庫を貼る'!$V$6:$V$10005,$V4285,'①在庫を貼る'!$W$6:$W$10005,$W4285)+COUNTIFS('月1回_1ヶ月前の在庫'!$V$6:$V$10005,$V4285,'月1回_1ヶ月前の在庫'!$W$6:$W$10005,$W4285)&gt;0),N(U4284),N(U4284)+1))</f>
        <v/>
      </c>
      <c r="V4285" s="19">
        <f>IF($B4285="","",TEXT($B4285,"0000"))</f>
        <v/>
      </c>
      <c r="W4285" s="19">
        <f>IF($I4285="","",IF(ISNUMBER($I4285),TEXT($I4285,"0"),$I4285))</f>
        <v/>
      </c>
    </row>
    <row r="4286">
      <c r="B4286" s="25" t="n"/>
      <c r="I4286" s="25" t="n"/>
      <c r="U4286" s="19">
        <f>IF($V4286&lt;&gt;'設定'!$C$4,N(U4285),IF(OR(NOT(COUNTIF('商品マスタ'!$B$6:$B$1005,$W4286)=0),COUNTIFS('①在庫を貼る'!$V$6:$V$10005,$V4286,'①在庫を貼る'!$W$6:$W$10005,$W4286)+COUNTIFS('月1回_1ヶ月前の在庫'!$V$6:$V$10005,$V4286,'月1回_1ヶ月前の在庫'!$W$6:$W$10005,$W4286)&gt;0),N(U4285),N(U4285)+1))</f>
        <v/>
      </c>
      <c r="V4286" s="19">
        <f>IF($B4286="","",TEXT($B4286,"0000"))</f>
        <v/>
      </c>
      <c r="W4286" s="19">
        <f>IF($I4286="","",IF(ISNUMBER($I4286),TEXT($I4286,"0"),$I4286))</f>
        <v/>
      </c>
    </row>
    <row r="4287">
      <c r="B4287" s="25" t="n"/>
      <c r="I4287" s="25" t="n"/>
      <c r="U4287" s="19">
        <f>IF($V4287&lt;&gt;'設定'!$C$4,N(U4286),IF(OR(NOT(COUNTIF('商品マスタ'!$B$6:$B$1005,$W4287)=0),COUNTIFS('①在庫を貼る'!$V$6:$V$10005,$V4287,'①在庫を貼る'!$W$6:$W$10005,$W4287)+COUNTIFS('月1回_1ヶ月前の在庫'!$V$6:$V$10005,$V4287,'月1回_1ヶ月前の在庫'!$W$6:$W$10005,$W4287)&gt;0),N(U4286),N(U4286)+1))</f>
        <v/>
      </c>
      <c r="V4287" s="19">
        <f>IF($B4287="","",TEXT($B4287,"0000"))</f>
        <v/>
      </c>
      <c r="W4287" s="19">
        <f>IF($I4287="","",IF(ISNUMBER($I4287),TEXT($I4287,"0"),$I4287))</f>
        <v/>
      </c>
    </row>
    <row r="4288">
      <c r="B4288" s="25" t="n"/>
      <c r="I4288" s="25" t="n"/>
      <c r="U4288" s="19">
        <f>IF($V4288&lt;&gt;'設定'!$C$4,N(U4287),IF(OR(NOT(COUNTIF('商品マスタ'!$B$6:$B$1005,$W4288)=0),COUNTIFS('①在庫を貼る'!$V$6:$V$10005,$V4288,'①在庫を貼る'!$W$6:$W$10005,$W4288)+COUNTIFS('月1回_1ヶ月前の在庫'!$V$6:$V$10005,$V4288,'月1回_1ヶ月前の在庫'!$W$6:$W$10005,$W4288)&gt;0),N(U4287),N(U4287)+1))</f>
        <v/>
      </c>
      <c r="V4288" s="19">
        <f>IF($B4288="","",TEXT($B4288,"0000"))</f>
        <v/>
      </c>
      <c r="W4288" s="19">
        <f>IF($I4288="","",IF(ISNUMBER($I4288),TEXT($I4288,"0"),$I4288))</f>
        <v/>
      </c>
    </row>
    <row r="4289">
      <c r="B4289" s="25" t="n"/>
      <c r="I4289" s="25" t="n"/>
      <c r="U4289" s="19">
        <f>IF($V4289&lt;&gt;'設定'!$C$4,N(U4288),IF(OR(NOT(COUNTIF('商品マスタ'!$B$6:$B$1005,$W4289)=0),COUNTIFS('①在庫を貼る'!$V$6:$V$10005,$V4289,'①在庫を貼る'!$W$6:$W$10005,$W4289)+COUNTIFS('月1回_1ヶ月前の在庫'!$V$6:$V$10005,$V4289,'月1回_1ヶ月前の在庫'!$W$6:$W$10005,$W4289)&gt;0),N(U4288),N(U4288)+1))</f>
        <v/>
      </c>
      <c r="V4289" s="19">
        <f>IF($B4289="","",TEXT($B4289,"0000"))</f>
        <v/>
      </c>
      <c r="W4289" s="19">
        <f>IF($I4289="","",IF(ISNUMBER($I4289),TEXT($I4289,"0"),$I4289))</f>
        <v/>
      </c>
    </row>
    <row r="4290">
      <c r="B4290" s="25" t="n"/>
      <c r="I4290" s="25" t="n"/>
      <c r="U4290" s="19">
        <f>IF($V4290&lt;&gt;'設定'!$C$4,N(U4289),IF(OR(NOT(COUNTIF('商品マスタ'!$B$6:$B$1005,$W4290)=0),COUNTIFS('①在庫を貼る'!$V$6:$V$10005,$V4290,'①在庫を貼る'!$W$6:$W$10005,$W4290)+COUNTIFS('月1回_1ヶ月前の在庫'!$V$6:$V$10005,$V4290,'月1回_1ヶ月前の在庫'!$W$6:$W$10005,$W4290)&gt;0),N(U4289),N(U4289)+1))</f>
        <v/>
      </c>
      <c r="V4290" s="19">
        <f>IF($B4290="","",TEXT($B4290,"0000"))</f>
        <v/>
      </c>
      <c r="W4290" s="19">
        <f>IF($I4290="","",IF(ISNUMBER($I4290),TEXT($I4290,"0"),$I4290))</f>
        <v/>
      </c>
    </row>
    <row r="4291">
      <c r="B4291" s="25" t="n"/>
      <c r="I4291" s="25" t="n"/>
      <c r="U4291" s="19">
        <f>IF($V4291&lt;&gt;'設定'!$C$4,N(U4290),IF(OR(NOT(COUNTIF('商品マスタ'!$B$6:$B$1005,$W4291)=0),COUNTIFS('①在庫を貼る'!$V$6:$V$10005,$V4291,'①在庫を貼る'!$W$6:$W$10005,$W4291)+COUNTIFS('月1回_1ヶ月前の在庫'!$V$6:$V$10005,$V4291,'月1回_1ヶ月前の在庫'!$W$6:$W$10005,$W4291)&gt;0),N(U4290),N(U4290)+1))</f>
        <v/>
      </c>
      <c r="V4291" s="19">
        <f>IF($B4291="","",TEXT($B4291,"0000"))</f>
        <v/>
      </c>
      <c r="W4291" s="19">
        <f>IF($I4291="","",IF(ISNUMBER($I4291),TEXT($I4291,"0"),$I4291))</f>
        <v/>
      </c>
    </row>
    <row r="4292">
      <c r="B4292" s="25" t="n"/>
      <c r="I4292" s="25" t="n"/>
      <c r="U4292" s="19">
        <f>IF($V4292&lt;&gt;'設定'!$C$4,N(U4291),IF(OR(NOT(COUNTIF('商品マスタ'!$B$6:$B$1005,$W4292)=0),COUNTIFS('①在庫を貼る'!$V$6:$V$10005,$V4292,'①在庫を貼る'!$W$6:$W$10005,$W4292)+COUNTIFS('月1回_1ヶ月前の在庫'!$V$6:$V$10005,$V4292,'月1回_1ヶ月前の在庫'!$W$6:$W$10005,$W4292)&gt;0),N(U4291),N(U4291)+1))</f>
        <v/>
      </c>
      <c r="V4292" s="19">
        <f>IF($B4292="","",TEXT($B4292,"0000"))</f>
        <v/>
      </c>
      <c r="W4292" s="19">
        <f>IF($I4292="","",IF(ISNUMBER($I4292),TEXT($I4292,"0"),$I4292))</f>
        <v/>
      </c>
    </row>
    <row r="4293">
      <c r="B4293" s="25" t="n"/>
      <c r="I4293" s="25" t="n"/>
      <c r="U4293" s="19">
        <f>IF($V4293&lt;&gt;'設定'!$C$4,N(U4292),IF(OR(NOT(COUNTIF('商品マスタ'!$B$6:$B$1005,$W4293)=0),COUNTIFS('①在庫を貼る'!$V$6:$V$10005,$V4293,'①在庫を貼る'!$W$6:$W$10005,$W4293)+COUNTIFS('月1回_1ヶ月前の在庫'!$V$6:$V$10005,$V4293,'月1回_1ヶ月前の在庫'!$W$6:$W$10005,$W4293)&gt;0),N(U4292),N(U4292)+1))</f>
        <v/>
      </c>
      <c r="V4293" s="19">
        <f>IF($B4293="","",TEXT($B4293,"0000"))</f>
        <v/>
      </c>
      <c r="W4293" s="19">
        <f>IF($I4293="","",IF(ISNUMBER($I4293),TEXT($I4293,"0"),$I4293))</f>
        <v/>
      </c>
    </row>
    <row r="4294">
      <c r="B4294" s="25" t="n"/>
      <c r="I4294" s="25" t="n"/>
      <c r="U4294" s="19">
        <f>IF($V4294&lt;&gt;'設定'!$C$4,N(U4293),IF(OR(NOT(COUNTIF('商品マスタ'!$B$6:$B$1005,$W4294)=0),COUNTIFS('①在庫を貼る'!$V$6:$V$10005,$V4294,'①在庫を貼る'!$W$6:$W$10005,$W4294)+COUNTIFS('月1回_1ヶ月前の在庫'!$V$6:$V$10005,$V4294,'月1回_1ヶ月前の在庫'!$W$6:$W$10005,$W4294)&gt;0),N(U4293),N(U4293)+1))</f>
        <v/>
      </c>
      <c r="V4294" s="19">
        <f>IF($B4294="","",TEXT($B4294,"0000"))</f>
        <v/>
      </c>
      <c r="W4294" s="19">
        <f>IF($I4294="","",IF(ISNUMBER($I4294),TEXT($I4294,"0"),$I4294))</f>
        <v/>
      </c>
    </row>
    <row r="4295">
      <c r="B4295" s="25" t="n"/>
      <c r="I4295" s="25" t="n"/>
      <c r="U4295" s="19">
        <f>IF($V4295&lt;&gt;'設定'!$C$4,N(U4294),IF(OR(NOT(COUNTIF('商品マスタ'!$B$6:$B$1005,$W4295)=0),COUNTIFS('①在庫を貼る'!$V$6:$V$10005,$V4295,'①在庫を貼る'!$W$6:$W$10005,$W4295)+COUNTIFS('月1回_1ヶ月前の在庫'!$V$6:$V$10005,$V4295,'月1回_1ヶ月前の在庫'!$W$6:$W$10005,$W4295)&gt;0),N(U4294),N(U4294)+1))</f>
        <v/>
      </c>
      <c r="V4295" s="19">
        <f>IF($B4295="","",TEXT($B4295,"0000"))</f>
        <v/>
      </c>
      <c r="W4295" s="19">
        <f>IF($I4295="","",IF(ISNUMBER($I4295),TEXT($I4295,"0"),$I4295))</f>
        <v/>
      </c>
    </row>
    <row r="4296">
      <c r="B4296" s="25" t="n"/>
      <c r="I4296" s="25" t="n"/>
      <c r="U4296" s="19">
        <f>IF($V4296&lt;&gt;'設定'!$C$4,N(U4295),IF(OR(NOT(COUNTIF('商品マスタ'!$B$6:$B$1005,$W4296)=0),COUNTIFS('①在庫を貼る'!$V$6:$V$10005,$V4296,'①在庫を貼る'!$W$6:$W$10005,$W4296)+COUNTIFS('月1回_1ヶ月前の在庫'!$V$6:$V$10005,$V4296,'月1回_1ヶ月前の在庫'!$W$6:$W$10005,$W4296)&gt;0),N(U4295),N(U4295)+1))</f>
        <v/>
      </c>
      <c r="V4296" s="19">
        <f>IF($B4296="","",TEXT($B4296,"0000"))</f>
        <v/>
      </c>
      <c r="W4296" s="19">
        <f>IF($I4296="","",IF(ISNUMBER($I4296),TEXT($I4296,"0"),$I4296))</f>
        <v/>
      </c>
    </row>
    <row r="4297">
      <c r="B4297" s="25" t="n"/>
      <c r="I4297" s="25" t="n"/>
      <c r="U4297" s="19">
        <f>IF($V4297&lt;&gt;'設定'!$C$4,N(U4296),IF(OR(NOT(COUNTIF('商品マスタ'!$B$6:$B$1005,$W4297)=0),COUNTIFS('①在庫を貼る'!$V$6:$V$10005,$V4297,'①在庫を貼る'!$W$6:$W$10005,$W4297)+COUNTIFS('月1回_1ヶ月前の在庫'!$V$6:$V$10005,$V4297,'月1回_1ヶ月前の在庫'!$W$6:$W$10005,$W4297)&gt;0),N(U4296),N(U4296)+1))</f>
        <v/>
      </c>
      <c r="V4297" s="19">
        <f>IF($B4297="","",TEXT($B4297,"0000"))</f>
        <v/>
      </c>
      <c r="W4297" s="19">
        <f>IF($I4297="","",IF(ISNUMBER($I4297),TEXT($I4297,"0"),$I4297))</f>
        <v/>
      </c>
    </row>
    <row r="4298">
      <c r="B4298" s="25" t="n"/>
      <c r="I4298" s="25" t="n"/>
      <c r="U4298" s="19">
        <f>IF($V4298&lt;&gt;'設定'!$C$4,N(U4297),IF(OR(NOT(COUNTIF('商品マスタ'!$B$6:$B$1005,$W4298)=0),COUNTIFS('①在庫を貼る'!$V$6:$V$10005,$V4298,'①在庫を貼る'!$W$6:$W$10005,$W4298)+COUNTIFS('月1回_1ヶ月前の在庫'!$V$6:$V$10005,$V4298,'月1回_1ヶ月前の在庫'!$W$6:$W$10005,$W4298)&gt;0),N(U4297),N(U4297)+1))</f>
        <v/>
      </c>
      <c r="V4298" s="19">
        <f>IF($B4298="","",TEXT($B4298,"0000"))</f>
        <v/>
      </c>
      <c r="W4298" s="19">
        <f>IF($I4298="","",IF(ISNUMBER($I4298),TEXT($I4298,"0"),$I4298))</f>
        <v/>
      </c>
    </row>
    <row r="4299">
      <c r="B4299" s="25" t="n"/>
      <c r="I4299" s="25" t="n"/>
      <c r="U4299" s="19">
        <f>IF($V4299&lt;&gt;'設定'!$C$4,N(U4298),IF(OR(NOT(COUNTIF('商品マスタ'!$B$6:$B$1005,$W4299)=0),COUNTIFS('①在庫を貼る'!$V$6:$V$10005,$V4299,'①在庫を貼る'!$W$6:$W$10005,$W4299)+COUNTIFS('月1回_1ヶ月前の在庫'!$V$6:$V$10005,$V4299,'月1回_1ヶ月前の在庫'!$W$6:$W$10005,$W4299)&gt;0),N(U4298),N(U4298)+1))</f>
        <v/>
      </c>
      <c r="V4299" s="19">
        <f>IF($B4299="","",TEXT($B4299,"0000"))</f>
        <v/>
      </c>
      <c r="W4299" s="19">
        <f>IF($I4299="","",IF(ISNUMBER($I4299),TEXT($I4299,"0"),$I4299))</f>
        <v/>
      </c>
    </row>
    <row r="4300">
      <c r="B4300" s="25" t="n"/>
      <c r="I4300" s="25" t="n"/>
      <c r="U4300" s="19">
        <f>IF($V4300&lt;&gt;'設定'!$C$4,N(U4299),IF(OR(NOT(COUNTIF('商品マスタ'!$B$6:$B$1005,$W4300)=0),COUNTIFS('①在庫を貼る'!$V$6:$V$10005,$V4300,'①在庫を貼る'!$W$6:$W$10005,$W4300)+COUNTIFS('月1回_1ヶ月前の在庫'!$V$6:$V$10005,$V4300,'月1回_1ヶ月前の在庫'!$W$6:$W$10005,$W4300)&gt;0),N(U4299),N(U4299)+1))</f>
        <v/>
      </c>
      <c r="V4300" s="19">
        <f>IF($B4300="","",TEXT($B4300,"0000"))</f>
        <v/>
      </c>
      <c r="W4300" s="19">
        <f>IF($I4300="","",IF(ISNUMBER($I4300),TEXT($I4300,"0"),$I4300))</f>
        <v/>
      </c>
    </row>
    <row r="4301">
      <c r="B4301" s="25" t="n"/>
      <c r="I4301" s="25" t="n"/>
      <c r="U4301" s="19">
        <f>IF($V4301&lt;&gt;'設定'!$C$4,N(U4300),IF(OR(NOT(COUNTIF('商品マスタ'!$B$6:$B$1005,$W4301)=0),COUNTIFS('①在庫を貼る'!$V$6:$V$10005,$V4301,'①在庫を貼る'!$W$6:$W$10005,$W4301)+COUNTIFS('月1回_1ヶ月前の在庫'!$V$6:$V$10005,$V4301,'月1回_1ヶ月前の在庫'!$W$6:$W$10005,$W4301)&gt;0),N(U4300),N(U4300)+1))</f>
        <v/>
      </c>
      <c r="V4301" s="19">
        <f>IF($B4301="","",TEXT($B4301,"0000"))</f>
        <v/>
      </c>
      <c r="W4301" s="19">
        <f>IF($I4301="","",IF(ISNUMBER($I4301),TEXT($I4301,"0"),$I4301))</f>
        <v/>
      </c>
    </row>
    <row r="4302">
      <c r="B4302" s="25" t="n"/>
      <c r="I4302" s="25" t="n"/>
      <c r="U4302" s="19">
        <f>IF($V4302&lt;&gt;'設定'!$C$4,N(U4301),IF(OR(NOT(COUNTIF('商品マスタ'!$B$6:$B$1005,$W4302)=0),COUNTIFS('①在庫を貼る'!$V$6:$V$10005,$V4302,'①在庫を貼る'!$W$6:$W$10005,$W4302)+COUNTIFS('月1回_1ヶ月前の在庫'!$V$6:$V$10005,$V4302,'月1回_1ヶ月前の在庫'!$W$6:$W$10005,$W4302)&gt;0),N(U4301),N(U4301)+1))</f>
        <v/>
      </c>
      <c r="V4302" s="19">
        <f>IF($B4302="","",TEXT($B4302,"0000"))</f>
        <v/>
      </c>
      <c r="W4302" s="19">
        <f>IF($I4302="","",IF(ISNUMBER($I4302),TEXT($I4302,"0"),$I4302))</f>
        <v/>
      </c>
    </row>
    <row r="4303">
      <c r="B4303" s="25" t="n"/>
      <c r="I4303" s="25" t="n"/>
      <c r="U4303" s="19">
        <f>IF($V4303&lt;&gt;'設定'!$C$4,N(U4302),IF(OR(NOT(COUNTIF('商品マスタ'!$B$6:$B$1005,$W4303)=0),COUNTIFS('①在庫を貼る'!$V$6:$V$10005,$V4303,'①在庫を貼る'!$W$6:$W$10005,$W4303)+COUNTIFS('月1回_1ヶ月前の在庫'!$V$6:$V$10005,$V4303,'月1回_1ヶ月前の在庫'!$W$6:$W$10005,$W4303)&gt;0),N(U4302),N(U4302)+1))</f>
        <v/>
      </c>
      <c r="V4303" s="19">
        <f>IF($B4303="","",TEXT($B4303,"0000"))</f>
        <v/>
      </c>
      <c r="W4303" s="19">
        <f>IF($I4303="","",IF(ISNUMBER($I4303),TEXT($I4303,"0"),$I4303))</f>
        <v/>
      </c>
    </row>
    <row r="4304">
      <c r="B4304" s="25" t="n"/>
      <c r="I4304" s="25" t="n"/>
      <c r="U4304" s="19">
        <f>IF($V4304&lt;&gt;'設定'!$C$4,N(U4303),IF(OR(NOT(COUNTIF('商品マスタ'!$B$6:$B$1005,$W4304)=0),COUNTIFS('①在庫を貼る'!$V$6:$V$10005,$V4304,'①在庫を貼る'!$W$6:$W$10005,$W4304)+COUNTIFS('月1回_1ヶ月前の在庫'!$V$6:$V$10005,$V4304,'月1回_1ヶ月前の在庫'!$W$6:$W$10005,$W4304)&gt;0),N(U4303),N(U4303)+1))</f>
        <v/>
      </c>
      <c r="V4304" s="19">
        <f>IF($B4304="","",TEXT($B4304,"0000"))</f>
        <v/>
      </c>
      <c r="W4304" s="19">
        <f>IF($I4304="","",IF(ISNUMBER($I4304),TEXT($I4304,"0"),$I4304))</f>
        <v/>
      </c>
    </row>
    <row r="4305">
      <c r="B4305" s="25" t="n"/>
      <c r="I4305" s="25" t="n"/>
      <c r="U4305" s="19">
        <f>IF($V4305&lt;&gt;'設定'!$C$4,N(U4304),IF(OR(NOT(COUNTIF('商品マスタ'!$B$6:$B$1005,$W4305)=0),COUNTIFS('①在庫を貼る'!$V$6:$V$10005,$V4305,'①在庫を貼る'!$W$6:$W$10005,$W4305)+COUNTIFS('月1回_1ヶ月前の在庫'!$V$6:$V$10005,$V4305,'月1回_1ヶ月前の在庫'!$W$6:$W$10005,$W4305)&gt;0),N(U4304),N(U4304)+1))</f>
        <v/>
      </c>
      <c r="V4305" s="19">
        <f>IF($B4305="","",TEXT($B4305,"0000"))</f>
        <v/>
      </c>
      <c r="W4305" s="19">
        <f>IF($I4305="","",IF(ISNUMBER($I4305),TEXT($I4305,"0"),$I4305))</f>
        <v/>
      </c>
    </row>
    <row r="4306">
      <c r="B4306" s="25" t="n"/>
      <c r="I4306" s="25" t="n"/>
      <c r="U4306" s="19">
        <f>IF($V4306&lt;&gt;'設定'!$C$4,N(U4305),IF(OR(NOT(COUNTIF('商品マスタ'!$B$6:$B$1005,$W4306)=0),COUNTIFS('①在庫を貼る'!$V$6:$V$10005,$V4306,'①在庫を貼る'!$W$6:$W$10005,$W4306)+COUNTIFS('月1回_1ヶ月前の在庫'!$V$6:$V$10005,$V4306,'月1回_1ヶ月前の在庫'!$W$6:$W$10005,$W4306)&gt;0),N(U4305),N(U4305)+1))</f>
        <v/>
      </c>
      <c r="V4306" s="19">
        <f>IF($B4306="","",TEXT($B4306,"0000"))</f>
        <v/>
      </c>
      <c r="W4306" s="19">
        <f>IF($I4306="","",IF(ISNUMBER($I4306),TEXT($I4306,"0"),$I4306))</f>
        <v/>
      </c>
    </row>
    <row r="4307">
      <c r="B4307" s="25" t="n"/>
      <c r="I4307" s="25" t="n"/>
      <c r="U4307" s="19">
        <f>IF($V4307&lt;&gt;'設定'!$C$4,N(U4306),IF(OR(NOT(COUNTIF('商品マスタ'!$B$6:$B$1005,$W4307)=0),COUNTIFS('①在庫を貼る'!$V$6:$V$10005,$V4307,'①在庫を貼る'!$W$6:$W$10005,$W4307)+COUNTIFS('月1回_1ヶ月前の在庫'!$V$6:$V$10005,$V4307,'月1回_1ヶ月前の在庫'!$W$6:$W$10005,$W4307)&gt;0),N(U4306),N(U4306)+1))</f>
        <v/>
      </c>
      <c r="V4307" s="19">
        <f>IF($B4307="","",TEXT($B4307,"0000"))</f>
        <v/>
      </c>
      <c r="W4307" s="19">
        <f>IF($I4307="","",IF(ISNUMBER($I4307),TEXT($I4307,"0"),$I4307))</f>
        <v/>
      </c>
    </row>
    <row r="4308">
      <c r="B4308" s="25" t="n"/>
      <c r="I4308" s="25" t="n"/>
      <c r="U4308" s="19">
        <f>IF($V4308&lt;&gt;'設定'!$C$4,N(U4307),IF(OR(NOT(COUNTIF('商品マスタ'!$B$6:$B$1005,$W4308)=0),COUNTIFS('①在庫を貼る'!$V$6:$V$10005,$V4308,'①在庫を貼る'!$W$6:$W$10005,$W4308)+COUNTIFS('月1回_1ヶ月前の在庫'!$V$6:$V$10005,$V4308,'月1回_1ヶ月前の在庫'!$W$6:$W$10005,$W4308)&gt;0),N(U4307),N(U4307)+1))</f>
        <v/>
      </c>
      <c r="V4308" s="19">
        <f>IF($B4308="","",TEXT($B4308,"0000"))</f>
        <v/>
      </c>
      <c r="W4308" s="19">
        <f>IF($I4308="","",IF(ISNUMBER($I4308),TEXT($I4308,"0"),$I4308))</f>
        <v/>
      </c>
    </row>
    <row r="4309">
      <c r="B4309" s="25" t="n"/>
      <c r="I4309" s="25" t="n"/>
      <c r="U4309" s="19">
        <f>IF($V4309&lt;&gt;'設定'!$C$4,N(U4308),IF(OR(NOT(COUNTIF('商品マスタ'!$B$6:$B$1005,$W4309)=0),COUNTIFS('①在庫を貼る'!$V$6:$V$10005,$V4309,'①在庫を貼る'!$W$6:$W$10005,$W4309)+COUNTIFS('月1回_1ヶ月前の在庫'!$V$6:$V$10005,$V4309,'月1回_1ヶ月前の在庫'!$W$6:$W$10005,$W4309)&gt;0),N(U4308),N(U4308)+1))</f>
        <v/>
      </c>
      <c r="V4309" s="19">
        <f>IF($B4309="","",TEXT($B4309,"0000"))</f>
        <v/>
      </c>
      <c r="W4309" s="19">
        <f>IF($I4309="","",IF(ISNUMBER($I4309),TEXT($I4309,"0"),$I4309))</f>
        <v/>
      </c>
    </row>
    <row r="4310">
      <c r="B4310" s="25" t="n"/>
      <c r="I4310" s="25" t="n"/>
      <c r="U4310" s="19">
        <f>IF($V4310&lt;&gt;'設定'!$C$4,N(U4309),IF(OR(NOT(COUNTIF('商品マスタ'!$B$6:$B$1005,$W4310)=0),COUNTIFS('①在庫を貼る'!$V$6:$V$10005,$V4310,'①在庫を貼る'!$W$6:$W$10005,$W4310)+COUNTIFS('月1回_1ヶ月前の在庫'!$V$6:$V$10005,$V4310,'月1回_1ヶ月前の在庫'!$W$6:$W$10005,$W4310)&gt;0),N(U4309),N(U4309)+1))</f>
        <v/>
      </c>
      <c r="V4310" s="19">
        <f>IF($B4310="","",TEXT($B4310,"0000"))</f>
        <v/>
      </c>
      <c r="W4310" s="19">
        <f>IF($I4310="","",IF(ISNUMBER($I4310),TEXT($I4310,"0"),$I4310))</f>
        <v/>
      </c>
    </row>
    <row r="4311">
      <c r="B4311" s="25" t="n"/>
      <c r="I4311" s="25" t="n"/>
      <c r="U4311" s="19">
        <f>IF($V4311&lt;&gt;'設定'!$C$4,N(U4310),IF(OR(NOT(COUNTIF('商品マスタ'!$B$6:$B$1005,$W4311)=0),COUNTIFS('①在庫を貼る'!$V$6:$V$10005,$V4311,'①在庫を貼る'!$W$6:$W$10005,$W4311)+COUNTIFS('月1回_1ヶ月前の在庫'!$V$6:$V$10005,$V4311,'月1回_1ヶ月前の在庫'!$W$6:$W$10005,$W4311)&gt;0),N(U4310),N(U4310)+1))</f>
        <v/>
      </c>
      <c r="V4311" s="19">
        <f>IF($B4311="","",TEXT($B4311,"0000"))</f>
        <v/>
      </c>
      <c r="W4311" s="19">
        <f>IF($I4311="","",IF(ISNUMBER($I4311),TEXT($I4311,"0"),$I4311))</f>
        <v/>
      </c>
    </row>
    <row r="4312">
      <c r="B4312" s="25" t="n"/>
      <c r="I4312" s="25" t="n"/>
      <c r="U4312" s="19">
        <f>IF($V4312&lt;&gt;'設定'!$C$4,N(U4311),IF(OR(NOT(COUNTIF('商品マスタ'!$B$6:$B$1005,$W4312)=0),COUNTIFS('①在庫を貼る'!$V$6:$V$10005,$V4312,'①在庫を貼る'!$W$6:$W$10005,$W4312)+COUNTIFS('月1回_1ヶ月前の在庫'!$V$6:$V$10005,$V4312,'月1回_1ヶ月前の在庫'!$W$6:$W$10005,$W4312)&gt;0),N(U4311),N(U4311)+1))</f>
        <v/>
      </c>
      <c r="V4312" s="19">
        <f>IF($B4312="","",TEXT($B4312,"0000"))</f>
        <v/>
      </c>
      <c r="W4312" s="19">
        <f>IF($I4312="","",IF(ISNUMBER($I4312),TEXT($I4312,"0"),$I4312))</f>
        <v/>
      </c>
    </row>
    <row r="4313">
      <c r="B4313" s="25" t="n"/>
      <c r="I4313" s="25" t="n"/>
      <c r="U4313" s="19">
        <f>IF($V4313&lt;&gt;'設定'!$C$4,N(U4312),IF(OR(NOT(COUNTIF('商品マスタ'!$B$6:$B$1005,$W4313)=0),COUNTIFS('①在庫を貼る'!$V$6:$V$10005,$V4313,'①在庫を貼る'!$W$6:$W$10005,$W4313)+COUNTIFS('月1回_1ヶ月前の在庫'!$V$6:$V$10005,$V4313,'月1回_1ヶ月前の在庫'!$W$6:$W$10005,$W4313)&gt;0),N(U4312),N(U4312)+1))</f>
        <v/>
      </c>
      <c r="V4313" s="19">
        <f>IF($B4313="","",TEXT($B4313,"0000"))</f>
        <v/>
      </c>
      <c r="W4313" s="19">
        <f>IF($I4313="","",IF(ISNUMBER($I4313),TEXT($I4313,"0"),$I4313))</f>
        <v/>
      </c>
    </row>
    <row r="4314">
      <c r="B4314" s="25" t="n"/>
      <c r="I4314" s="25" t="n"/>
      <c r="U4314" s="19">
        <f>IF($V4314&lt;&gt;'設定'!$C$4,N(U4313),IF(OR(NOT(COUNTIF('商品マスタ'!$B$6:$B$1005,$W4314)=0),COUNTIFS('①在庫を貼る'!$V$6:$V$10005,$V4314,'①在庫を貼る'!$W$6:$W$10005,$W4314)+COUNTIFS('月1回_1ヶ月前の在庫'!$V$6:$V$10005,$V4314,'月1回_1ヶ月前の在庫'!$W$6:$W$10005,$W4314)&gt;0),N(U4313),N(U4313)+1))</f>
        <v/>
      </c>
      <c r="V4314" s="19">
        <f>IF($B4314="","",TEXT($B4314,"0000"))</f>
        <v/>
      </c>
      <c r="W4314" s="19">
        <f>IF($I4314="","",IF(ISNUMBER($I4314),TEXT($I4314,"0"),$I4314))</f>
        <v/>
      </c>
    </row>
    <row r="4315">
      <c r="B4315" s="25" t="n"/>
      <c r="I4315" s="25" t="n"/>
      <c r="U4315" s="19">
        <f>IF($V4315&lt;&gt;'設定'!$C$4,N(U4314),IF(OR(NOT(COUNTIF('商品マスタ'!$B$6:$B$1005,$W4315)=0),COUNTIFS('①在庫を貼る'!$V$6:$V$10005,$V4315,'①在庫を貼る'!$W$6:$W$10005,$W4315)+COUNTIFS('月1回_1ヶ月前の在庫'!$V$6:$V$10005,$V4315,'月1回_1ヶ月前の在庫'!$W$6:$W$10005,$W4315)&gt;0),N(U4314),N(U4314)+1))</f>
        <v/>
      </c>
      <c r="V4315" s="19">
        <f>IF($B4315="","",TEXT($B4315,"0000"))</f>
        <v/>
      </c>
      <c r="W4315" s="19">
        <f>IF($I4315="","",IF(ISNUMBER($I4315),TEXT($I4315,"0"),$I4315))</f>
        <v/>
      </c>
    </row>
    <row r="4316">
      <c r="B4316" s="25" t="n"/>
      <c r="I4316" s="25" t="n"/>
      <c r="U4316" s="19">
        <f>IF($V4316&lt;&gt;'設定'!$C$4,N(U4315),IF(OR(NOT(COUNTIF('商品マスタ'!$B$6:$B$1005,$W4316)=0),COUNTIFS('①在庫を貼る'!$V$6:$V$10005,$V4316,'①在庫を貼る'!$W$6:$W$10005,$W4316)+COUNTIFS('月1回_1ヶ月前の在庫'!$V$6:$V$10005,$V4316,'月1回_1ヶ月前の在庫'!$W$6:$W$10005,$W4316)&gt;0),N(U4315),N(U4315)+1))</f>
        <v/>
      </c>
      <c r="V4316" s="19">
        <f>IF($B4316="","",TEXT($B4316,"0000"))</f>
        <v/>
      </c>
      <c r="W4316" s="19">
        <f>IF($I4316="","",IF(ISNUMBER($I4316),TEXT($I4316,"0"),$I4316))</f>
        <v/>
      </c>
    </row>
    <row r="4317">
      <c r="B4317" s="25" t="n"/>
      <c r="I4317" s="25" t="n"/>
      <c r="U4317" s="19">
        <f>IF($V4317&lt;&gt;'設定'!$C$4,N(U4316),IF(OR(NOT(COUNTIF('商品マスタ'!$B$6:$B$1005,$W4317)=0),COUNTIFS('①在庫を貼る'!$V$6:$V$10005,$V4317,'①在庫を貼る'!$W$6:$W$10005,$W4317)+COUNTIFS('月1回_1ヶ月前の在庫'!$V$6:$V$10005,$V4317,'月1回_1ヶ月前の在庫'!$W$6:$W$10005,$W4317)&gt;0),N(U4316),N(U4316)+1))</f>
        <v/>
      </c>
      <c r="V4317" s="19">
        <f>IF($B4317="","",TEXT($B4317,"0000"))</f>
        <v/>
      </c>
      <c r="W4317" s="19">
        <f>IF($I4317="","",IF(ISNUMBER($I4317),TEXT($I4317,"0"),$I4317))</f>
        <v/>
      </c>
    </row>
    <row r="4318">
      <c r="B4318" s="25" t="n"/>
      <c r="I4318" s="25" t="n"/>
      <c r="U4318" s="19">
        <f>IF($V4318&lt;&gt;'設定'!$C$4,N(U4317),IF(OR(NOT(COUNTIF('商品マスタ'!$B$6:$B$1005,$W4318)=0),COUNTIFS('①在庫を貼る'!$V$6:$V$10005,$V4318,'①在庫を貼る'!$W$6:$W$10005,$W4318)+COUNTIFS('月1回_1ヶ月前の在庫'!$V$6:$V$10005,$V4318,'月1回_1ヶ月前の在庫'!$W$6:$W$10005,$W4318)&gt;0),N(U4317),N(U4317)+1))</f>
        <v/>
      </c>
      <c r="V4318" s="19">
        <f>IF($B4318="","",TEXT($B4318,"0000"))</f>
        <v/>
      </c>
      <c r="W4318" s="19">
        <f>IF($I4318="","",IF(ISNUMBER($I4318),TEXT($I4318,"0"),$I4318))</f>
        <v/>
      </c>
    </row>
    <row r="4319">
      <c r="B4319" s="25" t="n"/>
      <c r="I4319" s="25" t="n"/>
      <c r="U4319" s="19">
        <f>IF($V4319&lt;&gt;'設定'!$C$4,N(U4318),IF(OR(NOT(COUNTIF('商品マスタ'!$B$6:$B$1005,$W4319)=0),COUNTIFS('①在庫を貼る'!$V$6:$V$10005,$V4319,'①在庫を貼る'!$W$6:$W$10005,$W4319)+COUNTIFS('月1回_1ヶ月前の在庫'!$V$6:$V$10005,$V4319,'月1回_1ヶ月前の在庫'!$W$6:$W$10005,$W4319)&gt;0),N(U4318),N(U4318)+1))</f>
        <v/>
      </c>
      <c r="V4319" s="19">
        <f>IF($B4319="","",TEXT($B4319,"0000"))</f>
        <v/>
      </c>
      <c r="W4319" s="19">
        <f>IF($I4319="","",IF(ISNUMBER($I4319),TEXT($I4319,"0"),$I4319))</f>
        <v/>
      </c>
    </row>
    <row r="4320">
      <c r="B4320" s="25" t="n"/>
      <c r="I4320" s="25" t="n"/>
      <c r="U4320" s="19">
        <f>IF($V4320&lt;&gt;'設定'!$C$4,N(U4319),IF(OR(NOT(COUNTIF('商品マスタ'!$B$6:$B$1005,$W4320)=0),COUNTIFS('①在庫を貼る'!$V$6:$V$10005,$V4320,'①在庫を貼る'!$W$6:$W$10005,$W4320)+COUNTIFS('月1回_1ヶ月前の在庫'!$V$6:$V$10005,$V4320,'月1回_1ヶ月前の在庫'!$W$6:$W$10005,$W4320)&gt;0),N(U4319),N(U4319)+1))</f>
        <v/>
      </c>
      <c r="V4320" s="19">
        <f>IF($B4320="","",TEXT($B4320,"0000"))</f>
        <v/>
      </c>
      <c r="W4320" s="19">
        <f>IF($I4320="","",IF(ISNUMBER($I4320),TEXT($I4320,"0"),$I4320))</f>
        <v/>
      </c>
    </row>
    <row r="4321">
      <c r="B4321" s="25" t="n"/>
      <c r="I4321" s="25" t="n"/>
      <c r="U4321" s="19">
        <f>IF($V4321&lt;&gt;'設定'!$C$4,N(U4320),IF(OR(NOT(COUNTIF('商品マスタ'!$B$6:$B$1005,$W4321)=0),COUNTIFS('①在庫を貼る'!$V$6:$V$10005,$V4321,'①在庫を貼る'!$W$6:$W$10005,$W4321)+COUNTIFS('月1回_1ヶ月前の在庫'!$V$6:$V$10005,$V4321,'月1回_1ヶ月前の在庫'!$W$6:$W$10005,$W4321)&gt;0),N(U4320),N(U4320)+1))</f>
        <v/>
      </c>
      <c r="V4321" s="19">
        <f>IF($B4321="","",TEXT($B4321,"0000"))</f>
        <v/>
      </c>
      <c r="W4321" s="19">
        <f>IF($I4321="","",IF(ISNUMBER($I4321),TEXT($I4321,"0"),$I4321))</f>
        <v/>
      </c>
    </row>
    <row r="4322">
      <c r="B4322" s="25" t="n"/>
      <c r="I4322" s="25" t="n"/>
      <c r="U4322" s="19">
        <f>IF($V4322&lt;&gt;'設定'!$C$4,N(U4321),IF(OR(NOT(COUNTIF('商品マスタ'!$B$6:$B$1005,$W4322)=0),COUNTIFS('①在庫を貼る'!$V$6:$V$10005,$V4322,'①在庫を貼る'!$W$6:$W$10005,$W4322)+COUNTIFS('月1回_1ヶ月前の在庫'!$V$6:$V$10005,$V4322,'月1回_1ヶ月前の在庫'!$W$6:$W$10005,$W4322)&gt;0),N(U4321),N(U4321)+1))</f>
        <v/>
      </c>
      <c r="V4322" s="19">
        <f>IF($B4322="","",TEXT($B4322,"0000"))</f>
        <v/>
      </c>
      <c r="W4322" s="19">
        <f>IF($I4322="","",IF(ISNUMBER($I4322),TEXT($I4322,"0"),$I4322))</f>
        <v/>
      </c>
    </row>
    <row r="4323">
      <c r="B4323" s="25" t="n"/>
      <c r="I4323" s="25" t="n"/>
      <c r="U4323" s="19">
        <f>IF($V4323&lt;&gt;'設定'!$C$4,N(U4322),IF(OR(NOT(COUNTIF('商品マスタ'!$B$6:$B$1005,$W4323)=0),COUNTIFS('①在庫を貼る'!$V$6:$V$10005,$V4323,'①在庫を貼る'!$W$6:$W$10005,$W4323)+COUNTIFS('月1回_1ヶ月前の在庫'!$V$6:$V$10005,$V4323,'月1回_1ヶ月前の在庫'!$W$6:$W$10005,$W4323)&gt;0),N(U4322),N(U4322)+1))</f>
        <v/>
      </c>
      <c r="V4323" s="19">
        <f>IF($B4323="","",TEXT($B4323,"0000"))</f>
        <v/>
      </c>
      <c r="W4323" s="19">
        <f>IF($I4323="","",IF(ISNUMBER($I4323),TEXT($I4323,"0"),$I4323))</f>
        <v/>
      </c>
    </row>
    <row r="4324">
      <c r="B4324" s="25" t="n"/>
      <c r="I4324" s="25" t="n"/>
      <c r="U4324" s="19">
        <f>IF($V4324&lt;&gt;'設定'!$C$4,N(U4323),IF(OR(NOT(COUNTIF('商品マスタ'!$B$6:$B$1005,$W4324)=0),COUNTIFS('①在庫を貼る'!$V$6:$V$10005,$V4324,'①在庫を貼る'!$W$6:$W$10005,$W4324)+COUNTIFS('月1回_1ヶ月前の在庫'!$V$6:$V$10005,$V4324,'月1回_1ヶ月前の在庫'!$W$6:$W$10005,$W4324)&gt;0),N(U4323),N(U4323)+1))</f>
        <v/>
      </c>
      <c r="V4324" s="19">
        <f>IF($B4324="","",TEXT($B4324,"0000"))</f>
        <v/>
      </c>
      <c r="W4324" s="19">
        <f>IF($I4324="","",IF(ISNUMBER($I4324),TEXT($I4324,"0"),$I4324))</f>
        <v/>
      </c>
    </row>
    <row r="4325">
      <c r="B4325" s="25" t="n"/>
      <c r="I4325" s="25" t="n"/>
      <c r="U4325" s="19">
        <f>IF($V4325&lt;&gt;'設定'!$C$4,N(U4324),IF(OR(NOT(COUNTIF('商品マスタ'!$B$6:$B$1005,$W4325)=0),COUNTIFS('①在庫を貼る'!$V$6:$V$10005,$V4325,'①在庫を貼る'!$W$6:$W$10005,$W4325)+COUNTIFS('月1回_1ヶ月前の在庫'!$V$6:$V$10005,$V4325,'月1回_1ヶ月前の在庫'!$W$6:$W$10005,$W4325)&gt;0),N(U4324),N(U4324)+1))</f>
        <v/>
      </c>
      <c r="V4325" s="19">
        <f>IF($B4325="","",TEXT($B4325,"0000"))</f>
        <v/>
      </c>
      <c r="W4325" s="19">
        <f>IF($I4325="","",IF(ISNUMBER($I4325),TEXT($I4325,"0"),$I4325))</f>
        <v/>
      </c>
    </row>
    <row r="4326">
      <c r="B4326" s="25" t="n"/>
      <c r="I4326" s="25" t="n"/>
      <c r="U4326" s="19">
        <f>IF($V4326&lt;&gt;'設定'!$C$4,N(U4325),IF(OR(NOT(COUNTIF('商品マスタ'!$B$6:$B$1005,$W4326)=0),COUNTIFS('①在庫を貼る'!$V$6:$V$10005,$V4326,'①在庫を貼る'!$W$6:$W$10005,$W4326)+COUNTIFS('月1回_1ヶ月前の在庫'!$V$6:$V$10005,$V4326,'月1回_1ヶ月前の在庫'!$W$6:$W$10005,$W4326)&gt;0),N(U4325),N(U4325)+1))</f>
        <v/>
      </c>
      <c r="V4326" s="19">
        <f>IF($B4326="","",TEXT($B4326,"0000"))</f>
        <v/>
      </c>
      <c r="W4326" s="19">
        <f>IF($I4326="","",IF(ISNUMBER($I4326),TEXT($I4326,"0"),$I4326))</f>
        <v/>
      </c>
    </row>
    <row r="4327">
      <c r="B4327" s="25" t="n"/>
      <c r="I4327" s="25" t="n"/>
      <c r="U4327" s="19">
        <f>IF($V4327&lt;&gt;'設定'!$C$4,N(U4326),IF(OR(NOT(COUNTIF('商品マスタ'!$B$6:$B$1005,$W4327)=0),COUNTIFS('①在庫を貼る'!$V$6:$V$10005,$V4327,'①在庫を貼る'!$W$6:$W$10005,$W4327)+COUNTIFS('月1回_1ヶ月前の在庫'!$V$6:$V$10005,$V4327,'月1回_1ヶ月前の在庫'!$W$6:$W$10005,$W4327)&gt;0),N(U4326),N(U4326)+1))</f>
        <v/>
      </c>
      <c r="V4327" s="19">
        <f>IF($B4327="","",TEXT($B4327,"0000"))</f>
        <v/>
      </c>
      <c r="W4327" s="19">
        <f>IF($I4327="","",IF(ISNUMBER($I4327),TEXT($I4327,"0"),$I4327))</f>
        <v/>
      </c>
    </row>
    <row r="4328">
      <c r="B4328" s="25" t="n"/>
      <c r="I4328" s="25" t="n"/>
      <c r="U4328" s="19">
        <f>IF($V4328&lt;&gt;'設定'!$C$4,N(U4327),IF(OR(NOT(COUNTIF('商品マスタ'!$B$6:$B$1005,$W4328)=0),COUNTIFS('①在庫を貼る'!$V$6:$V$10005,$V4328,'①在庫を貼る'!$W$6:$W$10005,$W4328)+COUNTIFS('月1回_1ヶ月前の在庫'!$V$6:$V$10005,$V4328,'月1回_1ヶ月前の在庫'!$W$6:$W$10005,$W4328)&gt;0),N(U4327),N(U4327)+1))</f>
        <v/>
      </c>
      <c r="V4328" s="19">
        <f>IF($B4328="","",TEXT($B4328,"0000"))</f>
        <v/>
      </c>
      <c r="W4328" s="19">
        <f>IF($I4328="","",IF(ISNUMBER($I4328),TEXT($I4328,"0"),$I4328))</f>
        <v/>
      </c>
    </row>
    <row r="4329">
      <c r="B4329" s="25" t="n"/>
      <c r="I4329" s="25" t="n"/>
      <c r="U4329" s="19">
        <f>IF($V4329&lt;&gt;'設定'!$C$4,N(U4328),IF(OR(NOT(COUNTIF('商品マスタ'!$B$6:$B$1005,$W4329)=0),COUNTIFS('①在庫を貼る'!$V$6:$V$10005,$V4329,'①在庫を貼る'!$W$6:$W$10005,$W4329)+COUNTIFS('月1回_1ヶ月前の在庫'!$V$6:$V$10005,$V4329,'月1回_1ヶ月前の在庫'!$W$6:$W$10005,$W4329)&gt;0),N(U4328),N(U4328)+1))</f>
        <v/>
      </c>
      <c r="V4329" s="19">
        <f>IF($B4329="","",TEXT($B4329,"0000"))</f>
        <v/>
      </c>
      <c r="W4329" s="19">
        <f>IF($I4329="","",IF(ISNUMBER($I4329),TEXT($I4329,"0"),$I4329))</f>
        <v/>
      </c>
    </row>
    <row r="4330">
      <c r="B4330" s="25" t="n"/>
      <c r="I4330" s="25" t="n"/>
      <c r="U4330" s="19">
        <f>IF($V4330&lt;&gt;'設定'!$C$4,N(U4329),IF(OR(NOT(COUNTIF('商品マスタ'!$B$6:$B$1005,$W4330)=0),COUNTIFS('①在庫を貼る'!$V$6:$V$10005,$V4330,'①在庫を貼る'!$W$6:$W$10005,$W4330)+COUNTIFS('月1回_1ヶ月前の在庫'!$V$6:$V$10005,$V4330,'月1回_1ヶ月前の在庫'!$W$6:$W$10005,$W4330)&gt;0),N(U4329),N(U4329)+1))</f>
        <v/>
      </c>
      <c r="V4330" s="19">
        <f>IF($B4330="","",TEXT($B4330,"0000"))</f>
        <v/>
      </c>
      <c r="W4330" s="19">
        <f>IF($I4330="","",IF(ISNUMBER($I4330),TEXT($I4330,"0"),$I4330))</f>
        <v/>
      </c>
    </row>
    <row r="4331">
      <c r="B4331" s="25" t="n"/>
      <c r="I4331" s="25" t="n"/>
      <c r="U4331" s="19">
        <f>IF($V4331&lt;&gt;'設定'!$C$4,N(U4330),IF(OR(NOT(COUNTIF('商品マスタ'!$B$6:$B$1005,$W4331)=0),COUNTIFS('①在庫を貼る'!$V$6:$V$10005,$V4331,'①在庫を貼る'!$W$6:$W$10005,$W4331)+COUNTIFS('月1回_1ヶ月前の在庫'!$V$6:$V$10005,$V4331,'月1回_1ヶ月前の在庫'!$W$6:$W$10005,$W4331)&gt;0),N(U4330),N(U4330)+1))</f>
        <v/>
      </c>
      <c r="V4331" s="19">
        <f>IF($B4331="","",TEXT($B4331,"0000"))</f>
        <v/>
      </c>
      <c r="W4331" s="19">
        <f>IF($I4331="","",IF(ISNUMBER($I4331),TEXT($I4331,"0"),$I4331))</f>
        <v/>
      </c>
    </row>
    <row r="4332">
      <c r="B4332" s="25" t="n"/>
      <c r="I4332" s="25" t="n"/>
      <c r="U4332" s="19">
        <f>IF($V4332&lt;&gt;'設定'!$C$4,N(U4331),IF(OR(NOT(COUNTIF('商品マスタ'!$B$6:$B$1005,$W4332)=0),COUNTIFS('①在庫を貼る'!$V$6:$V$10005,$V4332,'①在庫を貼る'!$W$6:$W$10005,$W4332)+COUNTIFS('月1回_1ヶ月前の在庫'!$V$6:$V$10005,$V4332,'月1回_1ヶ月前の在庫'!$W$6:$W$10005,$W4332)&gt;0),N(U4331),N(U4331)+1))</f>
        <v/>
      </c>
      <c r="V4332" s="19">
        <f>IF($B4332="","",TEXT($B4332,"0000"))</f>
        <v/>
      </c>
      <c r="W4332" s="19">
        <f>IF($I4332="","",IF(ISNUMBER($I4332),TEXT($I4332,"0"),$I4332))</f>
        <v/>
      </c>
    </row>
    <row r="4333">
      <c r="B4333" s="25" t="n"/>
      <c r="I4333" s="25" t="n"/>
      <c r="U4333" s="19">
        <f>IF($V4333&lt;&gt;'設定'!$C$4,N(U4332),IF(OR(NOT(COUNTIF('商品マスタ'!$B$6:$B$1005,$W4333)=0),COUNTIFS('①在庫を貼る'!$V$6:$V$10005,$V4333,'①在庫を貼る'!$W$6:$W$10005,$W4333)+COUNTIFS('月1回_1ヶ月前の在庫'!$V$6:$V$10005,$V4333,'月1回_1ヶ月前の在庫'!$W$6:$W$10005,$W4333)&gt;0),N(U4332),N(U4332)+1))</f>
        <v/>
      </c>
      <c r="V4333" s="19">
        <f>IF($B4333="","",TEXT($B4333,"0000"))</f>
        <v/>
      </c>
      <c r="W4333" s="19">
        <f>IF($I4333="","",IF(ISNUMBER($I4333),TEXT($I4333,"0"),$I4333))</f>
        <v/>
      </c>
    </row>
    <row r="4334">
      <c r="B4334" s="25" t="n"/>
      <c r="I4334" s="25" t="n"/>
      <c r="U4334" s="19">
        <f>IF($V4334&lt;&gt;'設定'!$C$4,N(U4333),IF(OR(NOT(COUNTIF('商品マスタ'!$B$6:$B$1005,$W4334)=0),COUNTIFS('①在庫を貼る'!$V$6:$V$10005,$V4334,'①在庫を貼る'!$W$6:$W$10005,$W4334)+COUNTIFS('月1回_1ヶ月前の在庫'!$V$6:$V$10005,$V4334,'月1回_1ヶ月前の在庫'!$W$6:$W$10005,$W4334)&gt;0),N(U4333),N(U4333)+1))</f>
        <v/>
      </c>
      <c r="V4334" s="19">
        <f>IF($B4334="","",TEXT($B4334,"0000"))</f>
        <v/>
      </c>
      <c r="W4334" s="19">
        <f>IF($I4334="","",IF(ISNUMBER($I4334),TEXT($I4334,"0"),$I4334))</f>
        <v/>
      </c>
    </row>
    <row r="4335">
      <c r="B4335" s="25" t="n"/>
      <c r="I4335" s="25" t="n"/>
      <c r="U4335" s="19">
        <f>IF($V4335&lt;&gt;'設定'!$C$4,N(U4334),IF(OR(NOT(COUNTIF('商品マスタ'!$B$6:$B$1005,$W4335)=0),COUNTIFS('①在庫を貼る'!$V$6:$V$10005,$V4335,'①在庫を貼る'!$W$6:$W$10005,$W4335)+COUNTIFS('月1回_1ヶ月前の在庫'!$V$6:$V$10005,$V4335,'月1回_1ヶ月前の在庫'!$W$6:$W$10005,$W4335)&gt;0),N(U4334),N(U4334)+1))</f>
        <v/>
      </c>
      <c r="V4335" s="19">
        <f>IF($B4335="","",TEXT($B4335,"0000"))</f>
        <v/>
      </c>
      <c r="W4335" s="19">
        <f>IF($I4335="","",IF(ISNUMBER($I4335),TEXT($I4335,"0"),$I4335))</f>
        <v/>
      </c>
    </row>
    <row r="4336">
      <c r="B4336" s="25" t="n"/>
      <c r="I4336" s="25" t="n"/>
      <c r="U4336" s="19">
        <f>IF($V4336&lt;&gt;'設定'!$C$4,N(U4335),IF(OR(NOT(COUNTIF('商品マスタ'!$B$6:$B$1005,$W4336)=0),COUNTIFS('①在庫を貼る'!$V$6:$V$10005,$V4336,'①在庫を貼る'!$W$6:$W$10005,$W4336)+COUNTIFS('月1回_1ヶ月前の在庫'!$V$6:$V$10005,$V4336,'月1回_1ヶ月前の在庫'!$W$6:$W$10005,$W4336)&gt;0),N(U4335),N(U4335)+1))</f>
        <v/>
      </c>
      <c r="V4336" s="19">
        <f>IF($B4336="","",TEXT($B4336,"0000"))</f>
        <v/>
      </c>
      <c r="W4336" s="19">
        <f>IF($I4336="","",IF(ISNUMBER($I4336),TEXT($I4336,"0"),$I4336))</f>
        <v/>
      </c>
    </row>
    <row r="4337">
      <c r="B4337" s="25" t="n"/>
      <c r="I4337" s="25" t="n"/>
      <c r="U4337" s="19">
        <f>IF($V4337&lt;&gt;'設定'!$C$4,N(U4336),IF(OR(NOT(COUNTIF('商品マスタ'!$B$6:$B$1005,$W4337)=0),COUNTIFS('①在庫を貼る'!$V$6:$V$10005,$V4337,'①在庫を貼る'!$W$6:$W$10005,$W4337)+COUNTIFS('月1回_1ヶ月前の在庫'!$V$6:$V$10005,$V4337,'月1回_1ヶ月前の在庫'!$W$6:$W$10005,$W4337)&gt;0),N(U4336),N(U4336)+1))</f>
        <v/>
      </c>
      <c r="V4337" s="19">
        <f>IF($B4337="","",TEXT($B4337,"0000"))</f>
        <v/>
      </c>
      <c r="W4337" s="19">
        <f>IF($I4337="","",IF(ISNUMBER($I4337),TEXT($I4337,"0"),$I4337))</f>
        <v/>
      </c>
    </row>
    <row r="4338">
      <c r="B4338" s="25" t="n"/>
      <c r="I4338" s="25" t="n"/>
      <c r="U4338" s="19">
        <f>IF($V4338&lt;&gt;'設定'!$C$4,N(U4337),IF(OR(NOT(COUNTIF('商品マスタ'!$B$6:$B$1005,$W4338)=0),COUNTIFS('①在庫を貼る'!$V$6:$V$10005,$V4338,'①在庫を貼る'!$W$6:$W$10005,$W4338)+COUNTIFS('月1回_1ヶ月前の在庫'!$V$6:$V$10005,$V4338,'月1回_1ヶ月前の在庫'!$W$6:$W$10005,$W4338)&gt;0),N(U4337),N(U4337)+1))</f>
        <v/>
      </c>
      <c r="V4338" s="19">
        <f>IF($B4338="","",TEXT($B4338,"0000"))</f>
        <v/>
      </c>
      <c r="W4338" s="19">
        <f>IF($I4338="","",IF(ISNUMBER($I4338),TEXT($I4338,"0"),$I4338))</f>
        <v/>
      </c>
    </row>
    <row r="4339">
      <c r="B4339" s="25" t="n"/>
      <c r="I4339" s="25" t="n"/>
      <c r="U4339" s="19">
        <f>IF($V4339&lt;&gt;'設定'!$C$4,N(U4338),IF(OR(NOT(COUNTIF('商品マスタ'!$B$6:$B$1005,$W4339)=0),COUNTIFS('①在庫を貼る'!$V$6:$V$10005,$V4339,'①在庫を貼る'!$W$6:$W$10005,$W4339)+COUNTIFS('月1回_1ヶ月前の在庫'!$V$6:$V$10005,$V4339,'月1回_1ヶ月前の在庫'!$W$6:$W$10005,$W4339)&gt;0),N(U4338),N(U4338)+1))</f>
        <v/>
      </c>
      <c r="V4339" s="19">
        <f>IF($B4339="","",TEXT($B4339,"0000"))</f>
        <v/>
      </c>
      <c r="W4339" s="19">
        <f>IF($I4339="","",IF(ISNUMBER($I4339),TEXT($I4339,"0"),$I4339))</f>
        <v/>
      </c>
    </row>
    <row r="4340">
      <c r="B4340" s="25" t="n"/>
      <c r="I4340" s="25" t="n"/>
      <c r="U4340" s="19">
        <f>IF($V4340&lt;&gt;'設定'!$C$4,N(U4339),IF(OR(NOT(COUNTIF('商品マスタ'!$B$6:$B$1005,$W4340)=0),COUNTIFS('①在庫を貼る'!$V$6:$V$10005,$V4340,'①在庫を貼る'!$W$6:$W$10005,$W4340)+COUNTIFS('月1回_1ヶ月前の在庫'!$V$6:$V$10005,$V4340,'月1回_1ヶ月前の在庫'!$W$6:$W$10005,$W4340)&gt;0),N(U4339),N(U4339)+1))</f>
        <v/>
      </c>
      <c r="V4340" s="19">
        <f>IF($B4340="","",TEXT($B4340,"0000"))</f>
        <v/>
      </c>
      <c r="W4340" s="19">
        <f>IF($I4340="","",IF(ISNUMBER($I4340),TEXT($I4340,"0"),$I4340))</f>
        <v/>
      </c>
    </row>
    <row r="4341">
      <c r="B4341" s="25" t="n"/>
      <c r="I4341" s="25" t="n"/>
      <c r="U4341" s="19">
        <f>IF($V4341&lt;&gt;'設定'!$C$4,N(U4340),IF(OR(NOT(COUNTIF('商品マスタ'!$B$6:$B$1005,$W4341)=0),COUNTIFS('①在庫を貼る'!$V$6:$V$10005,$V4341,'①在庫を貼る'!$W$6:$W$10005,$W4341)+COUNTIFS('月1回_1ヶ月前の在庫'!$V$6:$V$10005,$V4341,'月1回_1ヶ月前の在庫'!$W$6:$W$10005,$W4341)&gt;0),N(U4340),N(U4340)+1))</f>
        <v/>
      </c>
      <c r="V4341" s="19">
        <f>IF($B4341="","",TEXT($B4341,"0000"))</f>
        <v/>
      </c>
      <c r="W4341" s="19">
        <f>IF($I4341="","",IF(ISNUMBER($I4341),TEXT($I4341,"0"),$I4341))</f>
        <v/>
      </c>
    </row>
    <row r="4342">
      <c r="B4342" s="25" t="n"/>
      <c r="I4342" s="25" t="n"/>
      <c r="U4342" s="19">
        <f>IF($V4342&lt;&gt;'設定'!$C$4,N(U4341),IF(OR(NOT(COUNTIF('商品マスタ'!$B$6:$B$1005,$W4342)=0),COUNTIFS('①在庫を貼る'!$V$6:$V$10005,$V4342,'①在庫を貼る'!$W$6:$W$10005,$W4342)+COUNTIFS('月1回_1ヶ月前の在庫'!$V$6:$V$10005,$V4342,'月1回_1ヶ月前の在庫'!$W$6:$W$10005,$W4342)&gt;0),N(U4341),N(U4341)+1))</f>
        <v/>
      </c>
      <c r="V4342" s="19">
        <f>IF($B4342="","",TEXT($B4342,"0000"))</f>
        <v/>
      </c>
      <c r="W4342" s="19">
        <f>IF($I4342="","",IF(ISNUMBER($I4342),TEXT($I4342,"0"),$I4342))</f>
        <v/>
      </c>
    </row>
    <row r="4343">
      <c r="B4343" s="25" t="n"/>
      <c r="I4343" s="25" t="n"/>
      <c r="U4343" s="19">
        <f>IF($V4343&lt;&gt;'設定'!$C$4,N(U4342),IF(OR(NOT(COUNTIF('商品マスタ'!$B$6:$B$1005,$W4343)=0),COUNTIFS('①在庫を貼る'!$V$6:$V$10005,$V4343,'①在庫を貼る'!$W$6:$W$10005,$W4343)+COUNTIFS('月1回_1ヶ月前の在庫'!$V$6:$V$10005,$V4343,'月1回_1ヶ月前の在庫'!$W$6:$W$10005,$W4343)&gt;0),N(U4342),N(U4342)+1))</f>
        <v/>
      </c>
      <c r="V4343" s="19">
        <f>IF($B4343="","",TEXT($B4343,"0000"))</f>
        <v/>
      </c>
      <c r="W4343" s="19">
        <f>IF($I4343="","",IF(ISNUMBER($I4343),TEXT($I4343,"0"),$I4343))</f>
        <v/>
      </c>
    </row>
    <row r="4344">
      <c r="B4344" s="25" t="n"/>
      <c r="I4344" s="25" t="n"/>
      <c r="U4344" s="19">
        <f>IF($V4344&lt;&gt;'設定'!$C$4,N(U4343),IF(OR(NOT(COUNTIF('商品マスタ'!$B$6:$B$1005,$W4344)=0),COUNTIFS('①在庫を貼る'!$V$6:$V$10005,$V4344,'①在庫を貼る'!$W$6:$W$10005,$W4344)+COUNTIFS('月1回_1ヶ月前の在庫'!$V$6:$V$10005,$V4344,'月1回_1ヶ月前の在庫'!$W$6:$W$10005,$W4344)&gt;0),N(U4343),N(U4343)+1))</f>
        <v/>
      </c>
      <c r="V4344" s="19">
        <f>IF($B4344="","",TEXT($B4344,"0000"))</f>
        <v/>
      </c>
      <c r="W4344" s="19">
        <f>IF($I4344="","",IF(ISNUMBER($I4344),TEXT($I4344,"0"),$I4344))</f>
        <v/>
      </c>
    </row>
    <row r="4345">
      <c r="B4345" s="25" t="n"/>
      <c r="I4345" s="25" t="n"/>
      <c r="U4345" s="19">
        <f>IF($V4345&lt;&gt;'設定'!$C$4,N(U4344),IF(OR(NOT(COUNTIF('商品マスタ'!$B$6:$B$1005,$W4345)=0),COUNTIFS('①在庫を貼る'!$V$6:$V$10005,$V4345,'①在庫を貼る'!$W$6:$W$10005,$W4345)+COUNTIFS('月1回_1ヶ月前の在庫'!$V$6:$V$10005,$V4345,'月1回_1ヶ月前の在庫'!$W$6:$W$10005,$W4345)&gt;0),N(U4344),N(U4344)+1))</f>
        <v/>
      </c>
      <c r="V4345" s="19">
        <f>IF($B4345="","",TEXT($B4345,"0000"))</f>
        <v/>
      </c>
      <c r="W4345" s="19">
        <f>IF($I4345="","",IF(ISNUMBER($I4345),TEXT($I4345,"0"),$I4345))</f>
        <v/>
      </c>
    </row>
    <row r="4346">
      <c r="B4346" s="25" t="n"/>
      <c r="I4346" s="25" t="n"/>
      <c r="U4346" s="19">
        <f>IF($V4346&lt;&gt;'設定'!$C$4,N(U4345),IF(OR(NOT(COUNTIF('商品マスタ'!$B$6:$B$1005,$W4346)=0),COUNTIFS('①在庫を貼る'!$V$6:$V$10005,$V4346,'①在庫を貼る'!$W$6:$W$10005,$W4346)+COUNTIFS('月1回_1ヶ月前の在庫'!$V$6:$V$10005,$V4346,'月1回_1ヶ月前の在庫'!$W$6:$W$10005,$W4346)&gt;0),N(U4345),N(U4345)+1))</f>
        <v/>
      </c>
      <c r="V4346" s="19">
        <f>IF($B4346="","",TEXT($B4346,"0000"))</f>
        <v/>
      </c>
      <c r="W4346" s="19">
        <f>IF($I4346="","",IF(ISNUMBER($I4346),TEXT($I4346,"0"),$I4346))</f>
        <v/>
      </c>
    </row>
    <row r="4347">
      <c r="B4347" s="25" t="n"/>
      <c r="I4347" s="25" t="n"/>
      <c r="U4347" s="19">
        <f>IF($V4347&lt;&gt;'設定'!$C$4,N(U4346),IF(OR(NOT(COUNTIF('商品マスタ'!$B$6:$B$1005,$W4347)=0),COUNTIFS('①在庫を貼る'!$V$6:$V$10005,$V4347,'①在庫を貼る'!$W$6:$W$10005,$W4347)+COUNTIFS('月1回_1ヶ月前の在庫'!$V$6:$V$10005,$V4347,'月1回_1ヶ月前の在庫'!$W$6:$W$10005,$W4347)&gt;0),N(U4346),N(U4346)+1))</f>
        <v/>
      </c>
      <c r="V4347" s="19">
        <f>IF($B4347="","",TEXT($B4347,"0000"))</f>
        <v/>
      </c>
      <c r="W4347" s="19">
        <f>IF($I4347="","",IF(ISNUMBER($I4347),TEXT($I4347,"0"),$I4347))</f>
        <v/>
      </c>
    </row>
    <row r="4348">
      <c r="B4348" s="25" t="n"/>
      <c r="I4348" s="25" t="n"/>
      <c r="U4348" s="19">
        <f>IF($V4348&lt;&gt;'設定'!$C$4,N(U4347),IF(OR(NOT(COUNTIF('商品マスタ'!$B$6:$B$1005,$W4348)=0),COUNTIFS('①在庫を貼る'!$V$6:$V$10005,$V4348,'①在庫を貼る'!$W$6:$W$10005,$W4348)+COUNTIFS('月1回_1ヶ月前の在庫'!$V$6:$V$10005,$V4348,'月1回_1ヶ月前の在庫'!$W$6:$W$10005,$W4348)&gt;0),N(U4347),N(U4347)+1))</f>
        <v/>
      </c>
      <c r="V4348" s="19">
        <f>IF($B4348="","",TEXT($B4348,"0000"))</f>
        <v/>
      </c>
      <c r="W4348" s="19">
        <f>IF($I4348="","",IF(ISNUMBER($I4348),TEXT($I4348,"0"),$I4348))</f>
        <v/>
      </c>
    </row>
    <row r="4349">
      <c r="B4349" s="25" t="n"/>
      <c r="I4349" s="25" t="n"/>
      <c r="U4349" s="19">
        <f>IF($V4349&lt;&gt;'設定'!$C$4,N(U4348),IF(OR(NOT(COUNTIF('商品マスタ'!$B$6:$B$1005,$W4349)=0),COUNTIFS('①在庫を貼る'!$V$6:$V$10005,$V4349,'①在庫を貼る'!$W$6:$W$10005,$W4349)+COUNTIFS('月1回_1ヶ月前の在庫'!$V$6:$V$10005,$V4349,'月1回_1ヶ月前の在庫'!$W$6:$W$10005,$W4349)&gt;0),N(U4348),N(U4348)+1))</f>
        <v/>
      </c>
      <c r="V4349" s="19">
        <f>IF($B4349="","",TEXT($B4349,"0000"))</f>
        <v/>
      </c>
      <c r="W4349" s="19">
        <f>IF($I4349="","",IF(ISNUMBER($I4349),TEXT($I4349,"0"),$I4349))</f>
        <v/>
      </c>
    </row>
    <row r="4350">
      <c r="B4350" s="25" t="n"/>
      <c r="I4350" s="25" t="n"/>
      <c r="U4350" s="19">
        <f>IF($V4350&lt;&gt;'設定'!$C$4,N(U4349),IF(OR(NOT(COUNTIF('商品マスタ'!$B$6:$B$1005,$W4350)=0),COUNTIFS('①在庫を貼る'!$V$6:$V$10005,$V4350,'①在庫を貼る'!$W$6:$W$10005,$W4350)+COUNTIFS('月1回_1ヶ月前の在庫'!$V$6:$V$10005,$V4350,'月1回_1ヶ月前の在庫'!$W$6:$W$10005,$W4350)&gt;0),N(U4349),N(U4349)+1))</f>
        <v/>
      </c>
      <c r="V4350" s="19">
        <f>IF($B4350="","",TEXT($B4350,"0000"))</f>
        <v/>
      </c>
      <c r="W4350" s="19">
        <f>IF($I4350="","",IF(ISNUMBER($I4350),TEXT($I4350,"0"),$I4350))</f>
        <v/>
      </c>
    </row>
    <row r="4351">
      <c r="B4351" s="25" t="n"/>
      <c r="I4351" s="25" t="n"/>
      <c r="U4351" s="19">
        <f>IF($V4351&lt;&gt;'設定'!$C$4,N(U4350),IF(OR(NOT(COUNTIF('商品マスタ'!$B$6:$B$1005,$W4351)=0),COUNTIFS('①在庫を貼る'!$V$6:$V$10005,$V4351,'①在庫を貼る'!$W$6:$W$10005,$W4351)+COUNTIFS('月1回_1ヶ月前の在庫'!$V$6:$V$10005,$V4351,'月1回_1ヶ月前の在庫'!$W$6:$W$10005,$W4351)&gt;0),N(U4350),N(U4350)+1))</f>
        <v/>
      </c>
      <c r="V4351" s="19">
        <f>IF($B4351="","",TEXT($B4351,"0000"))</f>
        <v/>
      </c>
      <c r="W4351" s="19">
        <f>IF($I4351="","",IF(ISNUMBER($I4351),TEXT($I4351,"0"),$I4351))</f>
        <v/>
      </c>
    </row>
    <row r="4352">
      <c r="B4352" s="25" t="n"/>
      <c r="I4352" s="25" t="n"/>
      <c r="U4352" s="19">
        <f>IF($V4352&lt;&gt;'設定'!$C$4,N(U4351),IF(OR(NOT(COUNTIF('商品マスタ'!$B$6:$B$1005,$W4352)=0),COUNTIFS('①在庫を貼る'!$V$6:$V$10005,$V4352,'①在庫を貼る'!$W$6:$W$10005,$W4352)+COUNTIFS('月1回_1ヶ月前の在庫'!$V$6:$V$10005,$V4352,'月1回_1ヶ月前の在庫'!$W$6:$W$10005,$W4352)&gt;0),N(U4351),N(U4351)+1))</f>
        <v/>
      </c>
      <c r="V4352" s="19">
        <f>IF($B4352="","",TEXT($B4352,"0000"))</f>
        <v/>
      </c>
      <c r="W4352" s="19">
        <f>IF($I4352="","",IF(ISNUMBER($I4352),TEXT($I4352,"0"),$I4352))</f>
        <v/>
      </c>
    </row>
    <row r="4353">
      <c r="B4353" s="25" t="n"/>
      <c r="I4353" s="25" t="n"/>
      <c r="U4353" s="19">
        <f>IF($V4353&lt;&gt;'設定'!$C$4,N(U4352),IF(OR(NOT(COUNTIF('商品マスタ'!$B$6:$B$1005,$W4353)=0),COUNTIFS('①在庫を貼る'!$V$6:$V$10005,$V4353,'①在庫を貼る'!$W$6:$W$10005,$W4353)+COUNTIFS('月1回_1ヶ月前の在庫'!$V$6:$V$10005,$V4353,'月1回_1ヶ月前の在庫'!$W$6:$W$10005,$W4353)&gt;0),N(U4352),N(U4352)+1))</f>
        <v/>
      </c>
      <c r="V4353" s="19">
        <f>IF($B4353="","",TEXT($B4353,"0000"))</f>
        <v/>
      </c>
      <c r="W4353" s="19">
        <f>IF($I4353="","",IF(ISNUMBER($I4353),TEXT($I4353,"0"),$I4353))</f>
        <v/>
      </c>
    </row>
    <row r="4354">
      <c r="B4354" s="25" t="n"/>
      <c r="I4354" s="25" t="n"/>
      <c r="U4354" s="19">
        <f>IF($V4354&lt;&gt;'設定'!$C$4,N(U4353),IF(OR(NOT(COUNTIF('商品マスタ'!$B$6:$B$1005,$W4354)=0),COUNTIFS('①在庫を貼る'!$V$6:$V$10005,$V4354,'①在庫を貼る'!$W$6:$W$10005,$W4354)+COUNTIFS('月1回_1ヶ月前の在庫'!$V$6:$V$10005,$V4354,'月1回_1ヶ月前の在庫'!$W$6:$W$10005,$W4354)&gt;0),N(U4353),N(U4353)+1))</f>
        <v/>
      </c>
      <c r="V4354" s="19">
        <f>IF($B4354="","",TEXT($B4354,"0000"))</f>
        <v/>
      </c>
      <c r="W4354" s="19">
        <f>IF($I4354="","",IF(ISNUMBER($I4354),TEXT($I4354,"0"),$I4354))</f>
        <v/>
      </c>
    </row>
    <row r="4355">
      <c r="B4355" s="25" t="n"/>
      <c r="I4355" s="25" t="n"/>
      <c r="U4355" s="19">
        <f>IF($V4355&lt;&gt;'設定'!$C$4,N(U4354),IF(OR(NOT(COUNTIF('商品マスタ'!$B$6:$B$1005,$W4355)=0),COUNTIFS('①在庫を貼る'!$V$6:$V$10005,$V4355,'①在庫を貼る'!$W$6:$W$10005,$W4355)+COUNTIFS('月1回_1ヶ月前の在庫'!$V$6:$V$10005,$V4355,'月1回_1ヶ月前の在庫'!$W$6:$W$10005,$W4355)&gt;0),N(U4354),N(U4354)+1))</f>
        <v/>
      </c>
      <c r="V4355" s="19">
        <f>IF($B4355="","",TEXT($B4355,"0000"))</f>
        <v/>
      </c>
      <c r="W4355" s="19">
        <f>IF($I4355="","",IF(ISNUMBER($I4355),TEXT($I4355,"0"),$I4355))</f>
        <v/>
      </c>
    </row>
    <row r="4356">
      <c r="B4356" s="25" t="n"/>
      <c r="I4356" s="25" t="n"/>
      <c r="U4356" s="19">
        <f>IF($V4356&lt;&gt;'設定'!$C$4,N(U4355),IF(OR(NOT(COUNTIF('商品マスタ'!$B$6:$B$1005,$W4356)=0),COUNTIFS('①在庫を貼る'!$V$6:$V$10005,$V4356,'①在庫を貼る'!$W$6:$W$10005,$W4356)+COUNTIFS('月1回_1ヶ月前の在庫'!$V$6:$V$10005,$V4356,'月1回_1ヶ月前の在庫'!$W$6:$W$10005,$W4356)&gt;0),N(U4355),N(U4355)+1))</f>
        <v/>
      </c>
      <c r="V4356" s="19">
        <f>IF($B4356="","",TEXT($B4356,"0000"))</f>
        <v/>
      </c>
      <c r="W4356" s="19">
        <f>IF($I4356="","",IF(ISNUMBER($I4356),TEXT($I4356,"0"),$I4356))</f>
        <v/>
      </c>
    </row>
    <row r="4357">
      <c r="B4357" s="25" t="n"/>
      <c r="I4357" s="25" t="n"/>
      <c r="U4357" s="19">
        <f>IF($V4357&lt;&gt;'設定'!$C$4,N(U4356),IF(OR(NOT(COUNTIF('商品マスタ'!$B$6:$B$1005,$W4357)=0),COUNTIFS('①在庫を貼る'!$V$6:$V$10005,$V4357,'①在庫を貼る'!$W$6:$W$10005,$W4357)+COUNTIFS('月1回_1ヶ月前の在庫'!$V$6:$V$10005,$V4357,'月1回_1ヶ月前の在庫'!$W$6:$W$10005,$W4357)&gt;0),N(U4356),N(U4356)+1))</f>
        <v/>
      </c>
      <c r="V4357" s="19">
        <f>IF($B4357="","",TEXT($B4357,"0000"))</f>
        <v/>
      </c>
      <c r="W4357" s="19">
        <f>IF($I4357="","",IF(ISNUMBER($I4357),TEXT($I4357,"0"),$I4357))</f>
        <v/>
      </c>
    </row>
    <row r="4358">
      <c r="B4358" s="25" t="n"/>
      <c r="I4358" s="25" t="n"/>
      <c r="U4358" s="19">
        <f>IF($V4358&lt;&gt;'設定'!$C$4,N(U4357),IF(OR(NOT(COUNTIF('商品マスタ'!$B$6:$B$1005,$W4358)=0),COUNTIFS('①在庫を貼る'!$V$6:$V$10005,$V4358,'①在庫を貼る'!$W$6:$W$10005,$W4358)+COUNTIFS('月1回_1ヶ月前の在庫'!$V$6:$V$10005,$V4358,'月1回_1ヶ月前の在庫'!$W$6:$W$10005,$W4358)&gt;0),N(U4357),N(U4357)+1))</f>
        <v/>
      </c>
      <c r="V4358" s="19">
        <f>IF($B4358="","",TEXT($B4358,"0000"))</f>
        <v/>
      </c>
      <c r="W4358" s="19">
        <f>IF($I4358="","",IF(ISNUMBER($I4358),TEXT($I4358,"0"),$I4358))</f>
        <v/>
      </c>
    </row>
    <row r="4359">
      <c r="B4359" s="25" t="n"/>
      <c r="I4359" s="25" t="n"/>
      <c r="U4359" s="19">
        <f>IF($V4359&lt;&gt;'設定'!$C$4,N(U4358),IF(OR(NOT(COUNTIF('商品マスタ'!$B$6:$B$1005,$W4359)=0),COUNTIFS('①在庫を貼る'!$V$6:$V$10005,$V4359,'①在庫を貼る'!$W$6:$W$10005,$W4359)+COUNTIFS('月1回_1ヶ月前の在庫'!$V$6:$V$10005,$V4359,'月1回_1ヶ月前の在庫'!$W$6:$W$10005,$W4359)&gt;0),N(U4358),N(U4358)+1))</f>
        <v/>
      </c>
      <c r="V4359" s="19">
        <f>IF($B4359="","",TEXT($B4359,"0000"))</f>
        <v/>
      </c>
      <c r="W4359" s="19">
        <f>IF($I4359="","",IF(ISNUMBER($I4359),TEXT($I4359,"0"),$I4359))</f>
        <v/>
      </c>
    </row>
    <row r="4360">
      <c r="B4360" s="25" t="n"/>
      <c r="I4360" s="25" t="n"/>
      <c r="U4360" s="19">
        <f>IF($V4360&lt;&gt;'設定'!$C$4,N(U4359),IF(OR(NOT(COUNTIF('商品マスタ'!$B$6:$B$1005,$W4360)=0),COUNTIFS('①在庫を貼る'!$V$6:$V$10005,$V4360,'①在庫を貼る'!$W$6:$W$10005,$W4360)+COUNTIFS('月1回_1ヶ月前の在庫'!$V$6:$V$10005,$V4360,'月1回_1ヶ月前の在庫'!$W$6:$W$10005,$W4360)&gt;0),N(U4359),N(U4359)+1))</f>
        <v/>
      </c>
      <c r="V4360" s="19">
        <f>IF($B4360="","",TEXT($B4360,"0000"))</f>
        <v/>
      </c>
      <c r="W4360" s="19">
        <f>IF($I4360="","",IF(ISNUMBER($I4360),TEXT($I4360,"0"),$I4360))</f>
        <v/>
      </c>
    </row>
    <row r="4361">
      <c r="B4361" s="25" t="n"/>
      <c r="I4361" s="25" t="n"/>
      <c r="U4361" s="19">
        <f>IF($V4361&lt;&gt;'設定'!$C$4,N(U4360),IF(OR(NOT(COUNTIF('商品マスタ'!$B$6:$B$1005,$W4361)=0),COUNTIFS('①在庫を貼る'!$V$6:$V$10005,$V4361,'①在庫を貼る'!$W$6:$W$10005,$W4361)+COUNTIFS('月1回_1ヶ月前の在庫'!$V$6:$V$10005,$V4361,'月1回_1ヶ月前の在庫'!$W$6:$W$10005,$W4361)&gt;0),N(U4360),N(U4360)+1))</f>
        <v/>
      </c>
      <c r="V4361" s="19">
        <f>IF($B4361="","",TEXT($B4361,"0000"))</f>
        <v/>
      </c>
      <c r="W4361" s="19">
        <f>IF($I4361="","",IF(ISNUMBER($I4361),TEXT($I4361,"0"),$I4361))</f>
        <v/>
      </c>
    </row>
    <row r="4362">
      <c r="B4362" s="25" t="n"/>
      <c r="I4362" s="25" t="n"/>
      <c r="U4362" s="19">
        <f>IF($V4362&lt;&gt;'設定'!$C$4,N(U4361),IF(OR(NOT(COUNTIF('商品マスタ'!$B$6:$B$1005,$W4362)=0),COUNTIFS('①在庫を貼る'!$V$6:$V$10005,$V4362,'①在庫を貼る'!$W$6:$W$10005,$W4362)+COUNTIFS('月1回_1ヶ月前の在庫'!$V$6:$V$10005,$V4362,'月1回_1ヶ月前の在庫'!$W$6:$W$10005,$W4362)&gt;0),N(U4361),N(U4361)+1))</f>
        <v/>
      </c>
      <c r="V4362" s="19">
        <f>IF($B4362="","",TEXT($B4362,"0000"))</f>
        <v/>
      </c>
      <c r="W4362" s="19">
        <f>IF($I4362="","",IF(ISNUMBER($I4362),TEXT($I4362,"0"),$I4362))</f>
        <v/>
      </c>
    </row>
    <row r="4363">
      <c r="B4363" s="25" t="n"/>
      <c r="I4363" s="25" t="n"/>
      <c r="U4363" s="19">
        <f>IF($V4363&lt;&gt;'設定'!$C$4,N(U4362),IF(OR(NOT(COUNTIF('商品マスタ'!$B$6:$B$1005,$W4363)=0),COUNTIFS('①在庫を貼る'!$V$6:$V$10005,$V4363,'①在庫を貼る'!$W$6:$W$10005,$W4363)+COUNTIFS('月1回_1ヶ月前の在庫'!$V$6:$V$10005,$V4363,'月1回_1ヶ月前の在庫'!$W$6:$W$10005,$W4363)&gt;0),N(U4362),N(U4362)+1))</f>
        <v/>
      </c>
      <c r="V4363" s="19">
        <f>IF($B4363="","",TEXT($B4363,"0000"))</f>
        <v/>
      </c>
      <c r="W4363" s="19">
        <f>IF($I4363="","",IF(ISNUMBER($I4363),TEXT($I4363,"0"),$I4363))</f>
        <v/>
      </c>
    </row>
    <row r="4364">
      <c r="B4364" s="25" t="n"/>
      <c r="I4364" s="25" t="n"/>
      <c r="U4364" s="19">
        <f>IF($V4364&lt;&gt;'設定'!$C$4,N(U4363),IF(OR(NOT(COUNTIF('商品マスタ'!$B$6:$B$1005,$W4364)=0),COUNTIFS('①在庫を貼る'!$V$6:$V$10005,$V4364,'①在庫を貼る'!$W$6:$W$10005,$W4364)+COUNTIFS('月1回_1ヶ月前の在庫'!$V$6:$V$10005,$V4364,'月1回_1ヶ月前の在庫'!$W$6:$W$10005,$W4364)&gt;0),N(U4363),N(U4363)+1))</f>
        <v/>
      </c>
      <c r="V4364" s="19">
        <f>IF($B4364="","",TEXT($B4364,"0000"))</f>
        <v/>
      </c>
      <c r="W4364" s="19">
        <f>IF($I4364="","",IF(ISNUMBER($I4364),TEXT($I4364,"0"),$I4364))</f>
        <v/>
      </c>
    </row>
    <row r="4365">
      <c r="B4365" s="25" t="n"/>
      <c r="I4365" s="25" t="n"/>
      <c r="U4365" s="19">
        <f>IF($V4365&lt;&gt;'設定'!$C$4,N(U4364),IF(OR(NOT(COUNTIF('商品マスタ'!$B$6:$B$1005,$W4365)=0),COUNTIFS('①在庫を貼る'!$V$6:$V$10005,$V4365,'①在庫を貼る'!$W$6:$W$10005,$W4365)+COUNTIFS('月1回_1ヶ月前の在庫'!$V$6:$V$10005,$V4365,'月1回_1ヶ月前の在庫'!$W$6:$W$10005,$W4365)&gt;0),N(U4364),N(U4364)+1))</f>
        <v/>
      </c>
      <c r="V4365" s="19">
        <f>IF($B4365="","",TEXT($B4365,"0000"))</f>
        <v/>
      </c>
      <c r="W4365" s="19">
        <f>IF($I4365="","",IF(ISNUMBER($I4365),TEXT($I4365,"0"),$I4365))</f>
        <v/>
      </c>
    </row>
    <row r="4366">
      <c r="B4366" s="25" t="n"/>
      <c r="I4366" s="25" t="n"/>
      <c r="U4366" s="19">
        <f>IF($V4366&lt;&gt;'設定'!$C$4,N(U4365),IF(OR(NOT(COUNTIF('商品マスタ'!$B$6:$B$1005,$W4366)=0),COUNTIFS('①在庫を貼る'!$V$6:$V$10005,$V4366,'①在庫を貼る'!$W$6:$W$10005,$W4366)+COUNTIFS('月1回_1ヶ月前の在庫'!$V$6:$V$10005,$V4366,'月1回_1ヶ月前の在庫'!$W$6:$W$10005,$W4366)&gt;0),N(U4365),N(U4365)+1))</f>
        <v/>
      </c>
      <c r="V4366" s="19">
        <f>IF($B4366="","",TEXT($B4366,"0000"))</f>
        <v/>
      </c>
      <c r="W4366" s="19">
        <f>IF($I4366="","",IF(ISNUMBER($I4366),TEXT($I4366,"0"),$I4366))</f>
        <v/>
      </c>
    </row>
    <row r="4367">
      <c r="B4367" s="25" t="n"/>
      <c r="I4367" s="25" t="n"/>
      <c r="U4367" s="19">
        <f>IF($V4367&lt;&gt;'設定'!$C$4,N(U4366),IF(OR(NOT(COUNTIF('商品マスタ'!$B$6:$B$1005,$W4367)=0),COUNTIFS('①在庫を貼る'!$V$6:$V$10005,$V4367,'①在庫を貼る'!$W$6:$W$10005,$W4367)+COUNTIFS('月1回_1ヶ月前の在庫'!$V$6:$V$10005,$V4367,'月1回_1ヶ月前の在庫'!$W$6:$W$10005,$W4367)&gt;0),N(U4366),N(U4366)+1))</f>
        <v/>
      </c>
      <c r="V4367" s="19">
        <f>IF($B4367="","",TEXT($B4367,"0000"))</f>
        <v/>
      </c>
      <c r="W4367" s="19">
        <f>IF($I4367="","",IF(ISNUMBER($I4367),TEXT($I4367,"0"),$I4367))</f>
        <v/>
      </c>
    </row>
    <row r="4368">
      <c r="B4368" s="25" t="n"/>
      <c r="I4368" s="25" t="n"/>
      <c r="U4368" s="19">
        <f>IF($V4368&lt;&gt;'設定'!$C$4,N(U4367),IF(OR(NOT(COUNTIF('商品マスタ'!$B$6:$B$1005,$W4368)=0),COUNTIFS('①在庫を貼る'!$V$6:$V$10005,$V4368,'①在庫を貼る'!$W$6:$W$10005,$W4368)+COUNTIFS('月1回_1ヶ月前の在庫'!$V$6:$V$10005,$V4368,'月1回_1ヶ月前の在庫'!$W$6:$W$10005,$W4368)&gt;0),N(U4367),N(U4367)+1))</f>
        <v/>
      </c>
      <c r="V4368" s="19">
        <f>IF($B4368="","",TEXT($B4368,"0000"))</f>
        <v/>
      </c>
      <c r="W4368" s="19">
        <f>IF($I4368="","",IF(ISNUMBER($I4368),TEXT($I4368,"0"),$I4368))</f>
        <v/>
      </c>
    </row>
    <row r="4369">
      <c r="B4369" s="25" t="n"/>
      <c r="I4369" s="25" t="n"/>
      <c r="U4369" s="19">
        <f>IF($V4369&lt;&gt;'設定'!$C$4,N(U4368),IF(OR(NOT(COUNTIF('商品マスタ'!$B$6:$B$1005,$W4369)=0),COUNTIFS('①在庫を貼る'!$V$6:$V$10005,$V4369,'①在庫を貼る'!$W$6:$W$10005,$W4369)+COUNTIFS('月1回_1ヶ月前の在庫'!$V$6:$V$10005,$V4369,'月1回_1ヶ月前の在庫'!$W$6:$W$10005,$W4369)&gt;0),N(U4368),N(U4368)+1))</f>
        <v/>
      </c>
      <c r="V4369" s="19">
        <f>IF($B4369="","",TEXT($B4369,"0000"))</f>
        <v/>
      </c>
      <c r="W4369" s="19">
        <f>IF($I4369="","",IF(ISNUMBER($I4369),TEXT($I4369,"0"),$I4369))</f>
        <v/>
      </c>
    </row>
    <row r="4370">
      <c r="B4370" s="25" t="n"/>
      <c r="I4370" s="25" t="n"/>
      <c r="U4370" s="19">
        <f>IF($V4370&lt;&gt;'設定'!$C$4,N(U4369),IF(OR(NOT(COUNTIF('商品マスタ'!$B$6:$B$1005,$W4370)=0),COUNTIFS('①在庫を貼る'!$V$6:$V$10005,$V4370,'①在庫を貼る'!$W$6:$W$10005,$W4370)+COUNTIFS('月1回_1ヶ月前の在庫'!$V$6:$V$10005,$V4370,'月1回_1ヶ月前の在庫'!$W$6:$W$10005,$W4370)&gt;0),N(U4369),N(U4369)+1))</f>
        <v/>
      </c>
      <c r="V4370" s="19">
        <f>IF($B4370="","",TEXT($B4370,"0000"))</f>
        <v/>
      </c>
      <c r="W4370" s="19">
        <f>IF($I4370="","",IF(ISNUMBER($I4370),TEXT($I4370,"0"),$I4370))</f>
        <v/>
      </c>
    </row>
    <row r="4371">
      <c r="B4371" s="25" t="n"/>
      <c r="I4371" s="25" t="n"/>
      <c r="U4371" s="19">
        <f>IF($V4371&lt;&gt;'設定'!$C$4,N(U4370),IF(OR(NOT(COUNTIF('商品マスタ'!$B$6:$B$1005,$W4371)=0),COUNTIFS('①在庫を貼る'!$V$6:$V$10005,$V4371,'①在庫を貼る'!$W$6:$W$10005,$W4371)+COUNTIFS('月1回_1ヶ月前の在庫'!$V$6:$V$10005,$V4371,'月1回_1ヶ月前の在庫'!$W$6:$W$10005,$W4371)&gt;0),N(U4370),N(U4370)+1))</f>
        <v/>
      </c>
      <c r="V4371" s="19">
        <f>IF($B4371="","",TEXT($B4371,"0000"))</f>
        <v/>
      </c>
      <c r="W4371" s="19">
        <f>IF($I4371="","",IF(ISNUMBER($I4371),TEXT($I4371,"0"),$I4371))</f>
        <v/>
      </c>
    </row>
    <row r="4372">
      <c r="B4372" s="25" t="n"/>
      <c r="I4372" s="25" t="n"/>
      <c r="U4372" s="19">
        <f>IF($V4372&lt;&gt;'設定'!$C$4,N(U4371),IF(OR(NOT(COUNTIF('商品マスタ'!$B$6:$B$1005,$W4372)=0),COUNTIFS('①在庫を貼る'!$V$6:$V$10005,$V4372,'①在庫を貼る'!$W$6:$W$10005,$W4372)+COUNTIFS('月1回_1ヶ月前の在庫'!$V$6:$V$10005,$V4372,'月1回_1ヶ月前の在庫'!$W$6:$W$10005,$W4372)&gt;0),N(U4371),N(U4371)+1))</f>
        <v/>
      </c>
      <c r="V4372" s="19">
        <f>IF($B4372="","",TEXT($B4372,"0000"))</f>
        <v/>
      </c>
      <c r="W4372" s="19">
        <f>IF($I4372="","",IF(ISNUMBER($I4372),TEXT($I4372,"0"),$I4372))</f>
        <v/>
      </c>
    </row>
    <row r="4373">
      <c r="B4373" s="25" t="n"/>
      <c r="I4373" s="25" t="n"/>
      <c r="U4373" s="19">
        <f>IF($V4373&lt;&gt;'設定'!$C$4,N(U4372),IF(OR(NOT(COUNTIF('商品マスタ'!$B$6:$B$1005,$W4373)=0),COUNTIFS('①在庫を貼る'!$V$6:$V$10005,$V4373,'①在庫を貼る'!$W$6:$W$10005,$W4373)+COUNTIFS('月1回_1ヶ月前の在庫'!$V$6:$V$10005,$V4373,'月1回_1ヶ月前の在庫'!$W$6:$W$10005,$W4373)&gt;0),N(U4372),N(U4372)+1))</f>
        <v/>
      </c>
      <c r="V4373" s="19">
        <f>IF($B4373="","",TEXT($B4373,"0000"))</f>
        <v/>
      </c>
      <c r="W4373" s="19">
        <f>IF($I4373="","",IF(ISNUMBER($I4373),TEXT($I4373,"0"),$I4373))</f>
        <v/>
      </c>
    </row>
    <row r="4374">
      <c r="B4374" s="25" t="n"/>
      <c r="I4374" s="25" t="n"/>
      <c r="U4374" s="19">
        <f>IF($V4374&lt;&gt;'設定'!$C$4,N(U4373),IF(OR(NOT(COUNTIF('商品マスタ'!$B$6:$B$1005,$W4374)=0),COUNTIFS('①在庫を貼る'!$V$6:$V$10005,$V4374,'①在庫を貼る'!$W$6:$W$10005,$W4374)+COUNTIFS('月1回_1ヶ月前の在庫'!$V$6:$V$10005,$V4374,'月1回_1ヶ月前の在庫'!$W$6:$W$10005,$W4374)&gt;0),N(U4373),N(U4373)+1))</f>
        <v/>
      </c>
      <c r="V4374" s="19">
        <f>IF($B4374="","",TEXT($B4374,"0000"))</f>
        <v/>
      </c>
      <c r="W4374" s="19">
        <f>IF($I4374="","",IF(ISNUMBER($I4374),TEXT($I4374,"0"),$I4374))</f>
        <v/>
      </c>
    </row>
    <row r="4375">
      <c r="B4375" s="25" t="n"/>
      <c r="I4375" s="25" t="n"/>
      <c r="U4375" s="19">
        <f>IF($V4375&lt;&gt;'設定'!$C$4,N(U4374),IF(OR(NOT(COUNTIF('商品マスタ'!$B$6:$B$1005,$W4375)=0),COUNTIFS('①在庫を貼る'!$V$6:$V$10005,$V4375,'①在庫を貼る'!$W$6:$W$10005,$W4375)+COUNTIFS('月1回_1ヶ月前の在庫'!$V$6:$V$10005,$V4375,'月1回_1ヶ月前の在庫'!$W$6:$W$10005,$W4375)&gt;0),N(U4374),N(U4374)+1))</f>
        <v/>
      </c>
      <c r="V4375" s="19">
        <f>IF($B4375="","",TEXT($B4375,"0000"))</f>
        <v/>
      </c>
      <c r="W4375" s="19">
        <f>IF($I4375="","",IF(ISNUMBER($I4375),TEXT($I4375,"0"),$I4375))</f>
        <v/>
      </c>
    </row>
    <row r="4376">
      <c r="B4376" s="25" t="n"/>
      <c r="I4376" s="25" t="n"/>
      <c r="U4376" s="19">
        <f>IF($V4376&lt;&gt;'設定'!$C$4,N(U4375),IF(OR(NOT(COUNTIF('商品マスタ'!$B$6:$B$1005,$W4376)=0),COUNTIFS('①在庫を貼る'!$V$6:$V$10005,$V4376,'①在庫を貼る'!$W$6:$W$10005,$W4376)+COUNTIFS('月1回_1ヶ月前の在庫'!$V$6:$V$10005,$V4376,'月1回_1ヶ月前の在庫'!$W$6:$W$10005,$W4376)&gt;0),N(U4375),N(U4375)+1))</f>
        <v/>
      </c>
      <c r="V4376" s="19">
        <f>IF($B4376="","",TEXT($B4376,"0000"))</f>
        <v/>
      </c>
      <c r="W4376" s="19">
        <f>IF($I4376="","",IF(ISNUMBER($I4376),TEXT($I4376,"0"),$I4376))</f>
        <v/>
      </c>
    </row>
    <row r="4377">
      <c r="B4377" s="25" t="n"/>
      <c r="I4377" s="25" t="n"/>
      <c r="U4377" s="19">
        <f>IF($V4377&lt;&gt;'設定'!$C$4,N(U4376),IF(OR(NOT(COUNTIF('商品マスタ'!$B$6:$B$1005,$W4377)=0),COUNTIFS('①在庫を貼る'!$V$6:$V$10005,$V4377,'①在庫を貼る'!$W$6:$W$10005,$W4377)+COUNTIFS('月1回_1ヶ月前の在庫'!$V$6:$V$10005,$V4377,'月1回_1ヶ月前の在庫'!$W$6:$W$10005,$W4377)&gt;0),N(U4376),N(U4376)+1))</f>
        <v/>
      </c>
      <c r="V4377" s="19">
        <f>IF($B4377="","",TEXT($B4377,"0000"))</f>
        <v/>
      </c>
      <c r="W4377" s="19">
        <f>IF($I4377="","",IF(ISNUMBER($I4377),TEXT($I4377,"0"),$I4377))</f>
        <v/>
      </c>
    </row>
    <row r="4378">
      <c r="B4378" s="25" t="n"/>
      <c r="I4378" s="25" t="n"/>
      <c r="U4378" s="19">
        <f>IF($V4378&lt;&gt;'設定'!$C$4,N(U4377),IF(OR(NOT(COUNTIF('商品マスタ'!$B$6:$B$1005,$W4378)=0),COUNTIFS('①在庫を貼る'!$V$6:$V$10005,$V4378,'①在庫を貼る'!$W$6:$W$10005,$W4378)+COUNTIFS('月1回_1ヶ月前の在庫'!$V$6:$V$10005,$V4378,'月1回_1ヶ月前の在庫'!$W$6:$W$10005,$W4378)&gt;0),N(U4377),N(U4377)+1))</f>
        <v/>
      </c>
      <c r="V4378" s="19">
        <f>IF($B4378="","",TEXT($B4378,"0000"))</f>
        <v/>
      </c>
      <c r="W4378" s="19">
        <f>IF($I4378="","",IF(ISNUMBER($I4378),TEXT($I4378,"0"),$I4378))</f>
        <v/>
      </c>
    </row>
    <row r="4379">
      <c r="B4379" s="25" t="n"/>
      <c r="I4379" s="25" t="n"/>
      <c r="U4379" s="19">
        <f>IF($V4379&lt;&gt;'設定'!$C$4,N(U4378),IF(OR(NOT(COUNTIF('商品マスタ'!$B$6:$B$1005,$W4379)=0),COUNTIFS('①在庫を貼る'!$V$6:$V$10005,$V4379,'①在庫を貼る'!$W$6:$W$10005,$W4379)+COUNTIFS('月1回_1ヶ月前の在庫'!$V$6:$V$10005,$V4379,'月1回_1ヶ月前の在庫'!$W$6:$W$10005,$W4379)&gt;0),N(U4378),N(U4378)+1))</f>
        <v/>
      </c>
      <c r="V4379" s="19">
        <f>IF($B4379="","",TEXT($B4379,"0000"))</f>
        <v/>
      </c>
      <c r="W4379" s="19">
        <f>IF($I4379="","",IF(ISNUMBER($I4379),TEXT($I4379,"0"),$I4379))</f>
        <v/>
      </c>
    </row>
    <row r="4380">
      <c r="B4380" s="25" t="n"/>
      <c r="I4380" s="25" t="n"/>
      <c r="U4380" s="19">
        <f>IF($V4380&lt;&gt;'設定'!$C$4,N(U4379),IF(OR(NOT(COUNTIF('商品マスタ'!$B$6:$B$1005,$W4380)=0),COUNTIFS('①在庫を貼る'!$V$6:$V$10005,$V4380,'①在庫を貼る'!$W$6:$W$10005,$W4380)+COUNTIFS('月1回_1ヶ月前の在庫'!$V$6:$V$10005,$V4380,'月1回_1ヶ月前の在庫'!$W$6:$W$10005,$W4380)&gt;0),N(U4379),N(U4379)+1))</f>
        <v/>
      </c>
      <c r="V4380" s="19">
        <f>IF($B4380="","",TEXT($B4380,"0000"))</f>
        <v/>
      </c>
      <c r="W4380" s="19">
        <f>IF($I4380="","",IF(ISNUMBER($I4380),TEXT($I4380,"0"),$I4380))</f>
        <v/>
      </c>
    </row>
    <row r="4381">
      <c r="B4381" s="25" t="n"/>
      <c r="I4381" s="25" t="n"/>
      <c r="U4381" s="19">
        <f>IF($V4381&lt;&gt;'設定'!$C$4,N(U4380),IF(OR(NOT(COUNTIF('商品マスタ'!$B$6:$B$1005,$W4381)=0),COUNTIFS('①在庫を貼る'!$V$6:$V$10005,$V4381,'①在庫を貼る'!$W$6:$W$10005,$W4381)+COUNTIFS('月1回_1ヶ月前の在庫'!$V$6:$V$10005,$V4381,'月1回_1ヶ月前の在庫'!$W$6:$W$10005,$W4381)&gt;0),N(U4380),N(U4380)+1))</f>
        <v/>
      </c>
      <c r="V4381" s="19">
        <f>IF($B4381="","",TEXT($B4381,"0000"))</f>
        <v/>
      </c>
      <c r="W4381" s="19">
        <f>IF($I4381="","",IF(ISNUMBER($I4381),TEXT($I4381,"0"),$I4381))</f>
        <v/>
      </c>
    </row>
    <row r="4382">
      <c r="B4382" s="25" t="n"/>
      <c r="I4382" s="25" t="n"/>
      <c r="U4382" s="19">
        <f>IF($V4382&lt;&gt;'設定'!$C$4,N(U4381),IF(OR(NOT(COUNTIF('商品マスタ'!$B$6:$B$1005,$W4382)=0),COUNTIFS('①在庫を貼る'!$V$6:$V$10005,$V4382,'①在庫を貼る'!$W$6:$W$10005,$W4382)+COUNTIFS('月1回_1ヶ月前の在庫'!$V$6:$V$10005,$V4382,'月1回_1ヶ月前の在庫'!$W$6:$W$10005,$W4382)&gt;0),N(U4381),N(U4381)+1))</f>
        <v/>
      </c>
      <c r="V4382" s="19">
        <f>IF($B4382="","",TEXT($B4382,"0000"))</f>
        <v/>
      </c>
      <c r="W4382" s="19">
        <f>IF($I4382="","",IF(ISNUMBER($I4382),TEXT($I4382,"0"),$I4382))</f>
        <v/>
      </c>
    </row>
    <row r="4383">
      <c r="B4383" s="25" t="n"/>
      <c r="I4383" s="25" t="n"/>
      <c r="U4383" s="19">
        <f>IF($V4383&lt;&gt;'設定'!$C$4,N(U4382),IF(OR(NOT(COUNTIF('商品マスタ'!$B$6:$B$1005,$W4383)=0),COUNTIFS('①在庫を貼る'!$V$6:$V$10005,$V4383,'①在庫を貼る'!$W$6:$W$10005,$W4383)+COUNTIFS('月1回_1ヶ月前の在庫'!$V$6:$V$10005,$V4383,'月1回_1ヶ月前の在庫'!$W$6:$W$10005,$W4383)&gt;0),N(U4382),N(U4382)+1))</f>
        <v/>
      </c>
      <c r="V4383" s="19">
        <f>IF($B4383="","",TEXT($B4383,"0000"))</f>
        <v/>
      </c>
      <c r="W4383" s="19">
        <f>IF($I4383="","",IF(ISNUMBER($I4383),TEXT($I4383,"0"),$I4383))</f>
        <v/>
      </c>
    </row>
    <row r="4384">
      <c r="B4384" s="25" t="n"/>
      <c r="I4384" s="25" t="n"/>
      <c r="U4384" s="19">
        <f>IF($V4384&lt;&gt;'設定'!$C$4,N(U4383),IF(OR(NOT(COUNTIF('商品マスタ'!$B$6:$B$1005,$W4384)=0),COUNTIFS('①在庫を貼る'!$V$6:$V$10005,$V4384,'①在庫を貼る'!$W$6:$W$10005,$W4384)+COUNTIFS('月1回_1ヶ月前の在庫'!$V$6:$V$10005,$V4384,'月1回_1ヶ月前の在庫'!$W$6:$W$10005,$W4384)&gt;0),N(U4383),N(U4383)+1))</f>
        <v/>
      </c>
      <c r="V4384" s="19">
        <f>IF($B4384="","",TEXT($B4384,"0000"))</f>
        <v/>
      </c>
      <c r="W4384" s="19">
        <f>IF($I4384="","",IF(ISNUMBER($I4384),TEXT($I4384,"0"),$I4384))</f>
        <v/>
      </c>
    </row>
    <row r="4385">
      <c r="B4385" s="25" t="n"/>
      <c r="I4385" s="25" t="n"/>
      <c r="U4385" s="19">
        <f>IF($V4385&lt;&gt;'設定'!$C$4,N(U4384),IF(OR(NOT(COUNTIF('商品マスタ'!$B$6:$B$1005,$W4385)=0),COUNTIFS('①在庫を貼る'!$V$6:$V$10005,$V4385,'①在庫を貼る'!$W$6:$W$10005,$W4385)+COUNTIFS('月1回_1ヶ月前の在庫'!$V$6:$V$10005,$V4385,'月1回_1ヶ月前の在庫'!$W$6:$W$10005,$W4385)&gt;0),N(U4384),N(U4384)+1))</f>
        <v/>
      </c>
      <c r="V4385" s="19">
        <f>IF($B4385="","",TEXT($B4385,"0000"))</f>
        <v/>
      </c>
      <c r="W4385" s="19">
        <f>IF($I4385="","",IF(ISNUMBER($I4385),TEXT($I4385,"0"),$I4385))</f>
        <v/>
      </c>
    </row>
    <row r="4386">
      <c r="B4386" s="25" t="n"/>
      <c r="I4386" s="25" t="n"/>
      <c r="U4386" s="19">
        <f>IF($V4386&lt;&gt;'設定'!$C$4,N(U4385),IF(OR(NOT(COUNTIF('商品マスタ'!$B$6:$B$1005,$W4386)=0),COUNTIFS('①在庫を貼る'!$V$6:$V$10005,$V4386,'①在庫を貼る'!$W$6:$W$10005,$W4386)+COUNTIFS('月1回_1ヶ月前の在庫'!$V$6:$V$10005,$V4386,'月1回_1ヶ月前の在庫'!$W$6:$W$10005,$W4386)&gt;0),N(U4385),N(U4385)+1))</f>
        <v/>
      </c>
      <c r="V4386" s="19">
        <f>IF($B4386="","",TEXT($B4386,"0000"))</f>
        <v/>
      </c>
      <c r="W4386" s="19">
        <f>IF($I4386="","",IF(ISNUMBER($I4386),TEXT($I4386,"0"),$I4386))</f>
        <v/>
      </c>
    </row>
    <row r="4387">
      <c r="B4387" s="25" t="n"/>
      <c r="I4387" s="25" t="n"/>
      <c r="U4387" s="19">
        <f>IF($V4387&lt;&gt;'設定'!$C$4,N(U4386),IF(OR(NOT(COUNTIF('商品マスタ'!$B$6:$B$1005,$W4387)=0),COUNTIFS('①在庫を貼る'!$V$6:$V$10005,$V4387,'①在庫を貼る'!$W$6:$W$10005,$W4387)+COUNTIFS('月1回_1ヶ月前の在庫'!$V$6:$V$10005,$V4387,'月1回_1ヶ月前の在庫'!$W$6:$W$10005,$W4387)&gt;0),N(U4386),N(U4386)+1))</f>
        <v/>
      </c>
      <c r="V4387" s="19">
        <f>IF($B4387="","",TEXT($B4387,"0000"))</f>
        <v/>
      </c>
      <c r="W4387" s="19">
        <f>IF($I4387="","",IF(ISNUMBER($I4387),TEXT($I4387,"0"),$I4387))</f>
        <v/>
      </c>
    </row>
    <row r="4388">
      <c r="B4388" s="25" t="n"/>
      <c r="I4388" s="25" t="n"/>
      <c r="U4388" s="19">
        <f>IF($V4388&lt;&gt;'設定'!$C$4,N(U4387),IF(OR(NOT(COUNTIF('商品マスタ'!$B$6:$B$1005,$W4388)=0),COUNTIFS('①在庫を貼る'!$V$6:$V$10005,$V4388,'①在庫を貼る'!$W$6:$W$10005,$W4388)+COUNTIFS('月1回_1ヶ月前の在庫'!$V$6:$V$10005,$V4388,'月1回_1ヶ月前の在庫'!$W$6:$W$10005,$W4388)&gt;0),N(U4387),N(U4387)+1))</f>
        <v/>
      </c>
      <c r="V4388" s="19">
        <f>IF($B4388="","",TEXT($B4388,"0000"))</f>
        <v/>
      </c>
      <c r="W4388" s="19">
        <f>IF($I4388="","",IF(ISNUMBER($I4388),TEXT($I4388,"0"),$I4388))</f>
        <v/>
      </c>
    </row>
    <row r="4389">
      <c r="B4389" s="25" t="n"/>
      <c r="I4389" s="25" t="n"/>
      <c r="U4389" s="19">
        <f>IF($V4389&lt;&gt;'設定'!$C$4,N(U4388),IF(OR(NOT(COUNTIF('商品マスタ'!$B$6:$B$1005,$W4389)=0),COUNTIFS('①在庫を貼る'!$V$6:$V$10005,$V4389,'①在庫を貼る'!$W$6:$W$10005,$W4389)+COUNTIFS('月1回_1ヶ月前の在庫'!$V$6:$V$10005,$V4389,'月1回_1ヶ月前の在庫'!$W$6:$W$10005,$W4389)&gt;0),N(U4388),N(U4388)+1))</f>
        <v/>
      </c>
      <c r="V4389" s="19">
        <f>IF($B4389="","",TEXT($B4389,"0000"))</f>
        <v/>
      </c>
      <c r="W4389" s="19">
        <f>IF($I4389="","",IF(ISNUMBER($I4389),TEXT($I4389,"0"),$I4389))</f>
        <v/>
      </c>
    </row>
    <row r="4390">
      <c r="B4390" s="25" t="n"/>
      <c r="I4390" s="25" t="n"/>
      <c r="U4390" s="19">
        <f>IF($V4390&lt;&gt;'設定'!$C$4,N(U4389),IF(OR(NOT(COUNTIF('商品マスタ'!$B$6:$B$1005,$W4390)=0),COUNTIFS('①在庫を貼る'!$V$6:$V$10005,$V4390,'①在庫を貼る'!$W$6:$W$10005,$W4390)+COUNTIFS('月1回_1ヶ月前の在庫'!$V$6:$V$10005,$V4390,'月1回_1ヶ月前の在庫'!$W$6:$W$10005,$W4390)&gt;0),N(U4389),N(U4389)+1))</f>
        <v/>
      </c>
      <c r="V4390" s="19">
        <f>IF($B4390="","",TEXT($B4390,"0000"))</f>
        <v/>
      </c>
      <c r="W4390" s="19">
        <f>IF($I4390="","",IF(ISNUMBER($I4390),TEXT($I4390,"0"),$I4390))</f>
        <v/>
      </c>
    </row>
    <row r="4391">
      <c r="B4391" s="25" t="n"/>
      <c r="I4391" s="25" t="n"/>
      <c r="U4391" s="19">
        <f>IF($V4391&lt;&gt;'設定'!$C$4,N(U4390),IF(OR(NOT(COUNTIF('商品マスタ'!$B$6:$B$1005,$W4391)=0),COUNTIFS('①在庫を貼る'!$V$6:$V$10005,$V4391,'①在庫を貼る'!$W$6:$W$10005,$W4391)+COUNTIFS('月1回_1ヶ月前の在庫'!$V$6:$V$10005,$V4391,'月1回_1ヶ月前の在庫'!$W$6:$W$10005,$W4391)&gt;0),N(U4390),N(U4390)+1))</f>
        <v/>
      </c>
      <c r="V4391" s="19">
        <f>IF($B4391="","",TEXT($B4391,"0000"))</f>
        <v/>
      </c>
      <c r="W4391" s="19">
        <f>IF($I4391="","",IF(ISNUMBER($I4391),TEXT($I4391,"0"),$I4391))</f>
        <v/>
      </c>
    </row>
    <row r="4392">
      <c r="B4392" s="25" t="n"/>
      <c r="I4392" s="25" t="n"/>
      <c r="U4392" s="19">
        <f>IF($V4392&lt;&gt;'設定'!$C$4,N(U4391),IF(OR(NOT(COUNTIF('商品マスタ'!$B$6:$B$1005,$W4392)=0),COUNTIFS('①在庫を貼る'!$V$6:$V$10005,$V4392,'①在庫を貼る'!$W$6:$W$10005,$W4392)+COUNTIFS('月1回_1ヶ月前の在庫'!$V$6:$V$10005,$V4392,'月1回_1ヶ月前の在庫'!$W$6:$W$10005,$W4392)&gt;0),N(U4391),N(U4391)+1))</f>
        <v/>
      </c>
      <c r="V4392" s="19">
        <f>IF($B4392="","",TEXT($B4392,"0000"))</f>
        <v/>
      </c>
      <c r="W4392" s="19">
        <f>IF($I4392="","",IF(ISNUMBER($I4392),TEXT($I4392,"0"),$I4392))</f>
        <v/>
      </c>
    </row>
    <row r="4393">
      <c r="B4393" s="25" t="n"/>
      <c r="I4393" s="25" t="n"/>
      <c r="U4393" s="19">
        <f>IF($V4393&lt;&gt;'設定'!$C$4,N(U4392),IF(OR(NOT(COUNTIF('商品マスタ'!$B$6:$B$1005,$W4393)=0),COUNTIFS('①在庫を貼る'!$V$6:$V$10005,$V4393,'①在庫を貼る'!$W$6:$W$10005,$W4393)+COUNTIFS('月1回_1ヶ月前の在庫'!$V$6:$V$10005,$V4393,'月1回_1ヶ月前の在庫'!$W$6:$W$10005,$W4393)&gt;0),N(U4392),N(U4392)+1))</f>
        <v/>
      </c>
      <c r="V4393" s="19">
        <f>IF($B4393="","",TEXT($B4393,"0000"))</f>
        <v/>
      </c>
      <c r="W4393" s="19">
        <f>IF($I4393="","",IF(ISNUMBER($I4393),TEXT($I4393,"0"),$I4393))</f>
        <v/>
      </c>
    </row>
    <row r="4394">
      <c r="B4394" s="25" t="n"/>
      <c r="I4394" s="25" t="n"/>
      <c r="U4394" s="19">
        <f>IF($V4394&lt;&gt;'設定'!$C$4,N(U4393),IF(OR(NOT(COUNTIF('商品マスタ'!$B$6:$B$1005,$W4394)=0),COUNTIFS('①在庫を貼る'!$V$6:$V$10005,$V4394,'①在庫を貼る'!$W$6:$W$10005,$W4394)+COUNTIFS('月1回_1ヶ月前の在庫'!$V$6:$V$10005,$V4394,'月1回_1ヶ月前の在庫'!$W$6:$W$10005,$W4394)&gt;0),N(U4393),N(U4393)+1))</f>
        <v/>
      </c>
      <c r="V4394" s="19">
        <f>IF($B4394="","",TEXT($B4394,"0000"))</f>
        <v/>
      </c>
      <c r="W4394" s="19">
        <f>IF($I4394="","",IF(ISNUMBER($I4394),TEXT($I4394,"0"),$I4394))</f>
        <v/>
      </c>
    </row>
    <row r="4395">
      <c r="B4395" s="25" t="n"/>
      <c r="I4395" s="25" t="n"/>
      <c r="U4395" s="19">
        <f>IF($V4395&lt;&gt;'設定'!$C$4,N(U4394),IF(OR(NOT(COUNTIF('商品マスタ'!$B$6:$B$1005,$W4395)=0),COUNTIFS('①在庫を貼る'!$V$6:$V$10005,$V4395,'①在庫を貼る'!$W$6:$W$10005,$W4395)+COUNTIFS('月1回_1ヶ月前の在庫'!$V$6:$V$10005,$V4395,'月1回_1ヶ月前の在庫'!$W$6:$W$10005,$W4395)&gt;0),N(U4394),N(U4394)+1))</f>
        <v/>
      </c>
      <c r="V4395" s="19">
        <f>IF($B4395="","",TEXT($B4395,"0000"))</f>
        <v/>
      </c>
      <c r="W4395" s="19">
        <f>IF($I4395="","",IF(ISNUMBER($I4395),TEXT($I4395,"0"),$I4395))</f>
        <v/>
      </c>
    </row>
    <row r="4396">
      <c r="B4396" s="25" t="n"/>
      <c r="I4396" s="25" t="n"/>
      <c r="U4396" s="19">
        <f>IF($V4396&lt;&gt;'設定'!$C$4,N(U4395),IF(OR(NOT(COUNTIF('商品マスタ'!$B$6:$B$1005,$W4396)=0),COUNTIFS('①在庫を貼る'!$V$6:$V$10005,$V4396,'①在庫を貼る'!$W$6:$W$10005,$W4396)+COUNTIFS('月1回_1ヶ月前の在庫'!$V$6:$V$10005,$V4396,'月1回_1ヶ月前の在庫'!$W$6:$W$10005,$W4396)&gt;0),N(U4395),N(U4395)+1))</f>
        <v/>
      </c>
      <c r="V4396" s="19">
        <f>IF($B4396="","",TEXT($B4396,"0000"))</f>
        <v/>
      </c>
      <c r="W4396" s="19">
        <f>IF($I4396="","",IF(ISNUMBER($I4396),TEXT($I4396,"0"),$I4396))</f>
        <v/>
      </c>
    </row>
    <row r="4397">
      <c r="B4397" s="25" t="n"/>
      <c r="I4397" s="25" t="n"/>
      <c r="U4397" s="19">
        <f>IF($V4397&lt;&gt;'設定'!$C$4,N(U4396),IF(OR(NOT(COUNTIF('商品マスタ'!$B$6:$B$1005,$W4397)=0),COUNTIFS('①在庫を貼る'!$V$6:$V$10005,$V4397,'①在庫を貼る'!$W$6:$W$10005,$W4397)+COUNTIFS('月1回_1ヶ月前の在庫'!$V$6:$V$10005,$V4397,'月1回_1ヶ月前の在庫'!$W$6:$W$10005,$W4397)&gt;0),N(U4396),N(U4396)+1))</f>
        <v/>
      </c>
      <c r="V4397" s="19">
        <f>IF($B4397="","",TEXT($B4397,"0000"))</f>
        <v/>
      </c>
      <c r="W4397" s="19">
        <f>IF($I4397="","",IF(ISNUMBER($I4397),TEXT($I4397,"0"),$I4397))</f>
        <v/>
      </c>
    </row>
    <row r="4398">
      <c r="B4398" s="25" t="n"/>
      <c r="I4398" s="25" t="n"/>
      <c r="U4398" s="19">
        <f>IF($V4398&lt;&gt;'設定'!$C$4,N(U4397),IF(OR(NOT(COUNTIF('商品マスタ'!$B$6:$B$1005,$W4398)=0),COUNTIFS('①在庫を貼る'!$V$6:$V$10005,$V4398,'①在庫を貼る'!$W$6:$W$10005,$W4398)+COUNTIFS('月1回_1ヶ月前の在庫'!$V$6:$V$10005,$V4398,'月1回_1ヶ月前の在庫'!$W$6:$W$10005,$W4398)&gt;0),N(U4397),N(U4397)+1))</f>
        <v/>
      </c>
      <c r="V4398" s="19">
        <f>IF($B4398="","",TEXT($B4398,"0000"))</f>
        <v/>
      </c>
      <c r="W4398" s="19">
        <f>IF($I4398="","",IF(ISNUMBER($I4398),TEXT($I4398,"0"),$I4398))</f>
        <v/>
      </c>
    </row>
    <row r="4399">
      <c r="B4399" s="25" t="n"/>
      <c r="I4399" s="25" t="n"/>
      <c r="U4399" s="19">
        <f>IF($V4399&lt;&gt;'設定'!$C$4,N(U4398),IF(OR(NOT(COUNTIF('商品マスタ'!$B$6:$B$1005,$W4399)=0),COUNTIFS('①在庫を貼る'!$V$6:$V$10005,$V4399,'①在庫を貼る'!$W$6:$W$10005,$W4399)+COUNTIFS('月1回_1ヶ月前の在庫'!$V$6:$V$10005,$V4399,'月1回_1ヶ月前の在庫'!$W$6:$W$10005,$W4399)&gt;0),N(U4398),N(U4398)+1))</f>
        <v/>
      </c>
      <c r="V4399" s="19">
        <f>IF($B4399="","",TEXT($B4399,"0000"))</f>
        <v/>
      </c>
      <c r="W4399" s="19">
        <f>IF($I4399="","",IF(ISNUMBER($I4399),TEXT($I4399,"0"),$I4399))</f>
        <v/>
      </c>
    </row>
    <row r="4400">
      <c r="B4400" s="25" t="n"/>
      <c r="I4400" s="25" t="n"/>
      <c r="U4400" s="19">
        <f>IF($V4400&lt;&gt;'設定'!$C$4,N(U4399),IF(OR(NOT(COUNTIF('商品マスタ'!$B$6:$B$1005,$W4400)=0),COUNTIFS('①在庫を貼る'!$V$6:$V$10005,$V4400,'①在庫を貼る'!$W$6:$W$10005,$W4400)+COUNTIFS('月1回_1ヶ月前の在庫'!$V$6:$V$10005,$V4400,'月1回_1ヶ月前の在庫'!$W$6:$W$10005,$W4400)&gt;0),N(U4399),N(U4399)+1))</f>
        <v/>
      </c>
      <c r="V4400" s="19">
        <f>IF($B4400="","",TEXT($B4400,"0000"))</f>
        <v/>
      </c>
      <c r="W4400" s="19">
        <f>IF($I4400="","",IF(ISNUMBER($I4400),TEXT($I4400,"0"),$I4400))</f>
        <v/>
      </c>
    </row>
    <row r="4401">
      <c r="B4401" s="25" t="n"/>
      <c r="I4401" s="25" t="n"/>
      <c r="U4401" s="19">
        <f>IF($V4401&lt;&gt;'設定'!$C$4,N(U4400),IF(OR(NOT(COUNTIF('商品マスタ'!$B$6:$B$1005,$W4401)=0),COUNTIFS('①在庫を貼る'!$V$6:$V$10005,$V4401,'①在庫を貼る'!$W$6:$W$10005,$W4401)+COUNTIFS('月1回_1ヶ月前の在庫'!$V$6:$V$10005,$V4401,'月1回_1ヶ月前の在庫'!$W$6:$W$10005,$W4401)&gt;0),N(U4400),N(U4400)+1))</f>
        <v/>
      </c>
      <c r="V4401" s="19">
        <f>IF($B4401="","",TEXT($B4401,"0000"))</f>
        <v/>
      </c>
      <c r="W4401" s="19">
        <f>IF($I4401="","",IF(ISNUMBER($I4401),TEXT($I4401,"0"),$I4401))</f>
        <v/>
      </c>
    </row>
    <row r="4402">
      <c r="B4402" s="25" t="n"/>
      <c r="I4402" s="25" t="n"/>
      <c r="U4402" s="19">
        <f>IF($V4402&lt;&gt;'設定'!$C$4,N(U4401),IF(OR(NOT(COUNTIF('商品マスタ'!$B$6:$B$1005,$W4402)=0),COUNTIFS('①在庫を貼る'!$V$6:$V$10005,$V4402,'①在庫を貼る'!$W$6:$W$10005,$W4402)+COUNTIFS('月1回_1ヶ月前の在庫'!$V$6:$V$10005,$V4402,'月1回_1ヶ月前の在庫'!$W$6:$W$10005,$W4402)&gt;0),N(U4401),N(U4401)+1))</f>
        <v/>
      </c>
      <c r="V4402" s="19">
        <f>IF($B4402="","",TEXT($B4402,"0000"))</f>
        <v/>
      </c>
      <c r="W4402" s="19">
        <f>IF($I4402="","",IF(ISNUMBER($I4402),TEXT($I4402,"0"),$I4402))</f>
        <v/>
      </c>
    </row>
    <row r="4403">
      <c r="B4403" s="25" t="n"/>
      <c r="I4403" s="25" t="n"/>
      <c r="U4403" s="19">
        <f>IF($V4403&lt;&gt;'設定'!$C$4,N(U4402),IF(OR(NOT(COUNTIF('商品マスタ'!$B$6:$B$1005,$W4403)=0),COUNTIFS('①在庫を貼る'!$V$6:$V$10005,$V4403,'①在庫を貼る'!$W$6:$W$10005,$W4403)+COUNTIFS('月1回_1ヶ月前の在庫'!$V$6:$V$10005,$V4403,'月1回_1ヶ月前の在庫'!$W$6:$W$10005,$W4403)&gt;0),N(U4402),N(U4402)+1))</f>
        <v/>
      </c>
      <c r="V4403" s="19">
        <f>IF($B4403="","",TEXT($B4403,"0000"))</f>
        <v/>
      </c>
      <c r="W4403" s="19">
        <f>IF($I4403="","",IF(ISNUMBER($I4403),TEXT($I4403,"0"),$I4403))</f>
        <v/>
      </c>
    </row>
    <row r="4404">
      <c r="B4404" s="25" t="n"/>
      <c r="I4404" s="25" t="n"/>
      <c r="U4404" s="19">
        <f>IF($V4404&lt;&gt;'設定'!$C$4,N(U4403),IF(OR(NOT(COUNTIF('商品マスタ'!$B$6:$B$1005,$W4404)=0),COUNTIFS('①在庫を貼る'!$V$6:$V$10005,$V4404,'①在庫を貼る'!$W$6:$W$10005,$W4404)+COUNTIFS('月1回_1ヶ月前の在庫'!$V$6:$V$10005,$V4404,'月1回_1ヶ月前の在庫'!$W$6:$W$10005,$W4404)&gt;0),N(U4403),N(U4403)+1))</f>
        <v/>
      </c>
      <c r="V4404" s="19">
        <f>IF($B4404="","",TEXT($B4404,"0000"))</f>
        <v/>
      </c>
      <c r="W4404" s="19">
        <f>IF($I4404="","",IF(ISNUMBER($I4404),TEXT($I4404,"0"),$I4404))</f>
        <v/>
      </c>
    </row>
    <row r="4405">
      <c r="B4405" s="25" t="n"/>
      <c r="I4405" s="25" t="n"/>
      <c r="U4405" s="19">
        <f>IF($V4405&lt;&gt;'設定'!$C$4,N(U4404),IF(OR(NOT(COUNTIF('商品マスタ'!$B$6:$B$1005,$W4405)=0),COUNTIFS('①在庫を貼る'!$V$6:$V$10005,$V4405,'①在庫を貼る'!$W$6:$W$10005,$W4405)+COUNTIFS('月1回_1ヶ月前の在庫'!$V$6:$V$10005,$V4405,'月1回_1ヶ月前の在庫'!$W$6:$W$10005,$W4405)&gt;0),N(U4404),N(U4404)+1))</f>
        <v/>
      </c>
      <c r="V4405" s="19">
        <f>IF($B4405="","",TEXT($B4405,"0000"))</f>
        <v/>
      </c>
      <c r="W4405" s="19">
        <f>IF($I4405="","",IF(ISNUMBER($I4405),TEXT($I4405,"0"),$I4405))</f>
        <v/>
      </c>
    </row>
    <row r="4406">
      <c r="B4406" s="25" t="n"/>
      <c r="I4406" s="25" t="n"/>
      <c r="U4406" s="19">
        <f>IF($V4406&lt;&gt;'設定'!$C$4,N(U4405),IF(OR(NOT(COUNTIF('商品マスタ'!$B$6:$B$1005,$W4406)=0),COUNTIFS('①在庫を貼る'!$V$6:$V$10005,$V4406,'①在庫を貼る'!$W$6:$W$10005,$W4406)+COUNTIFS('月1回_1ヶ月前の在庫'!$V$6:$V$10005,$V4406,'月1回_1ヶ月前の在庫'!$W$6:$W$10005,$W4406)&gt;0),N(U4405),N(U4405)+1))</f>
        <v/>
      </c>
      <c r="V4406" s="19">
        <f>IF($B4406="","",TEXT($B4406,"0000"))</f>
        <v/>
      </c>
      <c r="W4406" s="19">
        <f>IF($I4406="","",IF(ISNUMBER($I4406),TEXT($I4406,"0"),$I4406))</f>
        <v/>
      </c>
    </row>
    <row r="4407">
      <c r="B4407" s="25" t="n"/>
      <c r="I4407" s="25" t="n"/>
      <c r="U4407" s="19">
        <f>IF($V4407&lt;&gt;'設定'!$C$4,N(U4406),IF(OR(NOT(COUNTIF('商品マスタ'!$B$6:$B$1005,$W4407)=0),COUNTIFS('①在庫を貼る'!$V$6:$V$10005,$V4407,'①在庫を貼る'!$W$6:$W$10005,$W4407)+COUNTIFS('月1回_1ヶ月前の在庫'!$V$6:$V$10005,$V4407,'月1回_1ヶ月前の在庫'!$W$6:$W$10005,$W4407)&gt;0),N(U4406),N(U4406)+1))</f>
        <v/>
      </c>
      <c r="V4407" s="19">
        <f>IF($B4407="","",TEXT($B4407,"0000"))</f>
        <v/>
      </c>
      <c r="W4407" s="19">
        <f>IF($I4407="","",IF(ISNUMBER($I4407),TEXT($I4407,"0"),$I4407))</f>
        <v/>
      </c>
    </row>
    <row r="4408">
      <c r="B4408" s="25" t="n"/>
      <c r="I4408" s="25" t="n"/>
      <c r="U4408" s="19">
        <f>IF($V4408&lt;&gt;'設定'!$C$4,N(U4407),IF(OR(NOT(COUNTIF('商品マスタ'!$B$6:$B$1005,$W4408)=0),COUNTIFS('①在庫を貼る'!$V$6:$V$10005,$V4408,'①在庫を貼る'!$W$6:$W$10005,$W4408)+COUNTIFS('月1回_1ヶ月前の在庫'!$V$6:$V$10005,$V4408,'月1回_1ヶ月前の在庫'!$W$6:$W$10005,$W4408)&gt;0),N(U4407),N(U4407)+1))</f>
        <v/>
      </c>
      <c r="V4408" s="19">
        <f>IF($B4408="","",TEXT($B4408,"0000"))</f>
        <v/>
      </c>
      <c r="W4408" s="19">
        <f>IF($I4408="","",IF(ISNUMBER($I4408),TEXT($I4408,"0"),$I4408))</f>
        <v/>
      </c>
    </row>
    <row r="4409">
      <c r="B4409" s="25" t="n"/>
      <c r="I4409" s="25" t="n"/>
      <c r="U4409" s="19">
        <f>IF($V4409&lt;&gt;'設定'!$C$4,N(U4408),IF(OR(NOT(COUNTIF('商品マスタ'!$B$6:$B$1005,$W4409)=0),COUNTIFS('①在庫を貼る'!$V$6:$V$10005,$V4409,'①在庫を貼る'!$W$6:$W$10005,$W4409)+COUNTIFS('月1回_1ヶ月前の在庫'!$V$6:$V$10005,$V4409,'月1回_1ヶ月前の在庫'!$W$6:$W$10005,$W4409)&gt;0),N(U4408),N(U4408)+1))</f>
        <v/>
      </c>
      <c r="V4409" s="19">
        <f>IF($B4409="","",TEXT($B4409,"0000"))</f>
        <v/>
      </c>
      <c r="W4409" s="19">
        <f>IF($I4409="","",IF(ISNUMBER($I4409),TEXT($I4409,"0"),$I4409))</f>
        <v/>
      </c>
    </row>
    <row r="4410">
      <c r="B4410" s="25" t="n"/>
      <c r="I4410" s="25" t="n"/>
      <c r="U4410" s="19">
        <f>IF($V4410&lt;&gt;'設定'!$C$4,N(U4409),IF(OR(NOT(COUNTIF('商品マスタ'!$B$6:$B$1005,$W4410)=0),COUNTIFS('①在庫を貼る'!$V$6:$V$10005,$V4410,'①在庫を貼る'!$W$6:$W$10005,$W4410)+COUNTIFS('月1回_1ヶ月前の在庫'!$V$6:$V$10005,$V4410,'月1回_1ヶ月前の在庫'!$W$6:$W$10005,$W4410)&gt;0),N(U4409),N(U4409)+1))</f>
        <v/>
      </c>
      <c r="V4410" s="19">
        <f>IF($B4410="","",TEXT($B4410,"0000"))</f>
        <v/>
      </c>
      <c r="W4410" s="19">
        <f>IF($I4410="","",IF(ISNUMBER($I4410),TEXT($I4410,"0"),$I4410))</f>
        <v/>
      </c>
    </row>
    <row r="4411">
      <c r="B4411" s="25" t="n"/>
      <c r="I4411" s="25" t="n"/>
      <c r="U4411" s="19">
        <f>IF($V4411&lt;&gt;'設定'!$C$4,N(U4410),IF(OR(NOT(COUNTIF('商品マスタ'!$B$6:$B$1005,$W4411)=0),COUNTIFS('①在庫を貼る'!$V$6:$V$10005,$V4411,'①在庫を貼る'!$W$6:$W$10005,$W4411)+COUNTIFS('月1回_1ヶ月前の在庫'!$V$6:$V$10005,$V4411,'月1回_1ヶ月前の在庫'!$W$6:$W$10005,$W4411)&gt;0),N(U4410),N(U4410)+1))</f>
        <v/>
      </c>
      <c r="V4411" s="19">
        <f>IF($B4411="","",TEXT($B4411,"0000"))</f>
        <v/>
      </c>
      <c r="W4411" s="19">
        <f>IF($I4411="","",IF(ISNUMBER($I4411),TEXT($I4411,"0"),$I4411))</f>
        <v/>
      </c>
    </row>
    <row r="4412">
      <c r="B4412" s="25" t="n"/>
      <c r="I4412" s="25" t="n"/>
      <c r="U4412" s="19">
        <f>IF($V4412&lt;&gt;'設定'!$C$4,N(U4411),IF(OR(NOT(COUNTIF('商品マスタ'!$B$6:$B$1005,$W4412)=0),COUNTIFS('①在庫を貼る'!$V$6:$V$10005,$V4412,'①在庫を貼る'!$W$6:$W$10005,$W4412)+COUNTIFS('月1回_1ヶ月前の在庫'!$V$6:$V$10005,$V4412,'月1回_1ヶ月前の在庫'!$W$6:$W$10005,$W4412)&gt;0),N(U4411),N(U4411)+1))</f>
        <v/>
      </c>
      <c r="V4412" s="19">
        <f>IF($B4412="","",TEXT($B4412,"0000"))</f>
        <v/>
      </c>
      <c r="W4412" s="19">
        <f>IF($I4412="","",IF(ISNUMBER($I4412),TEXT($I4412,"0"),$I4412))</f>
        <v/>
      </c>
    </row>
    <row r="4413">
      <c r="B4413" s="25" t="n"/>
      <c r="I4413" s="25" t="n"/>
      <c r="U4413" s="19">
        <f>IF($V4413&lt;&gt;'設定'!$C$4,N(U4412),IF(OR(NOT(COUNTIF('商品マスタ'!$B$6:$B$1005,$W4413)=0),COUNTIFS('①在庫を貼る'!$V$6:$V$10005,$V4413,'①在庫を貼る'!$W$6:$W$10005,$W4413)+COUNTIFS('月1回_1ヶ月前の在庫'!$V$6:$V$10005,$V4413,'月1回_1ヶ月前の在庫'!$W$6:$W$10005,$W4413)&gt;0),N(U4412),N(U4412)+1))</f>
        <v/>
      </c>
      <c r="V4413" s="19">
        <f>IF($B4413="","",TEXT($B4413,"0000"))</f>
        <v/>
      </c>
      <c r="W4413" s="19">
        <f>IF($I4413="","",IF(ISNUMBER($I4413),TEXT($I4413,"0"),$I4413))</f>
        <v/>
      </c>
    </row>
    <row r="4414">
      <c r="B4414" s="25" t="n"/>
      <c r="I4414" s="25" t="n"/>
      <c r="U4414" s="19">
        <f>IF($V4414&lt;&gt;'設定'!$C$4,N(U4413),IF(OR(NOT(COUNTIF('商品マスタ'!$B$6:$B$1005,$W4414)=0),COUNTIFS('①在庫を貼る'!$V$6:$V$10005,$V4414,'①在庫を貼る'!$W$6:$W$10005,$W4414)+COUNTIFS('月1回_1ヶ月前の在庫'!$V$6:$V$10005,$V4414,'月1回_1ヶ月前の在庫'!$W$6:$W$10005,$W4414)&gt;0),N(U4413),N(U4413)+1))</f>
        <v/>
      </c>
      <c r="V4414" s="19">
        <f>IF($B4414="","",TEXT($B4414,"0000"))</f>
        <v/>
      </c>
      <c r="W4414" s="19">
        <f>IF($I4414="","",IF(ISNUMBER($I4414),TEXT($I4414,"0"),$I4414))</f>
        <v/>
      </c>
    </row>
    <row r="4415">
      <c r="B4415" s="25" t="n"/>
      <c r="I4415" s="25" t="n"/>
      <c r="U4415" s="19">
        <f>IF($V4415&lt;&gt;'設定'!$C$4,N(U4414),IF(OR(NOT(COUNTIF('商品マスタ'!$B$6:$B$1005,$W4415)=0),COUNTIFS('①在庫を貼る'!$V$6:$V$10005,$V4415,'①在庫を貼る'!$W$6:$W$10005,$W4415)+COUNTIFS('月1回_1ヶ月前の在庫'!$V$6:$V$10005,$V4415,'月1回_1ヶ月前の在庫'!$W$6:$W$10005,$W4415)&gt;0),N(U4414),N(U4414)+1))</f>
        <v/>
      </c>
      <c r="V4415" s="19">
        <f>IF($B4415="","",TEXT($B4415,"0000"))</f>
        <v/>
      </c>
      <c r="W4415" s="19">
        <f>IF($I4415="","",IF(ISNUMBER($I4415),TEXT($I4415,"0"),$I4415))</f>
        <v/>
      </c>
    </row>
    <row r="4416">
      <c r="B4416" s="25" t="n"/>
      <c r="I4416" s="25" t="n"/>
      <c r="U4416" s="19">
        <f>IF($V4416&lt;&gt;'設定'!$C$4,N(U4415),IF(OR(NOT(COUNTIF('商品マスタ'!$B$6:$B$1005,$W4416)=0),COUNTIFS('①在庫を貼る'!$V$6:$V$10005,$V4416,'①在庫を貼る'!$W$6:$W$10005,$W4416)+COUNTIFS('月1回_1ヶ月前の在庫'!$V$6:$V$10005,$V4416,'月1回_1ヶ月前の在庫'!$W$6:$W$10005,$W4416)&gt;0),N(U4415),N(U4415)+1))</f>
        <v/>
      </c>
      <c r="V4416" s="19">
        <f>IF($B4416="","",TEXT($B4416,"0000"))</f>
        <v/>
      </c>
      <c r="W4416" s="19">
        <f>IF($I4416="","",IF(ISNUMBER($I4416),TEXT($I4416,"0"),$I4416))</f>
        <v/>
      </c>
    </row>
    <row r="4417">
      <c r="B4417" s="25" t="n"/>
      <c r="I4417" s="25" t="n"/>
      <c r="U4417" s="19">
        <f>IF($V4417&lt;&gt;'設定'!$C$4,N(U4416),IF(OR(NOT(COUNTIF('商品マスタ'!$B$6:$B$1005,$W4417)=0),COUNTIFS('①在庫を貼る'!$V$6:$V$10005,$V4417,'①在庫を貼る'!$W$6:$W$10005,$W4417)+COUNTIFS('月1回_1ヶ月前の在庫'!$V$6:$V$10005,$V4417,'月1回_1ヶ月前の在庫'!$W$6:$W$10005,$W4417)&gt;0),N(U4416),N(U4416)+1))</f>
        <v/>
      </c>
      <c r="V4417" s="19">
        <f>IF($B4417="","",TEXT($B4417,"0000"))</f>
        <v/>
      </c>
      <c r="W4417" s="19">
        <f>IF($I4417="","",IF(ISNUMBER($I4417),TEXT($I4417,"0"),$I4417))</f>
        <v/>
      </c>
    </row>
    <row r="4418">
      <c r="B4418" s="25" t="n"/>
      <c r="I4418" s="25" t="n"/>
      <c r="U4418" s="19">
        <f>IF($V4418&lt;&gt;'設定'!$C$4,N(U4417),IF(OR(NOT(COUNTIF('商品マスタ'!$B$6:$B$1005,$W4418)=0),COUNTIFS('①在庫を貼る'!$V$6:$V$10005,$V4418,'①在庫を貼る'!$W$6:$W$10005,$W4418)+COUNTIFS('月1回_1ヶ月前の在庫'!$V$6:$V$10005,$V4418,'月1回_1ヶ月前の在庫'!$W$6:$W$10005,$W4418)&gt;0),N(U4417),N(U4417)+1))</f>
        <v/>
      </c>
      <c r="V4418" s="19">
        <f>IF($B4418="","",TEXT($B4418,"0000"))</f>
        <v/>
      </c>
      <c r="W4418" s="19">
        <f>IF($I4418="","",IF(ISNUMBER($I4418),TEXT($I4418,"0"),$I4418))</f>
        <v/>
      </c>
    </row>
    <row r="4419">
      <c r="B4419" s="25" t="n"/>
      <c r="I4419" s="25" t="n"/>
      <c r="U4419" s="19">
        <f>IF($V4419&lt;&gt;'設定'!$C$4,N(U4418),IF(OR(NOT(COUNTIF('商品マスタ'!$B$6:$B$1005,$W4419)=0),COUNTIFS('①在庫を貼る'!$V$6:$V$10005,$V4419,'①在庫を貼る'!$W$6:$W$10005,$W4419)+COUNTIFS('月1回_1ヶ月前の在庫'!$V$6:$V$10005,$V4419,'月1回_1ヶ月前の在庫'!$W$6:$W$10005,$W4419)&gt;0),N(U4418),N(U4418)+1))</f>
        <v/>
      </c>
      <c r="V4419" s="19">
        <f>IF($B4419="","",TEXT($B4419,"0000"))</f>
        <v/>
      </c>
      <c r="W4419" s="19">
        <f>IF($I4419="","",IF(ISNUMBER($I4419),TEXT($I4419,"0"),$I4419))</f>
        <v/>
      </c>
    </row>
    <row r="4420">
      <c r="B4420" s="25" t="n"/>
      <c r="I4420" s="25" t="n"/>
      <c r="U4420" s="19">
        <f>IF($V4420&lt;&gt;'設定'!$C$4,N(U4419),IF(OR(NOT(COUNTIF('商品マスタ'!$B$6:$B$1005,$W4420)=0),COUNTIFS('①在庫を貼る'!$V$6:$V$10005,$V4420,'①在庫を貼る'!$W$6:$W$10005,$W4420)+COUNTIFS('月1回_1ヶ月前の在庫'!$V$6:$V$10005,$V4420,'月1回_1ヶ月前の在庫'!$W$6:$W$10005,$W4420)&gt;0),N(U4419),N(U4419)+1))</f>
        <v/>
      </c>
      <c r="V4420" s="19">
        <f>IF($B4420="","",TEXT($B4420,"0000"))</f>
        <v/>
      </c>
      <c r="W4420" s="19">
        <f>IF($I4420="","",IF(ISNUMBER($I4420),TEXT($I4420,"0"),$I4420))</f>
        <v/>
      </c>
    </row>
    <row r="4421">
      <c r="B4421" s="25" t="n"/>
      <c r="I4421" s="25" t="n"/>
      <c r="U4421" s="19">
        <f>IF($V4421&lt;&gt;'設定'!$C$4,N(U4420),IF(OR(NOT(COUNTIF('商品マスタ'!$B$6:$B$1005,$W4421)=0),COUNTIFS('①在庫を貼る'!$V$6:$V$10005,$V4421,'①在庫を貼る'!$W$6:$W$10005,$W4421)+COUNTIFS('月1回_1ヶ月前の在庫'!$V$6:$V$10005,$V4421,'月1回_1ヶ月前の在庫'!$W$6:$W$10005,$W4421)&gt;0),N(U4420),N(U4420)+1))</f>
        <v/>
      </c>
      <c r="V4421" s="19">
        <f>IF($B4421="","",TEXT($B4421,"0000"))</f>
        <v/>
      </c>
      <c r="W4421" s="19">
        <f>IF($I4421="","",IF(ISNUMBER($I4421),TEXT($I4421,"0"),$I4421))</f>
        <v/>
      </c>
    </row>
    <row r="4422">
      <c r="B4422" s="25" t="n"/>
      <c r="I4422" s="25" t="n"/>
      <c r="U4422" s="19">
        <f>IF($V4422&lt;&gt;'設定'!$C$4,N(U4421),IF(OR(NOT(COUNTIF('商品マスタ'!$B$6:$B$1005,$W4422)=0),COUNTIFS('①在庫を貼る'!$V$6:$V$10005,$V4422,'①在庫を貼る'!$W$6:$W$10005,$W4422)+COUNTIFS('月1回_1ヶ月前の在庫'!$V$6:$V$10005,$V4422,'月1回_1ヶ月前の在庫'!$W$6:$W$10005,$W4422)&gt;0),N(U4421),N(U4421)+1))</f>
        <v/>
      </c>
      <c r="V4422" s="19">
        <f>IF($B4422="","",TEXT($B4422,"0000"))</f>
        <v/>
      </c>
      <c r="W4422" s="19">
        <f>IF($I4422="","",IF(ISNUMBER($I4422),TEXT($I4422,"0"),$I4422))</f>
        <v/>
      </c>
    </row>
    <row r="4423">
      <c r="B4423" s="25" t="n"/>
      <c r="I4423" s="25" t="n"/>
      <c r="U4423" s="19">
        <f>IF($V4423&lt;&gt;'設定'!$C$4,N(U4422),IF(OR(NOT(COUNTIF('商品マスタ'!$B$6:$B$1005,$W4423)=0),COUNTIFS('①在庫を貼る'!$V$6:$V$10005,$V4423,'①在庫を貼る'!$W$6:$W$10005,$W4423)+COUNTIFS('月1回_1ヶ月前の在庫'!$V$6:$V$10005,$V4423,'月1回_1ヶ月前の在庫'!$W$6:$W$10005,$W4423)&gt;0),N(U4422),N(U4422)+1))</f>
        <v/>
      </c>
      <c r="V4423" s="19">
        <f>IF($B4423="","",TEXT($B4423,"0000"))</f>
        <v/>
      </c>
      <c r="W4423" s="19">
        <f>IF($I4423="","",IF(ISNUMBER($I4423),TEXT($I4423,"0"),$I4423))</f>
        <v/>
      </c>
    </row>
    <row r="4424">
      <c r="B4424" s="25" t="n"/>
      <c r="I4424" s="25" t="n"/>
      <c r="U4424" s="19">
        <f>IF($V4424&lt;&gt;'設定'!$C$4,N(U4423),IF(OR(NOT(COUNTIF('商品マスタ'!$B$6:$B$1005,$W4424)=0),COUNTIFS('①在庫を貼る'!$V$6:$V$10005,$V4424,'①在庫を貼る'!$W$6:$W$10005,$W4424)+COUNTIFS('月1回_1ヶ月前の在庫'!$V$6:$V$10005,$V4424,'月1回_1ヶ月前の在庫'!$W$6:$W$10005,$W4424)&gt;0),N(U4423),N(U4423)+1))</f>
        <v/>
      </c>
      <c r="V4424" s="19">
        <f>IF($B4424="","",TEXT($B4424,"0000"))</f>
        <v/>
      </c>
      <c r="W4424" s="19">
        <f>IF($I4424="","",IF(ISNUMBER($I4424),TEXT($I4424,"0"),$I4424))</f>
        <v/>
      </c>
    </row>
    <row r="4425">
      <c r="B4425" s="25" t="n"/>
      <c r="I4425" s="25" t="n"/>
      <c r="U4425" s="19">
        <f>IF($V4425&lt;&gt;'設定'!$C$4,N(U4424),IF(OR(NOT(COUNTIF('商品マスタ'!$B$6:$B$1005,$W4425)=0),COUNTIFS('①在庫を貼る'!$V$6:$V$10005,$V4425,'①在庫を貼る'!$W$6:$W$10005,$W4425)+COUNTIFS('月1回_1ヶ月前の在庫'!$V$6:$V$10005,$V4425,'月1回_1ヶ月前の在庫'!$W$6:$W$10005,$W4425)&gt;0),N(U4424),N(U4424)+1))</f>
        <v/>
      </c>
      <c r="V4425" s="19">
        <f>IF($B4425="","",TEXT($B4425,"0000"))</f>
        <v/>
      </c>
      <c r="W4425" s="19">
        <f>IF($I4425="","",IF(ISNUMBER($I4425),TEXT($I4425,"0"),$I4425))</f>
        <v/>
      </c>
    </row>
    <row r="4426">
      <c r="B4426" s="25" t="n"/>
      <c r="I4426" s="25" t="n"/>
      <c r="U4426" s="19">
        <f>IF($V4426&lt;&gt;'設定'!$C$4,N(U4425),IF(OR(NOT(COUNTIF('商品マスタ'!$B$6:$B$1005,$W4426)=0),COUNTIFS('①在庫を貼る'!$V$6:$V$10005,$V4426,'①在庫を貼る'!$W$6:$W$10005,$W4426)+COUNTIFS('月1回_1ヶ月前の在庫'!$V$6:$V$10005,$V4426,'月1回_1ヶ月前の在庫'!$W$6:$W$10005,$W4426)&gt;0),N(U4425),N(U4425)+1))</f>
        <v/>
      </c>
      <c r="V4426" s="19">
        <f>IF($B4426="","",TEXT($B4426,"0000"))</f>
        <v/>
      </c>
      <c r="W4426" s="19">
        <f>IF($I4426="","",IF(ISNUMBER($I4426),TEXT($I4426,"0"),$I4426))</f>
        <v/>
      </c>
    </row>
    <row r="4427">
      <c r="B4427" s="25" t="n"/>
      <c r="I4427" s="25" t="n"/>
      <c r="U4427" s="19">
        <f>IF($V4427&lt;&gt;'設定'!$C$4,N(U4426),IF(OR(NOT(COUNTIF('商品マスタ'!$B$6:$B$1005,$W4427)=0),COUNTIFS('①在庫を貼る'!$V$6:$V$10005,$V4427,'①在庫を貼る'!$W$6:$W$10005,$W4427)+COUNTIFS('月1回_1ヶ月前の在庫'!$V$6:$V$10005,$V4427,'月1回_1ヶ月前の在庫'!$W$6:$W$10005,$W4427)&gt;0),N(U4426),N(U4426)+1))</f>
        <v/>
      </c>
      <c r="V4427" s="19">
        <f>IF($B4427="","",TEXT($B4427,"0000"))</f>
        <v/>
      </c>
      <c r="W4427" s="19">
        <f>IF($I4427="","",IF(ISNUMBER($I4427),TEXT($I4427,"0"),$I4427))</f>
        <v/>
      </c>
    </row>
    <row r="4428">
      <c r="B4428" s="25" t="n"/>
      <c r="I4428" s="25" t="n"/>
      <c r="U4428" s="19">
        <f>IF($V4428&lt;&gt;'設定'!$C$4,N(U4427),IF(OR(NOT(COUNTIF('商品マスタ'!$B$6:$B$1005,$W4428)=0),COUNTIFS('①在庫を貼る'!$V$6:$V$10005,$V4428,'①在庫を貼る'!$W$6:$W$10005,$W4428)+COUNTIFS('月1回_1ヶ月前の在庫'!$V$6:$V$10005,$V4428,'月1回_1ヶ月前の在庫'!$W$6:$W$10005,$W4428)&gt;0),N(U4427),N(U4427)+1))</f>
        <v/>
      </c>
      <c r="V4428" s="19">
        <f>IF($B4428="","",TEXT($B4428,"0000"))</f>
        <v/>
      </c>
      <c r="W4428" s="19">
        <f>IF($I4428="","",IF(ISNUMBER($I4428),TEXT($I4428,"0"),$I4428))</f>
        <v/>
      </c>
    </row>
    <row r="4429">
      <c r="B4429" s="25" t="n"/>
      <c r="I4429" s="25" t="n"/>
      <c r="U4429" s="19">
        <f>IF($V4429&lt;&gt;'設定'!$C$4,N(U4428),IF(OR(NOT(COUNTIF('商品マスタ'!$B$6:$B$1005,$W4429)=0),COUNTIFS('①在庫を貼る'!$V$6:$V$10005,$V4429,'①在庫を貼る'!$W$6:$W$10005,$W4429)+COUNTIFS('月1回_1ヶ月前の在庫'!$V$6:$V$10005,$V4429,'月1回_1ヶ月前の在庫'!$W$6:$W$10005,$W4429)&gt;0),N(U4428),N(U4428)+1))</f>
        <v/>
      </c>
      <c r="V4429" s="19">
        <f>IF($B4429="","",TEXT($B4429,"0000"))</f>
        <v/>
      </c>
      <c r="W4429" s="19">
        <f>IF($I4429="","",IF(ISNUMBER($I4429),TEXT($I4429,"0"),$I4429))</f>
        <v/>
      </c>
    </row>
    <row r="4430">
      <c r="B4430" s="25" t="n"/>
      <c r="I4430" s="25" t="n"/>
      <c r="U4430" s="19">
        <f>IF($V4430&lt;&gt;'設定'!$C$4,N(U4429),IF(OR(NOT(COUNTIF('商品マスタ'!$B$6:$B$1005,$W4430)=0),COUNTIFS('①在庫を貼る'!$V$6:$V$10005,$V4430,'①在庫を貼る'!$W$6:$W$10005,$W4430)+COUNTIFS('月1回_1ヶ月前の在庫'!$V$6:$V$10005,$V4430,'月1回_1ヶ月前の在庫'!$W$6:$W$10005,$W4430)&gt;0),N(U4429),N(U4429)+1))</f>
        <v/>
      </c>
      <c r="V4430" s="19">
        <f>IF($B4430="","",TEXT($B4430,"0000"))</f>
        <v/>
      </c>
      <c r="W4430" s="19">
        <f>IF($I4430="","",IF(ISNUMBER($I4430),TEXT($I4430,"0"),$I4430))</f>
        <v/>
      </c>
    </row>
    <row r="4431">
      <c r="B4431" s="25" t="n"/>
      <c r="I4431" s="25" t="n"/>
      <c r="U4431" s="19">
        <f>IF($V4431&lt;&gt;'設定'!$C$4,N(U4430),IF(OR(NOT(COUNTIF('商品マスタ'!$B$6:$B$1005,$W4431)=0),COUNTIFS('①在庫を貼る'!$V$6:$V$10005,$V4431,'①在庫を貼る'!$W$6:$W$10005,$W4431)+COUNTIFS('月1回_1ヶ月前の在庫'!$V$6:$V$10005,$V4431,'月1回_1ヶ月前の在庫'!$W$6:$W$10005,$W4431)&gt;0),N(U4430),N(U4430)+1))</f>
        <v/>
      </c>
      <c r="V4431" s="19">
        <f>IF($B4431="","",TEXT($B4431,"0000"))</f>
        <v/>
      </c>
      <c r="W4431" s="19">
        <f>IF($I4431="","",IF(ISNUMBER($I4431),TEXT($I4431,"0"),$I4431))</f>
        <v/>
      </c>
    </row>
    <row r="4432">
      <c r="B4432" s="25" t="n"/>
      <c r="I4432" s="25" t="n"/>
      <c r="U4432" s="19">
        <f>IF($V4432&lt;&gt;'設定'!$C$4,N(U4431),IF(OR(NOT(COUNTIF('商品マスタ'!$B$6:$B$1005,$W4432)=0),COUNTIFS('①在庫を貼る'!$V$6:$V$10005,$V4432,'①在庫を貼る'!$W$6:$W$10005,$W4432)+COUNTIFS('月1回_1ヶ月前の在庫'!$V$6:$V$10005,$V4432,'月1回_1ヶ月前の在庫'!$W$6:$W$10005,$W4432)&gt;0),N(U4431),N(U4431)+1))</f>
        <v/>
      </c>
      <c r="V4432" s="19">
        <f>IF($B4432="","",TEXT($B4432,"0000"))</f>
        <v/>
      </c>
      <c r="W4432" s="19">
        <f>IF($I4432="","",IF(ISNUMBER($I4432),TEXT($I4432,"0"),$I4432))</f>
        <v/>
      </c>
    </row>
    <row r="4433">
      <c r="B4433" s="25" t="n"/>
      <c r="I4433" s="25" t="n"/>
      <c r="U4433" s="19">
        <f>IF($V4433&lt;&gt;'設定'!$C$4,N(U4432),IF(OR(NOT(COUNTIF('商品マスタ'!$B$6:$B$1005,$W4433)=0),COUNTIFS('①在庫を貼る'!$V$6:$V$10005,$V4433,'①在庫を貼る'!$W$6:$W$10005,$W4433)+COUNTIFS('月1回_1ヶ月前の在庫'!$V$6:$V$10005,$V4433,'月1回_1ヶ月前の在庫'!$W$6:$W$10005,$W4433)&gt;0),N(U4432),N(U4432)+1))</f>
        <v/>
      </c>
      <c r="V4433" s="19">
        <f>IF($B4433="","",TEXT($B4433,"0000"))</f>
        <v/>
      </c>
      <c r="W4433" s="19">
        <f>IF($I4433="","",IF(ISNUMBER($I4433),TEXT($I4433,"0"),$I4433))</f>
        <v/>
      </c>
    </row>
    <row r="4434">
      <c r="B4434" s="25" t="n"/>
      <c r="I4434" s="25" t="n"/>
      <c r="U4434" s="19">
        <f>IF($V4434&lt;&gt;'設定'!$C$4,N(U4433),IF(OR(NOT(COUNTIF('商品マスタ'!$B$6:$B$1005,$W4434)=0),COUNTIFS('①在庫を貼る'!$V$6:$V$10005,$V4434,'①在庫を貼る'!$W$6:$W$10005,$W4434)+COUNTIFS('月1回_1ヶ月前の在庫'!$V$6:$V$10005,$V4434,'月1回_1ヶ月前の在庫'!$W$6:$W$10005,$W4434)&gt;0),N(U4433),N(U4433)+1))</f>
        <v/>
      </c>
      <c r="V4434" s="19">
        <f>IF($B4434="","",TEXT($B4434,"0000"))</f>
        <v/>
      </c>
      <c r="W4434" s="19">
        <f>IF($I4434="","",IF(ISNUMBER($I4434),TEXT($I4434,"0"),$I4434))</f>
        <v/>
      </c>
    </row>
    <row r="4435">
      <c r="B4435" s="25" t="n"/>
      <c r="I4435" s="25" t="n"/>
      <c r="U4435" s="19">
        <f>IF($V4435&lt;&gt;'設定'!$C$4,N(U4434),IF(OR(NOT(COUNTIF('商品マスタ'!$B$6:$B$1005,$W4435)=0),COUNTIFS('①在庫を貼る'!$V$6:$V$10005,$V4435,'①在庫を貼る'!$W$6:$W$10005,$W4435)+COUNTIFS('月1回_1ヶ月前の在庫'!$V$6:$V$10005,$V4435,'月1回_1ヶ月前の在庫'!$W$6:$W$10005,$W4435)&gt;0),N(U4434),N(U4434)+1))</f>
        <v/>
      </c>
      <c r="V4435" s="19">
        <f>IF($B4435="","",TEXT($B4435,"0000"))</f>
        <v/>
      </c>
      <c r="W4435" s="19">
        <f>IF($I4435="","",IF(ISNUMBER($I4435),TEXT($I4435,"0"),$I4435))</f>
        <v/>
      </c>
    </row>
    <row r="4436">
      <c r="B4436" s="25" t="n"/>
      <c r="I4436" s="25" t="n"/>
      <c r="U4436" s="19">
        <f>IF($V4436&lt;&gt;'設定'!$C$4,N(U4435),IF(OR(NOT(COUNTIF('商品マスタ'!$B$6:$B$1005,$W4436)=0),COUNTIFS('①在庫を貼る'!$V$6:$V$10005,$V4436,'①在庫を貼る'!$W$6:$W$10005,$W4436)+COUNTIFS('月1回_1ヶ月前の在庫'!$V$6:$V$10005,$V4436,'月1回_1ヶ月前の在庫'!$W$6:$W$10005,$W4436)&gt;0),N(U4435),N(U4435)+1))</f>
        <v/>
      </c>
      <c r="V4436" s="19">
        <f>IF($B4436="","",TEXT($B4436,"0000"))</f>
        <v/>
      </c>
      <c r="W4436" s="19">
        <f>IF($I4436="","",IF(ISNUMBER($I4436),TEXT($I4436,"0"),$I4436))</f>
        <v/>
      </c>
    </row>
    <row r="4437">
      <c r="B4437" s="25" t="n"/>
      <c r="I4437" s="25" t="n"/>
      <c r="U4437" s="19">
        <f>IF($V4437&lt;&gt;'設定'!$C$4,N(U4436),IF(OR(NOT(COUNTIF('商品マスタ'!$B$6:$B$1005,$W4437)=0),COUNTIFS('①在庫を貼る'!$V$6:$V$10005,$V4437,'①在庫を貼る'!$W$6:$W$10005,$W4437)+COUNTIFS('月1回_1ヶ月前の在庫'!$V$6:$V$10005,$V4437,'月1回_1ヶ月前の在庫'!$W$6:$W$10005,$W4437)&gt;0),N(U4436),N(U4436)+1))</f>
        <v/>
      </c>
      <c r="V4437" s="19">
        <f>IF($B4437="","",TEXT($B4437,"0000"))</f>
        <v/>
      </c>
      <c r="W4437" s="19">
        <f>IF($I4437="","",IF(ISNUMBER($I4437),TEXT($I4437,"0"),$I4437))</f>
        <v/>
      </c>
    </row>
    <row r="4438">
      <c r="B4438" s="25" t="n"/>
      <c r="I4438" s="25" t="n"/>
      <c r="U4438" s="19">
        <f>IF($V4438&lt;&gt;'設定'!$C$4,N(U4437),IF(OR(NOT(COUNTIF('商品マスタ'!$B$6:$B$1005,$W4438)=0),COUNTIFS('①在庫を貼る'!$V$6:$V$10005,$V4438,'①在庫を貼る'!$W$6:$W$10005,$W4438)+COUNTIFS('月1回_1ヶ月前の在庫'!$V$6:$V$10005,$V4438,'月1回_1ヶ月前の在庫'!$W$6:$W$10005,$W4438)&gt;0),N(U4437),N(U4437)+1))</f>
        <v/>
      </c>
      <c r="V4438" s="19">
        <f>IF($B4438="","",TEXT($B4438,"0000"))</f>
        <v/>
      </c>
      <c r="W4438" s="19">
        <f>IF($I4438="","",IF(ISNUMBER($I4438),TEXT($I4438,"0"),$I4438))</f>
        <v/>
      </c>
    </row>
    <row r="4439">
      <c r="B4439" s="25" t="n"/>
      <c r="I4439" s="25" t="n"/>
      <c r="U4439" s="19">
        <f>IF($V4439&lt;&gt;'設定'!$C$4,N(U4438),IF(OR(NOT(COUNTIF('商品マスタ'!$B$6:$B$1005,$W4439)=0),COUNTIFS('①在庫を貼る'!$V$6:$V$10005,$V4439,'①在庫を貼る'!$W$6:$W$10005,$W4439)+COUNTIFS('月1回_1ヶ月前の在庫'!$V$6:$V$10005,$V4439,'月1回_1ヶ月前の在庫'!$W$6:$W$10005,$W4439)&gt;0),N(U4438),N(U4438)+1))</f>
        <v/>
      </c>
      <c r="V4439" s="19">
        <f>IF($B4439="","",TEXT($B4439,"0000"))</f>
        <v/>
      </c>
      <c r="W4439" s="19">
        <f>IF($I4439="","",IF(ISNUMBER($I4439),TEXT($I4439,"0"),$I4439))</f>
        <v/>
      </c>
    </row>
    <row r="4440">
      <c r="B4440" s="25" t="n"/>
      <c r="I4440" s="25" t="n"/>
      <c r="U4440" s="19">
        <f>IF($V4440&lt;&gt;'設定'!$C$4,N(U4439),IF(OR(NOT(COUNTIF('商品マスタ'!$B$6:$B$1005,$W4440)=0),COUNTIFS('①在庫を貼る'!$V$6:$V$10005,$V4440,'①在庫を貼る'!$W$6:$W$10005,$W4440)+COUNTIFS('月1回_1ヶ月前の在庫'!$V$6:$V$10005,$V4440,'月1回_1ヶ月前の在庫'!$W$6:$W$10005,$W4440)&gt;0),N(U4439),N(U4439)+1))</f>
        <v/>
      </c>
      <c r="V4440" s="19">
        <f>IF($B4440="","",TEXT($B4440,"0000"))</f>
        <v/>
      </c>
      <c r="W4440" s="19">
        <f>IF($I4440="","",IF(ISNUMBER($I4440),TEXT($I4440,"0"),$I4440))</f>
        <v/>
      </c>
    </row>
    <row r="4441">
      <c r="B4441" s="25" t="n"/>
      <c r="I4441" s="25" t="n"/>
      <c r="U4441" s="19">
        <f>IF($V4441&lt;&gt;'設定'!$C$4,N(U4440),IF(OR(NOT(COUNTIF('商品マスタ'!$B$6:$B$1005,$W4441)=0),COUNTIFS('①在庫を貼る'!$V$6:$V$10005,$V4441,'①在庫を貼る'!$W$6:$W$10005,$W4441)+COUNTIFS('月1回_1ヶ月前の在庫'!$V$6:$V$10005,$V4441,'月1回_1ヶ月前の在庫'!$W$6:$W$10005,$W4441)&gt;0),N(U4440),N(U4440)+1))</f>
        <v/>
      </c>
      <c r="V4441" s="19">
        <f>IF($B4441="","",TEXT($B4441,"0000"))</f>
        <v/>
      </c>
      <c r="W4441" s="19">
        <f>IF($I4441="","",IF(ISNUMBER($I4441),TEXT($I4441,"0"),$I4441))</f>
        <v/>
      </c>
    </row>
    <row r="4442">
      <c r="B4442" s="25" t="n"/>
      <c r="I4442" s="25" t="n"/>
      <c r="U4442" s="19">
        <f>IF($V4442&lt;&gt;'設定'!$C$4,N(U4441),IF(OR(NOT(COUNTIF('商品マスタ'!$B$6:$B$1005,$W4442)=0),COUNTIFS('①在庫を貼る'!$V$6:$V$10005,$V4442,'①在庫を貼る'!$W$6:$W$10005,$W4442)+COUNTIFS('月1回_1ヶ月前の在庫'!$V$6:$V$10005,$V4442,'月1回_1ヶ月前の在庫'!$W$6:$W$10005,$W4442)&gt;0),N(U4441),N(U4441)+1))</f>
        <v/>
      </c>
      <c r="V4442" s="19">
        <f>IF($B4442="","",TEXT($B4442,"0000"))</f>
        <v/>
      </c>
      <c r="W4442" s="19">
        <f>IF($I4442="","",IF(ISNUMBER($I4442),TEXT($I4442,"0"),$I4442))</f>
        <v/>
      </c>
    </row>
    <row r="4443">
      <c r="B4443" s="25" t="n"/>
      <c r="I4443" s="25" t="n"/>
      <c r="U4443" s="19">
        <f>IF($V4443&lt;&gt;'設定'!$C$4,N(U4442),IF(OR(NOT(COUNTIF('商品マスタ'!$B$6:$B$1005,$W4443)=0),COUNTIFS('①在庫を貼る'!$V$6:$V$10005,$V4443,'①在庫を貼る'!$W$6:$W$10005,$W4443)+COUNTIFS('月1回_1ヶ月前の在庫'!$V$6:$V$10005,$V4443,'月1回_1ヶ月前の在庫'!$W$6:$W$10005,$W4443)&gt;0),N(U4442),N(U4442)+1))</f>
        <v/>
      </c>
      <c r="V4443" s="19">
        <f>IF($B4443="","",TEXT($B4443,"0000"))</f>
        <v/>
      </c>
      <c r="W4443" s="19">
        <f>IF($I4443="","",IF(ISNUMBER($I4443),TEXT($I4443,"0"),$I4443))</f>
        <v/>
      </c>
    </row>
    <row r="4444">
      <c r="B4444" s="25" t="n"/>
      <c r="I4444" s="25" t="n"/>
      <c r="U4444" s="19">
        <f>IF($V4444&lt;&gt;'設定'!$C$4,N(U4443),IF(OR(NOT(COUNTIF('商品マスタ'!$B$6:$B$1005,$W4444)=0),COUNTIFS('①在庫を貼る'!$V$6:$V$10005,$V4444,'①在庫を貼る'!$W$6:$W$10005,$W4444)+COUNTIFS('月1回_1ヶ月前の在庫'!$V$6:$V$10005,$V4444,'月1回_1ヶ月前の在庫'!$W$6:$W$10005,$W4444)&gt;0),N(U4443),N(U4443)+1))</f>
        <v/>
      </c>
      <c r="V4444" s="19">
        <f>IF($B4444="","",TEXT($B4444,"0000"))</f>
        <v/>
      </c>
      <c r="W4444" s="19">
        <f>IF($I4444="","",IF(ISNUMBER($I4444),TEXT($I4444,"0"),$I4444))</f>
        <v/>
      </c>
    </row>
    <row r="4445">
      <c r="B4445" s="25" t="n"/>
      <c r="I4445" s="25" t="n"/>
      <c r="U4445" s="19">
        <f>IF($V4445&lt;&gt;'設定'!$C$4,N(U4444),IF(OR(NOT(COUNTIF('商品マスタ'!$B$6:$B$1005,$W4445)=0),COUNTIFS('①在庫を貼る'!$V$6:$V$10005,$V4445,'①在庫を貼る'!$W$6:$W$10005,$W4445)+COUNTIFS('月1回_1ヶ月前の在庫'!$V$6:$V$10005,$V4445,'月1回_1ヶ月前の在庫'!$W$6:$W$10005,$W4445)&gt;0),N(U4444),N(U4444)+1))</f>
        <v/>
      </c>
      <c r="V4445" s="19">
        <f>IF($B4445="","",TEXT($B4445,"0000"))</f>
        <v/>
      </c>
      <c r="W4445" s="19">
        <f>IF($I4445="","",IF(ISNUMBER($I4445),TEXT($I4445,"0"),$I4445))</f>
        <v/>
      </c>
    </row>
    <row r="4446">
      <c r="B4446" s="25" t="n"/>
      <c r="I4446" s="25" t="n"/>
      <c r="U4446" s="19">
        <f>IF($V4446&lt;&gt;'設定'!$C$4,N(U4445),IF(OR(NOT(COUNTIF('商品マスタ'!$B$6:$B$1005,$W4446)=0),COUNTIFS('①在庫を貼る'!$V$6:$V$10005,$V4446,'①在庫を貼る'!$W$6:$W$10005,$W4446)+COUNTIFS('月1回_1ヶ月前の在庫'!$V$6:$V$10005,$V4446,'月1回_1ヶ月前の在庫'!$W$6:$W$10005,$W4446)&gt;0),N(U4445),N(U4445)+1))</f>
        <v/>
      </c>
      <c r="V4446" s="19">
        <f>IF($B4446="","",TEXT($B4446,"0000"))</f>
        <v/>
      </c>
      <c r="W4446" s="19">
        <f>IF($I4446="","",IF(ISNUMBER($I4446),TEXT($I4446,"0"),$I4446))</f>
        <v/>
      </c>
    </row>
    <row r="4447">
      <c r="B4447" s="25" t="n"/>
      <c r="I4447" s="25" t="n"/>
      <c r="U4447" s="19">
        <f>IF($V4447&lt;&gt;'設定'!$C$4,N(U4446),IF(OR(NOT(COUNTIF('商品マスタ'!$B$6:$B$1005,$W4447)=0),COUNTIFS('①在庫を貼る'!$V$6:$V$10005,$V4447,'①在庫を貼る'!$W$6:$W$10005,$W4447)+COUNTIFS('月1回_1ヶ月前の在庫'!$V$6:$V$10005,$V4447,'月1回_1ヶ月前の在庫'!$W$6:$W$10005,$W4447)&gt;0),N(U4446),N(U4446)+1))</f>
        <v/>
      </c>
      <c r="V4447" s="19">
        <f>IF($B4447="","",TEXT($B4447,"0000"))</f>
        <v/>
      </c>
      <c r="W4447" s="19">
        <f>IF($I4447="","",IF(ISNUMBER($I4447),TEXT($I4447,"0"),$I4447))</f>
        <v/>
      </c>
    </row>
    <row r="4448">
      <c r="B4448" s="25" t="n"/>
      <c r="I4448" s="25" t="n"/>
      <c r="U4448" s="19">
        <f>IF($V4448&lt;&gt;'設定'!$C$4,N(U4447),IF(OR(NOT(COUNTIF('商品マスタ'!$B$6:$B$1005,$W4448)=0),COUNTIFS('①在庫を貼る'!$V$6:$V$10005,$V4448,'①在庫を貼る'!$W$6:$W$10005,$W4448)+COUNTIFS('月1回_1ヶ月前の在庫'!$V$6:$V$10005,$V4448,'月1回_1ヶ月前の在庫'!$W$6:$W$10005,$W4448)&gt;0),N(U4447),N(U4447)+1))</f>
        <v/>
      </c>
      <c r="V4448" s="19">
        <f>IF($B4448="","",TEXT($B4448,"0000"))</f>
        <v/>
      </c>
      <c r="W4448" s="19">
        <f>IF($I4448="","",IF(ISNUMBER($I4448),TEXT($I4448,"0"),$I4448))</f>
        <v/>
      </c>
    </row>
    <row r="4449">
      <c r="B4449" s="25" t="n"/>
      <c r="I4449" s="25" t="n"/>
      <c r="U4449" s="19">
        <f>IF($V4449&lt;&gt;'設定'!$C$4,N(U4448),IF(OR(NOT(COUNTIF('商品マスタ'!$B$6:$B$1005,$W4449)=0),COUNTIFS('①在庫を貼る'!$V$6:$V$10005,$V4449,'①在庫を貼る'!$W$6:$W$10005,$W4449)+COUNTIFS('月1回_1ヶ月前の在庫'!$V$6:$V$10005,$V4449,'月1回_1ヶ月前の在庫'!$W$6:$W$10005,$W4449)&gt;0),N(U4448),N(U4448)+1))</f>
        <v/>
      </c>
      <c r="V4449" s="19">
        <f>IF($B4449="","",TEXT($B4449,"0000"))</f>
        <v/>
      </c>
      <c r="W4449" s="19">
        <f>IF($I4449="","",IF(ISNUMBER($I4449),TEXT($I4449,"0"),$I4449))</f>
        <v/>
      </c>
    </row>
    <row r="4450">
      <c r="B4450" s="25" t="n"/>
      <c r="I4450" s="25" t="n"/>
      <c r="U4450" s="19">
        <f>IF($V4450&lt;&gt;'設定'!$C$4,N(U4449),IF(OR(NOT(COUNTIF('商品マスタ'!$B$6:$B$1005,$W4450)=0),COUNTIFS('①在庫を貼る'!$V$6:$V$10005,$V4450,'①在庫を貼る'!$W$6:$W$10005,$W4450)+COUNTIFS('月1回_1ヶ月前の在庫'!$V$6:$V$10005,$V4450,'月1回_1ヶ月前の在庫'!$W$6:$W$10005,$W4450)&gt;0),N(U4449),N(U4449)+1))</f>
        <v/>
      </c>
      <c r="V4450" s="19">
        <f>IF($B4450="","",TEXT($B4450,"0000"))</f>
        <v/>
      </c>
      <c r="W4450" s="19">
        <f>IF($I4450="","",IF(ISNUMBER($I4450),TEXT($I4450,"0"),$I4450))</f>
        <v/>
      </c>
    </row>
    <row r="4451">
      <c r="B4451" s="25" t="n"/>
      <c r="I4451" s="25" t="n"/>
      <c r="U4451" s="19">
        <f>IF($V4451&lt;&gt;'設定'!$C$4,N(U4450),IF(OR(NOT(COUNTIF('商品マスタ'!$B$6:$B$1005,$W4451)=0),COUNTIFS('①在庫を貼る'!$V$6:$V$10005,$V4451,'①在庫を貼る'!$W$6:$W$10005,$W4451)+COUNTIFS('月1回_1ヶ月前の在庫'!$V$6:$V$10005,$V4451,'月1回_1ヶ月前の在庫'!$W$6:$W$10005,$W4451)&gt;0),N(U4450),N(U4450)+1))</f>
        <v/>
      </c>
      <c r="V4451" s="19">
        <f>IF($B4451="","",TEXT($B4451,"0000"))</f>
        <v/>
      </c>
      <c r="W4451" s="19">
        <f>IF($I4451="","",IF(ISNUMBER($I4451),TEXT($I4451,"0"),$I4451))</f>
        <v/>
      </c>
    </row>
    <row r="4452">
      <c r="B4452" s="25" t="n"/>
      <c r="I4452" s="25" t="n"/>
      <c r="U4452" s="19">
        <f>IF($V4452&lt;&gt;'設定'!$C$4,N(U4451),IF(OR(NOT(COUNTIF('商品マスタ'!$B$6:$B$1005,$W4452)=0),COUNTIFS('①在庫を貼る'!$V$6:$V$10005,$V4452,'①在庫を貼る'!$W$6:$W$10005,$W4452)+COUNTIFS('月1回_1ヶ月前の在庫'!$V$6:$V$10005,$V4452,'月1回_1ヶ月前の在庫'!$W$6:$W$10005,$W4452)&gt;0),N(U4451),N(U4451)+1))</f>
        <v/>
      </c>
      <c r="V4452" s="19">
        <f>IF($B4452="","",TEXT($B4452,"0000"))</f>
        <v/>
      </c>
      <c r="W4452" s="19">
        <f>IF($I4452="","",IF(ISNUMBER($I4452),TEXT($I4452,"0"),$I4452))</f>
        <v/>
      </c>
    </row>
    <row r="4453">
      <c r="B4453" s="25" t="n"/>
      <c r="I4453" s="25" t="n"/>
      <c r="U4453" s="19">
        <f>IF($V4453&lt;&gt;'設定'!$C$4,N(U4452),IF(OR(NOT(COUNTIF('商品マスタ'!$B$6:$B$1005,$W4453)=0),COUNTIFS('①在庫を貼る'!$V$6:$V$10005,$V4453,'①在庫を貼る'!$W$6:$W$10005,$W4453)+COUNTIFS('月1回_1ヶ月前の在庫'!$V$6:$V$10005,$V4453,'月1回_1ヶ月前の在庫'!$W$6:$W$10005,$W4453)&gt;0),N(U4452),N(U4452)+1))</f>
        <v/>
      </c>
      <c r="V4453" s="19">
        <f>IF($B4453="","",TEXT($B4453,"0000"))</f>
        <v/>
      </c>
      <c r="W4453" s="19">
        <f>IF($I4453="","",IF(ISNUMBER($I4453),TEXT($I4453,"0"),$I4453))</f>
        <v/>
      </c>
    </row>
    <row r="4454">
      <c r="B4454" s="25" t="n"/>
      <c r="I4454" s="25" t="n"/>
      <c r="U4454" s="19">
        <f>IF($V4454&lt;&gt;'設定'!$C$4,N(U4453),IF(OR(NOT(COUNTIF('商品マスタ'!$B$6:$B$1005,$W4454)=0),COUNTIFS('①在庫を貼る'!$V$6:$V$10005,$V4454,'①在庫を貼る'!$W$6:$W$10005,$W4454)+COUNTIFS('月1回_1ヶ月前の在庫'!$V$6:$V$10005,$V4454,'月1回_1ヶ月前の在庫'!$W$6:$W$10005,$W4454)&gt;0),N(U4453),N(U4453)+1))</f>
        <v/>
      </c>
      <c r="V4454" s="19">
        <f>IF($B4454="","",TEXT($B4454,"0000"))</f>
        <v/>
      </c>
      <c r="W4454" s="19">
        <f>IF($I4454="","",IF(ISNUMBER($I4454),TEXT($I4454,"0"),$I4454))</f>
        <v/>
      </c>
    </row>
    <row r="4455">
      <c r="B4455" s="25" t="n"/>
      <c r="I4455" s="25" t="n"/>
      <c r="U4455" s="19">
        <f>IF($V4455&lt;&gt;'設定'!$C$4,N(U4454),IF(OR(NOT(COUNTIF('商品マスタ'!$B$6:$B$1005,$W4455)=0),COUNTIFS('①在庫を貼る'!$V$6:$V$10005,$V4455,'①在庫を貼る'!$W$6:$W$10005,$W4455)+COUNTIFS('月1回_1ヶ月前の在庫'!$V$6:$V$10005,$V4455,'月1回_1ヶ月前の在庫'!$W$6:$W$10005,$W4455)&gt;0),N(U4454),N(U4454)+1))</f>
        <v/>
      </c>
      <c r="V4455" s="19">
        <f>IF($B4455="","",TEXT($B4455,"0000"))</f>
        <v/>
      </c>
      <c r="W4455" s="19">
        <f>IF($I4455="","",IF(ISNUMBER($I4455),TEXT($I4455,"0"),$I4455))</f>
        <v/>
      </c>
    </row>
    <row r="4456">
      <c r="B4456" s="25" t="n"/>
      <c r="I4456" s="25" t="n"/>
      <c r="U4456" s="19">
        <f>IF($V4456&lt;&gt;'設定'!$C$4,N(U4455),IF(OR(NOT(COUNTIF('商品マスタ'!$B$6:$B$1005,$W4456)=0),COUNTIFS('①在庫を貼る'!$V$6:$V$10005,$V4456,'①在庫を貼る'!$W$6:$W$10005,$W4456)+COUNTIFS('月1回_1ヶ月前の在庫'!$V$6:$V$10005,$V4456,'月1回_1ヶ月前の在庫'!$W$6:$W$10005,$W4456)&gt;0),N(U4455),N(U4455)+1))</f>
        <v/>
      </c>
      <c r="V4456" s="19">
        <f>IF($B4456="","",TEXT($B4456,"0000"))</f>
        <v/>
      </c>
      <c r="W4456" s="19">
        <f>IF($I4456="","",IF(ISNUMBER($I4456),TEXT($I4456,"0"),$I4456))</f>
        <v/>
      </c>
    </row>
    <row r="4457">
      <c r="B4457" s="25" t="n"/>
      <c r="I4457" s="25" t="n"/>
      <c r="U4457" s="19">
        <f>IF($V4457&lt;&gt;'設定'!$C$4,N(U4456),IF(OR(NOT(COUNTIF('商品マスタ'!$B$6:$B$1005,$W4457)=0),COUNTIFS('①在庫を貼る'!$V$6:$V$10005,$V4457,'①在庫を貼る'!$W$6:$W$10005,$W4457)+COUNTIFS('月1回_1ヶ月前の在庫'!$V$6:$V$10005,$V4457,'月1回_1ヶ月前の在庫'!$W$6:$W$10005,$W4457)&gt;0),N(U4456),N(U4456)+1))</f>
        <v/>
      </c>
      <c r="V4457" s="19">
        <f>IF($B4457="","",TEXT($B4457,"0000"))</f>
        <v/>
      </c>
      <c r="W4457" s="19">
        <f>IF($I4457="","",IF(ISNUMBER($I4457),TEXT($I4457,"0"),$I4457))</f>
        <v/>
      </c>
    </row>
    <row r="4458">
      <c r="B4458" s="25" t="n"/>
      <c r="I4458" s="25" t="n"/>
      <c r="U4458" s="19">
        <f>IF($V4458&lt;&gt;'設定'!$C$4,N(U4457),IF(OR(NOT(COUNTIF('商品マスタ'!$B$6:$B$1005,$W4458)=0),COUNTIFS('①在庫を貼る'!$V$6:$V$10005,$V4458,'①在庫を貼る'!$W$6:$W$10005,$W4458)+COUNTIFS('月1回_1ヶ月前の在庫'!$V$6:$V$10005,$V4458,'月1回_1ヶ月前の在庫'!$W$6:$W$10005,$W4458)&gt;0),N(U4457),N(U4457)+1))</f>
        <v/>
      </c>
      <c r="V4458" s="19">
        <f>IF($B4458="","",TEXT($B4458,"0000"))</f>
        <v/>
      </c>
      <c r="W4458" s="19">
        <f>IF($I4458="","",IF(ISNUMBER($I4458),TEXT($I4458,"0"),$I4458))</f>
        <v/>
      </c>
    </row>
    <row r="4459">
      <c r="B4459" s="25" t="n"/>
      <c r="I4459" s="25" t="n"/>
      <c r="U4459" s="19">
        <f>IF($V4459&lt;&gt;'設定'!$C$4,N(U4458),IF(OR(NOT(COUNTIF('商品マスタ'!$B$6:$B$1005,$W4459)=0),COUNTIFS('①在庫を貼る'!$V$6:$V$10005,$V4459,'①在庫を貼る'!$W$6:$W$10005,$W4459)+COUNTIFS('月1回_1ヶ月前の在庫'!$V$6:$V$10005,$V4459,'月1回_1ヶ月前の在庫'!$W$6:$W$10005,$W4459)&gt;0),N(U4458),N(U4458)+1))</f>
        <v/>
      </c>
      <c r="V4459" s="19">
        <f>IF($B4459="","",TEXT($B4459,"0000"))</f>
        <v/>
      </c>
      <c r="W4459" s="19">
        <f>IF($I4459="","",IF(ISNUMBER($I4459),TEXT($I4459,"0"),$I4459))</f>
        <v/>
      </c>
    </row>
    <row r="4460">
      <c r="B4460" s="25" t="n"/>
      <c r="I4460" s="25" t="n"/>
      <c r="U4460" s="19">
        <f>IF($V4460&lt;&gt;'設定'!$C$4,N(U4459),IF(OR(NOT(COUNTIF('商品マスタ'!$B$6:$B$1005,$W4460)=0),COUNTIFS('①在庫を貼る'!$V$6:$V$10005,$V4460,'①在庫を貼る'!$W$6:$W$10005,$W4460)+COUNTIFS('月1回_1ヶ月前の在庫'!$V$6:$V$10005,$V4460,'月1回_1ヶ月前の在庫'!$W$6:$W$10005,$W4460)&gt;0),N(U4459),N(U4459)+1))</f>
        <v/>
      </c>
      <c r="V4460" s="19">
        <f>IF($B4460="","",TEXT($B4460,"0000"))</f>
        <v/>
      </c>
      <c r="W4460" s="19">
        <f>IF($I4460="","",IF(ISNUMBER($I4460),TEXT($I4460,"0"),$I4460))</f>
        <v/>
      </c>
    </row>
    <row r="4461">
      <c r="B4461" s="25" t="n"/>
      <c r="I4461" s="25" t="n"/>
      <c r="U4461" s="19">
        <f>IF($V4461&lt;&gt;'設定'!$C$4,N(U4460),IF(OR(NOT(COUNTIF('商品マスタ'!$B$6:$B$1005,$W4461)=0),COUNTIFS('①在庫を貼る'!$V$6:$V$10005,$V4461,'①在庫を貼る'!$W$6:$W$10005,$W4461)+COUNTIFS('月1回_1ヶ月前の在庫'!$V$6:$V$10005,$V4461,'月1回_1ヶ月前の在庫'!$W$6:$W$10005,$W4461)&gt;0),N(U4460),N(U4460)+1))</f>
        <v/>
      </c>
      <c r="V4461" s="19">
        <f>IF($B4461="","",TEXT($B4461,"0000"))</f>
        <v/>
      </c>
      <c r="W4461" s="19">
        <f>IF($I4461="","",IF(ISNUMBER($I4461),TEXT($I4461,"0"),$I4461))</f>
        <v/>
      </c>
    </row>
    <row r="4462">
      <c r="B4462" s="25" t="n"/>
      <c r="I4462" s="25" t="n"/>
      <c r="U4462" s="19">
        <f>IF($V4462&lt;&gt;'設定'!$C$4,N(U4461),IF(OR(NOT(COUNTIF('商品マスタ'!$B$6:$B$1005,$W4462)=0),COUNTIFS('①在庫を貼る'!$V$6:$V$10005,$V4462,'①在庫を貼る'!$W$6:$W$10005,$W4462)+COUNTIFS('月1回_1ヶ月前の在庫'!$V$6:$V$10005,$V4462,'月1回_1ヶ月前の在庫'!$W$6:$W$10005,$W4462)&gt;0),N(U4461),N(U4461)+1))</f>
        <v/>
      </c>
      <c r="V4462" s="19">
        <f>IF($B4462="","",TEXT($B4462,"0000"))</f>
        <v/>
      </c>
      <c r="W4462" s="19">
        <f>IF($I4462="","",IF(ISNUMBER($I4462),TEXT($I4462,"0"),$I4462))</f>
        <v/>
      </c>
    </row>
    <row r="4463">
      <c r="B4463" s="25" t="n"/>
      <c r="I4463" s="25" t="n"/>
      <c r="U4463" s="19">
        <f>IF($V4463&lt;&gt;'設定'!$C$4,N(U4462),IF(OR(NOT(COUNTIF('商品マスタ'!$B$6:$B$1005,$W4463)=0),COUNTIFS('①在庫を貼る'!$V$6:$V$10005,$V4463,'①在庫を貼る'!$W$6:$W$10005,$W4463)+COUNTIFS('月1回_1ヶ月前の在庫'!$V$6:$V$10005,$V4463,'月1回_1ヶ月前の在庫'!$W$6:$W$10005,$W4463)&gt;0),N(U4462),N(U4462)+1))</f>
        <v/>
      </c>
      <c r="V4463" s="19">
        <f>IF($B4463="","",TEXT($B4463,"0000"))</f>
        <v/>
      </c>
      <c r="W4463" s="19">
        <f>IF($I4463="","",IF(ISNUMBER($I4463),TEXT($I4463,"0"),$I4463))</f>
        <v/>
      </c>
    </row>
    <row r="4464">
      <c r="B4464" s="25" t="n"/>
      <c r="I4464" s="25" t="n"/>
      <c r="U4464" s="19">
        <f>IF($V4464&lt;&gt;'設定'!$C$4,N(U4463),IF(OR(NOT(COUNTIF('商品マスタ'!$B$6:$B$1005,$W4464)=0),COUNTIFS('①在庫を貼る'!$V$6:$V$10005,$V4464,'①在庫を貼る'!$W$6:$W$10005,$W4464)+COUNTIFS('月1回_1ヶ月前の在庫'!$V$6:$V$10005,$V4464,'月1回_1ヶ月前の在庫'!$W$6:$W$10005,$W4464)&gt;0),N(U4463),N(U4463)+1))</f>
        <v/>
      </c>
      <c r="V4464" s="19">
        <f>IF($B4464="","",TEXT($B4464,"0000"))</f>
        <v/>
      </c>
      <c r="W4464" s="19">
        <f>IF($I4464="","",IF(ISNUMBER($I4464),TEXT($I4464,"0"),$I4464))</f>
        <v/>
      </c>
    </row>
    <row r="4465">
      <c r="B4465" s="25" t="n"/>
      <c r="I4465" s="25" t="n"/>
      <c r="U4465" s="19">
        <f>IF($V4465&lt;&gt;'設定'!$C$4,N(U4464),IF(OR(NOT(COUNTIF('商品マスタ'!$B$6:$B$1005,$W4465)=0),COUNTIFS('①在庫を貼る'!$V$6:$V$10005,$V4465,'①在庫を貼る'!$W$6:$W$10005,$W4465)+COUNTIFS('月1回_1ヶ月前の在庫'!$V$6:$V$10005,$V4465,'月1回_1ヶ月前の在庫'!$W$6:$W$10005,$W4465)&gt;0),N(U4464),N(U4464)+1))</f>
        <v/>
      </c>
      <c r="V4465" s="19">
        <f>IF($B4465="","",TEXT($B4465,"0000"))</f>
        <v/>
      </c>
      <c r="W4465" s="19">
        <f>IF($I4465="","",IF(ISNUMBER($I4465),TEXT($I4465,"0"),$I4465))</f>
        <v/>
      </c>
    </row>
    <row r="4466">
      <c r="B4466" s="25" t="n"/>
      <c r="I4466" s="25" t="n"/>
      <c r="U4466" s="19">
        <f>IF($V4466&lt;&gt;'設定'!$C$4,N(U4465),IF(OR(NOT(COUNTIF('商品マスタ'!$B$6:$B$1005,$W4466)=0),COUNTIFS('①在庫を貼る'!$V$6:$V$10005,$V4466,'①在庫を貼る'!$W$6:$W$10005,$W4466)+COUNTIFS('月1回_1ヶ月前の在庫'!$V$6:$V$10005,$V4466,'月1回_1ヶ月前の在庫'!$W$6:$W$10005,$W4466)&gt;0),N(U4465),N(U4465)+1))</f>
        <v/>
      </c>
      <c r="V4466" s="19">
        <f>IF($B4466="","",TEXT($B4466,"0000"))</f>
        <v/>
      </c>
      <c r="W4466" s="19">
        <f>IF($I4466="","",IF(ISNUMBER($I4466),TEXT($I4466,"0"),$I4466))</f>
        <v/>
      </c>
    </row>
    <row r="4467">
      <c r="B4467" s="25" t="n"/>
      <c r="I4467" s="25" t="n"/>
      <c r="U4467" s="19">
        <f>IF($V4467&lt;&gt;'設定'!$C$4,N(U4466),IF(OR(NOT(COUNTIF('商品マスタ'!$B$6:$B$1005,$W4467)=0),COUNTIFS('①在庫を貼る'!$V$6:$V$10005,$V4467,'①在庫を貼る'!$W$6:$W$10005,$W4467)+COUNTIFS('月1回_1ヶ月前の在庫'!$V$6:$V$10005,$V4467,'月1回_1ヶ月前の在庫'!$W$6:$W$10005,$W4467)&gt;0),N(U4466),N(U4466)+1))</f>
        <v/>
      </c>
      <c r="V4467" s="19">
        <f>IF($B4467="","",TEXT($B4467,"0000"))</f>
        <v/>
      </c>
      <c r="W4467" s="19">
        <f>IF($I4467="","",IF(ISNUMBER($I4467),TEXT($I4467,"0"),$I4467))</f>
        <v/>
      </c>
    </row>
    <row r="4468">
      <c r="B4468" s="25" t="n"/>
      <c r="I4468" s="25" t="n"/>
      <c r="U4468" s="19">
        <f>IF($V4468&lt;&gt;'設定'!$C$4,N(U4467),IF(OR(NOT(COUNTIF('商品マスタ'!$B$6:$B$1005,$W4468)=0),COUNTIFS('①在庫を貼る'!$V$6:$V$10005,$V4468,'①在庫を貼る'!$W$6:$W$10005,$W4468)+COUNTIFS('月1回_1ヶ月前の在庫'!$V$6:$V$10005,$V4468,'月1回_1ヶ月前の在庫'!$W$6:$W$10005,$W4468)&gt;0),N(U4467),N(U4467)+1))</f>
        <v/>
      </c>
      <c r="V4468" s="19">
        <f>IF($B4468="","",TEXT($B4468,"0000"))</f>
        <v/>
      </c>
      <c r="W4468" s="19">
        <f>IF($I4468="","",IF(ISNUMBER($I4468),TEXT($I4468,"0"),$I4468))</f>
        <v/>
      </c>
    </row>
    <row r="4469">
      <c r="B4469" s="25" t="n"/>
      <c r="I4469" s="25" t="n"/>
      <c r="U4469" s="19">
        <f>IF($V4469&lt;&gt;'設定'!$C$4,N(U4468),IF(OR(NOT(COUNTIF('商品マスタ'!$B$6:$B$1005,$W4469)=0),COUNTIFS('①在庫を貼る'!$V$6:$V$10005,$V4469,'①在庫を貼る'!$W$6:$W$10005,$W4469)+COUNTIFS('月1回_1ヶ月前の在庫'!$V$6:$V$10005,$V4469,'月1回_1ヶ月前の在庫'!$W$6:$W$10005,$W4469)&gt;0),N(U4468),N(U4468)+1))</f>
        <v/>
      </c>
      <c r="V4469" s="19">
        <f>IF($B4469="","",TEXT($B4469,"0000"))</f>
        <v/>
      </c>
      <c r="W4469" s="19">
        <f>IF($I4469="","",IF(ISNUMBER($I4469),TEXT($I4469,"0"),$I4469))</f>
        <v/>
      </c>
    </row>
    <row r="4470">
      <c r="B4470" s="25" t="n"/>
      <c r="I4470" s="25" t="n"/>
      <c r="U4470" s="19">
        <f>IF($V4470&lt;&gt;'設定'!$C$4,N(U4469),IF(OR(NOT(COUNTIF('商品マスタ'!$B$6:$B$1005,$W4470)=0),COUNTIFS('①在庫を貼る'!$V$6:$V$10005,$V4470,'①在庫を貼る'!$W$6:$W$10005,$W4470)+COUNTIFS('月1回_1ヶ月前の在庫'!$V$6:$V$10005,$V4470,'月1回_1ヶ月前の在庫'!$W$6:$W$10005,$W4470)&gt;0),N(U4469),N(U4469)+1))</f>
        <v/>
      </c>
      <c r="V4470" s="19">
        <f>IF($B4470="","",TEXT($B4470,"0000"))</f>
        <v/>
      </c>
      <c r="W4470" s="19">
        <f>IF($I4470="","",IF(ISNUMBER($I4470),TEXT($I4470,"0"),$I4470))</f>
        <v/>
      </c>
    </row>
    <row r="4471">
      <c r="B4471" s="25" t="n"/>
      <c r="I4471" s="25" t="n"/>
      <c r="U4471" s="19">
        <f>IF($V4471&lt;&gt;'設定'!$C$4,N(U4470),IF(OR(NOT(COUNTIF('商品マスタ'!$B$6:$B$1005,$W4471)=0),COUNTIFS('①在庫を貼る'!$V$6:$V$10005,$V4471,'①在庫を貼る'!$W$6:$W$10005,$W4471)+COUNTIFS('月1回_1ヶ月前の在庫'!$V$6:$V$10005,$V4471,'月1回_1ヶ月前の在庫'!$W$6:$W$10005,$W4471)&gt;0),N(U4470),N(U4470)+1))</f>
        <v/>
      </c>
      <c r="V4471" s="19">
        <f>IF($B4471="","",TEXT($B4471,"0000"))</f>
        <v/>
      </c>
      <c r="W4471" s="19">
        <f>IF($I4471="","",IF(ISNUMBER($I4471),TEXT($I4471,"0"),$I4471))</f>
        <v/>
      </c>
    </row>
    <row r="4472">
      <c r="B4472" s="25" t="n"/>
      <c r="I4472" s="25" t="n"/>
      <c r="U4472" s="19">
        <f>IF($V4472&lt;&gt;'設定'!$C$4,N(U4471),IF(OR(NOT(COUNTIF('商品マスタ'!$B$6:$B$1005,$W4472)=0),COUNTIFS('①在庫を貼る'!$V$6:$V$10005,$V4472,'①在庫を貼る'!$W$6:$W$10005,$W4472)+COUNTIFS('月1回_1ヶ月前の在庫'!$V$6:$V$10005,$V4472,'月1回_1ヶ月前の在庫'!$W$6:$W$10005,$W4472)&gt;0),N(U4471),N(U4471)+1))</f>
        <v/>
      </c>
      <c r="V4472" s="19">
        <f>IF($B4472="","",TEXT($B4472,"0000"))</f>
        <v/>
      </c>
      <c r="W4472" s="19">
        <f>IF($I4472="","",IF(ISNUMBER($I4472),TEXT($I4472,"0"),$I4472))</f>
        <v/>
      </c>
    </row>
    <row r="4473">
      <c r="B4473" s="25" t="n"/>
      <c r="I4473" s="25" t="n"/>
      <c r="U4473" s="19">
        <f>IF($V4473&lt;&gt;'設定'!$C$4,N(U4472),IF(OR(NOT(COUNTIF('商品マスタ'!$B$6:$B$1005,$W4473)=0),COUNTIFS('①在庫を貼る'!$V$6:$V$10005,$V4473,'①在庫を貼る'!$W$6:$W$10005,$W4473)+COUNTIFS('月1回_1ヶ月前の在庫'!$V$6:$V$10005,$V4473,'月1回_1ヶ月前の在庫'!$W$6:$W$10005,$W4473)&gt;0),N(U4472),N(U4472)+1))</f>
        <v/>
      </c>
      <c r="V4473" s="19">
        <f>IF($B4473="","",TEXT($B4473,"0000"))</f>
        <v/>
      </c>
      <c r="W4473" s="19">
        <f>IF($I4473="","",IF(ISNUMBER($I4473),TEXT($I4473,"0"),$I4473))</f>
        <v/>
      </c>
    </row>
    <row r="4474">
      <c r="B4474" s="25" t="n"/>
      <c r="I4474" s="25" t="n"/>
      <c r="U4474" s="19">
        <f>IF($V4474&lt;&gt;'設定'!$C$4,N(U4473),IF(OR(NOT(COUNTIF('商品マスタ'!$B$6:$B$1005,$W4474)=0),COUNTIFS('①在庫を貼る'!$V$6:$V$10005,$V4474,'①在庫を貼る'!$W$6:$W$10005,$W4474)+COUNTIFS('月1回_1ヶ月前の在庫'!$V$6:$V$10005,$V4474,'月1回_1ヶ月前の在庫'!$W$6:$W$10005,$W4474)&gt;0),N(U4473),N(U4473)+1))</f>
        <v/>
      </c>
      <c r="V4474" s="19">
        <f>IF($B4474="","",TEXT($B4474,"0000"))</f>
        <v/>
      </c>
      <c r="W4474" s="19">
        <f>IF($I4474="","",IF(ISNUMBER($I4474),TEXT($I4474,"0"),$I4474))</f>
        <v/>
      </c>
    </row>
    <row r="4475">
      <c r="B4475" s="25" t="n"/>
      <c r="I4475" s="25" t="n"/>
      <c r="U4475" s="19">
        <f>IF($V4475&lt;&gt;'設定'!$C$4,N(U4474),IF(OR(NOT(COUNTIF('商品マスタ'!$B$6:$B$1005,$W4475)=0),COUNTIFS('①在庫を貼る'!$V$6:$V$10005,$V4475,'①在庫を貼る'!$W$6:$W$10005,$W4475)+COUNTIFS('月1回_1ヶ月前の在庫'!$V$6:$V$10005,$V4475,'月1回_1ヶ月前の在庫'!$W$6:$W$10005,$W4475)&gt;0),N(U4474),N(U4474)+1))</f>
        <v/>
      </c>
      <c r="V4475" s="19">
        <f>IF($B4475="","",TEXT($B4475,"0000"))</f>
        <v/>
      </c>
      <c r="W4475" s="19">
        <f>IF($I4475="","",IF(ISNUMBER($I4475),TEXT($I4475,"0"),$I4475))</f>
        <v/>
      </c>
    </row>
    <row r="4476">
      <c r="B4476" s="25" t="n"/>
      <c r="I4476" s="25" t="n"/>
      <c r="U4476" s="19">
        <f>IF($V4476&lt;&gt;'設定'!$C$4,N(U4475),IF(OR(NOT(COUNTIF('商品マスタ'!$B$6:$B$1005,$W4476)=0),COUNTIFS('①在庫を貼る'!$V$6:$V$10005,$V4476,'①在庫を貼る'!$W$6:$W$10005,$W4476)+COUNTIFS('月1回_1ヶ月前の在庫'!$V$6:$V$10005,$V4476,'月1回_1ヶ月前の在庫'!$W$6:$W$10005,$W4476)&gt;0),N(U4475),N(U4475)+1))</f>
        <v/>
      </c>
      <c r="V4476" s="19">
        <f>IF($B4476="","",TEXT($B4476,"0000"))</f>
        <v/>
      </c>
      <c r="W4476" s="19">
        <f>IF($I4476="","",IF(ISNUMBER($I4476),TEXT($I4476,"0"),$I4476))</f>
        <v/>
      </c>
    </row>
    <row r="4477">
      <c r="B4477" s="25" t="n"/>
      <c r="I4477" s="25" t="n"/>
      <c r="U4477" s="19">
        <f>IF($V4477&lt;&gt;'設定'!$C$4,N(U4476),IF(OR(NOT(COUNTIF('商品マスタ'!$B$6:$B$1005,$W4477)=0),COUNTIFS('①在庫を貼る'!$V$6:$V$10005,$V4477,'①在庫を貼る'!$W$6:$W$10005,$W4477)+COUNTIFS('月1回_1ヶ月前の在庫'!$V$6:$V$10005,$V4477,'月1回_1ヶ月前の在庫'!$W$6:$W$10005,$W4477)&gt;0),N(U4476),N(U4476)+1))</f>
        <v/>
      </c>
      <c r="V4477" s="19">
        <f>IF($B4477="","",TEXT($B4477,"0000"))</f>
        <v/>
      </c>
      <c r="W4477" s="19">
        <f>IF($I4477="","",IF(ISNUMBER($I4477),TEXT($I4477,"0"),$I4477))</f>
        <v/>
      </c>
    </row>
    <row r="4478">
      <c r="B4478" s="25" t="n"/>
      <c r="I4478" s="25" t="n"/>
      <c r="U4478" s="19">
        <f>IF($V4478&lt;&gt;'設定'!$C$4,N(U4477),IF(OR(NOT(COUNTIF('商品マスタ'!$B$6:$B$1005,$W4478)=0),COUNTIFS('①在庫を貼る'!$V$6:$V$10005,$V4478,'①在庫を貼る'!$W$6:$W$10005,$W4478)+COUNTIFS('月1回_1ヶ月前の在庫'!$V$6:$V$10005,$V4478,'月1回_1ヶ月前の在庫'!$W$6:$W$10005,$W4478)&gt;0),N(U4477),N(U4477)+1))</f>
        <v/>
      </c>
      <c r="V4478" s="19">
        <f>IF($B4478="","",TEXT($B4478,"0000"))</f>
        <v/>
      </c>
      <c r="W4478" s="19">
        <f>IF($I4478="","",IF(ISNUMBER($I4478),TEXT($I4478,"0"),$I4478))</f>
        <v/>
      </c>
    </row>
    <row r="4479">
      <c r="B4479" s="25" t="n"/>
      <c r="I4479" s="25" t="n"/>
      <c r="U4479" s="19">
        <f>IF($V4479&lt;&gt;'設定'!$C$4,N(U4478),IF(OR(NOT(COUNTIF('商品マスタ'!$B$6:$B$1005,$W4479)=0),COUNTIFS('①在庫を貼る'!$V$6:$V$10005,$V4479,'①在庫を貼る'!$W$6:$W$10005,$W4479)+COUNTIFS('月1回_1ヶ月前の在庫'!$V$6:$V$10005,$V4479,'月1回_1ヶ月前の在庫'!$W$6:$W$10005,$W4479)&gt;0),N(U4478),N(U4478)+1))</f>
        <v/>
      </c>
      <c r="V4479" s="19">
        <f>IF($B4479="","",TEXT($B4479,"0000"))</f>
        <v/>
      </c>
      <c r="W4479" s="19">
        <f>IF($I4479="","",IF(ISNUMBER($I4479),TEXT($I4479,"0"),$I4479))</f>
        <v/>
      </c>
    </row>
    <row r="4480">
      <c r="B4480" s="25" t="n"/>
      <c r="I4480" s="25" t="n"/>
      <c r="U4480" s="19">
        <f>IF($V4480&lt;&gt;'設定'!$C$4,N(U4479),IF(OR(NOT(COUNTIF('商品マスタ'!$B$6:$B$1005,$W4480)=0),COUNTIFS('①在庫を貼る'!$V$6:$V$10005,$V4480,'①在庫を貼る'!$W$6:$W$10005,$W4480)+COUNTIFS('月1回_1ヶ月前の在庫'!$V$6:$V$10005,$V4480,'月1回_1ヶ月前の在庫'!$W$6:$W$10005,$W4480)&gt;0),N(U4479),N(U4479)+1))</f>
        <v/>
      </c>
      <c r="V4480" s="19">
        <f>IF($B4480="","",TEXT($B4480,"0000"))</f>
        <v/>
      </c>
      <c r="W4480" s="19">
        <f>IF($I4480="","",IF(ISNUMBER($I4480),TEXT($I4480,"0"),$I4480))</f>
        <v/>
      </c>
    </row>
    <row r="4481">
      <c r="B4481" s="25" t="n"/>
      <c r="I4481" s="25" t="n"/>
      <c r="U4481" s="19">
        <f>IF($V4481&lt;&gt;'設定'!$C$4,N(U4480),IF(OR(NOT(COUNTIF('商品マスタ'!$B$6:$B$1005,$W4481)=0),COUNTIFS('①在庫を貼る'!$V$6:$V$10005,$V4481,'①在庫を貼る'!$W$6:$W$10005,$W4481)+COUNTIFS('月1回_1ヶ月前の在庫'!$V$6:$V$10005,$V4481,'月1回_1ヶ月前の在庫'!$W$6:$W$10005,$W4481)&gt;0),N(U4480),N(U4480)+1))</f>
        <v/>
      </c>
      <c r="V4481" s="19">
        <f>IF($B4481="","",TEXT($B4481,"0000"))</f>
        <v/>
      </c>
      <c r="W4481" s="19">
        <f>IF($I4481="","",IF(ISNUMBER($I4481),TEXT($I4481,"0"),$I4481))</f>
        <v/>
      </c>
    </row>
    <row r="4482">
      <c r="B4482" s="25" t="n"/>
      <c r="I4482" s="25" t="n"/>
      <c r="U4482" s="19">
        <f>IF($V4482&lt;&gt;'設定'!$C$4,N(U4481),IF(OR(NOT(COUNTIF('商品マスタ'!$B$6:$B$1005,$W4482)=0),COUNTIFS('①在庫を貼る'!$V$6:$V$10005,$V4482,'①在庫を貼る'!$W$6:$W$10005,$W4482)+COUNTIFS('月1回_1ヶ月前の在庫'!$V$6:$V$10005,$V4482,'月1回_1ヶ月前の在庫'!$W$6:$W$10005,$W4482)&gt;0),N(U4481),N(U4481)+1))</f>
        <v/>
      </c>
      <c r="V4482" s="19">
        <f>IF($B4482="","",TEXT($B4482,"0000"))</f>
        <v/>
      </c>
      <c r="W4482" s="19">
        <f>IF($I4482="","",IF(ISNUMBER($I4482),TEXT($I4482,"0"),$I4482))</f>
        <v/>
      </c>
    </row>
    <row r="4483">
      <c r="B4483" s="25" t="n"/>
      <c r="I4483" s="25" t="n"/>
      <c r="U4483" s="19">
        <f>IF($V4483&lt;&gt;'設定'!$C$4,N(U4482),IF(OR(NOT(COUNTIF('商品マスタ'!$B$6:$B$1005,$W4483)=0),COUNTIFS('①在庫を貼る'!$V$6:$V$10005,$V4483,'①在庫を貼る'!$W$6:$W$10005,$W4483)+COUNTIFS('月1回_1ヶ月前の在庫'!$V$6:$V$10005,$V4483,'月1回_1ヶ月前の在庫'!$W$6:$W$10005,$W4483)&gt;0),N(U4482),N(U4482)+1))</f>
        <v/>
      </c>
      <c r="V4483" s="19">
        <f>IF($B4483="","",TEXT($B4483,"0000"))</f>
        <v/>
      </c>
      <c r="W4483" s="19">
        <f>IF($I4483="","",IF(ISNUMBER($I4483),TEXT($I4483,"0"),$I4483))</f>
        <v/>
      </c>
    </row>
    <row r="4484">
      <c r="B4484" s="25" t="n"/>
      <c r="I4484" s="25" t="n"/>
      <c r="U4484" s="19">
        <f>IF($V4484&lt;&gt;'設定'!$C$4,N(U4483),IF(OR(NOT(COUNTIF('商品マスタ'!$B$6:$B$1005,$W4484)=0),COUNTIFS('①在庫を貼る'!$V$6:$V$10005,$V4484,'①在庫を貼る'!$W$6:$W$10005,$W4484)+COUNTIFS('月1回_1ヶ月前の在庫'!$V$6:$V$10005,$V4484,'月1回_1ヶ月前の在庫'!$W$6:$W$10005,$W4484)&gt;0),N(U4483),N(U4483)+1))</f>
        <v/>
      </c>
      <c r="V4484" s="19">
        <f>IF($B4484="","",TEXT($B4484,"0000"))</f>
        <v/>
      </c>
      <c r="W4484" s="19">
        <f>IF($I4484="","",IF(ISNUMBER($I4484),TEXT($I4484,"0"),$I4484))</f>
        <v/>
      </c>
    </row>
    <row r="4485">
      <c r="B4485" s="25" t="n"/>
      <c r="I4485" s="25" t="n"/>
      <c r="U4485" s="19">
        <f>IF($V4485&lt;&gt;'設定'!$C$4,N(U4484),IF(OR(NOT(COUNTIF('商品マスタ'!$B$6:$B$1005,$W4485)=0),COUNTIFS('①在庫を貼る'!$V$6:$V$10005,$V4485,'①在庫を貼る'!$W$6:$W$10005,$W4485)+COUNTIFS('月1回_1ヶ月前の在庫'!$V$6:$V$10005,$V4485,'月1回_1ヶ月前の在庫'!$W$6:$W$10005,$W4485)&gt;0),N(U4484),N(U4484)+1))</f>
        <v/>
      </c>
      <c r="V4485" s="19">
        <f>IF($B4485="","",TEXT($B4485,"0000"))</f>
        <v/>
      </c>
      <c r="W4485" s="19">
        <f>IF($I4485="","",IF(ISNUMBER($I4485),TEXT($I4485,"0"),$I4485))</f>
        <v/>
      </c>
    </row>
    <row r="4486">
      <c r="B4486" s="25" t="n"/>
      <c r="I4486" s="25" t="n"/>
      <c r="U4486" s="19">
        <f>IF($V4486&lt;&gt;'設定'!$C$4,N(U4485),IF(OR(NOT(COUNTIF('商品マスタ'!$B$6:$B$1005,$W4486)=0),COUNTIFS('①在庫を貼る'!$V$6:$V$10005,$V4486,'①在庫を貼る'!$W$6:$W$10005,$W4486)+COUNTIFS('月1回_1ヶ月前の在庫'!$V$6:$V$10005,$V4486,'月1回_1ヶ月前の在庫'!$W$6:$W$10005,$W4486)&gt;0),N(U4485),N(U4485)+1))</f>
        <v/>
      </c>
      <c r="V4486" s="19">
        <f>IF($B4486="","",TEXT($B4486,"0000"))</f>
        <v/>
      </c>
      <c r="W4486" s="19">
        <f>IF($I4486="","",IF(ISNUMBER($I4486),TEXT($I4486,"0"),$I4486))</f>
        <v/>
      </c>
    </row>
    <row r="4487">
      <c r="B4487" s="25" t="n"/>
      <c r="I4487" s="25" t="n"/>
      <c r="U4487" s="19">
        <f>IF($V4487&lt;&gt;'設定'!$C$4,N(U4486),IF(OR(NOT(COUNTIF('商品マスタ'!$B$6:$B$1005,$W4487)=0),COUNTIFS('①在庫を貼る'!$V$6:$V$10005,$V4487,'①在庫を貼る'!$W$6:$W$10005,$W4487)+COUNTIFS('月1回_1ヶ月前の在庫'!$V$6:$V$10005,$V4487,'月1回_1ヶ月前の在庫'!$W$6:$W$10005,$W4487)&gt;0),N(U4486),N(U4486)+1))</f>
        <v/>
      </c>
      <c r="V4487" s="19">
        <f>IF($B4487="","",TEXT($B4487,"0000"))</f>
        <v/>
      </c>
      <c r="W4487" s="19">
        <f>IF($I4487="","",IF(ISNUMBER($I4487),TEXT($I4487,"0"),$I4487))</f>
        <v/>
      </c>
    </row>
    <row r="4488">
      <c r="B4488" s="25" t="n"/>
      <c r="I4488" s="25" t="n"/>
      <c r="U4488" s="19">
        <f>IF($V4488&lt;&gt;'設定'!$C$4,N(U4487),IF(OR(NOT(COUNTIF('商品マスタ'!$B$6:$B$1005,$W4488)=0),COUNTIFS('①在庫を貼る'!$V$6:$V$10005,$V4488,'①在庫を貼る'!$W$6:$W$10005,$W4488)+COUNTIFS('月1回_1ヶ月前の在庫'!$V$6:$V$10005,$V4488,'月1回_1ヶ月前の在庫'!$W$6:$W$10005,$W4488)&gt;0),N(U4487),N(U4487)+1))</f>
        <v/>
      </c>
      <c r="V4488" s="19">
        <f>IF($B4488="","",TEXT($B4488,"0000"))</f>
        <v/>
      </c>
      <c r="W4488" s="19">
        <f>IF($I4488="","",IF(ISNUMBER($I4488),TEXT($I4488,"0"),$I4488))</f>
        <v/>
      </c>
    </row>
    <row r="4489">
      <c r="B4489" s="25" t="n"/>
      <c r="I4489" s="25" t="n"/>
      <c r="U4489" s="19">
        <f>IF($V4489&lt;&gt;'設定'!$C$4,N(U4488),IF(OR(NOT(COUNTIF('商品マスタ'!$B$6:$B$1005,$W4489)=0),COUNTIFS('①在庫を貼る'!$V$6:$V$10005,$V4489,'①在庫を貼る'!$W$6:$W$10005,$W4489)+COUNTIFS('月1回_1ヶ月前の在庫'!$V$6:$V$10005,$V4489,'月1回_1ヶ月前の在庫'!$W$6:$W$10005,$W4489)&gt;0),N(U4488),N(U4488)+1))</f>
        <v/>
      </c>
      <c r="V4489" s="19">
        <f>IF($B4489="","",TEXT($B4489,"0000"))</f>
        <v/>
      </c>
      <c r="W4489" s="19">
        <f>IF($I4489="","",IF(ISNUMBER($I4489),TEXT($I4489,"0"),$I4489))</f>
        <v/>
      </c>
    </row>
    <row r="4490">
      <c r="B4490" s="25" t="n"/>
      <c r="I4490" s="25" t="n"/>
      <c r="U4490" s="19">
        <f>IF($V4490&lt;&gt;'設定'!$C$4,N(U4489),IF(OR(NOT(COUNTIF('商品マスタ'!$B$6:$B$1005,$W4490)=0),COUNTIFS('①在庫を貼る'!$V$6:$V$10005,$V4490,'①在庫を貼る'!$W$6:$W$10005,$W4490)+COUNTIFS('月1回_1ヶ月前の在庫'!$V$6:$V$10005,$V4490,'月1回_1ヶ月前の在庫'!$W$6:$W$10005,$W4490)&gt;0),N(U4489),N(U4489)+1))</f>
        <v/>
      </c>
      <c r="V4490" s="19">
        <f>IF($B4490="","",TEXT($B4490,"0000"))</f>
        <v/>
      </c>
      <c r="W4490" s="19">
        <f>IF($I4490="","",IF(ISNUMBER($I4490),TEXT($I4490,"0"),$I4490))</f>
        <v/>
      </c>
    </row>
    <row r="4491">
      <c r="B4491" s="25" t="n"/>
      <c r="I4491" s="25" t="n"/>
      <c r="U4491" s="19">
        <f>IF($V4491&lt;&gt;'設定'!$C$4,N(U4490),IF(OR(NOT(COUNTIF('商品マスタ'!$B$6:$B$1005,$W4491)=0),COUNTIFS('①在庫を貼る'!$V$6:$V$10005,$V4491,'①在庫を貼る'!$W$6:$W$10005,$W4491)+COUNTIFS('月1回_1ヶ月前の在庫'!$V$6:$V$10005,$V4491,'月1回_1ヶ月前の在庫'!$W$6:$W$10005,$W4491)&gt;0),N(U4490),N(U4490)+1))</f>
        <v/>
      </c>
      <c r="V4491" s="19">
        <f>IF($B4491="","",TEXT($B4491,"0000"))</f>
        <v/>
      </c>
      <c r="W4491" s="19">
        <f>IF($I4491="","",IF(ISNUMBER($I4491),TEXT($I4491,"0"),$I4491))</f>
        <v/>
      </c>
    </row>
    <row r="4492">
      <c r="B4492" s="25" t="n"/>
      <c r="I4492" s="25" t="n"/>
      <c r="U4492" s="19">
        <f>IF($V4492&lt;&gt;'設定'!$C$4,N(U4491),IF(OR(NOT(COUNTIF('商品マスタ'!$B$6:$B$1005,$W4492)=0),COUNTIFS('①在庫を貼る'!$V$6:$V$10005,$V4492,'①在庫を貼る'!$W$6:$W$10005,$W4492)+COUNTIFS('月1回_1ヶ月前の在庫'!$V$6:$V$10005,$V4492,'月1回_1ヶ月前の在庫'!$W$6:$W$10005,$W4492)&gt;0),N(U4491),N(U4491)+1))</f>
        <v/>
      </c>
      <c r="V4492" s="19">
        <f>IF($B4492="","",TEXT($B4492,"0000"))</f>
        <v/>
      </c>
      <c r="W4492" s="19">
        <f>IF($I4492="","",IF(ISNUMBER($I4492),TEXT($I4492,"0"),$I4492))</f>
        <v/>
      </c>
    </row>
    <row r="4493">
      <c r="B4493" s="25" t="n"/>
      <c r="I4493" s="25" t="n"/>
      <c r="U4493" s="19">
        <f>IF($V4493&lt;&gt;'設定'!$C$4,N(U4492),IF(OR(NOT(COUNTIF('商品マスタ'!$B$6:$B$1005,$W4493)=0),COUNTIFS('①在庫を貼る'!$V$6:$V$10005,$V4493,'①在庫を貼る'!$W$6:$W$10005,$W4493)+COUNTIFS('月1回_1ヶ月前の在庫'!$V$6:$V$10005,$V4493,'月1回_1ヶ月前の在庫'!$W$6:$W$10005,$W4493)&gt;0),N(U4492),N(U4492)+1))</f>
        <v/>
      </c>
      <c r="V4493" s="19">
        <f>IF($B4493="","",TEXT($B4493,"0000"))</f>
        <v/>
      </c>
      <c r="W4493" s="19">
        <f>IF($I4493="","",IF(ISNUMBER($I4493),TEXT($I4493,"0"),$I4493))</f>
        <v/>
      </c>
    </row>
    <row r="4494">
      <c r="B4494" s="25" t="n"/>
      <c r="I4494" s="25" t="n"/>
      <c r="U4494" s="19">
        <f>IF($V4494&lt;&gt;'設定'!$C$4,N(U4493),IF(OR(NOT(COUNTIF('商品マスタ'!$B$6:$B$1005,$W4494)=0),COUNTIFS('①在庫を貼る'!$V$6:$V$10005,$V4494,'①在庫を貼る'!$W$6:$W$10005,$W4494)+COUNTIFS('月1回_1ヶ月前の在庫'!$V$6:$V$10005,$V4494,'月1回_1ヶ月前の在庫'!$W$6:$W$10005,$W4494)&gt;0),N(U4493),N(U4493)+1))</f>
        <v/>
      </c>
      <c r="V4494" s="19">
        <f>IF($B4494="","",TEXT($B4494,"0000"))</f>
        <v/>
      </c>
      <c r="W4494" s="19">
        <f>IF($I4494="","",IF(ISNUMBER($I4494),TEXT($I4494,"0"),$I4494))</f>
        <v/>
      </c>
    </row>
    <row r="4495">
      <c r="B4495" s="25" t="n"/>
      <c r="I4495" s="25" t="n"/>
      <c r="U4495" s="19">
        <f>IF($V4495&lt;&gt;'設定'!$C$4,N(U4494),IF(OR(NOT(COUNTIF('商品マスタ'!$B$6:$B$1005,$W4495)=0),COUNTIFS('①在庫を貼る'!$V$6:$V$10005,$V4495,'①在庫を貼る'!$W$6:$W$10005,$W4495)+COUNTIFS('月1回_1ヶ月前の在庫'!$V$6:$V$10005,$V4495,'月1回_1ヶ月前の在庫'!$W$6:$W$10005,$W4495)&gt;0),N(U4494),N(U4494)+1))</f>
        <v/>
      </c>
      <c r="V4495" s="19">
        <f>IF($B4495="","",TEXT($B4495,"0000"))</f>
        <v/>
      </c>
      <c r="W4495" s="19">
        <f>IF($I4495="","",IF(ISNUMBER($I4495),TEXT($I4495,"0"),$I4495))</f>
        <v/>
      </c>
    </row>
    <row r="4496">
      <c r="B4496" s="25" t="n"/>
      <c r="I4496" s="25" t="n"/>
      <c r="U4496" s="19">
        <f>IF($V4496&lt;&gt;'設定'!$C$4,N(U4495),IF(OR(NOT(COUNTIF('商品マスタ'!$B$6:$B$1005,$W4496)=0),COUNTIFS('①在庫を貼る'!$V$6:$V$10005,$V4496,'①在庫を貼る'!$W$6:$W$10005,$W4496)+COUNTIFS('月1回_1ヶ月前の在庫'!$V$6:$V$10005,$V4496,'月1回_1ヶ月前の在庫'!$W$6:$W$10005,$W4496)&gt;0),N(U4495),N(U4495)+1))</f>
        <v/>
      </c>
      <c r="V4496" s="19">
        <f>IF($B4496="","",TEXT($B4496,"0000"))</f>
        <v/>
      </c>
      <c r="W4496" s="19">
        <f>IF($I4496="","",IF(ISNUMBER($I4496),TEXT($I4496,"0"),$I4496))</f>
        <v/>
      </c>
    </row>
    <row r="4497">
      <c r="B4497" s="25" t="n"/>
      <c r="I4497" s="25" t="n"/>
      <c r="U4497" s="19">
        <f>IF($V4497&lt;&gt;'設定'!$C$4,N(U4496),IF(OR(NOT(COUNTIF('商品マスタ'!$B$6:$B$1005,$W4497)=0),COUNTIFS('①在庫を貼る'!$V$6:$V$10005,$V4497,'①在庫を貼る'!$W$6:$W$10005,$W4497)+COUNTIFS('月1回_1ヶ月前の在庫'!$V$6:$V$10005,$V4497,'月1回_1ヶ月前の在庫'!$W$6:$W$10005,$W4497)&gt;0),N(U4496),N(U4496)+1))</f>
        <v/>
      </c>
      <c r="V4497" s="19">
        <f>IF($B4497="","",TEXT($B4497,"0000"))</f>
        <v/>
      </c>
      <c r="W4497" s="19">
        <f>IF($I4497="","",IF(ISNUMBER($I4497),TEXT($I4497,"0"),$I4497))</f>
        <v/>
      </c>
    </row>
    <row r="4498">
      <c r="B4498" s="25" t="n"/>
      <c r="I4498" s="25" t="n"/>
      <c r="U4498" s="19">
        <f>IF($V4498&lt;&gt;'設定'!$C$4,N(U4497),IF(OR(NOT(COUNTIF('商品マスタ'!$B$6:$B$1005,$W4498)=0),COUNTIFS('①在庫を貼る'!$V$6:$V$10005,$V4498,'①在庫を貼る'!$W$6:$W$10005,$W4498)+COUNTIFS('月1回_1ヶ月前の在庫'!$V$6:$V$10005,$V4498,'月1回_1ヶ月前の在庫'!$W$6:$W$10005,$W4498)&gt;0),N(U4497),N(U4497)+1))</f>
        <v/>
      </c>
      <c r="V4498" s="19">
        <f>IF($B4498="","",TEXT($B4498,"0000"))</f>
        <v/>
      </c>
      <c r="W4498" s="19">
        <f>IF($I4498="","",IF(ISNUMBER($I4498),TEXT($I4498,"0"),$I4498))</f>
        <v/>
      </c>
    </row>
    <row r="4499">
      <c r="B4499" s="25" t="n"/>
      <c r="I4499" s="25" t="n"/>
      <c r="U4499" s="19">
        <f>IF($V4499&lt;&gt;'設定'!$C$4,N(U4498),IF(OR(NOT(COUNTIF('商品マスタ'!$B$6:$B$1005,$W4499)=0),COUNTIFS('①在庫を貼る'!$V$6:$V$10005,$V4499,'①在庫を貼る'!$W$6:$W$10005,$W4499)+COUNTIFS('月1回_1ヶ月前の在庫'!$V$6:$V$10005,$V4499,'月1回_1ヶ月前の在庫'!$W$6:$W$10005,$W4499)&gt;0),N(U4498),N(U4498)+1))</f>
        <v/>
      </c>
      <c r="V4499" s="19">
        <f>IF($B4499="","",TEXT($B4499,"0000"))</f>
        <v/>
      </c>
      <c r="W4499" s="19">
        <f>IF($I4499="","",IF(ISNUMBER($I4499),TEXT($I4499,"0"),$I4499))</f>
        <v/>
      </c>
    </row>
    <row r="4500">
      <c r="B4500" s="25" t="n"/>
      <c r="I4500" s="25" t="n"/>
      <c r="U4500" s="19">
        <f>IF($V4500&lt;&gt;'設定'!$C$4,N(U4499),IF(OR(NOT(COUNTIF('商品マスタ'!$B$6:$B$1005,$W4500)=0),COUNTIFS('①在庫を貼る'!$V$6:$V$10005,$V4500,'①在庫を貼る'!$W$6:$W$10005,$W4500)+COUNTIFS('月1回_1ヶ月前の在庫'!$V$6:$V$10005,$V4500,'月1回_1ヶ月前の在庫'!$W$6:$W$10005,$W4500)&gt;0),N(U4499),N(U4499)+1))</f>
        <v/>
      </c>
      <c r="V4500" s="19">
        <f>IF($B4500="","",TEXT($B4500,"0000"))</f>
        <v/>
      </c>
      <c r="W4500" s="19">
        <f>IF($I4500="","",IF(ISNUMBER($I4500),TEXT($I4500,"0"),$I4500))</f>
        <v/>
      </c>
    </row>
    <row r="4501">
      <c r="B4501" s="25" t="n"/>
      <c r="I4501" s="25" t="n"/>
      <c r="U4501" s="19">
        <f>IF($V4501&lt;&gt;'設定'!$C$4,N(U4500),IF(OR(NOT(COUNTIF('商品マスタ'!$B$6:$B$1005,$W4501)=0),COUNTIFS('①在庫を貼る'!$V$6:$V$10005,$V4501,'①在庫を貼る'!$W$6:$W$10005,$W4501)+COUNTIFS('月1回_1ヶ月前の在庫'!$V$6:$V$10005,$V4501,'月1回_1ヶ月前の在庫'!$W$6:$W$10005,$W4501)&gt;0),N(U4500),N(U4500)+1))</f>
        <v/>
      </c>
      <c r="V4501" s="19">
        <f>IF($B4501="","",TEXT($B4501,"0000"))</f>
        <v/>
      </c>
      <c r="W4501" s="19">
        <f>IF($I4501="","",IF(ISNUMBER($I4501),TEXT($I4501,"0"),$I4501))</f>
        <v/>
      </c>
    </row>
    <row r="4502">
      <c r="B4502" s="25" t="n"/>
      <c r="I4502" s="25" t="n"/>
      <c r="U4502" s="19">
        <f>IF($V4502&lt;&gt;'設定'!$C$4,N(U4501),IF(OR(NOT(COUNTIF('商品マスタ'!$B$6:$B$1005,$W4502)=0),COUNTIFS('①在庫を貼る'!$V$6:$V$10005,$V4502,'①在庫を貼る'!$W$6:$W$10005,$W4502)+COUNTIFS('月1回_1ヶ月前の在庫'!$V$6:$V$10005,$V4502,'月1回_1ヶ月前の在庫'!$W$6:$W$10005,$W4502)&gt;0),N(U4501),N(U4501)+1))</f>
        <v/>
      </c>
      <c r="V4502" s="19">
        <f>IF($B4502="","",TEXT($B4502,"0000"))</f>
        <v/>
      </c>
      <c r="W4502" s="19">
        <f>IF($I4502="","",IF(ISNUMBER($I4502),TEXT($I4502,"0"),$I4502))</f>
        <v/>
      </c>
    </row>
    <row r="4503">
      <c r="B4503" s="25" t="n"/>
      <c r="I4503" s="25" t="n"/>
      <c r="U4503" s="19">
        <f>IF($V4503&lt;&gt;'設定'!$C$4,N(U4502),IF(OR(NOT(COUNTIF('商品マスタ'!$B$6:$B$1005,$W4503)=0),COUNTIFS('①在庫を貼る'!$V$6:$V$10005,$V4503,'①在庫を貼る'!$W$6:$W$10005,$W4503)+COUNTIFS('月1回_1ヶ月前の在庫'!$V$6:$V$10005,$V4503,'月1回_1ヶ月前の在庫'!$W$6:$W$10005,$W4503)&gt;0),N(U4502),N(U4502)+1))</f>
        <v/>
      </c>
      <c r="V4503" s="19">
        <f>IF($B4503="","",TEXT($B4503,"0000"))</f>
        <v/>
      </c>
      <c r="W4503" s="19">
        <f>IF($I4503="","",IF(ISNUMBER($I4503),TEXT($I4503,"0"),$I4503))</f>
        <v/>
      </c>
    </row>
    <row r="4504">
      <c r="B4504" s="25" t="n"/>
      <c r="I4504" s="25" t="n"/>
      <c r="U4504" s="19">
        <f>IF($V4504&lt;&gt;'設定'!$C$4,N(U4503),IF(OR(NOT(COUNTIF('商品マスタ'!$B$6:$B$1005,$W4504)=0),COUNTIFS('①在庫を貼る'!$V$6:$V$10005,$V4504,'①在庫を貼る'!$W$6:$W$10005,$W4504)+COUNTIFS('月1回_1ヶ月前の在庫'!$V$6:$V$10005,$V4504,'月1回_1ヶ月前の在庫'!$W$6:$W$10005,$W4504)&gt;0),N(U4503),N(U4503)+1))</f>
        <v/>
      </c>
      <c r="V4504" s="19">
        <f>IF($B4504="","",TEXT($B4504,"0000"))</f>
        <v/>
      </c>
      <c r="W4504" s="19">
        <f>IF($I4504="","",IF(ISNUMBER($I4504),TEXT($I4504,"0"),$I4504))</f>
        <v/>
      </c>
    </row>
    <row r="4505">
      <c r="B4505" s="25" t="n"/>
      <c r="I4505" s="25" t="n"/>
      <c r="U4505" s="19">
        <f>IF($V4505&lt;&gt;'設定'!$C$4,N(U4504),IF(OR(NOT(COUNTIF('商品マスタ'!$B$6:$B$1005,$W4505)=0),COUNTIFS('①在庫を貼る'!$V$6:$V$10005,$V4505,'①在庫を貼る'!$W$6:$W$10005,$W4505)+COUNTIFS('月1回_1ヶ月前の在庫'!$V$6:$V$10005,$V4505,'月1回_1ヶ月前の在庫'!$W$6:$W$10005,$W4505)&gt;0),N(U4504),N(U4504)+1))</f>
        <v/>
      </c>
      <c r="V4505" s="19">
        <f>IF($B4505="","",TEXT($B4505,"0000"))</f>
        <v/>
      </c>
      <c r="W4505" s="19">
        <f>IF($I4505="","",IF(ISNUMBER($I4505),TEXT($I4505,"0"),$I4505))</f>
        <v/>
      </c>
    </row>
    <row r="4506">
      <c r="B4506" s="25" t="n"/>
      <c r="I4506" s="25" t="n"/>
      <c r="U4506" s="19">
        <f>IF($V4506&lt;&gt;'設定'!$C$4,N(U4505),IF(OR(NOT(COUNTIF('商品マスタ'!$B$6:$B$1005,$W4506)=0),COUNTIFS('①在庫を貼る'!$V$6:$V$10005,$V4506,'①在庫を貼る'!$W$6:$W$10005,$W4506)+COUNTIFS('月1回_1ヶ月前の在庫'!$V$6:$V$10005,$V4506,'月1回_1ヶ月前の在庫'!$W$6:$W$10005,$W4506)&gt;0),N(U4505),N(U4505)+1))</f>
        <v/>
      </c>
      <c r="V4506" s="19">
        <f>IF($B4506="","",TEXT($B4506,"0000"))</f>
        <v/>
      </c>
      <c r="W4506" s="19">
        <f>IF($I4506="","",IF(ISNUMBER($I4506),TEXT($I4506,"0"),$I4506))</f>
        <v/>
      </c>
    </row>
    <row r="4507">
      <c r="B4507" s="25" t="n"/>
      <c r="I4507" s="25" t="n"/>
      <c r="U4507" s="19">
        <f>IF($V4507&lt;&gt;'設定'!$C$4,N(U4506),IF(OR(NOT(COUNTIF('商品マスタ'!$B$6:$B$1005,$W4507)=0),COUNTIFS('①在庫を貼る'!$V$6:$V$10005,$V4507,'①在庫を貼る'!$W$6:$W$10005,$W4507)+COUNTIFS('月1回_1ヶ月前の在庫'!$V$6:$V$10005,$V4507,'月1回_1ヶ月前の在庫'!$W$6:$W$10005,$W4507)&gt;0),N(U4506),N(U4506)+1))</f>
        <v/>
      </c>
      <c r="V4507" s="19">
        <f>IF($B4507="","",TEXT($B4507,"0000"))</f>
        <v/>
      </c>
      <c r="W4507" s="19">
        <f>IF($I4507="","",IF(ISNUMBER($I4507),TEXT($I4507,"0"),$I4507))</f>
        <v/>
      </c>
    </row>
    <row r="4508">
      <c r="B4508" s="25" t="n"/>
      <c r="I4508" s="25" t="n"/>
      <c r="U4508" s="19">
        <f>IF($V4508&lt;&gt;'設定'!$C$4,N(U4507),IF(OR(NOT(COUNTIF('商品マスタ'!$B$6:$B$1005,$W4508)=0),COUNTIFS('①在庫を貼る'!$V$6:$V$10005,$V4508,'①在庫を貼る'!$W$6:$W$10005,$W4508)+COUNTIFS('月1回_1ヶ月前の在庫'!$V$6:$V$10005,$V4508,'月1回_1ヶ月前の在庫'!$W$6:$W$10005,$W4508)&gt;0),N(U4507),N(U4507)+1))</f>
        <v/>
      </c>
      <c r="V4508" s="19">
        <f>IF($B4508="","",TEXT($B4508,"0000"))</f>
        <v/>
      </c>
      <c r="W4508" s="19">
        <f>IF($I4508="","",IF(ISNUMBER($I4508),TEXT($I4508,"0"),$I4508))</f>
        <v/>
      </c>
    </row>
    <row r="4509">
      <c r="B4509" s="25" t="n"/>
      <c r="I4509" s="25" t="n"/>
      <c r="U4509" s="19">
        <f>IF($V4509&lt;&gt;'設定'!$C$4,N(U4508),IF(OR(NOT(COUNTIF('商品マスタ'!$B$6:$B$1005,$W4509)=0),COUNTIFS('①在庫を貼る'!$V$6:$V$10005,$V4509,'①在庫を貼る'!$W$6:$W$10005,$W4509)+COUNTIFS('月1回_1ヶ月前の在庫'!$V$6:$V$10005,$V4509,'月1回_1ヶ月前の在庫'!$W$6:$W$10005,$W4509)&gt;0),N(U4508),N(U4508)+1))</f>
        <v/>
      </c>
      <c r="V4509" s="19">
        <f>IF($B4509="","",TEXT($B4509,"0000"))</f>
        <v/>
      </c>
      <c r="W4509" s="19">
        <f>IF($I4509="","",IF(ISNUMBER($I4509),TEXT($I4509,"0"),$I4509))</f>
        <v/>
      </c>
    </row>
    <row r="4510">
      <c r="B4510" s="25" t="n"/>
      <c r="I4510" s="25" t="n"/>
      <c r="U4510" s="19">
        <f>IF($V4510&lt;&gt;'設定'!$C$4,N(U4509),IF(OR(NOT(COUNTIF('商品マスタ'!$B$6:$B$1005,$W4510)=0),COUNTIFS('①在庫を貼る'!$V$6:$V$10005,$V4510,'①在庫を貼る'!$W$6:$W$10005,$W4510)+COUNTIFS('月1回_1ヶ月前の在庫'!$V$6:$V$10005,$V4510,'月1回_1ヶ月前の在庫'!$W$6:$W$10005,$W4510)&gt;0),N(U4509),N(U4509)+1))</f>
        <v/>
      </c>
      <c r="V4510" s="19">
        <f>IF($B4510="","",TEXT($B4510,"0000"))</f>
        <v/>
      </c>
      <c r="W4510" s="19">
        <f>IF($I4510="","",IF(ISNUMBER($I4510),TEXT($I4510,"0"),$I4510))</f>
        <v/>
      </c>
    </row>
    <row r="4511">
      <c r="B4511" s="25" t="n"/>
      <c r="I4511" s="25" t="n"/>
      <c r="U4511" s="19">
        <f>IF($V4511&lt;&gt;'設定'!$C$4,N(U4510),IF(OR(NOT(COUNTIF('商品マスタ'!$B$6:$B$1005,$W4511)=0),COUNTIFS('①在庫を貼る'!$V$6:$V$10005,$V4511,'①在庫を貼る'!$W$6:$W$10005,$W4511)+COUNTIFS('月1回_1ヶ月前の在庫'!$V$6:$V$10005,$V4511,'月1回_1ヶ月前の在庫'!$W$6:$W$10005,$W4511)&gt;0),N(U4510),N(U4510)+1))</f>
        <v/>
      </c>
      <c r="V4511" s="19">
        <f>IF($B4511="","",TEXT($B4511,"0000"))</f>
        <v/>
      </c>
      <c r="W4511" s="19">
        <f>IF($I4511="","",IF(ISNUMBER($I4511),TEXT($I4511,"0"),$I4511))</f>
        <v/>
      </c>
    </row>
    <row r="4512">
      <c r="B4512" s="25" t="n"/>
      <c r="I4512" s="25" t="n"/>
      <c r="U4512" s="19">
        <f>IF($V4512&lt;&gt;'設定'!$C$4,N(U4511),IF(OR(NOT(COUNTIF('商品マスタ'!$B$6:$B$1005,$W4512)=0),COUNTIFS('①在庫を貼る'!$V$6:$V$10005,$V4512,'①在庫を貼る'!$W$6:$W$10005,$W4512)+COUNTIFS('月1回_1ヶ月前の在庫'!$V$6:$V$10005,$V4512,'月1回_1ヶ月前の在庫'!$W$6:$W$10005,$W4512)&gt;0),N(U4511),N(U4511)+1))</f>
        <v/>
      </c>
      <c r="V4512" s="19">
        <f>IF($B4512="","",TEXT($B4512,"0000"))</f>
        <v/>
      </c>
      <c r="W4512" s="19">
        <f>IF($I4512="","",IF(ISNUMBER($I4512),TEXT($I4512,"0"),$I4512))</f>
        <v/>
      </c>
    </row>
    <row r="4513">
      <c r="B4513" s="25" t="n"/>
      <c r="I4513" s="25" t="n"/>
      <c r="U4513" s="19">
        <f>IF($V4513&lt;&gt;'設定'!$C$4,N(U4512),IF(OR(NOT(COUNTIF('商品マスタ'!$B$6:$B$1005,$W4513)=0),COUNTIFS('①在庫を貼る'!$V$6:$V$10005,$V4513,'①在庫を貼る'!$W$6:$W$10005,$W4513)+COUNTIFS('月1回_1ヶ月前の在庫'!$V$6:$V$10005,$V4513,'月1回_1ヶ月前の在庫'!$W$6:$W$10005,$W4513)&gt;0),N(U4512),N(U4512)+1))</f>
        <v/>
      </c>
      <c r="V4513" s="19">
        <f>IF($B4513="","",TEXT($B4513,"0000"))</f>
        <v/>
      </c>
      <c r="W4513" s="19">
        <f>IF($I4513="","",IF(ISNUMBER($I4513),TEXT($I4513,"0"),$I4513))</f>
        <v/>
      </c>
    </row>
    <row r="4514">
      <c r="B4514" s="25" t="n"/>
      <c r="I4514" s="25" t="n"/>
      <c r="U4514" s="19">
        <f>IF($V4514&lt;&gt;'設定'!$C$4,N(U4513),IF(OR(NOT(COUNTIF('商品マスタ'!$B$6:$B$1005,$W4514)=0),COUNTIFS('①在庫を貼る'!$V$6:$V$10005,$V4514,'①在庫を貼る'!$W$6:$W$10005,$W4514)+COUNTIFS('月1回_1ヶ月前の在庫'!$V$6:$V$10005,$V4514,'月1回_1ヶ月前の在庫'!$W$6:$W$10005,$W4514)&gt;0),N(U4513),N(U4513)+1))</f>
        <v/>
      </c>
      <c r="V4514" s="19">
        <f>IF($B4514="","",TEXT($B4514,"0000"))</f>
        <v/>
      </c>
      <c r="W4514" s="19">
        <f>IF($I4514="","",IF(ISNUMBER($I4514),TEXT($I4514,"0"),$I4514))</f>
        <v/>
      </c>
    </row>
    <row r="4515">
      <c r="B4515" s="25" t="n"/>
      <c r="I4515" s="25" t="n"/>
      <c r="U4515" s="19">
        <f>IF($V4515&lt;&gt;'設定'!$C$4,N(U4514),IF(OR(NOT(COUNTIF('商品マスタ'!$B$6:$B$1005,$W4515)=0),COUNTIFS('①在庫を貼る'!$V$6:$V$10005,$V4515,'①在庫を貼る'!$W$6:$W$10005,$W4515)+COUNTIFS('月1回_1ヶ月前の在庫'!$V$6:$V$10005,$V4515,'月1回_1ヶ月前の在庫'!$W$6:$W$10005,$W4515)&gt;0),N(U4514),N(U4514)+1))</f>
        <v/>
      </c>
      <c r="V4515" s="19">
        <f>IF($B4515="","",TEXT($B4515,"0000"))</f>
        <v/>
      </c>
      <c r="W4515" s="19">
        <f>IF($I4515="","",IF(ISNUMBER($I4515),TEXT($I4515,"0"),$I4515))</f>
        <v/>
      </c>
    </row>
    <row r="4516">
      <c r="B4516" s="25" t="n"/>
      <c r="I4516" s="25" t="n"/>
      <c r="U4516" s="19">
        <f>IF($V4516&lt;&gt;'設定'!$C$4,N(U4515),IF(OR(NOT(COUNTIF('商品マスタ'!$B$6:$B$1005,$W4516)=0),COUNTIFS('①在庫を貼る'!$V$6:$V$10005,$V4516,'①在庫を貼る'!$W$6:$W$10005,$W4516)+COUNTIFS('月1回_1ヶ月前の在庫'!$V$6:$V$10005,$V4516,'月1回_1ヶ月前の在庫'!$W$6:$W$10005,$W4516)&gt;0),N(U4515),N(U4515)+1))</f>
        <v/>
      </c>
      <c r="V4516" s="19">
        <f>IF($B4516="","",TEXT($B4516,"0000"))</f>
        <v/>
      </c>
      <c r="W4516" s="19">
        <f>IF($I4516="","",IF(ISNUMBER($I4516),TEXT($I4516,"0"),$I4516))</f>
        <v/>
      </c>
    </row>
    <row r="4517">
      <c r="B4517" s="25" t="n"/>
      <c r="I4517" s="25" t="n"/>
      <c r="U4517" s="19">
        <f>IF($V4517&lt;&gt;'設定'!$C$4,N(U4516),IF(OR(NOT(COUNTIF('商品マスタ'!$B$6:$B$1005,$W4517)=0),COUNTIFS('①在庫を貼る'!$V$6:$V$10005,$V4517,'①在庫を貼る'!$W$6:$W$10005,$W4517)+COUNTIFS('月1回_1ヶ月前の在庫'!$V$6:$V$10005,$V4517,'月1回_1ヶ月前の在庫'!$W$6:$W$10005,$W4517)&gt;0),N(U4516),N(U4516)+1))</f>
        <v/>
      </c>
      <c r="V4517" s="19">
        <f>IF($B4517="","",TEXT($B4517,"0000"))</f>
        <v/>
      </c>
      <c r="W4517" s="19">
        <f>IF($I4517="","",IF(ISNUMBER($I4517),TEXT($I4517,"0"),$I4517))</f>
        <v/>
      </c>
    </row>
    <row r="4518">
      <c r="B4518" s="25" t="n"/>
      <c r="I4518" s="25" t="n"/>
      <c r="U4518" s="19">
        <f>IF($V4518&lt;&gt;'設定'!$C$4,N(U4517),IF(OR(NOT(COUNTIF('商品マスタ'!$B$6:$B$1005,$W4518)=0),COUNTIFS('①在庫を貼る'!$V$6:$V$10005,$V4518,'①在庫を貼る'!$W$6:$W$10005,$W4518)+COUNTIFS('月1回_1ヶ月前の在庫'!$V$6:$V$10005,$V4518,'月1回_1ヶ月前の在庫'!$W$6:$W$10005,$W4518)&gt;0),N(U4517),N(U4517)+1))</f>
        <v/>
      </c>
      <c r="V4518" s="19">
        <f>IF($B4518="","",TEXT($B4518,"0000"))</f>
        <v/>
      </c>
      <c r="W4518" s="19">
        <f>IF($I4518="","",IF(ISNUMBER($I4518),TEXT($I4518,"0"),$I4518))</f>
        <v/>
      </c>
    </row>
    <row r="4519">
      <c r="B4519" s="25" t="n"/>
      <c r="I4519" s="25" t="n"/>
      <c r="U4519" s="19">
        <f>IF($V4519&lt;&gt;'設定'!$C$4,N(U4518),IF(OR(NOT(COUNTIF('商品マスタ'!$B$6:$B$1005,$W4519)=0),COUNTIFS('①在庫を貼る'!$V$6:$V$10005,$V4519,'①在庫を貼る'!$W$6:$W$10005,$W4519)+COUNTIFS('月1回_1ヶ月前の在庫'!$V$6:$V$10005,$V4519,'月1回_1ヶ月前の在庫'!$W$6:$W$10005,$W4519)&gt;0),N(U4518),N(U4518)+1))</f>
        <v/>
      </c>
      <c r="V4519" s="19">
        <f>IF($B4519="","",TEXT($B4519,"0000"))</f>
        <v/>
      </c>
      <c r="W4519" s="19">
        <f>IF($I4519="","",IF(ISNUMBER($I4519),TEXT($I4519,"0"),$I4519))</f>
        <v/>
      </c>
    </row>
    <row r="4520">
      <c r="B4520" s="25" t="n"/>
      <c r="I4520" s="25" t="n"/>
      <c r="U4520" s="19">
        <f>IF($V4520&lt;&gt;'設定'!$C$4,N(U4519),IF(OR(NOT(COUNTIF('商品マスタ'!$B$6:$B$1005,$W4520)=0),COUNTIFS('①在庫を貼る'!$V$6:$V$10005,$V4520,'①在庫を貼る'!$W$6:$W$10005,$W4520)+COUNTIFS('月1回_1ヶ月前の在庫'!$V$6:$V$10005,$V4520,'月1回_1ヶ月前の在庫'!$W$6:$W$10005,$W4520)&gt;0),N(U4519),N(U4519)+1))</f>
        <v/>
      </c>
      <c r="V4520" s="19">
        <f>IF($B4520="","",TEXT($B4520,"0000"))</f>
        <v/>
      </c>
      <c r="W4520" s="19">
        <f>IF($I4520="","",IF(ISNUMBER($I4520),TEXT($I4520,"0"),$I4520))</f>
        <v/>
      </c>
    </row>
    <row r="4521">
      <c r="B4521" s="25" t="n"/>
      <c r="I4521" s="25" t="n"/>
      <c r="U4521" s="19">
        <f>IF($V4521&lt;&gt;'設定'!$C$4,N(U4520),IF(OR(NOT(COUNTIF('商品マスタ'!$B$6:$B$1005,$W4521)=0),COUNTIFS('①在庫を貼る'!$V$6:$V$10005,$V4521,'①在庫を貼る'!$W$6:$W$10005,$W4521)+COUNTIFS('月1回_1ヶ月前の在庫'!$V$6:$V$10005,$V4521,'月1回_1ヶ月前の在庫'!$W$6:$W$10005,$W4521)&gt;0),N(U4520),N(U4520)+1))</f>
        <v/>
      </c>
      <c r="V4521" s="19">
        <f>IF($B4521="","",TEXT($B4521,"0000"))</f>
        <v/>
      </c>
      <c r="W4521" s="19">
        <f>IF($I4521="","",IF(ISNUMBER($I4521),TEXT($I4521,"0"),$I4521))</f>
        <v/>
      </c>
    </row>
    <row r="4522">
      <c r="B4522" s="25" t="n"/>
      <c r="I4522" s="25" t="n"/>
      <c r="U4522" s="19">
        <f>IF($V4522&lt;&gt;'設定'!$C$4,N(U4521),IF(OR(NOT(COUNTIF('商品マスタ'!$B$6:$B$1005,$W4522)=0),COUNTIFS('①在庫を貼る'!$V$6:$V$10005,$V4522,'①在庫を貼る'!$W$6:$W$10005,$W4522)+COUNTIFS('月1回_1ヶ月前の在庫'!$V$6:$V$10005,$V4522,'月1回_1ヶ月前の在庫'!$W$6:$W$10005,$W4522)&gt;0),N(U4521),N(U4521)+1))</f>
        <v/>
      </c>
      <c r="V4522" s="19">
        <f>IF($B4522="","",TEXT($B4522,"0000"))</f>
        <v/>
      </c>
      <c r="W4522" s="19">
        <f>IF($I4522="","",IF(ISNUMBER($I4522),TEXT($I4522,"0"),$I4522))</f>
        <v/>
      </c>
    </row>
    <row r="4523">
      <c r="B4523" s="25" t="n"/>
      <c r="I4523" s="25" t="n"/>
      <c r="U4523" s="19">
        <f>IF($V4523&lt;&gt;'設定'!$C$4,N(U4522),IF(OR(NOT(COUNTIF('商品マスタ'!$B$6:$B$1005,$W4523)=0),COUNTIFS('①在庫を貼る'!$V$6:$V$10005,$V4523,'①在庫を貼る'!$W$6:$W$10005,$W4523)+COUNTIFS('月1回_1ヶ月前の在庫'!$V$6:$V$10005,$V4523,'月1回_1ヶ月前の在庫'!$W$6:$W$10005,$W4523)&gt;0),N(U4522),N(U4522)+1))</f>
        <v/>
      </c>
      <c r="V4523" s="19">
        <f>IF($B4523="","",TEXT($B4523,"0000"))</f>
        <v/>
      </c>
      <c r="W4523" s="19">
        <f>IF($I4523="","",IF(ISNUMBER($I4523),TEXT($I4523,"0"),$I4523))</f>
        <v/>
      </c>
    </row>
    <row r="4524">
      <c r="B4524" s="25" t="n"/>
      <c r="I4524" s="25" t="n"/>
      <c r="U4524" s="19">
        <f>IF($V4524&lt;&gt;'設定'!$C$4,N(U4523),IF(OR(NOT(COUNTIF('商品マスタ'!$B$6:$B$1005,$W4524)=0),COUNTIFS('①在庫を貼る'!$V$6:$V$10005,$V4524,'①在庫を貼る'!$W$6:$W$10005,$W4524)+COUNTIFS('月1回_1ヶ月前の在庫'!$V$6:$V$10005,$V4524,'月1回_1ヶ月前の在庫'!$W$6:$W$10005,$W4524)&gt;0),N(U4523),N(U4523)+1))</f>
        <v/>
      </c>
      <c r="V4524" s="19">
        <f>IF($B4524="","",TEXT($B4524,"0000"))</f>
        <v/>
      </c>
      <c r="W4524" s="19">
        <f>IF($I4524="","",IF(ISNUMBER($I4524),TEXT($I4524,"0"),$I4524))</f>
        <v/>
      </c>
    </row>
    <row r="4525">
      <c r="B4525" s="25" t="n"/>
      <c r="I4525" s="25" t="n"/>
      <c r="U4525" s="19">
        <f>IF($V4525&lt;&gt;'設定'!$C$4,N(U4524),IF(OR(NOT(COUNTIF('商品マスタ'!$B$6:$B$1005,$W4525)=0),COUNTIFS('①在庫を貼る'!$V$6:$V$10005,$V4525,'①在庫を貼る'!$W$6:$W$10005,$W4525)+COUNTIFS('月1回_1ヶ月前の在庫'!$V$6:$V$10005,$V4525,'月1回_1ヶ月前の在庫'!$W$6:$W$10005,$W4525)&gt;0),N(U4524),N(U4524)+1))</f>
        <v/>
      </c>
      <c r="V4525" s="19">
        <f>IF($B4525="","",TEXT($B4525,"0000"))</f>
        <v/>
      </c>
      <c r="W4525" s="19">
        <f>IF($I4525="","",IF(ISNUMBER($I4525),TEXT($I4525,"0"),$I4525))</f>
        <v/>
      </c>
    </row>
    <row r="4526">
      <c r="B4526" s="25" t="n"/>
      <c r="I4526" s="25" t="n"/>
      <c r="U4526" s="19">
        <f>IF($V4526&lt;&gt;'設定'!$C$4,N(U4525),IF(OR(NOT(COUNTIF('商品マスタ'!$B$6:$B$1005,$W4526)=0),COUNTIFS('①在庫を貼る'!$V$6:$V$10005,$V4526,'①在庫を貼る'!$W$6:$W$10005,$W4526)+COUNTIFS('月1回_1ヶ月前の在庫'!$V$6:$V$10005,$V4526,'月1回_1ヶ月前の在庫'!$W$6:$W$10005,$W4526)&gt;0),N(U4525),N(U4525)+1))</f>
        <v/>
      </c>
      <c r="V4526" s="19">
        <f>IF($B4526="","",TEXT($B4526,"0000"))</f>
        <v/>
      </c>
      <c r="W4526" s="19">
        <f>IF($I4526="","",IF(ISNUMBER($I4526),TEXT($I4526,"0"),$I4526))</f>
        <v/>
      </c>
    </row>
    <row r="4527">
      <c r="B4527" s="25" t="n"/>
      <c r="I4527" s="25" t="n"/>
      <c r="U4527" s="19">
        <f>IF($V4527&lt;&gt;'設定'!$C$4,N(U4526),IF(OR(NOT(COUNTIF('商品マスタ'!$B$6:$B$1005,$W4527)=0),COUNTIFS('①在庫を貼る'!$V$6:$V$10005,$V4527,'①在庫を貼る'!$W$6:$W$10005,$W4527)+COUNTIFS('月1回_1ヶ月前の在庫'!$V$6:$V$10005,$V4527,'月1回_1ヶ月前の在庫'!$W$6:$W$10005,$W4527)&gt;0),N(U4526),N(U4526)+1))</f>
        <v/>
      </c>
      <c r="V4527" s="19">
        <f>IF($B4527="","",TEXT($B4527,"0000"))</f>
        <v/>
      </c>
      <c r="W4527" s="19">
        <f>IF($I4527="","",IF(ISNUMBER($I4527),TEXT($I4527,"0"),$I4527))</f>
        <v/>
      </c>
    </row>
    <row r="4528">
      <c r="B4528" s="25" t="n"/>
      <c r="I4528" s="25" t="n"/>
      <c r="U4528" s="19">
        <f>IF($V4528&lt;&gt;'設定'!$C$4,N(U4527),IF(OR(NOT(COUNTIF('商品マスタ'!$B$6:$B$1005,$W4528)=0),COUNTIFS('①在庫を貼る'!$V$6:$V$10005,$V4528,'①在庫を貼る'!$W$6:$W$10005,$W4528)+COUNTIFS('月1回_1ヶ月前の在庫'!$V$6:$V$10005,$V4528,'月1回_1ヶ月前の在庫'!$W$6:$W$10005,$W4528)&gt;0),N(U4527),N(U4527)+1))</f>
        <v/>
      </c>
      <c r="V4528" s="19">
        <f>IF($B4528="","",TEXT($B4528,"0000"))</f>
        <v/>
      </c>
      <c r="W4528" s="19">
        <f>IF($I4528="","",IF(ISNUMBER($I4528),TEXT($I4528,"0"),$I4528))</f>
        <v/>
      </c>
    </row>
    <row r="4529">
      <c r="B4529" s="25" t="n"/>
      <c r="I4529" s="25" t="n"/>
      <c r="U4529" s="19">
        <f>IF($V4529&lt;&gt;'設定'!$C$4,N(U4528),IF(OR(NOT(COUNTIF('商品マスタ'!$B$6:$B$1005,$W4529)=0),COUNTIFS('①在庫を貼る'!$V$6:$V$10005,$V4529,'①在庫を貼る'!$W$6:$W$10005,$W4529)+COUNTIFS('月1回_1ヶ月前の在庫'!$V$6:$V$10005,$V4529,'月1回_1ヶ月前の在庫'!$W$6:$W$10005,$W4529)&gt;0),N(U4528),N(U4528)+1))</f>
        <v/>
      </c>
      <c r="V4529" s="19">
        <f>IF($B4529="","",TEXT($B4529,"0000"))</f>
        <v/>
      </c>
      <c r="W4529" s="19">
        <f>IF($I4529="","",IF(ISNUMBER($I4529),TEXT($I4529,"0"),$I4529))</f>
        <v/>
      </c>
    </row>
    <row r="4530">
      <c r="B4530" s="25" t="n"/>
      <c r="I4530" s="25" t="n"/>
      <c r="U4530" s="19">
        <f>IF($V4530&lt;&gt;'設定'!$C$4,N(U4529),IF(OR(NOT(COUNTIF('商品マスタ'!$B$6:$B$1005,$W4530)=0),COUNTIFS('①在庫を貼る'!$V$6:$V$10005,$V4530,'①在庫を貼る'!$W$6:$W$10005,$W4530)+COUNTIFS('月1回_1ヶ月前の在庫'!$V$6:$V$10005,$V4530,'月1回_1ヶ月前の在庫'!$W$6:$W$10005,$W4530)&gt;0),N(U4529),N(U4529)+1))</f>
        <v/>
      </c>
      <c r="V4530" s="19">
        <f>IF($B4530="","",TEXT($B4530,"0000"))</f>
        <v/>
      </c>
      <c r="W4530" s="19">
        <f>IF($I4530="","",IF(ISNUMBER($I4530),TEXT($I4530,"0"),$I4530))</f>
        <v/>
      </c>
    </row>
    <row r="4531">
      <c r="B4531" s="25" t="n"/>
      <c r="I4531" s="25" t="n"/>
      <c r="U4531" s="19">
        <f>IF($V4531&lt;&gt;'設定'!$C$4,N(U4530),IF(OR(NOT(COUNTIF('商品マスタ'!$B$6:$B$1005,$W4531)=0),COUNTIFS('①在庫を貼る'!$V$6:$V$10005,$V4531,'①在庫を貼る'!$W$6:$W$10005,$W4531)+COUNTIFS('月1回_1ヶ月前の在庫'!$V$6:$V$10005,$V4531,'月1回_1ヶ月前の在庫'!$W$6:$W$10005,$W4531)&gt;0),N(U4530),N(U4530)+1))</f>
        <v/>
      </c>
      <c r="V4531" s="19">
        <f>IF($B4531="","",TEXT($B4531,"0000"))</f>
        <v/>
      </c>
      <c r="W4531" s="19">
        <f>IF($I4531="","",IF(ISNUMBER($I4531),TEXT($I4531,"0"),$I4531))</f>
        <v/>
      </c>
    </row>
    <row r="4532">
      <c r="B4532" s="25" t="n"/>
      <c r="I4532" s="25" t="n"/>
      <c r="U4532" s="19">
        <f>IF($V4532&lt;&gt;'設定'!$C$4,N(U4531),IF(OR(NOT(COUNTIF('商品マスタ'!$B$6:$B$1005,$W4532)=0),COUNTIFS('①在庫を貼る'!$V$6:$V$10005,$V4532,'①在庫を貼る'!$W$6:$W$10005,$W4532)+COUNTIFS('月1回_1ヶ月前の在庫'!$V$6:$V$10005,$V4532,'月1回_1ヶ月前の在庫'!$W$6:$W$10005,$W4532)&gt;0),N(U4531),N(U4531)+1))</f>
        <v/>
      </c>
      <c r="V4532" s="19">
        <f>IF($B4532="","",TEXT($B4532,"0000"))</f>
        <v/>
      </c>
      <c r="W4532" s="19">
        <f>IF($I4532="","",IF(ISNUMBER($I4532),TEXT($I4532,"0"),$I4532))</f>
        <v/>
      </c>
    </row>
    <row r="4533">
      <c r="B4533" s="25" t="n"/>
      <c r="I4533" s="25" t="n"/>
      <c r="U4533" s="19">
        <f>IF($V4533&lt;&gt;'設定'!$C$4,N(U4532),IF(OR(NOT(COUNTIF('商品マスタ'!$B$6:$B$1005,$W4533)=0),COUNTIFS('①在庫を貼る'!$V$6:$V$10005,$V4533,'①在庫を貼る'!$W$6:$W$10005,$W4533)+COUNTIFS('月1回_1ヶ月前の在庫'!$V$6:$V$10005,$V4533,'月1回_1ヶ月前の在庫'!$W$6:$W$10005,$W4533)&gt;0),N(U4532),N(U4532)+1))</f>
        <v/>
      </c>
      <c r="V4533" s="19">
        <f>IF($B4533="","",TEXT($B4533,"0000"))</f>
        <v/>
      </c>
      <c r="W4533" s="19">
        <f>IF($I4533="","",IF(ISNUMBER($I4533),TEXT($I4533,"0"),$I4533))</f>
        <v/>
      </c>
    </row>
    <row r="4534">
      <c r="B4534" s="25" t="n"/>
      <c r="I4534" s="25" t="n"/>
      <c r="U4534" s="19">
        <f>IF($V4534&lt;&gt;'設定'!$C$4,N(U4533),IF(OR(NOT(COUNTIF('商品マスタ'!$B$6:$B$1005,$W4534)=0),COUNTIFS('①在庫を貼る'!$V$6:$V$10005,$V4534,'①在庫を貼る'!$W$6:$W$10005,$W4534)+COUNTIFS('月1回_1ヶ月前の在庫'!$V$6:$V$10005,$V4534,'月1回_1ヶ月前の在庫'!$W$6:$W$10005,$W4534)&gt;0),N(U4533),N(U4533)+1))</f>
        <v/>
      </c>
      <c r="V4534" s="19">
        <f>IF($B4534="","",TEXT($B4534,"0000"))</f>
        <v/>
      </c>
      <c r="W4534" s="19">
        <f>IF($I4534="","",IF(ISNUMBER($I4534),TEXT($I4534,"0"),$I4534))</f>
        <v/>
      </c>
    </row>
    <row r="4535">
      <c r="B4535" s="25" t="n"/>
      <c r="I4535" s="25" t="n"/>
      <c r="U4535" s="19">
        <f>IF($V4535&lt;&gt;'設定'!$C$4,N(U4534),IF(OR(NOT(COUNTIF('商品マスタ'!$B$6:$B$1005,$W4535)=0),COUNTIFS('①在庫を貼る'!$V$6:$V$10005,$V4535,'①在庫を貼る'!$W$6:$W$10005,$W4535)+COUNTIFS('月1回_1ヶ月前の在庫'!$V$6:$V$10005,$V4535,'月1回_1ヶ月前の在庫'!$W$6:$W$10005,$W4535)&gt;0),N(U4534),N(U4534)+1))</f>
        <v/>
      </c>
      <c r="V4535" s="19">
        <f>IF($B4535="","",TEXT($B4535,"0000"))</f>
        <v/>
      </c>
      <c r="W4535" s="19">
        <f>IF($I4535="","",IF(ISNUMBER($I4535),TEXT($I4535,"0"),$I4535))</f>
        <v/>
      </c>
    </row>
    <row r="4536">
      <c r="B4536" s="25" t="n"/>
      <c r="I4536" s="25" t="n"/>
      <c r="U4536" s="19">
        <f>IF($V4536&lt;&gt;'設定'!$C$4,N(U4535),IF(OR(NOT(COUNTIF('商品マスタ'!$B$6:$B$1005,$W4536)=0),COUNTIFS('①在庫を貼る'!$V$6:$V$10005,$V4536,'①在庫を貼る'!$W$6:$W$10005,$W4536)+COUNTIFS('月1回_1ヶ月前の在庫'!$V$6:$V$10005,$V4536,'月1回_1ヶ月前の在庫'!$W$6:$W$10005,$W4536)&gt;0),N(U4535),N(U4535)+1))</f>
        <v/>
      </c>
      <c r="V4536" s="19">
        <f>IF($B4536="","",TEXT($B4536,"0000"))</f>
        <v/>
      </c>
      <c r="W4536" s="19">
        <f>IF($I4536="","",IF(ISNUMBER($I4536),TEXT($I4536,"0"),$I4536))</f>
        <v/>
      </c>
    </row>
    <row r="4537">
      <c r="B4537" s="25" t="n"/>
      <c r="I4537" s="25" t="n"/>
      <c r="U4537" s="19">
        <f>IF($V4537&lt;&gt;'設定'!$C$4,N(U4536),IF(OR(NOT(COUNTIF('商品マスタ'!$B$6:$B$1005,$W4537)=0),COUNTIFS('①在庫を貼る'!$V$6:$V$10005,$V4537,'①在庫を貼る'!$W$6:$W$10005,$W4537)+COUNTIFS('月1回_1ヶ月前の在庫'!$V$6:$V$10005,$V4537,'月1回_1ヶ月前の在庫'!$W$6:$W$10005,$W4537)&gt;0),N(U4536),N(U4536)+1))</f>
        <v/>
      </c>
      <c r="V4537" s="19">
        <f>IF($B4537="","",TEXT($B4537,"0000"))</f>
        <v/>
      </c>
      <c r="W4537" s="19">
        <f>IF($I4537="","",IF(ISNUMBER($I4537),TEXT($I4537,"0"),$I4537))</f>
        <v/>
      </c>
    </row>
    <row r="4538">
      <c r="B4538" s="25" t="n"/>
      <c r="I4538" s="25" t="n"/>
      <c r="U4538" s="19">
        <f>IF($V4538&lt;&gt;'設定'!$C$4,N(U4537),IF(OR(NOT(COUNTIF('商品マスタ'!$B$6:$B$1005,$W4538)=0),COUNTIFS('①在庫を貼る'!$V$6:$V$10005,$V4538,'①在庫を貼る'!$W$6:$W$10005,$W4538)+COUNTIFS('月1回_1ヶ月前の在庫'!$V$6:$V$10005,$V4538,'月1回_1ヶ月前の在庫'!$W$6:$W$10005,$W4538)&gt;0),N(U4537),N(U4537)+1))</f>
        <v/>
      </c>
      <c r="V4538" s="19">
        <f>IF($B4538="","",TEXT($B4538,"0000"))</f>
        <v/>
      </c>
      <c r="W4538" s="19">
        <f>IF($I4538="","",IF(ISNUMBER($I4538),TEXT($I4538,"0"),$I4538))</f>
        <v/>
      </c>
    </row>
    <row r="4539">
      <c r="B4539" s="25" t="n"/>
      <c r="I4539" s="25" t="n"/>
      <c r="U4539" s="19">
        <f>IF($V4539&lt;&gt;'設定'!$C$4,N(U4538),IF(OR(NOT(COUNTIF('商品マスタ'!$B$6:$B$1005,$W4539)=0),COUNTIFS('①在庫を貼る'!$V$6:$V$10005,$V4539,'①在庫を貼る'!$W$6:$W$10005,$W4539)+COUNTIFS('月1回_1ヶ月前の在庫'!$V$6:$V$10005,$V4539,'月1回_1ヶ月前の在庫'!$W$6:$W$10005,$W4539)&gt;0),N(U4538),N(U4538)+1))</f>
        <v/>
      </c>
      <c r="V4539" s="19">
        <f>IF($B4539="","",TEXT($B4539,"0000"))</f>
        <v/>
      </c>
      <c r="W4539" s="19">
        <f>IF($I4539="","",IF(ISNUMBER($I4539),TEXT($I4539,"0"),$I4539))</f>
        <v/>
      </c>
    </row>
    <row r="4540">
      <c r="B4540" s="25" t="n"/>
      <c r="I4540" s="25" t="n"/>
      <c r="U4540" s="19">
        <f>IF($V4540&lt;&gt;'設定'!$C$4,N(U4539),IF(OR(NOT(COUNTIF('商品マスタ'!$B$6:$B$1005,$W4540)=0),COUNTIFS('①在庫を貼る'!$V$6:$V$10005,$V4540,'①在庫を貼る'!$W$6:$W$10005,$W4540)+COUNTIFS('月1回_1ヶ月前の在庫'!$V$6:$V$10005,$V4540,'月1回_1ヶ月前の在庫'!$W$6:$W$10005,$W4540)&gt;0),N(U4539),N(U4539)+1))</f>
        <v/>
      </c>
      <c r="V4540" s="19">
        <f>IF($B4540="","",TEXT($B4540,"0000"))</f>
        <v/>
      </c>
      <c r="W4540" s="19">
        <f>IF($I4540="","",IF(ISNUMBER($I4540),TEXT($I4540,"0"),$I4540))</f>
        <v/>
      </c>
    </row>
    <row r="4541">
      <c r="B4541" s="25" t="n"/>
      <c r="I4541" s="25" t="n"/>
      <c r="U4541" s="19">
        <f>IF($V4541&lt;&gt;'設定'!$C$4,N(U4540),IF(OR(NOT(COUNTIF('商品マスタ'!$B$6:$B$1005,$W4541)=0),COUNTIFS('①在庫を貼る'!$V$6:$V$10005,$V4541,'①在庫を貼る'!$W$6:$W$10005,$W4541)+COUNTIFS('月1回_1ヶ月前の在庫'!$V$6:$V$10005,$V4541,'月1回_1ヶ月前の在庫'!$W$6:$W$10005,$W4541)&gt;0),N(U4540),N(U4540)+1))</f>
        <v/>
      </c>
      <c r="V4541" s="19">
        <f>IF($B4541="","",TEXT($B4541,"0000"))</f>
        <v/>
      </c>
      <c r="W4541" s="19">
        <f>IF($I4541="","",IF(ISNUMBER($I4541),TEXT($I4541,"0"),$I4541))</f>
        <v/>
      </c>
    </row>
    <row r="4542">
      <c r="B4542" s="25" t="n"/>
      <c r="I4542" s="25" t="n"/>
      <c r="U4542" s="19">
        <f>IF($V4542&lt;&gt;'設定'!$C$4,N(U4541),IF(OR(NOT(COUNTIF('商品マスタ'!$B$6:$B$1005,$W4542)=0),COUNTIFS('①在庫を貼る'!$V$6:$V$10005,$V4542,'①在庫を貼る'!$W$6:$W$10005,$W4542)+COUNTIFS('月1回_1ヶ月前の在庫'!$V$6:$V$10005,$V4542,'月1回_1ヶ月前の在庫'!$W$6:$W$10005,$W4542)&gt;0),N(U4541),N(U4541)+1))</f>
        <v/>
      </c>
      <c r="V4542" s="19">
        <f>IF($B4542="","",TEXT($B4542,"0000"))</f>
        <v/>
      </c>
      <c r="W4542" s="19">
        <f>IF($I4542="","",IF(ISNUMBER($I4542),TEXT($I4542,"0"),$I4542))</f>
        <v/>
      </c>
    </row>
    <row r="4543">
      <c r="B4543" s="25" t="n"/>
      <c r="I4543" s="25" t="n"/>
      <c r="U4543" s="19">
        <f>IF($V4543&lt;&gt;'設定'!$C$4,N(U4542),IF(OR(NOT(COUNTIF('商品マスタ'!$B$6:$B$1005,$W4543)=0),COUNTIFS('①在庫を貼る'!$V$6:$V$10005,$V4543,'①在庫を貼る'!$W$6:$W$10005,$W4543)+COUNTIFS('月1回_1ヶ月前の在庫'!$V$6:$V$10005,$V4543,'月1回_1ヶ月前の在庫'!$W$6:$W$10005,$W4543)&gt;0),N(U4542),N(U4542)+1))</f>
        <v/>
      </c>
      <c r="V4543" s="19">
        <f>IF($B4543="","",TEXT($B4543,"0000"))</f>
        <v/>
      </c>
      <c r="W4543" s="19">
        <f>IF($I4543="","",IF(ISNUMBER($I4543),TEXT($I4543,"0"),$I4543))</f>
        <v/>
      </c>
    </row>
    <row r="4544">
      <c r="B4544" s="25" t="n"/>
      <c r="I4544" s="25" t="n"/>
      <c r="U4544" s="19">
        <f>IF($V4544&lt;&gt;'設定'!$C$4,N(U4543),IF(OR(NOT(COUNTIF('商品マスタ'!$B$6:$B$1005,$W4544)=0),COUNTIFS('①在庫を貼る'!$V$6:$V$10005,$V4544,'①在庫を貼る'!$W$6:$W$10005,$W4544)+COUNTIFS('月1回_1ヶ月前の在庫'!$V$6:$V$10005,$V4544,'月1回_1ヶ月前の在庫'!$W$6:$W$10005,$W4544)&gt;0),N(U4543),N(U4543)+1))</f>
        <v/>
      </c>
      <c r="V4544" s="19">
        <f>IF($B4544="","",TEXT($B4544,"0000"))</f>
        <v/>
      </c>
      <c r="W4544" s="19">
        <f>IF($I4544="","",IF(ISNUMBER($I4544),TEXT($I4544,"0"),$I4544))</f>
        <v/>
      </c>
    </row>
    <row r="4545">
      <c r="B4545" s="25" t="n"/>
      <c r="I4545" s="25" t="n"/>
      <c r="U4545" s="19">
        <f>IF($V4545&lt;&gt;'設定'!$C$4,N(U4544),IF(OR(NOT(COUNTIF('商品マスタ'!$B$6:$B$1005,$W4545)=0),COUNTIFS('①在庫を貼る'!$V$6:$V$10005,$V4545,'①在庫を貼る'!$W$6:$W$10005,$W4545)+COUNTIFS('月1回_1ヶ月前の在庫'!$V$6:$V$10005,$V4545,'月1回_1ヶ月前の在庫'!$W$6:$W$10005,$W4545)&gt;0),N(U4544),N(U4544)+1))</f>
        <v/>
      </c>
      <c r="V4545" s="19">
        <f>IF($B4545="","",TEXT($B4545,"0000"))</f>
        <v/>
      </c>
      <c r="W4545" s="19">
        <f>IF($I4545="","",IF(ISNUMBER($I4545),TEXT($I4545,"0"),$I4545))</f>
        <v/>
      </c>
    </row>
    <row r="4546">
      <c r="B4546" s="25" t="n"/>
      <c r="I4546" s="25" t="n"/>
      <c r="U4546" s="19">
        <f>IF($V4546&lt;&gt;'設定'!$C$4,N(U4545),IF(OR(NOT(COUNTIF('商品マスタ'!$B$6:$B$1005,$W4546)=0),COUNTIFS('①在庫を貼る'!$V$6:$V$10005,$V4546,'①在庫を貼る'!$W$6:$W$10005,$W4546)+COUNTIFS('月1回_1ヶ月前の在庫'!$V$6:$V$10005,$V4546,'月1回_1ヶ月前の在庫'!$W$6:$W$10005,$W4546)&gt;0),N(U4545),N(U4545)+1))</f>
        <v/>
      </c>
      <c r="V4546" s="19">
        <f>IF($B4546="","",TEXT($B4546,"0000"))</f>
        <v/>
      </c>
      <c r="W4546" s="19">
        <f>IF($I4546="","",IF(ISNUMBER($I4546),TEXT($I4546,"0"),$I4546))</f>
        <v/>
      </c>
    </row>
    <row r="4547">
      <c r="B4547" s="25" t="n"/>
      <c r="I4547" s="25" t="n"/>
      <c r="U4547" s="19">
        <f>IF($V4547&lt;&gt;'設定'!$C$4,N(U4546),IF(OR(NOT(COUNTIF('商品マスタ'!$B$6:$B$1005,$W4547)=0),COUNTIFS('①在庫を貼る'!$V$6:$V$10005,$V4547,'①在庫を貼る'!$W$6:$W$10005,$W4547)+COUNTIFS('月1回_1ヶ月前の在庫'!$V$6:$V$10005,$V4547,'月1回_1ヶ月前の在庫'!$W$6:$W$10005,$W4547)&gt;0),N(U4546),N(U4546)+1))</f>
        <v/>
      </c>
      <c r="V4547" s="19">
        <f>IF($B4547="","",TEXT($B4547,"0000"))</f>
        <v/>
      </c>
      <c r="W4547" s="19">
        <f>IF($I4547="","",IF(ISNUMBER($I4547),TEXT($I4547,"0"),$I4547))</f>
        <v/>
      </c>
    </row>
    <row r="4548">
      <c r="B4548" s="25" t="n"/>
      <c r="I4548" s="25" t="n"/>
      <c r="U4548" s="19">
        <f>IF($V4548&lt;&gt;'設定'!$C$4,N(U4547),IF(OR(NOT(COUNTIF('商品マスタ'!$B$6:$B$1005,$W4548)=0),COUNTIFS('①在庫を貼る'!$V$6:$V$10005,$V4548,'①在庫を貼る'!$W$6:$W$10005,$W4548)+COUNTIFS('月1回_1ヶ月前の在庫'!$V$6:$V$10005,$V4548,'月1回_1ヶ月前の在庫'!$W$6:$W$10005,$W4548)&gt;0),N(U4547),N(U4547)+1))</f>
        <v/>
      </c>
      <c r="V4548" s="19">
        <f>IF($B4548="","",TEXT($B4548,"0000"))</f>
        <v/>
      </c>
      <c r="W4548" s="19">
        <f>IF($I4548="","",IF(ISNUMBER($I4548),TEXT($I4548,"0"),$I4548))</f>
        <v/>
      </c>
    </row>
    <row r="4549">
      <c r="B4549" s="25" t="n"/>
      <c r="I4549" s="25" t="n"/>
      <c r="U4549" s="19">
        <f>IF($V4549&lt;&gt;'設定'!$C$4,N(U4548),IF(OR(NOT(COUNTIF('商品マスタ'!$B$6:$B$1005,$W4549)=0),COUNTIFS('①在庫を貼る'!$V$6:$V$10005,$V4549,'①在庫を貼る'!$W$6:$W$10005,$W4549)+COUNTIFS('月1回_1ヶ月前の在庫'!$V$6:$V$10005,$V4549,'月1回_1ヶ月前の在庫'!$W$6:$W$10005,$W4549)&gt;0),N(U4548),N(U4548)+1))</f>
        <v/>
      </c>
      <c r="V4549" s="19">
        <f>IF($B4549="","",TEXT($B4549,"0000"))</f>
        <v/>
      </c>
      <c r="W4549" s="19">
        <f>IF($I4549="","",IF(ISNUMBER($I4549),TEXT($I4549,"0"),$I4549))</f>
        <v/>
      </c>
    </row>
    <row r="4550">
      <c r="B4550" s="25" t="n"/>
      <c r="I4550" s="25" t="n"/>
      <c r="U4550" s="19">
        <f>IF($V4550&lt;&gt;'設定'!$C$4,N(U4549),IF(OR(NOT(COUNTIF('商品マスタ'!$B$6:$B$1005,$W4550)=0),COUNTIFS('①在庫を貼る'!$V$6:$V$10005,$V4550,'①在庫を貼る'!$W$6:$W$10005,$W4550)+COUNTIFS('月1回_1ヶ月前の在庫'!$V$6:$V$10005,$V4550,'月1回_1ヶ月前の在庫'!$W$6:$W$10005,$W4550)&gt;0),N(U4549),N(U4549)+1))</f>
        <v/>
      </c>
      <c r="V4550" s="19">
        <f>IF($B4550="","",TEXT($B4550,"0000"))</f>
        <v/>
      </c>
      <c r="W4550" s="19">
        <f>IF($I4550="","",IF(ISNUMBER($I4550),TEXT($I4550,"0"),$I4550))</f>
        <v/>
      </c>
    </row>
    <row r="4551">
      <c r="B4551" s="25" t="n"/>
      <c r="I4551" s="25" t="n"/>
      <c r="U4551" s="19">
        <f>IF($V4551&lt;&gt;'設定'!$C$4,N(U4550),IF(OR(NOT(COUNTIF('商品マスタ'!$B$6:$B$1005,$W4551)=0),COUNTIFS('①在庫を貼る'!$V$6:$V$10005,$V4551,'①在庫を貼る'!$W$6:$W$10005,$W4551)+COUNTIFS('月1回_1ヶ月前の在庫'!$V$6:$V$10005,$V4551,'月1回_1ヶ月前の在庫'!$W$6:$W$10005,$W4551)&gt;0),N(U4550),N(U4550)+1))</f>
        <v/>
      </c>
      <c r="V4551" s="19">
        <f>IF($B4551="","",TEXT($B4551,"0000"))</f>
        <v/>
      </c>
      <c r="W4551" s="19">
        <f>IF($I4551="","",IF(ISNUMBER($I4551),TEXT($I4551,"0"),$I4551))</f>
        <v/>
      </c>
    </row>
    <row r="4552">
      <c r="B4552" s="25" t="n"/>
      <c r="I4552" s="25" t="n"/>
      <c r="U4552" s="19">
        <f>IF($V4552&lt;&gt;'設定'!$C$4,N(U4551),IF(OR(NOT(COUNTIF('商品マスタ'!$B$6:$B$1005,$W4552)=0),COUNTIFS('①在庫を貼る'!$V$6:$V$10005,$V4552,'①在庫を貼る'!$W$6:$W$10005,$W4552)+COUNTIFS('月1回_1ヶ月前の在庫'!$V$6:$V$10005,$V4552,'月1回_1ヶ月前の在庫'!$W$6:$W$10005,$W4552)&gt;0),N(U4551),N(U4551)+1))</f>
        <v/>
      </c>
      <c r="V4552" s="19">
        <f>IF($B4552="","",TEXT($B4552,"0000"))</f>
        <v/>
      </c>
      <c r="W4552" s="19">
        <f>IF($I4552="","",IF(ISNUMBER($I4552),TEXT($I4552,"0"),$I4552))</f>
        <v/>
      </c>
    </row>
    <row r="4553">
      <c r="B4553" s="25" t="n"/>
      <c r="I4553" s="25" t="n"/>
      <c r="U4553" s="19">
        <f>IF($V4553&lt;&gt;'設定'!$C$4,N(U4552),IF(OR(NOT(COUNTIF('商品マスタ'!$B$6:$B$1005,$W4553)=0),COUNTIFS('①在庫を貼る'!$V$6:$V$10005,$V4553,'①在庫を貼る'!$W$6:$W$10005,$W4553)+COUNTIFS('月1回_1ヶ月前の在庫'!$V$6:$V$10005,$V4553,'月1回_1ヶ月前の在庫'!$W$6:$W$10005,$W4553)&gt;0),N(U4552),N(U4552)+1))</f>
        <v/>
      </c>
      <c r="V4553" s="19">
        <f>IF($B4553="","",TEXT($B4553,"0000"))</f>
        <v/>
      </c>
      <c r="W4553" s="19">
        <f>IF($I4553="","",IF(ISNUMBER($I4553),TEXT($I4553,"0"),$I4553))</f>
        <v/>
      </c>
    </row>
    <row r="4554">
      <c r="B4554" s="25" t="n"/>
      <c r="I4554" s="25" t="n"/>
      <c r="U4554" s="19">
        <f>IF($V4554&lt;&gt;'設定'!$C$4,N(U4553),IF(OR(NOT(COUNTIF('商品マスタ'!$B$6:$B$1005,$W4554)=0),COUNTIFS('①在庫を貼る'!$V$6:$V$10005,$V4554,'①在庫を貼る'!$W$6:$W$10005,$W4554)+COUNTIFS('月1回_1ヶ月前の在庫'!$V$6:$V$10005,$V4554,'月1回_1ヶ月前の在庫'!$W$6:$W$10005,$W4554)&gt;0),N(U4553),N(U4553)+1))</f>
        <v/>
      </c>
      <c r="V4554" s="19">
        <f>IF($B4554="","",TEXT($B4554,"0000"))</f>
        <v/>
      </c>
      <c r="W4554" s="19">
        <f>IF($I4554="","",IF(ISNUMBER($I4554),TEXT($I4554,"0"),$I4554))</f>
        <v/>
      </c>
    </row>
    <row r="4555">
      <c r="B4555" s="25" t="n"/>
      <c r="I4555" s="25" t="n"/>
      <c r="U4555" s="19">
        <f>IF($V4555&lt;&gt;'設定'!$C$4,N(U4554),IF(OR(NOT(COUNTIF('商品マスタ'!$B$6:$B$1005,$W4555)=0),COUNTIFS('①在庫を貼る'!$V$6:$V$10005,$V4555,'①在庫を貼る'!$W$6:$W$10005,$W4555)+COUNTIFS('月1回_1ヶ月前の在庫'!$V$6:$V$10005,$V4555,'月1回_1ヶ月前の在庫'!$W$6:$W$10005,$W4555)&gt;0),N(U4554),N(U4554)+1))</f>
        <v/>
      </c>
      <c r="V4555" s="19">
        <f>IF($B4555="","",TEXT($B4555,"0000"))</f>
        <v/>
      </c>
      <c r="W4555" s="19">
        <f>IF($I4555="","",IF(ISNUMBER($I4555),TEXT($I4555,"0"),$I4555))</f>
        <v/>
      </c>
    </row>
    <row r="4556">
      <c r="B4556" s="25" t="n"/>
      <c r="I4556" s="25" t="n"/>
      <c r="U4556" s="19">
        <f>IF($V4556&lt;&gt;'設定'!$C$4,N(U4555),IF(OR(NOT(COUNTIF('商品マスタ'!$B$6:$B$1005,$W4556)=0),COUNTIFS('①在庫を貼る'!$V$6:$V$10005,$V4556,'①在庫を貼る'!$W$6:$W$10005,$W4556)+COUNTIFS('月1回_1ヶ月前の在庫'!$V$6:$V$10005,$V4556,'月1回_1ヶ月前の在庫'!$W$6:$W$10005,$W4556)&gt;0),N(U4555),N(U4555)+1))</f>
        <v/>
      </c>
      <c r="V4556" s="19">
        <f>IF($B4556="","",TEXT($B4556,"0000"))</f>
        <v/>
      </c>
      <c r="W4556" s="19">
        <f>IF($I4556="","",IF(ISNUMBER($I4556),TEXT($I4556,"0"),$I4556))</f>
        <v/>
      </c>
    </row>
    <row r="4557">
      <c r="B4557" s="25" t="n"/>
      <c r="I4557" s="25" t="n"/>
      <c r="U4557" s="19">
        <f>IF($V4557&lt;&gt;'設定'!$C$4,N(U4556),IF(OR(NOT(COUNTIF('商品マスタ'!$B$6:$B$1005,$W4557)=0),COUNTIFS('①在庫を貼る'!$V$6:$V$10005,$V4557,'①在庫を貼る'!$W$6:$W$10005,$W4557)+COUNTIFS('月1回_1ヶ月前の在庫'!$V$6:$V$10005,$V4557,'月1回_1ヶ月前の在庫'!$W$6:$W$10005,$W4557)&gt;0),N(U4556),N(U4556)+1))</f>
        <v/>
      </c>
      <c r="V4557" s="19">
        <f>IF($B4557="","",TEXT($B4557,"0000"))</f>
        <v/>
      </c>
      <c r="W4557" s="19">
        <f>IF($I4557="","",IF(ISNUMBER($I4557),TEXT($I4557,"0"),$I4557))</f>
        <v/>
      </c>
    </row>
    <row r="4558">
      <c r="B4558" s="25" t="n"/>
      <c r="I4558" s="25" t="n"/>
      <c r="U4558" s="19">
        <f>IF($V4558&lt;&gt;'設定'!$C$4,N(U4557),IF(OR(NOT(COUNTIF('商品マスタ'!$B$6:$B$1005,$W4558)=0),COUNTIFS('①在庫を貼る'!$V$6:$V$10005,$V4558,'①在庫を貼る'!$W$6:$W$10005,$W4558)+COUNTIFS('月1回_1ヶ月前の在庫'!$V$6:$V$10005,$V4558,'月1回_1ヶ月前の在庫'!$W$6:$W$10005,$W4558)&gt;0),N(U4557),N(U4557)+1))</f>
        <v/>
      </c>
      <c r="V4558" s="19">
        <f>IF($B4558="","",TEXT($B4558,"0000"))</f>
        <v/>
      </c>
      <c r="W4558" s="19">
        <f>IF($I4558="","",IF(ISNUMBER($I4558),TEXT($I4558,"0"),$I4558))</f>
        <v/>
      </c>
    </row>
    <row r="4559">
      <c r="B4559" s="25" t="n"/>
      <c r="I4559" s="25" t="n"/>
      <c r="U4559" s="19">
        <f>IF($V4559&lt;&gt;'設定'!$C$4,N(U4558),IF(OR(NOT(COUNTIF('商品マスタ'!$B$6:$B$1005,$W4559)=0),COUNTIFS('①在庫を貼る'!$V$6:$V$10005,$V4559,'①在庫を貼る'!$W$6:$W$10005,$W4559)+COUNTIFS('月1回_1ヶ月前の在庫'!$V$6:$V$10005,$V4559,'月1回_1ヶ月前の在庫'!$W$6:$W$10005,$W4559)&gt;0),N(U4558),N(U4558)+1))</f>
        <v/>
      </c>
      <c r="V4559" s="19">
        <f>IF($B4559="","",TEXT($B4559,"0000"))</f>
        <v/>
      </c>
      <c r="W4559" s="19">
        <f>IF($I4559="","",IF(ISNUMBER($I4559),TEXT($I4559,"0"),$I4559))</f>
        <v/>
      </c>
    </row>
    <row r="4560">
      <c r="B4560" s="25" t="n"/>
      <c r="I4560" s="25" t="n"/>
      <c r="U4560" s="19">
        <f>IF($V4560&lt;&gt;'設定'!$C$4,N(U4559),IF(OR(NOT(COUNTIF('商品マスタ'!$B$6:$B$1005,$W4560)=0),COUNTIFS('①在庫を貼る'!$V$6:$V$10005,$V4560,'①在庫を貼る'!$W$6:$W$10005,$W4560)+COUNTIFS('月1回_1ヶ月前の在庫'!$V$6:$V$10005,$V4560,'月1回_1ヶ月前の在庫'!$W$6:$W$10005,$W4560)&gt;0),N(U4559),N(U4559)+1))</f>
        <v/>
      </c>
      <c r="V4560" s="19">
        <f>IF($B4560="","",TEXT($B4560,"0000"))</f>
        <v/>
      </c>
      <c r="W4560" s="19">
        <f>IF($I4560="","",IF(ISNUMBER($I4560),TEXT($I4560,"0"),$I4560))</f>
        <v/>
      </c>
    </row>
    <row r="4561">
      <c r="B4561" s="25" t="n"/>
      <c r="I4561" s="25" t="n"/>
      <c r="U4561" s="19">
        <f>IF($V4561&lt;&gt;'設定'!$C$4,N(U4560),IF(OR(NOT(COUNTIF('商品マスタ'!$B$6:$B$1005,$W4561)=0),COUNTIFS('①在庫を貼る'!$V$6:$V$10005,$V4561,'①在庫を貼る'!$W$6:$W$10005,$W4561)+COUNTIFS('月1回_1ヶ月前の在庫'!$V$6:$V$10005,$V4561,'月1回_1ヶ月前の在庫'!$W$6:$W$10005,$W4561)&gt;0),N(U4560),N(U4560)+1))</f>
        <v/>
      </c>
      <c r="V4561" s="19">
        <f>IF($B4561="","",TEXT($B4561,"0000"))</f>
        <v/>
      </c>
      <c r="W4561" s="19">
        <f>IF($I4561="","",IF(ISNUMBER($I4561),TEXT($I4561,"0"),$I4561))</f>
        <v/>
      </c>
    </row>
    <row r="4562">
      <c r="B4562" s="25" t="n"/>
      <c r="I4562" s="25" t="n"/>
      <c r="U4562" s="19">
        <f>IF($V4562&lt;&gt;'設定'!$C$4,N(U4561),IF(OR(NOT(COUNTIF('商品マスタ'!$B$6:$B$1005,$W4562)=0),COUNTIFS('①在庫を貼る'!$V$6:$V$10005,$V4562,'①在庫を貼る'!$W$6:$W$10005,$W4562)+COUNTIFS('月1回_1ヶ月前の在庫'!$V$6:$V$10005,$V4562,'月1回_1ヶ月前の在庫'!$W$6:$W$10005,$W4562)&gt;0),N(U4561),N(U4561)+1))</f>
        <v/>
      </c>
      <c r="V4562" s="19">
        <f>IF($B4562="","",TEXT($B4562,"0000"))</f>
        <v/>
      </c>
      <c r="W4562" s="19">
        <f>IF($I4562="","",IF(ISNUMBER($I4562),TEXT($I4562,"0"),$I4562))</f>
        <v/>
      </c>
    </row>
    <row r="4563">
      <c r="B4563" s="25" t="n"/>
      <c r="I4563" s="25" t="n"/>
      <c r="U4563" s="19">
        <f>IF($V4563&lt;&gt;'設定'!$C$4,N(U4562),IF(OR(NOT(COUNTIF('商品マスタ'!$B$6:$B$1005,$W4563)=0),COUNTIFS('①在庫を貼る'!$V$6:$V$10005,$V4563,'①在庫を貼る'!$W$6:$W$10005,$W4563)+COUNTIFS('月1回_1ヶ月前の在庫'!$V$6:$V$10005,$V4563,'月1回_1ヶ月前の在庫'!$W$6:$W$10005,$W4563)&gt;0),N(U4562),N(U4562)+1))</f>
        <v/>
      </c>
      <c r="V4563" s="19">
        <f>IF($B4563="","",TEXT($B4563,"0000"))</f>
        <v/>
      </c>
      <c r="W4563" s="19">
        <f>IF($I4563="","",IF(ISNUMBER($I4563),TEXT($I4563,"0"),$I4563))</f>
        <v/>
      </c>
    </row>
    <row r="4564">
      <c r="B4564" s="25" t="n"/>
      <c r="I4564" s="25" t="n"/>
      <c r="U4564" s="19">
        <f>IF($V4564&lt;&gt;'設定'!$C$4,N(U4563),IF(OR(NOT(COUNTIF('商品マスタ'!$B$6:$B$1005,$W4564)=0),COUNTIFS('①在庫を貼る'!$V$6:$V$10005,$V4564,'①在庫を貼る'!$W$6:$W$10005,$W4564)+COUNTIFS('月1回_1ヶ月前の在庫'!$V$6:$V$10005,$V4564,'月1回_1ヶ月前の在庫'!$W$6:$W$10005,$W4564)&gt;0),N(U4563),N(U4563)+1))</f>
        <v/>
      </c>
      <c r="V4564" s="19">
        <f>IF($B4564="","",TEXT($B4564,"0000"))</f>
        <v/>
      </c>
      <c r="W4564" s="19">
        <f>IF($I4564="","",IF(ISNUMBER($I4564),TEXT($I4564,"0"),$I4564))</f>
        <v/>
      </c>
    </row>
    <row r="4565">
      <c r="B4565" s="25" t="n"/>
      <c r="I4565" s="25" t="n"/>
      <c r="U4565" s="19">
        <f>IF($V4565&lt;&gt;'設定'!$C$4,N(U4564),IF(OR(NOT(COUNTIF('商品マスタ'!$B$6:$B$1005,$W4565)=0),COUNTIFS('①在庫を貼る'!$V$6:$V$10005,$V4565,'①在庫を貼る'!$W$6:$W$10005,$W4565)+COUNTIFS('月1回_1ヶ月前の在庫'!$V$6:$V$10005,$V4565,'月1回_1ヶ月前の在庫'!$W$6:$W$10005,$W4565)&gt;0),N(U4564),N(U4564)+1))</f>
        <v/>
      </c>
      <c r="V4565" s="19">
        <f>IF($B4565="","",TEXT($B4565,"0000"))</f>
        <v/>
      </c>
      <c r="W4565" s="19">
        <f>IF($I4565="","",IF(ISNUMBER($I4565),TEXT($I4565,"0"),$I4565))</f>
        <v/>
      </c>
    </row>
    <row r="4566">
      <c r="B4566" s="25" t="n"/>
      <c r="I4566" s="25" t="n"/>
      <c r="U4566" s="19">
        <f>IF($V4566&lt;&gt;'設定'!$C$4,N(U4565),IF(OR(NOT(COUNTIF('商品マスタ'!$B$6:$B$1005,$W4566)=0),COUNTIFS('①在庫を貼る'!$V$6:$V$10005,$V4566,'①在庫を貼る'!$W$6:$W$10005,$W4566)+COUNTIFS('月1回_1ヶ月前の在庫'!$V$6:$V$10005,$V4566,'月1回_1ヶ月前の在庫'!$W$6:$W$10005,$W4566)&gt;0),N(U4565),N(U4565)+1))</f>
        <v/>
      </c>
      <c r="V4566" s="19">
        <f>IF($B4566="","",TEXT($B4566,"0000"))</f>
        <v/>
      </c>
      <c r="W4566" s="19">
        <f>IF($I4566="","",IF(ISNUMBER($I4566),TEXT($I4566,"0"),$I4566))</f>
        <v/>
      </c>
    </row>
    <row r="4567">
      <c r="B4567" s="25" t="n"/>
      <c r="I4567" s="25" t="n"/>
      <c r="U4567" s="19">
        <f>IF($V4567&lt;&gt;'設定'!$C$4,N(U4566),IF(OR(NOT(COUNTIF('商品マスタ'!$B$6:$B$1005,$W4567)=0),COUNTIFS('①在庫を貼る'!$V$6:$V$10005,$V4567,'①在庫を貼る'!$W$6:$W$10005,$W4567)+COUNTIFS('月1回_1ヶ月前の在庫'!$V$6:$V$10005,$V4567,'月1回_1ヶ月前の在庫'!$W$6:$W$10005,$W4567)&gt;0),N(U4566),N(U4566)+1))</f>
        <v/>
      </c>
      <c r="V4567" s="19">
        <f>IF($B4567="","",TEXT($B4567,"0000"))</f>
        <v/>
      </c>
      <c r="W4567" s="19">
        <f>IF($I4567="","",IF(ISNUMBER($I4567),TEXT($I4567,"0"),$I4567))</f>
        <v/>
      </c>
    </row>
    <row r="4568">
      <c r="B4568" s="25" t="n"/>
      <c r="I4568" s="25" t="n"/>
      <c r="U4568" s="19">
        <f>IF($V4568&lt;&gt;'設定'!$C$4,N(U4567),IF(OR(NOT(COUNTIF('商品マスタ'!$B$6:$B$1005,$W4568)=0),COUNTIFS('①在庫を貼る'!$V$6:$V$10005,$V4568,'①在庫を貼る'!$W$6:$W$10005,$W4568)+COUNTIFS('月1回_1ヶ月前の在庫'!$V$6:$V$10005,$V4568,'月1回_1ヶ月前の在庫'!$W$6:$W$10005,$W4568)&gt;0),N(U4567),N(U4567)+1))</f>
        <v/>
      </c>
      <c r="V4568" s="19">
        <f>IF($B4568="","",TEXT($B4568,"0000"))</f>
        <v/>
      </c>
      <c r="W4568" s="19">
        <f>IF($I4568="","",IF(ISNUMBER($I4568),TEXT($I4568,"0"),$I4568))</f>
        <v/>
      </c>
    </row>
    <row r="4569">
      <c r="B4569" s="25" t="n"/>
      <c r="I4569" s="25" t="n"/>
      <c r="U4569" s="19">
        <f>IF($V4569&lt;&gt;'設定'!$C$4,N(U4568),IF(OR(NOT(COUNTIF('商品マスタ'!$B$6:$B$1005,$W4569)=0),COUNTIFS('①在庫を貼る'!$V$6:$V$10005,$V4569,'①在庫を貼る'!$W$6:$W$10005,$W4569)+COUNTIFS('月1回_1ヶ月前の在庫'!$V$6:$V$10005,$V4569,'月1回_1ヶ月前の在庫'!$W$6:$W$10005,$W4569)&gt;0),N(U4568),N(U4568)+1))</f>
        <v/>
      </c>
      <c r="V4569" s="19">
        <f>IF($B4569="","",TEXT($B4569,"0000"))</f>
        <v/>
      </c>
      <c r="W4569" s="19">
        <f>IF($I4569="","",IF(ISNUMBER($I4569),TEXT($I4569,"0"),$I4569))</f>
        <v/>
      </c>
    </row>
    <row r="4570">
      <c r="B4570" s="25" t="n"/>
      <c r="I4570" s="25" t="n"/>
      <c r="U4570" s="19">
        <f>IF($V4570&lt;&gt;'設定'!$C$4,N(U4569),IF(OR(NOT(COUNTIF('商品マスタ'!$B$6:$B$1005,$W4570)=0),COUNTIFS('①在庫を貼る'!$V$6:$V$10005,$V4570,'①在庫を貼る'!$W$6:$W$10005,$W4570)+COUNTIFS('月1回_1ヶ月前の在庫'!$V$6:$V$10005,$V4570,'月1回_1ヶ月前の在庫'!$W$6:$W$10005,$W4570)&gt;0),N(U4569),N(U4569)+1))</f>
        <v/>
      </c>
      <c r="V4570" s="19">
        <f>IF($B4570="","",TEXT($B4570,"0000"))</f>
        <v/>
      </c>
      <c r="W4570" s="19">
        <f>IF($I4570="","",IF(ISNUMBER($I4570),TEXT($I4570,"0"),$I4570))</f>
        <v/>
      </c>
    </row>
    <row r="4571">
      <c r="B4571" s="25" t="n"/>
      <c r="I4571" s="25" t="n"/>
      <c r="U4571" s="19">
        <f>IF($V4571&lt;&gt;'設定'!$C$4,N(U4570),IF(OR(NOT(COUNTIF('商品マスタ'!$B$6:$B$1005,$W4571)=0),COUNTIFS('①在庫を貼る'!$V$6:$V$10005,$V4571,'①在庫を貼る'!$W$6:$W$10005,$W4571)+COUNTIFS('月1回_1ヶ月前の在庫'!$V$6:$V$10005,$V4571,'月1回_1ヶ月前の在庫'!$W$6:$W$10005,$W4571)&gt;0),N(U4570),N(U4570)+1))</f>
        <v/>
      </c>
      <c r="V4571" s="19">
        <f>IF($B4571="","",TEXT($B4571,"0000"))</f>
        <v/>
      </c>
      <c r="W4571" s="19">
        <f>IF($I4571="","",IF(ISNUMBER($I4571),TEXT($I4571,"0"),$I4571))</f>
        <v/>
      </c>
    </row>
    <row r="4572">
      <c r="B4572" s="25" t="n"/>
      <c r="I4572" s="25" t="n"/>
      <c r="U4572" s="19">
        <f>IF($V4572&lt;&gt;'設定'!$C$4,N(U4571),IF(OR(NOT(COUNTIF('商品マスタ'!$B$6:$B$1005,$W4572)=0),COUNTIFS('①在庫を貼る'!$V$6:$V$10005,$V4572,'①在庫を貼る'!$W$6:$W$10005,$W4572)+COUNTIFS('月1回_1ヶ月前の在庫'!$V$6:$V$10005,$V4572,'月1回_1ヶ月前の在庫'!$W$6:$W$10005,$W4572)&gt;0),N(U4571),N(U4571)+1))</f>
        <v/>
      </c>
      <c r="V4572" s="19">
        <f>IF($B4572="","",TEXT($B4572,"0000"))</f>
        <v/>
      </c>
      <c r="W4572" s="19">
        <f>IF($I4572="","",IF(ISNUMBER($I4572),TEXT($I4572,"0"),$I4572))</f>
        <v/>
      </c>
    </row>
    <row r="4573">
      <c r="B4573" s="25" t="n"/>
      <c r="I4573" s="25" t="n"/>
      <c r="U4573" s="19">
        <f>IF($V4573&lt;&gt;'設定'!$C$4,N(U4572),IF(OR(NOT(COUNTIF('商品マスタ'!$B$6:$B$1005,$W4573)=0),COUNTIFS('①在庫を貼る'!$V$6:$V$10005,$V4573,'①在庫を貼る'!$W$6:$W$10005,$W4573)+COUNTIFS('月1回_1ヶ月前の在庫'!$V$6:$V$10005,$V4573,'月1回_1ヶ月前の在庫'!$W$6:$W$10005,$W4573)&gt;0),N(U4572),N(U4572)+1))</f>
        <v/>
      </c>
      <c r="V4573" s="19">
        <f>IF($B4573="","",TEXT($B4573,"0000"))</f>
        <v/>
      </c>
      <c r="W4573" s="19">
        <f>IF($I4573="","",IF(ISNUMBER($I4573),TEXT($I4573,"0"),$I4573))</f>
        <v/>
      </c>
    </row>
    <row r="4574">
      <c r="B4574" s="25" t="n"/>
      <c r="I4574" s="25" t="n"/>
      <c r="U4574" s="19">
        <f>IF($V4574&lt;&gt;'設定'!$C$4,N(U4573),IF(OR(NOT(COUNTIF('商品マスタ'!$B$6:$B$1005,$W4574)=0),COUNTIFS('①在庫を貼る'!$V$6:$V$10005,$V4574,'①在庫を貼る'!$W$6:$W$10005,$W4574)+COUNTIFS('月1回_1ヶ月前の在庫'!$V$6:$V$10005,$V4574,'月1回_1ヶ月前の在庫'!$W$6:$W$10005,$W4574)&gt;0),N(U4573),N(U4573)+1))</f>
        <v/>
      </c>
      <c r="V4574" s="19">
        <f>IF($B4574="","",TEXT($B4574,"0000"))</f>
        <v/>
      </c>
      <c r="W4574" s="19">
        <f>IF($I4574="","",IF(ISNUMBER($I4574),TEXT($I4574,"0"),$I4574))</f>
        <v/>
      </c>
    </row>
    <row r="4575">
      <c r="B4575" s="25" t="n"/>
      <c r="I4575" s="25" t="n"/>
      <c r="U4575" s="19">
        <f>IF($V4575&lt;&gt;'設定'!$C$4,N(U4574),IF(OR(NOT(COUNTIF('商品マスタ'!$B$6:$B$1005,$W4575)=0),COUNTIFS('①在庫を貼る'!$V$6:$V$10005,$V4575,'①在庫を貼る'!$W$6:$W$10005,$W4575)+COUNTIFS('月1回_1ヶ月前の在庫'!$V$6:$V$10005,$V4575,'月1回_1ヶ月前の在庫'!$W$6:$W$10005,$W4575)&gt;0),N(U4574),N(U4574)+1))</f>
        <v/>
      </c>
      <c r="V4575" s="19">
        <f>IF($B4575="","",TEXT($B4575,"0000"))</f>
        <v/>
      </c>
      <c r="W4575" s="19">
        <f>IF($I4575="","",IF(ISNUMBER($I4575),TEXT($I4575,"0"),$I4575))</f>
        <v/>
      </c>
    </row>
    <row r="4576">
      <c r="B4576" s="25" t="n"/>
      <c r="I4576" s="25" t="n"/>
      <c r="U4576" s="19">
        <f>IF($V4576&lt;&gt;'設定'!$C$4,N(U4575),IF(OR(NOT(COUNTIF('商品マスタ'!$B$6:$B$1005,$W4576)=0),COUNTIFS('①在庫を貼る'!$V$6:$V$10005,$V4576,'①在庫を貼る'!$W$6:$W$10005,$W4576)+COUNTIFS('月1回_1ヶ月前の在庫'!$V$6:$V$10005,$V4576,'月1回_1ヶ月前の在庫'!$W$6:$W$10005,$W4576)&gt;0),N(U4575),N(U4575)+1))</f>
        <v/>
      </c>
      <c r="V4576" s="19">
        <f>IF($B4576="","",TEXT($B4576,"0000"))</f>
        <v/>
      </c>
      <c r="W4576" s="19">
        <f>IF($I4576="","",IF(ISNUMBER($I4576),TEXT($I4576,"0"),$I4576))</f>
        <v/>
      </c>
    </row>
    <row r="4577">
      <c r="B4577" s="25" t="n"/>
      <c r="I4577" s="25" t="n"/>
      <c r="U4577" s="19">
        <f>IF($V4577&lt;&gt;'設定'!$C$4,N(U4576),IF(OR(NOT(COUNTIF('商品マスタ'!$B$6:$B$1005,$W4577)=0),COUNTIFS('①在庫を貼る'!$V$6:$V$10005,$V4577,'①在庫を貼る'!$W$6:$W$10005,$W4577)+COUNTIFS('月1回_1ヶ月前の在庫'!$V$6:$V$10005,$V4577,'月1回_1ヶ月前の在庫'!$W$6:$W$10005,$W4577)&gt;0),N(U4576),N(U4576)+1))</f>
        <v/>
      </c>
      <c r="V4577" s="19">
        <f>IF($B4577="","",TEXT($B4577,"0000"))</f>
        <v/>
      </c>
      <c r="W4577" s="19">
        <f>IF($I4577="","",IF(ISNUMBER($I4577),TEXT($I4577,"0"),$I4577))</f>
        <v/>
      </c>
    </row>
    <row r="4578">
      <c r="B4578" s="25" t="n"/>
      <c r="I4578" s="25" t="n"/>
      <c r="U4578" s="19">
        <f>IF($V4578&lt;&gt;'設定'!$C$4,N(U4577),IF(OR(NOT(COUNTIF('商品マスタ'!$B$6:$B$1005,$W4578)=0),COUNTIFS('①在庫を貼る'!$V$6:$V$10005,$V4578,'①在庫を貼る'!$W$6:$W$10005,$W4578)+COUNTIFS('月1回_1ヶ月前の在庫'!$V$6:$V$10005,$V4578,'月1回_1ヶ月前の在庫'!$W$6:$W$10005,$W4578)&gt;0),N(U4577),N(U4577)+1))</f>
        <v/>
      </c>
      <c r="V4578" s="19">
        <f>IF($B4578="","",TEXT($B4578,"0000"))</f>
        <v/>
      </c>
      <c r="W4578" s="19">
        <f>IF($I4578="","",IF(ISNUMBER($I4578),TEXT($I4578,"0"),$I4578))</f>
        <v/>
      </c>
    </row>
    <row r="4579">
      <c r="B4579" s="25" t="n"/>
      <c r="I4579" s="25" t="n"/>
      <c r="U4579" s="19">
        <f>IF($V4579&lt;&gt;'設定'!$C$4,N(U4578),IF(OR(NOT(COUNTIF('商品マスタ'!$B$6:$B$1005,$W4579)=0),COUNTIFS('①在庫を貼る'!$V$6:$V$10005,$V4579,'①在庫を貼る'!$W$6:$W$10005,$W4579)+COUNTIFS('月1回_1ヶ月前の在庫'!$V$6:$V$10005,$V4579,'月1回_1ヶ月前の在庫'!$W$6:$W$10005,$W4579)&gt;0),N(U4578),N(U4578)+1))</f>
        <v/>
      </c>
      <c r="V4579" s="19">
        <f>IF($B4579="","",TEXT($B4579,"0000"))</f>
        <v/>
      </c>
      <c r="W4579" s="19">
        <f>IF($I4579="","",IF(ISNUMBER($I4579),TEXT($I4579,"0"),$I4579))</f>
        <v/>
      </c>
    </row>
    <row r="4580">
      <c r="B4580" s="25" t="n"/>
      <c r="I4580" s="25" t="n"/>
      <c r="U4580" s="19">
        <f>IF($V4580&lt;&gt;'設定'!$C$4,N(U4579),IF(OR(NOT(COUNTIF('商品マスタ'!$B$6:$B$1005,$W4580)=0),COUNTIFS('①在庫を貼る'!$V$6:$V$10005,$V4580,'①在庫を貼る'!$W$6:$W$10005,$W4580)+COUNTIFS('月1回_1ヶ月前の在庫'!$V$6:$V$10005,$V4580,'月1回_1ヶ月前の在庫'!$W$6:$W$10005,$W4580)&gt;0),N(U4579),N(U4579)+1))</f>
        <v/>
      </c>
      <c r="V4580" s="19">
        <f>IF($B4580="","",TEXT($B4580,"0000"))</f>
        <v/>
      </c>
      <c r="W4580" s="19">
        <f>IF($I4580="","",IF(ISNUMBER($I4580),TEXT($I4580,"0"),$I4580))</f>
        <v/>
      </c>
    </row>
    <row r="4581">
      <c r="B4581" s="25" t="n"/>
      <c r="I4581" s="25" t="n"/>
      <c r="U4581" s="19">
        <f>IF($V4581&lt;&gt;'設定'!$C$4,N(U4580),IF(OR(NOT(COUNTIF('商品マスタ'!$B$6:$B$1005,$W4581)=0),COUNTIFS('①在庫を貼る'!$V$6:$V$10005,$V4581,'①在庫を貼る'!$W$6:$W$10005,$W4581)+COUNTIFS('月1回_1ヶ月前の在庫'!$V$6:$V$10005,$V4581,'月1回_1ヶ月前の在庫'!$W$6:$W$10005,$W4581)&gt;0),N(U4580),N(U4580)+1))</f>
        <v/>
      </c>
      <c r="V4581" s="19">
        <f>IF($B4581="","",TEXT($B4581,"0000"))</f>
        <v/>
      </c>
      <c r="W4581" s="19">
        <f>IF($I4581="","",IF(ISNUMBER($I4581),TEXT($I4581,"0"),$I4581))</f>
        <v/>
      </c>
    </row>
    <row r="4582">
      <c r="B4582" s="25" t="n"/>
      <c r="I4582" s="25" t="n"/>
      <c r="U4582" s="19">
        <f>IF($V4582&lt;&gt;'設定'!$C$4,N(U4581),IF(OR(NOT(COUNTIF('商品マスタ'!$B$6:$B$1005,$W4582)=0),COUNTIFS('①在庫を貼る'!$V$6:$V$10005,$V4582,'①在庫を貼る'!$W$6:$W$10005,$W4582)+COUNTIFS('月1回_1ヶ月前の在庫'!$V$6:$V$10005,$V4582,'月1回_1ヶ月前の在庫'!$W$6:$W$10005,$W4582)&gt;0),N(U4581),N(U4581)+1))</f>
        <v/>
      </c>
      <c r="V4582" s="19">
        <f>IF($B4582="","",TEXT($B4582,"0000"))</f>
        <v/>
      </c>
      <c r="W4582" s="19">
        <f>IF($I4582="","",IF(ISNUMBER($I4582),TEXT($I4582,"0"),$I4582))</f>
        <v/>
      </c>
    </row>
    <row r="4583">
      <c r="B4583" s="25" t="n"/>
      <c r="I4583" s="25" t="n"/>
      <c r="U4583" s="19">
        <f>IF($V4583&lt;&gt;'設定'!$C$4,N(U4582),IF(OR(NOT(COUNTIF('商品マスタ'!$B$6:$B$1005,$W4583)=0),COUNTIFS('①在庫を貼る'!$V$6:$V$10005,$V4583,'①在庫を貼る'!$W$6:$W$10005,$W4583)+COUNTIFS('月1回_1ヶ月前の在庫'!$V$6:$V$10005,$V4583,'月1回_1ヶ月前の在庫'!$W$6:$W$10005,$W4583)&gt;0),N(U4582),N(U4582)+1))</f>
        <v/>
      </c>
      <c r="V4583" s="19">
        <f>IF($B4583="","",TEXT($B4583,"0000"))</f>
        <v/>
      </c>
      <c r="W4583" s="19">
        <f>IF($I4583="","",IF(ISNUMBER($I4583),TEXT($I4583,"0"),$I4583))</f>
        <v/>
      </c>
    </row>
    <row r="4584">
      <c r="B4584" s="25" t="n"/>
      <c r="I4584" s="25" t="n"/>
      <c r="U4584" s="19">
        <f>IF($V4584&lt;&gt;'設定'!$C$4,N(U4583),IF(OR(NOT(COUNTIF('商品マスタ'!$B$6:$B$1005,$W4584)=0),COUNTIFS('①在庫を貼る'!$V$6:$V$10005,$V4584,'①在庫を貼る'!$W$6:$W$10005,$W4584)+COUNTIFS('月1回_1ヶ月前の在庫'!$V$6:$V$10005,$V4584,'月1回_1ヶ月前の在庫'!$W$6:$W$10005,$W4584)&gt;0),N(U4583),N(U4583)+1))</f>
        <v/>
      </c>
      <c r="V4584" s="19">
        <f>IF($B4584="","",TEXT($B4584,"0000"))</f>
        <v/>
      </c>
      <c r="W4584" s="19">
        <f>IF($I4584="","",IF(ISNUMBER($I4584),TEXT($I4584,"0"),$I4584))</f>
        <v/>
      </c>
    </row>
    <row r="4585">
      <c r="B4585" s="25" t="n"/>
      <c r="I4585" s="25" t="n"/>
      <c r="U4585" s="19">
        <f>IF($V4585&lt;&gt;'設定'!$C$4,N(U4584),IF(OR(NOT(COUNTIF('商品マスタ'!$B$6:$B$1005,$W4585)=0),COUNTIFS('①在庫を貼る'!$V$6:$V$10005,$V4585,'①在庫を貼る'!$W$6:$W$10005,$W4585)+COUNTIFS('月1回_1ヶ月前の在庫'!$V$6:$V$10005,$V4585,'月1回_1ヶ月前の在庫'!$W$6:$W$10005,$W4585)&gt;0),N(U4584),N(U4584)+1))</f>
        <v/>
      </c>
      <c r="V4585" s="19">
        <f>IF($B4585="","",TEXT($B4585,"0000"))</f>
        <v/>
      </c>
      <c r="W4585" s="19">
        <f>IF($I4585="","",IF(ISNUMBER($I4585),TEXT($I4585,"0"),$I4585))</f>
        <v/>
      </c>
    </row>
    <row r="4586">
      <c r="B4586" s="25" t="n"/>
      <c r="I4586" s="25" t="n"/>
      <c r="U4586" s="19">
        <f>IF($V4586&lt;&gt;'設定'!$C$4,N(U4585),IF(OR(NOT(COUNTIF('商品マスタ'!$B$6:$B$1005,$W4586)=0),COUNTIFS('①在庫を貼る'!$V$6:$V$10005,$V4586,'①在庫を貼る'!$W$6:$W$10005,$W4586)+COUNTIFS('月1回_1ヶ月前の在庫'!$V$6:$V$10005,$V4586,'月1回_1ヶ月前の在庫'!$W$6:$W$10005,$W4586)&gt;0),N(U4585),N(U4585)+1))</f>
        <v/>
      </c>
      <c r="V4586" s="19">
        <f>IF($B4586="","",TEXT($B4586,"0000"))</f>
        <v/>
      </c>
      <c r="W4586" s="19">
        <f>IF($I4586="","",IF(ISNUMBER($I4586),TEXT($I4586,"0"),$I4586))</f>
        <v/>
      </c>
    </row>
    <row r="4587">
      <c r="B4587" s="25" t="n"/>
      <c r="I4587" s="25" t="n"/>
      <c r="U4587" s="19">
        <f>IF($V4587&lt;&gt;'設定'!$C$4,N(U4586),IF(OR(NOT(COUNTIF('商品マスタ'!$B$6:$B$1005,$W4587)=0),COUNTIFS('①在庫を貼る'!$V$6:$V$10005,$V4587,'①在庫を貼る'!$W$6:$W$10005,$W4587)+COUNTIFS('月1回_1ヶ月前の在庫'!$V$6:$V$10005,$V4587,'月1回_1ヶ月前の在庫'!$W$6:$W$10005,$W4587)&gt;0),N(U4586),N(U4586)+1))</f>
        <v/>
      </c>
      <c r="V4587" s="19">
        <f>IF($B4587="","",TEXT($B4587,"0000"))</f>
        <v/>
      </c>
      <c r="W4587" s="19">
        <f>IF($I4587="","",IF(ISNUMBER($I4587),TEXT($I4587,"0"),$I4587))</f>
        <v/>
      </c>
    </row>
    <row r="4588">
      <c r="B4588" s="25" t="n"/>
      <c r="I4588" s="25" t="n"/>
      <c r="U4588" s="19">
        <f>IF($V4588&lt;&gt;'設定'!$C$4,N(U4587),IF(OR(NOT(COUNTIF('商品マスタ'!$B$6:$B$1005,$W4588)=0),COUNTIFS('①在庫を貼る'!$V$6:$V$10005,$V4588,'①在庫を貼る'!$W$6:$W$10005,$W4588)+COUNTIFS('月1回_1ヶ月前の在庫'!$V$6:$V$10005,$V4588,'月1回_1ヶ月前の在庫'!$W$6:$W$10005,$W4588)&gt;0),N(U4587),N(U4587)+1))</f>
        <v/>
      </c>
      <c r="V4588" s="19">
        <f>IF($B4588="","",TEXT($B4588,"0000"))</f>
        <v/>
      </c>
      <c r="W4588" s="19">
        <f>IF($I4588="","",IF(ISNUMBER($I4588),TEXT($I4588,"0"),$I4588))</f>
        <v/>
      </c>
    </row>
    <row r="4589">
      <c r="B4589" s="25" t="n"/>
      <c r="I4589" s="25" t="n"/>
      <c r="U4589" s="19">
        <f>IF($V4589&lt;&gt;'設定'!$C$4,N(U4588),IF(OR(NOT(COUNTIF('商品マスタ'!$B$6:$B$1005,$W4589)=0),COUNTIFS('①在庫を貼る'!$V$6:$V$10005,$V4589,'①在庫を貼る'!$W$6:$W$10005,$W4589)+COUNTIFS('月1回_1ヶ月前の在庫'!$V$6:$V$10005,$V4589,'月1回_1ヶ月前の在庫'!$W$6:$W$10005,$W4589)&gt;0),N(U4588),N(U4588)+1))</f>
        <v/>
      </c>
      <c r="V4589" s="19">
        <f>IF($B4589="","",TEXT($B4589,"0000"))</f>
        <v/>
      </c>
      <c r="W4589" s="19">
        <f>IF($I4589="","",IF(ISNUMBER($I4589),TEXT($I4589,"0"),$I4589))</f>
        <v/>
      </c>
    </row>
    <row r="4590">
      <c r="B4590" s="25" t="n"/>
      <c r="I4590" s="25" t="n"/>
      <c r="U4590" s="19">
        <f>IF($V4590&lt;&gt;'設定'!$C$4,N(U4589),IF(OR(NOT(COUNTIF('商品マスタ'!$B$6:$B$1005,$W4590)=0),COUNTIFS('①在庫を貼る'!$V$6:$V$10005,$V4590,'①在庫を貼る'!$W$6:$W$10005,$W4590)+COUNTIFS('月1回_1ヶ月前の在庫'!$V$6:$V$10005,$V4590,'月1回_1ヶ月前の在庫'!$W$6:$W$10005,$W4590)&gt;0),N(U4589),N(U4589)+1))</f>
        <v/>
      </c>
      <c r="V4590" s="19">
        <f>IF($B4590="","",TEXT($B4590,"0000"))</f>
        <v/>
      </c>
      <c r="W4590" s="19">
        <f>IF($I4590="","",IF(ISNUMBER($I4590),TEXT($I4590,"0"),$I4590))</f>
        <v/>
      </c>
    </row>
    <row r="4591">
      <c r="B4591" s="25" t="n"/>
      <c r="I4591" s="25" t="n"/>
      <c r="U4591" s="19">
        <f>IF($V4591&lt;&gt;'設定'!$C$4,N(U4590),IF(OR(NOT(COUNTIF('商品マスタ'!$B$6:$B$1005,$W4591)=0),COUNTIFS('①在庫を貼る'!$V$6:$V$10005,$V4591,'①在庫を貼る'!$W$6:$W$10005,$W4591)+COUNTIFS('月1回_1ヶ月前の在庫'!$V$6:$V$10005,$V4591,'月1回_1ヶ月前の在庫'!$W$6:$W$10005,$W4591)&gt;0),N(U4590),N(U4590)+1))</f>
        <v/>
      </c>
      <c r="V4591" s="19">
        <f>IF($B4591="","",TEXT($B4591,"0000"))</f>
        <v/>
      </c>
      <c r="W4591" s="19">
        <f>IF($I4591="","",IF(ISNUMBER($I4591),TEXT($I4591,"0"),$I4591))</f>
        <v/>
      </c>
    </row>
    <row r="4592">
      <c r="B4592" s="25" t="n"/>
      <c r="I4592" s="25" t="n"/>
      <c r="U4592" s="19">
        <f>IF($V4592&lt;&gt;'設定'!$C$4,N(U4591),IF(OR(NOT(COUNTIF('商品マスタ'!$B$6:$B$1005,$W4592)=0),COUNTIFS('①在庫を貼る'!$V$6:$V$10005,$V4592,'①在庫を貼る'!$W$6:$W$10005,$W4592)+COUNTIFS('月1回_1ヶ月前の在庫'!$V$6:$V$10005,$V4592,'月1回_1ヶ月前の在庫'!$W$6:$W$10005,$W4592)&gt;0),N(U4591),N(U4591)+1))</f>
        <v/>
      </c>
      <c r="V4592" s="19">
        <f>IF($B4592="","",TEXT($B4592,"0000"))</f>
        <v/>
      </c>
      <c r="W4592" s="19">
        <f>IF($I4592="","",IF(ISNUMBER($I4592),TEXT($I4592,"0"),$I4592))</f>
        <v/>
      </c>
    </row>
    <row r="4593">
      <c r="B4593" s="25" t="n"/>
      <c r="I4593" s="25" t="n"/>
      <c r="U4593" s="19">
        <f>IF($V4593&lt;&gt;'設定'!$C$4,N(U4592),IF(OR(NOT(COUNTIF('商品マスタ'!$B$6:$B$1005,$W4593)=0),COUNTIFS('①在庫を貼る'!$V$6:$V$10005,$V4593,'①在庫を貼る'!$W$6:$W$10005,$W4593)+COUNTIFS('月1回_1ヶ月前の在庫'!$V$6:$V$10005,$V4593,'月1回_1ヶ月前の在庫'!$W$6:$W$10005,$W4593)&gt;0),N(U4592),N(U4592)+1))</f>
        <v/>
      </c>
      <c r="V4593" s="19">
        <f>IF($B4593="","",TEXT($B4593,"0000"))</f>
        <v/>
      </c>
      <c r="W4593" s="19">
        <f>IF($I4593="","",IF(ISNUMBER($I4593),TEXT($I4593,"0"),$I4593))</f>
        <v/>
      </c>
    </row>
    <row r="4594">
      <c r="B4594" s="25" t="n"/>
      <c r="I4594" s="25" t="n"/>
      <c r="U4594" s="19">
        <f>IF($V4594&lt;&gt;'設定'!$C$4,N(U4593),IF(OR(NOT(COUNTIF('商品マスタ'!$B$6:$B$1005,$W4594)=0),COUNTIFS('①在庫を貼る'!$V$6:$V$10005,$V4594,'①在庫を貼る'!$W$6:$W$10005,$W4594)+COUNTIFS('月1回_1ヶ月前の在庫'!$V$6:$V$10005,$V4594,'月1回_1ヶ月前の在庫'!$W$6:$W$10005,$W4594)&gt;0),N(U4593),N(U4593)+1))</f>
        <v/>
      </c>
      <c r="V4594" s="19">
        <f>IF($B4594="","",TEXT($B4594,"0000"))</f>
        <v/>
      </c>
      <c r="W4594" s="19">
        <f>IF($I4594="","",IF(ISNUMBER($I4594),TEXT($I4594,"0"),$I4594))</f>
        <v/>
      </c>
    </row>
    <row r="4595">
      <c r="B4595" s="25" t="n"/>
      <c r="I4595" s="25" t="n"/>
      <c r="U4595" s="19">
        <f>IF($V4595&lt;&gt;'設定'!$C$4,N(U4594),IF(OR(NOT(COUNTIF('商品マスタ'!$B$6:$B$1005,$W4595)=0),COUNTIFS('①在庫を貼る'!$V$6:$V$10005,$V4595,'①在庫を貼る'!$W$6:$W$10005,$W4595)+COUNTIFS('月1回_1ヶ月前の在庫'!$V$6:$V$10005,$V4595,'月1回_1ヶ月前の在庫'!$W$6:$W$10005,$W4595)&gt;0),N(U4594),N(U4594)+1))</f>
        <v/>
      </c>
      <c r="V4595" s="19">
        <f>IF($B4595="","",TEXT($B4595,"0000"))</f>
        <v/>
      </c>
      <c r="W4595" s="19">
        <f>IF($I4595="","",IF(ISNUMBER($I4595),TEXT($I4595,"0"),$I4595))</f>
        <v/>
      </c>
    </row>
    <row r="4596">
      <c r="B4596" s="25" t="n"/>
      <c r="I4596" s="25" t="n"/>
      <c r="U4596" s="19">
        <f>IF($V4596&lt;&gt;'設定'!$C$4,N(U4595),IF(OR(NOT(COUNTIF('商品マスタ'!$B$6:$B$1005,$W4596)=0),COUNTIFS('①在庫を貼る'!$V$6:$V$10005,$V4596,'①在庫を貼る'!$W$6:$W$10005,$W4596)+COUNTIFS('月1回_1ヶ月前の在庫'!$V$6:$V$10005,$V4596,'月1回_1ヶ月前の在庫'!$W$6:$W$10005,$W4596)&gt;0),N(U4595),N(U4595)+1))</f>
        <v/>
      </c>
      <c r="V4596" s="19">
        <f>IF($B4596="","",TEXT($B4596,"0000"))</f>
        <v/>
      </c>
      <c r="W4596" s="19">
        <f>IF($I4596="","",IF(ISNUMBER($I4596),TEXT($I4596,"0"),$I4596))</f>
        <v/>
      </c>
    </row>
    <row r="4597">
      <c r="B4597" s="25" t="n"/>
      <c r="I4597" s="25" t="n"/>
      <c r="U4597" s="19">
        <f>IF($V4597&lt;&gt;'設定'!$C$4,N(U4596),IF(OR(NOT(COUNTIF('商品マスタ'!$B$6:$B$1005,$W4597)=0),COUNTIFS('①在庫を貼る'!$V$6:$V$10005,$V4597,'①在庫を貼る'!$W$6:$W$10005,$W4597)+COUNTIFS('月1回_1ヶ月前の在庫'!$V$6:$V$10005,$V4597,'月1回_1ヶ月前の在庫'!$W$6:$W$10005,$W4597)&gt;0),N(U4596),N(U4596)+1))</f>
        <v/>
      </c>
      <c r="V4597" s="19">
        <f>IF($B4597="","",TEXT($B4597,"0000"))</f>
        <v/>
      </c>
      <c r="W4597" s="19">
        <f>IF($I4597="","",IF(ISNUMBER($I4597),TEXT($I4597,"0"),$I4597))</f>
        <v/>
      </c>
    </row>
    <row r="4598">
      <c r="B4598" s="25" t="n"/>
      <c r="I4598" s="25" t="n"/>
      <c r="U4598" s="19">
        <f>IF($V4598&lt;&gt;'設定'!$C$4,N(U4597),IF(OR(NOT(COUNTIF('商品マスタ'!$B$6:$B$1005,$W4598)=0),COUNTIFS('①在庫を貼る'!$V$6:$V$10005,$V4598,'①在庫を貼る'!$W$6:$W$10005,$W4598)+COUNTIFS('月1回_1ヶ月前の在庫'!$V$6:$V$10005,$V4598,'月1回_1ヶ月前の在庫'!$W$6:$W$10005,$W4598)&gt;0),N(U4597),N(U4597)+1))</f>
        <v/>
      </c>
      <c r="V4598" s="19">
        <f>IF($B4598="","",TEXT($B4598,"0000"))</f>
        <v/>
      </c>
      <c r="W4598" s="19">
        <f>IF($I4598="","",IF(ISNUMBER($I4598),TEXT($I4598,"0"),$I4598))</f>
        <v/>
      </c>
    </row>
    <row r="4599">
      <c r="B4599" s="25" t="n"/>
      <c r="I4599" s="25" t="n"/>
      <c r="U4599" s="19">
        <f>IF($V4599&lt;&gt;'設定'!$C$4,N(U4598),IF(OR(NOT(COUNTIF('商品マスタ'!$B$6:$B$1005,$W4599)=0),COUNTIFS('①在庫を貼る'!$V$6:$V$10005,$V4599,'①在庫を貼る'!$W$6:$W$10005,$W4599)+COUNTIFS('月1回_1ヶ月前の在庫'!$V$6:$V$10005,$V4599,'月1回_1ヶ月前の在庫'!$W$6:$W$10005,$W4599)&gt;0),N(U4598),N(U4598)+1))</f>
        <v/>
      </c>
      <c r="V4599" s="19">
        <f>IF($B4599="","",TEXT($B4599,"0000"))</f>
        <v/>
      </c>
      <c r="W4599" s="19">
        <f>IF($I4599="","",IF(ISNUMBER($I4599),TEXT($I4599,"0"),$I4599))</f>
        <v/>
      </c>
    </row>
    <row r="4600">
      <c r="B4600" s="25" t="n"/>
      <c r="I4600" s="25" t="n"/>
      <c r="U4600" s="19">
        <f>IF($V4600&lt;&gt;'設定'!$C$4,N(U4599),IF(OR(NOT(COUNTIF('商品マスタ'!$B$6:$B$1005,$W4600)=0),COUNTIFS('①在庫を貼る'!$V$6:$V$10005,$V4600,'①在庫を貼る'!$W$6:$W$10005,$W4600)+COUNTIFS('月1回_1ヶ月前の在庫'!$V$6:$V$10005,$V4600,'月1回_1ヶ月前の在庫'!$W$6:$W$10005,$W4600)&gt;0),N(U4599),N(U4599)+1))</f>
        <v/>
      </c>
      <c r="V4600" s="19">
        <f>IF($B4600="","",TEXT($B4600,"0000"))</f>
        <v/>
      </c>
      <c r="W4600" s="19">
        <f>IF($I4600="","",IF(ISNUMBER($I4600),TEXT($I4600,"0"),$I4600))</f>
        <v/>
      </c>
    </row>
    <row r="4601">
      <c r="B4601" s="25" t="n"/>
      <c r="I4601" s="25" t="n"/>
      <c r="U4601" s="19">
        <f>IF($V4601&lt;&gt;'設定'!$C$4,N(U4600),IF(OR(NOT(COUNTIF('商品マスタ'!$B$6:$B$1005,$W4601)=0),COUNTIFS('①在庫を貼る'!$V$6:$V$10005,$V4601,'①在庫を貼る'!$W$6:$W$10005,$W4601)+COUNTIFS('月1回_1ヶ月前の在庫'!$V$6:$V$10005,$V4601,'月1回_1ヶ月前の在庫'!$W$6:$W$10005,$W4601)&gt;0),N(U4600),N(U4600)+1))</f>
        <v/>
      </c>
      <c r="V4601" s="19">
        <f>IF($B4601="","",TEXT($B4601,"0000"))</f>
        <v/>
      </c>
      <c r="W4601" s="19">
        <f>IF($I4601="","",IF(ISNUMBER($I4601),TEXT($I4601,"0"),$I4601))</f>
        <v/>
      </c>
    </row>
    <row r="4602">
      <c r="B4602" s="25" t="n"/>
      <c r="I4602" s="25" t="n"/>
      <c r="U4602" s="19">
        <f>IF($V4602&lt;&gt;'設定'!$C$4,N(U4601),IF(OR(NOT(COUNTIF('商品マスタ'!$B$6:$B$1005,$W4602)=0),COUNTIFS('①在庫を貼る'!$V$6:$V$10005,$V4602,'①在庫を貼る'!$W$6:$W$10005,$W4602)+COUNTIFS('月1回_1ヶ月前の在庫'!$V$6:$V$10005,$V4602,'月1回_1ヶ月前の在庫'!$W$6:$W$10005,$W4602)&gt;0),N(U4601),N(U4601)+1))</f>
        <v/>
      </c>
      <c r="V4602" s="19">
        <f>IF($B4602="","",TEXT($B4602,"0000"))</f>
        <v/>
      </c>
      <c r="W4602" s="19">
        <f>IF($I4602="","",IF(ISNUMBER($I4602),TEXT($I4602,"0"),$I4602))</f>
        <v/>
      </c>
    </row>
    <row r="4603">
      <c r="B4603" s="25" t="n"/>
      <c r="I4603" s="25" t="n"/>
      <c r="U4603" s="19">
        <f>IF($V4603&lt;&gt;'設定'!$C$4,N(U4602),IF(OR(NOT(COUNTIF('商品マスタ'!$B$6:$B$1005,$W4603)=0),COUNTIFS('①在庫を貼る'!$V$6:$V$10005,$V4603,'①在庫を貼る'!$W$6:$W$10005,$W4603)+COUNTIFS('月1回_1ヶ月前の在庫'!$V$6:$V$10005,$V4603,'月1回_1ヶ月前の在庫'!$W$6:$W$10005,$W4603)&gt;0),N(U4602),N(U4602)+1))</f>
        <v/>
      </c>
      <c r="V4603" s="19">
        <f>IF($B4603="","",TEXT($B4603,"0000"))</f>
        <v/>
      </c>
      <c r="W4603" s="19">
        <f>IF($I4603="","",IF(ISNUMBER($I4603),TEXT($I4603,"0"),$I4603))</f>
        <v/>
      </c>
    </row>
    <row r="4604">
      <c r="B4604" s="25" t="n"/>
      <c r="I4604" s="25" t="n"/>
      <c r="U4604" s="19">
        <f>IF($V4604&lt;&gt;'設定'!$C$4,N(U4603),IF(OR(NOT(COUNTIF('商品マスタ'!$B$6:$B$1005,$W4604)=0),COUNTIFS('①在庫を貼る'!$V$6:$V$10005,$V4604,'①在庫を貼る'!$W$6:$W$10005,$W4604)+COUNTIFS('月1回_1ヶ月前の在庫'!$V$6:$V$10005,$V4604,'月1回_1ヶ月前の在庫'!$W$6:$W$10005,$W4604)&gt;0),N(U4603),N(U4603)+1))</f>
        <v/>
      </c>
      <c r="V4604" s="19">
        <f>IF($B4604="","",TEXT($B4604,"0000"))</f>
        <v/>
      </c>
      <c r="W4604" s="19">
        <f>IF($I4604="","",IF(ISNUMBER($I4604),TEXT($I4604,"0"),$I4604))</f>
        <v/>
      </c>
    </row>
    <row r="4605">
      <c r="B4605" s="25" t="n"/>
      <c r="I4605" s="25" t="n"/>
      <c r="U4605" s="19">
        <f>IF($V4605&lt;&gt;'設定'!$C$4,N(U4604),IF(OR(NOT(COUNTIF('商品マスタ'!$B$6:$B$1005,$W4605)=0),COUNTIFS('①在庫を貼る'!$V$6:$V$10005,$V4605,'①在庫を貼る'!$W$6:$W$10005,$W4605)+COUNTIFS('月1回_1ヶ月前の在庫'!$V$6:$V$10005,$V4605,'月1回_1ヶ月前の在庫'!$W$6:$W$10005,$W4605)&gt;0),N(U4604),N(U4604)+1))</f>
        <v/>
      </c>
      <c r="V4605" s="19">
        <f>IF($B4605="","",TEXT($B4605,"0000"))</f>
        <v/>
      </c>
      <c r="W4605" s="19">
        <f>IF($I4605="","",IF(ISNUMBER($I4605),TEXT($I4605,"0"),$I4605))</f>
        <v/>
      </c>
    </row>
    <row r="4606">
      <c r="B4606" s="25" t="n"/>
      <c r="I4606" s="25" t="n"/>
      <c r="U4606" s="19">
        <f>IF($V4606&lt;&gt;'設定'!$C$4,N(U4605),IF(OR(NOT(COUNTIF('商品マスタ'!$B$6:$B$1005,$W4606)=0),COUNTIFS('①在庫を貼る'!$V$6:$V$10005,$V4606,'①在庫を貼る'!$W$6:$W$10005,$W4606)+COUNTIFS('月1回_1ヶ月前の在庫'!$V$6:$V$10005,$V4606,'月1回_1ヶ月前の在庫'!$W$6:$W$10005,$W4606)&gt;0),N(U4605),N(U4605)+1))</f>
        <v/>
      </c>
      <c r="V4606" s="19">
        <f>IF($B4606="","",TEXT($B4606,"0000"))</f>
        <v/>
      </c>
      <c r="W4606" s="19">
        <f>IF($I4606="","",IF(ISNUMBER($I4606),TEXT($I4606,"0"),$I4606))</f>
        <v/>
      </c>
    </row>
    <row r="4607">
      <c r="B4607" s="25" t="n"/>
      <c r="I4607" s="25" t="n"/>
      <c r="U4607" s="19">
        <f>IF($V4607&lt;&gt;'設定'!$C$4,N(U4606),IF(OR(NOT(COUNTIF('商品マスタ'!$B$6:$B$1005,$W4607)=0),COUNTIFS('①在庫を貼る'!$V$6:$V$10005,$V4607,'①在庫を貼る'!$W$6:$W$10005,$W4607)+COUNTIFS('月1回_1ヶ月前の在庫'!$V$6:$V$10005,$V4607,'月1回_1ヶ月前の在庫'!$W$6:$W$10005,$W4607)&gt;0),N(U4606),N(U4606)+1))</f>
        <v/>
      </c>
      <c r="V4607" s="19">
        <f>IF($B4607="","",TEXT($B4607,"0000"))</f>
        <v/>
      </c>
      <c r="W4607" s="19">
        <f>IF($I4607="","",IF(ISNUMBER($I4607),TEXT($I4607,"0"),$I4607))</f>
        <v/>
      </c>
    </row>
    <row r="4608">
      <c r="B4608" s="25" t="n"/>
      <c r="I4608" s="25" t="n"/>
      <c r="U4608" s="19">
        <f>IF($V4608&lt;&gt;'設定'!$C$4,N(U4607),IF(OR(NOT(COUNTIF('商品マスタ'!$B$6:$B$1005,$W4608)=0),COUNTIFS('①在庫を貼る'!$V$6:$V$10005,$V4608,'①在庫を貼る'!$W$6:$W$10005,$W4608)+COUNTIFS('月1回_1ヶ月前の在庫'!$V$6:$V$10005,$V4608,'月1回_1ヶ月前の在庫'!$W$6:$W$10005,$W4608)&gt;0),N(U4607),N(U4607)+1))</f>
        <v/>
      </c>
      <c r="V4608" s="19">
        <f>IF($B4608="","",TEXT($B4608,"0000"))</f>
        <v/>
      </c>
      <c r="W4608" s="19">
        <f>IF($I4608="","",IF(ISNUMBER($I4608),TEXT($I4608,"0"),$I4608))</f>
        <v/>
      </c>
    </row>
    <row r="4609">
      <c r="B4609" s="25" t="n"/>
      <c r="I4609" s="25" t="n"/>
      <c r="U4609" s="19">
        <f>IF($V4609&lt;&gt;'設定'!$C$4,N(U4608),IF(OR(NOT(COUNTIF('商品マスタ'!$B$6:$B$1005,$W4609)=0),COUNTIFS('①在庫を貼る'!$V$6:$V$10005,$V4609,'①在庫を貼る'!$W$6:$W$10005,$W4609)+COUNTIFS('月1回_1ヶ月前の在庫'!$V$6:$V$10005,$V4609,'月1回_1ヶ月前の在庫'!$W$6:$W$10005,$W4609)&gt;0),N(U4608),N(U4608)+1))</f>
        <v/>
      </c>
      <c r="V4609" s="19">
        <f>IF($B4609="","",TEXT($B4609,"0000"))</f>
        <v/>
      </c>
      <c r="W4609" s="19">
        <f>IF($I4609="","",IF(ISNUMBER($I4609),TEXT($I4609,"0"),$I4609))</f>
        <v/>
      </c>
    </row>
    <row r="4610">
      <c r="B4610" s="25" t="n"/>
      <c r="I4610" s="25" t="n"/>
      <c r="U4610" s="19">
        <f>IF($V4610&lt;&gt;'設定'!$C$4,N(U4609),IF(OR(NOT(COUNTIF('商品マスタ'!$B$6:$B$1005,$W4610)=0),COUNTIFS('①在庫を貼る'!$V$6:$V$10005,$V4610,'①在庫を貼る'!$W$6:$W$10005,$W4610)+COUNTIFS('月1回_1ヶ月前の在庫'!$V$6:$V$10005,$V4610,'月1回_1ヶ月前の在庫'!$W$6:$W$10005,$W4610)&gt;0),N(U4609),N(U4609)+1))</f>
        <v/>
      </c>
      <c r="V4610" s="19">
        <f>IF($B4610="","",TEXT($B4610,"0000"))</f>
        <v/>
      </c>
      <c r="W4610" s="19">
        <f>IF($I4610="","",IF(ISNUMBER($I4610),TEXT($I4610,"0"),$I4610))</f>
        <v/>
      </c>
    </row>
    <row r="4611">
      <c r="B4611" s="25" t="n"/>
      <c r="I4611" s="25" t="n"/>
      <c r="U4611" s="19">
        <f>IF($V4611&lt;&gt;'設定'!$C$4,N(U4610),IF(OR(NOT(COUNTIF('商品マスタ'!$B$6:$B$1005,$W4611)=0),COUNTIFS('①在庫を貼る'!$V$6:$V$10005,$V4611,'①在庫を貼る'!$W$6:$W$10005,$W4611)+COUNTIFS('月1回_1ヶ月前の在庫'!$V$6:$V$10005,$V4611,'月1回_1ヶ月前の在庫'!$W$6:$W$10005,$W4611)&gt;0),N(U4610),N(U4610)+1))</f>
        <v/>
      </c>
      <c r="V4611" s="19">
        <f>IF($B4611="","",TEXT($B4611,"0000"))</f>
        <v/>
      </c>
      <c r="W4611" s="19">
        <f>IF($I4611="","",IF(ISNUMBER($I4611),TEXT($I4611,"0"),$I4611))</f>
        <v/>
      </c>
    </row>
    <row r="4612">
      <c r="B4612" s="25" t="n"/>
      <c r="I4612" s="25" t="n"/>
      <c r="U4612" s="19">
        <f>IF($V4612&lt;&gt;'設定'!$C$4,N(U4611),IF(OR(NOT(COUNTIF('商品マスタ'!$B$6:$B$1005,$W4612)=0),COUNTIFS('①在庫を貼る'!$V$6:$V$10005,$V4612,'①在庫を貼る'!$W$6:$W$10005,$W4612)+COUNTIFS('月1回_1ヶ月前の在庫'!$V$6:$V$10005,$V4612,'月1回_1ヶ月前の在庫'!$W$6:$W$10005,$W4612)&gt;0),N(U4611),N(U4611)+1))</f>
        <v/>
      </c>
      <c r="V4612" s="19">
        <f>IF($B4612="","",TEXT($B4612,"0000"))</f>
        <v/>
      </c>
      <c r="W4612" s="19">
        <f>IF($I4612="","",IF(ISNUMBER($I4612),TEXT($I4612,"0"),$I4612))</f>
        <v/>
      </c>
    </row>
    <row r="4613">
      <c r="B4613" s="25" t="n"/>
      <c r="I4613" s="25" t="n"/>
      <c r="U4613" s="19">
        <f>IF($V4613&lt;&gt;'設定'!$C$4,N(U4612),IF(OR(NOT(COUNTIF('商品マスタ'!$B$6:$B$1005,$W4613)=0),COUNTIFS('①在庫を貼る'!$V$6:$V$10005,$V4613,'①在庫を貼る'!$W$6:$W$10005,$W4613)+COUNTIFS('月1回_1ヶ月前の在庫'!$V$6:$V$10005,$V4613,'月1回_1ヶ月前の在庫'!$W$6:$W$10005,$W4613)&gt;0),N(U4612),N(U4612)+1))</f>
        <v/>
      </c>
      <c r="V4613" s="19">
        <f>IF($B4613="","",TEXT($B4613,"0000"))</f>
        <v/>
      </c>
      <c r="W4613" s="19">
        <f>IF($I4613="","",IF(ISNUMBER($I4613),TEXT($I4613,"0"),$I4613))</f>
        <v/>
      </c>
    </row>
    <row r="4614">
      <c r="B4614" s="25" t="n"/>
      <c r="I4614" s="25" t="n"/>
      <c r="U4614" s="19">
        <f>IF($V4614&lt;&gt;'設定'!$C$4,N(U4613),IF(OR(NOT(COUNTIF('商品マスタ'!$B$6:$B$1005,$W4614)=0),COUNTIFS('①在庫を貼る'!$V$6:$V$10005,$V4614,'①在庫を貼る'!$W$6:$W$10005,$W4614)+COUNTIFS('月1回_1ヶ月前の在庫'!$V$6:$V$10005,$V4614,'月1回_1ヶ月前の在庫'!$W$6:$W$10005,$W4614)&gt;0),N(U4613),N(U4613)+1))</f>
        <v/>
      </c>
      <c r="V4614" s="19">
        <f>IF($B4614="","",TEXT($B4614,"0000"))</f>
        <v/>
      </c>
      <c r="W4614" s="19">
        <f>IF($I4614="","",IF(ISNUMBER($I4614),TEXT($I4614,"0"),$I4614))</f>
        <v/>
      </c>
    </row>
    <row r="4615">
      <c r="B4615" s="25" t="n"/>
      <c r="I4615" s="25" t="n"/>
      <c r="U4615" s="19">
        <f>IF($V4615&lt;&gt;'設定'!$C$4,N(U4614),IF(OR(NOT(COUNTIF('商品マスタ'!$B$6:$B$1005,$W4615)=0),COUNTIFS('①在庫を貼る'!$V$6:$V$10005,$V4615,'①在庫を貼る'!$W$6:$W$10005,$W4615)+COUNTIFS('月1回_1ヶ月前の在庫'!$V$6:$V$10005,$V4615,'月1回_1ヶ月前の在庫'!$W$6:$W$10005,$W4615)&gt;0),N(U4614),N(U4614)+1))</f>
        <v/>
      </c>
      <c r="V4615" s="19">
        <f>IF($B4615="","",TEXT($B4615,"0000"))</f>
        <v/>
      </c>
      <c r="W4615" s="19">
        <f>IF($I4615="","",IF(ISNUMBER($I4615),TEXT($I4615,"0"),$I4615))</f>
        <v/>
      </c>
    </row>
    <row r="4616">
      <c r="B4616" s="25" t="n"/>
      <c r="I4616" s="25" t="n"/>
      <c r="U4616" s="19">
        <f>IF($V4616&lt;&gt;'設定'!$C$4,N(U4615),IF(OR(NOT(COUNTIF('商品マスタ'!$B$6:$B$1005,$W4616)=0),COUNTIFS('①在庫を貼る'!$V$6:$V$10005,$V4616,'①在庫を貼る'!$W$6:$W$10005,$W4616)+COUNTIFS('月1回_1ヶ月前の在庫'!$V$6:$V$10005,$V4616,'月1回_1ヶ月前の在庫'!$W$6:$W$10005,$W4616)&gt;0),N(U4615),N(U4615)+1))</f>
        <v/>
      </c>
      <c r="V4616" s="19">
        <f>IF($B4616="","",TEXT($B4616,"0000"))</f>
        <v/>
      </c>
      <c r="W4616" s="19">
        <f>IF($I4616="","",IF(ISNUMBER($I4616),TEXT($I4616,"0"),$I4616))</f>
        <v/>
      </c>
    </row>
    <row r="4617">
      <c r="B4617" s="25" t="n"/>
      <c r="I4617" s="25" t="n"/>
      <c r="U4617" s="19">
        <f>IF($V4617&lt;&gt;'設定'!$C$4,N(U4616),IF(OR(NOT(COUNTIF('商品マスタ'!$B$6:$B$1005,$W4617)=0),COUNTIFS('①在庫を貼る'!$V$6:$V$10005,$V4617,'①在庫を貼る'!$W$6:$W$10005,$W4617)+COUNTIFS('月1回_1ヶ月前の在庫'!$V$6:$V$10005,$V4617,'月1回_1ヶ月前の在庫'!$W$6:$W$10005,$W4617)&gt;0),N(U4616),N(U4616)+1))</f>
        <v/>
      </c>
      <c r="V4617" s="19">
        <f>IF($B4617="","",TEXT($B4617,"0000"))</f>
        <v/>
      </c>
      <c r="W4617" s="19">
        <f>IF($I4617="","",IF(ISNUMBER($I4617),TEXT($I4617,"0"),$I4617))</f>
        <v/>
      </c>
    </row>
    <row r="4618">
      <c r="B4618" s="25" t="n"/>
      <c r="I4618" s="25" t="n"/>
      <c r="U4618" s="19">
        <f>IF($V4618&lt;&gt;'設定'!$C$4,N(U4617),IF(OR(NOT(COUNTIF('商品マスタ'!$B$6:$B$1005,$W4618)=0),COUNTIFS('①在庫を貼る'!$V$6:$V$10005,$V4618,'①在庫を貼る'!$W$6:$W$10005,$W4618)+COUNTIFS('月1回_1ヶ月前の在庫'!$V$6:$V$10005,$V4618,'月1回_1ヶ月前の在庫'!$W$6:$W$10005,$W4618)&gt;0),N(U4617),N(U4617)+1))</f>
        <v/>
      </c>
      <c r="V4618" s="19">
        <f>IF($B4618="","",TEXT($B4618,"0000"))</f>
        <v/>
      </c>
      <c r="W4618" s="19">
        <f>IF($I4618="","",IF(ISNUMBER($I4618),TEXT($I4618,"0"),$I4618))</f>
        <v/>
      </c>
    </row>
    <row r="4619">
      <c r="B4619" s="25" t="n"/>
      <c r="I4619" s="25" t="n"/>
      <c r="U4619" s="19">
        <f>IF($V4619&lt;&gt;'設定'!$C$4,N(U4618),IF(OR(NOT(COUNTIF('商品マスタ'!$B$6:$B$1005,$W4619)=0),COUNTIFS('①在庫を貼る'!$V$6:$V$10005,$V4619,'①在庫を貼る'!$W$6:$W$10005,$W4619)+COUNTIFS('月1回_1ヶ月前の在庫'!$V$6:$V$10005,$V4619,'月1回_1ヶ月前の在庫'!$W$6:$W$10005,$W4619)&gt;0),N(U4618),N(U4618)+1))</f>
        <v/>
      </c>
      <c r="V4619" s="19">
        <f>IF($B4619="","",TEXT($B4619,"0000"))</f>
        <v/>
      </c>
      <c r="W4619" s="19">
        <f>IF($I4619="","",IF(ISNUMBER($I4619),TEXT($I4619,"0"),$I4619))</f>
        <v/>
      </c>
    </row>
    <row r="4620">
      <c r="B4620" s="25" t="n"/>
      <c r="I4620" s="25" t="n"/>
      <c r="U4620" s="19">
        <f>IF($V4620&lt;&gt;'設定'!$C$4,N(U4619),IF(OR(NOT(COUNTIF('商品マスタ'!$B$6:$B$1005,$W4620)=0),COUNTIFS('①在庫を貼る'!$V$6:$V$10005,$V4620,'①在庫を貼る'!$W$6:$W$10005,$W4620)+COUNTIFS('月1回_1ヶ月前の在庫'!$V$6:$V$10005,$V4620,'月1回_1ヶ月前の在庫'!$W$6:$W$10005,$W4620)&gt;0),N(U4619),N(U4619)+1))</f>
        <v/>
      </c>
      <c r="V4620" s="19">
        <f>IF($B4620="","",TEXT($B4620,"0000"))</f>
        <v/>
      </c>
      <c r="W4620" s="19">
        <f>IF($I4620="","",IF(ISNUMBER($I4620),TEXT($I4620,"0"),$I4620))</f>
        <v/>
      </c>
    </row>
    <row r="4621">
      <c r="B4621" s="25" t="n"/>
      <c r="I4621" s="25" t="n"/>
      <c r="U4621" s="19">
        <f>IF($V4621&lt;&gt;'設定'!$C$4,N(U4620),IF(OR(NOT(COUNTIF('商品マスタ'!$B$6:$B$1005,$W4621)=0),COUNTIFS('①在庫を貼る'!$V$6:$V$10005,$V4621,'①在庫を貼る'!$W$6:$W$10005,$W4621)+COUNTIFS('月1回_1ヶ月前の在庫'!$V$6:$V$10005,$V4621,'月1回_1ヶ月前の在庫'!$W$6:$W$10005,$W4621)&gt;0),N(U4620),N(U4620)+1))</f>
        <v/>
      </c>
      <c r="V4621" s="19">
        <f>IF($B4621="","",TEXT($B4621,"0000"))</f>
        <v/>
      </c>
      <c r="W4621" s="19">
        <f>IF($I4621="","",IF(ISNUMBER($I4621),TEXT($I4621,"0"),$I4621))</f>
        <v/>
      </c>
    </row>
    <row r="4622">
      <c r="B4622" s="25" t="n"/>
      <c r="I4622" s="25" t="n"/>
      <c r="U4622" s="19">
        <f>IF($V4622&lt;&gt;'設定'!$C$4,N(U4621),IF(OR(NOT(COUNTIF('商品マスタ'!$B$6:$B$1005,$W4622)=0),COUNTIFS('①在庫を貼る'!$V$6:$V$10005,$V4622,'①在庫を貼る'!$W$6:$W$10005,$W4622)+COUNTIFS('月1回_1ヶ月前の在庫'!$V$6:$V$10005,$V4622,'月1回_1ヶ月前の在庫'!$W$6:$W$10005,$W4622)&gt;0),N(U4621),N(U4621)+1))</f>
        <v/>
      </c>
      <c r="V4622" s="19">
        <f>IF($B4622="","",TEXT($B4622,"0000"))</f>
        <v/>
      </c>
      <c r="W4622" s="19">
        <f>IF($I4622="","",IF(ISNUMBER($I4622),TEXT($I4622,"0"),$I4622))</f>
        <v/>
      </c>
    </row>
    <row r="4623">
      <c r="B4623" s="25" t="n"/>
      <c r="I4623" s="25" t="n"/>
      <c r="U4623" s="19">
        <f>IF($V4623&lt;&gt;'設定'!$C$4,N(U4622),IF(OR(NOT(COUNTIF('商品マスタ'!$B$6:$B$1005,$W4623)=0),COUNTIFS('①在庫を貼る'!$V$6:$V$10005,$V4623,'①在庫を貼る'!$W$6:$W$10005,$W4623)+COUNTIFS('月1回_1ヶ月前の在庫'!$V$6:$V$10005,$V4623,'月1回_1ヶ月前の在庫'!$W$6:$W$10005,$W4623)&gt;0),N(U4622),N(U4622)+1))</f>
        <v/>
      </c>
      <c r="V4623" s="19">
        <f>IF($B4623="","",TEXT($B4623,"0000"))</f>
        <v/>
      </c>
      <c r="W4623" s="19">
        <f>IF($I4623="","",IF(ISNUMBER($I4623),TEXT($I4623,"0"),$I4623))</f>
        <v/>
      </c>
    </row>
    <row r="4624">
      <c r="B4624" s="25" t="n"/>
      <c r="I4624" s="25" t="n"/>
      <c r="U4624" s="19">
        <f>IF($V4624&lt;&gt;'設定'!$C$4,N(U4623),IF(OR(NOT(COUNTIF('商品マスタ'!$B$6:$B$1005,$W4624)=0),COUNTIFS('①在庫を貼る'!$V$6:$V$10005,$V4624,'①在庫を貼る'!$W$6:$W$10005,$W4624)+COUNTIFS('月1回_1ヶ月前の在庫'!$V$6:$V$10005,$V4624,'月1回_1ヶ月前の在庫'!$W$6:$W$10005,$W4624)&gt;0),N(U4623),N(U4623)+1))</f>
        <v/>
      </c>
      <c r="V4624" s="19">
        <f>IF($B4624="","",TEXT($B4624,"0000"))</f>
        <v/>
      </c>
      <c r="W4624" s="19">
        <f>IF($I4624="","",IF(ISNUMBER($I4624),TEXT($I4624,"0"),$I4624))</f>
        <v/>
      </c>
    </row>
    <row r="4625">
      <c r="B4625" s="25" t="n"/>
      <c r="I4625" s="25" t="n"/>
      <c r="U4625" s="19">
        <f>IF($V4625&lt;&gt;'設定'!$C$4,N(U4624),IF(OR(NOT(COUNTIF('商品マスタ'!$B$6:$B$1005,$W4625)=0),COUNTIFS('①在庫を貼る'!$V$6:$V$10005,$V4625,'①在庫を貼る'!$W$6:$W$10005,$W4625)+COUNTIFS('月1回_1ヶ月前の在庫'!$V$6:$V$10005,$V4625,'月1回_1ヶ月前の在庫'!$W$6:$W$10005,$W4625)&gt;0),N(U4624),N(U4624)+1))</f>
        <v/>
      </c>
      <c r="V4625" s="19">
        <f>IF($B4625="","",TEXT($B4625,"0000"))</f>
        <v/>
      </c>
      <c r="W4625" s="19">
        <f>IF($I4625="","",IF(ISNUMBER($I4625),TEXT($I4625,"0"),$I4625))</f>
        <v/>
      </c>
    </row>
    <row r="4626">
      <c r="B4626" s="25" t="n"/>
      <c r="I4626" s="25" t="n"/>
      <c r="U4626" s="19">
        <f>IF($V4626&lt;&gt;'設定'!$C$4,N(U4625),IF(OR(NOT(COUNTIF('商品マスタ'!$B$6:$B$1005,$W4626)=0),COUNTIFS('①在庫を貼る'!$V$6:$V$10005,$V4626,'①在庫を貼る'!$W$6:$W$10005,$W4626)+COUNTIFS('月1回_1ヶ月前の在庫'!$V$6:$V$10005,$V4626,'月1回_1ヶ月前の在庫'!$W$6:$W$10005,$W4626)&gt;0),N(U4625),N(U4625)+1))</f>
        <v/>
      </c>
      <c r="V4626" s="19">
        <f>IF($B4626="","",TEXT($B4626,"0000"))</f>
        <v/>
      </c>
      <c r="W4626" s="19">
        <f>IF($I4626="","",IF(ISNUMBER($I4626),TEXT($I4626,"0"),$I4626))</f>
        <v/>
      </c>
    </row>
    <row r="4627">
      <c r="B4627" s="25" t="n"/>
      <c r="I4627" s="25" t="n"/>
      <c r="U4627" s="19">
        <f>IF($V4627&lt;&gt;'設定'!$C$4,N(U4626),IF(OR(NOT(COUNTIF('商品マスタ'!$B$6:$B$1005,$W4627)=0),COUNTIFS('①在庫を貼る'!$V$6:$V$10005,$V4627,'①在庫を貼る'!$W$6:$W$10005,$W4627)+COUNTIFS('月1回_1ヶ月前の在庫'!$V$6:$V$10005,$V4627,'月1回_1ヶ月前の在庫'!$W$6:$W$10005,$W4627)&gt;0),N(U4626),N(U4626)+1))</f>
        <v/>
      </c>
      <c r="V4627" s="19">
        <f>IF($B4627="","",TEXT($B4627,"0000"))</f>
        <v/>
      </c>
      <c r="W4627" s="19">
        <f>IF($I4627="","",IF(ISNUMBER($I4627),TEXT($I4627,"0"),$I4627))</f>
        <v/>
      </c>
    </row>
    <row r="4628">
      <c r="B4628" s="25" t="n"/>
      <c r="I4628" s="25" t="n"/>
      <c r="U4628" s="19">
        <f>IF($V4628&lt;&gt;'設定'!$C$4,N(U4627),IF(OR(NOT(COUNTIF('商品マスタ'!$B$6:$B$1005,$W4628)=0),COUNTIFS('①在庫を貼る'!$V$6:$V$10005,$V4628,'①在庫を貼る'!$W$6:$W$10005,$W4628)+COUNTIFS('月1回_1ヶ月前の在庫'!$V$6:$V$10005,$V4628,'月1回_1ヶ月前の在庫'!$W$6:$W$10005,$W4628)&gt;0),N(U4627),N(U4627)+1))</f>
        <v/>
      </c>
      <c r="V4628" s="19">
        <f>IF($B4628="","",TEXT($B4628,"0000"))</f>
        <v/>
      </c>
      <c r="W4628" s="19">
        <f>IF($I4628="","",IF(ISNUMBER($I4628),TEXT($I4628,"0"),$I4628))</f>
        <v/>
      </c>
    </row>
    <row r="4629">
      <c r="B4629" s="25" t="n"/>
      <c r="I4629" s="25" t="n"/>
      <c r="U4629" s="19">
        <f>IF($V4629&lt;&gt;'設定'!$C$4,N(U4628),IF(OR(NOT(COUNTIF('商品マスタ'!$B$6:$B$1005,$W4629)=0),COUNTIFS('①在庫を貼る'!$V$6:$V$10005,$V4629,'①在庫を貼る'!$W$6:$W$10005,$W4629)+COUNTIFS('月1回_1ヶ月前の在庫'!$V$6:$V$10005,$V4629,'月1回_1ヶ月前の在庫'!$W$6:$W$10005,$W4629)&gt;0),N(U4628),N(U4628)+1))</f>
        <v/>
      </c>
      <c r="V4629" s="19">
        <f>IF($B4629="","",TEXT($B4629,"0000"))</f>
        <v/>
      </c>
      <c r="W4629" s="19">
        <f>IF($I4629="","",IF(ISNUMBER($I4629),TEXT($I4629,"0"),$I4629))</f>
        <v/>
      </c>
    </row>
    <row r="4630">
      <c r="B4630" s="25" t="n"/>
      <c r="I4630" s="25" t="n"/>
      <c r="U4630" s="19">
        <f>IF($V4630&lt;&gt;'設定'!$C$4,N(U4629),IF(OR(NOT(COUNTIF('商品マスタ'!$B$6:$B$1005,$W4630)=0),COUNTIFS('①在庫を貼る'!$V$6:$V$10005,$V4630,'①在庫を貼る'!$W$6:$W$10005,$W4630)+COUNTIFS('月1回_1ヶ月前の在庫'!$V$6:$V$10005,$V4630,'月1回_1ヶ月前の在庫'!$W$6:$W$10005,$W4630)&gt;0),N(U4629),N(U4629)+1))</f>
        <v/>
      </c>
      <c r="V4630" s="19">
        <f>IF($B4630="","",TEXT($B4630,"0000"))</f>
        <v/>
      </c>
      <c r="W4630" s="19">
        <f>IF($I4630="","",IF(ISNUMBER($I4630),TEXT($I4630,"0"),$I4630))</f>
        <v/>
      </c>
    </row>
    <row r="4631">
      <c r="B4631" s="25" t="n"/>
      <c r="I4631" s="25" t="n"/>
      <c r="U4631" s="19">
        <f>IF($V4631&lt;&gt;'設定'!$C$4,N(U4630),IF(OR(NOT(COUNTIF('商品マスタ'!$B$6:$B$1005,$W4631)=0),COUNTIFS('①在庫を貼る'!$V$6:$V$10005,$V4631,'①在庫を貼る'!$W$6:$W$10005,$W4631)+COUNTIFS('月1回_1ヶ月前の在庫'!$V$6:$V$10005,$V4631,'月1回_1ヶ月前の在庫'!$W$6:$W$10005,$W4631)&gt;0),N(U4630),N(U4630)+1))</f>
        <v/>
      </c>
      <c r="V4631" s="19">
        <f>IF($B4631="","",TEXT($B4631,"0000"))</f>
        <v/>
      </c>
      <c r="W4631" s="19">
        <f>IF($I4631="","",IF(ISNUMBER($I4631),TEXT($I4631,"0"),$I4631))</f>
        <v/>
      </c>
    </row>
    <row r="4632">
      <c r="B4632" s="25" t="n"/>
      <c r="I4632" s="25" t="n"/>
      <c r="U4632" s="19">
        <f>IF($V4632&lt;&gt;'設定'!$C$4,N(U4631),IF(OR(NOT(COUNTIF('商品マスタ'!$B$6:$B$1005,$W4632)=0),COUNTIFS('①在庫を貼る'!$V$6:$V$10005,$V4632,'①在庫を貼る'!$W$6:$W$10005,$W4632)+COUNTIFS('月1回_1ヶ月前の在庫'!$V$6:$V$10005,$V4632,'月1回_1ヶ月前の在庫'!$W$6:$W$10005,$W4632)&gt;0),N(U4631),N(U4631)+1))</f>
        <v/>
      </c>
      <c r="V4632" s="19">
        <f>IF($B4632="","",TEXT($B4632,"0000"))</f>
        <v/>
      </c>
      <c r="W4632" s="19">
        <f>IF($I4632="","",IF(ISNUMBER($I4632),TEXT($I4632,"0"),$I4632))</f>
        <v/>
      </c>
    </row>
    <row r="4633">
      <c r="B4633" s="25" t="n"/>
      <c r="I4633" s="25" t="n"/>
      <c r="U4633" s="19">
        <f>IF($V4633&lt;&gt;'設定'!$C$4,N(U4632),IF(OR(NOT(COUNTIF('商品マスタ'!$B$6:$B$1005,$W4633)=0),COUNTIFS('①在庫を貼る'!$V$6:$V$10005,$V4633,'①在庫を貼る'!$W$6:$W$10005,$W4633)+COUNTIFS('月1回_1ヶ月前の在庫'!$V$6:$V$10005,$V4633,'月1回_1ヶ月前の在庫'!$W$6:$W$10005,$W4633)&gt;0),N(U4632),N(U4632)+1))</f>
        <v/>
      </c>
      <c r="V4633" s="19">
        <f>IF($B4633="","",TEXT($B4633,"0000"))</f>
        <v/>
      </c>
      <c r="W4633" s="19">
        <f>IF($I4633="","",IF(ISNUMBER($I4633),TEXT($I4633,"0"),$I4633))</f>
        <v/>
      </c>
    </row>
    <row r="4634">
      <c r="B4634" s="25" t="n"/>
      <c r="I4634" s="25" t="n"/>
      <c r="U4634" s="19">
        <f>IF($V4634&lt;&gt;'設定'!$C$4,N(U4633),IF(OR(NOT(COUNTIF('商品マスタ'!$B$6:$B$1005,$W4634)=0),COUNTIFS('①在庫を貼る'!$V$6:$V$10005,$V4634,'①在庫を貼る'!$W$6:$W$10005,$W4634)+COUNTIFS('月1回_1ヶ月前の在庫'!$V$6:$V$10005,$V4634,'月1回_1ヶ月前の在庫'!$W$6:$W$10005,$W4634)&gt;0),N(U4633),N(U4633)+1))</f>
        <v/>
      </c>
      <c r="V4634" s="19">
        <f>IF($B4634="","",TEXT($B4634,"0000"))</f>
        <v/>
      </c>
      <c r="W4634" s="19">
        <f>IF($I4634="","",IF(ISNUMBER($I4634),TEXT($I4634,"0"),$I4634))</f>
        <v/>
      </c>
    </row>
    <row r="4635">
      <c r="B4635" s="25" t="n"/>
      <c r="I4635" s="25" t="n"/>
      <c r="U4635" s="19">
        <f>IF($V4635&lt;&gt;'設定'!$C$4,N(U4634),IF(OR(NOT(COUNTIF('商品マスタ'!$B$6:$B$1005,$W4635)=0),COUNTIFS('①在庫を貼る'!$V$6:$V$10005,$V4635,'①在庫を貼る'!$W$6:$W$10005,$W4635)+COUNTIFS('月1回_1ヶ月前の在庫'!$V$6:$V$10005,$V4635,'月1回_1ヶ月前の在庫'!$W$6:$W$10005,$W4635)&gt;0),N(U4634),N(U4634)+1))</f>
        <v/>
      </c>
      <c r="V4635" s="19">
        <f>IF($B4635="","",TEXT($B4635,"0000"))</f>
        <v/>
      </c>
      <c r="W4635" s="19">
        <f>IF($I4635="","",IF(ISNUMBER($I4635),TEXT($I4635,"0"),$I4635))</f>
        <v/>
      </c>
    </row>
    <row r="4636">
      <c r="B4636" s="25" t="n"/>
      <c r="I4636" s="25" t="n"/>
      <c r="U4636" s="19">
        <f>IF($V4636&lt;&gt;'設定'!$C$4,N(U4635),IF(OR(NOT(COUNTIF('商品マスタ'!$B$6:$B$1005,$W4636)=0),COUNTIFS('①在庫を貼る'!$V$6:$V$10005,$V4636,'①在庫を貼る'!$W$6:$W$10005,$W4636)+COUNTIFS('月1回_1ヶ月前の在庫'!$V$6:$V$10005,$V4636,'月1回_1ヶ月前の在庫'!$W$6:$W$10005,$W4636)&gt;0),N(U4635),N(U4635)+1))</f>
        <v/>
      </c>
      <c r="V4636" s="19">
        <f>IF($B4636="","",TEXT($B4636,"0000"))</f>
        <v/>
      </c>
      <c r="W4636" s="19">
        <f>IF($I4636="","",IF(ISNUMBER($I4636),TEXT($I4636,"0"),$I4636))</f>
        <v/>
      </c>
    </row>
    <row r="4637">
      <c r="B4637" s="25" t="n"/>
      <c r="I4637" s="25" t="n"/>
      <c r="U4637" s="19">
        <f>IF($V4637&lt;&gt;'設定'!$C$4,N(U4636),IF(OR(NOT(COUNTIF('商品マスタ'!$B$6:$B$1005,$W4637)=0),COUNTIFS('①在庫を貼る'!$V$6:$V$10005,$V4637,'①在庫を貼る'!$W$6:$W$10005,$W4637)+COUNTIFS('月1回_1ヶ月前の在庫'!$V$6:$V$10005,$V4637,'月1回_1ヶ月前の在庫'!$W$6:$W$10005,$W4637)&gt;0),N(U4636),N(U4636)+1))</f>
        <v/>
      </c>
      <c r="V4637" s="19">
        <f>IF($B4637="","",TEXT($B4637,"0000"))</f>
        <v/>
      </c>
      <c r="W4637" s="19">
        <f>IF($I4637="","",IF(ISNUMBER($I4637),TEXT($I4637,"0"),$I4637))</f>
        <v/>
      </c>
    </row>
    <row r="4638">
      <c r="B4638" s="25" t="n"/>
      <c r="I4638" s="25" t="n"/>
      <c r="U4638" s="19">
        <f>IF($V4638&lt;&gt;'設定'!$C$4,N(U4637),IF(OR(NOT(COUNTIF('商品マスタ'!$B$6:$B$1005,$W4638)=0),COUNTIFS('①在庫を貼る'!$V$6:$V$10005,$V4638,'①在庫を貼る'!$W$6:$W$10005,$W4638)+COUNTIFS('月1回_1ヶ月前の在庫'!$V$6:$V$10005,$V4638,'月1回_1ヶ月前の在庫'!$W$6:$W$10005,$W4638)&gt;0),N(U4637),N(U4637)+1))</f>
        <v/>
      </c>
      <c r="V4638" s="19">
        <f>IF($B4638="","",TEXT($B4638,"0000"))</f>
        <v/>
      </c>
      <c r="W4638" s="19">
        <f>IF($I4638="","",IF(ISNUMBER($I4638),TEXT($I4638,"0"),$I4638))</f>
        <v/>
      </c>
    </row>
    <row r="4639">
      <c r="B4639" s="25" t="n"/>
      <c r="I4639" s="25" t="n"/>
      <c r="U4639" s="19">
        <f>IF($V4639&lt;&gt;'設定'!$C$4,N(U4638),IF(OR(NOT(COUNTIF('商品マスタ'!$B$6:$B$1005,$W4639)=0),COUNTIFS('①在庫を貼る'!$V$6:$V$10005,$V4639,'①在庫を貼る'!$W$6:$W$10005,$W4639)+COUNTIFS('月1回_1ヶ月前の在庫'!$V$6:$V$10005,$V4639,'月1回_1ヶ月前の在庫'!$W$6:$W$10005,$W4639)&gt;0),N(U4638),N(U4638)+1))</f>
        <v/>
      </c>
      <c r="V4639" s="19">
        <f>IF($B4639="","",TEXT($B4639,"0000"))</f>
        <v/>
      </c>
      <c r="W4639" s="19">
        <f>IF($I4639="","",IF(ISNUMBER($I4639),TEXT($I4639,"0"),$I4639))</f>
        <v/>
      </c>
    </row>
    <row r="4640">
      <c r="B4640" s="25" t="n"/>
      <c r="I4640" s="25" t="n"/>
      <c r="U4640" s="19">
        <f>IF($V4640&lt;&gt;'設定'!$C$4,N(U4639),IF(OR(NOT(COUNTIF('商品マスタ'!$B$6:$B$1005,$W4640)=0),COUNTIFS('①在庫を貼る'!$V$6:$V$10005,$V4640,'①在庫を貼る'!$W$6:$W$10005,$W4640)+COUNTIFS('月1回_1ヶ月前の在庫'!$V$6:$V$10005,$V4640,'月1回_1ヶ月前の在庫'!$W$6:$W$10005,$W4640)&gt;0),N(U4639),N(U4639)+1))</f>
        <v/>
      </c>
      <c r="V4640" s="19">
        <f>IF($B4640="","",TEXT($B4640,"0000"))</f>
        <v/>
      </c>
      <c r="W4640" s="19">
        <f>IF($I4640="","",IF(ISNUMBER($I4640),TEXT($I4640,"0"),$I4640))</f>
        <v/>
      </c>
    </row>
    <row r="4641">
      <c r="B4641" s="25" t="n"/>
      <c r="I4641" s="25" t="n"/>
      <c r="U4641" s="19">
        <f>IF($V4641&lt;&gt;'設定'!$C$4,N(U4640),IF(OR(NOT(COUNTIF('商品マスタ'!$B$6:$B$1005,$W4641)=0),COUNTIFS('①在庫を貼る'!$V$6:$V$10005,$V4641,'①在庫を貼る'!$W$6:$W$10005,$W4641)+COUNTIFS('月1回_1ヶ月前の在庫'!$V$6:$V$10005,$V4641,'月1回_1ヶ月前の在庫'!$W$6:$W$10005,$W4641)&gt;0),N(U4640),N(U4640)+1))</f>
        <v/>
      </c>
      <c r="V4641" s="19">
        <f>IF($B4641="","",TEXT($B4641,"0000"))</f>
        <v/>
      </c>
      <c r="W4641" s="19">
        <f>IF($I4641="","",IF(ISNUMBER($I4641),TEXT($I4641,"0"),$I4641))</f>
        <v/>
      </c>
    </row>
    <row r="4642">
      <c r="B4642" s="25" t="n"/>
      <c r="I4642" s="25" t="n"/>
      <c r="U4642" s="19">
        <f>IF($V4642&lt;&gt;'設定'!$C$4,N(U4641),IF(OR(NOT(COUNTIF('商品マスタ'!$B$6:$B$1005,$W4642)=0),COUNTIFS('①在庫を貼る'!$V$6:$V$10005,$V4642,'①在庫を貼る'!$W$6:$W$10005,$W4642)+COUNTIFS('月1回_1ヶ月前の在庫'!$V$6:$V$10005,$V4642,'月1回_1ヶ月前の在庫'!$W$6:$W$10005,$W4642)&gt;0),N(U4641),N(U4641)+1))</f>
        <v/>
      </c>
      <c r="V4642" s="19">
        <f>IF($B4642="","",TEXT($B4642,"0000"))</f>
        <v/>
      </c>
      <c r="W4642" s="19">
        <f>IF($I4642="","",IF(ISNUMBER($I4642),TEXT($I4642,"0"),$I4642))</f>
        <v/>
      </c>
    </row>
    <row r="4643">
      <c r="B4643" s="25" t="n"/>
      <c r="I4643" s="25" t="n"/>
      <c r="U4643" s="19">
        <f>IF($V4643&lt;&gt;'設定'!$C$4,N(U4642),IF(OR(NOT(COUNTIF('商品マスタ'!$B$6:$B$1005,$W4643)=0),COUNTIFS('①在庫を貼る'!$V$6:$V$10005,$V4643,'①在庫を貼る'!$W$6:$W$10005,$W4643)+COUNTIFS('月1回_1ヶ月前の在庫'!$V$6:$V$10005,$V4643,'月1回_1ヶ月前の在庫'!$W$6:$W$10005,$W4643)&gt;0),N(U4642),N(U4642)+1))</f>
        <v/>
      </c>
      <c r="V4643" s="19">
        <f>IF($B4643="","",TEXT($B4643,"0000"))</f>
        <v/>
      </c>
      <c r="W4643" s="19">
        <f>IF($I4643="","",IF(ISNUMBER($I4643),TEXT($I4643,"0"),$I4643))</f>
        <v/>
      </c>
    </row>
    <row r="4644">
      <c r="B4644" s="25" t="n"/>
      <c r="I4644" s="25" t="n"/>
      <c r="U4644" s="19">
        <f>IF($V4644&lt;&gt;'設定'!$C$4,N(U4643),IF(OR(NOT(COUNTIF('商品マスタ'!$B$6:$B$1005,$W4644)=0),COUNTIFS('①在庫を貼る'!$V$6:$V$10005,$V4644,'①在庫を貼る'!$W$6:$W$10005,$W4644)+COUNTIFS('月1回_1ヶ月前の在庫'!$V$6:$V$10005,$V4644,'月1回_1ヶ月前の在庫'!$W$6:$W$10005,$W4644)&gt;0),N(U4643),N(U4643)+1))</f>
        <v/>
      </c>
      <c r="V4644" s="19">
        <f>IF($B4644="","",TEXT($B4644,"0000"))</f>
        <v/>
      </c>
      <c r="W4644" s="19">
        <f>IF($I4644="","",IF(ISNUMBER($I4644),TEXT($I4644,"0"),$I4644))</f>
        <v/>
      </c>
    </row>
    <row r="4645">
      <c r="B4645" s="25" t="n"/>
      <c r="I4645" s="25" t="n"/>
      <c r="U4645" s="19">
        <f>IF($V4645&lt;&gt;'設定'!$C$4,N(U4644),IF(OR(NOT(COUNTIF('商品マスタ'!$B$6:$B$1005,$W4645)=0),COUNTIFS('①在庫を貼る'!$V$6:$V$10005,$V4645,'①在庫を貼る'!$W$6:$W$10005,$W4645)+COUNTIFS('月1回_1ヶ月前の在庫'!$V$6:$V$10005,$V4645,'月1回_1ヶ月前の在庫'!$W$6:$W$10005,$W4645)&gt;0),N(U4644),N(U4644)+1))</f>
        <v/>
      </c>
      <c r="V4645" s="19">
        <f>IF($B4645="","",TEXT($B4645,"0000"))</f>
        <v/>
      </c>
      <c r="W4645" s="19">
        <f>IF($I4645="","",IF(ISNUMBER($I4645),TEXT($I4645,"0"),$I4645))</f>
        <v/>
      </c>
    </row>
    <row r="4646">
      <c r="B4646" s="25" t="n"/>
      <c r="I4646" s="25" t="n"/>
      <c r="U4646" s="19">
        <f>IF($V4646&lt;&gt;'設定'!$C$4,N(U4645),IF(OR(NOT(COUNTIF('商品マスタ'!$B$6:$B$1005,$W4646)=0),COUNTIFS('①在庫を貼る'!$V$6:$V$10005,$V4646,'①在庫を貼る'!$W$6:$W$10005,$W4646)+COUNTIFS('月1回_1ヶ月前の在庫'!$V$6:$V$10005,$V4646,'月1回_1ヶ月前の在庫'!$W$6:$W$10005,$W4646)&gt;0),N(U4645),N(U4645)+1))</f>
        <v/>
      </c>
      <c r="V4646" s="19">
        <f>IF($B4646="","",TEXT($B4646,"0000"))</f>
        <v/>
      </c>
      <c r="W4646" s="19">
        <f>IF($I4646="","",IF(ISNUMBER($I4646),TEXT($I4646,"0"),$I4646))</f>
        <v/>
      </c>
    </row>
    <row r="4647">
      <c r="B4647" s="25" t="n"/>
      <c r="I4647" s="25" t="n"/>
      <c r="U4647" s="19">
        <f>IF($V4647&lt;&gt;'設定'!$C$4,N(U4646),IF(OR(NOT(COUNTIF('商品マスタ'!$B$6:$B$1005,$W4647)=0),COUNTIFS('①在庫を貼る'!$V$6:$V$10005,$V4647,'①在庫を貼る'!$W$6:$W$10005,$W4647)+COUNTIFS('月1回_1ヶ月前の在庫'!$V$6:$V$10005,$V4647,'月1回_1ヶ月前の在庫'!$W$6:$W$10005,$W4647)&gt;0),N(U4646),N(U4646)+1))</f>
        <v/>
      </c>
      <c r="V4647" s="19">
        <f>IF($B4647="","",TEXT($B4647,"0000"))</f>
        <v/>
      </c>
      <c r="W4647" s="19">
        <f>IF($I4647="","",IF(ISNUMBER($I4647),TEXT($I4647,"0"),$I4647))</f>
        <v/>
      </c>
    </row>
    <row r="4648">
      <c r="B4648" s="25" t="n"/>
      <c r="I4648" s="25" t="n"/>
      <c r="U4648" s="19">
        <f>IF($V4648&lt;&gt;'設定'!$C$4,N(U4647),IF(OR(NOT(COUNTIF('商品マスタ'!$B$6:$B$1005,$W4648)=0),COUNTIFS('①在庫を貼る'!$V$6:$V$10005,$V4648,'①在庫を貼る'!$W$6:$W$10005,$W4648)+COUNTIFS('月1回_1ヶ月前の在庫'!$V$6:$V$10005,$V4648,'月1回_1ヶ月前の在庫'!$W$6:$W$10005,$W4648)&gt;0),N(U4647),N(U4647)+1))</f>
        <v/>
      </c>
      <c r="V4648" s="19">
        <f>IF($B4648="","",TEXT($B4648,"0000"))</f>
        <v/>
      </c>
      <c r="W4648" s="19">
        <f>IF($I4648="","",IF(ISNUMBER($I4648),TEXT($I4648,"0"),$I4648))</f>
        <v/>
      </c>
    </row>
    <row r="4649">
      <c r="B4649" s="25" t="n"/>
      <c r="I4649" s="25" t="n"/>
      <c r="U4649" s="19">
        <f>IF($V4649&lt;&gt;'設定'!$C$4,N(U4648),IF(OR(NOT(COUNTIF('商品マスタ'!$B$6:$B$1005,$W4649)=0),COUNTIFS('①在庫を貼る'!$V$6:$V$10005,$V4649,'①在庫を貼る'!$W$6:$W$10005,$W4649)+COUNTIFS('月1回_1ヶ月前の在庫'!$V$6:$V$10005,$V4649,'月1回_1ヶ月前の在庫'!$W$6:$W$10005,$W4649)&gt;0),N(U4648),N(U4648)+1))</f>
        <v/>
      </c>
      <c r="V4649" s="19">
        <f>IF($B4649="","",TEXT($B4649,"0000"))</f>
        <v/>
      </c>
      <c r="W4649" s="19">
        <f>IF($I4649="","",IF(ISNUMBER($I4649),TEXT($I4649,"0"),$I4649))</f>
        <v/>
      </c>
    </row>
    <row r="4650">
      <c r="B4650" s="25" t="n"/>
      <c r="I4650" s="25" t="n"/>
      <c r="U4650" s="19">
        <f>IF($V4650&lt;&gt;'設定'!$C$4,N(U4649),IF(OR(NOT(COUNTIF('商品マスタ'!$B$6:$B$1005,$W4650)=0),COUNTIFS('①在庫を貼る'!$V$6:$V$10005,$V4650,'①在庫を貼る'!$W$6:$W$10005,$W4650)+COUNTIFS('月1回_1ヶ月前の在庫'!$V$6:$V$10005,$V4650,'月1回_1ヶ月前の在庫'!$W$6:$W$10005,$W4650)&gt;0),N(U4649),N(U4649)+1))</f>
        <v/>
      </c>
      <c r="V4650" s="19">
        <f>IF($B4650="","",TEXT($B4650,"0000"))</f>
        <v/>
      </c>
      <c r="W4650" s="19">
        <f>IF($I4650="","",IF(ISNUMBER($I4650),TEXT($I4650,"0"),$I4650))</f>
        <v/>
      </c>
    </row>
    <row r="4651">
      <c r="B4651" s="25" t="n"/>
      <c r="I4651" s="25" t="n"/>
      <c r="U4651" s="19">
        <f>IF($V4651&lt;&gt;'設定'!$C$4,N(U4650),IF(OR(NOT(COUNTIF('商品マスタ'!$B$6:$B$1005,$W4651)=0),COUNTIFS('①在庫を貼る'!$V$6:$V$10005,$V4651,'①在庫を貼る'!$W$6:$W$10005,$W4651)+COUNTIFS('月1回_1ヶ月前の在庫'!$V$6:$V$10005,$V4651,'月1回_1ヶ月前の在庫'!$W$6:$W$10005,$W4651)&gt;0),N(U4650),N(U4650)+1))</f>
        <v/>
      </c>
      <c r="V4651" s="19">
        <f>IF($B4651="","",TEXT($B4651,"0000"))</f>
        <v/>
      </c>
      <c r="W4651" s="19">
        <f>IF($I4651="","",IF(ISNUMBER($I4651),TEXT($I4651,"0"),$I4651))</f>
        <v/>
      </c>
    </row>
    <row r="4652">
      <c r="B4652" s="25" t="n"/>
      <c r="I4652" s="25" t="n"/>
      <c r="U4652" s="19">
        <f>IF($V4652&lt;&gt;'設定'!$C$4,N(U4651),IF(OR(NOT(COUNTIF('商品マスタ'!$B$6:$B$1005,$W4652)=0),COUNTIFS('①在庫を貼る'!$V$6:$V$10005,$V4652,'①在庫を貼る'!$W$6:$W$10005,$W4652)+COUNTIFS('月1回_1ヶ月前の在庫'!$V$6:$V$10005,$V4652,'月1回_1ヶ月前の在庫'!$W$6:$W$10005,$W4652)&gt;0),N(U4651),N(U4651)+1))</f>
        <v/>
      </c>
      <c r="V4652" s="19">
        <f>IF($B4652="","",TEXT($B4652,"0000"))</f>
        <v/>
      </c>
      <c r="W4652" s="19">
        <f>IF($I4652="","",IF(ISNUMBER($I4652),TEXT($I4652,"0"),$I4652))</f>
        <v/>
      </c>
    </row>
    <row r="4653">
      <c r="B4653" s="25" t="n"/>
      <c r="I4653" s="25" t="n"/>
      <c r="U4653" s="19">
        <f>IF($V4653&lt;&gt;'設定'!$C$4,N(U4652),IF(OR(NOT(COUNTIF('商品マスタ'!$B$6:$B$1005,$W4653)=0),COUNTIFS('①在庫を貼る'!$V$6:$V$10005,$V4653,'①在庫を貼る'!$W$6:$W$10005,$W4653)+COUNTIFS('月1回_1ヶ月前の在庫'!$V$6:$V$10005,$V4653,'月1回_1ヶ月前の在庫'!$W$6:$W$10005,$W4653)&gt;0),N(U4652),N(U4652)+1))</f>
        <v/>
      </c>
      <c r="V4653" s="19">
        <f>IF($B4653="","",TEXT($B4653,"0000"))</f>
        <v/>
      </c>
      <c r="W4653" s="19">
        <f>IF($I4653="","",IF(ISNUMBER($I4653),TEXT($I4653,"0"),$I4653))</f>
        <v/>
      </c>
    </row>
    <row r="4654">
      <c r="B4654" s="25" t="n"/>
      <c r="I4654" s="25" t="n"/>
      <c r="U4654" s="19">
        <f>IF($V4654&lt;&gt;'設定'!$C$4,N(U4653),IF(OR(NOT(COUNTIF('商品マスタ'!$B$6:$B$1005,$W4654)=0),COUNTIFS('①在庫を貼る'!$V$6:$V$10005,$V4654,'①在庫を貼る'!$W$6:$W$10005,$W4654)+COUNTIFS('月1回_1ヶ月前の在庫'!$V$6:$V$10005,$V4654,'月1回_1ヶ月前の在庫'!$W$6:$W$10005,$W4654)&gt;0),N(U4653),N(U4653)+1))</f>
        <v/>
      </c>
      <c r="V4654" s="19">
        <f>IF($B4654="","",TEXT($B4654,"0000"))</f>
        <v/>
      </c>
      <c r="W4654" s="19">
        <f>IF($I4654="","",IF(ISNUMBER($I4654),TEXT($I4654,"0"),$I4654))</f>
        <v/>
      </c>
    </row>
    <row r="4655">
      <c r="B4655" s="25" t="n"/>
      <c r="I4655" s="25" t="n"/>
      <c r="U4655" s="19">
        <f>IF($V4655&lt;&gt;'設定'!$C$4,N(U4654),IF(OR(NOT(COUNTIF('商品マスタ'!$B$6:$B$1005,$W4655)=0),COUNTIFS('①在庫を貼る'!$V$6:$V$10005,$V4655,'①在庫を貼る'!$W$6:$W$10005,$W4655)+COUNTIFS('月1回_1ヶ月前の在庫'!$V$6:$V$10005,$V4655,'月1回_1ヶ月前の在庫'!$W$6:$W$10005,$W4655)&gt;0),N(U4654),N(U4654)+1))</f>
        <v/>
      </c>
      <c r="V4655" s="19">
        <f>IF($B4655="","",TEXT($B4655,"0000"))</f>
        <v/>
      </c>
      <c r="W4655" s="19">
        <f>IF($I4655="","",IF(ISNUMBER($I4655),TEXT($I4655,"0"),$I4655))</f>
        <v/>
      </c>
    </row>
    <row r="4656">
      <c r="B4656" s="25" t="n"/>
      <c r="I4656" s="25" t="n"/>
      <c r="U4656" s="19">
        <f>IF($V4656&lt;&gt;'設定'!$C$4,N(U4655),IF(OR(NOT(COUNTIF('商品マスタ'!$B$6:$B$1005,$W4656)=0),COUNTIFS('①在庫を貼る'!$V$6:$V$10005,$V4656,'①在庫を貼る'!$W$6:$W$10005,$W4656)+COUNTIFS('月1回_1ヶ月前の在庫'!$V$6:$V$10005,$V4656,'月1回_1ヶ月前の在庫'!$W$6:$W$10005,$W4656)&gt;0),N(U4655),N(U4655)+1))</f>
        <v/>
      </c>
      <c r="V4656" s="19">
        <f>IF($B4656="","",TEXT($B4656,"0000"))</f>
        <v/>
      </c>
      <c r="W4656" s="19">
        <f>IF($I4656="","",IF(ISNUMBER($I4656),TEXT($I4656,"0"),$I4656))</f>
        <v/>
      </c>
    </row>
    <row r="4657">
      <c r="B4657" s="25" t="n"/>
      <c r="I4657" s="25" t="n"/>
      <c r="U4657" s="19">
        <f>IF($V4657&lt;&gt;'設定'!$C$4,N(U4656),IF(OR(NOT(COUNTIF('商品マスタ'!$B$6:$B$1005,$W4657)=0),COUNTIFS('①在庫を貼る'!$V$6:$V$10005,$V4657,'①在庫を貼る'!$W$6:$W$10005,$W4657)+COUNTIFS('月1回_1ヶ月前の在庫'!$V$6:$V$10005,$V4657,'月1回_1ヶ月前の在庫'!$W$6:$W$10005,$W4657)&gt;0),N(U4656),N(U4656)+1))</f>
        <v/>
      </c>
      <c r="V4657" s="19">
        <f>IF($B4657="","",TEXT($B4657,"0000"))</f>
        <v/>
      </c>
      <c r="W4657" s="19">
        <f>IF($I4657="","",IF(ISNUMBER($I4657),TEXT($I4657,"0"),$I4657))</f>
        <v/>
      </c>
    </row>
    <row r="4658">
      <c r="B4658" s="25" t="n"/>
      <c r="I4658" s="25" t="n"/>
      <c r="U4658" s="19">
        <f>IF($V4658&lt;&gt;'設定'!$C$4,N(U4657),IF(OR(NOT(COUNTIF('商品マスタ'!$B$6:$B$1005,$W4658)=0),COUNTIFS('①在庫を貼る'!$V$6:$V$10005,$V4658,'①在庫を貼る'!$W$6:$W$10005,$W4658)+COUNTIFS('月1回_1ヶ月前の在庫'!$V$6:$V$10005,$V4658,'月1回_1ヶ月前の在庫'!$W$6:$W$10005,$W4658)&gt;0),N(U4657),N(U4657)+1))</f>
        <v/>
      </c>
      <c r="V4658" s="19">
        <f>IF($B4658="","",TEXT($B4658,"0000"))</f>
        <v/>
      </c>
      <c r="W4658" s="19">
        <f>IF($I4658="","",IF(ISNUMBER($I4658),TEXT($I4658,"0"),$I4658))</f>
        <v/>
      </c>
    </row>
    <row r="4659">
      <c r="B4659" s="25" t="n"/>
      <c r="I4659" s="25" t="n"/>
      <c r="U4659" s="19">
        <f>IF($V4659&lt;&gt;'設定'!$C$4,N(U4658),IF(OR(NOT(COUNTIF('商品マスタ'!$B$6:$B$1005,$W4659)=0),COUNTIFS('①在庫を貼る'!$V$6:$V$10005,$V4659,'①在庫を貼る'!$W$6:$W$10005,$W4659)+COUNTIFS('月1回_1ヶ月前の在庫'!$V$6:$V$10005,$V4659,'月1回_1ヶ月前の在庫'!$W$6:$W$10005,$W4659)&gt;0),N(U4658),N(U4658)+1))</f>
        <v/>
      </c>
      <c r="V4659" s="19">
        <f>IF($B4659="","",TEXT($B4659,"0000"))</f>
        <v/>
      </c>
      <c r="W4659" s="19">
        <f>IF($I4659="","",IF(ISNUMBER($I4659),TEXT($I4659,"0"),$I4659))</f>
        <v/>
      </c>
    </row>
    <row r="4660">
      <c r="B4660" s="25" t="n"/>
      <c r="I4660" s="25" t="n"/>
      <c r="U4660" s="19">
        <f>IF($V4660&lt;&gt;'設定'!$C$4,N(U4659),IF(OR(NOT(COUNTIF('商品マスタ'!$B$6:$B$1005,$W4660)=0),COUNTIFS('①在庫を貼る'!$V$6:$V$10005,$V4660,'①在庫を貼る'!$W$6:$W$10005,$W4660)+COUNTIFS('月1回_1ヶ月前の在庫'!$V$6:$V$10005,$V4660,'月1回_1ヶ月前の在庫'!$W$6:$W$10005,$W4660)&gt;0),N(U4659),N(U4659)+1))</f>
        <v/>
      </c>
      <c r="V4660" s="19">
        <f>IF($B4660="","",TEXT($B4660,"0000"))</f>
        <v/>
      </c>
      <c r="W4660" s="19">
        <f>IF($I4660="","",IF(ISNUMBER($I4660),TEXT($I4660,"0"),$I4660))</f>
        <v/>
      </c>
    </row>
    <row r="4661">
      <c r="B4661" s="25" t="n"/>
      <c r="I4661" s="25" t="n"/>
      <c r="U4661" s="19">
        <f>IF($V4661&lt;&gt;'設定'!$C$4,N(U4660),IF(OR(NOT(COUNTIF('商品マスタ'!$B$6:$B$1005,$W4661)=0),COUNTIFS('①在庫を貼る'!$V$6:$V$10005,$V4661,'①在庫を貼る'!$W$6:$W$10005,$W4661)+COUNTIFS('月1回_1ヶ月前の在庫'!$V$6:$V$10005,$V4661,'月1回_1ヶ月前の在庫'!$W$6:$W$10005,$W4661)&gt;0),N(U4660),N(U4660)+1))</f>
        <v/>
      </c>
      <c r="V4661" s="19">
        <f>IF($B4661="","",TEXT($B4661,"0000"))</f>
        <v/>
      </c>
      <c r="W4661" s="19">
        <f>IF($I4661="","",IF(ISNUMBER($I4661),TEXT($I4661,"0"),$I4661))</f>
        <v/>
      </c>
    </row>
    <row r="4662">
      <c r="B4662" s="25" t="n"/>
      <c r="I4662" s="25" t="n"/>
      <c r="U4662" s="19">
        <f>IF($V4662&lt;&gt;'設定'!$C$4,N(U4661),IF(OR(NOT(COUNTIF('商品マスタ'!$B$6:$B$1005,$W4662)=0),COUNTIFS('①在庫を貼る'!$V$6:$V$10005,$V4662,'①在庫を貼る'!$W$6:$W$10005,$W4662)+COUNTIFS('月1回_1ヶ月前の在庫'!$V$6:$V$10005,$V4662,'月1回_1ヶ月前の在庫'!$W$6:$W$10005,$W4662)&gt;0),N(U4661),N(U4661)+1))</f>
        <v/>
      </c>
      <c r="V4662" s="19">
        <f>IF($B4662="","",TEXT($B4662,"0000"))</f>
        <v/>
      </c>
      <c r="W4662" s="19">
        <f>IF($I4662="","",IF(ISNUMBER($I4662),TEXT($I4662,"0"),$I4662))</f>
        <v/>
      </c>
    </row>
    <row r="4663">
      <c r="B4663" s="25" t="n"/>
      <c r="I4663" s="25" t="n"/>
      <c r="U4663" s="19">
        <f>IF($V4663&lt;&gt;'設定'!$C$4,N(U4662),IF(OR(NOT(COUNTIF('商品マスタ'!$B$6:$B$1005,$W4663)=0),COUNTIFS('①在庫を貼る'!$V$6:$V$10005,$V4663,'①在庫を貼る'!$W$6:$W$10005,$W4663)+COUNTIFS('月1回_1ヶ月前の在庫'!$V$6:$V$10005,$V4663,'月1回_1ヶ月前の在庫'!$W$6:$W$10005,$W4663)&gt;0),N(U4662),N(U4662)+1))</f>
        <v/>
      </c>
      <c r="V4663" s="19">
        <f>IF($B4663="","",TEXT($B4663,"0000"))</f>
        <v/>
      </c>
      <c r="W4663" s="19">
        <f>IF($I4663="","",IF(ISNUMBER($I4663),TEXT($I4663,"0"),$I4663))</f>
        <v/>
      </c>
    </row>
    <row r="4664">
      <c r="B4664" s="25" t="n"/>
      <c r="I4664" s="25" t="n"/>
      <c r="U4664" s="19">
        <f>IF($V4664&lt;&gt;'設定'!$C$4,N(U4663),IF(OR(NOT(COUNTIF('商品マスタ'!$B$6:$B$1005,$W4664)=0),COUNTIFS('①在庫を貼る'!$V$6:$V$10005,$V4664,'①在庫を貼る'!$W$6:$W$10005,$W4664)+COUNTIFS('月1回_1ヶ月前の在庫'!$V$6:$V$10005,$V4664,'月1回_1ヶ月前の在庫'!$W$6:$W$10005,$W4664)&gt;0),N(U4663),N(U4663)+1))</f>
        <v/>
      </c>
      <c r="V4664" s="19">
        <f>IF($B4664="","",TEXT($B4664,"0000"))</f>
        <v/>
      </c>
      <c r="W4664" s="19">
        <f>IF($I4664="","",IF(ISNUMBER($I4664),TEXT($I4664,"0"),$I4664))</f>
        <v/>
      </c>
    </row>
    <row r="4665">
      <c r="B4665" s="25" t="n"/>
      <c r="I4665" s="25" t="n"/>
      <c r="U4665" s="19">
        <f>IF($V4665&lt;&gt;'設定'!$C$4,N(U4664),IF(OR(NOT(COUNTIF('商品マスタ'!$B$6:$B$1005,$W4665)=0),COUNTIFS('①在庫を貼る'!$V$6:$V$10005,$V4665,'①在庫を貼る'!$W$6:$W$10005,$W4665)+COUNTIFS('月1回_1ヶ月前の在庫'!$V$6:$V$10005,$V4665,'月1回_1ヶ月前の在庫'!$W$6:$W$10005,$W4665)&gt;0),N(U4664),N(U4664)+1))</f>
        <v/>
      </c>
      <c r="V4665" s="19">
        <f>IF($B4665="","",TEXT($B4665,"0000"))</f>
        <v/>
      </c>
      <c r="W4665" s="19">
        <f>IF($I4665="","",IF(ISNUMBER($I4665),TEXT($I4665,"0"),$I4665))</f>
        <v/>
      </c>
    </row>
    <row r="4666">
      <c r="B4666" s="25" t="n"/>
      <c r="I4666" s="25" t="n"/>
      <c r="U4666" s="19">
        <f>IF($V4666&lt;&gt;'設定'!$C$4,N(U4665),IF(OR(NOT(COUNTIF('商品マスタ'!$B$6:$B$1005,$W4666)=0),COUNTIFS('①在庫を貼る'!$V$6:$V$10005,$V4666,'①在庫を貼る'!$W$6:$W$10005,$W4666)+COUNTIFS('月1回_1ヶ月前の在庫'!$V$6:$V$10005,$V4666,'月1回_1ヶ月前の在庫'!$W$6:$W$10005,$W4666)&gt;0),N(U4665),N(U4665)+1))</f>
        <v/>
      </c>
      <c r="V4666" s="19">
        <f>IF($B4666="","",TEXT($B4666,"0000"))</f>
        <v/>
      </c>
      <c r="W4666" s="19">
        <f>IF($I4666="","",IF(ISNUMBER($I4666),TEXT($I4666,"0"),$I4666))</f>
        <v/>
      </c>
    </row>
    <row r="4667">
      <c r="B4667" s="25" t="n"/>
      <c r="I4667" s="25" t="n"/>
      <c r="U4667" s="19">
        <f>IF($V4667&lt;&gt;'設定'!$C$4,N(U4666),IF(OR(NOT(COUNTIF('商品マスタ'!$B$6:$B$1005,$W4667)=0),COUNTIFS('①在庫を貼る'!$V$6:$V$10005,$V4667,'①在庫を貼る'!$W$6:$W$10005,$W4667)+COUNTIFS('月1回_1ヶ月前の在庫'!$V$6:$V$10005,$V4667,'月1回_1ヶ月前の在庫'!$W$6:$W$10005,$W4667)&gt;0),N(U4666),N(U4666)+1))</f>
        <v/>
      </c>
      <c r="V4667" s="19">
        <f>IF($B4667="","",TEXT($B4667,"0000"))</f>
        <v/>
      </c>
      <c r="W4667" s="19">
        <f>IF($I4667="","",IF(ISNUMBER($I4667),TEXT($I4667,"0"),$I4667))</f>
        <v/>
      </c>
    </row>
    <row r="4668">
      <c r="B4668" s="25" t="n"/>
      <c r="I4668" s="25" t="n"/>
      <c r="U4668" s="19">
        <f>IF($V4668&lt;&gt;'設定'!$C$4,N(U4667),IF(OR(NOT(COUNTIF('商品マスタ'!$B$6:$B$1005,$W4668)=0),COUNTIFS('①在庫を貼る'!$V$6:$V$10005,$V4668,'①在庫を貼る'!$W$6:$W$10005,$W4668)+COUNTIFS('月1回_1ヶ月前の在庫'!$V$6:$V$10005,$V4668,'月1回_1ヶ月前の在庫'!$W$6:$W$10005,$W4668)&gt;0),N(U4667),N(U4667)+1))</f>
        <v/>
      </c>
      <c r="V4668" s="19">
        <f>IF($B4668="","",TEXT($B4668,"0000"))</f>
        <v/>
      </c>
      <c r="W4668" s="19">
        <f>IF($I4668="","",IF(ISNUMBER($I4668),TEXT($I4668,"0"),$I4668))</f>
        <v/>
      </c>
    </row>
    <row r="4669">
      <c r="B4669" s="25" t="n"/>
      <c r="I4669" s="25" t="n"/>
      <c r="U4669" s="19">
        <f>IF($V4669&lt;&gt;'設定'!$C$4,N(U4668),IF(OR(NOT(COUNTIF('商品マスタ'!$B$6:$B$1005,$W4669)=0),COUNTIFS('①在庫を貼る'!$V$6:$V$10005,$V4669,'①在庫を貼る'!$W$6:$W$10005,$W4669)+COUNTIFS('月1回_1ヶ月前の在庫'!$V$6:$V$10005,$V4669,'月1回_1ヶ月前の在庫'!$W$6:$W$10005,$W4669)&gt;0),N(U4668),N(U4668)+1))</f>
        <v/>
      </c>
      <c r="V4669" s="19">
        <f>IF($B4669="","",TEXT($B4669,"0000"))</f>
        <v/>
      </c>
      <c r="W4669" s="19">
        <f>IF($I4669="","",IF(ISNUMBER($I4669),TEXT($I4669,"0"),$I4669))</f>
        <v/>
      </c>
    </row>
    <row r="4670">
      <c r="B4670" s="25" t="n"/>
      <c r="I4670" s="25" t="n"/>
      <c r="U4670" s="19">
        <f>IF($V4670&lt;&gt;'設定'!$C$4,N(U4669),IF(OR(NOT(COUNTIF('商品マスタ'!$B$6:$B$1005,$W4670)=0),COUNTIFS('①在庫を貼る'!$V$6:$V$10005,$V4670,'①在庫を貼る'!$W$6:$W$10005,$W4670)+COUNTIFS('月1回_1ヶ月前の在庫'!$V$6:$V$10005,$V4670,'月1回_1ヶ月前の在庫'!$W$6:$W$10005,$W4670)&gt;0),N(U4669),N(U4669)+1))</f>
        <v/>
      </c>
      <c r="V4670" s="19">
        <f>IF($B4670="","",TEXT($B4670,"0000"))</f>
        <v/>
      </c>
      <c r="W4670" s="19">
        <f>IF($I4670="","",IF(ISNUMBER($I4670),TEXT($I4670,"0"),$I4670))</f>
        <v/>
      </c>
    </row>
    <row r="4671">
      <c r="B4671" s="25" t="n"/>
      <c r="I4671" s="25" t="n"/>
      <c r="U4671" s="19">
        <f>IF($V4671&lt;&gt;'設定'!$C$4,N(U4670),IF(OR(NOT(COUNTIF('商品マスタ'!$B$6:$B$1005,$W4671)=0),COUNTIFS('①在庫を貼る'!$V$6:$V$10005,$V4671,'①在庫を貼る'!$W$6:$W$10005,$W4671)+COUNTIFS('月1回_1ヶ月前の在庫'!$V$6:$V$10005,$V4671,'月1回_1ヶ月前の在庫'!$W$6:$W$10005,$W4671)&gt;0),N(U4670),N(U4670)+1))</f>
        <v/>
      </c>
      <c r="V4671" s="19">
        <f>IF($B4671="","",TEXT($B4671,"0000"))</f>
        <v/>
      </c>
      <c r="W4671" s="19">
        <f>IF($I4671="","",IF(ISNUMBER($I4671),TEXT($I4671,"0"),$I4671))</f>
        <v/>
      </c>
    </row>
    <row r="4672">
      <c r="B4672" s="25" t="n"/>
      <c r="I4672" s="25" t="n"/>
      <c r="U4672" s="19">
        <f>IF($V4672&lt;&gt;'設定'!$C$4,N(U4671),IF(OR(NOT(COUNTIF('商品マスタ'!$B$6:$B$1005,$W4672)=0),COUNTIFS('①在庫を貼る'!$V$6:$V$10005,$V4672,'①在庫を貼る'!$W$6:$W$10005,$W4672)+COUNTIFS('月1回_1ヶ月前の在庫'!$V$6:$V$10005,$V4672,'月1回_1ヶ月前の在庫'!$W$6:$W$10005,$W4672)&gt;0),N(U4671),N(U4671)+1))</f>
        <v/>
      </c>
      <c r="V4672" s="19">
        <f>IF($B4672="","",TEXT($B4672,"0000"))</f>
        <v/>
      </c>
      <c r="W4672" s="19">
        <f>IF($I4672="","",IF(ISNUMBER($I4672),TEXT($I4672,"0"),$I4672))</f>
        <v/>
      </c>
    </row>
    <row r="4673">
      <c r="B4673" s="25" t="n"/>
      <c r="I4673" s="25" t="n"/>
      <c r="U4673" s="19">
        <f>IF($V4673&lt;&gt;'設定'!$C$4,N(U4672),IF(OR(NOT(COUNTIF('商品マスタ'!$B$6:$B$1005,$W4673)=0),COUNTIFS('①在庫を貼る'!$V$6:$V$10005,$V4673,'①在庫を貼る'!$W$6:$W$10005,$W4673)+COUNTIFS('月1回_1ヶ月前の在庫'!$V$6:$V$10005,$V4673,'月1回_1ヶ月前の在庫'!$W$6:$W$10005,$W4673)&gt;0),N(U4672),N(U4672)+1))</f>
        <v/>
      </c>
      <c r="V4673" s="19">
        <f>IF($B4673="","",TEXT($B4673,"0000"))</f>
        <v/>
      </c>
      <c r="W4673" s="19">
        <f>IF($I4673="","",IF(ISNUMBER($I4673),TEXT($I4673,"0"),$I4673))</f>
        <v/>
      </c>
    </row>
    <row r="4674">
      <c r="B4674" s="25" t="n"/>
      <c r="I4674" s="25" t="n"/>
      <c r="U4674" s="19">
        <f>IF($V4674&lt;&gt;'設定'!$C$4,N(U4673),IF(OR(NOT(COUNTIF('商品マスタ'!$B$6:$B$1005,$W4674)=0),COUNTIFS('①在庫を貼る'!$V$6:$V$10005,$V4674,'①在庫を貼る'!$W$6:$W$10005,$W4674)+COUNTIFS('月1回_1ヶ月前の在庫'!$V$6:$V$10005,$V4674,'月1回_1ヶ月前の在庫'!$W$6:$W$10005,$W4674)&gt;0),N(U4673),N(U4673)+1))</f>
        <v/>
      </c>
      <c r="V4674" s="19">
        <f>IF($B4674="","",TEXT($B4674,"0000"))</f>
        <v/>
      </c>
      <c r="W4674" s="19">
        <f>IF($I4674="","",IF(ISNUMBER($I4674),TEXT($I4674,"0"),$I4674))</f>
        <v/>
      </c>
    </row>
    <row r="4675">
      <c r="B4675" s="25" t="n"/>
      <c r="I4675" s="25" t="n"/>
      <c r="U4675" s="19">
        <f>IF($V4675&lt;&gt;'設定'!$C$4,N(U4674),IF(OR(NOT(COUNTIF('商品マスタ'!$B$6:$B$1005,$W4675)=0),COUNTIFS('①在庫を貼る'!$V$6:$V$10005,$V4675,'①在庫を貼る'!$W$6:$W$10005,$W4675)+COUNTIFS('月1回_1ヶ月前の在庫'!$V$6:$V$10005,$V4675,'月1回_1ヶ月前の在庫'!$W$6:$W$10005,$W4675)&gt;0),N(U4674),N(U4674)+1))</f>
        <v/>
      </c>
      <c r="V4675" s="19">
        <f>IF($B4675="","",TEXT($B4675,"0000"))</f>
        <v/>
      </c>
      <c r="W4675" s="19">
        <f>IF($I4675="","",IF(ISNUMBER($I4675),TEXT($I4675,"0"),$I4675))</f>
        <v/>
      </c>
    </row>
    <row r="4676">
      <c r="B4676" s="25" t="n"/>
      <c r="I4676" s="25" t="n"/>
      <c r="U4676" s="19">
        <f>IF($V4676&lt;&gt;'設定'!$C$4,N(U4675),IF(OR(NOT(COUNTIF('商品マスタ'!$B$6:$B$1005,$W4676)=0),COUNTIFS('①在庫を貼る'!$V$6:$V$10005,$V4676,'①在庫を貼る'!$W$6:$W$10005,$W4676)+COUNTIFS('月1回_1ヶ月前の在庫'!$V$6:$V$10005,$V4676,'月1回_1ヶ月前の在庫'!$W$6:$W$10005,$W4676)&gt;0),N(U4675),N(U4675)+1))</f>
        <v/>
      </c>
      <c r="V4676" s="19">
        <f>IF($B4676="","",TEXT($B4676,"0000"))</f>
        <v/>
      </c>
      <c r="W4676" s="19">
        <f>IF($I4676="","",IF(ISNUMBER($I4676),TEXT($I4676,"0"),$I4676))</f>
        <v/>
      </c>
    </row>
    <row r="4677">
      <c r="B4677" s="25" t="n"/>
      <c r="I4677" s="25" t="n"/>
      <c r="U4677" s="19">
        <f>IF($V4677&lt;&gt;'設定'!$C$4,N(U4676),IF(OR(NOT(COUNTIF('商品マスタ'!$B$6:$B$1005,$W4677)=0),COUNTIFS('①在庫を貼る'!$V$6:$V$10005,$V4677,'①在庫を貼る'!$W$6:$W$10005,$W4677)+COUNTIFS('月1回_1ヶ月前の在庫'!$V$6:$V$10005,$V4677,'月1回_1ヶ月前の在庫'!$W$6:$W$10005,$W4677)&gt;0),N(U4676),N(U4676)+1))</f>
        <v/>
      </c>
      <c r="V4677" s="19">
        <f>IF($B4677="","",TEXT($B4677,"0000"))</f>
        <v/>
      </c>
      <c r="W4677" s="19">
        <f>IF($I4677="","",IF(ISNUMBER($I4677),TEXT($I4677,"0"),$I4677))</f>
        <v/>
      </c>
    </row>
    <row r="4678">
      <c r="B4678" s="25" t="n"/>
      <c r="I4678" s="25" t="n"/>
      <c r="U4678" s="19">
        <f>IF($V4678&lt;&gt;'設定'!$C$4,N(U4677),IF(OR(NOT(COUNTIF('商品マスタ'!$B$6:$B$1005,$W4678)=0),COUNTIFS('①在庫を貼る'!$V$6:$V$10005,$V4678,'①在庫を貼る'!$W$6:$W$10005,$W4678)+COUNTIFS('月1回_1ヶ月前の在庫'!$V$6:$V$10005,$V4678,'月1回_1ヶ月前の在庫'!$W$6:$W$10005,$W4678)&gt;0),N(U4677),N(U4677)+1))</f>
        <v/>
      </c>
      <c r="V4678" s="19">
        <f>IF($B4678="","",TEXT($B4678,"0000"))</f>
        <v/>
      </c>
      <c r="W4678" s="19">
        <f>IF($I4678="","",IF(ISNUMBER($I4678),TEXT($I4678,"0"),$I4678))</f>
        <v/>
      </c>
    </row>
    <row r="4679">
      <c r="B4679" s="25" t="n"/>
      <c r="I4679" s="25" t="n"/>
      <c r="U4679" s="19">
        <f>IF($V4679&lt;&gt;'設定'!$C$4,N(U4678),IF(OR(NOT(COUNTIF('商品マスタ'!$B$6:$B$1005,$W4679)=0),COUNTIFS('①在庫を貼る'!$V$6:$V$10005,$V4679,'①在庫を貼る'!$W$6:$W$10005,$W4679)+COUNTIFS('月1回_1ヶ月前の在庫'!$V$6:$V$10005,$V4679,'月1回_1ヶ月前の在庫'!$W$6:$W$10005,$W4679)&gt;0),N(U4678),N(U4678)+1))</f>
        <v/>
      </c>
      <c r="V4679" s="19">
        <f>IF($B4679="","",TEXT($B4679,"0000"))</f>
        <v/>
      </c>
      <c r="W4679" s="19">
        <f>IF($I4679="","",IF(ISNUMBER($I4679),TEXT($I4679,"0"),$I4679))</f>
        <v/>
      </c>
    </row>
    <row r="4680">
      <c r="B4680" s="25" t="n"/>
      <c r="I4680" s="25" t="n"/>
      <c r="U4680" s="19">
        <f>IF($V4680&lt;&gt;'設定'!$C$4,N(U4679),IF(OR(NOT(COUNTIF('商品マスタ'!$B$6:$B$1005,$W4680)=0),COUNTIFS('①在庫を貼る'!$V$6:$V$10005,$V4680,'①在庫を貼る'!$W$6:$W$10005,$W4680)+COUNTIFS('月1回_1ヶ月前の在庫'!$V$6:$V$10005,$V4680,'月1回_1ヶ月前の在庫'!$W$6:$W$10005,$W4680)&gt;0),N(U4679),N(U4679)+1))</f>
        <v/>
      </c>
      <c r="V4680" s="19">
        <f>IF($B4680="","",TEXT($B4680,"0000"))</f>
        <v/>
      </c>
      <c r="W4680" s="19">
        <f>IF($I4680="","",IF(ISNUMBER($I4680),TEXT($I4680,"0"),$I4680))</f>
        <v/>
      </c>
    </row>
    <row r="4681">
      <c r="B4681" s="25" t="n"/>
      <c r="I4681" s="25" t="n"/>
      <c r="U4681" s="19">
        <f>IF($V4681&lt;&gt;'設定'!$C$4,N(U4680),IF(OR(NOT(COUNTIF('商品マスタ'!$B$6:$B$1005,$W4681)=0),COUNTIFS('①在庫を貼る'!$V$6:$V$10005,$V4681,'①在庫を貼る'!$W$6:$W$10005,$W4681)+COUNTIFS('月1回_1ヶ月前の在庫'!$V$6:$V$10005,$V4681,'月1回_1ヶ月前の在庫'!$W$6:$W$10005,$W4681)&gt;0),N(U4680),N(U4680)+1))</f>
        <v/>
      </c>
      <c r="V4681" s="19">
        <f>IF($B4681="","",TEXT($B4681,"0000"))</f>
        <v/>
      </c>
      <c r="W4681" s="19">
        <f>IF($I4681="","",IF(ISNUMBER($I4681),TEXT($I4681,"0"),$I4681))</f>
        <v/>
      </c>
    </row>
    <row r="4682">
      <c r="B4682" s="25" t="n"/>
      <c r="I4682" s="25" t="n"/>
      <c r="U4682" s="19">
        <f>IF($V4682&lt;&gt;'設定'!$C$4,N(U4681),IF(OR(NOT(COUNTIF('商品マスタ'!$B$6:$B$1005,$W4682)=0),COUNTIFS('①在庫を貼る'!$V$6:$V$10005,$V4682,'①在庫を貼る'!$W$6:$W$10005,$W4682)+COUNTIFS('月1回_1ヶ月前の在庫'!$V$6:$V$10005,$V4682,'月1回_1ヶ月前の在庫'!$W$6:$W$10005,$W4682)&gt;0),N(U4681),N(U4681)+1))</f>
        <v/>
      </c>
      <c r="V4682" s="19">
        <f>IF($B4682="","",TEXT($B4682,"0000"))</f>
        <v/>
      </c>
      <c r="W4682" s="19">
        <f>IF($I4682="","",IF(ISNUMBER($I4682),TEXT($I4682,"0"),$I4682))</f>
        <v/>
      </c>
    </row>
    <row r="4683">
      <c r="B4683" s="25" t="n"/>
      <c r="I4683" s="25" t="n"/>
      <c r="U4683" s="19">
        <f>IF($V4683&lt;&gt;'設定'!$C$4,N(U4682),IF(OR(NOT(COUNTIF('商品マスタ'!$B$6:$B$1005,$W4683)=0),COUNTIFS('①在庫を貼る'!$V$6:$V$10005,$V4683,'①在庫を貼る'!$W$6:$W$10005,$W4683)+COUNTIFS('月1回_1ヶ月前の在庫'!$V$6:$V$10005,$V4683,'月1回_1ヶ月前の在庫'!$W$6:$W$10005,$W4683)&gt;0),N(U4682),N(U4682)+1))</f>
        <v/>
      </c>
      <c r="V4683" s="19">
        <f>IF($B4683="","",TEXT($B4683,"0000"))</f>
        <v/>
      </c>
      <c r="W4683" s="19">
        <f>IF($I4683="","",IF(ISNUMBER($I4683),TEXT($I4683,"0"),$I4683))</f>
        <v/>
      </c>
    </row>
    <row r="4684">
      <c r="B4684" s="25" t="n"/>
      <c r="I4684" s="25" t="n"/>
      <c r="U4684" s="19">
        <f>IF($V4684&lt;&gt;'設定'!$C$4,N(U4683),IF(OR(NOT(COUNTIF('商品マスタ'!$B$6:$B$1005,$W4684)=0),COUNTIFS('①在庫を貼る'!$V$6:$V$10005,$V4684,'①在庫を貼る'!$W$6:$W$10005,$W4684)+COUNTIFS('月1回_1ヶ月前の在庫'!$V$6:$V$10005,$V4684,'月1回_1ヶ月前の在庫'!$W$6:$W$10005,$W4684)&gt;0),N(U4683),N(U4683)+1))</f>
        <v/>
      </c>
      <c r="V4684" s="19">
        <f>IF($B4684="","",TEXT($B4684,"0000"))</f>
        <v/>
      </c>
      <c r="W4684" s="19">
        <f>IF($I4684="","",IF(ISNUMBER($I4684),TEXT($I4684,"0"),$I4684))</f>
        <v/>
      </c>
    </row>
    <row r="4685">
      <c r="B4685" s="25" t="n"/>
      <c r="I4685" s="25" t="n"/>
      <c r="U4685" s="19">
        <f>IF($V4685&lt;&gt;'設定'!$C$4,N(U4684),IF(OR(NOT(COUNTIF('商品マスタ'!$B$6:$B$1005,$W4685)=0),COUNTIFS('①在庫を貼る'!$V$6:$V$10005,$V4685,'①在庫を貼る'!$W$6:$W$10005,$W4685)+COUNTIFS('月1回_1ヶ月前の在庫'!$V$6:$V$10005,$V4685,'月1回_1ヶ月前の在庫'!$W$6:$W$10005,$W4685)&gt;0),N(U4684),N(U4684)+1))</f>
        <v/>
      </c>
      <c r="V4685" s="19">
        <f>IF($B4685="","",TEXT($B4685,"0000"))</f>
        <v/>
      </c>
      <c r="W4685" s="19">
        <f>IF($I4685="","",IF(ISNUMBER($I4685),TEXT($I4685,"0"),$I4685))</f>
        <v/>
      </c>
    </row>
    <row r="4686">
      <c r="B4686" s="25" t="n"/>
      <c r="I4686" s="25" t="n"/>
      <c r="U4686" s="19">
        <f>IF($V4686&lt;&gt;'設定'!$C$4,N(U4685),IF(OR(NOT(COUNTIF('商品マスタ'!$B$6:$B$1005,$W4686)=0),COUNTIFS('①在庫を貼る'!$V$6:$V$10005,$V4686,'①在庫を貼る'!$W$6:$W$10005,$W4686)+COUNTIFS('月1回_1ヶ月前の在庫'!$V$6:$V$10005,$V4686,'月1回_1ヶ月前の在庫'!$W$6:$W$10005,$W4686)&gt;0),N(U4685),N(U4685)+1))</f>
        <v/>
      </c>
      <c r="V4686" s="19">
        <f>IF($B4686="","",TEXT($B4686,"0000"))</f>
        <v/>
      </c>
      <c r="W4686" s="19">
        <f>IF($I4686="","",IF(ISNUMBER($I4686),TEXT($I4686,"0"),$I4686))</f>
        <v/>
      </c>
    </row>
    <row r="4687">
      <c r="B4687" s="25" t="n"/>
      <c r="I4687" s="25" t="n"/>
      <c r="U4687" s="19">
        <f>IF($V4687&lt;&gt;'設定'!$C$4,N(U4686),IF(OR(NOT(COUNTIF('商品マスタ'!$B$6:$B$1005,$W4687)=0),COUNTIFS('①在庫を貼る'!$V$6:$V$10005,$V4687,'①在庫を貼る'!$W$6:$W$10005,$W4687)+COUNTIFS('月1回_1ヶ月前の在庫'!$V$6:$V$10005,$V4687,'月1回_1ヶ月前の在庫'!$W$6:$W$10005,$W4687)&gt;0),N(U4686),N(U4686)+1))</f>
        <v/>
      </c>
      <c r="V4687" s="19">
        <f>IF($B4687="","",TEXT($B4687,"0000"))</f>
        <v/>
      </c>
      <c r="W4687" s="19">
        <f>IF($I4687="","",IF(ISNUMBER($I4687),TEXT($I4687,"0"),$I4687))</f>
        <v/>
      </c>
    </row>
    <row r="4688">
      <c r="B4688" s="25" t="n"/>
      <c r="I4688" s="25" t="n"/>
      <c r="U4688" s="19">
        <f>IF($V4688&lt;&gt;'設定'!$C$4,N(U4687),IF(OR(NOT(COUNTIF('商品マスタ'!$B$6:$B$1005,$W4688)=0),COUNTIFS('①在庫を貼る'!$V$6:$V$10005,$V4688,'①在庫を貼る'!$W$6:$W$10005,$W4688)+COUNTIFS('月1回_1ヶ月前の在庫'!$V$6:$V$10005,$V4688,'月1回_1ヶ月前の在庫'!$W$6:$W$10005,$W4688)&gt;0),N(U4687),N(U4687)+1))</f>
        <v/>
      </c>
      <c r="V4688" s="19">
        <f>IF($B4688="","",TEXT($B4688,"0000"))</f>
        <v/>
      </c>
      <c r="W4688" s="19">
        <f>IF($I4688="","",IF(ISNUMBER($I4688),TEXT($I4688,"0"),$I4688))</f>
        <v/>
      </c>
    </row>
    <row r="4689">
      <c r="B4689" s="25" t="n"/>
      <c r="I4689" s="25" t="n"/>
      <c r="U4689" s="19">
        <f>IF($V4689&lt;&gt;'設定'!$C$4,N(U4688),IF(OR(NOT(COUNTIF('商品マスタ'!$B$6:$B$1005,$W4689)=0),COUNTIFS('①在庫を貼る'!$V$6:$V$10005,$V4689,'①在庫を貼る'!$W$6:$W$10005,$W4689)+COUNTIFS('月1回_1ヶ月前の在庫'!$V$6:$V$10005,$V4689,'月1回_1ヶ月前の在庫'!$W$6:$W$10005,$W4689)&gt;0),N(U4688),N(U4688)+1))</f>
        <v/>
      </c>
      <c r="V4689" s="19">
        <f>IF($B4689="","",TEXT($B4689,"0000"))</f>
        <v/>
      </c>
      <c r="W4689" s="19">
        <f>IF($I4689="","",IF(ISNUMBER($I4689),TEXT($I4689,"0"),$I4689))</f>
        <v/>
      </c>
    </row>
    <row r="4690">
      <c r="B4690" s="25" t="n"/>
      <c r="I4690" s="25" t="n"/>
      <c r="U4690" s="19">
        <f>IF($V4690&lt;&gt;'設定'!$C$4,N(U4689),IF(OR(NOT(COUNTIF('商品マスタ'!$B$6:$B$1005,$W4690)=0),COUNTIFS('①在庫を貼る'!$V$6:$V$10005,$V4690,'①在庫を貼る'!$W$6:$W$10005,$W4690)+COUNTIFS('月1回_1ヶ月前の在庫'!$V$6:$V$10005,$V4690,'月1回_1ヶ月前の在庫'!$W$6:$W$10005,$W4690)&gt;0),N(U4689),N(U4689)+1))</f>
        <v/>
      </c>
      <c r="V4690" s="19">
        <f>IF($B4690="","",TEXT($B4690,"0000"))</f>
        <v/>
      </c>
      <c r="W4690" s="19">
        <f>IF($I4690="","",IF(ISNUMBER($I4690),TEXT($I4690,"0"),$I4690))</f>
        <v/>
      </c>
    </row>
    <row r="4691">
      <c r="B4691" s="25" t="n"/>
      <c r="I4691" s="25" t="n"/>
      <c r="U4691" s="19">
        <f>IF($V4691&lt;&gt;'設定'!$C$4,N(U4690),IF(OR(NOT(COUNTIF('商品マスタ'!$B$6:$B$1005,$W4691)=0),COUNTIFS('①在庫を貼る'!$V$6:$V$10005,$V4691,'①在庫を貼る'!$W$6:$W$10005,$W4691)+COUNTIFS('月1回_1ヶ月前の在庫'!$V$6:$V$10005,$V4691,'月1回_1ヶ月前の在庫'!$W$6:$W$10005,$W4691)&gt;0),N(U4690),N(U4690)+1))</f>
        <v/>
      </c>
      <c r="V4691" s="19">
        <f>IF($B4691="","",TEXT($B4691,"0000"))</f>
        <v/>
      </c>
      <c r="W4691" s="19">
        <f>IF($I4691="","",IF(ISNUMBER($I4691),TEXT($I4691,"0"),$I4691))</f>
        <v/>
      </c>
    </row>
    <row r="4692">
      <c r="B4692" s="25" t="n"/>
      <c r="I4692" s="25" t="n"/>
      <c r="U4692" s="19">
        <f>IF($V4692&lt;&gt;'設定'!$C$4,N(U4691),IF(OR(NOT(COUNTIF('商品マスタ'!$B$6:$B$1005,$W4692)=0),COUNTIFS('①在庫を貼る'!$V$6:$V$10005,$V4692,'①在庫を貼る'!$W$6:$W$10005,$W4692)+COUNTIFS('月1回_1ヶ月前の在庫'!$V$6:$V$10005,$V4692,'月1回_1ヶ月前の在庫'!$W$6:$W$10005,$W4692)&gt;0),N(U4691),N(U4691)+1))</f>
        <v/>
      </c>
      <c r="V4692" s="19">
        <f>IF($B4692="","",TEXT($B4692,"0000"))</f>
        <v/>
      </c>
      <c r="W4692" s="19">
        <f>IF($I4692="","",IF(ISNUMBER($I4692),TEXT($I4692,"0"),$I4692))</f>
        <v/>
      </c>
    </row>
    <row r="4693">
      <c r="B4693" s="25" t="n"/>
      <c r="I4693" s="25" t="n"/>
      <c r="U4693" s="19">
        <f>IF($V4693&lt;&gt;'設定'!$C$4,N(U4692),IF(OR(NOT(COUNTIF('商品マスタ'!$B$6:$B$1005,$W4693)=0),COUNTIFS('①在庫を貼る'!$V$6:$V$10005,$V4693,'①在庫を貼る'!$W$6:$W$10005,$W4693)+COUNTIFS('月1回_1ヶ月前の在庫'!$V$6:$V$10005,$V4693,'月1回_1ヶ月前の在庫'!$W$6:$W$10005,$W4693)&gt;0),N(U4692),N(U4692)+1))</f>
        <v/>
      </c>
      <c r="V4693" s="19">
        <f>IF($B4693="","",TEXT($B4693,"0000"))</f>
        <v/>
      </c>
      <c r="W4693" s="19">
        <f>IF($I4693="","",IF(ISNUMBER($I4693),TEXT($I4693,"0"),$I4693))</f>
        <v/>
      </c>
    </row>
    <row r="4694">
      <c r="B4694" s="25" t="n"/>
      <c r="I4694" s="25" t="n"/>
      <c r="U4694" s="19">
        <f>IF($V4694&lt;&gt;'設定'!$C$4,N(U4693),IF(OR(NOT(COUNTIF('商品マスタ'!$B$6:$B$1005,$W4694)=0),COUNTIFS('①在庫を貼る'!$V$6:$V$10005,$V4694,'①在庫を貼る'!$W$6:$W$10005,$W4694)+COUNTIFS('月1回_1ヶ月前の在庫'!$V$6:$V$10005,$V4694,'月1回_1ヶ月前の在庫'!$W$6:$W$10005,$W4694)&gt;0),N(U4693),N(U4693)+1))</f>
        <v/>
      </c>
      <c r="V4694" s="19">
        <f>IF($B4694="","",TEXT($B4694,"0000"))</f>
        <v/>
      </c>
      <c r="W4694" s="19">
        <f>IF($I4694="","",IF(ISNUMBER($I4694),TEXT($I4694,"0"),$I4694))</f>
        <v/>
      </c>
    </row>
    <row r="4695">
      <c r="B4695" s="25" t="n"/>
      <c r="I4695" s="25" t="n"/>
      <c r="U4695" s="19">
        <f>IF($V4695&lt;&gt;'設定'!$C$4,N(U4694),IF(OR(NOT(COUNTIF('商品マスタ'!$B$6:$B$1005,$W4695)=0),COUNTIFS('①在庫を貼る'!$V$6:$V$10005,$V4695,'①在庫を貼る'!$W$6:$W$10005,$W4695)+COUNTIFS('月1回_1ヶ月前の在庫'!$V$6:$V$10005,$V4695,'月1回_1ヶ月前の在庫'!$W$6:$W$10005,$W4695)&gt;0),N(U4694),N(U4694)+1))</f>
        <v/>
      </c>
      <c r="V4695" s="19">
        <f>IF($B4695="","",TEXT($B4695,"0000"))</f>
        <v/>
      </c>
      <c r="W4695" s="19">
        <f>IF($I4695="","",IF(ISNUMBER($I4695),TEXT($I4695,"0"),$I4695))</f>
        <v/>
      </c>
    </row>
    <row r="4696">
      <c r="B4696" s="25" t="n"/>
      <c r="I4696" s="25" t="n"/>
      <c r="U4696" s="19">
        <f>IF($V4696&lt;&gt;'設定'!$C$4,N(U4695),IF(OR(NOT(COUNTIF('商品マスタ'!$B$6:$B$1005,$W4696)=0),COUNTIFS('①在庫を貼る'!$V$6:$V$10005,$V4696,'①在庫を貼る'!$W$6:$W$10005,$W4696)+COUNTIFS('月1回_1ヶ月前の在庫'!$V$6:$V$10005,$V4696,'月1回_1ヶ月前の在庫'!$W$6:$W$10005,$W4696)&gt;0),N(U4695),N(U4695)+1))</f>
        <v/>
      </c>
      <c r="V4696" s="19">
        <f>IF($B4696="","",TEXT($B4696,"0000"))</f>
        <v/>
      </c>
      <c r="W4696" s="19">
        <f>IF($I4696="","",IF(ISNUMBER($I4696),TEXT($I4696,"0"),$I4696))</f>
        <v/>
      </c>
    </row>
    <row r="4697">
      <c r="B4697" s="25" t="n"/>
      <c r="I4697" s="25" t="n"/>
      <c r="U4697" s="19">
        <f>IF($V4697&lt;&gt;'設定'!$C$4,N(U4696),IF(OR(NOT(COUNTIF('商品マスタ'!$B$6:$B$1005,$W4697)=0),COUNTIFS('①在庫を貼る'!$V$6:$V$10005,$V4697,'①在庫を貼る'!$W$6:$W$10005,$W4697)+COUNTIFS('月1回_1ヶ月前の在庫'!$V$6:$V$10005,$V4697,'月1回_1ヶ月前の在庫'!$W$6:$W$10005,$W4697)&gt;0),N(U4696),N(U4696)+1))</f>
        <v/>
      </c>
      <c r="V4697" s="19">
        <f>IF($B4697="","",TEXT($B4697,"0000"))</f>
        <v/>
      </c>
      <c r="W4697" s="19">
        <f>IF($I4697="","",IF(ISNUMBER($I4697),TEXT($I4697,"0"),$I4697))</f>
        <v/>
      </c>
    </row>
    <row r="4698">
      <c r="B4698" s="25" t="n"/>
      <c r="I4698" s="25" t="n"/>
      <c r="U4698" s="19">
        <f>IF($V4698&lt;&gt;'設定'!$C$4,N(U4697),IF(OR(NOT(COUNTIF('商品マスタ'!$B$6:$B$1005,$W4698)=0),COUNTIFS('①在庫を貼る'!$V$6:$V$10005,$V4698,'①在庫を貼る'!$W$6:$W$10005,$W4698)+COUNTIFS('月1回_1ヶ月前の在庫'!$V$6:$V$10005,$V4698,'月1回_1ヶ月前の在庫'!$W$6:$W$10005,$W4698)&gt;0),N(U4697),N(U4697)+1))</f>
        <v/>
      </c>
      <c r="V4698" s="19">
        <f>IF($B4698="","",TEXT($B4698,"0000"))</f>
        <v/>
      </c>
      <c r="W4698" s="19">
        <f>IF($I4698="","",IF(ISNUMBER($I4698),TEXT($I4698,"0"),$I4698))</f>
        <v/>
      </c>
    </row>
    <row r="4699">
      <c r="B4699" s="25" t="n"/>
      <c r="I4699" s="25" t="n"/>
      <c r="U4699" s="19">
        <f>IF($V4699&lt;&gt;'設定'!$C$4,N(U4698),IF(OR(NOT(COUNTIF('商品マスタ'!$B$6:$B$1005,$W4699)=0),COUNTIFS('①在庫を貼る'!$V$6:$V$10005,$V4699,'①在庫を貼る'!$W$6:$W$10005,$W4699)+COUNTIFS('月1回_1ヶ月前の在庫'!$V$6:$V$10005,$V4699,'月1回_1ヶ月前の在庫'!$W$6:$W$10005,$W4699)&gt;0),N(U4698),N(U4698)+1))</f>
        <v/>
      </c>
      <c r="V4699" s="19">
        <f>IF($B4699="","",TEXT($B4699,"0000"))</f>
        <v/>
      </c>
      <c r="W4699" s="19">
        <f>IF($I4699="","",IF(ISNUMBER($I4699),TEXT($I4699,"0"),$I4699))</f>
        <v/>
      </c>
    </row>
    <row r="4700">
      <c r="B4700" s="25" t="n"/>
      <c r="I4700" s="25" t="n"/>
      <c r="U4700" s="19">
        <f>IF($V4700&lt;&gt;'設定'!$C$4,N(U4699),IF(OR(NOT(COUNTIF('商品マスタ'!$B$6:$B$1005,$W4700)=0),COUNTIFS('①在庫を貼る'!$V$6:$V$10005,$V4700,'①在庫を貼る'!$W$6:$W$10005,$W4700)+COUNTIFS('月1回_1ヶ月前の在庫'!$V$6:$V$10005,$V4700,'月1回_1ヶ月前の在庫'!$W$6:$W$10005,$W4700)&gt;0),N(U4699),N(U4699)+1))</f>
        <v/>
      </c>
      <c r="V4700" s="19">
        <f>IF($B4700="","",TEXT($B4700,"0000"))</f>
        <v/>
      </c>
      <c r="W4700" s="19">
        <f>IF($I4700="","",IF(ISNUMBER($I4700),TEXT($I4700,"0"),$I4700))</f>
        <v/>
      </c>
    </row>
    <row r="4701">
      <c r="B4701" s="25" t="n"/>
      <c r="I4701" s="25" t="n"/>
      <c r="U4701" s="19">
        <f>IF($V4701&lt;&gt;'設定'!$C$4,N(U4700),IF(OR(NOT(COUNTIF('商品マスタ'!$B$6:$B$1005,$W4701)=0),COUNTIFS('①在庫を貼る'!$V$6:$V$10005,$V4701,'①在庫を貼る'!$W$6:$W$10005,$W4701)+COUNTIFS('月1回_1ヶ月前の在庫'!$V$6:$V$10005,$V4701,'月1回_1ヶ月前の在庫'!$W$6:$W$10005,$W4701)&gt;0),N(U4700),N(U4700)+1))</f>
        <v/>
      </c>
      <c r="V4701" s="19">
        <f>IF($B4701="","",TEXT($B4701,"0000"))</f>
        <v/>
      </c>
      <c r="W4701" s="19">
        <f>IF($I4701="","",IF(ISNUMBER($I4701),TEXT($I4701,"0"),$I4701))</f>
        <v/>
      </c>
    </row>
    <row r="4702">
      <c r="B4702" s="25" t="n"/>
      <c r="I4702" s="25" t="n"/>
      <c r="U4702" s="19">
        <f>IF($V4702&lt;&gt;'設定'!$C$4,N(U4701),IF(OR(NOT(COUNTIF('商品マスタ'!$B$6:$B$1005,$W4702)=0),COUNTIFS('①在庫を貼る'!$V$6:$V$10005,$V4702,'①在庫を貼る'!$W$6:$W$10005,$W4702)+COUNTIFS('月1回_1ヶ月前の在庫'!$V$6:$V$10005,$V4702,'月1回_1ヶ月前の在庫'!$W$6:$W$10005,$W4702)&gt;0),N(U4701),N(U4701)+1))</f>
        <v/>
      </c>
      <c r="V4702" s="19">
        <f>IF($B4702="","",TEXT($B4702,"0000"))</f>
        <v/>
      </c>
      <c r="W4702" s="19">
        <f>IF($I4702="","",IF(ISNUMBER($I4702),TEXT($I4702,"0"),$I4702))</f>
        <v/>
      </c>
    </row>
    <row r="4703">
      <c r="B4703" s="25" t="n"/>
      <c r="I4703" s="25" t="n"/>
      <c r="U4703" s="19">
        <f>IF($V4703&lt;&gt;'設定'!$C$4,N(U4702),IF(OR(NOT(COUNTIF('商品マスタ'!$B$6:$B$1005,$W4703)=0),COUNTIFS('①在庫を貼る'!$V$6:$V$10005,$V4703,'①在庫を貼る'!$W$6:$W$10005,$W4703)+COUNTIFS('月1回_1ヶ月前の在庫'!$V$6:$V$10005,$V4703,'月1回_1ヶ月前の在庫'!$W$6:$W$10005,$W4703)&gt;0),N(U4702),N(U4702)+1))</f>
        <v/>
      </c>
      <c r="V4703" s="19">
        <f>IF($B4703="","",TEXT($B4703,"0000"))</f>
        <v/>
      </c>
      <c r="W4703" s="19">
        <f>IF($I4703="","",IF(ISNUMBER($I4703),TEXT($I4703,"0"),$I4703))</f>
        <v/>
      </c>
    </row>
    <row r="4704">
      <c r="B4704" s="25" t="n"/>
      <c r="I4704" s="25" t="n"/>
      <c r="U4704" s="19">
        <f>IF($V4704&lt;&gt;'設定'!$C$4,N(U4703),IF(OR(NOT(COUNTIF('商品マスタ'!$B$6:$B$1005,$W4704)=0),COUNTIFS('①在庫を貼る'!$V$6:$V$10005,$V4704,'①在庫を貼る'!$W$6:$W$10005,$W4704)+COUNTIFS('月1回_1ヶ月前の在庫'!$V$6:$V$10005,$V4704,'月1回_1ヶ月前の在庫'!$W$6:$W$10005,$W4704)&gt;0),N(U4703),N(U4703)+1))</f>
        <v/>
      </c>
      <c r="V4704" s="19">
        <f>IF($B4704="","",TEXT($B4704,"0000"))</f>
        <v/>
      </c>
      <c r="W4704" s="19">
        <f>IF($I4704="","",IF(ISNUMBER($I4704),TEXT($I4704,"0"),$I4704))</f>
        <v/>
      </c>
    </row>
    <row r="4705">
      <c r="B4705" s="25" t="n"/>
      <c r="I4705" s="25" t="n"/>
      <c r="U4705" s="19">
        <f>IF($V4705&lt;&gt;'設定'!$C$4,N(U4704),IF(OR(NOT(COUNTIF('商品マスタ'!$B$6:$B$1005,$W4705)=0),COUNTIFS('①在庫を貼る'!$V$6:$V$10005,$V4705,'①在庫を貼る'!$W$6:$W$10005,$W4705)+COUNTIFS('月1回_1ヶ月前の在庫'!$V$6:$V$10005,$V4705,'月1回_1ヶ月前の在庫'!$W$6:$W$10005,$W4705)&gt;0),N(U4704),N(U4704)+1))</f>
        <v/>
      </c>
      <c r="V4705" s="19">
        <f>IF($B4705="","",TEXT($B4705,"0000"))</f>
        <v/>
      </c>
      <c r="W4705" s="19">
        <f>IF($I4705="","",IF(ISNUMBER($I4705),TEXT($I4705,"0"),$I4705))</f>
        <v/>
      </c>
    </row>
    <row r="4706">
      <c r="B4706" s="25" t="n"/>
      <c r="I4706" s="25" t="n"/>
      <c r="U4706" s="19">
        <f>IF($V4706&lt;&gt;'設定'!$C$4,N(U4705),IF(OR(NOT(COUNTIF('商品マスタ'!$B$6:$B$1005,$W4706)=0),COUNTIFS('①在庫を貼る'!$V$6:$V$10005,$V4706,'①在庫を貼る'!$W$6:$W$10005,$W4706)+COUNTIFS('月1回_1ヶ月前の在庫'!$V$6:$V$10005,$V4706,'月1回_1ヶ月前の在庫'!$W$6:$W$10005,$W4706)&gt;0),N(U4705),N(U4705)+1))</f>
        <v/>
      </c>
      <c r="V4706" s="19">
        <f>IF($B4706="","",TEXT($B4706,"0000"))</f>
        <v/>
      </c>
      <c r="W4706" s="19">
        <f>IF($I4706="","",IF(ISNUMBER($I4706),TEXT($I4706,"0"),$I4706))</f>
        <v/>
      </c>
    </row>
    <row r="4707">
      <c r="B4707" s="25" t="n"/>
      <c r="I4707" s="25" t="n"/>
      <c r="U4707" s="19">
        <f>IF($V4707&lt;&gt;'設定'!$C$4,N(U4706),IF(OR(NOT(COUNTIF('商品マスタ'!$B$6:$B$1005,$W4707)=0),COUNTIFS('①在庫を貼る'!$V$6:$V$10005,$V4707,'①在庫を貼る'!$W$6:$W$10005,$W4707)+COUNTIFS('月1回_1ヶ月前の在庫'!$V$6:$V$10005,$V4707,'月1回_1ヶ月前の在庫'!$W$6:$W$10005,$W4707)&gt;0),N(U4706),N(U4706)+1))</f>
        <v/>
      </c>
      <c r="V4707" s="19">
        <f>IF($B4707="","",TEXT($B4707,"0000"))</f>
        <v/>
      </c>
      <c r="W4707" s="19">
        <f>IF($I4707="","",IF(ISNUMBER($I4707),TEXT($I4707,"0"),$I4707))</f>
        <v/>
      </c>
    </row>
    <row r="4708">
      <c r="B4708" s="25" t="n"/>
      <c r="I4708" s="25" t="n"/>
      <c r="U4708" s="19">
        <f>IF($V4708&lt;&gt;'設定'!$C$4,N(U4707),IF(OR(NOT(COUNTIF('商品マスタ'!$B$6:$B$1005,$W4708)=0),COUNTIFS('①在庫を貼る'!$V$6:$V$10005,$V4708,'①在庫を貼る'!$W$6:$W$10005,$W4708)+COUNTIFS('月1回_1ヶ月前の在庫'!$V$6:$V$10005,$V4708,'月1回_1ヶ月前の在庫'!$W$6:$W$10005,$W4708)&gt;0),N(U4707),N(U4707)+1))</f>
        <v/>
      </c>
      <c r="V4708" s="19">
        <f>IF($B4708="","",TEXT($B4708,"0000"))</f>
        <v/>
      </c>
      <c r="W4708" s="19">
        <f>IF($I4708="","",IF(ISNUMBER($I4708),TEXT($I4708,"0"),$I4708))</f>
        <v/>
      </c>
    </row>
    <row r="4709">
      <c r="B4709" s="25" t="n"/>
      <c r="I4709" s="25" t="n"/>
      <c r="U4709" s="19">
        <f>IF($V4709&lt;&gt;'設定'!$C$4,N(U4708),IF(OR(NOT(COUNTIF('商品マスタ'!$B$6:$B$1005,$W4709)=0),COUNTIFS('①在庫を貼る'!$V$6:$V$10005,$V4709,'①在庫を貼る'!$W$6:$W$10005,$W4709)+COUNTIFS('月1回_1ヶ月前の在庫'!$V$6:$V$10005,$V4709,'月1回_1ヶ月前の在庫'!$W$6:$W$10005,$W4709)&gt;0),N(U4708),N(U4708)+1))</f>
        <v/>
      </c>
      <c r="V4709" s="19">
        <f>IF($B4709="","",TEXT($B4709,"0000"))</f>
        <v/>
      </c>
      <c r="W4709" s="19">
        <f>IF($I4709="","",IF(ISNUMBER($I4709),TEXT($I4709,"0"),$I4709))</f>
        <v/>
      </c>
    </row>
    <row r="4710">
      <c r="B4710" s="25" t="n"/>
      <c r="I4710" s="25" t="n"/>
      <c r="U4710" s="19">
        <f>IF($V4710&lt;&gt;'設定'!$C$4,N(U4709),IF(OR(NOT(COUNTIF('商品マスタ'!$B$6:$B$1005,$W4710)=0),COUNTIFS('①在庫を貼る'!$V$6:$V$10005,$V4710,'①在庫を貼る'!$W$6:$W$10005,$W4710)+COUNTIFS('月1回_1ヶ月前の在庫'!$V$6:$V$10005,$V4710,'月1回_1ヶ月前の在庫'!$W$6:$W$10005,$W4710)&gt;0),N(U4709),N(U4709)+1))</f>
        <v/>
      </c>
      <c r="V4710" s="19">
        <f>IF($B4710="","",TEXT($B4710,"0000"))</f>
        <v/>
      </c>
      <c r="W4710" s="19">
        <f>IF($I4710="","",IF(ISNUMBER($I4710),TEXT($I4710,"0"),$I4710))</f>
        <v/>
      </c>
    </row>
    <row r="4711">
      <c r="B4711" s="25" t="n"/>
      <c r="I4711" s="25" t="n"/>
      <c r="U4711" s="19">
        <f>IF($V4711&lt;&gt;'設定'!$C$4,N(U4710),IF(OR(NOT(COUNTIF('商品マスタ'!$B$6:$B$1005,$W4711)=0),COUNTIFS('①在庫を貼る'!$V$6:$V$10005,$V4711,'①在庫を貼る'!$W$6:$W$10005,$W4711)+COUNTIFS('月1回_1ヶ月前の在庫'!$V$6:$V$10005,$V4711,'月1回_1ヶ月前の在庫'!$W$6:$W$10005,$W4711)&gt;0),N(U4710),N(U4710)+1))</f>
        <v/>
      </c>
      <c r="V4711" s="19">
        <f>IF($B4711="","",TEXT($B4711,"0000"))</f>
        <v/>
      </c>
      <c r="W4711" s="19">
        <f>IF($I4711="","",IF(ISNUMBER($I4711),TEXT($I4711,"0"),$I4711))</f>
        <v/>
      </c>
    </row>
    <row r="4712">
      <c r="B4712" s="25" t="n"/>
      <c r="I4712" s="25" t="n"/>
      <c r="U4712" s="19">
        <f>IF($V4712&lt;&gt;'設定'!$C$4,N(U4711),IF(OR(NOT(COUNTIF('商品マスタ'!$B$6:$B$1005,$W4712)=0),COUNTIFS('①在庫を貼る'!$V$6:$V$10005,$V4712,'①在庫を貼る'!$W$6:$W$10005,$W4712)+COUNTIFS('月1回_1ヶ月前の在庫'!$V$6:$V$10005,$V4712,'月1回_1ヶ月前の在庫'!$W$6:$W$10005,$W4712)&gt;0),N(U4711),N(U4711)+1))</f>
        <v/>
      </c>
      <c r="V4712" s="19">
        <f>IF($B4712="","",TEXT($B4712,"0000"))</f>
        <v/>
      </c>
      <c r="W4712" s="19">
        <f>IF($I4712="","",IF(ISNUMBER($I4712),TEXT($I4712,"0"),$I4712))</f>
        <v/>
      </c>
    </row>
    <row r="4713">
      <c r="B4713" s="25" t="n"/>
      <c r="I4713" s="25" t="n"/>
      <c r="U4713" s="19">
        <f>IF($V4713&lt;&gt;'設定'!$C$4,N(U4712),IF(OR(NOT(COUNTIF('商品マスタ'!$B$6:$B$1005,$W4713)=0),COUNTIFS('①在庫を貼る'!$V$6:$V$10005,$V4713,'①在庫を貼る'!$W$6:$W$10005,$W4713)+COUNTIFS('月1回_1ヶ月前の在庫'!$V$6:$V$10005,$V4713,'月1回_1ヶ月前の在庫'!$W$6:$W$10005,$W4713)&gt;0),N(U4712),N(U4712)+1))</f>
        <v/>
      </c>
      <c r="V4713" s="19">
        <f>IF($B4713="","",TEXT($B4713,"0000"))</f>
        <v/>
      </c>
      <c r="W4713" s="19">
        <f>IF($I4713="","",IF(ISNUMBER($I4713),TEXT($I4713,"0"),$I4713))</f>
        <v/>
      </c>
    </row>
    <row r="4714">
      <c r="B4714" s="25" t="n"/>
      <c r="I4714" s="25" t="n"/>
      <c r="U4714" s="19">
        <f>IF($V4714&lt;&gt;'設定'!$C$4,N(U4713),IF(OR(NOT(COUNTIF('商品マスタ'!$B$6:$B$1005,$W4714)=0),COUNTIFS('①在庫を貼る'!$V$6:$V$10005,$V4714,'①在庫を貼る'!$W$6:$W$10005,$W4714)+COUNTIFS('月1回_1ヶ月前の在庫'!$V$6:$V$10005,$V4714,'月1回_1ヶ月前の在庫'!$W$6:$W$10005,$W4714)&gt;0),N(U4713),N(U4713)+1))</f>
        <v/>
      </c>
      <c r="V4714" s="19">
        <f>IF($B4714="","",TEXT($B4714,"0000"))</f>
        <v/>
      </c>
      <c r="W4714" s="19">
        <f>IF($I4714="","",IF(ISNUMBER($I4714),TEXT($I4714,"0"),$I4714))</f>
        <v/>
      </c>
    </row>
    <row r="4715">
      <c r="B4715" s="25" t="n"/>
      <c r="I4715" s="25" t="n"/>
      <c r="U4715" s="19">
        <f>IF($V4715&lt;&gt;'設定'!$C$4,N(U4714),IF(OR(NOT(COUNTIF('商品マスタ'!$B$6:$B$1005,$W4715)=0),COUNTIFS('①在庫を貼る'!$V$6:$V$10005,$V4715,'①在庫を貼る'!$W$6:$W$10005,$W4715)+COUNTIFS('月1回_1ヶ月前の在庫'!$V$6:$V$10005,$V4715,'月1回_1ヶ月前の在庫'!$W$6:$W$10005,$W4715)&gt;0),N(U4714),N(U4714)+1))</f>
        <v/>
      </c>
      <c r="V4715" s="19">
        <f>IF($B4715="","",TEXT($B4715,"0000"))</f>
        <v/>
      </c>
      <c r="W4715" s="19">
        <f>IF($I4715="","",IF(ISNUMBER($I4715),TEXT($I4715,"0"),$I4715))</f>
        <v/>
      </c>
    </row>
    <row r="4716">
      <c r="B4716" s="25" t="n"/>
      <c r="I4716" s="25" t="n"/>
      <c r="U4716" s="19">
        <f>IF($V4716&lt;&gt;'設定'!$C$4,N(U4715),IF(OR(NOT(COUNTIF('商品マスタ'!$B$6:$B$1005,$W4716)=0),COUNTIFS('①在庫を貼る'!$V$6:$V$10005,$V4716,'①在庫を貼る'!$W$6:$W$10005,$W4716)+COUNTIFS('月1回_1ヶ月前の在庫'!$V$6:$V$10005,$V4716,'月1回_1ヶ月前の在庫'!$W$6:$W$10005,$W4716)&gt;0),N(U4715),N(U4715)+1))</f>
        <v/>
      </c>
      <c r="V4716" s="19">
        <f>IF($B4716="","",TEXT($B4716,"0000"))</f>
        <v/>
      </c>
      <c r="W4716" s="19">
        <f>IF($I4716="","",IF(ISNUMBER($I4716),TEXT($I4716,"0"),$I4716))</f>
        <v/>
      </c>
    </row>
    <row r="4717">
      <c r="B4717" s="25" t="n"/>
      <c r="I4717" s="25" t="n"/>
      <c r="U4717" s="19">
        <f>IF($V4717&lt;&gt;'設定'!$C$4,N(U4716),IF(OR(NOT(COUNTIF('商品マスタ'!$B$6:$B$1005,$W4717)=0),COUNTIFS('①在庫を貼る'!$V$6:$V$10005,$V4717,'①在庫を貼る'!$W$6:$W$10005,$W4717)+COUNTIFS('月1回_1ヶ月前の在庫'!$V$6:$V$10005,$V4717,'月1回_1ヶ月前の在庫'!$W$6:$W$10005,$W4717)&gt;0),N(U4716),N(U4716)+1))</f>
        <v/>
      </c>
      <c r="V4717" s="19">
        <f>IF($B4717="","",TEXT($B4717,"0000"))</f>
        <v/>
      </c>
      <c r="W4717" s="19">
        <f>IF($I4717="","",IF(ISNUMBER($I4717),TEXT($I4717,"0"),$I4717))</f>
        <v/>
      </c>
    </row>
    <row r="4718">
      <c r="B4718" s="25" t="n"/>
      <c r="I4718" s="25" t="n"/>
      <c r="U4718" s="19">
        <f>IF($V4718&lt;&gt;'設定'!$C$4,N(U4717),IF(OR(NOT(COUNTIF('商品マスタ'!$B$6:$B$1005,$W4718)=0),COUNTIFS('①在庫を貼る'!$V$6:$V$10005,$V4718,'①在庫を貼る'!$W$6:$W$10005,$W4718)+COUNTIFS('月1回_1ヶ月前の在庫'!$V$6:$V$10005,$V4718,'月1回_1ヶ月前の在庫'!$W$6:$W$10005,$W4718)&gt;0),N(U4717),N(U4717)+1))</f>
        <v/>
      </c>
      <c r="V4718" s="19">
        <f>IF($B4718="","",TEXT($B4718,"0000"))</f>
        <v/>
      </c>
      <c r="W4718" s="19">
        <f>IF($I4718="","",IF(ISNUMBER($I4718),TEXT($I4718,"0"),$I4718))</f>
        <v/>
      </c>
    </row>
    <row r="4719">
      <c r="B4719" s="25" t="n"/>
      <c r="I4719" s="25" t="n"/>
      <c r="U4719" s="19">
        <f>IF($V4719&lt;&gt;'設定'!$C$4,N(U4718),IF(OR(NOT(COUNTIF('商品マスタ'!$B$6:$B$1005,$W4719)=0),COUNTIFS('①在庫を貼る'!$V$6:$V$10005,$V4719,'①在庫を貼る'!$W$6:$W$10005,$W4719)+COUNTIFS('月1回_1ヶ月前の在庫'!$V$6:$V$10005,$V4719,'月1回_1ヶ月前の在庫'!$W$6:$W$10005,$W4719)&gt;0),N(U4718),N(U4718)+1))</f>
        <v/>
      </c>
      <c r="V4719" s="19">
        <f>IF($B4719="","",TEXT($B4719,"0000"))</f>
        <v/>
      </c>
      <c r="W4719" s="19">
        <f>IF($I4719="","",IF(ISNUMBER($I4719),TEXT($I4719,"0"),$I4719))</f>
        <v/>
      </c>
    </row>
    <row r="4720">
      <c r="B4720" s="25" t="n"/>
      <c r="I4720" s="25" t="n"/>
      <c r="U4720" s="19">
        <f>IF($V4720&lt;&gt;'設定'!$C$4,N(U4719),IF(OR(NOT(COUNTIF('商品マスタ'!$B$6:$B$1005,$W4720)=0),COUNTIFS('①在庫を貼る'!$V$6:$V$10005,$V4720,'①在庫を貼る'!$W$6:$W$10005,$W4720)+COUNTIFS('月1回_1ヶ月前の在庫'!$V$6:$V$10005,$V4720,'月1回_1ヶ月前の在庫'!$W$6:$W$10005,$W4720)&gt;0),N(U4719),N(U4719)+1))</f>
        <v/>
      </c>
      <c r="V4720" s="19">
        <f>IF($B4720="","",TEXT($B4720,"0000"))</f>
        <v/>
      </c>
      <c r="W4720" s="19">
        <f>IF($I4720="","",IF(ISNUMBER($I4720),TEXT($I4720,"0"),$I4720))</f>
        <v/>
      </c>
    </row>
    <row r="4721">
      <c r="B4721" s="25" t="n"/>
      <c r="I4721" s="25" t="n"/>
      <c r="U4721" s="19">
        <f>IF($V4721&lt;&gt;'設定'!$C$4,N(U4720),IF(OR(NOT(COUNTIF('商品マスタ'!$B$6:$B$1005,$W4721)=0),COUNTIFS('①在庫を貼る'!$V$6:$V$10005,$V4721,'①在庫を貼る'!$W$6:$W$10005,$W4721)+COUNTIFS('月1回_1ヶ月前の在庫'!$V$6:$V$10005,$V4721,'月1回_1ヶ月前の在庫'!$W$6:$W$10005,$W4721)&gt;0),N(U4720),N(U4720)+1))</f>
        <v/>
      </c>
      <c r="V4721" s="19">
        <f>IF($B4721="","",TEXT($B4721,"0000"))</f>
        <v/>
      </c>
      <c r="W4721" s="19">
        <f>IF($I4721="","",IF(ISNUMBER($I4721),TEXT($I4721,"0"),$I4721))</f>
        <v/>
      </c>
    </row>
    <row r="4722">
      <c r="B4722" s="25" t="n"/>
      <c r="I4722" s="25" t="n"/>
      <c r="U4722" s="19">
        <f>IF($V4722&lt;&gt;'設定'!$C$4,N(U4721),IF(OR(NOT(COUNTIF('商品マスタ'!$B$6:$B$1005,$W4722)=0),COUNTIFS('①在庫を貼る'!$V$6:$V$10005,$V4722,'①在庫を貼る'!$W$6:$W$10005,$W4722)+COUNTIFS('月1回_1ヶ月前の在庫'!$V$6:$V$10005,$V4722,'月1回_1ヶ月前の在庫'!$W$6:$W$10005,$W4722)&gt;0),N(U4721),N(U4721)+1))</f>
        <v/>
      </c>
      <c r="V4722" s="19">
        <f>IF($B4722="","",TEXT($B4722,"0000"))</f>
        <v/>
      </c>
      <c r="W4722" s="19">
        <f>IF($I4722="","",IF(ISNUMBER($I4722),TEXT($I4722,"0"),$I4722))</f>
        <v/>
      </c>
    </row>
    <row r="4723">
      <c r="B4723" s="25" t="n"/>
      <c r="I4723" s="25" t="n"/>
      <c r="U4723" s="19">
        <f>IF($V4723&lt;&gt;'設定'!$C$4,N(U4722),IF(OR(NOT(COUNTIF('商品マスタ'!$B$6:$B$1005,$W4723)=0),COUNTIFS('①在庫を貼る'!$V$6:$V$10005,$V4723,'①在庫を貼る'!$W$6:$W$10005,$W4723)+COUNTIFS('月1回_1ヶ月前の在庫'!$V$6:$V$10005,$V4723,'月1回_1ヶ月前の在庫'!$W$6:$W$10005,$W4723)&gt;0),N(U4722),N(U4722)+1))</f>
        <v/>
      </c>
      <c r="V4723" s="19">
        <f>IF($B4723="","",TEXT($B4723,"0000"))</f>
        <v/>
      </c>
      <c r="W4723" s="19">
        <f>IF($I4723="","",IF(ISNUMBER($I4723),TEXT($I4723,"0"),$I4723))</f>
        <v/>
      </c>
    </row>
    <row r="4724">
      <c r="B4724" s="25" t="n"/>
      <c r="I4724" s="25" t="n"/>
      <c r="U4724" s="19">
        <f>IF($V4724&lt;&gt;'設定'!$C$4,N(U4723),IF(OR(NOT(COUNTIF('商品マスタ'!$B$6:$B$1005,$W4724)=0),COUNTIFS('①在庫を貼る'!$V$6:$V$10005,$V4724,'①在庫を貼る'!$W$6:$W$10005,$W4724)+COUNTIFS('月1回_1ヶ月前の在庫'!$V$6:$V$10005,$V4724,'月1回_1ヶ月前の在庫'!$W$6:$W$10005,$W4724)&gt;0),N(U4723),N(U4723)+1))</f>
        <v/>
      </c>
      <c r="V4724" s="19">
        <f>IF($B4724="","",TEXT($B4724,"0000"))</f>
        <v/>
      </c>
      <c r="W4724" s="19">
        <f>IF($I4724="","",IF(ISNUMBER($I4724),TEXT($I4724,"0"),$I4724))</f>
        <v/>
      </c>
    </row>
    <row r="4725">
      <c r="B4725" s="25" t="n"/>
      <c r="I4725" s="25" t="n"/>
      <c r="U4725" s="19">
        <f>IF($V4725&lt;&gt;'設定'!$C$4,N(U4724),IF(OR(NOT(COUNTIF('商品マスタ'!$B$6:$B$1005,$W4725)=0),COUNTIFS('①在庫を貼る'!$V$6:$V$10005,$V4725,'①在庫を貼る'!$W$6:$W$10005,$W4725)+COUNTIFS('月1回_1ヶ月前の在庫'!$V$6:$V$10005,$V4725,'月1回_1ヶ月前の在庫'!$W$6:$W$10005,$W4725)&gt;0),N(U4724),N(U4724)+1))</f>
        <v/>
      </c>
      <c r="V4725" s="19">
        <f>IF($B4725="","",TEXT($B4725,"0000"))</f>
        <v/>
      </c>
      <c r="W4725" s="19">
        <f>IF($I4725="","",IF(ISNUMBER($I4725),TEXT($I4725,"0"),$I4725))</f>
        <v/>
      </c>
    </row>
    <row r="4726">
      <c r="B4726" s="25" t="n"/>
      <c r="I4726" s="25" t="n"/>
      <c r="U4726" s="19">
        <f>IF($V4726&lt;&gt;'設定'!$C$4,N(U4725),IF(OR(NOT(COUNTIF('商品マスタ'!$B$6:$B$1005,$W4726)=0),COUNTIFS('①在庫を貼る'!$V$6:$V$10005,$V4726,'①在庫を貼る'!$W$6:$W$10005,$W4726)+COUNTIFS('月1回_1ヶ月前の在庫'!$V$6:$V$10005,$V4726,'月1回_1ヶ月前の在庫'!$W$6:$W$10005,$W4726)&gt;0),N(U4725),N(U4725)+1))</f>
        <v/>
      </c>
      <c r="V4726" s="19">
        <f>IF($B4726="","",TEXT($B4726,"0000"))</f>
        <v/>
      </c>
      <c r="W4726" s="19">
        <f>IF($I4726="","",IF(ISNUMBER($I4726),TEXT($I4726,"0"),$I4726))</f>
        <v/>
      </c>
    </row>
    <row r="4727">
      <c r="B4727" s="25" t="n"/>
      <c r="I4727" s="25" t="n"/>
      <c r="U4727" s="19">
        <f>IF($V4727&lt;&gt;'設定'!$C$4,N(U4726),IF(OR(NOT(COUNTIF('商品マスタ'!$B$6:$B$1005,$W4727)=0),COUNTIFS('①在庫を貼る'!$V$6:$V$10005,$V4727,'①在庫を貼る'!$W$6:$W$10005,$W4727)+COUNTIFS('月1回_1ヶ月前の在庫'!$V$6:$V$10005,$V4727,'月1回_1ヶ月前の在庫'!$W$6:$W$10005,$W4727)&gt;0),N(U4726),N(U4726)+1))</f>
        <v/>
      </c>
      <c r="V4727" s="19">
        <f>IF($B4727="","",TEXT($B4727,"0000"))</f>
        <v/>
      </c>
      <c r="W4727" s="19">
        <f>IF($I4727="","",IF(ISNUMBER($I4727),TEXT($I4727,"0"),$I4727))</f>
        <v/>
      </c>
    </row>
    <row r="4728">
      <c r="B4728" s="25" t="n"/>
      <c r="I4728" s="25" t="n"/>
      <c r="U4728" s="19">
        <f>IF($V4728&lt;&gt;'設定'!$C$4,N(U4727),IF(OR(NOT(COUNTIF('商品マスタ'!$B$6:$B$1005,$W4728)=0),COUNTIFS('①在庫を貼る'!$V$6:$V$10005,$V4728,'①在庫を貼る'!$W$6:$W$10005,$W4728)+COUNTIFS('月1回_1ヶ月前の在庫'!$V$6:$V$10005,$V4728,'月1回_1ヶ月前の在庫'!$W$6:$W$10005,$W4728)&gt;0),N(U4727),N(U4727)+1))</f>
        <v/>
      </c>
      <c r="V4728" s="19">
        <f>IF($B4728="","",TEXT($B4728,"0000"))</f>
        <v/>
      </c>
      <c r="W4728" s="19">
        <f>IF($I4728="","",IF(ISNUMBER($I4728),TEXT($I4728,"0"),$I4728))</f>
        <v/>
      </c>
    </row>
    <row r="4729">
      <c r="B4729" s="25" t="n"/>
      <c r="I4729" s="25" t="n"/>
      <c r="U4729" s="19">
        <f>IF($V4729&lt;&gt;'設定'!$C$4,N(U4728),IF(OR(NOT(COUNTIF('商品マスタ'!$B$6:$B$1005,$W4729)=0),COUNTIFS('①在庫を貼る'!$V$6:$V$10005,$V4729,'①在庫を貼る'!$W$6:$W$10005,$W4729)+COUNTIFS('月1回_1ヶ月前の在庫'!$V$6:$V$10005,$V4729,'月1回_1ヶ月前の在庫'!$W$6:$W$10005,$W4729)&gt;0),N(U4728),N(U4728)+1))</f>
        <v/>
      </c>
      <c r="V4729" s="19">
        <f>IF($B4729="","",TEXT($B4729,"0000"))</f>
        <v/>
      </c>
      <c r="W4729" s="19">
        <f>IF($I4729="","",IF(ISNUMBER($I4729),TEXT($I4729,"0"),$I4729))</f>
        <v/>
      </c>
    </row>
    <row r="4730">
      <c r="B4730" s="25" t="n"/>
      <c r="I4730" s="25" t="n"/>
      <c r="U4730" s="19">
        <f>IF($V4730&lt;&gt;'設定'!$C$4,N(U4729),IF(OR(NOT(COUNTIF('商品マスタ'!$B$6:$B$1005,$W4730)=0),COUNTIFS('①在庫を貼る'!$V$6:$V$10005,$V4730,'①在庫を貼る'!$W$6:$W$10005,$W4730)+COUNTIFS('月1回_1ヶ月前の在庫'!$V$6:$V$10005,$V4730,'月1回_1ヶ月前の在庫'!$W$6:$W$10005,$W4730)&gt;0),N(U4729),N(U4729)+1))</f>
        <v/>
      </c>
      <c r="V4730" s="19">
        <f>IF($B4730="","",TEXT($B4730,"0000"))</f>
        <v/>
      </c>
      <c r="W4730" s="19">
        <f>IF($I4730="","",IF(ISNUMBER($I4730),TEXT($I4730,"0"),$I4730))</f>
        <v/>
      </c>
    </row>
    <row r="4731">
      <c r="B4731" s="25" t="n"/>
      <c r="I4731" s="25" t="n"/>
      <c r="U4731" s="19">
        <f>IF($V4731&lt;&gt;'設定'!$C$4,N(U4730),IF(OR(NOT(COUNTIF('商品マスタ'!$B$6:$B$1005,$W4731)=0),COUNTIFS('①在庫を貼る'!$V$6:$V$10005,$V4731,'①在庫を貼る'!$W$6:$W$10005,$W4731)+COUNTIFS('月1回_1ヶ月前の在庫'!$V$6:$V$10005,$V4731,'月1回_1ヶ月前の在庫'!$W$6:$W$10005,$W4731)&gt;0),N(U4730),N(U4730)+1))</f>
        <v/>
      </c>
      <c r="V4731" s="19">
        <f>IF($B4731="","",TEXT($B4731,"0000"))</f>
        <v/>
      </c>
      <c r="W4731" s="19">
        <f>IF($I4731="","",IF(ISNUMBER($I4731),TEXT($I4731,"0"),$I4731))</f>
        <v/>
      </c>
    </row>
    <row r="4732">
      <c r="B4732" s="25" t="n"/>
      <c r="I4732" s="25" t="n"/>
      <c r="U4732" s="19">
        <f>IF($V4732&lt;&gt;'設定'!$C$4,N(U4731),IF(OR(NOT(COUNTIF('商品マスタ'!$B$6:$B$1005,$W4732)=0),COUNTIFS('①在庫を貼る'!$V$6:$V$10005,$V4732,'①在庫を貼る'!$W$6:$W$10005,$W4732)+COUNTIFS('月1回_1ヶ月前の在庫'!$V$6:$V$10005,$V4732,'月1回_1ヶ月前の在庫'!$W$6:$W$10005,$W4732)&gt;0),N(U4731),N(U4731)+1))</f>
        <v/>
      </c>
      <c r="V4732" s="19">
        <f>IF($B4732="","",TEXT($B4732,"0000"))</f>
        <v/>
      </c>
      <c r="W4732" s="19">
        <f>IF($I4732="","",IF(ISNUMBER($I4732),TEXT($I4732,"0"),$I4732))</f>
        <v/>
      </c>
    </row>
    <row r="4733">
      <c r="B4733" s="25" t="n"/>
      <c r="I4733" s="25" t="n"/>
      <c r="U4733" s="19">
        <f>IF($V4733&lt;&gt;'設定'!$C$4,N(U4732),IF(OR(NOT(COUNTIF('商品マスタ'!$B$6:$B$1005,$W4733)=0),COUNTIFS('①在庫を貼る'!$V$6:$V$10005,$V4733,'①在庫を貼る'!$W$6:$W$10005,$W4733)+COUNTIFS('月1回_1ヶ月前の在庫'!$V$6:$V$10005,$V4733,'月1回_1ヶ月前の在庫'!$W$6:$W$10005,$W4733)&gt;0),N(U4732),N(U4732)+1))</f>
        <v/>
      </c>
      <c r="V4733" s="19">
        <f>IF($B4733="","",TEXT($B4733,"0000"))</f>
        <v/>
      </c>
      <c r="W4733" s="19">
        <f>IF($I4733="","",IF(ISNUMBER($I4733),TEXT($I4733,"0"),$I4733))</f>
        <v/>
      </c>
    </row>
    <row r="4734">
      <c r="B4734" s="25" t="n"/>
      <c r="I4734" s="25" t="n"/>
      <c r="U4734" s="19">
        <f>IF($V4734&lt;&gt;'設定'!$C$4,N(U4733),IF(OR(NOT(COUNTIF('商品マスタ'!$B$6:$B$1005,$W4734)=0),COUNTIFS('①在庫を貼る'!$V$6:$V$10005,$V4734,'①在庫を貼る'!$W$6:$W$10005,$W4734)+COUNTIFS('月1回_1ヶ月前の在庫'!$V$6:$V$10005,$V4734,'月1回_1ヶ月前の在庫'!$W$6:$W$10005,$W4734)&gt;0),N(U4733),N(U4733)+1))</f>
        <v/>
      </c>
      <c r="V4734" s="19">
        <f>IF($B4734="","",TEXT($B4734,"0000"))</f>
        <v/>
      </c>
      <c r="W4734" s="19">
        <f>IF($I4734="","",IF(ISNUMBER($I4734),TEXT($I4734,"0"),$I4734))</f>
        <v/>
      </c>
    </row>
    <row r="4735">
      <c r="B4735" s="25" t="n"/>
      <c r="I4735" s="25" t="n"/>
      <c r="U4735" s="19">
        <f>IF($V4735&lt;&gt;'設定'!$C$4,N(U4734),IF(OR(NOT(COUNTIF('商品マスタ'!$B$6:$B$1005,$W4735)=0),COUNTIFS('①在庫を貼る'!$V$6:$V$10005,$V4735,'①在庫を貼る'!$W$6:$W$10005,$W4735)+COUNTIFS('月1回_1ヶ月前の在庫'!$V$6:$V$10005,$V4735,'月1回_1ヶ月前の在庫'!$W$6:$W$10005,$W4735)&gt;0),N(U4734),N(U4734)+1))</f>
        <v/>
      </c>
      <c r="V4735" s="19">
        <f>IF($B4735="","",TEXT($B4735,"0000"))</f>
        <v/>
      </c>
      <c r="W4735" s="19">
        <f>IF($I4735="","",IF(ISNUMBER($I4735),TEXT($I4735,"0"),$I4735))</f>
        <v/>
      </c>
    </row>
    <row r="4736">
      <c r="B4736" s="25" t="n"/>
      <c r="I4736" s="25" t="n"/>
      <c r="U4736" s="19">
        <f>IF($V4736&lt;&gt;'設定'!$C$4,N(U4735),IF(OR(NOT(COUNTIF('商品マスタ'!$B$6:$B$1005,$W4736)=0),COUNTIFS('①在庫を貼る'!$V$6:$V$10005,$V4736,'①在庫を貼る'!$W$6:$W$10005,$W4736)+COUNTIFS('月1回_1ヶ月前の在庫'!$V$6:$V$10005,$V4736,'月1回_1ヶ月前の在庫'!$W$6:$W$10005,$W4736)&gt;0),N(U4735),N(U4735)+1))</f>
        <v/>
      </c>
      <c r="V4736" s="19">
        <f>IF($B4736="","",TEXT($B4736,"0000"))</f>
        <v/>
      </c>
      <c r="W4736" s="19">
        <f>IF($I4736="","",IF(ISNUMBER($I4736),TEXT($I4736,"0"),$I4736))</f>
        <v/>
      </c>
    </row>
    <row r="4737">
      <c r="B4737" s="25" t="n"/>
      <c r="I4737" s="25" t="n"/>
      <c r="U4737" s="19">
        <f>IF($V4737&lt;&gt;'設定'!$C$4,N(U4736),IF(OR(NOT(COUNTIF('商品マスタ'!$B$6:$B$1005,$W4737)=0),COUNTIFS('①在庫を貼る'!$V$6:$V$10005,$V4737,'①在庫を貼る'!$W$6:$W$10005,$W4737)+COUNTIFS('月1回_1ヶ月前の在庫'!$V$6:$V$10005,$V4737,'月1回_1ヶ月前の在庫'!$W$6:$W$10005,$W4737)&gt;0),N(U4736),N(U4736)+1))</f>
        <v/>
      </c>
      <c r="V4737" s="19">
        <f>IF($B4737="","",TEXT($B4737,"0000"))</f>
        <v/>
      </c>
      <c r="W4737" s="19">
        <f>IF($I4737="","",IF(ISNUMBER($I4737),TEXT($I4737,"0"),$I4737))</f>
        <v/>
      </c>
    </row>
    <row r="4738">
      <c r="B4738" s="25" t="n"/>
      <c r="I4738" s="25" t="n"/>
      <c r="U4738" s="19">
        <f>IF($V4738&lt;&gt;'設定'!$C$4,N(U4737),IF(OR(NOT(COUNTIF('商品マスタ'!$B$6:$B$1005,$W4738)=0),COUNTIFS('①在庫を貼る'!$V$6:$V$10005,$V4738,'①在庫を貼る'!$W$6:$W$10005,$W4738)+COUNTIFS('月1回_1ヶ月前の在庫'!$V$6:$V$10005,$V4738,'月1回_1ヶ月前の在庫'!$W$6:$W$10005,$W4738)&gt;0),N(U4737),N(U4737)+1))</f>
        <v/>
      </c>
      <c r="V4738" s="19">
        <f>IF($B4738="","",TEXT($B4738,"0000"))</f>
        <v/>
      </c>
      <c r="W4738" s="19">
        <f>IF($I4738="","",IF(ISNUMBER($I4738),TEXT($I4738,"0"),$I4738))</f>
        <v/>
      </c>
    </row>
    <row r="4739">
      <c r="B4739" s="25" t="n"/>
      <c r="I4739" s="25" t="n"/>
      <c r="U4739" s="19">
        <f>IF($V4739&lt;&gt;'設定'!$C$4,N(U4738),IF(OR(NOT(COUNTIF('商品マスタ'!$B$6:$B$1005,$W4739)=0),COUNTIFS('①在庫を貼る'!$V$6:$V$10005,$V4739,'①在庫を貼る'!$W$6:$W$10005,$W4739)+COUNTIFS('月1回_1ヶ月前の在庫'!$V$6:$V$10005,$V4739,'月1回_1ヶ月前の在庫'!$W$6:$W$10005,$W4739)&gt;0),N(U4738),N(U4738)+1))</f>
        <v/>
      </c>
      <c r="V4739" s="19">
        <f>IF($B4739="","",TEXT($B4739,"0000"))</f>
        <v/>
      </c>
      <c r="W4739" s="19">
        <f>IF($I4739="","",IF(ISNUMBER($I4739),TEXT($I4739,"0"),$I4739))</f>
        <v/>
      </c>
    </row>
    <row r="4740">
      <c r="B4740" s="25" t="n"/>
      <c r="I4740" s="25" t="n"/>
      <c r="U4740" s="19">
        <f>IF($V4740&lt;&gt;'設定'!$C$4,N(U4739),IF(OR(NOT(COUNTIF('商品マスタ'!$B$6:$B$1005,$W4740)=0),COUNTIFS('①在庫を貼る'!$V$6:$V$10005,$V4740,'①在庫を貼る'!$W$6:$W$10005,$W4740)+COUNTIFS('月1回_1ヶ月前の在庫'!$V$6:$V$10005,$V4740,'月1回_1ヶ月前の在庫'!$W$6:$W$10005,$W4740)&gt;0),N(U4739),N(U4739)+1))</f>
        <v/>
      </c>
      <c r="V4740" s="19">
        <f>IF($B4740="","",TEXT($B4740,"0000"))</f>
        <v/>
      </c>
      <c r="W4740" s="19">
        <f>IF($I4740="","",IF(ISNUMBER($I4740),TEXT($I4740,"0"),$I4740))</f>
        <v/>
      </c>
    </row>
    <row r="4741">
      <c r="B4741" s="25" t="n"/>
      <c r="I4741" s="25" t="n"/>
      <c r="U4741" s="19">
        <f>IF($V4741&lt;&gt;'設定'!$C$4,N(U4740),IF(OR(NOT(COUNTIF('商品マスタ'!$B$6:$B$1005,$W4741)=0),COUNTIFS('①在庫を貼る'!$V$6:$V$10005,$V4741,'①在庫を貼る'!$W$6:$W$10005,$W4741)+COUNTIFS('月1回_1ヶ月前の在庫'!$V$6:$V$10005,$V4741,'月1回_1ヶ月前の在庫'!$W$6:$W$10005,$W4741)&gt;0),N(U4740),N(U4740)+1))</f>
        <v/>
      </c>
      <c r="V4741" s="19">
        <f>IF($B4741="","",TEXT($B4741,"0000"))</f>
        <v/>
      </c>
      <c r="W4741" s="19">
        <f>IF($I4741="","",IF(ISNUMBER($I4741),TEXT($I4741,"0"),$I4741))</f>
        <v/>
      </c>
    </row>
    <row r="4742">
      <c r="B4742" s="25" t="n"/>
      <c r="I4742" s="25" t="n"/>
      <c r="U4742" s="19">
        <f>IF($V4742&lt;&gt;'設定'!$C$4,N(U4741),IF(OR(NOT(COUNTIF('商品マスタ'!$B$6:$B$1005,$W4742)=0),COUNTIFS('①在庫を貼る'!$V$6:$V$10005,$V4742,'①在庫を貼る'!$W$6:$W$10005,$W4742)+COUNTIFS('月1回_1ヶ月前の在庫'!$V$6:$V$10005,$V4742,'月1回_1ヶ月前の在庫'!$W$6:$W$10005,$W4742)&gt;0),N(U4741),N(U4741)+1))</f>
        <v/>
      </c>
      <c r="V4742" s="19">
        <f>IF($B4742="","",TEXT($B4742,"0000"))</f>
        <v/>
      </c>
      <c r="W4742" s="19">
        <f>IF($I4742="","",IF(ISNUMBER($I4742),TEXT($I4742,"0"),$I4742))</f>
        <v/>
      </c>
    </row>
    <row r="4743">
      <c r="B4743" s="25" t="n"/>
      <c r="I4743" s="25" t="n"/>
      <c r="U4743" s="19">
        <f>IF($V4743&lt;&gt;'設定'!$C$4,N(U4742),IF(OR(NOT(COUNTIF('商品マスタ'!$B$6:$B$1005,$W4743)=0),COUNTIFS('①在庫を貼る'!$V$6:$V$10005,$V4743,'①在庫を貼る'!$W$6:$W$10005,$W4743)+COUNTIFS('月1回_1ヶ月前の在庫'!$V$6:$V$10005,$V4743,'月1回_1ヶ月前の在庫'!$W$6:$W$10005,$W4743)&gt;0),N(U4742),N(U4742)+1))</f>
        <v/>
      </c>
      <c r="V4743" s="19">
        <f>IF($B4743="","",TEXT($B4743,"0000"))</f>
        <v/>
      </c>
      <c r="W4743" s="19">
        <f>IF($I4743="","",IF(ISNUMBER($I4743),TEXT($I4743,"0"),$I4743))</f>
        <v/>
      </c>
    </row>
    <row r="4744">
      <c r="B4744" s="25" t="n"/>
      <c r="I4744" s="25" t="n"/>
      <c r="U4744" s="19">
        <f>IF($V4744&lt;&gt;'設定'!$C$4,N(U4743),IF(OR(NOT(COUNTIF('商品マスタ'!$B$6:$B$1005,$W4744)=0),COUNTIFS('①在庫を貼る'!$V$6:$V$10005,$V4744,'①在庫を貼る'!$W$6:$W$10005,$W4744)+COUNTIFS('月1回_1ヶ月前の在庫'!$V$6:$V$10005,$V4744,'月1回_1ヶ月前の在庫'!$W$6:$W$10005,$W4744)&gt;0),N(U4743),N(U4743)+1))</f>
        <v/>
      </c>
      <c r="V4744" s="19">
        <f>IF($B4744="","",TEXT($B4744,"0000"))</f>
        <v/>
      </c>
      <c r="W4744" s="19">
        <f>IF($I4744="","",IF(ISNUMBER($I4744),TEXT($I4744,"0"),$I4744))</f>
        <v/>
      </c>
    </row>
    <row r="4745">
      <c r="B4745" s="25" t="n"/>
      <c r="I4745" s="25" t="n"/>
      <c r="U4745" s="19">
        <f>IF($V4745&lt;&gt;'設定'!$C$4,N(U4744),IF(OR(NOT(COUNTIF('商品マスタ'!$B$6:$B$1005,$W4745)=0),COUNTIFS('①在庫を貼る'!$V$6:$V$10005,$V4745,'①在庫を貼る'!$W$6:$W$10005,$W4745)+COUNTIFS('月1回_1ヶ月前の在庫'!$V$6:$V$10005,$V4745,'月1回_1ヶ月前の在庫'!$W$6:$W$10005,$W4745)&gt;0),N(U4744),N(U4744)+1))</f>
        <v/>
      </c>
      <c r="V4745" s="19">
        <f>IF($B4745="","",TEXT($B4745,"0000"))</f>
        <v/>
      </c>
      <c r="W4745" s="19">
        <f>IF($I4745="","",IF(ISNUMBER($I4745),TEXT($I4745,"0"),$I4745))</f>
        <v/>
      </c>
    </row>
    <row r="4746">
      <c r="B4746" s="25" t="n"/>
      <c r="I4746" s="25" t="n"/>
      <c r="U4746" s="19">
        <f>IF($V4746&lt;&gt;'設定'!$C$4,N(U4745),IF(OR(NOT(COUNTIF('商品マスタ'!$B$6:$B$1005,$W4746)=0),COUNTIFS('①在庫を貼る'!$V$6:$V$10005,$V4746,'①在庫を貼る'!$W$6:$W$10005,$W4746)+COUNTIFS('月1回_1ヶ月前の在庫'!$V$6:$V$10005,$V4746,'月1回_1ヶ月前の在庫'!$W$6:$W$10005,$W4746)&gt;0),N(U4745),N(U4745)+1))</f>
        <v/>
      </c>
      <c r="V4746" s="19">
        <f>IF($B4746="","",TEXT($B4746,"0000"))</f>
        <v/>
      </c>
      <c r="W4746" s="19">
        <f>IF($I4746="","",IF(ISNUMBER($I4746),TEXT($I4746,"0"),$I4746))</f>
        <v/>
      </c>
    </row>
    <row r="4747">
      <c r="B4747" s="25" t="n"/>
      <c r="I4747" s="25" t="n"/>
      <c r="U4747" s="19">
        <f>IF($V4747&lt;&gt;'設定'!$C$4,N(U4746),IF(OR(NOT(COUNTIF('商品マスタ'!$B$6:$B$1005,$W4747)=0),COUNTIFS('①在庫を貼る'!$V$6:$V$10005,$V4747,'①在庫を貼る'!$W$6:$W$10005,$W4747)+COUNTIFS('月1回_1ヶ月前の在庫'!$V$6:$V$10005,$V4747,'月1回_1ヶ月前の在庫'!$W$6:$W$10005,$W4747)&gt;0),N(U4746),N(U4746)+1))</f>
        <v/>
      </c>
      <c r="V4747" s="19">
        <f>IF($B4747="","",TEXT($B4747,"0000"))</f>
        <v/>
      </c>
      <c r="W4747" s="19">
        <f>IF($I4747="","",IF(ISNUMBER($I4747),TEXT($I4747,"0"),$I4747))</f>
        <v/>
      </c>
    </row>
    <row r="4748">
      <c r="B4748" s="25" t="n"/>
      <c r="I4748" s="25" t="n"/>
      <c r="U4748" s="19">
        <f>IF($V4748&lt;&gt;'設定'!$C$4,N(U4747),IF(OR(NOT(COUNTIF('商品マスタ'!$B$6:$B$1005,$W4748)=0),COUNTIFS('①在庫を貼る'!$V$6:$V$10005,$V4748,'①在庫を貼る'!$W$6:$W$10005,$W4748)+COUNTIFS('月1回_1ヶ月前の在庫'!$V$6:$V$10005,$V4748,'月1回_1ヶ月前の在庫'!$W$6:$W$10005,$W4748)&gt;0),N(U4747),N(U4747)+1))</f>
        <v/>
      </c>
      <c r="V4748" s="19">
        <f>IF($B4748="","",TEXT($B4748,"0000"))</f>
        <v/>
      </c>
      <c r="W4748" s="19">
        <f>IF($I4748="","",IF(ISNUMBER($I4748),TEXT($I4748,"0"),$I4748))</f>
        <v/>
      </c>
    </row>
    <row r="4749">
      <c r="B4749" s="25" t="n"/>
      <c r="I4749" s="25" t="n"/>
      <c r="U4749" s="19">
        <f>IF($V4749&lt;&gt;'設定'!$C$4,N(U4748),IF(OR(NOT(COUNTIF('商品マスタ'!$B$6:$B$1005,$W4749)=0),COUNTIFS('①在庫を貼る'!$V$6:$V$10005,$V4749,'①在庫を貼る'!$W$6:$W$10005,$W4749)+COUNTIFS('月1回_1ヶ月前の在庫'!$V$6:$V$10005,$V4749,'月1回_1ヶ月前の在庫'!$W$6:$W$10005,$W4749)&gt;0),N(U4748),N(U4748)+1))</f>
        <v/>
      </c>
      <c r="V4749" s="19">
        <f>IF($B4749="","",TEXT($B4749,"0000"))</f>
        <v/>
      </c>
      <c r="W4749" s="19">
        <f>IF($I4749="","",IF(ISNUMBER($I4749),TEXT($I4749,"0"),$I4749))</f>
        <v/>
      </c>
    </row>
    <row r="4750">
      <c r="B4750" s="25" t="n"/>
      <c r="I4750" s="25" t="n"/>
      <c r="U4750" s="19">
        <f>IF($V4750&lt;&gt;'設定'!$C$4,N(U4749),IF(OR(NOT(COUNTIF('商品マスタ'!$B$6:$B$1005,$W4750)=0),COUNTIFS('①在庫を貼る'!$V$6:$V$10005,$V4750,'①在庫を貼る'!$W$6:$W$10005,$W4750)+COUNTIFS('月1回_1ヶ月前の在庫'!$V$6:$V$10005,$V4750,'月1回_1ヶ月前の在庫'!$W$6:$W$10005,$W4750)&gt;0),N(U4749),N(U4749)+1))</f>
        <v/>
      </c>
      <c r="V4750" s="19">
        <f>IF($B4750="","",TEXT($B4750,"0000"))</f>
        <v/>
      </c>
      <c r="W4750" s="19">
        <f>IF($I4750="","",IF(ISNUMBER($I4750),TEXT($I4750,"0"),$I4750))</f>
        <v/>
      </c>
    </row>
    <row r="4751">
      <c r="B4751" s="25" t="n"/>
      <c r="I4751" s="25" t="n"/>
      <c r="U4751" s="19">
        <f>IF($V4751&lt;&gt;'設定'!$C$4,N(U4750),IF(OR(NOT(COUNTIF('商品マスタ'!$B$6:$B$1005,$W4751)=0),COUNTIFS('①在庫を貼る'!$V$6:$V$10005,$V4751,'①在庫を貼る'!$W$6:$W$10005,$W4751)+COUNTIFS('月1回_1ヶ月前の在庫'!$V$6:$V$10005,$V4751,'月1回_1ヶ月前の在庫'!$W$6:$W$10005,$W4751)&gt;0),N(U4750),N(U4750)+1))</f>
        <v/>
      </c>
      <c r="V4751" s="19">
        <f>IF($B4751="","",TEXT($B4751,"0000"))</f>
        <v/>
      </c>
      <c r="W4751" s="19">
        <f>IF($I4751="","",IF(ISNUMBER($I4751),TEXT($I4751,"0"),$I4751))</f>
        <v/>
      </c>
    </row>
    <row r="4752">
      <c r="B4752" s="25" t="n"/>
      <c r="I4752" s="25" t="n"/>
      <c r="U4752" s="19">
        <f>IF($V4752&lt;&gt;'設定'!$C$4,N(U4751),IF(OR(NOT(COUNTIF('商品マスタ'!$B$6:$B$1005,$W4752)=0),COUNTIFS('①在庫を貼る'!$V$6:$V$10005,$V4752,'①在庫を貼る'!$W$6:$W$10005,$W4752)+COUNTIFS('月1回_1ヶ月前の在庫'!$V$6:$V$10005,$V4752,'月1回_1ヶ月前の在庫'!$W$6:$W$10005,$W4752)&gt;0),N(U4751),N(U4751)+1))</f>
        <v/>
      </c>
      <c r="V4752" s="19">
        <f>IF($B4752="","",TEXT($B4752,"0000"))</f>
        <v/>
      </c>
      <c r="W4752" s="19">
        <f>IF($I4752="","",IF(ISNUMBER($I4752),TEXT($I4752,"0"),$I4752))</f>
        <v/>
      </c>
    </row>
    <row r="4753">
      <c r="B4753" s="25" t="n"/>
      <c r="I4753" s="25" t="n"/>
      <c r="U4753" s="19">
        <f>IF($V4753&lt;&gt;'設定'!$C$4,N(U4752),IF(OR(NOT(COUNTIF('商品マスタ'!$B$6:$B$1005,$W4753)=0),COUNTIFS('①在庫を貼る'!$V$6:$V$10005,$V4753,'①在庫を貼る'!$W$6:$W$10005,$W4753)+COUNTIFS('月1回_1ヶ月前の在庫'!$V$6:$V$10005,$V4753,'月1回_1ヶ月前の在庫'!$W$6:$W$10005,$W4753)&gt;0),N(U4752),N(U4752)+1))</f>
        <v/>
      </c>
      <c r="V4753" s="19">
        <f>IF($B4753="","",TEXT($B4753,"0000"))</f>
        <v/>
      </c>
      <c r="W4753" s="19">
        <f>IF($I4753="","",IF(ISNUMBER($I4753),TEXT($I4753,"0"),$I4753))</f>
        <v/>
      </c>
    </row>
    <row r="4754">
      <c r="B4754" s="25" t="n"/>
      <c r="I4754" s="25" t="n"/>
      <c r="U4754" s="19">
        <f>IF($V4754&lt;&gt;'設定'!$C$4,N(U4753),IF(OR(NOT(COUNTIF('商品マスタ'!$B$6:$B$1005,$W4754)=0),COUNTIFS('①在庫を貼る'!$V$6:$V$10005,$V4754,'①在庫を貼る'!$W$6:$W$10005,$W4754)+COUNTIFS('月1回_1ヶ月前の在庫'!$V$6:$V$10005,$V4754,'月1回_1ヶ月前の在庫'!$W$6:$W$10005,$W4754)&gt;0),N(U4753),N(U4753)+1))</f>
        <v/>
      </c>
      <c r="V4754" s="19">
        <f>IF($B4754="","",TEXT($B4754,"0000"))</f>
        <v/>
      </c>
      <c r="W4754" s="19">
        <f>IF($I4754="","",IF(ISNUMBER($I4754),TEXT($I4754,"0"),$I4754))</f>
        <v/>
      </c>
    </row>
    <row r="4755">
      <c r="B4755" s="25" t="n"/>
      <c r="I4755" s="25" t="n"/>
      <c r="U4755" s="19">
        <f>IF($V4755&lt;&gt;'設定'!$C$4,N(U4754),IF(OR(NOT(COUNTIF('商品マスタ'!$B$6:$B$1005,$W4755)=0),COUNTIFS('①在庫を貼る'!$V$6:$V$10005,$V4755,'①在庫を貼る'!$W$6:$W$10005,$W4755)+COUNTIFS('月1回_1ヶ月前の在庫'!$V$6:$V$10005,$V4755,'月1回_1ヶ月前の在庫'!$W$6:$W$10005,$W4755)&gt;0),N(U4754),N(U4754)+1))</f>
        <v/>
      </c>
      <c r="V4755" s="19">
        <f>IF($B4755="","",TEXT($B4755,"0000"))</f>
        <v/>
      </c>
      <c r="W4755" s="19">
        <f>IF($I4755="","",IF(ISNUMBER($I4755),TEXT($I4755,"0"),$I4755))</f>
        <v/>
      </c>
    </row>
    <row r="4756">
      <c r="B4756" s="25" t="n"/>
      <c r="I4756" s="25" t="n"/>
      <c r="U4756" s="19">
        <f>IF($V4756&lt;&gt;'設定'!$C$4,N(U4755),IF(OR(NOT(COUNTIF('商品マスタ'!$B$6:$B$1005,$W4756)=0),COUNTIFS('①在庫を貼る'!$V$6:$V$10005,$V4756,'①在庫を貼る'!$W$6:$W$10005,$W4756)+COUNTIFS('月1回_1ヶ月前の在庫'!$V$6:$V$10005,$V4756,'月1回_1ヶ月前の在庫'!$W$6:$W$10005,$W4756)&gt;0),N(U4755),N(U4755)+1))</f>
        <v/>
      </c>
      <c r="V4756" s="19">
        <f>IF($B4756="","",TEXT($B4756,"0000"))</f>
        <v/>
      </c>
      <c r="W4756" s="19">
        <f>IF($I4756="","",IF(ISNUMBER($I4756),TEXT($I4756,"0"),$I4756))</f>
        <v/>
      </c>
    </row>
    <row r="4757">
      <c r="B4757" s="25" t="n"/>
      <c r="I4757" s="25" t="n"/>
      <c r="U4757" s="19">
        <f>IF($V4757&lt;&gt;'設定'!$C$4,N(U4756),IF(OR(NOT(COUNTIF('商品マスタ'!$B$6:$B$1005,$W4757)=0),COUNTIFS('①在庫を貼る'!$V$6:$V$10005,$V4757,'①在庫を貼る'!$W$6:$W$10005,$W4757)+COUNTIFS('月1回_1ヶ月前の在庫'!$V$6:$V$10005,$V4757,'月1回_1ヶ月前の在庫'!$W$6:$W$10005,$W4757)&gt;0),N(U4756),N(U4756)+1))</f>
        <v/>
      </c>
      <c r="V4757" s="19">
        <f>IF($B4757="","",TEXT($B4757,"0000"))</f>
        <v/>
      </c>
      <c r="W4757" s="19">
        <f>IF($I4757="","",IF(ISNUMBER($I4757),TEXT($I4757,"0"),$I4757))</f>
        <v/>
      </c>
    </row>
    <row r="4758">
      <c r="B4758" s="25" t="n"/>
      <c r="I4758" s="25" t="n"/>
      <c r="U4758" s="19">
        <f>IF($V4758&lt;&gt;'設定'!$C$4,N(U4757),IF(OR(NOT(COUNTIF('商品マスタ'!$B$6:$B$1005,$W4758)=0),COUNTIFS('①在庫を貼る'!$V$6:$V$10005,$V4758,'①在庫を貼る'!$W$6:$W$10005,$W4758)+COUNTIFS('月1回_1ヶ月前の在庫'!$V$6:$V$10005,$V4758,'月1回_1ヶ月前の在庫'!$W$6:$W$10005,$W4758)&gt;0),N(U4757),N(U4757)+1))</f>
        <v/>
      </c>
      <c r="V4758" s="19">
        <f>IF($B4758="","",TEXT($B4758,"0000"))</f>
        <v/>
      </c>
      <c r="W4758" s="19">
        <f>IF($I4758="","",IF(ISNUMBER($I4758),TEXT($I4758,"0"),$I4758))</f>
        <v/>
      </c>
    </row>
    <row r="4759">
      <c r="B4759" s="25" t="n"/>
      <c r="I4759" s="25" t="n"/>
      <c r="U4759" s="19">
        <f>IF($V4759&lt;&gt;'設定'!$C$4,N(U4758),IF(OR(NOT(COUNTIF('商品マスタ'!$B$6:$B$1005,$W4759)=0),COUNTIFS('①在庫を貼る'!$V$6:$V$10005,$V4759,'①在庫を貼る'!$W$6:$W$10005,$W4759)+COUNTIFS('月1回_1ヶ月前の在庫'!$V$6:$V$10005,$V4759,'月1回_1ヶ月前の在庫'!$W$6:$W$10005,$W4759)&gt;0),N(U4758),N(U4758)+1))</f>
        <v/>
      </c>
      <c r="V4759" s="19">
        <f>IF($B4759="","",TEXT($B4759,"0000"))</f>
        <v/>
      </c>
      <c r="W4759" s="19">
        <f>IF($I4759="","",IF(ISNUMBER($I4759),TEXT($I4759,"0"),$I4759))</f>
        <v/>
      </c>
    </row>
    <row r="4760">
      <c r="B4760" s="25" t="n"/>
      <c r="I4760" s="25" t="n"/>
      <c r="U4760" s="19">
        <f>IF($V4760&lt;&gt;'設定'!$C$4,N(U4759),IF(OR(NOT(COUNTIF('商品マスタ'!$B$6:$B$1005,$W4760)=0),COUNTIFS('①在庫を貼る'!$V$6:$V$10005,$V4760,'①在庫を貼る'!$W$6:$W$10005,$W4760)+COUNTIFS('月1回_1ヶ月前の在庫'!$V$6:$V$10005,$V4760,'月1回_1ヶ月前の在庫'!$W$6:$W$10005,$W4760)&gt;0),N(U4759),N(U4759)+1))</f>
        <v/>
      </c>
      <c r="V4760" s="19">
        <f>IF($B4760="","",TEXT($B4760,"0000"))</f>
        <v/>
      </c>
      <c r="W4760" s="19">
        <f>IF($I4760="","",IF(ISNUMBER($I4760),TEXT($I4760,"0"),$I4760))</f>
        <v/>
      </c>
    </row>
    <row r="4761">
      <c r="B4761" s="25" t="n"/>
      <c r="I4761" s="25" t="n"/>
      <c r="U4761" s="19">
        <f>IF($V4761&lt;&gt;'設定'!$C$4,N(U4760),IF(OR(NOT(COUNTIF('商品マスタ'!$B$6:$B$1005,$W4761)=0),COUNTIFS('①在庫を貼る'!$V$6:$V$10005,$V4761,'①在庫を貼る'!$W$6:$W$10005,$W4761)+COUNTIFS('月1回_1ヶ月前の在庫'!$V$6:$V$10005,$V4761,'月1回_1ヶ月前の在庫'!$W$6:$W$10005,$W4761)&gt;0),N(U4760),N(U4760)+1))</f>
        <v/>
      </c>
      <c r="V4761" s="19">
        <f>IF($B4761="","",TEXT($B4761,"0000"))</f>
        <v/>
      </c>
      <c r="W4761" s="19">
        <f>IF($I4761="","",IF(ISNUMBER($I4761),TEXT($I4761,"0"),$I4761))</f>
        <v/>
      </c>
    </row>
    <row r="4762">
      <c r="B4762" s="25" t="n"/>
      <c r="I4762" s="25" t="n"/>
      <c r="U4762" s="19">
        <f>IF($V4762&lt;&gt;'設定'!$C$4,N(U4761),IF(OR(NOT(COUNTIF('商品マスタ'!$B$6:$B$1005,$W4762)=0),COUNTIFS('①在庫を貼る'!$V$6:$V$10005,$V4762,'①在庫を貼る'!$W$6:$W$10005,$W4762)+COUNTIFS('月1回_1ヶ月前の在庫'!$V$6:$V$10005,$V4762,'月1回_1ヶ月前の在庫'!$W$6:$W$10005,$W4762)&gt;0),N(U4761),N(U4761)+1))</f>
        <v/>
      </c>
      <c r="V4762" s="19">
        <f>IF($B4762="","",TEXT($B4762,"0000"))</f>
        <v/>
      </c>
      <c r="W4762" s="19">
        <f>IF($I4762="","",IF(ISNUMBER($I4762),TEXT($I4762,"0"),$I4762))</f>
        <v/>
      </c>
    </row>
    <row r="4763">
      <c r="B4763" s="25" t="n"/>
      <c r="I4763" s="25" t="n"/>
      <c r="U4763" s="19">
        <f>IF($V4763&lt;&gt;'設定'!$C$4,N(U4762),IF(OR(NOT(COUNTIF('商品マスタ'!$B$6:$B$1005,$W4763)=0),COUNTIFS('①在庫を貼る'!$V$6:$V$10005,$V4763,'①在庫を貼る'!$W$6:$W$10005,$W4763)+COUNTIFS('月1回_1ヶ月前の在庫'!$V$6:$V$10005,$V4763,'月1回_1ヶ月前の在庫'!$W$6:$W$10005,$W4763)&gt;0),N(U4762),N(U4762)+1))</f>
        <v/>
      </c>
      <c r="V4763" s="19">
        <f>IF($B4763="","",TEXT($B4763,"0000"))</f>
        <v/>
      </c>
      <c r="W4763" s="19">
        <f>IF($I4763="","",IF(ISNUMBER($I4763),TEXT($I4763,"0"),$I4763))</f>
        <v/>
      </c>
    </row>
    <row r="4764">
      <c r="B4764" s="25" t="n"/>
      <c r="I4764" s="25" t="n"/>
      <c r="U4764" s="19">
        <f>IF($V4764&lt;&gt;'設定'!$C$4,N(U4763),IF(OR(NOT(COUNTIF('商品マスタ'!$B$6:$B$1005,$W4764)=0),COUNTIFS('①在庫を貼る'!$V$6:$V$10005,$V4764,'①在庫を貼る'!$W$6:$W$10005,$W4764)+COUNTIFS('月1回_1ヶ月前の在庫'!$V$6:$V$10005,$V4764,'月1回_1ヶ月前の在庫'!$W$6:$W$10005,$W4764)&gt;0),N(U4763),N(U4763)+1))</f>
        <v/>
      </c>
      <c r="V4764" s="19">
        <f>IF($B4764="","",TEXT($B4764,"0000"))</f>
        <v/>
      </c>
      <c r="W4764" s="19">
        <f>IF($I4764="","",IF(ISNUMBER($I4764),TEXT($I4764,"0"),$I4764))</f>
        <v/>
      </c>
    </row>
    <row r="4765">
      <c r="B4765" s="25" t="n"/>
      <c r="I4765" s="25" t="n"/>
      <c r="U4765" s="19">
        <f>IF($V4765&lt;&gt;'設定'!$C$4,N(U4764),IF(OR(NOT(COUNTIF('商品マスタ'!$B$6:$B$1005,$W4765)=0),COUNTIFS('①在庫を貼る'!$V$6:$V$10005,$V4765,'①在庫を貼る'!$W$6:$W$10005,$W4765)+COUNTIFS('月1回_1ヶ月前の在庫'!$V$6:$V$10005,$V4765,'月1回_1ヶ月前の在庫'!$W$6:$W$10005,$W4765)&gt;0),N(U4764),N(U4764)+1))</f>
        <v/>
      </c>
      <c r="V4765" s="19">
        <f>IF($B4765="","",TEXT($B4765,"0000"))</f>
        <v/>
      </c>
      <c r="W4765" s="19">
        <f>IF($I4765="","",IF(ISNUMBER($I4765),TEXT($I4765,"0"),$I4765))</f>
        <v/>
      </c>
    </row>
    <row r="4766">
      <c r="B4766" s="25" t="n"/>
      <c r="I4766" s="25" t="n"/>
      <c r="U4766" s="19">
        <f>IF($V4766&lt;&gt;'設定'!$C$4,N(U4765),IF(OR(NOT(COUNTIF('商品マスタ'!$B$6:$B$1005,$W4766)=0),COUNTIFS('①在庫を貼る'!$V$6:$V$10005,$V4766,'①在庫を貼る'!$W$6:$W$10005,$W4766)+COUNTIFS('月1回_1ヶ月前の在庫'!$V$6:$V$10005,$V4766,'月1回_1ヶ月前の在庫'!$W$6:$W$10005,$W4766)&gt;0),N(U4765),N(U4765)+1))</f>
        <v/>
      </c>
      <c r="V4766" s="19">
        <f>IF($B4766="","",TEXT($B4766,"0000"))</f>
        <v/>
      </c>
      <c r="W4766" s="19">
        <f>IF($I4766="","",IF(ISNUMBER($I4766),TEXT($I4766,"0"),$I4766))</f>
        <v/>
      </c>
    </row>
    <row r="4767">
      <c r="B4767" s="25" t="n"/>
      <c r="I4767" s="25" t="n"/>
      <c r="U4767" s="19">
        <f>IF($V4767&lt;&gt;'設定'!$C$4,N(U4766),IF(OR(NOT(COUNTIF('商品マスタ'!$B$6:$B$1005,$W4767)=0),COUNTIFS('①在庫を貼る'!$V$6:$V$10005,$V4767,'①在庫を貼る'!$W$6:$W$10005,$W4767)+COUNTIFS('月1回_1ヶ月前の在庫'!$V$6:$V$10005,$V4767,'月1回_1ヶ月前の在庫'!$W$6:$W$10005,$W4767)&gt;0),N(U4766),N(U4766)+1))</f>
        <v/>
      </c>
      <c r="V4767" s="19">
        <f>IF($B4767="","",TEXT($B4767,"0000"))</f>
        <v/>
      </c>
      <c r="W4767" s="19">
        <f>IF($I4767="","",IF(ISNUMBER($I4767),TEXT($I4767,"0"),$I4767))</f>
        <v/>
      </c>
    </row>
    <row r="4768">
      <c r="B4768" s="25" t="n"/>
      <c r="I4768" s="25" t="n"/>
      <c r="U4768" s="19">
        <f>IF($V4768&lt;&gt;'設定'!$C$4,N(U4767),IF(OR(NOT(COUNTIF('商品マスタ'!$B$6:$B$1005,$W4768)=0),COUNTIFS('①在庫を貼る'!$V$6:$V$10005,$V4768,'①在庫を貼る'!$W$6:$W$10005,$W4768)+COUNTIFS('月1回_1ヶ月前の在庫'!$V$6:$V$10005,$V4768,'月1回_1ヶ月前の在庫'!$W$6:$W$10005,$W4768)&gt;0),N(U4767),N(U4767)+1))</f>
        <v/>
      </c>
      <c r="V4768" s="19">
        <f>IF($B4768="","",TEXT($B4768,"0000"))</f>
        <v/>
      </c>
      <c r="W4768" s="19">
        <f>IF($I4768="","",IF(ISNUMBER($I4768),TEXT($I4768,"0"),$I4768))</f>
        <v/>
      </c>
    </row>
    <row r="4769">
      <c r="B4769" s="25" t="n"/>
      <c r="I4769" s="25" t="n"/>
      <c r="U4769" s="19">
        <f>IF($V4769&lt;&gt;'設定'!$C$4,N(U4768),IF(OR(NOT(COUNTIF('商品マスタ'!$B$6:$B$1005,$W4769)=0),COUNTIFS('①在庫を貼る'!$V$6:$V$10005,$V4769,'①在庫を貼る'!$W$6:$W$10005,$W4769)+COUNTIFS('月1回_1ヶ月前の在庫'!$V$6:$V$10005,$V4769,'月1回_1ヶ月前の在庫'!$W$6:$W$10005,$W4769)&gt;0),N(U4768),N(U4768)+1))</f>
        <v/>
      </c>
      <c r="V4769" s="19">
        <f>IF($B4769="","",TEXT($B4769,"0000"))</f>
        <v/>
      </c>
      <c r="W4769" s="19">
        <f>IF($I4769="","",IF(ISNUMBER($I4769),TEXT($I4769,"0"),$I4769))</f>
        <v/>
      </c>
    </row>
    <row r="4770">
      <c r="B4770" s="25" t="n"/>
      <c r="I4770" s="25" t="n"/>
      <c r="U4770" s="19">
        <f>IF($V4770&lt;&gt;'設定'!$C$4,N(U4769),IF(OR(NOT(COUNTIF('商品マスタ'!$B$6:$B$1005,$W4770)=0),COUNTIFS('①在庫を貼る'!$V$6:$V$10005,$V4770,'①在庫を貼る'!$W$6:$W$10005,$W4770)+COUNTIFS('月1回_1ヶ月前の在庫'!$V$6:$V$10005,$V4770,'月1回_1ヶ月前の在庫'!$W$6:$W$10005,$W4770)&gt;0),N(U4769),N(U4769)+1))</f>
        <v/>
      </c>
      <c r="V4770" s="19">
        <f>IF($B4770="","",TEXT($B4770,"0000"))</f>
        <v/>
      </c>
      <c r="W4770" s="19">
        <f>IF($I4770="","",IF(ISNUMBER($I4770),TEXT($I4770,"0"),$I4770))</f>
        <v/>
      </c>
    </row>
    <row r="4771">
      <c r="B4771" s="25" t="n"/>
      <c r="I4771" s="25" t="n"/>
      <c r="U4771" s="19">
        <f>IF($V4771&lt;&gt;'設定'!$C$4,N(U4770),IF(OR(NOT(COUNTIF('商品マスタ'!$B$6:$B$1005,$W4771)=0),COUNTIFS('①在庫を貼る'!$V$6:$V$10005,$V4771,'①在庫を貼る'!$W$6:$W$10005,$W4771)+COUNTIFS('月1回_1ヶ月前の在庫'!$V$6:$V$10005,$V4771,'月1回_1ヶ月前の在庫'!$W$6:$W$10005,$W4771)&gt;0),N(U4770),N(U4770)+1))</f>
        <v/>
      </c>
      <c r="V4771" s="19">
        <f>IF($B4771="","",TEXT($B4771,"0000"))</f>
        <v/>
      </c>
      <c r="W4771" s="19">
        <f>IF($I4771="","",IF(ISNUMBER($I4771),TEXT($I4771,"0"),$I4771))</f>
        <v/>
      </c>
    </row>
    <row r="4772">
      <c r="B4772" s="25" t="n"/>
      <c r="I4772" s="25" t="n"/>
      <c r="U4772" s="19">
        <f>IF($V4772&lt;&gt;'設定'!$C$4,N(U4771),IF(OR(NOT(COUNTIF('商品マスタ'!$B$6:$B$1005,$W4772)=0),COUNTIFS('①在庫を貼る'!$V$6:$V$10005,$V4772,'①在庫を貼る'!$W$6:$W$10005,$W4772)+COUNTIFS('月1回_1ヶ月前の在庫'!$V$6:$V$10005,$V4772,'月1回_1ヶ月前の在庫'!$W$6:$W$10005,$W4772)&gt;0),N(U4771),N(U4771)+1))</f>
        <v/>
      </c>
      <c r="V4772" s="19">
        <f>IF($B4772="","",TEXT($B4772,"0000"))</f>
        <v/>
      </c>
      <c r="W4772" s="19">
        <f>IF($I4772="","",IF(ISNUMBER($I4772),TEXT($I4772,"0"),$I4772))</f>
        <v/>
      </c>
    </row>
    <row r="4773">
      <c r="B4773" s="25" t="n"/>
      <c r="I4773" s="25" t="n"/>
      <c r="U4773" s="19">
        <f>IF($V4773&lt;&gt;'設定'!$C$4,N(U4772),IF(OR(NOT(COUNTIF('商品マスタ'!$B$6:$B$1005,$W4773)=0),COUNTIFS('①在庫を貼る'!$V$6:$V$10005,$V4773,'①在庫を貼る'!$W$6:$W$10005,$W4773)+COUNTIFS('月1回_1ヶ月前の在庫'!$V$6:$V$10005,$V4773,'月1回_1ヶ月前の在庫'!$W$6:$W$10005,$W4773)&gt;0),N(U4772),N(U4772)+1))</f>
        <v/>
      </c>
      <c r="V4773" s="19">
        <f>IF($B4773="","",TEXT($B4773,"0000"))</f>
        <v/>
      </c>
      <c r="W4773" s="19">
        <f>IF($I4773="","",IF(ISNUMBER($I4773),TEXT($I4773,"0"),$I4773))</f>
        <v/>
      </c>
    </row>
    <row r="4774">
      <c r="B4774" s="25" t="n"/>
      <c r="I4774" s="25" t="n"/>
      <c r="U4774" s="19">
        <f>IF($V4774&lt;&gt;'設定'!$C$4,N(U4773),IF(OR(NOT(COUNTIF('商品マスタ'!$B$6:$B$1005,$W4774)=0),COUNTIFS('①在庫を貼る'!$V$6:$V$10005,$V4774,'①在庫を貼る'!$W$6:$W$10005,$W4774)+COUNTIFS('月1回_1ヶ月前の在庫'!$V$6:$V$10005,$V4774,'月1回_1ヶ月前の在庫'!$W$6:$W$10005,$W4774)&gt;0),N(U4773),N(U4773)+1))</f>
        <v/>
      </c>
      <c r="V4774" s="19">
        <f>IF($B4774="","",TEXT($B4774,"0000"))</f>
        <v/>
      </c>
      <c r="W4774" s="19">
        <f>IF($I4774="","",IF(ISNUMBER($I4774),TEXT($I4774,"0"),$I4774))</f>
        <v/>
      </c>
    </row>
    <row r="4775">
      <c r="B4775" s="25" t="n"/>
      <c r="I4775" s="25" t="n"/>
      <c r="U4775" s="19">
        <f>IF($V4775&lt;&gt;'設定'!$C$4,N(U4774),IF(OR(NOT(COUNTIF('商品マスタ'!$B$6:$B$1005,$W4775)=0),COUNTIFS('①在庫を貼る'!$V$6:$V$10005,$V4775,'①在庫を貼る'!$W$6:$W$10005,$W4775)+COUNTIFS('月1回_1ヶ月前の在庫'!$V$6:$V$10005,$V4775,'月1回_1ヶ月前の在庫'!$W$6:$W$10005,$W4775)&gt;0),N(U4774),N(U4774)+1))</f>
        <v/>
      </c>
      <c r="V4775" s="19">
        <f>IF($B4775="","",TEXT($B4775,"0000"))</f>
        <v/>
      </c>
      <c r="W4775" s="19">
        <f>IF($I4775="","",IF(ISNUMBER($I4775),TEXT($I4775,"0"),$I4775))</f>
        <v/>
      </c>
    </row>
    <row r="4776">
      <c r="B4776" s="25" t="n"/>
      <c r="I4776" s="25" t="n"/>
      <c r="U4776" s="19">
        <f>IF($V4776&lt;&gt;'設定'!$C$4,N(U4775),IF(OR(NOT(COUNTIF('商品マスタ'!$B$6:$B$1005,$W4776)=0),COUNTIFS('①在庫を貼る'!$V$6:$V$10005,$V4776,'①在庫を貼る'!$W$6:$W$10005,$W4776)+COUNTIFS('月1回_1ヶ月前の在庫'!$V$6:$V$10005,$V4776,'月1回_1ヶ月前の在庫'!$W$6:$W$10005,$W4776)&gt;0),N(U4775),N(U4775)+1))</f>
        <v/>
      </c>
      <c r="V4776" s="19">
        <f>IF($B4776="","",TEXT($B4776,"0000"))</f>
        <v/>
      </c>
      <c r="W4776" s="19">
        <f>IF($I4776="","",IF(ISNUMBER($I4776),TEXT($I4776,"0"),$I4776))</f>
        <v/>
      </c>
    </row>
    <row r="4777">
      <c r="B4777" s="25" t="n"/>
      <c r="I4777" s="25" t="n"/>
      <c r="U4777" s="19">
        <f>IF($V4777&lt;&gt;'設定'!$C$4,N(U4776),IF(OR(NOT(COUNTIF('商品マスタ'!$B$6:$B$1005,$W4777)=0),COUNTIFS('①在庫を貼る'!$V$6:$V$10005,$V4777,'①在庫を貼る'!$W$6:$W$10005,$W4777)+COUNTIFS('月1回_1ヶ月前の在庫'!$V$6:$V$10005,$V4777,'月1回_1ヶ月前の在庫'!$W$6:$W$10005,$W4777)&gt;0),N(U4776),N(U4776)+1))</f>
        <v/>
      </c>
      <c r="V4777" s="19">
        <f>IF($B4777="","",TEXT($B4777,"0000"))</f>
        <v/>
      </c>
      <c r="W4777" s="19">
        <f>IF($I4777="","",IF(ISNUMBER($I4777),TEXT($I4777,"0"),$I4777))</f>
        <v/>
      </c>
    </row>
    <row r="4778">
      <c r="B4778" s="25" t="n"/>
      <c r="I4778" s="25" t="n"/>
      <c r="U4778" s="19">
        <f>IF($V4778&lt;&gt;'設定'!$C$4,N(U4777),IF(OR(NOT(COUNTIF('商品マスタ'!$B$6:$B$1005,$W4778)=0),COUNTIFS('①在庫を貼る'!$V$6:$V$10005,$V4778,'①在庫を貼る'!$W$6:$W$10005,$W4778)+COUNTIFS('月1回_1ヶ月前の在庫'!$V$6:$V$10005,$V4778,'月1回_1ヶ月前の在庫'!$W$6:$W$10005,$W4778)&gt;0),N(U4777),N(U4777)+1))</f>
        <v/>
      </c>
      <c r="V4778" s="19">
        <f>IF($B4778="","",TEXT($B4778,"0000"))</f>
        <v/>
      </c>
      <c r="W4778" s="19">
        <f>IF($I4778="","",IF(ISNUMBER($I4778),TEXT($I4778,"0"),$I4778))</f>
        <v/>
      </c>
    </row>
    <row r="4779">
      <c r="B4779" s="25" t="n"/>
      <c r="I4779" s="25" t="n"/>
      <c r="U4779" s="19">
        <f>IF($V4779&lt;&gt;'設定'!$C$4,N(U4778),IF(OR(NOT(COUNTIF('商品マスタ'!$B$6:$B$1005,$W4779)=0),COUNTIFS('①在庫を貼る'!$V$6:$V$10005,$V4779,'①在庫を貼る'!$W$6:$W$10005,$W4779)+COUNTIFS('月1回_1ヶ月前の在庫'!$V$6:$V$10005,$V4779,'月1回_1ヶ月前の在庫'!$W$6:$W$10005,$W4779)&gt;0),N(U4778),N(U4778)+1))</f>
        <v/>
      </c>
      <c r="V4779" s="19">
        <f>IF($B4779="","",TEXT($B4779,"0000"))</f>
        <v/>
      </c>
      <c r="W4779" s="19">
        <f>IF($I4779="","",IF(ISNUMBER($I4779),TEXT($I4779,"0"),$I4779))</f>
        <v/>
      </c>
    </row>
    <row r="4780">
      <c r="B4780" s="25" t="n"/>
      <c r="I4780" s="25" t="n"/>
      <c r="U4780" s="19">
        <f>IF($V4780&lt;&gt;'設定'!$C$4,N(U4779),IF(OR(NOT(COUNTIF('商品マスタ'!$B$6:$B$1005,$W4780)=0),COUNTIFS('①在庫を貼る'!$V$6:$V$10005,$V4780,'①在庫を貼る'!$W$6:$W$10005,$W4780)+COUNTIFS('月1回_1ヶ月前の在庫'!$V$6:$V$10005,$V4780,'月1回_1ヶ月前の在庫'!$W$6:$W$10005,$W4780)&gt;0),N(U4779),N(U4779)+1))</f>
        <v/>
      </c>
      <c r="V4780" s="19">
        <f>IF($B4780="","",TEXT($B4780,"0000"))</f>
        <v/>
      </c>
      <c r="W4780" s="19">
        <f>IF($I4780="","",IF(ISNUMBER($I4780),TEXT($I4780,"0"),$I4780))</f>
        <v/>
      </c>
    </row>
    <row r="4781">
      <c r="B4781" s="25" t="n"/>
      <c r="I4781" s="25" t="n"/>
      <c r="U4781" s="19">
        <f>IF($V4781&lt;&gt;'設定'!$C$4,N(U4780),IF(OR(NOT(COUNTIF('商品マスタ'!$B$6:$B$1005,$W4781)=0),COUNTIFS('①在庫を貼る'!$V$6:$V$10005,$V4781,'①在庫を貼る'!$W$6:$W$10005,$W4781)+COUNTIFS('月1回_1ヶ月前の在庫'!$V$6:$V$10005,$V4781,'月1回_1ヶ月前の在庫'!$W$6:$W$10005,$W4781)&gt;0),N(U4780),N(U4780)+1))</f>
        <v/>
      </c>
      <c r="V4781" s="19">
        <f>IF($B4781="","",TEXT($B4781,"0000"))</f>
        <v/>
      </c>
      <c r="W4781" s="19">
        <f>IF($I4781="","",IF(ISNUMBER($I4781),TEXT($I4781,"0"),$I4781))</f>
        <v/>
      </c>
    </row>
    <row r="4782">
      <c r="B4782" s="25" t="n"/>
      <c r="I4782" s="25" t="n"/>
      <c r="U4782" s="19">
        <f>IF($V4782&lt;&gt;'設定'!$C$4,N(U4781),IF(OR(NOT(COUNTIF('商品マスタ'!$B$6:$B$1005,$W4782)=0),COUNTIFS('①在庫を貼る'!$V$6:$V$10005,$V4782,'①在庫を貼る'!$W$6:$W$10005,$W4782)+COUNTIFS('月1回_1ヶ月前の在庫'!$V$6:$V$10005,$V4782,'月1回_1ヶ月前の在庫'!$W$6:$W$10005,$W4782)&gt;0),N(U4781),N(U4781)+1))</f>
        <v/>
      </c>
      <c r="V4782" s="19">
        <f>IF($B4782="","",TEXT($B4782,"0000"))</f>
        <v/>
      </c>
      <c r="W4782" s="19">
        <f>IF($I4782="","",IF(ISNUMBER($I4782),TEXT($I4782,"0"),$I4782))</f>
        <v/>
      </c>
    </row>
    <row r="4783">
      <c r="B4783" s="25" t="n"/>
      <c r="I4783" s="25" t="n"/>
      <c r="U4783" s="19">
        <f>IF($V4783&lt;&gt;'設定'!$C$4,N(U4782),IF(OR(NOT(COUNTIF('商品マスタ'!$B$6:$B$1005,$W4783)=0),COUNTIFS('①在庫を貼る'!$V$6:$V$10005,$V4783,'①在庫を貼る'!$W$6:$W$10005,$W4783)+COUNTIFS('月1回_1ヶ月前の在庫'!$V$6:$V$10005,$V4783,'月1回_1ヶ月前の在庫'!$W$6:$W$10005,$W4783)&gt;0),N(U4782),N(U4782)+1))</f>
        <v/>
      </c>
      <c r="V4783" s="19">
        <f>IF($B4783="","",TEXT($B4783,"0000"))</f>
        <v/>
      </c>
      <c r="W4783" s="19">
        <f>IF($I4783="","",IF(ISNUMBER($I4783),TEXT($I4783,"0"),$I4783))</f>
        <v/>
      </c>
    </row>
    <row r="4784">
      <c r="B4784" s="25" t="n"/>
      <c r="I4784" s="25" t="n"/>
      <c r="U4784" s="19">
        <f>IF($V4784&lt;&gt;'設定'!$C$4,N(U4783),IF(OR(NOT(COUNTIF('商品マスタ'!$B$6:$B$1005,$W4784)=0),COUNTIFS('①在庫を貼る'!$V$6:$V$10005,$V4784,'①在庫を貼る'!$W$6:$W$10005,$W4784)+COUNTIFS('月1回_1ヶ月前の在庫'!$V$6:$V$10005,$V4784,'月1回_1ヶ月前の在庫'!$W$6:$W$10005,$W4784)&gt;0),N(U4783),N(U4783)+1))</f>
        <v/>
      </c>
      <c r="V4784" s="19">
        <f>IF($B4784="","",TEXT($B4784,"0000"))</f>
        <v/>
      </c>
      <c r="W4784" s="19">
        <f>IF($I4784="","",IF(ISNUMBER($I4784),TEXT($I4784,"0"),$I4784))</f>
        <v/>
      </c>
    </row>
    <row r="4785">
      <c r="B4785" s="25" t="n"/>
      <c r="I4785" s="25" t="n"/>
      <c r="U4785" s="19">
        <f>IF($V4785&lt;&gt;'設定'!$C$4,N(U4784),IF(OR(NOT(COUNTIF('商品マスタ'!$B$6:$B$1005,$W4785)=0),COUNTIFS('①在庫を貼る'!$V$6:$V$10005,$V4785,'①在庫を貼る'!$W$6:$W$10005,$W4785)+COUNTIFS('月1回_1ヶ月前の在庫'!$V$6:$V$10005,$V4785,'月1回_1ヶ月前の在庫'!$W$6:$W$10005,$W4785)&gt;0),N(U4784),N(U4784)+1))</f>
        <v/>
      </c>
      <c r="V4785" s="19">
        <f>IF($B4785="","",TEXT($B4785,"0000"))</f>
        <v/>
      </c>
      <c r="W4785" s="19">
        <f>IF($I4785="","",IF(ISNUMBER($I4785),TEXT($I4785,"0"),$I4785))</f>
        <v/>
      </c>
    </row>
    <row r="4786">
      <c r="B4786" s="25" t="n"/>
      <c r="I4786" s="25" t="n"/>
      <c r="U4786" s="19">
        <f>IF($V4786&lt;&gt;'設定'!$C$4,N(U4785),IF(OR(NOT(COUNTIF('商品マスタ'!$B$6:$B$1005,$W4786)=0),COUNTIFS('①在庫を貼る'!$V$6:$V$10005,$V4786,'①在庫を貼る'!$W$6:$W$10005,$W4786)+COUNTIFS('月1回_1ヶ月前の在庫'!$V$6:$V$10005,$V4786,'月1回_1ヶ月前の在庫'!$W$6:$W$10005,$W4786)&gt;0),N(U4785),N(U4785)+1))</f>
        <v/>
      </c>
      <c r="V4786" s="19">
        <f>IF($B4786="","",TEXT($B4786,"0000"))</f>
        <v/>
      </c>
      <c r="W4786" s="19">
        <f>IF($I4786="","",IF(ISNUMBER($I4786),TEXT($I4786,"0"),$I4786))</f>
        <v/>
      </c>
    </row>
    <row r="4787">
      <c r="B4787" s="25" t="n"/>
      <c r="I4787" s="25" t="n"/>
      <c r="U4787" s="19">
        <f>IF($V4787&lt;&gt;'設定'!$C$4,N(U4786),IF(OR(NOT(COUNTIF('商品マスタ'!$B$6:$B$1005,$W4787)=0),COUNTIFS('①在庫を貼る'!$V$6:$V$10005,$V4787,'①在庫を貼る'!$W$6:$W$10005,$W4787)+COUNTIFS('月1回_1ヶ月前の在庫'!$V$6:$V$10005,$V4787,'月1回_1ヶ月前の在庫'!$W$6:$W$10005,$W4787)&gt;0),N(U4786),N(U4786)+1))</f>
        <v/>
      </c>
      <c r="V4787" s="19">
        <f>IF($B4787="","",TEXT($B4787,"0000"))</f>
        <v/>
      </c>
      <c r="W4787" s="19">
        <f>IF($I4787="","",IF(ISNUMBER($I4787),TEXT($I4787,"0"),$I4787))</f>
        <v/>
      </c>
    </row>
    <row r="4788">
      <c r="B4788" s="25" t="n"/>
      <c r="I4788" s="25" t="n"/>
      <c r="U4788" s="19">
        <f>IF($V4788&lt;&gt;'設定'!$C$4,N(U4787),IF(OR(NOT(COUNTIF('商品マスタ'!$B$6:$B$1005,$W4788)=0),COUNTIFS('①在庫を貼る'!$V$6:$V$10005,$V4788,'①在庫を貼る'!$W$6:$W$10005,$W4788)+COUNTIFS('月1回_1ヶ月前の在庫'!$V$6:$V$10005,$V4788,'月1回_1ヶ月前の在庫'!$W$6:$W$10005,$W4788)&gt;0),N(U4787),N(U4787)+1))</f>
        <v/>
      </c>
      <c r="V4788" s="19">
        <f>IF($B4788="","",TEXT($B4788,"0000"))</f>
        <v/>
      </c>
      <c r="W4788" s="19">
        <f>IF($I4788="","",IF(ISNUMBER($I4788),TEXT($I4788,"0"),$I4788))</f>
        <v/>
      </c>
    </row>
    <row r="4789">
      <c r="B4789" s="25" t="n"/>
      <c r="I4789" s="25" t="n"/>
      <c r="U4789" s="19">
        <f>IF($V4789&lt;&gt;'設定'!$C$4,N(U4788),IF(OR(NOT(COUNTIF('商品マスタ'!$B$6:$B$1005,$W4789)=0),COUNTIFS('①在庫を貼る'!$V$6:$V$10005,$V4789,'①在庫を貼る'!$W$6:$W$10005,$W4789)+COUNTIFS('月1回_1ヶ月前の在庫'!$V$6:$V$10005,$V4789,'月1回_1ヶ月前の在庫'!$W$6:$W$10005,$W4789)&gt;0),N(U4788),N(U4788)+1))</f>
        <v/>
      </c>
      <c r="V4789" s="19">
        <f>IF($B4789="","",TEXT($B4789,"0000"))</f>
        <v/>
      </c>
      <c r="W4789" s="19">
        <f>IF($I4789="","",IF(ISNUMBER($I4789),TEXT($I4789,"0"),$I4789))</f>
        <v/>
      </c>
    </row>
    <row r="4790">
      <c r="B4790" s="25" t="n"/>
      <c r="I4790" s="25" t="n"/>
      <c r="U4790" s="19">
        <f>IF($V4790&lt;&gt;'設定'!$C$4,N(U4789),IF(OR(NOT(COUNTIF('商品マスタ'!$B$6:$B$1005,$W4790)=0),COUNTIFS('①在庫を貼る'!$V$6:$V$10005,$V4790,'①在庫を貼る'!$W$6:$W$10005,$W4790)+COUNTIFS('月1回_1ヶ月前の在庫'!$V$6:$V$10005,$V4790,'月1回_1ヶ月前の在庫'!$W$6:$W$10005,$W4790)&gt;0),N(U4789),N(U4789)+1))</f>
        <v/>
      </c>
      <c r="V4790" s="19">
        <f>IF($B4790="","",TEXT($B4790,"0000"))</f>
        <v/>
      </c>
      <c r="W4790" s="19">
        <f>IF($I4790="","",IF(ISNUMBER($I4790),TEXT($I4790,"0"),$I4790))</f>
        <v/>
      </c>
    </row>
    <row r="4791">
      <c r="B4791" s="25" t="n"/>
      <c r="I4791" s="25" t="n"/>
      <c r="U4791" s="19">
        <f>IF($V4791&lt;&gt;'設定'!$C$4,N(U4790),IF(OR(NOT(COUNTIF('商品マスタ'!$B$6:$B$1005,$W4791)=0),COUNTIFS('①在庫を貼る'!$V$6:$V$10005,$V4791,'①在庫を貼る'!$W$6:$W$10005,$W4791)+COUNTIFS('月1回_1ヶ月前の在庫'!$V$6:$V$10005,$V4791,'月1回_1ヶ月前の在庫'!$W$6:$W$10005,$W4791)&gt;0),N(U4790),N(U4790)+1))</f>
        <v/>
      </c>
      <c r="V4791" s="19">
        <f>IF($B4791="","",TEXT($B4791,"0000"))</f>
        <v/>
      </c>
      <c r="W4791" s="19">
        <f>IF($I4791="","",IF(ISNUMBER($I4791),TEXT($I4791,"0"),$I4791))</f>
        <v/>
      </c>
    </row>
    <row r="4792">
      <c r="B4792" s="25" t="n"/>
      <c r="I4792" s="25" t="n"/>
      <c r="U4792" s="19">
        <f>IF($V4792&lt;&gt;'設定'!$C$4,N(U4791),IF(OR(NOT(COUNTIF('商品マスタ'!$B$6:$B$1005,$W4792)=0),COUNTIFS('①在庫を貼る'!$V$6:$V$10005,$V4792,'①在庫を貼る'!$W$6:$W$10005,$W4792)+COUNTIFS('月1回_1ヶ月前の在庫'!$V$6:$V$10005,$V4792,'月1回_1ヶ月前の在庫'!$W$6:$W$10005,$W4792)&gt;0),N(U4791),N(U4791)+1))</f>
        <v/>
      </c>
      <c r="V4792" s="19">
        <f>IF($B4792="","",TEXT($B4792,"0000"))</f>
        <v/>
      </c>
      <c r="W4792" s="19">
        <f>IF($I4792="","",IF(ISNUMBER($I4792),TEXT($I4792,"0"),$I4792))</f>
        <v/>
      </c>
    </row>
    <row r="4793">
      <c r="B4793" s="25" t="n"/>
      <c r="I4793" s="25" t="n"/>
      <c r="U4793" s="19">
        <f>IF($V4793&lt;&gt;'設定'!$C$4,N(U4792),IF(OR(NOT(COUNTIF('商品マスタ'!$B$6:$B$1005,$W4793)=0),COUNTIFS('①在庫を貼る'!$V$6:$V$10005,$V4793,'①在庫を貼る'!$W$6:$W$10005,$W4793)+COUNTIFS('月1回_1ヶ月前の在庫'!$V$6:$V$10005,$V4793,'月1回_1ヶ月前の在庫'!$W$6:$W$10005,$W4793)&gt;0),N(U4792),N(U4792)+1))</f>
        <v/>
      </c>
      <c r="V4793" s="19">
        <f>IF($B4793="","",TEXT($B4793,"0000"))</f>
        <v/>
      </c>
      <c r="W4793" s="19">
        <f>IF($I4793="","",IF(ISNUMBER($I4793),TEXT($I4793,"0"),$I4793))</f>
        <v/>
      </c>
    </row>
    <row r="4794">
      <c r="B4794" s="25" t="n"/>
      <c r="I4794" s="25" t="n"/>
      <c r="U4794" s="19">
        <f>IF($V4794&lt;&gt;'設定'!$C$4,N(U4793),IF(OR(NOT(COUNTIF('商品マスタ'!$B$6:$B$1005,$W4794)=0),COUNTIFS('①在庫を貼る'!$V$6:$V$10005,$V4794,'①在庫を貼る'!$W$6:$W$10005,$W4794)+COUNTIFS('月1回_1ヶ月前の在庫'!$V$6:$V$10005,$V4794,'月1回_1ヶ月前の在庫'!$W$6:$W$10005,$W4794)&gt;0),N(U4793),N(U4793)+1))</f>
        <v/>
      </c>
      <c r="V4794" s="19">
        <f>IF($B4794="","",TEXT($B4794,"0000"))</f>
        <v/>
      </c>
      <c r="W4794" s="19">
        <f>IF($I4794="","",IF(ISNUMBER($I4794),TEXT($I4794,"0"),$I4794))</f>
        <v/>
      </c>
    </row>
    <row r="4795">
      <c r="B4795" s="25" t="n"/>
      <c r="I4795" s="25" t="n"/>
      <c r="U4795" s="19">
        <f>IF($V4795&lt;&gt;'設定'!$C$4,N(U4794),IF(OR(NOT(COUNTIF('商品マスタ'!$B$6:$B$1005,$W4795)=0),COUNTIFS('①在庫を貼る'!$V$6:$V$10005,$V4795,'①在庫を貼る'!$W$6:$W$10005,$W4795)+COUNTIFS('月1回_1ヶ月前の在庫'!$V$6:$V$10005,$V4795,'月1回_1ヶ月前の在庫'!$W$6:$W$10005,$W4795)&gt;0),N(U4794),N(U4794)+1))</f>
        <v/>
      </c>
      <c r="V4795" s="19">
        <f>IF($B4795="","",TEXT($B4795,"0000"))</f>
        <v/>
      </c>
      <c r="W4795" s="19">
        <f>IF($I4795="","",IF(ISNUMBER($I4795),TEXT($I4795,"0"),$I4795))</f>
        <v/>
      </c>
    </row>
    <row r="4796">
      <c r="B4796" s="25" t="n"/>
      <c r="I4796" s="25" t="n"/>
      <c r="U4796" s="19">
        <f>IF($V4796&lt;&gt;'設定'!$C$4,N(U4795),IF(OR(NOT(COUNTIF('商品マスタ'!$B$6:$B$1005,$W4796)=0),COUNTIFS('①在庫を貼る'!$V$6:$V$10005,$V4796,'①在庫を貼る'!$W$6:$W$10005,$W4796)+COUNTIFS('月1回_1ヶ月前の在庫'!$V$6:$V$10005,$V4796,'月1回_1ヶ月前の在庫'!$W$6:$W$10005,$W4796)&gt;0),N(U4795),N(U4795)+1))</f>
        <v/>
      </c>
      <c r="V4796" s="19">
        <f>IF($B4796="","",TEXT($B4796,"0000"))</f>
        <v/>
      </c>
      <c r="W4796" s="19">
        <f>IF($I4796="","",IF(ISNUMBER($I4796),TEXT($I4796,"0"),$I4796))</f>
        <v/>
      </c>
    </row>
    <row r="4797">
      <c r="B4797" s="25" t="n"/>
      <c r="I4797" s="25" t="n"/>
      <c r="U4797" s="19">
        <f>IF($V4797&lt;&gt;'設定'!$C$4,N(U4796),IF(OR(NOT(COUNTIF('商品マスタ'!$B$6:$B$1005,$W4797)=0),COUNTIFS('①在庫を貼る'!$V$6:$V$10005,$V4797,'①在庫を貼る'!$W$6:$W$10005,$W4797)+COUNTIFS('月1回_1ヶ月前の在庫'!$V$6:$V$10005,$V4797,'月1回_1ヶ月前の在庫'!$W$6:$W$10005,$W4797)&gt;0),N(U4796),N(U4796)+1))</f>
        <v/>
      </c>
      <c r="V4797" s="19">
        <f>IF($B4797="","",TEXT($B4797,"0000"))</f>
        <v/>
      </c>
      <c r="W4797" s="19">
        <f>IF($I4797="","",IF(ISNUMBER($I4797),TEXT($I4797,"0"),$I4797))</f>
        <v/>
      </c>
    </row>
    <row r="4798">
      <c r="B4798" s="25" t="n"/>
      <c r="I4798" s="25" t="n"/>
      <c r="U4798" s="19">
        <f>IF($V4798&lt;&gt;'設定'!$C$4,N(U4797),IF(OR(NOT(COUNTIF('商品マスタ'!$B$6:$B$1005,$W4798)=0),COUNTIFS('①在庫を貼る'!$V$6:$V$10005,$V4798,'①在庫を貼る'!$W$6:$W$10005,$W4798)+COUNTIFS('月1回_1ヶ月前の在庫'!$V$6:$V$10005,$V4798,'月1回_1ヶ月前の在庫'!$W$6:$W$10005,$W4798)&gt;0),N(U4797),N(U4797)+1))</f>
        <v/>
      </c>
      <c r="V4798" s="19">
        <f>IF($B4798="","",TEXT($B4798,"0000"))</f>
        <v/>
      </c>
      <c r="W4798" s="19">
        <f>IF($I4798="","",IF(ISNUMBER($I4798),TEXT($I4798,"0"),$I4798))</f>
        <v/>
      </c>
    </row>
    <row r="4799">
      <c r="B4799" s="25" t="n"/>
      <c r="I4799" s="25" t="n"/>
      <c r="U4799" s="19">
        <f>IF($V4799&lt;&gt;'設定'!$C$4,N(U4798),IF(OR(NOT(COUNTIF('商品マスタ'!$B$6:$B$1005,$W4799)=0),COUNTIFS('①在庫を貼る'!$V$6:$V$10005,$V4799,'①在庫を貼る'!$W$6:$W$10005,$W4799)+COUNTIFS('月1回_1ヶ月前の在庫'!$V$6:$V$10005,$V4799,'月1回_1ヶ月前の在庫'!$W$6:$W$10005,$W4799)&gt;0),N(U4798),N(U4798)+1))</f>
        <v/>
      </c>
      <c r="V4799" s="19">
        <f>IF($B4799="","",TEXT($B4799,"0000"))</f>
        <v/>
      </c>
      <c r="W4799" s="19">
        <f>IF($I4799="","",IF(ISNUMBER($I4799),TEXT($I4799,"0"),$I4799))</f>
        <v/>
      </c>
    </row>
    <row r="4800">
      <c r="B4800" s="25" t="n"/>
      <c r="I4800" s="25" t="n"/>
      <c r="U4800" s="19">
        <f>IF($V4800&lt;&gt;'設定'!$C$4,N(U4799),IF(OR(NOT(COUNTIF('商品マスタ'!$B$6:$B$1005,$W4800)=0),COUNTIFS('①在庫を貼る'!$V$6:$V$10005,$V4800,'①在庫を貼る'!$W$6:$W$10005,$W4800)+COUNTIFS('月1回_1ヶ月前の在庫'!$V$6:$V$10005,$V4800,'月1回_1ヶ月前の在庫'!$W$6:$W$10005,$W4800)&gt;0),N(U4799),N(U4799)+1))</f>
        <v/>
      </c>
      <c r="V4800" s="19">
        <f>IF($B4800="","",TEXT($B4800,"0000"))</f>
        <v/>
      </c>
      <c r="W4800" s="19">
        <f>IF($I4800="","",IF(ISNUMBER($I4800),TEXT($I4800,"0"),$I4800))</f>
        <v/>
      </c>
    </row>
    <row r="4801">
      <c r="B4801" s="25" t="n"/>
      <c r="I4801" s="25" t="n"/>
      <c r="U4801" s="19">
        <f>IF($V4801&lt;&gt;'設定'!$C$4,N(U4800),IF(OR(NOT(COUNTIF('商品マスタ'!$B$6:$B$1005,$W4801)=0),COUNTIFS('①在庫を貼る'!$V$6:$V$10005,$V4801,'①在庫を貼る'!$W$6:$W$10005,$W4801)+COUNTIFS('月1回_1ヶ月前の在庫'!$V$6:$V$10005,$V4801,'月1回_1ヶ月前の在庫'!$W$6:$W$10005,$W4801)&gt;0),N(U4800),N(U4800)+1))</f>
        <v/>
      </c>
      <c r="V4801" s="19">
        <f>IF($B4801="","",TEXT($B4801,"0000"))</f>
        <v/>
      </c>
      <c r="W4801" s="19">
        <f>IF($I4801="","",IF(ISNUMBER($I4801),TEXT($I4801,"0"),$I4801))</f>
        <v/>
      </c>
    </row>
    <row r="4802">
      <c r="B4802" s="25" t="n"/>
      <c r="I4802" s="25" t="n"/>
      <c r="U4802" s="19">
        <f>IF($V4802&lt;&gt;'設定'!$C$4,N(U4801),IF(OR(NOT(COUNTIF('商品マスタ'!$B$6:$B$1005,$W4802)=0),COUNTIFS('①在庫を貼る'!$V$6:$V$10005,$V4802,'①在庫を貼る'!$W$6:$W$10005,$W4802)+COUNTIFS('月1回_1ヶ月前の在庫'!$V$6:$V$10005,$V4802,'月1回_1ヶ月前の在庫'!$W$6:$W$10005,$W4802)&gt;0),N(U4801),N(U4801)+1))</f>
        <v/>
      </c>
      <c r="V4802" s="19">
        <f>IF($B4802="","",TEXT($B4802,"0000"))</f>
        <v/>
      </c>
      <c r="W4802" s="19">
        <f>IF($I4802="","",IF(ISNUMBER($I4802),TEXT($I4802,"0"),$I4802))</f>
        <v/>
      </c>
    </row>
    <row r="4803">
      <c r="B4803" s="25" t="n"/>
      <c r="I4803" s="25" t="n"/>
      <c r="U4803" s="19">
        <f>IF($V4803&lt;&gt;'設定'!$C$4,N(U4802),IF(OR(NOT(COUNTIF('商品マスタ'!$B$6:$B$1005,$W4803)=0),COUNTIFS('①在庫を貼る'!$V$6:$V$10005,$V4803,'①在庫を貼る'!$W$6:$W$10005,$W4803)+COUNTIFS('月1回_1ヶ月前の在庫'!$V$6:$V$10005,$V4803,'月1回_1ヶ月前の在庫'!$W$6:$W$10005,$W4803)&gt;0),N(U4802),N(U4802)+1))</f>
        <v/>
      </c>
      <c r="V4803" s="19">
        <f>IF($B4803="","",TEXT($B4803,"0000"))</f>
        <v/>
      </c>
      <c r="W4803" s="19">
        <f>IF($I4803="","",IF(ISNUMBER($I4803),TEXT($I4803,"0"),$I4803))</f>
        <v/>
      </c>
    </row>
    <row r="4804">
      <c r="B4804" s="25" t="n"/>
      <c r="I4804" s="25" t="n"/>
      <c r="U4804" s="19">
        <f>IF($V4804&lt;&gt;'設定'!$C$4,N(U4803),IF(OR(NOT(COUNTIF('商品マスタ'!$B$6:$B$1005,$W4804)=0),COUNTIFS('①在庫を貼る'!$V$6:$V$10005,$V4804,'①在庫を貼る'!$W$6:$W$10005,$W4804)+COUNTIFS('月1回_1ヶ月前の在庫'!$V$6:$V$10005,$V4804,'月1回_1ヶ月前の在庫'!$W$6:$W$10005,$W4804)&gt;0),N(U4803),N(U4803)+1))</f>
        <v/>
      </c>
      <c r="V4804" s="19">
        <f>IF($B4804="","",TEXT($B4804,"0000"))</f>
        <v/>
      </c>
      <c r="W4804" s="19">
        <f>IF($I4804="","",IF(ISNUMBER($I4804),TEXT($I4804,"0"),$I4804))</f>
        <v/>
      </c>
    </row>
    <row r="4805">
      <c r="B4805" s="25" t="n"/>
      <c r="I4805" s="25" t="n"/>
      <c r="U4805" s="19">
        <f>IF($V4805&lt;&gt;'設定'!$C$4,N(U4804),IF(OR(NOT(COUNTIF('商品マスタ'!$B$6:$B$1005,$W4805)=0),COUNTIFS('①在庫を貼る'!$V$6:$V$10005,$V4805,'①在庫を貼る'!$W$6:$W$10005,$W4805)+COUNTIFS('月1回_1ヶ月前の在庫'!$V$6:$V$10005,$V4805,'月1回_1ヶ月前の在庫'!$W$6:$W$10005,$W4805)&gt;0),N(U4804),N(U4804)+1))</f>
        <v/>
      </c>
      <c r="V4805" s="19">
        <f>IF($B4805="","",TEXT($B4805,"0000"))</f>
        <v/>
      </c>
      <c r="W4805" s="19">
        <f>IF($I4805="","",IF(ISNUMBER($I4805),TEXT($I4805,"0"),$I4805))</f>
        <v/>
      </c>
    </row>
    <row r="4806">
      <c r="B4806" s="25" t="n"/>
      <c r="I4806" s="25" t="n"/>
      <c r="U4806" s="19">
        <f>IF($V4806&lt;&gt;'設定'!$C$4,N(U4805),IF(OR(NOT(COUNTIF('商品マスタ'!$B$6:$B$1005,$W4806)=0),COUNTIFS('①在庫を貼る'!$V$6:$V$10005,$V4806,'①在庫を貼る'!$W$6:$W$10005,$W4806)+COUNTIFS('月1回_1ヶ月前の在庫'!$V$6:$V$10005,$V4806,'月1回_1ヶ月前の在庫'!$W$6:$W$10005,$W4806)&gt;0),N(U4805),N(U4805)+1))</f>
        <v/>
      </c>
      <c r="V4806" s="19">
        <f>IF($B4806="","",TEXT($B4806,"0000"))</f>
        <v/>
      </c>
      <c r="W4806" s="19">
        <f>IF($I4806="","",IF(ISNUMBER($I4806),TEXT($I4806,"0"),$I4806))</f>
        <v/>
      </c>
    </row>
    <row r="4807">
      <c r="B4807" s="25" t="n"/>
      <c r="I4807" s="25" t="n"/>
      <c r="U4807" s="19">
        <f>IF($V4807&lt;&gt;'設定'!$C$4,N(U4806),IF(OR(NOT(COUNTIF('商品マスタ'!$B$6:$B$1005,$W4807)=0),COUNTIFS('①在庫を貼る'!$V$6:$V$10005,$V4807,'①在庫を貼る'!$W$6:$W$10005,$W4807)+COUNTIFS('月1回_1ヶ月前の在庫'!$V$6:$V$10005,$V4807,'月1回_1ヶ月前の在庫'!$W$6:$W$10005,$W4807)&gt;0),N(U4806),N(U4806)+1))</f>
        <v/>
      </c>
      <c r="V4807" s="19">
        <f>IF($B4807="","",TEXT($B4807,"0000"))</f>
        <v/>
      </c>
      <c r="W4807" s="19">
        <f>IF($I4807="","",IF(ISNUMBER($I4807),TEXT($I4807,"0"),$I4807))</f>
        <v/>
      </c>
    </row>
    <row r="4808">
      <c r="B4808" s="25" t="n"/>
      <c r="I4808" s="25" t="n"/>
      <c r="U4808" s="19">
        <f>IF($V4808&lt;&gt;'設定'!$C$4,N(U4807),IF(OR(NOT(COUNTIF('商品マスタ'!$B$6:$B$1005,$W4808)=0),COUNTIFS('①在庫を貼る'!$V$6:$V$10005,$V4808,'①在庫を貼る'!$W$6:$W$10005,$W4808)+COUNTIFS('月1回_1ヶ月前の在庫'!$V$6:$V$10005,$V4808,'月1回_1ヶ月前の在庫'!$W$6:$W$10005,$W4808)&gt;0),N(U4807),N(U4807)+1))</f>
        <v/>
      </c>
      <c r="V4808" s="19">
        <f>IF($B4808="","",TEXT($B4808,"0000"))</f>
        <v/>
      </c>
      <c r="W4808" s="19">
        <f>IF($I4808="","",IF(ISNUMBER($I4808),TEXT($I4808,"0"),$I4808))</f>
        <v/>
      </c>
    </row>
    <row r="4809">
      <c r="B4809" s="25" t="n"/>
      <c r="I4809" s="25" t="n"/>
      <c r="U4809" s="19">
        <f>IF($V4809&lt;&gt;'設定'!$C$4,N(U4808),IF(OR(NOT(COUNTIF('商品マスタ'!$B$6:$B$1005,$W4809)=0),COUNTIFS('①在庫を貼る'!$V$6:$V$10005,$V4809,'①在庫を貼る'!$W$6:$W$10005,$W4809)+COUNTIFS('月1回_1ヶ月前の在庫'!$V$6:$V$10005,$V4809,'月1回_1ヶ月前の在庫'!$W$6:$W$10005,$W4809)&gt;0),N(U4808),N(U4808)+1))</f>
        <v/>
      </c>
      <c r="V4809" s="19">
        <f>IF($B4809="","",TEXT($B4809,"0000"))</f>
        <v/>
      </c>
      <c r="W4809" s="19">
        <f>IF($I4809="","",IF(ISNUMBER($I4809),TEXT($I4809,"0"),$I4809))</f>
        <v/>
      </c>
    </row>
    <row r="4810">
      <c r="B4810" s="25" t="n"/>
      <c r="I4810" s="25" t="n"/>
      <c r="U4810" s="19">
        <f>IF($V4810&lt;&gt;'設定'!$C$4,N(U4809),IF(OR(NOT(COUNTIF('商品マスタ'!$B$6:$B$1005,$W4810)=0),COUNTIFS('①在庫を貼る'!$V$6:$V$10005,$V4810,'①在庫を貼る'!$W$6:$W$10005,$W4810)+COUNTIFS('月1回_1ヶ月前の在庫'!$V$6:$V$10005,$V4810,'月1回_1ヶ月前の在庫'!$W$6:$W$10005,$W4810)&gt;0),N(U4809),N(U4809)+1))</f>
        <v/>
      </c>
      <c r="V4810" s="19">
        <f>IF($B4810="","",TEXT($B4810,"0000"))</f>
        <v/>
      </c>
      <c r="W4810" s="19">
        <f>IF($I4810="","",IF(ISNUMBER($I4810),TEXT($I4810,"0"),$I4810))</f>
        <v/>
      </c>
    </row>
    <row r="4811">
      <c r="B4811" s="25" t="n"/>
      <c r="I4811" s="25" t="n"/>
      <c r="U4811" s="19">
        <f>IF($V4811&lt;&gt;'設定'!$C$4,N(U4810),IF(OR(NOT(COUNTIF('商品マスタ'!$B$6:$B$1005,$W4811)=0),COUNTIFS('①在庫を貼る'!$V$6:$V$10005,$V4811,'①在庫を貼る'!$W$6:$W$10005,$W4811)+COUNTIFS('月1回_1ヶ月前の在庫'!$V$6:$V$10005,$V4811,'月1回_1ヶ月前の在庫'!$W$6:$W$10005,$W4811)&gt;0),N(U4810),N(U4810)+1))</f>
        <v/>
      </c>
      <c r="V4811" s="19">
        <f>IF($B4811="","",TEXT($B4811,"0000"))</f>
        <v/>
      </c>
      <c r="W4811" s="19">
        <f>IF($I4811="","",IF(ISNUMBER($I4811),TEXT($I4811,"0"),$I4811))</f>
        <v/>
      </c>
    </row>
    <row r="4812">
      <c r="B4812" s="25" t="n"/>
      <c r="I4812" s="25" t="n"/>
      <c r="U4812" s="19">
        <f>IF($V4812&lt;&gt;'設定'!$C$4,N(U4811),IF(OR(NOT(COUNTIF('商品マスタ'!$B$6:$B$1005,$W4812)=0),COUNTIFS('①在庫を貼る'!$V$6:$V$10005,$V4812,'①在庫を貼る'!$W$6:$W$10005,$W4812)+COUNTIFS('月1回_1ヶ月前の在庫'!$V$6:$V$10005,$V4812,'月1回_1ヶ月前の在庫'!$W$6:$W$10005,$W4812)&gt;0),N(U4811),N(U4811)+1))</f>
        <v/>
      </c>
      <c r="V4812" s="19">
        <f>IF($B4812="","",TEXT($B4812,"0000"))</f>
        <v/>
      </c>
      <c r="W4812" s="19">
        <f>IF($I4812="","",IF(ISNUMBER($I4812),TEXT($I4812,"0"),$I4812))</f>
        <v/>
      </c>
    </row>
    <row r="4813">
      <c r="B4813" s="25" t="n"/>
      <c r="I4813" s="25" t="n"/>
      <c r="U4813" s="19">
        <f>IF($V4813&lt;&gt;'設定'!$C$4,N(U4812),IF(OR(NOT(COUNTIF('商品マスタ'!$B$6:$B$1005,$W4813)=0),COUNTIFS('①在庫を貼る'!$V$6:$V$10005,$V4813,'①在庫を貼る'!$W$6:$W$10005,$W4813)+COUNTIFS('月1回_1ヶ月前の在庫'!$V$6:$V$10005,$V4813,'月1回_1ヶ月前の在庫'!$W$6:$W$10005,$W4813)&gt;0),N(U4812),N(U4812)+1))</f>
        <v/>
      </c>
      <c r="V4813" s="19">
        <f>IF($B4813="","",TEXT($B4813,"0000"))</f>
        <v/>
      </c>
      <c r="W4813" s="19">
        <f>IF($I4813="","",IF(ISNUMBER($I4813),TEXT($I4813,"0"),$I4813))</f>
        <v/>
      </c>
    </row>
    <row r="4814">
      <c r="B4814" s="25" t="n"/>
      <c r="I4814" s="25" t="n"/>
      <c r="U4814" s="19">
        <f>IF($V4814&lt;&gt;'設定'!$C$4,N(U4813),IF(OR(NOT(COUNTIF('商品マスタ'!$B$6:$B$1005,$W4814)=0),COUNTIFS('①在庫を貼る'!$V$6:$V$10005,$V4814,'①在庫を貼る'!$W$6:$W$10005,$W4814)+COUNTIFS('月1回_1ヶ月前の在庫'!$V$6:$V$10005,$V4814,'月1回_1ヶ月前の在庫'!$W$6:$W$10005,$W4814)&gt;0),N(U4813),N(U4813)+1))</f>
        <v/>
      </c>
      <c r="V4814" s="19">
        <f>IF($B4814="","",TEXT($B4814,"0000"))</f>
        <v/>
      </c>
      <c r="W4814" s="19">
        <f>IF($I4814="","",IF(ISNUMBER($I4814),TEXT($I4814,"0"),$I4814))</f>
        <v/>
      </c>
    </row>
    <row r="4815">
      <c r="B4815" s="25" t="n"/>
      <c r="I4815" s="25" t="n"/>
      <c r="U4815" s="19">
        <f>IF($V4815&lt;&gt;'設定'!$C$4,N(U4814),IF(OR(NOT(COUNTIF('商品マスタ'!$B$6:$B$1005,$W4815)=0),COUNTIFS('①在庫を貼る'!$V$6:$V$10005,$V4815,'①在庫を貼る'!$W$6:$W$10005,$W4815)+COUNTIFS('月1回_1ヶ月前の在庫'!$V$6:$V$10005,$V4815,'月1回_1ヶ月前の在庫'!$W$6:$W$10005,$W4815)&gt;0),N(U4814),N(U4814)+1))</f>
        <v/>
      </c>
      <c r="V4815" s="19">
        <f>IF($B4815="","",TEXT($B4815,"0000"))</f>
        <v/>
      </c>
      <c r="W4815" s="19">
        <f>IF($I4815="","",IF(ISNUMBER($I4815),TEXT($I4815,"0"),$I4815))</f>
        <v/>
      </c>
    </row>
    <row r="4816">
      <c r="B4816" s="25" t="n"/>
      <c r="I4816" s="25" t="n"/>
      <c r="U4816" s="19">
        <f>IF($V4816&lt;&gt;'設定'!$C$4,N(U4815),IF(OR(NOT(COUNTIF('商品マスタ'!$B$6:$B$1005,$W4816)=0),COUNTIFS('①在庫を貼る'!$V$6:$V$10005,$V4816,'①在庫を貼る'!$W$6:$W$10005,$W4816)+COUNTIFS('月1回_1ヶ月前の在庫'!$V$6:$V$10005,$V4816,'月1回_1ヶ月前の在庫'!$W$6:$W$10005,$W4816)&gt;0),N(U4815),N(U4815)+1))</f>
        <v/>
      </c>
      <c r="V4816" s="19">
        <f>IF($B4816="","",TEXT($B4816,"0000"))</f>
        <v/>
      </c>
      <c r="W4816" s="19">
        <f>IF($I4816="","",IF(ISNUMBER($I4816),TEXT($I4816,"0"),$I4816))</f>
        <v/>
      </c>
    </row>
    <row r="4817">
      <c r="B4817" s="25" t="n"/>
      <c r="I4817" s="25" t="n"/>
      <c r="U4817" s="19">
        <f>IF($V4817&lt;&gt;'設定'!$C$4,N(U4816),IF(OR(NOT(COUNTIF('商品マスタ'!$B$6:$B$1005,$W4817)=0),COUNTIFS('①在庫を貼る'!$V$6:$V$10005,$V4817,'①在庫を貼る'!$W$6:$W$10005,$W4817)+COUNTIFS('月1回_1ヶ月前の在庫'!$V$6:$V$10005,$V4817,'月1回_1ヶ月前の在庫'!$W$6:$W$10005,$W4817)&gt;0),N(U4816),N(U4816)+1))</f>
        <v/>
      </c>
      <c r="V4817" s="19">
        <f>IF($B4817="","",TEXT($B4817,"0000"))</f>
        <v/>
      </c>
      <c r="W4817" s="19">
        <f>IF($I4817="","",IF(ISNUMBER($I4817),TEXT($I4817,"0"),$I4817))</f>
        <v/>
      </c>
    </row>
    <row r="4818">
      <c r="B4818" s="25" t="n"/>
      <c r="I4818" s="25" t="n"/>
      <c r="U4818" s="19">
        <f>IF($V4818&lt;&gt;'設定'!$C$4,N(U4817),IF(OR(NOT(COUNTIF('商品マスタ'!$B$6:$B$1005,$W4818)=0),COUNTIFS('①在庫を貼る'!$V$6:$V$10005,$V4818,'①在庫を貼る'!$W$6:$W$10005,$W4818)+COUNTIFS('月1回_1ヶ月前の在庫'!$V$6:$V$10005,$V4818,'月1回_1ヶ月前の在庫'!$W$6:$W$10005,$W4818)&gt;0),N(U4817),N(U4817)+1))</f>
        <v/>
      </c>
      <c r="V4818" s="19">
        <f>IF($B4818="","",TEXT($B4818,"0000"))</f>
        <v/>
      </c>
      <c r="W4818" s="19">
        <f>IF($I4818="","",IF(ISNUMBER($I4818),TEXT($I4818,"0"),$I4818))</f>
        <v/>
      </c>
    </row>
    <row r="4819">
      <c r="B4819" s="25" t="n"/>
      <c r="I4819" s="25" t="n"/>
      <c r="U4819" s="19">
        <f>IF($V4819&lt;&gt;'設定'!$C$4,N(U4818),IF(OR(NOT(COUNTIF('商品マスタ'!$B$6:$B$1005,$W4819)=0),COUNTIFS('①在庫を貼る'!$V$6:$V$10005,$V4819,'①在庫を貼る'!$W$6:$W$10005,$W4819)+COUNTIFS('月1回_1ヶ月前の在庫'!$V$6:$V$10005,$V4819,'月1回_1ヶ月前の在庫'!$W$6:$W$10005,$W4819)&gt;0),N(U4818),N(U4818)+1))</f>
        <v/>
      </c>
      <c r="V4819" s="19">
        <f>IF($B4819="","",TEXT($B4819,"0000"))</f>
        <v/>
      </c>
      <c r="W4819" s="19">
        <f>IF($I4819="","",IF(ISNUMBER($I4819),TEXT($I4819,"0"),$I4819))</f>
        <v/>
      </c>
    </row>
    <row r="4820">
      <c r="B4820" s="25" t="n"/>
      <c r="I4820" s="25" t="n"/>
      <c r="U4820" s="19">
        <f>IF($V4820&lt;&gt;'設定'!$C$4,N(U4819),IF(OR(NOT(COUNTIF('商品マスタ'!$B$6:$B$1005,$W4820)=0),COUNTIFS('①在庫を貼る'!$V$6:$V$10005,$V4820,'①在庫を貼る'!$W$6:$W$10005,$W4820)+COUNTIFS('月1回_1ヶ月前の在庫'!$V$6:$V$10005,$V4820,'月1回_1ヶ月前の在庫'!$W$6:$W$10005,$W4820)&gt;0),N(U4819),N(U4819)+1))</f>
        <v/>
      </c>
      <c r="V4820" s="19">
        <f>IF($B4820="","",TEXT($B4820,"0000"))</f>
        <v/>
      </c>
      <c r="W4820" s="19">
        <f>IF($I4820="","",IF(ISNUMBER($I4820),TEXT($I4820,"0"),$I4820))</f>
        <v/>
      </c>
    </row>
    <row r="4821">
      <c r="B4821" s="25" t="n"/>
      <c r="I4821" s="25" t="n"/>
      <c r="U4821" s="19">
        <f>IF($V4821&lt;&gt;'設定'!$C$4,N(U4820),IF(OR(NOT(COUNTIF('商品マスタ'!$B$6:$B$1005,$W4821)=0),COUNTIFS('①在庫を貼る'!$V$6:$V$10005,$V4821,'①在庫を貼る'!$W$6:$W$10005,$W4821)+COUNTIFS('月1回_1ヶ月前の在庫'!$V$6:$V$10005,$V4821,'月1回_1ヶ月前の在庫'!$W$6:$W$10005,$W4821)&gt;0),N(U4820),N(U4820)+1))</f>
        <v/>
      </c>
      <c r="V4821" s="19">
        <f>IF($B4821="","",TEXT($B4821,"0000"))</f>
        <v/>
      </c>
      <c r="W4821" s="19">
        <f>IF($I4821="","",IF(ISNUMBER($I4821),TEXT($I4821,"0"),$I4821))</f>
        <v/>
      </c>
    </row>
    <row r="4822">
      <c r="B4822" s="25" t="n"/>
      <c r="I4822" s="25" t="n"/>
      <c r="U4822" s="19">
        <f>IF($V4822&lt;&gt;'設定'!$C$4,N(U4821),IF(OR(NOT(COUNTIF('商品マスタ'!$B$6:$B$1005,$W4822)=0),COUNTIFS('①在庫を貼る'!$V$6:$V$10005,$V4822,'①在庫を貼る'!$W$6:$W$10005,$W4822)+COUNTIFS('月1回_1ヶ月前の在庫'!$V$6:$V$10005,$V4822,'月1回_1ヶ月前の在庫'!$W$6:$W$10005,$W4822)&gt;0),N(U4821),N(U4821)+1))</f>
        <v/>
      </c>
      <c r="V4822" s="19">
        <f>IF($B4822="","",TEXT($B4822,"0000"))</f>
        <v/>
      </c>
      <c r="W4822" s="19">
        <f>IF($I4822="","",IF(ISNUMBER($I4822),TEXT($I4822,"0"),$I4822))</f>
        <v/>
      </c>
    </row>
    <row r="4823">
      <c r="B4823" s="25" t="n"/>
      <c r="I4823" s="25" t="n"/>
      <c r="U4823" s="19">
        <f>IF($V4823&lt;&gt;'設定'!$C$4,N(U4822),IF(OR(NOT(COUNTIF('商品マスタ'!$B$6:$B$1005,$W4823)=0),COUNTIFS('①在庫を貼る'!$V$6:$V$10005,$V4823,'①在庫を貼る'!$W$6:$W$10005,$W4823)+COUNTIFS('月1回_1ヶ月前の在庫'!$V$6:$V$10005,$V4823,'月1回_1ヶ月前の在庫'!$W$6:$W$10005,$W4823)&gt;0),N(U4822),N(U4822)+1))</f>
        <v/>
      </c>
      <c r="V4823" s="19">
        <f>IF($B4823="","",TEXT($B4823,"0000"))</f>
        <v/>
      </c>
      <c r="W4823" s="19">
        <f>IF($I4823="","",IF(ISNUMBER($I4823),TEXT($I4823,"0"),$I4823))</f>
        <v/>
      </c>
    </row>
    <row r="4824">
      <c r="B4824" s="25" t="n"/>
      <c r="I4824" s="25" t="n"/>
      <c r="U4824" s="19">
        <f>IF($V4824&lt;&gt;'設定'!$C$4,N(U4823),IF(OR(NOT(COUNTIF('商品マスタ'!$B$6:$B$1005,$W4824)=0),COUNTIFS('①在庫を貼る'!$V$6:$V$10005,$V4824,'①在庫を貼る'!$W$6:$W$10005,$W4824)+COUNTIFS('月1回_1ヶ月前の在庫'!$V$6:$V$10005,$V4824,'月1回_1ヶ月前の在庫'!$W$6:$W$10005,$W4824)&gt;0),N(U4823),N(U4823)+1))</f>
        <v/>
      </c>
      <c r="V4824" s="19">
        <f>IF($B4824="","",TEXT($B4824,"0000"))</f>
        <v/>
      </c>
      <c r="W4824" s="19">
        <f>IF($I4824="","",IF(ISNUMBER($I4824),TEXT($I4824,"0"),$I4824))</f>
        <v/>
      </c>
    </row>
    <row r="4825">
      <c r="B4825" s="25" t="n"/>
      <c r="I4825" s="25" t="n"/>
      <c r="U4825" s="19">
        <f>IF($V4825&lt;&gt;'設定'!$C$4,N(U4824),IF(OR(NOT(COUNTIF('商品マスタ'!$B$6:$B$1005,$W4825)=0),COUNTIFS('①在庫を貼る'!$V$6:$V$10005,$V4825,'①在庫を貼る'!$W$6:$W$10005,$W4825)+COUNTIFS('月1回_1ヶ月前の在庫'!$V$6:$V$10005,$V4825,'月1回_1ヶ月前の在庫'!$W$6:$W$10005,$W4825)&gt;0),N(U4824),N(U4824)+1))</f>
        <v/>
      </c>
      <c r="V4825" s="19">
        <f>IF($B4825="","",TEXT($B4825,"0000"))</f>
        <v/>
      </c>
      <c r="W4825" s="19">
        <f>IF($I4825="","",IF(ISNUMBER($I4825),TEXT($I4825,"0"),$I4825))</f>
        <v/>
      </c>
    </row>
    <row r="4826">
      <c r="B4826" s="25" t="n"/>
      <c r="I4826" s="25" t="n"/>
      <c r="U4826" s="19">
        <f>IF($V4826&lt;&gt;'設定'!$C$4,N(U4825),IF(OR(NOT(COUNTIF('商品マスタ'!$B$6:$B$1005,$W4826)=0),COUNTIFS('①在庫を貼る'!$V$6:$V$10005,$V4826,'①在庫を貼る'!$W$6:$W$10005,$W4826)+COUNTIFS('月1回_1ヶ月前の在庫'!$V$6:$V$10005,$V4826,'月1回_1ヶ月前の在庫'!$W$6:$W$10005,$W4826)&gt;0),N(U4825),N(U4825)+1))</f>
        <v/>
      </c>
      <c r="V4826" s="19">
        <f>IF($B4826="","",TEXT($B4826,"0000"))</f>
        <v/>
      </c>
      <c r="W4826" s="19">
        <f>IF($I4826="","",IF(ISNUMBER($I4826),TEXT($I4826,"0"),$I4826))</f>
        <v/>
      </c>
    </row>
    <row r="4827">
      <c r="B4827" s="25" t="n"/>
      <c r="I4827" s="25" t="n"/>
      <c r="U4827" s="19">
        <f>IF($V4827&lt;&gt;'設定'!$C$4,N(U4826),IF(OR(NOT(COUNTIF('商品マスタ'!$B$6:$B$1005,$W4827)=0),COUNTIFS('①在庫を貼る'!$V$6:$V$10005,$V4827,'①在庫を貼る'!$W$6:$W$10005,$W4827)+COUNTIFS('月1回_1ヶ月前の在庫'!$V$6:$V$10005,$V4827,'月1回_1ヶ月前の在庫'!$W$6:$W$10005,$W4827)&gt;0),N(U4826),N(U4826)+1))</f>
        <v/>
      </c>
      <c r="V4827" s="19">
        <f>IF($B4827="","",TEXT($B4827,"0000"))</f>
        <v/>
      </c>
      <c r="W4827" s="19">
        <f>IF($I4827="","",IF(ISNUMBER($I4827),TEXT($I4827,"0"),$I4827))</f>
        <v/>
      </c>
    </row>
    <row r="4828">
      <c r="B4828" s="25" t="n"/>
      <c r="I4828" s="25" t="n"/>
      <c r="U4828" s="19">
        <f>IF($V4828&lt;&gt;'設定'!$C$4,N(U4827),IF(OR(NOT(COUNTIF('商品マスタ'!$B$6:$B$1005,$W4828)=0),COUNTIFS('①在庫を貼る'!$V$6:$V$10005,$V4828,'①在庫を貼る'!$W$6:$W$10005,$W4828)+COUNTIFS('月1回_1ヶ月前の在庫'!$V$6:$V$10005,$V4828,'月1回_1ヶ月前の在庫'!$W$6:$W$10005,$W4828)&gt;0),N(U4827),N(U4827)+1))</f>
        <v/>
      </c>
      <c r="V4828" s="19">
        <f>IF($B4828="","",TEXT($B4828,"0000"))</f>
        <v/>
      </c>
      <c r="W4828" s="19">
        <f>IF($I4828="","",IF(ISNUMBER($I4828),TEXT($I4828,"0"),$I4828))</f>
        <v/>
      </c>
    </row>
    <row r="4829">
      <c r="B4829" s="25" t="n"/>
      <c r="I4829" s="25" t="n"/>
      <c r="U4829" s="19">
        <f>IF($V4829&lt;&gt;'設定'!$C$4,N(U4828),IF(OR(NOT(COUNTIF('商品マスタ'!$B$6:$B$1005,$W4829)=0),COUNTIFS('①在庫を貼る'!$V$6:$V$10005,$V4829,'①在庫を貼る'!$W$6:$W$10005,$W4829)+COUNTIFS('月1回_1ヶ月前の在庫'!$V$6:$V$10005,$V4829,'月1回_1ヶ月前の在庫'!$W$6:$W$10005,$W4829)&gt;0),N(U4828),N(U4828)+1))</f>
        <v/>
      </c>
      <c r="V4829" s="19">
        <f>IF($B4829="","",TEXT($B4829,"0000"))</f>
        <v/>
      </c>
      <c r="W4829" s="19">
        <f>IF($I4829="","",IF(ISNUMBER($I4829),TEXT($I4829,"0"),$I4829))</f>
        <v/>
      </c>
    </row>
    <row r="4830">
      <c r="B4830" s="25" t="n"/>
      <c r="I4830" s="25" t="n"/>
      <c r="U4830" s="19">
        <f>IF($V4830&lt;&gt;'設定'!$C$4,N(U4829),IF(OR(NOT(COUNTIF('商品マスタ'!$B$6:$B$1005,$W4830)=0),COUNTIFS('①在庫を貼る'!$V$6:$V$10005,$V4830,'①在庫を貼る'!$W$6:$W$10005,$W4830)+COUNTIFS('月1回_1ヶ月前の在庫'!$V$6:$V$10005,$V4830,'月1回_1ヶ月前の在庫'!$W$6:$W$10005,$W4830)&gt;0),N(U4829),N(U4829)+1))</f>
        <v/>
      </c>
      <c r="V4830" s="19">
        <f>IF($B4830="","",TEXT($B4830,"0000"))</f>
        <v/>
      </c>
      <c r="W4830" s="19">
        <f>IF($I4830="","",IF(ISNUMBER($I4830),TEXT($I4830,"0"),$I4830))</f>
        <v/>
      </c>
    </row>
    <row r="4831">
      <c r="B4831" s="25" t="n"/>
      <c r="I4831" s="25" t="n"/>
      <c r="U4831" s="19">
        <f>IF($V4831&lt;&gt;'設定'!$C$4,N(U4830),IF(OR(NOT(COUNTIF('商品マスタ'!$B$6:$B$1005,$W4831)=0),COUNTIFS('①在庫を貼る'!$V$6:$V$10005,$V4831,'①在庫を貼る'!$W$6:$W$10005,$W4831)+COUNTIFS('月1回_1ヶ月前の在庫'!$V$6:$V$10005,$V4831,'月1回_1ヶ月前の在庫'!$W$6:$W$10005,$W4831)&gt;0),N(U4830),N(U4830)+1))</f>
        <v/>
      </c>
      <c r="V4831" s="19">
        <f>IF($B4831="","",TEXT($B4831,"0000"))</f>
        <v/>
      </c>
      <c r="W4831" s="19">
        <f>IF($I4831="","",IF(ISNUMBER($I4831),TEXT($I4831,"0"),$I4831))</f>
        <v/>
      </c>
    </row>
    <row r="4832">
      <c r="B4832" s="25" t="n"/>
      <c r="I4832" s="25" t="n"/>
      <c r="U4832" s="19">
        <f>IF($V4832&lt;&gt;'設定'!$C$4,N(U4831),IF(OR(NOT(COUNTIF('商品マスタ'!$B$6:$B$1005,$W4832)=0),COUNTIFS('①在庫を貼る'!$V$6:$V$10005,$V4832,'①在庫を貼る'!$W$6:$W$10005,$W4832)+COUNTIFS('月1回_1ヶ月前の在庫'!$V$6:$V$10005,$V4832,'月1回_1ヶ月前の在庫'!$W$6:$W$10005,$W4832)&gt;0),N(U4831),N(U4831)+1))</f>
        <v/>
      </c>
      <c r="V4832" s="19">
        <f>IF($B4832="","",TEXT($B4832,"0000"))</f>
        <v/>
      </c>
      <c r="W4832" s="19">
        <f>IF($I4832="","",IF(ISNUMBER($I4832),TEXT($I4832,"0"),$I4832))</f>
        <v/>
      </c>
    </row>
    <row r="4833">
      <c r="B4833" s="25" t="n"/>
      <c r="I4833" s="25" t="n"/>
      <c r="U4833" s="19">
        <f>IF($V4833&lt;&gt;'設定'!$C$4,N(U4832),IF(OR(NOT(COUNTIF('商品マスタ'!$B$6:$B$1005,$W4833)=0),COUNTIFS('①在庫を貼る'!$V$6:$V$10005,$V4833,'①在庫を貼る'!$W$6:$W$10005,$W4833)+COUNTIFS('月1回_1ヶ月前の在庫'!$V$6:$V$10005,$V4833,'月1回_1ヶ月前の在庫'!$W$6:$W$10005,$W4833)&gt;0),N(U4832),N(U4832)+1))</f>
        <v/>
      </c>
      <c r="V4833" s="19">
        <f>IF($B4833="","",TEXT($B4833,"0000"))</f>
        <v/>
      </c>
      <c r="W4833" s="19">
        <f>IF($I4833="","",IF(ISNUMBER($I4833),TEXT($I4833,"0"),$I4833))</f>
        <v/>
      </c>
    </row>
    <row r="4834">
      <c r="B4834" s="25" t="n"/>
      <c r="I4834" s="25" t="n"/>
      <c r="U4834" s="19">
        <f>IF($V4834&lt;&gt;'設定'!$C$4,N(U4833),IF(OR(NOT(COUNTIF('商品マスタ'!$B$6:$B$1005,$W4834)=0),COUNTIFS('①在庫を貼る'!$V$6:$V$10005,$V4834,'①在庫を貼る'!$W$6:$W$10005,$W4834)+COUNTIFS('月1回_1ヶ月前の在庫'!$V$6:$V$10005,$V4834,'月1回_1ヶ月前の在庫'!$W$6:$W$10005,$W4834)&gt;0),N(U4833),N(U4833)+1))</f>
        <v/>
      </c>
      <c r="V4834" s="19">
        <f>IF($B4834="","",TEXT($B4834,"0000"))</f>
        <v/>
      </c>
      <c r="W4834" s="19">
        <f>IF($I4834="","",IF(ISNUMBER($I4834),TEXT($I4834,"0"),$I4834))</f>
        <v/>
      </c>
    </row>
    <row r="4835">
      <c r="B4835" s="25" t="n"/>
      <c r="I4835" s="25" t="n"/>
      <c r="U4835" s="19">
        <f>IF($V4835&lt;&gt;'設定'!$C$4,N(U4834),IF(OR(NOT(COUNTIF('商品マスタ'!$B$6:$B$1005,$W4835)=0),COUNTIFS('①在庫を貼る'!$V$6:$V$10005,$V4835,'①在庫を貼る'!$W$6:$W$10005,$W4835)+COUNTIFS('月1回_1ヶ月前の在庫'!$V$6:$V$10005,$V4835,'月1回_1ヶ月前の在庫'!$W$6:$W$10005,$W4835)&gt;0),N(U4834),N(U4834)+1))</f>
        <v/>
      </c>
      <c r="V4835" s="19">
        <f>IF($B4835="","",TEXT($B4835,"0000"))</f>
        <v/>
      </c>
      <c r="W4835" s="19">
        <f>IF($I4835="","",IF(ISNUMBER($I4835),TEXT($I4835,"0"),$I4835))</f>
        <v/>
      </c>
    </row>
    <row r="4836">
      <c r="B4836" s="25" t="n"/>
      <c r="I4836" s="25" t="n"/>
      <c r="U4836" s="19">
        <f>IF($V4836&lt;&gt;'設定'!$C$4,N(U4835),IF(OR(NOT(COUNTIF('商品マスタ'!$B$6:$B$1005,$W4836)=0),COUNTIFS('①在庫を貼る'!$V$6:$V$10005,$V4836,'①在庫を貼る'!$W$6:$W$10005,$W4836)+COUNTIFS('月1回_1ヶ月前の在庫'!$V$6:$V$10005,$V4836,'月1回_1ヶ月前の在庫'!$W$6:$W$10005,$W4836)&gt;0),N(U4835),N(U4835)+1))</f>
        <v/>
      </c>
      <c r="V4836" s="19">
        <f>IF($B4836="","",TEXT($B4836,"0000"))</f>
        <v/>
      </c>
      <c r="W4836" s="19">
        <f>IF($I4836="","",IF(ISNUMBER($I4836),TEXT($I4836,"0"),$I4836))</f>
        <v/>
      </c>
    </row>
    <row r="4837">
      <c r="B4837" s="25" t="n"/>
      <c r="I4837" s="25" t="n"/>
      <c r="U4837" s="19">
        <f>IF($V4837&lt;&gt;'設定'!$C$4,N(U4836),IF(OR(NOT(COUNTIF('商品マスタ'!$B$6:$B$1005,$W4837)=0),COUNTIFS('①在庫を貼る'!$V$6:$V$10005,$V4837,'①在庫を貼る'!$W$6:$W$10005,$W4837)+COUNTIFS('月1回_1ヶ月前の在庫'!$V$6:$V$10005,$V4837,'月1回_1ヶ月前の在庫'!$W$6:$W$10005,$W4837)&gt;0),N(U4836),N(U4836)+1))</f>
        <v/>
      </c>
      <c r="V4837" s="19">
        <f>IF($B4837="","",TEXT($B4837,"0000"))</f>
        <v/>
      </c>
      <c r="W4837" s="19">
        <f>IF($I4837="","",IF(ISNUMBER($I4837),TEXT($I4837,"0"),$I4837))</f>
        <v/>
      </c>
    </row>
    <row r="4838">
      <c r="B4838" s="25" t="n"/>
      <c r="I4838" s="25" t="n"/>
      <c r="U4838" s="19">
        <f>IF($V4838&lt;&gt;'設定'!$C$4,N(U4837),IF(OR(NOT(COUNTIF('商品マスタ'!$B$6:$B$1005,$W4838)=0),COUNTIFS('①在庫を貼る'!$V$6:$V$10005,$V4838,'①在庫を貼る'!$W$6:$W$10005,$W4838)+COUNTIFS('月1回_1ヶ月前の在庫'!$V$6:$V$10005,$V4838,'月1回_1ヶ月前の在庫'!$W$6:$W$10005,$W4838)&gt;0),N(U4837),N(U4837)+1))</f>
        <v/>
      </c>
      <c r="V4838" s="19">
        <f>IF($B4838="","",TEXT($B4838,"0000"))</f>
        <v/>
      </c>
      <c r="W4838" s="19">
        <f>IF($I4838="","",IF(ISNUMBER($I4838),TEXT($I4838,"0"),$I4838))</f>
        <v/>
      </c>
    </row>
    <row r="4839">
      <c r="B4839" s="25" t="n"/>
      <c r="I4839" s="25" t="n"/>
      <c r="U4839" s="19">
        <f>IF($V4839&lt;&gt;'設定'!$C$4,N(U4838),IF(OR(NOT(COUNTIF('商品マスタ'!$B$6:$B$1005,$W4839)=0),COUNTIFS('①在庫を貼る'!$V$6:$V$10005,$V4839,'①在庫を貼る'!$W$6:$W$10005,$W4839)+COUNTIFS('月1回_1ヶ月前の在庫'!$V$6:$V$10005,$V4839,'月1回_1ヶ月前の在庫'!$W$6:$W$10005,$W4839)&gt;0),N(U4838),N(U4838)+1))</f>
        <v/>
      </c>
      <c r="V4839" s="19">
        <f>IF($B4839="","",TEXT($B4839,"0000"))</f>
        <v/>
      </c>
      <c r="W4839" s="19">
        <f>IF($I4839="","",IF(ISNUMBER($I4839),TEXT($I4839,"0"),$I4839))</f>
        <v/>
      </c>
    </row>
    <row r="4840">
      <c r="B4840" s="25" t="n"/>
      <c r="I4840" s="25" t="n"/>
      <c r="U4840" s="19">
        <f>IF($V4840&lt;&gt;'設定'!$C$4,N(U4839),IF(OR(NOT(COUNTIF('商品マスタ'!$B$6:$B$1005,$W4840)=0),COUNTIFS('①在庫を貼る'!$V$6:$V$10005,$V4840,'①在庫を貼る'!$W$6:$W$10005,$W4840)+COUNTIFS('月1回_1ヶ月前の在庫'!$V$6:$V$10005,$V4840,'月1回_1ヶ月前の在庫'!$W$6:$W$10005,$W4840)&gt;0),N(U4839),N(U4839)+1))</f>
        <v/>
      </c>
      <c r="V4840" s="19">
        <f>IF($B4840="","",TEXT($B4840,"0000"))</f>
        <v/>
      </c>
      <c r="W4840" s="19">
        <f>IF($I4840="","",IF(ISNUMBER($I4840),TEXT($I4840,"0"),$I4840))</f>
        <v/>
      </c>
    </row>
    <row r="4841">
      <c r="B4841" s="25" t="n"/>
      <c r="I4841" s="25" t="n"/>
      <c r="U4841" s="19">
        <f>IF($V4841&lt;&gt;'設定'!$C$4,N(U4840),IF(OR(NOT(COUNTIF('商品マスタ'!$B$6:$B$1005,$W4841)=0),COUNTIFS('①在庫を貼る'!$V$6:$V$10005,$V4841,'①在庫を貼る'!$W$6:$W$10005,$W4841)+COUNTIFS('月1回_1ヶ月前の在庫'!$V$6:$V$10005,$V4841,'月1回_1ヶ月前の在庫'!$W$6:$W$10005,$W4841)&gt;0),N(U4840),N(U4840)+1))</f>
        <v/>
      </c>
      <c r="V4841" s="19">
        <f>IF($B4841="","",TEXT($B4841,"0000"))</f>
        <v/>
      </c>
      <c r="W4841" s="19">
        <f>IF($I4841="","",IF(ISNUMBER($I4841),TEXT($I4841,"0"),$I4841))</f>
        <v/>
      </c>
    </row>
    <row r="4842">
      <c r="B4842" s="25" t="n"/>
      <c r="I4842" s="25" t="n"/>
      <c r="U4842" s="19">
        <f>IF($V4842&lt;&gt;'設定'!$C$4,N(U4841),IF(OR(NOT(COUNTIF('商品マスタ'!$B$6:$B$1005,$W4842)=0),COUNTIFS('①在庫を貼る'!$V$6:$V$10005,$V4842,'①在庫を貼る'!$W$6:$W$10005,$W4842)+COUNTIFS('月1回_1ヶ月前の在庫'!$V$6:$V$10005,$V4842,'月1回_1ヶ月前の在庫'!$W$6:$W$10005,$W4842)&gt;0),N(U4841),N(U4841)+1))</f>
        <v/>
      </c>
      <c r="V4842" s="19">
        <f>IF($B4842="","",TEXT($B4842,"0000"))</f>
        <v/>
      </c>
      <c r="W4842" s="19">
        <f>IF($I4842="","",IF(ISNUMBER($I4842),TEXT($I4842,"0"),$I4842))</f>
        <v/>
      </c>
    </row>
    <row r="4843">
      <c r="B4843" s="25" t="n"/>
      <c r="I4843" s="25" t="n"/>
      <c r="U4843" s="19">
        <f>IF($V4843&lt;&gt;'設定'!$C$4,N(U4842),IF(OR(NOT(COUNTIF('商品マスタ'!$B$6:$B$1005,$W4843)=0),COUNTIFS('①在庫を貼る'!$V$6:$V$10005,$V4843,'①在庫を貼る'!$W$6:$W$10005,$W4843)+COUNTIFS('月1回_1ヶ月前の在庫'!$V$6:$V$10005,$V4843,'月1回_1ヶ月前の在庫'!$W$6:$W$10005,$W4843)&gt;0),N(U4842),N(U4842)+1))</f>
        <v/>
      </c>
      <c r="V4843" s="19">
        <f>IF($B4843="","",TEXT($B4843,"0000"))</f>
        <v/>
      </c>
      <c r="W4843" s="19">
        <f>IF($I4843="","",IF(ISNUMBER($I4843),TEXT($I4843,"0"),$I4843))</f>
        <v/>
      </c>
    </row>
    <row r="4844">
      <c r="B4844" s="25" t="n"/>
      <c r="I4844" s="25" t="n"/>
      <c r="U4844" s="19">
        <f>IF($V4844&lt;&gt;'設定'!$C$4,N(U4843),IF(OR(NOT(COUNTIF('商品マスタ'!$B$6:$B$1005,$W4844)=0),COUNTIFS('①在庫を貼る'!$V$6:$V$10005,$V4844,'①在庫を貼る'!$W$6:$W$10005,$W4844)+COUNTIFS('月1回_1ヶ月前の在庫'!$V$6:$V$10005,$V4844,'月1回_1ヶ月前の在庫'!$W$6:$W$10005,$W4844)&gt;0),N(U4843),N(U4843)+1))</f>
        <v/>
      </c>
      <c r="V4844" s="19">
        <f>IF($B4844="","",TEXT($B4844,"0000"))</f>
        <v/>
      </c>
      <c r="W4844" s="19">
        <f>IF($I4844="","",IF(ISNUMBER($I4844),TEXT($I4844,"0"),$I4844))</f>
        <v/>
      </c>
    </row>
    <row r="4845">
      <c r="B4845" s="25" t="n"/>
      <c r="I4845" s="25" t="n"/>
      <c r="U4845" s="19">
        <f>IF($V4845&lt;&gt;'設定'!$C$4,N(U4844),IF(OR(NOT(COUNTIF('商品マスタ'!$B$6:$B$1005,$W4845)=0),COUNTIFS('①在庫を貼る'!$V$6:$V$10005,$V4845,'①在庫を貼る'!$W$6:$W$10005,$W4845)+COUNTIFS('月1回_1ヶ月前の在庫'!$V$6:$V$10005,$V4845,'月1回_1ヶ月前の在庫'!$W$6:$W$10005,$W4845)&gt;0),N(U4844),N(U4844)+1))</f>
        <v/>
      </c>
      <c r="V4845" s="19">
        <f>IF($B4845="","",TEXT($B4845,"0000"))</f>
        <v/>
      </c>
      <c r="W4845" s="19">
        <f>IF($I4845="","",IF(ISNUMBER($I4845),TEXT($I4845,"0"),$I4845))</f>
        <v/>
      </c>
    </row>
    <row r="4846">
      <c r="B4846" s="25" t="n"/>
      <c r="I4846" s="25" t="n"/>
      <c r="U4846" s="19">
        <f>IF($V4846&lt;&gt;'設定'!$C$4,N(U4845),IF(OR(NOT(COUNTIF('商品マスタ'!$B$6:$B$1005,$W4846)=0),COUNTIFS('①在庫を貼る'!$V$6:$V$10005,$V4846,'①在庫を貼る'!$W$6:$W$10005,$W4846)+COUNTIFS('月1回_1ヶ月前の在庫'!$V$6:$V$10005,$V4846,'月1回_1ヶ月前の在庫'!$W$6:$W$10005,$W4846)&gt;0),N(U4845),N(U4845)+1))</f>
        <v/>
      </c>
      <c r="V4846" s="19">
        <f>IF($B4846="","",TEXT($B4846,"0000"))</f>
        <v/>
      </c>
      <c r="W4846" s="19">
        <f>IF($I4846="","",IF(ISNUMBER($I4846),TEXT($I4846,"0"),$I4846))</f>
        <v/>
      </c>
    </row>
    <row r="4847">
      <c r="B4847" s="25" t="n"/>
      <c r="I4847" s="25" t="n"/>
      <c r="U4847" s="19">
        <f>IF($V4847&lt;&gt;'設定'!$C$4,N(U4846),IF(OR(NOT(COUNTIF('商品マスタ'!$B$6:$B$1005,$W4847)=0),COUNTIFS('①在庫を貼る'!$V$6:$V$10005,$V4847,'①在庫を貼る'!$W$6:$W$10005,$W4847)+COUNTIFS('月1回_1ヶ月前の在庫'!$V$6:$V$10005,$V4847,'月1回_1ヶ月前の在庫'!$W$6:$W$10005,$W4847)&gt;0),N(U4846),N(U4846)+1))</f>
        <v/>
      </c>
      <c r="V4847" s="19">
        <f>IF($B4847="","",TEXT($B4847,"0000"))</f>
        <v/>
      </c>
      <c r="W4847" s="19">
        <f>IF($I4847="","",IF(ISNUMBER($I4847),TEXT($I4847,"0"),$I4847))</f>
        <v/>
      </c>
    </row>
    <row r="4848">
      <c r="B4848" s="25" t="n"/>
      <c r="I4848" s="25" t="n"/>
      <c r="U4848" s="19">
        <f>IF($V4848&lt;&gt;'設定'!$C$4,N(U4847),IF(OR(NOT(COUNTIF('商品マスタ'!$B$6:$B$1005,$W4848)=0),COUNTIFS('①在庫を貼る'!$V$6:$V$10005,$V4848,'①在庫を貼る'!$W$6:$W$10005,$W4848)+COUNTIFS('月1回_1ヶ月前の在庫'!$V$6:$V$10005,$V4848,'月1回_1ヶ月前の在庫'!$W$6:$W$10005,$W4848)&gt;0),N(U4847),N(U4847)+1))</f>
        <v/>
      </c>
      <c r="V4848" s="19">
        <f>IF($B4848="","",TEXT($B4848,"0000"))</f>
        <v/>
      </c>
      <c r="W4848" s="19">
        <f>IF($I4848="","",IF(ISNUMBER($I4848),TEXT($I4848,"0"),$I4848))</f>
        <v/>
      </c>
    </row>
    <row r="4849">
      <c r="B4849" s="25" t="n"/>
      <c r="I4849" s="25" t="n"/>
      <c r="U4849" s="19">
        <f>IF($V4849&lt;&gt;'設定'!$C$4,N(U4848),IF(OR(NOT(COUNTIF('商品マスタ'!$B$6:$B$1005,$W4849)=0),COUNTIFS('①在庫を貼る'!$V$6:$V$10005,$V4849,'①在庫を貼る'!$W$6:$W$10005,$W4849)+COUNTIFS('月1回_1ヶ月前の在庫'!$V$6:$V$10005,$V4849,'月1回_1ヶ月前の在庫'!$W$6:$W$10005,$W4849)&gt;0),N(U4848),N(U4848)+1))</f>
        <v/>
      </c>
      <c r="V4849" s="19">
        <f>IF($B4849="","",TEXT($B4849,"0000"))</f>
        <v/>
      </c>
      <c r="W4849" s="19">
        <f>IF($I4849="","",IF(ISNUMBER($I4849),TEXT($I4849,"0"),$I4849))</f>
        <v/>
      </c>
    </row>
    <row r="4850">
      <c r="B4850" s="25" t="n"/>
      <c r="I4850" s="25" t="n"/>
      <c r="U4850" s="19">
        <f>IF($V4850&lt;&gt;'設定'!$C$4,N(U4849),IF(OR(NOT(COUNTIF('商品マスタ'!$B$6:$B$1005,$W4850)=0),COUNTIFS('①在庫を貼る'!$V$6:$V$10005,$V4850,'①在庫を貼る'!$W$6:$W$10005,$W4850)+COUNTIFS('月1回_1ヶ月前の在庫'!$V$6:$V$10005,$V4850,'月1回_1ヶ月前の在庫'!$W$6:$W$10005,$W4850)&gt;0),N(U4849),N(U4849)+1))</f>
        <v/>
      </c>
      <c r="V4850" s="19">
        <f>IF($B4850="","",TEXT($B4850,"0000"))</f>
        <v/>
      </c>
      <c r="W4850" s="19">
        <f>IF($I4850="","",IF(ISNUMBER($I4850),TEXT($I4850,"0"),$I4850))</f>
        <v/>
      </c>
    </row>
    <row r="4851">
      <c r="B4851" s="25" t="n"/>
      <c r="I4851" s="25" t="n"/>
      <c r="U4851" s="19">
        <f>IF($V4851&lt;&gt;'設定'!$C$4,N(U4850),IF(OR(NOT(COUNTIF('商品マスタ'!$B$6:$B$1005,$W4851)=0),COUNTIFS('①在庫を貼る'!$V$6:$V$10005,$V4851,'①在庫を貼る'!$W$6:$W$10005,$W4851)+COUNTIFS('月1回_1ヶ月前の在庫'!$V$6:$V$10005,$V4851,'月1回_1ヶ月前の在庫'!$W$6:$W$10005,$W4851)&gt;0),N(U4850),N(U4850)+1))</f>
        <v/>
      </c>
      <c r="V4851" s="19">
        <f>IF($B4851="","",TEXT($B4851,"0000"))</f>
        <v/>
      </c>
      <c r="W4851" s="19">
        <f>IF($I4851="","",IF(ISNUMBER($I4851),TEXT($I4851,"0"),$I4851))</f>
        <v/>
      </c>
    </row>
    <row r="4852">
      <c r="B4852" s="25" t="n"/>
      <c r="I4852" s="25" t="n"/>
      <c r="U4852" s="19">
        <f>IF($V4852&lt;&gt;'設定'!$C$4,N(U4851),IF(OR(NOT(COUNTIF('商品マスタ'!$B$6:$B$1005,$W4852)=0),COUNTIFS('①在庫を貼る'!$V$6:$V$10005,$V4852,'①在庫を貼る'!$W$6:$W$10005,$W4852)+COUNTIFS('月1回_1ヶ月前の在庫'!$V$6:$V$10005,$V4852,'月1回_1ヶ月前の在庫'!$W$6:$W$10005,$W4852)&gt;0),N(U4851),N(U4851)+1))</f>
        <v/>
      </c>
      <c r="V4852" s="19">
        <f>IF($B4852="","",TEXT($B4852,"0000"))</f>
        <v/>
      </c>
      <c r="W4852" s="19">
        <f>IF($I4852="","",IF(ISNUMBER($I4852),TEXT($I4852,"0"),$I4852))</f>
        <v/>
      </c>
    </row>
    <row r="4853">
      <c r="B4853" s="25" t="n"/>
      <c r="I4853" s="25" t="n"/>
      <c r="U4853" s="19">
        <f>IF($V4853&lt;&gt;'設定'!$C$4,N(U4852),IF(OR(NOT(COUNTIF('商品マスタ'!$B$6:$B$1005,$W4853)=0),COUNTIFS('①在庫を貼る'!$V$6:$V$10005,$V4853,'①在庫を貼る'!$W$6:$W$10005,$W4853)+COUNTIFS('月1回_1ヶ月前の在庫'!$V$6:$V$10005,$V4853,'月1回_1ヶ月前の在庫'!$W$6:$W$10005,$W4853)&gt;0),N(U4852),N(U4852)+1))</f>
        <v/>
      </c>
      <c r="V4853" s="19">
        <f>IF($B4853="","",TEXT($B4853,"0000"))</f>
        <v/>
      </c>
      <c r="W4853" s="19">
        <f>IF($I4853="","",IF(ISNUMBER($I4853),TEXT($I4853,"0"),$I4853))</f>
        <v/>
      </c>
    </row>
    <row r="4854">
      <c r="B4854" s="25" t="n"/>
      <c r="I4854" s="25" t="n"/>
      <c r="U4854" s="19">
        <f>IF($V4854&lt;&gt;'設定'!$C$4,N(U4853),IF(OR(NOT(COUNTIF('商品マスタ'!$B$6:$B$1005,$W4854)=0),COUNTIFS('①在庫を貼る'!$V$6:$V$10005,$V4854,'①在庫を貼る'!$W$6:$W$10005,$W4854)+COUNTIFS('月1回_1ヶ月前の在庫'!$V$6:$V$10005,$V4854,'月1回_1ヶ月前の在庫'!$W$6:$W$10005,$W4854)&gt;0),N(U4853),N(U4853)+1))</f>
        <v/>
      </c>
      <c r="V4854" s="19">
        <f>IF($B4854="","",TEXT($B4854,"0000"))</f>
        <v/>
      </c>
      <c r="W4854" s="19">
        <f>IF($I4854="","",IF(ISNUMBER($I4854),TEXT($I4854,"0"),$I4854))</f>
        <v/>
      </c>
    </row>
    <row r="4855">
      <c r="B4855" s="25" t="n"/>
      <c r="I4855" s="25" t="n"/>
      <c r="U4855" s="19">
        <f>IF($V4855&lt;&gt;'設定'!$C$4,N(U4854),IF(OR(NOT(COUNTIF('商品マスタ'!$B$6:$B$1005,$W4855)=0),COUNTIFS('①在庫を貼る'!$V$6:$V$10005,$V4855,'①在庫を貼る'!$W$6:$W$10005,$W4855)+COUNTIFS('月1回_1ヶ月前の在庫'!$V$6:$V$10005,$V4855,'月1回_1ヶ月前の在庫'!$W$6:$W$10005,$W4855)&gt;0),N(U4854),N(U4854)+1))</f>
        <v/>
      </c>
      <c r="V4855" s="19">
        <f>IF($B4855="","",TEXT($B4855,"0000"))</f>
        <v/>
      </c>
      <c r="W4855" s="19">
        <f>IF($I4855="","",IF(ISNUMBER($I4855),TEXT($I4855,"0"),$I4855))</f>
        <v/>
      </c>
    </row>
    <row r="4856">
      <c r="B4856" s="25" t="n"/>
      <c r="I4856" s="25" t="n"/>
      <c r="U4856" s="19">
        <f>IF($V4856&lt;&gt;'設定'!$C$4,N(U4855),IF(OR(NOT(COUNTIF('商品マスタ'!$B$6:$B$1005,$W4856)=0),COUNTIFS('①在庫を貼る'!$V$6:$V$10005,$V4856,'①在庫を貼る'!$W$6:$W$10005,$W4856)+COUNTIFS('月1回_1ヶ月前の在庫'!$V$6:$V$10005,$V4856,'月1回_1ヶ月前の在庫'!$W$6:$W$10005,$W4856)&gt;0),N(U4855),N(U4855)+1))</f>
        <v/>
      </c>
      <c r="V4856" s="19">
        <f>IF($B4856="","",TEXT($B4856,"0000"))</f>
        <v/>
      </c>
      <c r="W4856" s="19">
        <f>IF($I4856="","",IF(ISNUMBER($I4856),TEXT($I4856,"0"),$I4856))</f>
        <v/>
      </c>
    </row>
    <row r="4857">
      <c r="B4857" s="25" t="n"/>
      <c r="I4857" s="25" t="n"/>
      <c r="U4857" s="19">
        <f>IF($V4857&lt;&gt;'設定'!$C$4,N(U4856),IF(OR(NOT(COUNTIF('商品マスタ'!$B$6:$B$1005,$W4857)=0),COUNTIFS('①在庫を貼る'!$V$6:$V$10005,$V4857,'①在庫を貼る'!$W$6:$W$10005,$W4857)+COUNTIFS('月1回_1ヶ月前の在庫'!$V$6:$V$10005,$V4857,'月1回_1ヶ月前の在庫'!$W$6:$W$10005,$W4857)&gt;0),N(U4856),N(U4856)+1))</f>
        <v/>
      </c>
      <c r="V4857" s="19">
        <f>IF($B4857="","",TEXT($B4857,"0000"))</f>
        <v/>
      </c>
      <c r="W4857" s="19">
        <f>IF($I4857="","",IF(ISNUMBER($I4857),TEXT($I4857,"0"),$I4857))</f>
        <v/>
      </c>
    </row>
    <row r="4858">
      <c r="B4858" s="25" t="n"/>
      <c r="I4858" s="25" t="n"/>
      <c r="U4858" s="19">
        <f>IF($V4858&lt;&gt;'設定'!$C$4,N(U4857),IF(OR(NOT(COUNTIF('商品マスタ'!$B$6:$B$1005,$W4858)=0),COUNTIFS('①在庫を貼る'!$V$6:$V$10005,$V4858,'①在庫を貼る'!$W$6:$W$10005,$W4858)+COUNTIFS('月1回_1ヶ月前の在庫'!$V$6:$V$10005,$V4858,'月1回_1ヶ月前の在庫'!$W$6:$W$10005,$W4858)&gt;0),N(U4857),N(U4857)+1))</f>
        <v/>
      </c>
      <c r="V4858" s="19">
        <f>IF($B4858="","",TEXT($B4858,"0000"))</f>
        <v/>
      </c>
      <c r="W4858" s="19">
        <f>IF($I4858="","",IF(ISNUMBER($I4858),TEXT($I4858,"0"),$I4858))</f>
        <v/>
      </c>
    </row>
    <row r="4859">
      <c r="B4859" s="25" t="n"/>
      <c r="I4859" s="25" t="n"/>
      <c r="U4859" s="19">
        <f>IF($V4859&lt;&gt;'設定'!$C$4,N(U4858),IF(OR(NOT(COUNTIF('商品マスタ'!$B$6:$B$1005,$W4859)=0),COUNTIFS('①在庫を貼る'!$V$6:$V$10005,$V4859,'①在庫を貼る'!$W$6:$W$10005,$W4859)+COUNTIFS('月1回_1ヶ月前の在庫'!$V$6:$V$10005,$V4859,'月1回_1ヶ月前の在庫'!$W$6:$W$10005,$W4859)&gt;0),N(U4858),N(U4858)+1))</f>
        <v/>
      </c>
      <c r="V4859" s="19">
        <f>IF($B4859="","",TEXT($B4859,"0000"))</f>
        <v/>
      </c>
      <c r="W4859" s="19">
        <f>IF($I4859="","",IF(ISNUMBER($I4859),TEXT($I4859,"0"),$I4859))</f>
        <v/>
      </c>
    </row>
    <row r="4860">
      <c r="B4860" s="25" t="n"/>
      <c r="I4860" s="25" t="n"/>
      <c r="U4860" s="19">
        <f>IF($V4860&lt;&gt;'設定'!$C$4,N(U4859),IF(OR(NOT(COUNTIF('商品マスタ'!$B$6:$B$1005,$W4860)=0),COUNTIFS('①在庫を貼る'!$V$6:$V$10005,$V4860,'①在庫を貼る'!$W$6:$W$10005,$W4860)+COUNTIFS('月1回_1ヶ月前の在庫'!$V$6:$V$10005,$V4860,'月1回_1ヶ月前の在庫'!$W$6:$W$10005,$W4860)&gt;0),N(U4859),N(U4859)+1))</f>
        <v/>
      </c>
      <c r="V4860" s="19">
        <f>IF($B4860="","",TEXT($B4860,"0000"))</f>
        <v/>
      </c>
      <c r="W4860" s="19">
        <f>IF($I4860="","",IF(ISNUMBER($I4860),TEXT($I4860,"0"),$I4860))</f>
        <v/>
      </c>
    </row>
    <row r="4861">
      <c r="B4861" s="25" t="n"/>
      <c r="I4861" s="25" t="n"/>
      <c r="U4861" s="19">
        <f>IF($V4861&lt;&gt;'設定'!$C$4,N(U4860),IF(OR(NOT(COUNTIF('商品マスタ'!$B$6:$B$1005,$W4861)=0),COUNTIFS('①在庫を貼る'!$V$6:$V$10005,$V4861,'①在庫を貼る'!$W$6:$W$10005,$W4861)+COUNTIFS('月1回_1ヶ月前の在庫'!$V$6:$V$10005,$V4861,'月1回_1ヶ月前の在庫'!$W$6:$W$10005,$W4861)&gt;0),N(U4860),N(U4860)+1))</f>
        <v/>
      </c>
      <c r="V4861" s="19">
        <f>IF($B4861="","",TEXT($B4861,"0000"))</f>
        <v/>
      </c>
      <c r="W4861" s="19">
        <f>IF($I4861="","",IF(ISNUMBER($I4861),TEXT($I4861,"0"),$I4861))</f>
        <v/>
      </c>
    </row>
    <row r="4862">
      <c r="B4862" s="25" t="n"/>
      <c r="I4862" s="25" t="n"/>
      <c r="U4862" s="19">
        <f>IF($V4862&lt;&gt;'設定'!$C$4,N(U4861),IF(OR(NOT(COUNTIF('商品マスタ'!$B$6:$B$1005,$W4862)=0),COUNTIFS('①在庫を貼る'!$V$6:$V$10005,$V4862,'①在庫を貼る'!$W$6:$W$10005,$W4862)+COUNTIFS('月1回_1ヶ月前の在庫'!$V$6:$V$10005,$V4862,'月1回_1ヶ月前の在庫'!$W$6:$W$10005,$W4862)&gt;0),N(U4861),N(U4861)+1))</f>
        <v/>
      </c>
      <c r="V4862" s="19">
        <f>IF($B4862="","",TEXT($B4862,"0000"))</f>
        <v/>
      </c>
      <c r="W4862" s="19">
        <f>IF($I4862="","",IF(ISNUMBER($I4862),TEXT($I4862,"0"),$I4862))</f>
        <v/>
      </c>
    </row>
    <row r="4863">
      <c r="B4863" s="25" t="n"/>
      <c r="I4863" s="25" t="n"/>
      <c r="U4863" s="19">
        <f>IF($V4863&lt;&gt;'設定'!$C$4,N(U4862),IF(OR(NOT(COUNTIF('商品マスタ'!$B$6:$B$1005,$W4863)=0),COUNTIFS('①在庫を貼る'!$V$6:$V$10005,$V4863,'①在庫を貼る'!$W$6:$W$10005,$W4863)+COUNTIFS('月1回_1ヶ月前の在庫'!$V$6:$V$10005,$V4863,'月1回_1ヶ月前の在庫'!$W$6:$W$10005,$W4863)&gt;0),N(U4862),N(U4862)+1))</f>
        <v/>
      </c>
      <c r="V4863" s="19">
        <f>IF($B4863="","",TEXT($B4863,"0000"))</f>
        <v/>
      </c>
      <c r="W4863" s="19">
        <f>IF($I4863="","",IF(ISNUMBER($I4863),TEXT($I4863,"0"),$I4863))</f>
        <v/>
      </c>
    </row>
    <row r="4864">
      <c r="B4864" s="25" t="n"/>
      <c r="I4864" s="25" t="n"/>
      <c r="U4864" s="19">
        <f>IF($V4864&lt;&gt;'設定'!$C$4,N(U4863),IF(OR(NOT(COUNTIF('商品マスタ'!$B$6:$B$1005,$W4864)=0),COUNTIFS('①在庫を貼る'!$V$6:$V$10005,$V4864,'①在庫を貼る'!$W$6:$W$10005,$W4864)+COUNTIFS('月1回_1ヶ月前の在庫'!$V$6:$V$10005,$V4864,'月1回_1ヶ月前の在庫'!$W$6:$W$10005,$W4864)&gt;0),N(U4863),N(U4863)+1))</f>
        <v/>
      </c>
      <c r="V4864" s="19">
        <f>IF($B4864="","",TEXT($B4864,"0000"))</f>
        <v/>
      </c>
      <c r="W4864" s="19">
        <f>IF($I4864="","",IF(ISNUMBER($I4864),TEXT($I4864,"0"),$I4864))</f>
        <v/>
      </c>
    </row>
    <row r="4865">
      <c r="B4865" s="25" t="n"/>
      <c r="I4865" s="25" t="n"/>
      <c r="U4865" s="19">
        <f>IF($V4865&lt;&gt;'設定'!$C$4,N(U4864),IF(OR(NOT(COUNTIF('商品マスタ'!$B$6:$B$1005,$W4865)=0),COUNTIFS('①在庫を貼る'!$V$6:$V$10005,$V4865,'①在庫を貼る'!$W$6:$W$10005,$W4865)+COUNTIFS('月1回_1ヶ月前の在庫'!$V$6:$V$10005,$V4865,'月1回_1ヶ月前の在庫'!$W$6:$W$10005,$W4865)&gt;0),N(U4864),N(U4864)+1))</f>
        <v/>
      </c>
      <c r="V4865" s="19">
        <f>IF($B4865="","",TEXT($B4865,"0000"))</f>
        <v/>
      </c>
      <c r="W4865" s="19">
        <f>IF($I4865="","",IF(ISNUMBER($I4865),TEXT($I4865,"0"),$I4865))</f>
        <v/>
      </c>
    </row>
    <row r="4866">
      <c r="B4866" s="25" t="n"/>
      <c r="I4866" s="25" t="n"/>
      <c r="U4866" s="19">
        <f>IF($V4866&lt;&gt;'設定'!$C$4,N(U4865),IF(OR(NOT(COUNTIF('商品マスタ'!$B$6:$B$1005,$W4866)=0),COUNTIFS('①在庫を貼る'!$V$6:$V$10005,$V4866,'①在庫を貼る'!$W$6:$W$10005,$W4866)+COUNTIFS('月1回_1ヶ月前の在庫'!$V$6:$V$10005,$V4866,'月1回_1ヶ月前の在庫'!$W$6:$W$10005,$W4866)&gt;0),N(U4865),N(U4865)+1))</f>
        <v/>
      </c>
      <c r="V4866" s="19">
        <f>IF($B4866="","",TEXT($B4866,"0000"))</f>
        <v/>
      </c>
      <c r="W4866" s="19">
        <f>IF($I4866="","",IF(ISNUMBER($I4866),TEXT($I4866,"0"),$I4866))</f>
        <v/>
      </c>
    </row>
    <row r="4867">
      <c r="B4867" s="25" t="n"/>
      <c r="I4867" s="25" t="n"/>
      <c r="U4867" s="19">
        <f>IF($V4867&lt;&gt;'設定'!$C$4,N(U4866),IF(OR(NOT(COUNTIF('商品マスタ'!$B$6:$B$1005,$W4867)=0),COUNTIFS('①在庫を貼る'!$V$6:$V$10005,$V4867,'①在庫を貼る'!$W$6:$W$10005,$W4867)+COUNTIFS('月1回_1ヶ月前の在庫'!$V$6:$V$10005,$V4867,'月1回_1ヶ月前の在庫'!$W$6:$W$10005,$W4867)&gt;0),N(U4866),N(U4866)+1))</f>
        <v/>
      </c>
      <c r="V4867" s="19">
        <f>IF($B4867="","",TEXT($B4867,"0000"))</f>
        <v/>
      </c>
      <c r="W4867" s="19">
        <f>IF($I4867="","",IF(ISNUMBER($I4867),TEXT($I4867,"0"),$I4867))</f>
        <v/>
      </c>
    </row>
    <row r="4868">
      <c r="B4868" s="25" t="n"/>
      <c r="I4868" s="25" t="n"/>
      <c r="U4868" s="19">
        <f>IF($V4868&lt;&gt;'設定'!$C$4,N(U4867),IF(OR(NOT(COUNTIF('商品マスタ'!$B$6:$B$1005,$W4868)=0),COUNTIFS('①在庫を貼る'!$V$6:$V$10005,$V4868,'①在庫を貼る'!$W$6:$W$10005,$W4868)+COUNTIFS('月1回_1ヶ月前の在庫'!$V$6:$V$10005,$V4868,'月1回_1ヶ月前の在庫'!$W$6:$W$10005,$W4868)&gt;0),N(U4867),N(U4867)+1))</f>
        <v/>
      </c>
      <c r="V4868" s="19">
        <f>IF($B4868="","",TEXT($B4868,"0000"))</f>
        <v/>
      </c>
      <c r="W4868" s="19">
        <f>IF($I4868="","",IF(ISNUMBER($I4868),TEXT($I4868,"0"),$I4868))</f>
        <v/>
      </c>
    </row>
    <row r="4869">
      <c r="B4869" s="25" t="n"/>
      <c r="I4869" s="25" t="n"/>
      <c r="U4869" s="19">
        <f>IF($V4869&lt;&gt;'設定'!$C$4,N(U4868),IF(OR(NOT(COUNTIF('商品マスタ'!$B$6:$B$1005,$W4869)=0),COUNTIFS('①在庫を貼る'!$V$6:$V$10005,$V4869,'①在庫を貼る'!$W$6:$W$10005,$W4869)+COUNTIFS('月1回_1ヶ月前の在庫'!$V$6:$V$10005,$V4869,'月1回_1ヶ月前の在庫'!$W$6:$W$10005,$W4869)&gt;0),N(U4868),N(U4868)+1))</f>
        <v/>
      </c>
      <c r="V4869" s="19">
        <f>IF($B4869="","",TEXT($B4869,"0000"))</f>
        <v/>
      </c>
      <c r="W4869" s="19">
        <f>IF($I4869="","",IF(ISNUMBER($I4869),TEXT($I4869,"0"),$I4869))</f>
        <v/>
      </c>
    </row>
    <row r="4870">
      <c r="B4870" s="25" t="n"/>
      <c r="I4870" s="25" t="n"/>
      <c r="U4870" s="19">
        <f>IF($V4870&lt;&gt;'設定'!$C$4,N(U4869),IF(OR(NOT(COUNTIF('商品マスタ'!$B$6:$B$1005,$W4870)=0),COUNTIFS('①在庫を貼る'!$V$6:$V$10005,$V4870,'①在庫を貼る'!$W$6:$W$10005,$W4870)+COUNTIFS('月1回_1ヶ月前の在庫'!$V$6:$V$10005,$V4870,'月1回_1ヶ月前の在庫'!$W$6:$W$10005,$W4870)&gt;0),N(U4869),N(U4869)+1))</f>
        <v/>
      </c>
      <c r="V4870" s="19">
        <f>IF($B4870="","",TEXT($B4870,"0000"))</f>
        <v/>
      </c>
      <c r="W4870" s="19">
        <f>IF($I4870="","",IF(ISNUMBER($I4870),TEXT($I4870,"0"),$I4870))</f>
        <v/>
      </c>
    </row>
    <row r="4871">
      <c r="B4871" s="25" t="n"/>
      <c r="I4871" s="25" t="n"/>
      <c r="U4871" s="19">
        <f>IF($V4871&lt;&gt;'設定'!$C$4,N(U4870),IF(OR(NOT(COUNTIF('商品マスタ'!$B$6:$B$1005,$W4871)=0),COUNTIFS('①在庫を貼る'!$V$6:$V$10005,$V4871,'①在庫を貼る'!$W$6:$W$10005,$W4871)+COUNTIFS('月1回_1ヶ月前の在庫'!$V$6:$V$10005,$V4871,'月1回_1ヶ月前の在庫'!$W$6:$W$10005,$W4871)&gt;0),N(U4870),N(U4870)+1))</f>
        <v/>
      </c>
      <c r="V4871" s="19">
        <f>IF($B4871="","",TEXT($B4871,"0000"))</f>
        <v/>
      </c>
      <c r="W4871" s="19">
        <f>IF($I4871="","",IF(ISNUMBER($I4871),TEXT($I4871,"0"),$I4871))</f>
        <v/>
      </c>
    </row>
    <row r="4872">
      <c r="B4872" s="25" t="n"/>
      <c r="I4872" s="25" t="n"/>
      <c r="U4872" s="19">
        <f>IF($V4872&lt;&gt;'設定'!$C$4,N(U4871),IF(OR(NOT(COUNTIF('商品マスタ'!$B$6:$B$1005,$W4872)=0),COUNTIFS('①在庫を貼る'!$V$6:$V$10005,$V4872,'①在庫を貼る'!$W$6:$W$10005,$W4872)+COUNTIFS('月1回_1ヶ月前の在庫'!$V$6:$V$10005,$V4872,'月1回_1ヶ月前の在庫'!$W$6:$W$10005,$W4872)&gt;0),N(U4871),N(U4871)+1))</f>
        <v/>
      </c>
      <c r="V4872" s="19">
        <f>IF($B4872="","",TEXT($B4872,"0000"))</f>
        <v/>
      </c>
      <c r="W4872" s="19">
        <f>IF($I4872="","",IF(ISNUMBER($I4872),TEXT($I4872,"0"),$I4872))</f>
        <v/>
      </c>
    </row>
    <row r="4873">
      <c r="B4873" s="25" t="n"/>
      <c r="I4873" s="25" t="n"/>
      <c r="U4873" s="19">
        <f>IF($V4873&lt;&gt;'設定'!$C$4,N(U4872),IF(OR(NOT(COUNTIF('商品マスタ'!$B$6:$B$1005,$W4873)=0),COUNTIFS('①在庫を貼る'!$V$6:$V$10005,$V4873,'①在庫を貼る'!$W$6:$W$10005,$W4873)+COUNTIFS('月1回_1ヶ月前の在庫'!$V$6:$V$10005,$V4873,'月1回_1ヶ月前の在庫'!$W$6:$W$10005,$W4873)&gt;0),N(U4872),N(U4872)+1))</f>
        <v/>
      </c>
      <c r="V4873" s="19">
        <f>IF($B4873="","",TEXT($B4873,"0000"))</f>
        <v/>
      </c>
      <c r="W4873" s="19">
        <f>IF($I4873="","",IF(ISNUMBER($I4873),TEXT($I4873,"0"),$I4873))</f>
        <v/>
      </c>
    </row>
    <row r="4874">
      <c r="B4874" s="25" t="n"/>
      <c r="I4874" s="25" t="n"/>
      <c r="U4874" s="19">
        <f>IF($V4874&lt;&gt;'設定'!$C$4,N(U4873),IF(OR(NOT(COUNTIF('商品マスタ'!$B$6:$B$1005,$W4874)=0),COUNTIFS('①在庫を貼る'!$V$6:$V$10005,$V4874,'①在庫を貼る'!$W$6:$W$10005,$W4874)+COUNTIFS('月1回_1ヶ月前の在庫'!$V$6:$V$10005,$V4874,'月1回_1ヶ月前の在庫'!$W$6:$W$10005,$W4874)&gt;0),N(U4873),N(U4873)+1))</f>
        <v/>
      </c>
      <c r="V4874" s="19">
        <f>IF($B4874="","",TEXT($B4874,"0000"))</f>
        <v/>
      </c>
      <c r="W4874" s="19">
        <f>IF($I4874="","",IF(ISNUMBER($I4874),TEXT($I4874,"0"),$I4874))</f>
        <v/>
      </c>
    </row>
    <row r="4875">
      <c r="B4875" s="25" t="n"/>
      <c r="I4875" s="25" t="n"/>
      <c r="U4875" s="19">
        <f>IF($V4875&lt;&gt;'設定'!$C$4,N(U4874),IF(OR(NOT(COUNTIF('商品マスタ'!$B$6:$B$1005,$W4875)=0),COUNTIFS('①在庫を貼る'!$V$6:$V$10005,$V4875,'①在庫を貼る'!$W$6:$W$10005,$W4875)+COUNTIFS('月1回_1ヶ月前の在庫'!$V$6:$V$10005,$V4875,'月1回_1ヶ月前の在庫'!$W$6:$W$10005,$W4875)&gt;0),N(U4874),N(U4874)+1))</f>
        <v/>
      </c>
      <c r="V4875" s="19">
        <f>IF($B4875="","",TEXT($B4875,"0000"))</f>
        <v/>
      </c>
      <c r="W4875" s="19">
        <f>IF($I4875="","",IF(ISNUMBER($I4875),TEXT($I4875,"0"),$I4875))</f>
        <v/>
      </c>
    </row>
    <row r="4876">
      <c r="B4876" s="25" t="n"/>
      <c r="I4876" s="25" t="n"/>
      <c r="U4876" s="19">
        <f>IF($V4876&lt;&gt;'設定'!$C$4,N(U4875),IF(OR(NOT(COUNTIF('商品マスタ'!$B$6:$B$1005,$W4876)=0),COUNTIFS('①在庫を貼る'!$V$6:$V$10005,$V4876,'①在庫を貼る'!$W$6:$W$10005,$W4876)+COUNTIFS('月1回_1ヶ月前の在庫'!$V$6:$V$10005,$V4876,'月1回_1ヶ月前の在庫'!$W$6:$W$10005,$W4876)&gt;0),N(U4875),N(U4875)+1))</f>
        <v/>
      </c>
      <c r="V4876" s="19">
        <f>IF($B4876="","",TEXT($B4876,"0000"))</f>
        <v/>
      </c>
      <c r="W4876" s="19">
        <f>IF($I4876="","",IF(ISNUMBER($I4876),TEXT($I4876,"0"),$I4876))</f>
        <v/>
      </c>
    </row>
    <row r="4877">
      <c r="B4877" s="25" t="n"/>
      <c r="I4877" s="25" t="n"/>
      <c r="U4877" s="19">
        <f>IF($V4877&lt;&gt;'設定'!$C$4,N(U4876),IF(OR(NOT(COUNTIF('商品マスタ'!$B$6:$B$1005,$W4877)=0),COUNTIFS('①在庫を貼る'!$V$6:$V$10005,$V4877,'①在庫を貼る'!$W$6:$W$10005,$W4877)+COUNTIFS('月1回_1ヶ月前の在庫'!$V$6:$V$10005,$V4877,'月1回_1ヶ月前の在庫'!$W$6:$W$10005,$W4877)&gt;0),N(U4876),N(U4876)+1))</f>
        <v/>
      </c>
      <c r="V4877" s="19">
        <f>IF($B4877="","",TEXT($B4877,"0000"))</f>
        <v/>
      </c>
      <c r="W4877" s="19">
        <f>IF($I4877="","",IF(ISNUMBER($I4877),TEXT($I4877,"0"),$I4877))</f>
        <v/>
      </c>
    </row>
    <row r="4878">
      <c r="B4878" s="25" t="n"/>
      <c r="I4878" s="25" t="n"/>
      <c r="U4878" s="19">
        <f>IF($V4878&lt;&gt;'設定'!$C$4,N(U4877),IF(OR(NOT(COUNTIF('商品マスタ'!$B$6:$B$1005,$W4878)=0),COUNTIFS('①在庫を貼る'!$V$6:$V$10005,$V4878,'①在庫を貼る'!$W$6:$W$10005,$W4878)+COUNTIFS('月1回_1ヶ月前の在庫'!$V$6:$V$10005,$V4878,'月1回_1ヶ月前の在庫'!$W$6:$W$10005,$W4878)&gt;0),N(U4877),N(U4877)+1))</f>
        <v/>
      </c>
      <c r="V4878" s="19">
        <f>IF($B4878="","",TEXT($B4878,"0000"))</f>
        <v/>
      </c>
      <c r="W4878" s="19">
        <f>IF($I4878="","",IF(ISNUMBER($I4878),TEXT($I4878,"0"),$I4878))</f>
        <v/>
      </c>
    </row>
    <row r="4879">
      <c r="B4879" s="25" t="n"/>
      <c r="I4879" s="25" t="n"/>
      <c r="U4879" s="19">
        <f>IF($V4879&lt;&gt;'設定'!$C$4,N(U4878),IF(OR(NOT(COUNTIF('商品マスタ'!$B$6:$B$1005,$W4879)=0),COUNTIFS('①在庫を貼る'!$V$6:$V$10005,$V4879,'①在庫を貼る'!$W$6:$W$10005,$W4879)+COUNTIFS('月1回_1ヶ月前の在庫'!$V$6:$V$10005,$V4879,'月1回_1ヶ月前の在庫'!$W$6:$W$10005,$W4879)&gt;0),N(U4878),N(U4878)+1))</f>
        <v/>
      </c>
      <c r="V4879" s="19">
        <f>IF($B4879="","",TEXT($B4879,"0000"))</f>
        <v/>
      </c>
      <c r="W4879" s="19">
        <f>IF($I4879="","",IF(ISNUMBER($I4879),TEXT($I4879,"0"),$I4879))</f>
        <v/>
      </c>
    </row>
    <row r="4880">
      <c r="B4880" s="25" t="n"/>
      <c r="I4880" s="25" t="n"/>
      <c r="U4880" s="19">
        <f>IF($V4880&lt;&gt;'設定'!$C$4,N(U4879),IF(OR(NOT(COUNTIF('商品マスタ'!$B$6:$B$1005,$W4880)=0),COUNTIFS('①在庫を貼る'!$V$6:$V$10005,$V4880,'①在庫を貼る'!$W$6:$W$10005,$W4880)+COUNTIFS('月1回_1ヶ月前の在庫'!$V$6:$V$10005,$V4880,'月1回_1ヶ月前の在庫'!$W$6:$W$10005,$W4880)&gt;0),N(U4879),N(U4879)+1))</f>
        <v/>
      </c>
      <c r="V4880" s="19">
        <f>IF($B4880="","",TEXT($B4880,"0000"))</f>
        <v/>
      </c>
      <c r="W4880" s="19">
        <f>IF($I4880="","",IF(ISNUMBER($I4880),TEXT($I4880,"0"),$I4880))</f>
        <v/>
      </c>
    </row>
    <row r="4881">
      <c r="B4881" s="25" t="n"/>
      <c r="I4881" s="25" t="n"/>
      <c r="U4881" s="19">
        <f>IF($V4881&lt;&gt;'設定'!$C$4,N(U4880),IF(OR(NOT(COUNTIF('商品マスタ'!$B$6:$B$1005,$W4881)=0),COUNTIFS('①在庫を貼る'!$V$6:$V$10005,$V4881,'①在庫を貼る'!$W$6:$W$10005,$W4881)+COUNTIFS('月1回_1ヶ月前の在庫'!$V$6:$V$10005,$V4881,'月1回_1ヶ月前の在庫'!$W$6:$W$10005,$W4881)&gt;0),N(U4880),N(U4880)+1))</f>
        <v/>
      </c>
      <c r="V4881" s="19">
        <f>IF($B4881="","",TEXT($B4881,"0000"))</f>
        <v/>
      </c>
      <c r="W4881" s="19">
        <f>IF($I4881="","",IF(ISNUMBER($I4881),TEXT($I4881,"0"),$I4881))</f>
        <v/>
      </c>
    </row>
    <row r="4882">
      <c r="B4882" s="25" t="n"/>
      <c r="I4882" s="25" t="n"/>
      <c r="U4882" s="19">
        <f>IF($V4882&lt;&gt;'設定'!$C$4,N(U4881),IF(OR(NOT(COUNTIF('商品マスタ'!$B$6:$B$1005,$W4882)=0),COUNTIFS('①在庫を貼る'!$V$6:$V$10005,$V4882,'①在庫を貼る'!$W$6:$W$10005,$W4882)+COUNTIFS('月1回_1ヶ月前の在庫'!$V$6:$V$10005,$V4882,'月1回_1ヶ月前の在庫'!$W$6:$W$10005,$W4882)&gt;0),N(U4881),N(U4881)+1))</f>
        <v/>
      </c>
      <c r="V4882" s="19">
        <f>IF($B4882="","",TEXT($B4882,"0000"))</f>
        <v/>
      </c>
      <c r="W4882" s="19">
        <f>IF($I4882="","",IF(ISNUMBER($I4882),TEXT($I4882,"0"),$I4882))</f>
        <v/>
      </c>
    </row>
    <row r="4883">
      <c r="B4883" s="25" t="n"/>
      <c r="I4883" s="25" t="n"/>
      <c r="U4883" s="19">
        <f>IF($V4883&lt;&gt;'設定'!$C$4,N(U4882),IF(OR(NOT(COUNTIF('商品マスタ'!$B$6:$B$1005,$W4883)=0),COUNTIFS('①在庫を貼る'!$V$6:$V$10005,$V4883,'①在庫を貼る'!$W$6:$W$10005,$W4883)+COUNTIFS('月1回_1ヶ月前の在庫'!$V$6:$V$10005,$V4883,'月1回_1ヶ月前の在庫'!$W$6:$W$10005,$W4883)&gt;0),N(U4882),N(U4882)+1))</f>
        <v/>
      </c>
      <c r="V4883" s="19">
        <f>IF($B4883="","",TEXT($B4883,"0000"))</f>
        <v/>
      </c>
      <c r="W4883" s="19">
        <f>IF($I4883="","",IF(ISNUMBER($I4883),TEXT($I4883,"0"),$I4883))</f>
        <v/>
      </c>
    </row>
    <row r="4884">
      <c r="B4884" s="25" t="n"/>
      <c r="I4884" s="25" t="n"/>
      <c r="U4884" s="19">
        <f>IF($V4884&lt;&gt;'設定'!$C$4,N(U4883),IF(OR(NOT(COUNTIF('商品マスタ'!$B$6:$B$1005,$W4884)=0),COUNTIFS('①在庫を貼る'!$V$6:$V$10005,$V4884,'①在庫を貼る'!$W$6:$W$10005,$W4884)+COUNTIFS('月1回_1ヶ月前の在庫'!$V$6:$V$10005,$V4884,'月1回_1ヶ月前の在庫'!$W$6:$W$10005,$W4884)&gt;0),N(U4883),N(U4883)+1))</f>
        <v/>
      </c>
      <c r="V4884" s="19">
        <f>IF($B4884="","",TEXT($B4884,"0000"))</f>
        <v/>
      </c>
      <c r="W4884" s="19">
        <f>IF($I4884="","",IF(ISNUMBER($I4884),TEXT($I4884,"0"),$I4884))</f>
        <v/>
      </c>
    </row>
    <row r="4885">
      <c r="B4885" s="25" t="n"/>
      <c r="I4885" s="25" t="n"/>
      <c r="U4885" s="19">
        <f>IF($V4885&lt;&gt;'設定'!$C$4,N(U4884),IF(OR(NOT(COUNTIF('商品マスタ'!$B$6:$B$1005,$W4885)=0),COUNTIFS('①在庫を貼る'!$V$6:$V$10005,$V4885,'①在庫を貼る'!$W$6:$W$10005,$W4885)+COUNTIFS('月1回_1ヶ月前の在庫'!$V$6:$V$10005,$V4885,'月1回_1ヶ月前の在庫'!$W$6:$W$10005,$W4885)&gt;0),N(U4884),N(U4884)+1))</f>
        <v/>
      </c>
      <c r="V4885" s="19">
        <f>IF($B4885="","",TEXT($B4885,"0000"))</f>
        <v/>
      </c>
      <c r="W4885" s="19">
        <f>IF($I4885="","",IF(ISNUMBER($I4885),TEXT($I4885,"0"),$I4885))</f>
        <v/>
      </c>
    </row>
    <row r="4886">
      <c r="B4886" s="25" t="n"/>
      <c r="I4886" s="25" t="n"/>
      <c r="U4886" s="19">
        <f>IF($V4886&lt;&gt;'設定'!$C$4,N(U4885),IF(OR(NOT(COUNTIF('商品マスタ'!$B$6:$B$1005,$W4886)=0),COUNTIFS('①在庫を貼る'!$V$6:$V$10005,$V4886,'①在庫を貼る'!$W$6:$W$10005,$W4886)+COUNTIFS('月1回_1ヶ月前の在庫'!$V$6:$V$10005,$V4886,'月1回_1ヶ月前の在庫'!$W$6:$W$10005,$W4886)&gt;0),N(U4885),N(U4885)+1))</f>
        <v/>
      </c>
      <c r="V4886" s="19">
        <f>IF($B4886="","",TEXT($B4886,"0000"))</f>
        <v/>
      </c>
      <c r="W4886" s="19">
        <f>IF($I4886="","",IF(ISNUMBER($I4886),TEXT($I4886,"0"),$I4886))</f>
        <v/>
      </c>
    </row>
    <row r="4887">
      <c r="B4887" s="25" t="n"/>
      <c r="I4887" s="25" t="n"/>
      <c r="U4887" s="19">
        <f>IF($V4887&lt;&gt;'設定'!$C$4,N(U4886),IF(OR(NOT(COUNTIF('商品マスタ'!$B$6:$B$1005,$W4887)=0),COUNTIFS('①在庫を貼る'!$V$6:$V$10005,$V4887,'①在庫を貼る'!$W$6:$W$10005,$W4887)+COUNTIFS('月1回_1ヶ月前の在庫'!$V$6:$V$10005,$V4887,'月1回_1ヶ月前の在庫'!$W$6:$W$10005,$W4887)&gt;0),N(U4886),N(U4886)+1))</f>
        <v/>
      </c>
      <c r="V4887" s="19">
        <f>IF($B4887="","",TEXT($B4887,"0000"))</f>
        <v/>
      </c>
      <c r="W4887" s="19">
        <f>IF($I4887="","",IF(ISNUMBER($I4887),TEXT($I4887,"0"),$I4887))</f>
        <v/>
      </c>
    </row>
    <row r="4888">
      <c r="B4888" s="25" t="n"/>
      <c r="I4888" s="25" t="n"/>
      <c r="U4888" s="19">
        <f>IF($V4888&lt;&gt;'設定'!$C$4,N(U4887),IF(OR(NOT(COUNTIF('商品マスタ'!$B$6:$B$1005,$W4888)=0),COUNTIFS('①在庫を貼る'!$V$6:$V$10005,$V4888,'①在庫を貼る'!$W$6:$W$10005,$W4888)+COUNTIFS('月1回_1ヶ月前の在庫'!$V$6:$V$10005,$V4888,'月1回_1ヶ月前の在庫'!$W$6:$W$10005,$W4888)&gt;0),N(U4887),N(U4887)+1))</f>
        <v/>
      </c>
      <c r="V4888" s="19">
        <f>IF($B4888="","",TEXT($B4888,"0000"))</f>
        <v/>
      </c>
      <c r="W4888" s="19">
        <f>IF($I4888="","",IF(ISNUMBER($I4888),TEXT($I4888,"0"),$I4888))</f>
        <v/>
      </c>
    </row>
    <row r="4889">
      <c r="B4889" s="25" t="n"/>
      <c r="I4889" s="25" t="n"/>
      <c r="U4889" s="19">
        <f>IF($V4889&lt;&gt;'設定'!$C$4,N(U4888),IF(OR(NOT(COUNTIF('商品マスタ'!$B$6:$B$1005,$W4889)=0),COUNTIFS('①在庫を貼る'!$V$6:$V$10005,$V4889,'①在庫を貼る'!$W$6:$W$10005,$W4889)+COUNTIFS('月1回_1ヶ月前の在庫'!$V$6:$V$10005,$V4889,'月1回_1ヶ月前の在庫'!$W$6:$W$10005,$W4889)&gt;0),N(U4888),N(U4888)+1))</f>
        <v/>
      </c>
      <c r="V4889" s="19">
        <f>IF($B4889="","",TEXT($B4889,"0000"))</f>
        <v/>
      </c>
      <c r="W4889" s="19">
        <f>IF($I4889="","",IF(ISNUMBER($I4889),TEXT($I4889,"0"),$I4889))</f>
        <v/>
      </c>
    </row>
    <row r="4890">
      <c r="B4890" s="25" t="n"/>
      <c r="I4890" s="25" t="n"/>
      <c r="U4890" s="19">
        <f>IF($V4890&lt;&gt;'設定'!$C$4,N(U4889),IF(OR(NOT(COUNTIF('商品マスタ'!$B$6:$B$1005,$W4890)=0),COUNTIFS('①在庫を貼る'!$V$6:$V$10005,$V4890,'①在庫を貼る'!$W$6:$W$10005,$W4890)+COUNTIFS('月1回_1ヶ月前の在庫'!$V$6:$V$10005,$V4890,'月1回_1ヶ月前の在庫'!$W$6:$W$10005,$W4890)&gt;0),N(U4889),N(U4889)+1))</f>
        <v/>
      </c>
      <c r="V4890" s="19">
        <f>IF($B4890="","",TEXT($B4890,"0000"))</f>
        <v/>
      </c>
      <c r="W4890" s="19">
        <f>IF($I4890="","",IF(ISNUMBER($I4890),TEXT($I4890,"0"),$I4890))</f>
        <v/>
      </c>
    </row>
    <row r="4891">
      <c r="B4891" s="25" t="n"/>
      <c r="I4891" s="25" t="n"/>
      <c r="U4891" s="19">
        <f>IF($V4891&lt;&gt;'設定'!$C$4,N(U4890),IF(OR(NOT(COUNTIF('商品マスタ'!$B$6:$B$1005,$W4891)=0),COUNTIFS('①在庫を貼る'!$V$6:$V$10005,$V4891,'①在庫を貼る'!$W$6:$W$10005,$W4891)+COUNTIFS('月1回_1ヶ月前の在庫'!$V$6:$V$10005,$V4891,'月1回_1ヶ月前の在庫'!$W$6:$W$10005,$W4891)&gt;0),N(U4890),N(U4890)+1))</f>
        <v/>
      </c>
      <c r="V4891" s="19">
        <f>IF($B4891="","",TEXT($B4891,"0000"))</f>
        <v/>
      </c>
      <c r="W4891" s="19">
        <f>IF($I4891="","",IF(ISNUMBER($I4891),TEXT($I4891,"0"),$I4891))</f>
        <v/>
      </c>
    </row>
    <row r="4892">
      <c r="B4892" s="25" t="n"/>
      <c r="I4892" s="25" t="n"/>
      <c r="U4892" s="19">
        <f>IF($V4892&lt;&gt;'設定'!$C$4,N(U4891),IF(OR(NOT(COUNTIF('商品マスタ'!$B$6:$B$1005,$W4892)=0),COUNTIFS('①在庫を貼る'!$V$6:$V$10005,$V4892,'①在庫を貼る'!$W$6:$W$10005,$W4892)+COUNTIFS('月1回_1ヶ月前の在庫'!$V$6:$V$10005,$V4892,'月1回_1ヶ月前の在庫'!$W$6:$W$10005,$W4892)&gt;0),N(U4891),N(U4891)+1))</f>
        <v/>
      </c>
      <c r="V4892" s="19">
        <f>IF($B4892="","",TEXT($B4892,"0000"))</f>
        <v/>
      </c>
      <c r="W4892" s="19">
        <f>IF($I4892="","",IF(ISNUMBER($I4892),TEXT($I4892,"0"),$I4892))</f>
        <v/>
      </c>
    </row>
    <row r="4893">
      <c r="B4893" s="25" t="n"/>
      <c r="I4893" s="25" t="n"/>
      <c r="U4893" s="19">
        <f>IF($V4893&lt;&gt;'設定'!$C$4,N(U4892),IF(OR(NOT(COUNTIF('商品マスタ'!$B$6:$B$1005,$W4893)=0),COUNTIFS('①在庫を貼る'!$V$6:$V$10005,$V4893,'①在庫を貼る'!$W$6:$W$10005,$W4893)+COUNTIFS('月1回_1ヶ月前の在庫'!$V$6:$V$10005,$V4893,'月1回_1ヶ月前の在庫'!$W$6:$W$10005,$W4893)&gt;0),N(U4892),N(U4892)+1))</f>
        <v/>
      </c>
      <c r="V4893" s="19">
        <f>IF($B4893="","",TEXT($B4893,"0000"))</f>
        <v/>
      </c>
      <c r="W4893" s="19">
        <f>IF($I4893="","",IF(ISNUMBER($I4893),TEXT($I4893,"0"),$I4893))</f>
        <v/>
      </c>
    </row>
    <row r="4894">
      <c r="B4894" s="25" t="n"/>
      <c r="I4894" s="25" t="n"/>
      <c r="U4894" s="19">
        <f>IF($V4894&lt;&gt;'設定'!$C$4,N(U4893),IF(OR(NOT(COUNTIF('商品マスタ'!$B$6:$B$1005,$W4894)=0),COUNTIFS('①在庫を貼る'!$V$6:$V$10005,$V4894,'①在庫を貼る'!$W$6:$W$10005,$W4894)+COUNTIFS('月1回_1ヶ月前の在庫'!$V$6:$V$10005,$V4894,'月1回_1ヶ月前の在庫'!$W$6:$W$10005,$W4894)&gt;0),N(U4893),N(U4893)+1))</f>
        <v/>
      </c>
      <c r="V4894" s="19">
        <f>IF($B4894="","",TEXT($B4894,"0000"))</f>
        <v/>
      </c>
      <c r="W4894" s="19">
        <f>IF($I4894="","",IF(ISNUMBER($I4894),TEXT($I4894,"0"),$I4894))</f>
        <v/>
      </c>
    </row>
    <row r="4895">
      <c r="B4895" s="25" t="n"/>
      <c r="I4895" s="25" t="n"/>
      <c r="U4895" s="19">
        <f>IF($V4895&lt;&gt;'設定'!$C$4,N(U4894),IF(OR(NOT(COUNTIF('商品マスタ'!$B$6:$B$1005,$W4895)=0),COUNTIFS('①在庫を貼る'!$V$6:$V$10005,$V4895,'①在庫を貼る'!$W$6:$W$10005,$W4895)+COUNTIFS('月1回_1ヶ月前の在庫'!$V$6:$V$10005,$V4895,'月1回_1ヶ月前の在庫'!$W$6:$W$10005,$W4895)&gt;0),N(U4894),N(U4894)+1))</f>
        <v/>
      </c>
      <c r="V4895" s="19">
        <f>IF($B4895="","",TEXT($B4895,"0000"))</f>
        <v/>
      </c>
      <c r="W4895" s="19">
        <f>IF($I4895="","",IF(ISNUMBER($I4895),TEXT($I4895,"0"),$I4895))</f>
        <v/>
      </c>
    </row>
    <row r="4896">
      <c r="B4896" s="25" t="n"/>
      <c r="I4896" s="25" t="n"/>
      <c r="U4896" s="19">
        <f>IF($V4896&lt;&gt;'設定'!$C$4,N(U4895),IF(OR(NOT(COUNTIF('商品マスタ'!$B$6:$B$1005,$W4896)=0),COUNTIFS('①在庫を貼る'!$V$6:$V$10005,$V4896,'①在庫を貼る'!$W$6:$W$10005,$W4896)+COUNTIFS('月1回_1ヶ月前の在庫'!$V$6:$V$10005,$V4896,'月1回_1ヶ月前の在庫'!$W$6:$W$10005,$W4896)&gt;0),N(U4895),N(U4895)+1))</f>
        <v/>
      </c>
      <c r="V4896" s="19">
        <f>IF($B4896="","",TEXT($B4896,"0000"))</f>
        <v/>
      </c>
      <c r="W4896" s="19">
        <f>IF($I4896="","",IF(ISNUMBER($I4896),TEXT($I4896,"0"),$I4896))</f>
        <v/>
      </c>
    </row>
    <row r="4897">
      <c r="B4897" s="25" t="n"/>
      <c r="I4897" s="25" t="n"/>
      <c r="U4897" s="19">
        <f>IF($V4897&lt;&gt;'設定'!$C$4,N(U4896),IF(OR(NOT(COUNTIF('商品マスタ'!$B$6:$B$1005,$W4897)=0),COUNTIFS('①在庫を貼る'!$V$6:$V$10005,$V4897,'①在庫を貼る'!$W$6:$W$10005,$W4897)+COUNTIFS('月1回_1ヶ月前の在庫'!$V$6:$V$10005,$V4897,'月1回_1ヶ月前の在庫'!$W$6:$W$10005,$W4897)&gt;0),N(U4896),N(U4896)+1))</f>
        <v/>
      </c>
      <c r="V4897" s="19">
        <f>IF($B4897="","",TEXT($B4897,"0000"))</f>
        <v/>
      </c>
      <c r="W4897" s="19">
        <f>IF($I4897="","",IF(ISNUMBER($I4897),TEXT($I4897,"0"),$I4897))</f>
        <v/>
      </c>
    </row>
    <row r="4898">
      <c r="B4898" s="25" t="n"/>
      <c r="I4898" s="25" t="n"/>
      <c r="U4898" s="19">
        <f>IF($V4898&lt;&gt;'設定'!$C$4,N(U4897),IF(OR(NOT(COUNTIF('商品マスタ'!$B$6:$B$1005,$W4898)=0),COUNTIFS('①在庫を貼る'!$V$6:$V$10005,$V4898,'①在庫を貼る'!$W$6:$W$10005,$W4898)+COUNTIFS('月1回_1ヶ月前の在庫'!$V$6:$V$10005,$V4898,'月1回_1ヶ月前の在庫'!$W$6:$W$10005,$W4898)&gt;0),N(U4897),N(U4897)+1))</f>
        <v/>
      </c>
      <c r="V4898" s="19">
        <f>IF($B4898="","",TEXT($B4898,"0000"))</f>
        <v/>
      </c>
      <c r="W4898" s="19">
        <f>IF($I4898="","",IF(ISNUMBER($I4898),TEXT($I4898,"0"),$I4898))</f>
        <v/>
      </c>
    </row>
    <row r="4899">
      <c r="B4899" s="25" t="n"/>
      <c r="I4899" s="25" t="n"/>
      <c r="U4899" s="19">
        <f>IF($V4899&lt;&gt;'設定'!$C$4,N(U4898),IF(OR(NOT(COUNTIF('商品マスタ'!$B$6:$B$1005,$W4899)=0),COUNTIFS('①在庫を貼る'!$V$6:$V$10005,$V4899,'①在庫を貼る'!$W$6:$W$10005,$W4899)+COUNTIFS('月1回_1ヶ月前の在庫'!$V$6:$V$10005,$V4899,'月1回_1ヶ月前の在庫'!$W$6:$W$10005,$W4899)&gt;0),N(U4898),N(U4898)+1))</f>
        <v/>
      </c>
      <c r="V4899" s="19">
        <f>IF($B4899="","",TEXT($B4899,"0000"))</f>
        <v/>
      </c>
      <c r="W4899" s="19">
        <f>IF($I4899="","",IF(ISNUMBER($I4899),TEXT($I4899,"0"),$I4899))</f>
        <v/>
      </c>
    </row>
    <row r="4900">
      <c r="B4900" s="25" t="n"/>
      <c r="I4900" s="25" t="n"/>
      <c r="U4900" s="19">
        <f>IF($V4900&lt;&gt;'設定'!$C$4,N(U4899),IF(OR(NOT(COUNTIF('商品マスタ'!$B$6:$B$1005,$W4900)=0),COUNTIFS('①在庫を貼る'!$V$6:$V$10005,$V4900,'①在庫を貼る'!$W$6:$W$10005,$W4900)+COUNTIFS('月1回_1ヶ月前の在庫'!$V$6:$V$10005,$V4900,'月1回_1ヶ月前の在庫'!$W$6:$W$10005,$W4900)&gt;0),N(U4899),N(U4899)+1))</f>
        <v/>
      </c>
      <c r="V4900" s="19">
        <f>IF($B4900="","",TEXT($B4900,"0000"))</f>
        <v/>
      </c>
      <c r="W4900" s="19">
        <f>IF($I4900="","",IF(ISNUMBER($I4900),TEXT($I4900,"0"),$I4900))</f>
        <v/>
      </c>
    </row>
    <row r="4901">
      <c r="B4901" s="25" t="n"/>
      <c r="I4901" s="25" t="n"/>
      <c r="U4901" s="19">
        <f>IF($V4901&lt;&gt;'設定'!$C$4,N(U4900),IF(OR(NOT(COUNTIF('商品マスタ'!$B$6:$B$1005,$W4901)=0),COUNTIFS('①在庫を貼る'!$V$6:$V$10005,$V4901,'①在庫を貼る'!$W$6:$W$10005,$W4901)+COUNTIFS('月1回_1ヶ月前の在庫'!$V$6:$V$10005,$V4901,'月1回_1ヶ月前の在庫'!$W$6:$W$10005,$W4901)&gt;0),N(U4900),N(U4900)+1))</f>
        <v/>
      </c>
      <c r="V4901" s="19">
        <f>IF($B4901="","",TEXT($B4901,"0000"))</f>
        <v/>
      </c>
      <c r="W4901" s="19">
        <f>IF($I4901="","",IF(ISNUMBER($I4901),TEXT($I4901,"0"),$I4901))</f>
        <v/>
      </c>
    </row>
    <row r="4902">
      <c r="B4902" s="25" t="n"/>
      <c r="I4902" s="25" t="n"/>
      <c r="U4902" s="19">
        <f>IF($V4902&lt;&gt;'設定'!$C$4,N(U4901),IF(OR(NOT(COUNTIF('商品マスタ'!$B$6:$B$1005,$W4902)=0),COUNTIFS('①在庫を貼る'!$V$6:$V$10005,$V4902,'①在庫を貼る'!$W$6:$W$10005,$W4902)+COUNTIFS('月1回_1ヶ月前の在庫'!$V$6:$V$10005,$V4902,'月1回_1ヶ月前の在庫'!$W$6:$W$10005,$W4902)&gt;0),N(U4901),N(U4901)+1))</f>
        <v/>
      </c>
      <c r="V4902" s="19">
        <f>IF($B4902="","",TEXT($B4902,"0000"))</f>
        <v/>
      </c>
      <c r="W4902" s="19">
        <f>IF($I4902="","",IF(ISNUMBER($I4902),TEXT($I4902,"0"),$I4902))</f>
        <v/>
      </c>
    </row>
    <row r="4903">
      <c r="B4903" s="25" t="n"/>
      <c r="I4903" s="25" t="n"/>
      <c r="U4903" s="19">
        <f>IF($V4903&lt;&gt;'設定'!$C$4,N(U4902),IF(OR(NOT(COUNTIF('商品マスタ'!$B$6:$B$1005,$W4903)=0),COUNTIFS('①在庫を貼る'!$V$6:$V$10005,$V4903,'①在庫を貼る'!$W$6:$W$10005,$W4903)+COUNTIFS('月1回_1ヶ月前の在庫'!$V$6:$V$10005,$V4903,'月1回_1ヶ月前の在庫'!$W$6:$W$10005,$W4903)&gt;0),N(U4902),N(U4902)+1))</f>
        <v/>
      </c>
      <c r="V4903" s="19">
        <f>IF($B4903="","",TEXT($B4903,"0000"))</f>
        <v/>
      </c>
      <c r="W4903" s="19">
        <f>IF($I4903="","",IF(ISNUMBER($I4903),TEXT($I4903,"0"),$I4903))</f>
        <v/>
      </c>
    </row>
    <row r="4904">
      <c r="B4904" s="25" t="n"/>
      <c r="I4904" s="25" t="n"/>
      <c r="U4904" s="19">
        <f>IF($V4904&lt;&gt;'設定'!$C$4,N(U4903),IF(OR(NOT(COUNTIF('商品マスタ'!$B$6:$B$1005,$W4904)=0),COUNTIFS('①在庫を貼る'!$V$6:$V$10005,$V4904,'①在庫を貼る'!$W$6:$W$10005,$W4904)+COUNTIFS('月1回_1ヶ月前の在庫'!$V$6:$V$10005,$V4904,'月1回_1ヶ月前の在庫'!$W$6:$W$10005,$W4904)&gt;0),N(U4903),N(U4903)+1))</f>
        <v/>
      </c>
      <c r="V4904" s="19">
        <f>IF($B4904="","",TEXT($B4904,"0000"))</f>
        <v/>
      </c>
      <c r="W4904" s="19">
        <f>IF($I4904="","",IF(ISNUMBER($I4904),TEXT($I4904,"0"),$I4904))</f>
        <v/>
      </c>
    </row>
    <row r="4905">
      <c r="B4905" s="25" t="n"/>
      <c r="I4905" s="25" t="n"/>
      <c r="U4905" s="19">
        <f>IF($V4905&lt;&gt;'設定'!$C$4,N(U4904),IF(OR(NOT(COUNTIF('商品マスタ'!$B$6:$B$1005,$W4905)=0),COUNTIFS('①在庫を貼る'!$V$6:$V$10005,$V4905,'①在庫を貼る'!$W$6:$W$10005,$W4905)+COUNTIFS('月1回_1ヶ月前の在庫'!$V$6:$V$10005,$V4905,'月1回_1ヶ月前の在庫'!$W$6:$W$10005,$W4905)&gt;0),N(U4904),N(U4904)+1))</f>
        <v/>
      </c>
      <c r="V4905" s="19">
        <f>IF($B4905="","",TEXT($B4905,"0000"))</f>
        <v/>
      </c>
      <c r="W4905" s="19">
        <f>IF($I4905="","",IF(ISNUMBER($I4905),TEXT($I4905,"0"),$I4905))</f>
        <v/>
      </c>
    </row>
    <row r="4906">
      <c r="B4906" s="25" t="n"/>
      <c r="I4906" s="25" t="n"/>
      <c r="U4906" s="19">
        <f>IF($V4906&lt;&gt;'設定'!$C$4,N(U4905),IF(OR(NOT(COUNTIF('商品マスタ'!$B$6:$B$1005,$W4906)=0),COUNTIFS('①在庫を貼る'!$V$6:$V$10005,$V4906,'①在庫を貼る'!$W$6:$W$10005,$W4906)+COUNTIFS('月1回_1ヶ月前の在庫'!$V$6:$V$10005,$V4906,'月1回_1ヶ月前の在庫'!$W$6:$W$10005,$W4906)&gt;0),N(U4905),N(U4905)+1))</f>
        <v/>
      </c>
      <c r="V4906" s="19">
        <f>IF($B4906="","",TEXT($B4906,"0000"))</f>
        <v/>
      </c>
      <c r="W4906" s="19">
        <f>IF($I4906="","",IF(ISNUMBER($I4906),TEXT($I4906,"0"),$I4906))</f>
        <v/>
      </c>
    </row>
    <row r="4907">
      <c r="B4907" s="25" t="n"/>
      <c r="I4907" s="25" t="n"/>
      <c r="U4907" s="19">
        <f>IF($V4907&lt;&gt;'設定'!$C$4,N(U4906),IF(OR(NOT(COUNTIF('商品マスタ'!$B$6:$B$1005,$W4907)=0),COUNTIFS('①在庫を貼る'!$V$6:$V$10005,$V4907,'①在庫を貼る'!$W$6:$W$10005,$W4907)+COUNTIFS('月1回_1ヶ月前の在庫'!$V$6:$V$10005,$V4907,'月1回_1ヶ月前の在庫'!$W$6:$W$10005,$W4907)&gt;0),N(U4906),N(U4906)+1))</f>
        <v/>
      </c>
      <c r="V4907" s="19">
        <f>IF($B4907="","",TEXT($B4907,"0000"))</f>
        <v/>
      </c>
      <c r="W4907" s="19">
        <f>IF($I4907="","",IF(ISNUMBER($I4907),TEXT($I4907,"0"),$I4907))</f>
        <v/>
      </c>
    </row>
    <row r="4908">
      <c r="B4908" s="25" t="n"/>
      <c r="I4908" s="25" t="n"/>
      <c r="U4908" s="19">
        <f>IF($V4908&lt;&gt;'設定'!$C$4,N(U4907),IF(OR(NOT(COUNTIF('商品マスタ'!$B$6:$B$1005,$W4908)=0),COUNTIFS('①在庫を貼る'!$V$6:$V$10005,$V4908,'①在庫を貼る'!$W$6:$W$10005,$W4908)+COUNTIFS('月1回_1ヶ月前の在庫'!$V$6:$V$10005,$V4908,'月1回_1ヶ月前の在庫'!$W$6:$W$10005,$W4908)&gt;0),N(U4907),N(U4907)+1))</f>
        <v/>
      </c>
      <c r="V4908" s="19">
        <f>IF($B4908="","",TEXT($B4908,"0000"))</f>
        <v/>
      </c>
      <c r="W4908" s="19">
        <f>IF($I4908="","",IF(ISNUMBER($I4908),TEXT($I4908,"0"),$I4908))</f>
        <v/>
      </c>
    </row>
    <row r="4909">
      <c r="B4909" s="25" t="n"/>
      <c r="I4909" s="25" t="n"/>
      <c r="U4909" s="19">
        <f>IF($V4909&lt;&gt;'設定'!$C$4,N(U4908),IF(OR(NOT(COUNTIF('商品マスタ'!$B$6:$B$1005,$W4909)=0),COUNTIFS('①在庫を貼る'!$V$6:$V$10005,$V4909,'①在庫を貼る'!$W$6:$W$10005,$W4909)+COUNTIFS('月1回_1ヶ月前の在庫'!$V$6:$V$10005,$V4909,'月1回_1ヶ月前の在庫'!$W$6:$W$10005,$W4909)&gt;0),N(U4908),N(U4908)+1))</f>
        <v/>
      </c>
      <c r="V4909" s="19">
        <f>IF($B4909="","",TEXT($B4909,"0000"))</f>
        <v/>
      </c>
      <c r="W4909" s="19">
        <f>IF($I4909="","",IF(ISNUMBER($I4909),TEXT($I4909,"0"),$I4909))</f>
        <v/>
      </c>
    </row>
    <row r="4910">
      <c r="B4910" s="25" t="n"/>
      <c r="I4910" s="25" t="n"/>
      <c r="U4910" s="19">
        <f>IF($V4910&lt;&gt;'設定'!$C$4,N(U4909),IF(OR(NOT(COUNTIF('商品マスタ'!$B$6:$B$1005,$W4910)=0),COUNTIFS('①在庫を貼る'!$V$6:$V$10005,$V4910,'①在庫を貼る'!$W$6:$W$10005,$W4910)+COUNTIFS('月1回_1ヶ月前の在庫'!$V$6:$V$10005,$V4910,'月1回_1ヶ月前の在庫'!$W$6:$W$10005,$W4910)&gt;0),N(U4909),N(U4909)+1))</f>
        <v/>
      </c>
      <c r="V4910" s="19">
        <f>IF($B4910="","",TEXT($B4910,"0000"))</f>
        <v/>
      </c>
      <c r="W4910" s="19">
        <f>IF($I4910="","",IF(ISNUMBER($I4910),TEXT($I4910,"0"),$I4910))</f>
        <v/>
      </c>
    </row>
    <row r="4911">
      <c r="B4911" s="25" t="n"/>
      <c r="I4911" s="25" t="n"/>
      <c r="U4911" s="19">
        <f>IF($V4911&lt;&gt;'設定'!$C$4,N(U4910),IF(OR(NOT(COUNTIF('商品マスタ'!$B$6:$B$1005,$W4911)=0),COUNTIFS('①在庫を貼る'!$V$6:$V$10005,$V4911,'①在庫を貼る'!$W$6:$W$10005,$W4911)+COUNTIFS('月1回_1ヶ月前の在庫'!$V$6:$V$10005,$V4911,'月1回_1ヶ月前の在庫'!$W$6:$W$10005,$W4911)&gt;0),N(U4910),N(U4910)+1))</f>
        <v/>
      </c>
      <c r="V4911" s="19">
        <f>IF($B4911="","",TEXT($B4911,"0000"))</f>
        <v/>
      </c>
      <c r="W4911" s="19">
        <f>IF($I4911="","",IF(ISNUMBER($I4911),TEXT($I4911,"0"),$I4911))</f>
        <v/>
      </c>
    </row>
    <row r="4912">
      <c r="B4912" s="25" t="n"/>
      <c r="I4912" s="25" t="n"/>
      <c r="U4912" s="19">
        <f>IF($V4912&lt;&gt;'設定'!$C$4,N(U4911),IF(OR(NOT(COUNTIF('商品マスタ'!$B$6:$B$1005,$W4912)=0),COUNTIFS('①在庫を貼る'!$V$6:$V$10005,$V4912,'①在庫を貼る'!$W$6:$W$10005,$W4912)+COUNTIFS('月1回_1ヶ月前の在庫'!$V$6:$V$10005,$V4912,'月1回_1ヶ月前の在庫'!$W$6:$W$10005,$W4912)&gt;0),N(U4911),N(U4911)+1))</f>
        <v/>
      </c>
      <c r="V4912" s="19">
        <f>IF($B4912="","",TEXT($B4912,"0000"))</f>
        <v/>
      </c>
      <c r="W4912" s="19">
        <f>IF($I4912="","",IF(ISNUMBER($I4912),TEXT($I4912,"0"),$I4912))</f>
        <v/>
      </c>
    </row>
    <row r="4913">
      <c r="B4913" s="25" t="n"/>
      <c r="I4913" s="25" t="n"/>
      <c r="U4913" s="19">
        <f>IF($V4913&lt;&gt;'設定'!$C$4,N(U4912),IF(OR(NOT(COUNTIF('商品マスタ'!$B$6:$B$1005,$W4913)=0),COUNTIFS('①在庫を貼る'!$V$6:$V$10005,$V4913,'①在庫を貼る'!$W$6:$W$10005,$W4913)+COUNTIFS('月1回_1ヶ月前の在庫'!$V$6:$V$10005,$V4913,'月1回_1ヶ月前の在庫'!$W$6:$W$10005,$W4913)&gt;0),N(U4912),N(U4912)+1))</f>
        <v/>
      </c>
      <c r="V4913" s="19">
        <f>IF($B4913="","",TEXT($B4913,"0000"))</f>
        <v/>
      </c>
      <c r="W4913" s="19">
        <f>IF($I4913="","",IF(ISNUMBER($I4913),TEXT($I4913,"0"),$I4913))</f>
        <v/>
      </c>
    </row>
    <row r="4914">
      <c r="B4914" s="25" t="n"/>
      <c r="I4914" s="25" t="n"/>
      <c r="U4914" s="19">
        <f>IF($V4914&lt;&gt;'設定'!$C$4,N(U4913),IF(OR(NOT(COUNTIF('商品マスタ'!$B$6:$B$1005,$W4914)=0),COUNTIFS('①在庫を貼る'!$V$6:$V$10005,$V4914,'①在庫を貼る'!$W$6:$W$10005,$W4914)+COUNTIFS('月1回_1ヶ月前の在庫'!$V$6:$V$10005,$V4914,'月1回_1ヶ月前の在庫'!$W$6:$W$10005,$W4914)&gt;0),N(U4913),N(U4913)+1))</f>
        <v/>
      </c>
      <c r="V4914" s="19">
        <f>IF($B4914="","",TEXT($B4914,"0000"))</f>
        <v/>
      </c>
      <c r="W4914" s="19">
        <f>IF($I4914="","",IF(ISNUMBER($I4914),TEXT($I4914,"0"),$I4914))</f>
        <v/>
      </c>
    </row>
    <row r="4915">
      <c r="B4915" s="25" t="n"/>
      <c r="I4915" s="25" t="n"/>
      <c r="U4915" s="19">
        <f>IF($V4915&lt;&gt;'設定'!$C$4,N(U4914),IF(OR(NOT(COUNTIF('商品マスタ'!$B$6:$B$1005,$W4915)=0),COUNTIFS('①在庫を貼る'!$V$6:$V$10005,$V4915,'①在庫を貼る'!$W$6:$W$10005,$W4915)+COUNTIFS('月1回_1ヶ月前の在庫'!$V$6:$V$10005,$V4915,'月1回_1ヶ月前の在庫'!$W$6:$W$10005,$W4915)&gt;0),N(U4914),N(U4914)+1))</f>
        <v/>
      </c>
      <c r="V4915" s="19">
        <f>IF($B4915="","",TEXT($B4915,"0000"))</f>
        <v/>
      </c>
      <c r="W4915" s="19">
        <f>IF($I4915="","",IF(ISNUMBER($I4915),TEXT($I4915,"0"),$I4915))</f>
        <v/>
      </c>
    </row>
    <row r="4916">
      <c r="B4916" s="25" t="n"/>
      <c r="I4916" s="25" t="n"/>
      <c r="U4916" s="19">
        <f>IF($V4916&lt;&gt;'設定'!$C$4,N(U4915),IF(OR(NOT(COUNTIF('商品マスタ'!$B$6:$B$1005,$W4916)=0),COUNTIFS('①在庫を貼る'!$V$6:$V$10005,$V4916,'①在庫を貼る'!$W$6:$W$10005,$W4916)+COUNTIFS('月1回_1ヶ月前の在庫'!$V$6:$V$10005,$V4916,'月1回_1ヶ月前の在庫'!$W$6:$W$10005,$W4916)&gt;0),N(U4915),N(U4915)+1))</f>
        <v/>
      </c>
      <c r="V4916" s="19">
        <f>IF($B4916="","",TEXT($B4916,"0000"))</f>
        <v/>
      </c>
      <c r="W4916" s="19">
        <f>IF($I4916="","",IF(ISNUMBER($I4916),TEXT($I4916,"0"),$I4916))</f>
        <v/>
      </c>
    </row>
    <row r="4917">
      <c r="B4917" s="25" t="n"/>
      <c r="I4917" s="25" t="n"/>
      <c r="U4917" s="19">
        <f>IF($V4917&lt;&gt;'設定'!$C$4,N(U4916),IF(OR(NOT(COUNTIF('商品マスタ'!$B$6:$B$1005,$W4917)=0),COUNTIFS('①在庫を貼る'!$V$6:$V$10005,$V4917,'①在庫を貼る'!$W$6:$W$10005,$W4917)+COUNTIFS('月1回_1ヶ月前の在庫'!$V$6:$V$10005,$V4917,'月1回_1ヶ月前の在庫'!$W$6:$W$10005,$W4917)&gt;0),N(U4916),N(U4916)+1))</f>
        <v/>
      </c>
      <c r="V4917" s="19">
        <f>IF($B4917="","",TEXT($B4917,"0000"))</f>
        <v/>
      </c>
      <c r="W4917" s="19">
        <f>IF($I4917="","",IF(ISNUMBER($I4917),TEXT($I4917,"0"),$I4917))</f>
        <v/>
      </c>
    </row>
    <row r="4918">
      <c r="B4918" s="25" t="n"/>
      <c r="I4918" s="25" t="n"/>
      <c r="U4918" s="19">
        <f>IF($V4918&lt;&gt;'設定'!$C$4,N(U4917),IF(OR(NOT(COUNTIF('商品マスタ'!$B$6:$B$1005,$W4918)=0),COUNTIFS('①在庫を貼る'!$V$6:$V$10005,$V4918,'①在庫を貼る'!$W$6:$W$10005,$W4918)+COUNTIFS('月1回_1ヶ月前の在庫'!$V$6:$V$10005,$V4918,'月1回_1ヶ月前の在庫'!$W$6:$W$10005,$W4918)&gt;0),N(U4917),N(U4917)+1))</f>
        <v/>
      </c>
      <c r="V4918" s="19">
        <f>IF($B4918="","",TEXT($B4918,"0000"))</f>
        <v/>
      </c>
      <c r="W4918" s="19">
        <f>IF($I4918="","",IF(ISNUMBER($I4918),TEXT($I4918,"0"),$I4918))</f>
        <v/>
      </c>
    </row>
    <row r="4919">
      <c r="B4919" s="25" t="n"/>
      <c r="I4919" s="25" t="n"/>
      <c r="U4919" s="19">
        <f>IF($V4919&lt;&gt;'設定'!$C$4,N(U4918),IF(OR(NOT(COUNTIF('商品マスタ'!$B$6:$B$1005,$W4919)=0),COUNTIFS('①在庫を貼る'!$V$6:$V$10005,$V4919,'①在庫を貼る'!$W$6:$W$10005,$W4919)+COUNTIFS('月1回_1ヶ月前の在庫'!$V$6:$V$10005,$V4919,'月1回_1ヶ月前の在庫'!$W$6:$W$10005,$W4919)&gt;0),N(U4918),N(U4918)+1))</f>
        <v/>
      </c>
      <c r="V4919" s="19">
        <f>IF($B4919="","",TEXT($B4919,"0000"))</f>
        <v/>
      </c>
      <c r="W4919" s="19">
        <f>IF($I4919="","",IF(ISNUMBER($I4919),TEXT($I4919,"0"),$I4919))</f>
        <v/>
      </c>
    </row>
    <row r="4920">
      <c r="B4920" s="25" t="n"/>
      <c r="I4920" s="25" t="n"/>
      <c r="U4920" s="19">
        <f>IF($V4920&lt;&gt;'設定'!$C$4,N(U4919),IF(OR(NOT(COUNTIF('商品マスタ'!$B$6:$B$1005,$W4920)=0),COUNTIFS('①在庫を貼る'!$V$6:$V$10005,$V4920,'①在庫を貼る'!$W$6:$W$10005,$W4920)+COUNTIFS('月1回_1ヶ月前の在庫'!$V$6:$V$10005,$V4920,'月1回_1ヶ月前の在庫'!$W$6:$W$10005,$W4920)&gt;0),N(U4919),N(U4919)+1))</f>
        <v/>
      </c>
      <c r="V4920" s="19">
        <f>IF($B4920="","",TEXT($B4920,"0000"))</f>
        <v/>
      </c>
      <c r="W4920" s="19">
        <f>IF($I4920="","",IF(ISNUMBER($I4920),TEXT($I4920,"0"),$I4920))</f>
        <v/>
      </c>
    </row>
    <row r="4921">
      <c r="B4921" s="25" t="n"/>
      <c r="I4921" s="25" t="n"/>
      <c r="U4921" s="19">
        <f>IF($V4921&lt;&gt;'設定'!$C$4,N(U4920),IF(OR(NOT(COUNTIF('商品マスタ'!$B$6:$B$1005,$W4921)=0),COUNTIFS('①在庫を貼る'!$V$6:$V$10005,$V4921,'①在庫を貼る'!$W$6:$W$10005,$W4921)+COUNTIFS('月1回_1ヶ月前の在庫'!$V$6:$V$10005,$V4921,'月1回_1ヶ月前の在庫'!$W$6:$W$10005,$W4921)&gt;0),N(U4920),N(U4920)+1))</f>
        <v/>
      </c>
      <c r="V4921" s="19">
        <f>IF($B4921="","",TEXT($B4921,"0000"))</f>
        <v/>
      </c>
      <c r="W4921" s="19">
        <f>IF($I4921="","",IF(ISNUMBER($I4921),TEXT($I4921,"0"),$I4921))</f>
        <v/>
      </c>
    </row>
    <row r="4922">
      <c r="B4922" s="25" t="n"/>
      <c r="I4922" s="25" t="n"/>
      <c r="U4922" s="19">
        <f>IF($V4922&lt;&gt;'設定'!$C$4,N(U4921),IF(OR(NOT(COUNTIF('商品マスタ'!$B$6:$B$1005,$W4922)=0),COUNTIFS('①在庫を貼る'!$V$6:$V$10005,$V4922,'①在庫を貼る'!$W$6:$W$10005,$W4922)+COUNTIFS('月1回_1ヶ月前の在庫'!$V$6:$V$10005,$V4922,'月1回_1ヶ月前の在庫'!$W$6:$W$10005,$W4922)&gt;0),N(U4921),N(U4921)+1))</f>
        <v/>
      </c>
      <c r="V4922" s="19">
        <f>IF($B4922="","",TEXT($B4922,"0000"))</f>
        <v/>
      </c>
      <c r="W4922" s="19">
        <f>IF($I4922="","",IF(ISNUMBER($I4922),TEXT($I4922,"0"),$I4922))</f>
        <v/>
      </c>
    </row>
    <row r="4923">
      <c r="B4923" s="25" t="n"/>
      <c r="I4923" s="25" t="n"/>
      <c r="U4923" s="19">
        <f>IF($V4923&lt;&gt;'設定'!$C$4,N(U4922),IF(OR(NOT(COUNTIF('商品マスタ'!$B$6:$B$1005,$W4923)=0),COUNTIFS('①在庫を貼る'!$V$6:$V$10005,$V4923,'①在庫を貼る'!$W$6:$W$10005,$W4923)+COUNTIFS('月1回_1ヶ月前の在庫'!$V$6:$V$10005,$V4923,'月1回_1ヶ月前の在庫'!$W$6:$W$10005,$W4923)&gt;0),N(U4922),N(U4922)+1))</f>
        <v/>
      </c>
      <c r="V4923" s="19">
        <f>IF($B4923="","",TEXT($B4923,"0000"))</f>
        <v/>
      </c>
      <c r="W4923" s="19">
        <f>IF($I4923="","",IF(ISNUMBER($I4923),TEXT($I4923,"0"),$I4923))</f>
        <v/>
      </c>
    </row>
    <row r="4924">
      <c r="B4924" s="25" t="n"/>
      <c r="I4924" s="25" t="n"/>
      <c r="U4924" s="19">
        <f>IF($V4924&lt;&gt;'設定'!$C$4,N(U4923),IF(OR(NOT(COUNTIF('商品マスタ'!$B$6:$B$1005,$W4924)=0),COUNTIFS('①在庫を貼る'!$V$6:$V$10005,$V4924,'①在庫を貼る'!$W$6:$W$10005,$W4924)+COUNTIFS('月1回_1ヶ月前の在庫'!$V$6:$V$10005,$V4924,'月1回_1ヶ月前の在庫'!$W$6:$W$10005,$W4924)&gt;0),N(U4923),N(U4923)+1))</f>
        <v/>
      </c>
      <c r="V4924" s="19">
        <f>IF($B4924="","",TEXT($B4924,"0000"))</f>
        <v/>
      </c>
      <c r="W4924" s="19">
        <f>IF($I4924="","",IF(ISNUMBER($I4924),TEXT($I4924,"0"),$I4924))</f>
        <v/>
      </c>
    </row>
    <row r="4925">
      <c r="B4925" s="25" t="n"/>
      <c r="I4925" s="25" t="n"/>
      <c r="U4925" s="19">
        <f>IF($V4925&lt;&gt;'設定'!$C$4,N(U4924),IF(OR(NOT(COUNTIF('商品マスタ'!$B$6:$B$1005,$W4925)=0),COUNTIFS('①在庫を貼る'!$V$6:$V$10005,$V4925,'①在庫を貼る'!$W$6:$W$10005,$W4925)+COUNTIFS('月1回_1ヶ月前の在庫'!$V$6:$V$10005,$V4925,'月1回_1ヶ月前の在庫'!$W$6:$W$10005,$W4925)&gt;0),N(U4924),N(U4924)+1))</f>
        <v/>
      </c>
      <c r="V4925" s="19">
        <f>IF($B4925="","",TEXT($B4925,"0000"))</f>
        <v/>
      </c>
      <c r="W4925" s="19">
        <f>IF($I4925="","",IF(ISNUMBER($I4925),TEXT($I4925,"0"),$I4925))</f>
        <v/>
      </c>
    </row>
    <row r="4926">
      <c r="B4926" s="25" t="n"/>
      <c r="I4926" s="25" t="n"/>
      <c r="U4926" s="19">
        <f>IF($V4926&lt;&gt;'設定'!$C$4,N(U4925),IF(OR(NOT(COUNTIF('商品マスタ'!$B$6:$B$1005,$W4926)=0),COUNTIFS('①在庫を貼る'!$V$6:$V$10005,$V4926,'①在庫を貼る'!$W$6:$W$10005,$W4926)+COUNTIFS('月1回_1ヶ月前の在庫'!$V$6:$V$10005,$V4926,'月1回_1ヶ月前の在庫'!$W$6:$W$10005,$W4926)&gt;0),N(U4925),N(U4925)+1))</f>
        <v/>
      </c>
      <c r="V4926" s="19">
        <f>IF($B4926="","",TEXT($B4926,"0000"))</f>
        <v/>
      </c>
      <c r="W4926" s="19">
        <f>IF($I4926="","",IF(ISNUMBER($I4926),TEXT($I4926,"0"),$I4926))</f>
        <v/>
      </c>
    </row>
    <row r="4927">
      <c r="B4927" s="25" t="n"/>
      <c r="I4927" s="25" t="n"/>
      <c r="U4927" s="19">
        <f>IF($V4927&lt;&gt;'設定'!$C$4,N(U4926),IF(OR(NOT(COUNTIF('商品マスタ'!$B$6:$B$1005,$W4927)=0),COUNTIFS('①在庫を貼る'!$V$6:$V$10005,$V4927,'①在庫を貼る'!$W$6:$W$10005,$W4927)+COUNTIFS('月1回_1ヶ月前の在庫'!$V$6:$V$10005,$V4927,'月1回_1ヶ月前の在庫'!$W$6:$W$10005,$W4927)&gt;0),N(U4926),N(U4926)+1))</f>
        <v/>
      </c>
      <c r="V4927" s="19">
        <f>IF($B4927="","",TEXT($B4927,"0000"))</f>
        <v/>
      </c>
      <c r="W4927" s="19">
        <f>IF($I4927="","",IF(ISNUMBER($I4927),TEXT($I4927,"0"),$I4927))</f>
        <v/>
      </c>
    </row>
    <row r="4928">
      <c r="B4928" s="25" t="n"/>
      <c r="I4928" s="25" t="n"/>
      <c r="U4928" s="19">
        <f>IF($V4928&lt;&gt;'設定'!$C$4,N(U4927),IF(OR(NOT(COUNTIF('商品マスタ'!$B$6:$B$1005,$W4928)=0),COUNTIFS('①在庫を貼る'!$V$6:$V$10005,$V4928,'①在庫を貼る'!$W$6:$W$10005,$W4928)+COUNTIFS('月1回_1ヶ月前の在庫'!$V$6:$V$10005,$V4928,'月1回_1ヶ月前の在庫'!$W$6:$W$10005,$W4928)&gt;0),N(U4927),N(U4927)+1))</f>
        <v/>
      </c>
      <c r="V4928" s="19">
        <f>IF($B4928="","",TEXT($B4928,"0000"))</f>
        <v/>
      </c>
      <c r="W4928" s="19">
        <f>IF($I4928="","",IF(ISNUMBER($I4928),TEXT($I4928,"0"),$I4928))</f>
        <v/>
      </c>
    </row>
    <row r="4929">
      <c r="B4929" s="25" t="n"/>
      <c r="I4929" s="25" t="n"/>
      <c r="U4929" s="19">
        <f>IF($V4929&lt;&gt;'設定'!$C$4,N(U4928),IF(OR(NOT(COUNTIF('商品マスタ'!$B$6:$B$1005,$W4929)=0),COUNTIFS('①在庫を貼る'!$V$6:$V$10005,$V4929,'①在庫を貼る'!$W$6:$W$10005,$W4929)+COUNTIFS('月1回_1ヶ月前の在庫'!$V$6:$V$10005,$V4929,'月1回_1ヶ月前の在庫'!$W$6:$W$10005,$W4929)&gt;0),N(U4928),N(U4928)+1))</f>
        <v/>
      </c>
      <c r="V4929" s="19">
        <f>IF($B4929="","",TEXT($B4929,"0000"))</f>
        <v/>
      </c>
      <c r="W4929" s="19">
        <f>IF($I4929="","",IF(ISNUMBER($I4929),TEXT($I4929,"0"),$I4929))</f>
        <v/>
      </c>
    </row>
    <row r="4930">
      <c r="B4930" s="25" t="n"/>
      <c r="I4930" s="25" t="n"/>
      <c r="U4930" s="19">
        <f>IF($V4930&lt;&gt;'設定'!$C$4,N(U4929),IF(OR(NOT(COUNTIF('商品マスタ'!$B$6:$B$1005,$W4930)=0),COUNTIFS('①在庫を貼る'!$V$6:$V$10005,$V4930,'①在庫を貼る'!$W$6:$W$10005,$W4930)+COUNTIFS('月1回_1ヶ月前の在庫'!$V$6:$V$10005,$V4930,'月1回_1ヶ月前の在庫'!$W$6:$W$10005,$W4930)&gt;0),N(U4929),N(U4929)+1))</f>
        <v/>
      </c>
      <c r="V4930" s="19">
        <f>IF($B4930="","",TEXT($B4930,"0000"))</f>
        <v/>
      </c>
      <c r="W4930" s="19">
        <f>IF($I4930="","",IF(ISNUMBER($I4930),TEXT($I4930,"0"),$I4930))</f>
        <v/>
      </c>
    </row>
    <row r="4931">
      <c r="B4931" s="25" t="n"/>
      <c r="I4931" s="25" t="n"/>
      <c r="U4931" s="19">
        <f>IF($V4931&lt;&gt;'設定'!$C$4,N(U4930),IF(OR(NOT(COUNTIF('商品マスタ'!$B$6:$B$1005,$W4931)=0),COUNTIFS('①在庫を貼る'!$V$6:$V$10005,$V4931,'①在庫を貼る'!$W$6:$W$10005,$W4931)+COUNTIFS('月1回_1ヶ月前の在庫'!$V$6:$V$10005,$V4931,'月1回_1ヶ月前の在庫'!$W$6:$W$10005,$W4931)&gt;0),N(U4930),N(U4930)+1))</f>
        <v/>
      </c>
      <c r="V4931" s="19">
        <f>IF($B4931="","",TEXT($B4931,"0000"))</f>
        <v/>
      </c>
      <c r="W4931" s="19">
        <f>IF($I4931="","",IF(ISNUMBER($I4931),TEXT($I4931,"0"),$I4931))</f>
        <v/>
      </c>
    </row>
    <row r="4932">
      <c r="B4932" s="25" t="n"/>
      <c r="I4932" s="25" t="n"/>
      <c r="U4932" s="19">
        <f>IF($V4932&lt;&gt;'設定'!$C$4,N(U4931),IF(OR(NOT(COUNTIF('商品マスタ'!$B$6:$B$1005,$W4932)=0),COUNTIFS('①在庫を貼る'!$V$6:$V$10005,$V4932,'①在庫を貼る'!$W$6:$W$10005,$W4932)+COUNTIFS('月1回_1ヶ月前の在庫'!$V$6:$V$10005,$V4932,'月1回_1ヶ月前の在庫'!$W$6:$W$10005,$W4932)&gt;0),N(U4931),N(U4931)+1))</f>
        <v/>
      </c>
      <c r="V4932" s="19">
        <f>IF($B4932="","",TEXT($B4932,"0000"))</f>
        <v/>
      </c>
      <c r="W4932" s="19">
        <f>IF($I4932="","",IF(ISNUMBER($I4932),TEXT($I4932,"0"),$I4932))</f>
        <v/>
      </c>
    </row>
    <row r="4933">
      <c r="B4933" s="25" t="n"/>
      <c r="I4933" s="25" t="n"/>
      <c r="U4933" s="19">
        <f>IF($V4933&lt;&gt;'設定'!$C$4,N(U4932),IF(OR(NOT(COUNTIF('商品マスタ'!$B$6:$B$1005,$W4933)=0),COUNTIFS('①在庫を貼る'!$V$6:$V$10005,$V4933,'①在庫を貼る'!$W$6:$W$10005,$W4933)+COUNTIFS('月1回_1ヶ月前の在庫'!$V$6:$V$10005,$V4933,'月1回_1ヶ月前の在庫'!$W$6:$W$10005,$W4933)&gt;0),N(U4932),N(U4932)+1))</f>
        <v/>
      </c>
      <c r="V4933" s="19">
        <f>IF($B4933="","",TEXT($B4933,"0000"))</f>
        <v/>
      </c>
      <c r="W4933" s="19">
        <f>IF($I4933="","",IF(ISNUMBER($I4933),TEXT($I4933,"0"),$I4933))</f>
        <v/>
      </c>
    </row>
    <row r="4934">
      <c r="B4934" s="25" t="n"/>
      <c r="I4934" s="25" t="n"/>
      <c r="U4934" s="19">
        <f>IF($V4934&lt;&gt;'設定'!$C$4,N(U4933),IF(OR(NOT(COUNTIF('商品マスタ'!$B$6:$B$1005,$W4934)=0),COUNTIFS('①在庫を貼る'!$V$6:$V$10005,$V4934,'①在庫を貼る'!$W$6:$W$10005,$W4934)+COUNTIFS('月1回_1ヶ月前の在庫'!$V$6:$V$10005,$V4934,'月1回_1ヶ月前の在庫'!$W$6:$W$10005,$W4934)&gt;0),N(U4933),N(U4933)+1))</f>
        <v/>
      </c>
      <c r="V4934" s="19">
        <f>IF($B4934="","",TEXT($B4934,"0000"))</f>
        <v/>
      </c>
      <c r="W4934" s="19">
        <f>IF($I4934="","",IF(ISNUMBER($I4934),TEXT($I4934,"0"),$I4934))</f>
        <v/>
      </c>
    </row>
    <row r="4935">
      <c r="B4935" s="25" t="n"/>
      <c r="I4935" s="25" t="n"/>
      <c r="U4935" s="19">
        <f>IF($V4935&lt;&gt;'設定'!$C$4,N(U4934),IF(OR(NOT(COUNTIF('商品マスタ'!$B$6:$B$1005,$W4935)=0),COUNTIFS('①在庫を貼る'!$V$6:$V$10005,$V4935,'①在庫を貼る'!$W$6:$W$10005,$W4935)+COUNTIFS('月1回_1ヶ月前の在庫'!$V$6:$V$10005,$V4935,'月1回_1ヶ月前の在庫'!$W$6:$W$10005,$W4935)&gt;0),N(U4934),N(U4934)+1))</f>
        <v/>
      </c>
      <c r="V4935" s="19">
        <f>IF($B4935="","",TEXT($B4935,"0000"))</f>
        <v/>
      </c>
      <c r="W4935" s="19">
        <f>IF($I4935="","",IF(ISNUMBER($I4935),TEXT($I4935,"0"),$I4935))</f>
        <v/>
      </c>
    </row>
    <row r="4936">
      <c r="B4936" s="25" t="n"/>
      <c r="I4936" s="25" t="n"/>
      <c r="U4936" s="19">
        <f>IF($V4936&lt;&gt;'設定'!$C$4,N(U4935),IF(OR(NOT(COUNTIF('商品マスタ'!$B$6:$B$1005,$W4936)=0),COUNTIFS('①在庫を貼る'!$V$6:$V$10005,$V4936,'①在庫を貼る'!$W$6:$W$10005,$W4936)+COUNTIFS('月1回_1ヶ月前の在庫'!$V$6:$V$10005,$V4936,'月1回_1ヶ月前の在庫'!$W$6:$W$10005,$W4936)&gt;0),N(U4935),N(U4935)+1))</f>
        <v/>
      </c>
      <c r="V4936" s="19">
        <f>IF($B4936="","",TEXT($B4936,"0000"))</f>
        <v/>
      </c>
      <c r="W4936" s="19">
        <f>IF($I4936="","",IF(ISNUMBER($I4936),TEXT($I4936,"0"),$I4936))</f>
        <v/>
      </c>
    </row>
    <row r="4937">
      <c r="B4937" s="25" t="n"/>
      <c r="I4937" s="25" t="n"/>
      <c r="U4937" s="19">
        <f>IF($V4937&lt;&gt;'設定'!$C$4,N(U4936),IF(OR(NOT(COUNTIF('商品マスタ'!$B$6:$B$1005,$W4937)=0),COUNTIFS('①在庫を貼る'!$V$6:$V$10005,$V4937,'①在庫を貼る'!$W$6:$W$10005,$W4937)+COUNTIFS('月1回_1ヶ月前の在庫'!$V$6:$V$10005,$V4937,'月1回_1ヶ月前の在庫'!$W$6:$W$10005,$W4937)&gt;0),N(U4936),N(U4936)+1))</f>
        <v/>
      </c>
      <c r="V4937" s="19">
        <f>IF($B4937="","",TEXT($B4937,"0000"))</f>
        <v/>
      </c>
      <c r="W4937" s="19">
        <f>IF($I4937="","",IF(ISNUMBER($I4937),TEXT($I4937,"0"),$I4937))</f>
        <v/>
      </c>
    </row>
    <row r="4938">
      <c r="B4938" s="25" t="n"/>
      <c r="I4938" s="25" t="n"/>
      <c r="U4938" s="19">
        <f>IF($V4938&lt;&gt;'設定'!$C$4,N(U4937),IF(OR(NOT(COUNTIF('商品マスタ'!$B$6:$B$1005,$W4938)=0),COUNTIFS('①在庫を貼る'!$V$6:$V$10005,$V4938,'①在庫を貼る'!$W$6:$W$10005,$W4938)+COUNTIFS('月1回_1ヶ月前の在庫'!$V$6:$V$10005,$V4938,'月1回_1ヶ月前の在庫'!$W$6:$W$10005,$W4938)&gt;0),N(U4937),N(U4937)+1))</f>
        <v/>
      </c>
      <c r="V4938" s="19">
        <f>IF($B4938="","",TEXT($B4938,"0000"))</f>
        <v/>
      </c>
      <c r="W4938" s="19">
        <f>IF($I4938="","",IF(ISNUMBER($I4938),TEXT($I4938,"0"),$I4938))</f>
        <v/>
      </c>
    </row>
    <row r="4939">
      <c r="B4939" s="25" t="n"/>
      <c r="I4939" s="25" t="n"/>
      <c r="U4939" s="19">
        <f>IF($V4939&lt;&gt;'設定'!$C$4,N(U4938),IF(OR(NOT(COUNTIF('商品マスタ'!$B$6:$B$1005,$W4939)=0),COUNTIFS('①在庫を貼る'!$V$6:$V$10005,$V4939,'①在庫を貼る'!$W$6:$W$10005,$W4939)+COUNTIFS('月1回_1ヶ月前の在庫'!$V$6:$V$10005,$V4939,'月1回_1ヶ月前の在庫'!$W$6:$W$10005,$W4939)&gt;0),N(U4938),N(U4938)+1))</f>
        <v/>
      </c>
      <c r="V4939" s="19">
        <f>IF($B4939="","",TEXT($B4939,"0000"))</f>
        <v/>
      </c>
      <c r="W4939" s="19">
        <f>IF($I4939="","",IF(ISNUMBER($I4939),TEXT($I4939,"0"),$I4939))</f>
        <v/>
      </c>
    </row>
    <row r="4940">
      <c r="B4940" s="25" t="n"/>
      <c r="I4940" s="25" t="n"/>
      <c r="U4940" s="19">
        <f>IF($V4940&lt;&gt;'設定'!$C$4,N(U4939),IF(OR(NOT(COUNTIF('商品マスタ'!$B$6:$B$1005,$W4940)=0),COUNTIFS('①在庫を貼る'!$V$6:$V$10005,$V4940,'①在庫を貼る'!$W$6:$W$10005,$W4940)+COUNTIFS('月1回_1ヶ月前の在庫'!$V$6:$V$10005,$V4940,'月1回_1ヶ月前の在庫'!$W$6:$W$10005,$W4940)&gt;0),N(U4939),N(U4939)+1))</f>
        <v/>
      </c>
      <c r="V4940" s="19">
        <f>IF($B4940="","",TEXT($B4940,"0000"))</f>
        <v/>
      </c>
      <c r="W4940" s="19">
        <f>IF($I4940="","",IF(ISNUMBER($I4940),TEXT($I4940,"0"),$I4940))</f>
        <v/>
      </c>
    </row>
    <row r="4941">
      <c r="B4941" s="25" t="n"/>
      <c r="I4941" s="25" t="n"/>
      <c r="U4941" s="19">
        <f>IF($V4941&lt;&gt;'設定'!$C$4,N(U4940),IF(OR(NOT(COUNTIF('商品マスタ'!$B$6:$B$1005,$W4941)=0),COUNTIFS('①在庫を貼る'!$V$6:$V$10005,$V4941,'①在庫を貼る'!$W$6:$W$10005,$W4941)+COUNTIFS('月1回_1ヶ月前の在庫'!$V$6:$V$10005,$V4941,'月1回_1ヶ月前の在庫'!$W$6:$W$10005,$W4941)&gt;0),N(U4940),N(U4940)+1))</f>
        <v/>
      </c>
      <c r="V4941" s="19">
        <f>IF($B4941="","",TEXT($B4941,"0000"))</f>
        <v/>
      </c>
      <c r="W4941" s="19">
        <f>IF($I4941="","",IF(ISNUMBER($I4941),TEXT($I4941,"0"),$I4941))</f>
        <v/>
      </c>
    </row>
    <row r="4942">
      <c r="B4942" s="25" t="n"/>
      <c r="I4942" s="25" t="n"/>
      <c r="U4942" s="19">
        <f>IF($V4942&lt;&gt;'設定'!$C$4,N(U4941),IF(OR(NOT(COUNTIF('商品マスタ'!$B$6:$B$1005,$W4942)=0),COUNTIFS('①在庫を貼る'!$V$6:$V$10005,$V4942,'①在庫を貼る'!$W$6:$W$10005,$W4942)+COUNTIFS('月1回_1ヶ月前の在庫'!$V$6:$V$10005,$V4942,'月1回_1ヶ月前の在庫'!$W$6:$W$10005,$W4942)&gt;0),N(U4941),N(U4941)+1))</f>
        <v/>
      </c>
      <c r="V4942" s="19">
        <f>IF($B4942="","",TEXT($B4942,"0000"))</f>
        <v/>
      </c>
      <c r="W4942" s="19">
        <f>IF($I4942="","",IF(ISNUMBER($I4942),TEXT($I4942,"0"),$I4942))</f>
        <v/>
      </c>
    </row>
    <row r="4943">
      <c r="B4943" s="25" t="n"/>
      <c r="I4943" s="25" t="n"/>
      <c r="U4943" s="19">
        <f>IF($V4943&lt;&gt;'設定'!$C$4,N(U4942),IF(OR(NOT(COUNTIF('商品マスタ'!$B$6:$B$1005,$W4943)=0),COUNTIFS('①在庫を貼る'!$V$6:$V$10005,$V4943,'①在庫を貼る'!$W$6:$W$10005,$W4943)+COUNTIFS('月1回_1ヶ月前の在庫'!$V$6:$V$10005,$V4943,'月1回_1ヶ月前の在庫'!$W$6:$W$10005,$W4943)&gt;0),N(U4942),N(U4942)+1))</f>
        <v/>
      </c>
      <c r="V4943" s="19">
        <f>IF($B4943="","",TEXT($B4943,"0000"))</f>
        <v/>
      </c>
      <c r="W4943" s="19">
        <f>IF($I4943="","",IF(ISNUMBER($I4943),TEXT($I4943,"0"),$I4943))</f>
        <v/>
      </c>
    </row>
    <row r="4944">
      <c r="B4944" s="25" t="n"/>
      <c r="I4944" s="25" t="n"/>
      <c r="U4944" s="19">
        <f>IF($V4944&lt;&gt;'設定'!$C$4,N(U4943),IF(OR(NOT(COUNTIF('商品マスタ'!$B$6:$B$1005,$W4944)=0),COUNTIFS('①在庫を貼る'!$V$6:$V$10005,$V4944,'①在庫を貼る'!$W$6:$W$10005,$W4944)+COUNTIFS('月1回_1ヶ月前の在庫'!$V$6:$V$10005,$V4944,'月1回_1ヶ月前の在庫'!$W$6:$W$10005,$W4944)&gt;0),N(U4943),N(U4943)+1))</f>
        <v/>
      </c>
      <c r="V4944" s="19">
        <f>IF($B4944="","",TEXT($B4944,"0000"))</f>
        <v/>
      </c>
      <c r="W4944" s="19">
        <f>IF($I4944="","",IF(ISNUMBER($I4944),TEXT($I4944,"0"),$I4944))</f>
        <v/>
      </c>
    </row>
    <row r="4945">
      <c r="B4945" s="25" t="n"/>
      <c r="I4945" s="25" t="n"/>
      <c r="U4945" s="19">
        <f>IF($V4945&lt;&gt;'設定'!$C$4,N(U4944),IF(OR(NOT(COUNTIF('商品マスタ'!$B$6:$B$1005,$W4945)=0),COUNTIFS('①在庫を貼る'!$V$6:$V$10005,$V4945,'①在庫を貼る'!$W$6:$W$10005,$W4945)+COUNTIFS('月1回_1ヶ月前の在庫'!$V$6:$V$10005,$V4945,'月1回_1ヶ月前の在庫'!$W$6:$W$10005,$W4945)&gt;0),N(U4944),N(U4944)+1))</f>
        <v/>
      </c>
      <c r="V4945" s="19">
        <f>IF($B4945="","",TEXT($B4945,"0000"))</f>
        <v/>
      </c>
      <c r="W4945" s="19">
        <f>IF($I4945="","",IF(ISNUMBER($I4945),TEXT($I4945,"0"),$I4945))</f>
        <v/>
      </c>
    </row>
    <row r="4946">
      <c r="B4946" s="25" t="n"/>
      <c r="I4946" s="25" t="n"/>
      <c r="U4946" s="19">
        <f>IF($V4946&lt;&gt;'設定'!$C$4,N(U4945),IF(OR(NOT(COUNTIF('商品マスタ'!$B$6:$B$1005,$W4946)=0),COUNTIFS('①在庫を貼る'!$V$6:$V$10005,$V4946,'①在庫を貼る'!$W$6:$W$10005,$W4946)+COUNTIFS('月1回_1ヶ月前の在庫'!$V$6:$V$10005,$V4946,'月1回_1ヶ月前の在庫'!$W$6:$W$10005,$W4946)&gt;0),N(U4945),N(U4945)+1))</f>
        <v/>
      </c>
      <c r="V4946" s="19">
        <f>IF($B4946="","",TEXT($B4946,"0000"))</f>
        <v/>
      </c>
      <c r="W4946" s="19">
        <f>IF($I4946="","",IF(ISNUMBER($I4946),TEXT($I4946,"0"),$I4946))</f>
        <v/>
      </c>
    </row>
    <row r="4947">
      <c r="B4947" s="25" t="n"/>
      <c r="I4947" s="25" t="n"/>
      <c r="U4947" s="19">
        <f>IF($V4947&lt;&gt;'設定'!$C$4,N(U4946),IF(OR(NOT(COUNTIF('商品マスタ'!$B$6:$B$1005,$W4947)=0),COUNTIFS('①在庫を貼る'!$V$6:$V$10005,$V4947,'①在庫を貼る'!$W$6:$W$10005,$W4947)+COUNTIFS('月1回_1ヶ月前の在庫'!$V$6:$V$10005,$V4947,'月1回_1ヶ月前の在庫'!$W$6:$W$10005,$W4947)&gt;0),N(U4946),N(U4946)+1))</f>
        <v/>
      </c>
      <c r="V4947" s="19">
        <f>IF($B4947="","",TEXT($B4947,"0000"))</f>
        <v/>
      </c>
      <c r="W4947" s="19">
        <f>IF($I4947="","",IF(ISNUMBER($I4947),TEXT($I4947,"0"),$I4947))</f>
        <v/>
      </c>
    </row>
    <row r="4948">
      <c r="B4948" s="25" t="n"/>
      <c r="I4948" s="25" t="n"/>
      <c r="U4948" s="19">
        <f>IF($V4948&lt;&gt;'設定'!$C$4,N(U4947),IF(OR(NOT(COUNTIF('商品マスタ'!$B$6:$B$1005,$W4948)=0),COUNTIFS('①在庫を貼る'!$V$6:$V$10005,$V4948,'①在庫を貼る'!$W$6:$W$10005,$W4948)+COUNTIFS('月1回_1ヶ月前の在庫'!$V$6:$V$10005,$V4948,'月1回_1ヶ月前の在庫'!$W$6:$W$10005,$W4948)&gt;0),N(U4947),N(U4947)+1))</f>
        <v/>
      </c>
      <c r="V4948" s="19">
        <f>IF($B4948="","",TEXT($B4948,"0000"))</f>
        <v/>
      </c>
      <c r="W4948" s="19">
        <f>IF($I4948="","",IF(ISNUMBER($I4948),TEXT($I4948,"0"),$I4948))</f>
        <v/>
      </c>
    </row>
    <row r="4949">
      <c r="B4949" s="25" t="n"/>
      <c r="I4949" s="25" t="n"/>
      <c r="U4949" s="19">
        <f>IF($V4949&lt;&gt;'設定'!$C$4,N(U4948),IF(OR(NOT(COUNTIF('商品マスタ'!$B$6:$B$1005,$W4949)=0),COUNTIFS('①在庫を貼る'!$V$6:$V$10005,$V4949,'①在庫を貼る'!$W$6:$W$10005,$W4949)+COUNTIFS('月1回_1ヶ月前の在庫'!$V$6:$V$10005,$V4949,'月1回_1ヶ月前の在庫'!$W$6:$W$10005,$W4949)&gt;0),N(U4948),N(U4948)+1))</f>
        <v/>
      </c>
      <c r="V4949" s="19">
        <f>IF($B4949="","",TEXT($B4949,"0000"))</f>
        <v/>
      </c>
      <c r="W4949" s="19">
        <f>IF($I4949="","",IF(ISNUMBER($I4949),TEXT($I4949,"0"),$I4949))</f>
        <v/>
      </c>
    </row>
    <row r="4950">
      <c r="B4950" s="25" t="n"/>
      <c r="I4950" s="25" t="n"/>
      <c r="U4950" s="19">
        <f>IF($V4950&lt;&gt;'設定'!$C$4,N(U4949),IF(OR(NOT(COUNTIF('商品マスタ'!$B$6:$B$1005,$W4950)=0),COUNTIFS('①在庫を貼る'!$V$6:$V$10005,$V4950,'①在庫を貼る'!$W$6:$W$10005,$W4950)+COUNTIFS('月1回_1ヶ月前の在庫'!$V$6:$V$10005,$V4950,'月1回_1ヶ月前の在庫'!$W$6:$W$10005,$W4950)&gt;0),N(U4949),N(U4949)+1))</f>
        <v/>
      </c>
      <c r="V4950" s="19">
        <f>IF($B4950="","",TEXT($B4950,"0000"))</f>
        <v/>
      </c>
      <c r="W4950" s="19">
        <f>IF($I4950="","",IF(ISNUMBER($I4950),TEXT($I4950,"0"),$I4950))</f>
        <v/>
      </c>
    </row>
    <row r="4951">
      <c r="B4951" s="25" t="n"/>
      <c r="I4951" s="25" t="n"/>
      <c r="U4951" s="19">
        <f>IF($V4951&lt;&gt;'設定'!$C$4,N(U4950),IF(OR(NOT(COUNTIF('商品マスタ'!$B$6:$B$1005,$W4951)=0),COUNTIFS('①在庫を貼る'!$V$6:$V$10005,$V4951,'①在庫を貼る'!$W$6:$W$10005,$W4951)+COUNTIFS('月1回_1ヶ月前の在庫'!$V$6:$V$10005,$V4951,'月1回_1ヶ月前の在庫'!$W$6:$W$10005,$W4951)&gt;0),N(U4950),N(U4950)+1))</f>
        <v/>
      </c>
      <c r="V4951" s="19">
        <f>IF($B4951="","",TEXT($B4951,"0000"))</f>
        <v/>
      </c>
      <c r="W4951" s="19">
        <f>IF($I4951="","",IF(ISNUMBER($I4951),TEXT($I4951,"0"),$I4951))</f>
        <v/>
      </c>
    </row>
    <row r="4952">
      <c r="B4952" s="25" t="n"/>
      <c r="I4952" s="25" t="n"/>
      <c r="U4952" s="19">
        <f>IF($V4952&lt;&gt;'設定'!$C$4,N(U4951),IF(OR(NOT(COUNTIF('商品マスタ'!$B$6:$B$1005,$W4952)=0),COUNTIFS('①在庫を貼る'!$V$6:$V$10005,$V4952,'①在庫を貼る'!$W$6:$W$10005,$W4952)+COUNTIFS('月1回_1ヶ月前の在庫'!$V$6:$V$10005,$V4952,'月1回_1ヶ月前の在庫'!$W$6:$W$10005,$W4952)&gt;0),N(U4951),N(U4951)+1))</f>
        <v/>
      </c>
      <c r="V4952" s="19">
        <f>IF($B4952="","",TEXT($B4952,"0000"))</f>
        <v/>
      </c>
      <c r="W4952" s="19">
        <f>IF($I4952="","",IF(ISNUMBER($I4952),TEXT($I4952,"0"),$I4952))</f>
        <v/>
      </c>
    </row>
    <row r="4953">
      <c r="B4953" s="25" t="n"/>
      <c r="I4953" s="25" t="n"/>
      <c r="U4953" s="19">
        <f>IF($V4953&lt;&gt;'設定'!$C$4,N(U4952),IF(OR(NOT(COUNTIF('商品マスタ'!$B$6:$B$1005,$W4953)=0),COUNTIFS('①在庫を貼る'!$V$6:$V$10005,$V4953,'①在庫を貼る'!$W$6:$W$10005,$W4953)+COUNTIFS('月1回_1ヶ月前の在庫'!$V$6:$V$10005,$V4953,'月1回_1ヶ月前の在庫'!$W$6:$W$10005,$W4953)&gt;0),N(U4952),N(U4952)+1))</f>
        <v/>
      </c>
      <c r="V4953" s="19">
        <f>IF($B4953="","",TEXT($B4953,"0000"))</f>
        <v/>
      </c>
      <c r="W4953" s="19">
        <f>IF($I4953="","",IF(ISNUMBER($I4953),TEXT($I4953,"0"),$I4953))</f>
        <v/>
      </c>
    </row>
    <row r="4954">
      <c r="B4954" s="25" t="n"/>
      <c r="I4954" s="25" t="n"/>
      <c r="U4954" s="19">
        <f>IF($V4954&lt;&gt;'設定'!$C$4,N(U4953),IF(OR(NOT(COUNTIF('商品マスタ'!$B$6:$B$1005,$W4954)=0),COUNTIFS('①在庫を貼る'!$V$6:$V$10005,$V4954,'①在庫を貼る'!$W$6:$W$10005,$W4954)+COUNTIFS('月1回_1ヶ月前の在庫'!$V$6:$V$10005,$V4954,'月1回_1ヶ月前の在庫'!$W$6:$W$10005,$W4954)&gt;0),N(U4953),N(U4953)+1))</f>
        <v/>
      </c>
      <c r="V4954" s="19">
        <f>IF($B4954="","",TEXT($B4954,"0000"))</f>
        <v/>
      </c>
      <c r="W4954" s="19">
        <f>IF($I4954="","",IF(ISNUMBER($I4954),TEXT($I4954,"0"),$I4954))</f>
        <v/>
      </c>
    </row>
    <row r="4955">
      <c r="B4955" s="25" t="n"/>
      <c r="I4955" s="25" t="n"/>
      <c r="U4955" s="19">
        <f>IF($V4955&lt;&gt;'設定'!$C$4,N(U4954),IF(OR(NOT(COUNTIF('商品マスタ'!$B$6:$B$1005,$W4955)=0),COUNTIFS('①在庫を貼る'!$V$6:$V$10005,$V4955,'①在庫を貼る'!$W$6:$W$10005,$W4955)+COUNTIFS('月1回_1ヶ月前の在庫'!$V$6:$V$10005,$V4955,'月1回_1ヶ月前の在庫'!$W$6:$W$10005,$W4955)&gt;0),N(U4954),N(U4954)+1))</f>
        <v/>
      </c>
      <c r="V4955" s="19">
        <f>IF($B4955="","",TEXT($B4955,"0000"))</f>
        <v/>
      </c>
      <c r="W4955" s="19">
        <f>IF($I4955="","",IF(ISNUMBER($I4955),TEXT($I4955,"0"),$I4955))</f>
        <v/>
      </c>
    </row>
    <row r="4956">
      <c r="B4956" s="25" t="n"/>
      <c r="I4956" s="25" t="n"/>
      <c r="U4956" s="19">
        <f>IF($V4956&lt;&gt;'設定'!$C$4,N(U4955),IF(OR(NOT(COUNTIF('商品マスタ'!$B$6:$B$1005,$W4956)=0),COUNTIFS('①在庫を貼る'!$V$6:$V$10005,$V4956,'①在庫を貼る'!$W$6:$W$10005,$W4956)+COUNTIFS('月1回_1ヶ月前の在庫'!$V$6:$V$10005,$V4956,'月1回_1ヶ月前の在庫'!$W$6:$W$10005,$W4956)&gt;0),N(U4955),N(U4955)+1))</f>
        <v/>
      </c>
      <c r="V4956" s="19">
        <f>IF($B4956="","",TEXT($B4956,"0000"))</f>
        <v/>
      </c>
      <c r="W4956" s="19">
        <f>IF($I4956="","",IF(ISNUMBER($I4956),TEXT($I4956,"0"),$I4956))</f>
        <v/>
      </c>
    </row>
    <row r="4957">
      <c r="B4957" s="25" t="n"/>
      <c r="I4957" s="25" t="n"/>
      <c r="U4957" s="19">
        <f>IF($V4957&lt;&gt;'設定'!$C$4,N(U4956),IF(OR(NOT(COUNTIF('商品マスタ'!$B$6:$B$1005,$W4957)=0),COUNTIFS('①在庫を貼る'!$V$6:$V$10005,$V4957,'①在庫を貼る'!$W$6:$W$10005,$W4957)+COUNTIFS('月1回_1ヶ月前の在庫'!$V$6:$V$10005,$V4957,'月1回_1ヶ月前の在庫'!$W$6:$W$10005,$W4957)&gt;0),N(U4956),N(U4956)+1))</f>
        <v/>
      </c>
      <c r="V4957" s="19">
        <f>IF($B4957="","",TEXT($B4957,"0000"))</f>
        <v/>
      </c>
      <c r="W4957" s="19">
        <f>IF($I4957="","",IF(ISNUMBER($I4957),TEXT($I4957,"0"),$I4957))</f>
        <v/>
      </c>
    </row>
    <row r="4958">
      <c r="B4958" s="25" t="n"/>
      <c r="I4958" s="25" t="n"/>
      <c r="U4958" s="19">
        <f>IF($V4958&lt;&gt;'設定'!$C$4,N(U4957),IF(OR(NOT(COUNTIF('商品マスタ'!$B$6:$B$1005,$W4958)=0),COUNTIFS('①在庫を貼る'!$V$6:$V$10005,$V4958,'①在庫を貼る'!$W$6:$W$10005,$W4958)+COUNTIFS('月1回_1ヶ月前の在庫'!$V$6:$V$10005,$V4958,'月1回_1ヶ月前の在庫'!$W$6:$W$10005,$W4958)&gt;0),N(U4957),N(U4957)+1))</f>
        <v/>
      </c>
      <c r="V4958" s="19">
        <f>IF($B4958="","",TEXT($B4958,"0000"))</f>
        <v/>
      </c>
      <c r="W4958" s="19">
        <f>IF($I4958="","",IF(ISNUMBER($I4958),TEXT($I4958,"0"),$I4958))</f>
        <v/>
      </c>
    </row>
    <row r="4959">
      <c r="B4959" s="25" t="n"/>
      <c r="I4959" s="25" t="n"/>
      <c r="U4959" s="19">
        <f>IF($V4959&lt;&gt;'設定'!$C$4,N(U4958),IF(OR(NOT(COUNTIF('商品マスタ'!$B$6:$B$1005,$W4959)=0),COUNTIFS('①在庫を貼る'!$V$6:$V$10005,$V4959,'①在庫を貼る'!$W$6:$W$10005,$W4959)+COUNTIFS('月1回_1ヶ月前の在庫'!$V$6:$V$10005,$V4959,'月1回_1ヶ月前の在庫'!$W$6:$W$10005,$W4959)&gt;0),N(U4958),N(U4958)+1))</f>
        <v/>
      </c>
      <c r="V4959" s="19">
        <f>IF($B4959="","",TEXT($B4959,"0000"))</f>
        <v/>
      </c>
      <c r="W4959" s="19">
        <f>IF($I4959="","",IF(ISNUMBER($I4959),TEXT($I4959,"0"),$I4959))</f>
        <v/>
      </c>
    </row>
    <row r="4960">
      <c r="B4960" s="25" t="n"/>
      <c r="I4960" s="25" t="n"/>
      <c r="U4960" s="19">
        <f>IF($V4960&lt;&gt;'設定'!$C$4,N(U4959),IF(OR(NOT(COUNTIF('商品マスタ'!$B$6:$B$1005,$W4960)=0),COUNTIFS('①在庫を貼る'!$V$6:$V$10005,$V4960,'①在庫を貼る'!$W$6:$W$10005,$W4960)+COUNTIFS('月1回_1ヶ月前の在庫'!$V$6:$V$10005,$V4960,'月1回_1ヶ月前の在庫'!$W$6:$W$10005,$W4960)&gt;0),N(U4959),N(U4959)+1))</f>
        <v/>
      </c>
      <c r="V4960" s="19">
        <f>IF($B4960="","",TEXT($B4960,"0000"))</f>
        <v/>
      </c>
      <c r="W4960" s="19">
        <f>IF($I4960="","",IF(ISNUMBER($I4960),TEXT($I4960,"0"),$I4960))</f>
        <v/>
      </c>
    </row>
    <row r="4961">
      <c r="B4961" s="25" t="n"/>
      <c r="I4961" s="25" t="n"/>
      <c r="U4961" s="19">
        <f>IF($V4961&lt;&gt;'設定'!$C$4,N(U4960),IF(OR(NOT(COUNTIF('商品マスタ'!$B$6:$B$1005,$W4961)=0),COUNTIFS('①在庫を貼る'!$V$6:$V$10005,$V4961,'①在庫を貼る'!$W$6:$W$10005,$W4961)+COUNTIFS('月1回_1ヶ月前の在庫'!$V$6:$V$10005,$V4961,'月1回_1ヶ月前の在庫'!$W$6:$W$10005,$W4961)&gt;0),N(U4960),N(U4960)+1))</f>
        <v/>
      </c>
      <c r="V4961" s="19">
        <f>IF($B4961="","",TEXT($B4961,"0000"))</f>
        <v/>
      </c>
      <c r="W4961" s="19">
        <f>IF($I4961="","",IF(ISNUMBER($I4961),TEXT($I4961,"0"),$I4961))</f>
        <v/>
      </c>
    </row>
    <row r="4962">
      <c r="B4962" s="25" t="n"/>
      <c r="I4962" s="25" t="n"/>
      <c r="U4962" s="19">
        <f>IF($V4962&lt;&gt;'設定'!$C$4,N(U4961),IF(OR(NOT(COUNTIF('商品マスタ'!$B$6:$B$1005,$W4962)=0),COUNTIFS('①在庫を貼る'!$V$6:$V$10005,$V4962,'①在庫を貼る'!$W$6:$W$10005,$W4962)+COUNTIFS('月1回_1ヶ月前の在庫'!$V$6:$V$10005,$V4962,'月1回_1ヶ月前の在庫'!$W$6:$W$10005,$W4962)&gt;0),N(U4961),N(U4961)+1))</f>
        <v/>
      </c>
      <c r="V4962" s="19">
        <f>IF($B4962="","",TEXT($B4962,"0000"))</f>
        <v/>
      </c>
      <c r="W4962" s="19">
        <f>IF($I4962="","",IF(ISNUMBER($I4962),TEXT($I4962,"0"),$I4962))</f>
        <v/>
      </c>
    </row>
    <row r="4963">
      <c r="B4963" s="25" t="n"/>
      <c r="I4963" s="25" t="n"/>
      <c r="U4963" s="19">
        <f>IF($V4963&lt;&gt;'設定'!$C$4,N(U4962),IF(OR(NOT(COUNTIF('商品マスタ'!$B$6:$B$1005,$W4963)=0),COUNTIFS('①在庫を貼る'!$V$6:$V$10005,$V4963,'①在庫を貼る'!$W$6:$W$10005,$W4963)+COUNTIFS('月1回_1ヶ月前の在庫'!$V$6:$V$10005,$V4963,'月1回_1ヶ月前の在庫'!$W$6:$W$10005,$W4963)&gt;0),N(U4962),N(U4962)+1))</f>
        <v/>
      </c>
      <c r="V4963" s="19">
        <f>IF($B4963="","",TEXT($B4963,"0000"))</f>
        <v/>
      </c>
      <c r="W4963" s="19">
        <f>IF($I4963="","",IF(ISNUMBER($I4963),TEXT($I4963,"0"),$I4963))</f>
        <v/>
      </c>
    </row>
    <row r="4964">
      <c r="B4964" s="25" t="n"/>
      <c r="I4964" s="25" t="n"/>
      <c r="U4964" s="19">
        <f>IF($V4964&lt;&gt;'設定'!$C$4,N(U4963),IF(OR(NOT(COUNTIF('商品マスタ'!$B$6:$B$1005,$W4964)=0),COUNTIFS('①在庫を貼る'!$V$6:$V$10005,$V4964,'①在庫を貼る'!$W$6:$W$10005,$W4964)+COUNTIFS('月1回_1ヶ月前の在庫'!$V$6:$V$10005,$V4964,'月1回_1ヶ月前の在庫'!$W$6:$W$10005,$W4964)&gt;0),N(U4963),N(U4963)+1))</f>
        <v/>
      </c>
      <c r="V4964" s="19">
        <f>IF($B4964="","",TEXT($B4964,"0000"))</f>
        <v/>
      </c>
      <c r="W4964" s="19">
        <f>IF($I4964="","",IF(ISNUMBER($I4964),TEXT($I4964,"0"),$I4964))</f>
        <v/>
      </c>
    </row>
    <row r="4965">
      <c r="B4965" s="25" t="n"/>
      <c r="I4965" s="25" t="n"/>
      <c r="U4965" s="19">
        <f>IF($V4965&lt;&gt;'設定'!$C$4,N(U4964),IF(OR(NOT(COUNTIF('商品マスタ'!$B$6:$B$1005,$W4965)=0),COUNTIFS('①在庫を貼る'!$V$6:$V$10005,$V4965,'①在庫を貼る'!$W$6:$W$10005,$W4965)+COUNTIFS('月1回_1ヶ月前の在庫'!$V$6:$V$10005,$V4965,'月1回_1ヶ月前の在庫'!$W$6:$W$10005,$W4965)&gt;0),N(U4964),N(U4964)+1))</f>
        <v/>
      </c>
      <c r="V4965" s="19">
        <f>IF($B4965="","",TEXT($B4965,"0000"))</f>
        <v/>
      </c>
      <c r="W4965" s="19">
        <f>IF($I4965="","",IF(ISNUMBER($I4965),TEXT($I4965,"0"),$I4965))</f>
        <v/>
      </c>
    </row>
    <row r="4966">
      <c r="B4966" s="25" t="n"/>
      <c r="I4966" s="25" t="n"/>
      <c r="U4966" s="19">
        <f>IF($V4966&lt;&gt;'設定'!$C$4,N(U4965),IF(OR(NOT(COUNTIF('商品マスタ'!$B$6:$B$1005,$W4966)=0),COUNTIFS('①在庫を貼る'!$V$6:$V$10005,$V4966,'①在庫を貼る'!$W$6:$W$10005,$W4966)+COUNTIFS('月1回_1ヶ月前の在庫'!$V$6:$V$10005,$V4966,'月1回_1ヶ月前の在庫'!$W$6:$W$10005,$W4966)&gt;0),N(U4965),N(U4965)+1))</f>
        <v/>
      </c>
      <c r="V4966" s="19">
        <f>IF($B4966="","",TEXT($B4966,"0000"))</f>
        <v/>
      </c>
      <c r="W4966" s="19">
        <f>IF($I4966="","",IF(ISNUMBER($I4966),TEXT($I4966,"0"),$I4966))</f>
        <v/>
      </c>
    </row>
    <row r="4967">
      <c r="B4967" s="25" t="n"/>
      <c r="I4967" s="25" t="n"/>
      <c r="U4967" s="19">
        <f>IF($V4967&lt;&gt;'設定'!$C$4,N(U4966),IF(OR(NOT(COUNTIF('商品マスタ'!$B$6:$B$1005,$W4967)=0),COUNTIFS('①在庫を貼る'!$V$6:$V$10005,$V4967,'①在庫を貼る'!$W$6:$W$10005,$W4967)+COUNTIFS('月1回_1ヶ月前の在庫'!$V$6:$V$10005,$V4967,'月1回_1ヶ月前の在庫'!$W$6:$W$10005,$W4967)&gt;0),N(U4966),N(U4966)+1))</f>
        <v/>
      </c>
      <c r="V4967" s="19">
        <f>IF($B4967="","",TEXT($B4967,"0000"))</f>
        <v/>
      </c>
      <c r="W4967" s="19">
        <f>IF($I4967="","",IF(ISNUMBER($I4967),TEXT($I4967,"0"),$I4967))</f>
        <v/>
      </c>
    </row>
    <row r="4968">
      <c r="B4968" s="25" t="n"/>
      <c r="I4968" s="25" t="n"/>
      <c r="U4968" s="19">
        <f>IF($V4968&lt;&gt;'設定'!$C$4,N(U4967),IF(OR(NOT(COUNTIF('商品マスタ'!$B$6:$B$1005,$W4968)=0),COUNTIFS('①在庫を貼る'!$V$6:$V$10005,$V4968,'①在庫を貼る'!$W$6:$W$10005,$W4968)+COUNTIFS('月1回_1ヶ月前の在庫'!$V$6:$V$10005,$V4968,'月1回_1ヶ月前の在庫'!$W$6:$W$10005,$W4968)&gt;0),N(U4967),N(U4967)+1))</f>
        <v/>
      </c>
      <c r="V4968" s="19">
        <f>IF($B4968="","",TEXT($B4968,"0000"))</f>
        <v/>
      </c>
      <c r="W4968" s="19">
        <f>IF($I4968="","",IF(ISNUMBER($I4968),TEXT($I4968,"0"),$I4968))</f>
        <v/>
      </c>
    </row>
    <row r="4969">
      <c r="B4969" s="25" t="n"/>
      <c r="I4969" s="25" t="n"/>
      <c r="U4969" s="19">
        <f>IF($V4969&lt;&gt;'設定'!$C$4,N(U4968),IF(OR(NOT(COUNTIF('商品マスタ'!$B$6:$B$1005,$W4969)=0),COUNTIFS('①在庫を貼る'!$V$6:$V$10005,$V4969,'①在庫を貼る'!$W$6:$W$10005,$W4969)+COUNTIFS('月1回_1ヶ月前の在庫'!$V$6:$V$10005,$V4969,'月1回_1ヶ月前の在庫'!$W$6:$W$10005,$W4969)&gt;0),N(U4968),N(U4968)+1))</f>
        <v/>
      </c>
      <c r="V4969" s="19">
        <f>IF($B4969="","",TEXT($B4969,"0000"))</f>
        <v/>
      </c>
      <c r="W4969" s="19">
        <f>IF($I4969="","",IF(ISNUMBER($I4969),TEXT($I4969,"0"),$I4969))</f>
        <v/>
      </c>
    </row>
    <row r="4970">
      <c r="B4970" s="25" t="n"/>
      <c r="I4970" s="25" t="n"/>
      <c r="U4970" s="19">
        <f>IF($V4970&lt;&gt;'設定'!$C$4,N(U4969),IF(OR(NOT(COUNTIF('商品マスタ'!$B$6:$B$1005,$W4970)=0),COUNTIFS('①在庫を貼る'!$V$6:$V$10005,$V4970,'①在庫を貼る'!$W$6:$W$10005,$W4970)+COUNTIFS('月1回_1ヶ月前の在庫'!$V$6:$V$10005,$V4970,'月1回_1ヶ月前の在庫'!$W$6:$W$10005,$W4970)&gt;0),N(U4969),N(U4969)+1))</f>
        <v/>
      </c>
      <c r="V4970" s="19">
        <f>IF($B4970="","",TEXT($B4970,"0000"))</f>
        <v/>
      </c>
      <c r="W4970" s="19">
        <f>IF($I4970="","",IF(ISNUMBER($I4970),TEXT($I4970,"0"),$I4970))</f>
        <v/>
      </c>
    </row>
    <row r="4971">
      <c r="B4971" s="25" t="n"/>
      <c r="I4971" s="25" t="n"/>
      <c r="U4971" s="19">
        <f>IF($V4971&lt;&gt;'設定'!$C$4,N(U4970),IF(OR(NOT(COUNTIF('商品マスタ'!$B$6:$B$1005,$W4971)=0),COUNTIFS('①在庫を貼る'!$V$6:$V$10005,$V4971,'①在庫を貼る'!$W$6:$W$10005,$W4971)+COUNTIFS('月1回_1ヶ月前の在庫'!$V$6:$V$10005,$V4971,'月1回_1ヶ月前の在庫'!$W$6:$W$10005,$W4971)&gt;0),N(U4970),N(U4970)+1))</f>
        <v/>
      </c>
      <c r="V4971" s="19">
        <f>IF($B4971="","",TEXT($B4971,"0000"))</f>
        <v/>
      </c>
      <c r="W4971" s="19">
        <f>IF($I4971="","",IF(ISNUMBER($I4971),TEXT($I4971,"0"),$I4971))</f>
        <v/>
      </c>
    </row>
    <row r="4972">
      <c r="B4972" s="25" t="n"/>
      <c r="I4972" s="25" t="n"/>
      <c r="U4972" s="19">
        <f>IF($V4972&lt;&gt;'設定'!$C$4,N(U4971),IF(OR(NOT(COUNTIF('商品マスタ'!$B$6:$B$1005,$W4972)=0),COUNTIFS('①在庫を貼る'!$V$6:$V$10005,$V4972,'①在庫を貼る'!$W$6:$W$10005,$W4972)+COUNTIFS('月1回_1ヶ月前の在庫'!$V$6:$V$10005,$V4972,'月1回_1ヶ月前の在庫'!$W$6:$W$10005,$W4972)&gt;0),N(U4971),N(U4971)+1))</f>
        <v/>
      </c>
      <c r="V4972" s="19">
        <f>IF($B4972="","",TEXT($B4972,"0000"))</f>
        <v/>
      </c>
      <c r="W4972" s="19">
        <f>IF($I4972="","",IF(ISNUMBER($I4972),TEXT($I4972,"0"),$I4972))</f>
        <v/>
      </c>
    </row>
    <row r="4973">
      <c r="B4973" s="25" t="n"/>
      <c r="I4973" s="25" t="n"/>
      <c r="U4973" s="19">
        <f>IF($V4973&lt;&gt;'設定'!$C$4,N(U4972),IF(OR(NOT(COUNTIF('商品マスタ'!$B$6:$B$1005,$W4973)=0),COUNTIFS('①在庫を貼る'!$V$6:$V$10005,$V4973,'①在庫を貼る'!$W$6:$W$10005,$W4973)+COUNTIFS('月1回_1ヶ月前の在庫'!$V$6:$V$10005,$V4973,'月1回_1ヶ月前の在庫'!$W$6:$W$10005,$W4973)&gt;0),N(U4972),N(U4972)+1))</f>
        <v/>
      </c>
      <c r="V4973" s="19">
        <f>IF($B4973="","",TEXT($B4973,"0000"))</f>
        <v/>
      </c>
      <c r="W4973" s="19">
        <f>IF($I4973="","",IF(ISNUMBER($I4973),TEXT($I4973,"0"),$I4973))</f>
        <v/>
      </c>
    </row>
    <row r="4974">
      <c r="B4974" s="25" t="n"/>
      <c r="I4974" s="25" t="n"/>
      <c r="U4974" s="19">
        <f>IF($V4974&lt;&gt;'設定'!$C$4,N(U4973),IF(OR(NOT(COUNTIF('商品マスタ'!$B$6:$B$1005,$W4974)=0),COUNTIFS('①在庫を貼る'!$V$6:$V$10005,$V4974,'①在庫を貼る'!$W$6:$W$10005,$W4974)+COUNTIFS('月1回_1ヶ月前の在庫'!$V$6:$V$10005,$V4974,'月1回_1ヶ月前の在庫'!$W$6:$W$10005,$W4974)&gt;0),N(U4973),N(U4973)+1))</f>
        <v/>
      </c>
      <c r="V4974" s="19">
        <f>IF($B4974="","",TEXT($B4974,"0000"))</f>
        <v/>
      </c>
      <c r="W4974" s="19">
        <f>IF($I4974="","",IF(ISNUMBER($I4974),TEXT($I4974,"0"),$I4974))</f>
        <v/>
      </c>
    </row>
    <row r="4975">
      <c r="B4975" s="25" t="n"/>
      <c r="I4975" s="25" t="n"/>
      <c r="U4975" s="19">
        <f>IF($V4975&lt;&gt;'設定'!$C$4,N(U4974),IF(OR(NOT(COUNTIF('商品マスタ'!$B$6:$B$1005,$W4975)=0),COUNTIFS('①在庫を貼る'!$V$6:$V$10005,$V4975,'①在庫を貼る'!$W$6:$W$10005,$W4975)+COUNTIFS('月1回_1ヶ月前の在庫'!$V$6:$V$10005,$V4975,'月1回_1ヶ月前の在庫'!$W$6:$W$10005,$W4975)&gt;0),N(U4974),N(U4974)+1))</f>
        <v/>
      </c>
      <c r="V4975" s="19">
        <f>IF($B4975="","",TEXT($B4975,"0000"))</f>
        <v/>
      </c>
      <c r="W4975" s="19">
        <f>IF($I4975="","",IF(ISNUMBER($I4975),TEXT($I4975,"0"),$I4975))</f>
        <v/>
      </c>
    </row>
    <row r="4976">
      <c r="B4976" s="25" t="n"/>
      <c r="I4976" s="25" t="n"/>
      <c r="U4976" s="19">
        <f>IF($V4976&lt;&gt;'設定'!$C$4,N(U4975),IF(OR(NOT(COUNTIF('商品マスタ'!$B$6:$B$1005,$W4976)=0),COUNTIFS('①在庫を貼る'!$V$6:$V$10005,$V4976,'①在庫を貼る'!$W$6:$W$10005,$W4976)+COUNTIFS('月1回_1ヶ月前の在庫'!$V$6:$V$10005,$V4976,'月1回_1ヶ月前の在庫'!$W$6:$W$10005,$W4976)&gt;0),N(U4975),N(U4975)+1))</f>
        <v/>
      </c>
      <c r="V4976" s="19">
        <f>IF($B4976="","",TEXT($B4976,"0000"))</f>
        <v/>
      </c>
      <c r="W4976" s="19">
        <f>IF($I4976="","",IF(ISNUMBER($I4976),TEXT($I4976,"0"),$I4976))</f>
        <v/>
      </c>
    </row>
    <row r="4977">
      <c r="B4977" s="25" t="n"/>
      <c r="I4977" s="25" t="n"/>
      <c r="U4977" s="19">
        <f>IF($V4977&lt;&gt;'設定'!$C$4,N(U4976),IF(OR(NOT(COUNTIF('商品マスタ'!$B$6:$B$1005,$W4977)=0),COUNTIFS('①在庫を貼る'!$V$6:$V$10005,$V4977,'①在庫を貼る'!$W$6:$W$10005,$W4977)+COUNTIFS('月1回_1ヶ月前の在庫'!$V$6:$V$10005,$V4977,'月1回_1ヶ月前の在庫'!$W$6:$W$10005,$W4977)&gt;0),N(U4976),N(U4976)+1))</f>
        <v/>
      </c>
      <c r="V4977" s="19">
        <f>IF($B4977="","",TEXT($B4977,"0000"))</f>
        <v/>
      </c>
      <c r="W4977" s="19">
        <f>IF($I4977="","",IF(ISNUMBER($I4977),TEXT($I4977,"0"),$I4977))</f>
        <v/>
      </c>
    </row>
    <row r="4978">
      <c r="B4978" s="25" t="n"/>
      <c r="I4978" s="25" t="n"/>
      <c r="U4978" s="19">
        <f>IF($V4978&lt;&gt;'設定'!$C$4,N(U4977),IF(OR(NOT(COUNTIF('商品マスタ'!$B$6:$B$1005,$W4978)=0),COUNTIFS('①在庫を貼る'!$V$6:$V$10005,$V4978,'①在庫を貼る'!$W$6:$W$10005,$W4978)+COUNTIFS('月1回_1ヶ月前の在庫'!$V$6:$V$10005,$V4978,'月1回_1ヶ月前の在庫'!$W$6:$W$10005,$W4978)&gt;0),N(U4977),N(U4977)+1))</f>
        <v/>
      </c>
      <c r="V4978" s="19">
        <f>IF($B4978="","",TEXT($B4978,"0000"))</f>
        <v/>
      </c>
      <c r="W4978" s="19">
        <f>IF($I4978="","",IF(ISNUMBER($I4978),TEXT($I4978,"0"),$I4978))</f>
        <v/>
      </c>
    </row>
    <row r="4979">
      <c r="B4979" s="25" t="n"/>
      <c r="I4979" s="25" t="n"/>
      <c r="U4979" s="19">
        <f>IF($V4979&lt;&gt;'設定'!$C$4,N(U4978),IF(OR(NOT(COUNTIF('商品マスタ'!$B$6:$B$1005,$W4979)=0),COUNTIFS('①在庫を貼る'!$V$6:$V$10005,$V4979,'①在庫を貼る'!$W$6:$W$10005,$W4979)+COUNTIFS('月1回_1ヶ月前の在庫'!$V$6:$V$10005,$V4979,'月1回_1ヶ月前の在庫'!$W$6:$W$10005,$W4979)&gt;0),N(U4978),N(U4978)+1))</f>
        <v/>
      </c>
      <c r="V4979" s="19">
        <f>IF($B4979="","",TEXT($B4979,"0000"))</f>
        <v/>
      </c>
      <c r="W4979" s="19">
        <f>IF($I4979="","",IF(ISNUMBER($I4979),TEXT($I4979,"0"),$I4979))</f>
        <v/>
      </c>
    </row>
    <row r="4980">
      <c r="B4980" s="25" t="n"/>
      <c r="I4980" s="25" t="n"/>
      <c r="U4980" s="19">
        <f>IF($V4980&lt;&gt;'設定'!$C$4,N(U4979),IF(OR(NOT(COUNTIF('商品マスタ'!$B$6:$B$1005,$W4980)=0),COUNTIFS('①在庫を貼る'!$V$6:$V$10005,$V4980,'①在庫を貼る'!$W$6:$W$10005,$W4980)+COUNTIFS('月1回_1ヶ月前の在庫'!$V$6:$V$10005,$V4980,'月1回_1ヶ月前の在庫'!$W$6:$W$10005,$W4980)&gt;0),N(U4979),N(U4979)+1))</f>
        <v/>
      </c>
      <c r="V4980" s="19">
        <f>IF($B4980="","",TEXT($B4980,"0000"))</f>
        <v/>
      </c>
      <c r="W4980" s="19">
        <f>IF($I4980="","",IF(ISNUMBER($I4980),TEXT($I4980,"0"),$I4980))</f>
        <v/>
      </c>
    </row>
    <row r="4981">
      <c r="B4981" s="25" t="n"/>
      <c r="I4981" s="25" t="n"/>
      <c r="U4981" s="19">
        <f>IF($V4981&lt;&gt;'設定'!$C$4,N(U4980),IF(OR(NOT(COUNTIF('商品マスタ'!$B$6:$B$1005,$W4981)=0),COUNTIFS('①在庫を貼る'!$V$6:$V$10005,$V4981,'①在庫を貼る'!$W$6:$W$10005,$W4981)+COUNTIFS('月1回_1ヶ月前の在庫'!$V$6:$V$10005,$V4981,'月1回_1ヶ月前の在庫'!$W$6:$W$10005,$W4981)&gt;0),N(U4980),N(U4980)+1))</f>
        <v/>
      </c>
      <c r="V4981" s="19">
        <f>IF($B4981="","",TEXT($B4981,"0000"))</f>
        <v/>
      </c>
      <c r="W4981" s="19">
        <f>IF($I4981="","",IF(ISNUMBER($I4981),TEXT($I4981,"0"),$I4981))</f>
        <v/>
      </c>
    </row>
    <row r="4982">
      <c r="B4982" s="25" t="n"/>
      <c r="I4982" s="25" t="n"/>
      <c r="U4982" s="19">
        <f>IF($V4982&lt;&gt;'設定'!$C$4,N(U4981),IF(OR(NOT(COUNTIF('商品マスタ'!$B$6:$B$1005,$W4982)=0),COUNTIFS('①在庫を貼る'!$V$6:$V$10005,$V4982,'①在庫を貼る'!$W$6:$W$10005,$W4982)+COUNTIFS('月1回_1ヶ月前の在庫'!$V$6:$V$10005,$V4982,'月1回_1ヶ月前の在庫'!$W$6:$W$10005,$W4982)&gt;0),N(U4981),N(U4981)+1))</f>
        <v/>
      </c>
      <c r="V4982" s="19">
        <f>IF($B4982="","",TEXT($B4982,"0000"))</f>
        <v/>
      </c>
      <c r="W4982" s="19">
        <f>IF($I4982="","",IF(ISNUMBER($I4982),TEXT($I4982,"0"),$I4982))</f>
        <v/>
      </c>
    </row>
    <row r="4983">
      <c r="B4983" s="25" t="n"/>
      <c r="I4983" s="25" t="n"/>
      <c r="U4983" s="19">
        <f>IF($V4983&lt;&gt;'設定'!$C$4,N(U4982),IF(OR(NOT(COUNTIF('商品マスタ'!$B$6:$B$1005,$W4983)=0),COUNTIFS('①在庫を貼る'!$V$6:$V$10005,$V4983,'①在庫を貼る'!$W$6:$W$10005,$W4983)+COUNTIFS('月1回_1ヶ月前の在庫'!$V$6:$V$10005,$V4983,'月1回_1ヶ月前の在庫'!$W$6:$W$10005,$W4983)&gt;0),N(U4982),N(U4982)+1))</f>
        <v/>
      </c>
      <c r="V4983" s="19">
        <f>IF($B4983="","",TEXT($B4983,"0000"))</f>
        <v/>
      </c>
      <c r="W4983" s="19">
        <f>IF($I4983="","",IF(ISNUMBER($I4983),TEXT($I4983,"0"),$I4983))</f>
        <v/>
      </c>
    </row>
    <row r="4984">
      <c r="B4984" s="25" t="n"/>
      <c r="I4984" s="25" t="n"/>
      <c r="U4984" s="19">
        <f>IF($V4984&lt;&gt;'設定'!$C$4,N(U4983),IF(OR(NOT(COUNTIF('商品マスタ'!$B$6:$B$1005,$W4984)=0),COUNTIFS('①在庫を貼る'!$V$6:$V$10005,$V4984,'①在庫を貼る'!$W$6:$W$10005,$W4984)+COUNTIFS('月1回_1ヶ月前の在庫'!$V$6:$V$10005,$V4984,'月1回_1ヶ月前の在庫'!$W$6:$W$10005,$W4984)&gt;0),N(U4983),N(U4983)+1))</f>
        <v/>
      </c>
      <c r="V4984" s="19">
        <f>IF($B4984="","",TEXT($B4984,"0000"))</f>
        <v/>
      </c>
      <c r="W4984" s="19">
        <f>IF($I4984="","",IF(ISNUMBER($I4984),TEXT($I4984,"0"),$I4984))</f>
        <v/>
      </c>
    </row>
    <row r="4985">
      <c r="B4985" s="25" t="n"/>
      <c r="I4985" s="25" t="n"/>
      <c r="U4985" s="19">
        <f>IF($V4985&lt;&gt;'設定'!$C$4,N(U4984),IF(OR(NOT(COUNTIF('商品マスタ'!$B$6:$B$1005,$W4985)=0),COUNTIFS('①在庫を貼る'!$V$6:$V$10005,$V4985,'①在庫を貼る'!$W$6:$W$10005,$W4985)+COUNTIFS('月1回_1ヶ月前の在庫'!$V$6:$V$10005,$V4985,'月1回_1ヶ月前の在庫'!$W$6:$W$10005,$W4985)&gt;0),N(U4984),N(U4984)+1))</f>
        <v/>
      </c>
      <c r="V4985" s="19">
        <f>IF($B4985="","",TEXT($B4985,"0000"))</f>
        <v/>
      </c>
      <c r="W4985" s="19">
        <f>IF($I4985="","",IF(ISNUMBER($I4985),TEXT($I4985,"0"),$I4985))</f>
        <v/>
      </c>
    </row>
    <row r="4986">
      <c r="B4986" s="25" t="n"/>
      <c r="I4986" s="25" t="n"/>
      <c r="U4986" s="19">
        <f>IF($V4986&lt;&gt;'設定'!$C$4,N(U4985),IF(OR(NOT(COUNTIF('商品マスタ'!$B$6:$B$1005,$W4986)=0),COUNTIFS('①在庫を貼る'!$V$6:$V$10005,$V4986,'①在庫を貼る'!$W$6:$W$10005,$W4986)+COUNTIFS('月1回_1ヶ月前の在庫'!$V$6:$V$10005,$V4986,'月1回_1ヶ月前の在庫'!$W$6:$W$10005,$W4986)&gt;0),N(U4985),N(U4985)+1))</f>
        <v/>
      </c>
      <c r="V4986" s="19">
        <f>IF($B4986="","",TEXT($B4986,"0000"))</f>
        <v/>
      </c>
      <c r="W4986" s="19">
        <f>IF($I4986="","",IF(ISNUMBER($I4986),TEXT($I4986,"0"),$I4986))</f>
        <v/>
      </c>
    </row>
    <row r="4987">
      <c r="B4987" s="25" t="n"/>
      <c r="I4987" s="25" t="n"/>
      <c r="U4987" s="19">
        <f>IF($V4987&lt;&gt;'設定'!$C$4,N(U4986),IF(OR(NOT(COUNTIF('商品マスタ'!$B$6:$B$1005,$W4987)=0),COUNTIFS('①在庫を貼る'!$V$6:$V$10005,$V4987,'①在庫を貼る'!$W$6:$W$10005,$W4987)+COUNTIFS('月1回_1ヶ月前の在庫'!$V$6:$V$10005,$V4987,'月1回_1ヶ月前の在庫'!$W$6:$W$10005,$W4987)&gt;0),N(U4986),N(U4986)+1))</f>
        <v/>
      </c>
      <c r="V4987" s="19">
        <f>IF($B4987="","",TEXT($B4987,"0000"))</f>
        <v/>
      </c>
      <c r="W4987" s="19">
        <f>IF($I4987="","",IF(ISNUMBER($I4987),TEXT($I4987,"0"),$I4987))</f>
        <v/>
      </c>
    </row>
    <row r="4988">
      <c r="B4988" s="25" t="n"/>
      <c r="I4988" s="25" t="n"/>
      <c r="U4988" s="19">
        <f>IF($V4988&lt;&gt;'設定'!$C$4,N(U4987),IF(OR(NOT(COUNTIF('商品マスタ'!$B$6:$B$1005,$W4988)=0),COUNTIFS('①在庫を貼る'!$V$6:$V$10005,$V4988,'①在庫を貼る'!$W$6:$W$10005,$W4988)+COUNTIFS('月1回_1ヶ月前の在庫'!$V$6:$V$10005,$V4988,'月1回_1ヶ月前の在庫'!$W$6:$W$10005,$W4988)&gt;0),N(U4987),N(U4987)+1))</f>
        <v/>
      </c>
      <c r="V4988" s="19">
        <f>IF($B4988="","",TEXT($B4988,"0000"))</f>
        <v/>
      </c>
      <c r="W4988" s="19">
        <f>IF($I4988="","",IF(ISNUMBER($I4988),TEXT($I4988,"0"),$I4988))</f>
        <v/>
      </c>
    </row>
    <row r="4989">
      <c r="B4989" s="25" t="n"/>
      <c r="I4989" s="25" t="n"/>
      <c r="U4989" s="19">
        <f>IF($V4989&lt;&gt;'設定'!$C$4,N(U4988),IF(OR(NOT(COUNTIF('商品マスタ'!$B$6:$B$1005,$W4989)=0),COUNTIFS('①在庫を貼る'!$V$6:$V$10005,$V4989,'①在庫を貼る'!$W$6:$W$10005,$W4989)+COUNTIFS('月1回_1ヶ月前の在庫'!$V$6:$V$10005,$V4989,'月1回_1ヶ月前の在庫'!$W$6:$W$10005,$W4989)&gt;0),N(U4988),N(U4988)+1))</f>
        <v/>
      </c>
      <c r="V4989" s="19">
        <f>IF($B4989="","",TEXT($B4989,"0000"))</f>
        <v/>
      </c>
      <c r="W4989" s="19">
        <f>IF($I4989="","",IF(ISNUMBER($I4989),TEXT($I4989,"0"),$I4989))</f>
        <v/>
      </c>
    </row>
    <row r="4990">
      <c r="B4990" s="25" t="n"/>
      <c r="I4990" s="25" t="n"/>
      <c r="U4990" s="19">
        <f>IF($V4990&lt;&gt;'設定'!$C$4,N(U4989),IF(OR(NOT(COUNTIF('商品マスタ'!$B$6:$B$1005,$W4990)=0),COUNTIFS('①在庫を貼る'!$V$6:$V$10005,$V4990,'①在庫を貼る'!$W$6:$W$10005,$W4990)+COUNTIFS('月1回_1ヶ月前の在庫'!$V$6:$V$10005,$V4990,'月1回_1ヶ月前の在庫'!$W$6:$W$10005,$W4990)&gt;0),N(U4989),N(U4989)+1))</f>
        <v/>
      </c>
      <c r="V4990" s="19">
        <f>IF($B4990="","",TEXT($B4990,"0000"))</f>
        <v/>
      </c>
      <c r="W4990" s="19">
        <f>IF($I4990="","",IF(ISNUMBER($I4990),TEXT($I4990,"0"),$I4990))</f>
        <v/>
      </c>
    </row>
    <row r="4991">
      <c r="B4991" s="25" t="n"/>
      <c r="I4991" s="25" t="n"/>
      <c r="U4991" s="19">
        <f>IF($V4991&lt;&gt;'設定'!$C$4,N(U4990),IF(OR(NOT(COUNTIF('商品マスタ'!$B$6:$B$1005,$W4991)=0),COUNTIFS('①在庫を貼る'!$V$6:$V$10005,$V4991,'①在庫を貼る'!$W$6:$W$10005,$W4991)+COUNTIFS('月1回_1ヶ月前の在庫'!$V$6:$V$10005,$V4991,'月1回_1ヶ月前の在庫'!$W$6:$W$10005,$W4991)&gt;0),N(U4990),N(U4990)+1))</f>
        <v/>
      </c>
      <c r="V4991" s="19">
        <f>IF($B4991="","",TEXT($B4991,"0000"))</f>
        <v/>
      </c>
      <c r="W4991" s="19">
        <f>IF($I4991="","",IF(ISNUMBER($I4991),TEXT($I4991,"0"),$I4991))</f>
        <v/>
      </c>
    </row>
    <row r="4992">
      <c r="B4992" s="25" t="n"/>
      <c r="I4992" s="25" t="n"/>
      <c r="U4992" s="19">
        <f>IF($V4992&lt;&gt;'設定'!$C$4,N(U4991),IF(OR(NOT(COUNTIF('商品マスタ'!$B$6:$B$1005,$W4992)=0),COUNTIFS('①在庫を貼る'!$V$6:$V$10005,$V4992,'①在庫を貼る'!$W$6:$W$10005,$W4992)+COUNTIFS('月1回_1ヶ月前の在庫'!$V$6:$V$10005,$V4992,'月1回_1ヶ月前の在庫'!$W$6:$W$10005,$W4992)&gt;0),N(U4991),N(U4991)+1))</f>
        <v/>
      </c>
      <c r="V4992" s="19">
        <f>IF($B4992="","",TEXT($B4992,"0000"))</f>
        <v/>
      </c>
      <c r="W4992" s="19">
        <f>IF($I4992="","",IF(ISNUMBER($I4992),TEXT($I4992,"0"),$I4992))</f>
        <v/>
      </c>
    </row>
    <row r="4993">
      <c r="B4993" s="25" t="n"/>
      <c r="I4993" s="25" t="n"/>
      <c r="U4993" s="19">
        <f>IF($V4993&lt;&gt;'設定'!$C$4,N(U4992),IF(OR(NOT(COUNTIF('商品マスタ'!$B$6:$B$1005,$W4993)=0),COUNTIFS('①在庫を貼る'!$V$6:$V$10005,$V4993,'①在庫を貼る'!$W$6:$W$10005,$W4993)+COUNTIFS('月1回_1ヶ月前の在庫'!$V$6:$V$10005,$V4993,'月1回_1ヶ月前の在庫'!$W$6:$W$10005,$W4993)&gt;0),N(U4992),N(U4992)+1))</f>
        <v/>
      </c>
      <c r="V4993" s="19">
        <f>IF($B4993="","",TEXT($B4993,"0000"))</f>
        <v/>
      </c>
      <c r="W4993" s="19">
        <f>IF($I4993="","",IF(ISNUMBER($I4993),TEXT($I4993,"0"),$I4993))</f>
        <v/>
      </c>
    </row>
    <row r="4994">
      <c r="B4994" s="25" t="n"/>
      <c r="I4994" s="25" t="n"/>
      <c r="U4994" s="19">
        <f>IF($V4994&lt;&gt;'設定'!$C$4,N(U4993),IF(OR(NOT(COUNTIF('商品マスタ'!$B$6:$B$1005,$W4994)=0),COUNTIFS('①在庫を貼る'!$V$6:$V$10005,$V4994,'①在庫を貼る'!$W$6:$W$10005,$W4994)+COUNTIFS('月1回_1ヶ月前の在庫'!$V$6:$V$10005,$V4994,'月1回_1ヶ月前の在庫'!$W$6:$W$10005,$W4994)&gt;0),N(U4993),N(U4993)+1))</f>
        <v/>
      </c>
      <c r="V4994" s="19">
        <f>IF($B4994="","",TEXT($B4994,"0000"))</f>
        <v/>
      </c>
      <c r="W4994" s="19">
        <f>IF($I4994="","",IF(ISNUMBER($I4994),TEXT($I4994,"0"),$I4994))</f>
        <v/>
      </c>
    </row>
    <row r="4995">
      <c r="B4995" s="25" t="n"/>
      <c r="I4995" s="25" t="n"/>
      <c r="U4995" s="19">
        <f>IF($V4995&lt;&gt;'設定'!$C$4,N(U4994),IF(OR(NOT(COUNTIF('商品マスタ'!$B$6:$B$1005,$W4995)=0),COUNTIFS('①在庫を貼る'!$V$6:$V$10005,$V4995,'①在庫を貼る'!$W$6:$W$10005,$W4995)+COUNTIFS('月1回_1ヶ月前の在庫'!$V$6:$V$10005,$V4995,'月1回_1ヶ月前の在庫'!$W$6:$W$10005,$W4995)&gt;0),N(U4994),N(U4994)+1))</f>
        <v/>
      </c>
      <c r="V4995" s="19">
        <f>IF($B4995="","",TEXT($B4995,"0000"))</f>
        <v/>
      </c>
      <c r="W4995" s="19">
        <f>IF($I4995="","",IF(ISNUMBER($I4995),TEXT($I4995,"0"),$I4995))</f>
        <v/>
      </c>
    </row>
    <row r="4996">
      <c r="B4996" s="25" t="n"/>
      <c r="I4996" s="25" t="n"/>
      <c r="U4996" s="19">
        <f>IF($V4996&lt;&gt;'設定'!$C$4,N(U4995),IF(OR(NOT(COUNTIF('商品マスタ'!$B$6:$B$1005,$W4996)=0),COUNTIFS('①在庫を貼る'!$V$6:$V$10005,$V4996,'①在庫を貼る'!$W$6:$W$10005,$W4996)+COUNTIFS('月1回_1ヶ月前の在庫'!$V$6:$V$10005,$V4996,'月1回_1ヶ月前の在庫'!$W$6:$W$10005,$W4996)&gt;0),N(U4995),N(U4995)+1))</f>
        <v/>
      </c>
      <c r="V4996" s="19">
        <f>IF($B4996="","",TEXT($B4996,"0000"))</f>
        <v/>
      </c>
      <c r="W4996" s="19">
        <f>IF($I4996="","",IF(ISNUMBER($I4996),TEXT($I4996,"0"),$I4996))</f>
        <v/>
      </c>
    </row>
    <row r="4997">
      <c r="B4997" s="25" t="n"/>
      <c r="I4997" s="25" t="n"/>
      <c r="U4997" s="19">
        <f>IF($V4997&lt;&gt;'設定'!$C$4,N(U4996),IF(OR(NOT(COUNTIF('商品マスタ'!$B$6:$B$1005,$W4997)=0),COUNTIFS('①在庫を貼る'!$V$6:$V$10005,$V4997,'①在庫を貼る'!$W$6:$W$10005,$W4997)+COUNTIFS('月1回_1ヶ月前の在庫'!$V$6:$V$10005,$V4997,'月1回_1ヶ月前の在庫'!$W$6:$W$10005,$W4997)&gt;0),N(U4996),N(U4996)+1))</f>
        <v/>
      </c>
      <c r="V4997" s="19">
        <f>IF($B4997="","",TEXT($B4997,"0000"))</f>
        <v/>
      </c>
      <c r="W4997" s="19">
        <f>IF($I4997="","",IF(ISNUMBER($I4997),TEXT($I4997,"0"),$I4997))</f>
        <v/>
      </c>
    </row>
    <row r="4998">
      <c r="B4998" s="25" t="n"/>
      <c r="I4998" s="25" t="n"/>
      <c r="U4998" s="19">
        <f>IF($V4998&lt;&gt;'設定'!$C$4,N(U4997),IF(OR(NOT(COUNTIF('商品マスタ'!$B$6:$B$1005,$W4998)=0),COUNTIFS('①在庫を貼る'!$V$6:$V$10005,$V4998,'①在庫を貼る'!$W$6:$W$10005,$W4998)+COUNTIFS('月1回_1ヶ月前の在庫'!$V$6:$V$10005,$V4998,'月1回_1ヶ月前の在庫'!$W$6:$W$10005,$W4998)&gt;0),N(U4997),N(U4997)+1))</f>
        <v/>
      </c>
      <c r="V4998" s="19">
        <f>IF($B4998="","",TEXT($B4998,"0000"))</f>
        <v/>
      </c>
      <c r="W4998" s="19">
        <f>IF($I4998="","",IF(ISNUMBER($I4998),TEXT($I4998,"0"),$I4998))</f>
        <v/>
      </c>
    </row>
    <row r="4999">
      <c r="B4999" s="25" t="n"/>
      <c r="I4999" s="25" t="n"/>
      <c r="U4999" s="19">
        <f>IF($V4999&lt;&gt;'設定'!$C$4,N(U4998),IF(OR(NOT(COUNTIF('商品マスタ'!$B$6:$B$1005,$W4999)=0),COUNTIFS('①在庫を貼る'!$V$6:$V$10005,$V4999,'①在庫を貼る'!$W$6:$W$10005,$W4999)+COUNTIFS('月1回_1ヶ月前の在庫'!$V$6:$V$10005,$V4999,'月1回_1ヶ月前の在庫'!$W$6:$W$10005,$W4999)&gt;0),N(U4998),N(U4998)+1))</f>
        <v/>
      </c>
      <c r="V4999" s="19">
        <f>IF($B4999="","",TEXT($B4999,"0000"))</f>
        <v/>
      </c>
      <c r="W4999" s="19">
        <f>IF($I4999="","",IF(ISNUMBER($I4999),TEXT($I4999,"0"),$I4999))</f>
        <v/>
      </c>
    </row>
    <row r="5000">
      <c r="B5000" s="25" t="n"/>
      <c r="I5000" s="25" t="n"/>
      <c r="U5000" s="19">
        <f>IF($V5000&lt;&gt;'設定'!$C$4,N(U4999),IF(OR(NOT(COUNTIF('商品マスタ'!$B$6:$B$1005,$W5000)=0),COUNTIFS('①在庫を貼る'!$V$6:$V$10005,$V5000,'①在庫を貼る'!$W$6:$W$10005,$W5000)+COUNTIFS('月1回_1ヶ月前の在庫'!$V$6:$V$10005,$V5000,'月1回_1ヶ月前の在庫'!$W$6:$W$10005,$W5000)&gt;0),N(U4999),N(U4999)+1))</f>
        <v/>
      </c>
      <c r="V5000" s="19">
        <f>IF($B5000="","",TEXT($B5000,"0000"))</f>
        <v/>
      </c>
      <c r="W5000" s="19">
        <f>IF($I5000="","",IF(ISNUMBER($I5000),TEXT($I5000,"0"),$I5000))</f>
        <v/>
      </c>
    </row>
    <row r="5001">
      <c r="B5001" s="25" t="n"/>
      <c r="I5001" s="25" t="n"/>
      <c r="U5001" s="19">
        <f>IF($V5001&lt;&gt;'設定'!$C$4,N(U5000),IF(OR(NOT(COUNTIF('商品マスタ'!$B$6:$B$1005,$W5001)=0),COUNTIFS('①在庫を貼る'!$V$6:$V$10005,$V5001,'①在庫を貼る'!$W$6:$W$10005,$W5001)+COUNTIFS('月1回_1ヶ月前の在庫'!$V$6:$V$10005,$V5001,'月1回_1ヶ月前の在庫'!$W$6:$W$10005,$W5001)&gt;0),N(U5000),N(U5000)+1))</f>
        <v/>
      </c>
      <c r="V5001" s="19">
        <f>IF($B5001="","",TEXT($B5001,"0000"))</f>
        <v/>
      </c>
      <c r="W5001" s="19">
        <f>IF($I5001="","",IF(ISNUMBER($I5001),TEXT($I5001,"0"),$I5001))</f>
        <v/>
      </c>
    </row>
    <row r="5002">
      <c r="B5002" s="25" t="n"/>
      <c r="I5002" s="25" t="n"/>
      <c r="U5002" s="19">
        <f>IF($V5002&lt;&gt;'設定'!$C$4,N(U5001),IF(OR(NOT(COUNTIF('商品マスタ'!$B$6:$B$1005,$W5002)=0),COUNTIFS('①在庫を貼る'!$V$6:$V$10005,$V5002,'①在庫を貼る'!$W$6:$W$10005,$W5002)+COUNTIFS('月1回_1ヶ月前の在庫'!$V$6:$V$10005,$V5002,'月1回_1ヶ月前の在庫'!$W$6:$W$10005,$W5002)&gt;0),N(U5001),N(U5001)+1))</f>
        <v/>
      </c>
      <c r="V5002" s="19">
        <f>IF($B5002="","",TEXT($B5002,"0000"))</f>
        <v/>
      </c>
      <c r="W5002" s="19">
        <f>IF($I5002="","",IF(ISNUMBER($I5002),TEXT($I5002,"0"),$I5002))</f>
        <v/>
      </c>
    </row>
    <row r="5003">
      <c r="B5003" s="25" t="n"/>
      <c r="I5003" s="25" t="n"/>
      <c r="U5003" s="19">
        <f>IF($V5003&lt;&gt;'設定'!$C$4,N(U5002),IF(OR(NOT(COUNTIF('商品マスタ'!$B$6:$B$1005,$W5003)=0),COUNTIFS('①在庫を貼る'!$V$6:$V$10005,$V5003,'①在庫を貼る'!$W$6:$W$10005,$W5003)+COUNTIFS('月1回_1ヶ月前の在庫'!$V$6:$V$10005,$V5003,'月1回_1ヶ月前の在庫'!$W$6:$W$10005,$W5003)&gt;0),N(U5002),N(U5002)+1))</f>
        <v/>
      </c>
      <c r="V5003" s="19">
        <f>IF($B5003="","",TEXT($B5003,"0000"))</f>
        <v/>
      </c>
      <c r="W5003" s="19">
        <f>IF($I5003="","",IF(ISNUMBER($I5003),TEXT($I5003,"0"),$I5003))</f>
        <v/>
      </c>
    </row>
    <row r="5004">
      <c r="B5004" s="25" t="n"/>
      <c r="I5004" s="25" t="n"/>
      <c r="U5004" s="19">
        <f>IF($V5004&lt;&gt;'設定'!$C$4,N(U5003),IF(OR(NOT(COUNTIF('商品マスタ'!$B$6:$B$1005,$W5004)=0),COUNTIFS('①在庫を貼る'!$V$6:$V$10005,$V5004,'①在庫を貼る'!$W$6:$W$10005,$W5004)+COUNTIFS('月1回_1ヶ月前の在庫'!$V$6:$V$10005,$V5004,'月1回_1ヶ月前の在庫'!$W$6:$W$10005,$W5004)&gt;0),N(U5003),N(U5003)+1))</f>
        <v/>
      </c>
      <c r="V5004" s="19">
        <f>IF($B5004="","",TEXT($B5004,"0000"))</f>
        <v/>
      </c>
      <c r="W5004" s="19">
        <f>IF($I5004="","",IF(ISNUMBER($I5004),TEXT($I5004,"0"),$I5004))</f>
        <v/>
      </c>
    </row>
    <row r="5005">
      <c r="B5005" s="25" t="n"/>
      <c r="I5005" s="25" t="n"/>
      <c r="U5005" s="19">
        <f>IF($V5005&lt;&gt;'設定'!$C$4,N(U5004),IF(OR(NOT(COUNTIF('商品マスタ'!$B$6:$B$1005,$W5005)=0),COUNTIFS('①在庫を貼る'!$V$6:$V$10005,$V5005,'①在庫を貼る'!$W$6:$W$10005,$W5005)+COUNTIFS('月1回_1ヶ月前の在庫'!$V$6:$V$10005,$V5005,'月1回_1ヶ月前の在庫'!$W$6:$W$10005,$W5005)&gt;0),N(U5004),N(U5004)+1))</f>
        <v/>
      </c>
      <c r="V5005" s="19">
        <f>IF($B5005="","",TEXT($B5005,"0000"))</f>
        <v/>
      </c>
      <c r="W5005" s="19">
        <f>IF($I5005="","",IF(ISNUMBER($I5005),TEXT($I5005,"0"),$I5005))</f>
        <v/>
      </c>
    </row>
    <row r="5006">
      <c r="B5006" s="25" t="n"/>
      <c r="I5006" s="25" t="n"/>
      <c r="U5006" s="19">
        <f>IF($V5006&lt;&gt;'設定'!$C$4,N(U5005),IF(OR(NOT(COUNTIF('商品マスタ'!$B$6:$B$1005,$W5006)=0),COUNTIFS('①在庫を貼る'!$V$6:$V$10005,$V5006,'①在庫を貼る'!$W$6:$W$10005,$W5006)+COUNTIFS('月1回_1ヶ月前の在庫'!$V$6:$V$10005,$V5006,'月1回_1ヶ月前の在庫'!$W$6:$W$10005,$W5006)&gt;0),N(U5005),N(U5005)+1))</f>
        <v/>
      </c>
      <c r="V5006" s="19">
        <f>IF($B5006="","",TEXT($B5006,"0000"))</f>
        <v/>
      </c>
      <c r="W5006" s="19">
        <f>IF($I5006="","",IF(ISNUMBER($I5006),TEXT($I5006,"0"),$I5006))</f>
        <v/>
      </c>
    </row>
    <row r="5007">
      <c r="B5007" s="25" t="n"/>
      <c r="I5007" s="25" t="n"/>
      <c r="U5007" s="19">
        <f>IF($V5007&lt;&gt;'設定'!$C$4,N(U5006),IF(OR(NOT(COUNTIF('商品マスタ'!$B$6:$B$1005,$W5007)=0),COUNTIFS('①在庫を貼る'!$V$6:$V$10005,$V5007,'①在庫を貼る'!$W$6:$W$10005,$W5007)+COUNTIFS('月1回_1ヶ月前の在庫'!$V$6:$V$10005,$V5007,'月1回_1ヶ月前の在庫'!$W$6:$W$10005,$W5007)&gt;0),N(U5006),N(U5006)+1))</f>
        <v/>
      </c>
      <c r="V5007" s="19">
        <f>IF($B5007="","",TEXT($B5007,"0000"))</f>
        <v/>
      </c>
      <c r="W5007" s="19">
        <f>IF($I5007="","",IF(ISNUMBER($I5007),TEXT($I5007,"0"),$I5007))</f>
        <v/>
      </c>
    </row>
    <row r="5008">
      <c r="B5008" s="25" t="n"/>
      <c r="I5008" s="25" t="n"/>
      <c r="U5008" s="19">
        <f>IF($V5008&lt;&gt;'設定'!$C$4,N(U5007),IF(OR(NOT(COUNTIF('商品マスタ'!$B$6:$B$1005,$W5008)=0),COUNTIFS('①在庫を貼る'!$V$6:$V$10005,$V5008,'①在庫を貼る'!$W$6:$W$10005,$W5008)+COUNTIFS('月1回_1ヶ月前の在庫'!$V$6:$V$10005,$V5008,'月1回_1ヶ月前の在庫'!$W$6:$W$10005,$W5008)&gt;0),N(U5007),N(U5007)+1))</f>
        <v/>
      </c>
      <c r="V5008" s="19">
        <f>IF($B5008="","",TEXT($B5008,"0000"))</f>
        <v/>
      </c>
      <c r="W5008" s="19">
        <f>IF($I5008="","",IF(ISNUMBER($I5008),TEXT($I5008,"0"),$I5008))</f>
        <v/>
      </c>
    </row>
    <row r="5009">
      <c r="B5009" s="25" t="n"/>
      <c r="I5009" s="25" t="n"/>
      <c r="U5009" s="19">
        <f>IF($V5009&lt;&gt;'設定'!$C$4,N(U5008),IF(OR(NOT(COUNTIF('商品マスタ'!$B$6:$B$1005,$W5009)=0),COUNTIFS('①在庫を貼る'!$V$6:$V$10005,$V5009,'①在庫を貼る'!$W$6:$W$10005,$W5009)+COUNTIFS('月1回_1ヶ月前の在庫'!$V$6:$V$10005,$V5009,'月1回_1ヶ月前の在庫'!$W$6:$W$10005,$W5009)&gt;0),N(U5008),N(U5008)+1))</f>
        <v/>
      </c>
      <c r="V5009" s="19">
        <f>IF($B5009="","",TEXT($B5009,"0000"))</f>
        <v/>
      </c>
      <c r="W5009" s="19">
        <f>IF($I5009="","",IF(ISNUMBER($I5009),TEXT($I5009,"0"),$I5009))</f>
        <v/>
      </c>
    </row>
    <row r="5010">
      <c r="B5010" s="25" t="n"/>
      <c r="I5010" s="25" t="n"/>
      <c r="U5010" s="19">
        <f>IF($V5010&lt;&gt;'設定'!$C$4,N(U5009),IF(OR(NOT(COUNTIF('商品マスタ'!$B$6:$B$1005,$W5010)=0),COUNTIFS('①在庫を貼る'!$V$6:$V$10005,$V5010,'①在庫を貼る'!$W$6:$W$10005,$W5010)+COUNTIFS('月1回_1ヶ月前の在庫'!$V$6:$V$10005,$V5010,'月1回_1ヶ月前の在庫'!$W$6:$W$10005,$W5010)&gt;0),N(U5009),N(U5009)+1))</f>
        <v/>
      </c>
      <c r="V5010" s="19">
        <f>IF($B5010="","",TEXT($B5010,"0000"))</f>
        <v/>
      </c>
      <c r="W5010" s="19">
        <f>IF($I5010="","",IF(ISNUMBER($I5010),TEXT($I5010,"0"),$I5010))</f>
        <v/>
      </c>
    </row>
    <row r="5011">
      <c r="B5011" s="25" t="n"/>
      <c r="I5011" s="25" t="n"/>
      <c r="U5011" s="19">
        <f>IF($V5011&lt;&gt;'設定'!$C$4,N(U5010),IF(OR(NOT(COUNTIF('商品マスタ'!$B$6:$B$1005,$W5011)=0),COUNTIFS('①在庫を貼る'!$V$6:$V$10005,$V5011,'①在庫を貼る'!$W$6:$W$10005,$W5011)+COUNTIFS('月1回_1ヶ月前の在庫'!$V$6:$V$10005,$V5011,'月1回_1ヶ月前の在庫'!$W$6:$W$10005,$W5011)&gt;0),N(U5010),N(U5010)+1))</f>
        <v/>
      </c>
      <c r="V5011" s="19">
        <f>IF($B5011="","",TEXT($B5011,"0000"))</f>
        <v/>
      </c>
      <c r="W5011" s="19">
        <f>IF($I5011="","",IF(ISNUMBER($I5011),TEXT($I5011,"0"),$I5011))</f>
        <v/>
      </c>
    </row>
    <row r="5012">
      <c r="B5012" s="25" t="n"/>
      <c r="I5012" s="25" t="n"/>
      <c r="U5012" s="19">
        <f>IF($V5012&lt;&gt;'設定'!$C$4,N(U5011),IF(OR(NOT(COUNTIF('商品マスタ'!$B$6:$B$1005,$W5012)=0),COUNTIFS('①在庫を貼る'!$V$6:$V$10005,$V5012,'①在庫を貼る'!$W$6:$W$10005,$W5012)+COUNTIFS('月1回_1ヶ月前の在庫'!$V$6:$V$10005,$V5012,'月1回_1ヶ月前の在庫'!$W$6:$W$10005,$W5012)&gt;0),N(U5011),N(U5011)+1))</f>
        <v/>
      </c>
      <c r="V5012" s="19">
        <f>IF($B5012="","",TEXT($B5012,"0000"))</f>
        <v/>
      </c>
      <c r="W5012" s="19">
        <f>IF($I5012="","",IF(ISNUMBER($I5012),TEXT($I5012,"0"),$I5012))</f>
        <v/>
      </c>
    </row>
    <row r="5013">
      <c r="B5013" s="25" t="n"/>
      <c r="I5013" s="25" t="n"/>
      <c r="U5013" s="19">
        <f>IF($V5013&lt;&gt;'設定'!$C$4,N(U5012),IF(OR(NOT(COUNTIF('商品マスタ'!$B$6:$B$1005,$W5013)=0),COUNTIFS('①在庫を貼る'!$V$6:$V$10005,$V5013,'①在庫を貼る'!$W$6:$W$10005,$W5013)+COUNTIFS('月1回_1ヶ月前の在庫'!$V$6:$V$10005,$V5013,'月1回_1ヶ月前の在庫'!$W$6:$W$10005,$W5013)&gt;0),N(U5012),N(U5012)+1))</f>
        <v/>
      </c>
      <c r="V5013" s="19">
        <f>IF($B5013="","",TEXT($B5013,"0000"))</f>
        <v/>
      </c>
      <c r="W5013" s="19">
        <f>IF($I5013="","",IF(ISNUMBER($I5013),TEXT($I5013,"0"),$I5013))</f>
        <v/>
      </c>
    </row>
    <row r="5014">
      <c r="B5014" s="25" t="n"/>
      <c r="I5014" s="25" t="n"/>
      <c r="U5014" s="19">
        <f>IF($V5014&lt;&gt;'設定'!$C$4,N(U5013),IF(OR(NOT(COUNTIF('商品マスタ'!$B$6:$B$1005,$W5014)=0),COUNTIFS('①在庫を貼る'!$V$6:$V$10005,$V5014,'①在庫を貼る'!$W$6:$W$10005,$W5014)+COUNTIFS('月1回_1ヶ月前の在庫'!$V$6:$V$10005,$V5014,'月1回_1ヶ月前の在庫'!$W$6:$W$10005,$W5014)&gt;0),N(U5013),N(U5013)+1))</f>
        <v/>
      </c>
      <c r="V5014" s="19">
        <f>IF($B5014="","",TEXT($B5014,"0000"))</f>
        <v/>
      </c>
      <c r="W5014" s="19">
        <f>IF($I5014="","",IF(ISNUMBER($I5014),TEXT($I5014,"0"),$I5014))</f>
        <v/>
      </c>
    </row>
    <row r="5015">
      <c r="B5015" s="25" t="n"/>
      <c r="I5015" s="25" t="n"/>
      <c r="U5015" s="19">
        <f>IF($V5015&lt;&gt;'設定'!$C$4,N(U5014),IF(OR(NOT(COUNTIF('商品マスタ'!$B$6:$B$1005,$W5015)=0),COUNTIFS('①在庫を貼る'!$V$6:$V$10005,$V5015,'①在庫を貼る'!$W$6:$W$10005,$W5015)+COUNTIFS('月1回_1ヶ月前の在庫'!$V$6:$V$10005,$V5015,'月1回_1ヶ月前の在庫'!$W$6:$W$10005,$W5015)&gt;0),N(U5014),N(U5014)+1))</f>
        <v/>
      </c>
      <c r="V5015" s="19">
        <f>IF($B5015="","",TEXT($B5015,"0000"))</f>
        <v/>
      </c>
      <c r="W5015" s="19">
        <f>IF($I5015="","",IF(ISNUMBER($I5015),TEXT($I5015,"0"),$I5015))</f>
        <v/>
      </c>
    </row>
    <row r="5016">
      <c r="B5016" s="25" t="n"/>
      <c r="I5016" s="25" t="n"/>
      <c r="U5016" s="19">
        <f>IF($V5016&lt;&gt;'設定'!$C$4,N(U5015),IF(OR(NOT(COUNTIF('商品マスタ'!$B$6:$B$1005,$W5016)=0),COUNTIFS('①在庫を貼る'!$V$6:$V$10005,$V5016,'①在庫を貼る'!$W$6:$W$10005,$W5016)+COUNTIFS('月1回_1ヶ月前の在庫'!$V$6:$V$10005,$V5016,'月1回_1ヶ月前の在庫'!$W$6:$W$10005,$W5016)&gt;0),N(U5015),N(U5015)+1))</f>
        <v/>
      </c>
      <c r="V5016" s="19">
        <f>IF($B5016="","",TEXT($B5016,"0000"))</f>
        <v/>
      </c>
      <c r="W5016" s="19">
        <f>IF($I5016="","",IF(ISNUMBER($I5016),TEXT($I5016,"0"),$I5016))</f>
        <v/>
      </c>
    </row>
    <row r="5017">
      <c r="B5017" s="25" t="n"/>
      <c r="I5017" s="25" t="n"/>
      <c r="U5017" s="19">
        <f>IF($V5017&lt;&gt;'設定'!$C$4,N(U5016),IF(OR(NOT(COUNTIF('商品マスタ'!$B$6:$B$1005,$W5017)=0),COUNTIFS('①在庫を貼る'!$V$6:$V$10005,$V5017,'①在庫を貼る'!$W$6:$W$10005,$W5017)+COUNTIFS('月1回_1ヶ月前の在庫'!$V$6:$V$10005,$V5017,'月1回_1ヶ月前の在庫'!$W$6:$W$10005,$W5017)&gt;0),N(U5016),N(U5016)+1))</f>
        <v/>
      </c>
      <c r="V5017" s="19">
        <f>IF($B5017="","",TEXT($B5017,"0000"))</f>
        <v/>
      </c>
      <c r="W5017" s="19">
        <f>IF($I5017="","",IF(ISNUMBER($I5017),TEXT($I5017,"0"),$I5017))</f>
        <v/>
      </c>
    </row>
    <row r="5018">
      <c r="B5018" s="25" t="n"/>
      <c r="I5018" s="25" t="n"/>
      <c r="U5018" s="19">
        <f>IF($V5018&lt;&gt;'設定'!$C$4,N(U5017),IF(OR(NOT(COUNTIF('商品マスタ'!$B$6:$B$1005,$W5018)=0),COUNTIFS('①在庫を貼る'!$V$6:$V$10005,$V5018,'①在庫を貼る'!$W$6:$W$10005,$W5018)+COUNTIFS('月1回_1ヶ月前の在庫'!$V$6:$V$10005,$V5018,'月1回_1ヶ月前の在庫'!$W$6:$W$10005,$W5018)&gt;0),N(U5017),N(U5017)+1))</f>
        <v/>
      </c>
      <c r="V5018" s="19">
        <f>IF($B5018="","",TEXT($B5018,"0000"))</f>
        <v/>
      </c>
      <c r="W5018" s="19">
        <f>IF($I5018="","",IF(ISNUMBER($I5018),TEXT($I5018,"0"),$I5018))</f>
        <v/>
      </c>
    </row>
    <row r="5019">
      <c r="B5019" s="25" t="n"/>
      <c r="I5019" s="25" t="n"/>
      <c r="U5019" s="19">
        <f>IF($V5019&lt;&gt;'設定'!$C$4,N(U5018),IF(OR(NOT(COUNTIF('商品マスタ'!$B$6:$B$1005,$W5019)=0),COUNTIFS('①在庫を貼る'!$V$6:$V$10005,$V5019,'①在庫を貼る'!$W$6:$W$10005,$W5019)+COUNTIFS('月1回_1ヶ月前の在庫'!$V$6:$V$10005,$V5019,'月1回_1ヶ月前の在庫'!$W$6:$W$10005,$W5019)&gt;0),N(U5018),N(U5018)+1))</f>
        <v/>
      </c>
      <c r="V5019" s="19">
        <f>IF($B5019="","",TEXT($B5019,"0000"))</f>
        <v/>
      </c>
      <c r="W5019" s="19">
        <f>IF($I5019="","",IF(ISNUMBER($I5019),TEXT($I5019,"0"),$I5019))</f>
        <v/>
      </c>
    </row>
    <row r="5020">
      <c r="B5020" s="25" t="n"/>
      <c r="I5020" s="25" t="n"/>
      <c r="U5020" s="19">
        <f>IF($V5020&lt;&gt;'設定'!$C$4,N(U5019),IF(OR(NOT(COUNTIF('商品マスタ'!$B$6:$B$1005,$W5020)=0),COUNTIFS('①在庫を貼る'!$V$6:$V$10005,$V5020,'①在庫を貼る'!$W$6:$W$10005,$W5020)+COUNTIFS('月1回_1ヶ月前の在庫'!$V$6:$V$10005,$V5020,'月1回_1ヶ月前の在庫'!$W$6:$W$10005,$W5020)&gt;0),N(U5019),N(U5019)+1))</f>
        <v/>
      </c>
      <c r="V5020" s="19">
        <f>IF($B5020="","",TEXT($B5020,"0000"))</f>
        <v/>
      </c>
      <c r="W5020" s="19">
        <f>IF($I5020="","",IF(ISNUMBER($I5020),TEXT($I5020,"0"),$I5020))</f>
        <v/>
      </c>
    </row>
    <row r="5021">
      <c r="B5021" s="25" t="n"/>
      <c r="I5021" s="25" t="n"/>
      <c r="U5021" s="19">
        <f>IF($V5021&lt;&gt;'設定'!$C$4,N(U5020),IF(OR(NOT(COUNTIF('商品マスタ'!$B$6:$B$1005,$W5021)=0),COUNTIFS('①在庫を貼る'!$V$6:$V$10005,$V5021,'①在庫を貼る'!$W$6:$W$10005,$W5021)+COUNTIFS('月1回_1ヶ月前の在庫'!$V$6:$V$10005,$V5021,'月1回_1ヶ月前の在庫'!$W$6:$W$10005,$W5021)&gt;0),N(U5020),N(U5020)+1))</f>
        <v/>
      </c>
      <c r="V5021" s="19">
        <f>IF($B5021="","",TEXT($B5021,"0000"))</f>
        <v/>
      </c>
      <c r="W5021" s="19">
        <f>IF($I5021="","",IF(ISNUMBER($I5021),TEXT($I5021,"0"),$I5021))</f>
        <v/>
      </c>
    </row>
    <row r="5022">
      <c r="B5022" s="25" t="n"/>
      <c r="I5022" s="25" t="n"/>
      <c r="U5022" s="19">
        <f>IF($V5022&lt;&gt;'設定'!$C$4,N(U5021),IF(OR(NOT(COUNTIF('商品マスタ'!$B$6:$B$1005,$W5022)=0),COUNTIFS('①在庫を貼る'!$V$6:$V$10005,$V5022,'①在庫を貼る'!$W$6:$W$10005,$W5022)+COUNTIFS('月1回_1ヶ月前の在庫'!$V$6:$V$10005,$V5022,'月1回_1ヶ月前の在庫'!$W$6:$W$10005,$W5022)&gt;0),N(U5021),N(U5021)+1))</f>
        <v/>
      </c>
      <c r="V5022" s="19">
        <f>IF($B5022="","",TEXT($B5022,"0000"))</f>
        <v/>
      </c>
      <c r="W5022" s="19">
        <f>IF($I5022="","",IF(ISNUMBER($I5022),TEXT($I5022,"0"),$I5022))</f>
        <v/>
      </c>
    </row>
    <row r="5023">
      <c r="B5023" s="25" t="n"/>
      <c r="I5023" s="25" t="n"/>
      <c r="U5023" s="19">
        <f>IF($V5023&lt;&gt;'設定'!$C$4,N(U5022),IF(OR(NOT(COUNTIF('商品マスタ'!$B$6:$B$1005,$W5023)=0),COUNTIFS('①在庫を貼る'!$V$6:$V$10005,$V5023,'①在庫を貼る'!$W$6:$W$10005,$W5023)+COUNTIFS('月1回_1ヶ月前の在庫'!$V$6:$V$10005,$V5023,'月1回_1ヶ月前の在庫'!$W$6:$W$10005,$W5023)&gt;0),N(U5022),N(U5022)+1))</f>
        <v/>
      </c>
      <c r="V5023" s="19">
        <f>IF($B5023="","",TEXT($B5023,"0000"))</f>
        <v/>
      </c>
      <c r="W5023" s="19">
        <f>IF($I5023="","",IF(ISNUMBER($I5023),TEXT($I5023,"0"),$I5023))</f>
        <v/>
      </c>
    </row>
    <row r="5024">
      <c r="B5024" s="25" t="n"/>
      <c r="I5024" s="25" t="n"/>
      <c r="U5024" s="19">
        <f>IF($V5024&lt;&gt;'設定'!$C$4,N(U5023),IF(OR(NOT(COUNTIF('商品マスタ'!$B$6:$B$1005,$W5024)=0),COUNTIFS('①在庫を貼る'!$V$6:$V$10005,$V5024,'①在庫を貼る'!$W$6:$W$10005,$W5024)+COUNTIFS('月1回_1ヶ月前の在庫'!$V$6:$V$10005,$V5024,'月1回_1ヶ月前の在庫'!$W$6:$W$10005,$W5024)&gt;0),N(U5023),N(U5023)+1))</f>
        <v/>
      </c>
      <c r="V5024" s="19">
        <f>IF($B5024="","",TEXT($B5024,"0000"))</f>
        <v/>
      </c>
      <c r="W5024" s="19">
        <f>IF($I5024="","",IF(ISNUMBER($I5024),TEXT($I5024,"0"),$I5024))</f>
        <v/>
      </c>
    </row>
    <row r="5025">
      <c r="B5025" s="25" t="n"/>
      <c r="I5025" s="25" t="n"/>
      <c r="U5025" s="19">
        <f>IF($V5025&lt;&gt;'設定'!$C$4,N(U5024),IF(OR(NOT(COUNTIF('商品マスタ'!$B$6:$B$1005,$W5025)=0),COUNTIFS('①在庫を貼る'!$V$6:$V$10005,$V5025,'①在庫を貼る'!$W$6:$W$10005,$W5025)+COUNTIFS('月1回_1ヶ月前の在庫'!$V$6:$V$10005,$V5025,'月1回_1ヶ月前の在庫'!$W$6:$W$10005,$W5025)&gt;0),N(U5024),N(U5024)+1))</f>
        <v/>
      </c>
      <c r="V5025" s="19">
        <f>IF($B5025="","",TEXT($B5025,"0000"))</f>
        <v/>
      </c>
      <c r="W5025" s="19">
        <f>IF($I5025="","",IF(ISNUMBER($I5025),TEXT($I5025,"0"),$I5025))</f>
        <v/>
      </c>
    </row>
    <row r="5026">
      <c r="B5026" s="25" t="n"/>
      <c r="I5026" s="25" t="n"/>
      <c r="U5026" s="19">
        <f>IF($V5026&lt;&gt;'設定'!$C$4,N(U5025),IF(OR(NOT(COUNTIF('商品マスタ'!$B$6:$B$1005,$W5026)=0),COUNTIFS('①在庫を貼る'!$V$6:$V$10005,$V5026,'①在庫を貼る'!$W$6:$W$10005,$W5026)+COUNTIFS('月1回_1ヶ月前の在庫'!$V$6:$V$10005,$V5026,'月1回_1ヶ月前の在庫'!$W$6:$W$10005,$W5026)&gt;0),N(U5025),N(U5025)+1))</f>
        <v/>
      </c>
      <c r="V5026" s="19">
        <f>IF($B5026="","",TEXT($B5026,"0000"))</f>
        <v/>
      </c>
      <c r="W5026" s="19">
        <f>IF($I5026="","",IF(ISNUMBER($I5026),TEXT($I5026,"0"),$I5026))</f>
        <v/>
      </c>
    </row>
    <row r="5027">
      <c r="B5027" s="25" t="n"/>
      <c r="I5027" s="25" t="n"/>
      <c r="U5027" s="19">
        <f>IF($V5027&lt;&gt;'設定'!$C$4,N(U5026),IF(OR(NOT(COUNTIF('商品マスタ'!$B$6:$B$1005,$W5027)=0),COUNTIFS('①在庫を貼る'!$V$6:$V$10005,$V5027,'①在庫を貼る'!$W$6:$W$10005,$W5027)+COUNTIFS('月1回_1ヶ月前の在庫'!$V$6:$V$10005,$V5027,'月1回_1ヶ月前の在庫'!$W$6:$W$10005,$W5027)&gt;0),N(U5026),N(U5026)+1))</f>
        <v/>
      </c>
      <c r="V5027" s="19">
        <f>IF($B5027="","",TEXT($B5027,"0000"))</f>
        <v/>
      </c>
      <c r="W5027" s="19">
        <f>IF($I5027="","",IF(ISNUMBER($I5027),TEXT($I5027,"0"),$I5027))</f>
        <v/>
      </c>
    </row>
    <row r="5028">
      <c r="B5028" s="25" t="n"/>
      <c r="I5028" s="25" t="n"/>
      <c r="U5028" s="19">
        <f>IF($V5028&lt;&gt;'設定'!$C$4,N(U5027),IF(OR(NOT(COUNTIF('商品マスタ'!$B$6:$B$1005,$W5028)=0),COUNTIFS('①在庫を貼る'!$V$6:$V$10005,$V5028,'①在庫を貼る'!$W$6:$W$10005,$W5028)+COUNTIFS('月1回_1ヶ月前の在庫'!$V$6:$V$10005,$V5028,'月1回_1ヶ月前の在庫'!$W$6:$W$10005,$W5028)&gt;0),N(U5027),N(U5027)+1))</f>
        <v/>
      </c>
      <c r="V5028" s="19">
        <f>IF($B5028="","",TEXT($B5028,"0000"))</f>
        <v/>
      </c>
      <c r="W5028" s="19">
        <f>IF($I5028="","",IF(ISNUMBER($I5028),TEXT($I5028,"0"),$I5028))</f>
        <v/>
      </c>
    </row>
    <row r="5029">
      <c r="B5029" s="25" t="n"/>
      <c r="I5029" s="25" t="n"/>
      <c r="U5029" s="19">
        <f>IF($V5029&lt;&gt;'設定'!$C$4,N(U5028),IF(OR(NOT(COUNTIF('商品マスタ'!$B$6:$B$1005,$W5029)=0),COUNTIFS('①在庫を貼る'!$V$6:$V$10005,$V5029,'①在庫を貼る'!$W$6:$W$10005,$W5029)+COUNTIFS('月1回_1ヶ月前の在庫'!$V$6:$V$10005,$V5029,'月1回_1ヶ月前の在庫'!$W$6:$W$10005,$W5029)&gt;0),N(U5028),N(U5028)+1))</f>
        <v/>
      </c>
      <c r="V5029" s="19">
        <f>IF($B5029="","",TEXT($B5029,"0000"))</f>
        <v/>
      </c>
      <c r="W5029" s="19">
        <f>IF($I5029="","",IF(ISNUMBER($I5029),TEXT($I5029,"0"),$I5029))</f>
        <v/>
      </c>
    </row>
    <row r="5030">
      <c r="B5030" s="25" t="n"/>
      <c r="I5030" s="25" t="n"/>
      <c r="U5030" s="19">
        <f>IF($V5030&lt;&gt;'設定'!$C$4,N(U5029),IF(OR(NOT(COUNTIF('商品マスタ'!$B$6:$B$1005,$W5030)=0),COUNTIFS('①在庫を貼る'!$V$6:$V$10005,$V5030,'①在庫を貼る'!$W$6:$W$10005,$W5030)+COUNTIFS('月1回_1ヶ月前の在庫'!$V$6:$V$10005,$V5030,'月1回_1ヶ月前の在庫'!$W$6:$W$10005,$W5030)&gt;0),N(U5029),N(U5029)+1))</f>
        <v/>
      </c>
      <c r="V5030" s="19">
        <f>IF($B5030="","",TEXT($B5030,"0000"))</f>
        <v/>
      </c>
      <c r="W5030" s="19">
        <f>IF($I5030="","",IF(ISNUMBER($I5030),TEXT($I5030,"0"),$I5030))</f>
        <v/>
      </c>
    </row>
    <row r="5031">
      <c r="B5031" s="25" t="n"/>
      <c r="I5031" s="25" t="n"/>
      <c r="U5031" s="19">
        <f>IF($V5031&lt;&gt;'設定'!$C$4,N(U5030),IF(OR(NOT(COUNTIF('商品マスタ'!$B$6:$B$1005,$W5031)=0),COUNTIFS('①在庫を貼る'!$V$6:$V$10005,$V5031,'①在庫を貼る'!$W$6:$W$10005,$W5031)+COUNTIFS('月1回_1ヶ月前の在庫'!$V$6:$V$10005,$V5031,'月1回_1ヶ月前の在庫'!$W$6:$W$10005,$W5031)&gt;0),N(U5030),N(U5030)+1))</f>
        <v/>
      </c>
      <c r="V5031" s="19">
        <f>IF($B5031="","",TEXT($B5031,"0000"))</f>
        <v/>
      </c>
      <c r="W5031" s="19">
        <f>IF($I5031="","",IF(ISNUMBER($I5031),TEXT($I5031,"0"),$I5031))</f>
        <v/>
      </c>
    </row>
    <row r="5032">
      <c r="B5032" s="25" t="n"/>
      <c r="I5032" s="25" t="n"/>
      <c r="U5032" s="19">
        <f>IF($V5032&lt;&gt;'設定'!$C$4,N(U5031),IF(OR(NOT(COUNTIF('商品マスタ'!$B$6:$B$1005,$W5032)=0),COUNTIFS('①在庫を貼る'!$V$6:$V$10005,$V5032,'①在庫を貼る'!$W$6:$W$10005,$W5032)+COUNTIFS('月1回_1ヶ月前の在庫'!$V$6:$V$10005,$V5032,'月1回_1ヶ月前の在庫'!$W$6:$W$10005,$W5032)&gt;0),N(U5031),N(U5031)+1))</f>
        <v/>
      </c>
      <c r="V5032" s="19">
        <f>IF($B5032="","",TEXT($B5032,"0000"))</f>
        <v/>
      </c>
      <c r="W5032" s="19">
        <f>IF($I5032="","",IF(ISNUMBER($I5032),TEXT($I5032,"0"),$I5032))</f>
        <v/>
      </c>
    </row>
    <row r="5033">
      <c r="B5033" s="25" t="n"/>
      <c r="I5033" s="25" t="n"/>
      <c r="U5033" s="19">
        <f>IF($V5033&lt;&gt;'設定'!$C$4,N(U5032),IF(OR(NOT(COUNTIF('商品マスタ'!$B$6:$B$1005,$W5033)=0),COUNTIFS('①在庫を貼る'!$V$6:$V$10005,$V5033,'①在庫を貼る'!$W$6:$W$10005,$W5033)+COUNTIFS('月1回_1ヶ月前の在庫'!$V$6:$V$10005,$V5033,'月1回_1ヶ月前の在庫'!$W$6:$W$10005,$W5033)&gt;0),N(U5032),N(U5032)+1))</f>
        <v/>
      </c>
      <c r="V5033" s="19">
        <f>IF($B5033="","",TEXT($B5033,"0000"))</f>
        <v/>
      </c>
      <c r="W5033" s="19">
        <f>IF($I5033="","",IF(ISNUMBER($I5033),TEXT($I5033,"0"),$I5033))</f>
        <v/>
      </c>
    </row>
    <row r="5034">
      <c r="B5034" s="25" t="n"/>
      <c r="I5034" s="25" t="n"/>
      <c r="U5034" s="19">
        <f>IF($V5034&lt;&gt;'設定'!$C$4,N(U5033),IF(OR(NOT(COUNTIF('商品マスタ'!$B$6:$B$1005,$W5034)=0),COUNTIFS('①在庫を貼る'!$V$6:$V$10005,$V5034,'①在庫を貼る'!$W$6:$W$10005,$W5034)+COUNTIFS('月1回_1ヶ月前の在庫'!$V$6:$V$10005,$V5034,'月1回_1ヶ月前の在庫'!$W$6:$W$10005,$W5034)&gt;0),N(U5033),N(U5033)+1))</f>
        <v/>
      </c>
      <c r="V5034" s="19">
        <f>IF($B5034="","",TEXT($B5034,"0000"))</f>
        <v/>
      </c>
      <c r="W5034" s="19">
        <f>IF($I5034="","",IF(ISNUMBER($I5034),TEXT($I5034,"0"),$I5034))</f>
        <v/>
      </c>
    </row>
    <row r="5035">
      <c r="B5035" s="25" t="n"/>
      <c r="I5035" s="25" t="n"/>
      <c r="U5035" s="19">
        <f>IF($V5035&lt;&gt;'設定'!$C$4,N(U5034),IF(OR(NOT(COUNTIF('商品マスタ'!$B$6:$B$1005,$W5035)=0),COUNTIFS('①在庫を貼る'!$V$6:$V$10005,$V5035,'①在庫を貼る'!$W$6:$W$10005,$W5035)+COUNTIFS('月1回_1ヶ月前の在庫'!$V$6:$V$10005,$V5035,'月1回_1ヶ月前の在庫'!$W$6:$W$10005,$W5035)&gt;0),N(U5034),N(U5034)+1))</f>
        <v/>
      </c>
      <c r="V5035" s="19">
        <f>IF($B5035="","",TEXT($B5035,"0000"))</f>
        <v/>
      </c>
      <c r="W5035" s="19">
        <f>IF($I5035="","",IF(ISNUMBER($I5035),TEXT($I5035,"0"),$I5035))</f>
        <v/>
      </c>
    </row>
    <row r="5036">
      <c r="B5036" s="25" t="n"/>
      <c r="I5036" s="25" t="n"/>
      <c r="U5036" s="19">
        <f>IF($V5036&lt;&gt;'設定'!$C$4,N(U5035),IF(OR(NOT(COUNTIF('商品マスタ'!$B$6:$B$1005,$W5036)=0),COUNTIFS('①在庫を貼る'!$V$6:$V$10005,$V5036,'①在庫を貼る'!$W$6:$W$10005,$W5036)+COUNTIFS('月1回_1ヶ月前の在庫'!$V$6:$V$10005,$V5036,'月1回_1ヶ月前の在庫'!$W$6:$W$10005,$W5036)&gt;0),N(U5035),N(U5035)+1))</f>
        <v/>
      </c>
      <c r="V5036" s="19">
        <f>IF($B5036="","",TEXT($B5036,"0000"))</f>
        <v/>
      </c>
      <c r="W5036" s="19">
        <f>IF($I5036="","",IF(ISNUMBER($I5036),TEXT($I5036,"0"),$I5036))</f>
        <v/>
      </c>
    </row>
    <row r="5037">
      <c r="B5037" s="25" t="n"/>
      <c r="I5037" s="25" t="n"/>
      <c r="U5037" s="19">
        <f>IF($V5037&lt;&gt;'設定'!$C$4,N(U5036),IF(OR(NOT(COUNTIF('商品マスタ'!$B$6:$B$1005,$W5037)=0),COUNTIFS('①在庫を貼る'!$V$6:$V$10005,$V5037,'①在庫を貼る'!$W$6:$W$10005,$W5037)+COUNTIFS('月1回_1ヶ月前の在庫'!$V$6:$V$10005,$V5037,'月1回_1ヶ月前の在庫'!$W$6:$W$10005,$W5037)&gt;0),N(U5036),N(U5036)+1))</f>
        <v/>
      </c>
      <c r="V5037" s="19">
        <f>IF($B5037="","",TEXT($B5037,"0000"))</f>
        <v/>
      </c>
      <c r="W5037" s="19">
        <f>IF($I5037="","",IF(ISNUMBER($I5037),TEXT($I5037,"0"),$I5037))</f>
        <v/>
      </c>
    </row>
    <row r="5038">
      <c r="B5038" s="25" t="n"/>
      <c r="I5038" s="25" t="n"/>
      <c r="U5038" s="19">
        <f>IF($V5038&lt;&gt;'設定'!$C$4,N(U5037),IF(OR(NOT(COUNTIF('商品マスタ'!$B$6:$B$1005,$W5038)=0),COUNTIFS('①在庫を貼る'!$V$6:$V$10005,$V5038,'①在庫を貼る'!$W$6:$W$10005,$W5038)+COUNTIFS('月1回_1ヶ月前の在庫'!$V$6:$V$10005,$V5038,'月1回_1ヶ月前の在庫'!$W$6:$W$10005,$W5038)&gt;0),N(U5037),N(U5037)+1))</f>
        <v/>
      </c>
      <c r="V5038" s="19">
        <f>IF($B5038="","",TEXT($B5038,"0000"))</f>
        <v/>
      </c>
      <c r="W5038" s="19">
        <f>IF($I5038="","",IF(ISNUMBER($I5038),TEXT($I5038,"0"),$I5038))</f>
        <v/>
      </c>
    </row>
    <row r="5039">
      <c r="B5039" s="25" t="n"/>
      <c r="I5039" s="25" t="n"/>
      <c r="U5039" s="19">
        <f>IF($V5039&lt;&gt;'設定'!$C$4,N(U5038),IF(OR(NOT(COUNTIF('商品マスタ'!$B$6:$B$1005,$W5039)=0),COUNTIFS('①在庫を貼る'!$V$6:$V$10005,$V5039,'①在庫を貼る'!$W$6:$W$10005,$W5039)+COUNTIFS('月1回_1ヶ月前の在庫'!$V$6:$V$10005,$V5039,'月1回_1ヶ月前の在庫'!$W$6:$W$10005,$W5039)&gt;0),N(U5038),N(U5038)+1))</f>
        <v/>
      </c>
      <c r="V5039" s="19">
        <f>IF($B5039="","",TEXT($B5039,"0000"))</f>
        <v/>
      </c>
      <c r="W5039" s="19">
        <f>IF($I5039="","",IF(ISNUMBER($I5039),TEXT($I5039,"0"),$I5039))</f>
        <v/>
      </c>
    </row>
    <row r="5040">
      <c r="B5040" s="25" t="n"/>
      <c r="I5040" s="25" t="n"/>
      <c r="U5040" s="19">
        <f>IF($V5040&lt;&gt;'設定'!$C$4,N(U5039),IF(OR(NOT(COUNTIF('商品マスタ'!$B$6:$B$1005,$W5040)=0),COUNTIFS('①在庫を貼る'!$V$6:$V$10005,$V5040,'①在庫を貼る'!$W$6:$W$10005,$W5040)+COUNTIFS('月1回_1ヶ月前の在庫'!$V$6:$V$10005,$V5040,'月1回_1ヶ月前の在庫'!$W$6:$W$10005,$W5040)&gt;0),N(U5039),N(U5039)+1))</f>
        <v/>
      </c>
      <c r="V5040" s="19">
        <f>IF($B5040="","",TEXT($B5040,"0000"))</f>
        <v/>
      </c>
      <c r="W5040" s="19">
        <f>IF($I5040="","",IF(ISNUMBER($I5040),TEXT($I5040,"0"),$I5040))</f>
        <v/>
      </c>
    </row>
    <row r="5041">
      <c r="B5041" s="25" t="n"/>
      <c r="I5041" s="25" t="n"/>
      <c r="U5041" s="19">
        <f>IF($V5041&lt;&gt;'設定'!$C$4,N(U5040),IF(OR(NOT(COUNTIF('商品マスタ'!$B$6:$B$1005,$W5041)=0),COUNTIFS('①在庫を貼る'!$V$6:$V$10005,$V5041,'①在庫を貼る'!$W$6:$W$10005,$W5041)+COUNTIFS('月1回_1ヶ月前の在庫'!$V$6:$V$10005,$V5041,'月1回_1ヶ月前の在庫'!$W$6:$W$10005,$W5041)&gt;0),N(U5040),N(U5040)+1))</f>
        <v/>
      </c>
      <c r="V5041" s="19">
        <f>IF($B5041="","",TEXT($B5041,"0000"))</f>
        <v/>
      </c>
      <c r="W5041" s="19">
        <f>IF($I5041="","",IF(ISNUMBER($I5041),TEXT($I5041,"0"),$I5041))</f>
        <v/>
      </c>
    </row>
    <row r="5042">
      <c r="B5042" s="25" t="n"/>
      <c r="I5042" s="25" t="n"/>
      <c r="U5042" s="19">
        <f>IF($V5042&lt;&gt;'設定'!$C$4,N(U5041),IF(OR(NOT(COUNTIF('商品マスタ'!$B$6:$B$1005,$W5042)=0),COUNTIFS('①在庫を貼る'!$V$6:$V$10005,$V5042,'①在庫を貼る'!$W$6:$W$10005,$W5042)+COUNTIFS('月1回_1ヶ月前の在庫'!$V$6:$V$10005,$V5042,'月1回_1ヶ月前の在庫'!$W$6:$W$10005,$W5042)&gt;0),N(U5041),N(U5041)+1))</f>
        <v/>
      </c>
      <c r="V5042" s="19">
        <f>IF($B5042="","",TEXT($B5042,"0000"))</f>
        <v/>
      </c>
      <c r="W5042" s="19">
        <f>IF($I5042="","",IF(ISNUMBER($I5042),TEXT($I5042,"0"),$I5042))</f>
        <v/>
      </c>
    </row>
    <row r="5043">
      <c r="B5043" s="25" t="n"/>
      <c r="I5043" s="25" t="n"/>
      <c r="U5043" s="19">
        <f>IF($V5043&lt;&gt;'設定'!$C$4,N(U5042),IF(OR(NOT(COUNTIF('商品マスタ'!$B$6:$B$1005,$W5043)=0),COUNTIFS('①在庫を貼る'!$V$6:$V$10005,$V5043,'①在庫を貼る'!$W$6:$W$10005,$W5043)+COUNTIFS('月1回_1ヶ月前の在庫'!$V$6:$V$10005,$V5043,'月1回_1ヶ月前の在庫'!$W$6:$W$10005,$W5043)&gt;0),N(U5042),N(U5042)+1))</f>
        <v/>
      </c>
      <c r="V5043" s="19">
        <f>IF($B5043="","",TEXT($B5043,"0000"))</f>
        <v/>
      </c>
      <c r="W5043" s="19">
        <f>IF($I5043="","",IF(ISNUMBER($I5043),TEXT($I5043,"0"),$I5043))</f>
        <v/>
      </c>
    </row>
    <row r="5044">
      <c r="B5044" s="25" t="n"/>
      <c r="I5044" s="25" t="n"/>
      <c r="U5044" s="19">
        <f>IF($V5044&lt;&gt;'設定'!$C$4,N(U5043),IF(OR(NOT(COUNTIF('商品マスタ'!$B$6:$B$1005,$W5044)=0),COUNTIFS('①在庫を貼る'!$V$6:$V$10005,$V5044,'①在庫を貼る'!$W$6:$W$10005,$W5044)+COUNTIFS('月1回_1ヶ月前の在庫'!$V$6:$V$10005,$V5044,'月1回_1ヶ月前の在庫'!$W$6:$W$10005,$W5044)&gt;0),N(U5043),N(U5043)+1))</f>
        <v/>
      </c>
      <c r="V5044" s="19">
        <f>IF($B5044="","",TEXT($B5044,"0000"))</f>
        <v/>
      </c>
      <c r="W5044" s="19">
        <f>IF($I5044="","",IF(ISNUMBER($I5044),TEXT($I5044,"0"),$I5044))</f>
        <v/>
      </c>
    </row>
    <row r="5045">
      <c r="B5045" s="25" t="n"/>
      <c r="I5045" s="25" t="n"/>
      <c r="U5045" s="19">
        <f>IF($V5045&lt;&gt;'設定'!$C$4,N(U5044),IF(OR(NOT(COUNTIF('商品マスタ'!$B$6:$B$1005,$W5045)=0),COUNTIFS('①在庫を貼る'!$V$6:$V$10005,$V5045,'①在庫を貼る'!$W$6:$W$10005,$W5045)+COUNTIFS('月1回_1ヶ月前の在庫'!$V$6:$V$10005,$V5045,'月1回_1ヶ月前の在庫'!$W$6:$W$10005,$W5045)&gt;0),N(U5044),N(U5044)+1))</f>
        <v/>
      </c>
      <c r="V5045" s="19">
        <f>IF($B5045="","",TEXT($B5045,"0000"))</f>
        <v/>
      </c>
      <c r="W5045" s="19">
        <f>IF($I5045="","",IF(ISNUMBER($I5045),TEXT($I5045,"0"),$I5045))</f>
        <v/>
      </c>
    </row>
    <row r="5046">
      <c r="B5046" s="25" t="n"/>
      <c r="I5046" s="25" t="n"/>
      <c r="U5046" s="19">
        <f>IF($V5046&lt;&gt;'設定'!$C$4,N(U5045),IF(OR(NOT(COUNTIF('商品マスタ'!$B$6:$B$1005,$W5046)=0),COUNTIFS('①在庫を貼る'!$V$6:$V$10005,$V5046,'①在庫を貼る'!$W$6:$W$10005,$W5046)+COUNTIFS('月1回_1ヶ月前の在庫'!$V$6:$V$10005,$V5046,'月1回_1ヶ月前の在庫'!$W$6:$W$10005,$W5046)&gt;0),N(U5045),N(U5045)+1))</f>
        <v/>
      </c>
      <c r="V5046" s="19">
        <f>IF($B5046="","",TEXT($B5046,"0000"))</f>
        <v/>
      </c>
      <c r="W5046" s="19">
        <f>IF($I5046="","",IF(ISNUMBER($I5046),TEXT($I5046,"0"),$I5046))</f>
        <v/>
      </c>
    </row>
    <row r="5047">
      <c r="B5047" s="25" t="n"/>
      <c r="I5047" s="25" t="n"/>
      <c r="U5047" s="19">
        <f>IF($V5047&lt;&gt;'設定'!$C$4,N(U5046),IF(OR(NOT(COUNTIF('商品マスタ'!$B$6:$B$1005,$W5047)=0),COUNTIFS('①在庫を貼る'!$V$6:$V$10005,$V5047,'①在庫を貼る'!$W$6:$W$10005,$W5047)+COUNTIFS('月1回_1ヶ月前の在庫'!$V$6:$V$10005,$V5047,'月1回_1ヶ月前の在庫'!$W$6:$W$10005,$W5047)&gt;0),N(U5046),N(U5046)+1))</f>
        <v/>
      </c>
      <c r="V5047" s="19">
        <f>IF($B5047="","",TEXT($B5047,"0000"))</f>
        <v/>
      </c>
      <c r="W5047" s="19">
        <f>IF($I5047="","",IF(ISNUMBER($I5047),TEXT($I5047,"0"),$I5047))</f>
        <v/>
      </c>
    </row>
    <row r="5048">
      <c r="B5048" s="25" t="n"/>
      <c r="I5048" s="25" t="n"/>
      <c r="U5048" s="19">
        <f>IF($V5048&lt;&gt;'設定'!$C$4,N(U5047),IF(OR(NOT(COUNTIF('商品マスタ'!$B$6:$B$1005,$W5048)=0),COUNTIFS('①在庫を貼る'!$V$6:$V$10005,$V5048,'①在庫を貼る'!$W$6:$W$10005,$W5048)+COUNTIFS('月1回_1ヶ月前の在庫'!$V$6:$V$10005,$V5048,'月1回_1ヶ月前の在庫'!$W$6:$W$10005,$W5048)&gt;0),N(U5047),N(U5047)+1))</f>
        <v/>
      </c>
      <c r="V5048" s="19">
        <f>IF($B5048="","",TEXT($B5048,"0000"))</f>
        <v/>
      </c>
      <c r="W5048" s="19">
        <f>IF($I5048="","",IF(ISNUMBER($I5048),TEXT($I5048,"0"),$I5048))</f>
        <v/>
      </c>
    </row>
    <row r="5049">
      <c r="B5049" s="25" t="n"/>
      <c r="I5049" s="25" t="n"/>
      <c r="U5049" s="19">
        <f>IF($V5049&lt;&gt;'設定'!$C$4,N(U5048),IF(OR(NOT(COUNTIF('商品マスタ'!$B$6:$B$1005,$W5049)=0),COUNTIFS('①在庫を貼る'!$V$6:$V$10005,$V5049,'①在庫を貼る'!$W$6:$W$10005,$W5049)+COUNTIFS('月1回_1ヶ月前の在庫'!$V$6:$V$10005,$V5049,'月1回_1ヶ月前の在庫'!$W$6:$W$10005,$W5049)&gt;0),N(U5048),N(U5048)+1))</f>
        <v/>
      </c>
      <c r="V5049" s="19">
        <f>IF($B5049="","",TEXT($B5049,"0000"))</f>
        <v/>
      </c>
      <c r="W5049" s="19">
        <f>IF($I5049="","",IF(ISNUMBER($I5049),TEXT($I5049,"0"),$I5049))</f>
        <v/>
      </c>
    </row>
    <row r="5050">
      <c r="B5050" s="25" t="n"/>
      <c r="I5050" s="25" t="n"/>
      <c r="U5050" s="19">
        <f>IF($V5050&lt;&gt;'設定'!$C$4,N(U5049),IF(OR(NOT(COUNTIF('商品マスタ'!$B$6:$B$1005,$W5050)=0),COUNTIFS('①在庫を貼る'!$V$6:$V$10005,$V5050,'①在庫を貼る'!$W$6:$W$10005,$W5050)+COUNTIFS('月1回_1ヶ月前の在庫'!$V$6:$V$10005,$V5050,'月1回_1ヶ月前の在庫'!$W$6:$W$10005,$W5050)&gt;0),N(U5049),N(U5049)+1))</f>
        <v/>
      </c>
      <c r="V5050" s="19">
        <f>IF($B5050="","",TEXT($B5050,"0000"))</f>
        <v/>
      </c>
      <c r="W5050" s="19">
        <f>IF($I5050="","",IF(ISNUMBER($I5050),TEXT($I5050,"0"),$I5050))</f>
        <v/>
      </c>
    </row>
    <row r="5051">
      <c r="B5051" s="25" t="n"/>
      <c r="I5051" s="25" t="n"/>
      <c r="U5051" s="19">
        <f>IF($V5051&lt;&gt;'設定'!$C$4,N(U5050),IF(OR(NOT(COUNTIF('商品マスタ'!$B$6:$B$1005,$W5051)=0),COUNTIFS('①在庫を貼る'!$V$6:$V$10005,$V5051,'①在庫を貼る'!$W$6:$W$10005,$W5051)+COUNTIFS('月1回_1ヶ月前の在庫'!$V$6:$V$10005,$V5051,'月1回_1ヶ月前の在庫'!$W$6:$W$10005,$W5051)&gt;0),N(U5050),N(U5050)+1))</f>
        <v/>
      </c>
      <c r="V5051" s="19">
        <f>IF($B5051="","",TEXT($B5051,"0000"))</f>
        <v/>
      </c>
      <c r="W5051" s="19">
        <f>IF($I5051="","",IF(ISNUMBER($I5051),TEXT($I5051,"0"),$I5051))</f>
        <v/>
      </c>
    </row>
    <row r="5052">
      <c r="B5052" s="25" t="n"/>
      <c r="I5052" s="25" t="n"/>
      <c r="U5052" s="19">
        <f>IF($V5052&lt;&gt;'設定'!$C$4,N(U5051),IF(OR(NOT(COUNTIF('商品マスタ'!$B$6:$B$1005,$W5052)=0),COUNTIFS('①在庫を貼る'!$V$6:$V$10005,$V5052,'①在庫を貼る'!$W$6:$W$10005,$W5052)+COUNTIFS('月1回_1ヶ月前の在庫'!$V$6:$V$10005,$V5052,'月1回_1ヶ月前の在庫'!$W$6:$W$10005,$W5052)&gt;0),N(U5051),N(U5051)+1))</f>
        <v/>
      </c>
      <c r="V5052" s="19">
        <f>IF($B5052="","",TEXT($B5052,"0000"))</f>
        <v/>
      </c>
      <c r="W5052" s="19">
        <f>IF($I5052="","",IF(ISNUMBER($I5052),TEXT($I5052,"0"),$I5052))</f>
        <v/>
      </c>
    </row>
    <row r="5053">
      <c r="B5053" s="25" t="n"/>
      <c r="I5053" s="25" t="n"/>
      <c r="U5053" s="19">
        <f>IF($V5053&lt;&gt;'設定'!$C$4,N(U5052),IF(OR(NOT(COUNTIF('商品マスタ'!$B$6:$B$1005,$W5053)=0),COUNTIFS('①在庫を貼る'!$V$6:$V$10005,$V5053,'①在庫を貼る'!$W$6:$W$10005,$W5053)+COUNTIFS('月1回_1ヶ月前の在庫'!$V$6:$V$10005,$V5053,'月1回_1ヶ月前の在庫'!$W$6:$W$10005,$W5053)&gt;0),N(U5052),N(U5052)+1))</f>
        <v/>
      </c>
      <c r="V5053" s="19">
        <f>IF($B5053="","",TEXT($B5053,"0000"))</f>
        <v/>
      </c>
      <c r="W5053" s="19">
        <f>IF($I5053="","",IF(ISNUMBER($I5053),TEXT($I5053,"0"),$I5053))</f>
        <v/>
      </c>
    </row>
    <row r="5054">
      <c r="B5054" s="25" t="n"/>
      <c r="I5054" s="25" t="n"/>
      <c r="U5054" s="19">
        <f>IF($V5054&lt;&gt;'設定'!$C$4,N(U5053),IF(OR(NOT(COUNTIF('商品マスタ'!$B$6:$B$1005,$W5054)=0),COUNTIFS('①在庫を貼る'!$V$6:$V$10005,$V5054,'①在庫を貼る'!$W$6:$W$10005,$W5054)+COUNTIFS('月1回_1ヶ月前の在庫'!$V$6:$V$10005,$V5054,'月1回_1ヶ月前の在庫'!$W$6:$W$10005,$W5054)&gt;0),N(U5053),N(U5053)+1))</f>
        <v/>
      </c>
      <c r="V5054" s="19">
        <f>IF($B5054="","",TEXT($B5054,"0000"))</f>
        <v/>
      </c>
      <c r="W5054" s="19">
        <f>IF($I5054="","",IF(ISNUMBER($I5054),TEXT($I5054,"0"),$I5054))</f>
        <v/>
      </c>
    </row>
    <row r="5055">
      <c r="B5055" s="25" t="n"/>
      <c r="I5055" s="25" t="n"/>
      <c r="U5055" s="19">
        <f>IF($V5055&lt;&gt;'設定'!$C$4,N(U5054),IF(OR(NOT(COUNTIF('商品マスタ'!$B$6:$B$1005,$W5055)=0),COUNTIFS('①在庫を貼る'!$V$6:$V$10005,$V5055,'①在庫を貼る'!$W$6:$W$10005,$W5055)+COUNTIFS('月1回_1ヶ月前の在庫'!$V$6:$V$10005,$V5055,'月1回_1ヶ月前の在庫'!$W$6:$W$10005,$W5055)&gt;0),N(U5054),N(U5054)+1))</f>
        <v/>
      </c>
      <c r="V5055" s="19">
        <f>IF($B5055="","",TEXT($B5055,"0000"))</f>
        <v/>
      </c>
      <c r="W5055" s="19">
        <f>IF($I5055="","",IF(ISNUMBER($I5055),TEXT($I5055,"0"),$I5055))</f>
        <v/>
      </c>
    </row>
    <row r="5056">
      <c r="B5056" s="25" t="n"/>
      <c r="I5056" s="25" t="n"/>
      <c r="U5056" s="19">
        <f>IF($V5056&lt;&gt;'設定'!$C$4,N(U5055),IF(OR(NOT(COUNTIF('商品マスタ'!$B$6:$B$1005,$W5056)=0),COUNTIFS('①在庫を貼る'!$V$6:$V$10005,$V5056,'①在庫を貼る'!$W$6:$W$10005,$W5056)+COUNTIFS('月1回_1ヶ月前の在庫'!$V$6:$V$10005,$V5056,'月1回_1ヶ月前の在庫'!$W$6:$W$10005,$W5056)&gt;0),N(U5055),N(U5055)+1))</f>
        <v/>
      </c>
      <c r="V5056" s="19">
        <f>IF($B5056="","",TEXT($B5056,"0000"))</f>
        <v/>
      </c>
      <c r="W5056" s="19">
        <f>IF($I5056="","",IF(ISNUMBER($I5056),TEXT($I5056,"0"),$I5056))</f>
        <v/>
      </c>
    </row>
    <row r="5057">
      <c r="B5057" s="25" t="n"/>
      <c r="I5057" s="25" t="n"/>
      <c r="U5057" s="19">
        <f>IF($V5057&lt;&gt;'設定'!$C$4,N(U5056),IF(OR(NOT(COUNTIF('商品マスタ'!$B$6:$B$1005,$W5057)=0),COUNTIFS('①在庫を貼る'!$V$6:$V$10005,$V5057,'①在庫を貼る'!$W$6:$W$10005,$W5057)+COUNTIFS('月1回_1ヶ月前の在庫'!$V$6:$V$10005,$V5057,'月1回_1ヶ月前の在庫'!$W$6:$W$10005,$W5057)&gt;0),N(U5056),N(U5056)+1))</f>
        <v/>
      </c>
      <c r="V5057" s="19">
        <f>IF($B5057="","",TEXT($B5057,"0000"))</f>
        <v/>
      </c>
      <c r="W5057" s="19">
        <f>IF($I5057="","",IF(ISNUMBER($I5057),TEXT($I5057,"0"),$I5057))</f>
        <v/>
      </c>
    </row>
    <row r="5058">
      <c r="B5058" s="25" t="n"/>
      <c r="I5058" s="25" t="n"/>
      <c r="U5058" s="19">
        <f>IF($V5058&lt;&gt;'設定'!$C$4,N(U5057),IF(OR(NOT(COUNTIF('商品マスタ'!$B$6:$B$1005,$W5058)=0),COUNTIFS('①在庫を貼る'!$V$6:$V$10005,$V5058,'①在庫を貼る'!$W$6:$W$10005,$W5058)+COUNTIFS('月1回_1ヶ月前の在庫'!$V$6:$V$10005,$V5058,'月1回_1ヶ月前の在庫'!$W$6:$W$10005,$W5058)&gt;0),N(U5057),N(U5057)+1))</f>
        <v/>
      </c>
      <c r="V5058" s="19">
        <f>IF($B5058="","",TEXT($B5058,"0000"))</f>
        <v/>
      </c>
      <c r="W5058" s="19">
        <f>IF($I5058="","",IF(ISNUMBER($I5058),TEXT($I5058,"0"),$I5058))</f>
        <v/>
      </c>
    </row>
    <row r="5059">
      <c r="B5059" s="25" t="n"/>
      <c r="I5059" s="25" t="n"/>
      <c r="U5059" s="19">
        <f>IF($V5059&lt;&gt;'設定'!$C$4,N(U5058),IF(OR(NOT(COUNTIF('商品マスタ'!$B$6:$B$1005,$W5059)=0),COUNTIFS('①在庫を貼る'!$V$6:$V$10005,$V5059,'①在庫を貼る'!$W$6:$W$10005,$W5059)+COUNTIFS('月1回_1ヶ月前の在庫'!$V$6:$V$10005,$V5059,'月1回_1ヶ月前の在庫'!$W$6:$W$10005,$W5059)&gt;0),N(U5058),N(U5058)+1))</f>
        <v/>
      </c>
      <c r="V5059" s="19">
        <f>IF($B5059="","",TEXT($B5059,"0000"))</f>
        <v/>
      </c>
      <c r="W5059" s="19">
        <f>IF($I5059="","",IF(ISNUMBER($I5059),TEXT($I5059,"0"),$I5059))</f>
        <v/>
      </c>
    </row>
    <row r="5060">
      <c r="B5060" s="25" t="n"/>
      <c r="I5060" s="25" t="n"/>
      <c r="U5060" s="19">
        <f>IF($V5060&lt;&gt;'設定'!$C$4,N(U5059),IF(OR(NOT(COUNTIF('商品マスタ'!$B$6:$B$1005,$W5060)=0),COUNTIFS('①在庫を貼る'!$V$6:$V$10005,$V5060,'①在庫を貼る'!$W$6:$W$10005,$W5060)+COUNTIFS('月1回_1ヶ月前の在庫'!$V$6:$V$10005,$V5060,'月1回_1ヶ月前の在庫'!$W$6:$W$10005,$W5060)&gt;0),N(U5059),N(U5059)+1))</f>
        <v/>
      </c>
      <c r="V5060" s="19">
        <f>IF($B5060="","",TEXT($B5060,"0000"))</f>
        <v/>
      </c>
      <c r="W5060" s="19">
        <f>IF($I5060="","",IF(ISNUMBER($I5060),TEXT($I5060,"0"),$I5060))</f>
        <v/>
      </c>
    </row>
    <row r="5061">
      <c r="B5061" s="25" t="n"/>
      <c r="I5061" s="25" t="n"/>
      <c r="U5061" s="19">
        <f>IF($V5061&lt;&gt;'設定'!$C$4,N(U5060),IF(OR(NOT(COUNTIF('商品マスタ'!$B$6:$B$1005,$W5061)=0),COUNTIFS('①在庫を貼る'!$V$6:$V$10005,$V5061,'①在庫を貼る'!$W$6:$W$10005,$W5061)+COUNTIFS('月1回_1ヶ月前の在庫'!$V$6:$V$10005,$V5061,'月1回_1ヶ月前の在庫'!$W$6:$W$10005,$W5061)&gt;0),N(U5060),N(U5060)+1))</f>
        <v/>
      </c>
      <c r="V5061" s="19">
        <f>IF($B5061="","",TEXT($B5061,"0000"))</f>
        <v/>
      </c>
      <c r="W5061" s="19">
        <f>IF($I5061="","",IF(ISNUMBER($I5061),TEXT($I5061,"0"),$I5061))</f>
        <v/>
      </c>
    </row>
    <row r="5062">
      <c r="B5062" s="25" t="n"/>
      <c r="I5062" s="25" t="n"/>
      <c r="U5062" s="19">
        <f>IF($V5062&lt;&gt;'設定'!$C$4,N(U5061),IF(OR(NOT(COUNTIF('商品マスタ'!$B$6:$B$1005,$W5062)=0),COUNTIFS('①在庫を貼る'!$V$6:$V$10005,$V5062,'①在庫を貼る'!$W$6:$W$10005,$W5062)+COUNTIFS('月1回_1ヶ月前の在庫'!$V$6:$V$10005,$V5062,'月1回_1ヶ月前の在庫'!$W$6:$W$10005,$W5062)&gt;0),N(U5061),N(U5061)+1))</f>
        <v/>
      </c>
      <c r="V5062" s="19">
        <f>IF($B5062="","",TEXT($B5062,"0000"))</f>
        <v/>
      </c>
      <c r="W5062" s="19">
        <f>IF($I5062="","",IF(ISNUMBER($I5062),TEXT($I5062,"0"),$I5062))</f>
        <v/>
      </c>
    </row>
    <row r="5063">
      <c r="B5063" s="25" t="n"/>
      <c r="I5063" s="25" t="n"/>
      <c r="U5063" s="19">
        <f>IF($V5063&lt;&gt;'設定'!$C$4,N(U5062),IF(OR(NOT(COUNTIF('商品マスタ'!$B$6:$B$1005,$W5063)=0),COUNTIFS('①在庫を貼る'!$V$6:$V$10005,$V5063,'①在庫を貼る'!$W$6:$W$10005,$W5063)+COUNTIFS('月1回_1ヶ月前の在庫'!$V$6:$V$10005,$V5063,'月1回_1ヶ月前の在庫'!$W$6:$W$10005,$W5063)&gt;0),N(U5062),N(U5062)+1))</f>
        <v/>
      </c>
      <c r="V5063" s="19">
        <f>IF($B5063="","",TEXT($B5063,"0000"))</f>
        <v/>
      </c>
      <c r="W5063" s="19">
        <f>IF($I5063="","",IF(ISNUMBER($I5063),TEXT($I5063,"0"),$I5063))</f>
        <v/>
      </c>
    </row>
    <row r="5064">
      <c r="B5064" s="25" t="n"/>
      <c r="I5064" s="25" t="n"/>
      <c r="U5064" s="19">
        <f>IF($V5064&lt;&gt;'設定'!$C$4,N(U5063),IF(OR(NOT(COUNTIF('商品マスタ'!$B$6:$B$1005,$W5064)=0),COUNTIFS('①在庫を貼る'!$V$6:$V$10005,$V5064,'①在庫を貼る'!$W$6:$W$10005,$W5064)+COUNTIFS('月1回_1ヶ月前の在庫'!$V$6:$V$10005,$V5064,'月1回_1ヶ月前の在庫'!$W$6:$W$10005,$W5064)&gt;0),N(U5063),N(U5063)+1))</f>
        <v/>
      </c>
      <c r="V5064" s="19">
        <f>IF($B5064="","",TEXT($B5064,"0000"))</f>
        <v/>
      </c>
      <c r="W5064" s="19">
        <f>IF($I5064="","",IF(ISNUMBER($I5064),TEXT($I5064,"0"),$I5064))</f>
        <v/>
      </c>
    </row>
    <row r="5065">
      <c r="B5065" s="25" t="n"/>
      <c r="I5065" s="25" t="n"/>
      <c r="U5065" s="19">
        <f>IF($V5065&lt;&gt;'設定'!$C$4,N(U5064),IF(OR(NOT(COUNTIF('商品マスタ'!$B$6:$B$1005,$W5065)=0),COUNTIFS('①在庫を貼る'!$V$6:$V$10005,$V5065,'①在庫を貼る'!$W$6:$W$10005,$W5065)+COUNTIFS('月1回_1ヶ月前の在庫'!$V$6:$V$10005,$V5065,'月1回_1ヶ月前の在庫'!$W$6:$W$10005,$W5065)&gt;0),N(U5064),N(U5064)+1))</f>
        <v/>
      </c>
      <c r="V5065" s="19">
        <f>IF($B5065="","",TEXT($B5065,"0000"))</f>
        <v/>
      </c>
      <c r="W5065" s="19">
        <f>IF($I5065="","",IF(ISNUMBER($I5065),TEXT($I5065,"0"),$I5065))</f>
        <v/>
      </c>
    </row>
    <row r="5066">
      <c r="B5066" s="25" t="n"/>
      <c r="I5066" s="25" t="n"/>
      <c r="U5066" s="19">
        <f>IF($V5066&lt;&gt;'設定'!$C$4,N(U5065),IF(OR(NOT(COUNTIF('商品マスタ'!$B$6:$B$1005,$W5066)=0),COUNTIFS('①在庫を貼る'!$V$6:$V$10005,$V5066,'①在庫を貼る'!$W$6:$W$10005,$W5066)+COUNTIFS('月1回_1ヶ月前の在庫'!$V$6:$V$10005,$V5066,'月1回_1ヶ月前の在庫'!$W$6:$W$10005,$W5066)&gt;0),N(U5065),N(U5065)+1))</f>
        <v/>
      </c>
      <c r="V5066" s="19">
        <f>IF($B5066="","",TEXT($B5066,"0000"))</f>
        <v/>
      </c>
      <c r="W5066" s="19">
        <f>IF($I5066="","",IF(ISNUMBER($I5066),TEXT($I5066,"0"),$I5066))</f>
        <v/>
      </c>
    </row>
    <row r="5067">
      <c r="B5067" s="25" t="n"/>
      <c r="I5067" s="25" t="n"/>
      <c r="U5067" s="19">
        <f>IF($V5067&lt;&gt;'設定'!$C$4,N(U5066),IF(OR(NOT(COUNTIF('商品マスタ'!$B$6:$B$1005,$W5067)=0),COUNTIFS('①在庫を貼る'!$V$6:$V$10005,$V5067,'①在庫を貼る'!$W$6:$W$10005,$W5067)+COUNTIFS('月1回_1ヶ月前の在庫'!$V$6:$V$10005,$V5067,'月1回_1ヶ月前の在庫'!$W$6:$W$10005,$W5067)&gt;0),N(U5066),N(U5066)+1))</f>
        <v/>
      </c>
      <c r="V5067" s="19">
        <f>IF($B5067="","",TEXT($B5067,"0000"))</f>
        <v/>
      </c>
      <c r="W5067" s="19">
        <f>IF($I5067="","",IF(ISNUMBER($I5067),TEXT($I5067,"0"),$I5067))</f>
        <v/>
      </c>
    </row>
    <row r="5068">
      <c r="B5068" s="25" t="n"/>
      <c r="I5068" s="25" t="n"/>
      <c r="U5068" s="19">
        <f>IF($V5068&lt;&gt;'設定'!$C$4,N(U5067),IF(OR(NOT(COUNTIF('商品マスタ'!$B$6:$B$1005,$W5068)=0),COUNTIFS('①在庫を貼る'!$V$6:$V$10005,$V5068,'①在庫を貼る'!$W$6:$W$10005,$W5068)+COUNTIFS('月1回_1ヶ月前の在庫'!$V$6:$V$10005,$V5068,'月1回_1ヶ月前の在庫'!$W$6:$W$10005,$W5068)&gt;0),N(U5067),N(U5067)+1))</f>
        <v/>
      </c>
      <c r="V5068" s="19">
        <f>IF($B5068="","",TEXT($B5068,"0000"))</f>
        <v/>
      </c>
      <c r="W5068" s="19">
        <f>IF($I5068="","",IF(ISNUMBER($I5068),TEXT($I5068,"0"),$I5068))</f>
        <v/>
      </c>
    </row>
    <row r="5069">
      <c r="B5069" s="25" t="n"/>
      <c r="I5069" s="25" t="n"/>
      <c r="U5069" s="19">
        <f>IF($V5069&lt;&gt;'設定'!$C$4,N(U5068),IF(OR(NOT(COUNTIF('商品マスタ'!$B$6:$B$1005,$W5069)=0),COUNTIFS('①在庫を貼る'!$V$6:$V$10005,$V5069,'①在庫を貼る'!$W$6:$W$10005,$W5069)+COUNTIFS('月1回_1ヶ月前の在庫'!$V$6:$V$10005,$V5069,'月1回_1ヶ月前の在庫'!$W$6:$W$10005,$W5069)&gt;0),N(U5068),N(U5068)+1))</f>
        <v/>
      </c>
      <c r="V5069" s="19">
        <f>IF($B5069="","",TEXT($B5069,"0000"))</f>
        <v/>
      </c>
      <c r="W5069" s="19">
        <f>IF($I5069="","",IF(ISNUMBER($I5069),TEXT($I5069,"0"),$I5069))</f>
        <v/>
      </c>
    </row>
    <row r="5070">
      <c r="B5070" s="25" t="n"/>
      <c r="I5070" s="25" t="n"/>
      <c r="U5070" s="19">
        <f>IF($V5070&lt;&gt;'設定'!$C$4,N(U5069),IF(OR(NOT(COUNTIF('商品マスタ'!$B$6:$B$1005,$W5070)=0),COUNTIFS('①在庫を貼る'!$V$6:$V$10005,$V5070,'①在庫を貼る'!$W$6:$W$10005,$W5070)+COUNTIFS('月1回_1ヶ月前の在庫'!$V$6:$V$10005,$V5070,'月1回_1ヶ月前の在庫'!$W$6:$W$10005,$W5070)&gt;0),N(U5069),N(U5069)+1))</f>
        <v/>
      </c>
      <c r="V5070" s="19">
        <f>IF($B5070="","",TEXT($B5070,"0000"))</f>
        <v/>
      </c>
      <c r="W5070" s="19">
        <f>IF($I5070="","",IF(ISNUMBER($I5070),TEXT($I5070,"0"),$I5070))</f>
        <v/>
      </c>
    </row>
    <row r="5071">
      <c r="B5071" s="25" t="n"/>
      <c r="I5071" s="25" t="n"/>
      <c r="U5071" s="19">
        <f>IF($V5071&lt;&gt;'設定'!$C$4,N(U5070),IF(OR(NOT(COUNTIF('商品マスタ'!$B$6:$B$1005,$W5071)=0),COUNTIFS('①在庫を貼る'!$V$6:$V$10005,$V5071,'①在庫を貼る'!$W$6:$W$10005,$W5071)+COUNTIFS('月1回_1ヶ月前の在庫'!$V$6:$V$10005,$V5071,'月1回_1ヶ月前の在庫'!$W$6:$W$10005,$W5071)&gt;0),N(U5070),N(U5070)+1))</f>
        <v/>
      </c>
      <c r="V5071" s="19">
        <f>IF($B5071="","",TEXT($B5071,"0000"))</f>
        <v/>
      </c>
      <c r="W5071" s="19">
        <f>IF($I5071="","",IF(ISNUMBER($I5071),TEXT($I5071,"0"),$I5071))</f>
        <v/>
      </c>
    </row>
    <row r="5072">
      <c r="B5072" s="25" t="n"/>
      <c r="I5072" s="25" t="n"/>
      <c r="U5072" s="19">
        <f>IF($V5072&lt;&gt;'設定'!$C$4,N(U5071),IF(OR(NOT(COUNTIF('商品マスタ'!$B$6:$B$1005,$W5072)=0),COUNTIFS('①在庫を貼る'!$V$6:$V$10005,$V5072,'①在庫を貼る'!$W$6:$W$10005,$W5072)+COUNTIFS('月1回_1ヶ月前の在庫'!$V$6:$V$10005,$V5072,'月1回_1ヶ月前の在庫'!$W$6:$W$10005,$W5072)&gt;0),N(U5071),N(U5071)+1))</f>
        <v/>
      </c>
      <c r="V5072" s="19">
        <f>IF($B5072="","",TEXT($B5072,"0000"))</f>
        <v/>
      </c>
      <c r="W5072" s="19">
        <f>IF($I5072="","",IF(ISNUMBER($I5072),TEXT($I5072,"0"),$I5072))</f>
        <v/>
      </c>
    </row>
    <row r="5073">
      <c r="B5073" s="25" t="n"/>
      <c r="I5073" s="25" t="n"/>
      <c r="U5073" s="19">
        <f>IF($V5073&lt;&gt;'設定'!$C$4,N(U5072),IF(OR(NOT(COUNTIF('商品マスタ'!$B$6:$B$1005,$W5073)=0),COUNTIFS('①在庫を貼る'!$V$6:$V$10005,$V5073,'①在庫を貼る'!$W$6:$W$10005,$W5073)+COUNTIFS('月1回_1ヶ月前の在庫'!$V$6:$V$10005,$V5073,'月1回_1ヶ月前の在庫'!$W$6:$W$10005,$W5073)&gt;0),N(U5072),N(U5072)+1))</f>
        <v/>
      </c>
      <c r="V5073" s="19">
        <f>IF($B5073="","",TEXT($B5073,"0000"))</f>
        <v/>
      </c>
      <c r="W5073" s="19">
        <f>IF($I5073="","",IF(ISNUMBER($I5073),TEXT($I5073,"0"),$I5073))</f>
        <v/>
      </c>
    </row>
    <row r="5074">
      <c r="B5074" s="25" t="n"/>
      <c r="I5074" s="25" t="n"/>
      <c r="U5074" s="19">
        <f>IF($V5074&lt;&gt;'設定'!$C$4,N(U5073),IF(OR(NOT(COUNTIF('商品マスタ'!$B$6:$B$1005,$W5074)=0),COUNTIFS('①在庫を貼る'!$V$6:$V$10005,$V5074,'①在庫を貼る'!$W$6:$W$10005,$W5074)+COUNTIFS('月1回_1ヶ月前の在庫'!$V$6:$V$10005,$V5074,'月1回_1ヶ月前の在庫'!$W$6:$W$10005,$W5074)&gt;0),N(U5073),N(U5073)+1))</f>
        <v/>
      </c>
      <c r="V5074" s="19">
        <f>IF($B5074="","",TEXT($B5074,"0000"))</f>
        <v/>
      </c>
      <c r="W5074" s="19">
        <f>IF($I5074="","",IF(ISNUMBER($I5074),TEXT($I5074,"0"),$I5074))</f>
        <v/>
      </c>
    </row>
    <row r="5075">
      <c r="B5075" s="25" t="n"/>
      <c r="I5075" s="25" t="n"/>
      <c r="U5075" s="19">
        <f>IF($V5075&lt;&gt;'設定'!$C$4,N(U5074),IF(OR(NOT(COUNTIF('商品マスタ'!$B$6:$B$1005,$W5075)=0),COUNTIFS('①在庫を貼る'!$V$6:$V$10005,$V5075,'①在庫を貼る'!$W$6:$W$10005,$W5075)+COUNTIFS('月1回_1ヶ月前の在庫'!$V$6:$V$10005,$V5075,'月1回_1ヶ月前の在庫'!$W$6:$W$10005,$W5075)&gt;0),N(U5074),N(U5074)+1))</f>
        <v/>
      </c>
      <c r="V5075" s="19">
        <f>IF($B5075="","",TEXT($B5075,"0000"))</f>
        <v/>
      </c>
      <c r="W5075" s="19">
        <f>IF($I5075="","",IF(ISNUMBER($I5075),TEXT($I5075,"0"),$I5075))</f>
        <v/>
      </c>
    </row>
    <row r="5076">
      <c r="B5076" s="25" t="n"/>
      <c r="I5076" s="25" t="n"/>
      <c r="U5076" s="19">
        <f>IF($V5076&lt;&gt;'設定'!$C$4,N(U5075),IF(OR(NOT(COUNTIF('商品マスタ'!$B$6:$B$1005,$W5076)=0),COUNTIFS('①在庫を貼る'!$V$6:$V$10005,$V5076,'①在庫を貼る'!$W$6:$W$10005,$W5076)+COUNTIFS('月1回_1ヶ月前の在庫'!$V$6:$V$10005,$V5076,'月1回_1ヶ月前の在庫'!$W$6:$W$10005,$W5076)&gt;0),N(U5075),N(U5075)+1))</f>
        <v/>
      </c>
      <c r="V5076" s="19">
        <f>IF($B5076="","",TEXT($B5076,"0000"))</f>
        <v/>
      </c>
      <c r="W5076" s="19">
        <f>IF($I5076="","",IF(ISNUMBER($I5076),TEXT($I5076,"0"),$I5076))</f>
        <v/>
      </c>
    </row>
    <row r="5077">
      <c r="B5077" s="25" t="n"/>
      <c r="I5077" s="25" t="n"/>
      <c r="U5077" s="19">
        <f>IF($V5077&lt;&gt;'設定'!$C$4,N(U5076),IF(OR(NOT(COUNTIF('商品マスタ'!$B$6:$B$1005,$W5077)=0),COUNTIFS('①在庫を貼る'!$V$6:$V$10005,$V5077,'①在庫を貼る'!$W$6:$W$10005,$W5077)+COUNTIFS('月1回_1ヶ月前の在庫'!$V$6:$V$10005,$V5077,'月1回_1ヶ月前の在庫'!$W$6:$W$10005,$W5077)&gt;0),N(U5076),N(U5076)+1))</f>
        <v/>
      </c>
      <c r="V5077" s="19">
        <f>IF($B5077="","",TEXT($B5077,"0000"))</f>
        <v/>
      </c>
      <c r="W5077" s="19">
        <f>IF($I5077="","",IF(ISNUMBER($I5077),TEXT($I5077,"0"),$I5077))</f>
        <v/>
      </c>
    </row>
    <row r="5078">
      <c r="B5078" s="25" t="n"/>
      <c r="I5078" s="25" t="n"/>
      <c r="U5078" s="19">
        <f>IF($V5078&lt;&gt;'設定'!$C$4,N(U5077),IF(OR(NOT(COUNTIF('商品マスタ'!$B$6:$B$1005,$W5078)=0),COUNTIFS('①在庫を貼る'!$V$6:$V$10005,$V5078,'①在庫を貼る'!$W$6:$W$10005,$W5078)+COUNTIFS('月1回_1ヶ月前の在庫'!$V$6:$V$10005,$V5078,'月1回_1ヶ月前の在庫'!$W$6:$W$10005,$W5078)&gt;0),N(U5077),N(U5077)+1))</f>
        <v/>
      </c>
      <c r="V5078" s="19">
        <f>IF($B5078="","",TEXT($B5078,"0000"))</f>
        <v/>
      </c>
      <c r="W5078" s="19">
        <f>IF($I5078="","",IF(ISNUMBER($I5078),TEXT($I5078,"0"),$I5078))</f>
        <v/>
      </c>
    </row>
    <row r="5079">
      <c r="B5079" s="25" t="n"/>
      <c r="I5079" s="25" t="n"/>
      <c r="U5079" s="19">
        <f>IF($V5079&lt;&gt;'設定'!$C$4,N(U5078),IF(OR(NOT(COUNTIF('商品マスタ'!$B$6:$B$1005,$W5079)=0),COUNTIFS('①在庫を貼る'!$V$6:$V$10005,$V5079,'①在庫を貼る'!$W$6:$W$10005,$W5079)+COUNTIFS('月1回_1ヶ月前の在庫'!$V$6:$V$10005,$V5079,'月1回_1ヶ月前の在庫'!$W$6:$W$10005,$W5079)&gt;0),N(U5078),N(U5078)+1))</f>
        <v/>
      </c>
      <c r="V5079" s="19">
        <f>IF($B5079="","",TEXT($B5079,"0000"))</f>
        <v/>
      </c>
      <c r="W5079" s="19">
        <f>IF($I5079="","",IF(ISNUMBER($I5079),TEXT($I5079,"0"),$I5079))</f>
        <v/>
      </c>
    </row>
    <row r="5080">
      <c r="B5080" s="25" t="n"/>
      <c r="I5080" s="25" t="n"/>
      <c r="U5080" s="19">
        <f>IF($V5080&lt;&gt;'設定'!$C$4,N(U5079),IF(OR(NOT(COUNTIF('商品マスタ'!$B$6:$B$1005,$W5080)=0),COUNTIFS('①在庫を貼る'!$V$6:$V$10005,$V5080,'①在庫を貼る'!$W$6:$W$10005,$W5080)+COUNTIFS('月1回_1ヶ月前の在庫'!$V$6:$V$10005,$V5080,'月1回_1ヶ月前の在庫'!$W$6:$W$10005,$W5080)&gt;0),N(U5079),N(U5079)+1))</f>
        <v/>
      </c>
      <c r="V5080" s="19">
        <f>IF($B5080="","",TEXT($B5080,"0000"))</f>
        <v/>
      </c>
      <c r="W5080" s="19">
        <f>IF($I5080="","",IF(ISNUMBER($I5080),TEXT($I5080,"0"),$I5080))</f>
        <v/>
      </c>
    </row>
    <row r="5081">
      <c r="B5081" s="25" t="n"/>
      <c r="I5081" s="25" t="n"/>
      <c r="U5081" s="19">
        <f>IF($V5081&lt;&gt;'設定'!$C$4,N(U5080),IF(OR(NOT(COUNTIF('商品マスタ'!$B$6:$B$1005,$W5081)=0),COUNTIFS('①在庫を貼る'!$V$6:$V$10005,$V5081,'①在庫を貼る'!$W$6:$W$10005,$W5081)+COUNTIFS('月1回_1ヶ月前の在庫'!$V$6:$V$10005,$V5081,'月1回_1ヶ月前の在庫'!$W$6:$W$10005,$W5081)&gt;0),N(U5080),N(U5080)+1))</f>
        <v/>
      </c>
      <c r="V5081" s="19">
        <f>IF($B5081="","",TEXT($B5081,"0000"))</f>
        <v/>
      </c>
      <c r="W5081" s="19">
        <f>IF($I5081="","",IF(ISNUMBER($I5081),TEXT($I5081,"0"),$I5081))</f>
        <v/>
      </c>
    </row>
    <row r="5082">
      <c r="B5082" s="25" t="n"/>
      <c r="I5082" s="25" t="n"/>
      <c r="U5082" s="19">
        <f>IF($V5082&lt;&gt;'設定'!$C$4,N(U5081),IF(OR(NOT(COUNTIF('商品マスタ'!$B$6:$B$1005,$W5082)=0),COUNTIFS('①在庫を貼る'!$V$6:$V$10005,$V5082,'①在庫を貼る'!$W$6:$W$10005,$W5082)+COUNTIFS('月1回_1ヶ月前の在庫'!$V$6:$V$10005,$V5082,'月1回_1ヶ月前の在庫'!$W$6:$W$10005,$W5082)&gt;0),N(U5081),N(U5081)+1))</f>
        <v/>
      </c>
      <c r="V5082" s="19">
        <f>IF($B5082="","",TEXT($B5082,"0000"))</f>
        <v/>
      </c>
      <c r="W5082" s="19">
        <f>IF($I5082="","",IF(ISNUMBER($I5082),TEXT($I5082,"0"),$I5082))</f>
        <v/>
      </c>
    </row>
    <row r="5083">
      <c r="B5083" s="25" t="n"/>
      <c r="I5083" s="25" t="n"/>
      <c r="U5083" s="19">
        <f>IF($V5083&lt;&gt;'設定'!$C$4,N(U5082),IF(OR(NOT(COUNTIF('商品マスタ'!$B$6:$B$1005,$W5083)=0),COUNTIFS('①在庫を貼る'!$V$6:$V$10005,$V5083,'①在庫を貼る'!$W$6:$W$10005,$W5083)+COUNTIFS('月1回_1ヶ月前の在庫'!$V$6:$V$10005,$V5083,'月1回_1ヶ月前の在庫'!$W$6:$W$10005,$W5083)&gt;0),N(U5082),N(U5082)+1))</f>
        <v/>
      </c>
      <c r="V5083" s="19">
        <f>IF($B5083="","",TEXT($B5083,"0000"))</f>
        <v/>
      </c>
      <c r="W5083" s="19">
        <f>IF($I5083="","",IF(ISNUMBER($I5083),TEXT($I5083,"0"),$I5083))</f>
        <v/>
      </c>
    </row>
    <row r="5084">
      <c r="B5084" s="25" t="n"/>
      <c r="I5084" s="25" t="n"/>
      <c r="U5084" s="19">
        <f>IF($V5084&lt;&gt;'設定'!$C$4,N(U5083),IF(OR(NOT(COUNTIF('商品マスタ'!$B$6:$B$1005,$W5084)=0),COUNTIFS('①在庫を貼る'!$V$6:$V$10005,$V5084,'①在庫を貼る'!$W$6:$W$10005,$W5084)+COUNTIFS('月1回_1ヶ月前の在庫'!$V$6:$V$10005,$V5084,'月1回_1ヶ月前の在庫'!$W$6:$W$10005,$W5084)&gt;0),N(U5083),N(U5083)+1))</f>
        <v/>
      </c>
      <c r="V5084" s="19">
        <f>IF($B5084="","",TEXT($B5084,"0000"))</f>
        <v/>
      </c>
      <c r="W5084" s="19">
        <f>IF($I5084="","",IF(ISNUMBER($I5084),TEXT($I5084,"0"),$I5084))</f>
        <v/>
      </c>
    </row>
    <row r="5085">
      <c r="B5085" s="25" t="n"/>
      <c r="I5085" s="25" t="n"/>
      <c r="U5085" s="19">
        <f>IF($V5085&lt;&gt;'設定'!$C$4,N(U5084),IF(OR(NOT(COUNTIF('商品マスタ'!$B$6:$B$1005,$W5085)=0),COUNTIFS('①在庫を貼る'!$V$6:$V$10005,$V5085,'①在庫を貼る'!$W$6:$W$10005,$W5085)+COUNTIFS('月1回_1ヶ月前の在庫'!$V$6:$V$10005,$V5085,'月1回_1ヶ月前の在庫'!$W$6:$W$10005,$W5085)&gt;0),N(U5084),N(U5084)+1))</f>
        <v/>
      </c>
      <c r="V5085" s="19">
        <f>IF($B5085="","",TEXT($B5085,"0000"))</f>
        <v/>
      </c>
      <c r="W5085" s="19">
        <f>IF($I5085="","",IF(ISNUMBER($I5085),TEXT($I5085,"0"),$I5085))</f>
        <v/>
      </c>
    </row>
    <row r="5086">
      <c r="B5086" s="25" t="n"/>
      <c r="I5086" s="25" t="n"/>
      <c r="U5086" s="19">
        <f>IF($V5086&lt;&gt;'設定'!$C$4,N(U5085),IF(OR(NOT(COUNTIF('商品マスタ'!$B$6:$B$1005,$W5086)=0),COUNTIFS('①在庫を貼る'!$V$6:$V$10005,$V5086,'①在庫を貼る'!$W$6:$W$10005,$W5086)+COUNTIFS('月1回_1ヶ月前の在庫'!$V$6:$V$10005,$V5086,'月1回_1ヶ月前の在庫'!$W$6:$W$10005,$W5086)&gt;0),N(U5085),N(U5085)+1))</f>
        <v/>
      </c>
      <c r="V5086" s="19">
        <f>IF($B5086="","",TEXT($B5086,"0000"))</f>
        <v/>
      </c>
      <c r="W5086" s="19">
        <f>IF($I5086="","",IF(ISNUMBER($I5086),TEXT($I5086,"0"),$I5086))</f>
        <v/>
      </c>
    </row>
    <row r="5087">
      <c r="B5087" s="25" t="n"/>
      <c r="I5087" s="25" t="n"/>
      <c r="U5087" s="19">
        <f>IF($V5087&lt;&gt;'設定'!$C$4,N(U5086),IF(OR(NOT(COUNTIF('商品マスタ'!$B$6:$B$1005,$W5087)=0),COUNTIFS('①在庫を貼る'!$V$6:$V$10005,$V5087,'①在庫を貼る'!$W$6:$W$10005,$W5087)+COUNTIFS('月1回_1ヶ月前の在庫'!$V$6:$V$10005,$V5087,'月1回_1ヶ月前の在庫'!$W$6:$W$10005,$W5087)&gt;0),N(U5086),N(U5086)+1))</f>
        <v/>
      </c>
      <c r="V5087" s="19">
        <f>IF($B5087="","",TEXT($B5087,"0000"))</f>
        <v/>
      </c>
      <c r="W5087" s="19">
        <f>IF($I5087="","",IF(ISNUMBER($I5087),TEXT($I5087,"0"),$I5087))</f>
        <v/>
      </c>
    </row>
    <row r="5088">
      <c r="B5088" s="25" t="n"/>
      <c r="I5088" s="25" t="n"/>
      <c r="U5088" s="19">
        <f>IF($V5088&lt;&gt;'設定'!$C$4,N(U5087),IF(OR(NOT(COUNTIF('商品マスタ'!$B$6:$B$1005,$W5088)=0),COUNTIFS('①在庫を貼る'!$V$6:$V$10005,$V5088,'①在庫を貼る'!$W$6:$W$10005,$W5088)+COUNTIFS('月1回_1ヶ月前の在庫'!$V$6:$V$10005,$V5088,'月1回_1ヶ月前の在庫'!$W$6:$W$10005,$W5088)&gt;0),N(U5087),N(U5087)+1))</f>
        <v/>
      </c>
      <c r="V5088" s="19">
        <f>IF($B5088="","",TEXT($B5088,"0000"))</f>
        <v/>
      </c>
      <c r="W5088" s="19">
        <f>IF($I5088="","",IF(ISNUMBER($I5088),TEXT($I5088,"0"),$I5088))</f>
        <v/>
      </c>
    </row>
    <row r="5089">
      <c r="B5089" s="25" t="n"/>
      <c r="I5089" s="25" t="n"/>
      <c r="U5089" s="19">
        <f>IF($V5089&lt;&gt;'設定'!$C$4,N(U5088),IF(OR(NOT(COUNTIF('商品マスタ'!$B$6:$B$1005,$W5089)=0),COUNTIFS('①在庫を貼る'!$V$6:$V$10005,$V5089,'①在庫を貼る'!$W$6:$W$10005,$W5089)+COUNTIFS('月1回_1ヶ月前の在庫'!$V$6:$V$10005,$V5089,'月1回_1ヶ月前の在庫'!$W$6:$W$10005,$W5089)&gt;0),N(U5088),N(U5088)+1))</f>
        <v/>
      </c>
      <c r="V5089" s="19">
        <f>IF($B5089="","",TEXT($B5089,"0000"))</f>
        <v/>
      </c>
      <c r="W5089" s="19">
        <f>IF($I5089="","",IF(ISNUMBER($I5089),TEXT($I5089,"0"),$I5089))</f>
        <v/>
      </c>
    </row>
    <row r="5090">
      <c r="B5090" s="25" t="n"/>
      <c r="I5090" s="25" t="n"/>
      <c r="U5090" s="19">
        <f>IF($V5090&lt;&gt;'設定'!$C$4,N(U5089),IF(OR(NOT(COUNTIF('商品マスタ'!$B$6:$B$1005,$W5090)=0),COUNTIFS('①在庫を貼る'!$V$6:$V$10005,$V5090,'①在庫を貼る'!$W$6:$W$10005,$W5090)+COUNTIFS('月1回_1ヶ月前の在庫'!$V$6:$V$10005,$V5090,'月1回_1ヶ月前の在庫'!$W$6:$W$10005,$W5090)&gt;0),N(U5089),N(U5089)+1))</f>
        <v/>
      </c>
      <c r="V5090" s="19">
        <f>IF($B5090="","",TEXT($B5090,"0000"))</f>
        <v/>
      </c>
      <c r="W5090" s="19">
        <f>IF($I5090="","",IF(ISNUMBER($I5090),TEXT($I5090,"0"),$I5090))</f>
        <v/>
      </c>
    </row>
    <row r="5091">
      <c r="B5091" s="25" t="n"/>
      <c r="I5091" s="25" t="n"/>
      <c r="U5091" s="19">
        <f>IF($V5091&lt;&gt;'設定'!$C$4,N(U5090),IF(OR(NOT(COUNTIF('商品マスタ'!$B$6:$B$1005,$W5091)=0),COUNTIFS('①在庫を貼る'!$V$6:$V$10005,$V5091,'①在庫を貼る'!$W$6:$W$10005,$W5091)+COUNTIFS('月1回_1ヶ月前の在庫'!$V$6:$V$10005,$V5091,'月1回_1ヶ月前の在庫'!$W$6:$W$10005,$W5091)&gt;0),N(U5090),N(U5090)+1))</f>
        <v/>
      </c>
      <c r="V5091" s="19">
        <f>IF($B5091="","",TEXT($B5091,"0000"))</f>
        <v/>
      </c>
      <c r="W5091" s="19">
        <f>IF($I5091="","",IF(ISNUMBER($I5091),TEXT($I5091,"0"),$I5091))</f>
        <v/>
      </c>
    </row>
    <row r="5092">
      <c r="B5092" s="25" t="n"/>
      <c r="I5092" s="25" t="n"/>
      <c r="U5092" s="19">
        <f>IF($V5092&lt;&gt;'設定'!$C$4,N(U5091),IF(OR(NOT(COUNTIF('商品マスタ'!$B$6:$B$1005,$W5092)=0),COUNTIFS('①在庫を貼る'!$V$6:$V$10005,$V5092,'①在庫を貼る'!$W$6:$W$10005,$W5092)+COUNTIFS('月1回_1ヶ月前の在庫'!$V$6:$V$10005,$V5092,'月1回_1ヶ月前の在庫'!$W$6:$W$10005,$W5092)&gt;0),N(U5091),N(U5091)+1))</f>
        <v/>
      </c>
      <c r="V5092" s="19">
        <f>IF($B5092="","",TEXT($B5092,"0000"))</f>
        <v/>
      </c>
      <c r="W5092" s="19">
        <f>IF($I5092="","",IF(ISNUMBER($I5092),TEXT($I5092,"0"),$I5092))</f>
        <v/>
      </c>
    </row>
    <row r="5093">
      <c r="B5093" s="25" t="n"/>
      <c r="I5093" s="25" t="n"/>
      <c r="U5093" s="19">
        <f>IF($V5093&lt;&gt;'設定'!$C$4,N(U5092),IF(OR(NOT(COUNTIF('商品マスタ'!$B$6:$B$1005,$W5093)=0),COUNTIFS('①在庫を貼る'!$V$6:$V$10005,$V5093,'①在庫を貼る'!$W$6:$W$10005,$W5093)+COUNTIFS('月1回_1ヶ月前の在庫'!$V$6:$V$10005,$V5093,'月1回_1ヶ月前の在庫'!$W$6:$W$10005,$W5093)&gt;0),N(U5092),N(U5092)+1))</f>
        <v/>
      </c>
      <c r="V5093" s="19">
        <f>IF($B5093="","",TEXT($B5093,"0000"))</f>
        <v/>
      </c>
      <c r="W5093" s="19">
        <f>IF($I5093="","",IF(ISNUMBER($I5093),TEXT($I5093,"0"),$I5093))</f>
        <v/>
      </c>
    </row>
    <row r="5094">
      <c r="B5094" s="25" t="n"/>
      <c r="I5094" s="25" t="n"/>
      <c r="U5094" s="19">
        <f>IF($V5094&lt;&gt;'設定'!$C$4,N(U5093),IF(OR(NOT(COUNTIF('商品マスタ'!$B$6:$B$1005,$W5094)=0),COUNTIFS('①在庫を貼る'!$V$6:$V$10005,$V5094,'①在庫を貼る'!$W$6:$W$10005,$W5094)+COUNTIFS('月1回_1ヶ月前の在庫'!$V$6:$V$10005,$V5094,'月1回_1ヶ月前の在庫'!$W$6:$W$10005,$W5094)&gt;0),N(U5093),N(U5093)+1))</f>
        <v/>
      </c>
      <c r="V5094" s="19">
        <f>IF($B5094="","",TEXT($B5094,"0000"))</f>
        <v/>
      </c>
      <c r="W5094" s="19">
        <f>IF($I5094="","",IF(ISNUMBER($I5094),TEXT($I5094,"0"),$I5094))</f>
        <v/>
      </c>
    </row>
    <row r="5095">
      <c r="B5095" s="25" t="n"/>
      <c r="I5095" s="25" t="n"/>
      <c r="U5095" s="19">
        <f>IF($V5095&lt;&gt;'設定'!$C$4,N(U5094),IF(OR(NOT(COUNTIF('商品マスタ'!$B$6:$B$1005,$W5095)=0),COUNTIFS('①在庫を貼る'!$V$6:$V$10005,$V5095,'①在庫を貼る'!$W$6:$W$10005,$W5095)+COUNTIFS('月1回_1ヶ月前の在庫'!$V$6:$V$10005,$V5095,'月1回_1ヶ月前の在庫'!$W$6:$W$10005,$W5095)&gt;0),N(U5094),N(U5094)+1))</f>
        <v/>
      </c>
      <c r="V5095" s="19">
        <f>IF($B5095="","",TEXT($B5095,"0000"))</f>
        <v/>
      </c>
      <c r="W5095" s="19">
        <f>IF($I5095="","",IF(ISNUMBER($I5095),TEXT($I5095,"0"),$I5095))</f>
        <v/>
      </c>
    </row>
    <row r="5096">
      <c r="B5096" s="25" t="n"/>
      <c r="I5096" s="25" t="n"/>
      <c r="U5096" s="19">
        <f>IF($V5096&lt;&gt;'設定'!$C$4,N(U5095),IF(OR(NOT(COUNTIF('商品マスタ'!$B$6:$B$1005,$W5096)=0),COUNTIFS('①在庫を貼る'!$V$6:$V$10005,$V5096,'①在庫を貼る'!$W$6:$W$10005,$W5096)+COUNTIFS('月1回_1ヶ月前の在庫'!$V$6:$V$10005,$V5096,'月1回_1ヶ月前の在庫'!$W$6:$W$10005,$W5096)&gt;0),N(U5095),N(U5095)+1))</f>
        <v/>
      </c>
      <c r="V5096" s="19">
        <f>IF($B5096="","",TEXT($B5096,"0000"))</f>
        <v/>
      </c>
      <c r="W5096" s="19">
        <f>IF($I5096="","",IF(ISNUMBER($I5096),TEXT($I5096,"0"),$I5096))</f>
        <v/>
      </c>
    </row>
    <row r="5097">
      <c r="B5097" s="25" t="n"/>
      <c r="I5097" s="25" t="n"/>
      <c r="U5097" s="19">
        <f>IF($V5097&lt;&gt;'設定'!$C$4,N(U5096),IF(OR(NOT(COUNTIF('商品マスタ'!$B$6:$B$1005,$W5097)=0),COUNTIFS('①在庫を貼る'!$V$6:$V$10005,$V5097,'①在庫を貼る'!$W$6:$W$10005,$W5097)+COUNTIFS('月1回_1ヶ月前の在庫'!$V$6:$V$10005,$V5097,'月1回_1ヶ月前の在庫'!$W$6:$W$10005,$W5097)&gt;0),N(U5096),N(U5096)+1))</f>
        <v/>
      </c>
      <c r="V5097" s="19">
        <f>IF($B5097="","",TEXT($B5097,"0000"))</f>
        <v/>
      </c>
      <c r="W5097" s="19">
        <f>IF($I5097="","",IF(ISNUMBER($I5097),TEXT($I5097,"0"),$I5097))</f>
        <v/>
      </c>
    </row>
    <row r="5098">
      <c r="B5098" s="25" t="n"/>
      <c r="I5098" s="25" t="n"/>
      <c r="U5098" s="19">
        <f>IF($V5098&lt;&gt;'設定'!$C$4,N(U5097),IF(OR(NOT(COUNTIF('商品マスタ'!$B$6:$B$1005,$W5098)=0),COUNTIFS('①在庫を貼る'!$V$6:$V$10005,$V5098,'①在庫を貼る'!$W$6:$W$10005,$W5098)+COUNTIFS('月1回_1ヶ月前の在庫'!$V$6:$V$10005,$V5098,'月1回_1ヶ月前の在庫'!$W$6:$W$10005,$W5098)&gt;0),N(U5097),N(U5097)+1))</f>
        <v/>
      </c>
      <c r="V5098" s="19">
        <f>IF($B5098="","",TEXT($B5098,"0000"))</f>
        <v/>
      </c>
      <c r="W5098" s="19">
        <f>IF($I5098="","",IF(ISNUMBER($I5098),TEXT($I5098,"0"),$I5098))</f>
        <v/>
      </c>
    </row>
    <row r="5099">
      <c r="B5099" s="25" t="n"/>
      <c r="I5099" s="25" t="n"/>
      <c r="U5099" s="19">
        <f>IF($V5099&lt;&gt;'設定'!$C$4,N(U5098),IF(OR(NOT(COUNTIF('商品マスタ'!$B$6:$B$1005,$W5099)=0),COUNTIFS('①在庫を貼る'!$V$6:$V$10005,$V5099,'①在庫を貼る'!$W$6:$W$10005,$W5099)+COUNTIFS('月1回_1ヶ月前の在庫'!$V$6:$V$10005,$V5099,'月1回_1ヶ月前の在庫'!$W$6:$W$10005,$W5099)&gt;0),N(U5098),N(U5098)+1))</f>
        <v/>
      </c>
      <c r="V5099" s="19">
        <f>IF($B5099="","",TEXT($B5099,"0000"))</f>
        <v/>
      </c>
      <c r="W5099" s="19">
        <f>IF($I5099="","",IF(ISNUMBER($I5099),TEXT($I5099,"0"),$I5099))</f>
        <v/>
      </c>
    </row>
    <row r="5100">
      <c r="B5100" s="25" t="n"/>
      <c r="I5100" s="25" t="n"/>
      <c r="U5100" s="19">
        <f>IF($V5100&lt;&gt;'設定'!$C$4,N(U5099),IF(OR(NOT(COUNTIF('商品マスタ'!$B$6:$B$1005,$W5100)=0),COUNTIFS('①在庫を貼る'!$V$6:$V$10005,$V5100,'①在庫を貼る'!$W$6:$W$10005,$W5100)+COUNTIFS('月1回_1ヶ月前の在庫'!$V$6:$V$10005,$V5100,'月1回_1ヶ月前の在庫'!$W$6:$W$10005,$W5100)&gt;0),N(U5099),N(U5099)+1))</f>
        <v/>
      </c>
      <c r="V5100" s="19">
        <f>IF($B5100="","",TEXT($B5100,"0000"))</f>
        <v/>
      </c>
      <c r="W5100" s="19">
        <f>IF($I5100="","",IF(ISNUMBER($I5100),TEXT($I5100,"0"),$I5100))</f>
        <v/>
      </c>
    </row>
    <row r="5101">
      <c r="B5101" s="25" t="n"/>
      <c r="I5101" s="25" t="n"/>
      <c r="U5101" s="19">
        <f>IF($V5101&lt;&gt;'設定'!$C$4,N(U5100),IF(OR(NOT(COUNTIF('商品マスタ'!$B$6:$B$1005,$W5101)=0),COUNTIFS('①在庫を貼る'!$V$6:$V$10005,$V5101,'①在庫を貼る'!$W$6:$W$10005,$W5101)+COUNTIFS('月1回_1ヶ月前の在庫'!$V$6:$V$10005,$V5101,'月1回_1ヶ月前の在庫'!$W$6:$W$10005,$W5101)&gt;0),N(U5100),N(U5100)+1))</f>
        <v/>
      </c>
      <c r="V5101" s="19">
        <f>IF($B5101="","",TEXT($B5101,"0000"))</f>
        <v/>
      </c>
      <c r="W5101" s="19">
        <f>IF($I5101="","",IF(ISNUMBER($I5101),TEXT($I5101,"0"),$I5101))</f>
        <v/>
      </c>
    </row>
    <row r="5102">
      <c r="B5102" s="25" t="n"/>
      <c r="I5102" s="25" t="n"/>
      <c r="U5102" s="19">
        <f>IF($V5102&lt;&gt;'設定'!$C$4,N(U5101),IF(OR(NOT(COUNTIF('商品マスタ'!$B$6:$B$1005,$W5102)=0),COUNTIFS('①在庫を貼る'!$V$6:$V$10005,$V5102,'①在庫を貼る'!$W$6:$W$10005,$W5102)+COUNTIFS('月1回_1ヶ月前の在庫'!$V$6:$V$10005,$V5102,'月1回_1ヶ月前の在庫'!$W$6:$W$10005,$W5102)&gt;0),N(U5101),N(U5101)+1))</f>
        <v/>
      </c>
      <c r="V5102" s="19">
        <f>IF($B5102="","",TEXT($B5102,"0000"))</f>
        <v/>
      </c>
      <c r="W5102" s="19">
        <f>IF($I5102="","",IF(ISNUMBER($I5102),TEXT($I5102,"0"),$I5102))</f>
        <v/>
      </c>
    </row>
    <row r="5103">
      <c r="B5103" s="25" t="n"/>
      <c r="I5103" s="25" t="n"/>
      <c r="U5103" s="19">
        <f>IF($V5103&lt;&gt;'設定'!$C$4,N(U5102),IF(OR(NOT(COUNTIF('商品マスタ'!$B$6:$B$1005,$W5103)=0),COUNTIFS('①在庫を貼る'!$V$6:$V$10005,$V5103,'①在庫を貼る'!$W$6:$W$10005,$W5103)+COUNTIFS('月1回_1ヶ月前の在庫'!$V$6:$V$10005,$V5103,'月1回_1ヶ月前の在庫'!$W$6:$W$10005,$W5103)&gt;0),N(U5102),N(U5102)+1))</f>
        <v/>
      </c>
      <c r="V5103" s="19">
        <f>IF($B5103="","",TEXT($B5103,"0000"))</f>
        <v/>
      </c>
      <c r="W5103" s="19">
        <f>IF($I5103="","",IF(ISNUMBER($I5103),TEXT($I5103,"0"),$I5103))</f>
        <v/>
      </c>
    </row>
    <row r="5104">
      <c r="B5104" s="25" t="n"/>
      <c r="I5104" s="25" t="n"/>
      <c r="U5104" s="19">
        <f>IF($V5104&lt;&gt;'設定'!$C$4,N(U5103),IF(OR(NOT(COUNTIF('商品マスタ'!$B$6:$B$1005,$W5104)=0),COUNTIFS('①在庫を貼る'!$V$6:$V$10005,$V5104,'①在庫を貼る'!$W$6:$W$10005,$W5104)+COUNTIFS('月1回_1ヶ月前の在庫'!$V$6:$V$10005,$V5104,'月1回_1ヶ月前の在庫'!$W$6:$W$10005,$W5104)&gt;0),N(U5103),N(U5103)+1))</f>
        <v/>
      </c>
      <c r="V5104" s="19">
        <f>IF($B5104="","",TEXT($B5104,"0000"))</f>
        <v/>
      </c>
      <c r="W5104" s="19">
        <f>IF($I5104="","",IF(ISNUMBER($I5104),TEXT($I5104,"0"),$I5104))</f>
        <v/>
      </c>
    </row>
    <row r="5105">
      <c r="B5105" s="25" t="n"/>
      <c r="I5105" s="25" t="n"/>
      <c r="U5105" s="19">
        <f>IF($V5105&lt;&gt;'設定'!$C$4,N(U5104),IF(OR(NOT(COUNTIF('商品マスタ'!$B$6:$B$1005,$W5105)=0),COUNTIFS('①在庫を貼る'!$V$6:$V$10005,$V5105,'①在庫を貼る'!$W$6:$W$10005,$W5105)+COUNTIFS('月1回_1ヶ月前の在庫'!$V$6:$V$10005,$V5105,'月1回_1ヶ月前の在庫'!$W$6:$W$10005,$W5105)&gt;0),N(U5104),N(U5104)+1))</f>
        <v/>
      </c>
      <c r="V5105" s="19">
        <f>IF($B5105="","",TEXT($B5105,"0000"))</f>
        <v/>
      </c>
      <c r="W5105" s="19">
        <f>IF($I5105="","",IF(ISNUMBER($I5105),TEXT($I5105,"0"),$I5105))</f>
        <v/>
      </c>
    </row>
    <row r="5106">
      <c r="B5106" s="25" t="n"/>
      <c r="I5106" s="25" t="n"/>
      <c r="U5106" s="19">
        <f>IF($V5106&lt;&gt;'設定'!$C$4,N(U5105),IF(OR(NOT(COUNTIF('商品マスタ'!$B$6:$B$1005,$W5106)=0),COUNTIFS('①在庫を貼る'!$V$6:$V$10005,$V5106,'①在庫を貼る'!$W$6:$W$10005,$W5106)+COUNTIFS('月1回_1ヶ月前の在庫'!$V$6:$V$10005,$V5106,'月1回_1ヶ月前の在庫'!$W$6:$W$10005,$W5106)&gt;0),N(U5105),N(U5105)+1))</f>
        <v/>
      </c>
      <c r="V5106" s="19">
        <f>IF($B5106="","",TEXT($B5106,"0000"))</f>
        <v/>
      </c>
      <c r="W5106" s="19">
        <f>IF($I5106="","",IF(ISNUMBER($I5106),TEXT($I5106,"0"),$I5106))</f>
        <v/>
      </c>
    </row>
    <row r="5107">
      <c r="B5107" s="25" t="n"/>
      <c r="I5107" s="25" t="n"/>
      <c r="U5107" s="19">
        <f>IF($V5107&lt;&gt;'設定'!$C$4,N(U5106),IF(OR(NOT(COUNTIF('商品マスタ'!$B$6:$B$1005,$W5107)=0),COUNTIFS('①在庫を貼る'!$V$6:$V$10005,$V5107,'①在庫を貼る'!$W$6:$W$10005,$W5107)+COUNTIFS('月1回_1ヶ月前の在庫'!$V$6:$V$10005,$V5107,'月1回_1ヶ月前の在庫'!$W$6:$W$10005,$W5107)&gt;0),N(U5106),N(U5106)+1))</f>
        <v/>
      </c>
      <c r="V5107" s="19">
        <f>IF($B5107="","",TEXT($B5107,"0000"))</f>
        <v/>
      </c>
      <c r="W5107" s="19">
        <f>IF($I5107="","",IF(ISNUMBER($I5107),TEXT($I5107,"0"),$I5107))</f>
        <v/>
      </c>
    </row>
    <row r="5108">
      <c r="B5108" s="25" t="n"/>
      <c r="I5108" s="25" t="n"/>
      <c r="U5108" s="19">
        <f>IF($V5108&lt;&gt;'設定'!$C$4,N(U5107),IF(OR(NOT(COUNTIF('商品マスタ'!$B$6:$B$1005,$W5108)=0),COUNTIFS('①在庫を貼る'!$V$6:$V$10005,$V5108,'①在庫を貼る'!$W$6:$W$10005,$W5108)+COUNTIFS('月1回_1ヶ月前の在庫'!$V$6:$V$10005,$V5108,'月1回_1ヶ月前の在庫'!$W$6:$W$10005,$W5108)&gt;0),N(U5107),N(U5107)+1))</f>
        <v/>
      </c>
      <c r="V5108" s="19">
        <f>IF($B5108="","",TEXT($B5108,"0000"))</f>
        <v/>
      </c>
      <c r="W5108" s="19">
        <f>IF($I5108="","",IF(ISNUMBER($I5108),TEXT($I5108,"0"),$I5108))</f>
        <v/>
      </c>
    </row>
    <row r="5109">
      <c r="B5109" s="25" t="n"/>
      <c r="I5109" s="25" t="n"/>
      <c r="U5109" s="19">
        <f>IF($V5109&lt;&gt;'設定'!$C$4,N(U5108),IF(OR(NOT(COUNTIF('商品マスタ'!$B$6:$B$1005,$W5109)=0),COUNTIFS('①在庫を貼る'!$V$6:$V$10005,$V5109,'①在庫を貼る'!$W$6:$W$10005,$W5109)+COUNTIFS('月1回_1ヶ月前の在庫'!$V$6:$V$10005,$V5109,'月1回_1ヶ月前の在庫'!$W$6:$W$10005,$W5109)&gt;0),N(U5108),N(U5108)+1))</f>
        <v/>
      </c>
      <c r="V5109" s="19">
        <f>IF($B5109="","",TEXT($B5109,"0000"))</f>
        <v/>
      </c>
      <c r="W5109" s="19">
        <f>IF($I5109="","",IF(ISNUMBER($I5109),TEXT($I5109,"0"),$I5109))</f>
        <v/>
      </c>
    </row>
    <row r="5110">
      <c r="B5110" s="25" t="n"/>
      <c r="I5110" s="25" t="n"/>
      <c r="U5110" s="19">
        <f>IF($V5110&lt;&gt;'設定'!$C$4,N(U5109),IF(OR(NOT(COUNTIF('商品マスタ'!$B$6:$B$1005,$W5110)=0),COUNTIFS('①在庫を貼る'!$V$6:$V$10005,$V5110,'①在庫を貼る'!$W$6:$W$10005,$W5110)+COUNTIFS('月1回_1ヶ月前の在庫'!$V$6:$V$10005,$V5110,'月1回_1ヶ月前の在庫'!$W$6:$W$10005,$W5110)&gt;0),N(U5109),N(U5109)+1))</f>
        <v/>
      </c>
      <c r="V5110" s="19">
        <f>IF($B5110="","",TEXT($B5110,"0000"))</f>
        <v/>
      </c>
      <c r="W5110" s="19">
        <f>IF($I5110="","",IF(ISNUMBER($I5110),TEXT($I5110,"0"),$I5110))</f>
        <v/>
      </c>
    </row>
    <row r="5111">
      <c r="B5111" s="25" t="n"/>
      <c r="I5111" s="25" t="n"/>
      <c r="U5111" s="19">
        <f>IF($V5111&lt;&gt;'設定'!$C$4,N(U5110),IF(OR(NOT(COUNTIF('商品マスタ'!$B$6:$B$1005,$W5111)=0),COUNTIFS('①在庫を貼る'!$V$6:$V$10005,$V5111,'①在庫を貼る'!$W$6:$W$10005,$W5111)+COUNTIFS('月1回_1ヶ月前の在庫'!$V$6:$V$10005,$V5111,'月1回_1ヶ月前の在庫'!$W$6:$W$10005,$W5111)&gt;0),N(U5110),N(U5110)+1))</f>
        <v/>
      </c>
      <c r="V5111" s="19">
        <f>IF($B5111="","",TEXT($B5111,"0000"))</f>
        <v/>
      </c>
      <c r="W5111" s="19">
        <f>IF($I5111="","",IF(ISNUMBER($I5111),TEXT($I5111,"0"),$I5111))</f>
        <v/>
      </c>
    </row>
    <row r="5112">
      <c r="B5112" s="25" t="n"/>
      <c r="I5112" s="25" t="n"/>
      <c r="U5112" s="19">
        <f>IF($V5112&lt;&gt;'設定'!$C$4,N(U5111),IF(OR(NOT(COUNTIF('商品マスタ'!$B$6:$B$1005,$W5112)=0),COUNTIFS('①在庫を貼る'!$V$6:$V$10005,$V5112,'①在庫を貼る'!$W$6:$W$10005,$W5112)+COUNTIFS('月1回_1ヶ月前の在庫'!$V$6:$V$10005,$V5112,'月1回_1ヶ月前の在庫'!$W$6:$W$10005,$W5112)&gt;0),N(U5111),N(U5111)+1))</f>
        <v/>
      </c>
      <c r="V5112" s="19">
        <f>IF($B5112="","",TEXT($B5112,"0000"))</f>
        <v/>
      </c>
      <c r="W5112" s="19">
        <f>IF($I5112="","",IF(ISNUMBER($I5112),TEXT($I5112,"0"),$I5112))</f>
        <v/>
      </c>
    </row>
    <row r="5113">
      <c r="B5113" s="25" t="n"/>
      <c r="I5113" s="25" t="n"/>
      <c r="U5113" s="19">
        <f>IF($V5113&lt;&gt;'設定'!$C$4,N(U5112),IF(OR(NOT(COUNTIF('商品マスタ'!$B$6:$B$1005,$W5113)=0),COUNTIFS('①在庫を貼る'!$V$6:$V$10005,$V5113,'①在庫を貼る'!$W$6:$W$10005,$W5113)+COUNTIFS('月1回_1ヶ月前の在庫'!$V$6:$V$10005,$V5113,'月1回_1ヶ月前の在庫'!$W$6:$W$10005,$W5113)&gt;0),N(U5112),N(U5112)+1))</f>
        <v/>
      </c>
      <c r="V5113" s="19">
        <f>IF($B5113="","",TEXT($B5113,"0000"))</f>
        <v/>
      </c>
      <c r="W5113" s="19">
        <f>IF($I5113="","",IF(ISNUMBER($I5113),TEXT($I5113,"0"),$I5113))</f>
        <v/>
      </c>
    </row>
    <row r="5114">
      <c r="B5114" s="25" t="n"/>
      <c r="I5114" s="25" t="n"/>
      <c r="U5114" s="19">
        <f>IF($V5114&lt;&gt;'設定'!$C$4,N(U5113),IF(OR(NOT(COUNTIF('商品マスタ'!$B$6:$B$1005,$W5114)=0),COUNTIFS('①在庫を貼る'!$V$6:$V$10005,$V5114,'①在庫を貼る'!$W$6:$W$10005,$W5114)+COUNTIFS('月1回_1ヶ月前の在庫'!$V$6:$V$10005,$V5114,'月1回_1ヶ月前の在庫'!$W$6:$W$10005,$W5114)&gt;0),N(U5113),N(U5113)+1))</f>
        <v/>
      </c>
      <c r="V5114" s="19">
        <f>IF($B5114="","",TEXT($B5114,"0000"))</f>
        <v/>
      </c>
      <c r="W5114" s="19">
        <f>IF($I5114="","",IF(ISNUMBER($I5114),TEXT($I5114,"0"),$I5114))</f>
        <v/>
      </c>
    </row>
    <row r="5115">
      <c r="B5115" s="25" t="n"/>
      <c r="I5115" s="25" t="n"/>
      <c r="U5115" s="19">
        <f>IF($V5115&lt;&gt;'設定'!$C$4,N(U5114),IF(OR(NOT(COUNTIF('商品マスタ'!$B$6:$B$1005,$W5115)=0),COUNTIFS('①在庫を貼る'!$V$6:$V$10005,$V5115,'①在庫を貼る'!$W$6:$W$10005,$W5115)+COUNTIFS('月1回_1ヶ月前の在庫'!$V$6:$V$10005,$V5115,'月1回_1ヶ月前の在庫'!$W$6:$W$10005,$W5115)&gt;0),N(U5114),N(U5114)+1))</f>
        <v/>
      </c>
      <c r="V5115" s="19">
        <f>IF($B5115="","",TEXT($B5115,"0000"))</f>
        <v/>
      </c>
      <c r="W5115" s="19">
        <f>IF($I5115="","",IF(ISNUMBER($I5115),TEXT($I5115,"0"),$I5115))</f>
        <v/>
      </c>
    </row>
    <row r="5116">
      <c r="B5116" s="25" t="n"/>
      <c r="I5116" s="25" t="n"/>
      <c r="U5116" s="19">
        <f>IF($V5116&lt;&gt;'設定'!$C$4,N(U5115),IF(OR(NOT(COUNTIF('商品マスタ'!$B$6:$B$1005,$W5116)=0),COUNTIFS('①在庫を貼る'!$V$6:$V$10005,$V5116,'①在庫を貼る'!$W$6:$W$10005,$W5116)+COUNTIFS('月1回_1ヶ月前の在庫'!$V$6:$V$10005,$V5116,'月1回_1ヶ月前の在庫'!$W$6:$W$10005,$W5116)&gt;0),N(U5115),N(U5115)+1))</f>
        <v/>
      </c>
      <c r="V5116" s="19">
        <f>IF($B5116="","",TEXT($B5116,"0000"))</f>
        <v/>
      </c>
      <c r="W5116" s="19">
        <f>IF($I5116="","",IF(ISNUMBER($I5116),TEXT($I5116,"0"),$I5116))</f>
        <v/>
      </c>
    </row>
    <row r="5117">
      <c r="B5117" s="25" t="n"/>
      <c r="I5117" s="25" t="n"/>
      <c r="U5117" s="19">
        <f>IF($V5117&lt;&gt;'設定'!$C$4,N(U5116),IF(OR(NOT(COUNTIF('商品マスタ'!$B$6:$B$1005,$W5117)=0),COUNTIFS('①在庫を貼る'!$V$6:$V$10005,$V5117,'①在庫を貼る'!$W$6:$W$10005,$W5117)+COUNTIFS('月1回_1ヶ月前の在庫'!$V$6:$V$10005,$V5117,'月1回_1ヶ月前の在庫'!$W$6:$W$10005,$W5117)&gt;0),N(U5116),N(U5116)+1))</f>
        <v/>
      </c>
      <c r="V5117" s="19">
        <f>IF($B5117="","",TEXT($B5117,"0000"))</f>
        <v/>
      </c>
      <c r="W5117" s="19">
        <f>IF($I5117="","",IF(ISNUMBER($I5117),TEXT($I5117,"0"),$I5117))</f>
        <v/>
      </c>
    </row>
    <row r="5118">
      <c r="B5118" s="25" t="n"/>
      <c r="I5118" s="25" t="n"/>
      <c r="U5118" s="19">
        <f>IF($V5118&lt;&gt;'設定'!$C$4,N(U5117),IF(OR(NOT(COUNTIF('商品マスタ'!$B$6:$B$1005,$W5118)=0),COUNTIFS('①在庫を貼る'!$V$6:$V$10005,$V5118,'①在庫を貼る'!$W$6:$W$10005,$W5118)+COUNTIFS('月1回_1ヶ月前の在庫'!$V$6:$V$10005,$V5118,'月1回_1ヶ月前の在庫'!$W$6:$W$10005,$W5118)&gt;0),N(U5117),N(U5117)+1))</f>
        <v/>
      </c>
      <c r="V5118" s="19">
        <f>IF($B5118="","",TEXT($B5118,"0000"))</f>
        <v/>
      </c>
      <c r="W5118" s="19">
        <f>IF($I5118="","",IF(ISNUMBER($I5118),TEXT($I5118,"0"),$I5118))</f>
        <v/>
      </c>
    </row>
    <row r="5119">
      <c r="B5119" s="25" t="n"/>
      <c r="I5119" s="25" t="n"/>
      <c r="U5119" s="19">
        <f>IF($V5119&lt;&gt;'設定'!$C$4,N(U5118),IF(OR(NOT(COUNTIF('商品マスタ'!$B$6:$B$1005,$W5119)=0),COUNTIFS('①在庫を貼る'!$V$6:$V$10005,$V5119,'①在庫を貼る'!$W$6:$W$10005,$W5119)+COUNTIFS('月1回_1ヶ月前の在庫'!$V$6:$V$10005,$V5119,'月1回_1ヶ月前の在庫'!$W$6:$W$10005,$W5119)&gt;0),N(U5118),N(U5118)+1))</f>
        <v/>
      </c>
      <c r="V5119" s="19">
        <f>IF($B5119="","",TEXT($B5119,"0000"))</f>
        <v/>
      </c>
      <c r="W5119" s="19">
        <f>IF($I5119="","",IF(ISNUMBER($I5119),TEXT($I5119,"0"),$I5119))</f>
        <v/>
      </c>
    </row>
    <row r="5120">
      <c r="B5120" s="25" t="n"/>
      <c r="I5120" s="25" t="n"/>
      <c r="U5120" s="19">
        <f>IF($V5120&lt;&gt;'設定'!$C$4,N(U5119),IF(OR(NOT(COUNTIF('商品マスタ'!$B$6:$B$1005,$W5120)=0),COUNTIFS('①在庫を貼る'!$V$6:$V$10005,$V5120,'①在庫を貼る'!$W$6:$W$10005,$W5120)+COUNTIFS('月1回_1ヶ月前の在庫'!$V$6:$V$10005,$V5120,'月1回_1ヶ月前の在庫'!$W$6:$W$10005,$W5120)&gt;0),N(U5119),N(U5119)+1))</f>
        <v/>
      </c>
      <c r="V5120" s="19">
        <f>IF($B5120="","",TEXT($B5120,"0000"))</f>
        <v/>
      </c>
      <c r="W5120" s="19">
        <f>IF($I5120="","",IF(ISNUMBER($I5120),TEXT($I5120,"0"),$I5120))</f>
        <v/>
      </c>
    </row>
    <row r="5121">
      <c r="B5121" s="25" t="n"/>
      <c r="I5121" s="25" t="n"/>
      <c r="U5121" s="19">
        <f>IF($V5121&lt;&gt;'設定'!$C$4,N(U5120),IF(OR(NOT(COUNTIF('商品マスタ'!$B$6:$B$1005,$W5121)=0),COUNTIFS('①在庫を貼る'!$V$6:$V$10005,$V5121,'①在庫を貼る'!$W$6:$W$10005,$W5121)+COUNTIFS('月1回_1ヶ月前の在庫'!$V$6:$V$10005,$V5121,'月1回_1ヶ月前の在庫'!$W$6:$W$10005,$W5121)&gt;0),N(U5120),N(U5120)+1))</f>
        <v/>
      </c>
      <c r="V5121" s="19">
        <f>IF($B5121="","",TEXT($B5121,"0000"))</f>
        <v/>
      </c>
      <c r="W5121" s="19">
        <f>IF($I5121="","",IF(ISNUMBER($I5121),TEXT($I5121,"0"),$I5121))</f>
        <v/>
      </c>
    </row>
    <row r="5122">
      <c r="B5122" s="25" t="n"/>
      <c r="I5122" s="25" t="n"/>
      <c r="U5122" s="19">
        <f>IF($V5122&lt;&gt;'設定'!$C$4,N(U5121),IF(OR(NOT(COUNTIF('商品マスタ'!$B$6:$B$1005,$W5122)=0),COUNTIFS('①在庫を貼る'!$V$6:$V$10005,$V5122,'①在庫を貼る'!$W$6:$W$10005,$W5122)+COUNTIFS('月1回_1ヶ月前の在庫'!$V$6:$V$10005,$V5122,'月1回_1ヶ月前の在庫'!$W$6:$W$10005,$W5122)&gt;0),N(U5121),N(U5121)+1))</f>
        <v/>
      </c>
      <c r="V5122" s="19">
        <f>IF($B5122="","",TEXT($B5122,"0000"))</f>
        <v/>
      </c>
      <c r="W5122" s="19">
        <f>IF($I5122="","",IF(ISNUMBER($I5122),TEXT($I5122,"0"),$I5122))</f>
        <v/>
      </c>
    </row>
    <row r="5123">
      <c r="B5123" s="25" t="n"/>
      <c r="I5123" s="25" t="n"/>
      <c r="U5123" s="19">
        <f>IF($V5123&lt;&gt;'設定'!$C$4,N(U5122),IF(OR(NOT(COUNTIF('商品マスタ'!$B$6:$B$1005,$W5123)=0),COUNTIFS('①在庫を貼る'!$V$6:$V$10005,$V5123,'①在庫を貼る'!$W$6:$W$10005,$W5123)+COUNTIFS('月1回_1ヶ月前の在庫'!$V$6:$V$10005,$V5123,'月1回_1ヶ月前の在庫'!$W$6:$W$10005,$W5123)&gt;0),N(U5122),N(U5122)+1))</f>
        <v/>
      </c>
      <c r="V5123" s="19">
        <f>IF($B5123="","",TEXT($B5123,"0000"))</f>
        <v/>
      </c>
      <c r="W5123" s="19">
        <f>IF($I5123="","",IF(ISNUMBER($I5123),TEXT($I5123,"0"),$I5123))</f>
        <v/>
      </c>
    </row>
    <row r="5124">
      <c r="B5124" s="25" t="n"/>
      <c r="I5124" s="25" t="n"/>
      <c r="U5124" s="19">
        <f>IF($V5124&lt;&gt;'設定'!$C$4,N(U5123),IF(OR(NOT(COUNTIF('商品マスタ'!$B$6:$B$1005,$W5124)=0),COUNTIFS('①在庫を貼る'!$V$6:$V$10005,$V5124,'①在庫を貼る'!$W$6:$W$10005,$W5124)+COUNTIFS('月1回_1ヶ月前の在庫'!$V$6:$V$10005,$V5124,'月1回_1ヶ月前の在庫'!$W$6:$W$10005,$W5124)&gt;0),N(U5123),N(U5123)+1))</f>
        <v/>
      </c>
      <c r="V5124" s="19">
        <f>IF($B5124="","",TEXT($B5124,"0000"))</f>
        <v/>
      </c>
      <c r="W5124" s="19">
        <f>IF($I5124="","",IF(ISNUMBER($I5124),TEXT($I5124,"0"),$I5124))</f>
        <v/>
      </c>
    </row>
    <row r="5125">
      <c r="B5125" s="25" t="n"/>
      <c r="I5125" s="25" t="n"/>
      <c r="U5125" s="19">
        <f>IF($V5125&lt;&gt;'設定'!$C$4,N(U5124),IF(OR(NOT(COUNTIF('商品マスタ'!$B$6:$B$1005,$W5125)=0),COUNTIFS('①在庫を貼る'!$V$6:$V$10005,$V5125,'①在庫を貼る'!$W$6:$W$10005,$W5125)+COUNTIFS('月1回_1ヶ月前の在庫'!$V$6:$V$10005,$V5125,'月1回_1ヶ月前の在庫'!$W$6:$W$10005,$W5125)&gt;0),N(U5124),N(U5124)+1))</f>
        <v/>
      </c>
      <c r="V5125" s="19">
        <f>IF($B5125="","",TEXT($B5125,"0000"))</f>
        <v/>
      </c>
      <c r="W5125" s="19">
        <f>IF($I5125="","",IF(ISNUMBER($I5125),TEXT($I5125,"0"),$I5125))</f>
        <v/>
      </c>
    </row>
    <row r="5126">
      <c r="B5126" s="25" t="n"/>
      <c r="I5126" s="25" t="n"/>
      <c r="U5126" s="19">
        <f>IF($V5126&lt;&gt;'設定'!$C$4,N(U5125),IF(OR(NOT(COUNTIF('商品マスタ'!$B$6:$B$1005,$W5126)=0),COUNTIFS('①在庫を貼る'!$V$6:$V$10005,$V5126,'①在庫を貼る'!$W$6:$W$10005,$W5126)+COUNTIFS('月1回_1ヶ月前の在庫'!$V$6:$V$10005,$V5126,'月1回_1ヶ月前の在庫'!$W$6:$W$10005,$W5126)&gt;0),N(U5125),N(U5125)+1))</f>
        <v/>
      </c>
      <c r="V5126" s="19">
        <f>IF($B5126="","",TEXT($B5126,"0000"))</f>
        <v/>
      </c>
      <c r="W5126" s="19">
        <f>IF($I5126="","",IF(ISNUMBER($I5126),TEXT($I5126,"0"),$I5126))</f>
        <v/>
      </c>
    </row>
    <row r="5127">
      <c r="B5127" s="25" t="n"/>
      <c r="I5127" s="25" t="n"/>
      <c r="U5127" s="19">
        <f>IF($V5127&lt;&gt;'設定'!$C$4,N(U5126),IF(OR(NOT(COUNTIF('商品マスタ'!$B$6:$B$1005,$W5127)=0),COUNTIFS('①在庫を貼る'!$V$6:$V$10005,$V5127,'①在庫を貼る'!$W$6:$W$10005,$W5127)+COUNTIFS('月1回_1ヶ月前の在庫'!$V$6:$V$10005,$V5127,'月1回_1ヶ月前の在庫'!$W$6:$W$10005,$W5127)&gt;0),N(U5126),N(U5126)+1))</f>
        <v/>
      </c>
      <c r="V5127" s="19">
        <f>IF($B5127="","",TEXT($B5127,"0000"))</f>
        <v/>
      </c>
      <c r="W5127" s="19">
        <f>IF($I5127="","",IF(ISNUMBER($I5127),TEXT($I5127,"0"),$I5127))</f>
        <v/>
      </c>
    </row>
    <row r="5128">
      <c r="B5128" s="25" t="n"/>
      <c r="I5128" s="25" t="n"/>
      <c r="U5128" s="19">
        <f>IF($V5128&lt;&gt;'設定'!$C$4,N(U5127),IF(OR(NOT(COUNTIF('商品マスタ'!$B$6:$B$1005,$W5128)=0),COUNTIFS('①在庫を貼る'!$V$6:$V$10005,$V5128,'①在庫を貼る'!$W$6:$W$10005,$W5128)+COUNTIFS('月1回_1ヶ月前の在庫'!$V$6:$V$10005,$V5128,'月1回_1ヶ月前の在庫'!$W$6:$W$10005,$W5128)&gt;0),N(U5127),N(U5127)+1))</f>
        <v/>
      </c>
      <c r="V5128" s="19">
        <f>IF($B5128="","",TEXT($B5128,"0000"))</f>
        <v/>
      </c>
      <c r="W5128" s="19">
        <f>IF($I5128="","",IF(ISNUMBER($I5128),TEXT($I5128,"0"),$I5128))</f>
        <v/>
      </c>
    </row>
    <row r="5129">
      <c r="B5129" s="25" t="n"/>
      <c r="I5129" s="25" t="n"/>
      <c r="U5129" s="19">
        <f>IF($V5129&lt;&gt;'設定'!$C$4,N(U5128),IF(OR(NOT(COUNTIF('商品マスタ'!$B$6:$B$1005,$W5129)=0),COUNTIFS('①在庫を貼る'!$V$6:$V$10005,$V5129,'①在庫を貼る'!$W$6:$W$10005,$W5129)+COUNTIFS('月1回_1ヶ月前の在庫'!$V$6:$V$10005,$V5129,'月1回_1ヶ月前の在庫'!$W$6:$W$10005,$W5129)&gt;0),N(U5128),N(U5128)+1))</f>
        <v/>
      </c>
      <c r="V5129" s="19">
        <f>IF($B5129="","",TEXT($B5129,"0000"))</f>
        <v/>
      </c>
      <c r="W5129" s="19">
        <f>IF($I5129="","",IF(ISNUMBER($I5129),TEXT($I5129,"0"),$I5129))</f>
        <v/>
      </c>
    </row>
    <row r="5130">
      <c r="B5130" s="25" t="n"/>
      <c r="I5130" s="25" t="n"/>
      <c r="U5130" s="19">
        <f>IF($V5130&lt;&gt;'設定'!$C$4,N(U5129),IF(OR(NOT(COUNTIF('商品マスタ'!$B$6:$B$1005,$W5130)=0),COUNTIFS('①在庫を貼る'!$V$6:$V$10005,$V5130,'①在庫を貼る'!$W$6:$W$10005,$W5130)+COUNTIFS('月1回_1ヶ月前の在庫'!$V$6:$V$10005,$V5130,'月1回_1ヶ月前の在庫'!$W$6:$W$10005,$W5130)&gt;0),N(U5129),N(U5129)+1))</f>
        <v/>
      </c>
      <c r="V5130" s="19">
        <f>IF($B5130="","",TEXT($B5130,"0000"))</f>
        <v/>
      </c>
      <c r="W5130" s="19">
        <f>IF($I5130="","",IF(ISNUMBER($I5130),TEXT($I5130,"0"),$I5130))</f>
        <v/>
      </c>
    </row>
    <row r="5131">
      <c r="B5131" s="25" t="n"/>
      <c r="I5131" s="25" t="n"/>
      <c r="U5131" s="19">
        <f>IF($V5131&lt;&gt;'設定'!$C$4,N(U5130),IF(OR(NOT(COUNTIF('商品マスタ'!$B$6:$B$1005,$W5131)=0),COUNTIFS('①在庫を貼る'!$V$6:$V$10005,$V5131,'①在庫を貼る'!$W$6:$W$10005,$W5131)+COUNTIFS('月1回_1ヶ月前の在庫'!$V$6:$V$10005,$V5131,'月1回_1ヶ月前の在庫'!$W$6:$W$10005,$W5131)&gt;0),N(U5130),N(U5130)+1))</f>
        <v/>
      </c>
      <c r="V5131" s="19">
        <f>IF($B5131="","",TEXT($B5131,"0000"))</f>
        <v/>
      </c>
      <c r="W5131" s="19">
        <f>IF($I5131="","",IF(ISNUMBER($I5131),TEXT($I5131,"0"),$I5131))</f>
        <v/>
      </c>
    </row>
    <row r="5132">
      <c r="B5132" s="25" t="n"/>
      <c r="I5132" s="25" t="n"/>
      <c r="U5132" s="19">
        <f>IF($V5132&lt;&gt;'設定'!$C$4,N(U5131),IF(OR(NOT(COUNTIF('商品マスタ'!$B$6:$B$1005,$W5132)=0),COUNTIFS('①在庫を貼る'!$V$6:$V$10005,$V5132,'①在庫を貼る'!$W$6:$W$10005,$W5132)+COUNTIFS('月1回_1ヶ月前の在庫'!$V$6:$V$10005,$V5132,'月1回_1ヶ月前の在庫'!$W$6:$W$10005,$W5132)&gt;0),N(U5131),N(U5131)+1))</f>
        <v/>
      </c>
      <c r="V5132" s="19">
        <f>IF($B5132="","",TEXT($B5132,"0000"))</f>
        <v/>
      </c>
      <c r="W5132" s="19">
        <f>IF($I5132="","",IF(ISNUMBER($I5132),TEXT($I5132,"0"),$I5132))</f>
        <v/>
      </c>
    </row>
    <row r="5133">
      <c r="B5133" s="25" t="n"/>
      <c r="I5133" s="25" t="n"/>
      <c r="U5133" s="19">
        <f>IF($V5133&lt;&gt;'設定'!$C$4,N(U5132),IF(OR(NOT(COUNTIF('商品マスタ'!$B$6:$B$1005,$W5133)=0),COUNTIFS('①在庫を貼る'!$V$6:$V$10005,$V5133,'①在庫を貼る'!$W$6:$W$10005,$W5133)+COUNTIFS('月1回_1ヶ月前の在庫'!$V$6:$V$10005,$V5133,'月1回_1ヶ月前の在庫'!$W$6:$W$10005,$W5133)&gt;0),N(U5132),N(U5132)+1))</f>
        <v/>
      </c>
      <c r="V5133" s="19">
        <f>IF($B5133="","",TEXT($B5133,"0000"))</f>
        <v/>
      </c>
      <c r="W5133" s="19">
        <f>IF($I5133="","",IF(ISNUMBER($I5133),TEXT($I5133,"0"),$I5133))</f>
        <v/>
      </c>
    </row>
    <row r="5134">
      <c r="B5134" s="25" t="n"/>
      <c r="I5134" s="25" t="n"/>
      <c r="U5134" s="19">
        <f>IF($V5134&lt;&gt;'設定'!$C$4,N(U5133),IF(OR(NOT(COUNTIF('商品マスタ'!$B$6:$B$1005,$W5134)=0),COUNTIFS('①在庫を貼る'!$V$6:$V$10005,$V5134,'①在庫を貼る'!$W$6:$W$10005,$W5134)+COUNTIFS('月1回_1ヶ月前の在庫'!$V$6:$V$10005,$V5134,'月1回_1ヶ月前の在庫'!$W$6:$W$10005,$W5134)&gt;0),N(U5133),N(U5133)+1))</f>
        <v/>
      </c>
      <c r="V5134" s="19">
        <f>IF($B5134="","",TEXT($B5134,"0000"))</f>
        <v/>
      </c>
      <c r="W5134" s="19">
        <f>IF($I5134="","",IF(ISNUMBER($I5134),TEXT($I5134,"0"),$I5134))</f>
        <v/>
      </c>
    </row>
    <row r="5135">
      <c r="B5135" s="25" t="n"/>
      <c r="I5135" s="25" t="n"/>
      <c r="U5135" s="19">
        <f>IF($V5135&lt;&gt;'設定'!$C$4,N(U5134),IF(OR(NOT(COUNTIF('商品マスタ'!$B$6:$B$1005,$W5135)=0),COUNTIFS('①在庫を貼る'!$V$6:$V$10005,$V5135,'①在庫を貼る'!$W$6:$W$10005,$W5135)+COUNTIFS('月1回_1ヶ月前の在庫'!$V$6:$V$10005,$V5135,'月1回_1ヶ月前の在庫'!$W$6:$W$10005,$W5135)&gt;0),N(U5134),N(U5134)+1))</f>
        <v/>
      </c>
      <c r="V5135" s="19">
        <f>IF($B5135="","",TEXT($B5135,"0000"))</f>
        <v/>
      </c>
      <c r="W5135" s="19">
        <f>IF($I5135="","",IF(ISNUMBER($I5135),TEXT($I5135,"0"),$I5135))</f>
        <v/>
      </c>
    </row>
    <row r="5136">
      <c r="B5136" s="25" t="n"/>
      <c r="I5136" s="25" t="n"/>
      <c r="U5136" s="19">
        <f>IF($V5136&lt;&gt;'設定'!$C$4,N(U5135),IF(OR(NOT(COUNTIF('商品マスタ'!$B$6:$B$1005,$W5136)=0),COUNTIFS('①在庫を貼る'!$V$6:$V$10005,$V5136,'①在庫を貼る'!$W$6:$W$10005,$W5136)+COUNTIFS('月1回_1ヶ月前の在庫'!$V$6:$V$10005,$V5136,'月1回_1ヶ月前の在庫'!$W$6:$W$10005,$W5136)&gt;0),N(U5135),N(U5135)+1))</f>
        <v/>
      </c>
      <c r="V5136" s="19">
        <f>IF($B5136="","",TEXT($B5136,"0000"))</f>
        <v/>
      </c>
      <c r="W5136" s="19">
        <f>IF($I5136="","",IF(ISNUMBER($I5136),TEXT($I5136,"0"),$I5136))</f>
        <v/>
      </c>
    </row>
    <row r="5137">
      <c r="B5137" s="25" t="n"/>
      <c r="I5137" s="25" t="n"/>
      <c r="U5137" s="19">
        <f>IF($V5137&lt;&gt;'設定'!$C$4,N(U5136),IF(OR(NOT(COUNTIF('商品マスタ'!$B$6:$B$1005,$W5137)=0),COUNTIFS('①在庫を貼る'!$V$6:$V$10005,$V5137,'①在庫を貼る'!$W$6:$W$10005,$W5137)+COUNTIFS('月1回_1ヶ月前の在庫'!$V$6:$V$10005,$V5137,'月1回_1ヶ月前の在庫'!$W$6:$W$10005,$W5137)&gt;0),N(U5136),N(U5136)+1))</f>
        <v/>
      </c>
      <c r="V5137" s="19">
        <f>IF($B5137="","",TEXT($B5137,"0000"))</f>
        <v/>
      </c>
      <c r="W5137" s="19">
        <f>IF($I5137="","",IF(ISNUMBER($I5137),TEXT($I5137,"0"),$I5137))</f>
        <v/>
      </c>
    </row>
    <row r="5138">
      <c r="B5138" s="25" t="n"/>
      <c r="I5138" s="25" t="n"/>
      <c r="U5138" s="19">
        <f>IF($V5138&lt;&gt;'設定'!$C$4,N(U5137),IF(OR(NOT(COUNTIF('商品マスタ'!$B$6:$B$1005,$W5138)=0),COUNTIFS('①在庫を貼る'!$V$6:$V$10005,$V5138,'①在庫を貼る'!$W$6:$W$10005,$W5138)+COUNTIFS('月1回_1ヶ月前の在庫'!$V$6:$V$10005,$V5138,'月1回_1ヶ月前の在庫'!$W$6:$W$10005,$W5138)&gt;0),N(U5137),N(U5137)+1))</f>
        <v/>
      </c>
      <c r="V5138" s="19">
        <f>IF($B5138="","",TEXT($B5138,"0000"))</f>
        <v/>
      </c>
      <c r="W5138" s="19">
        <f>IF($I5138="","",IF(ISNUMBER($I5138),TEXT($I5138,"0"),$I5138))</f>
        <v/>
      </c>
    </row>
    <row r="5139">
      <c r="B5139" s="25" t="n"/>
      <c r="I5139" s="25" t="n"/>
      <c r="U5139" s="19">
        <f>IF($V5139&lt;&gt;'設定'!$C$4,N(U5138),IF(OR(NOT(COUNTIF('商品マスタ'!$B$6:$B$1005,$W5139)=0),COUNTIFS('①在庫を貼る'!$V$6:$V$10005,$V5139,'①在庫を貼る'!$W$6:$W$10005,$W5139)+COUNTIFS('月1回_1ヶ月前の在庫'!$V$6:$V$10005,$V5139,'月1回_1ヶ月前の在庫'!$W$6:$W$10005,$W5139)&gt;0),N(U5138),N(U5138)+1))</f>
        <v/>
      </c>
      <c r="V5139" s="19">
        <f>IF($B5139="","",TEXT($B5139,"0000"))</f>
        <v/>
      </c>
      <c r="W5139" s="19">
        <f>IF($I5139="","",IF(ISNUMBER($I5139),TEXT($I5139,"0"),$I5139))</f>
        <v/>
      </c>
    </row>
    <row r="5140">
      <c r="B5140" s="25" t="n"/>
      <c r="I5140" s="25" t="n"/>
      <c r="U5140" s="19">
        <f>IF($V5140&lt;&gt;'設定'!$C$4,N(U5139),IF(OR(NOT(COUNTIF('商品マスタ'!$B$6:$B$1005,$W5140)=0),COUNTIFS('①在庫を貼る'!$V$6:$V$10005,$V5140,'①在庫を貼る'!$W$6:$W$10005,$W5140)+COUNTIFS('月1回_1ヶ月前の在庫'!$V$6:$V$10005,$V5140,'月1回_1ヶ月前の在庫'!$W$6:$W$10005,$W5140)&gt;0),N(U5139),N(U5139)+1))</f>
        <v/>
      </c>
      <c r="V5140" s="19">
        <f>IF($B5140="","",TEXT($B5140,"0000"))</f>
        <v/>
      </c>
      <c r="W5140" s="19">
        <f>IF($I5140="","",IF(ISNUMBER($I5140),TEXT($I5140,"0"),$I5140))</f>
        <v/>
      </c>
    </row>
    <row r="5141">
      <c r="B5141" s="25" t="n"/>
      <c r="I5141" s="25" t="n"/>
      <c r="U5141" s="19">
        <f>IF($V5141&lt;&gt;'設定'!$C$4,N(U5140),IF(OR(NOT(COUNTIF('商品マスタ'!$B$6:$B$1005,$W5141)=0),COUNTIFS('①在庫を貼る'!$V$6:$V$10005,$V5141,'①在庫を貼る'!$W$6:$W$10005,$W5141)+COUNTIFS('月1回_1ヶ月前の在庫'!$V$6:$V$10005,$V5141,'月1回_1ヶ月前の在庫'!$W$6:$W$10005,$W5141)&gt;0),N(U5140),N(U5140)+1))</f>
        <v/>
      </c>
      <c r="V5141" s="19">
        <f>IF($B5141="","",TEXT($B5141,"0000"))</f>
        <v/>
      </c>
      <c r="W5141" s="19">
        <f>IF($I5141="","",IF(ISNUMBER($I5141),TEXT($I5141,"0"),$I5141))</f>
        <v/>
      </c>
    </row>
    <row r="5142">
      <c r="B5142" s="25" t="n"/>
      <c r="I5142" s="25" t="n"/>
      <c r="U5142" s="19">
        <f>IF($V5142&lt;&gt;'設定'!$C$4,N(U5141),IF(OR(NOT(COUNTIF('商品マスタ'!$B$6:$B$1005,$W5142)=0),COUNTIFS('①在庫を貼る'!$V$6:$V$10005,$V5142,'①在庫を貼る'!$W$6:$W$10005,$W5142)+COUNTIFS('月1回_1ヶ月前の在庫'!$V$6:$V$10005,$V5142,'月1回_1ヶ月前の在庫'!$W$6:$W$10005,$W5142)&gt;0),N(U5141),N(U5141)+1))</f>
        <v/>
      </c>
      <c r="V5142" s="19">
        <f>IF($B5142="","",TEXT($B5142,"0000"))</f>
        <v/>
      </c>
      <c r="W5142" s="19">
        <f>IF($I5142="","",IF(ISNUMBER($I5142),TEXT($I5142,"0"),$I5142))</f>
        <v/>
      </c>
    </row>
    <row r="5143">
      <c r="B5143" s="25" t="n"/>
      <c r="I5143" s="25" t="n"/>
      <c r="U5143" s="19">
        <f>IF($V5143&lt;&gt;'設定'!$C$4,N(U5142),IF(OR(NOT(COUNTIF('商品マスタ'!$B$6:$B$1005,$W5143)=0),COUNTIFS('①在庫を貼る'!$V$6:$V$10005,$V5143,'①在庫を貼る'!$W$6:$W$10005,$W5143)+COUNTIFS('月1回_1ヶ月前の在庫'!$V$6:$V$10005,$V5143,'月1回_1ヶ月前の在庫'!$W$6:$W$10005,$W5143)&gt;0),N(U5142),N(U5142)+1))</f>
        <v/>
      </c>
      <c r="V5143" s="19">
        <f>IF($B5143="","",TEXT($B5143,"0000"))</f>
        <v/>
      </c>
      <c r="W5143" s="19">
        <f>IF($I5143="","",IF(ISNUMBER($I5143),TEXT($I5143,"0"),$I5143))</f>
        <v/>
      </c>
    </row>
    <row r="5144">
      <c r="B5144" s="25" t="n"/>
      <c r="I5144" s="25" t="n"/>
      <c r="U5144" s="19">
        <f>IF($V5144&lt;&gt;'設定'!$C$4,N(U5143),IF(OR(NOT(COUNTIF('商品マスタ'!$B$6:$B$1005,$W5144)=0),COUNTIFS('①在庫を貼る'!$V$6:$V$10005,$V5144,'①在庫を貼る'!$W$6:$W$10005,$W5144)+COUNTIFS('月1回_1ヶ月前の在庫'!$V$6:$V$10005,$V5144,'月1回_1ヶ月前の在庫'!$W$6:$W$10005,$W5144)&gt;0),N(U5143),N(U5143)+1))</f>
        <v/>
      </c>
      <c r="V5144" s="19">
        <f>IF($B5144="","",TEXT($B5144,"0000"))</f>
        <v/>
      </c>
      <c r="W5144" s="19">
        <f>IF($I5144="","",IF(ISNUMBER($I5144),TEXT($I5144,"0"),$I5144))</f>
        <v/>
      </c>
    </row>
    <row r="5145">
      <c r="B5145" s="25" t="n"/>
      <c r="I5145" s="25" t="n"/>
      <c r="U5145" s="19">
        <f>IF($V5145&lt;&gt;'設定'!$C$4,N(U5144),IF(OR(NOT(COUNTIF('商品マスタ'!$B$6:$B$1005,$W5145)=0),COUNTIFS('①在庫を貼る'!$V$6:$V$10005,$V5145,'①在庫を貼る'!$W$6:$W$10005,$W5145)+COUNTIFS('月1回_1ヶ月前の在庫'!$V$6:$V$10005,$V5145,'月1回_1ヶ月前の在庫'!$W$6:$W$10005,$W5145)&gt;0),N(U5144),N(U5144)+1))</f>
        <v/>
      </c>
      <c r="V5145" s="19">
        <f>IF($B5145="","",TEXT($B5145,"0000"))</f>
        <v/>
      </c>
      <c r="W5145" s="19">
        <f>IF($I5145="","",IF(ISNUMBER($I5145),TEXT($I5145,"0"),$I5145))</f>
        <v/>
      </c>
    </row>
    <row r="5146">
      <c r="B5146" s="25" t="n"/>
      <c r="I5146" s="25" t="n"/>
      <c r="U5146" s="19">
        <f>IF($V5146&lt;&gt;'設定'!$C$4,N(U5145),IF(OR(NOT(COUNTIF('商品マスタ'!$B$6:$B$1005,$W5146)=0),COUNTIFS('①在庫を貼る'!$V$6:$V$10005,$V5146,'①在庫を貼る'!$W$6:$W$10005,$W5146)+COUNTIFS('月1回_1ヶ月前の在庫'!$V$6:$V$10005,$V5146,'月1回_1ヶ月前の在庫'!$W$6:$W$10005,$W5146)&gt;0),N(U5145),N(U5145)+1))</f>
        <v/>
      </c>
      <c r="V5146" s="19">
        <f>IF($B5146="","",TEXT($B5146,"0000"))</f>
        <v/>
      </c>
      <c r="W5146" s="19">
        <f>IF($I5146="","",IF(ISNUMBER($I5146),TEXT($I5146,"0"),$I5146))</f>
        <v/>
      </c>
    </row>
    <row r="5147">
      <c r="B5147" s="25" t="n"/>
      <c r="I5147" s="25" t="n"/>
      <c r="U5147" s="19">
        <f>IF($V5147&lt;&gt;'設定'!$C$4,N(U5146),IF(OR(NOT(COUNTIF('商品マスタ'!$B$6:$B$1005,$W5147)=0),COUNTIFS('①在庫を貼る'!$V$6:$V$10005,$V5147,'①在庫を貼る'!$W$6:$W$10005,$W5147)+COUNTIFS('月1回_1ヶ月前の在庫'!$V$6:$V$10005,$V5147,'月1回_1ヶ月前の在庫'!$W$6:$W$10005,$W5147)&gt;0),N(U5146),N(U5146)+1))</f>
        <v/>
      </c>
      <c r="V5147" s="19">
        <f>IF($B5147="","",TEXT($B5147,"0000"))</f>
        <v/>
      </c>
      <c r="W5147" s="19">
        <f>IF($I5147="","",IF(ISNUMBER($I5147),TEXT($I5147,"0"),$I5147))</f>
        <v/>
      </c>
    </row>
    <row r="5148">
      <c r="B5148" s="25" t="n"/>
      <c r="I5148" s="25" t="n"/>
      <c r="U5148" s="19">
        <f>IF($V5148&lt;&gt;'設定'!$C$4,N(U5147),IF(OR(NOT(COUNTIF('商品マスタ'!$B$6:$B$1005,$W5148)=0),COUNTIFS('①在庫を貼る'!$V$6:$V$10005,$V5148,'①在庫を貼る'!$W$6:$W$10005,$W5148)+COUNTIFS('月1回_1ヶ月前の在庫'!$V$6:$V$10005,$V5148,'月1回_1ヶ月前の在庫'!$W$6:$W$10005,$W5148)&gt;0),N(U5147),N(U5147)+1))</f>
        <v/>
      </c>
      <c r="V5148" s="19">
        <f>IF($B5148="","",TEXT($B5148,"0000"))</f>
        <v/>
      </c>
      <c r="W5148" s="19">
        <f>IF($I5148="","",IF(ISNUMBER($I5148),TEXT($I5148,"0"),$I5148))</f>
        <v/>
      </c>
    </row>
    <row r="5149">
      <c r="B5149" s="25" t="n"/>
      <c r="I5149" s="25" t="n"/>
      <c r="U5149" s="19">
        <f>IF($V5149&lt;&gt;'設定'!$C$4,N(U5148),IF(OR(NOT(COUNTIF('商品マスタ'!$B$6:$B$1005,$W5149)=0),COUNTIFS('①在庫を貼る'!$V$6:$V$10005,$V5149,'①在庫を貼る'!$W$6:$W$10005,$W5149)+COUNTIFS('月1回_1ヶ月前の在庫'!$V$6:$V$10005,$V5149,'月1回_1ヶ月前の在庫'!$W$6:$W$10005,$W5149)&gt;0),N(U5148),N(U5148)+1))</f>
        <v/>
      </c>
      <c r="V5149" s="19">
        <f>IF($B5149="","",TEXT($B5149,"0000"))</f>
        <v/>
      </c>
      <c r="W5149" s="19">
        <f>IF($I5149="","",IF(ISNUMBER($I5149),TEXT($I5149,"0"),$I5149))</f>
        <v/>
      </c>
    </row>
    <row r="5150">
      <c r="B5150" s="25" t="n"/>
      <c r="I5150" s="25" t="n"/>
      <c r="U5150" s="19">
        <f>IF($V5150&lt;&gt;'設定'!$C$4,N(U5149),IF(OR(NOT(COUNTIF('商品マスタ'!$B$6:$B$1005,$W5150)=0),COUNTIFS('①在庫を貼る'!$V$6:$V$10005,$V5150,'①在庫を貼る'!$W$6:$W$10005,$W5150)+COUNTIFS('月1回_1ヶ月前の在庫'!$V$6:$V$10005,$V5150,'月1回_1ヶ月前の在庫'!$W$6:$W$10005,$W5150)&gt;0),N(U5149),N(U5149)+1))</f>
        <v/>
      </c>
      <c r="V5150" s="19">
        <f>IF($B5150="","",TEXT($B5150,"0000"))</f>
        <v/>
      </c>
      <c r="W5150" s="19">
        <f>IF($I5150="","",IF(ISNUMBER($I5150),TEXT($I5150,"0"),$I5150))</f>
        <v/>
      </c>
    </row>
    <row r="5151">
      <c r="B5151" s="25" t="n"/>
      <c r="I5151" s="25" t="n"/>
      <c r="U5151" s="19">
        <f>IF($V5151&lt;&gt;'設定'!$C$4,N(U5150),IF(OR(NOT(COUNTIF('商品マスタ'!$B$6:$B$1005,$W5151)=0),COUNTIFS('①在庫を貼る'!$V$6:$V$10005,$V5151,'①在庫を貼る'!$W$6:$W$10005,$W5151)+COUNTIFS('月1回_1ヶ月前の在庫'!$V$6:$V$10005,$V5151,'月1回_1ヶ月前の在庫'!$W$6:$W$10005,$W5151)&gt;0),N(U5150),N(U5150)+1))</f>
        <v/>
      </c>
      <c r="V5151" s="19">
        <f>IF($B5151="","",TEXT($B5151,"0000"))</f>
        <v/>
      </c>
      <c r="W5151" s="19">
        <f>IF($I5151="","",IF(ISNUMBER($I5151),TEXT($I5151,"0"),$I5151))</f>
        <v/>
      </c>
    </row>
    <row r="5152">
      <c r="B5152" s="25" t="n"/>
      <c r="I5152" s="25" t="n"/>
      <c r="U5152" s="19">
        <f>IF($V5152&lt;&gt;'設定'!$C$4,N(U5151),IF(OR(NOT(COUNTIF('商品マスタ'!$B$6:$B$1005,$W5152)=0),COUNTIFS('①在庫を貼る'!$V$6:$V$10005,$V5152,'①在庫を貼る'!$W$6:$W$10005,$W5152)+COUNTIFS('月1回_1ヶ月前の在庫'!$V$6:$V$10005,$V5152,'月1回_1ヶ月前の在庫'!$W$6:$W$10005,$W5152)&gt;0),N(U5151),N(U5151)+1))</f>
        <v/>
      </c>
      <c r="V5152" s="19">
        <f>IF($B5152="","",TEXT($B5152,"0000"))</f>
        <v/>
      </c>
      <c r="W5152" s="19">
        <f>IF($I5152="","",IF(ISNUMBER($I5152),TEXT($I5152,"0"),$I5152))</f>
        <v/>
      </c>
    </row>
    <row r="5153">
      <c r="B5153" s="25" t="n"/>
      <c r="I5153" s="25" t="n"/>
      <c r="U5153" s="19">
        <f>IF($V5153&lt;&gt;'設定'!$C$4,N(U5152),IF(OR(NOT(COUNTIF('商品マスタ'!$B$6:$B$1005,$W5153)=0),COUNTIFS('①在庫を貼る'!$V$6:$V$10005,$V5153,'①在庫を貼る'!$W$6:$W$10005,$W5153)+COUNTIFS('月1回_1ヶ月前の在庫'!$V$6:$V$10005,$V5153,'月1回_1ヶ月前の在庫'!$W$6:$W$10005,$W5153)&gt;0),N(U5152),N(U5152)+1))</f>
        <v/>
      </c>
      <c r="V5153" s="19">
        <f>IF($B5153="","",TEXT($B5153,"0000"))</f>
        <v/>
      </c>
      <c r="W5153" s="19">
        <f>IF($I5153="","",IF(ISNUMBER($I5153),TEXT($I5153,"0"),$I5153))</f>
        <v/>
      </c>
    </row>
    <row r="5154">
      <c r="B5154" s="25" t="n"/>
      <c r="I5154" s="25" t="n"/>
      <c r="U5154" s="19">
        <f>IF($V5154&lt;&gt;'設定'!$C$4,N(U5153),IF(OR(NOT(COUNTIF('商品マスタ'!$B$6:$B$1005,$W5154)=0),COUNTIFS('①在庫を貼る'!$V$6:$V$10005,$V5154,'①在庫を貼る'!$W$6:$W$10005,$W5154)+COUNTIFS('月1回_1ヶ月前の在庫'!$V$6:$V$10005,$V5154,'月1回_1ヶ月前の在庫'!$W$6:$W$10005,$W5154)&gt;0),N(U5153),N(U5153)+1))</f>
        <v/>
      </c>
      <c r="V5154" s="19">
        <f>IF($B5154="","",TEXT($B5154,"0000"))</f>
        <v/>
      </c>
      <c r="W5154" s="19">
        <f>IF($I5154="","",IF(ISNUMBER($I5154),TEXT($I5154,"0"),$I5154))</f>
        <v/>
      </c>
    </row>
    <row r="5155">
      <c r="B5155" s="25" t="n"/>
      <c r="I5155" s="25" t="n"/>
      <c r="U5155" s="19">
        <f>IF($V5155&lt;&gt;'設定'!$C$4,N(U5154),IF(OR(NOT(COUNTIF('商品マスタ'!$B$6:$B$1005,$W5155)=0),COUNTIFS('①在庫を貼る'!$V$6:$V$10005,$V5155,'①在庫を貼る'!$W$6:$W$10005,$W5155)+COUNTIFS('月1回_1ヶ月前の在庫'!$V$6:$V$10005,$V5155,'月1回_1ヶ月前の在庫'!$W$6:$W$10005,$W5155)&gt;0),N(U5154),N(U5154)+1))</f>
        <v/>
      </c>
      <c r="V5155" s="19">
        <f>IF($B5155="","",TEXT($B5155,"0000"))</f>
        <v/>
      </c>
      <c r="W5155" s="19">
        <f>IF($I5155="","",IF(ISNUMBER($I5155),TEXT($I5155,"0"),$I5155))</f>
        <v/>
      </c>
    </row>
    <row r="5156">
      <c r="B5156" s="25" t="n"/>
      <c r="I5156" s="25" t="n"/>
      <c r="U5156" s="19">
        <f>IF($V5156&lt;&gt;'設定'!$C$4,N(U5155),IF(OR(NOT(COUNTIF('商品マスタ'!$B$6:$B$1005,$W5156)=0),COUNTIFS('①在庫を貼る'!$V$6:$V$10005,$V5156,'①在庫を貼る'!$W$6:$W$10005,$W5156)+COUNTIFS('月1回_1ヶ月前の在庫'!$V$6:$V$10005,$V5156,'月1回_1ヶ月前の在庫'!$W$6:$W$10005,$W5156)&gt;0),N(U5155),N(U5155)+1))</f>
        <v/>
      </c>
      <c r="V5156" s="19">
        <f>IF($B5156="","",TEXT($B5156,"0000"))</f>
        <v/>
      </c>
      <c r="W5156" s="19">
        <f>IF($I5156="","",IF(ISNUMBER($I5156),TEXT($I5156,"0"),$I5156))</f>
        <v/>
      </c>
    </row>
    <row r="5157">
      <c r="B5157" s="25" t="n"/>
      <c r="I5157" s="25" t="n"/>
      <c r="U5157" s="19">
        <f>IF($V5157&lt;&gt;'設定'!$C$4,N(U5156),IF(OR(NOT(COUNTIF('商品マスタ'!$B$6:$B$1005,$W5157)=0),COUNTIFS('①在庫を貼る'!$V$6:$V$10005,$V5157,'①在庫を貼る'!$W$6:$W$10005,$W5157)+COUNTIFS('月1回_1ヶ月前の在庫'!$V$6:$V$10005,$V5157,'月1回_1ヶ月前の在庫'!$W$6:$W$10005,$W5157)&gt;0),N(U5156),N(U5156)+1))</f>
        <v/>
      </c>
      <c r="V5157" s="19">
        <f>IF($B5157="","",TEXT($B5157,"0000"))</f>
        <v/>
      </c>
      <c r="W5157" s="19">
        <f>IF($I5157="","",IF(ISNUMBER($I5157),TEXT($I5157,"0"),$I5157))</f>
        <v/>
      </c>
    </row>
    <row r="5158">
      <c r="B5158" s="25" t="n"/>
      <c r="I5158" s="25" t="n"/>
      <c r="U5158" s="19">
        <f>IF($V5158&lt;&gt;'設定'!$C$4,N(U5157),IF(OR(NOT(COUNTIF('商品マスタ'!$B$6:$B$1005,$W5158)=0),COUNTIFS('①在庫を貼る'!$V$6:$V$10005,$V5158,'①在庫を貼る'!$W$6:$W$10005,$W5158)+COUNTIFS('月1回_1ヶ月前の在庫'!$V$6:$V$10005,$V5158,'月1回_1ヶ月前の在庫'!$W$6:$W$10005,$W5158)&gt;0),N(U5157),N(U5157)+1))</f>
        <v/>
      </c>
      <c r="V5158" s="19">
        <f>IF($B5158="","",TEXT($B5158,"0000"))</f>
        <v/>
      </c>
      <c r="W5158" s="19">
        <f>IF($I5158="","",IF(ISNUMBER($I5158),TEXT($I5158,"0"),$I5158))</f>
        <v/>
      </c>
    </row>
    <row r="5159">
      <c r="B5159" s="25" t="n"/>
      <c r="I5159" s="25" t="n"/>
      <c r="U5159" s="19">
        <f>IF($V5159&lt;&gt;'設定'!$C$4,N(U5158),IF(OR(NOT(COUNTIF('商品マスタ'!$B$6:$B$1005,$W5159)=0),COUNTIFS('①在庫を貼る'!$V$6:$V$10005,$V5159,'①在庫を貼る'!$W$6:$W$10005,$W5159)+COUNTIFS('月1回_1ヶ月前の在庫'!$V$6:$V$10005,$V5159,'月1回_1ヶ月前の在庫'!$W$6:$W$10005,$W5159)&gt;0),N(U5158),N(U5158)+1))</f>
        <v/>
      </c>
      <c r="V5159" s="19">
        <f>IF($B5159="","",TEXT($B5159,"0000"))</f>
        <v/>
      </c>
      <c r="W5159" s="19">
        <f>IF($I5159="","",IF(ISNUMBER($I5159),TEXT($I5159,"0"),$I5159))</f>
        <v/>
      </c>
    </row>
    <row r="5160">
      <c r="B5160" s="25" t="n"/>
      <c r="I5160" s="25" t="n"/>
      <c r="U5160" s="19">
        <f>IF($V5160&lt;&gt;'設定'!$C$4,N(U5159),IF(OR(NOT(COUNTIF('商品マスタ'!$B$6:$B$1005,$W5160)=0),COUNTIFS('①在庫を貼る'!$V$6:$V$10005,$V5160,'①在庫を貼る'!$W$6:$W$10005,$W5160)+COUNTIFS('月1回_1ヶ月前の在庫'!$V$6:$V$10005,$V5160,'月1回_1ヶ月前の在庫'!$W$6:$W$10005,$W5160)&gt;0),N(U5159),N(U5159)+1))</f>
        <v/>
      </c>
      <c r="V5160" s="19">
        <f>IF($B5160="","",TEXT($B5160,"0000"))</f>
        <v/>
      </c>
      <c r="W5160" s="19">
        <f>IF($I5160="","",IF(ISNUMBER($I5160),TEXT($I5160,"0"),$I5160))</f>
        <v/>
      </c>
    </row>
    <row r="5161">
      <c r="B5161" s="25" t="n"/>
      <c r="I5161" s="25" t="n"/>
      <c r="U5161" s="19">
        <f>IF($V5161&lt;&gt;'設定'!$C$4,N(U5160),IF(OR(NOT(COUNTIF('商品マスタ'!$B$6:$B$1005,$W5161)=0),COUNTIFS('①在庫を貼る'!$V$6:$V$10005,$V5161,'①在庫を貼る'!$W$6:$W$10005,$W5161)+COUNTIFS('月1回_1ヶ月前の在庫'!$V$6:$V$10005,$V5161,'月1回_1ヶ月前の在庫'!$W$6:$W$10005,$W5161)&gt;0),N(U5160),N(U5160)+1))</f>
        <v/>
      </c>
      <c r="V5161" s="19">
        <f>IF($B5161="","",TEXT($B5161,"0000"))</f>
        <v/>
      </c>
      <c r="W5161" s="19">
        <f>IF($I5161="","",IF(ISNUMBER($I5161),TEXT($I5161,"0"),$I5161))</f>
        <v/>
      </c>
    </row>
    <row r="5162">
      <c r="B5162" s="25" t="n"/>
      <c r="I5162" s="25" t="n"/>
      <c r="U5162" s="19">
        <f>IF($V5162&lt;&gt;'設定'!$C$4,N(U5161),IF(OR(NOT(COUNTIF('商品マスタ'!$B$6:$B$1005,$W5162)=0),COUNTIFS('①在庫を貼る'!$V$6:$V$10005,$V5162,'①在庫を貼る'!$W$6:$W$10005,$W5162)+COUNTIFS('月1回_1ヶ月前の在庫'!$V$6:$V$10005,$V5162,'月1回_1ヶ月前の在庫'!$W$6:$W$10005,$W5162)&gt;0),N(U5161),N(U5161)+1))</f>
        <v/>
      </c>
      <c r="V5162" s="19">
        <f>IF($B5162="","",TEXT($B5162,"0000"))</f>
        <v/>
      </c>
      <c r="W5162" s="19">
        <f>IF($I5162="","",IF(ISNUMBER($I5162),TEXT($I5162,"0"),$I5162))</f>
        <v/>
      </c>
    </row>
    <row r="5163">
      <c r="B5163" s="25" t="n"/>
      <c r="I5163" s="25" t="n"/>
      <c r="U5163" s="19">
        <f>IF($V5163&lt;&gt;'設定'!$C$4,N(U5162),IF(OR(NOT(COUNTIF('商品マスタ'!$B$6:$B$1005,$W5163)=0),COUNTIFS('①在庫を貼る'!$V$6:$V$10005,$V5163,'①在庫を貼る'!$W$6:$W$10005,$W5163)+COUNTIFS('月1回_1ヶ月前の在庫'!$V$6:$V$10005,$V5163,'月1回_1ヶ月前の在庫'!$W$6:$W$10005,$W5163)&gt;0),N(U5162),N(U5162)+1))</f>
        <v/>
      </c>
      <c r="V5163" s="19">
        <f>IF($B5163="","",TEXT($B5163,"0000"))</f>
        <v/>
      </c>
      <c r="W5163" s="19">
        <f>IF($I5163="","",IF(ISNUMBER($I5163),TEXT($I5163,"0"),$I5163))</f>
        <v/>
      </c>
    </row>
    <row r="5164">
      <c r="B5164" s="25" t="n"/>
      <c r="I5164" s="25" t="n"/>
      <c r="U5164" s="19">
        <f>IF($V5164&lt;&gt;'設定'!$C$4,N(U5163),IF(OR(NOT(COUNTIF('商品マスタ'!$B$6:$B$1005,$W5164)=0),COUNTIFS('①在庫を貼る'!$V$6:$V$10005,$V5164,'①在庫を貼る'!$W$6:$W$10005,$W5164)+COUNTIFS('月1回_1ヶ月前の在庫'!$V$6:$V$10005,$V5164,'月1回_1ヶ月前の在庫'!$W$6:$W$10005,$W5164)&gt;0),N(U5163),N(U5163)+1))</f>
        <v/>
      </c>
      <c r="V5164" s="19">
        <f>IF($B5164="","",TEXT($B5164,"0000"))</f>
        <v/>
      </c>
      <c r="W5164" s="19">
        <f>IF($I5164="","",IF(ISNUMBER($I5164),TEXT($I5164,"0"),$I5164))</f>
        <v/>
      </c>
    </row>
    <row r="5165">
      <c r="B5165" s="25" t="n"/>
      <c r="I5165" s="25" t="n"/>
      <c r="U5165" s="19">
        <f>IF($V5165&lt;&gt;'設定'!$C$4,N(U5164),IF(OR(NOT(COUNTIF('商品マスタ'!$B$6:$B$1005,$W5165)=0),COUNTIFS('①在庫を貼る'!$V$6:$V$10005,$V5165,'①在庫を貼る'!$W$6:$W$10005,$W5165)+COUNTIFS('月1回_1ヶ月前の在庫'!$V$6:$V$10005,$V5165,'月1回_1ヶ月前の在庫'!$W$6:$W$10005,$W5165)&gt;0),N(U5164),N(U5164)+1))</f>
        <v/>
      </c>
      <c r="V5165" s="19">
        <f>IF($B5165="","",TEXT($B5165,"0000"))</f>
        <v/>
      </c>
      <c r="W5165" s="19">
        <f>IF($I5165="","",IF(ISNUMBER($I5165),TEXT($I5165,"0"),$I5165))</f>
        <v/>
      </c>
    </row>
    <row r="5166">
      <c r="B5166" s="25" t="n"/>
      <c r="I5166" s="25" t="n"/>
      <c r="U5166" s="19">
        <f>IF($V5166&lt;&gt;'設定'!$C$4,N(U5165),IF(OR(NOT(COUNTIF('商品マスタ'!$B$6:$B$1005,$W5166)=0),COUNTIFS('①在庫を貼る'!$V$6:$V$10005,$V5166,'①在庫を貼る'!$W$6:$W$10005,$W5166)+COUNTIFS('月1回_1ヶ月前の在庫'!$V$6:$V$10005,$V5166,'月1回_1ヶ月前の在庫'!$W$6:$W$10005,$W5166)&gt;0),N(U5165),N(U5165)+1))</f>
        <v/>
      </c>
      <c r="V5166" s="19">
        <f>IF($B5166="","",TEXT($B5166,"0000"))</f>
        <v/>
      </c>
      <c r="W5166" s="19">
        <f>IF($I5166="","",IF(ISNUMBER($I5166),TEXT($I5166,"0"),$I5166))</f>
        <v/>
      </c>
    </row>
    <row r="5167">
      <c r="B5167" s="25" t="n"/>
      <c r="I5167" s="25" t="n"/>
      <c r="U5167" s="19">
        <f>IF($V5167&lt;&gt;'設定'!$C$4,N(U5166),IF(OR(NOT(COUNTIF('商品マスタ'!$B$6:$B$1005,$W5167)=0),COUNTIFS('①在庫を貼る'!$V$6:$V$10005,$V5167,'①在庫を貼る'!$W$6:$W$10005,$W5167)+COUNTIFS('月1回_1ヶ月前の在庫'!$V$6:$V$10005,$V5167,'月1回_1ヶ月前の在庫'!$W$6:$W$10005,$W5167)&gt;0),N(U5166),N(U5166)+1))</f>
        <v/>
      </c>
      <c r="V5167" s="19">
        <f>IF($B5167="","",TEXT($B5167,"0000"))</f>
        <v/>
      </c>
      <c r="W5167" s="19">
        <f>IF($I5167="","",IF(ISNUMBER($I5167),TEXT($I5167,"0"),$I5167))</f>
        <v/>
      </c>
    </row>
    <row r="5168">
      <c r="B5168" s="25" t="n"/>
      <c r="I5168" s="25" t="n"/>
      <c r="U5168" s="19">
        <f>IF($V5168&lt;&gt;'設定'!$C$4,N(U5167),IF(OR(NOT(COUNTIF('商品マスタ'!$B$6:$B$1005,$W5168)=0),COUNTIFS('①在庫を貼る'!$V$6:$V$10005,$V5168,'①在庫を貼る'!$W$6:$W$10005,$W5168)+COUNTIFS('月1回_1ヶ月前の在庫'!$V$6:$V$10005,$V5168,'月1回_1ヶ月前の在庫'!$W$6:$W$10005,$W5168)&gt;0),N(U5167),N(U5167)+1))</f>
        <v/>
      </c>
      <c r="V5168" s="19">
        <f>IF($B5168="","",TEXT($B5168,"0000"))</f>
        <v/>
      </c>
      <c r="W5168" s="19">
        <f>IF($I5168="","",IF(ISNUMBER($I5168),TEXT($I5168,"0"),$I5168))</f>
        <v/>
      </c>
    </row>
    <row r="5169">
      <c r="B5169" s="25" t="n"/>
      <c r="I5169" s="25" t="n"/>
      <c r="U5169" s="19">
        <f>IF($V5169&lt;&gt;'設定'!$C$4,N(U5168),IF(OR(NOT(COUNTIF('商品マスタ'!$B$6:$B$1005,$W5169)=0),COUNTIFS('①在庫を貼る'!$V$6:$V$10005,$V5169,'①在庫を貼る'!$W$6:$W$10005,$W5169)+COUNTIFS('月1回_1ヶ月前の在庫'!$V$6:$V$10005,$V5169,'月1回_1ヶ月前の在庫'!$W$6:$W$10005,$W5169)&gt;0),N(U5168),N(U5168)+1))</f>
        <v/>
      </c>
      <c r="V5169" s="19">
        <f>IF($B5169="","",TEXT($B5169,"0000"))</f>
        <v/>
      </c>
      <c r="W5169" s="19">
        <f>IF($I5169="","",IF(ISNUMBER($I5169),TEXT($I5169,"0"),$I5169))</f>
        <v/>
      </c>
    </row>
    <row r="5170">
      <c r="B5170" s="25" t="n"/>
      <c r="I5170" s="25" t="n"/>
      <c r="U5170" s="19">
        <f>IF($V5170&lt;&gt;'設定'!$C$4,N(U5169),IF(OR(NOT(COUNTIF('商品マスタ'!$B$6:$B$1005,$W5170)=0),COUNTIFS('①在庫を貼る'!$V$6:$V$10005,$V5170,'①在庫を貼る'!$W$6:$W$10005,$W5170)+COUNTIFS('月1回_1ヶ月前の在庫'!$V$6:$V$10005,$V5170,'月1回_1ヶ月前の在庫'!$W$6:$W$10005,$W5170)&gt;0),N(U5169),N(U5169)+1))</f>
        <v/>
      </c>
      <c r="V5170" s="19">
        <f>IF($B5170="","",TEXT($B5170,"0000"))</f>
        <v/>
      </c>
      <c r="W5170" s="19">
        <f>IF($I5170="","",IF(ISNUMBER($I5170),TEXT($I5170,"0"),$I5170))</f>
        <v/>
      </c>
    </row>
    <row r="5171">
      <c r="B5171" s="25" t="n"/>
      <c r="I5171" s="25" t="n"/>
      <c r="U5171" s="19">
        <f>IF($V5171&lt;&gt;'設定'!$C$4,N(U5170),IF(OR(NOT(COUNTIF('商品マスタ'!$B$6:$B$1005,$W5171)=0),COUNTIFS('①在庫を貼る'!$V$6:$V$10005,$V5171,'①在庫を貼る'!$W$6:$W$10005,$W5171)+COUNTIFS('月1回_1ヶ月前の在庫'!$V$6:$V$10005,$V5171,'月1回_1ヶ月前の在庫'!$W$6:$W$10005,$W5171)&gt;0),N(U5170),N(U5170)+1))</f>
        <v/>
      </c>
      <c r="V5171" s="19">
        <f>IF($B5171="","",TEXT($B5171,"0000"))</f>
        <v/>
      </c>
      <c r="W5171" s="19">
        <f>IF($I5171="","",IF(ISNUMBER($I5171),TEXT($I5171,"0"),$I5171))</f>
        <v/>
      </c>
    </row>
    <row r="5172">
      <c r="B5172" s="25" t="n"/>
      <c r="I5172" s="25" t="n"/>
      <c r="U5172" s="19">
        <f>IF($V5172&lt;&gt;'設定'!$C$4,N(U5171),IF(OR(NOT(COUNTIF('商品マスタ'!$B$6:$B$1005,$W5172)=0),COUNTIFS('①在庫を貼る'!$V$6:$V$10005,$V5172,'①在庫を貼る'!$W$6:$W$10005,$W5172)+COUNTIFS('月1回_1ヶ月前の在庫'!$V$6:$V$10005,$V5172,'月1回_1ヶ月前の在庫'!$W$6:$W$10005,$W5172)&gt;0),N(U5171),N(U5171)+1))</f>
        <v/>
      </c>
      <c r="V5172" s="19">
        <f>IF($B5172="","",TEXT($B5172,"0000"))</f>
        <v/>
      </c>
      <c r="W5172" s="19">
        <f>IF($I5172="","",IF(ISNUMBER($I5172),TEXT($I5172,"0"),$I5172))</f>
        <v/>
      </c>
    </row>
    <row r="5173">
      <c r="B5173" s="25" t="n"/>
      <c r="I5173" s="25" t="n"/>
      <c r="U5173" s="19">
        <f>IF($V5173&lt;&gt;'設定'!$C$4,N(U5172),IF(OR(NOT(COUNTIF('商品マスタ'!$B$6:$B$1005,$W5173)=0),COUNTIFS('①在庫を貼る'!$V$6:$V$10005,$V5173,'①在庫を貼る'!$W$6:$W$10005,$W5173)+COUNTIFS('月1回_1ヶ月前の在庫'!$V$6:$V$10005,$V5173,'月1回_1ヶ月前の在庫'!$W$6:$W$10005,$W5173)&gt;0),N(U5172),N(U5172)+1))</f>
        <v/>
      </c>
      <c r="V5173" s="19">
        <f>IF($B5173="","",TEXT($B5173,"0000"))</f>
        <v/>
      </c>
      <c r="W5173" s="19">
        <f>IF($I5173="","",IF(ISNUMBER($I5173),TEXT($I5173,"0"),$I5173))</f>
        <v/>
      </c>
    </row>
    <row r="5174">
      <c r="B5174" s="25" t="n"/>
      <c r="I5174" s="25" t="n"/>
      <c r="U5174" s="19">
        <f>IF($V5174&lt;&gt;'設定'!$C$4,N(U5173),IF(OR(NOT(COUNTIF('商品マスタ'!$B$6:$B$1005,$W5174)=0),COUNTIFS('①在庫を貼る'!$V$6:$V$10005,$V5174,'①在庫を貼る'!$W$6:$W$10005,$W5174)+COUNTIFS('月1回_1ヶ月前の在庫'!$V$6:$V$10005,$V5174,'月1回_1ヶ月前の在庫'!$W$6:$W$10005,$W5174)&gt;0),N(U5173),N(U5173)+1))</f>
        <v/>
      </c>
      <c r="V5174" s="19">
        <f>IF($B5174="","",TEXT($B5174,"0000"))</f>
        <v/>
      </c>
      <c r="W5174" s="19">
        <f>IF($I5174="","",IF(ISNUMBER($I5174),TEXT($I5174,"0"),$I5174))</f>
        <v/>
      </c>
    </row>
    <row r="5175">
      <c r="B5175" s="25" t="n"/>
      <c r="I5175" s="25" t="n"/>
      <c r="U5175" s="19">
        <f>IF($V5175&lt;&gt;'設定'!$C$4,N(U5174),IF(OR(NOT(COUNTIF('商品マスタ'!$B$6:$B$1005,$W5175)=0),COUNTIFS('①在庫を貼る'!$V$6:$V$10005,$V5175,'①在庫を貼る'!$W$6:$W$10005,$W5175)+COUNTIFS('月1回_1ヶ月前の在庫'!$V$6:$V$10005,$V5175,'月1回_1ヶ月前の在庫'!$W$6:$W$10005,$W5175)&gt;0),N(U5174),N(U5174)+1))</f>
        <v/>
      </c>
      <c r="V5175" s="19">
        <f>IF($B5175="","",TEXT($B5175,"0000"))</f>
        <v/>
      </c>
      <c r="W5175" s="19">
        <f>IF($I5175="","",IF(ISNUMBER($I5175),TEXT($I5175,"0"),$I5175))</f>
        <v/>
      </c>
    </row>
    <row r="5176">
      <c r="B5176" s="25" t="n"/>
      <c r="I5176" s="25" t="n"/>
      <c r="U5176" s="19">
        <f>IF($V5176&lt;&gt;'設定'!$C$4,N(U5175),IF(OR(NOT(COUNTIF('商品マスタ'!$B$6:$B$1005,$W5176)=0),COUNTIFS('①在庫を貼る'!$V$6:$V$10005,$V5176,'①在庫を貼る'!$W$6:$W$10005,$W5176)+COUNTIFS('月1回_1ヶ月前の在庫'!$V$6:$V$10005,$V5176,'月1回_1ヶ月前の在庫'!$W$6:$W$10005,$W5176)&gt;0),N(U5175),N(U5175)+1))</f>
        <v/>
      </c>
      <c r="V5176" s="19">
        <f>IF($B5176="","",TEXT($B5176,"0000"))</f>
        <v/>
      </c>
      <c r="W5176" s="19">
        <f>IF($I5176="","",IF(ISNUMBER($I5176),TEXT($I5176,"0"),$I5176))</f>
        <v/>
      </c>
    </row>
    <row r="5177">
      <c r="B5177" s="25" t="n"/>
      <c r="I5177" s="25" t="n"/>
      <c r="U5177" s="19">
        <f>IF($V5177&lt;&gt;'設定'!$C$4,N(U5176),IF(OR(NOT(COUNTIF('商品マスタ'!$B$6:$B$1005,$W5177)=0),COUNTIFS('①在庫を貼る'!$V$6:$V$10005,$V5177,'①在庫を貼る'!$W$6:$W$10005,$W5177)+COUNTIFS('月1回_1ヶ月前の在庫'!$V$6:$V$10005,$V5177,'月1回_1ヶ月前の在庫'!$W$6:$W$10005,$W5177)&gt;0),N(U5176),N(U5176)+1))</f>
        <v/>
      </c>
      <c r="V5177" s="19">
        <f>IF($B5177="","",TEXT($B5177,"0000"))</f>
        <v/>
      </c>
      <c r="W5177" s="19">
        <f>IF($I5177="","",IF(ISNUMBER($I5177),TEXT($I5177,"0"),$I5177))</f>
        <v/>
      </c>
    </row>
    <row r="5178">
      <c r="B5178" s="25" t="n"/>
      <c r="I5178" s="25" t="n"/>
      <c r="U5178" s="19">
        <f>IF($V5178&lt;&gt;'設定'!$C$4,N(U5177),IF(OR(NOT(COUNTIF('商品マスタ'!$B$6:$B$1005,$W5178)=0),COUNTIFS('①在庫を貼る'!$V$6:$V$10005,$V5178,'①在庫を貼る'!$W$6:$W$10005,$W5178)+COUNTIFS('月1回_1ヶ月前の在庫'!$V$6:$V$10005,$V5178,'月1回_1ヶ月前の在庫'!$W$6:$W$10005,$W5178)&gt;0),N(U5177),N(U5177)+1))</f>
        <v/>
      </c>
      <c r="V5178" s="19">
        <f>IF($B5178="","",TEXT($B5178,"0000"))</f>
        <v/>
      </c>
      <c r="W5178" s="19">
        <f>IF($I5178="","",IF(ISNUMBER($I5178),TEXT($I5178,"0"),$I5178))</f>
        <v/>
      </c>
    </row>
    <row r="5179">
      <c r="B5179" s="25" t="n"/>
      <c r="I5179" s="25" t="n"/>
      <c r="U5179" s="19">
        <f>IF($V5179&lt;&gt;'設定'!$C$4,N(U5178),IF(OR(NOT(COUNTIF('商品マスタ'!$B$6:$B$1005,$W5179)=0),COUNTIFS('①在庫を貼る'!$V$6:$V$10005,$V5179,'①在庫を貼る'!$W$6:$W$10005,$W5179)+COUNTIFS('月1回_1ヶ月前の在庫'!$V$6:$V$10005,$V5179,'月1回_1ヶ月前の在庫'!$W$6:$W$10005,$W5179)&gt;0),N(U5178),N(U5178)+1))</f>
        <v/>
      </c>
      <c r="V5179" s="19">
        <f>IF($B5179="","",TEXT($B5179,"0000"))</f>
        <v/>
      </c>
      <c r="W5179" s="19">
        <f>IF($I5179="","",IF(ISNUMBER($I5179),TEXT($I5179,"0"),$I5179))</f>
        <v/>
      </c>
    </row>
    <row r="5180">
      <c r="B5180" s="25" t="n"/>
      <c r="I5180" s="25" t="n"/>
      <c r="U5180" s="19">
        <f>IF($V5180&lt;&gt;'設定'!$C$4,N(U5179),IF(OR(NOT(COUNTIF('商品マスタ'!$B$6:$B$1005,$W5180)=0),COUNTIFS('①在庫を貼る'!$V$6:$V$10005,$V5180,'①在庫を貼る'!$W$6:$W$10005,$W5180)+COUNTIFS('月1回_1ヶ月前の在庫'!$V$6:$V$10005,$V5180,'月1回_1ヶ月前の在庫'!$W$6:$W$10005,$W5180)&gt;0),N(U5179),N(U5179)+1))</f>
        <v/>
      </c>
      <c r="V5180" s="19">
        <f>IF($B5180="","",TEXT($B5180,"0000"))</f>
        <v/>
      </c>
      <c r="W5180" s="19">
        <f>IF($I5180="","",IF(ISNUMBER($I5180),TEXT($I5180,"0"),$I5180))</f>
        <v/>
      </c>
    </row>
    <row r="5181">
      <c r="B5181" s="25" t="n"/>
      <c r="I5181" s="25" t="n"/>
      <c r="U5181" s="19">
        <f>IF($V5181&lt;&gt;'設定'!$C$4,N(U5180),IF(OR(NOT(COUNTIF('商品マスタ'!$B$6:$B$1005,$W5181)=0),COUNTIFS('①在庫を貼る'!$V$6:$V$10005,$V5181,'①在庫を貼る'!$W$6:$W$10005,$W5181)+COUNTIFS('月1回_1ヶ月前の在庫'!$V$6:$V$10005,$V5181,'月1回_1ヶ月前の在庫'!$W$6:$W$10005,$W5181)&gt;0),N(U5180),N(U5180)+1))</f>
        <v/>
      </c>
      <c r="V5181" s="19">
        <f>IF($B5181="","",TEXT($B5181,"0000"))</f>
        <v/>
      </c>
      <c r="W5181" s="19">
        <f>IF($I5181="","",IF(ISNUMBER($I5181),TEXT($I5181,"0"),$I5181))</f>
        <v/>
      </c>
    </row>
    <row r="5182">
      <c r="B5182" s="25" t="n"/>
      <c r="I5182" s="25" t="n"/>
      <c r="U5182" s="19">
        <f>IF($V5182&lt;&gt;'設定'!$C$4,N(U5181),IF(OR(NOT(COUNTIF('商品マスタ'!$B$6:$B$1005,$W5182)=0),COUNTIFS('①在庫を貼る'!$V$6:$V$10005,$V5182,'①在庫を貼る'!$W$6:$W$10005,$W5182)+COUNTIFS('月1回_1ヶ月前の在庫'!$V$6:$V$10005,$V5182,'月1回_1ヶ月前の在庫'!$W$6:$W$10005,$W5182)&gt;0),N(U5181),N(U5181)+1))</f>
        <v/>
      </c>
      <c r="V5182" s="19">
        <f>IF($B5182="","",TEXT($B5182,"0000"))</f>
        <v/>
      </c>
      <c r="W5182" s="19">
        <f>IF($I5182="","",IF(ISNUMBER($I5182),TEXT($I5182,"0"),$I5182))</f>
        <v/>
      </c>
    </row>
    <row r="5183">
      <c r="B5183" s="25" t="n"/>
      <c r="I5183" s="25" t="n"/>
      <c r="U5183" s="19">
        <f>IF($V5183&lt;&gt;'設定'!$C$4,N(U5182),IF(OR(NOT(COUNTIF('商品マスタ'!$B$6:$B$1005,$W5183)=0),COUNTIFS('①在庫を貼る'!$V$6:$V$10005,$V5183,'①在庫を貼る'!$W$6:$W$10005,$W5183)+COUNTIFS('月1回_1ヶ月前の在庫'!$V$6:$V$10005,$V5183,'月1回_1ヶ月前の在庫'!$W$6:$W$10005,$W5183)&gt;0),N(U5182),N(U5182)+1))</f>
        <v/>
      </c>
      <c r="V5183" s="19">
        <f>IF($B5183="","",TEXT($B5183,"0000"))</f>
        <v/>
      </c>
      <c r="W5183" s="19">
        <f>IF($I5183="","",IF(ISNUMBER($I5183),TEXT($I5183,"0"),$I5183))</f>
        <v/>
      </c>
    </row>
    <row r="5184">
      <c r="B5184" s="25" t="n"/>
      <c r="I5184" s="25" t="n"/>
      <c r="U5184" s="19">
        <f>IF($V5184&lt;&gt;'設定'!$C$4,N(U5183),IF(OR(NOT(COUNTIF('商品マスタ'!$B$6:$B$1005,$W5184)=0),COUNTIFS('①在庫を貼る'!$V$6:$V$10005,$V5184,'①在庫を貼る'!$W$6:$W$10005,$W5184)+COUNTIFS('月1回_1ヶ月前の在庫'!$V$6:$V$10005,$V5184,'月1回_1ヶ月前の在庫'!$W$6:$W$10005,$W5184)&gt;0),N(U5183),N(U5183)+1))</f>
        <v/>
      </c>
      <c r="V5184" s="19">
        <f>IF($B5184="","",TEXT($B5184,"0000"))</f>
        <v/>
      </c>
      <c r="W5184" s="19">
        <f>IF($I5184="","",IF(ISNUMBER($I5184),TEXT($I5184,"0"),$I5184))</f>
        <v/>
      </c>
    </row>
    <row r="5185">
      <c r="B5185" s="25" t="n"/>
      <c r="I5185" s="25" t="n"/>
      <c r="U5185" s="19">
        <f>IF($V5185&lt;&gt;'設定'!$C$4,N(U5184),IF(OR(NOT(COUNTIF('商品マスタ'!$B$6:$B$1005,$W5185)=0),COUNTIFS('①在庫を貼る'!$V$6:$V$10005,$V5185,'①在庫を貼る'!$W$6:$W$10005,$W5185)+COUNTIFS('月1回_1ヶ月前の在庫'!$V$6:$V$10005,$V5185,'月1回_1ヶ月前の在庫'!$W$6:$W$10005,$W5185)&gt;0),N(U5184),N(U5184)+1))</f>
        <v/>
      </c>
      <c r="V5185" s="19">
        <f>IF($B5185="","",TEXT($B5185,"0000"))</f>
        <v/>
      </c>
      <c r="W5185" s="19">
        <f>IF($I5185="","",IF(ISNUMBER($I5185),TEXT($I5185,"0"),$I5185))</f>
        <v/>
      </c>
    </row>
    <row r="5186">
      <c r="B5186" s="25" t="n"/>
      <c r="I5186" s="25" t="n"/>
      <c r="U5186" s="19">
        <f>IF($V5186&lt;&gt;'設定'!$C$4,N(U5185),IF(OR(NOT(COUNTIF('商品マスタ'!$B$6:$B$1005,$W5186)=0),COUNTIFS('①在庫を貼る'!$V$6:$V$10005,$V5186,'①在庫を貼る'!$W$6:$W$10005,$W5186)+COUNTIFS('月1回_1ヶ月前の在庫'!$V$6:$V$10005,$V5186,'月1回_1ヶ月前の在庫'!$W$6:$W$10005,$W5186)&gt;0),N(U5185),N(U5185)+1))</f>
        <v/>
      </c>
      <c r="V5186" s="19">
        <f>IF($B5186="","",TEXT($B5186,"0000"))</f>
        <v/>
      </c>
      <c r="W5186" s="19">
        <f>IF($I5186="","",IF(ISNUMBER($I5186),TEXT($I5186,"0"),$I5186))</f>
        <v/>
      </c>
    </row>
    <row r="5187">
      <c r="B5187" s="25" t="n"/>
      <c r="I5187" s="25" t="n"/>
      <c r="U5187" s="19">
        <f>IF($V5187&lt;&gt;'設定'!$C$4,N(U5186),IF(OR(NOT(COUNTIF('商品マスタ'!$B$6:$B$1005,$W5187)=0),COUNTIFS('①在庫を貼る'!$V$6:$V$10005,$V5187,'①在庫を貼る'!$W$6:$W$10005,$W5187)+COUNTIFS('月1回_1ヶ月前の在庫'!$V$6:$V$10005,$V5187,'月1回_1ヶ月前の在庫'!$W$6:$W$10005,$W5187)&gt;0),N(U5186),N(U5186)+1))</f>
        <v/>
      </c>
      <c r="V5187" s="19">
        <f>IF($B5187="","",TEXT($B5187,"0000"))</f>
        <v/>
      </c>
      <c r="W5187" s="19">
        <f>IF($I5187="","",IF(ISNUMBER($I5187),TEXT($I5187,"0"),$I5187))</f>
        <v/>
      </c>
    </row>
    <row r="5188">
      <c r="B5188" s="25" t="n"/>
      <c r="I5188" s="25" t="n"/>
      <c r="U5188" s="19">
        <f>IF($V5188&lt;&gt;'設定'!$C$4,N(U5187),IF(OR(NOT(COUNTIF('商品マスタ'!$B$6:$B$1005,$W5188)=0),COUNTIFS('①在庫を貼る'!$V$6:$V$10005,$V5188,'①在庫を貼る'!$W$6:$W$10005,$W5188)+COUNTIFS('月1回_1ヶ月前の在庫'!$V$6:$V$10005,$V5188,'月1回_1ヶ月前の在庫'!$W$6:$W$10005,$W5188)&gt;0),N(U5187),N(U5187)+1))</f>
        <v/>
      </c>
      <c r="V5188" s="19">
        <f>IF($B5188="","",TEXT($B5188,"0000"))</f>
        <v/>
      </c>
      <c r="W5188" s="19">
        <f>IF($I5188="","",IF(ISNUMBER($I5188),TEXT($I5188,"0"),$I5188))</f>
        <v/>
      </c>
    </row>
    <row r="5189">
      <c r="B5189" s="25" t="n"/>
      <c r="I5189" s="25" t="n"/>
      <c r="U5189" s="19">
        <f>IF($V5189&lt;&gt;'設定'!$C$4,N(U5188),IF(OR(NOT(COUNTIF('商品マスタ'!$B$6:$B$1005,$W5189)=0),COUNTIFS('①在庫を貼る'!$V$6:$V$10005,$V5189,'①在庫を貼る'!$W$6:$W$10005,$W5189)+COUNTIFS('月1回_1ヶ月前の在庫'!$V$6:$V$10005,$V5189,'月1回_1ヶ月前の在庫'!$W$6:$W$10005,$W5189)&gt;0),N(U5188),N(U5188)+1))</f>
        <v/>
      </c>
      <c r="V5189" s="19">
        <f>IF($B5189="","",TEXT($B5189,"0000"))</f>
        <v/>
      </c>
      <c r="W5189" s="19">
        <f>IF($I5189="","",IF(ISNUMBER($I5189),TEXT($I5189,"0"),$I5189))</f>
        <v/>
      </c>
    </row>
    <row r="5190">
      <c r="B5190" s="25" t="n"/>
      <c r="I5190" s="25" t="n"/>
      <c r="U5190" s="19">
        <f>IF($V5190&lt;&gt;'設定'!$C$4,N(U5189),IF(OR(NOT(COUNTIF('商品マスタ'!$B$6:$B$1005,$W5190)=0),COUNTIFS('①在庫を貼る'!$V$6:$V$10005,$V5190,'①在庫を貼る'!$W$6:$W$10005,$W5190)+COUNTIFS('月1回_1ヶ月前の在庫'!$V$6:$V$10005,$V5190,'月1回_1ヶ月前の在庫'!$W$6:$W$10005,$W5190)&gt;0),N(U5189),N(U5189)+1))</f>
        <v/>
      </c>
      <c r="V5190" s="19">
        <f>IF($B5190="","",TEXT($B5190,"0000"))</f>
        <v/>
      </c>
      <c r="W5190" s="19">
        <f>IF($I5190="","",IF(ISNUMBER($I5190),TEXT($I5190,"0"),$I5190))</f>
        <v/>
      </c>
    </row>
    <row r="5191">
      <c r="B5191" s="25" t="n"/>
      <c r="I5191" s="25" t="n"/>
      <c r="U5191" s="19">
        <f>IF($V5191&lt;&gt;'設定'!$C$4,N(U5190),IF(OR(NOT(COUNTIF('商品マスタ'!$B$6:$B$1005,$W5191)=0),COUNTIFS('①在庫を貼る'!$V$6:$V$10005,$V5191,'①在庫を貼る'!$W$6:$W$10005,$W5191)+COUNTIFS('月1回_1ヶ月前の在庫'!$V$6:$V$10005,$V5191,'月1回_1ヶ月前の在庫'!$W$6:$W$10005,$W5191)&gt;0),N(U5190),N(U5190)+1))</f>
        <v/>
      </c>
      <c r="V5191" s="19">
        <f>IF($B5191="","",TEXT($B5191,"0000"))</f>
        <v/>
      </c>
      <c r="W5191" s="19">
        <f>IF($I5191="","",IF(ISNUMBER($I5191),TEXT($I5191,"0"),$I5191))</f>
        <v/>
      </c>
    </row>
    <row r="5192">
      <c r="B5192" s="25" t="n"/>
      <c r="I5192" s="25" t="n"/>
      <c r="U5192" s="19">
        <f>IF($V5192&lt;&gt;'設定'!$C$4,N(U5191),IF(OR(NOT(COUNTIF('商品マスタ'!$B$6:$B$1005,$W5192)=0),COUNTIFS('①在庫を貼る'!$V$6:$V$10005,$V5192,'①在庫を貼る'!$W$6:$W$10005,$W5192)+COUNTIFS('月1回_1ヶ月前の在庫'!$V$6:$V$10005,$V5192,'月1回_1ヶ月前の在庫'!$W$6:$W$10005,$W5192)&gt;0),N(U5191),N(U5191)+1))</f>
        <v/>
      </c>
      <c r="V5192" s="19">
        <f>IF($B5192="","",TEXT($B5192,"0000"))</f>
        <v/>
      </c>
      <c r="W5192" s="19">
        <f>IF($I5192="","",IF(ISNUMBER($I5192),TEXT($I5192,"0"),$I5192))</f>
        <v/>
      </c>
    </row>
    <row r="5193">
      <c r="B5193" s="25" t="n"/>
      <c r="I5193" s="25" t="n"/>
      <c r="U5193" s="19">
        <f>IF($V5193&lt;&gt;'設定'!$C$4,N(U5192),IF(OR(NOT(COUNTIF('商品マスタ'!$B$6:$B$1005,$W5193)=0),COUNTIFS('①在庫を貼る'!$V$6:$V$10005,$V5193,'①在庫を貼る'!$W$6:$W$10005,$W5193)+COUNTIFS('月1回_1ヶ月前の在庫'!$V$6:$V$10005,$V5193,'月1回_1ヶ月前の在庫'!$W$6:$W$10005,$W5193)&gt;0),N(U5192),N(U5192)+1))</f>
        <v/>
      </c>
      <c r="V5193" s="19">
        <f>IF($B5193="","",TEXT($B5193,"0000"))</f>
        <v/>
      </c>
      <c r="W5193" s="19">
        <f>IF($I5193="","",IF(ISNUMBER($I5193),TEXT($I5193,"0"),$I5193))</f>
        <v/>
      </c>
    </row>
    <row r="5194">
      <c r="B5194" s="25" t="n"/>
      <c r="I5194" s="25" t="n"/>
      <c r="U5194" s="19">
        <f>IF($V5194&lt;&gt;'設定'!$C$4,N(U5193),IF(OR(NOT(COUNTIF('商品マスタ'!$B$6:$B$1005,$W5194)=0),COUNTIFS('①在庫を貼る'!$V$6:$V$10005,$V5194,'①在庫を貼る'!$W$6:$W$10005,$W5194)+COUNTIFS('月1回_1ヶ月前の在庫'!$V$6:$V$10005,$V5194,'月1回_1ヶ月前の在庫'!$W$6:$W$10005,$W5194)&gt;0),N(U5193),N(U5193)+1))</f>
        <v/>
      </c>
      <c r="V5194" s="19">
        <f>IF($B5194="","",TEXT($B5194,"0000"))</f>
        <v/>
      </c>
      <c r="W5194" s="19">
        <f>IF($I5194="","",IF(ISNUMBER($I5194),TEXT($I5194,"0"),$I5194))</f>
        <v/>
      </c>
    </row>
    <row r="5195">
      <c r="B5195" s="25" t="n"/>
      <c r="I5195" s="25" t="n"/>
      <c r="U5195" s="19">
        <f>IF($V5195&lt;&gt;'設定'!$C$4,N(U5194),IF(OR(NOT(COUNTIF('商品マスタ'!$B$6:$B$1005,$W5195)=0),COUNTIFS('①在庫を貼る'!$V$6:$V$10005,$V5195,'①在庫を貼る'!$W$6:$W$10005,$W5195)+COUNTIFS('月1回_1ヶ月前の在庫'!$V$6:$V$10005,$V5195,'月1回_1ヶ月前の在庫'!$W$6:$W$10005,$W5195)&gt;0),N(U5194),N(U5194)+1))</f>
        <v/>
      </c>
      <c r="V5195" s="19">
        <f>IF($B5195="","",TEXT($B5195,"0000"))</f>
        <v/>
      </c>
      <c r="W5195" s="19">
        <f>IF($I5195="","",IF(ISNUMBER($I5195),TEXT($I5195,"0"),$I5195))</f>
        <v/>
      </c>
    </row>
    <row r="5196">
      <c r="B5196" s="25" t="n"/>
      <c r="I5196" s="25" t="n"/>
      <c r="U5196" s="19">
        <f>IF($V5196&lt;&gt;'設定'!$C$4,N(U5195),IF(OR(NOT(COUNTIF('商品マスタ'!$B$6:$B$1005,$W5196)=0),COUNTIFS('①在庫を貼る'!$V$6:$V$10005,$V5196,'①在庫を貼る'!$W$6:$W$10005,$W5196)+COUNTIFS('月1回_1ヶ月前の在庫'!$V$6:$V$10005,$V5196,'月1回_1ヶ月前の在庫'!$W$6:$W$10005,$W5196)&gt;0),N(U5195),N(U5195)+1))</f>
        <v/>
      </c>
      <c r="V5196" s="19">
        <f>IF($B5196="","",TEXT($B5196,"0000"))</f>
        <v/>
      </c>
      <c r="W5196" s="19">
        <f>IF($I5196="","",IF(ISNUMBER($I5196),TEXT($I5196,"0"),$I5196))</f>
        <v/>
      </c>
    </row>
    <row r="5197">
      <c r="B5197" s="25" t="n"/>
      <c r="I5197" s="25" t="n"/>
      <c r="U5197" s="19">
        <f>IF($V5197&lt;&gt;'設定'!$C$4,N(U5196),IF(OR(NOT(COUNTIF('商品マスタ'!$B$6:$B$1005,$W5197)=0),COUNTIFS('①在庫を貼る'!$V$6:$V$10005,$V5197,'①在庫を貼る'!$W$6:$W$10005,$W5197)+COUNTIFS('月1回_1ヶ月前の在庫'!$V$6:$V$10005,$V5197,'月1回_1ヶ月前の在庫'!$W$6:$W$10005,$W5197)&gt;0),N(U5196),N(U5196)+1))</f>
        <v/>
      </c>
      <c r="V5197" s="19">
        <f>IF($B5197="","",TEXT($B5197,"0000"))</f>
        <v/>
      </c>
      <c r="W5197" s="19">
        <f>IF($I5197="","",IF(ISNUMBER($I5197),TEXT($I5197,"0"),$I5197))</f>
        <v/>
      </c>
    </row>
    <row r="5198">
      <c r="B5198" s="25" t="n"/>
      <c r="I5198" s="25" t="n"/>
      <c r="U5198" s="19">
        <f>IF($V5198&lt;&gt;'設定'!$C$4,N(U5197),IF(OR(NOT(COUNTIF('商品マスタ'!$B$6:$B$1005,$W5198)=0),COUNTIFS('①在庫を貼る'!$V$6:$V$10005,$V5198,'①在庫を貼る'!$W$6:$W$10005,$W5198)+COUNTIFS('月1回_1ヶ月前の在庫'!$V$6:$V$10005,$V5198,'月1回_1ヶ月前の在庫'!$W$6:$W$10005,$W5198)&gt;0),N(U5197),N(U5197)+1))</f>
        <v/>
      </c>
      <c r="V5198" s="19">
        <f>IF($B5198="","",TEXT($B5198,"0000"))</f>
        <v/>
      </c>
      <c r="W5198" s="19">
        <f>IF($I5198="","",IF(ISNUMBER($I5198),TEXT($I5198,"0"),$I5198))</f>
        <v/>
      </c>
    </row>
    <row r="5199">
      <c r="B5199" s="25" t="n"/>
      <c r="I5199" s="25" t="n"/>
      <c r="U5199" s="19">
        <f>IF($V5199&lt;&gt;'設定'!$C$4,N(U5198),IF(OR(NOT(COUNTIF('商品マスタ'!$B$6:$B$1005,$W5199)=0),COUNTIFS('①在庫を貼る'!$V$6:$V$10005,$V5199,'①在庫を貼る'!$W$6:$W$10005,$W5199)+COUNTIFS('月1回_1ヶ月前の在庫'!$V$6:$V$10005,$V5199,'月1回_1ヶ月前の在庫'!$W$6:$W$10005,$W5199)&gt;0),N(U5198),N(U5198)+1))</f>
        <v/>
      </c>
      <c r="V5199" s="19">
        <f>IF($B5199="","",TEXT($B5199,"0000"))</f>
        <v/>
      </c>
      <c r="W5199" s="19">
        <f>IF($I5199="","",IF(ISNUMBER($I5199),TEXT($I5199,"0"),$I5199))</f>
        <v/>
      </c>
    </row>
    <row r="5200">
      <c r="B5200" s="25" t="n"/>
      <c r="I5200" s="25" t="n"/>
      <c r="U5200" s="19">
        <f>IF($V5200&lt;&gt;'設定'!$C$4,N(U5199),IF(OR(NOT(COUNTIF('商品マスタ'!$B$6:$B$1005,$W5200)=0),COUNTIFS('①在庫を貼る'!$V$6:$V$10005,$V5200,'①在庫を貼る'!$W$6:$W$10005,$W5200)+COUNTIFS('月1回_1ヶ月前の在庫'!$V$6:$V$10005,$V5200,'月1回_1ヶ月前の在庫'!$W$6:$W$10005,$W5200)&gt;0),N(U5199),N(U5199)+1))</f>
        <v/>
      </c>
      <c r="V5200" s="19">
        <f>IF($B5200="","",TEXT($B5200,"0000"))</f>
        <v/>
      </c>
      <c r="W5200" s="19">
        <f>IF($I5200="","",IF(ISNUMBER($I5200),TEXT($I5200,"0"),$I5200))</f>
        <v/>
      </c>
    </row>
    <row r="5201">
      <c r="B5201" s="25" t="n"/>
      <c r="I5201" s="25" t="n"/>
      <c r="U5201" s="19">
        <f>IF($V5201&lt;&gt;'設定'!$C$4,N(U5200),IF(OR(NOT(COUNTIF('商品マスタ'!$B$6:$B$1005,$W5201)=0),COUNTIFS('①在庫を貼る'!$V$6:$V$10005,$V5201,'①在庫を貼る'!$W$6:$W$10005,$W5201)+COUNTIFS('月1回_1ヶ月前の在庫'!$V$6:$V$10005,$V5201,'月1回_1ヶ月前の在庫'!$W$6:$W$10005,$W5201)&gt;0),N(U5200),N(U5200)+1))</f>
        <v/>
      </c>
      <c r="V5201" s="19">
        <f>IF($B5201="","",TEXT($B5201,"0000"))</f>
        <v/>
      </c>
      <c r="W5201" s="19">
        <f>IF($I5201="","",IF(ISNUMBER($I5201),TEXT($I5201,"0"),$I5201))</f>
        <v/>
      </c>
    </row>
    <row r="5202">
      <c r="B5202" s="25" t="n"/>
      <c r="I5202" s="25" t="n"/>
      <c r="U5202" s="19">
        <f>IF($V5202&lt;&gt;'設定'!$C$4,N(U5201),IF(OR(NOT(COUNTIF('商品マスタ'!$B$6:$B$1005,$W5202)=0),COUNTIFS('①在庫を貼る'!$V$6:$V$10005,$V5202,'①在庫を貼る'!$W$6:$W$10005,$W5202)+COUNTIFS('月1回_1ヶ月前の在庫'!$V$6:$V$10005,$V5202,'月1回_1ヶ月前の在庫'!$W$6:$W$10005,$W5202)&gt;0),N(U5201),N(U5201)+1))</f>
        <v/>
      </c>
      <c r="V5202" s="19">
        <f>IF($B5202="","",TEXT($B5202,"0000"))</f>
        <v/>
      </c>
      <c r="W5202" s="19">
        <f>IF($I5202="","",IF(ISNUMBER($I5202),TEXT($I5202,"0"),$I5202))</f>
        <v/>
      </c>
    </row>
    <row r="5203">
      <c r="B5203" s="25" t="n"/>
      <c r="I5203" s="25" t="n"/>
      <c r="U5203" s="19">
        <f>IF($V5203&lt;&gt;'設定'!$C$4,N(U5202),IF(OR(NOT(COUNTIF('商品マスタ'!$B$6:$B$1005,$W5203)=0),COUNTIFS('①在庫を貼る'!$V$6:$V$10005,$V5203,'①在庫を貼る'!$W$6:$W$10005,$W5203)+COUNTIFS('月1回_1ヶ月前の在庫'!$V$6:$V$10005,$V5203,'月1回_1ヶ月前の在庫'!$W$6:$W$10005,$W5203)&gt;0),N(U5202),N(U5202)+1))</f>
        <v/>
      </c>
      <c r="V5203" s="19">
        <f>IF($B5203="","",TEXT($B5203,"0000"))</f>
        <v/>
      </c>
      <c r="W5203" s="19">
        <f>IF($I5203="","",IF(ISNUMBER($I5203),TEXT($I5203,"0"),$I5203))</f>
        <v/>
      </c>
    </row>
    <row r="5204">
      <c r="B5204" s="25" t="n"/>
      <c r="I5204" s="25" t="n"/>
      <c r="U5204" s="19">
        <f>IF($V5204&lt;&gt;'設定'!$C$4,N(U5203),IF(OR(NOT(COUNTIF('商品マスタ'!$B$6:$B$1005,$W5204)=0),COUNTIFS('①在庫を貼る'!$V$6:$V$10005,$V5204,'①在庫を貼る'!$W$6:$W$10005,$W5204)+COUNTIFS('月1回_1ヶ月前の在庫'!$V$6:$V$10005,$V5204,'月1回_1ヶ月前の在庫'!$W$6:$W$10005,$W5204)&gt;0),N(U5203),N(U5203)+1))</f>
        <v/>
      </c>
      <c r="V5204" s="19">
        <f>IF($B5204="","",TEXT($B5204,"0000"))</f>
        <v/>
      </c>
      <c r="W5204" s="19">
        <f>IF($I5204="","",IF(ISNUMBER($I5204),TEXT($I5204,"0"),$I5204))</f>
        <v/>
      </c>
    </row>
    <row r="5205">
      <c r="B5205" s="25" t="n"/>
      <c r="I5205" s="25" t="n"/>
      <c r="U5205" s="19">
        <f>IF($V5205&lt;&gt;'設定'!$C$4,N(U5204),IF(OR(NOT(COUNTIF('商品マスタ'!$B$6:$B$1005,$W5205)=0),COUNTIFS('①在庫を貼る'!$V$6:$V$10005,$V5205,'①在庫を貼る'!$W$6:$W$10005,$W5205)+COUNTIFS('月1回_1ヶ月前の在庫'!$V$6:$V$10005,$V5205,'月1回_1ヶ月前の在庫'!$W$6:$W$10005,$W5205)&gt;0),N(U5204),N(U5204)+1))</f>
        <v/>
      </c>
      <c r="V5205" s="19">
        <f>IF($B5205="","",TEXT($B5205,"0000"))</f>
        <v/>
      </c>
      <c r="W5205" s="19">
        <f>IF($I5205="","",IF(ISNUMBER($I5205),TEXT($I5205,"0"),$I5205))</f>
        <v/>
      </c>
    </row>
    <row r="5206">
      <c r="B5206" s="25" t="n"/>
      <c r="I5206" s="25" t="n"/>
      <c r="U5206" s="19">
        <f>IF($V5206&lt;&gt;'設定'!$C$4,N(U5205),IF(OR(NOT(COUNTIF('商品マスタ'!$B$6:$B$1005,$W5206)=0),COUNTIFS('①在庫を貼る'!$V$6:$V$10005,$V5206,'①在庫を貼る'!$W$6:$W$10005,$W5206)+COUNTIFS('月1回_1ヶ月前の在庫'!$V$6:$V$10005,$V5206,'月1回_1ヶ月前の在庫'!$W$6:$W$10005,$W5206)&gt;0),N(U5205),N(U5205)+1))</f>
        <v/>
      </c>
      <c r="V5206" s="19">
        <f>IF($B5206="","",TEXT($B5206,"0000"))</f>
        <v/>
      </c>
      <c r="W5206" s="19">
        <f>IF($I5206="","",IF(ISNUMBER($I5206),TEXT($I5206,"0"),$I5206))</f>
        <v/>
      </c>
    </row>
    <row r="5207">
      <c r="B5207" s="25" t="n"/>
      <c r="I5207" s="25" t="n"/>
      <c r="U5207" s="19">
        <f>IF($V5207&lt;&gt;'設定'!$C$4,N(U5206),IF(OR(NOT(COUNTIF('商品マスタ'!$B$6:$B$1005,$W5207)=0),COUNTIFS('①在庫を貼る'!$V$6:$V$10005,$V5207,'①在庫を貼る'!$W$6:$W$10005,$W5207)+COUNTIFS('月1回_1ヶ月前の在庫'!$V$6:$V$10005,$V5207,'月1回_1ヶ月前の在庫'!$W$6:$W$10005,$W5207)&gt;0),N(U5206),N(U5206)+1))</f>
        <v/>
      </c>
      <c r="V5207" s="19">
        <f>IF($B5207="","",TEXT($B5207,"0000"))</f>
        <v/>
      </c>
      <c r="W5207" s="19">
        <f>IF($I5207="","",IF(ISNUMBER($I5207),TEXT($I5207,"0"),$I5207))</f>
        <v/>
      </c>
    </row>
    <row r="5208">
      <c r="B5208" s="25" t="n"/>
      <c r="I5208" s="25" t="n"/>
      <c r="U5208" s="19">
        <f>IF($V5208&lt;&gt;'設定'!$C$4,N(U5207),IF(OR(NOT(COUNTIF('商品マスタ'!$B$6:$B$1005,$W5208)=0),COUNTIFS('①在庫を貼る'!$V$6:$V$10005,$V5208,'①在庫を貼る'!$W$6:$W$10005,$W5208)+COUNTIFS('月1回_1ヶ月前の在庫'!$V$6:$V$10005,$V5208,'月1回_1ヶ月前の在庫'!$W$6:$W$10005,$W5208)&gt;0),N(U5207),N(U5207)+1))</f>
        <v/>
      </c>
      <c r="V5208" s="19">
        <f>IF($B5208="","",TEXT($B5208,"0000"))</f>
        <v/>
      </c>
      <c r="W5208" s="19">
        <f>IF($I5208="","",IF(ISNUMBER($I5208),TEXT($I5208,"0"),$I5208))</f>
        <v/>
      </c>
    </row>
    <row r="5209">
      <c r="B5209" s="25" t="n"/>
      <c r="I5209" s="25" t="n"/>
      <c r="U5209" s="19">
        <f>IF($V5209&lt;&gt;'設定'!$C$4,N(U5208),IF(OR(NOT(COUNTIF('商品マスタ'!$B$6:$B$1005,$W5209)=0),COUNTIFS('①在庫を貼る'!$V$6:$V$10005,$V5209,'①在庫を貼る'!$W$6:$W$10005,$W5209)+COUNTIFS('月1回_1ヶ月前の在庫'!$V$6:$V$10005,$V5209,'月1回_1ヶ月前の在庫'!$W$6:$W$10005,$W5209)&gt;0),N(U5208),N(U5208)+1))</f>
        <v/>
      </c>
      <c r="V5209" s="19">
        <f>IF($B5209="","",TEXT($B5209,"0000"))</f>
        <v/>
      </c>
      <c r="W5209" s="19">
        <f>IF($I5209="","",IF(ISNUMBER($I5209),TEXT($I5209,"0"),$I5209))</f>
        <v/>
      </c>
    </row>
    <row r="5210">
      <c r="B5210" s="25" t="n"/>
      <c r="I5210" s="25" t="n"/>
      <c r="U5210" s="19">
        <f>IF($V5210&lt;&gt;'設定'!$C$4,N(U5209),IF(OR(NOT(COUNTIF('商品マスタ'!$B$6:$B$1005,$W5210)=0),COUNTIFS('①在庫を貼る'!$V$6:$V$10005,$V5210,'①在庫を貼る'!$W$6:$W$10005,$W5210)+COUNTIFS('月1回_1ヶ月前の在庫'!$V$6:$V$10005,$V5210,'月1回_1ヶ月前の在庫'!$W$6:$W$10005,$W5210)&gt;0),N(U5209),N(U5209)+1))</f>
        <v/>
      </c>
      <c r="V5210" s="19">
        <f>IF($B5210="","",TEXT($B5210,"0000"))</f>
        <v/>
      </c>
      <c r="W5210" s="19">
        <f>IF($I5210="","",IF(ISNUMBER($I5210),TEXT($I5210,"0"),$I5210))</f>
        <v/>
      </c>
    </row>
    <row r="5211">
      <c r="B5211" s="25" t="n"/>
      <c r="I5211" s="25" t="n"/>
      <c r="U5211" s="19">
        <f>IF($V5211&lt;&gt;'設定'!$C$4,N(U5210),IF(OR(NOT(COUNTIF('商品マスタ'!$B$6:$B$1005,$W5211)=0),COUNTIFS('①在庫を貼る'!$V$6:$V$10005,$V5211,'①在庫を貼る'!$W$6:$W$10005,$W5211)+COUNTIFS('月1回_1ヶ月前の在庫'!$V$6:$V$10005,$V5211,'月1回_1ヶ月前の在庫'!$W$6:$W$10005,$W5211)&gt;0),N(U5210),N(U5210)+1))</f>
        <v/>
      </c>
      <c r="V5211" s="19">
        <f>IF($B5211="","",TEXT($B5211,"0000"))</f>
        <v/>
      </c>
      <c r="W5211" s="19">
        <f>IF($I5211="","",IF(ISNUMBER($I5211),TEXT($I5211,"0"),$I5211))</f>
        <v/>
      </c>
    </row>
    <row r="5212">
      <c r="B5212" s="25" t="n"/>
      <c r="I5212" s="25" t="n"/>
      <c r="U5212" s="19">
        <f>IF($V5212&lt;&gt;'設定'!$C$4,N(U5211),IF(OR(NOT(COUNTIF('商品マスタ'!$B$6:$B$1005,$W5212)=0),COUNTIFS('①在庫を貼る'!$V$6:$V$10005,$V5212,'①在庫を貼る'!$W$6:$W$10005,$W5212)+COUNTIFS('月1回_1ヶ月前の在庫'!$V$6:$V$10005,$V5212,'月1回_1ヶ月前の在庫'!$W$6:$W$10005,$W5212)&gt;0),N(U5211),N(U5211)+1))</f>
        <v/>
      </c>
      <c r="V5212" s="19">
        <f>IF($B5212="","",TEXT($B5212,"0000"))</f>
        <v/>
      </c>
      <c r="W5212" s="19">
        <f>IF($I5212="","",IF(ISNUMBER($I5212),TEXT($I5212,"0"),$I5212))</f>
        <v/>
      </c>
    </row>
    <row r="5213">
      <c r="B5213" s="25" t="n"/>
      <c r="I5213" s="25" t="n"/>
      <c r="U5213" s="19">
        <f>IF($V5213&lt;&gt;'設定'!$C$4,N(U5212),IF(OR(NOT(COUNTIF('商品マスタ'!$B$6:$B$1005,$W5213)=0),COUNTIFS('①在庫を貼る'!$V$6:$V$10005,$V5213,'①在庫を貼る'!$W$6:$W$10005,$W5213)+COUNTIFS('月1回_1ヶ月前の在庫'!$V$6:$V$10005,$V5213,'月1回_1ヶ月前の在庫'!$W$6:$W$10005,$W5213)&gt;0),N(U5212),N(U5212)+1))</f>
        <v/>
      </c>
      <c r="V5213" s="19">
        <f>IF($B5213="","",TEXT($B5213,"0000"))</f>
        <v/>
      </c>
      <c r="W5213" s="19">
        <f>IF($I5213="","",IF(ISNUMBER($I5213),TEXT($I5213,"0"),$I5213))</f>
        <v/>
      </c>
    </row>
    <row r="5214">
      <c r="B5214" s="25" t="n"/>
      <c r="I5214" s="25" t="n"/>
      <c r="U5214" s="19">
        <f>IF($V5214&lt;&gt;'設定'!$C$4,N(U5213),IF(OR(NOT(COUNTIF('商品マスタ'!$B$6:$B$1005,$W5214)=0),COUNTIFS('①在庫を貼る'!$V$6:$V$10005,$V5214,'①在庫を貼る'!$W$6:$W$10005,$W5214)+COUNTIFS('月1回_1ヶ月前の在庫'!$V$6:$V$10005,$V5214,'月1回_1ヶ月前の在庫'!$W$6:$W$10005,$W5214)&gt;0),N(U5213),N(U5213)+1))</f>
        <v/>
      </c>
      <c r="V5214" s="19">
        <f>IF($B5214="","",TEXT($B5214,"0000"))</f>
        <v/>
      </c>
      <c r="W5214" s="19">
        <f>IF($I5214="","",IF(ISNUMBER($I5214),TEXT($I5214,"0"),$I5214))</f>
        <v/>
      </c>
    </row>
    <row r="5215">
      <c r="B5215" s="25" t="n"/>
      <c r="I5215" s="25" t="n"/>
      <c r="U5215" s="19">
        <f>IF($V5215&lt;&gt;'設定'!$C$4,N(U5214),IF(OR(NOT(COUNTIF('商品マスタ'!$B$6:$B$1005,$W5215)=0),COUNTIFS('①在庫を貼る'!$V$6:$V$10005,$V5215,'①在庫を貼る'!$W$6:$W$10005,$W5215)+COUNTIFS('月1回_1ヶ月前の在庫'!$V$6:$V$10005,$V5215,'月1回_1ヶ月前の在庫'!$W$6:$W$10005,$W5215)&gt;0),N(U5214),N(U5214)+1))</f>
        <v/>
      </c>
      <c r="V5215" s="19">
        <f>IF($B5215="","",TEXT($B5215,"0000"))</f>
        <v/>
      </c>
      <c r="W5215" s="19">
        <f>IF($I5215="","",IF(ISNUMBER($I5215),TEXT($I5215,"0"),$I5215))</f>
        <v/>
      </c>
    </row>
    <row r="5216">
      <c r="B5216" s="25" t="n"/>
      <c r="I5216" s="25" t="n"/>
      <c r="U5216" s="19">
        <f>IF($V5216&lt;&gt;'設定'!$C$4,N(U5215),IF(OR(NOT(COUNTIF('商品マスタ'!$B$6:$B$1005,$W5216)=0),COUNTIFS('①在庫を貼る'!$V$6:$V$10005,$V5216,'①在庫を貼る'!$W$6:$W$10005,$W5216)+COUNTIFS('月1回_1ヶ月前の在庫'!$V$6:$V$10005,$V5216,'月1回_1ヶ月前の在庫'!$W$6:$W$10005,$W5216)&gt;0),N(U5215),N(U5215)+1))</f>
        <v/>
      </c>
      <c r="V5216" s="19">
        <f>IF($B5216="","",TEXT($B5216,"0000"))</f>
        <v/>
      </c>
      <c r="W5216" s="19">
        <f>IF($I5216="","",IF(ISNUMBER($I5216),TEXT($I5216,"0"),$I5216))</f>
        <v/>
      </c>
    </row>
    <row r="5217">
      <c r="B5217" s="25" t="n"/>
      <c r="I5217" s="25" t="n"/>
      <c r="U5217" s="19">
        <f>IF($V5217&lt;&gt;'設定'!$C$4,N(U5216),IF(OR(NOT(COUNTIF('商品マスタ'!$B$6:$B$1005,$W5217)=0),COUNTIFS('①在庫を貼る'!$V$6:$V$10005,$V5217,'①在庫を貼る'!$W$6:$W$10005,$W5217)+COUNTIFS('月1回_1ヶ月前の在庫'!$V$6:$V$10005,$V5217,'月1回_1ヶ月前の在庫'!$W$6:$W$10005,$W5217)&gt;0),N(U5216),N(U5216)+1))</f>
        <v/>
      </c>
      <c r="V5217" s="19">
        <f>IF($B5217="","",TEXT($B5217,"0000"))</f>
        <v/>
      </c>
      <c r="W5217" s="19">
        <f>IF($I5217="","",IF(ISNUMBER($I5217),TEXT($I5217,"0"),$I5217))</f>
        <v/>
      </c>
    </row>
    <row r="5218">
      <c r="B5218" s="25" t="n"/>
      <c r="I5218" s="25" t="n"/>
      <c r="U5218" s="19">
        <f>IF($V5218&lt;&gt;'設定'!$C$4,N(U5217),IF(OR(NOT(COUNTIF('商品マスタ'!$B$6:$B$1005,$W5218)=0),COUNTIFS('①在庫を貼る'!$V$6:$V$10005,$V5218,'①在庫を貼る'!$W$6:$W$10005,$W5218)+COUNTIFS('月1回_1ヶ月前の在庫'!$V$6:$V$10005,$V5218,'月1回_1ヶ月前の在庫'!$W$6:$W$10005,$W5218)&gt;0),N(U5217),N(U5217)+1))</f>
        <v/>
      </c>
      <c r="V5218" s="19">
        <f>IF($B5218="","",TEXT($B5218,"0000"))</f>
        <v/>
      </c>
      <c r="W5218" s="19">
        <f>IF($I5218="","",IF(ISNUMBER($I5218),TEXT($I5218,"0"),$I5218))</f>
        <v/>
      </c>
    </row>
    <row r="5219">
      <c r="B5219" s="25" t="n"/>
      <c r="I5219" s="25" t="n"/>
      <c r="U5219" s="19">
        <f>IF($V5219&lt;&gt;'設定'!$C$4,N(U5218),IF(OR(NOT(COUNTIF('商品マスタ'!$B$6:$B$1005,$W5219)=0),COUNTIFS('①在庫を貼る'!$V$6:$V$10005,$V5219,'①在庫を貼る'!$W$6:$W$10005,$W5219)+COUNTIFS('月1回_1ヶ月前の在庫'!$V$6:$V$10005,$V5219,'月1回_1ヶ月前の在庫'!$W$6:$W$10005,$W5219)&gt;0),N(U5218),N(U5218)+1))</f>
        <v/>
      </c>
      <c r="V5219" s="19">
        <f>IF($B5219="","",TEXT($B5219,"0000"))</f>
        <v/>
      </c>
      <c r="W5219" s="19">
        <f>IF($I5219="","",IF(ISNUMBER($I5219),TEXT($I5219,"0"),$I5219))</f>
        <v/>
      </c>
    </row>
    <row r="5220">
      <c r="B5220" s="25" t="n"/>
      <c r="I5220" s="25" t="n"/>
      <c r="U5220" s="19">
        <f>IF($V5220&lt;&gt;'設定'!$C$4,N(U5219),IF(OR(NOT(COUNTIF('商品マスタ'!$B$6:$B$1005,$W5220)=0),COUNTIFS('①在庫を貼る'!$V$6:$V$10005,$V5220,'①在庫を貼る'!$W$6:$W$10005,$W5220)+COUNTIFS('月1回_1ヶ月前の在庫'!$V$6:$V$10005,$V5220,'月1回_1ヶ月前の在庫'!$W$6:$W$10005,$W5220)&gt;0),N(U5219),N(U5219)+1))</f>
        <v/>
      </c>
      <c r="V5220" s="19">
        <f>IF($B5220="","",TEXT($B5220,"0000"))</f>
        <v/>
      </c>
      <c r="W5220" s="19">
        <f>IF($I5220="","",IF(ISNUMBER($I5220),TEXT($I5220,"0"),$I5220))</f>
        <v/>
      </c>
    </row>
    <row r="5221">
      <c r="B5221" s="25" t="n"/>
      <c r="I5221" s="25" t="n"/>
      <c r="U5221" s="19">
        <f>IF($V5221&lt;&gt;'設定'!$C$4,N(U5220),IF(OR(NOT(COUNTIF('商品マスタ'!$B$6:$B$1005,$W5221)=0),COUNTIFS('①在庫を貼る'!$V$6:$V$10005,$V5221,'①在庫を貼る'!$W$6:$W$10005,$W5221)+COUNTIFS('月1回_1ヶ月前の在庫'!$V$6:$V$10005,$V5221,'月1回_1ヶ月前の在庫'!$W$6:$W$10005,$W5221)&gt;0),N(U5220),N(U5220)+1))</f>
        <v/>
      </c>
      <c r="V5221" s="19">
        <f>IF($B5221="","",TEXT($B5221,"0000"))</f>
        <v/>
      </c>
      <c r="W5221" s="19">
        <f>IF($I5221="","",IF(ISNUMBER($I5221),TEXT($I5221,"0"),$I5221))</f>
        <v/>
      </c>
    </row>
    <row r="5222">
      <c r="B5222" s="25" t="n"/>
      <c r="I5222" s="25" t="n"/>
      <c r="U5222" s="19">
        <f>IF($V5222&lt;&gt;'設定'!$C$4,N(U5221),IF(OR(NOT(COUNTIF('商品マスタ'!$B$6:$B$1005,$W5222)=0),COUNTIFS('①在庫を貼る'!$V$6:$V$10005,$V5222,'①在庫を貼る'!$W$6:$W$10005,$W5222)+COUNTIFS('月1回_1ヶ月前の在庫'!$V$6:$V$10005,$V5222,'月1回_1ヶ月前の在庫'!$W$6:$W$10005,$W5222)&gt;0),N(U5221),N(U5221)+1))</f>
        <v/>
      </c>
      <c r="V5222" s="19">
        <f>IF($B5222="","",TEXT($B5222,"0000"))</f>
        <v/>
      </c>
      <c r="W5222" s="19">
        <f>IF($I5222="","",IF(ISNUMBER($I5222),TEXT($I5222,"0"),$I5222))</f>
        <v/>
      </c>
    </row>
    <row r="5223">
      <c r="B5223" s="25" t="n"/>
      <c r="I5223" s="25" t="n"/>
      <c r="U5223" s="19">
        <f>IF($V5223&lt;&gt;'設定'!$C$4,N(U5222),IF(OR(NOT(COUNTIF('商品マスタ'!$B$6:$B$1005,$W5223)=0),COUNTIFS('①在庫を貼る'!$V$6:$V$10005,$V5223,'①在庫を貼る'!$W$6:$W$10005,$W5223)+COUNTIFS('月1回_1ヶ月前の在庫'!$V$6:$V$10005,$V5223,'月1回_1ヶ月前の在庫'!$W$6:$W$10005,$W5223)&gt;0),N(U5222),N(U5222)+1))</f>
        <v/>
      </c>
      <c r="V5223" s="19">
        <f>IF($B5223="","",TEXT($B5223,"0000"))</f>
        <v/>
      </c>
      <c r="W5223" s="19">
        <f>IF($I5223="","",IF(ISNUMBER($I5223),TEXT($I5223,"0"),$I5223))</f>
        <v/>
      </c>
    </row>
    <row r="5224">
      <c r="B5224" s="25" t="n"/>
      <c r="I5224" s="25" t="n"/>
      <c r="U5224" s="19">
        <f>IF($V5224&lt;&gt;'設定'!$C$4,N(U5223),IF(OR(NOT(COUNTIF('商品マスタ'!$B$6:$B$1005,$W5224)=0),COUNTIFS('①在庫を貼る'!$V$6:$V$10005,$V5224,'①在庫を貼る'!$W$6:$W$10005,$W5224)+COUNTIFS('月1回_1ヶ月前の在庫'!$V$6:$V$10005,$V5224,'月1回_1ヶ月前の在庫'!$W$6:$W$10005,$W5224)&gt;0),N(U5223),N(U5223)+1))</f>
        <v/>
      </c>
      <c r="V5224" s="19">
        <f>IF($B5224="","",TEXT($B5224,"0000"))</f>
        <v/>
      </c>
      <c r="W5224" s="19">
        <f>IF($I5224="","",IF(ISNUMBER($I5224),TEXT($I5224,"0"),$I5224))</f>
        <v/>
      </c>
    </row>
    <row r="5225">
      <c r="B5225" s="25" t="n"/>
      <c r="I5225" s="25" t="n"/>
      <c r="U5225" s="19">
        <f>IF($V5225&lt;&gt;'設定'!$C$4,N(U5224),IF(OR(NOT(COUNTIF('商品マスタ'!$B$6:$B$1005,$W5225)=0),COUNTIFS('①在庫を貼る'!$V$6:$V$10005,$V5225,'①在庫を貼る'!$W$6:$W$10005,$W5225)+COUNTIFS('月1回_1ヶ月前の在庫'!$V$6:$V$10005,$V5225,'月1回_1ヶ月前の在庫'!$W$6:$W$10005,$W5225)&gt;0),N(U5224),N(U5224)+1))</f>
        <v/>
      </c>
      <c r="V5225" s="19">
        <f>IF($B5225="","",TEXT($B5225,"0000"))</f>
        <v/>
      </c>
      <c r="W5225" s="19">
        <f>IF($I5225="","",IF(ISNUMBER($I5225),TEXT($I5225,"0"),$I5225))</f>
        <v/>
      </c>
    </row>
    <row r="5226">
      <c r="B5226" s="25" t="n"/>
      <c r="I5226" s="25" t="n"/>
      <c r="U5226" s="19">
        <f>IF($V5226&lt;&gt;'設定'!$C$4,N(U5225),IF(OR(NOT(COUNTIF('商品マスタ'!$B$6:$B$1005,$W5226)=0),COUNTIFS('①在庫を貼る'!$V$6:$V$10005,$V5226,'①在庫を貼る'!$W$6:$W$10005,$W5226)+COUNTIFS('月1回_1ヶ月前の在庫'!$V$6:$V$10005,$V5226,'月1回_1ヶ月前の在庫'!$W$6:$W$10005,$W5226)&gt;0),N(U5225),N(U5225)+1))</f>
        <v/>
      </c>
      <c r="V5226" s="19">
        <f>IF($B5226="","",TEXT($B5226,"0000"))</f>
        <v/>
      </c>
      <c r="W5226" s="19">
        <f>IF($I5226="","",IF(ISNUMBER($I5226),TEXT($I5226,"0"),$I5226))</f>
        <v/>
      </c>
    </row>
    <row r="5227">
      <c r="B5227" s="25" t="n"/>
      <c r="I5227" s="25" t="n"/>
      <c r="U5227" s="19">
        <f>IF($V5227&lt;&gt;'設定'!$C$4,N(U5226),IF(OR(NOT(COUNTIF('商品マスタ'!$B$6:$B$1005,$W5227)=0),COUNTIFS('①在庫を貼る'!$V$6:$V$10005,$V5227,'①在庫を貼る'!$W$6:$W$10005,$W5227)+COUNTIFS('月1回_1ヶ月前の在庫'!$V$6:$V$10005,$V5227,'月1回_1ヶ月前の在庫'!$W$6:$W$10005,$W5227)&gt;0),N(U5226),N(U5226)+1))</f>
        <v/>
      </c>
      <c r="V5227" s="19">
        <f>IF($B5227="","",TEXT($B5227,"0000"))</f>
        <v/>
      </c>
      <c r="W5227" s="19">
        <f>IF($I5227="","",IF(ISNUMBER($I5227),TEXT($I5227,"0"),$I5227))</f>
        <v/>
      </c>
    </row>
    <row r="5228">
      <c r="B5228" s="25" t="n"/>
      <c r="I5228" s="25" t="n"/>
      <c r="U5228" s="19">
        <f>IF($V5228&lt;&gt;'設定'!$C$4,N(U5227),IF(OR(NOT(COUNTIF('商品マスタ'!$B$6:$B$1005,$W5228)=0),COUNTIFS('①在庫を貼る'!$V$6:$V$10005,$V5228,'①在庫を貼る'!$W$6:$W$10005,$W5228)+COUNTIFS('月1回_1ヶ月前の在庫'!$V$6:$V$10005,$V5228,'月1回_1ヶ月前の在庫'!$W$6:$W$10005,$W5228)&gt;0),N(U5227),N(U5227)+1))</f>
        <v/>
      </c>
      <c r="V5228" s="19">
        <f>IF($B5228="","",TEXT($B5228,"0000"))</f>
        <v/>
      </c>
      <c r="W5228" s="19">
        <f>IF($I5228="","",IF(ISNUMBER($I5228),TEXT($I5228,"0"),$I5228))</f>
        <v/>
      </c>
    </row>
    <row r="5229">
      <c r="B5229" s="25" t="n"/>
      <c r="I5229" s="25" t="n"/>
      <c r="U5229" s="19">
        <f>IF($V5229&lt;&gt;'設定'!$C$4,N(U5228),IF(OR(NOT(COUNTIF('商品マスタ'!$B$6:$B$1005,$W5229)=0),COUNTIFS('①在庫を貼る'!$V$6:$V$10005,$V5229,'①在庫を貼る'!$W$6:$W$10005,$W5229)+COUNTIFS('月1回_1ヶ月前の在庫'!$V$6:$V$10005,$V5229,'月1回_1ヶ月前の在庫'!$W$6:$W$10005,$W5229)&gt;0),N(U5228),N(U5228)+1))</f>
        <v/>
      </c>
      <c r="V5229" s="19">
        <f>IF($B5229="","",TEXT($B5229,"0000"))</f>
        <v/>
      </c>
      <c r="W5229" s="19">
        <f>IF($I5229="","",IF(ISNUMBER($I5229),TEXT($I5229,"0"),$I5229))</f>
        <v/>
      </c>
    </row>
    <row r="5230">
      <c r="B5230" s="25" t="n"/>
      <c r="I5230" s="25" t="n"/>
      <c r="U5230" s="19">
        <f>IF($V5230&lt;&gt;'設定'!$C$4,N(U5229),IF(OR(NOT(COUNTIF('商品マスタ'!$B$6:$B$1005,$W5230)=0),COUNTIFS('①在庫を貼る'!$V$6:$V$10005,$V5230,'①在庫を貼る'!$W$6:$W$10005,$W5230)+COUNTIFS('月1回_1ヶ月前の在庫'!$V$6:$V$10005,$V5230,'月1回_1ヶ月前の在庫'!$W$6:$W$10005,$W5230)&gt;0),N(U5229),N(U5229)+1))</f>
        <v/>
      </c>
      <c r="V5230" s="19">
        <f>IF($B5230="","",TEXT($B5230,"0000"))</f>
        <v/>
      </c>
      <c r="W5230" s="19">
        <f>IF($I5230="","",IF(ISNUMBER($I5230),TEXT($I5230,"0"),$I5230))</f>
        <v/>
      </c>
    </row>
    <row r="5231">
      <c r="B5231" s="25" t="n"/>
      <c r="I5231" s="25" t="n"/>
      <c r="U5231" s="19">
        <f>IF($V5231&lt;&gt;'設定'!$C$4,N(U5230),IF(OR(NOT(COUNTIF('商品マスタ'!$B$6:$B$1005,$W5231)=0),COUNTIFS('①在庫を貼る'!$V$6:$V$10005,$V5231,'①在庫を貼る'!$W$6:$W$10005,$W5231)+COUNTIFS('月1回_1ヶ月前の在庫'!$V$6:$V$10005,$V5231,'月1回_1ヶ月前の在庫'!$W$6:$W$10005,$W5231)&gt;0),N(U5230),N(U5230)+1))</f>
        <v/>
      </c>
      <c r="V5231" s="19">
        <f>IF($B5231="","",TEXT($B5231,"0000"))</f>
        <v/>
      </c>
      <c r="W5231" s="19">
        <f>IF($I5231="","",IF(ISNUMBER($I5231),TEXT($I5231,"0"),$I5231))</f>
        <v/>
      </c>
    </row>
    <row r="5232">
      <c r="B5232" s="25" t="n"/>
      <c r="I5232" s="25" t="n"/>
      <c r="U5232" s="19">
        <f>IF($V5232&lt;&gt;'設定'!$C$4,N(U5231),IF(OR(NOT(COUNTIF('商品マスタ'!$B$6:$B$1005,$W5232)=0),COUNTIFS('①在庫を貼る'!$V$6:$V$10005,$V5232,'①在庫を貼る'!$W$6:$W$10005,$W5232)+COUNTIFS('月1回_1ヶ月前の在庫'!$V$6:$V$10005,$V5232,'月1回_1ヶ月前の在庫'!$W$6:$W$10005,$W5232)&gt;0),N(U5231),N(U5231)+1))</f>
        <v/>
      </c>
      <c r="V5232" s="19">
        <f>IF($B5232="","",TEXT($B5232,"0000"))</f>
        <v/>
      </c>
      <c r="W5232" s="19">
        <f>IF($I5232="","",IF(ISNUMBER($I5232),TEXT($I5232,"0"),$I5232))</f>
        <v/>
      </c>
    </row>
    <row r="5233">
      <c r="B5233" s="25" t="n"/>
      <c r="I5233" s="25" t="n"/>
      <c r="U5233" s="19">
        <f>IF($V5233&lt;&gt;'設定'!$C$4,N(U5232),IF(OR(NOT(COUNTIF('商品マスタ'!$B$6:$B$1005,$W5233)=0),COUNTIFS('①在庫を貼る'!$V$6:$V$10005,$V5233,'①在庫を貼る'!$W$6:$W$10005,$W5233)+COUNTIFS('月1回_1ヶ月前の在庫'!$V$6:$V$10005,$V5233,'月1回_1ヶ月前の在庫'!$W$6:$W$10005,$W5233)&gt;0),N(U5232),N(U5232)+1))</f>
        <v/>
      </c>
      <c r="V5233" s="19">
        <f>IF($B5233="","",TEXT($B5233,"0000"))</f>
        <v/>
      </c>
      <c r="W5233" s="19">
        <f>IF($I5233="","",IF(ISNUMBER($I5233),TEXT($I5233,"0"),$I5233))</f>
        <v/>
      </c>
    </row>
    <row r="5234">
      <c r="B5234" s="25" t="n"/>
      <c r="I5234" s="25" t="n"/>
      <c r="U5234" s="19">
        <f>IF($V5234&lt;&gt;'設定'!$C$4,N(U5233),IF(OR(NOT(COUNTIF('商品マスタ'!$B$6:$B$1005,$W5234)=0),COUNTIFS('①在庫を貼る'!$V$6:$V$10005,$V5234,'①在庫を貼る'!$W$6:$W$10005,$W5234)+COUNTIFS('月1回_1ヶ月前の在庫'!$V$6:$V$10005,$V5234,'月1回_1ヶ月前の在庫'!$W$6:$W$10005,$W5234)&gt;0),N(U5233),N(U5233)+1))</f>
        <v/>
      </c>
      <c r="V5234" s="19">
        <f>IF($B5234="","",TEXT($B5234,"0000"))</f>
        <v/>
      </c>
      <c r="W5234" s="19">
        <f>IF($I5234="","",IF(ISNUMBER($I5234),TEXT($I5234,"0"),$I5234))</f>
        <v/>
      </c>
    </row>
    <row r="5235">
      <c r="B5235" s="25" t="n"/>
      <c r="I5235" s="25" t="n"/>
      <c r="U5235" s="19">
        <f>IF($V5235&lt;&gt;'設定'!$C$4,N(U5234),IF(OR(NOT(COUNTIF('商品マスタ'!$B$6:$B$1005,$W5235)=0),COUNTIFS('①在庫を貼る'!$V$6:$V$10005,$V5235,'①在庫を貼る'!$W$6:$W$10005,$W5235)+COUNTIFS('月1回_1ヶ月前の在庫'!$V$6:$V$10005,$V5235,'月1回_1ヶ月前の在庫'!$W$6:$W$10005,$W5235)&gt;0),N(U5234),N(U5234)+1))</f>
        <v/>
      </c>
      <c r="V5235" s="19">
        <f>IF($B5235="","",TEXT($B5235,"0000"))</f>
        <v/>
      </c>
      <c r="W5235" s="19">
        <f>IF($I5235="","",IF(ISNUMBER($I5235),TEXT($I5235,"0"),$I5235))</f>
        <v/>
      </c>
    </row>
    <row r="5236">
      <c r="B5236" s="25" t="n"/>
      <c r="I5236" s="25" t="n"/>
      <c r="U5236" s="19">
        <f>IF($V5236&lt;&gt;'設定'!$C$4,N(U5235),IF(OR(NOT(COUNTIF('商品マスタ'!$B$6:$B$1005,$W5236)=0),COUNTIFS('①在庫を貼る'!$V$6:$V$10005,$V5236,'①在庫を貼る'!$W$6:$W$10005,$W5236)+COUNTIFS('月1回_1ヶ月前の在庫'!$V$6:$V$10005,$V5236,'月1回_1ヶ月前の在庫'!$W$6:$W$10005,$W5236)&gt;0),N(U5235),N(U5235)+1))</f>
        <v/>
      </c>
      <c r="V5236" s="19">
        <f>IF($B5236="","",TEXT($B5236,"0000"))</f>
        <v/>
      </c>
      <c r="W5236" s="19">
        <f>IF($I5236="","",IF(ISNUMBER($I5236),TEXT($I5236,"0"),$I5236))</f>
        <v/>
      </c>
    </row>
    <row r="5237">
      <c r="B5237" s="25" t="n"/>
      <c r="I5237" s="25" t="n"/>
      <c r="U5237" s="19">
        <f>IF($V5237&lt;&gt;'設定'!$C$4,N(U5236),IF(OR(NOT(COUNTIF('商品マスタ'!$B$6:$B$1005,$W5237)=0),COUNTIFS('①在庫を貼る'!$V$6:$V$10005,$V5237,'①在庫を貼る'!$W$6:$W$10005,$W5237)+COUNTIFS('月1回_1ヶ月前の在庫'!$V$6:$V$10005,$V5237,'月1回_1ヶ月前の在庫'!$W$6:$W$10005,$W5237)&gt;0),N(U5236),N(U5236)+1))</f>
        <v/>
      </c>
      <c r="V5237" s="19">
        <f>IF($B5237="","",TEXT($B5237,"0000"))</f>
        <v/>
      </c>
      <c r="W5237" s="19">
        <f>IF($I5237="","",IF(ISNUMBER($I5237),TEXT($I5237,"0"),$I5237))</f>
        <v/>
      </c>
    </row>
    <row r="5238">
      <c r="B5238" s="25" t="n"/>
      <c r="I5238" s="25" t="n"/>
      <c r="U5238" s="19">
        <f>IF($V5238&lt;&gt;'設定'!$C$4,N(U5237),IF(OR(NOT(COUNTIF('商品マスタ'!$B$6:$B$1005,$W5238)=0),COUNTIFS('①在庫を貼る'!$V$6:$V$10005,$V5238,'①在庫を貼る'!$W$6:$W$10005,$W5238)+COUNTIFS('月1回_1ヶ月前の在庫'!$V$6:$V$10005,$V5238,'月1回_1ヶ月前の在庫'!$W$6:$W$10005,$W5238)&gt;0),N(U5237),N(U5237)+1))</f>
        <v/>
      </c>
      <c r="V5238" s="19">
        <f>IF($B5238="","",TEXT($B5238,"0000"))</f>
        <v/>
      </c>
      <c r="W5238" s="19">
        <f>IF($I5238="","",IF(ISNUMBER($I5238),TEXT($I5238,"0"),$I5238))</f>
        <v/>
      </c>
    </row>
    <row r="5239">
      <c r="B5239" s="25" t="n"/>
      <c r="I5239" s="25" t="n"/>
      <c r="U5239" s="19">
        <f>IF($V5239&lt;&gt;'設定'!$C$4,N(U5238),IF(OR(NOT(COUNTIF('商品マスタ'!$B$6:$B$1005,$W5239)=0),COUNTIFS('①在庫を貼る'!$V$6:$V$10005,$V5239,'①在庫を貼る'!$W$6:$W$10005,$W5239)+COUNTIFS('月1回_1ヶ月前の在庫'!$V$6:$V$10005,$V5239,'月1回_1ヶ月前の在庫'!$W$6:$W$10005,$W5239)&gt;0),N(U5238),N(U5238)+1))</f>
        <v/>
      </c>
      <c r="V5239" s="19">
        <f>IF($B5239="","",TEXT($B5239,"0000"))</f>
        <v/>
      </c>
      <c r="W5239" s="19">
        <f>IF($I5239="","",IF(ISNUMBER($I5239),TEXT($I5239,"0"),$I5239))</f>
        <v/>
      </c>
    </row>
    <row r="5240">
      <c r="B5240" s="25" t="n"/>
      <c r="I5240" s="25" t="n"/>
      <c r="U5240" s="19">
        <f>IF($V5240&lt;&gt;'設定'!$C$4,N(U5239),IF(OR(NOT(COUNTIF('商品マスタ'!$B$6:$B$1005,$W5240)=0),COUNTIFS('①在庫を貼る'!$V$6:$V$10005,$V5240,'①在庫を貼る'!$W$6:$W$10005,$W5240)+COUNTIFS('月1回_1ヶ月前の在庫'!$V$6:$V$10005,$V5240,'月1回_1ヶ月前の在庫'!$W$6:$W$10005,$W5240)&gt;0),N(U5239),N(U5239)+1))</f>
        <v/>
      </c>
      <c r="V5240" s="19">
        <f>IF($B5240="","",TEXT($B5240,"0000"))</f>
        <v/>
      </c>
      <c r="W5240" s="19">
        <f>IF($I5240="","",IF(ISNUMBER($I5240),TEXT($I5240,"0"),$I5240))</f>
        <v/>
      </c>
    </row>
    <row r="5241">
      <c r="B5241" s="25" t="n"/>
      <c r="I5241" s="25" t="n"/>
      <c r="U5241" s="19">
        <f>IF($V5241&lt;&gt;'設定'!$C$4,N(U5240),IF(OR(NOT(COUNTIF('商品マスタ'!$B$6:$B$1005,$W5241)=0),COUNTIFS('①在庫を貼る'!$V$6:$V$10005,$V5241,'①在庫を貼る'!$W$6:$W$10005,$W5241)+COUNTIFS('月1回_1ヶ月前の在庫'!$V$6:$V$10005,$V5241,'月1回_1ヶ月前の在庫'!$W$6:$W$10005,$W5241)&gt;0),N(U5240),N(U5240)+1))</f>
        <v/>
      </c>
      <c r="V5241" s="19">
        <f>IF($B5241="","",TEXT($B5241,"0000"))</f>
        <v/>
      </c>
      <c r="W5241" s="19">
        <f>IF($I5241="","",IF(ISNUMBER($I5241),TEXT($I5241,"0"),$I5241))</f>
        <v/>
      </c>
    </row>
    <row r="5242">
      <c r="B5242" s="25" t="n"/>
      <c r="I5242" s="25" t="n"/>
      <c r="U5242" s="19">
        <f>IF($V5242&lt;&gt;'設定'!$C$4,N(U5241),IF(OR(NOT(COUNTIF('商品マスタ'!$B$6:$B$1005,$W5242)=0),COUNTIFS('①在庫を貼る'!$V$6:$V$10005,$V5242,'①在庫を貼る'!$W$6:$W$10005,$W5242)+COUNTIFS('月1回_1ヶ月前の在庫'!$V$6:$V$10005,$V5242,'月1回_1ヶ月前の在庫'!$W$6:$W$10005,$W5242)&gt;0),N(U5241),N(U5241)+1))</f>
        <v/>
      </c>
      <c r="V5242" s="19">
        <f>IF($B5242="","",TEXT($B5242,"0000"))</f>
        <v/>
      </c>
      <c r="W5242" s="19">
        <f>IF($I5242="","",IF(ISNUMBER($I5242),TEXT($I5242,"0"),$I5242))</f>
        <v/>
      </c>
    </row>
    <row r="5243">
      <c r="B5243" s="25" t="n"/>
      <c r="I5243" s="25" t="n"/>
      <c r="U5243" s="19">
        <f>IF($V5243&lt;&gt;'設定'!$C$4,N(U5242),IF(OR(NOT(COUNTIF('商品マスタ'!$B$6:$B$1005,$W5243)=0),COUNTIFS('①在庫を貼る'!$V$6:$V$10005,$V5243,'①在庫を貼る'!$W$6:$W$10005,$W5243)+COUNTIFS('月1回_1ヶ月前の在庫'!$V$6:$V$10005,$V5243,'月1回_1ヶ月前の在庫'!$W$6:$W$10005,$W5243)&gt;0),N(U5242),N(U5242)+1))</f>
        <v/>
      </c>
      <c r="V5243" s="19">
        <f>IF($B5243="","",TEXT($B5243,"0000"))</f>
        <v/>
      </c>
      <c r="W5243" s="19">
        <f>IF($I5243="","",IF(ISNUMBER($I5243),TEXT($I5243,"0"),$I5243))</f>
        <v/>
      </c>
    </row>
    <row r="5244">
      <c r="B5244" s="25" t="n"/>
      <c r="I5244" s="25" t="n"/>
      <c r="U5244" s="19">
        <f>IF($V5244&lt;&gt;'設定'!$C$4,N(U5243),IF(OR(NOT(COUNTIF('商品マスタ'!$B$6:$B$1005,$W5244)=0),COUNTIFS('①在庫を貼る'!$V$6:$V$10005,$V5244,'①在庫を貼る'!$W$6:$W$10005,$W5244)+COUNTIFS('月1回_1ヶ月前の在庫'!$V$6:$V$10005,$V5244,'月1回_1ヶ月前の在庫'!$W$6:$W$10005,$W5244)&gt;0),N(U5243),N(U5243)+1))</f>
        <v/>
      </c>
      <c r="V5244" s="19">
        <f>IF($B5244="","",TEXT($B5244,"0000"))</f>
        <v/>
      </c>
      <c r="W5244" s="19">
        <f>IF($I5244="","",IF(ISNUMBER($I5244),TEXT($I5244,"0"),$I5244))</f>
        <v/>
      </c>
    </row>
    <row r="5245">
      <c r="B5245" s="25" t="n"/>
      <c r="I5245" s="25" t="n"/>
      <c r="U5245" s="19">
        <f>IF($V5245&lt;&gt;'設定'!$C$4,N(U5244),IF(OR(NOT(COUNTIF('商品マスタ'!$B$6:$B$1005,$W5245)=0),COUNTIFS('①在庫を貼る'!$V$6:$V$10005,$V5245,'①在庫を貼る'!$W$6:$W$10005,$W5245)+COUNTIFS('月1回_1ヶ月前の在庫'!$V$6:$V$10005,$V5245,'月1回_1ヶ月前の在庫'!$W$6:$W$10005,$W5245)&gt;0),N(U5244),N(U5244)+1))</f>
        <v/>
      </c>
      <c r="V5245" s="19">
        <f>IF($B5245="","",TEXT($B5245,"0000"))</f>
        <v/>
      </c>
      <c r="W5245" s="19">
        <f>IF($I5245="","",IF(ISNUMBER($I5245),TEXT($I5245,"0"),$I5245))</f>
        <v/>
      </c>
    </row>
    <row r="5246">
      <c r="B5246" s="25" t="n"/>
      <c r="I5246" s="25" t="n"/>
      <c r="U5246" s="19">
        <f>IF($V5246&lt;&gt;'設定'!$C$4,N(U5245),IF(OR(NOT(COUNTIF('商品マスタ'!$B$6:$B$1005,$W5246)=0),COUNTIFS('①在庫を貼る'!$V$6:$V$10005,$V5246,'①在庫を貼る'!$W$6:$W$10005,$W5246)+COUNTIFS('月1回_1ヶ月前の在庫'!$V$6:$V$10005,$V5246,'月1回_1ヶ月前の在庫'!$W$6:$W$10005,$W5246)&gt;0),N(U5245),N(U5245)+1))</f>
        <v/>
      </c>
      <c r="V5246" s="19">
        <f>IF($B5246="","",TEXT($B5246,"0000"))</f>
        <v/>
      </c>
      <c r="W5246" s="19">
        <f>IF($I5246="","",IF(ISNUMBER($I5246),TEXT($I5246,"0"),$I5246))</f>
        <v/>
      </c>
    </row>
    <row r="5247">
      <c r="B5247" s="25" t="n"/>
      <c r="I5247" s="25" t="n"/>
      <c r="U5247" s="19">
        <f>IF($V5247&lt;&gt;'設定'!$C$4,N(U5246),IF(OR(NOT(COUNTIF('商品マスタ'!$B$6:$B$1005,$W5247)=0),COUNTIFS('①在庫を貼る'!$V$6:$V$10005,$V5247,'①在庫を貼る'!$W$6:$W$10005,$W5247)+COUNTIFS('月1回_1ヶ月前の在庫'!$V$6:$V$10005,$V5247,'月1回_1ヶ月前の在庫'!$W$6:$W$10005,$W5247)&gt;0),N(U5246),N(U5246)+1))</f>
        <v/>
      </c>
      <c r="V5247" s="19">
        <f>IF($B5247="","",TEXT($B5247,"0000"))</f>
        <v/>
      </c>
      <c r="W5247" s="19">
        <f>IF($I5247="","",IF(ISNUMBER($I5247),TEXT($I5247,"0"),$I5247))</f>
        <v/>
      </c>
    </row>
    <row r="5248">
      <c r="B5248" s="25" t="n"/>
      <c r="I5248" s="25" t="n"/>
      <c r="U5248" s="19">
        <f>IF($V5248&lt;&gt;'設定'!$C$4,N(U5247),IF(OR(NOT(COUNTIF('商品マスタ'!$B$6:$B$1005,$W5248)=0),COUNTIFS('①在庫を貼る'!$V$6:$V$10005,$V5248,'①在庫を貼る'!$W$6:$W$10005,$W5248)+COUNTIFS('月1回_1ヶ月前の在庫'!$V$6:$V$10005,$V5248,'月1回_1ヶ月前の在庫'!$W$6:$W$10005,$W5248)&gt;0),N(U5247),N(U5247)+1))</f>
        <v/>
      </c>
      <c r="V5248" s="19">
        <f>IF($B5248="","",TEXT($B5248,"0000"))</f>
        <v/>
      </c>
      <c r="W5248" s="19">
        <f>IF($I5248="","",IF(ISNUMBER($I5248),TEXT($I5248,"0"),$I5248))</f>
        <v/>
      </c>
    </row>
    <row r="5249">
      <c r="B5249" s="25" t="n"/>
      <c r="I5249" s="25" t="n"/>
      <c r="U5249" s="19">
        <f>IF($V5249&lt;&gt;'設定'!$C$4,N(U5248),IF(OR(NOT(COUNTIF('商品マスタ'!$B$6:$B$1005,$W5249)=0),COUNTIFS('①在庫を貼る'!$V$6:$V$10005,$V5249,'①在庫を貼る'!$W$6:$W$10005,$W5249)+COUNTIFS('月1回_1ヶ月前の在庫'!$V$6:$V$10005,$V5249,'月1回_1ヶ月前の在庫'!$W$6:$W$10005,$W5249)&gt;0),N(U5248),N(U5248)+1))</f>
        <v/>
      </c>
      <c r="V5249" s="19">
        <f>IF($B5249="","",TEXT($B5249,"0000"))</f>
        <v/>
      </c>
      <c r="W5249" s="19">
        <f>IF($I5249="","",IF(ISNUMBER($I5249),TEXT($I5249,"0"),$I5249))</f>
        <v/>
      </c>
    </row>
    <row r="5250">
      <c r="B5250" s="25" t="n"/>
      <c r="I5250" s="25" t="n"/>
      <c r="U5250" s="19">
        <f>IF($V5250&lt;&gt;'設定'!$C$4,N(U5249),IF(OR(NOT(COUNTIF('商品マスタ'!$B$6:$B$1005,$W5250)=0),COUNTIFS('①在庫を貼る'!$V$6:$V$10005,$V5250,'①在庫を貼る'!$W$6:$W$10005,$W5250)+COUNTIFS('月1回_1ヶ月前の在庫'!$V$6:$V$10005,$V5250,'月1回_1ヶ月前の在庫'!$W$6:$W$10005,$W5250)&gt;0),N(U5249),N(U5249)+1))</f>
        <v/>
      </c>
      <c r="V5250" s="19">
        <f>IF($B5250="","",TEXT($B5250,"0000"))</f>
        <v/>
      </c>
      <c r="W5250" s="19">
        <f>IF($I5250="","",IF(ISNUMBER($I5250),TEXT($I5250,"0"),$I5250))</f>
        <v/>
      </c>
    </row>
    <row r="5251">
      <c r="B5251" s="25" t="n"/>
      <c r="I5251" s="25" t="n"/>
      <c r="U5251" s="19">
        <f>IF($V5251&lt;&gt;'設定'!$C$4,N(U5250),IF(OR(NOT(COUNTIF('商品マスタ'!$B$6:$B$1005,$W5251)=0),COUNTIFS('①在庫を貼る'!$V$6:$V$10005,$V5251,'①在庫を貼る'!$W$6:$W$10005,$W5251)+COUNTIFS('月1回_1ヶ月前の在庫'!$V$6:$V$10005,$V5251,'月1回_1ヶ月前の在庫'!$W$6:$W$10005,$W5251)&gt;0),N(U5250),N(U5250)+1))</f>
        <v/>
      </c>
      <c r="V5251" s="19">
        <f>IF($B5251="","",TEXT($B5251,"0000"))</f>
        <v/>
      </c>
      <c r="W5251" s="19">
        <f>IF($I5251="","",IF(ISNUMBER($I5251),TEXT($I5251,"0"),$I5251))</f>
        <v/>
      </c>
    </row>
    <row r="5252">
      <c r="B5252" s="25" t="n"/>
      <c r="I5252" s="25" t="n"/>
      <c r="U5252" s="19">
        <f>IF($V5252&lt;&gt;'設定'!$C$4,N(U5251),IF(OR(NOT(COUNTIF('商品マスタ'!$B$6:$B$1005,$W5252)=0),COUNTIFS('①在庫を貼る'!$V$6:$V$10005,$V5252,'①在庫を貼る'!$W$6:$W$10005,$W5252)+COUNTIFS('月1回_1ヶ月前の在庫'!$V$6:$V$10005,$V5252,'月1回_1ヶ月前の在庫'!$W$6:$W$10005,$W5252)&gt;0),N(U5251),N(U5251)+1))</f>
        <v/>
      </c>
      <c r="V5252" s="19">
        <f>IF($B5252="","",TEXT($B5252,"0000"))</f>
        <v/>
      </c>
      <c r="W5252" s="19">
        <f>IF($I5252="","",IF(ISNUMBER($I5252),TEXT($I5252,"0"),$I5252))</f>
        <v/>
      </c>
    </row>
    <row r="5253">
      <c r="B5253" s="25" t="n"/>
      <c r="I5253" s="25" t="n"/>
      <c r="U5253" s="19">
        <f>IF($V5253&lt;&gt;'設定'!$C$4,N(U5252),IF(OR(NOT(COUNTIF('商品マスタ'!$B$6:$B$1005,$W5253)=0),COUNTIFS('①在庫を貼る'!$V$6:$V$10005,$V5253,'①在庫を貼る'!$W$6:$W$10005,$W5253)+COUNTIFS('月1回_1ヶ月前の在庫'!$V$6:$V$10005,$V5253,'月1回_1ヶ月前の在庫'!$W$6:$W$10005,$W5253)&gt;0),N(U5252),N(U5252)+1))</f>
        <v/>
      </c>
      <c r="V5253" s="19">
        <f>IF($B5253="","",TEXT($B5253,"0000"))</f>
        <v/>
      </c>
      <c r="W5253" s="19">
        <f>IF($I5253="","",IF(ISNUMBER($I5253),TEXT($I5253,"0"),$I5253))</f>
        <v/>
      </c>
    </row>
    <row r="5254">
      <c r="B5254" s="25" t="n"/>
      <c r="I5254" s="25" t="n"/>
      <c r="U5254" s="19">
        <f>IF($V5254&lt;&gt;'設定'!$C$4,N(U5253),IF(OR(NOT(COUNTIF('商品マスタ'!$B$6:$B$1005,$W5254)=0),COUNTIFS('①在庫を貼る'!$V$6:$V$10005,$V5254,'①在庫を貼る'!$W$6:$W$10005,$W5254)+COUNTIFS('月1回_1ヶ月前の在庫'!$V$6:$V$10005,$V5254,'月1回_1ヶ月前の在庫'!$W$6:$W$10005,$W5254)&gt;0),N(U5253),N(U5253)+1))</f>
        <v/>
      </c>
      <c r="V5254" s="19">
        <f>IF($B5254="","",TEXT($B5254,"0000"))</f>
        <v/>
      </c>
      <c r="W5254" s="19">
        <f>IF($I5254="","",IF(ISNUMBER($I5254),TEXT($I5254,"0"),$I5254))</f>
        <v/>
      </c>
    </row>
    <row r="5255">
      <c r="B5255" s="25" t="n"/>
      <c r="I5255" s="25" t="n"/>
      <c r="U5255" s="19">
        <f>IF($V5255&lt;&gt;'設定'!$C$4,N(U5254),IF(OR(NOT(COUNTIF('商品マスタ'!$B$6:$B$1005,$W5255)=0),COUNTIFS('①在庫を貼る'!$V$6:$V$10005,$V5255,'①在庫を貼る'!$W$6:$W$10005,$W5255)+COUNTIFS('月1回_1ヶ月前の在庫'!$V$6:$V$10005,$V5255,'月1回_1ヶ月前の在庫'!$W$6:$W$10005,$W5255)&gt;0),N(U5254),N(U5254)+1))</f>
        <v/>
      </c>
      <c r="V5255" s="19">
        <f>IF($B5255="","",TEXT($B5255,"0000"))</f>
        <v/>
      </c>
      <c r="W5255" s="19">
        <f>IF($I5255="","",IF(ISNUMBER($I5255),TEXT($I5255,"0"),$I5255))</f>
        <v/>
      </c>
    </row>
    <row r="5256">
      <c r="B5256" s="25" t="n"/>
      <c r="I5256" s="25" t="n"/>
      <c r="U5256" s="19">
        <f>IF($V5256&lt;&gt;'設定'!$C$4,N(U5255),IF(OR(NOT(COUNTIF('商品マスタ'!$B$6:$B$1005,$W5256)=0),COUNTIFS('①在庫を貼る'!$V$6:$V$10005,$V5256,'①在庫を貼る'!$W$6:$W$10005,$W5256)+COUNTIFS('月1回_1ヶ月前の在庫'!$V$6:$V$10005,$V5256,'月1回_1ヶ月前の在庫'!$W$6:$W$10005,$W5256)&gt;0),N(U5255),N(U5255)+1))</f>
        <v/>
      </c>
      <c r="V5256" s="19">
        <f>IF($B5256="","",TEXT($B5256,"0000"))</f>
        <v/>
      </c>
      <c r="W5256" s="19">
        <f>IF($I5256="","",IF(ISNUMBER($I5256),TEXT($I5256,"0"),$I5256))</f>
        <v/>
      </c>
    </row>
    <row r="5257">
      <c r="B5257" s="25" t="n"/>
      <c r="I5257" s="25" t="n"/>
      <c r="U5257" s="19">
        <f>IF($V5257&lt;&gt;'設定'!$C$4,N(U5256),IF(OR(NOT(COUNTIF('商品マスタ'!$B$6:$B$1005,$W5257)=0),COUNTIFS('①在庫を貼る'!$V$6:$V$10005,$V5257,'①在庫を貼る'!$W$6:$W$10005,$W5257)+COUNTIFS('月1回_1ヶ月前の在庫'!$V$6:$V$10005,$V5257,'月1回_1ヶ月前の在庫'!$W$6:$W$10005,$W5257)&gt;0),N(U5256),N(U5256)+1))</f>
        <v/>
      </c>
      <c r="V5257" s="19">
        <f>IF($B5257="","",TEXT($B5257,"0000"))</f>
        <v/>
      </c>
      <c r="W5257" s="19">
        <f>IF($I5257="","",IF(ISNUMBER($I5257),TEXT($I5257,"0"),$I5257))</f>
        <v/>
      </c>
    </row>
    <row r="5258">
      <c r="B5258" s="25" t="n"/>
      <c r="I5258" s="25" t="n"/>
      <c r="U5258" s="19">
        <f>IF($V5258&lt;&gt;'設定'!$C$4,N(U5257),IF(OR(NOT(COUNTIF('商品マスタ'!$B$6:$B$1005,$W5258)=0),COUNTIFS('①在庫を貼る'!$V$6:$V$10005,$V5258,'①在庫を貼る'!$W$6:$W$10005,$W5258)+COUNTIFS('月1回_1ヶ月前の在庫'!$V$6:$V$10005,$V5258,'月1回_1ヶ月前の在庫'!$W$6:$W$10005,$W5258)&gt;0),N(U5257),N(U5257)+1))</f>
        <v/>
      </c>
      <c r="V5258" s="19">
        <f>IF($B5258="","",TEXT($B5258,"0000"))</f>
        <v/>
      </c>
      <c r="W5258" s="19">
        <f>IF($I5258="","",IF(ISNUMBER($I5258),TEXT($I5258,"0"),$I5258))</f>
        <v/>
      </c>
    </row>
    <row r="5259">
      <c r="B5259" s="25" t="n"/>
      <c r="I5259" s="25" t="n"/>
      <c r="U5259" s="19">
        <f>IF($V5259&lt;&gt;'設定'!$C$4,N(U5258),IF(OR(NOT(COUNTIF('商品マスタ'!$B$6:$B$1005,$W5259)=0),COUNTIFS('①在庫を貼る'!$V$6:$V$10005,$V5259,'①在庫を貼る'!$W$6:$W$10005,$W5259)+COUNTIFS('月1回_1ヶ月前の在庫'!$V$6:$V$10005,$V5259,'月1回_1ヶ月前の在庫'!$W$6:$W$10005,$W5259)&gt;0),N(U5258),N(U5258)+1))</f>
        <v/>
      </c>
      <c r="V5259" s="19">
        <f>IF($B5259="","",TEXT($B5259,"0000"))</f>
        <v/>
      </c>
      <c r="W5259" s="19">
        <f>IF($I5259="","",IF(ISNUMBER($I5259),TEXT($I5259,"0"),$I5259))</f>
        <v/>
      </c>
    </row>
    <row r="5260">
      <c r="B5260" s="25" t="n"/>
      <c r="I5260" s="25" t="n"/>
      <c r="U5260" s="19">
        <f>IF($V5260&lt;&gt;'設定'!$C$4,N(U5259),IF(OR(NOT(COUNTIF('商品マスタ'!$B$6:$B$1005,$W5260)=0),COUNTIFS('①在庫を貼る'!$V$6:$V$10005,$V5260,'①在庫を貼る'!$W$6:$W$10005,$W5260)+COUNTIFS('月1回_1ヶ月前の在庫'!$V$6:$V$10005,$V5260,'月1回_1ヶ月前の在庫'!$W$6:$W$10005,$W5260)&gt;0),N(U5259),N(U5259)+1))</f>
        <v/>
      </c>
      <c r="V5260" s="19">
        <f>IF($B5260="","",TEXT($B5260,"0000"))</f>
        <v/>
      </c>
      <c r="W5260" s="19">
        <f>IF($I5260="","",IF(ISNUMBER($I5260),TEXT($I5260,"0"),$I5260))</f>
        <v/>
      </c>
    </row>
    <row r="5261">
      <c r="B5261" s="25" t="n"/>
      <c r="I5261" s="25" t="n"/>
      <c r="U5261" s="19">
        <f>IF($V5261&lt;&gt;'設定'!$C$4,N(U5260),IF(OR(NOT(COUNTIF('商品マスタ'!$B$6:$B$1005,$W5261)=0),COUNTIFS('①在庫を貼る'!$V$6:$V$10005,$V5261,'①在庫を貼る'!$W$6:$W$10005,$W5261)+COUNTIFS('月1回_1ヶ月前の在庫'!$V$6:$V$10005,$V5261,'月1回_1ヶ月前の在庫'!$W$6:$W$10005,$W5261)&gt;0),N(U5260),N(U5260)+1))</f>
        <v/>
      </c>
      <c r="V5261" s="19">
        <f>IF($B5261="","",TEXT($B5261,"0000"))</f>
        <v/>
      </c>
      <c r="W5261" s="19">
        <f>IF($I5261="","",IF(ISNUMBER($I5261),TEXT($I5261,"0"),$I5261))</f>
        <v/>
      </c>
    </row>
    <row r="5262">
      <c r="B5262" s="25" t="n"/>
      <c r="I5262" s="25" t="n"/>
      <c r="U5262" s="19">
        <f>IF($V5262&lt;&gt;'設定'!$C$4,N(U5261),IF(OR(NOT(COUNTIF('商品マスタ'!$B$6:$B$1005,$W5262)=0),COUNTIFS('①在庫を貼る'!$V$6:$V$10005,$V5262,'①在庫を貼る'!$W$6:$W$10005,$W5262)+COUNTIFS('月1回_1ヶ月前の在庫'!$V$6:$V$10005,$V5262,'月1回_1ヶ月前の在庫'!$W$6:$W$10005,$W5262)&gt;0),N(U5261),N(U5261)+1))</f>
        <v/>
      </c>
      <c r="V5262" s="19">
        <f>IF($B5262="","",TEXT($B5262,"0000"))</f>
        <v/>
      </c>
      <c r="W5262" s="19">
        <f>IF($I5262="","",IF(ISNUMBER($I5262),TEXT($I5262,"0"),$I5262))</f>
        <v/>
      </c>
    </row>
    <row r="5263">
      <c r="B5263" s="25" t="n"/>
      <c r="I5263" s="25" t="n"/>
      <c r="U5263" s="19">
        <f>IF($V5263&lt;&gt;'設定'!$C$4,N(U5262),IF(OR(NOT(COUNTIF('商品マスタ'!$B$6:$B$1005,$W5263)=0),COUNTIFS('①在庫を貼る'!$V$6:$V$10005,$V5263,'①在庫を貼る'!$W$6:$W$10005,$W5263)+COUNTIFS('月1回_1ヶ月前の在庫'!$V$6:$V$10005,$V5263,'月1回_1ヶ月前の在庫'!$W$6:$W$10005,$W5263)&gt;0),N(U5262),N(U5262)+1))</f>
        <v/>
      </c>
      <c r="V5263" s="19">
        <f>IF($B5263="","",TEXT($B5263,"0000"))</f>
        <v/>
      </c>
      <c r="W5263" s="19">
        <f>IF($I5263="","",IF(ISNUMBER($I5263),TEXT($I5263,"0"),$I5263))</f>
        <v/>
      </c>
    </row>
    <row r="5264">
      <c r="B5264" s="25" t="n"/>
      <c r="I5264" s="25" t="n"/>
      <c r="U5264" s="19">
        <f>IF($V5264&lt;&gt;'設定'!$C$4,N(U5263),IF(OR(NOT(COUNTIF('商品マスタ'!$B$6:$B$1005,$W5264)=0),COUNTIFS('①在庫を貼る'!$V$6:$V$10005,$V5264,'①在庫を貼る'!$W$6:$W$10005,$W5264)+COUNTIFS('月1回_1ヶ月前の在庫'!$V$6:$V$10005,$V5264,'月1回_1ヶ月前の在庫'!$W$6:$W$10005,$W5264)&gt;0),N(U5263),N(U5263)+1))</f>
        <v/>
      </c>
      <c r="V5264" s="19">
        <f>IF($B5264="","",TEXT($B5264,"0000"))</f>
        <v/>
      </c>
      <c r="W5264" s="19">
        <f>IF($I5264="","",IF(ISNUMBER($I5264),TEXT($I5264,"0"),$I5264))</f>
        <v/>
      </c>
    </row>
    <row r="5265">
      <c r="B5265" s="25" t="n"/>
      <c r="I5265" s="25" t="n"/>
      <c r="U5265" s="19">
        <f>IF($V5265&lt;&gt;'設定'!$C$4,N(U5264),IF(OR(NOT(COUNTIF('商品マスタ'!$B$6:$B$1005,$W5265)=0),COUNTIFS('①在庫を貼る'!$V$6:$V$10005,$V5265,'①在庫を貼る'!$W$6:$W$10005,$W5265)+COUNTIFS('月1回_1ヶ月前の在庫'!$V$6:$V$10005,$V5265,'月1回_1ヶ月前の在庫'!$W$6:$W$10005,$W5265)&gt;0),N(U5264),N(U5264)+1))</f>
        <v/>
      </c>
      <c r="V5265" s="19">
        <f>IF($B5265="","",TEXT($B5265,"0000"))</f>
        <v/>
      </c>
      <c r="W5265" s="19">
        <f>IF($I5265="","",IF(ISNUMBER($I5265),TEXT($I5265,"0"),$I5265))</f>
        <v/>
      </c>
    </row>
    <row r="5266">
      <c r="B5266" s="25" t="n"/>
      <c r="I5266" s="25" t="n"/>
      <c r="U5266" s="19">
        <f>IF($V5266&lt;&gt;'設定'!$C$4,N(U5265),IF(OR(NOT(COUNTIF('商品マスタ'!$B$6:$B$1005,$W5266)=0),COUNTIFS('①在庫を貼る'!$V$6:$V$10005,$V5266,'①在庫を貼る'!$W$6:$W$10005,$W5266)+COUNTIFS('月1回_1ヶ月前の在庫'!$V$6:$V$10005,$V5266,'月1回_1ヶ月前の在庫'!$W$6:$W$10005,$W5266)&gt;0),N(U5265),N(U5265)+1))</f>
        <v/>
      </c>
      <c r="V5266" s="19">
        <f>IF($B5266="","",TEXT($B5266,"0000"))</f>
        <v/>
      </c>
      <c r="W5266" s="19">
        <f>IF($I5266="","",IF(ISNUMBER($I5266),TEXT($I5266,"0"),$I5266))</f>
        <v/>
      </c>
    </row>
    <row r="5267">
      <c r="B5267" s="25" t="n"/>
      <c r="I5267" s="25" t="n"/>
      <c r="U5267" s="19">
        <f>IF($V5267&lt;&gt;'設定'!$C$4,N(U5266),IF(OR(NOT(COUNTIF('商品マスタ'!$B$6:$B$1005,$W5267)=0),COUNTIFS('①在庫を貼る'!$V$6:$V$10005,$V5267,'①在庫を貼る'!$W$6:$W$10005,$W5267)+COUNTIFS('月1回_1ヶ月前の在庫'!$V$6:$V$10005,$V5267,'月1回_1ヶ月前の在庫'!$W$6:$W$10005,$W5267)&gt;0),N(U5266),N(U5266)+1))</f>
        <v/>
      </c>
      <c r="V5267" s="19">
        <f>IF($B5267="","",TEXT($B5267,"0000"))</f>
        <v/>
      </c>
      <c r="W5267" s="19">
        <f>IF($I5267="","",IF(ISNUMBER($I5267),TEXT($I5267,"0"),$I5267))</f>
        <v/>
      </c>
    </row>
    <row r="5268">
      <c r="B5268" s="25" t="n"/>
      <c r="I5268" s="25" t="n"/>
      <c r="U5268" s="19">
        <f>IF($V5268&lt;&gt;'設定'!$C$4,N(U5267),IF(OR(NOT(COUNTIF('商品マスタ'!$B$6:$B$1005,$W5268)=0),COUNTIFS('①在庫を貼る'!$V$6:$V$10005,$V5268,'①在庫を貼る'!$W$6:$W$10005,$W5268)+COUNTIFS('月1回_1ヶ月前の在庫'!$V$6:$V$10005,$V5268,'月1回_1ヶ月前の在庫'!$W$6:$W$10005,$W5268)&gt;0),N(U5267),N(U5267)+1))</f>
        <v/>
      </c>
      <c r="V5268" s="19">
        <f>IF($B5268="","",TEXT($B5268,"0000"))</f>
        <v/>
      </c>
      <c r="W5268" s="19">
        <f>IF($I5268="","",IF(ISNUMBER($I5268),TEXT($I5268,"0"),$I5268))</f>
        <v/>
      </c>
    </row>
    <row r="5269">
      <c r="B5269" s="25" t="n"/>
      <c r="I5269" s="25" t="n"/>
      <c r="U5269" s="19">
        <f>IF($V5269&lt;&gt;'設定'!$C$4,N(U5268),IF(OR(NOT(COUNTIF('商品マスタ'!$B$6:$B$1005,$W5269)=0),COUNTIFS('①在庫を貼る'!$V$6:$V$10005,$V5269,'①在庫を貼る'!$W$6:$W$10005,$W5269)+COUNTIFS('月1回_1ヶ月前の在庫'!$V$6:$V$10005,$V5269,'月1回_1ヶ月前の在庫'!$W$6:$W$10005,$W5269)&gt;0),N(U5268),N(U5268)+1))</f>
        <v/>
      </c>
      <c r="V5269" s="19">
        <f>IF($B5269="","",TEXT($B5269,"0000"))</f>
        <v/>
      </c>
      <c r="W5269" s="19">
        <f>IF($I5269="","",IF(ISNUMBER($I5269),TEXT($I5269,"0"),$I5269))</f>
        <v/>
      </c>
    </row>
    <row r="5270">
      <c r="B5270" s="25" t="n"/>
      <c r="I5270" s="25" t="n"/>
      <c r="U5270" s="19">
        <f>IF($V5270&lt;&gt;'設定'!$C$4,N(U5269),IF(OR(NOT(COUNTIF('商品マスタ'!$B$6:$B$1005,$W5270)=0),COUNTIFS('①在庫を貼る'!$V$6:$V$10005,$V5270,'①在庫を貼る'!$W$6:$W$10005,$W5270)+COUNTIFS('月1回_1ヶ月前の在庫'!$V$6:$V$10005,$V5270,'月1回_1ヶ月前の在庫'!$W$6:$W$10005,$W5270)&gt;0),N(U5269),N(U5269)+1))</f>
        <v/>
      </c>
      <c r="V5270" s="19">
        <f>IF($B5270="","",TEXT($B5270,"0000"))</f>
        <v/>
      </c>
      <c r="W5270" s="19">
        <f>IF($I5270="","",IF(ISNUMBER($I5270),TEXT($I5270,"0"),$I5270))</f>
        <v/>
      </c>
    </row>
    <row r="5271">
      <c r="B5271" s="25" t="n"/>
      <c r="I5271" s="25" t="n"/>
      <c r="U5271" s="19">
        <f>IF($V5271&lt;&gt;'設定'!$C$4,N(U5270),IF(OR(NOT(COUNTIF('商品マスタ'!$B$6:$B$1005,$W5271)=0),COUNTIFS('①在庫を貼る'!$V$6:$V$10005,$V5271,'①在庫を貼る'!$W$6:$W$10005,$W5271)+COUNTIFS('月1回_1ヶ月前の在庫'!$V$6:$V$10005,$V5271,'月1回_1ヶ月前の在庫'!$W$6:$W$10005,$W5271)&gt;0),N(U5270),N(U5270)+1))</f>
        <v/>
      </c>
      <c r="V5271" s="19">
        <f>IF($B5271="","",TEXT($B5271,"0000"))</f>
        <v/>
      </c>
      <c r="W5271" s="19">
        <f>IF($I5271="","",IF(ISNUMBER($I5271),TEXT($I5271,"0"),$I5271))</f>
        <v/>
      </c>
    </row>
    <row r="5272">
      <c r="B5272" s="25" t="n"/>
      <c r="I5272" s="25" t="n"/>
      <c r="U5272" s="19">
        <f>IF($V5272&lt;&gt;'設定'!$C$4,N(U5271),IF(OR(NOT(COUNTIF('商品マスタ'!$B$6:$B$1005,$W5272)=0),COUNTIFS('①在庫を貼る'!$V$6:$V$10005,$V5272,'①在庫を貼る'!$W$6:$W$10005,$W5272)+COUNTIFS('月1回_1ヶ月前の在庫'!$V$6:$V$10005,$V5272,'月1回_1ヶ月前の在庫'!$W$6:$W$10005,$W5272)&gt;0),N(U5271),N(U5271)+1))</f>
        <v/>
      </c>
      <c r="V5272" s="19">
        <f>IF($B5272="","",TEXT($B5272,"0000"))</f>
        <v/>
      </c>
      <c r="W5272" s="19">
        <f>IF($I5272="","",IF(ISNUMBER($I5272),TEXT($I5272,"0"),$I5272))</f>
        <v/>
      </c>
    </row>
    <row r="5273">
      <c r="B5273" s="25" t="n"/>
      <c r="I5273" s="25" t="n"/>
      <c r="U5273" s="19">
        <f>IF($V5273&lt;&gt;'設定'!$C$4,N(U5272),IF(OR(NOT(COUNTIF('商品マスタ'!$B$6:$B$1005,$W5273)=0),COUNTIFS('①在庫を貼る'!$V$6:$V$10005,$V5273,'①在庫を貼る'!$W$6:$W$10005,$W5273)+COUNTIFS('月1回_1ヶ月前の在庫'!$V$6:$V$10005,$V5273,'月1回_1ヶ月前の在庫'!$W$6:$W$10005,$W5273)&gt;0),N(U5272),N(U5272)+1))</f>
        <v/>
      </c>
      <c r="V5273" s="19">
        <f>IF($B5273="","",TEXT($B5273,"0000"))</f>
        <v/>
      </c>
      <c r="W5273" s="19">
        <f>IF($I5273="","",IF(ISNUMBER($I5273),TEXT($I5273,"0"),$I5273))</f>
        <v/>
      </c>
    </row>
    <row r="5274">
      <c r="B5274" s="25" t="n"/>
      <c r="I5274" s="25" t="n"/>
      <c r="U5274" s="19">
        <f>IF($V5274&lt;&gt;'設定'!$C$4,N(U5273),IF(OR(NOT(COUNTIF('商品マスタ'!$B$6:$B$1005,$W5274)=0),COUNTIFS('①在庫を貼る'!$V$6:$V$10005,$V5274,'①在庫を貼る'!$W$6:$W$10005,$W5274)+COUNTIFS('月1回_1ヶ月前の在庫'!$V$6:$V$10005,$V5274,'月1回_1ヶ月前の在庫'!$W$6:$W$10005,$W5274)&gt;0),N(U5273),N(U5273)+1))</f>
        <v/>
      </c>
      <c r="V5274" s="19">
        <f>IF($B5274="","",TEXT($B5274,"0000"))</f>
        <v/>
      </c>
      <c r="W5274" s="19">
        <f>IF($I5274="","",IF(ISNUMBER($I5274),TEXT($I5274,"0"),$I5274))</f>
        <v/>
      </c>
    </row>
    <row r="5275">
      <c r="B5275" s="25" t="n"/>
      <c r="I5275" s="25" t="n"/>
      <c r="U5275" s="19">
        <f>IF($V5275&lt;&gt;'設定'!$C$4,N(U5274),IF(OR(NOT(COUNTIF('商品マスタ'!$B$6:$B$1005,$W5275)=0),COUNTIFS('①在庫を貼る'!$V$6:$V$10005,$V5275,'①在庫を貼る'!$W$6:$W$10005,$W5275)+COUNTIFS('月1回_1ヶ月前の在庫'!$V$6:$V$10005,$V5275,'月1回_1ヶ月前の在庫'!$W$6:$W$10005,$W5275)&gt;0),N(U5274),N(U5274)+1))</f>
        <v/>
      </c>
      <c r="V5275" s="19">
        <f>IF($B5275="","",TEXT($B5275,"0000"))</f>
        <v/>
      </c>
      <c r="W5275" s="19">
        <f>IF($I5275="","",IF(ISNUMBER($I5275),TEXT($I5275,"0"),$I5275))</f>
        <v/>
      </c>
    </row>
    <row r="5276">
      <c r="B5276" s="25" t="n"/>
      <c r="I5276" s="25" t="n"/>
      <c r="U5276" s="19">
        <f>IF($V5276&lt;&gt;'設定'!$C$4,N(U5275),IF(OR(NOT(COUNTIF('商品マスタ'!$B$6:$B$1005,$W5276)=0),COUNTIFS('①在庫を貼る'!$V$6:$V$10005,$V5276,'①在庫を貼る'!$W$6:$W$10005,$W5276)+COUNTIFS('月1回_1ヶ月前の在庫'!$V$6:$V$10005,$V5276,'月1回_1ヶ月前の在庫'!$W$6:$W$10005,$W5276)&gt;0),N(U5275),N(U5275)+1))</f>
        <v/>
      </c>
      <c r="V5276" s="19">
        <f>IF($B5276="","",TEXT($B5276,"0000"))</f>
        <v/>
      </c>
      <c r="W5276" s="19">
        <f>IF($I5276="","",IF(ISNUMBER($I5276),TEXT($I5276,"0"),$I5276))</f>
        <v/>
      </c>
    </row>
    <row r="5277">
      <c r="B5277" s="25" t="n"/>
      <c r="I5277" s="25" t="n"/>
      <c r="U5277" s="19">
        <f>IF($V5277&lt;&gt;'設定'!$C$4,N(U5276),IF(OR(NOT(COUNTIF('商品マスタ'!$B$6:$B$1005,$W5277)=0),COUNTIFS('①在庫を貼る'!$V$6:$V$10005,$V5277,'①在庫を貼る'!$W$6:$W$10005,$W5277)+COUNTIFS('月1回_1ヶ月前の在庫'!$V$6:$V$10005,$V5277,'月1回_1ヶ月前の在庫'!$W$6:$W$10005,$W5277)&gt;0),N(U5276),N(U5276)+1))</f>
        <v/>
      </c>
      <c r="V5277" s="19">
        <f>IF($B5277="","",TEXT($B5277,"0000"))</f>
        <v/>
      </c>
      <c r="W5277" s="19">
        <f>IF($I5277="","",IF(ISNUMBER($I5277),TEXT($I5277,"0"),$I5277))</f>
        <v/>
      </c>
    </row>
    <row r="5278">
      <c r="B5278" s="25" t="n"/>
      <c r="I5278" s="25" t="n"/>
      <c r="U5278" s="19">
        <f>IF($V5278&lt;&gt;'設定'!$C$4,N(U5277),IF(OR(NOT(COUNTIF('商品マスタ'!$B$6:$B$1005,$W5278)=0),COUNTIFS('①在庫を貼る'!$V$6:$V$10005,$V5278,'①在庫を貼る'!$W$6:$W$10005,$W5278)+COUNTIFS('月1回_1ヶ月前の在庫'!$V$6:$V$10005,$V5278,'月1回_1ヶ月前の在庫'!$W$6:$W$10005,$W5278)&gt;0),N(U5277),N(U5277)+1))</f>
        <v/>
      </c>
      <c r="V5278" s="19">
        <f>IF($B5278="","",TEXT($B5278,"0000"))</f>
        <v/>
      </c>
      <c r="W5278" s="19">
        <f>IF($I5278="","",IF(ISNUMBER($I5278),TEXT($I5278,"0"),$I5278))</f>
        <v/>
      </c>
    </row>
    <row r="5279">
      <c r="B5279" s="25" t="n"/>
      <c r="I5279" s="25" t="n"/>
      <c r="U5279" s="19">
        <f>IF($V5279&lt;&gt;'設定'!$C$4,N(U5278),IF(OR(NOT(COUNTIF('商品マスタ'!$B$6:$B$1005,$W5279)=0),COUNTIFS('①在庫を貼る'!$V$6:$V$10005,$V5279,'①在庫を貼る'!$W$6:$W$10005,$W5279)+COUNTIFS('月1回_1ヶ月前の在庫'!$V$6:$V$10005,$V5279,'月1回_1ヶ月前の在庫'!$W$6:$W$10005,$W5279)&gt;0),N(U5278),N(U5278)+1))</f>
        <v/>
      </c>
      <c r="V5279" s="19">
        <f>IF($B5279="","",TEXT($B5279,"0000"))</f>
        <v/>
      </c>
      <c r="W5279" s="19">
        <f>IF($I5279="","",IF(ISNUMBER($I5279),TEXT($I5279,"0"),$I5279))</f>
        <v/>
      </c>
    </row>
    <row r="5280">
      <c r="B5280" s="25" t="n"/>
      <c r="I5280" s="25" t="n"/>
      <c r="U5280" s="19">
        <f>IF($V5280&lt;&gt;'設定'!$C$4,N(U5279),IF(OR(NOT(COUNTIF('商品マスタ'!$B$6:$B$1005,$W5280)=0),COUNTIFS('①在庫を貼る'!$V$6:$V$10005,$V5280,'①在庫を貼る'!$W$6:$W$10005,$W5280)+COUNTIFS('月1回_1ヶ月前の在庫'!$V$6:$V$10005,$V5280,'月1回_1ヶ月前の在庫'!$W$6:$W$10005,$W5280)&gt;0),N(U5279),N(U5279)+1))</f>
        <v/>
      </c>
      <c r="V5280" s="19">
        <f>IF($B5280="","",TEXT($B5280,"0000"))</f>
        <v/>
      </c>
      <c r="W5280" s="19">
        <f>IF($I5280="","",IF(ISNUMBER($I5280),TEXT($I5280,"0"),$I5280))</f>
        <v/>
      </c>
    </row>
    <row r="5281">
      <c r="B5281" s="25" t="n"/>
      <c r="I5281" s="25" t="n"/>
      <c r="U5281" s="19">
        <f>IF($V5281&lt;&gt;'設定'!$C$4,N(U5280),IF(OR(NOT(COUNTIF('商品マスタ'!$B$6:$B$1005,$W5281)=0),COUNTIFS('①在庫を貼る'!$V$6:$V$10005,$V5281,'①在庫を貼る'!$W$6:$W$10005,$W5281)+COUNTIFS('月1回_1ヶ月前の在庫'!$V$6:$V$10005,$V5281,'月1回_1ヶ月前の在庫'!$W$6:$W$10005,$W5281)&gt;0),N(U5280),N(U5280)+1))</f>
        <v/>
      </c>
      <c r="V5281" s="19">
        <f>IF($B5281="","",TEXT($B5281,"0000"))</f>
        <v/>
      </c>
      <c r="W5281" s="19">
        <f>IF($I5281="","",IF(ISNUMBER($I5281),TEXT($I5281,"0"),$I5281))</f>
        <v/>
      </c>
    </row>
    <row r="5282">
      <c r="B5282" s="25" t="n"/>
      <c r="I5282" s="25" t="n"/>
      <c r="U5282" s="19">
        <f>IF($V5282&lt;&gt;'設定'!$C$4,N(U5281),IF(OR(NOT(COUNTIF('商品マスタ'!$B$6:$B$1005,$W5282)=0),COUNTIFS('①在庫を貼る'!$V$6:$V$10005,$V5282,'①在庫を貼る'!$W$6:$W$10005,$W5282)+COUNTIFS('月1回_1ヶ月前の在庫'!$V$6:$V$10005,$V5282,'月1回_1ヶ月前の在庫'!$W$6:$W$10005,$W5282)&gt;0),N(U5281),N(U5281)+1))</f>
        <v/>
      </c>
      <c r="V5282" s="19">
        <f>IF($B5282="","",TEXT($B5282,"0000"))</f>
        <v/>
      </c>
      <c r="W5282" s="19">
        <f>IF($I5282="","",IF(ISNUMBER($I5282),TEXT($I5282,"0"),$I5282))</f>
        <v/>
      </c>
    </row>
    <row r="5283">
      <c r="B5283" s="25" t="n"/>
      <c r="I5283" s="25" t="n"/>
      <c r="U5283" s="19">
        <f>IF($V5283&lt;&gt;'設定'!$C$4,N(U5282),IF(OR(NOT(COUNTIF('商品マスタ'!$B$6:$B$1005,$W5283)=0),COUNTIFS('①在庫を貼る'!$V$6:$V$10005,$V5283,'①在庫を貼る'!$W$6:$W$10005,$W5283)+COUNTIFS('月1回_1ヶ月前の在庫'!$V$6:$V$10005,$V5283,'月1回_1ヶ月前の在庫'!$W$6:$W$10005,$W5283)&gt;0),N(U5282),N(U5282)+1))</f>
        <v/>
      </c>
      <c r="V5283" s="19">
        <f>IF($B5283="","",TEXT($B5283,"0000"))</f>
        <v/>
      </c>
      <c r="W5283" s="19">
        <f>IF($I5283="","",IF(ISNUMBER($I5283),TEXT($I5283,"0"),$I5283))</f>
        <v/>
      </c>
    </row>
    <row r="5284">
      <c r="B5284" s="25" t="n"/>
      <c r="I5284" s="25" t="n"/>
      <c r="U5284" s="19">
        <f>IF($V5284&lt;&gt;'設定'!$C$4,N(U5283),IF(OR(NOT(COUNTIF('商品マスタ'!$B$6:$B$1005,$W5284)=0),COUNTIFS('①在庫を貼る'!$V$6:$V$10005,$V5284,'①在庫を貼る'!$W$6:$W$10005,$W5284)+COUNTIFS('月1回_1ヶ月前の在庫'!$V$6:$V$10005,$V5284,'月1回_1ヶ月前の在庫'!$W$6:$W$10005,$W5284)&gt;0),N(U5283),N(U5283)+1))</f>
        <v/>
      </c>
      <c r="V5284" s="19">
        <f>IF($B5284="","",TEXT($B5284,"0000"))</f>
        <v/>
      </c>
      <c r="W5284" s="19">
        <f>IF($I5284="","",IF(ISNUMBER($I5284),TEXT($I5284,"0"),$I5284))</f>
        <v/>
      </c>
    </row>
    <row r="5285">
      <c r="B5285" s="25" t="n"/>
      <c r="I5285" s="25" t="n"/>
      <c r="U5285" s="19">
        <f>IF($V5285&lt;&gt;'設定'!$C$4,N(U5284),IF(OR(NOT(COUNTIF('商品マスタ'!$B$6:$B$1005,$W5285)=0),COUNTIFS('①在庫を貼る'!$V$6:$V$10005,$V5285,'①在庫を貼る'!$W$6:$W$10005,$W5285)+COUNTIFS('月1回_1ヶ月前の在庫'!$V$6:$V$10005,$V5285,'月1回_1ヶ月前の在庫'!$W$6:$W$10005,$W5285)&gt;0),N(U5284),N(U5284)+1))</f>
        <v/>
      </c>
      <c r="V5285" s="19">
        <f>IF($B5285="","",TEXT($B5285,"0000"))</f>
        <v/>
      </c>
      <c r="W5285" s="19">
        <f>IF($I5285="","",IF(ISNUMBER($I5285),TEXT($I5285,"0"),$I5285))</f>
        <v/>
      </c>
    </row>
    <row r="5286">
      <c r="B5286" s="25" t="n"/>
      <c r="I5286" s="25" t="n"/>
      <c r="U5286" s="19">
        <f>IF($V5286&lt;&gt;'設定'!$C$4,N(U5285),IF(OR(NOT(COUNTIF('商品マスタ'!$B$6:$B$1005,$W5286)=0),COUNTIFS('①在庫を貼る'!$V$6:$V$10005,$V5286,'①在庫を貼る'!$W$6:$W$10005,$W5286)+COUNTIFS('月1回_1ヶ月前の在庫'!$V$6:$V$10005,$V5286,'月1回_1ヶ月前の在庫'!$W$6:$W$10005,$W5286)&gt;0),N(U5285),N(U5285)+1))</f>
        <v/>
      </c>
      <c r="V5286" s="19">
        <f>IF($B5286="","",TEXT($B5286,"0000"))</f>
        <v/>
      </c>
      <c r="W5286" s="19">
        <f>IF($I5286="","",IF(ISNUMBER($I5286),TEXT($I5286,"0"),$I5286))</f>
        <v/>
      </c>
    </row>
    <row r="5287">
      <c r="B5287" s="25" t="n"/>
      <c r="I5287" s="25" t="n"/>
      <c r="U5287" s="19">
        <f>IF($V5287&lt;&gt;'設定'!$C$4,N(U5286),IF(OR(NOT(COUNTIF('商品マスタ'!$B$6:$B$1005,$W5287)=0),COUNTIFS('①在庫を貼る'!$V$6:$V$10005,$V5287,'①在庫を貼る'!$W$6:$W$10005,$W5287)+COUNTIFS('月1回_1ヶ月前の在庫'!$V$6:$V$10005,$V5287,'月1回_1ヶ月前の在庫'!$W$6:$W$10005,$W5287)&gt;0),N(U5286),N(U5286)+1))</f>
        <v/>
      </c>
      <c r="V5287" s="19">
        <f>IF($B5287="","",TEXT($B5287,"0000"))</f>
        <v/>
      </c>
      <c r="W5287" s="19">
        <f>IF($I5287="","",IF(ISNUMBER($I5287),TEXT($I5287,"0"),$I5287))</f>
        <v/>
      </c>
    </row>
    <row r="5288">
      <c r="B5288" s="25" t="n"/>
      <c r="I5288" s="25" t="n"/>
      <c r="U5288" s="19">
        <f>IF($V5288&lt;&gt;'設定'!$C$4,N(U5287),IF(OR(NOT(COUNTIF('商品マスタ'!$B$6:$B$1005,$W5288)=0),COUNTIFS('①在庫を貼る'!$V$6:$V$10005,$V5288,'①在庫を貼る'!$W$6:$W$10005,$W5288)+COUNTIFS('月1回_1ヶ月前の在庫'!$V$6:$V$10005,$V5288,'月1回_1ヶ月前の在庫'!$W$6:$W$10005,$W5288)&gt;0),N(U5287),N(U5287)+1))</f>
        <v/>
      </c>
      <c r="V5288" s="19">
        <f>IF($B5288="","",TEXT($B5288,"0000"))</f>
        <v/>
      </c>
      <c r="W5288" s="19">
        <f>IF($I5288="","",IF(ISNUMBER($I5288),TEXT($I5288,"0"),$I5288))</f>
        <v/>
      </c>
    </row>
    <row r="5289">
      <c r="B5289" s="25" t="n"/>
      <c r="I5289" s="25" t="n"/>
      <c r="U5289" s="19">
        <f>IF($V5289&lt;&gt;'設定'!$C$4,N(U5288),IF(OR(NOT(COUNTIF('商品マスタ'!$B$6:$B$1005,$W5289)=0),COUNTIFS('①在庫を貼る'!$V$6:$V$10005,$V5289,'①在庫を貼る'!$W$6:$W$10005,$W5289)+COUNTIFS('月1回_1ヶ月前の在庫'!$V$6:$V$10005,$V5289,'月1回_1ヶ月前の在庫'!$W$6:$W$10005,$W5289)&gt;0),N(U5288),N(U5288)+1))</f>
        <v/>
      </c>
      <c r="V5289" s="19">
        <f>IF($B5289="","",TEXT($B5289,"0000"))</f>
        <v/>
      </c>
      <c r="W5289" s="19">
        <f>IF($I5289="","",IF(ISNUMBER($I5289),TEXT($I5289,"0"),$I5289))</f>
        <v/>
      </c>
    </row>
    <row r="5290">
      <c r="B5290" s="25" t="n"/>
      <c r="I5290" s="25" t="n"/>
      <c r="U5290" s="19">
        <f>IF($V5290&lt;&gt;'設定'!$C$4,N(U5289),IF(OR(NOT(COUNTIF('商品マスタ'!$B$6:$B$1005,$W5290)=0),COUNTIFS('①在庫を貼る'!$V$6:$V$10005,$V5290,'①在庫を貼る'!$W$6:$W$10005,$W5290)+COUNTIFS('月1回_1ヶ月前の在庫'!$V$6:$V$10005,$V5290,'月1回_1ヶ月前の在庫'!$W$6:$W$10005,$W5290)&gt;0),N(U5289),N(U5289)+1))</f>
        <v/>
      </c>
      <c r="V5290" s="19">
        <f>IF($B5290="","",TEXT($B5290,"0000"))</f>
        <v/>
      </c>
      <c r="W5290" s="19">
        <f>IF($I5290="","",IF(ISNUMBER($I5290),TEXT($I5290,"0"),$I5290))</f>
        <v/>
      </c>
    </row>
    <row r="5291">
      <c r="B5291" s="25" t="n"/>
      <c r="I5291" s="25" t="n"/>
      <c r="U5291" s="19">
        <f>IF($V5291&lt;&gt;'設定'!$C$4,N(U5290),IF(OR(NOT(COUNTIF('商品マスタ'!$B$6:$B$1005,$W5291)=0),COUNTIFS('①在庫を貼る'!$V$6:$V$10005,$V5291,'①在庫を貼る'!$W$6:$W$10005,$W5291)+COUNTIFS('月1回_1ヶ月前の在庫'!$V$6:$V$10005,$V5291,'月1回_1ヶ月前の在庫'!$W$6:$W$10005,$W5291)&gt;0),N(U5290),N(U5290)+1))</f>
        <v/>
      </c>
      <c r="V5291" s="19">
        <f>IF($B5291="","",TEXT($B5291,"0000"))</f>
        <v/>
      </c>
      <c r="W5291" s="19">
        <f>IF($I5291="","",IF(ISNUMBER($I5291),TEXT($I5291,"0"),$I5291))</f>
        <v/>
      </c>
    </row>
    <row r="5292">
      <c r="B5292" s="25" t="n"/>
      <c r="I5292" s="25" t="n"/>
      <c r="U5292" s="19">
        <f>IF($V5292&lt;&gt;'設定'!$C$4,N(U5291),IF(OR(NOT(COUNTIF('商品マスタ'!$B$6:$B$1005,$W5292)=0),COUNTIFS('①在庫を貼る'!$V$6:$V$10005,$V5292,'①在庫を貼る'!$W$6:$W$10005,$W5292)+COUNTIFS('月1回_1ヶ月前の在庫'!$V$6:$V$10005,$V5292,'月1回_1ヶ月前の在庫'!$W$6:$W$10005,$W5292)&gt;0),N(U5291),N(U5291)+1))</f>
        <v/>
      </c>
      <c r="V5292" s="19">
        <f>IF($B5292="","",TEXT($B5292,"0000"))</f>
        <v/>
      </c>
      <c r="W5292" s="19">
        <f>IF($I5292="","",IF(ISNUMBER($I5292),TEXT($I5292,"0"),$I5292))</f>
        <v/>
      </c>
    </row>
    <row r="5293">
      <c r="B5293" s="25" t="n"/>
      <c r="I5293" s="25" t="n"/>
      <c r="U5293" s="19">
        <f>IF($V5293&lt;&gt;'設定'!$C$4,N(U5292),IF(OR(NOT(COUNTIF('商品マスタ'!$B$6:$B$1005,$W5293)=0),COUNTIFS('①在庫を貼る'!$V$6:$V$10005,$V5293,'①在庫を貼る'!$W$6:$W$10005,$W5293)+COUNTIFS('月1回_1ヶ月前の在庫'!$V$6:$V$10005,$V5293,'月1回_1ヶ月前の在庫'!$W$6:$W$10005,$W5293)&gt;0),N(U5292),N(U5292)+1))</f>
        <v/>
      </c>
      <c r="V5293" s="19">
        <f>IF($B5293="","",TEXT($B5293,"0000"))</f>
        <v/>
      </c>
      <c r="W5293" s="19">
        <f>IF($I5293="","",IF(ISNUMBER($I5293),TEXT($I5293,"0"),$I5293))</f>
        <v/>
      </c>
    </row>
    <row r="5294">
      <c r="B5294" s="25" t="n"/>
      <c r="I5294" s="25" t="n"/>
      <c r="U5294" s="19">
        <f>IF($V5294&lt;&gt;'設定'!$C$4,N(U5293),IF(OR(NOT(COUNTIF('商品マスタ'!$B$6:$B$1005,$W5294)=0),COUNTIFS('①在庫を貼る'!$V$6:$V$10005,$V5294,'①在庫を貼る'!$W$6:$W$10005,$W5294)+COUNTIFS('月1回_1ヶ月前の在庫'!$V$6:$V$10005,$V5294,'月1回_1ヶ月前の在庫'!$W$6:$W$10005,$W5294)&gt;0),N(U5293),N(U5293)+1))</f>
        <v/>
      </c>
      <c r="V5294" s="19">
        <f>IF($B5294="","",TEXT($B5294,"0000"))</f>
        <v/>
      </c>
      <c r="W5294" s="19">
        <f>IF($I5294="","",IF(ISNUMBER($I5294),TEXT($I5294,"0"),$I5294))</f>
        <v/>
      </c>
    </row>
    <row r="5295">
      <c r="B5295" s="25" t="n"/>
      <c r="I5295" s="25" t="n"/>
      <c r="U5295" s="19">
        <f>IF($V5295&lt;&gt;'設定'!$C$4,N(U5294),IF(OR(NOT(COUNTIF('商品マスタ'!$B$6:$B$1005,$W5295)=0),COUNTIFS('①在庫を貼る'!$V$6:$V$10005,$V5295,'①在庫を貼る'!$W$6:$W$10005,$W5295)+COUNTIFS('月1回_1ヶ月前の在庫'!$V$6:$V$10005,$V5295,'月1回_1ヶ月前の在庫'!$W$6:$W$10005,$W5295)&gt;0),N(U5294),N(U5294)+1))</f>
        <v/>
      </c>
      <c r="V5295" s="19">
        <f>IF($B5295="","",TEXT($B5295,"0000"))</f>
        <v/>
      </c>
      <c r="W5295" s="19">
        <f>IF($I5295="","",IF(ISNUMBER($I5295),TEXT($I5295,"0"),$I5295))</f>
        <v/>
      </c>
    </row>
    <row r="5296">
      <c r="B5296" s="25" t="n"/>
      <c r="I5296" s="25" t="n"/>
      <c r="U5296" s="19">
        <f>IF($V5296&lt;&gt;'設定'!$C$4,N(U5295),IF(OR(NOT(COUNTIF('商品マスタ'!$B$6:$B$1005,$W5296)=0),COUNTIFS('①在庫を貼る'!$V$6:$V$10005,$V5296,'①在庫を貼る'!$W$6:$W$10005,$W5296)+COUNTIFS('月1回_1ヶ月前の在庫'!$V$6:$V$10005,$V5296,'月1回_1ヶ月前の在庫'!$W$6:$W$10005,$W5296)&gt;0),N(U5295),N(U5295)+1))</f>
        <v/>
      </c>
      <c r="V5296" s="19">
        <f>IF($B5296="","",TEXT($B5296,"0000"))</f>
        <v/>
      </c>
      <c r="W5296" s="19">
        <f>IF($I5296="","",IF(ISNUMBER($I5296),TEXT($I5296,"0"),$I5296))</f>
        <v/>
      </c>
    </row>
    <row r="5297">
      <c r="B5297" s="25" t="n"/>
      <c r="I5297" s="25" t="n"/>
      <c r="U5297" s="19">
        <f>IF($V5297&lt;&gt;'設定'!$C$4,N(U5296),IF(OR(NOT(COUNTIF('商品マスタ'!$B$6:$B$1005,$W5297)=0),COUNTIFS('①在庫を貼る'!$V$6:$V$10005,$V5297,'①在庫を貼る'!$W$6:$W$10005,$W5297)+COUNTIFS('月1回_1ヶ月前の在庫'!$V$6:$V$10005,$V5297,'月1回_1ヶ月前の在庫'!$W$6:$W$10005,$W5297)&gt;0),N(U5296),N(U5296)+1))</f>
        <v/>
      </c>
      <c r="V5297" s="19">
        <f>IF($B5297="","",TEXT($B5297,"0000"))</f>
        <v/>
      </c>
      <c r="W5297" s="19">
        <f>IF($I5297="","",IF(ISNUMBER($I5297),TEXT($I5297,"0"),$I5297))</f>
        <v/>
      </c>
    </row>
    <row r="5298">
      <c r="B5298" s="25" t="n"/>
      <c r="I5298" s="25" t="n"/>
      <c r="U5298" s="19">
        <f>IF($V5298&lt;&gt;'設定'!$C$4,N(U5297),IF(OR(NOT(COUNTIF('商品マスタ'!$B$6:$B$1005,$W5298)=0),COUNTIFS('①在庫を貼る'!$V$6:$V$10005,$V5298,'①在庫を貼る'!$W$6:$W$10005,$W5298)+COUNTIFS('月1回_1ヶ月前の在庫'!$V$6:$V$10005,$V5298,'月1回_1ヶ月前の在庫'!$W$6:$W$10005,$W5298)&gt;0),N(U5297),N(U5297)+1))</f>
        <v/>
      </c>
      <c r="V5298" s="19">
        <f>IF($B5298="","",TEXT($B5298,"0000"))</f>
        <v/>
      </c>
      <c r="W5298" s="19">
        <f>IF($I5298="","",IF(ISNUMBER($I5298),TEXT($I5298,"0"),$I5298))</f>
        <v/>
      </c>
    </row>
    <row r="5299">
      <c r="B5299" s="25" t="n"/>
      <c r="I5299" s="25" t="n"/>
      <c r="U5299" s="19">
        <f>IF($V5299&lt;&gt;'設定'!$C$4,N(U5298),IF(OR(NOT(COUNTIF('商品マスタ'!$B$6:$B$1005,$W5299)=0),COUNTIFS('①在庫を貼る'!$V$6:$V$10005,$V5299,'①在庫を貼る'!$W$6:$W$10005,$W5299)+COUNTIFS('月1回_1ヶ月前の在庫'!$V$6:$V$10005,$V5299,'月1回_1ヶ月前の在庫'!$W$6:$W$10005,$W5299)&gt;0),N(U5298),N(U5298)+1))</f>
        <v/>
      </c>
      <c r="V5299" s="19">
        <f>IF($B5299="","",TEXT($B5299,"0000"))</f>
        <v/>
      </c>
      <c r="W5299" s="19">
        <f>IF($I5299="","",IF(ISNUMBER($I5299),TEXT($I5299,"0"),$I5299))</f>
        <v/>
      </c>
    </row>
    <row r="5300">
      <c r="B5300" s="25" t="n"/>
      <c r="I5300" s="25" t="n"/>
      <c r="U5300" s="19">
        <f>IF($V5300&lt;&gt;'設定'!$C$4,N(U5299),IF(OR(NOT(COUNTIF('商品マスタ'!$B$6:$B$1005,$W5300)=0),COUNTIFS('①在庫を貼る'!$V$6:$V$10005,$V5300,'①在庫を貼る'!$W$6:$W$10005,$W5300)+COUNTIFS('月1回_1ヶ月前の在庫'!$V$6:$V$10005,$V5300,'月1回_1ヶ月前の在庫'!$W$6:$W$10005,$W5300)&gt;0),N(U5299),N(U5299)+1))</f>
        <v/>
      </c>
      <c r="V5300" s="19">
        <f>IF($B5300="","",TEXT($B5300,"0000"))</f>
        <v/>
      </c>
      <c r="W5300" s="19">
        <f>IF($I5300="","",IF(ISNUMBER($I5300),TEXT($I5300,"0"),$I5300))</f>
        <v/>
      </c>
    </row>
    <row r="5301">
      <c r="B5301" s="25" t="n"/>
      <c r="I5301" s="25" t="n"/>
      <c r="U5301" s="19">
        <f>IF($V5301&lt;&gt;'設定'!$C$4,N(U5300),IF(OR(NOT(COUNTIF('商品マスタ'!$B$6:$B$1005,$W5301)=0),COUNTIFS('①在庫を貼る'!$V$6:$V$10005,$V5301,'①在庫を貼る'!$W$6:$W$10005,$W5301)+COUNTIFS('月1回_1ヶ月前の在庫'!$V$6:$V$10005,$V5301,'月1回_1ヶ月前の在庫'!$W$6:$W$10005,$W5301)&gt;0),N(U5300),N(U5300)+1))</f>
        <v/>
      </c>
      <c r="V5301" s="19">
        <f>IF($B5301="","",TEXT($B5301,"0000"))</f>
        <v/>
      </c>
      <c r="W5301" s="19">
        <f>IF($I5301="","",IF(ISNUMBER($I5301),TEXT($I5301,"0"),$I5301))</f>
        <v/>
      </c>
    </row>
    <row r="5302">
      <c r="B5302" s="25" t="n"/>
      <c r="I5302" s="25" t="n"/>
      <c r="U5302" s="19">
        <f>IF($V5302&lt;&gt;'設定'!$C$4,N(U5301),IF(OR(NOT(COUNTIF('商品マスタ'!$B$6:$B$1005,$W5302)=0),COUNTIFS('①在庫を貼る'!$V$6:$V$10005,$V5302,'①在庫を貼る'!$W$6:$W$10005,$W5302)+COUNTIFS('月1回_1ヶ月前の在庫'!$V$6:$V$10005,$V5302,'月1回_1ヶ月前の在庫'!$W$6:$W$10005,$W5302)&gt;0),N(U5301),N(U5301)+1))</f>
        <v/>
      </c>
      <c r="V5302" s="19">
        <f>IF($B5302="","",TEXT($B5302,"0000"))</f>
        <v/>
      </c>
      <c r="W5302" s="19">
        <f>IF($I5302="","",IF(ISNUMBER($I5302),TEXT($I5302,"0"),$I5302))</f>
        <v/>
      </c>
    </row>
    <row r="5303">
      <c r="B5303" s="25" t="n"/>
      <c r="I5303" s="25" t="n"/>
      <c r="U5303" s="19">
        <f>IF($V5303&lt;&gt;'設定'!$C$4,N(U5302),IF(OR(NOT(COUNTIF('商品マスタ'!$B$6:$B$1005,$W5303)=0),COUNTIFS('①在庫を貼る'!$V$6:$V$10005,$V5303,'①在庫を貼る'!$W$6:$W$10005,$W5303)+COUNTIFS('月1回_1ヶ月前の在庫'!$V$6:$V$10005,$V5303,'月1回_1ヶ月前の在庫'!$W$6:$W$10005,$W5303)&gt;0),N(U5302),N(U5302)+1))</f>
        <v/>
      </c>
      <c r="V5303" s="19">
        <f>IF($B5303="","",TEXT($B5303,"0000"))</f>
        <v/>
      </c>
      <c r="W5303" s="19">
        <f>IF($I5303="","",IF(ISNUMBER($I5303),TEXT($I5303,"0"),$I5303))</f>
        <v/>
      </c>
    </row>
    <row r="5304">
      <c r="B5304" s="25" t="n"/>
      <c r="I5304" s="25" t="n"/>
      <c r="U5304" s="19">
        <f>IF($V5304&lt;&gt;'設定'!$C$4,N(U5303),IF(OR(NOT(COUNTIF('商品マスタ'!$B$6:$B$1005,$W5304)=0),COUNTIFS('①在庫を貼る'!$V$6:$V$10005,$V5304,'①在庫を貼る'!$W$6:$W$10005,$W5304)+COUNTIFS('月1回_1ヶ月前の在庫'!$V$6:$V$10005,$V5304,'月1回_1ヶ月前の在庫'!$W$6:$W$10005,$W5304)&gt;0),N(U5303),N(U5303)+1))</f>
        <v/>
      </c>
      <c r="V5304" s="19">
        <f>IF($B5304="","",TEXT($B5304,"0000"))</f>
        <v/>
      </c>
      <c r="W5304" s="19">
        <f>IF($I5304="","",IF(ISNUMBER($I5304),TEXT($I5304,"0"),$I5304))</f>
        <v/>
      </c>
    </row>
    <row r="5305">
      <c r="B5305" s="25" t="n"/>
      <c r="I5305" s="25" t="n"/>
      <c r="U5305" s="19">
        <f>IF($V5305&lt;&gt;'設定'!$C$4,N(U5304),IF(OR(NOT(COUNTIF('商品マスタ'!$B$6:$B$1005,$W5305)=0),COUNTIFS('①在庫を貼る'!$V$6:$V$10005,$V5305,'①在庫を貼る'!$W$6:$W$10005,$W5305)+COUNTIFS('月1回_1ヶ月前の在庫'!$V$6:$V$10005,$V5305,'月1回_1ヶ月前の在庫'!$W$6:$W$10005,$W5305)&gt;0),N(U5304),N(U5304)+1))</f>
        <v/>
      </c>
      <c r="V5305" s="19">
        <f>IF($B5305="","",TEXT($B5305,"0000"))</f>
        <v/>
      </c>
      <c r="W5305" s="19">
        <f>IF($I5305="","",IF(ISNUMBER($I5305),TEXT($I5305,"0"),$I5305))</f>
        <v/>
      </c>
    </row>
    <row r="5306">
      <c r="B5306" s="25" t="n"/>
      <c r="I5306" s="25" t="n"/>
      <c r="U5306" s="19">
        <f>IF($V5306&lt;&gt;'設定'!$C$4,N(U5305),IF(OR(NOT(COUNTIF('商品マスタ'!$B$6:$B$1005,$W5306)=0),COUNTIFS('①在庫を貼る'!$V$6:$V$10005,$V5306,'①在庫を貼る'!$W$6:$W$10005,$W5306)+COUNTIFS('月1回_1ヶ月前の在庫'!$V$6:$V$10005,$V5306,'月1回_1ヶ月前の在庫'!$W$6:$W$10005,$W5306)&gt;0),N(U5305),N(U5305)+1))</f>
        <v/>
      </c>
      <c r="V5306" s="19">
        <f>IF($B5306="","",TEXT($B5306,"0000"))</f>
        <v/>
      </c>
      <c r="W5306" s="19">
        <f>IF($I5306="","",IF(ISNUMBER($I5306),TEXT($I5306,"0"),$I5306))</f>
        <v/>
      </c>
    </row>
    <row r="5307">
      <c r="B5307" s="25" t="n"/>
      <c r="I5307" s="25" t="n"/>
      <c r="U5307" s="19">
        <f>IF($V5307&lt;&gt;'設定'!$C$4,N(U5306),IF(OR(NOT(COUNTIF('商品マスタ'!$B$6:$B$1005,$W5307)=0),COUNTIFS('①在庫を貼る'!$V$6:$V$10005,$V5307,'①在庫を貼る'!$W$6:$W$10005,$W5307)+COUNTIFS('月1回_1ヶ月前の在庫'!$V$6:$V$10005,$V5307,'月1回_1ヶ月前の在庫'!$W$6:$W$10005,$W5307)&gt;0),N(U5306),N(U5306)+1))</f>
        <v/>
      </c>
      <c r="V5307" s="19">
        <f>IF($B5307="","",TEXT($B5307,"0000"))</f>
        <v/>
      </c>
      <c r="W5307" s="19">
        <f>IF($I5307="","",IF(ISNUMBER($I5307),TEXT($I5307,"0"),$I5307))</f>
        <v/>
      </c>
    </row>
    <row r="5308">
      <c r="B5308" s="25" t="n"/>
      <c r="I5308" s="25" t="n"/>
      <c r="U5308" s="19">
        <f>IF($V5308&lt;&gt;'設定'!$C$4,N(U5307),IF(OR(NOT(COUNTIF('商品マスタ'!$B$6:$B$1005,$W5308)=0),COUNTIFS('①在庫を貼る'!$V$6:$V$10005,$V5308,'①在庫を貼る'!$W$6:$W$10005,$W5308)+COUNTIFS('月1回_1ヶ月前の在庫'!$V$6:$V$10005,$V5308,'月1回_1ヶ月前の在庫'!$W$6:$W$10005,$W5308)&gt;0),N(U5307),N(U5307)+1))</f>
        <v/>
      </c>
      <c r="V5308" s="19">
        <f>IF($B5308="","",TEXT($B5308,"0000"))</f>
        <v/>
      </c>
      <c r="W5308" s="19">
        <f>IF($I5308="","",IF(ISNUMBER($I5308),TEXT($I5308,"0"),$I5308))</f>
        <v/>
      </c>
    </row>
    <row r="5309">
      <c r="B5309" s="25" t="n"/>
      <c r="I5309" s="25" t="n"/>
      <c r="U5309" s="19">
        <f>IF($V5309&lt;&gt;'設定'!$C$4,N(U5308),IF(OR(NOT(COUNTIF('商品マスタ'!$B$6:$B$1005,$W5309)=0),COUNTIFS('①在庫を貼る'!$V$6:$V$10005,$V5309,'①在庫を貼る'!$W$6:$W$10005,$W5309)+COUNTIFS('月1回_1ヶ月前の在庫'!$V$6:$V$10005,$V5309,'月1回_1ヶ月前の在庫'!$W$6:$W$10005,$W5309)&gt;0),N(U5308),N(U5308)+1))</f>
        <v/>
      </c>
      <c r="V5309" s="19">
        <f>IF($B5309="","",TEXT($B5309,"0000"))</f>
        <v/>
      </c>
      <c r="W5309" s="19">
        <f>IF($I5309="","",IF(ISNUMBER($I5309),TEXT($I5309,"0"),$I5309))</f>
        <v/>
      </c>
    </row>
    <row r="5310">
      <c r="B5310" s="25" t="n"/>
      <c r="I5310" s="25" t="n"/>
      <c r="U5310" s="19">
        <f>IF($V5310&lt;&gt;'設定'!$C$4,N(U5309),IF(OR(NOT(COUNTIF('商品マスタ'!$B$6:$B$1005,$W5310)=0),COUNTIFS('①在庫を貼る'!$V$6:$V$10005,$V5310,'①在庫を貼る'!$W$6:$W$10005,$W5310)+COUNTIFS('月1回_1ヶ月前の在庫'!$V$6:$V$10005,$V5310,'月1回_1ヶ月前の在庫'!$W$6:$W$10005,$W5310)&gt;0),N(U5309),N(U5309)+1))</f>
        <v/>
      </c>
      <c r="V5310" s="19">
        <f>IF($B5310="","",TEXT($B5310,"0000"))</f>
        <v/>
      </c>
      <c r="W5310" s="19">
        <f>IF($I5310="","",IF(ISNUMBER($I5310),TEXT($I5310,"0"),$I5310))</f>
        <v/>
      </c>
    </row>
    <row r="5311">
      <c r="B5311" s="25" t="n"/>
      <c r="I5311" s="25" t="n"/>
      <c r="U5311" s="19">
        <f>IF($V5311&lt;&gt;'設定'!$C$4,N(U5310),IF(OR(NOT(COUNTIF('商品マスタ'!$B$6:$B$1005,$W5311)=0),COUNTIFS('①在庫を貼る'!$V$6:$V$10005,$V5311,'①在庫を貼る'!$W$6:$W$10005,$W5311)+COUNTIFS('月1回_1ヶ月前の在庫'!$V$6:$V$10005,$V5311,'月1回_1ヶ月前の在庫'!$W$6:$W$10005,$W5311)&gt;0),N(U5310),N(U5310)+1))</f>
        <v/>
      </c>
      <c r="V5311" s="19">
        <f>IF($B5311="","",TEXT($B5311,"0000"))</f>
        <v/>
      </c>
      <c r="W5311" s="19">
        <f>IF($I5311="","",IF(ISNUMBER($I5311),TEXT($I5311,"0"),$I5311))</f>
        <v/>
      </c>
    </row>
    <row r="5312">
      <c r="B5312" s="25" t="n"/>
      <c r="I5312" s="25" t="n"/>
      <c r="U5312" s="19">
        <f>IF($V5312&lt;&gt;'設定'!$C$4,N(U5311),IF(OR(NOT(COUNTIF('商品マスタ'!$B$6:$B$1005,$W5312)=0),COUNTIFS('①在庫を貼る'!$V$6:$V$10005,$V5312,'①在庫を貼る'!$W$6:$W$10005,$W5312)+COUNTIFS('月1回_1ヶ月前の在庫'!$V$6:$V$10005,$V5312,'月1回_1ヶ月前の在庫'!$W$6:$W$10005,$W5312)&gt;0),N(U5311),N(U5311)+1))</f>
        <v/>
      </c>
      <c r="V5312" s="19">
        <f>IF($B5312="","",TEXT($B5312,"0000"))</f>
        <v/>
      </c>
      <c r="W5312" s="19">
        <f>IF($I5312="","",IF(ISNUMBER($I5312),TEXT($I5312,"0"),$I5312))</f>
        <v/>
      </c>
    </row>
    <row r="5313">
      <c r="B5313" s="25" t="n"/>
      <c r="I5313" s="25" t="n"/>
      <c r="U5313" s="19">
        <f>IF($V5313&lt;&gt;'設定'!$C$4,N(U5312),IF(OR(NOT(COUNTIF('商品マスタ'!$B$6:$B$1005,$W5313)=0),COUNTIFS('①在庫を貼る'!$V$6:$V$10005,$V5313,'①在庫を貼る'!$W$6:$W$10005,$W5313)+COUNTIFS('月1回_1ヶ月前の在庫'!$V$6:$V$10005,$V5313,'月1回_1ヶ月前の在庫'!$W$6:$W$10005,$W5313)&gt;0),N(U5312),N(U5312)+1))</f>
        <v/>
      </c>
      <c r="V5313" s="19">
        <f>IF($B5313="","",TEXT($B5313,"0000"))</f>
        <v/>
      </c>
      <c r="W5313" s="19">
        <f>IF($I5313="","",IF(ISNUMBER($I5313),TEXT($I5313,"0"),$I5313))</f>
        <v/>
      </c>
    </row>
    <row r="5314">
      <c r="B5314" s="25" t="n"/>
      <c r="I5314" s="25" t="n"/>
      <c r="U5314" s="19">
        <f>IF($V5314&lt;&gt;'設定'!$C$4,N(U5313),IF(OR(NOT(COUNTIF('商品マスタ'!$B$6:$B$1005,$W5314)=0),COUNTIFS('①在庫を貼る'!$V$6:$V$10005,$V5314,'①在庫を貼る'!$W$6:$W$10005,$W5314)+COUNTIFS('月1回_1ヶ月前の在庫'!$V$6:$V$10005,$V5314,'月1回_1ヶ月前の在庫'!$W$6:$W$10005,$W5314)&gt;0),N(U5313),N(U5313)+1))</f>
        <v/>
      </c>
      <c r="V5314" s="19">
        <f>IF($B5314="","",TEXT($B5314,"0000"))</f>
        <v/>
      </c>
      <c r="W5314" s="19">
        <f>IF($I5314="","",IF(ISNUMBER($I5314),TEXT($I5314,"0"),$I5314))</f>
        <v/>
      </c>
    </row>
    <row r="5315">
      <c r="B5315" s="25" t="n"/>
      <c r="I5315" s="25" t="n"/>
      <c r="U5315" s="19">
        <f>IF($V5315&lt;&gt;'設定'!$C$4,N(U5314),IF(OR(NOT(COUNTIF('商品マスタ'!$B$6:$B$1005,$W5315)=0),COUNTIFS('①在庫を貼る'!$V$6:$V$10005,$V5315,'①在庫を貼る'!$W$6:$W$10005,$W5315)+COUNTIFS('月1回_1ヶ月前の在庫'!$V$6:$V$10005,$V5315,'月1回_1ヶ月前の在庫'!$W$6:$W$10005,$W5315)&gt;0),N(U5314),N(U5314)+1))</f>
        <v/>
      </c>
      <c r="V5315" s="19">
        <f>IF($B5315="","",TEXT($B5315,"0000"))</f>
        <v/>
      </c>
      <c r="W5315" s="19">
        <f>IF($I5315="","",IF(ISNUMBER($I5315),TEXT($I5315,"0"),$I5315))</f>
        <v/>
      </c>
    </row>
    <row r="5316">
      <c r="B5316" s="25" t="n"/>
      <c r="I5316" s="25" t="n"/>
      <c r="U5316" s="19">
        <f>IF($V5316&lt;&gt;'設定'!$C$4,N(U5315),IF(OR(NOT(COUNTIF('商品マスタ'!$B$6:$B$1005,$W5316)=0),COUNTIFS('①在庫を貼る'!$V$6:$V$10005,$V5316,'①在庫を貼る'!$W$6:$W$10005,$W5316)+COUNTIFS('月1回_1ヶ月前の在庫'!$V$6:$V$10005,$V5316,'月1回_1ヶ月前の在庫'!$W$6:$W$10005,$W5316)&gt;0),N(U5315),N(U5315)+1))</f>
        <v/>
      </c>
      <c r="V5316" s="19">
        <f>IF($B5316="","",TEXT($B5316,"0000"))</f>
        <v/>
      </c>
      <c r="W5316" s="19">
        <f>IF($I5316="","",IF(ISNUMBER($I5316),TEXT($I5316,"0"),$I5316))</f>
        <v/>
      </c>
    </row>
    <row r="5317">
      <c r="B5317" s="25" t="n"/>
      <c r="I5317" s="25" t="n"/>
      <c r="U5317" s="19">
        <f>IF($V5317&lt;&gt;'設定'!$C$4,N(U5316),IF(OR(NOT(COUNTIF('商品マスタ'!$B$6:$B$1005,$W5317)=0),COUNTIFS('①在庫を貼る'!$V$6:$V$10005,$V5317,'①在庫を貼る'!$W$6:$W$10005,$W5317)+COUNTIFS('月1回_1ヶ月前の在庫'!$V$6:$V$10005,$V5317,'月1回_1ヶ月前の在庫'!$W$6:$W$10005,$W5317)&gt;0),N(U5316),N(U5316)+1))</f>
        <v/>
      </c>
      <c r="V5317" s="19">
        <f>IF($B5317="","",TEXT($B5317,"0000"))</f>
        <v/>
      </c>
      <c r="W5317" s="19">
        <f>IF($I5317="","",IF(ISNUMBER($I5317),TEXT($I5317,"0"),$I5317))</f>
        <v/>
      </c>
    </row>
    <row r="5318">
      <c r="B5318" s="25" t="n"/>
      <c r="I5318" s="25" t="n"/>
      <c r="U5318" s="19">
        <f>IF($V5318&lt;&gt;'設定'!$C$4,N(U5317),IF(OR(NOT(COUNTIF('商品マスタ'!$B$6:$B$1005,$W5318)=0),COUNTIFS('①在庫を貼る'!$V$6:$V$10005,$V5318,'①在庫を貼る'!$W$6:$W$10005,$W5318)+COUNTIFS('月1回_1ヶ月前の在庫'!$V$6:$V$10005,$V5318,'月1回_1ヶ月前の在庫'!$W$6:$W$10005,$W5318)&gt;0),N(U5317),N(U5317)+1))</f>
        <v/>
      </c>
      <c r="V5318" s="19">
        <f>IF($B5318="","",TEXT($B5318,"0000"))</f>
        <v/>
      </c>
      <c r="W5318" s="19">
        <f>IF($I5318="","",IF(ISNUMBER($I5318),TEXT($I5318,"0"),$I5318))</f>
        <v/>
      </c>
    </row>
    <row r="5319">
      <c r="B5319" s="25" t="n"/>
      <c r="I5319" s="25" t="n"/>
      <c r="U5319" s="19">
        <f>IF($V5319&lt;&gt;'設定'!$C$4,N(U5318),IF(OR(NOT(COUNTIF('商品マスタ'!$B$6:$B$1005,$W5319)=0),COUNTIFS('①在庫を貼る'!$V$6:$V$10005,$V5319,'①在庫を貼る'!$W$6:$W$10005,$W5319)+COUNTIFS('月1回_1ヶ月前の在庫'!$V$6:$V$10005,$V5319,'月1回_1ヶ月前の在庫'!$W$6:$W$10005,$W5319)&gt;0),N(U5318),N(U5318)+1))</f>
        <v/>
      </c>
      <c r="V5319" s="19">
        <f>IF($B5319="","",TEXT($B5319,"0000"))</f>
        <v/>
      </c>
      <c r="W5319" s="19">
        <f>IF($I5319="","",IF(ISNUMBER($I5319),TEXT($I5319,"0"),$I5319))</f>
        <v/>
      </c>
    </row>
    <row r="5320">
      <c r="B5320" s="25" t="n"/>
      <c r="I5320" s="25" t="n"/>
      <c r="U5320" s="19">
        <f>IF($V5320&lt;&gt;'設定'!$C$4,N(U5319),IF(OR(NOT(COUNTIF('商品マスタ'!$B$6:$B$1005,$W5320)=0),COUNTIFS('①在庫を貼る'!$V$6:$V$10005,$V5320,'①在庫を貼る'!$W$6:$W$10005,$W5320)+COUNTIFS('月1回_1ヶ月前の在庫'!$V$6:$V$10005,$V5320,'月1回_1ヶ月前の在庫'!$W$6:$W$10005,$W5320)&gt;0),N(U5319),N(U5319)+1))</f>
        <v/>
      </c>
      <c r="V5320" s="19">
        <f>IF($B5320="","",TEXT($B5320,"0000"))</f>
        <v/>
      </c>
      <c r="W5320" s="19">
        <f>IF($I5320="","",IF(ISNUMBER($I5320),TEXT($I5320,"0"),$I5320))</f>
        <v/>
      </c>
    </row>
    <row r="5321">
      <c r="B5321" s="25" t="n"/>
      <c r="I5321" s="25" t="n"/>
      <c r="U5321" s="19">
        <f>IF($V5321&lt;&gt;'設定'!$C$4,N(U5320),IF(OR(NOT(COUNTIF('商品マスタ'!$B$6:$B$1005,$W5321)=0),COUNTIFS('①在庫を貼る'!$V$6:$V$10005,$V5321,'①在庫を貼る'!$W$6:$W$10005,$W5321)+COUNTIFS('月1回_1ヶ月前の在庫'!$V$6:$V$10005,$V5321,'月1回_1ヶ月前の在庫'!$W$6:$W$10005,$W5321)&gt;0),N(U5320),N(U5320)+1))</f>
        <v/>
      </c>
      <c r="V5321" s="19">
        <f>IF($B5321="","",TEXT($B5321,"0000"))</f>
        <v/>
      </c>
      <c r="W5321" s="19">
        <f>IF($I5321="","",IF(ISNUMBER($I5321),TEXT($I5321,"0"),$I5321))</f>
        <v/>
      </c>
    </row>
    <row r="5322">
      <c r="B5322" s="25" t="n"/>
      <c r="I5322" s="25" t="n"/>
      <c r="U5322" s="19">
        <f>IF($V5322&lt;&gt;'設定'!$C$4,N(U5321),IF(OR(NOT(COUNTIF('商品マスタ'!$B$6:$B$1005,$W5322)=0),COUNTIFS('①在庫を貼る'!$V$6:$V$10005,$V5322,'①在庫を貼る'!$W$6:$W$10005,$W5322)+COUNTIFS('月1回_1ヶ月前の在庫'!$V$6:$V$10005,$V5322,'月1回_1ヶ月前の在庫'!$W$6:$W$10005,$W5322)&gt;0),N(U5321),N(U5321)+1))</f>
        <v/>
      </c>
      <c r="V5322" s="19">
        <f>IF($B5322="","",TEXT($B5322,"0000"))</f>
        <v/>
      </c>
      <c r="W5322" s="19">
        <f>IF($I5322="","",IF(ISNUMBER($I5322),TEXT($I5322,"0"),$I5322))</f>
        <v/>
      </c>
    </row>
    <row r="5323">
      <c r="B5323" s="25" t="n"/>
      <c r="I5323" s="25" t="n"/>
      <c r="U5323" s="19">
        <f>IF($V5323&lt;&gt;'設定'!$C$4,N(U5322),IF(OR(NOT(COUNTIF('商品マスタ'!$B$6:$B$1005,$W5323)=0),COUNTIFS('①在庫を貼る'!$V$6:$V$10005,$V5323,'①在庫を貼る'!$W$6:$W$10005,$W5323)+COUNTIFS('月1回_1ヶ月前の在庫'!$V$6:$V$10005,$V5323,'月1回_1ヶ月前の在庫'!$W$6:$W$10005,$W5323)&gt;0),N(U5322),N(U5322)+1))</f>
        <v/>
      </c>
      <c r="V5323" s="19">
        <f>IF($B5323="","",TEXT($B5323,"0000"))</f>
        <v/>
      </c>
      <c r="W5323" s="19">
        <f>IF($I5323="","",IF(ISNUMBER($I5323),TEXT($I5323,"0"),$I5323))</f>
        <v/>
      </c>
    </row>
    <row r="5324">
      <c r="B5324" s="25" t="n"/>
      <c r="I5324" s="25" t="n"/>
      <c r="U5324" s="19">
        <f>IF($V5324&lt;&gt;'設定'!$C$4,N(U5323),IF(OR(NOT(COUNTIF('商品マスタ'!$B$6:$B$1005,$W5324)=0),COUNTIFS('①在庫を貼る'!$V$6:$V$10005,$V5324,'①在庫を貼る'!$W$6:$W$10005,$W5324)+COUNTIFS('月1回_1ヶ月前の在庫'!$V$6:$V$10005,$V5324,'月1回_1ヶ月前の在庫'!$W$6:$W$10005,$W5324)&gt;0),N(U5323),N(U5323)+1))</f>
        <v/>
      </c>
      <c r="V5324" s="19">
        <f>IF($B5324="","",TEXT($B5324,"0000"))</f>
        <v/>
      </c>
      <c r="W5324" s="19">
        <f>IF($I5324="","",IF(ISNUMBER($I5324),TEXT($I5324,"0"),$I5324))</f>
        <v/>
      </c>
    </row>
    <row r="5325">
      <c r="B5325" s="25" t="n"/>
      <c r="I5325" s="25" t="n"/>
      <c r="U5325" s="19">
        <f>IF($V5325&lt;&gt;'設定'!$C$4,N(U5324),IF(OR(NOT(COUNTIF('商品マスタ'!$B$6:$B$1005,$W5325)=0),COUNTIFS('①在庫を貼る'!$V$6:$V$10005,$V5325,'①在庫を貼る'!$W$6:$W$10005,$W5325)+COUNTIFS('月1回_1ヶ月前の在庫'!$V$6:$V$10005,$V5325,'月1回_1ヶ月前の在庫'!$W$6:$W$10005,$W5325)&gt;0),N(U5324),N(U5324)+1))</f>
        <v/>
      </c>
      <c r="V5325" s="19">
        <f>IF($B5325="","",TEXT($B5325,"0000"))</f>
        <v/>
      </c>
      <c r="W5325" s="19">
        <f>IF($I5325="","",IF(ISNUMBER($I5325),TEXT($I5325,"0"),$I5325))</f>
        <v/>
      </c>
    </row>
    <row r="5326">
      <c r="B5326" s="25" t="n"/>
      <c r="I5326" s="25" t="n"/>
      <c r="U5326" s="19">
        <f>IF($V5326&lt;&gt;'設定'!$C$4,N(U5325),IF(OR(NOT(COUNTIF('商品マスタ'!$B$6:$B$1005,$W5326)=0),COUNTIFS('①在庫を貼る'!$V$6:$V$10005,$V5326,'①在庫を貼る'!$W$6:$W$10005,$W5326)+COUNTIFS('月1回_1ヶ月前の在庫'!$V$6:$V$10005,$V5326,'月1回_1ヶ月前の在庫'!$W$6:$W$10005,$W5326)&gt;0),N(U5325),N(U5325)+1))</f>
        <v/>
      </c>
      <c r="V5326" s="19">
        <f>IF($B5326="","",TEXT($B5326,"0000"))</f>
        <v/>
      </c>
      <c r="W5326" s="19">
        <f>IF($I5326="","",IF(ISNUMBER($I5326),TEXT($I5326,"0"),$I5326))</f>
        <v/>
      </c>
    </row>
    <row r="5327">
      <c r="B5327" s="25" t="n"/>
      <c r="I5327" s="25" t="n"/>
      <c r="U5327" s="19">
        <f>IF($V5327&lt;&gt;'設定'!$C$4,N(U5326),IF(OR(NOT(COUNTIF('商品マスタ'!$B$6:$B$1005,$W5327)=0),COUNTIFS('①在庫を貼る'!$V$6:$V$10005,$V5327,'①在庫を貼る'!$W$6:$W$10005,$W5327)+COUNTIFS('月1回_1ヶ月前の在庫'!$V$6:$V$10005,$V5327,'月1回_1ヶ月前の在庫'!$W$6:$W$10005,$W5327)&gt;0),N(U5326),N(U5326)+1))</f>
        <v/>
      </c>
      <c r="V5327" s="19">
        <f>IF($B5327="","",TEXT($B5327,"0000"))</f>
        <v/>
      </c>
      <c r="W5327" s="19">
        <f>IF($I5327="","",IF(ISNUMBER($I5327),TEXT($I5327,"0"),$I5327))</f>
        <v/>
      </c>
    </row>
    <row r="5328">
      <c r="B5328" s="25" t="n"/>
      <c r="I5328" s="25" t="n"/>
      <c r="U5328" s="19">
        <f>IF($V5328&lt;&gt;'設定'!$C$4,N(U5327),IF(OR(NOT(COUNTIF('商品マスタ'!$B$6:$B$1005,$W5328)=0),COUNTIFS('①在庫を貼る'!$V$6:$V$10005,$V5328,'①在庫を貼る'!$W$6:$W$10005,$W5328)+COUNTIFS('月1回_1ヶ月前の在庫'!$V$6:$V$10005,$V5328,'月1回_1ヶ月前の在庫'!$W$6:$W$10005,$W5328)&gt;0),N(U5327),N(U5327)+1))</f>
        <v/>
      </c>
      <c r="V5328" s="19">
        <f>IF($B5328="","",TEXT($B5328,"0000"))</f>
        <v/>
      </c>
      <c r="W5328" s="19">
        <f>IF($I5328="","",IF(ISNUMBER($I5328),TEXT($I5328,"0"),$I5328))</f>
        <v/>
      </c>
    </row>
    <row r="5329">
      <c r="B5329" s="25" t="n"/>
      <c r="I5329" s="25" t="n"/>
      <c r="U5329" s="19">
        <f>IF($V5329&lt;&gt;'設定'!$C$4,N(U5328),IF(OR(NOT(COUNTIF('商品マスタ'!$B$6:$B$1005,$W5329)=0),COUNTIFS('①在庫を貼る'!$V$6:$V$10005,$V5329,'①在庫を貼る'!$W$6:$W$10005,$W5329)+COUNTIFS('月1回_1ヶ月前の在庫'!$V$6:$V$10005,$V5329,'月1回_1ヶ月前の在庫'!$W$6:$W$10005,$W5329)&gt;0),N(U5328),N(U5328)+1))</f>
        <v/>
      </c>
      <c r="V5329" s="19">
        <f>IF($B5329="","",TEXT($B5329,"0000"))</f>
        <v/>
      </c>
      <c r="W5329" s="19">
        <f>IF($I5329="","",IF(ISNUMBER($I5329),TEXT($I5329,"0"),$I5329))</f>
        <v/>
      </c>
    </row>
    <row r="5330">
      <c r="B5330" s="25" t="n"/>
      <c r="I5330" s="25" t="n"/>
      <c r="U5330" s="19">
        <f>IF($V5330&lt;&gt;'設定'!$C$4,N(U5329),IF(OR(NOT(COUNTIF('商品マスタ'!$B$6:$B$1005,$W5330)=0),COUNTIFS('①在庫を貼る'!$V$6:$V$10005,$V5330,'①在庫を貼る'!$W$6:$W$10005,$W5330)+COUNTIFS('月1回_1ヶ月前の在庫'!$V$6:$V$10005,$V5330,'月1回_1ヶ月前の在庫'!$W$6:$W$10005,$W5330)&gt;0),N(U5329),N(U5329)+1))</f>
        <v/>
      </c>
      <c r="V5330" s="19">
        <f>IF($B5330="","",TEXT($B5330,"0000"))</f>
        <v/>
      </c>
      <c r="W5330" s="19">
        <f>IF($I5330="","",IF(ISNUMBER($I5330),TEXT($I5330,"0"),$I5330))</f>
        <v/>
      </c>
    </row>
    <row r="5331">
      <c r="B5331" s="25" t="n"/>
      <c r="I5331" s="25" t="n"/>
      <c r="U5331" s="19">
        <f>IF($V5331&lt;&gt;'設定'!$C$4,N(U5330),IF(OR(NOT(COUNTIF('商品マスタ'!$B$6:$B$1005,$W5331)=0),COUNTIFS('①在庫を貼る'!$V$6:$V$10005,$V5331,'①在庫を貼る'!$W$6:$W$10005,$W5331)+COUNTIFS('月1回_1ヶ月前の在庫'!$V$6:$V$10005,$V5331,'月1回_1ヶ月前の在庫'!$W$6:$W$10005,$W5331)&gt;0),N(U5330),N(U5330)+1))</f>
        <v/>
      </c>
      <c r="V5331" s="19">
        <f>IF($B5331="","",TEXT($B5331,"0000"))</f>
        <v/>
      </c>
      <c r="W5331" s="19">
        <f>IF($I5331="","",IF(ISNUMBER($I5331),TEXT($I5331,"0"),$I5331))</f>
        <v/>
      </c>
    </row>
    <row r="5332">
      <c r="B5332" s="25" t="n"/>
      <c r="I5332" s="25" t="n"/>
      <c r="U5332" s="19">
        <f>IF($V5332&lt;&gt;'設定'!$C$4,N(U5331),IF(OR(NOT(COUNTIF('商品マスタ'!$B$6:$B$1005,$W5332)=0),COUNTIFS('①在庫を貼る'!$V$6:$V$10005,$V5332,'①在庫を貼る'!$W$6:$W$10005,$W5332)+COUNTIFS('月1回_1ヶ月前の在庫'!$V$6:$V$10005,$V5332,'月1回_1ヶ月前の在庫'!$W$6:$W$10005,$W5332)&gt;0),N(U5331),N(U5331)+1))</f>
        <v/>
      </c>
      <c r="V5332" s="19">
        <f>IF($B5332="","",TEXT($B5332,"0000"))</f>
        <v/>
      </c>
      <c r="W5332" s="19">
        <f>IF($I5332="","",IF(ISNUMBER($I5332),TEXT($I5332,"0"),$I5332))</f>
        <v/>
      </c>
    </row>
    <row r="5333">
      <c r="B5333" s="25" t="n"/>
      <c r="I5333" s="25" t="n"/>
      <c r="U5333" s="19">
        <f>IF($V5333&lt;&gt;'設定'!$C$4,N(U5332),IF(OR(NOT(COUNTIF('商品マスタ'!$B$6:$B$1005,$W5333)=0),COUNTIFS('①在庫を貼る'!$V$6:$V$10005,$V5333,'①在庫を貼る'!$W$6:$W$10005,$W5333)+COUNTIFS('月1回_1ヶ月前の在庫'!$V$6:$V$10005,$V5333,'月1回_1ヶ月前の在庫'!$W$6:$W$10005,$W5333)&gt;0),N(U5332),N(U5332)+1))</f>
        <v/>
      </c>
      <c r="V5333" s="19">
        <f>IF($B5333="","",TEXT($B5333,"0000"))</f>
        <v/>
      </c>
      <c r="W5333" s="19">
        <f>IF($I5333="","",IF(ISNUMBER($I5333),TEXT($I5333,"0"),$I5333))</f>
        <v/>
      </c>
    </row>
    <row r="5334">
      <c r="B5334" s="25" t="n"/>
      <c r="I5334" s="25" t="n"/>
      <c r="U5334" s="19">
        <f>IF($V5334&lt;&gt;'設定'!$C$4,N(U5333),IF(OR(NOT(COUNTIF('商品マスタ'!$B$6:$B$1005,$W5334)=0),COUNTIFS('①在庫を貼る'!$V$6:$V$10005,$V5334,'①在庫を貼る'!$W$6:$W$10005,$W5334)+COUNTIFS('月1回_1ヶ月前の在庫'!$V$6:$V$10005,$V5334,'月1回_1ヶ月前の在庫'!$W$6:$W$10005,$W5334)&gt;0),N(U5333),N(U5333)+1))</f>
        <v/>
      </c>
      <c r="V5334" s="19">
        <f>IF($B5334="","",TEXT($B5334,"0000"))</f>
        <v/>
      </c>
      <c r="W5334" s="19">
        <f>IF($I5334="","",IF(ISNUMBER($I5334),TEXT($I5334,"0"),$I5334))</f>
        <v/>
      </c>
    </row>
    <row r="5335">
      <c r="B5335" s="25" t="n"/>
      <c r="I5335" s="25" t="n"/>
      <c r="U5335" s="19">
        <f>IF($V5335&lt;&gt;'設定'!$C$4,N(U5334),IF(OR(NOT(COUNTIF('商品マスタ'!$B$6:$B$1005,$W5335)=0),COUNTIFS('①在庫を貼る'!$V$6:$V$10005,$V5335,'①在庫を貼る'!$W$6:$W$10005,$W5335)+COUNTIFS('月1回_1ヶ月前の在庫'!$V$6:$V$10005,$V5335,'月1回_1ヶ月前の在庫'!$W$6:$W$10005,$W5335)&gt;0),N(U5334),N(U5334)+1))</f>
        <v/>
      </c>
      <c r="V5335" s="19">
        <f>IF($B5335="","",TEXT($B5335,"0000"))</f>
        <v/>
      </c>
      <c r="W5335" s="19">
        <f>IF($I5335="","",IF(ISNUMBER($I5335),TEXT($I5335,"0"),$I5335))</f>
        <v/>
      </c>
    </row>
    <row r="5336">
      <c r="B5336" s="25" t="n"/>
      <c r="I5336" s="25" t="n"/>
      <c r="U5336" s="19">
        <f>IF($V5336&lt;&gt;'設定'!$C$4,N(U5335),IF(OR(NOT(COUNTIF('商品マスタ'!$B$6:$B$1005,$W5336)=0),COUNTIFS('①在庫を貼る'!$V$6:$V$10005,$V5336,'①在庫を貼る'!$W$6:$W$10005,$W5336)+COUNTIFS('月1回_1ヶ月前の在庫'!$V$6:$V$10005,$V5336,'月1回_1ヶ月前の在庫'!$W$6:$W$10005,$W5336)&gt;0),N(U5335),N(U5335)+1))</f>
        <v/>
      </c>
      <c r="V5336" s="19">
        <f>IF($B5336="","",TEXT($B5336,"0000"))</f>
        <v/>
      </c>
      <c r="W5336" s="19">
        <f>IF($I5336="","",IF(ISNUMBER($I5336),TEXT($I5336,"0"),$I5336))</f>
        <v/>
      </c>
    </row>
    <row r="5337">
      <c r="B5337" s="25" t="n"/>
      <c r="I5337" s="25" t="n"/>
      <c r="U5337" s="19">
        <f>IF($V5337&lt;&gt;'設定'!$C$4,N(U5336),IF(OR(NOT(COUNTIF('商品マスタ'!$B$6:$B$1005,$W5337)=0),COUNTIFS('①在庫を貼る'!$V$6:$V$10005,$V5337,'①在庫を貼る'!$W$6:$W$10005,$W5337)+COUNTIFS('月1回_1ヶ月前の在庫'!$V$6:$V$10005,$V5337,'月1回_1ヶ月前の在庫'!$W$6:$W$10005,$W5337)&gt;0),N(U5336),N(U5336)+1))</f>
        <v/>
      </c>
      <c r="V5337" s="19">
        <f>IF($B5337="","",TEXT($B5337,"0000"))</f>
        <v/>
      </c>
      <c r="W5337" s="19">
        <f>IF($I5337="","",IF(ISNUMBER($I5337),TEXT($I5337,"0"),$I5337))</f>
        <v/>
      </c>
    </row>
    <row r="5338">
      <c r="B5338" s="25" t="n"/>
      <c r="I5338" s="25" t="n"/>
      <c r="U5338" s="19">
        <f>IF($V5338&lt;&gt;'設定'!$C$4,N(U5337),IF(OR(NOT(COUNTIF('商品マスタ'!$B$6:$B$1005,$W5338)=0),COUNTIFS('①在庫を貼る'!$V$6:$V$10005,$V5338,'①在庫を貼る'!$W$6:$W$10005,$W5338)+COUNTIFS('月1回_1ヶ月前の在庫'!$V$6:$V$10005,$V5338,'月1回_1ヶ月前の在庫'!$W$6:$W$10005,$W5338)&gt;0),N(U5337),N(U5337)+1))</f>
        <v/>
      </c>
      <c r="V5338" s="19">
        <f>IF($B5338="","",TEXT($B5338,"0000"))</f>
        <v/>
      </c>
      <c r="W5338" s="19">
        <f>IF($I5338="","",IF(ISNUMBER($I5338),TEXT($I5338,"0"),$I5338))</f>
        <v/>
      </c>
    </row>
    <row r="5339">
      <c r="B5339" s="25" t="n"/>
      <c r="I5339" s="25" t="n"/>
      <c r="U5339" s="19">
        <f>IF($V5339&lt;&gt;'設定'!$C$4,N(U5338),IF(OR(NOT(COUNTIF('商品マスタ'!$B$6:$B$1005,$W5339)=0),COUNTIFS('①在庫を貼る'!$V$6:$V$10005,$V5339,'①在庫を貼る'!$W$6:$W$10005,$W5339)+COUNTIFS('月1回_1ヶ月前の在庫'!$V$6:$V$10005,$V5339,'月1回_1ヶ月前の在庫'!$W$6:$W$10005,$W5339)&gt;0),N(U5338),N(U5338)+1))</f>
        <v/>
      </c>
      <c r="V5339" s="19">
        <f>IF($B5339="","",TEXT($B5339,"0000"))</f>
        <v/>
      </c>
      <c r="W5339" s="19">
        <f>IF($I5339="","",IF(ISNUMBER($I5339),TEXT($I5339,"0"),$I5339))</f>
        <v/>
      </c>
    </row>
    <row r="5340">
      <c r="B5340" s="25" t="n"/>
      <c r="I5340" s="25" t="n"/>
      <c r="U5340" s="19">
        <f>IF($V5340&lt;&gt;'設定'!$C$4,N(U5339),IF(OR(NOT(COUNTIF('商品マスタ'!$B$6:$B$1005,$W5340)=0),COUNTIFS('①在庫を貼る'!$V$6:$V$10005,$V5340,'①在庫を貼る'!$W$6:$W$10005,$W5340)+COUNTIFS('月1回_1ヶ月前の在庫'!$V$6:$V$10005,$V5340,'月1回_1ヶ月前の在庫'!$W$6:$W$10005,$W5340)&gt;0),N(U5339),N(U5339)+1))</f>
        <v/>
      </c>
      <c r="V5340" s="19">
        <f>IF($B5340="","",TEXT($B5340,"0000"))</f>
        <v/>
      </c>
      <c r="W5340" s="19">
        <f>IF($I5340="","",IF(ISNUMBER($I5340),TEXT($I5340,"0"),$I5340))</f>
        <v/>
      </c>
    </row>
    <row r="5341">
      <c r="B5341" s="25" t="n"/>
      <c r="I5341" s="25" t="n"/>
      <c r="U5341" s="19">
        <f>IF($V5341&lt;&gt;'設定'!$C$4,N(U5340),IF(OR(NOT(COUNTIF('商品マスタ'!$B$6:$B$1005,$W5341)=0),COUNTIFS('①在庫を貼る'!$V$6:$V$10005,$V5341,'①在庫を貼る'!$W$6:$W$10005,$W5341)+COUNTIFS('月1回_1ヶ月前の在庫'!$V$6:$V$10005,$V5341,'月1回_1ヶ月前の在庫'!$W$6:$W$10005,$W5341)&gt;0),N(U5340),N(U5340)+1))</f>
        <v/>
      </c>
      <c r="V5341" s="19">
        <f>IF($B5341="","",TEXT($B5341,"0000"))</f>
        <v/>
      </c>
      <c r="W5341" s="19">
        <f>IF($I5341="","",IF(ISNUMBER($I5341),TEXT($I5341,"0"),$I5341))</f>
        <v/>
      </c>
    </row>
    <row r="5342">
      <c r="B5342" s="25" t="n"/>
      <c r="I5342" s="25" t="n"/>
      <c r="U5342" s="19">
        <f>IF($V5342&lt;&gt;'設定'!$C$4,N(U5341),IF(OR(NOT(COUNTIF('商品マスタ'!$B$6:$B$1005,$W5342)=0),COUNTIFS('①在庫を貼る'!$V$6:$V$10005,$V5342,'①在庫を貼る'!$W$6:$W$10005,$W5342)+COUNTIFS('月1回_1ヶ月前の在庫'!$V$6:$V$10005,$V5342,'月1回_1ヶ月前の在庫'!$W$6:$W$10005,$W5342)&gt;0),N(U5341),N(U5341)+1))</f>
        <v/>
      </c>
      <c r="V5342" s="19">
        <f>IF($B5342="","",TEXT($B5342,"0000"))</f>
        <v/>
      </c>
      <c r="W5342" s="19">
        <f>IF($I5342="","",IF(ISNUMBER($I5342),TEXT($I5342,"0"),$I5342))</f>
        <v/>
      </c>
    </row>
    <row r="5343">
      <c r="B5343" s="25" t="n"/>
      <c r="I5343" s="25" t="n"/>
      <c r="U5343" s="19">
        <f>IF($V5343&lt;&gt;'設定'!$C$4,N(U5342),IF(OR(NOT(COUNTIF('商品マスタ'!$B$6:$B$1005,$W5343)=0),COUNTIFS('①在庫を貼る'!$V$6:$V$10005,$V5343,'①在庫を貼る'!$W$6:$W$10005,$W5343)+COUNTIFS('月1回_1ヶ月前の在庫'!$V$6:$V$10005,$V5343,'月1回_1ヶ月前の在庫'!$W$6:$W$10005,$W5343)&gt;0),N(U5342),N(U5342)+1))</f>
        <v/>
      </c>
      <c r="V5343" s="19">
        <f>IF($B5343="","",TEXT($B5343,"0000"))</f>
        <v/>
      </c>
      <c r="W5343" s="19">
        <f>IF($I5343="","",IF(ISNUMBER($I5343),TEXT($I5343,"0"),$I5343))</f>
        <v/>
      </c>
    </row>
    <row r="5344">
      <c r="B5344" s="25" t="n"/>
      <c r="I5344" s="25" t="n"/>
      <c r="U5344" s="19">
        <f>IF($V5344&lt;&gt;'設定'!$C$4,N(U5343),IF(OR(NOT(COUNTIF('商品マスタ'!$B$6:$B$1005,$W5344)=0),COUNTIFS('①在庫を貼る'!$V$6:$V$10005,$V5344,'①在庫を貼る'!$W$6:$W$10005,$W5344)+COUNTIFS('月1回_1ヶ月前の在庫'!$V$6:$V$10005,$V5344,'月1回_1ヶ月前の在庫'!$W$6:$W$10005,$W5344)&gt;0),N(U5343),N(U5343)+1))</f>
        <v/>
      </c>
      <c r="V5344" s="19">
        <f>IF($B5344="","",TEXT($B5344,"0000"))</f>
        <v/>
      </c>
      <c r="W5344" s="19">
        <f>IF($I5344="","",IF(ISNUMBER($I5344),TEXT($I5344,"0"),$I5344))</f>
        <v/>
      </c>
    </row>
    <row r="5345">
      <c r="B5345" s="25" t="n"/>
      <c r="I5345" s="25" t="n"/>
      <c r="U5345" s="19">
        <f>IF($V5345&lt;&gt;'設定'!$C$4,N(U5344),IF(OR(NOT(COUNTIF('商品マスタ'!$B$6:$B$1005,$W5345)=0),COUNTIFS('①在庫を貼る'!$V$6:$V$10005,$V5345,'①在庫を貼る'!$W$6:$W$10005,$W5345)+COUNTIFS('月1回_1ヶ月前の在庫'!$V$6:$V$10005,$V5345,'月1回_1ヶ月前の在庫'!$W$6:$W$10005,$W5345)&gt;0),N(U5344),N(U5344)+1))</f>
        <v/>
      </c>
      <c r="V5345" s="19">
        <f>IF($B5345="","",TEXT($B5345,"0000"))</f>
        <v/>
      </c>
      <c r="W5345" s="19">
        <f>IF($I5345="","",IF(ISNUMBER($I5345),TEXT($I5345,"0"),$I5345))</f>
        <v/>
      </c>
    </row>
    <row r="5346">
      <c r="B5346" s="25" t="n"/>
      <c r="I5346" s="25" t="n"/>
      <c r="U5346" s="19">
        <f>IF($V5346&lt;&gt;'設定'!$C$4,N(U5345),IF(OR(NOT(COUNTIF('商品マスタ'!$B$6:$B$1005,$W5346)=0),COUNTIFS('①在庫を貼る'!$V$6:$V$10005,$V5346,'①在庫を貼る'!$W$6:$W$10005,$W5346)+COUNTIFS('月1回_1ヶ月前の在庫'!$V$6:$V$10005,$V5346,'月1回_1ヶ月前の在庫'!$W$6:$W$10005,$W5346)&gt;0),N(U5345),N(U5345)+1))</f>
        <v/>
      </c>
      <c r="V5346" s="19">
        <f>IF($B5346="","",TEXT($B5346,"0000"))</f>
        <v/>
      </c>
      <c r="W5346" s="19">
        <f>IF($I5346="","",IF(ISNUMBER($I5346),TEXT($I5346,"0"),$I5346))</f>
        <v/>
      </c>
    </row>
    <row r="5347">
      <c r="B5347" s="25" t="n"/>
      <c r="I5347" s="25" t="n"/>
      <c r="U5347" s="19">
        <f>IF($V5347&lt;&gt;'設定'!$C$4,N(U5346),IF(OR(NOT(COUNTIF('商品マスタ'!$B$6:$B$1005,$W5347)=0),COUNTIFS('①在庫を貼る'!$V$6:$V$10005,$V5347,'①在庫を貼る'!$W$6:$W$10005,$W5347)+COUNTIFS('月1回_1ヶ月前の在庫'!$V$6:$V$10005,$V5347,'月1回_1ヶ月前の在庫'!$W$6:$W$10005,$W5347)&gt;0),N(U5346),N(U5346)+1))</f>
        <v/>
      </c>
      <c r="V5347" s="19">
        <f>IF($B5347="","",TEXT($B5347,"0000"))</f>
        <v/>
      </c>
      <c r="W5347" s="19">
        <f>IF($I5347="","",IF(ISNUMBER($I5347),TEXT($I5347,"0"),$I5347))</f>
        <v/>
      </c>
    </row>
    <row r="5348">
      <c r="B5348" s="25" t="n"/>
      <c r="I5348" s="25" t="n"/>
      <c r="U5348" s="19">
        <f>IF($V5348&lt;&gt;'設定'!$C$4,N(U5347),IF(OR(NOT(COUNTIF('商品マスタ'!$B$6:$B$1005,$W5348)=0),COUNTIFS('①在庫を貼る'!$V$6:$V$10005,$V5348,'①在庫を貼る'!$W$6:$W$10005,$W5348)+COUNTIFS('月1回_1ヶ月前の在庫'!$V$6:$V$10005,$V5348,'月1回_1ヶ月前の在庫'!$W$6:$W$10005,$W5348)&gt;0),N(U5347),N(U5347)+1))</f>
        <v/>
      </c>
      <c r="V5348" s="19">
        <f>IF($B5348="","",TEXT($B5348,"0000"))</f>
        <v/>
      </c>
      <c r="W5348" s="19">
        <f>IF($I5348="","",IF(ISNUMBER($I5348),TEXT($I5348,"0"),$I5348))</f>
        <v/>
      </c>
    </row>
    <row r="5349">
      <c r="B5349" s="25" t="n"/>
      <c r="I5349" s="25" t="n"/>
      <c r="U5349" s="19">
        <f>IF($V5349&lt;&gt;'設定'!$C$4,N(U5348),IF(OR(NOT(COUNTIF('商品マスタ'!$B$6:$B$1005,$W5349)=0),COUNTIFS('①在庫を貼る'!$V$6:$V$10005,$V5349,'①在庫を貼る'!$W$6:$W$10005,$W5349)+COUNTIFS('月1回_1ヶ月前の在庫'!$V$6:$V$10005,$V5349,'月1回_1ヶ月前の在庫'!$W$6:$W$10005,$W5349)&gt;0),N(U5348),N(U5348)+1))</f>
        <v/>
      </c>
      <c r="V5349" s="19">
        <f>IF($B5349="","",TEXT($B5349,"0000"))</f>
        <v/>
      </c>
      <c r="W5349" s="19">
        <f>IF($I5349="","",IF(ISNUMBER($I5349),TEXT($I5349,"0"),$I5349))</f>
        <v/>
      </c>
    </row>
    <row r="5350">
      <c r="B5350" s="25" t="n"/>
      <c r="I5350" s="25" t="n"/>
      <c r="U5350" s="19">
        <f>IF($V5350&lt;&gt;'設定'!$C$4,N(U5349),IF(OR(NOT(COUNTIF('商品マスタ'!$B$6:$B$1005,$W5350)=0),COUNTIFS('①在庫を貼る'!$V$6:$V$10005,$V5350,'①在庫を貼る'!$W$6:$W$10005,$W5350)+COUNTIFS('月1回_1ヶ月前の在庫'!$V$6:$V$10005,$V5350,'月1回_1ヶ月前の在庫'!$W$6:$W$10005,$W5350)&gt;0),N(U5349),N(U5349)+1))</f>
        <v/>
      </c>
      <c r="V5350" s="19">
        <f>IF($B5350="","",TEXT($B5350,"0000"))</f>
        <v/>
      </c>
      <c r="W5350" s="19">
        <f>IF($I5350="","",IF(ISNUMBER($I5350),TEXT($I5350,"0"),$I5350))</f>
        <v/>
      </c>
    </row>
    <row r="5351">
      <c r="B5351" s="25" t="n"/>
      <c r="I5351" s="25" t="n"/>
      <c r="U5351" s="19">
        <f>IF($V5351&lt;&gt;'設定'!$C$4,N(U5350),IF(OR(NOT(COUNTIF('商品マスタ'!$B$6:$B$1005,$W5351)=0),COUNTIFS('①在庫を貼る'!$V$6:$V$10005,$V5351,'①在庫を貼る'!$W$6:$W$10005,$W5351)+COUNTIFS('月1回_1ヶ月前の在庫'!$V$6:$V$10005,$V5351,'月1回_1ヶ月前の在庫'!$W$6:$W$10005,$W5351)&gt;0),N(U5350),N(U5350)+1))</f>
        <v/>
      </c>
      <c r="V5351" s="19">
        <f>IF($B5351="","",TEXT($B5351,"0000"))</f>
        <v/>
      </c>
      <c r="W5351" s="19">
        <f>IF($I5351="","",IF(ISNUMBER($I5351),TEXT($I5351,"0"),$I5351))</f>
        <v/>
      </c>
    </row>
    <row r="5352">
      <c r="B5352" s="25" t="n"/>
      <c r="I5352" s="25" t="n"/>
      <c r="U5352" s="19">
        <f>IF($V5352&lt;&gt;'設定'!$C$4,N(U5351),IF(OR(NOT(COUNTIF('商品マスタ'!$B$6:$B$1005,$W5352)=0),COUNTIFS('①在庫を貼る'!$V$6:$V$10005,$V5352,'①在庫を貼る'!$W$6:$W$10005,$W5352)+COUNTIFS('月1回_1ヶ月前の在庫'!$V$6:$V$10005,$V5352,'月1回_1ヶ月前の在庫'!$W$6:$W$10005,$W5352)&gt;0),N(U5351),N(U5351)+1))</f>
        <v/>
      </c>
      <c r="V5352" s="19">
        <f>IF($B5352="","",TEXT($B5352,"0000"))</f>
        <v/>
      </c>
      <c r="W5352" s="19">
        <f>IF($I5352="","",IF(ISNUMBER($I5352),TEXT($I5352,"0"),$I5352))</f>
        <v/>
      </c>
    </row>
    <row r="5353">
      <c r="B5353" s="25" t="n"/>
      <c r="I5353" s="25" t="n"/>
      <c r="U5353" s="19">
        <f>IF($V5353&lt;&gt;'設定'!$C$4,N(U5352),IF(OR(NOT(COUNTIF('商品マスタ'!$B$6:$B$1005,$W5353)=0),COUNTIFS('①在庫を貼る'!$V$6:$V$10005,$V5353,'①在庫を貼る'!$W$6:$W$10005,$W5353)+COUNTIFS('月1回_1ヶ月前の在庫'!$V$6:$V$10005,$V5353,'月1回_1ヶ月前の在庫'!$W$6:$W$10005,$W5353)&gt;0),N(U5352),N(U5352)+1))</f>
        <v/>
      </c>
      <c r="V5353" s="19">
        <f>IF($B5353="","",TEXT($B5353,"0000"))</f>
        <v/>
      </c>
      <c r="W5353" s="19">
        <f>IF($I5353="","",IF(ISNUMBER($I5353),TEXT($I5353,"0"),$I5353))</f>
        <v/>
      </c>
    </row>
    <row r="5354">
      <c r="B5354" s="25" t="n"/>
      <c r="I5354" s="25" t="n"/>
      <c r="U5354" s="19">
        <f>IF($V5354&lt;&gt;'設定'!$C$4,N(U5353),IF(OR(NOT(COUNTIF('商品マスタ'!$B$6:$B$1005,$W5354)=0),COUNTIFS('①在庫を貼る'!$V$6:$V$10005,$V5354,'①在庫を貼る'!$W$6:$W$10005,$W5354)+COUNTIFS('月1回_1ヶ月前の在庫'!$V$6:$V$10005,$V5354,'月1回_1ヶ月前の在庫'!$W$6:$W$10005,$W5354)&gt;0),N(U5353),N(U5353)+1))</f>
        <v/>
      </c>
      <c r="V5354" s="19">
        <f>IF($B5354="","",TEXT($B5354,"0000"))</f>
        <v/>
      </c>
      <c r="W5354" s="19">
        <f>IF($I5354="","",IF(ISNUMBER($I5354),TEXT($I5354,"0"),$I5354))</f>
        <v/>
      </c>
    </row>
    <row r="5355">
      <c r="B5355" s="25" t="n"/>
      <c r="I5355" s="25" t="n"/>
      <c r="U5355" s="19">
        <f>IF($V5355&lt;&gt;'設定'!$C$4,N(U5354),IF(OR(NOT(COUNTIF('商品マスタ'!$B$6:$B$1005,$W5355)=0),COUNTIFS('①在庫を貼る'!$V$6:$V$10005,$V5355,'①在庫を貼る'!$W$6:$W$10005,$W5355)+COUNTIFS('月1回_1ヶ月前の在庫'!$V$6:$V$10005,$V5355,'月1回_1ヶ月前の在庫'!$W$6:$W$10005,$W5355)&gt;0),N(U5354),N(U5354)+1))</f>
        <v/>
      </c>
      <c r="V5355" s="19">
        <f>IF($B5355="","",TEXT($B5355,"0000"))</f>
        <v/>
      </c>
      <c r="W5355" s="19">
        <f>IF($I5355="","",IF(ISNUMBER($I5355),TEXT($I5355,"0"),$I5355))</f>
        <v/>
      </c>
    </row>
    <row r="5356">
      <c r="B5356" s="25" t="n"/>
      <c r="I5356" s="25" t="n"/>
      <c r="U5356" s="19">
        <f>IF($V5356&lt;&gt;'設定'!$C$4,N(U5355),IF(OR(NOT(COUNTIF('商品マスタ'!$B$6:$B$1005,$W5356)=0),COUNTIFS('①在庫を貼る'!$V$6:$V$10005,$V5356,'①在庫を貼る'!$W$6:$W$10005,$W5356)+COUNTIFS('月1回_1ヶ月前の在庫'!$V$6:$V$10005,$V5356,'月1回_1ヶ月前の在庫'!$W$6:$W$10005,$W5356)&gt;0),N(U5355),N(U5355)+1))</f>
        <v/>
      </c>
      <c r="V5356" s="19">
        <f>IF($B5356="","",TEXT($B5356,"0000"))</f>
        <v/>
      </c>
      <c r="W5356" s="19">
        <f>IF($I5356="","",IF(ISNUMBER($I5356),TEXT($I5356,"0"),$I5356))</f>
        <v/>
      </c>
    </row>
    <row r="5357">
      <c r="B5357" s="25" t="n"/>
      <c r="I5357" s="25" t="n"/>
      <c r="U5357" s="19">
        <f>IF($V5357&lt;&gt;'設定'!$C$4,N(U5356),IF(OR(NOT(COUNTIF('商品マスタ'!$B$6:$B$1005,$W5357)=0),COUNTIFS('①在庫を貼る'!$V$6:$V$10005,$V5357,'①在庫を貼る'!$W$6:$W$10005,$W5357)+COUNTIFS('月1回_1ヶ月前の在庫'!$V$6:$V$10005,$V5357,'月1回_1ヶ月前の在庫'!$W$6:$W$10005,$W5357)&gt;0),N(U5356),N(U5356)+1))</f>
        <v/>
      </c>
      <c r="V5357" s="19">
        <f>IF($B5357="","",TEXT($B5357,"0000"))</f>
        <v/>
      </c>
      <c r="W5357" s="19">
        <f>IF($I5357="","",IF(ISNUMBER($I5357),TEXT($I5357,"0"),$I5357))</f>
        <v/>
      </c>
    </row>
    <row r="5358">
      <c r="B5358" s="25" t="n"/>
      <c r="I5358" s="25" t="n"/>
      <c r="U5358" s="19">
        <f>IF($V5358&lt;&gt;'設定'!$C$4,N(U5357),IF(OR(NOT(COUNTIF('商品マスタ'!$B$6:$B$1005,$W5358)=0),COUNTIFS('①在庫を貼る'!$V$6:$V$10005,$V5358,'①在庫を貼る'!$W$6:$W$10005,$W5358)+COUNTIFS('月1回_1ヶ月前の在庫'!$V$6:$V$10005,$V5358,'月1回_1ヶ月前の在庫'!$W$6:$W$10005,$W5358)&gt;0),N(U5357),N(U5357)+1))</f>
        <v/>
      </c>
      <c r="V5358" s="19">
        <f>IF($B5358="","",TEXT($B5358,"0000"))</f>
        <v/>
      </c>
      <c r="W5358" s="19">
        <f>IF($I5358="","",IF(ISNUMBER($I5358),TEXT($I5358,"0"),$I5358))</f>
        <v/>
      </c>
    </row>
    <row r="5359">
      <c r="B5359" s="25" t="n"/>
      <c r="I5359" s="25" t="n"/>
      <c r="U5359" s="19">
        <f>IF($V5359&lt;&gt;'設定'!$C$4,N(U5358),IF(OR(NOT(COUNTIF('商品マスタ'!$B$6:$B$1005,$W5359)=0),COUNTIFS('①在庫を貼る'!$V$6:$V$10005,$V5359,'①在庫を貼る'!$W$6:$W$10005,$W5359)+COUNTIFS('月1回_1ヶ月前の在庫'!$V$6:$V$10005,$V5359,'月1回_1ヶ月前の在庫'!$W$6:$W$10005,$W5359)&gt;0),N(U5358),N(U5358)+1))</f>
        <v/>
      </c>
      <c r="V5359" s="19">
        <f>IF($B5359="","",TEXT($B5359,"0000"))</f>
        <v/>
      </c>
      <c r="W5359" s="19">
        <f>IF($I5359="","",IF(ISNUMBER($I5359),TEXT($I5359,"0"),$I5359))</f>
        <v/>
      </c>
    </row>
    <row r="5360">
      <c r="B5360" s="25" t="n"/>
      <c r="I5360" s="25" t="n"/>
      <c r="U5360" s="19">
        <f>IF($V5360&lt;&gt;'設定'!$C$4,N(U5359),IF(OR(NOT(COUNTIF('商品マスタ'!$B$6:$B$1005,$W5360)=0),COUNTIFS('①在庫を貼る'!$V$6:$V$10005,$V5360,'①在庫を貼る'!$W$6:$W$10005,$W5360)+COUNTIFS('月1回_1ヶ月前の在庫'!$V$6:$V$10005,$V5360,'月1回_1ヶ月前の在庫'!$W$6:$W$10005,$W5360)&gt;0),N(U5359),N(U5359)+1))</f>
        <v/>
      </c>
      <c r="V5360" s="19">
        <f>IF($B5360="","",TEXT($B5360,"0000"))</f>
        <v/>
      </c>
      <c r="W5360" s="19">
        <f>IF($I5360="","",IF(ISNUMBER($I5360),TEXT($I5360,"0"),$I5360))</f>
        <v/>
      </c>
    </row>
    <row r="5361">
      <c r="B5361" s="25" t="n"/>
      <c r="I5361" s="25" t="n"/>
      <c r="U5361" s="19">
        <f>IF($V5361&lt;&gt;'設定'!$C$4,N(U5360),IF(OR(NOT(COUNTIF('商品マスタ'!$B$6:$B$1005,$W5361)=0),COUNTIFS('①在庫を貼る'!$V$6:$V$10005,$V5361,'①在庫を貼る'!$W$6:$W$10005,$W5361)+COUNTIFS('月1回_1ヶ月前の在庫'!$V$6:$V$10005,$V5361,'月1回_1ヶ月前の在庫'!$W$6:$W$10005,$W5361)&gt;0),N(U5360),N(U5360)+1))</f>
        <v/>
      </c>
      <c r="V5361" s="19">
        <f>IF($B5361="","",TEXT($B5361,"0000"))</f>
        <v/>
      </c>
      <c r="W5361" s="19">
        <f>IF($I5361="","",IF(ISNUMBER($I5361),TEXT($I5361,"0"),$I5361))</f>
        <v/>
      </c>
    </row>
    <row r="5362">
      <c r="B5362" s="25" t="n"/>
      <c r="I5362" s="25" t="n"/>
      <c r="U5362" s="19">
        <f>IF($V5362&lt;&gt;'設定'!$C$4,N(U5361),IF(OR(NOT(COUNTIF('商品マスタ'!$B$6:$B$1005,$W5362)=0),COUNTIFS('①在庫を貼る'!$V$6:$V$10005,$V5362,'①在庫を貼る'!$W$6:$W$10005,$W5362)+COUNTIFS('月1回_1ヶ月前の在庫'!$V$6:$V$10005,$V5362,'月1回_1ヶ月前の在庫'!$W$6:$W$10005,$W5362)&gt;0),N(U5361),N(U5361)+1))</f>
        <v/>
      </c>
      <c r="V5362" s="19">
        <f>IF($B5362="","",TEXT($B5362,"0000"))</f>
        <v/>
      </c>
      <c r="W5362" s="19">
        <f>IF($I5362="","",IF(ISNUMBER($I5362),TEXT($I5362,"0"),$I5362))</f>
        <v/>
      </c>
    </row>
    <row r="5363">
      <c r="B5363" s="25" t="n"/>
      <c r="I5363" s="25" t="n"/>
      <c r="U5363" s="19">
        <f>IF($V5363&lt;&gt;'設定'!$C$4,N(U5362),IF(OR(NOT(COUNTIF('商品マスタ'!$B$6:$B$1005,$W5363)=0),COUNTIFS('①在庫を貼る'!$V$6:$V$10005,$V5363,'①在庫を貼る'!$W$6:$W$10005,$W5363)+COUNTIFS('月1回_1ヶ月前の在庫'!$V$6:$V$10005,$V5363,'月1回_1ヶ月前の在庫'!$W$6:$W$10005,$W5363)&gt;0),N(U5362),N(U5362)+1))</f>
        <v/>
      </c>
      <c r="V5363" s="19">
        <f>IF($B5363="","",TEXT($B5363,"0000"))</f>
        <v/>
      </c>
      <c r="W5363" s="19">
        <f>IF($I5363="","",IF(ISNUMBER($I5363),TEXT($I5363,"0"),$I5363))</f>
        <v/>
      </c>
    </row>
    <row r="5364">
      <c r="B5364" s="25" t="n"/>
      <c r="I5364" s="25" t="n"/>
      <c r="U5364" s="19">
        <f>IF($V5364&lt;&gt;'設定'!$C$4,N(U5363),IF(OR(NOT(COUNTIF('商品マスタ'!$B$6:$B$1005,$W5364)=0),COUNTIFS('①在庫を貼る'!$V$6:$V$10005,$V5364,'①在庫を貼る'!$W$6:$W$10005,$W5364)+COUNTIFS('月1回_1ヶ月前の在庫'!$V$6:$V$10005,$V5364,'月1回_1ヶ月前の在庫'!$W$6:$W$10005,$W5364)&gt;0),N(U5363),N(U5363)+1))</f>
        <v/>
      </c>
      <c r="V5364" s="19">
        <f>IF($B5364="","",TEXT($B5364,"0000"))</f>
        <v/>
      </c>
      <c r="W5364" s="19">
        <f>IF($I5364="","",IF(ISNUMBER($I5364),TEXT($I5364,"0"),$I5364))</f>
        <v/>
      </c>
    </row>
    <row r="5365">
      <c r="B5365" s="25" t="n"/>
      <c r="I5365" s="25" t="n"/>
      <c r="U5365" s="19">
        <f>IF($V5365&lt;&gt;'設定'!$C$4,N(U5364),IF(OR(NOT(COUNTIF('商品マスタ'!$B$6:$B$1005,$W5365)=0),COUNTIFS('①在庫を貼る'!$V$6:$V$10005,$V5365,'①在庫を貼る'!$W$6:$W$10005,$W5365)+COUNTIFS('月1回_1ヶ月前の在庫'!$V$6:$V$10005,$V5365,'月1回_1ヶ月前の在庫'!$W$6:$W$10005,$W5365)&gt;0),N(U5364),N(U5364)+1))</f>
        <v/>
      </c>
      <c r="V5365" s="19">
        <f>IF($B5365="","",TEXT($B5365,"0000"))</f>
        <v/>
      </c>
      <c r="W5365" s="19">
        <f>IF($I5365="","",IF(ISNUMBER($I5365),TEXT($I5365,"0"),$I5365))</f>
        <v/>
      </c>
    </row>
    <row r="5366">
      <c r="B5366" s="25" t="n"/>
      <c r="I5366" s="25" t="n"/>
      <c r="U5366" s="19">
        <f>IF($V5366&lt;&gt;'設定'!$C$4,N(U5365),IF(OR(NOT(COUNTIF('商品マスタ'!$B$6:$B$1005,$W5366)=0),COUNTIFS('①在庫を貼る'!$V$6:$V$10005,$V5366,'①在庫を貼る'!$W$6:$W$10005,$W5366)+COUNTIFS('月1回_1ヶ月前の在庫'!$V$6:$V$10005,$V5366,'月1回_1ヶ月前の在庫'!$W$6:$W$10005,$W5366)&gt;0),N(U5365),N(U5365)+1))</f>
        <v/>
      </c>
      <c r="V5366" s="19">
        <f>IF($B5366="","",TEXT($B5366,"0000"))</f>
        <v/>
      </c>
      <c r="W5366" s="19">
        <f>IF($I5366="","",IF(ISNUMBER($I5366),TEXT($I5366,"0"),$I5366))</f>
        <v/>
      </c>
    </row>
    <row r="5367">
      <c r="B5367" s="25" t="n"/>
      <c r="I5367" s="25" t="n"/>
      <c r="U5367" s="19">
        <f>IF($V5367&lt;&gt;'設定'!$C$4,N(U5366),IF(OR(NOT(COUNTIF('商品マスタ'!$B$6:$B$1005,$W5367)=0),COUNTIFS('①在庫を貼る'!$V$6:$V$10005,$V5367,'①在庫を貼る'!$W$6:$W$10005,$W5367)+COUNTIFS('月1回_1ヶ月前の在庫'!$V$6:$V$10005,$V5367,'月1回_1ヶ月前の在庫'!$W$6:$W$10005,$W5367)&gt;0),N(U5366),N(U5366)+1))</f>
        <v/>
      </c>
      <c r="V5367" s="19">
        <f>IF($B5367="","",TEXT($B5367,"0000"))</f>
        <v/>
      </c>
      <c r="W5367" s="19">
        <f>IF($I5367="","",IF(ISNUMBER($I5367),TEXT($I5367,"0"),$I5367))</f>
        <v/>
      </c>
    </row>
    <row r="5368">
      <c r="B5368" s="25" t="n"/>
      <c r="I5368" s="25" t="n"/>
      <c r="U5368" s="19">
        <f>IF($V5368&lt;&gt;'設定'!$C$4,N(U5367),IF(OR(NOT(COUNTIF('商品マスタ'!$B$6:$B$1005,$W5368)=0),COUNTIFS('①在庫を貼る'!$V$6:$V$10005,$V5368,'①在庫を貼る'!$W$6:$W$10005,$W5368)+COUNTIFS('月1回_1ヶ月前の在庫'!$V$6:$V$10005,$V5368,'月1回_1ヶ月前の在庫'!$W$6:$W$10005,$W5368)&gt;0),N(U5367),N(U5367)+1))</f>
        <v/>
      </c>
      <c r="V5368" s="19">
        <f>IF($B5368="","",TEXT($B5368,"0000"))</f>
        <v/>
      </c>
      <c r="W5368" s="19">
        <f>IF($I5368="","",IF(ISNUMBER($I5368),TEXT($I5368,"0"),$I5368))</f>
        <v/>
      </c>
    </row>
    <row r="5369">
      <c r="B5369" s="25" t="n"/>
      <c r="I5369" s="25" t="n"/>
      <c r="U5369" s="19">
        <f>IF($V5369&lt;&gt;'設定'!$C$4,N(U5368),IF(OR(NOT(COUNTIF('商品マスタ'!$B$6:$B$1005,$W5369)=0),COUNTIFS('①在庫を貼る'!$V$6:$V$10005,$V5369,'①在庫を貼る'!$W$6:$W$10005,$W5369)+COUNTIFS('月1回_1ヶ月前の在庫'!$V$6:$V$10005,$V5369,'月1回_1ヶ月前の在庫'!$W$6:$W$10005,$W5369)&gt;0),N(U5368),N(U5368)+1))</f>
        <v/>
      </c>
      <c r="V5369" s="19">
        <f>IF($B5369="","",TEXT($B5369,"0000"))</f>
        <v/>
      </c>
      <c r="W5369" s="19">
        <f>IF($I5369="","",IF(ISNUMBER($I5369),TEXT($I5369,"0"),$I5369))</f>
        <v/>
      </c>
    </row>
    <row r="5370">
      <c r="B5370" s="25" t="n"/>
      <c r="I5370" s="25" t="n"/>
      <c r="U5370" s="19">
        <f>IF($V5370&lt;&gt;'設定'!$C$4,N(U5369),IF(OR(NOT(COUNTIF('商品マスタ'!$B$6:$B$1005,$W5370)=0),COUNTIFS('①在庫を貼る'!$V$6:$V$10005,$V5370,'①在庫を貼る'!$W$6:$W$10005,$W5370)+COUNTIFS('月1回_1ヶ月前の在庫'!$V$6:$V$10005,$V5370,'月1回_1ヶ月前の在庫'!$W$6:$W$10005,$W5370)&gt;0),N(U5369),N(U5369)+1))</f>
        <v/>
      </c>
      <c r="V5370" s="19">
        <f>IF($B5370="","",TEXT($B5370,"0000"))</f>
        <v/>
      </c>
      <c r="W5370" s="19">
        <f>IF($I5370="","",IF(ISNUMBER($I5370),TEXT($I5370,"0"),$I5370))</f>
        <v/>
      </c>
    </row>
    <row r="5371">
      <c r="B5371" s="25" t="n"/>
      <c r="I5371" s="25" t="n"/>
      <c r="U5371" s="19">
        <f>IF($V5371&lt;&gt;'設定'!$C$4,N(U5370),IF(OR(NOT(COUNTIF('商品マスタ'!$B$6:$B$1005,$W5371)=0),COUNTIFS('①在庫を貼る'!$V$6:$V$10005,$V5371,'①在庫を貼る'!$W$6:$W$10005,$W5371)+COUNTIFS('月1回_1ヶ月前の在庫'!$V$6:$V$10005,$V5371,'月1回_1ヶ月前の在庫'!$W$6:$W$10005,$W5371)&gt;0),N(U5370),N(U5370)+1))</f>
        <v/>
      </c>
      <c r="V5371" s="19">
        <f>IF($B5371="","",TEXT($B5371,"0000"))</f>
        <v/>
      </c>
      <c r="W5371" s="19">
        <f>IF($I5371="","",IF(ISNUMBER($I5371),TEXT($I5371,"0"),$I5371))</f>
        <v/>
      </c>
    </row>
    <row r="5372">
      <c r="B5372" s="25" t="n"/>
      <c r="I5372" s="25" t="n"/>
      <c r="U5372" s="19">
        <f>IF($V5372&lt;&gt;'設定'!$C$4,N(U5371),IF(OR(NOT(COUNTIF('商品マスタ'!$B$6:$B$1005,$W5372)=0),COUNTIFS('①在庫を貼る'!$V$6:$V$10005,$V5372,'①在庫を貼る'!$W$6:$W$10005,$W5372)+COUNTIFS('月1回_1ヶ月前の在庫'!$V$6:$V$10005,$V5372,'月1回_1ヶ月前の在庫'!$W$6:$W$10005,$W5372)&gt;0),N(U5371),N(U5371)+1))</f>
        <v/>
      </c>
      <c r="V5372" s="19">
        <f>IF($B5372="","",TEXT($B5372,"0000"))</f>
        <v/>
      </c>
      <c r="W5372" s="19">
        <f>IF($I5372="","",IF(ISNUMBER($I5372),TEXT($I5372,"0"),$I5372))</f>
        <v/>
      </c>
    </row>
    <row r="5373">
      <c r="B5373" s="25" t="n"/>
      <c r="I5373" s="25" t="n"/>
      <c r="U5373" s="19">
        <f>IF($V5373&lt;&gt;'設定'!$C$4,N(U5372),IF(OR(NOT(COUNTIF('商品マスタ'!$B$6:$B$1005,$W5373)=0),COUNTIFS('①在庫を貼る'!$V$6:$V$10005,$V5373,'①在庫を貼る'!$W$6:$W$10005,$W5373)+COUNTIFS('月1回_1ヶ月前の在庫'!$V$6:$V$10005,$V5373,'月1回_1ヶ月前の在庫'!$W$6:$W$10005,$W5373)&gt;0),N(U5372),N(U5372)+1))</f>
        <v/>
      </c>
      <c r="V5373" s="19">
        <f>IF($B5373="","",TEXT($B5373,"0000"))</f>
        <v/>
      </c>
      <c r="W5373" s="19">
        <f>IF($I5373="","",IF(ISNUMBER($I5373),TEXT($I5373,"0"),$I5373))</f>
        <v/>
      </c>
    </row>
    <row r="5374">
      <c r="B5374" s="25" t="n"/>
      <c r="I5374" s="25" t="n"/>
      <c r="U5374" s="19">
        <f>IF($V5374&lt;&gt;'設定'!$C$4,N(U5373),IF(OR(NOT(COUNTIF('商品マスタ'!$B$6:$B$1005,$W5374)=0),COUNTIFS('①在庫を貼る'!$V$6:$V$10005,$V5374,'①在庫を貼る'!$W$6:$W$10005,$W5374)+COUNTIFS('月1回_1ヶ月前の在庫'!$V$6:$V$10005,$V5374,'月1回_1ヶ月前の在庫'!$W$6:$W$10005,$W5374)&gt;0),N(U5373),N(U5373)+1))</f>
        <v/>
      </c>
      <c r="V5374" s="19">
        <f>IF($B5374="","",TEXT($B5374,"0000"))</f>
        <v/>
      </c>
      <c r="W5374" s="19">
        <f>IF($I5374="","",IF(ISNUMBER($I5374),TEXT($I5374,"0"),$I5374))</f>
        <v/>
      </c>
    </row>
    <row r="5375">
      <c r="B5375" s="25" t="n"/>
      <c r="I5375" s="25" t="n"/>
      <c r="U5375" s="19">
        <f>IF($V5375&lt;&gt;'設定'!$C$4,N(U5374),IF(OR(NOT(COUNTIF('商品マスタ'!$B$6:$B$1005,$W5375)=0),COUNTIFS('①在庫を貼る'!$V$6:$V$10005,$V5375,'①在庫を貼る'!$W$6:$W$10005,$W5375)+COUNTIFS('月1回_1ヶ月前の在庫'!$V$6:$V$10005,$V5375,'月1回_1ヶ月前の在庫'!$W$6:$W$10005,$W5375)&gt;0),N(U5374),N(U5374)+1))</f>
        <v/>
      </c>
      <c r="V5375" s="19">
        <f>IF($B5375="","",TEXT($B5375,"0000"))</f>
        <v/>
      </c>
      <c r="W5375" s="19">
        <f>IF($I5375="","",IF(ISNUMBER($I5375),TEXT($I5375,"0"),$I5375))</f>
        <v/>
      </c>
    </row>
    <row r="5376">
      <c r="B5376" s="25" t="n"/>
      <c r="I5376" s="25" t="n"/>
      <c r="U5376" s="19">
        <f>IF($V5376&lt;&gt;'設定'!$C$4,N(U5375),IF(OR(NOT(COUNTIF('商品マスタ'!$B$6:$B$1005,$W5376)=0),COUNTIFS('①在庫を貼る'!$V$6:$V$10005,$V5376,'①在庫を貼る'!$W$6:$W$10005,$W5376)+COUNTIFS('月1回_1ヶ月前の在庫'!$V$6:$V$10005,$V5376,'月1回_1ヶ月前の在庫'!$W$6:$W$10005,$W5376)&gt;0),N(U5375),N(U5375)+1))</f>
        <v/>
      </c>
      <c r="V5376" s="19">
        <f>IF($B5376="","",TEXT($B5376,"0000"))</f>
        <v/>
      </c>
      <c r="W5376" s="19">
        <f>IF($I5376="","",IF(ISNUMBER($I5376),TEXT($I5376,"0"),$I5376))</f>
        <v/>
      </c>
    </row>
    <row r="5377">
      <c r="B5377" s="25" t="n"/>
      <c r="I5377" s="25" t="n"/>
      <c r="U5377" s="19">
        <f>IF($V5377&lt;&gt;'設定'!$C$4,N(U5376),IF(OR(NOT(COUNTIF('商品マスタ'!$B$6:$B$1005,$W5377)=0),COUNTIFS('①在庫を貼る'!$V$6:$V$10005,$V5377,'①在庫を貼る'!$W$6:$W$10005,$W5377)+COUNTIFS('月1回_1ヶ月前の在庫'!$V$6:$V$10005,$V5377,'月1回_1ヶ月前の在庫'!$W$6:$W$10005,$W5377)&gt;0),N(U5376),N(U5376)+1))</f>
        <v/>
      </c>
      <c r="V5377" s="19">
        <f>IF($B5377="","",TEXT($B5377,"0000"))</f>
        <v/>
      </c>
      <c r="W5377" s="19">
        <f>IF($I5377="","",IF(ISNUMBER($I5377),TEXT($I5377,"0"),$I5377))</f>
        <v/>
      </c>
    </row>
    <row r="5378">
      <c r="B5378" s="25" t="n"/>
      <c r="I5378" s="25" t="n"/>
      <c r="U5378" s="19">
        <f>IF($V5378&lt;&gt;'設定'!$C$4,N(U5377),IF(OR(NOT(COUNTIF('商品マスタ'!$B$6:$B$1005,$W5378)=0),COUNTIFS('①在庫を貼る'!$V$6:$V$10005,$V5378,'①在庫を貼る'!$W$6:$W$10005,$W5378)+COUNTIFS('月1回_1ヶ月前の在庫'!$V$6:$V$10005,$V5378,'月1回_1ヶ月前の在庫'!$W$6:$W$10005,$W5378)&gt;0),N(U5377),N(U5377)+1))</f>
        <v/>
      </c>
      <c r="V5378" s="19">
        <f>IF($B5378="","",TEXT($B5378,"0000"))</f>
        <v/>
      </c>
      <c r="W5378" s="19">
        <f>IF($I5378="","",IF(ISNUMBER($I5378),TEXT($I5378,"0"),$I5378))</f>
        <v/>
      </c>
    </row>
    <row r="5379">
      <c r="B5379" s="25" t="n"/>
      <c r="I5379" s="25" t="n"/>
      <c r="U5379" s="19">
        <f>IF($V5379&lt;&gt;'設定'!$C$4,N(U5378),IF(OR(NOT(COUNTIF('商品マスタ'!$B$6:$B$1005,$W5379)=0),COUNTIFS('①在庫を貼る'!$V$6:$V$10005,$V5379,'①在庫を貼る'!$W$6:$W$10005,$W5379)+COUNTIFS('月1回_1ヶ月前の在庫'!$V$6:$V$10005,$V5379,'月1回_1ヶ月前の在庫'!$W$6:$W$10005,$W5379)&gt;0),N(U5378),N(U5378)+1))</f>
        <v/>
      </c>
      <c r="V5379" s="19">
        <f>IF($B5379="","",TEXT($B5379,"0000"))</f>
        <v/>
      </c>
      <c r="W5379" s="19">
        <f>IF($I5379="","",IF(ISNUMBER($I5379),TEXT($I5379,"0"),$I5379))</f>
        <v/>
      </c>
    </row>
    <row r="5380">
      <c r="B5380" s="25" t="n"/>
      <c r="I5380" s="25" t="n"/>
      <c r="U5380" s="19">
        <f>IF($V5380&lt;&gt;'設定'!$C$4,N(U5379),IF(OR(NOT(COUNTIF('商品マスタ'!$B$6:$B$1005,$W5380)=0),COUNTIFS('①在庫を貼る'!$V$6:$V$10005,$V5380,'①在庫を貼る'!$W$6:$W$10005,$W5380)+COUNTIFS('月1回_1ヶ月前の在庫'!$V$6:$V$10005,$V5380,'月1回_1ヶ月前の在庫'!$W$6:$W$10005,$W5380)&gt;0),N(U5379),N(U5379)+1))</f>
        <v/>
      </c>
      <c r="V5380" s="19">
        <f>IF($B5380="","",TEXT($B5380,"0000"))</f>
        <v/>
      </c>
      <c r="W5380" s="19">
        <f>IF($I5380="","",IF(ISNUMBER($I5380),TEXT($I5380,"0"),$I5380))</f>
        <v/>
      </c>
    </row>
    <row r="5381">
      <c r="B5381" s="25" t="n"/>
      <c r="I5381" s="25" t="n"/>
      <c r="U5381" s="19">
        <f>IF($V5381&lt;&gt;'設定'!$C$4,N(U5380),IF(OR(NOT(COUNTIF('商品マスタ'!$B$6:$B$1005,$W5381)=0),COUNTIFS('①在庫を貼る'!$V$6:$V$10005,$V5381,'①在庫を貼る'!$W$6:$W$10005,$W5381)+COUNTIFS('月1回_1ヶ月前の在庫'!$V$6:$V$10005,$V5381,'月1回_1ヶ月前の在庫'!$W$6:$W$10005,$W5381)&gt;0),N(U5380),N(U5380)+1))</f>
        <v/>
      </c>
      <c r="V5381" s="19">
        <f>IF($B5381="","",TEXT($B5381,"0000"))</f>
        <v/>
      </c>
      <c r="W5381" s="19">
        <f>IF($I5381="","",IF(ISNUMBER($I5381),TEXT($I5381,"0"),$I5381))</f>
        <v/>
      </c>
    </row>
    <row r="5382">
      <c r="B5382" s="25" t="n"/>
      <c r="I5382" s="25" t="n"/>
      <c r="U5382" s="19">
        <f>IF($V5382&lt;&gt;'設定'!$C$4,N(U5381),IF(OR(NOT(COUNTIF('商品マスタ'!$B$6:$B$1005,$W5382)=0),COUNTIFS('①在庫を貼る'!$V$6:$V$10005,$V5382,'①在庫を貼る'!$W$6:$W$10005,$W5382)+COUNTIFS('月1回_1ヶ月前の在庫'!$V$6:$V$10005,$V5382,'月1回_1ヶ月前の在庫'!$W$6:$W$10005,$W5382)&gt;0),N(U5381),N(U5381)+1))</f>
        <v/>
      </c>
      <c r="V5382" s="19">
        <f>IF($B5382="","",TEXT($B5382,"0000"))</f>
        <v/>
      </c>
      <c r="W5382" s="19">
        <f>IF($I5382="","",IF(ISNUMBER($I5382),TEXT($I5382,"0"),$I5382))</f>
        <v/>
      </c>
    </row>
    <row r="5383">
      <c r="B5383" s="25" t="n"/>
      <c r="I5383" s="25" t="n"/>
      <c r="U5383" s="19">
        <f>IF($V5383&lt;&gt;'設定'!$C$4,N(U5382),IF(OR(NOT(COUNTIF('商品マスタ'!$B$6:$B$1005,$W5383)=0),COUNTIFS('①在庫を貼る'!$V$6:$V$10005,$V5383,'①在庫を貼る'!$W$6:$W$10005,$W5383)+COUNTIFS('月1回_1ヶ月前の在庫'!$V$6:$V$10005,$V5383,'月1回_1ヶ月前の在庫'!$W$6:$W$10005,$W5383)&gt;0),N(U5382),N(U5382)+1))</f>
        <v/>
      </c>
      <c r="V5383" s="19">
        <f>IF($B5383="","",TEXT($B5383,"0000"))</f>
        <v/>
      </c>
      <c r="W5383" s="19">
        <f>IF($I5383="","",IF(ISNUMBER($I5383),TEXT($I5383,"0"),$I5383))</f>
        <v/>
      </c>
    </row>
    <row r="5384">
      <c r="B5384" s="25" t="n"/>
      <c r="I5384" s="25" t="n"/>
      <c r="U5384" s="19">
        <f>IF($V5384&lt;&gt;'設定'!$C$4,N(U5383),IF(OR(NOT(COUNTIF('商品マスタ'!$B$6:$B$1005,$W5384)=0),COUNTIFS('①在庫を貼る'!$V$6:$V$10005,$V5384,'①在庫を貼る'!$W$6:$W$10005,$W5384)+COUNTIFS('月1回_1ヶ月前の在庫'!$V$6:$V$10005,$V5384,'月1回_1ヶ月前の在庫'!$W$6:$W$10005,$W5384)&gt;0),N(U5383),N(U5383)+1))</f>
        <v/>
      </c>
      <c r="V5384" s="19">
        <f>IF($B5384="","",TEXT($B5384,"0000"))</f>
        <v/>
      </c>
      <c r="W5384" s="19">
        <f>IF($I5384="","",IF(ISNUMBER($I5384),TEXT($I5384,"0"),$I5384))</f>
        <v/>
      </c>
    </row>
    <row r="5385">
      <c r="B5385" s="25" t="n"/>
      <c r="I5385" s="25" t="n"/>
      <c r="U5385" s="19">
        <f>IF($V5385&lt;&gt;'設定'!$C$4,N(U5384),IF(OR(NOT(COUNTIF('商品マスタ'!$B$6:$B$1005,$W5385)=0),COUNTIFS('①在庫を貼る'!$V$6:$V$10005,$V5385,'①在庫を貼る'!$W$6:$W$10005,$W5385)+COUNTIFS('月1回_1ヶ月前の在庫'!$V$6:$V$10005,$V5385,'月1回_1ヶ月前の在庫'!$W$6:$W$10005,$W5385)&gt;0),N(U5384),N(U5384)+1))</f>
        <v/>
      </c>
      <c r="V5385" s="19">
        <f>IF($B5385="","",TEXT($B5385,"0000"))</f>
        <v/>
      </c>
      <c r="W5385" s="19">
        <f>IF($I5385="","",IF(ISNUMBER($I5385),TEXT($I5385,"0"),$I5385))</f>
        <v/>
      </c>
    </row>
    <row r="5386">
      <c r="B5386" s="25" t="n"/>
      <c r="I5386" s="25" t="n"/>
      <c r="U5386" s="19">
        <f>IF($V5386&lt;&gt;'設定'!$C$4,N(U5385),IF(OR(NOT(COUNTIF('商品マスタ'!$B$6:$B$1005,$W5386)=0),COUNTIFS('①在庫を貼る'!$V$6:$V$10005,$V5386,'①在庫を貼る'!$W$6:$W$10005,$W5386)+COUNTIFS('月1回_1ヶ月前の在庫'!$V$6:$V$10005,$V5386,'月1回_1ヶ月前の在庫'!$W$6:$W$10005,$W5386)&gt;0),N(U5385),N(U5385)+1))</f>
        <v/>
      </c>
      <c r="V5386" s="19">
        <f>IF($B5386="","",TEXT($B5386,"0000"))</f>
        <v/>
      </c>
      <c r="W5386" s="19">
        <f>IF($I5386="","",IF(ISNUMBER($I5386),TEXT($I5386,"0"),$I5386))</f>
        <v/>
      </c>
    </row>
    <row r="5387">
      <c r="B5387" s="25" t="n"/>
      <c r="I5387" s="25" t="n"/>
      <c r="U5387" s="19">
        <f>IF($V5387&lt;&gt;'設定'!$C$4,N(U5386),IF(OR(NOT(COUNTIF('商品マスタ'!$B$6:$B$1005,$W5387)=0),COUNTIFS('①在庫を貼る'!$V$6:$V$10005,$V5387,'①在庫を貼る'!$W$6:$W$10005,$W5387)+COUNTIFS('月1回_1ヶ月前の在庫'!$V$6:$V$10005,$V5387,'月1回_1ヶ月前の在庫'!$W$6:$W$10005,$W5387)&gt;0),N(U5386),N(U5386)+1))</f>
        <v/>
      </c>
      <c r="V5387" s="19">
        <f>IF($B5387="","",TEXT($B5387,"0000"))</f>
        <v/>
      </c>
      <c r="W5387" s="19">
        <f>IF($I5387="","",IF(ISNUMBER($I5387),TEXT($I5387,"0"),$I5387))</f>
        <v/>
      </c>
    </row>
    <row r="5388">
      <c r="B5388" s="25" t="n"/>
      <c r="I5388" s="25" t="n"/>
      <c r="U5388" s="19">
        <f>IF($V5388&lt;&gt;'設定'!$C$4,N(U5387),IF(OR(NOT(COUNTIF('商品マスタ'!$B$6:$B$1005,$W5388)=0),COUNTIFS('①在庫を貼る'!$V$6:$V$10005,$V5388,'①在庫を貼る'!$W$6:$W$10005,$W5388)+COUNTIFS('月1回_1ヶ月前の在庫'!$V$6:$V$10005,$V5388,'月1回_1ヶ月前の在庫'!$W$6:$W$10005,$W5388)&gt;0),N(U5387),N(U5387)+1))</f>
        <v/>
      </c>
      <c r="V5388" s="19">
        <f>IF($B5388="","",TEXT($B5388,"0000"))</f>
        <v/>
      </c>
      <c r="W5388" s="19">
        <f>IF($I5388="","",IF(ISNUMBER($I5388),TEXT($I5388,"0"),$I5388))</f>
        <v/>
      </c>
    </row>
    <row r="5389">
      <c r="B5389" s="25" t="n"/>
      <c r="I5389" s="25" t="n"/>
      <c r="U5389" s="19">
        <f>IF($V5389&lt;&gt;'設定'!$C$4,N(U5388),IF(OR(NOT(COUNTIF('商品マスタ'!$B$6:$B$1005,$W5389)=0),COUNTIFS('①在庫を貼る'!$V$6:$V$10005,$V5389,'①在庫を貼る'!$W$6:$W$10005,$W5389)+COUNTIFS('月1回_1ヶ月前の在庫'!$V$6:$V$10005,$V5389,'月1回_1ヶ月前の在庫'!$W$6:$W$10005,$W5389)&gt;0),N(U5388),N(U5388)+1))</f>
        <v/>
      </c>
      <c r="V5389" s="19">
        <f>IF($B5389="","",TEXT($B5389,"0000"))</f>
        <v/>
      </c>
      <c r="W5389" s="19">
        <f>IF($I5389="","",IF(ISNUMBER($I5389),TEXT($I5389,"0"),$I5389))</f>
        <v/>
      </c>
    </row>
    <row r="5390">
      <c r="B5390" s="25" t="n"/>
      <c r="I5390" s="25" t="n"/>
      <c r="U5390" s="19">
        <f>IF($V5390&lt;&gt;'設定'!$C$4,N(U5389),IF(OR(NOT(COUNTIF('商品マスタ'!$B$6:$B$1005,$W5390)=0),COUNTIFS('①在庫を貼る'!$V$6:$V$10005,$V5390,'①在庫を貼る'!$W$6:$W$10005,$W5390)+COUNTIFS('月1回_1ヶ月前の在庫'!$V$6:$V$10005,$V5390,'月1回_1ヶ月前の在庫'!$W$6:$W$10005,$W5390)&gt;0),N(U5389),N(U5389)+1))</f>
        <v/>
      </c>
      <c r="V5390" s="19">
        <f>IF($B5390="","",TEXT($B5390,"0000"))</f>
        <v/>
      </c>
      <c r="W5390" s="19">
        <f>IF($I5390="","",IF(ISNUMBER($I5390),TEXT($I5390,"0"),$I5390))</f>
        <v/>
      </c>
    </row>
    <row r="5391">
      <c r="B5391" s="25" t="n"/>
      <c r="I5391" s="25" t="n"/>
      <c r="U5391" s="19">
        <f>IF($V5391&lt;&gt;'設定'!$C$4,N(U5390),IF(OR(NOT(COUNTIF('商品マスタ'!$B$6:$B$1005,$W5391)=0),COUNTIFS('①在庫を貼る'!$V$6:$V$10005,$V5391,'①在庫を貼る'!$W$6:$W$10005,$W5391)+COUNTIFS('月1回_1ヶ月前の在庫'!$V$6:$V$10005,$V5391,'月1回_1ヶ月前の在庫'!$W$6:$W$10005,$W5391)&gt;0),N(U5390),N(U5390)+1))</f>
        <v/>
      </c>
      <c r="V5391" s="19">
        <f>IF($B5391="","",TEXT($B5391,"0000"))</f>
        <v/>
      </c>
      <c r="W5391" s="19">
        <f>IF($I5391="","",IF(ISNUMBER($I5391),TEXT($I5391,"0"),$I5391))</f>
        <v/>
      </c>
    </row>
    <row r="5392">
      <c r="B5392" s="25" t="n"/>
      <c r="I5392" s="25" t="n"/>
      <c r="U5392" s="19">
        <f>IF($V5392&lt;&gt;'設定'!$C$4,N(U5391),IF(OR(NOT(COUNTIF('商品マスタ'!$B$6:$B$1005,$W5392)=0),COUNTIFS('①在庫を貼る'!$V$6:$V$10005,$V5392,'①在庫を貼る'!$W$6:$W$10005,$W5392)+COUNTIFS('月1回_1ヶ月前の在庫'!$V$6:$V$10005,$V5392,'月1回_1ヶ月前の在庫'!$W$6:$W$10005,$W5392)&gt;0),N(U5391),N(U5391)+1))</f>
        <v/>
      </c>
      <c r="V5392" s="19">
        <f>IF($B5392="","",TEXT($B5392,"0000"))</f>
        <v/>
      </c>
      <c r="W5392" s="19">
        <f>IF($I5392="","",IF(ISNUMBER($I5392),TEXT($I5392,"0"),$I5392))</f>
        <v/>
      </c>
    </row>
    <row r="5393">
      <c r="B5393" s="25" t="n"/>
      <c r="I5393" s="25" t="n"/>
      <c r="U5393" s="19">
        <f>IF($V5393&lt;&gt;'設定'!$C$4,N(U5392),IF(OR(NOT(COUNTIF('商品マスタ'!$B$6:$B$1005,$W5393)=0),COUNTIFS('①在庫を貼る'!$V$6:$V$10005,$V5393,'①在庫を貼る'!$W$6:$W$10005,$W5393)+COUNTIFS('月1回_1ヶ月前の在庫'!$V$6:$V$10005,$V5393,'月1回_1ヶ月前の在庫'!$W$6:$W$10005,$W5393)&gt;0),N(U5392),N(U5392)+1))</f>
        <v/>
      </c>
      <c r="V5393" s="19">
        <f>IF($B5393="","",TEXT($B5393,"0000"))</f>
        <v/>
      </c>
      <c r="W5393" s="19">
        <f>IF($I5393="","",IF(ISNUMBER($I5393),TEXT($I5393,"0"),$I5393))</f>
        <v/>
      </c>
    </row>
    <row r="5394">
      <c r="B5394" s="25" t="n"/>
      <c r="I5394" s="25" t="n"/>
      <c r="U5394" s="19">
        <f>IF($V5394&lt;&gt;'設定'!$C$4,N(U5393),IF(OR(NOT(COUNTIF('商品マスタ'!$B$6:$B$1005,$W5394)=0),COUNTIFS('①在庫を貼る'!$V$6:$V$10005,$V5394,'①在庫を貼る'!$W$6:$W$10005,$W5394)+COUNTIFS('月1回_1ヶ月前の在庫'!$V$6:$V$10005,$V5394,'月1回_1ヶ月前の在庫'!$W$6:$W$10005,$W5394)&gt;0),N(U5393),N(U5393)+1))</f>
        <v/>
      </c>
      <c r="V5394" s="19">
        <f>IF($B5394="","",TEXT($B5394,"0000"))</f>
        <v/>
      </c>
      <c r="W5394" s="19">
        <f>IF($I5394="","",IF(ISNUMBER($I5394),TEXT($I5394,"0"),$I5394))</f>
        <v/>
      </c>
    </row>
    <row r="5395">
      <c r="B5395" s="25" t="n"/>
      <c r="I5395" s="25" t="n"/>
      <c r="U5395" s="19">
        <f>IF($V5395&lt;&gt;'設定'!$C$4,N(U5394),IF(OR(NOT(COUNTIF('商品マスタ'!$B$6:$B$1005,$W5395)=0),COUNTIFS('①在庫を貼る'!$V$6:$V$10005,$V5395,'①在庫を貼る'!$W$6:$W$10005,$W5395)+COUNTIFS('月1回_1ヶ月前の在庫'!$V$6:$V$10005,$V5395,'月1回_1ヶ月前の在庫'!$W$6:$W$10005,$W5395)&gt;0),N(U5394),N(U5394)+1))</f>
        <v/>
      </c>
      <c r="V5395" s="19">
        <f>IF($B5395="","",TEXT($B5395,"0000"))</f>
        <v/>
      </c>
      <c r="W5395" s="19">
        <f>IF($I5395="","",IF(ISNUMBER($I5395),TEXT($I5395,"0"),$I5395))</f>
        <v/>
      </c>
    </row>
    <row r="5396">
      <c r="B5396" s="25" t="n"/>
      <c r="I5396" s="25" t="n"/>
      <c r="U5396" s="19">
        <f>IF($V5396&lt;&gt;'設定'!$C$4,N(U5395),IF(OR(NOT(COUNTIF('商品マスタ'!$B$6:$B$1005,$W5396)=0),COUNTIFS('①在庫を貼る'!$V$6:$V$10005,$V5396,'①在庫を貼る'!$W$6:$W$10005,$W5396)+COUNTIFS('月1回_1ヶ月前の在庫'!$V$6:$V$10005,$V5396,'月1回_1ヶ月前の在庫'!$W$6:$W$10005,$W5396)&gt;0),N(U5395),N(U5395)+1))</f>
        <v/>
      </c>
      <c r="V5396" s="19">
        <f>IF($B5396="","",TEXT($B5396,"0000"))</f>
        <v/>
      </c>
      <c r="W5396" s="19">
        <f>IF($I5396="","",IF(ISNUMBER($I5396),TEXT($I5396,"0"),$I5396))</f>
        <v/>
      </c>
    </row>
    <row r="5397">
      <c r="B5397" s="25" t="n"/>
      <c r="I5397" s="25" t="n"/>
      <c r="U5397" s="19">
        <f>IF($V5397&lt;&gt;'設定'!$C$4,N(U5396),IF(OR(NOT(COUNTIF('商品マスタ'!$B$6:$B$1005,$W5397)=0),COUNTIFS('①在庫を貼る'!$V$6:$V$10005,$V5397,'①在庫を貼る'!$W$6:$W$10005,$W5397)+COUNTIFS('月1回_1ヶ月前の在庫'!$V$6:$V$10005,$V5397,'月1回_1ヶ月前の在庫'!$W$6:$W$10005,$W5397)&gt;0),N(U5396),N(U5396)+1))</f>
        <v/>
      </c>
      <c r="V5397" s="19">
        <f>IF($B5397="","",TEXT($B5397,"0000"))</f>
        <v/>
      </c>
      <c r="W5397" s="19">
        <f>IF($I5397="","",IF(ISNUMBER($I5397),TEXT($I5397,"0"),$I5397))</f>
        <v/>
      </c>
    </row>
    <row r="5398">
      <c r="B5398" s="25" t="n"/>
      <c r="I5398" s="25" t="n"/>
      <c r="U5398" s="19">
        <f>IF($V5398&lt;&gt;'設定'!$C$4,N(U5397),IF(OR(NOT(COUNTIF('商品マスタ'!$B$6:$B$1005,$W5398)=0),COUNTIFS('①在庫を貼る'!$V$6:$V$10005,$V5398,'①在庫を貼る'!$W$6:$W$10005,$W5398)+COUNTIFS('月1回_1ヶ月前の在庫'!$V$6:$V$10005,$V5398,'月1回_1ヶ月前の在庫'!$W$6:$W$10005,$W5398)&gt;0),N(U5397),N(U5397)+1))</f>
        <v/>
      </c>
      <c r="V5398" s="19">
        <f>IF($B5398="","",TEXT($B5398,"0000"))</f>
        <v/>
      </c>
      <c r="W5398" s="19">
        <f>IF($I5398="","",IF(ISNUMBER($I5398),TEXT($I5398,"0"),$I5398))</f>
        <v/>
      </c>
    </row>
    <row r="5399">
      <c r="B5399" s="25" t="n"/>
      <c r="I5399" s="25" t="n"/>
      <c r="U5399" s="19">
        <f>IF($V5399&lt;&gt;'設定'!$C$4,N(U5398),IF(OR(NOT(COUNTIF('商品マスタ'!$B$6:$B$1005,$W5399)=0),COUNTIFS('①在庫を貼る'!$V$6:$V$10005,$V5399,'①在庫を貼る'!$W$6:$W$10005,$W5399)+COUNTIFS('月1回_1ヶ月前の在庫'!$V$6:$V$10005,$V5399,'月1回_1ヶ月前の在庫'!$W$6:$W$10005,$W5399)&gt;0),N(U5398),N(U5398)+1))</f>
        <v/>
      </c>
      <c r="V5399" s="19">
        <f>IF($B5399="","",TEXT($B5399,"0000"))</f>
        <v/>
      </c>
      <c r="W5399" s="19">
        <f>IF($I5399="","",IF(ISNUMBER($I5399),TEXT($I5399,"0"),$I5399))</f>
        <v/>
      </c>
    </row>
    <row r="5400">
      <c r="B5400" s="25" t="n"/>
      <c r="I5400" s="25" t="n"/>
      <c r="U5400" s="19">
        <f>IF($V5400&lt;&gt;'設定'!$C$4,N(U5399),IF(OR(NOT(COUNTIF('商品マスタ'!$B$6:$B$1005,$W5400)=0),COUNTIFS('①在庫を貼る'!$V$6:$V$10005,$V5400,'①在庫を貼る'!$W$6:$W$10005,$W5400)+COUNTIFS('月1回_1ヶ月前の在庫'!$V$6:$V$10005,$V5400,'月1回_1ヶ月前の在庫'!$W$6:$W$10005,$W5400)&gt;0),N(U5399),N(U5399)+1))</f>
        <v/>
      </c>
      <c r="V5400" s="19">
        <f>IF($B5400="","",TEXT($B5400,"0000"))</f>
        <v/>
      </c>
      <c r="W5400" s="19">
        <f>IF($I5400="","",IF(ISNUMBER($I5400),TEXT($I5400,"0"),$I5400))</f>
        <v/>
      </c>
    </row>
    <row r="5401">
      <c r="B5401" s="25" t="n"/>
      <c r="I5401" s="25" t="n"/>
      <c r="U5401" s="19">
        <f>IF($V5401&lt;&gt;'設定'!$C$4,N(U5400),IF(OR(NOT(COUNTIF('商品マスタ'!$B$6:$B$1005,$W5401)=0),COUNTIFS('①在庫を貼る'!$V$6:$V$10005,$V5401,'①在庫を貼る'!$W$6:$W$10005,$W5401)+COUNTIFS('月1回_1ヶ月前の在庫'!$V$6:$V$10005,$V5401,'月1回_1ヶ月前の在庫'!$W$6:$W$10005,$W5401)&gt;0),N(U5400),N(U5400)+1))</f>
        <v/>
      </c>
      <c r="V5401" s="19">
        <f>IF($B5401="","",TEXT($B5401,"0000"))</f>
        <v/>
      </c>
      <c r="W5401" s="19">
        <f>IF($I5401="","",IF(ISNUMBER($I5401),TEXT($I5401,"0"),$I5401))</f>
        <v/>
      </c>
    </row>
    <row r="5402">
      <c r="B5402" s="25" t="n"/>
      <c r="I5402" s="25" t="n"/>
      <c r="U5402" s="19">
        <f>IF($V5402&lt;&gt;'設定'!$C$4,N(U5401),IF(OR(NOT(COUNTIF('商品マスタ'!$B$6:$B$1005,$W5402)=0),COUNTIFS('①在庫を貼る'!$V$6:$V$10005,$V5402,'①在庫を貼る'!$W$6:$W$10005,$W5402)+COUNTIFS('月1回_1ヶ月前の在庫'!$V$6:$V$10005,$V5402,'月1回_1ヶ月前の在庫'!$W$6:$W$10005,$W5402)&gt;0),N(U5401),N(U5401)+1))</f>
        <v/>
      </c>
      <c r="V5402" s="19">
        <f>IF($B5402="","",TEXT($B5402,"0000"))</f>
        <v/>
      </c>
      <c r="W5402" s="19">
        <f>IF($I5402="","",IF(ISNUMBER($I5402),TEXT($I5402,"0"),$I5402))</f>
        <v/>
      </c>
    </row>
    <row r="5403">
      <c r="B5403" s="25" t="n"/>
      <c r="I5403" s="25" t="n"/>
      <c r="U5403" s="19">
        <f>IF($V5403&lt;&gt;'設定'!$C$4,N(U5402),IF(OR(NOT(COUNTIF('商品マスタ'!$B$6:$B$1005,$W5403)=0),COUNTIFS('①在庫を貼る'!$V$6:$V$10005,$V5403,'①在庫を貼る'!$W$6:$W$10005,$W5403)+COUNTIFS('月1回_1ヶ月前の在庫'!$V$6:$V$10005,$V5403,'月1回_1ヶ月前の在庫'!$W$6:$W$10005,$W5403)&gt;0),N(U5402),N(U5402)+1))</f>
        <v/>
      </c>
      <c r="V5403" s="19">
        <f>IF($B5403="","",TEXT($B5403,"0000"))</f>
        <v/>
      </c>
      <c r="W5403" s="19">
        <f>IF($I5403="","",IF(ISNUMBER($I5403),TEXT($I5403,"0"),$I5403))</f>
        <v/>
      </c>
    </row>
    <row r="5404">
      <c r="B5404" s="25" t="n"/>
      <c r="I5404" s="25" t="n"/>
      <c r="U5404" s="19">
        <f>IF($V5404&lt;&gt;'設定'!$C$4,N(U5403),IF(OR(NOT(COUNTIF('商品マスタ'!$B$6:$B$1005,$W5404)=0),COUNTIFS('①在庫を貼る'!$V$6:$V$10005,$V5404,'①在庫を貼る'!$W$6:$W$10005,$W5404)+COUNTIFS('月1回_1ヶ月前の在庫'!$V$6:$V$10005,$V5404,'月1回_1ヶ月前の在庫'!$W$6:$W$10005,$W5404)&gt;0),N(U5403),N(U5403)+1))</f>
        <v/>
      </c>
      <c r="V5404" s="19">
        <f>IF($B5404="","",TEXT($B5404,"0000"))</f>
        <v/>
      </c>
      <c r="W5404" s="19">
        <f>IF($I5404="","",IF(ISNUMBER($I5404),TEXT($I5404,"0"),$I5404))</f>
        <v/>
      </c>
    </row>
    <row r="5405">
      <c r="B5405" s="25" t="n"/>
      <c r="I5405" s="25" t="n"/>
      <c r="U5405" s="19">
        <f>IF($V5405&lt;&gt;'設定'!$C$4,N(U5404),IF(OR(NOT(COUNTIF('商品マスタ'!$B$6:$B$1005,$W5405)=0),COUNTIFS('①在庫を貼る'!$V$6:$V$10005,$V5405,'①在庫を貼る'!$W$6:$W$10005,$W5405)+COUNTIFS('月1回_1ヶ月前の在庫'!$V$6:$V$10005,$V5405,'月1回_1ヶ月前の在庫'!$W$6:$W$10005,$W5405)&gt;0),N(U5404),N(U5404)+1))</f>
        <v/>
      </c>
      <c r="V5405" s="19">
        <f>IF($B5405="","",TEXT($B5405,"0000"))</f>
        <v/>
      </c>
      <c r="W5405" s="19">
        <f>IF($I5405="","",IF(ISNUMBER($I5405),TEXT($I5405,"0"),$I5405))</f>
        <v/>
      </c>
    </row>
    <row r="5406">
      <c r="B5406" s="25" t="n"/>
      <c r="I5406" s="25" t="n"/>
      <c r="U5406" s="19">
        <f>IF($V5406&lt;&gt;'設定'!$C$4,N(U5405),IF(OR(NOT(COUNTIF('商品マスタ'!$B$6:$B$1005,$W5406)=0),COUNTIFS('①在庫を貼る'!$V$6:$V$10005,$V5406,'①在庫を貼る'!$W$6:$W$10005,$W5406)+COUNTIFS('月1回_1ヶ月前の在庫'!$V$6:$V$10005,$V5406,'月1回_1ヶ月前の在庫'!$W$6:$W$10005,$W5406)&gt;0),N(U5405),N(U5405)+1))</f>
        <v/>
      </c>
      <c r="V5406" s="19">
        <f>IF($B5406="","",TEXT($B5406,"0000"))</f>
        <v/>
      </c>
      <c r="W5406" s="19">
        <f>IF($I5406="","",IF(ISNUMBER($I5406),TEXT($I5406,"0"),$I5406))</f>
        <v/>
      </c>
    </row>
    <row r="5407">
      <c r="B5407" s="25" t="n"/>
      <c r="I5407" s="25" t="n"/>
      <c r="U5407" s="19">
        <f>IF($V5407&lt;&gt;'設定'!$C$4,N(U5406),IF(OR(NOT(COUNTIF('商品マスタ'!$B$6:$B$1005,$W5407)=0),COUNTIFS('①在庫を貼る'!$V$6:$V$10005,$V5407,'①在庫を貼る'!$W$6:$W$10005,$W5407)+COUNTIFS('月1回_1ヶ月前の在庫'!$V$6:$V$10005,$V5407,'月1回_1ヶ月前の在庫'!$W$6:$W$10005,$W5407)&gt;0),N(U5406),N(U5406)+1))</f>
        <v/>
      </c>
      <c r="V5407" s="19">
        <f>IF($B5407="","",TEXT($B5407,"0000"))</f>
        <v/>
      </c>
      <c r="W5407" s="19">
        <f>IF($I5407="","",IF(ISNUMBER($I5407),TEXT($I5407,"0"),$I5407))</f>
        <v/>
      </c>
    </row>
    <row r="5408">
      <c r="B5408" s="25" t="n"/>
      <c r="I5408" s="25" t="n"/>
      <c r="U5408" s="19">
        <f>IF($V5408&lt;&gt;'設定'!$C$4,N(U5407),IF(OR(NOT(COUNTIF('商品マスタ'!$B$6:$B$1005,$W5408)=0),COUNTIFS('①在庫を貼る'!$V$6:$V$10005,$V5408,'①在庫を貼る'!$W$6:$W$10005,$W5408)+COUNTIFS('月1回_1ヶ月前の在庫'!$V$6:$V$10005,$V5408,'月1回_1ヶ月前の在庫'!$W$6:$W$10005,$W5408)&gt;0),N(U5407),N(U5407)+1))</f>
        <v/>
      </c>
      <c r="V5408" s="19">
        <f>IF($B5408="","",TEXT($B5408,"0000"))</f>
        <v/>
      </c>
      <c r="W5408" s="19">
        <f>IF($I5408="","",IF(ISNUMBER($I5408),TEXT($I5408,"0"),$I5408))</f>
        <v/>
      </c>
    </row>
    <row r="5409">
      <c r="B5409" s="25" t="n"/>
      <c r="I5409" s="25" t="n"/>
      <c r="U5409" s="19">
        <f>IF($V5409&lt;&gt;'設定'!$C$4,N(U5408),IF(OR(NOT(COUNTIF('商品マスタ'!$B$6:$B$1005,$W5409)=0),COUNTIFS('①在庫を貼る'!$V$6:$V$10005,$V5409,'①在庫を貼る'!$W$6:$W$10005,$W5409)+COUNTIFS('月1回_1ヶ月前の在庫'!$V$6:$V$10005,$V5409,'月1回_1ヶ月前の在庫'!$W$6:$W$10005,$W5409)&gt;0),N(U5408),N(U5408)+1))</f>
        <v/>
      </c>
      <c r="V5409" s="19">
        <f>IF($B5409="","",TEXT($B5409,"0000"))</f>
        <v/>
      </c>
      <c r="W5409" s="19">
        <f>IF($I5409="","",IF(ISNUMBER($I5409),TEXT($I5409,"0"),$I5409))</f>
        <v/>
      </c>
    </row>
    <row r="5410">
      <c r="B5410" s="25" t="n"/>
      <c r="I5410" s="25" t="n"/>
      <c r="U5410" s="19">
        <f>IF($V5410&lt;&gt;'設定'!$C$4,N(U5409),IF(OR(NOT(COUNTIF('商品マスタ'!$B$6:$B$1005,$W5410)=0),COUNTIFS('①在庫を貼る'!$V$6:$V$10005,$V5410,'①在庫を貼る'!$W$6:$W$10005,$W5410)+COUNTIFS('月1回_1ヶ月前の在庫'!$V$6:$V$10005,$V5410,'月1回_1ヶ月前の在庫'!$W$6:$W$10005,$W5410)&gt;0),N(U5409),N(U5409)+1))</f>
        <v/>
      </c>
      <c r="V5410" s="19">
        <f>IF($B5410="","",TEXT($B5410,"0000"))</f>
        <v/>
      </c>
      <c r="W5410" s="19">
        <f>IF($I5410="","",IF(ISNUMBER($I5410),TEXT($I5410,"0"),$I5410))</f>
        <v/>
      </c>
    </row>
    <row r="5411">
      <c r="B5411" s="25" t="n"/>
      <c r="I5411" s="25" t="n"/>
      <c r="U5411" s="19">
        <f>IF($V5411&lt;&gt;'設定'!$C$4,N(U5410),IF(OR(NOT(COUNTIF('商品マスタ'!$B$6:$B$1005,$W5411)=0),COUNTIFS('①在庫を貼る'!$V$6:$V$10005,$V5411,'①在庫を貼る'!$W$6:$W$10005,$W5411)+COUNTIFS('月1回_1ヶ月前の在庫'!$V$6:$V$10005,$V5411,'月1回_1ヶ月前の在庫'!$W$6:$W$10005,$W5411)&gt;0),N(U5410),N(U5410)+1))</f>
        <v/>
      </c>
      <c r="V5411" s="19">
        <f>IF($B5411="","",TEXT($B5411,"0000"))</f>
        <v/>
      </c>
      <c r="W5411" s="19">
        <f>IF($I5411="","",IF(ISNUMBER($I5411),TEXT($I5411,"0"),$I5411))</f>
        <v/>
      </c>
    </row>
    <row r="5412">
      <c r="B5412" s="25" t="n"/>
      <c r="I5412" s="25" t="n"/>
      <c r="U5412" s="19">
        <f>IF($V5412&lt;&gt;'設定'!$C$4,N(U5411),IF(OR(NOT(COUNTIF('商品マスタ'!$B$6:$B$1005,$W5412)=0),COUNTIFS('①在庫を貼る'!$V$6:$V$10005,$V5412,'①在庫を貼る'!$W$6:$W$10005,$W5412)+COUNTIFS('月1回_1ヶ月前の在庫'!$V$6:$V$10005,$V5412,'月1回_1ヶ月前の在庫'!$W$6:$W$10005,$W5412)&gt;0),N(U5411),N(U5411)+1))</f>
        <v/>
      </c>
      <c r="V5412" s="19">
        <f>IF($B5412="","",TEXT($B5412,"0000"))</f>
        <v/>
      </c>
      <c r="W5412" s="19">
        <f>IF($I5412="","",IF(ISNUMBER($I5412),TEXT($I5412,"0"),$I5412))</f>
        <v/>
      </c>
    </row>
    <row r="5413">
      <c r="B5413" s="25" t="n"/>
      <c r="I5413" s="25" t="n"/>
      <c r="U5413" s="19">
        <f>IF($V5413&lt;&gt;'設定'!$C$4,N(U5412),IF(OR(NOT(COUNTIF('商品マスタ'!$B$6:$B$1005,$W5413)=0),COUNTIFS('①在庫を貼る'!$V$6:$V$10005,$V5413,'①在庫を貼る'!$W$6:$W$10005,$W5413)+COUNTIFS('月1回_1ヶ月前の在庫'!$V$6:$V$10005,$V5413,'月1回_1ヶ月前の在庫'!$W$6:$W$10005,$W5413)&gt;0),N(U5412),N(U5412)+1))</f>
        <v/>
      </c>
      <c r="V5413" s="19">
        <f>IF($B5413="","",TEXT($B5413,"0000"))</f>
        <v/>
      </c>
      <c r="W5413" s="19">
        <f>IF($I5413="","",IF(ISNUMBER($I5413),TEXT($I5413,"0"),$I5413))</f>
        <v/>
      </c>
    </row>
    <row r="5414">
      <c r="B5414" s="25" t="n"/>
      <c r="I5414" s="25" t="n"/>
      <c r="U5414" s="19">
        <f>IF($V5414&lt;&gt;'設定'!$C$4,N(U5413),IF(OR(NOT(COUNTIF('商品マスタ'!$B$6:$B$1005,$W5414)=0),COUNTIFS('①在庫を貼る'!$V$6:$V$10005,$V5414,'①在庫を貼る'!$W$6:$W$10005,$W5414)+COUNTIFS('月1回_1ヶ月前の在庫'!$V$6:$V$10005,$V5414,'月1回_1ヶ月前の在庫'!$W$6:$W$10005,$W5414)&gt;0),N(U5413),N(U5413)+1))</f>
        <v/>
      </c>
      <c r="V5414" s="19">
        <f>IF($B5414="","",TEXT($B5414,"0000"))</f>
        <v/>
      </c>
      <c r="W5414" s="19">
        <f>IF($I5414="","",IF(ISNUMBER($I5414),TEXT($I5414,"0"),$I5414))</f>
        <v/>
      </c>
    </row>
    <row r="5415">
      <c r="B5415" s="25" t="n"/>
      <c r="I5415" s="25" t="n"/>
      <c r="U5415" s="19">
        <f>IF($V5415&lt;&gt;'設定'!$C$4,N(U5414),IF(OR(NOT(COUNTIF('商品マスタ'!$B$6:$B$1005,$W5415)=0),COUNTIFS('①在庫を貼る'!$V$6:$V$10005,$V5415,'①在庫を貼る'!$W$6:$W$10005,$W5415)+COUNTIFS('月1回_1ヶ月前の在庫'!$V$6:$V$10005,$V5415,'月1回_1ヶ月前の在庫'!$W$6:$W$10005,$W5415)&gt;0),N(U5414),N(U5414)+1))</f>
        <v/>
      </c>
      <c r="V5415" s="19">
        <f>IF($B5415="","",TEXT($B5415,"0000"))</f>
        <v/>
      </c>
      <c r="W5415" s="19">
        <f>IF($I5415="","",IF(ISNUMBER($I5415),TEXT($I5415,"0"),$I5415))</f>
        <v/>
      </c>
    </row>
    <row r="5416">
      <c r="B5416" s="25" t="n"/>
      <c r="I5416" s="25" t="n"/>
      <c r="U5416" s="19">
        <f>IF($V5416&lt;&gt;'設定'!$C$4,N(U5415),IF(OR(NOT(COUNTIF('商品マスタ'!$B$6:$B$1005,$W5416)=0),COUNTIFS('①在庫を貼る'!$V$6:$V$10005,$V5416,'①在庫を貼る'!$W$6:$W$10005,$W5416)+COUNTIFS('月1回_1ヶ月前の在庫'!$V$6:$V$10005,$V5416,'月1回_1ヶ月前の在庫'!$W$6:$W$10005,$W5416)&gt;0),N(U5415),N(U5415)+1))</f>
        <v/>
      </c>
      <c r="V5416" s="19">
        <f>IF($B5416="","",TEXT($B5416,"0000"))</f>
        <v/>
      </c>
      <c r="W5416" s="19">
        <f>IF($I5416="","",IF(ISNUMBER($I5416),TEXT($I5416,"0"),$I5416))</f>
        <v/>
      </c>
    </row>
    <row r="5417">
      <c r="B5417" s="25" t="n"/>
      <c r="I5417" s="25" t="n"/>
      <c r="U5417" s="19">
        <f>IF($V5417&lt;&gt;'設定'!$C$4,N(U5416),IF(OR(NOT(COUNTIF('商品マスタ'!$B$6:$B$1005,$W5417)=0),COUNTIFS('①在庫を貼る'!$V$6:$V$10005,$V5417,'①在庫を貼る'!$W$6:$W$10005,$W5417)+COUNTIFS('月1回_1ヶ月前の在庫'!$V$6:$V$10005,$V5417,'月1回_1ヶ月前の在庫'!$W$6:$W$10005,$W5417)&gt;0),N(U5416),N(U5416)+1))</f>
        <v/>
      </c>
      <c r="V5417" s="19">
        <f>IF($B5417="","",TEXT($B5417,"0000"))</f>
        <v/>
      </c>
      <c r="W5417" s="19">
        <f>IF($I5417="","",IF(ISNUMBER($I5417),TEXT($I5417,"0"),$I5417))</f>
        <v/>
      </c>
    </row>
    <row r="5418">
      <c r="B5418" s="25" t="n"/>
      <c r="I5418" s="25" t="n"/>
      <c r="U5418" s="19">
        <f>IF($V5418&lt;&gt;'設定'!$C$4,N(U5417),IF(OR(NOT(COUNTIF('商品マスタ'!$B$6:$B$1005,$W5418)=0),COUNTIFS('①在庫を貼る'!$V$6:$V$10005,$V5418,'①在庫を貼る'!$W$6:$W$10005,$W5418)+COUNTIFS('月1回_1ヶ月前の在庫'!$V$6:$V$10005,$V5418,'月1回_1ヶ月前の在庫'!$W$6:$W$10005,$W5418)&gt;0),N(U5417),N(U5417)+1))</f>
        <v/>
      </c>
      <c r="V5418" s="19">
        <f>IF($B5418="","",TEXT($B5418,"0000"))</f>
        <v/>
      </c>
      <c r="W5418" s="19">
        <f>IF($I5418="","",IF(ISNUMBER($I5418),TEXT($I5418,"0"),$I5418))</f>
        <v/>
      </c>
    </row>
    <row r="5419">
      <c r="B5419" s="25" t="n"/>
      <c r="I5419" s="25" t="n"/>
      <c r="U5419" s="19">
        <f>IF($V5419&lt;&gt;'設定'!$C$4,N(U5418),IF(OR(NOT(COUNTIF('商品マスタ'!$B$6:$B$1005,$W5419)=0),COUNTIFS('①在庫を貼る'!$V$6:$V$10005,$V5419,'①在庫を貼る'!$W$6:$W$10005,$W5419)+COUNTIFS('月1回_1ヶ月前の在庫'!$V$6:$V$10005,$V5419,'月1回_1ヶ月前の在庫'!$W$6:$W$10005,$W5419)&gt;0),N(U5418),N(U5418)+1))</f>
        <v/>
      </c>
      <c r="V5419" s="19">
        <f>IF($B5419="","",TEXT($B5419,"0000"))</f>
        <v/>
      </c>
      <c r="W5419" s="19">
        <f>IF($I5419="","",IF(ISNUMBER($I5419),TEXT($I5419,"0"),$I5419))</f>
        <v/>
      </c>
    </row>
    <row r="5420">
      <c r="B5420" s="25" t="n"/>
      <c r="I5420" s="25" t="n"/>
      <c r="U5420" s="19">
        <f>IF($V5420&lt;&gt;'設定'!$C$4,N(U5419),IF(OR(NOT(COUNTIF('商品マスタ'!$B$6:$B$1005,$W5420)=0),COUNTIFS('①在庫を貼る'!$V$6:$V$10005,$V5420,'①在庫を貼る'!$W$6:$W$10005,$W5420)+COUNTIFS('月1回_1ヶ月前の在庫'!$V$6:$V$10005,$V5420,'月1回_1ヶ月前の在庫'!$W$6:$W$10005,$W5420)&gt;0),N(U5419),N(U5419)+1))</f>
        <v/>
      </c>
      <c r="V5420" s="19">
        <f>IF($B5420="","",TEXT($B5420,"0000"))</f>
        <v/>
      </c>
      <c r="W5420" s="19">
        <f>IF($I5420="","",IF(ISNUMBER($I5420),TEXT($I5420,"0"),$I5420))</f>
        <v/>
      </c>
    </row>
    <row r="5421">
      <c r="B5421" s="25" t="n"/>
      <c r="I5421" s="25" t="n"/>
      <c r="U5421" s="19">
        <f>IF($V5421&lt;&gt;'設定'!$C$4,N(U5420),IF(OR(NOT(COUNTIF('商品マスタ'!$B$6:$B$1005,$W5421)=0),COUNTIFS('①在庫を貼る'!$V$6:$V$10005,$V5421,'①在庫を貼る'!$W$6:$W$10005,$W5421)+COUNTIFS('月1回_1ヶ月前の在庫'!$V$6:$V$10005,$V5421,'月1回_1ヶ月前の在庫'!$W$6:$W$10005,$W5421)&gt;0),N(U5420),N(U5420)+1))</f>
        <v/>
      </c>
      <c r="V5421" s="19">
        <f>IF($B5421="","",TEXT($B5421,"0000"))</f>
        <v/>
      </c>
      <c r="W5421" s="19">
        <f>IF($I5421="","",IF(ISNUMBER($I5421),TEXT($I5421,"0"),$I5421))</f>
        <v/>
      </c>
    </row>
    <row r="5422">
      <c r="B5422" s="25" t="n"/>
      <c r="I5422" s="25" t="n"/>
      <c r="U5422" s="19">
        <f>IF($V5422&lt;&gt;'設定'!$C$4,N(U5421),IF(OR(NOT(COUNTIF('商品マスタ'!$B$6:$B$1005,$W5422)=0),COUNTIFS('①在庫を貼る'!$V$6:$V$10005,$V5422,'①在庫を貼る'!$W$6:$W$10005,$W5422)+COUNTIFS('月1回_1ヶ月前の在庫'!$V$6:$V$10005,$V5422,'月1回_1ヶ月前の在庫'!$W$6:$W$10005,$W5422)&gt;0),N(U5421),N(U5421)+1))</f>
        <v/>
      </c>
      <c r="V5422" s="19">
        <f>IF($B5422="","",TEXT($B5422,"0000"))</f>
        <v/>
      </c>
      <c r="W5422" s="19">
        <f>IF($I5422="","",IF(ISNUMBER($I5422),TEXT($I5422,"0"),$I5422))</f>
        <v/>
      </c>
    </row>
    <row r="5423">
      <c r="B5423" s="25" t="n"/>
      <c r="I5423" s="25" t="n"/>
      <c r="U5423" s="19">
        <f>IF($V5423&lt;&gt;'設定'!$C$4,N(U5422),IF(OR(NOT(COUNTIF('商品マスタ'!$B$6:$B$1005,$W5423)=0),COUNTIFS('①在庫を貼る'!$V$6:$V$10005,$V5423,'①在庫を貼る'!$W$6:$W$10005,$W5423)+COUNTIFS('月1回_1ヶ月前の在庫'!$V$6:$V$10005,$V5423,'月1回_1ヶ月前の在庫'!$W$6:$W$10005,$W5423)&gt;0),N(U5422),N(U5422)+1))</f>
        <v/>
      </c>
      <c r="V5423" s="19">
        <f>IF($B5423="","",TEXT($B5423,"0000"))</f>
        <v/>
      </c>
      <c r="W5423" s="19">
        <f>IF($I5423="","",IF(ISNUMBER($I5423),TEXT($I5423,"0"),$I5423))</f>
        <v/>
      </c>
    </row>
    <row r="5424">
      <c r="B5424" s="25" t="n"/>
      <c r="I5424" s="25" t="n"/>
      <c r="U5424" s="19">
        <f>IF($V5424&lt;&gt;'設定'!$C$4,N(U5423),IF(OR(NOT(COUNTIF('商品マスタ'!$B$6:$B$1005,$W5424)=0),COUNTIFS('①在庫を貼る'!$V$6:$V$10005,$V5424,'①在庫を貼る'!$W$6:$W$10005,$W5424)+COUNTIFS('月1回_1ヶ月前の在庫'!$V$6:$V$10005,$V5424,'月1回_1ヶ月前の在庫'!$W$6:$W$10005,$W5424)&gt;0),N(U5423),N(U5423)+1))</f>
        <v/>
      </c>
      <c r="V5424" s="19">
        <f>IF($B5424="","",TEXT($B5424,"0000"))</f>
        <v/>
      </c>
      <c r="W5424" s="19">
        <f>IF($I5424="","",IF(ISNUMBER($I5424),TEXT($I5424,"0"),$I5424))</f>
        <v/>
      </c>
    </row>
    <row r="5425">
      <c r="B5425" s="25" t="n"/>
      <c r="I5425" s="25" t="n"/>
      <c r="U5425" s="19">
        <f>IF($V5425&lt;&gt;'設定'!$C$4,N(U5424),IF(OR(NOT(COUNTIF('商品マスタ'!$B$6:$B$1005,$W5425)=0),COUNTIFS('①在庫を貼る'!$V$6:$V$10005,$V5425,'①在庫を貼る'!$W$6:$W$10005,$W5425)+COUNTIFS('月1回_1ヶ月前の在庫'!$V$6:$V$10005,$V5425,'月1回_1ヶ月前の在庫'!$W$6:$W$10005,$W5425)&gt;0),N(U5424),N(U5424)+1))</f>
        <v/>
      </c>
      <c r="V5425" s="19">
        <f>IF($B5425="","",TEXT($B5425,"0000"))</f>
        <v/>
      </c>
      <c r="W5425" s="19">
        <f>IF($I5425="","",IF(ISNUMBER($I5425),TEXT($I5425,"0"),$I5425))</f>
        <v/>
      </c>
    </row>
    <row r="5426">
      <c r="B5426" s="25" t="n"/>
      <c r="I5426" s="25" t="n"/>
      <c r="U5426" s="19">
        <f>IF($V5426&lt;&gt;'設定'!$C$4,N(U5425),IF(OR(NOT(COUNTIF('商品マスタ'!$B$6:$B$1005,$W5426)=0),COUNTIFS('①在庫を貼る'!$V$6:$V$10005,$V5426,'①在庫を貼る'!$W$6:$W$10005,$W5426)+COUNTIFS('月1回_1ヶ月前の在庫'!$V$6:$V$10005,$V5426,'月1回_1ヶ月前の在庫'!$W$6:$W$10005,$W5426)&gt;0),N(U5425),N(U5425)+1))</f>
        <v/>
      </c>
      <c r="V5426" s="19">
        <f>IF($B5426="","",TEXT($B5426,"0000"))</f>
        <v/>
      </c>
      <c r="W5426" s="19">
        <f>IF($I5426="","",IF(ISNUMBER($I5426),TEXT($I5426,"0"),$I5426))</f>
        <v/>
      </c>
    </row>
    <row r="5427">
      <c r="B5427" s="25" t="n"/>
      <c r="I5427" s="25" t="n"/>
      <c r="U5427" s="19">
        <f>IF($V5427&lt;&gt;'設定'!$C$4,N(U5426),IF(OR(NOT(COUNTIF('商品マスタ'!$B$6:$B$1005,$W5427)=0),COUNTIFS('①在庫を貼る'!$V$6:$V$10005,$V5427,'①在庫を貼る'!$W$6:$W$10005,$W5427)+COUNTIFS('月1回_1ヶ月前の在庫'!$V$6:$V$10005,$V5427,'月1回_1ヶ月前の在庫'!$W$6:$W$10005,$W5427)&gt;0),N(U5426),N(U5426)+1))</f>
        <v/>
      </c>
      <c r="V5427" s="19">
        <f>IF($B5427="","",TEXT($B5427,"0000"))</f>
        <v/>
      </c>
      <c r="W5427" s="19">
        <f>IF($I5427="","",IF(ISNUMBER($I5427),TEXT($I5427,"0"),$I5427))</f>
        <v/>
      </c>
    </row>
    <row r="5428">
      <c r="B5428" s="25" t="n"/>
      <c r="I5428" s="25" t="n"/>
      <c r="U5428" s="19">
        <f>IF($V5428&lt;&gt;'設定'!$C$4,N(U5427),IF(OR(NOT(COUNTIF('商品マスタ'!$B$6:$B$1005,$W5428)=0),COUNTIFS('①在庫を貼る'!$V$6:$V$10005,$V5428,'①在庫を貼る'!$W$6:$W$10005,$W5428)+COUNTIFS('月1回_1ヶ月前の在庫'!$V$6:$V$10005,$V5428,'月1回_1ヶ月前の在庫'!$W$6:$W$10005,$W5428)&gt;0),N(U5427),N(U5427)+1))</f>
        <v/>
      </c>
      <c r="V5428" s="19">
        <f>IF($B5428="","",TEXT($B5428,"0000"))</f>
        <v/>
      </c>
      <c r="W5428" s="19">
        <f>IF($I5428="","",IF(ISNUMBER($I5428),TEXT($I5428,"0"),$I5428))</f>
        <v/>
      </c>
    </row>
    <row r="5429">
      <c r="B5429" s="25" t="n"/>
      <c r="I5429" s="25" t="n"/>
      <c r="U5429" s="19">
        <f>IF($V5429&lt;&gt;'設定'!$C$4,N(U5428),IF(OR(NOT(COUNTIF('商品マスタ'!$B$6:$B$1005,$W5429)=0),COUNTIFS('①在庫を貼る'!$V$6:$V$10005,$V5429,'①在庫を貼る'!$W$6:$W$10005,$W5429)+COUNTIFS('月1回_1ヶ月前の在庫'!$V$6:$V$10005,$V5429,'月1回_1ヶ月前の在庫'!$W$6:$W$10005,$W5429)&gt;0),N(U5428),N(U5428)+1))</f>
        <v/>
      </c>
      <c r="V5429" s="19">
        <f>IF($B5429="","",TEXT($B5429,"0000"))</f>
        <v/>
      </c>
      <c r="W5429" s="19">
        <f>IF($I5429="","",IF(ISNUMBER($I5429),TEXT($I5429,"0"),$I5429))</f>
        <v/>
      </c>
    </row>
    <row r="5430">
      <c r="B5430" s="25" t="n"/>
      <c r="I5430" s="25" t="n"/>
      <c r="U5430" s="19">
        <f>IF($V5430&lt;&gt;'設定'!$C$4,N(U5429),IF(OR(NOT(COUNTIF('商品マスタ'!$B$6:$B$1005,$W5430)=0),COUNTIFS('①在庫を貼る'!$V$6:$V$10005,$V5430,'①在庫を貼る'!$W$6:$W$10005,$W5430)+COUNTIFS('月1回_1ヶ月前の在庫'!$V$6:$V$10005,$V5430,'月1回_1ヶ月前の在庫'!$W$6:$W$10005,$W5430)&gt;0),N(U5429),N(U5429)+1))</f>
        <v/>
      </c>
      <c r="V5430" s="19">
        <f>IF($B5430="","",TEXT($B5430,"0000"))</f>
        <v/>
      </c>
      <c r="W5430" s="19">
        <f>IF($I5430="","",IF(ISNUMBER($I5430),TEXT($I5430,"0"),$I5430))</f>
        <v/>
      </c>
    </row>
    <row r="5431">
      <c r="B5431" s="25" t="n"/>
      <c r="I5431" s="25" t="n"/>
      <c r="U5431" s="19">
        <f>IF($V5431&lt;&gt;'設定'!$C$4,N(U5430),IF(OR(NOT(COUNTIF('商品マスタ'!$B$6:$B$1005,$W5431)=0),COUNTIFS('①在庫を貼る'!$V$6:$V$10005,$V5431,'①在庫を貼る'!$W$6:$W$10005,$W5431)+COUNTIFS('月1回_1ヶ月前の在庫'!$V$6:$V$10005,$V5431,'月1回_1ヶ月前の在庫'!$W$6:$W$10005,$W5431)&gt;0),N(U5430),N(U5430)+1))</f>
        <v/>
      </c>
      <c r="V5431" s="19">
        <f>IF($B5431="","",TEXT($B5431,"0000"))</f>
        <v/>
      </c>
      <c r="W5431" s="19">
        <f>IF($I5431="","",IF(ISNUMBER($I5431),TEXT($I5431,"0"),$I5431))</f>
        <v/>
      </c>
    </row>
    <row r="5432">
      <c r="B5432" s="25" t="n"/>
      <c r="I5432" s="25" t="n"/>
      <c r="U5432" s="19">
        <f>IF($V5432&lt;&gt;'設定'!$C$4,N(U5431),IF(OR(NOT(COUNTIF('商品マスタ'!$B$6:$B$1005,$W5432)=0),COUNTIFS('①在庫を貼る'!$V$6:$V$10005,$V5432,'①在庫を貼る'!$W$6:$W$10005,$W5432)+COUNTIFS('月1回_1ヶ月前の在庫'!$V$6:$V$10005,$V5432,'月1回_1ヶ月前の在庫'!$W$6:$W$10005,$W5432)&gt;0),N(U5431),N(U5431)+1))</f>
        <v/>
      </c>
      <c r="V5432" s="19">
        <f>IF($B5432="","",TEXT($B5432,"0000"))</f>
        <v/>
      </c>
      <c r="W5432" s="19">
        <f>IF($I5432="","",IF(ISNUMBER($I5432),TEXT($I5432,"0"),$I5432))</f>
        <v/>
      </c>
    </row>
    <row r="5433">
      <c r="B5433" s="25" t="n"/>
      <c r="I5433" s="25" t="n"/>
      <c r="U5433" s="19">
        <f>IF($V5433&lt;&gt;'設定'!$C$4,N(U5432),IF(OR(NOT(COUNTIF('商品マスタ'!$B$6:$B$1005,$W5433)=0),COUNTIFS('①在庫を貼る'!$V$6:$V$10005,$V5433,'①在庫を貼る'!$W$6:$W$10005,$W5433)+COUNTIFS('月1回_1ヶ月前の在庫'!$V$6:$V$10005,$V5433,'月1回_1ヶ月前の在庫'!$W$6:$W$10005,$W5433)&gt;0),N(U5432),N(U5432)+1))</f>
        <v/>
      </c>
      <c r="V5433" s="19">
        <f>IF($B5433="","",TEXT($B5433,"0000"))</f>
        <v/>
      </c>
      <c r="W5433" s="19">
        <f>IF($I5433="","",IF(ISNUMBER($I5433),TEXT($I5433,"0"),$I5433))</f>
        <v/>
      </c>
    </row>
    <row r="5434">
      <c r="B5434" s="25" t="n"/>
      <c r="I5434" s="25" t="n"/>
      <c r="U5434" s="19">
        <f>IF($V5434&lt;&gt;'設定'!$C$4,N(U5433),IF(OR(NOT(COUNTIF('商品マスタ'!$B$6:$B$1005,$W5434)=0),COUNTIFS('①在庫を貼る'!$V$6:$V$10005,$V5434,'①在庫を貼る'!$W$6:$W$10005,$W5434)+COUNTIFS('月1回_1ヶ月前の在庫'!$V$6:$V$10005,$V5434,'月1回_1ヶ月前の在庫'!$W$6:$W$10005,$W5434)&gt;0),N(U5433),N(U5433)+1))</f>
        <v/>
      </c>
      <c r="V5434" s="19">
        <f>IF($B5434="","",TEXT($B5434,"0000"))</f>
        <v/>
      </c>
      <c r="W5434" s="19">
        <f>IF($I5434="","",IF(ISNUMBER($I5434),TEXT($I5434,"0"),$I5434))</f>
        <v/>
      </c>
    </row>
    <row r="5435">
      <c r="B5435" s="25" t="n"/>
      <c r="I5435" s="25" t="n"/>
      <c r="U5435" s="19">
        <f>IF($V5435&lt;&gt;'設定'!$C$4,N(U5434),IF(OR(NOT(COUNTIF('商品マスタ'!$B$6:$B$1005,$W5435)=0),COUNTIFS('①在庫を貼る'!$V$6:$V$10005,$V5435,'①在庫を貼る'!$W$6:$W$10005,$W5435)+COUNTIFS('月1回_1ヶ月前の在庫'!$V$6:$V$10005,$V5435,'月1回_1ヶ月前の在庫'!$W$6:$W$10005,$W5435)&gt;0),N(U5434),N(U5434)+1))</f>
        <v/>
      </c>
      <c r="V5435" s="19">
        <f>IF($B5435="","",TEXT($B5435,"0000"))</f>
        <v/>
      </c>
      <c r="W5435" s="19">
        <f>IF($I5435="","",IF(ISNUMBER($I5435),TEXT($I5435,"0"),$I5435))</f>
        <v/>
      </c>
    </row>
    <row r="5436">
      <c r="B5436" s="25" t="n"/>
      <c r="I5436" s="25" t="n"/>
      <c r="U5436" s="19">
        <f>IF($V5436&lt;&gt;'設定'!$C$4,N(U5435),IF(OR(NOT(COUNTIF('商品マスタ'!$B$6:$B$1005,$W5436)=0),COUNTIFS('①在庫を貼る'!$V$6:$V$10005,$V5436,'①在庫を貼る'!$W$6:$W$10005,$W5436)+COUNTIFS('月1回_1ヶ月前の在庫'!$V$6:$V$10005,$V5436,'月1回_1ヶ月前の在庫'!$W$6:$W$10005,$W5436)&gt;0),N(U5435),N(U5435)+1))</f>
        <v/>
      </c>
      <c r="V5436" s="19">
        <f>IF($B5436="","",TEXT($B5436,"0000"))</f>
        <v/>
      </c>
      <c r="W5436" s="19">
        <f>IF($I5436="","",IF(ISNUMBER($I5436),TEXT($I5436,"0"),$I5436))</f>
        <v/>
      </c>
    </row>
    <row r="5437">
      <c r="B5437" s="25" t="n"/>
      <c r="I5437" s="25" t="n"/>
      <c r="U5437" s="19">
        <f>IF($V5437&lt;&gt;'設定'!$C$4,N(U5436),IF(OR(NOT(COUNTIF('商品マスタ'!$B$6:$B$1005,$W5437)=0),COUNTIFS('①在庫を貼る'!$V$6:$V$10005,$V5437,'①在庫を貼る'!$W$6:$W$10005,$W5437)+COUNTIFS('月1回_1ヶ月前の在庫'!$V$6:$V$10005,$V5437,'月1回_1ヶ月前の在庫'!$W$6:$W$10005,$W5437)&gt;0),N(U5436),N(U5436)+1))</f>
        <v/>
      </c>
      <c r="V5437" s="19">
        <f>IF($B5437="","",TEXT($B5437,"0000"))</f>
        <v/>
      </c>
      <c r="W5437" s="19">
        <f>IF($I5437="","",IF(ISNUMBER($I5437),TEXT($I5437,"0"),$I5437))</f>
        <v/>
      </c>
    </row>
    <row r="5438">
      <c r="B5438" s="25" t="n"/>
      <c r="I5438" s="25" t="n"/>
      <c r="U5438" s="19">
        <f>IF($V5438&lt;&gt;'設定'!$C$4,N(U5437),IF(OR(NOT(COUNTIF('商品マスタ'!$B$6:$B$1005,$W5438)=0),COUNTIFS('①在庫を貼る'!$V$6:$V$10005,$V5438,'①在庫を貼る'!$W$6:$W$10005,$W5438)+COUNTIFS('月1回_1ヶ月前の在庫'!$V$6:$V$10005,$V5438,'月1回_1ヶ月前の在庫'!$W$6:$W$10005,$W5438)&gt;0),N(U5437),N(U5437)+1))</f>
        <v/>
      </c>
      <c r="V5438" s="19">
        <f>IF($B5438="","",TEXT($B5438,"0000"))</f>
        <v/>
      </c>
      <c r="W5438" s="19">
        <f>IF($I5438="","",IF(ISNUMBER($I5438),TEXT($I5438,"0"),$I5438))</f>
        <v/>
      </c>
    </row>
    <row r="5439">
      <c r="B5439" s="25" t="n"/>
      <c r="I5439" s="25" t="n"/>
      <c r="U5439" s="19">
        <f>IF($V5439&lt;&gt;'設定'!$C$4,N(U5438),IF(OR(NOT(COUNTIF('商品マスタ'!$B$6:$B$1005,$W5439)=0),COUNTIFS('①在庫を貼る'!$V$6:$V$10005,$V5439,'①在庫を貼る'!$W$6:$W$10005,$W5439)+COUNTIFS('月1回_1ヶ月前の在庫'!$V$6:$V$10005,$V5439,'月1回_1ヶ月前の在庫'!$W$6:$W$10005,$W5439)&gt;0),N(U5438),N(U5438)+1))</f>
        <v/>
      </c>
      <c r="V5439" s="19">
        <f>IF($B5439="","",TEXT($B5439,"0000"))</f>
        <v/>
      </c>
      <c r="W5439" s="19">
        <f>IF($I5439="","",IF(ISNUMBER($I5439),TEXT($I5439,"0"),$I5439))</f>
        <v/>
      </c>
    </row>
    <row r="5440">
      <c r="B5440" s="25" t="n"/>
      <c r="I5440" s="25" t="n"/>
      <c r="U5440" s="19">
        <f>IF($V5440&lt;&gt;'設定'!$C$4,N(U5439),IF(OR(NOT(COUNTIF('商品マスタ'!$B$6:$B$1005,$W5440)=0),COUNTIFS('①在庫を貼る'!$V$6:$V$10005,$V5440,'①在庫を貼る'!$W$6:$W$10005,$W5440)+COUNTIFS('月1回_1ヶ月前の在庫'!$V$6:$V$10005,$V5440,'月1回_1ヶ月前の在庫'!$W$6:$W$10005,$W5440)&gt;0),N(U5439),N(U5439)+1))</f>
        <v/>
      </c>
      <c r="V5440" s="19">
        <f>IF($B5440="","",TEXT($B5440,"0000"))</f>
        <v/>
      </c>
      <c r="W5440" s="19">
        <f>IF($I5440="","",IF(ISNUMBER($I5440),TEXT($I5440,"0"),$I5440))</f>
        <v/>
      </c>
    </row>
    <row r="5441">
      <c r="B5441" s="25" t="n"/>
      <c r="I5441" s="25" t="n"/>
      <c r="U5441" s="19">
        <f>IF($V5441&lt;&gt;'設定'!$C$4,N(U5440),IF(OR(NOT(COUNTIF('商品マスタ'!$B$6:$B$1005,$W5441)=0),COUNTIFS('①在庫を貼る'!$V$6:$V$10005,$V5441,'①在庫を貼る'!$W$6:$W$10005,$W5441)+COUNTIFS('月1回_1ヶ月前の在庫'!$V$6:$V$10005,$V5441,'月1回_1ヶ月前の在庫'!$W$6:$W$10005,$W5441)&gt;0),N(U5440),N(U5440)+1))</f>
        <v/>
      </c>
      <c r="V5441" s="19">
        <f>IF($B5441="","",TEXT($B5441,"0000"))</f>
        <v/>
      </c>
      <c r="W5441" s="19">
        <f>IF($I5441="","",IF(ISNUMBER($I5441),TEXT($I5441,"0"),$I5441))</f>
        <v/>
      </c>
    </row>
    <row r="5442">
      <c r="B5442" s="25" t="n"/>
      <c r="I5442" s="25" t="n"/>
      <c r="U5442" s="19">
        <f>IF($V5442&lt;&gt;'設定'!$C$4,N(U5441),IF(OR(NOT(COUNTIF('商品マスタ'!$B$6:$B$1005,$W5442)=0),COUNTIFS('①在庫を貼る'!$V$6:$V$10005,$V5442,'①在庫を貼る'!$W$6:$W$10005,$W5442)+COUNTIFS('月1回_1ヶ月前の在庫'!$V$6:$V$10005,$V5442,'月1回_1ヶ月前の在庫'!$W$6:$W$10005,$W5442)&gt;0),N(U5441),N(U5441)+1))</f>
        <v/>
      </c>
      <c r="V5442" s="19">
        <f>IF($B5442="","",TEXT($B5442,"0000"))</f>
        <v/>
      </c>
      <c r="W5442" s="19">
        <f>IF($I5442="","",IF(ISNUMBER($I5442),TEXT($I5442,"0"),$I5442))</f>
        <v/>
      </c>
    </row>
    <row r="5443">
      <c r="B5443" s="25" t="n"/>
      <c r="I5443" s="25" t="n"/>
      <c r="U5443" s="19">
        <f>IF($V5443&lt;&gt;'設定'!$C$4,N(U5442),IF(OR(NOT(COUNTIF('商品マスタ'!$B$6:$B$1005,$W5443)=0),COUNTIFS('①在庫を貼る'!$V$6:$V$10005,$V5443,'①在庫を貼る'!$W$6:$W$10005,$W5443)+COUNTIFS('月1回_1ヶ月前の在庫'!$V$6:$V$10005,$V5443,'月1回_1ヶ月前の在庫'!$W$6:$W$10005,$W5443)&gt;0),N(U5442),N(U5442)+1))</f>
        <v/>
      </c>
      <c r="V5443" s="19">
        <f>IF($B5443="","",TEXT($B5443,"0000"))</f>
        <v/>
      </c>
      <c r="W5443" s="19">
        <f>IF($I5443="","",IF(ISNUMBER($I5443),TEXT($I5443,"0"),$I5443))</f>
        <v/>
      </c>
    </row>
    <row r="5444">
      <c r="B5444" s="25" t="n"/>
      <c r="I5444" s="25" t="n"/>
      <c r="U5444" s="19">
        <f>IF($V5444&lt;&gt;'設定'!$C$4,N(U5443),IF(OR(NOT(COUNTIF('商品マスタ'!$B$6:$B$1005,$W5444)=0),COUNTIFS('①在庫を貼る'!$V$6:$V$10005,$V5444,'①在庫を貼る'!$W$6:$W$10005,$W5444)+COUNTIFS('月1回_1ヶ月前の在庫'!$V$6:$V$10005,$V5444,'月1回_1ヶ月前の在庫'!$W$6:$W$10005,$W5444)&gt;0),N(U5443),N(U5443)+1))</f>
        <v/>
      </c>
      <c r="V5444" s="19">
        <f>IF($B5444="","",TEXT($B5444,"0000"))</f>
        <v/>
      </c>
      <c r="W5444" s="19">
        <f>IF($I5444="","",IF(ISNUMBER($I5444),TEXT($I5444,"0"),$I5444))</f>
        <v/>
      </c>
    </row>
    <row r="5445">
      <c r="B5445" s="25" t="n"/>
      <c r="I5445" s="25" t="n"/>
      <c r="U5445" s="19">
        <f>IF($V5445&lt;&gt;'設定'!$C$4,N(U5444),IF(OR(NOT(COUNTIF('商品マスタ'!$B$6:$B$1005,$W5445)=0),COUNTIFS('①在庫を貼る'!$V$6:$V$10005,$V5445,'①在庫を貼る'!$W$6:$W$10005,$W5445)+COUNTIFS('月1回_1ヶ月前の在庫'!$V$6:$V$10005,$V5445,'月1回_1ヶ月前の在庫'!$W$6:$W$10005,$W5445)&gt;0),N(U5444),N(U5444)+1))</f>
        <v/>
      </c>
      <c r="V5445" s="19">
        <f>IF($B5445="","",TEXT($B5445,"0000"))</f>
        <v/>
      </c>
      <c r="W5445" s="19">
        <f>IF($I5445="","",IF(ISNUMBER($I5445),TEXT($I5445,"0"),$I5445))</f>
        <v/>
      </c>
    </row>
    <row r="5446">
      <c r="B5446" s="25" t="n"/>
      <c r="I5446" s="25" t="n"/>
      <c r="U5446" s="19">
        <f>IF($V5446&lt;&gt;'設定'!$C$4,N(U5445),IF(OR(NOT(COUNTIF('商品マスタ'!$B$6:$B$1005,$W5446)=0),COUNTIFS('①在庫を貼る'!$V$6:$V$10005,$V5446,'①在庫を貼る'!$W$6:$W$10005,$W5446)+COUNTIFS('月1回_1ヶ月前の在庫'!$V$6:$V$10005,$V5446,'月1回_1ヶ月前の在庫'!$W$6:$W$10005,$W5446)&gt;0),N(U5445),N(U5445)+1))</f>
        <v/>
      </c>
      <c r="V5446" s="19">
        <f>IF($B5446="","",TEXT($B5446,"0000"))</f>
        <v/>
      </c>
      <c r="W5446" s="19">
        <f>IF($I5446="","",IF(ISNUMBER($I5446),TEXT($I5446,"0"),$I5446))</f>
        <v/>
      </c>
    </row>
    <row r="5447">
      <c r="B5447" s="25" t="n"/>
      <c r="I5447" s="25" t="n"/>
      <c r="U5447" s="19">
        <f>IF($V5447&lt;&gt;'設定'!$C$4,N(U5446),IF(OR(NOT(COUNTIF('商品マスタ'!$B$6:$B$1005,$W5447)=0),COUNTIFS('①在庫を貼る'!$V$6:$V$10005,$V5447,'①在庫を貼る'!$W$6:$W$10005,$W5447)+COUNTIFS('月1回_1ヶ月前の在庫'!$V$6:$V$10005,$V5447,'月1回_1ヶ月前の在庫'!$W$6:$W$10005,$W5447)&gt;0),N(U5446),N(U5446)+1))</f>
        <v/>
      </c>
      <c r="V5447" s="19">
        <f>IF($B5447="","",TEXT($B5447,"0000"))</f>
        <v/>
      </c>
      <c r="W5447" s="19">
        <f>IF($I5447="","",IF(ISNUMBER($I5447),TEXT($I5447,"0"),$I5447))</f>
        <v/>
      </c>
    </row>
    <row r="5448">
      <c r="B5448" s="25" t="n"/>
      <c r="I5448" s="25" t="n"/>
      <c r="U5448" s="19">
        <f>IF($V5448&lt;&gt;'設定'!$C$4,N(U5447),IF(OR(NOT(COUNTIF('商品マスタ'!$B$6:$B$1005,$W5448)=0),COUNTIFS('①在庫を貼る'!$V$6:$V$10005,$V5448,'①在庫を貼る'!$W$6:$W$10005,$W5448)+COUNTIFS('月1回_1ヶ月前の在庫'!$V$6:$V$10005,$V5448,'月1回_1ヶ月前の在庫'!$W$6:$W$10005,$W5448)&gt;0),N(U5447),N(U5447)+1))</f>
        <v/>
      </c>
      <c r="V5448" s="19">
        <f>IF($B5448="","",TEXT($B5448,"0000"))</f>
        <v/>
      </c>
      <c r="W5448" s="19">
        <f>IF($I5448="","",IF(ISNUMBER($I5448),TEXT($I5448,"0"),$I5448))</f>
        <v/>
      </c>
    </row>
    <row r="5449">
      <c r="B5449" s="25" t="n"/>
      <c r="I5449" s="25" t="n"/>
      <c r="U5449" s="19">
        <f>IF($V5449&lt;&gt;'設定'!$C$4,N(U5448),IF(OR(NOT(COUNTIF('商品マスタ'!$B$6:$B$1005,$W5449)=0),COUNTIFS('①在庫を貼る'!$V$6:$V$10005,$V5449,'①在庫を貼る'!$W$6:$W$10005,$W5449)+COUNTIFS('月1回_1ヶ月前の在庫'!$V$6:$V$10005,$V5449,'月1回_1ヶ月前の在庫'!$W$6:$W$10005,$W5449)&gt;0),N(U5448),N(U5448)+1))</f>
        <v/>
      </c>
      <c r="V5449" s="19">
        <f>IF($B5449="","",TEXT($B5449,"0000"))</f>
        <v/>
      </c>
      <c r="W5449" s="19">
        <f>IF($I5449="","",IF(ISNUMBER($I5449),TEXT($I5449,"0"),$I5449))</f>
        <v/>
      </c>
    </row>
    <row r="5450">
      <c r="B5450" s="25" t="n"/>
      <c r="I5450" s="25" t="n"/>
      <c r="U5450" s="19">
        <f>IF($V5450&lt;&gt;'設定'!$C$4,N(U5449),IF(OR(NOT(COUNTIF('商品マスタ'!$B$6:$B$1005,$W5450)=0),COUNTIFS('①在庫を貼る'!$V$6:$V$10005,$V5450,'①在庫を貼る'!$W$6:$W$10005,$W5450)+COUNTIFS('月1回_1ヶ月前の在庫'!$V$6:$V$10005,$V5450,'月1回_1ヶ月前の在庫'!$W$6:$W$10005,$W5450)&gt;0),N(U5449),N(U5449)+1))</f>
        <v/>
      </c>
      <c r="V5450" s="19">
        <f>IF($B5450="","",TEXT($B5450,"0000"))</f>
        <v/>
      </c>
      <c r="W5450" s="19">
        <f>IF($I5450="","",IF(ISNUMBER($I5450),TEXT($I5450,"0"),$I5450))</f>
        <v/>
      </c>
    </row>
    <row r="5451">
      <c r="B5451" s="25" t="n"/>
      <c r="I5451" s="25" t="n"/>
      <c r="U5451" s="19">
        <f>IF($V5451&lt;&gt;'設定'!$C$4,N(U5450),IF(OR(NOT(COUNTIF('商品マスタ'!$B$6:$B$1005,$W5451)=0),COUNTIFS('①在庫を貼る'!$V$6:$V$10005,$V5451,'①在庫を貼る'!$W$6:$W$10005,$W5451)+COUNTIFS('月1回_1ヶ月前の在庫'!$V$6:$V$10005,$V5451,'月1回_1ヶ月前の在庫'!$W$6:$W$10005,$W5451)&gt;0),N(U5450),N(U5450)+1))</f>
        <v/>
      </c>
      <c r="V5451" s="19">
        <f>IF($B5451="","",TEXT($B5451,"0000"))</f>
        <v/>
      </c>
      <c r="W5451" s="19">
        <f>IF($I5451="","",IF(ISNUMBER($I5451),TEXT($I5451,"0"),$I5451))</f>
        <v/>
      </c>
    </row>
    <row r="5452">
      <c r="B5452" s="25" t="n"/>
      <c r="I5452" s="25" t="n"/>
      <c r="U5452" s="19">
        <f>IF($V5452&lt;&gt;'設定'!$C$4,N(U5451),IF(OR(NOT(COUNTIF('商品マスタ'!$B$6:$B$1005,$W5452)=0),COUNTIFS('①在庫を貼る'!$V$6:$V$10005,$V5452,'①在庫を貼る'!$W$6:$W$10005,$W5452)+COUNTIFS('月1回_1ヶ月前の在庫'!$V$6:$V$10005,$V5452,'月1回_1ヶ月前の在庫'!$W$6:$W$10005,$W5452)&gt;0),N(U5451),N(U5451)+1))</f>
        <v/>
      </c>
      <c r="V5452" s="19">
        <f>IF($B5452="","",TEXT($B5452,"0000"))</f>
        <v/>
      </c>
      <c r="W5452" s="19">
        <f>IF($I5452="","",IF(ISNUMBER($I5452),TEXT($I5452,"0"),$I5452))</f>
        <v/>
      </c>
    </row>
    <row r="5453">
      <c r="B5453" s="25" t="n"/>
      <c r="I5453" s="25" t="n"/>
      <c r="U5453" s="19">
        <f>IF($V5453&lt;&gt;'設定'!$C$4,N(U5452),IF(OR(NOT(COUNTIF('商品マスタ'!$B$6:$B$1005,$W5453)=0),COUNTIFS('①在庫を貼る'!$V$6:$V$10005,$V5453,'①在庫を貼る'!$W$6:$W$10005,$W5453)+COUNTIFS('月1回_1ヶ月前の在庫'!$V$6:$V$10005,$V5453,'月1回_1ヶ月前の在庫'!$W$6:$W$10005,$W5453)&gt;0),N(U5452),N(U5452)+1))</f>
        <v/>
      </c>
      <c r="V5453" s="19">
        <f>IF($B5453="","",TEXT($B5453,"0000"))</f>
        <v/>
      </c>
      <c r="W5453" s="19">
        <f>IF($I5453="","",IF(ISNUMBER($I5453),TEXT($I5453,"0"),$I5453))</f>
        <v/>
      </c>
    </row>
    <row r="5454">
      <c r="B5454" s="25" t="n"/>
      <c r="I5454" s="25" t="n"/>
      <c r="U5454" s="19">
        <f>IF($V5454&lt;&gt;'設定'!$C$4,N(U5453),IF(OR(NOT(COUNTIF('商品マスタ'!$B$6:$B$1005,$W5454)=0),COUNTIFS('①在庫を貼る'!$V$6:$V$10005,$V5454,'①在庫を貼る'!$W$6:$W$10005,$W5454)+COUNTIFS('月1回_1ヶ月前の在庫'!$V$6:$V$10005,$V5454,'月1回_1ヶ月前の在庫'!$W$6:$W$10005,$W5454)&gt;0),N(U5453),N(U5453)+1))</f>
        <v/>
      </c>
      <c r="V5454" s="19">
        <f>IF($B5454="","",TEXT($B5454,"0000"))</f>
        <v/>
      </c>
      <c r="W5454" s="19">
        <f>IF($I5454="","",IF(ISNUMBER($I5454),TEXT($I5454,"0"),$I5454))</f>
        <v/>
      </c>
    </row>
    <row r="5455">
      <c r="B5455" s="25" t="n"/>
      <c r="I5455" s="25" t="n"/>
      <c r="U5455" s="19">
        <f>IF($V5455&lt;&gt;'設定'!$C$4,N(U5454),IF(OR(NOT(COUNTIF('商品マスタ'!$B$6:$B$1005,$W5455)=0),COUNTIFS('①在庫を貼る'!$V$6:$V$10005,$V5455,'①在庫を貼る'!$W$6:$W$10005,$W5455)+COUNTIFS('月1回_1ヶ月前の在庫'!$V$6:$V$10005,$V5455,'月1回_1ヶ月前の在庫'!$W$6:$W$10005,$W5455)&gt;0),N(U5454),N(U5454)+1))</f>
        <v/>
      </c>
      <c r="V5455" s="19">
        <f>IF($B5455="","",TEXT($B5455,"0000"))</f>
        <v/>
      </c>
      <c r="W5455" s="19">
        <f>IF($I5455="","",IF(ISNUMBER($I5455),TEXT($I5455,"0"),$I5455))</f>
        <v/>
      </c>
    </row>
    <row r="5456">
      <c r="B5456" s="25" t="n"/>
      <c r="I5456" s="25" t="n"/>
      <c r="U5456" s="19">
        <f>IF($V5456&lt;&gt;'設定'!$C$4,N(U5455),IF(OR(NOT(COUNTIF('商品マスタ'!$B$6:$B$1005,$W5456)=0),COUNTIFS('①在庫を貼る'!$V$6:$V$10005,$V5456,'①在庫を貼る'!$W$6:$W$10005,$W5456)+COUNTIFS('月1回_1ヶ月前の在庫'!$V$6:$V$10005,$V5456,'月1回_1ヶ月前の在庫'!$W$6:$W$10005,$W5456)&gt;0),N(U5455),N(U5455)+1))</f>
        <v/>
      </c>
      <c r="V5456" s="19">
        <f>IF($B5456="","",TEXT($B5456,"0000"))</f>
        <v/>
      </c>
      <c r="W5456" s="19">
        <f>IF($I5456="","",IF(ISNUMBER($I5456),TEXT($I5456,"0"),$I5456))</f>
        <v/>
      </c>
    </row>
    <row r="5457">
      <c r="B5457" s="25" t="n"/>
      <c r="I5457" s="25" t="n"/>
      <c r="U5457" s="19">
        <f>IF($V5457&lt;&gt;'設定'!$C$4,N(U5456),IF(OR(NOT(COUNTIF('商品マスタ'!$B$6:$B$1005,$W5457)=0),COUNTIFS('①在庫を貼る'!$V$6:$V$10005,$V5457,'①在庫を貼る'!$W$6:$W$10005,$W5457)+COUNTIFS('月1回_1ヶ月前の在庫'!$V$6:$V$10005,$V5457,'月1回_1ヶ月前の在庫'!$W$6:$W$10005,$W5457)&gt;0),N(U5456),N(U5456)+1))</f>
        <v/>
      </c>
      <c r="V5457" s="19">
        <f>IF($B5457="","",TEXT($B5457,"0000"))</f>
        <v/>
      </c>
      <c r="W5457" s="19">
        <f>IF($I5457="","",IF(ISNUMBER($I5457),TEXT($I5457,"0"),$I5457))</f>
        <v/>
      </c>
    </row>
    <row r="5458">
      <c r="B5458" s="25" t="n"/>
      <c r="I5458" s="25" t="n"/>
      <c r="U5458" s="19">
        <f>IF($V5458&lt;&gt;'設定'!$C$4,N(U5457),IF(OR(NOT(COUNTIF('商品マスタ'!$B$6:$B$1005,$W5458)=0),COUNTIFS('①在庫を貼る'!$V$6:$V$10005,$V5458,'①在庫を貼る'!$W$6:$W$10005,$W5458)+COUNTIFS('月1回_1ヶ月前の在庫'!$V$6:$V$10005,$V5458,'月1回_1ヶ月前の在庫'!$W$6:$W$10005,$W5458)&gt;0),N(U5457),N(U5457)+1))</f>
        <v/>
      </c>
      <c r="V5458" s="19">
        <f>IF($B5458="","",TEXT($B5458,"0000"))</f>
        <v/>
      </c>
      <c r="W5458" s="19">
        <f>IF($I5458="","",IF(ISNUMBER($I5458),TEXT($I5458,"0"),$I5458))</f>
        <v/>
      </c>
    </row>
    <row r="5459">
      <c r="B5459" s="25" t="n"/>
      <c r="I5459" s="25" t="n"/>
      <c r="U5459" s="19">
        <f>IF($V5459&lt;&gt;'設定'!$C$4,N(U5458),IF(OR(NOT(COUNTIF('商品マスタ'!$B$6:$B$1005,$W5459)=0),COUNTIFS('①在庫を貼る'!$V$6:$V$10005,$V5459,'①在庫を貼る'!$W$6:$W$10005,$W5459)+COUNTIFS('月1回_1ヶ月前の在庫'!$V$6:$V$10005,$V5459,'月1回_1ヶ月前の在庫'!$W$6:$W$10005,$W5459)&gt;0),N(U5458),N(U5458)+1))</f>
        <v/>
      </c>
      <c r="V5459" s="19">
        <f>IF($B5459="","",TEXT($B5459,"0000"))</f>
        <v/>
      </c>
      <c r="W5459" s="19">
        <f>IF($I5459="","",IF(ISNUMBER($I5459),TEXT($I5459,"0"),$I5459))</f>
        <v/>
      </c>
    </row>
    <row r="5460">
      <c r="B5460" s="25" t="n"/>
      <c r="I5460" s="25" t="n"/>
      <c r="U5460" s="19">
        <f>IF($V5460&lt;&gt;'設定'!$C$4,N(U5459),IF(OR(NOT(COUNTIF('商品マスタ'!$B$6:$B$1005,$W5460)=0),COUNTIFS('①在庫を貼る'!$V$6:$V$10005,$V5460,'①在庫を貼る'!$W$6:$W$10005,$W5460)+COUNTIFS('月1回_1ヶ月前の在庫'!$V$6:$V$10005,$V5460,'月1回_1ヶ月前の在庫'!$W$6:$W$10005,$W5460)&gt;0),N(U5459),N(U5459)+1))</f>
        <v/>
      </c>
      <c r="V5460" s="19">
        <f>IF($B5460="","",TEXT($B5460,"0000"))</f>
        <v/>
      </c>
      <c r="W5460" s="19">
        <f>IF($I5460="","",IF(ISNUMBER($I5460),TEXT($I5460,"0"),$I5460))</f>
        <v/>
      </c>
    </row>
    <row r="5461">
      <c r="B5461" s="25" t="n"/>
      <c r="I5461" s="25" t="n"/>
      <c r="U5461" s="19">
        <f>IF($V5461&lt;&gt;'設定'!$C$4,N(U5460),IF(OR(NOT(COUNTIF('商品マスタ'!$B$6:$B$1005,$W5461)=0),COUNTIFS('①在庫を貼る'!$V$6:$V$10005,$V5461,'①在庫を貼る'!$W$6:$W$10005,$W5461)+COUNTIFS('月1回_1ヶ月前の在庫'!$V$6:$V$10005,$V5461,'月1回_1ヶ月前の在庫'!$W$6:$W$10005,$W5461)&gt;0),N(U5460),N(U5460)+1))</f>
        <v/>
      </c>
      <c r="V5461" s="19">
        <f>IF($B5461="","",TEXT($B5461,"0000"))</f>
        <v/>
      </c>
      <c r="W5461" s="19">
        <f>IF($I5461="","",IF(ISNUMBER($I5461),TEXT($I5461,"0"),$I5461))</f>
        <v/>
      </c>
    </row>
    <row r="5462">
      <c r="B5462" s="25" t="n"/>
      <c r="I5462" s="25" t="n"/>
      <c r="U5462" s="19">
        <f>IF($V5462&lt;&gt;'設定'!$C$4,N(U5461),IF(OR(NOT(COUNTIF('商品マスタ'!$B$6:$B$1005,$W5462)=0),COUNTIFS('①在庫を貼る'!$V$6:$V$10005,$V5462,'①在庫を貼る'!$W$6:$W$10005,$W5462)+COUNTIFS('月1回_1ヶ月前の在庫'!$V$6:$V$10005,$V5462,'月1回_1ヶ月前の在庫'!$W$6:$W$10005,$W5462)&gt;0),N(U5461),N(U5461)+1))</f>
        <v/>
      </c>
      <c r="V5462" s="19">
        <f>IF($B5462="","",TEXT($B5462,"0000"))</f>
        <v/>
      </c>
      <c r="W5462" s="19">
        <f>IF($I5462="","",IF(ISNUMBER($I5462),TEXT($I5462,"0"),$I5462))</f>
        <v/>
      </c>
    </row>
    <row r="5463">
      <c r="B5463" s="25" t="n"/>
      <c r="I5463" s="25" t="n"/>
      <c r="U5463" s="19">
        <f>IF($V5463&lt;&gt;'設定'!$C$4,N(U5462),IF(OR(NOT(COUNTIF('商品マスタ'!$B$6:$B$1005,$W5463)=0),COUNTIFS('①在庫を貼る'!$V$6:$V$10005,$V5463,'①在庫を貼る'!$W$6:$W$10005,$W5463)+COUNTIFS('月1回_1ヶ月前の在庫'!$V$6:$V$10005,$V5463,'月1回_1ヶ月前の在庫'!$W$6:$W$10005,$W5463)&gt;0),N(U5462),N(U5462)+1))</f>
        <v/>
      </c>
      <c r="V5463" s="19">
        <f>IF($B5463="","",TEXT($B5463,"0000"))</f>
        <v/>
      </c>
      <c r="W5463" s="19">
        <f>IF($I5463="","",IF(ISNUMBER($I5463),TEXT($I5463,"0"),$I5463))</f>
        <v/>
      </c>
    </row>
    <row r="5464">
      <c r="B5464" s="25" t="n"/>
      <c r="I5464" s="25" t="n"/>
      <c r="U5464" s="19">
        <f>IF($V5464&lt;&gt;'設定'!$C$4,N(U5463),IF(OR(NOT(COUNTIF('商品マスタ'!$B$6:$B$1005,$W5464)=0),COUNTIFS('①在庫を貼る'!$V$6:$V$10005,$V5464,'①在庫を貼る'!$W$6:$W$10005,$W5464)+COUNTIFS('月1回_1ヶ月前の在庫'!$V$6:$V$10005,$V5464,'月1回_1ヶ月前の在庫'!$W$6:$W$10005,$W5464)&gt;0),N(U5463),N(U5463)+1))</f>
        <v/>
      </c>
      <c r="V5464" s="19">
        <f>IF($B5464="","",TEXT($B5464,"0000"))</f>
        <v/>
      </c>
      <c r="W5464" s="19">
        <f>IF($I5464="","",IF(ISNUMBER($I5464),TEXT($I5464,"0"),$I5464))</f>
        <v/>
      </c>
    </row>
    <row r="5465">
      <c r="B5465" s="25" t="n"/>
      <c r="I5465" s="25" t="n"/>
      <c r="U5465" s="19">
        <f>IF($V5465&lt;&gt;'設定'!$C$4,N(U5464),IF(OR(NOT(COUNTIF('商品マスタ'!$B$6:$B$1005,$W5465)=0),COUNTIFS('①在庫を貼る'!$V$6:$V$10005,$V5465,'①在庫を貼る'!$W$6:$W$10005,$W5465)+COUNTIFS('月1回_1ヶ月前の在庫'!$V$6:$V$10005,$V5465,'月1回_1ヶ月前の在庫'!$W$6:$W$10005,$W5465)&gt;0),N(U5464),N(U5464)+1))</f>
        <v/>
      </c>
      <c r="V5465" s="19">
        <f>IF($B5465="","",TEXT($B5465,"0000"))</f>
        <v/>
      </c>
      <c r="W5465" s="19">
        <f>IF($I5465="","",IF(ISNUMBER($I5465),TEXT($I5465,"0"),$I5465))</f>
        <v/>
      </c>
    </row>
    <row r="5466">
      <c r="B5466" s="25" t="n"/>
      <c r="I5466" s="25" t="n"/>
      <c r="U5466" s="19">
        <f>IF($V5466&lt;&gt;'設定'!$C$4,N(U5465),IF(OR(NOT(COUNTIF('商品マスタ'!$B$6:$B$1005,$W5466)=0),COUNTIFS('①在庫を貼る'!$V$6:$V$10005,$V5466,'①在庫を貼る'!$W$6:$W$10005,$W5466)+COUNTIFS('月1回_1ヶ月前の在庫'!$V$6:$V$10005,$V5466,'月1回_1ヶ月前の在庫'!$W$6:$W$10005,$W5466)&gt;0),N(U5465),N(U5465)+1))</f>
        <v/>
      </c>
      <c r="V5466" s="19">
        <f>IF($B5466="","",TEXT($B5466,"0000"))</f>
        <v/>
      </c>
      <c r="W5466" s="19">
        <f>IF($I5466="","",IF(ISNUMBER($I5466),TEXT($I5466,"0"),$I5466))</f>
        <v/>
      </c>
    </row>
    <row r="5467">
      <c r="B5467" s="25" t="n"/>
      <c r="I5467" s="25" t="n"/>
      <c r="U5467" s="19">
        <f>IF($V5467&lt;&gt;'設定'!$C$4,N(U5466),IF(OR(NOT(COUNTIF('商品マスタ'!$B$6:$B$1005,$W5467)=0),COUNTIFS('①在庫を貼る'!$V$6:$V$10005,$V5467,'①在庫を貼る'!$W$6:$W$10005,$W5467)+COUNTIFS('月1回_1ヶ月前の在庫'!$V$6:$V$10005,$V5467,'月1回_1ヶ月前の在庫'!$W$6:$W$10005,$W5467)&gt;0),N(U5466),N(U5466)+1))</f>
        <v/>
      </c>
      <c r="V5467" s="19">
        <f>IF($B5467="","",TEXT($B5467,"0000"))</f>
        <v/>
      </c>
      <c r="W5467" s="19">
        <f>IF($I5467="","",IF(ISNUMBER($I5467),TEXT($I5467,"0"),$I5467))</f>
        <v/>
      </c>
    </row>
    <row r="5468">
      <c r="B5468" s="25" t="n"/>
      <c r="I5468" s="25" t="n"/>
      <c r="U5468" s="19">
        <f>IF($V5468&lt;&gt;'設定'!$C$4,N(U5467),IF(OR(NOT(COUNTIF('商品マスタ'!$B$6:$B$1005,$W5468)=0),COUNTIFS('①在庫を貼る'!$V$6:$V$10005,$V5468,'①在庫を貼る'!$W$6:$W$10005,$W5468)+COUNTIFS('月1回_1ヶ月前の在庫'!$V$6:$V$10005,$V5468,'月1回_1ヶ月前の在庫'!$W$6:$W$10005,$W5468)&gt;0),N(U5467),N(U5467)+1))</f>
        <v/>
      </c>
      <c r="V5468" s="19">
        <f>IF($B5468="","",TEXT($B5468,"0000"))</f>
        <v/>
      </c>
      <c r="W5468" s="19">
        <f>IF($I5468="","",IF(ISNUMBER($I5468),TEXT($I5468,"0"),$I5468))</f>
        <v/>
      </c>
    </row>
    <row r="5469">
      <c r="B5469" s="25" t="n"/>
      <c r="I5469" s="25" t="n"/>
      <c r="U5469" s="19">
        <f>IF($V5469&lt;&gt;'設定'!$C$4,N(U5468),IF(OR(NOT(COUNTIF('商品マスタ'!$B$6:$B$1005,$W5469)=0),COUNTIFS('①在庫を貼る'!$V$6:$V$10005,$V5469,'①在庫を貼る'!$W$6:$W$10005,$W5469)+COUNTIFS('月1回_1ヶ月前の在庫'!$V$6:$V$10005,$V5469,'月1回_1ヶ月前の在庫'!$W$6:$W$10005,$W5469)&gt;0),N(U5468),N(U5468)+1))</f>
        <v/>
      </c>
      <c r="V5469" s="19">
        <f>IF($B5469="","",TEXT($B5469,"0000"))</f>
        <v/>
      </c>
      <c r="W5469" s="19">
        <f>IF($I5469="","",IF(ISNUMBER($I5469),TEXT($I5469,"0"),$I5469))</f>
        <v/>
      </c>
    </row>
    <row r="5470">
      <c r="B5470" s="25" t="n"/>
      <c r="I5470" s="25" t="n"/>
      <c r="U5470" s="19">
        <f>IF($V5470&lt;&gt;'設定'!$C$4,N(U5469),IF(OR(NOT(COUNTIF('商品マスタ'!$B$6:$B$1005,$W5470)=0),COUNTIFS('①在庫を貼る'!$V$6:$V$10005,$V5470,'①在庫を貼る'!$W$6:$W$10005,$W5470)+COUNTIFS('月1回_1ヶ月前の在庫'!$V$6:$V$10005,$V5470,'月1回_1ヶ月前の在庫'!$W$6:$W$10005,$W5470)&gt;0),N(U5469),N(U5469)+1))</f>
        <v/>
      </c>
      <c r="V5470" s="19">
        <f>IF($B5470="","",TEXT($B5470,"0000"))</f>
        <v/>
      </c>
      <c r="W5470" s="19">
        <f>IF($I5470="","",IF(ISNUMBER($I5470),TEXT($I5470,"0"),$I5470))</f>
        <v/>
      </c>
    </row>
    <row r="5471">
      <c r="B5471" s="25" t="n"/>
      <c r="I5471" s="25" t="n"/>
      <c r="U5471" s="19">
        <f>IF($V5471&lt;&gt;'設定'!$C$4,N(U5470),IF(OR(NOT(COUNTIF('商品マスタ'!$B$6:$B$1005,$W5471)=0),COUNTIFS('①在庫を貼る'!$V$6:$V$10005,$V5471,'①在庫を貼る'!$W$6:$W$10005,$W5471)+COUNTIFS('月1回_1ヶ月前の在庫'!$V$6:$V$10005,$V5471,'月1回_1ヶ月前の在庫'!$W$6:$W$10005,$W5471)&gt;0),N(U5470),N(U5470)+1))</f>
        <v/>
      </c>
      <c r="V5471" s="19">
        <f>IF($B5471="","",TEXT($B5471,"0000"))</f>
        <v/>
      </c>
      <c r="W5471" s="19">
        <f>IF($I5471="","",IF(ISNUMBER($I5471),TEXT($I5471,"0"),$I5471))</f>
        <v/>
      </c>
    </row>
    <row r="5472">
      <c r="B5472" s="25" t="n"/>
      <c r="I5472" s="25" t="n"/>
      <c r="U5472" s="19">
        <f>IF($V5472&lt;&gt;'設定'!$C$4,N(U5471),IF(OR(NOT(COUNTIF('商品マスタ'!$B$6:$B$1005,$W5472)=0),COUNTIFS('①在庫を貼る'!$V$6:$V$10005,$V5472,'①在庫を貼る'!$W$6:$W$10005,$W5472)+COUNTIFS('月1回_1ヶ月前の在庫'!$V$6:$V$10005,$V5472,'月1回_1ヶ月前の在庫'!$W$6:$W$10005,$W5472)&gt;0),N(U5471),N(U5471)+1))</f>
        <v/>
      </c>
      <c r="V5472" s="19">
        <f>IF($B5472="","",TEXT($B5472,"0000"))</f>
        <v/>
      </c>
      <c r="W5472" s="19">
        <f>IF($I5472="","",IF(ISNUMBER($I5472),TEXT($I5472,"0"),$I5472))</f>
        <v/>
      </c>
    </row>
    <row r="5473">
      <c r="B5473" s="25" t="n"/>
      <c r="I5473" s="25" t="n"/>
      <c r="U5473" s="19">
        <f>IF($V5473&lt;&gt;'設定'!$C$4,N(U5472),IF(OR(NOT(COUNTIF('商品マスタ'!$B$6:$B$1005,$W5473)=0),COUNTIFS('①在庫を貼る'!$V$6:$V$10005,$V5473,'①在庫を貼る'!$W$6:$W$10005,$W5473)+COUNTIFS('月1回_1ヶ月前の在庫'!$V$6:$V$10005,$V5473,'月1回_1ヶ月前の在庫'!$W$6:$W$10005,$W5473)&gt;0),N(U5472),N(U5472)+1))</f>
        <v/>
      </c>
      <c r="V5473" s="19">
        <f>IF($B5473="","",TEXT($B5473,"0000"))</f>
        <v/>
      </c>
      <c r="W5473" s="19">
        <f>IF($I5473="","",IF(ISNUMBER($I5473),TEXT($I5473,"0"),$I5473))</f>
        <v/>
      </c>
    </row>
    <row r="5474">
      <c r="B5474" s="25" t="n"/>
      <c r="I5474" s="25" t="n"/>
      <c r="U5474" s="19">
        <f>IF($V5474&lt;&gt;'設定'!$C$4,N(U5473),IF(OR(NOT(COUNTIF('商品マスタ'!$B$6:$B$1005,$W5474)=0),COUNTIFS('①在庫を貼る'!$V$6:$V$10005,$V5474,'①在庫を貼る'!$W$6:$W$10005,$W5474)+COUNTIFS('月1回_1ヶ月前の在庫'!$V$6:$V$10005,$V5474,'月1回_1ヶ月前の在庫'!$W$6:$W$10005,$W5474)&gt;0),N(U5473),N(U5473)+1))</f>
        <v/>
      </c>
      <c r="V5474" s="19">
        <f>IF($B5474="","",TEXT($B5474,"0000"))</f>
        <v/>
      </c>
      <c r="W5474" s="19">
        <f>IF($I5474="","",IF(ISNUMBER($I5474),TEXT($I5474,"0"),$I5474))</f>
        <v/>
      </c>
    </row>
    <row r="5475">
      <c r="B5475" s="25" t="n"/>
      <c r="I5475" s="25" t="n"/>
      <c r="U5475" s="19">
        <f>IF($V5475&lt;&gt;'設定'!$C$4,N(U5474),IF(OR(NOT(COUNTIF('商品マスタ'!$B$6:$B$1005,$W5475)=0),COUNTIFS('①在庫を貼る'!$V$6:$V$10005,$V5475,'①在庫を貼る'!$W$6:$W$10005,$W5475)+COUNTIFS('月1回_1ヶ月前の在庫'!$V$6:$V$10005,$V5475,'月1回_1ヶ月前の在庫'!$W$6:$W$10005,$W5475)&gt;0),N(U5474),N(U5474)+1))</f>
        <v/>
      </c>
      <c r="V5475" s="19">
        <f>IF($B5475="","",TEXT($B5475,"0000"))</f>
        <v/>
      </c>
      <c r="W5475" s="19">
        <f>IF($I5475="","",IF(ISNUMBER($I5475),TEXT($I5475,"0"),$I5475))</f>
        <v/>
      </c>
    </row>
    <row r="5476">
      <c r="B5476" s="25" t="n"/>
      <c r="I5476" s="25" t="n"/>
      <c r="U5476" s="19">
        <f>IF($V5476&lt;&gt;'設定'!$C$4,N(U5475),IF(OR(NOT(COUNTIF('商品マスタ'!$B$6:$B$1005,$W5476)=0),COUNTIFS('①在庫を貼る'!$V$6:$V$10005,$V5476,'①在庫を貼る'!$W$6:$W$10005,$W5476)+COUNTIFS('月1回_1ヶ月前の在庫'!$V$6:$V$10005,$V5476,'月1回_1ヶ月前の在庫'!$W$6:$W$10005,$W5476)&gt;0),N(U5475),N(U5475)+1))</f>
        <v/>
      </c>
      <c r="V5476" s="19">
        <f>IF($B5476="","",TEXT($B5476,"0000"))</f>
        <v/>
      </c>
      <c r="W5476" s="19">
        <f>IF($I5476="","",IF(ISNUMBER($I5476),TEXT($I5476,"0"),$I5476))</f>
        <v/>
      </c>
    </row>
    <row r="5477">
      <c r="B5477" s="25" t="n"/>
      <c r="I5477" s="25" t="n"/>
      <c r="U5477" s="19">
        <f>IF($V5477&lt;&gt;'設定'!$C$4,N(U5476),IF(OR(NOT(COUNTIF('商品マスタ'!$B$6:$B$1005,$W5477)=0),COUNTIFS('①在庫を貼る'!$V$6:$V$10005,$V5477,'①在庫を貼る'!$W$6:$W$10005,$W5477)+COUNTIFS('月1回_1ヶ月前の在庫'!$V$6:$V$10005,$V5477,'月1回_1ヶ月前の在庫'!$W$6:$W$10005,$W5477)&gt;0),N(U5476),N(U5476)+1))</f>
        <v/>
      </c>
      <c r="V5477" s="19">
        <f>IF($B5477="","",TEXT($B5477,"0000"))</f>
        <v/>
      </c>
      <c r="W5477" s="19">
        <f>IF($I5477="","",IF(ISNUMBER($I5477),TEXT($I5477,"0"),$I5477))</f>
        <v/>
      </c>
    </row>
    <row r="5478">
      <c r="B5478" s="25" t="n"/>
      <c r="I5478" s="25" t="n"/>
      <c r="U5478" s="19">
        <f>IF($V5478&lt;&gt;'設定'!$C$4,N(U5477),IF(OR(NOT(COUNTIF('商品マスタ'!$B$6:$B$1005,$W5478)=0),COUNTIFS('①在庫を貼る'!$V$6:$V$10005,$V5478,'①在庫を貼る'!$W$6:$W$10005,$W5478)+COUNTIFS('月1回_1ヶ月前の在庫'!$V$6:$V$10005,$V5478,'月1回_1ヶ月前の在庫'!$W$6:$W$10005,$W5478)&gt;0),N(U5477),N(U5477)+1))</f>
        <v/>
      </c>
      <c r="V5478" s="19">
        <f>IF($B5478="","",TEXT($B5478,"0000"))</f>
        <v/>
      </c>
      <c r="W5478" s="19">
        <f>IF($I5478="","",IF(ISNUMBER($I5478),TEXT($I5478,"0"),$I5478))</f>
        <v/>
      </c>
    </row>
    <row r="5479">
      <c r="B5479" s="25" t="n"/>
      <c r="I5479" s="25" t="n"/>
      <c r="U5479" s="19">
        <f>IF($V5479&lt;&gt;'設定'!$C$4,N(U5478),IF(OR(NOT(COUNTIF('商品マスタ'!$B$6:$B$1005,$W5479)=0),COUNTIFS('①在庫を貼る'!$V$6:$V$10005,$V5479,'①在庫を貼る'!$W$6:$W$10005,$W5479)+COUNTIFS('月1回_1ヶ月前の在庫'!$V$6:$V$10005,$V5479,'月1回_1ヶ月前の在庫'!$W$6:$W$10005,$W5479)&gt;0),N(U5478),N(U5478)+1))</f>
        <v/>
      </c>
      <c r="V5479" s="19">
        <f>IF($B5479="","",TEXT($B5479,"0000"))</f>
        <v/>
      </c>
      <c r="W5479" s="19">
        <f>IF($I5479="","",IF(ISNUMBER($I5479),TEXT($I5479,"0"),$I5479))</f>
        <v/>
      </c>
    </row>
    <row r="5480">
      <c r="B5480" s="25" t="n"/>
      <c r="I5480" s="25" t="n"/>
      <c r="U5480" s="19">
        <f>IF($V5480&lt;&gt;'設定'!$C$4,N(U5479),IF(OR(NOT(COUNTIF('商品マスタ'!$B$6:$B$1005,$W5480)=0),COUNTIFS('①在庫を貼る'!$V$6:$V$10005,$V5480,'①在庫を貼る'!$W$6:$W$10005,$W5480)+COUNTIFS('月1回_1ヶ月前の在庫'!$V$6:$V$10005,$V5480,'月1回_1ヶ月前の在庫'!$W$6:$W$10005,$W5480)&gt;0),N(U5479),N(U5479)+1))</f>
        <v/>
      </c>
      <c r="V5480" s="19">
        <f>IF($B5480="","",TEXT($B5480,"0000"))</f>
        <v/>
      </c>
      <c r="W5480" s="19">
        <f>IF($I5480="","",IF(ISNUMBER($I5480),TEXT($I5480,"0"),$I5480))</f>
        <v/>
      </c>
    </row>
    <row r="5481">
      <c r="B5481" s="25" t="n"/>
      <c r="I5481" s="25" t="n"/>
      <c r="U5481" s="19">
        <f>IF($V5481&lt;&gt;'設定'!$C$4,N(U5480),IF(OR(NOT(COUNTIF('商品マスタ'!$B$6:$B$1005,$W5481)=0),COUNTIFS('①在庫を貼る'!$V$6:$V$10005,$V5481,'①在庫を貼る'!$W$6:$W$10005,$W5481)+COUNTIFS('月1回_1ヶ月前の在庫'!$V$6:$V$10005,$V5481,'月1回_1ヶ月前の在庫'!$W$6:$W$10005,$W5481)&gt;0),N(U5480),N(U5480)+1))</f>
        <v/>
      </c>
      <c r="V5481" s="19">
        <f>IF($B5481="","",TEXT($B5481,"0000"))</f>
        <v/>
      </c>
      <c r="W5481" s="19">
        <f>IF($I5481="","",IF(ISNUMBER($I5481),TEXT($I5481,"0"),$I5481))</f>
        <v/>
      </c>
    </row>
    <row r="5482">
      <c r="B5482" s="25" t="n"/>
      <c r="I5482" s="25" t="n"/>
      <c r="U5482" s="19">
        <f>IF($V5482&lt;&gt;'設定'!$C$4,N(U5481),IF(OR(NOT(COUNTIF('商品マスタ'!$B$6:$B$1005,$W5482)=0),COUNTIFS('①在庫を貼る'!$V$6:$V$10005,$V5482,'①在庫を貼る'!$W$6:$W$10005,$W5482)+COUNTIFS('月1回_1ヶ月前の在庫'!$V$6:$V$10005,$V5482,'月1回_1ヶ月前の在庫'!$W$6:$W$10005,$W5482)&gt;0),N(U5481),N(U5481)+1))</f>
        <v/>
      </c>
      <c r="V5482" s="19">
        <f>IF($B5482="","",TEXT($B5482,"0000"))</f>
        <v/>
      </c>
      <c r="W5482" s="19">
        <f>IF($I5482="","",IF(ISNUMBER($I5482),TEXT($I5482,"0"),$I5482))</f>
        <v/>
      </c>
    </row>
    <row r="5483">
      <c r="B5483" s="25" t="n"/>
      <c r="I5483" s="25" t="n"/>
      <c r="U5483" s="19">
        <f>IF($V5483&lt;&gt;'設定'!$C$4,N(U5482),IF(OR(NOT(COUNTIF('商品マスタ'!$B$6:$B$1005,$W5483)=0),COUNTIFS('①在庫を貼る'!$V$6:$V$10005,$V5483,'①在庫を貼る'!$W$6:$W$10005,$W5483)+COUNTIFS('月1回_1ヶ月前の在庫'!$V$6:$V$10005,$V5483,'月1回_1ヶ月前の在庫'!$W$6:$W$10005,$W5483)&gt;0),N(U5482),N(U5482)+1))</f>
        <v/>
      </c>
      <c r="V5483" s="19">
        <f>IF($B5483="","",TEXT($B5483,"0000"))</f>
        <v/>
      </c>
      <c r="W5483" s="19">
        <f>IF($I5483="","",IF(ISNUMBER($I5483),TEXT($I5483,"0"),$I5483))</f>
        <v/>
      </c>
    </row>
    <row r="5484">
      <c r="B5484" s="25" t="n"/>
      <c r="I5484" s="25" t="n"/>
      <c r="U5484" s="19">
        <f>IF($V5484&lt;&gt;'設定'!$C$4,N(U5483),IF(OR(NOT(COUNTIF('商品マスタ'!$B$6:$B$1005,$W5484)=0),COUNTIFS('①在庫を貼る'!$V$6:$V$10005,$V5484,'①在庫を貼る'!$W$6:$W$10005,$W5484)+COUNTIFS('月1回_1ヶ月前の在庫'!$V$6:$V$10005,$V5484,'月1回_1ヶ月前の在庫'!$W$6:$W$10005,$W5484)&gt;0),N(U5483),N(U5483)+1))</f>
        <v/>
      </c>
      <c r="V5484" s="19">
        <f>IF($B5484="","",TEXT($B5484,"0000"))</f>
        <v/>
      </c>
      <c r="W5484" s="19">
        <f>IF($I5484="","",IF(ISNUMBER($I5484),TEXT($I5484,"0"),$I5484))</f>
        <v/>
      </c>
    </row>
    <row r="5485">
      <c r="B5485" s="25" t="n"/>
      <c r="I5485" s="25" t="n"/>
      <c r="U5485" s="19">
        <f>IF($V5485&lt;&gt;'設定'!$C$4,N(U5484),IF(OR(NOT(COUNTIF('商品マスタ'!$B$6:$B$1005,$W5485)=0),COUNTIFS('①在庫を貼る'!$V$6:$V$10005,$V5485,'①在庫を貼る'!$W$6:$W$10005,$W5485)+COUNTIFS('月1回_1ヶ月前の在庫'!$V$6:$V$10005,$V5485,'月1回_1ヶ月前の在庫'!$W$6:$W$10005,$W5485)&gt;0),N(U5484),N(U5484)+1))</f>
        <v/>
      </c>
      <c r="V5485" s="19">
        <f>IF($B5485="","",TEXT($B5485,"0000"))</f>
        <v/>
      </c>
      <c r="W5485" s="19">
        <f>IF($I5485="","",IF(ISNUMBER($I5485),TEXT($I5485,"0"),$I5485))</f>
        <v/>
      </c>
    </row>
    <row r="5486">
      <c r="B5486" s="25" t="n"/>
      <c r="I5486" s="25" t="n"/>
      <c r="U5486" s="19">
        <f>IF($V5486&lt;&gt;'設定'!$C$4,N(U5485),IF(OR(NOT(COUNTIF('商品マスタ'!$B$6:$B$1005,$W5486)=0),COUNTIFS('①在庫を貼る'!$V$6:$V$10005,$V5486,'①在庫を貼る'!$W$6:$W$10005,$W5486)+COUNTIFS('月1回_1ヶ月前の在庫'!$V$6:$V$10005,$V5486,'月1回_1ヶ月前の在庫'!$W$6:$W$10005,$W5486)&gt;0),N(U5485),N(U5485)+1))</f>
        <v/>
      </c>
      <c r="V5486" s="19">
        <f>IF($B5486="","",TEXT($B5486,"0000"))</f>
        <v/>
      </c>
      <c r="W5486" s="19">
        <f>IF($I5486="","",IF(ISNUMBER($I5486),TEXT($I5486,"0"),$I5486))</f>
        <v/>
      </c>
    </row>
    <row r="5487">
      <c r="B5487" s="25" t="n"/>
      <c r="I5487" s="25" t="n"/>
      <c r="U5487" s="19">
        <f>IF($V5487&lt;&gt;'設定'!$C$4,N(U5486),IF(OR(NOT(COUNTIF('商品マスタ'!$B$6:$B$1005,$W5487)=0),COUNTIFS('①在庫を貼る'!$V$6:$V$10005,$V5487,'①在庫を貼る'!$W$6:$W$10005,$W5487)+COUNTIFS('月1回_1ヶ月前の在庫'!$V$6:$V$10005,$V5487,'月1回_1ヶ月前の在庫'!$W$6:$W$10005,$W5487)&gt;0),N(U5486),N(U5486)+1))</f>
        <v/>
      </c>
      <c r="V5487" s="19">
        <f>IF($B5487="","",TEXT($B5487,"0000"))</f>
        <v/>
      </c>
      <c r="W5487" s="19">
        <f>IF($I5487="","",IF(ISNUMBER($I5487),TEXT($I5487,"0"),$I5487))</f>
        <v/>
      </c>
    </row>
    <row r="5488">
      <c r="B5488" s="25" t="n"/>
      <c r="I5488" s="25" t="n"/>
      <c r="U5488" s="19">
        <f>IF($V5488&lt;&gt;'設定'!$C$4,N(U5487),IF(OR(NOT(COUNTIF('商品マスタ'!$B$6:$B$1005,$W5488)=0),COUNTIFS('①在庫を貼る'!$V$6:$V$10005,$V5488,'①在庫を貼る'!$W$6:$W$10005,$W5488)+COUNTIFS('月1回_1ヶ月前の在庫'!$V$6:$V$10005,$V5488,'月1回_1ヶ月前の在庫'!$W$6:$W$10005,$W5488)&gt;0),N(U5487),N(U5487)+1))</f>
        <v/>
      </c>
      <c r="V5488" s="19">
        <f>IF($B5488="","",TEXT($B5488,"0000"))</f>
        <v/>
      </c>
      <c r="W5488" s="19">
        <f>IF($I5488="","",IF(ISNUMBER($I5488),TEXT($I5488,"0"),$I5488))</f>
        <v/>
      </c>
    </row>
    <row r="5489">
      <c r="B5489" s="25" t="n"/>
      <c r="I5489" s="25" t="n"/>
      <c r="U5489" s="19">
        <f>IF($V5489&lt;&gt;'設定'!$C$4,N(U5488),IF(OR(NOT(COUNTIF('商品マスタ'!$B$6:$B$1005,$W5489)=0),COUNTIFS('①在庫を貼る'!$V$6:$V$10005,$V5489,'①在庫を貼る'!$W$6:$W$10005,$W5489)+COUNTIFS('月1回_1ヶ月前の在庫'!$V$6:$V$10005,$V5489,'月1回_1ヶ月前の在庫'!$W$6:$W$10005,$W5489)&gt;0),N(U5488),N(U5488)+1))</f>
        <v/>
      </c>
      <c r="V5489" s="19">
        <f>IF($B5489="","",TEXT($B5489,"0000"))</f>
        <v/>
      </c>
      <c r="W5489" s="19">
        <f>IF($I5489="","",IF(ISNUMBER($I5489),TEXT($I5489,"0"),$I5489))</f>
        <v/>
      </c>
    </row>
    <row r="5490">
      <c r="B5490" s="25" t="n"/>
      <c r="I5490" s="25" t="n"/>
      <c r="U5490" s="19">
        <f>IF($V5490&lt;&gt;'設定'!$C$4,N(U5489),IF(OR(NOT(COUNTIF('商品マスタ'!$B$6:$B$1005,$W5490)=0),COUNTIFS('①在庫を貼る'!$V$6:$V$10005,$V5490,'①在庫を貼る'!$W$6:$W$10005,$W5490)+COUNTIFS('月1回_1ヶ月前の在庫'!$V$6:$V$10005,$V5490,'月1回_1ヶ月前の在庫'!$W$6:$W$10005,$W5490)&gt;0),N(U5489),N(U5489)+1))</f>
        <v/>
      </c>
      <c r="V5490" s="19">
        <f>IF($B5490="","",TEXT($B5490,"0000"))</f>
        <v/>
      </c>
      <c r="W5490" s="19">
        <f>IF($I5490="","",IF(ISNUMBER($I5490),TEXT($I5490,"0"),$I5490))</f>
        <v/>
      </c>
    </row>
    <row r="5491">
      <c r="B5491" s="25" t="n"/>
      <c r="I5491" s="25" t="n"/>
      <c r="U5491" s="19">
        <f>IF($V5491&lt;&gt;'設定'!$C$4,N(U5490),IF(OR(NOT(COUNTIF('商品マスタ'!$B$6:$B$1005,$W5491)=0),COUNTIFS('①在庫を貼る'!$V$6:$V$10005,$V5491,'①在庫を貼る'!$W$6:$W$10005,$W5491)+COUNTIFS('月1回_1ヶ月前の在庫'!$V$6:$V$10005,$V5491,'月1回_1ヶ月前の在庫'!$W$6:$W$10005,$W5491)&gt;0),N(U5490),N(U5490)+1))</f>
        <v/>
      </c>
      <c r="V5491" s="19">
        <f>IF($B5491="","",TEXT($B5491,"0000"))</f>
        <v/>
      </c>
      <c r="W5491" s="19">
        <f>IF($I5491="","",IF(ISNUMBER($I5491),TEXT($I5491,"0"),$I5491))</f>
        <v/>
      </c>
    </row>
    <row r="5492">
      <c r="B5492" s="25" t="n"/>
      <c r="I5492" s="25" t="n"/>
      <c r="U5492" s="19">
        <f>IF($V5492&lt;&gt;'設定'!$C$4,N(U5491),IF(OR(NOT(COUNTIF('商品マスタ'!$B$6:$B$1005,$W5492)=0),COUNTIFS('①在庫を貼る'!$V$6:$V$10005,$V5492,'①在庫を貼る'!$W$6:$W$10005,$W5492)+COUNTIFS('月1回_1ヶ月前の在庫'!$V$6:$V$10005,$V5492,'月1回_1ヶ月前の在庫'!$W$6:$W$10005,$W5492)&gt;0),N(U5491),N(U5491)+1))</f>
        <v/>
      </c>
      <c r="V5492" s="19">
        <f>IF($B5492="","",TEXT($B5492,"0000"))</f>
        <v/>
      </c>
      <c r="W5492" s="19">
        <f>IF($I5492="","",IF(ISNUMBER($I5492),TEXT($I5492,"0"),$I5492))</f>
        <v/>
      </c>
    </row>
    <row r="5493">
      <c r="B5493" s="25" t="n"/>
      <c r="I5493" s="25" t="n"/>
      <c r="U5493" s="19">
        <f>IF($V5493&lt;&gt;'設定'!$C$4,N(U5492),IF(OR(NOT(COUNTIF('商品マスタ'!$B$6:$B$1005,$W5493)=0),COUNTIFS('①在庫を貼る'!$V$6:$V$10005,$V5493,'①在庫を貼る'!$W$6:$W$10005,$W5493)+COUNTIFS('月1回_1ヶ月前の在庫'!$V$6:$V$10005,$V5493,'月1回_1ヶ月前の在庫'!$W$6:$W$10005,$W5493)&gt;0),N(U5492),N(U5492)+1))</f>
        <v/>
      </c>
      <c r="V5493" s="19">
        <f>IF($B5493="","",TEXT($B5493,"0000"))</f>
        <v/>
      </c>
      <c r="W5493" s="19">
        <f>IF($I5493="","",IF(ISNUMBER($I5493),TEXT($I5493,"0"),$I5493))</f>
        <v/>
      </c>
    </row>
    <row r="5494">
      <c r="B5494" s="25" t="n"/>
      <c r="I5494" s="25" t="n"/>
      <c r="U5494" s="19">
        <f>IF($V5494&lt;&gt;'設定'!$C$4,N(U5493),IF(OR(NOT(COUNTIF('商品マスタ'!$B$6:$B$1005,$W5494)=0),COUNTIFS('①在庫を貼る'!$V$6:$V$10005,$V5494,'①在庫を貼る'!$W$6:$W$10005,$W5494)+COUNTIFS('月1回_1ヶ月前の在庫'!$V$6:$V$10005,$V5494,'月1回_1ヶ月前の在庫'!$W$6:$W$10005,$W5494)&gt;0),N(U5493),N(U5493)+1))</f>
        <v/>
      </c>
      <c r="V5494" s="19">
        <f>IF($B5494="","",TEXT($B5494,"0000"))</f>
        <v/>
      </c>
      <c r="W5494" s="19">
        <f>IF($I5494="","",IF(ISNUMBER($I5494),TEXT($I5494,"0"),$I5494))</f>
        <v/>
      </c>
    </row>
    <row r="5495">
      <c r="B5495" s="25" t="n"/>
      <c r="I5495" s="25" t="n"/>
      <c r="U5495" s="19">
        <f>IF($V5495&lt;&gt;'設定'!$C$4,N(U5494),IF(OR(NOT(COUNTIF('商品マスタ'!$B$6:$B$1005,$W5495)=0),COUNTIFS('①在庫を貼る'!$V$6:$V$10005,$V5495,'①在庫を貼る'!$W$6:$W$10005,$W5495)+COUNTIFS('月1回_1ヶ月前の在庫'!$V$6:$V$10005,$V5495,'月1回_1ヶ月前の在庫'!$W$6:$W$10005,$W5495)&gt;0),N(U5494),N(U5494)+1))</f>
        <v/>
      </c>
      <c r="V5495" s="19">
        <f>IF($B5495="","",TEXT($B5495,"0000"))</f>
        <v/>
      </c>
      <c r="W5495" s="19">
        <f>IF($I5495="","",IF(ISNUMBER($I5495),TEXT($I5495,"0"),$I5495))</f>
        <v/>
      </c>
    </row>
    <row r="5496">
      <c r="B5496" s="25" t="n"/>
      <c r="I5496" s="25" t="n"/>
      <c r="U5496" s="19">
        <f>IF($V5496&lt;&gt;'設定'!$C$4,N(U5495),IF(OR(NOT(COUNTIF('商品マスタ'!$B$6:$B$1005,$W5496)=0),COUNTIFS('①在庫を貼る'!$V$6:$V$10005,$V5496,'①在庫を貼る'!$W$6:$W$10005,$W5496)+COUNTIFS('月1回_1ヶ月前の在庫'!$V$6:$V$10005,$V5496,'月1回_1ヶ月前の在庫'!$W$6:$W$10005,$W5496)&gt;0),N(U5495),N(U5495)+1))</f>
        <v/>
      </c>
      <c r="V5496" s="19">
        <f>IF($B5496="","",TEXT($B5496,"0000"))</f>
        <v/>
      </c>
      <c r="W5496" s="19">
        <f>IF($I5496="","",IF(ISNUMBER($I5496),TEXT($I5496,"0"),$I5496))</f>
        <v/>
      </c>
    </row>
    <row r="5497">
      <c r="B5497" s="25" t="n"/>
      <c r="I5497" s="25" t="n"/>
      <c r="U5497" s="19">
        <f>IF($V5497&lt;&gt;'設定'!$C$4,N(U5496),IF(OR(NOT(COUNTIF('商品マスタ'!$B$6:$B$1005,$W5497)=0),COUNTIFS('①在庫を貼る'!$V$6:$V$10005,$V5497,'①在庫を貼る'!$W$6:$W$10005,$W5497)+COUNTIFS('月1回_1ヶ月前の在庫'!$V$6:$V$10005,$V5497,'月1回_1ヶ月前の在庫'!$W$6:$W$10005,$W5497)&gt;0),N(U5496),N(U5496)+1))</f>
        <v/>
      </c>
      <c r="V5497" s="19">
        <f>IF($B5497="","",TEXT($B5497,"0000"))</f>
        <v/>
      </c>
      <c r="W5497" s="19">
        <f>IF($I5497="","",IF(ISNUMBER($I5497),TEXT($I5497,"0"),$I5497))</f>
        <v/>
      </c>
    </row>
    <row r="5498">
      <c r="B5498" s="25" t="n"/>
      <c r="I5498" s="25" t="n"/>
      <c r="U5498" s="19">
        <f>IF($V5498&lt;&gt;'設定'!$C$4,N(U5497),IF(OR(NOT(COUNTIF('商品マスタ'!$B$6:$B$1005,$W5498)=0),COUNTIFS('①在庫を貼る'!$V$6:$V$10005,$V5498,'①在庫を貼る'!$W$6:$W$10005,$W5498)+COUNTIFS('月1回_1ヶ月前の在庫'!$V$6:$V$10005,$V5498,'月1回_1ヶ月前の在庫'!$W$6:$W$10005,$W5498)&gt;0),N(U5497),N(U5497)+1))</f>
        <v/>
      </c>
      <c r="V5498" s="19">
        <f>IF($B5498="","",TEXT($B5498,"0000"))</f>
        <v/>
      </c>
      <c r="W5498" s="19">
        <f>IF($I5498="","",IF(ISNUMBER($I5498),TEXT($I5498,"0"),$I5498))</f>
        <v/>
      </c>
    </row>
    <row r="5499">
      <c r="B5499" s="25" t="n"/>
      <c r="I5499" s="25" t="n"/>
      <c r="U5499" s="19">
        <f>IF($V5499&lt;&gt;'設定'!$C$4,N(U5498),IF(OR(NOT(COUNTIF('商品マスタ'!$B$6:$B$1005,$W5499)=0),COUNTIFS('①在庫を貼る'!$V$6:$V$10005,$V5499,'①在庫を貼る'!$W$6:$W$10005,$W5499)+COUNTIFS('月1回_1ヶ月前の在庫'!$V$6:$V$10005,$V5499,'月1回_1ヶ月前の在庫'!$W$6:$W$10005,$W5499)&gt;0),N(U5498),N(U5498)+1))</f>
        <v/>
      </c>
      <c r="V5499" s="19">
        <f>IF($B5499="","",TEXT($B5499,"0000"))</f>
        <v/>
      </c>
      <c r="W5499" s="19">
        <f>IF($I5499="","",IF(ISNUMBER($I5499),TEXT($I5499,"0"),$I5499))</f>
        <v/>
      </c>
    </row>
    <row r="5500">
      <c r="B5500" s="25" t="n"/>
      <c r="I5500" s="25" t="n"/>
      <c r="U5500" s="19">
        <f>IF($V5500&lt;&gt;'設定'!$C$4,N(U5499),IF(OR(NOT(COUNTIF('商品マスタ'!$B$6:$B$1005,$W5500)=0),COUNTIFS('①在庫を貼る'!$V$6:$V$10005,$V5500,'①在庫を貼る'!$W$6:$W$10005,$W5500)+COUNTIFS('月1回_1ヶ月前の在庫'!$V$6:$V$10005,$V5500,'月1回_1ヶ月前の在庫'!$W$6:$W$10005,$W5500)&gt;0),N(U5499),N(U5499)+1))</f>
        <v/>
      </c>
      <c r="V5500" s="19">
        <f>IF($B5500="","",TEXT($B5500,"0000"))</f>
        <v/>
      </c>
      <c r="W5500" s="19">
        <f>IF($I5500="","",IF(ISNUMBER($I5500),TEXT($I5500,"0"),$I5500))</f>
        <v/>
      </c>
    </row>
    <row r="5501">
      <c r="B5501" s="25" t="n"/>
      <c r="I5501" s="25" t="n"/>
      <c r="U5501" s="19">
        <f>IF($V5501&lt;&gt;'設定'!$C$4,N(U5500),IF(OR(NOT(COUNTIF('商品マスタ'!$B$6:$B$1005,$W5501)=0),COUNTIFS('①在庫を貼る'!$V$6:$V$10005,$V5501,'①在庫を貼る'!$W$6:$W$10005,$W5501)+COUNTIFS('月1回_1ヶ月前の在庫'!$V$6:$V$10005,$V5501,'月1回_1ヶ月前の在庫'!$W$6:$W$10005,$W5501)&gt;0),N(U5500),N(U5500)+1))</f>
        <v/>
      </c>
      <c r="V5501" s="19">
        <f>IF($B5501="","",TEXT($B5501,"0000"))</f>
        <v/>
      </c>
      <c r="W5501" s="19">
        <f>IF($I5501="","",IF(ISNUMBER($I5501),TEXT($I5501,"0"),$I5501))</f>
        <v/>
      </c>
    </row>
    <row r="5502">
      <c r="B5502" s="25" t="n"/>
      <c r="I5502" s="25" t="n"/>
      <c r="U5502" s="19">
        <f>IF($V5502&lt;&gt;'設定'!$C$4,N(U5501),IF(OR(NOT(COUNTIF('商品マスタ'!$B$6:$B$1005,$W5502)=0),COUNTIFS('①在庫を貼る'!$V$6:$V$10005,$V5502,'①在庫を貼る'!$W$6:$W$10005,$W5502)+COUNTIFS('月1回_1ヶ月前の在庫'!$V$6:$V$10005,$V5502,'月1回_1ヶ月前の在庫'!$W$6:$W$10005,$W5502)&gt;0),N(U5501),N(U5501)+1))</f>
        <v/>
      </c>
      <c r="V5502" s="19">
        <f>IF($B5502="","",TEXT($B5502,"0000"))</f>
        <v/>
      </c>
      <c r="W5502" s="19">
        <f>IF($I5502="","",IF(ISNUMBER($I5502),TEXT($I5502,"0"),$I5502))</f>
        <v/>
      </c>
    </row>
    <row r="5503">
      <c r="B5503" s="25" t="n"/>
      <c r="I5503" s="25" t="n"/>
      <c r="U5503" s="19">
        <f>IF($V5503&lt;&gt;'設定'!$C$4,N(U5502),IF(OR(NOT(COUNTIF('商品マスタ'!$B$6:$B$1005,$W5503)=0),COUNTIFS('①在庫を貼る'!$V$6:$V$10005,$V5503,'①在庫を貼る'!$W$6:$W$10005,$W5503)+COUNTIFS('月1回_1ヶ月前の在庫'!$V$6:$V$10005,$V5503,'月1回_1ヶ月前の在庫'!$W$6:$W$10005,$W5503)&gt;0),N(U5502),N(U5502)+1))</f>
        <v/>
      </c>
      <c r="V5503" s="19">
        <f>IF($B5503="","",TEXT($B5503,"0000"))</f>
        <v/>
      </c>
      <c r="W5503" s="19">
        <f>IF($I5503="","",IF(ISNUMBER($I5503),TEXT($I5503,"0"),$I5503))</f>
        <v/>
      </c>
    </row>
    <row r="5504">
      <c r="B5504" s="25" t="n"/>
      <c r="I5504" s="25" t="n"/>
      <c r="U5504" s="19">
        <f>IF($V5504&lt;&gt;'設定'!$C$4,N(U5503),IF(OR(NOT(COUNTIF('商品マスタ'!$B$6:$B$1005,$W5504)=0),COUNTIFS('①在庫を貼る'!$V$6:$V$10005,$V5504,'①在庫を貼る'!$W$6:$W$10005,$W5504)+COUNTIFS('月1回_1ヶ月前の在庫'!$V$6:$V$10005,$V5504,'月1回_1ヶ月前の在庫'!$W$6:$W$10005,$W5504)&gt;0),N(U5503),N(U5503)+1))</f>
        <v/>
      </c>
      <c r="V5504" s="19">
        <f>IF($B5504="","",TEXT($B5504,"0000"))</f>
        <v/>
      </c>
      <c r="W5504" s="19">
        <f>IF($I5504="","",IF(ISNUMBER($I5504),TEXT($I5504,"0"),$I5504))</f>
        <v/>
      </c>
    </row>
    <row r="5505">
      <c r="B5505" s="25" t="n"/>
      <c r="I5505" s="25" t="n"/>
      <c r="U5505" s="19">
        <f>IF($V5505&lt;&gt;'設定'!$C$4,N(U5504),IF(OR(NOT(COUNTIF('商品マスタ'!$B$6:$B$1005,$W5505)=0),COUNTIFS('①在庫を貼る'!$V$6:$V$10005,$V5505,'①在庫を貼る'!$W$6:$W$10005,$W5505)+COUNTIFS('月1回_1ヶ月前の在庫'!$V$6:$V$10005,$V5505,'月1回_1ヶ月前の在庫'!$W$6:$W$10005,$W5505)&gt;0),N(U5504),N(U5504)+1))</f>
        <v/>
      </c>
      <c r="V5505" s="19">
        <f>IF($B5505="","",TEXT($B5505,"0000"))</f>
        <v/>
      </c>
      <c r="W5505" s="19">
        <f>IF($I5505="","",IF(ISNUMBER($I5505),TEXT($I5505,"0"),$I5505))</f>
        <v/>
      </c>
    </row>
    <row r="5506">
      <c r="B5506" s="25" t="n"/>
      <c r="I5506" s="25" t="n"/>
      <c r="U5506" s="19">
        <f>IF($V5506&lt;&gt;'設定'!$C$4,N(U5505),IF(OR(NOT(COUNTIF('商品マスタ'!$B$6:$B$1005,$W5506)=0),COUNTIFS('①在庫を貼る'!$V$6:$V$10005,$V5506,'①在庫を貼る'!$W$6:$W$10005,$W5506)+COUNTIFS('月1回_1ヶ月前の在庫'!$V$6:$V$10005,$V5506,'月1回_1ヶ月前の在庫'!$W$6:$W$10005,$W5506)&gt;0),N(U5505),N(U5505)+1))</f>
        <v/>
      </c>
      <c r="V5506" s="19">
        <f>IF($B5506="","",TEXT($B5506,"0000"))</f>
        <v/>
      </c>
      <c r="W5506" s="19">
        <f>IF($I5506="","",IF(ISNUMBER($I5506),TEXT($I5506,"0"),$I5506))</f>
        <v/>
      </c>
    </row>
    <row r="5507">
      <c r="B5507" s="25" t="n"/>
      <c r="I5507" s="25" t="n"/>
      <c r="U5507" s="19">
        <f>IF($V5507&lt;&gt;'設定'!$C$4,N(U5506),IF(OR(NOT(COUNTIF('商品マスタ'!$B$6:$B$1005,$W5507)=0),COUNTIFS('①在庫を貼る'!$V$6:$V$10005,$V5507,'①在庫を貼る'!$W$6:$W$10005,$W5507)+COUNTIFS('月1回_1ヶ月前の在庫'!$V$6:$V$10005,$V5507,'月1回_1ヶ月前の在庫'!$W$6:$W$10005,$W5507)&gt;0),N(U5506),N(U5506)+1))</f>
        <v/>
      </c>
      <c r="V5507" s="19">
        <f>IF($B5507="","",TEXT($B5507,"0000"))</f>
        <v/>
      </c>
      <c r="W5507" s="19">
        <f>IF($I5507="","",IF(ISNUMBER($I5507),TEXT($I5507,"0"),$I5507))</f>
        <v/>
      </c>
    </row>
    <row r="5508">
      <c r="B5508" s="25" t="n"/>
      <c r="I5508" s="25" t="n"/>
      <c r="U5508" s="19">
        <f>IF($V5508&lt;&gt;'設定'!$C$4,N(U5507),IF(OR(NOT(COUNTIF('商品マスタ'!$B$6:$B$1005,$W5508)=0),COUNTIFS('①在庫を貼る'!$V$6:$V$10005,$V5508,'①在庫を貼る'!$W$6:$W$10005,$W5508)+COUNTIFS('月1回_1ヶ月前の在庫'!$V$6:$V$10005,$V5508,'月1回_1ヶ月前の在庫'!$W$6:$W$10005,$W5508)&gt;0),N(U5507),N(U5507)+1))</f>
        <v/>
      </c>
      <c r="V5508" s="19">
        <f>IF($B5508="","",TEXT($B5508,"0000"))</f>
        <v/>
      </c>
      <c r="W5508" s="19">
        <f>IF($I5508="","",IF(ISNUMBER($I5508),TEXT($I5508,"0"),$I5508))</f>
        <v/>
      </c>
    </row>
    <row r="5509">
      <c r="B5509" s="25" t="n"/>
      <c r="I5509" s="25" t="n"/>
      <c r="U5509" s="19">
        <f>IF($V5509&lt;&gt;'設定'!$C$4,N(U5508),IF(OR(NOT(COUNTIF('商品マスタ'!$B$6:$B$1005,$W5509)=0),COUNTIFS('①在庫を貼る'!$V$6:$V$10005,$V5509,'①在庫を貼る'!$W$6:$W$10005,$W5509)+COUNTIFS('月1回_1ヶ月前の在庫'!$V$6:$V$10005,$V5509,'月1回_1ヶ月前の在庫'!$W$6:$W$10005,$W5509)&gt;0),N(U5508),N(U5508)+1))</f>
        <v/>
      </c>
      <c r="V5509" s="19">
        <f>IF($B5509="","",TEXT($B5509,"0000"))</f>
        <v/>
      </c>
      <c r="W5509" s="19">
        <f>IF($I5509="","",IF(ISNUMBER($I5509),TEXT($I5509,"0"),$I5509))</f>
        <v/>
      </c>
    </row>
    <row r="5510">
      <c r="B5510" s="25" t="n"/>
      <c r="I5510" s="25" t="n"/>
      <c r="U5510" s="19">
        <f>IF($V5510&lt;&gt;'設定'!$C$4,N(U5509),IF(OR(NOT(COUNTIF('商品マスタ'!$B$6:$B$1005,$W5510)=0),COUNTIFS('①在庫を貼る'!$V$6:$V$10005,$V5510,'①在庫を貼る'!$W$6:$W$10005,$W5510)+COUNTIFS('月1回_1ヶ月前の在庫'!$V$6:$V$10005,$V5510,'月1回_1ヶ月前の在庫'!$W$6:$W$10005,$W5510)&gt;0),N(U5509),N(U5509)+1))</f>
        <v/>
      </c>
      <c r="V5510" s="19">
        <f>IF($B5510="","",TEXT($B5510,"0000"))</f>
        <v/>
      </c>
      <c r="W5510" s="19">
        <f>IF($I5510="","",IF(ISNUMBER($I5510),TEXT($I5510,"0"),$I5510))</f>
        <v/>
      </c>
    </row>
    <row r="5511">
      <c r="B5511" s="25" t="n"/>
      <c r="I5511" s="25" t="n"/>
      <c r="U5511" s="19">
        <f>IF($V5511&lt;&gt;'設定'!$C$4,N(U5510),IF(OR(NOT(COUNTIF('商品マスタ'!$B$6:$B$1005,$W5511)=0),COUNTIFS('①在庫を貼る'!$V$6:$V$10005,$V5511,'①在庫を貼る'!$W$6:$W$10005,$W5511)+COUNTIFS('月1回_1ヶ月前の在庫'!$V$6:$V$10005,$V5511,'月1回_1ヶ月前の在庫'!$W$6:$W$10005,$W5511)&gt;0),N(U5510),N(U5510)+1))</f>
        <v/>
      </c>
      <c r="V5511" s="19">
        <f>IF($B5511="","",TEXT($B5511,"0000"))</f>
        <v/>
      </c>
      <c r="W5511" s="19">
        <f>IF($I5511="","",IF(ISNUMBER($I5511),TEXT($I5511,"0"),$I5511))</f>
        <v/>
      </c>
    </row>
    <row r="5512">
      <c r="B5512" s="25" t="n"/>
      <c r="I5512" s="25" t="n"/>
      <c r="U5512" s="19">
        <f>IF($V5512&lt;&gt;'設定'!$C$4,N(U5511),IF(OR(NOT(COUNTIF('商品マスタ'!$B$6:$B$1005,$W5512)=0),COUNTIFS('①在庫を貼る'!$V$6:$V$10005,$V5512,'①在庫を貼る'!$W$6:$W$10005,$W5512)+COUNTIFS('月1回_1ヶ月前の在庫'!$V$6:$V$10005,$V5512,'月1回_1ヶ月前の在庫'!$W$6:$W$10005,$W5512)&gt;0),N(U5511),N(U5511)+1))</f>
        <v/>
      </c>
      <c r="V5512" s="19">
        <f>IF($B5512="","",TEXT($B5512,"0000"))</f>
        <v/>
      </c>
      <c r="W5512" s="19">
        <f>IF($I5512="","",IF(ISNUMBER($I5512),TEXT($I5512,"0"),$I5512))</f>
        <v/>
      </c>
    </row>
    <row r="5513">
      <c r="B5513" s="25" t="n"/>
      <c r="I5513" s="25" t="n"/>
      <c r="U5513" s="19">
        <f>IF($V5513&lt;&gt;'設定'!$C$4,N(U5512),IF(OR(NOT(COUNTIF('商品マスタ'!$B$6:$B$1005,$W5513)=0),COUNTIFS('①在庫を貼る'!$V$6:$V$10005,$V5513,'①在庫を貼る'!$W$6:$W$10005,$W5513)+COUNTIFS('月1回_1ヶ月前の在庫'!$V$6:$V$10005,$V5513,'月1回_1ヶ月前の在庫'!$W$6:$W$10005,$W5513)&gt;0),N(U5512),N(U5512)+1))</f>
        <v/>
      </c>
      <c r="V5513" s="19">
        <f>IF($B5513="","",TEXT($B5513,"0000"))</f>
        <v/>
      </c>
      <c r="W5513" s="19">
        <f>IF($I5513="","",IF(ISNUMBER($I5513),TEXT($I5513,"0"),$I5513))</f>
        <v/>
      </c>
    </row>
    <row r="5514">
      <c r="B5514" s="25" t="n"/>
      <c r="I5514" s="25" t="n"/>
      <c r="U5514" s="19">
        <f>IF($V5514&lt;&gt;'設定'!$C$4,N(U5513),IF(OR(NOT(COUNTIF('商品マスタ'!$B$6:$B$1005,$W5514)=0),COUNTIFS('①在庫を貼る'!$V$6:$V$10005,$V5514,'①在庫を貼る'!$W$6:$W$10005,$W5514)+COUNTIFS('月1回_1ヶ月前の在庫'!$V$6:$V$10005,$V5514,'月1回_1ヶ月前の在庫'!$W$6:$W$10005,$W5514)&gt;0),N(U5513),N(U5513)+1))</f>
        <v/>
      </c>
      <c r="V5514" s="19">
        <f>IF($B5514="","",TEXT($B5514,"0000"))</f>
        <v/>
      </c>
      <c r="W5514" s="19">
        <f>IF($I5514="","",IF(ISNUMBER($I5514),TEXT($I5514,"0"),$I5514))</f>
        <v/>
      </c>
    </row>
    <row r="5515">
      <c r="B5515" s="25" t="n"/>
      <c r="I5515" s="25" t="n"/>
      <c r="U5515" s="19">
        <f>IF($V5515&lt;&gt;'設定'!$C$4,N(U5514),IF(OR(NOT(COUNTIF('商品マスタ'!$B$6:$B$1005,$W5515)=0),COUNTIFS('①在庫を貼る'!$V$6:$V$10005,$V5515,'①在庫を貼る'!$W$6:$W$10005,$W5515)+COUNTIFS('月1回_1ヶ月前の在庫'!$V$6:$V$10005,$V5515,'月1回_1ヶ月前の在庫'!$W$6:$W$10005,$W5515)&gt;0),N(U5514),N(U5514)+1))</f>
        <v/>
      </c>
      <c r="V5515" s="19">
        <f>IF($B5515="","",TEXT($B5515,"0000"))</f>
        <v/>
      </c>
      <c r="W5515" s="19">
        <f>IF($I5515="","",IF(ISNUMBER($I5515),TEXT($I5515,"0"),$I5515))</f>
        <v/>
      </c>
    </row>
    <row r="5516">
      <c r="B5516" s="25" t="n"/>
      <c r="I5516" s="25" t="n"/>
      <c r="U5516" s="19">
        <f>IF($V5516&lt;&gt;'設定'!$C$4,N(U5515),IF(OR(NOT(COUNTIF('商品マスタ'!$B$6:$B$1005,$W5516)=0),COUNTIFS('①在庫を貼る'!$V$6:$V$10005,$V5516,'①在庫を貼る'!$W$6:$W$10005,$W5516)+COUNTIFS('月1回_1ヶ月前の在庫'!$V$6:$V$10005,$V5516,'月1回_1ヶ月前の在庫'!$W$6:$W$10005,$W5516)&gt;0),N(U5515),N(U5515)+1))</f>
        <v/>
      </c>
      <c r="V5516" s="19">
        <f>IF($B5516="","",TEXT($B5516,"0000"))</f>
        <v/>
      </c>
      <c r="W5516" s="19">
        <f>IF($I5516="","",IF(ISNUMBER($I5516),TEXT($I5516,"0"),$I5516))</f>
        <v/>
      </c>
    </row>
    <row r="5517">
      <c r="B5517" s="25" t="n"/>
      <c r="I5517" s="25" t="n"/>
      <c r="U5517" s="19">
        <f>IF($V5517&lt;&gt;'設定'!$C$4,N(U5516),IF(OR(NOT(COUNTIF('商品マスタ'!$B$6:$B$1005,$W5517)=0),COUNTIFS('①在庫を貼る'!$V$6:$V$10005,$V5517,'①在庫を貼る'!$W$6:$W$10005,$W5517)+COUNTIFS('月1回_1ヶ月前の在庫'!$V$6:$V$10005,$V5517,'月1回_1ヶ月前の在庫'!$W$6:$W$10005,$W5517)&gt;0),N(U5516),N(U5516)+1))</f>
        <v/>
      </c>
      <c r="V5517" s="19">
        <f>IF($B5517="","",TEXT($B5517,"0000"))</f>
        <v/>
      </c>
      <c r="W5517" s="19">
        <f>IF($I5517="","",IF(ISNUMBER($I5517),TEXT($I5517,"0"),$I5517))</f>
        <v/>
      </c>
    </row>
    <row r="5518">
      <c r="B5518" s="25" t="n"/>
      <c r="I5518" s="25" t="n"/>
      <c r="U5518" s="19">
        <f>IF($V5518&lt;&gt;'設定'!$C$4,N(U5517),IF(OR(NOT(COUNTIF('商品マスタ'!$B$6:$B$1005,$W5518)=0),COUNTIFS('①在庫を貼る'!$V$6:$V$10005,$V5518,'①在庫を貼る'!$W$6:$W$10005,$W5518)+COUNTIFS('月1回_1ヶ月前の在庫'!$V$6:$V$10005,$V5518,'月1回_1ヶ月前の在庫'!$W$6:$W$10005,$W5518)&gt;0),N(U5517),N(U5517)+1))</f>
        <v/>
      </c>
      <c r="V5518" s="19">
        <f>IF($B5518="","",TEXT($B5518,"0000"))</f>
        <v/>
      </c>
      <c r="W5518" s="19">
        <f>IF($I5518="","",IF(ISNUMBER($I5518),TEXT($I5518,"0"),$I5518))</f>
        <v/>
      </c>
    </row>
    <row r="5519">
      <c r="B5519" s="25" t="n"/>
      <c r="I5519" s="25" t="n"/>
      <c r="U5519" s="19">
        <f>IF($V5519&lt;&gt;'設定'!$C$4,N(U5518),IF(OR(NOT(COUNTIF('商品マスタ'!$B$6:$B$1005,$W5519)=0),COUNTIFS('①在庫を貼る'!$V$6:$V$10005,$V5519,'①在庫を貼る'!$W$6:$W$10005,$W5519)+COUNTIFS('月1回_1ヶ月前の在庫'!$V$6:$V$10005,$V5519,'月1回_1ヶ月前の在庫'!$W$6:$W$10005,$W5519)&gt;0),N(U5518),N(U5518)+1))</f>
        <v/>
      </c>
      <c r="V5519" s="19">
        <f>IF($B5519="","",TEXT($B5519,"0000"))</f>
        <v/>
      </c>
      <c r="W5519" s="19">
        <f>IF($I5519="","",IF(ISNUMBER($I5519),TEXT($I5519,"0"),$I5519))</f>
        <v/>
      </c>
    </row>
    <row r="5520">
      <c r="B5520" s="25" t="n"/>
      <c r="I5520" s="25" t="n"/>
      <c r="U5520" s="19">
        <f>IF($V5520&lt;&gt;'設定'!$C$4,N(U5519),IF(OR(NOT(COUNTIF('商品マスタ'!$B$6:$B$1005,$W5520)=0),COUNTIFS('①在庫を貼る'!$V$6:$V$10005,$V5520,'①在庫を貼る'!$W$6:$W$10005,$W5520)+COUNTIFS('月1回_1ヶ月前の在庫'!$V$6:$V$10005,$V5520,'月1回_1ヶ月前の在庫'!$W$6:$W$10005,$W5520)&gt;0),N(U5519),N(U5519)+1))</f>
        <v/>
      </c>
      <c r="V5520" s="19">
        <f>IF($B5520="","",TEXT($B5520,"0000"))</f>
        <v/>
      </c>
      <c r="W5520" s="19">
        <f>IF($I5520="","",IF(ISNUMBER($I5520),TEXT($I5520,"0"),$I5520))</f>
        <v/>
      </c>
    </row>
    <row r="5521">
      <c r="B5521" s="25" t="n"/>
      <c r="I5521" s="25" t="n"/>
      <c r="U5521" s="19">
        <f>IF($V5521&lt;&gt;'設定'!$C$4,N(U5520),IF(OR(NOT(COUNTIF('商品マスタ'!$B$6:$B$1005,$W5521)=0),COUNTIFS('①在庫を貼る'!$V$6:$V$10005,$V5521,'①在庫を貼る'!$W$6:$W$10005,$W5521)+COUNTIFS('月1回_1ヶ月前の在庫'!$V$6:$V$10005,$V5521,'月1回_1ヶ月前の在庫'!$W$6:$W$10005,$W5521)&gt;0),N(U5520),N(U5520)+1))</f>
        <v/>
      </c>
      <c r="V5521" s="19">
        <f>IF($B5521="","",TEXT($B5521,"0000"))</f>
        <v/>
      </c>
      <c r="W5521" s="19">
        <f>IF($I5521="","",IF(ISNUMBER($I5521),TEXT($I5521,"0"),$I5521))</f>
        <v/>
      </c>
    </row>
    <row r="5522">
      <c r="B5522" s="25" t="n"/>
      <c r="I5522" s="25" t="n"/>
      <c r="U5522" s="19">
        <f>IF($V5522&lt;&gt;'設定'!$C$4,N(U5521),IF(OR(NOT(COUNTIF('商品マスタ'!$B$6:$B$1005,$W5522)=0),COUNTIFS('①在庫を貼る'!$V$6:$V$10005,$V5522,'①在庫を貼る'!$W$6:$W$10005,$W5522)+COUNTIFS('月1回_1ヶ月前の在庫'!$V$6:$V$10005,$V5522,'月1回_1ヶ月前の在庫'!$W$6:$W$10005,$W5522)&gt;0),N(U5521),N(U5521)+1))</f>
        <v/>
      </c>
      <c r="V5522" s="19">
        <f>IF($B5522="","",TEXT($B5522,"0000"))</f>
        <v/>
      </c>
      <c r="W5522" s="19">
        <f>IF($I5522="","",IF(ISNUMBER($I5522),TEXT($I5522,"0"),$I5522))</f>
        <v/>
      </c>
    </row>
    <row r="5523">
      <c r="B5523" s="25" t="n"/>
      <c r="I5523" s="25" t="n"/>
      <c r="U5523" s="19">
        <f>IF($V5523&lt;&gt;'設定'!$C$4,N(U5522),IF(OR(NOT(COUNTIF('商品マスタ'!$B$6:$B$1005,$W5523)=0),COUNTIFS('①在庫を貼る'!$V$6:$V$10005,$V5523,'①在庫を貼る'!$W$6:$W$10005,$W5523)+COUNTIFS('月1回_1ヶ月前の在庫'!$V$6:$V$10005,$V5523,'月1回_1ヶ月前の在庫'!$W$6:$W$10005,$W5523)&gt;0),N(U5522),N(U5522)+1))</f>
        <v/>
      </c>
      <c r="V5523" s="19">
        <f>IF($B5523="","",TEXT($B5523,"0000"))</f>
        <v/>
      </c>
      <c r="W5523" s="19">
        <f>IF($I5523="","",IF(ISNUMBER($I5523),TEXT($I5523,"0"),$I5523))</f>
        <v/>
      </c>
    </row>
    <row r="5524">
      <c r="B5524" s="25" t="n"/>
      <c r="I5524" s="25" t="n"/>
      <c r="U5524" s="19">
        <f>IF($V5524&lt;&gt;'設定'!$C$4,N(U5523),IF(OR(NOT(COUNTIF('商品マスタ'!$B$6:$B$1005,$W5524)=0),COUNTIFS('①在庫を貼る'!$V$6:$V$10005,$V5524,'①在庫を貼る'!$W$6:$W$10005,$W5524)+COUNTIFS('月1回_1ヶ月前の在庫'!$V$6:$V$10005,$V5524,'月1回_1ヶ月前の在庫'!$W$6:$W$10005,$W5524)&gt;0),N(U5523),N(U5523)+1))</f>
        <v/>
      </c>
      <c r="V5524" s="19">
        <f>IF($B5524="","",TEXT($B5524,"0000"))</f>
        <v/>
      </c>
      <c r="W5524" s="19">
        <f>IF($I5524="","",IF(ISNUMBER($I5524),TEXT($I5524,"0"),$I5524))</f>
        <v/>
      </c>
    </row>
    <row r="5525">
      <c r="B5525" s="25" t="n"/>
      <c r="I5525" s="25" t="n"/>
      <c r="U5525" s="19">
        <f>IF($V5525&lt;&gt;'設定'!$C$4,N(U5524),IF(OR(NOT(COUNTIF('商品マスタ'!$B$6:$B$1005,$W5525)=0),COUNTIFS('①在庫を貼る'!$V$6:$V$10005,$V5525,'①在庫を貼る'!$W$6:$W$10005,$W5525)+COUNTIFS('月1回_1ヶ月前の在庫'!$V$6:$V$10005,$V5525,'月1回_1ヶ月前の在庫'!$W$6:$W$10005,$W5525)&gt;0),N(U5524),N(U5524)+1))</f>
        <v/>
      </c>
      <c r="V5525" s="19">
        <f>IF($B5525="","",TEXT($B5525,"0000"))</f>
        <v/>
      </c>
      <c r="W5525" s="19">
        <f>IF($I5525="","",IF(ISNUMBER($I5525),TEXT($I5525,"0"),$I5525))</f>
        <v/>
      </c>
    </row>
    <row r="5526">
      <c r="B5526" s="25" t="n"/>
      <c r="I5526" s="25" t="n"/>
      <c r="U5526" s="19">
        <f>IF($V5526&lt;&gt;'設定'!$C$4,N(U5525),IF(OR(NOT(COUNTIF('商品マスタ'!$B$6:$B$1005,$W5526)=0),COUNTIFS('①在庫を貼る'!$V$6:$V$10005,$V5526,'①在庫を貼る'!$W$6:$W$10005,$W5526)+COUNTIFS('月1回_1ヶ月前の在庫'!$V$6:$V$10005,$V5526,'月1回_1ヶ月前の在庫'!$W$6:$W$10005,$W5526)&gt;0),N(U5525),N(U5525)+1))</f>
        <v/>
      </c>
      <c r="V5526" s="19">
        <f>IF($B5526="","",TEXT($B5526,"0000"))</f>
        <v/>
      </c>
      <c r="W5526" s="19">
        <f>IF($I5526="","",IF(ISNUMBER($I5526),TEXT($I5526,"0"),$I5526))</f>
        <v/>
      </c>
    </row>
    <row r="5527">
      <c r="B5527" s="25" t="n"/>
      <c r="I5527" s="25" t="n"/>
      <c r="U5527" s="19">
        <f>IF($V5527&lt;&gt;'設定'!$C$4,N(U5526),IF(OR(NOT(COUNTIF('商品マスタ'!$B$6:$B$1005,$W5527)=0),COUNTIFS('①在庫を貼る'!$V$6:$V$10005,$V5527,'①在庫を貼る'!$W$6:$W$10005,$W5527)+COUNTIFS('月1回_1ヶ月前の在庫'!$V$6:$V$10005,$V5527,'月1回_1ヶ月前の在庫'!$W$6:$W$10005,$W5527)&gt;0),N(U5526),N(U5526)+1))</f>
        <v/>
      </c>
      <c r="V5527" s="19">
        <f>IF($B5527="","",TEXT($B5527,"0000"))</f>
        <v/>
      </c>
      <c r="W5527" s="19">
        <f>IF($I5527="","",IF(ISNUMBER($I5527),TEXT($I5527,"0"),$I5527))</f>
        <v/>
      </c>
    </row>
    <row r="5528">
      <c r="B5528" s="25" t="n"/>
      <c r="I5528" s="25" t="n"/>
      <c r="U5528" s="19">
        <f>IF($V5528&lt;&gt;'設定'!$C$4,N(U5527),IF(OR(NOT(COUNTIF('商品マスタ'!$B$6:$B$1005,$W5528)=0),COUNTIFS('①在庫を貼る'!$V$6:$V$10005,$V5528,'①在庫を貼る'!$W$6:$W$10005,$W5528)+COUNTIFS('月1回_1ヶ月前の在庫'!$V$6:$V$10005,$V5528,'月1回_1ヶ月前の在庫'!$W$6:$W$10005,$W5528)&gt;0),N(U5527),N(U5527)+1))</f>
        <v/>
      </c>
      <c r="V5528" s="19">
        <f>IF($B5528="","",TEXT($B5528,"0000"))</f>
        <v/>
      </c>
      <c r="W5528" s="19">
        <f>IF($I5528="","",IF(ISNUMBER($I5528),TEXT($I5528,"0"),$I5528))</f>
        <v/>
      </c>
    </row>
    <row r="5529">
      <c r="B5529" s="25" t="n"/>
      <c r="I5529" s="25" t="n"/>
      <c r="U5529" s="19">
        <f>IF($V5529&lt;&gt;'設定'!$C$4,N(U5528),IF(OR(NOT(COUNTIF('商品マスタ'!$B$6:$B$1005,$W5529)=0),COUNTIFS('①在庫を貼る'!$V$6:$V$10005,$V5529,'①在庫を貼る'!$W$6:$W$10005,$W5529)+COUNTIFS('月1回_1ヶ月前の在庫'!$V$6:$V$10005,$V5529,'月1回_1ヶ月前の在庫'!$W$6:$W$10005,$W5529)&gt;0),N(U5528),N(U5528)+1))</f>
        <v/>
      </c>
      <c r="V5529" s="19">
        <f>IF($B5529="","",TEXT($B5529,"0000"))</f>
        <v/>
      </c>
      <c r="W5529" s="19">
        <f>IF($I5529="","",IF(ISNUMBER($I5529),TEXT($I5529,"0"),$I5529))</f>
        <v/>
      </c>
    </row>
    <row r="5530">
      <c r="B5530" s="25" t="n"/>
      <c r="I5530" s="25" t="n"/>
      <c r="U5530" s="19">
        <f>IF($V5530&lt;&gt;'設定'!$C$4,N(U5529),IF(OR(NOT(COUNTIF('商品マスタ'!$B$6:$B$1005,$W5530)=0),COUNTIFS('①在庫を貼る'!$V$6:$V$10005,$V5530,'①在庫を貼る'!$W$6:$W$10005,$W5530)+COUNTIFS('月1回_1ヶ月前の在庫'!$V$6:$V$10005,$V5530,'月1回_1ヶ月前の在庫'!$W$6:$W$10005,$W5530)&gt;0),N(U5529),N(U5529)+1))</f>
        <v/>
      </c>
      <c r="V5530" s="19">
        <f>IF($B5530="","",TEXT($B5530,"0000"))</f>
        <v/>
      </c>
      <c r="W5530" s="19">
        <f>IF($I5530="","",IF(ISNUMBER($I5530),TEXT($I5530,"0"),$I5530))</f>
        <v/>
      </c>
    </row>
    <row r="5531">
      <c r="B5531" s="25" t="n"/>
      <c r="I5531" s="25" t="n"/>
      <c r="U5531" s="19">
        <f>IF($V5531&lt;&gt;'設定'!$C$4,N(U5530),IF(OR(NOT(COUNTIF('商品マスタ'!$B$6:$B$1005,$W5531)=0),COUNTIFS('①在庫を貼る'!$V$6:$V$10005,$V5531,'①在庫を貼る'!$W$6:$W$10005,$W5531)+COUNTIFS('月1回_1ヶ月前の在庫'!$V$6:$V$10005,$V5531,'月1回_1ヶ月前の在庫'!$W$6:$W$10005,$W5531)&gt;0),N(U5530),N(U5530)+1))</f>
        <v/>
      </c>
      <c r="V5531" s="19">
        <f>IF($B5531="","",TEXT($B5531,"0000"))</f>
        <v/>
      </c>
      <c r="W5531" s="19">
        <f>IF($I5531="","",IF(ISNUMBER($I5531),TEXT($I5531,"0"),$I5531))</f>
        <v/>
      </c>
    </row>
    <row r="5532">
      <c r="B5532" s="25" t="n"/>
      <c r="I5532" s="25" t="n"/>
      <c r="U5532" s="19">
        <f>IF($V5532&lt;&gt;'設定'!$C$4,N(U5531),IF(OR(NOT(COUNTIF('商品マスタ'!$B$6:$B$1005,$W5532)=0),COUNTIFS('①在庫を貼る'!$V$6:$V$10005,$V5532,'①在庫を貼る'!$W$6:$W$10005,$W5532)+COUNTIFS('月1回_1ヶ月前の在庫'!$V$6:$V$10005,$V5532,'月1回_1ヶ月前の在庫'!$W$6:$W$10005,$W5532)&gt;0),N(U5531),N(U5531)+1))</f>
        <v/>
      </c>
      <c r="V5532" s="19">
        <f>IF($B5532="","",TEXT($B5532,"0000"))</f>
        <v/>
      </c>
      <c r="W5532" s="19">
        <f>IF($I5532="","",IF(ISNUMBER($I5532),TEXT($I5532,"0"),$I5532))</f>
        <v/>
      </c>
    </row>
    <row r="5533">
      <c r="B5533" s="25" t="n"/>
      <c r="I5533" s="25" t="n"/>
      <c r="U5533" s="19">
        <f>IF($V5533&lt;&gt;'設定'!$C$4,N(U5532),IF(OR(NOT(COUNTIF('商品マスタ'!$B$6:$B$1005,$W5533)=0),COUNTIFS('①在庫を貼る'!$V$6:$V$10005,$V5533,'①在庫を貼る'!$W$6:$W$10005,$W5533)+COUNTIFS('月1回_1ヶ月前の在庫'!$V$6:$V$10005,$V5533,'月1回_1ヶ月前の在庫'!$W$6:$W$10005,$W5533)&gt;0),N(U5532),N(U5532)+1))</f>
        <v/>
      </c>
      <c r="V5533" s="19">
        <f>IF($B5533="","",TEXT($B5533,"0000"))</f>
        <v/>
      </c>
      <c r="W5533" s="19">
        <f>IF($I5533="","",IF(ISNUMBER($I5533),TEXT($I5533,"0"),$I5533))</f>
        <v/>
      </c>
    </row>
    <row r="5534">
      <c r="B5534" s="25" t="n"/>
      <c r="I5534" s="25" t="n"/>
      <c r="U5534" s="19">
        <f>IF($V5534&lt;&gt;'設定'!$C$4,N(U5533),IF(OR(NOT(COUNTIF('商品マスタ'!$B$6:$B$1005,$W5534)=0),COUNTIFS('①在庫を貼る'!$V$6:$V$10005,$V5534,'①在庫を貼る'!$W$6:$W$10005,$W5534)+COUNTIFS('月1回_1ヶ月前の在庫'!$V$6:$V$10005,$V5534,'月1回_1ヶ月前の在庫'!$W$6:$W$10005,$W5534)&gt;0),N(U5533),N(U5533)+1))</f>
        <v/>
      </c>
      <c r="V5534" s="19">
        <f>IF($B5534="","",TEXT($B5534,"0000"))</f>
        <v/>
      </c>
      <c r="W5534" s="19">
        <f>IF($I5534="","",IF(ISNUMBER($I5534),TEXT($I5534,"0"),$I5534))</f>
        <v/>
      </c>
    </row>
    <row r="5535">
      <c r="B5535" s="25" t="n"/>
      <c r="I5535" s="25" t="n"/>
      <c r="U5535" s="19">
        <f>IF($V5535&lt;&gt;'設定'!$C$4,N(U5534),IF(OR(NOT(COUNTIF('商品マスタ'!$B$6:$B$1005,$W5535)=0),COUNTIFS('①在庫を貼る'!$V$6:$V$10005,$V5535,'①在庫を貼る'!$W$6:$W$10005,$W5535)+COUNTIFS('月1回_1ヶ月前の在庫'!$V$6:$V$10005,$V5535,'月1回_1ヶ月前の在庫'!$W$6:$W$10005,$W5535)&gt;0),N(U5534),N(U5534)+1))</f>
        <v/>
      </c>
      <c r="V5535" s="19">
        <f>IF($B5535="","",TEXT($B5535,"0000"))</f>
        <v/>
      </c>
      <c r="W5535" s="19">
        <f>IF($I5535="","",IF(ISNUMBER($I5535),TEXT($I5535,"0"),$I5535))</f>
        <v/>
      </c>
    </row>
    <row r="5536">
      <c r="B5536" s="25" t="n"/>
      <c r="I5536" s="25" t="n"/>
      <c r="U5536" s="19">
        <f>IF($V5536&lt;&gt;'設定'!$C$4,N(U5535),IF(OR(NOT(COUNTIF('商品マスタ'!$B$6:$B$1005,$W5536)=0),COUNTIFS('①在庫を貼る'!$V$6:$V$10005,$V5536,'①在庫を貼る'!$W$6:$W$10005,$W5536)+COUNTIFS('月1回_1ヶ月前の在庫'!$V$6:$V$10005,$V5536,'月1回_1ヶ月前の在庫'!$W$6:$W$10005,$W5536)&gt;0),N(U5535),N(U5535)+1))</f>
        <v/>
      </c>
      <c r="V5536" s="19">
        <f>IF($B5536="","",TEXT($B5536,"0000"))</f>
        <v/>
      </c>
      <c r="W5536" s="19">
        <f>IF($I5536="","",IF(ISNUMBER($I5536),TEXT($I5536,"0"),$I5536))</f>
        <v/>
      </c>
    </row>
    <row r="5537">
      <c r="B5537" s="25" t="n"/>
      <c r="I5537" s="25" t="n"/>
      <c r="U5537" s="19">
        <f>IF($V5537&lt;&gt;'設定'!$C$4,N(U5536),IF(OR(NOT(COUNTIF('商品マスタ'!$B$6:$B$1005,$W5537)=0),COUNTIFS('①在庫を貼る'!$V$6:$V$10005,$V5537,'①在庫を貼る'!$W$6:$W$10005,$W5537)+COUNTIFS('月1回_1ヶ月前の在庫'!$V$6:$V$10005,$V5537,'月1回_1ヶ月前の在庫'!$W$6:$W$10005,$W5537)&gt;0),N(U5536),N(U5536)+1))</f>
        <v/>
      </c>
      <c r="V5537" s="19">
        <f>IF($B5537="","",TEXT($B5537,"0000"))</f>
        <v/>
      </c>
      <c r="W5537" s="19">
        <f>IF($I5537="","",IF(ISNUMBER($I5537),TEXT($I5537,"0"),$I5537))</f>
        <v/>
      </c>
    </row>
    <row r="5538">
      <c r="B5538" s="25" t="n"/>
      <c r="I5538" s="25" t="n"/>
      <c r="U5538" s="19">
        <f>IF($V5538&lt;&gt;'設定'!$C$4,N(U5537),IF(OR(NOT(COUNTIF('商品マスタ'!$B$6:$B$1005,$W5538)=0),COUNTIFS('①在庫を貼る'!$V$6:$V$10005,$V5538,'①在庫を貼る'!$W$6:$W$10005,$W5538)+COUNTIFS('月1回_1ヶ月前の在庫'!$V$6:$V$10005,$V5538,'月1回_1ヶ月前の在庫'!$W$6:$W$10005,$W5538)&gt;0),N(U5537),N(U5537)+1))</f>
        <v/>
      </c>
      <c r="V5538" s="19">
        <f>IF($B5538="","",TEXT($B5538,"0000"))</f>
        <v/>
      </c>
      <c r="W5538" s="19">
        <f>IF($I5538="","",IF(ISNUMBER($I5538),TEXT($I5538,"0"),$I5538))</f>
        <v/>
      </c>
    </row>
    <row r="5539">
      <c r="B5539" s="25" t="n"/>
      <c r="I5539" s="25" t="n"/>
      <c r="U5539" s="19">
        <f>IF($V5539&lt;&gt;'設定'!$C$4,N(U5538),IF(OR(NOT(COUNTIF('商品マスタ'!$B$6:$B$1005,$W5539)=0),COUNTIFS('①在庫を貼る'!$V$6:$V$10005,$V5539,'①在庫を貼る'!$W$6:$W$10005,$W5539)+COUNTIFS('月1回_1ヶ月前の在庫'!$V$6:$V$10005,$V5539,'月1回_1ヶ月前の在庫'!$W$6:$W$10005,$W5539)&gt;0),N(U5538),N(U5538)+1))</f>
        <v/>
      </c>
      <c r="V5539" s="19">
        <f>IF($B5539="","",TEXT($B5539,"0000"))</f>
        <v/>
      </c>
      <c r="W5539" s="19">
        <f>IF($I5539="","",IF(ISNUMBER($I5539),TEXT($I5539,"0"),$I5539))</f>
        <v/>
      </c>
    </row>
    <row r="5540">
      <c r="B5540" s="25" t="n"/>
      <c r="I5540" s="25" t="n"/>
      <c r="U5540" s="19">
        <f>IF($V5540&lt;&gt;'設定'!$C$4,N(U5539),IF(OR(NOT(COUNTIF('商品マスタ'!$B$6:$B$1005,$W5540)=0),COUNTIFS('①在庫を貼る'!$V$6:$V$10005,$V5540,'①在庫を貼る'!$W$6:$W$10005,$W5540)+COUNTIFS('月1回_1ヶ月前の在庫'!$V$6:$V$10005,$V5540,'月1回_1ヶ月前の在庫'!$W$6:$W$10005,$W5540)&gt;0),N(U5539),N(U5539)+1))</f>
        <v/>
      </c>
      <c r="V5540" s="19">
        <f>IF($B5540="","",TEXT($B5540,"0000"))</f>
        <v/>
      </c>
      <c r="W5540" s="19">
        <f>IF($I5540="","",IF(ISNUMBER($I5540),TEXT($I5540,"0"),$I5540))</f>
        <v/>
      </c>
    </row>
    <row r="5541">
      <c r="B5541" s="25" t="n"/>
      <c r="I5541" s="25" t="n"/>
      <c r="U5541" s="19">
        <f>IF($V5541&lt;&gt;'設定'!$C$4,N(U5540),IF(OR(NOT(COUNTIF('商品マスタ'!$B$6:$B$1005,$W5541)=0),COUNTIFS('①在庫を貼る'!$V$6:$V$10005,$V5541,'①在庫を貼る'!$W$6:$W$10005,$W5541)+COUNTIFS('月1回_1ヶ月前の在庫'!$V$6:$V$10005,$V5541,'月1回_1ヶ月前の在庫'!$W$6:$W$10005,$W5541)&gt;0),N(U5540),N(U5540)+1))</f>
        <v/>
      </c>
      <c r="V5541" s="19">
        <f>IF($B5541="","",TEXT($B5541,"0000"))</f>
        <v/>
      </c>
      <c r="W5541" s="19">
        <f>IF($I5541="","",IF(ISNUMBER($I5541),TEXT($I5541,"0"),$I5541))</f>
        <v/>
      </c>
    </row>
    <row r="5542">
      <c r="B5542" s="25" t="n"/>
      <c r="I5542" s="25" t="n"/>
      <c r="U5542" s="19">
        <f>IF($V5542&lt;&gt;'設定'!$C$4,N(U5541),IF(OR(NOT(COUNTIF('商品マスタ'!$B$6:$B$1005,$W5542)=0),COUNTIFS('①在庫を貼る'!$V$6:$V$10005,$V5542,'①在庫を貼る'!$W$6:$W$10005,$W5542)+COUNTIFS('月1回_1ヶ月前の在庫'!$V$6:$V$10005,$V5542,'月1回_1ヶ月前の在庫'!$W$6:$W$10005,$W5542)&gt;0),N(U5541),N(U5541)+1))</f>
        <v/>
      </c>
      <c r="V5542" s="19">
        <f>IF($B5542="","",TEXT($B5542,"0000"))</f>
        <v/>
      </c>
      <c r="W5542" s="19">
        <f>IF($I5542="","",IF(ISNUMBER($I5542),TEXT($I5542,"0"),$I5542))</f>
        <v/>
      </c>
    </row>
    <row r="5543">
      <c r="B5543" s="25" t="n"/>
      <c r="I5543" s="25" t="n"/>
      <c r="U5543" s="19">
        <f>IF($V5543&lt;&gt;'設定'!$C$4,N(U5542),IF(OR(NOT(COUNTIF('商品マスタ'!$B$6:$B$1005,$W5543)=0),COUNTIFS('①在庫を貼る'!$V$6:$V$10005,$V5543,'①在庫を貼る'!$W$6:$W$10005,$W5543)+COUNTIFS('月1回_1ヶ月前の在庫'!$V$6:$V$10005,$V5543,'月1回_1ヶ月前の在庫'!$W$6:$W$10005,$W5543)&gt;0),N(U5542),N(U5542)+1))</f>
        <v/>
      </c>
      <c r="V5543" s="19">
        <f>IF($B5543="","",TEXT($B5543,"0000"))</f>
        <v/>
      </c>
      <c r="W5543" s="19">
        <f>IF($I5543="","",IF(ISNUMBER($I5543),TEXT($I5543,"0"),$I5543))</f>
        <v/>
      </c>
    </row>
    <row r="5544">
      <c r="B5544" s="25" t="n"/>
      <c r="I5544" s="25" t="n"/>
      <c r="U5544" s="19">
        <f>IF($V5544&lt;&gt;'設定'!$C$4,N(U5543),IF(OR(NOT(COUNTIF('商品マスタ'!$B$6:$B$1005,$W5544)=0),COUNTIFS('①在庫を貼る'!$V$6:$V$10005,$V5544,'①在庫を貼る'!$W$6:$W$10005,$W5544)+COUNTIFS('月1回_1ヶ月前の在庫'!$V$6:$V$10005,$V5544,'月1回_1ヶ月前の在庫'!$W$6:$W$10005,$W5544)&gt;0),N(U5543),N(U5543)+1))</f>
        <v/>
      </c>
      <c r="V5544" s="19">
        <f>IF($B5544="","",TEXT($B5544,"0000"))</f>
        <v/>
      </c>
      <c r="W5544" s="19">
        <f>IF($I5544="","",IF(ISNUMBER($I5544),TEXT($I5544,"0"),$I5544))</f>
        <v/>
      </c>
    </row>
    <row r="5545">
      <c r="B5545" s="25" t="n"/>
      <c r="I5545" s="25" t="n"/>
      <c r="U5545" s="19">
        <f>IF($V5545&lt;&gt;'設定'!$C$4,N(U5544),IF(OR(NOT(COUNTIF('商品マスタ'!$B$6:$B$1005,$W5545)=0),COUNTIFS('①在庫を貼る'!$V$6:$V$10005,$V5545,'①在庫を貼る'!$W$6:$W$10005,$W5545)+COUNTIFS('月1回_1ヶ月前の在庫'!$V$6:$V$10005,$V5545,'月1回_1ヶ月前の在庫'!$W$6:$W$10005,$W5545)&gt;0),N(U5544),N(U5544)+1))</f>
        <v/>
      </c>
      <c r="V5545" s="19">
        <f>IF($B5545="","",TEXT($B5545,"0000"))</f>
        <v/>
      </c>
      <c r="W5545" s="19">
        <f>IF($I5545="","",IF(ISNUMBER($I5545),TEXT($I5545,"0"),$I5545))</f>
        <v/>
      </c>
    </row>
    <row r="5546">
      <c r="B5546" s="25" t="n"/>
      <c r="I5546" s="25" t="n"/>
      <c r="U5546" s="19">
        <f>IF($V5546&lt;&gt;'設定'!$C$4,N(U5545),IF(OR(NOT(COUNTIF('商品マスタ'!$B$6:$B$1005,$W5546)=0),COUNTIFS('①在庫を貼る'!$V$6:$V$10005,$V5546,'①在庫を貼る'!$W$6:$W$10005,$W5546)+COUNTIFS('月1回_1ヶ月前の在庫'!$V$6:$V$10005,$V5546,'月1回_1ヶ月前の在庫'!$W$6:$W$10005,$W5546)&gt;0),N(U5545),N(U5545)+1))</f>
        <v/>
      </c>
      <c r="V5546" s="19">
        <f>IF($B5546="","",TEXT($B5546,"0000"))</f>
        <v/>
      </c>
      <c r="W5546" s="19">
        <f>IF($I5546="","",IF(ISNUMBER($I5546),TEXT($I5546,"0"),$I5546))</f>
        <v/>
      </c>
    </row>
    <row r="5547">
      <c r="B5547" s="25" t="n"/>
      <c r="I5547" s="25" t="n"/>
      <c r="U5547" s="19">
        <f>IF($V5547&lt;&gt;'設定'!$C$4,N(U5546),IF(OR(NOT(COUNTIF('商品マスタ'!$B$6:$B$1005,$W5547)=0),COUNTIFS('①在庫を貼る'!$V$6:$V$10005,$V5547,'①在庫を貼る'!$W$6:$W$10005,$W5547)+COUNTIFS('月1回_1ヶ月前の在庫'!$V$6:$V$10005,$V5547,'月1回_1ヶ月前の在庫'!$W$6:$W$10005,$W5547)&gt;0),N(U5546),N(U5546)+1))</f>
        <v/>
      </c>
      <c r="V5547" s="19">
        <f>IF($B5547="","",TEXT($B5547,"0000"))</f>
        <v/>
      </c>
      <c r="W5547" s="19">
        <f>IF($I5547="","",IF(ISNUMBER($I5547),TEXT($I5547,"0"),$I5547))</f>
        <v/>
      </c>
    </row>
    <row r="5548">
      <c r="B5548" s="25" t="n"/>
      <c r="I5548" s="25" t="n"/>
      <c r="U5548" s="19">
        <f>IF($V5548&lt;&gt;'設定'!$C$4,N(U5547),IF(OR(NOT(COUNTIF('商品マスタ'!$B$6:$B$1005,$W5548)=0),COUNTIFS('①在庫を貼る'!$V$6:$V$10005,$V5548,'①在庫を貼る'!$W$6:$W$10005,$W5548)+COUNTIFS('月1回_1ヶ月前の在庫'!$V$6:$V$10005,$V5548,'月1回_1ヶ月前の在庫'!$W$6:$W$10005,$W5548)&gt;0),N(U5547),N(U5547)+1))</f>
        <v/>
      </c>
      <c r="V5548" s="19">
        <f>IF($B5548="","",TEXT($B5548,"0000"))</f>
        <v/>
      </c>
      <c r="W5548" s="19">
        <f>IF($I5548="","",IF(ISNUMBER($I5548),TEXT($I5548,"0"),$I5548))</f>
        <v/>
      </c>
    </row>
    <row r="5549">
      <c r="B5549" s="25" t="n"/>
      <c r="I5549" s="25" t="n"/>
      <c r="U5549" s="19">
        <f>IF($V5549&lt;&gt;'設定'!$C$4,N(U5548),IF(OR(NOT(COUNTIF('商品マスタ'!$B$6:$B$1005,$W5549)=0),COUNTIFS('①在庫を貼る'!$V$6:$V$10005,$V5549,'①在庫を貼る'!$W$6:$W$10005,$W5549)+COUNTIFS('月1回_1ヶ月前の在庫'!$V$6:$V$10005,$V5549,'月1回_1ヶ月前の在庫'!$W$6:$W$10005,$W5549)&gt;0),N(U5548),N(U5548)+1))</f>
        <v/>
      </c>
      <c r="V5549" s="19">
        <f>IF($B5549="","",TEXT($B5549,"0000"))</f>
        <v/>
      </c>
      <c r="W5549" s="19">
        <f>IF($I5549="","",IF(ISNUMBER($I5549),TEXT($I5549,"0"),$I5549))</f>
        <v/>
      </c>
    </row>
    <row r="5550">
      <c r="B5550" s="25" t="n"/>
      <c r="I5550" s="25" t="n"/>
      <c r="U5550" s="19">
        <f>IF($V5550&lt;&gt;'設定'!$C$4,N(U5549),IF(OR(NOT(COUNTIF('商品マスタ'!$B$6:$B$1005,$W5550)=0),COUNTIFS('①在庫を貼る'!$V$6:$V$10005,$V5550,'①在庫を貼る'!$W$6:$W$10005,$W5550)+COUNTIFS('月1回_1ヶ月前の在庫'!$V$6:$V$10005,$V5550,'月1回_1ヶ月前の在庫'!$W$6:$W$10005,$W5550)&gt;0),N(U5549),N(U5549)+1))</f>
        <v/>
      </c>
      <c r="V5550" s="19">
        <f>IF($B5550="","",TEXT($B5550,"0000"))</f>
        <v/>
      </c>
      <c r="W5550" s="19">
        <f>IF($I5550="","",IF(ISNUMBER($I5550),TEXT($I5550,"0"),$I5550))</f>
        <v/>
      </c>
    </row>
    <row r="5551">
      <c r="B5551" s="25" t="n"/>
      <c r="I5551" s="25" t="n"/>
      <c r="U5551" s="19">
        <f>IF($V5551&lt;&gt;'設定'!$C$4,N(U5550),IF(OR(NOT(COUNTIF('商品マスタ'!$B$6:$B$1005,$W5551)=0),COUNTIFS('①在庫を貼る'!$V$6:$V$10005,$V5551,'①在庫を貼る'!$W$6:$W$10005,$W5551)+COUNTIFS('月1回_1ヶ月前の在庫'!$V$6:$V$10005,$V5551,'月1回_1ヶ月前の在庫'!$W$6:$W$10005,$W5551)&gt;0),N(U5550),N(U5550)+1))</f>
        <v/>
      </c>
      <c r="V5551" s="19">
        <f>IF($B5551="","",TEXT($B5551,"0000"))</f>
        <v/>
      </c>
      <c r="W5551" s="19">
        <f>IF($I5551="","",IF(ISNUMBER($I5551),TEXT($I5551,"0"),$I5551))</f>
        <v/>
      </c>
    </row>
    <row r="5552">
      <c r="B5552" s="25" t="n"/>
      <c r="I5552" s="25" t="n"/>
      <c r="U5552" s="19">
        <f>IF($V5552&lt;&gt;'設定'!$C$4,N(U5551),IF(OR(NOT(COUNTIF('商品マスタ'!$B$6:$B$1005,$W5552)=0),COUNTIFS('①在庫を貼る'!$V$6:$V$10005,$V5552,'①在庫を貼る'!$W$6:$W$10005,$W5552)+COUNTIFS('月1回_1ヶ月前の在庫'!$V$6:$V$10005,$V5552,'月1回_1ヶ月前の在庫'!$W$6:$W$10005,$W5552)&gt;0),N(U5551),N(U5551)+1))</f>
        <v/>
      </c>
      <c r="V5552" s="19">
        <f>IF($B5552="","",TEXT($B5552,"0000"))</f>
        <v/>
      </c>
      <c r="W5552" s="19">
        <f>IF($I5552="","",IF(ISNUMBER($I5552),TEXT($I5552,"0"),$I5552))</f>
        <v/>
      </c>
    </row>
    <row r="5553">
      <c r="B5553" s="25" t="n"/>
      <c r="I5553" s="25" t="n"/>
      <c r="U5553" s="19">
        <f>IF($V5553&lt;&gt;'設定'!$C$4,N(U5552),IF(OR(NOT(COUNTIF('商品マスタ'!$B$6:$B$1005,$W5553)=0),COUNTIFS('①在庫を貼る'!$V$6:$V$10005,$V5553,'①在庫を貼る'!$W$6:$W$10005,$W5553)+COUNTIFS('月1回_1ヶ月前の在庫'!$V$6:$V$10005,$V5553,'月1回_1ヶ月前の在庫'!$W$6:$W$10005,$W5553)&gt;0),N(U5552),N(U5552)+1))</f>
        <v/>
      </c>
      <c r="V5553" s="19">
        <f>IF($B5553="","",TEXT($B5553,"0000"))</f>
        <v/>
      </c>
      <c r="W5553" s="19">
        <f>IF($I5553="","",IF(ISNUMBER($I5553),TEXT($I5553,"0"),$I5553))</f>
        <v/>
      </c>
    </row>
    <row r="5554">
      <c r="B5554" s="25" t="n"/>
      <c r="I5554" s="25" t="n"/>
      <c r="U5554" s="19">
        <f>IF($V5554&lt;&gt;'設定'!$C$4,N(U5553),IF(OR(NOT(COUNTIF('商品マスタ'!$B$6:$B$1005,$W5554)=0),COUNTIFS('①在庫を貼る'!$V$6:$V$10005,$V5554,'①在庫を貼る'!$W$6:$W$10005,$W5554)+COUNTIFS('月1回_1ヶ月前の在庫'!$V$6:$V$10005,$V5554,'月1回_1ヶ月前の在庫'!$W$6:$W$10005,$W5554)&gt;0),N(U5553),N(U5553)+1))</f>
        <v/>
      </c>
      <c r="V5554" s="19">
        <f>IF($B5554="","",TEXT($B5554,"0000"))</f>
        <v/>
      </c>
      <c r="W5554" s="19">
        <f>IF($I5554="","",IF(ISNUMBER($I5554),TEXT($I5554,"0"),$I5554))</f>
        <v/>
      </c>
    </row>
    <row r="5555">
      <c r="B5555" s="25" t="n"/>
      <c r="I5555" s="25" t="n"/>
      <c r="U5555" s="19">
        <f>IF($V5555&lt;&gt;'設定'!$C$4,N(U5554),IF(OR(NOT(COUNTIF('商品マスタ'!$B$6:$B$1005,$W5555)=0),COUNTIFS('①在庫を貼る'!$V$6:$V$10005,$V5555,'①在庫を貼る'!$W$6:$W$10005,$W5555)+COUNTIFS('月1回_1ヶ月前の在庫'!$V$6:$V$10005,$V5555,'月1回_1ヶ月前の在庫'!$W$6:$W$10005,$W5555)&gt;0),N(U5554),N(U5554)+1))</f>
        <v/>
      </c>
      <c r="V5555" s="19">
        <f>IF($B5555="","",TEXT($B5555,"0000"))</f>
        <v/>
      </c>
      <c r="W5555" s="19">
        <f>IF($I5555="","",IF(ISNUMBER($I5555),TEXT($I5555,"0"),$I5555))</f>
        <v/>
      </c>
    </row>
    <row r="5556">
      <c r="B5556" s="25" t="n"/>
      <c r="I5556" s="25" t="n"/>
      <c r="U5556" s="19">
        <f>IF($V5556&lt;&gt;'設定'!$C$4,N(U5555),IF(OR(NOT(COUNTIF('商品マスタ'!$B$6:$B$1005,$W5556)=0),COUNTIFS('①在庫を貼る'!$V$6:$V$10005,$V5556,'①在庫を貼る'!$W$6:$W$10005,$W5556)+COUNTIFS('月1回_1ヶ月前の在庫'!$V$6:$V$10005,$V5556,'月1回_1ヶ月前の在庫'!$W$6:$W$10005,$W5556)&gt;0),N(U5555),N(U5555)+1))</f>
        <v/>
      </c>
      <c r="V5556" s="19">
        <f>IF($B5556="","",TEXT($B5556,"0000"))</f>
        <v/>
      </c>
      <c r="W5556" s="19">
        <f>IF($I5556="","",IF(ISNUMBER($I5556),TEXT($I5556,"0"),$I5556))</f>
        <v/>
      </c>
    </row>
    <row r="5557">
      <c r="B5557" s="25" t="n"/>
      <c r="I5557" s="25" t="n"/>
      <c r="U5557" s="19">
        <f>IF($V5557&lt;&gt;'設定'!$C$4,N(U5556),IF(OR(NOT(COUNTIF('商品マスタ'!$B$6:$B$1005,$W5557)=0),COUNTIFS('①在庫を貼る'!$V$6:$V$10005,$V5557,'①在庫を貼る'!$W$6:$W$10005,$W5557)+COUNTIFS('月1回_1ヶ月前の在庫'!$V$6:$V$10005,$V5557,'月1回_1ヶ月前の在庫'!$W$6:$W$10005,$W5557)&gt;0),N(U5556),N(U5556)+1))</f>
        <v/>
      </c>
      <c r="V5557" s="19">
        <f>IF($B5557="","",TEXT($B5557,"0000"))</f>
        <v/>
      </c>
      <c r="W5557" s="19">
        <f>IF($I5557="","",IF(ISNUMBER($I5557),TEXT($I5557,"0"),$I5557))</f>
        <v/>
      </c>
    </row>
    <row r="5558">
      <c r="B5558" s="25" t="n"/>
      <c r="I5558" s="25" t="n"/>
      <c r="U5558" s="19">
        <f>IF($V5558&lt;&gt;'設定'!$C$4,N(U5557),IF(OR(NOT(COUNTIF('商品マスタ'!$B$6:$B$1005,$W5558)=0),COUNTIFS('①在庫を貼る'!$V$6:$V$10005,$V5558,'①在庫を貼る'!$W$6:$W$10005,$W5558)+COUNTIFS('月1回_1ヶ月前の在庫'!$V$6:$V$10005,$V5558,'月1回_1ヶ月前の在庫'!$W$6:$W$10005,$W5558)&gt;0),N(U5557),N(U5557)+1))</f>
        <v/>
      </c>
      <c r="V5558" s="19">
        <f>IF($B5558="","",TEXT($B5558,"0000"))</f>
        <v/>
      </c>
      <c r="W5558" s="19">
        <f>IF($I5558="","",IF(ISNUMBER($I5558),TEXT($I5558,"0"),$I5558))</f>
        <v/>
      </c>
    </row>
    <row r="5559">
      <c r="B5559" s="25" t="n"/>
      <c r="I5559" s="25" t="n"/>
      <c r="U5559" s="19">
        <f>IF($V5559&lt;&gt;'設定'!$C$4,N(U5558),IF(OR(NOT(COUNTIF('商品マスタ'!$B$6:$B$1005,$W5559)=0),COUNTIFS('①在庫を貼る'!$V$6:$V$10005,$V5559,'①在庫を貼る'!$W$6:$W$10005,$W5559)+COUNTIFS('月1回_1ヶ月前の在庫'!$V$6:$V$10005,$V5559,'月1回_1ヶ月前の在庫'!$W$6:$W$10005,$W5559)&gt;0),N(U5558),N(U5558)+1))</f>
        <v/>
      </c>
      <c r="V5559" s="19">
        <f>IF($B5559="","",TEXT($B5559,"0000"))</f>
        <v/>
      </c>
      <c r="W5559" s="19">
        <f>IF($I5559="","",IF(ISNUMBER($I5559),TEXT($I5559,"0"),$I5559))</f>
        <v/>
      </c>
    </row>
    <row r="5560">
      <c r="B5560" s="25" t="n"/>
      <c r="I5560" s="25" t="n"/>
      <c r="U5560" s="19">
        <f>IF($V5560&lt;&gt;'設定'!$C$4,N(U5559),IF(OR(NOT(COUNTIF('商品マスタ'!$B$6:$B$1005,$W5560)=0),COUNTIFS('①在庫を貼る'!$V$6:$V$10005,$V5560,'①在庫を貼る'!$W$6:$W$10005,$W5560)+COUNTIFS('月1回_1ヶ月前の在庫'!$V$6:$V$10005,$V5560,'月1回_1ヶ月前の在庫'!$W$6:$W$10005,$W5560)&gt;0),N(U5559),N(U5559)+1))</f>
        <v/>
      </c>
      <c r="V5560" s="19">
        <f>IF($B5560="","",TEXT($B5560,"0000"))</f>
        <v/>
      </c>
      <c r="W5560" s="19">
        <f>IF($I5560="","",IF(ISNUMBER($I5560),TEXT($I5560,"0"),$I5560))</f>
        <v/>
      </c>
    </row>
    <row r="5561">
      <c r="B5561" s="25" t="n"/>
      <c r="I5561" s="25" t="n"/>
      <c r="U5561" s="19">
        <f>IF($V5561&lt;&gt;'設定'!$C$4,N(U5560),IF(OR(NOT(COUNTIF('商品マスタ'!$B$6:$B$1005,$W5561)=0),COUNTIFS('①在庫を貼る'!$V$6:$V$10005,$V5561,'①在庫を貼る'!$W$6:$W$10005,$W5561)+COUNTIFS('月1回_1ヶ月前の在庫'!$V$6:$V$10005,$V5561,'月1回_1ヶ月前の在庫'!$W$6:$W$10005,$W5561)&gt;0),N(U5560),N(U5560)+1))</f>
        <v/>
      </c>
      <c r="V5561" s="19">
        <f>IF($B5561="","",TEXT($B5561,"0000"))</f>
        <v/>
      </c>
      <c r="W5561" s="19">
        <f>IF($I5561="","",IF(ISNUMBER($I5561),TEXT($I5561,"0"),$I5561))</f>
        <v/>
      </c>
    </row>
    <row r="5562">
      <c r="B5562" s="25" t="n"/>
      <c r="I5562" s="25" t="n"/>
      <c r="U5562" s="19">
        <f>IF($V5562&lt;&gt;'設定'!$C$4,N(U5561),IF(OR(NOT(COUNTIF('商品マスタ'!$B$6:$B$1005,$W5562)=0),COUNTIFS('①在庫を貼る'!$V$6:$V$10005,$V5562,'①在庫を貼る'!$W$6:$W$10005,$W5562)+COUNTIFS('月1回_1ヶ月前の在庫'!$V$6:$V$10005,$V5562,'月1回_1ヶ月前の在庫'!$W$6:$W$10005,$W5562)&gt;0),N(U5561),N(U5561)+1))</f>
        <v/>
      </c>
      <c r="V5562" s="19">
        <f>IF($B5562="","",TEXT($B5562,"0000"))</f>
        <v/>
      </c>
      <c r="W5562" s="19">
        <f>IF($I5562="","",IF(ISNUMBER($I5562),TEXT($I5562,"0"),$I5562))</f>
        <v/>
      </c>
    </row>
    <row r="5563">
      <c r="B5563" s="25" t="n"/>
      <c r="I5563" s="25" t="n"/>
      <c r="U5563" s="19">
        <f>IF($V5563&lt;&gt;'設定'!$C$4,N(U5562),IF(OR(NOT(COUNTIF('商品マスタ'!$B$6:$B$1005,$W5563)=0),COUNTIFS('①在庫を貼る'!$V$6:$V$10005,$V5563,'①在庫を貼る'!$W$6:$W$10005,$W5563)+COUNTIFS('月1回_1ヶ月前の在庫'!$V$6:$V$10005,$V5563,'月1回_1ヶ月前の在庫'!$W$6:$W$10005,$W5563)&gt;0),N(U5562),N(U5562)+1))</f>
        <v/>
      </c>
      <c r="V5563" s="19">
        <f>IF($B5563="","",TEXT($B5563,"0000"))</f>
        <v/>
      </c>
      <c r="W5563" s="19">
        <f>IF($I5563="","",IF(ISNUMBER($I5563),TEXT($I5563,"0"),$I5563))</f>
        <v/>
      </c>
    </row>
    <row r="5564">
      <c r="B5564" s="25" t="n"/>
      <c r="I5564" s="25" t="n"/>
      <c r="U5564" s="19">
        <f>IF($V5564&lt;&gt;'設定'!$C$4,N(U5563),IF(OR(NOT(COUNTIF('商品マスタ'!$B$6:$B$1005,$W5564)=0),COUNTIFS('①在庫を貼る'!$V$6:$V$10005,$V5564,'①在庫を貼る'!$W$6:$W$10005,$W5564)+COUNTIFS('月1回_1ヶ月前の在庫'!$V$6:$V$10005,$V5564,'月1回_1ヶ月前の在庫'!$W$6:$W$10005,$W5564)&gt;0),N(U5563),N(U5563)+1))</f>
        <v/>
      </c>
      <c r="V5564" s="19">
        <f>IF($B5564="","",TEXT($B5564,"0000"))</f>
        <v/>
      </c>
      <c r="W5564" s="19">
        <f>IF($I5564="","",IF(ISNUMBER($I5564),TEXT($I5564,"0"),$I5564))</f>
        <v/>
      </c>
    </row>
    <row r="5565">
      <c r="B5565" s="25" t="n"/>
      <c r="I5565" s="25" t="n"/>
      <c r="U5565" s="19">
        <f>IF($V5565&lt;&gt;'設定'!$C$4,N(U5564),IF(OR(NOT(COUNTIF('商品マスタ'!$B$6:$B$1005,$W5565)=0),COUNTIFS('①在庫を貼る'!$V$6:$V$10005,$V5565,'①在庫を貼る'!$W$6:$W$10005,$W5565)+COUNTIFS('月1回_1ヶ月前の在庫'!$V$6:$V$10005,$V5565,'月1回_1ヶ月前の在庫'!$W$6:$W$10005,$W5565)&gt;0),N(U5564),N(U5564)+1))</f>
        <v/>
      </c>
      <c r="V5565" s="19">
        <f>IF($B5565="","",TEXT($B5565,"0000"))</f>
        <v/>
      </c>
      <c r="W5565" s="19">
        <f>IF($I5565="","",IF(ISNUMBER($I5565),TEXT($I5565,"0"),$I5565))</f>
        <v/>
      </c>
    </row>
    <row r="5566">
      <c r="B5566" s="25" t="n"/>
      <c r="I5566" s="25" t="n"/>
      <c r="U5566" s="19">
        <f>IF($V5566&lt;&gt;'設定'!$C$4,N(U5565),IF(OR(NOT(COUNTIF('商品マスタ'!$B$6:$B$1005,$W5566)=0),COUNTIFS('①在庫を貼る'!$V$6:$V$10005,$V5566,'①在庫を貼る'!$W$6:$W$10005,$W5566)+COUNTIFS('月1回_1ヶ月前の在庫'!$V$6:$V$10005,$V5566,'月1回_1ヶ月前の在庫'!$W$6:$W$10005,$W5566)&gt;0),N(U5565),N(U5565)+1))</f>
        <v/>
      </c>
      <c r="V5566" s="19">
        <f>IF($B5566="","",TEXT($B5566,"0000"))</f>
        <v/>
      </c>
      <c r="W5566" s="19">
        <f>IF($I5566="","",IF(ISNUMBER($I5566),TEXT($I5566,"0"),$I5566))</f>
        <v/>
      </c>
    </row>
    <row r="5567">
      <c r="B5567" s="25" t="n"/>
      <c r="I5567" s="25" t="n"/>
      <c r="U5567" s="19">
        <f>IF($V5567&lt;&gt;'設定'!$C$4,N(U5566),IF(OR(NOT(COUNTIF('商品マスタ'!$B$6:$B$1005,$W5567)=0),COUNTIFS('①在庫を貼る'!$V$6:$V$10005,$V5567,'①在庫を貼る'!$W$6:$W$10005,$W5567)+COUNTIFS('月1回_1ヶ月前の在庫'!$V$6:$V$10005,$V5567,'月1回_1ヶ月前の在庫'!$W$6:$W$10005,$W5567)&gt;0),N(U5566),N(U5566)+1))</f>
        <v/>
      </c>
      <c r="V5567" s="19">
        <f>IF($B5567="","",TEXT($B5567,"0000"))</f>
        <v/>
      </c>
      <c r="W5567" s="19">
        <f>IF($I5567="","",IF(ISNUMBER($I5567),TEXT($I5567,"0"),$I5567))</f>
        <v/>
      </c>
    </row>
    <row r="5568">
      <c r="B5568" s="25" t="n"/>
      <c r="I5568" s="25" t="n"/>
      <c r="U5568" s="19">
        <f>IF($V5568&lt;&gt;'設定'!$C$4,N(U5567),IF(OR(NOT(COUNTIF('商品マスタ'!$B$6:$B$1005,$W5568)=0),COUNTIFS('①在庫を貼る'!$V$6:$V$10005,$V5568,'①在庫を貼る'!$W$6:$W$10005,$W5568)+COUNTIFS('月1回_1ヶ月前の在庫'!$V$6:$V$10005,$V5568,'月1回_1ヶ月前の在庫'!$W$6:$W$10005,$W5568)&gt;0),N(U5567),N(U5567)+1))</f>
        <v/>
      </c>
      <c r="V5568" s="19">
        <f>IF($B5568="","",TEXT($B5568,"0000"))</f>
        <v/>
      </c>
      <c r="W5568" s="19">
        <f>IF($I5568="","",IF(ISNUMBER($I5568),TEXT($I5568,"0"),$I5568))</f>
        <v/>
      </c>
    </row>
    <row r="5569">
      <c r="B5569" s="25" t="n"/>
      <c r="I5569" s="25" t="n"/>
      <c r="U5569" s="19">
        <f>IF($V5569&lt;&gt;'設定'!$C$4,N(U5568),IF(OR(NOT(COUNTIF('商品マスタ'!$B$6:$B$1005,$W5569)=0),COUNTIFS('①在庫を貼る'!$V$6:$V$10005,$V5569,'①在庫を貼る'!$W$6:$W$10005,$W5569)+COUNTIFS('月1回_1ヶ月前の在庫'!$V$6:$V$10005,$V5569,'月1回_1ヶ月前の在庫'!$W$6:$W$10005,$W5569)&gt;0),N(U5568),N(U5568)+1))</f>
        <v/>
      </c>
      <c r="V5569" s="19">
        <f>IF($B5569="","",TEXT($B5569,"0000"))</f>
        <v/>
      </c>
      <c r="W5569" s="19">
        <f>IF($I5569="","",IF(ISNUMBER($I5569),TEXT($I5569,"0"),$I5569))</f>
        <v/>
      </c>
    </row>
    <row r="5570">
      <c r="B5570" s="25" t="n"/>
      <c r="I5570" s="25" t="n"/>
      <c r="U5570" s="19">
        <f>IF($V5570&lt;&gt;'設定'!$C$4,N(U5569),IF(OR(NOT(COUNTIF('商品マスタ'!$B$6:$B$1005,$W5570)=0),COUNTIFS('①在庫を貼る'!$V$6:$V$10005,$V5570,'①在庫を貼る'!$W$6:$W$10005,$W5570)+COUNTIFS('月1回_1ヶ月前の在庫'!$V$6:$V$10005,$V5570,'月1回_1ヶ月前の在庫'!$W$6:$W$10005,$W5570)&gt;0),N(U5569),N(U5569)+1))</f>
        <v/>
      </c>
      <c r="V5570" s="19">
        <f>IF($B5570="","",TEXT($B5570,"0000"))</f>
        <v/>
      </c>
      <c r="W5570" s="19">
        <f>IF($I5570="","",IF(ISNUMBER($I5570),TEXT($I5570,"0"),$I5570))</f>
        <v/>
      </c>
    </row>
    <row r="5571">
      <c r="B5571" s="25" t="n"/>
      <c r="I5571" s="25" t="n"/>
      <c r="U5571" s="19">
        <f>IF($V5571&lt;&gt;'設定'!$C$4,N(U5570),IF(OR(NOT(COUNTIF('商品マスタ'!$B$6:$B$1005,$W5571)=0),COUNTIFS('①在庫を貼る'!$V$6:$V$10005,$V5571,'①在庫を貼る'!$W$6:$W$10005,$W5571)+COUNTIFS('月1回_1ヶ月前の在庫'!$V$6:$V$10005,$V5571,'月1回_1ヶ月前の在庫'!$W$6:$W$10005,$W5571)&gt;0),N(U5570),N(U5570)+1))</f>
        <v/>
      </c>
      <c r="V5571" s="19">
        <f>IF($B5571="","",TEXT($B5571,"0000"))</f>
        <v/>
      </c>
      <c r="W5571" s="19">
        <f>IF($I5571="","",IF(ISNUMBER($I5571),TEXT($I5571,"0"),$I5571))</f>
        <v/>
      </c>
    </row>
    <row r="5572">
      <c r="B5572" s="25" t="n"/>
      <c r="I5572" s="25" t="n"/>
      <c r="U5572" s="19">
        <f>IF($V5572&lt;&gt;'設定'!$C$4,N(U5571),IF(OR(NOT(COUNTIF('商品マスタ'!$B$6:$B$1005,$W5572)=0),COUNTIFS('①在庫を貼る'!$V$6:$V$10005,$V5572,'①在庫を貼る'!$W$6:$W$10005,$W5572)+COUNTIFS('月1回_1ヶ月前の在庫'!$V$6:$V$10005,$V5572,'月1回_1ヶ月前の在庫'!$W$6:$W$10005,$W5572)&gt;0),N(U5571),N(U5571)+1))</f>
        <v/>
      </c>
      <c r="V5572" s="19">
        <f>IF($B5572="","",TEXT($B5572,"0000"))</f>
        <v/>
      </c>
      <c r="W5572" s="19">
        <f>IF($I5572="","",IF(ISNUMBER($I5572),TEXT($I5572,"0"),$I5572))</f>
        <v/>
      </c>
    </row>
    <row r="5573">
      <c r="B5573" s="25" t="n"/>
      <c r="I5573" s="25" t="n"/>
      <c r="U5573" s="19">
        <f>IF($V5573&lt;&gt;'設定'!$C$4,N(U5572),IF(OR(NOT(COUNTIF('商品マスタ'!$B$6:$B$1005,$W5573)=0),COUNTIFS('①在庫を貼る'!$V$6:$V$10005,$V5573,'①在庫を貼る'!$W$6:$W$10005,$W5573)+COUNTIFS('月1回_1ヶ月前の在庫'!$V$6:$V$10005,$V5573,'月1回_1ヶ月前の在庫'!$W$6:$W$10005,$W5573)&gt;0),N(U5572),N(U5572)+1))</f>
        <v/>
      </c>
      <c r="V5573" s="19">
        <f>IF($B5573="","",TEXT($B5573,"0000"))</f>
        <v/>
      </c>
      <c r="W5573" s="19">
        <f>IF($I5573="","",IF(ISNUMBER($I5573),TEXT($I5573,"0"),$I5573))</f>
        <v/>
      </c>
    </row>
    <row r="5574">
      <c r="B5574" s="25" t="n"/>
      <c r="I5574" s="25" t="n"/>
      <c r="U5574" s="19">
        <f>IF($V5574&lt;&gt;'設定'!$C$4,N(U5573),IF(OR(NOT(COUNTIF('商品マスタ'!$B$6:$B$1005,$W5574)=0),COUNTIFS('①在庫を貼る'!$V$6:$V$10005,$V5574,'①在庫を貼る'!$W$6:$W$10005,$W5574)+COUNTIFS('月1回_1ヶ月前の在庫'!$V$6:$V$10005,$V5574,'月1回_1ヶ月前の在庫'!$W$6:$W$10005,$W5574)&gt;0),N(U5573),N(U5573)+1))</f>
        <v/>
      </c>
      <c r="V5574" s="19">
        <f>IF($B5574="","",TEXT($B5574,"0000"))</f>
        <v/>
      </c>
      <c r="W5574" s="19">
        <f>IF($I5574="","",IF(ISNUMBER($I5574),TEXT($I5574,"0"),$I5574))</f>
        <v/>
      </c>
    </row>
    <row r="5575">
      <c r="B5575" s="25" t="n"/>
      <c r="I5575" s="25" t="n"/>
      <c r="U5575" s="19">
        <f>IF($V5575&lt;&gt;'設定'!$C$4,N(U5574),IF(OR(NOT(COUNTIF('商品マスタ'!$B$6:$B$1005,$W5575)=0),COUNTIFS('①在庫を貼る'!$V$6:$V$10005,$V5575,'①在庫を貼る'!$W$6:$W$10005,$W5575)+COUNTIFS('月1回_1ヶ月前の在庫'!$V$6:$V$10005,$V5575,'月1回_1ヶ月前の在庫'!$W$6:$W$10005,$W5575)&gt;0),N(U5574),N(U5574)+1))</f>
        <v/>
      </c>
      <c r="V5575" s="19">
        <f>IF($B5575="","",TEXT($B5575,"0000"))</f>
        <v/>
      </c>
      <c r="W5575" s="19">
        <f>IF($I5575="","",IF(ISNUMBER($I5575),TEXT($I5575,"0"),$I5575))</f>
        <v/>
      </c>
    </row>
    <row r="5576">
      <c r="B5576" s="25" t="n"/>
      <c r="I5576" s="25" t="n"/>
      <c r="U5576" s="19">
        <f>IF($V5576&lt;&gt;'設定'!$C$4,N(U5575),IF(OR(NOT(COUNTIF('商品マスタ'!$B$6:$B$1005,$W5576)=0),COUNTIFS('①在庫を貼る'!$V$6:$V$10005,$V5576,'①在庫を貼る'!$W$6:$W$10005,$W5576)+COUNTIFS('月1回_1ヶ月前の在庫'!$V$6:$V$10005,$V5576,'月1回_1ヶ月前の在庫'!$W$6:$W$10005,$W5576)&gt;0),N(U5575),N(U5575)+1))</f>
        <v/>
      </c>
      <c r="V5576" s="19">
        <f>IF($B5576="","",TEXT($B5576,"0000"))</f>
        <v/>
      </c>
      <c r="W5576" s="19">
        <f>IF($I5576="","",IF(ISNUMBER($I5576),TEXT($I5576,"0"),$I5576))</f>
        <v/>
      </c>
    </row>
    <row r="5577">
      <c r="B5577" s="25" t="n"/>
      <c r="I5577" s="25" t="n"/>
      <c r="U5577" s="19">
        <f>IF($V5577&lt;&gt;'設定'!$C$4,N(U5576),IF(OR(NOT(COUNTIF('商品マスタ'!$B$6:$B$1005,$W5577)=0),COUNTIFS('①在庫を貼る'!$V$6:$V$10005,$V5577,'①在庫を貼る'!$W$6:$W$10005,$W5577)+COUNTIFS('月1回_1ヶ月前の在庫'!$V$6:$V$10005,$V5577,'月1回_1ヶ月前の在庫'!$W$6:$W$10005,$W5577)&gt;0),N(U5576),N(U5576)+1))</f>
        <v/>
      </c>
      <c r="V5577" s="19">
        <f>IF($B5577="","",TEXT($B5577,"0000"))</f>
        <v/>
      </c>
      <c r="W5577" s="19">
        <f>IF($I5577="","",IF(ISNUMBER($I5577),TEXT($I5577,"0"),$I5577))</f>
        <v/>
      </c>
    </row>
    <row r="5578">
      <c r="B5578" s="25" t="n"/>
      <c r="I5578" s="25" t="n"/>
      <c r="U5578" s="19">
        <f>IF($V5578&lt;&gt;'設定'!$C$4,N(U5577),IF(OR(NOT(COUNTIF('商品マスタ'!$B$6:$B$1005,$W5578)=0),COUNTIFS('①在庫を貼る'!$V$6:$V$10005,$V5578,'①在庫を貼る'!$W$6:$W$10005,$W5578)+COUNTIFS('月1回_1ヶ月前の在庫'!$V$6:$V$10005,$V5578,'月1回_1ヶ月前の在庫'!$W$6:$W$10005,$W5578)&gt;0),N(U5577),N(U5577)+1))</f>
        <v/>
      </c>
      <c r="V5578" s="19">
        <f>IF($B5578="","",TEXT($B5578,"0000"))</f>
        <v/>
      </c>
      <c r="W5578" s="19">
        <f>IF($I5578="","",IF(ISNUMBER($I5578),TEXT($I5578,"0"),$I5578))</f>
        <v/>
      </c>
    </row>
    <row r="5579">
      <c r="B5579" s="25" t="n"/>
      <c r="I5579" s="25" t="n"/>
      <c r="U5579" s="19">
        <f>IF($V5579&lt;&gt;'設定'!$C$4,N(U5578),IF(OR(NOT(COUNTIF('商品マスタ'!$B$6:$B$1005,$W5579)=0),COUNTIFS('①在庫を貼る'!$V$6:$V$10005,$V5579,'①在庫を貼る'!$W$6:$W$10005,$W5579)+COUNTIFS('月1回_1ヶ月前の在庫'!$V$6:$V$10005,$V5579,'月1回_1ヶ月前の在庫'!$W$6:$W$10005,$W5579)&gt;0),N(U5578),N(U5578)+1))</f>
        <v/>
      </c>
      <c r="V5579" s="19">
        <f>IF($B5579="","",TEXT($B5579,"0000"))</f>
        <v/>
      </c>
      <c r="W5579" s="19">
        <f>IF($I5579="","",IF(ISNUMBER($I5579),TEXT($I5579,"0"),$I5579))</f>
        <v/>
      </c>
    </row>
    <row r="5580">
      <c r="B5580" s="25" t="n"/>
      <c r="I5580" s="25" t="n"/>
      <c r="U5580" s="19">
        <f>IF($V5580&lt;&gt;'設定'!$C$4,N(U5579),IF(OR(NOT(COUNTIF('商品マスタ'!$B$6:$B$1005,$W5580)=0),COUNTIFS('①在庫を貼る'!$V$6:$V$10005,$V5580,'①在庫を貼る'!$W$6:$W$10005,$W5580)+COUNTIFS('月1回_1ヶ月前の在庫'!$V$6:$V$10005,$V5580,'月1回_1ヶ月前の在庫'!$W$6:$W$10005,$W5580)&gt;0),N(U5579),N(U5579)+1))</f>
        <v/>
      </c>
      <c r="V5580" s="19">
        <f>IF($B5580="","",TEXT($B5580,"0000"))</f>
        <v/>
      </c>
      <c r="W5580" s="19">
        <f>IF($I5580="","",IF(ISNUMBER($I5580),TEXT($I5580,"0"),$I5580))</f>
        <v/>
      </c>
    </row>
    <row r="5581">
      <c r="B5581" s="25" t="n"/>
      <c r="I5581" s="25" t="n"/>
      <c r="U5581" s="19">
        <f>IF($V5581&lt;&gt;'設定'!$C$4,N(U5580),IF(OR(NOT(COUNTIF('商品マスタ'!$B$6:$B$1005,$W5581)=0),COUNTIFS('①在庫を貼る'!$V$6:$V$10005,$V5581,'①在庫を貼る'!$W$6:$W$10005,$W5581)+COUNTIFS('月1回_1ヶ月前の在庫'!$V$6:$V$10005,$V5581,'月1回_1ヶ月前の在庫'!$W$6:$W$10005,$W5581)&gt;0),N(U5580),N(U5580)+1))</f>
        <v/>
      </c>
      <c r="V5581" s="19">
        <f>IF($B5581="","",TEXT($B5581,"0000"))</f>
        <v/>
      </c>
      <c r="W5581" s="19">
        <f>IF($I5581="","",IF(ISNUMBER($I5581),TEXT($I5581,"0"),$I5581))</f>
        <v/>
      </c>
    </row>
    <row r="5582">
      <c r="B5582" s="25" t="n"/>
      <c r="I5582" s="25" t="n"/>
      <c r="U5582" s="19">
        <f>IF($V5582&lt;&gt;'設定'!$C$4,N(U5581),IF(OR(NOT(COUNTIF('商品マスタ'!$B$6:$B$1005,$W5582)=0),COUNTIFS('①在庫を貼る'!$V$6:$V$10005,$V5582,'①在庫を貼る'!$W$6:$W$10005,$W5582)+COUNTIFS('月1回_1ヶ月前の在庫'!$V$6:$V$10005,$V5582,'月1回_1ヶ月前の在庫'!$W$6:$W$10005,$W5582)&gt;0),N(U5581),N(U5581)+1))</f>
        <v/>
      </c>
      <c r="V5582" s="19">
        <f>IF($B5582="","",TEXT($B5582,"0000"))</f>
        <v/>
      </c>
      <c r="W5582" s="19">
        <f>IF($I5582="","",IF(ISNUMBER($I5582),TEXT($I5582,"0"),$I5582))</f>
        <v/>
      </c>
    </row>
    <row r="5583">
      <c r="B5583" s="25" t="n"/>
      <c r="I5583" s="25" t="n"/>
      <c r="U5583" s="19">
        <f>IF($V5583&lt;&gt;'設定'!$C$4,N(U5582),IF(OR(NOT(COUNTIF('商品マスタ'!$B$6:$B$1005,$W5583)=0),COUNTIFS('①在庫を貼る'!$V$6:$V$10005,$V5583,'①在庫を貼る'!$W$6:$W$10005,$W5583)+COUNTIFS('月1回_1ヶ月前の在庫'!$V$6:$V$10005,$V5583,'月1回_1ヶ月前の在庫'!$W$6:$W$10005,$W5583)&gt;0),N(U5582),N(U5582)+1))</f>
        <v/>
      </c>
      <c r="V5583" s="19">
        <f>IF($B5583="","",TEXT($B5583,"0000"))</f>
        <v/>
      </c>
      <c r="W5583" s="19">
        <f>IF($I5583="","",IF(ISNUMBER($I5583),TEXT($I5583,"0"),$I5583))</f>
        <v/>
      </c>
    </row>
    <row r="5584">
      <c r="B5584" s="25" t="n"/>
      <c r="I5584" s="25" t="n"/>
      <c r="U5584" s="19">
        <f>IF($V5584&lt;&gt;'設定'!$C$4,N(U5583),IF(OR(NOT(COUNTIF('商品マスタ'!$B$6:$B$1005,$W5584)=0),COUNTIFS('①在庫を貼る'!$V$6:$V$10005,$V5584,'①在庫を貼る'!$W$6:$W$10005,$W5584)+COUNTIFS('月1回_1ヶ月前の在庫'!$V$6:$V$10005,$V5584,'月1回_1ヶ月前の在庫'!$W$6:$W$10005,$W5584)&gt;0),N(U5583),N(U5583)+1))</f>
        <v/>
      </c>
      <c r="V5584" s="19">
        <f>IF($B5584="","",TEXT($B5584,"0000"))</f>
        <v/>
      </c>
      <c r="W5584" s="19">
        <f>IF($I5584="","",IF(ISNUMBER($I5584),TEXT($I5584,"0"),$I5584))</f>
        <v/>
      </c>
    </row>
    <row r="5585">
      <c r="B5585" s="25" t="n"/>
      <c r="I5585" s="25" t="n"/>
      <c r="U5585" s="19">
        <f>IF($V5585&lt;&gt;'設定'!$C$4,N(U5584),IF(OR(NOT(COUNTIF('商品マスタ'!$B$6:$B$1005,$W5585)=0),COUNTIFS('①在庫を貼る'!$V$6:$V$10005,$V5585,'①在庫を貼る'!$W$6:$W$10005,$W5585)+COUNTIFS('月1回_1ヶ月前の在庫'!$V$6:$V$10005,$V5585,'月1回_1ヶ月前の在庫'!$W$6:$W$10005,$W5585)&gt;0),N(U5584),N(U5584)+1))</f>
        <v/>
      </c>
      <c r="V5585" s="19">
        <f>IF($B5585="","",TEXT($B5585,"0000"))</f>
        <v/>
      </c>
      <c r="W5585" s="19">
        <f>IF($I5585="","",IF(ISNUMBER($I5585),TEXT($I5585,"0"),$I5585))</f>
        <v/>
      </c>
    </row>
    <row r="5586">
      <c r="B5586" s="25" t="n"/>
      <c r="I5586" s="25" t="n"/>
      <c r="U5586" s="19">
        <f>IF($V5586&lt;&gt;'設定'!$C$4,N(U5585),IF(OR(NOT(COUNTIF('商品マスタ'!$B$6:$B$1005,$W5586)=0),COUNTIFS('①在庫を貼る'!$V$6:$V$10005,$V5586,'①在庫を貼る'!$W$6:$W$10005,$W5586)+COUNTIFS('月1回_1ヶ月前の在庫'!$V$6:$V$10005,$V5586,'月1回_1ヶ月前の在庫'!$W$6:$W$10005,$W5586)&gt;0),N(U5585),N(U5585)+1))</f>
        <v/>
      </c>
      <c r="V5586" s="19">
        <f>IF($B5586="","",TEXT($B5586,"0000"))</f>
        <v/>
      </c>
      <c r="W5586" s="19">
        <f>IF($I5586="","",IF(ISNUMBER($I5586),TEXT($I5586,"0"),$I5586))</f>
        <v/>
      </c>
    </row>
    <row r="5587">
      <c r="B5587" s="25" t="n"/>
      <c r="I5587" s="25" t="n"/>
      <c r="U5587" s="19">
        <f>IF($V5587&lt;&gt;'設定'!$C$4,N(U5586),IF(OR(NOT(COUNTIF('商品マスタ'!$B$6:$B$1005,$W5587)=0),COUNTIFS('①在庫を貼る'!$V$6:$V$10005,$V5587,'①在庫を貼る'!$W$6:$W$10005,$W5587)+COUNTIFS('月1回_1ヶ月前の在庫'!$V$6:$V$10005,$V5587,'月1回_1ヶ月前の在庫'!$W$6:$W$10005,$W5587)&gt;0),N(U5586),N(U5586)+1))</f>
        <v/>
      </c>
      <c r="V5587" s="19">
        <f>IF($B5587="","",TEXT($B5587,"0000"))</f>
        <v/>
      </c>
      <c r="W5587" s="19">
        <f>IF($I5587="","",IF(ISNUMBER($I5587),TEXT($I5587,"0"),$I5587))</f>
        <v/>
      </c>
    </row>
    <row r="5588">
      <c r="B5588" s="25" t="n"/>
      <c r="I5588" s="25" t="n"/>
      <c r="U5588" s="19">
        <f>IF($V5588&lt;&gt;'設定'!$C$4,N(U5587),IF(OR(NOT(COUNTIF('商品マスタ'!$B$6:$B$1005,$W5588)=0),COUNTIFS('①在庫を貼る'!$V$6:$V$10005,$V5588,'①在庫を貼る'!$W$6:$W$10005,$W5588)+COUNTIFS('月1回_1ヶ月前の在庫'!$V$6:$V$10005,$V5588,'月1回_1ヶ月前の在庫'!$W$6:$W$10005,$W5588)&gt;0),N(U5587),N(U5587)+1))</f>
        <v/>
      </c>
      <c r="V5588" s="19">
        <f>IF($B5588="","",TEXT($B5588,"0000"))</f>
        <v/>
      </c>
      <c r="W5588" s="19">
        <f>IF($I5588="","",IF(ISNUMBER($I5588),TEXT($I5588,"0"),$I5588))</f>
        <v/>
      </c>
    </row>
    <row r="5589">
      <c r="B5589" s="25" t="n"/>
      <c r="I5589" s="25" t="n"/>
      <c r="U5589" s="19">
        <f>IF($V5589&lt;&gt;'設定'!$C$4,N(U5588),IF(OR(NOT(COUNTIF('商品マスタ'!$B$6:$B$1005,$W5589)=0),COUNTIFS('①在庫を貼る'!$V$6:$V$10005,$V5589,'①在庫を貼る'!$W$6:$W$10005,$W5589)+COUNTIFS('月1回_1ヶ月前の在庫'!$V$6:$V$10005,$V5589,'月1回_1ヶ月前の在庫'!$W$6:$W$10005,$W5589)&gt;0),N(U5588),N(U5588)+1))</f>
        <v/>
      </c>
      <c r="V5589" s="19">
        <f>IF($B5589="","",TEXT($B5589,"0000"))</f>
        <v/>
      </c>
      <c r="W5589" s="19">
        <f>IF($I5589="","",IF(ISNUMBER($I5589),TEXT($I5589,"0"),$I5589))</f>
        <v/>
      </c>
    </row>
    <row r="5590">
      <c r="B5590" s="25" t="n"/>
      <c r="I5590" s="25" t="n"/>
      <c r="U5590" s="19">
        <f>IF($V5590&lt;&gt;'設定'!$C$4,N(U5589),IF(OR(NOT(COUNTIF('商品マスタ'!$B$6:$B$1005,$W5590)=0),COUNTIFS('①在庫を貼る'!$V$6:$V$10005,$V5590,'①在庫を貼る'!$W$6:$W$10005,$W5590)+COUNTIFS('月1回_1ヶ月前の在庫'!$V$6:$V$10005,$V5590,'月1回_1ヶ月前の在庫'!$W$6:$W$10005,$W5590)&gt;0),N(U5589),N(U5589)+1))</f>
        <v/>
      </c>
      <c r="V5590" s="19">
        <f>IF($B5590="","",TEXT($B5590,"0000"))</f>
        <v/>
      </c>
      <c r="W5590" s="19">
        <f>IF($I5590="","",IF(ISNUMBER($I5590),TEXT($I5590,"0"),$I5590))</f>
        <v/>
      </c>
    </row>
    <row r="5591">
      <c r="B5591" s="25" t="n"/>
      <c r="I5591" s="25" t="n"/>
      <c r="U5591" s="19">
        <f>IF($V5591&lt;&gt;'設定'!$C$4,N(U5590),IF(OR(NOT(COUNTIF('商品マスタ'!$B$6:$B$1005,$W5591)=0),COUNTIFS('①在庫を貼る'!$V$6:$V$10005,$V5591,'①在庫を貼る'!$W$6:$W$10005,$W5591)+COUNTIFS('月1回_1ヶ月前の在庫'!$V$6:$V$10005,$V5591,'月1回_1ヶ月前の在庫'!$W$6:$W$10005,$W5591)&gt;0),N(U5590),N(U5590)+1))</f>
        <v/>
      </c>
      <c r="V5591" s="19">
        <f>IF($B5591="","",TEXT($B5591,"0000"))</f>
        <v/>
      </c>
      <c r="W5591" s="19">
        <f>IF($I5591="","",IF(ISNUMBER($I5591),TEXT($I5591,"0"),$I5591))</f>
        <v/>
      </c>
    </row>
    <row r="5592">
      <c r="B5592" s="25" t="n"/>
      <c r="I5592" s="25" t="n"/>
      <c r="U5592" s="19">
        <f>IF($V5592&lt;&gt;'設定'!$C$4,N(U5591),IF(OR(NOT(COUNTIF('商品マスタ'!$B$6:$B$1005,$W5592)=0),COUNTIFS('①在庫を貼る'!$V$6:$V$10005,$V5592,'①在庫を貼る'!$W$6:$W$10005,$W5592)+COUNTIFS('月1回_1ヶ月前の在庫'!$V$6:$V$10005,$V5592,'月1回_1ヶ月前の在庫'!$W$6:$W$10005,$W5592)&gt;0),N(U5591),N(U5591)+1))</f>
        <v/>
      </c>
      <c r="V5592" s="19">
        <f>IF($B5592="","",TEXT($B5592,"0000"))</f>
        <v/>
      </c>
      <c r="W5592" s="19">
        <f>IF($I5592="","",IF(ISNUMBER($I5592),TEXT($I5592,"0"),$I5592))</f>
        <v/>
      </c>
    </row>
    <row r="5593">
      <c r="B5593" s="25" t="n"/>
      <c r="I5593" s="25" t="n"/>
      <c r="U5593" s="19">
        <f>IF($V5593&lt;&gt;'設定'!$C$4,N(U5592),IF(OR(NOT(COUNTIF('商品マスタ'!$B$6:$B$1005,$W5593)=0),COUNTIFS('①在庫を貼る'!$V$6:$V$10005,$V5593,'①在庫を貼る'!$W$6:$W$10005,$W5593)+COUNTIFS('月1回_1ヶ月前の在庫'!$V$6:$V$10005,$V5593,'月1回_1ヶ月前の在庫'!$W$6:$W$10005,$W5593)&gt;0),N(U5592),N(U5592)+1))</f>
        <v/>
      </c>
      <c r="V5593" s="19">
        <f>IF($B5593="","",TEXT($B5593,"0000"))</f>
        <v/>
      </c>
      <c r="W5593" s="19">
        <f>IF($I5593="","",IF(ISNUMBER($I5593),TEXT($I5593,"0"),$I5593))</f>
        <v/>
      </c>
    </row>
    <row r="5594">
      <c r="B5594" s="25" t="n"/>
      <c r="I5594" s="25" t="n"/>
      <c r="U5594" s="19">
        <f>IF($V5594&lt;&gt;'設定'!$C$4,N(U5593),IF(OR(NOT(COUNTIF('商品マスタ'!$B$6:$B$1005,$W5594)=0),COUNTIFS('①在庫を貼る'!$V$6:$V$10005,$V5594,'①在庫を貼る'!$W$6:$W$10005,$W5594)+COUNTIFS('月1回_1ヶ月前の在庫'!$V$6:$V$10005,$V5594,'月1回_1ヶ月前の在庫'!$W$6:$W$10005,$W5594)&gt;0),N(U5593),N(U5593)+1))</f>
        <v/>
      </c>
      <c r="V5594" s="19">
        <f>IF($B5594="","",TEXT($B5594,"0000"))</f>
        <v/>
      </c>
      <c r="W5594" s="19">
        <f>IF($I5594="","",IF(ISNUMBER($I5594),TEXT($I5594,"0"),$I5594))</f>
        <v/>
      </c>
    </row>
    <row r="5595">
      <c r="B5595" s="25" t="n"/>
      <c r="I5595" s="25" t="n"/>
      <c r="U5595" s="19">
        <f>IF($V5595&lt;&gt;'設定'!$C$4,N(U5594),IF(OR(NOT(COUNTIF('商品マスタ'!$B$6:$B$1005,$W5595)=0),COUNTIFS('①在庫を貼る'!$V$6:$V$10005,$V5595,'①在庫を貼る'!$W$6:$W$10005,$W5595)+COUNTIFS('月1回_1ヶ月前の在庫'!$V$6:$V$10005,$V5595,'月1回_1ヶ月前の在庫'!$W$6:$W$10005,$W5595)&gt;0),N(U5594),N(U5594)+1))</f>
        <v/>
      </c>
      <c r="V5595" s="19">
        <f>IF($B5595="","",TEXT($B5595,"0000"))</f>
        <v/>
      </c>
      <c r="W5595" s="19">
        <f>IF($I5595="","",IF(ISNUMBER($I5595),TEXT($I5595,"0"),$I5595))</f>
        <v/>
      </c>
    </row>
    <row r="5596">
      <c r="B5596" s="25" t="n"/>
      <c r="I5596" s="25" t="n"/>
      <c r="U5596" s="19">
        <f>IF($V5596&lt;&gt;'設定'!$C$4,N(U5595),IF(OR(NOT(COUNTIF('商品マスタ'!$B$6:$B$1005,$W5596)=0),COUNTIFS('①在庫を貼る'!$V$6:$V$10005,$V5596,'①在庫を貼る'!$W$6:$W$10005,$W5596)+COUNTIFS('月1回_1ヶ月前の在庫'!$V$6:$V$10005,$V5596,'月1回_1ヶ月前の在庫'!$W$6:$W$10005,$W5596)&gt;0),N(U5595),N(U5595)+1))</f>
        <v/>
      </c>
      <c r="V5596" s="19">
        <f>IF($B5596="","",TEXT($B5596,"0000"))</f>
        <v/>
      </c>
      <c r="W5596" s="19">
        <f>IF($I5596="","",IF(ISNUMBER($I5596),TEXT($I5596,"0"),$I5596))</f>
        <v/>
      </c>
    </row>
    <row r="5597">
      <c r="B5597" s="25" t="n"/>
      <c r="I5597" s="25" t="n"/>
      <c r="U5597" s="19">
        <f>IF($V5597&lt;&gt;'設定'!$C$4,N(U5596),IF(OR(NOT(COUNTIF('商品マスタ'!$B$6:$B$1005,$W5597)=0),COUNTIFS('①在庫を貼る'!$V$6:$V$10005,$V5597,'①在庫を貼る'!$W$6:$W$10005,$W5597)+COUNTIFS('月1回_1ヶ月前の在庫'!$V$6:$V$10005,$V5597,'月1回_1ヶ月前の在庫'!$W$6:$W$10005,$W5597)&gt;0),N(U5596),N(U5596)+1))</f>
        <v/>
      </c>
      <c r="V5597" s="19">
        <f>IF($B5597="","",TEXT($B5597,"0000"))</f>
        <v/>
      </c>
      <c r="W5597" s="19">
        <f>IF($I5597="","",IF(ISNUMBER($I5597),TEXT($I5597,"0"),$I5597))</f>
        <v/>
      </c>
    </row>
    <row r="5598">
      <c r="B5598" s="25" t="n"/>
      <c r="I5598" s="25" t="n"/>
      <c r="U5598" s="19">
        <f>IF($V5598&lt;&gt;'設定'!$C$4,N(U5597),IF(OR(NOT(COUNTIF('商品マスタ'!$B$6:$B$1005,$W5598)=0),COUNTIFS('①在庫を貼る'!$V$6:$V$10005,$V5598,'①在庫を貼る'!$W$6:$W$10005,$W5598)+COUNTIFS('月1回_1ヶ月前の在庫'!$V$6:$V$10005,$V5598,'月1回_1ヶ月前の在庫'!$W$6:$W$10005,$W5598)&gt;0),N(U5597),N(U5597)+1))</f>
        <v/>
      </c>
      <c r="V5598" s="19">
        <f>IF($B5598="","",TEXT($B5598,"0000"))</f>
        <v/>
      </c>
      <c r="W5598" s="19">
        <f>IF($I5598="","",IF(ISNUMBER($I5598),TEXT($I5598,"0"),$I5598))</f>
        <v/>
      </c>
    </row>
    <row r="5599">
      <c r="B5599" s="25" t="n"/>
      <c r="I5599" s="25" t="n"/>
      <c r="U5599" s="19">
        <f>IF($V5599&lt;&gt;'設定'!$C$4,N(U5598),IF(OR(NOT(COUNTIF('商品マスタ'!$B$6:$B$1005,$W5599)=0),COUNTIFS('①在庫を貼る'!$V$6:$V$10005,$V5599,'①在庫を貼る'!$W$6:$W$10005,$W5599)+COUNTIFS('月1回_1ヶ月前の在庫'!$V$6:$V$10005,$V5599,'月1回_1ヶ月前の在庫'!$W$6:$W$10005,$W5599)&gt;0),N(U5598),N(U5598)+1))</f>
        <v/>
      </c>
      <c r="V5599" s="19">
        <f>IF($B5599="","",TEXT($B5599,"0000"))</f>
        <v/>
      </c>
      <c r="W5599" s="19">
        <f>IF($I5599="","",IF(ISNUMBER($I5599),TEXT($I5599,"0"),$I5599))</f>
        <v/>
      </c>
    </row>
    <row r="5600">
      <c r="B5600" s="25" t="n"/>
      <c r="I5600" s="25" t="n"/>
      <c r="U5600" s="19">
        <f>IF($V5600&lt;&gt;'設定'!$C$4,N(U5599),IF(OR(NOT(COUNTIF('商品マスタ'!$B$6:$B$1005,$W5600)=0),COUNTIFS('①在庫を貼る'!$V$6:$V$10005,$V5600,'①在庫を貼る'!$W$6:$W$10005,$W5600)+COUNTIFS('月1回_1ヶ月前の在庫'!$V$6:$V$10005,$V5600,'月1回_1ヶ月前の在庫'!$W$6:$W$10005,$W5600)&gt;0),N(U5599),N(U5599)+1))</f>
        <v/>
      </c>
      <c r="V5600" s="19">
        <f>IF($B5600="","",TEXT($B5600,"0000"))</f>
        <v/>
      </c>
      <c r="W5600" s="19">
        <f>IF($I5600="","",IF(ISNUMBER($I5600),TEXT($I5600,"0"),$I5600))</f>
        <v/>
      </c>
    </row>
    <row r="5601">
      <c r="B5601" s="25" t="n"/>
      <c r="I5601" s="25" t="n"/>
      <c r="U5601" s="19">
        <f>IF($V5601&lt;&gt;'設定'!$C$4,N(U5600),IF(OR(NOT(COUNTIF('商品マスタ'!$B$6:$B$1005,$W5601)=0),COUNTIFS('①在庫を貼る'!$V$6:$V$10005,$V5601,'①在庫を貼る'!$W$6:$W$10005,$W5601)+COUNTIFS('月1回_1ヶ月前の在庫'!$V$6:$V$10005,$V5601,'月1回_1ヶ月前の在庫'!$W$6:$W$10005,$W5601)&gt;0),N(U5600),N(U5600)+1))</f>
        <v/>
      </c>
      <c r="V5601" s="19">
        <f>IF($B5601="","",TEXT($B5601,"0000"))</f>
        <v/>
      </c>
      <c r="W5601" s="19">
        <f>IF($I5601="","",IF(ISNUMBER($I5601),TEXT($I5601,"0"),$I5601))</f>
        <v/>
      </c>
    </row>
    <row r="5602">
      <c r="B5602" s="25" t="n"/>
      <c r="I5602" s="25" t="n"/>
      <c r="U5602" s="19">
        <f>IF($V5602&lt;&gt;'設定'!$C$4,N(U5601),IF(OR(NOT(COUNTIF('商品マスタ'!$B$6:$B$1005,$W5602)=0),COUNTIFS('①在庫を貼る'!$V$6:$V$10005,$V5602,'①在庫を貼る'!$W$6:$W$10005,$W5602)+COUNTIFS('月1回_1ヶ月前の在庫'!$V$6:$V$10005,$V5602,'月1回_1ヶ月前の在庫'!$W$6:$W$10005,$W5602)&gt;0),N(U5601),N(U5601)+1))</f>
        <v/>
      </c>
      <c r="V5602" s="19">
        <f>IF($B5602="","",TEXT($B5602,"0000"))</f>
        <v/>
      </c>
      <c r="W5602" s="19">
        <f>IF($I5602="","",IF(ISNUMBER($I5602),TEXT($I5602,"0"),$I5602))</f>
        <v/>
      </c>
    </row>
    <row r="5603">
      <c r="B5603" s="25" t="n"/>
      <c r="I5603" s="25" t="n"/>
      <c r="U5603" s="19">
        <f>IF($V5603&lt;&gt;'設定'!$C$4,N(U5602),IF(OR(NOT(COUNTIF('商品マスタ'!$B$6:$B$1005,$W5603)=0),COUNTIFS('①在庫を貼る'!$V$6:$V$10005,$V5603,'①在庫を貼る'!$W$6:$W$10005,$W5603)+COUNTIFS('月1回_1ヶ月前の在庫'!$V$6:$V$10005,$V5603,'月1回_1ヶ月前の在庫'!$W$6:$W$10005,$W5603)&gt;0),N(U5602),N(U5602)+1))</f>
        <v/>
      </c>
      <c r="V5603" s="19">
        <f>IF($B5603="","",TEXT($B5603,"0000"))</f>
        <v/>
      </c>
      <c r="W5603" s="19">
        <f>IF($I5603="","",IF(ISNUMBER($I5603),TEXT($I5603,"0"),$I5603))</f>
        <v/>
      </c>
    </row>
    <row r="5604">
      <c r="B5604" s="25" t="n"/>
      <c r="I5604" s="25" t="n"/>
      <c r="U5604" s="19">
        <f>IF($V5604&lt;&gt;'設定'!$C$4,N(U5603),IF(OR(NOT(COUNTIF('商品マスタ'!$B$6:$B$1005,$W5604)=0),COUNTIFS('①在庫を貼る'!$V$6:$V$10005,$V5604,'①在庫を貼る'!$W$6:$W$10005,$W5604)+COUNTIFS('月1回_1ヶ月前の在庫'!$V$6:$V$10005,$V5604,'月1回_1ヶ月前の在庫'!$W$6:$W$10005,$W5604)&gt;0),N(U5603),N(U5603)+1))</f>
        <v/>
      </c>
      <c r="V5604" s="19">
        <f>IF($B5604="","",TEXT($B5604,"0000"))</f>
        <v/>
      </c>
      <c r="W5604" s="19">
        <f>IF($I5604="","",IF(ISNUMBER($I5604),TEXT($I5604,"0"),$I5604))</f>
        <v/>
      </c>
    </row>
    <row r="5605">
      <c r="B5605" s="25" t="n"/>
      <c r="I5605" s="25" t="n"/>
      <c r="U5605" s="19">
        <f>IF($V5605&lt;&gt;'設定'!$C$4,N(U5604),IF(OR(NOT(COUNTIF('商品マスタ'!$B$6:$B$1005,$W5605)=0),COUNTIFS('①在庫を貼る'!$V$6:$V$10005,$V5605,'①在庫を貼る'!$W$6:$W$10005,$W5605)+COUNTIFS('月1回_1ヶ月前の在庫'!$V$6:$V$10005,$V5605,'月1回_1ヶ月前の在庫'!$W$6:$W$10005,$W5605)&gt;0),N(U5604),N(U5604)+1))</f>
        <v/>
      </c>
      <c r="V5605" s="19">
        <f>IF($B5605="","",TEXT($B5605,"0000"))</f>
        <v/>
      </c>
      <c r="W5605" s="19">
        <f>IF($I5605="","",IF(ISNUMBER($I5605),TEXT($I5605,"0"),$I5605))</f>
        <v/>
      </c>
    </row>
    <row r="5606">
      <c r="B5606" s="25" t="n"/>
      <c r="I5606" s="25" t="n"/>
      <c r="U5606" s="19">
        <f>IF($V5606&lt;&gt;'設定'!$C$4,N(U5605),IF(OR(NOT(COUNTIF('商品マスタ'!$B$6:$B$1005,$W5606)=0),COUNTIFS('①在庫を貼る'!$V$6:$V$10005,$V5606,'①在庫を貼る'!$W$6:$W$10005,$W5606)+COUNTIFS('月1回_1ヶ月前の在庫'!$V$6:$V$10005,$V5606,'月1回_1ヶ月前の在庫'!$W$6:$W$10005,$W5606)&gt;0),N(U5605),N(U5605)+1))</f>
        <v/>
      </c>
      <c r="V5606" s="19">
        <f>IF($B5606="","",TEXT($B5606,"0000"))</f>
        <v/>
      </c>
      <c r="W5606" s="19">
        <f>IF($I5606="","",IF(ISNUMBER($I5606),TEXT($I5606,"0"),$I5606))</f>
        <v/>
      </c>
    </row>
    <row r="5607">
      <c r="B5607" s="25" t="n"/>
      <c r="I5607" s="25" t="n"/>
      <c r="U5607" s="19">
        <f>IF($V5607&lt;&gt;'設定'!$C$4,N(U5606),IF(OR(NOT(COUNTIF('商品マスタ'!$B$6:$B$1005,$W5607)=0),COUNTIFS('①在庫を貼る'!$V$6:$V$10005,$V5607,'①在庫を貼る'!$W$6:$W$10005,$W5607)+COUNTIFS('月1回_1ヶ月前の在庫'!$V$6:$V$10005,$V5607,'月1回_1ヶ月前の在庫'!$W$6:$W$10005,$W5607)&gt;0),N(U5606),N(U5606)+1))</f>
        <v/>
      </c>
      <c r="V5607" s="19">
        <f>IF($B5607="","",TEXT($B5607,"0000"))</f>
        <v/>
      </c>
      <c r="W5607" s="19">
        <f>IF($I5607="","",IF(ISNUMBER($I5607),TEXT($I5607,"0"),$I5607))</f>
        <v/>
      </c>
    </row>
    <row r="5608">
      <c r="B5608" s="25" t="n"/>
      <c r="I5608" s="25" t="n"/>
      <c r="U5608" s="19">
        <f>IF($V5608&lt;&gt;'設定'!$C$4,N(U5607),IF(OR(NOT(COUNTIF('商品マスタ'!$B$6:$B$1005,$W5608)=0),COUNTIFS('①在庫を貼る'!$V$6:$V$10005,$V5608,'①在庫を貼る'!$W$6:$W$10005,$W5608)+COUNTIFS('月1回_1ヶ月前の在庫'!$V$6:$V$10005,$V5608,'月1回_1ヶ月前の在庫'!$W$6:$W$10005,$W5608)&gt;0),N(U5607),N(U5607)+1))</f>
        <v/>
      </c>
      <c r="V5608" s="19">
        <f>IF($B5608="","",TEXT($B5608,"0000"))</f>
        <v/>
      </c>
      <c r="W5608" s="19">
        <f>IF($I5608="","",IF(ISNUMBER($I5608),TEXT($I5608,"0"),$I5608))</f>
        <v/>
      </c>
    </row>
    <row r="5609">
      <c r="B5609" s="25" t="n"/>
      <c r="I5609" s="25" t="n"/>
      <c r="U5609" s="19">
        <f>IF($V5609&lt;&gt;'設定'!$C$4,N(U5608),IF(OR(NOT(COUNTIF('商品マスタ'!$B$6:$B$1005,$W5609)=0),COUNTIFS('①在庫を貼る'!$V$6:$V$10005,$V5609,'①在庫を貼る'!$W$6:$W$10005,$W5609)+COUNTIFS('月1回_1ヶ月前の在庫'!$V$6:$V$10005,$V5609,'月1回_1ヶ月前の在庫'!$W$6:$W$10005,$W5609)&gt;0),N(U5608),N(U5608)+1))</f>
        <v/>
      </c>
      <c r="V5609" s="19">
        <f>IF($B5609="","",TEXT($B5609,"0000"))</f>
        <v/>
      </c>
      <c r="W5609" s="19">
        <f>IF($I5609="","",IF(ISNUMBER($I5609),TEXT($I5609,"0"),$I5609))</f>
        <v/>
      </c>
    </row>
    <row r="5610">
      <c r="B5610" s="25" t="n"/>
      <c r="I5610" s="25" t="n"/>
      <c r="U5610" s="19">
        <f>IF($V5610&lt;&gt;'設定'!$C$4,N(U5609),IF(OR(NOT(COUNTIF('商品マスタ'!$B$6:$B$1005,$W5610)=0),COUNTIFS('①在庫を貼る'!$V$6:$V$10005,$V5610,'①在庫を貼る'!$W$6:$W$10005,$W5610)+COUNTIFS('月1回_1ヶ月前の在庫'!$V$6:$V$10005,$V5610,'月1回_1ヶ月前の在庫'!$W$6:$W$10005,$W5610)&gt;0),N(U5609),N(U5609)+1))</f>
        <v/>
      </c>
      <c r="V5610" s="19">
        <f>IF($B5610="","",TEXT($B5610,"0000"))</f>
        <v/>
      </c>
      <c r="W5610" s="19">
        <f>IF($I5610="","",IF(ISNUMBER($I5610),TEXT($I5610,"0"),$I5610))</f>
        <v/>
      </c>
    </row>
    <row r="5611">
      <c r="B5611" s="25" t="n"/>
      <c r="I5611" s="25" t="n"/>
      <c r="U5611" s="19">
        <f>IF($V5611&lt;&gt;'設定'!$C$4,N(U5610),IF(OR(NOT(COUNTIF('商品マスタ'!$B$6:$B$1005,$W5611)=0),COUNTIFS('①在庫を貼る'!$V$6:$V$10005,$V5611,'①在庫を貼る'!$W$6:$W$10005,$W5611)+COUNTIFS('月1回_1ヶ月前の在庫'!$V$6:$V$10005,$V5611,'月1回_1ヶ月前の在庫'!$W$6:$W$10005,$W5611)&gt;0),N(U5610),N(U5610)+1))</f>
        <v/>
      </c>
      <c r="V5611" s="19">
        <f>IF($B5611="","",TEXT($B5611,"0000"))</f>
        <v/>
      </c>
      <c r="W5611" s="19">
        <f>IF($I5611="","",IF(ISNUMBER($I5611),TEXT($I5611,"0"),$I5611))</f>
        <v/>
      </c>
    </row>
    <row r="5612">
      <c r="B5612" s="25" t="n"/>
      <c r="I5612" s="25" t="n"/>
      <c r="U5612" s="19">
        <f>IF($V5612&lt;&gt;'設定'!$C$4,N(U5611),IF(OR(NOT(COUNTIF('商品マスタ'!$B$6:$B$1005,$W5612)=0),COUNTIFS('①在庫を貼る'!$V$6:$V$10005,$V5612,'①在庫を貼る'!$W$6:$W$10005,$W5612)+COUNTIFS('月1回_1ヶ月前の在庫'!$V$6:$V$10005,$V5612,'月1回_1ヶ月前の在庫'!$W$6:$W$10005,$W5612)&gt;0),N(U5611),N(U5611)+1))</f>
        <v/>
      </c>
      <c r="V5612" s="19">
        <f>IF($B5612="","",TEXT($B5612,"0000"))</f>
        <v/>
      </c>
      <c r="W5612" s="19">
        <f>IF($I5612="","",IF(ISNUMBER($I5612),TEXT($I5612,"0"),$I5612))</f>
        <v/>
      </c>
    </row>
    <row r="5613">
      <c r="B5613" s="25" t="n"/>
      <c r="I5613" s="25" t="n"/>
      <c r="U5613" s="19">
        <f>IF($V5613&lt;&gt;'設定'!$C$4,N(U5612),IF(OR(NOT(COUNTIF('商品マスタ'!$B$6:$B$1005,$W5613)=0),COUNTIFS('①在庫を貼る'!$V$6:$V$10005,$V5613,'①在庫を貼る'!$W$6:$W$10005,$W5613)+COUNTIFS('月1回_1ヶ月前の在庫'!$V$6:$V$10005,$V5613,'月1回_1ヶ月前の在庫'!$W$6:$W$10005,$W5613)&gt;0),N(U5612),N(U5612)+1))</f>
        <v/>
      </c>
      <c r="V5613" s="19">
        <f>IF($B5613="","",TEXT($B5613,"0000"))</f>
        <v/>
      </c>
      <c r="W5613" s="19">
        <f>IF($I5613="","",IF(ISNUMBER($I5613),TEXT($I5613,"0"),$I5613))</f>
        <v/>
      </c>
    </row>
    <row r="5614">
      <c r="B5614" s="25" t="n"/>
      <c r="I5614" s="25" t="n"/>
      <c r="U5614" s="19">
        <f>IF($V5614&lt;&gt;'設定'!$C$4,N(U5613),IF(OR(NOT(COUNTIF('商品マスタ'!$B$6:$B$1005,$W5614)=0),COUNTIFS('①在庫を貼る'!$V$6:$V$10005,$V5614,'①在庫を貼る'!$W$6:$W$10005,$W5614)+COUNTIFS('月1回_1ヶ月前の在庫'!$V$6:$V$10005,$V5614,'月1回_1ヶ月前の在庫'!$W$6:$W$10005,$W5614)&gt;0),N(U5613),N(U5613)+1))</f>
        <v/>
      </c>
      <c r="V5614" s="19">
        <f>IF($B5614="","",TEXT($B5614,"0000"))</f>
        <v/>
      </c>
      <c r="W5614" s="19">
        <f>IF($I5614="","",IF(ISNUMBER($I5614),TEXT($I5614,"0"),$I5614))</f>
        <v/>
      </c>
    </row>
    <row r="5615">
      <c r="B5615" s="25" t="n"/>
      <c r="I5615" s="25" t="n"/>
      <c r="U5615" s="19">
        <f>IF($V5615&lt;&gt;'設定'!$C$4,N(U5614),IF(OR(NOT(COUNTIF('商品マスタ'!$B$6:$B$1005,$W5615)=0),COUNTIFS('①在庫を貼る'!$V$6:$V$10005,$V5615,'①在庫を貼る'!$W$6:$W$10005,$W5615)+COUNTIFS('月1回_1ヶ月前の在庫'!$V$6:$V$10005,$V5615,'月1回_1ヶ月前の在庫'!$W$6:$W$10005,$W5615)&gt;0),N(U5614),N(U5614)+1))</f>
        <v/>
      </c>
      <c r="V5615" s="19">
        <f>IF($B5615="","",TEXT($B5615,"0000"))</f>
        <v/>
      </c>
      <c r="W5615" s="19">
        <f>IF($I5615="","",IF(ISNUMBER($I5615),TEXT($I5615,"0"),$I5615))</f>
        <v/>
      </c>
    </row>
    <row r="5616">
      <c r="B5616" s="25" t="n"/>
      <c r="I5616" s="25" t="n"/>
      <c r="U5616" s="19">
        <f>IF($V5616&lt;&gt;'設定'!$C$4,N(U5615),IF(OR(NOT(COUNTIF('商品マスタ'!$B$6:$B$1005,$W5616)=0),COUNTIFS('①在庫を貼る'!$V$6:$V$10005,$V5616,'①在庫を貼る'!$W$6:$W$10005,$W5616)+COUNTIFS('月1回_1ヶ月前の在庫'!$V$6:$V$10005,$V5616,'月1回_1ヶ月前の在庫'!$W$6:$W$10005,$W5616)&gt;0),N(U5615),N(U5615)+1))</f>
        <v/>
      </c>
      <c r="V5616" s="19">
        <f>IF($B5616="","",TEXT($B5616,"0000"))</f>
        <v/>
      </c>
      <c r="W5616" s="19">
        <f>IF($I5616="","",IF(ISNUMBER($I5616),TEXT($I5616,"0"),$I5616))</f>
        <v/>
      </c>
    </row>
    <row r="5617">
      <c r="B5617" s="25" t="n"/>
      <c r="I5617" s="25" t="n"/>
      <c r="U5617" s="19">
        <f>IF($V5617&lt;&gt;'設定'!$C$4,N(U5616),IF(OR(NOT(COUNTIF('商品マスタ'!$B$6:$B$1005,$W5617)=0),COUNTIFS('①在庫を貼る'!$V$6:$V$10005,$V5617,'①在庫を貼る'!$W$6:$W$10005,$W5617)+COUNTIFS('月1回_1ヶ月前の在庫'!$V$6:$V$10005,$V5617,'月1回_1ヶ月前の在庫'!$W$6:$W$10005,$W5617)&gt;0),N(U5616),N(U5616)+1))</f>
        <v/>
      </c>
      <c r="V5617" s="19">
        <f>IF($B5617="","",TEXT($B5617,"0000"))</f>
        <v/>
      </c>
      <c r="W5617" s="19">
        <f>IF($I5617="","",IF(ISNUMBER($I5617),TEXT($I5617,"0"),$I5617))</f>
        <v/>
      </c>
    </row>
    <row r="5618">
      <c r="B5618" s="25" t="n"/>
      <c r="I5618" s="25" t="n"/>
      <c r="U5618" s="19">
        <f>IF($V5618&lt;&gt;'設定'!$C$4,N(U5617),IF(OR(NOT(COUNTIF('商品マスタ'!$B$6:$B$1005,$W5618)=0),COUNTIFS('①在庫を貼る'!$V$6:$V$10005,$V5618,'①在庫を貼る'!$W$6:$W$10005,$W5618)+COUNTIFS('月1回_1ヶ月前の在庫'!$V$6:$V$10005,$V5618,'月1回_1ヶ月前の在庫'!$W$6:$W$10005,$W5618)&gt;0),N(U5617),N(U5617)+1))</f>
        <v/>
      </c>
      <c r="V5618" s="19">
        <f>IF($B5618="","",TEXT($B5618,"0000"))</f>
        <v/>
      </c>
      <c r="W5618" s="19">
        <f>IF($I5618="","",IF(ISNUMBER($I5618),TEXT($I5618,"0"),$I5618))</f>
        <v/>
      </c>
    </row>
    <row r="5619">
      <c r="B5619" s="25" t="n"/>
      <c r="I5619" s="25" t="n"/>
      <c r="U5619" s="19">
        <f>IF($V5619&lt;&gt;'設定'!$C$4,N(U5618),IF(OR(NOT(COUNTIF('商品マスタ'!$B$6:$B$1005,$W5619)=0),COUNTIFS('①在庫を貼る'!$V$6:$V$10005,$V5619,'①在庫を貼る'!$W$6:$W$10005,$W5619)+COUNTIFS('月1回_1ヶ月前の在庫'!$V$6:$V$10005,$V5619,'月1回_1ヶ月前の在庫'!$W$6:$W$10005,$W5619)&gt;0),N(U5618),N(U5618)+1))</f>
        <v/>
      </c>
      <c r="V5619" s="19">
        <f>IF($B5619="","",TEXT($B5619,"0000"))</f>
        <v/>
      </c>
      <c r="W5619" s="19">
        <f>IF($I5619="","",IF(ISNUMBER($I5619),TEXT($I5619,"0"),$I5619))</f>
        <v/>
      </c>
    </row>
    <row r="5620">
      <c r="B5620" s="25" t="n"/>
      <c r="I5620" s="25" t="n"/>
      <c r="U5620" s="19">
        <f>IF($V5620&lt;&gt;'設定'!$C$4,N(U5619),IF(OR(NOT(COUNTIF('商品マスタ'!$B$6:$B$1005,$W5620)=0),COUNTIFS('①在庫を貼る'!$V$6:$V$10005,$V5620,'①在庫を貼る'!$W$6:$W$10005,$W5620)+COUNTIFS('月1回_1ヶ月前の在庫'!$V$6:$V$10005,$V5620,'月1回_1ヶ月前の在庫'!$W$6:$W$10005,$W5620)&gt;0),N(U5619),N(U5619)+1))</f>
        <v/>
      </c>
      <c r="V5620" s="19">
        <f>IF($B5620="","",TEXT($B5620,"0000"))</f>
        <v/>
      </c>
      <c r="W5620" s="19">
        <f>IF($I5620="","",IF(ISNUMBER($I5620),TEXT($I5620,"0"),$I5620))</f>
        <v/>
      </c>
    </row>
    <row r="5621">
      <c r="B5621" s="25" t="n"/>
      <c r="I5621" s="25" t="n"/>
      <c r="U5621" s="19">
        <f>IF($V5621&lt;&gt;'設定'!$C$4,N(U5620),IF(OR(NOT(COUNTIF('商品マスタ'!$B$6:$B$1005,$W5621)=0),COUNTIFS('①在庫を貼る'!$V$6:$V$10005,$V5621,'①在庫を貼る'!$W$6:$W$10005,$W5621)+COUNTIFS('月1回_1ヶ月前の在庫'!$V$6:$V$10005,$V5621,'月1回_1ヶ月前の在庫'!$W$6:$W$10005,$W5621)&gt;0),N(U5620),N(U5620)+1))</f>
        <v/>
      </c>
      <c r="V5621" s="19">
        <f>IF($B5621="","",TEXT($B5621,"0000"))</f>
        <v/>
      </c>
      <c r="W5621" s="19">
        <f>IF($I5621="","",IF(ISNUMBER($I5621),TEXT($I5621,"0"),$I5621))</f>
        <v/>
      </c>
    </row>
    <row r="5622">
      <c r="B5622" s="25" t="n"/>
      <c r="I5622" s="25" t="n"/>
      <c r="U5622" s="19">
        <f>IF($V5622&lt;&gt;'設定'!$C$4,N(U5621),IF(OR(NOT(COUNTIF('商品マスタ'!$B$6:$B$1005,$W5622)=0),COUNTIFS('①在庫を貼る'!$V$6:$V$10005,$V5622,'①在庫を貼る'!$W$6:$W$10005,$W5622)+COUNTIFS('月1回_1ヶ月前の在庫'!$V$6:$V$10005,$V5622,'月1回_1ヶ月前の在庫'!$W$6:$W$10005,$W5622)&gt;0),N(U5621),N(U5621)+1))</f>
        <v/>
      </c>
      <c r="V5622" s="19">
        <f>IF($B5622="","",TEXT($B5622,"0000"))</f>
        <v/>
      </c>
      <c r="W5622" s="19">
        <f>IF($I5622="","",IF(ISNUMBER($I5622),TEXT($I5622,"0"),$I5622))</f>
        <v/>
      </c>
    </row>
    <row r="5623">
      <c r="B5623" s="25" t="n"/>
      <c r="I5623" s="25" t="n"/>
      <c r="U5623" s="19">
        <f>IF($V5623&lt;&gt;'設定'!$C$4,N(U5622),IF(OR(NOT(COUNTIF('商品マスタ'!$B$6:$B$1005,$W5623)=0),COUNTIFS('①在庫を貼る'!$V$6:$V$10005,$V5623,'①在庫を貼る'!$W$6:$W$10005,$W5623)+COUNTIFS('月1回_1ヶ月前の在庫'!$V$6:$V$10005,$V5623,'月1回_1ヶ月前の在庫'!$W$6:$W$10005,$W5623)&gt;0),N(U5622),N(U5622)+1))</f>
        <v/>
      </c>
      <c r="V5623" s="19">
        <f>IF($B5623="","",TEXT($B5623,"0000"))</f>
        <v/>
      </c>
      <c r="W5623" s="19">
        <f>IF($I5623="","",IF(ISNUMBER($I5623),TEXT($I5623,"0"),$I5623))</f>
        <v/>
      </c>
    </row>
    <row r="5624">
      <c r="B5624" s="25" t="n"/>
      <c r="I5624" s="25" t="n"/>
      <c r="U5624" s="19">
        <f>IF($V5624&lt;&gt;'設定'!$C$4,N(U5623),IF(OR(NOT(COUNTIF('商品マスタ'!$B$6:$B$1005,$W5624)=0),COUNTIFS('①在庫を貼る'!$V$6:$V$10005,$V5624,'①在庫を貼る'!$W$6:$W$10005,$W5624)+COUNTIFS('月1回_1ヶ月前の在庫'!$V$6:$V$10005,$V5624,'月1回_1ヶ月前の在庫'!$W$6:$W$10005,$W5624)&gt;0),N(U5623),N(U5623)+1))</f>
        <v/>
      </c>
      <c r="V5624" s="19">
        <f>IF($B5624="","",TEXT($B5624,"0000"))</f>
        <v/>
      </c>
      <c r="W5624" s="19">
        <f>IF($I5624="","",IF(ISNUMBER($I5624),TEXT($I5624,"0"),$I5624))</f>
        <v/>
      </c>
    </row>
    <row r="5625">
      <c r="B5625" s="25" t="n"/>
      <c r="I5625" s="25" t="n"/>
      <c r="U5625" s="19">
        <f>IF($V5625&lt;&gt;'設定'!$C$4,N(U5624),IF(OR(NOT(COUNTIF('商品マスタ'!$B$6:$B$1005,$W5625)=0),COUNTIFS('①在庫を貼る'!$V$6:$V$10005,$V5625,'①在庫を貼る'!$W$6:$W$10005,$W5625)+COUNTIFS('月1回_1ヶ月前の在庫'!$V$6:$V$10005,$V5625,'月1回_1ヶ月前の在庫'!$W$6:$W$10005,$W5625)&gt;0),N(U5624),N(U5624)+1))</f>
        <v/>
      </c>
      <c r="V5625" s="19">
        <f>IF($B5625="","",TEXT($B5625,"0000"))</f>
        <v/>
      </c>
      <c r="W5625" s="19">
        <f>IF($I5625="","",IF(ISNUMBER($I5625),TEXT($I5625,"0"),$I5625))</f>
        <v/>
      </c>
    </row>
    <row r="5626">
      <c r="B5626" s="25" t="n"/>
      <c r="I5626" s="25" t="n"/>
      <c r="U5626" s="19">
        <f>IF($V5626&lt;&gt;'設定'!$C$4,N(U5625),IF(OR(NOT(COUNTIF('商品マスタ'!$B$6:$B$1005,$W5626)=0),COUNTIFS('①在庫を貼る'!$V$6:$V$10005,$V5626,'①在庫を貼る'!$W$6:$W$10005,$W5626)+COUNTIFS('月1回_1ヶ月前の在庫'!$V$6:$V$10005,$V5626,'月1回_1ヶ月前の在庫'!$W$6:$W$10005,$W5626)&gt;0),N(U5625),N(U5625)+1))</f>
        <v/>
      </c>
      <c r="V5626" s="19">
        <f>IF($B5626="","",TEXT($B5626,"0000"))</f>
        <v/>
      </c>
      <c r="W5626" s="19">
        <f>IF($I5626="","",IF(ISNUMBER($I5626),TEXT($I5626,"0"),$I5626))</f>
        <v/>
      </c>
    </row>
    <row r="5627">
      <c r="B5627" s="25" t="n"/>
      <c r="I5627" s="25" t="n"/>
      <c r="U5627" s="19">
        <f>IF($V5627&lt;&gt;'設定'!$C$4,N(U5626),IF(OR(NOT(COUNTIF('商品マスタ'!$B$6:$B$1005,$W5627)=0),COUNTIFS('①在庫を貼る'!$V$6:$V$10005,$V5627,'①在庫を貼る'!$W$6:$W$10005,$W5627)+COUNTIFS('月1回_1ヶ月前の在庫'!$V$6:$V$10005,$V5627,'月1回_1ヶ月前の在庫'!$W$6:$W$10005,$W5627)&gt;0),N(U5626),N(U5626)+1))</f>
        <v/>
      </c>
      <c r="V5627" s="19">
        <f>IF($B5627="","",TEXT($B5627,"0000"))</f>
        <v/>
      </c>
      <c r="W5627" s="19">
        <f>IF($I5627="","",IF(ISNUMBER($I5627),TEXT($I5627,"0"),$I5627))</f>
        <v/>
      </c>
    </row>
    <row r="5628">
      <c r="B5628" s="25" t="n"/>
      <c r="I5628" s="25" t="n"/>
      <c r="U5628" s="19">
        <f>IF($V5628&lt;&gt;'設定'!$C$4,N(U5627),IF(OR(NOT(COUNTIF('商品マスタ'!$B$6:$B$1005,$W5628)=0),COUNTIFS('①在庫を貼る'!$V$6:$V$10005,$V5628,'①在庫を貼る'!$W$6:$W$10005,$W5628)+COUNTIFS('月1回_1ヶ月前の在庫'!$V$6:$V$10005,$V5628,'月1回_1ヶ月前の在庫'!$W$6:$W$10005,$W5628)&gt;0),N(U5627),N(U5627)+1))</f>
        <v/>
      </c>
      <c r="V5628" s="19">
        <f>IF($B5628="","",TEXT($B5628,"0000"))</f>
        <v/>
      </c>
      <c r="W5628" s="19">
        <f>IF($I5628="","",IF(ISNUMBER($I5628),TEXT($I5628,"0"),$I5628))</f>
        <v/>
      </c>
    </row>
    <row r="5629">
      <c r="B5629" s="25" t="n"/>
      <c r="I5629" s="25" t="n"/>
      <c r="U5629" s="19">
        <f>IF($V5629&lt;&gt;'設定'!$C$4,N(U5628),IF(OR(NOT(COUNTIF('商品マスタ'!$B$6:$B$1005,$W5629)=0),COUNTIFS('①在庫を貼る'!$V$6:$V$10005,$V5629,'①在庫を貼る'!$W$6:$W$10005,$W5629)+COUNTIFS('月1回_1ヶ月前の在庫'!$V$6:$V$10005,$V5629,'月1回_1ヶ月前の在庫'!$W$6:$W$10005,$W5629)&gt;0),N(U5628),N(U5628)+1))</f>
        <v/>
      </c>
      <c r="V5629" s="19">
        <f>IF($B5629="","",TEXT($B5629,"0000"))</f>
        <v/>
      </c>
      <c r="W5629" s="19">
        <f>IF($I5629="","",IF(ISNUMBER($I5629),TEXT($I5629,"0"),$I5629))</f>
        <v/>
      </c>
    </row>
    <row r="5630">
      <c r="B5630" s="25" t="n"/>
      <c r="I5630" s="25" t="n"/>
      <c r="U5630" s="19">
        <f>IF($V5630&lt;&gt;'設定'!$C$4,N(U5629),IF(OR(NOT(COUNTIF('商品マスタ'!$B$6:$B$1005,$W5630)=0),COUNTIFS('①在庫を貼る'!$V$6:$V$10005,$V5630,'①在庫を貼る'!$W$6:$W$10005,$W5630)+COUNTIFS('月1回_1ヶ月前の在庫'!$V$6:$V$10005,$V5630,'月1回_1ヶ月前の在庫'!$W$6:$W$10005,$W5630)&gt;0),N(U5629),N(U5629)+1))</f>
        <v/>
      </c>
      <c r="V5630" s="19">
        <f>IF($B5630="","",TEXT($B5630,"0000"))</f>
        <v/>
      </c>
      <c r="W5630" s="19">
        <f>IF($I5630="","",IF(ISNUMBER($I5630),TEXT($I5630,"0"),$I5630))</f>
        <v/>
      </c>
    </row>
    <row r="5631">
      <c r="B5631" s="25" t="n"/>
      <c r="I5631" s="25" t="n"/>
      <c r="U5631" s="19">
        <f>IF($V5631&lt;&gt;'設定'!$C$4,N(U5630),IF(OR(NOT(COUNTIF('商品マスタ'!$B$6:$B$1005,$W5631)=0),COUNTIFS('①在庫を貼る'!$V$6:$V$10005,$V5631,'①在庫を貼る'!$W$6:$W$10005,$W5631)+COUNTIFS('月1回_1ヶ月前の在庫'!$V$6:$V$10005,$V5631,'月1回_1ヶ月前の在庫'!$W$6:$W$10005,$W5631)&gt;0),N(U5630),N(U5630)+1))</f>
        <v/>
      </c>
      <c r="V5631" s="19">
        <f>IF($B5631="","",TEXT($B5631,"0000"))</f>
        <v/>
      </c>
      <c r="W5631" s="19">
        <f>IF($I5631="","",IF(ISNUMBER($I5631),TEXT($I5631,"0"),$I5631))</f>
        <v/>
      </c>
    </row>
    <row r="5632">
      <c r="B5632" s="25" t="n"/>
      <c r="I5632" s="25" t="n"/>
      <c r="U5632" s="19">
        <f>IF($V5632&lt;&gt;'設定'!$C$4,N(U5631),IF(OR(NOT(COUNTIF('商品マスタ'!$B$6:$B$1005,$W5632)=0),COUNTIFS('①在庫を貼る'!$V$6:$V$10005,$V5632,'①在庫を貼る'!$W$6:$W$10005,$W5632)+COUNTIFS('月1回_1ヶ月前の在庫'!$V$6:$V$10005,$V5632,'月1回_1ヶ月前の在庫'!$W$6:$W$10005,$W5632)&gt;0),N(U5631),N(U5631)+1))</f>
        <v/>
      </c>
      <c r="V5632" s="19">
        <f>IF($B5632="","",TEXT($B5632,"0000"))</f>
        <v/>
      </c>
      <c r="W5632" s="19">
        <f>IF($I5632="","",IF(ISNUMBER($I5632),TEXT($I5632,"0"),$I5632))</f>
        <v/>
      </c>
    </row>
    <row r="5633">
      <c r="B5633" s="25" t="n"/>
      <c r="I5633" s="25" t="n"/>
      <c r="U5633" s="19">
        <f>IF($V5633&lt;&gt;'設定'!$C$4,N(U5632),IF(OR(NOT(COUNTIF('商品マスタ'!$B$6:$B$1005,$W5633)=0),COUNTIFS('①在庫を貼る'!$V$6:$V$10005,$V5633,'①在庫を貼る'!$W$6:$W$10005,$W5633)+COUNTIFS('月1回_1ヶ月前の在庫'!$V$6:$V$10005,$V5633,'月1回_1ヶ月前の在庫'!$W$6:$W$10005,$W5633)&gt;0),N(U5632),N(U5632)+1))</f>
        <v/>
      </c>
      <c r="V5633" s="19">
        <f>IF($B5633="","",TEXT($B5633,"0000"))</f>
        <v/>
      </c>
      <c r="W5633" s="19">
        <f>IF($I5633="","",IF(ISNUMBER($I5633),TEXT($I5633,"0"),$I5633))</f>
        <v/>
      </c>
    </row>
    <row r="5634">
      <c r="B5634" s="25" t="n"/>
      <c r="I5634" s="25" t="n"/>
      <c r="U5634" s="19">
        <f>IF($V5634&lt;&gt;'設定'!$C$4,N(U5633),IF(OR(NOT(COUNTIF('商品マスタ'!$B$6:$B$1005,$W5634)=0),COUNTIFS('①在庫を貼る'!$V$6:$V$10005,$V5634,'①在庫を貼る'!$W$6:$W$10005,$W5634)+COUNTIFS('月1回_1ヶ月前の在庫'!$V$6:$V$10005,$V5634,'月1回_1ヶ月前の在庫'!$W$6:$W$10005,$W5634)&gt;0),N(U5633),N(U5633)+1))</f>
        <v/>
      </c>
      <c r="V5634" s="19">
        <f>IF($B5634="","",TEXT($B5634,"0000"))</f>
        <v/>
      </c>
      <c r="W5634" s="19">
        <f>IF($I5634="","",IF(ISNUMBER($I5634),TEXT($I5634,"0"),$I5634))</f>
        <v/>
      </c>
    </row>
    <row r="5635">
      <c r="B5635" s="25" t="n"/>
      <c r="I5635" s="25" t="n"/>
      <c r="U5635" s="19">
        <f>IF($V5635&lt;&gt;'設定'!$C$4,N(U5634),IF(OR(NOT(COUNTIF('商品マスタ'!$B$6:$B$1005,$W5635)=0),COUNTIFS('①在庫を貼る'!$V$6:$V$10005,$V5635,'①在庫を貼る'!$W$6:$W$10005,$W5635)+COUNTIFS('月1回_1ヶ月前の在庫'!$V$6:$V$10005,$V5635,'月1回_1ヶ月前の在庫'!$W$6:$W$10005,$W5635)&gt;0),N(U5634),N(U5634)+1))</f>
        <v/>
      </c>
      <c r="V5635" s="19">
        <f>IF($B5635="","",TEXT($B5635,"0000"))</f>
        <v/>
      </c>
      <c r="W5635" s="19">
        <f>IF($I5635="","",IF(ISNUMBER($I5635),TEXT($I5635,"0"),$I5635))</f>
        <v/>
      </c>
    </row>
    <row r="5636">
      <c r="B5636" s="25" t="n"/>
      <c r="I5636" s="25" t="n"/>
      <c r="U5636" s="19">
        <f>IF($V5636&lt;&gt;'設定'!$C$4,N(U5635),IF(OR(NOT(COUNTIF('商品マスタ'!$B$6:$B$1005,$W5636)=0),COUNTIFS('①在庫を貼る'!$V$6:$V$10005,$V5636,'①在庫を貼る'!$W$6:$W$10005,$W5636)+COUNTIFS('月1回_1ヶ月前の在庫'!$V$6:$V$10005,$V5636,'月1回_1ヶ月前の在庫'!$W$6:$W$10005,$W5636)&gt;0),N(U5635),N(U5635)+1))</f>
        <v/>
      </c>
      <c r="V5636" s="19">
        <f>IF($B5636="","",TEXT($B5636,"0000"))</f>
        <v/>
      </c>
      <c r="W5636" s="19">
        <f>IF($I5636="","",IF(ISNUMBER($I5636),TEXT($I5636,"0"),$I5636))</f>
        <v/>
      </c>
    </row>
    <row r="5637">
      <c r="B5637" s="25" t="n"/>
      <c r="I5637" s="25" t="n"/>
      <c r="U5637" s="19">
        <f>IF($V5637&lt;&gt;'設定'!$C$4,N(U5636),IF(OR(NOT(COUNTIF('商品マスタ'!$B$6:$B$1005,$W5637)=0),COUNTIFS('①在庫を貼る'!$V$6:$V$10005,$V5637,'①在庫を貼る'!$W$6:$W$10005,$W5637)+COUNTIFS('月1回_1ヶ月前の在庫'!$V$6:$V$10005,$V5637,'月1回_1ヶ月前の在庫'!$W$6:$W$10005,$W5637)&gt;0),N(U5636),N(U5636)+1))</f>
        <v/>
      </c>
      <c r="V5637" s="19">
        <f>IF($B5637="","",TEXT($B5637,"0000"))</f>
        <v/>
      </c>
      <c r="W5637" s="19">
        <f>IF($I5637="","",IF(ISNUMBER($I5637),TEXT($I5637,"0"),$I5637))</f>
        <v/>
      </c>
    </row>
    <row r="5638">
      <c r="B5638" s="25" t="n"/>
      <c r="I5638" s="25" t="n"/>
      <c r="U5638" s="19">
        <f>IF($V5638&lt;&gt;'設定'!$C$4,N(U5637),IF(OR(NOT(COUNTIF('商品マスタ'!$B$6:$B$1005,$W5638)=0),COUNTIFS('①在庫を貼る'!$V$6:$V$10005,$V5638,'①在庫を貼る'!$W$6:$W$10005,$W5638)+COUNTIFS('月1回_1ヶ月前の在庫'!$V$6:$V$10005,$V5638,'月1回_1ヶ月前の在庫'!$W$6:$W$10005,$W5638)&gt;0),N(U5637),N(U5637)+1))</f>
        <v/>
      </c>
      <c r="V5638" s="19">
        <f>IF($B5638="","",TEXT($B5638,"0000"))</f>
        <v/>
      </c>
      <c r="W5638" s="19">
        <f>IF($I5638="","",IF(ISNUMBER($I5638),TEXT($I5638,"0"),$I5638))</f>
        <v/>
      </c>
    </row>
    <row r="5639">
      <c r="B5639" s="25" t="n"/>
      <c r="I5639" s="25" t="n"/>
      <c r="U5639" s="19">
        <f>IF($V5639&lt;&gt;'設定'!$C$4,N(U5638),IF(OR(NOT(COUNTIF('商品マスタ'!$B$6:$B$1005,$W5639)=0),COUNTIFS('①在庫を貼る'!$V$6:$V$10005,$V5639,'①在庫を貼る'!$W$6:$W$10005,$W5639)+COUNTIFS('月1回_1ヶ月前の在庫'!$V$6:$V$10005,$V5639,'月1回_1ヶ月前の在庫'!$W$6:$W$10005,$W5639)&gt;0),N(U5638),N(U5638)+1))</f>
        <v/>
      </c>
      <c r="V5639" s="19">
        <f>IF($B5639="","",TEXT($B5639,"0000"))</f>
        <v/>
      </c>
      <c r="W5639" s="19">
        <f>IF($I5639="","",IF(ISNUMBER($I5639),TEXT($I5639,"0"),$I5639))</f>
        <v/>
      </c>
    </row>
    <row r="5640">
      <c r="B5640" s="25" t="n"/>
      <c r="I5640" s="25" t="n"/>
      <c r="U5640" s="19">
        <f>IF($V5640&lt;&gt;'設定'!$C$4,N(U5639),IF(OR(NOT(COUNTIF('商品マスタ'!$B$6:$B$1005,$W5640)=0),COUNTIFS('①在庫を貼る'!$V$6:$V$10005,$V5640,'①在庫を貼る'!$W$6:$W$10005,$W5640)+COUNTIFS('月1回_1ヶ月前の在庫'!$V$6:$V$10005,$V5640,'月1回_1ヶ月前の在庫'!$W$6:$W$10005,$W5640)&gt;0),N(U5639),N(U5639)+1))</f>
        <v/>
      </c>
      <c r="V5640" s="19">
        <f>IF($B5640="","",TEXT($B5640,"0000"))</f>
        <v/>
      </c>
      <c r="W5640" s="19">
        <f>IF($I5640="","",IF(ISNUMBER($I5640),TEXT($I5640,"0"),$I5640))</f>
        <v/>
      </c>
    </row>
    <row r="5641">
      <c r="B5641" s="25" t="n"/>
      <c r="I5641" s="25" t="n"/>
      <c r="U5641" s="19">
        <f>IF($V5641&lt;&gt;'設定'!$C$4,N(U5640),IF(OR(NOT(COUNTIF('商品マスタ'!$B$6:$B$1005,$W5641)=0),COUNTIFS('①在庫を貼る'!$V$6:$V$10005,$V5641,'①在庫を貼る'!$W$6:$W$10005,$W5641)+COUNTIFS('月1回_1ヶ月前の在庫'!$V$6:$V$10005,$V5641,'月1回_1ヶ月前の在庫'!$W$6:$W$10005,$W5641)&gt;0),N(U5640),N(U5640)+1))</f>
        <v/>
      </c>
      <c r="V5641" s="19">
        <f>IF($B5641="","",TEXT($B5641,"0000"))</f>
        <v/>
      </c>
      <c r="W5641" s="19">
        <f>IF($I5641="","",IF(ISNUMBER($I5641),TEXT($I5641,"0"),$I5641))</f>
        <v/>
      </c>
    </row>
    <row r="5642">
      <c r="B5642" s="25" t="n"/>
      <c r="I5642" s="25" t="n"/>
      <c r="U5642" s="19">
        <f>IF($V5642&lt;&gt;'設定'!$C$4,N(U5641),IF(OR(NOT(COUNTIF('商品マスタ'!$B$6:$B$1005,$W5642)=0),COUNTIFS('①在庫を貼る'!$V$6:$V$10005,$V5642,'①在庫を貼る'!$W$6:$W$10005,$W5642)+COUNTIFS('月1回_1ヶ月前の在庫'!$V$6:$V$10005,$V5642,'月1回_1ヶ月前の在庫'!$W$6:$W$10005,$W5642)&gt;0),N(U5641),N(U5641)+1))</f>
        <v/>
      </c>
      <c r="V5642" s="19">
        <f>IF($B5642="","",TEXT($B5642,"0000"))</f>
        <v/>
      </c>
      <c r="W5642" s="19">
        <f>IF($I5642="","",IF(ISNUMBER($I5642),TEXT($I5642,"0"),$I5642))</f>
        <v/>
      </c>
    </row>
    <row r="5643">
      <c r="B5643" s="25" t="n"/>
      <c r="I5643" s="25" t="n"/>
      <c r="U5643" s="19">
        <f>IF($V5643&lt;&gt;'設定'!$C$4,N(U5642),IF(OR(NOT(COUNTIF('商品マスタ'!$B$6:$B$1005,$W5643)=0),COUNTIFS('①在庫を貼る'!$V$6:$V$10005,$V5643,'①在庫を貼る'!$W$6:$W$10005,$W5643)+COUNTIFS('月1回_1ヶ月前の在庫'!$V$6:$V$10005,$V5643,'月1回_1ヶ月前の在庫'!$W$6:$W$10005,$W5643)&gt;0),N(U5642),N(U5642)+1))</f>
        <v/>
      </c>
      <c r="V5643" s="19">
        <f>IF($B5643="","",TEXT($B5643,"0000"))</f>
        <v/>
      </c>
      <c r="W5643" s="19">
        <f>IF($I5643="","",IF(ISNUMBER($I5643),TEXT($I5643,"0"),$I5643))</f>
        <v/>
      </c>
    </row>
    <row r="5644">
      <c r="B5644" s="25" t="n"/>
      <c r="I5644" s="25" t="n"/>
      <c r="U5644" s="19">
        <f>IF($V5644&lt;&gt;'設定'!$C$4,N(U5643),IF(OR(NOT(COUNTIF('商品マスタ'!$B$6:$B$1005,$W5644)=0),COUNTIFS('①在庫を貼る'!$V$6:$V$10005,$V5644,'①在庫を貼る'!$W$6:$W$10005,$W5644)+COUNTIFS('月1回_1ヶ月前の在庫'!$V$6:$V$10005,$V5644,'月1回_1ヶ月前の在庫'!$W$6:$W$10005,$W5644)&gt;0),N(U5643),N(U5643)+1))</f>
        <v/>
      </c>
      <c r="V5644" s="19">
        <f>IF($B5644="","",TEXT($B5644,"0000"))</f>
        <v/>
      </c>
      <c r="W5644" s="19">
        <f>IF($I5644="","",IF(ISNUMBER($I5644),TEXT($I5644,"0"),$I5644))</f>
        <v/>
      </c>
    </row>
    <row r="5645">
      <c r="B5645" s="25" t="n"/>
      <c r="I5645" s="25" t="n"/>
      <c r="U5645" s="19">
        <f>IF($V5645&lt;&gt;'設定'!$C$4,N(U5644),IF(OR(NOT(COUNTIF('商品マスタ'!$B$6:$B$1005,$W5645)=0),COUNTIFS('①在庫を貼る'!$V$6:$V$10005,$V5645,'①在庫を貼る'!$W$6:$W$10005,$W5645)+COUNTIFS('月1回_1ヶ月前の在庫'!$V$6:$V$10005,$V5645,'月1回_1ヶ月前の在庫'!$W$6:$W$10005,$W5645)&gt;0),N(U5644),N(U5644)+1))</f>
        <v/>
      </c>
      <c r="V5645" s="19">
        <f>IF($B5645="","",TEXT($B5645,"0000"))</f>
        <v/>
      </c>
      <c r="W5645" s="19">
        <f>IF($I5645="","",IF(ISNUMBER($I5645),TEXT($I5645,"0"),$I5645))</f>
        <v/>
      </c>
    </row>
    <row r="5646">
      <c r="B5646" s="25" t="n"/>
      <c r="I5646" s="25" t="n"/>
      <c r="U5646" s="19">
        <f>IF($V5646&lt;&gt;'設定'!$C$4,N(U5645),IF(OR(NOT(COUNTIF('商品マスタ'!$B$6:$B$1005,$W5646)=0),COUNTIFS('①在庫を貼る'!$V$6:$V$10005,$V5646,'①在庫を貼る'!$W$6:$W$10005,$W5646)+COUNTIFS('月1回_1ヶ月前の在庫'!$V$6:$V$10005,$V5646,'月1回_1ヶ月前の在庫'!$W$6:$W$10005,$W5646)&gt;0),N(U5645),N(U5645)+1))</f>
        <v/>
      </c>
      <c r="V5646" s="19">
        <f>IF($B5646="","",TEXT($B5646,"0000"))</f>
        <v/>
      </c>
      <c r="W5646" s="19">
        <f>IF($I5646="","",IF(ISNUMBER($I5646),TEXT($I5646,"0"),$I5646))</f>
        <v/>
      </c>
    </row>
    <row r="5647">
      <c r="B5647" s="25" t="n"/>
      <c r="I5647" s="25" t="n"/>
      <c r="U5647" s="19">
        <f>IF($V5647&lt;&gt;'設定'!$C$4,N(U5646),IF(OR(NOT(COUNTIF('商品マスタ'!$B$6:$B$1005,$W5647)=0),COUNTIFS('①在庫を貼る'!$V$6:$V$10005,$V5647,'①在庫を貼る'!$W$6:$W$10005,$W5647)+COUNTIFS('月1回_1ヶ月前の在庫'!$V$6:$V$10005,$V5647,'月1回_1ヶ月前の在庫'!$W$6:$W$10005,$W5647)&gt;0),N(U5646),N(U5646)+1))</f>
        <v/>
      </c>
      <c r="V5647" s="19">
        <f>IF($B5647="","",TEXT($B5647,"0000"))</f>
        <v/>
      </c>
      <c r="W5647" s="19">
        <f>IF($I5647="","",IF(ISNUMBER($I5647),TEXT($I5647,"0"),$I5647))</f>
        <v/>
      </c>
    </row>
    <row r="5648">
      <c r="B5648" s="25" t="n"/>
      <c r="I5648" s="25" t="n"/>
      <c r="U5648" s="19">
        <f>IF($V5648&lt;&gt;'設定'!$C$4,N(U5647),IF(OR(NOT(COUNTIF('商品マスタ'!$B$6:$B$1005,$W5648)=0),COUNTIFS('①在庫を貼る'!$V$6:$V$10005,$V5648,'①在庫を貼る'!$W$6:$W$10005,$W5648)+COUNTIFS('月1回_1ヶ月前の在庫'!$V$6:$V$10005,$V5648,'月1回_1ヶ月前の在庫'!$W$6:$W$10005,$W5648)&gt;0),N(U5647),N(U5647)+1))</f>
        <v/>
      </c>
      <c r="V5648" s="19">
        <f>IF($B5648="","",TEXT($B5648,"0000"))</f>
        <v/>
      </c>
      <c r="W5648" s="19">
        <f>IF($I5648="","",IF(ISNUMBER($I5648),TEXT($I5648,"0"),$I5648))</f>
        <v/>
      </c>
    </row>
    <row r="5649">
      <c r="B5649" s="25" t="n"/>
      <c r="I5649" s="25" t="n"/>
      <c r="U5649" s="19">
        <f>IF($V5649&lt;&gt;'設定'!$C$4,N(U5648),IF(OR(NOT(COUNTIF('商品マスタ'!$B$6:$B$1005,$W5649)=0),COUNTIFS('①在庫を貼る'!$V$6:$V$10005,$V5649,'①在庫を貼る'!$W$6:$W$10005,$W5649)+COUNTIFS('月1回_1ヶ月前の在庫'!$V$6:$V$10005,$V5649,'月1回_1ヶ月前の在庫'!$W$6:$W$10005,$W5649)&gt;0),N(U5648),N(U5648)+1))</f>
        <v/>
      </c>
      <c r="V5649" s="19">
        <f>IF($B5649="","",TEXT($B5649,"0000"))</f>
        <v/>
      </c>
      <c r="W5649" s="19">
        <f>IF($I5649="","",IF(ISNUMBER($I5649),TEXT($I5649,"0"),$I5649))</f>
        <v/>
      </c>
    </row>
    <row r="5650">
      <c r="B5650" s="25" t="n"/>
      <c r="I5650" s="25" t="n"/>
      <c r="U5650" s="19">
        <f>IF($V5650&lt;&gt;'設定'!$C$4,N(U5649),IF(OR(NOT(COUNTIF('商品マスタ'!$B$6:$B$1005,$W5650)=0),COUNTIFS('①在庫を貼る'!$V$6:$V$10005,$V5650,'①在庫を貼る'!$W$6:$W$10005,$W5650)+COUNTIFS('月1回_1ヶ月前の在庫'!$V$6:$V$10005,$V5650,'月1回_1ヶ月前の在庫'!$W$6:$W$10005,$W5650)&gt;0),N(U5649),N(U5649)+1))</f>
        <v/>
      </c>
      <c r="V5650" s="19">
        <f>IF($B5650="","",TEXT($B5650,"0000"))</f>
        <v/>
      </c>
      <c r="W5650" s="19">
        <f>IF($I5650="","",IF(ISNUMBER($I5650),TEXT($I5650,"0"),$I5650))</f>
        <v/>
      </c>
    </row>
    <row r="5651">
      <c r="B5651" s="25" t="n"/>
      <c r="I5651" s="25" t="n"/>
      <c r="U5651" s="19">
        <f>IF($V5651&lt;&gt;'設定'!$C$4,N(U5650),IF(OR(NOT(COUNTIF('商品マスタ'!$B$6:$B$1005,$W5651)=0),COUNTIFS('①在庫を貼る'!$V$6:$V$10005,$V5651,'①在庫を貼る'!$W$6:$W$10005,$W5651)+COUNTIFS('月1回_1ヶ月前の在庫'!$V$6:$V$10005,$V5651,'月1回_1ヶ月前の在庫'!$W$6:$W$10005,$W5651)&gt;0),N(U5650),N(U5650)+1))</f>
        <v/>
      </c>
      <c r="V5651" s="19">
        <f>IF($B5651="","",TEXT($B5651,"0000"))</f>
        <v/>
      </c>
      <c r="W5651" s="19">
        <f>IF($I5651="","",IF(ISNUMBER($I5651),TEXT($I5651,"0"),$I5651))</f>
        <v/>
      </c>
    </row>
    <row r="5652">
      <c r="B5652" s="25" t="n"/>
      <c r="I5652" s="25" t="n"/>
      <c r="U5652" s="19">
        <f>IF($V5652&lt;&gt;'設定'!$C$4,N(U5651),IF(OR(NOT(COUNTIF('商品マスタ'!$B$6:$B$1005,$W5652)=0),COUNTIFS('①在庫を貼る'!$V$6:$V$10005,$V5652,'①在庫を貼る'!$W$6:$W$10005,$W5652)+COUNTIFS('月1回_1ヶ月前の在庫'!$V$6:$V$10005,$V5652,'月1回_1ヶ月前の在庫'!$W$6:$W$10005,$W5652)&gt;0),N(U5651),N(U5651)+1))</f>
        <v/>
      </c>
      <c r="V5652" s="19">
        <f>IF($B5652="","",TEXT($B5652,"0000"))</f>
        <v/>
      </c>
      <c r="W5652" s="19">
        <f>IF($I5652="","",IF(ISNUMBER($I5652),TEXT($I5652,"0"),$I5652))</f>
        <v/>
      </c>
    </row>
    <row r="5653">
      <c r="B5653" s="25" t="n"/>
      <c r="I5653" s="25" t="n"/>
      <c r="U5653" s="19">
        <f>IF($V5653&lt;&gt;'設定'!$C$4,N(U5652),IF(OR(NOT(COUNTIF('商品マスタ'!$B$6:$B$1005,$W5653)=0),COUNTIFS('①在庫を貼る'!$V$6:$V$10005,$V5653,'①在庫を貼る'!$W$6:$W$10005,$W5653)+COUNTIFS('月1回_1ヶ月前の在庫'!$V$6:$V$10005,$V5653,'月1回_1ヶ月前の在庫'!$W$6:$W$10005,$W5653)&gt;0),N(U5652),N(U5652)+1))</f>
        <v/>
      </c>
      <c r="V5653" s="19">
        <f>IF($B5653="","",TEXT($B5653,"0000"))</f>
        <v/>
      </c>
      <c r="W5653" s="19">
        <f>IF($I5653="","",IF(ISNUMBER($I5653),TEXT($I5653,"0"),$I5653))</f>
        <v/>
      </c>
    </row>
    <row r="5654">
      <c r="B5654" s="25" t="n"/>
      <c r="I5654" s="25" t="n"/>
      <c r="U5654" s="19">
        <f>IF($V5654&lt;&gt;'設定'!$C$4,N(U5653),IF(OR(NOT(COUNTIF('商品マスタ'!$B$6:$B$1005,$W5654)=0),COUNTIFS('①在庫を貼る'!$V$6:$V$10005,$V5654,'①在庫を貼る'!$W$6:$W$10005,$W5654)+COUNTIFS('月1回_1ヶ月前の在庫'!$V$6:$V$10005,$V5654,'月1回_1ヶ月前の在庫'!$W$6:$W$10005,$W5654)&gt;0),N(U5653),N(U5653)+1))</f>
        <v/>
      </c>
      <c r="V5654" s="19">
        <f>IF($B5654="","",TEXT($B5654,"0000"))</f>
        <v/>
      </c>
      <c r="W5654" s="19">
        <f>IF($I5654="","",IF(ISNUMBER($I5654),TEXT($I5654,"0"),$I5654))</f>
        <v/>
      </c>
    </row>
    <row r="5655">
      <c r="B5655" s="25" t="n"/>
      <c r="I5655" s="25" t="n"/>
      <c r="U5655" s="19">
        <f>IF($V5655&lt;&gt;'設定'!$C$4,N(U5654),IF(OR(NOT(COUNTIF('商品マスタ'!$B$6:$B$1005,$W5655)=0),COUNTIFS('①在庫を貼る'!$V$6:$V$10005,$V5655,'①在庫を貼る'!$W$6:$W$10005,$W5655)+COUNTIFS('月1回_1ヶ月前の在庫'!$V$6:$V$10005,$V5655,'月1回_1ヶ月前の在庫'!$W$6:$W$10005,$W5655)&gt;0),N(U5654),N(U5654)+1))</f>
        <v/>
      </c>
      <c r="V5655" s="19">
        <f>IF($B5655="","",TEXT($B5655,"0000"))</f>
        <v/>
      </c>
      <c r="W5655" s="19">
        <f>IF($I5655="","",IF(ISNUMBER($I5655),TEXT($I5655,"0"),$I5655))</f>
        <v/>
      </c>
    </row>
    <row r="5656">
      <c r="B5656" s="25" t="n"/>
      <c r="I5656" s="25" t="n"/>
      <c r="U5656" s="19">
        <f>IF($V5656&lt;&gt;'設定'!$C$4,N(U5655),IF(OR(NOT(COUNTIF('商品マスタ'!$B$6:$B$1005,$W5656)=0),COUNTIFS('①在庫を貼る'!$V$6:$V$10005,$V5656,'①在庫を貼る'!$W$6:$W$10005,$W5656)+COUNTIFS('月1回_1ヶ月前の在庫'!$V$6:$V$10005,$V5656,'月1回_1ヶ月前の在庫'!$W$6:$W$10005,$W5656)&gt;0),N(U5655),N(U5655)+1))</f>
        <v/>
      </c>
      <c r="V5656" s="19">
        <f>IF($B5656="","",TEXT($B5656,"0000"))</f>
        <v/>
      </c>
      <c r="W5656" s="19">
        <f>IF($I5656="","",IF(ISNUMBER($I5656),TEXT($I5656,"0"),$I5656))</f>
        <v/>
      </c>
    </row>
    <row r="5657">
      <c r="B5657" s="25" t="n"/>
      <c r="I5657" s="25" t="n"/>
      <c r="U5657" s="19">
        <f>IF($V5657&lt;&gt;'設定'!$C$4,N(U5656),IF(OR(NOT(COUNTIF('商品マスタ'!$B$6:$B$1005,$W5657)=0),COUNTIFS('①在庫を貼る'!$V$6:$V$10005,$V5657,'①在庫を貼る'!$W$6:$W$10005,$W5657)+COUNTIFS('月1回_1ヶ月前の在庫'!$V$6:$V$10005,$V5657,'月1回_1ヶ月前の在庫'!$W$6:$W$10005,$W5657)&gt;0),N(U5656),N(U5656)+1))</f>
        <v/>
      </c>
      <c r="V5657" s="19">
        <f>IF($B5657="","",TEXT($B5657,"0000"))</f>
        <v/>
      </c>
      <c r="W5657" s="19">
        <f>IF($I5657="","",IF(ISNUMBER($I5657),TEXT($I5657,"0"),$I5657))</f>
        <v/>
      </c>
    </row>
    <row r="5658">
      <c r="B5658" s="25" t="n"/>
      <c r="I5658" s="25" t="n"/>
      <c r="U5658" s="19">
        <f>IF($V5658&lt;&gt;'設定'!$C$4,N(U5657),IF(OR(NOT(COUNTIF('商品マスタ'!$B$6:$B$1005,$W5658)=0),COUNTIFS('①在庫を貼る'!$V$6:$V$10005,$V5658,'①在庫を貼る'!$W$6:$W$10005,$W5658)+COUNTIFS('月1回_1ヶ月前の在庫'!$V$6:$V$10005,$V5658,'月1回_1ヶ月前の在庫'!$W$6:$W$10005,$W5658)&gt;0),N(U5657),N(U5657)+1))</f>
        <v/>
      </c>
      <c r="V5658" s="19">
        <f>IF($B5658="","",TEXT($B5658,"0000"))</f>
        <v/>
      </c>
      <c r="W5658" s="19">
        <f>IF($I5658="","",IF(ISNUMBER($I5658),TEXT($I5658,"0"),$I5658))</f>
        <v/>
      </c>
    </row>
    <row r="5659">
      <c r="B5659" s="25" t="n"/>
      <c r="I5659" s="25" t="n"/>
      <c r="U5659" s="19">
        <f>IF($V5659&lt;&gt;'設定'!$C$4,N(U5658),IF(OR(NOT(COUNTIF('商品マスタ'!$B$6:$B$1005,$W5659)=0),COUNTIFS('①在庫を貼る'!$V$6:$V$10005,$V5659,'①在庫を貼る'!$W$6:$W$10005,$W5659)+COUNTIFS('月1回_1ヶ月前の在庫'!$V$6:$V$10005,$V5659,'月1回_1ヶ月前の在庫'!$W$6:$W$10005,$W5659)&gt;0),N(U5658),N(U5658)+1))</f>
        <v/>
      </c>
      <c r="V5659" s="19">
        <f>IF($B5659="","",TEXT($B5659,"0000"))</f>
        <v/>
      </c>
      <c r="W5659" s="19">
        <f>IF($I5659="","",IF(ISNUMBER($I5659),TEXT($I5659,"0"),$I5659))</f>
        <v/>
      </c>
    </row>
    <row r="5660">
      <c r="B5660" s="25" t="n"/>
      <c r="I5660" s="25" t="n"/>
      <c r="U5660" s="19">
        <f>IF($V5660&lt;&gt;'設定'!$C$4,N(U5659),IF(OR(NOT(COUNTIF('商品マスタ'!$B$6:$B$1005,$W5660)=0),COUNTIFS('①在庫を貼る'!$V$6:$V$10005,$V5660,'①在庫を貼る'!$W$6:$W$10005,$W5660)+COUNTIFS('月1回_1ヶ月前の在庫'!$V$6:$V$10005,$V5660,'月1回_1ヶ月前の在庫'!$W$6:$W$10005,$W5660)&gt;0),N(U5659),N(U5659)+1))</f>
        <v/>
      </c>
      <c r="V5660" s="19">
        <f>IF($B5660="","",TEXT($B5660,"0000"))</f>
        <v/>
      </c>
      <c r="W5660" s="19">
        <f>IF($I5660="","",IF(ISNUMBER($I5660),TEXT($I5660,"0"),$I5660))</f>
        <v/>
      </c>
    </row>
    <row r="5661">
      <c r="B5661" s="25" t="n"/>
      <c r="I5661" s="25" t="n"/>
      <c r="U5661" s="19">
        <f>IF($V5661&lt;&gt;'設定'!$C$4,N(U5660),IF(OR(NOT(COUNTIF('商品マスタ'!$B$6:$B$1005,$W5661)=0),COUNTIFS('①在庫を貼る'!$V$6:$V$10005,$V5661,'①在庫を貼る'!$W$6:$W$10005,$W5661)+COUNTIFS('月1回_1ヶ月前の在庫'!$V$6:$V$10005,$V5661,'月1回_1ヶ月前の在庫'!$W$6:$W$10005,$W5661)&gt;0),N(U5660),N(U5660)+1))</f>
        <v/>
      </c>
      <c r="V5661" s="19">
        <f>IF($B5661="","",TEXT($B5661,"0000"))</f>
        <v/>
      </c>
      <c r="W5661" s="19">
        <f>IF($I5661="","",IF(ISNUMBER($I5661),TEXT($I5661,"0"),$I5661))</f>
        <v/>
      </c>
    </row>
    <row r="5662">
      <c r="B5662" s="25" t="n"/>
      <c r="I5662" s="25" t="n"/>
      <c r="U5662" s="19">
        <f>IF($V5662&lt;&gt;'設定'!$C$4,N(U5661),IF(OR(NOT(COUNTIF('商品マスタ'!$B$6:$B$1005,$W5662)=0),COUNTIFS('①在庫を貼る'!$V$6:$V$10005,$V5662,'①在庫を貼る'!$W$6:$W$10005,$W5662)+COUNTIFS('月1回_1ヶ月前の在庫'!$V$6:$V$10005,$V5662,'月1回_1ヶ月前の在庫'!$W$6:$W$10005,$W5662)&gt;0),N(U5661),N(U5661)+1))</f>
        <v/>
      </c>
      <c r="V5662" s="19">
        <f>IF($B5662="","",TEXT($B5662,"0000"))</f>
        <v/>
      </c>
      <c r="W5662" s="19">
        <f>IF($I5662="","",IF(ISNUMBER($I5662),TEXT($I5662,"0"),$I5662))</f>
        <v/>
      </c>
    </row>
    <row r="5663">
      <c r="B5663" s="25" t="n"/>
      <c r="I5663" s="25" t="n"/>
      <c r="U5663" s="19">
        <f>IF($V5663&lt;&gt;'設定'!$C$4,N(U5662),IF(OR(NOT(COUNTIF('商品マスタ'!$B$6:$B$1005,$W5663)=0),COUNTIFS('①在庫を貼る'!$V$6:$V$10005,$V5663,'①在庫を貼る'!$W$6:$W$10005,$W5663)+COUNTIFS('月1回_1ヶ月前の在庫'!$V$6:$V$10005,$V5663,'月1回_1ヶ月前の在庫'!$W$6:$W$10005,$W5663)&gt;0),N(U5662),N(U5662)+1))</f>
        <v/>
      </c>
      <c r="V5663" s="19">
        <f>IF($B5663="","",TEXT($B5663,"0000"))</f>
        <v/>
      </c>
      <c r="W5663" s="19">
        <f>IF($I5663="","",IF(ISNUMBER($I5663),TEXT($I5663,"0"),$I5663))</f>
        <v/>
      </c>
    </row>
    <row r="5664">
      <c r="B5664" s="25" t="n"/>
      <c r="I5664" s="25" t="n"/>
      <c r="U5664" s="19">
        <f>IF($V5664&lt;&gt;'設定'!$C$4,N(U5663),IF(OR(NOT(COUNTIF('商品マスタ'!$B$6:$B$1005,$W5664)=0),COUNTIFS('①在庫を貼る'!$V$6:$V$10005,$V5664,'①在庫を貼る'!$W$6:$W$10005,$W5664)+COUNTIFS('月1回_1ヶ月前の在庫'!$V$6:$V$10005,$V5664,'月1回_1ヶ月前の在庫'!$W$6:$W$10005,$W5664)&gt;0),N(U5663),N(U5663)+1))</f>
        <v/>
      </c>
      <c r="V5664" s="19">
        <f>IF($B5664="","",TEXT($B5664,"0000"))</f>
        <v/>
      </c>
      <c r="W5664" s="19">
        <f>IF($I5664="","",IF(ISNUMBER($I5664),TEXT($I5664,"0"),$I5664))</f>
        <v/>
      </c>
    </row>
    <row r="5665">
      <c r="B5665" s="25" t="n"/>
      <c r="I5665" s="25" t="n"/>
      <c r="U5665" s="19">
        <f>IF($V5665&lt;&gt;'設定'!$C$4,N(U5664),IF(OR(NOT(COUNTIF('商品マスタ'!$B$6:$B$1005,$W5665)=0),COUNTIFS('①在庫を貼る'!$V$6:$V$10005,$V5665,'①在庫を貼る'!$W$6:$W$10005,$W5665)+COUNTIFS('月1回_1ヶ月前の在庫'!$V$6:$V$10005,$V5665,'月1回_1ヶ月前の在庫'!$W$6:$W$10005,$W5665)&gt;0),N(U5664),N(U5664)+1))</f>
        <v/>
      </c>
      <c r="V5665" s="19">
        <f>IF($B5665="","",TEXT($B5665,"0000"))</f>
        <v/>
      </c>
      <c r="W5665" s="19">
        <f>IF($I5665="","",IF(ISNUMBER($I5665),TEXT($I5665,"0"),$I5665))</f>
        <v/>
      </c>
    </row>
    <row r="5666">
      <c r="B5666" s="25" t="n"/>
      <c r="I5666" s="25" t="n"/>
      <c r="U5666" s="19">
        <f>IF($V5666&lt;&gt;'設定'!$C$4,N(U5665),IF(OR(NOT(COUNTIF('商品マスタ'!$B$6:$B$1005,$W5666)=0),COUNTIFS('①在庫を貼る'!$V$6:$V$10005,$V5666,'①在庫を貼る'!$W$6:$W$10005,$W5666)+COUNTIFS('月1回_1ヶ月前の在庫'!$V$6:$V$10005,$V5666,'月1回_1ヶ月前の在庫'!$W$6:$W$10005,$W5666)&gt;0),N(U5665),N(U5665)+1))</f>
        <v/>
      </c>
      <c r="V5666" s="19">
        <f>IF($B5666="","",TEXT($B5666,"0000"))</f>
        <v/>
      </c>
      <c r="W5666" s="19">
        <f>IF($I5666="","",IF(ISNUMBER($I5666),TEXT($I5666,"0"),$I5666))</f>
        <v/>
      </c>
    </row>
    <row r="5667">
      <c r="B5667" s="25" t="n"/>
      <c r="I5667" s="25" t="n"/>
      <c r="U5667" s="19">
        <f>IF($V5667&lt;&gt;'設定'!$C$4,N(U5666),IF(OR(NOT(COUNTIF('商品マスタ'!$B$6:$B$1005,$W5667)=0),COUNTIFS('①在庫を貼る'!$V$6:$V$10005,$V5667,'①在庫を貼る'!$W$6:$W$10005,$W5667)+COUNTIFS('月1回_1ヶ月前の在庫'!$V$6:$V$10005,$V5667,'月1回_1ヶ月前の在庫'!$W$6:$W$10005,$W5667)&gt;0),N(U5666),N(U5666)+1))</f>
        <v/>
      </c>
      <c r="V5667" s="19">
        <f>IF($B5667="","",TEXT($B5667,"0000"))</f>
        <v/>
      </c>
      <c r="W5667" s="19">
        <f>IF($I5667="","",IF(ISNUMBER($I5667),TEXT($I5667,"0"),$I5667))</f>
        <v/>
      </c>
    </row>
    <row r="5668">
      <c r="B5668" s="25" t="n"/>
      <c r="I5668" s="25" t="n"/>
      <c r="U5668" s="19">
        <f>IF($V5668&lt;&gt;'設定'!$C$4,N(U5667),IF(OR(NOT(COUNTIF('商品マスタ'!$B$6:$B$1005,$W5668)=0),COUNTIFS('①在庫を貼る'!$V$6:$V$10005,$V5668,'①在庫を貼る'!$W$6:$W$10005,$W5668)+COUNTIFS('月1回_1ヶ月前の在庫'!$V$6:$V$10005,$V5668,'月1回_1ヶ月前の在庫'!$W$6:$W$10005,$W5668)&gt;0),N(U5667),N(U5667)+1))</f>
        <v/>
      </c>
      <c r="V5668" s="19">
        <f>IF($B5668="","",TEXT($B5668,"0000"))</f>
        <v/>
      </c>
      <c r="W5668" s="19">
        <f>IF($I5668="","",IF(ISNUMBER($I5668),TEXT($I5668,"0"),$I5668))</f>
        <v/>
      </c>
    </row>
    <row r="5669">
      <c r="B5669" s="25" t="n"/>
      <c r="I5669" s="25" t="n"/>
      <c r="U5669" s="19">
        <f>IF($V5669&lt;&gt;'設定'!$C$4,N(U5668),IF(OR(NOT(COUNTIF('商品マスタ'!$B$6:$B$1005,$W5669)=0),COUNTIFS('①在庫を貼る'!$V$6:$V$10005,$V5669,'①在庫を貼る'!$W$6:$W$10005,$W5669)+COUNTIFS('月1回_1ヶ月前の在庫'!$V$6:$V$10005,$V5669,'月1回_1ヶ月前の在庫'!$W$6:$W$10005,$W5669)&gt;0),N(U5668),N(U5668)+1))</f>
        <v/>
      </c>
      <c r="V5669" s="19">
        <f>IF($B5669="","",TEXT($B5669,"0000"))</f>
        <v/>
      </c>
      <c r="W5669" s="19">
        <f>IF($I5669="","",IF(ISNUMBER($I5669),TEXT($I5669,"0"),$I5669))</f>
        <v/>
      </c>
    </row>
    <row r="5670">
      <c r="B5670" s="25" t="n"/>
      <c r="I5670" s="25" t="n"/>
      <c r="U5670" s="19">
        <f>IF($V5670&lt;&gt;'設定'!$C$4,N(U5669),IF(OR(NOT(COUNTIF('商品マスタ'!$B$6:$B$1005,$W5670)=0),COUNTIFS('①在庫を貼る'!$V$6:$V$10005,$V5670,'①在庫を貼る'!$W$6:$W$10005,$W5670)+COUNTIFS('月1回_1ヶ月前の在庫'!$V$6:$V$10005,$V5670,'月1回_1ヶ月前の在庫'!$W$6:$W$10005,$W5670)&gt;0),N(U5669),N(U5669)+1))</f>
        <v/>
      </c>
      <c r="V5670" s="19">
        <f>IF($B5670="","",TEXT($B5670,"0000"))</f>
        <v/>
      </c>
      <c r="W5670" s="19">
        <f>IF($I5670="","",IF(ISNUMBER($I5670),TEXT($I5670,"0"),$I5670))</f>
        <v/>
      </c>
    </row>
    <row r="5671">
      <c r="B5671" s="25" t="n"/>
      <c r="I5671" s="25" t="n"/>
      <c r="U5671" s="19">
        <f>IF($V5671&lt;&gt;'設定'!$C$4,N(U5670),IF(OR(NOT(COUNTIF('商品マスタ'!$B$6:$B$1005,$W5671)=0),COUNTIFS('①在庫を貼る'!$V$6:$V$10005,$V5671,'①在庫を貼る'!$W$6:$W$10005,$W5671)+COUNTIFS('月1回_1ヶ月前の在庫'!$V$6:$V$10005,$V5671,'月1回_1ヶ月前の在庫'!$W$6:$W$10005,$W5671)&gt;0),N(U5670),N(U5670)+1))</f>
        <v/>
      </c>
      <c r="V5671" s="19">
        <f>IF($B5671="","",TEXT($B5671,"0000"))</f>
        <v/>
      </c>
      <c r="W5671" s="19">
        <f>IF($I5671="","",IF(ISNUMBER($I5671),TEXT($I5671,"0"),$I5671))</f>
        <v/>
      </c>
    </row>
    <row r="5672">
      <c r="B5672" s="25" t="n"/>
      <c r="I5672" s="25" t="n"/>
      <c r="U5672" s="19">
        <f>IF($V5672&lt;&gt;'設定'!$C$4,N(U5671),IF(OR(NOT(COUNTIF('商品マスタ'!$B$6:$B$1005,$W5672)=0),COUNTIFS('①在庫を貼る'!$V$6:$V$10005,$V5672,'①在庫を貼る'!$W$6:$W$10005,$W5672)+COUNTIFS('月1回_1ヶ月前の在庫'!$V$6:$V$10005,$V5672,'月1回_1ヶ月前の在庫'!$W$6:$W$10005,$W5672)&gt;0),N(U5671),N(U5671)+1))</f>
        <v/>
      </c>
      <c r="V5672" s="19">
        <f>IF($B5672="","",TEXT($B5672,"0000"))</f>
        <v/>
      </c>
      <c r="W5672" s="19">
        <f>IF($I5672="","",IF(ISNUMBER($I5672),TEXT($I5672,"0"),$I5672))</f>
        <v/>
      </c>
    </row>
    <row r="5673">
      <c r="B5673" s="25" t="n"/>
      <c r="I5673" s="25" t="n"/>
      <c r="U5673" s="19">
        <f>IF($V5673&lt;&gt;'設定'!$C$4,N(U5672),IF(OR(NOT(COUNTIF('商品マスタ'!$B$6:$B$1005,$W5673)=0),COUNTIFS('①在庫を貼る'!$V$6:$V$10005,$V5673,'①在庫を貼る'!$W$6:$W$10005,$W5673)+COUNTIFS('月1回_1ヶ月前の在庫'!$V$6:$V$10005,$V5673,'月1回_1ヶ月前の在庫'!$W$6:$W$10005,$W5673)&gt;0),N(U5672),N(U5672)+1))</f>
        <v/>
      </c>
      <c r="V5673" s="19">
        <f>IF($B5673="","",TEXT($B5673,"0000"))</f>
        <v/>
      </c>
      <c r="W5673" s="19">
        <f>IF($I5673="","",IF(ISNUMBER($I5673),TEXT($I5673,"0"),$I5673))</f>
        <v/>
      </c>
    </row>
    <row r="5674">
      <c r="B5674" s="25" t="n"/>
      <c r="I5674" s="25" t="n"/>
      <c r="U5674" s="19">
        <f>IF($V5674&lt;&gt;'設定'!$C$4,N(U5673),IF(OR(NOT(COUNTIF('商品マスタ'!$B$6:$B$1005,$W5674)=0),COUNTIFS('①在庫を貼る'!$V$6:$V$10005,$V5674,'①在庫を貼る'!$W$6:$W$10005,$W5674)+COUNTIFS('月1回_1ヶ月前の在庫'!$V$6:$V$10005,$V5674,'月1回_1ヶ月前の在庫'!$W$6:$W$10005,$W5674)&gt;0),N(U5673),N(U5673)+1))</f>
        <v/>
      </c>
      <c r="V5674" s="19">
        <f>IF($B5674="","",TEXT($B5674,"0000"))</f>
        <v/>
      </c>
      <c r="W5674" s="19">
        <f>IF($I5674="","",IF(ISNUMBER($I5674),TEXT($I5674,"0"),$I5674))</f>
        <v/>
      </c>
    </row>
    <row r="5675">
      <c r="B5675" s="25" t="n"/>
      <c r="I5675" s="25" t="n"/>
      <c r="U5675" s="19">
        <f>IF($V5675&lt;&gt;'設定'!$C$4,N(U5674),IF(OR(NOT(COUNTIF('商品マスタ'!$B$6:$B$1005,$W5675)=0),COUNTIFS('①在庫を貼る'!$V$6:$V$10005,$V5675,'①在庫を貼る'!$W$6:$W$10005,$W5675)+COUNTIFS('月1回_1ヶ月前の在庫'!$V$6:$V$10005,$V5675,'月1回_1ヶ月前の在庫'!$W$6:$W$10005,$W5675)&gt;0),N(U5674),N(U5674)+1))</f>
        <v/>
      </c>
      <c r="V5675" s="19">
        <f>IF($B5675="","",TEXT($B5675,"0000"))</f>
        <v/>
      </c>
      <c r="W5675" s="19">
        <f>IF($I5675="","",IF(ISNUMBER($I5675),TEXT($I5675,"0"),$I5675))</f>
        <v/>
      </c>
    </row>
    <row r="5676">
      <c r="B5676" s="25" t="n"/>
      <c r="I5676" s="25" t="n"/>
      <c r="U5676" s="19">
        <f>IF($V5676&lt;&gt;'設定'!$C$4,N(U5675),IF(OR(NOT(COUNTIF('商品マスタ'!$B$6:$B$1005,$W5676)=0),COUNTIFS('①在庫を貼る'!$V$6:$V$10005,$V5676,'①在庫を貼る'!$W$6:$W$10005,$W5676)+COUNTIFS('月1回_1ヶ月前の在庫'!$V$6:$V$10005,$V5676,'月1回_1ヶ月前の在庫'!$W$6:$W$10005,$W5676)&gt;0),N(U5675),N(U5675)+1))</f>
        <v/>
      </c>
      <c r="V5676" s="19">
        <f>IF($B5676="","",TEXT($B5676,"0000"))</f>
        <v/>
      </c>
      <c r="W5676" s="19">
        <f>IF($I5676="","",IF(ISNUMBER($I5676),TEXT($I5676,"0"),$I5676))</f>
        <v/>
      </c>
    </row>
    <row r="5677">
      <c r="B5677" s="25" t="n"/>
      <c r="I5677" s="25" t="n"/>
      <c r="U5677" s="19">
        <f>IF($V5677&lt;&gt;'設定'!$C$4,N(U5676),IF(OR(NOT(COUNTIF('商品マスタ'!$B$6:$B$1005,$W5677)=0),COUNTIFS('①在庫を貼る'!$V$6:$V$10005,$V5677,'①在庫を貼る'!$W$6:$W$10005,$W5677)+COUNTIFS('月1回_1ヶ月前の在庫'!$V$6:$V$10005,$V5677,'月1回_1ヶ月前の在庫'!$W$6:$W$10005,$W5677)&gt;0),N(U5676),N(U5676)+1))</f>
        <v/>
      </c>
      <c r="V5677" s="19">
        <f>IF($B5677="","",TEXT($B5677,"0000"))</f>
        <v/>
      </c>
      <c r="W5677" s="19">
        <f>IF($I5677="","",IF(ISNUMBER($I5677),TEXT($I5677,"0"),$I5677))</f>
        <v/>
      </c>
    </row>
    <row r="5678">
      <c r="B5678" s="25" t="n"/>
      <c r="I5678" s="25" t="n"/>
      <c r="U5678" s="19">
        <f>IF($V5678&lt;&gt;'設定'!$C$4,N(U5677),IF(OR(NOT(COUNTIF('商品マスタ'!$B$6:$B$1005,$W5678)=0),COUNTIFS('①在庫を貼る'!$V$6:$V$10005,$V5678,'①在庫を貼る'!$W$6:$W$10005,$W5678)+COUNTIFS('月1回_1ヶ月前の在庫'!$V$6:$V$10005,$V5678,'月1回_1ヶ月前の在庫'!$W$6:$W$10005,$W5678)&gt;0),N(U5677),N(U5677)+1))</f>
        <v/>
      </c>
      <c r="V5678" s="19">
        <f>IF($B5678="","",TEXT($B5678,"0000"))</f>
        <v/>
      </c>
      <c r="W5678" s="19">
        <f>IF($I5678="","",IF(ISNUMBER($I5678),TEXT($I5678,"0"),$I5678))</f>
        <v/>
      </c>
    </row>
    <row r="5679">
      <c r="B5679" s="25" t="n"/>
      <c r="I5679" s="25" t="n"/>
      <c r="U5679" s="19">
        <f>IF($V5679&lt;&gt;'設定'!$C$4,N(U5678),IF(OR(NOT(COUNTIF('商品マスタ'!$B$6:$B$1005,$W5679)=0),COUNTIFS('①在庫を貼る'!$V$6:$V$10005,$V5679,'①在庫を貼る'!$W$6:$W$10005,$W5679)+COUNTIFS('月1回_1ヶ月前の在庫'!$V$6:$V$10005,$V5679,'月1回_1ヶ月前の在庫'!$W$6:$W$10005,$W5679)&gt;0),N(U5678),N(U5678)+1))</f>
        <v/>
      </c>
      <c r="V5679" s="19">
        <f>IF($B5679="","",TEXT($B5679,"0000"))</f>
        <v/>
      </c>
      <c r="W5679" s="19">
        <f>IF($I5679="","",IF(ISNUMBER($I5679),TEXT($I5679,"0"),$I5679))</f>
        <v/>
      </c>
    </row>
    <row r="5680">
      <c r="B5680" s="25" t="n"/>
      <c r="I5680" s="25" t="n"/>
      <c r="U5680" s="19">
        <f>IF($V5680&lt;&gt;'設定'!$C$4,N(U5679),IF(OR(NOT(COUNTIF('商品マスタ'!$B$6:$B$1005,$W5680)=0),COUNTIFS('①在庫を貼る'!$V$6:$V$10005,$V5680,'①在庫を貼る'!$W$6:$W$10005,$W5680)+COUNTIFS('月1回_1ヶ月前の在庫'!$V$6:$V$10005,$V5680,'月1回_1ヶ月前の在庫'!$W$6:$W$10005,$W5680)&gt;0),N(U5679),N(U5679)+1))</f>
        <v/>
      </c>
      <c r="V5680" s="19">
        <f>IF($B5680="","",TEXT($B5680,"0000"))</f>
        <v/>
      </c>
      <c r="W5680" s="19">
        <f>IF($I5680="","",IF(ISNUMBER($I5680),TEXT($I5680,"0"),$I5680))</f>
        <v/>
      </c>
    </row>
    <row r="5681">
      <c r="B5681" s="25" t="n"/>
      <c r="I5681" s="25" t="n"/>
      <c r="U5681" s="19">
        <f>IF($V5681&lt;&gt;'設定'!$C$4,N(U5680),IF(OR(NOT(COUNTIF('商品マスタ'!$B$6:$B$1005,$W5681)=0),COUNTIFS('①在庫を貼る'!$V$6:$V$10005,$V5681,'①在庫を貼る'!$W$6:$W$10005,$W5681)+COUNTIFS('月1回_1ヶ月前の在庫'!$V$6:$V$10005,$V5681,'月1回_1ヶ月前の在庫'!$W$6:$W$10005,$W5681)&gt;0),N(U5680),N(U5680)+1))</f>
        <v/>
      </c>
      <c r="V5681" s="19">
        <f>IF($B5681="","",TEXT($B5681,"0000"))</f>
        <v/>
      </c>
      <c r="W5681" s="19">
        <f>IF($I5681="","",IF(ISNUMBER($I5681),TEXT($I5681,"0"),$I5681))</f>
        <v/>
      </c>
    </row>
    <row r="5682">
      <c r="B5682" s="25" t="n"/>
      <c r="I5682" s="25" t="n"/>
      <c r="U5682" s="19">
        <f>IF($V5682&lt;&gt;'設定'!$C$4,N(U5681),IF(OR(NOT(COUNTIF('商品マスタ'!$B$6:$B$1005,$W5682)=0),COUNTIFS('①在庫を貼る'!$V$6:$V$10005,$V5682,'①在庫を貼る'!$W$6:$W$10005,$W5682)+COUNTIFS('月1回_1ヶ月前の在庫'!$V$6:$V$10005,$V5682,'月1回_1ヶ月前の在庫'!$W$6:$W$10005,$W5682)&gt;0),N(U5681),N(U5681)+1))</f>
        <v/>
      </c>
      <c r="V5682" s="19">
        <f>IF($B5682="","",TEXT($B5682,"0000"))</f>
        <v/>
      </c>
      <c r="W5682" s="19">
        <f>IF($I5682="","",IF(ISNUMBER($I5682),TEXT($I5682,"0"),$I5682))</f>
        <v/>
      </c>
    </row>
    <row r="5683">
      <c r="B5683" s="25" t="n"/>
      <c r="I5683" s="25" t="n"/>
      <c r="U5683" s="19">
        <f>IF($V5683&lt;&gt;'設定'!$C$4,N(U5682),IF(OR(NOT(COUNTIF('商品マスタ'!$B$6:$B$1005,$W5683)=0),COUNTIFS('①在庫を貼る'!$V$6:$V$10005,$V5683,'①在庫を貼る'!$W$6:$W$10005,$W5683)+COUNTIFS('月1回_1ヶ月前の在庫'!$V$6:$V$10005,$V5683,'月1回_1ヶ月前の在庫'!$W$6:$W$10005,$W5683)&gt;0),N(U5682),N(U5682)+1))</f>
        <v/>
      </c>
      <c r="V5683" s="19">
        <f>IF($B5683="","",TEXT($B5683,"0000"))</f>
        <v/>
      </c>
      <c r="W5683" s="19">
        <f>IF($I5683="","",IF(ISNUMBER($I5683),TEXT($I5683,"0"),$I5683))</f>
        <v/>
      </c>
    </row>
    <row r="5684">
      <c r="B5684" s="25" t="n"/>
      <c r="I5684" s="25" t="n"/>
      <c r="U5684" s="19">
        <f>IF($V5684&lt;&gt;'設定'!$C$4,N(U5683),IF(OR(NOT(COUNTIF('商品マスタ'!$B$6:$B$1005,$W5684)=0),COUNTIFS('①在庫を貼る'!$V$6:$V$10005,$V5684,'①在庫を貼る'!$W$6:$W$10005,$W5684)+COUNTIFS('月1回_1ヶ月前の在庫'!$V$6:$V$10005,$V5684,'月1回_1ヶ月前の在庫'!$W$6:$W$10005,$W5684)&gt;0),N(U5683),N(U5683)+1))</f>
        <v/>
      </c>
      <c r="V5684" s="19">
        <f>IF($B5684="","",TEXT($B5684,"0000"))</f>
        <v/>
      </c>
      <c r="W5684" s="19">
        <f>IF($I5684="","",IF(ISNUMBER($I5684),TEXT($I5684,"0"),$I5684))</f>
        <v/>
      </c>
    </row>
    <row r="5685">
      <c r="B5685" s="25" t="n"/>
      <c r="I5685" s="25" t="n"/>
      <c r="U5685" s="19">
        <f>IF($V5685&lt;&gt;'設定'!$C$4,N(U5684),IF(OR(NOT(COUNTIF('商品マスタ'!$B$6:$B$1005,$W5685)=0),COUNTIFS('①在庫を貼る'!$V$6:$V$10005,$V5685,'①在庫を貼る'!$W$6:$W$10005,$W5685)+COUNTIFS('月1回_1ヶ月前の在庫'!$V$6:$V$10005,$V5685,'月1回_1ヶ月前の在庫'!$W$6:$W$10005,$W5685)&gt;0),N(U5684),N(U5684)+1))</f>
        <v/>
      </c>
      <c r="V5685" s="19">
        <f>IF($B5685="","",TEXT($B5685,"0000"))</f>
        <v/>
      </c>
      <c r="W5685" s="19">
        <f>IF($I5685="","",IF(ISNUMBER($I5685),TEXT($I5685,"0"),$I5685))</f>
        <v/>
      </c>
    </row>
    <row r="5686">
      <c r="B5686" s="25" t="n"/>
      <c r="I5686" s="25" t="n"/>
      <c r="U5686" s="19">
        <f>IF($V5686&lt;&gt;'設定'!$C$4,N(U5685),IF(OR(NOT(COUNTIF('商品マスタ'!$B$6:$B$1005,$W5686)=0),COUNTIFS('①在庫を貼る'!$V$6:$V$10005,$V5686,'①在庫を貼る'!$W$6:$W$10005,$W5686)+COUNTIFS('月1回_1ヶ月前の在庫'!$V$6:$V$10005,$V5686,'月1回_1ヶ月前の在庫'!$W$6:$W$10005,$W5686)&gt;0),N(U5685),N(U5685)+1))</f>
        <v/>
      </c>
      <c r="V5686" s="19">
        <f>IF($B5686="","",TEXT($B5686,"0000"))</f>
        <v/>
      </c>
      <c r="W5686" s="19">
        <f>IF($I5686="","",IF(ISNUMBER($I5686),TEXT($I5686,"0"),$I5686))</f>
        <v/>
      </c>
    </row>
    <row r="5687">
      <c r="B5687" s="25" t="n"/>
      <c r="I5687" s="25" t="n"/>
      <c r="U5687" s="19">
        <f>IF($V5687&lt;&gt;'設定'!$C$4,N(U5686),IF(OR(NOT(COUNTIF('商品マスタ'!$B$6:$B$1005,$W5687)=0),COUNTIFS('①在庫を貼る'!$V$6:$V$10005,$V5687,'①在庫を貼る'!$W$6:$W$10005,$W5687)+COUNTIFS('月1回_1ヶ月前の在庫'!$V$6:$V$10005,$V5687,'月1回_1ヶ月前の在庫'!$W$6:$W$10005,$W5687)&gt;0),N(U5686),N(U5686)+1))</f>
        <v/>
      </c>
      <c r="V5687" s="19">
        <f>IF($B5687="","",TEXT($B5687,"0000"))</f>
        <v/>
      </c>
      <c r="W5687" s="19">
        <f>IF($I5687="","",IF(ISNUMBER($I5687),TEXT($I5687,"0"),$I5687))</f>
        <v/>
      </c>
    </row>
    <row r="5688">
      <c r="B5688" s="25" t="n"/>
      <c r="I5688" s="25" t="n"/>
      <c r="U5688" s="19">
        <f>IF($V5688&lt;&gt;'設定'!$C$4,N(U5687),IF(OR(NOT(COUNTIF('商品マスタ'!$B$6:$B$1005,$W5688)=0),COUNTIFS('①在庫を貼る'!$V$6:$V$10005,$V5688,'①在庫を貼る'!$W$6:$W$10005,$W5688)+COUNTIFS('月1回_1ヶ月前の在庫'!$V$6:$V$10005,$V5688,'月1回_1ヶ月前の在庫'!$W$6:$W$10005,$W5688)&gt;0),N(U5687),N(U5687)+1))</f>
        <v/>
      </c>
      <c r="V5688" s="19">
        <f>IF($B5688="","",TEXT($B5688,"0000"))</f>
        <v/>
      </c>
      <c r="W5688" s="19">
        <f>IF($I5688="","",IF(ISNUMBER($I5688),TEXT($I5688,"0"),$I5688))</f>
        <v/>
      </c>
    </row>
    <row r="5689">
      <c r="B5689" s="25" t="n"/>
      <c r="I5689" s="25" t="n"/>
      <c r="U5689" s="19">
        <f>IF($V5689&lt;&gt;'設定'!$C$4,N(U5688),IF(OR(NOT(COUNTIF('商品マスタ'!$B$6:$B$1005,$W5689)=0),COUNTIFS('①在庫を貼る'!$V$6:$V$10005,$V5689,'①在庫を貼る'!$W$6:$W$10005,$W5689)+COUNTIFS('月1回_1ヶ月前の在庫'!$V$6:$V$10005,$V5689,'月1回_1ヶ月前の在庫'!$W$6:$W$10005,$W5689)&gt;0),N(U5688),N(U5688)+1))</f>
        <v/>
      </c>
      <c r="V5689" s="19">
        <f>IF($B5689="","",TEXT($B5689,"0000"))</f>
        <v/>
      </c>
      <c r="W5689" s="19">
        <f>IF($I5689="","",IF(ISNUMBER($I5689),TEXT($I5689,"0"),$I5689))</f>
        <v/>
      </c>
    </row>
    <row r="5690">
      <c r="B5690" s="25" t="n"/>
      <c r="I5690" s="25" t="n"/>
      <c r="U5690" s="19">
        <f>IF($V5690&lt;&gt;'設定'!$C$4,N(U5689),IF(OR(NOT(COUNTIF('商品マスタ'!$B$6:$B$1005,$W5690)=0),COUNTIFS('①在庫を貼る'!$V$6:$V$10005,$V5690,'①在庫を貼る'!$W$6:$W$10005,$W5690)+COUNTIFS('月1回_1ヶ月前の在庫'!$V$6:$V$10005,$V5690,'月1回_1ヶ月前の在庫'!$W$6:$W$10005,$W5690)&gt;0),N(U5689),N(U5689)+1))</f>
        <v/>
      </c>
      <c r="V5690" s="19">
        <f>IF($B5690="","",TEXT($B5690,"0000"))</f>
        <v/>
      </c>
      <c r="W5690" s="19">
        <f>IF($I5690="","",IF(ISNUMBER($I5690),TEXT($I5690,"0"),$I5690))</f>
        <v/>
      </c>
    </row>
    <row r="5691">
      <c r="B5691" s="25" t="n"/>
      <c r="I5691" s="25" t="n"/>
      <c r="U5691" s="19">
        <f>IF($V5691&lt;&gt;'設定'!$C$4,N(U5690),IF(OR(NOT(COUNTIF('商品マスタ'!$B$6:$B$1005,$W5691)=0),COUNTIFS('①在庫を貼る'!$V$6:$V$10005,$V5691,'①在庫を貼る'!$W$6:$W$10005,$W5691)+COUNTIFS('月1回_1ヶ月前の在庫'!$V$6:$V$10005,$V5691,'月1回_1ヶ月前の在庫'!$W$6:$W$10005,$W5691)&gt;0),N(U5690),N(U5690)+1))</f>
        <v/>
      </c>
      <c r="V5691" s="19">
        <f>IF($B5691="","",TEXT($B5691,"0000"))</f>
        <v/>
      </c>
      <c r="W5691" s="19">
        <f>IF($I5691="","",IF(ISNUMBER($I5691),TEXT($I5691,"0"),$I5691))</f>
        <v/>
      </c>
    </row>
    <row r="5692">
      <c r="B5692" s="25" t="n"/>
      <c r="I5692" s="25" t="n"/>
      <c r="U5692" s="19">
        <f>IF($V5692&lt;&gt;'設定'!$C$4,N(U5691),IF(OR(NOT(COUNTIF('商品マスタ'!$B$6:$B$1005,$W5692)=0),COUNTIFS('①在庫を貼る'!$V$6:$V$10005,$V5692,'①在庫を貼る'!$W$6:$W$10005,$W5692)+COUNTIFS('月1回_1ヶ月前の在庫'!$V$6:$V$10005,$V5692,'月1回_1ヶ月前の在庫'!$W$6:$W$10005,$W5692)&gt;0),N(U5691),N(U5691)+1))</f>
        <v/>
      </c>
      <c r="V5692" s="19">
        <f>IF($B5692="","",TEXT($B5692,"0000"))</f>
        <v/>
      </c>
      <c r="W5692" s="19">
        <f>IF($I5692="","",IF(ISNUMBER($I5692),TEXT($I5692,"0"),$I5692))</f>
        <v/>
      </c>
    </row>
    <row r="5693">
      <c r="B5693" s="25" t="n"/>
      <c r="I5693" s="25" t="n"/>
      <c r="U5693" s="19">
        <f>IF($V5693&lt;&gt;'設定'!$C$4,N(U5692),IF(OR(NOT(COUNTIF('商品マスタ'!$B$6:$B$1005,$W5693)=0),COUNTIFS('①在庫を貼る'!$V$6:$V$10005,$V5693,'①在庫を貼る'!$W$6:$W$10005,$W5693)+COUNTIFS('月1回_1ヶ月前の在庫'!$V$6:$V$10005,$V5693,'月1回_1ヶ月前の在庫'!$W$6:$W$10005,$W5693)&gt;0),N(U5692),N(U5692)+1))</f>
        <v/>
      </c>
      <c r="V5693" s="19">
        <f>IF($B5693="","",TEXT($B5693,"0000"))</f>
        <v/>
      </c>
      <c r="W5693" s="19">
        <f>IF($I5693="","",IF(ISNUMBER($I5693),TEXT($I5693,"0"),$I5693))</f>
        <v/>
      </c>
    </row>
    <row r="5694">
      <c r="B5694" s="25" t="n"/>
      <c r="I5694" s="25" t="n"/>
      <c r="U5694" s="19">
        <f>IF($V5694&lt;&gt;'設定'!$C$4,N(U5693),IF(OR(NOT(COUNTIF('商品マスタ'!$B$6:$B$1005,$W5694)=0),COUNTIFS('①在庫を貼る'!$V$6:$V$10005,$V5694,'①在庫を貼る'!$W$6:$W$10005,$W5694)+COUNTIFS('月1回_1ヶ月前の在庫'!$V$6:$V$10005,$V5694,'月1回_1ヶ月前の在庫'!$W$6:$W$10005,$W5694)&gt;0),N(U5693),N(U5693)+1))</f>
        <v/>
      </c>
      <c r="V5694" s="19">
        <f>IF($B5694="","",TEXT($B5694,"0000"))</f>
        <v/>
      </c>
      <c r="W5694" s="19">
        <f>IF($I5694="","",IF(ISNUMBER($I5694),TEXT($I5694,"0"),$I5694))</f>
        <v/>
      </c>
    </row>
    <row r="5695">
      <c r="B5695" s="25" t="n"/>
      <c r="I5695" s="25" t="n"/>
      <c r="U5695" s="19">
        <f>IF($V5695&lt;&gt;'設定'!$C$4,N(U5694),IF(OR(NOT(COUNTIF('商品マスタ'!$B$6:$B$1005,$W5695)=0),COUNTIFS('①在庫を貼る'!$V$6:$V$10005,$V5695,'①在庫を貼る'!$W$6:$W$10005,$W5695)+COUNTIFS('月1回_1ヶ月前の在庫'!$V$6:$V$10005,$V5695,'月1回_1ヶ月前の在庫'!$W$6:$W$10005,$W5695)&gt;0),N(U5694),N(U5694)+1))</f>
        <v/>
      </c>
      <c r="V5695" s="19">
        <f>IF($B5695="","",TEXT($B5695,"0000"))</f>
        <v/>
      </c>
      <c r="W5695" s="19">
        <f>IF($I5695="","",IF(ISNUMBER($I5695),TEXT($I5695,"0"),$I5695))</f>
        <v/>
      </c>
    </row>
    <row r="5696">
      <c r="B5696" s="25" t="n"/>
      <c r="I5696" s="25" t="n"/>
      <c r="U5696" s="19">
        <f>IF($V5696&lt;&gt;'設定'!$C$4,N(U5695),IF(OR(NOT(COUNTIF('商品マスタ'!$B$6:$B$1005,$W5696)=0),COUNTIFS('①在庫を貼る'!$V$6:$V$10005,$V5696,'①在庫を貼る'!$W$6:$W$10005,$W5696)+COUNTIFS('月1回_1ヶ月前の在庫'!$V$6:$V$10005,$V5696,'月1回_1ヶ月前の在庫'!$W$6:$W$10005,$W5696)&gt;0),N(U5695),N(U5695)+1))</f>
        <v/>
      </c>
      <c r="V5696" s="19">
        <f>IF($B5696="","",TEXT($B5696,"0000"))</f>
        <v/>
      </c>
      <c r="W5696" s="19">
        <f>IF($I5696="","",IF(ISNUMBER($I5696),TEXT($I5696,"0"),$I5696))</f>
        <v/>
      </c>
    </row>
    <row r="5697">
      <c r="B5697" s="25" t="n"/>
      <c r="I5697" s="25" t="n"/>
      <c r="U5697" s="19">
        <f>IF($V5697&lt;&gt;'設定'!$C$4,N(U5696),IF(OR(NOT(COUNTIF('商品マスタ'!$B$6:$B$1005,$W5697)=0),COUNTIFS('①在庫を貼る'!$V$6:$V$10005,$V5697,'①在庫を貼る'!$W$6:$W$10005,$W5697)+COUNTIFS('月1回_1ヶ月前の在庫'!$V$6:$V$10005,$V5697,'月1回_1ヶ月前の在庫'!$W$6:$W$10005,$W5697)&gt;0),N(U5696),N(U5696)+1))</f>
        <v/>
      </c>
      <c r="V5697" s="19">
        <f>IF($B5697="","",TEXT($B5697,"0000"))</f>
        <v/>
      </c>
      <c r="W5697" s="19">
        <f>IF($I5697="","",IF(ISNUMBER($I5697),TEXT($I5697,"0"),$I5697))</f>
        <v/>
      </c>
    </row>
    <row r="5698">
      <c r="B5698" s="25" t="n"/>
      <c r="I5698" s="25" t="n"/>
      <c r="U5698" s="19">
        <f>IF($V5698&lt;&gt;'設定'!$C$4,N(U5697),IF(OR(NOT(COUNTIF('商品マスタ'!$B$6:$B$1005,$W5698)=0),COUNTIFS('①在庫を貼る'!$V$6:$V$10005,$V5698,'①在庫を貼る'!$W$6:$W$10005,$W5698)+COUNTIFS('月1回_1ヶ月前の在庫'!$V$6:$V$10005,$V5698,'月1回_1ヶ月前の在庫'!$W$6:$W$10005,$W5698)&gt;0),N(U5697),N(U5697)+1))</f>
        <v/>
      </c>
      <c r="V5698" s="19">
        <f>IF($B5698="","",TEXT($B5698,"0000"))</f>
        <v/>
      </c>
      <c r="W5698" s="19">
        <f>IF($I5698="","",IF(ISNUMBER($I5698),TEXT($I5698,"0"),$I5698))</f>
        <v/>
      </c>
    </row>
    <row r="5699">
      <c r="B5699" s="25" t="n"/>
      <c r="I5699" s="25" t="n"/>
      <c r="U5699" s="19">
        <f>IF($V5699&lt;&gt;'設定'!$C$4,N(U5698),IF(OR(NOT(COUNTIF('商品マスタ'!$B$6:$B$1005,$W5699)=0),COUNTIFS('①在庫を貼る'!$V$6:$V$10005,$V5699,'①在庫を貼る'!$W$6:$W$10005,$W5699)+COUNTIFS('月1回_1ヶ月前の在庫'!$V$6:$V$10005,$V5699,'月1回_1ヶ月前の在庫'!$W$6:$W$10005,$W5699)&gt;0),N(U5698),N(U5698)+1))</f>
        <v/>
      </c>
      <c r="V5699" s="19">
        <f>IF($B5699="","",TEXT($B5699,"0000"))</f>
        <v/>
      </c>
      <c r="W5699" s="19">
        <f>IF($I5699="","",IF(ISNUMBER($I5699),TEXT($I5699,"0"),$I5699))</f>
        <v/>
      </c>
    </row>
    <row r="5700">
      <c r="B5700" s="25" t="n"/>
      <c r="I5700" s="25" t="n"/>
      <c r="U5700" s="19">
        <f>IF($V5700&lt;&gt;'設定'!$C$4,N(U5699),IF(OR(NOT(COUNTIF('商品マスタ'!$B$6:$B$1005,$W5700)=0),COUNTIFS('①在庫を貼る'!$V$6:$V$10005,$V5700,'①在庫を貼る'!$W$6:$W$10005,$W5700)+COUNTIFS('月1回_1ヶ月前の在庫'!$V$6:$V$10005,$V5700,'月1回_1ヶ月前の在庫'!$W$6:$W$10005,$W5700)&gt;0),N(U5699),N(U5699)+1))</f>
        <v/>
      </c>
      <c r="V5700" s="19">
        <f>IF($B5700="","",TEXT($B5700,"0000"))</f>
        <v/>
      </c>
      <c r="W5700" s="19">
        <f>IF($I5700="","",IF(ISNUMBER($I5700),TEXT($I5700,"0"),$I5700))</f>
        <v/>
      </c>
    </row>
    <row r="5701">
      <c r="B5701" s="25" t="n"/>
      <c r="I5701" s="25" t="n"/>
      <c r="U5701" s="19">
        <f>IF($V5701&lt;&gt;'設定'!$C$4,N(U5700),IF(OR(NOT(COUNTIF('商品マスタ'!$B$6:$B$1005,$W5701)=0),COUNTIFS('①在庫を貼る'!$V$6:$V$10005,$V5701,'①在庫を貼る'!$W$6:$W$10005,$W5701)+COUNTIFS('月1回_1ヶ月前の在庫'!$V$6:$V$10005,$V5701,'月1回_1ヶ月前の在庫'!$W$6:$W$10005,$W5701)&gt;0),N(U5700),N(U5700)+1))</f>
        <v/>
      </c>
      <c r="V5701" s="19">
        <f>IF($B5701="","",TEXT($B5701,"0000"))</f>
        <v/>
      </c>
      <c r="W5701" s="19">
        <f>IF($I5701="","",IF(ISNUMBER($I5701),TEXT($I5701,"0"),$I5701))</f>
        <v/>
      </c>
    </row>
    <row r="5702">
      <c r="B5702" s="25" t="n"/>
      <c r="I5702" s="25" t="n"/>
      <c r="U5702" s="19">
        <f>IF($V5702&lt;&gt;'設定'!$C$4,N(U5701),IF(OR(NOT(COUNTIF('商品マスタ'!$B$6:$B$1005,$W5702)=0),COUNTIFS('①在庫を貼る'!$V$6:$V$10005,$V5702,'①在庫を貼る'!$W$6:$W$10005,$W5702)+COUNTIFS('月1回_1ヶ月前の在庫'!$V$6:$V$10005,$V5702,'月1回_1ヶ月前の在庫'!$W$6:$W$10005,$W5702)&gt;0),N(U5701),N(U5701)+1))</f>
        <v/>
      </c>
      <c r="V5702" s="19">
        <f>IF($B5702="","",TEXT($B5702,"0000"))</f>
        <v/>
      </c>
      <c r="W5702" s="19">
        <f>IF($I5702="","",IF(ISNUMBER($I5702),TEXT($I5702,"0"),$I5702))</f>
        <v/>
      </c>
    </row>
    <row r="5703">
      <c r="B5703" s="25" t="n"/>
      <c r="I5703" s="25" t="n"/>
      <c r="U5703" s="19">
        <f>IF($V5703&lt;&gt;'設定'!$C$4,N(U5702),IF(OR(NOT(COUNTIF('商品マスタ'!$B$6:$B$1005,$W5703)=0),COUNTIFS('①在庫を貼る'!$V$6:$V$10005,$V5703,'①在庫を貼る'!$W$6:$W$10005,$W5703)+COUNTIFS('月1回_1ヶ月前の在庫'!$V$6:$V$10005,$V5703,'月1回_1ヶ月前の在庫'!$W$6:$W$10005,$W5703)&gt;0),N(U5702),N(U5702)+1))</f>
        <v/>
      </c>
      <c r="V5703" s="19">
        <f>IF($B5703="","",TEXT($B5703,"0000"))</f>
        <v/>
      </c>
      <c r="W5703" s="19">
        <f>IF($I5703="","",IF(ISNUMBER($I5703),TEXT($I5703,"0"),$I5703))</f>
        <v/>
      </c>
    </row>
    <row r="5704">
      <c r="B5704" s="25" t="n"/>
      <c r="I5704" s="25" t="n"/>
      <c r="U5704" s="19">
        <f>IF($V5704&lt;&gt;'設定'!$C$4,N(U5703),IF(OR(NOT(COUNTIF('商品マスタ'!$B$6:$B$1005,$W5704)=0),COUNTIFS('①在庫を貼る'!$V$6:$V$10005,$V5704,'①在庫を貼る'!$W$6:$W$10005,$W5704)+COUNTIFS('月1回_1ヶ月前の在庫'!$V$6:$V$10005,$V5704,'月1回_1ヶ月前の在庫'!$W$6:$W$10005,$W5704)&gt;0),N(U5703),N(U5703)+1))</f>
        <v/>
      </c>
      <c r="V5704" s="19">
        <f>IF($B5704="","",TEXT($B5704,"0000"))</f>
        <v/>
      </c>
      <c r="W5704" s="19">
        <f>IF($I5704="","",IF(ISNUMBER($I5704),TEXT($I5704,"0"),$I5704))</f>
        <v/>
      </c>
    </row>
    <row r="5705">
      <c r="B5705" s="25" t="n"/>
      <c r="I5705" s="25" t="n"/>
      <c r="U5705" s="19">
        <f>IF($V5705&lt;&gt;'設定'!$C$4,N(U5704),IF(OR(NOT(COUNTIF('商品マスタ'!$B$6:$B$1005,$W5705)=0),COUNTIFS('①在庫を貼る'!$V$6:$V$10005,$V5705,'①在庫を貼る'!$W$6:$W$10005,$W5705)+COUNTIFS('月1回_1ヶ月前の在庫'!$V$6:$V$10005,$V5705,'月1回_1ヶ月前の在庫'!$W$6:$W$10005,$W5705)&gt;0),N(U5704),N(U5704)+1))</f>
        <v/>
      </c>
      <c r="V5705" s="19">
        <f>IF($B5705="","",TEXT($B5705,"0000"))</f>
        <v/>
      </c>
      <c r="W5705" s="19">
        <f>IF($I5705="","",IF(ISNUMBER($I5705),TEXT($I5705,"0"),$I5705))</f>
        <v/>
      </c>
    </row>
    <row r="5706">
      <c r="B5706" s="25" t="n"/>
      <c r="I5706" s="25" t="n"/>
      <c r="U5706" s="19">
        <f>IF($V5706&lt;&gt;'設定'!$C$4,N(U5705),IF(OR(NOT(COUNTIF('商品マスタ'!$B$6:$B$1005,$W5706)=0),COUNTIFS('①在庫を貼る'!$V$6:$V$10005,$V5706,'①在庫を貼る'!$W$6:$W$10005,$W5706)+COUNTIFS('月1回_1ヶ月前の在庫'!$V$6:$V$10005,$V5706,'月1回_1ヶ月前の在庫'!$W$6:$W$10005,$W5706)&gt;0),N(U5705),N(U5705)+1))</f>
        <v/>
      </c>
      <c r="V5706" s="19">
        <f>IF($B5706="","",TEXT($B5706,"0000"))</f>
        <v/>
      </c>
      <c r="W5706" s="19">
        <f>IF($I5706="","",IF(ISNUMBER($I5706),TEXT($I5706,"0"),$I5706))</f>
        <v/>
      </c>
    </row>
    <row r="5707">
      <c r="B5707" s="25" t="n"/>
      <c r="I5707" s="25" t="n"/>
      <c r="U5707" s="19">
        <f>IF($V5707&lt;&gt;'設定'!$C$4,N(U5706),IF(OR(NOT(COUNTIF('商品マスタ'!$B$6:$B$1005,$W5707)=0),COUNTIFS('①在庫を貼る'!$V$6:$V$10005,$V5707,'①在庫を貼る'!$W$6:$W$10005,$W5707)+COUNTIFS('月1回_1ヶ月前の在庫'!$V$6:$V$10005,$V5707,'月1回_1ヶ月前の在庫'!$W$6:$W$10005,$W5707)&gt;0),N(U5706),N(U5706)+1))</f>
        <v/>
      </c>
      <c r="V5707" s="19">
        <f>IF($B5707="","",TEXT($B5707,"0000"))</f>
        <v/>
      </c>
      <c r="W5707" s="19">
        <f>IF($I5707="","",IF(ISNUMBER($I5707),TEXT($I5707,"0"),$I5707))</f>
        <v/>
      </c>
    </row>
    <row r="5708">
      <c r="B5708" s="25" t="n"/>
      <c r="I5708" s="25" t="n"/>
      <c r="U5708" s="19">
        <f>IF($V5708&lt;&gt;'設定'!$C$4,N(U5707),IF(OR(NOT(COUNTIF('商品マスタ'!$B$6:$B$1005,$W5708)=0),COUNTIFS('①在庫を貼る'!$V$6:$V$10005,$V5708,'①在庫を貼る'!$W$6:$W$10005,$W5708)+COUNTIFS('月1回_1ヶ月前の在庫'!$V$6:$V$10005,$V5708,'月1回_1ヶ月前の在庫'!$W$6:$W$10005,$W5708)&gt;0),N(U5707),N(U5707)+1))</f>
        <v/>
      </c>
      <c r="V5708" s="19">
        <f>IF($B5708="","",TEXT($B5708,"0000"))</f>
        <v/>
      </c>
      <c r="W5708" s="19">
        <f>IF($I5708="","",IF(ISNUMBER($I5708),TEXT($I5708,"0"),$I5708))</f>
        <v/>
      </c>
    </row>
    <row r="5709">
      <c r="B5709" s="25" t="n"/>
      <c r="I5709" s="25" t="n"/>
      <c r="U5709" s="19">
        <f>IF($V5709&lt;&gt;'設定'!$C$4,N(U5708),IF(OR(NOT(COUNTIF('商品マスタ'!$B$6:$B$1005,$W5709)=0),COUNTIFS('①在庫を貼る'!$V$6:$V$10005,$V5709,'①在庫を貼る'!$W$6:$W$10005,$W5709)+COUNTIFS('月1回_1ヶ月前の在庫'!$V$6:$V$10005,$V5709,'月1回_1ヶ月前の在庫'!$W$6:$W$10005,$W5709)&gt;0),N(U5708),N(U5708)+1))</f>
        <v/>
      </c>
      <c r="V5709" s="19">
        <f>IF($B5709="","",TEXT($B5709,"0000"))</f>
        <v/>
      </c>
      <c r="W5709" s="19">
        <f>IF($I5709="","",IF(ISNUMBER($I5709),TEXT($I5709,"0"),$I5709))</f>
        <v/>
      </c>
    </row>
    <row r="5710">
      <c r="B5710" s="25" t="n"/>
      <c r="I5710" s="25" t="n"/>
      <c r="U5710" s="19">
        <f>IF($V5710&lt;&gt;'設定'!$C$4,N(U5709),IF(OR(NOT(COUNTIF('商品マスタ'!$B$6:$B$1005,$W5710)=0),COUNTIFS('①在庫を貼る'!$V$6:$V$10005,$V5710,'①在庫を貼る'!$W$6:$W$10005,$W5710)+COUNTIFS('月1回_1ヶ月前の在庫'!$V$6:$V$10005,$V5710,'月1回_1ヶ月前の在庫'!$W$6:$W$10005,$W5710)&gt;0),N(U5709),N(U5709)+1))</f>
        <v/>
      </c>
      <c r="V5710" s="19">
        <f>IF($B5710="","",TEXT($B5710,"0000"))</f>
        <v/>
      </c>
      <c r="W5710" s="19">
        <f>IF($I5710="","",IF(ISNUMBER($I5710),TEXT($I5710,"0"),$I5710))</f>
        <v/>
      </c>
    </row>
    <row r="5711">
      <c r="B5711" s="25" t="n"/>
      <c r="I5711" s="25" t="n"/>
      <c r="U5711" s="19">
        <f>IF($V5711&lt;&gt;'設定'!$C$4,N(U5710),IF(OR(NOT(COUNTIF('商品マスタ'!$B$6:$B$1005,$W5711)=0),COUNTIFS('①在庫を貼る'!$V$6:$V$10005,$V5711,'①在庫を貼る'!$W$6:$W$10005,$W5711)+COUNTIFS('月1回_1ヶ月前の在庫'!$V$6:$V$10005,$V5711,'月1回_1ヶ月前の在庫'!$W$6:$W$10005,$W5711)&gt;0),N(U5710),N(U5710)+1))</f>
        <v/>
      </c>
      <c r="V5711" s="19">
        <f>IF($B5711="","",TEXT($B5711,"0000"))</f>
        <v/>
      </c>
      <c r="W5711" s="19">
        <f>IF($I5711="","",IF(ISNUMBER($I5711),TEXT($I5711,"0"),$I5711))</f>
        <v/>
      </c>
    </row>
    <row r="5712">
      <c r="B5712" s="25" t="n"/>
      <c r="I5712" s="25" t="n"/>
      <c r="U5712" s="19">
        <f>IF($V5712&lt;&gt;'設定'!$C$4,N(U5711),IF(OR(NOT(COUNTIF('商品マスタ'!$B$6:$B$1005,$W5712)=0),COUNTIFS('①在庫を貼る'!$V$6:$V$10005,$V5712,'①在庫を貼る'!$W$6:$W$10005,$W5712)+COUNTIFS('月1回_1ヶ月前の在庫'!$V$6:$V$10005,$V5712,'月1回_1ヶ月前の在庫'!$W$6:$W$10005,$W5712)&gt;0),N(U5711),N(U5711)+1))</f>
        <v/>
      </c>
      <c r="V5712" s="19">
        <f>IF($B5712="","",TEXT($B5712,"0000"))</f>
        <v/>
      </c>
      <c r="W5712" s="19">
        <f>IF($I5712="","",IF(ISNUMBER($I5712),TEXT($I5712,"0"),$I5712))</f>
        <v/>
      </c>
    </row>
    <row r="5713">
      <c r="B5713" s="25" t="n"/>
      <c r="I5713" s="25" t="n"/>
      <c r="U5713" s="19">
        <f>IF($V5713&lt;&gt;'設定'!$C$4,N(U5712),IF(OR(NOT(COUNTIF('商品マスタ'!$B$6:$B$1005,$W5713)=0),COUNTIFS('①在庫を貼る'!$V$6:$V$10005,$V5713,'①在庫を貼る'!$W$6:$W$10005,$W5713)+COUNTIFS('月1回_1ヶ月前の在庫'!$V$6:$V$10005,$V5713,'月1回_1ヶ月前の在庫'!$W$6:$W$10005,$W5713)&gt;0),N(U5712),N(U5712)+1))</f>
        <v/>
      </c>
      <c r="V5713" s="19">
        <f>IF($B5713="","",TEXT($B5713,"0000"))</f>
        <v/>
      </c>
      <c r="W5713" s="19">
        <f>IF($I5713="","",IF(ISNUMBER($I5713),TEXT($I5713,"0"),$I5713))</f>
        <v/>
      </c>
    </row>
    <row r="5714">
      <c r="B5714" s="25" t="n"/>
      <c r="I5714" s="25" t="n"/>
      <c r="U5714" s="19">
        <f>IF($V5714&lt;&gt;'設定'!$C$4,N(U5713),IF(OR(NOT(COUNTIF('商品マスタ'!$B$6:$B$1005,$W5714)=0),COUNTIFS('①在庫を貼る'!$V$6:$V$10005,$V5714,'①在庫を貼る'!$W$6:$W$10005,$W5714)+COUNTIFS('月1回_1ヶ月前の在庫'!$V$6:$V$10005,$V5714,'月1回_1ヶ月前の在庫'!$W$6:$W$10005,$W5714)&gt;0),N(U5713),N(U5713)+1))</f>
        <v/>
      </c>
      <c r="V5714" s="19">
        <f>IF($B5714="","",TEXT($B5714,"0000"))</f>
        <v/>
      </c>
      <c r="W5714" s="19">
        <f>IF($I5714="","",IF(ISNUMBER($I5714),TEXT($I5714,"0"),$I5714))</f>
        <v/>
      </c>
    </row>
    <row r="5715">
      <c r="B5715" s="25" t="n"/>
      <c r="I5715" s="25" t="n"/>
      <c r="U5715" s="19">
        <f>IF($V5715&lt;&gt;'設定'!$C$4,N(U5714),IF(OR(NOT(COUNTIF('商品マスタ'!$B$6:$B$1005,$W5715)=0),COUNTIFS('①在庫を貼る'!$V$6:$V$10005,$V5715,'①在庫を貼る'!$W$6:$W$10005,$W5715)+COUNTIFS('月1回_1ヶ月前の在庫'!$V$6:$V$10005,$V5715,'月1回_1ヶ月前の在庫'!$W$6:$W$10005,$W5715)&gt;0),N(U5714),N(U5714)+1))</f>
        <v/>
      </c>
      <c r="V5715" s="19">
        <f>IF($B5715="","",TEXT($B5715,"0000"))</f>
        <v/>
      </c>
      <c r="W5715" s="19">
        <f>IF($I5715="","",IF(ISNUMBER($I5715),TEXT($I5715,"0"),$I5715))</f>
        <v/>
      </c>
    </row>
    <row r="5716">
      <c r="B5716" s="25" t="n"/>
      <c r="I5716" s="25" t="n"/>
      <c r="U5716" s="19">
        <f>IF($V5716&lt;&gt;'設定'!$C$4,N(U5715),IF(OR(NOT(COUNTIF('商品マスタ'!$B$6:$B$1005,$W5716)=0),COUNTIFS('①在庫を貼る'!$V$6:$V$10005,$V5716,'①在庫を貼る'!$W$6:$W$10005,$W5716)+COUNTIFS('月1回_1ヶ月前の在庫'!$V$6:$V$10005,$V5716,'月1回_1ヶ月前の在庫'!$W$6:$W$10005,$W5716)&gt;0),N(U5715),N(U5715)+1))</f>
        <v/>
      </c>
      <c r="V5716" s="19">
        <f>IF($B5716="","",TEXT($B5716,"0000"))</f>
        <v/>
      </c>
      <c r="W5716" s="19">
        <f>IF($I5716="","",IF(ISNUMBER($I5716),TEXT($I5716,"0"),$I5716))</f>
        <v/>
      </c>
    </row>
    <row r="5717">
      <c r="B5717" s="25" t="n"/>
      <c r="I5717" s="25" t="n"/>
      <c r="U5717" s="19">
        <f>IF($V5717&lt;&gt;'設定'!$C$4,N(U5716),IF(OR(NOT(COUNTIF('商品マスタ'!$B$6:$B$1005,$W5717)=0),COUNTIFS('①在庫を貼る'!$V$6:$V$10005,$V5717,'①在庫を貼る'!$W$6:$W$10005,$W5717)+COUNTIFS('月1回_1ヶ月前の在庫'!$V$6:$V$10005,$V5717,'月1回_1ヶ月前の在庫'!$W$6:$W$10005,$W5717)&gt;0),N(U5716),N(U5716)+1))</f>
        <v/>
      </c>
      <c r="V5717" s="19">
        <f>IF($B5717="","",TEXT($B5717,"0000"))</f>
        <v/>
      </c>
      <c r="W5717" s="19">
        <f>IF($I5717="","",IF(ISNUMBER($I5717),TEXT($I5717,"0"),$I5717))</f>
        <v/>
      </c>
    </row>
    <row r="5718">
      <c r="B5718" s="25" t="n"/>
      <c r="I5718" s="25" t="n"/>
      <c r="U5718" s="19">
        <f>IF($V5718&lt;&gt;'設定'!$C$4,N(U5717),IF(OR(NOT(COUNTIF('商品マスタ'!$B$6:$B$1005,$W5718)=0),COUNTIFS('①在庫を貼る'!$V$6:$V$10005,$V5718,'①在庫を貼る'!$W$6:$W$10005,$W5718)+COUNTIFS('月1回_1ヶ月前の在庫'!$V$6:$V$10005,$V5718,'月1回_1ヶ月前の在庫'!$W$6:$W$10005,$W5718)&gt;0),N(U5717),N(U5717)+1))</f>
        <v/>
      </c>
      <c r="V5718" s="19">
        <f>IF($B5718="","",TEXT($B5718,"0000"))</f>
        <v/>
      </c>
      <c r="W5718" s="19">
        <f>IF($I5718="","",IF(ISNUMBER($I5718),TEXT($I5718,"0"),$I5718))</f>
        <v/>
      </c>
    </row>
    <row r="5719">
      <c r="B5719" s="25" t="n"/>
      <c r="I5719" s="25" t="n"/>
      <c r="U5719" s="19">
        <f>IF($V5719&lt;&gt;'設定'!$C$4,N(U5718),IF(OR(NOT(COUNTIF('商品マスタ'!$B$6:$B$1005,$W5719)=0),COUNTIFS('①在庫を貼る'!$V$6:$V$10005,$V5719,'①在庫を貼る'!$W$6:$W$10005,$W5719)+COUNTIFS('月1回_1ヶ月前の在庫'!$V$6:$V$10005,$V5719,'月1回_1ヶ月前の在庫'!$W$6:$W$10005,$W5719)&gt;0),N(U5718),N(U5718)+1))</f>
        <v/>
      </c>
      <c r="V5719" s="19">
        <f>IF($B5719="","",TEXT($B5719,"0000"))</f>
        <v/>
      </c>
      <c r="W5719" s="19">
        <f>IF($I5719="","",IF(ISNUMBER($I5719),TEXT($I5719,"0"),$I5719))</f>
        <v/>
      </c>
    </row>
    <row r="5720">
      <c r="B5720" s="25" t="n"/>
      <c r="I5720" s="25" t="n"/>
      <c r="U5720" s="19">
        <f>IF($V5720&lt;&gt;'設定'!$C$4,N(U5719),IF(OR(NOT(COUNTIF('商品マスタ'!$B$6:$B$1005,$W5720)=0),COUNTIFS('①在庫を貼る'!$V$6:$V$10005,$V5720,'①在庫を貼る'!$W$6:$W$10005,$W5720)+COUNTIFS('月1回_1ヶ月前の在庫'!$V$6:$V$10005,$V5720,'月1回_1ヶ月前の在庫'!$W$6:$W$10005,$W5720)&gt;0),N(U5719),N(U5719)+1))</f>
        <v/>
      </c>
      <c r="V5720" s="19">
        <f>IF($B5720="","",TEXT($B5720,"0000"))</f>
        <v/>
      </c>
      <c r="W5720" s="19">
        <f>IF($I5720="","",IF(ISNUMBER($I5720),TEXT($I5720,"0"),$I5720))</f>
        <v/>
      </c>
    </row>
    <row r="5721">
      <c r="B5721" s="25" t="n"/>
      <c r="I5721" s="25" t="n"/>
      <c r="U5721" s="19">
        <f>IF($V5721&lt;&gt;'設定'!$C$4,N(U5720),IF(OR(NOT(COUNTIF('商品マスタ'!$B$6:$B$1005,$W5721)=0),COUNTIFS('①在庫を貼る'!$V$6:$V$10005,$V5721,'①在庫を貼る'!$W$6:$W$10005,$W5721)+COUNTIFS('月1回_1ヶ月前の在庫'!$V$6:$V$10005,$V5721,'月1回_1ヶ月前の在庫'!$W$6:$W$10005,$W5721)&gt;0),N(U5720),N(U5720)+1))</f>
        <v/>
      </c>
      <c r="V5721" s="19">
        <f>IF($B5721="","",TEXT($B5721,"0000"))</f>
        <v/>
      </c>
      <c r="W5721" s="19">
        <f>IF($I5721="","",IF(ISNUMBER($I5721),TEXT($I5721,"0"),$I5721))</f>
        <v/>
      </c>
    </row>
    <row r="5722">
      <c r="B5722" s="25" t="n"/>
      <c r="I5722" s="25" t="n"/>
      <c r="U5722" s="19">
        <f>IF($V5722&lt;&gt;'設定'!$C$4,N(U5721),IF(OR(NOT(COUNTIF('商品マスタ'!$B$6:$B$1005,$W5722)=0),COUNTIFS('①在庫を貼る'!$V$6:$V$10005,$V5722,'①在庫を貼る'!$W$6:$W$10005,$W5722)+COUNTIFS('月1回_1ヶ月前の在庫'!$V$6:$V$10005,$V5722,'月1回_1ヶ月前の在庫'!$W$6:$W$10005,$W5722)&gt;0),N(U5721),N(U5721)+1))</f>
        <v/>
      </c>
      <c r="V5722" s="19">
        <f>IF($B5722="","",TEXT($B5722,"0000"))</f>
        <v/>
      </c>
      <c r="W5722" s="19">
        <f>IF($I5722="","",IF(ISNUMBER($I5722),TEXT($I5722,"0"),$I5722))</f>
        <v/>
      </c>
    </row>
    <row r="5723">
      <c r="B5723" s="25" t="n"/>
      <c r="I5723" s="25" t="n"/>
      <c r="U5723" s="19">
        <f>IF($V5723&lt;&gt;'設定'!$C$4,N(U5722),IF(OR(NOT(COUNTIF('商品マスタ'!$B$6:$B$1005,$W5723)=0),COUNTIFS('①在庫を貼る'!$V$6:$V$10005,$V5723,'①在庫を貼る'!$W$6:$W$10005,$W5723)+COUNTIFS('月1回_1ヶ月前の在庫'!$V$6:$V$10005,$V5723,'月1回_1ヶ月前の在庫'!$W$6:$W$10005,$W5723)&gt;0),N(U5722),N(U5722)+1))</f>
        <v/>
      </c>
      <c r="V5723" s="19">
        <f>IF($B5723="","",TEXT($B5723,"0000"))</f>
        <v/>
      </c>
      <c r="W5723" s="19">
        <f>IF($I5723="","",IF(ISNUMBER($I5723),TEXT($I5723,"0"),$I5723))</f>
        <v/>
      </c>
    </row>
    <row r="5724">
      <c r="B5724" s="25" t="n"/>
      <c r="I5724" s="25" t="n"/>
      <c r="U5724" s="19">
        <f>IF($V5724&lt;&gt;'設定'!$C$4,N(U5723),IF(OR(NOT(COUNTIF('商品マスタ'!$B$6:$B$1005,$W5724)=0),COUNTIFS('①在庫を貼る'!$V$6:$V$10005,$V5724,'①在庫を貼る'!$W$6:$W$10005,$W5724)+COUNTIFS('月1回_1ヶ月前の在庫'!$V$6:$V$10005,$V5724,'月1回_1ヶ月前の在庫'!$W$6:$W$10005,$W5724)&gt;0),N(U5723),N(U5723)+1))</f>
        <v/>
      </c>
      <c r="V5724" s="19">
        <f>IF($B5724="","",TEXT($B5724,"0000"))</f>
        <v/>
      </c>
      <c r="W5724" s="19">
        <f>IF($I5724="","",IF(ISNUMBER($I5724),TEXT($I5724,"0"),$I5724))</f>
        <v/>
      </c>
    </row>
    <row r="5725">
      <c r="B5725" s="25" t="n"/>
      <c r="I5725" s="25" t="n"/>
      <c r="U5725" s="19">
        <f>IF($V5725&lt;&gt;'設定'!$C$4,N(U5724),IF(OR(NOT(COUNTIF('商品マスタ'!$B$6:$B$1005,$W5725)=0),COUNTIFS('①在庫を貼る'!$V$6:$V$10005,$V5725,'①在庫を貼る'!$W$6:$W$10005,$W5725)+COUNTIFS('月1回_1ヶ月前の在庫'!$V$6:$V$10005,$V5725,'月1回_1ヶ月前の在庫'!$W$6:$W$10005,$W5725)&gt;0),N(U5724),N(U5724)+1))</f>
        <v/>
      </c>
      <c r="V5725" s="19">
        <f>IF($B5725="","",TEXT($B5725,"0000"))</f>
        <v/>
      </c>
      <c r="W5725" s="19">
        <f>IF($I5725="","",IF(ISNUMBER($I5725),TEXT($I5725,"0"),$I5725))</f>
        <v/>
      </c>
    </row>
    <row r="5726">
      <c r="B5726" s="25" t="n"/>
      <c r="I5726" s="25" t="n"/>
      <c r="U5726" s="19">
        <f>IF($V5726&lt;&gt;'設定'!$C$4,N(U5725),IF(OR(NOT(COUNTIF('商品マスタ'!$B$6:$B$1005,$W5726)=0),COUNTIFS('①在庫を貼る'!$V$6:$V$10005,$V5726,'①在庫を貼る'!$W$6:$W$10005,$W5726)+COUNTIFS('月1回_1ヶ月前の在庫'!$V$6:$V$10005,$V5726,'月1回_1ヶ月前の在庫'!$W$6:$W$10005,$W5726)&gt;0),N(U5725),N(U5725)+1))</f>
        <v/>
      </c>
      <c r="V5726" s="19">
        <f>IF($B5726="","",TEXT($B5726,"0000"))</f>
        <v/>
      </c>
      <c r="W5726" s="19">
        <f>IF($I5726="","",IF(ISNUMBER($I5726),TEXT($I5726,"0"),$I5726))</f>
        <v/>
      </c>
    </row>
    <row r="5727">
      <c r="B5727" s="25" t="n"/>
      <c r="I5727" s="25" t="n"/>
      <c r="U5727" s="19">
        <f>IF($V5727&lt;&gt;'設定'!$C$4,N(U5726),IF(OR(NOT(COUNTIF('商品マスタ'!$B$6:$B$1005,$W5727)=0),COUNTIFS('①在庫を貼る'!$V$6:$V$10005,$V5727,'①在庫を貼る'!$W$6:$W$10005,$W5727)+COUNTIFS('月1回_1ヶ月前の在庫'!$V$6:$V$10005,$V5727,'月1回_1ヶ月前の在庫'!$W$6:$W$10005,$W5727)&gt;0),N(U5726),N(U5726)+1))</f>
        <v/>
      </c>
      <c r="V5727" s="19">
        <f>IF($B5727="","",TEXT($B5727,"0000"))</f>
        <v/>
      </c>
      <c r="W5727" s="19">
        <f>IF($I5727="","",IF(ISNUMBER($I5727),TEXT($I5727,"0"),$I5727))</f>
        <v/>
      </c>
    </row>
    <row r="5728">
      <c r="B5728" s="25" t="n"/>
      <c r="I5728" s="25" t="n"/>
      <c r="U5728" s="19">
        <f>IF($V5728&lt;&gt;'設定'!$C$4,N(U5727),IF(OR(NOT(COUNTIF('商品マスタ'!$B$6:$B$1005,$W5728)=0),COUNTIFS('①在庫を貼る'!$V$6:$V$10005,$V5728,'①在庫を貼る'!$W$6:$W$10005,$W5728)+COUNTIFS('月1回_1ヶ月前の在庫'!$V$6:$V$10005,$V5728,'月1回_1ヶ月前の在庫'!$W$6:$W$10005,$W5728)&gt;0),N(U5727),N(U5727)+1))</f>
        <v/>
      </c>
      <c r="V5728" s="19">
        <f>IF($B5728="","",TEXT($B5728,"0000"))</f>
        <v/>
      </c>
      <c r="W5728" s="19">
        <f>IF($I5728="","",IF(ISNUMBER($I5728),TEXT($I5728,"0"),$I5728))</f>
        <v/>
      </c>
    </row>
    <row r="5729">
      <c r="B5729" s="25" t="n"/>
      <c r="I5729" s="25" t="n"/>
      <c r="U5729" s="19">
        <f>IF($V5729&lt;&gt;'設定'!$C$4,N(U5728),IF(OR(NOT(COUNTIF('商品マスタ'!$B$6:$B$1005,$W5729)=0),COUNTIFS('①在庫を貼る'!$V$6:$V$10005,$V5729,'①在庫を貼る'!$W$6:$W$10005,$W5729)+COUNTIFS('月1回_1ヶ月前の在庫'!$V$6:$V$10005,$V5729,'月1回_1ヶ月前の在庫'!$W$6:$W$10005,$W5729)&gt;0),N(U5728),N(U5728)+1))</f>
        <v/>
      </c>
      <c r="V5729" s="19">
        <f>IF($B5729="","",TEXT($B5729,"0000"))</f>
        <v/>
      </c>
      <c r="W5729" s="19">
        <f>IF($I5729="","",IF(ISNUMBER($I5729),TEXT($I5729,"0"),$I5729))</f>
        <v/>
      </c>
    </row>
    <row r="5730">
      <c r="B5730" s="25" t="n"/>
      <c r="I5730" s="25" t="n"/>
      <c r="U5730" s="19">
        <f>IF($V5730&lt;&gt;'設定'!$C$4,N(U5729),IF(OR(NOT(COUNTIF('商品マスタ'!$B$6:$B$1005,$W5730)=0),COUNTIFS('①在庫を貼る'!$V$6:$V$10005,$V5730,'①在庫を貼る'!$W$6:$W$10005,$W5730)+COUNTIFS('月1回_1ヶ月前の在庫'!$V$6:$V$10005,$V5730,'月1回_1ヶ月前の在庫'!$W$6:$W$10005,$W5730)&gt;0),N(U5729),N(U5729)+1))</f>
        <v/>
      </c>
      <c r="V5730" s="19">
        <f>IF($B5730="","",TEXT($B5730,"0000"))</f>
        <v/>
      </c>
      <c r="W5730" s="19">
        <f>IF($I5730="","",IF(ISNUMBER($I5730),TEXT($I5730,"0"),$I5730))</f>
        <v/>
      </c>
    </row>
    <row r="5731">
      <c r="B5731" s="25" t="n"/>
      <c r="I5731" s="25" t="n"/>
      <c r="U5731" s="19">
        <f>IF($V5731&lt;&gt;'設定'!$C$4,N(U5730),IF(OR(NOT(COUNTIF('商品マスタ'!$B$6:$B$1005,$W5731)=0),COUNTIFS('①在庫を貼る'!$V$6:$V$10005,$V5731,'①在庫を貼る'!$W$6:$W$10005,$W5731)+COUNTIFS('月1回_1ヶ月前の在庫'!$V$6:$V$10005,$V5731,'月1回_1ヶ月前の在庫'!$W$6:$W$10005,$W5731)&gt;0),N(U5730),N(U5730)+1))</f>
        <v/>
      </c>
      <c r="V5731" s="19">
        <f>IF($B5731="","",TEXT($B5731,"0000"))</f>
        <v/>
      </c>
      <c r="W5731" s="19">
        <f>IF($I5731="","",IF(ISNUMBER($I5731),TEXT($I5731,"0"),$I5731))</f>
        <v/>
      </c>
    </row>
    <row r="5732">
      <c r="B5732" s="25" t="n"/>
      <c r="I5732" s="25" t="n"/>
      <c r="U5732" s="19">
        <f>IF($V5732&lt;&gt;'設定'!$C$4,N(U5731),IF(OR(NOT(COUNTIF('商品マスタ'!$B$6:$B$1005,$W5732)=0),COUNTIFS('①在庫を貼る'!$V$6:$V$10005,$V5732,'①在庫を貼る'!$W$6:$W$10005,$W5732)+COUNTIFS('月1回_1ヶ月前の在庫'!$V$6:$V$10005,$V5732,'月1回_1ヶ月前の在庫'!$W$6:$W$10005,$W5732)&gt;0),N(U5731),N(U5731)+1))</f>
        <v/>
      </c>
      <c r="V5732" s="19">
        <f>IF($B5732="","",TEXT($B5732,"0000"))</f>
        <v/>
      </c>
      <c r="W5732" s="19">
        <f>IF($I5732="","",IF(ISNUMBER($I5732),TEXT($I5732,"0"),$I5732))</f>
        <v/>
      </c>
    </row>
    <row r="5733">
      <c r="B5733" s="25" t="n"/>
      <c r="I5733" s="25" t="n"/>
      <c r="U5733" s="19">
        <f>IF($V5733&lt;&gt;'設定'!$C$4,N(U5732),IF(OR(NOT(COUNTIF('商品マスタ'!$B$6:$B$1005,$W5733)=0),COUNTIFS('①在庫を貼る'!$V$6:$V$10005,$V5733,'①在庫を貼る'!$W$6:$W$10005,$W5733)+COUNTIFS('月1回_1ヶ月前の在庫'!$V$6:$V$10005,$V5733,'月1回_1ヶ月前の在庫'!$W$6:$W$10005,$W5733)&gt;0),N(U5732),N(U5732)+1))</f>
        <v/>
      </c>
      <c r="V5733" s="19">
        <f>IF($B5733="","",TEXT($B5733,"0000"))</f>
        <v/>
      </c>
      <c r="W5733" s="19">
        <f>IF($I5733="","",IF(ISNUMBER($I5733),TEXT($I5733,"0"),$I5733))</f>
        <v/>
      </c>
    </row>
    <row r="5734">
      <c r="B5734" s="25" t="n"/>
      <c r="I5734" s="25" t="n"/>
      <c r="U5734" s="19">
        <f>IF($V5734&lt;&gt;'設定'!$C$4,N(U5733),IF(OR(NOT(COUNTIF('商品マスタ'!$B$6:$B$1005,$W5734)=0),COUNTIFS('①在庫を貼る'!$V$6:$V$10005,$V5734,'①在庫を貼る'!$W$6:$W$10005,$W5734)+COUNTIFS('月1回_1ヶ月前の在庫'!$V$6:$V$10005,$V5734,'月1回_1ヶ月前の在庫'!$W$6:$W$10005,$W5734)&gt;0),N(U5733),N(U5733)+1))</f>
        <v/>
      </c>
      <c r="V5734" s="19">
        <f>IF($B5734="","",TEXT($B5734,"0000"))</f>
        <v/>
      </c>
      <c r="W5734" s="19">
        <f>IF($I5734="","",IF(ISNUMBER($I5734),TEXT($I5734,"0"),$I5734))</f>
        <v/>
      </c>
    </row>
    <row r="5735">
      <c r="B5735" s="25" t="n"/>
      <c r="I5735" s="25" t="n"/>
      <c r="U5735" s="19">
        <f>IF($V5735&lt;&gt;'設定'!$C$4,N(U5734),IF(OR(NOT(COUNTIF('商品マスタ'!$B$6:$B$1005,$W5735)=0),COUNTIFS('①在庫を貼る'!$V$6:$V$10005,$V5735,'①在庫を貼る'!$W$6:$W$10005,$W5735)+COUNTIFS('月1回_1ヶ月前の在庫'!$V$6:$V$10005,$V5735,'月1回_1ヶ月前の在庫'!$W$6:$W$10005,$W5735)&gt;0),N(U5734),N(U5734)+1))</f>
        <v/>
      </c>
      <c r="V5735" s="19">
        <f>IF($B5735="","",TEXT($B5735,"0000"))</f>
        <v/>
      </c>
      <c r="W5735" s="19">
        <f>IF($I5735="","",IF(ISNUMBER($I5735),TEXT($I5735,"0"),$I5735))</f>
        <v/>
      </c>
    </row>
    <row r="5736">
      <c r="B5736" s="25" t="n"/>
      <c r="I5736" s="25" t="n"/>
      <c r="U5736" s="19">
        <f>IF($V5736&lt;&gt;'設定'!$C$4,N(U5735),IF(OR(NOT(COUNTIF('商品マスタ'!$B$6:$B$1005,$W5736)=0),COUNTIFS('①在庫を貼る'!$V$6:$V$10005,$V5736,'①在庫を貼る'!$W$6:$W$10005,$W5736)+COUNTIFS('月1回_1ヶ月前の在庫'!$V$6:$V$10005,$V5736,'月1回_1ヶ月前の在庫'!$W$6:$W$10005,$W5736)&gt;0),N(U5735),N(U5735)+1))</f>
        <v/>
      </c>
      <c r="V5736" s="19">
        <f>IF($B5736="","",TEXT($B5736,"0000"))</f>
        <v/>
      </c>
      <c r="W5736" s="19">
        <f>IF($I5736="","",IF(ISNUMBER($I5736),TEXT($I5736,"0"),$I5736))</f>
        <v/>
      </c>
    </row>
    <row r="5737">
      <c r="B5737" s="25" t="n"/>
      <c r="I5737" s="25" t="n"/>
      <c r="U5737" s="19">
        <f>IF($V5737&lt;&gt;'設定'!$C$4,N(U5736),IF(OR(NOT(COUNTIF('商品マスタ'!$B$6:$B$1005,$W5737)=0),COUNTIFS('①在庫を貼る'!$V$6:$V$10005,$V5737,'①在庫を貼る'!$W$6:$W$10005,$W5737)+COUNTIFS('月1回_1ヶ月前の在庫'!$V$6:$V$10005,$V5737,'月1回_1ヶ月前の在庫'!$W$6:$W$10005,$W5737)&gt;0),N(U5736),N(U5736)+1))</f>
        <v/>
      </c>
      <c r="V5737" s="19">
        <f>IF($B5737="","",TEXT($B5737,"0000"))</f>
        <v/>
      </c>
      <c r="W5737" s="19">
        <f>IF($I5737="","",IF(ISNUMBER($I5737),TEXT($I5737,"0"),$I5737))</f>
        <v/>
      </c>
    </row>
    <row r="5738">
      <c r="B5738" s="25" t="n"/>
      <c r="I5738" s="25" t="n"/>
      <c r="U5738" s="19">
        <f>IF($V5738&lt;&gt;'設定'!$C$4,N(U5737),IF(OR(NOT(COUNTIF('商品マスタ'!$B$6:$B$1005,$W5738)=0),COUNTIFS('①在庫を貼る'!$V$6:$V$10005,$V5738,'①在庫を貼る'!$W$6:$W$10005,$W5738)+COUNTIFS('月1回_1ヶ月前の在庫'!$V$6:$V$10005,$V5738,'月1回_1ヶ月前の在庫'!$W$6:$W$10005,$W5738)&gt;0),N(U5737),N(U5737)+1))</f>
        <v/>
      </c>
      <c r="V5738" s="19">
        <f>IF($B5738="","",TEXT($B5738,"0000"))</f>
        <v/>
      </c>
      <c r="W5738" s="19">
        <f>IF($I5738="","",IF(ISNUMBER($I5738),TEXT($I5738,"0"),$I5738))</f>
        <v/>
      </c>
    </row>
    <row r="5739">
      <c r="B5739" s="25" t="n"/>
      <c r="I5739" s="25" t="n"/>
      <c r="U5739" s="19">
        <f>IF($V5739&lt;&gt;'設定'!$C$4,N(U5738),IF(OR(NOT(COUNTIF('商品マスタ'!$B$6:$B$1005,$W5739)=0),COUNTIFS('①在庫を貼る'!$V$6:$V$10005,$V5739,'①在庫を貼る'!$W$6:$W$10005,$W5739)+COUNTIFS('月1回_1ヶ月前の在庫'!$V$6:$V$10005,$V5739,'月1回_1ヶ月前の在庫'!$W$6:$W$10005,$W5739)&gt;0),N(U5738),N(U5738)+1))</f>
        <v/>
      </c>
      <c r="V5739" s="19">
        <f>IF($B5739="","",TEXT($B5739,"0000"))</f>
        <v/>
      </c>
      <c r="W5739" s="19">
        <f>IF($I5739="","",IF(ISNUMBER($I5739),TEXT($I5739,"0"),$I5739))</f>
        <v/>
      </c>
    </row>
    <row r="5740">
      <c r="B5740" s="25" t="n"/>
      <c r="I5740" s="25" t="n"/>
      <c r="U5740" s="19">
        <f>IF($V5740&lt;&gt;'設定'!$C$4,N(U5739),IF(OR(NOT(COUNTIF('商品マスタ'!$B$6:$B$1005,$W5740)=0),COUNTIFS('①在庫を貼る'!$V$6:$V$10005,$V5740,'①在庫を貼る'!$W$6:$W$10005,$W5740)+COUNTIFS('月1回_1ヶ月前の在庫'!$V$6:$V$10005,$V5740,'月1回_1ヶ月前の在庫'!$W$6:$W$10005,$W5740)&gt;0),N(U5739),N(U5739)+1))</f>
        <v/>
      </c>
      <c r="V5740" s="19">
        <f>IF($B5740="","",TEXT($B5740,"0000"))</f>
        <v/>
      </c>
      <c r="W5740" s="19">
        <f>IF($I5740="","",IF(ISNUMBER($I5740),TEXT($I5740,"0"),$I5740))</f>
        <v/>
      </c>
    </row>
    <row r="5741">
      <c r="B5741" s="25" t="n"/>
      <c r="I5741" s="25" t="n"/>
      <c r="U5741" s="19">
        <f>IF($V5741&lt;&gt;'設定'!$C$4,N(U5740),IF(OR(NOT(COUNTIF('商品マスタ'!$B$6:$B$1005,$W5741)=0),COUNTIFS('①在庫を貼る'!$V$6:$V$10005,$V5741,'①在庫を貼る'!$W$6:$W$10005,$W5741)+COUNTIFS('月1回_1ヶ月前の在庫'!$V$6:$V$10005,$V5741,'月1回_1ヶ月前の在庫'!$W$6:$W$10005,$W5741)&gt;0),N(U5740),N(U5740)+1))</f>
        <v/>
      </c>
      <c r="V5741" s="19">
        <f>IF($B5741="","",TEXT($B5741,"0000"))</f>
        <v/>
      </c>
      <c r="W5741" s="19">
        <f>IF($I5741="","",IF(ISNUMBER($I5741),TEXT($I5741,"0"),$I5741))</f>
        <v/>
      </c>
    </row>
    <row r="5742">
      <c r="B5742" s="25" t="n"/>
      <c r="I5742" s="25" t="n"/>
      <c r="U5742" s="19">
        <f>IF($V5742&lt;&gt;'設定'!$C$4,N(U5741),IF(OR(NOT(COUNTIF('商品マスタ'!$B$6:$B$1005,$W5742)=0),COUNTIFS('①在庫を貼る'!$V$6:$V$10005,$V5742,'①在庫を貼る'!$W$6:$W$10005,$W5742)+COUNTIFS('月1回_1ヶ月前の在庫'!$V$6:$V$10005,$V5742,'月1回_1ヶ月前の在庫'!$W$6:$W$10005,$W5742)&gt;0),N(U5741),N(U5741)+1))</f>
        <v/>
      </c>
      <c r="V5742" s="19">
        <f>IF($B5742="","",TEXT($B5742,"0000"))</f>
        <v/>
      </c>
      <c r="W5742" s="19">
        <f>IF($I5742="","",IF(ISNUMBER($I5742),TEXT($I5742,"0"),$I5742))</f>
        <v/>
      </c>
    </row>
    <row r="5743">
      <c r="B5743" s="25" t="n"/>
      <c r="I5743" s="25" t="n"/>
      <c r="U5743" s="19">
        <f>IF($V5743&lt;&gt;'設定'!$C$4,N(U5742),IF(OR(NOT(COUNTIF('商品マスタ'!$B$6:$B$1005,$W5743)=0),COUNTIFS('①在庫を貼る'!$V$6:$V$10005,$V5743,'①在庫を貼る'!$W$6:$W$10005,$W5743)+COUNTIFS('月1回_1ヶ月前の在庫'!$V$6:$V$10005,$V5743,'月1回_1ヶ月前の在庫'!$W$6:$W$10005,$W5743)&gt;0),N(U5742),N(U5742)+1))</f>
        <v/>
      </c>
      <c r="V5743" s="19">
        <f>IF($B5743="","",TEXT($B5743,"0000"))</f>
        <v/>
      </c>
      <c r="W5743" s="19">
        <f>IF($I5743="","",IF(ISNUMBER($I5743),TEXT($I5743,"0"),$I5743))</f>
        <v/>
      </c>
    </row>
    <row r="5744">
      <c r="B5744" s="25" t="n"/>
      <c r="I5744" s="25" t="n"/>
      <c r="U5744" s="19">
        <f>IF($V5744&lt;&gt;'設定'!$C$4,N(U5743),IF(OR(NOT(COUNTIF('商品マスタ'!$B$6:$B$1005,$W5744)=0),COUNTIFS('①在庫を貼る'!$V$6:$V$10005,$V5744,'①在庫を貼る'!$W$6:$W$10005,$W5744)+COUNTIFS('月1回_1ヶ月前の在庫'!$V$6:$V$10005,$V5744,'月1回_1ヶ月前の在庫'!$W$6:$W$10005,$W5744)&gt;0),N(U5743),N(U5743)+1))</f>
        <v/>
      </c>
      <c r="V5744" s="19">
        <f>IF($B5744="","",TEXT($B5744,"0000"))</f>
        <v/>
      </c>
      <c r="W5744" s="19">
        <f>IF($I5744="","",IF(ISNUMBER($I5744),TEXT($I5744,"0"),$I5744))</f>
        <v/>
      </c>
    </row>
    <row r="5745">
      <c r="B5745" s="25" t="n"/>
      <c r="I5745" s="25" t="n"/>
      <c r="U5745" s="19">
        <f>IF($V5745&lt;&gt;'設定'!$C$4,N(U5744),IF(OR(NOT(COUNTIF('商品マスタ'!$B$6:$B$1005,$W5745)=0),COUNTIFS('①在庫を貼る'!$V$6:$V$10005,$V5745,'①在庫を貼る'!$W$6:$W$10005,$W5745)+COUNTIFS('月1回_1ヶ月前の在庫'!$V$6:$V$10005,$V5745,'月1回_1ヶ月前の在庫'!$W$6:$W$10005,$W5745)&gt;0),N(U5744),N(U5744)+1))</f>
        <v/>
      </c>
      <c r="V5745" s="19">
        <f>IF($B5745="","",TEXT($B5745,"0000"))</f>
        <v/>
      </c>
      <c r="W5745" s="19">
        <f>IF($I5745="","",IF(ISNUMBER($I5745),TEXT($I5745,"0"),$I5745))</f>
        <v/>
      </c>
    </row>
    <row r="5746">
      <c r="B5746" s="25" t="n"/>
      <c r="I5746" s="25" t="n"/>
      <c r="U5746" s="19">
        <f>IF($V5746&lt;&gt;'設定'!$C$4,N(U5745),IF(OR(NOT(COUNTIF('商品マスタ'!$B$6:$B$1005,$W5746)=0),COUNTIFS('①在庫を貼る'!$V$6:$V$10005,$V5746,'①在庫を貼る'!$W$6:$W$10005,$W5746)+COUNTIFS('月1回_1ヶ月前の在庫'!$V$6:$V$10005,$V5746,'月1回_1ヶ月前の在庫'!$W$6:$W$10005,$W5746)&gt;0),N(U5745),N(U5745)+1))</f>
        <v/>
      </c>
      <c r="V5746" s="19">
        <f>IF($B5746="","",TEXT($B5746,"0000"))</f>
        <v/>
      </c>
      <c r="W5746" s="19">
        <f>IF($I5746="","",IF(ISNUMBER($I5746),TEXT($I5746,"0"),$I5746))</f>
        <v/>
      </c>
    </row>
    <row r="5747">
      <c r="B5747" s="25" t="n"/>
      <c r="I5747" s="25" t="n"/>
      <c r="U5747" s="19">
        <f>IF($V5747&lt;&gt;'設定'!$C$4,N(U5746),IF(OR(NOT(COUNTIF('商品マスタ'!$B$6:$B$1005,$W5747)=0),COUNTIFS('①在庫を貼る'!$V$6:$V$10005,$V5747,'①在庫を貼る'!$W$6:$W$10005,$W5747)+COUNTIFS('月1回_1ヶ月前の在庫'!$V$6:$V$10005,$V5747,'月1回_1ヶ月前の在庫'!$W$6:$W$10005,$W5747)&gt;0),N(U5746),N(U5746)+1))</f>
        <v/>
      </c>
      <c r="V5747" s="19">
        <f>IF($B5747="","",TEXT($B5747,"0000"))</f>
        <v/>
      </c>
      <c r="W5747" s="19">
        <f>IF($I5747="","",IF(ISNUMBER($I5747),TEXT($I5747,"0"),$I5747))</f>
        <v/>
      </c>
    </row>
    <row r="5748">
      <c r="B5748" s="25" t="n"/>
      <c r="I5748" s="25" t="n"/>
      <c r="U5748" s="19">
        <f>IF($V5748&lt;&gt;'設定'!$C$4,N(U5747),IF(OR(NOT(COUNTIF('商品マスタ'!$B$6:$B$1005,$W5748)=0),COUNTIFS('①在庫を貼る'!$V$6:$V$10005,$V5748,'①在庫を貼る'!$W$6:$W$10005,$W5748)+COUNTIFS('月1回_1ヶ月前の在庫'!$V$6:$V$10005,$V5748,'月1回_1ヶ月前の在庫'!$W$6:$W$10005,$W5748)&gt;0),N(U5747),N(U5747)+1))</f>
        <v/>
      </c>
      <c r="V5748" s="19">
        <f>IF($B5748="","",TEXT($B5748,"0000"))</f>
        <v/>
      </c>
      <c r="W5748" s="19">
        <f>IF($I5748="","",IF(ISNUMBER($I5748),TEXT($I5748,"0"),$I5748))</f>
        <v/>
      </c>
    </row>
    <row r="5749">
      <c r="B5749" s="25" t="n"/>
      <c r="I5749" s="25" t="n"/>
      <c r="U5749" s="19">
        <f>IF($V5749&lt;&gt;'設定'!$C$4,N(U5748),IF(OR(NOT(COUNTIF('商品マスタ'!$B$6:$B$1005,$W5749)=0),COUNTIFS('①在庫を貼る'!$V$6:$V$10005,$V5749,'①在庫を貼る'!$W$6:$W$10005,$W5749)+COUNTIFS('月1回_1ヶ月前の在庫'!$V$6:$V$10005,$V5749,'月1回_1ヶ月前の在庫'!$W$6:$W$10005,$W5749)&gt;0),N(U5748),N(U5748)+1))</f>
        <v/>
      </c>
      <c r="V5749" s="19">
        <f>IF($B5749="","",TEXT($B5749,"0000"))</f>
        <v/>
      </c>
      <c r="W5749" s="19">
        <f>IF($I5749="","",IF(ISNUMBER($I5749),TEXT($I5749,"0"),$I5749))</f>
        <v/>
      </c>
    </row>
    <row r="5750">
      <c r="B5750" s="25" t="n"/>
      <c r="I5750" s="25" t="n"/>
      <c r="U5750" s="19">
        <f>IF($V5750&lt;&gt;'設定'!$C$4,N(U5749),IF(OR(NOT(COUNTIF('商品マスタ'!$B$6:$B$1005,$W5750)=0),COUNTIFS('①在庫を貼る'!$V$6:$V$10005,$V5750,'①在庫を貼る'!$W$6:$W$10005,$W5750)+COUNTIFS('月1回_1ヶ月前の在庫'!$V$6:$V$10005,$V5750,'月1回_1ヶ月前の在庫'!$W$6:$W$10005,$W5750)&gt;0),N(U5749),N(U5749)+1))</f>
        <v/>
      </c>
      <c r="V5750" s="19">
        <f>IF($B5750="","",TEXT($B5750,"0000"))</f>
        <v/>
      </c>
      <c r="W5750" s="19">
        <f>IF($I5750="","",IF(ISNUMBER($I5750),TEXT($I5750,"0"),$I5750))</f>
        <v/>
      </c>
    </row>
    <row r="5751">
      <c r="B5751" s="25" t="n"/>
      <c r="I5751" s="25" t="n"/>
      <c r="U5751" s="19">
        <f>IF($V5751&lt;&gt;'設定'!$C$4,N(U5750),IF(OR(NOT(COUNTIF('商品マスタ'!$B$6:$B$1005,$W5751)=0),COUNTIFS('①在庫を貼る'!$V$6:$V$10005,$V5751,'①在庫を貼る'!$W$6:$W$10005,$W5751)+COUNTIFS('月1回_1ヶ月前の在庫'!$V$6:$V$10005,$V5751,'月1回_1ヶ月前の在庫'!$W$6:$W$10005,$W5751)&gt;0),N(U5750),N(U5750)+1))</f>
        <v/>
      </c>
      <c r="V5751" s="19">
        <f>IF($B5751="","",TEXT($B5751,"0000"))</f>
        <v/>
      </c>
      <c r="W5751" s="19">
        <f>IF($I5751="","",IF(ISNUMBER($I5751),TEXT($I5751,"0"),$I5751))</f>
        <v/>
      </c>
    </row>
    <row r="5752">
      <c r="B5752" s="25" t="n"/>
      <c r="I5752" s="25" t="n"/>
      <c r="U5752" s="19">
        <f>IF($V5752&lt;&gt;'設定'!$C$4,N(U5751),IF(OR(NOT(COUNTIF('商品マスタ'!$B$6:$B$1005,$W5752)=0),COUNTIFS('①在庫を貼る'!$V$6:$V$10005,$V5752,'①在庫を貼る'!$W$6:$W$10005,$W5752)+COUNTIFS('月1回_1ヶ月前の在庫'!$V$6:$V$10005,$V5752,'月1回_1ヶ月前の在庫'!$W$6:$W$10005,$W5752)&gt;0),N(U5751),N(U5751)+1))</f>
        <v/>
      </c>
      <c r="V5752" s="19">
        <f>IF($B5752="","",TEXT($B5752,"0000"))</f>
        <v/>
      </c>
      <c r="W5752" s="19">
        <f>IF($I5752="","",IF(ISNUMBER($I5752),TEXT($I5752,"0"),$I5752))</f>
        <v/>
      </c>
    </row>
    <row r="5753">
      <c r="B5753" s="25" t="n"/>
      <c r="I5753" s="25" t="n"/>
      <c r="U5753" s="19">
        <f>IF($V5753&lt;&gt;'設定'!$C$4,N(U5752),IF(OR(NOT(COUNTIF('商品マスタ'!$B$6:$B$1005,$W5753)=0),COUNTIFS('①在庫を貼る'!$V$6:$V$10005,$V5753,'①在庫を貼る'!$W$6:$W$10005,$W5753)+COUNTIFS('月1回_1ヶ月前の在庫'!$V$6:$V$10005,$V5753,'月1回_1ヶ月前の在庫'!$W$6:$W$10005,$W5753)&gt;0),N(U5752),N(U5752)+1))</f>
        <v/>
      </c>
      <c r="V5753" s="19">
        <f>IF($B5753="","",TEXT($B5753,"0000"))</f>
        <v/>
      </c>
      <c r="W5753" s="19">
        <f>IF($I5753="","",IF(ISNUMBER($I5753),TEXT($I5753,"0"),$I5753))</f>
        <v/>
      </c>
    </row>
    <row r="5754">
      <c r="B5754" s="25" t="n"/>
      <c r="I5754" s="25" t="n"/>
      <c r="U5754" s="19">
        <f>IF($V5754&lt;&gt;'設定'!$C$4,N(U5753),IF(OR(NOT(COUNTIF('商品マスタ'!$B$6:$B$1005,$W5754)=0),COUNTIFS('①在庫を貼る'!$V$6:$V$10005,$V5754,'①在庫を貼る'!$W$6:$W$10005,$W5754)+COUNTIFS('月1回_1ヶ月前の在庫'!$V$6:$V$10005,$V5754,'月1回_1ヶ月前の在庫'!$W$6:$W$10005,$W5754)&gt;0),N(U5753),N(U5753)+1))</f>
        <v/>
      </c>
      <c r="V5754" s="19">
        <f>IF($B5754="","",TEXT($B5754,"0000"))</f>
        <v/>
      </c>
      <c r="W5754" s="19">
        <f>IF($I5754="","",IF(ISNUMBER($I5754),TEXT($I5754,"0"),$I5754))</f>
        <v/>
      </c>
    </row>
    <row r="5755">
      <c r="B5755" s="25" t="n"/>
      <c r="I5755" s="25" t="n"/>
      <c r="U5755" s="19">
        <f>IF($V5755&lt;&gt;'設定'!$C$4,N(U5754),IF(OR(NOT(COUNTIF('商品マスタ'!$B$6:$B$1005,$W5755)=0),COUNTIFS('①在庫を貼る'!$V$6:$V$10005,$V5755,'①在庫を貼る'!$W$6:$W$10005,$W5755)+COUNTIFS('月1回_1ヶ月前の在庫'!$V$6:$V$10005,$V5755,'月1回_1ヶ月前の在庫'!$W$6:$W$10005,$W5755)&gt;0),N(U5754),N(U5754)+1))</f>
        <v/>
      </c>
      <c r="V5755" s="19">
        <f>IF($B5755="","",TEXT($B5755,"0000"))</f>
        <v/>
      </c>
      <c r="W5755" s="19">
        <f>IF($I5755="","",IF(ISNUMBER($I5755),TEXT($I5755,"0"),$I5755))</f>
        <v/>
      </c>
    </row>
    <row r="5756">
      <c r="B5756" s="25" t="n"/>
      <c r="I5756" s="25" t="n"/>
      <c r="U5756" s="19">
        <f>IF($V5756&lt;&gt;'設定'!$C$4,N(U5755),IF(OR(NOT(COUNTIF('商品マスタ'!$B$6:$B$1005,$W5756)=0),COUNTIFS('①在庫を貼る'!$V$6:$V$10005,$V5756,'①在庫を貼る'!$W$6:$W$10005,$W5756)+COUNTIFS('月1回_1ヶ月前の在庫'!$V$6:$V$10005,$V5756,'月1回_1ヶ月前の在庫'!$W$6:$W$10005,$W5756)&gt;0),N(U5755),N(U5755)+1))</f>
        <v/>
      </c>
      <c r="V5756" s="19">
        <f>IF($B5756="","",TEXT($B5756,"0000"))</f>
        <v/>
      </c>
      <c r="W5756" s="19">
        <f>IF($I5756="","",IF(ISNUMBER($I5756),TEXT($I5756,"0"),$I5756))</f>
        <v/>
      </c>
    </row>
    <row r="5757">
      <c r="B5757" s="25" t="n"/>
      <c r="I5757" s="25" t="n"/>
      <c r="U5757" s="19">
        <f>IF($V5757&lt;&gt;'設定'!$C$4,N(U5756),IF(OR(NOT(COUNTIF('商品マスタ'!$B$6:$B$1005,$W5757)=0),COUNTIFS('①在庫を貼る'!$V$6:$V$10005,$V5757,'①在庫を貼る'!$W$6:$W$10005,$W5757)+COUNTIFS('月1回_1ヶ月前の在庫'!$V$6:$V$10005,$V5757,'月1回_1ヶ月前の在庫'!$W$6:$W$10005,$W5757)&gt;0),N(U5756),N(U5756)+1))</f>
        <v/>
      </c>
      <c r="V5757" s="19">
        <f>IF($B5757="","",TEXT($B5757,"0000"))</f>
        <v/>
      </c>
      <c r="W5757" s="19">
        <f>IF($I5757="","",IF(ISNUMBER($I5757),TEXT($I5757,"0"),$I5757))</f>
        <v/>
      </c>
    </row>
    <row r="5758">
      <c r="B5758" s="25" t="n"/>
      <c r="I5758" s="25" t="n"/>
      <c r="U5758" s="19">
        <f>IF($V5758&lt;&gt;'設定'!$C$4,N(U5757),IF(OR(NOT(COUNTIF('商品マスタ'!$B$6:$B$1005,$W5758)=0),COUNTIFS('①在庫を貼る'!$V$6:$V$10005,$V5758,'①在庫を貼る'!$W$6:$W$10005,$W5758)+COUNTIFS('月1回_1ヶ月前の在庫'!$V$6:$V$10005,$V5758,'月1回_1ヶ月前の在庫'!$W$6:$W$10005,$W5758)&gt;0),N(U5757),N(U5757)+1))</f>
        <v/>
      </c>
      <c r="V5758" s="19">
        <f>IF($B5758="","",TEXT($B5758,"0000"))</f>
        <v/>
      </c>
      <c r="W5758" s="19">
        <f>IF($I5758="","",IF(ISNUMBER($I5758),TEXT($I5758,"0"),$I5758))</f>
        <v/>
      </c>
    </row>
    <row r="5759">
      <c r="B5759" s="25" t="n"/>
      <c r="I5759" s="25" t="n"/>
      <c r="U5759" s="19">
        <f>IF($V5759&lt;&gt;'設定'!$C$4,N(U5758),IF(OR(NOT(COUNTIF('商品マスタ'!$B$6:$B$1005,$W5759)=0),COUNTIFS('①在庫を貼る'!$V$6:$V$10005,$V5759,'①在庫を貼る'!$W$6:$W$10005,$W5759)+COUNTIFS('月1回_1ヶ月前の在庫'!$V$6:$V$10005,$V5759,'月1回_1ヶ月前の在庫'!$W$6:$W$10005,$W5759)&gt;0),N(U5758),N(U5758)+1))</f>
        <v/>
      </c>
      <c r="V5759" s="19">
        <f>IF($B5759="","",TEXT($B5759,"0000"))</f>
        <v/>
      </c>
      <c r="W5759" s="19">
        <f>IF($I5759="","",IF(ISNUMBER($I5759),TEXT($I5759,"0"),$I5759))</f>
        <v/>
      </c>
    </row>
    <row r="5760">
      <c r="B5760" s="25" t="n"/>
      <c r="I5760" s="25" t="n"/>
      <c r="U5760" s="19">
        <f>IF($V5760&lt;&gt;'設定'!$C$4,N(U5759),IF(OR(NOT(COUNTIF('商品マスタ'!$B$6:$B$1005,$W5760)=0),COUNTIFS('①在庫を貼る'!$V$6:$V$10005,$V5760,'①在庫を貼る'!$W$6:$W$10005,$W5760)+COUNTIFS('月1回_1ヶ月前の在庫'!$V$6:$V$10005,$V5760,'月1回_1ヶ月前の在庫'!$W$6:$W$10005,$W5760)&gt;0),N(U5759),N(U5759)+1))</f>
        <v/>
      </c>
      <c r="V5760" s="19">
        <f>IF($B5760="","",TEXT($B5760,"0000"))</f>
        <v/>
      </c>
      <c r="W5760" s="19">
        <f>IF($I5760="","",IF(ISNUMBER($I5760),TEXT($I5760,"0"),$I5760))</f>
        <v/>
      </c>
    </row>
    <row r="5761">
      <c r="B5761" s="25" t="n"/>
      <c r="I5761" s="25" t="n"/>
      <c r="U5761" s="19">
        <f>IF($V5761&lt;&gt;'設定'!$C$4,N(U5760),IF(OR(NOT(COUNTIF('商品マスタ'!$B$6:$B$1005,$W5761)=0),COUNTIFS('①在庫を貼る'!$V$6:$V$10005,$V5761,'①在庫を貼る'!$W$6:$W$10005,$W5761)+COUNTIFS('月1回_1ヶ月前の在庫'!$V$6:$V$10005,$V5761,'月1回_1ヶ月前の在庫'!$W$6:$W$10005,$W5761)&gt;0),N(U5760),N(U5760)+1))</f>
        <v/>
      </c>
      <c r="V5761" s="19">
        <f>IF($B5761="","",TEXT($B5761,"0000"))</f>
        <v/>
      </c>
      <c r="W5761" s="19">
        <f>IF($I5761="","",IF(ISNUMBER($I5761),TEXT($I5761,"0"),$I5761))</f>
        <v/>
      </c>
    </row>
    <row r="5762">
      <c r="B5762" s="25" t="n"/>
      <c r="I5762" s="25" t="n"/>
      <c r="U5762" s="19">
        <f>IF($V5762&lt;&gt;'設定'!$C$4,N(U5761),IF(OR(NOT(COUNTIF('商品マスタ'!$B$6:$B$1005,$W5762)=0),COUNTIFS('①在庫を貼る'!$V$6:$V$10005,$V5762,'①在庫を貼る'!$W$6:$W$10005,$W5762)+COUNTIFS('月1回_1ヶ月前の在庫'!$V$6:$V$10005,$V5762,'月1回_1ヶ月前の在庫'!$W$6:$W$10005,$W5762)&gt;0),N(U5761),N(U5761)+1))</f>
        <v/>
      </c>
      <c r="V5762" s="19">
        <f>IF($B5762="","",TEXT($B5762,"0000"))</f>
        <v/>
      </c>
      <c r="W5762" s="19">
        <f>IF($I5762="","",IF(ISNUMBER($I5762),TEXT($I5762,"0"),$I5762))</f>
        <v/>
      </c>
    </row>
    <row r="5763">
      <c r="B5763" s="25" t="n"/>
      <c r="I5763" s="25" t="n"/>
      <c r="U5763" s="19">
        <f>IF($V5763&lt;&gt;'設定'!$C$4,N(U5762),IF(OR(NOT(COUNTIF('商品マスタ'!$B$6:$B$1005,$W5763)=0),COUNTIFS('①在庫を貼る'!$V$6:$V$10005,$V5763,'①在庫を貼る'!$W$6:$W$10005,$W5763)+COUNTIFS('月1回_1ヶ月前の在庫'!$V$6:$V$10005,$V5763,'月1回_1ヶ月前の在庫'!$W$6:$W$10005,$W5763)&gt;0),N(U5762),N(U5762)+1))</f>
        <v/>
      </c>
      <c r="V5763" s="19">
        <f>IF($B5763="","",TEXT($B5763,"0000"))</f>
        <v/>
      </c>
      <c r="W5763" s="19">
        <f>IF($I5763="","",IF(ISNUMBER($I5763),TEXT($I5763,"0"),$I5763))</f>
        <v/>
      </c>
    </row>
    <row r="5764">
      <c r="B5764" s="25" t="n"/>
      <c r="I5764" s="25" t="n"/>
      <c r="U5764" s="19">
        <f>IF($V5764&lt;&gt;'設定'!$C$4,N(U5763),IF(OR(NOT(COUNTIF('商品マスタ'!$B$6:$B$1005,$W5764)=0),COUNTIFS('①在庫を貼る'!$V$6:$V$10005,$V5764,'①在庫を貼る'!$W$6:$W$10005,$W5764)+COUNTIFS('月1回_1ヶ月前の在庫'!$V$6:$V$10005,$V5764,'月1回_1ヶ月前の在庫'!$W$6:$W$10005,$W5764)&gt;0),N(U5763),N(U5763)+1))</f>
        <v/>
      </c>
      <c r="V5764" s="19">
        <f>IF($B5764="","",TEXT($B5764,"0000"))</f>
        <v/>
      </c>
      <c r="W5764" s="19">
        <f>IF($I5764="","",IF(ISNUMBER($I5764),TEXT($I5764,"0"),$I5764))</f>
        <v/>
      </c>
    </row>
    <row r="5765">
      <c r="B5765" s="25" t="n"/>
      <c r="I5765" s="25" t="n"/>
      <c r="U5765" s="19">
        <f>IF($V5765&lt;&gt;'設定'!$C$4,N(U5764),IF(OR(NOT(COUNTIF('商品マスタ'!$B$6:$B$1005,$W5765)=0),COUNTIFS('①在庫を貼る'!$V$6:$V$10005,$V5765,'①在庫を貼る'!$W$6:$W$10005,$W5765)+COUNTIFS('月1回_1ヶ月前の在庫'!$V$6:$V$10005,$V5765,'月1回_1ヶ月前の在庫'!$W$6:$W$10005,$W5765)&gt;0),N(U5764),N(U5764)+1))</f>
        <v/>
      </c>
      <c r="V5765" s="19">
        <f>IF($B5765="","",TEXT($B5765,"0000"))</f>
        <v/>
      </c>
      <c r="W5765" s="19">
        <f>IF($I5765="","",IF(ISNUMBER($I5765),TEXT($I5765,"0"),$I5765))</f>
        <v/>
      </c>
    </row>
    <row r="5766">
      <c r="B5766" s="25" t="n"/>
      <c r="I5766" s="25" t="n"/>
      <c r="U5766" s="19">
        <f>IF($V5766&lt;&gt;'設定'!$C$4,N(U5765),IF(OR(NOT(COUNTIF('商品マスタ'!$B$6:$B$1005,$W5766)=0),COUNTIFS('①在庫を貼る'!$V$6:$V$10005,$V5766,'①在庫を貼る'!$W$6:$W$10005,$W5766)+COUNTIFS('月1回_1ヶ月前の在庫'!$V$6:$V$10005,$V5766,'月1回_1ヶ月前の在庫'!$W$6:$W$10005,$W5766)&gt;0),N(U5765),N(U5765)+1))</f>
        <v/>
      </c>
      <c r="V5766" s="19">
        <f>IF($B5766="","",TEXT($B5766,"0000"))</f>
        <v/>
      </c>
      <c r="W5766" s="19">
        <f>IF($I5766="","",IF(ISNUMBER($I5766),TEXT($I5766,"0"),$I5766))</f>
        <v/>
      </c>
    </row>
    <row r="5767">
      <c r="B5767" s="25" t="n"/>
      <c r="I5767" s="25" t="n"/>
      <c r="U5767" s="19">
        <f>IF($V5767&lt;&gt;'設定'!$C$4,N(U5766),IF(OR(NOT(COUNTIF('商品マスタ'!$B$6:$B$1005,$W5767)=0),COUNTIFS('①在庫を貼る'!$V$6:$V$10005,$V5767,'①在庫を貼る'!$W$6:$W$10005,$W5767)+COUNTIFS('月1回_1ヶ月前の在庫'!$V$6:$V$10005,$V5767,'月1回_1ヶ月前の在庫'!$W$6:$W$10005,$W5767)&gt;0),N(U5766),N(U5766)+1))</f>
        <v/>
      </c>
      <c r="V5767" s="19">
        <f>IF($B5767="","",TEXT($B5767,"0000"))</f>
        <v/>
      </c>
      <c r="W5767" s="19">
        <f>IF($I5767="","",IF(ISNUMBER($I5767),TEXT($I5767,"0"),$I5767))</f>
        <v/>
      </c>
    </row>
    <row r="5768">
      <c r="B5768" s="25" t="n"/>
      <c r="I5768" s="25" t="n"/>
      <c r="U5768" s="19">
        <f>IF($V5768&lt;&gt;'設定'!$C$4,N(U5767),IF(OR(NOT(COUNTIF('商品マスタ'!$B$6:$B$1005,$W5768)=0),COUNTIFS('①在庫を貼る'!$V$6:$V$10005,$V5768,'①在庫を貼る'!$W$6:$W$10005,$W5768)+COUNTIFS('月1回_1ヶ月前の在庫'!$V$6:$V$10005,$V5768,'月1回_1ヶ月前の在庫'!$W$6:$W$10005,$W5768)&gt;0),N(U5767),N(U5767)+1))</f>
        <v/>
      </c>
      <c r="V5768" s="19">
        <f>IF($B5768="","",TEXT($B5768,"0000"))</f>
        <v/>
      </c>
      <c r="W5768" s="19">
        <f>IF($I5768="","",IF(ISNUMBER($I5768),TEXT($I5768,"0"),$I5768))</f>
        <v/>
      </c>
    </row>
    <row r="5769">
      <c r="B5769" s="25" t="n"/>
      <c r="I5769" s="25" t="n"/>
      <c r="U5769" s="19">
        <f>IF($V5769&lt;&gt;'設定'!$C$4,N(U5768),IF(OR(NOT(COUNTIF('商品マスタ'!$B$6:$B$1005,$W5769)=0),COUNTIFS('①在庫を貼る'!$V$6:$V$10005,$V5769,'①在庫を貼る'!$W$6:$W$10005,$W5769)+COUNTIFS('月1回_1ヶ月前の在庫'!$V$6:$V$10005,$V5769,'月1回_1ヶ月前の在庫'!$W$6:$W$10005,$W5769)&gt;0),N(U5768),N(U5768)+1))</f>
        <v/>
      </c>
      <c r="V5769" s="19">
        <f>IF($B5769="","",TEXT($B5769,"0000"))</f>
        <v/>
      </c>
      <c r="W5769" s="19">
        <f>IF($I5769="","",IF(ISNUMBER($I5769),TEXT($I5769,"0"),$I5769))</f>
        <v/>
      </c>
    </row>
    <row r="5770">
      <c r="B5770" s="25" t="n"/>
      <c r="I5770" s="25" t="n"/>
      <c r="U5770" s="19">
        <f>IF($V5770&lt;&gt;'設定'!$C$4,N(U5769),IF(OR(NOT(COUNTIF('商品マスタ'!$B$6:$B$1005,$W5770)=0),COUNTIFS('①在庫を貼る'!$V$6:$V$10005,$V5770,'①在庫を貼る'!$W$6:$W$10005,$W5770)+COUNTIFS('月1回_1ヶ月前の在庫'!$V$6:$V$10005,$V5770,'月1回_1ヶ月前の在庫'!$W$6:$W$10005,$W5770)&gt;0),N(U5769),N(U5769)+1))</f>
        <v/>
      </c>
      <c r="V5770" s="19">
        <f>IF($B5770="","",TEXT($B5770,"0000"))</f>
        <v/>
      </c>
      <c r="W5770" s="19">
        <f>IF($I5770="","",IF(ISNUMBER($I5770),TEXT($I5770,"0"),$I5770))</f>
        <v/>
      </c>
    </row>
    <row r="5771">
      <c r="B5771" s="25" t="n"/>
      <c r="I5771" s="25" t="n"/>
      <c r="U5771" s="19">
        <f>IF($V5771&lt;&gt;'設定'!$C$4,N(U5770),IF(OR(NOT(COUNTIF('商品マスタ'!$B$6:$B$1005,$W5771)=0),COUNTIFS('①在庫を貼る'!$V$6:$V$10005,$V5771,'①在庫を貼る'!$W$6:$W$10005,$W5771)+COUNTIFS('月1回_1ヶ月前の在庫'!$V$6:$V$10005,$V5771,'月1回_1ヶ月前の在庫'!$W$6:$W$10005,$W5771)&gt;0),N(U5770),N(U5770)+1))</f>
        <v/>
      </c>
      <c r="V5771" s="19">
        <f>IF($B5771="","",TEXT($B5771,"0000"))</f>
        <v/>
      </c>
      <c r="W5771" s="19">
        <f>IF($I5771="","",IF(ISNUMBER($I5771),TEXT($I5771,"0"),$I5771))</f>
        <v/>
      </c>
    </row>
    <row r="5772">
      <c r="B5772" s="25" t="n"/>
      <c r="I5772" s="25" t="n"/>
      <c r="U5772" s="19">
        <f>IF($V5772&lt;&gt;'設定'!$C$4,N(U5771),IF(OR(NOT(COUNTIF('商品マスタ'!$B$6:$B$1005,$W5772)=0),COUNTIFS('①在庫を貼る'!$V$6:$V$10005,$V5772,'①在庫を貼る'!$W$6:$W$10005,$W5772)+COUNTIFS('月1回_1ヶ月前の在庫'!$V$6:$V$10005,$V5772,'月1回_1ヶ月前の在庫'!$W$6:$W$10005,$W5772)&gt;0),N(U5771),N(U5771)+1))</f>
        <v/>
      </c>
      <c r="V5772" s="19">
        <f>IF($B5772="","",TEXT($B5772,"0000"))</f>
        <v/>
      </c>
      <c r="W5772" s="19">
        <f>IF($I5772="","",IF(ISNUMBER($I5772),TEXT($I5772,"0"),$I5772))</f>
        <v/>
      </c>
    </row>
    <row r="5773">
      <c r="B5773" s="25" t="n"/>
      <c r="I5773" s="25" t="n"/>
      <c r="U5773" s="19">
        <f>IF($V5773&lt;&gt;'設定'!$C$4,N(U5772),IF(OR(NOT(COUNTIF('商品マスタ'!$B$6:$B$1005,$W5773)=0),COUNTIFS('①在庫を貼る'!$V$6:$V$10005,$V5773,'①在庫を貼る'!$W$6:$W$10005,$W5773)+COUNTIFS('月1回_1ヶ月前の在庫'!$V$6:$V$10005,$V5773,'月1回_1ヶ月前の在庫'!$W$6:$W$10005,$W5773)&gt;0),N(U5772),N(U5772)+1))</f>
        <v/>
      </c>
      <c r="V5773" s="19">
        <f>IF($B5773="","",TEXT($B5773,"0000"))</f>
        <v/>
      </c>
      <c r="W5773" s="19">
        <f>IF($I5773="","",IF(ISNUMBER($I5773),TEXT($I5773,"0"),$I5773))</f>
        <v/>
      </c>
    </row>
    <row r="5774">
      <c r="B5774" s="25" t="n"/>
      <c r="I5774" s="25" t="n"/>
      <c r="U5774" s="19">
        <f>IF($V5774&lt;&gt;'設定'!$C$4,N(U5773),IF(OR(NOT(COUNTIF('商品マスタ'!$B$6:$B$1005,$W5774)=0),COUNTIFS('①在庫を貼る'!$V$6:$V$10005,$V5774,'①在庫を貼る'!$W$6:$W$10005,$W5774)+COUNTIFS('月1回_1ヶ月前の在庫'!$V$6:$V$10005,$V5774,'月1回_1ヶ月前の在庫'!$W$6:$W$10005,$W5774)&gt;0),N(U5773),N(U5773)+1))</f>
        <v/>
      </c>
      <c r="V5774" s="19">
        <f>IF($B5774="","",TEXT($B5774,"0000"))</f>
        <v/>
      </c>
      <c r="W5774" s="19">
        <f>IF($I5774="","",IF(ISNUMBER($I5774),TEXT($I5774,"0"),$I5774))</f>
        <v/>
      </c>
    </row>
    <row r="5775">
      <c r="B5775" s="25" t="n"/>
      <c r="I5775" s="25" t="n"/>
      <c r="U5775" s="19">
        <f>IF($V5775&lt;&gt;'設定'!$C$4,N(U5774),IF(OR(NOT(COUNTIF('商品マスタ'!$B$6:$B$1005,$W5775)=0),COUNTIFS('①在庫を貼る'!$V$6:$V$10005,$V5775,'①在庫を貼る'!$W$6:$W$10005,$W5775)+COUNTIFS('月1回_1ヶ月前の在庫'!$V$6:$V$10005,$V5775,'月1回_1ヶ月前の在庫'!$W$6:$W$10005,$W5775)&gt;0),N(U5774),N(U5774)+1))</f>
        <v/>
      </c>
      <c r="V5775" s="19">
        <f>IF($B5775="","",TEXT($B5775,"0000"))</f>
        <v/>
      </c>
      <c r="W5775" s="19">
        <f>IF($I5775="","",IF(ISNUMBER($I5775),TEXT($I5775,"0"),$I5775))</f>
        <v/>
      </c>
    </row>
    <row r="5776">
      <c r="B5776" s="25" t="n"/>
      <c r="I5776" s="25" t="n"/>
      <c r="U5776" s="19">
        <f>IF($V5776&lt;&gt;'設定'!$C$4,N(U5775),IF(OR(NOT(COUNTIF('商品マスタ'!$B$6:$B$1005,$W5776)=0),COUNTIFS('①在庫を貼る'!$V$6:$V$10005,$V5776,'①在庫を貼る'!$W$6:$W$10005,$W5776)+COUNTIFS('月1回_1ヶ月前の在庫'!$V$6:$V$10005,$V5776,'月1回_1ヶ月前の在庫'!$W$6:$W$10005,$W5776)&gt;0),N(U5775),N(U5775)+1))</f>
        <v/>
      </c>
      <c r="V5776" s="19">
        <f>IF($B5776="","",TEXT($B5776,"0000"))</f>
        <v/>
      </c>
      <c r="W5776" s="19">
        <f>IF($I5776="","",IF(ISNUMBER($I5776),TEXT($I5776,"0"),$I5776))</f>
        <v/>
      </c>
    </row>
    <row r="5777">
      <c r="B5777" s="25" t="n"/>
      <c r="I5777" s="25" t="n"/>
      <c r="U5777" s="19">
        <f>IF($V5777&lt;&gt;'設定'!$C$4,N(U5776),IF(OR(NOT(COUNTIF('商品マスタ'!$B$6:$B$1005,$W5777)=0),COUNTIFS('①在庫を貼る'!$V$6:$V$10005,$V5777,'①在庫を貼る'!$W$6:$W$10005,$W5777)+COUNTIFS('月1回_1ヶ月前の在庫'!$V$6:$V$10005,$V5777,'月1回_1ヶ月前の在庫'!$W$6:$W$10005,$W5777)&gt;0),N(U5776),N(U5776)+1))</f>
        <v/>
      </c>
      <c r="V5777" s="19">
        <f>IF($B5777="","",TEXT($B5777,"0000"))</f>
        <v/>
      </c>
      <c r="W5777" s="19">
        <f>IF($I5777="","",IF(ISNUMBER($I5777),TEXT($I5777,"0"),$I5777))</f>
        <v/>
      </c>
    </row>
    <row r="5778">
      <c r="B5778" s="25" t="n"/>
      <c r="I5778" s="25" t="n"/>
      <c r="U5778" s="19">
        <f>IF($V5778&lt;&gt;'設定'!$C$4,N(U5777),IF(OR(NOT(COUNTIF('商品マスタ'!$B$6:$B$1005,$W5778)=0),COUNTIFS('①在庫を貼る'!$V$6:$V$10005,$V5778,'①在庫を貼る'!$W$6:$W$10005,$W5778)+COUNTIFS('月1回_1ヶ月前の在庫'!$V$6:$V$10005,$V5778,'月1回_1ヶ月前の在庫'!$W$6:$W$10005,$W5778)&gt;0),N(U5777),N(U5777)+1))</f>
        <v/>
      </c>
      <c r="V5778" s="19">
        <f>IF($B5778="","",TEXT($B5778,"0000"))</f>
        <v/>
      </c>
      <c r="W5778" s="19">
        <f>IF($I5778="","",IF(ISNUMBER($I5778),TEXT($I5778,"0"),$I5778))</f>
        <v/>
      </c>
    </row>
    <row r="5779">
      <c r="B5779" s="25" t="n"/>
      <c r="I5779" s="25" t="n"/>
      <c r="U5779" s="19">
        <f>IF($V5779&lt;&gt;'設定'!$C$4,N(U5778),IF(OR(NOT(COUNTIF('商品マスタ'!$B$6:$B$1005,$W5779)=0),COUNTIFS('①在庫を貼る'!$V$6:$V$10005,$V5779,'①在庫を貼る'!$W$6:$W$10005,$W5779)+COUNTIFS('月1回_1ヶ月前の在庫'!$V$6:$V$10005,$V5779,'月1回_1ヶ月前の在庫'!$W$6:$W$10005,$W5779)&gt;0),N(U5778),N(U5778)+1))</f>
        <v/>
      </c>
      <c r="V5779" s="19">
        <f>IF($B5779="","",TEXT($B5779,"0000"))</f>
        <v/>
      </c>
      <c r="W5779" s="19">
        <f>IF($I5779="","",IF(ISNUMBER($I5779),TEXT($I5779,"0"),$I5779))</f>
        <v/>
      </c>
    </row>
    <row r="5780">
      <c r="B5780" s="25" t="n"/>
      <c r="I5780" s="25" t="n"/>
      <c r="U5780" s="19">
        <f>IF($V5780&lt;&gt;'設定'!$C$4,N(U5779),IF(OR(NOT(COUNTIF('商品マスタ'!$B$6:$B$1005,$W5780)=0),COUNTIFS('①在庫を貼る'!$V$6:$V$10005,$V5780,'①在庫を貼る'!$W$6:$W$10005,$W5780)+COUNTIFS('月1回_1ヶ月前の在庫'!$V$6:$V$10005,$V5780,'月1回_1ヶ月前の在庫'!$W$6:$W$10005,$W5780)&gt;0),N(U5779),N(U5779)+1))</f>
        <v/>
      </c>
      <c r="V5780" s="19">
        <f>IF($B5780="","",TEXT($B5780,"0000"))</f>
        <v/>
      </c>
      <c r="W5780" s="19">
        <f>IF($I5780="","",IF(ISNUMBER($I5780),TEXT($I5780,"0"),$I5780))</f>
        <v/>
      </c>
    </row>
    <row r="5781">
      <c r="B5781" s="25" t="n"/>
      <c r="I5781" s="25" t="n"/>
      <c r="U5781" s="19">
        <f>IF($V5781&lt;&gt;'設定'!$C$4,N(U5780),IF(OR(NOT(COUNTIF('商品マスタ'!$B$6:$B$1005,$W5781)=0),COUNTIFS('①在庫を貼る'!$V$6:$V$10005,$V5781,'①在庫を貼る'!$W$6:$W$10005,$W5781)+COUNTIFS('月1回_1ヶ月前の在庫'!$V$6:$V$10005,$V5781,'月1回_1ヶ月前の在庫'!$W$6:$W$10005,$W5781)&gt;0),N(U5780),N(U5780)+1))</f>
        <v/>
      </c>
      <c r="V5781" s="19">
        <f>IF($B5781="","",TEXT($B5781,"0000"))</f>
        <v/>
      </c>
      <c r="W5781" s="19">
        <f>IF($I5781="","",IF(ISNUMBER($I5781),TEXT($I5781,"0"),$I5781))</f>
        <v/>
      </c>
    </row>
    <row r="5782">
      <c r="B5782" s="25" t="n"/>
      <c r="I5782" s="25" t="n"/>
      <c r="U5782" s="19">
        <f>IF($V5782&lt;&gt;'設定'!$C$4,N(U5781),IF(OR(NOT(COUNTIF('商品マスタ'!$B$6:$B$1005,$W5782)=0),COUNTIFS('①在庫を貼る'!$V$6:$V$10005,$V5782,'①在庫を貼る'!$W$6:$W$10005,$W5782)+COUNTIFS('月1回_1ヶ月前の在庫'!$V$6:$V$10005,$V5782,'月1回_1ヶ月前の在庫'!$W$6:$W$10005,$W5782)&gt;0),N(U5781),N(U5781)+1))</f>
        <v/>
      </c>
      <c r="V5782" s="19">
        <f>IF($B5782="","",TEXT($B5782,"0000"))</f>
        <v/>
      </c>
      <c r="W5782" s="19">
        <f>IF($I5782="","",IF(ISNUMBER($I5782),TEXT($I5782,"0"),$I5782))</f>
        <v/>
      </c>
    </row>
    <row r="5783">
      <c r="B5783" s="25" t="n"/>
      <c r="I5783" s="25" t="n"/>
      <c r="U5783" s="19">
        <f>IF($V5783&lt;&gt;'設定'!$C$4,N(U5782),IF(OR(NOT(COUNTIF('商品マスタ'!$B$6:$B$1005,$W5783)=0),COUNTIFS('①在庫を貼る'!$V$6:$V$10005,$V5783,'①在庫を貼る'!$W$6:$W$10005,$W5783)+COUNTIFS('月1回_1ヶ月前の在庫'!$V$6:$V$10005,$V5783,'月1回_1ヶ月前の在庫'!$W$6:$W$10005,$W5783)&gt;0),N(U5782),N(U5782)+1))</f>
        <v/>
      </c>
      <c r="V5783" s="19">
        <f>IF($B5783="","",TEXT($B5783,"0000"))</f>
        <v/>
      </c>
      <c r="W5783" s="19">
        <f>IF($I5783="","",IF(ISNUMBER($I5783),TEXT($I5783,"0"),$I5783))</f>
        <v/>
      </c>
    </row>
    <row r="5784">
      <c r="B5784" s="25" t="n"/>
      <c r="I5784" s="25" t="n"/>
      <c r="U5784" s="19">
        <f>IF($V5784&lt;&gt;'設定'!$C$4,N(U5783),IF(OR(NOT(COUNTIF('商品マスタ'!$B$6:$B$1005,$W5784)=0),COUNTIFS('①在庫を貼る'!$V$6:$V$10005,$V5784,'①在庫を貼る'!$W$6:$W$10005,$W5784)+COUNTIFS('月1回_1ヶ月前の在庫'!$V$6:$V$10005,$V5784,'月1回_1ヶ月前の在庫'!$W$6:$W$10005,$W5784)&gt;0),N(U5783),N(U5783)+1))</f>
        <v/>
      </c>
      <c r="V5784" s="19">
        <f>IF($B5784="","",TEXT($B5784,"0000"))</f>
        <v/>
      </c>
      <c r="W5784" s="19">
        <f>IF($I5784="","",IF(ISNUMBER($I5784),TEXT($I5784,"0"),$I5784))</f>
        <v/>
      </c>
    </row>
    <row r="5785">
      <c r="B5785" s="25" t="n"/>
      <c r="I5785" s="25" t="n"/>
      <c r="U5785" s="19">
        <f>IF($V5785&lt;&gt;'設定'!$C$4,N(U5784),IF(OR(NOT(COUNTIF('商品マスタ'!$B$6:$B$1005,$W5785)=0),COUNTIFS('①在庫を貼る'!$V$6:$V$10005,$V5785,'①在庫を貼る'!$W$6:$W$10005,$W5785)+COUNTIFS('月1回_1ヶ月前の在庫'!$V$6:$V$10005,$V5785,'月1回_1ヶ月前の在庫'!$W$6:$W$10005,$W5785)&gt;0),N(U5784),N(U5784)+1))</f>
        <v/>
      </c>
      <c r="V5785" s="19">
        <f>IF($B5785="","",TEXT($B5785,"0000"))</f>
        <v/>
      </c>
      <c r="W5785" s="19">
        <f>IF($I5785="","",IF(ISNUMBER($I5785),TEXT($I5785,"0"),$I5785))</f>
        <v/>
      </c>
    </row>
    <row r="5786">
      <c r="B5786" s="25" t="n"/>
      <c r="I5786" s="25" t="n"/>
      <c r="U5786" s="19">
        <f>IF($V5786&lt;&gt;'設定'!$C$4,N(U5785),IF(OR(NOT(COUNTIF('商品マスタ'!$B$6:$B$1005,$W5786)=0),COUNTIFS('①在庫を貼る'!$V$6:$V$10005,$V5786,'①在庫を貼る'!$W$6:$W$10005,$W5786)+COUNTIFS('月1回_1ヶ月前の在庫'!$V$6:$V$10005,$V5786,'月1回_1ヶ月前の在庫'!$W$6:$W$10005,$W5786)&gt;0),N(U5785),N(U5785)+1))</f>
        <v/>
      </c>
      <c r="V5786" s="19">
        <f>IF($B5786="","",TEXT($B5786,"0000"))</f>
        <v/>
      </c>
      <c r="W5786" s="19">
        <f>IF($I5786="","",IF(ISNUMBER($I5786),TEXT($I5786,"0"),$I5786))</f>
        <v/>
      </c>
    </row>
    <row r="5787">
      <c r="B5787" s="25" t="n"/>
      <c r="I5787" s="25" t="n"/>
      <c r="U5787" s="19">
        <f>IF($V5787&lt;&gt;'設定'!$C$4,N(U5786),IF(OR(NOT(COUNTIF('商品マスタ'!$B$6:$B$1005,$W5787)=0),COUNTIFS('①在庫を貼る'!$V$6:$V$10005,$V5787,'①在庫を貼る'!$W$6:$W$10005,$W5787)+COUNTIFS('月1回_1ヶ月前の在庫'!$V$6:$V$10005,$V5787,'月1回_1ヶ月前の在庫'!$W$6:$W$10005,$W5787)&gt;0),N(U5786),N(U5786)+1))</f>
        <v/>
      </c>
      <c r="V5787" s="19">
        <f>IF($B5787="","",TEXT($B5787,"0000"))</f>
        <v/>
      </c>
      <c r="W5787" s="19">
        <f>IF($I5787="","",IF(ISNUMBER($I5787),TEXT($I5787,"0"),$I5787))</f>
        <v/>
      </c>
    </row>
    <row r="5788">
      <c r="B5788" s="25" t="n"/>
      <c r="I5788" s="25" t="n"/>
      <c r="U5788" s="19">
        <f>IF($V5788&lt;&gt;'設定'!$C$4,N(U5787),IF(OR(NOT(COUNTIF('商品マスタ'!$B$6:$B$1005,$W5788)=0),COUNTIFS('①在庫を貼る'!$V$6:$V$10005,$V5788,'①在庫を貼る'!$W$6:$W$10005,$W5788)+COUNTIFS('月1回_1ヶ月前の在庫'!$V$6:$V$10005,$V5788,'月1回_1ヶ月前の在庫'!$W$6:$W$10005,$W5788)&gt;0),N(U5787),N(U5787)+1))</f>
        <v/>
      </c>
      <c r="V5788" s="19">
        <f>IF($B5788="","",TEXT($B5788,"0000"))</f>
        <v/>
      </c>
      <c r="W5788" s="19">
        <f>IF($I5788="","",IF(ISNUMBER($I5788),TEXT($I5788,"0"),$I5788))</f>
        <v/>
      </c>
    </row>
    <row r="5789">
      <c r="B5789" s="25" t="n"/>
      <c r="I5789" s="25" t="n"/>
      <c r="U5789" s="19">
        <f>IF($V5789&lt;&gt;'設定'!$C$4,N(U5788),IF(OR(NOT(COUNTIF('商品マスタ'!$B$6:$B$1005,$W5789)=0),COUNTIFS('①在庫を貼る'!$V$6:$V$10005,$V5789,'①在庫を貼る'!$W$6:$W$10005,$W5789)+COUNTIFS('月1回_1ヶ月前の在庫'!$V$6:$V$10005,$V5789,'月1回_1ヶ月前の在庫'!$W$6:$W$10005,$W5789)&gt;0),N(U5788),N(U5788)+1))</f>
        <v/>
      </c>
      <c r="V5789" s="19">
        <f>IF($B5789="","",TEXT($B5789,"0000"))</f>
        <v/>
      </c>
      <c r="W5789" s="19">
        <f>IF($I5789="","",IF(ISNUMBER($I5789),TEXT($I5789,"0"),$I5789))</f>
        <v/>
      </c>
    </row>
    <row r="5790">
      <c r="B5790" s="25" t="n"/>
      <c r="I5790" s="25" t="n"/>
      <c r="U5790" s="19">
        <f>IF($V5790&lt;&gt;'設定'!$C$4,N(U5789),IF(OR(NOT(COUNTIF('商品マスタ'!$B$6:$B$1005,$W5790)=0),COUNTIFS('①在庫を貼る'!$V$6:$V$10005,$V5790,'①在庫を貼る'!$W$6:$W$10005,$W5790)+COUNTIFS('月1回_1ヶ月前の在庫'!$V$6:$V$10005,$V5790,'月1回_1ヶ月前の在庫'!$W$6:$W$10005,$W5790)&gt;0),N(U5789),N(U5789)+1))</f>
        <v/>
      </c>
      <c r="V5790" s="19">
        <f>IF($B5790="","",TEXT($B5790,"0000"))</f>
        <v/>
      </c>
      <c r="W5790" s="19">
        <f>IF($I5790="","",IF(ISNUMBER($I5790),TEXT($I5790,"0"),$I5790))</f>
        <v/>
      </c>
    </row>
    <row r="5791">
      <c r="B5791" s="25" t="n"/>
      <c r="I5791" s="25" t="n"/>
      <c r="U5791" s="19">
        <f>IF($V5791&lt;&gt;'設定'!$C$4,N(U5790),IF(OR(NOT(COUNTIF('商品マスタ'!$B$6:$B$1005,$W5791)=0),COUNTIFS('①在庫を貼る'!$V$6:$V$10005,$V5791,'①在庫を貼る'!$W$6:$W$10005,$W5791)+COUNTIFS('月1回_1ヶ月前の在庫'!$V$6:$V$10005,$V5791,'月1回_1ヶ月前の在庫'!$W$6:$W$10005,$W5791)&gt;0),N(U5790),N(U5790)+1))</f>
        <v/>
      </c>
      <c r="V5791" s="19">
        <f>IF($B5791="","",TEXT($B5791,"0000"))</f>
        <v/>
      </c>
      <c r="W5791" s="19">
        <f>IF($I5791="","",IF(ISNUMBER($I5791),TEXT($I5791,"0"),$I5791))</f>
        <v/>
      </c>
    </row>
    <row r="5792">
      <c r="B5792" s="25" t="n"/>
      <c r="I5792" s="25" t="n"/>
      <c r="U5792" s="19">
        <f>IF($V5792&lt;&gt;'設定'!$C$4,N(U5791),IF(OR(NOT(COUNTIF('商品マスタ'!$B$6:$B$1005,$W5792)=0),COUNTIFS('①在庫を貼る'!$V$6:$V$10005,$V5792,'①在庫を貼る'!$W$6:$W$10005,$W5792)+COUNTIFS('月1回_1ヶ月前の在庫'!$V$6:$V$10005,$V5792,'月1回_1ヶ月前の在庫'!$W$6:$W$10005,$W5792)&gt;0),N(U5791),N(U5791)+1))</f>
        <v/>
      </c>
      <c r="V5792" s="19">
        <f>IF($B5792="","",TEXT($B5792,"0000"))</f>
        <v/>
      </c>
      <c r="W5792" s="19">
        <f>IF($I5792="","",IF(ISNUMBER($I5792),TEXT($I5792,"0"),$I5792))</f>
        <v/>
      </c>
    </row>
    <row r="5793">
      <c r="B5793" s="25" t="n"/>
      <c r="I5793" s="25" t="n"/>
      <c r="U5793" s="19">
        <f>IF($V5793&lt;&gt;'設定'!$C$4,N(U5792),IF(OR(NOT(COUNTIF('商品マスタ'!$B$6:$B$1005,$W5793)=0),COUNTIFS('①在庫を貼る'!$V$6:$V$10005,$V5793,'①在庫を貼る'!$W$6:$W$10005,$W5793)+COUNTIFS('月1回_1ヶ月前の在庫'!$V$6:$V$10005,$V5793,'月1回_1ヶ月前の在庫'!$W$6:$W$10005,$W5793)&gt;0),N(U5792),N(U5792)+1))</f>
        <v/>
      </c>
      <c r="V5793" s="19">
        <f>IF($B5793="","",TEXT($B5793,"0000"))</f>
        <v/>
      </c>
      <c r="W5793" s="19">
        <f>IF($I5793="","",IF(ISNUMBER($I5793),TEXT($I5793,"0"),$I5793))</f>
        <v/>
      </c>
    </row>
    <row r="5794">
      <c r="B5794" s="25" t="n"/>
      <c r="I5794" s="25" t="n"/>
      <c r="U5794" s="19">
        <f>IF($V5794&lt;&gt;'設定'!$C$4,N(U5793),IF(OR(NOT(COUNTIF('商品マスタ'!$B$6:$B$1005,$W5794)=0),COUNTIFS('①在庫を貼る'!$V$6:$V$10005,$V5794,'①在庫を貼る'!$W$6:$W$10005,$W5794)+COUNTIFS('月1回_1ヶ月前の在庫'!$V$6:$V$10005,$V5794,'月1回_1ヶ月前の在庫'!$W$6:$W$10005,$W5794)&gt;0),N(U5793),N(U5793)+1))</f>
        <v/>
      </c>
      <c r="V5794" s="19">
        <f>IF($B5794="","",TEXT($B5794,"0000"))</f>
        <v/>
      </c>
      <c r="W5794" s="19">
        <f>IF($I5794="","",IF(ISNUMBER($I5794),TEXT($I5794,"0"),$I5794))</f>
        <v/>
      </c>
    </row>
    <row r="5795">
      <c r="B5795" s="25" t="n"/>
      <c r="I5795" s="25" t="n"/>
      <c r="U5795" s="19">
        <f>IF($V5795&lt;&gt;'設定'!$C$4,N(U5794),IF(OR(NOT(COUNTIF('商品マスタ'!$B$6:$B$1005,$W5795)=0),COUNTIFS('①在庫を貼る'!$V$6:$V$10005,$V5795,'①在庫を貼る'!$W$6:$W$10005,$W5795)+COUNTIFS('月1回_1ヶ月前の在庫'!$V$6:$V$10005,$V5795,'月1回_1ヶ月前の在庫'!$W$6:$W$10005,$W5795)&gt;0),N(U5794),N(U5794)+1))</f>
        <v/>
      </c>
      <c r="V5795" s="19">
        <f>IF($B5795="","",TEXT($B5795,"0000"))</f>
        <v/>
      </c>
      <c r="W5795" s="19">
        <f>IF($I5795="","",IF(ISNUMBER($I5795),TEXT($I5795,"0"),$I5795))</f>
        <v/>
      </c>
    </row>
    <row r="5796">
      <c r="B5796" s="25" t="n"/>
      <c r="I5796" s="25" t="n"/>
      <c r="U5796" s="19">
        <f>IF($V5796&lt;&gt;'設定'!$C$4,N(U5795),IF(OR(NOT(COUNTIF('商品マスタ'!$B$6:$B$1005,$W5796)=0),COUNTIFS('①在庫を貼る'!$V$6:$V$10005,$V5796,'①在庫を貼る'!$W$6:$W$10005,$W5796)+COUNTIFS('月1回_1ヶ月前の在庫'!$V$6:$V$10005,$V5796,'月1回_1ヶ月前の在庫'!$W$6:$W$10005,$W5796)&gt;0),N(U5795),N(U5795)+1))</f>
        <v/>
      </c>
      <c r="V5796" s="19">
        <f>IF($B5796="","",TEXT($B5796,"0000"))</f>
        <v/>
      </c>
      <c r="W5796" s="19">
        <f>IF($I5796="","",IF(ISNUMBER($I5796),TEXT($I5796,"0"),$I5796))</f>
        <v/>
      </c>
    </row>
    <row r="5797">
      <c r="B5797" s="25" t="n"/>
      <c r="I5797" s="25" t="n"/>
      <c r="U5797" s="19">
        <f>IF($V5797&lt;&gt;'設定'!$C$4,N(U5796),IF(OR(NOT(COUNTIF('商品マスタ'!$B$6:$B$1005,$W5797)=0),COUNTIFS('①在庫を貼る'!$V$6:$V$10005,$V5797,'①在庫を貼る'!$W$6:$W$10005,$W5797)+COUNTIFS('月1回_1ヶ月前の在庫'!$V$6:$V$10005,$V5797,'月1回_1ヶ月前の在庫'!$W$6:$W$10005,$W5797)&gt;0),N(U5796),N(U5796)+1))</f>
        <v/>
      </c>
      <c r="V5797" s="19">
        <f>IF($B5797="","",TEXT($B5797,"0000"))</f>
        <v/>
      </c>
      <c r="W5797" s="19">
        <f>IF($I5797="","",IF(ISNUMBER($I5797),TEXT($I5797,"0"),$I5797))</f>
        <v/>
      </c>
    </row>
    <row r="5798">
      <c r="B5798" s="25" t="n"/>
      <c r="I5798" s="25" t="n"/>
      <c r="U5798" s="19">
        <f>IF($V5798&lt;&gt;'設定'!$C$4,N(U5797),IF(OR(NOT(COUNTIF('商品マスタ'!$B$6:$B$1005,$W5798)=0),COUNTIFS('①在庫を貼る'!$V$6:$V$10005,$V5798,'①在庫を貼る'!$W$6:$W$10005,$W5798)+COUNTIFS('月1回_1ヶ月前の在庫'!$V$6:$V$10005,$V5798,'月1回_1ヶ月前の在庫'!$W$6:$W$10005,$W5798)&gt;0),N(U5797),N(U5797)+1))</f>
        <v/>
      </c>
      <c r="V5798" s="19">
        <f>IF($B5798="","",TEXT($B5798,"0000"))</f>
        <v/>
      </c>
      <c r="W5798" s="19">
        <f>IF($I5798="","",IF(ISNUMBER($I5798),TEXT($I5798,"0"),$I5798))</f>
        <v/>
      </c>
    </row>
    <row r="5799">
      <c r="B5799" s="25" t="n"/>
      <c r="I5799" s="25" t="n"/>
      <c r="U5799" s="19">
        <f>IF($V5799&lt;&gt;'設定'!$C$4,N(U5798),IF(OR(NOT(COUNTIF('商品マスタ'!$B$6:$B$1005,$W5799)=0),COUNTIFS('①在庫を貼る'!$V$6:$V$10005,$V5799,'①在庫を貼る'!$W$6:$W$10005,$W5799)+COUNTIFS('月1回_1ヶ月前の在庫'!$V$6:$V$10005,$V5799,'月1回_1ヶ月前の在庫'!$W$6:$W$10005,$W5799)&gt;0),N(U5798),N(U5798)+1))</f>
        <v/>
      </c>
      <c r="V5799" s="19">
        <f>IF($B5799="","",TEXT($B5799,"0000"))</f>
        <v/>
      </c>
      <c r="W5799" s="19">
        <f>IF($I5799="","",IF(ISNUMBER($I5799),TEXT($I5799,"0"),$I5799))</f>
        <v/>
      </c>
    </row>
    <row r="5800">
      <c r="B5800" s="25" t="n"/>
      <c r="I5800" s="25" t="n"/>
      <c r="U5800" s="19">
        <f>IF($V5800&lt;&gt;'設定'!$C$4,N(U5799),IF(OR(NOT(COUNTIF('商品マスタ'!$B$6:$B$1005,$W5800)=0),COUNTIFS('①在庫を貼る'!$V$6:$V$10005,$V5800,'①在庫を貼る'!$W$6:$W$10005,$W5800)+COUNTIFS('月1回_1ヶ月前の在庫'!$V$6:$V$10005,$V5800,'月1回_1ヶ月前の在庫'!$W$6:$W$10005,$W5800)&gt;0),N(U5799),N(U5799)+1))</f>
        <v/>
      </c>
      <c r="V5800" s="19">
        <f>IF($B5800="","",TEXT($B5800,"0000"))</f>
        <v/>
      </c>
      <c r="W5800" s="19">
        <f>IF($I5800="","",IF(ISNUMBER($I5800),TEXT($I5800,"0"),$I5800))</f>
        <v/>
      </c>
    </row>
    <row r="5801">
      <c r="B5801" s="25" t="n"/>
      <c r="I5801" s="25" t="n"/>
      <c r="U5801" s="19">
        <f>IF($V5801&lt;&gt;'設定'!$C$4,N(U5800),IF(OR(NOT(COUNTIF('商品マスタ'!$B$6:$B$1005,$W5801)=0),COUNTIFS('①在庫を貼る'!$V$6:$V$10005,$V5801,'①在庫を貼る'!$W$6:$W$10005,$W5801)+COUNTIFS('月1回_1ヶ月前の在庫'!$V$6:$V$10005,$V5801,'月1回_1ヶ月前の在庫'!$W$6:$W$10005,$W5801)&gt;0),N(U5800),N(U5800)+1))</f>
        <v/>
      </c>
      <c r="V5801" s="19">
        <f>IF($B5801="","",TEXT($B5801,"0000"))</f>
        <v/>
      </c>
      <c r="W5801" s="19">
        <f>IF($I5801="","",IF(ISNUMBER($I5801),TEXT($I5801,"0"),$I5801))</f>
        <v/>
      </c>
    </row>
    <row r="5802">
      <c r="B5802" s="25" t="n"/>
      <c r="I5802" s="25" t="n"/>
      <c r="U5802" s="19">
        <f>IF($V5802&lt;&gt;'設定'!$C$4,N(U5801),IF(OR(NOT(COUNTIF('商品マスタ'!$B$6:$B$1005,$W5802)=0),COUNTIFS('①在庫を貼る'!$V$6:$V$10005,$V5802,'①在庫を貼る'!$W$6:$W$10005,$W5802)+COUNTIFS('月1回_1ヶ月前の在庫'!$V$6:$V$10005,$V5802,'月1回_1ヶ月前の在庫'!$W$6:$W$10005,$W5802)&gt;0),N(U5801),N(U5801)+1))</f>
        <v/>
      </c>
      <c r="V5802" s="19">
        <f>IF($B5802="","",TEXT($B5802,"0000"))</f>
        <v/>
      </c>
      <c r="W5802" s="19">
        <f>IF($I5802="","",IF(ISNUMBER($I5802),TEXT($I5802,"0"),$I5802))</f>
        <v/>
      </c>
    </row>
    <row r="5803">
      <c r="B5803" s="25" t="n"/>
      <c r="I5803" s="25" t="n"/>
      <c r="U5803" s="19">
        <f>IF($V5803&lt;&gt;'設定'!$C$4,N(U5802),IF(OR(NOT(COUNTIF('商品マスタ'!$B$6:$B$1005,$W5803)=0),COUNTIFS('①在庫を貼る'!$V$6:$V$10005,$V5803,'①在庫を貼る'!$W$6:$W$10005,$W5803)+COUNTIFS('月1回_1ヶ月前の在庫'!$V$6:$V$10005,$V5803,'月1回_1ヶ月前の在庫'!$W$6:$W$10005,$W5803)&gt;0),N(U5802),N(U5802)+1))</f>
        <v/>
      </c>
      <c r="V5803" s="19">
        <f>IF($B5803="","",TEXT($B5803,"0000"))</f>
        <v/>
      </c>
      <c r="W5803" s="19">
        <f>IF($I5803="","",IF(ISNUMBER($I5803),TEXT($I5803,"0"),$I5803))</f>
        <v/>
      </c>
    </row>
    <row r="5804">
      <c r="B5804" s="25" t="n"/>
      <c r="I5804" s="25" t="n"/>
      <c r="U5804" s="19">
        <f>IF($V5804&lt;&gt;'設定'!$C$4,N(U5803),IF(OR(NOT(COUNTIF('商品マスタ'!$B$6:$B$1005,$W5804)=0),COUNTIFS('①在庫を貼る'!$V$6:$V$10005,$V5804,'①在庫を貼る'!$W$6:$W$10005,$W5804)+COUNTIFS('月1回_1ヶ月前の在庫'!$V$6:$V$10005,$V5804,'月1回_1ヶ月前の在庫'!$W$6:$W$10005,$W5804)&gt;0),N(U5803),N(U5803)+1))</f>
        <v/>
      </c>
      <c r="V5804" s="19">
        <f>IF($B5804="","",TEXT($B5804,"0000"))</f>
        <v/>
      </c>
      <c r="W5804" s="19">
        <f>IF($I5804="","",IF(ISNUMBER($I5804),TEXT($I5804,"0"),$I5804))</f>
        <v/>
      </c>
    </row>
    <row r="5805">
      <c r="B5805" s="25" t="n"/>
      <c r="I5805" s="25" t="n"/>
      <c r="U5805" s="19">
        <f>IF($V5805&lt;&gt;'設定'!$C$4,N(U5804),IF(OR(NOT(COUNTIF('商品マスタ'!$B$6:$B$1005,$W5805)=0),COUNTIFS('①在庫を貼る'!$V$6:$V$10005,$V5805,'①在庫を貼る'!$W$6:$W$10005,$W5805)+COUNTIFS('月1回_1ヶ月前の在庫'!$V$6:$V$10005,$V5805,'月1回_1ヶ月前の在庫'!$W$6:$W$10005,$W5805)&gt;0),N(U5804),N(U5804)+1))</f>
        <v/>
      </c>
      <c r="V5805" s="19">
        <f>IF($B5805="","",TEXT($B5805,"0000"))</f>
        <v/>
      </c>
      <c r="W5805" s="19">
        <f>IF($I5805="","",IF(ISNUMBER($I5805),TEXT($I5805,"0"),$I5805))</f>
        <v/>
      </c>
    </row>
    <row r="5806">
      <c r="B5806" s="25" t="n"/>
      <c r="I5806" s="25" t="n"/>
      <c r="U5806" s="19">
        <f>IF($V5806&lt;&gt;'設定'!$C$4,N(U5805),IF(OR(NOT(COUNTIF('商品マスタ'!$B$6:$B$1005,$W5806)=0),COUNTIFS('①在庫を貼る'!$V$6:$V$10005,$V5806,'①在庫を貼る'!$W$6:$W$10005,$W5806)+COUNTIFS('月1回_1ヶ月前の在庫'!$V$6:$V$10005,$V5806,'月1回_1ヶ月前の在庫'!$W$6:$W$10005,$W5806)&gt;0),N(U5805),N(U5805)+1))</f>
        <v/>
      </c>
      <c r="V5806" s="19">
        <f>IF($B5806="","",TEXT($B5806,"0000"))</f>
        <v/>
      </c>
      <c r="W5806" s="19">
        <f>IF($I5806="","",IF(ISNUMBER($I5806),TEXT($I5806,"0"),$I5806))</f>
        <v/>
      </c>
    </row>
    <row r="5807">
      <c r="B5807" s="25" t="n"/>
      <c r="I5807" s="25" t="n"/>
      <c r="U5807" s="19">
        <f>IF($V5807&lt;&gt;'設定'!$C$4,N(U5806),IF(OR(NOT(COUNTIF('商品マスタ'!$B$6:$B$1005,$W5807)=0),COUNTIFS('①在庫を貼る'!$V$6:$V$10005,$V5807,'①在庫を貼る'!$W$6:$W$10005,$W5807)+COUNTIFS('月1回_1ヶ月前の在庫'!$V$6:$V$10005,$V5807,'月1回_1ヶ月前の在庫'!$W$6:$W$10005,$W5807)&gt;0),N(U5806),N(U5806)+1))</f>
        <v/>
      </c>
      <c r="V5807" s="19">
        <f>IF($B5807="","",TEXT($B5807,"0000"))</f>
        <v/>
      </c>
      <c r="W5807" s="19">
        <f>IF($I5807="","",IF(ISNUMBER($I5807),TEXT($I5807,"0"),$I5807))</f>
        <v/>
      </c>
    </row>
    <row r="5808">
      <c r="B5808" s="25" t="n"/>
      <c r="I5808" s="25" t="n"/>
      <c r="U5808" s="19">
        <f>IF($V5808&lt;&gt;'設定'!$C$4,N(U5807),IF(OR(NOT(COUNTIF('商品マスタ'!$B$6:$B$1005,$W5808)=0),COUNTIFS('①在庫を貼る'!$V$6:$V$10005,$V5808,'①在庫を貼る'!$W$6:$W$10005,$W5808)+COUNTIFS('月1回_1ヶ月前の在庫'!$V$6:$V$10005,$V5808,'月1回_1ヶ月前の在庫'!$W$6:$W$10005,$W5808)&gt;0),N(U5807),N(U5807)+1))</f>
        <v/>
      </c>
      <c r="V5808" s="19">
        <f>IF($B5808="","",TEXT($B5808,"0000"))</f>
        <v/>
      </c>
      <c r="W5808" s="19">
        <f>IF($I5808="","",IF(ISNUMBER($I5808),TEXT($I5808,"0"),$I5808))</f>
        <v/>
      </c>
    </row>
    <row r="5809">
      <c r="B5809" s="25" t="n"/>
      <c r="I5809" s="25" t="n"/>
      <c r="U5809" s="19">
        <f>IF($V5809&lt;&gt;'設定'!$C$4,N(U5808),IF(OR(NOT(COUNTIF('商品マスタ'!$B$6:$B$1005,$W5809)=0),COUNTIFS('①在庫を貼る'!$V$6:$V$10005,$V5809,'①在庫を貼る'!$W$6:$W$10005,$W5809)+COUNTIFS('月1回_1ヶ月前の在庫'!$V$6:$V$10005,$V5809,'月1回_1ヶ月前の在庫'!$W$6:$W$10005,$W5809)&gt;0),N(U5808),N(U5808)+1))</f>
        <v/>
      </c>
      <c r="V5809" s="19">
        <f>IF($B5809="","",TEXT($B5809,"0000"))</f>
        <v/>
      </c>
      <c r="W5809" s="19">
        <f>IF($I5809="","",IF(ISNUMBER($I5809),TEXT($I5809,"0"),$I5809))</f>
        <v/>
      </c>
    </row>
    <row r="5810">
      <c r="B5810" s="25" t="n"/>
      <c r="I5810" s="25" t="n"/>
      <c r="U5810" s="19">
        <f>IF($V5810&lt;&gt;'設定'!$C$4,N(U5809),IF(OR(NOT(COUNTIF('商品マスタ'!$B$6:$B$1005,$W5810)=0),COUNTIFS('①在庫を貼る'!$V$6:$V$10005,$V5810,'①在庫を貼る'!$W$6:$W$10005,$W5810)+COUNTIFS('月1回_1ヶ月前の在庫'!$V$6:$V$10005,$V5810,'月1回_1ヶ月前の在庫'!$W$6:$W$10005,$W5810)&gt;0),N(U5809),N(U5809)+1))</f>
        <v/>
      </c>
      <c r="V5810" s="19">
        <f>IF($B5810="","",TEXT($B5810,"0000"))</f>
        <v/>
      </c>
      <c r="W5810" s="19">
        <f>IF($I5810="","",IF(ISNUMBER($I5810),TEXT($I5810,"0"),$I5810))</f>
        <v/>
      </c>
    </row>
    <row r="5811">
      <c r="B5811" s="25" t="n"/>
      <c r="I5811" s="25" t="n"/>
      <c r="U5811" s="19">
        <f>IF($V5811&lt;&gt;'設定'!$C$4,N(U5810),IF(OR(NOT(COUNTIF('商品マスタ'!$B$6:$B$1005,$W5811)=0),COUNTIFS('①在庫を貼る'!$V$6:$V$10005,$V5811,'①在庫を貼る'!$W$6:$W$10005,$W5811)+COUNTIFS('月1回_1ヶ月前の在庫'!$V$6:$V$10005,$V5811,'月1回_1ヶ月前の在庫'!$W$6:$W$10005,$W5811)&gt;0),N(U5810),N(U5810)+1))</f>
        <v/>
      </c>
      <c r="V5811" s="19">
        <f>IF($B5811="","",TEXT($B5811,"0000"))</f>
        <v/>
      </c>
      <c r="W5811" s="19">
        <f>IF($I5811="","",IF(ISNUMBER($I5811),TEXT($I5811,"0"),$I5811))</f>
        <v/>
      </c>
    </row>
    <row r="5812">
      <c r="B5812" s="25" t="n"/>
      <c r="I5812" s="25" t="n"/>
      <c r="U5812" s="19">
        <f>IF($V5812&lt;&gt;'設定'!$C$4,N(U5811),IF(OR(NOT(COUNTIF('商品マスタ'!$B$6:$B$1005,$W5812)=0),COUNTIFS('①在庫を貼る'!$V$6:$V$10005,$V5812,'①在庫を貼る'!$W$6:$W$10005,$W5812)+COUNTIFS('月1回_1ヶ月前の在庫'!$V$6:$V$10005,$V5812,'月1回_1ヶ月前の在庫'!$W$6:$W$10005,$W5812)&gt;0),N(U5811),N(U5811)+1))</f>
        <v/>
      </c>
      <c r="V5812" s="19">
        <f>IF($B5812="","",TEXT($B5812,"0000"))</f>
        <v/>
      </c>
      <c r="W5812" s="19">
        <f>IF($I5812="","",IF(ISNUMBER($I5812),TEXT($I5812,"0"),$I5812))</f>
        <v/>
      </c>
    </row>
    <row r="5813">
      <c r="B5813" s="25" t="n"/>
      <c r="I5813" s="25" t="n"/>
      <c r="U5813" s="19">
        <f>IF($V5813&lt;&gt;'設定'!$C$4,N(U5812),IF(OR(NOT(COUNTIF('商品マスタ'!$B$6:$B$1005,$W5813)=0),COUNTIFS('①在庫を貼る'!$V$6:$V$10005,$V5813,'①在庫を貼る'!$W$6:$W$10005,$W5813)+COUNTIFS('月1回_1ヶ月前の在庫'!$V$6:$V$10005,$V5813,'月1回_1ヶ月前の在庫'!$W$6:$W$10005,$W5813)&gt;0),N(U5812),N(U5812)+1))</f>
        <v/>
      </c>
      <c r="V5813" s="19">
        <f>IF($B5813="","",TEXT($B5813,"0000"))</f>
        <v/>
      </c>
      <c r="W5813" s="19">
        <f>IF($I5813="","",IF(ISNUMBER($I5813),TEXT($I5813,"0"),$I5813))</f>
        <v/>
      </c>
    </row>
    <row r="5814">
      <c r="B5814" s="25" t="n"/>
      <c r="I5814" s="25" t="n"/>
      <c r="U5814" s="19">
        <f>IF($V5814&lt;&gt;'設定'!$C$4,N(U5813),IF(OR(NOT(COUNTIF('商品マスタ'!$B$6:$B$1005,$W5814)=0),COUNTIFS('①在庫を貼る'!$V$6:$V$10005,$V5814,'①在庫を貼る'!$W$6:$W$10005,$W5814)+COUNTIFS('月1回_1ヶ月前の在庫'!$V$6:$V$10005,$V5814,'月1回_1ヶ月前の在庫'!$W$6:$W$10005,$W5814)&gt;0),N(U5813),N(U5813)+1))</f>
        <v/>
      </c>
      <c r="V5814" s="19">
        <f>IF($B5814="","",TEXT($B5814,"0000"))</f>
        <v/>
      </c>
      <c r="W5814" s="19">
        <f>IF($I5814="","",IF(ISNUMBER($I5814),TEXT($I5814,"0"),$I5814))</f>
        <v/>
      </c>
    </row>
    <row r="5815">
      <c r="B5815" s="25" t="n"/>
      <c r="I5815" s="25" t="n"/>
      <c r="U5815" s="19">
        <f>IF($V5815&lt;&gt;'設定'!$C$4,N(U5814),IF(OR(NOT(COUNTIF('商品マスタ'!$B$6:$B$1005,$W5815)=0),COUNTIFS('①在庫を貼る'!$V$6:$V$10005,$V5815,'①在庫を貼る'!$W$6:$W$10005,$W5815)+COUNTIFS('月1回_1ヶ月前の在庫'!$V$6:$V$10005,$V5815,'月1回_1ヶ月前の在庫'!$W$6:$W$10005,$W5815)&gt;0),N(U5814),N(U5814)+1))</f>
        <v/>
      </c>
      <c r="V5815" s="19">
        <f>IF($B5815="","",TEXT($B5815,"0000"))</f>
        <v/>
      </c>
      <c r="W5815" s="19">
        <f>IF($I5815="","",IF(ISNUMBER($I5815),TEXT($I5815,"0"),$I5815))</f>
        <v/>
      </c>
    </row>
    <row r="5816">
      <c r="B5816" s="25" t="n"/>
      <c r="I5816" s="25" t="n"/>
      <c r="U5816" s="19">
        <f>IF($V5816&lt;&gt;'設定'!$C$4,N(U5815),IF(OR(NOT(COUNTIF('商品マスタ'!$B$6:$B$1005,$W5816)=0),COUNTIFS('①在庫を貼る'!$V$6:$V$10005,$V5816,'①在庫を貼る'!$W$6:$W$10005,$W5816)+COUNTIFS('月1回_1ヶ月前の在庫'!$V$6:$V$10005,$V5816,'月1回_1ヶ月前の在庫'!$W$6:$W$10005,$W5816)&gt;0),N(U5815),N(U5815)+1))</f>
        <v/>
      </c>
      <c r="V5816" s="19">
        <f>IF($B5816="","",TEXT($B5816,"0000"))</f>
        <v/>
      </c>
      <c r="W5816" s="19">
        <f>IF($I5816="","",IF(ISNUMBER($I5816),TEXT($I5816,"0"),$I5816))</f>
        <v/>
      </c>
    </row>
    <row r="5817">
      <c r="B5817" s="25" t="n"/>
      <c r="I5817" s="25" t="n"/>
      <c r="U5817" s="19">
        <f>IF($V5817&lt;&gt;'設定'!$C$4,N(U5816),IF(OR(NOT(COUNTIF('商品マスタ'!$B$6:$B$1005,$W5817)=0),COUNTIFS('①在庫を貼る'!$V$6:$V$10005,$V5817,'①在庫を貼る'!$W$6:$W$10005,$W5817)+COUNTIFS('月1回_1ヶ月前の在庫'!$V$6:$V$10005,$V5817,'月1回_1ヶ月前の在庫'!$W$6:$W$10005,$W5817)&gt;0),N(U5816),N(U5816)+1))</f>
        <v/>
      </c>
      <c r="V5817" s="19">
        <f>IF($B5817="","",TEXT($B5817,"0000"))</f>
        <v/>
      </c>
      <c r="W5817" s="19">
        <f>IF($I5817="","",IF(ISNUMBER($I5817),TEXT($I5817,"0"),$I5817))</f>
        <v/>
      </c>
    </row>
    <row r="5818">
      <c r="B5818" s="25" t="n"/>
      <c r="I5818" s="25" t="n"/>
      <c r="U5818" s="19">
        <f>IF($V5818&lt;&gt;'設定'!$C$4,N(U5817),IF(OR(NOT(COUNTIF('商品マスタ'!$B$6:$B$1005,$W5818)=0),COUNTIFS('①在庫を貼る'!$V$6:$V$10005,$V5818,'①在庫を貼る'!$W$6:$W$10005,$W5818)+COUNTIFS('月1回_1ヶ月前の在庫'!$V$6:$V$10005,$V5818,'月1回_1ヶ月前の在庫'!$W$6:$W$10005,$W5818)&gt;0),N(U5817),N(U5817)+1))</f>
        <v/>
      </c>
      <c r="V5818" s="19">
        <f>IF($B5818="","",TEXT($B5818,"0000"))</f>
        <v/>
      </c>
      <c r="W5818" s="19">
        <f>IF($I5818="","",IF(ISNUMBER($I5818),TEXT($I5818,"0"),$I5818))</f>
        <v/>
      </c>
    </row>
    <row r="5819">
      <c r="B5819" s="25" t="n"/>
      <c r="I5819" s="25" t="n"/>
      <c r="U5819" s="19">
        <f>IF($V5819&lt;&gt;'設定'!$C$4,N(U5818),IF(OR(NOT(COUNTIF('商品マスタ'!$B$6:$B$1005,$W5819)=0),COUNTIFS('①在庫を貼る'!$V$6:$V$10005,$V5819,'①在庫を貼る'!$W$6:$W$10005,$W5819)+COUNTIFS('月1回_1ヶ月前の在庫'!$V$6:$V$10005,$V5819,'月1回_1ヶ月前の在庫'!$W$6:$W$10005,$W5819)&gt;0),N(U5818),N(U5818)+1))</f>
        <v/>
      </c>
      <c r="V5819" s="19">
        <f>IF($B5819="","",TEXT($B5819,"0000"))</f>
        <v/>
      </c>
      <c r="W5819" s="19">
        <f>IF($I5819="","",IF(ISNUMBER($I5819),TEXT($I5819,"0"),$I5819))</f>
        <v/>
      </c>
    </row>
    <row r="5820">
      <c r="B5820" s="25" t="n"/>
      <c r="I5820" s="25" t="n"/>
      <c r="U5820" s="19">
        <f>IF($V5820&lt;&gt;'設定'!$C$4,N(U5819),IF(OR(NOT(COUNTIF('商品マスタ'!$B$6:$B$1005,$W5820)=0),COUNTIFS('①在庫を貼る'!$V$6:$V$10005,$V5820,'①在庫を貼る'!$W$6:$W$10005,$W5820)+COUNTIFS('月1回_1ヶ月前の在庫'!$V$6:$V$10005,$V5820,'月1回_1ヶ月前の在庫'!$W$6:$W$10005,$W5820)&gt;0),N(U5819),N(U5819)+1))</f>
        <v/>
      </c>
      <c r="V5820" s="19">
        <f>IF($B5820="","",TEXT($B5820,"0000"))</f>
        <v/>
      </c>
      <c r="W5820" s="19">
        <f>IF($I5820="","",IF(ISNUMBER($I5820),TEXT($I5820,"0"),$I5820))</f>
        <v/>
      </c>
    </row>
    <row r="5821">
      <c r="B5821" s="25" t="n"/>
      <c r="I5821" s="25" t="n"/>
      <c r="U5821" s="19">
        <f>IF($V5821&lt;&gt;'設定'!$C$4,N(U5820),IF(OR(NOT(COUNTIF('商品マスタ'!$B$6:$B$1005,$W5821)=0),COUNTIFS('①在庫を貼る'!$V$6:$V$10005,$V5821,'①在庫を貼る'!$W$6:$W$10005,$W5821)+COUNTIFS('月1回_1ヶ月前の在庫'!$V$6:$V$10005,$V5821,'月1回_1ヶ月前の在庫'!$W$6:$W$10005,$W5821)&gt;0),N(U5820),N(U5820)+1))</f>
        <v/>
      </c>
      <c r="V5821" s="19">
        <f>IF($B5821="","",TEXT($B5821,"0000"))</f>
        <v/>
      </c>
      <c r="W5821" s="19">
        <f>IF($I5821="","",IF(ISNUMBER($I5821),TEXT($I5821,"0"),$I5821))</f>
        <v/>
      </c>
    </row>
    <row r="5822">
      <c r="B5822" s="25" t="n"/>
      <c r="I5822" s="25" t="n"/>
      <c r="U5822" s="19">
        <f>IF($V5822&lt;&gt;'設定'!$C$4,N(U5821),IF(OR(NOT(COUNTIF('商品マスタ'!$B$6:$B$1005,$W5822)=0),COUNTIFS('①在庫を貼る'!$V$6:$V$10005,$V5822,'①在庫を貼る'!$W$6:$W$10005,$W5822)+COUNTIFS('月1回_1ヶ月前の在庫'!$V$6:$V$10005,$V5822,'月1回_1ヶ月前の在庫'!$W$6:$W$10005,$W5822)&gt;0),N(U5821),N(U5821)+1))</f>
        <v/>
      </c>
      <c r="V5822" s="19">
        <f>IF($B5822="","",TEXT($B5822,"0000"))</f>
        <v/>
      </c>
      <c r="W5822" s="19">
        <f>IF($I5822="","",IF(ISNUMBER($I5822),TEXT($I5822,"0"),$I5822))</f>
        <v/>
      </c>
    </row>
    <row r="5823">
      <c r="B5823" s="25" t="n"/>
      <c r="I5823" s="25" t="n"/>
      <c r="U5823" s="19">
        <f>IF($V5823&lt;&gt;'設定'!$C$4,N(U5822),IF(OR(NOT(COUNTIF('商品マスタ'!$B$6:$B$1005,$W5823)=0),COUNTIFS('①在庫を貼る'!$V$6:$V$10005,$V5823,'①在庫を貼る'!$W$6:$W$10005,$W5823)+COUNTIFS('月1回_1ヶ月前の在庫'!$V$6:$V$10005,$V5823,'月1回_1ヶ月前の在庫'!$W$6:$W$10005,$W5823)&gt;0),N(U5822),N(U5822)+1))</f>
        <v/>
      </c>
      <c r="V5823" s="19">
        <f>IF($B5823="","",TEXT($B5823,"0000"))</f>
        <v/>
      </c>
      <c r="W5823" s="19">
        <f>IF($I5823="","",IF(ISNUMBER($I5823),TEXT($I5823,"0"),$I5823))</f>
        <v/>
      </c>
    </row>
    <row r="5824">
      <c r="B5824" s="25" t="n"/>
      <c r="I5824" s="25" t="n"/>
      <c r="U5824" s="19">
        <f>IF($V5824&lt;&gt;'設定'!$C$4,N(U5823),IF(OR(NOT(COUNTIF('商品マスタ'!$B$6:$B$1005,$W5824)=0),COUNTIFS('①在庫を貼る'!$V$6:$V$10005,$V5824,'①在庫を貼る'!$W$6:$W$10005,$W5824)+COUNTIFS('月1回_1ヶ月前の在庫'!$V$6:$V$10005,$V5824,'月1回_1ヶ月前の在庫'!$W$6:$W$10005,$W5824)&gt;0),N(U5823),N(U5823)+1))</f>
        <v/>
      </c>
      <c r="V5824" s="19">
        <f>IF($B5824="","",TEXT($B5824,"0000"))</f>
        <v/>
      </c>
      <c r="W5824" s="19">
        <f>IF($I5824="","",IF(ISNUMBER($I5824),TEXT($I5824,"0"),$I5824))</f>
        <v/>
      </c>
    </row>
    <row r="5825">
      <c r="B5825" s="25" t="n"/>
      <c r="I5825" s="25" t="n"/>
      <c r="U5825" s="19">
        <f>IF($V5825&lt;&gt;'設定'!$C$4,N(U5824),IF(OR(NOT(COUNTIF('商品マスタ'!$B$6:$B$1005,$W5825)=0),COUNTIFS('①在庫を貼る'!$V$6:$V$10005,$V5825,'①在庫を貼る'!$W$6:$W$10005,$W5825)+COUNTIFS('月1回_1ヶ月前の在庫'!$V$6:$V$10005,$V5825,'月1回_1ヶ月前の在庫'!$W$6:$W$10005,$W5825)&gt;0),N(U5824),N(U5824)+1))</f>
        <v/>
      </c>
      <c r="V5825" s="19">
        <f>IF($B5825="","",TEXT($B5825,"0000"))</f>
        <v/>
      </c>
      <c r="W5825" s="19">
        <f>IF($I5825="","",IF(ISNUMBER($I5825),TEXT($I5825,"0"),$I5825))</f>
        <v/>
      </c>
    </row>
    <row r="5826">
      <c r="B5826" s="25" t="n"/>
      <c r="I5826" s="25" t="n"/>
      <c r="U5826" s="19">
        <f>IF($V5826&lt;&gt;'設定'!$C$4,N(U5825),IF(OR(NOT(COUNTIF('商品マスタ'!$B$6:$B$1005,$W5826)=0),COUNTIFS('①在庫を貼る'!$V$6:$V$10005,$V5826,'①在庫を貼る'!$W$6:$W$10005,$W5826)+COUNTIFS('月1回_1ヶ月前の在庫'!$V$6:$V$10005,$V5826,'月1回_1ヶ月前の在庫'!$W$6:$W$10005,$W5826)&gt;0),N(U5825),N(U5825)+1))</f>
        <v/>
      </c>
      <c r="V5826" s="19">
        <f>IF($B5826="","",TEXT($B5826,"0000"))</f>
        <v/>
      </c>
      <c r="W5826" s="19">
        <f>IF($I5826="","",IF(ISNUMBER($I5826),TEXT($I5826,"0"),$I5826))</f>
        <v/>
      </c>
    </row>
    <row r="5827">
      <c r="B5827" s="25" t="n"/>
      <c r="I5827" s="25" t="n"/>
      <c r="U5827" s="19">
        <f>IF($V5827&lt;&gt;'設定'!$C$4,N(U5826),IF(OR(NOT(COUNTIF('商品マスタ'!$B$6:$B$1005,$W5827)=0),COUNTIFS('①在庫を貼る'!$V$6:$V$10005,$V5827,'①在庫を貼る'!$W$6:$W$10005,$W5827)+COUNTIFS('月1回_1ヶ月前の在庫'!$V$6:$V$10005,$V5827,'月1回_1ヶ月前の在庫'!$W$6:$W$10005,$W5827)&gt;0),N(U5826),N(U5826)+1))</f>
        <v/>
      </c>
      <c r="V5827" s="19">
        <f>IF($B5827="","",TEXT($B5827,"0000"))</f>
        <v/>
      </c>
      <c r="W5827" s="19">
        <f>IF($I5827="","",IF(ISNUMBER($I5827),TEXT($I5827,"0"),$I5827))</f>
        <v/>
      </c>
    </row>
    <row r="5828">
      <c r="B5828" s="25" t="n"/>
      <c r="I5828" s="25" t="n"/>
      <c r="U5828" s="19">
        <f>IF($V5828&lt;&gt;'設定'!$C$4,N(U5827),IF(OR(NOT(COUNTIF('商品マスタ'!$B$6:$B$1005,$W5828)=0),COUNTIFS('①在庫を貼る'!$V$6:$V$10005,$V5828,'①在庫を貼る'!$W$6:$W$10005,$W5828)+COUNTIFS('月1回_1ヶ月前の在庫'!$V$6:$V$10005,$V5828,'月1回_1ヶ月前の在庫'!$W$6:$W$10005,$W5828)&gt;0),N(U5827),N(U5827)+1))</f>
        <v/>
      </c>
      <c r="V5828" s="19">
        <f>IF($B5828="","",TEXT($B5828,"0000"))</f>
        <v/>
      </c>
      <c r="W5828" s="19">
        <f>IF($I5828="","",IF(ISNUMBER($I5828),TEXT($I5828,"0"),$I5828))</f>
        <v/>
      </c>
    </row>
    <row r="5829">
      <c r="B5829" s="25" t="n"/>
      <c r="I5829" s="25" t="n"/>
      <c r="U5829" s="19">
        <f>IF($V5829&lt;&gt;'設定'!$C$4,N(U5828),IF(OR(NOT(COUNTIF('商品マスタ'!$B$6:$B$1005,$W5829)=0),COUNTIFS('①在庫を貼る'!$V$6:$V$10005,$V5829,'①在庫を貼る'!$W$6:$W$10005,$W5829)+COUNTIFS('月1回_1ヶ月前の在庫'!$V$6:$V$10005,$V5829,'月1回_1ヶ月前の在庫'!$W$6:$W$10005,$W5829)&gt;0),N(U5828),N(U5828)+1))</f>
        <v/>
      </c>
      <c r="V5829" s="19">
        <f>IF($B5829="","",TEXT($B5829,"0000"))</f>
        <v/>
      </c>
      <c r="W5829" s="19">
        <f>IF($I5829="","",IF(ISNUMBER($I5829),TEXT($I5829,"0"),$I5829))</f>
        <v/>
      </c>
    </row>
    <row r="5830">
      <c r="B5830" s="25" t="n"/>
      <c r="I5830" s="25" t="n"/>
      <c r="U5830" s="19">
        <f>IF($V5830&lt;&gt;'設定'!$C$4,N(U5829),IF(OR(NOT(COUNTIF('商品マスタ'!$B$6:$B$1005,$W5830)=0),COUNTIFS('①在庫を貼る'!$V$6:$V$10005,$V5830,'①在庫を貼る'!$W$6:$W$10005,$W5830)+COUNTIFS('月1回_1ヶ月前の在庫'!$V$6:$V$10005,$V5830,'月1回_1ヶ月前の在庫'!$W$6:$W$10005,$W5830)&gt;0),N(U5829),N(U5829)+1))</f>
        <v/>
      </c>
      <c r="V5830" s="19">
        <f>IF($B5830="","",TEXT($B5830,"0000"))</f>
        <v/>
      </c>
      <c r="W5830" s="19">
        <f>IF($I5830="","",IF(ISNUMBER($I5830),TEXT($I5830,"0"),$I5830))</f>
        <v/>
      </c>
    </row>
    <row r="5831">
      <c r="B5831" s="25" t="n"/>
      <c r="I5831" s="25" t="n"/>
      <c r="U5831" s="19">
        <f>IF($V5831&lt;&gt;'設定'!$C$4,N(U5830),IF(OR(NOT(COUNTIF('商品マスタ'!$B$6:$B$1005,$W5831)=0),COUNTIFS('①在庫を貼る'!$V$6:$V$10005,$V5831,'①在庫を貼る'!$W$6:$W$10005,$W5831)+COUNTIFS('月1回_1ヶ月前の在庫'!$V$6:$V$10005,$V5831,'月1回_1ヶ月前の在庫'!$W$6:$W$10005,$W5831)&gt;0),N(U5830),N(U5830)+1))</f>
        <v/>
      </c>
      <c r="V5831" s="19">
        <f>IF($B5831="","",TEXT($B5831,"0000"))</f>
        <v/>
      </c>
      <c r="W5831" s="19">
        <f>IF($I5831="","",IF(ISNUMBER($I5831),TEXT($I5831,"0"),$I5831))</f>
        <v/>
      </c>
    </row>
    <row r="5832">
      <c r="B5832" s="25" t="n"/>
      <c r="I5832" s="25" t="n"/>
      <c r="U5832" s="19">
        <f>IF($V5832&lt;&gt;'設定'!$C$4,N(U5831),IF(OR(NOT(COUNTIF('商品マスタ'!$B$6:$B$1005,$W5832)=0),COUNTIFS('①在庫を貼る'!$V$6:$V$10005,$V5832,'①在庫を貼る'!$W$6:$W$10005,$W5832)+COUNTIFS('月1回_1ヶ月前の在庫'!$V$6:$V$10005,$V5832,'月1回_1ヶ月前の在庫'!$W$6:$W$10005,$W5832)&gt;0),N(U5831),N(U5831)+1))</f>
        <v/>
      </c>
      <c r="V5832" s="19">
        <f>IF($B5832="","",TEXT($B5832,"0000"))</f>
        <v/>
      </c>
      <c r="W5832" s="19">
        <f>IF($I5832="","",IF(ISNUMBER($I5832),TEXT($I5832,"0"),$I5832))</f>
        <v/>
      </c>
    </row>
    <row r="5833">
      <c r="B5833" s="25" t="n"/>
      <c r="I5833" s="25" t="n"/>
      <c r="U5833" s="19">
        <f>IF($V5833&lt;&gt;'設定'!$C$4,N(U5832),IF(OR(NOT(COUNTIF('商品マスタ'!$B$6:$B$1005,$W5833)=0),COUNTIFS('①在庫を貼る'!$V$6:$V$10005,$V5833,'①在庫を貼る'!$W$6:$W$10005,$W5833)+COUNTIFS('月1回_1ヶ月前の在庫'!$V$6:$V$10005,$V5833,'月1回_1ヶ月前の在庫'!$W$6:$W$10005,$W5833)&gt;0),N(U5832),N(U5832)+1))</f>
        <v/>
      </c>
      <c r="V5833" s="19">
        <f>IF($B5833="","",TEXT($B5833,"0000"))</f>
        <v/>
      </c>
      <c r="W5833" s="19">
        <f>IF($I5833="","",IF(ISNUMBER($I5833),TEXT($I5833,"0"),$I5833))</f>
        <v/>
      </c>
    </row>
    <row r="5834">
      <c r="B5834" s="25" t="n"/>
      <c r="I5834" s="25" t="n"/>
      <c r="U5834" s="19">
        <f>IF($V5834&lt;&gt;'設定'!$C$4,N(U5833),IF(OR(NOT(COUNTIF('商品マスタ'!$B$6:$B$1005,$W5834)=0),COUNTIFS('①在庫を貼る'!$V$6:$V$10005,$V5834,'①在庫を貼る'!$W$6:$W$10005,$W5834)+COUNTIFS('月1回_1ヶ月前の在庫'!$V$6:$V$10005,$V5834,'月1回_1ヶ月前の在庫'!$W$6:$W$10005,$W5834)&gt;0),N(U5833),N(U5833)+1))</f>
        <v/>
      </c>
      <c r="V5834" s="19">
        <f>IF($B5834="","",TEXT($B5834,"0000"))</f>
        <v/>
      </c>
      <c r="W5834" s="19">
        <f>IF($I5834="","",IF(ISNUMBER($I5834),TEXT($I5834,"0"),$I5834))</f>
        <v/>
      </c>
    </row>
    <row r="5835">
      <c r="B5835" s="25" t="n"/>
      <c r="I5835" s="25" t="n"/>
      <c r="U5835" s="19">
        <f>IF($V5835&lt;&gt;'設定'!$C$4,N(U5834),IF(OR(NOT(COUNTIF('商品マスタ'!$B$6:$B$1005,$W5835)=0),COUNTIFS('①在庫を貼る'!$V$6:$V$10005,$V5835,'①在庫を貼る'!$W$6:$W$10005,$W5835)+COUNTIFS('月1回_1ヶ月前の在庫'!$V$6:$V$10005,$V5835,'月1回_1ヶ月前の在庫'!$W$6:$W$10005,$W5835)&gt;0),N(U5834),N(U5834)+1))</f>
        <v/>
      </c>
      <c r="V5835" s="19">
        <f>IF($B5835="","",TEXT($B5835,"0000"))</f>
        <v/>
      </c>
      <c r="W5835" s="19">
        <f>IF($I5835="","",IF(ISNUMBER($I5835),TEXT($I5835,"0"),$I5835))</f>
        <v/>
      </c>
    </row>
    <row r="5836">
      <c r="B5836" s="25" t="n"/>
      <c r="I5836" s="25" t="n"/>
      <c r="U5836" s="19">
        <f>IF($V5836&lt;&gt;'設定'!$C$4,N(U5835),IF(OR(NOT(COUNTIF('商品マスタ'!$B$6:$B$1005,$W5836)=0),COUNTIFS('①在庫を貼る'!$V$6:$V$10005,$V5836,'①在庫を貼る'!$W$6:$W$10005,$W5836)+COUNTIFS('月1回_1ヶ月前の在庫'!$V$6:$V$10005,$V5836,'月1回_1ヶ月前の在庫'!$W$6:$W$10005,$W5836)&gt;0),N(U5835),N(U5835)+1))</f>
        <v/>
      </c>
      <c r="V5836" s="19">
        <f>IF($B5836="","",TEXT($B5836,"0000"))</f>
        <v/>
      </c>
      <c r="W5836" s="19">
        <f>IF($I5836="","",IF(ISNUMBER($I5836),TEXT($I5836,"0"),$I5836))</f>
        <v/>
      </c>
    </row>
    <row r="5837">
      <c r="B5837" s="25" t="n"/>
      <c r="I5837" s="25" t="n"/>
      <c r="U5837" s="19">
        <f>IF($V5837&lt;&gt;'設定'!$C$4,N(U5836),IF(OR(NOT(COUNTIF('商品マスタ'!$B$6:$B$1005,$W5837)=0),COUNTIFS('①在庫を貼る'!$V$6:$V$10005,$V5837,'①在庫を貼る'!$W$6:$W$10005,$W5837)+COUNTIFS('月1回_1ヶ月前の在庫'!$V$6:$V$10005,$V5837,'月1回_1ヶ月前の在庫'!$W$6:$W$10005,$W5837)&gt;0),N(U5836),N(U5836)+1))</f>
        <v/>
      </c>
      <c r="V5837" s="19">
        <f>IF($B5837="","",TEXT($B5837,"0000"))</f>
        <v/>
      </c>
      <c r="W5837" s="19">
        <f>IF($I5837="","",IF(ISNUMBER($I5837),TEXT($I5837,"0"),$I5837))</f>
        <v/>
      </c>
    </row>
    <row r="5838">
      <c r="B5838" s="25" t="n"/>
      <c r="I5838" s="25" t="n"/>
      <c r="U5838" s="19">
        <f>IF($V5838&lt;&gt;'設定'!$C$4,N(U5837),IF(OR(NOT(COUNTIF('商品マスタ'!$B$6:$B$1005,$W5838)=0),COUNTIFS('①在庫を貼る'!$V$6:$V$10005,$V5838,'①在庫を貼る'!$W$6:$W$10005,$W5838)+COUNTIFS('月1回_1ヶ月前の在庫'!$V$6:$V$10005,$V5838,'月1回_1ヶ月前の在庫'!$W$6:$W$10005,$W5838)&gt;0),N(U5837),N(U5837)+1))</f>
        <v/>
      </c>
      <c r="V5838" s="19">
        <f>IF($B5838="","",TEXT($B5838,"0000"))</f>
        <v/>
      </c>
      <c r="W5838" s="19">
        <f>IF($I5838="","",IF(ISNUMBER($I5838),TEXT($I5838,"0"),$I5838))</f>
        <v/>
      </c>
    </row>
    <row r="5839">
      <c r="B5839" s="25" t="n"/>
      <c r="I5839" s="25" t="n"/>
      <c r="U5839" s="19">
        <f>IF($V5839&lt;&gt;'設定'!$C$4,N(U5838),IF(OR(NOT(COUNTIF('商品マスタ'!$B$6:$B$1005,$W5839)=0),COUNTIFS('①在庫を貼る'!$V$6:$V$10005,$V5839,'①在庫を貼る'!$W$6:$W$10005,$W5839)+COUNTIFS('月1回_1ヶ月前の在庫'!$V$6:$V$10005,$V5839,'月1回_1ヶ月前の在庫'!$W$6:$W$10005,$W5839)&gt;0),N(U5838),N(U5838)+1))</f>
        <v/>
      </c>
      <c r="V5839" s="19">
        <f>IF($B5839="","",TEXT($B5839,"0000"))</f>
        <v/>
      </c>
      <c r="W5839" s="19">
        <f>IF($I5839="","",IF(ISNUMBER($I5839),TEXT($I5839,"0"),$I5839))</f>
        <v/>
      </c>
    </row>
    <row r="5840">
      <c r="B5840" s="25" t="n"/>
      <c r="I5840" s="25" t="n"/>
      <c r="U5840" s="19">
        <f>IF($V5840&lt;&gt;'設定'!$C$4,N(U5839),IF(OR(NOT(COUNTIF('商品マスタ'!$B$6:$B$1005,$W5840)=0),COUNTIFS('①在庫を貼る'!$V$6:$V$10005,$V5840,'①在庫を貼る'!$W$6:$W$10005,$W5840)+COUNTIFS('月1回_1ヶ月前の在庫'!$V$6:$V$10005,$V5840,'月1回_1ヶ月前の在庫'!$W$6:$W$10005,$W5840)&gt;0),N(U5839),N(U5839)+1))</f>
        <v/>
      </c>
      <c r="V5840" s="19">
        <f>IF($B5840="","",TEXT($B5840,"0000"))</f>
        <v/>
      </c>
      <c r="W5840" s="19">
        <f>IF($I5840="","",IF(ISNUMBER($I5840),TEXT($I5840,"0"),$I5840))</f>
        <v/>
      </c>
    </row>
    <row r="5841">
      <c r="B5841" s="25" t="n"/>
      <c r="I5841" s="25" t="n"/>
      <c r="U5841" s="19">
        <f>IF($V5841&lt;&gt;'設定'!$C$4,N(U5840),IF(OR(NOT(COUNTIF('商品マスタ'!$B$6:$B$1005,$W5841)=0),COUNTIFS('①在庫を貼る'!$V$6:$V$10005,$V5841,'①在庫を貼る'!$W$6:$W$10005,$W5841)+COUNTIFS('月1回_1ヶ月前の在庫'!$V$6:$V$10005,$V5841,'月1回_1ヶ月前の在庫'!$W$6:$W$10005,$W5841)&gt;0),N(U5840),N(U5840)+1))</f>
        <v/>
      </c>
      <c r="V5841" s="19">
        <f>IF($B5841="","",TEXT($B5841,"0000"))</f>
        <v/>
      </c>
      <c r="W5841" s="19">
        <f>IF($I5841="","",IF(ISNUMBER($I5841),TEXT($I5841,"0"),$I5841))</f>
        <v/>
      </c>
    </row>
    <row r="5842">
      <c r="B5842" s="25" t="n"/>
      <c r="I5842" s="25" t="n"/>
      <c r="U5842" s="19">
        <f>IF($V5842&lt;&gt;'設定'!$C$4,N(U5841),IF(OR(NOT(COUNTIF('商品マスタ'!$B$6:$B$1005,$W5842)=0),COUNTIFS('①在庫を貼る'!$V$6:$V$10005,$V5842,'①在庫を貼る'!$W$6:$W$10005,$W5842)+COUNTIFS('月1回_1ヶ月前の在庫'!$V$6:$V$10005,$V5842,'月1回_1ヶ月前の在庫'!$W$6:$W$10005,$W5842)&gt;0),N(U5841),N(U5841)+1))</f>
        <v/>
      </c>
      <c r="V5842" s="19">
        <f>IF($B5842="","",TEXT($B5842,"0000"))</f>
        <v/>
      </c>
      <c r="W5842" s="19">
        <f>IF($I5842="","",IF(ISNUMBER($I5842),TEXT($I5842,"0"),$I5842))</f>
        <v/>
      </c>
    </row>
    <row r="5843">
      <c r="B5843" s="25" t="n"/>
      <c r="I5843" s="25" t="n"/>
      <c r="U5843" s="19">
        <f>IF($V5843&lt;&gt;'設定'!$C$4,N(U5842),IF(OR(NOT(COUNTIF('商品マスタ'!$B$6:$B$1005,$W5843)=0),COUNTIFS('①在庫を貼る'!$V$6:$V$10005,$V5843,'①在庫を貼る'!$W$6:$W$10005,$W5843)+COUNTIFS('月1回_1ヶ月前の在庫'!$V$6:$V$10005,$V5843,'月1回_1ヶ月前の在庫'!$W$6:$W$10005,$W5843)&gt;0),N(U5842),N(U5842)+1))</f>
        <v/>
      </c>
      <c r="V5843" s="19">
        <f>IF($B5843="","",TEXT($B5843,"0000"))</f>
        <v/>
      </c>
      <c r="W5843" s="19">
        <f>IF($I5843="","",IF(ISNUMBER($I5843),TEXT($I5843,"0"),$I5843))</f>
        <v/>
      </c>
    </row>
    <row r="5844">
      <c r="B5844" s="25" t="n"/>
      <c r="I5844" s="25" t="n"/>
      <c r="U5844" s="19">
        <f>IF($V5844&lt;&gt;'設定'!$C$4,N(U5843),IF(OR(NOT(COUNTIF('商品マスタ'!$B$6:$B$1005,$W5844)=0),COUNTIFS('①在庫を貼る'!$V$6:$V$10005,$V5844,'①在庫を貼る'!$W$6:$W$10005,$W5844)+COUNTIFS('月1回_1ヶ月前の在庫'!$V$6:$V$10005,$V5844,'月1回_1ヶ月前の在庫'!$W$6:$W$10005,$W5844)&gt;0),N(U5843),N(U5843)+1))</f>
        <v/>
      </c>
      <c r="V5844" s="19">
        <f>IF($B5844="","",TEXT($B5844,"0000"))</f>
        <v/>
      </c>
      <c r="W5844" s="19">
        <f>IF($I5844="","",IF(ISNUMBER($I5844),TEXT($I5844,"0"),$I5844))</f>
        <v/>
      </c>
    </row>
    <row r="5845">
      <c r="B5845" s="25" t="n"/>
      <c r="I5845" s="25" t="n"/>
      <c r="U5845" s="19">
        <f>IF($V5845&lt;&gt;'設定'!$C$4,N(U5844),IF(OR(NOT(COUNTIF('商品マスタ'!$B$6:$B$1005,$W5845)=0),COUNTIFS('①在庫を貼る'!$V$6:$V$10005,$V5845,'①在庫を貼る'!$W$6:$W$10005,$W5845)+COUNTIFS('月1回_1ヶ月前の在庫'!$V$6:$V$10005,$V5845,'月1回_1ヶ月前の在庫'!$W$6:$W$10005,$W5845)&gt;0),N(U5844),N(U5844)+1))</f>
        <v/>
      </c>
      <c r="V5845" s="19">
        <f>IF($B5845="","",TEXT($B5845,"0000"))</f>
        <v/>
      </c>
      <c r="W5845" s="19">
        <f>IF($I5845="","",IF(ISNUMBER($I5845),TEXT($I5845,"0"),$I5845))</f>
        <v/>
      </c>
    </row>
    <row r="5846">
      <c r="B5846" s="25" t="n"/>
      <c r="I5846" s="25" t="n"/>
      <c r="U5846" s="19">
        <f>IF($V5846&lt;&gt;'設定'!$C$4,N(U5845),IF(OR(NOT(COUNTIF('商品マスタ'!$B$6:$B$1005,$W5846)=0),COUNTIFS('①在庫を貼る'!$V$6:$V$10005,$V5846,'①在庫を貼る'!$W$6:$W$10005,$W5846)+COUNTIFS('月1回_1ヶ月前の在庫'!$V$6:$V$10005,$V5846,'月1回_1ヶ月前の在庫'!$W$6:$W$10005,$W5846)&gt;0),N(U5845),N(U5845)+1))</f>
        <v/>
      </c>
      <c r="V5846" s="19">
        <f>IF($B5846="","",TEXT($B5846,"0000"))</f>
        <v/>
      </c>
      <c r="W5846" s="19">
        <f>IF($I5846="","",IF(ISNUMBER($I5846),TEXT($I5846,"0"),$I5846))</f>
        <v/>
      </c>
    </row>
    <row r="5847">
      <c r="B5847" s="25" t="n"/>
      <c r="I5847" s="25" t="n"/>
      <c r="U5847" s="19">
        <f>IF($V5847&lt;&gt;'設定'!$C$4,N(U5846),IF(OR(NOT(COUNTIF('商品マスタ'!$B$6:$B$1005,$W5847)=0),COUNTIFS('①在庫を貼る'!$V$6:$V$10005,$V5847,'①在庫を貼る'!$W$6:$W$10005,$W5847)+COUNTIFS('月1回_1ヶ月前の在庫'!$V$6:$V$10005,$V5847,'月1回_1ヶ月前の在庫'!$W$6:$W$10005,$W5847)&gt;0),N(U5846),N(U5846)+1))</f>
        <v/>
      </c>
      <c r="V5847" s="19">
        <f>IF($B5847="","",TEXT($B5847,"0000"))</f>
        <v/>
      </c>
      <c r="W5847" s="19">
        <f>IF($I5847="","",IF(ISNUMBER($I5847),TEXT($I5847,"0"),$I5847))</f>
        <v/>
      </c>
    </row>
    <row r="5848">
      <c r="B5848" s="25" t="n"/>
      <c r="I5848" s="25" t="n"/>
      <c r="U5848" s="19">
        <f>IF($V5848&lt;&gt;'設定'!$C$4,N(U5847),IF(OR(NOT(COUNTIF('商品マスタ'!$B$6:$B$1005,$W5848)=0),COUNTIFS('①在庫を貼る'!$V$6:$V$10005,$V5848,'①在庫を貼る'!$W$6:$W$10005,$W5848)+COUNTIFS('月1回_1ヶ月前の在庫'!$V$6:$V$10005,$V5848,'月1回_1ヶ月前の在庫'!$W$6:$W$10005,$W5848)&gt;0),N(U5847),N(U5847)+1))</f>
        <v/>
      </c>
      <c r="V5848" s="19">
        <f>IF($B5848="","",TEXT($B5848,"0000"))</f>
        <v/>
      </c>
      <c r="W5848" s="19">
        <f>IF($I5848="","",IF(ISNUMBER($I5848),TEXT($I5848,"0"),$I5848))</f>
        <v/>
      </c>
    </row>
    <row r="5849">
      <c r="B5849" s="25" t="n"/>
      <c r="I5849" s="25" t="n"/>
      <c r="U5849" s="19">
        <f>IF($V5849&lt;&gt;'設定'!$C$4,N(U5848),IF(OR(NOT(COUNTIF('商品マスタ'!$B$6:$B$1005,$W5849)=0),COUNTIFS('①在庫を貼る'!$V$6:$V$10005,$V5849,'①在庫を貼る'!$W$6:$W$10005,$W5849)+COUNTIFS('月1回_1ヶ月前の在庫'!$V$6:$V$10005,$V5849,'月1回_1ヶ月前の在庫'!$W$6:$W$10005,$W5849)&gt;0),N(U5848),N(U5848)+1))</f>
        <v/>
      </c>
      <c r="V5849" s="19">
        <f>IF($B5849="","",TEXT($B5849,"0000"))</f>
        <v/>
      </c>
      <c r="W5849" s="19">
        <f>IF($I5849="","",IF(ISNUMBER($I5849),TEXT($I5849,"0"),$I5849))</f>
        <v/>
      </c>
    </row>
    <row r="5850">
      <c r="B5850" s="25" t="n"/>
      <c r="I5850" s="25" t="n"/>
      <c r="U5850" s="19">
        <f>IF($V5850&lt;&gt;'設定'!$C$4,N(U5849),IF(OR(NOT(COUNTIF('商品マスタ'!$B$6:$B$1005,$W5850)=0),COUNTIFS('①在庫を貼る'!$V$6:$V$10005,$V5850,'①在庫を貼る'!$W$6:$W$10005,$W5850)+COUNTIFS('月1回_1ヶ月前の在庫'!$V$6:$V$10005,$V5850,'月1回_1ヶ月前の在庫'!$W$6:$W$10005,$W5850)&gt;0),N(U5849),N(U5849)+1))</f>
        <v/>
      </c>
      <c r="V5850" s="19">
        <f>IF($B5850="","",TEXT($B5850,"0000"))</f>
        <v/>
      </c>
      <c r="W5850" s="19">
        <f>IF($I5850="","",IF(ISNUMBER($I5850),TEXT($I5850,"0"),$I5850))</f>
        <v/>
      </c>
    </row>
    <row r="5851">
      <c r="B5851" s="25" t="n"/>
      <c r="I5851" s="25" t="n"/>
      <c r="U5851" s="19">
        <f>IF($V5851&lt;&gt;'設定'!$C$4,N(U5850),IF(OR(NOT(COUNTIF('商品マスタ'!$B$6:$B$1005,$W5851)=0),COUNTIFS('①在庫を貼る'!$V$6:$V$10005,$V5851,'①在庫を貼る'!$W$6:$W$10005,$W5851)+COUNTIFS('月1回_1ヶ月前の在庫'!$V$6:$V$10005,$V5851,'月1回_1ヶ月前の在庫'!$W$6:$W$10005,$W5851)&gt;0),N(U5850),N(U5850)+1))</f>
        <v/>
      </c>
      <c r="V5851" s="19">
        <f>IF($B5851="","",TEXT($B5851,"0000"))</f>
        <v/>
      </c>
      <c r="W5851" s="19">
        <f>IF($I5851="","",IF(ISNUMBER($I5851),TEXT($I5851,"0"),$I5851))</f>
        <v/>
      </c>
    </row>
    <row r="5852">
      <c r="B5852" s="25" t="n"/>
      <c r="I5852" s="25" t="n"/>
      <c r="U5852" s="19">
        <f>IF($V5852&lt;&gt;'設定'!$C$4,N(U5851),IF(OR(NOT(COUNTIF('商品マスタ'!$B$6:$B$1005,$W5852)=0),COUNTIFS('①在庫を貼る'!$V$6:$V$10005,$V5852,'①在庫を貼る'!$W$6:$W$10005,$W5852)+COUNTIFS('月1回_1ヶ月前の在庫'!$V$6:$V$10005,$V5852,'月1回_1ヶ月前の在庫'!$W$6:$W$10005,$W5852)&gt;0),N(U5851),N(U5851)+1))</f>
        <v/>
      </c>
      <c r="V5852" s="19">
        <f>IF($B5852="","",TEXT($B5852,"0000"))</f>
        <v/>
      </c>
      <c r="W5852" s="19">
        <f>IF($I5852="","",IF(ISNUMBER($I5852),TEXT($I5852,"0"),$I5852))</f>
        <v/>
      </c>
    </row>
    <row r="5853">
      <c r="B5853" s="25" t="n"/>
      <c r="I5853" s="25" t="n"/>
      <c r="U5853" s="19">
        <f>IF($V5853&lt;&gt;'設定'!$C$4,N(U5852),IF(OR(NOT(COUNTIF('商品マスタ'!$B$6:$B$1005,$W5853)=0),COUNTIFS('①在庫を貼る'!$V$6:$V$10005,$V5853,'①在庫を貼る'!$W$6:$W$10005,$W5853)+COUNTIFS('月1回_1ヶ月前の在庫'!$V$6:$V$10005,$V5853,'月1回_1ヶ月前の在庫'!$W$6:$W$10005,$W5853)&gt;0),N(U5852),N(U5852)+1))</f>
        <v/>
      </c>
      <c r="V5853" s="19">
        <f>IF($B5853="","",TEXT($B5853,"0000"))</f>
        <v/>
      </c>
      <c r="W5853" s="19">
        <f>IF($I5853="","",IF(ISNUMBER($I5853),TEXT($I5853,"0"),$I5853))</f>
        <v/>
      </c>
    </row>
    <row r="5854">
      <c r="B5854" s="25" t="n"/>
      <c r="I5854" s="25" t="n"/>
      <c r="U5854" s="19">
        <f>IF($V5854&lt;&gt;'設定'!$C$4,N(U5853),IF(OR(NOT(COUNTIF('商品マスタ'!$B$6:$B$1005,$W5854)=0),COUNTIFS('①在庫を貼る'!$V$6:$V$10005,$V5854,'①在庫を貼る'!$W$6:$W$10005,$W5854)+COUNTIFS('月1回_1ヶ月前の在庫'!$V$6:$V$10005,$V5854,'月1回_1ヶ月前の在庫'!$W$6:$W$10005,$W5854)&gt;0),N(U5853),N(U5853)+1))</f>
        <v/>
      </c>
      <c r="V5854" s="19">
        <f>IF($B5854="","",TEXT($B5854,"0000"))</f>
        <v/>
      </c>
      <c r="W5854" s="19">
        <f>IF($I5854="","",IF(ISNUMBER($I5854),TEXT($I5854,"0"),$I5854))</f>
        <v/>
      </c>
    </row>
    <row r="5855">
      <c r="B5855" s="25" t="n"/>
      <c r="I5855" s="25" t="n"/>
      <c r="U5855" s="19">
        <f>IF($V5855&lt;&gt;'設定'!$C$4,N(U5854),IF(OR(NOT(COUNTIF('商品マスタ'!$B$6:$B$1005,$W5855)=0),COUNTIFS('①在庫を貼る'!$V$6:$V$10005,$V5855,'①在庫を貼る'!$W$6:$W$10005,$W5855)+COUNTIFS('月1回_1ヶ月前の在庫'!$V$6:$V$10005,$V5855,'月1回_1ヶ月前の在庫'!$W$6:$W$10005,$W5855)&gt;0),N(U5854),N(U5854)+1))</f>
        <v/>
      </c>
      <c r="V5855" s="19">
        <f>IF($B5855="","",TEXT($B5855,"0000"))</f>
        <v/>
      </c>
      <c r="W5855" s="19">
        <f>IF($I5855="","",IF(ISNUMBER($I5855),TEXT($I5855,"0"),$I5855))</f>
        <v/>
      </c>
    </row>
    <row r="5856">
      <c r="B5856" s="25" t="n"/>
      <c r="I5856" s="25" t="n"/>
      <c r="U5856" s="19">
        <f>IF($V5856&lt;&gt;'設定'!$C$4,N(U5855),IF(OR(NOT(COUNTIF('商品マスタ'!$B$6:$B$1005,$W5856)=0),COUNTIFS('①在庫を貼る'!$V$6:$V$10005,$V5856,'①在庫を貼る'!$W$6:$W$10005,$W5856)+COUNTIFS('月1回_1ヶ月前の在庫'!$V$6:$V$10005,$V5856,'月1回_1ヶ月前の在庫'!$W$6:$W$10005,$W5856)&gt;0),N(U5855),N(U5855)+1))</f>
        <v/>
      </c>
      <c r="V5856" s="19">
        <f>IF($B5856="","",TEXT($B5856,"0000"))</f>
        <v/>
      </c>
      <c r="W5856" s="19">
        <f>IF($I5856="","",IF(ISNUMBER($I5856),TEXT($I5856,"0"),$I5856))</f>
        <v/>
      </c>
    </row>
    <row r="5857">
      <c r="B5857" s="25" t="n"/>
      <c r="I5857" s="25" t="n"/>
      <c r="U5857" s="19">
        <f>IF($V5857&lt;&gt;'設定'!$C$4,N(U5856),IF(OR(NOT(COUNTIF('商品マスタ'!$B$6:$B$1005,$W5857)=0),COUNTIFS('①在庫を貼る'!$V$6:$V$10005,$V5857,'①在庫を貼る'!$W$6:$W$10005,$W5857)+COUNTIFS('月1回_1ヶ月前の在庫'!$V$6:$V$10005,$V5857,'月1回_1ヶ月前の在庫'!$W$6:$W$10005,$W5857)&gt;0),N(U5856),N(U5856)+1))</f>
        <v/>
      </c>
      <c r="V5857" s="19">
        <f>IF($B5857="","",TEXT($B5857,"0000"))</f>
        <v/>
      </c>
      <c r="W5857" s="19">
        <f>IF($I5857="","",IF(ISNUMBER($I5857),TEXT($I5857,"0"),$I5857))</f>
        <v/>
      </c>
    </row>
    <row r="5858">
      <c r="B5858" s="25" t="n"/>
      <c r="I5858" s="25" t="n"/>
      <c r="U5858" s="19">
        <f>IF($V5858&lt;&gt;'設定'!$C$4,N(U5857),IF(OR(NOT(COUNTIF('商品マスタ'!$B$6:$B$1005,$W5858)=0),COUNTIFS('①在庫を貼る'!$V$6:$V$10005,$V5858,'①在庫を貼る'!$W$6:$W$10005,$W5858)+COUNTIFS('月1回_1ヶ月前の在庫'!$V$6:$V$10005,$V5858,'月1回_1ヶ月前の在庫'!$W$6:$W$10005,$W5858)&gt;0),N(U5857),N(U5857)+1))</f>
        <v/>
      </c>
      <c r="V5858" s="19">
        <f>IF($B5858="","",TEXT($B5858,"0000"))</f>
        <v/>
      </c>
      <c r="W5858" s="19">
        <f>IF($I5858="","",IF(ISNUMBER($I5858),TEXT($I5858,"0"),$I5858))</f>
        <v/>
      </c>
    </row>
    <row r="5859">
      <c r="B5859" s="25" t="n"/>
      <c r="I5859" s="25" t="n"/>
      <c r="U5859" s="19">
        <f>IF($V5859&lt;&gt;'設定'!$C$4,N(U5858),IF(OR(NOT(COUNTIF('商品マスタ'!$B$6:$B$1005,$W5859)=0),COUNTIFS('①在庫を貼る'!$V$6:$V$10005,$V5859,'①在庫を貼る'!$W$6:$W$10005,$W5859)+COUNTIFS('月1回_1ヶ月前の在庫'!$V$6:$V$10005,$V5859,'月1回_1ヶ月前の在庫'!$W$6:$W$10005,$W5859)&gt;0),N(U5858),N(U5858)+1))</f>
        <v/>
      </c>
      <c r="V5859" s="19">
        <f>IF($B5859="","",TEXT($B5859,"0000"))</f>
        <v/>
      </c>
      <c r="W5859" s="19">
        <f>IF($I5859="","",IF(ISNUMBER($I5859),TEXT($I5859,"0"),$I5859))</f>
        <v/>
      </c>
    </row>
    <row r="5860">
      <c r="B5860" s="25" t="n"/>
      <c r="I5860" s="25" t="n"/>
      <c r="U5860" s="19">
        <f>IF($V5860&lt;&gt;'設定'!$C$4,N(U5859),IF(OR(NOT(COUNTIF('商品マスタ'!$B$6:$B$1005,$W5860)=0),COUNTIFS('①在庫を貼る'!$V$6:$V$10005,$V5860,'①在庫を貼る'!$W$6:$W$10005,$W5860)+COUNTIFS('月1回_1ヶ月前の在庫'!$V$6:$V$10005,$V5860,'月1回_1ヶ月前の在庫'!$W$6:$W$10005,$W5860)&gt;0),N(U5859),N(U5859)+1))</f>
        <v/>
      </c>
      <c r="V5860" s="19">
        <f>IF($B5860="","",TEXT($B5860,"0000"))</f>
        <v/>
      </c>
      <c r="W5860" s="19">
        <f>IF($I5860="","",IF(ISNUMBER($I5860),TEXT($I5860,"0"),$I5860))</f>
        <v/>
      </c>
    </row>
    <row r="5861">
      <c r="B5861" s="25" t="n"/>
      <c r="I5861" s="25" t="n"/>
      <c r="U5861" s="19">
        <f>IF($V5861&lt;&gt;'設定'!$C$4,N(U5860),IF(OR(NOT(COUNTIF('商品マスタ'!$B$6:$B$1005,$W5861)=0),COUNTIFS('①在庫を貼る'!$V$6:$V$10005,$V5861,'①在庫を貼る'!$W$6:$W$10005,$W5861)+COUNTIFS('月1回_1ヶ月前の在庫'!$V$6:$V$10005,$V5861,'月1回_1ヶ月前の在庫'!$W$6:$W$10005,$W5861)&gt;0),N(U5860),N(U5860)+1))</f>
        <v/>
      </c>
      <c r="V5861" s="19">
        <f>IF($B5861="","",TEXT($B5861,"0000"))</f>
        <v/>
      </c>
      <c r="W5861" s="19">
        <f>IF($I5861="","",IF(ISNUMBER($I5861),TEXT($I5861,"0"),$I5861))</f>
        <v/>
      </c>
    </row>
    <row r="5862">
      <c r="B5862" s="25" t="n"/>
      <c r="I5862" s="25" t="n"/>
      <c r="U5862" s="19">
        <f>IF($V5862&lt;&gt;'設定'!$C$4,N(U5861),IF(OR(NOT(COUNTIF('商品マスタ'!$B$6:$B$1005,$W5862)=0),COUNTIFS('①在庫を貼る'!$V$6:$V$10005,$V5862,'①在庫を貼る'!$W$6:$W$10005,$W5862)+COUNTIFS('月1回_1ヶ月前の在庫'!$V$6:$V$10005,$V5862,'月1回_1ヶ月前の在庫'!$W$6:$W$10005,$W5862)&gt;0),N(U5861),N(U5861)+1))</f>
        <v/>
      </c>
      <c r="V5862" s="19">
        <f>IF($B5862="","",TEXT($B5862,"0000"))</f>
        <v/>
      </c>
      <c r="W5862" s="19">
        <f>IF($I5862="","",IF(ISNUMBER($I5862),TEXT($I5862,"0"),$I5862))</f>
        <v/>
      </c>
    </row>
    <row r="5863">
      <c r="B5863" s="25" t="n"/>
      <c r="I5863" s="25" t="n"/>
      <c r="U5863" s="19">
        <f>IF($V5863&lt;&gt;'設定'!$C$4,N(U5862),IF(OR(NOT(COUNTIF('商品マスタ'!$B$6:$B$1005,$W5863)=0),COUNTIFS('①在庫を貼る'!$V$6:$V$10005,$V5863,'①在庫を貼る'!$W$6:$W$10005,$W5863)+COUNTIFS('月1回_1ヶ月前の在庫'!$V$6:$V$10005,$V5863,'月1回_1ヶ月前の在庫'!$W$6:$W$10005,$W5863)&gt;0),N(U5862),N(U5862)+1))</f>
        <v/>
      </c>
      <c r="V5863" s="19">
        <f>IF($B5863="","",TEXT($B5863,"0000"))</f>
        <v/>
      </c>
      <c r="W5863" s="19">
        <f>IF($I5863="","",IF(ISNUMBER($I5863),TEXT($I5863,"0"),$I5863))</f>
        <v/>
      </c>
    </row>
    <row r="5864">
      <c r="B5864" s="25" t="n"/>
      <c r="I5864" s="25" t="n"/>
      <c r="U5864" s="19">
        <f>IF($V5864&lt;&gt;'設定'!$C$4,N(U5863),IF(OR(NOT(COUNTIF('商品マスタ'!$B$6:$B$1005,$W5864)=0),COUNTIFS('①在庫を貼る'!$V$6:$V$10005,$V5864,'①在庫を貼る'!$W$6:$W$10005,$W5864)+COUNTIFS('月1回_1ヶ月前の在庫'!$V$6:$V$10005,$V5864,'月1回_1ヶ月前の在庫'!$W$6:$W$10005,$W5864)&gt;0),N(U5863),N(U5863)+1))</f>
        <v/>
      </c>
      <c r="V5864" s="19">
        <f>IF($B5864="","",TEXT($B5864,"0000"))</f>
        <v/>
      </c>
      <c r="W5864" s="19">
        <f>IF($I5864="","",IF(ISNUMBER($I5864),TEXT($I5864,"0"),$I5864))</f>
        <v/>
      </c>
    </row>
    <row r="5865">
      <c r="B5865" s="25" t="n"/>
      <c r="I5865" s="25" t="n"/>
      <c r="U5865" s="19">
        <f>IF($V5865&lt;&gt;'設定'!$C$4,N(U5864),IF(OR(NOT(COUNTIF('商品マスタ'!$B$6:$B$1005,$W5865)=0),COUNTIFS('①在庫を貼る'!$V$6:$V$10005,$V5865,'①在庫を貼る'!$W$6:$W$10005,$W5865)+COUNTIFS('月1回_1ヶ月前の在庫'!$V$6:$V$10005,$V5865,'月1回_1ヶ月前の在庫'!$W$6:$W$10005,$W5865)&gt;0),N(U5864),N(U5864)+1))</f>
        <v/>
      </c>
      <c r="V5865" s="19">
        <f>IF($B5865="","",TEXT($B5865,"0000"))</f>
        <v/>
      </c>
      <c r="W5865" s="19">
        <f>IF($I5865="","",IF(ISNUMBER($I5865),TEXT($I5865,"0"),$I5865))</f>
        <v/>
      </c>
    </row>
    <row r="5866">
      <c r="B5866" s="25" t="n"/>
      <c r="I5866" s="25" t="n"/>
      <c r="U5866" s="19">
        <f>IF($V5866&lt;&gt;'設定'!$C$4,N(U5865),IF(OR(NOT(COUNTIF('商品マスタ'!$B$6:$B$1005,$W5866)=0),COUNTIFS('①在庫を貼る'!$V$6:$V$10005,$V5866,'①在庫を貼る'!$W$6:$W$10005,$W5866)+COUNTIFS('月1回_1ヶ月前の在庫'!$V$6:$V$10005,$V5866,'月1回_1ヶ月前の在庫'!$W$6:$W$10005,$W5866)&gt;0),N(U5865),N(U5865)+1))</f>
        <v/>
      </c>
      <c r="V5866" s="19">
        <f>IF($B5866="","",TEXT($B5866,"0000"))</f>
        <v/>
      </c>
      <c r="W5866" s="19">
        <f>IF($I5866="","",IF(ISNUMBER($I5866),TEXT($I5866,"0"),$I5866))</f>
        <v/>
      </c>
    </row>
    <row r="5867">
      <c r="B5867" s="25" t="n"/>
      <c r="I5867" s="25" t="n"/>
      <c r="U5867" s="19">
        <f>IF($V5867&lt;&gt;'設定'!$C$4,N(U5866),IF(OR(NOT(COUNTIF('商品マスタ'!$B$6:$B$1005,$W5867)=0),COUNTIFS('①在庫を貼る'!$V$6:$V$10005,$V5867,'①在庫を貼る'!$W$6:$W$10005,$W5867)+COUNTIFS('月1回_1ヶ月前の在庫'!$V$6:$V$10005,$V5867,'月1回_1ヶ月前の在庫'!$W$6:$W$10005,$W5867)&gt;0),N(U5866),N(U5866)+1))</f>
        <v/>
      </c>
      <c r="V5867" s="19">
        <f>IF($B5867="","",TEXT($B5867,"0000"))</f>
        <v/>
      </c>
      <c r="W5867" s="19">
        <f>IF($I5867="","",IF(ISNUMBER($I5867),TEXT($I5867,"0"),$I5867))</f>
        <v/>
      </c>
    </row>
    <row r="5868">
      <c r="B5868" s="25" t="n"/>
      <c r="I5868" s="25" t="n"/>
      <c r="U5868" s="19">
        <f>IF($V5868&lt;&gt;'設定'!$C$4,N(U5867),IF(OR(NOT(COUNTIF('商品マスタ'!$B$6:$B$1005,$W5868)=0),COUNTIFS('①在庫を貼る'!$V$6:$V$10005,$V5868,'①在庫を貼る'!$W$6:$W$10005,$W5868)+COUNTIFS('月1回_1ヶ月前の在庫'!$V$6:$V$10005,$V5868,'月1回_1ヶ月前の在庫'!$W$6:$W$10005,$W5868)&gt;0),N(U5867),N(U5867)+1))</f>
        <v/>
      </c>
      <c r="V5868" s="19">
        <f>IF($B5868="","",TEXT($B5868,"0000"))</f>
        <v/>
      </c>
      <c r="W5868" s="19">
        <f>IF($I5868="","",IF(ISNUMBER($I5868),TEXT($I5868,"0"),$I5868))</f>
        <v/>
      </c>
    </row>
    <row r="5869">
      <c r="B5869" s="25" t="n"/>
      <c r="I5869" s="25" t="n"/>
      <c r="U5869" s="19">
        <f>IF($V5869&lt;&gt;'設定'!$C$4,N(U5868),IF(OR(NOT(COUNTIF('商品マスタ'!$B$6:$B$1005,$W5869)=0),COUNTIFS('①在庫を貼る'!$V$6:$V$10005,$V5869,'①在庫を貼る'!$W$6:$W$10005,$W5869)+COUNTIFS('月1回_1ヶ月前の在庫'!$V$6:$V$10005,$V5869,'月1回_1ヶ月前の在庫'!$W$6:$W$10005,$W5869)&gt;0),N(U5868),N(U5868)+1))</f>
        <v/>
      </c>
      <c r="V5869" s="19">
        <f>IF($B5869="","",TEXT($B5869,"0000"))</f>
        <v/>
      </c>
      <c r="W5869" s="19">
        <f>IF($I5869="","",IF(ISNUMBER($I5869),TEXT($I5869,"0"),$I5869))</f>
        <v/>
      </c>
    </row>
    <row r="5870">
      <c r="B5870" s="25" t="n"/>
      <c r="I5870" s="25" t="n"/>
      <c r="U5870" s="19">
        <f>IF($V5870&lt;&gt;'設定'!$C$4,N(U5869),IF(OR(NOT(COUNTIF('商品マスタ'!$B$6:$B$1005,$W5870)=0),COUNTIFS('①在庫を貼る'!$V$6:$V$10005,$V5870,'①在庫を貼る'!$W$6:$W$10005,$W5870)+COUNTIFS('月1回_1ヶ月前の在庫'!$V$6:$V$10005,$V5870,'月1回_1ヶ月前の在庫'!$W$6:$W$10005,$W5870)&gt;0),N(U5869),N(U5869)+1))</f>
        <v/>
      </c>
      <c r="V5870" s="19">
        <f>IF($B5870="","",TEXT($B5870,"0000"))</f>
        <v/>
      </c>
      <c r="W5870" s="19">
        <f>IF($I5870="","",IF(ISNUMBER($I5870),TEXT($I5870,"0"),$I5870))</f>
        <v/>
      </c>
    </row>
    <row r="5871">
      <c r="B5871" s="25" t="n"/>
      <c r="I5871" s="25" t="n"/>
      <c r="U5871" s="19">
        <f>IF($V5871&lt;&gt;'設定'!$C$4,N(U5870),IF(OR(NOT(COUNTIF('商品マスタ'!$B$6:$B$1005,$W5871)=0),COUNTIFS('①在庫を貼る'!$V$6:$V$10005,$V5871,'①在庫を貼る'!$W$6:$W$10005,$W5871)+COUNTIFS('月1回_1ヶ月前の在庫'!$V$6:$V$10005,$V5871,'月1回_1ヶ月前の在庫'!$W$6:$W$10005,$W5871)&gt;0),N(U5870),N(U5870)+1))</f>
        <v/>
      </c>
      <c r="V5871" s="19">
        <f>IF($B5871="","",TEXT($B5871,"0000"))</f>
        <v/>
      </c>
      <c r="W5871" s="19">
        <f>IF($I5871="","",IF(ISNUMBER($I5871),TEXT($I5871,"0"),$I5871))</f>
        <v/>
      </c>
    </row>
    <row r="5872">
      <c r="B5872" s="25" t="n"/>
      <c r="I5872" s="25" t="n"/>
      <c r="U5872" s="19">
        <f>IF($V5872&lt;&gt;'設定'!$C$4,N(U5871),IF(OR(NOT(COUNTIF('商品マスタ'!$B$6:$B$1005,$W5872)=0),COUNTIFS('①在庫を貼る'!$V$6:$V$10005,$V5872,'①在庫を貼る'!$W$6:$W$10005,$W5872)+COUNTIFS('月1回_1ヶ月前の在庫'!$V$6:$V$10005,$V5872,'月1回_1ヶ月前の在庫'!$W$6:$W$10005,$W5872)&gt;0),N(U5871),N(U5871)+1))</f>
        <v/>
      </c>
      <c r="V5872" s="19">
        <f>IF($B5872="","",TEXT($B5872,"0000"))</f>
        <v/>
      </c>
      <c r="W5872" s="19">
        <f>IF($I5872="","",IF(ISNUMBER($I5872),TEXT($I5872,"0"),$I5872))</f>
        <v/>
      </c>
    </row>
    <row r="5873">
      <c r="B5873" s="25" t="n"/>
      <c r="I5873" s="25" t="n"/>
      <c r="U5873" s="19">
        <f>IF($V5873&lt;&gt;'設定'!$C$4,N(U5872),IF(OR(NOT(COUNTIF('商品マスタ'!$B$6:$B$1005,$W5873)=0),COUNTIFS('①在庫を貼る'!$V$6:$V$10005,$V5873,'①在庫を貼る'!$W$6:$W$10005,$W5873)+COUNTIFS('月1回_1ヶ月前の在庫'!$V$6:$V$10005,$V5873,'月1回_1ヶ月前の在庫'!$W$6:$W$10005,$W5873)&gt;0),N(U5872),N(U5872)+1))</f>
        <v/>
      </c>
      <c r="V5873" s="19">
        <f>IF($B5873="","",TEXT($B5873,"0000"))</f>
        <v/>
      </c>
      <c r="W5873" s="19">
        <f>IF($I5873="","",IF(ISNUMBER($I5873),TEXT($I5873,"0"),$I5873))</f>
        <v/>
      </c>
    </row>
    <row r="5874">
      <c r="B5874" s="25" t="n"/>
      <c r="I5874" s="25" t="n"/>
      <c r="U5874" s="19">
        <f>IF($V5874&lt;&gt;'設定'!$C$4,N(U5873),IF(OR(NOT(COUNTIF('商品マスタ'!$B$6:$B$1005,$W5874)=0),COUNTIFS('①在庫を貼る'!$V$6:$V$10005,$V5874,'①在庫を貼る'!$W$6:$W$10005,$W5874)+COUNTIFS('月1回_1ヶ月前の在庫'!$V$6:$V$10005,$V5874,'月1回_1ヶ月前の在庫'!$W$6:$W$10005,$W5874)&gt;0),N(U5873),N(U5873)+1))</f>
        <v/>
      </c>
      <c r="V5874" s="19">
        <f>IF($B5874="","",TEXT($B5874,"0000"))</f>
        <v/>
      </c>
      <c r="W5874" s="19">
        <f>IF($I5874="","",IF(ISNUMBER($I5874),TEXT($I5874,"0"),$I5874))</f>
        <v/>
      </c>
    </row>
    <row r="5875">
      <c r="B5875" s="25" t="n"/>
      <c r="I5875" s="25" t="n"/>
      <c r="U5875" s="19">
        <f>IF($V5875&lt;&gt;'設定'!$C$4,N(U5874),IF(OR(NOT(COUNTIF('商品マスタ'!$B$6:$B$1005,$W5875)=0),COUNTIFS('①在庫を貼る'!$V$6:$V$10005,$V5875,'①在庫を貼る'!$W$6:$W$10005,$W5875)+COUNTIFS('月1回_1ヶ月前の在庫'!$V$6:$V$10005,$V5875,'月1回_1ヶ月前の在庫'!$W$6:$W$10005,$W5875)&gt;0),N(U5874),N(U5874)+1))</f>
        <v/>
      </c>
      <c r="V5875" s="19">
        <f>IF($B5875="","",TEXT($B5875,"0000"))</f>
        <v/>
      </c>
      <c r="W5875" s="19">
        <f>IF($I5875="","",IF(ISNUMBER($I5875),TEXT($I5875,"0"),$I5875))</f>
        <v/>
      </c>
    </row>
    <row r="5876">
      <c r="B5876" s="25" t="n"/>
      <c r="I5876" s="25" t="n"/>
      <c r="U5876" s="19">
        <f>IF($V5876&lt;&gt;'設定'!$C$4,N(U5875),IF(OR(NOT(COUNTIF('商品マスタ'!$B$6:$B$1005,$W5876)=0),COUNTIFS('①在庫を貼る'!$V$6:$V$10005,$V5876,'①在庫を貼る'!$W$6:$W$10005,$W5876)+COUNTIFS('月1回_1ヶ月前の在庫'!$V$6:$V$10005,$V5876,'月1回_1ヶ月前の在庫'!$W$6:$W$10005,$W5876)&gt;0),N(U5875),N(U5875)+1))</f>
        <v/>
      </c>
      <c r="V5876" s="19">
        <f>IF($B5876="","",TEXT($B5876,"0000"))</f>
        <v/>
      </c>
      <c r="W5876" s="19">
        <f>IF($I5876="","",IF(ISNUMBER($I5876),TEXT($I5876,"0"),$I5876))</f>
        <v/>
      </c>
    </row>
    <row r="5877">
      <c r="B5877" s="25" t="n"/>
      <c r="I5877" s="25" t="n"/>
      <c r="U5877" s="19">
        <f>IF($V5877&lt;&gt;'設定'!$C$4,N(U5876),IF(OR(NOT(COUNTIF('商品マスタ'!$B$6:$B$1005,$W5877)=0),COUNTIFS('①在庫を貼る'!$V$6:$V$10005,$V5877,'①在庫を貼る'!$W$6:$W$10005,$W5877)+COUNTIFS('月1回_1ヶ月前の在庫'!$V$6:$V$10005,$V5877,'月1回_1ヶ月前の在庫'!$W$6:$W$10005,$W5877)&gt;0),N(U5876),N(U5876)+1))</f>
        <v/>
      </c>
      <c r="V5877" s="19">
        <f>IF($B5877="","",TEXT($B5877,"0000"))</f>
        <v/>
      </c>
      <c r="W5877" s="19">
        <f>IF($I5877="","",IF(ISNUMBER($I5877),TEXT($I5877,"0"),$I5877))</f>
        <v/>
      </c>
    </row>
    <row r="5878">
      <c r="B5878" s="25" t="n"/>
      <c r="I5878" s="25" t="n"/>
      <c r="U5878" s="19">
        <f>IF($V5878&lt;&gt;'設定'!$C$4,N(U5877),IF(OR(NOT(COUNTIF('商品マスタ'!$B$6:$B$1005,$W5878)=0),COUNTIFS('①在庫を貼る'!$V$6:$V$10005,$V5878,'①在庫を貼る'!$W$6:$W$10005,$W5878)+COUNTIFS('月1回_1ヶ月前の在庫'!$V$6:$V$10005,$V5878,'月1回_1ヶ月前の在庫'!$W$6:$W$10005,$W5878)&gt;0),N(U5877),N(U5877)+1))</f>
        <v/>
      </c>
      <c r="V5878" s="19">
        <f>IF($B5878="","",TEXT($B5878,"0000"))</f>
        <v/>
      </c>
      <c r="W5878" s="19">
        <f>IF($I5878="","",IF(ISNUMBER($I5878),TEXT($I5878,"0"),$I5878))</f>
        <v/>
      </c>
    </row>
    <row r="5879">
      <c r="B5879" s="25" t="n"/>
      <c r="I5879" s="25" t="n"/>
      <c r="U5879" s="19">
        <f>IF($V5879&lt;&gt;'設定'!$C$4,N(U5878),IF(OR(NOT(COUNTIF('商品マスタ'!$B$6:$B$1005,$W5879)=0),COUNTIFS('①在庫を貼る'!$V$6:$V$10005,$V5879,'①在庫を貼る'!$W$6:$W$10005,$W5879)+COUNTIFS('月1回_1ヶ月前の在庫'!$V$6:$V$10005,$V5879,'月1回_1ヶ月前の在庫'!$W$6:$W$10005,$W5879)&gt;0),N(U5878),N(U5878)+1))</f>
        <v/>
      </c>
      <c r="V5879" s="19">
        <f>IF($B5879="","",TEXT($B5879,"0000"))</f>
        <v/>
      </c>
      <c r="W5879" s="19">
        <f>IF($I5879="","",IF(ISNUMBER($I5879),TEXT($I5879,"0"),$I5879))</f>
        <v/>
      </c>
    </row>
    <row r="5880">
      <c r="B5880" s="25" t="n"/>
      <c r="I5880" s="25" t="n"/>
      <c r="U5880" s="19">
        <f>IF($V5880&lt;&gt;'設定'!$C$4,N(U5879),IF(OR(NOT(COUNTIF('商品マスタ'!$B$6:$B$1005,$W5880)=0),COUNTIFS('①在庫を貼る'!$V$6:$V$10005,$V5880,'①在庫を貼る'!$W$6:$W$10005,$W5880)+COUNTIFS('月1回_1ヶ月前の在庫'!$V$6:$V$10005,$V5880,'月1回_1ヶ月前の在庫'!$W$6:$W$10005,$W5880)&gt;0),N(U5879),N(U5879)+1))</f>
        <v/>
      </c>
      <c r="V5880" s="19">
        <f>IF($B5880="","",TEXT($B5880,"0000"))</f>
        <v/>
      </c>
      <c r="W5880" s="19">
        <f>IF($I5880="","",IF(ISNUMBER($I5880),TEXT($I5880,"0"),$I5880))</f>
        <v/>
      </c>
    </row>
    <row r="5881">
      <c r="B5881" s="25" t="n"/>
      <c r="I5881" s="25" t="n"/>
      <c r="U5881" s="19">
        <f>IF($V5881&lt;&gt;'設定'!$C$4,N(U5880),IF(OR(NOT(COUNTIF('商品マスタ'!$B$6:$B$1005,$W5881)=0),COUNTIFS('①在庫を貼る'!$V$6:$V$10005,$V5881,'①在庫を貼る'!$W$6:$W$10005,$W5881)+COUNTIFS('月1回_1ヶ月前の在庫'!$V$6:$V$10005,$V5881,'月1回_1ヶ月前の在庫'!$W$6:$W$10005,$W5881)&gt;0),N(U5880),N(U5880)+1))</f>
        <v/>
      </c>
      <c r="V5881" s="19">
        <f>IF($B5881="","",TEXT($B5881,"0000"))</f>
        <v/>
      </c>
      <c r="W5881" s="19">
        <f>IF($I5881="","",IF(ISNUMBER($I5881),TEXT($I5881,"0"),$I5881))</f>
        <v/>
      </c>
    </row>
    <row r="5882">
      <c r="B5882" s="25" t="n"/>
      <c r="I5882" s="25" t="n"/>
      <c r="U5882" s="19">
        <f>IF($V5882&lt;&gt;'設定'!$C$4,N(U5881),IF(OR(NOT(COUNTIF('商品マスタ'!$B$6:$B$1005,$W5882)=0),COUNTIFS('①在庫を貼る'!$V$6:$V$10005,$V5882,'①在庫を貼る'!$W$6:$W$10005,$W5882)+COUNTIFS('月1回_1ヶ月前の在庫'!$V$6:$V$10005,$V5882,'月1回_1ヶ月前の在庫'!$W$6:$W$10005,$W5882)&gt;0),N(U5881),N(U5881)+1))</f>
        <v/>
      </c>
      <c r="V5882" s="19">
        <f>IF($B5882="","",TEXT($B5882,"0000"))</f>
        <v/>
      </c>
      <c r="W5882" s="19">
        <f>IF($I5882="","",IF(ISNUMBER($I5882),TEXT($I5882,"0"),$I5882))</f>
        <v/>
      </c>
    </row>
    <row r="5883">
      <c r="B5883" s="25" t="n"/>
      <c r="I5883" s="25" t="n"/>
      <c r="U5883" s="19">
        <f>IF($V5883&lt;&gt;'設定'!$C$4,N(U5882),IF(OR(NOT(COUNTIF('商品マスタ'!$B$6:$B$1005,$W5883)=0),COUNTIFS('①在庫を貼る'!$V$6:$V$10005,$V5883,'①在庫を貼る'!$W$6:$W$10005,$W5883)+COUNTIFS('月1回_1ヶ月前の在庫'!$V$6:$V$10005,$V5883,'月1回_1ヶ月前の在庫'!$W$6:$W$10005,$W5883)&gt;0),N(U5882),N(U5882)+1))</f>
        <v/>
      </c>
      <c r="V5883" s="19">
        <f>IF($B5883="","",TEXT($B5883,"0000"))</f>
        <v/>
      </c>
      <c r="W5883" s="19">
        <f>IF($I5883="","",IF(ISNUMBER($I5883),TEXT($I5883,"0"),$I5883))</f>
        <v/>
      </c>
    </row>
    <row r="5884">
      <c r="B5884" s="25" t="n"/>
      <c r="I5884" s="25" t="n"/>
      <c r="U5884" s="19">
        <f>IF($V5884&lt;&gt;'設定'!$C$4,N(U5883),IF(OR(NOT(COUNTIF('商品マスタ'!$B$6:$B$1005,$W5884)=0),COUNTIFS('①在庫を貼る'!$V$6:$V$10005,$V5884,'①在庫を貼る'!$W$6:$W$10005,$W5884)+COUNTIFS('月1回_1ヶ月前の在庫'!$V$6:$V$10005,$V5884,'月1回_1ヶ月前の在庫'!$W$6:$W$10005,$W5884)&gt;0),N(U5883),N(U5883)+1))</f>
        <v/>
      </c>
      <c r="V5884" s="19">
        <f>IF($B5884="","",TEXT($B5884,"0000"))</f>
        <v/>
      </c>
      <c r="W5884" s="19">
        <f>IF($I5884="","",IF(ISNUMBER($I5884),TEXT($I5884,"0"),$I5884))</f>
        <v/>
      </c>
    </row>
    <row r="5885">
      <c r="B5885" s="25" t="n"/>
      <c r="I5885" s="25" t="n"/>
      <c r="U5885" s="19">
        <f>IF($V5885&lt;&gt;'設定'!$C$4,N(U5884),IF(OR(NOT(COUNTIF('商品マスタ'!$B$6:$B$1005,$W5885)=0),COUNTIFS('①在庫を貼る'!$V$6:$V$10005,$V5885,'①在庫を貼る'!$W$6:$W$10005,$W5885)+COUNTIFS('月1回_1ヶ月前の在庫'!$V$6:$V$10005,$V5885,'月1回_1ヶ月前の在庫'!$W$6:$W$10005,$W5885)&gt;0),N(U5884),N(U5884)+1))</f>
        <v/>
      </c>
      <c r="V5885" s="19">
        <f>IF($B5885="","",TEXT($B5885,"0000"))</f>
        <v/>
      </c>
      <c r="W5885" s="19">
        <f>IF($I5885="","",IF(ISNUMBER($I5885),TEXT($I5885,"0"),$I5885))</f>
        <v/>
      </c>
    </row>
    <row r="5886">
      <c r="B5886" s="25" t="n"/>
      <c r="I5886" s="25" t="n"/>
      <c r="U5886" s="19">
        <f>IF($V5886&lt;&gt;'設定'!$C$4,N(U5885),IF(OR(NOT(COUNTIF('商品マスタ'!$B$6:$B$1005,$W5886)=0),COUNTIFS('①在庫を貼る'!$V$6:$V$10005,$V5886,'①在庫を貼る'!$W$6:$W$10005,$W5886)+COUNTIFS('月1回_1ヶ月前の在庫'!$V$6:$V$10005,$V5886,'月1回_1ヶ月前の在庫'!$W$6:$W$10005,$W5886)&gt;0),N(U5885),N(U5885)+1))</f>
        <v/>
      </c>
      <c r="V5886" s="19">
        <f>IF($B5886="","",TEXT($B5886,"0000"))</f>
        <v/>
      </c>
      <c r="W5886" s="19">
        <f>IF($I5886="","",IF(ISNUMBER($I5886),TEXT($I5886,"0"),$I5886))</f>
        <v/>
      </c>
    </row>
    <row r="5887">
      <c r="B5887" s="25" t="n"/>
      <c r="I5887" s="25" t="n"/>
      <c r="U5887" s="19">
        <f>IF($V5887&lt;&gt;'設定'!$C$4,N(U5886),IF(OR(NOT(COUNTIF('商品マスタ'!$B$6:$B$1005,$W5887)=0),COUNTIFS('①在庫を貼る'!$V$6:$V$10005,$V5887,'①在庫を貼る'!$W$6:$W$10005,$W5887)+COUNTIFS('月1回_1ヶ月前の在庫'!$V$6:$V$10005,$V5887,'月1回_1ヶ月前の在庫'!$W$6:$W$10005,$W5887)&gt;0),N(U5886),N(U5886)+1))</f>
        <v/>
      </c>
      <c r="V5887" s="19">
        <f>IF($B5887="","",TEXT($B5887,"0000"))</f>
        <v/>
      </c>
      <c r="W5887" s="19">
        <f>IF($I5887="","",IF(ISNUMBER($I5887),TEXT($I5887,"0"),$I5887))</f>
        <v/>
      </c>
    </row>
    <row r="5888">
      <c r="B5888" s="25" t="n"/>
      <c r="I5888" s="25" t="n"/>
      <c r="U5888" s="19">
        <f>IF($V5888&lt;&gt;'設定'!$C$4,N(U5887),IF(OR(NOT(COUNTIF('商品マスタ'!$B$6:$B$1005,$W5888)=0),COUNTIFS('①在庫を貼る'!$V$6:$V$10005,$V5888,'①在庫を貼る'!$W$6:$W$10005,$W5888)+COUNTIFS('月1回_1ヶ月前の在庫'!$V$6:$V$10005,$V5888,'月1回_1ヶ月前の在庫'!$W$6:$W$10005,$W5888)&gt;0),N(U5887),N(U5887)+1))</f>
        <v/>
      </c>
      <c r="V5888" s="19">
        <f>IF($B5888="","",TEXT($B5888,"0000"))</f>
        <v/>
      </c>
      <c r="W5888" s="19">
        <f>IF($I5888="","",IF(ISNUMBER($I5888),TEXT($I5888,"0"),$I5888))</f>
        <v/>
      </c>
    </row>
    <row r="5889">
      <c r="B5889" s="25" t="n"/>
      <c r="I5889" s="25" t="n"/>
      <c r="U5889" s="19">
        <f>IF($V5889&lt;&gt;'設定'!$C$4,N(U5888),IF(OR(NOT(COUNTIF('商品マスタ'!$B$6:$B$1005,$W5889)=0),COUNTIFS('①在庫を貼る'!$V$6:$V$10005,$V5889,'①在庫を貼る'!$W$6:$W$10005,$W5889)+COUNTIFS('月1回_1ヶ月前の在庫'!$V$6:$V$10005,$V5889,'月1回_1ヶ月前の在庫'!$W$6:$W$10005,$W5889)&gt;0),N(U5888),N(U5888)+1))</f>
        <v/>
      </c>
      <c r="V5889" s="19">
        <f>IF($B5889="","",TEXT($B5889,"0000"))</f>
        <v/>
      </c>
      <c r="W5889" s="19">
        <f>IF($I5889="","",IF(ISNUMBER($I5889),TEXT($I5889,"0"),$I5889))</f>
        <v/>
      </c>
    </row>
    <row r="5890">
      <c r="B5890" s="25" t="n"/>
      <c r="I5890" s="25" t="n"/>
      <c r="U5890" s="19">
        <f>IF($V5890&lt;&gt;'設定'!$C$4,N(U5889),IF(OR(NOT(COUNTIF('商品マスタ'!$B$6:$B$1005,$W5890)=0),COUNTIFS('①在庫を貼る'!$V$6:$V$10005,$V5890,'①在庫を貼る'!$W$6:$W$10005,$W5890)+COUNTIFS('月1回_1ヶ月前の在庫'!$V$6:$V$10005,$V5890,'月1回_1ヶ月前の在庫'!$W$6:$W$10005,$W5890)&gt;0),N(U5889),N(U5889)+1))</f>
        <v/>
      </c>
      <c r="V5890" s="19">
        <f>IF($B5890="","",TEXT($B5890,"0000"))</f>
        <v/>
      </c>
      <c r="W5890" s="19">
        <f>IF($I5890="","",IF(ISNUMBER($I5890),TEXT($I5890,"0"),$I5890))</f>
        <v/>
      </c>
    </row>
    <row r="5891">
      <c r="B5891" s="25" t="n"/>
      <c r="I5891" s="25" t="n"/>
      <c r="U5891" s="19">
        <f>IF($V5891&lt;&gt;'設定'!$C$4,N(U5890),IF(OR(NOT(COUNTIF('商品マスタ'!$B$6:$B$1005,$W5891)=0),COUNTIFS('①在庫を貼る'!$V$6:$V$10005,$V5891,'①在庫を貼る'!$W$6:$W$10005,$W5891)+COUNTIFS('月1回_1ヶ月前の在庫'!$V$6:$V$10005,$V5891,'月1回_1ヶ月前の在庫'!$W$6:$W$10005,$W5891)&gt;0),N(U5890),N(U5890)+1))</f>
        <v/>
      </c>
      <c r="V5891" s="19">
        <f>IF($B5891="","",TEXT($B5891,"0000"))</f>
        <v/>
      </c>
      <c r="W5891" s="19">
        <f>IF($I5891="","",IF(ISNUMBER($I5891),TEXT($I5891,"0"),$I5891))</f>
        <v/>
      </c>
    </row>
    <row r="5892">
      <c r="B5892" s="25" t="n"/>
      <c r="I5892" s="25" t="n"/>
      <c r="U5892" s="19">
        <f>IF($V5892&lt;&gt;'設定'!$C$4,N(U5891),IF(OR(NOT(COUNTIF('商品マスタ'!$B$6:$B$1005,$W5892)=0),COUNTIFS('①在庫を貼る'!$V$6:$V$10005,$V5892,'①在庫を貼る'!$W$6:$W$10005,$W5892)+COUNTIFS('月1回_1ヶ月前の在庫'!$V$6:$V$10005,$V5892,'月1回_1ヶ月前の在庫'!$W$6:$W$10005,$W5892)&gt;0),N(U5891),N(U5891)+1))</f>
        <v/>
      </c>
      <c r="V5892" s="19">
        <f>IF($B5892="","",TEXT($B5892,"0000"))</f>
        <v/>
      </c>
      <c r="W5892" s="19">
        <f>IF($I5892="","",IF(ISNUMBER($I5892),TEXT($I5892,"0"),$I5892))</f>
        <v/>
      </c>
    </row>
    <row r="5893">
      <c r="B5893" s="25" t="n"/>
      <c r="I5893" s="25" t="n"/>
      <c r="U5893" s="19">
        <f>IF($V5893&lt;&gt;'設定'!$C$4,N(U5892),IF(OR(NOT(COUNTIF('商品マスタ'!$B$6:$B$1005,$W5893)=0),COUNTIFS('①在庫を貼る'!$V$6:$V$10005,$V5893,'①在庫を貼る'!$W$6:$W$10005,$W5893)+COUNTIFS('月1回_1ヶ月前の在庫'!$V$6:$V$10005,$V5893,'月1回_1ヶ月前の在庫'!$W$6:$W$10005,$W5893)&gt;0),N(U5892),N(U5892)+1))</f>
        <v/>
      </c>
      <c r="V5893" s="19">
        <f>IF($B5893="","",TEXT($B5893,"0000"))</f>
        <v/>
      </c>
      <c r="W5893" s="19">
        <f>IF($I5893="","",IF(ISNUMBER($I5893),TEXT($I5893,"0"),$I5893))</f>
        <v/>
      </c>
    </row>
    <row r="5894">
      <c r="B5894" s="25" t="n"/>
      <c r="I5894" s="25" t="n"/>
      <c r="U5894" s="19">
        <f>IF($V5894&lt;&gt;'設定'!$C$4,N(U5893),IF(OR(NOT(COUNTIF('商品マスタ'!$B$6:$B$1005,$W5894)=0),COUNTIFS('①在庫を貼る'!$V$6:$V$10005,$V5894,'①在庫を貼る'!$W$6:$W$10005,$W5894)+COUNTIFS('月1回_1ヶ月前の在庫'!$V$6:$V$10005,$V5894,'月1回_1ヶ月前の在庫'!$W$6:$W$10005,$W5894)&gt;0),N(U5893),N(U5893)+1))</f>
        <v/>
      </c>
      <c r="V5894" s="19">
        <f>IF($B5894="","",TEXT($B5894,"0000"))</f>
        <v/>
      </c>
      <c r="W5894" s="19">
        <f>IF($I5894="","",IF(ISNUMBER($I5894),TEXT($I5894,"0"),$I5894))</f>
        <v/>
      </c>
    </row>
    <row r="5895">
      <c r="B5895" s="25" t="n"/>
      <c r="I5895" s="25" t="n"/>
      <c r="U5895" s="19">
        <f>IF($V5895&lt;&gt;'設定'!$C$4,N(U5894),IF(OR(NOT(COUNTIF('商品マスタ'!$B$6:$B$1005,$W5895)=0),COUNTIFS('①在庫を貼る'!$V$6:$V$10005,$V5895,'①在庫を貼る'!$W$6:$W$10005,$W5895)+COUNTIFS('月1回_1ヶ月前の在庫'!$V$6:$V$10005,$V5895,'月1回_1ヶ月前の在庫'!$W$6:$W$10005,$W5895)&gt;0),N(U5894),N(U5894)+1))</f>
        <v/>
      </c>
      <c r="V5895" s="19">
        <f>IF($B5895="","",TEXT($B5895,"0000"))</f>
        <v/>
      </c>
      <c r="W5895" s="19">
        <f>IF($I5895="","",IF(ISNUMBER($I5895),TEXT($I5895,"0"),$I5895))</f>
        <v/>
      </c>
    </row>
    <row r="5896">
      <c r="B5896" s="25" t="n"/>
      <c r="I5896" s="25" t="n"/>
      <c r="U5896" s="19">
        <f>IF($V5896&lt;&gt;'設定'!$C$4,N(U5895),IF(OR(NOT(COUNTIF('商品マスタ'!$B$6:$B$1005,$W5896)=0),COUNTIFS('①在庫を貼る'!$V$6:$V$10005,$V5896,'①在庫を貼る'!$W$6:$W$10005,$W5896)+COUNTIFS('月1回_1ヶ月前の在庫'!$V$6:$V$10005,$V5896,'月1回_1ヶ月前の在庫'!$W$6:$W$10005,$W5896)&gt;0),N(U5895),N(U5895)+1))</f>
        <v/>
      </c>
      <c r="V5896" s="19">
        <f>IF($B5896="","",TEXT($B5896,"0000"))</f>
        <v/>
      </c>
      <c r="W5896" s="19">
        <f>IF($I5896="","",IF(ISNUMBER($I5896),TEXT($I5896,"0"),$I5896))</f>
        <v/>
      </c>
    </row>
    <row r="5897">
      <c r="B5897" s="25" t="n"/>
      <c r="I5897" s="25" t="n"/>
      <c r="U5897" s="19">
        <f>IF($V5897&lt;&gt;'設定'!$C$4,N(U5896),IF(OR(NOT(COUNTIF('商品マスタ'!$B$6:$B$1005,$W5897)=0),COUNTIFS('①在庫を貼る'!$V$6:$V$10005,$V5897,'①在庫を貼る'!$W$6:$W$10005,$W5897)+COUNTIFS('月1回_1ヶ月前の在庫'!$V$6:$V$10005,$V5897,'月1回_1ヶ月前の在庫'!$W$6:$W$10005,$W5897)&gt;0),N(U5896),N(U5896)+1))</f>
        <v/>
      </c>
      <c r="V5897" s="19">
        <f>IF($B5897="","",TEXT($B5897,"0000"))</f>
        <v/>
      </c>
      <c r="W5897" s="19">
        <f>IF($I5897="","",IF(ISNUMBER($I5897),TEXT($I5897,"0"),$I5897))</f>
        <v/>
      </c>
    </row>
    <row r="5898">
      <c r="B5898" s="25" t="n"/>
      <c r="I5898" s="25" t="n"/>
      <c r="U5898" s="19">
        <f>IF($V5898&lt;&gt;'設定'!$C$4,N(U5897),IF(OR(NOT(COUNTIF('商品マスタ'!$B$6:$B$1005,$W5898)=0),COUNTIFS('①在庫を貼る'!$V$6:$V$10005,$V5898,'①在庫を貼る'!$W$6:$W$10005,$W5898)+COUNTIFS('月1回_1ヶ月前の在庫'!$V$6:$V$10005,$V5898,'月1回_1ヶ月前の在庫'!$W$6:$W$10005,$W5898)&gt;0),N(U5897),N(U5897)+1))</f>
        <v/>
      </c>
      <c r="V5898" s="19">
        <f>IF($B5898="","",TEXT($B5898,"0000"))</f>
        <v/>
      </c>
      <c r="W5898" s="19">
        <f>IF($I5898="","",IF(ISNUMBER($I5898),TEXT($I5898,"0"),$I5898))</f>
        <v/>
      </c>
    </row>
    <row r="5899">
      <c r="B5899" s="25" t="n"/>
      <c r="I5899" s="25" t="n"/>
      <c r="U5899" s="19">
        <f>IF($V5899&lt;&gt;'設定'!$C$4,N(U5898),IF(OR(NOT(COUNTIF('商品マスタ'!$B$6:$B$1005,$W5899)=0),COUNTIFS('①在庫を貼る'!$V$6:$V$10005,$V5899,'①在庫を貼る'!$W$6:$W$10005,$W5899)+COUNTIFS('月1回_1ヶ月前の在庫'!$V$6:$V$10005,$V5899,'月1回_1ヶ月前の在庫'!$W$6:$W$10005,$W5899)&gt;0),N(U5898),N(U5898)+1))</f>
        <v/>
      </c>
      <c r="V5899" s="19">
        <f>IF($B5899="","",TEXT($B5899,"0000"))</f>
        <v/>
      </c>
      <c r="W5899" s="19">
        <f>IF($I5899="","",IF(ISNUMBER($I5899),TEXT($I5899,"0"),$I5899))</f>
        <v/>
      </c>
    </row>
    <row r="5900">
      <c r="B5900" s="25" t="n"/>
      <c r="I5900" s="25" t="n"/>
      <c r="U5900" s="19">
        <f>IF($V5900&lt;&gt;'設定'!$C$4,N(U5899),IF(OR(NOT(COUNTIF('商品マスタ'!$B$6:$B$1005,$W5900)=0),COUNTIFS('①在庫を貼る'!$V$6:$V$10005,$V5900,'①在庫を貼る'!$W$6:$W$10005,$W5900)+COUNTIFS('月1回_1ヶ月前の在庫'!$V$6:$V$10005,$V5900,'月1回_1ヶ月前の在庫'!$W$6:$W$10005,$W5900)&gt;0),N(U5899),N(U5899)+1))</f>
        <v/>
      </c>
      <c r="V5900" s="19">
        <f>IF($B5900="","",TEXT($B5900,"0000"))</f>
        <v/>
      </c>
      <c r="W5900" s="19">
        <f>IF($I5900="","",IF(ISNUMBER($I5900),TEXT($I5900,"0"),$I5900))</f>
        <v/>
      </c>
    </row>
    <row r="5901">
      <c r="B5901" s="25" t="n"/>
      <c r="I5901" s="25" t="n"/>
      <c r="U5901" s="19">
        <f>IF($V5901&lt;&gt;'設定'!$C$4,N(U5900),IF(OR(NOT(COUNTIF('商品マスタ'!$B$6:$B$1005,$W5901)=0),COUNTIFS('①在庫を貼る'!$V$6:$V$10005,$V5901,'①在庫を貼る'!$W$6:$W$10005,$W5901)+COUNTIFS('月1回_1ヶ月前の在庫'!$V$6:$V$10005,$V5901,'月1回_1ヶ月前の在庫'!$W$6:$W$10005,$W5901)&gt;0),N(U5900),N(U5900)+1))</f>
        <v/>
      </c>
      <c r="V5901" s="19">
        <f>IF($B5901="","",TEXT($B5901,"0000"))</f>
        <v/>
      </c>
      <c r="W5901" s="19">
        <f>IF($I5901="","",IF(ISNUMBER($I5901),TEXT($I5901,"0"),$I5901))</f>
        <v/>
      </c>
    </row>
    <row r="5902">
      <c r="B5902" s="25" t="n"/>
      <c r="I5902" s="25" t="n"/>
      <c r="U5902" s="19">
        <f>IF($V5902&lt;&gt;'設定'!$C$4,N(U5901),IF(OR(NOT(COUNTIF('商品マスタ'!$B$6:$B$1005,$W5902)=0),COUNTIFS('①在庫を貼る'!$V$6:$V$10005,$V5902,'①在庫を貼る'!$W$6:$W$10005,$W5902)+COUNTIFS('月1回_1ヶ月前の在庫'!$V$6:$V$10005,$V5902,'月1回_1ヶ月前の在庫'!$W$6:$W$10005,$W5902)&gt;0),N(U5901),N(U5901)+1))</f>
        <v/>
      </c>
      <c r="V5902" s="19">
        <f>IF($B5902="","",TEXT($B5902,"0000"))</f>
        <v/>
      </c>
      <c r="W5902" s="19">
        <f>IF($I5902="","",IF(ISNUMBER($I5902),TEXT($I5902,"0"),$I5902))</f>
        <v/>
      </c>
    </row>
    <row r="5903">
      <c r="B5903" s="25" t="n"/>
      <c r="I5903" s="25" t="n"/>
      <c r="U5903" s="19">
        <f>IF($V5903&lt;&gt;'設定'!$C$4,N(U5902),IF(OR(NOT(COUNTIF('商品マスタ'!$B$6:$B$1005,$W5903)=0),COUNTIFS('①在庫を貼る'!$V$6:$V$10005,$V5903,'①在庫を貼る'!$W$6:$W$10005,$W5903)+COUNTIFS('月1回_1ヶ月前の在庫'!$V$6:$V$10005,$V5903,'月1回_1ヶ月前の在庫'!$W$6:$W$10005,$W5903)&gt;0),N(U5902),N(U5902)+1))</f>
        <v/>
      </c>
      <c r="V5903" s="19">
        <f>IF($B5903="","",TEXT($B5903,"0000"))</f>
        <v/>
      </c>
      <c r="W5903" s="19">
        <f>IF($I5903="","",IF(ISNUMBER($I5903),TEXT($I5903,"0"),$I5903))</f>
        <v/>
      </c>
    </row>
    <row r="5904">
      <c r="B5904" s="25" t="n"/>
      <c r="I5904" s="25" t="n"/>
      <c r="U5904" s="19">
        <f>IF($V5904&lt;&gt;'設定'!$C$4,N(U5903),IF(OR(NOT(COUNTIF('商品マスタ'!$B$6:$B$1005,$W5904)=0),COUNTIFS('①在庫を貼る'!$V$6:$V$10005,$V5904,'①在庫を貼る'!$W$6:$W$10005,$W5904)+COUNTIFS('月1回_1ヶ月前の在庫'!$V$6:$V$10005,$V5904,'月1回_1ヶ月前の在庫'!$W$6:$W$10005,$W5904)&gt;0),N(U5903),N(U5903)+1))</f>
        <v/>
      </c>
      <c r="V5904" s="19">
        <f>IF($B5904="","",TEXT($B5904,"0000"))</f>
        <v/>
      </c>
      <c r="W5904" s="19">
        <f>IF($I5904="","",IF(ISNUMBER($I5904),TEXT($I5904,"0"),$I5904))</f>
        <v/>
      </c>
    </row>
    <row r="5905">
      <c r="B5905" s="25" t="n"/>
      <c r="I5905" s="25" t="n"/>
      <c r="U5905" s="19">
        <f>IF($V5905&lt;&gt;'設定'!$C$4,N(U5904),IF(OR(NOT(COUNTIF('商品マスタ'!$B$6:$B$1005,$W5905)=0),COUNTIFS('①在庫を貼る'!$V$6:$V$10005,$V5905,'①在庫を貼る'!$W$6:$W$10005,$W5905)+COUNTIFS('月1回_1ヶ月前の在庫'!$V$6:$V$10005,$V5905,'月1回_1ヶ月前の在庫'!$W$6:$W$10005,$W5905)&gt;0),N(U5904),N(U5904)+1))</f>
        <v/>
      </c>
      <c r="V5905" s="19">
        <f>IF($B5905="","",TEXT($B5905,"0000"))</f>
        <v/>
      </c>
      <c r="W5905" s="19">
        <f>IF($I5905="","",IF(ISNUMBER($I5905),TEXT($I5905,"0"),$I5905))</f>
        <v/>
      </c>
    </row>
    <row r="5906">
      <c r="B5906" s="25" t="n"/>
      <c r="I5906" s="25" t="n"/>
      <c r="U5906" s="19">
        <f>IF($V5906&lt;&gt;'設定'!$C$4,N(U5905),IF(OR(NOT(COUNTIF('商品マスタ'!$B$6:$B$1005,$W5906)=0),COUNTIFS('①在庫を貼る'!$V$6:$V$10005,$V5906,'①在庫を貼る'!$W$6:$W$10005,$W5906)+COUNTIFS('月1回_1ヶ月前の在庫'!$V$6:$V$10005,$V5906,'月1回_1ヶ月前の在庫'!$W$6:$W$10005,$W5906)&gt;0),N(U5905),N(U5905)+1))</f>
        <v/>
      </c>
      <c r="V5906" s="19">
        <f>IF($B5906="","",TEXT($B5906,"0000"))</f>
        <v/>
      </c>
      <c r="W5906" s="19">
        <f>IF($I5906="","",IF(ISNUMBER($I5906),TEXT($I5906,"0"),$I5906))</f>
        <v/>
      </c>
    </row>
    <row r="5907">
      <c r="B5907" s="25" t="n"/>
      <c r="I5907" s="25" t="n"/>
      <c r="U5907" s="19">
        <f>IF($V5907&lt;&gt;'設定'!$C$4,N(U5906),IF(OR(NOT(COUNTIF('商品マスタ'!$B$6:$B$1005,$W5907)=0),COUNTIFS('①在庫を貼る'!$V$6:$V$10005,$V5907,'①在庫を貼る'!$W$6:$W$10005,$W5907)+COUNTIFS('月1回_1ヶ月前の在庫'!$V$6:$V$10005,$V5907,'月1回_1ヶ月前の在庫'!$W$6:$W$10005,$W5907)&gt;0),N(U5906),N(U5906)+1))</f>
        <v/>
      </c>
      <c r="V5907" s="19">
        <f>IF($B5907="","",TEXT($B5907,"0000"))</f>
        <v/>
      </c>
      <c r="W5907" s="19">
        <f>IF($I5907="","",IF(ISNUMBER($I5907),TEXT($I5907,"0"),$I5907))</f>
        <v/>
      </c>
    </row>
    <row r="5908">
      <c r="B5908" s="25" t="n"/>
      <c r="I5908" s="25" t="n"/>
      <c r="U5908" s="19">
        <f>IF($V5908&lt;&gt;'設定'!$C$4,N(U5907),IF(OR(NOT(COUNTIF('商品マスタ'!$B$6:$B$1005,$W5908)=0),COUNTIFS('①在庫を貼る'!$V$6:$V$10005,$V5908,'①在庫を貼る'!$W$6:$W$10005,$W5908)+COUNTIFS('月1回_1ヶ月前の在庫'!$V$6:$V$10005,$V5908,'月1回_1ヶ月前の在庫'!$W$6:$W$10005,$W5908)&gt;0),N(U5907),N(U5907)+1))</f>
        <v/>
      </c>
      <c r="V5908" s="19">
        <f>IF($B5908="","",TEXT($B5908,"0000"))</f>
        <v/>
      </c>
      <c r="W5908" s="19">
        <f>IF($I5908="","",IF(ISNUMBER($I5908),TEXT($I5908,"0"),$I5908))</f>
        <v/>
      </c>
    </row>
    <row r="5909">
      <c r="B5909" s="25" t="n"/>
      <c r="I5909" s="25" t="n"/>
      <c r="U5909" s="19">
        <f>IF($V5909&lt;&gt;'設定'!$C$4,N(U5908),IF(OR(NOT(COUNTIF('商品マスタ'!$B$6:$B$1005,$W5909)=0),COUNTIFS('①在庫を貼る'!$V$6:$V$10005,$V5909,'①在庫を貼る'!$W$6:$W$10005,$W5909)+COUNTIFS('月1回_1ヶ月前の在庫'!$V$6:$V$10005,$V5909,'月1回_1ヶ月前の在庫'!$W$6:$W$10005,$W5909)&gt;0),N(U5908),N(U5908)+1))</f>
        <v/>
      </c>
      <c r="V5909" s="19">
        <f>IF($B5909="","",TEXT($B5909,"0000"))</f>
        <v/>
      </c>
      <c r="W5909" s="19">
        <f>IF($I5909="","",IF(ISNUMBER($I5909),TEXT($I5909,"0"),$I5909))</f>
        <v/>
      </c>
    </row>
    <row r="5910">
      <c r="B5910" s="25" t="n"/>
      <c r="I5910" s="25" t="n"/>
      <c r="U5910" s="19">
        <f>IF($V5910&lt;&gt;'設定'!$C$4,N(U5909),IF(OR(NOT(COUNTIF('商品マスタ'!$B$6:$B$1005,$W5910)=0),COUNTIFS('①在庫を貼る'!$V$6:$V$10005,$V5910,'①在庫を貼る'!$W$6:$W$10005,$W5910)+COUNTIFS('月1回_1ヶ月前の在庫'!$V$6:$V$10005,$V5910,'月1回_1ヶ月前の在庫'!$W$6:$W$10005,$W5910)&gt;0),N(U5909),N(U5909)+1))</f>
        <v/>
      </c>
      <c r="V5910" s="19">
        <f>IF($B5910="","",TEXT($B5910,"0000"))</f>
        <v/>
      </c>
      <c r="W5910" s="19">
        <f>IF($I5910="","",IF(ISNUMBER($I5910),TEXT($I5910,"0"),$I5910))</f>
        <v/>
      </c>
    </row>
    <row r="5911">
      <c r="B5911" s="25" t="n"/>
      <c r="I5911" s="25" t="n"/>
      <c r="U5911" s="19">
        <f>IF($V5911&lt;&gt;'設定'!$C$4,N(U5910),IF(OR(NOT(COUNTIF('商品マスタ'!$B$6:$B$1005,$W5911)=0),COUNTIFS('①在庫を貼る'!$V$6:$V$10005,$V5911,'①在庫を貼る'!$W$6:$W$10005,$W5911)+COUNTIFS('月1回_1ヶ月前の在庫'!$V$6:$V$10005,$V5911,'月1回_1ヶ月前の在庫'!$W$6:$W$10005,$W5911)&gt;0),N(U5910),N(U5910)+1))</f>
        <v/>
      </c>
      <c r="V5911" s="19">
        <f>IF($B5911="","",TEXT($B5911,"0000"))</f>
        <v/>
      </c>
      <c r="W5911" s="19">
        <f>IF($I5911="","",IF(ISNUMBER($I5911),TEXT($I5911,"0"),$I5911))</f>
        <v/>
      </c>
    </row>
    <row r="5912">
      <c r="B5912" s="25" t="n"/>
      <c r="I5912" s="25" t="n"/>
      <c r="U5912" s="19">
        <f>IF($V5912&lt;&gt;'設定'!$C$4,N(U5911),IF(OR(NOT(COUNTIF('商品マスタ'!$B$6:$B$1005,$W5912)=0),COUNTIFS('①在庫を貼る'!$V$6:$V$10005,$V5912,'①在庫を貼る'!$W$6:$W$10005,$W5912)+COUNTIFS('月1回_1ヶ月前の在庫'!$V$6:$V$10005,$V5912,'月1回_1ヶ月前の在庫'!$W$6:$W$10005,$W5912)&gt;0),N(U5911),N(U5911)+1))</f>
        <v/>
      </c>
      <c r="V5912" s="19">
        <f>IF($B5912="","",TEXT($B5912,"0000"))</f>
        <v/>
      </c>
      <c r="W5912" s="19">
        <f>IF($I5912="","",IF(ISNUMBER($I5912),TEXT($I5912,"0"),$I5912))</f>
        <v/>
      </c>
    </row>
    <row r="5913">
      <c r="B5913" s="25" t="n"/>
      <c r="I5913" s="25" t="n"/>
      <c r="U5913" s="19">
        <f>IF($V5913&lt;&gt;'設定'!$C$4,N(U5912),IF(OR(NOT(COUNTIF('商品マスタ'!$B$6:$B$1005,$W5913)=0),COUNTIFS('①在庫を貼る'!$V$6:$V$10005,$V5913,'①在庫を貼る'!$W$6:$W$10005,$W5913)+COUNTIFS('月1回_1ヶ月前の在庫'!$V$6:$V$10005,$V5913,'月1回_1ヶ月前の在庫'!$W$6:$W$10005,$W5913)&gt;0),N(U5912),N(U5912)+1))</f>
        <v/>
      </c>
      <c r="V5913" s="19">
        <f>IF($B5913="","",TEXT($B5913,"0000"))</f>
        <v/>
      </c>
      <c r="W5913" s="19">
        <f>IF($I5913="","",IF(ISNUMBER($I5913),TEXT($I5913,"0"),$I5913))</f>
        <v/>
      </c>
    </row>
    <row r="5914">
      <c r="B5914" s="25" t="n"/>
      <c r="I5914" s="25" t="n"/>
      <c r="U5914" s="19">
        <f>IF($V5914&lt;&gt;'設定'!$C$4,N(U5913),IF(OR(NOT(COUNTIF('商品マスタ'!$B$6:$B$1005,$W5914)=0),COUNTIFS('①在庫を貼る'!$V$6:$V$10005,$V5914,'①在庫を貼る'!$W$6:$W$10005,$W5914)+COUNTIFS('月1回_1ヶ月前の在庫'!$V$6:$V$10005,$V5914,'月1回_1ヶ月前の在庫'!$W$6:$W$10005,$W5914)&gt;0),N(U5913),N(U5913)+1))</f>
        <v/>
      </c>
      <c r="V5914" s="19">
        <f>IF($B5914="","",TEXT($B5914,"0000"))</f>
        <v/>
      </c>
      <c r="W5914" s="19">
        <f>IF($I5914="","",IF(ISNUMBER($I5914),TEXT($I5914,"0"),$I5914))</f>
        <v/>
      </c>
    </row>
    <row r="5915">
      <c r="B5915" s="25" t="n"/>
      <c r="I5915" s="25" t="n"/>
      <c r="U5915" s="19">
        <f>IF($V5915&lt;&gt;'設定'!$C$4,N(U5914),IF(OR(NOT(COUNTIF('商品マスタ'!$B$6:$B$1005,$W5915)=0),COUNTIFS('①在庫を貼る'!$V$6:$V$10005,$V5915,'①在庫を貼る'!$W$6:$W$10005,$W5915)+COUNTIFS('月1回_1ヶ月前の在庫'!$V$6:$V$10005,$V5915,'月1回_1ヶ月前の在庫'!$W$6:$W$10005,$W5915)&gt;0),N(U5914),N(U5914)+1))</f>
        <v/>
      </c>
      <c r="V5915" s="19">
        <f>IF($B5915="","",TEXT($B5915,"0000"))</f>
        <v/>
      </c>
      <c r="W5915" s="19">
        <f>IF($I5915="","",IF(ISNUMBER($I5915),TEXT($I5915,"0"),$I5915))</f>
        <v/>
      </c>
    </row>
    <row r="5916">
      <c r="B5916" s="25" t="n"/>
      <c r="I5916" s="25" t="n"/>
      <c r="U5916" s="19">
        <f>IF($V5916&lt;&gt;'設定'!$C$4,N(U5915),IF(OR(NOT(COUNTIF('商品マスタ'!$B$6:$B$1005,$W5916)=0),COUNTIFS('①在庫を貼る'!$V$6:$V$10005,$V5916,'①在庫を貼る'!$W$6:$W$10005,$W5916)+COUNTIFS('月1回_1ヶ月前の在庫'!$V$6:$V$10005,$V5916,'月1回_1ヶ月前の在庫'!$W$6:$W$10005,$W5916)&gt;0),N(U5915),N(U5915)+1))</f>
        <v/>
      </c>
      <c r="V5916" s="19">
        <f>IF($B5916="","",TEXT($B5916,"0000"))</f>
        <v/>
      </c>
      <c r="W5916" s="19">
        <f>IF($I5916="","",IF(ISNUMBER($I5916),TEXT($I5916,"0"),$I5916))</f>
        <v/>
      </c>
    </row>
    <row r="5917">
      <c r="B5917" s="25" t="n"/>
      <c r="I5917" s="25" t="n"/>
      <c r="U5917" s="19">
        <f>IF($V5917&lt;&gt;'設定'!$C$4,N(U5916),IF(OR(NOT(COUNTIF('商品マスタ'!$B$6:$B$1005,$W5917)=0),COUNTIFS('①在庫を貼る'!$V$6:$V$10005,$V5917,'①在庫を貼る'!$W$6:$W$10005,$W5917)+COUNTIFS('月1回_1ヶ月前の在庫'!$V$6:$V$10005,$V5917,'月1回_1ヶ月前の在庫'!$W$6:$W$10005,$W5917)&gt;0),N(U5916),N(U5916)+1))</f>
        <v/>
      </c>
      <c r="V5917" s="19">
        <f>IF($B5917="","",TEXT($B5917,"0000"))</f>
        <v/>
      </c>
      <c r="W5917" s="19">
        <f>IF($I5917="","",IF(ISNUMBER($I5917),TEXT($I5917,"0"),$I5917))</f>
        <v/>
      </c>
    </row>
    <row r="5918">
      <c r="B5918" s="25" t="n"/>
      <c r="I5918" s="25" t="n"/>
      <c r="U5918" s="19">
        <f>IF($V5918&lt;&gt;'設定'!$C$4,N(U5917),IF(OR(NOT(COUNTIF('商品マスタ'!$B$6:$B$1005,$W5918)=0),COUNTIFS('①在庫を貼る'!$V$6:$V$10005,$V5918,'①在庫を貼る'!$W$6:$W$10005,$W5918)+COUNTIFS('月1回_1ヶ月前の在庫'!$V$6:$V$10005,$V5918,'月1回_1ヶ月前の在庫'!$W$6:$W$10005,$W5918)&gt;0),N(U5917),N(U5917)+1))</f>
        <v/>
      </c>
      <c r="V5918" s="19">
        <f>IF($B5918="","",TEXT($B5918,"0000"))</f>
        <v/>
      </c>
      <c r="W5918" s="19">
        <f>IF($I5918="","",IF(ISNUMBER($I5918),TEXT($I5918,"0"),$I5918))</f>
        <v/>
      </c>
    </row>
    <row r="5919">
      <c r="B5919" s="25" t="n"/>
      <c r="I5919" s="25" t="n"/>
      <c r="U5919" s="19">
        <f>IF($V5919&lt;&gt;'設定'!$C$4,N(U5918),IF(OR(NOT(COUNTIF('商品マスタ'!$B$6:$B$1005,$W5919)=0),COUNTIFS('①在庫を貼る'!$V$6:$V$10005,$V5919,'①在庫を貼る'!$W$6:$W$10005,$W5919)+COUNTIFS('月1回_1ヶ月前の在庫'!$V$6:$V$10005,$V5919,'月1回_1ヶ月前の在庫'!$W$6:$W$10005,$W5919)&gt;0),N(U5918),N(U5918)+1))</f>
        <v/>
      </c>
      <c r="V5919" s="19">
        <f>IF($B5919="","",TEXT($B5919,"0000"))</f>
        <v/>
      </c>
      <c r="W5919" s="19">
        <f>IF($I5919="","",IF(ISNUMBER($I5919),TEXT($I5919,"0"),$I5919))</f>
        <v/>
      </c>
    </row>
    <row r="5920">
      <c r="B5920" s="25" t="n"/>
      <c r="I5920" s="25" t="n"/>
      <c r="U5920" s="19">
        <f>IF($V5920&lt;&gt;'設定'!$C$4,N(U5919),IF(OR(NOT(COUNTIF('商品マスタ'!$B$6:$B$1005,$W5920)=0),COUNTIFS('①在庫を貼る'!$V$6:$V$10005,$V5920,'①在庫を貼る'!$W$6:$W$10005,$W5920)+COUNTIFS('月1回_1ヶ月前の在庫'!$V$6:$V$10005,$V5920,'月1回_1ヶ月前の在庫'!$W$6:$W$10005,$W5920)&gt;0),N(U5919),N(U5919)+1))</f>
        <v/>
      </c>
      <c r="V5920" s="19">
        <f>IF($B5920="","",TEXT($B5920,"0000"))</f>
        <v/>
      </c>
      <c r="W5920" s="19">
        <f>IF($I5920="","",IF(ISNUMBER($I5920),TEXT($I5920,"0"),$I5920))</f>
        <v/>
      </c>
    </row>
    <row r="5921">
      <c r="B5921" s="25" t="n"/>
      <c r="I5921" s="25" t="n"/>
      <c r="U5921" s="19">
        <f>IF($V5921&lt;&gt;'設定'!$C$4,N(U5920),IF(OR(NOT(COUNTIF('商品マスタ'!$B$6:$B$1005,$W5921)=0),COUNTIFS('①在庫を貼る'!$V$6:$V$10005,$V5921,'①在庫を貼る'!$W$6:$W$10005,$W5921)+COUNTIFS('月1回_1ヶ月前の在庫'!$V$6:$V$10005,$V5921,'月1回_1ヶ月前の在庫'!$W$6:$W$10005,$W5921)&gt;0),N(U5920),N(U5920)+1))</f>
        <v/>
      </c>
      <c r="V5921" s="19">
        <f>IF($B5921="","",TEXT($B5921,"0000"))</f>
        <v/>
      </c>
      <c r="W5921" s="19">
        <f>IF($I5921="","",IF(ISNUMBER($I5921),TEXT($I5921,"0"),$I5921))</f>
        <v/>
      </c>
    </row>
    <row r="5922">
      <c r="B5922" s="25" t="n"/>
      <c r="I5922" s="25" t="n"/>
      <c r="U5922" s="19">
        <f>IF($V5922&lt;&gt;'設定'!$C$4,N(U5921),IF(OR(NOT(COUNTIF('商品マスタ'!$B$6:$B$1005,$W5922)=0),COUNTIFS('①在庫を貼る'!$V$6:$V$10005,$V5922,'①在庫を貼る'!$W$6:$W$10005,$W5922)+COUNTIFS('月1回_1ヶ月前の在庫'!$V$6:$V$10005,$V5922,'月1回_1ヶ月前の在庫'!$W$6:$W$10005,$W5922)&gt;0),N(U5921),N(U5921)+1))</f>
        <v/>
      </c>
      <c r="V5922" s="19">
        <f>IF($B5922="","",TEXT($B5922,"0000"))</f>
        <v/>
      </c>
      <c r="W5922" s="19">
        <f>IF($I5922="","",IF(ISNUMBER($I5922),TEXT($I5922,"0"),$I5922))</f>
        <v/>
      </c>
    </row>
    <row r="5923">
      <c r="B5923" s="25" t="n"/>
      <c r="I5923" s="25" t="n"/>
      <c r="U5923" s="19">
        <f>IF($V5923&lt;&gt;'設定'!$C$4,N(U5922),IF(OR(NOT(COUNTIF('商品マスタ'!$B$6:$B$1005,$W5923)=0),COUNTIFS('①在庫を貼る'!$V$6:$V$10005,$V5923,'①在庫を貼る'!$W$6:$W$10005,$W5923)+COUNTIFS('月1回_1ヶ月前の在庫'!$V$6:$V$10005,$V5923,'月1回_1ヶ月前の在庫'!$W$6:$W$10005,$W5923)&gt;0),N(U5922),N(U5922)+1))</f>
        <v/>
      </c>
      <c r="V5923" s="19">
        <f>IF($B5923="","",TEXT($B5923,"0000"))</f>
        <v/>
      </c>
      <c r="W5923" s="19">
        <f>IF($I5923="","",IF(ISNUMBER($I5923),TEXT($I5923,"0"),$I5923))</f>
        <v/>
      </c>
    </row>
    <row r="5924">
      <c r="B5924" s="25" t="n"/>
      <c r="I5924" s="25" t="n"/>
      <c r="U5924" s="19">
        <f>IF($V5924&lt;&gt;'設定'!$C$4,N(U5923),IF(OR(NOT(COUNTIF('商品マスタ'!$B$6:$B$1005,$W5924)=0),COUNTIFS('①在庫を貼る'!$V$6:$V$10005,$V5924,'①在庫を貼る'!$W$6:$W$10005,$W5924)+COUNTIFS('月1回_1ヶ月前の在庫'!$V$6:$V$10005,$V5924,'月1回_1ヶ月前の在庫'!$W$6:$W$10005,$W5924)&gt;0),N(U5923),N(U5923)+1))</f>
        <v/>
      </c>
      <c r="V5924" s="19">
        <f>IF($B5924="","",TEXT($B5924,"0000"))</f>
        <v/>
      </c>
      <c r="W5924" s="19">
        <f>IF($I5924="","",IF(ISNUMBER($I5924),TEXT($I5924,"0"),$I5924))</f>
        <v/>
      </c>
    </row>
    <row r="5925">
      <c r="B5925" s="25" t="n"/>
      <c r="I5925" s="25" t="n"/>
      <c r="U5925" s="19">
        <f>IF($V5925&lt;&gt;'設定'!$C$4,N(U5924),IF(OR(NOT(COUNTIF('商品マスタ'!$B$6:$B$1005,$W5925)=0),COUNTIFS('①在庫を貼る'!$V$6:$V$10005,$V5925,'①在庫を貼る'!$W$6:$W$10005,$W5925)+COUNTIFS('月1回_1ヶ月前の在庫'!$V$6:$V$10005,$V5925,'月1回_1ヶ月前の在庫'!$W$6:$W$10005,$W5925)&gt;0),N(U5924),N(U5924)+1))</f>
        <v/>
      </c>
      <c r="V5925" s="19">
        <f>IF($B5925="","",TEXT($B5925,"0000"))</f>
        <v/>
      </c>
      <c r="W5925" s="19">
        <f>IF($I5925="","",IF(ISNUMBER($I5925),TEXT($I5925,"0"),$I5925))</f>
        <v/>
      </c>
    </row>
    <row r="5926">
      <c r="B5926" s="25" t="n"/>
      <c r="I5926" s="25" t="n"/>
      <c r="U5926" s="19">
        <f>IF($V5926&lt;&gt;'設定'!$C$4,N(U5925),IF(OR(NOT(COUNTIF('商品マスタ'!$B$6:$B$1005,$W5926)=0),COUNTIFS('①在庫を貼る'!$V$6:$V$10005,$V5926,'①在庫を貼る'!$W$6:$W$10005,$W5926)+COUNTIFS('月1回_1ヶ月前の在庫'!$V$6:$V$10005,$V5926,'月1回_1ヶ月前の在庫'!$W$6:$W$10005,$W5926)&gt;0),N(U5925),N(U5925)+1))</f>
        <v/>
      </c>
      <c r="V5926" s="19">
        <f>IF($B5926="","",TEXT($B5926,"0000"))</f>
        <v/>
      </c>
      <c r="W5926" s="19">
        <f>IF($I5926="","",IF(ISNUMBER($I5926),TEXT($I5926,"0"),$I5926))</f>
        <v/>
      </c>
    </row>
    <row r="5927">
      <c r="B5927" s="25" t="n"/>
      <c r="I5927" s="25" t="n"/>
      <c r="U5927" s="19">
        <f>IF($V5927&lt;&gt;'設定'!$C$4,N(U5926),IF(OR(NOT(COUNTIF('商品マスタ'!$B$6:$B$1005,$W5927)=0),COUNTIFS('①在庫を貼る'!$V$6:$V$10005,$V5927,'①在庫を貼る'!$W$6:$W$10005,$W5927)+COUNTIFS('月1回_1ヶ月前の在庫'!$V$6:$V$10005,$V5927,'月1回_1ヶ月前の在庫'!$W$6:$W$10005,$W5927)&gt;0),N(U5926),N(U5926)+1))</f>
        <v/>
      </c>
      <c r="V5927" s="19">
        <f>IF($B5927="","",TEXT($B5927,"0000"))</f>
        <v/>
      </c>
      <c r="W5927" s="19">
        <f>IF($I5927="","",IF(ISNUMBER($I5927),TEXT($I5927,"0"),$I5927))</f>
        <v/>
      </c>
    </row>
    <row r="5928">
      <c r="B5928" s="25" t="n"/>
      <c r="I5928" s="25" t="n"/>
      <c r="U5928" s="19">
        <f>IF($V5928&lt;&gt;'設定'!$C$4,N(U5927),IF(OR(NOT(COUNTIF('商品マスタ'!$B$6:$B$1005,$W5928)=0),COUNTIFS('①在庫を貼る'!$V$6:$V$10005,$V5928,'①在庫を貼る'!$W$6:$W$10005,$W5928)+COUNTIFS('月1回_1ヶ月前の在庫'!$V$6:$V$10005,$V5928,'月1回_1ヶ月前の在庫'!$W$6:$W$10005,$W5928)&gt;0),N(U5927),N(U5927)+1))</f>
        <v/>
      </c>
      <c r="V5928" s="19">
        <f>IF($B5928="","",TEXT($B5928,"0000"))</f>
        <v/>
      </c>
      <c r="W5928" s="19">
        <f>IF($I5928="","",IF(ISNUMBER($I5928),TEXT($I5928,"0"),$I5928))</f>
        <v/>
      </c>
    </row>
    <row r="5929">
      <c r="B5929" s="25" t="n"/>
      <c r="I5929" s="25" t="n"/>
      <c r="U5929" s="19">
        <f>IF($V5929&lt;&gt;'設定'!$C$4,N(U5928),IF(OR(NOT(COUNTIF('商品マスタ'!$B$6:$B$1005,$W5929)=0),COUNTIFS('①在庫を貼る'!$V$6:$V$10005,$V5929,'①在庫を貼る'!$W$6:$W$10005,$W5929)+COUNTIFS('月1回_1ヶ月前の在庫'!$V$6:$V$10005,$V5929,'月1回_1ヶ月前の在庫'!$W$6:$W$10005,$W5929)&gt;0),N(U5928),N(U5928)+1))</f>
        <v/>
      </c>
      <c r="V5929" s="19">
        <f>IF($B5929="","",TEXT($B5929,"0000"))</f>
        <v/>
      </c>
      <c r="W5929" s="19">
        <f>IF($I5929="","",IF(ISNUMBER($I5929),TEXT($I5929,"0"),$I5929))</f>
        <v/>
      </c>
    </row>
    <row r="5930">
      <c r="B5930" s="25" t="n"/>
      <c r="I5930" s="25" t="n"/>
      <c r="U5930" s="19">
        <f>IF($V5930&lt;&gt;'設定'!$C$4,N(U5929),IF(OR(NOT(COUNTIF('商品マスタ'!$B$6:$B$1005,$W5930)=0),COUNTIFS('①在庫を貼る'!$V$6:$V$10005,$V5930,'①在庫を貼る'!$W$6:$W$10005,$W5930)+COUNTIFS('月1回_1ヶ月前の在庫'!$V$6:$V$10005,$V5930,'月1回_1ヶ月前の在庫'!$W$6:$W$10005,$W5930)&gt;0),N(U5929),N(U5929)+1))</f>
        <v/>
      </c>
      <c r="V5930" s="19">
        <f>IF($B5930="","",TEXT($B5930,"0000"))</f>
        <v/>
      </c>
      <c r="W5930" s="19">
        <f>IF($I5930="","",IF(ISNUMBER($I5930),TEXT($I5930,"0"),$I5930))</f>
        <v/>
      </c>
    </row>
    <row r="5931">
      <c r="B5931" s="25" t="n"/>
      <c r="I5931" s="25" t="n"/>
      <c r="U5931" s="19">
        <f>IF($V5931&lt;&gt;'設定'!$C$4,N(U5930),IF(OR(NOT(COUNTIF('商品マスタ'!$B$6:$B$1005,$W5931)=0),COUNTIFS('①在庫を貼る'!$V$6:$V$10005,$V5931,'①在庫を貼る'!$W$6:$W$10005,$W5931)+COUNTIFS('月1回_1ヶ月前の在庫'!$V$6:$V$10005,$V5931,'月1回_1ヶ月前の在庫'!$W$6:$W$10005,$W5931)&gt;0),N(U5930),N(U5930)+1))</f>
        <v/>
      </c>
      <c r="V5931" s="19">
        <f>IF($B5931="","",TEXT($B5931,"0000"))</f>
        <v/>
      </c>
      <c r="W5931" s="19">
        <f>IF($I5931="","",IF(ISNUMBER($I5931),TEXT($I5931,"0"),$I5931))</f>
        <v/>
      </c>
    </row>
    <row r="5932">
      <c r="B5932" s="25" t="n"/>
      <c r="I5932" s="25" t="n"/>
      <c r="U5932" s="19">
        <f>IF($V5932&lt;&gt;'設定'!$C$4,N(U5931),IF(OR(NOT(COUNTIF('商品マスタ'!$B$6:$B$1005,$W5932)=0),COUNTIFS('①在庫を貼る'!$V$6:$V$10005,$V5932,'①在庫を貼る'!$W$6:$W$10005,$W5932)+COUNTIFS('月1回_1ヶ月前の在庫'!$V$6:$V$10005,$V5932,'月1回_1ヶ月前の在庫'!$W$6:$W$10005,$W5932)&gt;0),N(U5931),N(U5931)+1))</f>
        <v/>
      </c>
      <c r="V5932" s="19">
        <f>IF($B5932="","",TEXT($B5932,"0000"))</f>
        <v/>
      </c>
      <c r="W5932" s="19">
        <f>IF($I5932="","",IF(ISNUMBER($I5932),TEXT($I5932,"0"),$I5932))</f>
        <v/>
      </c>
    </row>
    <row r="5933">
      <c r="B5933" s="25" t="n"/>
      <c r="I5933" s="25" t="n"/>
      <c r="U5933" s="19">
        <f>IF($V5933&lt;&gt;'設定'!$C$4,N(U5932),IF(OR(NOT(COUNTIF('商品マスタ'!$B$6:$B$1005,$W5933)=0),COUNTIFS('①在庫を貼る'!$V$6:$V$10005,$V5933,'①在庫を貼る'!$W$6:$W$10005,$W5933)+COUNTIFS('月1回_1ヶ月前の在庫'!$V$6:$V$10005,$V5933,'月1回_1ヶ月前の在庫'!$W$6:$W$10005,$W5933)&gt;0),N(U5932),N(U5932)+1))</f>
        <v/>
      </c>
      <c r="V5933" s="19">
        <f>IF($B5933="","",TEXT($B5933,"0000"))</f>
        <v/>
      </c>
      <c r="W5933" s="19">
        <f>IF($I5933="","",IF(ISNUMBER($I5933),TEXT($I5933,"0"),$I5933))</f>
        <v/>
      </c>
    </row>
    <row r="5934">
      <c r="B5934" s="25" t="n"/>
      <c r="I5934" s="25" t="n"/>
      <c r="U5934" s="19">
        <f>IF($V5934&lt;&gt;'設定'!$C$4,N(U5933),IF(OR(NOT(COUNTIF('商品マスタ'!$B$6:$B$1005,$W5934)=0),COUNTIFS('①在庫を貼る'!$V$6:$V$10005,$V5934,'①在庫を貼る'!$W$6:$W$10005,$W5934)+COUNTIFS('月1回_1ヶ月前の在庫'!$V$6:$V$10005,$V5934,'月1回_1ヶ月前の在庫'!$W$6:$W$10005,$W5934)&gt;0),N(U5933),N(U5933)+1))</f>
        <v/>
      </c>
      <c r="V5934" s="19">
        <f>IF($B5934="","",TEXT($B5934,"0000"))</f>
        <v/>
      </c>
      <c r="W5934" s="19">
        <f>IF($I5934="","",IF(ISNUMBER($I5934),TEXT($I5934,"0"),$I5934))</f>
        <v/>
      </c>
    </row>
    <row r="5935">
      <c r="B5935" s="25" t="n"/>
      <c r="I5935" s="25" t="n"/>
      <c r="U5935" s="19">
        <f>IF($V5935&lt;&gt;'設定'!$C$4,N(U5934),IF(OR(NOT(COUNTIF('商品マスタ'!$B$6:$B$1005,$W5935)=0),COUNTIFS('①在庫を貼る'!$V$6:$V$10005,$V5935,'①在庫を貼る'!$W$6:$W$10005,$W5935)+COUNTIFS('月1回_1ヶ月前の在庫'!$V$6:$V$10005,$V5935,'月1回_1ヶ月前の在庫'!$W$6:$W$10005,$W5935)&gt;0),N(U5934),N(U5934)+1))</f>
        <v/>
      </c>
      <c r="V5935" s="19">
        <f>IF($B5935="","",TEXT($B5935,"0000"))</f>
        <v/>
      </c>
      <c r="W5935" s="19">
        <f>IF($I5935="","",IF(ISNUMBER($I5935),TEXT($I5935,"0"),$I5935))</f>
        <v/>
      </c>
    </row>
    <row r="5936">
      <c r="B5936" s="25" t="n"/>
      <c r="I5936" s="25" t="n"/>
      <c r="U5936" s="19">
        <f>IF($V5936&lt;&gt;'設定'!$C$4,N(U5935),IF(OR(NOT(COUNTIF('商品マスタ'!$B$6:$B$1005,$W5936)=0),COUNTIFS('①在庫を貼る'!$V$6:$V$10005,$V5936,'①在庫を貼る'!$W$6:$W$10005,$W5936)+COUNTIFS('月1回_1ヶ月前の在庫'!$V$6:$V$10005,$V5936,'月1回_1ヶ月前の在庫'!$W$6:$W$10005,$W5936)&gt;0),N(U5935),N(U5935)+1))</f>
        <v/>
      </c>
      <c r="V5936" s="19">
        <f>IF($B5936="","",TEXT($B5936,"0000"))</f>
        <v/>
      </c>
      <c r="W5936" s="19">
        <f>IF($I5936="","",IF(ISNUMBER($I5936),TEXT($I5936,"0"),$I5936))</f>
        <v/>
      </c>
    </row>
    <row r="5937">
      <c r="B5937" s="25" t="n"/>
      <c r="I5937" s="25" t="n"/>
      <c r="U5937" s="19">
        <f>IF($V5937&lt;&gt;'設定'!$C$4,N(U5936),IF(OR(NOT(COUNTIF('商品マスタ'!$B$6:$B$1005,$W5937)=0),COUNTIFS('①在庫を貼る'!$V$6:$V$10005,$V5937,'①在庫を貼る'!$W$6:$W$10005,$W5937)+COUNTIFS('月1回_1ヶ月前の在庫'!$V$6:$V$10005,$V5937,'月1回_1ヶ月前の在庫'!$W$6:$W$10005,$W5937)&gt;0),N(U5936),N(U5936)+1))</f>
        <v/>
      </c>
      <c r="V5937" s="19">
        <f>IF($B5937="","",TEXT($B5937,"0000"))</f>
        <v/>
      </c>
      <c r="W5937" s="19">
        <f>IF($I5937="","",IF(ISNUMBER($I5937),TEXT($I5937,"0"),$I5937))</f>
        <v/>
      </c>
    </row>
    <row r="5938">
      <c r="B5938" s="25" t="n"/>
      <c r="I5938" s="25" t="n"/>
      <c r="U5938" s="19">
        <f>IF($V5938&lt;&gt;'設定'!$C$4,N(U5937),IF(OR(NOT(COUNTIF('商品マスタ'!$B$6:$B$1005,$W5938)=0),COUNTIFS('①在庫を貼る'!$V$6:$V$10005,$V5938,'①在庫を貼る'!$W$6:$W$10005,$W5938)+COUNTIFS('月1回_1ヶ月前の在庫'!$V$6:$V$10005,$V5938,'月1回_1ヶ月前の在庫'!$W$6:$W$10005,$W5938)&gt;0),N(U5937),N(U5937)+1))</f>
        <v/>
      </c>
      <c r="V5938" s="19">
        <f>IF($B5938="","",TEXT($B5938,"0000"))</f>
        <v/>
      </c>
      <c r="W5938" s="19">
        <f>IF($I5938="","",IF(ISNUMBER($I5938),TEXT($I5938,"0"),$I5938))</f>
        <v/>
      </c>
    </row>
    <row r="5939">
      <c r="B5939" s="25" t="n"/>
      <c r="I5939" s="25" t="n"/>
      <c r="U5939" s="19">
        <f>IF($V5939&lt;&gt;'設定'!$C$4,N(U5938),IF(OR(NOT(COUNTIF('商品マスタ'!$B$6:$B$1005,$W5939)=0),COUNTIFS('①在庫を貼る'!$V$6:$V$10005,$V5939,'①在庫を貼る'!$W$6:$W$10005,$W5939)+COUNTIFS('月1回_1ヶ月前の在庫'!$V$6:$V$10005,$V5939,'月1回_1ヶ月前の在庫'!$W$6:$W$10005,$W5939)&gt;0),N(U5938),N(U5938)+1))</f>
        <v/>
      </c>
      <c r="V5939" s="19">
        <f>IF($B5939="","",TEXT($B5939,"0000"))</f>
        <v/>
      </c>
      <c r="W5939" s="19">
        <f>IF($I5939="","",IF(ISNUMBER($I5939),TEXT($I5939,"0"),$I5939))</f>
        <v/>
      </c>
    </row>
    <row r="5940">
      <c r="B5940" s="25" t="n"/>
      <c r="I5940" s="25" t="n"/>
      <c r="U5940" s="19">
        <f>IF($V5940&lt;&gt;'設定'!$C$4,N(U5939),IF(OR(NOT(COUNTIF('商品マスタ'!$B$6:$B$1005,$W5940)=0),COUNTIFS('①在庫を貼る'!$V$6:$V$10005,$V5940,'①在庫を貼る'!$W$6:$W$10005,$W5940)+COUNTIFS('月1回_1ヶ月前の在庫'!$V$6:$V$10005,$V5940,'月1回_1ヶ月前の在庫'!$W$6:$W$10005,$W5940)&gt;0),N(U5939),N(U5939)+1))</f>
        <v/>
      </c>
      <c r="V5940" s="19">
        <f>IF($B5940="","",TEXT($B5940,"0000"))</f>
        <v/>
      </c>
      <c r="W5940" s="19">
        <f>IF($I5940="","",IF(ISNUMBER($I5940),TEXT($I5940,"0"),$I5940))</f>
        <v/>
      </c>
    </row>
    <row r="5941">
      <c r="B5941" s="25" t="n"/>
      <c r="I5941" s="25" t="n"/>
      <c r="U5941" s="19">
        <f>IF($V5941&lt;&gt;'設定'!$C$4,N(U5940),IF(OR(NOT(COUNTIF('商品マスタ'!$B$6:$B$1005,$W5941)=0),COUNTIFS('①在庫を貼る'!$V$6:$V$10005,$V5941,'①在庫を貼る'!$W$6:$W$10005,$W5941)+COUNTIFS('月1回_1ヶ月前の在庫'!$V$6:$V$10005,$V5941,'月1回_1ヶ月前の在庫'!$W$6:$W$10005,$W5941)&gt;0),N(U5940),N(U5940)+1))</f>
        <v/>
      </c>
      <c r="V5941" s="19">
        <f>IF($B5941="","",TEXT($B5941,"0000"))</f>
        <v/>
      </c>
      <c r="W5941" s="19">
        <f>IF($I5941="","",IF(ISNUMBER($I5941),TEXT($I5941,"0"),$I5941))</f>
        <v/>
      </c>
    </row>
    <row r="5942">
      <c r="B5942" s="25" t="n"/>
      <c r="I5942" s="25" t="n"/>
      <c r="U5942" s="19">
        <f>IF($V5942&lt;&gt;'設定'!$C$4,N(U5941),IF(OR(NOT(COUNTIF('商品マスタ'!$B$6:$B$1005,$W5942)=0),COUNTIFS('①在庫を貼る'!$V$6:$V$10005,$V5942,'①在庫を貼る'!$W$6:$W$10005,$W5942)+COUNTIFS('月1回_1ヶ月前の在庫'!$V$6:$V$10005,$V5942,'月1回_1ヶ月前の在庫'!$W$6:$W$10005,$W5942)&gt;0),N(U5941),N(U5941)+1))</f>
        <v/>
      </c>
      <c r="V5942" s="19">
        <f>IF($B5942="","",TEXT($B5942,"0000"))</f>
        <v/>
      </c>
      <c r="W5942" s="19">
        <f>IF($I5942="","",IF(ISNUMBER($I5942),TEXT($I5942,"0"),$I5942))</f>
        <v/>
      </c>
    </row>
    <row r="5943">
      <c r="B5943" s="25" t="n"/>
      <c r="I5943" s="25" t="n"/>
      <c r="U5943" s="19">
        <f>IF($V5943&lt;&gt;'設定'!$C$4,N(U5942),IF(OR(NOT(COUNTIF('商品マスタ'!$B$6:$B$1005,$W5943)=0),COUNTIFS('①在庫を貼る'!$V$6:$V$10005,$V5943,'①在庫を貼る'!$W$6:$W$10005,$W5943)+COUNTIFS('月1回_1ヶ月前の在庫'!$V$6:$V$10005,$V5943,'月1回_1ヶ月前の在庫'!$W$6:$W$10005,$W5943)&gt;0),N(U5942),N(U5942)+1))</f>
        <v/>
      </c>
      <c r="V5943" s="19">
        <f>IF($B5943="","",TEXT($B5943,"0000"))</f>
        <v/>
      </c>
      <c r="W5943" s="19">
        <f>IF($I5943="","",IF(ISNUMBER($I5943),TEXT($I5943,"0"),$I5943))</f>
        <v/>
      </c>
    </row>
    <row r="5944">
      <c r="B5944" s="25" t="n"/>
      <c r="I5944" s="25" t="n"/>
      <c r="U5944" s="19">
        <f>IF($V5944&lt;&gt;'設定'!$C$4,N(U5943),IF(OR(NOT(COUNTIF('商品マスタ'!$B$6:$B$1005,$W5944)=0),COUNTIFS('①在庫を貼る'!$V$6:$V$10005,$V5944,'①在庫を貼る'!$W$6:$W$10005,$W5944)+COUNTIFS('月1回_1ヶ月前の在庫'!$V$6:$V$10005,$V5944,'月1回_1ヶ月前の在庫'!$W$6:$W$10005,$W5944)&gt;0),N(U5943),N(U5943)+1))</f>
        <v/>
      </c>
      <c r="V5944" s="19">
        <f>IF($B5944="","",TEXT($B5944,"0000"))</f>
        <v/>
      </c>
      <c r="W5944" s="19">
        <f>IF($I5944="","",IF(ISNUMBER($I5944),TEXT($I5944,"0"),$I5944))</f>
        <v/>
      </c>
    </row>
    <row r="5945">
      <c r="B5945" s="25" t="n"/>
      <c r="I5945" s="25" t="n"/>
      <c r="U5945" s="19">
        <f>IF($V5945&lt;&gt;'設定'!$C$4,N(U5944),IF(OR(NOT(COUNTIF('商品マスタ'!$B$6:$B$1005,$W5945)=0),COUNTIFS('①在庫を貼る'!$V$6:$V$10005,$V5945,'①在庫を貼る'!$W$6:$W$10005,$W5945)+COUNTIFS('月1回_1ヶ月前の在庫'!$V$6:$V$10005,$V5945,'月1回_1ヶ月前の在庫'!$W$6:$W$10005,$W5945)&gt;0),N(U5944),N(U5944)+1))</f>
        <v/>
      </c>
      <c r="V5945" s="19">
        <f>IF($B5945="","",TEXT($B5945,"0000"))</f>
        <v/>
      </c>
      <c r="W5945" s="19">
        <f>IF($I5945="","",IF(ISNUMBER($I5945),TEXT($I5945,"0"),$I5945))</f>
        <v/>
      </c>
    </row>
    <row r="5946">
      <c r="B5946" s="25" t="n"/>
      <c r="I5946" s="25" t="n"/>
      <c r="U5946" s="19">
        <f>IF($V5946&lt;&gt;'設定'!$C$4,N(U5945),IF(OR(NOT(COUNTIF('商品マスタ'!$B$6:$B$1005,$W5946)=0),COUNTIFS('①在庫を貼る'!$V$6:$V$10005,$V5946,'①在庫を貼る'!$W$6:$W$10005,$W5946)+COUNTIFS('月1回_1ヶ月前の在庫'!$V$6:$V$10005,$V5946,'月1回_1ヶ月前の在庫'!$W$6:$W$10005,$W5946)&gt;0),N(U5945),N(U5945)+1))</f>
        <v/>
      </c>
      <c r="V5946" s="19">
        <f>IF($B5946="","",TEXT($B5946,"0000"))</f>
        <v/>
      </c>
      <c r="W5946" s="19">
        <f>IF($I5946="","",IF(ISNUMBER($I5946),TEXT($I5946,"0"),$I5946))</f>
        <v/>
      </c>
    </row>
    <row r="5947">
      <c r="B5947" s="25" t="n"/>
      <c r="I5947" s="25" t="n"/>
      <c r="U5947" s="19">
        <f>IF($V5947&lt;&gt;'設定'!$C$4,N(U5946),IF(OR(NOT(COUNTIF('商品マスタ'!$B$6:$B$1005,$W5947)=0),COUNTIFS('①在庫を貼る'!$V$6:$V$10005,$V5947,'①在庫を貼る'!$W$6:$W$10005,$W5947)+COUNTIFS('月1回_1ヶ月前の在庫'!$V$6:$V$10005,$V5947,'月1回_1ヶ月前の在庫'!$W$6:$W$10005,$W5947)&gt;0),N(U5946),N(U5946)+1))</f>
        <v/>
      </c>
      <c r="V5947" s="19">
        <f>IF($B5947="","",TEXT($B5947,"0000"))</f>
        <v/>
      </c>
      <c r="W5947" s="19">
        <f>IF($I5947="","",IF(ISNUMBER($I5947),TEXT($I5947,"0"),$I5947))</f>
        <v/>
      </c>
    </row>
    <row r="5948">
      <c r="B5948" s="25" t="n"/>
      <c r="I5948" s="25" t="n"/>
      <c r="U5948" s="19">
        <f>IF($V5948&lt;&gt;'設定'!$C$4,N(U5947),IF(OR(NOT(COUNTIF('商品マスタ'!$B$6:$B$1005,$W5948)=0),COUNTIFS('①在庫を貼る'!$V$6:$V$10005,$V5948,'①在庫を貼る'!$W$6:$W$10005,$W5948)+COUNTIFS('月1回_1ヶ月前の在庫'!$V$6:$V$10005,$V5948,'月1回_1ヶ月前の在庫'!$W$6:$W$10005,$W5948)&gt;0),N(U5947),N(U5947)+1))</f>
        <v/>
      </c>
      <c r="V5948" s="19">
        <f>IF($B5948="","",TEXT($B5948,"0000"))</f>
        <v/>
      </c>
      <c r="W5948" s="19">
        <f>IF($I5948="","",IF(ISNUMBER($I5948),TEXT($I5948,"0"),$I5948))</f>
        <v/>
      </c>
    </row>
    <row r="5949">
      <c r="B5949" s="25" t="n"/>
      <c r="I5949" s="25" t="n"/>
      <c r="U5949" s="19">
        <f>IF($V5949&lt;&gt;'設定'!$C$4,N(U5948),IF(OR(NOT(COUNTIF('商品マスタ'!$B$6:$B$1005,$W5949)=0),COUNTIFS('①在庫を貼る'!$V$6:$V$10005,$V5949,'①在庫を貼る'!$W$6:$W$10005,$W5949)+COUNTIFS('月1回_1ヶ月前の在庫'!$V$6:$V$10005,$V5949,'月1回_1ヶ月前の在庫'!$W$6:$W$10005,$W5949)&gt;0),N(U5948),N(U5948)+1))</f>
        <v/>
      </c>
      <c r="V5949" s="19">
        <f>IF($B5949="","",TEXT($B5949,"0000"))</f>
        <v/>
      </c>
      <c r="W5949" s="19">
        <f>IF($I5949="","",IF(ISNUMBER($I5949),TEXT($I5949,"0"),$I5949))</f>
        <v/>
      </c>
    </row>
    <row r="5950">
      <c r="B5950" s="25" t="n"/>
      <c r="I5950" s="25" t="n"/>
      <c r="U5950" s="19">
        <f>IF($V5950&lt;&gt;'設定'!$C$4,N(U5949),IF(OR(NOT(COUNTIF('商品マスタ'!$B$6:$B$1005,$W5950)=0),COUNTIFS('①在庫を貼る'!$V$6:$V$10005,$V5950,'①在庫を貼る'!$W$6:$W$10005,$W5950)+COUNTIFS('月1回_1ヶ月前の在庫'!$V$6:$V$10005,$V5950,'月1回_1ヶ月前の在庫'!$W$6:$W$10005,$W5950)&gt;0),N(U5949),N(U5949)+1))</f>
        <v/>
      </c>
      <c r="V5950" s="19">
        <f>IF($B5950="","",TEXT($B5950,"0000"))</f>
        <v/>
      </c>
      <c r="W5950" s="19">
        <f>IF($I5950="","",IF(ISNUMBER($I5950),TEXT($I5950,"0"),$I5950))</f>
        <v/>
      </c>
    </row>
    <row r="5951">
      <c r="B5951" s="25" t="n"/>
      <c r="I5951" s="25" t="n"/>
      <c r="U5951" s="19">
        <f>IF($V5951&lt;&gt;'設定'!$C$4,N(U5950),IF(OR(NOT(COUNTIF('商品マスタ'!$B$6:$B$1005,$W5951)=0),COUNTIFS('①在庫を貼る'!$V$6:$V$10005,$V5951,'①在庫を貼る'!$W$6:$W$10005,$W5951)+COUNTIFS('月1回_1ヶ月前の在庫'!$V$6:$V$10005,$V5951,'月1回_1ヶ月前の在庫'!$W$6:$W$10005,$W5951)&gt;0),N(U5950),N(U5950)+1))</f>
        <v/>
      </c>
      <c r="V5951" s="19">
        <f>IF($B5951="","",TEXT($B5951,"0000"))</f>
        <v/>
      </c>
      <c r="W5951" s="19">
        <f>IF($I5951="","",IF(ISNUMBER($I5951),TEXT($I5951,"0"),$I5951))</f>
        <v/>
      </c>
    </row>
    <row r="5952">
      <c r="B5952" s="25" t="n"/>
      <c r="I5952" s="25" t="n"/>
      <c r="U5952" s="19">
        <f>IF($V5952&lt;&gt;'設定'!$C$4,N(U5951),IF(OR(NOT(COUNTIF('商品マスタ'!$B$6:$B$1005,$W5952)=0),COUNTIFS('①在庫を貼る'!$V$6:$V$10005,$V5952,'①在庫を貼る'!$W$6:$W$10005,$W5952)+COUNTIFS('月1回_1ヶ月前の在庫'!$V$6:$V$10005,$V5952,'月1回_1ヶ月前の在庫'!$W$6:$W$10005,$W5952)&gt;0),N(U5951),N(U5951)+1))</f>
        <v/>
      </c>
      <c r="V5952" s="19">
        <f>IF($B5952="","",TEXT($B5952,"0000"))</f>
        <v/>
      </c>
      <c r="W5952" s="19">
        <f>IF($I5952="","",IF(ISNUMBER($I5952),TEXT($I5952,"0"),$I5952))</f>
        <v/>
      </c>
    </row>
    <row r="5953">
      <c r="B5953" s="25" t="n"/>
      <c r="I5953" s="25" t="n"/>
      <c r="U5953" s="19">
        <f>IF($V5953&lt;&gt;'設定'!$C$4,N(U5952),IF(OR(NOT(COUNTIF('商品マスタ'!$B$6:$B$1005,$W5953)=0),COUNTIFS('①在庫を貼る'!$V$6:$V$10005,$V5953,'①在庫を貼る'!$W$6:$W$10005,$W5953)+COUNTIFS('月1回_1ヶ月前の在庫'!$V$6:$V$10005,$V5953,'月1回_1ヶ月前の在庫'!$W$6:$W$10005,$W5953)&gt;0),N(U5952),N(U5952)+1))</f>
        <v/>
      </c>
      <c r="V5953" s="19">
        <f>IF($B5953="","",TEXT($B5953,"0000"))</f>
        <v/>
      </c>
      <c r="W5953" s="19">
        <f>IF($I5953="","",IF(ISNUMBER($I5953),TEXT($I5953,"0"),$I5953))</f>
        <v/>
      </c>
    </row>
    <row r="5954">
      <c r="B5954" s="25" t="n"/>
      <c r="I5954" s="25" t="n"/>
      <c r="U5954" s="19">
        <f>IF($V5954&lt;&gt;'設定'!$C$4,N(U5953),IF(OR(NOT(COUNTIF('商品マスタ'!$B$6:$B$1005,$W5954)=0),COUNTIFS('①在庫を貼る'!$V$6:$V$10005,$V5954,'①在庫を貼る'!$W$6:$W$10005,$W5954)+COUNTIFS('月1回_1ヶ月前の在庫'!$V$6:$V$10005,$V5954,'月1回_1ヶ月前の在庫'!$W$6:$W$10005,$W5954)&gt;0),N(U5953),N(U5953)+1))</f>
        <v/>
      </c>
      <c r="V5954" s="19">
        <f>IF($B5954="","",TEXT($B5954,"0000"))</f>
        <v/>
      </c>
      <c r="W5954" s="19">
        <f>IF($I5954="","",IF(ISNUMBER($I5954),TEXT($I5954,"0"),$I5954))</f>
        <v/>
      </c>
    </row>
    <row r="5955">
      <c r="B5955" s="25" t="n"/>
      <c r="I5955" s="25" t="n"/>
      <c r="U5955" s="19">
        <f>IF($V5955&lt;&gt;'設定'!$C$4,N(U5954),IF(OR(NOT(COUNTIF('商品マスタ'!$B$6:$B$1005,$W5955)=0),COUNTIFS('①在庫を貼る'!$V$6:$V$10005,$V5955,'①在庫を貼る'!$W$6:$W$10005,$W5955)+COUNTIFS('月1回_1ヶ月前の在庫'!$V$6:$V$10005,$V5955,'月1回_1ヶ月前の在庫'!$W$6:$W$10005,$W5955)&gt;0),N(U5954),N(U5954)+1))</f>
        <v/>
      </c>
      <c r="V5955" s="19">
        <f>IF($B5955="","",TEXT($B5955,"0000"))</f>
        <v/>
      </c>
      <c r="W5955" s="19">
        <f>IF($I5955="","",IF(ISNUMBER($I5955),TEXT($I5955,"0"),$I5955))</f>
        <v/>
      </c>
    </row>
    <row r="5956">
      <c r="B5956" s="25" t="n"/>
      <c r="I5956" s="25" t="n"/>
      <c r="U5956" s="19">
        <f>IF($V5956&lt;&gt;'設定'!$C$4,N(U5955),IF(OR(NOT(COUNTIF('商品マスタ'!$B$6:$B$1005,$W5956)=0),COUNTIFS('①在庫を貼る'!$V$6:$V$10005,$V5956,'①在庫を貼る'!$W$6:$W$10005,$W5956)+COUNTIFS('月1回_1ヶ月前の在庫'!$V$6:$V$10005,$V5956,'月1回_1ヶ月前の在庫'!$W$6:$W$10005,$W5956)&gt;0),N(U5955),N(U5955)+1))</f>
        <v/>
      </c>
      <c r="V5956" s="19">
        <f>IF($B5956="","",TEXT($B5956,"0000"))</f>
        <v/>
      </c>
      <c r="W5956" s="19">
        <f>IF($I5956="","",IF(ISNUMBER($I5956),TEXT($I5956,"0"),$I5956))</f>
        <v/>
      </c>
    </row>
    <row r="5957">
      <c r="B5957" s="25" t="n"/>
      <c r="I5957" s="25" t="n"/>
      <c r="U5957" s="19">
        <f>IF($V5957&lt;&gt;'設定'!$C$4,N(U5956),IF(OR(NOT(COUNTIF('商品マスタ'!$B$6:$B$1005,$W5957)=0),COUNTIFS('①在庫を貼る'!$V$6:$V$10005,$V5957,'①在庫を貼る'!$W$6:$W$10005,$W5957)+COUNTIFS('月1回_1ヶ月前の在庫'!$V$6:$V$10005,$V5957,'月1回_1ヶ月前の在庫'!$W$6:$W$10005,$W5957)&gt;0),N(U5956),N(U5956)+1))</f>
        <v/>
      </c>
      <c r="V5957" s="19">
        <f>IF($B5957="","",TEXT($B5957,"0000"))</f>
        <v/>
      </c>
      <c r="W5957" s="19">
        <f>IF($I5957="","",IF(ISNUMBER($I5957),TEXT($I5957,"0"),$I5957))</f>
        <v/>
      </c>
    </row>
    <row r="5958">
      <c r="B5958" s="25" t="n"/>
      <c r="I5958" s="25" t="n"/>
      <c r="U5958" s="19">
        <f>IF($V5958&lt;&gt;'設定'!$C$4,N(U5957),IF(OR(NOT(COUNTIF('商品マスタ'!$B$6:$B$1005,$W5958)=0),COUNTIFS('①在庫を貼る'!$V$6:$V$10005,$V5958,'①在庫を貼る'!$W$6:$W$10005,$W5958)+COUNTIFS('月1回_1ヶ月前の在庫'!$V$6:$V$10005,$V5958,'月1回_1ヶ月前の在庫'!$W$6:$W$10005,$W5958)&gt;0),N(U5957),N(U5957)+1))</f>
        <v/>
      </c>
      <c r="V5958" s="19">
        <f>IF($B5958="","",TEXT($B5958,"0000"))</f>
        <v/>
      </c>
      <c r="W5958" s="19">
        <f>IF($I5958="","",IF(ISNUMBER($I5958),TEXT($I5958,"0"),$I5958))</f>
        <v/>
      </c>
    </row>
    <row r="5959">
      <c r="B5959" s="25" t="n"/>
      <c r="I5959" s="25" t="n"/>
      <c r="U5959" s="19">
        <f>IF($V5959&lt;&gt;'設定'!$C$4,N(U5958),IF(OR(NOT(COUNTIF('商品マスタ'!$B$6:$B$1005,$W5959)=0),COUNTIFS('①在庫を貼る'!$V$6:$V$10005,$V5959,'①在庫を貼る'!$W$6:$W$10005,$W5959)+COUNTIFS('月1回_1ヶ月前の在庫'!$V$6:$V$10005,$V5959,'月1回_1ヶ月前の在庫'!$W$6:$W$10005,$W5959)&gt;0),N(U5958),N(U5958)+1))</f>
        <v/>
      </c>
      <c r="V5959" s="19">
        <f>IF($B5959="","",TEXT($B5959,"0000"))</f>
        <v/>
      </c>
      <c r="W5959" s="19">
        <f>IF($I5959="","",IF(ISNUMBER($I5959),TEXT($I5959,"0"),$I5959))</f>
        <v/>
      </c>
    </row>
    <row r="5960">
      <c r="B5960" s="25" t="n"/>
      <c r="I5960" s="25" t="n"/>
      <c r="U5960" s="19">
        <f>IF($V5960&lt;&gt;'設定'!$C$4,N(U5959),IF(OR(NOT(COUNTIF('商品マスタ'!$B$6:$B$1005,$W5960)=0),COUNTIFS('①在庫を貼る'!$V$6:$V$10005,$V5960,'①在庫を貼る'!$W$6:$W$10005,$W5960)+COUNTIFS('月1回_1ヶ月前の在庫'!$V$6:$V$10005,$V5960,'月1回_1ヶ月前の在庫'!$W$6:$W$10005,$W5960)&gt;0),N(U5959),N(U5959)+1))</f>
        <v/>
      </c>
      <c r="V5960" s="19">
        <f>IF($B5960="","",TEXT($B5960,"0000"))</f>
        <v/>
      </c>
      <c r="W5960" s="19">
        <f>IF($I5960="","",IF(ISNUMBER($I5960),TEXT($I5960,"0"),$I5960))</f>
        <v/>
      </c>
    </row>
    <row r="5961">
      <c r="B5961" s="25" t="n"/>
      <c r="I5961" s="25" t="n"/>
      <c r="U5961" s="19">
        <f>IF($V5961&lt;&gt;'設定'!$C$4,N(U5960),IF(OR(NOT(COUNTIF('商品マスタ'!$B$6:$B$1005,$W5961)=0),COUNTIFS('①在庫を貼る'!$V$6:$V$10005,$V5961,'①在庫を貼る'!$W$6:$W$10005,$W5961)+COUNTIFS('月1回_1ヶ月前の在庫'!$V$6:$V$10005,$V5961,'月1回_1ヶ月前の在庫'!$W$6:$W$10005,$W5961)&gt;0),N(U5960),N(U5960)+1))</f>
        <v/>
      </c>
      <c r="V5961" s="19">
        <f>IF($B5961="","",TEXT($B5961,"0000"))</f>
        <v/>
      </c>
      <c r="W5961" s="19">
        <f>IF($I5961="","",IF(ISNUMBER($I5961),TEXT($I5961,"0"),$I5961))</f>
        <v/>
      </c>
    </row>
    <row r="5962">
      <c r="B5962" s="25" t="n"/>
      <c r="I5962" s="25" t="n"/>
      <c r="U5962" s="19">
        <f>IF($V5962&lt;&gt;'設定'!$C$4,N(U5961),IF(OR(NOT(COUNTIF('商品マスタ'!$B$6:$B$1005,$W5962)=0),COUNTIFS('①在庫を貼る'!$V$6:$V$10005,$V5962,'①在庫を貼る'!$W$6:$W$10005,$W5962)+COUNTIFS('月1回_1ヶ月前の在庫'!$V$6:$V$10005,$V5962,'月1回_1ヶ月前の在庫'!$W$6:$W$10005,$W5962)&gt;0),N(U5961),N(U5961)+1))</f>
        <v/>
      </c>
      <c r="V5962" s="19">
        <f>IF($B5962="","",TEXT($B5962,"0000"))</f>
        <v/>
      </c>
      <c r="W5962" s="19">
        <f>IF($I5962="","",IF(ISNUMBER($I5962),TEXT($I5962,"0"),$I5962))</f>
        <v/>
      </c>
    </row>
    <row r="5963">
      <c r="B5963" s="25" t="n"/>
      <c r="I5963" s="25" t="n"/>
      <c r="U5963" s="19">
        <f>IF($V5963&lt;&gt;'設定'!$C$4,N(U5962),IF(OR(NOT(COUNTIF('商品マスタ'!$B$6:$B$1005,$W5963)=0),COUNTIFS('①在庫を貼る'!$V$6:$V$10005,$V5963,'①在庫を貼る'!$W$6:$W$10005,$W5963)+COUNTIFS('月1回_1ヶ月前の在庫'!$V$6:$V$10005,$V5963,'月1回_1ヶ月前の在庫'!$W$6:$W$10005,$W5963)&gt;0),N(U5962),N(U5962)+1))</f>
        <v/>
      </c>
      <c r="V5963" s="19">
        <f>IF($B5963="","",TEXT($B5963,"0000"))</f>
        <v/>
      </c>
      <c r="W5963" s="19">
        <f>IF($I5963="","",IF(ISNUMBER($I5963),TEXT($I5963,"0"),$I5963))</f>
        <v/>
      </c>
    </row>
    <row r="5964">
      <c r="B5964" s="25" t="n"/>
      <c r="I5964" s="25" t="n"/>
      <c r="U5964" s="19">
        <f>IF($V5964&lt;&gt;'設定'!$C$4,N(U5963),IF(OR(NOT(COUNTIF('商品マスタ'!$B$6:$B$1005,$W5964)=0),COUNTIFS('①在庫を貼る'!$V$6:$V$10005,$V5964,'①在庫を貼る'!$W$6:$W$10005,$W5964)+COUNTIFS('月1回_1ヶ月前の在庫'!$V$6:$V$10005,$V5964,'月1回_1ヶ月前の在庫'!$W$6:$W$10005,$W5964)&gt;0),N(U5963),N(U5963)+1))</f>
        <v/>
      </c>
      <c r="V5964" s="19">
        <f>IF($B5964="","",TEXT($B5964,"0000"))</f>
        <v/>
      </c>
      <c r="W5964" s="19">
        <f>IF($I5964="","",IF(ISNUMBER($I5964),TEXT($I5964,"0"),$I5964))</f>
        <v/>
      </c>
    </row>
    <row r="5965">
      <c r="B5965" s="25" t="n"/>
      <c r="I5965" s="25" t="n"/>
      <c r="U5965" s="19">
        <f>IF($V5965&lt;&gt;'設定'!$C$4,N(U5964),IF(OR(NOT(COUNTIF('商品マスタ'!$B$6:$B$1005,$W5965)=0),COUNTIFS('①在庫を貼る'!$V$6:$V$10005,$V5965,'①在庫を貼る'!$W$6:$W$10005,$W5965)+COUNTIFS('月1回_1ヶ月前の在庫'!$V$6:$V$10005,$V5965,'月1回_1ヶ月前の在庫'!$W$6:$W$10005,$W5965)&gt;0),N(U5964),N(U5964)+1))</f>
        <v/>
      </c>
      <c r="V5965" s="19">
        <f>IF($B5965="","",TEXT($B5965,"0000"))</f>
        <v/>
      </c>
      <c r="W5965" s="19">
        <f>IF($I5965="","",IF(ISNUMBER($I5965),TEXT($I5965,"0"),$I5965))</f>
        <v/>
      </c>
    </row>
    <row r="5966">
      <c r="B5966" s="25" t="n"/>
      <c r="I5966" s="25" t="n"/>
      <c r="U5966" s="19">
        <f>IF($V5966&lt;&gt;'設定'!$C$4,N(U5965),IF(OR(NOT(COUNTIF('商品マスタ'!$B$6:$B$1005,$W5966)=0),COUNTIFS('①在庫を貼る'!$V$6:$V$10005,$V5966,'①在庫を貼る'!$W$6:$W$10005,$W5966)+COUNTIFS('月1回_1ヶ月前の在庫'!$V$6:$V$10005,$V5966,'月1回_1ヶ月前の在庫'!$W$6:$W$10005,$W5966)&gt;0),N(U5965),N(U5965)+1))</f>
        <v/>
      </c>
      <c r="V5966" s="19">
        <f>IF($B5966="","",TEXT($B5966,"0000"))</f>
        <v/>
      </c>
      <c r="W5966" s="19">
        <f>IF($I5966="","",IF(ISNUMBER($I5966),TEXT($I5966,"0"),$I5966))</f>
        <v/>
      </c>
    </row>
    <row r="5967">
      <c r="B5967" s="25" t="n"/>
      <c r="I5967" s="25" t="n"/>
      <c r="U5967" s="19">
        <f>IF($V5967&lt;&gt;'設定'!$C$4,N(U5966),IF(OR(NOT(COUNTIF('商品マスタ'!$B$6:$B$1005,$W5967)=0),COUNTIFS('①在庫を貼る'!$V$6:$V$10005,$V5967,'①在庫を貼る'!$W$6:$W$10005,$W5967)+COUNTIFS('月1回_1ヶ月前の在庫'!$V$6:$V$10005,$V5967,'月1回_1ヶ月前の在庫'!$W$6:$W$10005,$W5967)&gt;0),N(U5966),N(U5966)+1))</f>
        <v/>
      </c>
      <c r="V5967" s="19">
        <f>IF($B5967="","",TEXT($B5967,"0000"))</f>
        <v/>
      </c>
      <c r="W5967" s="19">
        <f>IF($I5967="","",IF(ISNUMBER($I5967),TEXT($I5967,"0"),$I5967))</f>
        <v/>
      </c>
    </row>
    <row r="5968">
      <c r="B5968" s="25" t="n"/>
      <c r="I5968" s="25" t="n"/>
      <c r="U5968" s="19">
        <f>IF($V5968&lt;&gt;'設定'!$C$4,N(U5967),IF(OR(NOT(COUNTIF('商品マスタ'!$B$6:$B$1005,$W5968)=0),COUNTIFS('①在庫を貼る'!$V$6:$V$10005,$V5968,'①在庫を貼る'!$W$6:$W$10005,$W5968)+COUNTIFS('月1回_1ヶ月前の在庫'!$V$6:$V$10005,$V5968,'月1回_1ヶ月前の在庫'!$W$6:$W$10005,$W5968)&gt;0),N(U5967),N(U5967)+1))</f>
        <v/>
      </c>
      <c r="V5968" s="19">
        <f>IF($B5968="","",TEXT($B5968,"0000"))</f>
        <v/>
      </c>
      <c r="W5968" s="19">
        <f>IF($I5968="","",IF(ISNUMBER($I5968),TEXT($I5968,"0"),$I5968))</f>
        <v/>
      </c>
    </row>
    <row r="5969">
      <c r="B5969" s="25" t="n"/>
      <c r="I5969" s="25" t="n"/>
      <c r="U5969" s="19">
        <f>IF($V5969&lt;&gt;'設定'!$C$4,N(U5968),IF(OR(NOT(COUNTIF('商品マスタ'!$B$6:$B$1005,$W5969)=0),COUNTIFS('①在庫を貼る'!$V$6:$V$10005,$V5969,'①在庫を貼る'!$W$6:$W$10005,$W5969)+COUNTIFS('月1回_1ヶ月前の在庫'!$V$6:$V$10005,$V5969,'月1回_1ヶ月前の在庫'!$W$6:$W$10005,$W5969)&gt;0),N(U5968),N(U5968)+1))</f>
        <v/>
      </c>
      <c r="V5969" s="19">
        <f>IF($B5969="","",TEXT($B5969,"0000"))</f>
        <v/>
      </c>
      <c r="W5969" s="19">
        <f>IF($I5969="","",IF(ISNUMBER($I5969),TEXT($I5969,"0"),$I5969))</f>
        <v/>
      </c>
    </row>
    <row r="5970">
      <c r="B5970" s="25" t="n"/>
      <c r="I5970" s="25" t="n"/>
      <c r="U5970" s="19">
        <f>IF($V5970&lt;&gt;'設定'!$C$4,N(U5969),IF(OR(NOT(COUNTIF('商品マスタ'!$B$6:$B$1005,$W5970)=0),COUNTIFS('①在庫を貼る'!$V$6:$V$10005,$V5970,'①在庫を貼る'!$W$6:$W$10005,$W5970)+COUNTIFS('月1回_1ヶ月前の在庫'!$V$6:$V$10005,$V5970,'月1回_1ヶ月前の在庫'!$W$6:$W$10005,$W5970)&gt;0),N(U5969),N(U5969)+1))</f>
        <v/>
      </c>
      <c r="V5970" s="19">
        <f>IF($B5970="","",TEXT($B5970,"0000"))</f>
        <v/>
      </c>
      <c r="W5970" s="19">
        <f>IF($I5970="","",IF(ISNUMBER($I5970),TEXT($I5970,"0"),$I5970))</f>
        <v/>
      </c>
    </row>
    <row r="5971">
      <c r="B5971" s="25" t="n"/>
      <c r="I5971" s="25" t="n"/>
      <c r="U5971" s="19">
        <f>IF($V5971&lt;&gt;'設定'!$C$4,N(U5970),IF(OR(NOT(COUNTIF('商品マスタ'!$B$6:$B$1005,$W5971)=0),COUNTIFS('①在庫を貼る'!$V$6:$V$10005,$V5971,'①在庫を貼る'!$W$6:$W$10005,$W5971)+COUNTIFS('月1回_1ヶ月前の在庫'!$V$6:$V$10005,$V5971,'月1回_1ヶ月前の在庫'!$W$6:$W$10005,$W5971)&gt;0),N(U5970),N(U5970)+1))</f>
        <v/>
      </c>
      <c r="V5971" s="19">
        <f>IF($B5971="","",TEXT($B5971,"0000"))</f>
        <v/>
      </c>
      <c r="W5971" s="19">
        <f>IF($I5971="","",IF(ISNUMBER($I5971),TEXT($I5971,"0"),$I5971))</f>
        <v/>
      </c>
    </row>
    <row r="5972">
      <c r="B5972" s="25" t="n"/>
      <c r="I5972" s="25" t="n"/>
      <c r="U5972" s="19">
        <f>IF($V5972&lt;&gt;'設定'!$C$4,N(U5971),IF(OR(NOT(COUNTIF('商品マスタ'!$B$6:$B$1005,$W5972)=0),COUNTIFS('①在庫を貼る'!$V$6:$V$10005,$V5972,'①在庫を貼る'!$W$6:$W$10005,$W5972)+COUNTIFS('月1回_1ヶ月前の在庫'!$V$6:$V$10005,$V5972,'月1回_1ヶ月前の在庫'!$W$6:$W$10005,$W5972)&gt;0),N(U5971),N(U5971)+1))</f>
        <v/>
      </c>
      <c r="V5972" s="19">
        <f>IF($B5972="","",TEXT($B5972,"0000"))</f>
        <v/>
      </c>
      <c r="W5972" s="19">
        <f>IF($I5972="","",IF(ISNUMBER($I5972),TEXT($I5972,"0"),$I5972))</f>
        <v/>
      </c>
    </row>
    <row r="5973">
      <c r="B5973" s="25" t="n"/>
      <c r="I5973" s="25" t="n"/>
      <c r="U5973" s="19">
        <f>IF($V5973&lt;&gt;'設定'!$C$4,N(U5972),IF(OR(NOT(COUNTIF('商品マスタ'!$B$6:$B$1005,$W5973)=0),COUNTIFS('①在庫を貼る'!$V$6:$V$10005,$V5973,'①在庫を貼る'!$W$6:$W$10005,$W5973)+COUNTIFS('月1回_1ヶ月前の在庫'!$V$6:$V$10005,$V5973,'月1回_1ヶ月前の在庫'!$W$6:$W$10005,$W5973)&gt;0),N(U5972),N(U5972)+1))</f>
        <v/>
      </c>
      <c r="V5973" s="19">
        <f>IF($B5973="","",TEXT($B5973,"0000"))</f>
        <v/>
      </c>
      <c r="W5973" s="19">
        <f>IF($I5973="","",IF(ISNUMBER($I5973),TEXT($I5973,"0"),$I5973))</f>
        <v/>
      </c>
    </row>
    <row r="5974">
      <c r="B5974" s="25" t="n"/>
      <c r="I5974" s="25" t="n"/>
      <c r="U5974" s="19">
        <f>IF($V5974&lt;&gt;'設定'!$C$4,N(U5973),IF(OR(NOT(COUNTIF('商品マスタ'!$B$6:$B$1005,$W5974)=0),COUNTIFS('①在庫を貼る'!$V$6:$V$10005,$V5974,'①在庫を貼る'!$W$6:$W$10005,$W5974)+COUNTIFS('月1回_1ヶ月前の在庫'!$V$6:$V$10005,$V5974,'月1回_1ヶ月前の在庫'!$W$6:$W$10005,$W5974)&gt;0),N(U5973),N(U5973)+1))</f>
        <v/>
      </c>
      <c r="V5974" s="19">
        <f>IF($B5974="","",TEXT($B5974,"0000"))</f>
        <v/>
      </c>
      <c r="W5974" s="19">
        <f>IF($I5974="","",IF(ISNUMBER($I5974),TEXT($I5974,"0"),$I5974))</f>
        <v/>
      </c>
    </row>
    <row r="5975">
      <c r="B5975" s="25" t="n"/>
      <c r="I5975" s="25" t="n"/>
      <c r="U5975" s="19">
        <f>IF($V5975&lt;&gt;'設定'!$C$4,N(U5974),IF(OR(NOT(COUNTIF('商品マスタ'!$B$6:$B$1005,$W5975)=0),COUNTIFS('①在庫を貼る'!$V$6:$V$10005,$V5975,'①在庫を貼る'!$W$6:$W$10005,$W5975)+COUNTIFS('月1回_1ヶ月前の在庫'!$V$6:$V$10005,$V5975,'月1回_1ヶ月前の在庫'!$W$6:$W$10005,$W5975)&gt;0),N(U5974),N(U5974)+1))</f>
        <v/>
      </c>
      <c r="V5975" s="19">
        <f>IF($B5975="","",TEXT($B5975,"0000"))</f>
        <v/>
      </c>
      <c r="W5975" s="19">
        <f>IF($I5975="","",IF(ISNUMBER($I5975),TEXT($I5975,"0"),$I5975))</f>
        <v/>
      </c>
    </row>
    <row r="5976">
      <c r="B5976" s="25" t="n"/>
      <c r="I5976" s="25" t="n"/>
      <c r="U5976" s="19">
        <f>IF($V5976&lt;&gt;'設定'!$C$4,N(U5975),IF(OR(NOT(COUNTIF('商品マスタ'!$B$6:$B$1005,$W5976)=0),COUNTIFS('①在庫を貼る'!$V$6:$V$10005,$V5976,'①在庫を貼る'!$W$6:$W$10005,$W5976)+COUNTIFS('月1回_1ヶ月前の在庫'!$V$6:$V$10005,$V5976,'月1回_1ヶ月前の在庫'!$W$6:$W$10005,$W5976)&gt;0),N(U5975),N(U5975)+1))</f>
        <v/>
      </c>
      <c r="V5976" s="19">
        <f>IF($B5976="","",TEXT($B5976,"0000"))</f>
        <v/>
      </c>
      <c r="W5976" s="19">
        <f>IF($I5976="","",IF(ISNUMBER($I5976),TEXT($I5976,"0"),$I5976))</f>
        <v/>
      </c>
    </row>
    <row r="5977">
      <c r="B5977" s="25" t="n"/>
      <c r="I5977" s="25" t="n"/>
      <c r="U5977" s="19">
        <f>IF($V5977&lt;&gt;'設定'!$C$4,N(U5976),IF(OR(NOT(COUNTIF('商品マスタ'!$B$6:$B$1005,$W5977)=0),COUNTIFS('①在庫を貼る'!$V$6:$V$10005,$V5977,'①在庫を貼る'!$W$6:$W$10005,$W5977)+COUNTIFS('月1回_1ヶ月前の在庫'!$V$6:$V$10005,$V5977,'月1回_1ヶ月前の在庫'!$W$6:$W$10005,$W5977)&gt;0),N(U5976),N(U5976)+1))</f>
        <v/>
      </c>
      <c r="V5977" s="19">
        <f>IF($B5977="","",TEXT($B5977,"0000"))</f>
        <v/>
      </c>
      <c r="W5977" s="19">
        <f>IF($I5977="","",IF(ISNUMBER($I5977),TEXT($I5977,"0"),$I5977))</f>
        <v/>
      </c>
    </row>
    <row r="5978">
      <c r="B5978" s="25" t="n"/>
      <c r="I5978" s="25" t="n"/>
      <c r="U5978" s="19">
        <f>IF($V5978&lt;&gt;'設定'!$C$4,N(U5977),IF(OR(NOT(COUNTIF('商品マスタ'!$B$6:$B$1005,$W5978)=0),COUNTIFS('①在庫を貼る'!$V$6:$V$10005,$V5978,'①在庫を貼る'!$W$6:$W$10005,$W5978)+COUNTIFS('月1回_1ヶ月前の在庫'!$V$6:$V$10005,$V5978,'月1回_1ヶ月前の在庫'!$W$6:$W$10005,$W5978)&gt;0),N(U5977),N(U5977)+1))</f>
        <v/>
      </c>
      <c r="V5978" s="19">
        <f>IF($B5978="","",TEXT($B5978,"0000"))</f>
        <v/>
      </c>
      <c r="W5978" s="19">
        <f>IF($I5978="","",IF(ISNUMBER($I5978),TEXT($I5978,"0"),$I5978))</f>
        <v/>
      </c>
    </row>
    <row r="5979">
      <c r="B5979" s="25" t="n"/>
      <c r="I5979" s="25" t="n"/>
      <c r="U5979" s="19">
        <f>IF($V5979&lt;&gt;'設定'!$C$4,N(U5978),IF(OR(NOT(COUNTIF('商品マスタ'!$B$6:$B$1005,$W5979)=0),COUNTIFS('①在庫を貼る'!$V$6:$V$10005,$V5979,'①在庫を貼る'!$W$6:$W$10005,$W5979)+COUNTIFS('月1回_1ヶ月前の在庫'!$V$6:$V$10005,$V5979,'月1回_1ヶ月前の在庫'!$W$6:$W$10005,$W5979)&gt;0),N(U5978),N(U5978)+1))</f>
        <v/>
      </c>
      <c r="V5979" s="19">
        <f>IF($B5979="","",TEXT($B5979,"0000"))</f>
        <v/>
      </c>
      <c r="W5979" s="19">
        <f>IF($I5979="","",IF(ISNUMBER($I5979),TEXT($I5979,"0"),$I5979))</f>
        <v/>
      </c>
    </row>
    <row r="5980">
      <c r="B5980" s="25" t="n"/>
      <c r="I5980" s="25" t="n"/>
      <c r="U5980" s="19">
        <f>IF($V5980&lt;&gt;'設定'!$C$4,N(U5979),IF(OR(NOT(COUNTIF('商品マスタ'!$B$6:$B$1005,$W5980)=0),COUNTIFS('①在庫を貼る'!$V$6:$V$10005,$V5980,'①在庫を貼る'!$W$6:$W$10005,$W5980)+COUNTIFS('月1回_1ヶ月前の在庫'!$V$6:$V$10005,$V5980,'月1回_1ヶ月前の在庫'!$W$6:$W$10005,$W5980)&gt;0),N(U5979),N(U5979)+1))</f>
        <v/>
      </c>
      <c r="V5980" s="19">
        <f>IF($B5980="","",TEXT($B5980,"0000"))</f>
        <v/>
      </c>
      <c r="W5980" s="19">
        <f>IF($I5980="","",IF(ISNUMBER($I5980),TEXT($I5980,"0"),$I5980))</f>
        <v/>
      </c>
    </row>
    <row r="5981">
      <c r="B5981" s="25" t="n"/>
      <c r="I5981" s="25" t="n"/>
      <c r="U5981" s="19">
        <f>IF($V5981&lt;&gt;'設定'!$C$4,N(U5980),IF(OR(NOT(COUNTIF('商品マスタ'!$B$6:$B$1005,$W5981)=0),COUNTIFS('①在庫を貼る'!$V$6:$V$10005,$V5981,'①在庫を貼る'!$W$6:$W$10005,$W5981)+COUNTIFS('月1回_1ヶ月前の在庫'!$V$6:$V$10005,$V5981,'月1回_1ヶ月前の在庫'!$W$6:$W$10005,$W5981)&gt;0),N(U5980),N(U5980)+1))</f>
        <v/>
      </c>
      <c r="V5981" s="19">
        <f>IF($B5981="","",TEXT($B5981,"0000"))</f>
        <v/>
      </c>
      <c r="W5981" s="19">
        <f>IF($I5981="","",IF(ISNUMBER($I5981),TEXT($I5981,"0"),$I5981))</f>
        <v/>
      </c>
    </row>
    <row r="5982">
      <c r="B5982" s="25" t="n"/>
      <c r="I5982" s="25" t="n"/>
      <c r="U5982" s="19">
        <f>IF($V5982&lt;&gt;'設定'!$C$4,N(U5981),IF(OR(NOT(COUNTIF('商品マスタ'!$B$6:$B$1005,$W5982)=0),COUNTIFS('①在庫を貼る'!$V$6:$V$10005,$V5982,'①在庫を貼る'!$W$6:$W$10005,$W5982)+COUNTIFS('月1回_1ヶ月前の在庫'!$V$6:$V$10005,$V5982,'月1回_1ヶ月前の在庫'!$W$6:$W$10005,$W5982)&gt;0),N(U5981),N(U5981)+1))</f>
        <v/>
      </c>
      <c r="V5982" s="19">
        <f>IF($B5982="","",TEXT($B5982,"0000"))</f>
        <v/>
      </c>
      <c r="W5982" s="19">
        <f>IF($I5982="","",IF(ISNUMBER($I5982),TEXT($I5982,"0"),$I5982))</f>
        <v/>
      </c>
    </row>
    <row r="5983">
      <c r="B5983" s="25" t="n"/>
      <c r="I5983" s="25" t="n"/>
      <c r="U5983" s="19">
        <f>IF($V5983&lt;&gt;'設定'!$C$4,N(U5982),IF(OR(NOT(COUNTIF('商品マスタ'!$B$6:$B$1005,$W5983)=0),COUNTIFS('①在庫を貼る'!$V$6:$V$10005,$V5983,'①在庫を貼る'!$W$6:$W$10005,$W5983)+COUNTIFS('月1回_1ヶ月前の在庫'!$V$6:$V$10005,$V5983,'月1回_1ヶ月前の在庫'!$W$6:$W$10005,$W5983)&gt;0),N(U5982),N(U5982)+1))</f>
        <v/>
      </c>
      <c r="V5983" s="19">
        <f>IF($B5983="","",TEXT($B5983,"0000"))</f>
        <v/>
      </c>
      <c r="W5983" s="19">
        <f>IF($I5983="","",IF(ISNUMBER($I5983),TEXT($I5983,"0"),$I5983))</f>
        <v/>
      </c>
    </row>
    <row r="5984">
      <c r="B5984" s="25" t="n"/>
      <c r="I5984" s="25" t="n"/>
      <c r="U5984" s="19">
        <f>IF($V5984&lt;&gt;'設定'!$C$4,N(U5983),IF(OR(NOT(COUNTIF('商品マスタ'!$B$6:$B$1005,$W5984)=0),COUNTIFS('①在庫を貼る'!$V$6:$V$10005,$V5984,'①在庫を貼る'!$W$6:$W$10005,$W5984)+COUNTIFS('月1回_1ヶ月前の在庫'!$V$6:$V$10005,$V5984,'月1回_1ヶ月前の在庫'!$W$6:$W$10005,$W5984)&gt;0),N(U5983),N(U5983)+1))</f>
        <v/>
      </c>
      <c r="V5984" s="19">
        <f>IF($B5984="","",TEXT($B5984,"0000"))</f>
        <v/>
      </c>
      <c r="W5984" s="19">
        <f>IF($I5984="","",IF(ISNUMBER($I5984),TEXT($I5984,"0"),$I5984))</f>
        <v/>
      </c>
    </row>
    <row r="5985">
      <c r="B5985" s="25" t="n"/>
      <c r="I5985" s="25" t="n"/>
      <c r="U5985" s="19">
        <f>IF($V5985&lt;&gt;'設定'!$C$4,N(U5984),IF(OR(NOT(COUNTIF('商品マスタ'!$B$6:$B$1005,$W5985)=0),COUNTIFS('①在庫を貼る'!$V$6:$V$10005,$V5985,'①在庫を貼る'!$W$6:$W$10005,$W5985)+COUNTIFS('月1回_1ヶ月前の在庫'!$V$6:$V$10005,$V5985,'月1回_1ヶ月前の在庫'!$W$6:$W$10005,$W5985)&gt;0),N(U5984),N(U5984)+1))</f>
        <v/>
      </c>
      <c r="V5985" s="19">
        <f>IF($B5985="","",TEXT($B5985,"0000"))</f>
        <v/>
      </c>
      <c r="W5985" s="19">
        <f>IF($I5985="","",IF(ISNUMBER($I5985),TEXT($I5985,"0"),$I5985))</f>
        <v/>
      </c>
    </row>
    <row r="5986">
      <c r="B5986" s="25" t="n"/>
      <c r="I5986" s="25" t="n"/>
      <c r="U5986" s="19">
        <f>IF($V5986&lt;&gt;'設定'!$C$4,N(U5985),IF(OR(NOT(COUNTIF('商品マスタ'!$B$6:$B$1005,$W5986)=0),COUNTIFS('①在庫を貼る'!$V$6:$V$10005,$V5986,'①在庫を貼る'!$W$6:$W$10005,$W5986)+COUNTIFS('月1回_1ヶ月前の在庫'!$V$6:$V$10005,$V5986,'月1回_1ヶ月前の在庫'!$W$6:$W$10005,$W5986)&gt;0),N(U5985),N(U5985)+1))</f>
        <v/>
      </c>
      <c r="V5986" s="19">
        <f>IF($B5986="","",TEXT($B5986,"0000"))</f>
        <v/>
      </c>
      <c r="W5986" s="19">
        <f>IF($I5986="","",IF(ISNUMBER($I5986),TEXT($I5986,"0"),$I5986))</f>
        <v/>
      </c>
    </row>
    <row r="5987">
      <c r="B5987" s="25" t="n"/>
      <c r="I5987" s="25" t="n"/>
      <c r="U5987" s="19">
        <f>IF($V5987&lt;&gt;'設定'!$C$4,N(U5986),IF(OR(NOT(COUNTIF('商品マスタ'!$B$6:$B$1005,$W5987)=0),COUNTIFS('①在庫を貼る'!$V$6:$V$10005,$V5987,'①在庫を貼る'!$W$6:$W$10005,$W5987)+COUNTIFS('月1回_1ヶ月前の在庫'!$V$6:$V$10005,$V5987,'月1回_1ヶ月前の在庫'!$W$6:$W$10005,$W5987)&gt;0),N(U5986),N(U5986)+1))</f>
        <v/>
      </c>
      <c r="V5987" s="19">
        <f>IF($B5987="","",TEXT($B5987,"0000"))</f>
        <v/>
      </c>
      <c r="W5987" s="19">
        <f>IF($I5987="","",IF(ISNUMBER($I5987),TEXT($I5987,"0"),$I5987))</f>
        <v/>
      </c>
    </row>
    <row r="5988">
      <c r="B5988" s="25" t="n"/>
      <c r="I5988" s="25" t="n"/>
      <c r="U5988" s="19">
        <f>IF($V5988&lt;&gt;'設定'!$C$4,N(U5987),IF(OR(NOT(COUNTIF('商品マスタ'!$B$6:$B$1005,$W5988)=0),COUNTIFS('①在庫を貼る'!$V$6:$V$10005,$V5988,'①在庫を貼る'!$W$6:$W$10005,$W5988)+COUNTIFS('月1回_1ヶ月前の在庫'!$V$6:$V$10005,$V5988,'月1回_1ヶ月前の在庫'!$W$6:$W$10005,$W5988)&gt;0),N(U5987),N(U5987)+1))</f>
        <v/>
      </c>
      <c r="V5988" s="19">
        <f>IF($B5988="","",TEXT($B5988,"0000"))</f>
        <v/>
      </c>
      <c r="W5988" s="19">
        <f>IF($I5988="","",IF(ISNUMBER($I5988),TEXT($I5988,"0"),$I5988))</f>
        <v/>
      </c>
    </row>
    <row r="5989">
      <c r="B5989" s="25" t="n"/>
      <c r="I5989" s="25" t="n"/>
      <c r="U5989" s="19">
        <f>IF($V5989&lt;&gt;'設定'!$C$4,N(U5988),IF(OR(NOT(COUNTIF('商品マスタ'!$B$6:$B$1005,$W5989)=0),COUNTIFS('①在庫を貼る'!$V$6:$V$10005,$V5989,'①在庫を貼る'!$W$6:$W$10005,$W5989)+COUNTIFS('月1回_1ヶ月前の在庫'!$V$6:$V$10005,$V5989,'月1回_1ヶ月前の在庫'!$W$6:$W$10005,$W5989)&gt;0),N(U5988),N(U5988)+1))</f>
        <v/>
      </c>
      <c r="V5989" s="19">
        <f>IF($B5989="","",TEXT($B5989,"0000"))</f>
        <v/>
      </c>
      <c r="W5989" s="19">
        <f>IF($I5989="","",IF(ISNUMBER($I5989),TEXT($I5989,"0"),$I5989))</f>
        <v/>
      </c>
    </row>
    <row r="5990">
      <c r="B5990" s="25" t="n"/>
      <c r="I5990" s="25" t="n"/>
      <c r="U5990" s="19">
        <f>IF($V5990&lt;&gt;'設定'!$C$4,N(U5989),IF(OR(NOT(COUNTIF('商品マスタ'!$B$6:$B$1005,$W5990)=0),COUNTIFS('①在庫を貼る'!$V$6:$V$10005,$V5990,'①在庫を貼る'!$W$6:$W$10005,$W5990)+COUNTIFS('月1回_1ヶ月前の在庫'!$V$6:$V$10005,$V5990,'月1回_1ヶ月前の在庫'!$W$6:$W$10005,$W5990)&gt;0),N(U5989),N(U5989)+1))</f>
        <v/>
      </c>
      <c r="V5990" s="19">
        <f>IF($B5990="","",TEXT($B5990,"0000"))</f>
        <v/>
      </c>
      <c r="W5990" s="19">
        <f>IF($I5990="","",IF(ISNUMBER($I5990),TEXT($I5990,"0"),$I5990))</f>
        <v/>
      </c>
    </row>
    <row r="5991">
      <c r="B5991" s="25" t="n"/>
      <c r="I5991" s="25" t="n"/>
      <c r="U5991" s="19">
        <f>IF($V5991&lt;&gt;'設定'!$C$4,N(U5990),IF(OR(NOT(COUNTIF('商品マスタ'!$B$6:$B$1005,$W5991)=0),COUNTIFS('①在庫を貼る'!$V$6:$V$10005,$V5991,'①在庫を貼る'!$W$6:$W$10005,$W5991)+COUNTIFS('月1回_1ヶ月前の在庫'!$V$6:$V$10005,$V5991,'月1回_1ヶ月前の在庫'!$W$6:$W$10005,$W5991)&gt;0),N(U5990),N(U5990)+1))</f>
        <v/>
      </c>
      <c r="V5991" s="19">
        <f>IF($B5991="","",TEXT($B5991,"0000"))</f>
        <v/>
      </c>
      <c r="W5991" s="19">
        <f>IF($I5991="","",IF(ISNUMBER($I5991),TEXT($I5991,"0"),$I5991))</f>
        <v/>
      </c>
    </row>
    <row r="5992">
      <c r="B5992" s="25" t="n"/>
      <c r="I5992" s="25" t="n"/>
      <c r="U5992" s="19">
        <f>IF($V5992&lt;&gt;'設定'!$C$4,N(U5991),IF(OR(NOT(COUNTIF('商品マスタ'!$B$6:$B$1005,$W5992)=0),COUNTIFS('①在庫を貼る'!$V$6:$V$10005,$V5992,'①在庫を貼る'!$W$6:$W$10005,$W5992)+COUNTIFS('月1回_1ヶ月前の在庫'!$V$6:$V$10005,$V5992,'月1回_1ヶ月前の在庫'!$W$6:$W$10005,$W5992)&gt;0),N(U5991),N(U5991)+1))</f>
        <v/>
      </c>
      <c r="V5992" s="19">
        <f>IF($B5992="","",TEXT($B5992,"0000"))</f>
        <v/>
      </c>
      <c r="W5992" s="19">
        <f>IF($I5992="","",IF(ISNUMBER($I5992),TEXT($I5992,"0"),$I5992))</f>
        <v/>
      </c>
    </row>
    <row r="5993">
      <c r="B5993" s="25" t="n"/>
      <c r="I5993" s="25" t="n"/>
      <c r="U5993" s="19">
        <f>IF($V5993&lt;&gt;'設定'!$C$4,N(U5992),IF(OR(NOT(COUNTIF('商品マスタ'!$B$6:$B$1005,$W5993)=0),COUNTIFS('①在庫を貼る'!$V$6:$V$10005,$V5993,'①在庫を貼る'!$W$6:$W$10005,$W5993)+COUNTIFS('月1回_1ヶ月前の在庫'!$V$6:$V$10005,$V5993,'月1回_1ヶ月前の在庫'!$W$6:$W$10005,$W5993)&gt;0),N(U5992),N(U5992)+1))</f>
        <v/>
      </c>
      <c r="V5993" s="19">
        <f>IF($B5993="","",TEXT($B5993,"0000"))</f>
        <v/>
      </c>
      <c r="W5993" s="19">
        <f>IF($I5993="","",IF(ISNUMBER($I5993),TEXT($I5993,"0"),$I5993))</f>
        <v/>
      </c>
    </row>
    <row r="5994">
      <c r="B5994" s="25" t="n"/>
      <c r="I5994" s="25" t="n"/>
      <c r="U5994" s="19">
        <f>IF($V5994&lt;&gt;'設定'!$C$4,N(U5993),IF(OR(NOT(COUNTIF('商品マスタ'!$B$6:$B$1005,$W5994)=0),COUNTIFS('①在庫を貼る'!$V$6:$V$10005,$V5994,'①在庫を貼る'!$W$6:$W$10005,$W5994)+COUNTIFS('月1回_1ヶ月前の在庫'!$V$6:$V$10005,$V5994,'月1回_1ヶ月前の在庫'!$W$6:$W$10005,$W5994)&gt;0),N(U5993),N(U5993)+1))</f>
        <v/>
      </c>
      <c r="V5994" s="19">
        <f>IF($B5994="","",TEXT($B5994,"0000"))</f>
        <v/>
      </c>
      <c r="W5994" s="19">
        <f>IF($I5994="","",IF(ISNUMBER($I5994),TEXT($I5994,"0"),$I5994))</f>
        <v/>
      </c>
    </row>
    <row r="5995">
      <c r="B5995" s="25" t="n"/>
      <c r="I5995" s="25" t="n"/>
      <c r="U5995" s="19">
        <f>IF($V5995&lt;&gt;'設定'!$C$4,N(U5994),IF(OR(NOT(COUNTIF('商品マスタ'!$B$6:$B$1005,$W5995)=0),COUNTIFS('①在庫を貼る'!$V$6:$V$10005,$V5995,'①在庫を貼る'!$W$6:$W$10005,$W5995)+COUNTIFS('月1回_1ヶ月前の在庫'!$V$6:$V$10005,$V5995,'月1回_1ヶ月前の在庫'!$W$6:$W$10005,$W5995)&gt;0),N(U5994),N(U5994)+1))</f>
        <v/>
      </c>
      <c r="V5995" s="19">
        <f>IF($B5995="","",TEXT($B5995,"0000"))</f>
        <v/>
      </c>
      <c r="W5995" s="19">
        <f>IF($I5995="","",IF(ISNUMBER($I5995),TEXT($I5995,"0"),$I5995))</f>
        <v/>
      </c>
    </row>
    <row r="5996">
      <c r="B5996" s="25" t="n"/>
      <c r="I5996" s="25" t="n"/>
      <c r="U5996" s="19">
        <f>IF($V5996&lt;&gt;'設定'!$C$4,N(U5995),IF(OR(NOT(COUNTIF('商品マスタ'!$B$6:$B$1005,$W5996)=0),COUNTIFS('①在庫を貼る'!$V$6:$V$10005,$V5996,'①在庫を貼る'!$W$6:$W$10005,$W5996)+COUNTIFS('月1回_1ヶ月前の在庫'!$V$6:$V$10005,$V5996,'月1回_1ヶ月前の在庫'!$W$6:$W$10005,$W5996)&gt;0),N(U5995),N(U5995)+1))</f>
        <v/>
      </c>
      <c r="V5996" s="19">
        <f>IF($B5996="","",TEXT($B5996,"0000"))</f>
        <v/>
      </c>
      <c r="W5996" s="19">
        <f>IF($I5996="","",IF(ISNUMBER($I5996),TEXT($I5996,"0"),$I5996))</f>
        <v/>
      </c>
    </row>
    <row r="5997">
      <c r="B5997" s="25" t="n"/>
      <c r="I5997" s="25" t="n"/>
      <c r="U5997" s="19">
        <f>IF($V5997&lt;&gt;'設定'!$C$4,N(U5996),IF(OR(NOT(COUNTIF('商品マスタ'!$B$6:$B$1005,$W5997)=0),COUNTIFS('①在庫を貼る'!$V$6:$V$10005,$V5997,'①在庫を貼る'!$W$6:$W$10005,$W5997)+COUNTIFS('月1回_1ヶ月前の在庫'!$V$6:$V$10005,$V5997,'月1回_1ヶ月前の在庫'!$W$6:$W$10005,$W5997)&gt;0),N(U5996),N(U5996)+1))</f>
        <v/>
      </c>
      <c r="V5997" s="19">
        <f>IF($B5997="","",TEXT($B5997,"0000"))</f>
        <v/>
      </c>
      <c r="W5997" s="19">
        <f>IF($I5997="","",IF(ISNUMBER($I5997),TEXT($I5997,"0"),$I5997))</f>
        <v/>
      </c>
    </row>
    <row r="5998">
      <c r="B5998" s="25" t="n"/>
      <c r="I5998" s="25" t="n"/>
      <c r="U5998" s="19">
        <f>IF($V5998&lt;&gt;'設定'!$C$4,N(U5997),IF(OR(NOT(COUNTIF('商品マスタ'!$B$6:$B$1005,$W5998)=0),COUNTIFS('①在庫を貼る'!$V$6:$V$10005,$V5998,'①在庫を貼る'!$W$6:$W$10005,$W5998)+COUNTIFS('月1回_1ヶ月前の在庫'!$V$6:$V$10005,$V5998,'月1回_1ヶ月前の在庫'!$W$6:$W$10005,$W5998)&gt;0),N(U5997),N(U5997)+1))</f>
        <v/>
      </c>
      <c r="V5998" s="19">
        <f>IF($B5998="","",TEXT($B5998,"0000"))</f>
        <v/>
      </c>
      <c r="W5998" s="19">
        <f>IF($I5998="","",IF(ISNUMBER($I5998),TEXT($I5998,"0"),$I5998))</f>
        <v/>
      </c>
    </row>
    <row r="5999">
      <c r="B5999" s="25" t="n"/>
      <c r="I5999" s="25" t="n"/>
      <c r="U5999" s="19">
        <f>IF($V5999&lt;&gt;'設定'!$C$4,N(U5998),IF(OR(NOT(COUNTIF('商品マスタ'!$B$6:$B$1005,$W5999)=0),COUNTIFS('①在庫を貼る'!$V$6:$V$10005,$V5999,'①在庫を貼る'!$W$6:$W$10005,$W5999)+COUNTIFS('月1回_1ヶ月前の在庫'!$V$6:$V$10005,$V5999,'月1回_1ヶ月前の在庫'!$W$6:$W$10005,$W5999)&gt;0),N(U5998),N(U5998)+1))</f>
        <v/>
      </c>
      <c r="V5999" s="19">
        <f>IF($B5999="","",TEXT($B5999,"0000"))</f>
        <v/>
      </c>
      <c r="W5999" s="19">
        <f>IF($I5999="","",IF(ISNUMBER($I5999),TEXT($I5999,"0"),$I5999))</f>
        <v/>
      </c>
    </row>
    <row r="6000">
      <c r="B6000" s="25" t="n"/>
      <c r="I6000" s="25" t="n"/>
      <c r="U6000" s="19">
        <f>IF($V6000&lt;&gt;'設定'!$C$4,N(U5999),IF(OR(NOT(COUNTIF('商品マスタ'!$B$6:$B$1005,$W6000)=0),COUNTIFS('①在庫を貼る'!$V$6:$V$10005,$V6000,'①在庫を貼る'!$W$6:$W$10005,$W6000)+COUNTIFS('月1回_1ヶ月前の在庫'!$V$6:$V$10005,$V6000,'月1回_1ヶ月前の在庫'!$W$6:$W$10005,$W6000)&gt;0),N(U5999),N(U5999)+1))</f>
        <v/>
      </c>
      <c r="V6000" s="19">
        <f>IF($B6000="","",TEXT($B6000,"0000"))</f>
        <v/>
      </c>
      <c r="W6000" s="19">
        <f>IF($I6000="","",IF(ISNUMBER($I6000),TEXT($I6000,"0"),$I6000))</f>
        <v/>
      </c>
    </row>
    <row r="6001">
      <c r="B6001" s="25" t="n"/>
      <c r="I6001" s="25" t="n"/>
      <c r="U6001" s="19">
        <f>IF($V6001&lt;&gt;'設定'!$C$4,N(U6000),IF(OR(NOT(COUNTIF('商品マスタ'!$B$6:$B$1005,$W6001)=0),COUNTIFS('①在庫を貼る'!$V$6:$V$10005,$V6001,'①在庫を貼る'!$W$6:$W$10005,$W6001)+COUNTIFS('月1回_1ヶ月前の在庫'!$V$6:$V$10005,$V6001,'月1回_1ヶ月前の在庫'!$W$6:$W$10005,$W6001)&gt;0),N(U6000),N(U6000)+1))</f>
        <v/>
      </c>
      <c r="V6001" s="19">
        <f>IF($B6001="","",TEXT($B6001,"0000"))</f>
        <v/>
      </c>
      <c r="W6001" s="19">
        <f>IF($I6001="","",IF(ISNUMBER($I6001),TEXT($I6001,"0"),$I6001))</f>
        <v/>
      </c>
    </row>
    <row r="6002">
      <c r="B6002" s="25" t="n"/>
      <c r="I6002" s="25" t="n"/>
      <c r="U6002" s="19">
        <f>IF($V6002&lt;&gt;'設定'!$C$4,N(U6001),IF(OR(NOT(COUNTIF('商品マスタ'!$B$6:$B$1005,$W6002)=0),COUNTIFS('①在庫を貼る'!$V$6:$V$10005,$V6002,'①在庫を貼る'!$W$6:$W$10005,$W6002)+COUNTIFS('月1回_1ヶ月前の在庫'!$V$6:$V$10005,$V6002,'月1回_1ヶ月前の在庫'!$W$6:$W$10005,$W6002)&gt;0),N(U6001),N(U6001)+1))</f>
        <v/>
      </c>
      <c r="V6002" s="19">
        <f>IF($B6002="","",TEXT($B6002,"0000"))</f>
        <v/>
      </c>
      <c r="W6002" s="19">
        <f>IF($I6002="","",IF(ISNUMBER($I6002),TEXT($I6002,"0"),$I6002))</f>
        <v/>
      </c>
    </row>
    <row r="6003">
      <c r="B6003" s="25" t="n"/>
      <c r="I6003" s="25" t="n"/>
      <c r="U6003" s="19">
        <f>IF($V6003&lt;&gt;'設定'!$C$4,N(U6002),IF(OR(NOT(COUNTIF('商品マスタ'!$B$6:$B$1005,$W6003)=0),COUNTIFS('①在庫を貼る'!$V$6:$V$10005,$V6003,'①在庫を貼る'!$W$6:$W$10005,$W6003)+COUNTIFS('月1回_1ヶ月前の在庫'!$V$6:$V$10005,$V6003,'月1回_1ヶ月前の在庫'!$W$6:$W$10005,$W6003)&gt;0),N(U6002),N(U6002)+1))</f>
        <v/>
      </c>
      <c r="V6003" s="19">
        <f>IF($B6003="","",TEXT($B6003,"0000"))</f>
        <v/>
      </c>
      <c r="W6003" s="19">
        <f>IF($I6003="","",IF(ISNUMBER($I6003),TEXT($I6003,"0"),$I6003))</f>
        <v/>
      </c>
    </row>
    <row r="6004">
      <c r="B6004" s="25" t="n"/>
      <c r="I6004" s="25" t="n"/>
      <c r="U6004" s="19">
        <f>IF($V6004&lt;&gt;'設定'!$C$4,N(U6003),IF(OR(NOT(COUNTIF('商品マスタ'!$B$6:$B$1005,$W6004)=0),COUNTIFS('①在庫を貼る'!$V$6:$V$10005,$V6004,'①在庫を貼る'!$W$6:$W$10005,$W6004)+COUNTIFS('月1回_1ヶ月前の在庫'!$V$6:$V$10005,$V6004,'月1回_1ヶ月前の在庫'!$W$6:$W$10005,$W6004)&gt;0),N(U6003),N(U6003)+1))</f>
        <v/>
      </c>
      <c r="V6004" s="19">
        <f>IF($B6004="","",TEXT($B6004,"0000"))</f>
        <v/>
      </c>
      <c r="W6004" s="19">
        <f>IF($I6004="","",IF(ISNUMBER($I6004),TEXT($I6004,"0"),$I6004))</f>
        <v/>
      </c>
    </row>
    <row r="6005">
      <c r="B6005" s="25" t="n"/>
      <c r="I6005" s="25" t="n"/>
      <c r="U6005" s="19">
        <f>IF($V6005&lt;&gt;'設定'!$C$4,N(U6004),IF(OR(NOT(COUNTIF('商品マスタ'!$B$6:$B$1005,$W6005)=0),COUNTIFS('①在庫を貼る'!$V$6:$V$10005,$V6005,'①在庫を貼る'!$W$6:$W$10005,$W6005)+COUNTIFS('月1回_1ヶ月前の在庫'!$V$6:$V$10005,$V6005,'月1回_1ヶ月前の在庫'!$W$6:$W$10005,$W6005)&gt;0),N(U6004),N(U6004)+1))</f>
        <v/>
      </c>
      <c r="V6005" s="19">
        <f>IF($B6005="","",TEXT($B6005,"0000"))</f>
        <v/>
      </c>
      <c r="W6005" s="19">
        <f>IF($I6005="","",IF(ISNUMBER($I6005),TEXT($I6005,"0"),$I6005))</f>
        <v/>
      </c>
    </row>
    <row r="6006">
      <c r="B6006" s="25" t="n"/>
      <c r="I6006" s="25" t="n"/>
      <c r="U6006" s="19">
        <f>IF($V6006&lt;&gt;'設定'!$C$4,N(U6005),IF(OR(NOT(COUNTIF('商品マスタ'!$B$6:$B$1005,$W6006)=0),COUNTIFS('①在庫を貼る'!$V$6:$V$10005,$V6006,'①在庫を貼る'!$W$6:$W$10005,$W6006)+COUNTIFS('月1回_1ヶ月前の在庫'!$V$6:$V$10005,$V6006,'月1回_1ヶ月前の在庫'!$W$6:$W$10005,$W6006)&gt;0),N(U6005),N(U6005)+1))</f>
        <v/>
      </c>
      <c r="V6006" s="19">
        <f>IF($B6006="","",TEXT($B6006,"0000"))</f>
        <v/>
      </c>
      <c r="W6006" s="19">
        <f>IF($I6006="","",IF(ISNUMBER($I6006),TEXT($I6006,"0"),$I6006))</f>
        <v/>
      </c>
    </row>
    <row r="6007">
      <c r="B6007" s="25" t="n"/>
      <c r="I6007" s="25" t="n"/>
      <c r="U6007" s="19">
        <f>IF($V6007&lt;&gt;'設定'!$C$4,N(U6006),IF(OR(NOT(COUNTIF('商品マスタ'!$B$6:$B$1005,$W6007)=0),COUNTIFS('①在庫を貼る'!$V$6:$V$10005,$V6007,'①在庫を貼る'!$W$6:$W$10005,$W6007)+COUNTIFS('月1回_1ヶ月前の在庫'!$V$6:$V$10005,$V6007,'月1回_1ヶ月前の在庫'!$W$6:$W$10005,$W6007)&gt;0),N(U6006),N(U6006)+1))</f>
        <v/>
      </c>
      <c r="V6007" s="19">
        <f>IF($B6007="","",TEXT($B6007,"0000"))</f>
        <v/>
      </c>
      <c r="W6007" s="19">
        <f>IF($I6007="","",IF(ISNUMBER($I6007),TEXT($I6007,"0"),$I6007))</f>
        <v/>
      </c>
    </row>
    <row r="6008">
      <c r="B6008" s="25" t="n"/>
      <c r="I6008" s="25" t="n"/>
      <c r="U6008" s="19">
        <f>IF($V6008&lt;&gt;'設定'!$C$4,N(U6007),IF(OR(NOT(COUNTIF('商品マスタ'!$B$6:$B$1005,$W6008)=0),COUNTIFS('①在庫を貼る'!$V$6:$V$10005,$V6008,'①在庫を貼る'!$W$6:$W$10005,$W6008)+COUNTIFS('月1回_1ヶ月前の在庫'!$V$6:$V$10005,$V6008,'月1回_1ヶ月前の在庫'!$W$6:$W$10005,$W6008)&gt;0),N(U6007),N(U6007)+1))</f>
        <v/>
      </c>
      <c r="V6008" s="19">
        <f>IF($B6008="","",TEXT($B6008,"0000"))</f>
        <v/>
      </c>
      <c r="W6008" s="19">
        <f>IF($I6008="","",IF(ISNUMBER($I6008),TEXT($I6008,"0"),$I6008))</f>
        <v/>
      </c>
    </row>
    <row r="6009">
      <c r="B6009" s="25" t="n"/>
      <c r="I6009" s="25" t="n"/>
      <c r="U6009" s="19">
        <f>IF($V6009&lt;&gt;'設定'!$C$4,N(U6008),IF(OR(NOT(COUNTIF('商品マスタ'!$B$6:$B$1005,$W6009)=0),COUNTIFS('①在庫を貼る'!$V$6:$V$10005,$V6009,'①在庫を貼る'!$W$6:$W$10005,$W6009)+COUNTIFS('月1回_1ヶ月前の在庫'!$V$6:$V$10005,$V6009,'月1回_1ヶ月前の在庫'!$W$6:$W$10005,$W6009)&gt;0),N(U6008),N(U6008)+1))</f>
        <v/>
      </c>
      <c r="V6009" s="19">
        <f>IF($B6009="","",TEXT($B6009,"0000"))</f>
        <v/>
      </c>
      <c r="W6009" s="19">
        <f>IF($I6009="","",IF(ISNUMBER($I6009),TEXT($I6009,"0"),$I6009))</f>
        <v/>
      </c>
    </row>
    <row r="6010">
      <c r="B6010" s="25" t="n"/>
      <c r="I6010" s="25" t="n"/>
      <c r="U6010" s="19">
        <f>IF($V6010&lt;&gt;'設定'!$C$4,N(U6009),IF(OR(NOT(COUNTIF('商品マスタ'!$B$6:$B$1005,$W6010)=0),COUNTIFS('①在庫を貼る'!$V$6:$V$10005,$V6010,'①在庫を貼る'!$W$6:$W$10005,$W6010)+COUNTIFS('月1回_1ヶ月前の在庫'!$V$6:$V$10005,$V6010,'月1回_1ヶ月前の在庫'!$W$6:$W$10005,$W6010)&gt;0),N(U6009),N(U6009)+1))</f>
        <v/>
      </c>
      <c r="V6010" s="19">
        <f>IF($B6010="","",TEXT($B6010,"0000"))</f>
        <v/>
      </c>
      <c r="W6010" s="19">
        <f>IF($I6010="","",IF(ISNUMBER($I6010),TEXT($I6010,"0"),$I6010))</f>
        <v/>
      </c>
    </row>
    <row r="6011">
      <c r="B6011" s="25" t="n"/>
      <c r="I6011" s="25" t="n"/>
      <c r="U6011" s="19">
        <f>IF($V6011&lt;&gt;'設定'!$C$4,N(U6010),IF(OR(NOT(COUNTIF('商品マスタ'!$B$6:$B$1005,$W6011)=0),COUNTIFS('①在庫を貼る'!$V$6:$V$10005,$V6011,'①在庫を貼る'!$W$6:$W$10005,$W6011)+COUNTIFS('月1回_1ヶ月前の在庫'!$V$6:$V$10005,$V6011,'月1回_1ヶ月前の在庫'!$W$6:$W$10005,$W6011)&gt;0),N(U6010),N(U6010)+1))</f>
        <v/>
      </c>
      <c r="V6011" s="19">
        <f>IF($B6011="","",TEXT($B6011,"0000"))</f>
        <v/>
      </c>
      <c r="W6011" s="19">
        <f>IF($I6011="","",IF(ISNUMBER($I6011),TEXT($I6011,"0"),$I6011))</f>
        <v/>
      </c>
    </row>
    <row r="6012">
      <c r="B6012" s="25" t="n"/>
      <c r="I6012" s="25" t="n"/>
      <c r="U6012" s="19">
        <f>IF($V6012&lt;&gt;'設定'!$C$4,N(U6011),IF(OR(NOT(COUNTIF('商品マスタ'!$B$6:$B$1005,$W6012)=0),COUNTIFS('①在庫を貼る'!$V$6:$V$10005,$V6012,'①在庫を貼る'!$W$6:$W$10005,$W6012)+COUNTIFS('月1回_1ヶ月前の在庫'!$V$6:$V$10005,$V6012,'月1回_1ヶ月前の在庫'!$W$6:$W$10005,$W6012)&gt;0),N(U6011),N(U6011)+1))</f>
        <v/>
      </c>
      <c r="V6012" s="19">
        <f>IF($B6012="","",TEXT($B6012,"0000"))</f>
        <v/>
      </c>
      <c r="W6012" s="19">
        <f>IF($I6012="","",IF(ISNUMBER($I6012),TEXT($I6012,"0"),$I6012))</f>
        <v/>
      </c>
    </row>
    <row r="6013">
      <c r="B6013" s="25" t="n"/>
      <c r="I6013" s="25" t="n"/>
      <c r="U6013" s="19">
        <f>IF($V6013&lt;&gt;'設定'!$C$4,N(U6012),IF(OR(NOT(COUNTIF('商品マスタ'!$B$6:$B$1005,$W6013)=0),COUNTIFS('①在庫を貼る'!$V$6:$V$10005,$V6013,'①在庫を貼る'!$W$6:$W$10005,$W6013)+COUNTIFS('月1回_1ヶ月前の在庫'!$V$6:$V$10005,$V6013,'月1回_1ヶ月前の在庫'!$W$6:$W$10005,$W6013)&gt;0),N(U6012),N(U6012)+1))</f>
        <v/>
      </c>
      <c r="V6013" s="19">
        <f>IF($B6013="","",TEXT($B6013,"0000"))</f>
        <v/>
      </c>
      <c r="W6013" s="19">
        <f>IF($I6013="","",IF(ISNUMBER($I6013),TEXT($I6013,"0"),$I6013))</f>
        <v/>
      </c>
    </row>
    <row r="6014">
      <c r="B6014" s="25" t="n"/>
      <c r="I6014" s="25" t="n"/>
      <c r="U6014" s="19">
        <f>IF($V6014&lt;&gt;'設定'!$C$4,N(U6013),IF(OR(NOT(COUNTIF('商品マスタ'!$B$6:$B$1005,$W6014)=0),COUNTIFS('①在庫を貼る'!$V$6:$V$10005,$V6014,'①在庫を貼る'!$W$6:$W$10005,$W6014)+COUNTIFS('月1回_1ヶ月前の在庫'!$V$6:$V$10005,$V6014,'月1回_1ヶ月前の在庫'!$W$6:$W$10005,$W6014)&gt;0),N(U6013),N(U6013)+1))</f>
        <v/>
      </c>
      <c r="V6014" s="19">
        <f>IF($B6014="","",TEXT($B6014,"0000"))</f>
        <v/>
      </c>
      <c r="W6014" s="19">
        <f>IF($I6014="","",IF(ISNUMBER($I6014),TEXT($I6014,"0"),$I6014))</f>
        <v/>
      </c>
    </row>
    <row r="6015">
      <c r="B6015" s="25" t="n"/>
      <c r="I6015" s="25" t="n"/>
      <c r="U6015" s="19">
        <f>IF($V6015&lt;&gt;'設定'!$C$4,N(U6014),IF(OR(NOT(COUNTIF('商品マスタ'!$B$6:$B$1005,$W6015)=0),COUNTIFS('①在庫を貼る'!$V$6:$V$10005,$V6015,'①在庫を貼る'!$W$6:$W$10005,$W6015)+COUNTIFS('月1回_1ヶ月前の在庫'!$V$6:$V$10005,$V6015,'月1回_1ヶ月前の在庫'!$W$6:$W$10005,$W6015)&gt;0),N(U6014),N(U6014)+1))</f>
        <v/>
      </c>
      <c r="V6015" s="19">
        <f>IF($B6015="","",TEXT($B6015,"0000"))</f>
        <v/>
      </c>
      <c r="W6015" s="19">
        <f>IF($I6015="","",IF(ISNUMBER($I6015),TEXT($I6015,"0"),$I6015))</f>
        <v/>
      </c>
    </row>
    <row r="6016">
      <c r="B6016" s="25" t="n"/>
      <c r="I6016" s="25" t="n"/>
      <c r="U6016" s="19">
        <f>IF($V6016&lt;&gt;'設定'!$C$4,N(U6015),IF(OR(NOT(COUNTIF('商品マスタ'!$B$6:$B$1005,$W6016)=0),COUNTIFS('①在庫を貼る'!$V$6:$V$10005,$V6016,'①在庫を貼る'!$W$6:$W$10005,$W6016)+COUNTIFS('月1回_1ヶ月前の在庫'!$V$6:$V$10005,$V6016,'月1回_1ヶ月前の在庫'!$W$6:$W$10005,$W6016)&gt;0),N(U6015),N(U6015)+1))</f>
        <v/>
      </c>
      <c r="V6016" s="19">
        <f>IF($B6016="","",TEXT($B6016,"0000"))</f>
        <v/>
      </c>
      <c r="W6016" s="19">
        <f>IF($I6016="","",IF(ISNUMBER($I6016),TEXT($I6016,"0"),$I6016))</f>
        <v/>
      </c>
    </row>
    <row r="6017">
      <c r="B6017" s="25" t="n"/>
      <c r="I6017" s="25" t="n"/>
      <c r="U6017" s="19">
        <f>IF($V6017&lt;&gt;'設定'!$C$4,N(U6016),IF(OR(NOT(COUNTIF('商品マスタ'!$B$6:$B$1005,$W6017)=0),COUNTIFS('①在庫を貼る'!$V$6:$V$10005,$V6017,'①在庫を貼る'!$W$6:$W$10005,$W6017)+COUNTIFS('月1回_1ヶ月前の在庫'!$V$6:$V$10005,$V6017,'月1回_1ヶ月前の在庫'!$W$6:$W$10005,$W6017)&gt;0),N(U6016),N(U6016)+1))</f>
        <v/>
      </c>
      <c r="V6017" s="19">
        <f>IF($B6017="","",TEXT($B6017,"0000"))</f>
        <v/>
      </c>
      <c r="W6017" s="19">
        <f>IF($I6017="","",IF(ISNUMBER($I6017),TEXT($I6017,"0"),$I6017))</f>
        <v/>
      </c>
    </row>
    <row r="6018">
      <c r="B6018" s="25" t="n"/>
      <c r="I6018" s="25" t="n"/>
      <c r="U6018" s="19">
        <f>IF($V6018&lt;&gt;'設定'!$C$4,N(U6017),IF(OR(NOT(COUNTIF('商品マスタ'!$B$6:$B$1005,$W6018)=0),COUNTIFS('①在庫を貼る'!$V$6:$V$10005,$V6018,'①在庫を貼る'!$W$6:$W$10005,$W6018)+COUNTIFS('月1回_1ヶ月前の在庫'!$V$6:$V$10005,$V6018,'月1回_1ヶ月前の在庫'!$W$6:$W$10005,$W6018)&gt;0),N(U6017),N(U6017)+1))</f>
        <v/>
      </c>
      <c r="V6018" s="19">
        <f>IF($B6018="","",TEXT($B6018,"0000"))</f>
        <v/>
      </c>
      <c r="W6018" s="19">
        <f>IF($I6018="","",IF(ISNUMBER($I6018),TEXT($I6018,"0"),$I6018))</f>
        <v/>
      </c>
    </row>
    <row r="6019">
      <c r="B6019" s="25" t="n"/>
      <c r="I6019" s="25" t="n"/>
      <c r="U6019" s="19">
        <f>IF($V6019&lt;&gt;'設定'!$C$4,N(U6018),IF(OR(NOT(COUNTIF('商品マスタ'!$B$6:$B$1005,$W6019)=0),COUNTIFS('①在庫を貼る'!$V$6:$V$10005,$V6019,'①在庫を貼る'!$W$6:$W$10005,$W6019)+COUNTIFS('月1回_1ヶ月前の在庫'!$V$6:$V$10005,$V6019,'月1回_1ヶ月前の在庫'!$W$6:$W$10005,$W6019)&gt;0),N(U6018),N(U6018)+1))</f>
        <v/>
      </c>
      <c r="V6019" s="19">
        <f>IF($B6019="","",TEXT($B6019,"0000"))</f>
        <v/>
      </c>
      <c r="W6019" s="19">
        <f>IF($I6019="","",IF(ISNUMBER($I6019),TEXT($I6019,"0"),$I6019))</f>
        <v/>
      </c>
    </row>
    <row r="6020">
      <c r="B6020" s="25" t="n"/>
      <c r="I6020" s="25" t="n"/>
      <c r="U6020" s="19">
        <f>IF($V6020&lt;&gt;'設定'!$C$4,N(U6019),IF(OR(NOT(COUNTIF('商品マスタ'!$B$6:$B$1005,$W6020)=0),COUNTIFS('①在庫を貼る'!$V$6:$V$10005,$V6020,'①在庫を貼る'!$W$6:$W$10005,$W6020)+COUNTIFS('月1回_1ヶ月前の在庫'!$V$6:$V$10005,$V6020,'月1回_1ヶ月前の在庫'!$W$6:$W$10005,$W6020)&gt;0),N(U6019),N(U6019)+1))</f>
        <v/>
      </c>
      <c r="V6020" s="19">
        <f>IF($B6020="","",TEXT($B6020,"0000"))</f>
        <v/>
      </c>
      <c r="W6020" s="19">
        <f>IF($I6020="","",IF(ISNUMBER($I6020),TEXT($I6020,"0"),$I6020))</f>
        <v/>
      </c>
    </row>
    <row r="6021">
      <c r="B6021" s="25" t="n"/>
      <c r="I6021" s="25" t="n"/>
      <c r="U6021" s="19">
        <f>IF($V6021&lt;&gt;'設定'!$C$4,N(U6020),IF(OR(NOT(COUNTIF('商品マスタ'!$B$6:$B$1005,$W6021)=0),COUNTIFS('①在庫を貼る'!$V$6:$V$10005,$V6021,'①在庫を貼る'!$W$6:$W$10005,$W6021)+COUNTIFS('月1回_1ヶ月前の在庫'!$V$6:$V$10005,$V6021,'月1回_1ヶ月前の在庫'!$W$6:$W$10005,$W6021)&gt;0),N(U6020),N(U6020)+1))</f>
        <v/>
      </c>
      <c r="V6021" s="19">
        <f>IF($B6021="","",TEXT($B6021,"0000"))</f>
        <v/>
      </c>
      <c r="W6021" s="19">
        <f>IF($I6021="","",IF(ISNUMBER($I6021),TEXT($I6021,"0"),$I6021))</f>
        <v/>
      </c>
    </row>
    <row r="6022">
      <c r="B6022" s="25" t="n"/>
      <c r="I6022" s="25" t="n"/>
      <c r="U6022" s="19">
        <f>IF($V6022&lt;&gt;'設定'!$C$4,N(U6021),IF(OR(NOT(COUNTIF('商品マスタ'!$B$6:$B$1005,$W6022)=0),COUNTIFS('①在庫を貼る'!$V$6:$V$10005,$V6022,'①在庫を貼る'!$W$6:$W$10005,$W6022)+COUNTIFS('月1回_1ヶ月前の在庫'!$V$6:$V$10005,$V6022,'月1回_1ヶ月前の在庫'!$W$6:$W$10005,$W6022)&gt;0),N(U6021),N(U6021)+1))</f>
        <v/>
      </c>
      <c r="V6022" s="19">
        <f>IF($B6022="","",TEXT($B6022,"0000"))</f>
        <v/>
      </c>
      <c r="W6022" s="19">
        <f>IF($I6022="","",IF(ISNUMBER($I6022),TEXT($I6022,"0"),$I6022))</f>
        <v/>
      </c>
    </row>
    <row r="6023">
      <c r="B6023" s="25" t="n"/>
      <c r="I6023" s="25" t="n"/>
      <c r="U6023" s="19">
        <f>IF($V6023&lt;&gt;'設定'!$C$4,N(U6022),IF(OR(NOT(COUNTIF('商品マスタ'!$B$6:$B$1005,$W6023)=0),COUNTIFS('①在庫を貼る'!$V$6:$V$10005,$V6023,'①在庫を貼る'!$W$6:$W$10005,$W6023)+COUNTIFS('月1回_1ヶ月前の在庫'!$V$6:$V$10005,$V6023,'月1回_1ヶ月前の在庫'!$W$6:$W$10005,$W6023)&gt;0),N(U6022),N(U6022)+1))</f>
        <v/>
      </c>
      <c r="V6023" s="19">
        <f>IF($B6023="","",TEXT($B6023,"0000"))</f>
        <v/>
      </c>
      <c r="W6023" s="19">
        <f>IF($I6023="","",IF(ISNUMBER($I6023),TEXT($I6023,"0"),$I6023))</f>
        <v/>
      </c>
    </row>
    <row r="6024">
      <c r="B6024" s="25" t="n"/>
      <c r="I6024" s="25" t="n"/>
      <c r="U6024" s="19">
        <f>IF($V6024&lt;&gt;'設定'!$C$4,N(U6023),IF(OR(NOT(COUNTIF('商品マスタ'!$B$6:$B$1005,$W6024)=0),COUNTIFS('①在庫を貼る'!$V$6:$V$10005,$V6024,'①在庫を貼る'!$W$6:$W$10005,$W6024)+COUNTIFS('月1回_1ヶ月前の在庫'!$V$6:$V$10005,$V6024,'月1回_1ヶ月前の在庫'!$W$6:$W$10005,$W6024)&gt;0),N(U6023),N(U6023)+1))</f>
        <v/>
      </c>
      <c r="V6024" s="19">
        <f>IF($B6024="","",TEXT($B6024,"0000"))</f>
        <v/>
      </c>
      <c r="W6024" s="19">
        <f>IF($I6024="","",IF(ISNUMBER($I6024),TEXT($I6024,"0"),$I6024))</f>
        <v/>
      </c>
    </row>
    <row r="6025">
      <c r="B6025" s="25" t="n"/>
      <c r="I6025" s="25" t="n"/>
      <c r="U6025" s="19">
        <f>IF($V6025&lt;&gt;'設定'!$C$4,N(U6024),IF(OR(NOT(COUNTIF('商品マスタ'!$B$6:$B$1005,$W6025)=0),COUNTIFS('①在庫を貼る'!$V$6:$V$10005,$V6025,'①在庫を貼る'!$W$6:$W$10005,$W6025)+COUNTIFS('月1回_1ヶ月前の在庫'!$V$6:$V$10005,$V6025,'月1回_1ヶ月前の在庫'!$W$6:$W$10005,$W6025)&gt;0),N(U6024),N(U6024)+1))</f>
        <v/>
      </c>
      <c r="V6025" s="19">
        <f>IF($B6025="","",TEXT($B6025,"0000"))</f>
        <v/>
      </c>
      <c r="W6025" s="19">
        <f>IF($I6025="","",IF(ISNUMBER($I6025),TEXT($I6025,"0"),$I6025))</f>
        <v/>
      </c>
    </row>
    <row r="6026">
      <c r="B6026" s="25" t="n"/>
      <c r="I6026" s="25" t="n"/>
      <c r="U6026" s="19">
        <f>IF($V6026&lt;&gt;'設定'!$C$4,N(U6025),IF(OR(NOT(COUNTIF('商品マスタ'!$B$6:$B$1005,$W6026)=0),COUNTIFS('①在庫を貼る'!$V$6:$V$10005,$V6026,'①在庫を貼る'!$W$6:$W$10005,$W6026)+COUNTIFS('月1回_1ヶ月前の在庫'!$V$6:$V$10005,$V6026,'月1回_1ヶ月前の在庫'!$W$6:$W$10005,$W6026)&gt;0),N(U6025),N(U6025)+1))</f>
        <v/>
      </c>
      <c r="V6026" s="19">
        <f>IF($B6026="","",TEXT($B6026,"0000"))</f>
        <v/>
      </c>
      <c r="W6026" s="19">
        <f>IF($I6026="","",IF(ISNUMBER($I6026),TEXT($I6026,"0"),$I6026))</f>
        <v/>
      </c>
    </row>
    <row r="6027">
      <c r="B6027" s="25" t="n"/>
      <c r="I6027" s="25" t="n"/>
      <c r="U6027" s="19">
        <f>IF($V6027&lt;&gt;'設定'!$C$4,N(U6026),IF(OR(NOT(COUNTIF('商品マスタ'!$B$6:$B$1005,$W6027)=0),COUNTIFS('①在庫を貼る'!$V$6:$V$10005,$V6027,'①在庫を貼る'!$W$6:$W$10005,$W6027)+COUNTIFS('月1回_1ヶ月前の在庫'!$V$6:$V$10005,$V6027,'月1回_1ヶ月前の在庫'!$W$6:$W$10005,$W6027)&gt;0),N(U6026),N(U6026)+1))</f>
        <v/>
      </c>
      <c r="V6027" s="19">
        <f>IF($B6027="","",TEXT($B6027,"0000"))</f>
        <v/>
      </c>
      <c r="W6027" s="19">
        <f>IF($I6027="","",IF(ISNUMBER($I6027),TEXT($I6027,"0"),$I6027))</f>
        <v/>
      </c>
    </row>
    <row r="6028">
      <c r="B6028" s="25" t="n"/>
      <c r="I6028" s="25" t="n"/>
      <c r="U6028" s="19">
        <f>IF($V6028&lt;&gt;'設定'!$C$4,N(U6027),IF(OR(NOT(COUNTIF('商品マスタ'!$B$6:$B$1005,$W6028)=0),COUNTIFS('①在庫を貼る'!$V$6:$V$10005,$V6028,'①在庫を貼る'!$W$6:$W$10005,$W6028)+COUNTIFS('月1回_1ヶ月前の在庫'!$V$6:$V$10005,$V6028,'月1回_1ヶ月前の在庫'!$W$6:$W$10005,$W6028)&gt;0),N(U6027),N(U6027)+1))</f>
        <v/>
      </c>
      <c r="V6028" s="19">
        <f>IF($B6028="","",TEXT($B6028,"0000"))</f>
        <v/>
      </c>
      <c r="W6028" s="19">
        <f>IF($I6028="","",IF(ISNUMBER($I6028),TEXT($I6028,"0"),$I6028))</f>
        <v/>
      </c>
    </row>
    <row r="6029">
      <c r="B6029" s="25" t="n"/>
      <c r="I6029" s="25" t="n"/>
      <c r="U6029" s="19">
        <f>IF($V6029&lt;&gt;'設定'!$C$4,N(U6028),IF(OR(NOT(COUNTIF('商品マスタ'!$B$6:$B$1005,$W6029)=0),COUNTIFS('①在庫を貼る'!$V$6:$V$10005,$V6029,'①在庫を貼る'!$W$6:$W$10005,$W6029)+COUNTIFS('月1回_1ヶ月前の在庫'!$V$6:$V$10005,$V6029,'月1回_1ヶ月前の在庫'!$W$6:$W$10005,$W6029)&gt;0),N(U6028),N(U6028)+1))</f>
        <v/>
      </c>
      <c r="V6029" s="19">
        <f>IF($B6029="","",TEXT($B6029,"0000"))</f>
        <v/>
      </c>
      <c r="W6029" s="19">
        <f>IF($I6029="","",IF(ISNUMBER($I6029),TEXT($I6029,"0"),$I6029))</f>
        <v/>
      </c>
    </row>
    <row r="6030">
      <c r="B6030" s="25" t="n"/>
      <c r="I6030" s="25" t="n"/>
      <c r="U6030" s="19">
        <f>IF($V6030&lt;&gt;'設定'!$C$4,N(U6029),IF(OR(NOT(COUNTIF('商品マスタ'!$B$6:$B$1005,$W6030)=0),COUNTIFS('①在庫を貼る'!$V$6:$V$10005,$V6030,'①在庫を貼る'!$W$6:$W$10005,$W6030)+COUNTIFS('月1回_1ヶ月前の在庫'!$V$6:$V$10005,$V6030,'月1回_1ヶ月前の在庫'!$W$6:$W$10005,$W6030)&gt;0),N(U6029),N(U6029)+1))</f>
        <v/>
      </c>
      <c r="V6030" s="19">
        <f>IF($B6030="","",TEXT($B6030,"0000"))</f>
        <v/>
      </c>
      <c r="W6030" s="19">
        <f>IF($I6030="","",IF(ISNUMBER($I6030),TEXT($I6030,"0"),$I6030))</f>
        <v/>
      </c>
    </row>
    <row r="6031">
      <c r="B6031" s="25" t="n"/>
      <c r="I6031" s="25" t="n"/>
      <c r="U6031" s="19">
        <f>IF($V6031&lt;&gt;'設定'!$C$4,N(U6030),IF(OR(NOT(COUNTIF('商品マスタ'!$B$6:$B$1005,$W6031)=0),COUNTIFS('①在庫を貼る'!$V$6:$V$10005,$V6031,'①在庫を貼る'!$W$6:$W$10005,$W6031)+COUNTIFS('月1回_1ヶ月前の在庫'!$V$6:$V$10005,$V6031,'月1回_1ヶ月前の在庫'!$W$6:$W$10005,$W6031)&gt;0),N(U6030),N(U6030)+1))</f>
        <v/>
      </c>
      <c r="V6031" s="19">
        <f>IF($B6031="","",TEXT($B6031,"0000"))</f>
        <v/>
      </c>
      <c r="W6031" s="19">
        <f>IF($I6031="","",IF(ISNUMBER($I6031),TEXT($I6031,"0"),$I6031))</f>
        <v/>
      </c>
    </row>
    <row r="6032">
      <c r="B6032" s="25" t="n"/>
      <c r="I6032" s="25" t="n"/>
      <c r="U6032" s="19">
        <f>IF($V6032&lt;&gt;'設定'!$C$4,N(U6031),IF(OR(NOT(COUNTIF('商品マスタ'!$B$6:$B$1005,$W6032)=0),COUNTIFS('①在庫を貼る'!$V$6:$V$10005,$V6032,'①在庫を貼る'!$W$6:$W$10005,$W6032)+COUNTIFS('月1回_1ヶ月前の在庫'!$V$6:$V$10005,$V6032,'月1回_1ヶ月前の在庫'!$W$6:$W$10005,$W6032)&gt;0),N(U6031),N(U6031)+1))</f>
        <v/>
      </c>
      <c r="V6032" s="19">
        <f>IF($B6032="","",TEXT($B6032,"0000"))</f>
        <v/>
      </c>
      <c r="W6032" s="19">
        <f>IF($I6032="","",IF(ISNUMBER($I6032),TEXT($I6032,"0"),$I6032))</f>
        <v/>
      </c>
    </row>
    <row r="6033">
      <c r="B6033" s="25" t="n"/>
      <c r="I6033" s="25" t="n"/>
      <c r="U6033" s="19">
        <f>IF($V6033&lt;&gt;'設定'!$C$4,N(U6032),IF(OR(NOT(COUNTIF('商品マスタ'!$B$6:$B$1005,$W6033)=0),COUNTIFS('①在庫を貼る'!$V$6:$V$10005,$V6033,'①在庫を貼る'!$W$6:$W$10005,$W6033)+COUNTIFS('月1回_1ヶ月前の在庫'!$V$6:$V$10005,$V6033,'月1回_1ヶ月前の在庫'!$W$6:$W$10005,$W6033)&gt;0),N(U6032),N(U6032)+1))</f>
        <v/>
      </c>
      <c r="V6033" s="19">
        <f>IF($B6033="","",TEXT($B6033,"0000"))</f>
        <v/>
      </c>
      <c r="W6033" s="19">
        <f>IF($I6033="","",IF(ISNUMBER($I6033),TEXT($I6033,"0"),$I6033))</f>
        <v/>
      </c>
    </row>
    <row r="6034">
      <c r="B6034" s="25" t="n"/>
      <c r="I6034" s="25" t="n"/>
      <c r="U6034" s="19">
        <f>IF($V6034&lt;&gt;'設定'!$C$4,N(U6033),IF(OR(NOT(COUNTIF('商品マスタ'!$B$6:$B$1005,$W6034)=0),COUNTIFS('①在庫を貼る'!$V$6:$V$10005,$V6034,'①在庫を貼る'!$W$6:$W$10005,$W6034)+COUNTIFS('月1回_1ヶ月前の在庫'!$V$6:$V$10005,$V6034,'月1回_1ヶ月前の在庫'!$W$6:$W$10005,$W6034)&gt;0),N(U6033),N(U6033)+1))</f>
        <v/>
      </c>
      <c r="V6034" s="19">
        <f>IF($B6034="","",TEXT($B6034,"0000"))</f>
        <v/>
      </c>
      <c r="W6034" s="19">
        <f>IF($I6034="","",IF(ISNUMBER($I6034),TEXT($I6034,"0"),$I6034))</f>
        <v/>
      </c>
    </row>
    <row r="6035">
      <c r="B6035" s="25" t="n"/>
      <c r="I6035" s="25" t="n"/>
      <c r="U6035" s="19">
        <f>IF($V6035&lt;&gt;'設定'!$C$4,N(U6034),IF(OR(NOT(COUNTIF('商品マスタ'!$B$6:$B$1005,$W6035)=0),COUNTIFS('①在庫を貼る'!$V$6:$V$10005,$V6035,'①在庫を貼る'!$W$6:$W$10005,$W6035)+COUNTIFS('月1回_1ヶ月前の在庫'!$V$6:$V$10005,$V6035,'月1回_1ヶ月前の在庫'!$W$6:$W$10005,$W6035)&gt;0),N(U6034),N(U6034)+1))</f>
        <v/>
      </c>
      <c r="V6035" s="19">
        <f>IF($B6035="","",TEXT($B6035,"0000"))</f>
        <v/>
      </c>
      <c r="W6035" s="19">
        <f>IF($I6035="","",IF(ISNUMBER($I6035),TEXT($I6035,"0"),$I6035))</f>
        <v/>
      </c>
    </row>
    <row r="6036">
      <c r="B6036" s="25" t="n"/>
      <c r="I6036" s="25" t="n"/>
      <c r="U6036" s="19">
        <f>IF($V6036&lt;&gt;'設定'!$C$4,N(U6035),IF(OR(NOT(COUNTIF('商品マスタ'!$B$6:$B$1005,$W6036)=0),COUNTIFS('①在庫を貼る'!$V$6:$V$10005,$V6036,'①在庫を貼る'!$W$6:$W$10005,$W6036)+COUNTIFS('月1回_1ヶ月前の在庫'!$V$6:$V$10005,$V6036,'月1回_1ヶ月前の在庫'!$W$6:$W$10005,$W6036)&gt;0),N(U6035),N(U6035)+1))</f>
        <v/>
      </c>
      <c r="V6036" s="19">
        <f>IF($B6036="","",TEXT($B6036,"0000"))</f>
        <v/>
      </c>
      <c r="W6036" s="19">
        <f>IF($I6036="","",IF(ISNUMBER($I6036),TEXT($I6036,"0"),$I6036))</f>
        <v/>
      </c>
    </row>
    <row r="6037">
      <c r="B6037" s="25" t="n"/>
      <c r="I6037" s="25" t="n"/>
      <c r="U6037" s="19">
        <f>IF($V6037&lt;&gt;'設定'!$C$4,N(U6036),IF(OR(NOT(COUNTIF('商品マスタ'!$B$6:$B$1005,$W6037)=0),COUNTIFS('①在庫を貼る'!$V$6:$V$10005,$V6037,'①在庫を貼る'!$W$6:$W$10005,$W6037)+COUNTIFS('月1回_1ヶ月前の在庫'!$V$6:$V$10005,$V6037,'月1回_1ヶ月前の在庫'!$W$6:$W$10005,$W6037)&gt;0),N(U6036),N(U6036)+1))</f>
        <v/>
      </c>
      <c r="V6037" s="19">
        <f>IF($B6037="","",TEXT($B6037,"0000"))</f>
        <v/>
      </c>
      <c r="W6037" s="19">
        <f>IF($I6037="","",IF(ISNUMBER($I6037),TEXT($I6037,"0"),$I6037))</f>
        <v/>
      </c>
    </row>
    <row r="6038">
      <c r="B6038" s="25" t="n"/>
      <c r="I6038" s="25" t="n"/>
      <c r="U6038" s="19">
        <f>IF($V6038&lt;&gt;'設定'!$C$4,N(U6037),IF(OR(NOT(COUNTIF('商品マスタ'!$B$6:$B$1005,$W6038)=0),COUNTIFS('①在庫を貼る'!$V$6:$V$10005,$V6038,'①在庫を貼る'!$W$6:$W$10005,$W6038)+COUNTIFS('月1回_1ヶ月前の在庫'!$V$6:$V$10005,$V6038,'月1回_1ヶ月前の在庫'!$W$6:$W$10005,$W6038)&gt;0),N(U6037),N(U6037)+1))</f>
        <v/>
      </c>
      <c r="V6038" s="19">
        <f>IF($B6038="","",TEXT($B6038,"0000"))</f>
        <v/>
      </c>
      <c r="W6038" s="19">
        <f>IF($I6038="","",IF(ISNUMBER($I6038),TEXT($I6038,"0"),$I6038))</f>
        <v/>
      </c>
    </row>
    <row r="6039">
      <c r="B6039" s="25" t="n"/>
      <c r="I6039" s="25" t="n"/>
      <c r="U6039" s="19">
        <f>IF($V6039&lt;&gt;'設定'!$C$4,N(U6038),IF(OR(NOT(COUNTIF('商品マスタ'!$B$6:$B$1005,$W6039)=0),COUNTIFS('①在庫を貼る'!$V$6:$V$10005,$V6039,'①在庫を貼る'!$W$6:$W$10005,$W6039)+COUNTIFS('月1回_1ヶ月前の在庫'!$V$6:$V$10005,$V6039,'月1回_1ヶ月前の在庫'!$W$6:$W$10005,$W6039)&gt;0),N(U6038),N(U6038)+1))</f>
        <v/>
      </c>
      <c r="V6039" s="19">
        <f>IF($B6039="","",TEXT($B6039,"0000"))</f>
        <v/>
      </c>
      <c r="W6039" s="19">
        <f>IF($I6039="","",IF(ISNUMBER($I6039),TEXT($I6039,"0"),$I6039))</f>
        <v/>
      </c>
    </row>
    <row r="6040">
      <c r="B6040" s="25" t="n"/>
      <c r="I6040" s="25" t="n"/>
      <c r="U6040" s="19">
        <f>IF($V6040&lt;&gt;'設定'!$C$4,N(U6039),IF(OR(NOT(COUNTIF('商品マスタ'!$B$6:$B$1005,$W6040)=0),COUNTIFS('①在庫を貼る'!$V$6:$V$10005,$V6040,'①在庫を貼る'!$W$6:$W$10005,$W6040)+COUNTIFS('月1回_1ヶ月前の在庫'!$V$6:$V$10005,$V6040,'月1回_1ヶ月前の在庫'!$W$6:$W$10005,$W6040)&gt;0),N(U6039),N(U6039)+1))</f>
        <v/>
      </c>
      <c r="V6040" s="19">
        <f>IF($B6040="","",TEXT($B6040,"0000"))</f>
        <v/>
      </c>
      <c r="W6040" s="19">
        <f>IF($I6040="","",IF(ISNUMBER($I6040),TEXT($I6040,"0"),$I6040))</f>
        <v/>
      </c>
    </row>
    <row r="6041">
      <c r="B6041" s="25" t="n"/>
      <c r="I6041" s="25" t="n"/>
      <c r="U6041" s="19">
        <f>IF($V6041&lt;&gt;'設定'!$C$4,N(U6040),IF(OR(NOT(COUNTIF('商品マスタ'!$B$6:$B$1005,$W6041)=0),COUNTIFS('①在庫を貼る'!$V$6:$V$10005,$V6041,'①在庫を貼る'!$W$6:$W$10005,$W6041)+COUNTIFS('月1回_1ヶ月前の在庫'!$V$6:$V$10005,$V6041,'月1回_1ヶ月前の在庫'!$W$6:$W$10005,$W6041)&gt;0),N(U6040),N(U6040)+1))</f>
        <v/>
      </c>
      <c r="V6041" s="19">
        <f>IF($B6041="","",TEXT($B6041,"0000"))</f>
        <v/>
      </c>
      <c r="W6041" s="19">
        <f>IF($I6041="","",IF(ISNUMBER($I6041),TEXT($I6041,"0"),$I6041))</f>
        <v/>
      </c>
    </row>
    <row r="6042">
      <c r="B6042" s="25" t="n"/>
      <c r="I6042" s="25" t="n"/>
      <c r="U6042" s="19">
        <f>IF($V6042&lt;&gt;'設定'!$C$4,N(U6041),IF(OR(NOT(COUNTIF('商品マスタ'!$B$6:$B$1005,$W6042)=0),COUNTIFS('①在庫を貼る'!$V$6:$V$10005,$V6042,'①在庫を貼る'!$W$6:$W$10005,$W6042)+COUNTIFS('月1回_1ヶ月前の在庫'!$V$6:$V$10005,$V6042,'月1回_1ヶ月前の在庫'!$W$6:$W$10005,$W6042)&gt;0),N(U6041),N(U6041)+1))</f>
        <v/>
      </c>
      <c r="V6042" s="19">
        <f>IF($B6042="","",TEXT($B6042,"0000"))</f>
        <v/>
      </c>
      <c r="W6042" s="19">
        <f>IF($I6042="","",IF(ISNUMBER($I6042),TEXT($I6042,"0"),$I6042))</f>
        <v/>
      </c>
    </row>
    <row r="6043">
      <c r="B6043" s="25" t="n"/>
      <c r="I6043" s="25" t="n"/>
      <c r="U6043" s="19">
        <f>IF($V6043&lt;&gt;'設定'!$C$4,N(U6042),IF(OR(NOT(COUNTIF('商品マスタ'!$B$6:$B$1005,$W6043)=0),COUNTIFS('①在庫を貼る'!$V$6:$V$10005,$V6043,'①在庫を貼る'!$W$6:$W$10005,$W6043)+COUNTIFS('月1回_1ヶ月前の在庫'!$V$6:$V$10005,$V6043,'月1回_1ヶ月前の在庫'!$W$6:$W$10005,$W6043)&gt;0),N(U6042),N(U6042)+1))</f>
        <v/>
      </c>
      <c r="V6043" s="19">
        <f>IF($B6043="","",TEXT($B6043,"0000"))</f>
        <v/>
      </c>
      <c r="W6043" s="19">
        <f>IF($I6043="","",IF(ISNUMBER($I6043),TEXT($I6043,"0"),$I6043))</f>
        <v/>
      </c>
    </row>
    <row r="6044">
      <c r="B6044" s="25" t="n"/>
      <c r="I6044" s="25" t="n"/>
      <c r="U6044" s="19">
        <f>IF($V6044&lt;&gt;'設定'!$C$4,N(U6043),IF(OR(NOT(COUNTIF('商品マスタ'!$B$6:$B$1005,$W6044)=0),COUNTIFS('①在庫を貼る'!$V$6:$V$10005,$V6044,'①在庫を貼る'!$W$6:$W$10005,$W6044)+COUNTIFS('月1回_1ヶ月前の在庫'!$V$6:$V$10005,$V6044,'月1回_1ヶ月前の在庫'!$W$6:$W$10005,$W6044)&gt;0),N(U6043),N(U6043)+1))</f>
        <v/>
      </c>
      <c r="V6044" s="19">
        <f>IF($B6044="","",TEXT($B6044,"0000"))</f>
        <v/>
      </c>
      <c r="W6044" s="19">
        <f>IF($I6044="","",IF(ISNUMBER($I6044),TEXT($I6044,"0"),$I6044))</f>
        <v/>
      </c>
    </row>
    <row r="6045">
      <c r="B6045" s="25" t="n"/>
      <c r="I6045" s="25" t="n"/>
      <c r="U6045" s="19">
        <f>IF($V6045&lt;&gt;'設定'!$C$4,N(U6044),IF(OR(NOT(COUNTIF('商品マスタ'!$B$6:$B$1005,$W6045)=0),COUNTIFS('①在庫を貼る'!$V$6:$V$10005,$V6045,'①在庫を貼る'!$W$6:$W$10005,$W6045)+COUNTIFS('月1回_1ヶ月前の在庫'!$V$6:$V$10005,$V6045,'月1回_1ヶ月前の在庫'!$W$6:$W$10005,$W6045)&gt;0),N(U6044),N(U6044)+1))</f>
        <v/>
      </c>
      <c r="V6045" s="19">
        <f>IF($B6045="","",TEXT($B6045,"0000"))</f>
        <v/>
      </c>
      <c r="W6045" s="19">
        <f>IF($I6045="","",IF(ISNUMBER($I6045),TEXT($I6045,"0"),$I6045))</f>
        <v/>
      </c>
    </row>
    <row r="6046">
      <c r="B6046" s="25" t="n"/>
      <c r="I6046" s="25" t="n"/>
      <c r="U6046" s="19">
        <f>IF($V6046&lt;&gt;'設定'!$C$4,N(U6045),IF(OR(NOT(COUNTIF('商品マスタ'!$B$6:$B$1005,$W6046)=0),COUNTIFS('①在庫を貼る'!$V$6:$V$10005,$V6046,'①在庫を貼る'!$W$6:$W$10005,$W6046)+COUNTIFS('月1回_1ヶ月前の在庫'!$V$6:$V$10005,$V6046,'月1回_1ヶ月前の在庫'!$W$6:$W$10005,$W6046)&gt;0),N(U6045),N(U6045)+1))</f>
        <v/>
      </c>
      <c r="V6046" s="19">
        <f>IF($B6046="","",TEXT($B6046,"0000"))</f>
        <v/>
      </c>
      <c r="W6046" s="19">
        <f>IF($I6046="","",IF(ISNUMBER($I6046),TEXT($I6046,"0"),$I6046))</f>
        <v/>
      </c>
    </row>
    <row r="6047">
      <c r="B6047" s="25" t="n"/>
      <c r="I6047" s="25" t="n"/>
      <c r="U6047" s="19">
        <f>IF($V6047&lt;&gt;'設定'!$C$4,N(U6046),IF(OR(NOT(COUNTIF('商品マスタ'!$B$6:$B$1005,$W6047)=0),COUNTIFS('①在庫を貼る'!$V$6:$V$10005,$V6047,'①在庫を貼る'!$W$6:$W$10005,$W6047)+COUNTIFS('月1回_1ヶ月前の在庫'!$V$6:$V$10005,$V6047,'月1回_1ヶ月前の在庫'!$W$6:$W$10005,$W6047)&gt;0),N(U6046),N(U6046)+1))</f>
        <v/>
      </c>
      <c r="V6047" s="19">
        <f>IF($B6047="","",TEXT($B6047,"0000"))</f>
        <v/>
      </c>
      <c r="W6047" s="19">
        <f>IF($I6047="","",IF(ISNUMBER($I6047),TEXT($I6047,"0"),$I6047))</f>
        <v/>
      </c>
    </row>
    <row r="6048">
      <c r="B6048" s="25" t="n"/>
      <c r="I6048" s="25" t="n"/>
      <c r="U6048" s="19">
        <f>IF($V6048&lt;&gt;'設定'!$C$4,N(U6047),IF(OR(NOT(COUNTIF('商品マスタ'!$B$6:$B$1005,$W6048)=0),COUNTIFS('①在庫を貼る'!$V$6:$V$10005,$V6048,'①在庫を貼る'!$W$6:$W$10005,$W6048)+COUNTIFS('月1回_1ヶ月前の在庫'!$V$6:$V$10005,$V6048,'月1回_1ヶ月前の在庫'!$W$6:$W$10005,$W6048)&gt;0),N(U6047),N(U6047)+1))</f>
        <v/>
      </c>
      <c r="V6048" s="19">
        <f>IF($B6048="","",TEXT($B6048,"0000"))</f>
        <v/>
      </c>
      <c r="W6048" s="19">
        <f>IF($I6048="","",IF(ISNUMBER($I6048),TEXT($I6048,"0"),$I6048))</f>
        <v/>
      </c>
    </row>
    <row r="6049">
      <c r="B6049" s="25" t="n"/>
      <c r="I6049" s="25" t="n"/>
      <c r="U6049" s="19">
        <f>IF($V6049&lt;&gt;'設定'!$C$4,N(U6048),IF(OR(NOT(COUNTIF('商品マスタ'!$B$6:$B$1005,$W6049)=0),COUNTIFS('①在庫を貼る'!$V$6:$V$10005,$V6049,'①在庫を貼る'!$W$6:$W$10005,$W6049)+COUNTIFS('月1回_1ヶ月前の在庫'!$V$6:$V$10005,$V6049,'月1回_1ヶ月前の在庫'!$W$6:$W$10005,$W6049)&gt;0),N(U6048),N(U6048)+1))</f>
        <v/>
      </c>
      <c r="V6049" s="19">
        <f>IF($B6049="","",TEXT($B6049,"0000"))</f>
        <v/>
      </c>
      <c r="W6049" s="19">
        <f>IF($I6049="","",IF(ISNUMBER($I6049),TEXT($I6049,"0"),$I6049))</f>
        <v/>
      </c>
    </row>
    <row r="6050">
      <c r="B6050" s="25" t="n"/>
      <c r="I6050" s="25" t="n"/>
      <c r="U6050" s="19">
        <f>IF($V6050&lt;&gt;'設定'!$C$4,N(U6049),IF(OR(NOT(COUNTIF('商品マスタ'!$B$6:$B$1005,$W6050)=0),COUNTIFS('①在庫を貼る'!$V$6:$V$10005,$V6050,'①在庫を貼る'!$W$6:$W$10005,$W6050)+COUNTIFS('月1回_1ヶ月前の在庫'!$V$6:$V$10005,$V6050,'月1回_1ヶ月前の在庫'!$W$6:$W$10005,$W6050)&gt;0),N(U6049),N(U6049)+1))</f>
        <v/>
      </c>
      <c r="V6050" s="19">
        <f>IF($B6050="","",TEXT($B6050,"0000"))</f>
        <v/>
      </c>
      <c r="W6050" s="19">
        <f>IF($I6050="","",IF(ISNUMBER($I6050),TEXT($I6050,"0"),$I6050))</f>
        <v/>
      </c>
    </row>
    <row r="6051">
      <c r="B6051" s="25" t="n"/>
      <c r="I6051" s="25" t="n"/>
      <c r="U6051" s="19">
        <f>IF($V6051&lt;&gt;'設定'!$C$4,N(U6050),IF(OR(NOT(COUNTIF('商品マスタ'!$B$6:$B$1005,$W6051)=0),COUNTIFS('①在庫を貼る'!$V$6:$V$10005,$V6051,'①在庫を貼る'!$W$6:$W$10005,$W6051)+COUNTIFS('月1回_1ヶ月前の在庫'!$V$6:$V$10005,$V6051,'月1回_1ヶ月前の在庫'!$W$6:$W$10005,$W6051)&gt;0),N(U6050),N(U6050)+1))</f>
        <v/>
      </c>
      <c r="V6051" s="19">
        <f>IF($B6051="","",TEXT($B6051,"0000"))</f>
        <v/>
      </c>
      <c r="W6051" s="19">
        <f>IF($I6051="","",IF(ISNUMBER($I6051),TEXT($I6051,"0"),$I6051))</f>
        <v/>
      </c>
    </row>
    <row r="6052">
      <c r="B6052" s="25" t="n"/>
      <c r="I6052" s="25" t="n"/>
      <c r="U6052" s="19">
        <f>IF($V6052&lt;&gt;'設定'!$C$4,N(U6051),IF(OR(NOT(COUNTIF('商品マスタ'!$B$6:$B$1005,$W6052)=0),COUNTIFS('①在庫を貼る'!$V$6:$V$10005,$V6052,'①在庫を貼る'!$W$6:$W$10005,$W6052)+COUNTIFS('月1回_1ヶ月前の在庫'!$V$6:$V$10005,$V6052,'月1回_1ヶ月前の在庫'!$W$6:$W$10005,$W6052)&gt;0),N(U6051),N(U6051)+1))</f>
        <v/>
      </c>
      <c r="V6052" s="19">
        <f>IF($B6052="","",TEXT($B6052,"0000"))</f>
        <v/>
      </c>
      <c r="W6052" s="19">
        <f>IF($I6052="","",IF(ISNUMBER($I6052),TEXT($I6052,"0"),$I6052))</f>
        <v/>
      </c>
    </row>
    <row r="6053">
      <c r="B6053" s="25" t="n"/>
      <c r="I6053" s="25" t="n"/>
      <c r="U6053" s="19">
        <f>IF($V6053&lt;&gt;'設定'!$C$4,N(U6052),IF(OR(NOT(COUNTIF('商品マスタ'!$B$6:$B$1005,$W6053)=0),COUNTIFS('①在庫を貼る'!$V$6:$V$10005,$V6053,'①在庫を貼る'!$W$6:$W$10005,$W6053)+COUNTIFS('月1回_1ヶ月前の在庫'!$V$6:$V$10005,$V6053,'月1回_1ヶ月前の在庫'!$W$6:$W$10005,$W6053)&gt;0),N(U6052),N(U6052)+1))</f>
        <v/>
      </c>
      <c r="V6053" s="19">
        <f>IF($B6053="","",TEXT($B6053,"0000"))</f>
        <v/>
      </c>
      <c r="W6053" s="19">
        <f>IF($I6053="","",IF(ISNUMBER($I6053),TEXT($I6053,"0"),$I6053))</f>
        <v/>
      </c>
    </row>
    <row r="6054">
      <c r="B6054" s="25" t="n"/>
      <c r="I6054" s="25" t="n"/>
      <c r="U6054" s="19">
        <f>IF($V6054&lt;&gt;'設定'!$C$4,N(U6053),IF(OR(NOT(COUNTIF('商品マスタ'!$B$6:$B$1005,$W6054)=0),COUNTIFS('①在庫を貼る'!$V$6:$V$10005,$V6054,'①在庫を貼る'!$W$6:$W$10005,$W6054)+COUNTIFS('月1回_1ヶ月前の在庫'!$V$6:$V$10005,$V6054,'月1回_1ヶ月前の在庫'!$W$6:$W$10005,$W6054)&gt;0),N(U6053),N(U6053)+1))</f>
        <v/>
      </c>
      <c r="V6054" s="19">
        <f>IF($B6054="","",TEXT($B6054,"0000"))</f>
        <v/>
      </c>
      <c r="W6054" s="19">
        <f>IF($I6054="","",IF(ISNUMBER($I6054),TEXT($I6054,"0"),$I6054))</f>
        <v/>
      </c>
    </row>
    <row r="6055">
      <c r="B6055" s="25" t="n"/>
      <c r="I6055" s="25" t="n"/>
      <c r="U6055" s="19">
        <f>IF($V6055&lt;&gt;'設定'!$C$4,N(U6054),IF(OR(NOT(COUNTIF('商品マスタ'!$B$6:$B$1005,$W6055)=0),COUNTIFS('①在庫を貼る'!$V$6:$V$10005,$V6055,'①在庫を貼る'!$W$6:$W$10005,$W6055)+COUNTIFS('月1回_1ヶ月前の在庫'!$V$6:$V$10005,$V6055,'月1回_1ヶ月前の在庫'!$W$6:$W$10005,$W6055)&gt;0),N(U6054),N(U6054)+1))</f>
        <v/>
      </c>
      <c r="V6055" s="19">
        <f>IF($B6055="","",TEXT($B6055,"0000"))</f>
        <v/>
      </c>
      <c r="W6055" s="19">
        <f>IF($I6055="","",IF(ISNUMBER($I6055),TEXT($I6055,"0"),$I6055))</f>
        <v/>
      </c>
    </row>
    <row r="6056">
      <c r="B6056" s="25" t="n"/>
      <c r="I6056" s="25" t="n"/>
      <c r="U6056" s="19">
        <f>IF($V6056&lt;&gt;'設定'!$C$4,N(U6055),IF(OR(NOT(COUNTIF('商品マスタ'!$B$6:$B$1005,$W6056)=0),COUNTIFS('①在庫を貼る'!$V$6:$V$10005,$V6056,'①在庫を貼る'!$W$6:$W$10005,$W6056)+COUNTIFS('月1回_1ヶ月前の在庫'!$V$6:$V$10005,$V6056,'月1回_1ヶ月前の在庫'!$W$6:$W$10005,$W6056)&gt;0),N(U6055),N(U6055)+1))</f>
        <v/>
      </c>
      <c r="V6056" s="19">
        <f>IF($B6056="","",TEXT($B6056,"0000"))</f>
        <v/>
      </c>
      <c r="W6056" s="19">
        <f>IF($I6056="","",IF(ISNUMBER($I6056),TEXT($I6056,"0"),$I6056))</f>
        <v/>
      </c>
    </row>
    <row r="6057">
      <c r="B6057" s="25" t="n"/>
      <c r="I6057" s="25" t="n"/>
      <c r="U6057" s="19">
        <f>IF($V6057&lt;&gt;'設定'!$C$4,N(U6056),IF(OR(NOT(COUNTIF('商品マスタ'!$B$6:$B$1005,$W6057)=0),COUNTIFS('①在庫を貼る'!$V$6:$V$10005,$V6057,'①在庫を貼る'!$W$6:$W$10005,$W6057)+COUNTIFS('月1回_1ヶ月前の在庫'!$V$6:$V$10005,$V6057,'月1回_1ヶ月前の在庫'!$W$6:$W$10005,$W6057)&gt;0),N(U6056),N(U6056)+1))</f>
        <v/>
      </c>
      <c r="V6057" s="19">
        <f>IF($B6057="","",TEXT($B6057,"0000"))</f>
        <v/>
      </c>
      <c r="W6057" s="19">
        <f>IF($I6057="","",IF(ISNUMBER($I6057),TEXT($I6057,"0"),$I6057))</f>
        <v/>
      </c>
    </row>
    <row r="6058">
      <c r="B6058" s="25" t="n"/>
      <c r="I6058" s="25" t="n"/>
      <c r="U6058" s="19">
        <f>IF($V6058&lt;&gt;'設定'!$C$4,N(U6057),IF(OR(NOT(COUNTIF('商品マスタ'!$B$6:$B$1005,$W6058)=0),COUNTIFS('①在庫を貼る'!$V$6:$V$10005,$V6058,'①在庫を貼る'!$W$6:$W$10005,$W6058)+COUNTIFS('月1回_1ヶ月前の在庫'!$V$6:$V$10005,$V6058,'月1回_1ヶ月前の在庫'!$W$6:$W$10005,$W6058)&gt;0),N(U6057),N(U6057)+1))</f>
        <v/>
      </c>
      <c r="V6058" s="19">
        <f>IF($B6058="","",TEXT($B6058,"0000"))</f>
        <v/>
      </c>
      <c r="W6058" s="19">
        <f>IF($I6058="","",IF(ISNUMBER($I6058),TEXT($I6058,"0"),$I6058))</f>
        <v/>
      </c>
    </row>
    <row r="6059">
      <c r="B6059" s="25" t="n"/>
      <c r="I6059" s="25" t="n"/>
      <c r="U6059" s="19">
        <f>IF($V6059&lt;&gt;'設定'!$C$4,N(U6058),IF(OR(NOT(COUNTIF('商品マスタ'!$B$6:$B$1005,$W6059)=0),COUNTIFS('①在庫を貼る'!$V$6:$V$10005,$V6059,'①在庫を貼る'!$W$6:$W$10005,$W6059)+COUNTIFS('月1回_1ヶ月前の在庫'!$V$6:$V$10005,$V6059,'月1回_1ヶ月前の在庫'!$W$6:$W$10005,$W6059)&gt;0),N(U6058),N(U6058)+1))</f>
        <v/>
      </c>
      <c r="V6059" s="19">
        <f>IF($B6059="","",TEXT($B6059,"0000"))</f>
        <v/>
      </c>
      <c r="W6059" s="19">
        <f>IF($I6059="","",IF(ISNUMBER($I6059),TEXT($I6059,"0"),$I6059))</f>
        <v/>
      </c>
    </row>
    <row r="6060">
      <c r="B6060" s="25" t="n"/>
      <c r="I6060" s="25" t="n"/>
      <c r="U6060" s="19">
        <f>IF($V6060&lt;&gt;'設定'!$C$4,N(U6059),IF(OR(NOT(COUNTIF('商品マスタ'!$B$6:$B$1005,$W6060)=0),COUNTIFS('①在庫を貼る'!$V$6:$V$10005,$V6060,'①在庫を貼る'!$W$6:$W$10005,$W6060)+COUNTIFS('月1回_1ヶ月前の在庫'!$V$6:$V$10005,$V6060,'月1回_1ヶ月前の在庫'!$W$6:$W$10005,$W6060)&gt;0),N(U6059),N(U6059)+1))</f>
        <v/>
      </c>
      <c r="V6060" s="19">
        <f>IF($B6060="","",TEXT($B6060,"0000"))</f>
        <v/>
      </c>
      <c r="W6060" s="19">
        <f>IF($I6060="","",IF(ISNUMBER($I6060),TEXT($I6060,"0"),$I6060))</f>
        <v/>
      </c>
    </row>
    <row r="6061">
      <c r="B6061" s="25" t="n"/>
      <c r="I6061" s="25" t="n"/>
      <c r="U6061" s="19">
        <f>IF($V6061&lt;&gt;'設定'!$C$4,N(U6060),IF(OR(NOT(COUNTIF('商品マスタ'!$B$6:$B$1005,$W6061)=0),COUNTIFS('①在庫を貼る'!$V$6:$V$10005,$V6061,'①在庫を貼る'!$W$6:$W$10005,$W6061)+COUNTIFS('月1回_1ヶ月前の在庫'!$V$6:$V$10005,$V6061,'月1回_1ヶ月前の在庫'!$W$6:$W$10005,$W6061)&gt;0),N(U6060),N(U6060)+1))</f>
        <v/>
      </c>
      <c r="V6061" s="19">
        <f>IF($B6061="","",TEXT($B6061,"0000"))</f>
        <v/>
      </c>
      <c r="W6061" s="19">
        <f>IF($I6061="","",IF(ISNUMBER($I6061),TEXT($I6061,"0"),$I6061))</f>
        <v/>
      </c>
    </row>
    <row r="6062">
      <c r="B6062" s="25" t="n"/>
      <c r="I6062" s="25" t="n"/>
      <c r="U6062" s="19">
        <f>IF($V6062&lt;&gt;'設定'!$C$4,N(U6061),IF(OR(NOT(COUNTIF('商品マスタ'!$B$6:$B$1005,$W6062)=0),COUNTIFS('①在庫を貼る'!$V$6:$V$10005,$V6062,'①在庫を貼る'!$W$6:$W$10005,$W6062)+COUNTIFS('月1回_1ヶ月前の在庫'!$V$6:$V$10005,$V6062,'月1回_1ヶ月前の在庫'!$W$6:$W$10005,$W6062)&gt;0),N(U6061),N(U6061)+1))</f>
        <v/>
      </c>
      <c r="V6062" s="19">
        <f>IF($B6062="","",TEXT($B6062,"0000"))</f>
        <v/>
      </c>
      <c r="W6062" s="19">
        <f>IF($I6062="","",IF(ISNUMBER($I6062),TEXT($I6062,"0"),$I6062))</f>
        <v/>
      </c>
    </row>
    <row r="6063">
      <c r="B6063" s="25" t="n"/>
      <c r="I6063" s="25" t="n"/>
      <c r="U6063" s="19">
        <f>IF($V6063&lt;&gt;'設定'!$C$4,N(U6062),IF(OR(NOT(COUNTIF('商品マスタ'!$B$6:$B$1005,$W6063)=0),COUNTIFS('①在庫を貼る'!$V$6:$V$10005,$V6063,'①在庫を貼る'!$W$6:$W$10005,$W6063)+COUNTIFS('月1回_1ヶ月前の在庫'!$V$6:$V$10005,$V6063,'月1回_1ヶ月前の在庫'!$W$6:$W$10005,$W6063)&gt;0),N(U6062),N(U6062)+1))</f>
        <v/>
      </c>
      <c r="V6063" s="19">
        <f>IF($B6063="","",TEXT($B6063,"0000"))</f>
        <v/>
      </c>
      <c r="W6063" s="19">
        <f>IF($I6063="","",IF(ISNUMBER($I6063),TEXT($I6063,"0"),$I6063))</f>
        <v/>
      </c>
    </row>
    <row r="6064">
      <c r="B6064" s="25" t="n"/>
      <c r="I6064" s="25" t="n"/>
      <c r="U6064" s="19">
        <f>IF($V6064&lt;&gt;'設定'!$C$4,N(U6063),IF(OR(NOT(COUNTIF('商品マスタ'!$B$6:$B$1005,$W6064)=0),COUNTIFS('①在庫を貼る'!$V$6:$V$10005,$V6064,'①在庫を貼る'!$W$6:$W$10005,$W6064)+COUNTIFS('月1回_1ヶ月前の在庫'!$V$6:$V$10005,$V6064,'月1回_1ヶ月前の在庫'!$W$6:$W$10005,$W6064)&gt;0),N(U6063),N(U6063)+1))</f>
        <v/>
      </c>
      <c r="V6064" s="19">
        <f>IF($B6064="","",TEXT($B6064,"0000"))</f>
        <v/>
      </c>
      <c r="W6064" s="19">
        <f>IF($I6064="","",IF(ISNUMBER($I6064),TEXT($I6064,"0"),$I6064))</f>
        <v/>
      </c>
    </row>
    <row r="6065">
      <c r="B6065" s="25" t="n"/>
      <c r="I6065" s="25" t="n"/>
      <c r="U6065" s="19">
        <f>IF($V6065&lt;&gt;'設定'!$C$4,N(U6064),IF(OR(NOT(COUNTIF('商品マスタ'!$B$6:$B$1005,$W6065)=0),COUNTIFS('①在庫を貼る'!$V$6:$V$10005,$V6065,'①在庫を貼る'!$W$6:$W$10005,$W6065)+COUNTIFS('月1回_1ヶ月前の在庫'!$V$6:$V$10005,$V6065,'月1回_1ヶ月前の在庫'!$W$6:$W$10005,$W6065)&gt;0),N(U6064),N(U6064)+1))</f>
        <v/>
      </c>
      <c r="V6065" s="19">
        <f>IF($B6065="","",TEXT($B6065,"0000"))</f>
        <v/>
      </c>
      <c r="W6065" s="19">
        <f>IF($I6065="","",IF(ISNUMBER($I6065),TEXT($I6065,"0"),$I6065))</f>
        <v/>
      </c>
    </row>
    <row r="6066">
      <c r="B6066" s="25" t="n"/>
      <c r="I6066" s="25" t="n"/>
      <c r="U6066" s="19">
        <f>IF($V6066&lt;&gt;'設定'!$C$4,N(U6065),IF(OR(NOT(COUNTIF('商品マスタ'!$B$6:$B$1005,$W6066)=0),COUNTIFS('①在庫を貼る'!$V$6:$V$10005,$V6066,'①在庫を貼る'!$W$6:$W$10005,$W6066)+COUNTIFS('月1回_1ヶ月前の在庫'!$V$6:$V$10005,$V6066,'月1回_1ヶ月前の在庫'!$W$6:$W$10005,$W6066)&gt;0),N(U6065),N(U6065)+1))</f>
        <v/>
      </c>
      <c r="V6066" s="19">
        <f>IF($B6066="","",TEXT($B6066,"0000"))</f>
        <v/>
      </c>
      <c r="W6066" s="19">
        <f>IF($I6066="","",IF(ISNUMBER($I6066),TEXT($I6066,"0"),$I6066))</f>
        <v/>
      </c>
    </row>
    <row r="6067">
      <c r="B6067" s="25" t="n"/>
      <c r="I6067" s="25" t="n"/>
      <c r="U6067" s="19">
        <f>IF($V6067&lt;&gt;'設定'!$C$4,N(U6066),IF(OR(NOT(COUNTIF('商品マスタ'!$B$6:$B$1005,$W6067)=0),COUNTIFS('①在庫を貼る'!$V$6:$V$10005,$V6067,'①在庫を貼る'!$W$6:$W$10005,$W6067)+COUNTIFS('月1回_1ヶ月前の在庫'!$V$6:$V$10005,$V6067,'月1回_1ヶ月前の在庫'!$W$6:$W$10005,$W6067)&gt;0),N(U6066),N(U6066)+1))</f>
        <v/>
      </c>
      <c r="V6067" s="19">
        <f>IF($B6067="","",TEXT($B6067,"0000"))</f>
        <v/>
      </c>
      <c r="W6067" s="19">
        <f>IF($I6067="","",IF(ISNUMBER($I6067),TEXT($I6067,"0"),$I6067))</f>
        <v/>
      </c>
    </row>
    <row r="6068">
      <c r="B6068" s="25" t="n"/>
      <c r="I6068" s="25" t="n"/>
      <c r="U6068" s="19">
        <f>IF($V6068&lt;&gt;'設定'!$C$4,N(U6067),IF(OR(NOT(COUNTIF('商品マスタ'!$B$6:$B$1005,$W6068)=0),COUNTIFS('①在庫を貼る'!$V$6:$V$10005,$V6068,'①在庫を貼る'!$W$6:$W$10005,$W6068)+COUNTIFS('月1回_1ヶ月前の在庫'!$V$6:$V$10005,$V6068,'月1回_1ヶ月前の在庫'!$W$6:$W$10005,$W6068)&gt;0),N(U6067),N(U6067)+1))</f>
        <v/>
      </c>
      <c r="V6068" s="19">
        <f>IF($B6068="","",TEXT($B6068,"0000"))</f>
        <v/>
      </c>
      <c r="W6068" s="19">
        <f>IF($I6068="","",IF(ISNUMBER($I6068),TEXT($I6068,"0"),$I6068))</f>
        <v/>
      </c>
    </row>
    <row r="6069">
      <c r="B6069" s="25" t="n"/>
      <c r="I6069" s="25" t="n"/>
      <c r="U6069" s="19">
        <f>IF($V6069&lt;&gt;'設定'!$C$4,N(U6068),IF(OR(NOT(COUNTIF('商品マスタ'!$B$6:$B$1005,$W6069)=0),COUNTIFS('①在庫を貼る'!$V$6:$V$10005,$V6069,'①在庫を貼る'!$W$6:$W$10005,$W6069)+COUNTIFS('月1回_1ヶ月前の在庫'!$V$6:$V$10005,$V6069,'月1回_1ヶ月前の在庫'!$W$6:$W$10005,$W6069)&gt;0),N(U6068),N(U6068)+1))</f>
        <v/>
      </c>
      <c r="V6069" s="19">
        <f>IF($B6069="","",TEXT($B6069,"0000"))</f>
        <v/>
      </c>
      <c r="W6069" s="19">
        <f>IF($I6069="","",IF(ISNUMBER($I6069),TEXT($I6069,"0"),$I6069))</f>
        <v/>
      </c>
    </row>
    <row r="6070">
      <c r="B6070" s="25" t="n"/>
      <c r="I6070" s="25" t="n"/>
      <c r="U6070" s="19">
        <f>IF($V6070&lt;&gt;'設定'!$C$4,N(U6069),IF(OR(NOT(COUNTIF('商品マスタ'!$B$6:$B$1005,$W6070)=0),COUNTIFS('①在庫を貼る'!$V$6:$V$10005,$V6070,'①在庫を貼る'!$W$6:$W$10005,$W6070)+COUNTIFS('月1回_1ヶ月前の在庫'!$V$6:$V$10005,$V6070,'月1回_1ヶ月前の在庫'!$W$6:$W$10005,$W6070)&gt;0),N(U6069),N(U6069)+1))</f>
        <v/>
      </c>
      <c r="V6070" s="19">
        <f>IF($B6070="","",TEXT($B6070,"0000"))</f>
        <v/>
      </c>
      <c r="W6070" s="19">
        <f>IF($I6070="","",IF(ISNUMBER($I6070),TEXT($I6070,"0"),$I6070))</f>
        <v/>
      </c>
    </row>
    <row r="6071">
      <c r="B6071" s="25" t="n"/>
      <c r="I6071" s="25" t="n"/>
      <c r="U6071" s="19">
        <f>IF($V6071&lt;&gt;'設定'!$C$4,N(U6070),IF(OR(NOT(COUNTIF('商品マスタ'!$B$6:$B$1005,$W6071)=0),COUNTIFS('①在庫を貼る'!$V$6:$V$10005,$V6071,'①在庫を貼る'!$W$6:$W$10005,$W6071)+COUNTIFS('月1回_1ヶ月前の在庫'!$V$6:$V$10005,$V6071,'月1回_1ヶ月前の在庫'!$W$6:$W$10005,$W6071)&gt;0),N(U6070),N(U6070)+1))</f>
        <v/>
      </c>
      <c r="V6071" s="19">
        <f>IF($B6071="","",TEXT($B6071,"0000"))</f>
        <v/>
      </c>
      <c r="W6071" s="19">
        <f>IF($I6071="","",IF(ISNUMBER($I6071),TEXT($I6071,"0"),$I6071))</f>
        <v/>
      </c>
    </row>
    <row r="6072">
      <c r="B6072" s="25" t="n"/>
      <c r="I6072" s="25" t="n"/>
      <c r="U6072" s="19">
        <f>IF($V6072&lt;&gt;'設定'!$C$4,N(U6071),IF(OR(NOT(COUNTIF('商品マスタ'!$B$6:$B$1005,$W6072)=0),COUNTIFS('①在庫を貼る'!$V$6:$V$10005,$V6072,'①在庫を貼る'!$W$6:$W$10005,$W6072)+COUNTIFS('月1回_1ヶ月前の在庫'!$V$6:$V$10005,$V6072,'月1回_1ヶ月前の在庫'!$W$6:$W$10005,$W6072)&gt;0),N(U6071),N(U6071)+1))</f>
        <v/>
      </c>
      <c r="V6072" s="19">
        <f>IF($B6072="","",TEXT($B6072,"0000"))</f>
        <v/>
      </c>
      <c r="W6072" s="19">
        <f>IF($I6072="","",IF(ISNUMBER($I6072),TEXT($I6072,"0"),$I6072))</f>
        <v/>
      </c>
    </row>
    <row r="6073">
      <c r="B6073" s="25" t="n"/>
      <c r="I6073" s="25" t="n"/>
      <c r="U6073" s="19">
        <f>IF($V6073&lt;&gt;'設定'!$C$4,N(U6072),IF(OR(NOT(COUNTIF('商品マスタ'!$B$6:$B$1005,$W6073)=0),COUNTIFS('①在庫を貼る'!$V$6:$V$10005,$V6073,'①在庫を貼る'!$W$6:$W$10005,$W6073)+COUNTIFS('月1回_1ヶ月前の在庫'!$V$6:$V$10005,$V6073,'月1回_1ヶ月前の在庫'!$W$6:$W$10005,$W6073)&gt;0),N(U6072),N(U6072)+1))</f>
        <v/>
      </c>
      <c r="V6073" s="19">
        <f>IF($B6073="","",TEXT($B6073,"0000"))</f>
        <v/>
      </c>
      <c r="W6073" s="19">
        <f>IF($I6073="","",IF(ISNUMBER($I6073),TEXT($I6073,"0"),$I6073))</f>
        <v/>
      </c>
    </row>
    <row r="6074">
      <c r="B6074" s="25" t="n"/>
      <c r="I6074" s="25" t="n"/>
      <c r="U6074" s="19">
        <f>IF($V6074&lt;&gt;'設定'!$C$4,N(U6073),IF(OR(NOT(COUNTIF('商品マスタ'!$B$6:$B$1005,$W6074)=0),COUNTIFS('①在庫を貼る'!$V$6:$V$10005,$V6074,'①在庫を貼る'!$W$6:$W$10005,$W6074)+COUNTIFS('月1回_1ヶ月前の在庫'!$V$6:$V$10005,$V6074,'月1回_1ヶ月前の在庫'!$W$6:$W$10005,$W6074)&gt;0),N(U6073),N(U6073)+1))</f>
        <v/>
      </c>
      <c r="V6074" s="19">
        <f>IF($B6074="","",TEXT($B6074,"0000"))</f>
        <v/>
      </c>
      <c r="W6074" s="19">
        <f>IF($I6074="","",IF(ISNUMBER($I6074),TEXT($I6074,"0"),$I6074))</f>
        <v/>
      </c>
    </row>
    <row r="6075">
      <c r="B6075" s="25" t="n"/>
      <c r="I6075" s="25" t="n"/>
      <c r="U6075" s="19">
        <f>IF($V6075&lt;&gt;'設定'!$C$4,N(U6074),IF(OR(NOT(COUNTIF('商品マスタ'!$B$6:$B$1005,$W6075)=0),COUNTIFS('①在庫を貼る'!$V$6:$V$10005,$V6075,'①在庫を貼る'!$W$6:$W$10005,$W6075)+COUNTIFS('月1回_1ヶ月前の在庫'!$V$6:$V$10005,$V6075,'月1回_1ヶ月前の在庫'!$W$6:$W$10005,$W6075)&gt;0),N(U6074),N(U6074)+1))</f>
        <v/>
      </c>
      <c r="V6075" s="19">
        <f>IF($B6075="","",TEXT($B6075,"0000"))</f>
        <v/>
      </c>
      <c r="W6075" s="19">
        <f>IF($I6075="","",IF(ISNUMBER($I6075),TEXT($I6075,"0"),$I6075))</f>
        <v/>
      </c>
    </row>
    <row r="6076">
      <c r="B6076" s="25" t="n"/>
      <c r="I6076" s="25" t="n"/>
      <c r="U6076" s="19">
        <f>IF($V6076&lt;&gt;'設定'!$C$4,N(U6075),IF(OR(NOT(COUNTIF('商品マスタ'!$B$6:$B$1005,$W6076)=0),COUNTIFS('①在庫を貼る'!$V$6:$V$10005,$V6076,'①在庫を貼る'!$W$6:$W$10005,$W6076)+COUNTIFS('月1回_1ヶ月前の在庫'!$V$6:$V$10005,$V6076,'月1回_1ヶ月前の在庫'!$W$6:$W$10005,$W6076)&gt;0),N(U6075),N(U6075)+1))</f>
        <v/>
      </c>
      <c r="V6076" s="19">
        <f>IF($B6076="","",TEXT($B6076,"0000"))</f>
        <v/>
      </c>
      <c r="W6076" s="19">
        <f>IF($I6076="","",IF(ISNUMBER($I6076),TEXT($I6076,"0"),$I6076))</f>
        <v/>
      </c>
    </row>
    <row r="6077">
      <c r="B6077" s="25" t="n"/>
      <c r="I6077" s="25" t="n"/>
      <c r="U6077" s="19">
        <f>IF($V6077&lt;&gt;'設定'!$C$4,N(U6076),IF(OR(NOT(COUNTIF('商品マスタ'!$B$6:$B$1005,$W6077)=0),COUNTIFS('①在庫を貼る'!$V$6:$V$10005,$V6077,'①在庫を貼る'!$W$6:$W$10005,$W6077)+COUNTIFS('月1回_1ヶ月前の在庫'!$V$6:$V$10005,$V6077,'月1回_1ヶ月前の在庫'!$W$6:$W$10005,$W6077)&gt;0),N(U6076),N(U6076)+1))</f>
        <v/>
      </c>
      <c r="V6077" s="19">
        <f>IF($B6077="","",TEXT($B6077,"0000"))</f>
        <v/>
      </c>
      <c r="W6077" s="19">
        <f>IF($I6077="","",IF(ISNUMBER($I6077),TEXT($I6077,"0"),$I6077))</f>
        <v/>
      </c>
    </row>
    <row r="6078">
      <c r="B6078" s="25" t="n"/>
      <c r="I6078" s="25" t="n"/>
      <c r="U6078" s="19">
        <f>IF($V6078&lt;&gt;'設定'!$C$4,N(U6077),IF(OR(NOT(COUNTIF('商品マスタ'!$B$6:$B$1005,$W6078)=0),COUNTIFS('①在庫を貼る'!$V$6:$V$10005,$V6078,'①在庫を貼る'!$W$6:$W$10005,$W6078)+COUNTIFS('月1回_1ヶ月前の在庫'!$V$6:$V$10005,$V6078,'月1回_1ヶ月前の在庫'!$W$6:$W$10005,$W6078)&gt;0),N(U6077),N(U6077)+1))</f>
        <v/>
      </c>
      <c r="V6078" s="19">
        <f>IF($B6078="","",TEXT($B6078,"0000"))</f>
        <v/>
      </c>
      <c r="W6078" s="19">
        <f>IF($I6078="","",IF(ISNUMBER($I6078),TEXT($I6078,"0"),$I6078))</f>
        <v/>
      </c>
    </row>
    <row r="6079">
      <c r="B6079" s="25" t="n"/>
      <c r="I6079" s="25" t="n"/>
      <c r="U6079" s="19">
        <f>IF($V6079&lt;&gt;'設定'!$C$4,N(U6078),IF(OR(NOT(COUNTIF('商品マスタ'!$B$6:$B$1005,$W6079)=0),COUNTIFS('①在庫を貼る'!$V$6:$V$10005,$V6079,'①在庫を貼る'!$W$6:$W$10005,$W6079)+COUNTIFS('月1回_1ヶ月前の在庫'!$V$6:$V$10005,$V6079,'月1回_1ヶ月前の在庫'!$W$6:$W$10005,$W6079)&gt;0),N(U6078),N(U6078)+1))</f>
        <v/>
      </c>
      <c r="V6079" s="19">
        <f>IF($B6079="","",TEXT($B6079,"0000"))</f>
        <v/>
      </c>
      <c r="W6079" s="19">
        <f>IF($I6079="","",IF(ISNUMBER($I6079),TEXT($I6079,"0"),$I6079))</f>
        <v/>
      </c>
    </row>
    <row r="6080">
      <c r="B6080" s="25" t="n"/>
      <c r="I6080" s="25" t="n"/>
      <c r="U6080" s="19">
        <f>IF($V6080&lt;&gt;'設定'!$C$4,N(U6079),IF(OR(NOT(COUNTIF('商品マスタ'!$B$6:$B$1005,$W6080)=0),COUNTIFS('①在庫を貼る'!$V$6:$V$10005,$V6080,'①在庫を貼る'!$W$6:$W$10005,$W6080)+COUNTIFS('月1回_1ヶ月前の在庫'!$V$6:$V$10005,$V6080,'月1回_1ヶ月前の在庫'!$W$6:$W$10005,$W6080)&gt;0),N(U6079),N(U6079)+1))</f>
        <v/>
      </c>
      <c r="V6080" s="19">
        <f>IF($B6080="","",TEXT($B6080,"0000"))</f>
        <v/>
      </c>
      <c r="W6080" s="19">
        <f>IF($I6080="","",IF(ISNUMBER($I6080),TEXT($I6080,"0"),$I6080))</f>
        <v/>
      </c>
    </row>
    <row r="6081">
      <c r="B6081" s="25" t="n"/>
      <c r="I6081" s="25" t="n"/>
      <c r="U6081" s="19">
        <f>IF($V6081&lt;&gt;'設定'!$C$4,N(U6080),IF(OR(NOT(COUNTIF('商品マスタ'!$B$6:$B$1005,$W6081)=0),COUNTIFS('①在庫を貼る'!$V$6:$V$10005,$V6081,'①在庫を貼る'!$W$6:$W$10005,$W6081)+COUNTIFS('月1回_1ヶ月前の在庫'!$V$6:$V$10005,$V6081,'月1回_1ヶ月前の在庫'!$W$6:$W$10005,$W6081)&gt;0),N(U6080),N(U6080)+1))</f>
        <v/>
      </c>
      <c r="V6081" s="19">
        <f>IF($B6081="","",TEXT($B6081,"0000"))</f>
        <v/>
      </c>
      <c r="W6081" s="19">
        <f>IF($I6081="","",IF(ISNUMBER($I6081),TEXT($I6081,"0"),$I6081))</f>
        <v/>
      </c>
    </row>
    <row r="6082">
      <c r="B6082" s="25" t="n"/>
      <c r="I6082" s="25" t="n"/>
      <c r="U6082" s="19">
        <f>IF($V6082&lt;&gt;'設定'!$C$4,N(U6081),IF(OR(NOT(COUNTIF('商品マスタ'!$B$6:$B$1005,$W6082)=0),COUNTIFS('①在庫を貼る'!$V$6:$V$10005,$V6082,'①在庫を貼る'!$W$6:$W$10005,$W6082)+COUNTIFS('月1回_1ヶ月前の在庫'!$V$6:$V$10005,$V6082,'月1回_1ヶ月前の在庫'!$W$6:$W$10005,$W6082)&gt;0),N(U6081),N(U6081)+1))</f>
        <v/>
      </c>
      <c r="V6082" s="19">
        <f>IF($B6082="","",TEXT($B6082,"0000"))</f>
        <v/>
      </c>
      <c r="W6082" s="19">
        <f>IF($I6082="","",IF(ISNUMBER($I6082),TEXT($I6082,"0"),$I6082))</f>
        <v/>
      </c>
    </row>
    <row r="6083">
      <c r="B6083" s="25" t="n"/>
      <c r="I6083" s="25" t="n"/>
      <c r="U6083" s="19">
        <f>IF($V6083&lt;&gt;'設定'!$C$4,N(U6082),IF(OR(NOT(COUNTIF('商品マスタ'!$B$6:$B$1005,$W6083)=0),COUNTIFS('①在庫を貼る'!$V$6:$V$10005,$V6083,'①在庫を貼る'!$W$6:$W$10005,$W6083)+COUNTIFS('月1回_1ヶ月前の在庫'!$V$6:$V$10005,$V6083,'月1回_1ヶ月前の在庫'!$W$6:$W$10005,$W6083)&gt;0),N(U6082),N(U6082)+1))</f>
        <v/>
      </c>
      <c r="V6083" s="19">
        <f>IF($B6083="","",TEXT($B6083,"0000"))</f>
        <v/>
      </c>
      <c r="W6083" s="19">
        <f>IF($I6083="","",IF(ISNUMBER($I6083),TEXT($I6083,"0"),$I6083))</f>
        <v/>
      </c>
    </row>
    <row r="6084">
      <c r="B6084" s="25" t="n"/>
      <c r="I6084" s="25" t="n"/>
      <c r="U6084" s="19">
        <f>IF($V6084&lt;&gt;'設定'!$C$4,N(U6083),IF(OR(NOT(COUNTIF('商品マスタ'!$B$6:$B$1005,$W6084)=0),COUNTIFS('①在庫を貼る'!$V$6:$V$10005,$V6084,'①在庫を貼る'!$W$6:$W$10005,$W6084)+COUNTIFS('月1回_1ヶ月前の在庫'!$V$6:$V$10005,$V6084,'月1回_1ヶ月前の在庫'!$W$6:$W$10005,$W6084)&gt;0),N(U6083),N(U6083)+1))</f>
        <v/>
      </c>
      <c r="V6084" s="19">
        <f>IF($B6084="","",TEXT($B6084,"0000"))</f>
        <v/>
      </c>
      <c r="W6084" s="19">
        <f>IF($I6084="","",IF(ISNUMBER($I6084),TEXT($I6084,"0"),$I6084))</f>
        <v/>
      </c>
    </row>
    <row r="6085">
      <c r="B6085" s="25" t="n"/>
      <c r="I6085" s="25" t="n"/>
      <c r="U6085" s="19">
        <f>IF($V6085&lt;&gt;'設定'!$C$4,N(U6084),IF(OR(NOT(COUNTIF('商品マスタ'!$B$6:$B$1005,$W6085)=0),COUNTIFS('①在庫を貼る'!$V$6:$V$10005,$V6085,'①在庫を貼る'!$W$6:$W$10005,$W6085)+COUNTIFS('月1回_1ヶ月前の在庫'!$V$6:$V$10005,$V6085,'月1回_1ヶ月前の在庫'!$W$6:$W$10005,$W6085)&gt;0),N(U6084),N(U6084)+1))</f>
        <v/>
      </c>
      <c r="V6085" s="19">
        <f>IF($B6085="","",TEXT($B6085,"0000"))</f>
        <v/>
      </c>
      <c r="W6085" s="19">
        <f>IF($I6085="","",IF(ISNUMBER($I6085),TEXT($I6085,"0"),$I6085))</f>
        <v/>
      </c>
    </row>
    <row r="6086">
      <c r="B6086" s="25" t="n"/>
      <c r="I6086" s="25" t="n"/>
      <c r="U6086" s="19">
        <f>IF($V6086&lt;&gt;'設定'!$C$4,N(U6085),IF(OR(NOT(COUNTIF('商品マスタ'!$B$6:$B$1005,$W6086)=0),COUNTIFS('①在庫を貼る'!$V$6:$V$10005,$V6086,'①在庫を貼る'!$W$6:$W$10005,$W6086)+COUNTIFS('月1回_1ヶ月前の在庫'!$V$6:$V$10005,$V6086,'月1回_1ヶ月前の在庫'!$W$6:$W$10005,$W6086)&gt;0),N(U6085),N(U6085)+1))</f>
        <v/>
      </c>
      <c r="V6086" s="19">
        <f>IF($B6086="","",TEXT($B6086,"0000"))</f>
        <v/>
      </c>
      <c r="W6086" s="19">
        <f>IF($I6086="","",IF(ISNUMBER($I6086),TEXT($I6086,"0"),$I6086))</f>
        <v/>
      </c>
    </row>
    <row r="6087">
      <c r="B6087" s="25" t="n"/>
      <c r="I6087" s="25" t="n"/>
      <c r="U6087" s="19">
        <f>IF($V6087&lt;&gt;'設定'!$C$4,N(U6086),IF(OR(NOT(COUNTIF('商品マスタ'!$B$6:$B$1005,$W6087)=0),COUNTIFS('①在庫を貼る'!$V$6:$V$10005,$V6087,'①在庫を貼る'!$W$6:$W$10005,$W6087)+COUNTIFS('月1回_1ヶ月前の在庫'!$V$6:$V$10005,$V6087,'月1回_1ヶ月前の在庫'!$W$6:$W$10005,$W6087)&gt;0),N(U6086),N(U6086)+1))</f>
        <v/>
      </c>
      <c r="V6087" s="19">
        <f>IF($B6087="","",TEXT($B6087,"0000"))</f>
        <v/>
      </c>
      <c r="W6087" s="19">
        <f>IF($I6087="","",IF(ISNUMBER($I6087),TEXT($I6087,"0"),$I6087))</f>
        <v/>
      </c>
    </row>
    <row r="6088">
      <c r="B6088" s="25" t="n"/>
      <c r="I6088" s="25" t="n"/>
      <c r="U6088" s="19">
        <f>IF($V6088&lt;&gt;'設定'!$C$4,N(U6087),IF(OR(NOT(COUNTIF('商品マスタ'!$B$6:$B$1005,$W6088)=0),COUNTIFS('①在庫を貼る'!$V$6:$V$10005,$V6088,'①在庫を貼る'!$W$6:$W$10005,$W6088)+COUNTIFS('月1回_1ヶ月前の在庫'!$V$6:$V$10005,$V6088,'月1回_1ヶ月前の在庫'!$W$6:$W$10005,$W6088)&gt;0),N(U6087),N(U6087)+1))</f>
        <v/>
      </c>
      <c r="V6088" s="19">
        <f>IF($B6088="","",TEXT($B6088,"0000"))</f>
        <v/>
      </c>
      <c r="W6088" s="19">
        <f>IF($I6088="","",IF(ISNUMBER($I6088),TEXT($I6088,"0"),$I6088))</f>
        <v/>
      </c>
    </row>
    <row r="6089">
      <c r="B6089" s="25" t="n"/>
      <c r="I6089" s="25" t="n"/>
      <c r="U6089" s="19">
        <f>IF($V6089&lt;&gt;'設定'!$C$4,N(U6088),IF(OR(NOT(COUNTIF('商品マスタ'!$B$6:$B$1005,$W6089)=0),COUNTIFS('①在庫を貼る'!$V$6:$V$10005,$V6089,'①在庫を貼る'!$W$6:$W$10005,$W6089)+COUNTIFS('月1回_1ヶ月前の在庫'!$V$6:$V$10005,$V6089,'月1回_1ヶ月前の在庫'!$W$6:$W$10005,$W6089)&gt;0),N(U6088),N(U6088)+1))</f>
        <v/>
      </c>
      <c r="V6089" s="19">
        <f>IF($B6089="","",TEXT($B6089,"0000"))</f>
        <v/>
      </c>
      <c r="W6089" s="19">
        <f>IF($I6089="","",IF(ISNUMBER($I6089),TEXT($I6089,"0"),$I6089))</f>
        <v/>
      </c>
    </row>
    <row r="6090">
      <c r="B6090" s="25" t="n"/>
      <c r="I6090" s="25" t="n"/>
      <c r="U6090" s="19">
        <f>IF($V6090&lt;&gt;'設定'!$C$4,N(U6089),IF(OR(NOT(COUNTIF('商品マスタ'!$B$6:$B$1005,$W6090)=0),COUNTIFS('①在庫を貼る'!$V$6:$V$10005,$V6090,'①在庫を貼る'!$W$6:$W$10005,$W6090)+COUNTIFS('月1回_1ヶ月前の在庫'!$V$6:$V$10005,$V6090,'月1回_1ヶ月前の在庫'!$W$6:$W$10005,$W6090)&gt;0),N(U6089),N(U6089)+1))</f>
        <v/>
      </c>
      <c r="V6090" s="19">
        <f>IF($B6090="","",TEXT($B6090,"0000"))</f>
        <v/>
      </c>
      <c r="W6090" s="19">
        <f>IF($I6090="","",IF(ISNUMBER($I6090),TEXT($I6090,"0"),$I6090))</f>
        <v/>
      </c>
    </row>
    <row r="6091">
      <c r="B6091" s="25" t="n"/>
      <c r="I6091" s="25" t="n"/>
      <c r="U6091" s="19">
        <f>IF($V6091&lt;&gt;'設定'!$C$4,N(U6090),IF(OR(NOT(COUNTIF('商品マスタ'!$B$6:$B$1005,$W6091)=0),COUNTIFS('①在庫を貼る'!$V$6:$V$10005,$V6091,'①在庫を貼る'!$W$6:$W$10005,$W6091)+COUNTIFS('月1回_1ヶ月前の在庫'!$V$6:$V$10005,$V6091,'月1回_1ヶ月前の在庫'!$W$6:$W$10005,$W6091)&gt;0),N(U6090),N(U6090)+1))</f>
        <v/>
      </c>
      <c r="V6091" s="19">
        <f>IF($B6091="","",TEXT($B6091,"0000"))</f>
        <v/>
      </c>
      <c r="W6091" s="19">
        <f>IF($I6091="","",IF(ISNUMBER($I6091),TEXT($I6091,"0"),$I6091))</f>
        <v/>
      </c>
    </row>
    <row r="6092">
      <c r="B6092" s="25" t="n"/>
      <c r="I6092" s="25" t="n"/>
      <c r="U6092" s="19">
        <f>IF($V6092&lt;&gt;'設定'!$C$4,N(U6091),IF(OR(NOT(COUNTIF('商品マスタ'!$B$6:$B$1005,$W6092)=0),COUNTIFS('①在庫を貼る'!$V$6:$V$10005,$V6092,'①在庫を貼る'!$W$6:$W$10005,$W6092)+COUNTIFS('月1回_1ヶ月前の在庫'!$V$6:$V$10005,$V6092,'月1回_1ヶ月前の在庫'!$W$6:$W$10005,$W6092)&gt;0),N(U6091),N(U6091)+1))</f>
        <v/>
      </c>
      <c r="V6092" s="19">
        <f>IF($B6092="","",TEXT($B6092,"0000"))</f>
        <v/>
      </c>
      <c r="W6092" s="19">
        <f>IF($I6092="","",IF(ISNUMBER($I6092),TEXT($I6092,"0"),$I6092))</f>
        <v/>
      </c>
    </row>
    <row r="6093">
      <c r="B6093" s="25" t="n"/>
      <c r="I6093" s="25" t="n"/>
      <c r="U6093" s="19">
        <f>IF($V6093&lt;&gt;'設定'!$C$4,N(U6092),IF(OR(NOT(COUNTIF('商品マスタ'!$B$6:$B$1005,$W6093)=0),COUNTIFS('①在庫を貼る'!$V$6:$V$10005,$V6093,'①在庫を貼る'!$W$6:$W$10005,$W6093)+COUNTIFS('月1回_1ヶ月前の在庫'!$V$6:$V$10005,$V6093,'月1回_1ヶ月前の在庫'!$W$6:$W$10005,$W6093)&gt;0),N(U6092),N(U6092)+1))</f>
        <v/>
      </c>
      <c r="V6093" s="19">
        <f>IF($B6093="","",TEXT($B6093,"0000"))</f>
        <v/>
      </c>
      <c r="W6093" s="19">
        <f>IF($I6093="","",IF(ISNUMBER($I6093),TEXT($I6093,"0"),$I6093))</f>
        <v/>
      </c>
    </row>
    <row r="6094">
      <c r="B6094" s="25" t="n"/>
      <c r="I6094" s="25" t="n"/>
      <c r="U6094" s="19">
        <f>IF($V6094&lt;&gt;'設定'!$C$4,N(U6093),IF(OR(NOT(COUNTIF('商品マスタ'!$B$6:$B$1005,$W6094)=0),COUNTIFS('①在庫を貼る'!$V$6:$V$10005,$V6094,'①在庫を貼る'!$W$6:$W$10005,$W6094)+COUNTIFS('月1回_1ヶ月前の在庫'!$V$6:$V$10005,$V6094,'月1回_1ヶ月前の在庫'!$W$6:$W$10005,$W6094)&gt;0),N(U6093),N(U6093)+1))</f>
        <v/>
      </c>
      <c r="V6094" s="19">
        <f>IF($B6094="","",TEXT($B6094,"0000"))</f>
        <v/>
      </c>
      <c r="W6094" s="19">
        <f>IF($I6094="","",IF(ISNUMBER($I6094),TEXT($I6094,"0"),$I6094))</f>
        <v/>
      </c>
    </row>
    <row r="6095">
      <c r="B6095" s="25" t="n"/>
      <c r="I6095" s="25" t="n"/>
      <c r="U6095" s="19">
        <f>IF($V6095&lt;&gt;'設定'!$C$4,N(U6094),IF(OR(NOT(COUNTIF('商品マスタ'!$B$6:$B$1005,$W6095)=0),COUNTIFS('①在庫を貼る'!$V$6:$V$10005,$V6095,'①在庫を貼る'!$W$6:$W$10005,$W6095)+COUNTIFS('月1回_1ヶ月前の在庫'!$V$6:$V$10005,$V6095,'月1回_1ヶ月前の在庫'!$W$6:$W$10005,$W6095)&gt;0),N(U6094),N(U6094)+1))</f>
        <v/>
      </c>
      <c r="V6095" s="19">
        <f>IF($B6095="","",TEXT($B6095,"0000"))</f>
        <v/>
      </c>
      <c r="W6095" s="19">
        <f>IF($I6095="","",IF(ISNUMBER($I6095),TEXT($I6095,"0"),$I6095))</f>
        <v/>
      </c>
    </row>
    <row r="6096">
      <c r="B6096" s="25" t="n"/>
      <c r="I6096" s="25" t="n"/>
      <c r="U6096" s="19">
        <f>IF($V6096&lt;&gt;'設定'!$C$4,N(U6095),IF(OR(NOT(COUNTIF('商品マスタ'!$B$6:$B$1005,$W6096)=0),COUNTIFS('①在庫を貼る'!$V$6:$V$10005,$V6096,'①在庫を貼る'!$W$6:$W$10005,$W6096)+COUNTIFS('月1回_1ヶ月前の在庫'!$V$6:$V$10005,$V6096,'月1回_1ヶ月前の在庫'!$W$6:$W$10005,$W6096)&gt;0),N(U6095),N(U6095)+1))</f>
        <v/>
      </c>
      <c r="V6096" s="19">
        <f>IF($B6096="","",TEXT($B6096,"0000"))</f>
        <v/>
      </c>
      <c r="W6096" s="19">
        <f>IF($I6096="","",IF(ISNUMBER($I6096),TEXT($I6096,"0"),$I6096))</f>
        <v/>
      </c>
    </row>
    <row r="6097">
      <c r="B6097" s="25" t="n"/>
      <c r="I6097" s="25" t="n"/>
      <c r="U6097" s="19">
        <f>IF($V6097&lt;&gt;'設定'!$C$4,N(U6096),IF(OR(NOT(COUNTIF('商品マスタ'!$B$6:$B$1005,$W6097)=0),COUNTIFS('①在庫を貼る'!$V$6:$V$10005,$V6097,'①在庫を貼る'!$W$6:$W$10005,$W6097)+COUNTIFS('月1回_1ヶ月前の在庫'!$V$6:$V$10005,$V6097,'月1回_1ヶ月前の在庫'!$W$6:$W$10005,$W6097)&gt;0),N(U6096),N(U6096)+1))</f>
        <v/>
      </c>
      <c r="V6097" s="19">
        <f>IF($B6097="","",TEXT($B6097,"0000"))</f>
        <v/>
      </c>
      <c r="W6097" s="19">
        <f>IF($I6097="","",IF(ISNUMBER($I6097),TEXT($I6097,"0"),$I6097))</f>
        <v/>
      </c>
    </row>
    <row r="6098">
      <c r="B6098" s="25" t="n"/>
      <c r="I6098" s="25" t="n"/>
      <c r="U6098" s="19">
        <f>IF($V6098&lt;&gt;'設定'!$C$4,N(U6097),IF(OR(NOT(COUNTIF('商品マスタ'!$B$6:$B$1005,$W6098)=0),COUNTIFS('①在庫を貼る'!$V$6:$V$10005,$V6098,'①在庫を貼る'!$W$6:$W$10005,$W6098)+COUNTIFS('月1回_1ヶ月前の在庫'!$V$6:$V$10005,$V6098,'月1回_1ヶ月前の在庫'!$W$6:$W$10005,$W6098)&gt;0),N(U6097),N(U6097)+1))</f>
        <v/>
      </c>
      <c r="V6098" s="19">
        <f>IF($B6098="","",TEXT($B6098,"0000"))</f>
        <v/>
      </c>
      <c r="W6098" s="19">
        <f>IF($I6098="","",IF(ISNUMBER($I6098),TEXT($I6098,"0"),$I6098))</f>
        <v/>
      </c>
    </row>
    <row r="6099">
      <c r="B6099" s="25" t="n"/>
      <c r="I6099" s="25" t="n"/>
      <c r="U6099" s="19">
        <f>IF($V6099&lt;&gt;'設定'!$C$4,N(U6098),IF(OR(NOT(COUNTIF('商品マスタ'!$B$6:$B$1005,$W6099)=0),COUNTIFS('①在庫を貼る'!$V$6:$V$10005,$V6099,'①在庫を貼る'!$W$6:$W$10005,$W6099)+COUNTIFS('月1回_1ヶ月前の在庫'!$V$6:$V$10005,$V6099,'月1回_1ヶ月前の在庫'!$W$6:$W$10005,$W6099)&gt;0),N(U6098),N(U6098)+1))</f>
        <v/>
      </c>
      <c r="V6099" s="19">
        <f>IF($B6099="","",TEXT($B6099,"0000"))</f>
        <v/>
      </c>
      <c r="W6099" s="19">
        <f>IF($I6099="","",IF(ISNUMBER($I6099),TEXT($I6099,"0"),$I6099))</f>
        <v/>
      </c>
    </row>
    <row r="6100">
      <c r="B6100" s="25" t="n"/>
      <c r="I6100" s="25" t="n"/>
      <c r="U6100" s="19">
        <f>IF($V6100&lt;&gt;'設定'!$C$4,N(U6099),IF(OR(NOT(COUNTIF('商品マスタ'!$B$6:$B$1005,$W6100)=0),COUNTIFS('①在庫を貼る'!$V$6:$V$10005,$V6100,'①在庫を貼る'!$W$6:$W$10005,$W6100)+COUNTIFS('月1回_1ヶ月前の在庫'!$V$6:$V$10005,$V6100,'月1回_1ヶ月前の在庫'!$W$6:$W$10005,$W6100)&gt;0),N(U6099),N(U6099)+1))</f>
        <v/>
      </c>
      <c r="V6100" s="19">
        <f>IF($B6100="","",TEXT($B6100,"0000"))</f>
        <v/>
      </c>
      <c r="W6100" s="19">
        <f>IF($I6100="","",IF(ISNUMBER($I6100),TEXT($I6100,"0"),$I6100))</f>
        <v/>
      </c>
    </row>
    <row r="6101">
      <c r="B6101" s="25" t="n"/>
      <c r="I6101" s="25" t="n"/>
      <c r="U6101" s="19">
        <f>IF($V6101&lt;&gt;'設定'!$C$4,N(U6100),IF(OR(NOT(COUNTIF('商品マスタ'!$B$6:$B$1005,$W6101)=0),COUNTIFS('①在庫を貼る'!$V$6:$V$10005,$V6101,'①在庫を貼る'!$W$6:$W$10005,$W6101)+COUNTIFS('月1回_1ヶ月前の在庫'!$V$6:$V$10005,$V6101,'月1回_1ヶ月前の在庫'!$W$6:$W$10005,$W6101)&gt;0),N(U6100),N(U6100)+1))</f>
        <v/>
      </c>
      <c r="V6101" s="19">
        <f>IF($B6101="","",TEXT($B6101,"0000"))</f>
        <v/>
      </c>
      <c r="W6101" s="19">
        <f>IF($I6101="","",IF(ISNUMBER($I6101),TEXT($I6101,"0"),$I6101))</f>
        <v/>
      </c>
    </row>
    <row r="6102">
      <c r="B6102" s="25" t="n"/>
      <c r="I6102" s="25" t="n"/>
      <c r="U6102" s="19">
        <f>IF($V6102&lt;&gt;'設定'!$C$4,N(U6101),IF(OR(NOT(COUNTIF('商品マスタ'!$B$6:$B$1005,$W6102)=0),COUNTIFS('①在庫を貼る'!$V$6:$V$10005,$V6102,'①在庫を貼る'!$W$6:$W$10005,$W6102)+COUNTIFS('月1回_1ヶ月前の在庫'!$V$6:$V$10005,$V6102,'月1回_1ヶ月前の在庫'!$W$6:$W$10005,$W6102)&gt;0),N(U6101),N(U6101)+1))</f>
        <v/>
      </c>
      <c r="V6102" s="19">
        <f>IF($B6102="","",TEXT($B6102,"0000"))</f>
        <v/>
      </c>
      <c r="W6102" s="19">
        <f>IF($I6102="","",IF(ISNUMBER($I6102),TEXT($I6102,"0"),$I6102))</f>
        <v/>
      </c>
    </row>
    <row r="6103">
      <c r="B6103" s="25" t="n"/>
      <c r="I6103" s="25" t="n"/>
      <c r="U6103" s="19">
        <f>IF($V6103&lt;&gt;'設定'!$C$4,N(U6102),IF(OR(NOT(COUNTIF('商品マスタ'!$B$6:$B$1005,$W6103)=0),COUNTIFS('①在庫を貼る'!$V$6:$V$10005,$V6103,'①在庫を貼る'!$W$6:$W$10005,$W6103)+COUNTIFS('月1回_1ヶ月前の在庫'!$V$6:$V$10005,$V6103,'月1回_1ヶ月前の在庫'!$W$6:$W$10005,$W6103)&gt;0),N(U6102),N(U6102)+1))</f>
        <v/>
      </c>
      <c r="V6103" s="19">
        <f>IF($B6103="","",TEXT($B6103,"0000"))</f>
        <v/>
      </c>
      <c r="W6103" s="19">
        <f>IF($I6103="","",IF(ISNUMBER($I6103),TEXT($I6103,"0"),$I6103))</f>
        <v/>
      </c>
    </row>
    <row r="6104">
      <c r="B6104" s="25" t="n"/>
      <c r="I6104" s="25" t="n"/>
      <c r="U6104" s="19">
        <f>IF($V6104&lt;&gt;'設定'!$C$4,N(U6103),IF(OR(NOT(COUNTIF('商品マスタ'!$B$6:$B$1005,$W6104)=0),COUNTIFS('①在庫を貼る'!$V$6:$V$10005,$V6104,'①在庫を貼る'!$W$6:$W$10005,$W6104)+COUNTIFS('月1回_1ヶ月前の在庫'!$V$6:$V$10005,$V6104,'月1回_1ヶ月前の在庫'!$W$6:$W$10005,$W6104)&gt;0),N(U6103),N(U6103)+1))</f>
        <v/>
      </c>
      <c r="V6104" s="19">
        <f>IF($B6104="","",TEXT($B6104,"0000"))</f>
        <v/>
      </c>
      <c r="W6104" s="19">
        <f>IF($I6104="","",IF(ISNUMBER($I6104),TEXT($I6104,"0"),$I6104))</f>
        <v/>
      </c>
    </row>
    <row r="6105">
      <c r="B6105" s="25" t="n"/>
      <c r="I6105" s="25" t="n"/>
      <c r="U6105" s="19">
        <f>IF($V6105&lt;&gt;'設定'!$C$4,N(U6104),IF(OR(NOT(COUNTIF('商品マスタ'!$B$6:$B$1005,$W6105)=0),COUNTIFS('①在庫を貼る'!$V$6:$V$10005,$V6105,'①在庫を貼る'!$W$6:$W$10005,$W6105)+COUNTIFS('月1回_1ヶ月前の在庫'!$V$6:$V$10005,$V6105,'月1回_1ヶ月前の在庫'!$W$6:$W$10005,$W6105)&gt;0),N(U6104),N(U6104)+1))</f>
        <v/>
      </c>
      <c r="V6105" s="19">
        <f>IF($B6105="","",TEXT($B6105,"0000"))</f>
        <v/>
      </c>
      <c r="W6105" s="19">
        <f>IF($I6105="","",IF(ISNUMBER($I6105),TEXT($I6105,"0"),$I6105))</f>
        <v/>
      </c>
    </row>
    <row r="6106">
      <c r="B6106" s="25" t="n"/>
      <c r="I6106" s="25" t="n"/>
      <c r="U6106" s="19">
        <f>IF($V6106&lt;&gt;'設定'!$C$4,N(U6105),IF(OR(NOT(COUNTIF('商品マスタ'!$B$6:$B$1005,$W6106)=0),COUNTIFS('①在庫を貼る'!$V$6:$V$10005,$V6106,'①在庫を貼る'!$W$6:$W$10005,$W6106)+COUNTIFS('月1回_1ヶ月前の在庫'!$V$6:$V$10005,$V6106,'月1回_1ヶ月前の在庫'!$W$6:$W$10005,$W6106)&gt;0),N(U6105),N(U6105)+1))</f>
        <v/>
      </c>
      <c r="V6106" s="19">
        <f>IF($B6106="","",TEXT($B6106,"0000"))</f>
        <v/>
      </c>
      <c r="W6106" s="19">
        <f>IF($I6106="","",IF(ISNUMBER($I6106),TEXT($I6106,"0"),$I6106))</f>
        <v/>
      </c>
    </row>
    <row r="6107">
      <c r="B6107" s="25" t="n"/>
      <c r="I6107" s="25" t="n"/>
      <c r="U6107" s="19">
        <f>IF($V6107&lt;&gt;'設定'!$C$4,N(U6106),IF(OR(NOT(COUNTIF('商品マスタ'!$B$6:$B$1005,$W6107)=0),COUNTIFS('①在庫を貼る'!$V$6:$V$10005,$V6107,'①在庫を貼る'!$W$6:$W$10005,$W6107)+COUNTIFS('月1回_1ヶ月前の在庫'!$V$6:$V$10005,$V6107,'月1回_1ヶ月前の在庫'!$W$6:$W$10005,$W6107)&gt;0),N(U6106),N(U6106)+1))</f>
        <v/>
      </c>
      <c r="V6107" s="19">
        <f>IF($B6107="","",TEXT($B6107,"0000"))</f>
        <v/>
      </c>
      <c r="W6107" s="19">
        <f>IF($I6107="","",IF(ISNUMBER($I6107),TEXT($I6107,"0"),$I6107))</f>
        <v/>
      </c>
    </row>
    <row r="6108">
      <c r="B6108" s="25" t="n"/>
      <c r="I6108" s="25" t="n"/>
      <c r="U6108" s="19">
        <f>IF($V6108&lt;&gt;'設定'!$C$4,N(U6107),IF(OR(NOT(COUNTIF('商品マスタ'!$B$6:$B$1005,$W6108)=0),COUNTIFS('①在庫を貼る'!$V$6:$V$10005,$V6108,'①在庫を貼る'!$W$6:$W$10005,$W6108)+COUNTIFS('月1回_1ヶ月前の在庫'!$V$6:$V$10005,$V6108,'月1回_1ヶ月前の在庫'!$W$6:$W$10005,$W6108)&gt;0),N(U6107),N(U6107)+1))</f>
        <v/>
      </c>
      <c r="V6108" s="19">
        <f>IF($B6108="","",TEXT($B6108,"0000"))</f>
        <v/>
      </c>
      <c r="W6108" s="19">
        <f>IF($I6108="","",IF(ISNUMBER($I6108),TEXT($I6108,"0"),$I6108))</f>
        <v/>
      </c>
    </row>
    <row r="6109">
      <c r="B6109" s="25" t="n"/>
      <c r="I6109" s="25" t="n"/>
      <c r="U6109" s="19">
        <f>IF($V6109&lt;&gt;'設定'!$C$4,N(U6108),IF(OR(NOT(COUNTIF('商品マスタ'!$B$6:$B$1005,$W6109)=0),COUNTIFS('①在庫を貼る'!$V$6:$V$10005,$V6109,'①在庫を貼る'!$W$6:$W$10005,$W6109)+COUNTIFS('月1回_1ヶ月前の在庫'!$V$6:$V$10005,$V6109,'月1回_1ヶ月前の在庫'!$W$6:$W$10005,$W6109)&gt;0),N(U6108),N(U6108)+1))</f>
        <v/>
      </c>
      <c r="V6109" s="19">
        <f>IF($B6109="","",TEXT($B6109,"0000"))</f>
        <v/>
      </c>
      <c r="W6109" s="19">
        <f>IF($I6109="","",IF(ISNUMBER($I6109),TEXT($I6109,"0"),$I6109))</f>
        <v/>
      </c>
    </row>
    <row r="6110">
      <c r="B6110" s="25" t="n"/>
      <c r="I6110" s="25" t="n"/>
      <c r="U6110" s="19">
        <f>IF($V6110&lt;&gt;'設定'!$C$4,N(U6109),IF(OR(NOT(COUNTIF('商品マスタ'!$B$6:$B$1005,$W6110)=0),COUNTIFS('①在庫を貼る'!$V$6:$V$10005,$V6110,'①在庫を貼る'!$W$6:$W$10005,$W6110)+COUNTIFS('月1回_1ヶ月前の在庫'!$V$6:$V$10005,$V6110,'月1回_1ヶ月前の在庫'!$W$6:$W$10005,$W6110)&gt;0),N(U6109),N(U6109)+1))</f>
        <v/>
      </c>
      <c r="V6110" s="19">
        <f>IF($B6110="","",TEXT($B6110,"0000"))</f>
        <v/>
      </c>
      <c r="W6110" s="19">
        <f>IF($I6110="","",IF(ISNUMBER($I6110),TEXT($I6110,"0"),$I6110))</f>
        <v/>
      </c>
    </row>
    <row r="6111">
      <c r="B6111" s="25" t="n"/>
      <c r="I6111" s="25" t="n"/>
      <c r="U6111" s="19">
        <f>IF($V6111&lt;&gt;'設定'!$C$4,N(U6110),IF(OR(NOT(COUNTIF('商品マスタ'!$B$6:$B$1005,$W6111)=0),COUNTIFS('①在庫を貼る'!$V$6:$V$10005,$V6111,'①在庫を貼る'!$W$6:$W$10005,$W6111)+COUNTIFS('月1回_1ヶ月前の在庫'!$V$6:$V$10005,$V6111,'月1回_1ヶ月前の在庫'!$W$6:$W$10005,$W6111)&gt;0),N(U6110),N(U6110)+1))</f>
        <v/>
      </c>
      <c r="V6111" s="19">
        <f>IF($B6111="","",TEXT($B6111,"0000"))</f>
        <v/>
      </c>
      <c r="W6111" s="19">
        <f>IF($I6111="","",IF(ISNUMBER($I6111),TEXT($I6111,"0"),$I6111))</f>
        <v/>
      </c>
    </row>
    <row r="6112">
      <c r="B6112" s="25" t="n"/>
      <c r="I6112" s="25" t="n"/>
      <c r="U6112" s="19">
        <f>IF($V6112&lt;&gt;'設定'!$C$4,N(U6111),IF(OR(NOT(COUNTIF('商品マスタ'!$B$6:$B$1005,$W6112)=0),COUNTIFS('①在庫を貼る'!$V$6:$V$10005,$V6112,'①在庫を貼る'!$W$6:$W$10005,$W6112)+COUNTIFS('月1回_1ヶ月前の在庫'!$V$6:$V$10005,$V6112,'月1回_1ヶ月前の在庫'!$W$6:$W$10005,$W6112)&gt;0),N(U6111),N(U6111)+1))</f>
        <v/>
      </c>
      <c r="V6112" s="19">
        <f>IF($B6112="","",TEXT($B6112,"0000"))</f>
        <v/>
      </c>
      <c r="W6112" s="19">
        <f>IF($I6112="","",IF(ISNUMBER($I6112),TEXT($I6112,"0"),$I6112))</f>
        <v/>
      </c>
    </row>
    <row r="6113">
      <c r="B6113" s="25" t="n"/>
      <c r="I6113" s="25" t="n"/>
      <c r="U6113" s="19">
        <f>IF($V6113&lt;&gt;'設定'!$C$4,N(U6112),IF(OR(NOT(COUNTIF('商品マスタ'!$B$6:$B$1005,$W6113)=0),COUNTIFS('①在庫を貼る'!$V$6:$V$10005,$V6113,'①在庫を貼る'!$W$6:$W$10005,$W6113)+COUNTIFS('月1回_1ヶ月前の在庫'!$V$6:$V$10005,$V6113,'月1回_1ヶ月前の在庫'!$W$6:$W$10005,$W6113)&gt;0),N(U6112),N(U6112)+1))</f>
        <v/>
      </c>
      <c r="V6113" s="19">
        <f>IF($B6113="","",TEXT($B6113,"0000"))</f>
        <v/>
      </c>
      <c r="W6113" s="19">
        <f>IF($I6113="","",IF(ISNUMBER($I6113),TEXT($I6113,"0"),$I6113))</f>
        <v/>
      </c>
    </row>
    <row r="6114">
      <c r="B6114" s="25" t="n"/>
      <c r="I6114" s="25" t="n"/>
      <c r="U6114" s="19">
        <f>IF($V6114&lt;&gt;'設定'!$C$4,N(U6113),IF(OR(NOT(COUNTIF('商品マスタ'!$B$6:$B$1005,$W6114)=0),COUNTIFS('①在庫を貼る'!$V$6:$V$10005,$V6114,'①在庫を貼る'!$W$6:$W$10005,$W6114)+COUNTIFS('月1回_1ヶ月前の在庫'!$V$6:$V$10005,$V6114,'月1回_1ヶ月前の在庫'!$W$6:$W$10005,$W6114)&gt;0),N(U6113),N(U6113)+1))</f>
        <v/>
      </c>
      <c r="V6114" s="19">
        <f>IF($B6114="","",TEXT($B6114,"0000"))</f>
        <v/>
      </c>
      <c r="W6114" s="19">
        <f>IF($I6114="","",IF(ISNUMBER($I6114),TEXT($I6114,"0"),$I6114))</f>
        <v/>
      </c>
    </row>
    <row r="6115">
      <c r="B6115" s="25" t="n"/>
      <c r="I6115" s="25" t="n"/>
      <c r="U6115" s="19">
        <f>IF($V6115&lt;&gt;'設定'!$C$4,N(U6114),IF(OR(NOT(COUNTIF('商品マスタ'!$B$6:$B$1005,$W6115)=0),COUNTIFS('①在庫を貼る'!$V$6:$V$10005,$V6115,'①在庫を貼る'!$W$6:$W$10005,$W6115)+COUNTIFS('月1回_1ヶ月前の在庫'!$V$6:$V$10005,$V6115,'月1回_1ヶ月前の在庫'!$W$6:$W$10005,$W6115)&gt;0),N(U6114),N(U6114)+1))</f>
        <v/>
      </c>
      <c r="V6115" s="19">
        <f>IF($B6115="","",TEXT($B6115,"0000"))</f>
        <v/>
      </c>
      <c r="W6115" s="19">
        <f>IF($I6115="","",IF(ISNUMBER($I6115),TEXT($I6115,"0"),$I6115))</f>
        <v/>
      </c>
    </row>
    <row r="6116">
      <c r="B6116" s="25" t="n"/>
      <c r="I6116" s="25" t="n"/>
      <c r="U6116" s="19">
        <f>IF($V6116&lt;&gt;'設定'!$C$4,N(U6115),IF(OR(NOT(COUNTIF('商品マスタ'!$B$6:$B$1005,$W6116)=0),COUNTIFS('①在庫を貼る'!$V$6:$V$10005,$V6116,'①在庫を貼る'!$W$6:$W$10005,$W6116)+COUNTIFS('月1回_1ヶ月前の在庫'!$V$6:$V$10005,$V6116,'月1回_1ヶ月前の在庫'!$W$6:$W$10005,$W6116)&gt;0),N(U6115),N(U6115)+1))</f>
        <v/>
      </c>
      <c r="V6116" s="19">
        <f>IF($B6116="","",TEXT($B6116,"0000"))</f>
        <v/>
      </c>
      <c r="W6116" s="19">
        <f>IF($I6116="","",IF(ISNUMBER($I6116),TEXT($I6116,"0"),$I6116))</f>
        <v/>
      </c>
    </row>
    <row r="6117">
      <c r="B6117" s="25" t="n"/>
      <c r="I6117" s="25" t="n"/>
      <c r="U6117" s="19">
        <f>IF($V6117&lt;&gt;'設定'!$C$4,N(U6116),IF(OR(NOT(COUNTIF('商品マスタ'!$B$6:$B$1005,$W6117)=0),COUNTIFS('①在庫を貼る'!$V$6:$V$10005,$V6117,'①在庫を貼る'!$W$6:$W$10005,$W6117)+COUNTIFS('月1回_1ヶ月前の在庫'!$V$6:$V$10005,$V6117,'月1回_1ヶ月前の在庫'!$W$6:$W$10005,$W6117)&gt;0),N(U6116),N(U6116)+1))</f>
        <v/>
      </c>
      <c r="V6117" s="19">
        <f>IF($B6117="","",TEXT($B6117,"0000"))</f>
        <v/>
      </c>
      <c r="W6117" s="19">
        <f>IF($I6117="","",IF(ISNUMBER($I6117),TEXT($I6117,"0"),$I6117))</f>
        <v/>
      </c>
    </row>
    <row r="6118">
      <c r="B6118" s="25" t="n"/>
      <c r="I6118" s="25" t="n"/>
      <c r="U6118" s="19">
        <f>IF($V6118&lt;&gt;'設定'!$C$4,N(U6117),IF(OR(NOT(COUNTIF('商品マスタ'!$B$6:$B$1005,$W6118)=0),COUNTIFS('①在庫を貼る'!$V$6:$V$10005,$V6118,'①在庫を貼る'!$W$6:$W$10005,$W6118)+COUNTIFS('月1回_1ヶ月前の在庫'!$V$6:$V$10005,$V6118,'月1回_1ヶ月前の在庫'!$W$6:$W$10005,$W6118)&gt;0),N(U6117),N(U6117)+1))</f>
        <v/>
      </c>
      <c r="V6118" s="19">
        <f>IF($B6118="","",TEXT($B6118,"0000"))</f>
        <v/>
      </c>
      <c r="W6118" s="19">
        <f>IF($I6118="","",IF(ISNUMBER($I6118),TEXT($I6118,"0"),$I6118))</f>
        <v/>
      </c>
    </row>
    <row r="6119">
      <c r="B6119" s="25" t="n"/>
      <c r="I6119" s="25" t="n"/>
      <c r="U6119" s="19">
        <f>IF($V6119&lt;&gt;'設定'!$C$4,N(U6118),IF(OR(NOT(COUNTIF('商品マスタ'!$B$6:$B$1005,$W6119)=0),COUNTIFS('①在庫を貼る'!$V$6:$V$10005,$V6119,'①在庫を貼る'!$W$6:$W$10005,$W6119)+COUNTIFS('月1回_1ヶ月前の在庫'!$V$6:$V$10005,$V6119,'月1回_1ヶ月前の在庫'!$W$6:$W$10005,$W6119)&gt;0),N(U6118),N(U6118)+1))</f>
        <v/>
      </c>
      <c r="V6119" s="19">
        <f>IF($B6119="","",TEXT($B6119,"0000"))</f>
        <v/>
      </c>
      <c r="W6119" s="19">
        <f>IF($I6119="","",IF(ISNUMBER($I6119),TEXT($I6119,"0"),$I6119))</f>
        <v/>
      </c>
    </row>
    <row r="6120">
      <c r="B6120" s="25" t="n"/>
      <c r="I6120" s="25" t="n"/>
      <c r="U6120" s="19">
        <f>IF($V6120&lt;&gt;'設定'!$C$4,N(U6119),IF(OR(NOT(COUNTIF('商品マスタ'!$B$6:$B$1005,$W6120)=0),COUNTIFS('①在庫を貼る'!$V$6:$V$10005,$V6120,'①在庫を貼る'!$W$6:$W$10005,$W6120)+COUNTIFS('月1回_1ヶ月前の在庫'!$V$6:$V$10005,$V6120,'月1回_1ヶ月前の在庫'!$W$6:$W$10005,$W6120)&gt;0),N(U6119),N(U6119)+1))</f>
        <v/>
      </c>
      <c r="V6120" s="19">
        <f>IF($B6120="","",TEXT($B6120,"0000"))</f>
        <v/>
      </c>
      <c r="W6120" s="19">
        <f>IF($I6120="","",IF(ISNUMBER($I6120),TEXT($I6120,"0"),$I6120))</f>
        <v/>
      </c>
    </row>
    <row r="6121">
      <c r="B6121" s="25" t="n"/>
      <c r="I6121" s="25" t="n"/>
      <c r="U6121" s="19">
        <f>IF($V6121&lt;&gt;'設定'!$C$4,N(U6120),IF(OR(NOT(COUNTIF('商品マスタ'!$B$6:$B$1005,$W6121)=0),COUNTIFS('①在庫を貼る'!$V$6:$V$10005,$V6121,'①在庫を貼る'!$W$6:$W$10005,$W6121)+COUNTIFS('月1回_1ヶ月前の在庫'!$V$6:$V$10005,$V6121,'月1回_1ヶ月前の在庫'!$W$6:$W$10005,$W6121)&gt;0),N(U6120),N(U6120)+1))</f>
        <v/>
      </c>
      <c r="V6121" s="19">
        <f>IF($B6121="","",TEXT($B6121,"0000"))</f>
        <v/>
      </c>
      <c r="W6121" s="19">
        <f>IF($I6121="","",IF(ISNUMBER($I6121),TEXT($I6121,"0"),$I6121))</f>
        <v/>
      </c>
    </row>
    <row r="6122">
      <c r="B6122" s="25" t="n"/>
      <c r="I6122" s="25" t="n"/>
      <c r="U6122" s="19">
        <f>IF($V6122&lt;&gt;'設定'!$C$4,N(U6121),IF(OR(NOT(COUNTIF('商品マスタ'!$B$6:$B$1005,$W6122)=0),COUNTIFS('①在庫を貼る'!$V$6:$V$10005,$V6122,'①在庫を貼る'!$W$6:$W$10005,$W6122)+COUNTIFS('月1回_1ヶ月前の在庫'!$V$6:$V$10005,$V6122,'月1回_1ヶ月前の在庫'!$W$6:$W$10005,$W6122)&gt;0),N(U6121),N(U6121)+1))</f>
        <v/>
      </c>
      <c r="V6122" s="19">
        <f>IF($B6122="","",TEXT($B6122,"0000"))</f>
        <v/>
      </c>
      <c r="W6122" s="19">
        <f>IF($I6122="","",IF(ISNUMBER($I6122),TEXT($I6122,"0"),$I6122))</f>
        <v/>
      </c>
    </row>
    <row r="6123">
      <c r="B6123" s="25" t="n"/>
      <c r="I6123" s="25" t="n"/>
      <c r="U6123" s="19">
        <f>IF($V6123&lt;&gt;'設定'!$C$4,N(U6122),IF(OR(NOT(COUNTIF('商品マスタ'!$B$6:$B$1005,$W6123)=0),COUNTIFS('①在庫を貼る'!$V$6:$V$10005,$V6123,'①在庫を貼る'!$W$6:$W$10005,$W6123)+COUNTIFS('月1回_1ヶ月前の在庫'!$V$6:$V$10005,$V6123,'月1回_1ヶ月前の在庫'!$W$6:$W$10005,$W6123)&gt;0),N(U6122),N(U6122)+1))</f>
        <v/>
      </c>
      <c r="V6123" s="19">
        <f>IF($B6123="","",TEXT($B6123,"0000"))</f>
        <v/>
      </c>
      <c r="W6123" s="19">
        <f>IF($I6123="","",IF(ISNUMBER($I6123),TEXT($I6123,"0"),$I6123))</f>
        <v/>
      </c>
    </row>
    <row r="6124">
      <c r="B6124" s="25" t="n"/>
      <c r="I6124" s="25" t="n"/>
      <c r="U6124" s="19">
        <f>IF($V6124&lt;&gt;'設定'!$C$4,N(U6123),IF(OR(NOT(COUNTIF('商品マスタ'!$B$6:$B$1005,$W6124)=0),COUNTIFS('①在庫を貼る'!$V$6:$V$10005,$V6124,'①在庫を貼る'!$W$6:$W$10005,$W6124)+COUNTIFS('月1回_1ヶ月前の在庫'!$V$6:$V$10005,$V6124,'月1回_1ヶ月前の在庫'!$W$6:$W$10005,$W6124)&gt;0),N(U6123),N(U6123)+1))</f>
        <v/>
      </c>
      <c r="V6124" s="19">
        <f>IF($B6124="","",TEXT($B6124,"0000"))</f>
        <v/>
      </c>
      <c r="W6124" s="19">
        <f>IF($I6124="","",IF(ISNUMBER($I6124),TEXT($I6124,"0"),$I6124))</f>
        <v/>
      </c>
    </row>
    <row r="6125">
      <c r="B6125" s="25" t="n"/>
      <c r="I6125" s="25" t="n"/>
      <c r="U6125" s="19">
        <f>IF($V6125&lt;&gt;'設定'!$C$4,N(U6124),IF(OR(NOT(COUNTIF('商品マスタ'!$B$6:$B$1005,$W6125)=0),COUNTIFS('①在庫を貼る'!$V$6:$V$10005,$V6125,'①在庫を貼る'!$W$6:$W$10005,$W6125)+COUNTIFS('月1回_1ヶ月前の在庫'!$V$6:$V$10005,$V6125,'月1回_1ヶ月前の在庫'!$W$6:$W$10005,$W6125)&gt;0),N(U6124),N(U6124)+1))</f>
        <v/>
      </c>
      <c r="V6125" s="19">
        <f>IF($B6125="","",TEXT($B6125,"0000"))</f>
        <v/>
      </c>
      <c r="W6125" s="19">
        <f>IF($I6125="","",IF(ISNUMBER($I6125),TEXT($I6125,"0"),$I6125))</f>
        <v/>
      </c>
    </row>
    <row r="6126">
      <c r="B6126" s="25" t="n"/>
      <c r="I6126" s="25" t="n"/>
      <c r="U6126" s="19">
        <f>IF($V6126&lt;&gt;'設定'!$C$4,N(U6125),IF(OR(NOT(COUNTIF('商品マスタ'!$B$6:$B$1005,$W6126)=0),COUNTIFS('①在庫を貼る'!$V$6:$V$10005,$V6126,'①在庫を貼る'!$W$6:$W$10005,$W6126)+COUNTIFS('月1回_1ヶ月前の在庫'!$V$6:$V$10005,$V6126,'月1回_1ヶ月前の在庫'!$W$6:$W$10005,$W6126)&gt;0),N(U6125),N(U6125)+1))</f>
        <v/>
      </c>
      <c r="V6126" s="19">
        <f>IF($B6126="","",TEXT($B6126,"0000"))</f>
        <v/>
      </c>
      <c r="W6126" s="19">
        <f>IF($I6126="","",IF(ISNUMBER($I6126),TEXT($I6126,"0"),$I6126))</f>
        <v/>
      </c>
    </row>
    <row r="6127">
      <c r="B6127" s="25" t="n"/>
      <c r="I6127" s="25" t="n"/>
      <c r="U6127" s="19">
        <f>IF($V6127&lt;&gt;'設定'!$C$4,N(U6126),IF(OR(NOT(COUNTIF('商品マスタ'!$B$6:$B$1005,$W6127)=0),COUNTIFS('①在庫を貼る'!$V$6:$V$10005,$V6127,'①在庫を貼る'!$W$6:$W$10005,$W6127)+COUNTIFS('月1回_1ヶ月前の在庫'!$V$6:$V$10005,$V6127,'月1回_1ヶ月前の在庫'!$W$6:$W$10005,$W6127)&gt;0),N(U6126),N(U6126)+1))</f>
        <v/>
      </c>
      <c r="V6127" s="19">
        <f>IF($B6127="","",TEXT($B6127,"0000"))</f>
        <v/>
      </c>
      <c r="W6127" s="19">
        <f>IF($I6127="","",IF(ISNUMBER($I6127),TEXT($I6127,"0"),$I6127))</f>
        <v/>
      </c>
    </row>
    <row r="6128">
      <c r="B6128" s="25" t="n"/>
      <c r="I6128" s="25" t="n"/>
      <c r="U6128" s="19">
        <f>IF($V6128&lt;&gt;'設定'!$C$4,N(U6127),IF(OR(NOT(COUNTIF('商品マスタ'!$B$6:$B$1005,$W6128)=0),COUNTIFS('①在庫を貼る'!$V$6:$V$10005,$V6128,'①在庫を貼る'!$W$6:$W$10005,$W6128)+COUNTIFS('月1回_1ヶ月前の在庫'!$V$6:$V$10005,$V6128,'月1回_1ヶ月前の在庫'!$W$6:$W$10005,$W6128)&gt;0),N(U6127),N(U6127)+1))</f>
        <v/>
      </c>
      <c r="V6128" s="19">
        <f>IF($B6128="","",TEXT($B6128,"0000"))</f>
        <v/>
      </c>
      <c r="W6128" s="19">
        <f>IF($I6128="","",IF(ISNUMBER($I6128),TEXT($I6128,"0"),$I6128))</f>
        <v/>
      </c>
    </row>
    <row r="6129">
      <c r="B6129" s="25" t="n"/>
      <c r="I6129" s="25" t="n"/>
      <c r="U6129" s="19">
        <f>IF($V6129&lt;&gt;'設定'!$C$4,N(U6128),IF(OR(NOT(COUNTIF('商品マスタ'!$B$6:$B$1005,$W6129)=0),COUNTIFS('①在庫を貼る'!$V$6:$V$10005,$V6129,'①在庫を貼る'!$W$6:$W$10005,$W6129)+COUNTIFS('月1回_1ヶ月前の在庫'!$V$6:$V$10005,$V6129,'月1回_1ヶ月前の在庫'!$W$6:$W$10005,$W6129)&gt;0),N(U6128),N(U6128)+1))</f>
        <v/>
      </c>
      <c r="V6129" s="19">
        <f>IF($B6129="","",TEXT($B6129,"0000"))</f>
        <v/>
      </c>
      <c r="W6129" s="19">
        <f>IF($I6129="","",IF(ISNUMBER($I6129),TEXT($I6129,"0"),$I6129))</f>
        <v/>
      </c>
    </row>
    <row r="6130">
      <c r="B6130" s="25" t="n"/>
      <c r="I6130" s="25" t="n"/>
      <c r="U6130" s="19">
        <f>IF($V6130&lt;&gt;'設定'!$C$4,N(U6129),IF(OR(NOT(COUNTIF('商品マスタ'!$B$6:$B$1005,$W6130)=0),COUNTIFS('①在庫を貼る'!$V$6:$V$10005,$V6130,'①在庫を貼る'!$W$6:$W$10005,$W6130)+COUNTIFS('月1回_1ヶ月前の在庫'!$V$6:$V$10005,$V6130,'月1回_1ヶ月前の在庫'!$W$6:$W$10005,$W6130)&gt;0),N(U6129),N(U6129)+1))</f>
        <v/>
      </c>
      <c r="V6130" s="19">
        <f>IF($B6130="","",TEXT($B6130,"0000"))</f>
        <v/>
      </c>
      <c r="W6130" s="19">
        <f>IF($I6130="","",IF(ISNUMBER($I6130),TEXT($I6130,"0"),$I6130))</f>
        <v/>
      </c>
    </row>
    <row r="6131">
      <c r="B6131" s="25" t="n"/>
      <c r="I6131" s="25" t="n"/>
      <c r="U6131" s="19">
        <f>IF($V6131&lt;&gt;'設定'!$C$4,N(U6130),IF(OR(NOT(COUNTIF('商品マスタ'!$B$6:$B$1005,$W6131)=0),COUNTIFS('①在庫を貼る'!$V$6:$V$10005,$V6131,'①在庫を貼る'!$W$6:$W$10005,$W6131)+COUNTIFS('月1回_1ヶ月前の在庫'!$V$6:$V$10005,$V6131,'月1回_1ヶ月前の在庫'!$W$6:$W$10005,$W6131)&gt;0),N(U6130),N(U6130)+1))</f>
        <v/>
      </c>
      <c r="V6131" s="19">
        <f>IF($B6131="","",TEXT($B6131,"0000"))</f>
        <v/>
      </c>
      <c r="W6131" s="19">
        <f>IF($I6131="","",IF(ISNUMBER($I6131),TEXT($I6131,"0"),$I6131))</f>
        <v/>
      </c>
    </row>
    <row r="6132">
      <c r="B6132" s="25" t="n"/>
      <c r="I6132" s="25" t="n"/>
      <c r="U6132" s="19">
        <f>IF($V6132&lt;&gt;'設定'!$C$4,N(U6131),IF(OR(NOT(COUNTIF('商品マスタ'!$B$6:$B$1005,$W6132)=0),COUNTIFS('①在庫を貼る'!$V$6:$V$10005,$V6132,'①在庫を貼る'!$W$6:$W$10005,$W6132)+COUNTIFS('月1回_1ヶ月前の在庫'!$V$6:$V$10005,$V6132,'月1回_1ヶ月前の在庫'!$W$6:$W$10005,$W6132)&gt;0),N(U6131),N(U6131)+1))</f>
        <v/>
      </c>
      <c r="V6132" s="19">
        <f>IF($B6132="","",TEXT($B6132,"0000"))</f>
        <v/>
      </c>
      <c r="W6132" s="19">
        <f>IF($I6132="","",IF(ISNUMBER($I6132),TEXT($I6132,"0"),$I6132))</f>
        <v/>
      </c>
    </row>
    <row r="6133">
      <c r="B6133" s="25" t="n"/>
      <c r="I6133" s="25" t="n"/>
      <c r="U6133" s="19">
        <f>IF($V6133&lt;&gt;'設定'!$C$4,N(U6132),IF(OR(NOT(COUNTIF('商品マスタ'!$B$6:$B$1005,$W6133)=0),COUNTIFS('①在庫を貼る'!$V$6:$V$10005,$V6133,'①在庫を貼る'!$W$6:$W$10005,$W6133)+COUNTIFS('月1回_1ヶ月前の在庫'!$V$6:$V$10005,$V6133,'月1回_1ヶ月前の在庫'!$W$6:$W$10005,$W6133)&gt;0),N(U6132),N(U6132)+1))</f>
        <v/>
      </c>
      <c r="V6133" s="19">
        <f>IF($B6133="","",TEXT($B6133,"0000"))</f>
        <v/>
      </c>
      <c r="W6133" s="19">
        <f>IF($I6133="","",IF(ISNUMBER($I6133),TEXT($I6133,"0"),$I6133))</f>
        <v/>
      </c>
    </row>
    <row r="6134">
      <c r="B6134" s="25" t="n"/>
      <c r="I6134" s="25" t="n"/>
      <c r="U6134" s="19">
        <f>IF($V6134&lt;&gt;'設定'!$C$4,N(U6133),IF(OR(NOT(COUNTIF('商品マスタ'!$B$6:$B$1005,$W6134)=0),COUNTIFS('①在庫を貼る'!$V$6:$V$10005,$V6134,'①在庫を貼る'!$W$6:$W$10005,$W6134)+COUNTIFS('月1回_1ヶ月前の在庫'!$V$6:$V$10005,$V6134,'月1回_1ヶ月前の在庫'!$W$6:$W$10005,$W6134)&gt;0),N(U6133),N(U6133)+1))</f>
        <v/>
      </c>
      <c r="V6134" s="19">
        <f>IF($B6134="","",TEXT($B6134,"0000"))</f>
        <v/>
      </c>
      <c r="W6134" s="19">
        <f>IF($I6134="","",IF(ISNUMBER($I6134),TEXT($I6134,"0"),$I6134))</f>
        <v/>
      </c>
    </row>
    <row r="6135">
      <c r="B6135" s="25" t="n"/>
      <c r="I6135" s="25" t="n"/>
      <c r="U6135" s="19">
        <f>IF($V6135&lt;&gt;'設定'!$C$4,N(U6134),IF(OR(NOT(COUNTIF('商品マスタ'!$B$6:$B$1005,$W6135)=0),COUNTIFS('①在庫を貼る'!$V$6:$V$10005,$V6135,'①在庫を貼る'!$W$6:$W$10005,$W6135)+COUNTIFS('月1回_1ヶ月前の在庫'!$V$6:$V$10005,$V6135,'月1回_1ヶ月前の在庫'!$W$6:$W$10005,$W6135)&gt;0),N(U6134),N(U6134)+1))</f>
        <v/>
      </c>
      <c r="V6135" s="19">
        <f>IF($B6135="","",TEXT($B6135,"0000"))</f>
        <v/>
      </c>
      <c r="W6135" s="19">
        <f>IF($I6135="","",IF(ISNUMBER($I6135),TEXT($I6135,"0"),$I6135))</f>
        <v/>
      </c>
    </row>
    <row r="6136">
      <c r="B6136" s="25" t="n"/>
      <c r="I6136" s="25" t="n"/>
      <c r="U6136" s="19">
        <f>IF($V6136&lt;&gt;'設定'!$C$4,N(U6135),IF(OR(NOT(COUNTIF('商品マスタ'!$B$6:$B$1005,$W6136)=0),COUNTIFS('①在庫を貼る'!$V$6:$V$10005,$V6136,'①在庫を貼る'!$W$6:$W$10005,$W6136)+COUNTIFS('月1回_1ヶ月前の在庫'!$V$6:$V$10005,$V6136,'月1回_1ヶ月前の在庫'!$W$6:$W$10005,$W6136)&gt;0),N(U6135),N(U6135)+1))</f>
        <v/>
      </c>
      <c r="V6136" s="19">
        <f>IF($B6136="","",TEXT($B6136,"0000"))</f>
        <v/>
      </c>
      <c r="W6136" s="19">
        <f>IF($I6136="","",IF(ISNUMBER($I6136),TEXT($I6136,"0"),$I6136))</f>
        <v/>
      </c>
    </row>
    <row r="6137">
      <c r="B6137" s="25" t="n"/>
      <c r="I6137" s="25" t="n"/>
      <c r="U6137" s="19">
        <f>IF($V6137&lt;&gt;'設定'!$C$4,N(U6136),IF(OR(NOT(COUNTIF('商品マスタ'!$B$6:$B$1005,$W6137)=0),COUNTIFS('①在庫を貼る'!$V$6:$V$10005,$V6137,'①在庫を貼る'!$W$6:$W$10005,$W6137)+COUNTIFS('月1回_1ヶ月前の在庫'!$V$6:$V$10005,$V6137,'月1回_1ヶ月前の在庫'!$W$6:$W$10005,$W6137)&gt;0),N(U6136),N(U6136)+1))</f>
        <v/>
      </c>
      <c r="V6137" s="19">
        <f>IF($B6137="","",TEXT($B6137,"0000"))</f>
        <v/>
      </c>
      <c r="W6137" s="19">
        <f>IF($I6137="","",IF(ISNUMBER($I6137),TEXT($I6137,"0"),$I6137))</f>
        <v/>
      </c>
    </row>
    <row r="6138">
      <c r="B6138" s="25" t="n"/>
      <c r="I6138" s="25" t="n"/>
      <c r="U6138" s="19">
        <f>IF($V6138&lt;&gt;'設定'!$C$4,N(U6137),IF(OR(NOT(COUNTIF('商品マスタ'!$B$6:$B$1005,$W6138)=0),COUNTIFS('①在庫を貼る'!$V$6:$V$10005,$V6138,'①在庫を貼る'!$W$6:$W$10005,$W6138)+COUNTIFS('月1回_1ヶ月前の在庫'!$V$6:$V$10005,$V6138,'月1回_1ヶ月前の在庫'!$W$6:$W$10005,$W6138)&gt;0),N(U6137),N(U6137)+1))</f>
        <v/>
      </c>
      <c r="V6138" s="19">
        <f>IF($B6138="","",TEXT($B6138,"0000"))</f>
        <v/>
      </c>
      <c r="W6138" s="19">
        <f>IF($I6138="","",IF(ISNUMBER($I6138),TEXT($I6138,"0"),$I6138))</f>
        <v/>
      </c>
    </row>
    <row r="6139">
      <c r="B6139" s="25" t="n"/>
      <c r="I6139" s="25" t="n"/>
      <c r="U6139" s="19">
        <f>IF($V6139&lt;&gt;'設定'!$C$4,N(U6138),IF(OR(NOT(COUNTIF('商品マスタ'!$B$6:$B$1005,$W6139)=0),COUNTIFS('①在庫を貼る'!$V$6:$V$10005,$V6139,'①在庫を貼る'!$W$6:$W$10005,$W6139)+COUNTIFS('月1回_1ヶ月前の在庫'!$V$6:$V$10005,$V6139,'月1回_1ヶ月前の在庫'!$W$6:$W$10005,$W6139)&gt;0),N(U6138),N(U6138)+1))</f>
        <v/>
      </c>
      <c r="V6139" s="19">
        <f>IF($B6139="","",TEXT($B6139,"0000"))</f>
        <v/>
      </c>
      <c r="W6139" s="19">
        <f>IF($I6139="","",IF(ISNUMBER($I6139),TEXT($I6139,"0"),$I6139))</f>
        <v/>
      </c>
    </row>
    <row r="6140">
      <c r="B6140" s="25" t="n"/>
      <c r="I6140" s="25" t="n"/>
      <c r="U6140" s="19">
        <f>IF($V6140&lt;&gt;'設定'!$C$4,N(U6139),IF(OR(NOT(COUNTIF('商品マスタ'!$B$6:$B$1005,$W6140)=0),COUNTIFS('①在庫を貼る'!$V$6:$V$10005,$V6140,'①在庫を貼る'!$W$6:$W$10005,$W6140)+COUNTIFS('月1回_1ヶ月前の在庫'!$V$6:$V$10005,$V6140,'月1回_1ヶ月前の在庫'!$W$6:$W$10005,$W6140)&gt;0),N(U6139),N(U6139)+1))</f>
        <v/>
      </c>
      <c r="V6140" s="19">
        <f>IF($B6140="","",TEXT($B6140,"0000"))</f>
        <v/>
      </c>
      <c r="W6140" s="19">
        <f>IF($I6140="","",IF(ISNUMBER($I6140),TEXT($I6140,"0"),$I6140))</f>
        <v/>
      </c>
    </row>
    <row r="6141">
      <c r="B6141" s="25" t="n"/>
      <c r="I6141" s="25" t="n"/>
      <c r="U6141" s="19">
        <f>IF($V6141&lt;&gt;'設定'!$C$4,N(U6140),IF(OR(NOT(COUNTIF('商品マスタ'!$B$6:$B$1005,$W6141)=0),COUNTIFS('①在庫を貼る'!$V$6:$V$10005,$V6141,'①在庫を貼る'!$W$6:$W$10005,$W6141)+COUNTIFS('月1回_1ヶ月前の在庫'!$V$6:$V$10005,$V6141,'月1回_1ヶ月前の在庫'!$W$6:$W$10005,$W6141)&gt;0),N(U6140),N(U6140)+1))</f>
        <v/>
      </c>
      <c r="V6141" s="19">
        <f>IF($B6141="","",TEXT($B6141,"0000"))</f>
        <v/>
      </c>
      <c r="W6141" s="19">
        <f>IF($I6141="","",IF(ISNUMBER($I6141),TEXT($I6141,"0"),$I6141))</f>
        <v/>
      </c>
    </row>
    <row r="6142">
      <c r="B6142" s="25" t="n"/>
      <c r="I6142" s="25" t="n"/>
      <c r="U6142" s="19">
        <f>IF($V6142&lt;&gt;'設定'!$C$4,N(U6141),IF(OR(NOT(COUNTIF('商品マスタ'!$B$6:$B$1005,$W6142)=0),COUNTIFS('①在庫を貼る'!$V$6:$V$10005,$V6142,'①在庫を貼る'!$W$6:$W$10005,$W6142)+COUNTIFS('月1回_1ヶ月前の在庫'!$V$6:$V$10005,$V6142,'月1回_1ヶ月前の在庫'!$W$6:$W$10005,$W6142)&gt;0),N(U6141),N(U6141)+1))</f>
        <v/>
      </c>
      <c r="V6142" s="19">
        <f>IF($B6142="","",TEXT($B6142,"0000"))</f>
        <v/>
      </c>
      <c r="W6142" s="19">
        <f>IF($I6142="","",IF(ISNUMBER($I6142),TEXT($I6142,"0"),$I6142))</f>
        <v/>
      </c>
    </row>
    <row r="6143">
      <c r="B6143" s="25" t="n"/>
      <c r="I6143" s="25" t="n"/>
      <c r="U6143" s="19">
        <f>IF($V6143&lt;&gt;'設定'!$C$4,N(U6142),IF(OR(NOT(COUNTIF('商品マスタ'!$B$6:$B$1005,$W6143)=0),COUNTIFS('①在庫を貼る'!$V$6:$V$10005,$V6143,'①在庫を貼る'!$W$6:$W$10005,$W6143)+COUNTIFS('月1回_1ヶ月前の在庫'!$V$6:$V$10005,$V6143,'月1回_1ヶ月前の在庫'!$W$6:$W$10005,$W6143)&gt;0),N(U6142),N(U6142)+1))</f>
        <v/>
      </c>
      <c r="V6143" s="19">
        <f>IF($B6143="","",TEXT($B6143,"0000"))</f>
        <v/>
      </c>
      <c r="W6143" s="19">
        <f>IF($I6143="","",IF(ISNUMBER($I6143),TEXT($I6143,"0"),$I6143))</f>
        <v/>
      </c>
    </row>
    <row r="6144">
      <c r="B6144" s="25" t="n"/>
      <c r="I6144" s="25" t="n"/>
      <c r="U6144" s="19">
        <f>IF($V6144&lt;&gt;'設定'!$C$4,N(U6143),IF(OR(NOT(COUNTIF('商品マスタ'!$B$6:$B$1005,$W6144)=0),COUNTIFS('①在庫を貼る'!$V$6:$V$10005,$V6144,'①在庫を貼る'!$W$6:$W$10005,$W6144)+COUNTIFS('月1回_1ヶ月前の在庫'!$V$6:$V$10005,$V6144,'月1回_1ヶ月前の在庫'!$W$6:$W$10005,$W6144)&gt;0),N(U6143),N(U6143)+1))</f>
        <v/>
      </c>
      <c r="V6144" s="19">
        <f>IF($B6144="","",TEXT($B6144,"0000"))</f>
        <v/>
      </c>
      <c r="W6144" s="19">
        <f>IF($I6144="","",IF(ISNUMBER($I6144),TEXT($I6144,"0"),$I6144))</f>
        <v/>
      </c>
    </row>
    <row r="6145">
      <c r="B6145" s="25" t="n"/>
      <c r="I6145" s="25" t="n"/>
      <c r="U6145" s="19">
        <f>IF($V6145&lt;&gt;'設定'!$C$4,N(U6144),IF(OR(NOT(COUNTIF('商品マスタ'!$B$6:$B$1005,$W6145)=0),COUNTIFS('①在庫を貼る'!$V$6:$V$10005,$V6145,'①在庫を貼る'!$W$6:$W$10005,$W6145)+COUNTIFS('月1回_1ヶ月前の在庫'!$V$6:$V$10005,$V6145,'月1回_1ヶ月前の在庫'!$W$6:$W$10005,$W6145)&gt;0),N(U6144),N(U6144)+1))</f>
        <v/>
      </c>
      <c r="V6145" s="19">
        <f>IF($B6145="","",TEXT($B6145,"0000"))</f>
        <v/>
      </c>
      <c r="W6145" s="19">
        <f>IF($I6145="","",IF(ISNUMBER($I6145),TEXT($I6145,"0"),$I6145))</f>
        <v/>
      </c>
    </row>
    <row r="6146">
      <c r="B6146" s="25" t="n"/>
      <c r="I6146" s="25" t="n"/>
      <c r="U6146" s="19">
        <f>IF($V6146&lt;&gt;'設定'!$C$4,N(U6145),IF(OR(NOT(COUNTIF('商品マスタ'!$B$6:$B$1005,$W6146)=0),COUNTIFS('①在庫を貼る'!$V$6:$V$10005,$V6146,'①在庫を貼る'!$W$6:$W$10005,$W6146)+COUNTIFS('月1回_1ヶ月前の在庫'!$V$6:$V$10005,$V6146,'月1回_1ヶ月前の在庫'!$W$6:$W$10005,$W6146)&gt;0),N(U6145),N(U6145)+1))</f>
        <v/>
      </c>
      <c r="V6146" s="19">
        <f>IF($B6146="","",TEXT($B6146,"0000"))</f>
        <v/>
      </c>
      <c r="W6146" s="19">
        <f>IF($I6146="","",IF(ISNUMBER($I6146),TEXT($I6146,"0"),$I6146))</f>
        <v/>
      </c>
    </row>
    <row r="6147">
      <c r="B6147" s="25" t="n"/>
      <c r="I6147" s="25" t="n"/>
      <c r="U6147" s="19">
        <f>IF($V6147&lt;&gt;'設定'!$C$4,N(U6146),IF(OR(NOT(COUNTIF('商品マスタ'!$B$6:$B$1005,$W6147)=0),COUNTIFS('①在庫を貼る'!$V$6:$V$10005,$V6147,'①在庫を貼る'!$W$6:$W$10005,$W6147)+COUNTIFS('月1回_1ヶ月前の在庫'!$V$6:$V$10005,$V6147,'月1回_1ヶ月前の在庫'!$W$6:$W$10005,$W6147)&gt;0),N(U6146),N(U6146)+1))</f>
        <v/>
      </c>
      <c r="V6147" s="19">
        <f>IF($B6147="","",TEXT($B6147,"0000"))</f>
        <v/>
      </c>
      <c r="W6147" s="19">
        <f>IF($I6147="","",IF(ISNUMBER($I6147),TEXT($I6147,"0"),$I6147))</f>
        <v/>
      </c>
    </row>
    <row r="6148">
      <c r="B6148" s="25" t="n"/>
      <c r="I6148" s="25" t="n"/>
      <c r="U6148" s="19">
        <f>IF($V6148&lt;&gt;'設定'!$C$4,N(U6147),IF(OR(NOT(COUNTIF('商品マスタ'!$B$6:$B$1005,$W6148)=0),COUNTIFS('①在庫を貼る'!$V$6:$V$10005,$V6148,'①在庫を貼る'!$W$6:$W$10005,$W6148)+COUNTIFS('月1回_1ヶ月前の在庫'!$V$6:$V$10005,$V6148,'月1回_1ヶ月前の在庫'!$W$6:$W$10005,$W6148)&gt;0),N(U6147),N(U6147)+1))</f>
        <v/>
      </c>
      <c r="V6148" s="19">
        <f>IF($B6148="","",TEXT($B6148,"0000"))</f>
        <v/>
      </c>
      <c r="W6148" s="19">
        <f>IF($I6148="","",IF(ISNUMBER($I6148),TEXT($I6148,"0"),$I6148))</f>
        <v/>
      </c>
    </row>
    <row r="6149">
      <c r="B6149" s="25" t="n"/>
      <c r="I6149" s="25" t="n"/>
      <c r="U6149" s="19">
        <f>IF($V6149&lt;&gt;'設定'!$C$4,N(U6148),IF(OR(NOT(COUNTIF('商品マスタ'!$B$6:$B$1005,$W6149)=0),COUNTIFS('①在庫を貼る'!$V$6:$V$10005,$V6149,'①在庫を貼る'!$W$6:$W$10005,$W6149)+COUNTIFS('月1回_1ヶ月前の在庫'!$V$6:$V$10005,$V6149,'月1回_1ヶ月前の在庫'!$W$6:$W$10005,$W6149)&gt;0),N(U6148),N(U6148)+1))</f>
        <v/>
      </c>
      <c r="V6149" s="19">
        <f>IF($B6149="","",TEXT($B6149,"0000"))</f>
        <v/>
      </c>
      <c r="W6149" s="19">
        <f>IF($I6149="","",IF(ISNUMBER($I6149),TEXT($I6149,"0"),$I6149))</f>
        <v/>
      </c>
    </row>
    <row r="6150">
      <c r="B6150" s="25" t="n"/>
      <c r="I6150" s="25" t="n"/>
      <c r="U6150" s="19">
        <f>IF($V6150&lt;&gt;'設定'!$C$4,N(U6149),IF(OR(NOT(COUNTIF('商品マスタ'!$B$6:$B$1005,$W6150)=0),COUNTIFS('①在庫を貼る'!$V$6:$V$10005,$V6150,'①在庫を貼る'!$W$6:$W$10005,$W6150)+COUNTIFS('月1回_1ヶ月前の在庫'!$V$6:$V$10005,$V6150,'月1回_1ヶ月前の在庫'!$W$6:$W$10005,$W6150)&gt;0),N(U6149),N(U6149)+1))</f>
        <v/>
      </c>
      <c r="V6150" s="19">
        <f>IF($B6150="","",TEXT($B6150,"0000"))</f>
        <v/>
      </c>
      <c r="W6150" s="19">
        <f>IF($I6150="","",IF(ISNUMBER($I6150),TEXT($I6150,"0"),$I6150))</f>
        <v/>
      </c>
    </row>
    <row r="6151">
      <c r="B6151" s="25" t="n"/>
      <c r="I6151" s="25" t="n"/>
      <c r="U6151" s="19">
        <f>IF($V6151&lt;&gt;'設定'!$C$4,N(U6150),IF(OR(NOT(COUNTIF('商品マスタ'!$B$6:$B$1005,$W6151)=0),COUNTIFS('①在庫を貼る'!$V$6:$V$10005,$V6151,'①在庫を貼る'!$W$6:$W$10005,$W6151)+COUNTIFS('月1回_1ヶ月前の在庫'!$V$6:$V$10005,$V6151,'月1回_1ヶ月前の在庫'!$W$6:$W$10005,$W6151)&gt;0),N(U6150),N(U6150)+1))</f>
        <v/>
      </c>
      <c r="V6151" s="19">
        <f>IF($B6151="","",TEXT($B6151,"0000"))</f>
        <v/>
      </c>
      <c r="W6151" s="19">
        <f>IF($I6151="","",IF(ISNUMBER($I6151),TEXT($I6151,"0"),$I6151))</f>
        <v/>
      </c>
    </row>
    <row r="6152">
      <c r="B6152" s="25" t="n"/>
      <c r="I6152" s="25" t="n"/>
      <c r="U6152" s="19">
        <f>IF($V6152&lt;&gt;'設定'!$C$4,N(U6151),IF(OR(NOT(COUNTIF('商品マスタ'!$B$6:$B$1005,$W6152)=0),COUNTIFS('①在庫を貼る'!$V$6:$V$10005,$V6152,'①在庫を貼る'!$W$6:$W$10005,$W6152)+COUNTIFS('月1回_1ヶ月前の在庫'!$V$6:$V$10005,$V6152,'月1回_1ヶ月前の在庫'!$W$6:$W$10005,$W6152)&gt;0),N(U6151),N(U6151)+1))</f>
        <v/>
      </c>
      <c r="V6152" s="19">
        <f>IF($B6152="","",TEXT($B6152,"0000"))</f>
        <v/>
      </c>
      <c r="W6152" s="19">
        <f>IF($I6152="","",IF(ISNUMBER($I6152),TEXT($I6152,"0"),$I6152))</f>
        <v/>
      </c>
    </row>
    <row r="6153">
      <c r="B6153" s="25" t="n"/>
      <c r="I6153" s="25" t="n"/>
      <c r="U6153" s="19">
        <f>IF($V6153&lt;&gt;'設定'!$C$4,N(U6152),IF(OR(NOT(COUNTIF('商品マスタ'!$B$6:$B$1005,$W6153)=0),COUNTIFS('①在庫を貼る'!$V$6:$V$10005,$V6153,'①在庫を貼る'!$W$6:$W$10005,$W6153)+COUNTIFS('月1回_1ヶ月前の在庫'!$V$6:$V$10005,$V6153,'月1回_1ヶ月前の在庫'!$W$6:$W$10005,$W6153)&gt;0),N(U6152),N(U6152)+1))</f>
        <v/>
      </c>
      <c r="V6153" s="19">
        <f>IF($B6153="","",TEXT($B6153,"0000"))</f>
        <v/>
      </c>
      <c r="W6153" s="19">
        <f>IF($I6153="","",IF(ISNUMBER($I6153),TEXT($I6153,"0"),$I6153))</f>
        <v/>
      </c>
    </row>
    <row r="6154">
      <c r="B6154" s="25" t="n"/>
      <c r="I6154" s="25" t="n"/>
      <c r="U6154" s="19">
        <f>IF($V6154&lt;&gt;'設定'!$C$4,N(U6153),IF(OR(NOT(COUNTIF('商品マスタ'!$B$6:$B$1005,$W6154)=0),COUNTIFS('①在庫を貼る'!$V$6:$V$10005,$V6154,'①在庫を貼る'!$W$6:$W$10005,$W6154)+COUNTIFS('月1回_1ヶ月前の在庫'!$V$6:$V$10005,$V6154,'月1回_1ヶ月前の在庫'!$W$6:$W$10005,$W6154)&gt;0),N(U6153),N(U6153)+1))</f>
        <v/>
      </c>
      <c r="V6154" s="19">
        <f>IF($B6154="","",TEXT($B6154,"0000"))</f>
        <v/>
      </c>
      <c r="W6154" s="19">
        <f>IF($I6154="","",IF(ISNUMBER($I6154),TEXT($I6154,"0"),$I6154))</f>
        <v/>
      </c>
    </row>
    <row r="6155">
      <c r="B6155" s="25" t="n"/>
      <c r="I6155" s="25" t="n"/>
      <c r="U6155" s="19">
        <f>IF($V6155&lt;&gt;'設定'!$C$4,N(U6154),IF(OR(NOT(COUNTIF('商品マスタ'!$B$6:$B$1005,$W6155)=0),COUNTIFS('①在庫を貼る'!$V$6:$V$10005,$V6155,'①在庫を貼る'!$W$6:$W$10005,$W6155)+COUNTIFS('月1回_1ヶ月前の在庫'!$V$6:$V$10005,$V6155,'月1回_1ヶ月前の在庫'!$W$6:$W$10005,$W6155)&gt;0),N(U6154),N(U6154)+1))</f>
        <v/>
      </c>
      <c r="V6155" s="19">
        <f>IF($B6155="","",TEXT($B6155,"0000"))</f>
        <v/>
      </c>
      <c r="W6155" s="19">
        <f>IF($I6155="","",IF(ISNUMBER($I6155),TEXT($I6155,"0"),$I6155))</f>
        <v/>
      </c>
    </row>
    <row r="6156">
      <c r="B6156" s="25" t="n"/>
      <c r="I6156" s="25" t="n"/>
      <c r="U6156" s="19">
        <f>IF($V6156&lt;&gt;'設定'!$C$4,N(U6155),IF(OR(NOT(COUNTIF('商品マスタ'!$B$6:$B$1005,$W6156)=0),COUNTIFS('①在庫を貼る'!$V$6:$V$10005,$V6156,'①在庫を貼る'!$W$6:$W$10005,$W6156)+COUNTIFS('月1回_1ヶ月前の在庫'!$V$6:$V$10005,$V6156,'月1回_1ヶ月前の在庫'!$W$6:$W$10005,$W6156)&gt;0),N(U6155),N(U6155)+1))</f>
        <v/>
      </c>
      <c r="V6156" s="19">
        <f>IF($B6156="","",TEXT($B6156,"0000"))</f>
        <v/>
      </c>
      <c r="W6156" s="19">
        <f>IF($I6156="","",IF(ISNUMBER($I6156),TEXT($I6156,"0"),$I6156))</f>
        <v/>
      </c>
    </row>
    <row r="6157">
      <c r="B6157" s="25" t="n"/>
      <c r="I6157" s="25" t="n"/>
      <c r="U6157" s="19">
        <f>IF($V6157&lt;&gt;'設定'!$C$4,N(U6156),IF(OR(NOT(COUNTIF('商品マスタ'!$B$6:$B$1005,$W6157)=0),COUNTIFS('①在庫を貼る'!$V$6:$V$10005,$V6157,'①在庫を貼る'!$W$6:$W$10005,$W6157)+COUNTIFS('月1回_1ヶ月前の在庫'!$V$6:$V$10005,$V6157,'月1回_1ヶ月前の在庫'!$W$6:$W$10005,$W6157)&gt;0),N(U6156),N(U6156)+1))</f>
        <v/>
      </c>
      <c r="V6157" s="19">
        <f>IF($B6157="","",TEXT($B6157,"0000"))</f>
        <v/>
      </c>
      <c r="W6157" s="19">
        <f>IF($I6157="","",IF(ISNUMBER($I6157),TEXT($I6157,"0"),$I6157))</f>
        <v/>
      </c>
    </row>
    <row r="6158">
      <c r="B6158" s="25" t="n"/>
      <c r="I6158" s="25" t="n"/>
      <c r="U6158" s="19">
        <f>IF($V6158&lt;&gt;'設定'!$C$4,N(U6157),IF(OR(NOT(COUNTIF('商品マスタ'!$B$6:$B$1005,$W6158)=0),COUNTIFS('①在庫を貼る'!$V$6:$V$10005,$V6158,'①在庫を貼る'!$W$6:$W$10005,$W6158)+COUNTIFS('月1回_1ヶ月前の在庫'!$V$6:$V$10005,$V6158,'月1回_1ヶ月前の在庫'!$W$6:$W$10005,$W6158)&gt;0),N(U6157),N(U6157)+1))</f>
        <v/>
      </c>
      <c r="V6158" s="19">
        <f>IF($B6158="","",TEXT($B6158,"0000"))</f>
        <v/>
      </c>
      <c r="W6158" s="19">
        <f>IF($I6158="","",IF(ISNUMBER($I6158),TEXT($I6158,"0"),$I6158))</f>
        <v/>
      </c>
    </row>
    <row r="6159">
      <c r="B6159" s="25" t="n"/>
      <c r="I6159" s="25" t="n"/>
      <c r="U6159" s="19">
        <f>IF($V6159&lt;&gt;'設定'!$C$4,N(U6158),IF(OR(NOT(COUNTIF('商品マスタ'!$B$6:$B$1005,$W6159)=0),COUNTIFS('①在庫を貼る'!$V$6:$V$10005,$V6159,'①在庫を貼る'!$W$6:$W$10005,$W6159)+COUNTIFS('月1回_1ヶ月前の在庫'!$V$6:$V$10005,$V6159,'月1回_1ヶ月前の在庫'!$W$6:$W$10005,$W6159)&gt;0),N(U6158),N(U6158)+1))</f>
        <v/>
      </c>
      <c r="V6159" s="19">
        <f>IF($B6159="","",TEXT($B6159,"0000"))</f>
        <v/>
      </c>
      <c r="W6159" s="19">
        <f>IF($I6159="","",IF(ISNUMBER($I6159),TEXT($I6159,"0"),$I6159))</f>
        <v/>
      </c>
    </row>
    <row r="6160">
      <c r="B6160" s="25" t="n"/>
      <c r="I6160" s="25" t="n"/>
      <c r="U6160" s="19">
        <f>IF($V6160&lt;&gt;'設定'!$C$4,N(U6159),IF(OR(NOT(COUNTIF('商品マスタ'!$B$6:$B$1005,$W6160)=0),COUNTIFS('①在庫を貼る'!$V$6:$V$10005,$V6160,'①在庫を貼る'!$W$6:$W$10005,$W6160)+COUNTIFS('月1回_1ヶ月前の在庫'!$V$6:$V$10005,$V6160,'月1回_1ヶ月前の在庫'!$W$6:$W$10005,$W6160)&gt;0),N(U6159),N(U6159)+1))</f>
        <v/>
      </c>
      <c r="V6160" s="19">
        <f>IF($B6160="","",TEXT($B6160,"0000"))</f>
        <v/>
      </c>
      <c r="W6160" s="19">
        <f>IF($I6160="","",IF(ISNUMBER($I6160),TEXT($I6160,"0"),$I6160))</f>
        <v/>
      </c>
    </row>
    <row r="6161">
      <c r="B6161" s="25" t="n"/>
      <c r="I6161" s="25" t="n"/>
      <c r="U6161" s="19">
        <f>IF($V6161&lt;&gt;'設定'!$C$4,N(U6160),IF(OR(NOT(COUNTIF('商品マスタ'!$B$6:$B$1005,$W6161)=0),COUNTIFS('①在庫を貼る'!$V$6:$V$10005,$V6161,'①在庫を貼る'!$W$6:$W$10005,$W6161)+COUNTIFS('月1回_1ヶ月前の在庫'!$V$6:$V$10005,$V6161,'月1回_1ヶ月前の在庫'!$W$6:$W$10005,$W6161)&gt;0),N(U6160),N(U6160)+1))</f>
        <v/>
      </c>
      <c r="V6161" s="19">
        <f>IF($B6161="","",TEXT($B6161,"0000"))</f>
        <v/>
      </c>
      <c r="W6161" s="19">
        <f>IF($I6161="","",IF(ISNUMBER($I6161),TEXT($I6161,"0"),$I6161))</f>
        <v/>
      </c>
    </row>
    <row r="6162">
      <c r="B6162" s="25" t="n"/>
      <c r="I6162" s="25" t="n"/>
      <c r="U6162" s="19">
        <f>IF($V6162&lt;&gt;'設定'!$C$4,N(U6161),IF(OR(NOT(COUNTIF('商品マスタ'!$B$6:$B$1005,$W6162)=0),COUNTIFS('①在庫を貼る'!$V$6:$V$10005,$V6162,'①在庫を貼る'!$W$6:$W$10005,$W6162)+COUNTIFS('月1回_1ヶ月前の在庫'!$V$6:$V$10005,$V6162,'月1回_1ヶ月前の在庫'!$W$6:$W$10005,$W6162)&gt;0),N(U6161),N(U6161)+1))</f>
        <v/>
      </c>
      <c r="V6162" s="19">
        <f>IF($B6162="","",TEXT($B6162,"0000"))</f>
        <v/>
      </c>
      <c r="W6162" s="19">
        <f>IF($I6162="","",IF(ISNUMBER($I6162),TEXT($I6162,"0"),$I6162))</f>
        <v/>
      </c>
    </row>
    <row r="6163">
      <c r="B6163" s="25" t="n"/>
      <c r="I6163" s="25" t="n"/>
      <c r="U6163" s="19">
        <f>IF($V6163&lt;&gt;'設定'!$C$4,N(U6162),IF(OR(NOT(COUNTIF('商品マスタ'!$B$6:$B$1005,$W6163)=0),COUNTIFS('①在庫を貼る'!$V$6:$V$10005,$V6163,'①在庫を貼る'!$W$6:$W$10005,$W6163)+COUNTIFS('月1回_1ヶ月前の在庫'!$V$6:$V$10005,$V6163,'月1回_1ヶ月前の在庫'!$W$6:$W$10005,$W6163)&gt;0),N(U6162),N(U6162)+1))</f>
        <v/>
      </c>
      <c r="V6163" s="19">
        <f>IF($B6163="","",TEXT($B6163,"0000"))</f>
        <v/>
      </c>
      <c r="W6163" s="19">
        <f>IF($I6163="","",IF(ISNUMBER($I6163),TEXT($I6163,"0"),$I6163))</f>
        <v/>
      </c>
    </row>
    <row r="6164">
      <c r="B6164" s="25" t="n"/>
      <c r="I6164" s="25" t="n"/>
      <c r="U6164" s="19">
        <f>IF($V6164&lt;&gt;'設定'!$C$4,N(U6163),IF(OR(NOT(COUNTIF('商品マスタ'!$B$6:$B$1005,$W6164)=0),COUNTIFS('①在庫を貼る'!$V$6:$V$10005,$V6164,'①在庫を貼る'!$W$6:$W$10005,$W6164)+COUNTIFS('月1回_1ヶ月前の在庫'!$V$6:$V$10005,$V6164,'月1回_1ヶ月前の在庫'!$W$6:$W$10005,$W6164)&gt;0),N(U6163),N(U6163)+1))</f>
        <v/>
      </c>
      <c r="V6164" s="19">
        <f>IF($B6164="","",TEXT($B6164,"0000"))</f>
        <v/>
      </c>
      <c r="W6164" s="19">
        <f>IF($I6164="","",IF(ISNUMBER($I6164),TEXT($I6164,"0"),$I6164))</f>
        <v/>
      </c>
    </row>
    <row r="6165">
      <c r="B6165" s="25" t="n"/>
      <c r="I6165" s="25" t="n"/>
      <c r="U6165" s="19">
        <f>IF($V6165&lt;&gt;'設定'!$C$4,N(U6164),IF(OR(NOT(COUNTIF('商品マスタ'!$B$6:$B$1005,$W6165)=0),COUNTIFS('①在庫を貼る'!$V$6:$V$10005,$V6165,'①在庫を貼る'!$W$6:$W$10005,$W6165)+COUNTIFS('月1回_1ヶ月前の在庫'!$V$6:$V$10005,$V6165,'月1回_1ヶ月前の在庫'!$W$6:$W$10005,$W6165)&gt;0),N(U6164),N(U6164)+1))</f>
        <v/>
      </c>
      <c r="V6165" s="19">
        <f>IF($B6165="","",TEXT($B6165,"0000"))</f>
        <v/>
      </c>
      <c r="W6165" s="19">
        <f>IF($I6165="","",IF(ISNUMBER($I6165),TEXT($I6165,"0"),$I6165))</f>
        <v/>
      </c>
    </row>
    <row r="6166">
      <c r="B6166" s="25" t="n"/>
      <c r="I6166" s="25" t="n"/>
      <c r="U6166" s="19">
        <f>IF($V6166&lt;&gt;'設定'!$C$4,N(U6165),IF(OR(NOT(COUNTIF('商品マスタ'!$B$6:$B$1005,$W6166)=0),COUNTIFS('①在庫を貼る'!$V$6:$V$10005,$V6166,'①在庫を貼る'!$W$6:$W$10005,$W6166)+COUNTIFS('月1回_1ヶ月前の在庫'!$V$6:$V$10005,$V6166,'月1回_1ヶ月前の在庫'!$W$6:$W$10005,$W6166)&gt;0),N(U6165),N(U6165)+1))</f>
        <v/>
      </c>
      <c r="V6166" s="19">
        <f>IF($B6166="","",TEXT($B6166,"0000"))</f>
        <v/>
      </c>
      <c r="W6166" s="19">
        <f>IF($I6166="","",IF(ISNUMBER($I6166),TEXT($I6166,"0"),$I6166))</f>
        <v/>
      </c>
    </row>
    <row r="6167">
      <c r="B6167" s="25" t="n"/>
      <c r="I6167" s="25" t="n"/>
      <c r="U6167" s="19">
        <f>IF($V6167&lt;&gt;'設定'!$C$4,N(U6166),IF(OR(NOT(COUNTIF('商品マスタ'!$B$6:$B$1005,$W6167)=0),COUNTIFS('①在庫を貼る'!$V$6:$V$10005,$V6167,'①在庫を貼る'!$W$6:$W$10005,$W6167)+COUNTIFS('月1回_1ヶ月前の在庫'!$V$6:$V$10005,$V6167,'月1回_1ヶ月前の在庫'!$W$6:$W$10005,$W6167)&gt;0),N(U6166),N(U6166)+1))</f>
        <v/>
      </c>
      <c r="V6167" s="19">
        <f>IF($B6167="","",TEXT($B6167,"0000"))</f>
        <v/>
      </c>
      <c r="W6167" s="19">
        <f>IF($I6167="","",IF(ISNUMBER($I6167),TEXT($I6167,"0"),$I6167))</f>
        <v/>
      </c>
    </row>
    <row r="6168">
      <c r="B6168" s="25" t="n"/>
      <c r="I6168" s="25" t="n"/>
      <c r="U6168" s="19">
        <f>IF($V6168&lt;&gt;'設定'!$C$4,N(U6167),IF(OR(NOT(COUNTIF('商品マスタ'!$B$6:$B$1005,$W6168)=0),COUNTIFS('①在庫を貼る'!$V$6:$V$10005,$V6168,'①在庫を貼る'!$W$6:$W$10005,$W6168)+COUNTIFS('月1回_1ヶ月前の在庫'!$V$6:$V$10005,$V6168,'月1回_1ヶ月前の在庫'!$W$6:$W$10005,$W6168)&gt;0),N(U6167),N(U6167)+1))</f>
        <v/>
      </c>
      <c r="V6168" s="19">
        <f>IF($B6168="","",TEXT($B6168,"0000"))</f>
        <v/>
      </c>
      <c r="W6168" s="19">
        <f>IF($I6168="","",IF(ISNUMBER($I6168),TEXT($I6168,"0"),$I6168))</f>
        <v/>
      </c>
    </row>
    <row r="6169">
      <c r="B6169" s="25" t="n"/>
      <c r="I6169" s="25" t="n"/>
      <c r="U6169" s="19">
        <f>IF($V6169&lt;&gt;'設定'!$C$4,N(U6168),IF(OR(NOT(COUNTIF('商品マスタ'!$B$6:$B$1005,$W6169)=0),COUNTIFS('①在庫を貼る'!$V$6:$V$10005,$V6169,'①在庫を貼る'!$W$6:$W$10005,$W6169)+COUNTIFS('月1回_1ヶ月前の在庫'!$V$6:$V$10005,$V6169,'月1回_1ヶ月前の在庫'!$W$6:$W$10005,$W6169)&gt;0),N(U6168),N(U6168)+1))</f>
        <v/>
      </c>
      <c r="V6169" s="19">
        <f>IF($B6169="","",TEXT($B6169,"0000"))</f>
        <v/>
      </c>
      <c r="W6169" s="19">
        <f>IF($I6169="","",IF(ISNUMBER($I6169),TEXT($I6169,"0"),$I6169))</f>
        <v/>
      </c>
    </row>
    <row r="6170">
      <c r="B6170" s="25" t="n"/>
      <c r="I6170" s="25" t="n"/>
      <c r="U6170" s="19">
        <f>IF($V6170&lt;&gt;'設定'!$C$4,N(U6169),IF(OR(NOT(COUNTIF('商品マスタ'!$B$6:$B$1005,$W6170)=0),COUNTIFS('①在庫を貼る'!$V$6:$V$10005,$V6170,'①在庫を貼る'!$W$6:$W$10005,$W6170)+COUNTIFS('月1回_1ヶ月前の在庫'!$V$6:$V$10005,$V6170,'月1回_1ヶ月前の在庫'!$W$6:$W$10005,$W6170)&gt;0),N(U6169),N(U6169)+1))</f>
        <v/>
      </c>
      <c r="V6170" s="19">
        <f>IF($B6170="","",TEXT($B6170,"0000"))</f>
        <v/>
      </c>
      <c r="W6170" s="19">
        <f>IF($I6170="","",IF(ISNUMBER($I6170),TEXT($I6170,"0"),$I6170))</f>
        <v/>
      </c>
    </row>
    <row r="6171">
      <c r="B6171" s="25" t="n"/>
      <c r="I6171" s="25" t="n"/>
      <c r="U6171" s="19">
        <f>IF($V6171&lt;&gt;'設定'!$C$4,N(U6170),IF(OR(NOT(COUNTIF('商品マスタ'!$B$6:$B$1005,$W6171)=0),COUNTIFS('①在庫を貼る'!$V$6:$V$10005,$V6171,'①在庫を貼る'!$W$6:$W$10005,$W6171)+COUNTIFS('月1回_1ヶ月前の在庫'!$V$6:$V$10005,$V6171,'月1回_1ヶ月前の在庫'!$W$6:$W$10005,$W6171)&gt;0),N(U6170),N(U6170)+1))</f>
        <v/>
      </c>
      <c r="V6171" s="19">
        <f>IF($B6171="","",TEXT($B6171,"0000"))</f>
        <v/>
      </c>
      <c r="W6171" s="19">
        <f>IF($I6171="","",IF(ISNUMBER($I6171),TEXT($I6171,"0"),$I6171))</f>
        <v/>
      </c>
    </row>
    <row r="6172">
      <c r="B6172" s="25" t="n"/>
      <c r="I6172" s="25" t="n"/>
      <c r="U6172" s="19">
        <f>IF($V6172&lt;&gt;'設定'!$C$4,N(U6171),IF(OR(NOT(COUNTIF('商品マスタ'!$B$6:$B$1005,$W6172)=0),COUNTIFS('①在庫を貼る'!$V$6:$V$10005,$V6172,'①在庫を貼る'!$W$6:$W$10005,$W6172)+COUNTIFS('月1回_1ヶ月前の在庫'!$V$6:$V$10005,$V6172,'月1回_1ヶ月前の在庫'!$W$6:$W$10005,$W6172)&gt;0),N(U6171),N(U6171)+1))</f>
        <v/>
      </c>
      <c r="V6172" s="19">
        <f>IF($B6172="","",TEXT($B6172,"0000"))</f>
        <v/>
      </c>
      <c r="W6172" s="19">
        <f>IF($I6172="","",IF(ISNUMBER($I6172),TEXT($I6172,"0"),$I6172))</f>
        <v/>
      </c>
    </row>
    <row r="6173">
      <c r="B6173" s="25" t="n"/>
      <c r="I6173" s="25" t="n"/>
      <c r="U6173" s="19">
        <f>IF($V6173&lt;&gt;'設定'!$C$4,N(U6172),IF(OR(NOT(COUNTIF('商品マスタ'!$B$6:$B$1005,$W6173)=0),COUNTIFS('①在庫を貼る'!$V$6:$V$10005,$V6173,'①在庫を貼る'!$W$6:$W$10005,$W6173)+COUNTIFS('月1回_1ヶ月前の在庫'!$V$6:$V$10005,$V6173,'月1回_1ヶ月前の在庫'!$W$6:$W$10005,$W6173)&gt;0),N(U6172),N(U6172)+1))</f>
        <v/>
      </c>
      <c r="V6173" s="19">
        <f>IF($B6173="","",TEXT($B6173,"0000"))</f>
        <v/>
      </c>
      <c r="W6173" s="19">
        <f>IF($I6173="","",IF(ISNUMBER($I6173),TEXT($I6173,"0"),$I6173))</f>
        <v/>
      </c>
    </row>
    <row r="6174">
      <c r="B6174" s="25" t="n"/>
      <c r="I6174" s="25" t="n"/>
      <c r="U6174" s="19">
        <f>IF($V6174&lt;&gt;'設定'!$C$4,N(U6173),IF(OR(NOT(COUNTIF('商品マスタ'!$B$6:$B$1005,$W6174)=0),COUNTIFS('①在庫を貼る'!$V$6:$V$10005,$V6174,'①在庫を貼る'!$W$6:$W$10005,$W6174)+COUNTIFS('月1回_1ヶ月前の在庫'!$V$6:$V$10005,$V6174,'月1回_1ヶ月前の在庫'!$W$6:$W$10005,$W6174)&gt;0),N(U6173),N(U6173)+1))</f>
        <v/>
      </c>
      <c r="V6174" s="19">
        <f>IF($B6174="","",TEXT($B6174,"0000"))</f>
        <v/>
      </c>
      <c r="W6174" s="19">
        <f>IF($I6174="","",IF(ISNUMBER($I6174),TEXT($I6174,"0"),$I6174))</f>
        <v/>
      </c>
    </row>
    <row r="6175">
      <c r="B6175" s="25" t="n"/>
      <c r="I6175" s="25" t="n"/>
      <c r="U6175" s="19">
        <f>IF($V6175&lt;&gt;'設定'!$C$4,N(U6174),IF(OR(NOT(COUNTIF('商品マスタ'!$B$6:$B$1005,$W6175)=0),COUNTIFS('①在庫を貼る'!$V$6:$V$10005,$V6175,'①在庫を貼る'!$W$6:$W$10005,$W6175)+COUNTIFS('月1回_1ヶ月前の在庫'!$V$6:$V$10005,$V6175,'月1回_1ヶ月前の在庫'!$W$6:$W$10005,$W6175)&gt;0),N(U6174),N(U6174)+1))</f>
        <v/>
      </c>
      <c r="V6175" s="19">
        <f>IF($B6175="","",TEXT($B6175,"0000"))</f>
        <v/>
      </c>
      <c r="W6175" s="19">
        <f>IF($I6175="","",IF(ISNUMBER($I6175),TEXT($I6175,"0"),$I6175))</f>
        <v/>
      </c>
    </row>
    <row r="6176">
      <c r="B6176" s="25" t="n"/>
      <c r="I6176" s="25" t="n"/>
      <c r="U6176" s="19">
        <f>IF($V6176&lt;&gt;'設定'!$C$4,N(U6175),IF(OR(NOT(COUNTIF('商品マスタ'!$B$6:$B$1005,$W6176)=0),COUNTIFS('①在庫を貼る'!$V$6:$V$10005,$V6176,'①在庫を貼る'!$W$6:$W$10005,$W6176)+COUNTIFS('月1回_1ヶ月前の在庫'!$V$6:$V$10005,$V6176,'月1回_1ヶ月前の在庫'!$W$6:$W$10005,$W6176)&gt;0),N(U6175),N(U6175)+1))</f>
        <v/>
      </c>
      <c r="V6176" s="19">
        <f>IF($B6176="","",TEXT($B6176,"0000"))</f>
        <v/>
      </c>
      <c r="W6176" s="19">
        <f>IF($I6176="","",IF(ISNUMBER($I6176),TEXT($I6176,"0"),$I6176))</f>
        <v/>
      </c>
    </row>
    <row r="6177">
      <c r="B6177" s="25" t="n"/>
      <c r="I6177" s="25" t="n"/>
      <c r="U6177" s="19">
        <f>IF($V6177&lt;&gt;'設定'!$C$4,N(U6176),IF(OR(NOT(COUNTIF('商品マスタ'!$B$6:$B$1005,$W6177)=0),COUNTIFS('①在庫を貼る'!$V$6:$V$10005,$V6177,'①在庫を貼る'!$W$6:$W$10005,$W6177)+COUNTIFS('月1回_1ヶ月前の在庫'!$V$6:$V$10005,$V6177,'月1回_1ヶ月前の在庫'!$W$6:$W$10005,$W6177)&gt;0),N(U6176),N(U6176)+1))</f>
        <v/>
      </c>
      <c r="V6177" s="19">
        <f>IF($B6177="","",TEXT($B6177,"0000"))</f>
        <v/>
      </c>
      <c r="W6177" s="19">
        <f>IF($I6177="","",IF(ISNUMBER($I6177),TEXT($I6177,"0"),$I6177))</f>
        <v/>
      </c>
    </row>
    <row r="6178">
      <c r="B6178" s="25" t="n"/>
      <c r="I6178" s="25" t="n"/>
      <c r="U6178" s="19">
        <f>IF($V6178&lt;&gt;'設定'!$C$4,N(U6177),IF(OR(NOT(COUNTIF('商品マスタ'!$B$6:$B$1005,$W6178)=0),COUNTIFS('①在庫を貼る'!$V$6:$V$10005,$V6178,'①在庫を貼る'!$W$6:$W$10005,$W6178)+COUNTIFS('月1回_1ヶ月前の在庫'!$V$6:$V$10005,$V6178,'月1回_1ヶ月前の在庫'!$W$6:$W$10005,$W6178)&gt;0),N(U6177),N(U6177)+1))</f>
        <v/>
      </c>
      <c r="V6178" s="19">
        <f>IF($B6178="","",TEXT($B6178,"0000"))</f>
        <v/>
      </c>
      <c r="W6178" s="19">
        <f>IF($I6178="","",IF(ISNUMBER($I6178),TEXT($I6178,"0"),$I6178))</f>
        <v/>
      </c>
    </row>
    <row r="6179">
      <c r="B6179" s="25" t="n"/>
      <c r="I6179" s="25" t="n"/>
      <c r="U6179" s="19">
        <f>IF($V6179&lt;&gt;'設定'!$C$4,N(U6178),IF(OR(NOT(COUNTIF('商品マスタ'!$B$6:$B$1005,$W6179)=0),COUNTIFS('①在庫を貼る'!$V$6:$V$10005,$V6179,'①在庫を貼る'!$W$6:$W$10005,$W6179)+COUNTIFS('月1回_1ヶ月前の在庫'!$V$6:$V$10005,$V6179,'月1回_1ヶ月前の在庫'!$W$6:$W$10005,$W6179)&gt;0),N(U6178),N(U6178)+1))</f>
        <v/>
      </c>
      <c r="V6179" s="19">
        <f>IF($B6179="","",TEXT($B6179,"0000"))</f>
        <v/>
      </c>
      <c r="W6179" s="19">
        <f>IF($I6179="","",IF(ISNUMBER($I6179),TEXT($I6179,"0"),$I6179))</f>
        <v/>
      </c>
    </row>
    <row r="6180">
      <c r="B6180" s="25" t="n"/>
      <c r="I6180" s="25" t="n"/>
      <c r="U6180" s="19">
        <f>IF($V6180&lt;&gt;'設定'!$C$4,N(U6179),IF(OR(NOT(COUNTIF('商品マスタ'!$B$6:$B$1005,$W6180)=0),COUNTIFS('①在庫を貼る'!$V$6:$V$10005,$V6180,'①在庫を貼る'!$W$6:$W$10005,$W6180)+COUNTIFS('月1回_1ヶ月前の在庫'!$V$6:$V$10005,$V6180,'月1回_1ヶ月前の在庫'!$W$6:$W$10005,$W6180)&gt;0),N(U6179),N(U6179)+1))</f>
        <v/>
      </c>
      <c r="V6180" s="19">
        <f>IF($B6180="","",TEXT($B6180,"0000"))</f>
        <v/>
      </c>
      <c r="W6180" s="19">
        <f>IF($I6180="","",IF(ISNUMBER($I6180),TEXT($I6180,"0"),$I6180))</f>
        <v/>
      </c>
    </row>
    <row r="6181">
      <c r="B6181" s="25" t="n"/>
      <c r="I6181" s="25" t="n"/>
      <c r="U6181" s="19">
        <f>IF($V6181&lt;&gt;'設定'!$C$4,N(U6180),IF(OR(NOT(COUNTIF('商品マスタ'!$B$6:$B$1005,$W6181)=0),COUNTIFS('①在庫を貼る'!$V$6:$V$10005,$V6181,'①在庫を貼る'!$W$6:$W$10005,$W6181)+COUNTIFS('月1回_1ヶ月前の在庫'!$V$6:$V$10005,$V6181,'月1回_1ヶ月前の在庫'!$W$6:$W$10005,$W6181)&gt;0),N(U6180),N(U6180)+1))</f>
        <v/>
      </c>
      <c r="V6181" s="19">
        <f>IF($B6181="","",TEXT($B6181,"0000"))</f>
        <v/>
      </c>
      <c r="W6181" s="19">
        <f>IF($I6181="","",IF(ISNUMBER($I6181),TEXT($I6181,"0"),$I6181))</f>
        <v/>
      </c>
    </row>
    <row r="6182">
      <c r="B6182" s="25" t="n"/>
      <c r="I6182" s="25" t="n"/>
      <c r="U6182" s="19">
        <f>IF($V6182&lt;&gt;'設定'!$C$4,N(U6181),IF(OR(NOT(COUNTIF('商品マスタ'!$B$6:$B$1005,$W6182)=0),COUNTIFS('①在庫を貼る'!$V$6:$V$10005,$V6182,'①在庫を貼る'!$W$6:$W$10005,$W6182)+COUNTIFS('月1回_1ヶ月前の在庫'!$V$6:$V$10005,$V6182,'月1回_1ヶ月前の在庫'!$W$6:$W$10005,$W6182)&gt;0),N(U6181),N(U6181)+1))</f>
        <v/>
      </c>
      <c r="V6182" s="19">
        <f>IF($B6182="","",TEXT($B6182,"0000"))</f>
        <v/>
      </c>
      <c r="W6182" s="19">
        <f>IF($I6182="","",IF(ISNUMBER($I6182),TEXT($I6182,"0"),$I6182))</f>
        <v/>
      </c>
    </row>
    <row r="6183">
      <c r="B6183" s="25" t="n"/>
      <c r="I6183" s="25" t="n"/>
      <c r="U6183" s="19">
        <f>IF($V6183&lt;&gt;'設定'!$C$4,N(U6182),IF(OR(NOT(COUNTIF('商品マスタ'!$B$6:$B$1005,$W6183)=0),COUNTIFS('①在庫を貼る'!$V$6:$V$10005,$V6183,'①在庫を貼る'!$W$6:$W$10005,$W6183)+COUNTIFS('月1回_1ヶ月前の在庫'!$V$6:$V$10005,$V6183,'月1回_1ヶ月前の在庫'!$W$6:$W$10005,$W6183)&gt;0),N(U6182),N(U6182)+1))</f>
        <v/>
      </c>
      <c r="V6183" s="19">
        <f>IF($B6183="","",TEXT($B6183,"0000"))</f>
        <v/>
      </c>
      <c r="W6183" s="19">
        <f>IF($I6183="","",IF(ISNUMBER($I6183),TEXT($I6183,"0"),$I6183))</f>
        <v/>
      </c>
    </row>
    <row r="6184">
      <c r="B6184" s="25" t="n"/>
      <c r="I6184" s="25" t="n"/>
      <c r="U6184" s="19">
        <f>IF($V6184&lt;&gt;'設定'!$C$4,N(U6183),IF(OR(NOT(COUNTIF('商品マスタ'!$B$6:$B$1005,$W6184)=0),COUNTIFS('①在庫を貼る'!$V$6:$V$10005,$V6184,'①在庫を貼る'!$W$6:$W$10005,$W6184)+COUNTIFS('月1回_1ヶ月前の在庫'!$V$6:$V$10005,$V6184,'月1回_1ヶ月前の在庫'!$W$6:$W$10005,$W6184)&gt;0),N(U6183),N(U6183)+1))</f>
        <v/>
      </c>
      <c r="V6184" s="19">
        <f>IF($B6184="","",TEXT($B6184,"0000"))</f>
        <v/>
      </c>
      <c r="W6184" s="19">
        <f>IF($I6184="","",IF(ISNUMBER($I6184),TEXT($I6184,"0"),$I6184))</f>
        <v/>
      </c>
    </row>
    <row r="6185">
      <c r="B6185" s="25" t="n"/>
      <c r="I6185" s="25" t="n"/>
      <c r="U6185" s="19">
        <f>IF($V6185&lt;&gt;'設定'!$C$4,N(U6184),IF(OR(NOT(COUNTIF('商品マスタ'!$B$6:$B$1005,$W6185)=0),COUNTIFS('①在庫を貼る'!$V$6:$V$10005,$V6185,'①在庫を貼る'!$W$6:$W$10005,$W6185)+COUNTIFS('月1回_1ヶ月前の在庫'!$V$6:$V$10005,$V6185,'月1回_1ヶ月前の在庫'!$W$6:$W$10005,$W6185)&gt;0),N(U6184),N(U6184)+1))</f>
        <v/>
      </c>
      <c r="V6185" s="19">
        <f>IF($B6185="","",TEXT($B6185,"0000"))</f>
        <v/>
      </c>
      <c r="W6185" s="19">
        <f>IF($I6185="","",IF(ISNUMBER($I6185),TEXT($I6185,"0"),$I6185))</f>
        <v/>
      </c>
    </row>
    <row r="6186">
      <c r="B6186" s="25" t="n"/>
      <c r="I6186" s="25" t="n"/>
      <c r="U6186" s="19">
        <f>IF($V6186&lt;&gt;'設定'!$C$4,N(U6185),IF(OR(NOT(COUNTIF('商品マスタ'!$B$6:$B$1005,$W6186)=0),COUNTIFS('①在庫を貼る'!$V$6:$V$10005,$V6186,'①在庫を貼る'!$W$6:$W$10005,$W6186)+COUNTIFS('月1回_1ヶ月前の在庫'!$V$6:$V$10005,$V6186,'月1回_1ヶ月前の在庫'!$W$6:$W$10005,$W6186)&gt;0),N(U6185),N(U6185)+1))</f>
        <v/>
      </c>
      <c r="V6186" s="19">
        <f>IF($B6186="","",TEXT($B6186,"0000"))</f>
        <v/>
      </c>
      <c r="W6186" s="19">
        <f>IF($I6186="","",IF(ISNUMBER($I6186),TEXT($I6186,"0"),$I6186))</f>
        <v/>
      </c>
    </row>
    <row r="6187">
      <c r="B6187" s="25" t="n"/>
      <c r="I6187" s="25" t="n"/>
      <c r="U6187" s="19">
        <f>IF($V6187&lt;&gt;'設定'!$C$4,N(U6186),IF(OR(NOT(COUNTIF('商品マスタ'!$B$6:$B$1005,$W6187)=0),COUNTIFS('①在庫を貼る'!$V$6:$V$10005,$V6187,'①在庫を貼る'!$W$6:$W$10005,$W6187)+COUNTIFS('月1回_1ヶ月前の在庫'!$V$6:$V$10005,$V6187,'月1回_1ヶ月前の在庫'!$W$6:$W$10005,$W6187)&gt;0),N(U6186),N(U6186)+1))</f>
        <v/>
      </c>
      <c r="V6187" s="19">
        <f>IF($B6187="","",TEXT($B6187,"0000"))</f>
        <v/>
      </c>
      <c r="W6187" s="19">
        <f>IF($I6187="","",IF(ISNUMBER($I6187),TEXT($I6187,"0"),$I6187))</f>
        <v/>
      </c>
    </row>
    <row r="6188">
      <c r="B6188" s="25" t="n"/>
      <c r="I6188" s="25" t="n"/>
      <c r="U6188" s="19">
        <f>IF($V6188&lt;&gt;'設定'!$C$4,N(U6187),IF(OR(NOT(COUNTIF('商品マスタ'!$B$6:$B$1005,$W6188)=0),COUNTIFS('①在庫を貼る'!$V$6:$V$10005,$V6188,'①在庫を貼る'!$W$6:$W$10005,$W6188)+COUNTIFS('月1回_1ヶ月前の在庫'!$V$6:$V$10005,$V6188,'月1回_1ヶ月前の在庫'!$W$6:$W$10005,$W6188)&gt;0),N(U6187),N(U6187)+1))</f>
        <v/>
      </c>
      <c r="V6188" s="19">
        <f>IF($B6188="","",TEXT($B6188,"0000"))</f>
        <v/>
      </c>
      <c r="W6188" s="19">
        <f>IF($I6188="","",IF(ISNUMBER($I6188),TEXT($I6188,"0"),$I6188))</f>
        <v/>
      </c>
    </row>
    <row r="6189">
      <c r="B6189" s="25" t="n"/>
      <c r="I6189" s="25" t="n"/>
      <c r="U6189" s="19">
        <f>IF($V6189&lt;&gt;'設定'!$C$4,N(U6188),IF(OR(NOT(COUNTIF('商品マスタ'!$B$6:$B$1005,$W6189)=0),COUNTIFS('①在庫を貼る'!$V$6:$V$10005,$V6189,'①在庫を貼る'!$W$6:$W$10005,$W6189)+COUNTIFS('月1回_1ヶ月前の在庫'!$V$6:$V$10005,$V6189,'月1回_1ヶ月前の在庫'!$W$6:$W$10005,$W6189)&gt;0),N(U6188),N(U6188)+1))</f>
        <v/>
      </c>
      <c r="V6189" s="19">
        <f>IF($B6189="","",TEXT($B6189,"0000"))</f>
        <v/>
      </c>
      <c r="W6189" s="19">
        <f>IF($I6189="","",IF(ISNUMBER($I6189),TEXT($I6189,"0"),$I6189))</f>
        <v/>
      </c>
    </row>
    <row r="6190">
      <c r="B6190" s="25" t="n"/>
      <c r="I6190" s="25" t="n"/>
      <c r="U6190" s="19">
        <f>IF($V6190&lt;&gt;'設定'!$C$4,N(U6189),IF(OR(NOT(COUNTIF('商品マスタ'!$B$6:$B$1005,$W6190)=0),COUNTIFS('①在庫を貼る'!$V$6:$V$10005,$V6190,'①在庫を貼る'!$W$6:$W$10005,$W6190)+COUNTIFS('月1回_1ヶ月前の在庫'!$V$6:$V$10005,$V6190,'月1回_1ヶ月前の在庫'!$W$6:$W$10005,$W6190)&gt;0),N(U6189),N(U6189)+1))</f>
        <v/>
      </c>
      <c r="V6190" s="19">
        <f>IF($B6190="","",TEXT($B6190,"0000"))</f>
        <v/>
      </c>
      <c r="W6190" s="19">
        <f>IF($I6190="","",IF(ISNUMBER($I6190),TEXT($I6190,"0"),$I6190))</f>
        <v/>
      </c>
    </row>
    <row r="6191">
      <c r="B6191" s="25" t="n"/>
      <c r="I6191" s="25" t="n"/>
      <c r="U6191" s="19">
        <f>IF($V6191&lt;&gt;'設定'!$C$4,N(U6190),IF(OR(NOT(COUNTIF('商品マスタ'!$B$6:$B$1005,$W6191)=0),COUNTIFS('①在庫を貼る'!$V$6:$V$10005,$V6191,'①在庫を貼る'!$W$6:$W$10005,$W6191)+COUNTIFS('月1回_1ヶ月前の在庫'!$V$6:$V$10005,$V6191,'月1回_1ヶ月前の在庫'!$W$6:$W$10005,$W6191)&gt;0),N(U6190),N(U6190)+1))</f>
        <v/>
      </c>
      <c r="V6191" s="19">
        <f>IF($B6191="","",TEXT($B6191,"0000"))</f>
        <v/>
      </c>
      <c r="W6191" s="19">
        <f>IF($I6191="","",IF(ISNUMBER($I6191),TEXT($I6191,"0"),$I6191))</f>
        <v/>
      </c>
    </row>
    <row r="6192">
      <c r="B6192" s="25" t="n"/>
      <c r="I6192" s="25" t="n"/>
      <c r="U6192" s="19">
        <f>IF($V6192&lt;&gt;'設定'!$C$4,N(U6191),IF(OR(NOT(COUNTIF('商品マスタ'!$B$6:$B$1005,$W6192)=0),COUNTIFS('①在庫を貼る'!$V$6:$V$10005,$V6192,'①在庫を貼る'!$W$6:$W$10005,$W6192)+COUNTIFS('月1回_1ヶ月前の在庫'!$V$6:$V$10005,$V6192,'月1回_1ヶ月前の在庫'!$W$6:$W$10005,$W6192)&gt;0),N(U6191),N(U6191)+1))</f>
        <v/>
      </c>
      <c r="V6192" s="19">
        <f>IF($B6192="","",TEXT($B6192,"0000"))</f>
        <v/>
      </c>
      <c r="W6192" s="19">
        <f>IF($I6192="","",IF(ISNUMBER($I6192),TEXT($I6192,"0"),$I6192))</f>
        <v/>
      </c>
    </row>
    <row r="6193">
      <c r="B6193" s="25" t="n"/>
      <c r="I6193" s="25" t="n"/>
      <c r="U6193" s="19">
        <f>IF($V6193&lt;&gt;'設定'!$C$4,N(U6192),IF(OR(NOT(COUNTIF('商品マスタ'!$B$6:$B$1005,$W6193)=0),COUNTIFS('①在庫を貼る'!$V$6:$V$10005,$V6193,'①在庫を貼る'!$W$6:$W$10005,$W6193)+COUNTIFS('月1回_1ヶ月前の在庫'!$V$6:$V$10005,$V6193,'月1回_1ヶ月前の在庫'!$W$6:$W$10005,$W6193)&gt;0),N(U6192),N(U6192)+1))</f>
        <v/>
      </c>
      <c r="V6193" s="19">
        <f>IF($B6193="","",TEXT($B6193,"0000"))</f>
        <v/>
      </c>
      <c r="W6193" s="19">
        <f>IF($I6193="","",IF(ISNUMBER($I6193),TEXT($I6193,"0"),$I6193))</f>
        <v/>
      </c>
    </row>
    <row r="6194">
      <c r="B6194" s="25" t="n"/>
      <c r="I6194" s="25" t="n"/>
      <c r="U6194" s="19">
        <f>IF($V6194&lt;&gt;'設定'!$C$4,N(U6193),IF(OR(NOT(COUNTIF('商品マスタ'!$B$6:$B$1005,$W6194)=0),COUNTIFS('①在庫を貼る'!$V$6:$V$10005,$V6194,'①在庫を貼る'!$W$6:$W$10005,$W6194)+COUNTIFS('月1回_1ヶ月前の在庫'!$V$6:$V$10005,$V6194,'月1回_1ヶ月前の在庫'!$W$6:$W$10005,$W6194)&gt;0),N(U6193),N(U6193)+1))</f>
        <v/>
      </c>
      <c r="V6194" s="19">
        <f>IF($B6194="","",TEXT($B6194,"0000"))</f>
        <v/>
      </c>
      <c r="W6194" s="19">
        <f>IF($I6194="","",IF(ISNUMBER($I6194),TEXT($I6194,"0"),$I6194))</f>
        <v/>
      </c>
    </row>
    <row r="6195">
      <c r="B6195" s="25" t="n"/>
      <c r="I6195" s="25" t="n"/>
      <c r="U6195" s="19">
        <f>IF($V6195&lt;&gt;'設定'!$C$4,N(U6194),IF(OR(NOT(COUNTIF('商品マスタ'!$B$6:$B$1005,$W6195)=0),COUNTIFS('①在庫を貼る'!$V$6:$V$10005,$V6195,'①在庫を貼る'!$W$6:$W$10005,$W6195)+COUNTIFS('月1回_1ヶ月前の在庫'!$V$6:$V$10005,$V6195,'月1回_1ヶ月前の在庫'!$W$6:$W$10005,$W6195)&gt;0),N(U6194),N(U6194)+1))</f>
        <v/>
      </c>
      <c r="V6195" s="19">
        <f>IF($B6195="","",TEXT($B6195,"0000"))</f>
        <v/>
      </c>
      <c r="W6195" s="19">
        <f>IF($I6195="","",IF(ISNUMBER($I6195),TEXT($I6195,"0"),$I6195))</f>
        <v/>
      </c>
    </row>
    <row r="6196">
      <c r="B6196" s="25" t="n"/>
      <c r="I6196" s="25" t="n"/>
      <c r="U6196" s="19">
        <f>IF($V6196&lt;&gt;'設定'!$C$4,N(U6195),IF(OR(NOT(COUNTIF('商品マスタ'!$B$6:$B$1005,$W6196)=0),COUNTIFS('①在庫を貼る'!$V$6:$V$10005,$V6196,'①在庫を貼る'!$W$6:$W$10005,$W6196)+COUNTIFS('月1回_1ヶ月前の在庫'!$V$6:$V$10005,$V6196,'月1回_1ヶ月前の在庫'!$W$6:$W$10005,$W6196)&gt;0),N(U6195),N(U6195)+1))</f>
        <v/>
      </c>
      <c r="V6196" s="19">
        <f>IF($B6196="","",TEXT($B6196,"0000"))</f>
        <v/>
      </c>
      <c r="W6196" s="19">
        <f>IF($I6196="","",IF(ISNUMBER($I6196),TEXT($I6196,"0"),$I6196))</f>
        <v/>
      </c>
    </row>
    <row r="6197">
      <c r="B6197" s="25" t="n"/>
      <c r="I6197" s="25" t="n"/>
      <c r="U6197" s="19">
        <f>IF($V6197&lt;&gt;'設定'!$C$4,N(U6196),IF(OR(NOT(COUNTIF('商品マスタ'!$B$6:$B$1005,$W6197)=0),COUNTIFS('①在庫を貼る'!$V$6:$V$10005,$V6197,'①在庫を貼る'!$W$6:$W$10005,$W6197)+COUNTIFS('月1回_1ヶ月前の在庫'!$V$6:$V$10005,$V6197,'月1回_1ヶ月前の在庫'!$W$6:$W$10005,$W6197)&gt;0),N(U6196),N(U6196)+1))</f>
        <v/>
      </c>
      <c r="V6197" s="19">
        <f>IF($B6197="","",TEXT($B6197,"0000"))</f>
        <v/>
      </c>
      <c r="W6197" s="19">
        <f>IF($I6197="","",IF(ISNUMBER($I6197),TEXT($I6197,"0"),$I6197))</f>
        <v/>
      </c>
    </row>
    <row r="6198">
      <c r="B6198" s="25" t="n"/>
      <c r="I6198" s="25" t="n"/>
      <c r="U6198" s="19">
        <f>IF($V6198&lt;&gt;'設定'!$C$4,N(U6197),IF(OR(NOT(COUNTIF('商品マスタ'!$B$6:$B$1005,$W6198)=0),COUNTIFS('①在庫を貼る'!$V$6:$V$10005,$V6198,'①在庫を貼る'!$W$6:$W$10005,$W6198)+COUNTIFS('月1回_1ヶ月前の在庫'!$V$6:$V$10005,$V6198,'月1回_1ヶ月前の在庫'!$W$6:$W$10005,$W6198)&gt;0),N(U6197),N(U6197)+1))</f>
        <v/>
      </c>
      <c r="V6198" s="19">
        <f>IF($B6198="","",TEXT($B6198,"0000"))</f>
        <v/>
      </c>
      <c r="W6198" s="19">
        <f>IF($I6198="","",IF(ISNUMBER($I6198),TEXT($I6198,"0"),$I6198))</f>
        <v/>
      </c>
    </row>
    <row r="6199">
      <c r="B6199" s="25" t="n"/>
      <c r="I6199" s="25" t="n"/>
      <c r="U6199" s="19">
        <f>IF($V6199&lt;&gt;'設定'!$C$4,N(U6198),IF(OR(NOT(COUNTIF('商品マスタ'!$B$6:$B$1005,$W6199)=0),COUNTIFS('①在庫を貼る'!$V$6:$V$10005,$V6199,'①在庫を貼る'!$W$6:$W$10005,$W6199)+COUNTIFS('月1回_1ヶ月前の在庫'!$V$6:$V$10005,$V6199,'月1回_1ヶ月前の在庫'!$W$6:$W$10005,$W6199)&gt;0),N(U6198),N(U6198)+1))</f>
        <v/>
      </c>
      <c r="V6199" s="19">
        <f>IF($B6199="","",TEXT($B6199,"0000"))</f>
        <v/>
      </c>
      <c r="W6199" s="19">
        <f>IF($I6199="","",IF(ISNUMBER($I6199),TEXT($I6199,"0"),$I6199))</f>
        <v/>
      </c>
    </row>
    <row r="6200">
      <c r="B6200" s="25" t="n"/>
      <c r="I6200" s="25" t="n"/>
      <c r="U6200" s="19">
        <f>IF($V6200&lt;&gt;'設定'!$C$4,N(U6199),IF(OR(NOT(COUNTIF('商品マスタ'!$B$6:$B$1005,$W6200)=0),COUNTIFS('①在庫を貼る'!$V$6:$V$10005,$V6200,'①在庫を貼る'!$W$6:$W$10005,$W6200)+COUNTIFS('月1回_1ヶ月前の在庫'!$V$6:$V$10005,$V6200,'月1回_1ヶ月前の在庫'!$W$6:$W$10005,$W6200)&gt;0),N(U6199),N(U6199)+1))</f>
        <v/>
      </c>
      <c r="V6200" s="19">
        <f>IF($B6200="","",TEXT($B6200,"0000"))</f>
        <v/>
      </c>
      <c r="W6200" s="19">
        <f>IF($I6200="","",IF(ISNUMBER($I6200),TEXT($I6200,"0"),$I6200))</f>
        <v/>
      </c>
    </row>
    <row r="6201">
      <c r="B6201" s="25" t="n"/>
      <c r="I6201" s="25" t="n"/>
      <c r="U6201" s="19">
        <f>IF($V6201&lt;&gt;'設定'!$C$4,N(U6200),IF(OR(NOT(COUNTIF('商品マスタ'!$B$6:$B$1005,$W6201)=0),COUNTIFS('①在庫を貼る'!$V$6:$V$10005,$V6201,'①在庫を貼る'!$W$6:$W$10005,$W6201)+COUNTIFS('月1回_1ヶ月前の在庫'!$V$6:$V$10005,$V6201,'月1回_1ヶ月前の在庫'!$W$6:$W$10005,$W6201)&gt;0),N(U6200),N(U6200)+1))</f>
        <v/>
      </c>
      <c r="V6201" s="19">
        <f>IF($B6201="","",TEXT($B6201,"0000"))</f>
        <v/>
      </c>
      <c r="W6201" s="19">
        <f>IF($I6201="","",IF(ISNUMBER($I6201),TEXT($I6201,"0"),$I6201))</f>
        <v/>
      </c>
    </row>
    <row r="6202">
      <c r="B6202" s="25" t="n"/>
      <c r="I6202" s="25" t="n"/>
      <c r="U6202" s="19">
        <f>IF($V6202&lt;&gt;'設定'!$C$4,N(U6201),IF(OR(NOT(COUNTIF('商品マスタ'!$B$6:$B$1005,$W6202)=0),COUNTIFS('①在庫を貼る'!$V$6:$V$10005,$V6202,'①在庫を貼る'!$W$6:$W$10005,$W6202)+COUNTIFS('月1回_1ヶ月前の在庫'!$V$6:$V$10005,$V6202,'月1回_1ヶ月前の在庫'!$W$6:$W$10005,$W6202)&gt;0),N(U6201),N(U6201)+1))</f>
        <v/>
      </c>
      <c r="V6202" s="19">
        <f>IF($B6202="","",TEXT($B6202,"0000"))</f>
        <v/>
      </c>
      <c r="W6202" s="19">
        <f>IF($I6202="","",IF(ISNUMBER($I6202),TEXT($I6202,"0"),$I6202))</f>
        <v/>
      </c>
    </row>
    <row r="6203">
      <c r="B6203" s="25" t="n"/>
      <c r="I6203" s="25" t="n"/>
      <c r="U6203" s="19">
        <f>IF($V6203&lt;&gt;'設定'!$C$4,N(U6202),IF(OR(NOT(COUNTIF('商品マスタ'!$B$6:$B$1005,$W6203)=0),COUNTIFS('①在庫を貼る'!$V$6:$V$10005,$V6203,'①在庫を貼る'!$W$6:$W$10005,$W6203)+COUNTIFS('月1回_1ヶ月前の在庫'!$V$6:$V$10005,$V6203,'月1回_1ヶ月前の在庫'!$W$6:$W$10005,$W6203)&gt;0),N(U6202),N(U6202)+1))</f>
        <v/>
      </c>
      <c r="V6203" s="19">
        <f>IF($B6203="","",TEXT($B6203,"0000"))</f>
        <v/>
      </c>
      <c r="W6203" s="19">
        <f>IF($I6203="","",IF(ISNUMBER($I6203),TEXT($I6203,"0"),$I6203))</f>
        <v/>
      </c>
    </row>
    <row r="6204">
      <c r="B6204" s="25" t="n"/>
      <c r="I6204" s="25" t="n"/>
      <c r="U6204" s="19">
        <f>IF($V6204&lt;&gt;'設定'!$C$4,N(U6203),IF(OR(NOT(COUNTIF('商品マスタ'!$B$6:$B$1005,$W6204)=0),COUNTIFS('①在庫を貼る'!$V$6:$V$10005,$V6204,'①在庫を貼る'!$W$6:$W$10005,$W6204)+COUNTIFS('月1回_1ヶ月前の在庫'!$V$6:$V$10005,$V6204,'月1回_1ヶ月前の在庫'!$W$6:$W$10005,$W6204)&gt;0),N(U6203),N(U6203)+1))</f>
        <v/>
      </c>
      <c r="V6204" s="19">
        <f>IF($B6204="","",TEXT($B6204,"0000"))</f>
        <v/>
      </c>
      <c r="W6204" s="19">
        <f>IF($I6204="","",IF(ISNUMBER($I6204),TEXT($I6204,"0"),$I6204))</f>
        <v/>
      </c>
    </row>
    <row r="6205">
      <c r="B6205" s="25" t="n"/>
      <c r="I6205" s="25" t="n"/>
      <c r="U6205" s="19">
        <f>IF($V6205&lt;&gt;'設定'!$C$4,N(U6204),IF(OR(NOT(COUNTIF('商品マスタ'!$B$6:$B$1005,$W6205)=0),COUNTIFS('①在庫を貼る'!$V$6:$V$10005,$V6205,'①在庫を貼る'!$W$6:$W$10005,$W6205)+COUNTIFS('月1回_1ヶ月前の在庫'!$V$6:$V$10005,$V6205,'月1回_1ヶ月前の在庫'!$W$6:$W$10005,$W6205)&gt;0),N(U6204),N(U6204)+1))</f>
        <v/>
      </c>
      <c r="V6205" s="19">
        <f>IF($B6205="","",TEXT($B6205,"0000"))</f>
        <v/>
      </c>
      <c r="W6205" s="19">
        <f>IF($I6205="","",IF(ISNUMBER($I6205),TEXT($I6205,"0"),$I6205))</f>
        <v/>
      </c>
    </row>
    <row r="6206">
      <c r="B6206" s="25" t="n"/>
      <c r="I6206" s="25" t="n"/>
      <c r="U6206" s="19">
        <f>IF($V6206&lt;&gt;'設定'!$C$4,N(U6205),IF(OR(NOT(COUNTIF('商品マスタ'!$B$6:$B$1005,$W6206)=0),COUNTIFS('①在庫を貼る'!$V$6:$V$10005,$V6206,'①在庫を貼る'!$W$6:$W$10005,$W6206)+COUNTIFS('月1回_1ヶ月前の在庫'!$V$6:$V$10005,$V6206,'月1回_1ヶ月前の在庫'!$W$6:$W$10005,$W6206)&gt;0),N(U6205),N(U6205)+1))</f>
        <v/>
      </c>
      <c r="V6206" s="19">
        <f>IF($B6206="","",TEXT($B6206,"0000"))</f>
        <v/>
      </c>
      <c r="W6206" s="19">
        <f>IF($I6206="","",IF(ISNUMBER($I6206),TEXT($I6206,"0"),$I6206))</f>
        <v/>
      </c>
    </row>
    <row r="6207">
      <c r="B6207" s="25" t="n"/>
      <c r="I6207" s="25" t="n"/>
      <c r="U6207" s="19">
        <f>IF($V6207&lt;&gt;'設定'!$C$4,N(U6206),IF(OR(NOT(COUNTIF('商品マスタ'!$B$6:$B$1005,$W6207)=0),COUNTIFS('①在庫を貼る'!$V$6:$V$10005,$V6207,'①在庫を貼る'!$W$6:$W$10005,$W6207)+COUNTIFS('月1回_1ヶ月前の在庫'!$V$6:$V$10005,$V6207,'月1回_1ヶ月前の在庫'!$W$6:$W$10005,$W6207)&gt;0),N(U6206),N(U6206)+1))</f>
        <v/>
      </c>
      <c r="V6207" s="19">
        <f>IF($B6207="","",TEXT($B6207,"0000"))</f>
        <v/>
      </c>
      <c r="W6207" s="19">
        <f>IF($I6207="","",IF(ISNUMBER($I6207),TEXT($I6207,"0"),$I6207))</f>
        <v/>
      </c>
    </row>
    <row r="6208">
      <c r="B6208" s="25" t="n"/>
      <c r="I6208" s="25" t="n"/>
      <c r="U6208" s="19">
        <f>IF($V6208&lt;&gt;'設定'!$C$4,N(U6207),IF(OR(NOT(COUNTIF('商品マスタ'!$B$6:$B$1005,$W6208)=0),COUNTIFS('①在庫を貼る'!$V$6:$V$10005,$V6208,'①在庫を貼る'!$W$6:$W$10005,$W6208)+COUNTIFS('月1回_1ヶ月前の在庫'!$V$6:$V$10005,$V6208,'月1回_1ヶ月前の在庫'!$W$6:$W$10005,$W6208)&gt;0),N(U6207),N(U6207)+1))</f>
        <v/>
      </c>
      <c r="V6208" s="19">
        <f>IF($B6208="","",TEXT($B6208,"0000"))</f>
        <v/>
      </c>
      <c r="W6208" s="19">
        <f>IF($I6208="","",IF(ISNUMBER($I6208),TEXT($I6208,"0"),$I6208))</f>
        <v/>
      </c>
    </row>
    <row r="6209">
      <c r="B6209" s="25" t="n"/>
      <c r="I6209" s="25" t="n"/>
      <c r="U6209" s="19">
        <f>IF($V6209&lt;&gt;'設定'!$C$4,N(U6208),IF(OR(NOT(COUNTIF('商品マスタ'!$B$6:$B$1005,$W6209)=0),COUNTIFS('①在庫を貼る'!$V$6:$V$10005,$V6209,'①在庫を貼る'!$W$6:$W$10005,$W6209)+COUNTIFS('月1回_1ヶ月前の在庫'!$V$6:$V$10005,$V6209,'月1回_1ヶ月前の在庫'!$W$6:$W$10005,$W6209)&gt;0),N(U6208),N(U6208)+1))</f>
        <v/>
      </c>
      <c r="V6209" s="19">
        <f>IF($B6209="","",TEXT($B6209,"0000"))</f>
        <v/>
      </c>
      <c r="W6209" s="19">
        <f>IF($I6209="","",IF(ISNUMBER($I6209),TEXT($I6209,"0"),$I6209))</f>
        <v/>
      </c>
    </row>
    <row r="6210">
      <c r="B6210" s="25" t="n"/>
      <c r="I6210" s="25" t="n"/>
      <c r="U6210" s="19">
        <f>IF($V6210&lt;&gt;'設定'!$C$4,N(U6209),IF(OR(NOT(COUNTIF('商品マスタ'!$B$6:$B$1005,$W6210)=0),COUNTIFS('①在庫を貼る'!$V$6:$V$10005,$V6210,'①在庫を貼る'!$W$6:$W$10005,$W6210)+COUNTIFS('月1回_1ヶ月前の在庫'!$V$6:$V$10005,$V6210,'月1回_1ヶ月前の在庫'!$W$6:$W$10005,$W6210)&gt;0),N(U6209),N(U6209)+1))</f>
        <v/>
      </c>
      <c r="V6210" s="19">
        <f>IF($B6210="","",TEXT($B6210,"0000"))</f>
        <v/>
      </c>
      <c r="W6210" s="19">
        <f>IF($I6210="","",IF(ISNUMBER($I6210),TEXT($I6210,"0"),$I6210))</f>
        <v/>
      </c>
    </row>
    <row r="6211">
      <c r="B6211" s="25" t="n"/>
      <c r="I6211" s="25" t="n"/>
      <c r="U6211" s="19">
        <f>IF($V6211&lt;&gt;'設定'!$C$4,N(U6210),IF(OR(NOT(COUNTIF('商品マスタ'!$B$6:$B$1005,$W6211)=0),COUNTIFS('①在庫を貼る'!$V$6:$V$10005,$V6211,'①在庫を貼る'!$W$6:$W$10005,$W6211)+COUNTIFS('月1回_1ヶ月前の在庫'!$V$6:$V$10005,$V6211,'月1回_1ヶ月前の在庫'!$W$6:$W$10005,$W6211)&gt;0),N(U6210),N(U6210)+1))</f>
        <v/>
      </c>
      <c r="V6211" s="19">
        <f>IF($B6211="","",TEXT($B6211,"0000"))</f>
        <v/>
      </c>
      <c r="W6211" s="19">
        <f>IF($I6211="","",IF(ISNUMBER($I6211),TEXT($I6211,"0"),$I6211))</f>
        <v/>
      </c>
    </row>
    <row r="6212">
      <c r="B6212" s="25" t="n"/>
      <c r="I6212" s="25" t="n"/>
      <c r="U6212" s="19">
        <f>IF($V6212&lt;&gt;'設定'!$C$4,N(U6211),IF(OR(NOT(COUNTIF('商品マスタ'!$B$6:$B$1005,$W6212)=0),COUNTIFS('①在庫を貼る'!$V$6:$V$10005,$V6212,'①在庫を貼る'!$W$6:$W$10005,$W6212)+COUNTIFS('月1回_1ヶ月前の在庫'!$V$6:$V$10005,$V6212,'月1回_1ヶ月前の在庫'!$W$6:$W$10005,$W6212)&gt;0),N(U6211),N(U6211)+1))</f>
        <v/>
      </c>
      <c r="V6212" s="19">
        <f>IF($B6212="","",TEXT($B6212,"0000"))</f>
        <v/>
      </c>
      <c r="W6212" s="19">
        <f>IF($I6212="","",IF(ISNUMBER($I6212),TEXT($I6212,"0"),$I6212))</f>
        <v/>
      </c>
    </row>
    <row r="6213">
      <c r="B6213" s="25" t="n"/>
      <c r="I6213" s="25" t="n"/>
      <c r="U6213" s="19">
        <f>IF($V6213&lt;&gt;'設定'!$C$4,N(U6212),IF(OR(NOT(COUNTIF('商品マスタ'!$B$6:$B$1005,$W6213)=0),COUNTIFS('①在庫を貼る'!$V$6:$V$10005,$V6213,'①在庫を貼る'!$W$6:$W$10005,$W6213)+COUNTIFS('月1回_1ヶ月前の在庫'!$V$6:$V$10005,$V6213,'月1回_1ヶ月前の在庫'!$W$6:$W$10005,$W6213)&gt;0),N(U6212),N(U6212)+1))</f>
        <v/>
      </c>
      <c r="V6213" s="19">
        <f>IF($B6213="","",TEXT($B6213,"0000"))</f>
        <v/>
      </c>
      <c r="W6213" s="19">
        <f>IF($I6213="","",IF(ISNUMBER($I6213),TEXT($I6213,"0"),$I6213))</f>
        <v/>
      </c>
    </row>
    <row r="6214">
      <c r="B6214" s="25" t="n"/>
      <c r="I6214" s="25" t="n"/>
      <c r="U6214" s="19">
        <f>IF($V6214&lt;&gt;'設定'!$C$4,N(U6213),IF(OR(NOT(COUNTIF('商品マスタ'!$B$6:$B$1005,$W6214)=0),COUNTIFS('①在庫を貼る'!$V$6:$V$10005,$V6214,'①在庫を貼る'!$W$6:$W$10005,$W6214)+COUNTIFS('月1回_1ヶ月前の在庫'!$V$6:$V$10005,$V6214,'月1回_1ヶ月前の在庫'!$W$6:$W$10005,$W6214)&gt;0),N(U6213),N(U6213)+1))</f>
        <v/>
      </c>
      <c r="V6214" s="19">
        <f>IF($B6214="","",TEXT($B6214,"0000"))</f>
        <v/>
      </c>
      <c r="W6214" s="19">
        <f>IF($I6214="","",IF(ISNUMBER($I6214),TEXT($I6214,"0"),$I6214))</f>
        <v/>
      </c>
    </row>
    <row r="6215">
      <c r="B6215" s="25" t="n"/>
      <c r="I6215" s="25" t="n"/>
      <c r="U6215" s="19">
        <f>IF($V6215&lt;&gt;'設定'!$C$4,N(U6214),IF(OR(NOT(COUNTIF('商品マスタ'!$B$6:$B$1005,$W6215)=0),COUNTIFS('①在庫を貼る'!$V$6:$V$10005,$V6215,'①在庫を貼る'!$W$6:$W$10005,$W6215)+COUNTIFS('月1回_1ヶ月前の在庫'!$V$6:$V$10005,$V6215,'月1回_1ヶ月前の在庫'!$W$6:$W$10005,$W6215)&gt;0),N(U6214),N(U6214)+1))</f>
        <v/>
      </c>
      <c r="V6215" s="19">
        <f>IF($B6215="","",TEXT($B6215,"0000"))</f>
        <v/>
      </c>
      <c r="W6215" s="19">
        <f>IF($I6215="","",IF(ISNUMBER($I6215),TEXT($I6215,"0"),$I6215))</f>
        <v/>
      </c>
    </row>
    <row r="6216">
      <c r="B6216" s="25" t="n"/>
      <c r="I6216" s="25" t="n"/>
      <c r="U6216" s="19">
        <f>IF($V6216&lt;&gt;'設定'!$C$4,N(U6215),IF(OR(NOT(COUNTIF('商品マスタ'!$B$6:$B$1005,$W6216)=0),COUNTIFS('①在庫を貼る'!$V$6:$V$10005,$V6216,'①在庫を貼る'!$W$6:$W$10005,$W6216)+COUNTIFS('月1回_1ヶ月前の在庫'!$V$6:$V$10005,$V6216,'月1回_1ヶ月前の在庫'!$W$6:$W$10005,$W6216)&gt;0),N(U6215),N(U6215)+1))</f>
        <v/>
      </c>
      <c r="V6216" s="19">
        <f>IF($B6216="","",TEXT($B6216,"0000"))</f>
        <v/>
      </c>
      <c r="W6216" s="19">
        <f>IF($I6216="","",IF(ISNUMBER($I6216),TEXT($I6216,"0"),$I6216))</f>
        <v/>
      </c>
    </row>
    <row r="6217">
      <c r="B6217" s="25" t="n"/>
      <c r="I6217" s="25" t="n"/>
      <c r="U6217" s="19">
        <f>IF($V6217&lt;&gt;'設定'!$C$4,N(U6216),IF(OR(NOT(COUNTIF('商品マスタ'!$B$6:$B$1005,$W6217)=0),COUNTIFS('①在庫を貼る'!$V$6:$V$10005,$V6217,'①在庫を貼る'!$W$6:$W$10005,$W6217)+COUNTIFS('月1回_1ヶ月前の在庫'!$V$6:$V$10005,$V6217,'月1回_1ヶ月前の在庫'!$W$6:$W$10005,$W6217)&gt;0),N(U6216),N(U6216)+1))</f>
        <v/>
      </c>
      <c r="V6217" s="19">
        <f>IF($B6217="","",TEXT($B6217,"0000"))</f>
        <v/>
      </c>
      <c r="W6217" s="19">
        <f>IF($I6217="","",IF(ISNUMBER($I6217),TEXT($I6217,"0"),$I6217))</f>
        <v/>
      </c>
    </row>
    <row r="6218">
      <c r="B6218" s="25" t="n"/>
      <c r="I6218" s="25" t="n"/>
      <c r="U6218" s="19">
        <f>IF($V6218&lt;&gt;'設定'!$C$4,N(U6217),IF(OR(NOT(COUNTIF('商品マスタ'!$B$6:$B$1005,$W6218)=0),COUNTIFS('①在庫を貼る'!$V$6:$V$10005,$V6218,'①在庫を貼る'!$W$6:$W$10005,$W6218)+COUNTIFS('月1回_1ヶ月前の在庫'!$V$6:$V$10005,$V6218,'月1回_1ヶ月前の在庫'!$W$6:$W$10005,$W6218)&gt;0),N(U6217),N(U6217)+1))</f>
        <v/>
      </c>
      <c r="V6218" s="19">
        <f>IF($B6218="","",TEXT($B6218,"0000"))</f>
        <v/>
      </c>
      <c r="W6218" s="19">
        <f>IF($I6218="","",IF(ISNUMBER($I6218),TEXT($I6218,"0"),$I6218))</f>
        <v/>
      </c>
    </row>
    <row r="6219">
      <c r="B6219" s="25" t="n"/>
      <c r="I6219" s="25" t="n"/>
      <c r="U6219" s="19">
        <f>IF($V6219&lt;&gt;'設定'!$C$4,N(U6218),IF(OR(NOT(COUNTIF('商品マスタ'!$B$6:$B$1005,$W6219)=0),COUNTIFS('①在庫を貼る'!$V$6:$V$10005,$V6219,'①在庫を貼る'!$W$6:$W$10005,$W6219)+COUNTIFS('月1回_1ヶ月前の在庫'!$V$6:$V$10005,$V6219,'月1回_1ヶ月前の在庫'!$W$6:$W$10005,$W6219)&gt;0),N(U6218),N(U6218)+1))</f>
        <v/>
      </c>
      <c r="V6219" s="19">
        <f>IF($B6219="","",TEXT($B6219,"0000"))</f>
        <v/>
      </c>
      <c r="W6219" s="19">
        <f>IF($I6219="","",IF(ISNUMBER($I6219),TEXT($I6219,"0"),$I6219))</f>
        <v/>
      </c>
    </row>
    <row r="6220">
      <c r="B6220" s="25" t="n"/>
      <c r="I6220" s="25" t="n"/>
      <c r="U6220" s="19">
        <f>IF($V6220&lt;&gt;'設定'!$C$4,N(U6219),IF(OR(NOT(COUNTIF('商品マスタ'!$B$6:$B$1005,$W6220)=0),COUNTIFS('①在庫を貼る'!$V$6:$V$10005,$V6220,'①在庫を貼る'!$W$6:$W$10005,$W6220)+COUNTIFS('月1回_1ヶ月前の在庫'!$V$6:$V$10005,$V6220,'月1回_1ヶ月前の在庫'!$W$6:$W$10005,$W6220)&gt;0),N(U6219),N(U6219)+1))</f>
        <v/>
      </c>
      <c r="V6220" s="19">
        <f>IF($B6220="","",TEXT($B6220,"0000"))</f>
        <v/>
      </c>
      <c r="W6220" s="19">
        <f>IF($I6220="","",IF(ISNUMBER($I6220),TEXT($I6220,"0"),$I6220))</f>
        <v/>
      </c>
    </row>
    <row r="6221">
      <c r="B6221" s="25" t="n"/>
      <c r="I6221" s="25" t="n"/>
      <c r="U6221" s="19">
        <f>IF($V6221&lt;&gt;'設定'!$C$4,N(U6220),IF(OR(NOT(COUNTIF('商品マスタ'!$B$6:$B$1005,$W6221)=0),COUNTIFS('①在庫を貼る'!$V$6:$V$10005,$V6221,'①在庫を貼る'!$W$6:$W$10005,$W6221)+COUNTIFS('月1回_1ヶ月前の在庫'!$V$6:$V$10005,$V6221,'月1回_1ヶ月前の在庫'!$W$6:$W$10005,$W6221)&gt;0),N(U6220),N(U6220)+1))</f>
        <v/>
      </c>
      <c r="V6221" s="19">
        <f>IF($B6221="","",TEXT($B6221,"0000"))</f>
        <v/>
      </c>
      <c r="W6221" s="19">
        <f>IF($I6221="","",IF(ISNUMBER($I6221),TEXT($I6221,"0"),$I6221))</f>
        <v/>
      </c>
    </row>
    <row r="6222">
      <c r="B6222" s="25" t="n"/>
      <c r="I6222" s="25" t="n"/>
      <c r="U6222" s="19">
        <f>IF($V6222&lt;&gt;'設定'!$C$4,N(U6221),IF(OR(NOT(COUNTIF('商品マスタ'!$B$6:$B$1005,$W6222)=0),COUNTIFS('①在庫を貼る'!$V$6:$V$10005,$V6222,'①在庫を貼る'!$W$6:$W$10005,$W6222)+COUNTIFS('月1回_1ヶ月前の在庫'!$V$6:$V$10005,$V6222,'月1回_1ヶ月前の在庫'!$W$6:$W$10005,$W6222)&gt;0),N(U6221),N(U6221)+1))</f>
        <v/>
      </c>
      <c r="V6222" s="19">
        <f>IF($B6222="","",TEXT($B6222,"0000"))</f>
        <v/>
      </c>
      <c r="W6222" s="19">
        <f>IF($I6222="","",IF(ISNUMBER($I6222),TEXT($I6222,"0"),$I6222))</f>
        <v/>
      </c>
    </row>
    <row r="6223">
      <c r="B6223" s="25" t="n"/>
      <c r="I6223" s="25" t="n"/>
      <c r="U6223" s="19">
        <f>IF($V6223&lt;&gt;'設定'!$C$4,N(U6222),IF(OR(NOT(COUNTIF('商品マスタ'!$B$6:$B$1005,$W6223)=0),COUNTIFS('①在庫を貼る'!$V$6:$V$10005,$V6223,'①在庫を貼る'!$W$6:$W$10005,$W6223)+COUNTIFS('月1回_1ヶ月前の在庫'!$V$6:$V$10005,$V6223,'月1回_1ヶ月前の在庫'!$W$6:$W$10005,$W6223)&gt;0),N(U6222),N(U6222)+1))</f>
        <v/>
      </c>
      <c r="V6223" s="19">
        <f>IF($B6223="","",TEXT($B6223,"0000"))</f>
        <v/>
      </c>
      <c r="W6223" s="19">
        <f>IF($I6223="","",IF(ISNUMBER($I6223),TEXT($I6223,"0"),$I6223))</f>
        <v/>
      </c>
    </row>
    <row r="6224">
      <c r="B6224" s="25" t="n"/>
      <c r="I6224" s="25" t="n"/>
      <c r="U6224" s="19">
        <f>IF($V6224&lt;&gt;'設定'!$C$4,N(U6223),IF(OR(NOT(COUNTIF('商品マスタ'!$B$6:$B$1005,$W6224)=0),COUNTIFS('①在庫を貼る'!$V$6:$V$10005,$V6224,'①在庫を貼る'!$W$6:$W$10005,$W6224)+COUNTIFS('月1回_1ヶ月前の在庫'!$V$6:$V$10005,$V6224,'月1回_1ヶ月前の在庫'!$W$6:$W$10005,$W6224)&gt;0),N(U6223),N(U6223)+1))</f>
        <v/>
      </c>
      <c r="V6224" s="19">
        <f>IF($B6224="","",TEXT($B6224,"0000"))</f>
        <v/>
      </c>
      <c r="W6224" s="19">
        <f>IF($I6224="","",IF(ISNUMBER($I6224),TEXT($I6224,"0"),$I6224))</f>
        <v/>
      </c>
    </row>
    <row r="6225">
      <c r="B6225" s="25" t="n"/>
      <c r="I6225" s="25" t="n"/>
      <c r="U6225" s="19">
        <f>IF($V6225&lt;&gt;'設定'!$C$4,N(U6224),IF(OR(NOT(COUNTIF('商品マスタ'!$B$6:$B$1005,$W6225)=0),COUNTIFS('①在庫を貼る'!$V$6:$V$10005,$V6225,'①在庫を貼る'!$W$6:$W$10005,$W6225)+COUNTIFS('月1回_1ヶ月前の在庫'!$V$6:$V$10005,$V6225,'月1回_1ヶ月前の在庫'!$W$6:$W$10005,$W6225)&gt;0),N(U6224),N(U6224)+1))</f>
        <v/>
      </c>
      <c r="V6225" s="19">
        <f>IF($B6225="","",TEXT($B6225,"0000"))</f>
        <v/>
      </c>
      <c r="W6225" s="19">
        <f>IF($I6225="","",IF(ISNUMBER($I6225),TEXT($I6225,"0"),$I6225))</f>
        <v/>
      </c>
    </row>
    <row r="6226">
      <c r="B6226" s="25" t="n"/>
      <c r="I6226" s="25" t="n"/>
      <c r="U6226" s="19">
        <f>IF($V6226&lt;&gt;'設定'!$C$4,N(U6225),IF(OR(NOT(COUNTIF('商品マスタ'!$B$6:$B$1005,$W6226)=0),COUNTIFS('①在庫を貼る'!$V$6:$V$10005,$V6226,'①在庫を貼る'!$W$6:$W$10005,$W6226)+COUNTIFS('月1回_1ヶ月前の在庫'!$V$6:$V$10005,$V6226,'月1回_1ヶ月前の在庫'!$W$6:$W$10005,$W6226)&gt;0),N(U6225),N(U6225)+1))</f>
        <v/>
      </c>
      <c r="V6226" s="19">
        <f>IF($B6226="","",TEXT($B6226,"0000"))</f>
        <v/>
      </c>
      <c r="W6226" s="19">
        <f>IF($I6226="","",IF(ISNUMBER($I6226),TEXT($I6226,"0"),$I6226))</f>
        <v/>
      </c>
    </row>
    <row r="6227">
      <c r="B6227" s="25" t="n"/>
      <c r="I6227" s="25" t="n"/>
      <c r="U6227" s="19">
        <f>IF($V6227&lt;&gt;'設定'!$C$4,N(U6226),IF(OR(NOT(COUNTIF('商品マスタ'!$B$6:$B$1005,$W6227)=0),COUNTIFS('①在庫を貼る'!$V$6:$V$10005,$V6227,'①在庫を貼る'!$W$6:$W$10005,$W6227)+COUNTIFS('月1回_1ヶ月前の在庫'!$V$6:$V$10005,$V6227,'月1回_1ヶ月前の在庫'!$W$6:$W$10005,$W6227)&gt;0),N(U6226),N(U6226)+1))</f>
        <v/>
      </c>
      <c r="V6227" s="19">
        <f>IF($B6227="","",TEXT($B6227,"0000"))</f>
        <v/>
      </c>
      <c r="W6227" s="19">
        <f>IF($I6227="","",IF(ISNUMBER($I6227),TEXT($I6227,"0"),$I6227))</f>
        <v/>
      </c>
    </row>
    <row r="6228">
      <c r="B6228" s="25" t="n"/>
      <c r="I6228" s="25" t="n"/>
      <c r="U6228" s="19">
        <f>IF($V6228&lt;&gt;'設定'!$C$4,N(U6227),IF(OR(NOT(COUNTIF('商品マスタ'!$B$6:$B$1005,$W6228)=0),COUNTIFS('①在庫を貼る'!$V$6:$V$10005,$V6228,'①在庫を貼る'!$W$6:$W$10005,$W6228)+COUNTIFS('月1回_1ヶ月前の在庫'!$V$6:$V$10005,$V6228,'月1回_1ヶ月前の在庫'!$W$6:$W$10005,$W6228)&gt;0),N(U6227),N(U6227)+1))</f>
        <v/>
      </c>
      <c r="V6228" s="19">
        <f>IF($B6228="","",TEXT($B6228,"0000"))</f>
        <v/>
      </c>
      <c r="W6228" s="19">
        <f>IF($I6228="","",IF(ISNUMBER($I6228),TEXT($I6228,"0"),$I6228))</f>
        <v/>
      </c>
    </row>
    <row r="6229">
      <c r="B6229" s="25" t="n"/>
      <c r="I6229" s="25" t="n"/>
      <c r="U6229" s="19">
        <f>IF($V6229&lt;&gt;'設定'!$C$4,N(U6228),IF(OR(NOT(COUNTIF('商品マスタ'!$B$6:$B$1005,$W6229)=0),COUNTIFS('①在庫を貼る'!$V$6:$V$10005,$V6229,'①在庫を貼る'!$W$6:$W$10005,$W6229)+COUNTIFS('月1回_1ヶ月前の在庫'!$V$6:$V$10005,$V6229,'月1回_1ヶ月前の在庫'!$W$6:$W$10005,$W6229)&gt;0),N(U6228),N(U6228)+1))</f>
        <v/>
      </c>
      <c r="V6229" s="19">
        <f>IF($B6229="","",TEXT($B6229,"0000"))</f>
        <v/>
      </c>
      <c r="W6229" s="19">
        <f>IF($I6229="","",IF(ISNUMBER($I6229),TEXT($I6229,"0"),$I6229))</f>
        <v/>
      </c>
    </row>
    <row r="6230">
      <c r="B6230" s="25" t="n"/>
      <c r="I6230" s="25" t="n"/>
      <c r="U6230" s="19">
        <f>IF($V6230&lt;&gt;'設定'!$C$4,N(U6229),IF(OR(NOT(COUNTIF('商品マスタ'!$B$6:$B$1005,$W6230)=0),COUNTIFS('①在庫を貼る'!$V$6:$V$10005,$V6230,'①在庫を貼る'!$W$6:$W$10005,$W6230)+COUNTIFS('月1回_1ヶ月前の在庫'!$V$6:$V$10005,$V6230,'月1回_1ヶ月前の在庫'!$W$6:$W$10005,$W6230)&gt;0),N(U6229),N(U6229)+1))</f>
        <v/>
      </c>
      <c r="V6230" s="19">
        <f>IF($B6230="","",TEXT($B6230,"0000"))</f>
        <v/>
      </c>
      <c r="W6230" s="19">
        <f>IF($I6230="","",IF(ISNUMBER($I6230),TEXT($I6230,"0"),$I6230))</f>
        <v/>
      </c>
    </row>
    <row r="6231">
      <c r="B6231" s="25" t="n"/>
      <c r="I6231" s="25" t="n"/>
      <c r="U6231" s="19">
        <f>IF($V6231&lt;&gt;'設定'!$C$4,N(U6230),IF(OR(NOT(COUNTIF('商品マスタ'!$B$6:$B$1005,$W6231)=0),COUNTIFS('①在庫を貼る'!$V$6:$V$10005,$V6231,'①在庫を貼る'!$W$6:$W$10005,$W6231)+COUNTIFS('月1回_1ヶ月前の在庫'!$V$6:$V$10005,$V6231,'月1回_1ヶ月前の在庫'!$W$6:$W$10005,$W6231)&gt;0),N(U6230),N(U6230)+1))</f>
        <v/>
      </c>
      <c r="V6231" s="19">
        <f>IF($B6231="","",TEXT($B6231,"0000"))</f>
        <v/>
      </c>
      <c r="W6231" s="19">
        <f>IF($I6231="","",IF(ISNUMBER($I6231),TEXT($I6231,"0"),$I6231))</f>
        <v/>
      </c>
    </row>
    <row r="6232">
      <c r="B6232" s="25" t="n"/>
      <c r="I6232" s="25" t="n"/>
      <c r="U6232" s="19">
        <f>IF($V6232&lt;&gt;'設定'!$C$4,N(U6231),IF(OR(NOT(COUNTIF('商品マスタ'!$B$6:$B$1005,$W6232)=0),COUNTIFS('①在庫を貼る'!$V$6:$V$10005,$V6232,'①在庫を貼る'!$W$6:$W$10005,$W6232)+COUNTIFS('月1回_1ヶ月前の在庫'!$V$6:$V$10005,$V6232,'月1回_1ヶ月前の在庫'!$W$6:$W$10005,$W6232)&gt;0),N(U6231),N(U6231)+1))</f>
        <v/>
      </c>
      <c r="V6232" s="19">
        <f>IF($B6232="","",TEXT($B6232,"0000"))</f>
        <v/>
      </c>
      <c r="W6232" s="19">
        <f>IF($I6232="","",IF(ISNUMBER($I6232),TEXT($I6232,"0"),$I6232))</f>
        <v/>
      </c>
    </row>
    <row r="6233">
      <c r="B6233" s="25" t="n"/>
      <c r="I6233" s="25" t="n"/>
      <c r="U6233" s="19">
        <f>IF($V6233&lt;&gt;'設定'!$C$4,N(U6232),IF(OR(NOT(COUNTIF('商品マスタ'!$B$6:$B$1005,$W6233)=0),COUNTIFS('①在庫を貼る'!$V$6:$V$10005,$V6233,'①在庫を貼る'!$W$6:$W$10005,$W6233)+COUNTIFS('月1回_1ヶ月前の在庫'!$V$6:$V$10005,$V6233,'月1回_1ヶ月前の在庫'!$W$6:$W$10005,$W6233)&gt;0),N(U6232),N(U6232)+1))</f>
        <v/>
      </c>
      <c r="V6233" s="19">
        <f>IF($B6233="","",TEXT($B6233,"0000"))</f>
        <v/>
      </c>
      <c r="W6233" s="19">
        <f>IF($I6233="","",IF(ISNUMBER($I6233),TEXT($I6233,"0"),$I6233))</f>
        <v/>
      </c>
    </row>
    <row r="6234">
      <c r="B6234" s="25" t="n"/>
      <c r="I6234" s="25" t="n"/>
      <c r="U6234" s="19">
        <f>IF($V6234&lt;&gt;'設定'!$C$4,N(U6233),IF(OR(NOT(COUNTIF('商品マスタ'!$B$6:$B$1005,$W6234)=0),COUNTIFS('①在庫を貼る'!$V$6:$V$10005,$V6234,'①在庫を貼る'!$W$6:$W$10005,$W6234)+COUNTIFS('月1回_1ヶ月前の在庫'!$V$6:$V$10005,$V6234,'月1回_1ヶ月前の在庫'!$W$6:$W$10005,$W6234)&gt;0),N(U6233),N(U6233)+1))</f>
        <v/>
      </c>
      <c r="V6234" s="19">
        <f>IF($B6234="","",TEXT($B6234,"0000"))</f>
        <v/>
      </c>
      <c r="W6234" s="19">
        <f>IF($I6234="","",IF(ISNUMBER($I6234),TEXT($I6234,"0"),$I6234))</f>
        <v/>
      </c>
    </row>
    <row r="6235">
      <c r="B6235" s="25" t="n"/>
      <c r="I6235" s="25" t="n"/>
      <c r="U6235" s="19">
        <f>IF($V6235&lt;&gt;'設定'!$C$4,N(U6234),IF(OR(NOT(COUNTIF('商品マスタ'!$B$6:$B$1005,$W6235)=0),COUNTIFS('①在庫を貼る'!$V$6:$V$10005,$V6235,'①在庫を貼る'!$W$6:$W$10005,$W6235)+COUNTIFS('月1回_1ヶ月前の在庫'!$V$6:$V$10005,$V6235,'月1回_1ヶ月前の在庫'!$W$6:$W$10005,$W6235)&gt;0),N(U6234),N(U6234)+1))</f>
        <v/>
      </c>
      <c r="V6235" s="19">
        <f>IF($B6235="","",TEXT($B6235,"0000"))</f>
        <v/>
      </c>
      <c r="W6235" s="19">
        <f>IF($I6235="","",IF(ISNUMBER($I6235),TEXT($I6235,"0"),$I6235))</f>
        <v/>
      </c>
    </row>
    <row r="6236">
      <c r="B6236" s="25" t="n"/>
      <c r="I6236" s="25" t="n"/>
      <c r="U6236" s="19">
        <f>IF($V6236&lt;&gt;'設定'!$C$4,N(U6235),IF(OR(NOT(COUNTIF('商品マスタ'!$B$6:$B$1005,$W6236)=0),COUNTIFS('①在庫を貼る'!$V$6:$V$10005,$V6236,'①在庫を貼る'!$W$6:$W$10005,$W6236)+COUNTIFS('月1回_1ヶ月前の在庫'!$V$6:$V$10005,$V6236,'月1回_1ヶ月前の在庫'!$W$6:$W$10005,$W6236)&gt;0),N(U6235),N(U6235)+1))</f>
        <v/>
      </c>
      <c r="V6236" s="19">
        <f>IF($B6236="","",TEXT($B6236,"0000"))</f>
        <v/>
      </c>
      <c r="W6236" s="19">
        <f>IF($I6236="","",IF(ISNUMBER($I6236),TEXT($I6236,"0"),$I6236))</f>
        <v/>
      </c>
    </row>
    <row r="6237">
      <c r="B6237" s="25" t="n"/>
      <c r="I6237" s="25" t="n"/>
      <c r="U6237" s="19">
        <f>IF($V6237&lt;&gt;'設定'!$C$4,N(U6236),IF(OR(NOT(COUNTIF('商品マスタ'!$B$6:$B$1005,$W6237)=0),COUNTIFS('①在庫を貼る'!$V$6:$V$10005,$V6237,'①在庫を貼る'!$W$6:$W$10005,$W6237)+COUNTIFS('月1回_1ヶ月前の在庫'!$V$6:$V$10005,$V6237,'月1回_1ヶ月前の在庫'!$W$6:$W$10005,$W6237)&gt;0),N(U6236),N(U6236)+1))</f>
        <v/>
      </c>
      <c r="V6237" s="19">
        <f>IF($B6237="","",TEXT($B6237,"0000"))</f>
        <v/>
      </c>
      <c r="W6237" s="19">
        <f>IF($I6237="","",IF(ISNUMBER($I6237),TEXT($I6237,"0"),$I6237))</f>
        <v/>
      </c>
    </row>
    <row r="6238">
      <c r="B6238" s="25" t="n"/>
      <c r="I6238" s="25" t="n"/>
      <c r="U6238" s="19">
        <f>IF($V6238&lt;&gt;'設定'!$C$4,N(U6237),IF(OR(NOT(COUNTIF('商品マスタ'!$B$6:$B$1005,$W6238)=0),COUNTIFS('①在庫を貼る'!$V$6:$V$10005,$V6238,'①在庫を貼る'!$W$6:$W$10005,$W6238)+COUNTIFS('月1回_1ヶ月前の在庫'!$V$6:$V$10005,$V6238,'月1回_1ヶ月前の在庫'!$W$6:$W$10005,$W6238)&gt;0),N(U6237),N(U6237)+1))</f>
        <v/>
      </c>
      <c r="V6238" s="19">
        <f>IF($B6238="","",TEXT($B6238,"0000"))</f>
        <v/>
      </c>
      <c r="W6238" s="19">
        <f>IF($I6238="","",IF(ISNUMBER($I6238),TEXT($I6238,"0"),$I6238))</f>
        <v/>
      </c>
    </row>
    <row r="6239">
      <c r="B6239" s="25" t="n"/>
      <c r="I6239" s="25" t="n"/>
      <c r="U6239" s="19">
        <f>IF($V6239&lt;&gt;'設定'!$C$4,N(U6238),IF(OR(NOT(COUNTIF('商品マスタ'!$B$6:$B$1005,$W6239)=0),COUNTIFS('①在庫を貼る'!$V$6:$V$10005,$V6239,'①在庫を貼る'!$W$6:$W$10005,$W6239)+COUNTIFS('月1回_1ヶ月前の在庫'!$V$6:$V$10005,$V6239,'月1回_1ヶ月前の在庫'!$W$6:$W$10005,$W6239)&gt;0),N(U6238),N(U6238)+1))</f>
        <v/>
      </c>
      <c r="V6239" s="19">
        <f>IF($B6239="","",TEXT($B6239,"0000"))</f>
        <v/>
      </c>
      <c r="W6239" s="19">
        <f>IF($I6239="","",IF(ISNUMBER($I6239),TEXT($I6239,"0"),$I6239))</f>
        <v/>
      </c>
    </row>
    <row r="6240">
      <c r="B6240" s="25" t="n"/>
      <c r="I6240" s="25" t="n"/>
      <c r="U6240" s="19">
        <f>IF($V6240&lt;&gt;'設定'!$C$4,N(U6239),IF(OR(NOT(COUNTIF('商品マスタ'!$B$6:$B$1005,$W6240)=0),COUNTIFS('①在庫を貼る'!$V$6:$V$10005,$V6240,'①在庫を貼る'!$W$6:$W$10005,$W6240)+COUNTIFS('月1回_1ヶ月前の在庫'!$V$6:$V$10005,$V6240,'月1回_1ヶ月前の在庫'!$W$6:$W$10005,$W6240)&gt;0),N(U6239),N(U6239)+1))</f>
        <v/>
      </c>
      <c r="V6240" s="19">
        <f>IF($B6240="","",TEXT($B6240,"0000"))</f>
        <v/>
      </c>
      <c r="W6240" s="19">
        <f>IF($I6240="","",IF(ISNUMBER($I6240),TEXT($I6240,"0"),$I6240))</f>
        <v/>
      </c>
    </row>
    <row r="6241">
      <c r="B6241" s="25" t="n"/>
      <c r="I6241" s="25" t="n"/>
      <c r="U6241" s="19">
        <f>IF($V6241&lt;&gt;'設定'!$C$4,N(U6240),IF(OR(NOT(COUNTIF('商品マスタ'!$B$6:$B$1005,$W6241)=0),COUNTIFS('①在庫を貼る'!$V$6:$V$10005,$V6241,'①在庫を貼る'!$W$6:$W$10005,$W6241)+COUNTIFS('月1回_1ヶ月前の在庫'!$V$6:$V$10005,$V6241,'月1回_1ヶ月前の在庫'!$W$6:$W$10005,$W6241)&gt;0),N(U6240),N(U6240)+1))</f>
        <v/>
      </c>
      <c r="V6241" s="19">
        <f>IF($B6241="","",TEXT($B6241,"0000"))</f>
        <v/>
      </c>
      <c r="W6241" s="19">
        <f>IF($I6241="","",IF(ISNUMBER($I6241),TEXT($I6241,"0"),$I6241))</f>
        <v/>
      </c>
    </row>
    <row r="6242">
      <c r="B6242" s="25" t="n"/>
      <c r="I6242" s="25" t="n"/>
      <c r="U6242" s="19">
        <f>IF($V6242&lt;&gt;'設定'!$C$4,N(U6241),IF(OR(NOT(COUNTIF('商品マスタ'!$B$6:$B$1005,$W6242)=0),COUNTIFS('①在庫を貼る'!$V$6:$V$10005,$V6242,'①在庫を貼る'!$W$6:$W$10005,$W6242)+COUNTIFS('月1回_1ヶ月前の在庫'!$V$6:$V$10005,$V6242,'月1回_1ヶ月前の在庫'!$W$6:$W$10005,$W6242)&gt;0),N(U6241),N(U6241)+1))</f>
        <v/>
      </c>
      <c r="V6242" s="19">
        <f>IF($B6242="","",TEXT($B6242,"0000"))</f>
        <v/>
      </c>
      <c r="W6242" s="19">
        <f>IF($I6242="","",IF(ISNUMBER($I6242),TEXT($I6242,"0"),$I6242))</f>
        <v/>
      </c>
    </row>
    <row r="6243">
      <c r="B6243" s="25" t="n"/>
      <c r="I6243" s="25" t="n"/>
      <c r="U6243" s="19">
        <f>IF($V6243&lt;&gt;'設定'!$C$4,N(U6242),IF(OR(NOT(COUNTIF('商品マスタ'!$B$6:$B$1005,$W6243)=0),COUNTIFS('①在庫を貼る'!$V$6:$V$10005,$V6243,'①在庫を貼る'!$W$6:$W$10005,$W6243)+COUNTIFS('月1回_1ヶ月前の在庫'!$V$6:$V$10005,$V6243,'月1回_1ヶ月前の在庫'!$W$6:$W$10005,$W6243)&gt;0),N(U6242),N(U6242)+1))</f>
        <v/>
      </c>
      <c r="V6243" s="19">
        <f>IF($B6243="","",TEXT($B6243,"0000"))</f>
        <v/>
      </c>
      <c r="W6243" s="19">
        <f>IF($I6243="","",IF(ISNUMBER($I6243),TEXT($I6243,"0"),$I6243))</f>
        <v/>
      </c>
    </row>
    <row r="6244">
      <c r="B6244" s="25" t="n"/>
      <c r="I6244" s="25" t="n"/>
      <c r="U6244" s="19">
        <f>IF($V6244&lt;&gt;'設定'!$C$4,N(U6243),IF(OR(NOT(COUNTIF('商品マスタ'!$B$6:$B$1005,$W6244)=0),COUNTIFS('①在庫を貼る'!$V$6:$V$10005,$V6244,'①在庫を貼る'!$W$6:$W$10005,$W6244)+COUNTIFS('月1回_1ヶ月前の在庫'!$V$6:$V$10005,$V6244,'月1回_1ヶ月前の在庫'!$W$6:$W$10005,$W6244)&gt;0),N(U6243),N(U6243)+1))</f>
        <v/>
      </c>
      <c r="V6244" s="19">
        <f>IF($B6244="","",TEXT($B6244,"0000"))</f>
        <v/>
      </c>
      <c r="W6244" s="19">
        <f>IF($I6244="","",IF(ISNUMBER($I6244),TEXT($I6244,"0"),$I6244))</f>
        <v/>
      </c>
    </row>
    <row r="6245">
      <c r="B6245" s="25" t="n"/>
      <c r="I6245" s="25" t="n"/>
      <c r="U6245" s="19">
        <f>IF($V6245&lt;&gt;'設定'!$C$4,N(U6244),IF(OR(NOT(COUNTIF('商品マスタ'!$B$6:$B$1005,$W6245)=0),COUNTIFS('①在庫を貼る'!$V$6:$V$10005,$V6245,'①在庫を貼る'!$W$6:$W$10005,$W6245)+COUNTIFS('月1回_1ヶ月前の在庫'!$V$6:$V$10005,$V6245,'月1回_1ヶ月前の在庫'!$W$6:$W$10005,$W6245)&gt;0),N(U6244),N(U6244)+1))</f>
        <v/>
      </c>
      <c r="V6245" s="19">
        <f>IF($B6245="","",TEXT($B6245,"0000"))</f>
        <v/>
      </c>
      <c r="W6245" s="19">
        <f>IF($I6245="","",IF(ISNUMBER($I6245),TEXT($I6245,"0"),$I6245))</f>
        <v/>
      </c>
    </row>
    <row r="6246">
      <c r="B6246" s="25" t="n"/>
      <c r="I6246" s="25" t="n"/>
      <c r="U6246" s="19">
        <f>IF($V6246&lt;&gt;'設定'!$C$4,N(U6245),IF(OR(NOT(COUNTIF('商品マスタ'!$B$6:$B$1005,$W6246)=0),COUNTIFS('①在庫を貼る'!$V$6:$V$10005,$V6246,'①在庫を貼る'!$W$6:$W$10005,$W6246)+COUNTIFS('月1回_1ヶ月前の在庫'!$V$6:$V$10005,$V6246,'月1回_1ヶ月前の在庫'!$W$6:$W$10005,$W6246)&gt;0),N(U6245),N(U6245)+1))</f>
        <v/>
      </c>
      <c r="V6246" s="19">
        <f>IF($B6246="","",TEXT($B6246,"0000"))</f>
        <v/>
      </c>
      <c r="W6246" s="19">
        <f>IF($I6246="","",IF(ISNUMBER($I6246),TEXT($I6246,"0"),$I6246))</f>
        <v/>
      </c>
    </row>
    <row r="6247">
      <c r="B6247" s="25" t="n"/>
      <c r="I6247" s="25" t="n"/>
      <c r="U6247" s="19">
        <f>IF($V6247&lt;&gt;'設定'!$C$4,N(U6246),IF(OR(NOT(COUNTIF('商品マスタ'!$B$6:$B$1005,$W6247)=0),COUNTIFS('①在庫を貼る'!$V$6:$V$10005,$V6247,'①在庫を貼る'!$W$6:$W$10005,$W6247)+COUNTIFS('月1回_1ヶ月前の在庫'!$V$6:$V$10005,$V6247,'月1回_1ヶ月前の在庫'!$W$6:$W$10005,$W6247)&gt;0),N(U6246),N(U6246)+1))</f>
        <v/>
      </c>
      <c r="V6247" s="19">
        <f>IF($B6247="","",TEXT($B6247,"0000"))</f>
        <v/>
      </c>
      <c r="W6247" s="19">
        <f>IF($I6247="","",IF(ISNUMBER($I6247),TEXT($I6247,"0"),$I6247))</f>
        <v/>
      </c>
    </row>
    <row r="6248">
      <c r="B6248" s="25" t="n"/>
      <c r="I6248" s="25" t="n"/>
      <c r="U6248" s="19">
        <f>IF($V6248&lt;&gt;'設定'!$C$4,N(U6247),IF(OR(NOT(COUNTIF('商品マスタ'!$B$6:$B$1005,$W6248)=0),COUNTIFS('①在庫を貼る'!$V$6:$V$10005,$V6248,'①在庫を貼る'!$W$6:$W$10005,$W6248)+COUNTIFS('月1回_1ヶ月前の在庫'!$V$6:$V$10005,$V6248,'月1回_1ヶ月前の在庫'!$W$6:$W$10005,$W6248)&gt;0),N(U6247),N(U6247)+1))</f>
        <v/>
      </c>
      <c r="V6248" s="19">
        <f>IF($B6248="","",TEXT($B6248,"0000"))</f>
        <v/>
      </c>
      <c r="W6248" s="19">
        <f>IF($I6248="","",IF(ISNUMBER($I6248),TEXT($I6248,"0"),$I6248))</f>
        <v/>
      </c>
    </row>
    <row r="6249">
      <c r="B6249" s="25" t="n"/>
      <c r="I6249" s="25" t="n"/>
      <c r="U6249" s="19">
        <f>IF($V6249&lt;&gt;'設定'!$C$4,N(U6248),IF(OR(NOT(COUNTIF('商品マスタ'!$B$6:$B$1005,$W6249)=0),COUNTIFS('①在庫を貼る'!$V$6:$V$10005,$V6249,'①在庫を貼る'!$W$6:$W$10005,$W6249)+COUNTIFS('月1回_1ヶ月前の在庫'!$V$6:$V$10005,$V6249,'月1回_1ヶ月前の在庫'!$W$6:$W$10005,$W6249)&gt;0),N(U6248),N(U6248)+1))</f>
        <v/>
      </c>
      <c r="V6249" s="19">
        <f>IF($B6249="","",TEXT($B6249,"0000"))</f>
        <v/>
      </c>
      <c r="W6249" s="19">
        <f>IF($I6249="","",IF(ISNUMBER($I6249),TEXT($I6249,"0"),$I6249))</f>
        <v/>
      </c>
    </row>
    <row r="6250">
      <c r="B6250" s="25" t="n"/>
      <c r="I6250" s="25" t="n"/>
      <c r="U6250" s="19">
        <f>IF($V6250&lt;&gt;'設定'!$C$4,N(U6249),IF(OR(NOT(COUNTIF('商品マスタ'!$B$6:$B$1005,$W6250)=0),COUNTIFS('①在庫を貼る'!$V$6:$V$10005,$V6250,'①在庫を貼る'!$W$6:$W$10005,$W6250)+COUNTIFS('月1回_1ヶ月前の在庫'!$V$6:$V$10005,$V6250,'月1回_1ヶ月前の在庫'!$W$6:$W$10005,$W6250)&gt;0),N(U6249),N(U6249)+1))</f>
        <v/>
      </c>
      <c r="V6250" s="19">
        <f>IF($B6250="","",TEXT($B6250,"0000"))</f>
        <v/>
      </c>
      <c r="W6250" s="19">
        <f>IF($I6250="","",IF(ISNUMBER($I6250),TEXT($I6250,"0"),$I6250))</f>
        <v/>
      </c>
    </row>
    <row r="6251">
      <c r="B6251" s="25" t="n"/>
      <c r="I6251" s="25" t="n"/>
      <c r="U6251" s="19">
        <f>IF($V6251&lt;&gt;'設定'!$C$4,N(U6250),IF(OR(NOT(COUNTIF('商品マスタ'!$B$6:$B$1005,$W6251)=0),COUNTIFS('①在庫を貼る'!$V$6:$V$10005,$V6251,'①在庫を貼る'!$W$6:$W$10005,$W6251)+COUNTIFS('月1回_1ヶ月前の在庫'!$V$6:$V$10005,$V6251,'月1回_1ヶ月前の在庫'!$W$6:$W$10005,$W6251)&gt;0),N(U6250),N(U6250)+1))</f>
        <v/>
      </c>
      <c r="V6251" s="19">
        <f>IF($B6251="","",TEXT($B6251,"0000"))</f>
        <v/>
      </c>
      <c r="W6251" s="19">
        <f>IF($I6251="","",IF(ISNUMBER($I6251),TEXT($I6251,"0"),$I6251))</f>
        <v/>
      </c>
    </row>
    <row r="6252">
      <c r="B6252" s="25" t="n"/>
      <c r="I6252" s="25" t="n"/>
      <c r="U6252" s="19">
        <f>IF($V6252&lt;&gt;'設定'!$C$4,N(U6251),IF(OR(NOT(COUNTIF('商品マスタ'!$B$6:$B$1005,$W6252)=0),COUNTIFS('①在庫を貼る'!$V$6:$V$10005,$V6252,'①在庫を貼る'!$W$6:$W$10005,$W6252)+COUNTIFS('月1回_1ヶ月前の在庫'!$V$6:$V$10005,$V6252,'月1回_1ヶ月前の在庫'!$W$6:$W$10005,$W6252)&gt;0),N(U6251),N(U6251)+1))</f>
        <v/>
      </c>
      <c r="V6252" s="19">
        <f>IF($B6252="","",TEXT($B6252,"0000"))</f>
        <v/>
      </c>
      <c r="W6252" s="19">
        <f>IF($I6252="","",IF(ISNUMBER($I6252),TEXT($I6252,"0"),$I6252))</f>
        <v/>
      </c>
    </row>
    <row r="6253">
      <c r="B6253" s="25" t="n"/>
      <c r="I6253" s="25" t="n"/>
      <c r="U6253" s="19">
        <f>IF($V6253&lt;&gt;'設定'!$C$4,N(U6252),IF(OR(NOT(COUNTIF('商品マスタ'!$B$6:$B$1005,$W6253)=0),COUNTIFS('①在庫を貼る'!$V$6:$V$10005,$V6253,'①在庫を貼る'!$W$6:$W$10005,$W6253)+COUNTIFS('月1回_1ヶ月前の在庫'!$V$6:$V$10005,$V6253,'月1回_1ヶ月前の在庫'!$W$6:$W$10005,$W6253)&gt;0),N(U6252),N(U6252)+1))</f>
        <v/>
      </c>
      <c r="V6253" s="19">
        <f>IF($B6253="","",TEXT($B6253,"0000"))</f>
        <v/>
      </c>
      <c r="W6253" s="19">
        <f>IF($I6253="","",IF(ISNUMBER($I6253),TEXT($I6253,"0"),$I6253))</f>
        <v/>
      </c>
    </row>
    <row r="6254">
      <c r="B6254" s="25" t="n"/>
      <c r="I6254" s="25" t="n"/>
      <c r="U6254" s="19">
        <f>IF($V6254&lt;&gt;'設定'!$C$4,N(U6253),IF(OR(NOT(COUNTIF('商品マスタ'!$B$6:$B$1005,$W6254)=0),COUNTIFS('①在庫を貼る'!$V$6:$V$10005,$V6254,'①在庫を貼る'!$W$6:$W$10005,$W6254)+COUNTIFS('月1回_1ヶ月前の在庫'!$V$6:$V$10005,$V6254,'月1回_1ヶ月前の在庫'!$W$6:$W$10005,$W6254)&gt;0),N(U6253),N(U6253)+1))</f>
        <v/>
      </c>
      <c r="V6254" s="19">
        <f>IF($B6254="","",TEXT($B6254,"0000"))</f>
        <v/>
      </c>
      <c r="W6254" s="19">
        <f>IF($I6254="","",IF(ISNUMBER($I6254),TEXT($I6254,"0"),$I6254))</f>
        <v/>
      </c>
    </row>
    <row r="6255">
      <c r="B6255" s="25" t="n"/>
      <c r="I6255" s="25" t="n"/>
      <c r="U6255" s="19">
        <f>IF($V6255&lt;&gt;'設定'!$C$4,N(U6254),IF(OR(NOT(COUNTIF('商品マスタ'!$B$6:$B$1005,$W6255)=0),COUNTIFS('①在庫を貼る'!$V$6:$V$10005,$V6255,'①在庫を貼る'!$W$6:$W$10005,$W6255)+COUNTIFS('月1回_1ヶ月前の在庫'!$V$6:$V$10005,$V6255,'月1回_1ヶ月前の在庫'!$W$6:$W$10005,$W6255)&gt;0),N(U6254),N(U6254)+1))</f>
        <v/>
      </c>
      <c r="V6255" s="19">
        <f>IF($B6255="","",TEXT($B6255,"0000"))</f>
        <v/>
      </c>
      <c r="W6255" s="19">
        <f>IF($I6255="","",IF(ISNUMBER($I6255),TEXT($I6255,"0"),$I6255))</f>
        <v/>
      </c>
    </row>
    <row r="6256">
      <c r="B6256" s="25" t="n"/>
      <c r="I6256" s="25" t="n"/>
      <c r="U6256" s="19">
        <f>IF($V6256&lt;&gt;'設定'!$C$4,N(U6255),IF(OR(NOT(COUNTIF('商品マスタ'!$B$6:$B$1005,$W6256)=0),COUNTIFS('①在庫を貼る'!$V$6:$V$10005,$V6256,'①在庫を貼る'!$W$6:$W$10005,$W6256)+COUNTIFS('月1回_1ヶ月前の在庫'!$V$6:$V$10005,$V6256,'月1回_1ヶ月前の在庫'!$W$6:$W$10005,$W6256)&gt;0),N(U6255),N(U6255)+1))</f>
        <v/>
      </c>
      <c r="V6256" s="19">
        <f>IF($B6256="","",TEXT($B6256,"0000"))</f>
        <v/>
      </c>
      <c r="W6256" s="19">
        <f>IF($I6256="","",IF(ISNUMBER($I6256),TEXT($I6256,"0"),$I6256))</f>
        <v/>
      </c>
    </row>
    <row r="6257">
      <c r="B6257" s="25" t="n"/>
      <c r="I6257" s="25" t="n"/>
      <c r="U6257" s="19">
        <f>IF($V6257&lt;&gt;'設定'!$C$4,N(U6256),IF(OR(NOT(COUNTIF('商品マスタ'!$B$6:$B$1005,$W6257)=0),COUNTIFS('①在庫を貼る'!$V$6:$V$10005,$V6257,'①在庫を貼る'!$W$6:$W$10005,$W6257)+COUNTIFS('月1回_1ヶ月前の在庫'!$V$6:$V$10005,$V6257,'月1回_1ヶ月前の在庫'!$W$6:$W$10005,$W6257)&gt;0),N(U6256),N(U6256)+1))</f>
        <v/>
      </c>
      <c r="V6257" s="19">
        <f>IF($B6257="","",TEXT($B6257,"0000"))</f>
        <v/>
      </c>
      <c r="W6257" s="19">
        <f>IF($I6257="","",IF(ISNUMBER($I6257),TEXT($I6257,"0"),$I6257))</f>
        <v/>
      </c>
    </row>
    <row r="6258">
      <c r="B6258" s="25" t="n"/>
      <c r="I6258" s="25" t="n"/>
      <c r="U6258" s="19">
        <f>IF($V6258&lt;&gt;'設定'!$C$4,N(U6257),IF(OR(NOT(COUNTIF('商品マスタ'!$B$6:$B$1005,$W6258)=0),COUNTIFS('①在庫を貼る'!$V$6:$V$10005,$V6258,'①在庫を貼る'!$W$6:$W$10005,$W6258)+COUNTIFS('月1回_1ヶ月前の在庫'!$V$6:$V$10005,$V6258,'月1回_1ヶ月前の在庫'!$W$6:$W$10005,$W6258)&gt;0),N(U6257),N(U6257)+1))</f>
        <v/>
      </c>
      <c r="V6258" s="19">
        <f>IF($B6258="","",TEXT($B6258,"0000"))</f>
        <v/>
      </c>
      <c r="W6258" s="19">
        <f>IF($I6258="","",IF(ISNUMBER($I6258),TEXT($I6258,"0"),$I6258))</f>
        <v/>
      </c>
    </row>
    <row r="6259">
      <c r="B6259" s="25" t="n"/>
      <c r="I6259" s="25" t="n"/>
      <c r="U6259" s="19">
        <f>IF($V6259&lt;&gt;'設定'!$C$4,N(U6258),IF(OR(NOT(COUNTIF('商品マスタ'!$B$6:$B$1005,$W6259)=0),COUNTIFS('①在庫を貼る'!$V$6:$V$10005,$V6259,'①在庫を貼る'!$W$6:$W$10005,$W6259)+COUNTIFS('月1回_1ヶ月前の在庫'!$V$6:$V$10005,$V6259,'月1回_1ヶ月前の在庫'!$W$6:$W$10005,$W6259)&gt;0),N(U6258),N(U6258)+1))</f>
        <v/>
      </c>
      <c r="V6259" s="19">
        <f>IF($B6259="","",TEXT($B6259,"0000"))</f>
        <v/>
      </c>
      <c r="W6259" s="19">
        <f>IF($I6259="","",IF(ISNUMBER($I6259),TEXT($I6259,"0"),$I6259))</f>
        <v/>
      </c>
    </row>
    <row r="6260">
      <c r="B6260" s="25" t="n"/>
      <c r="I6260" s="25" t="n"/>
      <c r="U6260" s="19">
        <f>IF($V6260&lt;&gt;'設定'!$C$4,N(U6259),IF(OR(NOT(COUNTIF('商品マスタ'!$B$6:$B$1005,$W6260)=0),COUNTIFS('①在庫を貼る'!$V$6:$V$10005,$V6260,'①在庫を貼る'!$W$6:$W$10005,$W6260)+COUNTIFS('月1回_1ヶ月前の在庫'!$V$6:$V$10005,$V6260,'月1回_1ヶ月前の在庫'!$W$6:$W$10005,$W6260)&gt;0),N(U6259),N(U6259)+1))</f>
        <v/>
      </c>
      <c r="V6260" s="19">
        <f>IF($B6260="","",TEXT($B6260,"0000"))</f>
        <v/>
      </c>
      <c r="W6260" s="19">
        <f>IF($I6260="","",IF(ISNUMBER($I6260),TEXT($I6260,"0"),$I6260))</f>
        <v/>
      </c>
    </row>
    <row r="6261">
      <c r="B6261" s="25" t="n"/>
      <c r="I6261" s="25" t="n"/>
      <c r="U6261" s="19">
        <f>IF($V6261&lt;&gt;'設定'!$C$4,N(U6260),IF(OR(NOT(COUNTIF('商品マスタ'!$B$6:$B$1005,$W6261)=0),COUNTIFS('①在庫を貼る'!$V$6:$V$10005,$V6261,'①在庫を貼る'!$W$6:$W$10005,$W6261)+COUNTIFS('月1回_1ヶ月前の在庫'!$V$6:$V$10005,$V6261,'月1回_1ヶ月前の在庫'!$W$6:$W$10005,$W6261)&gt;0),N(U6260),N(U6260)+1))</f>
        <v/>
      </c>
      <c r="V6261" s="19">
        <f>IF($B6261="","",TEXT($B6261,"0000"))</f>
        <v/>
      </c>
      <c r="W6261" s="19">
        <f>IF($I6261="","",IF(ISNUMBER($I6261),TEXT($I6261,"0"),$I6261))</f>
        <v/>
      </c>
    </row>
    <row r="6262">
      <c r="B6262" s="25" t="n"/>
      <c r="I6262" s="25" t="n"/>
      <c r="U6262" s="19">
        <f>IF($V6262&lt;&gt;'設定'!$C$4,N(U6261),IF(OR(NOT(COUNTIF('商品マスタ'!$B$6:$B$1005,$W6262)=0),COUNTIFS('①在庫を貼る'!$V$6:$V$10005,$V6262,'①在庫を貼る'!$W$6:$W$10005,$W6262)+COUNTIFS('月1回_1ヶ月前の在庫'!$V$6:$V$10005,$V6262,'月1回_1ヶ月前の在庫'!$W$6:$W$10005,$W6262)&gt;0),N(U6261),N(U6261)+1))</f>
        <v/>
      </c>
      <c r="V6262" s="19">
        <f>IF($B6262="","",TEXT($B6262,"0000"))</f>
        <v/>
      </c>
      <c r="W6262" s="19">
        <f>IF($I6262="","",IF(ISNUMBER($I6262),TEXT($I6262,"0"),$I6262))</f>
        <v/>
      </c>
    </row>
    <row r="6263">
      <c r="B6263" s="25" t="n"/>
      <c r="I6263" s="25" t="n"/>
      <c r="U6263" s="19">
        <f>IF($V6263&lt;&gt;'設定'!$C$4,N(U6262),IF(OR(NOT(COUNTIF('商品マスタ'!$B$6:$B$1005,$W6263)=0),COUNTIFS('①在庫を貼る'!$V$6:$V$10005,$V6263,'①在庫を貼る'!$W$6:$W$10005,$W6263)+COUNTIFS('月1回_1ヶ月前の在庫'!$V$6:$V$10005,$V6263,'月1回_1ヶ月前の在庫'!$W$6:$W$10005,$W6263)&gt;0),N(U6262),N(U6262)+1))</f>
        <v/>
      </c>
      <c r="V6263" s="19">
        <f>IF($B6263="","",TEXT($B6263,"0000"))</f>
        <v/>
      </c>
      <c r="W6263" s="19">
        <f>IF($I6263="","",IF(ISNUMBER($I6263),TEXT($I6263,"0"),$I6263))</f>
        <v/>
      </c>
    </row>
    <row r="6264">
      <c r="B6264" s="25" t="n"/>
      <c r="I6264" s="25" t="n"/>
      <c r="U6264" s="19">
        <f>IF($V6264&lt;&gt;'設定'!$C$4,N(U6263),IF(OR(NOT(COUNTIF('商品マスタ'!$B$6:$B$1005,$W6264)=0),COUNTIFS('①在庫を貼る'!$V$6:$V$10005,$V6264,'①在庫を貼る'!$W$6:$W$10005,$W6264)+COUNTIFS('月1回_1ヶ月前の在庫'!$V$6:$V$10005,$V6264,'月1回_1ヶ月前の在庫'!$W$6:$W$10005,$W6264)&gt;0),N(U6263),N(U6263)+1))</f>
        <v/>
      </c>
      <c r="V6264" s="19">
        <f>IF($B6264="","",TEXT($B6264,"0000"))</f>
        <v/>
      </c>
      <c r="W6264" s="19">
        <f>IF($I6264="","",IF(ISNUMBER($I6264),TEXT($I6264,"0"),$I6264))</f>
        <v/>
      </c>
    </row>
    <row r="6265">
      <c r="B6265" s="25" t="n"/>
      <c r="I6265" s="25" t="n"/>
      <c r="U6265" s="19">
        <f>IF($V6265&lt;&gt;'設定'!$C$4,N(U6264),IF(OR(NOT(COUNTIF('商品マスタ'!$B$6:$B$1005,$W6265)=0),COUNTIFS('①在庫を貼る'!$V$6:$V$10005,$V6265,'①在庫を貼る'!$W$6:$W$10005,$W6265)+COUNTIFS('月1回_1ヶ月前の在庫'!$V$6:$V$10005,$V6265,'月1回_1ヶ月前の在庫'!$W$6:$W$10005,$W6265)&gt;0),N(U6264),N(U6264)+1))</f>
        <v/>
      </c>
      <c r="V6265" s="19">
        <f>IF($B6265="","",TEXT($B6265,"0000"))</f>
        <v/>
      </c>
      <c r="W6265" s="19">
        <f>IF($I6265="","",IF(ISNUMBER($I6265),TEXT($I6265,"0"),$I6265))</f>
        <v/>
      </c>
    </row>
    <row r="6266">
      <c r="B6266" s="25" t="n"/>
      <c r="I6266" s="25" t="n"/>
      <c r="U6266" s="19">
        <f>IF($V6266&lt;&gt;'設定'!$C$4,N(U6265),IF(OR(NOT(COUNTIF('商品マスタ'!$B$6:$B$1005,$W6266)=0),COUNTIFS('①在庫を貼る'!$V$6:$V$10005,$V6266,'①在庫を貼る'!$W$6:$W$10005,$W6266)+COUNTIFS('月1回_1ヶ月前の在庫'!$V$6:$V$10005,$V6266,'月1回_1ヶ月前の在庫'!$W$6:$W$10005,$W6266)&gt;0),N(U6265),N(U6265)+1))</f>
        <v/>
      </c>
      <c r="V6266" s="19">
        <f>IF($B6266="","",TEXT($B6266,"0000"))</f>
        <v/>
      </c>
      <c r="W6266" s="19">
        <f>IF($I6266="","",IF(ISNUMBER($I6266),TEXT($I6266,"0"),$I6266))</f>
        <v/>
      </c>
    </row>
    <row r="6267">
      <c r="B6267" s="25" t="n"/>
      <c r="I6267" s="25" t="n"/>
      <c r="U6267" s="19">
        <f>IF($V6267&lt;&gt;'設定'!$C$4,N(U6266),IF(OR(NOT(COUNTIF('商品マスタ'!$B$6:$B$1005,$W6267)=0),COUNTIFS('①在庫を貼る'!$V$6:$V$10005,$V6267,'①在庫を貼る'!$W$6:$W$10005,$W6267)+COUNTIFS('月1回_1ヶ月前の在庫'!$V$6:$V$10005,$V6267,'月1回_1ヶ月前の在庫'!$W$6:$W$10005,$W6267)&gt;0),N(U6266),N(U6266)+1))</f>
        <v/>
      </c>
      <c r="V6267" s="19">
        <f>IF($B6267="","",TEXT($B6267,"0000"))</f>
        <v/>
      </c>
      <c r="W6267" s="19">
        <f>IF($I6267="","",IF(ISNUMBER($I6267),TEXT($I6267,"0"),$I6267))</f>
        <v/>
      </c>
    </row>
    <row r="6268">
      <c r="B6268" s="25" t="n"/>
      <c r="I6268" s="25" t="n"/>
      <c r="U6268" s="19">
        <f>IF($V6268&lt;&gt;'設定'!$C$4,N(U6267),IF(OR(NOT(COUNTIF('商品マスタ'!$B$6:$B$1005,$W6268)=0),COUNTIFS('①在庫を貼る'!$V$6:$V$10005,$V6268,'①在庫を貼る'!$W$6:$W$10005,$W6268)+COUNTIFS('月1回_1ヶ月前の在庫'!$V$6:$V$10005,$V6268,'月1回_1ヶ月前の在庫'!$W$6:$W$10005,$W6268)&gt;0),N(U6267),N(U6267)+1))</f>
        <v/>
      </c>
      <c r="V6268" s="19">
        <f>IF($B6268="","",TEXT($B6268,"0000"))</f>
        <v/>
      </c>
      <c r="W6268" s="19">
        <f>IF($I6268="","",IF(ISNUMBER($I6268),TEXT($I6268,"0"),$I6268))</f>
        <v/>
      </c>
    </row>
    <row r="6269">
      <c r="B6269" s="25" t="n"/>
      <c r="I6269" s="25" t="n"/>
      <c r="U6269" s="19">
        <f>IF($V6269&lt;&gt;'設定'!$C$4,N(U6268),IF(OR(NOT(COUNTIF('商品マスタ'!$B$6:$B$1005,$W6269)=0),COUNTIFS('①在庫を貼る'!$V$6:$V$10005,$V6269,'①在庫を貼る'!$W$6:$W$10005,$W6269)+COUNTIFS('月1回_1ヶ月前の在庫'!$V$6:$V$10005,$V6269,'月1回_1ヶ月前の在庫'!$W$6:$W$10005,$W6269)&gt;0),N(U6268),N(U6268)+1))</f>
        <v/>
      </c>
      <c r="V6269" s="19">
        <f>IF($B6269="","",TEXT($B6269,"0000"))</f>
        <v/>
      </c>
      <c r="W6269" s="19">
        <f>IF($I6269="","",IF(ISNUMBER($I6269),TEXT($I6269,"0"),$I6269))</f>
        <v/>
      </c>
    </row>
    <row r="6270">
      <c r="B6270" s="25" t="n"/>
      <c r="I6270" s="25" t="n"/>
      <c r="U6270" s="19">
        <f>IF($V6270&lt;&gt;'設定'!$C$4,N(U6269),IF(OR(NOT(COUNTIF('商品マスタ'!$B$6:$B$1005,$W6270)=0),COUNTIFS('①在庫を貼る'!$V$6:$V$10005,$V6270,'①在庫を貼る'!$W$6:$W$10005,$W6270)+COUNTIFS('月1回_1ヶ月前の在庫'!$V$6:$V$10005,$V6270,'月1回_1ヶ月前の在庫'!$W$6:$W$10005,$W6270)&gt;0),N(U6269),N(U6269)+1))</f>
        <v/>
      </c>
      <c r="V6270" s="19">
        <f>IF($B6270="","",TEXT($B6270,"0000"))</f>
        <v/>
      </c>
      <c r="W6270" s="19">
        <f>IF($I6270="","",IF(ISNUMBER($I6270),TEXT($I6270,"0"),$I6270))</f>
        <v/>
      </c>
    </row>
    <row r="6271">
      <c r="B6271" s="25" t="n"/>
      <c r="I6271" s="25" t="n"/>
      <c r="U6271" s="19">
        <f>IF($V6271&lt;&gt;'設定'!$C$4,N(U6270),IF(OR(NOT(COUNTIF('商品マスタ'!$B$6:$B$1005,$W6271)=0),COUNTIFS('①在庫を貼る'!$V$6:$V$10005,$V6271,'①在庫を貼る'!$W$6:$W$10005,$W6271)+COUNTIFS('月1回_1ヶ月前の在庫'!$V$6:$V$10005,$V6271,'月1回_1ヶ月前の在庫'!$W$6:$W$10005,$W6271)&gt;0),N(U6270),N(U6270)+1))</f>
        <v/>
      </c>
      <c r="V6271" s="19">
        <f>IF($B6271="","",TEXT($B6271,"0000"))</f>
        <v/>
      </c>
      <c r="W6271" s="19">
        <f>IF($I6271="","",IF(ISNUMBER($I6271),TEXT($I6271,"0"),$I6271))</f>
        <v/>
      </c>
    </row>
    <row r="6272">
      <c r="B6272" s="25" t="n"/>
      <c r="I6272" s="25" t="n"/>
      <c r="U6272" s="19">
        <f>IF($V6272&lt;&gt;'設定'!$C$4,N(U6271),IF(OR(NOT(COUNTIF('商品マスタ'!$B$6:$B$1005,$W6272)=0),COUNTIFS('①在庫を貼る'!$V$6:$V$10005,$V6272,'①在庫を貼る'!$W$6:$W$10005,$W6272)+COUNTIFS('月1回_1ヶ月前の在庫'!$V$6:$V$10005,$V6272,'月1回_1ヶ月前の在庫'!$W$6:$W$10005,$W6272)&gt;0),N(U6271),N(U6271)+1))</f>
        <v/>
      </c>
      <c r="V6272" s="19">
        <f>IF($B6272="","",TEXT($B6272,"0000"))</f>
        <v/>
      </c>
      <c r="W6272" s="19">
        <f>IF($I6272="","",IF(ISNUMBER($I6272),TEXT($I6272,"0"),$I6272))</f>
        <v/>
      </c>
    </row>
    <row r="6273">
      <c r="B6273" s="25" t="n"/>
      <c r="I6273" s="25" t="n"/>
      <c r="U6273" s="19">
        <f>IF($V6273&lt;&gt;'設定'!$C$4,N(U6272),IF(OR(NOT(COUNTIF('商品マスタ'!$B$6:$B$1005,$W6273)=0),COUNTIFS('①在庫を貼る'!$V$6:$V$10005,$V6273,'①在庫を貼る'!$W$6:$W$10005,$W6273)+COUNTIFS('月1回_1ヶ月前の在庫'!$V$6:$V$10005,$V6273,'月1回_1ヶ月前の在庫'!$W$6:$W$10005,$W6273)&gt;0),N(U6272),N(U6272)+1))</f>
        <v/>
      </c>
      <c r="V6273" s="19">
        <f>IF($B6273="","",TEXT($B6273,"0000"))</f>
        <v/>
      </c>
      <c r="W6273" s="19">
        <f>IF($I6273="","",IF(ISNUMBER($I6273),TEXT($I6273,"0"),$I6273))</f>
        <v/>
      </c>
    </row>
    <row r="6274">
      <c r="B6274" s="25" t="n"/>
      <c r="I6274" s="25" t="n"/>
      <c r="U6274" s="19">
        <f>IF($V6274&lt;&gt;'設定'!$C$4,N(U6273),IF(OR(NOT(COUNTIF('商品マスタ'!$B$6:$B$1005,$W6274)=0),COUNTIFS('①在庫を貼る'!$V$6:$V$10005,$V6274,'①在庫を貼る'!$W$6:$W$10005,$W6274)+COUNTIFS('月1回_1ヶ月前の在庫'!$V$6:$V$10005,$V6274,'月1回_1ヶ月前の在庫'!$W$6:$W$10005,$W6274)&gt;0),N(U6273),N(U6273)+1))</f>
        <v/>
      </c>
      <c r="V6274" s="19">
        <f>IF($B6274="","",TEXT($B6274,"0000"))</f>
        <v/>
      </c>
      <c r="W6274" s="19">
        <f>IF($I6274="","",IF(ISNUMBER($I6274),TEXT($I6274,"0"),$I6274))</f>
        <v/>
      </c>
    </row>
    <row r="6275">
      <c r="B6275" s="25" t="n"/>
      <c r="I6275" s="25" t="n"/>
      <c r="U6275" s="19">
        <f>IF($V6275&lt;&gt;'設定'!$C$4,N(U6274),IF(OR(NOT(COUNTIF('商品マスタ'!$B$6:$B$1005,$W6275)=0),COUNTIFS('①在庫を貼る'!$V$6:$V$10005,$V6275,'①在庫を貼る'!$W$6:$W$10005,$W6275)+COUNTIFS('月1回_1ヶ月前の在庫'!$V$6:$V$10005,$V6275,'月1回_1ヶ月前の在庫'!$W$6:$W$10005,$W6275)&gt;0),N(U6274),N(U6274)+1))</f>
        <v/>
      </c>
      <c r="V6275" s="19">
        <f>IF($B6275="","",TEXT($B6275,"0000"))</f>
        <v/>
      </c>
      <c r="W6275" s="19">
        <f>IF($I6275="","",IF(ISNUMBER($I6275),TEXT($I6275,"0"),$I6275))</f>
        <v/>
      </c>
    </row>
    <row r="6276">
      <c r="B6276" s="25" t="n"/>
      <c r="I6276" s="25" t="n"/>
      <c r="U6276" s="19">
        <f>IF($V6276&lt;&gt;'設定'!$C$4,N(U6275),IF(OR(NOT(COUNTIF('商品マスタ'!$B$6:$B$1005,$W6276)=0),COUNTIFS('①在庫を貼る'!$V$6:$V$10005,$V6276,'①在庫を貼る'!$W$6:$W$10005,$W6276)+COUNTIFS('月1回_1ヶ月前の在庫'!$V$6:$V$10005,$V6276,'月1回_1ヶ月前の在庫'!$W$6:$W$10005,$W6276)&gt;0),N(U6275),N(U6275)+1))</f>
        <v/>
      </c>
      <c r="V6276" s="19">
        <f>IF($B6276="","",TEXT($B6276,"0000"))</f>
        <v/>
      </c>
      <c r="W6276" s="19">
        <f>IF($I6276="","",IF(ISNUMBER($I6276),TEXT($I6276,"0"),$I6276))</f>
        <v/>
      </c>
    </row>
    <row r="6277">
      <c r="B6277" s="25" t="n"/>
      <c r="I6277" s="25" t="n"/>
      <c r="U6277" s="19">
        <f>IF($V6277&lt;&gt;'設定'!$C$4,N(U6276),IF(OR(NOT(COUNTIF('商品マスタ'!$B$6:$B$1005,$W6277)=0),COUNTIFS('①在庫を貼る'!$V$6:$V$10005,$V6277,'①在庫を貼る'!$W$6:$W$10005,$W6277)+COUNTIFS('月1回_1ヶ月前の在庫'!$V$6:$V$10005,$V6277,'月1回_1ヶ月前の在庫'!$W$6:$W$10005,$W6277)&gt;0),N(U6276),N(U6276)+1))</f>
        <v/>
      </c>
      <c r="V6277" s="19">
        <f>IF($B6277="","",TEXT($B6277,"0000"))</f>
        <v/>
      </c>
      <c r="W6277" s="19">
        <f>IF($I6277="","",IF(ISNUMBER($I6277),TEXT($I6277,"0"),$I6277))</f>
        <v/>
      </c>
    </row>
    <row r="6278">
      <c r="B6278" s="25" t="n"/>
      <c r="I6278" s="25" t="n"/>
      <c r="U6278" s="19">
        <f>IF($V6278&lt;&gt;'設定'!$C$4,N(U6277),IF(OR(NOT(COUNTIF('商品マスタ'!$B$6:$B$1005,$W6278)=0),COUNTIFS('①在庫を貼る'!$V$6:$V$10005,$V6278,'①在庫を貼る'!$W$6:$W$10005,$W6278)+COUNTIFS('月1回_1ヶ月前の在庫'!$V$6:$V$10005,$V6278,'月1回_1ヶ月前の在庫'!$W$6:$W$10005,$W6278)&gt;0),N(U6277),N(U6277)+1))</f>
        <v/>
      </c>
      <c r="V6278" s="19">
        <f>IF($B6278="","",TEXT($B6278,"0000"))</f>
        <v/>
      </c>
      <c r="W6278" s="19">
        <f>IF($I6278="","",IF(ISNUMBER($I6278),TEXT($I6278,"0"),$I6278))</f>
        <v/>
      </c>
    </row>
    <row r="6279">
      <c r="B6279" s="25" t="n"/>
      <c r="I6279" s="25" t="n"/>
      <c r="U6279" s="19">
        <f>IF($V6279&lt;&gt;'設定'!$C$4,N(U6278),IF(OR(NOT(COUNTIF('商品マスタ'!$B$6:$B$1005,$W6279)=0),COUNTIFS('①在庫を貼る'!$V$6:$V$10005,$V6279,'①在庫を貼る'!$W$6:$W$10005,$W6279)+COUNTIFS('月1回_1ヶ月前の在庫'!$V$6:$V$10005,$V6279,'月1回_1ヶ月前の在庫'!$W$6:$W$10005,$W6279)&gt;0),N(U6278),N(U6278)+1))</f>
        <v/>
      </c>
      <c r="V6279" s="19">
        <f>IF($B6279="","",TEXT($B6279,"0000"))</f>
        <v/>
      </c>
      <c r="W6279" s="19">
        <f>IF($I6279="","",IF(ISNUMBER($I6279),TEXT($I6279,"0"),$I6279))</f>
        <v/>
      </c>
    </row>
    <row r="6280">
      <c r="B6280" s="25" t="n"/>
      <c r="I6280" s="25" t="n"/>
      <c r="U6280" s="19">
        <f>IF($V6280&lt;&gt;'設定'!$C$4,N(U6279),IF(OR(NOT(COUNTIF('商品マスタ'!$B$6:$B$1005,$W6280)=0),COUNTIFS('①在庫を貼る'!$V$6:$V$10005,$V6280,'①在庫を貼る'!$W$6:$W$10005,$W6280)+COUNTIFS('月1回_1ヶ月前の在庫'!$V$6:$V$10005,$V6280,'月1回_1ヶ月前の在庫'!$W$6:$W$10005,$W6280)&gt;0),N(U6279),N(U6279)+1))</f>
        <v/>
      </c>
      <c r="V6280" s="19">
        <f>IF($B6280="","",TEXT($B6280,"0000"))</f>
        <v/>
      </c>
      <c r="W6280" s="19">
        <f>IF($I6280="","",IF(ISNUMBER($I6280),TEXT($I6280,"0"),$I6280))</f>
        <v/>
      </c>
    </row>
    <row r="6281">
      <c r="B6281" s="25" t="n"/>
      <c r="I6281" s="25" t="n"/>
      <c r="U6281" s="19">
        <f>IF($V6281&lt;&gt;'設定'!$C$4,N(U6280),IF(OR(NOT(COUNTIF('商品マスタ'!$B$6:$B$1005,$W6281)=0),COUNTIFS('①在庫を貼る'!$V$6:$V$10005,$V6281,'①在庫を貼る'!$W$6:$W$10005,$W6281)+COUNTIFS('月1回_1ヶ月前の在庫'!$V$6:$V$10005,$V6281,'月1回_1ヶ月前の在庫'!$W$6:$W$10005,$W6281)&gt;0),N(U6280),N(U6280)+1))</f>
        <v/>
      </c>
      <c r="V6281" s="19">
        <f>IF($B6281="","",TEXT($B6281,"0000"))</f>
        <v/>
      </c>
      <c r="W6281" s="19">
        <f>IF($I6281="","",IF(ISNUMBER($I6281),TEXT($I6281,"0"),$I6281))</f>
        <v/>
      </c>
    </row>
    <row r="6282">
      <c r="B6282" s="25" t="n"/>
      <c r="I6282" s="25" t="n"/>
      <c r="U6282" s="19">
        <f>IF($V6282&lt;&gt;'設定'!$C$4,N(U6281),IF(OR(NOT(COUNTIF('商品マスタ'!$B$6:$B$1005,$W6282)=0),COUNTIFS('①在庫を貼る'!$V$6:$V$10005,$V6282,'①在庫を貼る'!$W$6:$W$10005,$W6282)+COUNTIFS('月1回_1ヶ月前の在庫'!$V$6:$V$10005,$V6282,'月1回_1ヶ月前の在庫'!$W$6:$W$10005,$W6282)&gt;0),N(U6281),N(U6281)+1))</f>
        <v/>
      </c>
      <c r="V6282" s="19">
        <f>IF($B6282="","",TEXT($B6282,"0000"))</f>
        <v/>
      </c>
      <c r="W6282" s="19">
        <f>IF($I6282="","",IF(ISNUMBER($I6282),TEXT($I6282,"0"),$I6282))</f>
        <v/>
      </c>
    </row>
    <row r="6283">
      <c r="B6283" s="25" t="n"/>
      <c r="I6283" s="25" t="n"/>
      <c r="U6283" s="19">
        <f>IF($V6283&lt;&gt;'設定'!$C$4,N(U6282),IF(OR(NOT(COUNTIF('商品マスタ'!$B$6:$B$1005,$W6283)=0),COUNTIFS('①在庫を貼る'!$V$6:$V$10005,$V6283,'①在庫を貼る'!$W$6:$W$10005,$W6283)+COUNTIFS('月1回_1ヶ月前の在庫'!$V$6:$V$10005,$V6283,'月1回_1ヶ月前の在庫'!$W$6:$W$10005,$W6283)&gt;0),N(U6282),N(U6282)+1))</f>
        <v/>
      </c>
      <c r="V6283" s="19">
        <f>IF($B6283="","",TEXT($B6283,"0000"))</f>
        <v/>
      </c>
      <c r="W6283" s="19">
        <f>IF($I6283="","",IF(ISNUMBER($I6283),TEXT($I6283,"0"),$I6283))</f>
        <v/>
      </c>
    </row>
    <row r="6284">
      <c r="B6284" s="25" t="n"/>
      <c r="I6284" s="25" t="n"/>
      <c r="U6284" s="19">
        <f>IF($V6284&lt;&gt;'設定'!$C$4,N(U6283),IF(OR(NOT(COUNTIF('商品マスタ'!$B$6:$B$1005,$W6284)=0),COUNTIFS('①在庫を貼る'!$V$6:$V$10005,$V6284,'①在庫を貼る'!$W$6:$W$10005,$W6284)+COUNTIFS('月1回_1ヶ月前の在庫'!$V$6:$V$10005,$V6284,'月1回_1ヶ月前の在庫'!$W$6:$W$10005,$W6284)&gt;0),N(U6283),N(U6283)+1))</f>
        <v/>
      </c>
      <c r="V6284" s="19">
        <f>IF($B6284="","",TEXT($B6284,"0000"))</f>
        <v/>
      </c>
      <c r="W6284" s="19">
        <f>IF($I6284="","",IF(ISNUMBER($I6284),TEXT($I6284,"0"),$I6284))</f>
        <v/>
      </c>
    </row>
    <row r="6285">
      <c r="B6285" s="25" t="n"/>
      <c r="I6285" s="25" t="n"/>
      <c r="U6285" s="19">
        <f>IF($V6285&lt;&gt;'設定'!$C$4,N(U6284),IF(OR(NOT(COUNTIF('商品マスタ'!$B$6:$B$1005,$W6285)=0),COUNTIFS('①在庫を貼る'!$V$6:$V$10005,$V6285,'①在庫を貼る'!$W$6:$W$10005,$W6285)+COUNTIFS('月1回_1ヶ月前の在庫'!$V$6:$V$10005,$V6285,'月1回_1ヶ月前の在庫'!$W$6:$W$10005,$W6285)&gt;0),N(U6284),N(U6284)+1))</f>
        <v/>
      </c>
      <c r="V6285" s="19">
        <f>IF($B6285="","",TEXT($B6285,"0000"))</f>
        <v/>
      </c>
      <c r="W6285" s="19">
        <f>IF($I6285="","",IF(ISNUMBER($I6285),TEXT($I6285,"0"),$I6285))</f>
        <v/>
      </c>
    </row>
    <row r="6286">
      <c r="B6286" s="25" t="n"/>
      <c r="I6286" s="25" t="n"/>
      <c r="U6286" s="19">
        <f>IF($V6286&lt;&gt;'設定'!$C$4,N(U6285),IF(OR(NOT(COUNTIF('商品マスタ'!$B$6:$B$1005,$W6286)=0),COUNTIFS('①在庫を貼る'!$V$6:$V$10005,$V6286,'①在庫を貼る'!$W$6:$W$10005,$W6286)+COUNTIFS('月1回_1ヶ月前の在庫'!$V$6:$V$10005,$V6286,'月1回_1ヶ月前の在庫'!$W$6:$W$10005,$W6286)&gt;0),N(U6285),N(U6285)+1))</f>
        <v/>
      </c>
      <c r="V6286" s="19">
        <f>IF($B6286="","",TEXT($B6286,"0000"))</f>
        <v/>
      </c>
      <c r="W6286" s="19">
        <f>IF($I6286="","",IF(ISNUMBER($I6286),TEXT($I6286,"0"),$I6286))</f>
        <v/>
      </c>
    </row>
    <row r="6287">
      <c r="B6287" s="25" t="n"/>
      <c r="I6287" s="25" t="n"/>
      <c r="U6287" s="19">
        <f>IF($V6287&lt;&gt;'設定'!$C$4,N(U6286),IF(OR(NOT(COUNTIF('商品マスタ'!$B$6:$B$1005,$W6287)=0),COUNTIFS('①在庫を貼る'!$V$6:$V$10005,$V6287,'①在庫を貼る'!$W$6:$W$10005,$W6287)+COUNTIFS('月1回_1ヶ月前の在庫'!$V$6:$V$10005,$V6287,'月1回_1ヶ月前の在庫'!$W$6:$W$10005,$W6287)&gt;0),N(U6286),N(U6286)+1))</f>
        <v/>
      </c>
      <c r="V6287" s="19">
        <f>IF($B6287="","",TEXT($B6287,"0000"))</f>
        <v/>
      </c>
      <c r="W6287" s="19">
        <f>IF($I6287="","",IF(ISNUMBER($I6287),TEXT($I6287,"0"),$I6287))</f>
        <v/>
      </c>
    </row>
    <row r="6288">
      <c r="B6288" s="25" t="n"/>
      <c r="I6288" s="25" t="n"/>
      <c r="U6288" s="19">
        <f>IF($V6288&lt;&gt;'設定'!$C$4,N(U6287),IF(OR(NOT(COUNTIF('商品マスタ'!$B$6:$B$1005,$W6288)=0),COUNTIFS('①在庫を貼る'!$V$6:$V$10005,$V6288,'①在庫を貼る'!$W$6:$W$10005,$W6288)+COUNTIFS('月1回_1ヶ月前の在庫'!$V$6:$V$10005,$V6288,'月1回_1ヶ月前の在庫'!$W$6:$W$10005,$W6288)&gt;0),N(U6287),N(U6287)+1))</f>
        <v/>
      </c>
      <c r="V6288" s="19">
        <f>IF($B6288="","",TEXT($B6288,"0000"))</f>
        <v/>
      </c>
      <c r="W6288" s="19">
        <f>IF($I6288="","",IF(ISNUMBER($I6288),TEXT($I6288,"0"),$I6288))</f>
        <v/>
      </c>
    </row>
    <row r="6289">
      <c r="B6289" s="25" t="n"/>
      <c r="I6289" s="25" t="n"/>
      <c r="U6289" s="19">
        <f>IF($V6289&lt;&gt;'設定'!$C$4,N(U6288),IF(OR(NOT(COUNTIF('商品マスタ'!$B$6:$B$1005,$W6289)=0),COUNTIFS('①在庫を貼る'!$V$6:$V$10005,$V6289,'①在庫を貼る'!$W$6:$W$10005,$W6289)+COUNTIFS('月1回_1ヶ月前の在庫'!$V$6:$V$10005,$V6289,'月1回_1ヶ月前の在庫'!$W$6:$W$10005,$W6289)&gt;0),N(U6288),N(U6288)+1))</f>
        <v/>
      </c>
      <c r="V6289" s="19">
        <f>IF($B6289="","",TEXT($B6289,"0000"))</f>
        <v/>
      </c>
      <c r="W6289" s="19">
        <f>IF($I6289="","",IF(ISNUMBER($I6289),TEXT($I6289,"0"),$I6289))</f>
        <v/>
      </c>
    </row>
    <row r="6290">
      <c r="B6290" s="25" t="n"/>
      <c r="I6290" s="25" t="n"/>
      <c r="U6290" s="19">
        <f>IF($V6290&lt;&gt;'設定'!$C$4,N(U6289),IF(OR(NOT(COUNTIF('商品マスタ'!$B$6:$B$1005,$W6290)=0),COUNTIFS('①在庫を貼る'!$V$6:$V$10005,$V6290,'①在庫を貼る'!$W$6:$W$10005,$W6290)+COUNTIFS('月1回_1ヶ月前の在庫'!$V$6:$V$10005,$V6290,'月1回_1ヶ月前の在庫'!$W$6:$W$10005,$W6290)&gt;0),N(U6289),N(U6289)+1))</f>
        <v/>
      </c>
      <c r="V6290" s="19">
        <f>IF($B6290="","",TEXT($B6290,"0000"))</f>
        <v/>
      </c>
      <c r="W6290" s="19">
        <f>IF($I6290="","",IF(ISNUMBER($I6290),TEXT($I6290,"0"),$I6290))</f>
        <v/>
      </c>
    </row>
    <row r="6291">
      <c r="B6291" s="25" t="n"/>
      <c r="I6291" s="25" t="n"/>
      <c r="U6291" s="19">
        <f>IF($V6291&lt;&gt;'設定'!$C$4,N(U6290),IF(OR(NOT(COUNTIF('商品マスタ'!$B$6:$B$1005,$W6291)=0),COUNTIFS('①在庫を貼る'!$V$6:$V$10005,$V6291,'①在庫を貼る'!$W$6:$W$10005,$W6291)+COUNTIFS('月1回_1ヶ月前の在庫'!$V$6:$V$10005,$V6291,'月1回_1ヶ月前の在庫'!$W$6:$W$10005,$W6291)&gt;0),N(U6290),N(U6290)+1))</f>
        <v/>
      </c>
      <c r="V6291" s="19">
        <f>IF($B6291="","",TEXT($B6291,"0000"))</f>
        <v/>
      </c>
      <c r="W6291" s="19">
        <f>IF($I6291="","",IF(ISNUMBER($I6291),TEXT($I6291,"0"),$I6291))</f>
        <v/>
      </c>
    </row>
    <row r="6292">
      <c r="B6292" s="25" t="n"/>
      <c r="I6292" s="25" t="n"/>
      <c r="U6292" s="19">
        <f>IF($V6292&lt;&gt;'設定'!$C$4,N(U6291),IF(OR(NOT(COUNTIF('商品マスタ'!$B$6:$B$1005,$W6292)=0),COUNTIFS('①在庫を貼る'!$V$6:$V$10005,$V6292,'①在庫を貼る'!$W$6:$W$10005,$W6292)+COUNTIFS('月1回_1ヶ月前の在庫'!$V$6:$V$10005,$V6292,'月1回_1ヶ月前の在庫'!$W$6:$W$10005,$W6292)&gt;0),N(U6291),N(U6291)+1))</f>
        <v/>
      </c>
      <c r="V6292" s="19">
        <f>IF($B6292="","",TEXT($B6292,"0000"))</f>
        <v/>
      </c>
      <c r="W6292" s="19">
        <f>IF($I6292="","",IF(ISNUMBER($I6292),TEXT($I6292,"0"),$I6292))</f>
        <v/>
      </c>
    </row>
    <row r="6293">
      <c r="B6293" s="25" t="n"/>
      <c r="I6293" s="25" t="n"/>
      <c r="U6293" s="19">
        <f>IF($V6293&lt;&gt;'設定'!$C$4,N(U6292),IF(OR(NOT(COUNTIF('商品マスタ'!$B$6:$B$1005,$W6293)=0),COUNTIFS('①在庫を貼る'!$V$6:$V$10005,$V6293,'①在庫を貼る'!$W$6:$W$10005,$W6293)+COUNTIFS('月1回_1ヶ月前の在庫'!$V$6:$V$10005,$V6293,'月1回_1ヶ月前の在庫'!$W$6:$W$10005,$W6293)&gt;0),N(U6292),N(U6292)+1))</f>
        <v/>
      </c>
      <c r="V6293" s="19">
        <f>IF($B6293="","",TEXT($B6293,"0000"))</f>
        <v/>
      </c>
      <c r="W6293" s="19">
        <f>IF($I6293="","",IF(ISNUMBER($I6293),TEXT($I6293,"0"),$I6293))</f>
        <v/>
      </c>
    </row>
    <row r="6294">
      <c r="B6294" s="25" t="n"/>
      <c r="I6294" s="25" t="n"/>
      <c r="U6294" s="19">
        <f>IF($V6294&lt;&gt;'設定'!$C$4,N(U6293),IF(OR(NOT(COUNTIF('商品マスタ'!$B$6:$B$1005,$W6294)=0),COUNTIFS('①在庫を貼る'!$V$6:$V$10005,$V6294,'①在庫を貼る'!$W$6:$W$10005,$W6294)+COUNTIFS('月1回_1ヶ月前の在庫'!$V$6:$V$10005,$V6294,'月1回_1ヶ月前の在庫'!$W$6:$W$10005,$W6294)&gt;0),N(U6293),N(U6293)+1))</f>
        <v/>
      </c>
      <c r="V6294" s="19">
        <f>IF($B6294="","",TEXT($B6294,"0000"))</f>
        <v/>
      </c>
      <c r="W6294" s="19">
        <f>IF($I6294="","",IF(ISNUMBER($I6294),TEXT($I6294,"0"),$I6294))</f>
        <v/>
      </c>
    </row>
    <row r="6295">
      <c r="B6295" s="25" t="n"/>
      <c r="I6295" s="25" t="n"/>
      <c r="U6295" s="19">
        <f>IF($V6295&lt;&gt;'設定'!$C$4,N(U6294),IF(OR(NOT(COUNTIF('商品マスタ'!$B$6:$B$1005,$W6295)=0),COUNTIFS('①在庫を貼る'!$V$6:$V$10005,$V6295,'①在庫を貼る'!$W$6:$W$10005,$W6295)+COUNTIFS('月1回_1ヶ月前の在庫'!$V$6:$V$10005,$V6295,'月1回_1ヶ月前の在庫'!$W$6:$W$10005,$W6295)&gt;0),N(U6294),N(U6294)+1))</f>
        <v/>
      </c>
      <c r="V6295" s="19">
        <f>IF($B6295="","",TEXT($B6295,"0000"))</f>
        <v/>
      </c>
      <c r="W6295" s="19">
        <f>IF($I6295="","",IF(ISNUMBER($I6295),TEXT($I6295,"0"),$I6295))</f>
        <v/>
      </c>
    </row>
    <row r="6296">
      <c r="B6296" s="25" t="n"/>
      <c r="I6296" s="25" t="n"/>
      <c r="U6296" s="19">
        <f>IF($V6296&lt;&gt;'設定'!$C$4,N(U6295),IF(OR(NOT(COUNTIF('商品マスタ'!$B$6:$B$1005,$W6296)=0),COUNTIFS('①在庫を貼る'!$V$6:$V$10005,$V6296,'①在庫を貼る'!$W$6:$W$10005,$W6296)+COUNTIFS('月1回_1ヶ月前の在庫'!$V$6:$V$10005,$V6296,'月1回_1ヶ月前の在庫'!$W$6:$W$10005,$W6296)&gt;0),N(U6295),N(U6295)+1))</f>
        <v/>
      </c>
      <c r="V6296" s="19">
        <f>IF($B6296="","",TEXT($B6296,"0000"))</f>
        <v/>
      </c>
      <c r="W6296" s="19">
        <f>IF($I6296="","",IF(ISNUMBER($I6296),TEXT($I6296,"0"),$I6296))</f>
        <v/>
      </c>
    </row>
    <row r="6297">
      <c r="B6297" s="25" t="n"/>
      <c r="I6297" s="25" t="n"/>
      <c r="U6297" s="19">
        <f>IF($V6297&lt;&gt;'設定'!$C$4,N(U6296),IF(OR(NOT(COUNTIF('商品マスタ'!$B$6:$B$1005,$W6297)=0),COUNTIFS('①在庫を貼る'!$V$6:$V$10005,$V6297,'①在庫を貼る'!$W$6:$W$10005,$W6297)+COUNTIFS('月1回_1ヶ月前の在庫'!$V$6:$V$10005,$V6297,'月1回_1ヶ月前の在庫'!$W$6:$W$10005,$W6297)&gt;0),N(U6296),N(U6296)+1))</f>
        <v/>
      </c>
      <c r="V6297" s="19">
        <f>IF($B6297="","",TEXT($B6297,"0000"))</f>
        <v/>
      </c>
      <c r="W6297" s="19">
        <f>IF($I6297="","",IF(ISNUMBER($I6297),TEXT($I6297,"0"),$I6297))</f>
        <v/>
      </c>
    </row>
    <row r="6298">
      <c r="B6298" s="25" t="n"/>
      <c r="I6298" s="25" t="n"/>
      <c r="U6298" s="19">
        <f>IF($V6298&lt;&gt;'設定'!$C$4,N(U6297),IF(OR(NOT(COUNTIF('商品マスタ'!$B$6:$B$1005,$W6298)=0),COUNTIFS('①在庫を貼る'!$V$6:$V$10005,$V6298,'①在庫を貼る'!$W$6:$W$10005,$W6298)+COUNTIFS('月1回_1ヶ月前の在庫'!$V$6:$V$10005,$V6298,'月1回_1ヶ月前の在庫'!$W$6:$W$10005,$W6298)&gt;0),N(U6297),N(U6297)+1))</f>
        <v/>
      </c>
      <c r="V6298" s="19">
        <f>IF($B6298="","",TEXT($B6298,"0000"))</f>
        <v/>
      </c>
      <c r="W6298" s="19">
        <f>IF($I6298="","",IF(ISNUMBER($I6298),TEXT($I6298,"0"),$I6298))</f>
        <v/>
      </c>
    </row>
    <row r="6299">
      <c r="B6299" s="25" t="n"/>
      <c r="I6299" s="25" t="n"/>
      <c r="U6299" s="19">
        <f>IF($V6299&lt;&gt;'設定'!$C$4,N(U6298),IF(OR(NOT(COUNTIF('商品マスタ'!$B$6:$B$1005,$W6299)=0),COUNTIFS('①在庫を貼る'!$V$6:$V$10005,$V6299,'①在庫を貼る'!$W$6:$W$10005,$W6299)+COUNTIFS('月1回_1ヶ月前の在庫'!$V$6:$V$10005,$V6299,'月1回_1ヶ月前の在庫'!$W$6:$W$10005,$W6299)&gt;0),N(U6298),N(U6298)+1))</f>
        <v/>
      </c>
      <c r="V6299" s="19">
        <f>IF($B6299="","",TEXT($B6299,"0000"))</f>
        <v/>
      </c>
      <c r="W6299" s="19">
        <f>IF($I6299="","",IF(ISNUMBER($I6299),TEXT($I6299,"0"),$I6299))</f>
        <v/>
      </c>
    </row>
    <row r="6300">
      <c r="B6300" s="25" t="n"/>
      <c r="I6300" s="25" t="n"/>
      <c r="U6300" s="19">
        <f>IF($V6300&lt;&gt;'設定'!$C$4,N(U6299),IF(OR(NOT(COUNTIF('商品マスタ'!$B$6:$B$1005,$W6300)=0),COUNTIFS('①在庫を貼る'!$V$6:$V$10005,$V6300,'①在庫を貼る'!$W$6:$W$10005,$W6300)+COUNTIFS('月1回_1ヶ月前の在庫'!$V$6:$V$10005,$V6300,'月1回_1ヶ月前の在庫'!$W$6:$W$10005,$W6300)&gt;0),N(U6299),N(U6299)+1))</f>
        <v/>
      </c>
      <c r="V6300" s="19">
        <f>IF($B6300="","",TEXT($B6300,"0000"))</f>
        <v/>
      </c>
      <c r="W6300" s="19">
        <f>IF($I6300="","",IF(ISNUMBER($I6300),TEXT($I6300,"0"),$I6300))</f>
        <v/>
      </c>
    </row>
    <row r="6301">
      <c r="B6301" s="25" t="n"/>
      <c r="I6301" s="25" t="n"/>
      <c r="U6301" s="19">
        <f>IF($V6301&lt;&gt;'設定'!$C$4,N(U6300),IF(OR(NOT(COUNTIF('商品マスタ'!$B$6:$B$1005,$W6301)=0),COUNTIFS('①在庫を貼る'!$V$6:$V$10005,$V6301,'①在庫を貼る'!$W$6:$W$10005,$W6301)+COUNTIFS('月1回_1ヶ月前の在庫'!$V$6:$V$10005,$V6301,'月1回_1ヶ月前の在庫'!$W$6:$W$10005,$W6301)&gt;0),N(U6300),N(U6300)+1))</f>
        <v/>
      </c>
      <c r="V6301" s="19">
        <f>IF($B6301="","",TEXT($B6301,"0000"))</f>
        <v/>
      </c>
      <c r="W6301" s="19">
        <f>IF($I6301="","",IF(ISNUMBER($I6301),TEXT($I6301,"0"),$I6301))</f>
        <v/>
      </c>
    </row>
    <row r="6302">
      <c r="B6302" s="25" t="n"/>
      <c r="I6302" s="25" t="n"/>
      <c r="U6302" s="19">
        <f>IF($V6302&lt;&gt;'設定'!$C$4,N(U6301),IF(OR(NOT(COUNTIF('商品マスタ'!$B$6:$B$1005,$W6302)=0),COUNTIFS('①在庫を貼る'!$V$6:$V$10005,$V6302,'①在庫を貼る'!$W$6:$W$10005,$W6302)+COUNTIFS('月1回_1ヶ月前の在庫'!$V$6:$V$10005,$V6302,'月1回_1ヶ月前の在庫'!$W$6:$W$10005,$W6302)&gt;0),N(U6301),N(U6301)+1))</f>
        <v/>
      </c>
      <c r="V6302" s="19">
        <f>IF($B6302="","",TEXT($B6302,"0000"))</f>
        <v/>
      </c>
      <c r="W6302" s="19">
        <f>IF($I6302="","",IF(ISNUMBER($I6302),TEXT($I6302,"0"),$I6302))</f>
        <v/>
      </c>
    </row>
    <row r="6303">
      <c r="B6303" s="25" t="n"/>
      <c r="I6303" s="25" t="n"/>
      <c r="U6303" s="19">
        <f>IF($V6303&lt;&gt;'設定'!$C$4,N(U6302),IF(OR(NOT(COUNTIF('商品マスタ'!$B$6:$B$1005,$W6303)=0),COUNTIFS('①在庫を貼る'!$V$6:$V$10005,$V6303,'①在庫を貼る'!$W$6:$W$10005,$W6303)+COUNTIFS('月1回_1ヶ月前の在庫'!$V$6:$V$10005,$V6303,'月1回_1ヶ月前の在庫'!$W$6:$W$10005,$W6303)&gt;0),N(U6302),N(U6302)+1))</f>
        <v/>
      </c>
      <c r="V6303" s="19">
        <f>IF($B6303="","",TEXT($B6303,"0000"))</f>
        <v/>
      </c>
      <c r="W6303" s="19">
        <f>IF($I6303="","",IF(ISNUMBER($I6303),TEXT($I6303,"0"),$I6303))</f>
        <v/>
      </c>
    </row>
    <row r="6304">
      <c r="B6304" s="25" t="n"/>
      <c r="I6304" s="25" t="n"/>
      <c r="U6304" s="19">
        <f>IF($V6304&lt;&gt;'設定'!$C$4,N(U6303),IF(OR(NOT(COUNTIF('商品マスタ'!$B$6:$B$1005,$W6304)=0),COUNTIFS('①在庫を貼る'!$V$6:$V$10005,$V6304,'①在庫を貼る'!$W$6:$W$10005,$W6304)+COUNTIFS('月1回_1ヶ月前の在庫'!$V$6:$V$10005,$V6304,'月1回_1ヶ月前の在庫'!$W$6:$W$10005,$W6304)&gt;0),N(U6303),N(U6303)+1))</f>
        <v/>
      </c>
      <c r="V6304" s="19">
        <f>IF($B6304="","",TEXT($B6304,"0000"))</f>
        <v/>
      </c>
      <c r="W6304" s="19">
        <f>IF($I6304="","",IF(ISNUMBER($I6304),TEXT($I6304,"0"),$I6304))</f>
        <v/>
      </c>
    </row>
    <row r="6305">
      <c r="B6305" s="25" t="n"/>
      <c r="I6305" s="25" t="n"/>
      <c r="U6305" s="19">
        <f>IF($V6305&lt;&gt;'設定'!$C$4,N(U6304),IF(OR(NOT(COUNTIF('商品マスタ'!$B$6:$B$1005,$W6305)=0),COUNTIFS('①在庫を貼る'!$V$6:$V$10005,$V6305,'①在庫を貼る'!$W$6:$W$10005,$W6305)+COUNTIFS('月1回_1ヶ月前の在庫'!$V$6:$V$10005,$V6305,'月1回_1ヶ月前の在庫'!$W$6:$W$10005,$W6305)&gt;0),N(U6304),N(U6304)+1))</f>
        <v/>
      </c>
      <c r="V6305" s="19">
        <f>IF($B6305="","",TEXT($B6305,"0000"))</f>
        <v/>
      </c>
      <c r="W6305" s="19">
        <f>IF($I6305="","",IF(ISNUMBER($I6305),TEXT($I6305,"0"),$I6305))</f>
        <v/>
      </c>
    </row>
    <row r="6306">
      <c r="B6306" s="25" t="n"/>
      <c r="I6306" s="25" t="n"/>
      <c r="U6306" s="19">
        <f>IF($V6306&lt;&gt;'設定'!$C$4,N(U6305),IF(OR(NOT(COUNTIF('商品マスタ'!$B$6:$B$1005,$W6306)=0),COUNTIFS('①在庫を貼る'!$V$6:$V$10005,$V6306,'①在庫を貼る'!$W$6:$W$10005,$W6306)+COUNTIFS('月1回_1ヶ月前の在庫'!$V$6:$V$10005,$V6306,'月1回_1ヶ月前の在庫'!$W$6:$W$10005,$W6306)&gt;0),N(U6305),N(U6305)+1))</f>
        <v/>
      </c>
      <c r="V6306" s="19">
        <f>IF($B6306="","",TEXT($B6306,"0000"))</f>
        <v/>
      </c>
      <c r="W6306" s="19">
        <f>IF($I6306="","",IF(ISNUMBER($I6306),TEXT($I6306,"0"),$I6306))</f>
        <v/>
      </c>
    </row>
    <row r="6307">
      <c r="B6307" s="25" t="n"/>
      <c r="I6307" s="25" t="n"/>
      <c r="U6307" s="19">
        <f>IF($V6307&lt;&gt;'設定'!$C$4,N(U6306),IF(OR(NOT(COUNTIF('商品マスタ'!$B$6:$B$1005,$W6307)=0),COUNTIFS('①在庫を貼る'!$V$6:$V$10005,$V6307,'①在庫を貼る'!$W$6:$W$10005,$W6307)+COUNTIFS('月1回_1ヶ月前の在庫'!$V$6:$V$10005,$V6307,'月1回_1ヶ月前の在庫'!$W$6:$W$10005,$W6307)&gt;0),N(U6306),N(U6306)+1))</f>
        <v/>
      </c>
      <c r="V6307" s="19">
        <f>IF($B6307="","",TEXT($B6307,"0000"))</f>
        <v/>
      </c>
      <c r="W6307" s="19">
        <f>IF($I6307="","",IF(ISNUMBER($I6307),TEXT($I6307,"0"),$I6307))</f>
        <v/>
      </c>
    </row>
    <row r="6308">
      <c r="B6308" s="25" t="n"/>
      <c r="I6308" s="25" t="n"/>
      <c r="U6308" s="19">
        <f>IF($V6308&lt;&gt;'設定'!$C$4,N(U6307),IF(OR(NOT(COUNTIF('商品マスタ'!$B$6:$B$1005,$W6308)=0),COUNTIFS('①在庫を貼る'!$V$6:$V$10005,$V6308,'①在庫を貼る'!$W$6:$W$10005,$W6308)+COUNTIFS('月1回_1ヶ月前の在庫'!$V$6:$V$10005,$V6308,'月1回_1ヶ月前の在庫'!$W$6:$W$10005,$W6308)&gt;0),N(U6307),N(U6307)+1))</f>
        <v/>
      </c>
      <c r="V6308" s="19">
        <f>IF($B6308="","",TEXT($B6308,"0000"))</f>
        <v/>
      </c>
      <c r="W6308" s="19">
        <f>IF($I6308="","",IF(ISNUMBER($I6308),TEXT($I6308,"0"),$I6308))</f>
        <v/>
      </c>
    </row>
    <row r="6309">
      <c r="B6309" s="25" t="n"/>
      <c r="I6309" s="25" t="n"/>
      <c r="U6309" s="19">
        <f>IF($V6309&lt;&gt;'設定'!$C$4,N(U6308),IF(OR(NOT(COUNTIF('商品マスタ'!$B$6:$B$1005,$W6309)=0),COUNTIFS('①在庫を貼る'!$V$6:$V$10005,$V6309,'①在庫を貼る'!$W$6:$W$10005,$W6309)+COUNTIFS('月1回_1ヶ月前の在庫'!$V$6:$V$10005,$V6309,'月1回_1ヶ月前の在庫'!$W$6:$W$10005,$W6309)&gt;0),N(U6308),N(U6308)+1))</f>
        <v/>
      </c>
      <c r="V6309" s="19">
        <f>IF($B6309="","",TEXT($B6309,"0000"))</f>
        <v/>
      </c>
      <c r="W6309" s="19">
        <f>IF($I6309="","",IF(ISNUMBER($I6309),TEXT($I6309,"0"),$I6309))</f>
        <v/>
      </c>
    </row>
    <row r="6310">
      <c r="B6310" s="25" t="n"/>
      <c r="I6310" s="25" t="n"/>
      <c r="U6310" s="19">
        <f>IF($V6310&lt;&gt;'設定'!$C$4,N(U6309),IF(OR(NOT(COUNTIF('商品マスタ'!$B$6:$B$1005,$W6310)=0),COUNTIFS('①在庫を貼る'!$V$6:$V$10005,$V6310,'①在庫を貼る'!$W$6:$W$10005,$W6310)+COUNTIFS('月1回_1ヶ月前の在庫'!$V$6:$V$10005,$V6310,'月1回_1ヶ月前の在庫'!$W$6:$W$10005,$W6310)&gt;0),N(U6309),N(U6309)+1))</f>
        <v/>
      </c>
      <c r="V6310" s="19">
        <f>IF($B6310="","",TEXT($B6310,"0000"))</f>
        <v/>
      </c>
      <c r="W6310" s="19">
        <f>IF($I6310="","",IF(ISNUMBER($I6310),TEXT($I6310,"0"),$I6310))</f>
        <v/>
      </c>
    </row>
    <row r="6311">
      <c r="B6311" s="25" t="n"/>
      <c r="I6311" s="25" t="n"/>
      <c r="U6311" s="19">
        <f>IF($V6311&lt;&gt;'設定'!$C$4,N(U6310),IF(OR(NOT(COUNTIF('商品マスタ'!$B$6:$B$1005,$W6311)=0),COUNTIFS('①在庫を貼る'!$V$6:$V$10005,$V6311,'①在庫を貼る'!$W$6:$W$10005,$W6311)+COUNTIFS('月1回_1ヶ月前の在庫'!$V$6:$V$10005,$V6311,'月1回_1ヶ月前の在庫'!$W$6:$W$10005,$W6311)&gt;0),N(U6310),N(U6310)+1))</f>
        <v/>
      </c>
      <c r="V6311" s="19">
        <f>IF($B6311="","",TEXT($B6311,"0000"))</f>
        <v/>
      </c>
      <c r="W6311" s="19">
        <f>IF($I6311="","",IF(ISNUMBER($I6311),TEXT($I6311,"0"),$I6311))</f>
        <v/>
      </c>
    </row>
    <row r="6312">
      <c r="B6312" s="25" t="n"/>
      <c r="I6312" s="25" t="n"/>
      <c r="U6312" s="19">
        <f>IF($V6312&lt;&gt;'設定'!$C$4,N(U6311),IF(OR(NOT(COUNTIF('商品マスタ'!$B$6:$B$1005,$W6312)=0),COUNTIFS('①在庫を貼る'!$V$6:$V$10005,$V6312,'①在庫を貼る'!$W$6:$W$10005,$W6312)+COUNTIFS('月1回_1ヶ月前の在庫'!$V$6:$V$10005,$V6312,'月1回_1ヶ月前の在庫'!$W$6:$W$10005,$W6312)&gt;0),N(U6311),N(U6311)+1))</f>
        <v/>
      </c>
      <c r="V6312" s="19">
        <f>IF($B6312="","",TEXT($B6312,"0000"))</f>
        <v/>
      </c>
      <c r="W6312" s="19">
        <f>IF($I6312="","",IF(ISNUMBER($I6312),TEXT($I6312,"0"),$I6312))</f>
        <v/>
      </c>
    </row>
    <row r="6313">
      <c r="B6313" s="25" t="n"/>
      <c r="I6313" s="25" t="n"/>
      <c r="U6313" s="19">
        <f>IF($V6313&lt;&gt;'設定'!$C$4,N(U6312),IF(OR(NOT(COUNTIF('商品マスタ'!$B$6:$B$1005,$W6313)=0),COUNTIFS('①在庫を貼る'!$V$6:$V$10005,$V6313,'①在庫を貼る'!$W$6:$W$10005,$W6313)+COUNTIFS('月1回_1ヶ月前の在庫'!$V$6:$V$10005,$V6313,'月1回_1ヶ月前の在庫'!$W$6:$W$10005,$W6313)&gt;0),N(U6312),N(U6312)+1))</f>
        <v/>
      </c>
      <c r="V6313" s="19">
        <f>IF($B6313="","",TEXT($B6313,"0000"))</f>
        <v/>
      </c>
      <c r="W6313" s="19">
        <f>IF($I6313="","",IF(ISNUMBER($I6313),TEXT($I6313,"0"),$I6313))</f>
        <v/>
      </c>
    </row>
    <row r="6314">
      <c r="B6314" s="25" t="n"/>
      <c r="I6314" s="25" t="n"/>
      <c r="U6314" s="19">
        <f>IF($V6314&lt;&gt;'設定'!$C$4,N(U6313),IF(OR(NOT(COUNTIF('商品マスタ'!$B$6:$B$1005,$W6314)=0),COUNTIFS('①在庫を貼る'!$V$6:$V$10005,$V6314,'①在庫を貼る'!$W$6:$W$10005,$W6314)+COUNTIFS('月1回_1ヶ月前の在庫'!$V$6:$V$10005,$V6314,'月1回_1ヶ月前の在庫'!$W$6:$W$10005,$W6314)&gt;0),N(U6313),N(U6313)+1))</f>
        <v/>
      </c>
      <c r="V6314" s="19">
        <f>IF($B6314="","",TEXT($B6314,"0000"))</f>
        <v/>
      </c>
      <c r="W6314" s="19">
        <f>IF($I6314="","",IF(ISNUMBER($I6314),TEXT($I6314,"0"),$I6314))</f>
        <v/>
      </c>
    </row>
    <row r="6315">
      <c r="B6315" s="25" t="n"/>
      <c r="I6315" s="25" t="n"/>
      <c r="U6315" s="19">
        <f>IF($V6315&lt;&gt;'設定'!$C$4,N(U6314),IF(OR(NOT(COUNTIF('商品マスタ'!$B$6:$B$1005,$W6315)=0),COUNTIFS('①在庫を貼る'!$V$6:$V$10005,$V6315,'①在庫を貼る'!$W$6:$W$10005,$W6315)+COUNTIFS('月1回_1ヶ月前の在庫'!$V$6:$V$10005,$V6315,'月1回_1ヶ月前の在庫'!$W$6:$W$10005,$W6315)&gt;0),N(U6314),N(U6314)+1))</f>
        <v/>
      </c>
      <c r="V6315" s="19">
        <f>IF($B6315="","",TEXT($B6315,"0000"))</f>
        <v/>
      </c>
      <c r="W6315" s="19">
        <f>IF($I6315="","",IF(ISNUMBER($I6315),TEXT($I6315,"0"),$I6315))</f>
        <v/>
      </c>
    </row>
    <row r="6316">
      <c r="B6316" s="25" t="n"/>
      <c r="I6316" s="25" t="n"/>
      <c r="U6316" s="19">
        <f>IF($V6316&lt;&gt;'設定'!$C$4,N(U6315),IF(OR(NOT(COUNTIF('商品マスタ'!$B$6:$B$1005,$W6316)=0),COUNTIFS('①在庫を貼る'!$V$6:$V$10005,$V6316,'①在庫を貼る'!$W$6:$W$10005,$W6316)+COUNTIFS('月1回_1ヶ月前の在庫'!$V$6:$V$10005,$V6316,'月1回_1ヶ月前の在庫'!$W$6:$W$10005,$W6316)&gt;0),N(U6315),N(U6315)+1))</f>
        <v/>
      </c>
      <c r="V6316" s="19">
        <f>IF($B6316="","",TEXT($B6316,"0000"))</f>
        <v/>
      </c>
      <c r="W6316" s="19">
        <f>IF($I6316="","",IF(ISNUMBER($I6316),TEXT($I6316,"0"),$I6316))</f>
        <v/>
      </c>
    </row>
    <row r="6317">
      <c r="B6317" s="25" t="n"/>
      <c r="I6317" s="25" t="n"/>
      <c r="U6317" s="19">
        <f>IF($V6317&lt;&gt;'設定'!$C$4,N(U6316),IF(OR(NOT(COUNTIF('商品マスタ'!$B$6:$B$1005,$W6317)=0),COUNTIFS('①在庫を貼る'!$V$6:$V$10005,$V6317,'①在庫を貼る'!$W$6:$W$10005,$W6317)+COUNTIFS('月1回_1ヶ月前の在庫'!$V$6:$V$10005,$V6317,'月1回_1ヶ月前の在庫'!$W$6:$W$10005,$W6317)&gt;0),N(U6316),N(U6316)+1))</f>
        <v/>
      </c>
      <c r="V6317" s="19">
        <f>IF($B6317="","",TEXT($B6317,"0000"))</f>
        <v/>
      </c>
      <c r="W6317" s="19">
        <f>IF($I6317="","",IF(ISNUMBER($I6317),TEXT($I6317,"0"),$I6317))</f>
        <v/>
      </c>
    </row>
    <row r="6318">
      <c r="B6318" s="25" t="n"/>
      <c r="I6318" s="25" t="n"/>
      <c r="U6318" s="19">
        <f>IF($V6318&lt;&gt;'設定'!$C$4,N(U6317),IF(OR(NOT(COUNTIF('商品マスタ'!$B$6:$B$1005,$W6318)=0),COUNTIFS('①在庫を貼る'!$V$6:$V$10005,$V6318,'①在庫を貼る'!$W$6:$W$10005,$W6318)+COUNTIFS('月1回_1ヶ月前の在庫'!$V$6:$V$10005,$V6318,'月1回_1ヶ月前の在庫'!$W$6:$W$10005,$W6318)&gt;0),N(U6317),N(U6317)+1))</f>
        <v/>
      </c>
      <c r="V6318" s="19">
        <f>IF($B6318="","",TEXT($B6318,"0000"))</f>
        <v/>
      </c>
      <c r="W6318" s="19">
        <f>IF($I6318="","",IF(ISNUMBER($I6318),TEXT($I6318,"0"),$I6318))</f>
        <v/>
      </c>
    </row>
    <row r="6319">
      <c r="B6319" s="25" t="n"/>
      <c r="I6319" s="25" t="n"/>
      <c r="U6319" s="19">
        <f>IF($V6319&lt;&gt;'設定'!$C$4,N(U6318),IF(OR(NOT(COUNTIF('商品マスタ'!$B$6:$B$1005,$W6319)=0),COUNTIFS('①在庫を貼る'!$V$6:$V$10005,$V6319,'①在庫を貼る'!$W$6:$W$10005,$W6319)+COUNTIFS('月1回_1ヶ月前の在庫'!$V$6:$V$10005,$V6319,'月1回_1ヶ月前の在庫'!$W$6:$W$10005,$W6319)&gt;0),N(U6318),N(U6318)+1))</f>
        <v/>
      </c>
      <c r="V6319" s="19">
        <f>IF($B6319="","",TEXT($B6319,"0000"))</f>
        <v/>
      </c>
      <c r="W6319" s="19">
        <f>IF($I6319="","",IF(ISNUMBER($I6319),TEXT($I6319,"0"),$I6319))</f>
        <v/>
      </c>
    </row>
    <row r="6320">
      <c r="B6320" s="25" t="n"/>
      <c r="I6320" s="25" t="n"/>
      <c r="U6320" s="19">
        <f>IF($V6320&lt;&gt;'設定'!$C$4,N(U6319),IF(OR(NOT(COUNTIF('商品マスタ'!$B$6:$B$1005,$W6320)=0),COUNTIFS('①在庫を貼る'!$V$6:$V$10005,$V6320,'①在庫を貼る'!$W$6:$W$10005,$W6320)+COUNTIFS('月1回_1ヶ月前の在庫'!$V$6:$V$10005,$V6320,'月1回_1ヶ月前の在庫'!$W$6:$W$10005,$W6320)&gt;0),N(U6319),N(U6319)+1))</f>
        <v/>
      </c>
      <c r="V6320" s="19">
        <f>IF($B6320="","",TEXT($B6320,"0000"))</f>
        <v/>
      </c>
      <c r="W6320" s="19">
        <f>IF($I6320="","",IF(ISNUMBER($I6320),TEXT($I6320,"0"),$I6320))</f>
        <v/>
      </c>
    </row>
    <row r="6321">
      <c r="B6321" s="25" t="n"/>
      <c r="I6321" s="25" t="n"/>
      <c r="U6321" s="19">
        <f>IF($V6321&lt;&gt;'設定'!$C$4,N(U6320),IF(OR(NOT(COUNTIF('商品マスタ'!$B$6:$B$1005,$W6321)=0),COUNTIFS('①在庫を貼る'!$V$6:$V$10005,$V6321,'①在庫を貼る'!$W$6:$W$10005,$W6321)+COUNTIFS('月1回_1ヶ月前の在庫'!$V$6:$V$10005,$V6321,'月1回_1ヶ月前の在庫'!$W$6:$W$10005,$W6321)&gt;0),N(U6320),N(U6320)+1))</f>
        <v/>
      </c>
      <c r="V6321" s="19">
        <f>IF($B6321="","",TEXT($B6321,"0000"))</f>
        <v/>
      </c>
      <c r="W6321" s="19">
        <f>IF($I6321="","",IF(ISNUMBER($I6321),TEXT($I6321,"0"),$I6321))</f>
        <v/>
      </c>
    </row>
    <row r="6322">
      <c r="B6322" s="25" t="n"/>
      <c r="I6322" s="25" t="n"/>
      <c r="U6322" s="19">
        <f>IF($V6322&lt;&gt;'設定'!$C$4,N(U6321),IF(OR(NOT(COUNTIF('商品マスタ'!$B$6:$B$1005,$W6322)=0),COUNTIFS('①在庫を貼る'!$V$6:$V$10005,$V6322,'①在庫を貼る'!$W$6:$W$10005,$W6322)+COUNTIFS('月1回_1ヶ月前の在庫'!$V$6:$V$10005,$V6322,'月1回_1ヶ月前の在庫'!$W$6:$W$10005,$W6322)&gt;0),N(U6321),N(U6321)+1))</f>
        <v/>
      </c>
      <c r="V6322" s="19">
        <f>IF($B6322="","",TEXT($B6322,"0000"))</f>
        <v/>
      </c>
      <c r="W6322" s="19">
        <f>IF($I6322="","",IF(ISNUMBER($I6322),TEXT($I6322,"0"),$I6322))</f>
        <v/>
      </c>
    </row>
    <row r="6323">
      <c r="B6323" s="25" t="n"/>
      <c r="I6323" s="25" t="n"/>
      <c r="U6323" s="19">
        <f>IF($V6323&lt;&gt;'設定'!$C$4,N(U6322),IF(OR(NOT(COUNTIF('商品マスタ'!$B$6:$B$1005,$W6323)=0),COUNTIFS('①在庫を貼る'!$V$6:$V$10005,$V6323,'①在庫を貼る'!$W$6:$W$10005,$W6323)+COUNTIFS('月1回_1ヶ月前の在庫'!$V$6:$V$10005,$V6323,'月1回_1ヶ月前の在庫'!$W$6:$W$10005,$W6323)&gt;0),N(U6322),N(U6322)+1))</f>
        <v/>
      </c>
      <c r="V6323" s="19">
        <f>IF($B6323="","",TEXT($B6323,"0000"))</f>
        <v/>
      </c>
      <c r="W6323" s="19">
        <f>IF($I6323="","",IF(ISNUMBER($I6323),TEXT($I6323,"0"),$I6323))</f>
        <v/>
      </c>
    </row>
    <row r="6324">
      <c r="B6324" s="25" t="n"/>
      <c r="I6324" s="25" t="n"/>
      <c r="U6324" s="19">
        <f>IF($V6324&lt;&gt;'設定'!$C$4,N(U6323),IF(OR(NOT(COUNTIF('商品マスタ'!$B$6:$B$1005,$W6324)=0),COUNTIFS('①在庫を貼る'!$V$6:$V$10005,$V6324,'①在庫を貼る'!$W$6:$W$10005,$W6324)+COUNTIFS('月1回_1ヶ月前の在庫'!$V$6:$V$10005,$V6324,'月1回_1ヶ月前の在庫'!$W$6:$W$10005,$W6324)&gt;0),N(U6323),N(U6323)+1))</f>
        <v/>
      </c>
      <c r="V6324" s="19">
        <f>IF($B6324="","",TEXT($B6324,"0000"))</f>
        <v/>
      </c>
      <c r="W6324" s="19">
        <f>IF($I6324="","",IF(ISNUMBER($I6324),TEXT($I6324,"0"),$I6324))</f>
        <v/>
      </c>
    </row>
    <row r="6325">
      <c r="B6325" s="25" t="n"/>
      <c r="I6325" s="25" t="n"/>
      <c r="U6325" s="19">
        <f>IF($V6325&lt;&gt;'設定'!$C$4,N(U6324),IF(OR(NOT(COUNTIF('商品マスタ'!$B$6:$B$1005,$W6325)=0),COUNTIFS('①在庫を貼る'!$V$6:$V$10005,$V6325,'①在庫を貼る'!$W$6:$W$10005,$W6325)+COUNTIFS('月1回_1ヶ月前の在庫'!$V$6:$V$10005,$V6325,'月1回_1ヶ月前の在庫'!$W$6:$W$10005,$W6325)&gt;0),N(U6324),N(U6324)+1))</f>
        <v/>
      </c>
      <c r="V6325" s="19">
        <f>IF($B6325="","",TEXT($B6325,"0000"))</f>
        <v/>
      </c>
      <c r="W6325" s="19">
        <f>IF($I6325="","",IF(ISNUMBER($I6325),TEXT($I6325,"0"),$I6325))</f>
        <v/>
      </c>
    </row>
    <row r="6326">
      <c r="B6326" s="25" t="n"/>
      <c r="I6326" s="25" t="n"/>
      <c r="U6326" s="19">
        <f>IF($V6326&lt;&gt;'設定'!$C$4,N(U6325),IF(OR(NOT(COUNTIF('商品マスタ'!$B$6:$B$1005,$W6326)=0),COUNTIFS('①在庫を貼る'!$V$6:$V$10005,$V6326,'①在庫を貼る'!$W$6:$W$10005,$W6326)+COUNTIFS('月1回_1ヶ月前の在庫'!$V$6:$V$10005,$V6326,'月1回_1ヶ月前の在庫'!$W$6:$W$10005,$W6326)&gt;0),N(U6325),N(U6325)+1))</f>
        <v/>
      </c>
      <c r="V6326" s="19">
        <f>IF($B6326="","",TEXT($B6326,"0000"))</f>
        <v/>
      </c>
      <c r="W6326" s="19">
        <f>IF($I6326="","",IF(ISNUMBER($I6326),TEXT($I6326,"0"),$I6326))</f>
        <v/>
      </c>
    </row>
    <row r="6327">
      <c r="B6327" s="25" t="n"/>
      <c r="I6327" s="25" t="n"/>
      <c r="U6327" s="19">
        <f>IF($V6327&lt;&gt;'設定'!$C$4,N(U6326),IF(OR(NOT(COUNTIF('商品マスタ'!$B$6:$B$1005,$W6327)=0),COUNTIFS('①在庫を貼る'!$V$6:$V$10005,$V6327,'①在庫を貼る'!$W$6:$W$10005,$W6327)+COUNTIFS('月1回_1ヶ月前の在庫'!$V$6:$V$10005,$V6327,'月1回_1ヶ月前の在庫'!$W$6:$W$10005,$W6327)&gt;0),N(U6326),N(U6326)+1))</f>
        <v/>
      </c>
      <c r="V6327" s="19">
        <f>IF($B6327="","",TEXT($B6327,"0000"))</f>
        <v/>
      </c>
      <c r="W6327" s="19">
        <f>IF($I6327="","",IF(ISNUMBER($I6327),TEXT($I6327,"0"),$I6327))</f>
        <v/>
      </c>
    </row>
    <row r="6328">
      <c r="B6328" s="25" t="n"/>
      <c r="I6328" s="25" t="n"/>
      <c r="U6328" s="19">
        <f>IF($V6328&lt;&gt;'設定'!$C$4,N(U6327),IF(OR(NOT(COUNTIF('商品マスタ'!$B$6:$B$1005,$W6328)=0),COUNTIFS('①在庫を貼る'!$V$6:$V$10005,$V6328,'①在庫を貼る'!$W$6:$W$10005,$W6328)+COUNTIFS('月1回_1ヶ月前の在庫'!$V$6:$V$10005,$V6328,'月1回_1ヶ月前の在庫'!$W$6:$W$10005,$W6328)&gt;0),N(U6327),N(U6327)+1))</f>
        <v/>
      </c>
      <c r="V6328" s="19">
        <f>IF($B6328="","",TEXT($B6328,"0000"))</f>
        <v/>
      </c>
      <c r="W6328" s="19">
        <f>IF($I6328="","",IF(ISNUMBER($I6328),TEXT($I6328,"0"),$I6328))</f>
        <v/>
      </c>
    </row>
    <row r="6329">
      <c r="B6329" s="25" t="n"/>
      <c r="I6329" s="25" t="n"/>
      <c r="U6329" s="19">
        <f>IF($V6329&lt;&gt;'設定'!$C$4,N(U6328),IF(OR(NOT(COUNTIF('商品マスタ'!$B$6:$B$1005,$W6329)=0),COUNTIFS('①在庫を貼る'!$V$6:$V$10005,$V6329,'①在庫を貼る'!$W$6:$W$10005,$W6329)+COUNTIFS('月1回_1ヶ月前の在庫'!$V$6:$V$10005,$V6329,'月1回_1ヶ月前の在庫'!$W$6:$W$10005,$W6329)&gt;0),N(U6328),N(U6328)+1))</f>
        <v/>
      </c>
      <c r="V6329" s="19">
        <f>IF($B6329="","",TEXT($B6329,"0000"))</f>
        <v/>
      </c>
      <c r="W6329" s="19">
        <f>IF($I6329="","",IF(ISNUMBER($I6329),TEXT($I6329,"0"),$I6329))</f>
        <v/>
      </c>
    </row>
    <row r="6330">
      <c r="B6330" s="25" t="n"/>
      <c r="I6330" s="25" t="n"/>
      <c r="U6330" s="19">
        <f>IF($V6330&lt;&gt;'設定'!$C$4,N(U6329),IF(OR(NOT(COUNTIF('商品マスタ'!$B$6:$B$1005,$W6330)=0),COUNTIFS('①在庫を貼る'!$V$6:$V$10005,$V6330,'①在庫を貼る'!$W$6:$W$10005,$W6330)+COUNTIFS('月1回_1ヶ月前の在庫'!$V$6:$V$10005,$V6330,'月1回_1ヶ月前の在庫'!$W$6:$W$10005,$W6330)&gt;0),N(U6329),N(U6329)+1))</f>
        <v/>
      </c>
      <c r="V6330" s="19">
        <f>IF($B6330="","",TEXT($B6330,"0000"))</f>
        <v/>
      </c>
      <c r="W6330" s="19">
        <f>IF($I6330="","",IF(ISNUMBER($I6330),TEXT($I6330,"0"),$I6330))</f>
        <v/>
      </c>
    </row>
    <row r="6331">
      <c r="B6331" s="25" t="n"/>
      <c r="I6331" s="25" t="n"/>
      <c r="U6331" s="19">
        <f>IF($V6331&lt;&gt;'設定'!$C$4,N(U6330),IF(OR(NOT(COUNTIF('商品マスタ'!$B$6:$B$1005,$W6331)=0),COUNTIFS('①在庫を貼る'!$V$6:$V$10005,$V6331,'①在庫を貼る'!$W$6:$W$10005,$W6331)+COUNTIFS('月1回_1ヶ月前の在庫'!$V$6:$V$10005,$V6331,'月1回_1ヶ月前の在庫'!$W$6:$W$10005,$W6331)&gt;0),N(U6330),N(U6330)+1))</f>
        <v/>
      </c>
      <c r="V6331" s="19">
        <f>IF($B6331="","",TEXT($B6331,"0000"))</f>
        <v/>
      </c>
      <c r="W6331" s="19">
        <f>IF($I6331="","",IF(ISNUMBER($I6331),TEXT($I6331,"0"),$I6331))</f>
        <v/>
      </c>
    </row>
    <row r="6332">
      <c r="B6332" s="25" t="n"/>
      <c r="I6332" s="25" t="n"/>
      <c r="U6332" s="19">
        <f>IF($V6332&lt;&gt;'設定'!$C$4,N(U6331),IF(OR(NOT(COUNTIF('商品マスタ'!$B$6:$B$1005,$W6332)=0),COUNTIFS('①在庫を貼る'!$V$6:$V$10005,$V6332,'①在庫を貼る'!$W$6:$W$10005,$W6332)+COUNTIFS('月1回_1ヶ月前の在庫'!$V$6:$V$10005,$V6332,'月1回_1ヶ月前の在庫'!$W$6:$W$10005,$W6332)&gt;0),N(U6331),N(U6331)+1))</f>
        <v/>
      </c>
      <c r="V6332" s="19">
        <f>IF($B6332="","",TEXT($B6332,"0000"))</f>
        <v/>
      </c>
      <c r="W6332" s="19">
        <f>IF($I6332="","",IF(ISNUMBER($I6332),TEXT($I6332,"0"),$I6332))</f>
        <v/>
      </c>
    </row>
    <row r="6333">
      <c r="B6333" s="25" t="n"/>
      <c r="I6333" s="25" t="n"/>
      <c r="U6333" s="19">
        <f>IF($V6333&lt;&gt;'設定'!$C$4,N(U6332),IF(OR(NOT(COUNTIF('商品マスタ'!$B$6:$B$1005,$W6333)=0),COUNTIFS('①在庫を貼る'!$V$6:$V$10005,$V6333,'①在庫を貼る'!$W$6:$W$10005,$W6333)+COUNTIFS('月1回_1ヶ月前の在庫'!$V$6:$V$10005,$V6333,'月1回_1ヶ月前の在庫'!$W$6:$W$10005,$W6333)&gt;0),N(U6332),N(U6332)+1))</f>
        <v/>
      </c>
      <c r="V6333" s="19">
        <f>IF($B6333="","",TEXT($B6333,"0000"))</f>
        <v/>
      </c>
      <c r="W6333" s="19">
        <f>IF($I6333="","",IF(ISNUMBER($I6333),TEXT($I6333,"0"),$I6333))</f>
        <v/>
      </c>
    </row>
    <row r="6334">
      <c r="B6334" s="25" t="n"/>
      <c r="I6334" s="25" t="n"/>
      <c r="U6334" s="19">
        <f>IF($V6334&lt;&gt;'設定'!$C$4,N(U6333),IF(OR(NOT(COUNTIF('商品マスタ'!$B$6:$B$1005,$W6334)=0),COUNTIFS('①在庫を貼る'!$V$6:$V$10005,$V6334,'①在庫を貼る'!$W$6:$W$10005,$W6334)+COUNTIFS('月1回_1ヶ月前の在庫'!$V$6:$V$10005,$V6334,'月1回_1ヶ月前の在庫'!$W$6:$W$10005,$W6334)&gt;0),N(U6333),N(U6333)+1))</f>
        <v/>
      </c>
      <c r="V6334" s="19">
        <f>IF($B6334="","",TEXT($B6334,"0000"))</f>
        <v/>
      </c>
      <c r="W6334" s="19">
        <f>IF($I6334="","",IF(ISNUMBER($I6334),TEXT($I6334,"0"),$I6334))</f>
        <v/>
      </c>
    </row>
    <row r="6335">
      <c r="B6335" s="25" t="n"/>
      <c r="I6335" s="25" t="n"/>
      <c r="U6335" s="19">
        <f>IF($V6335&lt;&gt;'設定'!$C$4,N(U6334),IF(OR(NOT(COUNTIF('商品マスタ'!$B$6:$B$1005,$W6335)=0),COUNTIFS('①在庫を貼る'!$V$6:$V$10005,$V6335,'①在庫を貼る'!$W$6:$W$10005,$W6335)+COUNTIFS('月1回_1ヶ月前の在庫'!$V$6:$V$10005,$V6335,'月1回_1ヶ月前の在庫'!$W$6:$W$10005,$W6335)&gt;0),N(U6334),N(U6334)+1))</f>
        <v/>
      </c>
      <c r="V6335" s="19">
        <f>IF($B6335="","",TEXT($B6335,"0000"))</f>
        <v/>
      </c>
      <c r="W6335" s="19">
        <f>IF($I6335="","",IF(ISNUMBER($I6335),TEXT($I6335,"0"),$I6335))</f>
        <v/>
      </c>
    </row>
    <row r="6336">
      <c r="B6336" s="25" t="n"/>
      <c r="I6336" s="25" t="n"/>
      <c r="U6336" s="19">
        <f>IF($V6336&lt;&gt;'設定'!$C$4,N(U6335),IF(OR(NOT(COUNTIF('商品マスタ'!$B$6:$B$1005,$W6336)=0),COUNTIFS('①在庫を貼る'!$V$6:$V$10005,$V6336,'①在庫を貼る'!$W$6:$W$10005,$W6336)+COUNTIFS('月1回_1ヶ月前の在庫'!$V$6:$V$10005,$V6336,'月1回_1ヶ月前の在庫'!$W$6:$W$10005,$W6336)&gt;0),N(U6335),N(U6335)+1))</f>
        <v/>
      </c>
      <c r="V6336" s="19">
        <f>IF($B6336="","",TEXT($B6336,"0000"))</f>
        <v/>
      </c>
      <c r="W6336" s="19">
        <f>IF($I6336="","",IF(ISNUMBER($I6336),TEXT($I6336,"0"),$I6336))</f>
        <v/>
      </c>
    </row>
    <row r="6337">
      <c r="B6337" s="25" t="n"/>
      <c r="I6337" s="25" t="n"/>
      <c r="U6337" s="19">
        <f>IF($V6337&lt;&gt;'設定'!$C$4,N(U6336),IF(OR(NOT(COUNTIF('商品マスタ'!$B$6:$B$1005,$W6337)=0),COUNTIFS('①在庫を貼る'!$V$6:$V$10005,$V6337,'①在庫を貼る'!$W$6:$W$10005,$W6337)+COUNTIFS('月1回_1ヶ月前の在庫'!$V$6:$V$10005,$V6337,'月1回_1ヶ月前の在庫'!$W$6:$W$10005,$W6337)&gt;0),N(U6336),N(U6336)+1))</f>
        <v/>
      </c>
      <c r="V6337" s="19">
        <f>IF($B6337="","",TEXT($B6337,"0000"))</f>
        <v/>
      </c>
      <c r="W6337" s="19">
        <f>IF($I6337="","",IF(ISNUMBER($I6337),TEXT($I6337,"0"),$I6337))</f>
        <v/>
      </c>
    </row>
    <row r="6338">
      <c r="B6338" s="25" t="n"/>
      <c r="I6338" s="25" t="n"/>
      <c r="U6338" s="19">
        <f>IF($V6338&lt;&gt;'設定'!$C$4,N(U6337),IF(OR(NOT(COUNTIF('商品マスタ'!$B$6:$B$1005,$W6338)=0),COUNTIFS('①在庫を貼る'!$V$6:$V$10005,$V6338,'①在庫を貼る'!$W$6:$W$10005,$W6338)+COUNTIFS('月1回_1ヶ月前の在庫'!$V$6:$V$10005,$V6338,'月1回_1ヶ月前の在庫'!$W$6:$W$10005,$W6338)&gt;0),N(U6337),N(U6337)+1))</f>
        <v/>
      </c>
      <c r="V6338" s="19">
        <f>IF($B6338="","",TEXT($B6338,"0000"))</f>
        <v/>
      </c>
      <c r="W6338" s="19">
        <f>IF($I6338="","",IF(ISNUMBER($I6338),TEXT($I6338,"0"),$I6338))</f>
        <v/>
      </c>
    </row>
    <row r="6339">
      <c r="B6339" s="25" t="n"/>
      <c r="I6339" s="25" t="n"/>
      <c r="U6339" s="19">
        <f>IF($V6339&lt;&gt;'設定'!$C$4,N(U6338),IF(OR(NOT(COUNTIF('商品マスタ'!$B$6:$B$1005,$W6339)=0),COUNTIFS('①在庫を貼る'!$V$6:$V$10005,$V6339,'①在庫を貼る'!$W$6:$W$10005,$W6339)+COUNTIFS('月1回_1ヶ月前の在庫'!$V$6:$V$10005,$V6339,'月1回_1ヶ月前の在庫'!$W$6:$W$10005,$W6339)&gt;0),N(U6338),N(U6338)+1))</f>
        <v/>
      </c>
      <c r="V6339" s="19">
        <f>IF($B6339="","",TEXT($B6339,"0000"))</f>
        <v/>
      </c>
      <c r="W6339" s="19">
        <f>IF($I6339="","",IF(ISNUMBER($I6339),TEXT($I6339,"0"),$I6339))</f>
        <v/>
      </c>
    </row>
    <row r="6340">
      <c r="B6340" s="25" t="n"/>
      <c r="I6340" s="25" t="n"/>
      <c r="U6340" s="19">
        <f>IF($V6340&lt;&gt;'設定'!$C$4,N(U6339),IF(OR(NOT(COUNTIF('商品マスタ'!$B$6:$B$1005,$W6340)=0),COUNTIFS('①在庫を貼る'!$V$6:$V$10005,$V6340,'①在庫を貼る'!$W$6:$W$10005,$W6340)+COUNTIFS('月1回_1ヶ月前の在庫'!$V$6:$V$10005,$V6340,'月1回_1ヶ月前の在庫'!$W$6:$W$10005,$W6340)&gt;0),N(U6339),N(U6339)+1))</f>
        <v/>
      </c>
      <c r="V6340" s="19">
        <f>IF($B6340="","",TEXT($B6340,"0000"))</f>
        <v/>
      </c>
      <c r="W6340" s="19">
        <f>IF($I6340="","",IF(ISNUMBER($I6340),TEXT($I6340,"0"),$I6340))</f>
        <v/>
      </c>
    </row>
    <row r="6341">
      <c r="B6341" s="25" t="n"/>
      <c r="I6341" s="25" t="n"/>
      <c r="U6341" s="19">
        <f>IF($V6341&lt;&gt;'設定'!$C$4,N(U6340),IF(OR(NOT(COUNTIF('商品マスタ'!$B$6:$B$1005,$W6341)=0),COUNTIFS('①在庫を貼る'!$V$6:$V$10005,$V6341,'①在庫を貼る'!$W$6:$W$10005,$W6341)+COUNTIFS('月1回_1ヶ月前の在庫'!$V$6:$V$10005,$V6341,'月1回_1ヶ月前の在庫'!$W$6:$W$10005,$W6341)&gt;0),N(U6340),N(U6340)+1))</f>
        <v/>
      </c>
      <c r="V6341" s="19">
        <f>IF($B6341="","",TEXT($B6341,"0000"))</f>
        <v/>
      </c>
      <c r="W6341" s="19">
        <f>IF($I6341="","",IF(ISNUMBER($I6341),TEXT($I6341,"0"),$I6341))</f>
        <v/>
      </c>
    </row>
    <row r="6342">
      <c r="B6342" s="25" t="n"/>
      <c r="I6342" s="25" t="n"/>
      <c r="U6342" s="19">
        <f>IF($V6342&lt;&gt;'設定'!$C$4,N(U6341),IF(OR(NOT(COUNTIF('商品マスタ'!$B$6:$B$1005,$W6342)=0),COUNTIFS('①在庫を貼る'!$V$6:$V$10005,$V6342,'①在庫を貼る'!$W$6:$W$10005,$W6342)+COUNTIFS('月1回_1ヶ月前の在庫'!$V$6:$V$10005,$V6342,'月1回_1ヶ月前の在庫'!$W$6:$W$10005,$W6342)&gt;0),N(U6341),N(U6341)+1))</f>
        <v/>
      </c>
      <c r="V6342" s="19">
        <f>IF($B6342="","",TEXT($B6342,"0000"))</f>
        <v/>
      </c>
      <c r="W6342" s="19">
        <f>IF($I6342="","",IF(ISNUMBER($I6342),TEXT($I6342,"0"),$I6342))</f>
        <v/>
      </c>
    </row>
    <row r="6343">
      <c r="B6343" s="25" t="n"/>
      <c r="I6343" s="25" t="n"/>
      <c r="U6343" s="19">
        <f>IF($V6343&lt;&gt;'設定'!$C$4,N(U6342),IF(OR(NOT(COUNTIF('商品マスタ'!$B$6:$B$1005,$W6343)=0),COUNTIFS('①在庫を貼る'!$V$6:$V$10005,$V6343,'①在庫を貼る'!$W$6:$W$10005,$W6343)+COUNTIFS('月1回_1ヶ月前の在庫'!$V$6:$V$10005,$V6343,'月1回_1ヶ月前の在庫'!$W$6:$W$10005,$W6343)&gt;0),N(U6342),N(U6342)+1))</f>
        <v/>
      </c>
      <c r="V6343" s="19">
        <f>IF($B6343="","",TEXT($B6343,"0000"))</f>
        <v/>
      </c>
      <c r="W6343" s="19">
        <f>IF($I6343="","",IF(ISNUMBER($I6343),TEXT($I6343,"0"),$I6343))</f>
        <v/>
      </c>
    </row>
    <row r="6344">
      <c r="B6344" s="25" t="n"/>
      <c r="I6344" s="25" t="n"/>
      <c r="U6344" s="19">
        <f>IF($V6344&lt;&gt;'設定'!$C$4,N(U6343),IF(OR(NOT(COUNTIF('商品マスタ'!$B$6:$B$1005,$W6344)=0),COUNTIFS('①在庫を貼る'!$V$6:$V$10005,$V6344,'①在庫を貼る'!$W$6:$W$10005,$W6344)+COUNTIFS('月1回_1ヶ月前の在庫'!$V$6:$V$10005,$V6344,'月1回_1ヶ月前の在庫'!$W$6:$W$10005,$W6344)&gt;0),N(U6343),N(U6343)+1))</f>
        <v/>
      </c>
      <c r="V6344" s="19">
        <f>IF($B6344="","",TEXT($B6344,"0000"))</f>
        <v/>
      </c>
      <c r="W6344" s="19">
        <f>IF($I6344="","",IF(ISNUMBER($I6344),TEXT($I6344,"0"),$I6344))</f>
        <v/>
      </c>
    </row>
    <row r="6345">
      <c r="B6345" s="25" t="n"/>
      <c r="I6345" s="25" t="n"/>
      <c r="U6345" s="19">
        <f>IF($V6345&lt;&gt;'設定'!$C$4,N(U6344),IF(OR(NOT(COUNTIF('商品マスタ'!$B$6:$B$1005,$W6345)=0),COUNTIFS('①在庫を貼る'!$V$6:$V$10005,$V6345,'①在庫を貼る'!$W$6:$W$10005,$W6345)+COUNTIFS('月1回_1ヶ月前の在庫'!$V$6:$V$10005,$V6345,'月1回_1ヶ月前の在庫'!$W$6:$W$10005,$W6345)&gt;0),N(U6344),N(U6344)+1))</f>
        <v/>
      </c>
      <c r="V6345" s="19">
        <f>IF($B6345="","",TEXT($B6345,"0000"))</f>
        <v/>
      </c>
      <c r="W6345" s="19">
        <f>IF($I6345="","",IF(ISNUMBER($I6345),TEXT($I6345,"0"),$I6345))</f>
        <v/>
      </c>
    </row>
    <row r="6346">
      <c r="B6346" s="25" t="n"/>
      <c r="I6346" s="25" t="n"/>
      <c r="U6346" s="19">
        <f>IF($V6346&lt;&gt;'設定'!$C$4,N(U6345),IF(OR(NOT(COUNTIF('商品マスタ'!$B$6:$B$1005,$W6346)=0),COUNTIFS('①在庫を貼る'!$V$6:$V$10005,$V6346,'①在庫を貼る'!$W$6:$W$10005,$W6346)+COUNTIFS('月1回_1ヶ月前の在庫'!$V$6:$V$10005,$V6346,'月1回_1ヶ月前の在庫'!$W$6:$W$10005,$W6346)&gt;0),N(U6345),N(U6345)+1))</f>
        <v/>
      </c>
      <c r="V6346" s="19">
        <f>IF($B6346="","",TEXT($B6346,"0000"))</f>
        <v/>
      </c>
      <c r="W6346" s="19">
        <f>IF($I6346="","",IF(ISNUMBER($I6346),TEXT($I6346,"0"),$I6346))</f>
        <v/>
      </c>
    </row>
    <row r="6347">
      <c r="B6347" s="25" t="n"/>
      <c r="I6347" s="25" t="n"/>
      <c r="U6347" s="19">
        <f>IF($V6347&lt;&gt;'設定'!$C$4,N(U6346),IF(OR(NOT(COUNTIF('商品マスタ'!$B$6:$B$1005,$W6347)=0),COUNTIFS('①在庫を貼る'!$V$6:$V$10005,$V6347,'①在庫を貼る'!$W$6:$W$10005,$W6347)+COUNTIFS('月1回_1ヶ月前の在庫'!$V$6:$V$10005,$V6347,'月1回_1ヶ月前の在庫'!$W$6:$W$10005,$W6347)&gt;0),N(U6346),N(U6346)+1))</f>
        <v/>
      </c>
      <c r="V6347" s="19">
        <f>IF($B6347="","",TEXT($B6347,"0000"))</f>
        <v/>
      </c>
      <c r="W6347" s="19">
        <f>IF($I6347="","",IF(ISNUMBER($I6347),TEXT($I6347,"0"),$I6347))</f>
        <v/>
      </c>
    </row>
    <row r="6348">
      <c r="B6348" s="25" t="n"/>
      <c r="I6348" s="25" t="n"/>
      <c r="U6348" s="19">
        <f>IF($V6348&lt;&gt;'設定'!$C$4,N(U6347),IF(OR(NOT(COUNTIF('商品マスタ'!$B$6:$B$1005,$W6348)=0),COUNTIFS('①在庫を貼る'!$V$6:$V$10005,$V6348,'①在庫を貼る'!$W$6:$W$10005,$W6348)+COUNTIFS('月1回_1ヶ月前の在庫'!$V$6:$V$10005,$V6348,'月1回_1ヶ月前の在庫'!$W$6:$W$10005,$W6348)&gt;0),N(U6347),N(U6347)+1))</f>
        <v/>
      </c>
      <c r="V6348" s="19">
        <f>IF($B6348="","",TEXT($B6348,"0000"))</f>
        <v/>
      </c>
      <c r="W6348" s="19">
        <f>IF($I6348="","",IF(ISNUMBER($I6348),TEXT($I6348,"0"),$I6348))</f>
        <v/>
      </c>
    </row>
    <row r="6349">
      <c r="B6349" s="25" t="n"/>
      <c r="I6349" s="25" t="n"/>
      <c r="U6349" s="19">
        <f>IF($V6349&lt;&gt;'設定'!$C$4,N(U6348),IF(OR(NOT(COUNTIF('商品マスタ'!$B$6:$B$1005,$W6349)=0),COUNTIFS('①在庫を貼る'!$V$6:$V$10005,$V6349,'①在庫を貼る'!$W$6:$W$10005,$W6349)+COUNTIFS('月1回_1ヶ月前の在庫'!$V$6:$V$10005,$V6349,'月1回_1ヶ月前の在庫'!$W$6:$W$10005,$W6349)&gt;0),N(U6348),N(U6348)+1))</f>
        <v/>
      </c>
      <c r="V6349" s="19">
        <f>IF($B6349="","",TEXT($B6349,"0000"))</f>
        <v/>
      </c>
      <c r="W6349" s="19">
        <f>IF($I6349="","",IF(ISNUMBER($I6349),TEXT($I6349,"0"),$I6349))</f>
        <v/>
      </c>
    </row>
    <row r="6350">
      <c r="B6350" s="25" t="n"/>
      <c r="I6350" s="25" t="n"/>
      <c r="U6350" s="19">
        <f>IF($V6350&lt;&gt;'設定'!$C$4,N(U6349),IF(OR(NOT(COUNTIF('商品マスタ'!$B$6:$B$1005,$W6350)=0),COUNTIFS('①在庫を貼る'!$V$6:$V$10005,$V6350,'①在庫を貼る'!$W$6:$W$10005,$W6350)+COUNTIFS('月1回_1ヶ月前の在庫'!$V$6:$V$10005,$V6350,'月1回_1ヶ月前の在庫'!$W$6:$W$10005,$W6350)&gt;0),N(U6349),N(U6349)+1))</f>
        <v/>
      </c>
      <c r="V6350" s="19">
        <f>IF($B6350="","",TEXT($B6350,"0000"))</f>
        <v/>
      </c>
      <c r="W6350" s="19">
        <f>IF($I6350="","",IF(ISNUMBER($I6350),TEXT($I6350,"0"),$I6350))</f>
        <v/>
      </c>
    </row>
    <row r="6351">
      <c r="B6351" s="25" t="n"/>
      <c r="I6351" s="25" t="n"/>
      <c r="U6351" s="19">
        <f>IF($V6351&lt;&gt;'設定'!$C$4,N(U6350),IF(OR(NOT(COUNTIF('商品マスタ'!$B$6:$B$1005,$W6351)=0),COUNTIFS('①在庫を貼る'!$V$6:$V$10005,$V6351,'①在庫を貼る'!$W$6:$W$10005,$W6351)+COUNTIFS('月1回_1ヶ月前の在庫'!$V$6:$V$10005,$V6351,'月1回_1ヶ月前の在庫'!$W$6:$W$10005,$W6351)&gt;0),N(U6350),N(U6350)+1))</f>
        <v/>
      </c>
      <c r="V6351" s="19">
        <f>IF($B6351="","",TEXT($B6351,"0000"))</f>
        <v/>
      </c>
      <c r="W6351" s="19">
        <f>IF($I6351="","",IF(ISNUMBER($I6351),TEXT($I6351,"0"),$I6351))</f>
        <v/>
      </c>
    </row>
    <row r="6352">
      <c r="B6352" s="25" t="n"/>
      <c r="I6352" s="25" t="n"/>
      <c r="U6352" s="19">
        <f>IF($V6352&lt;&gt;'設定'!$C$4,N(U6351),IF(OR(NOT(COUNTIF('商品マスタ'!$B$6:$B$1005,$W6352)=0),COUNTIFS('①在庫を貼る'!$V$6:$V$10005,$V6352,'①在庫を貼る'!$W$6:$W$10005,$W6352)+COUNTIFS('月1回_1ヶ月前の在庫'!$V$6:$V$10005,$V6352,'月1回_1ヶ月前の在庫'!$W$6:$W$10005,$W6352)&gt;0),N(U6351),N(U6351)+1))</f>
        <v/>
      </c>
      <c r="V6352" s="19">
        <f>IF($B6352="","",TEXT($B6352,"0000"))</f>
        <v/>
      </c>
      <c r="W6352" s="19">
        <f>IF($I6352="","",IF(ISNUMBER($I6352),TEXT($I6352,"0"),$I6352))</f>
        <v/>
      </c>
    </row>
    <row r="6353">
      <c r="B6353" s="25" t="n"/>
      <c r="I6353" s="25" t="n"/>
      <c r="U6353" s="19">
        <f>IF($V6353&lt;&gt;'設定'!$C$4,N(U6352),IF(OR(NOT(COUNTIF('商品マスタ'!$B$6:$B$1005,$W6353)=0),COUNTIFS('①在庫を貼る'!$V$6:$V$10005,$V6353,'①在庫を貼る'!$W$6:$W$10005,$W6353)+COUNTIFS('月1回_1ヶ月前の在庫'!$V$6:$V$10005,$V6353,'月1回_1ヶ月前の在庫'!$W$6:$W$10005,$W6353)&gt;0),N(U6352),N(U6352)+1))</f>
        <v/>
      </c>
      <c r="V6353" s="19">
        <f>IF($B6353="","",TEXT($B6353,"0000"))</f>
        <v/>
      </c>
      <c r="W6353" s="19">
        <f>IF($I6353="","",IF(ISNUMBER($I6353),TEXT($I6353,"0"),$I6353))</f>
        <v/>
      </c>
    </row>
    <row r="6354">
      <c r="B6354" s="25" t="n"/>
      <c r="I6354" s="25" t="n"/>
      <c r="U6354" s="19">
        <f>IF($V6354&lt;&gt;'設定'!$C$4,N(U6353),IF(OR(NOT(COUNTIF('商品マスタ'!$B$6:$B$1005,$W6354)=0),COUNTIFS('①在庫を貼る'!$V$6:$V$10005,$V6354,'①在庫を貼る'!$W$6:$W$10005,$W6354)+COUNTIFS('月1回_1ヶ月前の在庫'!$V$6:$V$10005,$V6354,'月1回_1ヶ月前の在庫'!$W$6:$W$10005,$W6354)&gt;0),N(U6353),N(U6353)+1))</f>
        <v/>
      </c>
      <c r="V6354" s="19">
        <f>IF($B6354="","",TEXT($B6354,"0000"))</f>
        <v/>
      </c>
      <c r="W6354" s="19">
        <f>IF($I6354="","",IF(ISNUMBER($I6354),TEXT($I6354,"0"),$I6354))</f>
        <v/>
      </c>
    </row>
    <row r="6355">
      <c r="B6355" s="25" t="n"/>
      <c r="I6355" s="25" t="n"/>
      <c r="U6355" s="19">
        <f>IF($V6355&lt;&gt;'設定'!$C$4,N(U6354),IF(OR(NOT(COUNTIF('商品マスタ'!$B$6:$B$1005,$W6355)=0),COUNTIFS('①在庫を貼る'!$V$6:$V$10005,$V6355,'①在庫を貼る'!$W$6:$W$10005,$W6355)+COUNTIFS('月1回_1ヶ月前の在庫'!$V$6:$V$10005,$V6355,'月1回_1ヶ月前の在庫'!$W$6:$W$10005,$W6355)&gt;0),N(U6354),N(U6354)+1))</f>
        <v/>
      </c>
      <c r="V6355" s="19">
        <f>IF($B6355="","",TEXT($B6355,"0000"))</f>
        <v/>
      </c>
      <c r="W6355" s="19">
        <f>IF($I6355="","",IF(ISNUMBER($I6355),TEXT($I6355,"0"),$I6355))</f>
        <v/>
      </c>
    </row>
    <row r="6356">
      <c r="B6356" s="25" t="n"/>
      <c r="I6356" s="25" t="n"/>
      <c r="U6356" s="19">
        <f>IF($V6356&lt;&gt;'設定'!$C$4,N(U6355),IF(OR(NOT(COUNTIF('商品マスタ'!$B$6:$B$1005,$W6356)=0),COUNTIFS('①在庫を貼る'!$V$6:$V$10005,$V6356,'①在庫を貼る'!$W$6:$W$10005,$W6356)+COUNTIFS('月1回_1ヶ月前の在庫'!$V$6:$V$10005,$V6356,'月1回_1ヶ月前の在庫'!$W$6:$W$10005,$W6356)&gt;0),N(U6355),N(U6355)+1))</f>
        <v/>
      </c>
      <c r="V6356" s="19">
        <f>IF($B6356="","",TEXT($B6356,"0000"))</f>
        <v/>
      </c>
      <c r="W6356" s="19">
        <f>IF($I6356="","",IF(ISNUMBER($I6356),TEXT($I6356,"0"),$I6356))</f>
        <v/>
      </c>
    </row>
    <row r="6357">
      <c r="B6357" s="25" t="n"/>
      <c r="I6357" s="25" t="n"/>
      <c r="U6357" s="19">
        <f>IF($V6357&lt;&gt;'設定'!$C$4,N(U6356),IF(OR(NOT(COUNTIF('商品マスタ'!$B$6:$B$1005,$W6357)=0),COUNTIFS('①在庫を貼る'!$V$6:$V$10005,$V6357,'①在庫を貼る'!$W$6:$W$10005,$W6357)+COUNTIFS('月1回_1ヶ月前の在庫'!$V$6:$V$10005,$V6357,'月1回_1ヶ月前の在庫'!$W$6:$W$10005,$W6357)&gt;0),N(U6356),N(U6356)+1))</f>
        <v/>
      </c>
      <c r="V6357" s="19">
        <f>IF($B6357="","",TEXT($B6357,"0000"))</f>
        <v/>
      </c>
      <c r="W6357" s="19">
        <f>IF($I6357="","",IF(ISNUMBER($I6357),TEXT($I6357,"0"),$I6357))</f>
        <v/>
      </c>
    </row>
    <row r="6358">
      <c r="B6358" s="25" t="n"/>
      <c r="I6358" s="25" t="n"/>
      <c r="U6358" s="19">
        <f>IF($V6358&lt;&gt;'設定'!$C$4,N(U6357),IF(OR(NOT(COUNTIF('商品マスタ'!$B$6:$B$1005,$W6358)=0),COUNTIFS('①在庫を貼る'!$V$6:$V$10005,$V6358,'①在庫を貼る'!$W$6:$W$10005,$W6358)+COUNTIFS('月1回_1ヶ月前の在庫'!$V$6:$V$10005,$V6358,'月1回_1ヶ月前の在庫'!$W$6:$W$10005,$W6358)&gt;0),N(U6357),N(U6357)+1))</f>
        <v/>
      </c>
      <c r="V6358" s="19">
        <f>IF($B6358="","",TEXT($B6358,"0000"))</f>
        <v/>
      </c>
      <c r="W6358" s="19">
        <f>IF($I6358="","",IF(ISNUMBER($I6358),TEXT($I6358,"0"),$I6358))</f>
        <v/>
      </c>
    </row>
    <row r="6359">
      <c r="B6359" s="25" t="n"/>
      <c r="I6359" s="25" t="n"/>
      <c r="U6359" s="19">
        <f>IF($V6359&lt;&gt;'設定'!$C$4,N(U6358),IF(OR(NOT(COUNTIF('商品マスタ'!$B$6:$B$1005,$W6359)=0),COUNTIFS('①在庫を貼る'!$V$6:$V$10005,$V6359,'①在庫を貼る'!$W$6:$W$10005,$W6359)+COUNTIFS('月1回_1ヶ月前の在庫'!$V$6:$V$10005,$V6359,'月1回_1ヶ月前の在庫'!$W$6:$W$10005,$W6359)&gt;0),N(U6358),N(U6358)+1))</f>
        <v/>
      </c>
      <c r="V6359" s="19">
        <f>IF($B6359="","",TEXT($B6359,"0000"))</f>
        <v/>
      </c>
      <c r="W6359" s="19">
        <f>IF($I6359="","",IF(ISNUMBER($I6359),TEXT($I6359,"0"),$I6359))</f>
        <v/>
      </c>
    </row>
    <row r="6360">
      <c r="B6360" s="25" t="n"/>
      <c r="I6360" s="25" t="n"/>
      <c r="U6360" s="19">
        <f>IF($V6360&lt;&gt;'設定'!$C$4,N(U6359),IF(OR(NOT(COUNTIF('商品マスタ'!$B$6:$B$1005,$W6360)=0),COUNTIFS('①在庫を貼る'!$V$6:$V$10005,$V6360,'①在庫を貼る'!$W$6:$W$10005,$W6360)+COUNTIFS('月1回_1ヶ月前の在庫'!$V$6:$V$10005,$V6360,'月1回_1ヶ月前の在庫'!$W$6:$W$10005,$W6360)&gt;0),N(U6359),N(U6359)+1))</f>
        <v/>
      </c>
      <c r="V6360" s="19">
        <f>IF($B6360="","",TEXT($B6360,"0000"))</f>
        <v/>
      </c>
      <c r="W6360" s="19">
        <f>IF($I6360="","",IF(ISNUMBER($I6360),TEXT($I6360,"0"),$I6360))</f>
        <v/>
      </c>
    </row>
    <row r="6361">
      <c r="B6361" s="25" t="n"/>
      <c r="I6361" s="25" t="n"/>
      <c r="U6361" s="19">
        <f>IF($V6361&lt;&gt;'設定'!$C$4,N(U6360),IF(OR(NOT(COUNTIF('商品マスタ'!$B$6:$B$1005,$W6361)=0),COUNTIFS('①在庫を貼る'!$V$6:$V$10005,$V6361,'①在庫を貼る'!$W$6:$W$10005,$W6361)+COUNTIFS('月1回_1ヶ月前の在庫'!$V$6:$V$10005,$V6361,'月1回_1ヶ月前の在庫'!$W$6:$W$10005,$W6361)&gt;0),N(U6360),N(U6360)+1))</f>
        <v/>
      </c>
      <c r="V6361" s="19">
        <f>IF($B6361="","",TEXT($B6361,"0000"))</f>
        <v/>
      </c>
      <c r="W6361" s="19">
        <f>IF($I6361="","",IF(ISNUMBER($I6361),TEXT($I6361,"0"),$I6361))</f>
        <v/>
      </c>
    </row>
    <row r="6362">
      <c r="B6362" s="25" t="n"/>
      <c r="I6362" s="25" t="n"/>
      <c r="U6362" s="19">
        <f>IF($V6362&lt;&gt;'設定'!$C$4,N(U6361),IF(OR(NOT(COUNTIF('商品マスタ'!$B$6:$B$1005,$W6362)=0),COUNTIFS('①在庫を貼る'!$V$6:$V$10005,$V6362,'①在庫を貼る'!$W$6:$W$10005,$W6362)+COUNTIFS('月1回_1ヶ月前の在庫'!$V$6:$V$10005,$V6362,'月1回_1ヶ月前の在庫'!$W$6:$W$10005,$W6362)&gt;0),N(U6361),N(U6361)+1))</f>
        <v/>
      </c>
      <c r="V6362" s="19">
        <f>IF($B6362="","",TEXT($B6362,"0000"))</f>
        <v/>
      </c>
      <c r="W6362" s="19">
        <f>IF($I6362="","",IF(ISNUMBER($I6362),TEXT($I6362,"0"),$I6362))</f>
        <v/>
      </c>
    </row>
    <row r="6363">
      <c r="B6363" s="25" t="n"/>
      <c r="I6363" s="25" t="n"/>
      <c r="U6363" s="19">
        <f>IF($V6363&lt;&gt;'設定'!$C$4,N(U6362),IF(OR(NOT(COUNTIF('商品マスタ'!$B$6:$B$1005,$W6363)=0),COUNTIFS('①在庫を貼る'!$V$6:$V$10005,$V6363,'①在庫を貼る'!$W$6:$W$10005,$W6363)+COUNTIFS('月1回_1ヶ月前の在庫'!$V$6:$V$10005,$V6363,'月1回_1ヶ月前の在庫'!$W$6:$W$10005,$W6363)&gt;0),N(U6362),N(U6362)+1))</f>
        <v/>
      </c>
      <c r="V6363" s="19">
        <f>IF($B6363="","",TEXT($B6363,"0000"))</f>
        <v/>
      </c>
      <c r="W6363" s="19">
        <f>IF($I6363="","",IF(ISNUMBER($I6363),TEXT($I6363,"0"),$I6363))</f>
        <v/>
      </c>
    </row>
    <row r="6364">
      <c r="B6364" s="25" t="n"/>
      <c r="I6364" s="25" t="n"/>
      <c r="U6364" s="19">
        <f>IF($V6364&lt;&gt;'設定'!$C$4,N(U6363),IF(OR(NOT(COUNTIF('商品マスタ'!$B$6:$B$1005,$W6364)=0),COUNTIFS('①在庫を貼る'!$V$6:$V$10005,$V6364,'①在庫を貼る'!$W$6:$W$10005,$W6364)+COUNTIFS('月1回_1ヶ月前の在庫'!$V$6:$V$10005,$V6364,'月1回_1ヶ月前の在庫'!$W$6:$W$10005,$W6364)&gt;0),N(U6363),N(U6363)+1))</f>
        <v/>
      </c>
      <c r="V6364" s="19">
        <f>IF($B6364="","",TEXT($B6364,"0000"))</f>
        <v/>
      </c>
      <c r="W6364" s="19">
        <f>IF($I6364="","",IF(ISNUMBER($I6364),TEXT($I6364,"0"),$I6364))</f>
        <v/>
      </c>
    </row>
    <row r="6365">
      <c r="B6365" s="25" t="n"/>
      <c r="I6365" s="25" t="n"/>
      <c r="U6365" s="19">
        <f>IF($V6365&lt;&gt;'設定'!$C$4,N(U6364),IF(OR(NOT(COUNTIF('商品マスタ'!$B$6:$B$1005,$W6365)=0),COUNTIFS('①在庫を貼る'!$V$6:$V$10005,$V6365,'①在庫を貼る'!$W$6:$W$10005,$W6365)+COUNTIFS('月1回_1ヶ月前の在庫'!$V$6:$V$10005,$V6365,'月1回_1ヶ月前の在庫'!$W$6:$W$10005,$W6365)&gt;0),N(U6364),N(U6364)+1))</f>
        <v/>
      </c>
      <c r="V6365" s="19">
        <f>IF($B6365="","",TEXT($B6365,"0000"))</f>
        <v/>
      </c>
      <c r="W6365" s="19">
        <f>IF($I6365="","",IF(ISNUMBER($I6365),TEXT($I6365,"0"),$I6365))</f>
        <v/>
      </c>
    </row>
    <row r="6366">
      <c r="B6366" s="25" t="n"/>
      <c r="I6366" s="25" t="n"/>
      <c r="U6366" s="19">
        <f>IF($V6366&lt;&gt;'設定'!$C$4,N(U6365),IF(OR(NOT(COUNTIF('商品マスタ'!$B$6:$B$1005,$W6366)=0),COUNTIFS('①在庫を貼る'!$V$6:$V$10005,$V6366,'①在庫を貼る'!$W$6:$W$10005,$W6366)+COUNTIFS('月1回_1ヶ月前の在庫'!$V$6:$V$10005,$V6366,'月1回_1ヶ月前の在庫'!$W$6:$W$10005,$W6366)&gt;0),N(U6365),N(U6365)+1))</f>
        <v/>
      </c>
      <c r="V6366" s="19">
        <f>IF($B6366="","",TEXT($B6366,"0000"))</f>
        <v/>
      </c>
      <c r="W6366" s="19">
        <f>IF($I6366="","",IF(ISNUMBER($I6366),TEXT($I6366,"0"),$I6366))</f>
        <v/>
      </c>
    </row>
    <row r="6367">
      <c r="B6367" s="25" t="n"/>
      <c r="I6367" s="25" t="n"/>
      <c r="U6367" s="19">
        <f>IF($V6367&lt;&gt;'設定'!$C$4,N(U6366),IF(OR(NOT(COUNTIF('商品マスタ'!$B$6:$B$1005,$W6367)=0),COUNTIFS('①在庫を貼る'!$V$6:$V$10005,$V6367,'①在庫を貼る'!$W$6:$W$10005,$W6367)+COUNTIFS('月1回_1ヶ月前の在庫'!$V$6:$V$10005,$V6367,'月1回_1ヶ月前の在庫'!$W$6:$W$10005,$W6367)&gt;0),N(U6366),N(U6366)+1))</f>
        <v/>
      </c>
      <c r="V6367" s="19">
        <f>IF($B6367="","",TEXT($B6367,"0000"))</f>
        <v/>
      </c>
      <c r="W6367" s="19">
        <f>IF($I6367="","",IF(ISNUMBER($I6367),TEXT($I6367,"0"),$I6367))</f>
        <v/>
      </c>
    </row>
    <row r="6368">
      <c r="B6368" s="25" t="n"/>
      <c r="I6368" s="25" t="n"/>
      <c r="U6368" s="19">
        <f>IF($V6368&lt;&gt;'設定'!$C$4,N(U6367),IF(OR(NOT(COUNTIF('商品マスタ'!$B$6:$B$1005,$W6368)=0),COUNTIFS('①在庫を貼る'!$V$6:$V$10005,$V6368,'①在庫を貼る'!$W$6:$W$10005,$W6368)+COUNTIFS('月1回_1ヶ月前の在庫'!$V$6:$V$10005,$V6368,'月1回_1ヶ月前の在庫'!$W$6:$W$10005,$W6368)&gt;0),N(U6367),N(U6367)+1))</f>
        <v/>
      </c>
      <c r="V6368" s="19">
        <f>IF($B6368="","",TEXT($B6368,"0000"))</f>
        <v/>
      </c>
      <c r="W6368" s="19">
        <f>IF($I6368="","",IF(ISNUMBER($I6368),TEXT($I6368,"0"),$I6368))</f>
        <v/>
      </c>
    </row>
    <row r="6369">
      <c r="B6369" s="25" t="n"/>
      <c r="I6369" s="25" t="n"/>
      <c r="U6369" s="19">
        <f>IF($V6369&lt;&gt;'設定'!$C$4,N(U6368),IF(OR(NOT(COUNTIF('商品マスタ'!$B$6:$B$1005,$W6369)=0),COUNTIFS('①在庫を貼る'!$V$6:$V$10005,$V6369,'①在庫を貼る'!$W$6:$W$10005,$W6369)+COUNTIFS('月1回_1ヶ月前の在庫'!$V$6:$V$10005,$V6369,'月1回_1ヶ月前の在庫'!$W$6:$W$10005,$W6369)&gt;0),N(U6368),N(U6368)+1))</f>
        <v/>
      </c>
      <c r="V6369" s="19">
        <f>IF($B6369="","",TEXT($B6369,"0000"))</f>
        <v/>
      </c>
      <c r="W6369" s="19">
        <f>IF($I6369="","",IF(ISNUMBER($I6369),TEXT($I6369,"0"),$I6369))</f>
        <v/>
      </c>
    </row>
    <row r="6370">
      <c r="B6370" s="25" t="n"/>
      <c r="I6370" s="25" t="n"/>
      <c r="U6370" s="19">
        <f>IF($V6370&lt;&gt;'設定'!$C$4,N(U6369),IF(OR(NOT(COUNTIF('商品マスタ'!$B$6:$B$1005,$W6370)=0),COUNTIFS('①在庫を貼る'!$V$6:$V$10005,$V6370,'①在庫を貼る'!$W$6:$W$10005,$W6370)+COUNTIFS('月1回_1ヶ月前の在庫'!$V$6:$V$10005,$V6370,'月1回_1ヶ月前の在庫'!$W$6:$W$10005,$W6370)&gt;0),N(U6369),N(U6369)+1))</f>
        <v/>
      </c>
      <c r="V6370" s="19">
        <f>IF($B6370="","",TEXT($B6370,"0000"))</f>
        <v/>
      </c>
      <c r="W6370" s="19">
        <f>IF($I6370="","",IF(ISNUMBER($I6370),TEXT($I6370,"0"),$I6370))</f>
        <v/>
      </c>
    </row>
    <row r="6371">
      <c r="B6371" s="25" t="n"/>
      <c r="I6371" s="25" t="n"/>
      <c r="U6371" s="19">
        <f>IF($V6371&lt;&gt;'設定'!$C$4,N(U6370),IF(OR(NOT(COUNTIF('商品マスタ'!$B$6:$B$1005,$W6371)=0),COUNTIFS('①在庫を貼る'!$V$6:$V$10005,$V6371,'①在庫を貼る'!$W$6:$W$10005,$W6371)+COUNTIFS('月1回_1ヶ月前の在庫'!$V$6:$V$10005,$V6371,'月1回_1ヶ月前の在庫'!$W$6:$W$10005,$W6371)&gt;0),N(U6370),N(U6370)+1))</f>
        <v/>
      </c>
      <c r="V6371" s="19">
        <f>IF($B6371="","",TEXT($B6371,"0000"))</f>
        <v/>
      </c>
      <c r="W6371" s="19">
        <f>IF($I6371="","",IF(ISNUMBER($I6371),TEXT($I6371,"0"),$I6371))</f>
        <v/>
      </c>
    </row>
    <row r="6372">
      <c r="B6372" s="25" t="n"/>
      <c r="I6372" s="25" t="n"/>
      <c r="U6372" s="19">
        <f>IF($V6372&lt;&gt;'設定'!$C$4,N(U6371),IF(OR(NOT(COUNTIF('商品マスタ'!$B$6:$B$1005,$W6372)=0),COUNTIFS('①在庫を貼る'!$V$6:$V$10005,$V6372,'①在庫を貼る'!$W$6:$W$10005,$W6372)+COUNTIFS('月1回_1ヶ月前の在庫'!$V$6:$V$10005,$V6372,'月1回_1ヶ月前の在庫'!$W$6:$W$10005,$W6372)&gt;0),N(U6371),N(U6371)+1))</f>
        <v/>
      </c>
      <c r="V6372" s="19">
        <f>IF($B6372="","",TEXT($B6372,"0000"))</f>
        <v/>
      </c>
      <c r="W6372" s="19">
        <f>IF($I6372="","",IF(ISNUMBER($I6372),TEXT($I6372,"0"),$I6372))</f>
        <v/>
      </c>
    </row>
    <row r="6373">
      <c r="B6373" s="25" t="n"/>
      <c r="I6373" s="25" t="n"/>
      <c r="U6373" s="19">
        <f>IF($V6373&lt;&gt;'設定'!$C$4,N(U6372),IF(OR(NOT(COUNTIF('商品マスタ'!$B$6:$B$1005,$W6373)=0),COUNTIFS('①在庫を貼る'!$V$6:$V$10005,$V6373,'①在庫を貼る'!$W$6:$W$10005,$W6373)+COUNTIFS('月1回_1ヶ月前の在庫'!$V$6:$V$10005,$V6373,'月1回_1ヶ月前の在庫'!$W$6:$W$10005,$W6373)&gt;0),N(U6372),N(U6372)+1))</f>
        <v/>
      </c>
      <c r="V6373" s="19">
        <f>IF($B6373="","",TEXT($B6373,"0000"))</f>
        <v/>
      </c>
      <c r="W6373" s="19">
        <f>IF($I6373="","",IF(ISNUMBER($I6373),TEXT($I6373,"0"),$I6373))</f>
        <v/>
      </c>
    </row>
    <row r="6374">
      <c r="B6374" s="25" t="n"/>
      <c r="I6374" s="25" t="n"/>
      <c r="U6374" s="19">
        <f>IF($V6374&lt;&gt;'設定'!$C$4,N(U6373),IF(OR(NOT(COUNTIF('商品マスタ'!$B$6:$B$1005,$W6374)=0),COUNTIFS('①在庫を貼る'!$V$6:$V$10005,$V6374,'①在庫を貼る'!$W$6:$W$10005,$W6374)+COUNTIFS('月1回_1ヶ月前の在庫'!$V$6:$V$10005,$V6374,'月1回_1ヶ月前の在庫'!$W$6:$W$10005,$W6374)&gt;0),N(U6373),N(U6373)+1))</f>
        <v/>
      </c>
      <c r="V6374" s="19">
        <f>IF($B6374="","",TEXT($B6374,"0000"))</f>
        <v/>
      </c>
      <c r="W6374" s="19">
        <f>IF($I6374="","",IF(ISNUMBER($I6374),TEXT($I6374,"0"),$I6374))</f>
        <v/>
      </c>
    </row>
    <row r="6375">
      <c r="B6375" s="25" t="n"/>
      <c r="I6375" s="25" t="n"/>
      <c r="U6375" s="19">
        <f>IF($V6375&lt;&gt;'設定'!$C$4,N(U6374),IF(OR(NOT(COUNTIF('商品マスタ'!$B$6:$B$1005,$W6375)=0),COUNTIFS('①在庫を貼る'!$V$6:$V$10005,$V6375,'①在庫を貼る'!$W$6:$W$10005,$W6375)+COUNTIFS('月1回_1ヶ月前の在庫'!$V$6:$V$10005,$V6375,'月1回_1ヶ月前の在庫'!$W$6:$W$10005,$W6375)&gt;0),N(U6374),N(U6374)+1))</f>
        <v/>
      </c>
      <c r="V6375" s="19">
        <f>IF($B6375="","",TEXT($B6375,"0000"))</f>
        <v/>
      </c>
      <c r="W6375" s="19">
        <f>IF($I6375="","",IF(ISNUMBER($I6375),TEXT($I6375,"0"),$I6375))</f>
        <v/>
      </c>
    </row>
    <row r="6376">
      <c r="B6376" s="25" t="n"/>
      <c r="I6376" s="25" t="n"/>
      <c r="U6376" s="19">
        <f>IF($V6376&lt;&gt;'設定'!$C$4,N(U6375),IF(OR(NOT(COUNTIF('商品マスタ'!$B$6:$B$1005,$W6376)=0),COUNTIFS('①在庫を貼る'!$V$6:$V$10005,$V6376,'①在庫を貼る'!$W$6:$W$10005,$W6376)+COUNTIFS('月1回_1ヶ月前の在庫'!$V$6:$V$10005,$V6376,'月1回_1ヶ月前の在庫'!$W$6:$W$10005,$W6376)&gt;0),N(U6375),N(U6375)+1))</f>
        <v/>
      </c>
      <c r="V6376" s="19">
        <f>IF($B6376="","",TEXT($B6376,"0000"))</f>
        <v/>
      </c>
      <c r="W6376" s="19">
        <f>IF($I6376="","",IF(ISNUMBER($I6376),TEXT($I6376,"0"),$I6376))</f>
        <v/>
      </c>
    </row>
    <row r="6377">
      <c r="B6377" s="25" t="n"/>
      <c r="I6377" s="25" t="n"/>
      <c r="U6377" s="19">
        <f>IF($V6377&lt;&gt;'設定'!$C$4,N(U6376),IF(OR(NOT(COUNTIF('商品マスタ'!$B$6:$B$1005,$W6377)=0),COUNTIFS('①在庫を貼る'!$V$6:$V$10005,$V6377,'①在庫を貼る'!$W$6:$W$10005,$W6377)+COUNTIFS('月1回_1ヶ月前の在庫'!$V$6:$V$10005,$V6377,'月1回_1ヶ月前の在庫'!$W$6:$W$10005,$W6377)&gt;0),N(U6376),N(U6376)+1))</f>
        <v/>
      </c>
      <c r="V6377" s="19">
        <f>IF($B6377="","",TEXT($B6377,"0000"))</f>
        <v/>
      </c>
      <c r="W6377" s="19">
        <f>IF($I6377="","",IF(ISNUMBER($I6377),TEXT($I6377,"0"),$I6377))</f>
        <v/>
      </c>
    </row>
    <row r="6378">
      <c r="B6378" s="25" t="n"/>
      <c r="I6378" s="25" t="n"/>
      <c r="U6378" s="19">
        <f>IF($V6378&lt;&gt;'設定'!$C$4,N(U6377),IF(OR(NOT(COUNTIF('商品マスタ'!$B$6:$B$1005,$W6378)=0),COUNTIFS('①在庫を貼る'!$V$6:$V$10005,$V6378,'①在庫を貼る'!$W$6:$W$10005,$W6378)+COUNTIFS('月1回_1ヶ月前の在庫'!$V$6:$V$10005,$V6378,'月1回_1ヶ月前の在庫'!$W$6:$W$10005,$W6378)&gt;0),N(U6377),N(U6377)+1))</f>
        <v/>
      </c>
      <c r="V6378" s="19">
        <f>IF($B6378="","",TEXT($B6378,"0000"))</f>
        <v/>
      </c>
      <c r="W6378" s="19">
        <f>IF($I6378="","",IF(ISNUMBER($I6378),TEXT($I6378,"0"),$I6378))</f>
        <v/>
      </c>
    </row>
    <row r="6379">
      <c r="B6379" s="25" t="n"/>
      <c r="I6379" s="25" t="n"/>
      <c r="U6379" s="19">
        <f>IF($V6379&lt;&gt;'設定'!$C$4,N(U6378),IF(OR(NOT(COUNTIF('商品マスタ'!$B$6:$B$1005,$W6379)=0),COUNTIFS('①在庫を貼る'!$V$6:$V$10005,$V6379,'①在庫を貼る'!$W$6:$W$10005,$W6379)+COUNTIFS('月1回_1ヶ月前の在庫'!$V$6:$V$10005,$V6379,'月1回_1ヶ月前の在庫'!$W$6:$W$10005,$W6379)&gt;0),N(U6378),N(U6378)+1))</f>
        <v/>
      </c>
      <c r="V6379" s="19">
        <f>IF($B6379="","",TEXT($B6379,"0000"))</f>
        <v/>
      </c>
      <c r="W6379" s="19">
        <f>IF($I6379="","",IF(ISNUMBER($I6379),TEXT($I6379,"0"),$I6379))</f>
        <v/>
      </c>
    </row>
    <row r="6380">
      <c r="B6380" s="25" t="n"/>
      <c r="I6380" s="25" t="n"/>
      <c r="U6380" s="19">
        <f>IF($V6380&lt;&gt;'設定'!$C$4,N(U6379),IF(OR(NOT(COUNTIF('商品マスタ'!$B$6:$B$1005,$W6380)=0),COUNTIFS('①在庫を貼る'!$V$6:$V$10005,$V6380,'①在庫を貼る'!$W$6:$W$10005,$W6380)+COUNTIFS('月1回_1ヶ月前の在庫'!$V$6:$V$10005,$V6380,'月1回_1ヶ月前の在庫'!$W$6:$W$10005,$W6380)&gt;0),N(U6379),N(U6379)+1))</f>
        <v/>
      </c>
      <c r="V6380" s="19">
        <f>IF($B6380="","",TEXT($B6380,"0000"))</f>
        <v/>
      </c>
      <c r="W6380" s="19">
        <f>IF($I6380="","",IF(ISNUMBER($I6380),TEXT($I6380,"0"),$I6380))</f>
        <v/>
      </c>
    </row>
    <row r="6381">
      <c r="B6381" s="25" t="n"/>
      <c r="I6381" s="25" t="n"/>
      <c r="U6381" s="19">
        <f>IF($V6381&lt;&gt;'設定'!$C$4,N(U6380),IF(OR(NOT(COUNTIF('商品マスタ'!$B$6:$B$1005,$W6381)=0),COUNTIFS('①在庫を貼る'!$V$6:$V$10005,$V6381,'①在庫を貼る'!$W$6:$W$10005,$W6381)+COUNTIFS('月1回_1ヶ月前の在庫'!$V$6:$V$10005,$V6381,'月1回_1ヶ月前の在庫'!$W$6:$W$10005,$W6381)&gt;0),N(U6380),N(U6380)+1))</f>
        <v/>
      </c>
      <c r="V6381" s="19">
        <f>IF($B6381="","",TEXT($B6381,"0000"))</f>
        <v/>
      </c>
      <c r="W6381" s="19">
        <f>IF($I6381="","",IF(ISNUMBER($I6381),TEXT($I6381,"0"),$I6381))</f>
        <v/>
      </c>
    </row>
    <row r="6382">
      <c r="B6382" s="25" t="n"/>
      <c r="I6382" s="25" t="n"/>
      <c r="U6382" s="19">
        <f>IF($V6382&lt;&gt;'設定'!$C$4,N(U6381),IF(OR(NOT(COUNTIF('商品マスタ'!$B$6:$B$1005,$W6382)=0),COUNTIFS('①在庫を貼る'!$V$6:$V$10005,$V6382,'①在庫を貼る'!$W$6:$W$10005,$W6382)+COUNTIFS('月1回_1ヶ月前の在庫'!$V$6:$V$10005,$V6382,'月1回_1ヶ月前の在庫'!$W$6:$W$10005,$W6382)&gt;0),N(U6381),N(U6381)+1))</f>
        <v/>
      </c>
      <c r="V6382" s="19">
        <f>IF($B6382="","",TEXT($B6382,"0000"))</f>
        <v/>
      </c>
      <c r="W6382" s="19">
        <f>IF($I6382="","",IF(ISNUMBER($I6382),TEXT($I6382,"0"),$I6382))</f>
        <v/>
      </c>
    </row>
    <row r="6383">
      <c r="B6383" s="25" t="n"/>
      <c r="I6383" s="25" t="n"/>
      <c r="U6383" s="19">
        <f>IF($V6383&lt;&gt;'設定'!$C$4,N(U6382),IF(OR(NOT(COUNTIF('商品マスタ'!$B$6:$B$1005,$W6383)=0),COUNTIFS('①在庫を貼る'!$V$6:$V$10005,$V6383,'①在庫を貼る'!$W$6:$W$10005,$W6383)+COUNTIFS('月1回_1ヶ月前の在庫'!$V$6:$V$10005,$V6383,'月1回_1ヶ月前の在庫'!$W$6:$W$10005,$W6383)&gt;0),N(U6382),N(U6382)+1))</f>
        <v/>
      </c>
      <c r="V6383" s="19">
        <f>IF($B6383="","",TEXT($B6383,"0000"))</f>
        <v/>
      </c>
      <c r="W6383" s="19">
        <f>IF($I6383="","",IF(ISNUMBER($I6383),TEXT($I6383,"0"),$I6383))</f>
        <v/>
      </c>
    </row>
    <row r="6384">
      <c r="B6384" s="25" t="n"/>
      <c r="I6384" s="25" t="n"/>
      <c r="U6384" s="19">
        <f>IF($V6384&lt;&gt;'設定'!$C$4,N(U6383),IF(OR(NOT(COUNTIF('商品マスタ'!$B$6:$B$1005,$W6384)=0),COUNTIFS('①在庫を貼る'!$V$6:$V$10005,$V6384,'①在庫を貼る'!$W$6:$W$10005,$W6384)+COUNTIFS('月1回_1ヶ月前の在庫'!$V$6:$V$10005,$V6384,'月1回_1ヶ月前の在庫'!$W$6:$W$10005,$W6384)&gt;0),N(U6383),N(U6383)+1))</f>
        <v/>
      </c>
      <c r="V6384" s="19">
        <f>IF($B6384="","",TEXT($B6384,"0000"))</f>
        <v/>
      </c>
      <c r="W6384" s="19">
        <f>IF($I6384="","",IF(ISNUMBER($I6384),TEXT($I6384,"0"),$I6384))</f>
        <v/>
      </c>
    </row>
    <row r="6385">
      <c r="B6385" s="25" t="n"/>
      <c r="I6385" s="25" t="n"/>
      <c r="U6385" s="19">
        <f>IF($V6385&lt;&gt;'設定'!$C$4,N(U6384),IF(OR(NOT(COUNTIF('商品マスタ'!$B$6:$B$1005,$W6385)=0),COUNTIFS('①在庫を貼る'!$V$6:$V$10005,$V6385,'①在庫を貼る'!$W$6:$W$10005,$W6385)+COUNTIFS('月1回_1ヶ月前の在庫'!$V$6:$V$10005,$V6385,'月1回_1ヶ月前の在庫'!$W$6:$W$10005,$W6385)&gt;0),N(U6384),N(U6384)+1))</f>
        <v/>
      </c>
      <c r="V6385" s="19">
        <f>IF($B6385="","",TEXT($B6385,"0000"))</f>
        <v/>
      </c>
      <c r="W6385" s="19">
        <f>IF($I6385="","",IF(ISNUMBER($I6385),TEXT($I6385,"0"),$I6385))</f>
        <v/>
      </c>
    </row>
    <row r="6386">
      <c r="B6386" s="25" t="n"/>
      <c r="I6386" s="25" t="n"/>
      <c r="U6386" s="19">
        <f>IF($V6386&lt;&gt;'設定'!$C$4,N(U6385),IF(OR(NOT(COUNTIF('商品マスタ'!$B$6:$B$1005,$W6386)=0),COUNTIFS('①在庫を貼る'!$V$6:$V$10005,$V6386,'①在庫を貼る'!$W$6:$W$10005,$W6386)+COUNTIFS('月1回_1ヶ月前の在庫'!$V$6:$V$10005,$V6386,'月1回_1ヶ月前の在庫'!$W$6:$W$10005,$W6386)&gt;0),N(U6385),N(U6385)+1))</f>
        <v/>
      </c>
      <c r="V6386" s="19">
        <f>IF($B6386="","",TEXT($B6386,"0000"))</f>
        <v/>
      </c>
      <c r="W6386" s="19">
        <f>IF($I6386="","",IF(ISNUMBER($I6386),TEXT($I6386,"0"),$I6386))</f>
        <v/>
      </c>
    </row>
    <row r="6387">
      <c r="B6387" s="25" t="n"/>
      <c r="I6387" s="25" t="n"/>
      <c r="U6387" s="19">
        <f>IF($V6387&lt;&gt;'設定'!$C$4,N(U6386),IF(OR(NOT(COUNTIF('商品マスタ'!$B$6:$B$1005,$W6387)=0),COUNTIFS('①在庫を貼る'!$V$6:$V$10005,$V6387,'①在庫を貼る'!$W$6:$W$10005,$W6387)+COUNTIFS('月1回_1ヶ月前の在庫'!$V$6:$V$10005,$V6387,'月1回_1ヶ月前の在庫'!$W$6:$W$10005,$W6387)&gt;0),N(U6386),N(U6386)+1))</f>
        <v/>
      </c>
      <c r="V6387" s="19">
        <f>IF($B6387="","",TEXT($B6387,"0000"))</f>
        <v/>
      </c>
      <c r="W6387" s="19">
        <f>IF($I6387="","",IF(ISNUMBER($I6387),TEXT($I6387,"0"),$I6387))</f>
        <v/>
      </c>
    </row>
    <row r="6388">
      <c r="B6388" s="25" t="n"/>
      <c r="I6388" s="25" t="n"/>
      <c r="U6388" s="19">
        <f>IF($V6388&lt;&gt;'設定'!$C$4,N(U6387),IF(OR(NOT(COUNTIF('商品マスタ'!$B$6:$B$1005,$W6388)=0),COUNTIFS('①在庫を貼る'!$V$6:$V$10005,$V6388,'①在庫を貼る'!$W$6:$W$10005,$W6388)+COUNTIFS('月1回_1ヶ月前の在庫'!$V$6:$V$10005,$V6388,'月1回_1ヶ月前の在庫'!$W$6:$W$10005,$W6388)&gt;0),N(U6387),N(U6387)+1))</f>
        <v/>
      </c>
      <c r="V6388" s="19">
        <f>IF($B6388="","",TEXT($B6388,"0000"))</f>
        <v/>
      </c>
      <c r="W6388" s="19">
        <f>IF($I6388="","",IF(ISNUMBER($I6388),TEXT($I6388,"0"),$I6388))</f>
        <v/>
      </c>
    </row>
    <row r="6389">
      <c r="B6389" s="25" t="n"/>
      <c r="I6389" s="25" t="n"/>
      <c r="U6389" s="19">
        <f>IF($V6389&lt;&gt;'設定'!$C$4,N(U6388),IF(OR(NOT(COUNTIF('商品マスタ'!$B$6:$B$1005,$W6389)=0),COUNTIFS('①在庫を貼る'!$V$6:$V$10005,$V6389,'①在庫を貼る'!$W$6:$W$10005,$W6389)+COUNTIFS('月1回_1ヶ月前の在庫'!$V$6:$V$10005,$V6389,'月1回_1ヶ月前の在庫'!$W$6:$W$10005,$W6389)&gt;0),N(U6388),N(U6388)+1))</f>
        <v/>
      </c>
      <c r="V6389" s="19">
        <f>IF($B6389="","",TEXT($B6389,"0000"))</f>
        <v/>
      </c>
      <c r="W6389" s="19">
        <f>IF($I6389="","",IF(ISNUMBER($I6389),TEXT($I6389,"0"),$I6389))</f>
        <v/>
      </c>
    </row>
    <row r="6390">
      <c r="B6390" s="25" t="n"/>
      <c r="I6390" s="25" t="n"/>
      <c r="U6390" s="19">
        <f>IF($V6390&lt;&gt;'設定'!$C$4,N(U6389),IF(OR(NOT(COUNTIF('商品マスタ'!$B$6:$B$1005,$W6390)=0),COUNTIFS('①在庫を貼る'!$V$6:$V$10005,$V6390,'①在庫を貼る'!$W$6:$W$10005,$W6390)+COUNTIFS('月1回_1ヶ月前の在庫'!$V$6:$V$10005,$V6390,'月1回_1ヶ月前の在庫'!$W$6:$W$10005,$W6390)&gt;0),N(U6389),N(U6389)+1))</f>
        <v/>
      </c>
      <c r="V6390" s="19">
        <f>IF($B6390="","",TEXT($B6390,"0000"))</f>
        <v/>
      </c>
      <c r="W6390" s="19">
        <f>IF($I6390="","",IF(ISNUMBER($I6390),TEXT($I6390,"0"),$I6390))</f>
        <v/>
      </c>
    </row>
    <row r="6391">
      <c r="B6391" s="25" t="n"/>
      <c r="I6391" s="25" t="n"/>
      <c r="U6391" s="19">
        <f>IF($V6391&lt;&gt;'設定'!$C$4,N(U6390),IF(OR(NOT(COUNTIF('商品マスタ'!$B$6:$B$1005,$W6391)=0),COUNTIFS('①在庫を貼る'!$V$6:$V$10005,$V6391,'①在庫を貼る'!$W$6:$W$10005,$W6391)+COUNTIFS('月1回_1ヶ月前の在庫'!$V$6:$V$10005,$V6391,'月1回_1ヶ月前の在庫'!$W$6:$W$10005,$W6391)&gt;0),N(U6390),N(U6390)+1))</f>
        <v/>
      </c>
      <c r="V6391" s="19">
        <f>IF($B6391="","",TEXT($B6391,"0000"))</f>
        <v/>
      </c>
      <c r="W6391" s="19">
        <f>IF($I6391="","",IF(ISNUMBER($I6391),TEXT($I6391,"0"),$I6391))</f>
        <v/>
      </c>
    </row>
    <row r="6392">
      <c r="B6392" s="25" t="n"/>
      <c r="I6392" s="25" t="n"/>
      <c r="U6392" s="19">
        <f>IF($V6392&lt;&gt;'設定'!$C$4,N(U6391),IF(OR(NOT(COUNTIF('商品マスタ'!$B$6:$B$1005,$W6392)=0),COUNTIFS('①在庫を貼る'!$V$6:$V$10005,$V6392,'①在庫を貼る'!$W$6:$W$10005,$W6392)+COUNTIFS('月1回_1ヶ月前の在庫'!$V$6:$V$10005,$V6392,'月1回_1ヶ月前の在庫'!$W$6:$W$10005,$W6392)&gt;0),N(U6391),N(U6391)+1))</f>
        <v/>
      </c>
      <c r="V6392" s="19">
        <f>IF($B6392="","",TEXT($B6392,"0000"))</f>
        <v/>
      </c>
      <c r="W6392" s="19">
        <f>IF($I6392="","",IF(ISNUMBER($I6392),TEXT($I6392,"0"),$I6392))</f>
        <v/>
      </c>
    </row>
    <row r="6393">
      <c r="B6393" s="25" t="n"/>
      <c r="I6393" s="25" t="n"/>
      <c r="U6393" s="19">
        <f>IF($V6393&lt;&gt;'設定'!$C$4,N(U6392),IF(OR(NOT(COUNTIF('商品マスタ'!$B$6:$B$1005,$W6393)=0),COUNTIFS('①在庫を貼る'!$V$6:$V$10005,$V6393,'①在庫を貼る'!$W$6:$W$10005,$W6393)+COUNTIFS('月1回_1ヶ月前の在庫'!$V$6:$V$10005,$V6393,'月1回_1ヶ月前の在庫'!$W$6:$W$10005,$W6393)&gt;0),N(U6392),N(U6392)+1))</f>
        <v/>
      </c>
      <c r="V6393" s="19">
        <f>IF($B6393="","",TEXT($B6393,"0000"))</f>
        <v/>
      </c>
      <c r="W6393" s="19">
        <f>IF($I6393="","",IF(ISNUMBER($I6393),TEXT($I6393,"0"),$I6393))</f>
        <v/>
      </c>
    </row>
    <row r="6394">
      <c r="B6394" s="25" t="n"/>
      <c r="I6394" s="25" t="n"/>
      <c r="U6394" s="19">
        <f>IF($V6394&lt;&gt;'設定'!$C$4,N(U6393),IF(OR(NOT(COUNTIF('商品マスタ'!$B$6:$B$1005,$W6394)=0),COUNTIFS('①在庫を貼る'!$V$6:$V$10005,$V6394,'①在庫を貼る'!$W$6:$W$10005,$W6394)+COUNTIFS('月1回_1ヶ月前の在庫'!$V$6:$V$10005,$V6394,'月1回_1ヶ月前の在庫'!$W$6:$W$10005,$W6394)&gt;0),N(U6393),N(U6393)+1))</f>
        <v/>
      </c>
      <c r="V6394" s="19">
        <f>IF($B6394="","",TEXT($B6394,"0000"))</f>
        <v/>
      </c>
      <c r="W6394" s="19">
        <f>IF($I6394="","",IF(ISNUMBER($I6394),TEXT($I6394,"0"),$I6394))</f>
        <v/>
      </c>
    </row>
    <row r="6395">
      <c r="B6395" s="25" t="n"/>
      <c r="I6395" s="25" t="n"/>
      <c r="U6395" s="19">
        <f>IF($V6395&lt;&gt;'設定'!$C$4,N(U6394),IF(OR(NOT(COUNTIF('商品マスタ'!$B$6:$B$1005,$W6395)=0),COUNTIFS('①在庫を貼る'!$V$6:$V$10005,$V6395,'①在庫を貼る'!$W$6:$W$10005,$W6395)+COUNTIFS('月1回_1ヶ月前の在庫'!$V$6:$V$10005,$V6395,'月1回_1ヶ月前の在庫'!$W$6:$W$10005,$W6395)&gt;0),N(U6394),N(U6394)+1))</f>
        <v/>
      </c>
      <c r="V6395" s="19">
        <f>IF($B6395="","",TEXT($B6395,"0000"))</f>
        <v/>
      </c>
      <c r="W6395" s="19">
        <f>IF($I6395="","",IF(ISNUMBER($I6395),TEXT($I6395,"0"),$I6395))</f>
        <v/>
      </c>
    </row>
    <row r="6396">
      <c r="B6396" s="25" t="n"/>
      <c r="I6396" s="25" t="n"/>
      <c r="U6396" s="19">
        <f>IF($V6396&lt;&gt;'設定'!$C$4,N(U6395),IF(OR(NOT(COUNTIF('商品マスタ'!$B$6:$B$1005,$W6396)=0),COUNTIFS('①在庫を貼る'!$V$6:$V$10005,$V6396,'①在庫を貼る'!$W$6:$W$10005,$W6396)+COUNTIFS('月1回_1ヶ月前の在庫'!$V$6:$V$10005,$V6396,'月1回_1ヶ月前の在庫'!$W$6:$W$10005,$W6396)&gt;0),N(U6395),N(U6395)+1))</f>
        <v/>
      </c>
      <c r="V6396" s="19">
        <f>IF($B6396="","",TEXT($B6396,"0000"))</f>
        <v/>
      </c>
      <c r="W6396" s="19">
        <f>IF($I6396="","",IF(ISNUMBER($I6396),TEXT($I6396,"0"),$I6396))</f>
        <v/>
      </c>
    </row>
    <row r="6397">
      <c r="B6397" s="25" t="n"/>
      <c r="I6397" s="25" t="n"/>
      <c r="U6397" s="19">
        <f>IF($V6397&lt;&gt;'設定'!$C$4,N(U6396),IF(OR(NOT(COUNTIF('商品マスタ'!$B$6:$B$1005,$W6397)=0),COUNTIFS('①在庫を貼る'!$V$6:$V$10005,$V6397,'①在庫を貼る'!$W$6:$W$10005,$W6397)+COUNTIFS('月1回_1ヶ月前の在庫'!$V$6:$V$10005,$V6397,'月1回_1ヶ月前の在庫'!$W$6:$W$10005,$W6397)&gt;0),N(U6396),N(U6396)+1))</f>
        <v/>
      </c>
      <c r="V6397" s="19">
        <f>IF($B6397="","",TEXT($B6397,"0000"))</f>
        <v/>
      </c>
      <c r="W6397" s="19">
        <f>IF($I6397="","",IF(ISNUMBER($I6397),TEXT($I6397,"0"),$I6397))</f>
        <v/>
      </c>
    </row>
    <row r="6398">
      <c r="B6398" s="25" t="n"/>
      <c r="I6398" s="25" t="n"/>
      <c r="U6398" s="19">
        <f>IF($V6398&lt;&gt;'設定'!$C$4,N(U6397),IF(OR(NOT(COUNTIF('商品マスタ'!$B$6:$B$1005,$W6398)=0),COUNTIFS('①在庫を貼る'!$V$6:$V$10005,$V6398,'①在庫を貼る'!$W$6:$W$10005,$W6398)+COUNTIFS('月1回_1ヶ月前の在庫'!$V$6:$V$10005,$V6398,'月1回_1ヶ月前の在庫'!$W$6:$W$10005,$W6398)&gt;0),N(U6397),N(U6397)+1))</f>
        <v/>
      </c>
      <c r="V6398" s="19">
        <f>IF($B6398="","",TEXT($B6398,"0000"))</f>
        <v/>
      </c>
      <c r="W6398" s="19">
        <f>IF($I6398="","",IF(ISNUMBER($I6398),TEXT($I6398,"0"),$I6398))</f>
        <v/>
      </c>
    </row>
    <row r="6399">
      <c r="B6399" s="25" t="n"/>
      <c r="I6399" s="25" t="n"/>
      <c r="U6399" s="19">
        <f>IF($V6399&lt;&gt;'設定'!$C$4,N(U6398),IF(OR(NOT(COUNTIF('商品マスタ'!$B$6:$B$1005,$W6399)=0),COUNTIFS('①在庫を貼る'!$V$6:$V$10005,$V6399,'①在庫を貼る'!$W$6:$W$10005,$W6399)+COUNTIFS('月1回_1ヶ月前の在庫'!$V$6:$V$10005,$V6399,'月1回_1ヶ月前の在庫'!$W$6:$W$10005,$W6399)&gt;0),N(U6398),N(U6398)+1))</f>
        <v/>
      </c>
      <c r="V6399" s="19">
        <f>IF($B6399="","",TEXT($B6399,"0000"))</f>
        <v/>
      </c>
      <c r="W6399" s="19">
        <f>IF($I6399="","",IF(ISNUMBER($I6399),TEXT($I6399,"0"),$I6399))</f>
        <v/>
      </c>
    </row>
    <row r="6400">
      <c r="B6400" s="25" t="n"/>
      <c r="I6400" s="25" t="n"/>
      <c r="U6400" s="19">
        <f>IF($V6400&lt;&gt;'設定'!$C$4,N(U6399),IF(OR(NOT(COUNTIF('商品マスタ'!$B$6:$B$1005,$W6400)=0),COUNTIFS('①在庫を貼る'!$V$6:$V$10005,$V6400,'①在庫を貼る'!$W$6:$W$10005,$W6400)+COUNTIFS('月1回_1ヶ月前の在庫'!$V$6:$V$10005,$V6400,'月1回_1ヶ月前の在庫'!$W$6:$W$10005,$W6400)&gt;0),N(U6399),N(U6399)+1))</f>
        <v/>
      </c>
      <c r="V6400" s="19">
        <f>IF($B6400="","",TEXT($B6400,"0000"))</f>
        <v/>
      </c>
      <c r="W6400" s="19">
        <f>IF($I6400="","",IF(ISNUMBER($I6400),TEXT($I6400,"0"),$I6400))</f>
        <v/>
      </c>
    </row>
    <row r="6401">
      <c r="B6401" s="25" t="n"/>
      <c r="I6401" s="25" t="n"/>
      <c r="U6401" s="19">
        <f>IF($V6401&lt;&gt;'設定'!$C$4,N(U6400),IF(OR(NOT(COUNTIF('商品マスタ'!$B$6:$B$1005,$W6401)=0),COUNTIFS('①在庫を貼る'!$V$6:$V$10005,$V6401,'①在庫を貼る'!$W$6:$W$10005,$W6401)+COUNTIFS('月1回_1ヶ月前の在庫'!$V$6:$V$10005,$V6401,'月1回_1ヶ月前の在庫'!$W$6:$W$10005,$W6401)&gt;0),N(U6400),N(U6400)+1))</f>
        <v/>
      </c>
      <c r="V6401" s="19">
        <f>IF($B6401="","",TEXT($B6401,"0000"))</f>
        <v/>
      </c>
      <c r="W6401" s="19">
        <f>IF($I6401="","",IF(ISNUMBER($I6401),TEXT($I6401,"0"),$I6401))</f>
        <v/>
      </c>
    </row>
    <row r="6402">
      <c r="B6402" s="25" t="n"/>
      <c r="I6402" s="25" t="n"/>
      <c r="U6402" s="19">
        <f>IF($V6402&lt;&gt;'設定'!$C$4,N(U6401),IF(OR(NOT(COUNTIF('商品マスタ'!$B$6:$B$1005,$W6402)=0),COUNTIFS('①在庫を貼る'!$V$6:$V$10005,$V6402,'①在庫を貼る'!$W$6:$W$10005,$W6402)+COUNTIFS('月1回_1ヶ月前の在庫'!$V$6:$V$10005,$V6402,'月1回_1ヶ月前の在庫'!$W$6:$W$10005,$W6402)&gt;0),N(U6401),N(U6401)+1))</f>
        <v/>
      </c>
      <c r="V6402" s="19">
        <f>IF($B6402="","",TEXT($B6402,"0000"))</f>
        <v/>
      </c>
      <c r="W6402" s="19">
        <f>IF($I6402="","",IF(ISNUMBER($I6402),TEXT($I6402,"0"),$I6402))</f>
        <v/>
      </c>
    </row>
    <row r="6403">
      <c r="B6403" s="25" t="n"/>
      <c r="I6403" s="25" t="n"/>
      <c r="U6403" s="19">
        <f>IF($V6403&lt;&gt;'設定'!$C$4,N(U6402),IF(OR(NOT(COUNTIF('商品マスタ'!$B$6:$B$1005,$W6403)=0),COUNTIFS('①在庫を貼る'!$V$6:$V$10005,$V6403,'①在庫を貼る'!$W$6:$W$10005,$W6403)+COUNTIFS('月1回_1ヶ月前の在庫'!$V$6:$V$10005,$V6403,'月1回_1ヶ月前の在庫'!$W$6:$W$10005,$W6403)&gt;0),N(U6402),N(U6402)+1))</f>
        <v/>
      </c>
      <c r="V6403" s="19">
        <f>IF($B6403="","",TEXT($B6403,"0000"))</f>
        <v/>
      </c>
      <c r="W6403" s="19">
        <f>IF($I6403="","",IF(ISNUMBER($I6403),TEXT($I6403,"0"),$I6403))</f>
        <v/>
      </c>
    </row>
    <row r="6404">
      <c r="B6404" s="25" t="n"/>
      <c r="I6404" s="25" t="n"/>
      <c r="U6404" s="19">
        <f>IF($V6404&lt;&gt;'設定'!$C$4,N(U6403),IF(OR(NOT(COUNTIF('商品マスタ'!$B$6:$B$1005,$W6404)=0),COUNTIFS('①在庫を貼る'!$V$6:$V$10005,$V6404,'①在庫を貼る'!$W$6:$W$10005,$W6404)+COUNTIFS('月1回_1ヶ月前の在庫'!$V$6:$V$10005,$V6404,'月1回_1ヶ月前の在庫'!$W$6:$W$10005,$W6404)&gt;0),N(U6403),N(U6403)+1))</f>
        <v/>
      </c>
      <c r="V6404" s="19">
        <f>IF($B6404="","",TEXT($B6404,"0000"))</f>
        <v/>
      </c>
      <c r="W6404" s="19">
        <f>IF($I6404="","",IF(ISNUMBER($I6404),TEXT($I6404,"0"),$I6404))</f>
        <v/>
      </c>
    </row>
    <row r="6405">
      <c r="B6405" s="25" t="n"/>
      <c r="I6405" s="25" t="n"/>
      <c r="U6405" s="19">
        <f>IF($V6405&lt;&gt;'設定'!$C$4,N(U6404),IF(OR(NOT(COUNTIF('商品マスタ'!$B$6:$B$1005,$W6405)=0),COUNTIFS('①在庫を貼る'!$V$6:$V$10005,$V6405,'①在庫を貼る'!$W$6:$W$10005,$W6405)+COUNTIFS('月1回_1ヶ月前の在庫'!$V$6:$V$10005,$V6405,'月1回_1ヶ月前の在庫'!$W$6:$W$10005,$W6405)&gt;0),N(U6404),N(U6404)+1))</f>
        <v/>
      </c>
      <c r="V6405" s="19">
        <f>IF($B6405="","",TEXT($B6405,"0000"))</f>
        <v/>
      </c>
      <c r="W6405" s="19">
        <f>IF($I6405="","",IF(ISNUMBER($I6405),TEXT($I6405,"0"),$I6405))</f>
        <v/>
      </c>
    </row>
    <row r="6406">
      <c r="B6406" s="25" t="n"/>
      <c r="I6406" s="25" t="n"/>
      <c r="U6406" s="19">
        <f>IF($V6406&lt;&gt;'設定'!$C$4,N(U6405),IF(OR(NOT(COUNTIF('商品マスタ'!$B$6:$B$1005,$W6406)=0),COUNTIFS('①在庫を貼る'!$V$6:$V$10005,$V6406,'①在庫を貼る'!$W$6:$W$10005,$W6406)+COUNTIFS('月1回_1ヶ月前の在庫'!$V$6:$V$10005,$V6406,'月1回_1ヶ月前の在庫'!$W$6:$W$10005,$W6406)&gt;0),N(U6405),N(U6405)+1))</f>
        <v/>
      </c>
      <c r="V6406" s="19">
        <f>IF($B6406="","",TEXT($B6406,"0000"))</f>
        <v/>
      </c>
      <c r="W6406" s="19">
        <f>IF($I6406="","",IF(ISNUMBER($I6406),TEXT($I6406,"0"),$I6406))</f>
        <v/>
      </c>
    </row>
    <row r="6407">
      <c r="B6407" s="25" t="n"/>
      <c r="I6407" s="25" t="n"/>
      <c r="U6407" s="19">
        <f>IF($V6407&lt;&gt;'設定'!$C$4,N(U6406),IF(OR(NOT(COUNTIF('商品マスタ'!$B$6:$B$1005,$W6407)=0),COUNTIFS('①在庫を貼る'!$V$6:$V$10005,$V6407,'①在庫を貼る'!$W$6:$W$10005,$W6407)+COUNTIFS('月1回_1ヶ月前の在庫'!$V$6:$V$10005,$V6407,'月1回_1ヶ月前の在庫'!$W$6:$W$10005,$W6407)&gt;0),N(U6406),N(U6406)+1))</f>
        <v/>
      </c>
      <c r="V6407" s="19">
        <f>IF($B6407="","",TEXT($B6407,"0000"))</f>
        <v/>
      </c>
      <c r="W6407" s="19">
        <f>IF($I6407="","",IF(ISNUMBER($I6407),TEXT($I6407,"0"),$I6407))</f>
        <v/>
      </c>
    </row>
    <row r="6408">
      <c r="B6408" s="25" t="n"/>
      <c r="I6408" s="25" t="n"/>
      <c r="U6408" s="19">
        <f>IF($V6408&lt;&gt;'設定'!$C$4,N(U6407),IF(OR(NOT(COUNTIF('商品マスタ'!$B$6:$B$1005,$W6408)=0),COUNTIFS('①在庫を貼る'!$V$6:$V$10005,$V6408,'①在庫を貼る'!$W$6:$W$10005,$W6408)+COUNTIFS('月1回_1ヶ月前の在庫'!$V$6:$V$10005,$V6408,'月1回_1ヶ月前の在庫'!$W$6:$W$10005,$W6408)&gt;0),N(U6407),N(U6407)+1))</f>
        <v/>
      </c>
      <c r="V6408" s="19">
        <f>IF($B6408="","",TEXT($B6408,"0000"))</f>
        <v/>
      </c>
      <c r="W6408" s="19">
        <f>IF($I6408="","",IF(ISNUMBER($I6408),TEXT($I6408,"0"),$I6408))</f>
        <v/>
      </c>
    </row>
    <row r="6409">
      <c r="B6409" s="25" t="n"/>
      <c r="I6409" s="25" t="n"/>
      <c r="U6409" s="19">
        <f>IF($V6409&lt;&gt;'設定'!$C$4,N(U6408),IF(OR(NOT(COUNTIF('商品マスタ'!$B$6:$B$1005,$W6409)=0),COUNTIFS('①在庫を貼る'!$V$6:$V$10005,$V6409,'①在庫を貼る'!$W$6:$W$10005,$W6409)+COUNTIFS('月1回_1ヶ月前の在庫'!$V$6:$V$10005,$V6409,'月1回_1ヶ月前の在庫'!$W$6:$W$10005,$W6409)&gt;0),N(U6408),N(U6408)+1))</f>
        <v/>
      </c>
      <c r="V6409" s="19">
        <f>IF($B6409="","",TEXT($B6409,"0000"))</f>
        <v/>
      </c>
      <c r="W6409" s="19">
        <f>IF($I6409="","",IF(ISNUMBER($I6409),TEXT($I6409,"0"),$I6409))</f>
        <v/>
      </c>
    </row>
    <row r="6410">
      <c r="B6410" s="25" t="n"/>
      <c r="I6410" s="25" t="n"/>
      <c r="U6410" s="19">
        <f>IF($V6410&lt;&gt;'設定'!$C$4,N(U6409),IF(OR(NOT(COUNTIF('商品マスタ'!$B$6:$B$1005,$W6410)=0),COUNTIFS('①在庫を貼る'!$V$6:$V$10005,$V6410,'①在庫を貼る'!$W$6:$W$10005,$W6410)+COUNTIFS('月1回_1ヶ月前の在庫'!$V$6:$V$10005,$V6410,'月1回_1ヶ月前の在庫'!$W$6:$W$10005,$W6410)&gt;0),N(U6409),N(U6409)+1))</f>
        <v/>
      </c>
      <c r="V6410" s="19">
        <f>IF($B6410="","",TEXT($B6410,"0000"))</f>
        <v/>
      </c>
      <c r="W6410" s="19">
        <f>IF($I6410="","",IF(ISNUMBER($I6410),TEXT($I6410,"0"),$I6410))</f>
        <v/>
      </c>
    </row>
    <row r="6411">
      <c r="B6411" s="25" t="n"/>
      <c r="I6411" s="25" t="n"/>
      <c r="U6411" s="19">
        <f>IF($V6411&lt;&gt;'設定'!$C$4,N(U6410),IF(OR(NOT(COUNTIF('商品マスタ'!$B$6:$B$1005,$W6411)=0),COUNTIFS('①在庫を貼る'!$V$6:$V$10005,$V6411,'①在庫を貼る'!$W$6:$W$10005,$W6411)+COUNTIFS('月1回_1ヶ月前の在庫'!$V$6:$V$10005,$V6411,'月1回_1ヶ月前の在庫'!$W$6:$W$10005,$W6411)&gt;0),N(U6410),N(U6410)+1))</f>
        <v/>
      </c>
      <c r="V6411" s="19">
        <f>IF($B6411="","",TEXT($B6411,"0000"))</f>
        <v/>
      </c>
      <c r="W6411" s="19">
        <f>IF($I6411="","",IF(ISNUMBER($I6411),TEXT($I6411,"0"),$I6411))</f>
        <v/>
      </c>
    </row>
    <row r="6412">
      <c r="B6412" s="25" t="n"/>
      <c r="I6412" s="25" t="n"/>
      <c r="U6412" s="19">
        <f>IF($V6412&lt;&gt;'設定'!$C$4,N(U6411),IF(OR(NOT(COUNTIF('商品マスタ'!$B$6:$B$1005,$W6412)=0),COUNTIFS('①在庫を貼る'!$V$6:$V$10005,$V6412,'①在庫を貼る'!$W$6:$W$10005,$W6412)+COUNTIFS('月1回_1ヶ月前の在庫'!$V$6:$V$10005,$V6412,'月1回_1ヶ月前の在庫'!$W$6:$W$10005,$W6412)&gt;0),N(U6411),N(U6411)+1))</f>
        <v/>
      </c>
      <c r="V6412" s="19">
        <f>IF($B6412="","",TEXT($B6412,"0000"))</f>
        <v/>
      </c>
      <c r="W6412" s="19">
        <f>IF($I6412="","",IF(ISNUMBER($I6412),TEXT($I6412,"0"),$I6412))</f>
        <v/>
      </c>
    </row>
    <row r="6413">
      <c r="B6413" s="25" t="n"/>
      <c r="I6413" s="25" t="n"/>
      <c r="U6413" s="19">
        <f>IF($V6413&lt;&gt;'設定'!$C$4,N(U6412),IF(OR(NOT(COUNTIF('商品マスタ'!$B$6:$B$1005,$W6413)=0),COUNTIFS('①在庫を貼る'!$V$6:$V$10005,$V6413,'①在庫を貼る'!$W$6:$W$10005,$W6413)+COUNTIFS('月1回_1ヶ月前の在庫'!$V$6:$V$10005,$V6413,'月1回_1ヶ月前の在庫'!$W$6:$W$10005,$W6413)&gt;0),N(U6412),N(U6412)+1))</f>
        <v/>
      </c>
      <c r="V6413" s="19">
        <f>IF($B6413="","",TEXT($B6413,"0000"))</f>
        <v/>
      </c>
      <c r="W6413" s="19">
        <f>IF($I6413="","",IF(ISNUMBER($I6413),TEXT($I6413,"0"),$I6413))</f>
        <v/>
      </c>
    </row>
    <row r="6414">
      <c r="B6414" s="25" t="n"/>
      <c r="I6414" s="25" t="n"/>
      <c r="U6414" s="19">
        <f>IF($V6414&lt;&gt;'設定'!$C$4,N(U6413),IF(OR(NOT(COUNTIF('商品マスタ'!$B$6:$B$1005,$W6414)=0),COUNTIFS('①在庫を貼る'!$V$6:$V$10005,$V6414,'①在庫を貼る'!$W$6:$W$10005,$W6414)+COUNTIFS('月1回_1ヶ月前の在庫'!$V$6:$V$10005,$V6414,'月1回_1ヶ月前の在庫'!$W$6:$W$10005,$W6414)&gt;0),N(U6413),N(U6413)+1))</f>
        <v/>
      </c>
      <c r="V6414" s="19">
        <f>IF($B6414="","",TEXT($B6414,"0000"))</f>
        <v/>
      </c>
      <c r="W6414" s="19">
        <f>IF($I6414="","",IF(ISNUMBER($I6414),TEXT($I6414,"0"),$I6414))</f>
        <v/>
      </c>
    </row>
    <row r="6415">
      <c r="B6415" s="25" t="n"/>
      <c r="I6415" s="25" t="n"/>
      <c r="U6415" s="19">
        <f>IF($V6415&lt;&gt;'設定'!$C$4,N(U6414),IF(OR(NOT(COUNTIF('商品マスタ'!$B$6:$B$1005,$W6415)=0),COUNTIFS('①在庫を貼る'!$V$6:$V$10005,$V6415,'①在庫を貼る'!$W$6:$W$10005,$W6415)+COUNTIFS('月1回_1ヶ月前の在庫'!$V$6:$V$10005,$V6415,'月1回_1ヶ月前の在庫'!$W$6:$W$10005,$W6415)&gt;0),N(U6414),N(U6414)+1))</f>
        <v/>
      </c>
      <c r="V6415" s="19">
        <f>IF($B6415="","",TEXT($B6415,"0000"))</f>
        <v/>
      </c>
      <c r="W6415" s="19">
        <f>IF($I6415="","",IF(ISNUMBER($I6415),TEXT($I6415,"0"),$I6415))</f>
        <v/>
      </c>
    </row>
    <row r="6416">
      <c r="B6416" s="25" t="n"/>
      <c r="I6416" s="25" t="n"/>
      <c r="U6416" s="19">
        <f>IF($V6416&lt;&gt;'設定'!$C$4,N(U6415),IF(OR(NOT(COUNTIF('商品マスタ'!$B$6:$B$1005,$W6416)=0),COUNTIFS('①在庫を貼る'!$V$6:$V$10005,$V6416,'①在庫を貼る'!$W$6:$W$10005,$W6416)+COUNTIFS('月1回_1ヶ月前の在庫'!$V$6:$V$10005,$V6416,'月1回_1ヶ月前の在庫'!$W$6:$W$10005,$W6416)&gt;0),N(U6415),N(U6415)+1))</f>
        <v/>
      </c>
      <c r="V6416" s="19">
        <f>IF($B6416="","",TEXT($B6416,"0000"))</f>
        <v/>
      </c>
      <c r="W6416" s="19">
        <f>IF($I6416="","",IF(ISNUMBER($I6416),TEXT($I6416,"0"),$I6416))</f>
        <v/>
      </c>
    </row>
    <row r="6417">
      <c r="B6417" s="25" t="n"/>
      <c r="I6417" s="25" t="n"/>
      <c r="U6417" s="19">
        <f>IF($V6417&lt;&gt;'設定'!$C$4,N(U6416),IF(OR(NOT(COUNTIF('商品マスタ'!$B$6:$B$1005,$W6417)=0),COUNTIFS('①在庫を貼る'!$V$6:$V$10005,$V6417,'①在庫を貼る'!$W$6:$W$10005,$W6417)+COUNTIFS('月1回_1ヶ月前の在庫'!$V$6:$V$10005,$V6417,'月1回_1ヶ月前の在庫'!$W$6:$W$10005,$W6417)&gt;0),N(U6416),N(U6416)+1))</f>
        <v/>
      </c>
      <c r="V6417" s="19">
        <f>IF($B6417="","",TEXT($B6417,"0000"))</f>
        <v/>
      </c>
      <c r="W6417" s="19">
        <f>IF($I6417="","",IF(ISNUMBER($I6417),TEXT($I6417,"0"),$I6417))</f>
        <v/>
      </c>
    </row>
    <row r="6418">
      <c r="B6418" s="25" t="n"/>
      <c r="I6418" s="25" t="n"/>
      <c r="U6418" s="19">
        <f>IF($V6418&lt;&gt;'設定'!$C$4,N(U6417),IF(OR(NOT(COUNTIF('商品マスタ'!$B$6:$B$1005,$W6418)=0),COUNTIFS('①在庫を貼る'!$V$6:$V$10005,$V6418,'①在庫を貼る'!$W$6:$W$10005,$W6418)+COUNTIFS('月1回_1ヶ月前の在庫'!$V$6:$V$10005,$V6418,'月1回_1ヶ月前の在庫'!$W$6:$W$10005,$W6418)&gt;0),N(U6417),N(U6417)+1))</f>
        <v/>
      </c>
      <c r="V6418" s="19">
        <f>IF($B6418="","",TEXT($B6418,"0000"))</f>
        <v/>
      </c>
      <c r="W6418" s="19">
        <f>IF($I6418="","",IF(ISNUMBER($I6418),TEXT($I6418,"0"),$I6418))</f>
        <v/>
      </c>
    </row>
    <row r="6419">
      <c r="B6419" s="25" t="n"/>
      <c r="I6419" s="25" t="n"/>
      <c r="U6419" s="19">
        <f>IF($V6419&lt;&gt;'設定'!$C$4,N(U6418),IF(OR(NOT(COUNTIF('商品マスタ'!$B$6:$B$1005,$W6419)=0),COUNTIFS('①在庫を貼る'!$V$6:$V$10005,$V6419,'①在庫を貼る'!$W$6:$W$10005,$W6419)+COUNTIFS('月1回_1ヶ月前の在庫'!$V$6:$V$10005,$V6419,'月1回_1ヶ月前の在庫'!$W$6:$W$10005,$W6419)&gt;0),N(U6418),N(U6418)+1))</f>
        <v/>
      </c>
      <c r="V6419" s="19">
        <f>IF($B6419="","",TEXT($B6419,"0000"))</f>
        <v/>
      </c>
      <c r="W6419" s="19">
        <f>IF($I6419="","",IF(ISNUMBER($I6419),TEXT($I6419,"0"),$I6419))</f>
        <v/>
      </c>
    </row>
    <row r="6420">
      <c r="B6420" s="25" t="n"/>
      <c r="I6420" s="25" t="n"/>
      <c r="U6420" s="19">
        <f>IF($V6420&lt;&gt;'設定'!$C$4,N(U6419),IF(OR(NOT(COUNTIF('商品マスタ'!$B$6:$B$1005,$W6420)=0),COUNTIFS('①在庫を貼る'!$V$6:$V$10005,$V6420,'①在庫を貼る'!$W$6:$W$10005,$W6420)+COUNTIFS('月1回_1ヶ月前の在庫'!$V$6:$V$10005,$V6420,'月1回_1ヶ月前の在庫'!$W$6:$W$10005,$W6420)&gt;0),N(U6419),N(U6419)+1))</f>
        <v/>
      </c>
      <c r="V6420" s="19">
        <f>IF($B6420="","",TEXT($B6420,"0000"))</f>
        <v/>
      </c>
      <c r="W6420" s="19">
        <f>IF($I6420="","",IF(ISNUMBER($I6420),TEXT($I6420,"0"),$I6420))</f>
        <v/>
      </c>
    </row>
    <row r="6421">
      <c r="B6421" s="25" t="n"/>
      <c r="I6421" s="25" t="n"/>
      <c r="U6421" s="19">
        <f>IF($V6421&lt;&gt;'設定'!$C$4,N(U6420),IF(OR(NOT(COUNTIF('商品マスタ'!$B$6:$B$1005,$W6421)=0),COUNTIFS('①在庫を貼る'!$V$6:$V$10005,$V6421,'①在庫を貼る'!$W$6:$W$10005,$W6421)+COUNTIFS('月1回_1ヶ月前の在庫'!$V$6:$V$10005,$V6421,'月1回_1ヶ月前の在庫'!$W$6:$W$10005,$W6421)&gt;0),N(U6420),N(U6420)+1))</f>
        <v/>
      </c>
      <c r="V6421" s="19">
        <f>IF($B6421="","",TEXT($B6421,"0000"))</f>
        <v/>
      </c>
      <c r="W6421" s="19">
        <f>IF($I6421="","",IF(ISNUMBER($I6421),TEXT($I6421,"0"),$I6421))</f>
        <v/>
      </c>
    </row>
    <row r="6422">
      <c r="B6422" s="25" t="n"/>
      <c r="I6422" s="25" t="n"/>
      <c r="U6422" s="19">
        <f>IF($V6422&lt;&gt;'設定'!$C$4,N(U6421),IF(OR(NOT(COUNTIF('商品マスタ'!$B$6:$B$1005,$W6422)=0),COUNTIFS('①在庫を貼る'!$V$6:$V$10005,$V6422,'①在庫を貼る'!$W$6:$W$10005,$W6422)+COUNTIFS('月1回_1ヶ月前の在庫'!$V$6:$V$10005,$V6422,'月1回_1ヶ月前の在庫'!$W$6:$W$10005,$W6422)&gt;0),N(U6421),N(U6421)+1))</f>
        <v/>
      </c>
      <c r="V6422" s="19">
        <f>IF($B6422="","",TEXT($B6422,"0000"))</f>
        <v/>
      </c>
      <c r="W6422" s="19">
        <f>IF($I6422="","",IF(ISNUMBER($I6422),TEXT($I6422,"0"),$I6422))</f>
        <v/>
      </c>
    </row>
    <row r="6423">
      <c r="B6423" s="25" t="n"/>
      <c r="I6423" s="25" t="n"/>
      <c r="U6423" s="19">
        <f>IF($V6423&lt;&gt;'設定'!$C$4,N(U6422),IF(OR(NOT(COUNTIF('商品マスタ'!$B$6:$B$1005,$W6423)=0),COUNTIFS('①在庫を貼る'!$V$6:$V$10005,$V6423,'①在庫を貼る'!$W$6:$W$10005,$W6423)+COUNTIFS('月1回_1ヶ月前の在庫'!$V$6:$V$10005,$V6423,'月1回_1ヶ月前の在庫'!$W$6:$W$10005,$W6423)&gt;0),N(U6422),N(U6422)+1))</f>
        <v/>
      </c>
      <c r="V6423" s="19">
        <f>IF($B6423="","",TEXT($B6423,"0000"))</f>
        <v/>
      </c>
      <c r="W6423" s="19">
        <f>IF($I6423="","",IF(ISNUMBER($I6423),TEXT($I6423,"0"),$I6423))</f>
        <v/>
      </c>
    </row>
    <row r="6424">
      <c r="B6424" s="25" t="n"/>
      <c r="I6424" s="25" t="n"/>
      <c r="U6424" s="19">
        <f>IF($V6424&lt;&gt;'設定'!$C$4,N(U6423),IF(OR(NOT(COUNTIF('商品マスタ'!$B$6:$B$1005,$W6424)=0),COUNTIFS('①在庫を貼る'!$V$6:$V$10005,$V6424,'①在庫を貼る'!$W$6:$W$10005,$W6424)+COUNTIFS('月1回_1ヶ月前の在庫'!$V$6:$V$10005,$V6424,'月1回_1ヶ月前の在庫'!$W$6:$W$10005,$W6424)&gt;0),N(U6423),N(U6423)+1))</f>
        <v/>
      </c>
      <c r="V6424" s="19">
        <f>IF($B6424="","",TEXT($B6424,"0000"))</f>
        <v/>
      </c>
      <c r="W6424" s="19">
        <f>IF($I6424="","",IF(ISNUMBER($I6424),TEXT($I6424,"0"),$I6424))</f>
        <v/>
      </c>
    </row>
    <row r="6425">
      <c r="B6425" s="25" t="n"/>
      <c r="I6425" s="25" t="n"/>
      <c r="U6425" s="19">
        <f>IF($V6425&lt;&gt;'設定'!$C$4,N(U6424),IF(OR(NOT(COUNTIF('商品マスタ'!$B$6:$B$1005,$W6425)=0),COUNTIFS('①在庫を貼る'!$V$6:$V$10005,$V6425,'①在庫を貼る'!$W$6:$W$10005,$W6425)+COUNTIFS('月1回_1ヶ月前の在庫'!$V$6:$V$10005,$V6425,'月1回_1ヶ月前の在庫'!$W$6:$W$10005,$W6425)&gt;0),N(U6424),N(U6424)+1))</f>
        <v/>
      </c>
      <c r="V6425" s="19">
        <f>IF($B6425="","",TEXT($B6425,"0000"))</f>
        <v/>
      </c>
      <c r="W6425" s="19">
        <f>IF($I6425="","",IF(ISNUMBER($I6425),TEXT($I6425,"0"),$I6425))</f>
        <v/>
      </c>
    </row>
    <row r="6426">
      <c r="B6426" s="25" t="n"/>
      <c r="I6426" s="25" t="n"/>
      <c r="U6426" s="19">
        <f>IF($V6426&lt;&gt;'設定'!$C$4,N(U6425),IF(OR(NOT(COUNTIF('商品マスタ'!$B$6:$B$1005,$W6426)=0),COUNTIFS('①在庫を貼る'!$V$6:$V$10005,$V6426,'①在庫を貼る'!$W$6:$W$10005,$W6426)+COUNTIFS('月1回_1ヶ月前の在庫'!$V$6:$V$10005,$V6426,'月1回_1ヶ月前の在庫'!$W$6:$W$10005,$W6426)&gt;0),N(U6425),N(U6425)+1))</f>
        <v/>
      </c>
      <c r="V6426" s="19">
        <f>IF($B6426="","",TEXT($B6426,"0000"))</f>
        <v/>
      </c>
      <c r="W6426" s="19">
        <f>IF($I6426="","",IF(ISNUMBER($I6426),TEXT($I6426,"0"),$I6426))</f>
        <v/>
      </c>
    </row>
    <row r="6427">
      <c r="B6427" s="25" t="n"/>
      <c r="I6427" s="25" t="n"/>
      <c r="U6427" s="19">
        <f>IF($V6427&lt;&gt;'設定'!$C$4,N(U6426),IF(OR(NOT(COUNTIF('商品マスタ'!$B$6:$B$1005,$W6427)=0),COUNTIFS('①在庫を貼る'!$V$6:$V$10005,$V6427,'①在庫を貼る'!$W$6:$W$10005,$W6427)+COUNTIFS('月1回_1ヶ月前の在庫'!$V$6:$V$10005,$V6427,'月1回_1ヶ月前の在庫'!$W$6:$W$10005,$W6427)&gt;0),N(U6426),N(U6426)+1))</f>
        <v/>
      </c>
      <c r="V6427" s="19">
        <f>IF($B6427="","",TEXT($B6427,"0000"))</f>
        <v/>
      </c>
      <c r="W6427" s="19">
        <f>IF($I6427="","",IF(ISNUMBER($I6427),TEXT($I6427,"0"),$I6427))</f>
        <v/>
      </c>
    </row>
    <row r="6428">
      <c r="B6428" s="25" t="n"/>
      <c r="I6428" s="25" t="n"/>
      <c r="U6428" s="19">
        <f>IF($V6428&lt;&gt;'設定'!$C$4,N(U6427),IF(OR(NOT(COUNTIF('商品マスタ'!$B$6:$B$1005,$W6428)=0),COUNTIFS('①在庫を貼る'!$V$6:$V$10005,$V6428,'①在庫を貼る'!$W$6:$W$10005,$W6428)+COUNTIFS('月1回_1ヶ月前の在庫'!$V$6:$V$10005,$V6428,'月1回_1ヶ月前の在庫'!$W$6:$W$10005,$W6428)&gt;0),N(U6427),N(U6427)+1))</f>
        <v/>
      </c>
      <c r="V6428" s="19">
        <f>IF($B6428="","",TEXT($B6428,"0000"))</f>
        <v/>
      </c>
      <c r="W6428" s="19">
        <f>IF($I6428="","",IF(ISNUMBER($I6428),TEXT($I6428,"0"),$I6428))</f>
        <v/>
      </c>
    </row>
    <row r="6429">
      <c r="B6429" s="25" t="n"/>
      <c r="I6429" s="25" t="n"/>
      <c r="U6429" s="19">
        <f>IF($V6429&lt;&gt;'設定'!$C$4,N(U6428),IF(OR(NOT(COUNTIF('商品マスタ'!$B$6:$B$1005,$W6429)=0),COUNTIFS('①在庫を貼る'!$V$6:$V$10005,$V6429,'①在庫を貼る'!$W$6:$W$10005,$W6429)+COUNTIFS('月1回_1ヶ月前の在庫'!$V$6:$V$10005,$V6429,'月1回_1ヶ月前の在庫'!$W$6:$W$10005,$W6429)&gt;0),N(U6428),N(U6428)+1))</f>
        <v/>
      </c>
      <c r="V6429" s="19">
        <f>IF($B6429="","",TEXT($B6429,"0000"))</f>
        <v/>
      </c>
      <c r="W6429" s="19">
        <f>IF($I6429="","",IF(ISNUMBER($I6429),TEXT($I6429,"0"),$I6429))</f>
        <v/>
      </c>
    </row>
    <row r="6430">
      <c r="B6430" s="25" t="n"/>
      <c r="I6430" s="25" t="n"/>
      <c r="U6430" s="19">
        <f>IF($V6430&lt;&gt;'設定'!$C$4,N(U6429),IF(OR(NOT(COUNTIF('商品マスタ'!$B$6:$B$1005,$W6430)=0),COUNTIFS('①在庫を貼る'!$V$6:$V$10005,$V6430,'①在庫を貼る'!$W$6:$W$10005,$W6430)+COUNTIFS('月1回_1ヶ月前の在庫'!$V$6:$V$10005,$V6430,'月1回_1ヶ月前の在庫'!$W$6:$W$10005,$W6430)&gt;0),N(U6429),N(U6429)+1))</f>
        <v/>
      </c>
      <c r="V6430" s="19">
        <f>IF($B6430="","",TEXT($B6430,"0000"))</f>
        <v/>
      </c>
      <c r="W6430" s="19">
        <f>IF($I6430="","",IF(ISNUMBER($I6430),TEXT($I6430,"0"),$I6430))</f>
        <v/>
      </c>
    </row>
    <row r="6431">
      <c r="B6431" s="25" t="n"/>
      <c r="I6431" s="25" t="n"/>
      <c r="U6431" s="19">
        <f>IF($V6431&lt;&gt;'設定'!$C$4,N(U6430),IF(OR(NOT(COUNTIF('商品マスタ'!$B$6:$B$1005,$W6431)=0),COUNTIFS('①在庫を貼る'!$V$6:$V$10005,$V6431,'①在庫を貼る'!$W$6:$W$10005,$W6431)+COUNTIFS('月1回_1ヶ月前の在庫'!$V$6:$V$10005,$V6431,'月1回_1ヶ月前の在庫'!$W$6:$W$10005,$W6431)&gt;0),N(U6430),N(U6430)+1))</f>
        <v/>
      </c>
      <c r="V6431" s="19">
        <f>IF($B6431="","",TEXT($B6431,"0000"))</f>
        <v/>
      </c>
      <c r="W6431" s="19">
        <f>IF($I6431="","",IF(ISNUMBER($I6431),TEXT($I6431,"0"),$I6431))</f>
        <v/>
      </c>
    </row>
    <row r="6432">
      <c r="B6432" s="25" t="n"/>
      <c r="I6432" s="25" t="n"/>
      <c r="U6432" s="19">
        <f>IF($V6432&lt;&gt;'設定'!$C$4,N(U6431),IF(OR(NOT(COUNTIF('商品マスタ'!$B$6:$B$1005,$W6432)=0),COUNTIFS('①在庫を貼る'!$V$6:$V$10005,$V6432,'①在庫を貼る'!$W$6:$W$10005,$W6432)+COUNTIFS('月1回_1ヶ月前の在庫'!$V$6:$V$10005,$V6432,'月1回_1ヶ月前の在庫'!$W$6:$W$10005,$W6432)&gt;0),N(U6431),N(U6431)+1))</f>
        <v/>
      </c>
      <c r="V6432" s="19">
        <f>IF($B6432="","",TEXT($B6432,"0000"))</f>
        <v/>
      </c>
      <c r="W6432" s="19">
        <f>IF($I6432="","",IF(ISNUMBER($I6432),TEXT($I6432,"0"),$I6432))</f>
        <v/>
      </c>
    </row>
    <row r="6433">
      <c r="B6433" s="25" t="n"/>
      <c r="I6433" s="25" t="n"/>
      <c r="U6433" s="19">
        <f>IF($V6433&lt;&gt;'設定'!$C$4,N(U6432),IF(OR(NOT(COUNTIF('商品マスタ'!$B$6:$B$1005,$W6433)=0),COUNTIFS('①在庫を貼る'!$V$6:$V$10005,$V6433,'①在庫を貼る'!$W$6:$W$10005,$W6433)+COUNTIFS('月1回_1ヶ月前の在庫'!$V$6:$V$10005,$V6433,'月1回_1ヶ月前の在庫'!$W$6:$W$10005,$W6433)&gt;0),N(U6432),N(U6432)+1))</f>
        <v/>
      </c>
      <c r="V6433" s="19">
        <f>IF($B6433="","",TEXT($B6433,"0000"))</f>
        <v/>
      </c>
      <c r="W6433" s="19">
        <f>IF($I6433="","",IF(ISNUMBER($I6433),TEXT($I6433,"0"),$I6433))</f>
        <v/>
      </c>
    </row>
    <row r="6434">
      <c r="B6434" s="25" t="n"/>
      <c r="I6434" s="25" t="n"/>
      <c r="U6434" s="19">
        <f>IF($V6434&lt;&gt;'設定'!$C$4,N(U6433),IF(OR(NOT(COUNTIF('商品マスタ'!$B$6:$B$1005,$W6434)=0),COUNTIFS('①在庫を貼る'!$V$6:$V$10005,$V6434,'①在庫を貼る'!$W$6:$W$10005,$W6434)+COUNTIFS('月1回_1ヶ月前の在庫'!$V$6:$V$10005,$V6434,'月1回_1ヶ月前の在庫'!$W$6:$W$10005,$W6434)&gt;0),N(U6433),N(U6433)+1))</f>
        <v/>
      </c>
      <c r="V6434" s="19">
        <f>IF($B6434="","",TEXT($B6434,"0000"))</f>
        <v/>
      </c>
      <c r="W6434" s="19">
        <f>IF($I6434="","",IF(ISNUMBER($I6434),TEXT($I6434,"0"),$I6434))</f>
        <v/>
      </c>
    </row>
    <row r="6435">
      <c r="B6435" s="25" t="n"/>
      <c r="I6435" s="25" t="n"/>
      <c r="U6435" s="19">
        <f>IF($V6435&lt;&gt;'設定'!$C$4,N(U6434),IF(OR(NOT(COUNTIF('商品マスタ'!$B$6:$B$1005,$W6435)=0),COUNTIFS('①在庫を貼る'!$V$6:$V$10005,$V6435,'①在庫を貼る'!$W$6:$W$10005,$W6435)+COUNTIFS('月1回_1ヶ月前の在庫'!$V$6:$V$10005,$V6435,'月1回_1ヶ月前の在庫'!$W$6:$W$10005,$W6435)&gt;0),N(U6434),N(U6434)+1))</f>
        <v/>
      </c>
      <c r="V6435" s="19">
        <f>IF($B6435="","",TEXT($B6435,"0000"))</f>
        <v/>
      </c>
      <c r="W6435" s="19">
        <f>IF($I6435="","",IF(ISNUMBER($I6435),TEXT($I6435,"0"),$I6435))</f>
        <v/>
      </c>
    </row>
    <row r="6436">
      <c r="B6436" s="25" t="n"/>
      <c r="I6436" s="25" t="n"/>
      <c r="U6436" s="19">
        <f>IF($V6436&lt;&gt;'設定'!$C$4,N(U6435),IF(OR(NOT(COUNTIF('商品マスタ'!$B$6:$B$1005,$W6436)=0),COUNTIFS('①在庫を貼る'!$V$6:$V$10005,$V6436,'①在庫を貼る'!$W$6:$W$10005,$W6436)+COUNTIFS('月1回_1ヶ月前の在庫'!$V$6:$V$10005,$V6436,'月1回_1ヶ月前の在庫'!$W$6:$W$10005,$W6436)&gt;0),N(U6435),N(U6435)+1))</f>
        <v/>
      </c>
      <c r="V6436" s="19">
        <f>IF($B6436="","",TEXT($B6436,"0000"))</f>
        <v/>
      </c>
      <c r="W6436" s="19">
        <f>IF($I6436="","",IF(ISNUMBER($I6436),TEXT($I6436,"0"),$I6436))</f>
        <v/>
      </c>
    </row>
    <row r="6437">
      <c r="B6437" s="25" t="n"/>
      <c r="I6437" s="25" t="n"/>
      <c r="U6437" s="19">
        <f>IF($V6437&lt;&gt;'設定'!$C$4,N(U6436),IF(OR(NOT(COUNTIF('商品マスタ'!$B$6:$B$1005,$W6437)=0),COUNTIFS('①在庫を貼る'!$V$6:$V$10005,$V6437,'①在庫を貼る'!$W$6:$W$10005,$W6437)+COUNTIFS('月1回_1ヶ月前の在庫'!$V$6:$V$10005,$V6437,'月1回_1ヶ月前の在庫'!$W$6:$W$10005,$W6437)&gt;0),N(U6436),N(U6436)+1))</f>
        <v/>
      </c>
      <c r="V6437" s="19">
        <f>IF($B6437="","",TEXT($B6437,"0000"))</f>
        <v/>
      </c>
      <c r="W6437" s="19">
        <f>IF($I6437="","",IF(ISNUMBER($I6437),TEXT($I6437,"0"),$I6437))</f>
        <v/>
      </c>
    </row>
    <row r="6438">
      <c r="B6438" s="25" t="n"/>
      <c r="I6438" s="25" t="n"/>
      <c r="U6438" s="19">
        <f>IF($V6438&lt;&gt;'設定'!$C$4,N(U6437),IF(OR(NOT(COUNTIF('商品マスタ'!$B$6:$B$1005,$W6438)=0),COUNTIFS('①在庫を貼る'!$V$6:$V$10005,$V6438,'①在庫を貼る'!$W$6:$W$10005,$W6438)+COUNTIFS('月1回_1ヶ月前の在庫'!$V$6:$V$10005,$V6438,'月1回_1ヶ月前の在庫'!$W$6:$W$10005,$W6438)&gt;0),N(U6437),N(U6437)+1))</f>
        <v/>
      </c>
      <c r="V6438" s="19">
        <f>IF($B6438="","",TEXT($B6438,"0000"))</f>
        <v/>
      </c>
      <c r="W6438" s="19">
        <f>IF($I6438="","",IF(ISNUMBER($I6438),TEXT($I6438,"0"),$I6438))</f>
        <v/>
      </c>
    </row>
    <row r="6439">
      <c r="B6439" s="25" t="n"/>
      <c r="I6439" s="25" t="n"/>
      <c r="U6439" s="19">
        <f>IF($V6439&lt;&gt;'設定'!$C$4,N(U6438),IF(OR(NOT(COUNTIF('商品マスタ'!$B$6:$B$1005,$W6439)=0),COUNTIFS('①在庫を貼る'!$V$6:$V$10005,$V6439,'①在庫を貼る'!$W$6:$W$10005,$W6439)+COUNTIFS('月1回_1ヶ月前の在庫'!$V$6:$V$10005,$V6439,'月1回_1ヶ月前の在庫'!$W$6:$W$10005,$W6439)&gt;0),N(U6438),N(U6438)+1))</f>
        <v/>
      </c>
      <c r="V6439" s="19">
        <f>IF($B6439="","",TEXT($B6439,"0000"))</f>
        <v/>
      </c>
      <c r="W6439" s="19">
        <f>IF($I6439="","",IF(ISNUMBER($I6439),TEXT($I6439,"0"),$I6439))</f>
        <v/>
      </c>
    </row>
    <row r="6440">
      <c r="B6440" s="25" t="n"/>
      <c r="I6440" s="25" t="n"/>
      <c r="U6440" s="19">
        <f>IF($V6440&lt;&gt;'設定'!$C$4,N(U6439),IF(OR(NOT(COUNTIF('商品マスタ'!$B$6:$B$1005,$W6440)=0),COUNTIFS('①在庫を貼る'!$V$6:$V$10005,$V6440,'①在庫を貼る'!$W$6:$W$10005,$W6440)+COUNTIFS('月1回_1ヶ月前の在庫'!$V$6:$V$10005,$V6440,'月1回_1ヶ月前の在庫'!$W$6:$W$10005,$W6440)&gt;0),N(U6439),N(U6439)+1))</f>
        <v/>
      </c>
      <c r="V6440" s="19">
        <f>IF($B6440="","",TEXT($B6440,"0000"))</f>
        <v/>
      </c>
      <c r="W6440" s="19">
        <f>IF($I6440="","",IF(ISNUMBER($I6440),TEXT($I6440,"0"),$I6440))</f>
        <v/>
      </c>
    </row>
    <row r="6441">
      <c r="B6441" s="25" t="n"/>
      <c r="I6441" s="25" t="n"/>
      <c r="U6441" s="19">
        <f>IF($V6441&lt;&gt;'設定'!$C$4,N(U6440),IF(OR(NOT(COUNTIF('商品マスタ'!$B$6:$B$1005,$W6441)=0),COUNTIFS('①在庫を貼る'!$V$6:$V$10005,$V6441,'①在庫を貼る'!$W$6:$W$10005,$W6441)+COUNTIFS('月1回_1ヶ月前の在庫'!$V$6:$V$10005,$V6441,'月1回_1ヶ月前の在庫'!$W$6:$W$10005,$W6441)&gt;0),N(U6440),N(U6440)+1))</f>
        <v/>
      </c>
      <c r="V6441" s="19">
        <f>IF($B6441="","",TEXT($B6441,"0000"))</f>
        <v/>
      </c>
      <c r="W6441" s="19">
        <f>IF($I6441="","",IF(ISNUMBER($I6441),TEXT($I6441,"0"),$I6441))</f>
        <v/>
      </c>
    </row>
    <row r="6442">
      <c r="B6442" s="25" t="n"/>
      <c r="I6442" s="25" t="n"/>
      <c r="U6442" s="19">
        <f>IF($V6442&lt;&gt;'設定'!$C$4,N(U6441),IF(OR(NOT(COUNTIF('商品マスタ'!$B$6:$B$1005,$W6442)=0),COUNTIFS('①在庫を貼る'!$V$6:$V$10005,$V6442,'①在庫を貼る'!$W$6:$W$10005,$W6442)+COUNTIFS('月1回_1ヶ月前の在庫'!$V$6:$V$10005,$V6442,'月1回_1ヶ月前の在庫'!$W$6:$W$10005,$W6442)&gt;0),N(U6441),N(U6441)+1))</f>
        <v/>
      </c>
      <c r="V6442" s="19">
        <f>IF($B6442="","",TEXT($B6442,"0000"))</f>
        <v/>
      </c>
      <c r="W6442" s="19">
        <f>IF($I6442="","",IF(ISNUMBER($I6442),TEXT($I6442,"0"),$I6442))</f>
        <v/>
      </c>
    </row>
    <row r="6443">
      <c r="B6443" s="25" t="n"/>
      <c r="I6443" s="25" t="n"/>
      <c r="U6443" s="19">
        <f>IF($V6443&lt;&gt;'設定'!$C$4,N(U6442),IF(OR(NOT(COUNTIF('商品マスタ'!$B$6:$B$1005,$W6443)=0),COUNTIFS('①在庫を貼る'!$V$6:$V$10005,$V6443,'①在庫を貼る'!$W$6:$W$10005,$W6443)+COUNTIFS('月1回_1ヶ月前の在庫'!$V$6:$V$10005,$V6443,'月1回_1ヶ月前の在庫'!$W$6:$W$10005,$W6443)&gt;0),N(U6442),N(U6442)+1))</f>
        <v/>
      </c>
      <c r="V6443" s="19">
        <f>IF($B6443="","",TEXT($B6443,"0000"))</f>
        <v/>
      </c>
      <c r="W6443" s="19">
        <f>IF($I6443="","",IF(ISNUMBER($I6443),TEXT($I6443,"0"),$I6443))</f>
        <v/>
      </c>
    </row>
    <row r="6444">
      <c r="B6444" s="25" t="n"/>
      <c r="I6444" s="25" t="n"/>
      <c r="U6444" s="19">
        <f>IF($V6444&lt;&gt;'設定'!$C$4,N(U6443),IF(OR(NOT(COUNTIF('商品マスタ'!$B$6:$B$1005,$W6444)=0),COUNTIFS('①在庫を貼る'!$V$6:$V$10005,$V6444,'①在庫を貼る'!$W$6:$W$10005,$W6444)+COUNTIFS('月1回_1ヶ月前の在庫'!$V$6:$V$10005,$V6444,'月1回_1ヶ月前の在庫'!$W$6:$W$10005,$W6444)&gt;0),N(U6443),N(U6443)+1))</f>
        <v/>
      </c>
      <c r="V6444" s="19">
        <f>IF($B6444="","",TEXT($B6444,"0000"))</f>
        <v/>
      </c>
      <c r="W6444" s="19">
        <f>IF($I6444="","",IF(ISNUMBER($I6444),TEXT($I6444,"0"),$I6444))</f>
        <v/>
      </c>
    </row>
    <row r="6445">
      <c r="B6445" s="25" t="n"/>
      <c r="I6445" s="25" t="n"/>
      <c r="U6445" s="19">
        <f>IF($V6445&lt;&gt;'設定'!$C$4,N(U6444),IF(OR(NOT(COUNTIF('商品マスタ'!$B$6:$B$1005,$W6445)=0),COUNTIFS('①在庫を貼る'!$V$6:$V$10005,$V6445,'①在庫を貼る'!$W$6:$W$10005,$W6445)+COUNTIFS('月1回_1ヶ月前の在庫'!$V$6:$V$10005,$V6445,'月1回_1ヶ月前の在庫'!$W$6:$W$10005,$W6445)&gt;0),N(U6444),N(U6444)+1))</f>
        <v/>
      </c>
      <c r="V6445" s="19">
        <f>IF($B6445="","",TEXT($B6445,"0000"))</f>
        <v/>
      </c>
      <c r="W6445" s="19">
        <f>IF($I6445="","",IF(ISNUMBER($I6445),TEXT($I6445,"0"),$I6445))</f>
        <v/>
      </c>
    </row>
    <row r="6446">
      <c r="B6446" s="25" t="n"/>
      <c r="I6446" s="25" t="n"/>
      <c r="U6446" s="19">
        <f>IF($V6446&lt;&gt;'設定'!$C$4,N(U6445),IF(OR(NOT(COUNTIF('商品マスタ'!$B$6:$B$1005,$W6446)=0),COUNTIFS('①在庫を貼る'!$V$6:$V$10005,$V6446,'①在庫を貼る'!$W$6:$W$10005,$W6446)+COUNTIFS('月1回_1ヶ月前の在庫'!$V$6:$V$10005,$V6446,'月1回_1ヶ月前の在庫'!$W$6:$W$10005,$W6446)&gt;0),N(U6445),N(U6445)+1))</f>
        <v/>
      </c>
      <c r="V6446" s="19">
        <f>IF($B6446="","",TEXT($B6446,"0000"))</f>
        <v/>
      </c>
      <c r="W6446" s="19">
        <f>IF($I6446="","",IF(ISNUMBER($I6446),TEXT($I6446,"0"),$I6446))</f>
        <v/>
      </c>
    </row>
    <row r="6447">
      <c r="B6447" s="25" t="n"/>
      <c r="I6447" s="25" t="n"/>
      <c r="U6447" s="19">
        <f>IF($V6447&lt;&gt;'設定'!$C$4,N(U6446),IF(OR(NOT(COUNTIF('商品マスタ'!$B$6:$B$1005,$W6447)=0),COUNTIFS('①在庫を貼る'!$V$6:$V$10005,$V6447,'①在庫を貼る'!$W$6:$W$10005,$W6447)+COUNTIFS('月1回_1ヶ月前の在庫'!$V$6:$V$10005,$V6447,'月1回_1ヶ月前の在庫'!$W$6:$W$10005,$W6447)&gt;0),N(U6446),N(U6446)+1))</f>
        <v/>
      </c>
      <c r="V6447" s="19">
        <f>IF($B6447="","",TEXT($B6447,"0000"))</f>
        <v/>
      </c>
      <c r="W6447" s="19">
        <f>IF($I6447="","",IF(ISNUMBER($I6447),TEXT($I6447,"0"),$I6447))</f>
        <v/>
      </c>
    </row>
    <row r="6448">
      <c r="B6448" s="25" t="n"/>
      <c r="I6448" s="25" t="n"/>
      <c r="U6448" s="19">
        <f>IF($V6448&lt;&gt;'設定'!$C$4,N(U6447),IF(OR(NOT(COUNTIF('商品マスタ'!$B$6:$B$1005,$W6448)=0),COUNTIFS('①在庫を貼る'!$V$6:$V$10005,$V6448,'①在庫を貼る'!$W$6:$W$10005,$W6448)+COUNTIFS('月1回_1ヶ月前の在庫'!$V$6:$V$10005,$V6448,'月1回_1ヶ月前の在庫'!$W$6:$W$10005,$W6448)&gt;0),N(U6447),N(U6447)+1))</f>
        <v/>
      </c>
      <c r="V6448" s="19">
        <f>IF($B6448="","",TEXT($B6448,"0000"))</f>
        <v/>
      </c>
      <c r="W6448" s="19">
        <f>IF($I6448="","",IF(ISNUMBER($I6448),TEXT($I6448,"0"),$I6448))</f>
        <v/>
      </c>
    </row>
    <row r="6449">
      <c r="B6449" s="25" t="n"/>
      <c r="I6449" s="25" t="n"/>
      <c r="U6449" s="19">
        <f>IF($V6449&lt;&gt;'設定'!$C$4,N(U6448),IF(OR(NOT(COUNTIF('商品マスタ'!$B$6:$B$1005,$W6449)=0),COUNTIFS('①在庫を貼る'!$V$6:$V$10005,$V6449,'①在庫を貼る'!$W$6:$W$10005,$W6449)+COUNTIFS('月1回_1ヶ月前の在庫'!$V$6:$V$10005,$V6449,'月1回_1ヶ月前の在庫'!$W$6:$W$10005,$W6449)&gt;0),N(U6448),N(U6448)+1))</f>
        <v/>
      </c>
      <c r="V6449" s="19">
        <f>IF($B6449="","",TEXT($B6449,"0000"))</f>
        <v/>
      </c>
      <c r="W6449" s="19">
        <f>IF($I6449="","",IF(ISNUMBER($I6449),TEXT($I6449,"0"),$I6449))</f>
        <v/>
      </c>
    </row>
    <row r="6450">
      <c r="B6450" s="25" t="n"/>
      <c r="I6450" s="25" t="n"/>
      <c r="U6450" s="19">
        <f>IF($V6450&lt;&gt;'設定'!$C$4,N(U6449),IF(OR(NOT(COUNTIF('商品マスタ'!$B$6:$B$1005,$W6450)=0),COUNTIFS('①在庫を貼る'!$V$6:$V$10005,$V6450,'①在庫を貼る'!$W$6:$W$10005,$W6450)+COUNTIFS('月1回_1ヶ月前の在庫'!$V$6:$V$10005,$V6450,'月1回_1ヶ月前の在庫'!$W$6:$W$10005,$W6450)&gt;0),N(U6449),N(U6449)+1))</f>
        <v/>
      </c>
      <c r="V6450" s="19">
        <f>IF($B6450="","",TEXT($B6450,"0000"))</f>
        <v/>
      </c>
      <c r="W6450" s="19">
        <f>IF($I6450="","",IF(ISNUMBER($I6450),TEXT($I6450,"0"),$I6450))</f>
        <v/>
      </c>
    </row>
    <row r="6451">
      <c r="B6451" s="25" t="n"/>
      <c r="I6451" s="25" t="n"/>
      <c r="U6451" s="19">
        <f>IF($V6451&lt;&gt;'設定'!$C$4,N(U6450),IF(OR(NOT(COUNTIF('商品マスタ'!$B$6:$B$1005,$W6451)=0),COUNTIFS('①在庫を貼る'!$V$6:$V$10005,$V6451,'①在庫を貼る'!$W$6:$W$10005,$W6451)+COUNTIFS('月1回_1ヶ月前の在庫'!$V$6:$V$10005,$V6451,'月1回_1ヶ月前の在庫'!$W$6:$W$10005,$W6451)&gt;0),N(U6450),N(U6450)+1))</f>
        <v/>
      </c>
      <c r="V6451" s="19">
        <f>IF($B6451="","",TEXT($B6451,"0000"))</f>
        <v/>
      </c>
      <c r="W6451" s="19">
        <f>IF($I6451="","",IF(ISNUMBER($I6451),TEXT($I6451,"0"),$I6451))</f>
        <v/>
      </c>
    </row>
    <row r="6452">
      <c r="B6452" s="25" t="n"/>
      <c r="I6452" s="25" t="n"/>
      <c r="U6452" s="19">
        <f>IF($V6452&lt;&gt;'設定'!$C$4,N(U6451),IF(OR(NOT(COUNTIF('商品マスタ'!$B$6:$B$1005,$W6452)=0),COUNTIFS('①在庫を貼る'!$V$6:$V$10005,$V6452,'①在庫を貼る'!$W$6:$W$10005,$W6452)+COUNTIFS('月1回_1ヶ月前の在庫'!$V$6:$V$10005,$V6452,'月1回_1ヶ月前の在庫'!$W$6:$W$10005,$W6452)&gt;0),N(U6451),N(U6451)+1))</f>
        <v/>
      </c>
      <c r="V6452" s="19">
        <f>IF($B6452="","",TEXT($B6452,"0000"))</f>
        <v/>
      </c>
      <c r="W6452" s="19">
        <f>IF($I6452="","",IF(ISNUMBER($I6452),TEXT($I6452,"0"),$I6452))</f>
        <v/>
      </c>
    </row>
    <row r="6453">
      <c r="B6453" s="25" t="n"/>
      <c r="I6453" s="25" t="n"/>
      <c r="U6453" s="19">
        <f>IF($V6453&lt;&gt;'設定'!$C$4,N(U6452),IF(OR(NOT(COUNTIF('商品マスタ'!$B$6:$B$1005,$W6453)=0),COUNTIFS('①在庫を貼る'!$V$6:$V$10005,$V6453,'①在庫を貼る'!$W$6:$W$10005,$W6453)+COUNTIFS('月1回_1ヶ月前の在庫'!$V$6:$V$10005,$V6453,'月1回_1ヶ月前の在庫'!$W$6:$W$10005,$W6453)&gt;0),N(U6452),N(U6452)+1))</f>
        <v/>
      </c>
      <c r="V6453" s="19">
        <f>IF($B6453="","",TEXT($B6453,"0000"))</f>
        <v/>
      </c>
      <c r="W6453" s="19">
        <f>IF($I6453="","",IF(ISNUMBER($I6453),TEXT($I6453,"0"),$I6453))</f>
        <v/>
      </c>
    </row>
    <row r="6454">
      <c r="B6454" s="25" t="n"/>
      <c r="I6454" s="25" t="n"/>
      <c r="U6454" s="19">
        <f>IF($V6454&lt;&gt;'設定'!$C$4,N(U6453),IF(OR(NOT(COUNTIF('商品マスタ'!$B$6:$B$1005,$W6454)=0),COUNTIFS('①在庫を貼る'!$V$6:$V$10005,$V6454,'①在庫を貼る'!$W$6:$W$10005,$W6454)+COUNTIFS('月1回_1ヶ月前の在庫'!$V$6:$V$10005,$V6454,'月1回_1ヶ月前の在庫'!$W$6:$W$10005,$W6454)&gt;0),N(U6453),N(U6453)+1))</f>
        <v/>
      </c>
      <c r="V6454" s="19">
        <f>IF($B6454="","",TEXT($B6454,"0000"))</f>
        <v/>
      </c>
      <c r="W6454" s="19">
        <f>IF($I6454="","",IF(ISNUMBER($I6454),TEXT($I6454,"0"),$I6454))</f>
        <v/>
      </c>
    </row>
    <row r="6455">
      <c r="B6455" s="25" t="n"/>
      <c r="I6455" s="25" t="n"/>
      <c r="U6455" s="19">
        <f>IF($V6455&lt;&gt;'設定'!$C$4,N(U6454),IF(OR(NOT(COUNTIF('商品マスタ'!$B$6:$B$1005,$W6455)=0),COUNTIFS('①在庫を貼る'!$V$6:$V$10005,$V6455,'①在庫を貼る'!$W$6:$W$10005,$W6455)+COUNTIFS('月1回_1ヶ月前の在庫'!$V$6:$V$10005,$V6455,'月1回_1ヶ月前の在庫'!$W$6:$W$10005,$W6455)&gt;0),N(U6454),N(U6454)+1))</f>
        <v/>
      </c>
      <c r="V6455" s="19">
        <f>IF($B6455="","",TEXT($B6455,"0000"))</f>
        <v/>
      </c>
      <c r="W6455" s="19">
        <f>IF($I6455="","",IF(ISNUMBER($I6455),TEXT($I6455,"0"),$I6455))</f>
        <v/>
      </c>
    </row>
    <row r="6456">
      <c r="B6456" s="25" t="n"/>
      <c r="I6456" s="25" t="n"/>
      <c r="U6456" s="19">
        <f>IF($V6456&lt;&gt;'設定'!$C$4,N(U6455),IF(OR(NOT(COUNTIF('商品マスタ'!$B$6:$B$1005,$W6456)=0),COUNTIFS('①在庫を貼る'!$V$6:$V$10005,$V6456,'①在庫を貼る'!$W$6:$W$10005,$W6456)+COUNTIFS('月1回_1ヶ月前の在庫'!$V$6:$V$10005,$V6456,'月1回_1ヶ月前の在庫'!$W$6:$W$10005,$W6456)&gt;0),N(U6455),N(U6455)+1))</f>
        <v/>
      </c>
      <c r="V6456" s="19">
        <f>IF($B6456="","",TEXT($B6456,"0000"))</f>
        <v/>
      </c>
      <c r="W6456" s="19">
        <f>IF($I6456="","",IF(ISNUMBER($I6456),TEXT($I6456,"0"),$I6456))</f>
        <v/>
      </c>
    </row>
    <row r="6457">
      <c r="B6457" s="25" t="n"/>
      <c r="I6457" s="25" t="n"/>
      <c r="U6457" s="19">
        <f>IF($V6457&lt;&gt;'設定'!$C$4,N(U6456),IF(OR(NOT(COUNTIF('商品マスタ'!$B$6:$B$1005,$W6457)=0),COUNTIFS('①在庫を貼る'!$V$6:$V$10005,$V6457,'①在庫を貼る'!$W$6:$W$10005,$W6457)+COUNTIFS('月1回_1ヶ月前の在庫'!$V$6:$V$10005,$V6457,'月1回_1ヶ月前の在庫'!$W$6:$W$10005,$W6457)&gt;0),N(U6456),N(U6456)+1))</f>
        <v/>
      </c>
      <c r="V6457" s="19">
        <f>IF($B6457="","",TEXT($B6457,"0000"))</f>
        <v/>
      </c>
      <c r="W6457" s="19">
        <f>IF($I6457="","",IF(ISNUMBER($I6457),TEXT($I6457,"0"),$I6457))</f>
        <v/>
      </c>
    </row>
    <row r="6458">
      <c r="B6458" s="25" t="n"/>
      <c r="I6458" s="25" t="n"/>
      <c r="U6458" s="19">
        <f>IF($V6458&lt;&gt;'設定'!$C$4,N(U6457),IF(OR(NOT(COUNTIF('商品マスタ'!$B$6:$B$1005,$W6458)=0),COUNTIFS('①在庫を貼る'!$V$6:$V$10005,$V6458,'①在庫を貼る'!$W$6:$W$10005,$W6458)+COUNTIFS('月1回_1ヶ月前の在庫'!$V$6:$V$10005,$V6458,'月1回_1ヶ月前の在庫'!$W$6:$W$10005,$W6458)&gt;0),N(U6457),N(U6457)+1))</f>
        <v/>
      </c>
      <c r="V6458" s="19">
        <f>IF($B6458="","",TEXT($B6458,"0000"))</f>
        <v/>
      </c>
      <c r="W6458" s="19">
        <f>IF($I6458="","",IF(ISNUMBER($I6458),TEXT($I6458,"0"),$I6458))</f>
        <v/>
      </c>
    </row>
    <row r="6459">
      <c r="B6459" s="25" t="n"/>
      <c r="I6459" s="25" t="n"/>
      <c r="U6459" s="19">
        <f>IF($V6459&lt;&gt;'設定'!$C$4,N(U6458),IF(OR(NOT(COUNTIF('商品マスタ'!$B$6:$B$1005,$W6459)=0),COUNTIFS('①在庫を貼る'!$V$6:$V$10005,$V6459,'①在庫を貼る'!$W$6:$W$10005,$W6459)+COUNTIFS('月1回_1ヶ月前の在庫'!$V$6:$V$10005,$V6459,'月1回_1ヶ月前の在庫'!$W$6:$W$10005,$W6459)&gt;0),N(U6458),N(U6458)+1))</f>
        <v/>
      </c>
      <c r="V6459" s="19">
        <f>IF($B6459="","",TEXT($B6459,"0000"))</f>
        <v/>
      </c>
      <c r="W6459" s="19">
        <f>IF($I6459="","",IF(ISNUMBER($I6459),TEXT($I6459,"0"),$I6459))</f>
        <v/>
      </c>
    </row>
    <row r="6460">
      <c r="B6460" s="25" t="n"/>
      <c r="I6460" s="25" t="n"/>
      <c r="U6460" s="19">
        <f>IF($V6460&lt;&gt;'設定'!$C$4,N(U6459),IF(OR(NOT(COUNTIF('商品マスタ'!$B$6:$B$1005,$W6460)=0),COUNTIFS('①在庫を貼る'!$V$6:$V$10005,$V6460,'①在庫を貼る'!$W$6:$W$10005,$W6460)+COUNTIFS('月1回_1ヶ月前の在庫'!$V$6:$V$10005,$V6460,'月1回_1ヶ月前の在庫'!$W$6:$W$10005,$W6460)&gt;0),N(U6459),N(U6459)+1))</f>
        <v/>
      </c>
      <c r="V6460" s="19">
        <f>IF($B6460="","",TEXT($B6460,"0000"))</f>
        <v/>
      </c>
      <c r="W6460" s="19">
        <f>IF($I6460="","",IF(ISNUMBER($I6460),TEXT($I6460,"0"),$I6460))</f>
        <v/>
      </c>
    </row>
    <row r="6461">
      <c r="B6461" s="25" t="n"/>
      <c r="I6461" s="25" t="n"/>
      <c r="U6461" s="19">
        <f>IF($V6461&lt;&gt;'設定'!$C$4,N(U6460),IF(OR(NOT(COUNTIF('商品マスタ'!$B$6:$B$1005,$W6461)=0),COUNTIFS('①在庫を貼る'!$V$6:$V$10005,$V6461,'①在庫を貼る'!$W$6:$W$10005,$W6461)+COUNTIFS('月1回_1ヶ月前の在庫'!$V$6:$V$10005,$V6461,'月1回_1ヶ月前の在庫'!$W$6:$W$10005,$W6461)&gt;0),N(U6460),N(U6460)+1))</f>
        <v/>
      </c>
      <c r="V6461" s="19">
        <f>IF($B6461="","",TEXT($B6461,"0000"))</f>
        <v/>
      </c>
      <c r="W6461" s="19">
        <f>IF($I6461="","",IF(ISNUMBER($I6461),TEXT($I6461,"0"),$I6461))</f>
        <v/>
      </c>
    </row>
    <row r="6462">
      <c r="B6462" s="25" t="n"/>
      <c r="I6462" s="25" t="n"/>
      <c r="U6462" s="19">
        <f>IF($V6462&lt;&gt;'設定'!$C$4,N(U6461),IF(OR(NOT(COUNTIF('商品マスタ'!$B$6:$B$1005,$W6462)=0),COUNTIFS('①在庫を貼る'!$V$6:$V$10005,$V6462,'①在庫を貼る'!$W$6:$W$10005,$W6462)+COUNTIFS('月1回_1ヶ月前の在庫'!$V$6:$V$10005,$V6462,'月1回_1ヶ月前の在庫'!$W$6:$W$10005,$W6462)&gt;0),N(U6461),N(U6461)+1))</f>
        <v/>
      </c>
      <c r="V6462" s="19">
        <f>IF($B6462="","",TEXT($B6462,"0000"))</f>
        <v/>
      </c>
      <c r="W6462" s="19">
        <f>IF($I6462="","",IF(ISNUMBER($I6462),TEXT($I6462,"0"),$I6462))</f>
        <v/>
      </c>
    </row>
    <row r="6463">
      <c r="B6463" s="25" t="n"/>
      <c r="I6463" s="25" t="n"/>
      <c r="U6463" s="19">
        <f>IF($V6463&lt;&gt;'設定'!$C$4,N(U6462),IF(OR(NOT(COUNTIF('商品マスタ'!$B$6:$B$1005,$W6463)=0),COUNTIFS('①在庫を貼る'!$V$6:$V$10005,$V6463,'①在庫を貼る'!$W$6:$W$10005,$W6463)+COUNTIFS('月1回_1ヶ月前の在庫'!$V$6:$V$10005,$V6463,'月1回_1ヶ月前の在庫'!$W$6:$W$10005,$W6463)&gt;0),N(U6462),N(U6462)+1))</f>
        <v/>
      </c>
      <c r="V6463" s="19">
        <f>IF($B6463="","",TEXT($B6463,"0000"))</f>
        <v/>
      </c>
      <c r="W6463" s="19">
        <f>IF($I6463="","",IF(ISNUMBER($I6463),TEXT($I6463,"0"),$I6463))</f>
        <v/>
      </c>
    </row>
    <row r="6464">
      <c r="B6464" s="25" t="n"/>
      <c r="I6464" s="25" t="n"/>
      <c r="U6464" s="19">
        <f>IF($V6464&lt;&gt;'設定'!$C$4,N(U6463),IF(OR(NOT(COUNTIF('商品マスタ'!$B$6:$B$1005,$W6464)=0),COUNTIFS('①在庫を貼る'!$V$6:$V$10005,$V6464,'①在庫を貼る'!$W$6:$W$10005,$W6464)+COUNTIFS('月1回_1ヶ月前の在庫'!$V$6:$V$10005,$V6464,'月1回_1ヶ月前の在庫'!$W$6:$W$10005,$W6464)&gt;0),N(U6463),N(U6463)+1))</f>
        <v/>
      </c>
      <c r="V6464" s="19">
        <f>IF($B6464="","",TEXT($B6464,"0000"))</f>
        <v/>
      </c>
      <c r="W6464" s="19">
        <f>IF($I6464="","",IF(ISNUMBER($I6464),TEXT($I6464,"0"),$I6464))</f>
        <v/>
      </c>
    </row>
    <row r="6465">
      <c r="B6465" s="25" t="n"/>
      <c r="I6465" s="25" t="n"/>
      <c r="U6465" s="19">
        <f>IF($V6465&lt;&gt;'設定'!$C$4,N(U6464),IF(OR(NOT(COUNTIF('商品マスタ'!$B$6:$B$1005,$W6465)=0),COUNTIFS('①在庫を貼る'!$V$6:$V$10005,$V6465,'①在庫を貼る'!$W$6:$W$10005,$W6465)+COUNTIFS('月1回_1ヶ月前の在庫'!$V$6:$V$10005,$V6465,'月1回_1ヶ月前の在庫'!$W$6:$W$10005,$W6465)&gt;0),N(U6464),N(U6464)+1))</f>
        <v/>
      </c>
      <c r="V6465" s="19">
        <f>IF($B6465="","",TEXT($B6465,"0000"))</f>
        <v/>
      </c>
      <c r="W6465" s="19">
        <f>IF($I6465="","",IF(ISNUMBER($I6465),TEXT($I6465,"0"),$I6465))</f>
        <v/>
      </c>
    </row>
    <row r="6466">
      <c r="B6466" s="25" t="n"/>
      <c r="I6466" s="25" t="n"/>
      <c r="U6466" s="19">
        <f>IF($V6466&lt;&gt;'設定'!$C$4,N(U6465),IF(OR(NOT(COUNTIF('商品マスタ'!$B$6:$B$1005,$W6466)=0),COUNTIFS('①在庫を貼る'!$V$6:$V$10005,$V6466,'①在庫を貼る'!$W$6:$W$10005,$W6466)+COUNTIFS('月1回_1ヶ月前の在庫'!$V$6:$V$10005,$V6466,'月1回_1ヶ月前の在庫'!$W$6:$W$10005,$W6466)&gt;0),N(U6465),N(U6465)+1))</f>
        <v/>
      </c>
      <c r="V6466" s="19">
        <f>IF($B6466="","",TEXT($B6466,"0000"))</f>
        <v/>
      </c>
      <c r="W6466" s="19">
        <f>IF($I6466="","",IF(ISNUMBER($I6466),TEXT($I6466,"0"),$I6466))</f>
        <v/>
      </c>
    </row>
    <row r="6467">
      <c r="B6467" s="25" t="n"/>
      <c r="I6467" s="25" t="n"/>
      <c r="U6467" s="19">
        <f>IF($V6467&lt;&gt;'設定'!$C$4,N(U6466),IF(OR(NOT(COUNTIF('商品マスタ'!$B$6:$B$1005,$W6467)=0),COUNTIFS('①在庫を貼る'!$V$6:$V$10005,$V6467,'①在庫を貼る'!$W$6:$W$10005,$W6467)+COUNTIFS('月1回_1ヶ月前の在庫'!$V$6:$V$10005,$V6467,'月1回_1ヶ月前の在庫'!$W$6:$W$10005,$W6467)&gt;0),N(U6466),N(U6466)+1))</f>
        <v/>
      </c>
      <c r="V6467" s="19">
        <f>IF($B6467="","",TEXT($B6467,"0000"))</f>
        <v/>
      </c>
      <c r="W6467" s="19">
        <f>IF($I6467="","",IF(ISNUMBER($I6467),TEXT($I6467,"0"),$I6467))</f>
        <v/>
      </c>
    </row>
    <row r="6468">
      <c r="B6468" s="25" t="n"/>
      <c r="I6468" s="25" t="n"/>
      <c r="U6468" s="19">
        <f>IF($V6468&lt;&gt;'設定'!$C$4,N(U6467),IF(OR(NOT(COUNTIF('商品マスタ'!$B$6:$B$1005,$W6468)=0),COUNTIFS('①在庫を貼る'!$V$6:$V$10005,$V6468,'①在庫を貼る'!$W$6:$W$10005,$W6468)+COUNTIFS('月1回_1ヶ月前の在庫'!$V$6:$V$10005,$V6468,'月1回_1ヶ月前の在庫'!$W$6:$W$10005,$W6468)&gt;0),N(U6467),N(U6467)+1))</f>
        <v/>
      </c>
      <c r="V6468" s="19">
        <f>IF($B6468="","",TEXT($B6468,"0000"))</f>
        <v/>
      </c>
      <c r="W6468" s="19">
        <f>IF($I6468="","",IF(ISNUMBER($I6468),TEXT($I6468,"0"),$I6468))</f>
        <v/>
      </c>
    </row>
    <row r="6469">
      <c r="B6469" s="25" t="n"/>
      <c r="I6469" s="25" t="n"/>
      <c r="U6469" s="19">
        <f>IF($V6469&lt;&gt;'設定'!$C$4,N(U6468),IF(OR(NOT(COUNTIF('商品マスタ'!$B$6:$B$1005,$W6469)=0),COUNTIFS('①在庫を貼る'!$V$6:$V$10005,$V6469,'①在庫を貼る'!$W$6:$W$10005,$W6469)+COUNTIFS('月1回_1ヶ月前の在庫'!$V$6:$V$10005,$V6469,'月1回_1ヶ月前の在庫'!$W$6:$W$10005,$W6469)&gt;0),N(U6468),N(U6468)+1))</f>
        <v/>
      </c>
      <c r="V6469" s="19">
        <f>IF($B6469="","",TEXT($B6469,"0000"))</f>
        <v/>
      </c>
      <c r="W6469" s="19">
        <f>IF($I6469="","",IF(ISNUMBER($I6469),TEXT($I6469,"0"),$I6469))</f>
        <v/>
      </c>
    </row>
    <row r="6470">
      <c r="B6470" s="25" t="n"/>
      <c r="I6470" s="25" t="n"/>
      <c r="U6470" s="19">
        <f>IF($V6470&lt;&gt;'設定'!$C$4,N(U6469),IF(OR(NOT(COUNTIF('商品マスタ'!$B$6:$B$1005,$W6470)=0),COUNTIFS('①在庫を貼る'!$V$6:$V$10005,$V6470,'①在庫を貼る'!$W$6:$W$10005,$W6470)+COUNTIFS('月1回_1ヶ月前の在庫'!$V$6:$V$10005,$V6470,'月1回_1ヶ月前の在庫'!$W$6:$W$10005,$W6470)&gt;0),N(U6469),N(U6469)+1))</f>
        <v/>
      </c>
      <c r="V6470" s="19">
        <f>IF($B6470="","",TEXT($B6470,"0000"))</f>
        <v/>
      </c>
      <c r="W6470" s="19">
        <f>IF($I6470="","",IF(ISNUMBER($I6470),TEXT($I6470,"0"),$I6470))</f>
        <v/>
      </c>
    </row>
    <row r="6471">
      <c r="B6471" s="25" t="n"/>
      <c r="I6471" s="25" t="n"/>
      <c r="U6471" s="19">
        <f>IF($V6471&lt;&gt;'設定'!$C$4,N(U6470),IF(OR(NOT(COUNTIF('商品マスタ'!$B$6:$B$1005,$W6471)=0),COUNTIFS('①在庫を貼る'!$V$6:$V$10005,$V6471,'①在庫を貼る'!$W$6:$W$10005,$W6471)+COUNTIFS('月1回_1ヶ月前の在庫'!$V$6:$V$10005,$V6471,'月1回_1ヶ月前の在庫'!$W$6:$W$10005,$W6471)&gt;0),N(U6470),N(U6470)+1))</f>
        <v/>
      </c>
      <c r="V6471" s="19">
        <f>IF($B6471="","",TEXT($B6471,"0000"))</f>
        <v/>
      </c>
      <c r="W6471" s="19">
        <f>IF($I6471="","",IF(ISNUMBER($I6471),TEXT($I6471,"0"),$I6471))</f>
        <v/>
      </c>
    </row>
    <row r="6472">
      <c r="B6472" s="25" t="n"/>
      <c r="I6472" s="25" t="n"/>
      <c r="U6472" s="19">
        <f>IF($V6472&lt;&gt;'設定'!$C$4,N(U6471),IF(OR(NOT(COUNTIF('商品マスタ'!$B$6:$B$1005,$W6472)=0),COUNTIFS('①在庫を貼る'!$V$6:$V$10005,$V6472,'①在庫を貼る'!$W$6:$W$10005,$W6472)+COUNTIFS('月1回_1ヶ月前の在庫'!$V$6:$V$10005,$V6472,'月1回_1ヶ月前の在庫'!$W$6:$W$10005,$W6472)&gt;0),N(U6471),N(U6471)+1))</f>
        <v/>
      </c>
      <c r="V6472" s="19">
        <f>IF($B6472="","",TEXT($B6472,"0000"))</f>
        <v/>
      </c>
      <c r="W6472" s="19">
        <f>IF($I6472="","",IF(ISNUMBER($I6472),TEXT($I6472,"0"),$I6472))</f>
        <v/>
      </c>
    </row>
    <row r="6473">
      <c r="B6473" s="25" t="n"/>
      <c r="I6473" s="25" t="n"/>
      <c r="U6473" s="19">
        <f>IF($V6473&lt;&gt;'設定'!$C$4,N(U6472),IF(OR(NOT(COUNTIF('商品マスタ'!$B$6:$B$1005,$W6473)=0),COUNTIFS('①在庫を貼る'!$V$6:$V$10005,$V6473,'①在庫を貼る'!$W$6:$W$10005,$W6473)+COUNTIFS('月1回_1ヶ月前の在庫'!$V$6:$V$10005,$V6473,'月1回_1ヶ月前の在庫'!$W$6:$W$10005,$W6473)&gt;0),N(U6472),N(U6472)+1))</f>
        <v/>
      </c>
      <c r="V6473" s="19">
        <f>IF($B6473="","",TEXT($B6473,"0000"))</f>
        <v/>
      </c>
      <c r="W6473" s="19">
        <f>IF($I6473="","",IF(ISNUMBER($I6473),TEXT($I6473,"0"),$I6473))</f>
        <v/>
      </c>
    </row>
    <row r="6474">
      <c r="B6474" s="25" t="n"/>
      <c r="I6474" s="25" t="n"/>
      <c r="U6474" s="19">
        <f>IF($V6474&lt;&gt;'設定'!$C$4,N(U6473),IF(OR(NOT(COUNTIF('商品マスタ'!$B$6:$B$1005,$W6474)=0),COUNTIFS('①在庫を貼る'!$V$6:$V$10005,$V6474,'①在庫を貼る'!$W$6:$W$10005,$W6474)+COUNTIFS('月1回_1ヶ月前の在庫'!$V$6:$V$10005,$V6474,'月1回_1ヶ月前の在庫'!$W$6:$W$10005,$W6474)&gt;0),N(U6473),N(U6473)+1))</f>
        <v/>
      </c>
      <c r="V6474" s="19">
        <f>IF($B6474="","",TEXT($B6474,"0000"))</f>
        <v/>
      </c>
      <c r="W6474" s="19">
        <f>IF($I6474="","",IF(ISNUMBER($I6474),TEXT($I6474,"0"),$I6474))</f>
        <v/>
      </c>
    </row>
    <row r="6475">
      <c r="B6475" s="25" t="n"/>
      <c r="I6475" s="25" t="n"/>
      <c r="U6475" s="19">
        <f>IF($V6475&lt;&gt;'設定'!$C$4,N(U6474),IF(OR(NOT(COUNTIF('商品マスタ'!$B$6:$B$1005,$W6475)=0),COUNTIFS('①在庫を貼る'!$V$6:$V$10005,$V6475,'①在庫を貼る'!$W$6:$W$10005,$W6475)+COUNTIFS('月1回_1ヶ月前の在庫'!$V$6:$V$10005,$V6475,'月1回_1ヶ月前の在庫'!$W$6:$W$10005,$W6475)&gt;0),N(U6474),N(U6474)+1))</f>
        <v/>
      </c>
      <c r="V6475" s="19">
        <f>IF($B6475="","",TEXT($B6475,"0000"))</f>
        <v/>
      </c>
      <c r="W6475" s="19">
        <f>IF($I6475="","",IF(ISNUMBER($I6475),TEXT($I6475,"0"),$I6475))</f>
        <v/>
      </c>
    </row>
    <row r="6476">
      <c r="B6476" s="25" t="n"/>
      <c r="I6476" s="25" t="n"/>
      <c r="U6476" s="19">
        <f>IF($V6476&lt;&gt;'設定'!$C$4,N(U6475),IF(OR(NOT(COUNTIF('商品マスタ'!$B$6:$B$1005,$W6476)=0),COUNTIFS('①在庫を貼る'!$V$6:$V$10005,$V6476,'①在庫を貼る'!$W$6:$W$10005,$W6476)+COUNTIFS('月1回_1ヶ月前の在庫'!$V$6:$V$10005,$V6476,'月1回_1ヶ月前の在庫'!$W$6:$W$10005,$W6476)&gt;0),N(U6475),N(U6475)+1))</f>
        <v/>
      </c>
      <c r="V6476" s="19">
        <f>IF($B6476="","",TEXT($B6476,"0000"))</f>
        <v/>
      </c>
      <c r="W6476" s="19">
        <f>IF($I6476="","",IF(ISNUMBER($I6476),TEXT($I6476,"0"),$I6476))</f>
        <v/>
      </c>
    </row>
    <row r="6477">
      <c r="B6477" s="25" t="n"/>
      <c r="I6477" s="25" t="n"/>
      <c r="U6477" s="19">
        <f>IF($V6477&lt;&gt;'設定'!$C$4,N(U6476),IF(OR(NOT(COUNTIF('商品マスタ'!$B$6:$B$1005,$W6477)=0),COUNTIFS('①在庫を貼る'!$V$6:$V$10005,$V6477,'①在庫を貼る'!$W$6:$W$10005,$W6477)+COUNTIFS('月1回_1ヶ月前の在庫'!$V$6:$V$10005,$V6477,'月1回_1ヶ月前の在庫'!$W$6:$W$10005,$W6477)&gt;0),N(U6476),N(U6476)+1))</f>
        <v/>
      </c>
      <c r="V6477" s="19">
        <f>IF($B6477="","",TEXT($B6477,"0000"))</f>
        <v/>
      </c>
      <c r="W6477" s="19">
        <f>IF($I6477="","",IF(ISNUMBER($I6477),TEXT($I6477,"0"),$I6477))</f>
        <v/>
      </c>
    </row>
    <row r="6478">
      <c r="B6478" s="25" t="n"/>
      <c r="I6478" s="25" t="n"/>
      <c r="U6478" s="19">
        <f>IF($V6478&lt;&gt;'設定'!$C$4,N(U6477),IF(OR(NOT(COUNTIF('商品マスタ'!$B$6:$B$1005,$W6478)=0),COUNTIFS('①在庫を貼る'!$V$6:$V$10005,$V6478,'①在庫を貼る'!$W$6:$W$10005,$W6478)+COUNTIFS('月1回_1ヶ月前の在庫'!$V$6:$V$10005,$V6478,'月1回_1ヶ月前の在庫'!$W$6:$W$10005,$W6478)&gt;0),N(U6477),N(U6477)+1))</f>
        <v/>
      </c>
      <c r="V6478" s="19">
        <f>IF($B6478="","",TEXT($B6478,"0000"))</f>
        <v/>
      </c>
      <c r="W6478" s="19">
        <f>IF($I6478="","",IF(ISNUMBER($I6478),TEXT($I6478,"0"),$I6478))</f>
        <v/>
      </c>
    </row>
    <row r="6479">
      <c r="B6479" s="25" t="n"/>
      <c r="I6479" s="25" t="n"/>
      <c r="U6479" s="19">
        <f>IF($V6479&lt;&gt;'設定'!$C$4,N(U6478),IF(OR(NOT(COUNTIF('商品マスタ'!$B$6:$B$1005,$W6479)=0),COUNTIFS('①在庫を貼る'!$V$6:$V$10005,$V6479,'①在庫を貼る'!$W$6:$W$10005,$W6479)+COUNTIFS('月1回_1ヶ月前の在庫'!$V$6:$V$10005,$V6479,'月1回_1ヶ月前の在庫'!$W$6:$W$10005,$W6479)&gt;0),N(U6478),N(U6478)+1))</f>
        <v/>
      </c>
      <c r="V6479" s="19">
        <f>IF($B6479="","",TEXT($B6479,"0000"))</f>
        <v/>
      </c>
      <c r="W6479" s="19">
        <f>IF($I6479="","",IF(ISNUMBER($I6479),TEXT($I6479,"0"),$I6479))</f>
        <v/>
      </c>
    </row>
    <row r="6480">
      <c r="B6480" s="25" t="n"/>
      <c r="I6480" s="25" t="n"/>
      <c r="U6480" s="19">
        <f>IF($V6480&lt;&gt;'設定'!$C$4,N(U6479),IF(OR(NOT(COUNTIF('商品マスタ'!$B$6:$B$1005,$W6480)=0),COUNTIFS('①在庫を貼る'!$V$6:$V$10005,$V6480,'①在庫を貼る'!$W$6:$W$10005,$W6480)+COUNTIFS('月1回_1ヶ月前の在庫'!$V$6:$V$10005,$V6480,'月1回_1ヶ月前の在庫'!$W$6:$W$10005,$W6480)&gt;0),N(U6479),N(U6479)+1))</f>
        <v/>
      </c>
      <c r="V6480" s="19">
        <f>IF($B6480="","",TEXT($B6480,"0000"))</f>
        <v/>
      </c>
      <c r="W6480" s="19">
        <f>IF($I6480="","",IF(ISNUMBER($I6480),TEXT($I6480,"0"),$I6480))</f>
        <v/>
      </c>
    </row>
    <row r="6481">
      <c r="B6481" s="25" t="n"/>
      <c r="I6481" s="25" t="n"/>
      <c r="U6481" s="19">
        <f>IF($V6481&lt;&gt;'設定'!$C$4,N(U6480),IF(OR(NOT(COUNTIF('商品マスタ'!$B$6:$B$1005,$W6481)=0),COUNTIFS('①在庫を貼る'!$V$6:$V$10005,$V6481,'①在庫を貼る'!$W$6:$W$10005,$W6481)+COUNTIFS('月1回_1ヶ月前の在庫'!$V$6:$V$10005,$V6481,'月1回_1ヶ月前の在庫'!$W$6:$W$10005,$W6481)&gt;0),N(U6480),N(U6480)+1))</f>
        <v/>
      </c>
      <c r="V6481" s="19">
        <f>IF($B6481="","",TEXT($B6481,"0000"))</f>
        <v/>
      </c>
      <c r="W6481" s="19">
        <f>IF($I6481="","",IF(ISNUMBER($I6481),TEXT($I6481,"0"),$I6481))</f>
        <v/>
      </c>
    </row>
    <row r="6482">
      <c r="B6482" s="25" t="n"/>
      <c r="I6482" s="25" t="n"/>
      <c r="U6482" s="19">
        <f>IF($V6482&lt;&gt;'設定'!$C$4,N(U6481),IF(OR(NOT(COUNTIF('商品マスタ'!$B$6:$B$1005,$W6482)=0),COUNTIFS('①在庫を貼る'!$V$6:$V$10005,$V6482,'①在庫を貼る'!$W$6:$W$10005,$W6482)+COUNTIFS('月1回_1ヶ月前の在庫'!$V$6:$V$10005,$V6482,'月1回_1ヶ月前の在庫'!$W$6:$W$10005,$W6482)&gt;0),N(U6481),N(U6481)+1))</f>
        <v/>
      </c>
      <c r="V6482" s="19">
        <f>IF($B6482="","",TEXT($B6482,"0000"))</f>
        <v/>
      </c>
      <c r="W6482" s="19">
        <f>IF($I6482="","",IF(ISNUMBER($I6482),TEXT($I6482,"0"),$I6482))</f>
        <v/>
      </c>
    </row>
    <row r="6483">
      <c r="B6483" s="25" t="n"/>
      <c r="I6483" s="25" t="n"/>
      <c r="U6483" s="19">
        <f>IF($V6483&lt;&gt;'設定'!$C$4,N(U6482),IF(OR(NOT(COUNTIF('商品マスタ'!$B$6:$B$1005,$W6483)=0),COUNTIFS('①在庫を貼る'!$V$6:$V$10005,$V6483,'①在庫を貼る'!$W$6:$W$10005,$W6483)+COUNTIFS('月1回_1ヶ月前の在庫'!$V$6:$V$10005,$V6483,'月1回_1ヶ月前の在庫'!$W$6:$W$10005,$W6483)&gt;0),N(U6482),N(U6482)+1))</f>
        <v/>
      </c>
      <c r="V6483" s="19">
        <f>IF($B6483="","",TEXT($B6483,"0000"))</f>
        <v/>
      </c>
      <c r="W6483" s="19">
        <f>IF($I6483="","",IF(ISNUMBER($I6483),TEXT($I6483,"0"),$I6483))</f>
        <v/>
      </c>
    </row>
    <row r="6484">
      <c r="B6484" s="25" t="n"/>
      <c r="I6484" s="25" t="n"/>
      <c r="U6484" s="19">
        <f>IF($V6484&lt;&gt;'設定'!$C$4,N(U6483),IF(OR(NOT(COUNTIF('商品マスタ'!$B$6:$B$1005,$W6484)=0),COUNTIFS('①在庫を貼る'!$V$6:$V$10005,$V6484,'①在庫を貼る'!$W$6:$W$10005,$W6484)+COUNTIFS('月1回_1ヶ月前の在庫'!$V$6:$V$10005,$V6484,'月1回_1ヶ月前の在庫'!$W$6:$W$10005,$W6484)&gt;0),N(U6483),N(U6483)+1))</f>
        <v/>
      </c>
      <c r="V6484" s="19">
        <f>IF($B6484="","",TEXT($B6484,"0000"))</f>
        <v/>
      </c>
      <c r="W6484" s="19">
        <f>IF($I6484="","",IF(ISNUMBER($I6484),TEXT($I6484,"0"),$I6484))</f>
        <v/>
      </c>
    </row>
    <row r="6485">
      <c r="B6485" s="25" t="n"/>
      <c r="I6485" s="25" t="n"/>
      <c r="U6485" s="19">
        <f>IF($V6485&lt;&gt;'設定'!$C$4,N(U6484),IF(OR(NOT(COUNTIF('商品マスタ'!$B$6:$B$1005,$W6485)=0),COUNTIFS('①在庫を貼る'!$V$6:$V$10005,$V6485,'①在庫を貼る'!$W$6:$W$10005,$W6485)+COUNTIFS('月1回_1ヶ月前の在庫'!$V$6:$V$10005,$V6485,'月1回_1ヶ月前の在庫'!$W$6:$W$10005,$W6485)&gt;0),N(U6484),N(U6484)+1))</f>
        <v/>
      </c>
      <c r="V6485" s="19">
        <f>IF($B6485="","",TEXT($B6485,"0000"))</f>
        <v/>
      </c>
      <c r="W6485" s="19">
        <f>IF($I6485="","",IF(ISNUMBER($I6485),TEXT($I6485,"0"),$I6485))</f>
        <v/>
      </c>
    </row>
    <row r="6486">
      <c r="B6486" s="25" t="n"/>
      <c r="I6486" s="25" t="n"/>
      <c r="U6486" s="19">
        <f>IF($V6486&lt;&gt;'設定'!$C$4,N(U6485),IF(OR(NOT(COUNTIF('商品マスタ'!$B$6:$B$1005,$W6486)=0),COUNTIFS('①在庫を貼る'!$V$6:$V$10005,$V6486,'①在庫を貼る'!$W$6:$W$10005,$W6486)+COUNTIFS('月1回_1ヶ月前の在庫'!$V$6:$V$10005,$V6486,'月1回_1ヶ月前の在庫'!$W$6:$W$10005,$W6486)&gt;0),N(U6485),N(U6485)+1))</f>
        <v/>
      </c>
      <c r="V6486" s="19">
        <f>IF($B6486="","",TEXT($B6486,"0000"))</f>
        <v/>
      </c>
      <c r="W6486" s="19">
        <f>IF($I6486="","",IF(ISNUMBER($I6486),TEXT($I6486,"0"),$I6486))</f>
        <v/>
      </c>
    </row>
    <row r="6487">
      <c r="B6487" s="25" t="n"/>
      <c r="I6487" s="25" t="n"/>
      <c r="U6487" s="19">
        <f>IF($V6487&lt;&gt;'設定'!$C$4,N(U6486),IF(OR(NOT(COUNTIF('商品マスタ'!$B$6:$B$1005,$W6487)=0),COUNTIFS('①在庫を貼る'!$V$6:$V$10005,$V6487,'①在庫を貼る'!$W$6:$W$10005,$W6487)+COUNTIFS('月1回_1ヶ月前の在庫'!$V$6:$V$10005,$V6487,'月1回_1ヶ月前の在庫'!$W$6:$W$10005,$W6487)&gt;0),N(U6486),N(U6486)+1))</f>
        <v/>
      </c>
      <c r="V6487" s="19">
        <f>IF($B6487="","",TEXT($B6487,"0000"))</f>
        <v/>
      </c>
      <c r="W6487" s="19">
        <f>IF($I6487="","",IF(ISNUMBER($I6487),TEXT($I6487,"0"),$I6487))</f>
        <v/>
      </c>
    </row>
    <row r="6488">
      <c r="B6488" s="25" t="n"/>
      <c r="I6488" s="25" t="n"/>
      <c r="U6488" s="19">
        <f>IF($V6488&lt;&gt;'設定'!$C$4,N(U6487),IF(OR(NOT(COUNTIF('商品マスタ'!$B$6:$B$1005,$W6488)=0),COUNTIFS('①在庫を貼る'!$V$6:$V$10005,$V6488,'①在庫を貼る'!$W$6:$W$10005,$W6488)+COUNTIFS('月1回_1ヶ月前の在庫'!$V$6:$V$10005,$V6488,'月1回_1ヶ月前の在庫'!$W$6:$W$10005,$W6488)&gt;0),N(U6487),N(U6487)+1))</f>
        <v/>
      </c>
      <c r="V6488" s="19">
        <f>IF($B6488="","",TEXT($B6488,"0000"))</f>
        <v/>
      </c>
      <c r="W6488" s="19">
        <f>IF($I6488="","",IF(ISNUMBER($I6488),TEXT($I6488,"0"),$I6488))</f>
        <v/>
      </c>
    </row>
    <row r="6489">
      <c r="B6489" s="25" t="n"/>
      <c r="I6489" s="25" t="n"/>
      <c r="U6489" s="19">
        <f>IF($V6489&lt;&gt;'設定'!$C$4,N(U6488),IF(OR(NOT(COUNTIF('商品マスタ'!$B$6:$B$1005,$W6489)=0),COUNTIFS('①在庫を貼る'!$V$6:$V$10005,$V6489,'①在庫を貼る'!$W$6:$W$10005,$W6489)+COUNTIFS('月1回_1ヶ月前の在庫'!$V$6:$V$10005,$V6489,'月1回_1ヶ月前の在庫'!$W$6:$W$10005,$W6489)&gt;0),N(U6488),N(U6488)+1))</f>
        <v/>
      </c>
      <c r="V6489" s="19">
        <f>IF($B6489="","",TEXT($B6489,"0000"))</f>
        <v/>
      </c>
      <c r="W6489" s="19">
        <f>IF($I6489="","",IF(ISNUMBER($I6489),TEXT($I6489,"0"),$I6489))</f>
        <v/>
      </c>
    </row>
    <row r="6490">
      <c r="B6490" s="25" t="n"/>
      <c r="I6490" s="25" t="n"/>
      <c r="U6490" s="19">
        <f>IF($V6490&lt;&gt;'設定'!$C$4,N(U6489),IF(OR(NOT(COUNTIF('商品マスタ'!$B$6:$B$1005,$W6490)=0),COUNTIFS('①在庫を貼る'!$V$6:$V$10005,$V6490,'①在庫を貼る'!$W$6:$W$10005,$W6490)+COUNTIFS('月1回_1ヶ月前の在庫'!$V$6:$V$10005,$V6490,'月1回_1ヶ月前の在庫'!$W$6:$W$10005,$W6490)&gt;0),N(U6489),N(U6489)+1))</f>
        <v/>
      </c>
      <c r="V6490" s="19">
        <f>IF($B6490="","",TEXT($B6490,"0000"))</f>
        <v/>
      </c>
      <c r="W6490" s="19">
        <f>IF($I6490="","",IF(ISNUMBER($I6490),TEXT($I6490,"0"),$I6490))</f>
        <v/>
      </c>
    </row>
    <row r="6491">
      <c r="B6491" s="25" t="n"/>
      <c r="I6491" s="25" t="n"/>
      <c r="U6491" s="19">
        <f>IF($V6491&lt;&gt;'設定'!$C$4,N(U6490),IF(OR(NOT(COUNTIF('商品マスタ'!$B$6:$B$1005,$W6491)=0),COUNTIFS('①在庫を貼る'!$V$6:$V$10005,$V6491,'①在庫を貼る'!$W$6:$W$10005,$W6491)+COUNTIFS('月1回_1ヶ月前の在庫'!$V$6:$V$10005,$V6491,'月1回_1ヶ月前の在庫'!$W$6:$W$10005,$W6491)&gt;0),N(U6490),N(U6490)+1))</f>
        <v/>
      </c>
      <c r="V6491" s="19">
        <f>IF($B6491="","",TEXT($B6491,"0000"))</f>
        <v/>
      </c>
      <c r="W6491" s="19">
        <f>IF($I6491="","",IF(ISNUMBER($I6491),TEXT($I6491,"0"),$I6491))</f>
        <v/>
      </c>
    </row>
    <row r="6492">
      <c r="B6492" s="25" t="n"/>
      <c r="I6492" s="25" t="n"/>
      <c r="U6492" s="19">
        <f>IF($V6492&lt;&gt;'設定'!$C$4,N(U6491),IF(OR(NOT(COUNTIF('商品マスタ'!$B$6:$B$1005,$W6492)=0),COUNTIFS('①在庫を貼る'!$V$6:$V$10005,$V6492,'①在庫を貼る'!$W$6:$W$10005,$W6492)+COUNTIFS('月1回_1ヶ月前の在庫'!$V$6:$V$10005,$V6492,'月1回_1ヶ月前の在庫'!$W$6:$W$10005,$W6492)&gt;0),N(U6491),N(U6491)+1))</f>
        <v/>
      </c>
      <c r="V6492" s="19">
        <f>IF($B6492="","",TEXT($B6492,"0000"))</f>
        <v/>
      </c>
      <c r="W6492" s="19">
        <f>IF($I6492="","",IF(ISNUMBER($I6492),TEXT($I6492,"0"),$I6492))</f>
        <v/>
      </c>
    </row>
    <row r="6493">
      <c r="B6493" s="25" t="n"/>
      <c r="I6493" s="25" t="n"/>
      <c r="U6493" s="19">
        <f>IF($V6493&lt;&gt;'設定'!$C$4,N(U6492),IF(OR(NOT(COUNTIF('商品マスタ'!$B$6:$B$1005,$W6493)=0),COUNTIFS('①在庫を貼る'!$V$6:$V$10005,$V6493,'①在庫を貼る'!$W$6:$W$10005,$W6493)+COUNTIFS('月1回_1ヶ月前の在庫'!$V$6:$V$10005,$V6493,'月1回_1ヶ月前の在庫'!$W$6:$W$10005,$W6493)&gt;0),N(U6492),N(U6492)+1))</f>
        <v/>
      </c>
      <c r="V6493" s="19">
        <f>IF($B6493="","",TEXT($B6493,"0000"))</f>
        <v/>
      </c>
      <c r="W6493" s="19">
        <f>IF($I6493="","",IF(ISNUMBER($I6493),TEXT($I6493,"0"),$I6493))</f>
        <v/>
      </c>
    </row>
    <row r="6494">
      <c r="B6494" s="25" t="n"/>
      <c r="I6494" s="25" t="n"/>
      <c r="U6494" s="19">
        <f>IF($V6494&lt;&gt;'設定'!$C$4,N(U6493),IF(OR(NOT(COUNTIF('商品マスタ'!$B$6:$B$1005,$W6494)=0),COUNTIFS('①在庫を貼る'!$V$6:$V$10005,$V6494,'①在庫を貼る'!$W$6:$W$10005,$W6494)+COUNTIFS('月1回_1ヶ月前の在庫'!$V$6:$V$10005,$V6494,'月1回_1ヶ月前の在庫'!$W$6:$W$10005,$W6494)&gt;0),N(U6493),N(U6493)+1))</f>
        <v/>
      </c>
      <c r="V6494" s="19">
        <f>IF($B6494="","",TEXT($B6494,"0000"))</f>
        <v/>
      </c>
      <c r="W6494" s="19">
        <f>IF($I6494="","",IF(ISNUMBER($I6494),TEXT($I6494,"0"),$I6494))</f>
        <v/>
      </c>
    </row>
    <row r="6495">
      <c r="B6495" s="25" t="n"/>
      <c r="I6495" s="25" t="n"/>
      <c r="U6495" s="19">
        <f>IF($V6495&lt;&gt;'設定'!$C$4,N(U6494),IF(OR(NOT(COUNTIF('商品マスタ'!$B$6:$B$1005,$W6495)=0),COUNTIFS('①在庫を貼る'!$V$6:$V$10005,$V6495,'①在庫を貼る'!$W$6:$W$10005,$W6495)+COUNTIFS('月1回_1ヶ月前の在庫'!$V$6:$V$10005,$V6495,'月1回_1ヶ月前の在庫'!$W$6:$W$10005,$W6495)&gt;0),N(U6494),N(U6494)+1))</f>
        <v/>
      </c>
      <c r="V6495" s="19">
        <f>IF($B6495="","",TEXT($B6495,"0000"))</f>
        <v/>
      </c>
      <c r="W6495" s="19">
        <f>IF($I6495="","",IF(ISNUMBER($I6495),TEXT($I6495,"0"),$I6495))</f>
        <v/>
      </c>
    </row>
    <row r="6496">
      <c r="B6496" s="25" t="n"/>
      <c r="I6496" s="25" t="n"/>
      <c r="U6496" s="19">
        <f>IF($V6496&lt;&gt;'設定'!$C$4,N(U6495),IF(OR(NOT(COUNTIF('商品マスタ'!$B$6:$B$1005,$W6496)=0),COUNTIFS('①在庫を貼る'!$V$6:$V$10005,$V6496,'①在庫を貼る'!$W$6:$W$10005,$W6496)+COUNTIFS('月1回_1ヶ月前の在庫'!$V$6:$V$10005,$V6496,'月1回_1ヶ月前の在庫'!$W$6:$W$10005,$W6496)&gt;0),N(U6495),N(U6495)+1))</f>
        <v/>
      </c>
      <c r="V6496" s="19">
        <f>IF($B6496="","",TEXT($B6496,"0000"))</f>
        <v/>
      </c>
      <c r="W6496" s="19">
        <f>IF($I6496="","",IF(ISNUMBER($I6496),TEXT($I6496,"0"),$I6496))</f>
        <v/>
      </c>
    </row>
    <row r="6497">
      <c r="B6497" s="25" t="n"/>
      <c r="I6497" s="25" t="n"/>
      <c r="U6497" s="19">
        <f>IF($V6497&lt;&gt;'設定'!$C$4,N(U6496),IF(OR(NOT(COUNTIF('商品マスタ'!$B$6:$B$1005,$W6497)=0),COUNTIFS('①在庫を貼る'!$V$6:$V$10005,$V6497,'①在庫を貼る'!$W$6:$W$10005,$W6497)+COUNTIFS('月1回_1ヶ月前の在庫'!$V$6:$V$10005,$V6497,'月1回_1ヶ月前の在庫'!$W$6:$W$10005,$W6497)&gt;0),N(U6496),N(U6496)+1))</f>
        <v/>
      </c>
      <c r="V6497" s="19">
        <f>IF($B6497="","",TEXT($B6497,"0000"))</f>
        <v/>
      </c>
      <c r="W6497" s="19">
        <f>IF($I6497="","",IF(ISNUMBER($I6497),TEXT($I6497,"0"),$I6497))</f>
        <v/>
      </c>
    </row>
    <row r="6498">
      <c r="B6498" s="25" t="n"/>
      <c r="I6498" s="25" t="n"/>
      <c r="U6498" s="19">
        <f>IF($V6498&lt;&gt;'設定'!$C$4,N(U6497),IF(OR(NOT(COUNTIF('商品マスタ'!$B$6:$B$1005,$W6498)=0),COUNTIFS('①在庫を貼る'!$V$6:$V$10005,$V6498,'①在庫を貼る'!$W$6:$W$10005,$W6498)+COUNTIFS('月1回_1ヶ月前の在庫'!$V$6:$V$10005,$V6498,'月1回_1ヶ月前の在庫'!$W$6:$W$10005,$W6498)&gt;0),N(U6497),N(U6497)+1))</f>
        <v/>
      </c>
      <c r="V6498" s="19">
        <f>IF($B6498="","",TEXT($B6498,"0000"))</f>
        <v/>
      </c>
      <c r="W6498" s="19">
        <f>IF($I6498="","",IF(ISNUMBER($I6498),TEXT($I6498,"0"),$I6498))</f>
        <v/>
      </c>
    </row>
    <row r="6499">
      <c r="B6499" s="25" t="n"/>
      <c r="I6499" s="25" t="n"/>
      <c r="U6499" s="19">
        <f>IF($V6499&lt;&gt;'設定'!$C$4,N(U6498),IF(OR(NOT(COUNTIF('商品マスタ'!$B$6:$B$1005,$W6499)=0),COUNTIFS('①在庫を貼る'!$V$6:$V$10005,$V6499,'①在庫を貼る'!$W$6:$W$10005,$W6499)+COUNTIFS('月1回_1ヶ月前の在庫'!$V$6:$V$10005,$V6499,'月1回_1ヶ月前の在庫'!$W$6:$W$10005,$W6499)&gt;0),N(U6498),N(U6498)+1))</f>
        <v/>
      </c>
      <c r="V6499" s="19">
        <f>IF($B6499="","",TEXT($B6499,"0000"))</f>
        <v/>
      </c>
      <c r="W6499" s="19">
        <f>IF($I6499="","",IF(ISNUMBER($I6499),TEXT($I6499,"0"),$I6499))</f>
        <v/>
      </c>
    </row>
    <row r="6500">
      <c r="B6500" s="25" t="n"/>
      <c r="I6500" s="25" t="n"/>
      <c r="U6500" s="19">
        <f>IF($V6500&lt;&gt;'設定'!$C$4,N(U6499),IF(OR(NOT(COUNTIF('商品マスタ'!$B$6:$B$1005,$W6500)=0),COUNTIFS('①在庫を貼る'!$V$6:$V$10005,$V6500,'①在庫を貼る'!$W$6:$W$10005,$W6500)+COUNTIFS('月1回_1ヶ月前の在庫'!$V$6:$V$10005,$V6500,'月1回_1ヶ月前の在庫'!$W$6:$W$10005,$W6500)&gt;0),N(U6499),N(U6499)+1))</f>
        <v/>
      </c>
      <c r="V6500" s="19">
        <f>IF($B6500="","",TEXT($B6500,"0000"))</f>
        <v/>
      </c>
      <c r="W6500" s="19">
        <f>IF($I6500="","",IF(ISNUMBER($I6500),TEXT($I6500,"0"),$I6500))</f>
        <v/>
      </c>
    </row>
    <row r="6501">
      <c r="B6501" s="25" t="n"/>
      <c r="I6501" s="25" t="n"/>
      <c r="U6501" s="19">
        <f>IF($V6501&lt;&gt;'設定'!$C$4,N(U6500),IF(OR(NOT(COUNTIF('商品マスタ'!$B$6:$B$1005,$W6501)=0),COUNTIFS('①在庫を貼る'!$V$6:$V$10005,$V6501,'①在庫を貼る'!$W$6:$W$10005,$W6501)+COUNTIFS('月1回_1ヶ月前の在庫'!$V$6:$V$10005,$V6501,'月1回_1ヶ月前の在庫'!$W$6:$W$10005,$W6501)&gt;0),N(U6500),N(U6500)+1))</f>
        <v/>
      </c>
      <c r="V6501" s="19">
        <f>IF($B6501="","",TEXT($B6501,"0000"))</f>
        <v/>
      </c>
      <c r="W6501" s="19">
        <f>IF($I6501="","",IF(ISNUMBER($I6501),TEXT($I6501,"0"),$I6501))</f>
        <v/>
      </c>
    </row>
    <row r="6502">
      <c r="B6502" s="25" t="n"/>
      <c r="I6502" s="25" t="n"/>
      <c r="U6502" s="19">
        <f>IF($V6502&lt;&gt;'設定'!$C$4,N(U6501),IF(OR(NOT(COUNTIF('商品マスタ'!$B$6:$B$1005,$W6502)=0),COUNTIFS('①在庫を貼る'!$V$6:$V$10005,$V6502,'①在庫を貼る'!$W$6:$W$10005,$W6502)+COUNTIFS('月1回_1ヶ月前の在庫'!$V$6:$V$10005,$V6502,'月1回_1ヶ月前の在庫'!$W$6:$W$10005,$W6502)&gt;0),N(U6501),N(U6501)+1))</f>
        <v/>
      </c>
      <c r="V6502" s="19">
        <f>IF($B6502="","",TEXT($B6502,"0000"))</f>
        <v/>
      </c>
      <c r="W6502" s="19">
        <f>IF($I6502="","",IF(ISNUMBER($I6502),TEXT($I6502,"0"),$I6502))</f>
        <v/>
      </c>
    </row>
    <row r="6503">
      <c r="B6503" s="25" t="n"/>
      <c r="I6503" s="25" t="n"/>
      <c r="U6503" s="19">
        <f>IF($V6503&lt;&gt;'設定'!$C$4,N(U6502),IF(OR(NOT(COUNTIF('商品マスタ'!$B$6:$B$1005,$W6503)=0),COUNTIFS('①在庫を貼る'!$V$6:$V$10005,$V6503,'①在庫を貼る'!$W$6:$W$10005,$W6503)+COUNTIFS('月1回_1ヶ月前の在庫'!$V$6:$V$10005,$V6503,'月1回_1ヶ月前の在庫'!$W$6:$W$10005,$W6503)&gt;0),N(U6502),N(U6502)+1))</f>
        <v/>
      </c>
      <c r="V6503" s="19">
        <f>IF($B6503="","",TEXT($B6503,"0000"))</f>
        <v/>
      </c>
      <c r="W6503" s="19">
        <f>IF($I6503="","",IF(ISNUMBER($I6503),TEXT($I6503,"0"),$I6503))</f>
        <v/>
      </c>
    </row>
    <row r="6504">
      <c r="B6504" s="25" t="n"/>
      <c r="I6504" s="25" t="n"/>
      <c r="U6504" s="19">
        <f>IF($V6504&lt;&gt;'設定'!$C$4,N(U6503),IF(OR(NOT(COUNTIF('商品マスタ'!$B$6:$B$1005,$W6504)=0),COUNTIFS('①在庫を貼る'!$V$6:$V$10005,$V6504,'①在庫を貼る'!$W$6:$W$10005,$W6504)+COUNTIFS('月1回_1ヶ月前の在庫'!$V$6:$V$10005,$V6504,'月1回_1ヶ月前の在庫'!$W$6:$W$10005,$W6504)&gt;0),N(U6503),N(U6503)+1))</f>
        <v/>
      </c>
      <c r="V6504" s="19">
        <f>IF($B6504="","",TEXT($B6504,"0000"))</f>
        <v/>
      </c>
      <c r="W6504" s="19">
        <f>IF($I6504="","",IF(ISNUMBER($I6504),TEXT($I6504,"0"),$I6504))</f>
        <v/>
      </c>
    </row>
    <row r="6505">
      <c r="B6505" s="25" t="n"/>
      <c r="I6505" s="25" t="n"/>
      <c r="U6505" s="19">
        <f>IF($V6505&lt;&gt;'設定'!$C$4,N(U6504),IF(OR(NOT(COUNTIF('商品マスタ'!$B$6:$B$1005,$W6505)=0),COUNTIFS('①在庫を貼る'!$V$6:$V$10005,$V6505,'①在庫を貼る'!$W$6:$W$10005,$W6505)+COUNTIFS('月1回_1ヶ月前の在庫'!$V$6:$V$10005,$V6505,'月1回_1ヶ月前の在庫'!$W$6:$W$10005,$W6505)&gt;0),N(U6504),N(U6504)+1))</f>
        <v/>
      </c>
      <c r="V6505" s="19">
        <f>IF($B6505="","",TEXT($B6505,"0000"))</f>
        <v/>
      </c>
      <c r="W6505" s="19">
        <f>IF($I6505="","",IF(ISNUMBER($I6505),TEXT($I6505,"0"),$I6505))</f>
        <v/>
      </c>
    </row>
    <row r="6506">
      <c r="B6506" s="25" t="n"/>
      <c r="I6506" s="25" t="n"/>
      <c r="U6506" s="19">
        <f>IF($V6506&lt;&gt;'設定'!$C$4,N(U6505),IF(OR(NOT(COUNTIF('商品マスタ'!$B$6:$B$1005,$W6506)=0),COUNTIFS('①在庫を貼る'!$V$6:$V$10005,$V6506,'①在庫を貼る'!$W$6:$W$10005,$W6506)+COUNTIFS('月1回_1ヶ月前の在庫'!$V$6:$V$10005,$V6506,'月1回_1ヶ月前の在庫'!$W$6:$W$10005,$W6506)&gt;0),N(U6505),N(U6505)+1))</f>
        <v/>
      </c>
      <c r="V6506" s="19">
        <f>IF($B6506="","",TEXT($B6506,"0000"))</f>
        <v/>
      </c>
      <c r="W6506" s="19">
        <f>IF($I6506="","",IF(ISNUMBER($I6506),TEXT($I6506,"0"),$I6506))</f>
        <v/>
      </c>
    </row>
    <row r="6507">
      <c r="B6507" s="25" t="n"/>
      <c r="I6507" s="25" t="n"/>
      <c r="U6507" s="19">
        <f>IF($V6507&lt;&gt;'設定'!$C$4,N(U6506),IF(OR(NOT(COUNTIF('商品マスタ'!$B$6:$B$1005,$W6507)=0),COUNTIFS('①在庫を貼る'!$V$6:$V$10005,$V6507,'①在庫を貼る'!$W$6:$W$10005,$W6507)+COUNTIFS('月1回_1ヶ月前の在庫'!$V$6:$V$10005,$V6507,'月1回_1ヶ月前の在庫'!$W$6:$W$10005,$W6507)&gt;0),N(U6506),N(U6506)+1))</f>
        <v/>
      </c>
      <c r="V6507" s="19">
        <f>IF($B6507="","",TEXT($B6507,"0000"))</f>
        <v/>
      </c>
      <c r="W6507" s="19">
        <f>IF($I6507="","",IF(ISNUMBER($I6507),TEXT($I6507,"0"),$I6507))</f>
        <v/>
      </c>
    </row>
    <row r="6508">
      <c r="B6508" s="25" t="n"/>
      <c r="I6508" s="25" t="n"/>
      <c r="U6508" s="19">
        <f>IF($V6508&lt;&gt;'設定'!$C$4,N(U6507),IF(OR(NOT(COUNTIF('商品マスタ'!$B$6:$B$1005,$W6508)=0),COUNTIFS('①在庫を貼る'!$V$6:$V$10005,$V6508,'①在庫を貼る'!$W$6:$W$10005,$W6508)+COUNTIFS('月1回_1ヶ月前の在庫'!$V$6:$V$10005,$V6508,'月1回_1ヶ月前の在庫'!$W$6:$W$10005,$W6508)&gt;0),N(U6507),N(U6507)+1))</f>
        <v/>
      </c>
      <c r="V6508" s="19">
        <f>IF($B6508="","",TEXT($B6508,"0000"))</f>
        <v/>
      </c>
      <c r="W6508" s="19">
        <f>IF($I6508="","",IF(ISNUMBER($I6508),TEXT($I6508,"0"),$I6508))</f>
        <v/>
      </c>
    </row>
    <row r="6509">
      <c r="B6509" s="25" t="n"/>
      <c r="I6509" s="25" t="n"/>
      <c r="U6509" s="19">
        <f>IF($V6509&lt;&gt;'設定'!$C$4,N(U6508),IF(OR(NOT(COUNTIF('商品マスタ'!$B$6:$B$1005,$W6509)=0),COUNTIFS('①在庫を貼る'!$V$6:$V$10005,$V6509,'①在庫を貼る'!$W$6:$W$10005,$W6509)+COUNTIFS('月1回_1ヶ月前の在庫'!$V$6:$V$10005,$V6509,'月1回_1ヶ月前の在庫'!$W$6:$W$10005,$W6509)&gt;0),N(U6508),N(U6508)+1))</f>
        <v/>
      </c>
      <c r="V6509" s="19">
        <f>IF($B6509="","",TEXT($B6509,"0000"))</f>
        <v/>
      </c>
      <c r="W6509" s="19">
        <f>IF($I6509="","",IF(ISNUMBER($I6509),TEXT($I6509,"0"),$I6509))</f>
        <v/>
      </c>
    </row>
    <row r="6510">
      <c r="B6510" s="25" t="n"/>
      <c r="I6510" s="25" t="n"/>
      <c r="U6510" s="19">
        <f>IF($V6510&lt;&gt;'設定'!$C$4,N(U6509),IF(OR(NOT(COUNTIF('商品マスタ'!$B$6:$B$1005,$W6510)=0),COUNTIFS('①在庫を貼る'!$V$6:$V$10005,$V6510,'①在庫を貼る'!$W$6:$W$10005,$W6510)+COUNTIFS('月1回_1ヶ月前の在庫'!$V$6:$V$10005,$V6510,'月1回_1ヶ月前の在庫'!$W$6:$W$10005,$W6510)&gt;0),N(U6509),N(U6509)+1))</f>
        <v/>
      </c>
      <c r="V6510" s="19">
        <f>IF($B6510="","",TEXT($B6510,"0000"))</f>
        <v/>
      </c>
      <c r="W6510" s="19">
        <f>IF($I6510="","",IF(ISNUMBER($I6510),TEXT($I6510,"0"),$I6510))</f>
        <v/>
      </c>
    </row>
    <row r="6511">
      <c r="B6511" s="25" t="n"/>
      <c r="I6511" s="25" t="n"/>
      <c r="U6511" s="19">
        <f>IF($V6511&lt;&gt;'設定'!$C$4,N(U6510),IF(OR(NOT(COUNTIF('商品マスタ'!$B$6:$B$1005,$W6511)=0),COUNTIFS('①在庫を貼る'!$V$6:$V$10005,$V6511,'①在庫を貼る'!$W$6:$W$10005,$W6511)+COUNTIFS('月1回_1ヶ月前の在庫'!$V$6:$V$10005,$V6511,'月1回_1ヶ月前の在庫'!$W$6:$W$10005,$W6511)&gt;0),N(U6510),N(U6510)+1))</f>
        <v/>
      </c>
      <c r="V6511" s="19">
        <f>IF($B6511="","",TEXT($B6511,"0000"))</f>
        <v/>
      </c>
      <c r="W6511" s="19">
        <f>IF($I6511="","",IF(ISNUMBER($I6511),TEXT($I6511,"0"),$I6511))</f>
        <v/>
      </c>
    </row>
    <row r="6512">
      <c r="B6512" s="25" t="n"/>
      <c r="I6512" s="25" t="n"/>
      <c r="U6512" s="19">
        <f>IF($V6512&lt;&gt;'設定'!$C$4,N(U6511),IF(OR(NOT(COUNTIF('商品マスタ'!$B$6:$B$1005,$W6512)=0),COUNTIFS('①在庫を貼る'!$V$6:$V$10005,$V6512,'①在庫を貼る'!$W$6:$W$10005,$W6512)+COUNTIFS('月1回_1ヶ月前の在庫'!$V$6:$V$10005,$V6512,'月1回_1ヶ月前の在庫'!$W$6:$W$10005,$W6512)&gt;0),N(U6511),N(U6511)+1))</f>
        <v/>
      </c>
      <c r="V6512" s="19">
        <f>IF($B6512="","",TEXT($B6512,"0000"))</f>
        <v/>
      </c>
      <c r="W6512" s="19">
        <f>IF($I6512="","",IF(ISNUMBER($I6512),TEXT($I6512,"0"),$I6512))</f>
        <v/>
      </c>
    </row>
    <row r="6513">
      <c r="B6513" s="25" t="n"/>
      <c r="I6513" s="25" t="n"/>
      <c r="U6513" s="19">
        <f>IF($V6513&lt;&gt;'設定'!$C$4,N(U6512),IF(OR(NOT(COUNTIF('商品マスタ'!$B$6:$B$1005,$W6513)=0),COUNTIFS('①在庫を貼る'!$V$6:$V$10005,$V6513,'①在庫を貼る'!$W$6:$W$10005,$W6513)+COUNTIFS('月1回_1ヶ月前の在庫'!$V$6:$V$10005,$V6513,'月1回_1ヶ月前の在庫'!$W$6:$W$10005,$W6513)&gt;0),N(U6512),N(U6512)+1))</f>
        <v/>
      </c>
      <c r="V6513" s="19">
        <f>IF($B6513="","",TEXT($B6513,"0000"))</f>
        <v/>
      </c>
      <c r="W6513" s="19">
        <f>IF($I6513="","",IF(ISNUMBER($I6513),TEXT($I6513,"0"),$I6513))</f>
        <v/>
      </c>
    </row>
    <row r="6514">
      <c r="B6514" s="25" t="n"/>
      <c r="I6514" s="25" t="n"/>
      <c r="U6514" s="19">
        <f>IF($V6514&lt;&gt;'設定'!$C$4,N(U6513),IF(OR(NOT(COUNTIF('商品マスタ'!$B$6:$B$1005,$W6514)=0),COUNTIFS('①在庫を貼る'!$V$6:$V$10005,$V6514,'①在庫を貼る'!$W$6:$W$10005,$W6514)+COUNTIFS('月1回_1ヶ月前の在庫'!$V$6:$V$10005,$V6514,'月1回_1ヶ月前の在庫'!$W$6:$W$10005,$W6514)&gt;0),N(U6513),N(U6513)+1))</f>
        <v/>
      </c>
      <c r="V6514" s="19">
        <f>IF($B6514="","",TEXT($B6514,"0000"))</f>
        <v/>
      </c>
      <c r="W6514" s="19">
        <f>IF($I6514="","",IF(ISNUMBER($I6514),TEXT($I6514,"0"),$I6514))</f>
        <v/>
      </c>
    </row>
    <row r="6515">
      <c r="B6515" s="25" t="n"/>
      <c r="I6515" s="25" t="n"/>
      <c r="U6515" s="19">
        <f>IF($V6515&lt;&gt;'設定'!$C$4,N(U6514),IF(OR(NOT(COUNTIF('商品マスタ'!$B$6:$B$1005,$W6515)=0),COUNTIFS('①在庫を貼る'!$V$6:$V$10005,$V6515,'①在庫を貼る'!$W$6:$W$10005,$W6515)+COUNTIFS('月1回_1ヶ月前の在庫'!$V$6:$V$10005,$V6515,'月1回_1ヶ月前の在庫'!$W$6:$W$10005,$W6515)&gt;0),N(U6514),N(U6514)+1))</f>
        <v/>
      </c>
      <c r="V6515" s="19">
        <f>IF($B6515="","",TEXT($B6515,"0000"))</f>
        <v/>
      </c>
      <c r="W6515" s="19">
        <f>IF($I6515="","",IF(ISNUMBER($I6515),TEXT($I6515,"0"),$I6515))</f>
        <v/>
      </c>
    </row>
    <row r="6516">
      <c r="B6516" s="25" t="n"/>
      <c r="I6516" s="25" t="n"/>
      <c r="U6516" s="19">
        <f>IF($V6516&lt;&gt;'設定'!$C$4,N(U6515),IF(OR(NOT(COUNTIF('商品マスタ'!$B$6:$B$1005,$W6516)=0),COUNTIFS('①在庫を貼る'!$V$6:$V$10005,$V6516,'①在庫を貼る'!$W$6:$W$10005,$W6516)+COUNTIFS('月1回_1ヶ月前の在庫'!$V$6:$V$10005,$V6516,'月1回_1ヶ月前の在庫'!$W$6:$W$10005,$W6516)&gt;0),N(U6515),N(U6515)+1))</f>
        <v/>
      </c>
      <c r="V6516" s="19">
        <f>IF($B6516="","",TEXT($B6516,"0000"))</f>
        <v/>
      </c>
      <c r="W6516" s="19">
        <f>IF($I6516="","",IF(ISNUMBER($I6516),TEXT($I6516,"0"),$I6516))</f>
        <v/>
      </c>
    </row>
    <row r="6517">
      <c r="B6517" s="25" t="n"/>
      <c r="I6517" s="25" t="n"/>
      <c r="U6517" s="19">
        <f>IF($V6517&lt;&gt;'設定'!$C$4,N(U6516),IF(OR(NOT(COUNTIF('商品マスタ'!$B$6:$B$1005,$W6517)=0),COUNTIFS('①在庫を貼る'!$V$6:$V$10005,$V6517,'①在庫を貼る'!$W$6:$W$10005,$W6517)+COUNTIFS('月1回_1ヶ月前の在庫'!$V$6:$V$10005,$V6517,'月1回_1ヶ月前の在庫'!$W$6:$W$10005,$W6517)&gt;0),N(U6516),N(U6516)+1))</f>
        <v/>
      </c>
      <c r="V6517" s="19">
        <f>IF($B6517="","",TEXT($B6517,"0000"))</f>
        <v/>
      </c>
      <c r="W6517" s="19">
        <f>IF($I6517="","",IF(ISNUMBER($I6517),TEXT($I6517,"0"),$I6517))</f>
        <v/>
      </c>
    </row>
    <row r="6518">
      <c r="B6518" s="25" t="n"/>
      <c r="I6518" s="25" t="n"/>
      <c r="U6518" s="19">
        <f>IF($V6518&lt;&gt;'設定'!$C$4,N(U6517),IF(OR(NOT(COUNTIF('商品マスタ'!$B$6:$B$1005,$W6518)=0),COUNTIFS('①在庫を貼る'!$V$6:$V$10005,$V6518,'①在庫を貼る'!$W$6:$W$10005,$W6518)+COUNTIFS('月1回_1ヶ月前の在庫'!$V$6:$V$10005,$V6518,'月1回_1ヶ月前の在庫'!$W$6:$W$10005,$W6518)&gt;0),N(U6517),N(U6517)+1))</f>
        <v/>
      </c>
      <c r="V6518" s="19">
        <f>IF($B6518="","",TEXT($B6518,"0000"))</f>
        <v/>
      </c>
      <c r="W6518" s="19">
        <f>IF($I6518="","",IF(ISNUMBER($I6518),TEXT($I6518,"0"),$I6518))</f>
        <v/>
      </c>
    </row>
    <row r="6519">
      <c r="B6519" s="25" t="n"/>
      <c r="I6519" s="25" t="n"/>
      <c r="U6519" s="19">
        <f>IF($V6519&lt;&gt;'設定'!$C$4,N(U6518),IF(OR(NOT(COUNTIF('商品マスタ'!$B$6:$B$1005,$W6519)=0),COUNTIFS('①在庫を貼る'!$V$6:$V$10005,$V6519,'①在庫を貼る'!$W$6:$W$10005,$W6519)+COUNTIFS('月1回_1ヶ月前の在庫'!$V$6:$V$10005,$V6519,'月1回_1ヶ月前の在庫'!$W$6:$W$10005,$W6519)&gt;0),N(U6518),N(U6518)+1))</f>
        <v/>
      </c>
      <c r="V6519" s="19">
        <f>IF($B6519="","",TEXT($B6519,"0000"))</f>
        <v/>
      </c>
      <c r="W6519" s="19">
        <f>IF($I6519="","",IF(ISNUMBER($I6519),TEXT($I6519,"0"),$I6519))</f>
        <v/>
      </c>
    </row>
    <row r="6520">
      <c r="B6520" s="25" t="n"/>
      <c r="I6520" s="25" t="n"/>
      <c r="U6520" s="19">
        <f>IF($V6520&lt;&gt;'設定'!$C$4,N(U6519),IF(OR(NOT(COUNTIF('商品マスタ'!$B$6:$B$1005,$W6520)=0),COUNTIFS('①在庫を貼る'!$V$6:$V$10005,$V6520,'①在庫を貼る'!$W$6:$W$10005,$W6520)+COUNTIFS('月1回_1ヶ月前の在庫'!$V$6:$V$10005,$V6520,'月1回_1ヶ月前の在庫'!$W$6:$W$10005,$W6520)&gt;0),N(U6519),N(U6519)+1))</f>
        <v/>
      </c>
      <c r="V6520" s="19">
        <f>IF($B6520="","",TEXT($B6520,"0000"))</f>
        <v/>
      </c>
      <c r="W6520" s="19">
        <f>IF($I6520="","",IF(ISNUMBER($I6520),TEXT($I6520,"0"),$I6520))</f>
        <v/>
      </c>
    </row>
    <row r="6521">
      <c r="B6521" s="25" t="n"/>
      <c r="I6521" s="25" t="n"/>
      <c r="U6521" s="19">
        <f>IF($V6521&lt;&gt;'設定'!$C$4,N(U6520),IF(OR(NOT(COUNTIF('商品マスタ'!$B$6:$B$1005,$W6521)=0),COUNTIFS('①在庫を貼る'!$V$6:$V$10005,$V6521,'①在庫を貼る'!$W$6:$W$10005,$W6521)+COUNTIFS('月1回_1ヶ月前の在庫'!$V$6:$V$10005,$V6521,'月1回_1ヶ月前の在庫'!$W$6:$W$10005,$W6521)&gt;0),N(U6520),N(U6520)+1))</f>
        <v/>
      </c>
      <c r="V6521" s="19">
        <f>IF($B6521="","",TEXT($B6521,"0000"))</f>
        <v/>
      </c>
      <c r="W6521" s="19">
        <f>IF($I6521="","",IF(ISNUMBER($I6521),TEXT($I6521,"0"),$I6521))</f>
        <v/>
      </c>
    </row>
    <row r="6522">
      <c r="B6522" s="25" t="n"/>
      <c r="I6522" s="25" t="n"/>
      <c r="U6522" s="19">
        <f>IF($V6522&lt;&gt;'設定'!$C$4,N(U6521),IF(OR(NOT(COUNTIF('商品マスタ'!$B$6:$B$1005,$W6522)=0),COUNTIFS('①在庫を貼る'!$V$6:$V$10005,$V6522,'①在庫を貼る'!$W$6:$W$10005,$W6522)+COUNTIFS('月1回_1ヶ月前の在庫'!$V$6:$V$10005,$V6522,'月1回_1ヶ月前の在庫'!$W$6:$W$10005,$W6522)&gt;0),N(U6521),N(U6521)+1))</f>
        <v/>
      </c>
      <c r="V6522" s="19">
        <f>IF($B6522="","",TEXT($B6522,"0000"))</f>
        <v/>
      </c>
      <c r="W6522" s="19">
        <f>IF($I6522="","",IF(ISNUMBER($I6522),TEXT($I6522,"0"),$I6522))</f>
        <v/>
      </c>
    </row>
    <row r="6523">
      <c r="B6523" s="25" t="n"/>
      <c r="I6523" s="25" t="n"/>
      <c r="U6523" s="19">
        <f>IF($V6523&lt;&gt;'設定'!$C$4,N(U6522),IF(OR(NOT(COUNTIF('商品マスタ'!$B$6:$B$1005,$W6523)=0),COUNTIFS('①在庫を貼る'!$V$6:$V$10005,$V6523,'①在庫を貼る'!$W$6:$W$10005,$W6523)+COUNTIFS('月1回_1ヶ月前の在庫'!$V$6:$V$10005,$V6523,'月1回_1ヶ月前の在庫'!$W$6:$W$10005,$W6523)&gt;0),N(U6522),N(U6522)+1))</f>
        <v/>
      </c>
      <c r="V6523" s="19">
        <f>IF($B6523="","",TEXT($B6523,"0000"))</f>
        <v/>
      </c>
      <c r="W6523" s="19">
        <f>IF($I6523="","",IF(ISNUMBER($I6523),TEXT($I6523,"0"),$I6523))</f>
        <v/>
      </c>
    </row>
    <row r="6524">
      <c r="B6524" s="25" t="n"/>
      <c r="I6524" s="25" t="n"/>
      <c r="U6524" s="19">
        <f>IF($V6524&lt;&gt;'設定'!$C$4,N(U6523),IF(OR(NOT(COUNTIF('商品マスタ'!$B$6:$B$1005,$W6524)=0),COUNTIFS('①在庫を貼る'!$V$6:$V$10005,$V6524,'①在庫を貼る'!$W$6:$W$10005,$W6524)+COUNTIFS('月1回_1ヶ月前の在庫'!$V$6:$V$10005,$V6524,'月1回_1ヶ月前の在庫'!$W$6:$W$10005,$W6524)&gt;0),N(U6523),N(U6523)+1))</f>
        <v/>
      </c>
      <c r="V6524" s="19">
        <f>IF($B6524="","",TEXT($B6524,"0000"))</f>
        <v/>
      </c>
      <c r="W6524" s="19">
        <f>IF($I6524="","",IF(ISNUMBER($I6524),TEXT($I6524,"0"),$I6524))</f>
        <v/>
      </c>
    </row>
    <row r="6525">
      <c r="B6525" s="25" t="n"/>
      <c r="I6525" s="25" t="n"/>
      <c r="U6525" s="19">
        <f>IF($V6525&lt;&gt;'設定'!$C$4,N(U6524),IF(OR(NOT(COUNTIF('商品マスタ'!$B$6:$B$1005,$W6525)=0),COUNTIFS('①在庫を貼る'!$V$6:$V$10005,$V6525,'①在庫を貼る'!$W$6:$W$10005,$W6525)+COUNTIFS('月1回_1ヶ月前の在庫'!$V$6:$V$10005,$V6525,'月1回_1ヶ月前の在庫'!$W$6:$W$10005,$W6525)&gt;0),N(U6524),N(U6524)+1))</f>
        <v/>
      </c>
      <c r="V6525" s="19">
        <f>IF($B6525="","",TEXT($B6525,"0000"))</f>
        <v/>
      </c>
      <c r="W6525" s="19">
        <f>IF($I6525="","",IF(ISNUMBER($I6525),TEXT($I6525,"0"),$I6525))</f>
        <v/>
      </c>
    </row>
    <row r="6526">
      <c r="B6526" s="25" t="n"/>
      <c r="I6526" s="25" t="n"/>
      <c r="U6526" s="19">
        <f>IF($V6526&lt;&gt;'設定'!$C$4,N(U6525),IF(OR(NOT(COUNTIF('商品マスタ'!$B$6:$B$1005,$W6526)=0),COUNTIFS('①在庫を貼る'!$V$6:$V$10005,$V6526,'①在庫を貼る'!$W$6:$W$10005,$W6526)+COUNTIFS('月1回_1ヶ月前の在庫'!$V$6:$V$10005,$V6526,'月1回_1ヶ月前の在庫'!$W$6:$W$10005,$W6526)&gt;0),N(U6525),N(U6525)+1))</f>
        <v/>
      </c>
      <c r="V6526" s="19">
        <f>IF($B6526="","",TEXT($B6526,"0000"))</f>
        <v/>
      </c>
      <c r="W6526" s="19">
        <f>IF($I6526="","",IF(ISNUMBER($I6526),TEXT($I6526,"0"),$I6526))</f>
        <v/>
      </c>
    </row>
    <row r="6527">
      <c r="B6527" s="25" t="n"/>
      <c r="I6527" s="25" t="n"/>
      <c r="U6527" s="19">
        <f>IF($V6527&lt;&gt;'設定'!$C$4,N(U6526),IF(OR(NOT(COUNTIF('商品マスタ'!$B$6:$B$1005,$W6527)=0),COUNTIFS('①在庫を貼る'!$V$6:$V$10005,$V6527,'①在庫を貼る'!$W$6:$W$10005,$W6527)+COUNTIFS('月1回_1ヶ月前の在庫'!$V$6:$V$10005,$V6527,'月1回_1ヶ月前の在庫'!$W$6:$W$10005,$W6527)&gt;0),N(U6526),N(U6526)+1))</f>
        <v/>
      </c>
      <c r="V6527" s="19">
        <f>IF($B6527="","",TEXT($B6527,"0000"))</f>
        <v/>
      </c>
      <c r="W6527" s="19">
        <f>IF($I6527="","",IF(ISNUMBER($I6527),TEXT($I6527,"0"),$I6527))</f>
        <v/>
      </c>
    </row>
    <row r="6528">
      <c r="B6528" s="25" t="n"/>
      <c r="I6528" s="25" t="n"/>
      <c r="U6528" s="19">
        <f>IF($V6528&lt;&gt;'設定'!$C$4,N(U6527),IF(OR(NOT(COUNTIF('商品マスタ'!$B$6:$B$1005,$W6528)=0),COUNTIFS('①在庫を貼る'!$V$6:$V$10005,$V6528,'①在庫を貼る'!$W$6:$W$10005,$W6528)+COUNTIFS('月1回_1ヶ月前の在庫'!$V$6:$V$10005,$V6528,'月1回_1ヶ月前の在庫'!$W$6:$W$10005,$W6528)&gt;0),N(U6527),N(U6527)+1))</f>
        <v/>
      </c>
      <c r="V6528" s="19">
        <f>IF($B6528="","",TEXT($B6528,"0000"))</f>
        <v/>
      </c>
      <c r="W6528" s="19">
        <f>IF($I6528="","",IF(ISNUMBER($I6528),TEXT($I6528,"0"),$I6528))</f>
        <v/>
      </c>
    </row>
    <row r="6529">
      <c r="B6529" s="25" t="n"/>
      <c r="I6529" s="25" t="n"/>
      <c r="U6529" s="19">
        <f>IF($V6529&lt;&gt;'設定'!$C$4,N(U6528),IF(OR(NOT(COUNTIF('商品マスタ'!$B$6:$B$1005,$W6529)=0),COUNTIFS('①在庫を貼る'!$V$6:$V$10005,$V6529,'①在庫を貼る'!$W$6:$W$10005,$W6529)+COUNTIFS('月1回_1ヶ月前の在庫'!$V$6:$V$10005,$V6529,'月1回_1ヶ月前の在庫'!$W$6:$W$10005,$W6529)&gt;0),N(U6528),N(U6528)+1))</f>
        <v/>
      </c>
      <c r="V6529" s="19">
        <f>IF($B6529="","",TEXT($B6529,"0000"))</f>
        <v/>
      </c>
      <c r="W6529" s="19">
        <f>IF($I6529="","",IF(ISNUMBER($I6529),TEXT($I6529,"0"),$I6529))</f>
        <v/>
      </c>
    </row>
    <row r="6530">
      <c r="B6530" s="25" t="n"/>
      <c r="I6530" s="25" t="n"/>
      <c r="U6530" s="19">
        <f>IF($V6530&lt;&gt;'設定'!$C$4,N(U6529),IF(OR(NOT(COUNTIF('商品マスタ'!$B$6:$B$1005,$W6530)=0),COUNTIFS('①在庫を貼る'!$V$6:$V$10005,$V6530,'①在庫を貼る'!$W$6:$W$10005,$W6530)+COUNTIFS('月1回_1ヶ月前の在庫'!$V$6:$V$10005,$V6530,'月1回_1ヶ月前の在庫'!$W$6:$W$10005,$W6530)&gt;0),N(U6529),N(U6529)+1))</f>
        <v/>
      </c>
      <c r="V6530" s="19">
        <f>IF($B6530="","",TEXT($B6530,"0000"))</f>
        <v/>
      </c>
      <c r="W6530" s="19">
        <f>IF($I6530="","",IF(ISNUMBER($I6530),TEXT($I6530,"0"),$I6530))</f>
        <v/>
      </c>
    </row>
    <row r="6531">
      <c r="B6531" s="25" t="n"/>
      <c r="I6531" s="25" t="n"/>
      <c r="U6531" s="19">
        <f>IF($V6531&lt;&gt;'設定'!$C$4,N(U6530),IF(OR(NOT(COUNTIF('商品マスタ'!$B$6:$B$1005,$W6531)=0),COUNTIFS('①在庫を貼る'!$V$6:$V$10005,$V6531,'①在庫を貼る'!$W$6:$W$10005,$W6531)+COUNTIFS('月1回_1ヶ月前の在庫'!$V$6:$V$10005,$V6531,'月1回_1ヶ月前の在庫'!$W$6:$W$10005,$W6531)&gt;0),N(U6530),N(U6530)+1))</f>
        <v/>
      </c>
      <c r="V6531" s="19">
        <f>IF($B6531="","",TEXT($B6531,"0000"))</f>
        <v/>
      </c>
      <c r="W6531" s="19">
        <f>IF($I6531="","",IF(ISNUMBER($I6531),TEXT($I6531,"0"),$I6531))</f>
        <v/>
      </c>
    </row>
    <row r="6532">
      <c r="B6532" s="25" t="n"/>
      <c r="I6532" s="25" t="n"/>
      <c r="U6532" s="19">
        <f>IF($V6532&lt;&gt;'設定'!$C$4,N(U6531),IF(OR(NOT(COUNTIF('商品マスタ'!$B$6:$B$1005,$W6532)=0),COUNTIFS('①在庫を貼る'!$V$6:$V$10005,$V6532,'①在庫を貼る'!$W$6:$W$10005,$W6532)+COUNTIFS('月1回_1ヶ月前の在庫'!$V$6:$V$10005,$V6532,'月1回_1ヶ月前の在庫'!$W$6:$W$10005,$W6532)&gt;0),N(U6531),N(U6531)+1))</f>
        <v/>
      </c>
      <c r="V6532" s="19">
        <f>IF($B6532="","",TEXT($B6532,"0000"))</f>
        <v/>
      </c>
      <c r="W6532" s="19">
        <f>IF($I6532="","",IF(ISNUMBER($I6532),TEXT($I6532,"0"),$I6532))</f>
        <v/>
      </c>
    </row>
    <row r="6533">
      <c r="B6533" s="25" t="n"/>
      <c r="I6533" s="25" t="n"/>
      <c r="U6533" s="19">
        <f>IF($V6533&lt;&gt;'設定'!$C$4,N(U6532),IF(OR(NOT(COUNTIF('商品マスタ'!$B$6:$B$1005,$W6533)=0),COUNTIFS('①在庫を貼る'!$V$6:$V$10005,$V6533,'①在庫を貼る'!$W$6:$W$10005,$W6533)+COUNTIFS('月1回_1ヶ月前の在庫'!$V$6:$V$10005,$V6533,'月1回_1ヶ月前の在庫'!$W$6:$W$10005,$W6533)&gt;0),N(U6532),N(U6532)+1))</f>
        <v/>
      </c>
      <c r="V6533" s="19">
        <f>IF($B6533="","",TEXT($B6533,"0000"))</f>
        <v/>
      </c>
      <c r="W6533" s="19">
        <f>IF($I6533="","",IF(ISNUMBER($I6533),TEXT($I6533,"0"),$I6533))</f>
        <v/>
      </c>
    </row>
    <row r="6534">
      <c r="B6534" s="25" t="n"/>
      <c r="I6534" s="25" t="n"/>
      <c r="U6534" s="19">
        <f>IF($V6534&lt;&gt;'設定'!$C$4,N(U6533),IF(OR(NOT(COUNTIF('商品マスタ'!$B$6:$B$1005,$W6534)=0),COUNTIFS('①在庫を貼る'!$V$6:$V$10005,$V6534,'①在庫を貼る'!$W$6:$W$10005,$W6534)+COUNTIFS('月1回_1ヶ月前の在庫'!$V$6:$V$10005,$V6534,'月1回_1ヶ月前の在庫'!$W$6:$W$10005,$W6534)&gt;0),N(U6533),N(U6533)+1))</f>
        <v/>
      </c>
      <c r="V6534" s="19">
        <f>IF($B6534="","",TEXT($B6534,"0000"))</f>
        <v/>
      </c>
      <c r="W6534" s="19">
        <f>IF($I6534="","",IF(ISNUMBER($I6534),TEXT($I6534,"0"),$I6534))</f>
        <v/>
      </c>
    </row>
    <row r="6535">
      <c r="B6535" s="25" t="n"/>
      <c r="I6535" s="25" t="n"/>
      <c r="U6535" s="19">
        <f>IF($V6535&lt;&gt;'設定'!$C$4,N(U6534),IF(OR(NOT(COUNTIF('商品マスタ'!$B$6:$B$1005,$W6535)=0),COUNTIFS('①在庫を貼る'!$V$6:$V$10005,$V6535,'①在庫を貼る'!$W$6:$W$10005,$W6535)+COUNTIFS('月1回_1ヶ月前の在庫'!$V$6:$V$10005,$V6535,'月1回_1ヶ月前の在庫'!$W$6:$W$10005,$W6535)&gt;0),N(U6534),N(U6534)+1))</f>
        <v/>
      </c>
      <c r="V6535" s="19">
        <f>IF($B6535="","",TEXT($B6535,"0000"))</f>
        <v/>
      </c>
      <c r="W6535" s="19">
        <f>IF($I6535="","",IF(ISNUMBER($I6535),TEXT($I6535,"0"),$I6535))</f>
        <v/>
      </c>
    </row>
    <row r="6536">
      <c r="B6536" s="25" t="n"/>
      <c r="I6536" s="25" t="n"/>
      <c r="U6536" s="19">
        <f>IF($V6536&lt;&gt;'設定'!$C$4,N(U6535),IF(OR(NOT(COUNTIF('商品マスタ'!$B$6:$B$1005,$W6536)=0),COUNTIFS('①在庫を貼る'!$V$6:$V$10005,$V6536,'①在庫を貼る'!$W$6:$W$10005,$W6536)+COUNTIFS('月1回_1ヶ月前の在庫'!$V$6:$V$10005,$V6536,'月1回_1ヶ月前の在庫'!$W$6:$W$10005,$W6536)&gt;0),N(U6535),N(U6535)+1))</f>
        <v/>
      </c>
      <c r="V6536" s="19">
        <f>IF($B6536="","",TEXT($B6536,"0000"))</f>
        <v/>
      </c>
      <c r="W6536" s="19">
        <f>IF($I6536="","",IF(ISNUMBER($I6536),TEXT($I6536,"0"),$I6536))</f>
        <v/>
      </c>
    </row>
    <row r="6537">
      <c r="B6537" s="25" t="n"/>
      <c r="I6537" s="25" t="n"/>
      <c r="U6537" s="19">
        <f>IF($V6537&lt;&gt;'設定'!$C$4,N(U6536),IF(OR(NOT(COUNTIF('商品マスタ'!$B$6:$B$1005,$W6537)=0),COUNTIFS('①在庫を貼る'!$V$6:$V$10005,$V6537,'①在庫を貼る'!$W$6:$W$10005,$W6537)+COUNTIFS('月1回_1ヶ月前の在庫'!$V$6:$V$10005,$V6537,'月1回_1ヶ月前の在庫'!$W$6:$W$10005,$W6537)&gt;0),N(U6536),N(U6536)+1))</f>
        <v/>
      </c>
      <c r="V6537" s="19">
        <f>IF($B6537="","",TEXT($B6537,"0000"))</f>
        <v/>
      </c>
      <c r="W6537" s="19">
        <f>IF($I6537="","",IF(ISNUMBER($I6537),TEXT($I6537,"0"),$I6537))</f>
        <v/>
      </c>
    </row>
    <row r="6538">
      <c r="B6538" s="25" t="n"/>
      <c r="I6538" s="25" t="n"/>
      <c r="U6538" s="19">
        <f>IF($V6538&lt;&gt;'設定'!$C$4,N(U6537),IF(OR(NOT(COUNTIF('商品マスタ'!$B$6:$B$1005,$W6538)=0),COUNTIFS('①在庫を貼る'!$V$6:$V$10005,$V6538,'①在庫を貼る'!$W$6:$W$10005,$W6538)+COUNTIFS('月1回_1ヶ月前の在庫'!$V$6:$V$10005,$V6538,'月1回_1ヶ月前の在庫'!$W$6:$W$10005,$W6538)&gt;0),N(U6537),N(U6537)+1))</f>
        <v/>
      </c>
      <c r="V6538" s="19">
        <f>IF($B6538="","",TEXT($B6538,"0000"))</f>
        <v/>
      </c>
      <c r="W6538" s="19">
        <f>IF($I6538="","",IF(ISNUMBER($I6538),TEXT($I6538,"0"),$I6538))</f>
        <v/>
      </c>
    </row>
    <row r="6539">
      <c r="B6539" s="25" t="n"/>
      <c r="I6539" s="25" t="n"/>
      <c r="U6539" s="19">
        <f>IF($V6539&lt;&gt;'設定'!$C$4,N(U6538),IF(OR(NOT(COUNTIF('商品マスタ'!$B$6:$B$1005,$W6539)=0),COUNTIFS('①在庫を貼る'!$V$6:$V$10005,$V6539,'①在庫を貼る'!$W$6:$W$10005,$W6539)+COUNTIFS('月1回_1ヶ月前の在庫'!$V$6:$V$10005,$V6539,'月1回_1ヶ月前の在庫'!$W$6:$W$10005,$W6539)&gt;0),N(U6538),N(U6538)+1))</f>
        <v/>
      </c>
      <c r="V6539" s="19">
        <f>IF($B6539="","",TEXT($B6539,"0000"))</f>
        <v/>
      </c>
      <c r="W6539" s="19">
        <f>IF($I6539="","",IF(ISNUMBER($I6539),TEXT($I6539,"0"),$I6539))</f>
        <v/>
      </c>
    </row>
    <row r="6540">
      <c r="B6540" s="25" t="n"/>
      <c r="I6540" s="25" t="n"/>
      <c r="U6540" s="19">
        <f>IF($V6540&lt;&gt;'設定'!$C$4,N(U6539),IF(OR(NOT(COUNTIF('商品マスタ'!$B$6:$B$1005,$W6540)=0),COUNTIFS('①在庫を貼る'!$V$6:$V$10005,$V6540,'①在庫を貼る'!$W$6:$W$10005,$W6540)+COUNTIFS('月1回_1ヶ月前の在庫'!$V$6:$V$10005,$V6540,'月1回_1ヶ月前の在庫'!$W$6:$W$10005,$W6540)&gt;0),N(U6539),N(U6539)+1))</f>
        <v/>
      </c>
      <c r="V6540" s="19">
        <f>IF($B6540="","",TEXT($B6540,"0000"))</f>
        <v/>
      </c>
      <c r="W6540" s="19">
        <f>IF($I6540="","",IF(ISNUMBER($I6540),TEXT($I6540,"0"),$I6540))</f>
        <v/>
      </c>
    </row>
    <row r="6541">
      <c r="B6541" s="25" t="n"/>
      <c r="I6541" s="25" t="n"/>
      <c r="U6541" s="19">
        <f>IF($V6541&lt;&gt;'設定'!$C$4,N(U6540),IF(OR(NOT(COUNTIF('商品マスタ'!$B$6:$B$1005,$W6541)=0),COUNTIFS('①在庫を貼る'!$V$6:$V$10005,$V6541,'①在庫を貼る'!$W$6:$W$10005,$W6541)+COUNTIFS('月1回_1ヶ月前の在庫'!$V$6:$V$10005,$V6541,'月1回_1ヶ月前の在庫'!$W$6:$W$10005,$W6541)&gt;0),N(U6540),N(U6540)+1))</f>
        <v/>
      </c>
      <c r="V6541" s="19">
        <f>IF($B6541="","",TEXT($B6541,"0000"))</f>
        <v/>
      </c>
      <c r="W6541" s="19">
        <f>IF($I6541="","",IF(ISNUMBER($I6541),TEXT($I6541,"0"),$I6541))</f>
        <v/>
      </c>
    </row>
    <row r="6542">
      <c r="B6542" s="25" t="n"/>
      <c r="I6542" s="25" t="n"/>
      <c r="U6542" s="19">
        <f>IF($V6542&lt;&gt;'設定'!$C$4,N(U6541),IF(OR(NOT(COUNTIF('商品マスタ'!$B$6:$B$1005,$W6542)=0),COUNTIFS('①在庫を貼る'!$V$6:$V$10005,$V6542,'①在庫を貼る'!$W$6:$W$10005,$W6542)+COUNTIFS('月1回_1ヶ月前の在庫'!$V$6:$V$10005,$V6542,'月1回_1ヶ月前の在庫'!$W$6:$W$10005,$W6542)&gt;0),N(U6541),N(U6541)+1))</f>
        <v/>
      </c>
      <c r="V6542" s="19">
        <f>IF($B6542="","",TEXT($B6542,"0000"))</f>
        <v/>
      </c>
      <c r="W6542" s="19">
        <f>IF($I6542="","",IF(ISNUMBER($I6542),TEXT($I6542,"0"),$I6542))</f>
        <v/>
      </c>
    </row>
    <row r="6543">
      <c r="B6543" s="25" t="n"/>
      <c r="I6543" s="25" t="n"/>
      <c r="U6543" s="19">
        <f>IF($V6543&lt;&gt;'設定'!$C$4,N(U6542),IF(OR(NOT(COUNTIF('商品マスタ'!$B$6:$B$1005,$W6543)=0),COUNTIFS('①在庫を貼る'!$V$6:$V$10005,$V6543,'①在庫を貼る'!$W$6:$W$10005,$W6543)+COUNTIFS('月1回_1ヶ月前の在庫'!$V$6:$V$10005,$V6543,'月1回_1ヶ月前の在庫'!$W$6:$W$10005,$W6543)&gt;0),N(U6542),N(U6542)+1))</f>
        <v/>
      </c>
      <c r="V6543" s="19">
        <f>IF($B6543="","",TEXT($B6543,"0000"))</f>
        <v/>
      </c>
      <c r="W6543" s="19">
        <f>IF($I6543="","",IF(ISNUMBER($I6543),TEXT($I6543,"0"),$I6543))</f>
        <v/>
      </c>
    </row>
    <row r="6544">
      <c r="B6544" s="25" t="n"/>
      <c r="I6544" s="25" t="n"/>
      <c r="U6544" s="19">
        <f>IF($V6544&lt;&gt;'設定'!$C$4,N(U6543),IF(OR(NOT(COUNTIF('商品マスタ'!$B$6:$B$1005,$W6544)=0),COUNTIFS('①在庫を貼る'!$V$6:$V$10005,$V6544,'①在庫を貼る'!$W$6:$W$10005,$W6544)+COUNTIFS('月1回_1ヶ月前の在庫'!$V$6:$V$10005,$V6544,'月1回_1ヶ月前の在庫'!$W$6:$W$10005,$W6544)&gt;0),N(U6543),N(U6543)+1))</f>
        <v/>
      </c>
      <c r="V6544" s="19">
        <f>IF($B6544="","",TEXT($B6544,"0000"))</f>
        <v/>
      </c>
      <c r="W6544" s="19">
        <f>IF($I6544="","",IF(ISNUMBER($I6544),TEXT($I6544,"0"),$I6544))</f>
        <v/>
      </c>
    </row>
    <row r="6545">
      <c r="B6545" s="25" t="n"/>
      <c r="I6545" s="25" t="n"/>
      <c r="U6545" s="19">
        <f>IF($V6545&lt;&gt;'設定'!$C$4,N(U6544),IF(OR(NOT(COUNTIF('商品マスタ'!$B$6:$B$1005,$W6545)=0),COUNTIFS('①在庫を貼る'!$V$6:$V$10005,$V6545,'①在庫を貼る'!$W$6:$W$10005,$W6545)+COUNTIFS('月1回_1ヶ月前の在庫'!$V$6:$V$10005,$V6545,'月1回_1ヶ月前の在庫'!$W$6:$W$10005,$W6545)&gt;0),N(U6544),N(U6544)+1))</f>
        <v/>
      </c>
      <c r="V6545" s="19">
        <f>IF($B6545="","",TEXT($B6545,"0000"))</f>
        <v/>
      </c>
      <c r="W6545" s="19">
        <f>IF($I6545="","",IF(ISNUMBER($I6545),TEXT($I6545,"0"),$I6545))</f>
        <v/>
      </c>
    </row>
    <row r="6546">
      <c r="B6546" s="25" t="n"/>
      <c r="I6546" s="25" t="n"/>
      <c r="U6546" s="19">
        <f>IF($V6546&lt;&gt;'設定'!$C$4,N(U6545),IF(OR(NOT(COUNTIF('商品マスタ'!$B$6:$B$1005,$W6546)=0),COUNTIFS('①在庫を貼る'!$V$6:$V$10005,$V6546,'①在庫を貼る'!$W$6:$W$10005,$W6546)+COUNTIFS('月1回_1ヶ月前の在庫'!$V$6:$V$10005,$V6546,'月1回_1ヶ月前の在庫'!$W$6:$W$10005,$W6546)&gt;0),N(U6545),N(U6545)+1))</f>
        <v/>
      </c>
      <c r="V6546" s="19">
        <f>IF($B6546="","",TEXT($B6546,"0000"))</f>
        <v/>
      </c>
      <c r="W6546" s="19">
        <f>IF($I6546="","",IF(ISNUMBER($I6546),TEXT($I6546,"0"),$I6546))</f>
        <v/>
      </c>
    </row>
    <row r="6547">
      <c r="B6547" s="25" t="n"/>
      <c r="I6547" s="25" t="n"/>
      <c r="U6547" s="19">
        <f>IF($V6547&lt;&gt;'設定'!$C$4,N(U6546),IF(OR(NOT(COUNTIF('商品マスタ'!$B$6:$B$1005,$W6547)=0),COUNTIFS('①在庫を貼る'!$V$6:$V$10005,$V6547,'①在庫を貼る'!$W$6:$W$10005,$W6547)+COUNTIFS('月1回_1ヶ月前の在庫'!$V$6:$V$10005,$V6547,'月1回_1ヶ月前の在庫'!$W$6:$W$10005,$W6547)&gt;0),N(U6546),N(U6546)+1))</f>
        <v/>
      </c>
      <c r="V6547" s="19">
        <f>IF($B6547="","",TEXT($B6547,"0000"))</f>
        <v/>
      </c>
      <c r="W6547" s="19">
        <f>IF($I6547="","",IF(ISNUMBER($I6547),TEXT($I6547,"0"),$I6547))</f>
        <v/>
      </c>
    </row>
    <row r="6548">
      <c r="B6548" s="25" t="n"/>
      <c r="I6548" s="25" t="n"/>
      <c r="U6548" s="19">
        <f>IF($V6548&lt;&gt;'設定'!$C$4,N(U6547),IF(OR(NOT(COUNTIF('商品マスタ'!$B$6:$B$1005,$W6548)=0),COUNTIFS('①在庫を貼る'!$V$6:$V$10005,$V6548,'①在庫を貼る'!$W$6:$W$10005,$W6548)+COUNTIFS('月1回_1ヶ月前の在庫'!$V$6:$V$10005,$V6548,'月1回_1ヶ月前の在庫'!$W$6:$W$10005,$W6548)&gt;0),N(U6547),N(U6547)+1))</f>
        <v/>
      </c>
      <c r="V6548" s="19">
        <f>IF($B6548="","",TEXT($B6548,"0000"))</f>
        <v/>
      </c>
      <c r="W6548" s="19">
        <f>IF($I6548="","",IF(ISNUMBER($I6548),TEXT($I6548,"0"),$I6548))</f>
        <v/>
      </c>
    </row>
    <row r="6549">
      <c r="B6549" s="25" t="n"/>
      <c r="I6549" s="25" t="n"/>
      <c r="U6549" s="19">
        <f>IF($V6549&lt;&gt;'設定'!$C$4,N(U6548),IF(OR(NOT(COUNTIF('商品マスタ'!$B$6:$B$1005,$W6549)=0),COUNTIFS('①在庫を貼る'!$V$6:$V$10005,$V6549,'①在庫を貼る'!$W$6:$W$10005,$W6549)+COUNTIFS('月1回_1ヶ月前の在庫'!$V$6:$V$10005,$V6549,'月1回_1ヶ月前の在庫'!$W$6:$W$10005,$W6549)&gt;0),N(U6548),N(U6548)+1))</f>
        <v/>
      </c>
      <c r="V6549" s="19">
        <f>IF($B6549="","",TEXT($B6549,"0000"))</f>
        <v/>
      </c>
      <c r="W6549" s="19">
        <f>IF($I6549="","",IF(ISNUMBER($I6549),TEXT($I6549,"0"),$I6549))</f>
        <v/>
      </c>
    </row>
    <row r="6550">
      <c r="B6550" s="25" t="n"/>
      <c r="I6550" s="25" t="n"/>
      <c r="U6550" s="19">
        <f>IF($V6550&lt;&gt;'設定'!$C$4,N(U6549),IF(OR(NOT(COUNTIF('商品マスタ'!$B$6:$B$1005,$W6550)=0),COUNTIFS('①在庫を貼る'!$V$6:$V$10005,$V6550,'①在庫を貼る'!$W$6:$W$10005,$W6550)+COUNTIFS('月1回_1ヶ月前の在庫'!$V$6:$V$10005,$V6550,'月1回_1ヶ月前の在庫'!$W$6:$W$10005,$W6550)&gt;0),N(U6549),N(U6549)+1))</f>
        <v/>
      </c>
      <c r="V6550" s="19">
        <f>IF($B6550="","",TEXT($B6550,"0000"))</f>
        <v/>
      </c>
      <c r="W6550" s="19">
        <f>IF($I6550="","",IF(ISNUMBER($I6550),TEXT($I6550,"0"),$I6550))</f>
        <v/>
      </c>
    </row>
    <row r="6551">
      <c r="B6551" s="25" t="n"/>
      <c r="I6551" s="25" t="n"/>
      <c r="U6551" s="19">
        <f>IF($V6551&lt;&gt;'設定'!$C$4,N(U6550),IF(OR(NOT(COUNTIF('商品マスタ'!$B$6:$B$1005,$W6551)=0),COUNTIFS('①在庫を貼る'!$V$6:$V$10005,$V6551,'①在庫を貼る'!$W$6:$W$10005,$W6551)+COUNTIFS('月1回_1ヶ月前の在庫'!$V$6:$V$10005,$V6551,'月1回_1ヶ月前の在庫'!$W$6:$W$10005,$W6551)&gt;0),N(U6550),N(U6550)+1))</f>
        <v/>
      </c>
      <c r="V6551" s="19">
        <f>IF($B6551="","",TEXT($B6551,"0000"))</f>
        <v/>
      </c>
      <c r="W6551" s="19">
        <f>IF($I6551="","",IF(ISNUMBER($I6551),TEXT($I6551,"0"),$I6551))</f>
        <v/>
      </c>
    </row>
    <row r="6552">
      <c r="B6552" s="25" t="n"/>
      <c r="I6552" s="25" t="n"/>
      <c r="U6552" s="19">
        <f>IF($V6552&lt;&gt;'設定'!$C$4,N(U6551),IF(OR(NOT(COUNTIF('商品マスタ'!$B$6:$B$1005,$W6552)=0),COUNTIFS('①在庫を貼る'!$V$6:$V$10005,$V6552,'①在庫を貼る'!$W$6:$W$10005,$W6552)+COUNTIFS('月1回_1ヶ月前の在庫'!$V$6:$V$10005,$V6552,'月1回_1ヶ月前の在庫'!$W$6:$W$10005,$W6552)&gt;0),N(U6551),N(U6551)+1))</f>
        <v/>
      </c>
      <c r="V6552" s="19">
        <f>IF($B6552="","",TEXT($B6552,"0000"))</f>
        <v/>
      </c>
      <c r="W6552" s="19">
        <f>IF($I6552="","",IF(ISNUMBER($I6552),TEXT($I6552,"0"),$I6552))</f>
        <v/>
      </c>
    </row>
    <row r="6553">
      <c r="B6553" s="25" t="n"/>
      <c r="I6553" s="25" t="n"/>
      <c r="U6553" s="19">
        <f>IF($V6553&lt;&gt;'設定'!$C$4,N(U6552),IF(OR(NOT(COUNTIF('商品マスタ'!$B$6:$B$1005,$W6553)=0),COUNTIFS('①在庫を貼る'!$V$6:$V$10005,$V6553,'①在庫を貼る'!$W$6:$W$10005,$W6553)+COUNTIFS('月1回_1ヶ月前の在庫'!$V$6:$V$10005,$V6553,'月1回_1ヶ月前の在庫'!$W$6:$W$10005,$W6553)&gt;0),N(U6552),N(U6552)+1))</f>
        <v/>
      </c>
      <c r="V6553" s="19">
        <f>IF($B6553="","",TEXT($B6553,"0000"))</f>
        <v/>
      </c>
      <c r="W6553" s="19">
        <f>IF($I6553="","",IF(ISNUMBER($I6553),TEXT($I6553,"0"),$I6553))</f>
        <v/>
      </c>
    </row>
    <row r="6554">
      <c r="B6554" s="25" t="n"/>
      <c r="I6554" s="25" t="n"/>
      <c r="U6554" s="19">
        <f>IF($V6554&lt;&gt;'設定'!$C$4,N(U6553),IF(OR(NOT(COUNTIF('商品マスタ'!$B$6:$B$1005,$W6554)=0),COUNTIFS('①在庫を貼る'!$V$6:$V$10005,$V6554,'①在庫を貼る'!$W$6:$W$10005,$W6554)+COUNTIFS('月1回_1ヶ月前の在庫'!$V$6:$V$10005,$V6554,'月1回_1ヶ月前の在庫'!$W$6:$W$10005,$W6554)&gt;0),N(U6553),N(U6553)+1))</f>
        <v/>
      </c>
      <c r="V6554" s="19">
        <f>IF($B6554="","",TEXT($B6554,"0000"))</f>
        <v/>
      </c>
      <c r="W6554" s="19">
        <f>IF($I6554="","",IF(ISNUMBER($I6554),TEXT($I6554,"0"),$I6554))</f>
        <v/>
      </c>
    </row>
    <row r="6555">
      <c r="B6555" s="25" t="n"/>
      <c r="I6555" s="25" t="n"/>
      <c r="U6555" s="19">
        <f>IF($V6555&lt;&gt;'設定'!$C$4,N(U6554),IF(OR(NOT(COUNTIF('商品マスタ'!$B$6:$B$1005,$W6555)=0),COUNTIFS('①在庫を貼る'!$V$6:$V$10005,$V6555,'①在庫を貼る'!$W$6:$W$10005,$W6555)+COUNTIFS('月1回_1ヶ月前の在庫'!$V$6:$V$10005,$V6555,'月1回_1ヶ月前の在庫'!$W$6:$W$10005,$W6555)&gt;0),N(U6554),N(U6554)+1))</f>
        <v/>
      </c>
      <c r="V6555" s="19">
        <f>IF($B6555="","",TEXT($B6555,"0000"))</f>
        <v/>
      </c>
      <c r="W6555" s="19">
        <f>IF($I6555="","",IF(ISNUMBER($I6555),TEXT($I6555,"0"),$I6555))</f>
        <v/>
      </c>
    </row>
    <row r="6556">
      <c r="B6556" s="25" t="n"/>
      <c r="I6556" s="25" t="n"/>
      <c r="U6556" s="19">
        <f>IF($V6556&lt;&gt;'設定'!$C$4,N(U6555),IF(OR(NOT(COUNTIF('商品マスタ'!$B$6:$B$1005,$W6556)=0),COUNTIFS('①在庫を貼る'!$V$6:$V$10005,$V6556,'①在庫を貼る'!$W$6:$W$10005,$W6556)+COUNTIFS('月1回_1ヶ月前の在庫'!$V$6:$V$10005,$V6556,'月1回_1ヶ月前の在庫'!$W$6:$W$10005,$W6556)&gt;0),N(U6555),N(U6555)+1))</f>
        <v/>
      </c>
      <c r="V6556" s="19">
        <f>IF($B6556="","",TEXT($B6556,"0000"))</f>
        <v/>
      </c>
      <c r="W6556" s="19">
        <f>IF($I6556="","",IF(ISNUMBER($I6556),TEXT($I6556,"0"),$I6556))</f>
        <v/>
      </c>
    </row>
    <row r="6557">
      <c r="B6557" s="25" t="n"/>
      <c r="I6557" s="25" t="n"/>
      <c r="U6557" s="19">
        <f>IF($V6557&lt;&gt;'設定'!$C$4,N(U6556),IF(OR(NOT(COUNTIF('商品マスタ'!$B$6:$B$1005,$W6557)=0),COUNTIFS('①在庫を貼る'!$V$6:$V$10005,$V6557,'①在庫を貼る'!$W$6:$W$10005,$W6557)+COUNTIFS('月1回_1ヶ月前の在庫'!$V$6:$V$10005,$V6557,'月1回_1ヶ月前の在庫'!$W$6:$W$10005,$W6557)&gt;0),N(U6556),N(U6556)+1))</f>
        <v/>
      </c>
      <c r="V6557" s="19">
        <f>IF($B6557="","",TEXT($B6557,"0000"))</f>
        <v/>
      </c>
      <c r="W6557" s="19">
        <f>IF($I6557="","",IF(ISNUMBER($I6557),TEXT($I6557,"0"),$I6557))</f>
        <v/>
      </c>
    </row>
    <row r="6558">
      <c r="B6558" s="25" t="n"/>
      <c r="I6558" s="25" t="n"/>
      <c r="U6558" s="19">
        <f>IF($V6558&lt;&gt;'設定'!$C$4,N(U6557),IF(OR(NOT(COUNTIF('商品マスタ'!$B$6:$B$1005,$W6558)=0),COUNTIFS('①在庫を貼る'!$V$6:$V$10005,$V6558,'①在庫を貼る'!$W$6:$W$10005,$W6558)+COUNTIFS('月1回_1ヶ月前の在庫'!$V$6:$V$10005,$V6558,'月1回_1ヶ月前の在庫'!$W$6:$W$10005,$W6558)&gt;0),N(U6557),N(U6557)+1))</f>
        <v/>
      </c>
      <c r="V6558" s="19">
        <f>IF($B6558="","",TEXT($B6558,"0000"))</f>
        <v/>
      </c>
      <c r="W6558" s="19">
        <f>IF($I6558="","",IF(ISNUMBER($I6558),TEXT($I6558,"0"),$I6558))</f>
        <v/>
      </c>
    </row>
    <row r="6559">
      <c r="B6559" s="25" t="n"/>
      <c r="I6559" s="25" t="n"/>
      <c r="U6559" s="19">
        <f>IF($V6559&lt;&gt;'設定'!$C$4,N(U6558),IF(OR(NOT(COUNTIF('商品マスタ'!$B$6:$B$1005,$W6559)=0),COUNTIFS('①在庫を貼る'!$V$6:$V$10005,$V6559,'①在庫を貼る'!$W$6:$W$10005,$W6559)+COUNTIFS('月1回_1ヶ月前の在庫'!$V$6:$V$10005,$V6559,'月1回_1ヶ月前の在庫'!$W$6:$W$10005,$W6559)&gt;0),N(U6558),N(U6558)+1))</f>
        <v/>
      </c>
      <c r="V6559" s="19">
        <f>IF($B6559="","",TEXT($B6559,"0000"))</f>
        <v/>
      </c>
      <c r="W6559" s="19">
        <f>IF($I6559="","",IF(ISNUMBER($I6559),TEXT($I6559,"0"),$I6559))</f>
        <v/>
      </c>
    </row>
    <row r="6560">
      <c r="B6560" s="25" t="n"/>
      <c r="I6560" s="25" t="n"/>
      <c r="U6560" s="19">
        <f>IF($V6560&lt;&gt;'設定'!$C$4,N(U6559),IF(OR(NOT(COUNTIF('商品マスタ'!$B$6:$B$1005,$W6560)=0),COUNTIFS('①在庫を貼る'!$V$6:$V$10005,$V6560,'①在庫を貼る'!$W$6:$W$10005,$W6560)+COUNTIFS('月1回_1ヶ月前の在庫'!$V$6:$V$10005,$V6560,'月1回_1ヶ月前の在庫'!$W$6:$W$10005,$W6560)&gt;0),N(U6559),N(U6559)+1))</f>
        <v/>
      </c>
      <c r="V6560" s="19">
        <f>IF($B6560="","",TEXT($B6560,"0000"))</f>
        <v/>
      </c>
      <c r="W6560" s="19">
        <f>IF($I6560="","",IF(ISNUMBER($I6560),TEXT($I6560,"0"),$I6560))</f>
        <v/>
      </c>
    </row>
    <row r="6561">
      <c r="B6561" s="25" t="n"/>
      <c r="I6561" s="25" t="n"/>
      <c r="U6561" s="19">
        <f>IF($V6561&lt;&gt;'設定'!$C$4,N(U6560),IF(OR(NOT(COUNTIF('商品マスタ'!$B$6:$B$1005,$W6561)=0),COUNTIFS('①在庫を貼る'!$V$6:$V$10005,$V6561,'①在庫を貼る'!$W$6:$W$10005,$W6561)+COUNTIFS('月1回_1ヶ月前の在庫'!$V$6:$V$10005,$V6561,'月1回_1ヶ月前の在庫'!$W$6:$W$10005,$W6561)&gt;0),N(U6560),N(U6560)+1))</f>
        <v/>
      </c>
      <c r="V6561" s="19">
        <f>IF($B6561="","",TEXT($B6561,"0000"))</f>
        <v/>
      </c>
      <c r="W6561" s="19">
        <f>IF($I6561="","",IF(ISNUMBER($I6561),TEXT($I6561,"0"),$I6561))</f>
        <v/>
      </c>
    </row>
    <row r="6562">
      <c r="B6562" s="25" t="n"/>
      <c r="I6562" s="25" t="n"/>
      <c r="U6562" s="19">
        <f>IF($V6562&lt;&gt;'設定'!$C$4,N(U6561),IF(OR(NOT(COUNTIF('商品マスタ'!$B$6:$B$1005,$W6562)=0),COUNTIFS('①在庫を貼る'!$V$6:$V$10005,$V6562,'①在庫を貼る'!$W$6:$W$10005,$W6562)+COUNTIFS('月1回_1ヶ月前の在庫'!$V$6:$V$10005,$V6562,'月1回_1ヶ月前の在庫'!$W$6:$W$10005,$W6562)&gt;0),N(U6561),N(U6561)+1))</f>
        <v/>
      </c>
      <c r="V6562" s="19">
        <f>IF($B6562="","",TEXT($B6562,"0000"))</f>
        <v/>
      </c>
      <c r="W6562" s="19">
        <f>IF($I6562="","",IF(ISNUMBER($I6562),TEXT($I6562,"0"),$I6562))</f>
        <v/>
      </c>
    </row>
    <row r="6563">
      <c r="B6563" s="25" t="n"/>
      <c r="I6563" s="25" t="n"/>
      <c r="U6563" s="19">
        <f>IF($V6563&lt;&gt;'設定'!$C$4,N(U6562),IF(OR(NOT(COUNTIF('商品マスタ'!$B$6:$B$1005,$W6563)=0),COUNTIFS('①在庫を貼る'!$V$6:$V$10005,$V6563,'①在庫を貼る'!$W$6:$W$10005,$W6563)+COUNTIFS('月1回_1ヶ月前の在庫'!$V$6:$V$10005,$V6563,'月1回_1ヶ月前の在庫'!$W$6:$W$10005,$W6563)&gt;0),N(U6562),N(U6562)+1))</f>
        <v/>
      </c>
      <c r="V6563" s="19">
        <f>IF($B6563="","",TEXT($B6563,"0000"))</f>
        <v/>
      </c>
      <c r="W6563" s="19">
        <f>IF($I6563="","",IF(ISNUMBER($I6563),TEXT($I6563,"0"),$I6563))</f>
        <v/>
      </c>
    </row>
    <row r="6564">
      <c r="B6564" s="25" t="n"/>
      <c r="I6564" s="25" t="n"/>
      <c r="U6564" s="19">
        <f>IF($V6564&lt;&gt;'設定'!$C$4,N(U6563),IF(OR(NOT(COUNTIF('商品マスタ'!$B$6:$B$1005,$W6564)=0),COUNTIFS('①在庫を貼る'!$V$6:$V$10005,$V6564,'①在庫を貼る'!$W$6:$W$10005,$W6564)+COUNTIFS('月1回_1ヶ月前の在庫'!$V$6:$V$10005,$V6564,'月1回_1ヶ月前の在庫'!$W$6:$W$10005,$W6564)&gt;0),N(U6563),N(U6563)+1))</f>
        <v/>
      </c>
      <c r="V6564" s="19">
        <f>IF($B6564="","",TEXT($B6564,"0000"))</f>
        <v/>
      </c>
      <c r="W6564" s="19">
        <f>IF($I6564="","",IF(ISNUMBER($I6564),TEXT($I6564,"0"),$I6564))</f>
        <v/>
      </c>
    </row>
    <row r="6565">
      <c r="B6565" s="25" t="n"/>
      <c r="I6565" s="25" t="n"/>
      <c r="U6565" s="19">
        <f>IF($V6565&lt;&gt;'設定'!$C$4,N(U6564),IF(OR(NOT(COUNTIF('商品マスタ'!$B$6:$B$1005,$W6565)=0),COUNTIFS('①在庫を貼る'!$V$6:$V$10005,$V6565,'①在庫を貼る'!$W$6:$W$10005,$W6565)+COUNTIFS('月1回_1ヶ月前の在庫'!$V$6:$V$10005,$V6565,'月1回_1ヶ月前の在庫'!$W$6:$W$10005,$W6565)&gt;0),N(U6564),N(U6564)+1))</f>
        <v/>
      </c>
      <c r="V6565" s="19">
        <f>IF($B6565="","",TEXT($B6565,"0000"))</f>
        <v/>
      </c>
      <c r="W6565" s="19">
        <f>IF($I6565="","",IF(ISNUMBER($I6565),TEXT($I6565,"0"),$I6565))</f>
        <v/>
      </c>
    </row>
    <row r="6566">
      <c r="B6566" s="25" t="n"/>
      <c r="I6566" s="25" t="n"/>
      <c r="U6566" s="19">
        <f>IF($V6566&lt;&gt;'設定'!$C$4,N(U6565),IF(OR(NOT(COUNTIF('商品マスタ'!$B$6:$B$1005,$W6566)=0),COUNTIFS('①在庫を貼る'!$V$6:$V$10005,$V6566,'①在庫を貼る'!$W$6:$W$10005,$W6566)+COUNTIFS('月1回_1ヶ月前の在庫'!$V$6:$V$10005,$V6566,'月1回_1ヶ月前の在庫'!$W$6:$W$10005,$W6566)&gt;0),N(U6565),N(U6565)+1))</f>
        <v/>
      </c>
      <c r="V6566" s="19">
        <f>IF($B6566="","",TEXT($B6566,"0000"))</f>
        <v/>
      </c>
      <c r="W6566" s="19">
        <f>IF($I6566="","",IF(ISNUMBER($I6566),TEXT($I6566,"0"),$I6566))</f>
        <v/>
      </c>
    </row>
    <row r="6567">
      <c r="B6567" s="25" t="n"/>
      <c r="I6567" s="25" t="n"/>
      <c r="U6567" s="19">
        <f>IF($V6567&lt;&gt;'設定'!$C$4,N(U6566),IF(OR(NOT(COUNTIF('商品マスタ'!$B$6:$B$1005,$W6567)=0),COUNTIFS('①在庫を貼る'!$V$6:$V$10005,$V6567,'①在庫を貼る'!$W$6:$W$10005,$W6567)+COUNTIFS('月1回_1ヶ月前の在庫'!$V$6:$V$10005,$V6567,'月1回_1ヶ月前の在庫'!$W$6:$W$10005,$W6567)&gt;0),N(U6566),N(U6566)+1))</f>
        <v/>
      </c>
      <c r="V6567" s="19">
        <f>IF($B6567="","",TEXT($B6567,"0000"))</f>
        <v/>
      </c>
      <c r="W6567" s="19">
        <f>IF($I6567="","",IF(ISNUMBER($I6567),TEXT($I6567,"0"),$I6567))</f>
        <v/>
      </c>
    </row>
    <row r="6568">
      <c r="B6568" s="25" t="n"/>
      <c r="I6568" s="25" t="n"/>
      <c r="U6568" s="19">
        <f>IF($V6568&lt;&gt;'設定'!$C$4,N(U6567),IF(OR(NOT(COUNTIF('商品マスタ'!$B$6:$B$1005,$W6568)=0),COUNTIFS('①在庫を貼る'!$V$6:$V$10005,$V6568,'①在庫を貼る'!$W$6:$W$10005,$W6568)+COUNTIFS('月1回_1ヶ月前の在庫'!$V$6:$V$10005,$V6568,'月1回_1ヶ月前の在庫'!$W$6:$W$10005,$W6568)&gt;0),N(U6567),N(U6567)+1))</f>
        <v/>
      </c>
      <c r="V6568" s="19">
        <f>IF($B6568="","",TEXT($B6568,"0000"))</f>
        <v/>
      </c>
      <c r="W6568" s="19">
        <f>IF($I6568="","",IF(ISNUMBER($I6568),TEXT($I6568,"0"),$I6568))</f>
        <v/>
      </c>
    </row>
    <row r="6569">
      <c r="B6569" s="25" t="n"/>
      <c r="I6569" s="25" t="n"/>
      <c r="U6569" s="19">
        <f>IF($V6569&lt;&gt;'設定'!$C$4,N(U6568),IF(OR(NOT(COUNTIF('商品マスタ'!$B$6:$B$1005,$W6569)=0),COUNTIFS('①在庫を貼る'!$V$6:$V$10005,$V6569,'①在庫を貼る'!$W$6:$W$10005,$W6569)+COUNTIFS('月1回_1ヶ月前の在庫'!$V$6:$V$10005,$V6569,'月1回_1ヶ月前の在庫'!$W$6:$W$10005,$W6569)&gt;0),N(U6568),N(U6568)+1))</f>
        <v/>
      </c>
      <c r="V6569" s="19">
        <f>IF($B6569="","",TEXT($B6569,"0000"))</f>
        <v/>
      </c>
      <c r="W6569" s="19">
        <f>IF($I6569="","",IF(ISNUMBER($I6569),TEXT($I6569,"0"),$I6569))</f>
        <v/>
      </c>
    </row>
    <row r="6570">
      <c r="B6570" s="25" t="n"/>
      <c r="I6570" s="25" t="n"/>
      <c r="U6570" s="19">
        <f>IF($V6570&lt;&gt;'設定'!$C$4,N(U6569),IF(OR(NOT(COUNTIF('商品マスタ'!$B$6:$B$1005,$W6570)=0),COUNTIFS('①在庫を貼る'!$V$6:$V$10005,$V6570,'①在庫を貼る'!$W$6:$W$10005,$W6570)+COUNTIFS('月1回_1ヶ月前の在庫'!$V$6:$V$10005,$V6570,'月1回_1ヶ月前の在庫'!$W$6:$W$10005,$W6570)&gt;0),N(U6569),N(U6569)+1))</f>
        <v/>
      </c>
      <c r="V6570" s="19">
        <f>IF($B6570="","",TEXT($B6570,"0000"))</f>
        <v/>
      </c>
      <c r="W6570" s="19">
        <f>IF($I6570="","",IF(ISNUMBER($I6570),TEXT($I6570,"0"),$I6570))</f>
        <v/>
      </c>
    </row>
    <row r="6571">
      <c r="B6571" s="25" t="n"/>
      <c r="I6571" s="25" t="n"/>
      <c r="U6571" s="19">
        <f>IF($V6571&lt;&gt;'設定'!$C$4,N(U6570),IF(OR(NOT(COUNTIF('商品マスタ'!$B$6:$B$1005,$W6571)=0),COUNTIFS('①在庫を貼る'!$V$6:$V$10005,$V6571,'①在庫を貼る'!$W$6:$W$10005,$W6571)+COUNTIFS('月1回_1ヶ月前の在庫'!$V$6:$V$10005,$V6571,'月1回_1ヶ月前の在庫'!$W$6:$W$10005,$W6571)&gt;0),N(U6570),N(U6570)+1))</f>
        <v/>
      </c>
      <c r="V6571" s="19">
        <f>IF($B6571="","",TEXT($B6571,"0000"))</f>
        <v/>
      </c>
      <c r="W6571" s="19">
        <f>IF($I6571="","",IF(ISNUMBER($I6571),TEXT($I6571,"0"),$I6571))</f>
        <v/>
      </c>
    </row>
    <row r="6572">
      <c r="B6572" s="25" t="n"/>
      <c r="I6572" s="25" t="n"/>
      <c r="U6572" s="19">
        <f>IF($V6572&lt;&gt;'設定'!$C$4,N(U6571),IF(OR(NOT(COUNTIF('商品マスタ'!$B$6:$B$1005,$W6572)=0),COUNTIFS('①在庫を貼る'!$V$6:$V$10005,$V6572,'①在庫を貼る'!$W$6:$W$10005,$W6572)+COUNTIFS('月1回_1ヶ月前の在庫'!$V$6:$V$10005,$V6572,'月1回_1ヶ月前の在庫'!$W$6:$W$10005,$W6572)&gt;0),N(U6571),N(U6571)+1))</f>
        <v/>
      </c>
      <c r="V6572" s="19">
        <f>IF($B6572="","",TEXT($B6572,"0000"))</f>
        <v/>
      </c>
      <c r="W6572" s="19">
        <f>IF($I6572="","",IF(ISNUMBER($I6572),TEXT($I6572,"0"),$I6572))</f>
        <v/>
      </c>
    </row>
    <row r="6573">
      <c r="B6573" s="25" t="n"/>
      <c r="I6573" s="25" t="n"/>
      <c r="U6573" s="19">
        <f>IF($V6573&lt;&gt;'設定'!$C$4,N(U6572),IF(OR(NOT(COUNTIF('商品マスタ'!$B$6:$B$1005,$W6573)=0),COUNTIFS('①在庫を貼る'!$V$6:$V$10005,$V6573,'①在庫を貼る'!$W$6:$W$10005,$W6573)+COUNTIFS('月1回_1ヶ月前の在庫'!$V$6:$V$10005,$V6573,'月1回_1ヶ月前の在庫'!$W$6:$W$10005,$W6573)&gt;0),N(U6572),N(U6572)+1))</f>
        <v/>
      </c>
      <c r="V6573" s="19">
        <f>IF($B6573="","",TEXT($B6573,"0000"))</f>
        <v/>
      </c>
      <c r="W6573" s="19">
        <f>IF($I6573="","",IF(ISNUMBER($I6573),TEXT($I6573,"0"),$I6573))</f>
        <v/>
      </c>
    </row>
    <row r="6574">
      <c r="B6574" s="25" t="n"/>
      <c r="I6574" s="25" t="n"/>
      <c r="U6574" s="19">
        <f>IF($V6574&lt;&gt;'設定'!$C$4,N(U6573),IF(OR(NOT(COUNTIF('商品マスタ'!$B$6:$B$1005,$W6574)=0),COUNTIFS('①在庫を貼る'!$V$6:$V$10005,$V6574,'①在庫を貼る'!$W$6:$W$10005,$W6574)+COUNTIFS('月1回_1ヶ月前の在庫'!$V$6:$V$10005,$V6574,'月1回_1ヶ月前の在庫'!$W$6:$W$10005,$W6574)&gt;0),N(U6573),N(U6573)+1))</f>
        <v/>
      </c>
      <c r="V6574" s="19">
        <f>IF($B6574="","",TEXT($B6574,"0000"))</f>
        <v/>
      </c>
      <c r="W6574" s="19">
        <f>IF($I6574="","",IF(ISNUMBER($I6574),TEXT($I6574,"0"),$I6574))</f>
        <v/>
      </c>
    </row>
    <row r="6575">
      <c r="B6575" s="25" t="n"/>
      <c r="I6575" s="25" t="n"/>
      <c r="U6575" s="19">
        <f>IF($V6575&lt;&gt;'設定'!$C$4,N(U6574),IF(OR(NOT(COUNTIF('商品マスタ'!$B$6:$B$1005,$W6575)=0),COUNTIFS('①在庫を貼る'!$V$6:$V$10005,$V6575,'①在庫を貼る'!$W$6:$W$10005,$W6575)+COUNTIFS('月1回_1ヶ月前の在庫'!$V$6:$V$10005,$V6575,'月1回_1ヶ月前の在庫'!$W$6:$W$10005,$W6575)&gt;0),N(U6574),N(U6574)+1))</f>
        <v/>
      </c>
      <c r="V6575" s="19">
        <f>IF($B6575="","",TEXT($B6575,"0000"))</f>
        <v/>
      </c>
      <c r="W6575" s="19">
        <f>IF($I6575="","",IF(ISNUMBER($I6575),TEXT($I6575,"0"),$I6575))</f>
        <v/>
      </c>
    </row>
    <row r="6576">
      <c r="B6576" s="25" t="n"/>
      <c r="I6576" s="25" t="n"/>
      <c r="U6576" s="19">
        <f>IF($V6576&lt;&gt;'設定'!$C$4,N(U6575),IF(OR(NOT(COUNTIF('商品マスタ'!$B$6:$B$1005,$W6576)=0),COUNTIFS('①在庫を貼る'!$V$6:$V$10005,$V6576,'①在庫を貼る'!$W$6:$W$10005,$W6576)+COUNTIFS('月1回_1ヶ月前の在庫'!$V$6:$V$10005,$V6576,'月1回_1ヶ月前の在庫'!$W$6:$W$10005,$W6576)&gt;0),N(U6575),N(U6575)+1))</f>
        <v/>
      </c>
      <c r="V6576" s="19">
        <f>IF($B6576="","",TEXT($B6576,"0000"))</f>
        <v/>
      </c>
      <c r="W6576" s="19">
        <f>IF($I6576="","",IF(ISNUMBER($I6576),TEXT($I6576,"0"),$I6576))</f>
        <v/>
      </c>
    </row>
    <row r="6577">
      <c r="B6577" s="25" t="n"/>
      <c r="I6577" s="25" t="n"/>
      <c r="U6577" s="19">
        <f>IF($V6577&lt;&gt;'設定'!$C$4,N(U6576),IF(OR(NOT(COUNTIF('商品マスタ'!$B$6:$B$1005,$W6577)=0),COUNTIFS('①在庫を貼る'!$V$6:$V$10005,$V6577,'①在庫を貼る'!$W$6:$W$10005,$W6577)+COUNTIFS('月1回_1ヶ月前の在庫'!$V$6:$V$10005,$V6577,'月1回_1ヶ月前の在庫'!$W$6:$W$10005,$W6577)&gt;0),N(U6576),N(U6576)+1))</f>
        <v/>
      </c>
      <c r="V6577" s="19">
        <f>IF($B6577="","",TEXT($B6577,"0000"))</f>
        <v/>
      </c>
      <c r="W6577" s="19">
        <f>IF($I6577="","",IF(ISNUMBER($I6577),TEXT($I6577,"0"),$I6577))</f>
        <v/>
      </c>
    </row>
    <row r="6578">
      <c r="B6578" s="25" t="n"/>
      <c r="I6578" s="25" t="n"/>
      <c r="U6578" s="19">
        <f>IF($V6578&lt;&gt;'設定'!$C$4,N(U6577),IF(OR(NOT(COUNTIF('商品マスタ'!$B$6:$B$1005,$W6578)=0),COUNTIFS('①在庫を貼る'!$V$6:$V$10005,$V6578,'①在庫を貼る'!$W$6:$W$10005,$W6578)+COUNTIFS('月1回_1ヶ月前の在庫'!$V$6:$V$10005,$V6578,'月1回_1ヶ月前の在庫'!$W$6:$W$10005,$W6578)&gt;0),N(U6577),N(U6577)+1))</f>
        <v/>
      </c>
      <c r="V6578" s="19">
        <f>IF($B6578="","",TEXT($B6578,"0000"))</f>
        <v/>
      </c>
      <c r="W6578" s="19">
        <f>IF($I6578="","",IF(ISNUMBER($I6578),TEXT($I6578,"0"),$I6578))</f>
        <v/>
      </c>
    </row>
    <row r="6579">
      <c r="B6579" s="25" t="n"/>
      <c r="I6579" s="25" t="n"/>
      <c r="U6579" s="19">
        <f>IF($V6579&lt;&gt;'設定'!$C$4,N(U6578),IF(OR(NOT(COUNTIF('商品マスタ'!$B$6:$B$1005,$W6579)=0),COUNTIFS('①在庫を貼る'!$V$6:$V$10005,$V6579,'①在庫を貼る'!$W$6:$W$10005,$W6579)+COUNTIFS('月1回_1ヶ月前の在庫'!$V$6:$V$10005,$V6579,'月1回_1ヶ月前の在庫'!$W$6:$W$10005,$W6579)&gt;0),N(U6578),N(U6578)+1))</f>
        <v/>
      </c>
      <c r="V6579" s="19">
        <f>IF($B6579="","",TEXT($B6579,"0000"))</f>
        <v/>
      </c>
      <c r="W6579" s="19">
        <f>IF($I6579="","",IF(ISNUMBER($I6579),TEXT($I6579,"0"),$I6579))</f>
        <v/>
      </c>
    </row>
    <row r="6580">
      <c r="B6580" s="25" t="n"/>
      <c r="I6580" s="25" t="n"/>
      <c r="U6580" s="19">
        <f>IF($V6580&lt;&gt;'設定'!$C$4,N(U6579),IF(OR(NOT(COUNTIF('商品マスタ'!$B$6:$B$1005,$W6580)=0),COUNTIFS('①在庫を貼る'!$V$6:$V$10005,$V6580,'①在庫を貼る'!$W$6:$W$10005,$W6580)+COUNTIFS('月1回_1ヶ月前の在庫'!$V$6:$V$10005,$V6580,'月1回_1ヶ月前の在庫'!$W$6:$W$10005,$W6580)&gt;0),N(U6579),N(U6579)+1))</f>
        <v/>
      </c>
      <c r="V6580" s="19">
        <f>IF($B6580="","",TEXT($B6580,"0000"))</f>
        <v/>
      </c>
      <c r="W6580" s="19">
        <f>IF($I6580="","",IF(ISNUMBER($I6580),TEXT($I6580,"0"),$I6580))</f>
        <v/>
      </c>
    </row>
    <row r="6581">
      <c r="B6581" s="25" t="n"/>
      <c r="I6581" s="25" t="n"/>
      <c r="U6581" s="19">
        <f>IF($V6581&lt;&gt;'設定'!$C$4,N(U6580),IF(OR(NOT(COUNTIF('商品マスタ'!$B$6:$B$1005,$W6581)=0),COUNTIFS('①在庫を貼る'!$V$6:$V$10005,$V6581,'①在庫を貼る'!$W$6:$W$10005,$W6581)+COUNTIFS('月1回_1ヶ月前の在庫'!$V$6:$V$10005,$V6581,'月1回_1ヶ月前の在庫'!$W$6:$W$10005,$W6581)&gt;0),N(U6580),N(U6580)+1))</f>
        <v/>
      </c>
      <c r="V6581" s="19">
        <f>IF($B6581="","",TEXT($B6581,"0000"))</f>
        <v/>
      </c>
      <c r="W6581" s="19">
        <f>IF($I6581="","",IF(ISNUMBER($I6581),TEXT($I6581,"0"),$I6581))</f>
        <v/>
      </c>
    </row>
    <row r="6582">
      <c r="B6582" s="25" t="n"/>
      <c r="I6582" s="25" t="n"/>
      <c r="U6582" s="19">
        <f>IF($V6582&lt;&gt;'設定'!$C$4,N(U6581),IF(OR(NOT(COUNTIF('商品マスタ'!$B$6:$B$1005,$W6582)=0),COUNTIFS('①在庫を貼る'!$V$6:$V$10005,$V6582,'①在庫を貼る'!$W$6:$W$10005,$W6582)+COUNTIFS('月1回_1ヶ月前の在庫'!$V$6:$V$10005,$V6582,'月1回_1ヶ月前の在庫'!$W$6:$W$10005,$W6582)&gt;0),N(U6581),N(U6581)+1))</f>
        <v/>
      </c>
      <c r="V6582" s="19">
        <f>IF($B6582="","",TEXT($B6582,"0000"))</f>
        <v/>
      </c>
      <c r="W6582" s="19">
        <f>IF($I6582="","",IF(ISNUMBER($I6582),TEXT($I6582,"0"),$I6582))</f>
        <v/>
      </c>
    </row>
    <row r="6583">
      <c r="B6583" s="25" t="n"/>
      <c r="I6583" s="25" t="n"/>
      <c r="U6583" s="19">
        <f>IF($V6583&lt;&gt;'設定'!$C$4,N(U6582),IF(OR(NOT(COUNTIF('商品マスタ'!$B$6:$B$1005,$W6583)=0),COUNTIFS('①在庫を貼る'!$V$6:$V$10005,$V6583,'①在庫を貼る'!$W$6:$W$10005,$W6583)+COUNTIFS('月1回_1ヶ月前の在庫'!$V$6:$V$10005,$V6583,'月1回_1ヶ月前の在庫'!$W$6:$W$10005,$W6583)&gt;0),N(U6582),N(U6582)+1))</f>
        <v/>
      </c>
      <c r="V6583" s="19">
        <f>IF($B6583="","",TEXT($B6583,"0000"))</f>
        <v/>
      </c>
      <c r="W6583" s="19">
        <f>IF($I6583="","",IF(ISNUMBER($I6583),TEXT($I6583,"0"),$I6583))</f>
        <v/>
      </c>
    </row>
    <row r="6584">
      <c r="B6584" s="25" t="n"/>
      <c r="I6584" s="25" t="n"/>
      <c r="U6584" s="19">
        <f>IF($V6584&lt;&gt;'設定'!$C$4,N(U6583),IF(OR(NOT(COUNTIF('商品マスタ'!$B$6:$B$1005,$W6584)=0),COUNTIFS('①在庫を貼る'!$V$6:$V$10005,$V6584,'①在庫を貼る'!$W$6:$W$10005,$W6584)+COUNTIFS('月1回_1ヶ月前の在庫'!$V$6:$V$10005,$V6584,'月1回_1ヶ月前の在庫'!$W$6:$W$10005,$W6584)&gt;0),N(U6583),N(U6583)+1))</f>
        <v/>
      </c>
      <c r="V6584" s="19">
        <f>IF($B6584="","",TEXT($B6584,"0000"))</f>
        <v/>
      </c>
      <c r="W6584" s="19">
        <f>IF($I6584="","",IF(ISNUMBER($I6584),TEXT($I6584,"0"),$I6584))</f>
        <v/>
      </c>
    </row>
    <row r="6585">
      <c r="B6585" s="25" t="n"/>
      <c r="I6585" s="25" t="n"/>
      <c r="U6585" s="19">
        <f>IF($V6585&lt;&gt;'設定'!$C$4,N(U6584),IF(OR(NOT(COUNTIF('商品マスタ'!$B$6:$B$1005,$W6585)=0),COUNTIFS('①在庫を貼る'!$V$6:$V$10005,$V6585,'①在庫を貼る'!$W$6:$W$10005,$W6585)+COUNTIFS('月1回_1ヶ月前の在庫'!$V$6:$V$10005,$V6585,'月1回_1ヶ月前の在庫'!$W$6:$W$10005,$W6585)&gt;0),N(U6584),N(U6584)+1))</f>
        <v/>
      </c>
      <c r="V6585" s="19">
        <f>IF($B6585="","",TEXT($B6585,"0000"))</f>
        <v/>
      </c>
      <c r="W6585" s="19">
        <f>IF($I6585="","",IF(ISNUMBER($I6585),TEXT($I6585,"0"),$I6585))</f>
        <v/>
      </c>
    </row>
    <row r="6586">
      <c r="B6586" s="25" t="n"/>
      <c r="I6586" s="25" t="n"/>
      <c r="U6586" s="19">
        <f>IF($V6586&lt;&gt;'設定'!$C$4,N(U6585),IF(OR(NOT(COUNTIF('商品マスタ'!$B$6:$B$1005,$W6586)=0),COUNTIFS('①在庫を貼る'!$V$6:$V$10005,$V6586,'①在庫を貼る'!$W$6:$W$10005,$W6586)+COUNTIFS('月1回_1ヶ月前の在庫'!$V$6:$V$10005,$V6586,'月1回_1ヶ月前の在庫'!$W$6:$W$10005,$W6586)&gt;0),N(U6585),N(U6585)+1))</f>
        <v/>
      </c>
      <c r="V6586" s="19">
        <f>IF($B6586="","",TEXT($B6586,"0000"))</f>
        <v/>
      </c>
      <c r="W6586" s="19">
        <f>IF($I6586="","",IF(ISNUMBER($I6586),TEXT($I6586,"0"),$I6586))</f>
        <v/>
      </c>
    </row>
    <row r="6587">
      <c r="B6587" s="25" t="n"/>
      <c r="I6587" s="25" t="n"/>
      <c r="U6587" s="19">
        <f>IF($V6587&lt;&gt;'設定'!$C$4,N(U6586),IF(OR(NOT(COUNTIF('商品マスタ'!$B$6:$B$1005,$W6587)=0),COUNTIFS('①在庫を貼る'!$V$6:$V$10005,$V6587,'①在庫を貼る'!$W$6:$W$10005,$W6587)+COUNTIFS('月1回_1ヶ月前の在庫'!$V$6:$V$10005,$V6587,'月1回_1ヶ月前の在庫'!$W$6:$W$10005,$W6587)&gt;0),N(U6586),N(U6586)+1))</f>
        <v/>
      </c>
      <c r="V6587" s="19">
        <f>IF($B6587="","",TEXT($B6587,"0000"))</f>
        <v/>
      </c>
      <c r="W6587" s="19">
        <f>IF($I6587="","",IF(ISNUMBER($I6587),TEXT($I6587,"0"),$I6587))</f>
        <v/>
      </c>
    </row>
    <row r="6588">
      <c r="B6588" s="25" t="n"/>
      <c r="I6588" s="25" t="n"/>
      <c r="U6588" s="19">
        <f>IF($V6588&lt;&gt;'設定'!$C$4,N(U6587),IF(OR(NOT(COUNTIF('商品マスタ'!$B$6:$B$1005,$W6588)=0),COUNTIFS('①在庫を貼る'!$V$6:$V$10005,$V6588,'①在庫を貼る'!$W$6:$W$10005,$W6588)+COUNTIFS('月1回_1ヶ月前の在庫'!$V$6:$V$10005,$V6588,'月1回_1ヶ月前の在庫'!$W$6:$W$10005,$W6588)&gt;0),N(U6587),N(U6587)+1))</f>
        <v/>
      </c>
      <c r="V6588" s="19">
        <f>IF($B6588="","",TEXT($B6588,"0000"))</f>
        <v/>
      </c>
      <c r="W6588" s="19">
        <f>IF($I6588="","",IF(ISNUMBER($I6588),TEXT($I6588,"0"),$I6588))</f>
        <v/>
      </c>
    </row>
    <row r="6589">
      <c r="B6589" s="25" t="n"/>
      <c r="I6589" s="25" t="n"/>
      <c r="U6589" s="19">
        <f>IF($V6589&lt;&gt;'設定'!$C$4,N(U6588),IF(OR(NOT(COUNTIF('商品マスタ'!$B$6:$B$1005,$W6589)=0),COUNTIFS('①在庫を貼る'!$V$6:$V$10005,$V6589,'①在庫を貼る'!$W$6:$W$10005,$W6589)+COUNTIFS('月1回_1ヶ月前の在庫'!$V$6:$V$10005,$V6589,'月1回_1ヶ月前の在庫'!$W$6:$W$10005,$W6589)&gt;0),N(U6588),N(U6588)+1))</f>
        <v/>
      </c>
      <c r="V6589" s="19">
        <f>IF($B6589="","",TEXT($B6589,"0000"))</f>
        <v/>
      </c>
      <c r="W6589" s="19">
        <f>IF($I6589="","",IF(ISNUMBER($I6589),TEXT($I6589,"0"),$I6589))</f>
        <v/>
      </c>
    </row>
    <row r="6590">
      <c r="B6590" s="25" t="n"/>
      <c r="I6590" s="25" t="n"/>
      <c r="U6590" s="19">
        <f>IF($V6590&lt;&gt;'設定'!$C$4,N(U6589),IF(OR(NOT(COUNTIF('商品マスタ'!$B$6:$B$1005,$W6590)=0),COUNTIFS('①在庫を貼る'!$V$6:$V$10005,$V6590,'①在庫を貼る'!$W$6:$W$10005,$W6590)+COUNTIFS('月1回_1ヶ月前の在庫'!$V$6:$V$10005,$V6590,'月1回_1ヶ月前の在庫'!$W$6:$W$10005,$W6590)&gt;0),N(U6589),N(U6589)+1))</f>
        <v/>
      </c>
      <c r="V6590" s="19">
        <f>IF($B6590="","",TEXT($B6590,"0000"))</f>
        <v/>
      </c>
      <c r="W6590" s="19">
        <f>IF($I6590="","",IF(ISNUMBER($I6590),TEXT($I6590,"0"),$I6590))</f>
        <v/>
      </c>
    </row>
    <row r="6591">
      <c r="B6591" s="25" t="n"/>
      <c r="I6591" s="25" t="n"/>
      <c r="U6591" s="19">
        <f>IF($V6591&lt;&gt;'設定'!$C$4,N(U6590),IF(OR(NOT(COUNTIF('商品マスタ'!$B$6:$B$1005,$W6591)=0),COUNTIFS('①在庫を貼る'!$V$6:$V$10005,$V6591,'①在庫を貼る'!$W$6:$W$10005,$W6591)+COUNTIFS('月1回_1ヶ月前の在庫'!$V$6:$V$10005,$V6591,'月1回_1ヶ月前の在庫'!$W$6:$W$10005,$W6591)&gt;0),N(U6590),N(U6590)+1))</f>
        <v/>
      </c>
      <c r="V6591" s="19">
        <f>IF($B6591="","",TEXT($B6591,"0000"))</f>
        <v/>
      </c>
      <c r="W6591" s="19">
        <f>IF($I6591="","",IF(ISNUMBER($I6591),TEXT($I6591,"0"),$I6591))</f>
        <v/>
      </c>
    </row>
    <row r="6592">
      <c r="B6592" s="25" t="n"/>
      <c r="I6592" s="25" t="n"/>
      <c r="U6592" s="19">
        <f>IF($V6592&lt;&gt;'設定'!$C$4,N(U6591),IF(OR(NOT(COUNTIF('商品マスタ'!$B$6:$B$1005,$W6592)=0),COUNTIFS('①在庫を貼る'!$V$6:$V$10005,$V6592,'①在庫を貼る'!$W$6:$W$10005,$W6592)+COUNTIFS('月1回_1ヶ月前の在庫'!$V$6:$V$10005,$V6592,'月1回_1ヶ月前の在庫'!$W$6:$W$10005,$W6592)&gt;0),N(U6591),N(U6591)+1))</f>
        <v/>
      </c>
      <c r="V6592" s="19">
        <f>IF($B6592="","",TEXT($B6592,"0000"))</f>
        <v/>
      </c>
      <c r="W6592" s="19">
        <f>IF($I6592="","",IF(ISNUMBER($I6592),TEXT($I6592,"0"),$I6592))</f>
        <v/>
      </c>
    </row>
    <row r="6593">
      <c r="B6593" s="25" t="n"/>
      <c r="I6593" s="25" t="n"/>
      <c r="U6593" s="19">
        <f>IF($V6593&lt;&gt;'設定'!$C$4,N(U6592),IF(OR(NOT(COUNTIF('商品マスタ'!$B$6:$B$1005,$W6593)=0),COUNTIFS('①在庫を貼る'!$V$6:$V$10005,$V6593,'①在庫を貼る'!$W$6:$W$10005,$W6593)+COUNTIFS('月1回_1ヶ月前の在庫'!$V$6:$V$10005,$V6593,'月1回_1ヶ月前の在庫'!$W$6:$W$10005,$W6593)&gt;0),N(U6592),N(U6592)+1))</f>
        <v/>
      </c>
      <c r="V6593" s="19">
        <f>IF($B6593="","",TEXT($B6593,"0000"))</f>
        <v/>
      </c>
      <c r="W6593" s="19">
        <f>IF($I6593="","",IF(ISNUMBER($I6593),TEXT($I6593,"0"),$I6593))</f>
        <v/>
      </c>
    </row>
    <row r="6594">
      <c r="B6594" s="25" t="n"/>
      <c r="I6594" s="25" t="n"/>
      <c r="U6594" s="19">
        <f>IF($V6594&lt;&gt;'設定'!$C$4,N(U6593),IF(OR(NOT(COUNTIF('商品マスタ'!$B$6:$B$1005,$W6594)=0),COUNTIFS('①在庫を貼る'!$V$6:$V$10005,$V6594,'①在庫を貼る'!$W$6:$W$10005,$W6594)+COUNTIFS('月1回_1ヶ月前の在庫'!$V$6:$V$10005,$V6594,'月1回_1ヶ月前の在庫'!$W$6:$W$10005,$W6594)&gt;0),N(U6593),N(U6593)+1))</f>
        <v/>
      </c>
      <c r="V6594" s="19">
        <f>IF($B6594="","",TEXT($B6594,"0000"))</f>
        <v/>
      </c>
      <c r="W6594" s="19">
        <f>IF($I6594="","",IF(ISNUMBER($I6594),TEXT($I6594,"0"),$I6594))</f>
        <v/>
      </c>
    </row>
    <row r="6595">
      <c r="B6595" s="25" t="n"/>
      <c r="I6595" s="25" t="n"/>
      <c r="U6595" s="19">
        <f>IF($V6595&lt;&gt;'設定'!$C$4,N(U6594),IF(OR(NOT(COUNTIF('商品マスタ'!$B$6:$B$1005,$W6595)=0),COUNTIFS('①在庫を貼る'!$V$6:$V$10005,$V6595,'①在庫を貼る'!$W$6:$W$10005,$W6595)+COUNTIFS('月1回_1ヶ月前の在庫'!$V$6:$V$10005,$V6595,'月1回_1ヶ月前の在庫'!$W$6:$W$10005,$W6595)&gt;0),N(U6594),N(U6594)+1))</f>
        <v/>
      </c>
      <c r="V6595" s="19">
        <f>IF($B6595="","",TEXT($B6595,"0000"))</f>
        <v/>
      </c>
      <c r="W6595" s="19">
        <f>IF($I6595="","",IF(ISNUMBER($I6595),TEXT($I6595,"0"),$I6595))</f>
        <v/>
      </c>
    </row>
    <row r="6596">
      <c r="B6596" s="25" t="n"/>
      <c r="I6596" s="25" t="n"/>
      <c r="U6596" s="19">
        <f>IF($V6596&lt;&gt;'設定'!$C$4,N(U6595),IF(OR(NOT(COUNTIF('商品マスタ'!$B$6:$B$1005,$W6596)=0),COUNTIFS('①在庫を貼る'!$V$6:$V$10005,$V6596,'①在庫を貼る'!$W$6:$W$10005,$W6596)+COUNTIFS('月1回_1ヶ月前の在庫'!$V$6:$V$10005,$V6596,'月1回_1ヶ月前の在庫'!$W$6:$W$10005,$W6596)&gt;0),N(U6595),N(U6595)+1))</f>
        <v/>
      </c>
      <c r="V6596" s="19">
        <f>IF($B6596="","",TEXT($B6596,"0000"))</f>
        <v/>
      </c>
      <c r="W6596" s="19">
        <f>IF($I6596="","",IF(ISNUMBER($I6596),TEXT($I6596,"0"),$I6596))</f>
        <v/>
      </c>
    </row>
    <row r="6597">
      <c r="B6597" s="25" t="n"/>
      <c r="I6597" s="25" t="n"/>
      <c r="U6597" s="19">
        <f>IF($V6597&lt;&gt;'設定'!$C$4,N(U6596),IF(OR(NOT(COUNTIF('商品マスタ'!$B$6:$B$1005,$W6597)=0),COUNTIFS('①在庫を貼る'!$V$6:$V$10005,$V6597,'①在庫を貼る'!$W$6:$W$10005,$W6597)+COUNTIFS('月1回_1ヶ月前の在庫'!$V$6:$V$10005,$V6597,'月1回_1ヶ月前の在庫'!$W$6:$W$10005,$W6597)&gt;0),N(U6596),N(U6596)+1))</f>
        <v/>
      </c>
      <c r="V6597" s="19">
        <f>IF($B6597="","",TEXT($B6597,"0000"))</f>
        <v/>
      </c>
      <c r="W6597" s="19">
        <f>IF($I6597="","",IF(ISNUMBER($I6597),TEXT($I6597,"0"),$I6597))</f>
        <v/>
      </c>
    </row>
    <row r="6598">
      <c r="B6598" s="25" t="n"/>
      <c r="I6598" s="25" t="n"/>
      <c r="U6598" s="19">
        <f>IF($V6598&lt;&gt;'設定'!$C$4,N(U6597),IF(OR(NOT(COUNTIF('商品マスタ'!$B$6:$B$1005,$W6598)=0),COUNTIFS('①在庫を貼る'!$V$6:$V$10005,$V6598,'①在庫を貼る'!$W$6:$W$10005,$W6598)+COUNTIFS('月1回_1ヶ月前の在庫'!$V$6:$V$10005,$V6598,'月1回_1ヶ月前の在庫'!$W$6:$W$10005,$W6598)&gt;0),N(U6597),N(U6597)+1))</f>
        <v/>
      </c>
      <c r="V6598" s="19">
        <f>IF($B6598="","",TEXT($B6598,"0000"))</f>
        <v/>
      </c>
      <c r="W6598" s="19">
        <f>IF($I6598="","",IF(ISNUMBER($I6598),TEXT($I6598,"0"),$I6598))</f>
        <v/>
      </c>
    </row>
    <row r="6599">
      <c r="B6599" s="25" t="n"/>
      <c r="I6599" s="25" t="n"/>
      <c r="U6599" s="19">
        <f>IF($V6599&lt;&gt;'設定'!$C$4,N(U6598),IF(OR(NOT(COUNTIF('商品マスタ'!$B$6:$B$1005,$W6599)=0),COUNTIFS('①在庫を貼る'!$V$6:$V$10005,$V6599,'①在庫を貼る'!$W$6:$W$10005,$W6599)+COUNTIFS('月1回_1ヶ月前の在庫'!$V$6:$V$10005,$V6599,'月1回_1ヶ月前の在庫'!$W$6:$W$10005,$W6599)&gt;0),N(U6598),N(U6598)+1))</f>
        <v/>
      </c>
      <c r="V6599" s="19">
        <f>IF($B6599="","",TEXT($B6599,"0000"))</f>
        <v/>
      </c>
      <c r="W6599" s="19">
        <f>IF($I6599="","",IF(ISNUMBER($I6599),TEXT($I6599,"0"),$I6599))</f>
        <v/>
      </c>
    </row>
    <row r="6600">
      <c r="B6600" s="25" t="n"/>
      <c r="I6600" s="25" t="n"/>
      <c r="U6600" s="19">
        <f>IF($V6600&lt;&gt;'設定'!$C$4,N(U6599),IF(OR(NOT(COUNTIF('商品マスタ'!$B$6:$B$1005,$W6600)=0),COUNTIFS('①在庫を貼る'!$V$6:$V$10005,$V6600,'①在庫を貼る'!$W$6:$W$10005,$W6600)+COUNTIFS('月1回_1ヶ月前の在庫'!$V$6:$V$10005,$V6600,'月1回_1ヶ月前の在庫'!$W$6:$W$10005,$W6600)&gt;0),N(U6599),N(U6599)+1))</f>
        <v/>
      </c>
      <c r="V6600" s="19">
        <f>IF($B6600="","",TEXT($B6600,"0000"))</f>
        <v/>
      </c>
      <c r="W6600" s="19">
        <f>IF($I6600="","",IF(ISNUMBER($I6600),TEXT($I6600,"0"),$I6600))</f>
        <v/>
      </c>
    </row>
    <row r="6601">
      <c r="B6601" s="25" t="n"/>
      <c r="I6601" s="25" t="n"/>
      <c r="U6601" s="19">
        <f>IF($V6601&lt;&gt;'設定'!$C$4,N(U6600),IF(OR(NOT(COUNTIF('商品マスタ'!$B$6:$B$1005,$W6601)=0),COUNTIFS('①在庫を貼る'!$V$6:$V$10005,$V6601,'①在庫を貼る'!$W$6:$W$10005,$W6601)+COUNTIFS('月1回_1ヶ月前の在庫'!$V$6:$V$10005,$V6601,'月1回_1ヶ月前の在庫'!$W$6:$W$10005,$W6601)&gt;0),N(U6600),N(U6600)+1))</f>
        <v/>
      </c>
      <c r="V6601" s="19">
        <f>IF($B6601="","",TEXT($B6601,"0000"))</f>
        <v/>
      </c>
      <c r="W6601" s="19">
        <f>IF($I6601="","",IF(ISNUMBER($I6601),TEXT($I6601,"0"),$I6601))</f>
        <v/>
      </c>
    </row>
    <row r="6602">
      <c r="B6602" s="25" t="n"/>
      <c r="I6602" s="25" t="n"/>
      <c r="U6602" s="19">
        <f>IF($V6602&lt;&gt;'設定'!$C$4,N(U6601),IF(OR(NOT(COUNTIF('商品マスタ'!$B$6:$B$1005,$W6602)=0),COUNTIFS('①在庫を貼る'!$V$6:$V$10005,$V6602,'①在庫を貼る'!$W$6:$W$10005,$W6602)+COUNTIFS('月1回_1ヶ月前の在庫'!$V$6:$V$10005,$V6602,'月1回_1ヶ月前の在庫'!$W$6:$W$10005,$W6602)&gt;0),N(U6601),N(U6601)+1))</f>
        <v/>
      </c>
      <c r="V6602" s="19">
        <f>IF($B6602="","",TEXT($B6602,"0000"))</f>
        <v/>
      </c>
      <c r="W6602" s="19">
        <f>IF($I6602="","",IF(ISNUMBER($I6602),TEXT($I6602,"0"),$I6602))</f>
        <v/>
      </c>
    </row>
    <row r="6603">
      <c r="B6603" s="25" t="n"/>
      <c r="I6603" s="25" t="n"/>
      <c r="U6603" s="19">
        <f>IF($V6603&lt;&gt;'設定'!$C$4,N(U6602),IF(OR(NOT(COUNTIF('商品マスタ'!$B$6:$B$1005,$W6603)=0),COUNTIFS('①在庫を貼る'!$V$6:$V$10005,$V6603,'①在庫を貼る'!$W$6:$W$10005,$W6603)+COUNTIFS('月1回_1ヶ月前の在庫'!$V$6:$V$10005,$V6603,'月1回_1ヶ月前の在庫'!$W$6:$W$10005,$W6603)&gt;0),N(U6602),N(U6602)+1))</f>
        <v/>
      </c>
      <c r="V6603" s="19">
        <f>IF($B6603="","",TEXT($B6603,"0000"))</f>
        <v/>
      </c>
      <c r="W6603" s="19">
        <f>IF($I6603="","",IF(ISNUMBER($I6603),TEXT($I6603,"0"),$I6603))</f>
        <v/>
      </c>
    </row>
    <row r="6604">
      <c r="B6604" s="25" t="n"/>
      <c r="I6604" s="25" t="n"/>
      <c r="U6604" s="19">
        <f>IF($V6604&lt;&gt;'設定'!$C$4,N(U6603),IF(OR(NOT(COUNTIF('商品マスタ'!$B$6:$B$1005,$W6604)=0),COUNTIFS('①在庫を貼る'!$V$6:$V$10005,$V6604,'①在庫を貼る'!$W$6:$W$10005,$W6604)+COUNTIFS('月1回_1ヶ月前の在庫'!$V$6:$V$10005,$V6604,'月1回_1ヶ月前の在庫'!$W$6:$W$10005,$W6604)&gt;0),N(U6603),N(U6603)+1))</f>
        <v/>
      </c>
      <c r="V6604" s="19">
        <f>IF($B6604="","",TEXT($B6604,"0000"))</f>
        <v/>
      </c>
      <c r="W6604" s="19">
        <f>IF($I6604="","",IF(ISNUMBER($I6604),TEXT($I6604,"0"),$I6604))</f>
        <v/>
      </c>
    </row>
    <row r="6605">
      <c r="B6605" s="25" t="n"/>
      <c r="I6605" s="25" t="n"/>
      <c r="U6605" s="19">
        <f>IF($V6605&lt;&gt;'設定'!$C$4,N(U6604),IF(OR(NOT(COUNTIF('商品マスタ'!$B$6:$B$1005,$W6605)=0),COUNTIFS('①在庫を貼る'!$V$6:$V$10005,$V6605,'①在庫を貼る'!$W$6:$W$10005,$W6605)+COUNTIFS('月1回_1ヶ月前の在庫'!$V$6:$V$10005,$V6605,'月1回_1ヶ月前の在庫'!$W$6:$W$10005,$W6605)&gt;0),N(U6604),N(U6604)+1))</f>
        <v/>
      </c>
      <c r="V6605" s="19">
        <f>IF($B6605="","",TEXT($B6605,"0000"))</f>
        <v/>
      </c>
      <c r="W6605" s="19">
        <f>IF($I6605="","",IF(ISNUMBER($I6605),TEXT($I6605,"0"),$I6605))</f>
        <v/>
      </c>
    </row>
    <row r="6606">
      <c r="B6606" s="25" t="n"/>
      <c r="I6606" s="25" t="n"/>
      <c r="U6606" s="19">
        <f>IF($V6606&lt;&gt;'設定'!$C$4,N(U6605),IF(OR(NOT(COUNTIF('商品マスタ'!$B$6:$B$1005,$W6606)=0),COUNTIFS('①在庫を貼る'!$V$6:$V$10005,$V6606,'①在庫を貼る'!$W$6:$W$10005,$W6606)+COUNTIFS('月1回_1ヶ月前の在庫'!$V$6:$V$10005,$V6606,'月1回_1ヶ月前の在庫'!$W$6:$W$10005,$W6606)&gt;0),N(U6605),N(U6605)+1))</f>
        <v/>
      </c>
      <c r="V6606" s="19">
        <f>IF($B6606="","",TEXT($B6606,"0000"))</f>
        <v/>
      </c>
      <c r="W6606" s="19">
        <f>IF($I6606="","",IF(ISNUMBER($I6606),TEXT($I6606,"0"),$I6606))</f>
        <v/>
      </c>
    </row>
    <row r="6607">
      <c r="B6607" s="25" t="n"/>
      <c r="I6607" s="25" t="n"/>
      <c r="U6607" s="19">
        <f>IF($V6607&lt;&gt;'設定'!$C$4,N(U6606),IF(OR(NOT(COUNTIF('商品マスタ'!$B$6:$B$1005,$W6607)=0),COUNTIFS('①在庫を貼る'!$V$6:$V$10005,$V6607,'①在庫を貼る'!$W$6:$W$10005,$W6607)+COUNTIFS('月1回_1ヶ月前の在庫'!$V$6:$V$10005,$V6607,'月1回_1ヶ月前の在庫'!$W$6:$W$10005,$W6607)&gt;0),N(U6606),N(U6606)+1))</f>
        <v/>
      </c>
      <c r="V6607" s="19">
        <f>IF($B6607="","",TEXT($B6607,"0000"))</f>
        <v/>
      </c>
      <c r="W6607" s="19">
        <f>IF($I6607="","",IF(ISNUMBER($I6607),TEXT($I6607,"0"),$I6607))</f>
        <v/>
      </c>
    </row>
    <row r="6608">
      <c r="B6608" s="25" t="n"/>
      <c r="I6608" s="25" t="n"/>
      <c r="U6608" s="19">
        <f>IF($V6608&lt;&gt;'設定'!$C$4,N(U6607),IF(OR(NOT(COUNTIF('商品マスタ'!$B$6:$B$1005,$W6608)=0),COUNTIFS('①在庫を貼る'!$V$6:$V$10005,$V6608,'①在庫を貼る'!$W$6:$W$10005,$W6608)+COUNTIFS('月1回_1ヶ月前の在庫'!$V$6:$V$10005,$V6608,'月1回_1ヶ月前の在庫'!$W$6:$W$10005,$W6608)&gt;0),N(U6607),N(U6607)+1))</f>
        <v/>
      </c>
      <c r="V6608" s="19">
        <f>IF($B6608="","",TEXT($B6608,"0000"))</f>
        <v/>
      </c>
      <c r="W6608" s="19">
        <f>IF($I6608="","",IF(ISNUMBER($I6608),TEXT($I6608,"0"),$I6608))</f>
        <v/>
      </c>
    </row>
    <row r="6609">
      <c r="B6609" s="25" t="n"/>
      <c r="I6609" s="25" t="n"/>
      <c r="U6609" s="19">
        <f>IF($V6609&lt;&gt;'設定'!$C$4,N(U6608),IF(OR(NOT(COUNTIF('商品マスタ'!$B$6:$B$1005,$W6609)=0),COUNTIFS('①在庫を貼る'!$V$6:$V$10005,$V6609,'①在庫を貼る'!$W$6:$W$10005,$W6609)+COUNTIFS('月1回_1ヶ月前の在庫'!$V$6:$V$10005,$V6609,'月1回_1ヶ月前の在庫'!$W$6:$W$10005,$W6609)&gt;0),N(U6608),N(U6608)+1))</f>
        <v/>
      </c>
      <c r="V6609" s="19">
        <f>IF($B6609="","",TEXT($B6609,"0000"))</f>
        <v/>
      </c>
      <c r="W6609" s="19">
        <f>IF($I6609="","",IF(ISNUMBER($I6609),TEXT($I6609,"0"),$I6609))</f>
        <v/>
      </c>
    </row>
    <row r="6610">
      <c r="B6610" s="25" t="n"/>
      <c r="I6610" s="25" t="n"/>
      <c r="U6610" s="19">
        <f>IF($V6610&lt;&gt;'設定'!$C$4,N(U6609),IF(OR(NOT(COUNTIF('商品マスタ'!$B$6:$B$1005,$W6610)=0),COUNTIFS('①在庫を貼る'!$V$6:$V$10005,$V6610,'①在庫を貼る'!$W$6:$W$10005,$W6610)+COUNTIFS('月1回_1ヶ月前の在庫'!$V$6:$V$10005,$V6610,'月1回_1ヶ月前の在庫'!$W$6:$W$10005,$W6610)&gt;0),N(U6609),N(U6609)+1))</f>
        <v/>
      </c>
      <c r="V6610" s="19">
        <f>IF($B6610="","",TEXT($B6610,"0000"))</f>
        <v/>
      </c>
      <c r="W6610" s="19">
        <f>IF($I6610="","",IF(ISNUMBER($I6610),TEXT($I6610,"0"),$I6610))</f>
        <v/>
      </c>
    </row>
    <row r="6611">
      <c r="B6611" s="25" t="n"/>
      <c r="I6611" s="25" t="n"/>
      <c r="U6611" s="19">
        <f>IF($V6611&lt;&gt;'設定'!$C$4,N(U6610),IF(OR(NOT(COUNTIF('商品マスタ'!$B$6:$B$1005,$W6611)=0),COUNTIFS('①在庫を貼る'!$V$6:$V$10005,$V6611,'①在庫を貼る'!$W$6:$W$10005,$W6611)+COUNTIFS('月1回_1ヶ月前の在庫'!$V$6:$V$10005,$V6611,'月1回_1ヶ月前の在庫'!$W$6:$W$10005,$W6611)&gt;0),N(U6610),N(U6610)+1))</f>
        <v/>
      </c>
      <c r="V6611" s="19">
        <f>IF($B6611="","",TEXT($B6611,"0000"))</f>
        <v/>
      </c>
      <c r="W6611" s="19">
        <f>IF($I6611="","",IF(ISNUMBER($I6611),TEXT($I6611,"0"),$I6611))</f>
        <v/>
      </c>
    </row>
    <row r="6612">
      <c r="B6612" s="25" t="n"/>
      <c r="I6612" s="25" t="n"/>
      <c r="U6612" s="19">
        <f>IF($V6612&lt;&gt;'設定'!$C$4,N(U6611),IF(OR(NOT(COUNTIF('商品マスタ'!$B$6:$B$1005,$W6612)=0),COUNTIFS('①在庫を貼る'!$V$6:$V$10005,$V6612,'①在庫を貼る'!$W$6:$W$10005,$W6612)+COUNTIFS('月1回_1ヶ月前の在庫'!$V$6:$V$10005,$V6612,'月1回_1ヶ月前の在庫'!$W$6:$W$10005,$W6612)&gt;0),N(U6611),N(U6611)+1))</f>
        <v/>
      </c>
      <c r="V6612" s="19">
        <f>IF($B6612="","",TEXT($B6612,"0000"))</f>
        <v/>
      </c>
      <c r="W6612" s="19">
        <f>IF($I6612="","",IF(ISNUMBER($I6612),TEXT($I6612,"0"),$I6612))</f>
        <v/>
      </c>
    </row>
    <row r="6613">
      <c r="B6613" s="25" t="n"/>
      <c r="I6613" s="25" t="n"/>
      <c r="U6613" s="19">
        <f>IF($V6613&lt;&gt;'設定'!$C$4,N(U6612),IF(OR(NOT(COUNTIF('商品マスタ'!$B$6:$B$1005,$W6613)=0),COUNTIFS('①在庫を貼る'!$V$6:$V$10005,$V6613,'①在庫を貼る'!$W$6:$W$10005,$W6613)+COUNTIFS('月1回_1ヶ月前の在庫'!$V$6:$V$10005,$V6613,'月1回_1ヶ月前の在庫'!$W$6:$W$10005,$W6613)&gt;0),N(U6612),N(U6612)+1))</f>
        <v/>
      </c>
      <c r="V6613" s="19">
        <f>IF($B6613="","",TEXT($B6613,"0000"))</f>
        <v/>
      </c>
      <c r="W6613" s="19">
        <f>IF($I6613="","",IF(ISNUMBER($I6613),TEXT($I6613,"0"),$I6613))</f>
        <v/>
      </c>
    </row>
    <row r="6614">
      <c r="B6614" s="25" t="n"/>
      <c r="I6614" s="25" t="n"/>
      <c r="U6614" s="19">
        <f>IF($V6614&lt;&gt;'設定'!$C$4,N(U6613),IF(OR(NOT(COUNTIF('商品マスタ'!$B$6:$B$1005,$W6614)=0),COUNTIFS('①在庫を貼る'!$V$6:$V$10005,$V6614,'①在庫を貼る'!$W$6:$W$10005,$W6614)+COUNTIFS('月1回_1ヶ月前の在庫'!$V$6:$V$10005,$V6614,'月1回_1ヶ月前の在庫'!$W$6:$W$10005,$W6614)&gt;0),N(U6613),N(U6613)+1))</f>
        <v/>
      </c>
      <c r="V6614" s="19">
        <f>IF($B6614="","",TEXT($B6614,"0000"))</f>
        <v/>
      </c>
      <c r="W6614" s="19">
        <f>IF($I6614="","",IF(ISNUMBER($I6614),TEXT($I6614,"0"),$I6614))</f>
        <v/>
      </c>
    </row>
    <row r="6615">
      <c r="B6615" s="25" t="n"/>
      <c r="I6615" s="25" t="n"/>
      <c r="U6615" s="19">
        <f>IF($V6615&lt;&gt;'設定'!$C$4,N(U6614),IF(OR(NOT(COUNTIF('商品マスタ'!$B$6:$B$1005,$W6615)=0),COUNTIFS('①在庫を貼る'!$V$6:$V$10005,$V6615,'①在庫を貼る'!$W$6:$W$10005,$W6615)+COUNTIFS('月1回_1ヶ月前の在庫'!$V$6:$V$10005,$V6615,'月1回_1ヶ月前の在庫'!$W$6:$W$10005,$W6615)&gt;0),N(U6614),N(U6614)+1))</f>
        <v/>
      </c>
      <c r="V6615" s="19">
        <f>IF($B6615="","",TEXT($B6615,"0000"))</f>
        <v/>
      </c>
      <c r="W6615" s="19">
        <f>IF($I6615="","",IF(ISNUMBER($I6615),TEXT($I6615,"0"),$I6615))</f>
        <v/>
      </c>
    </row>
    <row r="6616">
      <c r="B6616" s="25" t="n"/>
      <c r="I6616" s="25" t="n"/>
      <c r="U6616" s="19">
        <f>IF($V6616&lt;&gt;'設定'!$C$4,N(U6615),IF(OR(NOT(COUNTIF('商品マスタ'!$B$6:$B$1005,$W6616)=0),COUNTIFS('①在庫を貼る'!$V$6:$V$10005,$V6616,'①在庫を貼る'!$W$6:$W$10005,$W6616)+COUNTIFS('月1回_1ヶ月前の在庫'!$V$6:$V$10005,$V6616,'月1回_1ヶ月前の在庫'!$W$6:$W$10005,$W6616)&gt;0),N(U6615),N(U6615)+1))</f>
        <v/>
      </c>
      <c r="V6616" s="19">
        <f>IF($B6616="","",TEXT($B6616,"0000"))</f>
        <v/>
      </c>
      <c r="W6616" s="19">
        <f>IF($I6616="","",IF(ISNUMBER($I6616),TEXT($I6616,"0"),$I6616))</f>
        <v/>
      </c>
    </row>
    <row r="6617">
      <c r="B6617" s="25" t="n"/>
      <c r="I6617" s="25" t="n"/>
      <c r="U6617" s="19">
        <f>IF($V6617&lt;&gt;'設定'!$C$4,N(U6616),IF(OR(NOT(COUNTIF('商品マスタ'!$B$6:$B$1005,$W6617)=0),COUNTIFS('①在庫を貼る'!$V$6:$V$10005,$V6617,'①在庫を貼る'!$W$6:$W$10005,$W6617)+COUNTIFS('月1回_1ヶ月前の在庫'!$V$6:$V$10005,$V6617,'月1回_1ヶ月前の在庫'!$W$6:$W$10005,$W6617)&gt;0),N(U6616),N(U6616)+1))</f>
        <v/>
      </c>
      <c r="V6617" s="19">
        <f>IF($B6617="","",TEXT($B6617,"0000"))</f>
        <v/>
      </c>
      <c r="W6617" s="19">
        <f>IF($I6617="","",IF(ISNUMBER($I6617),TEXT($I6617,"0"),$I6617))</f>
        <v/>
      </c>
    </row>
    <row r="6618">
      <c r="B6618" s="25" t="n"/>
      <c r="I6618" s="25" t="n"/>
      <c r="U6618" s="19">
        <f>IF($V6618&lt;&gt;'設定'!$C$4,N(U6617),IF(OR(NOT(COUNTIF('商品マスタ'!$B$6:$B$1005,$W6618)=0),COUNTIFS('①在庫を貼る'!$V$6:$V$10005,$V6618,'①在庫を貼る'!$W$6:$W$10005,$W6618)+COUNTIFS('月1回_1ヶ月前の在庫'!$V$6:$V$10005,$V6618,'月1回_1ヶ月前の在庫'!$W$6:$W$10005,$W6618)&gt;0),N(U6617),N(U6617)+1))</f>
        <v/>
      </c>
      <c r="V6618" s="19">
        <f>IF($B6618="","",TEXT($B6618,"0000"))</f>
        <v/>
      </c>
      <c r="W6618" s="19">
        <f>IF($I6618="","",IF(ISNUMBER($I6618),TEXT($I6618,"0"),$I6618))</f>
        <v/>
      </c>
    </row>
    <row r="6619">
      <c r="B6619" s="25" t="n"/>
      <c r="I6619" s="25" t="n"/>
      <c r="U6619" s="19">
        <f>IF($V6619&lt;&gt;'設定'!$C$4,N(U6618),IF(OR(NOT(COUNTIF('商品マスタ'!$B$6:$B$1005,$W6619)=0),COUNTIFS('①在庫を貼る'!$V$6:$V$10005,$V6619,'①在庫を貼る'!$W$6:$W$10005,$W6619)+COUNTIFS('月1回_1ヶ月前の在庫'!$V$6:$V$10005,$V6619,'月1回_1ヶ月前の在庫'!$W$6:$W$10005,$W6619)&gt;0),N(U6618),N(U6618)+1))</f>
        <v/>
      </c>
      <c r="V6619" s="19">
        <f>IF($B6619="","",TEXT($B6619,"0000"))</f>
        <v/>
      </c>
      <c r="W6619" s="19">
        <f>IF($I6619="","",IF(ISNUMBER($I6619),TEXT($I6619,"0"),$I6619))</f>
        <v/>
      </c>
    </row>
    <row r="6620">
      <c r="B6620" s="25" t="n"/>
      <c r="I6620" s="25" t="n"/>
      <c r="U6620" s="19">
        <f>IF($V6620&lt;&gt;'設定'!$C$4,N(U6619),IF(OR(NOT(COUNTIF('商品マスタ'!$B$6:$B$1005,$W6620)=0),COUNTIFS('①在庫を貼る'!$V$6:$V$10005,$V6620,'①在庫を貼る'!$W$6:$W$10005,$W6620)+COUNTIFS('月1回_1ヶ月前の在庫'!$V$6:$V$10005,$V6620,'月1回_1ヶ月前の在庫'!$W$6:$W$10005,$W6620)&gt;0),N(U6619),N(U6619)+1))</f>
        <v/>
      </c>
      <c r="V6620" s="19">
        <f>IF($B6620="","",TEXT($B6620,"0000"))</f>
        <v/>
      </c>
      <c r="W6620" s="19">
        <f>IF($I6620="","",IF(ISNUMBER($I6620),TEXT($I6620,"0"),$I6620))</f>
        <v/>
      </c>
    </row>
    <row r="6621">
      <c r="B6621" s="25" t="n"/>
      <c r="I6621" s="25" t="n"/>
      <c r="U6621" s="19">
        <f>IF($V6621&lt;&gt;'設定'!$C$4,N(U6620),IF(OR(NOT(COUNTIF('商品マスタ'!$B$6:$B$1005,$W6621)=0),COUNTIFS('①在庫を貼る'!$V$6:$V$10005,$V6621,'①在庫を貼る'!$W$6:$W$10005,$W6621)+COUNTIFS('月1回_1ヶ月前の在庫'!$V$6:$V$10005,$V6621,'月1回_1ヶ月前の在庫'!$W$6:$W$10005,$W6621)&gt;0),N(U6620),N(U6620)+1))</f>
        <v/>
      </c>
      <c r="V6621" s="19">
        <f>IF($B6621="","",TEXT($B6621,"0000"))</f>
        <v/>
      </c>
      <c r="W6621" s="19">
        <f>IF($I6621="","",IF(ISNUMBER($I6621),TEXT($I6621,"0"),$I6621))</f>
        <v/>
      </c>
    </row>
    <row r="6622">
      <c r="B6622" s="25" t="n"/>
      <c r="I6622" s="25" t="n"/>
      <c r="U6622" s="19">
        <f>IF($V6622&lt;&gt;'設定'!$C$4,N(U6621),IF(OR(NOT(COUNTIF('商品マスタ'!$B$6:$B$1005,$W6622)=0),COUNTIFS('①在庫を貼る'!$V$6:$V$10005,$V6622,'①在庫を貼る'!$W$6:$W$10005,$W6622)+COUNTIFS('月1回_1ヶ月前の在庫'!$V$6:$V$10005,$V6622,'月1回_1ヶ月前の在庫'!$W$6:$W$10005,$W6622)&gt;0),N(U6621),N(U6621)+1))</f>
        <v/>
      </c>
      <c r="V6622" s="19">
        <f>IF($B6622="","",TEXT($B6622,"0000"))</f>
        <v/>
      </c>
      <c r="W6622" s="19">
        <f>IF($I6622="","",IF(ISNUMBER($I6622),TEXT($I6622,"0"),$I6622))</f>
        <v/>
      </c>
    </row>
    <row r="6623">
      <c r="B6623" s="25" t="n"/>
      <c r="I6623" s="25" t="n"/>
      <c r="U6623" s="19">
        <f>IF($V6623&lt;&gt;'設定'!$C$4,N(U6622),IF(OR(NOT(COUNTIF('商品マスタ'!$B$6:$B$1005,$W6623)=0),COUNTIFS('①在庫を貼る'!$V$6:$V$10005,$V6623,'①在庫を貼る'!$W$6:$W$10005,$W6623)+COUNTIFS('月1回_1ヶ月前の在庫'!$V$6:$V$10005,$V6623,'月1回_1ヶ月前の在庫'!$W$6:$W$10005,$W6623)&gt;0),N(U6622),N(U6622)+1))</f>
        <v/>
      </c>
      <c r="V6623" s="19">
        <f>IF($B6623="","",TEXT($B6623,"0000"))</f>
        <v/>
      </c>
      <c r="W6623" s="19">
        <f>IF($I6623="","",IF(ISNUMBER($I6623),TEXT($I6623,"0"),$I6623))</f>
        <v/>
      </c>
    </row>
    <row r="6624">
      <c r="B6624" s="25" t="n"/>
      <c r="I6624" s="25" t="n"/>
      <c r="U6624" s="19">
        <f>IF($V6624&lt;&gt;'設定'!$C$4,N(U6623),IF(OR(NOT(COUNTIF('商品マスタ'!$B$6:$B$1005,$W6624)=0),COUNTIFS('①在庫を貼る'!$V$6:$V$10005,$V6624,'①在庫を貼る'!$W$6:$W$10005,$W6624)+COUNTIFS('月1回_1ヶ月前の在庫'!$V$6:$V$10005,$V6624,'月1回_1ヶ月前の在庫'!$W$6:$W$10005,$W6624)&gt;0),N(U6623),N(U6623)+1))</f>
        <v/>
      </c>
      <c r="V6624" s="19">
        <f>IF($B6624="","",TEXT($B6624,"0000"))</f>
        <v/>
      </c>
      <c r="W6624" s="19">
        <f>IF($I6624="","",IF(ISNUMBER($I6624),TEXT($I6624,"0"),$I6624))</f>
        <v/>
      </c>
    </row>
    <row r="6625">
      <c r="B6625" s="25" t="n"/>
      <c r="I6625" s="25" t="n"/>
      <c r="U6625" s="19">
        <f>IF($V6625&lt;&gt;'設定'!$C$4,N(U6624),IF(OR(NOT(COUNTIF('商品マスタ'!$B$6:$B$1005,$W6625)=0),COUNTIFS('①在庫を貼る'!$V$6:$V$10005,$V6625,'①在庫を貼る'!$W$6:$W$10005,$W6625)+COUNTIFS('月1回_1ヶ月前の在庫'!$V$6:$V$10005,$V6625,'月1回_1ヶ月前の在庫'!$W$6:$W$10005,$W6625)&gt;0),N(U6624),N(U6624)+1))</f>
        <v/>
      </c>
      <c r="V6625" s="19">
        <f>IF($B6625="","",TEXT($B6625,"0000"))</f>
        <v/>
      </c>
      <c r="W6625" s="19">
        <f>IF($I6625="","",IF(ISNUMBER($I6625),TEXT($I6625,"0"),$I6625))</f>
        <v/>
      </c>
    </row>
    <row r="6626">
      <c r="B6626" s="25" t="n"/>
      <c r="I6626" s="25" t="n"/>
      <c r="U6626" s="19">
        <f>IF($V6626&lt;&gt;'設定'!$C$4,N(U6625),IF(OR(NOT(COUNTIF('商品マスタ'!$B$6:$B$1005,$W6626)=0),COUNTIFS('①在庫を貼る'!$V$6:$V$10005,$V6626,'①在庫を貼る'!$W$6:$W$10005,$W6626)+COUNTIFS('月1回_1ヶ月前の在庫'!$V$6:$V$10005,$V6626,'月1回_1ヶ月前の在庫'!$W$6:$W$10005,$W6626)&gt;0),N(U6625),N(U6625)+1))</f>
        <v/>
      </c>
      <c r="V6626" s="19">
        <f>IF($B6626="","",TEXT($B6626,"0000"))</f>
        <v/>
      </c>
      <c r="W6626" s="19">
        <f>IF($I6626="","",IF(ISNUMBER($I6626),TEXT($I6626,"0"),$I6626))</f>
        <v/>
      </c>
    </row>
    <row r="6627">
      <c r="B6627" s="25" t="n"/>
      <c r="I6627" s="25" t="n"/>
      <c r="U6627" s="19">
        <f>IF($V6627&lt;&gt;'設定'!$C$4,N(U6626),IF(OR(NOT(COUNTIF('商品マスタ'!$B$6:$B$1005,$W6627)=0),COUNTIFS('①在庫を貼る'!$V$6:$V$10005,$V6627,'①在庫を貼る'!$W$6:$W$10005,$W6627)+COUNTIFS('月1回_1ヶ月前の在庫'!$V$6:$V$10005,$V6627,'月1回_1ヶ月前の在庫'!$W$6:$W$10005,$W6627)&gt;0),N(U6626),N(U6626)+1))</f>
        <v/>
      </c>
      <c r="V6627" s="19">
        <f>IF($B6627="","",TEXT($B6627,"0000"))</f>
        <v/>
      </c>
      <c r="W6627" s="19">
        <f>IF($I6627="","",IF(ISNUMBER($I6627),TEXT($I6627,"0"),$I6627))</f>
        <v/>
      </c>
    </row>
    <row r="6628">
      <c r="B6628" s="25" t="n"/>
      <c r="I6628" s="25" t="n"/>
      <c r="U6628" s="19">
        <f>IF($V6628&lt;&gt;'設定'!$C$4,N(U6627),IF(OR(NOT(COUNTIF('商品マスタ'!$B$6:$B$1005,$W6628)=0),COUNTIFS('①在庫を貼る'!$V$6:$V$10005,$V6628,'①在庫を貼る'!$W$6:$W$10005,$W6628)+COUNTIFS('月1回_1ヶ月前の在庫'!$V$6:$V$10005,$V6628,'月1回_1ヶ月前の在庫'!$W$6:$W$10005,$W6628)&gt;0),N(U6627),N(U6627)+1))</f>
        <v/>
      </c>
      <c r="V6628" s="19">
        <f>IF($B6628="","",TEXT($B6628,"0000"))</f>
        <v/>
      </c>
      <c r="W6628" s="19">
        <f>IF($I6628="","",IF(ISNUMBER($I6628),TEXT($I6628,"0"),$I6628))</f>
        <v/>
      </c>
    </row>
    <row r="6629">
      <c r="B6629" s="25" t="n"/>
      <c r="I6629" s="25" t="n"/>
      <c r="U6629" s="19">
        <f>IF($V6629&lt;&gt;'設定'!$C$4,N(U6628),IF(OR(NOT(COUNTIF('商品マスタ'!$B$6:$B$1005,$W6629)=0),COUNTIFS('①在庫を貼る'!$V$6:$V$10005,$V6629,'①在庫を貼る'!$W$6:$W$10005,$W6629)+COUNTIFS('月1回_1ヶ月前の在庫'!$V$6:$V$10005,$V6629,'月1回_1ヶ月前の在庫'!$W$6:$W$10005,$W6629)&gt;0),N(U6628),N(U6628)+1))</f>
        <v/>
      </c>
      <c r="V6629" s="19">
        <f>IF($B6629="","",TEXT($B6629,"0000"))</f>
        <v/>
      </c>
      <c r="W6629" s="19">
        <f>IF($I6629="","",IF(ISNUMBER($I6629),TEXT($I6629,"0"),$I6629))</f>
        <v/>
      </c>
    </row>
    <row r="6630">
      <c r="B6630" s="25" t="n"/>
      <c r="I6630" s="25" t="n"/>
      <c r="U6630" s="19">
        <f>IF($V6630&lt;&gt;'設定'!$C$4,N(U6629),IF(OR(NOT(COUNTIF('商品マスタ'!$B$6:$B$1005,$W6630)=0),COUNTIFS('①在庫を貼る'!$V$6:$V$10005,$V6630,'①在庫を貼る'!$W$6:$W$10005,$W6630)+COUNTIFS('月1回_1ヶ月前の在庫'!$V$6:$V$10005,$V6630,'月1回_1ヶ月前の在庫'!$W$6:$W$10005,$W6630)&gt;0),N(U6629),N(U6629)+1))</f>
        <v/>
      </c>
      <c r="V6630" s="19">
        <f>IF($B6630="","",TEXT($B6630,"0000"))</f>
        <v/>
      </c>
      <c r="W6630" s="19">
        <f>IF($I6630="","",IF(ISNUMBER($I6630),TEXT($I6630,"0"),$I6630))</f>
        <v/>
      </c>
    </row>
    <row r="6631">
      <c r="B6631" s="25" t="n"/>
      <c r="I6631" s="25" t="n"/>
      <c r="U6631" s="19">
        <f>IF($V6631&lt;&gt;'設定'!$C$4,N(U6630),IF(OR(NOT(COUNTIF('商品マスタ'!$B$6:$B$1005,$W6631)=0),COUNTIFS('①在庫を貼る'!$V$6:$V$10005,$V6631,'①在庫を貼る'!$W$6:$W$10005,$W6631)+COUNTIFS('月1回_1ヶ月前の在庫'!$V$6:$V$10005,$V6631,'月1回_1ヶ月前の在庫'!$W$6:$W$10005,$W6631)&gt;0),N(U6630),N(U6630)+1))</f>
        <v/>
      </c>
      <c r="V6631" s="19">
        <f>IF($B6631="","",TEXT($B6631,"0000"))</f>
        <v/>
      </c>
      <c r="W6631" s="19">
        <f>IF($I6631="","",IF(ISNUMBER($I6631),TEXT($I6631,"0"),$I6631))</f>
        <v/>
      </c>
    </row>
    <row r="6632">
      <c r="B6632" s="25" t="n"/>
      <c r="I6632" s="25" t="n"/>
      <c r="U6632" s="19">
        <f>IF($V6632&lt;&gt;'設定'!$C$4,N(U6631),IF(OR(NOT(COUNTIF('商品マスタ'!$B$6:$B$1005,$W6632)=0),COUNTIFS('①在庫を貼る'!$V$6:$V$10005,$V6632,'①在庫を貼る'!$W$6:$W$10005,$W6632)+COUNTIFS('月1回_1ヶ月前の在庫'!$V$6:$V$10005,$V6632,'月1回_1ヶ月前の在庫'!$W$6:$W$10005,$W6632)&gt;0),N(U6631),N(U6631)+1))</f>
        <v/>
      </c>
      <c r="V6632" s="19">
        <f>IF($B6632="","",TEXT($B6632,"0000"))</f>
        <v/>
      </c>
      <c r="W6632" s="19">
        <f>IF($I6632="","",IF(ISNUMBER($I6632),TEXT($I6632,"0"),$I6632))</f>
        <v/>
      </c>
    </row>
    <row r="6633">
      <c r="B6633" s="25" t="n"/>
      <c r="I6633" s="25" t="n"/>
      <c r="U6633" s="19">
        <f>IF($V6633&lt;&gt;'設定'!$C$4,N(U6632),IF(OR(NOT(COUNTIF('商品マスタ'!$B$6:$B$1005,$W6633)=0),COUNTIFS('①在庫を貼る'!$V$6:$V$10005,$V6633,'①在庫を貼る'!$W$6:$W$10005,$W6633)+COUNTIFS('月1回_1ヶ月前の在庫'!$V$6:$V$10005,$V6633,'月1回_1ヶ月前の在庫'!$W$6:$W$10005,$W6633)&gt;0),N(U6632),N(U6632)+1))</f>
        <v/>
      </c>
      <c r="V6633" s="19">
        <f>IF($B6633="","",TEXT($B6633,"0000"))</f>
        <v/>
      </c>
      <c r="W6633" s="19">
        <f>IF($I6633="","",IF(ISNUMBER($I6633),TEXT($I6633,"0"),$I6633))</f>
        <v/>
      </c>
    </row>
    <row r="6634">
      <c r="B6634" s="25" t="n"/>
      <c r="I6634" s="25" t="n"/>
      <c r="U6634" s="19">
        <f>IF($V6634&lt;&gt;'設定'!$C$4,N(U6633),IF(OR(NOT(COUNTIF('商品マスタ'!$B$6:$B$1005,$W6634)=0),COUNTIFS('①在庫を貼る'!$V$6:$V$10005,$V6634,'①在庫を貼る'!$W$6:$W$10005,$W6634)+COUNTIFS('月1回_1ヶ月前の在庫'!$V$6:$V$10005,$V6634,'月1回_1ヶ月前の在庫'!$W$6:$W$10005,$W6634)&gt;0),N(U6633),N(U6633)+1))</f>
        <v/>
      </c>
      <c r="V6634" s="19">
        <f>IF($B6634="","",TEXT($B6634,"0000"))</f>
        <v/>
      </c>
      <c r="W6634" s="19">
        <f>IF($I6634="","",IF(ISNUMBER($I6634),TEXT($I6634,"0"),$I6634))</f>
        <v/>
      </c>
    </row>
    <row r="6635">
      <c r="B6635" s="25" t="n"/>
      <c r="I6635" s="25" t="n"/>
      <c r="U6635" s="19">
        <f>IF($V6635&lt;&gt;'設定'!$C$4,N(U6634),IF(OR(NOT(COUNTIF('商品マスタ'!$B$6:$B$1005,$W6635)=0),COUNTIFS('①在庫を貼る'!$V$6:$V$10005,$V6635,'①在庫を貼る'!$W$6:$W$10005,$W6635)+COUNTIFS('月1回_1ヶ月前の在庫'!$V$6:$V$10005,$V6635,'月1回_1ヶ月前の在庫'!$W$6:$W$10005,$W6635)&gt;0),N(U6634),N(U6634)+1))</f>
        <v/>
      </c>
      <c r="V6635" s="19">
        <f>IF($B6635="","",TEXT($B6635,"0000"))</f>
        <v/>
      </c>
      <c r="W6635" s="19">
        <f>IF($I6635="","",IF(ISNUMBER($I6635),TEXT($I6635,"0"),$I6635))</f>
        <v/>
      </c>
    </row>
    <row r="6636">
      <c r="B6636" s="25" t="n"/>
      <c r="I6636" s="25" t="n"/>
      <c r="U6636" s="19">
        <f>IF($V6636&lt;&gt;'設定'!$C$4,N(U6635),IF(OR(NOT(COUNTIF('商品マスタ'!$B$6:$B$1005,$W6636)=0),COUNTIFS('①在庫を貼る'!$V$6:$V$10005,$V6636,'①在庫を貼る'!$W$6:$W$10005,$W6636)+COUNTIFS('月1回_1ヶ月前の在庫'!$V$6:$V$10005,$V6636,'月1回_1ヶ月前の在庫'!$W$6:$W$10005,$W6636)&gt;0),N(U6635),N(U6635)+1))</f>
        <v/>
      </c>
      <c r="V6636" s="19">
        <f>IF($B6636="","",TEXT($B6636,"0000"))</f>
        <v/>
      </c>
      <c r="W6636" s="19">
        <f>IF($I6636="","",IF(ISNUMBER($I6636),TEXT($I6636,"0"),$I6636))</f>
        <v/>
      </c>
    </row>
    <row r="6637">
      <c r="B6637" s="25" t="n"/>
      <c r="I6637" s="25" t="n"/>
      <c r="U6637" s="19">
        <f>IF($V6637&lt;&gt;'設定'!$C$4,N(U6636),IF(OR(NOT(COUNTIF('商品マスタ'!$B$6:$B$1005,$W6637)=0),COUNTIFS('①在庫を貼る'!$V$6:$V$10005,$V6637,'①在庫を貼る'!$W$6:$W$10005,$W6637)+COUNTIFS('月1回_1ヶ月前の在庫'!$V$6:$V$10005,$V6637,'月1回_1ヶ月前の在庫'!$W$6:$W$10005,$W6637)&gt;0),N(U6636),N(U6636)+1))</f>
        <v/>
      </c>
      <c r="V6637" s="19">
        <f>IF($B6637="","",TEXT($B6637,"0000"))</f>
        <v/>
      </c>
      <c r="W6637" s="19">
        <f>IF($I6637="","",IF(ISNUMBER($I6637),TEXT($I6637,"0"),$I6637))</f>
        <v/>
      </c>
    </row>
    <row r="6638">
      <c r="B6638" s="25" t="n"/>
      <c r="I6638" s="25" t="n"/>
      <c r="U6638" s="19">
        <f>IF($V6638&lt;&gt;'設定'!$C$4,N(U6637),IF(OR(NOT(COUNTIF('商品マスタ'!$B$6:$B$1005,$W6638)=0),COUNTIFS('①在庫を貼る'!$V$6:$V$10005,$V6638,'①在庫を貼る'!$W$6:$W$10005,$W6638)+COUNTIFS('月1回_1ヶ月前の在庫'!$V$6:$V$10005,$V6638,'月1回_1ヶ月前の在庫'!$W$6:$W$10005,$W6638)&gt;0),N(U6637),N(U6637)+1))</f>
        <v/>
      </c>
      <c r="V6638" s="19">
        <f>IF($B6638="","",TEXT($B6638,"0000"))</f>
        <v/>
      </c>
      <c r="W6638" s="19">
        <f>IF($I6638="","",IF(ISNUMBER($I6638),TEXT($I6638,"0"),$I6638))</f>
        <v/>
      </c>
    </row>
    <row r="6639">
      <c r="B6639" s="25" t="n"/>
      <c r="I6639" s="25" t="n"/>
      <c r="U6639" s="19">
        <f>IF($V6639&lt;&gt;'設定'!$C$4,N(U6638),IF(OR(NOT(COUNTIF('商品マスタ'!$B$6:$B$1005,$W6639)=0),COUNTIFS('①在庫を貼る'!$V$6:$V$10005,$V6639,'①在庫を貼る'!$W$6:$W$10005,$W6639)+COUNTIFS('月1回_1ヶ月前の在庫'!$V$6:$V$10005,$V6639,'月1回_1ヶ月前の在庫'!$W$6:$W$10005,$W6639)&gt;0),N(U6638),N(U6638)+1))</f>
        <v/>
      </c>
      <c r="V6639" s="19">
        <f>IF($B6639="","",TEXT($B6639,"0000"))</f>
        <v/>
      </c>
      <c r="W6639" s="19">
        <f>IF($I6639="","",IF(ISNUMBER($I6639),TEXT($I6639,"0"),$I6639))</f>
        <v/>
      </c>
    </row>
    <row r="6640">
      <c r="B6640" s="25" t="n"/>
      <c r="I6640" s="25" t="n"/>
      <c r="U6640" s="19">
        <f>IF($V6640&lt;&gt;'設定'!$C$4,N(U6639),IF(OR(NOT(COUNTIF('商品マスタ'!$B$6:$B$1005,$W6640)=0),COUNTIFS('①在庫を貼る'!$V$6:$V$10005,$V6640,'①在庫を貼る'!$W$6:$W$10005,$W6640)+COUNTIFS('月1回_1ヶ月前の在庫'!$V$6:$V$10005,$V6640,'月1回_1ヶ月前の在庫'!$W$6:$W$10005,$W6640)&gt;0),N(U6639),N(U6639)+1))</f>
        <v/>
      </c>
      <c r="V6640" s="19">
        <f>IF($B6640="","",TEXT($B6640,"0000"))</f>
        <v/>
      </c>
      <c r="W6640" s="19">
        <f>IF($I6640="","",IF(ISNUMBER($I6640),TEXT($I6640,"0"),$I6640))</f>
        <v/>
      </c>
    </row>
    <row r="6641">
      <c r="B6641" s="25" t="n"/>
      <c r="I6641" s="25" t="n"/>
      <c r="U6641" s="19">
        <f>IF($V6641&lt;&gt;'設定'!$C$4,N(U6640),IF(OR(NOT(COUNTIF('商品マスタ'!$B$6:$B$1005,$W6641)=0),COUNTIFS('①在庫を貼る'!$V$6:$V$10005,$V6641,'①在庫を貼る'!$W$6:$W$10005,$W6641)+COUNTIFS('月1回_1ヶ月前の在庫'!$V$6:$V$10005,$V6641,'月1回_1ヶ月前の在庫'!$W$6:$W$10005,$W6641)&gt;0),N(U6640),N(U6640)+1))</f>
        <v/>
      </c>
      <c r="V6641" s="19">
        <f>IF($B6641="","",TEXT($B6641,"0000"))</f>
        <v/>
      </c>
      <c r="W6641" s="19">
        <f>IF($I6641="","",IF(ISNUMBER($I6641),TEXT($I6641,"0"),$I6641))</f>
        <v/>
      </c>
    </row>
    <row r="6642">
      <c r="B6642" s="25" t="n"/>
      <c r="I6642" s="25" t="n"/>
      <c r="U6642" s="19">
        <f>IF($V6642&lt;&gt;'設定'!$C$4,N(U6641),IF(OR(NOT(COUNTIF('商品マスタ'!$B$6:$B$1005,$W6642)=0),COUNTIFS('①在庫を貼る'!$V$6:$V$10005,$V6642,'①在庫を貼る'!$W$6:$W$10005,$W6642)+COUNTIFS('月1回_1ヶ月前の在庫'!$V$6:$V$10005,$V6642,'月1回_1ヶ月前の在庫'!$W$6:$W$10005,$W6642)&gt;0),N(U6641),N(U6641)+1))</f>
        <v/>
      </c>
      <c r="V6642" s="19">
        <f>IF($B6642="","",TEXT($B6642,"0000"))</f>
        <v/>
      </c>
      <c r="W6642" s="19">
        <f>IF($I6642="","",IF(ISNUMBER($I6642),TEXT($I6642,"0"),$I6642))</f>
        <v/>
      </c>
    </row>
    <row r="6643">
      <c r="B6643" s="25" t="n"/>
      <c r="I6643" s="25" t="n"/>
      <c r="U6643" s="19">
        <f>IF($V6643&lt;&gt;'設定'!$C$4,N(U6642),IF(OR(NOT(COUNTIF('商品マスタ'!$B$6:$B$1005,$W6643)=0),COUNTIFS('①在庫を貼る'!$V$6:$V$10005,$V6643,'①在庫を貼る'!$W$6:$W$10005,$W6643)+COUNTIFS('月1回_1ヶ月前の在庫'!$V$6:$V$10005,$V6643,'月1回_1ヶ月前の在庫'!$W$6:$W$10005,$W6643)&gt;0),N(U6642),N(U6642)+1))</f>
        <v/>
      </c>
      <c r="V6643" s="19">
        <f>IF($B6643="","",TEXT($B6643,"0000"))</f>
        <v/>
      </c>
      <c r="W6643" s="19">
        <f>IF($I6643="","",IF(ISNUMBER($I6643),TEXT($I6643,"0"),$I6643))</f>
        <v/>
      </c>
    </row>
    <row r="6644">
      <c r="B6644" s="25" t="n"/>
      <c r="I6644" s="25" t="n"/>
      <c r="U6644" s="19">
        <f>IF($V6644&lt;&gt;'設定'!$C$4,N(U6643),IF(OR(NOT(COUNTIF('商品マスタ'!$B$6:$B$1005,$W6644)=0),COUNTIFS('①在庫を貼る'!$V$6:$V$10005,$V6644,'①在庫を貼る'!$W$6:$W$10005,$W6644)+COUNTIFS('月1回_1ヶ月前の在庫'!$V$6:$V$10005,$V6644,'月1回_1ヶ月前の在庫'!$W$6:$W$10005,$W6644)&gt;0),N(U6643),N(U6643)+1))</f>
        <v/>
      </c>
      <c r="V6644" s="19">
        <f>IF($B6644="","",TEXT($B6644,"0000"))</f>
        <v/>
      </c>
      <c r="W6644" s="19">
        <f>IF($I6644="","",IF(ISNUMBER($I6644),TEXT($I6644,"0"),$I6644))</f>
        <v/>
      </c>
    </row>
    <row r="6645">
      <c r="B6645" s="25" t="n"/>
      <c r="I6645" s="25" t="n"/>
      <c r="U6645" s="19">
        <f>IF($V6645&lt;&gt;'設定'!$C$4,N(U6644),IF(OR(NOT(COUNTIF('商品マスタ'!$B$6:$B$1005,$W6645)=0),COUNTIFS('①在庫を貼る'!$V$6:$V$10005,$V6645,'①在庫を貼る'!$W$6:$W$10005,$W6645)+COUNTIFS('月1回_1ヶ月前の在庫'!$V$6:$V$10005,$V6645,'月1回_1ヶ月前の在庫'!$W$6:$W$10005,$W6645)&gt;0),N(U6644),N(U6644)+1))</f>
        <v/>
      </c>
      <c r="V6645" s="19">
        <f>IF($B6645="","",TEXT($B6645,"0000"))</f>
        <v/>
      </c>
      <c r="W6645" s="19">
        <f>IF($I6645="","",IF(ISNUMBER($I6645),TEXT($I6645,"0"),$I6645))</f>
        <v/>
      </c>
    </row>
    <row r="6646">
      <c r="B6646" s="25" t="n"/>
      <c r="I6646" s="25" t="n"/>
      <c r="U6646" s="19">
        <f>IF($V6646&lt;&gt;'設定'!$C$4,N(U6645),IF(OR(NOT(COUNTIF('商品マスタ'!$B$6:$B$1005,$W6646)=0),COUNTIFS('①在庫を貼る'!$V$6:$V$10005,$V6646,'①在庫を貼る'!$W$6:$W$10005,$W6646)+COUNTIFS('月1回_1ヶ月前の在庫'!$V$6:$V$10005,$V6646,'月1回_1ヶ月前の在庫'!$W$6:$W$10005,$W6646)&gt;0),N(U6645),N(U6645)+1))</f>
        <v/>
      </c>
      <c r="V6646" s="19">
        <f>IF($B6646="","",TEXT($B6646,"0000"))</f>
        <v/>
      </c>
      <c r="W6646" s="19">
        <f>IF($I6646="","",IF(ISNUMBER($I6646),TEXT($I6646,"0"),$I6646))</f>
        <v/>
      </c>
    </row>
    <row r="6647">
      <c r="B6647" s="25" t="n"/>
      <c r="I6647" s="25" t="n"/>
      <c r="U6647" s="19">
        <f>IF($V6647&lt;&gt;'設定'!$C$4,N(U6646),IF(OR(NOT(COUNTIF('商品マスタ'!$B$6:$B$1005,$W6647)=0),COUNTIFS('①在庫を貼る'!$V$6:$V$10005,$V6647,'①在庫を貼る'!$W$6:$W$10005,$W6647)+COUNTIFS('月1回_1ヶ月前の在庫'!$V$6:$V$10005,$V6647,'月1回_1ヶ月前の在庫'!$W$6:$W$10005,$W6647)&gt;0),N(U6646),N(U6646)+1))</f>
        <v/>
      </c>
      <c r="V6647" s="19">
        <f>IF($B6647="","",TEXT($B6647,"0000"))</f>
        <v/>
      </c>
      <c r="W6647" s="19">
        <f>IF($I6647="","",IF(ISNUMBER($I6647),TEXT($I6647,"0"),$I6647))</f>
        <v/>
      </c>
    </row>
    <row r="6648">
      <c r="B6648" s="25" t="n"/>
      <c r="I6648" s="25" t="n"/>
      <c r="U6648" s="19">
        <f>IF($V6648&lt;&gt;'設定'!$C$4,N(U6647),IF(OR(NOT(COUNTIF('商品マスタ'!$B$6:$B$1005,$W6648)=0),COUNTIFS('①在庫を貼る'!$V$6:$V$10005,$V6648,'①在庫を貼る'!$W$6:$W$10005,$W6648)+COUNTIFS('月1回_1ヶ月前の在庫'!$V$6:$V$10005,$V6648,'月1回_1ヶ月前の在庫'!$W$6:$W$10005,$W6648)&gt;0),N(U6647),N(U6647)+1))</f>
        <v/>
      </c>
      <c r="V6648" s="19">
        <f>IF($B6648="","",TEXT($B6648,"0000"))</f>
        <v/>
      </c>
      <c r="W6648" s="19">
        <f>IF($I6648="","",IF(ISNUMBER($I6648),TEXT($I6648,"0"),$I6648))</f>
        <v/>
      </c>
    </row>
    <row r="6649">
      <c r="B6649" s="25" t="n"/>
      <c r="I6649" s="25" t="n"/>
      <c r="U6649" s="19">
        <f>IF($V6649&lt;&gt;'設定'!$C$4,N(U6648),IF(OR(NOT(COUNTIF('商品マスタ'!$B$6:$B$1005,$W6649)=0),COUNTIFS('①在庫を貼る'!$V$6:$V$10005,$V6649,'①在庫を貼る'!$W$6:$W$10005,$W6649)+COUNTIFS('月1回_1ヶ月前の在庫'!$V$6:$V$10005,$V6649,'月1回_1ヶ月前の在庫'!$W$6:$W$10005,$W6649)&gt;0),N(U6648),N(U6648)+1))</f>
        <v/>
      </c>
      <c r="V6649" s="19">
        <f>IF($B6649="","",TEXT($B6649,"0000"))</f>
        <v/>
      </c>
      <c r="W6649" s="19">
        <f>IF($I6649="","",IF(ISNUMBER($I6649),TEXT($I6649,"0"),$I6649))</f>
        <v/>
      </c>
    </row>
    <row r="6650">
      <c r="B6650" s="25" t="n"/>
      <c r="I6650" s="25" t="n"/>
      <c r="U6650" s="19">
        <f>IF($V6650&lt;&gt;'設定'!$C$4,N(U6649),IF(OR(NOT(COUNTIF('商品マスタ'!$B$6:$B$1005,$W6650)=0),COUNTIFS('①在庫を貼る'!$V$6:$V$10005,$V6650,'①在庫を貼る'!$W$6:$W$10005,$W6650)+COUNTIFS('月1回_1ヶ月前の在庫'!$V$6:$V$10005,$V6650,'月1回_1ヶ月前の在庫'!$W$6:$W$10005,$W6650)&gt;0),N(U6649),N(U6649)+1))</f>
        <v/>
      </c>
      <c r="V6650" s="19">
        <f>IF($B6650="","",TEXT($B6650,"0000"))</f>
        <v/>
      </c>
      <c r="W6650" s="19">
        <f>IF($I6650="","",IF(ISNUMBER($I6650),TEXT($I6650,"0"),$I6650))</f>
        <v/>
      </c>
    </row>
    <row r="6651">
      <c r="B6651" s="25" t="n"/>
      <c r="I6651" s="25" t="n"/>
      <c r="U6651" s="19">
        <f>IF($V6651&lt;&gt;'設定'!$C$4,N(U6650),IF(OR(NOT(COUNTIF('商品マスタ'!$B$6:$B$1005,$W6651)=0),COUNTIFS('①在庫を貼る'!$V$6:$V$10005,$V6651,'①在庫を貼る'!$W$6:$W$10005,$W6651)+COUNTIFS('月1回_1ヶ月前の在庫'!$V$6:$V$10005,$V6651,'月1回_1ヶ月前の在庫'!$W$6:$W$10005,$W6651)&gt;0),N(U6650),N(U6650)+1))</f>
        <v/>
      </c>
      <c r="V6651" s="19">
        <f>IF($B6651="","",TEXT($B6651,"0000"))</f>
        <v/>
      </c>
      <c r="W6651" s="19">
        <f>IF($I6651="","",IF(ISNUMBER($I6651),TEXT($I6651,"0"),$I6651))</f>
        <v/>
      </c>
    </row>
    <row r="6652">
      <c r="B6652" s="25" t="n"/>
      <c r="I6652" s="25" t="n"/>
      <c r="U6652" s="19">
        <f>IF($V6652&lt;&gt;'設定'!$C$4,N(U6651),IF(OR(NOT(COUNTIF('商品マスタ'!$B$6:$B$1005,$W6652)=0),COUNTIFS('①在庫を貼る'!$V$6:$V$10005,$V6652,'①在庫を貼る'!$W$6:$W$10005,$W6652)+COUNTIFS('月1回_1ヶ月前の在庫'!$V$6:$V$10005,$V6652,'月1回_1ヶ月前の在庫'!$W$6:$W$10005,$W6652)&gt;0),N(U6651),N(U6651)+1))</f>
        <v/>
      </c>
      <c r="V6652" s="19">
        <f>IF($B6652="","",TEXT($B6652,"0000"))</f>
        <v/>
      </c>
      <c r="W6652" s="19">
        <f>IF($I6652="","",IF(ISNUMBER($I6652),TEXT($I6652,"0"),$I6652))</f>
        <v/>
      </c>
    </row>
    <row r="6653">
      <c r="B6653" s="25" t="n"/>
      <c r="I6653" s="25" t="n"/>
      <c r="U6653" s="19">
        <f>IF($V6653&lt;&gt;'設定'!$C$4,N(U6652),IF(OR(NOT(COUNTIF('商品マスタ'!$B$6:$B$1005,$W6653)=0),COUNTIFS('①在庫を貼る'!$V$6:$V$10005,$V6653,'①在庫を貼る'!$W$6:$W$10005,$W6653)+COUNTIFS('月1回_1ヶ月前の在庫'!$V$6:$V$10005,$V6653,'月1回_1ヶ月前の在庫'!$W$6:$W$10005,$W6653)&gt;0),N(U6652),N(U6652)+1))</f>
        <v/>
      </c>
      <c r="V6653" s="19">
        <f>IF($B6653="","",TEXT($B6653,"0000"))</f>
        <v/>
      </c>
      <c r="W6653" s="19">
        <f>IF($I6653="","",IF(ISNUMBER($I6653),TEXT($I6653,"0"),$I6653))</f>
        <v/>
      </c>
    </row>
    <row r="6654">
      <c r="B6654" s="25" t="n"/>
      <c r="I6654" s="25" t="n"/>
      <c r="U6654" s="19">
        <f>IF($V6654&lt;&gt;'設定'!$C$4,N(U6653),IF(OR(NOT(COUNTIF('商品マスタ'!$B$6:$B$1005,$W6654)=0),COUNTIFS('①在庫を貼る'!$V$6:$V$10005,$V6654,'①在庫を貼る'!$W$6:$W$10005,$W6654)+COUNTIFS('月1回_1ヶ月前の在庫'!$V$6:$V$10005,$V6654,'月1回_1ヶ月前の在庫'!$W$6:$W$10005,$W6654)&gt;0),N(U6653),N(U6653)+1))</f>
        <v/>
      </c>
      <c r="V6654" s="19">
        <f>IF($B6654="","",TEXT($B6654,"0000"))</f>
        <v/>
      </c>
      <c r="W6654" s="19">
        <f>IF($I6654="","",IF(ISNUMBER($I6654),TEXT($I6654,"0"),$I6654))</f>
        <v/>
      </c>
    </row>
    <row r="6655">
      <c r="B6655" s="25" t="n"/>
      <c r="I6655" s="25" t="n"/>
      <c r="U6655" s="19">
        <f>IF($V6655&lt;&gt;'設定'!$C$4,N(U6654),IF(OR(NOT(COUNTIF('商品マスタ'!$B$6:$B$1005,$W6655)=0),COUNTIFS('①在庫を貼る'!$V$6:$V$10005,$V6655,'①在庫を貼る'!$W$6:$W$10005,$W6655)+COUNTIFS('月1回_1ヶ月前の在庫'!$V$6:$V$10005,$V6655,'月1回_1ヶ月前の在庫'!$W$6:$W$10005,$W6655)&gt;0),N(U6654),N(U6654)+1))</f>
        <v/>
      </c>
      <c r="V6655" s="19">
        <f>IF($B6655="","",TEXT($B6655,"0000"))</f>
        <v/>
      </c>
      <c r="W6655" s="19">
        <f>IF($I6655="","",IF(ISNUMBER($I6655),TEXT($I6655,"0"),$I6655))</f>
        <v/>
      </c>
    </row>
    <row r="6656">
      <c r="B6656" s="25" t="n"/>
      <c r="I6656" s="25" t="n"/>
      <c r="U6656" s="19">
        <f>IF($V6656&lt;&gt;'設定'!$C$4,N(U6655),IF(OR(NOT(COUNTIF('商品マスタ'!$B$6:$B$1005,$W6656)=0),COUNTIFS('①在庫を貼る'!$V$6:$V$10005,$V6656,'①在庫を貼る'!$W$6:$W$10005,$W6656)+COUNTIFS('月1回_1ヶ月前の在庫'!$V$6:$V$10005,$V6656,'月1回_1ヶ月前の在庫'!$W$6:$W$10005,$W6656)&gt;0),N(U6655),N(U6655)+1))</f>
        <v/>
      </c>
      <c r="V6656" s="19">
        <f>IF($B6656="","",TEXT($B6656,"0000"))</f>
        <v/>
      </c>
      <c r="W6656" s="19">
        <f>IF($I6656="","",IF(ISNUMBER($I6656),TEXT($I6656,"0"),$I6656))</f>
        <v/>
      </c>
    </row>
    <row r="6657">
      <c r="B6657" s="25" t="n"/>
      <c r="I6657" s="25" t="n"/>
      <c r="U6657" s="19">
        <f>IF($V6657&lt;&gt;'設定'!$C$4,N(U6656),IF(OR(NOT(COUNTIF('商品マスタ'!$B$6:$B$1005,$W6657)=0),COUNTIFS('①在庫を貼る'!$V$6:$V$10005,$V6657,'①在庫を貼る'!$W$6:$W$10005,$W6657)+COUNTIFS('月1回_1ヶ月前の在庫'!$V$6:$V$10005,$V6657,'月1回_1ヶ月前の在庫'!$W$6:$W$10005,$W6657)&gt;0),N(U6656),N(U6656)+1))</f>
        <v/>
      </c>
      <c r="V6657" s="19">
        <f>IF($B6657="","",TEXT($B6657,"0000"))</f>
        <v/>
      </c>
      <c r="W6657" s="19">
        <f>IF($I6657="","",IF(ISNUMBER($I6657),TEXT($I6657,"0"),$I6657))</f>
        <v/>
      </c>
    </row>
    <row r="6658">
      <c r="B6658" s="25" t="n"/>
      <c r="I6658" s="25" t="n"/>
      <c r="U6658" s="19">
        <f>IF($V6658&lt;&gt;'設定'!$C$4,N(U6657),IF(OR(NOT(COUNTIF('商品マスタ'!$B$6:$B$1005,$W6658)=0),COUNTIFS('①在庫を貼る'!$V$6:$V$10005,$V6658,'①在庫を貼る'!$W$6:$W$10005,$W6658)+COUNTIFS('月1回_1ヶ月前の在庫'!$V$6:$V$10005,$V6658,'月1回_1ヶ月前の在庫'!$W$6:$W$10005,$W6658)&gt;0),N(U6657),N(U6657)+1))</f>
        <v/>
      </c>
      <c r="V6658" s="19">
        <f>IF($B6658="","",TEXT($B6658,"0000"))</f>
        <v/>
      </c>
      <c r="W6658" s="19">
        <f>IF($I6658="","",IF(ISNUMBER($I6658),TEXT($I6658,"0"),$I6658))</f>
        <v/>
      </c>
    </row>
    <row r="6659">
      <c r="B6659" s="25" t="n"/>
      <c r="I6659" s="25" t="n"/>
      <c r="U6659" s="19">
        <f>IF($V6659&lt;&gt;'設定'!$C$4,N(U6658),IF(OR(NOT(COUNTIF('商品マスタ'!$B$6:$B$1005,$W6659)=0),COUNTIFS('①在庫を貼る'!$V$6:$V$10005,$V6659,'①在庫を貼る'!$W$6:$W$10005,$W6659)+COUNTIFS('月1回_1ヶ月前の在庫'!$V$6:$V$10005,$V6659,'月1回_1ヶ月前の在庫'!$W$6:$W$10005,$W6659)&gt;0),N(U6658),N(U6658)+1))</f>
        <v/>
      </c>
      <c r="V6659" s="19">
        <f>IF($B6659="","",TEXT($B6659,"0000"))</f>
        <v/>
      </c>
      <c r="W6659" s="19">
        <f>IF($I6659="","",IF(ISNUMBER($I6659),TEXT($I6659,"0"),$I6659))</f>
        <v/>
      </c>
    </row>
    <row r="6660">
      <c r="B6660" s="25" t="n"/>
      <c r="I6660" s="25" t="n"/>
      <c r="U6660" s="19">
        <f>IF($V6660&lt;&gt;'設定'!$C$4,N(U6659),IF(OR(NOT(COUNTIF('商品マスタ'!$B$6:$B$1005,$W6660)=0),COUNTIFS('①在庫を貼る'!$V$6:$V$10005,$V6660,'①在庫を貼る'!$W$6:$W$10005,$W6660)+COUNTIFS('月1回_1ヶ月前の在庫'!$V$6:$V$10005,$V6660,'月1回_1ヶ月前の在庫'!$W$6:$W$10005,$W6660)&gt;0),N(U6659),N(U6659)+1))</f>
        <v/>
      </c>
      <c r="V6660" s="19">
        <f>IF($B6660="","",TEXT($B6660,"0000"))</f>
        <v/>
      </c>
      <c r="W6660" s="19">
        <f>IF($I6660="","",IF(ISNUMBER($I6660),TEXT($I6660,"0"),$I6660))</f>
        <v/>
      </c>
    </row>
    <row r="6661">
      <c r="B6661" s="25" t="n"/>
      <c r="I6661" s="25" t="n"/>
      <c r="U6661" s="19">
        <f>IF($V6661&lt;&gt;'設定'!$C$4,N(U6660),IF(OR(NOT(COUNTIF('商品マスタ'!$B$6:$B$1005,$W6661)=0),COUNTIFS('①在庫を貼る'!$V$6:$V$10005,$V6661,'①在庫を貼る'!$W$6:$W$10005,$W6661)+COUNTIFS('月1回_1ヶ月前の在庫'!$V$6:$V$10005,$V6661,'月1回_1ヶ月前の在庫'!$W$6:$W$10005,$W6661)&gt;0),N(U6660),N(U6660)+1))</f>
        <v/>
      </c>
      <c r="V6661" s="19">
        <f>IF($B6661="","",TEXT($B6661,"0000"))</f>
        <v/>
      </c>
      <c r="W6661" s="19">
        <f>IF($I6661="","",IF(ISNUMBER($I6661),TEXT($I6661,"0"),$I6661))</f>
        <v/>
      </c>
    </row>
    <row r="6662">
      <c r="B6662" s="25" t="n"/>
      <c r="I6662" s="25" t="n"/>
      <c r="U6662" s="19">
        <f>IF($V6662&lt;&gt;'設定'!$C$4,N(U6661),IF(OR(NOT(COUNTIF('商品マスタ'!$B$6:$B$1005,$W6662)=0),COUNTIFS('①在庫を貼る'!$V$6:$V$10005,$V6662,'①在庫を貼る'!$W$6:$W$10005,$W6662)+COUNTIFS('月1回_1ヶ月前の在庫'!$V$6:$V$10005,$V6662,'月1回_1ヶ月前の在庫'!$W$6:$W$10005,$W6662)&gt;0),N(U6661),N(U6661)+1))</f>
        <v/>
      </c>
      <c r="V6662" s="19">
        <f>IF($B6662="","",TEXT($B6662,"0000"))</f>
        <v/>
      </c>
      <c r="W6662" s="19">
        <f>IF($I6662="","",IF(ISNUMBER($I6662),TEXT($I6662,"0"),$I6662))</f>
        <v/>
      </c>
    </row>
    <row r="6663">
      <c r="B6663" s="25" t="n"/>
      <c r="I6663" s="25" t="n"/>
      <c r="U6663" s="19">
        <f>IF($V6663&lt;&gt;'設定'!$C$4,N(U6662),IF(OR(NOT(COUNTIF('商品マスタ'!$B$6:$B$1005,$W6663)=0),COUNTIFS('①在庫を貼る'!$V$6:$V$10005,$V6663,'①在庫を貼る'!$W$6:$W$10005,$W6663)+COUNTIFS('月1回_1ヶ月前の在庫'!$V$6:$V$10005,$V6663,'月1回_1ヶ月前の在庫'!$W$6:$W$10005,$W6663)&gt;0),N(U6662),N(U6662)+1))</f>
        <v/>
      </c>
      <c r="V6663" s="19">
        <f>IF($B6663="","",TEXT($B6663,"0000"))</f>
        <v/>
      </c>
      <c r="W6663" s="19">
        <f>IF($I6663="","",IF(ISNUMBER($I6663),TEXT($I6663,"0"),$I6663))</f>
        <v/>
      </c>
    </row>
    <row r="6664">
      <c r="B6664" s="25" t="n"/>
      <c r="I6664" s="25" t="n"/>
      <c r="U6664" s="19">
        <f>IF($V6664&lt;&gt;'設定'!$C$4,N(U6663),IF(OR(NOT(COUNTIF('商品マスタ'!$B$6:$B$1005,$W6664)=0),COUNTIFS('①在庫を貼る'!$V$6:$V$10005,$V6664,'①在庫を貼る'!$W$6:$W$10005,$W6664)+COUNTIFS('月1回_1ヶ月前の在庫'!$V$6:$V$10005,$V6664,'月1回_1ヶ月前の在庫'!$W$6:$W$10005,$W6664)&gt;0),N(U6663),N(U6663)+1))</f>
        <v/>
      </c>
      <c r="V6664" s="19">
        <f>IF($B6664="","",TEXT($B6664,"0000"))</f>
        <v/>
      </c>
      <c r="W6664" s="19">
        <f>IF($I6664="","",IF(ISNUMBER($I6664),TEXT($I6664,"0"),$I6664))</f>
        <v/>
      </c>
    </row>
    <row r="6665">
      <c r="B6665" s="25" t="n"/>
      <c r="I6665" s="25" t="n"/>
      <c r="U6665" s="19">
        <f>IF($V6665&lt;&gt;'設定'!$C$4,N(U6664),IF(OR(NOT(COUNTIF('商品マスタ'!$B$6:$B$1005,$W6665)=0),COUNTIFS('①在庫を貼る'!$V$6:$V$10005,$V6665,'①在庫を貼る'!$W$6:$W$10005,$W6665)+COUNTIFS('月1回_1ヶ月前の在庫'!$V$6:$V$10005,$V6665,'月1回_1ヶ月前の在庫'!$W$6:$W$10005,$W6665)&gt;0),N(U6664),N(U6664)+1))</f>
        <v/>
      </c>
      <c r="V6665" s="19">
        <f>IF($B6665="","",TEXT($B6665,"0000"))</f>
        <v/>
      </c>
      <c r="W6665" s="19">
        <f>IF($I6665="","",IF(ISNUMBER($I6665),TEXT($I6665,"0"),$I6665))</f>
        <v/>
      </c>
    </row>
    <row r="6666">
      <c r="B6666" s="25" t="n"/>
      <c r="I6666" s="25" t="n"/>
      <c r="U6666" s="19">
        <f>IF($V6666&lt;&gt;'設定'!$C$4,N(U6665),IF(OR(NOT(COUNTIF('商品マスタ'!$B$6:$B$1005,$W6666)=0),COUNTIFS('①在庫を貼る'!$V$6:$V$10005,$V6666,'①在庫を貼る'!$W$6:$W$10005,$W6666)+COUNTIFS('月1回_1ヶ月前の在庫'!$V$6:$V$10005,$V6666,'月1回_1ヶ月前の在庫'!$W$6:$W$10005,$W6666)&gt;0),N(U6665),N(U6665)+1))</f>
        <v/>
      </c>
      <c r="V6666" s="19">
        <f>IF($B6666="","",TEXT($B6666,"0000"))</f>
        <v/>
      </c>
      <c r="W6666" s="19">
        <f>IF($I6666="","",IF(ISNUMBER($I6666),TEXT($I6666,"0"),$I6666))</f>
        <v/>
      </c>
    </row>
    <row r="6667">
      <c r="B6667" s="25" t="n"/>
      <c r="I6667" s="25" t="n"/>
      <c r="U6667" s="19">
        <f>IF($V6667&lt;&gt;'設定'!$C$4,N(U6666),IF(OR(NOT(COUNTIF('商品マスタ'!$B$6:$B$1005,$W6667)=0),COUNTIFS('①在庫を貼る'!$V$6:$V$10005,$V6667,'①在庫を貼る'!$W$6:$W$10005,$W6667)+COUNTIFS('月1回_1ヶ月前の在庫'!$V$6:$V$10005,$V6667,'月1回_1ヶ月前の在庫'!$W$6:$W$10005,$W6667)&gt;0),N(U6666),N(U6666)+1))</f>
        <v/>
      </c>
      <c r="V6667" s="19">
        <f>IF($B6667="","",TEXT($B6667,"0000"))</f>
        <v/>
      </c>
      <c r="W6667" s="19">
        <f>IF($I6667="","",IF(ISNUMBER($I6667),TEXT($I6667,"0"),$I6667))</f>
        <v/>
      </c>
    </row>
    <row r="6668">
      <c r="B6668" s="25" t="n"/>
      <c r="I6668" s="25" t="n"/>
      <c r="U6668" s="19">
        <f>IF($V6668&lt;&gt;'設定'!$C$4,N(U6667),IF(OR(NOT(COUNTIF('商品マスタ'!$B$6:$B$1005,$W6668)=0),COUNTIFS('①在庫を貼る'!$V$6:$V$10005,$V6668,'①在庫を貼る'!$W$6:$W$10005,$W6668)+COUNTIFS('月1回_1ヶ月前の在庫'!$V$6:$V$10005,$V6668,'月1回_1ヶ月前の在庫'!$W$6:$W$10005,$W6668)&gt;0),N(U6667),N(U6667)+1))</f>
        <v/>
      </c>
      <c r="V6668" s="19">
        <f>IF($B6668="","",TEXT($B6668,"0000"))</f>
        <v/>
      </c>
      <c r="W6668" s="19">
        <f>IF($I6668="","",IF(ISNUMBER($I6668),TEXT($I6668,"0"),$I6668))</f>
        <v/>
      </c>
    </row>
    <row r="6669">
      <c r="B6669" s="25" t="n"/>
      <c r="I6669" s="25" t="n"/>
      <c r="U6669" s="19">
        <f>IF($V6669&lt;&gt;'設定'!$C$4,N(U6668),IF(OR(NOT(COUNTIF('商品マスタ'!$B$6:$B$1005,$W6669)=0),COUNTIFS('①在庫を貼る'!$V$6:$V$10005,$V6669,'①在庫を貼る'!$W$6:$W$10005,$W6669)+COUNTIFS('月1回_1ヶ月前の在庫'!$V$6:$V$10005,$V6669,'月1回_1ヶ月前の在庫'!$W$6:$W$10005,$W6669)&gt;0),N(U6668),N(U6668)+1))</f>
        <v/>
      </c>
      <c r="V6669" s="19">
        <f>IF($B6669="","",TEXT($B6669,"0000"))</f>
        <v/>
      </c>
      <c r="W6669" s="19">
        <f>IF($I6669="","",IF(ISNUMBER($I6669),TEXT($I6669,"0"),$I6669))</f>
        <v/>
      </c>
    </row>
    <row r="6670">
      <c r="B6670" s="25" t="n"/>
      <c r="I6670" s="25" t="n"/>
      <c r="U6670" s="19">
        <f>IF($V6670&lt;&gt;'設定'!$C$4,N(U6669),IF(OR(NOT(COUNTIF('商品マスタ'!$B$6:$B$1005,$W6670)=0),COUNTIFS('①在庫を貼る'!$V$6:$V$10005,$V6670,'①在庫を貼る'!$W$6:$W$10005,$W6670)+COUNTIFS('月1回_1ヶ月前の在庫'!$V$6:$V$10005,$V6670,'月1回_1ヶ月前の在庫'!$W$6:$W$10005,$W6670)&gt;0),N(U6669),N(U6669)+1))</f>
        <v/>
      </c>
      <c r="V6670" s="19">
        <f>IF($B6670="","",TEXT($B6670,"0000"))</f>
        <v/>
      </c>
      <c r="W6670" s="19">
        <f>IF($I6670="","",IF(ISNUMBER($I6670),TEXT($I6670,"0"),$I6670))</f>
        <v/>
      </c>
    </row>
    <row r="6671">
      <c r="B6671" s="25" t="n"/>
      <c r="I6671" s="25" t="n"/>
      <c r="U6671" s="19">
        <f>IF($V6671&lt;&gt;'設定'!$C$4,N(U6670),IF(OR(NOT(COUNTIF('商品マスタ'!$B$6:$B$1005,$W6671)=0),COUNTIFS('①在庫を貼る'!$V$6:$V$10005,$V6671,'①在庫を貼る'!$W$6:$W$10005,$W6671)+COUNTIFS('月1回_1ヶ月前の在庫'!$V$6:$V$10005,$V6671,'月1回_1ヶ月前の在庫'!$W$6:$W$10005,$W6671)&gt;0),N(U6670),N(U6670)+1))</f>
        <v/>
      </c>
      <c r="V6671" s="19">
        <f>IF($B6671="","",TEXT($B6671,"0000"))</f>
        <v/>
      </c>
      <c r="W6671" s="19">
        <f>IF($I6671="","",IF(ISNUMBER($I6671),TEXT($I6671,"0"),$I6671))</f>
        <v/>
      </c>
    </row>
    <row r="6672">
      <c r="B6672" s="25" t="n"/>
      <c r="I6672" s="25" t="n"/>
      <c r="U6672" s="19">
        <f>IF($V6672&lt;&gt;'設定'!$C$4,N(U6671),IF(OR(NOT(COUNTIF('商品マスタ'!$B$6:$B$1005,$W6672)=0),COUNTIFS('①在庫を貼る'!$V$6:$V$10005,$V6672,'①在庫を貼る'!$W$6:$W$10005,$W6672)+COUNTIFS('月1回_1ヶ月前の在庫'!$V$6:$V$10005,$V6672,'月1回_1ヶ月前の在庫'!$W$6:$W$10005,$W6672)&gt;0),N(U6671),N(U6671)+1))</f>
        <v/>
      </c>
      <c r="V6672" s="19">
        <f>IF($B6672="","",TEXT($B6672,"0000"))</f>
        <v/>
      </c>
      <c r="W6672" s="19">
        <f>IF($I6672="","",IF(ISNUMBER($I6672),TEXT($I6672,"0"),$I6672))</f>
        <v/>
      </c>
    </row>
    <row r="6673">
      <c r="B6673" s="25" t="n"/>
      <c r="I6673" s="25" t="n"/>
      <c r="U6673" s="19">
        <f>IF($V6673&lt;&gt;'設定'!$C$4,N(U6672),IF(OR(NOT(COUNTIF('商品マスタ'!$B$6:$B$1005,$W6673)=0),COUNTIFS('①在庫を貼る'!$V$6:$V$10005,$V6673,'①在庫を貼る'!$W$6:$W$10005,$W6673)+COUNTIFS('月1回_1ヶ月前の在庫'!$V$6:$V$10005,$V6673,'月1回_1ヶ月前の在庫'!$W$6:$W$10005,$W6673)&gt;0),N(U6672),N(U6672)+1))</f>
        <v/>
      </c>
      <c r="V6673" s="19">
        <f>IF($B6673="","",TEXT($B6673,"0000"))</f>
        <v/>
      </c>
      <c r="W6673" s="19">
        <f>IF($I6673="","",IF(ISNUMBER($I6673),TEXT($I6673,"0"),$I6673))</f>
        <v/>
      </c>
    </row>
    <row r="6674">
      <c r="B6674" s="25" t="n"/>
      <c r="I6674" s="25" t="n"/>
      <c r="U6674" s="19">
        <f>IF($V6674&lt;&gt;'設定'!$C$4,N(U6673),IF(OR(NOT(COUNTIF('商品マスタ'!$B$6:$B$1005,$W6674)=0),COUNTIFS('①在庫を貼る'!$V$6:$V$10005,$V6674,'①在庫を貼る'!$W$6:$W$10005,$W6674)+COUNTIFS('月1回_1ヶ月前の在庫'!$V$6:$V$10005,$V6674,'月1回_1ヶ月前の在庫'!$W$6:$W$10005,$W6674)&gt;0),N(U6673),N(U6673)+1))</f>
        <v/>
      </c>
      <c r="V6674" s="19">
        <f>IF($B6674="","",TEXT($B6674,"0000"))</f>
        <v/>
      </c>
      <c r="W6674" s="19">
        <f>IF($I6674="","",IF(ISNUMBER($I6674),TEXT($I6674,"0"),$I6674))</f>
        <v/>
      </c>
    </row>
    <row r="6675">
      <c r="B6675" s="25" t="n"/>
      <c r="I6675" s="25" t="n"/>
      <c r="U6675" s="19">
        <f>IF($V6675&lt;&gt;'設定'!$C$4,N(U6674),IF(OR(NOT(COUNTIF('商品マスタ'!$B$6:$B$1005,$W6675)=0),COUNTIFS('①在庫を貼る'!$V$6:$V$10005,$V6675,'①在庫を貼る'!$W$6:$W$10005,$W6675)+COUNTIFS('月1回_1ヶ月前の在庫'!$V$6:$V$10005,$V6675,'月1回_1ヶ月前の在庫'!$W$6:$W$10005,$W6675)&gt;0),N(U6674),N(U6674)+1))</f>
        <v/>
      </c>
      <c r="V6675" s="19">
        <f>IF($B6675="","",TEXT($B6675,"0000"))</f>
        <v/>
      </c>
      <c r="W6675" s="19">
        <f>IF($I6675="","",IF(ISNUMBER($I6675),TEXT($I6675,"0"),$I6675))</f>
        <v/>
      </c>
    </row>
    <row r="6676">
      <c r="B6676" s="25" t="n"/>
      <c r="I6676" s="25" t="n"/>
      <c r="U6676" s="19">
        <f>IF($V6676&lt;&gt;'設定'!$C$4,N(U6675),IF(OR(NOT(COUNTIF('商品マスタ'!$B$6:$B$1005,$W6676)=0),COUNTIFS('①在庫を貼る'!$V$6:$V$10005,$V6676,'①在庫を貼る'!$W$6:$W$10005,$W6676)+COUNTIFS('月1回_1ヶ月前の在庫'!$V$6:$V$10005,$V6676,'月1回_1ヶ月前の在庫'!$W$6:$W$10005,$W6676)&gt;0),N(U6675),N(U6675)+1))</f>
        <v/>
      </c>
      <c r="V6676" s="19">
        <f>IF($B6676="","",TEXT($B6676,"0000"))</f>
        <v/>
      </c>
      <c r="W6676" s="19">
        <f>IF($I6676="","",IF(ISNUMBER($I6676),TEXT($I6676,"0"),$I6676))</f>
        <v/>
      </c>
    </row>
    <row r="6677">
      <c r="B6677" s="25" t="n"/>
      <c r="I6677" s="25" t="n"/>
      <c r="U6677" s="19">
        <f>IF($V6677&lt;&gt;'設定'!$C$4,N(U6676),IF(OR(NOT(COUNTIF('商品マスタ'!$B$6:$B$1005,$W6677)=0),COUNTIFS('①在庫を貼る'!$V$6:$V$10005,$V6677,'①在庫を貼る'!$W$6:$W$10005,$W6677)+COUNTIFS('月1回_1ヶ月前の在庫'!$V$6:$V$10005,$V6677,'月1回_1ヶ月前の在庫'!$W$6:$W$10005,$W6677)&gt;0),N(U6676),N(U6676)+1))</f>
        <v/>
      </c>
      <c r="V6677" s="19">
        <f>IF($B6677="","",TEXT($B6677,"0000"))</f>
        <v/>
      </c>
      <c r="W6677" s="19">
        <f>IF($I6677="","",IF(ISNUMBER($I6677),TEXT($I6677,"0"),$I6677))</f>
        <v/>
      </c>
    </row>
    <row r="6678">
      <c r="B6678" s="25" t="n"/>
      <c r="I6678" s="25" t="n"/>
      <c r="U6678" s="19">
        <f>IF($V6678&lt;&gt;'設定'!$C$4,N(U6677),IF(OR(NOT(COUNTIF('商品マスタ'!$B$6:$B$1005,$W6678)=0),COUNTIFS('①在庫を貼る'!$V$6:$V$10005,$V6678,'①在庫を貼る'!$W$6:$W$10005,$W6678)+COUNTIFS('月1回_1ヶ月前の在庫'!$V$6:$V$10005,$V6678,'月1回_1ヶ月前の在庫'!$W$6:$W$10005,$W6678)&gt;0),N(U6677),N(U6677)+1))</f>
        <v/>
      </c>
      <c r="V6678" s="19">
        <f>IF($B6678="","",TEXT($B6678,"0000"))</f>
        <v/>
      </c>
      <c r="W6678" s="19">
        <f>IF($I6678="","",IF(ISNUMBER($I6678),TEXT($I6678,"0"),$I6678))</f>
        <v/>
      </c>
    </row>
    <row r="6679">
      <c r="B6679" s="25" t="n"/>
      <c r="I6679" s="25" t="n"/>
      <c r="U6679" s="19">
        <f>IF($V6679&lt;&gt;'設定'!$C$4,N(U6678),IF(OR(NOT(COUNTIF('商品マスタ'!$B$6:$B$1005,$W6679)=0),COUNTIFS('①在庫を貼る'!$V$6:$V$10005,$V6679,'①在庫を貼る'!$W$6:$W$10005,$W6679)+COUNTIFS('月1回_1ヶ月前の在庫'!$V$6:$V$10005,$V6679,'月1回_1ヶ月前の在庫'!$W$6:$W$10005,$W6679)&gt;0),N(U6678),N(U6678)+1))</f>
        <v/>
      </c>
      <c r="V6679" s="19">
        <f>IF($B6679="","",TEXT($B6679,"0000"))</f>
        <v/>
      </c>
      <c r="W6679" s="19">
        <f>IF($I6679="","",IF(ISNUMBER($I6679),TEXT($I6679,"0"),$I6679))</f>
        <v/>
      </c>
    </row>
    <row r="6680">
      <c r="B6680" s="25" t="n"/>
      <c r="I6680" s="25" t="n"/>
      <c r="U6680" s="19">
        <f>IF($V6680&lt;&gt;'設定'!$C$4,N(U6679),IF(OR(NOT(COUNTIF('商品マスタ'!$B$6:$B$1005,$W6680)=0),COUNTIFS('①在庫を貼る'!$V$6:$V$10005,$V6680,'①在庫を貼る'!$W$6:$W$10005,$W6680)+COUNTIFS('月1回_1ヶ月前の在庫'!$V$6:$V$10005,$V6680,'月1回_1ヶ月前の在庫'!$W$6:$W$10005,$W6680)&gt;0),N(U6679),N(U6679)+1))</f>
        <v/>
      </c>
      <c r="V6680" s="19">
        <f>IF($B6680="","",TEXT($B6680,"0000"))</f>
        <v/>
      </c>
      <c r="W6680" s="19">
        <f>IF($I6680="","",IF(ISNUMBER($I6680),TEXT($I6680,"0"),$I6680))</f>
        <v/>
      </c>
    </row>
    <row r="6681">
      <c r="B6681" s="25" t="n"/>
      <c r="I6681" s="25" t="n"/>
      <c r="U6681" s="19">
        <f>IF($V6681&lt;&gt;'設定'!$C$4,N(U6680),IF(OR(NOT(COUNTIF('商品マスタ'!$B$6:$B$1005,$W6681)=0),COUNTIFS('①在庫を貼る'!$V$6:$V$10005,$V6681,'①在庫を貼る'!$W$6:$W$10005,$W6681)+COUNTIFS('月1回_1ヶ月前の在庫'!$V$6:$V$10005,$V6681,'月1回_1ヶ月前の在庫'!$W$6:$W$10005,$W6681)&gt;0),N(U6680),N(U6680)+1))</f>
        <v/>
      </c>
      <c r="V6681" s="19">
        <f>IF($B6681="","",TEXT($B6681,"0000"))</f>
        <v/>
      </c>
      <c r="W6681" s="19">
        <f>IF($I6681="","",IF(ISNUMBER($I6681),TEXT($I6681,"0"),$I6681))</f>
        <v/>
      </c>
    </row>
    <row r="6682">
      <c r="B6682" s="25" t="n"/>
      <c r="I6682" s="25" t="n"/>
      <c r="U6682" s="19">
        <f>IF($V6682&lt;&gt;'設定'!$C$4,N(U6681),IF(OR(NOT(COUNTIF('商品マスタ'!$B$6:$B$1005,$W6682)=0),COUNTIFS('①在庫を貼る'!$V$6:$V$10005,$V6682,'①在庫を貼る'!$W$6:$W$10005,$W6682)+COUNTIFS('月1回_1ヶ月前の在庫'!$V$6:$V$10005,$V6682,'月1回_1ヶ月前の在庫'!$W$6:$W$10005,$W6682)&gt;0),N(U6681),N(U6681)+1))</f>
        <v/>
      </c>
      <c r="V6682" s="19">
        <f>IF($B6682="","",TEXT($B6682,"0000"))</f>
        <v/>
      </c>
      <c r="W6682" s="19">
        <f>IF($I6682="","",IF(ISNUMBER($I6682),TEXT($I6682,"0"),$I6682))</f>
        <v/>
      </c>
    </row>
    <row r="6683">
      <c r="B6683" s="25" t="n"/>
      <c r="I6683" s="25" t="n"/>
      <c r="U6683" s="19">
        <f>IF($V6683&lt;&gt;'設定'!$C$4,N(U6682),IF(OR(NOT(COUNTIF('商品マスタ'!$B$6:$B$1005,$W6683)=0),COUNTIFS('①在庫を貼る'!$V$6:$V$10005,$V6683,'①在庫を貼る'!$W$6:$W$10005,$W6683)+COUNTIFS('月1回_1ヶ月前の在庫'!$V$6:$V$10005,$V6683,'月1回_1ヶ月前の在庫'!$W$6:$W$10005,$W6683)&gt;0),N(U6682),N(U6682)+1))</f>
        <v/>
      </c>
      <c r="V6683" s="19">
        <f>IF($B6683="","",TEXT($B6683,"0000"))</f>
        <v/>
      </c>
      <c r="W6683" s="19">
        <f>IF($I6683="","",IF(ISNUMBER($I6683),TEXT($I6683,"0"),$I6683))</f>
        <v/>
      </c>
    </row>
    <row r="6684">
      <c r="B6684" s="25" t="n"/>
      <c r="I6684" s="25" t="n"/>
      <c r="U6684" s="19">
        <f>IF($V6684&lt;&gt;'設定'!$C$4,N(U6683),IF(OR(NOT(COUNTIF('商品マスタ'!$B$6:$B$1005,$W6684)=0),COUNTIFS('①在庫を貼る'!$V$6:$V$10005,$V6684,'①在庫を貼る'!$W$6:$W$10005,$W6684)+COUNTIFS('月1回_1ヶ月前の在庫'!$V$6:$V$10005,$V6684,'月1回_1ヶ月前の在庫'!$W$6:$W$10005,$W6684)&gt;0),N(U6683),N(U6683)+1))</f>
        <v/>
      </c>
      <c r="V6684" s="19">
        <f>IF($B6684="","",TEXT($B6684,"0000"))</f>
        <v/>
      </c>
      <c r="W6684" s="19">
        <f>IF($I6684="","",IF(ISNUMBER($I6684),TEXT($I6684,"0"),$I6684))</f>
        <v/>
      </c>
    </row>
    <row r="6685">
      <c r="B6685" s="25" t="n"/>
      <c r="I6685" s="25" t="n"/>
      <c r="U6685" s="19">
        <f>IF($V6685&lt;&gt;'設定'!$C$4,N(U6684),IF(OR(NOT(COUNTIF('商品マスタ'!$B$6:$B$1005,$W6685)=0),COUNTIFS('①在庫を貼る'!$V$6:$V$10005,$V6685,'①在庫を貼る'!$W$6:$W$10005,$W6685)+COUNTIFS('月1回_1ヶ月前の在庫'!$V$6:$V$10005,$V6685,'月1回_1ヶ月前の在庫'!$W$6:$W$10005,$W6685)&gt;0),N(U6684),N(U6684)+1))</f>
        <v/>
      </c>
      <c r="V6685" s="19">
        <f>IF($B6685="","",TEXT($B6685,"0000"))</f>
        <v/>
      </c>
      <c r="W6685" s="19">
        <f>IF($I6685="","",IF(ISNUMBER($I6685),TEXT($I6685,"0"),$I6685))</f>
        <v/>
      </c>
    </row>
    <row r="6686">
      <c r="B6686" s="25" t="n"/>
      <c r="I6686" s="25" t="n"/>
      <c r="U6686" s="19">
        <f>IF($V6686&lt;&gt;'設定'!$C$4,N(U6685),IF(OR(NOT(COUNTIF('商品マスタ'!$B$6:$B$1005,$W6686)=0),COUNTIFS('①在庫を貼る'!$V$6:$V$10005,$V6686,'①在庫を貼る'!$W$6:$W$10005,$W6686)+COUNTIFS('月1回_1ヶ月前の在庫'!$V$6:$V$10005,$V6686,'月1回_1ヶ月前の在庫'!$W$6:$W$10005,$W6686)&gt;0),N(U6685),N(U6685)+1))</f>
        <v/>
      </c>
      <c r="V6686" s="19">
        <f>IF($B6686="","",TEXT($B6686,"0000"))</f>
        <v/>
      </c>
      <c r="W6686" s="19">
        <f>IF($I6686="","",IF(ISNUMBER($I6686),TEXT($I6686,"0"),$I6686))</f>
        <v/>
      </c>
    </row>
    <row r="6687">
      <c r="B6687" s="25" t="n"/>
      <c r="I6687" s="25" t="n"/>
      <c r="U6687" s="19">
        <f>IF($V6687&lt;&gt;'設定'!$C$4,N(U6686),IF(OR(NOT(COUNTIF('商品マスタ'!$B$6:$B$1005,$W6687)=0),COUNTIFS('①在庫を貼る'!$V$6:$V$10005,$V6687,'①在庫を貼る'!$W$6:$W$10005,$W6687)+COUNTIFS('月1回_1ヶ月前の在庫'!$V$6:$V$10005,$V6687,'月1回_1ヶ月前の在庫'!$W$6:$W$10005,$W6687)&gt;0),N(U6686),N(U6686)+1))</f>
        <v/>
      </c>
      <c r="V6687" s="19">
        <f>IF($B6687="","",TEXT($B6687,"0000"))</f>
        <v/>
      </c>
      <c r="W6687" s="19">
        <f>IF($I6687="","",IF(ISNUMBER($I6687),TEXT($I6687,"0"),$I6687))</f>
        <v/>
      </c>
    </row>
    <row r="6688">
      <c r="B6688" s="25" t="n"/>
      <c r="I6688" s="25" t="n"/>
      <c r="U6688" s="19">
        <f>IF($V6688&lt;&gt;'設定'!$C$4,N(U6687),IF(OR(NOT(COUNTIF('商品マスタ'!$B$6:$B$1005,$W6688)=0),COUNTIFS('①在庫を貼る'!$V$6:$V$10005,$V6688,'①在庫を貼る'!$W$6:$W$10005,$W6688)+COUNTIFS('月1回_1ヶ月前の在庫'!$V$6:$V$10005,$V6688,'月1回_1ヶ月前の在庫'!$W$6:$W$10005,$W6688)&gt;0),N(U6687),N(U6687)+1))</f>
        <v/>
      </c>
      <c r="V6688" s="19">
        <f>IF($B6688="","",TEXT($B6688,"0000"))</f>
        <v/>
      </c>
      <c r="W6688" s="19">
        <f>IF($I6688="","",IF(ISNUMBER($I6688),TEXT($I6688,"0"),$I6688))</f>
        <v/>
      </c>
    </row>
    <row r="6689">
      <c r="B6689" s="25" t="n"/>
      <c r="I6689" s="25" t="n"/>
      <c r="U6689" s="19">
        <f>IF($V6689&lt;&gt;'設定'!$C$4,N(U6688),IF(OR(NOT(COUNTIF('商品マスタ'!$B$6:$B$1005,$W6689)=0),COUNTIFS('①在庫を貼る'!$V$6:$V$10005,$V6689,'①在庫を貼る'!$W$6:$W$10005,$W6689)+COUNTIFS('月1回_1ヶ月前の在庫'!$V$6:$V$10005,$V6689,'月1回_1ヶ月前の在庫'!$W$6:$W$10005,$W6689)&gt;0),N(U6688),N(U6688)+1))</f>
        <v/>
      </c>
      <c r="V6689" s="19">
        <f>IF($B6689="","",TEXT($B6689,"0000"))</f>
        <v/>
      </c>
      <c r="W6689" s="19">
        <f>IF($I6689="","",IF(ISNUMBER($I6689),TEXT($I6689,"0"),$I6689))</f>
        <v/>
      </c>
    </row>
    <row r="6690">
      <c r="B6690" s="25" t="n"/>
      <c r="I6690" s="25" t="n"/>
      <c r="U6690" s="19">
        <f>IF($V6690&lt;&gt;'設定'!$C$4,N(U6689),IF(OR(NOT(COUNTIF('商品マスタ'!$B$6:$B$1005,$W6690)=0),COUNTIFS('①在庫を貼る'!$V$6:$V$10005,$V6690,'①在庫を貼る'!$W$6:$W$10005,$W6690)+COUNTIFS('月1回_1ヶ月前の在庫'!$V$6:$V$10005,$V6690,'月1回_1ヶ月前の在庫'!$W$6:$W$10005,$W6690)&gt;0),N(U6689),N(U6689)+1))</f>
        <v/>
      </c>
      <c r="V6690" s="19">
        <f>IF($B6690="","",TEXT($B6690,"0000"))</f>
        <v/>
      </c>
      <c r="W6690" s="19">
        <f>IF($I6690="","",IF(ISNUMBER($I6690),TEXT($I6690,"0"),$I6690))</f>
        <v/>
      </c>
    </row>
    <row r="6691">
      <c r="B6691" s="25" t="n"/>
      <c r="I6691" s="25" t="n"/>
      <c r="U6691" s="19">
        <f>IF($V6691&lt;&gt;'設定'!$C$4,N(U6690),IF(OR(NOT(COUNTIF('商品マスタ'!$B$6:$B$1005,$W6691)=0),COUNTIFS('①在庫を貼る'!$V$6:$V$10005,$V6691,'①在庫を貼る'!$W$6:$W$10005,$W6691)+COUNTIFS('月1回_1ヶ月前の在庫'!$V$6:$V$10005,$V6691,'月1回_1ヶ月前の在庫'!$W$6:$W$10005,$W6691)&gt;0),N(U6690),N(U6690)+1))</f>
        <v/>
      </c>
      <c r="V6691" s="19">
        <f>IF($B6691="","",TEXT($B6691,"0000"))</f>
        <v/>
      </c>
      <c r="W6691" s="19">
        <f>IF($I6691="","",IF(ISNUMBER($I6691),TEXT($I6691,"0"),$I6691))</f>
        <v/>
      </c>
    </row>
    <row r="6692">
      <c r="B6692" s="25" t="n"/>
      <c r="I6692" s="25" t="n"/>
      <c r="U6692" s="19">
        <f>IF($V6692&lt;&gt;'設定'!$C$4,N(U6691),IF(OR(NOT(COUNTIF('商品マスタ'!$B$6:$B$1005,$W6692)=0),COUNTIFS('①在庫を貼る'!$V$6:$V$10005,$V6692,'①在庫を貼る'!$W$6:$W$10005,$W6692)+COUNTIFS('月1回_1ヶ月前の在庫'!$V$6:$V$10005,$V6692,'月1回_1ヶ月前の在庫'!$W$6:$W$10005,$W6692)&gt;0),N(U6691),N(U6691)+1))</f>
        <v/>
      </c>
      <c r="V6692" s="19">
        <f>IF($B6692="","",TEXT($B6692,"0000"))</f>
        <v/>
      </c>
      <c r="W6692" s="19">
        <f>IF($I6692="","",IF(ISNUMBER($I6692),TEXT($I6692,"0"),$I6692))</f>
        <v/>
      </c>
    </row>
    <row r="6693">
      <c r="B6693" s="25" t="n"/>
      <c r="I6693" s="25" t="n"/>
      <c r="U6693" s="19">
        <f>IF($V6693&lt;&gt;'設定'!$C$4,N(U6692),IF(OR(NOT(COUNTIF('商品マスタ'!$B$6:$B$1005,$W6693)=0),COUNTIFS('①在庫を貼る'!$V$6:$V$10005,$V6693,'①在庫を貼る'!$W$6:$W$10005,$W6693)+COUNTIFS('月1回_1ヶ月前の在庫'!$V$6:$V$10005,$V6693,'月1回_1ヶ月前の在庫'!$W$6:$W$10005,$W6693)&gt;0),N(U6692),N(U6692)+1))</f>
        <v/>
      </c>
      <c r="V6693" s="19">
        <f>IF($B6693="","",TEXT($B6693,"0000"))</f>
        <v/>
      </c>
      <c r="W6693" s="19">
        <f>IF($I6693="","",IF(ISNUMBER($I6693),TEXT($I6693,"0"),$I6693))</f>
        <v/>
      </c>
    </row>
    <row r="6694">
      <c r="B6694" s="25" t="n"/>
      <c r="I6694" s="25" t="n"/>
      <c r="U6694" s="19">
        <f>IF($V6694&lt;&gt;'設定'!$C$4,N(U6693),IF(OR(NOT(COUNTIF('商品マスタ'!$B$6:$B$1005,$W6694)=0),COUNTIFS('①在庫を貼る'!$V$6:$V$10005,$V6694,'①在庫を貼る'!$W$6:$W$10005,$W6694)+COUNTIFS('月1回_1ヶ月前の在庫'!$V$6:$V$10005,$V6694,'月1回_1ヶ月前の在庫'!$W$6:$W$10005,$W6694)&gt;0),N(U6693),N(U6693)+1))</f>
        <v/>
      </c>
      <c r="V6694" s="19">
        <f>IF($B6694="","",TEXT($B6694,"0000"))</f>
        <v/>
      </c>
      <c r="W6694" s="19">
        <f>IF($I6694="","",IF(ISNUMBER($I6694),TEXT($I6694,"0"),$I6694))</f>
        <v/>
      </c>
    </row>
    <row r="6695">
      <c r="B6695" s="25" t="n"/>
      <c r="I6695" s="25" t="n"/>
      <c r="U6695" s="19">
        <f>IF($V6695&lt;&gt;'設定'!$C$4,N(U6694),IF(OR(NOT(COUNTIF('商品マスタ'!$B$6:$B$1005,$W6695)=0),COUNTIFS('①在庫を貼る'!$V$6:$V$10005,$V6695,'①在庫を貼る'!$W$6:$W$10005,$W6695)+COUNTIFS('月1回_1ヶ月前の在庫'!$V$6:$V$10005,$V6695,'月1回_1ヶ月前の在庫'!$W$6:$W$10005,$W6695)&gt;0),N(U6694),N(U6694)+1))</f>
        <v/>
      </c>
      <c r="V6695" s="19">
        <f>IF($B6695="","",TEXT($B6695,"0000"))</f>
        <v/>
      </c>
      <c r="W6695" s="19">
        <f>IF($I6695="","",IF(ISNUMBER($I6695),TEXT($I6695,"0"),$I6695))</f>
        <v/>
      </c>
    </row>
    <row r="6696">
      <c r="B6696" s="25" t="n"/>
      <c r="I6696" s="25" t="n"/>
      <c r="U6696" s="19">
        <f>IF($V6696&lt;&gt;'設定'!$C$4,N(U6695),IF(OR(NOT(COUNTIF('商品マスタ'!$B$6:$B$1005,$W6696)=0),COUNTIFS('①在庫を貼る'!$V$6:$V$10005,$V6696,'①在庫を貼る'!$W$6:$W$10005,$W6696)+COUNTIFS('月1回_1ヶ月前の在庫'!$V$6:$V$10005,$V6696,'月1回_1ヶ月前の在庫'!$W$6:$W$10005,$W6696)&gt;0),N(U6695),N(U6695)+1))</f>
        <v/>
      </c>
      <c r="V6696" s="19">
        <f>IF($B6696="","",TEXT($B6696,"0000"))</f>
        <v/>
      </c>
      <c r="W6696" s="19">
        <f>IF($I6696="","",IF(ISNUMBER($I6696),TEXT($I6696,"0"),$I6696))</f>
        <v/>
      </c>
    </row>
    <row r="6697">
      <c r="B6697" s="25" t="n"/>
      <c r="I6697" s="25" t="n"/>
      <c r="U6697" s="19">
        <f>IF($V6697&lt;&gt;'設定'!$C$4,N(U6696),IF(OR(NOT(COUNTIF('商品マスタ'!$B$6:$B$1005,$W6697)=0),COUNTIFS('①在庫を貼る'!$V$6:$V$10005,$V6697,'①在庫を貼る'!$W$6:$W$10005,$W6697)+COUNTIFS('月1回_1ヶ月前の在庫'!$V$6:$V$10005,$V6697,'月1回_1ヶ月前の在庫'!$W$6:$W$10005,$W6697)&gt;0),N(U6696),N(U6696)+1))</f>
        <v/>
      </c>
      <c r="V6697" s="19">
        <f>IF($B6697="","",TEXT($B6697,"0000"))</f>
        <v/>
      </c>
      <c r="W6697" s="19">
        <f>IF($I6697="","",IF(ISNUMBER($I6697),TEXT($I6697,"0"),$I6697))</f>
        <v/>
      </c>
    </row>
    <row r="6698">
      <c r="B6698" s="25" t="n"/>
      <c r="I6698" s="25" t="n"/>
      <c r="U6698" s="19">
        <f>IF($V6698&lt;&gt;'設定'!$C$4,N(U6697),IF(OR(NOT(COUNTIF('商品マスタ'!$B$6:$B$1005,$W6698)=0),COUNTIFS('①在庫を貼る'!$V$6:$V$10005,$V6698,'①在庫を貼る'!$W$6:$W$10005,$W6698)+COUNTIFS('月1回_1ヶ月前の在庫'!$V$6:$V$10005,$V6698,'月1回_1ヶ月前の在庫'!$W$6:$W$10005,$W6698)&gt;0),N(U6697),N(U6697)+1))</f>
        <v/>
      </c>
      <c r="V6698" s="19">
        <f>IF($B6698="","",TEXT($B6698,"0000"))</f>
        <v/>
      </c>
      <c r="W6698" s="19">
        <f>IF($I6698="","",IF(ISNUMBER($I6698),TEXT($I6698,"0"),$I6698))</f>
        <v/>
      </c>
    </row>
    <row r="6699">
      <c r="B6699" s="25" t="n"/>
      <c r="I6699" s="25" t="n"/>
      <c r="U6699" s="19">
        <f>IF($V6699&lt;&gt;'設定'!$C$4,N(U6698),IF(OR(NOT(COUNTIF('商品マスタ'!$B$6:$B$1005,$W6699)=0),COUNTIFS('①在庫を貼る'!$V$6:$V$10005,$V6699,'①在庫を貼る'!$W$6:$W$10005,$W6699)+COUNTIFS('月1回_1ヶ月前の在庫'!$V$6:$V$10005,$V6699,'月1回_1ヶ月前の在庫'!$W$6:$W$10005,$W6699)&gt;0),N(U6698),N(U6698)+1))</f>
        <v/>
      </c>
      <c r="V6699" s="19">
        <f>IF($B6699="","",TEXT($B6699,"0000"))</f>
        <v/>
      </c>
      <c r="W6699" s="19">
        <f>IF($I6699="","",IF(ISNUMBER($I6699),TEXT($I6699,"0"),$I6699))</f>
        <v/>
      </c>
    </row>
    <row r="6700">
      <c r="B6700" s="25" t="n"/>
      <c r="I6700" s="25" t="n"/>
      <c r="U6700" s="19">
        <f>IF($V6700&lt;&gt;'設定'!$C$4,N(U6699),IF(OR(NOT(COUNTIF('商品マスタ'!$B$6:$B$1005,$W6700)=0),COUNTIFS('①在庫を貼る'!$V$6:$V$10005,$V6700,'①在庫を貼る'!$W$6:$W$10005,$W6700)+COUNTIFS('月1回_1ヶ月前の在庫'!$V$6:$V$10005,$V6700,'月1回_1ヶ月前の在庫'!$W$6:$W$10005,$W6700)&gt;0),N(U6699),N(U6699)+1))</f>
        <v/>
      </c>
      <c r="V6700" s="19">
        <f>IF($B6700="","",TEXT($B6700,"0000"))</f>
        <v/>
      </c>
      <c r="W6700" s="19">
        <f>IF($I6700="","",IF(ISNUMBER($I6700),TEXT($I6700,"0"),$I6700))</f>
        <v/>
      </c>
    </row>
    <row r="6701">
      <c r="B6701" s="25" t="n"/>
      <c r="I6701" s="25" t="n"/>
      <c r="U6701" s="19">
        <f>IF($V6701&lt;&gt;'設定'!$C$4,N(U6700),IF(OR(NOT(COUNTIF('商品マスタ'!$B$6:$B$1005,$W6701)=0),COUNTIFS('①在庫を貼る'!$V$6:$V$10005,$V6701,'①在庫を貼る'!$W$6:$W$10005,$W6701)+COUNTIFS('月1回_1ヶ月前の在庫'!$V$6:$V$10005,$V6701,'月1回_1ヶ月前の在庫'!$W$6:$W$10005,$W6701)&gt;0),N(U6700),N(U6700)+1))</f>
        <v/>
      </c>
      <c r="V6701" s="19">
        <f>IF($B6701="","",TEXT($B6701,"0000"))</f>
        <v/>
      </c>
      <c r="W6701" s="19">
        <f>IF($I6701="","",IF(ISNUMBER($I6701),TEXT($I6701,"0"),$I6701))</f>
        <v/>
      </c>
    </row>
    <row r="6702">
      <c r="B6702" s="25" t="n"/>
      <c r="I6702" s="25" t="n"/>
      <c r="U6702" s="19">
        <f>IF($V6702&lt;&gt;'設定'!$C$4,N(U6701),IF(OR(NOT(COUNTIF('商品マスタ'!$B$6:$B$1005,$W6702)=0),COUNTIFS('①在庫を貼る'!$V$6:$V$10005,$V6702,'①在庫を貼る'!$W$6:$W$10005,$W6702)+COUNTIFS('月1回_1ヶ月前の在庫'!$V$6:$V$10005,$V6702,'月1回_1ヶ月前の在庫'!$W$6:$W$10005,$W6702)&gt;0),N(U6701),N(U6701)+1))</f>
        <v/>
      </c>
      <c r="V6702" s="19">
        <f>IF($B6702="","",TEXT($B6702,"0000"))</f>
        <v/>
      </c>
      <c r="W6702" s="19">
        <f>IF($I6702="","",IF(ISNUMBER($I6702),TEXT($I6702,"0"),$I6702))</f>
        <v/>
      </c>
    </row>
    <row r="6703">
      <c r="B6703" s="25" t="n"/>
      <c r="I6703" s="25" t="n"/>
      <c r="U6703" s="19">
        <f>IF($V6703&lt;&gt;'設定'!$C$4,N(U6702),IF(OR(NOT(COUNTIF('商品マスタ'!$B$6:$B$1005,$W6703)=0),COUNTIFS('①在庫を貼る'!$V$6:$V$10005,$V6703,'①在庫を貼る'!$W$6:$W$10005,$W6703)+COUNTIFS('月1回_1ヶ月前の在庫'!$V$6:$V$10005,$V6703,'月1回_1ヶ月前の在庫'!$W$6:$W$10005,$W6703)&gt;0),N(U6702),N(U6702)+1))</f>
        <v/>
      </c>
      <c r="V6703" s="19">
        <f>IF($B6703="","",TEXT($B6703,"0000"))</f>
        <v/>
      </c>
      <c r="W6703" s="19">
        <f>IF($I6703="","",IF(ISNUMBER($I6703),TEXT($I6703,"0"),$I6703))</f>
        <v/>
      </c>
    </row>
    <row r="6704">
      <c r="B6704" s="25" t="n"/>
      <c r="I6704" s="25" t="n"/>
      <c r="U6704" s="19">
        <f>IF($V6704&lt;&gt;'設定'!$C$4,N(U6703),IF(OR(NOT(COUNTIF('商品マスタ'!$B$6:$B$1005,$W6704)=0),COUNTIFS('①在庫を貼る'!$V$6:$V$10005,$V6704,'①在庫を貼る'!$W$6:$W$10005,$W6704)+COUNTIFS('月1回_1ヶ月前の在庫'!$V$6:$V$10005,$V6704,'月1回_1ヶ月前の在庫'!$W$6:$W$10005,$W6704)&gt;0),N(U6703),N(U6703)+1))</f>
        <v/>
      </c>
      <c r="V6704" s="19">
        <f>IF($B6704="","",TEXT($B6704,"0000"))</f>
        <v/>
      </c>
      <c r="W6704" s="19">
        <f>IF($I6704="","",IF(ISNUMBER($I6704),TEXT($I6704,"0"),$I6704))</f>
        <v/>
      </c>
    </row>
    <row r="6705">
      <c r="B6705" s="25" t="n"/>
      <c r="I6705" s="25" t="n"/>
      <c r="U6705" s="19">
        <f>IF($V6705&lt;&gt;'設定'!$C$4,N(U6704),IF(OR(NOT(COUNTIF('商品マスタ'!$B$6:$B$1005,$W6705)=0),COUNTIFS('①在庫を貼る'!$V$6:$V$10005,$V6705,'①在庫を貼る'!$W$6:$W$10005,$W6705)+COUNTIFS('月1回_1ヶ月前の在庫'!$V$6:$V$10005,$V6705,'月1回_1ヶ月前の在庫'!$W$6:$W$10005,$W6705)&gt;0),N(U6704),N(U6704)+1))</f>
        <v/>
      </c>
      <c r="V6705" s="19">
        <f>IF($B6705="","",TEXT($B6705,"0000"))</f>
        <v/>
      </c>
      <c r="W6705" s="19">
        <f>IF($I6705="","",IF(ISNUMBER($I6705),TEXT($I6705,"0"),$I6705))</f>
        <v/>
      </c>
    </row>
    <row r="6706">
      <c r="B6706" s="25" t="n"/>
      <c r="I6706" s="25" t="n"/>
      <c r="U6706" s="19">
        <f>IF($V6706&lt;&gt;'設定'!$C$4,N(U6705),IF(OR(NOT(COUNTIF('商品マスタ'!$B$6:$B$1005,$W6706)=0),COUNTIFS('①在庫を貼る'!$V$6:$V$10005,$V6706,'①在庫を貼る'!$W$6:$W$10005,$W6706)+COUNTIFS('月1回_1ヶ月前の在庫'!$V$6:$V$10005,$V6706,'月1回_1ヶ月前の在庫'!$W$6:$W$10005,$W6706)&gt;0),N(U6705),N(U6705)+1))</f>
        <v/>
      </c>
      <c r="V6706" s="19">
        <f>IF($B6706="","",TEXT($B6706,"0000"))</f>
        <v/>
      </c>
      <c r="W6706" s="19">
        <f>IF($I6706="","",IF(ISNUMBER($I6706),TEXT($I6706,"0"),$I6706))</f>
        <v/>
      </c>
    </row>
    <row r="6707">
      <c r="B6707" s="25" t="n"/>
      <c r="I6707" s="25" t="n"/>
      <c r="U6707" s="19">
        <f>IF($V6707&lt;&gt;'設定'!$C$4,N(U6706),IF(OR(NOT(COUNTIF('商品マスタ'!$B$6:$B$1005,$W6707)=0),COUNTIFS('①在庫を貼る'!$V$6:$V$10005,$V6707,'①在庫を貼る'!$W$6:$W$10005,$W6707)+COUNTIFS('月1回_1ヶ月前の在庫'!$V$6:$V$10005,$V6707,'月1回_1ヶ月前の在庫'!$W$6:$W$10005,$W6707)&gt;0),N(U6706),N(U6706)+1))</f>
        <v/>
      </c>
      <c r="V6707" s="19">
        <f>IF($B6707="","",TEXT($B6707,"0000"))</f>
        <v/>
      </c>
      <c r="W6707" s="19">
        <f>IF($I6707="","",IF(ISNUMBER($I6707),TEXT($I6707,"0"),$I6707))</f>
        <v/>
      </c>
    </row>
    <row r="6708">
      <c r="B6708" s="25" t="n"/>
      <c r="I6708" s="25" t="n"/>
      <c r="U6708" s="19">
        <f>IF($V6708&lt;&gt;'設定'!$C$4,N(U6707),IF(OR(NOT(COUNTIF('商品マスタ'!$B$6:$B$1005,$W6708)=0),COUNTIFS('①在庫を貼る'!$V$6:$V$10005,$V6708,'①在庫を貼る'!$W$6:$W$10005,$W6708)+COUNTIFS('月1回_1ヶ月前の在庫'!$V$6:$V$10005,$V6708,'月1回_1ヶ月前の在庫'!$W$6:$W$10005,$W6708)&gt;0),N(U6707),N(U6707)+1))</f>
        <v/>
      </c>
      <c r="V6708" s="19">
        <f>IF($B6708="","",TEXT($B6708,"0000"))</f>
        <v/>
      </c>
      <c r="W6708" s="19">
        <f>IF($I6708="","",IF(ISNUMBER($I6708),TEXT($I6708,"0"),$I6708))</f>
        <v/>
      </c>
    </row>
    <row r="6709">
      <c r="B6709" s="25" t="n"/>
      <c r="I6709" s="25" t="n"/>
      <c r="U6709" s="19">
        <f>IF($V6709&lt;&gt;'設定'!$C$4,N(U6708),IF(OR(NOT(COUNTIF('商品マスタ'!$B$6:$B$1005,$W6709)=0),COUNTIFS('①在庫を貼る'!$V$6:$V$10005,$V6709,'①在庫を貼る'!$W$6:$W$10005,$W6709)+COUNTIFS('月1回_1ヶ月前の在庫'!$V$6:$V$10005,$V6709,'月1回_1ヶ月前の在庫'!$W$6:$W$10005,$W6709)&gt;0),N(U6708),N(U6708)+1))</f>
        <v/>
      </c>
      <c r="V6709" s="19">
        <f>IF($B6709="","",TEXT($B6709,"0000"))</f>
        <v/>
      </c>
      <c r="W6709" s="19">
        <f>IF($I6709="","",IF(ISNUMBER($I6709),TEXT($I6709,"0"),$I6709))</f>
        <v/>
      </c>
    </row>
    <row r="6710">
      <c r="B6710" s="25" t="n"/>
      <c r="I6710" s="25" t="n"/>
      <c r="U6710" s="19">
        <f>IF($V6710&lt;&gt;'設定'!$C$4,N(U6709),IF(OR(NOT(COUNTIF('商品マスタ'!$B$6:$B$1005,$W6710)=0),COUNTIFS('①在庫を貼る'!$V$6:$V$10005,$V6710,'①在庫を貼る'!$W$6:$W$10005,$W6710)+COUNTIFS('月1回_1ヶ月前の在庫'!$V$6:$V$10005,$V6710,'月1回_1ヶ月前の在庫'!$W$6:$W$10005,$W6710)&gt;0),N(U6709),N(U6709)+1))</f>
        <v/>
      </c>
      <c r="V6710" s="19">
        <f>IF($B6710="","",TEXT($B6710,"0000"))</f>
        <v/>
      </c>
      <c r="W6710" s="19">
        <f>IF($I6710="","",IF(ISNUMBER($I6710),TEXT($I6710,"0"),$I6710))</f>
        <v/>
      </c>
    </row>
    <row r="6711">
      <c r="B6711" s="25" t="n"/>
      <c r="I6711" s="25" t="n"/>
      <c r="U6711" s="19">
        <f>IF($V6711&lt;&gt;'設定'!$C$4,N(U6710),IF(OR(NOT(COUNTIF('商品マスタ'!$B$6:$B$1005,$W6711)=0),COUNTIFS('①在庫を貼る'!$V$6:$V$10005,$V6711,'①在庫を貼る'!$W$6:$W$10005,$W6711)+COUNTIFS('月1回_1ヶ月前の在庫'!$V$6:$V$10005,$V6711,'月1回_1ヶ月前の在庫'!$W$6:$W$10005,$W6711)&gt;0),N(U6710),N(U6710)+1))</f>
        <v/>
      </c>
      <c r="V6711" s="19">
        <f>IF($B6711="","",TEXT($B6711,"0000"))</f>
        <v/>
      </c>
      <c r="W6711" s="19">
        <f>IF($I6711="","",IF(ISNUMBER($I6711),TEXT($I6711,"0"),$I6711))</f>
        <v/>
      </c>
    </row>
    <row r="6712">
      <c r="B6712" s="25" t="n"/>
      <c r="I6712" s="25" t="n"/>
      <c r="U6712" s="19">
        <f>IF($V6712&lt;&gt;'設定'!$C$4,N(U6711),IF(OR(NOT(COUNTIF('商品マスタ'!$B$6:$B$1005,$W6712)=0),COUNTIFS('①在庫を貼る'!$V$6:$V$10005,$V6712,'①在庫を貼る'!$W$6:$W$10005,$W6712)+COUNTIFS('月1回_1ヶ月前の在庫'!$V$6:$V$10005,$V6712,'月1回_1ヶ月前の在庫'!$W$6:$W$10005,$W6712)&gt;0),N(U6711),N(U6711)+1))</f>
        <v/>
      </c>
      <c r="V6712" s="19">
        <f>IF($B6712="","",TEXT($B6712,"0000"))</f>
        <v/>
      </c>
      <c r="W6712" s="19">
        <f>IF($I6712="","",IF(ISNUMBER($I6712),TEXT($I6712,"0"),$I6712))</f>
        <v/>
      </c>
    </row>
    <row r="6713">
      <c r="B6713" s="25" t="n"/>
      <c r="I6713" s="25" t="n"/>
      <c r="U6713" s="19">
        <f>IF($V6713&lt;&gt;'設定'!$C$4,N(U6712),IF(OR(NOT(COUNTIF('商品マスタ'!$B$6:$B$1005,$W6713)=0),COUNTIFS('①在庫を貼る'!$V$6:$V$10005,$V6713,'①在庫を貼る'!$W$6:$W$10005,$W6713)+COUNTIFS('月1回_1ヶ月前の在庫'!$V$6:$V$10005,$V6713,'月1回_1ヶ月前の在庫'!$W$6:$W$10005,$W6713)&gt;0),N(U6712),N(U6712)+1))</f>
        <v/>
      </c>
      <c r="V6713" s="19">
        <f>IF($B6713="","",TEXT($B6713,"0000"))</f>
        <v/>
      </c>
      <c r="W6713" s="19">
        <f>IF($I6713="","",IF(ISNUMBER($I6713),TEXT($I6713,"0"),$I6713))</f>
        <v/>
      </c>
    </row>
    <row r="6714">
      <c r="B6714" s="25" t="n"/>
      <c r="I6714" s="25" t="n"/>
      <c r="U6714" s="19">
        <f>IF($V6714&lt;&gt;'設定'!$C$4,N(U6713),IF(OR(NOT(COUNTIF('商品マスタ'!$B$6:$B$1005,$W6714)=0),COUNTIFS('①在庫を貼る'!$V$6:$V$10005,$V6714,'①在庫を貼る'!$W$6:$W$10005,$W6714)+COUNTIFS('月1回_1ヶ月前の在庫'!$V$6:$V$10005,$V6714,'月1回_1ヶ月前の在庫'!$W$6:$W$10005,$W6714)&gt;0),N(U6713),N(U6713)+1))</f>
        <v/>
      </c>
      <c r="V6714" s="19">
        <f>IF($B6714="","",TEXT($B6714,"0000"))</f>
        <v/>
      </c>
      <c r="W6714" s="19">
        <f>IF($I6714="","",IF(ISNUMBER($I6714),TEXT($I6714,"0"),$I6714))</f>
        <v/>
      </c>
    </row>
    <row r="6715">
      <c r="B6715" s="25" t="n"/>
      <c r="I6715" s="25" t="n"/>
      <c r="U6715" s="19">
        <f>IF($V6715&lt;&gt;'設定'!$C$4,N(U6714),IF(OR(NOT(COUNTIF('商品マスタ'!$B$6:$B$1005,$W6715)=0),COUNTIFS('①在庫を貼る'!$V$6:$V$10005,$V6715,'①在庫を貼る'!$W$6:$W$10005,$W6715)+COUNTIFS('月1回_1ヶ月前の在庫'!$V$6:$V$10005,$V6715,'月1回_1ヶ月前の在庫'!$W$6:$W$10005,$W6715)&gt;0),N(U6714),N(U6714)+1))</f>
        <v/>
      </c>
      <c r="V6715" s="19">
        <f>IF($B6715="","",TEXT($B6715,"0000"))</f>
        <v/>
      </c>
      <c r="W6715" s="19">
        <f>IF($I6715="","",IF(ISNUMBER($I6715),TEXT($I6715,"0"),$I6715))</f>
        <v/>
      </c>
    </row>
    <row r="6716">
      <c r="B6716" s="25" t="n"/>
      <c r="I6716" s="25" t="n"/>
      <c r="U6716" s="19">
        <f>IF($V6716&lt;&gt;'設定'!$C$4,N(U6715),IF(OR(NOT(COUNTIF('商品マスタ'!$B$6:$B$1005,$W6716)=0),COUNTIFS('①在庫を貼る'!$V$6:$V$10005,$V6716,'①在庫を貼る'!$W$6:$W$10005,$W6716)+COUNTIFS('月1回_1ヶ月前の在庫'!$V$6:$V$10005,$V6716,'月1回_1ヶ月前の在庫'!$W$6:$W$10005,$W6716)&gt;0),N(U6715),N(U6715)+1))</f>
        <v/>
      </c>
      <c r="V6716" s="19">
        <f>IF($B6716="","",TEXT($B6716,"0000"))</f>
        <v/>
      </c>
      <c r="W6716" s="19">
        <f>IF($I6716="","",IF(ISNUMBER($I6716),TEXT($I6716,"0"),$I6716))</f>
        <v/>
      </c>
    </row>
    <row r="6717">
      <c r="B6717" s="25" t="n"/>
      <c r="I6717" s="25" t="n"/>
      <c r="U6717" s="19">
        <f>IF($V6717&lt;&gt;'設定'!$C$4,N(U6716),IF(OR(NOT(COUNTIF('商品マスタ'!$B$6:$B$1005,$W6717)=0),COUNTIFS('①在庫を貼る'!$V$6:$V$10005,$V6717,'①在庫を貼る'!$W$6:$W$10005,$W6717)+COUNTIFS('月1回_1ヶ月前の在庫'!$V$6:$V$10005,$V6717,'月1回_1ヶ月前の在庫'!$W$6:$W$10005,$W6717)&gt;0),N(U6716),N(U6716)+1))</f>
        <v/>
      </c>
      <c r="V6717" s="19">
        <f>IF($B6717="","",TEXT($B6717,"0000"))</f>
        <v/>
      </c>
      <c r="W6717" s="19">
        <f>IF($I6717="","",IF(ISNUMBER($I6717),TEXT($I6717,"0"),$I6717))</f>
        <v/>
      </c>
    </row>
    <row r="6718">
      <c r="B6718" s="25" t="n"/>
      <c r="I6718" s="25" t="n"/>
      <c r="U6718" s="19">
        <f>IF($V6718&lt;&gt;'設定'!$C$4,N(U6717),IF(OR(NOT(COUNTIF('商品マスタ'!$B$6:$B$1005,$W6718)=0),COUNTIFS('①在庫を貼る'!$V$6:$V$10005,$V6718,'①在庫を貼る'!$W$6:$W$10005,$W6718)+COUNTIFS('月1回_1ヶ月前の在庫'!$V$6:$V$10005,$V6718,'月1回_1ヶ月前の在庫'!$W$6:$W$10005,$W6718)&gt;0),N(U6717),N(U6717)+1))</f>
        <v/>
      </c>
      <c r="V6718" s="19">
        <f>IF($B6718="","",TEXT($B6718,"0000"))</f>
        <v/>
      </c>
      <c r="W6718" s="19">
        <f>IF($I6718="","",IF(ISNUMBER($I6718),TEXT($I6718,"0"),$I6718))</f>
        <v/>
      </c>
    </row>
    <row r="6719">
      <c r="B6719" s="25" t="n"/>
      <c r="I6719" s="25" t="n"/>
      <c r="U6719" s="19">
        <f>IF($V6719&lt;&gt;'設定'!$C$4,N(U6718),IF(OR(NOT(COUNTIF('商品マスタ'!$B$6:$B$1005,$W6719)=0),COUNTIFS('①在庫を貼る'!$V$6:$V$10005,$V6719,'①在庫を貼る'!$W$6:$W$10005,$W6719)+COUNTIFS('月1回_1ヶ月前の在庫'!$V$6:$V$10005,$V6719,'月1回_1ヶ月前の在庫'!$W$6:$W$10005,$W6719)&gt;0),N(U6718),N(U6718)+1))</f>
        <v/>
      </c>
      <c r="V6719" s="19">
        <f>IF($B6719="","",TEXT($B6719,"0000"))</f>
        <v/>
      </c>
      <c r="W6719" s="19">
        <f>IF($I6719="","",IF(ISNUMBER($I6719),TEXT($I6719,"0"),$I6719))</f>
        <v/>
      </c>
    </row>
    <row r="6720">
      <c r="B6720" s="25" t="n"/>
      <c r="I6720" s="25" t="n"/>
      <c r="U6720" s="19">
        <f>IF($V6720&lt;&gt;'設定'!$C$4,N(U6719),IF(OR(NOT(COUNTIF('商品マスタ'!$B$6:$B$1005,$W6720)=0),COUNTIFS('①在庫を貼る'!$V$6:$V$10005,$V6720,'①在庫を貼る'!$W$6:$W$10005,$W6720)+COUNTIFS('月1回_1ヶ月前の在庫'!$V$6:$V$10005,$V6720,'月1回_1ヶ月前の在庫'!$W$6:$W$10005,$W6720)&gt;0),N(U6719),N(U6719)+1))</f>
        <v/>
      </c>
      <c r="V6720" s="19">
        <f>IF($B6720="","",TEXT($B6720,"0000"))</f>
        <v/>
      </c>
      <c r="W6720" s="19">
        <f>IF($I6720="","",IF(ISNUMBER($I6720),TEXT($I6720,"0"),$I6720))</f>
        <v/>
      </c>
    </row>
    <row r="6721">
      <c r="B6721" s="25" t="n"/>
      <c r="I6721" s="25" t="n"/>
      <c r="U6721" s="19">
        <f>IF($V6721&lt;&gt;'設定'!$C$4,N(U6720),IF(OR(NOT(COUNTIF('商品マスタ'!$B$6:$B$1005,$W6721)=0),COUNTIFS('①在庫を貼る'!$V$6:$V$10005,$V6721,'①在庫を貼る'!$W$6:$W$10005,$W6721)+COUNTIFS('月1回_1ヶ月前の在庫'!$V$6:$V$10005,$V6721,'月1回_1ヶ月前の在庫'!$W$6:$W$10005,$W6721)&gt;0),N(U6720),N(U6720)+1))</f>
        <v/>
      </c>
      <c r="V6721" s="19">
        <f>IF($B6721="","",TEXT($B6721,"0000"))</f>
        <v/>
      </c>
      <c r="W6721" s="19">
        <f>IF($I6721="","",IF(ISNUMBER($I6721),TEXT($I6721,"0"),$I6721))</f>
        <v/>
      </c>
    </row>
    <row r="6722">
      <c r="B6722" s="25" t="n"/>
      <c r="I6722" s="25" t="n"/>
      <c r="U6722" s="19">
        <f>IF($V6722&lt;&gt;'設定'!$C$4,N(U6721),IF(OR(NOT(COUNTIF('商品マスタ'!$B$6:$B$1005,$W6722)=0),COUNTIFS('①在庫を貼る'!$V$6:$V$10005,$V6722,'①在庫を貼る'!$W$6:$W$10005,$W6722)+COUNTIFS('月1回_1ヶ月前の在庫'!$V$6:$V$10005,$V6722,'月1回_1ヶ月前の在庫'!$W$6:$W$10005,$W6722)&gt;0),N(U6721),N(U6721)+1))</f>
        <v/>
      </c>
      <c r="V6722" s="19">
        <f>IF($B6722="","",TEXT($B6722,"0000"))</f>
        <v/>
      </c>
      <c r="W6722" s="19">
        <f>IF($I6722="","",IF(ISNUMBER($I6722),TEXT($I6722,"0"),$I6722))</f>
        <v/>
      </c>
    </row>
    <row r="6723">
      <c r="B6723" s="25" t="n"/>
      <c r="I6723" s="25" t="n"/>
      <c r="U6723" s="19">
        <f>IF($V6723&lt;&gt;'設定'!$C$4,N(U6722),IF(OR(NOT(COUNTIF('商品マスタ'!$B$6:$B$1005,$W6723)=0),COUNTIFS('①在庫を貼る'!$V$6:$V$10005,$V6723,'①在庫を貼る'!$W$6:$W$10005,$W6723)+COUNTIFS('月1回_1ヶ月前の在庫'!$V$6:$V$10005,$V6723,'月1回_1ヶ月前の在庫'!$W$6:$W$10005,$W6723)&gt;0),N(U6722),N(U6722)+1))</f>
        <v/>
      </c>
      <c r="V6723" s="19">
        <f>IF($B6723="","",TEXT($B6723,"0000"))</f>
        <v/>
      </c>
      <c r="W6723" s="19">
        <f>IF($I6723="","",IF(ISNUMBER($I6723),TEXT($I6723,"0"),$I6723))</f>
        <v/>
      </c>
    </row>
    <row r="6724">
      <c r="B6724" s="25" t="n"/>
      <c r="I6724" s="25" t="n"/>
      <c r="U6724" s="19">
        <f>IF($V6724&lt;&gt;'設定'!$C$4,N(U6723),IF(OR(NOT(COUNTIF('商品マスタ'!$B$6:$B$1005,$W6724)=0),COUNTIFS('①在庫を貼る'!$V$6:$V$10005,$V6724,'①在庫を貼る'!$W$6:$W$10005,$W6724)+COUNTIFS('月1回_1ヶ月前の在庫'!$V$6:$V$10005,$V6724,'月1回_1ヶ月前の在庫'!$W$6:$W$10005,$W6724)&gt;0),N(U6723),N(U6723)+1))</f>
        <v/>
      </c>
      <c r="V6724" s="19">
        <f>IF($B6724="","",TEXT($B6724,"0000"))</f>
        <v/>
      </c>
      <c r="W6724" s="19">
        <f>IF($I6724="","",IF(ISNUMBER($I6724),TEXT($I6724,"0"),$I6724))</f>
        <v/>
      </c>
    </row>
    <row r="6725">
      <c r="B6725" s="25" t="n"/>
      <c r="I6725" s="25" t="n"/>
      <c r="U6725" s="19">
        <f>IF($V6725&lt;&gt;'設定'!$C$4,N(U6724),IF(OR(NOT(COUNTIF('商品マスタ'!$B$6:$B$1005,$W6725)=0),COUNTIFS('①在庫を貼る'!$V$6:$V$10005,$V6725,'①在庫を貼る'!$W$6:$W$10005,$W6725)+COUNTIFS('月1回_1ヶ月前の在庫'!$V$6:$V$10005,$V6725,'月1回_1ヶ月前の在庫'!$W$6:$W$10005,$W6725)&gt;0),N(U6724),N(U6724)+1))</f>
        <v/>
      </c>
      <c r="V6725" s="19">
        <f>IF($B6725="","",TEXT($B6725,"0000"))</f>
        <v/>
      </c>
      <c r="W6725" s="19">
        <f>IF($I6725="","",IF(ISNUMBER($I6725),TEXT($I6725,"0"),$I6725))</f>
        <v/>
      </c>
    </row>
    <row r="6726">
      <c r="B6726" s="25" t="n"/>
      <c r="I6726" s="25" t="n"/>
      <c r="U6726" s="19">
        <f>IF($V6726&lt;&gt;'設定'!$C$4,N(U6725),IF(OR(NOT(COUNTIF('商品マスタ'!$B$6:$B$1005,$W6726)=0),COUNTIFS('①在庫を貼る'!$V$6:$V$10005,$V6726,'①在庫を貼る'!$W$6:$W$10005,$W6726)+COUNTIFS('月1回_1ヶ月前の在庫'!$V$6:$V$10005,$V6726,'月1回_1ヶ月前の在庫'!$W$6:$W$10005,$W6726)&gt;0),N(U6725),N(U6725)+1))</f>
        <v/>
      </c>
      <c r="V6726" s="19">
        <f>IF($B6726="","",TEXT($B6726,"0000"))</f>
        <v/>
      </c>
      <c r="W6726" s="19">
        <f>IF($I6726="","",IF(ISNUMBER($I6726),TEXT($I6726,"0"),$I6726))</f>
        <v/>
      </c>
    </row>
    <row r="6727">
      <c r="B6727" s="25" t="n"/>
      <c r="I6727" s="25" t="n"/>
      <c r="U6727" s="19">
        <f>IF($V6727&lt;&gt;'設定'!$C$4,N(U6726),IF(OR(NOT(COUNTIF('商品マスタ'!$B$6:$B$1005,$W6727)=0),COUNTIFS('①在庫を貼る'!$V$6:$V$10005,$V6727,'①在庫を貼る'!$W$6:$W$10005,$W6727)+COUNTIFS('月1回_1ヶ月前の在庫'!$V$6:$V$10005,$V6727,'月1回_1ヶ月前の在庫'!$W$6:$W$10005,$W6727)&gt;0),N(U6726),N(U6726)+1))</f>
        <v/>
      </c>
      <c r="V6727" s="19">
        <f>IF($B6727="","",TEXT($B6727,"0000"))</f>
        <v/>
      </c>
      <c r="W6727" s="19">
        <f>IF($I6727="","",IF(ISNUMBER($I6727),TEXT($I6727,"0"),$I6727))</f>
        <v/>
      </c>
    </row>
    <row r="6728">
      <c r="B6728" s="25" t="n"/>
      <c r="I6728" s="25" t="n"/>
      <c r="U6728" s="19">
        <f>IF($V6728&lt;&gt;'設定'!$C$4,N(U6727),IF(OR(NOT(COUNTIF('商品マスタ'!$B$6:$B$1005,$W6728)=0),COUNTIFS('①在庫を貼る'!$V$6:$V$10005,$V6728,'①在庫を貼る'!$W$6:$W$10005,$W6728)+COUNTIFS('月1回_1ヶ月前の在庫'!$V$6:$V$10005,$V6728,'月1回_1ヶ月前の在庫'!$W$6:$W$10005,$W6728)&gt;0),N(U6727),N(U6727)+1))</f>
        <v/>
      </c>
      <c r="V6728" s="19">
        <f>IF($B6728="","",TEXT($B6728,"0000"))</f>
        <v/>
      </c>
      <c r="W6728" s="19">
        <f>IF($I6728="","",IF(ISNUMBER($I6728),TEXT($I6728,"0"),$I6728))</f>
        <v/>
      </c>
    </row>
    <row r="6729">
      <c r="B6729" s="25" t="n"/>
      <c r="I6729" s="25" t="n"/>
      <c r="U6729" s="19">
        <f>IF($V6729&lt;&gt;'設定'!$C$4,N(U6728),IF(OR(NOT(COUNTIF('商品マスタ'!$B$6:$B$1005,$W6729)=0),COUNTIFS('①在庫を貼る'!$V$6:$V$10005,$V6729,'①在庫を貼る'!$W$6:$W$10005,$W6729)+COUNTIFS('月1回_1ヶ月前の在庫'!$V$6:$V$10005,$V6729,'月1回_1ヶ月前の在庫'!$W$6:$W$10005,$W6729)&gt;0),N(U6728),N(U6728)+1))</f>
        <v/>
      </c>
      <c r="V6729" s="19">
        <f>IF($B6729="","",TEXT($B6729,"0000"))</f>
        <v/>
      </c>
      <c r="W6729" s="19">
        <f>IF($I6729="","",IF(ISNUMBER($I6729),TEXT($I6729,"0"),$I6729))</f>
        <v/>
      </c>
    </row>
    <row r="6730">
      <c r="B6730" s="25" t="n"/>
      <c r="I6730" s="25" t="n"/>
      <c r="U6730" s="19">
        <f>IF($V6730&lt;&gt;'設定'!$C$4,N(U6729),IF(OR(NOT(COUNTIF('商品マスタ'!$B$6:$B$1005,$W6730)=0),COUNTIFS('①在庫を貼る'!$V$6:$V$10005,$V6730,'①在庫を貼る'!$W$6:$W$10005,$W6730)+COUNTIFS('月1回_1ヶ月前の在庫'!$V$6:$V$10005,$V6730,'月1回_1ヶ月前の在庫'!$W$6:$W$10005,$W6730)&gt;0),N(U6729),N(U6729)+1))</f>
        <v/>
      </c>
      <c r="V6730" s="19">
        <f>IF($B6730="","",TEXT($B6730,"0000"))</f>
        <v/>
      </c>
      <c r="W6730" s="19">
        <f>IF($I6730="","",IF(ISNUMBER($I6730),TEXT($I6730,"0"),$I6730))</f>
        <v/>
      </c>
    </row>
    <row r="6731">
      <c r="B6731" s="25" t="n"/>
      <c r="I6731" s="25" t="n"/>
      <c r="U6731" s="19">
        <f>IF($V6731&lt;&gt;'設定'!$C$4,N(U6730),IF(OR(NOT(COUNTIF('商品マスタ'!$B$6:$B$1005,$W6731)=0),COUNTIFS('①在庫を貼る'!$V$6:$V$10005,$V6731,'①在庫を貼る'!$W$6:$W$10005,$W6731)+COUNTIFS('月1回_1ヶ月前の在庫'!$V$6:$V$10005,$V6731,'月1回_1ヶ月前の在庫'!$W$6:$W$10005,$W6731)&gt;0),N(U6730),N(U6730)+1))</f>
        <v/>
      </c>
      <c r="V6731" s="19">
        <f>IF($B6731="","",TEXT($B6731,"0000"))</f>
        <v/>
      </c>
      <c r="W6731" s="19">
        <f>IF($I6731="","",IF(ISNUMBER($I6731),TEXT($I6731,"0"),$I6731))</f>
        <v/>
      </c>
    </row>
    <row r="6732">
      <c r="B6732" s="25" t="n"/>
      <c r="I6732" s="25" t="n"/>
      <c r="U6732" s="19">
        <f>IF($V6732&lt;&gt;'設定'!$C$4,N(U6731),IF(OR(NOT(COUNTIF('商品マスタ'!$B$6:$B$1005,$W6732)=0),COUNTIFS('①在庫を貼る'!$V$6:$V$10005,$V6732,'①在庫を貼る'!$W$6:$W$10005,$W6732)+COUNTIFS('月1回_1ヶ月前の在庫'!$V$6:$V$10005,$V6732,'月1回_1ヶ月前の在庫'!$W$6:$W$10005,$W6732)&gt;0),N(U6731),N(U6731)+1))</f>
        <v/>
      </c>
      <c r="V6732" s="19">
        <f>IF($B6732="","",TEXT($B6732,"0000"))</f>
        <v/>
      </c>
      <c r="W6732" s="19">
        <f>IF($I6732="","",IF(ISNUMBER($I6732),TEXT($I6732,"0"),$I6732))</f>
        <v/>
      </c>
    </row>
    <row r="6733">
      <c r="B6733" s="25" t="n"/>
      <c r="I6733" s="25" t="n"/>
      <c r="U6733" s="19">
        <f>IF($V6733&lt;&gt;'設定'!$C$4,N(U6732),IF(OR(NOT(COUNTIF('商品マスタ'!$B$6:$B$1005,$W6733)=0),COUNTIFS('①在庫を貼る'!$V$6:$V$10005,$V6733,'①在庫を貼る'!$W$6:$W$10005,$W6733)+COUNTIFS('月1回_1ヶ月前の在庫'!$V$6:$V$10005,$V6733,'月1回_1ヶ月前の在庫'!$W$6:$W$10005,$W6733)&gt;0),N(U6732),N(U6732)+1))</f>
        <v/>
      </c>
      <c r="V6733" s="19">
        <f>IF($B6733="","",TEXT($B6733,"0000"))</f>
        <v/>
      </c>
      <c r="W6733" s="19">
        <f>IF($I6733="","",IF(ISNUMBER($I6733),TEXT($I6733,"0"),$I6733))</f>
        <v/>
      </c>
    </row>
    <row r="6734">
      <c r="B6734" s="25" t="n"/>
      <c r="I6734" s="25" t="n"/>
      <c r="U6734" s="19">
        <f>IF($V6734&lt;&gt;'設定'!$C$4,N(U6733),IF(OR(NOT(COUNTIF('商品マスタ'!$B$6:$B$1005,$W6734)=0),COUNTIFS('①在庫を貼る'!$V$6:$V$10005,$V6734,'①在庫を貼る'!$W$6:$W$10005,$W6734)+COUNTIFS('月1回_1ヶ月前の在庫'!$V$6:$V$10005,$V6734,'月1回_1ヶ月前の在庫'!$W$6:$W$10005,$W6734)&gt;0),N(U6733),N(U6733)+1))</f>
        <v/>
      </c>
      <c r="V6734" s="19">
        <f>IF($B6734="","",TEXT($B6734,"0000"))</f>
        <v/>
      </c>
      <c r="W6734" s="19">
        <f>IF($I6734="","",IF(ISNUMBER($I6734),TEXT($I6734,"0"),$I6734))</f>
        <v/>
      </c>
    </row>
    <row r="6735">
      <c r="B6735" s="25" t="n"/>
      <c r="I6735" s="25" t="n"/>
      <c r="U6735" s="19">
        <f>IF($V6735&lt;&gt;'設定'!$C$4,N(U6734),IF(OR(NOT(COUNTIF('商品マスタ'!$B$6:$B$1005,$W6735)=0),COUNTIFS('①在庫を貼る'!$V$6:$V$10005,$V6735,'①在庫を貼る'!$W$6:$W$10005,$W6735)+COUNTIFS('月1回_1ヶ月前の在庫'!$V$6:$V$10005,$V6735,'月1回_1ヶ月前の在庫'!$W$6:$W$10005,$W6735)&gt;0),N(U6734),N(U6734)+1))</f>
        <v/>
      </c>
      <c r="V6735" s="19">
        <f>IF($B6735="","",TEXT($B6735,"0000"))</f>
        <v/>
      </c>
      <c r="W6735" s="19">
        <f>IF($I6735="","",IF(ISNUMBER($I6735),TEXT($I6735,"0"),$I6735))</f>
        <v/>
      </c>
    </row>
    <row r="6736">
      <c r="B6736" s="25" t="n"/>
      <c r="I6736" s="25" t="n"/>
      <c r="U6736" s="19">
        <f>IF($V6736&lt;&gt;'設定'!$C$4,N(U6735),IF(OR(NOT(COUNTIF('商品マスタ'!$B$6:$B$1005,$W6736)=0),COUNTIFS('①在庫を貼る'!$V$6:$V$10005,$V6736,'①在庫を貼る'!$W$6:$W$10005,$W6736)+COUNTIFS('月1回_1ヶ月前の在庫'!$V$6:$V$10005,$V6736,'月1回_1ヶ月前の在庫'!$W$6:$W$10005,$W6736)&gt;0),N(U6735),N(U6735)+1))</f>
        <v/>
      </c>
      <c r="V6736" s="19">
        <f>IF($B6736="","",TEXT($B6736,"0000"))</f>
        <v/>
      </c>
      <c r="W6736" s="19">
        <f>IF($I6736="","",IF(ISNUMBER($I6736),TEXT($I6736,"0"),$I6736))</f>
        <v/>
      </c>
    </row>
    <row r="6737">
      <c r="B6737" s="25" t="n"/>
      <c r="I6737" s="25" t="n"/>
      <c r="U6737" s="19">
        <f>IF($V6737&lt;&gt;'設定'!$C$4,N(U6736),IF(OR(NOT(COUNTIF('商品マスタ'!$B$6:$B$1005,$W6737)=0),COUNTIFS('①在庫を貼る'!$V$6:$V$10005,$V6737,'①在庫を貼る'!$W$6:$W$10005,$W6737)+COUNTIFS('月1回_1ヶ月前の在庫'!$V$6:$V$10005,$V6737,'月1回_1ヶ月前の在庫'!$W$6:$W$10005,$W6737)&gt;0),N(U6736),N(U6736)+1))</f>
        <v/>
      </c>
      <c r="V6737" s="19">
        <f>IF($B6737="","",TEXT($B6737,"0000"))</f>
        <v/>
      </c>
      <c r="W6737" s="19">
        <f>IF($I6737="","",IF(ISNUMBER($I6737),TEXT($I6737,"0"),$I6737))</f>
        <v/>
      </c>
    </row>
    <row r="6738">
      <c r="B6738" s="25" t="n"/>
      <c r="I6738" s="25" t="n"/>
      <c r="U6738" s="19">
        <f>IF($V6738&lt;&gt;'設定'!$C$4,N(U6737),IF(OR(NOT(COUNTIF('商品マスタ'!$B$6:$B$1005,$W6738)=0),COUNTIFS('①在庫を貼る'!$V$6:$V$10005,$V6738,'①在庫を貼る'!$W$6:$W$10005,$W6738)+COUNTIFS('月1回_1ヶ月前の在庫'!$V$6:$V$10005,$V6738,'月1回_1ヶ月前の在庫'!$W$6:$W$10005,$W6738)&gt;0),N(U6737),N(U6737)+1))</f>
        <v/>
      </c>
      <c r="V6738" s="19">
        <f>IF($B6738="","",TEXT($B6738,"0000"))</f>
        <v/>
      </c>
      <c r="W6738" s="19">
        <f>IF($I6738="","",IF(ISNUMBER($I6738),TEXT($I6738,"0"),$I6738))</f>
        <v/>
      </c>
    </row>
    <row r="6739">
      <c r="B6739" s="25" t="n"/>
      <c r="I6739" s="25" t="n"/>
      <c r="U6739" s="19">
        <f>IF($V6739&lt;&gt;'設定'!$C$4,N(U6738),IF(OR(NOT(COUNTIF('商品マスタ'!$B$6:$B$1005,$W6739)=0),COUNTIFS('①在庫を貼る'!$V$6:$V$10005,$V6739,'①在庫を貼る'!$W$6:$W$10005,$W6739)+COUNTIFS('月1回_1ヶ月前の在庫'!$V$6:$V$10005,$V6739,'月1回_1ヶ月前の在庫'!$W$6:$W$10005,$W6739)&gt;0),N(U6738),N(U6738)+1))</f>
        <v/>
      </c>
      <c r="V6739" s="19">
        <f>IF($B6739="","",TEXT($B6739,"0000"))</f>
        <v/>
      </c>
      <c r="W6739" s="19">
        <f>IF($I6739="","",IF(ISNUMBER($I6739),TEXT($I6739,"0"),$I6739))</f>
        <v/>
      </c>
    </row>
    <row r="6740">
      <c r="B6740" s="25" t="n"/>
      <c r="I6740" s="25" t="n"/>
      <c r="U6740" s="19">
        <f>IF($V6740&lt;&gt;'設定'!$C$4,N(U6739),IF(OR(NOT(COUNTIF('商品マスタ'!$B$6:$B$1005,$W6740)=0),COUNTIFS('①在庫を貼る'!$V$6:$V$10005,$V6740,'①在庫を貼る'!$W$6:$W$10005,$W6740)+COUNTIFS('月1回_1ヶ月前の在庫'!$V$6:$V$10005,$V6740,'月1回_1ヶ月前の在庫'!$W$6:$W$10005,$W6740)&gt;0),N(U6739),N(U6739)+1))</f>
        <v/>
      </c>
      <c r="V6740" s="19">
        <f>IF($B6740="","",TEXT($B6740,"0000"))</f>
        <v/>
      </c>
      <c r="W6740" s="19">
        <f>IF($I6740="","",IF(ISNUMBER($I6740),TEXT($I6740,"0"),$I6740))</f>
        <v/>
      </c>
    </row>
    <row r="6741">
      <c r="B6741" s="25" t="n"/>
      <c r="I6741" s="25" t="n"/>
      <c r="U6741" s="19">
        <f>IF($V6741&lt;&gt;'設定'!$C$4,N(U6740),IF(OR(NOT(COUNTIF('商品マスタ'!$B$6:$B$1005,$W6741)=0),COUNTIFS('①在庫を貼る'!$V$6:$V$10005,$V6741,'①在庫を貼る'!$W$6:$W$10005,$W6741)+COUNTIFS('月1回_1ヶ月前の在庫'!$V$6:$V$10005,$V6741,'月1回_1ヶ月前の在庫'!$W$6:$W$10005,$W6741)&gt;0),N(U6740),N(U6740)+1))</f>
        <v/>
      </c>
      <c r="V6741" s="19">
        <f>IF($B6741="","",TEXT($B6741,"0000"))</f>
        <v/>
      </c>
      <c r="W6741" s="19">
        <f>IF($I6741="","",IF(ISNUMBER($I6741),TEXT($I6741,"0"),$I6741))</f>
        <v/>
      </c>
    </row>
    <row r="6742">
      <c r="B6742" s="25" t="n"/>
      <c r="I6742" s="25" t="n"/>
      <c r="U6742" s="19">
        <f>IF($V6742&lt;&gt;'設定'!$C$4,N(U6741),IF(OR(NOT(COUNTIF('商品マスタ'!$B$6:$B$1005,$W6742)=0),COUNTIFS('①在庫を貼る'!$V$6:$V$10005,$V6742,'①在庫を貼る'!$W$6:$W$10005,$W6742)+COUNTIFS('月1回_1ヶ月前の在庫'!$V$6:$V$10005,$V6742,'月1回_1ヶ月前の在庫'!$W$6:$W$10005,$W6742)&gt;0),N(U6741),N(U6741)+1))</f>
        <v/>
      </c>
      <c r="V6742" s="19">
        <f>IF($B6742="","",TEXT($B6742,"0000"))</f>
        <v/>
      </c>
      <c r="W6742" s="19">
        <f>IF($I6742="","",IF(ISNUMBER($I6742),TEXT($I6742,"0"),$I6742))</f>
        <v/>
      </c>
    </row>
    <row r="6743">
      <c r="B6743" s="25" t="n"/>
      <c r="I6743" s="25" t="n"/>
      <c r="U6743" s="19">
        <f>IF($V6743&lt;&gt;'設定'!$C$4,N(U6742),IF(OR(NOT(COUNTIF('商品マスタ'!$B$6:$B$1005,$W6743)=0),COUNTIFS('①在庫を貼る'!$V$6:$V$10005,$V6743,'①在庫を貼る'!$W$6:$W$10005,$W6743)+COUNTIFS('月1回_1ヶ月前の在庫'!$V$6:$V$10005,$V6743,'月1回_1ヶ月前の在庫'!$W$6:$W$10005,$W6743)&gt;0),N(U6742),N(U6742)+1))</f>
        <v/>
      </c>
      <c r="V6743" s="19">
        <f>IF($B6743="","",TEXT($B6743,"0000"))</f>
        <v/>
      </c>
      <c r="W6743" s="19">
        <f>IF($I6743="","",IF(ISNUMBER($I6743),TEXT($I6743,"0"),$I6743))</f>
        <v/>
      </c>
    </row>
    <row r="6744">
      <c r="B6744" s="25" t="n"/>
      <c r="I6744" s="25" t="n"/>
      <c r="U6744" s="19">
        <f>IF($V6744&lt;&gt;'設定'!$C$4,N(U6743),IF(OR(NOT(COUNTIF('商品マスタ'!$B$6:$B$1005,$W6744)=0),COUNTIFS('①在庫を貼る'!$V$6:$V$10005,$V6744,'①在庫を貼る'!$W$6:$W$10005,$W6744)+COUNTIFS('月1回_1ヶ月前の在庫'!$V$6:$V$10005,$V6744,'月1回_1ヶ月前の在庫'!$W$6:$W$10005,$W6744)&gt;0),N(U6743),N(U6743)+1))</f>
        <v/>
      </c>
      <c r="V6744" s="19">
        <f>IF($B6744="","",TEXT($B6744,"0000"))</f>
        <v/>
      </c>
      <c r="W6744" s="19">
        <f>IF($I6744="","",IF(ISNUMBER($I6744),TEXT($I6744,"0"),$I6744))</f>
        <v/>
      </c>
    </row>
    <row r="6745">
      <c r="B6745" s="25" t="n"/>
      <c r="I6745" s="25" t="n"/>
      <c r="U6745" s="19">
        <f>IF($V6745&lt;&gt;'設定'!$C$4,N(U6744),IF(OR(NOT(COUNTIF('商品マスタ'!$B$6:$B$1005,$W6745)=0),COUNTIFS('①在庫を貼る'!$V$6:$V$10005,$V6745,'①在庫を貼る'!$W$6:$W$10005,$W6745)+COUNTIFS('月1回_1ヶ月前の在庫'!$V$6:$V$10005,$V6745,'月1回_1ヶ月前の在庫'!$W$6:$W$10005,$W6745)&gt;0),N(U6744),N(U6744)+1))</f>
        <v/>
      </c>
      <c r="V6745" s="19">
        <f>IF($B6745="","",TEXT($B6745,"0000"))</f>
        <v/>
      </c>
      <c r="W6745" s="19">
        <f>IF($I6745="","",IF(ISNUMBER($I6745),TEXT($I6745,"0"),$I6745))</f>
        <v/>
      </c>
    </row>
    <row r="6746">
      <c r="B6746" s="25" t="n"/>
      <c r="I6746" s="25" t="n"/>
      <c r="U6746" s="19">
        <f>IF($V6746&lt;&gt;'設定'!$C$4,N(U6745),IF(OR(NOT(COUNTIF('商品マスタ'!$B$6:$B$1005,$W6746)=0),COUNTIFS('①在庫を貼る'!$V$6:$V$10005,$V6746,'①在庫を貼る'!$W$6:$W$10005,$W6746)+COUNTIFS('月1回_1ヶ月前の在庫'!$V$6:$V$10005,$V6746,'月1回_1ヶ月前の在庫'!$W$6:$W$10005,$W6746)&gt;0),N(U6745),N(U6745)+1))</f>
        <v/>
      </c>
      <c r="V6746" s="19">
        <f>IF($B6746="","",TEXT($B6746,"0000"))</f>
        <v/>
      </c>
      <c r="W6746" s="19">
        <f>IF($I6746="","",IF(ISNUMBER($I6746),TEXT($I6746,"0"),$I6746))</f>
        <v/>
      </c>
    </row>
    <row r="6747">
      <c r="B6747" s="25" t="n"/>
      <c r="I6747" s="25" t="n"/>
      <c r="U6747" s="19">
        <f>IF($V6747&lt;&gt;'設定'!$C$4,N(U6746),IF(OR(NOT(COUNTIF('商品マスタ'!$B$6:$B$1005,$W6747)=0),COUNTIFS('①在庫を貼る'!$V$6:$V$10005,$V6747,'①在庫を貼る'!$W$6:$W$10005,$W6747)+COUNTIFS('月1回_1ヶ月前の在庫'!$V$6:$V$10005,$V6747,'月1回_1ヶ月前の在庫'!$W$6:$W$10005,$W6747)&gt;0),N(U6746),N(U6746)+1))</f>
        <v/>
      </c>
      <c r="V6747" s="19">
        <f>IF($B6747="","",TEXT($B6747,"0000"))</f>
        <v/>
      </c>
      <c r="W6747" s="19">
        <f>IF($I6747="","",IF(ISNUMBER($I6747),TEXT($I6747,"0"),$I6747))</f>
        <v/>
      </c>
    </row>
    <row r="6748">
      <c r="B6748" s="25" t="n"/>
      <c r="I6748" s="25" t="n"/>
      <c r="U6748" s="19">
        <f>IF($V6748&lt;&gt;'設定'!$C$4,N(U6747),IF(OR(NOT(COUNTIF('商品マスタ'!$B$6:$B$1005,$W6748)=0),COUNTIFS('①在庫を貼る'!$V$6:$V$10005,$V6748,'①在庫を貼る'!$W$6:$W$10005,$W6748)+COUNTIFS('月1回_1ヶ月前の在庫'!$V$6:$V$10005,$V6748,'月1回_1ヶ月前の在庫'!$W$6:$W$10005,$W6748)&gt;0),N(U6747),N(U6747)+1))</f>
        <v/>
      </c>
      <c r="V6748" s="19">
        <f>IF($B6748="","",TEXT($B6748,"0000"))</f>
        <v/>
      </c>
      <c r="W6748" s="19">
        <f>IF($I6748="","",IF(ISNUMBER($I6748),TEXT($I6748,"0"),$I6748))</f>
        <v/>
      </c>
    </row>
    <row r="6749">
      <c r="B6749" s="25" t="n"/>
      <c r="I6749" s="25" t="n"/>
      <c r="U6749" s="19">
        <f>IF($V6749&lt;&gt;'設定'!$C$4,N(U6748),IF(OR(NOT(COUNTIF('商品マスタ'!$B$6:$B$1005,$W6749)=0),COUNTIFS('①在庫を貼る'!$V$6:$V$10005,$V6749,'①在庫を貼る'!$W$6:$W$10005,$W6749)+COUNTIFS('月1回_1ヶ月前の在庫'!$V$6:$V$10005,$V6749,'月1回_1ヶ月前の在庫'!$W$6:$W$10005,$W6749)&gt;0),N(U6748),N(U6748)+1))</f>
        <v/>
      </c>
      <c r="V6749" s="19">
        <f>IF($B6749="","",TEXT($B6749,"0000"))</f>
        <v/>
      </c>
      <c r="W6749" s="19">
        <f>IF($I6749="","",IF(ISNUMBER($I6749),TEXT($I6749,"0"),$I6749))</f>
        <v/>
      </c>
    </row>
    <row r="6750">
      <c r="B6750" s="25" t="n"/>
      <c r="I6750" s="25" t="n"/>
      <c r="U6750" s="19">
        <f>IF($V6750&lt;&gt;'設定'!$C$4,N(U6749),IF(OR(NOT(COUNTIF('商品マスタ'!$B$6:$B$1005,$W6750)=0),COUNTIFS('①在庫を貼る'!$V$6:$V$10005,$V6750,'①在庫を貼る'!$W$6:$W$10005,$W6750)+COUNTIFS('月1回_1ヶ月前の在庫'!$V$6:$V$10005,$V6750,'月1回_1ヶ月前の在庫'!$W$6:$W$10005,$W6750)&gt;0),N(U6749),N(U6749)+1))</f>
        <v/>
      </c>
      <c r="V6750" s="19">
        <f>IF($B6750="","",TEXT($B6750,"0000"))</f>
        <v/>
      </c>
      <c r="W6750" s="19">
        <f>IF($I6750="","",IF(ISNUMBER($I6750),TEXT($I6750,"0"),$I6750))</f>
        <v/>
      </c>
    </row>
    <row r="6751">
      <c r="B6751" s="25" t="n"/>
      <c r="I6751" s="25" t="n"/>
      <c r="U6751" s="19">
        <f>IF($V6751&lt;&gt;'設定'!$C$4,N(U6750),IF(OR(NOT(COUNTIF('商品マスタ'!$B$6:$B$1005,$W6751)=0),COUNTIFS('①在庫を貼る'!$V$6:$V$10005,$V6751,'①在庫を貼る'!$W$6:$W$10005,$W6751)+COUNTIFS('月1回_1ヶ月前の在庫'!$V$6:$V$10005,$V6751,'月1回_1ヶ月前の在庫'!$W$6:$W$10005,$W6751)&gt;0),N(U6750),N(U6750)+1))</f>
        <v/>
      </c>
      <c r="V6751" s="19">
        <f>IF($B6751="","",TEXT($B6751,"0000"))</f>
        <v/>
      </c>
      <c r="W6751" s="19">
        <f>IF($I6751="","",IF(ISNUMBER($I6751),TEXT($I6751,"0"),$I6751))</f>
        <v/>
      </c>
    </row>
    <row r="6752">
      <c r="B6752" s="25" t="n"/>
      <c r="I6752" s="25" t="n"/>
      <c r="U6752" s="19">
        <f>IF($V6752&lt;&gt;'設定'!$C$4,N(U6751),IF(OR(NOT(COUNTIF('商品マスタ'!$B$6:$B$1005,$W6752)=0),COUNTIFS('①在庫を貼る'!$V$6:$V$10005,$V6752,'①在庫を貼る'!$W$6:$W$10005,$W6752)+COUNTIFS('月1回_1ヶ月前の在庫'!$V$6:$V$10005,$V6752,'月1回_1ヶ月前の在庫'!$W$6:$W$10005,$W6752)&gt;0),N(U6751),N(U6751)+1))</f>
        <v/>
      </c>
      <c r="V6752" s="19">
        <f>IF($B6752="","",TEXT($B6752,"0000"))</f>
        <v/>
      </c>
      <c r="W6752" s="19">
        <f>IF($I6752="","",IF(ISNUMBER($I6752),TEXT($I6752,"0"),$I6752))</f>
        <v/>
      </c>
    </row>
    <row r="6753">
      <c r="B6753" s="25" t="n"/>
      <c r="I6753" s="25" t="n"/>
      <c r="U6753" s="19">
        <f>IF($V6753&lt;&gt;'設定'!$C$4,N(U6752),IF(OR(NOT(COUNTIF('商品マスタ'!$B$6:$B$1005,$W6753)=0),COUNTIFS('①在庫を貼る'!$V$6:$V$10005,$V6753,'①在庫を貼る'!$W$6:$W$10005,$W6753)+COUNTIFS('月1回_1ヶ月前の在庫'!$V$6:$V$10005,$V6753,'月1回_1ヶ月前の在庫'!$W$6:$W$10005,$W6753)&gt;0),N(U6752),N(U6752)+1))</f>
        <v/>
      </c>
      <c r="V6753" s="19">
        <f>IF($B6753="","",TEXT($B6753,"0000"))</f>
        <v/>
      </c>
      <c r="W6753" s="19">
        <f>IF($I6753="","",IF(ISNUMBER($I6753),TEXT($I6753,"0"),$I6753))</f>
        <v/>
      </c>
    </row>
    <row r="6754">
      <c r="B6754" s="25" t="n"/>
      <c r="I6754" s="25" t="n"/>
      <c r="U6754" s="19">
        <f>IF($V6754&lt;&gt;'設定'!$C$4,N(U6753),IF(OR(NOT(COUNTIF('商品マスタ'!$B$6:$B$1005,$W6754)=0),COUNTIFS('①在庫を貼る'!$V$6:$V$10005,$V6754,'①在庫を貼る'!$W$6:$W$10005,$W6754)+COUNTIFS('月1回_1ヶ月前の在庫'!$V$6:$V$10005,$V6754,'月1回_1ヶ月前の在庫'!$W$6:$W$10005,$W6754)&gt;0),N(U6753),N(U6753)+1))</f>
        <v/>
      </c>
      <c r="V6754" s="19">
        <f>IF($B6754="","",TEXT($B6754,"0000"))</f>
        <v/>
      </c>
      <c r="W6754" s="19">
        <f>IF($I6754="","",IF(ISNUMBER($I6754),TEXT($I6754,"0"),$I6754))</f>
        <v/>
      </c>
    </row>
    <row r="6755">
      <c r="B6755" s="25" t="n"/>
      <c r="I6755" s="25" t="n"/>
      <c r="U6755" s="19">
        <f>IF($V6755&lt;&gt;'設定'!$C$4,N(U6754),IF(OR(NOT(COUNTIF('商品マスタ'!$B$6:$B$1005,$W6755)=0),COUNTIFS('①在庫を貼る'!$V$6:$V$10005,$V6755,'①在庫を貼る'!$W$6:$W$10005,$W6755)+COUNTIFS('月1回_1ヶ月前の在庫'!$V$6:$V$10005,$V6755,'月1回_1ヶ月前の在庫'!$W$6:$W$10005,$W6755)&gt;0),N(U6754),N(U6754)+1))</f>
        <v/>
      </c>
      <c r="V6755" s="19">
        <f>IF($B6755="","",TEXT($B6755,"0000"))</f>
        <v/>
      </c>
      <c r="W6755" s="19">
        <f>IF($I6755="","",IF(ISNUMBER($I6755),TEXT($I6755,"0"),$I6755))</f>
        <v/>
      </c>
    </row>
    <row r="6756">
      <c r="B6756" s="25" t="n"/>
      <c r="I6756" s="25" t="n"/>
      <c r="U6756" s="19">
        <f>IF($V6756&lt;&gt;'設定'!$C$4,N(U6755),IF(OR(NOT(COUNTIF('商品マスタ'!$B$6:$B$1005,$W6756)=0),COUNTIFS('①在庫を貼る'!$V$6:$V$10005,$V6756,'①在庫を貼る'!$W$6:$W$10005,$W6756)+COUNTIFS('月1回_1ヶ月前の在庫'!$V$6:$V$10005,$V6756,'月1回_1ヶ月前の在庫'!$W$6:$W$10005,$W6756)&gt;0),N(U6755),N(U6755)+1))</f>
        <v/>
      </c>
      <c r="V6756" s="19">
        <f>IF($B6756="","",TEXT($B6756,"0000"))</f>
        <v/>
      </c>
      <c r="W6756" s="19">
        <f>IF($I6756="","",IF(ISNUMBER($I6756),TEXT($I6756,"0"),$I6756))</f>
        <v/>
      </c>
    </row>
    <row r="6757">
      <c r="B6757" s="25" t="n"/>
      <c r="I6757" s="25" t="n"/>
      <c r="U6757" s="19">
        <f>IF($V6757&lt;&gt;'設定'!$C$4,N(U6756),IF(OR(NOT(COUNTIF('商品マスタ'!$B$6:$B$1005,$W6757)=0),COUNTIFS('①在庫を貼る'!$V$6:$V$10005,$V6757,'①在庫を貼る'!$W$6:$W$10005,$W6757)+COUNTIFS('月1回_1ヶ月前の在庫'!$V$6:$V$10005,$V6757,'月1回_1ヶ月前の在庫'!$W$6:$W$10005,$W6757)&gt;0),N(U6756),N(U6756)+1))</f>
        <v/>
      </c>
      <c r="V6757" s="19">
        <f>IF($B6757="","",TEXT($B6757,"0000"))</f>
        <v/>
      </c>
      <c r="W6757" s="19">
        <f>IF($I6757="","",IF(ISNUMBER($I6757),TEXT($I6757,"0"),$I6757))</f>
        <v/>
      </c>
    </row>
    <row r="6758">
      <c r="B6758" s="25" t="n"/>
      <c r="I6758" s="25" t="n"/>
      <c r="U6758" s="19">
        <f>IF($V6758&lt;&gt;'設定'!$C$4,N(U6757),IF(OR(NOT(COUNTIF('商品マスタ'!$B$6:$B$1005,$W6758)=0),COUNTIFS('①在庫を貼る'!$V$6:$V$10005,$V6758,'①在庫を貼る'!$W$6:$W$10005,$W6758)+COUNTIFS('月1回_1ヶ月前の在庫'!$V$6:$V$10005,$V6758,'月1回_1ヶ月前の在庫'!$W$6:$W$10005,$W6758)&gt;0),N(U6757),N(U6757)+1))</f>
        <v/>
      </c>
      <c r="V6758" s="19">
        <f>IF($B6758="","",TEXT($B6758,"0000"))</f>
        <v/>
      </c>
      <c r="W6758" s="19">
        <f>IF($I6758="","",IF(ISNUMBER($I6758),TEXT($I6758,"0"),$I6758))</f>
        <v/>
      </c>
    </row>
    <row r="6759">
      <c r="B6759" s="25" t="n"/>
      <c r="I6759" s="25" t="n"/>
      <c r="U6759" s="19">
        <f>IF($V6759&lt;&gt;'設定'!$C$4,N(U6758),IF(OR(NOT(COUNTIF('商品マスタ'!$B$6:$B$1005,$W6759)=0),COUNTIFS('①在庫を貼る'!$V$6:$V$10005,$V6759,'①在庫を貼る'!$W$6:$W$10005,$W6759)+COUNTIFS('月1回_1ヶ月前の在庫'!$V$6:$V$10005,$V6759,'月1回_1ヶ月前の在庫'!$W$6:$W$10005,$W6759)&gt;0),N(U6758),N(U6758)+1))</f>
        <v/>
      </c>
      <c r="V6759" s="19">
        <f>IF($B6759="","",TEXT($B6759,"0000"))</f>
        <v/>
      </c>
      <c r="W6759" s="19">
        <f>IF($I6759="","",IF(ISNUMBER($I6759),TEXT($I6759,"0"),$I6759))</f>
        <v/>
      </c>
    </row>
    <row r="6760">
      <c r="B6760" s="25" t="n"/>
      <c r="I6760" s="25" t="n"/>
      <c r="U6760" s="19">
        <f>IF($V6760&lt;&gt;'設定'!$C$4,N(U6759),IF(OR(NOT(COUNTIF('商品マスタ'!$B$6:$B$1005,$W6760)=0),COUNTIFS('①在庫を貼る'!$V$6:$V$10005,$V6760,'①在庫を貼る'!$W$6:$W$10005,$W6760)+COUNTIFS('月1回_1ヶ月前の在庫'!$V$6:$V$10005,$V6760,'月1回_1ヶ月前の在庫'!$W$6:$W$10005,$W6760)&gt;0),N(U6759),N(U6759)+1))</f>
        <v/>
      </c>
      <c r="V6760" s="19">
        <f>IF($B6760="","",TEXT($B6760,"0000"))</f>
        <v/>
      </c>
      <c r="W6760" s="19">
        <f>IF($I6760="","",IF(ISNUMBER($I6760),TEXT($I6760,"0"),$I6760))</f>
        <v/>
      </c>
    </row>
    <row r="6761">
      <c r="B6761" s="25" t="n"/>
      <c r="I6761" s="25" t="n"/>
      <c r="U6761" s="19">
        <f>IF($V6761&lt;&gt;'設定'!$C$4,N(U6760),IF(OR(NOT(COUNTIF('商品マスタ'!$B$6:$B$1005,$W6761)=0),COUNTIFS('①在庫を貼る'!$V$6:$V$10005,$V6761,'①在庫を貼る'!$W$6:$W$10005,$W6761)+COUNTIFS('月1回_1ヶ月前の在庫'!$V$6:$V$10005,$V6761,'月1回_1ヶ月前の在庫'!$W$6:$W$10005,$W6761)&gt;0),N(U6760),N(U6760)+1))</f>
        <v/>
      </c>
      <c r="V6761" s="19">
        <f>IF($B6761="","",TEXT($B6761,"0000"))</f>
        <v/>
      </c>
      <c r="W6761" s="19">
        <f>IF($I6761="","",IF(ISNUMBER($I6761),TEXT($I6761,"0"),$I6761))</f>
        <v/>
      </c>
    </row>
    <row r="6762">
      <c r="B6762" s="25" t="n"/>
      <c r="I6762" s="25" t="n"/>
      <c r="U6762" s="19">
        <f>IF($V6762&lt;&gt;'設定'!$C$4,N(U6761),IF(OR(NOT(COUNTIF('商品マスタ'!$B$6:$B$1005,$W6762)=0),COUNTIFS('①在庫を貼る'!$V$6:$V$10005,$V6762,'①在庫を貼る'!$W$6:$W$10005,$W6762)+COUNTIFS('月1回_1ヶ月前の在庫'!$V$6:$V$10005,$V6762,'月1回_1ヶ月前の在庫'!$W$6:$W$10005,$W6762)&gt;0),N(U6761),N(U6761)+1))</f>
        <v/>
      </c>
      <c r="V6762" s="19">
        <f>IF($B6762="","",TEXT($B6762,"0000"))</f>
        <v/>
      </c>
      <c r="W6762" s="19">
        <f>IF($I6762="","",IF(ISNUMBER($I6762),TEXT($I6762,"0"),$I6762))</f>
        <v/>
      </c>
    </row>
    <row r="6763">
      <c r="B6763" s="25" t="n"/>
      <c r="I6763" s="25" t="n"/>
      <c r="U6763" s="19">
        <f>IF($V6763&lt;&gt;'設定'!$C$4,N(U6762),IF(OR(NOT(COUNTIF('商品マスタ'!$B$6:$B$1005,$W6763)=0),COUNTIFS('①在庫を貼る'!$V$6:$V$10005,$V6763,'①在庫を貼る'!$W$6:$W$10005,$W6763)+COUNTIFS('月1回_1ヶ月前の在庫'!$V$6:$V$10005,$V6763,'月1回_1ヶ月前の在庫'!$W$6:$W$10005,$W6763)&gt;0),N(U6762),N(U6762)+1))</f>
        <v/>
      </c>
      <c r="V6763" s="19">
        <f>IF($B6763="","",TEXT($B6763,"0000"))</f>
        <v/>
      </c>
      <c r="W6763" s="19">
        <f>IF($I6763="","",IF(ISNUMBER($I6763),TEXT($I6763,"0"),$I6763))</f>
        <v/>
      </c>
    </row>
    <row r="6764">
      <c r="B6764" s="25" t="n"/>
      <c r="I6764" s="25" t="n"/>
      <c r="U6764" s="19">
        <f>IF($V6764&lt;&gt;'設定'!$C$4,N(U6763),IF(OR(NOT(COUNTIF('商品マスタ'!$B$6:$B$1005,$W6764)=0),COUNTIFS('①在庫を貼る'!$V$6:$V$10005,$V6764,'①在庫を貼る'!$W$6:$W$10005,$W6764)+COUNTIFS('月1回_1ヶ月前の在庫'!$V$6:$V$10005,$V6764,'月1回_1ヶ月前の在庫'!$W$6:$W$10005,$W6764)&gt;0),N(U6763),N(U6763)+1))</f>
        <v/>
      </c>
      <c r="V6764" s="19">
        <f>IF($B6764="","",TEXT($B6764,"0000"))</f>
        <v/>
      </c>
      <c r="W6764" s="19">
        <f>IF($I6764="","",IF(ISNUMBER($I6764),TEXT($I6764,"0"),$I6764))</f>
        <v/>
      </c>
    </row>
    <row r="6765">
      <c r="B6765" s="25" t="n"/>
      <c r="I6765" s="25" t="n"/>
      <c r="U6765" s="19">
        <f>IF($V6765&lt;&gt;'設定'!$C$4,N(U6764),IF(OR(NOT(COUNTIF('商品マスタ'!$B$6:$B$1005,$W6765)=0),COUNTIFS('①在庫を貼る'!$V$6:$V$10005,$V6765,'①在庫を貼る'!$W$6:$W$10005,$W6765)+COUNTIFS('月1回_1ヶ月前の在庫'!$V$6:$V$10005,$V6765,'月1回_1ヶ月前の在庫'!$W$6:$W$10005,$W6765)&gt;0),N(U6764),N(U6764)+1))</f>
        <v/>
      </c>
      <c r="V6765" s="19">
        <f>IF($B6765="","",TEXT($B6765,"0000"))</f>
        <v/>
      </c>
      <c r="W6765" s="19">
        <f>IF($I6765="","",IF(ISNUMBER($I6765),TEXT($I6765,"0"),$I6765))</f>
        <v/>
      </c>
    </row>
    <row r="6766">
      <c r="B6766" s="25" t="n"/>
      <c r="I6766" s="25" t="n"/>
      <c r="U6766" s="19">
        <f>IF($V6766&lt;&gt;'設定'!$C$4,N(U6765),IF(OR(NOT(COUNTIF('商品マスタ'!$B$6:$B$1005,$W6766)=0),COUNTIFS('①在庫を貼る'!$V$6:$V$10005,$V6766,'①在庫を貼る'!$W$6:$W$10005,$W6766)+COUNTIFS('月1回_1ヶ月前の在庫'!$V$6:$V$10005,$V6766,'月1回_1ヶ月前の在庫'!$W$6:$W$10005,$W6766)&gt;0),N(U6765),N(U6765)+1))</f>
        <v/>
      </c>
      <c r="V6766" s="19">
        <f>IF($B6766="","",TEXT($B6766,"0000"))</f>
        <v/>
      </c>
      <c r="W6766" s="19">
        <f>IF($I6766="","",IF(ISNUMBER($I6766),TEXT($I6766,"0"),$I6766))</f>
        <v/>
      </c>
    </row>
    <row r="6767">
      <c r="B6767" s="25" t="n"/>
      <c r="I6767" s="25" t="n"/>
      <c r="U6767" s="19">
        <f>IF($V6767&lt;&gt;'設定'!$C$4,N(U6766),IF(OR(NOT(COUNTIF('商品マスタ'!$B$6:$B$1005,$W6767)=0),COUNTIFS('①在庫を貼る'!$V$6:$V$10005,$V6767,'①在庫を貼る'!$W$6:$W$10005,$W6767)+COUNTIFS('月1回_1ヶ月前の在庫'!$V$6:$V$10005,$V6767,'月1回_1ヶ月前の在庫'!$W$6:$W$10005,$W6767)&gt;0),N(U6766),N(U6766)+1))</f>
        <v/>
      </c>
      <c r="V6767" s="19">
        <f>IF($B6767="","",TEXT($B6767,"0000"))</f>
        <v/>
      </c>
      <c r="W6767" s="19">
        <f>IF($I6767="","",IF(ISNUMBER($I6767),TEXT($I6767,"0"),$I6767))</f>
        <v/>
      </c>
    </row>
    <row r="6768">
      <c r="B6768" s="25" t="n"/>
      <c r="I6768" s="25" t="n"/>
      <c r="U6768" s="19">
        <f>IF($V6768&lt;&gt;'設定'!$C$4,N(U6767),IF(OR(NOT(COUNTIF('商品マスタ'!$B$6:$B$1005,$W6768)=0),COUNTIFS('①在庫を貼る'!$V$6:$V$10005,$V6768,'①在庫を貼る'!$W$6:$W$10005,$W6768)+COUNTIFS('月1回_1ヶ月前の在庫'!$V$6:$V$10005,$V6768,'月1回_1ヶ月前の在庫'!$W$6:$W$10005,$W6768)&gt;0),N(U6767),N(U6767)+1))</f>
        <v/>
      </c>
      <c r="V6768" s="19">
        <f>IF($B6768="","",TEXT($B6768,"0000"))</f>
        <v/>
      </c>
      <c r="W6768" s="19">
        <f>IF($I6768="","",IF(ISNUMBER($I6768),TEXT($I6768,"0"),$I6768))</f>
        <v/>
      </c>
    </row>
    <row r="6769">
      <c r="B6769" s="25" t="n"/>
      <c r="I6769" s="25" t="n"/>
      <c r="U6769" s="19">
        <f>IF($V6769&lt;&gt;'設定'!$C$4,N(U6768),IF(OR(NOT(COUNTIF('商品マスタ'!$B$6:$B$1005,$W6769)=0),COUNTIFS('①在庫を貼る'!$V$6:$V$10005,$V6769,'①在庫を貼る'!$W$6:$W$10005,$W6769)+COUNTIFS('月1回_1ヶ月前の在庫'!$V$6:$V$10005,$V6769,'月1回_1ヶ月前の在庫'!$W$6:$W$10005,$W6769)&gt;0),N(U6768),N(U6768)+1))</f>
        <v/>
      </c>
      <c r="V6769" s="19">
        <f>IF($B6769="","",TEXT($B6769,"0000"))</f>
        <v/>
      </c>
      <c r="W6769" s="19">
        <f>IF($I6769="","",IF(ISNUMBER($I6769),TEXT($I6769,"0"),$I6769))</f>
        <v/>
      </c>
    </row>
    <row r="6770">
      <c r="B6770" s="25" t="n"/>
      <c r="I6770" s="25" t="n"/>
      <c r="U6770" s="19">
        <f>IF($V6770&lt;&gt;'設定'!$C$4,N(U6769),IF(OR(NOT(COUNTIF('商品マスタ'!$B$6:$B$1005,$W6770)=0),COUNTIFS('①在庫を貼る'!$V$6:$V$10005,$V6770,'①在庫を貼る'!$W$6:$W$10005,$W6770)+COUNTIFS('月1回_1ヶ月前の在庫'!$V$6:$V$10005,$V6770,'月1回_1ヶ月前の在庫'!$W$6:$W$10005,$W6770)&gt;0),N(U6769),N(U6769)+1))</f>
        <v/>
      </c>
      <c r="V6770" s="19">
        <f>IF($B6770="","",TEXT($B6770,"0000"))</f>
        <v/>
      </c>
      <c r="W6770" s="19">
        <f>IF($I6770="","",IF(ISNUMBER($I6770),TEXT($I6770,"0"),$I6770))</f>
        <v/>
      </c>
    </row>
    <row r="6771">
      <c r="B6771" s="25" t="n"/>
      <c r="I6771" s="25" t="n"/>
      <c r="U6771" s="19">
        <f>IF($V6771&lt;&gt;'設定'!$C$4,N(U6770),IF(OR(NOT(COUNTIF('商品マスタ'!$B$6:$B$1005,$W6771)=0),COUNTIFS('①在庫を貼る'!$V$6:$V$10005,$V6771,'①在庫を貼る'!$W$6:$W$10005,$W6771)+COUNTIFS('月1回_1ヶ月前の在庫'!$V$6:$V$10005,$V6771,'月1回_1ヶ月前の在庫'!$W$6:$W$10005,$W6771)&gt;0),N(U6770),N(U6770)+1))</f>
        <v/>
      </c>
      <c r="V6771" s="19">
        <f>IF($B6771="","",TEXT($B6771,"0000"))</f>
        <v/>
      </c>
      <c r="W6771" s="19">
        <f>IF($I6771="","",IF(ISNUMBER($I6771),TEXT($I6771,"0"),$I6771))</f>
        <v/>
      </c>
    </row>
    <row r="6772">
      <c r="B6772" s="25" t="n"/>
      <c r="I6772" s="25" t="n"/>
      <c r="U6772" s="19">
        <f>IF($V6772&lt;&gt;'設定'!$C$4,N(U6771),IF(OR(NOT(COUNTIF('商品マスタ'!$B$6:$B$1005,$W6772)=0),COUNTIFS('①在庫を貼る'!$V$6:$V$10005,$V6772,'①在庫を貼る'!$W$6:$W$10005,$W6772)+COUNTIFS('月1回_1ヶ月前の在庫'!$V$6:$V$10005,$V6772,'月1回_1ヶ月前の在庫'!$W$6:$W$10005,$W6772)&gt;0),N(U6771),N(U6771)+1))</f>
        <v/>
      </c>
      <c r="V6772" s="19">
        <f>IF($B6772="","",TEXT($B6772,"0000"))</f>
        <v/>
      </c>
      <c r="W6772" s="19">
        <f>IF($I6772="","",IF(ISNUMBER($I6772),TEXT($I6772,"0"),$I6772))</f>
        <v/>
      </c>
    </row>
    <row r="6773">
      <c r="B6773" s="25" t="n"/>
      <c r="I6773" s="25" t="n"/>
      <c r="U6773" s="19">
        <f>IF($V6773&lt;&gt;'設定'!$C$4,N(U6772),IF(OR(NOT(COUNTIF('商品マスタ'!$B$6:$B$1005,$W6773)=0),COUNTIFS('①在庫を貼る'!$V$6:$V$10005,$V6773,'①在庫を貼る'!$W$6:$W$10005,$W6773)+COUNTIFS('月1回_1ヶ月前の在庫'!$V$6:$V$10005,$V6773,'月1回_1ヶ月前の在庫'!$W$6:$W$10005,$W6773)&gt;0),N(U6772),N(U6772)+1))</f>
        <v/>
      </c>
      <c r="V6773" s="19">
        <f>IF($B6773="","",TEXT($B6773,"0000"))</f>
        <v/>
      </c>
      <c r="W6773" s="19">
        <f>IF($I6773="","",IF(ISNUMBER($I6773),TEXT($I6773,"0"),$I6773))</f>
        <v/>
      </c>
    </row>
    <row r="6774">
      <c r="B6774" s="25" t="n"/>
      <c r="I6774" s="25" t="n"/>
      <c r="U6774" s="19">
        <f>IF($V6774&lt;&gt;'設定'!$C$4,N(U6773),IF(OR(NOT(COUNTIF('商品マスタ'!$B$6:$B$1005,$W6774)=0),COUNTIFS('①在庫を貼る'!$V$6:$V$10005,$V6774,'①在庫を貼る'!$W$6:$W$10005,$W6774)+COUNTIFS('月1回_1ヶ月前の在庫'!$V$6:$V$10005,$V6774,'月1回_1ヶ月前の在庫'!$W$6:$W$10005,$W6774)&gt;0),N(U6773),N(U6773)+1))</f>
        <v/>
      </c>
      <c r="V6774" s="19">
        <f>IF($B6774="","",TEXT($B6774,"0000"))</f>
        <v/>
      </c>
      <c r="W6774" s="19">
        <f>IF($I6774="","",IF(ISNUMBER($I6774),TEXT($I6774,"0"),$I6774))</f>
        <v/>
      </c>
    </row>
    <row r="6775">
      <c r="B6775" s="25" t="n"/>
      <c r="I6775" s="25" t="n"/>
      <c r="U6775" s="19">
        <f>IF($V6775&lt;&gt;'設定'!$C$4,N(U6774),IF(OR(NOT(COUNTIF('商品マスタ'!$B$6:$B$1005,$W6775)=0),COUNTIFS('①在庫を貼る'!$V$6:$V$10005,$V6775,'①在庫を貼る'!$W$6:$W$10005,$W6775)+COUNTIFS('月1回_1ヶ月前の在庫'!$V$6:$V$10005,$V6775,'月1回_1ヶ月前の在庫'!$W$6:$W$10005,$W6775)&gt;0),N(U6774),N(U6774)+1))</f>
        <v/>
      </c>
      <c r="V6775" s="19">
        <f>IF($B6775="","",TEXT($B6775,"0000"))</f>
        <v/>
      </c>
      <c r="W6775" s="19">
        <f>IF($I6775="","",IF(ISNUMBER($I6775),TEXT($I6775,"0"),$I6775))</f>
        <v/>
      </c>
    </row>
    <row r="6776">
      <c r="B6776" s="25" t="n"/>
      <c r="I6776" s="25" t="n"/>
      <c r="U6776" s="19">
        <f>IF($V6776&lt;&gt;'設定'!$C$4,N(U6775),IF(OR(NOT(COUNTIF('商品マスタ'!$B$6:$B$1005,$W6776)=0),COUNTIFS('①在庫を貼る'!$V$6:$V$10005,$V6776,'①在庫を貼る'!$W$6:$W$10005,$W6776)+COUNTIFS('月1回_1ヶ月前の在庫'!$V$6:$V$10005,$V6776,'月1回_1ヶ月前の在庫'!$W$6:$W$10005,$W6776)&gt;0),N(U6775),N(U6775)+1))</f>
        <v/>
      </c>
      <c r="V6776" s="19">
        <f>IF($B6776="","",TEXT($B6776,"0000"))</f>
        <v/>
      </c>
      <c r="W6776" s="19">
        <f>IF($I6776="","",IF(ISNUMBER($I6776),TEXT($I6776,"0"),$I6776))</f>
        <v/>
      </c>
    </row>
    <row r="6777">
      <c r="B6777" s="25" t="n"/>
      <c r="I6777" s="25" t="n"/>
      <c r="U6777" s="19">
        <f>IF($V6777&lt;&gt;'設定'!$C$4,N(U6776),IF(OR(NOT(COUNTIF('商品マスタ'!$B$6:$B$1005,$W6777)=0),COUNTIFS('①在庫を貼る'!$V$6:$V$10005,$V6777,'①在庫を貼る'!$W$6:$W$10005,$W6777)+COUNTIFS('月1回_1ヶ月前の在庫'!$V$6:$V$10005,$V6777,'月1回_1ヶ月前の在庫'!$W$6:$W$10005,$W6777)&gt;0),N(U6776),N(U6776)+1))</f>
        <v/>
      </c>
      <c r="V6777" s="19">
        <f>IF($B6777="","",TEXT($B6777,"0000"))</f>
        <v/>
      </c>
      <c r="W6777" s="19">
        <f>IF($I6777="","",IF(ISNUMBER($I6777),TEXT($I6777,"0"),$I6777))</f>
        <v/>
      </c>
    </row>
    <row r="6778">
      <c r="B6778" s="25" t="n"/>
      <c r="I6778" s="25" t="n"/>
      <c r="U6778" s="19">
        <f>IF($V6778&lt;&gt;'設定'!$C$4,N(U6777),IF(OR(NOT(COUNTIF('商品マスタ'!$B$6:$B$1005,$W6778)=0),COUNTIFS('①在庫を貼る'!$V$6:$V$10005,$V6778,'①在庫を貼る'!$W$6:$W$10005,$W6778)+COUNTIFS('月1回_1ヶ月前の在庫'!$V$6:$V$10005,$V6778,'月1回_1ヶ月前の在庫'!$W$6:$W$10005,$W6778)&gt;0),N(U6777),N(U6777)+1))</f>
        <v/>
      </c>
      <c r="V6778" s="19">
        <f>IF($B6778="","",TEXT($B6778,"0000"))</f>
        <v/>
      </c>
      <c r="W6778" s="19">
        <f>IF($I6778="","",IF(ISNUMBER($I6778),TEXT($I6778,"0"),$I6778))</f>
        <v/>
      </c>
    </row>
    <row r="6779">
      <c r="B6779" s="25" t="n"/>
      <c r="I6779" s="25" t="n"/>
      <c r="U6779" s="19">
        <f>IF($V6779&lt;&gt;'設定'!$C$4,N(U6778),IF(OR(NOT(COUNTIF('商品マスタ'!$B$6:$B$1005,$W6779)=0),COUNTIFS('①在庫を貼る'!$V$6:$V$10005,$V6779,'①在庫を貼る'!$W$6:$W$10005,$W6779)+COUNTIFS('月1回_1ヶ月前の在庫'!$V$6:$V$10005,$V6779,'月1回_1ヶ月前の在庫'!$W$6:$W$10005,$W6779)&gt;0),N(U6778),N(U6778)+1))</f>
        <v/>
      </c>
      <c r="V6779" s="19">
        <f>IF($B6779="","",TEXT($B6779,"0000"))</f>
        <v/>
      </c>
      <c r="W6779" s="19">
        <f>IF($I6779="","",IF(ISNUMBER($I6779),TEXT($I6779,"0"),$I6779))</f>
        <v/>
      </c>
    </row>
    <row r="6780">
      <c r="B6780" s="25" t="n"/>
      <c r="I6780" s="25" t="n"/>
      <c r="U6780" s="19">
        <f>IF($V6780&lt;&gt;'設定'!$C$4,N(U6779),IF(OR(NOT(COUNTIF('商品マスタ'!$B$6:$B$1005,$W6780)=0),COUNTIFS('①在庫を貼る'!$V$6:$V$10005,$V6780,'①在庫を貼る'!$W$6:$W$10005,$W6780)+COUNTIFS('月1回_1ヶ月前の在庫'!$V$6:$V$10005,$V6780,'月1回_1ヶ月前の在庫'!$W$6:$W$10005,$W6780)&gt;0),N(U6779),N(U6779)+1))</f>
        <v/>
      </c>
      <c r="V6780" s="19">
        <f>IF($B6780="","",TEXT($B6780,"0000"))</f>
        <v/>
      </c>
      <c r="W6780" s="19">
        <f>IF($I6780="","",IF(ISNUMBER($I6780),TEXT($I6780,"0"),$I6780))</f>
        <v/>
      </c>
    </row>
    <row r="6781">
      <c r="B6781" s="25" t="n"/>
      <c r="I6781" s="25" t="n"/>
      <c r="U6781" s="19">
        <f>IF($V6781&lt;&gt;'設定'!$C$4,N(U6780),IF(OR(NOT(COUNTIF('商品マスタ'!$B$6:$B$1005,$W6781)=0),COUNTIFS('①在庫を貼る'!$V$6:$V$10005,$V6781,'①在庫を貼る'!$W$6:$W$10005,$W6781)+COUNTIFS('月1回_1ヶ月前の在庫'!$V$6:$V$10005,$V6781,'月1回_1ヶ月前の在庫'!$W$6:$W$10005,$W6781)&gt;0),N(U6780),N(U6780)+1))</f>
        <v/>
      </c>
      <c r="V6781" s="19">
        <f>IF($B6781="","",TEXT($B6781,"0000"))</f>
        <v/>
      </c>
      <c r="W6781" s="19">
        <f>IF($I6781="","",IF(ISNUMBER($I6781),TEXT($I6781,"0"),$I6781))</f>
        <v/>
      </c>
    </row>
    <row r="6782">
      <c r="B6782" s="25" t="n"/>
      <c r="I6782" s="25" t="n"/>
      <c r="U6782" s="19">
        <f>IF($V6782&lt;&gt;'設定'!$C$4,N(U6781),IF(OR(NOT(COUNTIF('商品マスタ'!$B$6:$B$1005,$W6782)=0),COUNTIFS('①在庫を貼る'!$V$6:$V$10005,$V6782,'①在庫を貼る'!$W$6:$W$10005,$W6782)+COUNTIFS('月1回_1ヶ月前の在庫'!$V$6:$V$10005,$V6782,'月1回_1ヶ月前の在庫'!$W$6:$W$10005,$W6782)&gt;0),N(U6781),N(U6781)+1))</f>
        <v/>
      </c>
      <c r="V6782" s="19">
        <f>IF($B6782="","",TEXT($B6782,"0000"))</f>
        <v/>
      </c>
      <c r="W6782" s="19">
        <f>IF($I6782="","",IF(ISNUMBER($I6782),TEXT($I6782,"0"),$I6782))</f>
        <v/>
      </c>
    </row>
    <row r="6783">
      <c r="B6783" s="25" t="n"/>
      <c r="I6783" s="25" t="n"/>
      <c r="U6783" s="19">
        <f>IF($V6783&lt;&gt;'設定'!$C$4,N(U6782),IF(OR(NOT(COUNTIF('商品マスタ'!$B$6:$B$1005,$W6783)=0),COUNTIFS('①在庫を貼る'!$V$6:$V$10005,$V6783,'①在庫を貼る'!$W$6:$W$10005,$W6783)+COUNTIFS('月1回_1ヶ月前の在庫'!$V$6:$V$10005,$V6783,'月1回_1ヶ月前の在庫'!$W$6:$W$10005,$W6783)&gt;0),N(U6782),N(U6782)+1))</f>
        <v/>
      </c>
      <c r="V6783" s="19">
        <f>IF($B6783="","",TEXT($B6783,"0000"))</f>
        <v/>
      </c>
      <c r="W6783" s="19">
        <f>IF($I6783="","",IF(ISNUMBER($I6783),TEXT($I6783,"0"),$I6783))</f>
        <v/>
      </c>
    </row>
    <row r="6784">
      <c r="B6784" s="25" t="n"/>
      <c r="I6784" s="25" t="n"/>
      <c r="U6784" s="19">
        <f>IF($V6784&lt;&gt;'設定'!$C$4,N(U6783),IF(OR(NOT(COUNTIF('商品マスタ'!$B$6:$B$1005,$W6784)=0),COUNTIFS('①在庫を貼る'!$V$6:$V$10005,$V6784,'①在庫を貼る'!$W$6:$W$10005,$W6784)+COUNTIFS('月1回_1ヶ月前の在庫'!$V$6:$V$10005,$V6784,'月1回_1ヶ月前の在庫'!$W$6:$W$10005,$W6784)&gt;0),N(U6783),N(U6783)+1))</f>
        <v/>
      </c>
      <c r="V6784" s="19">
        <f>IF($B6784="","",TEXT($B6784,"0000"))</f>
        <v/>
      </c>
      <c r="W6784" s="19">
        <f>IF($I6784="","",IF(ISNUMBER($I6784),TEXT($I6784,"0"),$I6784))</f>
        <v/>
      </c>
    </row>
    <row r="6785">
      <c r="B6785" s="25" t="n"/>
      <c r="I6785" s="25" t="n"/>
      <c r="U6785" s="19">
        <f>IF($V6785&lt;&gt;'設定'!$C$4,N(U6784),IF(OR(NOT(COUNTIF('商品マスタ'!$B$6:$B$1005,$W6785)=0),COUNTIFS('①在庫を貼る'!$V$6:$V$10005,$V6785,'①在庫を貼る'!$W$6:$W$10005,$W6785)+COUNTIFS('月1回_1ヶ月前の在庫'!$V$6:$V$10005,$V6785,'月1回_1ヶ月前の在庫'!$W$6:$W$10005,$W6785)&gt;0),N(U6784),N(U6784)+1))</f>
        <v/>
      </c>
      <c r="V6785" s="19">
        <f>IF($B6785="","",TEXT($B6785,"0000"))</f>
        <v/>
      </c>
      <c r="W6785" s="19">
        <f>IF($I6785="","",IF(ISNUMBER($I6785),TEXT($I6785,"0"),$I6785))</f>
        <v/>
      </c>
    </row>
    <row r="6786">
      <c r="B6786" s="25" t="n"/>
      <c r="I6786" s="25" t="n"/>
      <c r="U6786" s="19">
        <f>IF($V6786&lt;&gt;'設定'!$C$4,N(U6785),IF(OR(NOT(COUNTIF('商品マスタ'!$B$6:$B$1005,$W6786)=0),COUNTIFS('①在庫を貼る'!$V$6:$V$10005,$V6786,'①在庫を貼る'!$W$6:$W$10005,$W6786)+COUNTIFS('月1回_1ヶ月前の在庫'!$V$6:$V$10005,$V6786,'月1回_1ヶ月前の在庫'!$W$6:$W$10005,$W6786)&gt;0),N(U6785),N(U6785)+1))</f>
        <v/>
      </c>
      <c r="V6786" s="19">
        <f>IF($B6786="","",TEXT($B6786,"0000"))</f>
        <v/>
      </c>
      <c r="W6786" s="19">
        <f>IF($I6786="","",IF(ISNUMBER($I6786),TEXT($I6786,"0"),$I6786))</f>
        <v/>
      </c>
    </row>
    <row r="6787">
      <c r="B6787" s="25" t="n"/>
      <c r="I6787" s="25" t="n"/>
      <c r="U6787" s="19">
        <f>IF($V6787&lt;&gt;'設定'!$C$4,N(U6786),IF(OR(NOT(COUNTIF('商品マスタ'!$B$6:$B$1005,$W6787)=0),COUNTIFS('①在庫を貼る'!$V$6:$V$10005,$V6787,'①在庫を貼る'!$W$6:$W$10005,$W6787)+COUNTIFS('月1回_1ヶ月前の在庫'!$V$6:$V$10005,$V6787,'月1回_1ヶ月前の在庫'!$W$6:$W$10005,$W6787)&gt;0),N(U6786),N(U6786)+1))</f>
        <v/>
      </c>
      <c r="V6787" s="19">
        <f>IF($B6787="","",TEXT($B6787,"0000"))</f>
        <v/>
      </c>
      <c r="W6787" s="19">
        <f>IF($I6787="","",IF(ISNUMBER($I6787),TEXT($I6787,"0"),$I6787))</f>
        <v/>
      </c>
    </row>
    <row r="6788">
      <c r="B6788" s="25" t="n"/>
      <c r="I6788" s="25" t="n"/>
      <c r="U6788" s="19">
        <f>IF($V6788&lt;&gt;'設定'!$C$4,N(U6787),IF(OR(NOT(COUNTIF('商品マスタ'!$B$6:$B$1005,$W6788)=0),COUNTIFS('①在庫を貼る'!$V$6:$V$10005,$V6788,'①在庫を貼る'!$W$6:$W$10005,$W6788)+COUNTIFS('月1回_1ヶ月前の在庫'!$V$6:$V$10005,$V6788,'月1回_1ヶ月前の在庫'!$W$6:$W$10005,$W6788)&gt;0),N(U6787),N(U6787)+1))</f>
        <v/>
      </c>
      <c r="V6788" s="19">
        <f>IF($B6788="","",TEXT($B6788,"0000"))</f>
        <v/>
      </c>
      <c r="W6788" s="19">
        <f>IF($I6788="","",IF(ISNUMBER($I6788),TEXT($I6788,"0"),$I6788))</f>
        <v/>
      </c>
    </row>
    <row r="6789">
      <c r="B6789" s="25" t="n"/>
      <c r="I6789" s="25" t="n"/>
      <c r="U6789" s="19">
        <f>IF($V6789&lt;&gt;'設定'!$C$4,N(U6788),IF(OR(NOT(COUNTIF('商品マスタ'!$B$6:$B$1005,$W6789)=0),COUNTIFS('①在庫を貼る'!$V$6:$V$10005,$V6789,'①在庫を貼る'!$W$6:$W$10005,$W6789)+COUNTIFS('月1回_1ヶ月前の在庫'!$V$6:$V$10005,$V6789,'月1回_1ヶ月前の在庫'!$W$6:$W$10005,$W6789)&gt;0),N(U6788),N(U6788)+1))</f>
        <v/>
      </c>
      <c r="V6789" s="19">
        <f>IF($B6789="","",TEXT($B6789,"0000"))</f>
        <v/>
      </c>
      <c r="W6789" s="19">
        <f>IF($I6789="","",IF(ISNUMBER($I6789),TEXT($I6789,"0"),$I6789))</f>
        <v/>
      </c>
    </row>
    <row r="6790">
      <c r="B6790" s="25" t="n"/>
      <c r="I6790" s="25" t="n"/>
      <c r="U6790" s="19">
        <f>IF($V6790&lt;&gt;'設定'!$C$4,N(U6789),IF(OR(NOT(COUNTIF('商品マスタ'!$B$6:$B$1005,$W6790)=0),COUNTIFS('①在庫を貼る'!$V$6:$V$10005,$V6790,'①在庫を貼る'!$W$6:$W$10005,$W6790)+COUNTIFS('月1回_1ヶ月前の在庫'!$V$6:$V$10005,$V6790,'月1回_1ヶ月前の在庫'!$W$6:$W$10005,$W6790)&gt;0),N(U6789),N(U6789)+1))</f>
        <v/>
      </c>
      <c r="V6790" s="19">
        <f>IF($B6790="","",TEXT($B6790,"0000"))</f>
        <v/>
      </c>
      <c r="W6790" s="19">
        <f>IF($I6790="","",IF(ISNUMBER($I6790),TEXT($I6790,"0"),$I6790))</f>
        <v/>
      </c>
    </row>
    <row r="6791">
      <c r="B6791" s="25" t="n"/>
      <c r="I6791" s="25" t="n"/>
      <c r="U6791" s="19">
        <f>IF($V6791&lt;&gt;'設定'!$C$4,N(U6790),IF(OR(NOT(COUNTIF('商品マスタ'!$B$6:$B$1005,$W6791)=0),COUNTIFS('①在庫を貼る'!$V$6:$V$10005,$V6791,'①在庫を貼る'!$W$6:$W$10005,$W6791)+COUNTIFS('月1回_1ヶ月前の在庫'!$V$6:$V$10005,$V6791,'月1回_1ヶ月前の在庫'!$W$6:$W$10005,$W6791)&gt;0),N(U6790),N(U6790)+1))</f>
        <v/>
      </c>
      <c r="V6791" s="19">
        <f>IF($B6791="","",TEXT($B6791,"0000"))</f>
        <v/>
      </c>
      <c r="W6791" s="19">
        <f>IF($I6791="","",IF(ISNUMBER($I6791),TEXT($I6791,"0"),$I6791))</f>
        <v/>
      </c>
    </row>
    <row r="6792">
      <c r="B6792" s="25" t="n"/>
      <c r="I6792" s="25" t="n"/>
      <c r="U6792" s="19">
        <f>IF($V6792&lt;&gt;'設定'!$C$4,N(U6791),IF(OR(NOT(COUNTIF('商品マスタ'!$B$6:$B$1005,$W6792)=0),COUNTIFS('①在庫を貼る'!$V$6:$V$10005,$V6792,'①在庫を貼る'!$W$6:$W$10005,$W6792)+COUNTIFS('月1回_1ヶ月前の在庫'!$V$6:$V$10005,$V6792,'月1回_1ヶ月前の在庫'!$W$6:$W$10005,$W6792)&gt;0),N(U6791),N(U6791)+1))</f>
        <v/>
      </c>
      <c r="V6792" s="19">
        <f>IF($B6792="","",TEXT($B6792,"0000"))</f>
        <v/>
      </c>
      <c r="W6792" s="19">
        <f>IF($I6792="","",IF(ISNUMBER($I6792),TEXT($I6792,"0"),$I6792))</f>
        <v/>
      </c>
    </row>
    <row r="6793">
      <c r="B6793" s="25" t="n"/>
      <c r="I6793" s="25" t="n"/>
      <c r="U6793" s="19">
        <f>IF($V6793&lt;&gt;'設定'!$C$4,N(U6792),IF(OR(NOT(COUNTIF('商品マスタ'!$B$6:$B$1005,$W6793)=0),COUNTIFS('①在庫を貼る'!$V$6:$V$10005,$V6793,'①在庫を貼る'!$W$6:$W$10005,$W6793)+COUNTIFS('月1回_1ヶ月前の在庫'!$V$6:$V$10005,$V6793,'月1回_1ヶ月前の在庫'!$W$6:$W$10005,$W6793)&gt;0),N(U6792),N(U6792)+1))</f>
        <v/>
      </c>
      <c r="V6793" s="19">
        <f>IF($B6793="","",TEXT($B6793,"0000"))</f>
        <v/>
      </c>
      <c r="W6793" s="19">
        <f>IF($I6793="","",IF(ISNUMBER($I6793),TEXT($I6793,"0"),$I6793))</f>
        <v/>
      </c>
    </row>
    <row r="6794">
      <c r="B6794" s="25" t="n"/>
      <c r="I6794" s="25" t="n"/>
      <c r="U6794" s="19">
        <f>IF($V6794&lt;&gt;'設定'!$C$4,N(U6793),IF(OR(NOT(COUNTIF('商品マスタ'!$B$6:$B$1005,$W6794)=0),COUNTIFS('①在庫を貼る'!$V$6:$V$10005,$V6794,'①在庫を貼る'!$W$6:$W$10005,$W6794)+COUNTIFS('月1回_1ヶ月前の在庫'!$V$6:$V$10005,$V6794,'月1回_1ヶ月前の在庫'!$W$6:$W$10005,$W6794)&gt;0),N(U6793),N(U6793)+1))</f>
        <v/>
      </c>
      <c r="V6794" s="19">
        <f>IF($B6794="","",TEXT($B6794,"0000"))</f>
        <v/>
      </c>
      <c r="W6794" s="19">
        <f>IF($I6794="","",IF(ISNUMBER($I6794),TEXT($I6794,"0"),$I6794))</f>
        <v/>
      </c>
    </row>
    <row r="6795">
      <c r="B6795" s="25" t="n"/>
      <c r="I6795" s="25" t="n"/>
      <c r="U6795" s="19">
        <f>IF($V6795&lt;&gt;'設定'!$C$4,N(U6794),IF(OR(NOT(COUNTIF('商品マスタ'!$B$6:$B$1005,$W6795)=0),COUNTIFS('①在庫を貼る'!$V$6:$V$10005,$V6795,'①在庫を貼る'!$W$6:$W$10005,$W6795)+COUNTIFS('月1回_1ヶ月前の在庫'!$V$6:$V$10005,$V6795,'月1回_1ヶ月前の在庫'!$W$6:$W$10005,$W6795)&gt;0),N(U6794),N(U6794)+1))</f>
        <v/>
      </c>
      <c r="V6795" s="19">
        <f>IF($B6795="","",TEXT($B6795,"0000"))</f>
        <v/>
      </c>
      <c r="W6795" s="19">
        <f>IF($I6795="","",IF(ISNUMBER($I6795),TEXT($I6795,"0"),$I6795))</f>
        <v/>
      </c>
    </row>
    <row r="6796">
      <c r="B6796" s="25" t="n"/>
      <c r="I6796" s="25" t="n"/>
      <c r="U6796" s="19">
        <f>IF($V6796&lt;&gt;'設定'!$C$4,N(U6795),IF(OR(NOT(COUNTIF('商品マスタ'!$B$6:$B$1005,$W6796)=0),COUNTIFS('①在庫を貼る'!$V$6:$V$10005,$V6796,'①在庫を貼る'!$W$6:$W$10005,$W6796)+COUNTIFS('月1回_1ヶ月前の在庫'!$V$6:$V$10005,$V6796,'月1回_1ヶ月前の在庫'!$W$6:$W$10005,$W6796)&gt;0),N(U6795),N(U6795)+1))</f>
        <v/>
      </c>
      <c r="V6796" s="19">
        <f>IF($B6796="","",TEXT($B6796,"0000"))</f>
        <v/>
      </c>
      <c r="W6796" s="19">
        <f>IF($I6796="","",IF(ISNUMBER($I6796),TEXT($I6796,"0"),$I6796))</f>
        <v/>
      </c>
    </row>
    <row r="6797">
      <c r="B6797" s="25" t="n"/>
      <c r="I6797" s="25" t="n"/>
      <c r="U6797" s="19">
        <f>IF($V6797&lt;&gt;'設定'!$C$4,N(U6796),IF(OR(NOT(COUNTIF('商品マスタ'!$B$6:$B$1005,$W6797)=0),COUNTIFS('①在庫を貼る'!$V$6:$V$10005,$V6797,'①在庫を貼る'!$W$6:$W$10005,$W6797)+COUNTIFS('月1回_1ヶ月前の在庫'!$V$6:$V$10005,$V6797,'月1回_1ヶ月前の在庫'!$W$6:$W$10005,$W6797)&gt;0),N(U6796),N(U6796)+1))</f>
        <v/>
      </c>
      <c r="V6797" s="19">
        <f>IF($B6797="","",TEXT($B6797,"0000"))</f>
        <v/>
      </c>
      <c r="W6797" s="19">
        <f>IF($I6797="","",IF(ISNUMBER($I6797),TEXT($I6797,"0"),$I6797))</f>
        <v/>
      </c>
    </row>
    <row r="6798">
      <c r="B6798" s="25" t="n"/>
      <c r="I6798" s="25" t="n"/>
      <c r="U6798" s="19">
        <f>IF($V6798&lt;&gt;'設定'!$C$4,N(U6797),IF(OR(NOT(COUNTIF('商品マスタ'!$B$6:$B$1005,$W6798)=0),COUNTIFS('①在庫を貼る'!$V$6:$V$10005,$V6798,'①在庫を貼る'!$W$6:$W$10005,$W6798)+COUNTIFS('月1回_1ヶ月前の在庫'!$V$6:$V$10005,$V6798,'月1回_1ヶ月前の在庫'!$W$6:$W$10005,$W6798)&gt;0),N(U6797),N(U6797)+1))</f>
        <v/>
      </c>
      <c r="V6798" s="19">
        <f>IF($B6798="","",TEXT($B6798,"0000"))</f>
        <v/>
      </c>
      <c r="W6798" s="19">
        <f>IF($I6798="","",IF(ISNUMBER($I6798),TEXT($I6798,"0"),$I6798))</f>
        <v/>
      </c>
    </row>
    <row r="6799">
      <c r="B6799" s="25" t="n"/>
      <c r="I6799" s="25" t="n"/>
      <c r="U6799" s="19">
        <f>IF($V6799&lt;&gt;'設定'!$C$4,N(U6798),IF(OR(NOT(COUNTIF('商品マスタ'!$B$6:$B$1005,$W6799)=0),COUNTIFS('①在庫を貼る'!$V$6:$V$10005,$V6799,'①在庫を貼る'!$W$6:$W$10005,$W6799)+COUNTIFS('月1回_1ヶ月前の在庫'!$V$6:$V$10005,$V6799,'月1回_1ヶ月前の在庫'!$W$6:$W$10005,$W6799)&gt;0),N(U6798),N(U6798)+1))</f>
        <v/>
      </c>
      <c r="V6799" s="19">
        <f>IF($B6799="","",TEXT($B6799,"0000"))</f>
        <v/>
      </c>
      <c r="W6799" s="19">
        <f>IF($I6799="","",IF(ISNUMBER($I6799),TEXT($I6799,"0"),$I6799))</f>
        <v/>
      </c>
    </row>
    <row r="6800">
      <c r="B6800" s="25" t="n"/>
      <c r="I6800" s="25" t="n"/>
      <c r="U6800" s="19">
        <f>IF($V6800&lt;&gt;'設定'!$C$4,N(U6799),IF(OR(NOT(COUNTIF('商品マスタ'!$B$6:$B$1005,$W6800)=0),COUNTIFS('①在庫を貼る'!$V$6:$V$10005,$V6800,'①在庫を貼る'!$W$6:$W$10005,$W6800)+COUNTIFS('月1回_1ヶ月前の在庫'!$V$6:$V$10005,$V6800,'月1回_1ヶ月前の在庫'!$W$6:$W$10005,$W6800)&gt;0),N(U6799),N(U6799)+1))</f>
        <v/>
      </c>
      <c r="V6800" s="19">
        <f>IF($B6800="","",TEXT($B6800,"0000"))</f>
        <v/>
      </c>
      <c r="W6800" s="19">
        <f>IF($I6800="","",IF(ISNUMBER($I6800),TEXT($I6800,"0"),$I6800))</f>
        <v/>
      </c>
    </row>
    <row r="6801">
      <c r="B6801" s="25" t="n"/>
      <c r="I6801" s="25" t="n"/>
      <c r="U6801" s="19">
        <f>IF($V6801&lt;&gt;'設定'!$C$4,N(U6800),IF(OR(NOT(COUNTIF('商品マスタ'!$B$6:$B$1005,$W6801)=0),COUNTIFS('①在庫を貼る'!$V$6:$V$10005,$V6801,'①在庫を貼る'!$W$6:$W$10005,$W6801)+COUNTIFS('月1回_1ヶ月前の在庫'!$V$6:$V$10005,$V6801,'月1回_1ヶ月前の在庫'!$W$6:$W$10005,$W6801)&gt;0),N(U6800),N(U6800)+1))</f>
        <v/>
      </c>
      <c r="V6801" s="19">
        <f>IF($B6801="","",TEXT($B6801,"0000"))</f>
        <v/>
      </c>
      <c r="W6801" s="19">
        <f>IF($I6801="","",IF(ISNUMBER($I6801),TEXT($I6801,"0"),$I6801))</f>
        <v/>
      </c>
    </row>
    <row r="6802">
      <c r="B6802" s="25" t="n"/>
      <c r="I6802" s="25" t="n"/>
      <c r="U6802" s="19">
        <f>IF($V6802&lt;&gt;'設定'!$C$4,N(U6801),IF(OR(NOT(COUNTIF('商品マスタ'!$B$6:$B$1005,$W6802)=0),COUNTIFS('①在庫を貼る'!$V$6:$V$10005,$V6802,'①在庫を貼る'!$W$6:$W$10005,$W6802)+COUNTIFS('月1回_1ヶ月前の在庫'!$V$6:$V$10005,$V6802,'月1回_1ヶ月前の在庫'!$W$6:$W$10005,$W6802)&gt;0),N(U6801),N(U6801)+1))</f>
        <v/>
      </c>
      <c r="V6802" s="19">
        <f>IF($B6802="","",TEXT($B6802,"0000"))</f>
        <v/>
      </c>
      <c r="W6802" s="19">
        <f>IF($I6802="","",IF(ISNUMBER($I6802),TEXT($I6802,"0"),$I6802))</f>
        <v/>
      </c>
    </row>
    <row r="6803">
      <c r="B6803" s="25" t="n"/>
      <c r="I6803" s="25" t="n"/>
      <c r="U6803" s="19">
        <f>IF($V6803&lt;&gt;'設定'!$C$4,N(U6802),IF(OR(NOT(COUNTIF('商品マスタ'!$B$6:$B$1005,$W6803)=0),COUNTIFS('①在庫を貼る'!$V$6:$V$10005,$V6803,'①在庫を貼る'!$W$6:$W$10005,$W6803)+COUNTIFS('月1回_1ヶ月前の在庫'!$V$6:$V$10005,$V6803,'月1回_1ヶ月前の在庫'!$W$6:$W$10005,$W6803)&gt;0),N(U6802),N(U6802)+1))</f>
        <v/>
      </c>
      <c r="V6803" s="19">
        <f>IF($B6803="","",TEXT($B6803,"0000"))</f>
        <v/>
      </c>
      <c r="W6803" s="19">
        <f>IF($I6803="","",IF(ISNUMBER($I6803),TEXT($I6803,"0"),$I6803))</f>
        <v/>
      </c>
    </row>
    <row r="6804">
      <c r="B6804" s="25" t="n"/>
      <c r="I6804" s="25" t="n"/>
      <c r="U6804" s="19">
        <f>IF($V6804&lt;&gt;'設定'!$C$4,N(U6803),IF(OR(NOT(COUNTIF('商品マスタ'!$B$6:$B$1005,$W6804)=0),COUNTIFS('①在庫を貼る'!$V$6:$V$10005,$V6804,'①在庫を貼る'!$W$6:$W$10005,$W6804)+COUNTIFS('月1回_1ヶ月前の在庫'!$V$6:$V$10005,$V6804,'月1回_1ヶ月前の在庫'!$W$6:$W$10005,$W6804)&gt;0),N(U6803),N(U6803)+1))</f>
        <v/>
      </c>
      <c r="V6804" s="19">
        <f>IF($B6804="","",TEXT($B6804,"0000"))</f>
        <v/>
      </c>
      <c r="W6804" s="19">
        <f>IF($I6804="","",IF(ISNUMBER($I6804),TEXT($I6804,"0"),$I6804))</f>
        <v/>
      </c>
    </row>
    <row r="6805">
      <c r="B6805" s="25" t="n"/>
      <c r="I6805" s="25" t="n"/>
      <c r="U6805" s="19">
        <f>IF($V6805&lt;&gt;'設定'!$C$4,N(U6804),IF(OR(NOT(COUNTIF('商品マスタ'!$B$6:$B$1005,$W6805)=0),COUNTIFS('①在庫を貼る'!$V$6:$V$10005,$V6805,'①在庫を貼る'!$W$6:$W$10005,$W6805)+COUNTIFS('月1回_1ヶ月前の在庫'!$V$6:$V$10005,$V6805,'月1回_1ヶ月前の在庫'!$W$6:$W$10005,$W6805)&gt;0),N(U6804),N(U6804)+1))</f>
        <v/>
      </c>
      <c r="V6805" s="19">
        <f>IF($B6805="","",TEXT($B6805,"0000"))</f>
        <v/>
      </c>
      <c r="W6805" s="19">
        <f>IF($I6805="","",IF(ISNUMBER($I6805),TEXT($I6805,"0"),$I6805))</f>
        <v/>
      </c>
    </row>
    <row r="6806">
      <c r="B6806" s="25" t="n"/>
      <c r="I6806" s="25" t="n"/>
      <c r="U6806" s="19">
        <f>IF($V6806&lt;&gt;'設定'!$C$4,N(U6805),IF(OR(NOT(COUNTIF('商品マスタ'!$B$6:$B$1005,$W6806)=0),COUNTIFS('①在庫を貼る'!$V$6:$V$10005,$V6806,'①在庫を貼る'!$W$6:$W$10005,$W6806)+COUNTIFS('月1回_1ヶ月前の在庫'!$V$6:$V$10005,$V6806,'月1回_1ヶ月前の在庫'!$W$6:$W$10005,$W6806)&gt;0),N(U6805),N(U6805)+1))</f>
        <v/>
      </c>
      <c r="V6806" s="19">
        <f>IF($B6806="","",TEXT($B6806,"0000"))</f>
        <v/>
      </c>
      <c r="W6806" s="19">
        <f>IF($I6806="","",IF(ISNUMBER($I6806),TEXT($I6806,"0"),$I6806))</f>
        <v/>
      </c>
    </row>
    <row r="6807">
      <c r="B6807" s="25" t="n"/>
      <c r="I6807" s="25" t="n"/>
      <c r="U6807" s="19">
        <f>IF($V6807&lt;&gt;'設定'!$C$4,N(U6806),IF(OR(NOT(COUNTIF('商品マスタ'!$B$6:$B$1005,$W6807)=0),COUNTIFS('①在庫を貼る'!$V$6:$V$10005,$V6807,'①在庫を貼る'!$W$6:$W$10005,$W6807)+COUNTIFS('月1回_1ヶ月前の在庫'!$V$6:$V$10005,$V6807,'月1回_1ヶ月前の在庫'!$W$6:$W$10005,$W6807)&gt;0),N(U6806),N(U6806)+1))</f>
        <v/>
      </c>
      <c r="V6807" s="19">
        <f>IF($B6807="","",TEXT($B6807,"0000"))</f>
        <v/>
      </c>
      <c r="W6807" s="19">
        <f>IF($I6807="","",IF(ISNUMBER($I6807),TEXT($I6807,"0"),$I6807))</f>
        <v/>
      </c>
    </row>
    <row r="6808">
      <c r="B6808" s="25" t="n"/>
      <c r="I6808" s="25" t="n"/>
      <c r="U6808" s="19">
        <f>IF($V6808&lt;&gt;'設定'!$C$4,N(U6807),IF(OR(NOT(COUNTIF('商品マスタ'!$B$6:$B$1005,$W6808)=0),COUNTIFS('①在庫を貼る'!$V$6:$V$10005,$V6808,'①在庫を貼る'!$W$6:$W$10005,$W6808)+COUNTIFS('月1回_1ヶ月前の在庫'!$V$6:$V$10005,$V6808,'月1回_1ヶ月前の在庫'!$W$6:$W$10005,$W6808)&gt;0),N(U6807),N(U6807)+1))</f>
        <v/>
      </c>
      <c r="V6808" s="19">
        <f>IF($B6808="","",TEXT($B6808,"0000"))</f>
        <v/>
      </c>
      <c r="W6808" s="19">
        <f>IF($I6808="","",IF(ISNUMBER($I6808),TEXT($I6808,"0"),$I6808))</f>
        <v/>
      </c>
    </row>
    <row r="6809">
      <c r="B6809" s="25" t="n"/>
      <c r="I6809" s="25" t="n"/>
      <c r="U6809" s="19">
        <f>IF($V6809&lt;&gt;'設定'!$C$4,N(U6808),IF(OR(NOT(COUNTIF('商品マスタ'!$B$6:$B$1005,$W6809)=0),COUNTIFS('①在庫を貼る'!$V$6:$V$10005,$V6809,'①在庫を貼る'!$W$6:$W$10005,$W6809)+COUNTIFS('月1回_1ヶ月前の在庫'!$V$6:$V$10005,$V6809,'月1回_1ヶ月前の在庫'!$W$6:$W$10005,$W6809)&gt;0),N(U6808),N(U6808)+1))</f>
        <v/>
      </c>
      <c r="V6809" s="19">
        <f>IF($B6809="","",TEXT($B6809,"0000"))</f>
        <v/>
      </c>
      <c r="W6809" s="19">
        <f>IF($I6809="","",IF(ISNUMBER($I6809),TEXT($I6809,"0"),$I6809))</f>
        <v/>
      </c>
    </row>
    <row r="6810">
      <c r="B6810" s="25" t="n"/>
      <c r="I6810" s="25" t="n"/>
      <c r="U6810" s="19">
        <f>IF($V6810&lt;&gt;'設定'!$C$4,N(U6809),IF(OR(NOT(COUNTIF('商品マスタ'!$B$6:$B$1005,$W6810)=0),COUNTIFS('①在庫を貼る'!$V$6:$V$10005,$V6810,'①在庫を貼る'!$W$6:$W$10005,$W6810)+COUNTIFS('月1回_1ヶ月前の在庫'!$V$6:$V$10005,$V6810,'月1回_1ヶ月前の在庫'!$W$6:$W$10005,$W6810)&gt;0),N(U6809),N(U6809)+1))</f>
        <v/>
      </c>
      <c r="V6810" s="19">
        <f>IF($B6810="","",TEXT($B6810,"0000"))</f>
        <v/>
      </c>
      <c r="W6810" s="19">
        <f>IF($I6810="","",IF(ISNUMBER($I6810),TEXT($I6810,"0"),$I6810))</f>
        <v/>
      </c>
    </row>
    <row r="6811">
      <c r="B6811" s="25" t="n"/>
      <c r="I6811" s="25" t="n"/>
      <c r="U6811" s="19">
        <f>IF($V6811&lt;&gt;'設定'!$C$4,N(U6810),IF(OR(NOT(COUNTIF('商品マスタ'!$B$6:$B$1005,$W6811)=0),COUNTIFS('①在庫を貼る'!$V$6:$V$10005,$V6811,'①在庫を貼る'!$W$6:$W$10005,$W6811)+COUNTIFS('月1回_1ヶ月前の在庫'!$V$6:$V$10005,$V6811,'月1回_1ヶ月前の在庫'!$W$6:$W$10005,$W6811)&gt;0),N(U6810),N(U6810)+1))</f>
        <v/>
      </c>
      <c r="V6811" s="19">
        <f>IF($B6811="","",TEXT($B6811,"0000"))</f>
        <v/>
      </c>
      <c r="W6811" s="19">
        <f>IF($I6811="","",IF(ISNUMBER($I6811),TEXT($I6811,"0"),$I6811))</f>
        <v/>
      </c>
    </row>
    <row r="6812">
      <c r="B6812" s="25" t="n"/>
      <c r="I6812" s="25" t="n"/>
      <c r="U6812" s="19">
        <f>IF($V6812&lt;&gt;'設定'!$C$4,N(U6811),IF(OR(NOT(COUNTIF('商品マスタ'!$B$6:$B$1005,$W6812)=0),COUNTIFS('①在庫を貼る'!$V$6:$V$10005,$V6812,'①在庫を貼る'!$W$6:$W$10005,$W6812)+COUNTIFS('月1回_1ヶ月前の在庫'!$V$6:$V$10005,$V6812,'月1回_1ヶ月前の在庫'!$W$6:$W$10005,$W6812)&gt;0),N(U6811),N(U6811)+1))</f>
        <v/>
      </c>
      <c r="V6812" s="19">
        <f>IF($B6812="","",TEXT($B6812,"0000"))</f>
        <v/>
      </c>
      <c r="W6812" s="19">
        <f>IF($I6812="","",IF(ISNUMBER($I6812),TEXT($I6812,"0"),$I6812))</f>
        <v/>
      </c>
    </row>
    <row r="6813">
      <c r="B6813" s="25" t="n"/>
      <c r="I6813" s="25" t="n"/>
      <c r="U6813" s="19">
        <f>IF($V6813&lt;&gt;'設定'!$C$4,N(U6812),IF(OR(NOT(COUNTIF('商品マスタ'!$B$6:$B$1005,$W6813)=0),COUNTIFS('①在庫を貼る'!$V$6:$V$10005,$V6813,'①在庫を貼る'!$W$6:$W$10005,$W6813)+COUNTIFS('月1回_1ヶ月前の在庫'!$V$6:$V$10005,$V6813,'月1回_1ヶ月前の在庫'!$W$6:$W$10005,$W6813)&gt;0),N(U6812),N(U6812)+1))</f>
        <v/>
      </c>
      <c r="V6813" s="19">
        <f>IF($B6813="","",TEXT($B6813,"0000"))</f>
        <v/>
      </c>
      <c r="W6813" s="19">
        <f>IF($I6813="","",IF(ISNUMBER($I6813),TEXT($I6813,"0"),$I6813))</f>
        <v/>
      </c>
    </row>
    <row r="6814">
      <c r="B6814" s="25" t="n"/>
      <c r="I6814" s="25" t="n"/>
      <c r="U6814" s="19">
        <f>IF($V6814&lt;&gt;'設定'!$C$4,N(U6813),IF(OR(NOT(COUNTIF('商品マスタ'!$B$6:$B$1005,$W6814)=0),COUNTIFS('①在庫を貼る'!$V$6:$V$10005,$V6814,'①在庫を貼る'!$W$6:$W$10005,$W6814)+COUNTIFS('月1回_1ヶ月前の在庫'!$V$6:$V$10005,$V6814,'月1回_1ヶ月前の在庫'!$W$6:$W$10005,$W6814)&gt;0),N(U6813),N(U6813)+1))</f>
        <v/>
      </c>
      <c r="V6814" s="19">
        <f>IF($B6814="","",TEXT($B6814,"0000"))</f>
        <v/>
      </c>
      <c r="W6814" s="19">
        <f>IF($I6814="","",IF(ISNUMBER($I6814),TEXT($I6814,"0"),$I6814))</f>
        <v/>
      </c>
    </row>
    <row r="6815">
      <c r="B6815" s="25" t="n"/>
      <c r="I6815" s="25" t="n"/>
      <c r="U6815" s="19">
        <f>IF($V6815&lt;&gt;'設定'!$C$4,N(U6814),IF(OR(NOT(COUNTIF('商品マスタ'!$B$6:$B$1005,$W6815)=0),COUNTIFS('①在庫を貼る'!$V$6:$V$10005,$V6815,'①在庫を貼る'!$W$6:$W$10005,$W6815)+COUNTIFS('月1回_1ヶ月前の在庫'!$V$6:$V$10005,$V6815,'月1回_1ヶ月前の在庫'!$W$6:$W$10005,$W6815)&gt;0),N(U6814),N(U6814)+1))</f>
        <v/>
      </c>
      <c r="V6815" s="19">
        <f>IF($B6815="","",TEXT($B6815,"0000"))</f>
        <v/>
      </c>
      <c r="W6815" s="19">
        <f>IF($I6815="","",IF(ISNUMBER($I6815),TEXT($I6815,"0"),$I6815))</f>
        <v/>
      </c>
    </row>
    <row r="6816">
      <c r="B6816" s="25" t="n"/>
      <c r="I6816" s="25" t="n"/>
      <c r="U6816" s="19">
        <f>IF($V6816&lt;&gt;'設定'!$C$4,N(U6815),IF(OR(NOT(COUNTIF('商品マスタ'!$B$6:$B$1005,$W6816)=0),COUNTIFS('①在庫を貼る'!$V$6:$V$10005,$V6816,'①在庫を貼る'!$W$6:$W$10005,$W6816)+COUNTIFS('月1回_1ヶ月前の在庫'!$V$6:$V$10005,$V6816,'月1回_1ヶ月前の在庫'!$W$6:$W$10005,$W6816)&gt;0),N(U6815),N(U6815)+1))</f>
        <v/>
      </c>
      <c r="V6816" s="19">
        <f>IF($B6816="","",TEXT($B6816,"0000"))</f>
        <v/>
      </c>
      <c r="W6816" s="19">
        <f>IF($I6816="","",IF(ISNUMBER($I6816),TEXT($I6816,"0"),$I6816))</f>
        <v/>
      </c>
    </row>
    <row r="6817">
      <c r="B6817" s="25" t="n"/>
      <c r="I6817" s="25" t="n"/>
      <c r="U6817" s="19">
        <f>IF($V6817&lt;&gt;'設定'!$C$4,N(U6816),IF(OR(NOT(COUNTIF('商品マスタ'!$B$6:$B$1005,$W6817)=0),COUNTIFS('①在庫を貼る'!$V$6:$V$10005,$V6817,'①在庫を貼る'!$W$6:$W$10005,$W6817)+COUNTIFS('月1回_1ヶ月前の在庫'!$V$6:$V$10005,$V6817,'月1回_1ヶ月前の在庫'!$W$6:$W$10005,$W6817)&gt;0),N(U6816),N(U6816)+1))</f>
        <v/>
      </c>
      <c r="V6817" s="19">
        <f>IF($B6817="","",TEXT($B6817,"0000"))</f>
        <v/>
      </c>
      <c r="W6817" s="19">
        <f>IF($I6817="","",IF(ISNUMBER($I6817),TEXT($I6817,"0"),$I6817))</f>
        <v/>
      </c>
    </row>
    <row r="6818">
      <c r="B6818" s="25" t="n"/>
      <c r="I6818" s="25" t="n"/>
      <c r="U6818" s="19">
        <f>IF($V6818&lt;&gt;'設定'!$C$4,N(U6817),IF(OR(NOT(COUNTIF('商品マスタ'!$B$6:$B$1005,$W6818)=0),COUNTIFS('①在庫を貼る'!$V$6:$V$10005,$V6818,'①在庫を貼る'!$W$6:$W$10005,$W6818)+COUNTIFS('月1回_1ヶ月前の在庫'!$V$6:$V$10005,$V6818,'月1回_1ヶ月前の在庫'!$W$6:$W$10005,$W6818)&gt;0),N(U6817),N(U6817)+1))</f>
        <v/>
      </c>
      <c r="V6818" s="19">
        <f>IF($B6818="","",TEXT($B6818,"0000"))</f>
        <v/>
      </c>
      <c r="W6818" s="19">
        <f>IF($I6818="","",IF(ISNUMBER($I6818),TEXT($I6818,"0"),$I6818))</f>
        <v/>
      </c>
    </row>
    <row r="6819">
      <c r="B6819" s="25" t="n"/>
      <c r="I6819" s="25" t="n"/>
      <c r="U6819" s="19">
        <f>IF($V6819&lt;&gt;'設定'!$C$4,N(U6818),IF(OR(NOT(COUNTIF('商品マスタ'!$B$6:$B$1005,$W6819)=0),COUNTIFS('①在庫を貼る'!$V$6:$V$10005,$V6819,'①在庫を貼る'!$W$6:$W$10005,$W6819)+COUNTIFS('月1回_1ヶ月前の在庫'!$V$6:$V$10005,$V6819,'月1回_1ヶ月前の在庫'!$W$6:$W$10005,$W6819)&gt;0),N(U6818),N(U6818)+1))</f>
        <v/>
      </c>
      <c r="V6819" s="19">
        <f>IF($B6819="","",TEXT($B6819,"0000"))</f>
        <v/>
      </c>
      <c r="W6819" s="19">
        <f>IF($I6819="","",IF(ISNUMBER($I6819),TEXT($I6819,"0"),$I6819))</f>
        <v/>
      </c>
    </row>
    <row r="6820">
      <c r="B6820" s="25" t="n"/>
      <c r="I6820" s="25" t="n"/>
      <c r="U6820" s="19">
        <f>IF($V6820&lt;&gt;'設定'!$C$4,N(U6819),IF(OR(NOT(COUNTIF('商品マスタ'!$B$6:$B$1005,$W6820)=0),COUNTIFS('①在庫を貼る'!$V$6:$V$10005,$V6820,'①在庫を貼る'!$W$6:$W$10005,$W6820)+COUNTIFS('月1回_1ヶ月前の在庫'!$V$6:$V$10005,$V6820,'月1回_1ヶ月前の在庫'!$W$6:$W$10005,$W6820)&gt;0),N(U6819),N(U6819)+1))</f>
        <v/>
      </c>
      <c r="V6820" s="19">
        <f>IF($B6820="","",TEXT($B6820,"0000"))</f>
        <v/>
      </c>
      <c r="W6820" s="19">
        <f>IF($I6820="","",IF(ISNUMBER($I6820),TEXT($I6820,"0"),$I6820))</f>
        <v/>
      </c>
    </row>
    <row r="6821">
      <c r="B6821" s="25" t="n"/>
      <c r="I6821" s="25" t="n"/>
      <c r="U6821" s="19">
        <f>IF($V6821&lt;&gt;'設定'!$C$4,N(U6820),IF(OR(NOT(COUNTIF('商品マスタ'!$B$6:$B$1005,$W6821)=0),COUNTIFS('①在庫を貼る'!$V$6:$V$10005,$V6821,'①在庫を貼る'!$W$6:$W$10005,$W6821)+COUNTIFS('月1回_1ヶ月前の在庫'!$V$6:$V$10005,$V6821,'月1回_1ヶ月前の在庫'!$W$6:$W$10005,$W6821)&gt;0),N(U6820),N(U6820)+1))</f>
        <v/>
      </c>
      <c r="V6821" s="19">
        <f>IF($B6821="","",TEXT($B6821,"0000"))</f>
        <v/>
      </c>
      <c r="W6821" s="19">
        <f>IF($I6821="","",IF(ISNUMBER($I6821),TEXT($I6821,"0"),$I6821))</f>
        <v/>
      </c>
    </row>
    <row r="6822">
      <c r="B6822" s="25" t="n"/>
      <c r="I6822" s="25" t="n"/>
      <c r="U6822" s="19">
        <f>IF($V6822&lt;&gt;'設定'!$C$4,N(U6821),IF(OR(NOT(COUNTIF('商品マスタ'!$B$6:$B$1005,$W6822)=0),COUNTIFS('①在庫を貼る'!$V$6:$V$10005,$V6822,'①在庫を貼る'!$W$6:$W$10005,$W6822)+COUNTIFS('月1回_1ヶ月前の在庫'!$V$6:$V$10005,$V6822,'月1回_1ヶ月前の在庫'!$W$6:$W$10005,$W6822)&gt;0),N(U6821),N(U6821)+1))</f>
        <v/>
      </c>
      <c r="V6822" s="19">
        <f>IF($B6822="","",TEXT($B6822,"0000"))</f>
        <v/>
      </c>
      <c r="W6822" s="19">
        <f>IF($I6822="","",IF(ISNUMBER($I6822),TEXT($I6822,"0"),$I6822))</f>
        <v/>
      </c>
    </row>
    <row r="6823">
      <c r="B6823" s="25" t="n"/>
      <c r="I6823" s="25" t="n"/>
      <c r="U6823" s="19">
        <f>IF($V6823&lt;&gt;'設定'!$C$4,N(U6822),IF(OR(NOT(COUNTIF('商品マスタ'!$B$6:$B$1005,$W6823)=0),COUNTIFS('①在庫を貼る'!$V$6:$V$10005,$V6823,'①在庫を貼る'!$W$6:$W$10005,$W6823)+COUNTIFS('月1回_1ヶ月前の在庫'!$V$6:$V$10005,$V6823,'月1回_1ヶ月前の在庫'!$W$6:$W$10005,$W6823)&gt;0),N(U6822),N(U6822)+1))</f>
        <v/>
      </c>
      <c r="V6823" s="19">
        <f>IF($B6823="","",TEXT($B6823,"0000"))</f>
        <v/>
      </c>
      <c r="W6823" s="19">
        <f>IF($I6823="","",IF(ISNUMBER($I6823),TEXT($I6823,"0"),$I6823))</f>
        <v/>
      </c>
    </row>
    <row r="6824">
      <c r="B6824" s="25" t="n"/>
      <c r="I6824" s="25" t="n"/>
      <c r="U6824" s="19">
        <f>IF($V6824&lt;&gt;'設定'!$C$4,N(U6823),IF(OR(NOT(COUNTIF('商品マスタ'!$B$6:$B$1005,$W6824)=0),COUNTIFS('①在庫を貼る'!$V$6:$V$10005,$V6824,'①在庫を貼る'!$W$6:$W$10005,$W6824)+COUNTIFS('月1回_1ヶ月前の在庫'!$V$6:$V$10005,$V6824,'月1回_1ヶ月前の在庫'!$W$6:$W$10005,$W6824)&gt;0),N(U6823),N(U6823)+1))</f>
        <v/>
      </c>
      <c r="V6824" s="19">
        <f>IF($B6824="","",TEXT($B6824,"0000"))</f>
        <v/>
      </c>
      <c r="W6824" s="19">
        <f>IF($I6824="","",IF(ISNUMBER($I6824),TEXT($I6824,"0"),$I6824))</f>
        <v/>
      </c>
    </row>
    <row r="6825">
      <c r="B6825" s="25" t="n"/>
      <c r="I6825" s="25" t="n"/>
      <c r="U6825" s="19">
        <f>IF($V6825&lt;&gt;'設定'!$C$4,N(U6824),IF(OR(NOT(COUNTIF('商品マスタ'!$B$6:$B$1005,$W6825)=0),COUNTIFS('①在庫を貼る'!$V$6:$V$10005,$V6825,'①在庫を貼る'!$W$6:$W$10005,$W6825)+COUNTIFS('月1回_1ヶ月前の在庫'!$V$6:$V$10005,$V6825,'月1回_1ヶ月前の在庫'!$W$6:$W$10005,$W6825)&gt;0),N(U6824),N(U6824)+1))</f>
        <v/>
      </c>
      <c r="V6825" s="19">
        <f>IF($B6825="","",TEXT($B6825,"0000"))</f>
        <v/>
      </c>
      <c r="W6825" s="19">
        <f>IF($I6825="","",IF(ISNUMBER($I6825),TEXT($I6825,"0"),$I6825))</f>
        <v/>
      </c>
    </row>
    <row r="6826">
      <c r="B6826" s="25" t="n"/>
      <c r="I6826" s="25" t="n"/>
      <c r="U6826" s="19">
        <f>IF($V6826&lt;&gt;'設定'!$C$4,N(U6825),IF(OR(NOT(COUNTIF('商品マスタ'!$B$6:$B$1005,$W6826)=0),COUNTIFS('①在庫を貼る'!$V$6:$V$10005,$V6826,'①在庫を貼る'!$W$6:$W$10005,$W6826)+COUNTIFS('月1回_1ヶ月前の在庫'!$V$6:$V$10005,$V6826,'月1回_1ヶ月前の在庫'!$W$6:$W$10005,$W6826)&gt;0),N(U6825),N(U6825)+1))</f>
        <v/>
      </c>
      <c r="V6826" s="19">
        <f>IF($B6826="","",TEXT($B6826,"0000"))</f>
        <v/>
      </c>
      <c r="W6826" s="19">
        <f>IF($I6826="","",IF(ISNUMBER($I6826),TEXT($I6826,"0"),$I6826))</f>
        <v/>
      </c>
    </row>
    <row r="6827">
      <c r="B6827" s="25" t="n"/>
      <c r="I6827" s="25" t="n"/>
      <c r="U6827" s="19">
        <f>IF($V6827&lt;&gt;'設定'!$C$4,N(U6826),IF(OR(NOT(COUNTIF('商品マスタ'!$B$6:$B$1005,$W6827)=0),COUNTIFS('①在庫を貼る'!$V$6:$V$10005,$V6827,'①在庫を貼る'!$W$6:$W$10005,$W6827)+COUNTIFS('月1回_1ヶ月前の在庫'!$V$6:$V$10005,$V6827,'月1回_1ヶ月前の在庫'!$W$6:$W$10005,$W6827)&gt;0),N(U6826),N(U6826)+1))</f>
        <v/>
      </c>
      <c r="V6827" s="19">
        <f>IF($B6827="","",TEXT($B6827,"0000"))</f>
        <v/>
      </c>
      <c r="W6827" s="19">
        <f>IF($I6827="","",IF(ISNUMBER($I6827),TEXT($I6827,"0"),$I6827))</f>
        <v/>
      </c>
    </row>
    <row r="6828">
      <c r="B6828" s="25" t="n"/>
      <c r="I6828" s="25" t="n"/>
      <c r="U6828" s="19">
        <f>IF($V6828&lt;&gt;'設定'!$C$4,N(U6827),IF(OR(NOT(COUNTIF('商品マスタ'!$B$6:$B$1005,$W6828)=0),COUNTIFS('①在庫を貼る'!$V$6:$V$10005,$V6828,'①在庫を貼る'!$W$6:$W$10005,$W6828)+COUNTIFS('月1回_1ヶ月前の在庫'!$V$6:$V$10005,$V6828,'月1回_1ヶ月前の在庫'!$W$6:$W$10005,$W6828)&gt;0),N(U6827),N(U6827)+1))</f>
        <v/>
      </c>
      <c r="V6828" s="19">
        <f>IF($B6828="","",TEXT($B6828,"0000"))</f>
        <v/>
      </c>
      <c r="W6828" s="19">
        <f>IF($I6828="","",IF(ISNUMBER($I6828),TEXT($I6828,"0"),$I6828))</f>
        <v/>
      </c>
    </row>
    <row r="6829">
      <c r="B6829" s="25" t="n"/>
      <c r="I6829" s="25" t="n"/>
      <c r="U6829" s="19">
        <f>IF($V6829&lt;&gt;'設定'!$C$4,N(U6828),IF(OR(NOT(COUNTIF('商品マスタ'!$B$6:$B$1005,$W6829)=0),COUNTIFS('①在庫を貼る'!$V$6:$V$10005,$V6829,'①在庫を貼る'!$W$6:$W$10005,$W6829)+COUNTIFS('月1回_1ヶ月前の在庫'!$V$6:$V$10005,$V6829,'月1回_1ヶ月前の在庫'!$W$6:$W$10005,$W6829)&gt;0),N(U6828),N(U6828)+1))</f>
        <v/>
      </c>
      <c r="V6829" s="19">
        <f>IF($B6829="","",TEXT($B6829,"0000"))</f>
        <v/>
      </c>
      <c r="W6829" s="19">
        <f>IF($I6829="","",IF(ISNUMBER($I6829),TEXT($I6829,"0"),$I6829))</f>
        <v/>
      </c>
    </row>
    <row r="6830">
      <c r="B6830" s="25" t="n"/>
      <c r="I6830" s="25" t="n"/>
      <c r="U6830" s="19">
        <f>IF($V6830&lt;&gt;'設定'!$C$4,N(U6829),IF(OR(NOT(COUNTIF('商品マスタ'!$B$6:$B$1005,$W6830)=0),COUNTIFS('①在庫を貼る'!$V$6:$V$10005,$V6830,'①在庫を貼る'!$W$6:$W$10005,$W6830)+COUNTIFS('月1回_1ヶ月前の在庫'!$V$6:$V$10005,$V6830,'月1回_1ヶ月前の在庫'!$W$6:$W$10005,$W6830)&gt;0),N(U6829),N(U6829)+1))</f>
        <v/>
      </c>
      <c r="V6830" s="19">
        <f>IF($B6830="","",TEXT($B6830,"0000"))</f>
        <v/>
      </c>
      <c r="W6830" s="19">
        <f>IF($I6830="","",IF(ISNUMBER($I6830),TEXT($I6830,"0"),$I6830))</f>
        <v/>
      </c>
    </row>
    <row r="6831">
      <c r="B6831" s="25" t="n"/>
      <c r="I6831" s="25" t="n"/>
      <c r="U6831" s="19">
        <f>IF($V6831&lt;&gt;'設定'!$C$4,N(U6830),IF(OR(NOT(COUNTIF('商品マスタ'!$B$6:$B$1005,$W6831)=0),COUNTIFS('①在庫を貼る'!$V$6:$V$10005,$V6831,'①在庫を貼る'!$W$6:$W$10005,$W6831)+COUNTIFS('月1回_1ヶ月前の在庫'!$V$6:$V$10005,$V6831,'月1回_1ヶ月前の在庫'!$W$6:$W$10005,$W6831)&gt;0),N(U6830),N(U6830)+1))</f>
        <v/>
      </c>
      <c r="V6831" s="19">
        <f>IF($B6831="","",TEXT($B6831,"0000"))</f>
        <v/>
      </c>
      <c r="W6831" s="19">
        <f>IF($I6831="","",IF(ISNUMBER($I6831),TEXT($I6831,"0"),$I6831))</f>
        <v/>
      </c>
    </row>
    <row r="6832">
      <c r="B6832" s="25" t="n"/>
      <c r="I6832" s="25" t="n"/>
      <c r="U6832" s="19">
        <f>IF($V6832&lt;&gt;'設定'!$C$4,N(U6831),IF(OR(NOT(COUNTIF('商品マスタ'!$B$6:$B$1005,$W6832)=0),COUNTIFS('①在庫を貼る'!$V$6:$V$10005,$V6832,'①在庫を貼る'!$W$6:$W$10005,$W6832)+COUNTIFS('月1回_1ヶ月前の在庫'!$V$6:$V$10005,$V6832,'月1回_1ヶ月前の在庫'!$W$6:$W$10005,$W6832)&gt;0),N(U6831),N(U6831)+1))</f>
        <v/>
      </c>
      <c r="V6832" s="19">
        <f>IF($B6832="","",TEXT($B6832,"0000"))</f>
        <v/>
      </c>
      <c r="W6832" s="19">
        <f>IF($I6832="","",IF(ISNUMBER($I6832),TEXT($I6832,"0"),$I6832))</f>
        <v/>
      </c>
    </row>
    <row r="6833">
      <c r="B6833" s="25" t="n"/>
      <c r="I6833" s="25" t="n"/>
      <c r="U6833" s="19">
        <f>IF($V6833&lt;&gt;'設定'!$C$4,N(U6832),IF(OR(NOT(COUNTIF('商品マスタ'!$B$6:$B$1005,$W6833)=0),COUNTIFS('①在庫を貼る'!$V$6:$V$10005,$V6833,'①在庫を貼る'!$W$6:$W$10005,$W6833)+COUNTIFS('月1回_1ヶ月前の在庫'!$V$6:$V$10005,$V6833,'月1回_1ヶ月前の在庫'!$W$6:$W$10005,$W6833)&gt;0),N(U6832),N(U6832)+1))</f>
        <v/>
      </c>
      <c r="V6833" s="19">
        <f>IF($B6833="","",TEXT($B6833,"0000"))</f>
        <v/>
      </c>
      <c r="W6833" s="19">
        <f>IF($I6833="","",IF(ISNUMBER($I6833),TEXT($I6833,"0"),$I6833))</f>
        <v/>
      </c>
    </row>
    <row r="6834">
      <c r="B6834" s="25" t="n"/>
      <c r="I6834" s="25" t="n"/>
      <c r="U6834" s="19">
        <f>IF($V6834&lt;&gt;'設定'!$C$4,N(U6833),IF(OR(NOT(COUNTIF('商品マスタ'!$B$6:$B$1005,$W6834)=0),COUNTIFS('①在庫を貼る'!$V$6:$V$10005,$V6834,'①在庫を貼る'!$W$6:$W$10005,$W6834)+COUNTIFS('月1回_1ヶ月前の在庫'!$V$6:$V$10005,$V6834,'月1回_1ヶ月前の在庫'!$W$6:$W$10005,$W6834)&gt;0),N(U6833),N(U6833)+1))</f>
        <v/>
      </c>
      <c r="V6834" s="19">
        <f>IF($B6834="","",TEXT($B6834,"0000"))</f>
        <v/>
      </c>
      <c r="W6834" s="19">
        <f>IF($I6834="","",IF(ISNUMBER($I6834),TEXT($I6834,"0"),$I6834))</f>
        <v/>
      </c>
    </row>
    <row r="6835">
      <c r="B6835" s="25" t="n"/>
      <c r="I6835" s="25" t="n"/>
      <c r="U6835" s="19">
        <f>IF($V6835&lt;&gt;'設定'!$C$4,N(U6834),IF(OR(NOT(COUNTIF('商品マスタ'!$B$6:$B$1005,$W6835)=0),COUNTIFS('①在庫を貼る'!$V$6:$V$10005,$V6835,'①在庫を貼る'!$W$6:$W$10005,$W6835)+COUNTIFS('月1回_1ヶ月前の在庫'!$V$6:$V$10005,$V6835,'月1回_1ヶ月前の在庫'!$W$6:$W$10005,$W6835)&gt;0),N(U6834),N(U6834)+1))</f>
        <v/>
      </c>
      <c r="V6835" s="19">
        <f>IF($B6835="","",TEXT($B6835,"0000"))</f>
        <v/>
      </c>
      <c r="W6835" s="19">
        <f>IF($I6835="","",IF(ISNUMBER($I6835),TEXT($I6835,"0"),$I6835))</f>
        <v/>
      </c>
    </row>
    <row r="6836">
      <c r="B6836" s="25" t="n"/>
      <c r="I6836" s="25" t="n"/>
      <c r="U6836" s="19">
        <f>IF($V6836&lt;&gt;'設定'!$C$4,N(U6835),IF(OR(NOT(COUNTIF('商品マスタ'!$B$6:$B$1005,$W6836)=0),COUNTIFS('①在庫を貼る'!$V$6:$V$10005,$V6836,'①在庫を貼る'!$W$6:$W$10005,$W6836)+COUNTIFS('月1回_1ヶ月前の在庫'!$V$6:$V$10005,$V6836,'月1回_1ヶ月前の在庫'!$W$6:$W$10005,$W6836)&gt;0),N(U6835),N(U6835)+1))</f>
        <v/>
      </c>
      <c r="V6836" s="19">
        <f>IF($B6836="","",TEXT($B6836,"0000"))</f>
        <v/>
      </c>
      <c r="W6836" s="19">
        <f>IF($I6836="","",IF(ISNUMBER($I6836),TEXT($I6836,"0"),$I6836))</f>
        <v/>
      </c>
    </row>
    <row r="6837">
      <c r="B6837" s="25" t="n"/>
      <c r="I6837" s="25" t="n"/>
      <c r="U6837" s="19">
        <f>IF($V6837&lt;&gt;'設定'!$C$4,N(U6836),IF(OR(NOT(COUNTIF('商品マスタ'!$B$6:$B$1005,$W6837)=0),COUNTIFS('①在庫を貼る'!$V$6:$V$10005,$V6837,'①在庫を貼る'!$W$6:$W$10005,$W6837)+COUNTIFS('月1回_1ヶ月前の在庫'!$V$6:$V$10005,$V6837,'月1回_1ヶ月前の在庫'!$W$6:$W$10005,$W6837)&gt;0),N(U6836),N(U6836)+1))</f>
        <v/>
      </c>
      <c r="V6837" s="19">
        <f>IF($B6837="","",TEXT($B6837,"0000"))</f>
        <v/>
      </c>
      <c r="W6837" s="19">
        <f>IF($I6837="","",IF(ISNUMBER($I6837),TEXT($I6837,"0"),$I6837))</f>
        <v/>
      </c>
    </row>
    <row r="6838">
      <c r="B6838" s="25" t="n"/>
      <c r="I6838" s="25" t="n"/>
      <c r="U6838" s="19">
        <f>IF($V6838&lt;&gt;'設定'!$C$4,N(U6837),IF(OR(NOT(COUNTIF('商品マスタ'!$B$6:$B$1005,$W6838)=0),COUNTIFS('①在庫を貼る'!$V$6:$V$10005,$V6838,'①在庫を貼る'!$W$6:$W$10005,$W6838)+COUNTIFS('月1回_1ヶ月前の在庫'!$V$6:$V$10005,$V6838,'月1回_1ヶ月前の在庫'!$W$6:$W$10005,$W6838)&gt;0),N(U6837),N(U6837)+1))</f>
        <v/>
      </c>
      <c r="V6838" s="19">
        <f>IF($B6838="","",TEXT($B6838,"0000"))</f>
        <v/>
      </c>
      <c r="W6838" s="19">
        <f>IF($I6838="","",IF(ISNUMBER($I6838),TEXT($I6838,"0"),$I6838))</f>
        <v/>
      </c>
    </row>
    <row r="6839">
      <c r="B6839" s="25" t="n"/>
      <c r="I6839" s="25" t="n"/>
      <c r="U6839" s="19">
        <f>IF($V6839&lt;&gt;'設定'!$C$4,N(U6838),IF(OR(NOT(COUNTIF('商品マスタ'!$B$6:$B$1005,$W6839)=0),COUNTIFS('①在庫を貼る'!$V$6:$V$10005,$V6839,'①在庫を貼る'!$W$6:$W$10005,$W6839)+COUNTIFS('月1回_1ヶ月前の在庫'!$V$6:$V$10005,$V6839,'月1回_1ヶ月前の在庫'!$W$6:$W$10005,$W6839)&gt;0),N(U6838),N(U6838)+1))</f>
        <v/>
      </c>
      <c r="V6839" s="19">
        <f>IF($B6839="","",TEXT($B6839,"0000"))</f>
        <v/>
      </c>
      <c r="W6839" s="19">
        <f>IF($I6839="","",IF(ISNUMBER($I6839),TEXT($I6839,"0"),$I6839))</f>
        <v/>
      </c>
    </row>
    <row r="6840">
      <c r="B6840" s="25" t="n"/>
      <c r="I6840" s="25" t="n"/>
      <c r="U6840" s="19">
        <f>IF($V6840&lt;&gt;'設定'!$C$4,N(U6839),IF(OR(NOT(COUNTIF('商品マスタ'!$B$6:$B$1005,$W6840)=0),COUNTIFS('①在庫を貼る'!$V$6:$V$10005,$V6840,'①在庫を貼る'!$W$6:$W$10005,$W6840)+COUNTIFS('月1回_1ヶ月前の在庫'!$V$6:$V$10005,$V6840,'月1回_1ヶ月前の在庫'!$W$6:$W$10005,$W6840)&gt;0),N(U6839),N(U6839)+1))</f>
        <v/>
      </c>
      <c r="V6840" s="19">
        <f>IF($B6840="","",TEXT($B6840,"0000"))</f>
        <v/>
      </c>
      <c r="W6840" s="19">
        <f>IF($I6840="","",IF(ISNUMBER($I6840),TEXT($I6840,"0"),$I6840))</f>
        <v/>
      </c>
    </row>
    <row r="6841">
      <c r="B6841" s="25" t="n"/>
      <c r="I6841" s="25" t="n"/>
      <c r="U6841" s="19">
        <f>IF($V6841&lt;&gt;'設定'!$C$4,N(U6840),IF(OR(NOT(COUNTIF('商品マスタ'!$B$6:$B$1005,$W6841)=0),COUNTIFS('①在庫を貼る'!$V$6:$V$10005,$V6841,'①在庫を貼る'!$W$6:$W$10005,$W6841)+COUNTIFS('月1回_1ヶ月前の在庫'!$V$6:$V$10005,$V6841,'月1回_1ヶ月前の在庫'!$W$6:$W$10005,$W6841)&gt;0),N(U6840),N(U6840)+1))</f>
        <v/>
      </c>
      <c r="V6841" s="19">
        <f>IF($B6841="","",TEXT($B6841,"0000"))</f>
        <v/>
      </c>
      <c r="W6841" s="19">
        <f>IF($I6841="","",IF(ISNUMBER($I6841),TEXT($I6841,"0"),$I6841))</f>
        <v/>
      </c>
    </row>
    <row r="6842">
      <c r="B6842" s="25" t="n"/>
      <c r="I6842" s="25" t="n"/>
      <c r="U6842" s="19">
        <f>IF($V6842&lt;&gt;'設定'!$C$4,N(U6841),IF(OR(NOT(COUNTIF('商品マスタ'!$B$6:$B$1005,$W6842)=0),COUNTIFS('①在庫を貼る'!$V$6:$V$10005,$V6842,'①在庫を貼る'!$W$6:$W$10005,$W6842)+COUNTIFS('月1回_1ヶ月前の在庫'!$V$6:$V$10005,$V6842,'月1回_1ヶ月前の在庫'!$W$6:$W$10005,$W6842)&gt;0),N(U6841),N(U6841)+1))</f>
        <v/>
      </c>
      <c r="V6842" s="19">
        <f>IF($B6842="","",TEXT($B6842,"0000"))</f>
        <v/>
      </c>
      <c r="W6842" s="19">
        <f>IF($I6842="","",IF(ISNUMBER($I6842),TEXT($I6842,"0"),$I6842))</f>
        <v/>
      </c>
    </row>
    <row r="6843">
      <c r="B6843" s="25" t="n"/>
      <c r="I6843" s="25" t="n"/>
      <c r="U6843" s="19">
        <f>IF($V6843&lt;&gt;'設定'!$C$4,N(U6842),IF(OR(NOT(COUNTIF('商品マスタ'!$B$6:$B$1005,$W6843)=0),COUNTIFS('①在庫を貼る'!$V$6:$V$10005,$V6843,'①在庫を貼る'!$W$6:$W$10005,$W6843)+COUNTIFS('月1回_1ヶ月前の在庫'!$V$6:$V$10005,$V6843,'月1回_1ヶ月前の在庫'!$W$6:$W$10005,$W6843)&gt;0),N(U6842),N(U6842)+1))</f>
        <v/>
      </c>
      <c r="V6843" s="19">
        <f>IF($B6843="","",TEXT($B6843,"0000"))</f>
        <v/>
      </c>
      <c r="W6843" s="19">
        <f>IF($I6843="","",IF(ISNUMBER($I6843),TEXT($I6843,"0"),$I6843))</f>
        <v/>
      </c>
    </row>
    <row r="6844">
      <c r="B6844" s="25" t="n"/>
      <c r="I6844" s="25" t="n"/>
      <c r="U6844" s="19">
        <f>IF($V6844&lt;&gt;'設定'!$C$4,N(U6843),IF(OR(NOT(COUNTIF('商品マスタ'!$B$6:$B$1005,$W6844)=0),COUNTIFS('①在庫を貼る'!$V$6:$V$10005,$V6844,'①在庫を貼る'!$W$6:$W$10005,$W6844)+COUNTIFS('月1回_1ヶ月前の在庫'!$V$6:$V$10005,$V6844,'月1回_1ヶ月前の在庫'!$W$6:$W$10005,$W6844)&gt;0),N(U6843),N(U6843)+1))</f>
        <v/>
      </c>
      <c r="V6844" s="19">
        <f>IF($B6844="","",TEXT($B6844,"0000"))</f>
        <v/>
      </c>
      <c r="W6844" s="19">
        <f>IF($I6844="","",IF(ISNUMBER($I6844),TEXT($I6844,"0"),$I6844))</f>
        <v/>
      </c>
    </row>
    <row r="6845">
      <c r="B6845" s="25" t="n"/>
      <c r="I6845" s="25" t="n"/>
      <c r="U6845" s="19">
        <f>IF($V6845&lt;&gt;'設定'!$C$4,N(U6844),IF(OR(NOT(COUNTIF('商品マスタ'!$B$6:$B$1005,$W6845)=0),COUNTIFS('①在庫を貼る'!$V$6:$V$10005,$V6845,'①在庫を貼る'!$W$6:$W$10005,$W6845)+COUNTIFS('月1回_1ヶ月前の在庫'!$V$6:$V$10005,$V6845,'月1回_1ヶ月前の在庫'!$W$6:$W$10005,$W6845)&gt;0),N(U6844),N(U6844)+1))</f>
        <v/>
      </c>
      <c r="V6845" s="19">
        <f>IF($B6845="","",TEXT($B6845,"0000"))</f>
        <v/>
      </c>
      <c r="W6845" s="19">
        <f>IF($I6845="","",IF(ISNUMBER($I6845),TEXT($I6845,"0"),$I6845))</f>
        <v/>
      </c>
    </row>
    <row r="6846">
      <c r="B6846" s="25" t="n"/>
      <c r="I6846" s="25" t="n"/>
      <c r="U6846" s="19">
        <f>IF($V6846&lt;&gt;'設定'!$C$4,N(U6845),IF(OR(NOT(COUNTIF('商品マスタ'!$B$6:$B$1005,$W6846)=0),COUNTIFS('①在庫を貼る'!$V$6:$V$10005,$V6846,'①在庫を貼る'!$W$6:$W$10005,$W6846)+COUNTIFS('月1回_1ヶ月前の在庫'!$V$6:$V$10005,$V6846,'月1回_1ヶ月前の在庫'!$W$6:$W$10005,$W6846)&gt;0),N(U6845),N(U6845)+1))</f>
        <v/>
      </c>
      <c r="V6846" s="19">
        <f>IF($B6846="","",TEXT($B6846,"0000"))</f>
        <v/>
      </c>
      <c r="W6846" s="19">
        <f>IF($I6846="","",IF(ISNUMBER($I6846),TEXT($I6846,"0"),$I6846))</f>
        <v/>
      </c>
    </row>
    <row r="6847">
      <c r="B6847" s="25" t="n"/>
      <c r="I6847" s="25" t="n"/>
      <c r="U6847" s="19">
        <f>IF($V6847&lt;&gt;'設定'!$C$4,N(U6846),IF(OR(NOT(COUNTIF('商品マスタ'!$B$6:$B$1005,$W6847)=0),COUNTIFS('①在庫を貼る'!$V$6:$V$10005,$V6847,'①在庫を貼る'!$W$6:$W$10005,$W6847)+COUNTIFS('月1回_1ヶ月前の在庫'!$V$6:$V$10005,$V6847,'月1回_1ヶ月前の在庫'!$W$6:$W$10005,$W6847)&gt;0),N(U6846),N(U6846)+1))</f>
        <v/>
      </c>
      <c r="V6847" s="19">
        <f>IF($B6847="","",TEXT($B6847,"0000"))</f>
        <v/>
      </c>
      <c r="W6847" s="19">
        <f>IF($I6847="","",IF(ISNUMBER($I6847),TEXT($I6847,"0"),$I6847))</f>
        <v/>
      </c>
    </row>
    <row r="6848">
      <c r="B6848" s="25" t="n"/>
      <c r="I6848" s="25" t="n"/>
      <c r="U6848" s="19">
        <f>IF($V6848&lt;&gt;'設定'!$C$4,N(U6847),IF(OR(NOT(COUNTIF('商品マスタ'!$B$6:$B$1005,$W6848)=0),COUNTIFS('①在庫を貼る'!$V$6:$V$10005,$V6848,'①在庫を貼る'!$W$6:$W$10005,$W6848)+COUNTIFS('月1回_1ヶ月前の在庫'!$V$6:$V$10005,$V6848,'月1回_1ヶ月前の在庫'!$W$6:$W$10005,$W6848)&gt;0),N(U6847),N(U6847)+1))</f>
        <v/>
      </c>
      <c r="V6848" s="19">
        <f>IF($B6848="","",TEXT($B6848,"0000"))</f>
        <v/>
      </c>
      <c r="W6848" s="19">
        <f>IF($I6848="","",IF(ISNUMBER($I6848),TEXT($I6848,"0"),$I6848))</f>
        <v/>
      </c>
    </row>
    <row r="6849">
      <c r="B6849" s="25" t="n"/>
      <c r="I6849" s="25" t="n"/>
      <c r="U6849" s="19">
        <f>IF($V6849&lt;&gt;'設定'!$C$4,N(U6848),IF(OR(NOT(COUNTIF('商品マスタ'!$B$6:$B$1005,$W6849)=0),COUNTIFS('①在庫を貼る'!$V$6:$V$10005,$V6849,'①在庫を貼る'!$W$6:$W$10005,$W6849)+COUNTIFS('月1回_1ヶ月前の在庫'!$V$6:$V$10005,$V6849,'月1回_1ヶ月前の在庫'!$W$6:$W$10005,$W6849)&gt;0),N(U6848),N(U6848)+1))</f>
        <v/>
      </c>
      <c r="V6849" s="19">
        <f>IF($B6849="","",TEXT($B6849,"0000"))</f>
        <v/>
      </c>
      <c r="W6849" s="19">
        <f>IF($I6849="","",IF(ISNUMBER($I6849),TEXT($I6849,"0"),$I6849))</f>
        <v/>
      </c>
    </row>
    <row r="6850">
      <c r="B6850" s="25" t="n"/>
      <c r="I6850" s="25" t="n"/>
      <c r="U6850" s="19">
        <f>IF($V6850&lt;&gt;'設定'!$C$4,N(U6849),IF(OR(NOT(COUNTIF('商品マスタ'!$B$6:$B$1005,$W6850)=0),COUNTIFS('①在庫を貼る'!$V$6:$V$10005,$V6850,'①在庫を貼る'!$W$6:$W$10005,$W6850)+COUNTIFS('月1回_1ヶ月前の在庫'!$V$6:$V$10005,$V6850,'月1回_1ヶ月前の在庫'!$W$6:$W$10005,$W6850)&gt;0),N(U6849),N(U6849)+1))</f>
        <v/>
      </c>
      <c r="V6850" s="19">
        <f>IF($B6850="","",TEXT($B6850,"0000"))</f>
        <v/>
      </c>
      <c r="W6850" s="19">
        <f>IF($I6850="","",IF(ISNUMBER($I6850),TEXT($I6850,"0"),$I6850))</f>
        <v/>
      </c>
    </row>
    <row r="6851">
      <c r="B6851" s="25" t="n"/>
      <c r="I6851" s="25" t="n"/>
      <c r="U6851" s="19">
        <f>IF($V6851&lt;&gt;'設定'!$C$4,N(U6850),IF(OR(NOT(COUNTIF('商品マスタ'!$B$6:$B$1005,$W6851)=0),COUNTIFS('①在庫を貼る'!$V$6:$V$10005,$V6851,'①在庫を貼る'!$W$6:$W$10005,$W6851)+COUNTIFS('月1回_1ヶ月前の在庫'!$V$6:$V$10005,$V6851,'月1回_1ヶ月前の在庫'!$W$6:$W$10005,$W6851)&gt;0),N(U6850),N(U6850)+1))</f>
        <v/>
      </c>
      <c r="V6851" s="19">
        <f>IF($B6851="","",TEXT($B6851,"0000"))</f>
        <v/>
      </c>
      <c r="W6851" s="19">
        <f>IF($I6851="","",IF(ISNUMBER($I6851),TEXT($I6851,"0"),$I6851))</f>
        <v/>
      </c>
    </row>
    <row r="6852">
      <c r="B6852" s="25" t="n"/>
      <c r="I6852" s="25" t="n"/>
      <c r="U6852" s="19">
        <f>IF($V6852&lt;&gt;'設定'!$C$4,N(U6851),IF(OR(NOT(COUNTIF('商品マスタ'!$B$6:$B$1005,$W6852)=0),COUNTIFS('①在庫を貼る'!$V$6:$V$10005,$V6852,'①在庫を貼る'!$W$6:$W$10005,$W6852)+COUNTIFS('月1回_1ヶ月前の在庫'!$V$6:$V$10005,$V6852,'月1回_1ヶ月前の在庫'!$W$6:$W$10005,$W6852)&gt;0),N(U6851),N(U6851)+1))</f>
        <v/>
      </c>
      <c r="V6852" s="19">
        <f>IF($B6852="","",TEXT($B6852,"0000"))</f>
        <v/>
      </c>
      <c r="W6852" s="19">
        <f>IF($I6852="","",IF(ISNUMBER($I6852),TEXT($I6852,"0"),$I6852))</f>
        <v/>
      </c>
    </row>
    <row r="6853">
      <c r="B6853" s="25" t="n"/>
      <c r="I6853" s="25" t="n"/>
      <c r="U6853" s="19">
        <f>IF($V6853&lt;&gt;'設定'!$C$4,N(U6852),IF(OR(NOT(COUNTIF('商品マスタ'!$B$6:$B$1005,$W6853)=0),COUNTIFS('①在庫を貼る'!$V$6:$V$10005,$V6853,'①在庫を貼る'!$W$6:$W$10005,$W6853)+COUNTIFS('月1回_1ヶ月前の在庫'!$V$6:$V$10005,$V6853,'月1回_1ヶ月前の在庫'!$W$6:$W$10005,$W6853)&gt;0),N(U6852),N(U6852)+1))</f>
        <v/>
      </c>
      <c r="V6853" s="19">
        <f>IF($B6853="","",TEXT($B6853,"0000"))</f>
        <v/>
      </c>
      <c r="W6853" s="19">
        <f>IF($I6853="","",IF(ISNUMBER($I6853),TEXT($I6853,"0"),$I6853))</f>
        <v/>
      </c>
    </row>
    <row r="6854">
      <c r="B6854" s="25" t="n"/>
      <c r="I6854" s="25" t="n"/>
      <c r="U6854" s="19">
        <f>IF($V6854&lt;&gt;'設定'!$C$4,N(U6853),IF(OR(NOT(COUNTIF('商品マスタ'!$B$6:$B$1005,$W6854)=0),COUNTIFS('①在庫を貼る'!$V$6:$V$10005,$V6854,'①在庫を貼る'!$W$6:$W$10005,$W6854)+COUNTIFS('月1回_1ヶ月前の在庫'!$V$6:$V$10005,$V6854,'月1回_1ヶ月前の在庫'!$W$6:$W$10005,$W6854)&gt;0),N(U6853),N(U6853)+1))</f>
        <v/>
      </c>
      <c r="V6854" s="19">
        <f>IF($B6854="","",TEXT($B6854,"0000"))</f>
        <v/>
      </c>
      <c r="W6854" s="19">
        <f>IF($I6854="","",IF(ISNUMBER($I6854),TEXT($I6854,"0"),$I6854))</f>
        <v/>
      </c>
    </row>
    <row r="6855">
      <c r="B6855" s="25" t="n"/>
      <c r="I6855" s="25" t="n"/>
      <c r="U6855" s="19">
        <f>IF($V6855&lt;&gt;'設定'!$C$4,N(U6854),IF(OR(NOT(COUNTIF('商品マスタ'!$B$6:$B$1005,$W6855)=0),COUNTIFS('①在庫を貼る'!$V$6:$V$10005,$V6855,'①在庫を貼る'!$W$6:$W$10005,$W6855)+COUNTIFS('月1回_1ヶ月前の在庫'!$V$6:$V$10005,$V6855,'月1回_1ヶ月前の在庫'!$W$6:$W$10005,$W6855)&gt;0),N(U6854),N(U6854)+1))</f>
        <v/>
      </c>
      <c r="V6855" s="19">
        <f>IF($B6855="","",TEXT($B6855,"0000"))</f>
        <v/>
      </c>
      <c r="W6855" s="19">
        <f>IF($I6855="","",IF(ISNUMBER($I6855),TEXT($I6855,"0"),$I6855))</f>
        <v/>
      </c>
    </row>
    <row r="6856">
      <c r="B6856" s="25" t="n"/>
      <c r="I6856" s="25" t="n"/>
      <c r="U6856" s="19">
        <f>IF($V6856&lt;&gt;'設定'!$C$4,N(U6855),IF(OR(NOT(COUNTIF('商品マスタ'!$B$6:$B$1005,$W6856)=0),COUNTIFS('①在庫を貼る'!$V$6:$V$10005,$V6856,'①在庫を貼る'!$W$6:$W$10005,$W6856)+COUNTIFS('月1回_1ヶ月前の在庫'!$V$6:$V$10005,$V6856,'月1回_1ヶ月前の在庫'!$W$6:$W$10005,$W6856)&gt;0),N(U6855),N(U6855)+1))</f>
        <v/>
      </c>
      <c r="V6856" s="19">
        <f>IF($B6856="","",TEXT($B6856,"0000"))</f>
        <v/>
      </c>
      <c r="W6856" s="19">
        <f>IF($I6856="","",IF(ISNUMBER($I6856),TEXT($I6856,"0"),$I6856))</f>
        <v/>
      </c>
    </row>
    <row r="6857">
      <c r="B6857" s="25" t="n"/>
      <c r="I6857" s="25" t="n"/>
      <c r="U6857" s="19">
        <f>IF($V6857&lt;&gt;'設定'!$C$4,N(U6856),IF(OR(NOT(COUNTIF('商品マスタ'!$B$6:$B$1005,$W6857)=0),COUNTIFS('①在庫を貼る'!$V$6:$V$10005,$V6857,'①在庫を貼る'!$W$6:$W$10005,$W6857)+COUNTIFS('月1回_1ヶ月前の在庫'!$V$6:$V$10005,$V6857,'月1回_1ヶ月前の在庫'!$W$6:$W$10005,$W6857)&gt;0),N(U6856),N(U6856)+1))</f>
        <v/>
      </c>
      <c r="V6857" s="19">
        <f>IF($B6857="","",TEXT($B6857,"0000"))</f>
        <v/>
      </c>
      <c r="W6857" s="19">
        <f>IF($I6857="","",IF(ISNUMBER($I6857),TEXT($I6857,"0"),$I6857))</f>
        <v/>
      </c>
    </row>
    <row r="6858">
      <c r="B6858" s="25" t="n"/>
      <c r="I6858" s="25" t="n"/>
      <c r="U6858" s="19">
        <f>IF($V6858&lt;&gt;'設定'!$C$4,N(U6857),IF(OR(NOT(COUNTIF('商品マスタ'!$B$6:$B$1005,$W6858)=0),COUNTIFS('①在庫を貼る'!$V$6:$V$10005,$V6858,'①在庫を貼る'!$W$6:$W$10005,$W6858)+COUNTIFS('月1回_1ヶ月前の在庫'!$V$6:$V$10005,$V6858,'月1回_1ヶ月前の在庫'!$W$6:$W$10005,$W6858)&gt;0),N(U6857),N(U6857)+1))</f>
        <v/>
      </c>
      <c r="V6858" s="19">
        <f>IF($B6858="","",TEXT($B6858,"0000"))</f>
        <v/>
      </c>
      <c r="W6858" s="19">
        <f>IF($I6858="","",IF(ISNUMBER($I6858),TEXT($I6858,"0"),$I6858))</f>
        <v/>
      </c>
    </row>
    <row r="6859">
      <c r="B6859" s="25" t="n"/>
      <c r="I6859" s="25" t="n"/>
      <c r="U6859" s="19">
        <f>IF($V6859&lt;&gt;'設定'!$C$4,N(U6858),IF(OR(NOT(COUNTIF('商品マスタ'!$B$6:$B$1005,$W6859)=0),COUNTIFS('①在庫を貼る'!$V$6:$V$10005,$V6859,'①在庫を貼る'!$W$6:$W$10005,$W6859)+COUNTIFS('月1回_1ヶ月前の在庫'!$V$6:$V$10005,$V6859,'月1回_1ヶ月前の在庫'!$W$6:$W$10005,$W6859)&gt;0),N(U6858),N(U6858)+1))</f>
        <v/>
      </c>
      <c r="V6859" s="19">
        <f>IF($B6859="","",TEXT($B6859,"0000"))</f>
        <v/>
      </c>
      <c r="W6859" s="19">
        <f>IF($I6859="","",IF(ISNUMBER($I6859),TEXT($I6859,"0"),$I6859))</f>
        <v/>
      </c>
    </row>
    <row r="6860">
      <c r="B6860" s="25" t="n"/>
      <c r="I6860" s="25" t="n"/>
      <c r="U6860" s="19">
        <f>IF($V6860&lt;&gt;'設定'!$C$4,N(U6859),IF(OR(NOT(COUNTIF('商品マスタ'!$B$6:$B$1005,$W6860)=0),COUNTIFS('①在庫を貼る'!$V$6:$V$10005,$V6860,'①在庫を貼る'!$W$6:$W$10005,$W6860)+COUNTIFS('月1回_1ヶ月前の在庫'!$V$6:$V$10005,$V6860,'月1回_1ヶ月前の在庫'!$W$6:$W$10005,$W6860)&gt;0),N(U6859),N(U6859)+1))</f>
        <v/>
      </c>
      <c r="V6860" s="19">
        <f>IF($B6860="","",TEXT($B6860,"0000"))</f>
        <v/>
      </c>
      <c r="W6860" s="19">
        <f>IF($I6860="","",IF(ISNUMBER($I6860),TEXT($I6860,"0"),$I6860))</f>
        <v/>
      </c>
    </row>
    <row r="6861">
      <c r="B6861" s="25" t="n"/>
      <c r="I6861" s="25" t="n"/>
      <c r="U6861" s="19">
        <f>IF($V6861&lt;&gt;'設定'!$C$4,N(U6860),IF(OR(NOT(COUNTIF('商品マスタ'!$B$6:$B$1005,$W6861)=0),COUNTIFS('①在庫を貼る'!$V$6:$V$10005,$V6861,'①在庫を貼る'!$W$6:$W$10005,$W6861)+COUNTIFS('月1回_1ヶ月前の在庫'!$V$6:$V$10005,$V6861,'月1回_1ヶ月前の在庫'!$W$6:$W$10005,$W6861)&gt;0),N(U6860),N(U6860)+1))</f>
        <v/>
      </c>
      <c r="V6861" s="19">
        <f>IF($B6861="","",TEXT($B6861,"0000"))</f>
        <v/>
      </c>
      <c r="W6861" s="19">
        <f>IF($I6861="","",IF(ISNUMBER($I6861),TEXT($I6861,"0"),$I6861))</f>
        <v/>
      </c>
    </row>
    <row r="6862">
      <c r="B6862" s="25" t="n"/>
      <c r="I6862" s="25" t="n"/>
      <c r="U6862" s="19">
        <f>IF($V6862&lt;&gt;'設定'!$C$4,N(U6861),IF(OR(NOT(COUNTIF('商品マスタ'!$B$6:$B$1005,$W6862)=0),COUNTIFS('①在庫を貼る'!$V$6:$V$10005,$V6862,'①在庫を貼る'!$W$6:$W$10005,$W6862)+COUNTIFS('月1回_1ヶ月前の在庫'!$V$6:$V$10005,$V6862,'月1回_1ヶ月前の在庫'!$W$6:$W$10005,$W6862)&gt;0),N(U6861),N(U6861)+1))</f>
        <v/>
      </c>
      <c r="V6862" s="19">
        <f>IF($B6862="","",TEXT($B6862,"0000"))</f>
        <v/>
      </c>
      <c r="W6862" s="19">
        <f>IF($I6862="","",IF(ISNUMBER($I6862),TEXT($I6862,"0"),$I6862))</f>
        <v/>
      </c>
    </row>
    <row r="6863">
      <c r="B6863" s="25" t="n"/>
      <c r="I6863" s="25" t="n"/>
      <c r="U6863" s="19">
        <f>IF($V6863&lt;&gt;'設定'!$C$4,N(U6862),IF(OR(NOT(COUNTIF('商品マスタ'!$B$6:$B$1005,$W6863)=0),COUNTIFS('①在庫を貼る'!$V$6:$V$10005,$V6863,'①在庫を貼る'!$W$6:$W$10005,$W6863)+COUNTIFS('月1回_1ヶ月前の在庫'!$V$6:$V$10005,$V6863,'月1回_1ヶ月前の在庫'!$W$6:$W$10005,$W6863)&gt;0),N(U6862),N(U6862)+1))</f>
        <v/>
      </c>
      <c r="V6863" s="19">
        <f>IF($B6863="","",TEXT($B6863,"0000"))</f>
        <v/>
      </c>
      <c r="W6863" s="19">
        <f>IF($I6863="","",IF(ISNUMBER($I6863),TEXT($I6863,"0"),$I6863))</f>
        <v/>
      </c>
    </row>
    <row r="6864">
      <c r="B6864" s="25" t="n"/>
      <c r="I6864" s="25" t="n"/>
      <c r="U6864" s="19">
        <f>IF($V6864&lt;&gt;'設定'!$C$4,N(U6863),IF(OR(NOT(COUNTIF('商品マスタ'!$B$6:$B$1005,$W6864)=0),COUNTIFS('①在庫を貼る'!$V$6:$V$10005,$V6864,'①在庫を貼る'!$W$6:$W$10005,$W6864)+COUNTIFS('月1回_1ヶ月前の在庫'!$V$6:$V$10005,$V6864,'月1回_1ヶ月前の在庫'!$W$6:$W$10005,$W6864)&gt;0),N(U6863),N(U6863)+1))</f>
        <v/>
      </c>
      <c r="V6864" s="19">
        <f>IF($B6864="","",TEXT($B6864,"0000"))</f>
        <v/>
      </c>
      <c r="W6864" s="19">
        <f>IF($I6864="","",IF(ISNUMBER($I6864),TEXT($I6864,"0"),$I6864))</f>
        <v/>
      </c>
    </row>
    <row r="6865">
      <c r="B6865" s="25" t="n"/>
      <c r="I6865" s="25" t="n"/>
      <c r="U6865" s="19">
        <f>IF($V6865&lt;&gt;'設定'!$C$4,N(U6864),IF(OR(NOT(COUNTIF('商品マスタ'!$B$6:$B$1005,$W6865)=0),COUNTIFS('①在庫を貼る'!$V$6:$V$10005,$V6865,'①在庫を貼る'!$W$6:$W$10005,$W6865)+COUNTIFS('月1回_1ヶ月前の在庫'!$V$6:$V$10005,$V6865,'月1回_1ヶ月前の在庫'!$W$6:$W$10005,$W6865)&gt;0),N(U6864),N(U6864)+1))</f>
        <v/>
      </c>
      <c r="V6865" s="19">
        <f>IF($B6865="","",TEXT($B6865,"0000"))</f>
        <v/>
      </c>
      <c r="W6865" s="19">
        <f>IF($I6865="","",IF(ISNUMBER($I6865),TEXT($I6865,"0"),$I6865))</f>
        <v/>
      </c>
    </row>
    <row r="6866">
      <c r="B6866" s="25" t="n"/>
      <c r="I6866" s="25" t="n"/>
      <c r="U6866" s="19">
        <f>IF($V6866&lt;&gt;'設定'!$C$4,N(U6865),IF(OR(NOT(COUNTIF('商品マスタ'!$B$6:$B$1005,$W6866)=0),COUNTIFS('①在庫を貼る'!$V$6:$V$10005,$V6866,'①在庫を貼る'!$W$6:$W$10005,$W6866)+COUNTIFS('月1回_1ヶ月前の在庫'!$V$6:$V$10005,$V6866,'月1回_1ヶ月前の在庫'!$W$6:$W$10005,$W6866)&gt;0),N(U6865),N(U6865)+1))</f>
        <v/>
      </c>
      <c r="V6866" s="19">
        <f>IF($B6866="","",TEXT($B6866,"0000"))</f>
        <v/>
      </c>
      <c r="W6866" s="19">
        <f>IF($I6866="","",IF(ISNUMBER($I6866),TEXT($I6866,"0"),$I6866))</f>
        <v/>
      </c>
    </row>
    <row r="6867">
      <c r="B6867" s="25" t="n"/>
      <c r="I6867" s="25" t="n"/>
      <c r="U6867" s="19">
        <f>IF($V6867&lt;&gt;'設定'!$C$4,N(U6866),IF(OR(NOT(COUNTIF('商品マスタ'!$B$6:$B$1005,$W6867)=0),COUNTIFS('①在庫を貼る'!$V$6:$V$10005,$V6867,'①在庫を貼る'!$W$6:$W$10005,$W6867)+COUNTIFS('月1回_1ヶ月前の在庫'!$V$6:$V$10005,$V6867,'月1回_1ヶ月前の在庫'!$W$6:$W$10005,$W6867)&gt;0),N(U6866),N(U6866)+1))</f>
        <v/>
      </c>
      <c r="V6867" s="19">
        <f>IF($B6867="","",TEXT($B6867,"0000"))</f>
        <v/>
      </c>
      <c r="W6867" s="19">
        <f>IF($I6867="","",IF(ISNUMBER($I6867),TEXT($I6867,"0"),$I6867))</f>
        <v/>
      </c>
    </row>
    <row r="6868">
      <c r="B6868" s="25" t="n"/>
      <c r="I6868" s="25" t="n"/>
      <c r="U6868" s="19">
        <f>IF($V6868&lt;&gt;'設定'!$C$4,N(U6867),IF(OR(NOT(COUNTIF('商品マスタ'!$B$6:$B$1005,$W6868)=0),COUNTIFS('①在庫を貼る'!$V$6:$V$10005,$V6868,'①在庫を貼る'!$W$6:$W$10005,$W6868)+COUNTIFS('月1回_1ヶ月前の在庫'!$V$6:$V$10005,$V6868,'月1回_1ヶ月前の在庫'!$W$6:$W$10005,$W6868)&gt;0),N(U6867),N(U6867)+1))</f>
        <v/>
      </c>
      <c r="V6868" s="19">
        <f>IF($B6868="","",TEXT($B6868,"0000"))</f>
        <v/>
      </c>
      <c r="W6868" s="19">
        <f>IF($I6868="","",IF(ISNUMBER($I6868),TEXT($I6868,"0"),$I6868))</f>
        <v/>
      </c>
    </row>
    <row r="6869">
      <c r="B6869" s="25" t="n"/>
      <c r="I6869" s="25" t="n"/>
      <c r="U6869" s="19">
        <f>IF($V6869&lt;&gt;'設定'!$C$4,N(U6868),IF(OR(NOT(COUNTIF('商品マスタ'!$B$6:$B$1005,$W6869)=0),COUNTIFS('①在庫を貼る'!$V$6:$V$10005,$V6869,'①在庫を貼る'!$W$6:$W$10005,$W6869)+COUNTIFS('月1回_1ヶ月前の在庫'!$V$6:$V$10005,$V6869,'月1回_1ヶ月前の在庫'!$W$6:$W$10005,$W6869)&gt;0),N(U6868),N(U6868)+1))</f>
        <v/>
      </c>
      <c r="V6869" s="19">
        <f>IF($B6869="","",TEXT($B6869,"0000"))</f>
        <v/>
      </c>
      <c r="W6869" s="19">
        <f>IF($I6869="","",IF(ISNUMBER($I6869),TEXT($I6869,"0"),$I6869))</f>
        <v/>
      </c>
    </row>
    <row r="6870">
      <c r="B6870" s="25" t="n"/>
      <c r="I6870" s="25" t="n"/>
      <c r="U6870" s="19">
        <f>IF($V6870&lt;&gt;'設定'!$C$4,N(U6869),IF(OR(NOT(COUNTIF('商品マスタ'!$B$6:$B$1005,$W6870)=0),COUNTIFS('①在庫を貼る'!$V$6:$V$10005,$V6870,'①在庫を貼る'!$W$6:$W$10005,$W6870)+COUNTIFS('月1回_1ヶ月前の在庫'!$V$6:$V$10005,$V6870,'月1回_1ヶ月前の在庫'!$W$6:$W$10005,$W6870)&gt;0),N(U6869),N(U6869)+1))</f>
        <v/>
      </c>
      <c r="V6870" s="19">
        <f>IF($B6870="","",TEXT($B6870,"0000"))</f>
        <v/>
      </c>
      <c r="W6870" s="19">
        <f>IF($I6870="","",IF(ISNUMBER($I6870),TEXT($I6870,"0"),$I6870))</f>
        <v/>
      </c>
    </row>
    <row r="6871">
      <c r="B6871" s="25" t="n"/>
      <c r="I6871" s="25" t="n"/>
      <c r="U6871" s="19">
        <f>IF($V6871&lt;&gt;'設定'!$C$4,N(U6870),IF(OR(NOT(COUNTIF('商品マスタ'!$B$6:$B$1005,$W6871)=0),COUNTIFS('①在庫を貼る'!$V$6:$V$10005,$V6871,'①在庫を貼る'!$W$6:$W$10005,$W6871)+COUNTIFS('月1回_1ヶ月前の在庫'!$V$6:$V$10005,$V6871,'月1回_1ヶ月前の在庫'!$W$6:$W$10005,$W6871)&gt;0),N(U6870),N(U6870)+1))</f>
        <v/>
      </c>
      <c r="V6871" s="19">
        <f>IF($B6871="","",TEXT($B6871,"0000"))</f>
        <v/>
      </c>
      <c r="W6871" s="19">
        <f>IF($I6871="","",IF(ISNUMBER($I6871),TEXT($I6871,"0"),$I6871))</f>
        <v/>
      </c>
    </row>
    <row r="6872">
      <c r="B6872" s="25" t="n"/>
      <c r="I6872" s="25" t="n"/>
      <c r="U6872" s="19">
        <f>IF($V6872&lt;&gt;'設定'!$C$4,N(U6871),IF(OR(NOT(COUNTIF('商品マスタ'!$B$6:$B$1005,$W6872)=0),COUNTIFS('①在庫を貼る'!$V$6:$V$10005,$V6872,'①在庫を貼る'!$W$6:$W$10005,$W6872)+COUNTIFS('月1回_1ヶ月前の在庫'!$V$6:$V$10005,$V6872,'月1回_1ヶ月前の在庫'!$W$6:$W$10005,$W6872)&gt;0),N(U6871),N(U6871)+1))</f>
        <v/>
      </c>
      <c r="V6872" s="19">
        <f>IF($B6872="","",TEXT($B6872,"0000"))</f>
        <v/>
      </c>
      <c r="W6872" s="19">
        <f>IF($I6872="","",IF(ISNUMBER($I6872),TEXT($I6872,"0"),$I6872))</f>
        <v/>
      </c>
    </row>
    <row r="6873">
      <c r="B6873" s="25" t="n"/>
      <c r="I6873" s="25" t="n"/>
      <c r="U6873" s="19">
        <f>IF($V6873&lt;&gt;'設定'!$C$4,N(U6872),IF(OR(NOT(COUNTIF('商品マスタ'!$B$6:$B$1005,$W6873)=0),COUNTIFS('①在庫を貼る'!$V$6:$V$10005,$V6873,'①在庫を貼る'!$W$6:$W$10005,$W6873)+COUNTIFS('月1回_1ヶ月前の在庫'!$V$6:$V$10005,$V6873,'月1回_1ヶ月前の在庫'!$W$6:$W$10005,$W6873)&gt;0),N(U6872),N(U6872)+1))</f>
        <v/>
      </c>
      <c r="V6873" s="19">
        <f>IF($B6873="","",TEXT($B6873,"0000"))</f>
        <v/>
      </c>
      <c r="W6873" s="19">
        <f>IF($I6873="","",IF(ISNUMBER($I6873),TEXT($I6873,"0"),$I6873))</f>
        <v/>
      </c>
    </row>
    <row r="6874">
      <c r="B6874" s="25" t="n"/>
      <c r="I6874" s="25" t="n"/>
      <c r="U6874" s="19">
        <f>IF($V6874&lt;&gt;'設定'!$C$4,N(U6873),IF(OR(NOT(COUNTIF('商品マスタ'!$B$6:$B$1005,$W6874)=0),COUNTIFS('①在庫を貼る'!$V$6:$V$10005,$V6874,'①在庫を貼る'!$W$6:$W$10005,$W6874)+COUNTIFS('月1回_1ヶ月前の在庫'!$V$6:$V$10005,$V6874,'月1回_1ヶ月前の在庫'!$W$6:$W$10005,$W6874)&gt;0),N(U6873),N(U6873)+1))</f>
        <v/>
      </c>
      <c r="V6874" s="19">
        <f>IF($B6874="","",TEXT($B6874,"0000"))</f>
        <v/>
      </c>
      <c r="W6874" s="19">
        <f>IF($I6874="","",IF(ISNUMBER($I6874),TEXT($I6874,"0"),$I6874))</f>
        <v/>
      </c>
    </row>
    <row r="6875">
      <c r="B6875" s="25" t="n"/>
      <c r="I6875" s="25" t="n"/>
      <c r="U6875" s="19">
        <f>IF($V6875&lt;&gt;'設定'!$C$4,N(U6874),IF(OR(NOT(COUNTIF('商品マスタ'!$B$6:$B$1005,$W6875)=0),COUNTIFS('①在庫を貼る'!$V$6:$V$10005,$V6875,'①在庫を貼る'!$W$6:$W$10005,$W6875)+COUNTIFS('月1回_1ヶ月前の在庫'!$V$6:$V$10005,$V6875,'月1回_1ヶ月前の在庫'!$W$6:$W$10005,$W6875)&gt;0),N(U6874),N(U6874)+1))</f>
        <v/>
      </c>
      <c r="V6875" s="19">
        <f>IF($B6875="","",TEXT($B6875,"0000"))</f>
        <v/>
      </c>
      <c r="W6875" s="19">
        <f>IF($I6875="","",IF(ISNUMBER($I6875),TEXT($I6875,"0"),$I6875))</f>
        <v/>
      </c>
    </row>
    <row r="6876">
      <c r="B6876" s="25" t="n"/>
      <c r="I6876" s="25" t="n"/>
      <c r="U6876" s="19">
        <f>IF($V6876&lt;&gt;'設定'!$C$4,N(U6875),IF(OR(NOT(COUNTIF('商品マスタ'!$B$6:$B$1005,$W6876)=0),COUNTIFS('①在庫を貼る'!$V$6:$V$10005,$V6876,'①在庫を貼る'!$W$6:$W$10005,$W6876)+COUNTIFS('月1回_1ヶ月前の在庫'!$V$6:$V$10005,$V6876,'月1回_1ヶ月前の在庫'!$W$6:$W$10005,$W6876)&gt;0),N(U6875),N(U6875)+1))</f>
        <v/>
      </c>
      <c r="V6876" s="19">
        <f>IF($B6876="","",TEXT($B6876,"0000"))</f>
        <v/>
      </c>
      <c r="W6876" s="19">
        <f>IF($I6876="","",IF(ISNUMBER($I6876),TEXT($I6876,"0"),$I6876))</f>
        <v/>
      </c>
    </row>
    <row r="6877">
      <c r="B6877" s="25" t="n"/>
      <c r="I6877" s="25" t="n"/>
      <c r="U6877" s="19">
        <f>IF($V6877&lt;&gt;'設定'!$C$4,N(U6876),IF(OR(NOT(COUNTIF('商品マスタ'!$B$6:$B$1005,$W6877)=0),COUNTIFS('①在庫を貼る'!$V$6:$V$10005,$V6877,'①在庫を貼る'!$W$6:$W$10005,$W6877)+COUNTIFS('月1回_1ヶ月前の在庫'!$V$6:$V$10005,$V6877,'月1回_1ヶ月前の在庫'!$W$6:$W$10005,$W6877)&gt;0),N(U6876),N(U6876)+1))</f>
        <v/>
      </c>
      <c r="V6877" s="19">
        <f>IF($B6877="","",TEXT($B6877,"0000"))</f>
        <v/>
      </c>
      <c r="W6877" s="19">
        <f>IF($I6877="","",IF(ISNUMBER($I6877),TEXT($I6877,"0"),$I6877))</f>
        <v/>
      </c>
    </row>
    <row r="6878">
      <c r="B6878" s="25" t="n"/>
      <c r="I6878" s="25" t="n"/>
      <c r="U6878" s="19">
        <f>IF($V6878&lt;&gt;'設定'!$C$4,N(U6877),IF(OR(NOT(COUNTIF('商品マスタ'!$B$6:$B$1005,$W6878)=0),COUNTIFS('①在庫を貼る'!$V$6:$V$10005,$V6878,'①在庫を貼る'!$W$6:$W$10005,$W6878)+COUNTIFS('月1回_1ヶ月前の在庫'!$V$6:$V$10005,$V6878,'月1回_1ヶ月前の在庫'!$W$6:$W$10005,$W6878)&gt;0),N(U6877),N(U6877)+1))</f>
        <v/>
      </c>
      <c r="V6878" s="19">
        <f>IF($B6878="","",TEXT($B6878,"0000"))</f>
        <v/>
      </c>
      <c r="W6878" s="19">
        <f>IF($I6878="","",IF(ISNUMBER($I6878),TEXT($I6878,"0"),$I6878))</f>
        <v/>
      </c>
    </row>
    <row r="6879">
      <c r="B6879" s="25" t="n"/>
      <c r="I6879" s="25" t="n"/>
      <c r="U6879" s="19">
        <f>IF($V6879&lt;&gt;'設定'!$C$4,N(U6878),IF(OR(NOT(COUNTIF('商品マスタ'!$B$6:$B$1005,$W6879)=0),COUNTIFS('①在庫を貼る'!$V$6:$V$10005,$V6879,'①在庫を貼る'!$W$6:$W$10005,$W6879)+COUNTIFS('月1回_1ヶ月前の在庫'!$V$6:$V$10005,$V6879,'月1回_1ヶ月前の在庫'!$W$6:$W$10005,$W6879)&gt;0),N(U6878),N(U6878)+1))</f>
        <v/>
      </c>
      <c r="V6879" s="19">
        <f>IF($B6879="","",TEXT($B6879,"0000"))</f>
        <v/>
      </c>
      <c r="W6879" s="19">
        <f>IF($I6879="","",IF(ISNUMBER($I6879),TEXT($I6879,"0"),$I6879))</f>
        <v/>
      </c>
    </row>
    <row r="6880">
      <c r="B6880" s="25" t="n"/>
      <c r="I6880" s="25" t="n"/>
      <c r="U6880" s="19">
        <f>IF($V6880&lt;&gt;'設定'!$C$4,N(U6879),IF(OR(NOT(COUNTIF('商品マスタ'!$B$6:$B$1005,$W6880)=0),COUNTIFS('①在庫を貼る'!$V$6:$V$10005,$V6880,'①在庫を貼る'!$W$6:$W$10005,$W6880)+COUNTIFS('月1回_1ヶ月前の在庫'!$V$6:$V$10005,$V6880,'月1回_1ヶ月前の在庫'!$W$6:$W$10005,$W6880)&gt;0),N(U6879),N(U6879)+1))</f>
        <v/>
      </c>
      <c r="V6880" s="19">
        <f>IF($B6880="","",TEXT($B6880,"0000"))</f>
        <v/>
      </c>
      <c r="W6880" s="19">
        <f>IF($I6880="","",IF(ISNUMBER($I6880),TEXT($I6880,"0"),$I6880))</f>
        <v/>
      </c>
    </row>
    <row r="6881">
      <c r="B6881" s="25" t="n"/>
      <c r="I6881" s="25" t="n"/>
      <c r="U6881" s="19">
        <f>IF($V6881&lt;&gt;'設定'!$C$4,N(U6880),IF(OR(NOT(COUNTIF('商品マスタ'!$B$6:$B$1005,$W6881)=0),COUNTIFS('①在庫を貼る'!$V$6:$V$10005,$V6881,'①在庫を貼る'!$W$6:$W$10005,$W6881)+COUNTIFS('月1回_1ヶ月前の在庫'!$V$6:$V$10005,$V6881,'月1回_1ヶ月前の在庫'!$W$6:$W$10005,$W6881)&gt;0),N(U6880),N(U6880)+1))</f>
        <v/>
      </c>
      <c r="V6881" s="19">
        <f>IF($B6881="","",TEXT($B6881,"0000"))</f>
        <v/>
      </c>
      <c r="W6881" s="19">
        <f>IF($I6881="","",IF(ISNUMBER($I6881),TEXT($I6881,"0"),$I6881))</f>
        <v/>
      </c>
    </row>
    <row r="6882">
      <c r="B6882" s="25" t="n"/>
      <c r="I6882" s="25" t="n"/>
      <c r="U6882" s="19">
        <f>IF($V6882&lt;&gt;'設定'!$C$4,N(U6881),IF(OR(NOT(COUNTIF('商品マスタ'!$B$6:$B$1005,$W6882)=0),COUNTIFS('①在庫を貼る'!$V$6:$V$10005,$V6882,'①在庫を貼る'!$W$6:$W$10005,$W6882)+COUNTIFS('月1回_1ヶ月前の在庫'!$V$6:$V$10005,$V6882,'月1回_1ヶ月前の在庫'!$W$6:$W$10005,$W6882)&gt;0),N(U6881),N(U6881)+1))</f>
        <v/>
      </c>
      <c r="V6882" s="19">
        <f>IF($B6882="","",TEXT($B6882,"0000"))</f>
        <v/>
      </c>
      <c r="W6882" s="19">
        <f>IF($I6882="","",IF(ISNUMBER($I6882),TEXT($I6882,"0"),$I6882))</f>
        <v/>
      </c>
    </row>
    <row r="6883">
      <c r="B6883" s="25" t="n"/>
      <c r="I6883" s="25" t="n"/>
      <c r="U6883" s="19">
        <f>IF($V6883&lt;&gt;'設定'!$C$4,N(U6882),IF(OR(NOT(COUNTIF('商品マスタ'!$B$6:$B$1005,$W6883)=0),COUNTIFS('①在庫を貼る'!$V$6:$V$10005,$V6883,'①在庫を貼る'!$W$6:$W$10005,$W6883)+COUNTIFS('月1回_1ヶ月前の在庫'!$V$6:$V$10005,$V6883,'月1回_1ヶ月前の在庫'!$W$6:$W$10005,$W6883)&gt;0),N(U6882),N(U6882)+1))</f>
        <v/>
      </c>
      <c r="V6883" s="19">
        <f>IF($B6883="","",TEXT($B6883,"0000"))</f>
        <v/>
      </c>
      <c r="W6883" s="19">
        <f>IF($I6883="","",IF(ISNUMBER($I6883),TEXT($I6883,"0"),$I6883))</f>
        <v/>
      </c>
    </row>
    <row r="6884">
      <c r="B6884" s="25" t="n"/>
      <c r="I6884" s="25" t="n"/>
      <c r="U6884" s="19">
        <f>IF($V6884&lt;&gt;'設定'!$C$4,N(U6883),IF(OR(NOT(COUNTIF('商品マスタ'!$B$6:$B$1005,$W6884)=0),COUNTIFS('①在庫を貼る'!$V$6:$V$10005,$V6884,'①在庫を貼る'!$W$6:$W$10005,$W6884)+COUNTIFS('月1回_1ヶ月前の在庫'!$V$6:$V$10005,$V6884,'月1回_1ヶ月前の在庫'!$W$6:$W$10005,$W6884)&gt;0),N(U6883),N(U6883)+1))</f>
        <v/>
      </c>
      <c r="V6884" s="19">
        <f>IF($B6884="","",TEXT($B6884,"0000"))</f>
        <v/>
      </c>
      <c r="W6884" s="19">
        <f>IF($I6884="","",IF(ISNUMBER($I6884),TEXT($I6884,"0"),$I6884))</f>
        <v/>
      </c>
    </row>
    <row r="6885">
      <c r="B6885" s="25" t="n"/>
      <c r="I6885" s="25" t="n"/>
      <c r="U6885" s="19">
        <f>IF($V6885&lt;&gt;'設定'!$C$4,N(U6884),IF(OR(NOT(COUNTIF('商品マスタ'!$B$6:$B$1005,$W6885)=0),COUNTIFS('①在庫を貼る'!$V$6:$V$10005,$V6885,'①在庫を貼る'!$W$6:$W$10005,$W6885)+COUNTIFS('月1回_1ヶ月前の在庫'!$V$6:$V$10005,$V6885,'月1回_1ヶ月前の在庫'!$W$6:$W$10005,$W6885)&gt;0),N(U6884),N(U6884)+1))</f>
        <v/>
      </c>
      <c r="V6885" s="19">
        <f>IF($B6885="","",TEXT($B6885,"0000"))</f>
        <v/>
      </c>
      <c r="W6885" s="19">
        <f>IF($I6885="","",IF(ISNUMBER($I6885),TEXT($I6885,"0"),$I6885))</f>
        <v/>
      </c>
    </row>
    <row r="6886">
      <c r="B6886" s="25" t="n"/>
      <c r="I6886" s="25" t="n"/>
      <c r="U6886" s="19">
        <f>IF($V6886&lt;&gt;'設定'!$C$4,N(U6885),IF(OR(NOT(COUNTIF('商品マスタ'!$B$6:$B$1005,$W6886)=0),COUNTIFS('①在庫を貼る'!$V$6:$V$10005,$V6886,'①在庫を貼る'!$W$6:$W$10005,$W6886)+COUNTIFS('月1回_1ヶ月前の在庫'!$V$6:$V$10005,$V6886,'月1回_1ヶ月前の在庫'!$W$6:$W$10005,$W6886)&gt;0),N(U6885),N(U6885)+1))</f>
        <v/>
      </c>
      <c r="V6886" s="19">
        <f>IF($B6886="","",TEXT($B6886,"0000"))</f>
        <v/>
      </c>
      <c r="W6886" s="19">
        <f>IF($I6886="","",IF(ISNUMBER($I6886),TEXT($I6886,"0"),$I6886))</f>
        <v/>
      </c>
    </row>
    <row r="6887">
      <c r="B6887" s="25" t="n"/>
      <c r="I6887" s="25" t="n"/>
      <c r="U6887" s="19">
        <f>IF($V6887&lt;&gt;'設定'!$C$4,N(U6886),IF(OR(NOT(COUNTIF('商品マスタ'!$B$6:$B$1005,$W6887)=0),COUNTIFS('①在庫を貼る'!$V$6:$V$10005,$V6887,'①在庫を貼る'!$W$6:$W$10005,$W6887)+COUNTIFS('月1回_1ヶ月前の在庫'!$V$6:$V$10005,$V6887,'月1回_1ヶ月前の在庫'!$W$6:$W$10005,$W6887)&gt;0),N(U6886),N(U6886)+1))</f>
        <v/>
      </c>
      <c r="V6887" s="19">
        <f>IF($B6887="","",TEXT($B6887,"0000"))</f>
        <v/>
      </c>
      <c r="W6887" s="19">
        <f>IF($I6887="","",IF(ISNUMBER($I6887),TEXT($I6887,"0"),$I6887))</f>
        <v/>
      </c>
    </row>
    <row r="6888">
      <c r="B6888" s="25" t="n"/>
      <c r="I6888" s="25" t="n"/>
      <c r="U6888" s="19">
        <f>IF($V6888&lt;&gt;'設定'!$C$4,N(U6887),IF(OR(NOT(COUNTIF('商品マスタ'!$B$6:$B$1005,$W6888)=0),COUNTIFS('①在庫を貼る'!$V$6:$V$10005,$V6888,'①在庫を貼る'!$W$6:$W$10005,$W6888)+COUNTIFS('月1回_1ヶ月前の在庫'!$V$6:$V$10005,$V6888,'月1回_1ヶ月前の在庫'!$W$6:$W$10005,$W6888)&gt;0),N(U6887),N(U6887)+1))</f>
        <v/>
      </c>
      <c r="V6888" s="19">
        <f>IF($B6888="","",TEXT($B6888,"0000"))</f>
        <v/>
      </c>
      <c r="W6888" s="19">
        <f>IF($I6888="","",IF(ISNUMBER($I6888),TEXT($I6888,"0"),$I6888))</f>
        <v/>
      </c>
    </row>
    <row r="6889">
      <c r="B6889" s="25" t="n"/>
      <c r="I6889" s="25" t="n"/>
      <c r="U6889" s="19">
        <f>IF($V6889&lt;&gt;'設定'!$C$4,N(U6888),IF(OR(NOT(COUNTIF('商品マスタ'!$B$6:$B$1005,$W6889)=0),COUNTIFS('①在庫を貼る'!$V$6:$V$10005,$V6889,'①在庫を貼る'!$W$6:$W$10005,$W6889)+COUNTIFS('月1回_1ヶ月前の在庫'!$V$6:$V$10005,$V6889,'月1回_1ヶ月前の在庫'!$W$6:$W$10005,$W6889)&gt;0),N(U6888),N(U6888)+1))</f>
        <v/>
      </c>
      <c r="V6889" s="19">
        <f>IF($B6889="","",TEXT($B6889,"0000"))</f>
        <v/>
      </c>
      <c r="W6889" s="19">
        <f>IF($I6889="","",IF(ISNUMBER($I6889),TEXT($I6889,"0"),$I6889))</f>
        <v/>
      </c>
    </row>
    <row r="6890">
      <c r="B6890" s="25" t="n"/>
      <c r="I6890" s="25" t="n"/>
      <c r="U6890" s="19">
        <f>IF($V6890&lt;&gt;'設定'!$C$4,N(U6889),IF(OR(NOT(COUNTIF('商品マスタ'!$B$6:$B$1005,$W6890)=0),COUNTIFS('①在庫を貼る'!$V$6:$V$10005,$V6890,'①在庫を貼る'!$W$6:$W$10005,$W6890)+COUNTIFS('月1回_1ヶ月前の在庫'!$V$6:$V$10005,$V6890,'月1回_1ヶ月前の在庫'!$W$6:$W$10005,$W6890)&gt;0),N(U6889),N(U6889)+1))</f>
        <v/>
      </c>
      <c r="V6890" s="19">
        <f>IF($B6890="","",TEXT($B6890,"0000"))</f>
        <v/>
      </c>
      <c r="W6890" s="19">
        <f>IF($I6890="","",IF(ISNUMBER($I6890),TEXT($I6890,"0"),$I6890))</f>
        <v/>
      </c>
    </row>
    <row r="6891">
      <c r="B6891" s="25" t="n"/>
      <c r="I6891" s="25" t="n"/>
      <c r="U6891" s="19">
        <f>IF($V6891&lt;&gt;'設定'!$C$4,N(U6890),IF(OR(NOT(COUNTIF('商品マスタ'!$B$6:$B$1005,$W6891)=0),COUNTIFS('①在庫を貼る'!$V$6:$V$10005,$V6891,'①在庫を貼る'!$W$6:$W$10005,$W6891)+COUNTIFS('月1回_1ヶ月前の在庫'!$V$6:$V$10005,$V6891,'月1回_1ヶ月前の在庫'!$W$6:$W$10005,$W6891)&gt;0),N(U6890),N(U6890)+1))</f>
        <v/>
      </c>
      <c r="V6891" s="19">
        <f>IF($B6891="","",TEXT($B6891,"0000"))</f>
        <v/>
      </c>
      <c r="W6891" s="19">
        <f>IF($I6891="","",IF(ISNUMBER($I6891),TEXT($I6891,"0"),$I6891))</f>
        <v/>
      </c>
    </row>
    <row r="6892">
      <c r="B6892" s="25" t="n"/>
      <c r="I6892" s="25" t="n"/>
      <c r="U6892" s="19">
        <f>IF($V6892&lt;&gt;'設定'!$C$4,N(U6891),IF(OR(NOT(COUNTIF('商品マスタ'!$B$6:$B$1005,$W6892)=0),COUNTIFS('①在庫を貼る'!$V$6:$V$10005,$V6892,'①在庫を貼る'!$W$6:$W$10005,$W6892)+COUNTIFS('月1回_1ヶ月前の在庫'!$V$6:$V$10005,$V6892,'月1回_1ヶ月前の在庫'!$W$6:$W$10005,$W6892)&gt;0),N(U6891),N(U6891)+1))</f>
        <v/>
      </c>
      <c r="V6892" s="19">
        <f>IF($B6892="","",TEXT($B6892,"0000"))</f>
        <v/>
      </c>
      <c r="W6892" s="19">
        <f>IF($I6892="","",IF(ISNUMBER($I6892),TEXT($I6892,"0"),$I6892))</f>
        <v/>
      </c>
    </row>
    <row r="6893">
      <c r="B6893" s="25" t="n"/>
      <c r="I6893" s="25" t="n"/>
      <c r="U6893" s="19">
        <f>IF($V6893&lt;&gt;'設定'!$C$4,N(U6892),IF(OR(NOT(COUNTIF('商品マスタ'!$B$6:$B$1005,$W6893)=0),COUNTIFS('①在庫を貼る'!$V$6:$V$10005,$V6893,'①在庫を貼る'!$W$6:$W$10005,$W6893)+COUNTIFS('月1回_1ヶ月前の在庫'!$V$6:$V$10005,$V6893,'月1回_1ヶ月前の在庫'!$W$6:$W$10005,$W6893)&gt;0),N(U6892),N(U6892)+1))</f>
        <v/>
      </c>
      <c r="V6893" s="19">
        <f>IF($B6893="","",TEXT($B6893,"0000"))</f>
        <v/>
      </c>
      <c r="W6893" s="19">
        <f>IF($I6893="","",IF(ISNUMBER($I6893),TEXT($I6893,"0"),$I6893))</f>
        <v/>
      </c>
    </row>
    <row r="6894">
      <c r="B6894" s="25" t="n"/>
      <c r="I6894" s="25" t="n"/>
      <c r="U6894" s="19">
        <f>IF($V6894&lt;&gt;'設定'!$C$4,N(U6893),IF(OR(NOT(COUNTIF('商品マスタ'!$B$6:$B$1005,$W6894)=0),COUNTIFS('①在庫を貼る'!$V$6:$V$10005,$V6894,'①在庫を貼る'!$W$6:$W$10005,$W6894)+COUNTIFS('月1回_1ヶ月前の在庫'!$V$6:$V$10005,$V6894,'月1回_1ヶ月前の在庫'!$W$6:$W$10005,$W6894)&gt;0),N(U6893),N(U6893)+1))</f>
        <v/>
      </c>
      <c r="V6894" s="19">
        <f>IF($B6894="","",TEXT($B6894,"0000"))</f>
        <v/>
      </c>
      <c r="W6894" s="19">
        <f>IF($I6894="","",IF(ISNUMBER($I6894),TEXT($I6894,"0"),$I6894))</f>
        <v/>
      </c>
    </row>
    <row r="6895">
      <c r="B6895" s="25" t="n"/>
      <c r="I6895" s="25" t="n"/>
      <c r="U6895" s="19">
        <f>IF($V6895&lt;&gt;'設定'!$C$4,N(U6894),IF(OR(NOT(COUNTIF('商品マスタ'!$B$6:$B$1005,$W6895)=0),COUNTIFS('①在庫を貼る'!$V$6:$V$10005,$V6895,'①在庫を貼る'!$W$6:$W$10005,$W6895)+COUNTIFS('月1回_1ヶ月前の在庫'!$V$6:$V$10005,$V6895,'月1回_1ヶ月前の在庫'!$W$6:$W$10005,$W6895)&gt;0),N(U6894),N(U6894)+1))</f>
        <v/>
      </c>
      <c r="V6895" s="19">
        <f>IF($B6895="","",TEXT($B6895,"0000"))</f>
        <v/>
      </c>
      <c r="W6895" s="19">
        <f>IF($I6895="","",IF(ISNUMBER($I6895),TEXT($I6895,"0"),$I6895))</f>
        <v/>
      </c>
    </row>
    <row r="6896">
      <c r="B6896" s="25" t="n"/>
      <c r="I6896" s="25" t="n"/>
      <c r="U6896" s="19">
        <f>IF($V6896&lt;&gt;'設定'!$C$4,N(U6895),IF(OR(NOT(COUNTIF('商品マスタ'!$B$6:$B$1005,$W6896)=0),COUNTIFS('①在庫を貼る'!$V$6:$V$10005,$V6896,'①在庫を貼る'!$W$6:$W$10005,$W6896)+COUNTIFS('月1回_1ヶ月前の在庫'!$V$6:$V$10005,$V6896,'月1回_1ヶ月前の在庫'!$W$6:$W$10005,$W6896)&gt;0),N(U6895),N(U6895)+1))</f>
        <v/>
      </c>
      <c r="V6896" s="19">
        <f>IF($B6896="","",TEXT($B6896,"0000"))</f>
        <v/>
      </c>
      <c r="W6896" s="19">
        <f>IF($I6896="","",IF(ISNUMBER($I6896),TEXT($I6896,"0"),$I6896))</f>
        <v/>
      </c>
    </row>
    <row r="6897">
      <c r="B6897" s="25" t="n"/>
      <c r="I6897" s="25" t="n"/>
      <c r="U6897" s="19">
        <f>IF($V6897&lt;&gt;'設定'!$C$4,N(U6896),IF(OR(NOT(COUNTIF('商品マスタ'!$B$6:$B$1005,$W6897)=0),COUNTIFS('①在庫を貼る'!$V$6:$V$10005,$V6897,'①在庫を貼る'!$W$6:$W$10005,$W6897)+COUNTIFS('月1回_1ヶ月前の在庫'!$V$6:$V$10005,$V6897,'月1回_1ヶ月前の在庫'!$W$6:$W$10005,$W6897)&gt;0),N(U6896),N(U6896)+1))</f>
        <v/>
      </c>
      <c r="V6897" s="19">
        <f>IF($B6897="","",TEXT($B6897,"0000"))</f>
        <v/>
      </c>
      <c r="W6897" s="19">
        <f>IF($I6897="","",IF(ISNUMBER($I6897),TEXT($I6897,"0"),$I6897))</f>
        <v/>
      </c>
    </row>
    <row r="6898">
      <c r="B6898" s="25" t="n"/>
      <c r="I6898" s="25" t="n"/>
      <c r="U6898" s="19">
        <f>IF($V6898&lt;&gt;'設定'!$C$4,N(U6897),IF(OR(NOT(COUNTIF('商品マスタ'!$B$6:$B$1005,$W6898)=0),COUNTIFS('①在庫を貼る'!$V$6:$V$10005,$V6898,'①在庫を貼る'!$W$6:$W$10005,$W6898)+COUNTIFS('月1回_1ヶ月前の在庫'!$V$6:$V$10005,$V6898,'月1回_1ヶ月前の在庫'!$W$6:$W$10005,$W6898)&gt;0),N(U6897),N(U6897)+1))</f>
        <v/>
      </c>
      <c r="V6898" s="19">
        <f>IF($B6898="","",TEXT($B6898,"0000"))</f>
        <v/>
      </c>
      <c r="W6898" s="19">
        <f>IF($I6898="","",IF(ISNUMBER($I6898),TEXT($I6898,"0"),$I6898))</f>
        <v/>
      </c>
    </row>
    <row r="6899">
      <c r="B6899" s="25" t="n"/>
      <c r="I6899" s="25" t="n"/>
      <c r="U6899" s="19">
        <f>IF($V6899&lt;&gt;'設定'!$C$4,N(U6898),IF(OR(NOT(COUNTIF('商品マスタ'!$B$6:$B$1005,$W6899)=0),COUNTIFS('①在庫を貼る'!$V$6:$V$10005,$V6899,'①在庫を貼る'!$W$6:$W$10005,$W6899)+COUNTIFS('月1回_1ヶ月前の在庫'!$V$6:$V$10005,$V6899,'月1回_1ヶ月前の在庫'!$W$6:$W$10005,$W6899)&gt;0),N(U6898),N(U6898)+1))</f>
        <v/>
      </c>
      <c r="V6899" s="19">
        <f>IF($B6899="","",TEXT($B6899,"0000"))</f>
        <v/>
      </c>
      <c r="W6899" s="19">
        <f>IF($I6899="","",IF(ISNUMBER($I6899),TEXT($I6899,"0"),$I6899))</f>
        <v/>
      </c>
    </row>
    <row r="6900">
      <c r="B6900" s="25" t="n"/>
      <c r="I6900" s="25" t="n"/>
      <c r="U6900" s="19">
        <f>IF($V6900&lt;&gt;'設定'!$C$4,N(U6899),IF(OR(NOT(COUNTIF('商品マスタ'!$B$6:$B$1005,$W6900)=0),COUNTIFS('①在庫を貼る'!$V$6:$V$10005,$V6900,'①在庫を貼る'!$W$6:$W$10005,$W6900)+COUNTIFS('月1回_1ヶ月前の在庫'!$V$6:$V$10005,$V6900,'月1回_1ヶ月前の在庫'!$W$6:$W$10005,$W6900)&gt;0),N(U6899),N(U6899)+1))</f>
        <v/>
      </c>
      <c r="V6900" s="19">
        <f>IF($B6900="","",TEXT($B6900,"0000"))</f>
        <v/>
      </c>
      <c r="W6900" s="19">
        <f>IF($I6900="","",IF(ISNUMBER($I6900),TEXT($I6900,"0"),$I6900))</f>
        <v/>
      </c>
    </row>
    <row r="6901">
      <c r="B6901" s="25" t="n"/>
      <c r="I6901" s="25" t="n"/>
      <c r="U6901" s="19">
        <f>IF($V6901&lt;&gt;'設定'!$C$4,N(U6900),IF(OR(NOT(COUNTIF('商品マスタ'!$B$6:$B$1005,$W6901)=0),COUNTIFS('①在庫を貼る'!$V$6:$V$10005,$V6901,'①在庫を貼る'!$W$6:$W$10005,$W6901)+COUNTIFS('月1回_1ヶ月前の在庫'!$V$6:$V$10005,$V6901,'月1回_1ヶ月前の在庫'!$W$6:$W$10005,$W6901)&gt;0),N(U6900),N(U6900)+1))</f>
        <v/>
      </c>
      <c r="V6901" s="19">
        <f>IF($B6901="","",TEXT($B6901,"0000"))</f>
        <v/>
      </c>
      <c r="W6901" s="19">
        <f>IF($I6901="","",IF(ISNUMBER($I6901),TEXT($I6901,"0"),$I6901))</f>
        <v/>
      </c>
    </row>
    <row r="6902">
      <c r="B6902" s="25" t="n"/>
      <c r="I6902" s="25" t="n"/>
      <c r="U6902" s="19">
        <f>IF($V6902&lt;&gt;'設定'!$C$4,N(U6901),IF(OR(NOT(COUNTIF('商品マスタ'!$B$6:$B$1005,$W6902)=0),COUNTIFS('①在庫を貼る'!$V$6:$V$10005,$V6902,'①在庫を貼る'!$W$6:$W$10005,$W6902)+COUNTIFS('月1回_1ヶ月前の在庫'!$V$6:$V$10005,$V6902,'月1回_1ヶ月前の在庫'!$W$6:$W$10005,$W6902)&gt;0),N(U6901),N(U6901)+1))</f>
        <v/>
      </c>
      <c r="V6902" s="19">
        <f>IF($B6902="","",TEXT($B6902,"0000"))</f>
        <v/>
      </c>
      <c r="W6902" s="19">
        <f>IF($I6902="","",IF(ISNUMBER($I6902),TEXT($I6902,"0"),$I6902))</f>
        <v/>
      </c>
    </row>
    <row r="6903">
      <c r="B6903" s="25" t="n"/>
      <c r="I6903" s="25" t="n"/>
      <c r="U6903" s="19">
        <f>IF($V6903&lt;&gt;'設定'!$C$4,N(U6902),IF(OR(NOT(COUNTIF('商品マスタ'!$B$6:$B$1005,$W6903)=0),COUNTIFS('①在庫を貼る'!$V$6:$V$10005,$V6903,'①在庫を貼る'!$W$6:$W$10005,$W6903)+COUNTIFS('月1回_1ヶ月前の在庫'!$V$6:$V$10005,$V6903,'月1回_1ヶ月前の在庫'!$W$6:$W$10005,$W6903)&gt;0),N(U6902),N(U6902)+1))</f>
        <v/>
      </c>
      <c r="V6903" s="19">
        <f>IF($B6903="","",TEXT($B6903,"0000"))</f>
        <v/>
      </c>
      <c r="W6903" s="19">
        <f>IF($I6903="","",IF(ISNUMBER($I6903),TEXT($I6903,"0"),$I6903))</f>
        <v/>
      </c>
    </row>
    <row r="6904">
      <c r="B6904" s="25" t="n"/>
      <c r="I6904" s="25" t="n"/>
      <c r="U6904" s="19">
        <f>IF($V6904&lt;&gt;'設定'!$C$4,N(U6903),IF(OR(NOT(COUNTIF('商品マスタ'!$B$6:$B$1005,$W6904)=0),COUNTIFS('①在庫を貼る'!$V$6:$V$10005,$V6904,'①在庫を貼る'!$W$6:$W$10005,$W6904)+COUNTIFS('月1回_1ヶ月前の在庫'!$V$6:$V$10005,$V6904,'月1回_1ヶ月前の在庫'!$W$6:$W$10005,$W6904)&gt;0),N(U6903),N(U6903)+1))</f>
        <v/>
      </c>
      <c r="V6904" s="19">
        <f>IF($B6904="","",TEXT($B6904,"0000"))</f>
        <v/>
      </c>
      <c r="W6904" s="19">
        <f>IF($I6904="","",IF(ISNUMBER($I6904),TEXT($I6904,"0"),$I6904))</f>
        <v/>
      </c>
    </row>
    <row r="6905">
      <c r="B6905" s="25" t="n"/>
      <c r="I6905" s="25" t="n"/>
      <c r="U6905" s="19">
        <f>IF($V6905&lt;&gt;'設定'!$C$4,N(U6904),IF(OR(NOT(COUNTIF('商品マスタ'!$B$6:$B$1005,$W6905)=0),COUNTIFS('①在庫を貼る'!$V$6:$V$10005,$V6905,'①在庫を貼る'!$W$6:$W$10005,$W6905)+COUNTIFS('月1回_1ヶ月前の在庫'!$V$6:$V$10005,$V6905,'月1回_1ヶ月前の在庫'!$W$6:$W$10005,$W6905)&gt;0),N(U6904),N(U6904)+1))</f>
        <v/>
      </c>
      <c r="V6905" s="19">
        <f>IF($B6905="","",TEXT($B6905,"0000"))</f>
        <v/>
      </c>
      <c r="W6905" s="19">
        <f>IF($I6905="","",IF(ISNUMBER($I6905),TEXT($I6905,"0"),$I6905))</f>
        <v/>
      </c>
    </row>
    <row r="6906">
      <c r="B6906" s="25" t="n"/>
      <c r="I6906" s="25" t="n"/>
      <c r="U6906" s="19">
        <f>IF($V6906&lt;&gt;'設定'!$C$4,N(U6905),IF(OR(NOT(COUNTIF('商品マスタ'!$B$6:$B$1005,$W6906)=0),COUNTIFS('①在庫を貼る'!$V$6:$V$10005,$V6906,'①在庫を貼る'!$W$6:$W$10005,$W6906)+COUNTIFS('月1回_1ヶ月前の在庫'!$V$6:$V$10005,$V6906,'月1回_1ヶ月前の在庫'!$W$6:$W$10005,$W6906)&gt;0),N(U6905),N(U6905)+1))</f>
        <v/>
      </c>
      <c r="V6906" s="19">
        <f>IF($B6906="","",TEXT($B6906,"0000"))</f>
        <v/>
      </c>
      <c r="W6906" s="19">
        <f>IF($I6906="","",IF(ISNUMBER($I6906),TEXT($I6906,"0"),$I6906))</f>
        <v/>
      </c>
    </row>
    <row r="6907">
      <c r="B6907" s="25" t="n"/>
      <c r="I6907" s="25" t="n"/>
      <c r="U6907" s="19">
        <f>IF($V6907&lt;&gt;'設定'!$C$4,N(U6906),IF(OR(NOT(COUNTIF('商品マスタ'!$B$6:$B$1005,$W6907)=0),COUNTIFS('①在庫を貼る'!$V$6:$V$10005,$V6907,'①在庫を貼る'!$W$6:$W$10005,$W6907)+COUNTIFS('月1回_1ヶ月前の在庫'!$V$6:$V$10005,$V6907,'月1回_1ヶ月前の在庫'!$W$6:$W$10005,$W6907)&gt;0),N(U6906),N(U6906)+1))</f>
        <v/>
      </c>
      <c r="V6907" s="19">
        <f>IF($B6907="","",TEXT($B6907,"0000"))</f>
        <v/>
      </c>
      <c r="W6907" s="19">
        <f>IF($I6907="","",IF(ISNUMBER($I6907),TEXT($I6907,"0"),$I6907))</f>
        <v/>
      </c>
    </row>
    <row r="6908">
      <c r="B6908" s="25" t="n"/>
      <c r="I6908" s="25" t="n"/>
      <c r="U6908" s="19">
        <f>IF($V6908&lt;&gt;'設定'!$C$4,N(U6907),IF(OR(NOT(COUNTIF('商品マスタ'!$B$6:$B$1005,$W6908)=0),COUNTIFS('①在庫を貼る'!$V$6:$V$10005,$V6908,'①在庫を貼る'!$W$6:$W$10005,$W6908)+COUNTIFS('月1回_1ヶ月前の在庫'!$V$6:$V$10005,$V6908,'月1回_1ヶ月前の在庫'!$W$6:$W$10005,$W6908)&gt;0),N(U6907),N(U6907)+1))</f>
        <v/>
      </c>
      <c r="V6908" s="19">
        <f>IF($B6908="","",TEXT($B6908,"0000"))</f>
        <v/>
      </c>
      <c r="W6908" s="19">
        <f>IF($I6908="","",IF(ISNUMBER($I6908),TEXT($I6908,"0"),$I6908))</f>
        <v/>
      </c>
    </row>
    <row r="6909">
      <c r="B6909" s="25" t="n"/>
      <c r="I6909" s="25" t="n"/>
      <c r="U6909" s="19">
        <f>IF($V6909&lt;&gt;'設定'!$C$4,N(U6908),IF(OR(NOT(COUNTIF('商品マスタ'!$B$6:$B$1005,$W6909)=0),COUNTIFS('①在庫を貼る'!$V$6:$V$10005,$V6909,'①在庫を貼る'!$W$6:$W$10005,$W6909)+COUNTIFS('月1回_1ヶ月前の在庫'!$V$6:$V$10005,$V6909,'月1回_1ヶ月前の在庫'!$W$6:$W$10005,$W6909)&gt;0),N(U6908),N(U6908)+1))</f>
        <v/>
      </c>
      <c r="V6909" s="19">
        <f>IF($B6909="","",TEXT($B6909,"0000"))</f>
        <v/>
      </c>
      <c r="W6909" s="19">
        <f>IF($I6909="","",IF(ISNUMBER($I6909),TEXT($I6909,"0"),$I6909))</f>
        <v/>
      </c>
    </row>
    <row r="6910">
      <c r="B6910" s="25" t="n"/>
      <c r="I6910" s="25" t="n"/>
      <c r="U6910" s="19">
        <f>IF($V6910&lt;&gt;'設定'!$C$4,N(U6909),IF(OR(NOT(COUNTIF('商品マスタ'!$B$6:$B$1005,$W6910)=0),COUNTIFS('①在庫を貼る'!$V$6:$V$10005,$V6910,'①在庫を貼る'!$W$6:$W$10005,$W6910)+COUNTIFS('月1回_1ヶ月前の在庫'!$V$6:$V$10005,$V6910,'月1回_1ヶ月前の在庫'!$W$6:$W$10005,$W6910)&gt;0),N(U6909),N(U6909)+1))</f>
        <v/>
      </c>
      <c r="V6910" s="19">
        <f>IF($B6910="","",TEXT($B6910,"0000"))</f>
        <v/>
      </c>
      <c r="W6910" s="19">
        <f>IF($I6910="","",IF(ISNUMBER($I6910),TEXT($I6910,"0"),$I6910))</f>
        <v/>
      </c>
    </row>
    <row r="6911">
      <c r="B6911" s="25" t="n"/>
      <c r="I6911" s="25" t="n"/>
      <c r="U6911" s="19">
        <f>IF($V6911&lt;&gt;'設定'!$C$4,N(U6910),IF(OR(NOT(COUNTIF('商品マスタ'!$B$6:$B$1005,$W6911)=0),COUNTIFS('①在庫を貼る'!$V$6:$V$10005,$V6911,'①在庫を貼る'!$W$6:$W$10005,$W6911)+COUNTIFS('月1回_1ヶ月前の在庫'!$V$6:$V$10005,$V6911,'月1回_1ヶ月前の在庫'!$W$6:$W$10005,$W6911)&gt;0),N(U6910),N(U6910)+1))</f>
        <v/>
      </c>
      <c r="V6911" s="19">
        <f>IF($B6911="","",TEXT($B6911,"0000"))</f>
        <v/>
      </c>
      <c r="W6911" s="19">
        <f>IF($I6911="","",IF(ISNUMBER($I6911),TEXT($I6911,"0"),$I6911))</f>
        <v/>
      </c>
    </row>
    <row r="6912">
      <c r="B6912" s="25" t="n"/>
      <c r="I6912" s="25" t="n"/>
      <c r="U6912" s="19">
        <f>IF($V6912&lt;&gt;'設定'!$C$4,N(U6911),IF(OR(NOT(COUNTIF('商品マスタ'!$B$6:$B$1005,$W6912)=0),COUNTIFS('①在庫を貼る'!$V$6:$V$10005,$V6912,'①在庫を貼る'!$W$6:$W$10005,$W6912)+COUNTIFS('月1回_1ヶ月前の在庫'!$V$6:$V$10005,$V6912,'月1回_1ヶ月前の在庫'!$W$6:$W$10005,$W6912)&gt;0),N(U6911),N(U6911)+1))</f>
        <v/>
      </c>
      <c r="V6912" s="19">
        <f>IF($B6912="","",TEXT($B6912,"0000"))</f>
        <v/>
      </c>
      <c r="W6912" s="19">
        <f>IF($I6912="","",IF(ISNUMBER($I6912),TEXT($I6912,"0"),$I6912))</f>
        <v/>
      </c>
    </row>
    <row r="6913">
      <c r="B6913" s="25" t="n"/>
      <c r="I6913" s="25" t="n"/>
      <c r="U6913" s="19">
        <f>IF($V6913&lt;&gt;'設定'!$C$4,N(U6912),IF(OR(NOT(COUNTIF('商品マスタ'!$B$6:$B$1005,$W6913)=0),COUNTIFS('①在庫を貼る'!$V$6:$V$10005,$V6913,'①在庫を貼る'!$W$6:$W$10005,$W6913)+COUNTIFS('月1回_1ヶ月前の在庫'!$V$6:$V$10005,$V6913,'月1回_1ヶ月前の在庫'!$W$6:$W$10005,$W6913)&gt;0),N(U6912),N(U6912)+1))</f>
        <v/>
      </c>
      <c r="V6913" s="19">
        <f>IF($B6913="","",TEXT($B6913,"0000"))</f>
        <v/>
      </c>
      <c r="W6913" s="19">
        <f>IF($I6913="","",IF(ISNUMBER($I6913),TEXT($I6913,"0"),$I6913))</f>
        <v/>
      </c>
    </row>
    <row r="6914">
      <c r="B6914" s="25" t="n"/>
      <c r="I6914" s="25" t="n"/>
      <c r="U6914" s="19">
        <f>IF($V6914&lt;&gt;'設定'!$C$4,N(U6913),IF(OR(NOT(COUNTIF('商品マスタ'!$B$6:$B$1005,$W6914)=0),COUNTIFS('①在庫を貼る'!$V$6:$V$10005,$V6914,'①在庫を貼る'!$W$6:$W$10005,$W6914)+COUNTIFS('月1回_1ヶ月前の在庫'!$V$6:$V$10005,$V6914,'月1回_1ヶ月前の在庫'!$W$6:$W$10005,$W6914)&gt;0),N(U6913),N(U6913)+1))</f>
        <v/>
      </c>
      <c r="V6914" s="19">
        <f>IF($B6914="","",TEXT($B6914,"0000"))</f>
        <v/>
      </c>
      <c r="W6914" s="19">
        <f>IF($I6914="","",IF(ISNUMBER($I6914),TEXT($I6914,"0"),$I6914))</f>
        <v/>
      </c>
    </row>
    <row r="6915">
      <c r="B6915" s="25" t="n"/>
      <c r="I6915" s="25" t="n"/>
      <c r="U6915" s="19">
        <f>IF($V6915&lt;&gt;'設定'!$C$4,N(U6914),IF(OR(NOT(COUNTIF('商品マスタ'!$B$6:$B$1005,$W6915)=0),COUNTIFS('①在庫を貼る'!$V$6:$V$10005,$V6915,'①在庫を貼る'!$W$6:$W$10005,$W6915)+COUNTIFS('月1回_1ヶ月前の在庫'!$V$6:$V$10005,$V6915,'月1回_1ヶ月前の在庫'!$W$6:$W$10005,$W6915)&gt;0),N(U6914),N(U6914)+1))</f>
        <v/>
      </c>
      <c r="V6915" s="19">
        <f>IF($B6915="","",TEXT($B6915,"0000"))</f>
        <v/>
      </c>
      <c r="W6915" s="19">
        <f>IF($I6915="","",IF(ISNUMBER($I6915),TEXT($I6915,"0"),$I6915))</f>
        <v/>
      </c>
    </row>
    <row r="6916">
      <c r="B6916" s="25" t="n"/>
      <c r="I6916" s="25" t="n"/>
      <c r="U6916" s="19">
        <f>IF($V6916&lt;&gt;'設定'!$C$4,N(U6915),IF(OR(NOT(COUNTIF('商品マスタ'!$B$6:$B$1005,$W6916)=0),COUNTIFS('①在庫を貼る'!$V$6:$V$10005,$V6916,'①在庫を貼る'!$W$6:$W$10005,$W6916)+COUNTIFS('月1回_1ヶ月前の在庫'!$V$6:$V$10005,$V6916,'月1回_1ヶ月前の在庫'!$W$6:$W$10005,$W6916)&gt;0),N(U6915),N(U6915)+1))</f>
        <v/>
      </c>
      <c r="V6916" s="19">
        <f>IF($B6916="","",TEXT($B6916,"0000"))</f>
        <v/>
      </c>
      <c r="W6916" s="19">
        <f>IF($I6916="","",IF(ISNUMBER($I6916),TEXT($I6916,"0"),$I6916))</f>
        <v/>
      </c>
    </row>
    <row r="6917">
      <c r="B6917" s="25" t="n"/>
      <c r="I6917" s="25" t="n"/>
      <c r="U6917" s="19">
        <f>IF($V6917&lt;&gt;'設定'!$C$4,N(U6916),IF(OR(NOT(COUNTIF('商品マスタ'!$B$6:$B$1005,$W6917)=0),COUNTIFS('①在庫を貼る'!$V$6:$V$10005,$V6917,'①在庫を貼る'!$W$6:$W$10005,$W6917)+COUNTIFS('月1回_1ヶ月前の在庫'!$V$6:$V$10005,$V6917,'月1回_1ヶ月前の在庫'!$W$6:$W$10005,$W6917)&gt;0),N(U6916),N(U6916)+1))</f>
        <v/>
      </c>
      <c r="V6917" s="19">
        <f>IF($B6917="","",TEXT($B6917,"0000"))</f>
        <v/>
      </c>
      <c r="W6917" s="19">
        <f>IF($I6917="","",IF(ISNUMBER($I6917),TEXT($I6917,"0"),$I6917))</f>
        <v/>
      </c>
    </row>
    <row r="6918">
      <c r="B6918" s="25" t="n"/>
      <c r="I6918" s="25" t="n"/>
      <c r="U6918" s="19">
        <f>IF($V6918&lt;&gt;'設定'!$C$4,N(U6917),IF(OR(NOT(COUNTIF('商品マスタ'!$B$6:$B$1005,$W6918)=0),COUNTIFS('①在庫を貼る'!$V$6:$V$10005,$V6918,'①在庫を貼る'!$W$6:$W$10005,$W6918)+COUNTIFS('月1回_1ヶ月前の在庫'!$V$6:$V$10005,$V6918,'月1回_1ヶ月前の在庫'!$W$6:$W$10005,$W6918)&gt;0),N(U6917),N(U6917)+1))</f>
        <v/>
      </c>
      <c r="V6918" s="19">
        <f>IF($B6918="","",TEXT($B6918,"0000"))</f>
        <v/>
      </c>
      <c r="W6918" s="19">
        <f>IF($I6918="","",IF(ISNUMBER($I6918),TEXT($I6918,"0"),$I6918))</f>
        <v/>
      </c>
    </row>
    <row r="6919">
      <c r="B6919" s="25" t="n"/>
      <c r="I6919" s="25" t="n"/>
      <c r="U6919" s="19">
        <f>IF($V6919&lt;&gt;'設定'!$C$4,N(U6918),IF(OR(NOT(COUNTIF('商品マスタ'!$B$6:$B$1005,$W6919)=0),COUNTIFS('①在庫を貼る'!$V$6:$V$10005,$V6919,'①在庫を貼る'!$W$6:$W$10005,$W6919)+COUNTIFS('月1回_1ヶ月前の在庫'!$V$6:$V$10005,$V6919,'月1回_1ヶ月前の在庫'!$W$6:$W$10005,$W6919)&gt;0),N(U6918),N(U6918)+1))</f>
        <v/>
      </c>
      <c r="V6919" s="19">
        <f>IF($B6919="","",TEXT($B6919,"0000"))</f>
        <v/>
      </c>
      <c r="W6919" s="19">
        <f>IF($I6919="","",IF(ISNUMBER($I6919),TEXT($I6919,"0"),$I6919))</f>
        <v/>
      </c>
    </row>
    <row r="6920">
      <c r="B6920" s="25" t="n"/>
      <c r="I6920" s="25" t="n"/>
      <c r="U6920" s="19">
        <f>IF($V6920&lt;&gt;'設定'!$C$4,N(U6919),IF(OR(NOT(COUNTIF('商品マスタ'!$B$6:$B$1005,$W6920)=0),COUNTIFS('①在庫を貼る'!$V$6:$V$10005,$V6920,'①在庫を貼る'!$W$6:$W$10005,$W6920)+COUNTIFS('月1回_1ヶ月前の在庫'!$V$6:$V$10005,$V6920,'月1回_1ヶ月前の在庫'!$W$6:$W$10005,$W6920)&gt;0),N(U6919),N(U6919)+1))</f>
        <v/>
      </c>
      <c r="V6920" s="19">
        <f>IF($B6920="","",TEXT($B6920,"0000"))</f>
        <v/>
      </c>
      <c r="W6920" s="19">
        <f>IF($I6920="","",IF(ISNUMBER($I6920),TEXT($I6920,"0"),$I6920))</f>
        <v/>
      </c>
    </row>
    <row r="6921">
      <c r="B6921" s="25" t="n"/>
      <c r="I6921" s="25" t="n"/>
      <c r="U6921" s="19">
        <f>IF($V6921&lt;&gt;'設定'!$C$4,N(U6920),IF(OR(NOT(COUNTIF('商品マスタ'!$B$6:$B$1005,$W6921)=0),COUNTIFS('①在庫を貼る'!$V$6:$V$10005,$V6921,'①在庫を貼る'!$W$6:$W$10005,$W6921)+COUNTIFS('月1回_1ヶ月前の在庫'!$V$6:$V$10005,$V6921,'月1回_1ヶ月前の在庫'!$W$6:$W$10005,$W6921)&gt;0),N(U6920),N(U6920)+1))</f>
        <v/>
      </c>
      <c r="V6921" s="19">
        <f>IF($B6921="","",TEXT($B6921,"0000"))</f>
        <v/>
      </c>
      <c r="W6921" s="19">
        <f>IF($I6921="","",IF(ISNUMBER($I6921),TEXT($I6921,"0"),$I6921))</f>
        <v/>
      </c>
    </row>
    <row r="6922">
      <c r="B6922" s="25" t="n"/>
      <c r="I6922" s="25" t="n"/>
      <c r="U6922" s="19">
        <f>IF($V6922&lt;&gt;'設定'!$C$4,N(U6921),IF(OR(NOT(COUNTIF('商品マスタ'!$B$6:$B$1005,$W6922)=0),COUNTIFS('①在庫を貼る'!$V$6:$V$10005,$V6922,'①在庫を貼る'!$W$6:$W$10005,$W6922)+COUNTIFS('月1回_1ヶ月前の在庫'!$V$6:$V$10005,$V6922,'月1回_1ヶ月前の在庫'!$W$6:$W$10005,$W6922)&gt;0),N(U6921),N(U6921)+1))</f>
        <v/>
      </c>
      <c r="V6922" s="19">
        <f>IF($B6922="","",TEXT($B6922,"0000"))</f>
        <v/>
      </c>
      <c r="W6922" s="19">
        <f>IF($I6922="","",IF(ISNUMBER($I6922),TEXT($I6922,"0"),$I6922))</f>
        <v/>
      </c>
    </row>
    <row r="6923">
      <c r="B6923" s="25" t="n"/>
      <c r="I6923" s="25" t="n"/>
      <c r="U6923" s="19">
        <f>IF($V6923&lt;&gt;'設定'!$C$4,N(U6922),IF(OR(NOT(COUNTIF('商品マスタ'!$B$6:$B$1005,$W6923)=0),COUNTIFS('①在庫を貼る'!$V$6:$V$10005,$V6923,'①在庫を貼る'!$W$6:$W$10005,$W6923)+COUNTIFS('月1回_1ヶ月前の在庫'!$V$6:$V$10005,$V6923,'月1回_1ヶ月前の在庫'!$W$6:$W$10005,$W6923)&gt;0),N(U6922),N(U6922)+1))</f>
        <v/>
      </c>
      <c r="V6923" s="19">
        <f>IF($B6923="","",TEXT($B6923,"0000"))</f>
        <v/>
      </c>
      <c r="W6923" s="19">
        <f>IF($I6923="","",IF(ISNUMBER($I6923),TEXT($I6923,"0"),$I6923))</f>
        <v/>
      </c>
    </row>
    <row r="6924">
      <c r="B6924" s="25" t="n"/>
      <c r="I6924" s="25" t="n"/>
      <c r="U6924" s="19">
        <f>IF($V6924&lt;&gt;'設定'!$C$4,N(U6923),IF(OR(NOT(COUNTIF('商品マスタ'!$B$6:$B$1005,$W6924)=0),COUNTIFS('①在庫を貼る'!$V$6:$V$10005,$V6924,'①在庫を貼る'!$W$6:$W$10005,$W6924)+COUNTIFS('月1回_1ヶ月前の在庫'!$V$6:$V$10005,$V6924,'月1回_1ヶ月前の在庫'!$W$6:$W$10005,$W6924)&gt;0),N(U6923),N(U6923)+1))</f>
        <v/>
      </c>
      <c r="V6924" s="19">
        <f>IF($B6924="","",TEXT($B6924,"0000"))</f>
        <v/>
      </c>
      <c r="W6924" s="19">
        <f>IF($I6924="","",IF(ISNUMBER($I6924),TEXT($I6924,"0"),$I6924))</f>
        <v/>
      </c>
    </row>
    <row r="6925">
      <c r="B6925" s="25" t="n"/>
      <c r="I6925" s="25" t="n"/>
      <c r="U6925" s="19">
        <f>IF($V6925&lt;&gt;'設定'!$C$4,N(U6924),IF(OR(NOT(COUNTIF('商品マスタ'!$B$6:$B$1005,$W6925)=0),COUNTIFS('①在庫を貼る'!$V$6:$V$10005,$V6925,'①在庫を貼る'!$W$6:$W$10005,$W6925)+COUNTIFS('月1回_1ヶ月前の在庫'!$V$6:$V$10005,$V6925,'月1回_1ヶ月前の在庫'!$W$6:$W$10005,$W6925)&gt;0),N(U6924),N(U6924)+1))</f>
        <v/>
      </c>
      <c r="V6925" s="19">
        <f>IF($B6925="","",TEXT($B6925,"0000"))</f>
        <v/>
      </c>
      <c r="W6925" s="19">
        <f>IF($I6925="","",IF(ISNUMBER($I6925),TEXT($I6925,"0"),$I6925))</f>
        <v/>
      </c>
    </row>
    <row r="6926">
      <c r="B6926" s="25" t="n"/>
      <c r="I6926" s="25" t="n"/>
      <c r="U6926" s="19">
        <f>IF($V6926&lt;&gt;'設定'!$C$4,N(U6925),IF(OR(NOT(COUNTIF('商品マスタ'!$B$6:$B$1005,$W6926)=0),COUNTIFS('①在庫を貼る'!$V$6:$V$10005,$V6926,'①在庫を貼る'!$W$6:$W$10005,$W6926)+COUNTIFS('月1回_1ヶ月前の在庫'!$V$6:$V$10005,$V6926,'月1回_1ヶ月前の在庫'!$W$6:$W$10005,$W6926)&gt;0),N(U6925),N(U6925)+1))</f>
        <v/>
      </c>
      <c r="V6926" s="19">
        <f>IF($B6926="","",TEXT($B6926,"0000"))</f>
        <v/>
      </c>
      <c r="W6926" s="19">
        <f>IF($I6926="","",IF(ISNUMBER($I6926),TEXT($I6926,"0"),$I6926))</f>
        <v/>
      </c>
    </row>
    <row r="6927">
      <c r="B6927" s="25" t="n"/>
      <c r="I6927" s="25" t="n"/>
      <c r="U6927" s="19">
        <f>IF($V6927&lt;&gt;'設定'!$C$4,N(U6926),IF(OR(NOT(COUNTIF('商品マスタ'!$B$6:$B$1005,$W6927)=0),COUNTIFS('①在庫を貼る'!$V$6:$V$10005,$V6927,'①在庫を貼る'!$W$6:$W$10005,$W6927)+COUNTIFS('月1回_1ヶ月前の在庫'!$V$6:$V$10005,$V6927,'月1回_1ヶ月前の在庫'!$W$6:$W$10005,$W6927)&gt;0),N(U6926),N(U6926)+1))</f>
        <v/>
      </c>
      <c r="V6927" s="19">
        <f>IF($B6927="","",TEXT($B6927,"0000"))</f>
        <v/>
      </c>
      <c r="W6927" s="19">
        <f>IF($I6927="","",IF(ISNUMBER($I6927),TEXT($I6927,"0"),$I6927))</f>
        <v/>
      </c>
    </row>
    <row r="6928">
      <c r="B6928" s="25" t="n"/>
      <c r="I6928" s="25" t="n"/>
      <c r="U6928" s="19">
        <f>IF($V6928&lt;&gt;'設定'!$C$4,N(U6927),IF(OR(NOT(COUNTIF('商品マスタ'!$B$6:$B$1005,$W6928)=0),COUNTIFS('①在庫を貼る'!$V$6:$V$10005,$V6928,'①在庫を貼る'!$W$6:$W$10005,$W6928)+COUNTIFS('月1回_1ヶ月前の在庫'!$V$6:$V$10005,$V6928,'月1回_1ヶ月前の在庫'!$W$6:$W$10005,$W6928)&gt;0),N(U6927),N(U6927)+1))</f>
        <v/>
      </c>
      <c r="V6928" s="19">
        <f>IF($B6928="","",TEXT($B6928,"0000"))</f>
        <v/>
      </c>
      <c r="W6928" s="19">
        <f>IF($I6928="","",IF(ISNUMBER($I6928),TEXT($I6928,"0"),$I6928))</f>
        <v/>
      </c>
    </row>
    <row r="6929">
      <c r="B6929" s="25" t="n"/>
      <c r="I6929" s="25" t="n"/>
      <c r="U6929" s="19">
        <f>IF($V6929&lt;&gt;'設定'!$C$4,N(U6928),IF(OR(NOT(COUNTIF('商品マスタ'!$B$6:$B$1005,$W6929)=0),COUNTIFS('①在庫を貼る'!$V$6:$V$10005,$V6929,'①在庫を貼る'!$W$6:$W$10005,$W6929)+COUNTIFS('月1回_1ヶ月前の在庫'!$V$6:$V$10005,$V6929,'月1回_1ヶ月前の在庫'!$W$6:$W$10005,$W6929)&gt;0),N(U6928),N(U6928)+1))</f>
        <v/>
      </c>
      <c r="V6929" s="19">
        <f>IF($B6929="","",TEXT($B6929,"0000"))</f>
        <v/>
      </c>
      <c r="W6929" s="19">
        <f>IF($I6929="","",IF(ISNUMBER($I6929),TEXT($I6929,"0"),$I6929))</f>
        <v/>
      </c>
    </row>
    <row r="6930">
      <c r="B6930" s="25" t="n"/>
      <c r="I6930" s="25" t="n"/>
      <c r="U6930" s="19">
        <f>IF($V6930&lt;&gt;'設定'!$C$4,N(U6929),IF(OR(NOT(COUNTIF('商品マスタ'!$B$6:$B$1005,$W6930)=0),COUNTIFS('①在庫を貼る'!$V$6:$V$10005,$V6930,'①在庫を貼る'!$W$6:$W$10005,$W6930)+COUNTIFS('月1回_1ヶ月前の在庫'!$V$6:$V$10005,$V6930,'月1回_1ヶ月前の在庫'!$W$6:$W$10005,$W6930)&gt;0),N(U6929),N(U6929)+1))</f>
        <v/>
      </c>
      <c r="V6930" s="19">
        <f>IF($B6930="","",TEXT($B6930,"0000"))</f>
        <v/>
      </c>
      <c r="W6930" s="19">
        <f>IF($I6930="","",IF(ISNUMBER($I6930),TEXT($I6930,"0"),$I6930))</f>
        <v/>
      </c>
    </row>
    <row r="6931">
      <c r="B6931" s="25" t="n"/>
      <c r="I6931" s="25" t="n"/>
      <c r="U6931" s="19">
        <f>IF($V6931&lt;&gt;'設定'!$C$4,N(U6930),IF(OR(NOT(COUNTIF('商品マスタ'!$B$6:$B$1005,$W6931)=0),COUNTIFS('①在庫を貼る'!$V$6:$V$10005,$V6931,'①在庫を貼る'!$W$6:$W$10005,$W6931)+COUNTIFS('月1回_1ヶ月前の在庫'!$V$6:$V$10005,$V6931,'月1回_1ヶ月前の在庫'!$W$6:$W$10005,$W6931)&gt;0),N(U6930),N(U6930)+1))</f>
        <v/>
      </c>
      <c r="V6931" s="19">
        <f>IF($B6931="","",TEXT($B6931,"0000"))</f>
        <v/>
      </c>
      <c r="W6931" s="19">
        <f>IF($I6931="","",IF(ISNUMBER($I6931),TEXT($I6931,"0"),$I6931))</f>
        <v/>
      </c>
    </row>
    <row r="6932">
      <c r="B6932" s="25" t="n"/>
      <c r="I6932" s="25" t="n"/>
      <c r="U6932" s="19">
        <f>IF($V6932&lt;&gt;'設定'!$C$4,N(U6931),IF(OR(NOT(COUNTIF('商品マスタ'!$B$6:$B$1005,$W6932)=0),COUNTIFS('①在庫を貼る'!$V$6:$V$10005,$V6932,'①在庫を貼る'!$W$6:$W$10005,$W6932)+COUNTIFS('月1回_1ヶ月前の在庫'!$V$6:$V$10005,$V6932,'月1回_1ヶ月前の在庫'!$W$6:$W$10005,$W6932)&gt;0),N(U6931),N(U6931)+1))</f>
        <v/>
      </c>
      <c r="V6932" s="19">
        <f>IF($B6932="","",TEXT($B6932,"0000"))</f>
        <v/>
      </c>
      <c r="W6932" s="19">
        <f>IF($I6932="","",IF(ISNUMBER($I6932),TEXT($I6932,"0"),$I6932))</f>
        <v/>
      </c>
    </row>
    <row r="6933">
      <c r="B6933" s="25" t="n"/>
      <c r="I6933" s="25" t="n"/>
      <c r="U6933" s="19">
        <f>IF($V6933&lt;&gt;'設定'!$C$4,N(U6932),IF(OR(NOT(COUNTIF('商品マスタ'!$B$6:$B$1005,$W6933)=0),COUNTIFS('①在庫を貼る'!$V$6:$V$10005,$V6933,'①在庫を貼る'!$W$6:$W$10005,$W6933)+COUNTIFS('月1回_1ヶ月前の在庫'!$V$6:$V$10005,$V6933,'月1回_1ヶ月前の在庫'!$W$6:$W$10005,$W6933)&gt;0),N(U6932),N(U6932)+1))</f>
        <v/>
      </c>
      <c r="V6933" s="19">
        <f>IF($B6933="","",TEXT($B6933,"0000"))</f>
        <v/>
      </c>
      <c r="W6933" s="19">
        <f>IF($I6933="","",IF(ISNUMBER($I6933),TEXT($I6933,"0"),$I6933))</f>
        <v/>
      </c>
    </row>
    <row r="6934">
      <c r="B6934" s="25" t="n"/>
      <c r="I6934" s="25" t="n"/>
      <c r="U6934" s="19">
        <f>IF($V6934&lt;&gt;'設定'!$C$4,N(U6933),IF(OR(NOT(COUNTIF('商品マスタ'!$B$6:$B$1005,$W6934)=0),COUNTIFS('①在庫を貼る'!$V$6:$V$10005,$V6934,'①在庫を貼る'!$W$6:$W$10005,$W6934)+COUNTIFS('月1回_1ヶ月前の在庫'!$V$6:$V$10005,$V6934,'月1回_1ヶ月前の在庫'!$W$6:$W$10005,$W6934)&gt;0),N(U6933),N(U6933)+1))</f>
        <v/>
      </c>
      <c r="V6934" s="19">
        <f>IF($B6934="","",TEXT($B6934,"0000"))</f>
        <v/>
      </c>
      <c r="W6934" s="19">
        <f>IF($I6934="","",IF(ISNUMBER($I6934),TEXT($I6934,"0"),$I6934))</f>
        <v/>
      </c>
    </row>
    <row r="6935">
      <c r="B6935" s="25" t="n"/>
      <c r="I6935" s="25" t="n"/>
      <c r="U6935" s="19">
        <f>IF($V6935&lt;&gt;'設定'!$C$4,N(U6934),IF(OR(NOT(COUNTIF('商品マスタ'!$B$6:$B$1005,$W6935)=0),COUNTIFS('①在庫を貼る'!$V$6:$V$10005,$V6935,'①在庫を貼る'!$W$6:$W$10005,$W6935)+COUNTIFS('月1回_1ヶ月前の在庫'!$V$6:$V$10005,$V6935,'月1回_1ヶ月前の在庫'!$W$6:$W$10005,$W6935)&gt;0),N(U6934),N(U6934)+1))</f>
        <v/>
      </c>
      <c r="V6935" s="19">
        <f>IF($B6935="","",TEXT($B6935,"0000"))</f>
        <v/>
      </c>
      <c r="W6935" s="19">
        <f>IF($I6935="","",IF(ISNUMBER($I6935),TEXT($I6935,"0"),$I6935))</f>
        <v/>
      </c>
    </row>
    <row r="6936">
      <c r="B6936" s="25" t="n"/>
      <c r="I6936" s="25" t="n"/>
      <c r="U6936" s="19">
        <f>IF($V6936&lt;&gt;'設定'!$C$4,N(U6935),IF(OR(NOT(COUNTIF('商品マスタ'!$B$6:$B$1005,$W6936)=0),COUNTIFS('①在庫を貼る'!$V$6:$V$10005,$V6936,'①在庫を貼る'!$W$6:$W$10005,$W6936)+COUNTIFS('月1回_1ヶ月前の在庫'!$V$6:$V$10005,$V6936,'月1回_1ヶ月前の在庫'!$W$6:$W$10005,$W6936)&gt;0),N(U6935),N(U6935)+1))</f>
        <v/>
      </c>
      <c r="V6936" s="19">
        <f>IF($B6936="","",TEXT($B6936,"0000"))</f>
        <v/>
      </c>
      <c r="W6936" s="19">
        <f>IF($I6936="","",IF(ISNUMBER($I6936),TEXT($I6936,"0"),$I6936))</f>
        <v/>
      </c>
    </row>
    <row r="6937">
      <c r="B6937" s="25" t="n"/>
      <c r="I6937" s="25" t="n"/>
      <c r="U6937" s="19">
        <f>IF($V6937&lt;&gt;'設定'!$C$4,N(U6936),IF(OR(NOT(COUNTIF('商品マスタ'!$B$6:$B$1005,$W6937)=0),COUNTIFS('①在庫を貼る'!$V$6:$V$10005,$V6937,'①在庫を貼る'!$W$6:$W$10005,$W6937)+COUNTIFS('月1回_1ヶ月前の在庫'!$V$6:$V$10005,$V6937,'月1回_1ヶ月前の在庫'!$W$6:$W$10005,$W6937)&gt;0),N(U6936),N(U6936)+1))</f>
        <v/>
      </c>
      <c r="V6937" s="19">
        <f>IF($B6937="","",TEXT($B6937,"0000"))</f>
        <v/>
      </c>
      <c r="W6937" s="19">
        <f>IF($I6937="","",IF(ISNUMBER($I6937),TEXT($I6937,"0"),$I6937))</f>
        <v/>
      </c>
    </row>
    <row r="6938">
      <c r="B6938" s="25" t="n"/>
      <c r="I6938" s="25" t="n"/>
      <c r="U6938" s="19">
        <f>IF($V6938&lt;&gt;'設定'!$C$4,N(U6937),IF(OR(NOT(COUNTIF('商品マスタ'!$B$6:$B$1005,$W6938)=0),COUNTIFS('①在庫を貼る'!$V$6:$V$10005,$V6938,'①在庫を貼る'!$W$6:$W$10005,$W6938)+COUNTIFS('月1回_1ヶ月前の在庫'!$V$6:$V$10005,$V6938,'月1回_1ヶ月前の在庫'!$W$6:$W$10005,$W6938)&gt;0),N(U6937),N(U6937)+1))</f>
        <v/>
      </c>
      <c r="V6938" s="19">
        <f>IF($B6938="","",TEXT($B6938,"0000"))</f>
        <v/>
      </c>
      <c r="W6938" s="19">
        <f>IF($I6938="","",IF(ISNUMBER($I6938),TEXT($I6938,"0"),$I6938))</f>
        <v/>
      </c>
    </row>
    <row r="6939">
      <c r="B6939" s="25" t="n"/>
      <c r="I6939" s="25" t="n"/>
      <c r="U6939" s="19">
        <f>IF($V6939&lt;&gt;'設定'!$C$4,N(U6938),IF(OR(NOT(COUNTIF('商品マスタ'!$B$6:$B$1005,$W6939)=0),COUNTIFS('①在庫を貼る'!$V$6:$V$10005,$V6939,'①在庫を貼る'!$W$6:$W$10005,$W6939)+COUNTIFS('月1回_1ヶ月前の在庫'!$V$6:$V$10005,$V6939,'月1回_1ヶ月前の在庫'!$W$6:$W$10005,$W6939)&gt;0),N(U6938),N(U6938)+1))</f>
        <v/>
      </c>
      <c r="V6939" s="19">
        <f>IF($B6939="","",TEXT($B6939,"0000"))</f>
        <v/>
      </c>
      <c r="W6939" s="19">
        <f>IF($I6939="","",IF(ISNUMBER($I6939),TEXT($I6939,"0"),$I6939))</f>
        <v/>
      </c>
    </row>
    <row r="6940">
      <c r="B6940" s="25" t="n"/>
      <c r="I6940" s="25" t="n"/>
      <c r="U6940" s="19">
        <f>IF($V6940&lt;&gt;'設定'!$C$4,N(U6939),IF(OR(NOT(COUNTIF('商品マスタ'!$B$6:$B$1005,$W6940)=0),COUNTIFS('①在庫を貼る'!$V$6:$V$10005,$V6940,'①在庫を貼る'!$W$6:$W$10005,$W6940)+COUNTIFS('月1回_1ヶ月前の在庫'!$V$6:$V$10005,$V6940,'月1回_1ヶ月前の在庫'!$W$6:$W$10005,$W6940)&gt;0),N(U6939),N(U6939)+1))</f>
        <v/>
      </c>
      <c r="V6940" s="19">
        <f>IF($B6940="","",TEXT($B6940,"0000"))</f>
        <v/>
      </c>
      <c r="W6940" s="19">
        <f>IF($I6940="","",IF(ISNUMBER($I6940),TEXT($I6940,"0"),$I6940))</f>
        <v/>
      </c>
    </row>
    <row r="6941">
      <c r="B6941" s="25" t="n"/>
      <c r="I6941" s="25" t="n"/>
      <c r="U6941" s="19">
        <f>IF($V6941&lt;&gt;'設定'!$C$4,N(U6940),IF(OR(NOT(COUNTIF('商品マスタ'!$B$6:$B$1005,$W6941)=0),COUNTIFS('①在庫を貼る'!$V$6:$V$10005,$V6941,'①在庫を貼る'!$W$6:$W$10005,$W6941)+COUNTIFS('月1回_1ヶ月前の在庫'!$V$6:$V$10005,$V6941,'月1回_1ヶ月前の在庫'!$W$6:$W$10005,$W6941)&gt;0),N(U6940),N(U6940)+1))</f>
        <v/>
      </c>
      <c r="V6941" s="19">
        <f>IF($B6941="","",TEXT($B6941,"0000"))</f>
        <v/>
      </c>
      <c r="W6941" s="19">
        <f>IF($I6941="","",IF(ISNUMBER($I6941),TEXT($I6941,"0"),$I6941))</f>
        <v/>
      </c>
    </row>
    <row r="6942">
      <c r="B6942" s="25" t="n"/>
      <c r="I6942" s="25" t="n"/>
      <c r="U6942" s="19">
        <f>IF($V6942&lt;&gt;'設定'!$C$4,N(U6941),IF(OR(NOT(COUNTIF('商品マスタ'!$B$6:$B$1005,$W6942)=0),COUNTIFS('①在庫を貼る'!$V$6:$V$10005,$V6942,'①在庫を貼る'!$W$6:$W$10005,$W6942)+COUNTIFS('月1回_1ヶ月前の在庫'!$V$6:$V$10005,$V6942,'月1回_1ヶ月前の在庫'!$W$6:$W$10005,$W6942)&gt;0),N(U6941),N(U6941)+1))</f>
        <v/>
      </c>
      <c r="V6942" s="19">
        <f>IF($B6942="","",TEXT($B6942,"0000"))</f>
        <v/>
      </c>
      <c r="W6942" s="19">
        <f>IF($I6942="","",IF(ISNUMBER($I6942),TEXT($I6942,"0"),$I6942))</f>
        <v/>
      </c>
    </row>
    <row r="6943">
      <c r="B6943" s="25" t="n"/>
      <c r="I6943" s="25" t="n"/>
      <c r="U6943" s="19">
        <f>IF($V6943&lt;&gt;'設定'!$C$4,N(U6942),IF(OR(NOT(COUNTIF('商品マスタ'!$B$6:$B$1005,$W6943)=0),COUNTIFS('①在庫を貼る'!$V$6:$V$10005,$V6943,'①在庫を貼る'!$W$6:$W$10005,$W6943)+COUNTIFS('月1回_1ヶ月前の在庫'!$V$6:$V$10005,$V6943,'月1回_1ヶ月前の在庫'!$W$6:$W$10005,$W6943)&gt;0),N(U6942),N(U6942)+1))</f>
        <v/>
      </c>
      <c r="V6943" s="19">
        <f>IF($B6943="","",TEXT($B6943,"0000"))</f>
        <v/>
      </c>
      <c r="W6943" s="19">
        <f>IF($I6943="","",IF(ISNUMBER($I6943),TEXT($I6943,"0"),$I6943))</f>
        <v/>
      </c>
    </row>
    <row r="6944">
      <c r="B6944" s="25" t="n"/>
      <c r="I6944" s="25" t="n"/>
      <c r="U6944" s="19">
        <f>IF($V6944&lt;&gt;'設定'!$C$4,N(U6943),IF(OR(NOT(COUNTIF('商品マスタ'!$B$6:$B$1005,$W6944)=0),COUNTIFS('①在庫を貼る'!$V$6:$V$10005,$V6944,'①在庫を貼る'!$W$6:$W$10005,$W6944)+COUNTIFS('月1回_1ヶ月前の在庫'!$V$6:$V$10005,$V6944,'月1回_1ヶ月前の在庫'!$W$6:$W$10005,$W6944)&gt;0),N(U6943),N(U6943)+1))</f>
        <v/>
      </c>
      <c r="V6944" s="19">
        <f>IF($B6944="","",TEXT($B6944,"0000"))</f>
        <v/>
      </c>
      <c r="W6944" s="19">
        <f>IF($I6944="","",IF(ISNUMBER($I6944),TEXT($I6944,"0"),$I6944))</f>
        <v/>
      </c>
    </row>
    <row r="6945">
      <c r="B6945" s="25" t="n"/>
      <c r="I6945" s="25" t="n"/>
      <c r="U6945" s="19">
        <f>IF($V6945&lt;&gt;'設定'!$C$4,N(U6944),IF(OR(NOT(COUNTIF('商品マスタ'!$B$6:$B$1005,$W6945)=0),COUNTIFS('①在庫を貼る'!$V$6:$V$10005,$V6945,'①在庫を貼る'!$W$6:$W$10005,$W6945)+COUNTIFS('月1回_1ヶ月前の在庫'!$V$6:$V$10005,$V6945,'月1回_1ヶ月前の在庫'!$W$6:$W$10005,$W6945)&gt;0),N(U6944),N(U6944)+1))</f>
        <v/>
      </c>
      <c r="V6945" s="19">
        <f>IF($B6945="","",TEXT($B6945,"0000"))</f>
        <v/>
      </c>
      <c r="W6945" s="19">
        <f>IF($I6945="","",IF(ISNUMBER($I6945),TEXT($I6945,"0"),$I6945))</f>
        <v/>
      </c>
    </row>
    <row r="6946">
      <c r="B6946" s="25" t="n"/>
      <c r="I6946" s="25" t="n"/>
      <c r="U6946" s="19">
        <f>IF($V6946&lt;&gt;'設定'!$C$4,N(U6945),IF(OR(NOT(COUNTIF('商品マスタ'!$B$6:$B$1005,$W6946)=0),COUNTIFS('①在庫を貼る'!$V$6:$V$10005,$V6946,'①在庫を貼る'!$W$6:$W$10005,$W6946)+COUNTIFS('月1回_1ヶ月前の在庫'!$V$6:$V$10005,$V6946,'月1回_1ヶ月前の在庫'!$W$6:$W$10005,$W6946)&gt;0),N(U6945),N(U6945)+1))</f>
        <v/>
      </c>
      <c r="V6946" s="19">
        <f>IF($B6946="","",TEXT($B6946,"0000"))</f>
        <v/>
      </c>
      <c r="W6946" s="19">
        <f>IF($I6946="","",IF(ISNUMBER($I6946),TEXT($I6946,"0"),$I6946))</f>
        <v/>
      </c>
    </row>
    <row r="6947">
      <c r="B6947" s="25" t="n"/>
      <c r="I6947" s="25" t="n"/>
      <c r="U6947" s="19">
        <f>IF($V6947&lt;&gt;'設定'!$C$4,N(U6946),IF(OR(NOT(COUNTIF('商品マスタ'!$B$6:$B$1005,$W6947)=0),COUNTIFS('①在庫を貼る'!$V$6:$V$10005,$V6947,'①在庫を貼る'!$W$6:$W$10005,$W6947)+COUNTIFS('月1回_1ヶ月前の在庫'!$V$6:$V$10005,$V6947,'月1回_1ヶ月前の在庫'!$W$6:$W$10005,$W6947)&gt;0),N(U6946),N(U6946)+1))</f>
        <v/>
      </c>
      <c r="V6947" s="19">
        <f>IF($B6947="","",TEXT($B6947,"0000"))</f>
        <v/>
      </c>
      <c r="W6947" s="19">
        <f>IF($I6947="","",IF(ISNUMBER($I6947),TEXT($I6947,"0"),$I6947))</f>
        <v/>
      </c>
    </row>
    <row r="6948">
      <c r="B6948" s="25" t="n"/>
      <c r="I6948" s="25" t="n"/>
      <c r="U6948" s="19">
        <f>IF($V6948&lt;&gt;'設定'!$C$4,N(U6947),IF(OR(NOT(COUNTIF('商品マスタ'!$B$6:$B$1005,$W6948)=0),COUNTIFS('①在庫を貼る'!$V$6:$V$10005,$V6948,'①在庫を貼る'!$W$6:$W$10005,$W6948)+COUNTIFS('月1回_1ヶ月前の在庫'!$V$6:$V$10005,$V6948,'月1回_1ヶ月前の在庫'!$W$6:$W$10005,$W6948)&gt;0),N(U6947),N(U6947)+1))</f>
        <v/>
      </c>
      <c r="V6948" s="19">
        <f>IF($B6948="","",TEXT($B6948,"0000"))</f>
        <v/>
      </c>
      <c r="W6948" s="19">
        <f>IF($I6948="","",IF(ISNUMBER($I6948),TEXT($I6948,"0"),$I6948))</f>
        <v/>
      </c>
    </row>
    <row r="6949">
      <c r="B6949" s="25" t="n"/>
      <c r="I6949" s="25" t="n"/>
      <c r="U6949" s="19">
        <f>IF($V6949&lt;&gt;'設定'!$C$4,N(U6948),IF(OR(NOT(COUNTIF('商品マスタ'!$B$6:$B$1005,$W6949)=0),COUNTIFS('①在庫を貼る'!$V$6:$V$10005,$V6949,'①在庫を貼る'!$W$6:$W$10005,$W6949)+COUNTIFS('月1回_1ヶ月前の在庫'!$V$6:$V$10005,$V6949,'月1回_1ヶ月前の在庫'!$W$6:$W$10005,$W6949)&gt;0),N(U6948),N(U6948)+1))</f>
        <v/>
      </c>
      <c r="V6949" s="19">
        <f>IF($B6949="","",TEXT($B6949,"0000"))</f>
        <v/>
      </c>
      <c r="W6949" s="19">
        <f>IF($I6949="","",IF(ISNUMBER($I6949),TEXT($I6949,"0"),$I6949))</f>
        <v/>
      </c>
    </row>
    <row r="6950">
      <c r="B6950" s="25" t="n"/>
      <c r="I6950" s="25" t="n"/>
      <c r="U6950" s="19">
        <f>IF($V6950&lt;&gt;'設定'!$C$4,N(U6949),IF(OR(NOT(COUNTIF('商品マスタ'!$B$6:$B$1005,$W6950)=0),COUNTIFS('①在庫を貼る'!$V$6:$V$10005,$V6950,'①在庫を貼る'!$W$6:$W$10005,$W6950)+COUNTIFS('月1回_1ヶ月前の在庫'!$V$6:$V$10005,$V6950,'月1回_1ヶ月前の在庫'!$W$6:$W$10005,$W6950)&gt;0),N(U6949),N(U6949)+1))</f>
        <v/>
      </c>
      <c r="V6950" s="19">
        <f>IF($B6950="","",TEXT($B6950,"0000"))</f>
        <v/>
      </c>
      <c r="W6950" s="19">
        <f>IF($I6950="","",IF(ISNUMBER($I6950),TEXT($I6950,"0"),$I6950))</f>
        <v/>
      </c>
    </row>
    <row r="6951">
      <c r="B6951" s="25" t="n"/>
      <c r="I6951" s="25" t="n"/>
      <c r="U6951" s="19">
        <f>IF($V6951&lt;&gt;'設定'!$C$4,N(U6950),IF(OR(NOT(COUNTIF('商品マスタ'!$B$6:$B$1005,$W6951)=0),COUNTIFS('①在庫を貼る'!$V$6:$V$10005,$V6951,'①在庫を貼る'!$W$6:$W$10005,$W6951)+COUNTIFS('月1回_1ヶ月前の在庫'!$V$6:$V$10005,$V6951,'月1回_1ヶ月前の在庫'!$W$6:$W$10005,$W6951)&gt;0),N(U6950),N(U6950)+1))</f>
        <v/>
      </c>
      <c r="V6951" s="19">
        <f>IF($B6951="","",TEXT($B6951,"0000"))</f>
        <v/>
      </c>
      <c r="W6951" s="19">
        <f>IF($I6951="","",IF(ISNUMBER($I6951),TEXT($I6951,"0"),$I6951))</f>
        <v/>
      </c>
    </row>
    <row r="6952">
      <c r="B6952" s="25" t="n"/>
      <c r="I6952" s="25" t="n"/>
      <c r="U6952" s="19">
        <f>IF($V6952&lt;&gt;'設定'!$C$4,N(U6951),IF(OR(NOT(COUNTIF('商品マスタ'!$B$6:$B$1005,$W6952)=0),COUNTIFS('①在庫を貼る'!$V$6:$V$10005,$V6952,'①在庫を貼る'!$W$6:$W$10005,$W6952)+COUNTIFS('月1回_1ヶ月前の在庫'!$V$6:$V$10005,$V6952,'月1回_1ヶ月前の在庫'!$W$6:$W$10005,$W6952)&gt;0),N(U6951),N(U6951)+1))</f>
        <v/>
      </c>
      <c r="V6952" s="19">
        <f>IF($B6952="","",TEXT($B6952,"0000"))</f>
        <v/>
      </c>
      <c r="W6952" s="19">
        <f>IF($I6952="","",IF(ISNUMBER($I6952),TEXT($I6952,"0"),$I6952))</f>
        <v/>
      </c>
    </row>
    <row r="6953">
      <c r="B6953" s="25" t="n"/>
      <c r="I6953" s="25" t="n"/>
      <c r="U6953" s="19">
        <f>IF($V6953&lt;&gt;'設定'!$C$4,N(U6952),IF(OR(NOT(COUNTIF('商品マスタ'!$B$6:$B$1005,$W6953)=0),COUNTIFS('①在庫を貼る'!$V$6:$V$10005,$V6953,'①在庫を貼る'!$W$6:$W$10005,$W6953)+COUNTIFS('月1回_1ヶ月前の在庫'!$V$6:$V$10005,$V6953,'月1回_1ヶ月前の在庫'!$W$6:$W$10005,$W6953)&gt;0),N(U6952),N(U6952)+1))</f>
        <v/>
      </c>
      <c r="V6953" s="19">
        <f>IF($B6953="","",TEXT($B6953,"0000"))</f>
        <v/>
      </c>
      <c r="W6953" s="19">
        <f>IF($I6953="","",IF(ISNUMBER($I6953),TEXT($I6953,"0"),$I6953))</f>
        <v/>
      </c>
    </row>
    <row r="6954">
      <c r="B6954" s="25" t="n"/>
      <c r="I6954" s="25" t="n"/>
      <c r="U6954" s="19">
        <f>IF($V6954&lt;&gt;'設定'!$C$4,N(U6953),IF(OR(NOT(COUNTIF('商品マスタ'!$B$6:$B$1005,$W6954)=0),COUNTIFS('①在庫を貼る'!$V$6:$V$10005,$V6954,'①在庫を貼る'!$W$6:$W$10005,$W6954)+COUNTIFS('月1回_1ヶ月前の在庫'!$V$6:$V$10005,$V6954,'月1回_1ヶ月前の在庫'!$W$6:$W$10005,$W6954)&gt;0),N(U6953),N(U6953)+1))</f>
        <v/>
      </c>
      <c r="V6954" s="19">
        <f>IF($B6954="","",TEXT($B6954,"0000"))</f>
        <v/>
      </c>
      <c r="W6954" s="19">
        <f>IF($I6954="","",IF(ISNUMBER($I6954),TEXT($I6954,"0"),$I6954))</f>
        <v/>
      </c>
    </row>
    <row r="6955">
      <c r="B6955" s="25" t="n"/>
      <c r="I6955" s="25" t="n"/>
      <c r="U6955" s="19">
        <f>IF($V6955&lt;&gt;'設定'!$C$4,N(U6954),IF(OR(NOT(COUNTIF('商品マスタ'!$B$6:$B$1005,$W6955)=0),COUNTIFS('①在庫を貼る'!$V$6:$V$10005,$V6955,'①在庫を貼る'!$W$6:$W$10005,$W6955)+COUNTIFS('月1回_1ヶ月前の在庫'!$V$6:$V$10005,$V6955,'月1回_1ヶ月前の在庫'!$W$6:$W$10005,$W6955)&gt;0),N(U6954),N(U6954)+1))</f>
        <v/>
      </c>
      <c r="V6955" s="19">
        <f>IF($B6955="","",TEXT($B6955,"0000"))</f>
        <v/>
      </c>
      <c r="W6955" s="19">
        <f>IF($I6955="","",IF(ISNUMBER($I6955),TEXT($I6955,"0"),$I6955))</f>
        <v/>
      </c>
    </row>
    <row r="6956">
      <c r="B6956" s="25" t="n"/>
      <c r="I6956" s="25" t="n"/>
      <c r="U6956" s="19">
        <f>IF($V6956&lt;&gt;'設定'!$C$4,N(U6955),IF(OR(NOT(COUNTIF('商品マスタ'!$B$6:$B$1005,$W6956)=0),COUNTIFS('①在庫を貼る'!$V$6:$V$10005,$V6956,'①在庫を貼る'!$W$6:$W$10005,$W6956)+COUNTIFS('月1回_1ヶ月前の在庫'!$V$6:$V$10005,$V6956,'月1回_1ヶ月前の在庫'!$W$6:$W$10005,$W6956)&gt;0),N(U6955),N(U6955)+1))</f>
        <v/>
      </c>
      <c r="V6956" s="19">
        <f>IF($B6956="","",TEXT($B6956,"0000"))</f>
        <v/>
      </c>
      <c r="W6956" s="19">
        <f>IF($I6956="","",IF(ISNUMBER($I6956),TEXT($I6956,"0"),$I6956))</f>
        <v/>
      </c>
    </row>
    <row r="6957">
      <c r="B6957" s="25" t="n"/>
      <c r="I6957" s="25" t="n"/>
      <c r="U6957" s="19">
        <f>IF($V6957&lt;&gt;'設定'!$C$4,N(U6956),IF(OR(NOT(COUNTIF('商品マスタ'!$B$6:$B$1005,$W6957)=0),COUNTIFS('①在庫を貼る'!$V$6:$V$10005,$V6957,'①在庫を貼る'!$W$6:$W$10005,$W6957)+COUNTIFS('月1回_1ヶ月前の在庫'!$V$6:$V$10005,$V6957,'月1回_1ヶ月前の在庫'!$W$6:$W$10005,$W6957)&gt;0),N(U6956),N(U6956)+1))</f>
        <v/>
      </c>
      <c r="V6957" s="19">
        <f>IF($B6957="","",TEXT($B6957,"0000"))</f>
        <v/>
      </c>
      <c r="W6957" s="19">
        <f>IF($I6957="","",IF(ISNUMBER($I6957),TEXT($I6957,"0"),$I6957))</f>
        <v/>
      </c>
    </row>
    <row r="6958">
      <c r="B6958" s="25" t="n"/>
      <c r="I6958" s="25" t="n"/>
      <c r="U6958" s="19">
        <f>IF($V6958&lt;&gt;'設定'!$C$4,N(U6957),IF(OR(NOT(COUNTIF('商品マスタ'!$B$6:$B$1005,$W6958)=0),COUNTIFS('①在庫を貼る'!$V$6:$V$10005,$V6958,'①在庫を貼る'!$W$6:$W$10005,$W6958)+COUNTIFS('月1回_1ヶ月前の在庫'!$V$6:$V$10005,$V6958,'月1回_1ヶ月前の在庫'!$W$6:$W$10005,$W6958)&gt;0),N(U6957),N(U6957)+1))</f>
        <v/>
      </c>
      <c r="V6958" s="19">
        <f>IF($B6958="","",TEXT($B6958,"0000"))</f>
        <v/>
      </c>
      <c r="W6958" s="19">
        <f>IF($I6958="","",IF(ISNUMBER($I6958),TEXT($I6958,"0"),$I6958))</f>
        <v/>
      </c>
    </row>
    <row r="6959">
      <c r="B6959" s="25" t="n"/>
      <c r="I6959" s="25" t="n"/>
      <c r="U6959" s="19">
        <f>IF($V6959&lt;&gt;'設定'!$C$4,N(U6958),IF(OR(NOT(COUNTIF('商品マスタ'!$B$6:$B$1005,$W6959)=0),COUNTIFS('①在庫を貼る'!$V$6:$V$10005,$V6959,'①在庫を貼る'!$W$6:$W$10005,$W6959)+COUNTIFS('月1回_1ヶ月前の在庫'!$V$6:$V$10005,$V6959,'月1回_1ヶ月前の在庫'!$W$6:$W$10005,$W6959)&gt;0),N(U6958),N(U6958)+1))</f>
        <v/>
      </c>
      <c r="V6959" s="19">
        <f>IF($B6959="","",TEXT($B6959,"0000"))</f>
        <v/>
      </c>
      <c r="W6959" s="19">
        <f>IF($I6959="","",IF(ISNUMBER($I6959),TEXT($I6959,"0"),$I6959))</f>
        <v/>
      </c>
    </row>
    <row r="6960">
      <c r="B6960" s="25" t="n"/>
      <c r="I6960" s="25" t="n"/>
      <c r="U6960" s="19">
        <f>IF($V6960&lt;&gt;'設定'!$C$4,N(U6959),IF(OR(NOT(COUNTIF('商品マスタ'!$B$6:$B$1005,$W6960)=0),COUNTIFS('①在庫を貼る'!$V$6:$V$10005,$V6960,'①在庫を貼る'!$W$6:$W$10005,$W6960)+COUNTIFS('月1回_1ヶ月前の在庫'!$V$6:$V$10005,$V6960,'月1回_1ヶ月前の在庫'!$W$6:$W$10005,$W6960)&gt;0),N(U6959),N(U6959)+1))</f>
        <v/>
      </c>
      <c r="V6960" s="19">
        <f>IF($B6960="","",TEXT($B6960,"0000"))</f>
        <v/>
      </c>
      <c r="W6960" s="19">
        <f>IF($I6960="","",IF(ISNUMBER($I6960),TEXT($I6960,"0"),$I6960))</f>
        <v/>
      </c>
    </row>
    <row r="6961">
      <c r="B6961" s="25" t="n"/>
      <c r="I6961" s="25" t="n"/>
      <c r="U6961" s="19">
        <f>IF($V6961&lt;&gt;'設定'!$C$4,N(U6960),IF(OR(NOT(COUNTIF('商品マスタ'!$B$6:$B$1005,$W6961)=0),COUNTIFS('①在庫を貼る'!$V$6:$V$10005,$V6961,'①在庫を貼る'!$W$6:$W$10005,$W6961)+COUNTIFS('月1回_1ヶ月前の在庫'!$V$6:$V$10005,$V6961,'月1回_1ヶ月前の在庫'!$W$6:$W$10005,$W6961)&gt;0),N(U6960),N(U6960)+1))</f>
        <v/>
      </c>
      <c r="V6961" s="19">
        <f>IF($B6961="","",TEXT($B6961,"0000"))</f>
        <v/>
      </c>
      <c r="W6961" s="19">
        <f>IF($I6961="","",IF(ISNUMBER($I6961),TEXT($I6961,"0"),$I6961))</f>
        <v/>
      </c>
    </row>
    <row r="6962">
      <c r="B6962" s="25" t="n"/>
      <c r="I6962" s="25" t="n"/>
      <c r="U6962" s="19">
        <f>IF($V6962&lt;&gt;'設定'!$C$4,N(U6961),IF(OR(NOT(COUNTIF('商品マスタ'!$B$6:$B$1005,$W6962)=0),COUNTIFS('①在庫を貼る'!$V$6:$V$10005,$V6962,'①在庫を貼る'!$W$6:$W$10005,$W6962)+COUNTIFS('月1回_1ヶ月前の在庫'!$V$6:$V$10005,$V6962,'月1回_1ヶ月前の在庫'!$W$6:$W$10005,$W6962)&gt;0),N(U6961),N(U6961)+1))</f>
        <v/>
      </c>
      <c r="V6962" s="19">
        <f>IF($B6962="","",TEXT($B6962,"0000"))</f>
        <v/>
      </c>
      <c r="W6962" s="19">
        <f>IF($I6962="","",IF(ISNUMBER($I6962),TEXT($I6962,"0"),$I6962))</f>
        <v/>
      </c>
    </row>
    <row r="6963">
      <c r="B6963" s="25" t="n"/>
      <c r="I6963" s="25" t="n"/>
      <c r="U6963" s="19">
        <f>IF($V6963&lt;&gt;'設定'!$C$4,N(U6962),IF(OR(NOT(COUNTIF('商品マスタ'!$B$6:$B$1005,$W6963)=0),COUNTIFS('①在庫を貼る'!$V$6:$V$10005,$V6963,'①在庫を貼る'!$W$6:$W$10005,$W6963)+COUNTIFS('月1回_1ヶ月前の在庫'!$V$6:$V$10005,$V6963,'月1回_1ヶ月前の在庫'!$W$6:$W$10005,$W6963)&gt;0),N(U6962),N(U6962)+1))</f>
        <v/>
      </c>
      <c r="V6963" s="19">
        <f>IF($B6963="","",TEXT($B6963,"0000"))</f>
        <v/>
      </c>
      <c r="W6963" s="19">
        <f>IF($I6963="","",IF(ISNUMBER($I6963),TEXT($I6963,"0"),$I6963))</f>
        <v/>
      </c>
    </row>
    <row r="6964">
      <c r="B6964" s="25" t="n"/>
      <c r="I6964" s="25" t="n"/>
      <c r="U6964" s="19">
        <f>IF($V6964&lt;&gt;'設定'!$C$4,N(U6963),IF(OR(NOT(COUNTIF('商品マスタ'!$B$6:$B$1005,$W6964)=0),COUNTIFS('①在庫を貼る'!$V$6:$V$10005,$V6964,'①在庫を貼る'!$W$6:$W$10005,$W6964)+COUNTIFS('月1回_1ヶ月前の在庫'!$V$6:$V$10005,$V6964,'月1回_1ヶ月前の在庫'!$W$6:$W$10005,$W6964)&gt;0),N(U6963),N(U6963)+1))</f>
        <v/>
      </c>
      <c r="V6964" s="19">
        <f>IF($B6964="","",TEXT($B6964,"0000"))</f>
        <v/>
      </c>
      <c r="W6964" s="19">
        <f>IF($I6964="","",IF(ISNUMBER($I6964),TEXT($I6964,"0"),$I6964))</f>
        <v/>
      </c>
    </row>
    <row r="6965">
      <c r="B6965" s="25" t="n"/>
      <c r="I6965" s="25" t="n"/>
      <c r="U6965" s="19">
        <f>IF($V6965&lt;&gt;'設定'!$C$4,N(U6964),IF(OR(NOT(COUNTIF('商品マスタ'!$B$6:$B$1005,$W6965)=0),COUNTIFS('①在庫を貼る'!$V$6:$V$10005,$V6965,'①在庫を貼る'!$W$6:$W$10005,$W6965)+COUNTIFS('月1回_1ヶ月前の在庫'!$V$6:$V$10005,$V6965,'月1回_1ヶ月前の在庫'!$W$6:$W$10005,$W6965)&gt;0),N(U6964),N(U6964)+1))</f>
        <v/>
      </c>
      <c r="V6965" s="19">
        <f>IF($B6965="","",TEXT($B6965,"0000"))</f>
        <v/>
      </c>
      <c r="W6965" s="19">
        <f>IF($I6965="","",IF(ISNUMBER($I6965),TEXT($I6965,"0"),$I6965))</f>
        <v/>
      </c>
    </row>
    <row r="6966">
      <c r="B6966" s="25" t="n"/>
      <c r="I6966" s="25" t="n"/>
      <c r="U6966" s="19">
        <f>IF($V6966&lt;&gt;'設定'!$C$4,N(U6965),IF(OR(NOT(COUNTIF('商品マスタ'!$B$6:$B$1005,$W6966)=0),COUNTIFS('①在庫を貼る'!$V$6:$V$10005,$V6966,'①在庫を貼る'!$W$6:$W$10005,$W6966)+COUNTIFS('月1回_1ヶ月前の在庫'!$V$6:$V$10005,$V6966,'月1回_1ヶ月前の在庫'!$W$6:$W$10005,$W6966)&gt;0),N(U6965),N(U6965)+1))</f>
        <v/>
      </c>
      <c r="V6966" s="19">
        <f>IF($B6966="","",TEXT($B6966,"0000"))</f>
        <v/>
      </c>
      <c r="W6966" s="19">
        <f>IF($I6966="","",IF(ISNUMBER($I6966),TEXT($I6966,"0"),$I6966))</f>
        <v/>
      </c>
    </row>
    <row r="6967">
      <c r="B6967" s="25" t="n"/>
      <c r="I6967" s="25" t="n"/>
      <c r="U6967" s="19">
        <f>IF($V6967&lt;&gt;'設定'!$C$4,N(U6966),IF(OR(NOT(COUNTIF('商品マスタ'!$B$6:$B$1005,$W6967)=0),COUNTIFS('①在庫を貼る'!$V$6:$V$10005,$V6967,'①在庫を貼る'!$W$6:$W$10005,$W6967)+COUNTIFS('月1回_1ヶ月前の在庫'!$V$6:$V$10005,$V6967,'月1回_1ヶ月前の在庫'!$W$6:$W$10005,$W6967)&gt;0),N(U6966),N(U6966)+1))</f>
        <v/>
      </c>
      <c r="V6967" s="19">
        <f>IF($B6967="","",TEXT($B6967,"0000"))</f>
        <v/>
      </c>
      <c r="W6967" s="19">
        <f>IF($I6967="","",IF(ISNUMBER($I6967),TEXT($I6967,"0"),$I6967))</f>
        <v/>
      </c>
    </row>
    <row r="6968">
      <c r="B6968" s="25" t="n"/>
      <c r="I6968" s="25" t="n"/>
      <c r="U6968" s="19">
        <f>IF($V6968&lt;&gt;'設定'!$C$4,N(U6967),IF(OR(NOT(COUNTIF('商品マスタ'!$B$6:$B$1005,$W6968)=0),COUNTIFS('①在庫を貼る'!$V$6:$V$10005,$V6968,'①在庫を貼る'!$W$6:$W$10005,$W6968)+COUNTIFS('月1回_1ヶ月前の在庫'!$V$6:$V$10005,$V6968,'月1回_1ヶ月前の在庫'!$W$6:$W$10005,$W6968)&gt;0),N(U6967),N(U6967)+1))</f>
        <v/>
      </c>
      <c r="V6968" s="19">
        <f>IF($B6968="","",TEXT($B6968,"0000"))</f>
        <v/>
      </c>
      <c r="W6968" s="19">
        <f>IF($I6968="","",IF(ISNUMBER($I6968),TEXT($I6968,"0"),$I6968))</f>
        <v/>
      </c>
    </row>
    <row r="6969">
      <c r="B6969" s="25" t="n"/>
      <c r="I6969" s="25" t="n"/>
      <c r="U6969" s="19">
        <f>IF($V6969&lt;&gt;'設定'!$C$4,N(U6968),IF(OR(NOT(COUNTIF('商品マスタ'!$B$6:$B$1005,$W6969)=0),COUNTIFS('①在庫を貼る'!$V$6:$V$10005,$V6969,'①在庫を貼る'!$W$6:$W$10005,$W6969)+COUNTIFS('月1回_1ヶ月前の在庫'!$V$6:$V$10005,$V6969,'月1回_1ヶ月前の在庫'!$W$6:$W$10005,$W6969)&gt;0),N(U6968),N(U6968)+1))</f>
        <v/>
      </c>
      <c r="V6969" s="19">
        <f>IF($B6969="","",TEXT($B6969,"0000"))</f>
        <v/>
      </c>
      <c r="W6969" s="19">
        <f>IF($I6969="","",IF(ISNUMBER($I6969),TEXT($I6969,"0"),$I6969))</f>
        <v/>
      </c>
    </row>
    <row r="6970">
      <c r="B6970" s="25" t="n"/>
      <c r="I6970" s="25" t="n"/>
      <c r="U6970" s="19">
        <f>IF($V6970&lt;&gt;'設定'!$C$4,N(U6969),IF(OR(NOT(COUNTIF('商品マスタ'!$B$6:$B$1005,$W6970)=0),COUNTIFS('①在庫を貼る'!$V$6:$V$10005,$V6970,'①在庫を貼る'!$W$6:$W$10005,$W6970)+COUNTIFS('月1回_1ヶ月前の在庫'!$V$6:$V$10005,$V6970,'月1回_1ヶ月前の在庫'!$W$6:$W$10005,$W6970)&gt;0),N(U6969),N(U6969)+1))</f>
        <v/>
      </c>
      <c r="V6970" s="19">
        <f>IF($B6970="","",TEXT($B6970,"0000"))</f>
        <v/>
      </c>
      <c r="W6970" s="19">
        <f>IF($I6970="","",IF(ISNUMBER($I6970),TEXT($I6970,"0"),$I6970))</f>
        <v/>
      </c>
    </row>
    <row r="6971">
      <c r="B6971" s="25" t="n"/>
      <c r="I6971" s="25" t="n"/>
      <c r="U6971" s="19">
        <f>IF($V6971&lt;&gt;'設定'!$C$4,N(U6970),IF(OR(NOT(COUNTIF('商品マスタ'!$B$6:$B$1005,$W6971)=0),COUNTIFS('①在庫を貼る'!$V$6:$V$10005,$V6971,'①在庫を貼る'!$W$6:$W$10005,$W6971)+COUNTIFS('月1回_1ヶ月前の在庫'!$V$6:$V$10005,$V6971,'月1回_1ヶ月前の在庫'!$W$6:$W$10005,$W6971)&gt;0),N(U6970),N(U6970)+1))</f>
        <v/>
      </c>
      <c r="V6971" s="19">
        <f>IF($B6971="","",TEXT($B6971,"0000"))</f>
        <v/>
      </c>
      <c r="W6971" s="19">
        <f>IF($I6971="","",IF(ISNUMBER($I6971),TEXT($I6971,"0"),$I6971))</f>
        <v/>
      </c>
    </row>
    <row r="6972">
      <c r="B6972" s="25" t="n"/>
      <c r="I6972" s="25" t="n"/>
      <c r="U6972" s="19">
        <f>IF($V6972&lt;&gt;'設定'!$C$4,N(U6971),IF(OR(NOT(COUNTIF('商品マスタ'!$B$6:$B$1005,$W6972)=0),COUNTIFS('①在庫を貼る'!$V$6:$V$10005,$V6972,'①在庫を貼る'!$W$6:$W$10005,$W6972)+COUNTIFS('月1回_1ヶ月前の在庫'!$V$6:$V$10005,$V6972,'月1回_1ヶ月前の在庫'!$W$6:$W$10005,$W6972)&gt;0),N(U6971),N(U6971)+1))</f>
        <v/>
      </c>
      <c r="V6972" s="19">
        <f>IF($B6972="","",TEXT($B6972,"0000"))</f>
        <v/>
      </c>
      <c r="W6972" s="19">
        <f>IF($I6972="","",IF(ISNUMBER($I6972),TEXT($I6972,"0"),$I6972))</f>
        <v/>
      </c>
    </row>
    <row r="6973">
      <c r="B6973" s="25" t="n"/>
      <c r="I6973" s="25" t="n"/>
      <c r="U6973" s="19">
        <f>IF($V6973&lt;&gt;'設定'!$C$4,N(U6972),IF(OR(NOT(COUNTIF('商品マスタ'!$B$6:$B$1005,$W6973)=0),COUNTIFS('①在庫を貼る'!$V$6:$V$10005,$V6973,'①在庫を貼る'!$W$6:$W$10005,$W6973)+COUNTIFS('月1回_1ヶ月前の在庫'!$V$6:$V$10005,$V6973,'月1回_1ヶ月前の在庫'!$W$6:$W$10005,$W6973)&gt;0),N(U6972),N(U6972)+1))</f>
        <v/>
      </c>
      <c r="V6973" s="19">
        <f>IF($B6973="","",TEXT($B6973,"0000"))</f>
        <v/>
      </c>
      <c r="W6973" s="19">
        <f>IF($I6973="","",IF(ISNUMBER($I6973),TEXT($I6973,"0"),$I6973))</f>
        <v/>
      </c>
    </row>
    <row r="6974">
      <c r="B6974" s="25" t="n"/>
      <c r="I6974" s="25" t="n"/>
      <c r="U6974" s="19">
        <f>IF($V6974&lt;&gt;'設定'!$C$4,N(U6973),IF(OR(NOT(COUNTIF('商品マスタ'!$B$6:$B$1005,$W6974)=0),COUNTIFS('①在庫を貼る'!$V$6:$V$10005,$V6974,'①在庫を貼る'!$W$6:$W$10005,$W6974)+COUNTIFS('月1回_1ヶ月前の在庫'!$V$6:$V$10005,$V6974,'月1回_1ヶ月前の在庫'!$W$6:$W$10005,$W6974)&gt;0),N(U6973),N(U6973)+1))</f>
        <v/>
      </c>
      <c r="V6974" s="19">
        <f>IF($B6974="","",TEXT($B6974,"0000"))</f>
        <v/>
      </c>
      <c r="W6974" s="19">
        <f>IF($I6974="","",IF(ISNUMBER($I6974),TEXT($I6974,"0"),$I6974))</f>
        <v/>
      </c>
    </row>
    <row r="6975">
      <c r="B6975" s="25" t="n"/>
      <c r="I6975" s="25" t="n"/>
      <c r="U6975" s="19">
        <f>IF($V6975&lt;&gt;'設定'!$C$4,N(U6974),IF(OR(NOT(COUNTIF('商品マスタ'!$B$6:$B$1005,$W6975)=0),COUNTIFS('①在庫を貼る'!$V$6:$V$10005,$V6975,'①在庫を貼る'!$W$6:$W$10005,$W6975)+COUNTIFS('月1回_1ヶ月前の在庫'!$V$6:$V$10005,$V6975,'月1回_1ヶ月前の在庫'!$W$6:$W$10005,$W6975)&gt;0),N(U6974),N(U6974)+1))</f>
        <v/>
      </c>
      <c r="V6975" s="19">
        <f>IF($B6975="","",TEXT($B6975,"0000"))</f>
        <v/>
      </c>
      <c r="W6975" s="19">
        <f>IF($I6975="","",IF(ISNUMBER($I6975),TEXT($I6975,"0"),$I6975))</f>
        <v/>
      </c>
    </row>
    <row r="6976">
      <c r="B6976" s="25" t="n"/>
      <c r="I6976" s="25" t="n"/>
      <c r="U6976" s="19">
        <f>IF($V6976&lt;&gt;'設定'!$C$4,N(U6975),IF(OR(NOT(COUNTIF('商品マスタ'!$B$6:$B$1005,$W6976)=0),COUNTIFS('①在庫を貼る'!$V$6:$V$10005,$V6976,'①在庫を貼る'!$W$6:$W$10005,$W6976)+COUNTIFS('月1回_1ヶ月前の在庫'!$V$6:$V$10005,$V6976,'月1回_1ヶ月前の在庫'!$W$6:$W$10005,$W6976)&gt;0),N(U6975),N(U6975)+1))</f>
        <v/>
      </c>
      <c r="V6976" s="19">
        <f>IF($B6976="","",TEXT($B6976,"0000"))</f>
        <v/>
      </c>
      <c r="W6976" s="19">
        <f>IF($I6976="","",IF(ISNUMBER($I6976),TEXT($I6976,"0"),$I6976))</f>
        <v/>
      </c>
    </row>
    <row r="6977">
      <c r="B6977" s="25" t="n"/>
      <c r="I6977" s="25" t="n"/>
      <c r="U6977" s="19">
        <f>IF($V6977&lt;&gt;'設定'!$C$4,N(U6976),IF(OR(NOT(COUNTIF('商品マスタ'!$B$6:$B$1005,$W6977)=0),COUNTIFS('①在庫を貼る'!$V$6:$V$10005,$V6977,'①在庫を貼る'!$W$6:$W$10005,$W6977)+COUNTIFS('月1回_1ヶ月前の在庫'!$V$6:$V$10005,$V6977,'月1回_1ヶ月前の在庫'!$W$6:$W$10005,$W6977)&gt;0),N(U6976),N(U6976)+1))</f>
        <v/>
      </c>
      <c r="V6977" s="19">
        <f>IF($B6977="","",TEXT($B6977,"0000"))</f>
        <v/>
      </c>
      <c r="W6977" s="19">
        <f>IF($I6977="","",IF(ISNUMBER($I6977),TEXT($I6977,"0"),$I6977))</f>
        <v/>
      </c>
    </row>
    <row r="6978">
      <c r="B6978" s="25" t="n"/>
      <c r="I6978" s="25" t="n"/>
      <c r="U6978" s="19">
        <f>IF($V6978&lt;&gt;'設定'!$C$4,N(U6977),IF(OR(NOT(COUNTIF('商品マスタ'!$B$6:$B$1005,$W6978)=0),COUNTIFS('①在庫を貼る'!$V$6:$V$10005,$V6978,'①在庫を貼る'!$W$6:$W$10005,$W6978)+COUNTIFS('月1回_1ヶ月前の在庫'!$V$6:$V$10005,$V6978,'月1回_1ヶ月前の在庫'!$W$6:$W$10005,$W6978)&gt;0),N(U6977),N(U6977)+1))</f>
        <v/>
      </c>
      <c r="V6978" s="19">
        <f>IF($B6978="","",TEXT($B6978,"0000"))</f>
        <v/>
      </c>
      <c r="W6978" s="19">
        <f>IF($I6978="","",IF(ISNUMBER($I6978),TEXT($I6978,"0"),$I6978))</f>
        <v/>
      </c>
    </row>
    <row r="6979">
      <c r="B6979" s="25" t="n"/>
      <c r="I6979" s="25" t="n"/>
      <c r="U6979" s="19">
        <f>IF($V6979&lt;&gt;'設定'!$C$4,N(U6978),IF(OR(NOT(COUNTIF('商品マスタ'!$B$6:$B$1005,$W6979)=0),COUNTIFS('①在庫を貼る'!$V$6:$V$10005,$V6979,'①在庫を貼る'!$W$6:$W$10005,$W6979)+COUNTIFS('月1回_1ヶ月前の在庫'!$V$6:$V$10005,$V6979,'月1回_1ヶ月前の在庫'!$W$6:$W$10005,$W6979)&gt;0),N(U6978),N(U6978)+1))</f>
        <v/>
      </c>
      <c r="V6979" s="19">
        <f>IF($B6979="","",TEXT($B6979,"0000"))</f>
        <v/>
      </c>
      <c r="W6979" s="19">
        <f>IF($I6979="","",IF(ISNUMBER($I6979),TEXT($I6979,"0"),$I6979))</f>
        <v/>
      </c>
    </row>
    <row r="6980">
      <c r="B6980" s="25" t="n"/>
      <c r="I6980" s="25" t="n"/>
      <c r="U6980" s="19">
        <f>IF($V6980&lt;&gt;'設定'!$C$4,N(U6979),IF(OR(NOT(COUNTIF('商品マスタ'!$B$6:$B$1005,$W6980)=0),COUNTIFS('①在庫を貼る'!$V$6:$V$10005,$V6980,'①在庫を貼る'!$W$6:$W$10005,$W6980)+COUNTIFS('月1回_1ヶ月前の在庫'!$V$6:$V$10005,$V6980,'月1回_1ヶ月前の在庫'!$W$6:$W$10005,$W6980)&gt;0),N(U6979),N(U6979)+1))</f>
        <v/>
      </c>
      <c r="V6980" s="19">
        <f>IF($B6980="","",TEXT($B6980,"0000"))</f>
        <v/>
      </c>
      <c r="W6980" s="19">
        <f>IF($I6980="","",IF(ISNUMBER($I6980),TEXT($I6980,"0"),$I6980))</f>
        <v/>
      </c>
    </row>
    <row r="6981">
      <c r="B6981" s="25" t="n"/>
      <c r="I6981" s="25" t="n"/>
      <c r="U6981" s="19">
        <f>IF($V6981&lt;&gt;'設定'!$C$4,N(U6980),IF(OR(NOT(COUNTIF('商品マスタ'!$B$6:$B$1005,$W6981)=0),COUNTIFS('①在庫を貼る'!$V$6:$V$10005,$V6981,'①在庫を貼る'!$W$6:$W$10005,$W6981)+COUNTIFS('月1回_1ヶ月前の在庫'!$V$6:$V$10005,$V6981,'月1回_1ヶ月前の在庫'!$W$6:$W$10005,$W6981)&gt;0),N(U6980),N(U6980)+1))</f>
        <v/>
      </c>
      <c r="V6981" s="19">
        <f>IF($B6981="","",TEXT($B6981,"0000"))</f>
        <v/>
      </c>
      <c r="W6981" s="19">
        <f>IF($I6981="","",IF(ISNUMBER($I6981),TEXT($I6981,"0"),$I6981))</f>
        <v/>
      </c>
    </row>
    <row r="6982">
      <c r="B6982" s="25" t="n"/>
      <c r="I6982" s="25" t="n"/>
      <c r="U6982" s="19">
        <f>IF($V6982&lt;&gt;'設定'!$C$4,N(U6981),IF(OR(NOT(COUNTIF('商品マスタ'!$B$6:$B$1005,$W6982)=0),COUNTIFS('①在庫を貼る'!$V$6:$V$10005,$V6982,'①在庫を貼る'!$W$6:$W$10005,$W6982)+COUNTIFS('月1回_1ヶ月前の在庫'!$V$6:$V$10005,$V6982,'月1回_1ヶ月前の在庫'!$W$6:$W$10005,$W6982)&gt;0),N(U6981),N(U6981)+1))</f>
        <v/>
      </c>
      <c r="V6982" s="19">
        <f>IF($B6982="","",TEXT($B6982,"0000"))</f>
        <v/>
      </c>
      <c r="W6982" s="19">
        <f>IF($I6982="","",IF(ISNUMBER($I6982),TEXT($I6982,"0"),$I6982))</f>
        <v/>
      </c>
    </row>
    <row r="6983">
      <c r="B6983" s="25" t="n"/>
      <c r="I6983" s="25" t="n"/>
      <c r="U6983" s="19">
        <f>IF($V6983&lt;&gt;'設定'!$C$4,N(U6982),IF(OR(NOT(COUNTIF('商品マスタ'!$B$6:$B$1005,$W6983)=0),COUNTIFS('①在庫を貼る'!$V$6:$V$10005,$V6983,'①在庫を貼る'!$W$6:$W$10005,$W6983)+COUNTIFS('月1回_1ヶ月前の在庫'!$V$6:$V$10005,$V6983,'月1回_1ヶ月前の在庫'!$W$6:$W$10005,$W6983)&gt;0),N(U6982),N(U6982)+1))</f>
        <v/>
      </c>
      <c r="V6983" s="19">
        <f>IF($B6983="","",TEXT($B6983,"0000"))</f>
        <v/>
      </c>
      <c r="W6983" s="19">
        <f>IF($I6983="","",IF(ISNUMBER($I6983),TEXT($I6983,"0"),$I6983))</f>
        <v/>
      </c>
    </row>
    <row r="6984">
      <c r="B6984" s="25" t="n"/>
      <c r="I6984" s="25" t="n"/>
      <c r="U6984" s="19">
        <f>IF($V6984&lt;&gt;'設定'!$C$4,N(U6983),IF(OR(NOT(COUNTIF('商品マスタ'!$B$6:$B$1005,$W6984)=0),COUNTIFS('①在庫を貼る'!$V$6:$V$10005,$V6984,'①在庫を貼る'!$W$6:$W$10005,$W6984)+COUNTIFS('月1回_1ヶ月前の在庫'!$V$6:$V$10005,$V6984,'月1回_1ヶ月前の在庫'!$W$6:$W$10005,$W6984)&gt;0),N(U6983),N(U6983)+1))</f>
        <v/>
      </c>
      <c r="V6984" s="19">
        <f>IF($B6984="","",TEXT($B6984,"0000"))</f>
        <v/>
      </c>
      <c r="W6984" s="19">
        <f>IF($I6984="","",IF(ISNUMBER($I6984),TEXT($I6984,"0"),$I6984))</f>
        <v/>
      </c>
    </row>
    <row r="6985">
      <c r="B6985" s="25" t="n"/>
      <c r="I6985" s="25" t="n"/>
      <c r="U6985" s="19">
        <f>IF($V6985&lt;&gt;'設定'!$C$4,N(U6984),IF(OR(NOT(COUNTIF('商品マスタ'!$B$6:$B$1005,$W6985)=0),COUNTIFS('①在庫を貼る'!$V$6:$V$10005,$V6985,'①在庫を貼る'!$W$6:$W$10005,$W6985)+COUNTIFS('月1回_1ヶ月前の在庫'!$V$6:$V$10005,$V6985,'月1回_1ヶ月前の在庫'!$W$6:$W$10005,$W6985)&gt;0),N(U6984),N(U6984)+1))</f>
        <v/>
      </c>
      <c r="V6985" s="19">
        <f>IF($B6985="","",TEXT($B6985,"0000"))</f>
        <v/>
      </c>
      <c r="W6985" s="19">
        <f>IF($I6985="","",IF(ISNUMBER($I6985),TEXT($I6985,"0"),$I6985))</f>
        <v/>
      </c>
    </row>
    <row r="6986">
      <c r="B6986" s="25" t="n"/>
      <c r="I6986" s="25" t="n"/>
      <c r="U6986" s="19">
        <f>IF($V6986&lt;&gt;'設定'!$C$4,N(U6985),IF(OR(NOT(COUNTIF('商品マスタ'!$B$6:$B$1005,$W6986)=0),COUNTIFS('①在庫を貼る'!$V$6:$V$10005,$V6986,'①在庫を貼る'!$W$6:$W$10005,$W6986)+COUNTIFS('月1回_1ヶ月前の在庫'!$V$6:$V$10005,$V6986,'月1回_1ヶ月前の在庫'!$W$6:$W$10005,$W6986)&gt;0),N(U6985),N(U6985)+1))</f>
        <v/>
      </c>
      <c r="V6986" s="19">
        <f>IF($B6986="","",TEXT($B6986,"0000"))</f>
        <v/>
      </c>
      <c r="W6986" s="19">
        <f>IF($I6986="","",IF(ISNUMBER($I6986),TEXT($I6986,"0"),$I6986))</f>
        <v/>
      </c>
    </row>
    <row r="6987">
      <c r="B6987" s="25" t="n"/>
      <c r="I6987" s="25" t="n"/>
      <c r="U6987" s="19">
        <f>IF($V6987&lt;&gt;'設定'!$C$4,N(U6986),IF(OR(NOT(COUNTIF('商品マスタ'!$B$6:$B$1005,$W6987)=0),COUNTIFS('①在庫を貼る'!$V$6:$V$10005,$V6987,'①在庫を貼る'!$W$6:$W$10005,$W6987)+COUNTIFS('月1回_1ヶ月前の在庫'!$V$6:$V$10005,$V6987,'月1回_1ヶ月前の在庫'!$W$6:$W$10005,$W6987)&gt;0),N(U6986),N(U6986)+1))</f>
        <v/>
      </c>
      <c r="V6987" s="19">
        <f>IF($B6987="","",TEXT($B6987,"0000"))</f>
        <v/>
      </c>
      <c r="W6987" s="19">
        <f>IF($I6987="","",IF(ISNUMBER($I6987),TEXT($I6987,"0"),$I6987))</f>
        <v/>
      </c>
    </row>
    <row r="6988">
      <c r="B6988" s="25" t="n"/>
      <c r="I6988" s="25" t="n"/>
      <c r="U6988" s="19">
        <f>IF($V6988&lt;&gt;'設定'!$C$4,N(U6987),IF(OR(NOT(COUNTIF('商品マスタ'!$B$6:$B$1005,$W6988)=0),COUNTIFS('①在庫を貼る'!$V$6:$V$10005,$V6988,'①在庫を貼る'!$W$6:$W$10005,$W6988)+COUNTIFS('月1回_1ヶ月前の在庫'!$V$6:$V$10005,$V6988,'月1回_1ヶ月前の在庫'!$W$6:$W$10005,$W6988)&gt;0),N(U6987),N(U6987)+1))</f>
        <v/>
      </c>
      <c r="V6988" s="19">
        <f>IF($B6988="","",TEXT($B6988,"0000"))</f>
        <v/>
      </c>
      <c r="W6988" s="19">
        <f>IF($I6988="","",IF(ISNUMBER($I6988),TEXT($I6988,"0"),$I6988))</f>
        <v/>
      </c>
    </row>
    <row r="6989">
      <c r="B6989" s="25" t="n"/>
      <c r="I6989" s="25" t="n"/>
      <c r="U6989" s="19">
        <f>IF($V6989&lt;&gt;'設定'!$C$4,N(U6988),IF(OR(NOT(COUNTIF('商品マスタ'!$B$6:$B$1005,$W6989)=0),COUNTIFS('①在庫を貼る'!$V$6:$V$10005,$V6989,'①在庫を貼る'!$W$6:$W$10005,$W6989)+COUNTIFS('月1回_1ヶ月前の在庫'!$V$6:$V$10005,$V6989,'月1回_1ヶ月前の在庫'!$W$6:$W$10005,$W6989)&gt;0),N(U6988),N(U6988)+1))</f>
        <v/>
      </c>
      <c r="V6989" s="19">
        <f>IF($B6989="","",TEXT($B6989,"0000"))</f>
        <v/>
      </c>
      <c r="W6989" s="19">
        <f>IF($I6989="","",IF(ISNUMBER($I6989),TEXT($I6989,"0"),$I6989))</f>
        <v/>
      </c>
    </row>
    <row r="6990">
      <c r="B6990" s="25" t="n"/>
      <c r="I6990" s="25" t="n"/>
      <c r="U6990" s="19">
        <f>IF($V6990&lt;&gt;'設定'!$C$4,N(U6989),IF(OR(NOT(COUNTIF('商品マスタ'!$B$6:$B$1005,$W6990)=0),COUNTIFS('①在庫を貼る'!$V$6:$V$10005,$V6990,'①在庫を貼る'!$W$6:$W$10005,$W6990)+COUNTIFS('月1回_1ヶ月前の在庫'!$V$6:$V$10005,$V6990,'月1回_1ヶ月前の在庫'!$W$6:$W$10005,$W6990)&gt;0),N(U6989),N(U6989)+1))</f>
        <v/>
      </c>
      <c r="V6990" s="19">
        <f>IF($B6990="","",TEXT($B6990,"0000"))</f>
        <v/>
      </c>
      <c r="W6990" s="19">
        <f>IF($I6990="","",IF(ISNUMBER($I6990),TEXT($I6990,"0"),$I6990))</f>
        <v/>
      </c>
    </row>
    <row r="6991">
      <c r="B6991" s="25" t="n"/>
      <c r="I6991" s="25" t="n"/>
      <c r="U6991" s="19">
        <f>IF($V6991&lt;&gt;'設定'!$C$4,N(U6990),IF(OR(NOT(COUNTIF('商品マスタ'!$B$6:$B$1005,$W6991)=0),COUNTIFS('①在庫を貼る'!$V$6:$V$10005,$V6991,'①在庫を貼る'!$W$6:$W$10005,$W6991)+COUNTIFS('月1回_1ヶ月前の在庫'!$V$6:$V$10005,$V6991,'月1回_1ヶ月前の在庫'!$W$6:$W$10005,$W6991)&gt;0),N(U6990),N(U6990)+1))</f>
        <v/>
      </c>
      <c r="V6991" s="19">
        <f>IF($B6991="","",TEXT($B6991,"0000"))</f>
        <v/>
      </c>
      <c r="W6991" s="19">
        <f>IF($I6991="","",IF(ISNUMBER($I6991),TEXT($I6991,"0"),$I6991))</f>
        <v/>
      </c>
    </row>
    <row r="6992">
      <c r="B6992" s="25" t="n"/>
      <c r="I6992" s="25" t="n"/>
      <c r="U6992" s="19">
        <f>IF($V6992&lt;&gt;'設定'!$C$4,N(U6991),IF(OR(NOT(COUNTIF('商品マスタ'!$B$6:$B$1005,$W6992)=0),COUNTIFS('①在庫を貼る'!$V$6:$V$10005,$V6992,'①在庫を貼る'!$W$6:$W$10005,$W6992)+COUNTIFS('月1回_1ヶ月前の在庫'!$V$6:$V$10005,$V6992,'月1回_1ヶ月前の在庫'!$W$6:$W$10005,$W6992)&gt;0),N(U6991),N(U6991)+1))</f>
        <v/>
      </c>
      <c r="V6992" s="19">
        <f>IF($B6992="","",TEXT($B6992,"0000"))</f>
        <v/>
      </c>
      <c r="W6992" s="19">
        <f>IF($I6992="","",IF(ISNUMBER($I6992),TEXT($I6992,"0"),$I6992))</f>
        <v/>
      </c>
    </row>
    <row r="6993">
      <c r="B6993" s="25" t="n"/>
      <c r="I6993" s="25" t="n"/>
      <c r="U6993" s="19">
        <f>IF($V6993&lt;&gt;'設定'!$C$4,N(U6992),IF(OR(NOT(COUNTIF('商品マスタ'!$B$6:$B$1005,$W6993)=0),COUNTIFS('①在庫を貼る'!$V$6:$V$10005,$V6993,'①在庫を貼る'!$W$6:$W$10005,$W6993)+COUNTIFS('月1回_1ヶ月前の在庫'!$V$6:$V$10005,$V6993,'月1回_1ヶ月前の在庫'!$W$6:$W$10005,$W6993)&gt;0),N(U6992),N(U6992)+1))</f>
        <v/>
      </c>
      <c r="V6993" s="19">
        <f>IF($B6993="","",TEXT($B6993,"0000"))</f>
        <v/>
      </c>
      <c r="W6993" s="19">
        <f>IF($I6993="","",IF(ISNUMBER($I6993),TEXT($I6993,"0"),$I6993))</f>
        <v/>
      </c>
    </row>
    <row r="6994">
      <c r="B6994" s="25" t="n"/>
      <c r="I6994" s="25" t="n"/>
      <c r="U6994" s="19">
        <f>IF($V6994&lt;&gt;'設定'!$C$4,N(U6993),IF(OR(NOT(COUNTIF('商品マスタ'!$B$6:$B$1005,$W6994)=0),COUNTIFS('①在庫を貼る'!$V$6:$V$10005,$V6994,'①在庫を貼る'!$W$6:$W$10005,$W6994)+COUNTIFS('月1回_1ヶ月前の在庫'!$V$6:$V$10005,$V6994,'月1回_1ヶ月前の在庫'!$W$6:$W$10005,$W6994)&gt;0),N(U6993),N(U6993)+1))</f>
        <v/>
      </c>
      <c r="V6994" s="19">
        <f>IF($B6994="","",TEXT($B6994,"0000"))</f>
        <v/>
      </c>
      <c r="W6994" s="19">
        <f>IF($I6994="","",IF(ISNUMBER($I6994),TEXT($I6994,"0"),$I6994))</f>
        <v/>
      </c>
    </row>
    <row r="6995">
      <c r="B6995" s="25" t="n"/>
      <c r="I6995" s="25" t="n"/>
      <c r="U6995" s="19">
        <f>IF($V6995&lt;&gt;'設定'!$C$4,N(U6994),IF(OR(NOT(COUNTIF('商品マスタ'!$B$6:$B$1005,$W6995)=0),COUNTIFS('①在庫を貼る'!$V$6:$V$10005,$V6995,'①在庫を貼る'!$W$6:$W$10005,$W6995)+COUNTIFS('月1回_1ヶ月前の在庫'!$V$6:$V$10005,$V6995,'月1回_1ヶ月前の在庫'!$W$6:$W$10005,$W6995)&gt;0),N(U6994),N(U6994)+1))</f>
        <v/>
      </c>
      <c r="V6995" s="19">
        <f>IF($B6995="","",TEXT($B6995,"0000"))</f>
        <v/>
      </c>
      <c r="W6995" s="19">
        <f>IF($I6995="","",IF(ISNUMBER($I6995),TEXT($I6995,"0"),$I6995))</f>
        <v/>
      </c>
    </row>
    <row r="6996">
      <c r="B6996" s="25" t="n"/>
      <c r="I6996" s="25" t="n"/>
      <c r="U6996" s="19">
        <f>IF($V6996&lt;&gt;'設定'!$C$4,N(U6995),IF(OR(NOT(COUNTIF('商品マスタ'!$B$6:$B$1005,$W6996)=0),COUNTIFS('①在庫を貼る'!$V$6:$V$10005,$V6996,'①在庫を貼る'!$W$6:$W$10005,$W6996)+COUNTIFS('月1回_1ヶ月前の在庫'!$V$6:$V$10005,$V6996,'月1回_1ヶ月前の在庫'!$W$6:$W$10005,$W6996)&gt;0),N(U6995),N(U6995)+1))</f>
        <v/>
      </c>
      <c r="V6996" s="19">
        <f>IF($B6996="","",TEXT($B6996,"0000"))</f>
        <v/>
      </c>
      <c r="W6996" s="19">
        <f>IF($I6996="","",IF(ISNUMBER($I6996),TEXT($I6996,"0"),$I6996))</f>
        <v/>
      </c>
    </row>
    <row r="6997">
      <c r="B6997" s="25" t="n"/>
      <c r="I6997" s="25" t="n"/>
      <c r="U6997" s="19">
        <f>IF($V6997&lt;&gt;'設定'!$C$4,N(U6996),IF(OR(NOT(COUNTIF('商品マスタ'!$B$6:$B$1005,$W6997)=0),COUNTIFS('①在庫を貼る'!$V$6:$V$10005,$V6997,'①在庫を貼る'!$W$6:$W$10005,$W6997)+COUNTIFS('月1回_1ヶ月前の在庫'!$V$6:$V$10005,$V6997,'月1回_1ヶ月前の在庫'!$W$6:$W$10005,$W6997)&gt;0),N(U6996),N(U6996)+1))</f>
        <v/>
      </c>
      <c r="V6997" s="19">
        <f>IF($B6997="","",TEXT($B6997,"0000"))</f>
        <v/>
      </c>
      <c r="W6997" s="19">
        <f>IF($I6997="","",IF(ISNUMBER($I6997),TEXT($I6997,"0"),$I6997))</f>
        <v/>
      </c>
    </row>
    <row r="6998">
      <c r="B6998" s="25" t="n"/>
      <c r="I6998" s="25" t="n"/>
      <c r="U6998" s="19">
        <f>IF($V6998&lt;&gt;'設定'!$C$4,N(U6997),IF(OR(NOT(COUNTIF('商品マスタ'!$B$6:$B$1005,$W6998)=0),COUNTIFS('①在庫を貼る'!$V$6:$V$10005,$V6998,'①在庫を貼る'!$W$6:$W$10005,$W6998)+COUNTIFS('月1回_1ヶ月前の在庫'!$V$6:$V$10005,$V6998,'月1回_1ヶ月前の在庫'!$W$6:$W$10005,$W6998)&gt;0),N(U6997),N(U6997)+1))</f>
        <v/>
      </c>
      <c r="V6998" s="19">
        <f>IF($B6998="","",TEXT($B6998,"0000"))</f>
        <v/>
      </c>
      <c r="W6998" s="19">
        <f>IF($I6998="","",IF(ISNUMBER($I6998),TEXT($I6998,"0"),$I6998))</f>
        <v/>
      </c>
    </row>
    <row r="6999">
      <c r="B6999" s="25" t="n"/>
      <c r="I6999" s="25" t="n"/>
      <c r="U6999" s="19">
        <f>IF($V6999&lt;&gt;'設定'!$C$4,N(U6998),IF(OR(NOT(COUNTIF('商品マスタ'!$B$6:$B$1005,$W6999)=0),COUNTIFS('①在庫を貼る'!$V$6:$V$10005,$V6999,'①在庫を貼る'!$W$6:$W$10005,$W6999)+COUNTIFS('月1回_1ヶ月前の在庫'!$V$6:$V$10005,$V6999,'月1回_1ヶ月前の在庫'!$W$6:$W$10005,$W6999)&gt;0),N(U6998),N(U6998)+1))</f>
        <v/>
      </c>
      <c r="V6999" s="19">
        <f>IF($B6999="","",TEXT($B6999,"0000"))</f>
        <v/>
      </c>
      <c r="W6999" s="19">
        <f>IF($I6999="","",IF(ISNUMBER($I6999),TEXT($I6999,"0"),$I6999))</f>
        <v/>
      </c>
    </row>
    <row r="7000">
      <c r="B7000" s="25" t="n"/>
      <c r="I7000" s="25" t="n"/>
      <c r="U7000" s="19">
        <f>IF($V7000&lt;&gt;'設定'!$C$4,N(U6999),IF(OR(NOT(COUNTIF('商品マスタ'!$B$6:$B$1005,$W7000)=0),COUNTIFS('①在庫を貼る'!$V$6:$V$10005,$V7000,'①在庫を貼る'!$W$6:$W$10005,$W7000)+COUNTIFS('月1回_1ヶ月前の在庫'!$V$6:$V$10005,$V7000,'月1回_1ヶ月前の在庫'!$W$6:$W$10005,$W7000)&gt;0),N(U6999),N(U6999)+1))</f>
        <v/>
      </c>
      <c r="V7000" s="19">
        <f>IF($B7000="","",TEXT($B7000,"0000"))</f>
        <v/>
      </c>
      <c r="W7000" s="19">
        <f>IF($I7000="","",IF(ISNUMBER($I7000),TEXT($I7000,"0"),$I7000))</f>
        <v/>
      </c>
    </row>
    <row r="7001">
      <c r="B7001" s="25" t="n"/>
      <c r="I7001" s="25" t="n"/>
      <c r="U7001" s="19">
        <f>IF($V7001&lt;&gt;'設定'!$C$4,N(U7000),IF(OR(NOT(COUNTIF('商品マスタ'!$B$6:$B$1005,$W7001)=0),COUNTIFS('①在庫を貼る'!$V$6:$V$10005,$V7001,'①在庫を貼る'!$W$6:$W$10005,$W7001)+COUNTIFS('月1回_1ヶ月前の在庫'!$V$6:$V$10005,$V7001,'月1回_1ヶ月前の在庫'!$W$6:$W$10005,$W7001)&gt;0),N(U7000),N(U7000)+1))</f>
        <v/>
      </c>
      <c r="V7001" s="19">
        <f>IF($B7001="","",TEXT($B7001,"0000"))</f>
        <v/>
      </c>
      <c r="W7001" s="19">
        <f>IF($I7001="","",IF(ISNUMBER($I7001),TEXT($I7001,"0"),$I7001))</f>
        <v/>
      </c>
    </row>
    <row r="7002">
      <c r="B7002" s="25" t="n"/>
      <c r="I7002" s="25" t="n"/>
      <c r="U7002" s="19">
        <f>IF($V7002&lt;&gt;'設定'!$C$4,N(U7001),IF(OR(NOT(COUNTIF('商品マスタ'!$B$6:$B$1005,$W7002)=0),COUNTIFS('①在庫を貼る'!$V$6:$V$10005,$V7002,'①在庫を貼る'!$W$6:$W$10005,$W7002)+COUNTIFS('月1回_1ヶ月前の在庫'!$V$6:$V$10005,$V7002,'月1回_1ヶ月前の在庫'!$W$6:$W$10005,$W7002)&gt;0),N(U7001),N(U7001)+1))</f>
        <v/>
      </c>
      <c r="V7002" s="19">
        <f>IF($B7002="","",TEXT($B7002,"0000"))</f>
        <v/>
      </c>
      <c r="W7002" s="19">
        <f>IF($I7002="","",IF(ISNUMBER($I7002),TEXT($I7002,"0"),$I7002))</f>
        <v/>
      </c>
    </row>
    <row r="7003">
      <c r="B7003" s="25" t="n"/>
      <c r="I7003" s="25" t="n"/>
      <c r="U7003" s="19">
        <f>IF($V7003&lt;&gt;'設定'!$C$4,N(U7002),IF(OR(NOT(COUNTIF('商品マスタ'!$B$6:$B$1005,$W7003)=0),COUNTIFS('①在庫を貼る'!$V$6:$V$10005,$V7003,'①在庫を貼る'!$W$6:$W$10005,$W7003)+COUNTIFS('月1回_1ヶ月前の在庫'!$V$6:$V$10005,$V7003,'月1回_1ヶ月前の在庫'!$W$6:$W$10005,$W7003)&gt;0),N(U7002),N(U7002)+1))</f>
        <v/>
      </c>
      <c r="V7003" s="19">
        <f>IF($B7003="","",TEXT($B7003,"0000"))</f>
        <v/>
      </c>
      <c r="W7003" s="19">
        <f>IF($I7003="","",IF(ISNUMBER($I7003),TEXT($I7003,"0"),$I7003))</f>
        <v/>
      </c>
    </row>
    <row r="7004">
      <c r="B7004" s="25" t="n"/>
      <c r="I7004" s="25" t="n"/>
      <c r="U7004" s="19">
        <f>IF($V7004&lt;&gt;'設定'!$C$4,N(U7003),IF(OR(NOT(COUNTIF('商品マスタ'!$B$6:$B$1005,$W7004)=0),COUNTIFS('①在庫を貼る'!$V$6:$V$10005,$V7004,'①在庫を貼る'!$W$6:$W$10005,$W7004)+COUNTIFS('月1回_1ヶ月前の在庫'!$V$6:$V$10005,$V7004,'月1回_1ヶ月前の在庫'!$W$6:$W$10005,$W7004)&gt;0),N(U7003),N(U7003)+1))</f>
        <v/>
      </c>
      <c r="V7004" s="19">
        <f>IF($B7004="","",TEXT($B7004,"0000"))</f>
        <v/>
      </c>
      <c r="W7004" s="19">
        <f>IF($I7004="","",IF(ISNUMBER($I7004),TEXT($I7004,"0"),$I7004))</f>
        <v/>
      </c>
    </row>
    <row r="7005">
      <c r="B7005" s="25" t="n"/>
      <c r="I7005" s="25" t="n"/>
      <c r="U7005" s="19">
        <f>IF($V7005&lt;&gt;'設定'!$C$4,N(U7004),IF(OR(NOT(COUNTIF('商品マスタ'!$B$6:$B$1005,$W7005)=0),COUNTIFS('①在庫を貼る'!$V$6:$V$10005,$V7005,'①在庫を貼る'!$W$6:$W$10005,$W7005)+COUNTIFS('月1回_1ヶ月前の在庫'!$V$6:$V$10005,$V7005,'月1回_1ヶ月前の在庫'!$W$6:$W$10005,$W7005)&gt;0),N(U7004),N(U7004)+1))</f>
        <v/>
      </c>
      <c r="V7005" s="19">
        <f>IF($B7005="","",TEXT($B7005,"0000"))</f>
        <v/>
      </c>
      <c r="W7005" s="19">
        <f>IF($I7005="","",IF(ISNUMBER($I7005),TEXT($I7005,"0"),$I7005))</f>
        <v/>
      </c>
    </row>
    <row r="7006">
      <c r="B7006" s="25" t="n"/>
      <c r="I7006" s="25" t="n"/>
      <c r="U7006" s="19">
        <f>IF($V7006&lt;&gt;'設定'!$C$4,N(U7005),IF(OR(NOT(COUNTIF('商品マスタ'!$B$6:$B$1005,$W7006)=0),COUNTIFS('①在庫を貼る'!$V$6:$V$10005,$V7006,'①在庫を貼る'!$W$6:$W$10005,$W7006)+COUNTIFS('月1回_1ヶ月前の在庫'!$V$6:$V$10005,$V7006,'月1回_1ヶ月前の在庫'!$W$6:$W$10005,$W7006)&gt;0),N(U7005),N(U7005)+1))</f>
        <v/>
      </c>
      <c r="V7006" s="19">
        <f>IF($B7006="","",TEXT($B7006,"0000"))</f>
        <v/>
      </c>
      <c r="W7006" s="19">
        <f>IF($I7006="","",IF(ISNUMBER($I7006),TEXT($I7006,"0"),$I7006))</f>
        <v/>
      </c>
    </row>
    <row r="7007">
      <c r="B7007" s="25" t="n"/>
      <c r="I7007" s="25" t="n"/>
      <c r="U7007" s="19">
        <f>IF($V7007&lt;&gt;'設定'!$C$4,N(U7006),IF(OR(NOT(COUNTIF('商品マスタ'!$B$6:$B$1005,$W7007)=0),COUNTIFS('①在庫を貼る'!$V$6:$V$10005,$V7007,'①在庫を貼る'!$W$6:$W$10005,$W7007)+COUNTIFS('月1回_1ヶ月前の在庫'!$V$6:$V$10005,$V7007,'月1回_1ヶ月前の在庫'!$W$6:$W$10005,$W7007)&gt;0),N(U7006),N(U7006)+1))</f>
        <v/>
      </c>
      <c r="V7007" s="19">
        <f>IF($B7007="","",TEXT($B7007,"0000"))</f>
        <v/>
      </c>
      <c r="W7007" s="19">
        <f>IF($I7007="","",IF(ISNUMBER($I7007),TEXT($I7007,"0"),$I7007))</f>
        <v/>
      </c>
    </row>
    <row r="7008">
      <c r="B7008" s="25" t="n"/>
      <c r="I7008" s="25" t="n"/>
      <c r="U7008" s="19">
        <f>IF($V7008&lt;&gt;'設定'!$C$4,N(U7007),IF(OR(NOT(COUNTIF('商品マスタ'!$B$6:$B$1005,$W7008)=0),COUNTIFS('①在庫を貼る'!$V$6:$V$10005,$V7008,'①在庫を貼る'!$W$6:$W$10005,$W7008)+COUNTIFS('月1回_1ヶ月前の在庫'!$V$6:$V$10005,$V7008,'月1回_1ヶ月前の在庫'!$W$6:$W$10005,$W7008)&gt;0),N(U7007),N(U7007)+1))</f>
        <v/>
      </c>
      <c r="V7008" s="19">
        <f>IF($B7008="","",TEXT($B7008,"0000"))</f>
        <v/>
      </c>
      <c r="W7008" s="19">
        <f>IF($I7008="","",IF(ISNUMBER($I7008),TEXT($I7008,"0"),$I7008))</f>
        <v/>
      </c>
    </row>
    <row r="7009">
      <c r="B7009" s="25" t="n"/>
      <c r="I7009" s="25" t="n"/>
      <c r="U7009" s="19">
        <f>IF($V7009&lt;&gt;'設定'!$C$4,N(U7008),IF(OR(NOT(COUNTIF('商品マスタ'!$B$6:$B$1005,$W7009)=0),COUNTIFS('①在庫を貼る'!$V$6:$V$10005,$V7009,'①在庫を貼る'!$W$6:$W$10005,$W7009)+COUNTIFS('月1回_1ヶ月前の在庫'!$V$6:$V$10005,$V7009,'月1回_1ヶ月前の在庫'!$W$6:$W$10005,$W7009)&gt;0),N(U7008),N(U7008)+1))</f>
        <v/>
      </c>
      <c r="V7009" s="19">
        <f>IF($B7009="","",TEXT($B7009,"0000"))</f>
        <v/>
      </c>
      <c r="W7009" s="19">
        <f>IF($I7009="","",IF(ISNUMBER($I7009),TEXT($I7009,"0"),$I7009))</f>
        <v/>
      </c>
    </row>
    <row r="7010">
      <c r="B7010" s="25" t="n"/>
      <c r="I7010" s="25" t="n"/>
      <c r="U7010" s="19">
        <f>IF($V7010&lt;&gt;'設定'!$C$4,N(U7009),IF(OR(NOT(COUNTIF('商品マスタ'!$B$6:$B$1005,$W7010)=0),COUNTIFS('①在庫を貼る'!$V$6:$V$10005,$V7010,'①在庫を貼る'!$W$6:$W$10005,$W7010)+COUNTIFS('月1回_1ヶ月前の在庫'!$V$6:$V$10005,$V7010,'月1回_1ヶ月前の在庫'!$W$6:$W$10005,$W7010)&gt;0),N(U7009),N(U7009)+1))</f>
        <v/>
      </c>
      <c r="V7010" s="19">
        <f>IF($B7010="","",TEXT($B7010,"0000"))</f>
        <v/>
      </c>
      <c r="W7010" s="19">
        <f>IF($I7010="","",IF(ISNUMBER($I7010),TEXT($I7010,"0"),$I7010))</f>
        <v/>
      </c>
    </row>
    <row r="7011">
      <c r="B7011" s="25" t="n"/>
      <c r="I7011" s="25" t="n"/>
      <c r="U7011" s="19">
        <f>IF($V7011&lt;&gt;'設定'!$C$4,N(U7010),IF(OR(NOT(COUNTIF('商品マスタ'!$B$6:$B$1005,$W7011)=0),COUNTIFS('①在庫を貼る'!$V$6:$V$10005,$V7011,'①在庫を貼る'!$W$6:$W$10005,$W7011)+COUNTIFS('月1回_1ヶ月前の在庫'!$V$6:$V$10005,$V7011,'月1回_1ヶ月前の在庫'!$W$6:$W$10005,$W7011)&gt;0),N(U7010),N(U7010)+1))</f>
        <v/>
      </c>
      <c r="V7011" s="19">
        <f>IF($B7011="","",TEXT($B7011,"0000"))</f>
        <v/>
      </c>
      <c r="W7011" s="19">
        <f>IF($I7011="","",IF(ISNUMBER($I7011),TEXT($I7011,"0"),$I7011))</f>
        <v/>
      </c>
    </row>
    <row r="7012">
      <c r="B7012" s="25" t="n"/>
      <c r="I7012" s="25" t="n"/>
      <c r="U7012" s="19">
        <f>IF($V7012&lt;&gt;'設定'!$C$4,N(U7011),IF(OR(NOT(COUNTIF('商品マスタ'!$B$6:$B$1005,$W7012)=0),COUNTIFS('①在庫を貼る'!$V$6:$V$10005,$V7012,'①在庫を貼る'!$W$6:$W$10005,$W7012)+COUNTIFS('月1回_1ヶ月前の在庫'!$V$6:$V$10005,$V7012,'月1回_1ヶ月前の在庫'!$W$6:$W$10005,$W7012)&gt;0),N(U7011),N(U7011)+1))</f>
        <v/>
      </c>
      <c r="V7012" s="19">
        <f>IF($B7012="","",TEXT($B7012,"0000"))</f>
        <v/>
      </c>
      <c r="W7012" s="19">
        <f>IF($I7012="","",IF(ISNUMBER($I7012),TEXT($I7012,"0"),$I7012))</f>
        <v/>
      </c>
    </row>
    <row r="7013">
      <c r="B7013" s="25" t="n"/>
      <c r="I7013" s="25" t="n"/>
      <c r="U7013" s="19">
        <f>IF($V7013&lt;&gt;'設定'!$C$4,N(U7012),IF(OR(NOT(COUNTIF('商品マスタ'!$B$6:$B$1005,$W7013)=0),COUNTIFS('①在庫を貼る'!$V$6:$V$10005,$V7013,'①在庫を貼る'!$W$6:$W$10005,$W7013)+COUNTIFS('月1回_1ヶ月前の在庫'!$V$6:$V$10005,$V7013,'月1回_1ヶ月前の在庫'!$W$6:$W$10005,$W7013)&gt;0),N(U7012),N(U7012)+1))</f>
        <v/>
      </c>
      <c r="V7013" s="19">
        <f>IF($B7013="","",TEXT($B7013,"0000"))</f>
        <v/>
      </c>
      <c r="W7013" s="19">
        <f>IF($I7013="","",IF(ISNUMBER($I7013),TEXT($I7013,"0"),$I7013))</f>
        <v/>
      </c>
    </row>
    <row r="7014">
      <c r="B7014" s="25" t="n"/>
      <c r="I7014" s="25" t="n"/>
      <c r="U7014" s="19">
        <f>IF($V7014&lt;&gt;'設定'!$C$4,N(U7013),IF(OR(NOT(COUNTIF('商品マスタ'!$B$6:$B$1005,$W7014)=0),COUNTIFS('①在庫を貼る'!$V$6:$V$10005,$V7014,'①在庫を貼る'!$W$6:$W$10005,$W7014)+COUNTIFS('月1回_1ヶ月前の在庫'!$V$6:$V$10005,$V7014,'月1回_1ヶ月前の在庫'!$W$6:$W$10005,$W7014)&gt;0),N(U7013),N(U7013)+1))</f>
        <v/>
      </c>
      <c r="V7014" s="19">
        <f>IF($B7014="","",TEXT($B7014,"0000"))</f>
        <v/>
      </c>
      <c r="W7014" s="19">
        <f>IF($I7014="","",IF(ISNUMBER($I7014),TEXT($I7014,"0"),$I7014))</f>
        <v/>
      </c>
    </row>
    <row r="7015">
      <c r="B7015" s="25" t="n"/>
      <c r="I7015" s="25" t="n"/>
      <c r="U7015" s="19">
        <f>IF($V7015&lt;&gt;'設定'!$C$4,N(U7014),IF(OR(NOT(COUNTIF('商品マスタ'!$B$6:$B$1005,$W7015)=0),COUNTIFS('①在庫を貼る'!$V$6:$V$10005,$V7015,'①在庫を貼る'!$W$6:$W$10005,$W7015)+COUNTIFS('月1回_1ヶ月前の在庫'!$V$6:$V$10005,$V7015,'月1回_1ヶ月前の在庫'!$W$6:$W$10005,$W7015)&gt;0),N(U7014),N(U7014)+1))</f>
        <v/>
      </c>
      <c r="V7015" s="19">
        <f>IF($B7015="","",TEXT($B7015,"0000"))</f>
        <v/>
      </c>
      <c r="W7015" s="19">
        <f>IF($I7015="","",IF(ISNUMBER($I7015),TEXT($I7015,"0"),$I7015))</f>
        <v/>
      </c>
    </row>
    <row r="7016">
      <c r="B7016" s="25" t="n"/>
      <c r="I7016" s="25" t="n"/>
      <c r="U7016" s="19">
        <f>IF($V7016&lt;&gt;'設定'!$C$4,N(U7015),IF(OR(NOT(COUNTIF('商品マスタ'!$B$6:$B$1005,$W7016)=0),COUNTIFS('①在庫を貼る'!$V$6:$V$10005,$V7016,'①在庫を貼る'!$W$6:$W$10005,$W7016)+COUNTIFS('月1回_1ヶ月前の在庫'!$V$6:$V$10005,$V7016,'月1回_1ヶ月前の在庫'!$W$6:$W$10005,$W7016)&gt;0),N(U7015),N(U7015)+1))</f>
        <v/>
      </c>
      <c r="V7016" s="19">
        <f>IF($B7016="","",TEXT($B7016,"0000"))</f>
        <v/>
      </c>
      <c r="W7016" s="19">
        <f>IF($I7016="","",IF(ISNUMBER($I7016),TEXT($I7016,"0"),$I7016))</f>
        <v/>
      </c>
    </row>
    <row r="7017">
      <c r="B7017" s="25" t="n"/>
      <c r="I7017" s="25" t="n"/>
      <c r="U7017" s="19">
        <f>IF($V7017&lt;&gt;'設定'!$C$4,N(U7016),IF(OR(NOT(COUNTIF('商品マスタ'!$B$6:$B$1005,$W7017)=0),COUNTIFS('①在庫を貼る'!$V$6:$V$10005,$V7017,'①在庫を貼る'!$W$6:$W$10005,$W7017)+COUNTIFS('月1回_1ヶ月前の在庫'!$V$6:$V$10005,$V7017,'月1回_1ヶ月前の在庫'!$W$6:$W$10005,$W7017)&gt;0),N(U7016),N(U7016)+1))</f>
        <v/>
      </c>
      <c r="V7017" s="19">
        <f>IF($B7017="","",TEXT($B7017,"0000"))</f>
        <v/>
      </c>
      <c r="W7017" s="19">
        <f>IF($I7017="","",IF(ISNUMBER($I7017),TEXT($I7017,"0"),$I7017))</f>
        <v/>
      </c>
    </row>
    <row r="7018">
      <c r="B7018" s="25" t="n"/>
      <c r="I7018" s="25" t="n"/>
      <c r="U7018" s="19">
        <f>IF($V7018&lt;&gt;'設定'!$C$4,N(U7017),IF(OR(NOT(COUNTIF('商品マスタ'!$B$6:$B$1005,$W7018)=0),COUNTIFS('①在庫を貼る'!$V$6:$V$10005,$V7018,'①在庫を貼る'!$W$6:$W$10005,$W7018)+COUNTIFS('月1回_1ヶ月前の在庫'!$V$6:$V$10005,$V7018,'月1回_1ヶ月前の在庫'!$W$6:$W$10005,$W7018)&gt;0),N(U7017),N(U7017)+1))</f>
        <v/>
      </c>
      <c r="V7018" s="19">
        <f>IF($B7018="","",TEXT($B7018,"0000"))</f>
        <v/>
      </c>
      <c r="W7018" s="19">
        <f>IF($I7018="","",IF(ISNUMBER($I7018),TEXT($I7018,"0"),$I7018))</f>
        <v/>
      </c>
    </row>
    <row r="7019">
      <c r="B7019" s="25" t="n"/>
      <c r="I7019" s="25" t="n"/>
      <c r="U7019" s="19">
        <f>IF($V7019&lt;&gt;'設定'!$C$4,N(U7018),IF(OR(NOT(COUNTIF('商品マスタ'!$B$6:$B$1005,$W7019)=0),COUNTIFS('①在庫を貼る'!$V$6:$V$10005,$V7019,'①在庫を貼る'!$W$6:$W$10005,$W7019)+COUNTIFS('月1回_1ヶ月前の在庫'!$V$6:$V$10005,$V7019,'月1回_1ヶ月前の在庫'!$W$6:$W$10005,$W7019)&gt;0),N(U7018),N(U7018)+1))</f>
        <v/>
      </c>
      <c r="V7019" s="19">
        <f>IF($B7019="","",TEXT($B7019,"0000"))</f>
        <v/>
      </c>
      <c r="W7019" s="19">
        <f>IF($I7019="","",IF(ISNUMBER($I7019),TEXT($I7019,"0"),$I7019))</f>
        <v/>
      </c>
    </row>
    <row r="7020">
      <c r="B7020" s="25" t="n"/>
      <c r="I7020" s="25" t="n"/>
      <c r="U7020" s="19">
        <f>IF($V7020&lt;&gt;'設定'!$C$4,N(U7019),IF(OR(NOT(COUNTIF('商品マスタ'!$B$6:$B$1005,$W7020)=0),COUNTIFS('①在庫を貼る'!$V$6:$V$10005,$V7020,'①在庫を貼る'!$W$6:$W$10005,$W7020)+COUNTIFS('月1回_1ヶ月前の在庫'!$V$6:$V$10005,$V7020,'月1回_1ヶ月前の在庫'!$W$6:$W$10005,$W7020)&gt;0),N(U7019),N(U7019)+1))</f>
        <v/>
      </c>
      <c r="V7020" s="19">
        <f>IF($B7020="","",TEXT($B7020,"0000"))</f>
        <v/>
      </c>
      <c r="W7020" s="19">
        <f>IF($I7020="","",IF(ISNUMBER($I7020),TEXT($I7020,"0"),$I7020))</f>
        <v/>
      </c>
    </row>
    <row r="7021">
      <c r="B7021" s="25" t="n"/>
      <c r="I7021" s="25" t="n"/>
      <c r="U7021" s="19">
        <f>IF($V7021&lt;&gt;'設定'!$C$4,N(U7020),IF(OR(NOT(COUNTIF('商品マスタ'!$B$6:$B$1005,$W7021)=0),COUNTIFS('①在庫を貼る'!$V$6:$V$10005,$V7021,'①在庫を貼る'!$W$6:$W$10005,$W7021)+COUNTIFS('月1回_1ヶ月前の在庫'!$V$6:$V$10005,$V7021,'月1回_1ヶ月前の在庫'!$W$6:$W$10005,$W7021)&gt;0),N(U7020),N(U7020)+1))</f>
        <v/>
      </c>
      <c r="V7021" s="19">
        <f>IF($B7021="","",TEXT($B7021,"0000"))</f>
        <v/>
      </c>
      <c r="W7021" s="19">
        <f>IF($I7021="","",IF(ISNUMBER($I7021),TEXT($I7021,"0"),$I7021))</f>
        <v/>
      </c>
    </row>
    <row r="7022">
      <c r="B7022" s="25" t="n"/>
      <c r="I7022" s="25" t="n"/>
      <c r="U7022" s="19">
        <f>IF($V7022&lt;&gt;'設定'!$C$4,N(U7021),IF(OR(NOT(COUNTIF('商品マスタ'!$B$6:$B$1005,$W7022)=0),COUNTIFS('①在庫を貼る'!$V$6:$V$10005,$V7022,'①在庫を貼る'!$W$6:$W$10005,$W7022)+COUNTIFS('月1回_1ヶ月前の在庫'!$V$6:$V$10005,$V7022,'月1回_1ヶ月前の在庫'!$W$6:$W$10005,$W7022)&gt;0),N(U7021),N(U7021)+1))</f>
        <v/>
      </c>
      <c r="V7022" s="19">
        <f>IF($B7022="","",TEXT($B7022,"0000"))</f>
        <v/>
      </c>
      <c r="W7022" s="19">
        <f>IF($I7022="","",IF(ISNUMBER($I7022),TEXT($I7022,"0"),$I7022))</f>
        <v/>
      </c>
    </row>
    <row r="7023">
      <c r="B7023" s="25" t="n"/>
      <c r="I7023" s="25" t="n"/>
      <c r="U7023" s="19">
        <f>IF($V7023&lt;&gt;'設定'!$C$4,N(U7022),IF(OR(NOT(COUNTIF('商品マスタ'!$B$6:$B$1005,$W7023)=0),COUNTIFS('①在庫を貼る'!$V$6:$V$10005,$V7023,'①在庫を貼る'!$W$6:$W$10005,$W7023)+COUNTIFS('月1回_1ヶ月前の在庫'!$V$6:$V$10005,$V7023,'月1回_1ヶ月前の在庫'!$W$6:$W$10005,$W7023)&gt;0),N(U7022),N(U7022)+1))</f>
        <v/>
      </c>
      <c r="V7023" s="19">
        <f>IF($B7023="","",TEXT($B7023,"0000"))</f>
        <v/>
      </c>
      <c r="W7023" s="19">
        <f>IF($I7023="","",IF(ISNUMBER($I7023),TEXT($I7023,"0"),$I7023))</f>
        <v/>
      </c>
    </row>
    <row r="7024">
      <c r="B7024" s="25" t="n"/>
      <c r="I7024" s="25" t="n"/>
      <c r="U7024" s="19">
        <f>IF($V7024&lt;&gt;'設定'!$C$4,N(U7023),IF(OR(NOT(COUNTIF('商品マスタ'!$B$6:$B$1005,$W7024)=0),COUNTIFS('①在庫を貼る'!$V$6:$V$10005,$V7024,'①在庫を貼る'!$W$6:$W$10005,$W7024)+COUNTIFS('月1回_1ヶ月前の在庫'!$V$6:$V$10005,$V7024,'月1回_1ヶ月前の在庫'!$W$6:$W$10005,$W7024)&gt;0),N(U7023),N(U7023)+1))</f>
        <v/>
      </c>
      <c r="V7024" s="19">
        <f>IF($B7024="","",TEXT($B7024,"0000"))</f>
        <v/>
      </c>
      <c r="W7024" s="19">
        <f>IF($I7024="","",IF(ISNUMBER($I7024),TEXT($I7024,"0"),$I7024))</f>
        <v/>
      </c>
    </row>
    <row r="7025">
      <c r="B7025" s="25" t="n"/>
      <c r="I7025" s="25" t="n"/>
      <c r="U7025" s="19">
        <f>IF($V7025&lt;&gt;'設定'!$C$4,N(U7024),IF(OR(NOT(COUNTIF('商品マスタ'!$B$6:$B$1005,$W7025)=0),COUNTIFS('①在庫を貼る'!$V$6:$V$10005,$V7025,'①在庫を貼る'!$W$6:$W$10005,$W7025)+COUNTIFS('月1回_1ヶ月前の在庫'!$V$6:$V$10005,$V7025,'月1回_1ヶ月前の在庫'!$W$6:$W$10005,$W7025)&gt;0),N(U7024),N(U7024)+1))</f>
        <v/>
      </c>
      <c r="V7025" s="19">
        <f>IF($B7025="","",TEXT($B7025,"0000"))</f>
        <v/>
      </c>
      <c r="W7025" s="19">
        <f>IF($I7025="","",IF(ISNUMBER($I7025),TEXT($I7025,"0"),$I7025))</f>
        <v/>
      </c>
    </row>
    <row r="7026">
      <c r="B7026" s="25" t="n"/>
      <c r="I7026" s="25" t="n"/>
      <c r="U7026" s="19">
        <f>IF($V7026&lt;&gt;'設定'!$C$4,N(U7025),IF(OR(NOT(COUNTIF('商品マスタ'!$B$6:$B$1005,$W7026)=0),COUNTIFS('①在庫を貼る'!$V$6:$V$10005,$V7026,'①在庫を貼る'!$W$6:$W$10005,$W7026)+COUNTIFS('月1回_1ヶ月前の在庫'!$V$6:$V$10005,$V7026,'月1回_1ヶ月前の在庫'!$W$6:$W$10005,$W7026)&gt;0),N(U7025),N(U7025)+1))</f>
        <v/>
      </c>
      <c r="V7026" s="19">
        <f>IF($B7026="","",TEXT($B7026,"0000"))</f>
        <v/>
      </c>
      <c r="W7026" s="19">
        <f>IF($I7026="","",IF(ISNUMBER($I7026),TEXT($I7026,"0"),$I7026))</f>
        <v/>
      </c>
    </row>
    <row r="7027">
      <c r="B7027" s="25" t="n"/>
      <c r="I7027" s="25" t="n"/>
      <c r="U7027" s="19">
        <f>IF($V7027&lt;&gt;'設定'!$C$4,N(U7026),IF(OR(NOT(COUNTIF('商品マスタ'!$B$6:$B$1005,$W7027)=0),COUNTIFS('①在庫を貼る'!$V$6:$V$10005,$V7027,'①在庫を貼る'!$W$6:$W$10005,$W7027)+COUNTIFS('月1回_1ヶ月前の在庫'!$V$6:$V$10005,$V7027,'月1回_1ヶ月前の在庫'!$W$6:$W$10005,$W7027)&gt;0),N(U7026),N(U7026)+1))</f>
        <v/>
      </c>
      <c r="V7027" s="19">
        <f>IF($B7027="","",TEXT($B7027,"0000"))</f>
        <v/>
      </c>
      <c r="W7027" s="19">
        <f>IF($I7027="","",IF(ISNUMBER($I7027),TEXT($I7027,"0"),$I7027))</f>
        <v/>
      </c>
    </row>
    <row r="7028">
      <c r="B7028" s="25" t="n"/>
      <c r="I7028" s="25" t="n"/>
      <c r="U7028" s="19">
        <f>IF($V7028&lt;&gt;'設定'!$C$4,N(U7027),IF(OR(NOT(COUNTIF('商品マスタ'!$B$6:$B$1005,$W7028)=0),COUNTIFS('①在庫を貼る'!$V$6:$V$10005,$V7028,'①在庫を貼る'!$W$6:$W$10005,$W7028)+COUNTIFS('月1回_1ヶ月前の在庫'!$V$6:$V$10005,$V7028,'月1回_1ヶ月前の在庫'!$W$6:$W$10005,$W7028)&gt;0),N(U7027),N(U7027)+1))</f>
        <v/>
      </c>
      <c r="V7028" s="19">
        <f>IF($B7028="","",TEXT($B7028,"0000"))</f>
        <v/>
      </c>
      <c r="W7028" s="19">
        <f>IF($I7028="","",IF(ISNUMBER($I7028),TEXT($I7028,"0"),$I7028))</f>
        <v/>
      </c>
    </row>
    <row r="7029">
      <c r="B7029" s="25" t="n"/>
      <c r="I7029" s="25" t="n"/>
      <c r="U7029" s="19">
        <f>IF($V7029&lt;&gt;'設定'!$C$4,N(U7028),IF(OR(NOT(COUNTIF('商品マスタ'!$B$6:$B$1005,$W7029)=0),COUNTIFS('①在庫を貼る'!$V$6:$V$10005,$V7029,'①在庫を貼る'!$W$6:$W$10005,$W7029)+COUNTIFS('月1回_1ヶ月前の在庫'!$V$6:$V$10005,$V7029,'月1回_1ヶ月前の在庫'!$W$6:$W$10005,$W7029)&gt;0),N(U7028),N(U7028)+1))</f>
        <v/>
      </c>
      <c r="V7029" s="19">
        <f>IF($B7029="","",TEXT($B7029,"0000"))</f>
        <v/>
      </c>
      <c r="W7029" s="19">
        <f>IF($I7029="","",IF(ISNUMBER($I7029),TEXT($I7029,"0"),$I7029))</f>
        <v/>
      </c>
    </row>
    <row r="7030">
      <c r="B7030" s="25" t="n"/>
      <c r="I7030" s="25" t="n"/>
      <c r="U7030" s="19">
        <f>IF($V7030&lt;&gt;'設定'!$C$4,N(U7029),IF(OR(NOT(COUNTIF('商品マスタ'!$B$6:$B$1005,$W7030)=0),COUNTIFS('①在庫を貼る'!$V$6:$V$10005,$V7030,'①在庫を貼る'!$W$6:$W$10005,$W7030)+COUNTIFS('月1回_1ヶ月前の在庫'!$V$6:$V$10005,$V7030,'月1回_1ヶ月前の在庫'!$W$6:$W$10005,$W7030)&gt;0),N(U7029),N(U7029)+1))</f>
        <v/>
      </c>
      <c r="V7030" s="19">
        <f>IF($B7030="","",TEXT($B7030,"0000"))</f>
        <v/>
      </c>
      <c r="W7030" s="19">
        <f>IF($I7030="","",IF(ISNUMBER($I7030),TEXT($I7030,"0"),$I7030))</f>
        <v/>
      </c>
    </row>
    <row r="7031">
      <c r="B7031" s="25" t="n"/>
      <c r="I7031" s="25" t="n"/>
      <c r="U7031" s="19">
        <f>IF($V7031&lt;&gt;'設定'!$C$4,N(U7030),IF(OR(NOT(COUNTIF('商品マスタ'!$B$6:$B$1005,$W7031)=0),COUNTIFS('①在庫を貼る'!$V$6:$V$10005,$V7031,'①在庫を貼る'!$W$6:$W$10005,$W7031)+COUNTIFS('月1回_1ヶ月前の在庫'!$V$6:$V$10005,$V7031,'月1回_1ヶ月前の在庫'!$W$6:$W$10005,$W7031)&gt;0),N(U7030),N(U7030)+1))</f>
        <v/>
      </c>
      <c r="V7031" s="19">
        <f>IF($B7031="","",TEXT($B7031,"0000"))</f>
        <v/>
      </c>
      <c r="W7031" s="19">
        <f>IF($I7031="","",IF(ISNUMBER($I7031),TEXT($I7031,"0"),$I7031))</f>
        <v/>
      </c>
    </row>
    <row r="7032">
      <c r="B7032" s="25" t="n"/>
      <c r="I7032" s="25" t="n"/>
      <c r="U7032" s="19">
        <f>IF($V7032&lt;&gt;'設定'!$C$4,N(U7031),IF(OR(NOT(COUNTIF('商品マスタ'!$B$6:$B$1005,$W7032)=0),COUNTIFS('①在庫を貼る'!$V$6:$V$10005,$V7032,'①在庫を貼る'!$W$6:$W$10005,$W7032)+COUNTIFS('月1回_1ヶ月前の在庫'!$V$6:$V$10005,$V7032,'月1回_1ヶ月前の在庫'!$W$6:$W$10005,$W7032)&gt;0),N(U7031),N(U7031)+1))</f>
        <v/>
      </c>
      <c r="V7032" s="19">
        <f>IF($B7032="","",TEXT($B7032,"0000"))</f>
        <v/>
      </c>
      <c r="W7032" s="19">
        <f>IF($I7032="","",IF(ISNUMBER($I7032),TEXT($I7032,"0"),$I7032))</f>
        <v/>
      </c>
    </row>
    <row r="7033">
      <c r="B7033" s="25" t="n"/>
      <c r="I7033" s="25" t="n"/>
      <c r="U7033" s="19">
        <f>IF($V7033&lt;&gt;'設定'!$C$4,N(U7032),IF(OR(NOT(COUNTIF('商品マスタ'!$B$6:$B$1005,$W7033)=0),COUNTIFS('①在庫を貼る'!$V$6:$V$10005,$V7033,'①在庫を貼る'!$W$6:$W$10005,$W7033)+COUNTIFS('月1回_1ヶ月前の在庫'!$V$6:$V$10005,$V7033,'月1回_1ヶ月前の在庫'!$W$6:$W$10005,$W7033)&gt;0),N(U7032),N(U7032)+1))</f>
        <v/>
      </c>
      <c r="V7033" s="19">
        <f>IF($B7033="","",TEXT($B7033,"0000"))</f>
        <v/>
      </c>
      <c r="W7033" s="19">
        <f>IF($I7033="","",IF(ISNUMBER($I7033),TEXT($I7033,"0"),$I7033))</f>
        <v/>
      </c>
    </row>
    <row r="7034">
      <c r="B7034" s="25" t="n"/>
      <c r="I7034" s="25" t="n"/>
      <c r="U7034" s="19">
        <f>IF($V7034&lt;&gt;'設定'!$C$4,N(U7033),IF(OR(NOT(COUNTIF('商品マスタ'!$B$6:$B$1005,$W7034)=0),COUNTIFS('①在庫を貼る'!$V$6:$V$10005,$V7034,'①在庫を貼る'!$W$6:$W$10005,$W7034)+COUNTIFS('月1回_1ヶ月前の在庫'!$V$6:$V$10005,$V7034,'月1回_1ヶ月前の在庫'!$W$6:$W$10005,$W7034)&gt;0),N(U7033),N(U7033)+1))</f>
        <v/>
      </c>
      <c r="V7034" s="19">
        <f>IF($B7034="","",TEXT($B7034,"0000"))</f>
        <v/>
      </c>
      <c r="W7034" s="19">
        <f>IF($I7034="","",IF(ISNUMBER($I7034),TEXT($I7034,"0"),$I7034))</f>
        <v/>
      </c>
    </row>
    <row r="7035">
      <c r="B7035" s="25" t="n"/>
      <c r="I7035" s="25" t="n"/>
      <c r="U7035" s="19">
        <f>IF($V7035&lt;&gt;'設定'!$C$4,N(U7034),IF(OR(NOT(COUNTIF('商品マスタ'!$B$6:$B$1005,$W7035)=0),COUNTIFS('①在庫を貼る'!$V$6:$V$10005,$V7035,'①在庫を貼る'!$W$6:$W$10005,$W7035)+COUNTIFS('月1回_1ヶ月前の在庫'!$V$6:$V$10005,$V7035,'月1回_1ヶ月前の在庫'!$W$6:$W$10005,$W7035)&gt;0),N(U7034),N(U7034)+1))</f>
        <v/>
      </c>
      <c r="V7035" s="19">
        <f>IF($B7035="","",TEXT($B7035,"0000"))</f>
        <v/>
      </c>
      <c r="W7035" s="19">
        <f>IF($I7035="","",IF(ISNUMBER($I7035),TEXT($I7035,"0"),$I7035))</f>
        <v/>
      </c>
    </row>
    <row r="7036">
      <c r="B7036" s="25" t="n"/>
      <c r="I7036" s="25" t="n"/>
      <c r="U7036" s="19">
        <f>IF($V7036&lt;&gt;'設定'!$C$4,N(U7035),IF(OR(NOT(COUNTIF('商品マスタ'!$B$6:$B$1005,$W7036)=0),COUNTIFS('①在庫を貼る'!$V$6:$V$10005,$V7036,'①在庫を貼る'!$W$6:$W$10005,$W7036)+COUNTIFS('月1回_1ヶ月前の在庫'!$V$6:$V$10005,$V7036,'月1回_1ヶ月前の在庫'!$W$6:$W$10005,$W7036)&gt;0),N(U7035),N(U7035)+1))</f>
        <v/>
      </c>
      <c r="V7036" s="19">
        <f>IF($B7036="","",TEXT($B7036,"0000"))</f>
        <v/>
      </c>
      <c r="W7036" s="19">
        <f>IF($I7036="","",IF(ISNUMBER($I7036),TEXT($I7036,"0"),$I7036))</f>
        <v/>
      </c>
    </row>
    <row r="7037">
      <c r="B7037" s="25" t="n"/>
      <c r="I7037" s="25" t="n"/>
      <c r="U7037" s="19">
        <f>IF($V7037&lt;&gt;'設定'!$C$4,N(U7036),IF(OR(NOT(COUNTIF('商品マスタ'!$B$6:$B$1005,$W7037)=0),COUNTIFS('①在庫を貼る'!$V$6:$V$10005,$V7037,'①在庫を貼る'!$W$6:$W$10005,$W7037)+COUNTIFS('月1回_1ヶ月前の在庫'!$V$6:$V$10005,$V7037,'月1回_1ヶ月前の在庫'!$W$6:$W$10005,$W7037)&gt;0),N(U7036),N(U7036)+1))</f>
        <v/>
      </c>
      <c r="V7037" s="19">
        <f>IF($B7037="","",TEXT($B7037,"0000"))</f>
        <v/>
      </c>
      <c r="W7037" s="19">
        <f>IF($I7037="","",IF(ISNUMBER($I7037),TEXT($I7037,"0"),$I7037))</f>
        <v/>
      </c>
    </row>
    <row r="7038">
      <c r="B7038" s="25" t="n"/>
      <c r="I7038" s="25" t="n"/>
      <c r="U7038" s="19">
        <f>IF($V7038&lt;&gt;'設定'!$C$4,N(U7037),IF(OR(NOT(COUNTIF('商品マスタ'!$B$6:$B$1005,$W7038)=0),COUNTIFS('①在庫を貼る'!$V$6:$V$10005,$V7038,'①在庫を貼る'!$W$6:$W$10005,$W7038)+COUNTIFS('月1回_1ヶ月前の在庫'!$V$6:$V$10005,$V7038,'月1回_1ヶ月前の在庫'!$W$6:$W$10005,$W7038)&gt;0),N(U7037),N(U7037)+1))</f>
        <v/>
      </c>
      <c r="V7038" s="19">
        <f>IF($B7038="","",TEXT($B7038,"0000"))</f>
        <v/>
      </c>
      <c r="W7038" s="19">
        <f>IF($I7038="","",IF(ISNUMBER($I7038),TEXT($I7038,"0"),$I7038))</f>
        <v/>
      </c>
    </row>
    <row r="7039">
      <c r="B7039" s="25" t="n"/>
      <c r="I7039" s="25" t="n"/>
      <c r="U7039" s="19">
        <f>IF($V7039&lt;&gt;'設定'!$C$4,N(U7038),IF(OR(NOT(COUNTIF('商品マスタ'!$B$6:$B$1005,$W7039)=0),COUNTIFS('①在庫を貼る'!$V$6:$V$10005,$V7039,'①在庫を貼る'!$W$6:$W$10005,$W7039)+COUNTIFS('月1回_1ヶ月前の在庫'!$V$6:$V$10005,$V7039,'月1回_1ヶ月前の在庫'!$W$6:$W$10005,$W7039)&gt;0),N(U7038),N(U7038)+1))</f>
        <v/>
      </c>
      <c r="V7039" s="19">
        <f>IF($B7039="","",TEXT($B7039,"0000"))</f>
        <v/>
      </c>
      <c r="W7039" s="19">
        <f>IF($I7039="","",IF(ISNUMBER($I7039),TEXT($I7039,"0"),$I7039))</f>
        <v/>
      </c>
    </row>
    <row r="7040">
      <c r="B7040" s="25" t="n"/>
      <c r="I7040" s="25" t="n"/>
      <c r="U7040" s="19">
        <f>IF($V7040&lt;&gt;'設定'!$C$4,N(U7039),IF(OR(NOT(COUNTIF('商品マスタ'!$B$6:$B$1005,$W7040)=0),COUNTIFS('①在庫を貼る'!$V$6:$V$10005,$V7040,'①在庫を貼る'!$W$6:$W$10005,$W7040)+COUNTIFS('月1回_1ヶ月前の在庫'!$V$6:$V$10005,$V7040,'月1回_1ヶ月前の在庫'!$W$6:$W$10005,$W7040)&gt;0),N(U7039),N(U7039)+1))</f>
        <v/>
      </c>
      <c r="V7040" s="19">
        <f>IF($B7040="","",TEXT($B7040,"0000"))</f>
        <v/>
      </c>
      <c r="W7040" s="19">
        <f>IF($I7040="","",IF(ISNUMBER($I7040),TEXT($I7040,"0"),$I7040))</f>
        <v/>
      </c>
    </row>
    <row r="7041">
      <c r="B7041" s="25" t="n"/>
      <c r="I7041" s="25" t="n"/>
      <c r="U7041" s="19">
        <f>IF($V7041&lt;&gt;'設定'!$C$4,N(U7040),IF(OR(NOT(COUNTIF('商品マスタ'!$B$6:$B$1005,$W7041)=0),COUNTIFS('①在庫を貼る'!$V$6:$V$10005,$V7041,'①在庫を貼る'!$W$6:$W$10005,$W7041)+COUNTIFS('月1回_1ヶ月前の在庫'!$V$6:$V$10005,$V7041,'月1回_1ヶ月前の在庫'!$W$6:$W$10005,$W7041)&gt;0),N(U7040),N(U7040)+1))</f>
        <v/>
      </c>
      <c r="V7041" s="19">
        <f>IF($B7041="","",TEXT($B7041,"0000"))</f>
        <v/>
      </c>
      <c r="W7041" s="19">
        <f>IF($I7041="","",IF(ISNUMBER($I7041),TEXT($I7041,"0"),$I7041))</f>
        <v/>
      </c>
    </row>
    <row r="7042">
      <c r="B7042" s="25" t="n"/>
      <c r="I7042" s="25" t="n"/>
      <c r="U7042" s="19">
        <f>IF($V7042&lt;&gt;'設定'!$C$4,N(U7041),IF(OR(NOT(COUNTIF('商品マスタ'!$B$6:$B$1005,$W7042)=0),COUNTIFS('①在庫を貼る'!$V$6:$V$10005,$V7042,'①在庫を貼る'!$W$6:$W$10005,$W7042)+COUNTIFS('月1回_1ヶ月前の在庫'!$V$6:$V$10005,$V7042,'月1回_1ヶ月前の在庫'!$W$6:$W$10005,$W7042)&gt;0),N(U7041),N(U7041)+1))</f>
        <v/>
      </c>
      <c r="V7042" s="19">
        <f>IF($B7042="","",TEXT($B7042,"0000"))</f>
        <v/>
      </c>
      <c r="W7042" s="19">
        <f>IF($I7042="","",IF(ISNUMBER($I7042),TEXT($I7042,"0"),$I7042))</f>
        <v/>
      </c>
    </row>
    <row r="7043">
      <c r="B7043" s="25" t="n"/>
      <c r="I7043" s="25" t="n"/>
      <c r="U7043" s="19">
        <f>IF($V7043&lt;&gt;'設定'!$C$4,N(U7042),IF(OR(NOT(COUNTIF('商品マスタ'!$B$6:$B$1005,$W7043)=0),COUNTIFS('①在庫を貼る'!$V$6:$V$10005,$V7043,'①在庫を貼る'!$W$6:$W$10005,$W7043)+COUNTIFS('月1回_1ヶ月前の在庫'!$V$6:$V$10005,$V7043,'月1回_1ヶ月前の在庫'!$W$6:$W$10005,$W7043)&gt;0),N(U7042),N(U7042)+1))</f>
        <v/>
      </c>
      <c r="V7043" s="19">
        <f>IF($B7043="","",TEXT($B7043,"0000"))</f>
        <v/>
      </c>
      <c r="W7043" s="19">
        <f>IF($I7043="","",IF(ISNUMBER($I7043),TEXT($I7043,"0"),$I7043))</f>
        <v/>
      </c>
    </row>
    <row r="7044">
      <c r="B7044" s="25" t="n"/>
      <c r="I7044" s="25" t="n"/>
      <c r="U7044" s="19">
        <f>IF($V7044&lt;&gt;'設定'!$C$4,N(U7043),IF(OR(NOT(COUNTIF('商品マスタ'!$B$6:$B$1005,$W7044)=0),COUNTIFS('①在庫を貼る'!$V$6:$V$10005,$V7044,'①在庫を貼る'!$W$6:$W$10005,$W7044)+COUNTIFS('月1回_1ヶ月前の在庫'!$V$6:$V$10005,$V7044,'月1回_1ヶ月前の在庫'!$W$6:$W$10005,$W7044)&gt;0),N(U7043),N(U7043)+1))</f>
        <v/>
      </c>
      <c r="V7044" s="19">
        <f>IF($B7044="","",TEXT($B7044,"0000"))</f>
        <v/>
      </c>
      <c r="W7044" s="19">
        <f>IF($I7044="","",IF(ISNUMBER($I7044),TEXT($I7044,"0"),$I7044))</f>
        <v/>
      </c>
    </row>
    <row r="7045">
      <c r="B7045" s="25" t="n"/>
      <c r="I7045" s="25" t="n"/>
      <c r="U7045" s="19">
        <f>IF($V7045&lt;&gt;'設定'!$C$4,N(U7044),IF(OR(NOT(COUNTIF('商品マスタ'!$B$6:$B$1005,$W7045)=0),COUNTIFS('①在庫を貼る'!$V$6:$V$10005,$V7045,'①在庫を貼る'!$W$6:$W$10005,$W7045)+COUNTIFS('月1回_1ヶ月前の在庫'!$V$6:$V$10005,$V7045,'月1回_1ヶ月前の在庫'!$W$6:$W$10005,$W7045)&gt;0),N(U7044),N(U7044)+1))</f>
        <v/>
      </c>
      <c r="V7045" s="19">
        <f>IF($B7045="","",TEXT($B7045,"0000"))</f>
        <v/>
      </c>
      <c r="W7045" s="19">
        <f>IF($I7045="","",IF(ISNUMBER($I7045),TEXT($I7045,"0"),$I7045))</f>
        <v/>
      </c>
    </row>
    <row r="7046">
      <c r="B7046" s="25" t="n"/>
      <c r="I7046" s="25" t="n"/>
      <c r="U7046" s="19">
        <f>IF($V7046&lt;&gt;'設定'!$C$4,N(U7045),IF(OR(NOT(COUNTIF('商品マスタ'!$B$6:$B$1005,$W7046)=0),COUNTIFS('①在庫を貼る'!$V$6:$V$10005,$V7046,'①在庫を貼る'!$W$6:$W$10005,$W7046)+COUNTIFS('月1回_1ヶ月前の在庫'!$V$6:$V$10005,$V7046,'月1回_1ヶ月前の在庫'!$W$6:$W$10005,$W7046)&gt;0),N(U7045),N(U7045)+1))</f>
        <v/>
      </c>
      <c r="V7046" s="19">
        <f>IF($B7046="","",TEXT($B7046,"0000"))</f>
        <v/>
      </c>
      <c r="W7046" s="19">
        <f>IF($I7046="","",IF(ISNUMBER($I7046),TEXT($I7046,"0"),$I7046))</f>
        <v/>
      </c>
    </row>
    <row r="7047">
      <c r="B7047" s="25" t="n"/>
      <c r="I7047" s="25" t="n"/>
      <c r="U7047" s="19">
        <f>IF($V7047&lt;&gt;'設定'!$C$4,N(U7046),IF(OR(NOT(COUNTIF('商品マスタ'!$B$6:$B$1005,$W7047)=0),COUNTIFS('①在庫を貼る'!$V$6:$V$10005,$V7047,'①在庫を貼る'!$W$6:$W$10005,$W7047)+COUNTIFS('月1回_1ヶ月前の在庫'!$V$6:$V$10005,$V7047,'月1回_1ヶ月前の在庫'!$W$6:$W$10005,$W7047)&gt;0),N(U7046),N(U7046)+1))</f>
        <v/>
      </c>
      <c r="V7047" s="19">
        <f>IF($B7047="","",TEXT($B7047,"0000"))</f>
        <v/>
      </c>
      <c r="W7047" s="19">
        <f>IF($I7047="","",IF(ISNUMBER($I7047),TEXT($I7047,"0"),$I7047))</f>
        <v/>
      </c>
    </row>
    <row r="7048">
      <c r="B7048" s="25" t="n"/>
      <c r="I7048" s="25" t="n"/>
      <c r="U7048" s="19">
        <f>IF($V7048&lt;&gt;'設定'!$C$4,N(U7047),IF(OR(NOT(COUNTIF('商品マスタ'!$B$6:$B$1005,$W7048)=0),COUNTIFS('①在庫を貼る'!$V$6:$V$10005,$V7048,'①在庫を貼る'!$W$6:$W$10005,$W7048)+COUNTIFS('月1回_1ヶ月前の在庫'!$V$6:$V$10005,$V7048,'月1回_1ヶ月前の在庫'!$W$6:$W$10005,$W7048)&gt;0),N(U7047),N(U7047)+1))</f>
        <v/>
      </c>
      <c r="V7048" s="19">
        <f>IF($B7048="","",TEXT($B7048,"0000"))</f>
        <v/>
      </c>
      <c r="W7048" s="19">
        <f>IF($I7048="","",IF(ISNUMBER($I7048),TEXT($I7048,"0"),$I7048))</f>
        <v/>
      </c>
    </row>
    <row r="7049">
      <c r="B7049" s="25" t="n"/>
      <c r="I7049" s="25" t="n"/>
      <c r="U7049" s="19">
        <f>IF($V7049&lt;&gt;'設定'!$C$4,N(U7048),IF(OR(NOT(COUNTIF('商品マスタ'!$B$6:$B$1005,$W7049)=0),COUNTIFS('①在庫を貼る'!$V$6:$V$10005,$V7049,'①在庫を貼る'!$W$6:$W$10005,$W7049)+COUNTIFS('月1回_1ヶ月前の在庫'!$V$6:$V$10005,$V7049,'月1回_1ヶ月前の在庫'!$W$6:$W$10005,$W7049)&gt;0),N(U7048),N(U7048)+1))</f>
        <v/>
      </c>
      <c r="V7049" s="19">
        <f>IF($B7049="","",TEXT($B7049,"0000"))</f>
        <v/>
      </c>
      <c r="W7049" s="19">
        <f>IF($I7049="","",IF(ISNUMBER($I7049),TEXT($I7049,"0"),$I7049))</f>
        <v/>
      </c>
    </row>
    <row r="7050">
      <c r="B7050" s="25" t="n"/>
      <c r="I7050" s="25" t="n"/>
      <c r="U7050" s="19">
        <f>IF($V7050&lt;&gt;'設定'!$C$4,N(U7049),IF(OR(NOT(COUNTIF('商品マスタ'!$B$6:$B$1005,$W7050)=0),COUNTIFS('①在庫を貼る'!$V$6:$V$10005,$V7050,'①在庫を貼る'!$W$6:$W$10005,$W7050)+COUNTIFS('月1回_1ヶ月前の在庫'!$V$6:$V$10005,$V7050,'月1回_1ヶ月前の在庫'!$W$6:$W$10005,$W7050)&gt;0),N(U7049),N(U7049)+1))</f>
        <v/>
      </c>
      <c r="V7050" s="19">
        <f>IF($B7050="","",TEXT($B7050,"0000"))</f>
        <v/>
      </c>
      <c r="W7050" s="19">
        <f>IF($I7050="","",IF(ISNUMBER($I7050),TEXT($I7050,"0"),$I7050))</f>
        <v/>
      </c>
    </row>
    <row r="7051">
      <c r="B7051" s="25" t="n"/>
      <c r="I7051" s="25" t="n"/>
      <c r="U7051" s="19">
        <f>IF($V7051&lt;&gt;'設定'!$C$4,N(U7050),IF(OR(NOT(COUNTIF('商品マスタ'!$B$6:$B$1005,$W7051)=0),COUNTIFS('①在庫を貼る'!$V$6:$V$10005,$V7051,'①在庫を貼る'!$W$6:$W$10005,$W7051)+COUNTIFS('月1回_1ヶ月前の在庫'!$V$6:$V$10005,$V7051,'月1回_1ヶ月前の在庫'!$W$6:$W$10005,$W7051)&gt;0),N(U7050),N(U7050)+1))</f>
        <v/>
      </c>
      <c r="V7051" s="19">
        <f>IF($B7051="","",TEXT($B7051,"0000"))</f>
        <v/>
      </c>
      <c r="W7051" s="19">
        <f>IF($I7051="","",IF(ISNUMBER($I7051),TEXT($I7051,"0"),$I7051))</f>
        <v/>
      </c>
    </row>
    <row r="7052">
      <c r="B7052" s="25" t="n"/>
      <c r="I7052" s="25" t="n"/>
      <c r="U7052" s="19">
        <f>IF($V7052&lt;&gt;'設定'!$C$4,N(U7051),IF(OR(NOT(COUNTIF('商品マスタ'!$B$6:$B$1005,$W7052)=0),COUNTIFS('①在庫を貼る'!$V$6:$V$10005,$V7052,'①在庫を貼る'!$W$6:$W$10005,$W7052)+COUNTIFS('月1回_1ヶ月前の在庫'!$V$6:$V$10005,$V7052,'月1回_1ヶ月前の在庫'!$W$6:$W$10005,$W7052)&gt;0),N(U7051),N(U7051)+1))</f>
        <v/>
      </c>
      <c r="V7052" s="19">
        <f>IF($B7052="","",TEXT($B7052,"0000"))</f>
        <v/>
      </c>
      <c r="W7052" s="19">
        <f>IF($I7052="","",IF(ISNUMBER($I7052),TEXT($I7052,"0"),$I7052))</f>
        <v/>
      </c>
    </row>
    <row r="7053">
      <c r="B7053" s="25" t="n"/>
      <c r="I7053" s="25" t="n"/>
      <c r="U7053" s="19">
        <f>IF($V7053&lt;&gt;'設定'!$C$4,N(U7052),IF(OR(NOT(COUNTIF('商品マスタ'!$B$6:$B$1005,$W7053)=0),COUNTIFS('①在庫を貼る'!$V$6:$V$10005,$V7053,'①在庫を貼る'!$W$6:$W$10005,$W7053)+COUNTIFS('月1回_1ヶ月前の在庫'!$V$6:$V$10005,$V7053,'月1回_1ヶ月前の在庫'!$W$6:$W$10005,$W7053)&gt;0),N(U7052),N(U7052)+1))</f>
        <v/>
      </c>
      <c r="V7053" s="19">
        <f>IF($B7053="","",TEXT($B7053,"0000"))</f>
        <v/>
      </c>
      <c r="W7053" s="19">
        <f>IF($I7053="","",IF(ISNUMBER($I7053),TEXT($I7053,"0"),$I7053))</f>
        <v/>
      </c>
    </row>
    <row r="7054">
      <c r="B7054" s="25" t="n"/>
      <c r="I7054" s="25" t="n"/>
      <c r="U7054" s="19">
        <f>IF($V7054&lt;&gt;'設定'!$C$4,N(U7053),IF(OR(NOT(COUNTIF('商品マスタ'!$B$6:$B$1005,$W7054)=0),COUNTIFS('①在庫を貼る'!$V$6:$V$10005,$V7054,'①在庫を貼る'!$W$6:$W$10005,$W7054)+COUNTIFS('月1回_1ヶ月前の在庫'!$V$6:$V$10005,$V7054,'月1回_1ヶ月前の在庫'!$W$6:$W$10005,$W7054)&gt;0),N(U7053),N(U7053)+1))</f>
        <v/>
      </c>
      <c r="V7054" s="19">
        <f>IF($B7054="","",TEXT($B7054,"0000"))</f>
        <v/>
      </c>
      <c r="W7054" s="19">
        <f>IF($I7054="","",IF(ISNUMBER($I7054),TEXT($I7054,"0"),$I7054))</f>
        <v/>
      </c>
    </row>
    <row r="7055">
      <c r="B7055" s="25" t="n"/>
      <c r="I7055" s="25" t="n"/>
      <c r="U7055" s="19">
        <f>IF($V7055&lt;&gt;'設定'!$C$4,N(U7054),IF(OR(NOT(COUNTIF('商品マスタ'!$B$6:$B$1005,$W7055)=0),COUNTIFS('①在庫を貼る'!$V$6:$V$10005,$V7055,'①在庫を貼る'!$W$6:$W$10005,$W7055)+COUNTIFS('月1回_1ヶ月前の在庫'!$V$6:$V$10005,$V7055,'月1回_1ヶ月前の在庫'!$W$6:$W$10005,$W7055)&gt;0),N(U7054),N(U7054)+1))</f>
        <v/>
      </c>
      <c r="V7055" s="19">
        <f>IF($B7055="","",TEXT($B7055,"0000"))</f>
        <v/>
      </c>
      <c r="W7055" s="19">
        <f>IF($I7055="","",IF(ISNUMBER($I7055),TEXT($I7055,"0"),$I7055))</f>
        <v/>
      </c>
    </row>
    <row r="7056">
      <c r="B7056" s="25" t="n"/>
      <c r="I7056" s="25" t="n"/>
      <c r="U7056" s="19">
        <f>IF($V7056&lt;&gt;'設定'!$C$4,N(U7055),IF(OR(NOT(COUNTIF('商品マスタ'!$B$6:$B$1005,$W7056)=0),COUNTIFS('①在庫を貼る'!$V$6:$V$10005,$V7056,'①在庫を貼る'!$W$6:$W$10005,$W7056)+COUNTIFS('月1回_1ヶ月前の在庫'!$V$6:$V$10005,$V7056,'月1回_1ヶ月前の在庫'!$W$6:$W$10005,$W7056)&gt;0),N(U7055),N(U7055)+1))</f>
        <v/>
      </c>
      <c r="V7056" s="19">
        <f>IF($B7056="","",TEXT($B7056,"0000"))</f>
        <v/>
      </c>
      <c r="W7056" s="19">
        <f>IF($I7056="","",IF(ISNUMBER($I7056),TEXT($I7056,"0"),$I7056))</f>
        <v/>
      </c>
    </row>
    <row r="7057">
      <c r="B7057" s="25" t="n"/>
      <c r="I7057" s="25" t="n"/>
      <c r="U7057" s="19">
        <f>IF($V7057&lt;&gt;'設定'!$C$4,N(U7056),IF(OR(NOT(COUNTIF('商品マスタ'!$B$6:$B$1005,$W7057)=0),COUNTIFS('①在庫を貼る'!$V$6:$V$10005,$V7057,'①在庫を貼る'!$W$6:$W$10005,$W7057)+COUNTIFS('月1回_1ヶ月前の在庫'!$V$6:$V$10005,$V7057,'月1回_1ヶ月前の在庫'!$W$6:$W$10005,$W7057)&gt;0),N(U7056),N(U7056)+1))</f>
        <v/>
      </c>
      <c r="V7057" s="19">
        <f>IF($B7057="","",TEXT($B7057,"0000"))</f>
        <v/>
      </c>
      <c r="W7057" s="19">
        <f>IF($I7057="","",IF(ISNUMBER($I7057),TEXT($I7057,"0"),$I7057))</f>
        <v/>
      </c>
    </row>
    <row r="7058">
      <c r="B7058" s="25" t="n"/>
      <c r="I7058" s="25" t="n"/>
      <c r="U7058" s="19">
        <f>IF($V7058&lt;&gt;'設定'!$C$4,N(U7057),IF(OR(NOT(COUNTIF('商品マスタ'!$B$6:$B$1005,$W7058)=0),COUNTIFS('①在庫を貼る'!$V$6:$V$10005,$V7058,'①在庫を貼る'!$W$6:$W$10005,$W7058)+COUNTIFS('月1回_1ヶ月前の在庫'!$V$6:$V$10005,$V7058,'月1回_1ヶ月前の在庫'!$W$6:$W$10005,$W7058)&gt;0),N(U7057),N(U7057)+1))</f>
        <v/>
      </c>
      <c r="V7058" s="19">
        <f>IF($B7058="","",TEXT($B7058,"0000"))</f>
        <v/>
      </c>
      <c r="W7058" s="19">
        <f>IF($I7058="","",IF(ISNUMBER($I7058),TEXT($I7058,"0"),$I7058))</f>
        <v/>
      </c>
    </row>
    <row r="7059">
      <c r="B7059" s="25" t="n"/>
      <c r="I7059" s="25" t="n"/>
      <c r="U7059" s="19">
        <f>IF($V7059&lt;&gt;'設定'!$C$4,N(U7058),IF(OR(NOT(COUNTIF('商品マスタ'!$B$6:$B$1005,$W7059)=0),COUNTIFS('①在庫を貼る'!$V$6:$V$10005,$V7059,'①在庫を貼る'!$W$6:$W$10005,$W7059)+COUNTIFS('月1回_1ヶ月前の在庫'!$V$6:$V$10005,$V7059,'月1回_1ヶ月前の在庫'!$W$6:$W$10005,$W7059)&gt;0),N(U7058),N(U7058)+1))</f>
        <v/>
      </c>
      <c r="V7059" s="19">
        <f>IF($B7059="","",TEXT($B7059,"0000"))</f>
        <v/>
      </c>
      <c r="W7059" s="19">
        <f>IF($I7059="","",IF(ISNUMBER($I7059),TEXT($I7059,"0"),$I7059))</f>
        <v/>
      </c>
    </row>
    <row r="7060">
      <c r="B7060" s="25" t="n"/>
      <c r="I7060" s="25" t="n"/>
      <c r="U7060" s="19">
        <f>IF($V7060&lt;&gt;'設定'!$C$4,N(U7059),IF(OR(NOT(COUNTIF('商品マスタ'!$B$6:$B$1005,$W7060)=0),COUNTIFS('①在庫を貼る'!$V$6:$V$10005,$V7060,'①在庫を貼る'!$W$6:$W$10005,$W7060)+COUNTIFS('月1回_1ヶ月前の在庫'!$V$6:$V$10005,$V7060,'月1回_1ヶ月前の在庫'!$W$6:$W$10005,$W7060)&gt;0),N(U7059),N(U7059)+1))</f>
        <v/>
      </c>
      <c r="V7060" s="19">
        <f>IF($B7060="","",TEXT($B7060,"0000"))</f>
        <v/>
      </c>
      <c r="W7060" s="19">
        <f>IF($I7060="","",IF(ISNUMBER($I7060),TEXT($I7060,"0"),$I7060))</f>
        <v/>
      </c>
    </row>
    <row r="7061">
      <c r="B7061" s="25" t="n"/>
      <c r="I7061" s="25" t="n"/>
      <c r="U7061" s="19">
        <f>IF($V7061&lt;&gt;'設定'!$C$4,N(U7060),IF(OR(NOT(COUNTIF('商品マスタ'!$B$6:$B$1005,$W7061)=0),COUNTIFS('①在庫を貼る'!$V$6:$V$10005,$V7061,'①在庫を貼る'!$W$6:$W$10005,$W7061)+COUNTIFS('月1回_1ヶ月前の在庫'!$V$6:$V$10005,$V7061,'月1回_1ヶ月前の在庫'!$W$6:$W$10005,$W7061)&gt;0),N(U7060),N(U7060)+1))</f>
        <v/>
      </c>
      <c r="V7061" s="19">
        <f>IF($B7061="","",TEXT($B7061,"0000"))</f>
        <v/>
      </c>
      <c r="W7061" s="19">
        <f>IF($I7061="","",IF(ISNUMBER($I7061),TEXT($I7061,"0"),$I7061))</f>
        <v/>
      </c>
    </row>
    <row r="7062">
      <c r="B7062" s="25" t="n"/>
      <c r="I7062" s="25" t="n"/>
      <c r="U7062" s="19">
        <f>IF($V7062&lt;&gt;'設定'!$C$4,N(U7061),IF(OR(NOT(COUNTIF('商品マスタ'!$B$6:$B$1005,$W7062)=0),COUNTIFS('①在庫を貼る'!$V$6:$V$10005,$V7062,'①在庫を貼る'!$W$6:$W$10005,$W7062)+COUNTIFS('月1回_1ヶ月前の在庫'!$V$6:$V$10005,$V7062,'月1回_1ヶ月前の在庫'!$W$6:$W$10005,$W7062)&gt;0),N(U7061),N(U7061)+1))</f>
        <v/>
      </c>
      <c r="V7062" s="19">
        <f>IF($B7062="","",TEXT($B7062,"0000"))</f>
        <v/>
      </c>
      <c r="W7062" s="19">
        <f>IF($I7062="","",IF(ISNUMBER($I7062),TEXT($I7062,"0"),$I7062))</f>
        <v/>
      </c>
    </row>
    <row r="7063">
      <c r="B7063" s="25" t="n"/>
      <c r="I7063" s="25" t="n"/>
      <c r="U7063" s="19">
        <f>IF($V7063&lt;&gt;'設定'!$C$4,N(U7062),IF(OR(NOT(COUNTIF('商品マスタ'!$B$6:$B$1005,$W7063)=0),COUNTIFS('①在庫を貼る'!$V$6:$V$10005,$V7063,'①在庫を貼る'!$W$6:$W$10005,$W7063)+COUNTIFS('月1回_1ヶ月前の在庫'!$V$6:$V$10005,$V7063,'月1回_1ヶ月前の在庫'!$W$6:$W$10005,$W7063)&gt;0),N(U7062),N(U7062)+1))</f>
        <v/>
      </c>
      <c r="V7063" s="19">
        <f>IF($B7063="","",TEXT($B7063,"0000"))</f>
        <v/>
      </c>
      <c r="W7063" s="19">
        <f>IF($I7063="","",IF(ISNUMBER($I7063),TEXT($I7063,"0"),$I7063))</f>
        <v/>
      </c>
    </row>
    <row r="7064">
      <c r="B7064" s="25" t="n"/>
      <c r="I7064" s="25" t="n"/>
      <c r="U7064" s="19">
        <f>IF($V7064&lt;&gt;'設定'!$C$4,N(U7063),IF(OR(NOT(COUNTIF('商品マスタ'!$B$6:$B$1005,$W7064)=0),COUNTIFS('①在庫を貼る'!$V$6:$V$10005,$V7064,'①在庫を貼る'!$W$6:$W$10005,$W7064)+COUNTIFS('月1回_1ヶ月前の在庫'!$V$6:$V$10005,$V7064,'月1回_1ヶ月前の在庫'!$W$6:$W$10005,$W7064)&gt;0),N(U7063),N(U7063)+1))</f>
        <v/>
      </c>
      <c r="V7064" s="19">
        <f>IF($B7064="","",TEXT($B7064,"0000"))</f>
        <v/>
      </c>
      <c r="W7064" s="19">
        <f>IF($I7064="","",IF(ISNUMBER($I7064),TEXT($I7064,"0"),$I7064))</f>
        <v/>
      </c>
    </row>
    <row r="7065">
      <c r="B7065" s="25" t="n"/>
      <c r="I7065" s="25" t="n"/>
      <c r="U7065" s="19">
        <f>IF($V7065&lt;&gt;'設定'!$C$4,N(U7064),IF(OR(NOT(COUNTIF('商品マスタ'!$B$6:$B$1005,$W7065)=0),COUNTIFS('①在庫を貼る'!$V$6:$V$10005,$V7065,'①在庫を貼る'!$W$6:$W$10005,$W7065)+COUNTIFS('月1回_1ヶ月前の在庫'!$V$6:$V$10005,$V7065,'月1回_1ヶ月前の在庫'!$W$6:$W$10005,$W7065)&gt;0),N(U7064),N(U7064)+1))</f>
        <v/>
      </c>
      <c r="V7065" s="19">
        <f>IF($B7065="","",TEXT($B7065,"0000"))</f>
        <v/>
      </c>
      <c r="W7065" s="19">
        <f>IF($I7065="","",IF(ISNUMBER($I7065),TEXT($I7065,"0"),$I7065))</f>
        <v/>
      </c>
    </row>
    <row r="7066">
      <c r="B7066" s="25" t="n"/>
      <c r="I7066" s="25" t="n"/>
      <c r="U7066" s="19">
        <f>IF($V7066&lt;&gt;'設定'!$C$4,N(U7065),IF(OR(NOT(COUNTIF('商品マスタ'!$B$6:$B$1005,$W7066)=0),COUNTIFS('①在庫を貼る'!$V$6:$V$10005,$V7066,'①在庫を貼る'!$W$6:$W$10005,$W7066)+COUNTIFS('月1回_1ヶ月前の在庫'!$V$6:$V$10005,$V7066,'月1回_1ヶ月前の在庫'!$W$6:$W$10005,$W7066)&gt;0),N(U7065),N(U7065)+1))</f>
        <v/>
      </c>
      <c r="V7066" s="19">
        <f>IF($B7066="","",TEXT($B7066,"0000"))</f>
        <v/>
      </c>
      <c r="W7066" s="19">
        <f>IF($I7066="","",IF(ISNUMBER($I7066),TEXT($I7066,"0"),$I7066))</f>
        <v/>
      </c>
    </row>
    <row r="7067">
      <c r="B7067" s="25" t="n"/>
      <c r="I7067" s="25" t="n"/>
      <c r="U7067" s="19">
        <f>IF($V7067&lt;&gt;'設定'!$C$4,N(U7066),IF(OR(NOT(COUNTIF('商品マスタ'!$B$6:$B$1005,$W7067)=0),COUNTIFS('①在庫を貼る'!$V$6:$V$10005,$V7067,'①在庫を貼る'!$W$6:$W$10005,$W7067)+COUNTIFS('月1回_1ヶ月前の在庫'!$V$6:$V$10005,$V7067,'月1回_1ヶ月前の在庫'!$W$6:$W$10005,$W7067)&gt;0),N(U7066),N(U7066)+1))</f>
        <v/>
      </c>
      <c r="V7067" s="19">
        <f>IF($B7067="","",TEXT($B7067,"0000"))</f>
        <v/>
      </c>
      <c r="W7067" s="19">
        <f>IF($I7067="","",IF(ISNUMBER($I7067),TEXT($I7067,"0"),$I7067))</f>
        <v/>
      </c>
    </row>
    <row r="7068">
      <c r="B7068" s="25" t="n"/>
      <c r="I7068" s="25" t="n"/>
      <c r="U7068" s="19">
        <f>IF($V7068&lt;&gt;'設定'!$C$4,N(U7067),IF(OR(NOT(COUNTIF('商品マスタ'!$B$6:$B$1005,$W7068)=0),COUNTIFS('①在庫を貼る'!$V$6:$V$10005,$V7068,'①在庫を貼る'!$W$6:$W$10005,$W7068)+COUNTIFS('月1回_1ヶ月前の在庫'!$V$6:$V$10005,$V7068,'月1回_1ヶ月前の在庫'!$W$6:$W$10005,$W7068)&gt;0),N(U7067),N(U7067)+1))</f>
        <v/>
      </c>
      <c r="V7068" s="19">
        <f>IF($B7068="","",TEXT($B7068,"0000"))</f>
        <v/>
      </c>
      <c r="W7068" s="19">
        <f>IF($I7068="","",IF(ISNUMBER($I7068),TEXT($I7068,"0"),$I7068))</f>
        <v/>
      </c>
    </row>
    <row r="7069">
      <c r="B7069" s="25" t="n"/>
      <c r="I7069" s="25" t="n"/>
      <c r="U7069" s="19">
        <f>IF($V7069&lt;&gt;'設定'!$C$4,N(U7068),IF(OR(NOT(COUNTIF('商品マスタ'!$B$6:$B$1005,$W7069)=0),COUNTIFS('①在庫を貼る'!$V$6:$V$10005,$V7069,'①在庫を貼る'!$W$6:$W$10005,$W7069)+COUNTIFS('月1回_1ヶ月前の在庫'!$V$6:$V$10005,$V7069,'月1回_1ヶ月前の在庫'!$W$6:$W$10005,$W7069)&gt;0),N(U7068),N(U7068)+1))</f>
        <v/>
      </c>
      <c r="V7069" s="19">
        <f>IF($B7069="","",TEXT($B7069,"0000"))</f>
        <v/>
      </c>
      <c r="W7069" s="19">
        <f>IF($I7069="","",IF(ISNUMBER($I7069),TEXT($I7069,"0"),$I7069))</f>
        <v/>
      </c>
    </row>
    <row r="7070">
      <c r="B7070" s="25" t="n"/>
      <c r="I7070" s="25" t="n"/>
      <c r="U7070" s="19">
        <f>IF($V7070&lt;&gt;'設定'!$C$4,N(U7069),IF(OR(NOT(COUNTIF('商品マスタ'!$B$6:$B$1005,$W7070)=0),COUNTIFS('①在庫を貼る'!$V$6:$V$10005,$V7070,'①在庫を貼る'!$W$6:$W$10005,$W7070)+COUNTIFS('月1回_1ヶ月前の在庫'!$V$6:$V$10005,$V7070,'月1回_1ヶ月前の在庫'!$W$6:$W$10005,$W7070)&gt;0),N(U7069),N(U7069)+1))</f>
        <v/>
      </c>
      <c r="V7070" s="19">
        <f>IF($B7070="","",TEXT($B7070,"0000"))</f>
        <v/>
      </c>
      <c r="W7070" s="19">
        <f>IF($I7070="","",IF(ISNUMBER($I7070),TEXT($I7070,"0"),$I7070))</f>
        <v/>
      </c>
    </row>
    <row r="7071">
      <c r="B7071" s="25" t="n"/>
      <c r="I7071" s="25" t="n"/>
      <c r="U7071" s="19">
        <f>IF($V7071&lt;&gt;'設定'!$C$4,N(U7070),IF(OR(NOT(COUNTIF('商品マスタ'!$B$6:$B$1005,$W7071)=0),COUNTIFS('①在庫を貼る'!$V$6:$V$10005,$V7071,'①在庫を貼る'!$W$6:$W$10005,$W7071)+COUNTIFS('月1回_1ヶ月前の在庫'!$V$6:$V$10005,$V7071,'月1回_1ヶ月前の在庫'!$W$6:$W$10005,$W7071)&gt;0),N(U7070),N(U7070)+1))</f>
        <v/>
      </c>
      <c r="V7071" s="19">
        <f>IF($B7071="","",TEXT($B7071,"0000"))</f>
        <v/>
      </c>
      <c r="W7071" s="19">
        <f>IF($I7071="","",IF(ISNUMBER($I7071),TEXT($I7071,"0"),$I7071))</f>
        <v/>
      </c>
    </row>
    <row r="7072">
      <c r="B7072" s="25" t="n"/>
      <c r="I7072" s="25" t="n"/>
      <c r="U7072" s="19">
        <f>IF($V7072&lt;&gt;'設定'!$C$4,N(U7071),IF(OR(NOT(COUNTIF('商品マスタ'!$B$6:$B$1005,$W7072)=0),COUNTIFS('①在庫を貼る'!$V$6:$V$10005,$V7072,'①在庫を貼る'!$W$6:$W$10005,$W7072)+COUNTIFS('月1回_1ヶ月前の在庫'!$V$6:$V$10005,$V7072,'月1回_1ヶ月前の在庫'!$W$6:$W$10005,$W7072)&gt;0),N(U7071),N(U7071)+1))</f>
        <v/>
      </c>
      <c r="V7072" s="19">
        <f>IF($B7072="","",TEXT($B7072,"0000"))</f>
        <v/>
      </c>
      <c r="W7072" s="19">
        <f>IF($I7072="","",IF(ISNUMBER($I7072),TEXT($I7072,"0"),$I7072))</f>
        <v/>
      </c>
    </row>
    <row r="7073">
      <c r="B7073" s="25" t="n"/>
      <c r="I7073" s="25" t="n"/>
      <c r="U7073" s="19">
        <f>IF($V7073&lt;&gt;'設定'!$C$4,N(U7072),IF(OR(NOT(COUNTIF('商品マスタ'!$B$6:$B$1005,$W7073)=0),COUNTIFS('①在庫を貼る'!$V$6:$V$10005,$V7073,'①在庫を貼る'!$W$6:$W$10005,$W7073)+COUNTIFS('月1回_1ヶ月前の在庫'!$V$6:$V$10005,$V7073,'月1回_1ヶ月前の在庫'!$W$6:$W$10005,$W7073)&gt;0),N(U7072),N(U7072)+1))</f>
        <v/>
      </c>
      <c r="V7073" s="19">
        <f>IF($B7073="","",TEXT($B7073,"0000"))</f>
        <v/>
      </c>
      <c r="W7073" s="19">
        <f>IF($I7073="","",IF(ISNUMBER($I7073),TEXT($I7073,"0"),$I7073))</f>
        <v/>
      </c>
    </row>
    <row r="7074">
      <c r="B7074" s="25" t="n"/>
      <c r="I7074" s="25" t="n"/>
      <c r="U7074" s="19">
        <f>IF($V7074&lt;&gt;'設定'!$C$4,N(U7073),IF(OR(NOT(COUNTIF('商品マスタ'!$B$6:$B$1005,$W7074)=0),COUNTIFS('①在庫を貼る'!$V$6:$V$10005,$V7074,'①在庫を貼る'!$W$6:$W$10005,$W7074)+COUNTIFS('月1回_1ヶ月前の在庫'!$V$6:$V$10005,$V7074,'月1回_1ヶ月前の在庫'!$W$6:$W$10005,$W7074)&gt;0),N(U7073),N(U7073)+1))</f>
        <v/>
      </c>
      <c r="V7074" s="19">
        <f>IF($B7074="","",TEXT($B7074,"0000"))</f>
        <v/>
      </c>
      <c r="W7074" s="19">
        <f>IF($I7074="","",IF(ISNUMBER($I7074),TEXT($I7074,"0"),$I7074))</f>
        <v/>
      </c>
    </row>
    <row r="7075">
      <c r="B7075" s="25" t="n"/>
      <c r="I7075" s="25" t="n"/>
      <c r="U7075" s="19">
        <f>IF($V7075&lt;&gt;'設定'!$C$4,N(U7074),IF(OR(NOT(COUNTIF('商品マスタ'!$B$6:$B$1005,$W7075)=0),COUNTIFS('①在庫を貼る'!$V$6:$V$10005,$V7075,'①在庫を貼る'!$W$6:$W$10005,$W7075)+COUNTIFS('月1回_1ヶ月前の在庫'!$V$6:$V$10005,$V7075,'月1回_1ヶ月前の在庫'!$W$6:$W$10005,$W7075)&gt;0),N(U7074),N(U7074)+1))</f>
        <v/>
      </c>
      <c r="V7075" s="19">
        <f>IF($B7075="","",TEXT($B7075,"0000"))</f>
        <v/>
      </c>
      <c r="W7075" s="19">
        <f>IF($I7075="","",IF(ISNUMBER($I7075),TEXT($I7075,"0"),$I7075))</f>
        <v/>
      </c>
    </row>
    <row r="7076">
      <c r="B7076" s="25" t="n"/>
      <c r="I7076" s="25" t="n"/>
      <c r="U7076" s="19">
        <f>IF($V7076&lt;&gt;'設定'!$C$4,N(U7075),IF(OR(NOT(COUNTIF('商品マスタ'!$B$6:$B$1005,$W7076)=0),COUNTIFS('①在庫を貼る'!$V$6:$V$10005,$V7076,'①在庫を貼る'!$W$6:$W$10005,$W7076)+COUNTIFS('月1回_1ヶ月前の在庫'!$V$6:$V$10005,$V7076,'月1回_1ヶ月前の在庫'!$W$6:$W$10005,$W7076)&gt;0),N(U7075),N(U7075)+1))</f>
        <v/>
      </c>
      <c r="V7076" s="19">
        <f>IF($B7076="","",TEXT($B7076,"0000"))</f>
        <v/>
      </c>
      <c r="W7076" s="19">
        <f>IF($I7076="","",IF(ISNUMBER($I7076),TEXT($I7076,"0"),$I7076))</f>
        <v/>
      </c>
    </row>
    <row r="7077">
      <c r="B7077" s="25" t="n"/>
      <c r="I7077" s="25" t="n"/>
      <c r="U7077" s="19">
        <f>IF($V7077&lt;&gt;'設定'!$C$4,N(U7076),IF(OR(NOT(COUNTIF('商品マスタ'!$B$6:$B$1005,$W7077)=0),COUNTIFS('①在庫を貼る'!$V$6:$V$10005,$V7077,'①在庫を貼る'!$W$6:$W$10005,$W7077)+COUNTIFS('月1回_1ヶ月前の在庫'!$V$6:$V$10005,$V7077,'月1回_1ヶ月前の在庫'!$W$6:$W$10005,$W7077)&gt;0),N(U7076),N(U7076)+1))</f>
        <v/>
      </c>
      <c r="V7077" s="19">
        <f>IF($B7077="","",TEXT($B7077,"0000"))</f>
        <v/>
      </c>
      <c r="W7077" s="19">
        <f>IF($I7077="","",IF(ISNUMBER($I7077),TEXT($I7077,"0"),$I7077))</f>
        <v/>
      </c>
    </row>
    <row r="7078">
      <c r="B7078" s="25" t="n"/>
      <c r="I7078" s="25" t="n"/>
      <c r="U7078" s="19">
        <f>IF($V7078&lt;&gt;'設定'!$C$4,N(U7077),IF(OR(NOT(COUNTIF('商品マスタ'!$B$6:$B$1005,$W7078)=0),COUNTIFS('①在庫を貼る'!$V$6:$V$10005,$V7078,'①在庫を貼る'!$W$6:$W$10005,$W7078)+COUNTIFS('月1回_1ヶ月前の在庫'!$V$6:$V$10005,$V7078,'月1回_1ヶ月前の在庫'!$W$6:$W$10005,$W7078)&gt;0),N(U7077),N(U7077)+1))</f>
        <v/>
      </c>
      <c r="V7078" s="19">
        <f>IF($B7078="","",TEXT($B7078,"0000"))</f>
        <v/>
      </c>
      <c r="W7078" s="19">
        <f>IF($I7078="","",IF(ISNUMBER($I7078),TEXT($I7078,"0"),$I7078))</f>
        <v/>
      </c>
    </row>
    <row r="7079">
      <c r="B7079" s="25" t="n"/>
      <c r="I7079" s="25" t="n"/>
      <c r="U7079" s="19">
        <f>IF($V7079&lt;&gt;'設定'!$C$4,N(U7078),IF(OR(NOT(COUNTIF('商品マスタ'!$B$6:$B$1005,$W7079)=0),COUNTIFS('①在庫を貼る'!$V$6:$V$10005,$V7079,'①在庫を貼る'!$W$6:$W$10005,$W7079)+COUNTIFS('月1回_1ヶ月前の在庫'!$V$6:$V$10005,$V7079,'月1回_1ヶ月前の在庫'!$W$6:$W$10005,$W7079)&gt;0),N(U7078),N(U7078)+1))</f>
        <v/>
      </c>
      <c r="V7079" s="19">
        <f>IF($B7079="","",TEXT($B7079,"0000"))</f>
        <v/>
      </c>
      <c r="W7079" s="19">
        <f>IF($I7079="","",IF(ISNUMBER($I7079),TEXT($I7079,"0"),$I7079))</f>
        <v/>
      </c>
    </row>
    <row r="7080">
      <c r="B7080" s="25" t="n"/>
      <c r="I7080" s="25" t="n"/>
      <c r="U7080" s="19">
        <f>IF($V7080&lt;&gt;'設定'!$C$4,N(U7079),IF(OR(NOT(COUNTIF('商品マスタ'!$B$6:$B$1005,$W7080)=0),COUNTIFS('①在庫を貼る'!$V$6:$V$10005,$V7080,'①在庫を貼る'!$W$6:$W$10005,$W7080)+COUNTIFS('月1回_1ヶ月前の在庫'!$V$6:$V$10005,$V7080,'月1回_1ヶ月前の在庫'!$W$6:$W$10005,$W7080)&gt;0),N(U7079),N(U7079)+1))</f>
        <v/>
      </c>
      <c r="V7080" s="19">
        <f>IF($B7080="","",TEXT($B7080,"0000"))</f>
        <v/>
      </c>
      <c r="W7080" s="19">
        <f>IF($I7080="","",IF(ISNUMBER($I7080),TEXT($I7080,"0"),$I7080))</f>
        <v/>
      </c>
    </row>
    <row r="7081">
      <c r="B7081" s="25" t="n"/>
      <c r="I7081" s="25" t="n"/>
      <c r="U7081" s="19">
        <f>IF($V7081&lt;&gt;'設定'!$C$4,N(U7080),IF(OR(NOT(COUNTIF('商品マスタ'!$B$6:$B$1005,$W7081)=0),COUNTIFS('①在庫を貼る'!$V$6:$V$10005,$V7081,'①在庫を貼る'!$W$6:$W$10005,$W7081)+COUNTIFS('月1回_1ヶ月前の在庫'!$V$6:$V$10005,$V7081,'月1回_1ヶ月前の在庫'!$W$6:$W$10005,$W7081)&gt;0),N(U7080),N(U7080)+1))</f>
        <v/>
      </c>
      <c r="V7081" s="19">
        <f>IF($B7081="","",TEXT($B7081,"0000"))</f>
        <v/>
      </c>
      <c r="W7081" s="19">
        <f>IF($I7081="","",IF(ISNUMBER($I7081),TEXT($I7081,"0"),$I7081))</f>
        <v/>
      </c>
    </row>
    <row r="7082">
      <c r="B7082" s="25" t="n"/>
      <c r="I7082" s="25" t="n"/>
      <c r="U7082" s="19">
        <f>IF($V7082&lt;&gt;'設定'!$C$4,N(U7081),IF(OR(NOT(COUNTIF('商品マスタ'!$B$6:$B$1005,$W7082)=0),COUNTIFS('①在庫を貼る'!$V$6:$V$10005,$V7082,'①在庫を貼る'!$W$6:$W$10005,$W7082)+COUNTIFS('月1回_1ヶ月前の在庫'!$V$6:$V$10005,$V7082,'月1回_1ヶ月前の在庫'!$W$6:$W$10005,$W7082)&gt;0),N(U7081),N(U7081)+1))</f>
        <v/>
      </c>
      <c r="V7082" s="19">
        <f>IF($B7082="","",TEXT($B7082,"0000"))</f>
        <v/>
      </c>
      <c r="W7082" s="19">
        <f>IF($I7082="","",IF(ISNUMBER($I7082),TEXT($I7082,"0"),$I7082))</f>
        <v/>
      </c>
    </row>
    <row r="7083">
      <c r="B7083" s="25" t="n"/>
      <c r="I7083" s="25" t="n"/>
      <c r="U7083" s="19">
        <f>IF($V7083&lt;&gt;'設定'!$C$4,N(U7082),IF(OR(NOT(COUNTIF('商品マスタ'!$B$6:$B$1005,$W7083)=0),COUNTIFS('①在庫を貼る'!$V$6:$V$10005,$V7083,'①在庫を貼る'!$W$6:$W$10005,$W7083)+COUNTIFS('月1回_1ヶ月前の在庫'!$V$6:$V$10005,$V7083,'月1回_1ヶ月前の在庫'!$W$6:$W$10005,$W7083)&gt;0),N(U7082),N(U7082)+1))</f>
        <v/>
      </c>
      <c r="V7083" s="19">
        <f>IF($B7083="","",TEXT($B7083,"0000"))</f>
        <v/>
      </c>
      <c r="W7083" s="19">
        <f>IF($I7083="","",IF(ISNUMBER($I7083),TEXT($I7083,"0"),$I7083))</f>
        <v/>
      </c>
    </row>
    <row r="7084">
      <c r="B7084" s="25" t="n"/>
      <c r="I7084" s="25" t="n"/>
      <c r="U7084" s="19">
        <f>IF($V7084&lt;&gt;'設定'!$C$4,N(U7083),IF(OR(NOT(COUNTIF('商品マスタ'!$B$6:$B$1005,$W7084)=0),COUNTIFS('①在庫を貼る'!$V$6:$V$10005,$V7084,'①在庫を貼る'!$W$6:$W$10005,$W7084)+COUNTIFS('月1回_1ヶ月前の在庫'!$V$6:$V$10005,$V7084,'月1回_1ヶ月前の在庫'!$W$6:$W$10005,$W7084)&gt;0),N(U7083),N(U7083)+1))</f>
        <v/>
      </c>
      <c r="V7084" s="19">
        <f>IF($B7084="","",TEXT($B7084,"0000"))</f>
        <v/>
      </c>
      <c r="W7084" s="19">
        <f>IF($I7084="","",IF(ISNUMBER($I7084),TEXT($I7084,"0"),$I7084))</f>
        <v/>
      </c>
    </row>
    <row r="7085">
      <c r="B7085" s="25" t="n"/>
      <c r="I7085" s="25" t="n"/>
      <c r="U7085" s="19">
        <f>IF($V7085&lt;&gt;'設定'!$C$4,N(U7084),IF(OR(NOT(COUNTIF('商品マスタ'!$B$6:$B$1005,$W7085)=0),COUNTIFS('①在庫を貼る'!$V$6:$V$10005,$V7085,'①在庫を貼る'!$W$6:$W$10005,$W7085)+COUNTIFS('月1回_1ヶ月前の在庫'!$V$6:$V$10005,$V7085,'月1回_1ヶ月前の在庫'!$W$6:$W$10005,$W7085)&gt;0),N(U7084),N(U7084)+1))</f>
        <v/>
      </c>
      <c r="V7085" s="19">
        <f>IF($B7085="","",TEXT($B7085,"0000"))</f>
        <v/>
      </c>
      <c r="W7085" s="19">
        <f>IF($I7085="","",IF(ISNUMBER($I7085),TEXT($I7085,"0"),$I7085))</f>
        <v/>
      </c>
    </row>
    <row r="7086">
      <c r="B7086" s="25" t="n"/>
      <c r="I7086" s="25" t="n"/>
      <c r="U7086" s="19">
        <f>IF($V7086&lt;&gt;'設定'!$C$4,N(U7085),IF(OR(NOT(COUNTIF('商品マスタ'!$B$6:$B$1005,$W7086)=0),COUNTIFS('①在庫を貼る'!$V$6:$V$10005,$V7086,'①在庫を貼る'!$W$6:$W$10005,$W7086)+COUNTIFS('月1回_1ヶ月前の在庫'!$V$6:$V$10005,$V7086,'月1回_1ヶ月前の在庫'!$W$6:$W$10005,$W7086)&gt;0),N(U7085),N(U7085)+1))</f>
        <v/>
      </c>
      <c r="V7086" s="19">
        <f>IF($B7086="","",TEXT($B7086,"0000"))</f>
        <v/>
      </c>
      <c r="W7086" s="19">
        <f>IF($I7086="","",IF(ISNUMBER($I7086),TEXT($I7086,"0"),$I7086))</f>
        <v/>
      </c>
    </row>
    <row r="7087">
      <c r="B7087" s="25" t="n"/>
      <c r="I7087" s="25" t="n"/>
      <c r="U7087" s="19">
        <f>IF($V7087&lt;&gt;'設定'!$C$4,N(U7086),IF(OR(NOT(COUNTIF('商品マスタ'!$B$6:$B$1005,$W7087)=0),COUNTIFS('①在庫を貼る'!$V$6:$V$10005,$V7087,'①在庫を貼る'!$W$6:$W$10005,$W7087)+COUNTIFS('月1回_1ヶ月前の在庫'!$V$6:$V$10005,$V7087,'月1回_1ヶ月前の在庫'!$W$6:$W$10005,$W7087)&gt;0),N(U7086),N(U7086)+1))</f>
        <v/>
      </c>
      <c r="V7087" s="19">
        <f>IF($B7087="","",TEXT($B7087,"0000"))</f>
        <v/>
      </c>
      <c r="W7087" s="19">
        <f>IF($I7087="","",IF(ISNUMBER($I7087),TEXT($I7087,"0"),$I7087))</f>
        <v/>
      </c>
    </row>
    <row r="7088">
      <c r="B7088" s="25" t="n"/>
      <c r="I7088" s="25" t="n"/>
      <c r="U7088" s="19">
        <f>IF($V7088&lt;&gt;'設定'!$C$4,N(U7087),IF(OR(NOT(COUNTIF('商品マスタ'!$B$6:$B$1005,$W7088)=0),COUNTIFS('①在庫を貼る'!$V$6:$V$10005,$V7088,'①在庫を貼る'!$W$6:$W$10005,$W7088)+COUNTIFS('月1回_1ヶ月前の在庫'!$V$6:$V$10005,$V7088,'月1回_1ヶ月前の在庫'!$W$6:$W$10005,$W7088)&gt;0),N(U7087),N(U7087)+1))</f>
        <v/>
      </c>
      <c r="V7088" s="19">
        <f>IF($B7088="","",TEXT($B7088,"0000"))</f>
        <v/>
      </c>
      <c r="W7088" s="19">
        <f>IF($I7088="","",IF(ISNUMBER($I7088),TEXT($I7088,"0"),$I7088))</f>
        <v/>
      </c>
    </row>
    <row r="7089">
      <c r="B7089" s="25" t="n"/>
      <c r="I7089" s="25" t="n"/>
      <c r="U7089" s="19">
        <f>IF($V7089&lt;&gt;'設定'!$C$4,N(U7088),IF(OR(NOT(COUNTIF('商品マスタ'!$B$6:$B$1005,$W7089)=0),COUNTIFS('①在庫を貼る'!$V$6:$V$10005,$V7089,'①在庫を貼る'!$W$6:$W$10005,$W7089)+COUNTIFS('月1回_1ヶ月前の在庫'!$V$6:$V$10005,$V7089,'月1回_1ヶ月前の在庫'!$W$6:$W$10005,$W7089)&gt;0),N(U7088),N(U7088)+1))</f>
        <v/>
      </c>
      <c r="V7089" s="19">
        <f>IF($B7089="","",TEXT($B7089,"0000"))</f>
        <v/>
      </c>
      <c r="W7089" s="19">
        <f>IF($I7089="","",IF(ISNUMBER($I7089),TEXT($I7089,"0"),$I7089))</f>
        <v/>
      </c>
    </row>
    <row r="7090">
      <c r="B7090" s="25" t="n"/>
      <c r="I7090" s="25" t="n"/>
      <c r="U7090" s="19">
        <f>IF($V7090&lt;&gt;'設定'!$C$4,N(U7089),IF(OR(NOT(COUNTIF('商品マスタ'!$B$6:$B$1005,$W7090)=0),COUNTIFS('①在庫を貼る'!$V$6:$V$10005,$V7090,'①在庫を貼る'!$W$6:$W$10005,$W7090)+COUNTIFS('月1回_1ヶ月前の在庫'!$V$6:$V$10005,$V7090,'月1回_1ヶ月前の在庫'!$W$6:$W$10005,$W7090)&gt;0),N(U7089),N(U7089)+1))</f>
        <v/>
      </c>
      <c r="V7090" s="19">
        <f>IF($B7090="","",TEXT($B7090,"0000"))</f>
        <v/>
      </c>
      <c r="W7090" s="19">
        <f>IF($I7090="","",IF(ISNUMBER($I7090),TEXT($I7090,"0"),$I7090))</f>
        <v/>
      </c>
    </row>
    <row r="7091">
      <c r="B7091" s="25" t="n"/>
      <c r="I7091" s="25" t="n"/>
      <c r="U7091" s="19">
        <f>IF($V7091&lt;&gt;'設定'!$C$4,N(U7090),IF(OR(NOT(COUNTIF('商品マスタ'!$B$6:$B$1005,$W7091)=0),COUNTIFS('①在庫を貼る'!$V$6:$V$10005,$V7091,'①在庫を貼る'!$W$6:$W$10005,$W7091)+COUNTIFS('月1回_1ヶ月前の在庫'!$V$6:$V$10005,$V7091,'月1回_1ヶ月前の在庫'!$W$6:$W$10005,$W7091)&gt;0),N(U7090),N(U7090)+1))</f>
        <v/>
      </c>
      <c r="V7091" s="19">
        <f>IF($B7091="","",TEXT($B7091,"0000"))</f>
        <v/>
      </c>
      <c r="W7091" s="19">
        <f>IF($I7091="","",IF(ISNUMBER($I7091),TEXT($I7091,"0"),$I7091))</f>
        <v/>
      </c>
    </row>
    <row r="7092">
      <c r="B7092" s="25" t="n"/>
      <c r="I7092" s="25" t="n"/>
      <c r="U7092" s="19">
        <f>IF($V7092&lt;&gt;'設定'!$C$4,N(U7091),IF(OR(NOT(COUNTIF('商品マスタ'!$B$6:$B$1005,$W7092)=0),COUNTIFS('①在庫を貼る'!$V$6:$V$10005,$V7092,'①在庫を貼る'!$W$6:$W$10005,$W7092)+COUNTIFS('月1回_1ヶ月前の在庫'!$V$6:$V$10005,$V7092,'月1回_1ヶ月前の在庫'!$W$6:$W$10005,$W7092)&gt;0),N(U7091),N(U7091)+1))</f>
        <v/>
      </c>
      <c r="V7092" s="19">
        <f>IF($B7092="","",TEXT($B7092,"0000"))</f>
        <v/>
      </c>
      <c r="W7092" s="19">
        <f>IF($I7092="","",IF(ISNUMBER($I7092),TEXT($I7092,"0"),$I7092))</f>
        <v/>
      </c>
    </row>
    <row r="7093">
      <c r="B7093" s="25" t="n"/>
      <c r="I7093" s="25" t="n"/>
      <c r="U7093" s="19">
        <f>IF($V7093&lt;&gt;'設定'!$C$4,N(U7092),IF(OR(NOT(COUNTIF('商品マスタ'!$B$6:$B$1005,$W7093)=0),COUNTIFS('①在庫を貼る'!$V$6:$V$10005,$V7093,'①在庫を貼る'!$W$6:$W$10005,$W7093)+COUNTIFS('月1回_1ヶ月前の在庫'!$V$6:$V$10005,$V7093,'月1回_1ヶ月前の在庫'!$W$6:$W$10005,$W7093)&gt;0),N(U7092),N(U7092)+1))</f>
        <v/>
      </c>
      <c r="V7093" s="19">
        <f>IF($B7093="","",TEXT($B7093,"0000"))</f>
        <v/>
      </c>
      <c r="W7093" s="19">
        <f>IF($I7093="","",IF(ISNUMBER($I7093),TEXT($I7093,"0"),$I7093))</f>
        <v/>
      </c>
    </row>
    <row r="7094">
      <c r="B7094" s="25" t="n"/>
      <c r="I7094" s="25" t="n"/>
      <c r="U7094" s="19">
        <f>IF($V7094&lt;&gt;'設定'!$C$4,N(U7093),IF(OR(NOT(COUNTIF('商品マスタ'!$B$6:$B$1005,$W7094)=0),COUNTIFS('①在庫を貼る'!$V$6:$V$10005,$V7094,'①在庫を貼る'!$W$6:$W$10005,$W7094)+COUNTIFS('月1回_1ヶ月前の在庫'!$V$6:$V$10005,$V7094,'月1回_1ヶ月前の在庫'!$W$6:$W$10005,$W7094)&gt;0),N(U7093),N(U7093)+1))</f>
        <v/>
      </c>
      <c r="V7094" s="19">
        <f>IF($B7094="","",TEXT($B7094,"0000"))</f>
        <v/>
      </c>
      <c r="W7094" s="19">
        <f>IF($I7094="","",IF(ISNUMBER($I7094),TEXT($I7094,"0"),$I7094))</f>
        <v/>
      </c>
    </row>
    <row r="7095">
      <c r="B7095" s="25" t="n"/>
      <c r="I7095" s="25" t="n"/>
      <c r="U7095" s="19">
        <f>IF($V7095&lt;&gt;'設定'!$C$4,N(U7094),IF(OR(NOT(COUNTIF('商品マスタ'!$B$6:$B$1005,$W7095)=0),COUNTIFS('①在庫を貼る'!$V$6:$V$10005,$V7095,'①在庫を貼る'!$W$6:$W$10005,$W7095)+COUNTIFS('月1回_1ヶ月前の在庫'!$V$6:$V$10005,$V7095,'月1回_1ヶ月前の在庫'!$W$6:$W$10005,$W7095)&gt;0),N(U7094),N(U7094)+1))</f>
        <v/>
      </c>
      <c r="V7095" s="19">
        <f>IF($B7095="","",TEXT($B7095,"0000"))</f>
        <v/>
      </c>
      <c r="W7095" s="19">
        <f>IF($I7095="","",IF(ISNUMBER($I7095),TEXT($I7095,"0"),$I7095))</f>
        <v/>
      </c>
    </row>
    <row r="7096">
      <c r="B7096" s="25" t="n"/>
      <c r="I7096" s="25" t="n"/>
      <c r="U7096" s="19">
        <f>IF($V7096&lt;&gt;'設定'!$C$4,N(U7095),IF(OR(NOT(COUNTIF('商品マスタ'!$B$6:$B$1005,$W7096)=0),COUNTIFS('①在庫を貼る'!$V$6:$V$10005,$V7096,'①在庫を貼る'!$W$6:$W$10005,$W7096)+COUNTIFS('月1回_1ヶ月前の在庫'!$V$6:$V$10005,$V7096,'月1回_1ヶ月前の在庫'!$W$6:$W$10005,$W7096)&gt;0),N(U7095),N(U7095)+1))</f>
        <v/>
      </c>
      <c r="V7096" s="19">
        <f>IF($B7096="","",TEXT($B7096,"0000"))</f>
        <v/>
      </c>
      <c r="W7096" s="19">
        <f>IF($I7096="","",IF(ISNUMBER($I7096),TEXT($I7096,"0"),$I7096))</f>
        <v/>
      </c>
    </row>
    <row r="7097">
      <c r="B7097" s="25" t="n"/>
      <c r="I7097" s="25" t="n"/>
      <c r="U7097" s="19">
        <f>IF($V7097&lt;&gt;'設定'!$C$4,N(U7096),IF(OR(NOT(COUNTIF('商品マスタ'!$B$6:$B$1005,$W7097)=0),COUNTIFS('①在庫を貼る'!$V$6:$V$10005,$V7097,'①在庫を貼る'!$W$6:$W$10005,$W7097)+COUNTIFS('月1回_1ヶ月前の在庫'!$V$6:$V$10005,$V7097,'月1回_1ヶ月前の在庫'!$W$6:$W$10005,$W7097)&gt;0),N(U7096),N(U7096)+1))</f>
        <v/>
      </c>
      <c r="V7097" s="19">
        <f>IF($B7097="","",TEXT($B7097,"0000"))</f>
        <v/>
      </c>
      <c r="W7097" s="19">
        <f>IF($I7097="","",IF(ISNUMBER($I7097),TEXT($I7097,"0"),$I7097))</f>
        <v/>
      </c>
    </row>
    <row r="7098">
      <c r="B7098" s="25" t="n"/>
      <c r="I7098" s="25" t="n"/>
      <c r="U7098" s="19">
        <f>IF($V7098&lt;&gt;'設定'!$C$4,N(U7097),IF(OR(NOT(COUNTIF('商品マスタ'!$B$6:$B$1005,$W7098)=0),COUNTIFS('①在庫を貼る'!$V$6:$V$10005,$V7098,'①在庫を貼る'!$W$6:$W$10005,$W7098)+COUNTIFS('月1回_1ヶ月前の在庫'!$V$6:$V$10005,$V7098,'月1回_1ヶ月前の在庫'!$W$6:$W$10005,$W7098)&gt;0),N(U7097),N(U7097)+1))</f>
        <v/>
      </c>
      <c r="V7098" s="19">
        <f>IF($B7098="","",TEXT($B7098,"0000"))</f>
        <v/>
      </c>
      <c r="W7098" s="19">
        <f>IF($I7098="","",IF(ISNUMBER($I7098),TEXT($I7098,"0"),$I7098))</f>
        <v/>
      </c>
    </row>
    <row r="7099">
      <c r="B7099" s="25" t="n"/>
      <c r="I7099" s="25" t="n"/>
      <c r="U7099" s="19">
        <f>IF($V7099&lt;&gt;'設定'!$C$4,N(U7098),IF(OR(NOT(COUNTIF('商品マスタ'!$B$6:$B$1005,$W7099)=0),COUNTIFS('①在庫を貼る'!$V$6:$V$10005,$V7099,'①在庫を貼る'!$W$6:$W$10005,$W7099)+COUNTIFS('月1回_1ヶ月前の在庫'!$V$6:$V$10005,$V7099,'月1回_1ヶ月前の在庫'!$W$6:$W$10005,$W7099)&gt;0),N(U7098),N(U7098)+1))</f>
        <v/>
      </c>
      <c r="V7099" s="19">
        <f>IF($B7099="","",TEXT($B7099,"0000"))</f>
        <v/>
      </c>
      <c r="W7099" s="19">
        <f>IF($I7099="","",IF(ISNUMBER($I7099),TEXT($I7099,"0"),$I7099))</f>
        <v/>
      </c>
    </row>
    <row r="7100">
      <c r="B7100" s="25" t="n"/>
      <c r="I7100" s="25" t="n"/>
      <c r="U7100" s="19">
        <f>IF($V7100&lt;&gt;'設定'!$C$4,N(U7099),IF(OR(NOT(COUNTIF('商品マスタ'!$B$6:$B$1005,$W7100)=0),COUNTIFS('①在庫を貼る'!$V$6:$V$10005,$V7100,'①在庫を貼る'!$W$6:$W$10005,$W7100)+COUNTIFS('月1回_1ヶ月前の在庫'!$V$6:$V$10005,$V7100,'月1回_1ヶ月前の在庫'!$W$6:$W$10005,$W7100)&gt;0),N(U7099),N(U7099)+1))</f>
        <v/>
      </c>
      <c r="V7100" s="19">
        <f>IF($B7100="","",TEXT($B7100,"0000"))</f>
        <v/>
      </c>
      <c r="W7100" s="19">
        <f>IF($I7100="","",IF(ISNUMBER($I7100),TEXT($I7100,"0"),$I7100))</f>
        <v/>
      </c>
    </row>
    <row r="7101">
      <c r="B7101" s="25" t="n"/>
      <c r="I7101" s="25" t="n"/>
      <c r="U7101" s="19">
        <f>IF($V7101&lt;&gt;'設定'!$C$4,N(U7100),IF(OR(NOT(COUNTIF('商品マスタ'!$B$6:$B$1005,$W7101)=0),COUNTIFS('①在庫を貼る'!$V$6:$V$10005,$V7101,'①在庫を貼る'!$W$6:$W$10005,$W7101)+COUNTIFS('月1回_1ヶ月前の在庫'!$V$6:$V$10005,$V7101,'月1回_1ヶ月前の在庫'!$W$6:$W$10005,$W7101)&gt;0),N(U7100),N(U7100)+1))</f>
        <v/>
      </c>
      <c r="V7101" s="19">
        <f>IF($B7101="","",TEXT($B7101,"0000"))</f>
        <v/>
      </c>
      <c r="W7101" s="19">
        <f>IF($I7101="","",IF(ISNUMBER($I7101),TEXT($I7101,"0"),$I7101))</f>
        <v/>
      </c>
    </row>
    <row r="7102">
      <c r="B7102" s="25" t="n"/>
      <c r="I7102" s="25" t="n"/>
      <c r="U7102" s="19">
        <f>IF($V7102&lt;&gt;'設定'!$C$4,N(U7101),IF(OR(NOT(COUNTIF('商品マスタ'!$B$6:$B$1005,$W7102)=0),COUNTIFS('①在庫を貼る'!$V$6:$V$10005,$V7102,'①在庫を貼る'!$W$6:$W$10005,$W7102)+COUNTIFS('月1回_1ヶ月前の在庫'!$V$6:$V$10005,$V7102,'月1回_1ヶ月前の在庫'!$W$6:$W$10005,$W7102)&gt;0),N(U7101),N(U7101)+1))</f>
        <v/>
      </c>
      <c r="V7102" s="19">
        <f>IF($B7102="","",TEXT($B7102,"0000"))</f>
        <v/>
      </c>
      <c r="W7102" s="19">
        <f>IF($I7102="","",IF(ISNUMBER($I7102),TEXT($I7102,"0"),$I7102))</f>
        <v/>
      </c>
    </row>
    <row r="7103">
      <c r="B7103" s="25" t="n"/>
      <c r="I7103" s="25" t="n"/>
      <c r="U7103" s="19">
        <f>IF($V7103&lt;&gt;'設定'!$C$4,N(U7102),IF(OR(NOT(COUNTIF('商品マスタ'!$B$6:$B$1005,$W7103)=0),COUNTIFS('①在庫を貼る'!$V$6:$V$10005,$V7103,'①在庫を貼る'!$W$6:$W$10005,$W7103)+COUNTIFS('月1回_1ヶ月前の在庫'!$V$6:$V$10005,$V7103,'月1回_1ヶ月前の在庫'!$W$6:$W$10005,$W7103)&gt;0),N(U7102),N(U7102)+1))</f>
        <v/>
      </c>
      <c r="V7103" s="19">
        <f>IF($B7103="","",TEXT($B7103,"0000"))</f>
        <v/>
      </c>
      <c r="W7103" s="19">
        <f>IF($I7103="","",IF(ISNUMBER($I7103),TEXT($I7103,"0"),$I7103))</f>
        <v/>
      </c>
    </row>
    <row r="7104">
      <c r="B7104" s="25" t="n"/>
      <c r="I7104" s="25" t="n"/>
      <c r="U7104" s="19">
        <f>IF($V7104&lt;&gt;'設定'!$C$4,N(U7103),IF(OR(NOT(COUNTIF('商品マスタ'!$B$6:$B$1005,$W7104)=0),COUNTIFS('①在庫を貼る'!$V$6:$V$10005,$V7104,'①在庫を貼る'!$W$6:$W$10005,$W7104)+COUNTIFS('月1回_1ヶ月前の在庫'!$V$6:$V$10005,$V7104,'月1回_1ヶ月前の在庫'!$W$6:$W$10005,$W7104)&gt;0),N(U7103),N(U7103)+1))</f>
        <v/>
      </c>
      <c r="V7104" s="19">
        <f>IF($B7104="","",TEXT($B7104,"0000"))</f>
        <v/>
      </c>
      <c r="W7104" s="19">
        <f>IF($I7104="","",IF(ISNUMBER($I7104),TEXT($I7104,"0"),$I7104))</f>
        <v/>
      </c>
    </row>
    <row r="7105">
      <c r="B7105" s="25" t="n"/>
      <c r="I7105" s="25" t="n"/>
      <c r="U7105" s="19">
        <f>IF($V7105&lt;&gt;'設定'!$C$4,N(U7104),IF(OR(NOT(COUNTIF('商品マスタ'!$B$6:$B$1005,$W7105)=0),COUNTIFS('①在庫を貼る'!$V$6:$V$10005,$V7105,'①在庫を貼る'!$W$6:$W$10005,$W7105)+COUNTIFS('月1回_1ヶ月前の在庫'!$V$6:$V$10005,$V7105,'月1回_1ヶ月前の在庫'!$W$6:$W$10005,$W7105)&gt;0),N(U7104),N(U7104)+1))</f>
        <v/>
      </c>
      <c r="V7105" s="19">
        <f>IF($B7105="","",TEXT($B7105,"0000"))</f>
        <v/>
      </c>
      <c r="W7105" s="19">
        <f>IF($I7105="","",IF(ISNUMBER($I7105),TEXT($I7105,"0"),$I7105))</f>
        <v/>
      </c>
    </row>
    <row r="7106">
      <c r="B7106" s="25" t="n"/>
      <c r="I7106" s="25" t="n"/>
      <c r="U7106" s="19">
        <f>IF($V7106&lt;&gt;'設定'!$C$4,N(U7105),IF(OR(NOT(COUNTIF('商品マスタ'!$B$6:$B$1005,$W7106)=0),COUNTIFS('①在庫を貼る'!$V$6:$V$10005,$V7106,'①在庫を貼る'!$W$6:$W$10005,$W7106)+COUNTIFS('月1回_1ヶ月前の在庫'!$V$6:$V$10005,$V7106,'月1回_1ヶ月前の在庫'!$W$6:$W$10005,$W7106)&gt;0),N(U7105),N(U7105)+1))</f>
        <v/>
      </c>
      <c r="V7106" s="19">
        <f>IF($B7106="","",TEXT($B7106,"0000"))</f>
        <v/>
      </c>
      <c r="W7106" s="19">
        <f>IF($I7106="","",IF(ISNUMBER($I7106),TEXT($I7106,"0"),$I7106))</f>
        <v/>
      </c>
    </row>
    <row r="7107">
      <c r="B7107" s="25" t="n"/>
      <c r="I7107" s="25" t="n"/>
      <c r="U7107" s="19">
        <f>IF($V7107&lt;&gt;'設定'!$C$4,N(U7106),IF(OR(NOT(COUNTIF('商品マスタ'!$B$6:$B$1005,$W7107)=0),COUNTIFS('①在庫を貼る'!$V$6:$V$10005,$V7107,'①在庫を貼る'!$W$6:$W$10005,$W7107)+COUNTIFS('月1回_1ヶ月前の在庫'!$V$6:$V$10005,$V7107,'月1回_1ヶ月前の在庫'!$W$6:$W$10005,$W7107)&gt;0),N(U7106),N(U7106)+1))</f>
        <v/>
      </c>
      <c r="V7107" s="19">
        <f>IF($B7107="","",TEXT($B7107,"0000"))</f>
        <v/>
      </c>
      <c r="W7107" s="19">
        <f>IF($I7107="","",IF(ISNUMBER($I7107),TEXT($I7107,"0"),$I7107))</f>
        <v/>
      </c>
    </row>
    <row r="7108">
      <c r="B7108" s="25" t="n"/>
      <c r="I7108" s="25" t="n"/>
      <c r="U7108" s="19">
        <f>IF($V7108&lt;&gt;'設定'!$C$4,N(U7107),IF(OR(NOT(COUNTIF('商品マスタ'!$B$6:$B$1005,$W7108)=0),COUNTIFS('①在庫を貼る'!$V$6:$V$10005,$V7108,'①在庫を貼る'!$W$6:$W$10005,$W7108)+COUNTIFS('月1回_1ヶ月前の在庫'!$V$6:$V$10005,$V7108,'月1回_1ヶ月前の在庫'!$W$6:$W$10005,$W7108)&gt;0),N(U7107),N(U7107)+1))</f>
        <v/>
      </c>
      <c r="V7108" s="19">
        <f>IF($B7108="","",TEXT($B7108,"0000"))</f>
        <v/>
      </c>
      <c r="W7108" s="19">
        <f>IF($I7108="","",IF(ISNUMBER($I7108),TEXT($I7108,"0"),$I7108))</f>
        <v/>
      </c>
    </row>
    <row r="7109">
      <c r="B7109" s="25" t="n"/>
      <c r="I7109" s="25" t="n"/>
      <c r="U7109" s="19">
        <f>IF($V7109&lt;&gt;'設定'!$C$4,N(U7108),IF(OR(NOT(COUNTIF('商品マスタ'!$B$6:$B$1005,$W7109)=0),COUNTIFS('①在庫を貼る'!$V$6:$V$10005,$V7109,'①在庫を貼る'!$W$6:$W$10005,$W7109)+COUNTIFS('月1回_1ヶ月前の在庫'!$V$6:$V$10005,$V7109,'月1回_1ヶ月前の在庫'!$W$6:$W$10005,$W7109)&gt;0),N(U7108),N(U7108)+1))</f>
        <v/>
      </c>
      <c r="V7109" s="19">
        <f>IF($B7109="","",TEXT($B7109,"0000"))</f>
        <v/>
      </c>
      <c r="W7109" s="19">
        <f>IF($I7109="","",IF(ISNUMBER($I7109),TEXT($I7109,"0"),$I7109))</f>
        <v/>
      </c>
    </row>
    <row r="7110">
      <c r="B7110" s="25" t="n"/>
      <c r="I7110" s="25" t="n"/>
      <c r="U7110" s="19">
        <f>IF($V7110&lt;&gt;'設定'!$C$4,N(U7109),IF(OR(NOT(COUNTIF('商品マスタ'!$B$6:$B$1005,$W7110)=0),COUNTIFS('①在庫を貼る'!$V$6:$V$10005,$V7110,'①在庫を貼る'!$W$6:$W$10005,$W7110)+COUNTIFS('月1回_1ヶ月前の在庫'!$V$6:$V$10005,$V7110,'月1回_1ヶ月前の在庫'!$W$6:$W$10005,$W7110)&gt;0),N(U7109),N(U7109)+1))</f>
        <v/>
      </c>
      <c r="V7110" s="19">
        <f>IF($B7110="","",TEXT($B7110,"0000"))</f>
        <v/>
      </c>
      <c r="W7110" s="19">
        <f>IF($I7110="","",IF(ISNUMBER($I7110),TEXT($I7110,"0"),$I7110))</f>
        <v/>
      </c>
    </row>
    <row r="7111">
      <c r="B7111" s="25" t="n"/>
      <c r="I7111" s="25" t="n"/>
      <c r="U7111" s="19">
        <f>IF($V7111&lt;&gt;'設定'!$C$4,N(U7110),IF(OR(NOT(COUNTIF('商品マスタ'!$B$6:$B$1005,$W7111)=0),COUNTIFS('①在庫を貼る'!$V$6:$V$10005,$V7111,'①在庫を貼る'!$W$6:$W$10005,$W7111)+COUNTIFS('月1回_1ヶ月前の在庫'!$V$6:$V$10005,$V7111,'月1回_1ヶ月前の在庫'!$W$6:$W$10005,$W7111)&gt;0),N(U7110),N(U7110)+1))</f>
        <v/>
      </c>
      <c r="V7111" s="19">
        <f>IF($B7111="","",TEXT($B7111,"0000"))</f>
        <v/>
      </c>
      <c r="W7111" s="19">
        <f>IF($I7111="","",IF(ISNUMBER($I7111),TEXT($I7111,"0"),$I7111))</f>
        <v/>
      </c>
    </row>
    <row r="7112">
      <c r="B7112" s="25" t="n"/>
      <c r="I7112" s="25" t="n"/>
      <c r="U7112" s="19">
        <f>IF($V7112&lt;&gt;'設定'!$C$4,N(U7111),IF(OR(NOT(COUNTIF('商品マスタ'!$B$6:$B$1005,$W7112)=0),COUNTIFS('①在庫を貼る'!$V$6:$V$10005,$V7112,'①在庫を貼る'!$W$6:$W$10005,$W7112)+COUNTIFS('月1回_1ヶ月前の在庫'!$V$6:$V$10005,$V7112,'月1回_1ヶ月前の在庫'!$W$6:$W$10005,$W7112)&gt;0),N(U7111),N(U7111)+1))</f>
        <v/>
      </c>
      <c r="V7112" s="19">
        <f>IF($B7112="","",TEXT($B7112,"0000"))</f>
        <v/>
      </c>
      <c r="W7112" s="19">
        <f>IF($I7112="","",IF(ISNUMBER($I7112),TEXT($I7112,"0"),$I7112))</f>
        <v/>
      </c>
    </row>
    <row r="7113">
      <c r="B7113" s="25" t="n"/>
      <c r="I7113" s="25" t="n"/>
      <c r="U7113" s="19">
        <f>IF($V7113&lt;&gt;'設定'!$C$4,N(U7112),IF(OR(NOT(COUNTIF('商品マスタ'!$B$6:$B$1005,$W7113)=0),COUNTIFS('①在庫を貼る'!$V$6:$V$10005,$V7113,'①在庫を貼る'!$W$6:$W$10005,$W7113)+COUNTIFS('月1回_1ヶ月前の在庫'!$V$6:$V$10005,$V7113,'月1回_1ヶ月前の在庫'!$W$6:$W$10005,$W7113)&gt;0),N(U7112),N(U7112)+1))</f>
        <v/>
      </c>
      <c r="V7113" s="19">
        <f>IF($B7113="","",TEXT($B7113,"0000"))</f>
        <v/>
      </c>
      <c r="W7113" s="19">
        <f>IF($I7113="","",IF(ISNUMBER($I7113),TEXT($I7113,"0"),$I7113))</f>
        <v/>
      </c>
    </row>
    <row r="7114">
      <c r="B7114" s="25" t="n"/>
      <c r="I7114" s="25" t="n"/>
      <c r="U7114" s="19">
        <f>IF($V7114&lt;&gt;'設定'!$C$4,N(U7113),IF(OR(NOT(COUNTIF('商品マスタ'!$B$6:$B$1005,$W7114)=0),COUNTIFS('①在庫を貼る'!$V$6:$V$10005,$V7114,'①在庫を貼る'!$W$6:$W$10005,$W7114)+COUNTIFS('月1回_1ヶ月前の在庫'!$V$6:$V$10005,$V7114,'月1回_1ヶ月前の在庫'!$W$6:$W$10005,$W7114)&gt;0),N(U7113),N(U7113)+1))</f>
        <v/>
      </c>
      <c r="V7114" s="19">
        <f>IF($B7114="","",TEXT($B7114,"0000"))</f>
        <v/>
      </c>
      <c r="W7114" s="19">
        <f>IF($I7114="","",IF(ISNUMBER($I7114),TEXT($I7114,"0"),$I7114))</f>
        <v/>
      </c>
    </row>
    <row r="7115">
      <c r="B7115" s="25" t="n"/>
      <c r="I7115" s="25" t="n"/>
      <c r="U7115" s="19">
        <f>IF($V7115&lt;&gt;'設定'!$C$4,N(U7114),IF(OR(NOT(COUNTIF('商品マスタ'!$B$6:$B$1005,$W7115)=0),COUNTIFS('①在庫を貼る'!$V$6:$V$10005,$V7115,'①在庫を貼る'!$W$6:$W$10005,$W7115)+COUNTIFS('月1回_1ヶ月前の在庫'!$V$6:$V$10005,$V7115,'月1回_1ヶ月前の在庫'!$W$6:$W$10005,$W7115)&gt;0),N(U7114),N(U7114)+1))</f>
        <v/>
      </c>
      <c r="V7115" s="19">
        <f>IF($B7115="","",TEXT($B7115,"0000"))</f>
        <v/>
      </c>
      <c r="W7115" s="19">
        <f>IF($I7115="","",IF(ISNUMBER($I7115),TEXT($I7115,"0"),$I7115))</f>
        <v/>
      </c>
    </row>
    <row r="7116">
      <c r="B7116" s="25" t="n"/>
      <c r="I7116" s="25" t="n"/>
      <c r="U7116" s="19">
        <f>IF($V7116&lt;&gt;'設定'!$C$4,N(U7115),IF(OR(NOT(COUNTIF('商品マスタ'!$B$6:$B$1005,$W7116)=0),COUNTIFS('①在庫を貼る'!$V$6:$V$10005,$V7116,'①在庫を貼る'!$W$6:$W$10005,$W7116)+COUNTIFS('月1回_1ヶ月前の在庫'!$V$6:$V$10005,$V7116,'月1回_1ヶ月前の在庫'!$W$6:$W$10005,$W7116)&gt;0),N(U7115),N(U7115)+1))</f>
        <v/>
      </c>
      <c r="V7116" s="19">
        <f>IF($B7116="","",TEXT($B7116,"0000"))</f>
        <v/>
      </c>
      <c r="W7116" s="19">
        <f>IF($I7116="","",IF(ISNUMBER($I7116),TEXT($I7116,"0"),$I7116))</f>
        <v/>
      </c>
    </row>
    <row r="7117">
      <c r="B7117" s="25" t="n"/>
      <c r="I7117" s="25" t="n"/>
      <c r="U7117" s="19">
        <f>IF($V7117&lt;&gt;'設定'!$C$4,N(U7116),IF(OR(NOT(COUNTIF('商品マスタ'!$B$6:$B$1005,$W7117)=0),COUNTIFS('①在庫を貼る'!$V$6:$V$10005,$V7117,'①在庫を貼る'!$W$6:$W$10005,$W7117)+COUNTIFS('月1回_1ヶ月前の在庫'!$V$6:$V$10005,$V7117,'月1回_1ヶ月前の在庫'!$W$6:$W$10005,$W7117)&gt;0),N(U7116),N(U7116)+1))</f>
        <v/>
      </c>
      <c r="V7117" s="19">
        <f>IF($B7117="","",TEXT($B7117,"0000"))</f>
        <v/>
      </c>
      <c r="W7117" s="19">
        <f>IF($I7117="","",IF(ISNUMBER($I7117),TEXT($I7117,"0"),$I7117))</f>
        <v/>
      </c>
    </row>
    <row r="7118">
      <c r="B7118" s="25" t="n"/>
      <c r="I7118" s="25" t="n"/>
      <c r="U7118" s="19">
        <f>IF($V7118&lt;&gt;'設定'!$C$4,N(U7117),IF(OR(NOT(COUNTIF('商品マスタ'!$B$6:$B$1005,$W7118)=0),COUNTIFS('①在庫を貼る'!$V$6:$V$10005,$V7118,'①在庫を貼る'!$W$6:$W$10005,$W7118)+COUNTIFS('月1回_1ヶ月前の在庫'!$V$6:$V$10005,$V7118,'月1回_1ヶ月前の在庫'!$W$6:$W$10005,$W7118)&gt;0),N(U7117),N(U7117)+1))</f>
        <v/>
      </c>
      <c r="V7118" s="19">
        <f>IF($B7118="","",TEXT($B7118,"0000"))</f>
        <v/>
      </c>
      <c r="W7118" s="19">
        <f>IF($I7118="","",IF(ISNUMBER($I7118),TEXT($I7118,"0"),$I7118))</f>
        <v/>
      </c>
    </row>
    <row r="7119">
      <c r="B7119" s="25" t="n"/>
      <c r="I7119" s="25" t="n"/>
      <c r="U7119" s="19">
        <f>IF($V7119&lt;&gt;'設定'!$C$4,N(U7118),IF(OR(NOT(COUNTIF('商品マスタ'!$B$6:$B$1005,$W7119)=0),COUNTIFS('①在庫を貼る'!$V$6:$V$10005,$V7119,'①在庫を貼る'!$W$6:$W$10005,$W7119)+COUNTIFS('月1回_1ヶ月前の在庫'!$V$6:$V$10005,$V7119,'月1回_1ヶ月前の在庫'!$W$6:$W$10005,$W7119)&gt;0),N(U7118),N(U7118)+1))</f>
        <v/>
      </c>
      <c r="V7119" s="19">
        <f>IF($B7119="","",TEXT($B7119,"0000"))</f>
        <v/>
      </c>
      <c r="W7119" s="19">
        <f>IF($I7119="","",IF(ISNUMBER($I7119),TEXT($I7119,"0"),$I7119))</f>
        <v/>
      </c>
    </row>
    <row r="7120">
      <c r="B7120" s="25" t="n"/>
      <c r="I7120" s="25" t="n"/>
      <c r="U7120" s="19">
        <f>IF($V7120&lt;&gt;'設定'!$C$4,N(U7119),IF(OR(NOT(COUNTIF('商品マスタ'!$B$6:$B$1005,$W7120)=0),COUNTIFS('①在庫を貼る'!$V$6:$V$10005,$V7120,'①在庫を貼る'!$W$6:$W$10005,$W7120)+COUNTIFS('月1回_1ヶ月前の在庫'!$V$6:$V$10005,$V7120,'月1回_1ヶ月前の在庫'!$W$6:$W$10005,$W7120)&gt;0),N(U7119),N(U7119)+1))</f>
        <v/>
      </c>
      <c r="V7120" s="19">
        <f>IF($B7120="","",TEXT($B7120,"0000"))</f>
        <v/>
      </c>
      <c r="W7120" s="19">
        <f>IF($I7120="","",IF(ISNUMBER($I7120),TEXT($I7120,"0"),$I7120))</f>
        <v/>
      </c>
    </row>
    <row r="7121">
      <c r="B7121" s="25" t="n"/>
      <c r="I7121" s="25" t="n"/>
      <c r="U7121" s="19">
        <f>IF($V7121&lt;&gt;'設定'!$C$4,N(U7120),IF(OR(NOT(COUNTIF('商品マスタ'!$B$6:$B$1005,$W7121)=0),COUNTIFS('①在庫を貼る'!$V$6:$V$10005,$V7121,'①在庫を貼る'!$W$6:$W$10005,$W7121)+COUNTIFS('月1回_1ヶ月前の在庫'!$V$6:$V$10005,$V7121,'月1回_1ヶ月前の在庫'!$W$6:$W$10005,$W7121)&gt;0),N(U7120),N(U7120)+1))</f>
        <v/>
      </c>
      <c r="V7121" s="19">
        <f>IF($B7121="","",TEXT($B7121,"0000"))</f>
        <v/>
      </c>
      <c r="W7121" s="19">
        <f>IF($I7121="","",IF(ISNUMBER($I7121),TEXT($I7121,"0"),$I7121))</f>
        <v/>
      </c>
    </row>
    <row r="7122">
      <c r="B7122" s="25" t="n"/>
      <c r="I7122" s="25" t="n"/>
      <c r="U7122" s="19">
        <f>IF($V7122&lt;&gt;'設定'!$C$4,N(U7121),IF(OR(NOT(COUNTIF('商品マスタ'!$B$6:$B$1005,$W7122)=0),COUNTIFS('①在庫を貼る'!$V$6:$V$10005,$V7122,'①在庫を貼る'!$W$6:$W$10005,$W7122)+COUNTIFS('月1回_1ヶ月前の在庫'!$V$6:$V$10005,$V7122,'月1回_1ヶ月前の在庫'!$W$6:$W$10005,$W7122)&gt;0),N(U7121),N(U7121)+1))</f>
        <v/>
      </c>
      <c r="V7122" s="19">
        <f>IF($B7122="","",TEXT($B7122,"0000"))</f>
        <v/>
      </c>
      <c r="W7122" s="19">
        <f>IF($I7122="","",IF(ISNUMBER($I7122),TEXT($I7122,"0"),$I7122))</f>
        <v/>
      </c>
    </row>
    <row r="7123">
      <c r="B7123" s="25" t="n"/>
      <c r="I7123" s="25" t="n"/>
      <c r="U7123" s="19">
        <f>IF($V7123&lt;&gt;'設定'!$C$4,N(U7122),IF(OR(NOT(COUNTIF('商品マスタ'!$B$6:$B$1005,$W7123)=0),COUNTIFS('①在庫を貼る'!$V$6:$V$10005,$V7123,'①在庫を貼る'!$W$6:$W$10005,$W7123)+COUNTIFS('月1回_1ヶ月前の在庫'!$V$6:$V$10005,$V7123,'月1回_1ヶ月前の在庫'!$W$6:$W$10005,$W7123)&gt;0),N(U7122),N(U7122)+1))</f>
        <v/>
      </c>
      <c r="V7123" s="19">
        <f>IF($B7123="","",TEXT($B7123,"0000"))</f>
        <v/>
      </c>
      <c r="W7123" s="19">
        <f>IF($I7123="","",IF(ISNUMBER($I7123),TEXT($I7123,"0"),$I7123))</f>
        <v/>
      </c>
    </row>
    <row r="7124">
      <c r="B7124" s="25" t="n"/>
      <c r="I7124" s="25" t="n"/>
      <c r="U7124" s="19">
        <f>IF($V7124&lt;&gt;'設定'!$C$4,N(U7123),IF(OR(NOT(COUNTIF('商品マスタ'!$B$6:$B$1005,$W7124)=0),COUNTIFS('①在庫を貼る'!$V$6:$V$10005,$V7124,'①在庫を貼る'!$W$6:$W$10005,$W7124)+COUNTIFS('月1回_1ヶ月前の在庫'!$V$6:$V$10005,$V7124,'月1回_1ヶ月前の在庫'!$W$6:$W$10005,$W7124)&gt;0),N(U7123),N(U7123)+1))</f>
        <v/>
      </c>
      <c r="V7124" s="19">
        <f>IF($B7124="","",TEXT($B7124,"0000"))</f>
        <v/>
      </c>
      <c r="W7124" s="19">
        <f>IF($I7124="","",IF(ISNUMBER($I7124),TEXT($I7124,"0"),$I7124))</f>
        <v/>
      </c>
    </row>
    <row r="7125">
      <c r="B7125" s="25" t="n"/>
      <c r="I7125" s="25" t="n"/>
      <c r="U7125" s="19">
        <f>IF($V7125&lt;&gt;'設定'!$C$4,N(U7124),IF(OR(NOT(COUNTIF('商品マスタ'!$B$6:$B$1005,$W7125)=0),COUNTIFS('①在庫を貼る'!$V$6:$V$10005,$V7125,'①在庫を貼る'!$W$6:$W$10005,$W7125)+COUNTIFS('月1回_1ヶ月前の在庫'!$V$6:$V$10005,$V7125,'月1回_1ヶ月前の在庫'!$W$6:$W$10005,$W7125)&gt;0),N(U7124),N(U7124)+1))</f>
        <v/>
      </c>
      <c r="V7125" s="19">
        <f>IF($B7125="","",TEXT($B7125,"0000"))</f>
        <v/>
      </c>
      <c r="W7125" s="19">
        <f>IF($I7125="","",IF(ISNUMBER($I7125),TEXT($I7125,"0"),$I7125))</f>
        <v/>
      </c>
    </row>
    <row r="7126">
      <c r="B7126" s="25" t="n"/>
      <c r="I7126" s="25" t="n"/>
      <c r="U7126" s="19">
        <f>IF($V7126&lt;&gt;'設定'!$C$4,N(U7125),IF(OR(NOT(COUNTIF('商品マスタ'!$B$6:$B$1005,$W7126)=0),COUNTIFS('①在庫を貼る'!$V$6:$V$10005,$V7126,'①在庫を貼る'!$W$6:$W$10005,$W7126)+COUNTIFS('月1回_1ヶ月前の在庫'!$V$6:$V$10005,$V7126,'月1回_1ヶ月前の在庫'!$W$6:$W$10005,$W7126)&gt;0),N(U7125),N(U7125)+1))</f>
        <v/>
      </c>
      <c r="V7126" s="19">
        <f>IF($B7126="","",TEXT($B7126,"0000"))</f>
        <v/>
      </c>
      <c r="W7126" s="19">
        <f>IF($I7126="","",IF(ISNUMBER($I7126),TEXT($I7126,"0"),$I7126))</f>
        <v/>
      </c>
    </row>
    <row r="7127">
      <c r="B7127" s="25" t="n"/>
      <c r="I7127" s="25" t="n"/>
      <c r="U7127" s="19">
        <f>IF($V7127&lt;&gt;'設定'!$C$4,N(U7126),IF(OR(NOT(COUNTIF('商品マスタ'!$B$6:$B$1005,$W7127)=0),COUNTIFS('①在庫を貼る'!$V$6:$V$10005,$V7127,'①在庫を貼る'!$W$6:$W$10005,$W7127)+COUNTIFS('月1回_1ヶ月前の在庫'!$V$6:$V$10005,$V7127,'月1回_1ヶ月前の在庫'!$W$6:$W$10005,$W7127)&gt;0),N(U7126),N(U7126)+1))</f>
        <v/>
      </c>
      <c r="V7127" s="19">
        <f>IF($B7127="","",TEXT($B7127,"0000"))</f>
        <v/>
      </c>
      <c r="W7127" s="19">
        <f>IF($I7127="","",IF(ISNUMBER($I7127),TEXT($I7127,"0"),$I7127))</f>
        <v/>
      </c>
    </row>
    <row r="7128">
      <c r="B7128" s="25" t="n"/>
      <c r="I7128" s="25" t="n"/>
      <c r="U7128" s="19">
        <f>IF($V7128&lt;&gt;'設定'!$C$4,N(U7127),IF(OR(NOT(COUNTIF('商品マスタ'!$B$6:$B$1005,$W7128)=0),COUNTIFS('①在庫を貼る'!$V$6:$V$10005,$V7128,'①在庫を貼る'!$W$6:$W$10005,$W7128)+COUNTIFS('月1回_1ヶ月前の在庫'!$V$6:$V$10005,$V7128,'月1回_1ヶ月前の在庫'!$W$6:$W$10005,$W7128)&gt;0),N(U7127),N(U7127)+1))</f>
        <v/>
      </c>
      <c r="V7128" s="19">
        <f>IF($B7128="","",TEXT($B7128,"0000"))</f>
        <v/>
      </c>
      <c r="W7128" s="19">
        <f>IF($I7128="","",IF(ISNUMBER($I7128),TEXT($I7128,"0"),$I7128))</f>
        <v/>
      </c>
    </row>
    <row r="7129">
      <c r="B7129" s="25" t="n"/>
      <c r="I7129" s="25" t="n"/>
      <c r="U7129" s="19">
        <f>IF($V7129&lt;&gt;'設定'!$C$4,N(U7128),IF(OR(NOT(COUNTIF('商品マスタ'!$B$6:$B$1005,$W7129)=0),COUNTIFS('①在庫を貼る'!$V$6:$V$10005,$V7129,'①在庫を貼る'!$W$6:$W$10005,$W7129)+COUNTIFS('月1回_1ヶ月前の在庫'!$V$6:$V$10005,$V7129,'月1回_1ヶ月前の在庫'!$W$6:$W$10005,$W7129)&gt;0),N(U7128),N(U7128)+1))</f>
        <v/>
      </c>
      <c r="V7129" s="19">
        <f>IF($B7129="","",TEXT($B7129,"0000"))</f>
        <v/>
      </c>
      <c r="W7129" s="19">
        <f>IF($I7129="","",IF(ISNUMBER($I7129),TEXT($I7129,"0"),$I7129))</f>
        <v/>
      </c>
    </row>
    <row r="7130">
      <c r="B7130" s="25" t="n"/>
      <c r="I7130" s="25" t="n"/>
      <c r="U7130" s="19">
        <f>IF($V7130&lt;&gt;'設定'!$C$4,N(U7129),IF(OR(NOT(COUNTIF('商品マスタ'!$B$6:$B$1005,$W7130)=0),COUNTIFS('①在庫を貼る'!$V$6:$V$10005,$V7130,'①在庫を貼る'!$W$6:$W$10005,$W7130)+COUNTIFS('月1回_1ヶ月前の在庫'!$V$6:$V$10005,$V7130,'月1回_1ヶ月前の在庫'!$W$6:$W$10005,$W7130)&gt;0),N(U7129),N(U7129)+1))</f>
        <v/>
      </c>
      <c r="V7130" s="19">
        <f>IF($B7130="","",TEXT($B7130,"0000"))</f>
        <v/>
      </c>
      <c r="W7130" s="19">
        <f>IF($I7130="","",IF(ISNUMBER($I7130),TEXT($I7130,"0"),$I7130))</f>
        <v/>
      </c>
    </row>
    <row r="7131">
      <c r="B7131" s="25" t="n"/>
      <c r="I7131" s="25" t="n"/>
      <c r="U7131" s="19">
        <f>IF($V7131&lt;&gt;'設定'!$C$4,N(U7130),IF(OR(NOT(COUNTIF('商品マスタ'!$B$6:$B$1005,$W7131)=0),COUNTIFS('①在庫を貼る'!$V$6:$V$10005,$V7131,'①在庫を貼る'!$W$6:$W$10005,$W7131)+COUNTIFS('月1回_1ヶ月前の在庫'!$V$6:$V$10005,$V7131,'月1回_1ヶ月前の在庫'!$W$6:$W$10005,$W7131)&gt;0),N(U7130),N(U7130)+1))</f>
        <v/>
      </c>
      <c r="V7131" s="19">
        <f>IF($B7131="","",TEXT($B7131,"0000"))</f>
        <v/>
      </c>
      <c r="W7131" s="19">
        <f>IF($I7131="","",IF(ISNUMBER($I7131),TEXT($I7131,"0"),$I7131))</f>
        <v/>
      </c>
    </row>
    <row r="7132">
      <c r="B7132" s="25" t="n"/>
      <c r="I7132" s="25" t="n"/>
      <c r="U7132" s="19">
        <f>IF($V7132&lt;&gt;'設定'!$C$4,N(U7131),IF(OR(NOT(COUNTIF('商品マスタ'!$B$6:$B$1005,$W7132)=0),COUNTIFS('①在庫を貼る'!$V$6:$V$10005,$V7132,'①在庫を貼る'!$W$6:$W$10005,$W7132)+COUNTIFS('月1回_1ヶ月前の在庫'!$V$6:$V$10005,$V7132,'月1回_1ヶ月前の在庫'!$W$6:$W$10005,$W7132)&gt;0),N(U7131),N(U7131)+1))</f>
        <v/>
      </c>
      <c r="V7132" s="19">
        <f>IF($B7132="","",TEXT($B7132,"0000"))</f>
        <v/>
      </c>
      <c r="W7132" s="19">
        <f>IF($I7132="","",IF(ISNUMBER($I7132),TEXT($I7132,"0"),$I7132))</f>
        <v/>
      </c>
    </row>
    <row r="7133">
      <c r="B7133" s="25" t="n"/>
      <c r="I7133" s="25" t="n"/>
      <c r="U7133" s="19">
        <f>IF($V7133&lt;&gt;'設定'!$C$4,N(U7132),IF(OR(NOT(COUNTIF('商品マスタ'!$B$6:$B$1005,$W7133)=0),COUNTIFS('①在庫を貼る'!$V$6:$V$10005,$V7133,'①在庫を貼る'!$W$6:$W$10005,$W7133)+COUNTIFS('月1回_1ヶ月前の在庫'!$V$6:$V$10005,$V7133,'月1回_1ヶ月前の在庫'!$W$6:$W$10005,$W7133)&gt;0),N(U7132),N(U7132)+1))</f>
        <v/>
      </c>
      <c r="V7133" s="19">
        <f>IF($B7133="","",TEXT($B7133,"0000"))</f>
        <v/>
      </c>
      <c r="W7133" s="19">
        <f>IF($I7133="","",IF(ISNUMBER($I7133),TEXT($I7133,"0"),$I7133))</f>
        <v/>
      </c>
    </row>
    <row r="7134">
      <c r="B7134" s="25" t="n"/>
      <c r="I7134" s="25" t="n"/>
      <c r="U7134" s="19">
        <f>IF($V7134&lt;&gt;'設定'!$C$4,N(U7133),IF(OR(NOT(COUNTIF('商品マスタ'!$B$6:$B$1005,$W7134)=0),COUNTIFS('①在庫を貼る'!$V$6:$V$10005,$V7134,'①在庫を貼る'!$W$6:$W$10005,$W7134)+COUNTIFS('月1回_1ヶ月前の在庫'!$V$6:$V$10005,$V7134,'月1回_1ヶ月前の在庫'!$W$6:$W$10005,$W7134)&gt;0),N(U7133),N(U7133)+1))</f>
        <v/>
      </c>
      <c r="V7134" s="19">
        <f>IF($B7134="","",TEXT($B7134,"0000"))</f>
        <v/>
      </c>
      <c r="W7134" s="19">
        <f>IF($I7134="","",IF(ISNUMBER($I7134),TEXT($I7134,"0"),$I7134))</f>
        <v/>
      </c>
    </row>
    <row r="7135">
      <c r="B7135" s="25" t="n"/>
      <c r="I7135" s="25" t="n"/>
      <c r="U7135" s="19">
        <f>IF($V7135&lt;&gt;'設定'!$C$4,N(U7134),IF(OR(NOT(COUNTIF('商品マスタ'!$B$6:$B$1005,$W7135)=0),COUNTIFS('①在庫を貼る'!$V$6:$V$10005,$V7135,'①在庫を貼る'!$W$6:$W$10005,$W7135)+COUNTIFS('月1回_1ヶ月前の在庫'!$V$6:$V$10005,$V7135,'月1回_1ヶ月前の在庫'!$W$6:$W$10005,$W7135)&gt;0),N(U7134),N(U7134)+1))</f>
        <v/>
      </c>
      <c r="V7135" s="19">
        <f>IF($B7135="","",TEXT($B7135,"0000"))</f>
        <v/>
      </c>
      <c r="W7135" s="19">
        <f>IF($I7135="","",IF(ISNUMBER($I7135),TEXT($I7135,"0"),$I7135))</f>
        <v/>
      </c>
    </row>
    <row r="7136">
      <c r="B7136" s="25" t="n"/>
      <c r="I7136" s="25" t="n"/>
      <c r="U7136" s="19">
        <f>IF($V7136&lt;&gt;'設定'!$C$4,N(U7135),IF(OR(NOT(COUNTIF('商品マスタ'!$B$6:$B$1005,$W7136)=0),COUNTIFS('①在庫を貼る'!$V$6:$V$10005,$V7136,'①在庫を貼る'!$W$6:$W$10005,$W7136)+COUNTIFS('月1回_1ヶ月前の在庫'!$V$6:$V$10005,$V7136,'月1回_1ヶ月前の在庫'!$W$6:$W$10005,$W7136)&gt;0),N(U7135),N(U7135)+1))</f>
        <v/>
      </c>
      <c r="V7136" s="19">
        <f>IF($B7136="","",TEXT($B7136,"0000"))</f>
        <v/>
      </c>
      <c r="W7136" s="19">
        <f>IF($I7136="","",IF(ISNUMBER($I7136),TEXT($I7136,"0"),$I7136))</f>
        <v/>
      </c>
    </row>
    <row r="7137">
      <c r="B7137" s="25" t="n"/>
      <c r="I7137" s="25" t="n"/>
      <c r="U7137" s="19">
        <f>IF($V7137&lt;&gt;'設定'!$C$4,N(U7136),IF(OR(NOT(COUNTIF('商品マスタ'!$B$6:$B$1005,$W7137)=0),COUNTIFS('①在庫を貼る'!$V$6:$V$10005,$V7137,'①在庫を貼る'!$W$6:$W$10005,$W7137)+COUNTIFS('月1回_1ヶ月前の在庫'!$V$6:$V$10005,$V7137,'月1回_1ヶ月前の在庫'!$W$6:$W$10005,$W7137)&gt;0),N(U7136),N(U7136)+1))</f>
        <v/>
      </c>
      <c r="V7137" s="19">
        <f>IF($B7137="","",TEXT($B7137,"0000"))</f>
        <v/>
      </c>
      <c r="W7137" s="19">
        <f>IF($I7137="","",IF(ISNUMBER($I7137),TEXT($I7137,"0"),$I7137))</f>
        <v/>
      </c>
    </row>
    <row r="7138">
      <c r="B7138" s="25" t="n"/>
      <c r="I7138" s="25" t="n"/>
      <c r="U7138" s="19">
        <f>IF($V7138&lt;&gt;'設定'!$C$4,N(U7137),IF(OR(NOT(COUNTIF('商品マスタ'!$B$6:$B$1005,$W7138)=0),COUNTIFS('①在庫を貼る'!$V$6:$V$10005,$V7138,'①在庫を貼る'!$W$6:$W$10005,$W7138)+COUNTIFS('月1回_1ヶ月前の在庫'!$V$6:$V$10005,$V7138,'月1回_1ヶ月前の在庫'!$W$6:$W$10005,$W7138)&gt;0),N(U7137),N(U7137)+1))</f>
        <v/>
      </c>
      <c r="V7138" s="19">
        <f>IF($B7138="","",TEXT($B7138,"0000"))</f>
        <v/>
      </c>
      <c r="W7138" s="19">
        <f>IF($I7138="","",IF(ISNUMBER($I7138),TEXT($I7138,"0"),$I7138))</f>
        <v/>
      </c>
    </row>
    <row r="7139">
      <c r="B7139" s="25" t="n"/>
      <c r="I7139" s="25" t="n"/>
      <c r="U7139" s="19">
        <f>IF($V7139&lt;&gt;'設定'!$C$4,N(U7138),IF(OR(NOT(COUNTIF('商品マスタ'!$B$6:$B$1005,$W7139)=0),COUNTIFS('①在庫を貼る'!$V$6:$V$10005,$V7139,'①在庫を貼る'!$W$6:$W$10005,$W7139)+COUNTIFS('月1回_1ヶ月前の在庫'!$V$6:$V$10005,$V7139,'月1回_1ヶ月前の在庫'!$W$6:$W$10005,$W7139)&gt;0),N(U7138),N(U7138)+1))</f>
        <v/>
      </c>
      <c r="V7139" s="19">
        <f>IF($B7139="","",TEXT($B7139,"0000"))</f>
        <v/>
      </c>
      <c r="W7139" s="19">
        <f>IF($I7139="","",IF(ISNUMBER($I7139),TEXT($I7139,"0"),$I7139))</f>
        <v/>
      </c>
    </row>
    <row r="7140">
      <c r="B7140" s="25" t="n"/>
      <c r="I7140" s="25" t="n"/>
      <c r="U7140" s="19">
        <f>IF($V7140&lt;&gt;'設定'!$C$4,N(U7139),IF(OR(NOT(COUNTIF('商品マスタ'!$B$6:$B$1005,$W7140)=0),COUNTIFS('①在庫を貼る'!$V$6:$V$10005,$V7140,'①在庫を貼る'!$W$6:$W$10005,$W7140)+COUNTIFS('月1回_1ヶ月前の在庫'!$V$6:$V$10005,$V7140,'月1回_1ヶ月前の在庫'!$W$6:$W$10005,$W7140)&gt;0),N(U7139),N(U7139)+1))</f>
        <v/>
      </c>
      <c r="V7140" s="19">
        <f>IF($B7140="","",TEXT($B7140,"0000"))</f>
        <v/>
      </c>
      <c r="W7140" s="19">
        <f>IF($I7140="","",IF(ISNUMBER($I7140),TEXT($I7140,"0"),$I7140))</f>
        <v/>
      </c>
    </row>
    <row r="7141">
      <c r="B7141" s="25" t="n"/>
      <c r="I7141" s="25" t="n"/>
      <c r="U7141" s="19">
        <f>IF($V7141&lt;&gt;'設定'!$C$4,N(U7140),IF(OR(NOT(COUNTIF('商品マスタ'!$B$6:$B$1005,$W7141)=0),COUNTIFS('①在庫を貼る'!$V$6:$V$10005,$V7141,'①在庫を貼る'!$W$6:$W$10005,$W7141)+COUNTIFS('月1回_1ヶ月前の在庫'!$V$6:$V$10005,$V7141,'月1回_1ヶ月前の在庫'!$W$6:$W$10005,$W7141)&gt;0),N(U7140),N(U7140)+1))</f>
        <v/>
      </c>
      <c r="V7141" s="19">
        <f>IF($B7141="","",TEXT($B7141,"0000"))</f>
        <v/>
      </c>
      <c r="W7141" s="19">
        <f>IF($I7141="","",IF(ISNUMBER($I7141),TEXT($I7141,"0"),$I7141))</f>
        <v/>
      </c>
    </row>
    <row r="7142">
      <c r="B7142" s="25" t="n"/>
      <c r="I7142" s="25" t="n"/>
      <c r="U7142" s="19">
        <f>IF($V7142&lt;&gt;'設定'!$C$4,N(U7141),IF(OR(NOT(COUNTIF('商品マスタ'!$B$6:$B$1005,$W7142)=0),COUNTIFS('①在庫を貼る'!$V$6:$V$10005,$V7142,'①在庫を貼る'!$W$6:$W$10005,$W7142)+COUNTIFS('月1回_1ヶ月前の在庫'!$V$6:$V$10005,$V7142,'月1回_1ヶ月前の在庫'!$W$6:$W$10005,$W7142)&gt;0),N(U7141),N(U7141)+1))</f>
        <v/>
      </c>
      <c r="V7142" s="19">
        <f>IF($B7142="","",TEXT($B7142,"0000"))</f>
        <v/>
      </c>
      <c r="W7142" s="19">
        <f>IF($I7142="","",IF(ISNUMBER($I7142),TEXT($I7142,"0"),$I7142))</f>
        <v/>
      </c>
    </row>
    <row r="7143">
      <c r="B7143" s="25" t="n"/>
      <c r="I7143" s="25" t="n"/>
      <c r="U7143" s="19">
        <f>IF($V7143&lt;&gt;'設定'!$C$4,N(U7142),IF(OR(NOT(COUNTIF('商品マスタ'!$B$6:$B$1005,$W7143)=0),COUNTIFS('①在庫を貼る'!$V$6:$V$10005,$V7143,'①在庫を貼る'!$W$6:$W$10005,$W7143)+COUNTIFS('月1回_1ヶ月前の在庫'!$V$6:$V$10005,$V7143,'月1回_1ヶ月前の在庫'!$W$6:$W$10005,$W7143)&gt;0),N(U7142),N(U7142)+1))</f>
        <v/>
      </c>
      <c r="V7143" s="19">
        <f>IF($B7143="","",TEXT($B7143,"0000"))</f>
        <v/>
      </c>
      <c r="W7143" s="19">
        <f>IF($I7143="","",IF(ISNUMBER($I7143),TEXT($I7143,"0"),$I7143))</f>
        <v/>
      </c>
    </row>
    <row r="7144">
      <c r="B7144" s="25" t="n"/>
      <c r="I7144" s="25" t="n"/>
      <c r="U7144" s="19">
        <f>IF($V7144&lt;&gt;'設定'!$C$4,N(U7143),IF(OR(NOT(COUNTIF('商品マスタ'!$B$6:$B$1005,$W7144)=0),COUNTIFS('①在庫を貼る'!$V$6:$V$10005,$V7144,'①在庫を貼る'!$W$6:$W$10005,$W7144)+COUNTIFS('月1回_1ヶ月前の在庫'!$V$6:$V$10005,$V7144,'月1回_1ヶ月前の在庫'!$W$6:$W$10005,$W7144)&gt;0),N(U7143),N(U7143)+1))</f>
        <v/>
      </c>
      <c r="V7144" s="19">
        <f>IF($B7144="","",TEXT($B7144,"0000"))</f>
        <v/>
      </c>
      <c r="W7144" s="19">
        <f>IF($I7144="","",IF(ISNUMBER($I7144),TEXT($I7144,"0"),$I7144))</f>
        <v/>
      </c>
    </row>
    <row r="7145">
      <c r="B7145" s="25" t="n"/>
      <c r="I7145" s="25" t="n"/>
      <c r="U7145" s="19">
        <f>IF($V7145&lt;&gt;'設定'!$C$4,N(U7144),IF(OR(NOT(COUNTIF('商品マスタ'!$B$6:$B$1005,$W7145)=0),COUNTIFS('①在庫を貼る'!$V$6:$V$10005,$V7145,'①在庫を貼る'!$W$6:$W$10005,$W7145)+COUNTIFS('月1回_1ヶ月前の在庫'!$V$6:$V$10005,$V7145,'月1回_1ヶ月前の在庫'!$W$6:$W$10005,$W7145)&gt;0),N(U7144),N(U7144)+1))</f>
        <v/>
      </c>
      <c r="V7145" s="19">
        <f>IF($B7145="","",TEXT($B7145,"0000"))</f>
        <v/>
      </c>
      <c r="W7145" s="19">
        <f>IF($I7145="","",IF(ISNUMBER($I7145),TEXT($I7145,"0"),$I7145))</f>
        <v/>
      </c>
    </row>
    <row r="7146">
      <c r="B7146" s="25" t="n"/>
      <c r="I7146" s="25" t="n"/>
      <c r="U7146" s="19">
        <f>IF($V7146&lt;&gt;'設定'!$C$4,N(U7145),IF(OR(NOT(COUNTIF('商品マスタ'!$B$6:$B$1005,$W7146)=0),COUNTIFS('①在庫を貼る'!$V$6:$V$10005,$V7146,'①在庫を貼る'!$W$6:$W$10005,$W7146)+COUNTIFS('月1回_1ヶ月前の在庫'!$V$6:$V$10005,$V7146,'月1回_1ヶ月前の在庫'!$W$6:$W$10005,$W7146)&gt;0),N(U7145),N(U7145)+1))</f>
        <v/>
      </c>
      <c r="V7146" s="19">
        <f>IF($B7146="","",TEXT($B7146,"0000"))</f>
        <v/>
      </c>
      <c r="W7146" s="19">
        <f>IF($I7146="","",IF(ISNUMBER($I7146),TEXT($I7146,"0"),$I7146))</f>
        <v/>
      </c>
    </row>
    <row r="7147">
      <c r="B7147" s="25" t="n"/>
      <c r="I7147" s="25" t="n"/>
      <c r="U7147" s="19">
        <f>IF($V7147&lt;&gt;'設定'!$C$4,N(U7146),IF(OR(NOT(COUNTIF('商品マスタ'!$B$6:$B$1005,$W7147)=0),COUNTIFS('①在庫を貼る'!$V$6:$V$10005,$V7147,'①在庫を貼る'!$W$6:$W$10005,$W7147)+COUNTIFS('月1回_1ヶ月前の在庫'!$V$6:$V$10005,$V7147,'月1回_1ヶ月前の在庫'!$W$6:$W$10005,$W7147)&gt;0),N(U7146),N(U7146)+1))</f>
        <v/>
      </c>
      <c r="V7147" s="19">
        <f>IF($B7147="","",TEXT($B7147,"0000"))</f>
        <v/>
      </c>
      <c r="W7147" s="19">
        <f>IF($I7147="","",IF(ISNUMBER($I7147),TEXT($I7147,"0"),$I7147))</f>
        <v/>
      </c>
    </row>
    <row r="7148">
      <c r="B7148" s="25" t="n"/>
      <c r="I7148" s="25" t="n"/>
      <c r="U7148" s="19">
        <f>IF($V7148&lt;&gt;'設定'!$C$4,N(U7147),IF(OR(NOT(COUNTIF('商品マスタ'!$B$6:$B$1005,$W7148)=0),COUNTIFS('①在庫を貼る'!$V$6:$V$10005,$V7148,'①在庫を貼る'!$W$6:$W$10005,$W7148)+COUNTIFS('月1回_1ヶ月前の在庫'!$V$6:$V$10005,$V7148,'月1回_1ヶ月前の在庫'!$W$6:$W$10005,$W7148)&gt;0),N(U7147),N(U7147)+1))</f>
        <v/>
      </c>
      <c r="V7148" s="19">
        <f>IF($B7148="","",TEXT($B7148,"0000"))</f>
        <v/>
      </c>
      <c r="W7148" s="19">
        <f>IF($I7148="","",IF(ISNUMBER($I7148),TEXT($I7148,"0"),$I7148))</f>
        <v/>
      </c>
    </row>
    <row r="7149">
      <c r="B7149" s="25" t="n"/>
      <c r="I7149" s="25" t="n"/>
      <c r="U7149" s="19">
        <f>IF($V7149&lt;&gt;'設定'!$C$4,N(U7148),IF(OR(NOT(COUNTIF('商品マスタ'!$B$6:$B$1005,$W7149)=0),COUNTIFS('①在庫を貼る'!$V$6:$V$10005,$V7149,'①在庫を貼る'!$W$6:$W$10005,$W7149)+COUNTIFS('月1回_1ヶ月前の在庫'!$V$6:$V$10005,$V7149,'月1回_1ヶ月前の在庫'!$W$6:$W$10005,$W7149)&gt;0),N(U7148),N(U7148)+1))</f>
        <v/>
      </c>
      <c r="V7149" s="19">
        <f>IF($B7149="","",TEXT($B7149,"0000"))</f>
        <v/>
      </c>
      <c r="W7149" s="19">
        <f>IF($I7149="","",IF(ISNUMBER($I7149),TEXT($I7149,"0"),$I7149))</f>
        <v/>
      </c>
    </row>
    <row r="7150">
      <c r="B7150" s="25" t="n"/>
      <c r="I7150" s="25" t="n"/>
      <c r="U7150" s="19">
        <f>IF($V7150&lt;&gt;'設定'!$C$4,N(U7149),IF(OR(NOT(COUNTIF('商品マスタ'!$B$6:$B$1005,$W7150)=0),COUNTIFS('①在庫を貼る'!$V$6:$V$10005,$V7150,'①在庫を貼る'!$W$6:$W$10005,$W7150)+COUNTIFS('月1回_1ヶ月前の在庫'!$V$6:$V$10005,$V7150,'月1回_1ヶ月前の在庫'!$W$6:$W$10005,$W7150)&gt;0),N(U7149),N(U7149)+1))</f>
        <v/>
      </c>
      <c r="V7150" s="19">
        <f>IF($B7150="","",TEXT($B7150,"0000"))</f>
        <v/>
      </c>
      <c r="W7150" s="19">
        <f>IF($I7150="","",IF(ISNUMBER($I7150),TEXT($I7150,"0"),$I7150))</f>
        <v/>
      </c>
    </row>
    <row r="7151">
      <c r="B7151" s="25" t="n"/>
      <c r="I7151" s="25" t="n"/>
      <c r="U7151" s="19">
        <f>IF($V7151&lt;&gt;'設定'!$C$4,N(U7150),IF(OR(NOT(COUNTIF('商品マスタ'!$B$6:$B$1005,$W7151)=0),COUNTIFS('①在庫を貼る'!$V$6:$V$10005,$V7151,'①在庫を貼る'!$W$6:$W$10005,$W7151)+COUNTIFS('月1回_1ヶ月前の在庫'!$V$6:$V$10005,$V7151,'月1回_1ヶ月前の在庫'!$W$6:$W$10005,$W7151)&gt;0),N(U7150),N(U7150)+1))</f>
        <v/>
      </c>
      <c r="V7151" s="19">
        <f>IF($B7151="","",TEXT($B7151,"0000"))</f>
        <v/>
      </c>
      <c r="W7151" s="19">
        <f>IF($I7151="","",IF(ISNUMBER($I7151),TEXT($I7151,"0"),$I7151))</f>
        <v/>
      </c>
    </row>
    <row r="7152">
      <c r="B7152" s="25" t="n"/>
      <c r="I7152" s="25" t="n"/>
      <c r="U7152" s="19">
        <f>IF($V7152&lt;&gt;'設定'!$C$4,N(U7151),IF(OR(NOT(COUNTIF('商品マスタ'!$B$6:$B$1005,$W7152)=0),COUNTIFS('①在庫を貼る'!$V$6:$V$10005,$V7152,'①在庫を貼る'!$W$6:$W$10005,$W7152)+COUNTIFS('月1回_1ヶ月前の在庫'!$V$6:$V$10005,$V7152,'月1回_1ヶ月前の在庫'!$W$6:$W$10005,$W7152)&gt;0),N(U7151),N(U7151)+1))</f>
        <v/>
      </c>
      <c r="V7152" s="19">
        <f>IF($B7152="","",TEXT($B7152,"0000"))</f>
        <v/>
      </c>
      <c r="W7152" s="19">
        <f>IF($I7152="","",IF(ISNUMBER($I7152),TEXT($I7152,"0"),$I7152))</f>
        <v/>
      </c>
    </row>
    <row r="7153">
      <c r="B7153" s="25" t="n"/>
      <c r="I7153" s="25" t="n"/>
      <c r="U7153" s="19">
        <f>IF($V7153&lt;&gt;'設定'!$C$4,N(U7152),IF(OR(NOT(COUNTIF('商品マスタ'!$B$6:$B$1005,$W7153)=0),COUNTIFS('①在庫を貼る'!$V$6:$V$10005,$V7153,'①在庫を貼る'!$W$6:$W$10005,$W7153)+COUNTIFS('月1回_1ヶ月前の在庫'!$V$6:$V$10005,$V7153,'月1回_1ヶ月前の在庫'!$W$6:$W$10005,$W7153)&gt;0),N(U7152),N(U7152)+1))</f>
        <v/>
      </c>
      <c r="V7153" s="19">
        <f>IF($B7153="","",TEXT($B7153,"0000"))</f>
        <v/>
      </c>
      <c r="W7153" s="19">
        <f>IF($I7153="","",IF(ISNUMBER($I7153),TEXT($I7153,"0"),$I7153))</f>
        <v/>
      </c>
    </row>
    <row r="7154">
      <c r="B7154" s="25" t="n"/>
      <c r="I7154" s="25" t="n"/>
      <c r="U7154" s="19">
        <f>IF($V7154&lt;&gt;'設定'!$C$4,N(U7153),IF(OR(NOT(COUNTIF('商品マスタ'!$B$6:$B$1005,$W7154)=0),COUNTIFS('①在庫を貼る'!$V$6:$V$10005,$V7154,'①在庫を貼る'!$W$6:$W$10005,$W7154)+COUNTIFS('月1回_1ヶ月前の在庫'!$V$6:$V$10005,$V7154,'月1回_1ヶ月前の在庫'!$W$6:$W$10005,$W7154)&gt;0),N(U7153),N(U7153)+1))</f>
        <v/>
      </c>
      <c r="V7154" s="19">
        <f>IF($B7154="","",TEXT($B7154,"0000"))</f>
        <v/>
      </c>
      <c r="W7154" s="19">
        <f>IF($I7154="","",IF(ISNUMBER($I7154),TEXT($I7154,"0"),$I7154))</f>
        <v/>
      </c>
    </row>
    <row r="7155">
      <c r="B7155" s="25" t="n"/>
      <c r="I7155" s="25" t="n"/>
      <c r="U7155" s="19">
        <f>IF($V7155&lt;&gt;'設定'!$C$4,N(U7154),IF(OR(NOT(COUNTIF('商品マスタ'!$B$6:$B$1005,$W7155)=0),COUNTIFS('①在庫を貼る'!$V$6:$V$10005,$V7155,'①在庫を貼る'!$W$6:$W$10005,$W7155)+COUNTIFS('月1回_1ヶ月前の在庫'!$V$6:$V$10005,$V7155,'月1回_1ヶ月前の在庫'!$W$6:$W$10005,$W7155)&gt;0),N(U7154),N(U7154)+1))</f>
        <v/>
      </c>
      <c r="V7155" s="19">
        <f>IF($B7155="","",TEXT($B7155,"0000"))</f>
        <v/>
      </c>
      <c r="W7155" s="19">
        <f>IF($I7155="","",IF(ISNUMBER($I7155),TEXT($I7155,"0"),$I7155))</f>
        <v/>
      </c>
    </row>
    <row r="7156">
      <c r="B7156" s="25" t="n"/>
      <c r="I7156" s="25" t="n"/>
      <c r="U7156" s="19">
        <f>IF($V7156&lt;&gt;'設定'!$C$4,N(U7155),IF(OR(NOT(COUNTIF('商品マスタ'!$B$6:$B$1005,$W7156)=0),COUNTIFS('①在庫を貼る'!$V$6:$V$10005,$V7156,'①在庫を貼る'!$W$6:$W$10005,$W7156)+COUNTIFS('月1回_1ヶ月前の在庫'!$V$6:$V$10005,$V7156,'月1回_1ヶ月前の在庫'!$W$6:$W$10005,$W7156)&gt;0),N(U7155),N(U7155)+1))</f>
        <v/>
      </c>
      <c r="V7156" s="19">
        <f>IF($B7156="","",TEXT($B7156,"0000"))</f>
        <v/>
      </c>
      <c r="W7156" s="19">
        <f>IF($I7156="","",IF(ISNUMBER($I7156),TEXT($I7156,"0"),$I7156))</f>
        <v/>
      </c>
    </row>
    <row r="7157">
      <c r="B7157" s="25" t="n"/>
      <c r="I7157" s="25" t="n"/>
      <c r="U7157" s="19">
        <f>IF($V7157&lt;&gt;'設定'!$C$4,N(U7156),IF(OR(NOT(COUNTIF('商品マスタ'!$B$6:$B$1005,$W7157)=0),COUNTIFS('①在庫を貼る'!$V$6:$V$10005,$V7157,'①在庫を貼る'!$W$6:$W$10005,$W7157)+COUNTIFS('月1回_1ヶ月前の在庫'!$V$6:$V$10005,$V7157,'月1回_1ヶ月前の在庫'!$W$6:$W$10005,$W7157)&gt;0),N(U7156),N(U7156)+1))</f>
        <v/>
      </c>
      <c r="V7157" s="19">
        <f>IF($B7157="","",TEXT($B7157,"0000"))</f>
        <v/>
      </c>
      <c r="W7157" s="19">
        <f>IF($I7157="","",IF(ISNUMBER($I7157),TEXT($I7157,"0"),$I7157))</f>
        <v/>
      </c>
    </row>
    <row r="7158">
      <c r="B7158" s="25" t="n"/>
      <c r="I7158" s="25" t="n"/>
      <c r="U7158" s="19">
        <f>IF($V7158&lt;&gt;'設定'!$C$4,N(U7157),IF(OR(NOT(COUNTIF('商品マスタ'!$B$6:$B$1005,$W7158)=0),COUNTIFS('①在庫を貼る'!$V$6:$V$10005,$V7158,'①在庫を貼る'!$W$6:$W$10005,$W7158)+COUNTIFS('月1回_1ヶ月前の在庫'!$V$6:$V$10005,$V7158,'月1回_1ヶ月前の在庫'!$W$6:$W$10005,$W7158)&gt;0),N(U7157),N(U7157)+1))</f>
        <v/>
      </c>
      <c r="V7158" s="19">
        <f>IF($B7158="","",TEXT($B7158,"0000"))</f>
        <v/>
      </c>
      <c r="W7158" s="19">
        <f>IF($I7158="","",IF(ISNUMBER($I7158),TEXT($I7158,"0"),$I7158))</f>
        <v/>
      </c>
    </row>
    <row r="7159">
      <c r="B7159" s="25" t="n"/>
      <c r="I7159" s="25" t="n"/>
      <c r="U7159" s="19">
        <f>IF($V7159&lt;&gt;'設定'!$C$4,N(U7158),IF(OR(NOT(COUNTIF('商品マスタ'!$B$6:$B$1005,$W7159)=0),COUNTIFS('①在庫を貼る'!$V$6:$V$10005,$V7159,'①在庫を貼る'!$W$6:$W$10005,$W7159)+COUNTIFS('月1回_1ヶ月前の在庫'!$V$6:$V$10005,$V7159,'月1回_1ヶ月前の在庫'!$W$6:$W$10005,$W7159)&gt;0),N(U7158),N(U7158)+1))</f>
        <v/>
      </c>
      <c r="V7159" s="19">
        <f>IF($B7159="","",TEXT($B7159,"0000"))</f>
        <v/>
      </c>
      <c r="W7159" s="19">
        <f>IF($I7159="","",IF(ISNUMBER($I7159),TEXT($I7159,"0"),$I7159))</f>
        <v/>
      </c>
    </row>
    <row r="7160">
      <c r="B7160" s="25" t="n"/>
      <c r="I7160" s="25" t="n"/>
      <c r="U7160" s="19">
        <f>IF($V7160&lt;&gt;'設定'!$C$4,N(U7159),IF(OR(NOT(COUNTIF('商品マスタ'!$B$6:$B$1005,$W7160)=0),COUNTIFS('①在庫を貼る'!$V$6:$V$10005,$V7160,'①在庫を貼る'!$W$6:$W$10005,$W7160)+COUNTIFS('月1回_1ヶ月前の在庫'!$V$6:$V$10005,$V7160,'月1回_1ヶ月前の在庫'!$W$6:$W$10005,$W7160)&gt;0),N(U7159),N(U7159)+1))</f>
        <v/>
      </c>
      <c r="V7160" s="19">
        <f>IF($B7160="","",TEXT($B7160,"0000"))</f>
        <v/>
      </c>
      <c r="W7160" s="19">
        <f>IF($I7160="","",IF(ISNUMBER($I7160),TEXT($I7160,"0"),$I7160))</f>
        <v/>
      </c>
    </row>
    <row r="7161">
      <c r="B7161" s="25" t="n"/>
      <c r="I7161" s="25" t="n"/>
      <c r="U7161" s="19">
        <f>IF($V7161&lt;&gt;'設定'!$C$4,N(U7160),IF(OR(NOT(COUNTIF('商品マスタ'!$B$6:$B$1005,$W7161)=0),COUNTIFS('①在庫を貼る'!$V$6:$V$10005,$V7161,'①在庫を貼る'!$W$6:$W$10005,$W7161)+COUNTIFS('月1回_1ヶ月前の在庫'!$V$6:$V$10005,$V7161,'月1回_1ヶ月前の在庫'!$W$6:$W$10005,$W7161)&gt;0),N(U7160),N(U7160)+1))</f>
        <v/>
      </c>
      <c r="V7161" s="19">
        <f>IF($B7161="","",TEXT($B7161,"0000"))</f>
        <v/>
      </c>
      <c r="W7161" s="19">
        <f>IF($I7161="","",IF(ISNUMBER($I7161),TEXT($I7161,"0"),$I7161))</f>
        <v/>
      </c>
    </row>
    <row r="7162">
      <c r="B7162" s="25" t="n"/>
      <c r="I7162" s="25" t="n"/>
      <c r="U7162" s="19">
        <f>IF($V7162&lt;&gt;'設定'!$C$4,N(U7161),IF(OR(NOT(COUNTIF('商品マスタ'!$B$6:$B$1005,$W7162)=0),COUNTIFS('①在庫を貼る'!$V$6:$V$10005,$V7162,'①在庫を貼る'!$W$6:$W$10005,$W7162)+COUNTIFS('月1回_1ヶ月前の在庫'!$V$6:$V$10005,$V7162,'月1回_1ヶ月前の在庫'!$W$6:$W$10005,$W7162)&gt;0),N(U7161),N(U7161)+1))</f>
        <v/>
      </c>
      <c r="V7162" s="19">
        <f>IF($B7162="","",TEXT($B7162,"0000"))</f>
        <v/>
      </c>
      <c r="W7162" s="19">
        <f>IF($I7162="","",IF(ISNUMBER($I7162),TEXT($I7162,"0"),$I7162))</f>
        <v/>
      </c>
    </row>
    <row r="7163">
      <c r="B7163" s="25" t="n"/>
      <c r="I7163" s="25" t="n"/>
      <c r="U7163" s="19">
        <f>IF($V7163&lt;&gt;'設定'!$C$4,N(U7162),IF(OR(NOT(COUNTIF('商品マスタ'!$B$6:$B$1005,$W7163)=0),COUNTIFS('①在庫を貼る'!$V$6:$V$10005,$V7163,'①在庫を貼る'!$W$6:$W$10005,$W7163)+COUNTIFS('月1回_1ヶ月前の在庫'!$V$6:$V$10005,$V7163,'月1回_1ヶ月前の在庫'!$W$6:$W$10005,$W7163)&gt;0),N(U7162),N(U7162)+1))</f>
        <v/>
      </c>
      <c r="V7163" s="19">
        <f>IF($B7163="","",TEXT($B7163,"0000"))</f>
        <v/>
      </c>
      <c r="W7163" s="19">
        <f>IF($I7163="","",IF(ISNUMBER($I7163),TEXT($I7163,"0"),$I7163))</f>
        <v/>
      </c>
    </row>
    <row r="7164">
      <c r="B7164" s="25" t="n"/>
      <c r="I7164" s="25" t="n"/>
      <c r="U7164" s="19">
        <f>IF($V7164&lt;&gt;'設定'!$C$4,N(U7163),IF(OR(NOT(COUNTIF('商品マスタ'!$B$6:$B$1005,$W7164)=0),COUNTIFS('①在庫を貼る'!$V$6:$V$10005,$V7164,'①在庫を貼る'!$W$6:$W$10005,$W7164)+COUNTIFS('月1回_1ヶ月前の在庫'!$V$6:$V$10005,$V7164,'月1回_1ヶ月前の在庫'!$W$6:$W$10005,$W7164)&gt;0),N(U7163),N(U7163)+1))</f>
        <v/>
      </c>
      <c r="V7164" s="19">
        <f>IF($B7164="","",TEXT($B7164,"0000"))</f>
        <v/>
      </c>
      <c r="W7164" s="19">
        <f>IF($I7164="","",IF(ISNUMBER($I7164),TEXT($I7164,"0"),$I7164))</f>
        <v/>
      </c>
    </row>
    <row r="7165">
      <c r="B7165" s="25" t="n"/>
      <c r="I7165" s="25" t="n"/>
      <c r="U7165" s="19">
        <f>IF($V7165&lt;&gt;'設定'!$C$4,N(U7164),IF(OR(NOT(COUNTIF('商品マスタ'!$B$6:$B$1005,$W7165)=0),COUNTIFS('①在庫を貼る'!$V$6:$V$10005,$V7165,'①在庫を貼る'!$W$6:$W$10005,$W7165)+COUNTIFS('月1回_1ヶ月前の在庫'!$V$6:$V$10005,$V7165,'月1回_1ヶ月前の在庫'!$W$6:$W$10005,$W7165)&gt;0),N(U7164),N(U7164)+1))</f>
        <v/>
      </c>
      <c r="V7165" s="19">
        <f>IF($B7165="","",TEXT($B7165,"0000"))</f>
        <v/>
      </c>
      <c r="W7165" s="19">
        <f>IF($I7165="","",IF(ISNUMBER($I7165),TEXT($I7165,"0"),$I7165))</f>
        <v/>
      </c>
    </row>
    <row r="7166">
      <c r="B7166" s="25" t="n"/>
      <c r="I7166" s="25" t="n"/>
      <c r="U7166" s="19">
        <f>IF($V7166&lt;&gt;'設定'!$C$4,N(U7165),IF(OR(NOT(COUNTIF('商品マスタ'!$B$6:$B$1005,$W7166)=0),COUNTIFS('①在庫を貼る'!$V$6:$V$10005,$V7166,'①在庫を貼る'!$W$6:$W$10005,$W7166)+COUNTIFS('月1回_1ヶ月前の在庫'!$V$6:$V$10005,$V7166,'月1回_1ヶ月前の在庫'!$W$6:$W$10005,$W7166)&gt;0),N(U7165),N(U7165)+1))</f>
        <v/>
      </c>
      <c r="V7166" s="19">
        <f>IF($B7166="","",TEXT($B7166,"0000"))</f>
        <v/>
      </c>
      <c r="W7166" s="19">
        <f>IF($I7166="","",IF(ISNUMBER($I7166),TEXT($I7166,"0"),$I7166))</f>
        <v/>
      </c>
    </row>
    <row r="7167">
      <c r="B7167" s="25" t="n"/>
      <c r="I7167" s="25" t="n"/>
      <c r="U7167" s="19">
        <f>IF($V7167&lt;&gt;'設定'!$C$4,N(U7166),IF(OR(NOT(COUNTIF('商品マスタ'!$B$6:$B$1005,$W7167)=0),COUNTIFS('①在庫を貼る'!$V$6:$V$10005,$V7167,'①在庫を貼る'!$W$6:$W$10005,$W7167)+COUNTIFS('月1回_1ヶ月前の在庫'!$V$6:$V$10005,$V7167,'月1回_1ヶ月前の在庫'!$W$6:$W$10005,$W7167)&gt;0),N(U7166),N(U7166)+1))</f>
        <v/>
      </c>
      <c r="V7167" s="19">
        <f>IF($B7167="","",TEXT($B7167,"0000"))</f>
        <v/>
      </c>
      <c r="W7167" s="19">
        <f>IF($I7167="","",IF(ISNUMBER($I7167),TEXT($I7167,"0"),$I7167))</f>
        <v/>
      </c>
    </row>
    <row r="7168">
      <c r="B7168" s="25" t="n"/>
      <c r="I7168" s="25" t="n"/>
      <c r="U7168" s="19">
        <f>IF($V7168&lt;&gt;'設定'!$C$4,N(U7167),IF(OR(NOT(COUNTIF('商品マスタ'!$B$6:$B$1005,$W7168)=0),COUNTIFS('①在庫を貼る'!$V$6:$V$10005,$V7168,'①在庫を貼る'!$W$6:$W$10005,$W7168)+COUNTIFS('月1回_1ヶ月前の在庫'!$V$6:$V$10005,$V7168,'月1回_1ヶ月前の在庫'!$W$6:$W$10005,$W7168)&gt;0),N(U7167),N(U7167)+1))</f>
        <v/>
      </c>
      <c r="V7168" s="19">
        <f>IF($B7168="","",TEXT($B7168,"0000"))</f>
        <v/>
      </c>
      <c r="W7168" s="19">
        <f>IF($I7168="","",IF(ISNUMBER($I7168),TEXT($I7168,"0"),$I7168))</f>
        <v/>
      </c>
    </row>
    <row r="7169">
      <c r="B7169" s="25" t="n"/>
      <c r="I7169" s="25" t="n"/>
      <c r="U7169" s="19">
        <f>IF($V7169&lt;&gt;'設定'!$C$4,N(U7168),IF(OR(NOT(COUNTIF('商品マスタ'!$B$6:$B$1005,$W7169)=0),COUNTIFS('①在庫を貼る'!$V$6:$V$10005,$V7169,'①在庫を貼る'!$W$6:$W$10005,$W7169)+COUNTIFS('月1回_1ヶ月前の在庫'!$V$6:$V$10005,$V7169,'月1回_1ヶ月前の在庫'!$W$6:$W$10005,$W7169)&gt;0),N(U7168),N(U7168)+1))</f>
        <v/>
      </c>
      <c r="V7169" s="19">
        <f>IF($B7169="","",TEXT($B7169,"0000"))</f>
        <v/>
      </c>
      <c r="W7169" s="19">
        <f>IF($I7169="","",IF(ISNUMBER($I7169),TEXT($I7169,"0"),$I7169))</f>
        <v/>
      </c>
    </row>
    <row r="7170">
      <c r="B7170" s="25" t="n"/>
      <c r="I7170" s="25" t="n"/>
      <c r="U7170" s="19">
        <f>IF($V7170&lt;&gt;'設定'!$C$4,N(U7169),IF(OR(NOT(COUNTIF('商品マスタ'!$B$6:$B$1005,$W7170)=0),COUNTIFS('①在庫を貼る'!$V$6:$V$10005,$V7170,'①在庫を貼る'!$W$6:$W$10005,$W7170)+COUNTIFS('月1回_1ヶ月前の在庫'!$V$6:$V$10005,$V7170,'月1回_1ヶ月前の在庫'!$W$6:$W$10005,$W7170)&gt;0),N(U7169),N(U7169)+1))</f>
        <v/>
      </c>
      <c r="V7170" s="19">
        <f>IF($B7170="","",TEXT($B7170,"0000"))</f>
        <v/>
      </c>
      <c r="W7170" s="19">
        <f>IF($I7170="","",IF(ISNUMBER($I7170),TEXT($I7170,"0"),$I7170))</f>
        <v/>
      </c>
    </row>
    <row r="7171">
      <c r="B7171" s="25" t="n"/>
      <c r="I7171" s="25" t="n"/>
      <c r="U7171" s="19">
        <f>IF($V7171&lt;&gt;'設定'!$C$4,N(U7170),IF(OR(NOT(COUNTIF('商品マスタ'!$B$6:$B$1005,$W7171)=0),COUNTIFS('①在庫を貼る'!$V$6:$V$10005,$V7171,'①在庫を貼る'!$W$6:$W$10005,$W7171)+COUNTIFS('月1回_1ヶ月前の在庫'!$V$6:$V$10005,$V7171,'月1回_1ヶ月前の在庫'!$W$6:$W$10005,$W7171)&gt;0),N(U7170),N(U7170)+1))</f>
        <v/>
      </c>
      <c r="V7171" s="19">
        <f>IF($B7171="","",TEXT($B7171,"0000"))</f>
        <v/>
      </c>
      <c r="W7171" s="19">
        <f>IF($I7171="","",IF(ISNUMBER($I7171),TEXT($I7171,"0"),$I7171))</f>
        <v/>
      </c>
    </row>
    <row r="7172">
      <c r="B7172" s="25" t="n"/>
      <c r="I7172" s="25" t="n"/>
      <c r="U7172" s="19">
        <f>IF($V7172&lt;&gt;'設定'!$C$4,N(U7171),IF(OR(NOT(COUNTIF('商品マスタ'!$B$6:$B$1005,$W7172)=0),COUNTIFS('①在庫を貼る'!$V$6:$V$10005,$V7172,'①在庫を貼る'!$W$6:$W$10005,$W7172)+COUNTIFS('月1回_1ヶ月前の在庫'!$V$6:$V$10005,$V7172,'月1回_1ヶ月前の在庫'!$W$6:$W$10005,$W7172)&gt;0),N(U7171),N(U7171)+1))</f>
        <v/>
      </c>
      <c r="V7172" s="19">
        <f>IF($B7172="","",TEXT($B7172,"0000"))</f>
        <v/>
      </c>
      <c r="W7172" s="19">
        <f>IF($I7172="","",IF(ISNUMBER($I7172),TEXT($I7172,"0"),$I7172))</f>
        <v/>
      </c>
    </row>
    <row r="7173">
      <c r="B7173" s="25" t="n"/>
      <c r="I7173" s="25" t="n"/>
      <c r="U7173" s="19">
        <f>IF($V7173&lt;&gt;'設定'!$C$4,N(U7172),IF(OR(NOT(COUNTIF('商品マスタ'!$B$6:$B$1005,$W7173)=0),COUNTIFS('①在庫を貼る'!$V$6:$V$10005,$V7173,'①在庫を貼る'!$W$6:$W$10005,$W7173)+COUNTIFS('月1回_1ヶ月前の在庫'!$V$6:$V$10005,$V7173,'月1回_1ヶ月前の在庫'!$W$6:$W$10005,$W7173)&gt;0),N(U7172),N(U7172)+1))</f>
        <v/>
      </c>
      <c r="V7173" s="19">
        <f>IF($B7173="","",TEXT($B7173,"0000"))</f>
        <v/>
      </c>
      <c r="W7173" s="19">
        <f>IF($I7173="","",IF(ISNUMBER($I7173),TEXT($I7173,"0"),$I7173))</f>
        <v/>
      </c>
    </row>
    <row r="7174">
      <c r="B7174" s="25" t="n"/>
      <c r="I7174" s="25" t="n"/>
      <c r="U7174" s="19">
        <f>IF($V7174&lt;&gt;'設定'!$C$4,N(U7173),IF(OR(NOT(COUNTIF('商品マスタ'!$B$6:$B$1005,$W7174)=0),COUNTIFS('①在庫を貼る'!$V$6:$V$10005,$V7174,'①在庫を貼る'!$W$6:$W$10005,$W7174)+COUNTIFS('月1回_1ヶ月前の在庫'!$V$6:$V$10005,$V7174,'月1回_1ヶ月前の在庫'!$W$6:$W$10005,$W7174)&gt;0),N(U7173),N(U7173)+1))</f>
        <v/>
      </c>
      <c r="V7174" s="19">
        <f>IF($B7174="","",TEXT($B7174,"0000"))</f>
        <v/>
      </c>
      <c r="W7174" s="19">
        <f>IF($I7174="","",IF(ISNUMBER($I7174),TEXT($I7174,"0"),$I7174))</f>
        <v/>
      </c>
    </row>
    <row r="7175">
      <c r="B7175" s="25" t="n"/>
      <c r="I7175" s="25" t="n"/>
      <c r="U7175" s="19">
        <f>IF($V7175&lt;&gt;'設定'!$C$4,N(U7174),IF(OR(NOT(COUNTIF('商品マスタ'!$B$6:$B$1005,$W7175)=0),COUNTIFS('①在庫を貼る'!$V$6:$V$10005,$V7175,'①在庫を貼る'!$W$6:$W$10005,$W7175)+COUNTIFS('月1回_1ヶ月前の在庫'!$V$6:$V$10005,$V7175,'月1回_1ヶ月前の在庫'!$W$6:$W$10005,$W7175)&gt;0),N(U7174),N(U7174)+1))</f>
        <v/>
      </c>
      <c r="V7175" s="19">
        <f>IF($B7175="","",TEXT($B7175,"0000"))</f>
        <v/>
      </c>
      <c r="W7175" s="19">
        <f>IF($I7175="","",IF(ISNUMBER($I7175),TEXT($I7175,"0"),$I7175))</f>
        <v/>
      </c>
    </row>
    <row r="7176">
      <c r="B7176" s="25" t="n"/>
      <c r="I7176" s="25" t="n"/>
      <c r="U7176" s="19">
        <f>IF($V7176&lt;&gt;'設定'!$C$4,N(U7175),IF(OR(NOT(COUNTIF('商品マスタ'!$B$6:$B$1005,$W7176)=0),COUNTIFS('①在庫を貼る'!$V$6:$V$10005,$V7176,'①在庫を貼る'!$W$6:$W$10005,$W7176)+COUNTIFS('月1回_1ヶ月前の在庫'!$V$6:$V$10005,$V7176,'月1回_1ヶ月前の在庫'!$W$6:$W$10005,$W7176)&gt;0),N(U7175),N(U7175)+1))</f>
        <v/>
      </c>
      <c r="V7176" s="19">
        <f>IF($B7176="","",TEXT($B7176,"0000"))</f>
        <v/>
      </c>
      <c r="W7176" s="19">
        <f>IF($I7176="","",IF(ISNUMBER($I7176),TEXT($I7176,"0"),$I7176))</f>
        <v/>
      </c>
    </row>
    <row r="7177">
      <c r="B7177" s="25" t="n"/>
      <c r="I7177" s="25" t="n"/>
      <c r="U7177" s="19">
        <f>IF($V7177&lt;&gt;'設定'!$C$4,N(U7176),IF(OR(NOT(COUNTIF('商品マスタ'!$B$6:$B$1005,$W7177)=0),COUNTIFS('①在庫を貼る'!$V$6:$V$10005,$V7177,'①在庫を貼る'!$W$6:$W$10005,$W7177)+COUNTIFS('月1回_1ヶ月前の在庫'!$V$6:$V$10005,$V7177,'月1回_1ヶ月前の在庫'!$W$6:$W$10005,$W7177)&gt;0),N(U7176),N(U7176)+1))</f>
        <v/>
      </c>
      <c r="V7177" s="19">
        <f>IF($B7177="","",TEXT($B7177,"0000"))</f>
        <v/>
      </c>
      <c r="W7177" s="19">
        <f>IF($I7177="","",IF(ISNUMBER($I7177),TEXT($I7177,"0"),$I7177))</f>
        <v/>
      </c>
    </row>
    <row r="7178">
      <c r="B7178" s="25" t="n"/>
      <c r="I7178" s="25" t="n"/>
      <c r="U7178" s="19">
        <f>IF($V7178&lt;&gt;'設定'!$C$4,N(U7177),IF(OR(NOT(COUNTIF('商品マスタ'!$B$6:$B$1005,$W7178)=0),COUNTIFS('①在庫を貼る'!$V$6:$V$10005,$V7178,'①在庫を貼る'!$W$6:$W$10005,$W7178)+COUNTIFS('月1回_1ヶ月前の在庫'!$V$6:$V$10005,$V7178,'月1回_1ヶ月前の在庫'!$W$6:$W$10005,$W7178)&gt;0),N(U7177),N(U7177)+1))</f>
        <v/>
      </c>
      <c r="V7178" s="19">
        <f>IF($B7178="","",TEXT($B7178,"0000"))</f>
        <v/>
      </c>
      <c r="W7178" s="19">
        <f>IF($I7178="","",IF(ISNUMBER($I7178),TEXT($I7178,"0"),$I7178))</f>
        <v/>
      </c>
    </row>
    <row r="7179">
      <c r="B7179" s="25" t="n"/>
      <c r="I7179" s="25" t="n"/>
      <c r="U7179" s="19">
        <f>IF($V7179&lt;&gt;'設定'!$C$4,N(U7178),IF(OR(NOT(COUNTIF('商品マスタ'!$B$6:$B$1005,$W7179)=0),COUNTIFS('①在庫を貼る'!$V$6:$V$10005,$V7179,'①在庫を貼る'!$W$6:$W$10005,$W7179)+COUNTIFS('月1回_1ヶ月前の在庫'!$V$6:$V$10005,$V7179,'月1回_1ヶ月前の在庫'!$W$6:$W$10005,$W7179)&gt;0),N(U7178),N(U7178)+1))</f>
        <v/>
      </c>
      <c r="V7179" s="19">
        <f>IF($B7179="","",TEXT($B7179,"0000"))</f>
        <v/>
      </c>
      <c r="W7179" s="19">
        <f>IF($I7179="","",IF(ISNUMBER($I7179),TEXT($I7179,"0"),$I7179))</f>
        <v/>
      </c>
    </row>
    <row r="7180">
      <c r="B7180" s="25" t="n"/>
      <c r="I7180" s="25" t="n"/>
      <c r="U7180" s="19">
        <f>IF($V7180&lt;&gt;'設定'!$C$4,N(U7179),IF(OR(NOT(COUNTIF('商品マスタ'!$B$6:$B$1005,$W7180)=0),COUNTIFS('①在庫を貼る'!$V$6:$V$10005,$V7180,'①在庫を貼る'!$W$6:$W$10005,$W7180)+COUNTIFS('月1回_1ヶ月前の在庫'!$V$6:$V$10005,$V7180,'月1回_1ヶ月前の在庫'!$W$6:$W$10005,$W7180)&gt;0),N(U7179),N(U7179)+1))</f>
        <v/>
      </c>
      <c r="V7180" s="19">
        <f>IF($B7180="","",TEXT($B7180,"0000"))</f>
        <v/>
      </c>
      <c r="W7180" s="19">
        <f>IF($I7180="","",IF(ISNUMBER($I7180),TEXT($I7180,"0"),$I7180))</f>
        <v/>
      </c>
    </row>
    <row r="7181">
      <c r="B7181" s="25" t="n"/>
      <c r="I7181" s="25" t="n"/>
      <c r="U7181" s="19">
        <f>IF($V7181&lt;&gt;'設定'!$C$4,N(U7180),IF(OR(NOT(COUNTIF('商品マスタ'!$B$6:$B$1005,$W7181)=0),COUNTIFS('①在庫を貼る'!$V$6:$V$10005,$V7181,'①在庫を貼る'!$W$6:$W$10005,$W7181)+COUNTIFS('月1回_1ヶ月前の在庫'!$V$6:$V$10005,$V7181,'月1回_1ヶ月前の在庫'!$W$6:$W$10005,$W7181)&gt;0),N(U7180),N(U7180)+1))</f>
        <v/>
      </c>
      <c r="V7181" s="19">
        <f>IF($B7181="","",TEXT($B7181,"0000"))</f>
        <v/>
      </c>
      <c r="W7181" s="19">
        <f>IF($I7181="","",IF(ISNUMBER($I7181),TEXT($I7181,"0"),$I7181))</f>
        <v/>
      </c>
    </row>
    <row r="7182">
      <c r="B7182" s="25" t="n"/>
      <c r="I7182" s="25" t="n"/>
      <c r="U7182" s="19">
        <f>IF($V7182&lt;&gt;'設定'!$C$4,N(U7181),IF(OR(NOT(COUNTIF('商品マスタ'!$B$6:$B$1005,$W7182)=0),COUNTIFS('①在庫を貼る'!$V$6:$V$10005,$V7182,'①在庫を貼る'!$W$6:$W$10005,$W7182)+COUNTIFS('月1回_1ヶ月前の在庫'!$V$6:$V$10005,$V7182,'月1回_1ヶ月前の在庫'!$W$6:$W$10005,$W7182)&gt;0),N(U7181),N(U7181)+1))</f>
        <v/>
      </c>
      <c r="V7182" s="19">
        <f>IF($B7182="","",TEXT($B7182,"0000"))</f>
        <v/>
      </c>
      <c r="W7182" s="19">
        <f>IF($I7182="","",IF(ISNUMBER($I7182),TEXT($I7182,"0"),$I7182))</f>
        <v/>
      </c>
    </row>
    <row r="7183">
      <c r="B7183" s="25" t="n"/>
      <c r="I7183" s="25" t="n"/>
      <c r="U7183" s="19">
        <f>IF($V7183&lt;&gt;'設定'!$C$4,N(U7182),IF(OR(NOT(COUNTIF('商品マスタ'!$B$6:$B$1005,$W7183)=0),COUNTIFS('①在庫を貼る'!$V$6:$V$10005,$V7183,'①在庫を貼る'!$W$6:$W$10005,$W7183)+COUNTIFS('月1回_1ヶ月前の在庫'!$V$6:$V$10005,$V7183,'月1回_1ヶ月前の在庫'!$W$6:$W$10005,$W7183)&gt;0),N(U7182),N(U7182)+1))</f>
        <v/>
      </c>
      <c r="V7183" s="19">
        <f>IF($B7183="","",TEXT($B7183,"0000"))</f>
        <v/>
      </c>
      <c r="W7183" s="19">
        <f>IF($I7183="","",IF(ISNUMBER($I7183),TEXT($I7183,"0"),$I7183))</f>
        <v/>
      </c>
    </row>
    <row r="7184">
      <c r="B7184" s="25" t="n"/>
      <c r="I7184" s="25" t="n"/>
      <c r="U7184" s="19">
        <f>IF($V7184&lt;&gt;'設定'!$C$4,N(U7183),IF(OR(NOT(COUNTIF('商品マスタ'!$B$6:$B$1005,$W7184)=0),COUNTIFS('①在庫を貼る'!$V$6:$V$10005,$V7184,'①在庫を貼る'!$W$6:$W$10005,$W7184)+COUNTIFS('月1回_1ヶ月前の在庫'!$V$6:$V$10005,$V7184,'月1回_1ヶ月前の在庫'!$W$6:$W$10005,$W7184)&gt;0),N(U7183),N(U7183)+1))</f>
        <v/>
      </c>
      <c r="V7184" s="19">
        <f>IF($B7184="","",TEXT($B7184,"0000"))</f>
        <v/>
      </c>
      <c r="W7184" s="19">
        <f>IF($I7184="","",IF(ISNUMBER($I7184),TEXT($I7184,"0"),$I7184))</f>
        <v/>
      </c>
    </row>
    <row r="7185">
      <c r="B7185" s="25" t="n"/>
      <c r="I7185" s="25" t="n"/>
      <c r="U7185" s="19">
        <f>IF($V7185&lt;&gt;'設定'!$C$4,N(U7184),IF(OR(NOT(COUNTIF('商品マスタ'!$B$6:$B$1005,$W7185)=0),COUNTIFS('①在庫を貼る'!$V$6:$V$10005,$V7185,'①在庫を貼る'!$W$6:$W$10005,$W7185)+COUNTIFS('月1回_1ヶ月前の在庫'!$V$6:$V$10005,$V7185,'月1回_1ヶ月前の在庫'!$W$6:$W$10005,$W7185)&gt;0),N(U7184),N(U7184)+1))</f>
        <v/>
      </c>
      <c r="V7185" s="19">
        <f>IF($B7185="","",TEXT($B7185,"0000"))</f>
        <v/>
      </c>
      <c r="W7185" s="19">
        <f>IF($I7185="","",IF(ISNUMBER($I7185),TEXT($I7185,"0"),$I7185))</f>
        <v/>
      </c>
    </row>
    <row r="7186">
      <c r="B7186" s="25" t="n"/>
      <c r="I7186" s="25" t="n"/>
      <c r="U7186" s="19">
        <f>IF($V7186&lt;&gt;'設定'!$C$4,N(U7185),IF(OR(NOT(COUNTIF('商品マスタ'!$B$6:$B$1005,$W7186)=0),COUNTIFS('①在庫を貼る'!$V$6:$V$10005,$V7186,'①在庫を貼る'!$W$6:$W$10005,$W7186)+COUNTIFS('月1回_1ヶ月前の在庫'!$V$6:$V$10005,$V7186,'月1回_1ヶ月前の在庫'!$W$6:$W$10005,$W7186)&gt;0),N(U7185),N(U7185)+1))</f>
        <v/>
      </c>
      <c r="V7186" s="19">
        <f>IF($B7186="","",TEXT($B7186,"0000"))</f>
        <v/>
      </c>
      <c r="W7186" s="19">
        <f>IF($I7186="","",IF(ISNUMBER($I7186),TEXT($I7186,"0"),$I7186))</f>
        <v/>
      </c>
    </row>
    <row r="7187">
      <c r="B7187" s="25" t="n"/>
      <c r="I7187" s="25" t="n"/>
      <c r="U7187" s="19">
        <f>IF($V7187&lt;&gt;'設定'!$C$4,N(U7186),IF(OR(NOT(COUNTIF('商品マスタ'!$B$6:$B$1005,$W7187)=0),COUNTIFS('①在庫を貼る'!$V$6:$V$10005,$V7187,'①在庫を貼る'!$W$6:$W$10005,$W7187)+COUNTIFS('月1回_1ヶ月前の在庫'!$V$6:$V$10005,$V7187,'月1回_1ヶ月前の在庫'!$W$6:$W$10005,$W7187)&gt;0),N(U7186),N(U7186)+1))</f>
        <v/>
      </c>
      <c r="V7187" s="19">
        <f>IF($B7187="","",TEXT($B7187,"0000"))</f>
        <v/>
      </c>
      <c r="W7187" s="19">
        <f>IF($I7187="","",IF(ISNUMBER($I7187),TEXT($I7187,"0"),$I7187))</f>
        <v/>
      </c>
    </row>
    <row r="7188">
      <c r="B7188" s="25" t="n"/>
      <c r="I7188" s="25" t="n"/>
      <c r="U7188" s="19">
        <f>IF($V7188&lt;&gt;'設定'!$C$4,N(U7187),IF(OR(NOT(COUNTIF('商品マスタ'!$B$6:$B$1005,$W7188)=0),COUNTIFS('①在庫を貼る'!$V$6:$V$10005,$V7188,'①在庫を貼る'!$W$6:$W$10005,$W7188)+COUNTIFS('月1回_1ヶ月前の在庫'!$V$6:$V$10005,$V7188,'月1回_1ヶ月前の在庫'!$W$6:$W$10005,$W7188)&gt;0),N(U7187),N(U7187)+1))</f>
        <v/>
      </c>
      <c r="V7188" s="19">
        <f>IF($B7188="","",TEXT($B7188,"0000"))</f>
        <v/>
      </c>
      <c r="W7188" s="19">
        <f>IF($I7188="","",IF(ISNUMBER($I7188),TEXT($I7188,"0"),$I7188))</f>
        <v/>
      </c>
    </row>
    <row r="7189">
      <c r="B7189" s="25" t="n"/>
      <c r="I7189" s="25" t="n"/>
      <c r="U7189" s="19">
        <f>IF($V7189&lt;&gt;'設定'!$C$4,N(U7188),IF(OR(NOT(COUNTIF('商品マスタ'!$B$6:$B$1005,$W7189)=0),COUNTIFS('①在庫を貼る'!$V$6:$V$10005,$V7189,'①在庫を貼る'!$W$6:$W$10005,$W7189)+COUNTIFS('月1回_1ヶ月前の在庫'!$V$6:$V$10005,$V7189,'月1回_1ヶ月前の在庫'!$W$6:$W$10005,$W7189)&gt;0),N(U7188),N(U7188)+1))</f>
        <v/>
      </c>
      <c r="V7189" s="19">
        <f>IF($B7189="","",TEXT($B7189,"0000"))</f>
        <v/>
      </c>
      <c r="W7189" s="19">
        <f>IF($I7189="","",IF(ISNUMBER($I7189),TEXT($I7189,"0"),$I7189))</f>
        <v/>
      </c>
    </row>
    <row r="7190">
      <c r="B7190" s="25" t="n"/>
      <c r="I7190" s="25" t="n"/>
      <c r="U7190" s="19">
        <f>IF($V7190&lt;&gt;'設定'!$C$4,N(U7189),IF(OR(NOT(COUNTIF('商品マスタ'!$B$6:$B$1005,$W7190)=0),COUNTIFS('①在庫を貼る'!$V$6:$V$10005,$V7190,'①在庫を貼る'!$W$6:$W$10005,$W7190)+COUNTIFS('月1回_1ヶ月前の在庫'!$V$6:$V$10005,$V7190,'月1回_1ヶ月前の在庫'!$W$6:$W$10005,$W7190)&gt;0),N(U7189),N(U7189)+1))</f>
        <v/>
      </c>
      <c r="V7190" s="19">
        <f>IF($B7190="","",TEXT($B7190,"0000"))</f>
        <v/>
      </c>
      <c r="W7190" s="19">
        <f>IF($I7190="","",IF(ISNUMBER($I7190),TEXT($I7190,"0"),$I7190))</f>
        <v/>
      </c>
    </row>
    <row r="7191">
      <c r="B7191" s="25" t="n"/>
      <c r="I7191" s="25" t="n"/>
      <c r="U7191" s="19">
        <f>IF($V7191&lt;&gt;'設定'!$C$4,N(U7190),IF(OR(NOT(COUNTIF('商品マスタ'!$B$6:$B$1005,$W7191)=0),COUNTIFS('①在庫を貼る'!$V$6:$V$10005,$V7191,'①在庫を貼る'!$W$6:$W$10005,$W7191)+COUNTIFS('月1回_1ヶ月前の在庫'!$V$6:$V$10005,$V7191,'月1回_1ヶ月前の在庫'!$W$6:$W$10005,$W7191)&gt;0),N(U7190),N(U7190)+1))</f>
        <v/>
      </c>
      <c r="V7191" s="19">
        <f>IF($B7191="","",TEXT($B7191,"0000"))</f>
        <v/>
      </c>
      <c r="W7191" s="19">
        <f>IF($I7191="","",IF(ISNUMBER($I7191),TEXT($I7191,"0"),$I7191))</f>
        <v/>
      </c>
    </row>
    <row r="7192">
      <c r="B7192" s="25" t="n"/>
      <c r="I7192" s="25" t="n"/>
      <c r="U7192" s="19">
        <f>IF($V7192&lt;&gt;'設定'!$C$4,N(U7191),IF(OR(NOT(COUNTIF('商品マスタ'!$B$6:$B$1005,$W7192)=0),COUNTIFS('①在庫を貼る'!$V$6:$V$10005,$V7192,'①在庫を貼る'!$W$6:$W$10005,$W7192)+COUNTIFS('月1回_1ヶ月前の在庫'!$V$6:$V$10005,$V7192,'月1回_1ヶ月前の在庫'!$W$6:$W$10005,$W7192)&gt;0),N(U7191),N(U7191)+1))</f>
        <v/>
      </c>
      <c r="V7192" s="19">
        <f>IF($B7192="","",TEXT($B7192,"0000"))</f>
        <v/>
      </c>
      <c r="W7192" s="19">
        <f>IF($I7192="","",IF(ISNUMBER($I7192),TEXT($I7192,"0"),$I7192))</f>
        <v/>
      </c>
    </row>
    <row r="7193">
      <c r="B7193" s="25" t="n"/>
      <c r="I7193" s="25" t="n"/>
      <c r="U7193" s="19">
        <f>IF($V7193&lt;&gt;'設定'!$C$4,N(U7192),IF(OR(NOT(COUNTIF('商品マスタ'!$B$6:$B$1005,$W7193)=0),COUNTIFS('①在庫を貼る'!$V$6:$V$10005,$V7193,'①在庫を貼る'!$W$6:$W$10005,$W7193)+COUNTIFS('月1回_1ヶ月前の在庫'!$V$6:$V$10005,$V7193,'月1回_1ヶ月前の在庫'!$W$6:$W$10005,$W7193)&gt;0),N(U7192),N(U7192)+1))</f>
        <v/>
      </c>
      <c r="V7193" s="19">
        <f>IF($B7193="","",TEXT($B7193,"0000"))</f>
        <v/>
      </c>
      <c r="W7193" s="19">
        <f>IF($I7193="","",IF(ISNUMBER($I7193),TEXT($I7193,"0"),$I7193))</f>
        <v/>
      </c>
    </row>
    <row r="7194">
      <c r="B7194" s="25" t="n"/>
      <c r="I7194" s="25" t="n"/>
      <c r="U7194" s="19">
        <f>IF($V7194&lt;&gt;'設定'!$C$4,N(U7193),IF(OR(NOT(COUNTIF('商品マスタ'!$B$6:$B$1005,$W7194)=0),COUNTIFS('①在庫を貼る'!$V$6:$V$10005,$V7194,'①在庫を貼る'!$W$6:$W$10005,$W7194)+COUNTIFS('月1回_1ヶ月前の在庫'!$V$6:$V$10005,$V7194,'月1回_1ヶ月前の在庫'!$W$6:$W$10005,$W7194)&gt;0),N(U7193),N(U7193)+1))</f>
        <v/>
      </c>
      <c r="V7194" s="19">
        <f>IF($B7194="","",TEXT($B7194,"0000"))</f>
        <v/>
      </c>
      <c r="W7194" s="19">
        <f>IF($I7194="","",IF(ISNUMBER($I7194),TEXT($I7194,"0"),$I7194))</f>
        <v/>
      </c>
    </row>
    <row r="7195">
      <c r="B7195" s="25" t="n"/>
      <c r="I7195" s="25" t="n"/>
      <c r="U7195" s="19">
        <f>IF($V7195&lt;&gt;'設定'!$C$4,N(U7194),IF(OR(NOT(COUNTIF('商品マスタ'!$B$6:$B$1005,$W7195)=0),COUNTIFS('①在庫を貼る'!$V$6:$V$10005,$V7195,'①在庫を貼る'!$W$6:$W$10005,$W7195)+COUNTIFS('月1回_1ヶ月前の在庫'!$V$6:$V$10005,$V7195,'月1回_1ヶ月前の在庫'!$W$6:$W$10005,$W7195)&gt;0),N(U7194),N(U7194)+1))</f>
        <v/>
      </c>
      <c r="V7195" s="19">
        <f>IF($B7195="","",TEXT($B7195,"0000"))</f>
        <v/>
      </c>
      <c r="W7195" s="19">
        <f>IF($I7195="","",IF(ISNUMBER($I7195),TEXT($I7195,"0"),$I7195))</f>
        <v/>
      </c>
    </row>
    <row r="7196">
      <c r="B7196" s="25" t="n"/>
      <c r="I7196" s="25" t="n"/>
      <c r="U7196" s="19">
        <f>IF($V7196&lt;&gt;'設定'!$C$4,N(U7195),IF(OR(NOT(COUNTIF('商品マスタ'!$B$6:$B$1005,$W7196)=0),COUNTIFS('①在庫を貼る'!$V$6:$V$10005,$V7196,'①在庫を貼る'!$W$6:$W$10005,$W7196)+COUNTIFS('月1回_1ヶ月前の在庫'!$V$6:$V$10005,$V7196,'月1回_1ヶ月前の在庫'!$W$6:$W$10005,$W7196)&gt;0),N(U7195),N(U7195)+1))</f>
        <v/>
      </c>
      <c r="V7196" s="19">
        <f>IF($B7196="","",TEXT($B7196,"0000"))</f>
        <v/>
      </c>
      <c r="W7196" s="19">
        <f>IF($I7196="","",IF(ISNUMBER($I7196),TEXT($I7196,"0"),$I7196))</f>
        <v/>
      </c>
    </row>
    <row r="7197">
      <c r="B7197" s="25" t="n"/>
      <c r="I7197" s="25" t="n"/>
      <c r="U7197" s="19">
        <f>IF($V7197&lt;&gt;'設定'!$C$4,N(U7196),IF(OR(NOT(COUNTIF('商品マスタ'!$B$6:$B$1005,$W7197)=0),COUNTIFS('①在庫を貼る'!$V$6:$V$10005,$V7197,'①在庫を貼る'!$W$6:$W$10005,$W7197)+COUNTIFS('月1回_1ヶ月前の在庫'!$V$6:$V$10005,$V7197,'月1回_1ヶ月前の在庫'!$W$6:$W$10005,$W7197)&gt;0),N(U7196),N(U7196)+1))</f>
        <v/>
      </c>
      <c r="V7197" s="19">
        <f>IF($B7197="","",TEXT($B7197,"0000"))</f>
        <v/>
      </c>
      <c r="W7197" s="19">
        <f>IF($I7197="","",IF(ISNUMBER($I7197),TEXT($I7197,"0"),$I7197))</f>
        <v/>
      </c>
    </row>
    <row r="7198">
      <c r="B7198" s="25" t="n"/>
      <c r="I7198" s="25" t="n"/>
      <c r="U7198" s="19">
        <f>IF($V7198&lt;&gt;'設定'!$C$4,N(U7197),IF(OR(NOT(COUNTIF('商品マスタ'!$B$6:$B$1005,$W7198)=0),COUNTIFS('①在庫を貼る'!$V$6:$V$10005,$V7198,'①在庫を貼る'!$W$6:$W$10005,$W7198)+COUNTIFS('月1回_1ヶ月前の在庫'!$V$6:$V$10005,$V7198,'月1回_1ヶ月前の在庫'!$W$6:$W$10005,$W7198)&gt;0),N(U7197),N(U7197)+1))</f>
        <v/>
      </c>
      <c r="V7198" s="19">
        <f>IF($B7198="","",TEXT($B7198,"0000"))</f>
        <v/>
      </c>
      <c r="W7198" s="19">
        <f>IF($I7198="","",IF(ISNUMBER($I7198),TEXT($I7198,"0"),$I7198))</f>
        <v/>
      </c>
    </row>
    <row r="7199">
      <c r="B7199" s="25" t="n"/>
      <c r="I7199" s="25" t="n"/>
      <c r="U7199" s="19">
        <f>IF($V7199&lt;&gt;'設定'!$C$4,N(U7198),IF(OR(NOT(COUNTIF('商品マスタ'!$B$6:$B$1005,$W7199)=0),COUNTIFS('①在庫を貼る'!$V$6:$V$10005,$V7199,'①在庫を貼る'!$W$6:$W$10005,$W7199)+COUNTIFS('月1回_1ヶ月前の在庫'!$V$6:$V$10005,$V7199,'月1回_1ヶ月前の在庫'!$W$6:$W$10005,$W7199)&gt;0),N(U7198),N(U7198)+1))</f>
        <v/>
      </c>
      <c r="V7199" s="19">
        <f>IF($B7199="","",TEXT($B7199,"0000"))</f>
        <v/>
      </c>
      <c r="W7199" s="19">
        <f>IF($I7199="","",IF(ISNUMBER($I7199),TEXT($I7199,"0"),$I7199))</f>
        <v/>
      </c>
    </row>
    <row r="7200">
      <c r="B7200" s="25" t="n"/>
      <c r="I7200" s="25" t="n"/>
      <c r="U7200" s="19">
        <f>IF($V7200&lt;&gt;'設定'!$C$4,N(U7199),IF(OR(NOT(COUNTIF('商品マスタ'!$B$6:$B$1005,$W7200)=0),COUNTIFS('①在庫を貼る'!$V$6:$V$10005,$V7200,'①在庫を貼る'!$W$6:$W$10005,$W7200)+COUNTIFS('月1回_1ヶ月前の在庫'!$V$6:$V$10005,$V7200,'月1回_1ヶ月前の在庫'!$W$6:$W$10005,$W7200)&gt;0),N(U7199),N(U7199)+1))</f>
        <v/>
      </c>
      <c r="V7200" s="19">
        <f>IF($B7200="","",TEXT($B7200,"0000"))</f>
        <v/>
      </c>
      <c r="W7200" s="19">
        <f>IF($I7200="","",IF(ISNUMBER($I7200),TEXT($I7200,"0"),$I7200))</f>
        <v/>
      </c>
    </row>
    <row r="7201">
      <c r="B7201" s="25" t="n"/>
      <c r="I7201" s="25" t="n"/>
      <c r="U7201" s="19">
        <f>IF($V7201&lt;&gt;'設定'!$C$4,N(U7200),IF(OR(NOT(COUNTIF('商品マスタ'!$B$6:$B$1005,$W7201)=0),COUNTIFS('①在庫を貼る'!$V$6:$V$10005,$V7201,'①在庫を貼る'!$W$6:$W$10005,$W7201)+COUNTIFS('月1回_1ヶ月前の在庫'!$V$6:$V$10005,$V7201,'月1回_1ヶ月前の在庫'!$W$6:$W$10005,$W7201)&gt;0),N(U7200),N(U7200)+1))</f>
        <v/>
      </c>
      <c r="V7201" s="19">
        <f>IF($B7201="","",TEXT($B7201,"0000"))</f>
        <v/>
      </c>
      <c r="W7201" s="19">
        <f>IF($I7201="","",IF(ISNUMBER($I7201),TEXT($I7201,"0"),$I7201))</f>
        <v/>
      </c>
    </row>
    <row r="7202">
      <c r="B7202" s="25" t="n"/>
      <c r="I7202" s="25" t="n"/>
      <c r="U7202" s="19">
        <f>IF($V7202&lt;&gt;'設定'!$C$4,N(U7201),IF(OR(NOT(COUNTIF('商品マスタ'!$B$6:$B$1005,$W7202)=0),COUNTIFS('①在庫を貼る'!$V$6:$V$10005,$V7202,'①在庫を貼る'!$W$6:$W$10005,$W7202)+COUNTIFS('月1回_1ヶ月前の在庫'!$V$6:$V$10005,$V7202,'月1回_1ヶ月前の在庫'!$W$6:$W$10005,$W7202)&gt;0),N(U7201),N(U7201)+1))</f>
        <v/>
      </c>
      <c r="V7202" s="19">
        <f>IF($B7202="","",TEXT($B7202,"0000"))</f>
        <v/>
      </c>
      <c r="W7202" s="19">
        <f>IF($I7202="","",IF(ISNUMBER($I7202),TEXT($I7202,"0"),$I7202))</f>
        <v/>
      </c>
    </row>
    <row r="7203">
      <c r="B7203" s="25" t="n"/>
      <c r="I7203" s="25" t="n"/>
      <c r="U7203" s="19">
        <f>IF($V7203&lt;&gt;'設定'!$C$4,N(U7202),IF(OR(NOT(COUNTIF('商品マスタ'!$B$6:$B$1005,$W7203)=0),COUNTIFS('①在庫を貼る'!$V$6:$V$10005,$V7203,'①在庫を貼る'!$W$6:$W$10005,$W7203)+COUNTIFS('月1回_1ヶ月前の在庫'!$V$6:$V$10005,$V7203,'月1回_1ヶ月前の在庫'!$W$6:$W$10005,$W7203)&gt;0),N(U7202),N(U7202)+1))</f>
        <v/>
      </c>
      <c r="V7203" s="19">
        <f>IF($B7203="","",TEXT($B7203,"0000"))</f>
        <v/>
      </c>
      <c r="W7203" s="19">
        <f>IF($I7203="","",IF(ISNUMBER($I7203),TEXT($I7203,"0"),$I7203))</f>
        <v/>
      </c>
    </row>
    <row r="7204">
      <c r="B7204" s="25" t="n"/>
      <c r="I7204" s="25" t="n"/>
      <c r="U7204" s="19">
        <f>IF($V7204&lt;&gt;'設定'!$C$4,N(U7203),IF(OR(NOT(COUNTIF('商品マスタ'!$B$6:$B$1005,$W7204)=0),COUNTIFS('①在庫を貼る'!$V$6:$V$10005,$V7204,'①在庫を貼る'!$W$6:$W$10005,$W7204)+COUNTIFS('月1回_1ヶ月前の在庫'!$V$6:$V$10005,$V7204,'月1回_1ヶ月前の在庫'!$W$6:$W$10005,$W7204)&gt;0),N(U7203),N(U7203)+1))</f>
        <v/>
      </c>
      <c r="V7204" s="19">
        <f>IF($B7204="","",TEXT($B7204,"0000"))</f>
        <v/>
      </c>
      <c r="W7204" s="19">
        <f>IF($I7204="","",IF(ISNUMBER($I7204),TEXT($I7204,"0"),$I7204))</f>
        <v/>
      </c>
    </row>
    <row r="7205">
      <c r="B7205" s="25" t="n"/>
      <c r="I7205" s="25" t="n"/>
      <c r="U7205" s="19">
        <f>IF($V7205&lt;&gt;'設定'!$C$4,N(U7204),IF(OR(NOT(COUNTIF('商品マスタ'!$B$6:$B$1005,$W7205)=0),COUNTIFS('①在庫を貼る'!$V$6:$V$10005,$V7205,'①在庫を貼る'!$W$6:$W$10005,$W7205)+COUNTIFS('月1回_1ヶ月前の在庫'!$V$6:$V$10005,$V7205,'月1回_1ヶ月前の在庫'!$W$6:$W$10005,$W7205)&gt;0),N(U7204),N(U7204)+1))</f>
        <v/>
      </c>
      <c r="V7205" s="19">
        <f>IF($B7205="","",TEXT($B7205,"0000"))</f>
        <v/>
      </c>
      <c r="W7205" s="19">
        <f>IF($I7205="","",IF(ISNUMBER($I7205),TEXT($I7205,"0"),$I7205))</f>
        <v/>
      </c>
    </row>
    <row r="7206">
      <c r="B7206" s="25" t="n"/>
      <c r="I7206" s="25" t="n"/>
      <c r="U7206" s="19">
        <f>IF($V7206&lt;&gt;'設定'!$C$4,N(U7205),IF(OR(NOT(COUNTIF('商品マスタ'!$B$6:$B$1005,$W7206)=0),COUNTIFS('①在庫を貼る'!$V$6:$V$10005,$V7206,'①在庫を貼る'!$W$6:$W$10005,$W7206)+COUNTIFS('月1回_1ヶ月前の在庫'!$V$6:$V$10005,$V7206,'月1回_1ヶ月前の在庫'!$W$6:$W$10005,$W7206)&gt;0),N(U7205),N(U7205)+1))</f>
        <v/>
      </c>
      <c r="V7206" s="19">
        <f>IF($B7206="","",TEXT($B7206,"0000"))</f>
        <v/>
      </c>
      <c r="W7206" s="19">
        <f>IF($I7206="","",IF(ISNUMBER($I7206),TEXT($I7206,"0"),$I7206))</f>
        <v/>
      </c>
    </row>
    <row r="7207">
      <c r="B7207" s="25" t="n"/>
      <c r="I7207" s="25" t="n"/>
      <c r="U7207" s="19">
        <f>IF($V7207&lt;&gt;'設定'!$C$4,N(U7206),IF(OR(NOT(COUNTIF('商品マスタ'!$B$6:$B$1005,$W7207)=0),COUNTIFS('①在庫を貼る'!$V$6:$V$10005,$V7207,'①在庫を貼る'!$W$6:$W$10005,$W7207)+COUNTIFS('月1回_1ヶ月前の在庫'!$V$6:$V$10005,$V7207,'月1回_1ヶ月前の在庫'!$W$6:$W$10005,$W7207)&gt;0),N(U7206),N(U7206)+1))</f>
        <v/>
      </c>
      <c r="V7207" s="19">
        <f>IF($B7207="","",TEXT($B7207,"0000"))</f>
        <v/>
      </c>
      <c r="W7207" s="19">
        <f>IF($I7207="","",IF(ISNUMBER($I7207),TEXT($I7207,"0"),$I7207))</f>
        <v/>
      </c>
    </row>
    <row r="7208">
      <c r="B7208" s="25" t="n"/>
      <c r="I7208" s="25" t="n"/>
      <c r="U7208" s="19">
        <f>IF($V7208&lt;&gt;'設定'!$C$4,N(U7207),IF(OR(NOT(COUNTIF('商品マスタ'!$B$6:$B$1005,$W7208)=0),COUNTIFS('①在庫を貼る'!$V$6:$V$10005,$V7208,'①在庫を貼る'!$W$6:$W$10005,$W7208)+COUNTIFS('月1回_1ヶ月前の在庫'!$V$6:$V$10005,$V7208,'月1回_1ヶ月前の在庫'!$W$6:$W$10005,$W7208)&gt;0),N(U7207),N(U7207)+1))</f>
        <v/>
      </c>
      <c r="V7208" s="19">
        <f>IF($B7208="","",TEXT($B7208,"0000"))</f>
        <v/>
      </c>
      <c r="W7208" s="19">
        <f>IF($I7208="","",IF(ISNUMBER($I7208),TEXT($I7208,"0"),$I7208))</f>
        <v/>
      </c>
    </row>
    <row r="7209">
      <c r="B7209" s="25" t="n"/>
      <c r="I7209" s="25" t="n"/>
      <c r="U7209" s="19">
        <f>IF($V7209&lt;&gt;'設定'!$C$4,N(U7208),IF(OR(NOT(COUNTIF('商品マスタ'!$B$6:$B$1005,$W7209)=0),COUNTIFS('①在庫を貼る'!$V$6:$V$10005,$V7209,'①在庫を貼る'!$W$6:$W$10005,$W7209)+COUNTIFS('月1回_1ヶ月前の在庫'!$V$6:$V$10005,$V7209,'月1回_1ヶ月前の在庫'!$W$6:$W$10005,$W7209)&gt;0),N(U7208),N(U7208)+1))</f>
        <v/>
      </c>
      <c r="V7209" s="19">
        <f>IF($B7209="","",TEXT($B7209,"0000"))</f>
        <v/>
      </c>
      <c r="W7209" s="19">
        <f>IF($I7209="","",IF(ISNUMBER($I7209),TEXT($I7209,"0"),$I7209))</f>
        <v/>
      </c>
    </row>
    <row r="7210">
      <c r="B7210" s="25" t="n"/>
      <c r="I7210" s="25" t="n"/>
      <c r="U7210" s="19">
        <f>IF($V7210&lt;&gt;'設定'!$C$4,N(U7209),IF(OR(NOT(COUNTIF('商品マスタ'!$B$6:$B$1005,$W7210)=0),COUNTIFS('①在庫を貼る'!$V$6:$V$10005,$V7210,'①在庫を貼る'!$W$6:$W$10005,$W7210)+COUNTIFS('月1回_1ヶ月前の在庫'!$V$6:$V$10005,$V7210,'月1回_1ヶ月前の在庫'!$W$6:$W$10005,$W7210)&gt;0),N(U7209),N(U7209)+1))</f>
        <v/>
      </c>
      <c r="V7210" s="19">
        <f>IF($B7210="","",TEXT($B7210,"0000"))</f>
        <v/>
      </c>
      <c r="W7210" s="19">
        <f>IF($I7210="","",IF(ISNUMBER($I7210),TEXT($I7210,"0"),$I7210))</f>
        <v/>
      </c>
    </row>
    <row r="7211">
      <c r="B7211" s="25" t="n"/>
      <c r="I7211" s="25" t="n"/>
      <c r="U7211" s="19">
        <f>IF($V7211&lt;&gt;'設定'!$C$4,N(U7210),IF(OR(NOT(COUNTIF('商品マスタ'!$B$6:$B$1005,$W7211)=0),COUNTIFS('①在庫を貼る'!$V$6:$V$10005,$V7211,'①在庫を貼る'!$W$6:$W$10005,$W7211)+COUNTIFS('月1回_1ヶ月前の在庫'!$V$6:$V$10005,$V7211,'月1回_1ヶ月前の在庫'!$W$6:$W$10005,$W7211)&gt;0),N(U7210),N(U7210)+1))</f>
        <v/>
      </c>
      <c r="V7211" s="19">
        <f>IF($B7211="","",TEXT($B7211,"0000"))</f>
        <v/>
      </c>
      <c r="W7211" s="19">
        <f>IF($I7211="","",IF(ISNUMBER($I7211),TEXT($I7211,"0"),$I7211))</f>
        <v/>
      </c>
    </row>
    <row r="7212">
      <c r="B7212" s="25" t="n"/>
      <c r="I7212" s="25" t="n"/>
      <c r="U7212" s="19">
        <f>IF($V7212&lt;&gt;'設定'!$C$4,N(U7211),IF(OR(NOT(COUNTIF('商品マスタ'!$B$6:$B$1005,$W7212)=0),COUNTIFS('①在庫を貼る'!$V$6:$V$10005,$V7212,'①在庫を貼る'!$W$6:$W$10005,$W7212)+COUNTIFS('月1回_1ヶ月前の在庫'!$V$6:$V$10005,$V7212,'月1回_1ヶ月前の在庫'!$W$6:$W$10005,$W7212)&gt;0),N(U7211),N(U7211)+1))</f>
        <v/>
      </c>
      <c r="V7212" s="19">
        <f>IF($B7212="","",TEXT($B7212,"0000"))</f>
        <v/>
      </c>
      <c r="W7212" s="19">
        <f>IF($I7212="","",IF(ISNUMBER($I7212),TEXT($I7212,"0"),$I7212))</f>
        <v/>
      </c>
    </row>
    <row r="7213">
      <c r="B7213" s="25" t="n"/>
      <c r="I7213" s="25" t="n"/>
      <c r="U7213" s="19">
        <f>IF($V7213&lt;&gt;'設定'!$C$4,N(U7212),IF(OR(NOT(COUNTIF('商品マスタ'!$B$6:$B$1005,$W7213)=0),COUNTIFS('①在庫を貼る'!$V$6:$V$10005,$V7213,'①在庫を貼る'!$W$6:$W$10005,$W7213)+COUNTIFS('月1回_1ヶ月前の在庫'!$V$6:$V$10005,$V7213,'月1回_1ヶ月前の在庫'!$W$6:$W$10005,$W7213)&gt;0),N(U7212),N(U7212)+1))</f>
        <v/>
      </c>
      <c r="V7213" s="19">
        <f>IF($B7213="","",TEXT($B7213,"0000"))</f>
        <v/>
      </c>
      <c r="W7213" s="19">
        <f>IF($I7213="","",IF(ISNUMBER($I7213),TEXT($I7213,"0"),$I7213))</f>
        <v/>
      </c>
    </row>
    <row r="7214">
      <c r="B7214" s="25" t="n"/>
      <c r="I7214" s="25" t="n"/>
      <c r="U7214" s="19">
        <f>IF($V7214&lt;&gt;'設定'!$C$4,N(U7213),IF(OR(NOT(COUNTIF('商品マスタ'!$B$6:$B$1005,$W7214)=0),COUNTIFS('①在庫を貼る'!$V$6:$V$10005,$V7214,'①在庫を貼る'!$W$6:$W$10005,$W7214)+COUNTIFS('月1回_1ヶ月前の在庫'!$V$6:$V$10005,$V7214,'月1回_1ヶ月前の在庫'!$W$6:$W$10005,$W7214)&gt;0),N(U7213),N(U7213)+1))</f>
        <v/>
      </c>
      <c r="V7214" s="19">
        <f>IF($B7214="","",TEXT($B7214,"0000"))</f>
        <v/>
      </c>
      <c r="W7214" s="19">
        <f>IF($I7214="","",IF(ISNUMBER($I7214),TEXT($I7214,"0"),$I7214))</f>
        <v/>
      </c>
    </row>
    <row r="7215">
      <c r="B7215" s="25" t="n"/>
      <c r="I7215" s="25" t="n"/>
      <c r="U7215" s="19">
        <f>IF($V7215&lt;&gt;'設定'!$C$4,N(U7214),IF(OR(NOT(COUNTIF('商品マスタ'!$B$6:$B$1005,$W7215)=0),COUNTIFS('①在庫を貼る'!$V$6:$V$10005,$V7215,'①在庫を貼る'!$W$6:$W$10005,$W7215)+COUNTIFS('月1回_1ヶ月前の在庫'!$V$6:$V$10005,$V7215,'月1回_1ヶ月前の在庫'!$W$6:$W$10005,$W7215)&gt;0),N(U7214),N(U7214)+1))</f>
        <v/>
      </c>
      <c r="V7215" s="19">
        <f>IF($B7215="","",TEXT($B7215,"0000"))</f>
        <v/>
      </c>
      <c r="W7215" s="19">
        <f>IF($I7215="","",IF(ISNUMBER($I7215),TEXT($I7215,"0"),$I7215))</f>
        <v/>
      </c>
    </row>
    <row r="7216">
      <c r="B7216" s="25" t="n"/>
      <c r="I7216" s="25" t="n"/>
      <c r="U7216" s="19">
        <f>IF($V7216&lt;&gt;'設定'!$C$4,N(U7215),IF(OR(NOT(COUNTIF('商品マスタ'!$B$6:$B$1005,$W7216)=0),COUNTIFS('①在庫を貼る'!$V$6:$V$10005,$V7216,'①在庫を貼る'!$W$6:$W$10005,$W7216)+COUNTIFS('月1回_1ヶ月前の在庫'!$V$6:$V$10005,$V7216,'月1回_1ヶ月前の在庫'!$W$6:$W$10005,$W7216)&gt;0),N(U7215),N(U7215)+1))</f>
        <v/>
      </c>
      <c r="V7216" s="19">
        <f>IF($B7216="","",TEXT($B7216,"0000"))</f>
        <v/>
      </c>
      <c r="W7216" s="19">
        <f>IF($I7216="","",IF(ISNUMBER($I7216),TEXT($I7216,"0"),$I7216))</f>
        <v/>
      </c>
    </row>
    <row r="7217">
      <c r="B7217" s="25" t="n"/>
      <c r="I7217" s="25" t="n"/>
      <c r="U7217" s="19">
        <f>IF($V7217&lt;&gt;'設定'!$C$4,N(U7216),IF(OR(NOT(COUNTIF('商品マスタ'!$B$6:$B$1005,$W7217)=0),COUNTIFS('①在庫を貼る'!$V$6:$V$10005,$V7217,'①在庫を貼る'!$W$6:$W$10005,$W7217)+COUNTIFS('月1回_1ヶ月前の在庫'!$V$6:$V$10005,$V7217,'月1回_1ヶ月前の在庫'!$W$6:$W$10005,$W7217)&gt;0),N(U7216),N(U7216)+1))</f>
        <v/>
      </c>
      <c r="V7217" s="19">
        <f>IF($B7217="","",TEXT($B7217,"0000"))</f>
        <v/>
      </c>
      <c r="W7217" s="19">
        <f>IF($I7217="","",IF(ISNUMBER($I7217),TEXT($I7217,"0"),$I7217))</f>
        <v/>
      </c>
    </row>
    <row r="7218">
      <c r="B7218" s="25" t="n"/>
      <c r="I7218" s="25" t="n"/>
      <c r="U7218" s="19">
        <f>IF($V7218&lt;&gt;'設定'!$C$4,N(U7217),IF(OR(NOT(COUNTIF('商品マスタ'!$B$6:$B$1005,$W7218)=0),COUNTIFS('①在庫を貼る'!$V$6:$V$10005,$V7218,'①在庫を貼る'!$W$6:$W$10005,$W7218)+COUNTIFS('月1回_1ヶ月前の在庫'!$V$6:$V$10005,$V7218,'月1回_1ヶ月前の在庫'!$W$6:$W$10005,$W7218)&gt;0),N(U7217),N(U7217)+1))</f>
        <v/>
      </c>
      <c r="V7218" s="19">
        <f>IF($B7218="","",TEXT($B7218,"0000"))</f>
        <v/>
      </c>
      <c r="W7218" s="19">
        <f>IF($I7218="","",IF(ISNUMBER($I7218),TEXT($I7218,"0"),$I7218))</f>
        <v/>
      </c>
    </row>
    <row r="7219">
      <c r="B7219" s="25" t="n"/>
      <c r="I7219" s="25" t="n"/>
      <c r="U7219" s="19">
        <f>IF($V7219&lt;&gt;'設定'!$C$4,N(U7218),IF(OR(NOT(COUNTIF('商品マスタ'!$B$6:$B$1005,$W7219)=0),COUNTIFS('①在庫を貼る'!$V$6:$V$10005,$V7219,'①在庫を貼る'!$W$6:$W$10005,$W7219)+COUNTIFS('月1回_1ヶ月前の在庫'!$V$6:$V$10005,$V7219,'月1回_1ヶ月前の在庫'!$W$6:$W$10005,$W7219)&gt;0),N(U7218),N(U7218)+1))</f>
        <v/>
      </c>
      <c r="V7219" s="19">
        <f>IF($B7219="","",TEXT($B7219,"0000"))</f>
        <v/>
      </c>
      <c r="W7219" s="19">
        <f>IF($I7219="","",IF(ISNUMBER($I7219),TEXT($I7219,"0"),$I7219))</f>
        <v/>
      </c>
    </row>
    <row r="7220">
      <c r="B7220" s="25" t="n"/>
      <c r="I7220" s="25" t="n"/>
      <c r="U7220" s="19">
        <f>IF($V7220&lt;&gt;'設定'!$C$4,N(U7219),IF(OR(NOT(COUNTIF('商品マスタ'!$B$6:$B$1005,$W7220)=0),COUNTIFS('①在庫を貼る'!$V$6:$V$10005,$V7220,'①在庫を貼る'!$W$6:$W$10005,$W7220)+COUNTIFS('月1回_1ヶ月前の在庫'!$V$6:$V$10005,$V7220,'月1回_1ヶ月前の在庫'!$W$6:$W$10005,$W7220)&gt;0),N(U7219),N(U7219)+1))</f>
        <v/>
      </c>
      <c r="V7220" s="19">
        <f>IF($B7220="","",TEXT($B7220,"0000"))</f>
        <v/>
      </c>
      <c r="W7220" s="19">
        <f>IF($I7220="","",IF(ISNUMBER($I7220),TEXT($I7220,"0"),$I7220))</f>
        <v/>
      </c>
    </row>
    <row r="7221">
      <c r="B7221" s="25" t="n"/>
      <c r="I7221" s="25" t="n"/>
      <c r="U7221" s="19">
        <f>IF($V7221&lt;&gt;'設定'!$C$4,N(U7220),IF(OR(NOT(COUNTIF('商品マスタ'!$B$6:$B$1005,$W7221)=0),COUNTIFS('①在庫を貼る'!$V$6:$V$10005,$V7221,'①在庫を貼る'!$W$6:$W$10005,$W7221)+COUNTIFS('月1回_1ヶ月前の在庫'!$V$6:$V$10005,$V7221,'月1回_1ヶ月前の在庫'!$W$6:$W$10005,$W7221)&gt;0),N(U7220),N(U7220)+1))</f>
        <v/>
      </c>
      <c r="V7221" s="19">
        <f>IF($B7221="","",TEXT($B7221,"0000"))</f>
        <v/>
      </c>
      <c r="W7221" s="19">
        <f>IF($I7221="","",IF(ISNUMBER($I7221),TEXT($I7221,"0"),$I7221))</f>
        <v/>
      </c>
    </row>
    <row r="7222">
      <c r="B7222" s="25" t="n"/>
      <c r="I7222" s="25" t="n"/>
      <c r="U7222" s="19">
        <f>IF($V7222&lt;&gt;'設定'!$C$4,N(U7221),IF(OR(NOT(COUNTIF('商品マスタ'!$B$6:$B$1005,$W7222)=0),COUNTIFS('①在庫を貼る'!$V$6:$V$10005,$V7222,'①在庫を貼る'!$W$6:$W$10005,$W7222)+COUNTIFS('月1回_1ヶ月前の在庫'!$V$6:$V$10005,$V7222,'月1回_1ヶ月前の在庫'!$W$6:$W$10005,$W7222)&gt;0),N(U7221),N(U7221)+1))</f>
        <v/>
      </c>
      <c r="V7222" s="19">
        <f>IF($B7222="","",TEXT($B7222,"0000"))</f>
        <v/>
      </c>
      <c r="W7222" s="19">
        <f>IF($I7222="","",IF(ISNUMBER($I7222),TEXT($I7222,"0"),$I7222))</f>
        <v/>
      </c>
    </row>
    <row r="7223">
      <c r="B7223" s="25" t="n"/>
      <c r="I7223" s="25" t="n"/>
      <c r="U7223" s="19">
        <f>IF($V7223&lt;&gt;'設定'!$C$4,N(U7222),IF(OR(NOT(COUNTIF('商品マスタ'!$B$6:$B$1005,$W7223)=0),COUNTIFS('①在庫を貼る'!$V$6:$V$10005,$V7223,'①在庫を貼る'!$W$6:$W$10005,$W7223)+COUNTIFS('月1回_1ヶ月前の在庫'!$V$6:$V$10005,$V7223,'月1回_1ヶ月前の在庫'!$W$6:$W$10005,$W7223)&gt;0),N(U7222),N(U7222)+1))</f>
        <v/>
      </c>
      <c r="V7223" s="19">
        <f>IF($B7223="","",TEXT($B7223,"0000"))</f>
        <v/>
      </c>
      <c r="W7223" s="19">
        <f>IF($I7223="","",IF(ISNUMBER($I7223),TEXT($I7223,"0"),$I7223))</f>
        <v/>
      </c>
    </row>
    <row r="7224">
      <c r="B7224" s="25" t="n"/>
      <c r="I7224" s="25" t="n"/>
      <c r="U7224" s="19">
        <f>IF($V7224&lt;&gt;'設定'!$C$4,N(U7223),IF(OR(NOT(COUNTIF('商品マスタ'!$B$6:$B$1005,$W7224)=0),COUNTIFS('①在庫を貼る'!$V$6:$V$10005,$V7224,'①在庫を貼る'!$W$6:$W$10005,$W7224)+COUNTIFS('月1回_1ヶ月前の在庫'!$V$6:$V$10005,$V7224,'月1回_1ヶ月前の在庫'!$W$6:$W$10005,$W7224)&gt;0),N(U7223),N(U7223)+1))</f>
        <v/>
      </c>
      <c r="V7224" s="19">
        <f>IF($B7224="","",TEXT($B7224,"0000"))</f>
        <v/>
      </c>
      <c r="W7224" s="19">
        <f>IF($I7224="","",IF(ISNUMBER($I7224),TEXT($I7224,"0"),$I7224))</f>
        <v/>
      </c>
    </row>
    <row r="7225">
      <c r="B7225" s="25" t="n"/>
      <c r="I7225" s="25" t="n"/>
      <c r="U7225" s="19">
        <f>IF($V7225&lt;&gt;'設定'!$C$4,N(U7224),IF(OR(NOT(COUNTIF('商品マスタ'!$B$6:$B$1005,$W7225)=0),COUNTIFS('①在庫を貼る'!$V$6:$V$10005,$V7225,'①在庫を貼る'!$W$6:$W$10005,$W7225)+COUNTIFS('月1回_1ヶ月前の在庫'!$V$6:$V$10005,$V7225,'月1回_1ヶ月前の在庫'!$W$6:$W$10005,$W7225)&gt;0),N(U7224),N(U7224)+1))</f>
        <v/>
      </c>
      <c r="V7225" s="19">
        <f>IF($B7225="","",TEXT($B7225,"0000"))</f>
        <v/>
      </c>
      <c r="W7225" s="19">
        <f>IF($I7225="","",IF(ISNUMBER($I7225),TEXT($I7225,"0"),$I7225))</f>
        <v/>
      </c>
    </row>
    <row r="7226">
      <c r="B7226" s="25" t="n"/>
      <c r="I7226" s="25" t="n"/>
      <c r="U7226" s="19">
        <f>IF($V7226&lt;&gt;'設定'!$C$4,N(U7225),IF(OR(NOT(COUNTIF('商品マスタ'!$B$6:$B$1005,$W7226)=0),COUNTIFS('①在庫を貼る'!$V$6:$V$10005,$V7226,'①在庫を貼る'!$W$6:$W$10005,$W7226)+COUNTIFS('月1回_1ヶ月前の在庫'!$V$6:$V$10005,$V7226,'月1回_1ヶ月前の在庫'!$W$6:$W$10005,$W7226)&gt;0),N(U7225),N(U7225)+1))</f>
        <v/>
      </c>
      <c r="V7226" s="19">
        <f>IF($B7226="","",TEXT($B7226,"0000"))</f>
        <v/>
      </c>
      <c r="W7226" s="19">
        <f>IF($I7226="","",IF(ISNUMBER($I7226),TEXT($I7226,"0"),$I7226))</f>
        <v/>
      </c>
    </row>
    <row r="7227">
      <c r="B7227" s="25" t="n"/>
      <c r="I7227" s="25" t="n"/>
      <c r="U7227" s="19">
        <f>IF($V7227&lt;&gt;'設定'!$C$4,N(U7226),IF(OR(NOT(COUNTIF('商品マスタ'!$B$6:$B$1005,$W7227)=0),COUNTIFS('①在庫を貼る'!$V$6:$V$10005,$V7227,'①在庫を貼る'!$W$6:$W$10005,$W7227)+COUNTIFS('月1回_1ヶ月前の在庫'!$V$6:$V$10005,$V7227,'月1回_1ヶ月前の在庫'!$W$6:$W$10005,$W7227)&gt;0),N(U7226),N(U7226)+1))</f>
        <v/>
      </c>
      <c r="V7227" s="19">
        <f>IF($B7227="","",TEXT($B7227,"0000"))</f>
        <v/>
      </c>
      <c r="W7227" s="19">
        <f>IF($I7227="","",IF(ISNUMBER($I7227),TEXT($I7227,"0"),$I7227))</f>
        <v/>
      </c>
    </row>
    <row r="7228">
      <c r="B7228" s="25" t="n"/>
      <c r="I7228" s="25" t="n"/>
      <c r="U7228" s="19">
        <f>IF($V7228&lt;&gt;'設定'!$C$4,N(U7227),IF(OR(NOT(COUNTIF('商品マスタ'!$B$6:$B$1005,$W7228)=0),COUNTIFS('①在庫を貼る'!$V$6:$V$10005,$V7228,'①在庫を貼る'!$W$6:$W$10005,$W7228)+COUNTIFS('月1回_1ヶ月前の在庫'!$V$6:$V$10005,$V7228,'月1回_1ヶ月前の在庫'!$W$6:$W$10005,$W7228)&gt;0),N(U7227),N(U7227)+1))</f>
        <v/>
      </c>
      <c r="V7228" s="19">
        <f>IF($B7228="","",TEXT($B7228,"0000"))</f>
        <v/>
      </c>
      <c r="W7228" s="19">
        <f>IF($I7228="","",IF(ISNUMBER($I7228),TEXT($I7228,"0"),$I7228))</f>
        <v/>
      </c>
    </row>
    <row r="7229">
      <c r="B7229" s="25" t="n"/>
      <c r="I7229" s="25" t="n"/>
      <c r="U7229" s="19">
        <f>IF($V7229&lt;&gt;'設定'!$C$4,N(U7228),IF(OR(NOT(COUNTIF('商品マスタ'!$B$6:$B$1005,$W7229)=0),COUNTIFS('①在庫を貼る'!$V$6:$V$10005,$V7229,'①在庫を貼る'!$W$6:$W$10005,$W7229)+COUNTIFS('月1回_1ヶ月前の在庫'!$V$6:$V$10005,$V7229,'月1回_1ヶ月前の在庫'!$W$6:$W$10005,$W7229)&gt;0),N(U7228),N(U7228)+1))</f>
        <v/>
      </c>
      <c r="V7229" s="19">
        <f>IF($B7229="","",TEXT($B7229,"0000"))</f>
        <v/>
      </c>
      <c r="W7229" s="19">
        <f>IF($I7229="","",IF(ISNUMBER($I7229),TEXT($I7229,"0"),$I7229))</f>
        <v/>
      </c>
    </row>
    <row r="7230">
      <c r="B7230" s="25" t="n"/>
      <c r="I7230" s="25" t="n"/>
      <c r="U7230" s="19">
        <f>IF($V7230&lt;&gt;'設定'!$C$4,N(U7229),IF(OR(NOT(COUNTIF('商品マスタ'!$B$6:$B$1005,$W7230)=0),COUNTIFS('①在庫を貼る'!$V$6:$V$10005,$V7230,'①在庫を貼る'!$W$6:$W$10005,$W7230)+COUNTIFS('月1回_1ヶ月前の在庫'!$V$6:$V$10005,$V7230,'月1回_1ヶ月前の在庫'!$W$6:$W$10005,$W7230)&gt;0),N(U7229),N(U7229)+1))</f>
        <v/>
      </c>
      <c r="V7230" s="19">
        <f>IF($B7230="","",TEXT($B7230,"0000"))</f>
        <v/>
      </c>
      <c r="W7230" s="19">
        <f>IF($I7230="","",IF(ISNUMBER($I7230),TEXT($I7230,"0"),$I7230))</f>
        <v/>
      </c>
    </row>
    <row r="7231">
      <c r="B7231" s="25" t="n"/>
      <c r="I7231" s="25" t="n"/>
      <c r="U7231" s="19">
        <f>IF($V7231&lt;&gt;'設定'!$C$4,N(U7230),IF(OR(NOT(COUNTIF('商品マスタ'!$B$6:$B$1005,$W7231)=0),COUNTIFS('①在庫を貼る'!$V$6:$V$10005,$V7231,'①在庫を貼る'!$W$6:$W$10005,$W7231)+COUNTIFS('月1回_1ヶ月前の在庫'!$V$6:$V$10005,$V7231,'月1回_1ヶ月前の在庫'!$W$6:$W$10005,$W7231)&gt;0),N(U7230),N(U7230)+1))</f>
        <v/>
      </c>
      <c r="V7231" s="19">
        <f>IF($B7231="","",TEXT($B7231,"0000"))</f>
        <v/>
      </c>
      <c r="W7231" s="19">
        <f>IF($I7231="","",IF(ISNUMBER($I7231),TEXT($I7231,"0"),$I7231))</f>
        <v/>
      </c>
    </row>
    <row r="7232">
      <c r="B7232" s="25" t="n"/>
      <c r="I7232" s="25" t="n"/>
      <c r="U7232" s="19">
        <f>IF($V7232&lt;&gt;'設定'!$C$4,N(U7231),IF(OR(NOT(COUNTIF('商品マスタ'!$B$6:$B$1005,$W7232)=0),COUNTIFS('①在庫を貼る'!$V$6:$V$10005,$V7232,'①在庫を貼る'!$W$6:$W$10005,$W7232)+COUNTIFS('月1回_1ヶ月前の在庫'!$V$6:$V$10005,$V7232,'月1回_1ヶ月前の在庫'!$W$6:$W$10005,$W7232)&gt;0),N(U7231),N(U7231)+1))</f>
        <v/>
      </c>
      <c r="V7232" s="19">
        <f>IF($B7232="","",TEXT($B7232,"0000"))</f>
        <v/>
      </c>
      <c r="W7232" s="19">
        <f>IF($I7232="","",IF(ISNUMBER($I7232),TEXT($I7232,"0"),$I7232))</f>
        <v/>
      </c>
    </row>
    <row r="7233">
      <c r="B7233" s="25" t="n"/>
      <c r="I7233" s="25" t="n"/>
      <c r="U7233" s="19">
        <f>IF($V7233&lt;&gt;'設定'!$C$4,N(U7232),IF(OR(NOT(COUNTIF('商品マスタ'!$B$6:$B$1005,$W7233)=0),COUNTIFS('①在庫を貼る'!$V$6:$V$10005,$V7233,'①在庫を貼る'!$W$6:$W$10005,$W7233)+COUNTIFS('月1回_1ヶ月前の在庫'!$V$6:$V$10005,$V7233,'月1回_1ヶ月前の在庫'!$W$6:$W$10005,$W7233)&gt;0),N(U7232),N(U7232)+1))</f>
        <v/>
      </c>
      <c r="V7233" s="19">
        <f>IF($B7233="","",TEXT($B7233,"0000"))</f>
        <v/>
      </c>
      <c r="W7233" s="19">
        <f>IF($I7233="","",IF(ISNUMBER($I7233),TEXT($I7233,"0"),$I7233))</f>
        <v/>
      </c>
    </row>
    <row r="7234">
      <c r="B7234" s="25" t="n"/>
      <c r="I7234" s="25" t="n"/>
      <c r="U7234" s="19">
        <f>IF($V7234&lt;&gt;'設定'!$C$4,N(U7233),IF(OR(NOT(COUNTIF('商品マスタ'!$B$6:$B$1005,$W7234)=0),COUNTIFS('①在庫を貼る'!$V$6:$V$10005,$V7234,'①在庫を貼る'!$W$6:$W$10005,$W7234)+COUNTIFS('月1回_1ヶ月前の在庫'!$V$6:$V$10005,$V7234,'月1回_1ヶ月前の在庫'!$W$6:$W$10005,$W7234)&gt;0),N(U7233),N(U7233)+1))</f>
        <v/>
      </c>
      <c r="V7234" s="19">
        <f>IF($B7234="","",TEXT($B7234,"0000"))</f>
        <v/>
      </c>
      <c r="W7234" s="19">
        <f>IF($I7234="","",IF(ISNUMBER($I7234),TEXT($I7234,"0"),$I7234))</f>
        <v/>
      </c>
    </row>
    <row r="7235">
      <c r="B7235" s="25" t="n"/>
      <c r="I7235" s="25" t="n"/>
      <c r="U7235" s="19">
        <f>IF($V7235&lt;&gt;'設定'!$C$4,N(U7234),IF(OR(NOT(COUNTIF('商品マスタ'!$B$6:$B$1005,$W7235)=0),COUNTIFS('①在庫を貼る'!$V$6:$V$10005,$V7235,'①在庫を貼る'!$W$6:$W$10005,$W7235)+COUNTIFS('月1回_1ヶ月前の在庫'!$V$6:$V$10005,$V7235,'月1回_1ヶ月前の在庫'!$W$6:$W$10005,$W7235)&gt;0),N(U7234),N(U7234)+1))</f>
        <v/>
      </c>
      <c r="V7235" s="19">
        <f>IF($B7235="","",TEXT($B7235,"0000"))</f>
        <v/>
      </c>
      <c r="W7235" s="19">
        <f>IF($I7235="","",IF(ISNUMBER($I7235),TEXT($I7235,"0"),$I7235))</f>
        <v/>
      </c>
    </row>
    <row r="7236">
      <c r="B7236" s="25" t="n"/>
      <c r="I7236" s="25" t="n"/>
      <c r="U7236" s="19">
        <f>IF($V7236&lt;&gt;'設定'!$C$4,N(U7235),IF(OR(NOT(COUNTIF('商品マスタ'!$B$6:$B$1005,$W7236)=0),COUNTIFS('①在庫を貼る'!$V$6:$V$10005,$V7236,'①在庫を貼る'!$W$6:$W$10005,$W7236)+COUNTIFS('月1回_1ヶ月前の在庫'!$V$6:$V$10005,$V7236,'月1回_1ヶ月前の在庫'!$W$6:$W$10005,$W7236)&gt;0),N(U7235),N(U7235)+1))</f>
        <v/>
      </c>
      <c r="V7236" s="19">
        <f>IF($B7236="","",TEXT($B7236,"0000"))</f>
        <v/>
      </c>
      <c r="W7236" s="19">
        <f>IF($I7236="","",IF(ISNUMBER($I7236),TEXT($I7236,"0"),$I7236))</f>
        <v/>
      </c>
    </row>
    <row r="7237">
      <c r="B7237" s="25" t="n"/>
      <c r="I7237" s="25" t="n"/>
      <c r="U7237" s="19">
        <f>IF($V7237&lt;&gt;'設定'!$C$4,N(U7236),IF(OR(NOT(COUNTIF('商品マスタ'!$B$6:$B$1005,$W7237)=0),COUNTIFS('①在庫を貼る'!$V$6:$V$10005,$V7237,'①在庫を貼る'!$W$6:$W$10005,$W7237)+COUNTIFS('月1回_1ヶ月前の在庫'!$V$6:$V$10005,$V7237,'月1回_1ヶ月前の在庫'!$W$6:$W$10005,$W7237)&gt;0),N(U7236),N(U7236)+1))</f>
        <v/>
      </c>
      <c r="V7237" s="19">
        <f>IF($B7237="","",TEXT($B7237,"0000"))</f>
        <v/>
      </c>
      <c r="W7237" s="19">
        <f>IF($I7237="","",IF(ISNUMBER($I7237),TEXT($I7237,"0"),$I7237))</f>
        <v/>
      </c>
    </row>
    <row r="7238">
      <c r="B7238" s="25" t="n"/>
      <c r="I7238" s="25" t="n"/>
      <c r="U7238" s="19">
        <f>IF($V7238&lt;&gt;'設定'!$C$4,N(U7237),IF(OR(NOT(COUNTIF('商品マスタ'!$B$6:$B$1005,$W7238)=0),COUNTIFS('①在庫を貼る'!$V$6:$V$10005,$V7238,'①在庫を貼る'!$W$6:$W$10005,$W7238)+COUNTIFS('月1回_1ヶ月前の在庫'!$V$6:$V$10005,$V7238,'月1回_1ヶ月前の在庫'!$W$6:$W$10005,$W7238)&gt;0),N(U7237),N(U7237)+1))</f>
        <v/>
      </c>
      <c r="V7238" s="19">
        <f>IF($B7238="","",TEXT($B7238,"0000"))</f>
        <v/>
      </c>
      <c r="W7238" s="19">
        <f>IF($I7238="","",IF(ISNUMBER($I7238),TEXT($I7238,"0"),$I7238))</f>
        <v/>
      </c>
    </row>
    <row r="7239">
      <c r="B7239" s="25" t="n"/>
      <c r="I7239" s="25" t="n"/>
      <c r="U7239" s="19">
        <f>IF($V7239&lt;&gt;'設定'!$C$4,N(U7238),IF(OR(NOT(COUNTIF('商品マスタ'!$B$6:$B$1005,$W7239)=0),COUNTIFS('①在庫を貼る'!$V$6:$V$10005,$V7239,'①在庫を貼る'!$W$6:$W$10005,$W7239)+COUNTIFS('月1回_1ヶ月前の在庫'!$V$6:$V$10005,$V7239,'月1回_1ヶ月前の在庫'!$W$6:$W$10005,$W7239)&gt;0),N(U7238),N(U7238)+1))</f>
        <v/>
      </c>
      <c r="V7239" s="19">
        <f>IF($B7239="","",TEXT($B7239,"0000"))</f>
        <v/>
      </c>
      <c r="W7239" s="19">
        <f>IF($I7239="","",IF(ISNUMBER($I7239),TEXT($I7239,"0"),$I7239))</f>
        <v/>
      </c>
    </row>
    <row r="7240">
      <c r="B7240" s="25" t="n"/>
      <c r="I7240" s="25" t="n"/>
      <c r="U7240" s="19">
        <f>IF($V7240&lt;&gt;'設定'!$C$4,N(U7239),IF(OR(NOT(COUNTIF('商品マスタ'!$B$6:$B$1005,$W7240)=0),COUNTIFS('①在庫を貼る'!$V$6:$V$10005,$V7240,'①在庫を貼る'!$W$6:$W$10005,$W7240)+COUNTIFS('月1回_1ヶ月前の在庫'!$V$6:$V$10005,$V7240,'月1回_1ヶ月前の在庫'!$W$6:$W$10005,$W7240)&gt;0),N(U7239),N(U7239)+1))</f>
        <v/>
      </c>
      <c r="V7240" s="19">
        <f>IF($B7240="","",TEXT($B7240,"0000"))</f>
        <v/>
      </c>
      <c r="W7240" s="19">
        <f>IF($I7240="","",IF(ISNUMBER($I7240),TEXT($I7240,"0"),$I7240))</f>
        <v/>
      </c>
    </row>
    <row r="7241">
      <c r="B7241" s="25" t="n"/>
      <c r="I7241" s="25" t="n"/>
      <c r="U7241" s="19">
        <f>IF($V7241&lt;&gt;'設定'!$C$4,N(U7240),IF(OR(NOT(COUNTIF('商品マスタ'!$B$6:$B$1005,$W7241)=0),COUNTIFS('①在庫を貼る'!$V$6:$V$10005,$V7241,'①在庫を貼る'!$W$6:$W$10005,$W7241)+COUNTIFS('月1回_1ヶ月前の在庫'!$V$6:$V$10005,$V7241,'月1回_1ヶ月前の在庫'!$W$6:$W$10005,$W7241)&gt;0),N(U7240),N(U7240)+1))</f>
        <v/>
      </c>
      <c r="V7241" s="19">
        <f>IF($B7241="","",TEXT($B7241,"0000"))</f>
        <v/>
      </c>
      <c r="W7241" s="19">
        <f>IF($I7241="","",IF(ISNUMBER($I7241),TEXT($I7241,"0"),$I7241))</f>
        <v/>
      </c>
    </row>
    <row r="7242">
      <c r="B7242" s="25" t="n"/>
      <c r="I7242" s="25" t="n"/>
      <c r="U7242" s="19">
        <f>IF($V7242&lt;&gt;'設定'!$C$4,N(U7241),IF(OR(NOT(COUNTIF('商品マスタ'!$B$6:$B$1005,$W7242)=0),COUNTIFS('①在庫を貼る'!$V$6:$V$10005,$V7242,'①在庫を貼る'!$W$6:$W$10005,$W7242)+COUNTIFS('月1回_1ヶ月前の在庫'!$V$6:$V$10005,$V7242,'月1回_1ヶ月前の在庫'!$W$6:$W$10005,$W7242)&gt;0),N(U7241),N(U7241)+1))</f>
        <v/>
      </c>
      <c r="V7242" s="19">
        <f>IF($B7242="","",TEXT($B7242,"0000"))</f>
        <v/>
      </c>
      <c r="W7242" s="19">
        <f>IF($I7242="","",IF(ISNUMBER($I7242),TEXT($I7242,"0"),$I7242))</f>
        <v/>
      </c>
    </row>
    <row r="7243">
      <c r="B7243" s="25" t="n"/>
      <c r="I7243" s="25" t="n"/>
      <c r="U7243" s="19">
        <f>IF($V7243&lt;&gt;'設定'!$C$4,N(U7242),IF(OR(NOT(COUNTIF('商品マスタ'!$B$6:$B$1005,$W7243)=0),COUNTIFS('①在庫を貼る'!$V$6:$V$10005,$V7243,'①在庫を貼る'!$W$6:$W$10005,$W7243)+COUNTIFS('月1回_1ヶ月前の在庫'!$V$6:$V$10005,$V7243,'月1回_1ヶ月前の在庫'!$W$6:$W$10005,$W7243)&gt;0),N(U7242),N(U7242)+1))</f>
        <v/>
      </c>
      <c r="V7243" s="19">
        <f>IF($B7243="","",TEXT($B7243,"0000"))</f>
        <v/>
      </c>
      <c r="W7243" s="19">
        <f>IF($I7243="","",IF(ISNUMBER($I7243),TEXT($I7243,"0"),$I7243))</f>
        <v/>
      </c>
    </row>
    <row r="7244">
      <c r="B7244" s="25" t="n"/>
      <c r="I7244" s="25" t="n"/>
      <c r="U7244" s="19">
        <f>IF($V7244&lt;&gt;'設定'!$C$4,N(U7243),IF(OR(NOT(COUNTIF('商品マスタ'!$B$6:$B$1005,$W7244)=0),COUNTIFS('①在庫を貼る'!$V$6:$V$10005,$V7244,'①在庫を貼る'!$W$6:$W$10005,$W7244)+COUNTIFS('月1回_1ヶ月前の在庫'!$V$6:$V$10005,$V7244,'月1回_1ヶ月前の在庫'!$W$6:$W$10005,$W7244)&gt;0),N(U7243),N(U7243)+1))</f>
        <v/>
      </c>
      <c r="V7244" s="19">
        <f>IF($B7244="","",TEXT($B7244,"0000"))</f>
        <v/>
      </c>
      <c r="W7244" s="19">
        <f>IF($I7244="","",IF(ISNUMBER($I7244),TEXT($I7244,"0"),$I7244))</f>
        <v/>
      </c>
    </row>
    <row r="7245">
      <c r="B7245" s="25" t="n"/>
      <c r="I7245" s="25" t="n"/>
      <c r="U7245" s="19">
        <f>IF($V7245&lt;&gt;'設定'!$C$4,N(U7244),IF(OR(NOT(COUNTIF('商品マスタ'!$B$6:$B$1005,$W7245)=0),COUNTIFS('①在庫を貼る'!$V$6:$V$10005,$V7245,'①在庫を貼る'!$W$6:$W$10005,$W7245)+COUNTIFS('月1回_1ヶ月前の在庫'!$V$6:$V$10005,$V7245,'月1回_1ヶ月前の在庫'!$W$6:$W$10005,$W7245)&gt;0),N(U7244),N(U7244)+1))</f>
        <v/>
      </c>
      <c r="V7245" s="19">
        <f>IF($B7245="","",TEXT($B7245,"0000"))</f>
        <v/>
      </c>
      <c r="W7245" s="19">
        <f>IF($I7245="","",IF(ISNUMBER($I7245),TEXT($I7245,"0"),$I7245))</f>
        <v/>
      </c>
    </row>
    <row r="7246">
      <c r="B7246" s="25" t="n"/>
      <c r="I7246" s="25" t="n"/>
      <c r="U7246" s="19">
        <f>IF($V7246&lt;&gt;'設定'!$C$4,N(U7245),IF(OR(NOT(COUNTIF('商品マスタ'!$B$6:$B$1005,$W7246)=0),COUNTIFS('①在庫を貼る'!$V$6:$V$10005,$V7246,'①在庫を貼る'!$W$6:$W$10005,$W7246)+COUNTIFS('月1回_1ヶ月前の在庫'!$V$6:$V$10005,$V7246,'月1回_1ヶ月前の在庫'!$W$6:$W$10005,$W7246)&gt;0),N(U7245),N(U7245)+1))</f>
        <v/>
      </c>
      <c r="V7246" s="19">
        <f>IF($B7246="","",TEXT($B7246,"0000"))</f>
        <v/>
      </c>
      <c r="W7246" s="19">
        <f>IF($I7246="","",IF(ISNUMBER($I7246),TEXT($I7246,"0"),$I7246))</f>
        <v/>
      </c>
    </row>
    <row r="7247">
      <c r="B7247" s="25" t="n"/>
      <c r="I7247" s="25" t="n"/>
      <c r="U7247" s="19">
        <f>IF($V7247&lt;&gt;'設定'!$C$4,N(U7246),IF(OR(NOT(COUNTIF('商品マスタ'!$B$6:$B$1005,$W7247)=0),COUNTIFS('①在庫を貼る'!$V$6:$V$10005,$V7247,'①在庫を貼る'!$W$6:$W$10005,$W7247)+COUNTIFS('月1回_1ヶ月前の在庫'!$V$6:$V$10005,$V7247,'月1回_1ヶ月前の在庫'!$W$6:$W$10005,$W7247)&gt;0),N(U7246),N(U7246)+1))</f>
        <v/>
      </c>
      <c r="V7247" s="19">
        <f>IF($B7247="","",TEXT($B7247,"0000"))</f>
        <v/>
      </c>
      <c r="W7247" s="19">
        <f>IF($I7247="","",IF(ISNUMBER($I7247),TEXT($I7247,"0"),$I7247))</f>
        <v/>
      </c>
    </row>
    <row r="7248">
      <c r="B7248" s="25" t="n"/>
      <c r="I7248" s="25" t="n"/>
      <c r="U7248" s="19">
        <f>IF($V7248&lt;&gt;'設定'!$C$4,N(U7247),IF(OR(NOT(COUNTIF('商品マスタ'!$B$6:$B$1005,$W7248)=0),COUNTIFS('①在庫を貼る'!$V$6:$V$10005,$V7248,'①在庫を貼る'!$W$6:$W$10005,$W7248)+COUNTIFS('月1回_1ヶ月前の在庫'!$V$6:$V$10005,$V7248,'月1回_1ヶ月前の在庫'!$W$6:$W$10005,$W7248)&gt;0),N(U7247),N(U7247)+1))</f>
        <v/>
      </c>
      <c r="V7248" s="19">
        <f>IF($B7248="","",TEXT($B7248,"0000"))</f>
        <v/>
      </c>
      <c r="W7248" s="19">
        <f>IF($I7248="","",IF(ISNUMBER($I7248),TEXT($I7248,"0"),$I7248))</f>
        <v/>
      </c>
    </row>
    <row r="7249">
      <c r="B7249" s="25" t="n"/>
      <c r="I7249" s="25" t="n"/>
      <c r="U7249" s="19">
        <f>IF($V7249&lt;&gt;'設定'!$C$4,N(U7248),IF(OR(NOT(COUNTIF('商品マスタ'!$B$6:$B$1005,$W7249)=0),COUNTIFS('①在庫を貼る'!$V$6:$V$10005,$V7249,'①在庫を貼る'!$W$6:$W$10005,$W7249)+COUNTIFS('月1回_1ヶ月前の在庫'!$V$6:$V$10005,$V7249,'月1回_1ヶ月前の在庫'!$W$6:$W$10005,$W7249)&gt;0),N(U7248),N(U7248)+1))</f>
        <v/>
      </c>
      <c r="V7249" s="19">
        <f>IF($B7249="","",TEXT($B7249,"0000"))</f>
        <v/>
      </c>
      <c r="W7249" s="19">
        <f>IF($I7249="","",IF(ISNUMBER($I7249),TEXT($I7249,"0"),$I7249))</f>
        <v/>
      </c>
    </row>
    <row r="7250">
      <c r="B7250" s="25" t="n"/>
      <c r="I7250" s="25" t="n"/>
      <c r="U7250" s="19">
        <f>IF($V7250&lt;&gt;'設定'!$C$4,N(U7249),IF(OR(NOT(COUNTIF('商品マスタ'!$B$6:$B$1005,$W7250)=0),COUNTIFS('①在庫を貼る'!$V$6:$V$10005,$V7250,'①在庫を貼る'!$W$6:$W$10005,$W7250)+COUNTIFS('月1回_1ヶ月前の在庫'!$V$6:$V$10005,$V7250,'月1回_1ヶ月前の在庫'!$W$6:$W$10005,$W7250)&gt;0),N(U7249),N(U7249)+1))</f>
        <v/>
      </c>
      <c r="V7250" s="19">
        <f>IF($B7250="","",TEXT($B7250,"0000"))</f>
        <v/>
      </c>
      <c r="W7250" s="19">
        <f>IF($I7250="","",IF(ISNUMBER($I7250),TEXT($I7250,"0"),$I7250))</f>
        <v/>
      </c>
    </row>
    <row r="7251">
      <c r="B7251" s="25" t="n"/>
      <c r="I7251" s="25" t="n"/>
      <c r="U7251" s="19">
        <f>IF($V7251&lt;&gt;'設定'!$C$4,N(U7250),IF(OR(NOT(COUNTIF('商品マスタ'!$B$6:$B$1005,$W7251)=0),COUNTIFS('①在庫を貼る'!$V$6:$V$10005,$V7251,'①在庫を貼る'!$W$6:$W$10005,$W7251)+COUNTIFS('月1回_1ヶ月前の在庫'!$V$6:$V$10005,$V7251,'月1回_1ヶ月前の在庫'!$W$6:$W$10005,$W7251)&gt;0),N(U7250),N(U7250)+1))</f>
        <v/>
      </c>
      <c r="V7251" s="19">
        <f>IF($B7251="","",TEXT($B7251,"0000"))</f>
        <v/>
      </c>
      <c r="W7251" s="19">
        <f>IF($I7251="","",IF(ISNUMBER($I7251),TEXT($I7251,"0"),$I7251))</f>
        <v/>
      </c>
    </row>
    <row r="7252">
      <c r="B7252" s="25" t="n"/>
      <c r="I7252" s="25" t="n"/>
      <c r="U7252" s="19">
        <f>IF($V7252&lt;&gt;'設定'!$C$4,N(U7251),IF(OR(NOT(COUNTIF('商品マスタ'!$B$6:$B$1005,$W7252)=0),COUNTIFS('①在庫を貼る'!$V$6:$V$10005,$V7252,'①在庫を貼る'!$W$6:$W$10005,$W7252)+COUNTIFS('月1回_1ヶ月前の在庫'!$V$6:$V$10005,$V7252,'月1回_1ヶ月前の在庫'!$W$6:$W$10005,$W7252)&gt;0),N(U7251),N(U7251)+1))</f>
        <v/>
      </c>
      <c r="V7252" s="19">
        <f>IF($B7252="","",TEXT($B7252,"0000"))</f>
        <v/>
      </c>
      <c r="W7252" s="19">
        <f>IF($I7252="","",IF(ISNUMBER($I7252),TEXT($I7252,"0"),$I7252))</f>
        <v/>
      </c>
    </row>
    <row r="7253">
      <c r="B7253" s="25" t="n"/>
      <c r="I7253" s="25" t="n"/>
      <c r="U7253" s="19">
        <f>IF($V7253&lt;&gt;'設定'!$C$4,N(U7252),IF(OR(NOT(COUNTIF('商品マスタ'!$B$6:$B$1005,$W7253)=0),COUNTIFS('①在庫を貼る'!$V$6:$V$10005,$V7253,'①在庫を貼る'!$W$6:$W$10005,$W7253)+COUNTIFS('月1回_1ヶ月前の在庫'!$V$6:$V$10005,$V7253,'月1回_1ヶ月前の在庫'!$W$6:$W$10005,$W7253)&gt;0),N(U7252),N(U7252)+1))</f>
        <v/>
      </c>
      <c r="V7253" s="19">
        <f>IF($B7253="","",TEXT($B7253,"0000"))</f>
        <v/>
      </c>
      <c r="W7253" s="19">
        <f>IF($I7253="","",IF(ISNUMBER($I7253),TEXT($I7253,"0"),$I7253))</f>
        <v/>
      </c>
    </row>
    <row r="7254">
      <c r="B7254" s="25" t="n"/>
      <c r="I7254" s="25" t="n"/>
      <c r="U7254" s="19">
        <f>IF($V7254&lt;&gt;'設定'!$C$4,N(U7253),IF(OR(NOT(COUNTIF('商品マスタ'!$B$6:$B$1005,$W7254)=0),COUNTIFS('①在庫を貼る'!$V$6:$V$10005,$V7254,'①在庫を貼る'!$W$6:$W$10005,$W7254)+COUNTIFS('月1回_1ヶ月前の在庫'!$V$6:$V$10005,$V7254,'月1回_1ヶ月前の在庫'!$W$6:$W$10005,$W7254)&gt;0),N(U7253),N(U7253)+1))</f>
        <v/>
      </c>
      <c r="V7254" s="19">
        <f>IF($B7254="","",TEXT($B7254,"0000"))</f>
        <v/>
      </c>
      <c r="W7254" s="19">
        <f>IF($I7254="","",IF(ISNUMBER($I7254),TEXT($I7254,"0"),$I7254))</f>
        <v/>
      </c>
    </row>
    <row r="7255">
      <c r="B7255" s="25" t="n"/>
      <c r="I7255" s="25" t="n"/>
      <c r="U7255" s="19">
        <f>IF($V7255&lt;&gt;'設定'!$C$4,N(U7254),IF(OR(NOT(COUNTIF('商品マスタ'!$B$6:$B$1005,$W7255)=0),COUNTIFS('①在庫を貼る'!$V$6:$V$10005,$V7255,'①在庫を貼る'!$W$6:$W$10005,$W7255)+COUNTIFS('月1回_1ヶ月前の在庫'!$V$6:$V$10005,$V7255,'月1回_1ヶ月前の在庫'!$W$6:$W$10005,$W7255)&gt;0),N(U7254),N(U7254)+1))</f>
        <v/>
      </c>
      <c r="V7255" s="19">
        <f>IF($B7255="","",TEXT($B7255,"0000"))</f>
        <v/>
      </c>
      <c r="W7255" s="19">
        <f>IF($I7255="","",IF(ISNUMBER($I7255),TEXT($I7255,"0"),$I7255))</f>
        <v/>
      </c>
    </row>
    <row r="7256">
      <c r="B7256" s="25" t="n"/>
      <c r="I7256" s="25" t="n"/>
      <c r="U7256" s="19">
        <f>IF($V7256&lt;&gt;'設定'!$C$4,N(U7255),IF(OR(NOT(COUNTIF('商品マスタ'!$B$6:$B$1005,$W7256)=0),COUNTIFS('①在庫を貼る'!$V$6:$V$10005,$V7256,'①在庫を貼る'!$W$6:$W$10005,$W7256)+COUNTIFS('月1回_1ヶ月前の在庫'!$V$6:$V$10005,$V7256,'月1回_1ヶ月前の在庫'!$W$6:$W$10005,$W7256)&gt;0),N(U7255),N(U7255)+1))</f>
        <v/>
      </c>
      <c r="V7256" s="19">
        <f>IF($B7256="","",TEXT($B7256,"0000"))</f>
        <v/>
      </c>
      <c r="W7256" s="19">
        <f>IF($I7256="","",IF(ISNUMBER($I7256),TEXT($I7256,"0"),$I7256))</f>
        <v/>
      </c>
    </row>
    <row r="7257">
      <c r="B7257" s="25" t="n"/>
      <c r="I7257" s="25" t="n"/>
      <c r="U7257" s="19">
        <f>IF($V7257&lt;&gt;'設定'!$C$4,N(U7256),IF(OR(NOT(COUNTIF('商品マスタ'!$B$6:$B$1005,$W7257)=0),COUNTIFS('①在庫を貼る'!$V$6:$V$10005,$V7257,'①在庫を貼る'!$W$6:$W$10005,$W7257)+COUNTIFS('月1回_1ヶ月前の在庫'!$V$6:$V$10005,$V7257,'月1回_1ヶ月前の在庫'!$W$6:$W$10005,$W7257)&gt;0),N(U7256),N(U7256)+1))</f>
        <v/>
      </c>
      <c r="V7257" s="19">
        <f>IF($B7257="","",TEXT($B7257,"0000"))</f>
        <v/>
      </c>
      <c r="W7257" s="19">
        <f>IF($I7257="","",IF(ISNUMBER($I7257),TEXT($I7257,"0"),$I7257))</f>
        <v/>
      </c>
    </row>
    <row r="7258">
      <c r="B7258" s="25" t="n"/>
      <c r="I7258" s="25" t="n"/>
      <c r="U7258" s="19">
        <f>IF($V7258&lt;&gt;'設定'!$C$4,N(U7257),IF(OR(NOT(COUNTIF('商品マスタ'!$B$6:$B$1005,$W7258)=0),COUNTIFS('①在庫を貼る'!$V$6:$V$10005,$V7258,'①在庫を貼る'!$W$6:$W$10005,$W7258)+COUNTIFS('月1回_1ヶ月前の在庫'!$V$6:$V$10005,$V7258,'月1回_1ヶ月前の在庫'!$W$6:$W$10005,$W7258)&gt;0),N(U7257),N(U7257)+1))</f>
        <v/>
      </c>
      <c r="V7258" s="19">
        <f>IF($B7258="","",TEXT($B7258,"0000"))</f>
        <v/>
      </c>
      <c r="W7258" s="19">
        <f>IF($I7258="","",IF(ISNUMBER($I7258),TEXT($I7258,"0"),$I7258))</f>
        <v/>
      </c>
    </row>
    <row r="7259">
      <c r="B7259" s="25" t="n"/>
      <c r="I7259" s="25" t="n"/>
      <c r="U7259" s="19">
        <f>IF($V7259&lt;&gt;'設定'!$C$4,N(U7258),IF(OR(NOT(COUNTIF('商品マスタ'!$B$6:$B$1005,$W7259)=0),COUNTIFS('①在庫を貼る'!$V$6:$V$10005,$V7259,'①在庫を貼る'!$W$6:$W$10005,$W7259)+COUNTIFS('月1回_1ヶ月前の在庫'!$V$6:$V$10005,$V7259,'月1回_1ヶ月前の在庫'!$W$6:$W$10005,$W7259)&gt;0),N(U7258),N(U7258)+1))</f>
        <v/>
      </c>
      <c r="V7259" s="19">
        <f>IF($B7259="","",TEXT($B7259,"0000"))</f>
        <v/>
      </c>
      <c r="W7259" s="19">
        <f>IF($I7259="","",IF(ISNUMBER($I7259),TEXT($I7259,"0"),$I7259))</f>
        <v/>
      </c>
    </row>
    <row r="7260">
      <c r="B7260" s="25" t="n"/>
      <c r="I7260" s="25" t="n"/>
      <c r="U7260" s="19">
        <f>IF($V7260&lt;&gt;'設定'!$C$4,N(U7259),IF(OR(NOT(COUNTIF('商品マスタ'!$B$6:$B$1005,$W7260)=0),COUNTIFS('①在庫を貼る'!$V$6:$V$10005,$V7260,'①在庫を貼る'!$W$6:$W$10005,$W7260)+COUNTIFS('月1回_1ヶ月前の在庫'!$V$6:$V$10005,$V7260,'月1回_1ヶ月前の在庫'!$W$6:$W$10005,$W7260)&gt;0),N(U7259),N(U7259)+1))</f>
        <v/>
      </c>
      <c r="V7260" s="19">
        <f>IF($B7260="","",TEXT($B7260,"0000"))</f>
        <v/>
      </c>
      <c r="W7260" s="19">
        <f>IF($I7260="","",IF(ISNUMBER($I7260),TEXT($I7260,"0"),$I7260))</f>
        <v/>
      </c>
    </row>
    <row r="7261">
      <c r="B7261" s="25" t="n"/>
      <c r="I7261" s="25" t="n"/>
      <c r="U7261" s="19">
        <f>IF($V7261&lt;&gt;'設定'!$C$4,N(U7260),IF(OR(NOT(COUNTIF('商品マスタ'!$B$6:$B$1005,$W7261)=0),COUNTIFS('①在庫を貼る'!$V$6:$V$10005,$V7261,'①在庫を貼る'!$W$6:$W$10005,$W7261)+COUNTIFS('月1回_1ヶ月前の在庫'!$V$6:$V$10005,$V7261,'月1回_1ヶ月前の在庫'!$W$6:$W$10005,$W7261)&gt;0),N(U7260),N(U7260)+1))</f>
        <v/>
      </c>
      <c r="V7261" s="19">
        <f>IF($B7261="","",TEXT($B7261,"0000"))</f>
        <v/>
      </c>
      <c r="W7261" s="19">
        <f>IF($I7261="","",IF(ISNUMBER($I7261),TEXT($I7261,"0"),$I7261))</f>
        <v/>
      </c>
    </row>
    <row r="7262">
      <c r="B7262" s="25" t="n"/>
      <c r="I7262" s="25" t="n"/>
      <c r="U7262" s="19">
        <f>IF($V7262&lt;&gt;'設定'!$C$4,N(U7261),IF(OR(NOT(COUNTIF('商品マスタ'!$B$6:$B$1005,$W7262)=0),COUNTIFS('①在庫を貼る'!$V$6:$V$10005,$V7262,'①在庫を貼る'!$W$6:$W$10005,$W7262)+COUNTIFS('月1回_1ヶ月前の在庫'!$V$6:$V$10005,$V7262,'月1回_1ヶ月前の在庫'!$W$6:$W$10005,$W7262)&gt;0),N(U7261),N(U7261)+1))</f>
        <v/>
      </c>
      <c r="V7262" s="19">
        <f>IF($B7262="","",TEXT($B7262,"0000"))</f>
        <v/>
      </c>
      <c r="W7262" s="19">
        <f>IF($I7262="","",IF(ISNUMBER($I7262),TEXT($I7262,"0"),$I7262))</f>
        <v/>
      </c>
    </row>
    <row r="7263">
      <c r="B7263" s="25" t="n"/>
      <c r="I7263" s="25" t="n"/>
      <c r="U7263" s="19">
        <f>IF($V7263&lt;&gt;'設定'!$C$4,N(U7262),IF(OR(NOT(COUNTIF('商品マスタ'!$B$6:$B$1005,$W7263)=0),COUNTIFS('①在庫を貼る'!$V$6:$V$10005,$V7263,'①在庫を貼る'!$W$6:$W$10005,$W7263)+COUNTIFS('月1回_1ヶ月前の在庫'!$V$6:$V$10005,$V7263,'月1回_1ヶ月前の在庫'!$W$6:$W$10005,$W7263)&gt;0),N(U7262),N(U7262)+1))</f>
        <v/>
      </c>
      <c r="V7263" s="19">
        <f>IF($B7263="","",TEXT($B7263,"0000"))</f>
        <v/>
      </c>
      <c r="W7263" s="19">
        <f>IF($I7263="","",IF(ISNUMBER($I7263),TEXT($I7263,"0"),$I7263))</f>
        <v/>
      </c>
    </row>
    <row r="7264">
      <c r="B7264" s="25" t="n"/>
      <c r="I7264" s="25" t="n"/>
      <c r="U7264" s="19">
        <f>IF($V7264&lt;&gt;'設定'!$C$4,N(U7263),IF(OR(NOT(COUNTIF('商品マスタ'!$B$6:$B$1005,$W7264)=0),COUNTIFS('①在庫を貼る'!$V$6:$V$10005,$V7264,'①在庫を貼る'!$W$6:$W$10005,$W7264)+COUNTIFS('月1回_1ヶ月前の在庫'!$V$6:$V$10005,$V7264,'月1回_1ヶ月前の在庫'!$W$6:$W$10005,$W7264)&gt;0),N(U7263),N(U7263)+1))</f>
        <v/>
      </c>
      <c r="V7264" s="19">
        <f>IF($B7264="","",TEXT($B7264,"0000"))</f>
        <v/>
      </c>
      <c r="W7264" s="19">
        <f>IF($I7264="","",IF(ISNUMBER($I7264),TEXT($I7264,"0"),$I7264))</f>
        <v/>
      </c>
    </row>
    <row r="7265">
      <c r="B7265" s="25" t="n"/>
      <c r="I7265" s="25" t="n"/>
      <c r="U7265" s="19">
        <f>IF($V7265&lt;&gt;'設定'!$C$4,N(U7264),IF(OR(NOT(COUNTIF('商品マスタ'!$B$6:$B$1005,$W7265)=0),COUNTIFS('①在庫を貼る'!$V$6:$V$10005,$V7265,'①在庫を貼る'!$W$6:$W$10005,$W7265)+COUNTIFS('月1回_1ヶ月前の在庫'!$V$6:$V$10005,$V7265,'月1回_1ヶ月前の在庫'!$W$6:$W$10005,$W7265)&gt;0),N(U7264),N(U7264)+1))</f>
        <v/>
      </c>
      <c r="V7265" s="19">
        <f>IF($B7265="","",TEXT($B7265,"0000"))</f>
        <v/>
      </c>
      <c r="W7265" s="19">
        <f>IF($I7265="","",IF(ISNUMBER($I7265),TEXT($I7265,"0"),$I7265))</f>
        <v/>
      </c>
    </row>
    <row r="7266">
      <c r="B7266" s="25" t="n"/>
      <c r="I7266" s="25" t="n"/>
      <c r="U7266" s="19">
        <f>IF($V7266&lt;&gt;'設定'!$C$4,N(U7265),IF(OR(NOT(COUNTIF('商品マスタ'!$B$6:$B$1005,$W7266)=0),COUNTIFS('①在庫を貼る'!$V$6:$V$10005,$V7266,'①在庫を貼る'!$W$6:$W$10005,$W7266)+COUNTIFS('月1回_1ヶ月前の在庫'!$V$6:$V$10005,$V7266,'月1回_1ヶ月前の在庫'!$W$6:$W$10005,$W7266)&gt;0),N(U7265),N(U7265)+1))</f>
        <v/>
      </c>
      <c r="V7266" s="19">
        <f>IF($B7266="","",TEXT($B7266,"0000"))</f>
        <v/>
      </c>
      <c r="W7266" s="19">
        <f>IF($I7266="","",IF(ISNUMBER($I7266),TEXT($I7266,"0"),$I7266))</f>
        <v/>
      </c>
    </row>
    <row r="7267">
      <c r="B7267" s="25" t="n"/>
      <c r="I7267" s="25" t="n"/>
      <c r="U7267" s="19">
        <f>IF($V7267&lt;&gt;'設定'!$C$4,N(U7266),IF(OR(NOT(COUNTIF('商品マスタ'!$B$6:$B$1005,$W7267)=0),COUNTIFS('①在庫を貼る'!$V$6:$V$10005,$V7267,'①在庫を貼る'!$W$6:$W$10005,$W7267)+COUNTIFS('月1回_1ヶ月前の在庫'!$V$6:$V$10005,$V7267,'月1回_1ヶ月前の在庫'!$W$6:$W$10005,$W7267)&gt;0),N(U7266),N(U7266)+1))</f>
        <v/>
      </c>
      <c r="V7267" s="19">
        <f>IF($B7267="","",TEXT($B7267,"0000"))</f>
        <v/>
      </c>
      <c r="W7267" s="19">
        <f>IF($I7267="","",IF(ISNUMBER($I7267),TEXT($I7267,"0"),$I7267))</f>
        <v/>
      </c>
    </row>
    <row r="7268">
      <c r="B7268" s="25" t="n"/>
      <c r="I7268" s="25" t="n"/>
      <c r="U7268" s="19">
        <f>IF($V7268&lt;&gt;'設定'!$C$4,N(U7267),IF(OR(NOT(COUNTIF('商品マスタ'!$B$6:$B$1005,$W7268)=0),COUNTIFS('①在庫を貼る'!$V$6:$V$10005,$V7268,'①在庫を貼る'!$W$6:$W$10005,$W7268)+COUNTIFS('月1回_1ヶ月前の在庫'!$V$6:$V$10005,$V7268,'月1回_1ヶ月前の在庫'!$W$6:$W$10005,$W7268)&gt;0),N(U7267),N(U7267)+1))</f>
        <v/>
      </c>
      <c r="V7268" s="19">
        <f>IF($B7268="","",TEXT($B7268,"0000"))</f>
        <v/>
      </c>
      <c r="W7268" s="19">
        <f>IF($I7268="","",IF(ISNUMBER($I7268),TEXT($I7268,"0"),$I7268))</f>
        <v/>
      </c>
    </row>
    <row r="7269">
      <c r="B7269" s="25" t="n"/>
      <c r="I7269" s="25" t="n"/>
      <c r="U7269" s="19">
        <f>IF($V7269&lt;&gt;'設定'!$C$4,N(U7268),IF(OR(NOT(COUNTIF('商品マスタ'!$B$6:$B$1005,$W7269)=0),COUNTIFS('①在庫を貼る'!$V$6:$V$10005,$V7269,'①在庫を貼る'!$W$6:$W$10005,$W7269)+COUNTIFS('月1回_1ヶ月前の在庫'!$V$6:$V$10005,$V7269,'月1回_1ヶ月前の在庫'!$W$6:$W$10005,$W7269)&gt;0),N(U7268),N(U7268)+1))</f>
        <v/>
      </c>
      <c r="V7269" s="19">
        <f>IF($B7269="","",TEXT($B7269,"0000"))</f>
        <v/>
      </c>
      <c r="W7269" s="19">
        <f>IF($I7269="","",IF(ISNUMBER($I7269),TEXT($I7269,"0"),$I7269))</f>
        <v/>
      </c>
    </row>
    <row r="7270">
      <c r="B7270" s="25" t="n"/>
      <c r="I7270" s="25" t="n"/>
      <c r="U7270" s="19">
        <f>IF($V7270&lt;&gt;'設定'!$C$4,N(U7269),IF(OR(NOT(COUNTIF('商品マスタ'!$B$6:$B$1005,$W7270)=0),COUNTIFS('①在庫を貼る'!$V$6:$V$10005,$V7270,'①在庫を貼る'!$W$6:$W$10005,$W7270)+COUNTIFS('月1回_1ヶ月前の在庫'!$V$6:$V$10005,$V7270,'月1回_1ヶ月前の在庫'!$W$6:$W$10005,$W7270)&gt;0),N(U7269),N(U7269)+1))</f>
        <v/>
      </c>
      <c r="V7270" s="19">
        <f>IF($B7270="","",TEXT($B7270,"0000"))</f>
        <v/>
      </c>
      <c r="W7270" s="19">
        <f>IF($I7270="","",IF(ISNUMBER($I7270),TEXT($I7270,"0"),$I7270))</f>
        <v/>
      </c>
    </row>
    <row r="7271">
      <c r="B7271" s="25" t="n"/>
      <c r="I7271" s="25" t="n"/>
      <c r="U7271" s="19">
        <f>IF($V7271&lt;&gt;'設定'!$C$4,N(U7270),IF(OR(NOT(COUNTIF('商品マスタ'!$B$6:$B$1005,$W7271)=0),COUNTIFS('①在庫を貼る'!$V$6:$V$10005,$V7271,'①在庫を貼る'!$W$6:$W$10005,$W7271)+COUNTIFS('月1回_1ヶ月前の在庫'!$V$6:$V$10005,$V7271,'月1回_1ヶ月前の在庫'!$W$6:$W$10005,$W7271)&gt;0),N(U7270),N(U7270)+1))</f>
        <v/>
      </c>
      <c r="V7271" s="19">
        <f>IF($B7271="","",TEXT($B7271,"0000"))</f>
        <v/>
      </c>
      <c r="W7271" s="19">
        <f>IF($I7271="","",IF(ISNUMBER($I7271),TEXT($I7271,"0"),$I7271))</f>
        <v/>
      </c>
    </row>
    <row r="7272">
      <c r="B7272" s="25" t="n"/>
      <c r="I7272" s="25" t="n"/>
      <c r="U7272" s="19">
        <f>IF($V7272&lt;&gt;'設定'!$C$4,N(U7271),IF(OR(NOT(COUNTIF('商品マスタ'!$B$6:$B$1005,$W7272)=0),COUNTIFS('①在庫を貼る'!$V$6:$V$10005,$V7272,'①在庫を貼る'!$W$6:$W$10005,$W7272)+COUNTIFS('月1回_1ヶ月前の在庫'!$V$6:$V$10005,$V7272,'月1回_1ヶ月前の在庫'!$W$6:$W$10005,$W7272)&gt;0),N(U7271),N(U7271)+1))</f>
        <v/>
      </c>
      <c r="V7272" s="19">
        <f>IF($B7272="","",TEXT($B7272,"0000"))</f>
        <v/>
      </c>
      <c r="W7272" s="19">
        <f>IF($I7272="","",IF(ISNUMBER($I7272),TEXT($I7272,"0"),$I7272))</f>
        <v/>
      </c>
    </row>
    <row r="7273">
      <c r="B7273" s="25" t="n"/>
      <c r="I7273" s="25" t="n"/>
      <c r="U7273" s="19">
        <f>IF($V7273&lt;&gt;'設定'!$C$4,N(U7272),IF(OR(NOT(COUNTIF('商品マスタ'!$B$6:$B$1005,$W7273)=0),COUNTIFS('①在庫を貼る'!$V$6:$V$10005,$V7273,'①在庫を貼る'!$W$6:$W$10005,$W7273)+COUNTIFS('月1回_1ヶ月前の在庫'!$V$6:$V$10005,$V7273,'月1回_1ヶ月前の在庫'!$W$6:$W$10005,$W7273)&gt;0),N(U7272),N(U7272)+1))</f>
        <v/>
      </c>
      <c r="V7273" s="19">
        <f>IF($B7273="","",TEXT($B7273,"0000"))</f>
        <v/>
      </c>
      <c r="W7273" s="19">
        <f>IF($I7273="","",IF(ISNUMBER($I7273),TEXT($I7273,"0"),$I7273))</f>
        <v/>
      </c>
    </row>
    <row r="7274">
      <c r="B7274" s="25" t="n"/>
      <c r="I7274" s="25" t="n"/>
      <c r="U7274" s="19">
        <f>IF($V7274&lt;&gt;'設定'!$C$4,N(U7273),IF(OR(NOT(COUNTIF('商品マスタ'!$B$6:$B$1005,$W7274)=0),COUNTIFS('①在庫を貼る'!$V$6:$V$10005,$V7274,'①在庫を貼る'!$W$6:$W$10005,$W7274)+COUNTIFS('月1回_1ヶ月前の在庫'!$V$6:$V$10005,$V7274,'月1回_1ヶ月前の在庫'!$W$6:$W$10005,$W7274)&gt;0),N(U7273),N(U7273)+1))</f>
        <v/>
      </c>
      <c r="V7274" s="19">
        <f>IF($B7274="","",TEXT($B7274,"0000"))</f>
        <v/>
      </c>
      <c r="W7274" s="19">
        <f>IF($I7274="","",IF(ISNUMBER($I7274),TEXT($I7274,"0"),$I7274))</f>
        <v/>
      </c>
    </row>
    <row r="7275">
      <c r="B7275" s="25" t="n"/>
      <c r="I7275" s="25" t="n"/>
      <c r="U7275" s="19">
        <f>IF($V7275&lt;&gt;'設定'!$C$4,N(U7274),IF(OR(NOT(COUNTIF('商品マスタ'!$B$6:$B$1005,$W7275)=0),COUNTIFS('①在庫を貼る'!$V$6:$V$10005,$V7275,'①在庫を貼る'!$W$6:$W$10005,$W7275)+COUNTIFS('月1回_1ヶ月前の在庫'!$V$6:$V$10005,$V7275,'月1回_1ヶ月前の在庫'!$W$6:$W$10005,$W7275)&gt;0),N(U7274),N(U7274)+1))</f>
        <v/>
      </c>
      <c r="V7275" s="19">
        <f>IF($B7275="","",TEXT($B7275,"0000"))</f>
        <v/>
      </c>
      <c r="W7275" s="19">
        <f>IF($I7275="","",IF(ISNUMBER($I7275),TEXT($I7275,"0"),$I7275))</f>
        <v/>
      </c>
    </row>
    <row r="7276">
      <c r="B7276" s="25" t="n"/>
      <c r="I7276" s="25" t="n"/>
      <c r="U7276" s="19">
        <f>IF($V7276&lt;&gt;'設定'!$C$4,N(U7275),IF(OR(NOT(COUNTIF('商品マスタ'!$B$6:$B$1005,$W7276)=0),COUNTIFS('①在庫を貼る'!$V$6:$V$10005,$V7276,'①在庫を貼る'!$W$6:$W$10005,$W7276)+COUNTIFS('月1回_1ヶ月前の在庫'!$V$6:$V$10005,$V7276,'月1回_1ヶ月前の在庫'!$W$6:$W$10005,$W7276)&gt;0),N(U7275),N(U7275)+1))</f>
        <v/>
      </c>
      <c r="V7276" s="19">
        <f>IF($B7276="","",TEXT($B7276,"0000"))</f>
        <v/>
      </c>
      <c r="W7276" s="19">
        <f>IF($I7276="","",IF(ISNUMBER($I7276),TEXT($I7276,"0"),$I7276))</f>
        <v/>
      </c>
    </row>
    <row r="7277">
      <c r="B7277" s="25" t="n"/>
      <c r="I7277" s="25" t="n"/>
      <c r="U7277" s="19">
        <f>IF($V7277&lt;&gt;'設定'!$C$4,N(U7276),IF(OR(NOT(COUNTIF('商品マスタ'!$B$6:$B$1005,$W7277)=0),COUNTIFS('①在庫を貼る'!$V$6:$V$10005,$V7277,'①在庫を貼る'!$W$6:$W$10005,$W7277)+COUNTIFS('月1回_1ヶ月前の在庫'!$V$6:$V$10005,$V7277,'月1回_1ヶ月前の在庫'!$W$6:$W$10005,$W7277)&gt;0),N(U7276),N(U7276)+1))</f>
        <v/>
      </c>
      <c r="V7277" s="19">
        <f>IF($B7277="","",TEXT($B7277,"0000"))</f>
        <v/>
      </c>
      <c r="W7277" s="19">
        <f>IF($I7277="","",IF(ISNUMBER($I7277),TEXT($I7277,"0"),$I7277))</f>
        <v/>
      </c>
    </row>
    <row r="7278">
      <c r="B7278" s="25" t="n"/>
      <c r="I7278" s="25" t="n"/>
      <c r="U7278" s="19">
        <f>IF($V7278&lt;&gt;'設定'!$C$4,N(U7277),IF(OR(NOT(COUNTIF('商品マスタ'!$B$6:$B$1005,$W7278)=0),COUNTIFS('①在庫を貼る'!$V$6:$V$10005,$V7278,'①在庫を貼る'!$W$6:$W$10005,$W7278)+COUNTIFS('月1回_1ヶ月前の在庫'!$V$6:$V$10005,$V7278,'月1回_1ヶ月前の在庫'!$W$6:$W$10005,$W7278)&gt;0),N(U7277),N(U7277)+1))</f>
        <v/>
      </c>
      <c r="V7278" s="19">
        <f>IF($B7278="","",TEXT($B7278,"0000"))</f>
        <v/>
      </c>
      <c r="W7278" s="19">
        <f>IF($I7278="","",IF(ISNUMBER($I7278),TEXT($I7278,"0"),$I7278))</f>
        <v/>
      </c>
    </row>
    <row r="7279">
      <c r="B7279" s="25" t="n"/>
      <c r="I7279" s="25" t="n"/>
      <c r="U7279" s="19">
        <f>IF($V7279&lt;&gt;'設定'!$C$4,N(U7278),IF(OR(NOT(COUNTIF('商品マスタ'!$B$6:$B$1005,$W7279)=0),COUNTIFS('①在庫を貼る'!$V$6:$V$10005,$V7279,'①在庫を貼る'!$W$6:$W$10005,$W7279)+COUNTIFS('月1回_1ヶ月前の在庫'!$V$6:$V$10005,$V7279,'月1回_1ヶ月前の在庫'!$W$6:$W$10005,$W7279)&gt;0),N(U7278),N(U7278)+1))</f>
        <v/>
      </c>
      <c r="V7279" s="19">
        <f>IF($B7279="","",TEXT($B7279,"0000"))</f>
        <v/>
      </c>
      <c r="W7279" s="19">
        <f>IF($I7279="","",IF(ISNUMBER($I7279),TEXT($I7279,"0"),$I7279))</f>
        <v/>
      </c>
    </row>
    <row r="7280">
      <c r="B7280" s="25" t="n"/>
      <c r="I7280" s="25" t="n"/>
      <c r="U7280" s="19">
        <f>IF($V7280&lt;&gt;'設定'!$C$4,N(U7279),IF(OR(NOT(COUNTIF('商品マスタ'!$B$6:$B$1005,$W7280)=0),COUNTIFS('①在庫を貼る'!$V$6:$V$10005,$V7280,'①在庫を貼る'!$W$6:$W$10005,$W7280)+COUNTIFS('月1回_1ヶ月前の在庫'!$V$6:$V$10005,$V7280,'月1回_1ヶ月前の在庫'!$W$6:$W$10005,$W7280)&gt;0),N(U7279),N(U7279)+1))</f>
        <v/>
      </c>
      <c r="V7280" s="19">
        <f>IF($B7280="","",TEXT($B7280,"0000"))</f>
        <v/>
      </c>
      <c r="W7280" s="19">
        <f>IF($I7280="","",IF(ISNUMBER($I7280),TEXT($I7280,"0"),$I7280))</f>
        <v/>
      </c>
    </row>
    <row r="7281">
      <c r="B7281" s="25" t="n"/>
      <c r="I7281" s="25" t="n"/>
      <c r="U7281" s="19">
        <f>IF($V7281&lt;&gt;'設定'!$C$4,N(U7280),IF(OR(NOT(COUNTIF('商品マスタ'!$B$6:$B$1005,$W7281)=0),COUNTIFS('①在庫を貼る'!$V$6:$V$10005,$V7281,'①在庫を貼る'!$W$6:$W$10005,$W7281)+COUNTIFS('月1回_1ヶ月前の在庫'!$V$6:$V$10005,$V7281,'月1回_1ヶ月前の在庫'!$W$6:$W$10005,$W7281)&gt;0),N(U7280),N(U7280)+1))</f>
        <v/>
      </c>
      <c r="V7281" s="19">
        <f>IF($B7281="","",TEXT($B7281,"0000"))</f>
        <v/>
      </c>
      <c r="W7281" s="19">
        <f>IF($I7281="","",IF(ISNUMBER($I7281),TEXT($I7281,"0"),$I7281))</f>
        <v/>
      </c>
    </row>
    <row r="7282">
      <c r="B7282" s="25" t="n"/>
      <c r="I7282" s="25" t="n"/>
      <c r="U7282" s="19">
        <f>IF($V7282&lt;&gt;'設定'!$C$4,N(U7281),IF(OR(NOT(COUNTIF('商品マスタ'!$B$6:$B$1005,$W7282)=0),COUNTIFS('①在庫を貼る'!$V$6:$V$10005,$V7282,'①在庫を貼る'!$W$6:$W$10005,$W7282)+COUNTIFS('月1回_1ヶ月前の在庫'!$V$6:$V$10005,$V7282,'月1回_1ヶ月前の在庫'!$W$6:$W$10005,$W7282)&gt;0),N(U7281),N(U7281)+1))</f>
        <v/>
      </c>
      <c r="V7282" s="19">
        <f>IF($B7282="","",TEXT($B7282,"0000"))</f>
        <v/>
      </c>
      <c r="W7282" s="19">
        <f>IF($I7282="","",IF(ISNUMBER($I7282),TEXT($I7282,"0"),$I7282))</f>
        <v/>
      </c>
    </row>
    <row r="7283">
      <c r="B7283" s="25" t="n"/>
      <c r="I7283" s="25" t="n"/>
      <c r="U7283" s="19">
        <f>IF($V7283&lt;&gt;'設定'!$C$4,N(U7282),IF(OR(NOT(COUNTIF('商品マスタ'!$B$6:$B$1005,$W7283)=0),COUNTIFS('①在庫を貼る'!$V$6:$V$10005,$V7283,'①在庫を貼る'!$W$6:$W$10005,$W7283)+COUNTIFS('月1回_1ヶ月前の在庫'!$V$6:$V$10005,$V7283,'月1回_1ヶ月前の在庫'!$W$6:$W$10005,$W7283)&gt;0),N(U7282),N(U7282)+1))</f>
        <v/>
      </c>
      <c r="V7283" s="19">
        <f>IF($B7283="","",TEXT($B7283,"0000"))</f>
        <v/>
      </c>
      <c r="W7283" s="19">
        <f>IF($I7283="","",IF(ISNUMBER($I7283),TEXT($I7283,"0"),$I7283))</f>
        <v/>
      </c>
    </row>
    <row r="7284">
      <c r="B7284" s="25" t="n"/>
      <c r="I7284" s="25" t="n"/>
      <c r="U7284" s="19">
        <f>IF($V7284&lt;&gt;'設定'!$C$4,N(U7283),IF(OR(NOT(COUNTIF('商品マスタ'!$B$6:$B$1005,$W7284)=0),COUNTIFS('①在庫を貼る'!$V$6:$V$10005,$V7284,'①在庫を貼る'!$W$6:$W$10005,$W7284)+COUNTIFS('月1回_1ヶ月前の在庫'!$V$6:$V$10005,$V7284,'月1回_1ヶ月前の在庫'!$W$6:$W$10005,$W7284)&gt;0),N(U7283),N(U7283)+1))</f>
        <v/>
      </c>
      <c r="V7284" s="19">
        <f>IF($B7284="","",TEXT($B7284,"0000"))</f>
        <v/>
      </c>
      <c r="W7284" s="19">
        <f>IF($I7284="","",IF(ISNUMBER($I7284),TEXT($I7284,"0"),$I7284))</f>
        <v/>
      </c>
    </row>
    <row r="7285">
      <c r="B7285" s="25" t="n"/>
      <c r="I7285" s="25" t="n"/>
      <c r="U7285" s="19">
        <f>IF($V7285&lt;&gt;'設定'!$C$4,N(U7284),IF(OR(NOT(COUNTIF('商品マスタ'!$B$6:$B$1005,$W7285)=0),COUNTIFS('①在庫を貼る'!$V$6:$V$10005,$V7285,'①在庫を貼る'!$W$6:$W$10005,$W7285)+COUNTIFS('月1回_1ヶ月前の在庫'!$V$6:$V$10005,$V7285,'月1回_1ヶ月前の在庫'!$W$6:$W$10005,$W7285)&gt;0),N(U7284),N(U7284)+1))</f>
        <v/>
      </c>
      <c r="V7285" s="19">
        <f>IF($B7285="","",TEXT($B7285,"0000"))</f>
        <v/>
      </c>
      <c r="W7285" s="19">
        <f>IF($I7285="","",IF(ISNUMBER($I7285),TEXT($I7285,"0"),$I7285))</f>
        <v/>
      </c>
    </row>
    <row r="7286">
      <c r="B7286" s="25" t="n"/>
      <c r="I7286" s="25" t="n"/>
      <c r="U7286" s="19">
        <f>IF($V7286&lt;&gt;'設定'!$C$4,N(U7285),IF(OR(NOT(COUNTIF('商品マスタ'!$B$6:$B$1005,$W7286)=0),COUNTIFS('①在庫を貼る'!$V$6:$V$10005,$V7286,'①在庫を貼る'!$W$6:$W$10005,$W7286)+COUNTIFS('月1回_1ヶ月前の在庫'!$V$6:$V$10005,$V7286,'月1回_1ヶ月前の在庫'!$W$6:$W$10005,$W7286)&gt;0),N(U7285),N(U7285)+1))</f>
        <v/>
      </c>
      <c r="V7286" s="19">
        <f>IF($B7286="","",TEXT($B7286,"0000"))</f>
        <v/>
      </c>
      <c r="W7286" s="19">
        <f>IF($I7286="","",IF(ISNUMBER($I7286),TEXT($I7286,"0"),$I7286))</f>
        <v/>
      </c>
    </row>
    <row r="7287">
      <c r="B7287" s="25" t="n"/>
      <c r="I7287" s="25" t="n"/>
      <c r="U7287" s="19">
        <f>IF($V7287&lt;&gt;'設定'!$C$4,N(U7286),IF(OR(NOT(COUNTIF('商品マスタ'!$B$6:$B$1005,$W7287)=0),COUNTIFS('①在庫を貼る'!$V$6:$V$10005,$V7287,'①在庫を貼る'!$W$6:$W$10005,$W7287)+COUNTIFS('月1回_1ヶ月前の在庫'!$V$6:$V$10005,$V7287,'月1回_1ヶ月前の在庫'!$W$6:$W$10005,$W7287)&gt;0),N(U7286),N(U7286)+1))</f>
        <v/>
      </c>
      <c r="V7287" s="19">
        <f>IF($B7287="","",TEXT($B7287,"0000"))</f>
        <v/>
      </c>
      <c r="W7287" s="19">
        <f>IF($I7287="","",IF(ISNUMBER($I7287),TEXT($I7287,"0"),$I7287))</f>
        <v/>
      </c>
    </row>
    <row r="7288">
      <c r="B7288" s="25" t="n"/>
      <c r="I7288" s="25" t="n"/>
      <c r="U7288" s="19">
        <f>IF($V7288&lt;&gt;'設定'!$C$4,N(U7287),IF(OR(NOT(COUNTIF('商品マスタ'!$B$6:$B$1005,$W7288)=0),COUNTIFS('①在庫を貼る'!$V$6:$V$10005,$V7288,'①在庫を貼る'!$W$6:$W$10005,$W7288)+COUNTIFS('月1回_1ヶ月前の在庫'!$V$6:$V$10005,$V7288,'月1回_1ヶ月前の在庫'!$W$6:$W$10005,$W7288)&gt;0),N(U7287),N(U7287)+1))</f>
        <v/>
      </c>
      <c r="V7288" s="19">
        <f>IF($B7288="","",TEXT($B7288,"0000"))</f>
        <v/>
      </c>
      <c r="W7288" s="19">
        <f>IF($I7288="","",IF(ISNUMBER($I7288),TEXT($I7288,"0"),$I7288))</f>
        <v/>
      </c>
    </row>
    <row r="7289">
      <c r="B7289" s="25" t="n"/>
      <c r="I7289" s="25" t="n"/>
      <c r="U7289" s="19">
        <f>IF($V7289&lt;&gt;'設定'!$C$4,N(U7288),IF(OR(NOT(COUNTIF('商品マスタ'!$B$6:$B$1005,$W7289)=0),COUNTIFS('①在庫を貼る'!$V$6:$V$10005,$V7289,'①在庫を貼る'!$W$6:$W$10005,$W7289)+COUNTIFS('月1回_1ヶ月前の在庫'!$V$6:$V$10005,$V7289,'月1回_1ヶ月前の在庫'!$W$6:$W$10005,$W7289)&gt;0),N(U7288),N(U7288)+1))</f>
        <v/>
      </c>
      <c r="V7289" s="19">
        <f>IF($B7289="","",TEXT($B7289,"0000"))</f>
        <v/>
      </c>
      <c r="W7289" s="19">
        <f>IF($I7289="","",IF(ISNUMBER($I7289),TEXT($I7289,"0"),$I7289))</f>
        <v/>
      </c>
    </row>
    <row r="7290">
      <c r="B7290" s="25" t="n"/>
      <c r="I7290" s="25" t="n"/>
      <c r="U7290" s="19">
        <f>IF($V7290&lt;&gt;'設定'!$C$4,N(U7289),IF(OR(NOT(COUNTIF('商品マスタ'!$B$6:$B$1005,$W7290)=0),COUNTIFS('①在庫を貼る'!$V$6:$V$10005,$V7290,'①在庫を貼る'!$W$6:$W$10005,$W7290)+COUNTIFS('月1回_1ヶ月前の在庫'!$V$6:$V$10005,$V7290,'月1回_1ヶ月前の在庫'!$W$6:$W$10005,$W7290)&gt;0),N(U7289),N(U7289)+1))</f>
        <v/>
      </c>
      <c r="V7290" s="19">
        <f>IF($B7290="","",TEXT($B7290,"0000"))</f>
        <v/>
      </c>
      <c r="W7290" s="19">
        <f>IF($I7290="","",IF(ISNUMBER($I7290),TEXT($I7290,"0"),$I7290))</f>
        <v/>
      </c>
    </row>
    <row r="7291">
      <c r="B7291" s="25" t="n"/>
      <c r="I7291" s="25" t="n"/>
      <c r="U7291" s="19">
        <f>IF($V7291&lt;&gt;'設定'!$C$4,N(U7290),IF(OR(NOT(COUNTIF('商品マスタ'!$B$6:$B$1005,$W7291)=0),COUNTIFS('①在庫を貼る'!$V$6:$V$10005,$V7291,'①在庫を貼る'!$W$6:$W$10005,$W7291)+COUNTIFS('月1回_1ヶ月前の在庫'!$V$6:$V$10005,$V7291,'月1回_1ヶ月前の在庫'!$W$6:$W$10005,$W7291)&gt;0),N(U7290),N(U7290)+1))</f>
        <v/>
      </c>
      <c r="V7291" s="19">
        <f>IF($B7291="","",TEXT($B7291,"0000"))</f>
        <v/>
      </c>
      <c r="W7291" s="19">
        <f>IF($I7291="","",IF(ISNUMBER($I7291),TEXT($I7291,"0"),$I7291))</f>
        <v/>
      </c>
    </row>
    <row r="7292">
      <c r="B7292" s="25" t="n"/>
      <c r="I7292" s="25" t="n"/>
      <c r="U7292" s="19">
        <f>IF($V7292&lt;&gt;'設定'!$C$4,N(U7291),IF(OR(NOT(COUNTIF('商品マスタ'!$B$6:$B$1005,$W7292)=0),COUNTIFS('①在庫を貼る'!$V$6:$V$10005,$V7292,'①在庫を貼る'!$W$6:$W$10005,$W7292)+COUNTIFS('月1回_1ヶ月前の在庫'!$V$6:$V$10005,$V7292,'月1回_1ヶ月前の在庫'!$W$6:$W$10005,$W7292)&gt;0),N(U7291),N(U7291)+1))</f>
        <v/>
      </c>
      <c r="V7292" s="19">
        <f>IF($B7292="","",TEXT($B7292,"0000"))</f>
        <v/>
      </c>
      <c r="W7292" s="19">
        <f>IF($I7292="","",IF(ISNUMBER($I7292),TEXT($I7292,"0"),$I7292))</f>
        <v/>
      </c>
    </row>
    <row r="7293">
      <c r="B7293" s="25" t="n"/>
      <c r="I7293" s="25" t="n"/>
      <c r="U7293" s="19">
        <f>IF($V7293&lt;&gt;'設定'!$C$4,N(U7292),IF(OR(NOT(COUNTIF('商品マスタ'!$B$6:$B$1005,$W7293)=0),COUNTIFS('①在庫を貼る'!$V$6:$V$10005,$V7293,'①在庫を貼る'!$W$6:$W$10005,$W7293)+COUNTIFS('月1回_1ヶ月前の在庫'!$V$6:$V$10005,$V7293,'月1回_1ヶ月前の在庫'!$W$6:$W$10005,$W7293)&gt;0),N(U7292),N(U7292)+1))</f>
        <v/>
      </c>
      <c r="V7293" s="19">
        <f>IF($B7293="","",TEXT($B7293,"0000"))</f>
        <v/>
      </c>
      <c r="W7293" s="19">
        <f>IF($I7293="","",IF(ISNUMBER($I7293),TEXT($I7293,"0"),$I7293))</f>
        <v/>
      </c>
    </row>
    <row r="7294">
      <c r="B7294" s="25" t="n"/>
      <c r="I7294" s="25" t="n"/>
      <c r="U7294" s="19">
        <f>IF($V7294&lt;&gt;'設定'!$C$4,N(U7293),IF(OR(NOT(COUNTIF('商品マスタ'!$B$6:$B$1005,$W7294)=0),COUNTIFS('①在庫を貼る'!$V$6:$V$10005,$V7294,'①在庫を貼る'!$W$6:$W$10005,$W7294)+COUNTIFS('月1回_1ヶ月前の在庫'!$V$6:$V$10005,$V7294,'月1回_1ヶ月前の在庫'!$W$6:$W$10005,$W7294)&gt;0),N(U7293),N(U7293)+1))</f>
        <v/>
      </c>
      <c r="V7294" s="19">
        <f>IF($B7294="","",TEXT($B7294,"0000"))</f>
        <v/>
      </c>
      <c r="W7294" s="19">
        <f>IF($I7294="","",IF(ISNUMBER($I7294),TEXT($I7294,"0"),$I7294))</f>
        <v/>
      </c>
    </row>
    <row r="7295">
      <c r="B7295" s="25" t="n"/>
      <c r="I7295" s="25" t="n"/>
      <c r="U7295" s="19">
        <f>IF($V7295&lt;&gt;'設定'!$C$4,N(U7294),IF(OR(NOT(COUNTIF('商品マスタ'!$B$6:$B$1005,$W7295)=0),COUNTIFS('①在庫を貼る'!$V$6:$V$10005,$V7295,'①在庫を貼る'!$W$6:$W$10005,$W7295)+COUNTIFS('月1回_1ヶ月前の在庫'!$V$6:$V$10005,$V7295,'月1回_1ヶ月前の在庫'!$W$6:$W$10005,$W7295)&gt;0),N(U7294),N(U7294)+1))</f>
        <v/>
      </c>
      <c r="V7295" s="19">
        <f>IF($B7295="","",TEXT($B7295,"0000"))</f>
        <v/>
      </c>
      <c r="W7295" s="19">
        <f>IF($I7295="","",IF(ISNUMBER($I7295),TEXT($I7295,"0"),$I7295))</f>
        <v/>
      </c>
    </row>
    <row r="7296">
      <c r="B7296" s="25" t="n"/>
      <c r="I7296" s="25" t="n"/>
      <c r="U7296" s="19">
        <f>IF($V7296&lt;&gt;'設定'!$C$4,N(U7295),IF(OR(NOT(COUNTIF('商品マスタ'!$B$6:$B$1005,$W7296)=0),COUNTIFS('①在庫を貼る'!$V$6:$V$10005,$V7296,'①在庫を貼る'!$W$6:$W$10005,$W7296)+COUNTIFS('月1回_1ヶ月前の在庫'!$V$6:$V$10005,$V7296,'月1回_1ヶ月前の在庫'!$W$6:$W$10005,$W7296)&gt;0),N(U7295),N(U7295)+1))</f>
        <v/>
      </c>
      <c r="V7296" s="19">
        <f>IF($B7296="","",TEXT($B7296,"0000"))</f>
        <v/>
      </c>
      <c r="W7296" s="19">
        <f>IF($I7296="","",IF(ISNUMBER($I7296),TEXT($I7296,"0"),$I7296))</f>
        <v/>
      </c>
    </row>
    <row r="7297">
      <c r="B7297" s="25" t="n"/>
      <c r="I7297" s="25" t="n"/>
      <c r="U7297" s="19">
        <f>IF($V7297&lt;&gt;'設定'!$C$4,N(U7296),IF(OR(NOT(COUNTIF('商品マスタ'!$B$6:$B$1005,$W7297)=0),COUNTIFS('①在庫を貼る'!$V$6:$V$10005,$V7297,'①在庫を貼る'!$W$6:$W$10005,$W7297)+COUNTIFS('月1回_1ヶ月前の在庫'!$V$6:$V$10005,$V7297,'月1回_1ヶ月前の在庫'!$W$6:$W$10005,$W7297)&gt;0),N(U7296),N(U7296)+1))</f>
        <v/>
      </c>
      <c r="V7297" s="19">
        <f>IF($B7297="","",TEXT($B7297,"0000"))</f>
        <v/>
      </c>
      <c r="W7297" s="19">
        <f>IF($I7297="","",IF(ISNUMBER($I7297),TEXT($I7297,"0"),$I7297))</f>
        <v/>
      </c>
    </row>
    <row r="7298">
      <c r="B7298" s="25" t="n"/>
      <c r="I7298" s="25" t="n"/>
      <c r="U7298" s="19">
        <f>IF($V7298&lt;&gt;'設定'!$C$4,N(U7297),IF(OR(NOT(COUNTIF('商品マスタ'!$B$6:$B$1005,$W7298)=0),COUNTIFS('①在庫を貼る'!$V$6:$V$10005,$V7298,'①在庫を貼る'!$W$6:$W$10005,$W7298)+COUNTIFS('月1回_1ヶ月前の在庫'!$V$6:$V$10005,$V7298,'月1回_1ヶ月前の在庫'!$W$6:$W$10005,$W7298)&gt;0),N(U7297),N(U7297)+1))</f>
        <v/>
      </c>
      <c r="V7298" s="19">
        <f>IF($B7298="","",TEXT($B7298,"0000"))</f>
        <v/>
      </c>
      <c r="W7298" s="19">
        <f>IF($I7298="","",IF(ISNUMBER($I7298),TEXT($I7298,"0"),$I7298))</f>
        <v/>
      </c>
    </row>
    <row r="7299">
      <c r="B7299" s="25" t="n"/>
      <c r="I7299" s="25" t="n"/>
      <c r="U7299" s="19">
        <f>IF($V7299&lt;&gt;'設定'!$C$4,N(U7298),IF(OR(NOT(COUNTIF('商品マスタ'!$B$6:$B$1005,$W7299)=0),COUNTIFS('①在庫を貼る'!$V$6:$V$10005,$V7299,'①在庫を貼る'!$W$6:$W$10005,$W7299)+COUNTIFS('月1回_1ヶ月前の在庫'!$V$6:$V$10005,$V7299,'月1回_1ヶ月前の在庫'!$W$6:$W$10005,$W7299)&gt;0),N(U7298),N(U7298)+1))</f>
        <v/>
      </c>
      <c r="V7299" s="19">
        <f>IF($B7299="","",TEXT($B7299,"0000"))</f>
        <v/>
      </c>
      <c r="W7299" s="19">
        <f>IF($I7299="","",IF(ISNUMBER($I7299),TEXT($I7299,"0"),$I7299))</f>
        <v/>
      </c>
    </row>
    <row r="7300">
      <c r="B7300" s="25" t="n"/>
      <c r="I7300" s="25" t="n"/>
      <c r="U7300" s="19">
        <f>IF($V7300&lt;&gt;'設定'!$C$4,N(U7299),IF(OR(NOT(COUNTIF('商品マスタ'!$B$6:$B$1005,$W7300)=0),COUNTIFS('①在庫を貼る'!$V$6:$V$10005,$V7300,'①在庫を貼る'!$W$6:$W$10005,$W7300)+COUNTIFS('月1回_1ヶ月前の在庫'!$V$6:$V$10005,$V7300,'月1回_1ヶ月前の在庫'!$W$6:$W$10005,$W7300)&gt;0),N(U7299),N(U7299)+1))</f>
        <v/>
      </c>
      <c r="V7300" s="19">
        <f>IF($B7300="","",TEXT($B7300,"0000"))</f>
        <v/>
      </c>
      <c r="W7300" s="19">
        <f>IF($I7300="","",IF(ISNUMBER($I7300),TEXT($I7300,"0"),$I7300))</f>
        <v/>
      </c>
    </row>
    <row r="7301">
      <c r="B7301" s="25" t="n"/>
      <c r="I7301" s="25" t="n"/>
      <c r="U7301" s="19">
        <f>IF($V7301&lt;&gt;'設定'!$C$4,N(U7300),IF(OR(NOT(COUNTIF('商品マスタ'!$B$6:$B$1005,$W7301)=0),COUNTIFS('①在庫を貼る'!$V$6:$V$10005,$V7301,'①在庫を貼る'!$W$6:$W$10005,$W7301)+COUNTIFS('月1回_1ヶ月前の在庫'!$V$6:$V$10005,$V7301,'月1回_1ヶ月前の在庫'!$W$6:$W$10005,$W7301)&gt;0),N(U7300),N(U7300)+1))</f>
        <v/>
      </c>
      <c r="V7301" s="19">
        <f>IF($B7301="","",TEXT($B7301,"0000"))</f>
        <v/>
      </c>
      <c r="W7301" s="19">
        <f>IF($I7301="","",IF(ISNUMBER($I7301),TEXT($I7301,"0"),$I7301))</f>
        <v/>
      </c>
    </row>
    <row r="7302">
      <c r="B7302" s="25" t="n"/>
      <c r="I7302" s="25" t="n"/>
      <c r="U7302" s="19">
        <f>IF($V7302&lt;&gt;'設定'!$C$4,N(U7301),IF(OR(NOT(COUNTIF('商品マスタ'!$B$6:$B$1005,$W7302)=0),COUNTIFS('①在庫を貼る'!$V$6:$V$10005,$V7302,'①在庫を貼る'!$W$6:$W$10005,$W7302)+COUNTIFS('月1回_1ヶ月前の在庫'!$V$6:$V$10005,$V7302,'月1回_1ヶ月前の在庫'!$W$6:$W$10005,$W7302)&gt;0),N(U7301),N(U7301)+1))</f>
        <v/>
      </c>
      <c r="V7302" s="19">
        <f>IF($B7302="","",TEXT($B7302,"0000"))</f>
        <v/>
      </c>
      <c r="W7302" s="19">
        <f>IF($I7302="","",IF(ISNUMBER($I7302),TEXT($I7302,"0"),$I7302))</f>
        <v/>
      </c>
    </row>
    <row r="7303">
      <c r="B7303" s="25" t="n"/>
      <c r="I7303" s="25" t="n"/>
      <c r="U7303" s="19">
        <f>IF($V7303&lt;&gt;'設定'!$C$4,N(U7302),IF(OR(NOT(COUNTIF('商品マスタ'!$B$6:$B$1005,$W7303)=0),COUNTIFS('①在庫を貼る'!$V$6:$V$10005,$V7303,'①在庫を貼る'!$W$6:$W$10005,$W7303)+COUNTIFS('月1回_1ヶ月前の在庫'!$V$6:$V$10005,$V7303,'月1回_1ヶ月前の在庫'!$W$6:$W$10005,$W7303)&gt;0),N(U7302),N(U7302)+1))</f>
        <v/>
      </c>
      <c r="V7303" s="19">
        <f>IF($B7303="","",TEXT($B7303,"0000"))</f>
        <v/>
      </c>
      <c r="W7303" s="19">
        <f>IF($I7303="","",IF(ISNUMBER($I7303),TEXT($I7303,"0"),$I7303))</f>
        <v/>
      </c>
    </row>
    <row r="7304">
      <c r="B7304" s="25" t="n"/>
      <c r="I7304" s="25" t="n"/>
      <c r="U7304" s="19">
        <f>IF($V7304&lt;&gt;'設定'!$C$4,N(U7303),IF(OR(NOT(COUNTIF('商品マスタ'!$B$6:$B$1005,$W7304)=0),COUNTIFS('①在庫を貼る'!$V$6:$V$10005,$V7304,'①在庫を貼る'!$W$6:$W$10005,$W7304)+COUNTIFS('月1回_1ヶ月前の在庫'!$V$6:$V$10005,$V7304,'月1回_1ヶ月前の在庫'!$W$6:$W$10005,$W7304)&gt;0),N(U7303),N(U7303)+1))</f>
        <v/>
      </c>
      <c r="V7304" s="19">
        <f>IF($B7304="","",TEXT($B7304,"0000"))</f>
        <v/>
      </c>
      <c r="W7304" s="19">
        <f>IF($I7304="","",IF(ISNUMBER($I7304),TEXT($I7304,"0"),$I7304))</f>
        <v/>
      </c>
    </row>
    <row r="7305">
      <c r="B7305" s="25" t="n"/>
      <c r="I7305" s="25" t="n"/>
      <c r="U7305" s="19">
        <f>IF($V7305&lt;&gt;'設定'!$C$4,N(U7304),IF(OR(NOT(COUNTIF('商品マスタ'!$B$6:$B$1005,$W7305)=0),COUNTIFS('①在庫を貼る'!$V$6:$V$10005,$V7305,'①在庫を貼る'!$W$6:$W$10005,$W7305)+COUNTIFS('月1回_1ヶ月前の在庫'!$V$6:$V$10005,$V7305,'月1回_1ヶ月前の在庫'!$W$6:$W$10005,$W7305)&gt;0),N(U7304),N(U7304)+1))</f>
        <v/>
      </c>
      <c r="V7305" s="19">
        <f>IF($B7305="","",TEXT($B7305,"0000"))</f>
        <v/>
      </c>
      <c r="W7305" s="19">
        <f>IF($I7305="","",IF(ISNUMBER($I7305),TEXT($I7305,"0"),$I7305))</f>
        <v/>
      </c>
    </row>
    <row r="7306">
      <c r="B7306" s="25" t="n"/>
      <c r="I7306" s="25" t="n"/>
      <c r="U7306" s="19">
        <f>IF($V7306&lt;&gt;'設定'!$C$4,N(U7305),IF(OR(NOT(COUNTIF('商品マスタ'!$B$6:$B$1005,$W7306)=0),COUNTIFS('①在庫を貼る'!$V$6:$V$10005,$V7306,'①在庫を貼る'!$W$6:$W$10005,$W7306)+COUNTIFS('月1回_1ヶ月前の在庫'!$V$6:$V$10005,$V7306,'月1回_1ヶ月前の在庫'!$W$6:$W$10005,$W7306)&gt;0),N(U7305),N(U7305)+1))</f>
        <v/>
      </c>
      <c r="V7306" s="19">
        <f>IF($B7306="","",TEXT($B7306,"0000"))</f>
        <v/>
      </c>
      <c r="W7306" s="19">
        <f>IF($I7306="","",IF(ISNUMBER($I7306),TEXT($I7306,"0"),$I7306))</f>
        <v/>
      </c>
    </row>
    <row r="7307">
      <c r="B7307" s="25" t="n"/>
      <c r="I7307" s="25" t="n"/>
      <c r="U7307" s="19">
        <f>IF($V7307&lt;&gt;'設定'!$C$4,N(U7306),IF(OR(NOT(COUNTIF('商品マスタ'!$B$6:$B$1005,$W7307)=0),COUNTIFS('①在庫を貼る'!$V$6:$V$10005,$V7307,'①在庫を貼る'!$W$6:$W$10005,$W7307)+COUNTIFS('月1回_1ヶ月前の在庫'!$V$6:$V$10005,$V7307,'月1回_1ヶ月前の在庫'!$W$6:$W$10005,$W7307)&gt;0),N(U7306),N(U7306)+1))</f>
        <v/>
      </c>
      <c r="V7307" s="19">
        <f>IF($B7307="","",TEXT($B7307,"0000"))</f>
        <v/>
      </c>
      <c r="W7307" s="19">
        <f>IF($I7307="","",IF(ISNUMBER($I7307),TEXT($I7307,"0"),$I7307))</f>
        <v/>
      </c>
    </row>
    <row r="7308">
      <c r="B7308" s="25" t="n"/>
      <c r="I7308" s="25" t="n"/>
      <c r="U7308" s="19">
        <f>IF($V7308&lt;&gt;'設定'!$C$4,N(U7307),IF(OR(NOT(COUNTIF('商品マスタ'!$B$6:$B$1005,$W7308)=0),COUNTIFS('①在庫を貼る'!$V$6:$V$10005,$V7308,'①在庫を貼る'!$W$6:$W$10005,$W7308)+COUNTIFS('月1回_1ヶ月前の在庫'!$V$6:$V$10005,$V7308,'月1回_1ヶ月前の在庫'!$W$6:$W$10005,$W7308)&gt;0),N(U7307),N(U7307)+1))</f>
        <v/>
      </c>
      <c r="V7308" s="19">
        <f>IF($B7308="","",TEXT($B7308,"0000"))</f>
        <v/>
      </c>
      <c r="W7308" s="19">
        <f>IF($I7308="","",IF(ISNUMBER($I7308),TEXT($I7308,"0"),$I7308))</f>
        <v/>
      </c>
    </row>
    <row r="7309">
      <c r="B7309" s="25" t="n"/>
      <c r="I7309" s="25" t="n"/>
      <c r="U7309" s="19">
        <f>IF($V7309&lt;&gt;'設定'!$C$4,N(U7308),IF(OR(NOT(COUNTIF('商品マスタ'!$B$6:$B$1005,$W7309)=0),COUNTIFS('①在庫を貼る'!$V$6:$V$10005,$V7309,'①在庫を貼る'!$W$6:$W$10005,$W7309)+COUNTIFS('月1回_1ヶ月前の在庫'!$V$6:$V$10005,$V7309,'月1回_1ヶ月前の在庫'!$W$6:$W$10005,$W7309)&gt;0),N(U7308),N(U7308)+1))</f>
        <v/>
      </c>
      <c r="V7309" s="19">
        <f>IF($B7309="","",TEXT($B7309,"0000"))</f>
        <v/>
      </c>
      <c r="W7309" s="19">
        <f>IF($I7309="","",IF(ISNUMBER($I7309),TEXT($I7309,"0"),$I7309))</f>
        <v/>
      </c>
    </row>
    <row r="7310">
      <c r="B7310" s="25" t="n"/>
      <c r="I7310" s="25" t="n"/>
      <c r="U7310" s="19">
        <f>IF($V7310&lt;&gt;'設定'!$C$4,N(U7309),IF(OR(NOT(COUNTIF('商品マスタ'!$B$6:$B$1005,$W7310)=0),COUNTIFS('①在庫を貼る'!$V$6:$V$10005,$V7310,'①在庫を貼る'!$W$6:$W$10005,$W7310)+COUNTIFS('月1回_1ヶ月前の在庫'!$V$6:$V$10005,$V7310,'月1回_1ヶ月前の在庫'!$W$6:$W$10005,$W7310)&gt;0),N(U7309),N(U7309)+1))</f>
        <v/>
      </c>
      <c r="V7310" s="19">
        <f>IF($B7310="","",TEXT($B7310,"0000"))</f>
        <v/>
      </c>
      <c r="W7310" s="19">
        <f>IF($I7310="","",IF(ISNUMBER($I7310),TEXT($I7310,"0"),$I7310))</f>
        <v/>
      </c>
    </row>
    <row r="7311">
      <c r="B7311" s="25" t="n"/>
      <c r="I7311" s="25" t="n"/>
      <c r="U7311" s="19">
        <f>IF($V7311&lt;&gt;'設定'!$C$4,N(U7310),IF(OR(NOT(COUNTIF('商品マスタ'!$B$6:$B$1005,$W7311)=0),COUNTIFS('①在庫を貼る'!$V$6:$V$10005,$V7311,'①在庫を貼る'!$W$6:$W$10005,$W7311)+COUNTIFS('月1回_1ヶ月前の在庫'!$V$6:$V$10005,$V7311,'月1回_1ヶ月前の在庫'!$W$6:$W$10005,$W7311)&gt;0),N(U7310),N(U7310)+1))</f>
        <v/>
      </c>
      <c r="V7311" s="19">
        <f>IF($B7311="","",TEXT($B7311,"0000"))</f>
        <v/>
      </c>
      <c r="W7311" s="19">
        <f>IF($I7311="","",IF(ISNUMBER($I7311),TEXT($I7311,"0"),$I7311))</f>
        <v/>
      </c>
    </row>
    <row r="7312">
      <c r="B7312" s="25" t="n"/>
      <c r="I7312" s="25" t="n"/>
      <c r="U7312" s="19">
        <f>IF($V7312&lt;&gt;'設定'!$C$4,N(U7311),IF(OR(NOT(COUNTIF('商品マスタ'!$B$6:$B$1005,$W7312)=0),COUNTIFS('①在庫を貼る'!$V$6:$V$10005,$V7312,'①在庫を貼る'!$W$6:$W$10005,$W7312)+COUNTIFS('月1回_1ヶ月前の在庫'!$V$6:$V$10005,$V7312,'月1回_1ヶ月前の在庫'!$W$6:$W$10005,$W7312)&gt;0),N(U7311),N(U7311)+1))</f>
        <v/>
      </c>
      <c r="V7312" s="19">
        <f>IF($B7312="","",TEXT($B7312,"0000"))</f>
        <v/>
      </c>
      <c r="W7312" s="19">
        <f>IF($I7312="","",IF(ISNUMBER($I7312),TEXT($I7312,"0"),$I7312))</f>
        <v/>
      </c>
    </row>
    <row r="7313">
      <c r="B7313" s="25" t="n"/>
      <c r="I7313" s="25" t="n"/>
      <c r="U7313" s="19">
        <f>IF($V7313&lt;&gt;'設定'!$C$4,N(U7312),IF(OR(NOT(COUNTIF('商品マスタ'!$B$6:$B$1005,$W7313)=0),COUNTIFS('①在庫を貼る'!$V$6:$V$10005,$V7313,'①在庫を貼る'!$W$6:$W$10005,$W7313)+COUNTIFS('月1回_1ヶ月前の在庫'!$V$6:$V$10005,$V7313,'月1回_1ヶ月前の在庫'!$W$6:$W$10005,$W7313)&gt;0),N(U7312),N(U7312)+1))</f>
        <v/>
      </c>
      <c r="V7313" s="19">
        <f>IF($B7313="","",TEXT($B7313,"0000"))</f>
        <v/>
      </c>
      <c r="W7313" s="19">
        <f>IF($I7313="","",IF(ISNUMBER($I7313),TEXT($I7313,"0"),$I7313))</f>
        <v/>
      </c>
    </row>
    <row r="7314">
      <c r="B7314" s="25" t="n"/>
      <c r="I7314" s="25" t="n"/>
      <c r="U7314" s="19">
        <f>IF($V7314&lt;&gt;'設定'!$C$4,N(U7313),IF(OR(NOT(COUNTIF('商品マスタ'!$B$6:$B$1005,$W7314)=0),COUNTIFS('①在庫を貼る'!$V$6:$V$10005,$V7314,'①在庫を貼る'!$W$6:$W$10005,$W7314)+COUNTIFS('月1回_1ヶ月前の在庫'!$V$6:$V$10005,$V7314,'月1回_1ヶ月前の在庫'!$W$6:$W$10005,$W7314)&gt;0),N(U7313),N(U7313)+1))</f>
        <v/>
      </c>
      <c r="V7314" s="19">
        <f>IF($B7314="","",TEXT($B7314,"0000"))</f>
        <v/>
      </c>
      <c r="W7314" s="19">
        <f>IF($I7314="","",IF(ISNUMBER($I7314),TEXT($I7314,"0"),$I7314))</f>
        <v/>
      </c>
    </row>
    <row r="7315">
      <c r="B7315" s="25" t="n"/>
      <c r="I7315" s="25" t="n"/>
      <c r="U7315" s="19">
        <f>IF($V7315&lt;&gt;'設定'!$C$4,N(U7314),IF(OR(NOT(COUNTIF('商品マスタ'!$B$6:$B$1005,$W7315)=0),COUNTIFS('①在庫を貼る'!$V$6:$V$10005,$V7315,'①在庫を貼る'!$W$6:$W$10005,$W7315)+COUNTIFS('月1回_1ヶ月前の在庫'!$V$6:$V$10005,$V7315,'月1回_1ヶ月前の在庫'!$W$6:$W$10005,$W7315)&gt;0),N(U7314),N(U7314)+1))</f>
        <v/>
      </c>
      <c r="V7315" s="19">
        <f>IF($B7315="","",TEXT($B7315,"0000"))</f>
        <v/>
      </c>
      <c r="W7315" s="19">
        <f>IF($I7315="","",IF(ISNUMBER($I7315),TEXT($I7315,"0"),$I7315))</f>
        <v/>
      </c>
    </row>
    <row r="7316">
      <c r="B7316" s="25" t="n"/>
      <c r="I7316" s="25" t="n"/>
      <c r="U7316" s="19">
        <f>IF($V7316&lt;&gt;'設定'!$C$4,N(U7315),IF(OR(NOT(COUNTIF('商品マスタ'!$B$6:$B$1005,$W7316)=0),COUNTIFS('①在庫を貼る'!$V$6:$V$10005,$V7316,'①在庫を貼る'!$W$6:$W$10005,$W7316)+COUNTIFS('月1回_1ヶ月前の在庫'!$V$6:$V$10005,$V7316,'月1回_1ヶ月前の在庫'!$W$6:$W$10005,$W7316)&gt;0),N(U7315),N(U7315)+1))</f>
        <v/>
      </c>
      <c r="V7316" s="19">
        <f>IF($B7316="","",TEXT($B7316,"0000"))</f>
        <v/>
      </c>
      <c r="W7316" s="19">
        <f>IF($I7316="","",IF(ISNUMBER($I7316),TEXT($I7316,"0"),$I7316))</f>
        <v/>
      </c>
    </row>
    <row r="7317">
      <c r="B7317" s="25" t="n"/>
      <c r="I7317" s="25" t="n"/>
      <c r="U7317" s="19">
        <f>IF($V7317&lt;&gt;'設定'!$C$4,N(U7316),IF(OR(NOT(COUNTIF('商品マスタ'!$B$6:$B$1005,$W7317)=0),COUNTIFS('①在庫を貼る'!$V$6:$V$10005,$V7317,'①在庫を貼る'!$W$6:$W$10005,$W7317)+COUNTIFS('月1回_1ヶ月前の在庫'!$V$6:$V$10005,$V7317,'月1回_1ヶ月前の在庫'!$W$6:$W$10005,$W7317)&gt;0),N(U7316),N(U7316)+1))</f>
        <v/>
      </c>
      <c r="V7317" s="19">
        <f>IF($B7317="","",TEXT($B7317,"0000"))</f>
        <v/>
      </c>
      <c r="W7317" s="19">
        <f>IF($I7317="","",IF(ISNUMBER($I7317),TEXT($I7317,"0"),$I7317))</f>
        <v/>
      </c>
    </row>
    <row r="7318">
      <c r="B7318" s="25" t="n"/>
      <c r="I7318" s="25" t="n"/>
      <c r="U7318" s="19">
        <f>IF($V7318&lt;&gt;'設定'!$C$4,N(U7317),IF(OR(NOT(COUNTIF('商品マスタ'!$B$6:$B$1005,$W7318)=0),COUNTIFS('①在庫を貼る'!$V$6:$V$10005,$V7318,'①在庫を貼る'!$W$6:$W$10005,$W7318)+COUNTIFS('月1回_1ヶ月前の在庫'!$V$6:$V$10005,$V7318,'月1回_1ヶ月前の在庫'!$W$6:$W$10005,$W7318)&gt;0),N(U7317),N(U7317)+1))</f>
        <v/>
      </c>
      <c r="V7318" s="19">
        <f>IF($B7318="","",TEXT($B7318,"0000"))</f>
        <v/>
      </c>
      <c r="W7318" s="19">
        <f>IF($I7318="","",IF(ISNUMBER($I7318),TEXT($I7318,"0"),$I7318))</f>
        <v/>
      </c>
    </row>
    <row r="7319">
      <c r="B7319" s="25" t="n"/>
      <c r="I7319" s="25" t="n"/>
      <c r="U7319" s="19">
        <f>IF($V7319&lt;&gt;'設定'!$C$4,N(U7318),IF(OR(NOT(COUNTIF('商品マスタ'!$B$6:$B$1005,$W7319)=0),COUNTIFS('①在庫を貼る'!$V$6:$V$10005,$V7319,'①在庫を貼る'!$W$6:$W$10005,$W7319)+COUNTIFS('月1回_1ヶ月前の在庫'!$V$6:$V$10005,$V7319,'月1回_1ヶ月前の在庫'!$W$6:$W$10005,$W7319)&gt;0),N(U7318),N(U7318)+1))</f>
        <v/>
      </c>
      <c r="V7319" s="19">
        <f>IF($B7319="","",TEXT($B7319,"0000"))</f>
        <v/>
      </c>
      <c r="W7319" s="19">
        <f>IF($I7319="","",IF(ISNUMBER($I7319),TEXT($I7319,"0"),$I7319))</f>
        <v/>
      </c>
    </row>
    <row r="7320">
      <c r="B7320" s="25" t="n"/>
      <c r="I7320" s="25" t="n"/>
      <c r="U7320" s="19">
        <f>IF($V7320&lt;&gt;'設定'!$C$4,N(U7319),IF(OR(NOT(COUNTIF('商品マスタ'!$B$6:$B$1005,$W7320)=0),COUNTIFS('①在庫を貼る'!$V$6:$V$10005,$V7320,'①在庫を貼る'!$W$6:$W$10005,$W7320)+COUNTIFS('月1回_1ヶ月前の在庫'!$V$6:$V$10005,$V7320,'月1回_1ヶ月前の在庫'!$W$6:$W$10005,$W7320)&gt;0),N(U7319),N(U7319)+1))</f>
        <v/>
      </c>
      <c r="V7320" s="19">
        <f>IF($B7320="","",TEXT($B7320,"0000"))</f>
        <v/>
      </c>
      <c r="W7320" s="19">
        <f>IF($I7320="","",IF(ISNUMBER($I7320),TEXT($I7320,"0"),$I7320))</f>
        <v/>
      </c>
    </row>
    <row r="7321">
      <c r="B7321" s="25" t="n"/>
      <c r="I7321" s="25" t="n"/>
      <c r="U7321" s="19">
        <f>IF($V7321&lt;&gt;'設定'!$C$4,N(U7320),IF(OR(NOT(COUNTIF('商品マスタ'!$B$6:$B$1005,$W7321)=0),COUNTIFS('①在庫を貼る'!$V$6:$V$10005,$V7321,'①在庫を貼る'!$W$6:$W$10005,$W7321)+COUNTIFS('月1回_1ヶ月前の在庫'!$V$6:$V$10005,$V7321,'月1回_1ヶ月前の在庫'!$W$6:$W$10005,$W7321)&gt;0),N(U7320),N(U7320)+1))</f>
        <v/>
      </c>
      <c r="V7321" s="19">
        <f>IF($B7321="","",TEXT($B7321,"0000"))</f>
        <v/>
      </c>
      <c r="W7321" s="19">
        <f>IF($I7321="","",IF(ISNUMBER($I7321),TEXT($I7321,"0"),$I7321))</f>
        <v/>
      </c>
    </row>
    <row r="7322">
      <c r="B7322" s="25" t="n"/>
      <c r="I7322" s="25" t="n"/>
      <c r="U7322" s="19">
        <f>IF($V7322&lt;&gt;'設定'!$C$4,N(U7321),IF(OR(NOT(COUNTIF('商品マスタ'!$B$6:$B$1005,$W7322)=0),COUNTIFS('①在庫を貼る'!$V$6:$V$10005,$V7322,'①在庫を貼る'!$W$6:$W$10005,$W7322)+COUNTIFS('月1回_1ヶ月前の在庫'!$V$6:$V$10005,$V7322,'月1回_1ヶ月前の在庫'!$W$6:$W$10005,$W7322)&gt;0),N(U7321),N(U7321)+1))</f>
        <v/>
      </c>
      <c r="V7322" s="19">
        <f>IF($B7322="","",TEXT($B7322,"0000"))</f>
        <v/>
      </c>
      <c r="W7322" s="19">
        <f>IF($I7322="","",IF(ISNUMBER($I7322),TEXT($I7322,"0"),$I7322))</f>
        <v/>
      </c>
    </row>
    <row r="7323">
      <c r="B7323" s="25" t="n"/>
      <c r="I7323" s="25" t="n"/>
      <c r="U7323" s="19">
        <f>IF($V7323&lt;&gt;'設定'!$C$4,N(U7322),IF(OR(NOT(COUNTIF('商品マスタ'!$B$6:$B$1005,$W7323)=0),COUNTIFS('①在庫を貼る'!$V$6:$V$10005,$V7323,'①在庫を貼る'!$W$6:$W$10005,$W7323)+COUNTIFS('月1回_1ヶ月前の在庫'!$V$6:$V$10005,$V7323,'月1回_1ヶ月前の在庫'!$W$6:$W$10005,$W7323)&gt;0),N(U7322),N(U7322)+1))</f>
        <v/>
      </c>
      <c r="V7323" s="19">
        <f>IF($B7323="","",TEXT($B7323,"0000"))</f>
        <v/>
      </c>
      <c r="W7323" s="19">
        <f>IF($I7323="","",IF(ISNUMBER($I7323),TEXT($I7323,"0"),$I7323))</f>
        <v/>
      </c>
    </row>
    <row r="7324">
      <c r="B7324" s="25" t="n"/>
      <c r="I7324" s="25" t="n"/>
      <c r="U7324" s="19">
        <f>IF($V7324&lt;&gt;'設定'!$C$4,N(U7323),IF(OR(NOT(COUNTIF('商品マスタ'!$B$6:$B$1005,$W7324)=0),COUNTIFS('①在庫を貼る'!$V$6:$V$10005,$V7324,'①在庫を貼る'!$W$6:$W$10005,$W7324)+COUNTIFS('月1回_1ヶ月前の在庫'!$V$6:$V$10005,$V7324,'月1回_1ヶ月前の在庫'!$W$6:$W$10005,$W7324)&gt;0),N(U7323),N(U7323)+1))</f>
        <v/>
      </c>
      <c r="V7324" s="19">
        <f>IF($B7324="","",TEXT($B7324,"0000"))</f>
        <v/>
      </c>
      <c r="W7324" s="19">
        <f>IF($I7324="","",IF(ISNUMBER($I7324),TEXT($I7324,"0"),$I7324))</f>
        <v/>
      </c>
    </row>
    <row r="7325">
      <c r="B7325" s="25" t="n"/>
      <c r="I7325" s="25" t="n"/>
      <c r="U7325" s="19">
        <f>IF($V7325&lt;&gt;'設定'!$C$4,N(U7324),IF(OR(NOT(COUNTIF('商品マスタ'!$B$6:$B$1005,$W7325)=0),COUNTIFS('①在庫を貼る'!$V$6:$V$10005,$V7325,'①在庫を貼る'!$W$6:$W$10005,$W7325)+COUNTIFS('月1回_1ヶ月前の在庫'!$V$6:$V$10005,$V7325,'月1回_1ヶ月前の在庫'!$W$6:$W$10005,$W7325)&gt;0),N(U7324),N(U7324)+1))</f>
        <v/>
      </c>
      <c r="V7325" s="19">
        <f>IF($B7325="","",TEXT($B7325,"0000"))</f>
        <v/>
      </c>
      <c r="W7325" s="19">
        <f>IF($I7325="","",IF(ISNUMBER($I7325),TEXT($I7325,"0"),$I7325))</f>
        <v/>
      </c>
    </row>
    <row r="7326">
      <c r="B7326" s="25" t="n"/>
      <c r="I7326" s="25" t="n"/>
      <c r="U7326" s="19">
        <f>IF($V7326&lt;&gt;'設定'!$C$4,N(U7325),IF(OR(NOT(COUNTIF('商品マスタ'!$B$6:$B$1005,$W7326)=0),COUNTIFS('①在庫を貼る'!$V$6:$V$10005,$V7326,'①在庫を貼る'!$W$6:$W$10005,$W7326)+COUNTIFS('月1回_1ヶ月前の在庫'!$V$6:$V$10005,$V7326,'月1回_1ヶ月前の在庫'!$W$6:$W$10005,$W7326)&gt;0),N(U7325),N(U7325)+1))</f>
        <v/>
      </c>
      <c r="V7326" s="19">
        <f>IF($B7326="","",TEXT($B7326,"0000"))</f>
        <v/>
      </c>
      <c r="W7326" s="19">
        <f>IF($I7326="","",IF(ISNUMBER($I7326),TEXT($I7326,"0"),$I7326))</f>
        <v/>
      </c>
    </row>
    <row r="7327">
      <c r="B7327" s="25" t="n"/>
      <c r="I7327" s="25" t="n"/>
      <c r="U7327" s="19">
        <f>IF($V7327&lt;&gt;'設定'!$C$4,N(U7326),IF(OR(NOT(COUNTIF('商品マスタ'!$B$6:$B$1005,$W7327)=0),COUNTIFS('①在庫を貼る'!$V$6:$V$10005,$V7327,'①在庫を貼る'!$W$6:$W$10005,$W7327)+COUNTIFS('月1回_1ヶ月前の在庫'!$V$6:$V$10005,$V7327,'月1回_1ヶ月前の在庫'!$W$6:$W$10005,$W7327)&gt;0),N(U7326),N(U7326)+1))</f>
        <v/>
      </c>
      <c r="V7327" s="19">
        <f>IF($B7327="","",TEXT($B7327,"0000"))</f>
        <v/>
      </c>
      <c r="W7327" s="19">
        <f>IF($I7327="","",IF(ISNUMBER($I7327),TEXT($I7327,"0"),$I7327))</f>
        <v/>
      </c>
    </row>
    <row r="7328">
      <c r="B7328" s="25" t="n"/>
      <c r="I7328" s="25" t="n"/>
      <c r="U7328" s="19">
        <f>IF($V7328&lt;&gt;'設定'!$C$4,N(U7327),IF(OR(NOT(COUNTIF('商品マスタ'!$B$6:$B$1005,$W7328)=0),COUNTIFS('①在庫を貼る'!$V$6:$V$10005,$V7328,'①在庫を貼る'!$W$6:$W$10005,$W7328)+COUNTIFS('月1回_1ヶ月前の在庫'!$V$6:$V$10005,$V7328,'月1回_1ヶ月前の在庫'!$W$6:$W$10005,$W7328)&gt;0),N(U7327),N(U7327)+1))</f>
        <v/>
      </c>
      <c r="V7328" s="19">
        <f>IF($B7328="","",TEXT($B7328,"0000"))</f>
        <v/>
      </c>
      <c r="W7328" s="19">
        <f>IF($I7328="","",IF(ISNUMBER($I7328),TEXT($I7328,"0"),$I7328))</f>
        <v/>
      </c>
    </row>
    <row r="7329">
      <c r="B7329" s="25" t="n"/>
      <c r="I7329" s="25" t="n"/>
      <c r="U7329" s="19">
        <f>IF($V7329&lt;&gt;'設定'!$C$4,N(U7328),IF(OR(NOT(COUNTIF('商品マスタ'!$B$6:$B$1005,$W7329)=0),COUNTIFS('①在庫を貼る'!$V$6:$V$10005,$V7329,'①在庫を貼る'!$W$6:$W$10005,$W7329)+COUNTIFS('月1回_1ヶ月前の在庫'!$V$6:$V$10005,$V7329,'月1回_1ヶ月前の在庫'!$W$6:$W$10005,$W7329)&gt;0),N(U7328),N(U7328)+1))</f>
        <v/>
      </c>
      <c r="V7329" s="19">
        <f>IF($B7329="","",TEXT($B7329,"0000"))</f>
        <v/>
      </c>
      <c r="W7329" s="19">
        <f>IF($I7329="","",IF(ISNUMBER($I7329),TEXT($I7329,"0"),$I7329))</f>
        <v/>
      </c>
    </row>
    <row r="7330">
      <c r="B7330" s="25" t="n"/>
      <c r="I7330" s="25" t="n"/>
      <c r="U7330" s="19">
        <f>IF($V7330&lt;&gt;'設定'!$C$4,N(U7329),IF(OR(NOT(COUNTIF('商品マスタ'!$B$6:$B$1005,$W7330)=0),COUNTIFS('①在庫を貼る'!$V$6:$V$10005,$V7330,'①在庫を貼る'!$W$6:$W$10005,$W7330)+COUNTIFS('月1回_1ヶ月前の在庫'!$V$6:$V$10005,$V7330,'月1回_1ヶ月前の在庫'!$W$6:$W$10005,$W7330)&gt;0),N(U7329),N(U7329)+1))</f>
        <v/>
      </c>
      <c r="V7330" s="19">
        <f>IF($B7330="","",TEXT($B7330,"0000"))</f>
        <v/>
      </c>
      <c r="W7330" s="19">
        <f>IF($I7330="","",IF(ISNUMBER($I7330),TEXT($I7330,"0"),$I7330))</f>
        <v/>
      </c>
    </row>
    <row r="7331">
      <c r="B7331" s="25" t="n"/>
      <c r="I7331" s="25" t="n"/>
      <c r="U7331" s="19">
        <f>IF($V7331&lt;&gt;'設定'!$C$4,N(U7330),IF(OR(NOT(COUNTIF('商品マスタ'!$B$6:$B$1005,$W7331)=0),COUNTIFS('①在庫を貼る'!$V$6:$V$10005,$V7331,'①在庫を貼る'!$W$6:$W$10005,$W7331)+COUNTIFS('月1回_1ヶ月前の在庫'!$V$6:$V$10005,$V7331,'月1回_1ヶ月前の在庫'!$W$6:$W$10005,$W7331)&gt;0),N(U7330),N(U7330)+1))</f>
        <v/>
      </c>
      <c r="V7331" s="19">
        <f>IF($B7331="","",TEXT($B7331,"0000"))</f>
        <v/>
      </c>
      <c r="W7331" s="19">
        <f>IF($I7331="","",IF(ISNUMBER($I7331),TEXT($I7331,"0"),$I7331))</f>
        <v/>
      </c>
    </row>
    <row r="7332">
      <c r="B7332" s="25" t="n"/>
      <c r="I7332" s="25" t="n"/>
      <c r="U7332" s="19">
        <f>IF($V7332&lt;&gt;'設定'!$C$4,N(U7331),IF(OR(NOT(COUNTIF('商品マスタ'!$B$6:$B$1005,$W7332)=0),COUNTIFS('①在庫を貼る'!$V$6:$V$10005,$V7332,'①在庫を貼る'!$W$6:$W$10005,$W7332)+COUNTIFS('月1回_1ヶ月前の在庫'!$V$6:$V$10005,$V7332,'月1回_1ヶ月前の在庫'!$W$6:$W$10005,$W7332)&gt;0),N(U7331),N(U7331)+1))</f>
        <v/>
      </c>
      <c r="V7332" s="19">
        <f>IF($B7332="","",TEXT($B7332,"0000"))</f>
        <v/>
      </c>
      <c r="W7332" s="19">
        <f>IF($I7332="","",IF(ISNUMBER($I7332),TEXT($I7332,"0"),$I7332))</f>
        <v/>
      </c>
    </row>
    <row r="7333">
      <c r="B7333" s="25" t="n"/>
      <c r="I7333" s="25" t="n"/>
      <c r="U7333" s="19">
        <f>IF($V7333&lt;&gt;'設定'!$C$4,N(U7332),IF(OR(NOT(COUNTIF('商品マスタ'!$B$6:$B$1005,$W7333)=0),COUNTIFS('①在庫を貼る'!$V$6:$V$10005,$V7333,'①在庫を貼る'!$W$6:$W$10005,$W7333)+COUNTIFS('月1回_1ヶ月前の在庫'!$V$6:$V$10005,$V7333,'月1回_1ヶ月前の在庫'!$W$6:$W$10005,$W7333)&gt;0),N(U7332),N(U7332)+1))</f>
        <v/>
      </c>
      <c r="V7333" s="19">
        <f>IF($B7333="","",TEXT($B7333,"0000"))</f>
        <v/>
      </c>
      <c r="W7333" s="19">
        <f>IF($I7333="","",IF(ISNUMBER($I7333),TEXT($I7333,"0"),$I7333))</f>
        <v/>
      </c>
    </row>
    <row r="7334">
      <c r="B7334" s="25" t="n"/>
      <c r="I7334" s="25" t="n"/>
      <c r="U7334" s="19">
        <f>IF($V7334&lt;&gt;'設定'!$C$4,N(U7333),IF(OR(NOT(COUNTIF('商品マスタ'!$B$6:$B$1005,$W7334)=0),COUNTIFS('①在庫を貼る'!$V$6:$V$10005,$V7334,'①在庫を貼る'!$W$6:$W$10005,$W7334)+COUNTIFS('月1回_1ヶ月前の在庫'!$V$6:$V$10005,$V7334,'月1回_1ヶ月前の在庫'!$W$6:$W$10005,$W7334)&gt;0),N(U7333),N(U7333)+1))</f>
        <v/>
      </c>
      <c r="V7334" s="19">
        <f>IF($B7334="","",TEXT($B7334,"0000"))</f>
        <v/>
      </c>
      <c r="W7334" s="19">
        <f>IF($I7334="","",IF(ISNUMBER($I7334),TEXT($I7334,"0"),$I7334))</f>
        <v/>
      </c>
    </row>
    <row r="7335">
      <c r="B7335" s="25" t="n"/>
      <c r="I7335" s="25" t="n"/>
      <c r="U7335" s="19">
        <f>IF($V7335&lt;&gt;'設定'!$C$4,N(U7334),IF(OR(NOT(COUNTIF('商品マスタ'!$B$6:$B$1005,$W7335)=0),COUNTIFS('①在庫を貼る'!$V$6:$V$10005,$V7335,'①在庫を貼る'!$W$6:$W$10005,$W7335)+COUNTIFS('月1回_1ヶ月前の在庫'!$V$6:$V$10005,$V7335,'月1回_1ヶ月前の在庫'!$W$6:$W$10005,$W7335)&gt;0),N(U7334),N(U7334)+1))</f>
        <v/>
      </c>
      <c r="V7335" s="19">
        <f>IF($B7335="","",TEXT($B7335,"0000"))</f>
        <v/>
      </c>
      <c r="W7335" s="19">
        <f>IF($I7335="","",IF(ISNUMBER($I7335),TEXT($I7335,"0"),$I7335))</f>
        <v/>
      </c>
    </row>
    <row r="7336">
      <c r="B7336" s="25" t="n"/>
      <c r="I7336" s="25" t="n"/>
      <c r="U7336" s="19">
        <f>IF($V7336&lt;&gt;'設定'!$C$4,N(U7335),IF(OR(NOT(COUNTIF('商品マスタ'!$B$6:$B$1005,$W7336)=0),COUNTIFS('①在庫を貼る'!$V$6:$V$10005,$V7336,'①在庫を貼る'!$W$6:$W$10005,$W7336)+COUNTIFS('月1回_1ヶ月前の在庫'!$V$6:$V$10005,$V7336,'月1回_1ヶ月前の在庫'!$W$6:$W$10005,$W7336)&gt;0),N(U7335),N(U7335)+1))</f>
        <v/>
      </c>
      <c r="V7336" s="19">
        <f>IF($B7336="","",TEXT($B7336,"0000"))</f>
        <v/>
      </c>
      <c r="W7336" s="19">
        <f>IF($I7336="","",IF(ISNUMBER($I7336),TEXT($I7336,"0"),$I7336))</f>
        <v/>
      </c>
    </row>
    <row r="7337">
      <c r="B7337" s="25" t="n"/>
      <c r="I7337" s="25" t="n"/>
      <c r="U7337" s="19">
        <f>IF($V7337&lt;&gt;'設定'!$C$4,N(U7336),IF(OR(NOT(COUNTIF('商品マスタ'!$B$6:$B$1005,$W7337)=0),COUNTIFS('①在庫を貼る'!$V$6:$V$10005,$V7337,'①在庫を貼る'!$W$6:$W$10005,$W7337)+COUNTIFS('月1回_1ヶ月前の在庫'!$V$6:$V$10005,$V7337,'月1回_1ヶ月前の在庫'!$W$6:$W$10005,$W7337)&gt;0),N(U7336),N(U7336)+1))</f>
        <v/>
      </c>
      <c r="V7337" s="19">
        <f>IF($B7337="","",TEXT($B7337,"0000"))</f>
        <v/>
      </c>
      <c r="W7337" s="19">
        <f>IF($I7337="","",IF(ISNUMBER($I7337),TEXT($I7337,"0"),$I7337))</f>
        <v/>
      </c>
    </row>
    <row r="7338">
      <c r="B7338" s="25" t="n"/>
      <c r="I7338" s="25" t="n"/>
      <c r="U7338" s="19">
        <f>IF($V7338&lt;&gt;'設定'!$C$4,N(U7337),IF(OR(NOT(COUNTIF('商品マスタ'!$B$6:$B$1005,$W7338)=0),COUNTIFS('①在庫を貼る'!$V$6:$V$10005,$V7338,'①在庫を貼る'!$W$6:$W$10005,$W7338)+COUNTIFS('月1回_1ヶ月前の在庫'!$V$6:$V$10005,$V7338,'月1回_1ヶ月前の在庫'!$W$6:$W$10005,$W7338)&gt;0),N(U7337),N(U7337)+1))</f>
        <v/>
      </c>
      <c r="V7338" s="19">
        <f>IF($B7338="","",TEXT($B7338,"0000"))</f>
        <v/>
      </c>
      <c r="W7338" s="19">
        <f>IF($I7338="","",IF(ISNUMBER($I7338),TEXT($I7338,"0"),$I7338))</f>
        <v/>
      </c>
    </row>
    <row r="7339">
      <c r="B7339" s="25" t="n"/>
      <c r="I7339" s="25" t="n"/>
      <c r="U7339" s="19">
        <f>IF($V7339&lt;&gt;'設定'!$C$4,N(U7338),IF(OR(NOT(COUNTIF('商品マスタ'!$B$6:$B$1005,$W7339)=0),COUNTIFS('①在庫を貼る'!$V$6:$V$10005,$V7339,'①在庫を貼る'!$W$6:$W$10005,$W7339)+COUNTIFS('月1回_1ヶ月前の在庫'!$V$6:$V$10005,$V7339,'月1回_1ヶ月前の在庫'!$W$6:$W$10005,$W7339)&gt;0),N(U7338),N(U7338)+1))</f>
        <v/>
      </c>
      <c r="V7339" s="19">
        <f>IF($B7339="","",TEXT($B7339,"0000"))</f>
        <v/>
      </c>
      <c r="W7339" s="19">
        <f>IF($I7339="","",IF(ISNUMBER($I7339),TEXT($I7339,"0"),$I7339))</f>
        <v/>
      </c>
    </row>
    <row r="7340">
      <c r="B7340" s="25" t="n"/>
      <c r="I7340" s="25" t="n"/>
      <c r="U7340" s="19">
        <f>IF($V7340&lt;&gt;'設定'!$C$4,N(U7339),IF(OR(NOT(COUNTIF('商品マスタ'!$B$6:$B$1005,$W7340)=0),COUNTIFS('①在庫を貼る'!$V$6:$V$10005,$V7340,'①在庫を貼る'!$W$6:$W$10005,$W7340)+COUNTIFS('月1回_1ヶ月前の在庫'!$V$6:$V$10005,$V7340,'月1回_1ヶ月前の在庫'!$W$6:$W$10005,$W7340)&gt;0),N(U7339),N(U7339)+1))</f>
        <v/>
      </c>
      <c r="V7340" s="19">
        <f>IF($B7340="","",TEXT($B7340,"0000"))</f>
        <v/>
      </c>
      <c r="W7340" s="19">
        <f>IF($I7340="","",IF(ISNUMBER($I7340),TEXT($I7340,"0"),$I7340))</f>
        <v/>
      </c>
    </row>
    <row r="7341">
      <c r="B7341" s="25" t="n"/>
      <c r="I7341" s="25" t="n"/>
      <c r="U7341" s="19">
        <f>IF($V7341&lt;&gt;'設定'!$C$4,N(U7340),IF(OR(NOT(COUNTIF('商品マスタ'!$B$6:$B$1005,$W7341)=0),COUNTIFS('①在庫を貼る'!$V$6:$V$10005,$V7341,'①在庫を貼る'!$W$6:$W$10005,$W7341)+COUNTIFS('月1回_1ヶ月前の在庫'!$V$6:$V$10005,$V7341,'月1回_1ヶ月前の在庫'!$W$6:$W$10005,$W7341)&gt;0),N(U7340),N(U7340)+1))</f>
        <v/>
      </c>
      <c r="V7341" s="19">
        <f>IF($B7341="","",TEXT($B7341,"0000"))</f>
        <v/>
      </c>
      <c r="W7341" s="19">
        <f>IF($I7341="","",IF(ISNUMBER($I7341),TEXT($I7341,"0"),$I7341))</f>
        <v/>
      </c>
    </row>
    <row r="7342">
      <c r="B7342" s="25" t="n"/>
      <c r="I7342" s="25" t="n"/>
      <c r="U7342" s="19">
        <f>IF($V7342&lt;&gt;'設定'!$C$4,N(U7341),IF(OR(NOT(COUNTIF('商品マスタ'!$B$6:$B$1005,$W7342)=0),COUNTIFS('①在庫を貼る'!$V$6:$V$10005,$V7342,'①在庫を貼る'!$W$6:$W$10005,$W7342)+COUNTIFS('月1回_1ヶ月前の在庫'!$V$6:$V$10005,$V7342,'月1回_1ヶ月前の在庫'!$W$6:$W$10005,$W7342)&gt;0),N(U7341),N(U7341)+1))</f>
        <v/>
      </c>
      <c r="V7342" s="19">
        <f>IF($B7342="","",TEXT($B7342,"0000"))</f>
        <v/>
      </c>
      <c r="W7342" s="19">
        <f>IF($I7342="","",IF(ISNUMBER($I7342),TEXT($I7342,"0"),$I7342))</f>
        <v/>
      </c>
    </row>
    <row r="7343">
      <c r="B7343" s="25" t="n"/>
      <c r="I7343" s="25" t="n"/>
      <c r="U7343" s="19">
        <f>IF($V7343&lt;&gt;'設定'!$C$4,N(U7342),IF(OR(NOT(COUNTIF('商品マスタ'!$B$6:$B$1005,$W7343)=0),COUNTIFS('①在庫を貼る'!$V$6:$V$10005,$V7343,'①在庫を貼る'!$W$6:$W$10005,$W7343)+COUNTIFS('月1回_1ヶ月前の在庫'!$V$6:$V$10005,$V7343,'月1回_1ヶ月前の在庫'!$W$6:$W$10005,$W7343)&gt;0),N(U7342),N(U7342)+1))</f>
        <v/>
      </c>
      <c r="V7343" s="19">
        <f>IF($B7343="","",TEXT($B7343,"0000"))</f>
        <v/>
      </c>
      <c r="W7343" s="19">
        <f>IF($I7343="","",IF(ISNUMBER($I7343),TEXT($I7343,"0"),$I7343))</f>
        <v/>
      </c>
    </row>
    <row r="7344">
      <c r="B7344" s="25" t="n"/>
      <c r="I7344" s="25" t="n"/>
      <c r="U7344" s="19">
        <f>IF($V7344&lt;&gt;'設定'!$C$4,N(U7343),IF(OR(NOT(COUNTIF('商品マスタ'!$B$6:$B$1005,$W7344)=0),COUNTIFS('①在庫を貼る'!$V$6:$V$10005,$V7344,'①在庫を貼る'!$W$6:$W$10005,$W7344)+COUNTIFS('月1回_1ヶ月前の在庫'!$V$6:$V$10005,$V7344,'月1回_1ヶ月前の在庫'!$W$6:$W$10005,$W7344)&gt;0),N(U7343),N(U7343)+1))</f>
        <v/>
      </c>
      <c r="V7344" s="19">
        <f>IF($B7344="","",TEXT($B7344,"0000"))</f>
        <v/>
      </c>
      <c r="W7344" s="19">
        <f>IF($I7344="","",IF(ISNUMBER($I7344),TEXT($I7344,"0"),$I7344))</f>
        <v/>
      </c>
    </row>
    <row r="7345">
      <c r="B7345" s="25" t="n"/>
      <c r="I7345" s="25" t="n"/>
      <c r="U7345" s="19">
        <f>IF($V7345&lt;&gt;'設定'!$C$4,N(U7344),IF(OR(NOT(COUNTIF('商品マスタ'!$B$6:$B$1005,$W7345)=0),COUNTIFS('①在庫を貼る'!$V$6:$V$10005,$V7345,'①在庫を貼る'!$W$6:$W$10005,$W7345)+COUNTIFS('月1回_1ヶ月前の在庫'!$V$6:$V$10005,$V7345,'月1回_1ヶ月前の在庫'!$W$6:$W$10005,$W7345)&gt;0),N(U7344),N(U7344)+1))</f>
        <v/>
      </c>
      <c r="V7345" s="19">
        <f>IF($B7345="","",TEXT($B7345,"0000"))</f>
        <v/>
      </c>
      <c r="W7345" s="19">
        <f>IF($I7345="","",IF(ISNUMBER($I7345),TEXT($I7345,"0"),$I7345))</f>
        <v/>
      </c>
    </row>
    <row r="7346">
      <c r="B7346" s="25" t="n"/>
      <c r="I7346" s="25" t="n"/>
      <c r="U7346" s="19">
        <f>IF($V7346&lt;&gt;'設定'!$C$4,N(U7345),IF(OR(NOT(COUNTIF('商品マスタ'!$B$6:$B$1005,$W7346)=0),COUNTIFS('①在庫を貼る'!$V$6:$V$10005,$V7346,'①在庫を貼る'!$W$6:$W$10005,$W7346)+COUNTIFS('月1回_1ヶ月前の在庫'!$V$6:$V$10005,$V7346,'月1回_1ヶ月前の在庫'!$W$6:$W$10005,$W7346)&gt;0),N(U7345),N(U7345)+1))</f>
        <v/>
      </c>
      <c r="V7346" s="19">
        <f>IF($B7346="","",TEXT($B7346,"0000"))</f>
        <v/>
      </c>
      <c r="W7346" s="19">
        <f>IF($I7346="","",IF(ISNUMBER($I7346),TEXT($I7346,"0"),$I7346))</f>
        <v/>
      </c>
    </row>
    <row r="7347">
      <c r="B7347" s="25" t="n"/>
      <c r="I7347" s="25" t="n"/>
      <c r="U7347" s="19">
        <f>IF($V7347&lt;&gt;'設定'!$C$4,N(U7346),IF(OR(NOT(COUNTIF('商品マスタ'!$B$6:$B$1005,$W7347)=0),COUNTIFS('①在庫を貼る'!$V$6:$V$10005,$V7347,'①在庫を貼る'!$W$6:$W$10005,$W7347)+COUNTIFS('月1回_1ヶ月前の在庫'!$V$6:$V$10005,$V7347,'月1回_1ヶ月前の在庫'!$W$6:$W$10005,$W7347)&gt;0),N(U7346),N(U7346)+1))</f>
        <v/>
      </c>
      <c r="V7347" s="19">
        <f>IF($B7347="","",TEXT($B7347,"0000"))</f>
        <v/>
      </c>
      <c r="W7347" s="19">
        <f>IF($I7347="","",IF(ISNUMBER($I7347),TEXT($I7347,"0"),$I7347))</f>
        <v/>
      </c>
    </row>
    <row r="7348">
      <c r="B7348" s="25" t="n"/>
      <c r="I7348" s="25" t="n"/>
      <c r="U7348" s="19">
        <f>IF($V7348&lt;&gt;'設定'!$C$4,N(U7347),IF(OR(NOT(COUNTIF('商品マスタ'!$B$6:$B$1005,$W7348)=0),COUNTIFS('①在庫を貼る'!$V$6:$V$10005,$V7348,'①在庫を貼る'!$W$6:$W$10005,$W7348)+COUNTIFS('月1回_1ヶ月前の在庫'!$V$6:$V$10005,$V7348,'月1回_1ヶ月前の在庫'!$W$6:$W$10005,$W7348)&gt;0),N(U7347),N(U7347)+1))</f>
        <v/>
      </c>
      <c r="V7348" s="19">
        <f>IF($B7348="","",TEXT($B7348,"0000"))</f>
        <v/>
      </c>
      <c r="W7348" s="19">
        <f>IF($I7348="","",IF(ISNUMBER($I7348),TEXT($I7348,"0"),$I7348))</f>
        <v/>
      </c>
    </row>
    <row r="7349">
      <c r="B7349" s="25" t="n"/>
      <c r="I7349" s="25" t="n"/>
      <c r="U7349" s="19">
        <f>IF($V7349&lt;&gt;'設定'!$C$4,N(U7348),IF(OR(NOT(COUNTIF('商品マスタ'!$B$6:$B$1005,$W7349)=0),COUNTIFS('①在庫を貼る'!$V$6:$V$10005,$V7349,'①在庫を貼る'!$W$6:$W$10005,$W7349)+COUNTIFS('月1回_1ヶ月前の在庫'!$V$6:$V$10005,$V7349,'月1回_1ヶ月前の在庫'!$W$6:$W$10005,$W7349)&gt;0),N(U7348),N(U7348)+1))</f>
        <v/>
      </c>
      <c r="V7349" s="19">
        <f>IF($B7349="","",TEXT($B7349,"0000"))</f>
        <v/>
      </c>
      <c r="W7349" s="19">
        <f>IF($I7349="","",IF(ISNUMBER($I7349),TEXT($I7349,"0"),$I7349))</f>
        <v/>
      </c>
    </row>
    <row r="7350">
      <c r="B7350" s="25" t="n"/>
      <c r="I7350" s="25" t="n"/>
      <c r="U7350" s="19">
        <f>IF($V7350&lt;&gt;'設定'!$C$4,N(U7349),IF(OR(NOT(COUNTIF('商品マスタ'!$B$6:$B$1005,$W7350)=0),COUNTIFS('①在庫を貼る'!$V$6:$V$10005,$V7350,'①在庫を貼る'!$W$6:$W$10005,$W7350)+COUNTIFS('月1回_1ヶ月前の在庫'!$V$6:$V$10005,$V7350,'月1回_1ヶ月前の在庫'!$W$6:$W$10005,$W7350)&gt;0),N(U7349),N(U7349)+1))</f>
        <v/>
      </c>
      <c r="V7350" s="19">
        <f>IF($B7350="","",TEXT($B7350,"0000"))</f>
        <v/>
      </c>
      <c r="W7350" s="19">
        <f>IF($I7350="","",IF(ISNUMBER($I7350),TEXT($I7350,"0"),$I7350))</f>
        <v/>
      </c>
    </row>
    <row r="7351">
      <c r="B7351" s="25" t="n"/>
      <c r="I7351" s="25" t="n"/>
      <c r="U7351" s="19">
        <f>IF($V7351&lt;&gt;'設定'!$C$4,N(U7350),IF(OR(NOT(COUNTIF('商品マスタ'!$B$6:$B$1005,$W7351)=0),COUNTIFS('①在庫を貼る'!$V$6:$V$10005,$V7351,'①在庫を貼る'!$W$6:$W$10005,$W7351)+COUNTIFS('月1回_1ヶ月前の在庫'!$V$6:$V$10005,$V7351,'月1回_1ヶ月前の在庫'!$W$6:$W$10005,$W7351)&gt;0),N(U7350),N(U7350)+1))</f>
        <v/>
      </c>
      <c r="V7351" s="19">
        <f>IF($B7351="","",TEXT($B7351,"0000"))</f>
        <v/>
      </c>
      <c r="W7351" s="19">
        <f>IF($I7351="","",IF(ISNUMBER($I7351),TEXT($I7351,"0"),$I7351))</f>
        <v/>
      </c>
    </row>
    <row r="7352">
      <c r="B7352" s="25" t="n"/>
      <c r="I7352" s="25" t="n"/>
      <c r="U7352" s="19">
        <f>IF($V7352&lt;&gt;'設定'!$C$4,N(U7351),IF(OR(NOT(COUNTIF('商品マスタ'!$B$6:$B$1005,$W7352)=0),COUNTIFS('①在庫を貼る'!$V$6:$V$10005,$V7352,'①在庫を貼る'!$W$6:$W$10005,$W7352)+COUNTIFS('月1回_1ヶ月前の在庫'!$V$6:$V$10005,$V7352,'月1回_1ヶ月前の在庫'!$W$6:$W$10005,$W7352)&gt;0),N(U7351),N(U7351)+1))</f>
        <v/>
      </c>
      <c r="V7352" s="19">
        <f>IF($B7352="","",TEXT($B7352,"0000"))</f>
        <v/>
      </c>
      <c r="W7352" s="19">
        <f>IF($I7352="","",IF(ISNUMBER($I7352),TEXT($I7352,"0"),$I7352))</f>
        <v/>
      </c>
    </row>
    <row r="7353">
      <c r="B7353" s="25" t="n"/>
      <c r="I7353" s="25" t="n"/>
      <c r="U7353" s="19">
        <f>IF($V7353&lt;&gt;'設定'!$C$4,N(U7352),IF(OR(NOT(COUNTIF('商品マスタ'!$B$6:$B$1005,$W7353)=0),COUNTIFS('①在庫を貼る'!$V$6:$V$10005,$V7353,'①在庫を貼る'!$W$6:$W$10005,$W7353)+COUNTIFS('月1回_1ヶ月前の在庫'!$V$6:$V$10005,$V7353,'月1回_1ヶ月前の在庫'!$W$6:$W$10005,$W7353)&gt;0),N(U7352),N(U7352)+1))</f>
        <v/>
      </c>
      <c r="V7353" s="19">
        <f>IF($B7353="","",TEXT($B7353,"0000"))</f>
        <v/>
      </c>
      <c r="W7353" s="19">
        <f>IF($I7353="","",IF(ISNUMBER($I7353),TEXT($I7353,"0"),$I7353))</f>
        <v/>
      </c>
    </row>
    <row r="7354">
      <c r="B7354" s="25" t="n"/>
      <c r="I7354" s="25" t="n"/>
      <c r="U7354" s="19">
        <f>IF($V7354&lt;&gt;'設定'!$C$4,N(U7353),IF(OR(NOT(COUNTIF('商品マスタ'!$B$6:$B$1005,$W7354)=0),COUNTIFS('①在庫を貼る'!$V$6:$V$10005,$V7354,'①在庫を貼る'!$W$6:$W$10005,$W7354)+COUNTIFS('月1回_1ヶ月前の在庫'!$V$6:$V$10005,$V7354,'月1回_1ヶ月前の在庫'!$W$6:$W$10005,$W7354)&gt;0),N(U7353),N(U7353)+1))</f>
        <v/>
      </c>
      <c r="V7354" s="19">
        <f>IF($B7354="","",TEXT($B7354,"0000"))</f>
        <v/>
      </c>
      <c r="W7354" s="19">
        <f>IF($I7354="","",IF(ISNUMBER($I7354),TEXT($I7354,"0"),$I7354))</f>
        <v/>
      </c>
    </row>
    <row r="7355">
      <c r="B7355" s="25" t="n"/>
      <c r="I7355" s="25" t="n"/>
      <c r="U7355" s="19">
        <f>IF($V7355&lt;&gt;'設定'!$C$4,N(U7354),IF(OR(NOT(COUNTIF('商品マスタ'!$B$6:$B$1005,$W7355)=0),COUNTIFS('①在庫を貼る'!$V$6:$V$10005,$V7355,'①在庫を貼る'!$W$6:$W$10005,$W7355)+COUNTIFS('月1回_1ヶ月前の在庫'!$V$6:$V$10005,$V7355,'月1回_1ヶ月前の在庫'!$W$6:$W$10005,$W7355)&gt;0),N(U7354),N(U7354)+1))</f>
        <v/>
      </c>
      <c r="V7355" s="19">
        <f>IF($B7355="","",TEXT($B7355,"0000"))</f>
        <v/>
      </c>
      <c r="W7355" s="19">
        <f>IF($I7355="","",IF(ISNUMBER($I7355),TEXT($I7355,"0"),$I7355))</f>
        <v/>
      </c>
    </row>
    <row r="7356">
      <c r="B7356" s="25" t="n"/>
      <c r="I7356" s="25" t="n"/>
      <c r="U7356" s="19">
        <f>IF($V7356&lt;&gt;'設定'!$C$4,N(U7355),IF(OR(NOT(COUNTIF('商品マスタ'!$B$6:$B$1005,$W7356)=0),COUNTIFS('①在庫を貼る'!$V$6:$V$10005,$V7356,'①在庫を貼る'!$W$6:$W$10005,$W7356)+COUNTIFS('月1回_1ヶ月前の在庫'!$V$6:$V$10005,$V7356,'月1回_1ヶ月前の在庫'!$W$6:$W$10005,$W7356)&gt;0),N(U7355),N(U7355)+1))</f>
        <v/>
      </c>
      <c r="V7356" s="19">
        <f>IF($B7356="","",TEXT($B7356,"0000"))</f>
        <v/>
      </c>
      <c r="W7356" s="19">
        <f>IF($I7356="","",IF(ISNUMBER($I7356),TEXT($I7356,"0"),$I7356))</f>
        <v/>
      </c>
    </row>
    <row r="7357">
      <c r="B7357" s="25" t="n"/>
      <c r="I7357" s="25" t="n"/>
      <c r="U7357" s="19">
        <f>IF($V7357&lt;&gt;'設定'!$C$4,N(U7356),IF(OR(NOT(COUNTIF('商品マスタ'!$B$6:$B$1005,$W7357)=0),COUNTIFS('①在庫を貼る'!$V$6:$V$10005,$V7357,'①在庫を貼る'!$W$6:$W$10005,$W7357)+COUNTIFS('月1回_1ヶ月前の在庫'!$V$6:$V$10005,$V7357,'月1回_1ヶ月前の在庫'!$W$6:$W$10005,$W7357)&gt;0),N(U7356),N(U7356)+1))</f>
        <v/>
      </c>
      <c r="V7357" s="19">
        <f>IF($B7357="","",TEXT($B7357,"0000"))</f>
        <v/>
      </c>
      <c r="W7357" s="19">
        <f>IF($I7357="","",IF(ISNUMBER($I7357),TEXT($I7357,"0"),$I7357))</f>
        <v/>
      </c>
    </row>
    <row r="7358">
      <c r="B7358" s="25" t="n"/>
      <c r="I7358" s="25" t="n"/>
      <c r="U7358" s="19">
        <f>IF($V7358&lt;&gt;'設定'!$C$4,N(U7357),IF(OR(NOT(COUNTIF('商品マスタ'!$B$6:$B$1005,$W7358)=0),COUNTIFS('①在庫を貼る'!$V$6:$V$10005,$V7358,'①在庫を貼る'!$W$6:$W$10005,$W7358)+COUNTIFS('月1回_1ヶ月前の在庫'!$V$6:$V$10005,$V7358,'月1回_1ヶ月前の在庫'!$W$6:$W$10005,$W7358)&gt;0),N(U7357),N(U7357)+1))</f>
        <v/>
      </c>
      <c r="V7358" s="19">
        <f>IF($B7358="","",TEXT($B7358,"0000"))</f>
        <v/>
      </c>
      <c r="W7358" s="19">
        <f>IF($I7358="","",IF(ISNUMBER($I7358),TEXT($I7358,"0"),$I7358))</f>
        <v/>
      </c>
    </row>
    <row r="7359">
      <c r="B7359" s="25" t="n"/>
      <c r="I7359" s="25" t="n"/>
      <c r="U7359" s="19">
        <f>IF($V7359&lt;&gt;'設定'!$C$4,N(U7358),IF(OR(NOT(COUNTIF('商品マスタ'!$B$6:$B$1005,$W7359)=0),COUNTIFS('①在庫を貼る'!$V$6:$V$10005,$V7359,'①在庫を貼る'!$W$6:$W$10005,$W7359)+COUNTIFS('月1回_1ヶ月前の在庫'!$V$6:$V$10005,$V7359,'月1回_1ヶ月前の在庫'!$W$6:$W$10005,$W7359)&gt;0),N(U7358),N(U7358)+1))</f>
        <v/>
      </c>
      <c r="V7359" s="19">
        <f>IF($B7359="","",TEXT($B7359,"0000"))</f>
        <v/>
      </c>
      <c r="W7359" s="19">
        <f>IF($I7359="","",IF(ISNUMBER($I7359),TEXT($I7359,"0"),$I7359))</f>
        <v/>
      </c>
    </row>
    <row r="7360">
      <c r="B7360" s="25" t="n"/>
      <c r="I7360" s="25" t="n"/>
      <c r="U7360" s="19">
        <f>IF($V7360&lt;&gt;'設定'!$C$4,N(U7359),IF(OR(NOT(COUNTIF('商品マスタ'!$B$6:$B$1005,$W7360)=0),COUNTIFS('①在庫を貼る'!$V$6:$V$10005,$V7360,'①在庫を貼る'!$W$6:$W$10005,$W7360)+COUNTIFS('月1回_1ヶ月前の在庫'!$V$6:$V$10005,$V7360,'月1回_1ヶ月前の在庫'!$W$6:$W$10005,$W7360)&gt;0),N(U7359),N(U7359)+1))</f>
        <v/>
      </c>
      <c r="V7360" s="19">
        <f>IF($B7360="","",TEXT($B7360,"0000"))</f>
        <v/>
      </c>
      <c r="W7360" s="19">
        <f>IF($I7360="","",IF(ISNUMBER($I7360),TEXT($I7360,"0"),$I7360))</f>
        <v/>
      </c>
    </row>
    <row r="7361">
      <c r="B7361" s="25" t="n"/>
      <c r="I7361" s="25" t="n"/>
      <c r="U7361" s="19">
        <f>IF($V7361&lt;&gt;'設定'!$C$4,N(U7360),IF(OR(NOT(COUNTIF('商品マスタ'!$B$6:$B$1005,$W7361)=0),COUNTIFS('①在庫を貼る'!$V$6:$V$10005,$V7361,'①在庫を貼る'!$W$6:$W$10005,$W7361)+COUNTIFS('月1回_1ヶ月前の在庫'!$V$6:$V$10005,$V7361,'月1回_1ヶ月前の在庫'!$W$6:$W$10005,$W7361)&gt;0),N(U7360),N(U7360)+1))</f>
        <v/>
      </c>
      <c r="V7361" s="19">
        <f>IF($B7361="","",TEXT($B7361,"0000"))</f>
        <v/>
      </c>
      <c r="W7361" s="19">
        <f>IF($I7361="","",IF(ISNUMBER($I7361),TEXT($I7361,"0"),$I7361))</f>
        <v/>
      </c>
    </row>
    <row r="7362">
      <c r="B7362" s="25" t="n"/>
      <c r="I7362" s="25" t="n"/>
      <c r="U7362" s="19">
        <f>IF($V7362&lt;&gt;'設定'!$C$4,N(U7361),IF(OR(NOT(COUNTIF('商品マスタ'!$B$6:$B$1005,$W7362)=0),COUNTIFS('①在庫を貼る'!$V$6:$V$10005,$V7362,'①在庫を貼る'!$W$6:$W$10005,$W7362)+COUNTIFS('月1回_1ヶ月前の在庫'!$V$6:$V$10005,$V7362,'月1回_1ヶ月前の在庫'!$W$6:$W$10005,$W7362)&gt;0),N(U7361),N(U7361)+1))</f>
        <v/>
      </c>
      <c r="V7362" s="19">
        <f>IF($B7362="","",TEXT($B7362,"0000"))</f>
        <v/>
      </c>
      <c r="W7362" s="19">
        <f>IF($I7362="","",IF(ISNUMBER($I7362),TEXT($I7362,"0"),$I7362))</f>
        <v/>
      </c>
    </row>
    <row r="7363">
      <c r="B7363" s="25" t="n"/>
      <c r="I7363" s="25" t="n"/>
      <c r="U7363" s="19">
        <f>IF($V7363&lt;&gt;'設定'!$C$4,N(U7362),IF(OR(NOT(COUNTIF('商品マスタ'!$B$6:$B$1005,$W7363)=0),COUNTIFS('①在庫を貼る'!$V$6:$V$10005,$V7363,'①在庫を貼る'!$W$6:$W$10005,$W7363)+COUNTIFS('月1回_1ヶ月前の在庫'!$V$6:$V$10005,$V7363,'月1回_1ヶ月前の在庫'!$W$6:$W$10005,$W7363)&gt;0),N(U7362),N(U7362)+1))</f>
        <v/>
      </c>
      <c r="V7363" s="19">
        <f>IF($B7363="","",TEXT($B7363,"0000"))</f>
        <v/>
      </c>
      <c r="W7363" s="19">
        <f>IF($I7363="","",IF(ISNUMBER($I7363),TEXT($I7363,"0"),$I7363))</f>
        <v/>
      </c>
    </row>
    <row r="7364">
      <c r="B7364" s="25" t="n"/>
      <c r="I7364" s="25" t="n"/>
      <c r="U7364" s="19">
        <f>IF($V7364&lt;&gt;'設定'!$C$4,N(U7363),IF(OR(NOT(COUNTIF('商品マスタ'!$B$6:$B$1005,$W7364)=0),COUNTIFS('①在庫を貼る'!$V$6:$V$10005,$V7364,'①在庫を貼る'!$W$6:$W$10005,$W7364)+COUNTIFS('月1回_1ヶ月前の在庫'!$V$6:$V$10005,$V7364,'月1回_1ヶ月前の在庫'!$W$6:$W$10005,$W7364)&gt;0),N(U7363),N(U7363)+1))</f>
        <v/>
      </c>
      <c r="V7364" s="19">
        <f>IF($B7364="","",TEXT($B7364,"0000"))</f>
        <v/>
      </c>
      <c r="W7364" s="19">
        <f>IF($I7364="","",IF(ISNUMBER($I7364),TEXT($I7364,"0"),$I7364))</f>
        <v/>
      </c>
    </row>
    <row r="7365">
      <c r="B7365" s="25" t="n"/>
      <c r="I7365" s="25" t="n"/>
      <c r="U7365" s="19">
        <f>IF($V7365&lt;&gt;'設定'!$C$4,N(U7364),IF(OR(NOT(COUNTIF('商品マスタ'!$B$6:$B$1005,$W7365)=0),COUNTIFS('①在庫を貼る'!$V$6:$V$10005,$V7365,'①在庫を貼る'!$W$6:$W$10005,$W7365)+COUNTIFS('月1回_1ヶ月前の在庫'!$V$6:$V$10005,$V7365,'月1回_1ヶ月前の在庫'!$W$6:$W$10005,$W7365)&gt;0),N(U7364),N(U7364)+1))</f>
        <v/>
      </c>
      <c r="V7365" s="19">
        <f>IF($B7365="","",TEXT($B7365,"0000"))</f>
        <v/>
      </c>
      <c r="W7365" s="19">
        <f>IF($I7365="","",IF(ISNUMBER($I7365),TEXT($I7365,"0"),$I7365))</f>
        <v/>
      </c>
    </row>
    <row r="7366">
      <c r="B7366" s="25" t="n"/>
      <c r="I7366" s="25" t="n"/>
      <c r="U7366" s="19">
        <f>IF($V7366&lt;&gt;'設定'!$C$4,N(U7365),IF(OR(NOT(COUNTIF('商品マスタ'!$B$6:$B$1005,$W7366)=0),COUNTIFS('①在庫を貼る'!$V$6:$V$10005,$V7366,'①在庫を貼る'!$W$6:$W$10005,$W7366)+COUNTIFS('月1回_1ヶ月前の在庫'!$V$6:$V$10005,$V7366,'月1回_1ヶ月前の在庫'!$W$6:$W$10005,$W7366)&gt;0),N(U7365),N(U7365)+1))</f>
        <v/>
      </c>
      <c r="V7366" s="19">
        <f>IF($B7366="","",TEXT($B7366,"0000"))</f>
        <v/>
      </c>
      <c r="W7366" s="19">
        <f>IF($I7366="","",IF(ISNUMBER($I7366),TEXT($I7366,"0"),$I7366))</f>
        <v/>
      </c>
    </row>
    <row r="7367">
      <c r="B7367" s="25" t="n"/>
      <c r="I7367" s="25" t="n"/>
      <c r="U7367" s="19">
        <f>IF($V7367&lt;&gt;'設定'!$C$4,N(U7366),IF(OR(NOT(COUNTIF('商品マスタ'!$B$6:$B$1005,$W7367)=0),COUNTIFS('①在庫を貼る'!$V$6:$V$10005,$V7367,'①在庫を貼る'!$W$6:$W$10005,$W7367)+COUNTIFS('月1回_1ヶ月前の在庫'!$V$6:$V$10005,$V7367,'月1回_1ヶ月前の在庫'!$W$6:$W$10005,$W7367)&gt;0),N(U7366),N(U7366)+1))</f>
        <v/>
      </c>
      <c r="V7367" s="19">
        <f>IF($B7367="","",TEXT($B7367,"0000"))</f>
        <v/>
      </c>
      <c r="W7367" s="19">
        <f>IF($I7367="","",IF(ISNUMBER($I7367),TEXT($I7367,"0"),$I7367))</f>
        <v/>
      </c>
    </row>
    <row r="7368">
      <c r="B7368" s="25" t="n"/>
      <c r="I7368" s="25" t="n"/>
      <c r="U7368" s="19">
        <f>IF($V7368&lt;&gt;'設定'!$C$4,N(U7367),IF(OR(NOT(COUNTIF('商品マスタ'!$B$6:$B$1005,$W7368)=0),COUNTIFS('①在庫を貼る'!$V$6:$V$10005,$V7368,'①在庫を貼る'!$W$6:$W$10005,$W7368)+COUNTIFS('月1回_1ヶ月前の在庫'!$V$6:$V$10005,$V7368,'月1回_1ヶ月前の在庫'!$W$6:$W$10005,$W7368)&gt;0),N(U7367),N(U7367)+1))</f>
        <v/>
      </c>
      <c r="V7368" s="19">
        <f>IF($B7368="","",TEXT($B7368,"0000"))</f>
        <v/>
      </c>
      <c r="W7368" s="19">
        <f>IF($I7368="","",IF(ISNUMBER($I7368),TEXT($I7368,"0"),$I7368))</f>
        <v/>
      </c>
    </row>
    <row r="7369">
      <c r="B7369" s="25" t="n"/>
      <c r="I7369" s="25" t="n"/>
      <c r="U7369" s="19">
        <f>IF($V7369&lt;&gt;'設定'!$C$4,N(U7368),IF(OR(NOT(COUNTIF('商品マスタ'!$B$6:$B$1005,$W7369)=0),COUNTIFS('①在庫を貼る'!$V$6:$V$10005,$V7369,'①在庫を貼る'!$W$6:$W$10005,$W7369)+COUNTIFS('月1回_1ヶ月前の在庫'!$V$6:$V$10005,$V7369,'月1回_1ヶ月前の在庫'!$W$6:$W$10005,$W7369)&gt;0),N(U7368),N(U7368)+1))</f>
        <v/>
      </c>
      <c r="V7369" s="19">
        <f>IF($B7369="","",TEXT($B7369,"0000"))</f>
        <v/>
      </c>
      <c r="W7369" s="19">
        <f>IF($I7369="","",IF(ISNUMBER($I7369),TEXT($I7369,"0"),$I7369))</f>
        <v/>
      </c>
    </row>
    <row r="7370">
      <c r="B7370" s="25" t="n"/>
      <c r="I7370" s="25" t="n"/>
      <c r="U7370" s="19">
        <f>IF($V7370&lt;&gt;'設定'!$C$4,N(U7369),IF(OR(NOT(COUNTIF('商品マスタ'!$B$6:$B$1005,$W7370)=0),COUNTIFS('①在庫を貼る'!$V$6:$V$10005,$V7370,'①在庫を貼る'!$W$6:$W$10005,$W7370)+COUNTIFS('月1回_1ヶ月前の在庫'!$V$6:$V$10005,$V7370,'月1回_1ヶ月前の在庫'!$W$6:$W$10005,$W7370)&gt;0),N(U7369),N(U7369)+1))</f>
        <v/>
      </c>
      <c r="V7370" s="19">
        <f>IF($B7370="","",TEXT($B7370,"0000"))</f>
        <v/>
      </c>
      <c r="W7370" s="19">
        <f>IF($I7370="","",IF(ISNUMBER($I7370),TEXT($I7370,"0"),$I7370))</f>
        <v/>
      </c>
    </row>
    <row r="7371">
      <c r="B7371" s="25" t="n"/>
      <c r="I7371" s="25" t="n"/>
      <c r="U7371" s="19">
        <f>IF($V7371&lt;&gt;'設定'!$C$4,N(U7370),IF(OR(NOT(COUNTIF('商品マスタ'!$B$6:$B$1005,$W7371)=0),COUNTIFS('①在庫を貼る'!$V$6:$V$10005,$V7371,'①在庫を貼る'!$W$6:$W$10005,$W7371)+COUNTIFS('月1回_1ヶ月前の在庫'!$V$6:$V$10005,$V7371,'月1回_1ヶ月前の在庫'!$W$6:$W$10005,$W7371)&gt;0),N(U7370),N(U7370)+1))</f>
        <v/>
      </c>
      <c r="V7371" s="19">
        <f>IF($B7371="","",TEXT($B7371,"0000"))</f>
        <v/>
      </c>
      <c r="W7371" s="19">
        <f>IF($I7371="","",IF(ISNUMBER($I7371),TEXT($I7371,"0"),$I7371))</f>
        <v/>
      </c>
    </row>
    <row r="7372">
      <c r="B7372" s="25" t="n"/>
      <c r="I7372" s="25" t="n"/>
      <c r="U7372" s="19">
        <f>IF($V7372&lt;&gt;'設定'!$C$4,N(U7371),IF(OR(NOT(COUNTIF('商品マスタ'!$B$6:$B$1005,$W7372)=0),COUNTIFS('①在庫を貼る'!$V$6:$V$10005,$V7372,'①在庫を貼る'!$W$6:$W$10005,$W7372)+COUNTIFS('月1回_1ヶ月前の在庫'!$V$6:$V$10005,$V7372,'月1回_1ヶ月前の在庫'!$W$6:$W$10005,$W7372)&gt;0),N(U7371),N(U7371)+1))</f>
        <v/>
      </c>
      <c r="V7372" s="19">
        <f>IF($B7372="","",TEXT($B7372,"0000"))</f>
        <v/>
      </c>
      <c r="W7372" s="19">
        <f>IF($I7372="","",IF(ISNUMBER($I7372),TEXT($I7372,"0"),$I7372))</f>
        <v/>
      </c>
    </row>
    <row r="7373">
      <c r="B7373" s="25" t="n"/>
      <c r="I7373" s="25" t="n"/>
      <c r="U7373" s="19">
        <f>IF($V7373&lt;&gt;'設定'!$C$4,N(U7372),IF(OR(NOT(COUNTIF('商品マスタ'!$B$6:$B$1005,$W7373)=0),COUNTIFS('①在庫を貼る'!$V$6:$V$10005,$V7373,'①在庫を貼る'!$W$6:$W$10005,$W7373)+COUNTIFS('月1回_1ヶ月前の在庫'!$V$6:$V$10005,$V7373,'月1回_1ヶ月前の在庫'!$W$6:$W$10005,$W7373)&gt;0),N(U7372),N(U7372)+1))</f>
        <v/>
      </c>
      <c r="V7373" s="19">
        <f>IF($B7373="","",TEXT($B7373,"0000"))</f>
        <v/>
      </c>
      <c r="W7373" s="19">
        <f>IF($I7373="","",IF(ISNUMBER($I7373),TEXT($I7373,"0"),$I7373))</f>
        <v/>
      </c>
    </row>
    <row r="7374">
      <c r="B7374" s="25" t="n"/>
      <c r="I7374" s="25" t="n"/>
      <c r="U7374" s="19">
        <f>IF($V7374&lt;&gt;'設定'!$C$4,N(U7373),IF(OR(NOT(COUNTIF('商品マスタ'!$B$6:$B$1005,$W7374)=0),COUNTIFS('①在庫を貼る'!$V$6:$V$10005,$V7374,'①在庫を貼る'!$W$6:$W$10005,$W7374)+COUNTIFS('月1回_1ヶ月前の在庫'!$V$6:$V$10005,$V7374,'月1回_1ヶ月前の在庫'!$W$6:$W$10005,$W7374)&gt;0),N(U7373),N(U7373)+1))</f>
        <v/>
      </c>
      <c r="V7374" s="19">
        <f>IF($B7374="","",TEXT($B7374,"0000"))</f>
        <v/>
      </c>
      <c r="W7374" s="19">
        <f>IF($I7374="","",IF(ISNUMBER($I7374),TEXT($I7374,"0"),$I7374))</f>
        <v/>
      </c>
    </row>
    <row r="7375">
      <c r="B7375" s="25" t="n"/>
      <c r="I7375" s="25" t="n"/>
      <c r="U7375" s="19">
        <f>IF($V7375&lt;&gt;'設定'!$C$4,N(U7374),IF(OR(NOT(COUNTIF('商品マスタ'!$B$6:$B$1005,$W7375)=0),COUNTIFS('①在庫を貼る'!$V$6:$V$10005,$V7375,'①在庫を貼る'!$W$6:$W$10005,$W7375)+COUNTIFS('月1回_1ヶ月前の在庫'!$V$6:$V$10005,$V7375,'月1回_1ヶ月前の在庫'!$W$6:$W$10005,$W7375)&gt;0),N(U7374),N(U7374)+1))</f>
        <v/>
      </c>
      <c r="V7375" s="19">
        <f>IF($B7375="","",TEXT($B7375,"0000"))</f>
        <v/>
      </c>
      <c r="W7375" s="19">
        <f>IF($I7375="","",IF(ISNUMBER($I7375),TEXT($I7375,"0"),$I7375))</f>
        <v/>
      </c>
    </row>
    <row r="7376">
      <c r="B7376" s="25" t="n"/>
      <c r="I7376" s="25" t="n"/>
      <c r="U7376" s="19">
        <f>IF($V7376&lt;&gt;'設定'!$C$4,N(U7375),IF(OR(NOT(COUNTIF('商品マスタ'!$B$6:$B$1005,$W7376)=0),COUNTIFS('①在庫を貼る'!$V$6:$V$10005,$V7376,'①在庫を貼る'!$W$6:$W$10005,$W7376)+COUNTIFS('月1回_1ヶ月前の在庫'!$V$6:$V$10005,$V7376,'月1回_1ヶ月前の在庫'!$W$6:$W$10005,$W7376)&gt;0),N(U7375),N(U7375)+1))</f>
        <v/>
      </c>
      <c r="V7376" s="19">
        <f>IF($B7376="","",TEXT($B7376,"0000"))</f>
        <v/>
      </c>
      <c r="W7376" s="19">
        <f>IF($I7376="","",IF(ISNUMBER($I7376),TEXT($I7376,"0"),$I7376))</f>
        <v/>
      </c>
    </row>
    <row r="7377">
      <c r="B7377" s="25" t="n"/>
      <c r="I7377" s="25" t="n"/>
      <c r="U7377" s="19">
        <f>IF($V7377&lt;&gt;'設定'!$C$4,N(U7376),IF(OR(NOT(COUNTIF('商品マスタ'!$B$6:$B$1005,$W7377)=0),COUNTIFS('①在庫を貼る'!$V$6:$V$10005,$V7377,'①在庫を貼る'!$W$6:$W$10005,$W7377)+COUNTIFS('月1回_1ヶ月前の在庫'!$V$6:$V$10005,$V7377,'月1回_1ヶ月前の在庫'!$W$6:$W$10005,$W7377)&gt;0),N(U7376),N(U7376)+1))</f>
        <v/>
      </c>
      <c r="V7377" s="19">
        <f>IF($B7377="","",TEXT($B7377,"0000"))</f>
        <v/>
      </c>
      <c r="W7377" s="19">
        <f>IF($I7377="","",IF(ISNUMBER($I7377),TEXT($I7377,"0"),$I7377))</f>
        <v/>
      </c>
    </row>
    <row r="7378">
      <c r="B7378" s="25" t="n"/>
      <c r="I7378" s="25" t="n"/>
      <c r="U7378" s="19">
        <f>IF($V7378&lt;&gt;'設定'!$C$4,N(U7377),IF(OR(NOT(COUNTIF('商品マスタ'!$B$6:$B$1005,$W7378)=0),COUNTIFS('①在庫を貼る'!$V$6:$V$10005,$V7378,'①在庫を貼る'!$W$6:$W$10005,$W7378)+COUNTIFS('月1回_1ヶ月前の在庫'!$V$6:$V$10005,$V7378,'月1回_1ヶ月前の在庫'!$W$6:$W$10005,$W7378)&gt;0),N(U7377),N(U7377)+1))</f>
        <v/>
      </c>
      <c r="V7378" s="19">
        <f>IF($B7378="","",TEXT($B7378,"0000"))</f>
        <v/>
      </c>
      <c r="W7378" s="19">
        <f>IF($I7378="","",IF(ISNUMBER($I7378),TEXT($I7378,"0"),$I7378))</f>
        <v/>
      </c>
    </row>
    <row r="7379">
      <c r="B7379" s="25" t="n"/>
      <c r="I7379" s="25" t="n"/>
      <c r="U7379" s="19">
        <f>IF($V7379&lt;&gt;'設定'!$C$4,N(U7378),IF(OR(NOT(COUNTIF('商品マスタ'!$B$6:$B$1005,$W7379)=0),COUNTIFS('①在庫を貼る'!$V$6:$V$10005,$V7379,'①在庫を貼る'!$W$6:$W$10005,$W7379)+COUNTIFS('月1回_1ヶ月前の在庫'!$V$6:$V$10005,$V7379,'月1回_1ヶ月前の在庫'!$W$6:$W$10005,$W7379)&gt;0),N(U7378),N(U7378)+1))</f>
        <v/>
      </c>
      <c r="V7379" s="19">
        <f>IF($B7379="","",TEXT($B7379,"0000"))</f>
        <v/>
      </c>
      <c r="W7379" s="19">
        <f>IF($I7379="","",IF(ISNUMBER($I7379),TEXT($I7379,"0"),$I7379))</f>
        <v/>
      </c>
    </row>
    <row r="7380">
      <c r="B7380" s="25" t="n"/>
      <c r="I7380" s="25" t="n"/>
      <c r="U7380" s="19">
        <f>IF($V7380&lt;&gt;'設定'!$C$4,N(U7379),IF(OR(NOT(COUNTIF('商品マスタ'!$B$6:$B$1005,$W7380)=0),COUNTIFS('①在庫を貼る'!$V$6:$V$10005,$V7380,'①在庫を貼る'!$W$6:$W$10005,$W7380)+COUNTIFS('月1回_1ヶ月前の在庫'!$V$6:$V$10005,$V7380,'月1回_1ヶ月前の在庫'!$W$6:$W$10005,$W7380)&gt;0),N(U7379),N(U7379)+1))</f>
        <v/>
      </c>
      <c r="V7380" s="19">
        <f>IF($B7380="","",TEXT($B7380,"0000"))</f>
        <v/>
      </c>
      <c r="W7380" s="19">
        <f>IF($I7380="","",IF(ISNUMBER($I7380),TEXT($I7380,"0"),$I7380))</f>
        <v/>
      </c>
    </row>
    <row r="7381">
      <c r="B7381" s="25" t="n"/>
      <c r="I7381" s="25" t="n"/>
      <c r="U7381" s="19">
        <f>IF($V7381&lt;&gt;'設定'!$C$4,N(U7380),IF(OR(NOT(COUNTIF('商品マスタ'!$B$6:$B$1005,$W7381)=0),COUNTIFS('①在庫を貼る'!$V$6:$V$10005,$V7381,'①在庫を貼る'!$W$6:$W$10005,$W7381)+COUNTIFS('月1回_1ヶ月前の在庫'!$V$6:$V$10005,$V7381,'月1回_1ヶ月前の在庫'!$W$6:$W$10005,$W7381)&gt;0),N(U7380),N(U7380)+1))</f>
        <v/>
      </c>
      <c r="V7381" s="19">
        <f>IF($B7381="","",TEXT($B7381,"0000"))</f>
        <v/>
      </c>
      <c r="W7381" s="19">
        <f>IF($I7381="","",IF(ISNUMBER($I7381),TEXT($I7381,"0"),$I7381))</f>
        <v/>
      </c>
    </row>
    <row r="7382">
      <c r="B7382" s="25" t="n"/>
      <c r="I7382" s="25" t="n"/>
      <c r="U7382" s="19">
        <f>IF($V7382&lt;&gt;'設定'!$C$4,N(U7381),IF(OR(NOT(COUNTIF('商品マスタ'!$B$6:$B$1005,$W7382)=0),COUNTIFS('①在庫を貼る'!$V$6:$V$10005,$V7382,'①在庫を貼る'!$W$6:$W$10005,$W7382)+COUNTIFS('月1回_1ヶ月前の在庫'!$V$6:$V$10005,$V7382,'月1回_1ヶ月前の在庫'!$W$6:$W$10005,$W7382)&gt;0),N(U7381),N(U7381)+1))</f>
        <v/>
      </c>
      <c r="V7382" s="19">
        <f>IF($B7382="","",TEXT($B7382,"0000"))</f>
        <v/>
      </c>
      <c r="W7382" s="19">
        <f>IF($I7382="","",IF(ISNUMBER($I7382),TEXT($I7382,"0"),$I7382))</f>
        <v/>
      </c>
    </row>
    <row r="7383">
      <c r="B7383" s="25" t="n"/>
      <c r="I7383" s="25" t="n"/>
      <c r="U7383" s="19">
        <f>IF($V7383&lt;&gt;'設定'!$C$4,N(U7382),IF(OR(NOT(COUNTIF('商品マスタ'!$B$6:$B$1005,$W7383)=0),COUNTIFS('①在庫を貼る'!$V$6:$V$10005,$V7383,'①在庫を貼る'!$W$6:$W$10005,$W7383)+COUNTIFS('月1回_1ヶ月前の在庫'!$V$6:$V$10005,$V7383,'月1回_1ヶ月前の在庫'!$W$6:$W$10005,$W7383)&gt;0),N(U7382),N(U7382)+1))</f>
        <v/>
      </c>
      <c r="V7383" s="19">
        <f>IF($B7383="","",TEXT($B7383,"0000"))</f>
        <v/>
      </c>
      <c r="W7383" s="19">
        <f>IF($I7383="","",IF(ISNUMBER($I7383),TEXT($I7383,"0"),$I7383))</f>
        <v/>
      </c>
    </row>
    <row r="7384">
      <c r="B7384" s="25" t="n"/>
      <c r="I7384" s="25" t="n"/>
      <c r="U7384" s="19">
        <f>IF($V7384&lt;&gt;'設定'!$C$4,N(U7383),IF(OR(NOT(COUNTIF('商品マスタ'!$B$6:$B$1005,$W7384)=0),COUNTIFS('①在庫を貼る'!$V$6:$V$10005,$V7384,'①在庫を貼る'!$W$6:$W$10005,$W7384)+COUNTIFS('月1回_1ヶ月前の在庫'!$V$6:$V$10005,$V7384,'月1回_1ヶ月前の在庫'!$W$6:$W$10005,$W7384)&gt;0),N(U7383),N(U7383)+1))</f>
        <v/>
      </c>
      <c r="V7384" s="19">
        <f>IF($B7384="","",TEXT($B7384,"0000"))</f>
        <v/>
      </c>
      <c r="W7384" s="19">
        <f>IF($I7384="","",IF(ISNUMBER($I7384),TEXT($I7384,"0"),$I7384))</f>
        <v/>
      </c>
    </row>
    <row r="7385">
      <c r="B7385" s="25" t="n"/>
      <c r="I7385" s="25" t="n"/>
      <c r="U7385" s="19">
        <f>IF($V7385&lt;&gt;'設定'!$C$4,N(U7384),IF(OR(NOT(COUNTIF('商品マスタ'!$B$6:$B$1005,$W7385)=0),COUNTIFS('①在庫を貼る'!$V$6:$V$10005,$V7385,'①在庫を貼る'!$W$6:$W$10005,$W7385)+COUNTIFS('月1回_1ヶ月前の在庫'!$V$6:$V$10005,$V7385,'月1回_1ヶ月前の在庫'!$W$6:$W$10005,$W7385)&gt;0),N(U7384),N(U7384)+1))</f>
        <v/>
      </c>
      <c r="V7385" s="19">
        <f>IF($B7385="","",TEXT($B7385,"0000"))</f>
        <v/>
      </c>
      <c r="W7385" s="19">
        <f>IF($I7385="","",IF(ISNUMBER($I7385),TEXT($I7385,"0"),$I7385))</f>
        <v/>
      </c>
    </row>
    <row r="7386">
      <c r="B7386" s="25" t="n"/>
      <c r="I7386" s="25" t="n"/>
      <c r="U7386" s="19">
        <f>IF($V7386&lt;&gt;'設定'!$C$4,N(U7385),IF(OR(NOT(COUNTIF('商品マスタ'!$B$6:$B$1005,$W7386)=0),COUNTIFS('①在庫を貼る'!$V$6:$V$10005,$V7386,'①在庫を貼る'!$W$6:$W$10005,$W7386)+COUNTIFS('月1回_1ヶ月前の在庫'!$V$6:$V$10005,$V7386,'月1回_1ヶ月前の在庫'!$W$6:$W$10005,$W7386)&gt;0),N(U7385),N(U7385)+1))</f>
        <v/>
      </c>
      <c r="V7386" s="19">
        <f>IF($B7386="","",TEXT($B7386,"0000"))</f>
        <v/>
      </c>
      <c r="W7386" s="19">
        <f>IF($I7386="","",IF(ISNUMBER($I7386),TEXT($I7386,"0"),$I7386))</f>
        <v/>
      </c>
    </row>
    <row r="7387">
      <c r="B7387" s="25" t="n"/>
      <c r="I7387" s="25" t="n"/>
      <c r="U7387" s="19">
        <f>IF($V7387&lt;&gt;'設定'!$C$4,N(U7386),IF(OR(NOT(COUNTIF('商品マスタ'!$B$6:$B$1005,$W7387)=0),COUNTIFS('①在庫を貼る'!$V$6:$V$10005,$V7387,'①在庫を貼る'!$W$6:$W$10005,$W7387)+COUNTIFS('月1回_1ヶ月前の在庫'!$V$6:$V$10005,$V7387,'月1回_1ヶ月前の在庫'!$W$6:$W$10005,$W7387)&gt;0),N(U7386),N(U7386)+1))</f>
        <v/>
      </c>
      <c r="V7387" s="19">
        <f>IF($B7387="","",TEXT($B7387,"0000"))</f>
        <v/>
      </c>
      <c r="W7387" s="19">
        <f>IF($I7387="","",IF(ISNUMBER($I7387),TEXT($I7387,"0"),$I7387))</f>
        <v/>
      </c>
    </row>
    <row r="7388">
      <c r="B7388" s="25" t="n"/>
      <c r="I7388" s="25" t="n"/>
      <c r="U7388" s="19">
        <f>IF($V7388&lt;&gt;'設定'!$C$4,N(U7387),IF(OR(NOT(COUNTIF('商品マスタ'!$B$6:$B$1005,$W7388)=0),COUNTIFS('①在庫を貼る'!$V$6:$V$10005,$V7388,'①在庫を貼る'!$W$6:$W$10005,$W7388)+COUNTIFS('月1回_1ヶ月前の在庫'!$V$6:$V$10005,$V7388,'月1回_1ヶ月前の在庫'!$W$6:$W$10005,$W7388)&gt;0),N(U7387),N(U7387)+1))</f>
        <v/>
      </c>
      <c r="V7388" s="19">
        <f>IF($B7388="","",TEXT($B7388,"0000"))</f>
        <v/>
      </c>
      <c r="W7388" s="19">
        <f>IF($I7388="","",IF(ISNUMBER($I7388),TEXT($I7388,"0"),$I7388))</f>
        <v/>
      </c>
    </row>
    <row r="7389">
      <c r="B7389" s="25" t="n"/>
      <c r="I7389" s="25" t="n"/>
      <c r="U7389" s="19">
        <f>IF($V7389&lt;&gt;'設定'!$C$4,N(U7388),IF(OR(NOT(COUNTIF('商品マスタ'!$B$6:$B$1005,$W7389)=0),COUNTIFS('①在庫を貼る'!$V$6:$V$10005,$V7389,'①在庫を貼る'!$W$6:$W$10005,$W7389)+COUNTIFS('月1回_1ヶ月前の在庫'!$V$6:$V$10005,$V7389,'月1回_1ヶ月前の在庫'!$W$6:$W$10005,$W7389)&gt;0),N(U7388),N(U7388)+1))</f>
        <v/>
      </c>
      <c r="V7389" s="19">
        <f>IF($B7389="","",TEXT($B7389,"0000"))</f>
        <v/>
      </c>
      <c r="W7389" s="19">
        <f>IF($I7389="","",IF(ISNUMBER($I7389),TEXT($I7389,"0"),$I7389))</f>
        <v/>
      </c>
    </row>
    <row r="7390">
      <c r="B7390" s="25" t="n"/>
      <c r="I7390" s="25" t="n"/>
      <c r="U7390" s="19">
        <f>IF($V7390&lt;&gt;'設定'!$C$4,N(U7389),IF(OR(NOT(COUNTIF('商品マスタ'!$B$6:$B$1005,$W7390)=0),COUNTIFS('①在庫を貼る'!$V$6:$V$10005,$V7390,'①在庫を貼る'!$W$6:$W$10005,$W7390)+COUNTIFS('月1回_1ヶ月前の在庫'!$V$6:$V$10005,$V7390,'月1回_1ヶ月前の在庫'!$W$6:$W$10005,$W7390)&gt;0),N(U7389),N(U7389)+1))</f>
        <v/>
      </c>
      <c r="V7390" s="19">
        <f>IF($B7390="","",TEXT($B7390,"0000"))</f>
        <v/>
      </c>
      <c r="W7390" s="19">
        <f>IF($I7390="","",IF(ISNUMBER($I7390),TEXT($I7390,"0"),$I7390))</f>
        <v/>
      </c>
    </row>
    <row r="7391">
      <c r="B7391" s="25" t="n"/>
      <c r="I7391" s="25" t="n"/>
      <c r="U7391" s="19">
        <f>IF($V7391&lt;&gt;'設定'!$C$4,N(U7390),IF(OR(NOT(COUNTIF('商品マスタ'!$B$6:$B$1005,$W7391)=0),COUNTIFS('①在庫を貼る'!$V$6:$V$10005,$V7391,'①在庫を貼る'!$W$6:$W$10005,$W7391)+COUNTIFS('月1回_1ヶ月前の在庫'!$V$6:$V$10005,$V7391,'月1回_1ヶ月前の在庫'!$W$6:$W$10005,$W7391)&gt;0),N(U7390),N(U7390)+1))</f>
        <v/>
      </c>
      <c r="V7391" s="19">
        <f>IF($B7391="","",TEXT($B7391,"0000"))</f>
        <v/>
      </c>
      <c r="W7391" s="19">
        <f>IF($I7391="","",IF(ISNUMBER($I7391),TEXT($I7391,"0"),$I7391))</f>
        <v/>
      </c>
    </row>
    <row r="7392">
      <c r="B7392" s="25" t="n"/>
      <c r="I7392" s="25" t="n"/>
      <c r="U7392" s="19">
        <f>IF($V7392&lt;&gt;'設定'!$C$4,N(U7391),IF(OR(NOT(COUNTIF('商品マスタ'!$B$6:$B$1005,$W7392)=0),COUNTIFS('①在庫を貼る'!$V$6:$V$10005,$V7392,'①在庫を貼る'!$W$6:$W$10005,$W7392)+COUNTIFS('月1回_1ヶ月前の在庫'!$V$6:$V$10005,$V7392,'月1回_1ヶ月前の在庫'!$W$6:$W$10005,$W7392)&gt;0),N(U7391),N(U7391)+1))</f>
        <v/>
      </c>
      <c r="V7392" s="19">
        <f>IF($B7392="","",TEXT($B7392,"0000"))</f>
        <v/>
      </c>
      <c r="W7392" s="19">
        <f>IF($I7392="","",IF(ISNUMBER($I7392),TEXT($I7392,"0"),$I7392))</f>
        <v/>
      </c>
    </row>
    <row r="7393">
      <c r="B7393" s="25" t="n"/>
      <c r="I7393" s="25" t="n"/>
      <c r="U7393" s="19">
        <f>IF($V7393&lt;&gt;'設定'!$C$4,N(U7392),IF(OR(NOT(COUNTIF('商品マスタ'!$B$6:$B$1005,$W7393)=0),COUNTIFS('①在庫を貼る'!$V$6:$V$10005,$V7393,'①在庫を貼る'!$W$6:$W$10005,$W7393)+COUNTIFS('月1回_1ヶ月前の在庫'!$V$6:$V$10005,$V7393,'月1回_1ヶ月前の在庫'!$W$6:$W$10005,$W7393)&gt;0),N(U7392),N(U7392)+1))</f>
        <v/>
      </c>
      <c r="V7393" s="19">
        <f>IF($B7393="","",TEXT($B7393,"0000"))</f>
        <v/>
      </c>
      <c r="W7393" s="19">
        <f>IF($I7393="","",IF(ISNUMBER($I7393),TEXT($I7393,"0"),$I7393))</f>
        <v/>
      </c>
    </row>
    <row r="7394">
      <c r="B7394" s="25" t="n"/>
      <c r="I7394" s="25" t="n"/>
      <c r="U7394" s="19">
        <f>IF($V7394&lt;&gt;'設定'!$C$4,N(U7393),IF(OR(NOT(COUNTIF('商品マスタ'!$B$6:$B$1005,$W7394)=0),COUNTIFS('①在庫を貼る'!$V$6:$V$10005,$V7394,'①在庫を貼る'!$W$6:$W$10005,$W7394)+COUNTIFS('月1回_1ヶ月前の在庫'!$V$6:$V$10005,$V7394,'月1回_1ヶ月前の在庫'!$W$6:$W$10005,$W7394)&gt;0),N(U7393),N(U7393)+1))</f>
        <v/>
      </c>
      <c r="V7394" s="19">
        <f>IF($B7394="","",TEXT($B7394,"0000"))</f>
        <v/>
      </c>
      <c r="W7394" s="19">
        <f>IF($I7394="","",IF(ISNUMBER($I7394),TEXT($I7394,"0"),$I7394))</f>
        <v/>
      </c>
    </row>
    <row r="7395">
      <c r="B7395" s="25" t="n"/>
      <c r="I7395" s="25" t="n"/>
      <c r="U7395" s="19">
        <f>IF($V7395&lt;&gt;'設定'!$C$4,N(U7394),IF(OR(NOT(COUNTIF('商品マスタ'!$B$6:$B$1005,$W7395)=0),COUNTIFS('①在庫を貼る'!$V$6:$V$10005,$V7395,'①在庫を貼る'!$W$6:$W$10005,$W7395)+COUNTIFS('月1回_1ヶ月前の在庫'!$V$6:$V$10005,$V7395,'月1回_1ヶ月前の在庫'!$W$6:$W$10005,$W7395)&gt;0),N(U7394),N(U7394)+1))</f>
        <v/>
      </c>
      <c r="V7395" s="19">
        <f>IF($B7395="","",TEXT($B7395,"0000"))</f>
        <v/>
      </c>
      <c r="W7395" s="19">
        <f>IF($I7395="","",IF(ISNUMBER($I7395),TEXT($I7395,"0"),$I7395))</f>
        <v/>
      </c>
    </row>
    <row r="7396">
      <c r="B7396" s="25" t="n"/>
      <c r="I7396" s="25" t="n"/>
      <c r="U7396" s="19">
        <f>IF($V7396&lt;&gt;'設定'!$C$4,N(U7395),IF(OR(NOT(COUNTIF('商品マスタ'!$B$6:$B$1005,$W7396)=0),COUNTIFS('①在庫を貼る'!$V$6:$V$10005,$V7396,'①在庫を貼る'!$W$6:$W$10005,$W7396)+COUNTIFS('月1回_1ヶ月前の在庫'!$V$6:$V$10005,$V7396,'月1回_1ヶ月前の在庫'!$W$6:$W$10005,$W7396)&gt;0),N(U7395),N(U7395)+1))</f>
        <v/>
      </c>
      <c r="V7396" s="19">
        <f>IF($B7396="","",TEXT($B7396,"0000"))</f>
        <v/>
      </c>
      <c r="W7396" s="19">
        <f>IF($I7396="","",IF(ISNUMBER($I7396),TEXT($I7396,"0"),$I7396))</f>
        <v/>
      </c>
    </row>
    <row r="7397">
      <c r="B7397" s="25" t="n"/>
      <c r="I7397" s="25" t="n"/>
      <c r="U7397" s="19">
        <f>IF($V7397&lt;&gt;'設定'!$C$4,N(U7396),IF(OR(NOT(COUNTIF('商品マスタ'!$B$6:$B$1005,$W7397)=0),COUNTIFS('①在庫を貼る'!$V$6:$V$10005,$V7397,'①在庫を貼る'!$W$6:$W$10005,$W7397)+COUNTIFS('月1回_1ヶ月前の在庫'!$V$6:$V$10005,$V7397,'月1回_1ヶ月前の在庫'!$W$6:$W$10005,$W7397)&gt;0),N(U7396),N(U7396)+1))</f>
        <v/>
      </c>
      <c r="V7397" s="19">
        <f>IF($B7397="","",TEXT($B7397,"0000"))</f>
        <v/>
      </c>
      <c r="W7397" s="19">
        <f>IF($I7397="","",IF(ISNUMBER($I7397),TEXT($I7397,"0"),$I7397))</f>
        <v/>
      </c>
    </row>
    <row r="7398">
      <c r="B7398" s="25" t="n"/>
      <c r="I7398" s="25" t="n"/>
      <c r="U7398" s="19">
        <f>IF($V7398&lt;&gt;'設定'!$C$4,N(U7397),IF(OR(NOT(COUNTIF('商品マスタ'!$B$6:$B$1005,$W7398)=0),COUNTIFS('①在庫を貼る'!$V$6:$V$10005,$V7398,'①在庫を貼る'!$W$6:$W$10005,$W7398)+COUNTIFS('月1回_1ヶ月前の在庫'!$V$6:$V$10005,$V7398,'月1回_1ヶ月前の在庫'!$W$6:$W$10005,$W7398)&gt;0),N(U7397),N(U7397)+1))</f>
        <v/>
      </c>
      <c r="V7398" s="19">
        <f>IF($B7398="","",TEXT($B7398,"0000"))</f>
        <v/>
      </c>
      <c r="W7398" s="19">
        <f>IF($I7398="","",IF(ISNUMBER($I7398),TEXT($I7398,"0"),$I7398))</f>
        <v/>
      </c>
    </row>
    <row r="7399">
      <c r="B7399" s="25" t="n"/>
      <c r="I7399" s="25" t="n"/>
      <c r="U7399" s="19">
        <f>IF($V7399&lt;&gt;'設定'!$C$4,N(U7398),IF(OR(NOT(COUNTIF('商品マスタ'!$B$6:$B$1005,$W7399)=0),COUNTIFS('①在庫を貼る'!$V$6:$V$10005,$V7399,'①在庫を貼る'!$W$6:$W$10005,$W7399)+COUNTIFS('月1回_1ヶ月前の在庫'!$V$6:$V$10005,$V7399,'月1回_1ヶ月前の在庫'!$W$6:$W$10005,$W7399)&gt;0),N(U7398),N(U7398)+1))</f>
        <v/>
      </c>
      <c r="V7399" s="19">
        <f>IF($B7399="","",TEXT($B7399,"0000"))</f>
        <v/>
      </c>
      <c r="W7399" s="19">
        <f>IF($I7399="","",IF(ISNUMBER($I7399),TEXT($I7399,"0"),$I7399))</f>
        <v/>
      </c>
    </row>
    <row r="7400">
      <c r="B7400" s="25" t="n"/>
      <c r="I7400" s="25" t="n"/>
      <c r="U7400" s="19">
        <f>IF($V7400&lt;&gt;'設定'!$C$4,N(U7399),IF(OR(NOT(COUNTIF('商品マスタ'!$B$6:$B$1005,$W7400)=0),COUNTIFS('①在庫を貼る'!$V$6:$V$10005,$V7400,'①在庫を貼る'!$W$6:$W$10005,$W7400)+COUNTIFS('月1回_1ヶ月前の在庫'!$V$6:$V$10005,$V7400,'月1回_1ヶ月前の在庫'!$W$6:$W$10005,$W7400)&gt;0),N(U7399),N(U7399)+1))</f>
        <v/>
      </c>
      <c r="V7400" s="19">
        <f>IF($B7400="","",TEXT($B7400,"0000"))</f>
        <v/>
      </c>
      <c r="W7400" s="19">
        <f>IF($I7400="","",IF(ISNUMBER($I7400),TEXT($I7400,"0"),$I7400))</f>
        <v/>
      </c>
    </row>
    <row r="7401">
      <c r="B7401" s="25" t="n"/>
      <c r="I7401" s="25" t="n"/>
      <c r="U7401" s="19">
        <f>IF($V7401&lt;&gt;'設定'!$C$4,N(U7400),IF(OR(NOT(COUNTIF('商品マスタ'!$B$6:$B$1005,$W7401)=0),COUNTIFS('①在庫を貼る'!$V$6:$V$10005,$V7401,'①在庫を貼る'!$W$6:$W$10005,$W7401)+COUNTIFS('月1回_1ヶ月前の在庫'!$V$6:$V$10005,$V7401,'月1回_1ヶ月前の在庫'!$W$6:$W$10005,$W7401)&gt;0),N(U7400),N(U7400)+1))</f>
        <v/>
      </c>
      <c r="V7401" s="19">
        <f>IF($B7401="","",TEXT($B7401,"0000"))</f>
        <v/>
      </c>
      <c r="W7401" s="19">
        <f>IF($I7401="","",IF(ISNUMBER($I7401),TEXT($I7401,"0"),$I7401))</f>
        <v/>
      </c>
    </row>
    <row r="7402">
      <c r="B7402" s="25" t="n"/>
      <c r="I7402" s="25" t="n"/>
      <c r="U7402" s="19">
        <f>IF($V7402&lt;&gt;'設定'!$C$4,N(U7401),IF(OR(NOT(COUNTIF('商品マスタ'!$B$6:$B$1005,$W7402)=0),COUNTIFS('①在庫を貼る'!$V$6:$V$10005,$V7402,'①在庫を貼る'!$W$6:$W$10005,$W7402)+COUNTIFS('月1回_1ヶ月前の在庫'!$V$6:$V$10005,$V7402,'月1回_1ヶ月前の在庫'!$W$6:$W$10005,$W7402)&gt;0),N(U7401),N(U7401)+1))</f>
        <v/>
      </c>
      <c r="V7402" s="19">
        <f>IF($B7402="","",TEXT($B7402,"0000"))</f>
        <v/>
      </c>
      <c r="W7402" s="19">
        <f>IF($I7402="","",IF(ISNUMBER($I7402),TEXT($I7402,"0"),$I7402))</f>
        <v/>
      </c>
    </row>
    <row r="7403">
      <c r="B7403" s="25" t="n"/>
      <c r="I7403" s="25" t="n"/>
      <c r="U7403" s="19">
        <f>IF($V7403&lt;&gt;'設定'!$C$4,N(U7402),IF(OR(NOT(COUNTIF('商品マスタ'!$B$6:$B$1005,$W7403)=0),COUNTIFS('①在庫を貼る'!$V$6:$V$10005,$V7403,'①在庫を貼る'!$W$6:$W$10005,$W7403)+COUNTIFS('月1回_1ヶ月前の在庫'!$V$6:$V$10005,$V7403,'月1回_1ヶ月前の在庫'!$W$6:$W$10005,$W7403)&gt;0),N(U7402),N(U7402)+1))</f>
        <v/>
      </c>
      <c r="V7403" s="19">
        <f>IF($B7403="","",TEXT($B7403,"0000"))</f>
        <v/>
      </c>
      <c r="W7403" s="19">
        <f>IF($I7403="","",IF(ISNUMBER($I7403),TEXT($I7403,"0"),$I7403))</f>
        <v/>
      </c>
    </row>
    <row r="7404">
      <c r="B7404" s="25" t="n"/>
      <c r="I7404" s="25" t="n"/>
      <c r="U7404" s="19">
        <f>IF($V7404&lt;&gt;'設定'!$C$4,N(U7403),IF(OR(NOT(COUNTIF('商品マスタ'!$B$6:$B$1005,$W7404)=0),COUNTIFS('①在庫を貼る'!$V$6:$V$10005,$V7404,'①在庫を貼る'!$W$6:$W$10005,$W7404)+COUNTIFS('月1回_1ヶ月前の在庫'!$V$6:$V$10005,$V7404,'月1回_1ヶ月前の在庫'!$W$6:$W$10005,$W7404)&gt;0),N(U7403),N(U7403)+1))</f>
        <v/>
      </c>
      <c r="V7404" s="19">
        <f>IF($B7404="","",TEXT($B7404,"0000"))</f>
        <v/>
      </c>
      <c r="W7404" s="19">
        <f>IF($I7404="","",IF(ISNUMBER($I7404),TEXT($I7404,"0"),$I7404))</f>
        <v/>
      </c>
    </row>
    <row r="7405">
      <c r="B7405" s="25" t="n"/>
      <c r="I7405" s="25" t="n"/>
      <c r="U7405" s="19">
        <f>IF($V7405&lt;&gt;'設定'!$C$4,N(U7404),IF(OR(NOT(COUNTIF('商品マスタ'!$B$6:$B$1005,$W7405)=0),COUNTIFS('①在庫を貼る'!$V$6:$V$10005,$V7405,'①在庫を貼る'!$W$6:$W$10005,$W7405)+COUNTIFS('月1回_1ヶ月前の在庫'!$V$6:$V$10005,$V7405,'月1回_1ヶ月前の在庫'!$W$6:$W$10005,$W7405)&gt;0),N(U7404),N(U7404)+1))</f>
        <v/>
      </c>
      <c r="V7405" s="19">
        <f>IF($B7405="","",TEXT($B7405,"0000"))</f>
        <v/>
      </c>
      <c r="W7405" s="19">
        <f>IF($I7405="","",IF(ISNUMBER($I7405),TEXT($I7405,"0"),$I7405))</f>
        <v/>
      </c>
    </row>
    <row r="7406">
      <c r="B7406" s="25" t="n"/>
      <c r="I7406" s="25" t="n"/>
      <c r="U7406" s="19">
        <f>IF($V7406&lt;&gt;'設定'!$C$4,N(U7405),IF(OR(NOT(COUNTIF('商品マスタ'!$B$6:$B$1005,$W7406)=0),COUNTIFS('①在庫を貼る'!$V$6:$V$10005,$V7406,'①在庫を貼る'!$W$6:$W$10005,$W7406)+COUNTIFS('月1回_1ヶ月前の在庫'!$V$6:$V$10005,$V7406,'月1回_1ヶ月前の在庫'!$W$6:$W$10005,$W7406)&gt;0),N(U7405),N(U7405)+1))</f>
        <v/>
      </c>
      <c r="V7406" s="19">
        <f>IF($B7406="","",TEXT($B7406,"0000"))</f>
        <v/>
      </c>
      <c r="W7406" s="19">
        <f>IF($I7406="","",IF(ISNUMBER($I7406),TEXT($I7406,"0"),$I7406))</f>
        <v/>
      </c>
    </row>
    <row r="7407">
      <c r="B7407" s="25" t="n"/>
      <c r="I7407" s="25" t="n"/>
      <c r="U7407" s="19">
        <f>IF($V7407&lt;&gt;'設定'!$C$4,N(U7406),IF(OR(NOT(COUNTIF('商品マスタ'!$B$6:$B$1005,$W7407)=0),COUNTIFS('①在庫を貼る'!$V$6:$V$10005,$V7407,'①在庫を貼る'!$W$6:$W$10005,$W7407)+COUNTIFS('月1回_1ヶ月前の在庫'!$V$6:$V$10005,$V7407,'月1回_1ヶ月前の在庫'!$W$6:$W$10005,$W7407)&gt;0),N(U7406),N(U7406)+1))</f>
        <v/>
      </c>
      <c r="V7407" s="19">
        <f>IF($B7407="","",TEXT($B7407,"0000"))</f>
        <v/>
      </c>
      <c r="W7407" s="19">
        <f>IF($I7407="","",IF(ISNUMBER($I7407),TEXT($I7407,"0"),$I7407))</f>
        <v/>
      </c>
    </row>
    <row r="7408">
      <c r="B7408" s="25" t="n"/>
      <c r="I7408" s="25" t="n"/>
      <c r="U7408" s="19">
        <f>IF($V7408&lt;&gt;'設定'!$C$4,N(U7407),IF(OR(NOT(COUNTIF('商品マスタ'!$B$6:$B$1005,$W7408)=0),COUNTIFS('①在庫を貼る'!$V$6:$V$10005,$V7408,'①在庫を貼る'!$W$6:$W$10005,$W7408)+COUNTIFS('月1回_1ヶ月前の在庫'!$V$6:$V$10005,$V7408,'月1回_1ヶ月前の在庫'!$W$6:$W$10005,$W7408)&gt;0),N(U7407),N(U7407)+1))</f>
        <v/>
      </c>
      <c r="V7408" s="19">
        <f>IF($B7408="","",TEXT($B7408,"0000"))</f>
        <v/>
      </c>
      <c r="W7408" s="19">
        <f>IF($I7408="","",IF(ISNUMBER($I7408),TEXT($I7408,"0"),$I7408))</f>
        <v/>
      </c>
    </row>
    <row r="7409">
      <c r="B7409" s="25" t="n"/>
      <c r="I7409" s="25" t="n"/>
      <c r="U7409" s="19">
        <f>IF($V7409&lt;&gt;'設定'!$C$4,N(U7408),IF(OR(NOT(COUNTIF('商品マスタ'!$B$6:$B$1005,$W7409)=0),COUNTIFS('①在庫を貼る'!$V$6:$V$10005,$V7409,'①在庫を貼る'!$W$6:$W$10005,$W7409)+COUNTIFS('月1回_1ヶ月前の在庫'!$V$6:$V$10005,$V7409,'月1回_1ヶ月前の在庫'!$W$6:$W$10005,$W7409)&gt;0),N(U7408),N(U7408)+1))</f>
        <v/>
      </c>
      <c r="V7409" s="19">
        <f>IF($B7409="","",TEXT($B7409,"0000"))</f>
        <v/>
      </c>
      <c r="W7409" s="19">
        <f>IF($I7409="","",IF(ISNUMBER($I7409),TEXT($I7409,"0"),$I7409))</f>
        <v/>
      </c>
    </row>
    <row r="7410">
      <c r="B7410" s="25" t="n"/>
      <c r="I7410" s="25" t="n"/>
      <c r="U7410" s="19">
        <f>IF($V7410&lt;&gt;'設定'!$C$4,N(U7409),IF(OR(NOT(COUNTIF('商品マスタ'!$B$6:$B$1005,$W7410)=0),COUNTIFS('①在庫を貼る'!$V$6:$V$10005,$V7410,'①在庫を貼る'!$W$6:$W$10005,$W7410)+COUNTIFS('月1回_1ヶ月前の在庫'!$V$6:$V$10005,$V7410,'月1回_1ヶ月前の在庫'!$W$6:$W$10005,$W7410)&gt;0),N(U7409),N(U7409)+1))</f>
        <v/>
      </c>
      <c r="V7410" s="19">
        <f>IF($B7410="","",TEXT($B7410,"0000"))</f>
        <v/>
      </c>
      <c r="W7410" s="19">
        <f>IF($I7410="","",IF(ISNUMBER($I7410),TEXT($I7410,"0"),$I7410))</f>
        <v/>
      </c>
    </row>
    <row r="7411">
      <c r="B7411" s="25" t="n"/>
      <c r="I7411" s="25" t="n"/>
      <c r="U7411" s="19">
        <f>IF($V7411&lt;&gt;'設定'!$C$4,N(U7410),IF(OR(NOT(COUNTIF('商品マスタ'!$B$6:$B$1005,$W7411)=0),COUNTIFS('①在庫を貼る'!$V$6:$V$10005,$V7411,'①在庫を貼る'!$W$6:$W$10005,$W7411)+COUNTIFS('月1回_1ヶ月前の在庫'!$V$6:$V$10005,$V7411,'月1回_1ヶ月前の在庫'!$W$6:$W$10005,$W7411)&gt;0),N(U7410),N(U7410)+1))</f>
        <v/>
      </c>
      <c r="V7411" s="19">
        <f>IF($B7411="","",TEXT($B7411,"0000"))</f>
        <v/>
      </c>
      <c r="W7411" s="19">
        <f>IF($I7411="","",IF(ISNUMBER($I7411),TEXT($I7411,"0"),$I7411))</f>
        <v/>
      </c>
    </row>
    <row r="7412">
      <c r="B7412" s="25" t="n"/>
      <c r="I7412" s="25" t="n"/>
      <c r="U7412" s="19">
        <f>IF($V7412&lt;&gt;'設定'!$C$4,N(U7411),IF(OR(NOT(COUNTIF('商品マスタ'!$B$6:$B$1005,$W7412)=0),COUNTIFS('①在庫を貼る'!$V$6:$V$10005,$V7412,'①在庫を貼る'!$W$6:$W$10005,$W7412)+COUNTIFS('月1回_1ヶ月前の在庫'!$V$6:$V$10005,$V7412,'月1回_1ヶ月前の在庫'!$W$6:$W$10005,$W7412)&gt;0),N(U7411),N(U7411)+1))</f>
        <v/>
      </c>
      <c r="V7412" s="19">
        <f>IF($B7412="","",TEXT($B7412,"0000"))</f>
        <v/>
      </c>
      <c r="W7412" s="19">
        <f>IF($I7412="","",IF(ISNUMBER($I7412),TEXT($I7412,"0"),$I7412))</f>
        <v/>
      </c>
    </row>
    <row r="7413">
      <c r="B7413" s="25" t="n"/>
      <c r="I7413" s="25" t="n"/>
      <c r="U7413" s="19">
        <f>IF($V7413&lt;&gt;'設定'!$C$4,N(U7412),IF(OR(NOT(COUNTIF('商品マスタ'!$B$6:$B$1005,$W7413)=0),COUNTIFS('①在庫を貼る'!$V$6:$V$10005,$V7413,'①在庫を貼る'!$W$6:$W$10005,$W7413)+COUNTIFS('月1回_1ヶ月前の在庫'!$V$6:$V$10005,$V7413,'月1回_1ヶ月前の在庫'!$W$6:$W$10005,$W7413)&gt;0),N(U7412),N(U7412)+1))</f>
        <v/>
      </c>
      <c r="V7413" s="19">
        <f>IF($B7413="","",TEXT($B7413,"0000"))</f>
        <v/>
      </c>
      <c r="W7413" s="19">
        <f>IF($I7413="","",IF(ISNUMBER($I7413),TEXT($I7413,"0"),$I7413))</f>
        <v/>
      </c>
    </row>
    <row r="7414">
      <c r="B7414" s="25" t="n"/>
      <c r="I7414" s="25" t="n"/>
      <c r="U7414" s="19">
        <f>IF($V7414&lt;&gt;'設定'!$C$4,N(U7413),IF(OR(NOT(COUNTIF('商品マスタ'!$B$6:$B$1005,$W7414)=0),COUNTIFS('①在庫を貼る'!$V$6:$V$10005,$V7414,'①在庫を貼る'!$W$6:$W$10005,$W7414)+COUNTIFS('月1回_1ヶ月前の在庫'!$V$6:$V$10005,$V7414,'月1回_1ヶ月前の在庫'!$W$6:$W$10005,$W7414)&gt;0),N(U7413),N(U7413)+1))</f>
        <v/>
      </c>
      <c r="V7414" s="19">
        <f>IF($B7414="","",TEXT($B7414,"0000"))</f>
        <v/>
      </c>
      <c r="W7414" s="19">
        <f>IF($I7414="","",IF(ISNUMBER($I7414),TEXT($I7414,"0"),$I7414))</f>
        <v/>
      </c>
    </row>
    <row r="7415">
      <c r="B7415" s="25" t="n"/>
      <c r="I7415" s="25" t="n"/>
      <c r="U7415" s="19">
        <f>IF($V7415&lt;&gt;'設定'!$C$4,N(U7414),IF(OR(NOT(COUNTIF('商品マスタ'!$B$6:$B$1005,$W7415)=0),COUNTIFS('①在庫を貼る'!$V$6:$V$10005,$V7415,'①在庫を貼る'!$W$6:$W$10005,$W7415)+COUNTIFS('月1回_1ヶ月前の在庫'!$V$6:$V$10005,$V7415,'月1回_1ヶ月前の在庫'!$W$6:$W$10005,$W7415)&gt;0),N(U7414),N(U7414)+1))</f>
        <v/>
      </c>
      <c r="V7415" s="19">
        <f>IF($B7415="","",TEXT($B7415,"0000"))</f>
        <v/>
      </c>
      <c r="W7415" s="19">
        <f>IF($I7415="","",IF(ISNUMBER($I7415),TEXT($I7415,"0"),$I7415))</f>
        <v/>
      </c>
    </row>
    <row r="7416">
      <c r="B7416" s="25" t="n"/>
      <c r="I7416" s="25" t="n"/>
      <c r="U7416" s="19">
        <f>IF($V7416&lt;&gt;'設定'!$C$4,N(U7415),IF(OR(NOT(COUNTIF('商品マスタ'!$B$6:$B$1005,$W7416)=0),COUNTIFS('①在庫を貼る'!$V$6:$V$10005,$V7416,'①在庫を貼る'!$W$6:$W$10005,$W7416)+COUNTIFS('月1回_1ヶ月前の在庫'!$V$6:$V$10005,$V7416,'月1回_1ヶ月前の在庫'!$W$6:$W$10005,$W7416)&gt;0),N(U7415),N(U7415)+1))</f>
        <v/>
      </c>
      <c r="V7416" s="19">
        <f>IF($B7416="","",TEXT($B7416,"0000"))</f>
        <v/>
      </c>
      <c r="W7416" s="19">
        <f>IF($I7416="","",IF(ISNUMBER($I7416),TEXT($I7416,"0"),$I7416))</f>
        <v/>
      </c>
    </row>
    <row r="7417">
      <c r="B7417" s="25" t="n"/>
      <c r="I7417" s="25" t="n"/>
      <c r="U7417" s="19">
        <f>IF($V7417&lt;&gt;'設定'!$C$4,N(U7416),IF(OR(NOT(COUNTIF('商品マスタ'!$B$6:$B$1005,$W7417)=0),COUNTIFS('①在庫を貼る'!$V$6:$V$10005,$V7417,'①在庫を貼る'!$W$6:$W$10005,$W7417)+COUNTIFS('月1回_1ヶ月前の在庫'!$V$6:$V$10005,$V7417,'月1回_1ヶ月前の在庫'!$W$6:$W$10005,$W7417)&gt;0),N(U7416),N(U7416)+1))</f>
        <v/>
      </c>
      <c r="V7417" s="19">
        <f>IF($B7417="","",TEXT($B7417,"0000"))</f>
        <v/>
      </c>
      <c r="W7417" s="19">
        <f>IF($I7417="","",IF(ISNUMBER($I7417),TEXT($I7417,"0"),$I7417))</f>
        <v/>
      </c>
    </row>
    <row r="7418">
      <c r="B7418" s="25" t="n"/>
      <c r="I7418" s="25" t="n"/>
      <c r="U7418" s="19">
        <f>IF($V7418&lt;&gt;'設定'!$C$4,N(U7417),IF(OR(NOT(COUNTIF('商品マスタ'!$B$6:$B$1005,$W7418)=0),COUNTIFS('①在庫を貼る'!$V$6:$V$10005,$V7418,'①在庫を貼る'!$W$6:$W$10005,$W7418)+COUNTIFS('月1回_1ヶ月前の在庫'!$V$6:$V$10005,$V7418,'月1回_1ヶ月前の在庫'!$W$6:$W$10005,$W7418)&gt;0),N(U7417),N(U7417)+1))</f>
        <v/>
      </c>
      <c r="V7418" s="19">
        <f>IF($B7418="","",TEXT($B7418,"0000"))</f>
        <v/>
      </c>
      <c r="W7418" s="19">
        <f>IF($I7418="","",IF(ISNUMBER($I7418),TEXT($I7418,"0"),$I7418))</f>
        <v/>
      </c>
    </row>
    <row r="7419">
      <c r="B7419" s="25" t="n"/>
      <c r="I7419" s="25" t="n"/>
      <c r="U7419" s="19">
        <f>IF($V7419&lt;&gt;'設定'!$C$4,N(U7418),IF(OR(NOT(COUNTIF('商品マスタ'!$B$6:$B$1005,$W7419)=0),COUNTIFS('①在庫を貼る'!$V$6:$V$10005,$V7419,'①在庫を貼る'!$W$6:$W$10005,$W7419)+COUNTIFS('月1回_1ヶ月前の在庫'!$V$6:$V$10005,$V7419,'月1回_1ヶ月前の在庫'!$W$6:$W$10005,$W7419)&gt;0),N(U7418),N(U7418)+1))</f>
        <v/>
      </c>
      <c r="V7419" s="19">
        <f>IF($B7419="","",TEXT($B7419,"0000"))</f>
        <v/>
      </c>
      <c r="W7419" s="19">
        <f>IF($I7419="","",IF(ISNUMBER($I7419),TEXT($I7419,"0"),$I7419))</f>
        <v/>
      </c>
    </row>
    <row r="7420">
      <c r="B7420" s="25" t="n"/>
      <c r="I7420" s="25" t="n"/>
      <c r="U7420" s="19">
        <f>IF($V7420&lt;&gt;'設定'!$C$4,N(U7419),IF(OR(NOT(COUNTIF('商品マスタ'!$B$6:$B$1005,$W7420)=0),COUNTIFS('①在庫を貼る'!$V$6:$V$10005,$V7420,'①在庫を貼る'!$W$6:$W$10005,$W7420)+COUNTIFS('月1回_1ヶ月前の在庫'!$V$6:$V$10005,$V7420,'月1回_1ヶ月前の在庫'!$W$6:$W$10005,$W7420)&gt;0),N(U7419),N(U7419)+1))</f>
        <v/>
      </c>
      <c r="V7420" s="19">
        <f>IF($B7420="","",TEXT($B7420,"0000"))</f>
        <v/>
      </c>
      <c r="W7420" s="19">
        <f>IF($I7420="","",IF(ISNUMBER($I7420),TEXT($I7420,"0"),$I7420))</f>
        <v/>
      </c>
    </row>
    <row r="7421">
      <c r="B7421" s="25" t="n"/>
      <c r="I7421" s="25" t="n"/>
      <c r="U7421" s="19">
        <f>IF($V7421&lt;&gt;'設定'!$C$4,N(U7420),IF(OR(NOT(COUNTIF('商品マスタ'!$B$6:$B$1005,$W7421)=0),COUNTIFS('①在庫を貼る'!$V$6:$V$10005,$V7421,'①在庫を貼る'!$W$6:$W$10005,$W7421)+COUNTIFS('月1回_1ヶ月前の在庫'!$V$6:$V$10005,$V7421,'月1回_1ヶ月前の在庫'!$W$6:$W$10005,$W7421)&gt;0),N(U7420),N(U7420)+1))</f>
        <v/>
      </c>
      <c r="V7421" s="19">
        <f>IF($B7421="","",TEXT($B7421,"0000"))</f>
        <v/>
      </c>
      <c r="W7421" s="19">
        <f>IF($I7421="","",IF(ISNUMBER($I7421),TEXT($I7421,"0"),$I7421))</f>
        <v/>
      </c>
    </row>
    <row r="7422">
      <c r="B7422" s="25" t="n"/>
      <c r="I7422" s="25" t="n"/>
      <c r="U7422" s="19">
        <f>IF($V7422&lt;&gt;'設定'!$C$4,N(U7421),IF(OR(NOT(COUNTIF('商品マスタ'!$B$6:$B$1005,$W7422)=0),COUNTIFS('①在庫を貼る'!$V$6:$V$10005,$V7422,'①在庫を貼る'!$W$6:$W$10005,$W7422)+COUNTIFS('月1回_1ヶ月前の在庫'!$V$6:$V$10005,$V7422,'月1回_1ヶ月前の在庫'!$W$6:$W$10005,$W7422)&gt;0),N(U7421),N(U7421)+1))</f>
        <v/>
      </c>
      <c r="V7422" s="19">
        <f>IF($B7422="","",TEXT($B7422,"0000"))</f>
        <v/>
      </c>
      <c r="W7422" s="19">
        <f>IF($I7422="","",IF(ISNUMBER($I7422),TEXT($I7422,"0"),$I7422))</f>
        <v/>
      </c>
    </row>
    <row r="7423">
      <c r="B7423" s="25" t="n"/>
      <c r="I7423" s="25" t="n"/>
      <c r="U7423" s="19">
        <f>IF($V7423&lt;&gt;'設定'!$C$4,N(U7422),IF(OR(NOT(COUNTIF('商品マスタ'!$B$6:$B$1005,$W7423)=0),COUNTIFS('①在庫を貼る'!$V$6:$V$10005,$V7423,'①在庫を貼る'!$W$6:$W$10005,$W7423)+COUNTIFS('月1回_1ヶ月前の在庫'!$V$6:$V$10005,$V7423,'月1回_1ヶ月前の在庫'!$W$6:$W$10005,$W7423)&gt;0),N(U7422),N(U7422)+1))</f>
        <v/>
      </c>
      <c r="V7423" s="19">
        <f>IF($B7423="","",TEXT($B7423,"0000"))</f>
        <v/>
      </c>
      <c r="W7423" s="19">
        <f>IF($I7423="","",IF(ISNUMBER($I7423),TEXT($I7423,"0"),$I7423))</f>
        <v/>
      </c>
    </row>
    <row r="7424">
      <c r="B7424" s="25" t="n"/>
      <c r="I7424" s="25" t="n"/>
      <c r="U7424" s="19">
        <f>IF($V7424&lt;&gt;'設定'!$C$4,N(U7423),IF(OR(NOT(COUNTIF('商品マスタ'!$B$6:$B$1005,$W7424)=0),COUNTIFS('①在庫を貼る'!$V$6:$V$10005,$V7424,'①在庫を貼る'!$W$6:$W$10005,$W7424)+COUNTIFS('月1回_1ヶ月前の在庫'!$V$6:$V$10005,$V7424,'月1回_1ヶ月前の在庫'!$W$6:$W$10005,$W7424)&gt;0),N(U7423),N(U7423)+1))</f>
        <v/>
      </c>
      <c r="V7424" s="19">
        <f>IF($B7424="","",TEXT($B7424,"0000"))</f>
        <v/>
      </c>
      <c r="W7424" s="19">
        <f>IF($I7424="","",IF(ISNUMBER($I7424),TEXT($I7424,"0"),$I7424))</f>
        <v/>
      </c>
    </row>
    <row r="7425">
      <c r="B7425" s="25" t="n"/>
      <c r="I7425" s="25" t="n"/>
      <c r="U7425" s="19">
        <f>IF($V7425&lt;&gt;'設定'!$C$4,N(U7424),IF(OR(NOT(COUNTIF('商品マスタ'!$B$6:$B$1005,$W7425)=0),COUNTIFS('①在庫を貼る'!$V$6:$V$10005,$V7425,'①在庫を貼る'!$W$6:$W$10005,$W7425)+COUNTIFS('月1回_1ヶ月前の在庫'!$V$6:$V$10005,$V7425,'月1回_1ヶ月前の在庫'!$W$6:$W$10005,$W7425)&gt;0),N(U7424),N(U7424)+1))</f>
        <v/>
      </c>
      <c r="V7425" s="19">
        <f>IF($B7425="","",TEXT($B7425,"0000"))</f>
        <v/>
      </c>
      <c r="W7425" s="19">
        <f>IF($I7425="","",IF(ISNUMBER($I7425),TEXT($I7425,"0"),$I7425))</f>
        <v/>
      </c>
    </row>
    <row r="7426">
      <c r="B7426" s="25" t="n"/>
      <c r="I7426" s="25" t="n"/>
      <c r="U7426" s="19">
        <f>IF($V7426&lt;&gt;'設定'!$C$4,N(U7425),IF(OR(NOT(COUNTIF('商品マスタ'!$B$6:$B$1005,$W7426)=0),COUNTIFS('①在庫を貼る'!$V$6:$V$10005,$V7426,'①在庫を貼る'!$W$6:$W$10005,$W7426)+COUNTIFS('月1回_1ヶ月前の在庫'!$V$6:$V$10005,$V7426,'月1回_1ヶ月前の在庫'!$W$6:$W$10005,$W7426)&gt;0),N(U7425),N(U7425)+1))</f>
        <v/>
      </c>
      <c r="V7426" s="19">
        <f>IF($B7426="","",TEXT($B7426,"0000"))</f>
        <v/>
      </c>
      <c r="W7426" s="19">
        <f>IF($I7426="","",IF(ISNUMBER($I7426),TEXT($I7426,"0"),$I7426))</f>
        <v/>
      </c>
    </row>
    <row r="7427">
      <c r="B7427" s="25" t="n"/>
      <c r="I7427" s="25" t="n"/>
      <c r="U7427" s="19">
        <f>IF($V7427&lt;&gt;'設定'!$C$4,N(U7426),IF(OR(NOT(COUNTIF('商品マスタ'!$B$6:$B$1005,$W7427)=0),COUNTIFS('①在庫を貼る'!$V$6:$V$10005,$V7427,'①在庫を貼る'!$W$6:$W$10005,$W7427)+COUNTIFS('月1回_1ヶ月前の在庫'!$V$6:$V$10005,$V7427,'月1回_1ヶ月前の在庫'!$W$6:$W$10005,$W7427)&gt;0),N(U7426),N(U7426)+1))</f>
        <v/>
      </c>
      <c r="V7427" s="19">
        <f>IF($B7427="","",TEXT($B7427,"0000"))</f>
        <v/>
      </c>
      <c r="W7427" s="19">
        <f>IF($I7427="","",IF(ISNUMBER($I7427),TEXT($I7427,"0"),$I7427))</f>
        <v/>
      </c>
    </row>
    <row r="7428">
      <c r="B7428" s="25" t="n"/>
      <c r="I7428" s="25" t="n"/>
      <c r="U7428" s="19">
        <f>IF($V7428&lt;&gt;'設定'!$C$4,N(U7427),IF(OR(NOT(COUNTIF('商品マスタ'!$B$6:$B$1005,$W7428)=0),COUNTIFS('①在庫を貼る'!$V$6:$V$10005,$V7428,'①在庫を貼る'!$W$6:$W$10005,$W7428)+COUNTIFS('月1回_1ヶ月前の在庫'!$V$6:$V$10005,$V7428,'月1回_1ヶ月前の在庫'!$W$6:$W$10005,$W7428)&gt;0),N(U7427),N(U7427)+1))</f>
        <v/>
      </c>
      <c r="V7428" s="19">
        <f>IF($B7428="","",TEXT($B7428,"0000"))</f>
        <v/>
      </c>
      <c r="W7428" s="19">
        <f>IF($I7428="","",IF(ISNUMBER($I7428),TEXT($I7428,"0"),$I7428))</f>
        <v/>
      </c>
    </row>
    <row r="7429">
      <c r="B7429" s="25" t="n"/>
      <c r="I7429" s="25" t="n"/>
      <c r="U7429" s="19">
        <f>IF($V7429&lt;&gt;'設定'!$C$4,N(U7428),IF(OR(NOT(COUNTIF('商品マスタ'!$B$6:$B$1005,$W7429)=0),COUNTIFS('①在庫を貼る'!$V$6:$V$10005,$V7429,'①在庫を貼る'!$W$6:$W$10005,$W7429)+COUNTIFS('月1回_1ヶ月前の在庫'!$V$6:$V$10005,$V7429,'月1回_1ヶ月前の在庫'!$W$6:$W$10005,$W7429)&gt;0),N(U7428),N(U7428)+1))</f>
        <v/>
      </c>
      <c r="V7429" s="19">
        <f>IF($B7429="","",TEXT($B7429,"0000"))</f>
        <v/>
      </c>
      <c r="W7429" s="19">
        <f>IF($I7429="","",IF(ISNUMBER($I7429),TEXT($I7429,"0"),$I7429))</f>
        <v/>
      </c>
    </row>
    <row r="7430">
      <c r="B7430" s="25" t="n"/>
      <c r="I7430" s="25" t="n"/>
      <c r="U7430" s="19">
        <f>IF($V7430&lt;&gt;'設定'!$C$4,N(U7429),IF(OR(NOT(COUNTIF('商品マスタ'!$B$6:$B$1005,$W7430)=0),COUNTIFS('①在庫を貼る'!$V$6:$V$10005,$V7430,'①在庫を貼る'!$W$6:$W$10005,$W7430)+COUNTIFS('月1回_1ヶ月前の在庫'!$V$6:$V$10005,$V7430,'月1回_1ヶ月前の在庫'!$W$6:$W$10005,$W7430)&gt;0),N(U7429),N(U7429)+1))</f>
        <v/>
      </c>
      <c r="V7430" s="19">
        <f>IF($B7430="","",TEXT($B7430,"0000"))</f>
        <v/>
      </c>
      <c r="W7430" s="19">
        <f>IF($I7430="","",IF(ISNUMBER($I7430),TEXT($I7430,"0"),$I7430))</f>
        <v/>
      </c>
    </row>
    <row r="7431">
      <c r="B7431" s="25" t="n"/>
      <c r="I7431" s="25" t="n"/>
      <c r="U7431" s="19">
        <f>IF($V7431&lt;&gt;'設定'!$C$4,N(U7430),IF(OR(NOT(COUNTIF('商品マスタ'!$B$6:$B$1005,$W7431)=0),COUNTIFS('①在庫を貼る'!$V$6:$V$10005,$V7431,'①在庫を貼る'!$W$6:$W$10005,$W7431)+COUNTIFS('月1回_1ヶ月前の在庫'!$V$6:$V$10005,$V7431,'月1回_1ヶ月前の在庫'!$W$6:$W$10005,$W7431)&gt;0),N(U7430),N(U7430)+1))</f>
        <v/>
      </c>
      <c r="V7431" s="19">
        <f>IF($B7431="","",TEXT($B7431,"0000"))</f>
        <v/>
      </c>
      <c r="W7431" s="19">
        <f>IF($I7431="","",IF(ISNUMBER($I7431),TEXT($I7431,"0"),$I7431))</f>
        <v/>
      </c>
    </row>
    <row r="7432">
      <c r="B7432" s="25" t="n"/>
      <c r="I7432" s="25" t="n"/>
      <c r="U7432" s="19">
        <f>IF($V7432&lt;&gt;'設定'!$C$4,N(U7431),IF(OR(NOT(COUNTIF('商品マスタ'!$B$6:$B$1005,$W7432)=0),COUNTIFS('①在庫を貼る'!$V$6:$V$10005,$V7432,'①在庫を貼る'!$W$6:$W$10005,$W7432)+COUNTIFS('月1回_1ヶ月前の在庫'!$V$6:$V$10005,$V7432,'月1回_1ヶ月前の在庫'!$W$6:$W$10005,$W7432)&gt;0),N(U7431),N(U7431)+1))</f>
        <v/>
      </c>
      <c r="V7432" s="19">
        <f>IF($B7432="","",TEXT($B7432,"0000"))</f>
        <v/>
      </c>
      <c r="W7432" s="19">
        <f>IF($I7432="","",IF(ISNUMBER($I7432),TEXT($I7432,"0"),$I7432))</f>
        <v/>
      </c>
    </row>
    <row r="7433">
      <c r="B7433" s="25" t="n"/>
      <c r="I7433" s="25" t="n"/>
      <c r="U7433" s="19">
        <f>IF($V7433&lt;&gt;'設定'!$C$4,N(U7432),IF(OR(NOT(COUNTIF('商品マスタ'!$B$6:$B$1005,$W7433)=0),COUNTIFS('①在庫を貼る'!$V$6:$V$10005,$V7433,'①在庫を貼る'!$W$6:$W$10005,$W7433)+COUNTIFS('月1回_1ヶ月前の在庫'!$V$6:$V$10005,$V7433,'月1回_1ヶ月前の在庫'!$W$6:$W$10005,$W7433)&gt;0),N(U7432),N(U7432)+1))</f>
        <v/>
      </c>
      <c r="V7433" s="19">
        <f>IF($B7433="","",TEXT($B7433,"0000"))</f>
        <v/>
      </c>
      <c r="W7433" s="19">
        <f>IF($I7433="","",IF(ISNUMBER($I7433),TEXT($I7433,"0"),$I7433))</f>
        <v/>
      </c>
    </row>
    <row r="7434">
      <c r="B7434" s="25" t="n"/>
      <c r="I7434" s="25" t="n"/>
      <c r="U7434" s="19">
        <f>IF($V7434&lt;&gt;'設定'!$C$4,N(U7433),IF(OR(NOT(COUNTIF('商品マスタ'!$B$6:$B$1005,$W7434)=0),COUNTIFS('①在庫を貼る'!$V$6:$V$10005,$V7434,'①在庫を貼る'!$W$6:$W$10005,$W7434)+COUNTIFS('月1回_1ヶ月前の在庫'!$V$6:$V$10005,$V7434,'月1回_1ヶ月前の在庫'!$W$6:$W$10005,$W7434)&gt;0),N(U7433),N(U7433)+1))</f>
        <v/>
      </c>
      <c r="V7434" s="19">
        <f>IF($B7434="","",TEXT($B7434,"0000"))</f>
        <v/>
      </c>
      <c r="W7434" s="19">
        <f>IF($I7434="","",IF(ISNUMBER($I7434),TEXT($I7434,"0"),$I7434))</f>
        <v/>
      </c>
    </row>
    <row r="7435">
      <c r="B7435" s="25" t="n"/>
      <c r="I7435" s="25" t="n"/>
      <c r="U7435" s="19">
        <f>IF($V7435&lt;&gt;'設定'!$C$4,N(U7434),IF(OR(NOT(COUNTIF('商品マスタ'!$B$6:$B$1005,$W7435)=0),COUNTIFS('①在庫を貼る'!$V$6:$V$10005,$V7435,'①在庫を貼る'!$W$6:$W$10005,$W7435)+COUNTIFS('月1回_1ヶ月前の在庫'!$V$6:$V$10005,$V7435,'月1回_1ヶ月前の在庫'!$W$6:$W$10005,$W7435)&gt;0),N(U7434),N(U7434)+1))</f>
        <v/>
      </c>
      <c r="V7435" s="19">
        <f>IF($B7435="","",TEXT($B7435,"0000"))</f>
        <v/>
      </c>
      <c r="W7435" s="19">
        <f>IF($I7435="","",IF(ISNUMBER($I7435),TEXT($I7435,"0"),$I7435))</f>
        <v/>
      </c>
    </row>
    <row r="7436">
      <c r="B7436" s="25" t="n"/>
      <c r="I7436" s="25" t="n"/>
      <c r="U7436" s="19">
        <f>IF($V7436&lt;&gt;'設定'!$C$4,N(U7435),IF(OR(NOT(COUNTIF('商品マスタ'!$B$6:$B$1005,$W7436)=0),COUNTIFS('①在庫を貼る'!$V$6:$V$10005,$V7436,'①在庫を貼る'!$W$6:$W$10005,$W7436)+COUNTIFS('月1回_1ヶ月前の在庫'!$V$6:$V$10005,$V7436,'月1回_1ヶ月前の在庫'!$W$6:$W$10005,$W7436)&gt;0),N(U7435),N(U7435)+1))</f>
        <v/>
      </c>
      <c r="V7436" s="19">
        <f>IF($B7436="","",TEXT($B7436,"0000"))</f>
        <v/>
      </c>
      <c r="W7436" s="19">
        <f>IF($I7436="","",IF(ISNUMBER($I7436),TEXT($I7436,"0"),$I7436))</f>
        <v/>
      </c>
    </row>
    <row r="7437">
      <c r="B7437" s="25" t="n"/>
      <c r="I7437" s="25" t="n"/>
      <c r="U7437" s="19">
        <f>IF($V7437&lt;&gt;'設定'!$C$4,N(U7436),IF(OR(NOT(COUNTIF('商品マスタ'!$B$6:$B$1005,$W7437)=0),COUNTIFS('①在庫を貼る'!$V$6:$V$10005,$V7437,'①在庫を貼る'!$W$6:$W$10005,$W7437)+COUNTIFS('月1回_1ヶ月前の在庫'!$V$6:$V$10005,$V7437,'月1回_1ヶ月前の在庫'!$W$6:$W$10005,$W7437)&gt;0),N(U7436),N(U7436)+1))</f>
        <v/>
      </c>
      <c r="V7437" s="19">
        <f>IF($B7437="","",TEXT($B7437,"0000"))</f>
        <v/>
      </c>
      <c r="W7437" s="19">
        <f>IF($I7437="","",IF(ISNUMBER($I7437),TEXT($I7437,"0"),$I7437))</f>
        <v/>
      </c>
    </row>
    <row r="7438">
      <c r="B7438" s="25" t="n"/>
      <c r="I7438" s="25" t="n"/>
      <c r="U7438" s="19">
        <f>IF($V7438&lt;&gt;'設定'!$C$4,N(U7437),IF(OR(NOT(COUNTIF('商品マスタ'!$B$6:$B$1005,$W7438)=0),COUNTIFS('①在庫を貼る'!$V$6:$V$10005,$V7438,'①在庫を貼る'!$W$6:$W$10005,$W7438)+COUNTIFS('月1回_1ヶ月前の在庫'!$V$6:$V$10005,$V7438,'月1回_1ヶ月前の在庫'!$W$6:$W$10005,$W7438)&gt;0),N(U7437),N(U7437)+1))</f>
        <v/>
      </c>
      <c r="V7438" s="19">
        <f>IF($B7438="","",TEXT($B7438,"0000"))</f>
        <v/>
      </c>
      <c r="W7438" s="19">
        <f>IF($I7438="","",IF(ISNUMBER($I7438),TEXT($I7438,"0"),$I7438))</f>
        <v/>
      </c>
    </row>
    <row r="7439">
      <c r="B7439" s="25" t="n"/>
      <c r="I7439" s="25" t="n"/>
      <c r="U7439" s="19">
        <f>IF($V7439&lt;&gt;'設定'!$C$4,N(U7438),IF(OR(NOT(COUNTIF('商品マスタ'!$B$6:$B$1005,$W7439)=0),COUNTIFS('①在庫を貼る'!$V$6:$V$10005,$V7439,'①在庫を貼る'!$W$6:$W$10005,$W7439)+COUNTIFS('月1回_1ヶ月前の在庫'!$V$6:$V$10005,$V7439,'月1回_1ヶ月前の在庫'!$W$6:$W$10005,$W7439)&gt;0),N(U7438),N(U7438)+1))</f>
        <v/>
      </c>
      <c r="V7439" s="19">
        <f>IF($B7439="","",TEXT($B7439,"0000"))</f>
        <v/>
      </c>
      <c r="W7439" s="19">
        <f>IF($I7439="","",IF(ISNUMBER($I7439),TEXT($I7439,"0"),$I7439))</f>
        <v/>
      </c>
    </row>
    <row r="7440">
      <c r="B7440" s="25" t="n"/>
      <c r="I7440" s="25" t="n"/>
      <c r="U7440" s="19">
        <f>IF($V7440&lt;&gt;'設定'!$C$4,N(U7439),IF(OR(NOT(COUNTIF('商品マスタ'!$B$6:$B$1005,$W7440)=0),COUNTIFS('①在庫を貼る'!$V$6:$V$10005,$V7440,'①在庫を貼る'!$W$6:$W$10005,$W7440)+COUNTIFS('月1回_1ヶ月前の在庫'!$V$6:$V$10005,$V7440,'月1回_1ヶ月前の在庫'!$W$6:$W$10005,$W7440)&gt;0),N(U7439),N(U7439)+1))</f>
        <v/>
      </c>
      <c r="V7440" s="19">
        <f>IF($B7440="","",TEXT($B7440,"0000"))</f>
        <v/>
      </c>
      <c r="W7440" s="19">
        <f>IF($I7440="","",IF(ISNUMBER($I7440),TEXT($I7440,"0"),$I7440))</f>
        <v/>
      </c>
    </row>
    <row r="7441">
      <c r="B7441" s="25" t="n"/>
      <c r="I7441" s="25" t="n"/>
      <c r="U7441" s="19">
        <f>IF($V7441&lt;&gt;'設定'!$C$4,N(U7440),IF(OR(NOT(COUNTIF('商品マスタ'!$B$6:$B$1005,$W7441)=0),COUNTIFS('①在庫を貼る'!$V$6:$V$10005,$V7441,'①在庫を貼る'!$W$6:$W$10005,$W7441)+COUNTIFS('月1回_1ヶ月前の在庫'!$V$6:$V$10005,$V7441,'月1回_1ヶ月前の在庫'!$W$6:$W$10005,$W7441)&gt;0),N(U7440),N(U7440)+1))</f>
        <v/>
      </c>
      <c r="V7441" s="19">
        <f>IF($B7441="","",TEXT($B7441,"0000"))</f>
        <v/>
      </c>
      <c r="W7441" s="19">
        <f>IF($I7441="","",IF(ISNUMBER($I7441),TEXT($I7441,"0"),$I7441))</f>
        <v/>
      </c>
    </row>
    <row r="7442">
      <c r="B7442" s="25" t="n"/>
      <c r="I7442" s="25" t="n"/>
      <c r="U7442" s="19">
        <f>IF($V7442&lt;&gt;'設定'!$C$4,N(U7441),IF(OR(NOT(COUNTIF('商品マスタ'!$B$6:$B$1005,$W7442)=0),COUNTIFS('①在庫を貼る'!$V$6:$V$10005,$V7442,'①在庫を貼る'!$W$6:$W$10005,$W7442)+COUNTIFS('月1回_1ヶ月前の在庫'!$V$6:$V$10005,$V7442,'月1回_1ヶ月前の在庫'!$W$6:$W$10005,$W7442)&gt;0),N(U7441),N(U7441)+1))</f>
        <v/>
      </c>
      <c r="V7442" s="19">
        <f>IF($B7442="","",TEXT($B7442,"0000"))</f>
        <v/>
      </c>
      <c r="W7442" s="19">
        <f>IF($I7442="","",IF(ISNUMBER($I7442),TEXT($I7442,"0"),$I7442))</f>
        <v/>
      </c>
    </row>
    <row r="7443">
      <c r="B7443" s="25" t="n"/>
      <c r="I7443" s="25" t="n"/>
      <c r="U7443" s="19">
        <f>IF($V7443&lt;&gt;'設定'!$C$4,N(U7442),IF(OR(NOT(COUNTIF('商品マスタ'!$B$6:$B$1005,$W7443)=0),COUNTIFS('①在庫を貼る'!$V$6:$V$10005,$V7443,'①在庫を貼る'!$W$6:$W$10005,$W7443)+COUNTIFS('月1回_1ヶ月前の在庫'!$V$6:$V$10005,$V7443,'月1回_1ヶ月前の在庫'!$W$6:$W$10005,$W7443)&gt;0),N(U7442),N(U7442)+1))</f>
        <v/>
      </c>
      <c r="V7443" s="19">
        <f>IF($B7443="","",TEXT($B7443,"0000"))</f>
        <v/>
      </c>
      <c r="W7443" s="19">
        <f>IF($I7443="","",IF(ISNUMBER($I7443),TEXT($I7443,"0"),$I7443))</f>
        <v/>
      </c>
    </row>
    <row r="7444">
      <c r="B7444" s="25" t="n"/>
      <c r="I7444" s="25" t="n"/>
      <c r="U7444" s="19">
        <f>IF($V7444&lt;&gt;'設定'!$C$4,N(U7443),IF(OR(NOT(COUNTIF('商品マスタ'!$B$6:$B$1005,$W7444)=0),COUNTIFS('①在庫を貼る'!$V$6:$V$10005,$V7444,'①在庫を貼る'!$W$6:$W$10005,$W7444)+COUNTIFS('月1回_1ヶ月前の在庫'!$V$6:$V$10005,$V7444,'月1回_1ヶ月前の在庫'!$W$6:$W$10005,$W7444)&gt;0),N(U7443),N(U7443)+1))</f>
        <v/>
      </c>
      <c r="V7444" s="19">
        <f>IF($B7444="","",TEXT($B7444,"0000"))</f>
        <v/>
      </c>
      <c r="W7444" s="19">
        <f>IF($I7444="","",IF(ISNUMBER($I7444),TEXT($I7444,"0"),$I7444))</f>
        <v/>
      </c>
    </row>
    <row r="7445">
      <c r="B7445" s="25" t="n"/>
      <c r="I7445" s="25" t="n"/>
      <c r="U7445" s="19">
        <f>IF($V7445&lt;&gt;'設定'!$C$4,N(U7444),IF(OR(NOT(COUNTIF('商品マスタ'!$B$6:$B$1005,$W7445)=0),COUNTIFS('①在庫を貼る'!$V$6:$V$10005,$V7445,'①在庫を貼る'!$W$6:$W$10005,$W7445)+COUNTIFS('月1回_1ヶ月前の在庫'!$V$6:$V$10005,$V7445,'月1回_1ヶ月前の在庫'!$W$6:$W$10005,$W7445)&gt;0),N(U7444),N(U7444)+1))</f>
        <v/>
      </c>
      <c r="V7445" s="19">
        <f>IF($B7445="","",TEXT($B7445,"0000"))</f>
        <v/>
      </c>
      <c r="W7445" s="19">
        <f>IF($I7445="","",IF(ISNUMBER($I7445),TEXT($I7445,"0"),$I7445))</f>
        <v/>
      </c>
    </row>
    <row r="7446">
      <c r="B7446" s="25" t="n"/>
      <c r="I7446" s="25" t="n"/>
      <c r="U7446" s="19">
        <f>IF($V7446&lt;&gt;'設定'!$C$4,N(U7445),IF(OR(NOT(COUNTIF('商品マスタ'!$B$6:$B$1005,$W7446)=0),COUNTIFS('①在庫を貼る'!$V$6:$V$10005,$V7446,'①在庫を貼る'!$W$6:$W$10005,$W7446)+COUNTIFS('月1回_1ヶ月前の在庫'!$V$6:$V$10005,$V7446,'月1回_1ヶ月前の在庫'!$W$6:$W$10005,$W7446)&gt;0),N(U7445),N(U7445)+1))</f>
        <v/>
      </c>
      <c r="V7446" s="19">
        <f>IF($B7446="","",TEXT($B7446,"0000"))</f>
        <v/>
      </c>
      <c r="W7446" s="19">
        <f>IF($I7446="","",IF(ISNUMBER($I7446),TEXT($I7446,"0"),$I7446))</f>
        <v/>
      </c>
    </row>
    <row r="7447">
      <c r="B7447" s="25" t="n"/>
      <c r="I7447" s="25" t="n"/>
      <c r="U7447" s="19">
        <f>IF($V7447&lt;&gt;'設定'!$C$4,N(U7446),IF(OR(NOT(COUNTIF('商品マスタ'!$B$6:$B$1005,$W7447)=0),COUNTIFS('①在庫を貼る'!$V$6:$V$10005,$V7447,'①在庫を貼る'!$W$6:$W$10005,$W7447)+COUNTIFS('月1回_1ヶ月前の在庫'!$V$6:$V$10005,$V7447,'月1回_1ヶ月前の在庫'!$W$6:$W$10005,$W7447)&gt;0),N(U7446),N(U7446)+1))</f>
        <v/>
      </c>
      <c r="V7447" s="19">
        <f>IF($B7447="","",TEXT($B7447,"0000"))</f>
        <v/>
      </c>
      <c r="W7447" s="19">
        <f>IF($I7447="","",IF(ISNUMBER($I7447),TEXT($I7447,"0"),$I7447))</f>
        <v/>
      </c>
    </row>
    <row r="7448">
      <c r="B7448" s="25" t="n"/>
      <c r="I7448" s="25" t="n"/>
      <c r="U7448" s="19">
        <f>IF($V7448&lt;&gt;'設定'!$C$4,N(U7447),IF(OR(NOT(COUNTIF('商品マスタ'!$B$6:$B$1005,$W7448)=0),COUNTIFS('①在庫を貼る'!$V$6:$V$10005,$V7448,'①在庫を貼る'!$W$6:$W$10005,$W7448)+COUNTIFS('月1回_1ヶ月前の在庫'!$V$6:$V$10005,$V7448,'月1回_1ヶ月前の在庫'!$W$6:$W$10005,$W7448)&gt;0),N(U7447),N(U7447)+1))</f>
        <v/>
      </c>
      <c r="V7448" s="19">
        <f>IF($B7448="","",TEXT($B7448,"0000"))</f>
        <v/>
      </c>
      <c r="W7448" s="19">
        <f>IF($I7448="","",IF(ISNUMBER($I7448),TEXT($I7448,"0"),$I7448))</f>
        <v/>
      </c>
    </row>
    <row r="7449">
      <c r="B7449" s="25" t="n"/>
      <c r="I7449" s="25" t="n"/>
      <c r="U7449" s="19">
        <f>IF($V7449&lt;&gt;'設定'!$C$4,N(U7448),IF(OR(NOT(COUNTIF('商品マスタ'!$B$6:$B$1005,$W7449)=0),COUNTIFS('①在庫を貼る'!$V$6:$V$10005,$V7449,'①在庫を貼る'!$W$6:$W$10005,$W7449)+COUNTIFS('月1回_1ヶ月前の在庫'!$V$6:$V$10005,$V7449,'月1回_1ヶ月前の在庫'!$W$6:$W$10005,$W7449)&gt;0),N(U7448),N(U7448)+1))</f>
        <v/>
      </c>
      <c r="V7449" s="19">
        <f>IF($B7449="","",TEXT($B7449,"0000"))</f>
        <v/>
      </c>
      <c r="W7449" s="19">
        <f>IF($I7449="","",IF(ISNUMBER($I7449),TEXT($I7449,"0"),$I7449))</f>
        <v/>
      </c>
    </row>
    <row r="7450">
      <c r="B7450" s="25" t="n"/>
      <c r="I7450" s="25" t="n"/>
      <c r="U7450" s="19">
        <f>IF($V7450&lt;&gt;'設定'!$C$4,N(U7449),IF(OR(NOT(COUNTIF('商品マスタ'!$B$6:$B$1005,$W7450)=0),COUNTIFS('①在庫を貼る'!$V$6:$V$10005,$V7450,'①在庫を貼る'!$W$6:$W$10005,$W7450)+COUNTIFS('月1回_1ヶ月前の在庫'!$V$6:$V$10005,$V7450,'月1回_1ヶ月前の在庫'!$W$6:$W$10005,$W7450)&gt;0),N(U7449),N(U7449)+1))</f>
        <v/>
      </c>
      <c r="V7450" s="19">
        <f>IF($B7450="","",TEXT($B7450,"0000"))</f>
        <v/>
      </c>
      <c r="W7450" s="19">
        <f>IF($I7450="","",IF(ISNUMBER($I7450),TEXT($I7450,"0"),$I7450))</f>
        <v/>
      </c>
    </row>
    <row r="7451">
      <c r="B7451" s="25" t="n"/>
      <c r="I7451" s="25" t="n"/>
      <c r="U7451" s="19">
        <f>IF($V7451&lt;&gt;'設定'!$C$4,N(U7450),IF(OR(NOT(COUNTIF('商品マスタ'!$B$6:$B$1005,$W7451)=0),COUNTIFS('①在庫を貼る'!$V$6:$V$10005,$V7451,'①在庫を貼る'!$W$6:$W$10005,$W7451)+COUNTIFS('月1回_1ヶ月前の在庫'!$V$6:$V$10005,$V7451,'月1回_1ヶ月前の在庫'!$W$6:$W$10005,$W7451)&gt;0),N(U7450),N(U7450)+1))</f>
        <v/>
      </c>
      <c r="V7451" s="19">
        <f>IF($B7451="","",TEXT($B7451,"0000"))</f>
        <v/>
      </c>
      <c r="W7451" s="19">
        <f>IF($I7451="","",IF(ISNUMBER($I7451),TEXT($I7451,"0"),$I7451))</f>
        <v/>
      </c>
    </row>
    <row r="7452">
      <c r="B7452" s="25" t="n"/>
      <c r="I7452" s="25" t="n"/>
      <c r="U7452" s="19">
        <f>IF($V7452&lt;&gt;'設定'!$C$4,N(U7451),IF(OR(NOT(COUNTIF('商品マスタ'!$B$6:$B$1005,$W7452)=0),COUNTIFS('①在庫を貼る'!$V$6:$V$10005,$V7452,'①在庫を貼る'!$W$6:$W$10005,$W7452)+COUNTIFS('月1回_1ヶ月前の在庫'!$V$6:$V$10005,$V7452,'月1回_1ヶ月前の在庫'!$W$6:$W$10005,$W7452)&gt;0),N(U7451),N(U7451)+1))</f>
        <v/>
      </c>
      <c r="V7452" s="19">
        <f>IF($B7452="","",TEXT($B7452,"0000"))</f>
        <v/>
      </c>
      <c r="W7452" s="19">
        <f>IF($I7452="","",IF(ISNUMBER($I7452),TEXT($I7452,"0"),$I7452))</f>
        <v/>
      </c>
    </row>
    <row r="7453">
      <c r="B7453" s="25" t="n"/>
      <c r="I7453" s="25" t="n"/>
      <c r="U7453" s="19">
        <f>IF($V7453&lt;&gt;'設定'!$C$4,N(U7452),IF(OR(NOT(COUNTIF('商品マスタ'!$B$6:$B$1005,$W7453)=0),COUNTIFS('①在庫を貼る'!$V$6:$V$10005,$V7453,'①在庫を貼る'!$W$6:$W$10005,$W7453)+COUNTIFS('月1回_1ヶ月前の在庫'!$V$6:$V$10005,$V7453,'月1回_1ヶ月前の在庫'!$W$6:$W$10005,$W7453)&gt;0),N(U7452),N(U7452)+1))</f>
        <v/>
      </c>
      <c r="V7453" s="19">
        <f>IF($B7453="","",TEXT($B7453,"0000"))</f>
        <v/>
      </c>
      <c r="W7453" s="19">
        <f>IF($I7453="","",IF(ISNUMBER($I7453),TEXT($I7453,"0"),$I7453))</f>
        <v/>
      </c>
    </row>
    <row r="7454">
      <c r="B7454" s="25" t="n"/>
      <c r="I7454" s="25" t="n"/>
      <c r="U7454" s="19">
        <f>IF($V7454&lt;&gt;'設定'!$C$4,N(U7453),IF(OR(NOT(COUNTIF('商品マスタ'!$B$6:$B$1005,$W7454)=0),COUNTIFS('①在庫を貼る'!$V$6:$V$10005,$V7454,'①在庫を貼る'!$W$6:$W$10005,$W7454)+COUNTIFS('月1回_1ヶ月前の在庫'!$V$6:$V$10005,$V7454,'月1回_1ヶ月前の在庫'!$W$6:$W$10005,$W7454)&gt;0),N(U7453),N(U7453)+1))</f>
        <v/>
      </c>
      <c r="V7454" s="19">
        <f>IF($B7454="","",TEXT($B7454,"0000"))</f>
        <v/>
      </c>
      <c r="W7454" s="19">
        <f>IF($I7454="","",IF(ISNUMBER($I7454),TEXT($I7454,"0"),$I7454))</f>
        <v/>
      </c>
    </row>
    <row r="7455">
      <c r="B7455" s="25" t="n"/>
      <c r="I7455" s="25" t="n"/>
      <c r="U7455" s="19">
        <f>IF($V7455&lt;&gt;'設定'!$C$4,N(U7454),IF(OR(NOT(COUNTIF('商品マスタ'!$B$6:$B$1005,$W7455)=0),COUNTIFS('①在庫を貼る'!$V$6:$V$10005,$V7455,'①在庫を貼る'!$W$6:$W$10005,$W7455)+COUNTIFS('月1回_1ヶ月前の在庫'!$V$6:$V$10005,$V7455,'月1回_1ヶ月前の在庫'!$W$6:$W$10005,$W7455)&gt;0),N(U7454),N(U7454)+1))</f>
        <v/>
      </c>
      <c r="V7455" s="19">
        <f>IF($B7455="","",TEXT($B7455,"0000"))</f>
        <v/>
      </c>
      <c r="W7455" s="19">
        <f>IF($I7455="","",IF(ISNUMBER($I7455),TEXT($I7455,"0"),$I7455))</f>
        <v/>
      </c>
    </row>
    <row r="7456">
      <c r="B7456" s="25" t="n"/>
      <c r="I7456" s="25" t="n"/>
      <c r="U7456" s="19">
        <f>IF($V7456&lt;&gt;'設定'!$C$4,N(U7455),IF(OR(NOT(COUNTIF('商品マスタ'!$B$6:$B$1005,$W7456)=0),COUNTIFS('①在庫を貼る'!$V$6:$V$10005,$V7456,'①在庫を貼る'!$W$6:$W$10005,$W7456)+COUNTIFS('月1回_1ヶ月前の在庫'!$V$6:$V$10005,$V7456,'月1回_1ヶ月前の在庫'!$W$6:$W$10005,$W7456)&gt;0),N(U7455),N(U7455)+1))</f>
        <v/>
      </c>
      <c r="V7456" s="19">
        <f>IF($B7456="","",TEXT($B7456,"0000"))</f>
        <v/>
      </c>
      <c r="W7456" s="19">
        <f>IF($I7456="","",IF(ISNUMBER($I7456),TEXT($I7456,"0"),$I7456))</f>
        <v/>
      </c>
    </row>
    <row r="7457">
      <c r="B7457" s="25" t="n"/>
      <c r="I7457" s="25" t="n"/>
      <c r="U7457" s="19">
        <f>IF($V7457&lt;&gt;'設定'!$C$4,N(U7456),IF(OR(NOT(COUNTIF('商品マスタ'!$B$6:$B$1005,$W7457)=0),COUNTIFS('①在庫を貼る'!$V$6:$V$10005,$V7457,'①在庫を貼る'!$W$6:$W$10005,$W7457)+COUNTIFS('月1回_1ヶ月前の在庫'!$V$6:$V$10005,$V7457,'月1回_1ヶ月前の在庫'!$W$6:$W$10005,$W7457)&gt;0),N(U7456),N(U7456)+1))</f>
        <v/>
      </c>
      <c r="V7457" s="19">
        <f>IF($B7457="","",TEXT($B7457,"0000"))</f>
        <v/>
      </c>
      <c r="W7457" s="19">
        <f>IF($I7457="","",IF(ISNUMBER($I7457),TEXT($I7457,"0"),$I7457))</f>
        <v/>
      </c>
    </row>
    <row r="7458">
      <c r="B7458" s="25" t="n"/>
      <c r="I7458" s="25" t="n"/>
      <c r="U7458" s="19">
        <f>IF($V7458&lt;&gt;'設定'!$C$4,N(U7457),IF(OR(NOT(COUNTIF('商品マスタ'!$B$6:$B$1005,$W7458)=0),COUNTIFS('①在庫を貼る'!$V$6:$V$10005,$V7458,'①在庫を貼る'!$W$6:$W$10005,$W7458)+COUNTIFS('月1回_1ヶ月前の在庫'!$V$6:$V$10005,$V7458,'月1回_1ヶ月前の在庫'!$W$6:$W$10005,$W7458)&gt;0),N(U7457),N(U7457)+1))</f>
        <v/>
      </c>
      <c r="V7458" s="19">
        <f>IF($B7458="","",TEXT($B7458,"0000"))</f>
        <v/>
      </c>
      <c r="W7458" s="19">
        <f>IF($I7458="","",IF(ISNUMBER($I7458),TEXT($I7458,"0"),$I7458))</f>
        <v/>
      </c>
    </row>
    <row r="7459">
      <c r="B7459" s="25" t="n"/>
      <c r="I7459" s="25" t="n"/>
      <c r="U7459" s="19">
        <f>IF($V7459&lt;&gt;'設定'!$C$4,N(U7458),IF(OR(NOT(COUNTIF('商品マスタ'!$B$6:$B$1005,$W7459)=0),COUNTIFS('①在庫を貼る'!$V$6:$V$10005,$V7459,'①在庫を貼る'!$W$6:$W$10005,$W7459)+COUNTIFS('月1回_1ヶ月前の在庫'!$V$6:$V$10005,$V7459,'月1回_1ヶ月前の在庫'!$W$6:$W$10005,$W7459)&gt;0),N(U7458),N(U7458)+1))</f>
        <v/>
      </c>
      <c r="V7459" s="19">
        <f>IF($B7459="","",TEXT($B7459,"0000"))</f>
        <v/>
      </c>
      <c r="W7459" s="19">
        <f>IF($I7459="","",IF(ISNUMBER($I7459),TEXT($I7459,"0"),$I7459))</f>
        <v/>
      </c>
    </row>
    <row r="7460">
      <c r="B7460" s="25" t="n"/>
      <c r="I7460" s="25" t="n"/>
      <c r="U7460" s="19">
        <f>IF($V7460&lt;&gt;'設定'!$C$4,N(U7459),IF(OR(NOT(COUNTIF('商品マスタ'!$B$6:$B$1005,$W7460)=0),COUNTIFS('①在庫を貼る'!$V$6:$V$10005,$V7460,'①在庫を貼る'!$W$6:$W$10005,$W7460)+COUNTIFS('月1回_1ヶ月前の在庫'!$V$6:$V$10005,$V7460,'月1回_1ヶ月前の在庫'!$W$6:$W$10005,$W7460)&gt;0),N(U7459),N(U7459)+1))</f>
        <v/>
      </c>
      <c r="V7460" s="19">
        <f>IF($B7460="","",TEXT($B7460,"0000"))</f>
        <v/>
      </c>
      <c r="W7460" s="19">
        <f>IF($I7460="","",IF(ISNUMBER($I7460),TEXT($I7460,"0"),$I7460))</f>
        <v/>
      </c>
    </row>
    <row r="7461">
      <c r="B7461" s="25" t="n"/>
      <c r="I7461" s="25" t="n"/>
      <c r="U7461" s="19">
        <f>IF($V7461&lt;&gt;'設定'!$C$4,N(U7460),IF(OR(NOT(COUNTIF('商品マスタ'!$B$6:$B$1005,$W7461)=0),COUNTIFS('①在庫を貼る'!$V$6:$V$10005,$V7461,'①在庫を貼る'!$W$6:$W$10005,$W7461)+COUNTIFS('月1回_1ヶ月前の在庫'!$V$6:$V$10005,$V7461,'月1回_1ヶ月前の在庫'!$W$6:$W$10005,$W7461)&gt;0),N(U7460),N(U7460)+1))</f>
        <v/>
      </c>
      <c r="V7461" s="19">
        <f>IF($B7461="","",TEXT($B7461,"0000"))</f>
        <v/>
      </c>
      <c r="W7461" s="19">
        <f>IF($I7461="","",IF(ISNUMBER($I7461),TEXT($I7461,"0"),$I7461))</f>
        <v/>
      </c>
    </row>
    <row r="7462">
      <c r="B7462" s="25" t="n"/>
      <c r="I7462" s="25" t="n"/>
      <c r="U7462" s="19">
        <f>IF($V7462&lt;&gt;'設定'!$C$4,N(U7461),IF(OR(NOT(COUNTIF('商品マスタ'!$B$6:$B$1005,$W7462)=0),COUNTIFS('①在庫を貼る'!$V$6:$V$10005,$V7462,'①在庫を貼る'!$W$6:$W$10005,$W7462)+COUNTIFS('月1回_1ヶ月前の在庫'!$V$6:$V$10005,$V7462,'月1回_1ヶ月前の在庫'!$W$6:$W$10005,$W7462)&gt;0),N(U7461),N(U7461)+1))</f>
        <v/>
      </c>
      <c r="V7462" s="19">
        <f>IF($B7462="","",TEXT($B7462,"0000"))</f>
        <v/>
      </c>
      <c r="W7462" s="19">
        <f>IF($I7462="","",IF(ISNUMBER($I7462),TEXT($I7462,"0"),$I7462))</f>
        <v/>
      </c>
    </row>
    <row r="7463">
      <c r="B7463" s="25" t="n"/>
      <c r="I7463" s="25" t="n"/>
      <c r="U7463" s="19">
        <f>IF($V7463&lt;&gt;'設定'!$C$4,N(U7462),IF(OR(NOT(COUNTIF('商品マスタ'!$B$6:$B$1005,$W7463)=0),COUNTIFS('①在庫を貼る'!$V$6:$V$10005,$V7463,'①在庫を貼る'!$W$6:$W$10005,$W7463)+COUNTIFS('月1回_1ヶ月前の在庫'!$V$6:$V$10005,$V7463,'月1回_1ヶ月前の在庫'!$W$6:$W$10005,$W7463)&gt;0),N(U7462),N(U7462)+1))</f>
        <v/>
      </c>
      <c r="V7463" s="19">
        <f>IF($B7463="","",TEXT($B7463,"0000"))</f>
        <v/>
      </c>
      <c r="W7463" s="19">
        <f>IF($I7463="","",IF(ISNUMBER($I7463),TEXT($I7463,"0"),$I7463))</f>
        <v/>
      </c>
    </row>
    <row r="7464">
      <c r="B7464" s="25" t="n"/>
      <c r="I7464" s="25" t="n"/>
      <c r="U7464" s="19">
        <f>IF($V7464&lt;&gt;'設定'!$C$4,N(U7463),IF(OR(NOT(COUNTIF('商品マスタ'!$B$6:$B$1005,$W7464)=0),COUNTIFS('①在庫を貼る'!$V$6:$V$10005,$V7464,'①在庫を貼る'!$W$6:$W$10005,$W7464)+COUNTIFS('月1回_1ヶ月前の在庫'!$V$6:$V$10005,$V7464,'月1回_1ヶ月前の在庫'!$W$6:$W$10005,$W7464)&gt;0),N(U7463),N(U7463)+1))</f>
        <v/>
      </c>
      <c r="V7464" s="19">
        <f>IF($B7464="","",TEXT($B7464,"0000"))</f>
        <v/>
      </c>
      <c r="W7464" s="19">
        <f>IF($I7464="","",IF(ISNUMBER($I7464),TEXT($I7464,"0"),$I7464))</f>
        <v/>
      </c>
    </row>
    <row r="7465">
      <c r="B7465" s="25" t="n"/>
      <c r="I7465" s="25" t="n"/>
      <c r="U7465" s="19">
        <f>IF($V7465&lt;&gt;'設定'!$C$4,N(U7464),IF(OR(NOT(COUNTIF('商品マスタ'!$B$6:$B$1005,$W7465)=0),COUNTIFS('①在庫を貼る'!$V$6:$V$10005,$V7465,'①在庫を貼る'!$W$6:$W$10005,$W7465)+COUNTIFS('月1回_1ヶ月前の在庫'!$V$6:$V$10005,$V7465,'月1回_1ヶ月前の在庫'!$W$6:$W$10005,$W7465)&gt;0),N(U7464),N(U7464)+1))</f>
        <v/>
      </c>
      <c r="V7465" s="19">
        <f>IF($B7465="","",TEXT($B7465,"0000"))</f>
        <v/>
      </c>
      <c r="W7465" s="19">
        <f>IF($I7465="","",IF(ISNUMBER($I7465),TEXT($I7465,"0"),$I7465))</f>
        <v/>
      </c>
    </row>
    <row r="7466">
      <c r="B7466" s="25" t="n"/>
      <c r="I7466" s="25" t="n"/>
      <c r="U7466" s="19">
        <f>IF($V7466&lt;&gt;'設定'!$C$4,N(U7465),IF(OR(NOT(COUNTIF('商品マスタ'!$B$6:$B$1005,$W7466)=0),COUNTIFS('①在庫を貼る'!$V$6:$V$10005,$V7466,'①在庫を貼る'!$W$6:$W$10005,$W7466)+COUNTIFS('月1回_1ヶ月前の在庫'!$V$6:$V$10005,$V7466,'月1回_1ヶ月前の在庫'!$W$6:$W$10005,$W7466)&gt;0),N(U7465),N(U7465)+1))</f>
        <v/>
      </c>
      <c r="V7466" s="19">
        <f>IF($B7466="","",TEXT($B7466,"0000"))</f>
        <v/>
      </c>
      <c r="W7466" s="19">
        <f>IF($I7466="","",IF(ISNUMBER($I7466),TEXT($I7466,"0"),$I7466))</f>
        <v/>
      </c>
    </row>
    <row r="7467">
      <c r="B7467" s="25" t="n"/>
      <c r="I7467" s="25" t="n"/>
      <c r="U7467" s="19">
        <f>IF($V7467&lt;&gt;'設定'!$C$4,N(U7466),IF(OR(NOT(COUNTIF('商品マスタ'!$B$6:$B$1005,$W7467)=0),COUNTIFS('①在庫を貼る'!$V$6:$V$10005,$V7467,'①在庫を貼る'!$W$6:$W$10005,$W7467)+COUNTIFS('月1回_1ヶ月前の在庫'!$V$6:$V$10005,$V7467,'月1回_1ヶ月前の在庫'!$W$6:$W$10005,$W7467)&gt;0),N(U7466),N(U7466)+1))</f>
        <v/>
      </c>
      <c r="V7467" s="19">
        <f>IF($B7467="","",TEXT($B7467,"0000"))</f>
        <v/>
      </c>
      <c r="W7467" s="19">
        <f>IF($I7467="","",IF(ISNUMBER($I7467),TEXT($I7467,"0"),$I7467))</f>
        <v/>
      </c>
    </row>
    <row r="7468">
      <c r="B7468" s="25" t="n"/>
      <c r="I7468" s="25" t="n"/>
      <c r="U7468" s="19">
        <f>IF($V7468&lt;&gt;'設定'!$C$4,N(U7467),IF(OR(NOT(COUNTIF('商品マスタ'!$B$6:$B$1005,$W7468)=0),COUNTIFS('①在庫を貼る'!$V$6:$V$10005,$V7468,'①在庫を貼る'!$W$6:$W$10005,$W7468)+COUNTIFS('月1回_1ヶ月前の在庫'!$V$6:$V$10005,$V7468,'月1回_1ヶ月前の在庫'!$W$6:$W$10005,$W7468)&gt;0),N(U7467),N(U7467)+1))</f>
        <v/>
      </c>
      <c r="V7468" s="19">
        <f>IF($B7468="","",TEXT($B7468,"0000"))</f>
        <v/>
      </c>
      <c r="W7468" s="19">
        <f>IF($I7468="","",IF(ISNUMBER($I7468),TEXT($I7468,"0"),$I7468))</f>
        <v/>
      </c>
    </row>
    <row r="7469">
      <c r="B7469" s="25" t="n"/>
      <c r="I7469" s="25" t="n"/>
      <c r="U7469" s="19">
        <f>IF($V7469&lt;&gt;'設定'!$C$4,N(U7468),IF(OR(NOT(COUNTIF('商品マスタ'!$B$6:$B$1005,$W7469)=0),COUNTIFS('①在庫を貼る'!$V$6:$V$10005,$V7469,'①在庫を貼る'!$W$6:$W$10005,$W7469)+COUNTIFS('月1回_1ヶ月前の在庫'!$V$6:$V$10005,$V7469,'月1回_1ヶ月前の在庫'!$W$6:$W$10005,$W7469)&gt;0),N(U7468),N(U7468)+1))</f>
        <v/>
      </c>
      <c r="V7469" s="19">
        <f>IF($B7469="","",TEXT($B7469,"0000"))</f>
        <v/>
      </c>
      <c r="W7469" s="19">
        <f>IF($I7469="","",IF(ISNUMBER($I7469),TEXT($I7469,"0"),$I7469))</f>
        <v/>
      </c>
    </row>
    <row r="7470">
      <c r="B7470" s="25" t="n"/>
      <c r="I7470" s="25" t="n"/>
      <c r="U7470" s="19">
        <f>IF($V7470&lt;&gt;'設定'!$C$4,N(U7469),IF(OR(NOT(COUNTIF('商品マスタ'!$B$6:$B$1005,$W7470)=0),COUNTIFS('①在庫を貼る'!$V$6:$V$10005,$V7470,'①在庫を貼る'!$W$6:$W$10005,$W7470)+COUNTIFS('月1回_1ヶ月前の在庫'!$V$6:$V$10005,$V7470,'月1回_1ヶ月前の在庫'!$W$6:$W$10005,$W7470)&gt;0),N(U7469),N(U7469)+1))</f>
        <v/>
      </c>
      <c r="V7470" s="19">
        <f>IF($B7470="","",TEXT($B7470,"0000"))</f>
        <v/>
      </c>
      <c r="W7470" s="19">
        <f>IF($I7470="","",IF(ISNUMBER($I7470),TEXT($I7470,"0"),$I7470))</f>
        <v/>
      </c>
    </row>
    <row r="7471">
      <c r="B7471" s="25" t="n"/>
      <c r="I7471" s="25" t="n"/>
      <c r="U7471" s="19">
        <f>IF($V7471&lt;&gt;'設定'!$C$4,N(U7470),IF(OR(NOT(COUNTIF('商品マスタ'!$B$6:$B$1005,$W7471)=0),COUNTIFS('①在庫を貼る'!$V$6:$V$10005,$V7471,'①在庫を貼る'!$W$6:$W$10005,$W7471)+COUNTIFS('月1回_1ヶ月前の在庫'!$V$6:$V$10005,$V7471,'月1回_1ヶ月前の在庫'!$W$6:$W$10005,$W7471)&gt;0),N(U7470),N(U7470)+1))</f>
        <v/>
      </c>
      <c r="V7471" s="19">
        <f>IF($B7471="","",TEXT($B7471,"0000"))</f>
        <v/>
      </c>
      <c r="W7471" s="19">
        <f>IF($I7471="","",IF(ISNUMBER($I7471),TEXT($I7471,"0"),$I7471))</f>
        <v/>
      </c>
    </row>
    <row r="7472">
      <c r="B7472" s="25" t="n"/>
      <c r="I7472" s="25" t="n"/>
      <c r="U7472" s="19">
        <f>IF($V7472&lt;&gt;'設定'!$C$4,N(U7471),IF(OR(NOT(COUNTIF('商品マスタ'!$B$6:$B$1005,$W7472)=0),COUNTIFS('①在庫を貼る'!$V$6:$V$10005,$V7472,'①在庫を貼る'!$W$6:$W$10005,$W7472)+COUNTIFS('月1回_1ヶ月前の在庫'!$V$6:$V$10005,$V7472,'月1回_1ヶ月前の在庫'!$W$6:$W$10005,$W7472)&gt;0),N(U7471),N(U7471)+1))</f>
        <v/>
      </c>
      <c r="V7472" s="19">
        <f>IF($B7472="","",TEXT($B7472,"0000"))</f>
        <v/>
      </c>
      <c r="W7472" s="19">
        <f>IF($I7472="","",IF(ISNUMBER($I7472),TEXT($I7472,"0"),$I7472))</f>
        <v/>
      </c>
    </row>
    <row r="7473">
      <c r="B7473" s="25" t="n"/>
      <c r="I7473" s="25" t="n"/>
      <c r="U7473" s="19">
        <f>IF($V7473&lt;&gt;'設定'!$C$4,N(U7472),IF(OR(NOT(COUNTIF('商品マスタ'!$B$6:$B$1005,$W7473)=0),COUNTIFS('①在庫を貼る'!$V$6:$V$10005,$V7473,'①在庫を貼る'!$W$6:$W$10005,$W7473)+COUNTIFS('月1回_1ヶ月前の在庫'!$V$6:$V$10005,$V7473,'月1回_1ヶ月前の在庫'!$W$6:$W$10005,$W7473)&gt;0),N(U7472),N(U7472)+1))</f>
        <v/>
      </c>
      <c r="V7473" s="19">
        <f>IF($B7473="","",TEXT($B7473,"0000"))</f>
        <v/>
      </c>
      <c r="W7473" s="19">
        <f>IF($I7473="","",IF(ISNUMBER($I7473),TEXT($I7473,"0"),$I7473))</f>
        <v/>
      </c>
    </row>
    <row r="7474">
      <c r="B7474" s="25" t="n"/>
      <c r="I7474" s="25" t="n"/>
      <c r="U7474" s="19">
        <f>IF($V7474&lt;&gt;'設定'!$C$4,N(U7473),IF(OR(NOT(COUNTIF('商品マスタ'!$B$6:$B$1005,$W7474)=0),COUNTIFS('①在庫を貼る'!$V$6:$V$10005,$V7474,'①在庫を貼る'!$W$6:$W$10005,$W7474)+COUNTIFS('月1回_1ヶ月前の在庫'!$V$6:$V$10005,$V7474,'月1回_1ヶ月前の在庫'!$W$6:$W$10005,$W7474)&gt;0),N(U7473),N(U7473)+1))</f>
        <v/>
      </c>
      <c r="V7474" s="19">
        <f>IF($B7474="","",TEXT($B7474,"0000"))</f>
        <v/>
      </c>
      <c r="W7474" s="19">
        <f>IF($I7474="","",IF(ISNUMBER($I7474),TEXT($I7474,"0"),$I7474))</f>
        <v/>
      </c>
    </row>
    <row r="7475">
      <c r="B7475" s="25" t="n"/>
      <c r="I7475" s="25" t="n"/>
      <c r="U7475" s="19">
        <f>IF($V7475&lt;&gt;'設定'!$C$4,N(U7474),IF(OR(NOT(COUNTIF('商品マスタ'!$B$6:$B$1005,$W7475)=0),COUNTIFS('①在庫を貼る'!$V$6:$V$10005,$V7475,'①在庫を貼る'!$W$6:$W$10005,$W7475)+COUNTIFS('月1回_1ヶ月前の在庫'!$V$6:$V$10005,$V7475,'月1回_1ヶ月前の在庫'!$W$6:$W$10005,$W7475)&gt;0),N(U7474),N(U7474)+1))</f>
        <v/>
      </c>
      <c r="V7475" s="19">
        <f>IF($B7475="","",TEXT($B7475,"0000"))</f>
        <v/>
      </c>
      <c r="W7475" s="19">
        <f>IF($I7475="","",IF(ISNUMBER($I7475),TEXT($I7475,"0"),$I7475))</f>
        <v/>
      </c>
    </row>
    <row r="7476">
      <c r="B7476" s="25" t="n"/>
      <c r="I7476" s="25" t="n"/>
      <c r="U7476" s="19">
        <f>IF($V7476&lt;&gt;'設定'!$C$4,N(U7475),IF(OR(NOT(COUNTIF('商品マスタ'!$B$6:$B$1005,$W7476)=0),COUNTIFS('①在庫を貼る'!$V$6:$V$10005,$V7476,'①在庫を貼る'!$W$6:$W$10005,$W7476)+COUNTIFS('月1回_1ヶ月前の在庫'!$V$6:$V$10005,$V7476,'月1回_1ヶ月前の在庫'!$W$6:$W$10005,$W7476)&gt;0),N(U7475),N(U7475)+1))</f>
        <v/>
      </c>
      <c r="V7476" s="19">
        <f>IF($B7476="","",TEXT($B7476,"0000"))</f>
        <v/>
      </c>
      <c r="W7476" s="19">
        <f>IF($I7476="","",IF(ISNUMBER($I7476),TEXT($I7476,"0"),$I7476))</f>
        <v/>
      </c>
    </row>
    <row r="7477">
      <c r="B7477" s="25" t="n"/>
      <c r="I7477" s="25" t="n"/>
      <c r="U7477" s="19">
        <f>IF($V7477&lt;&gt;'設定'!$C$4,N(U7476),IF(OR(NOT(COUNTIF('商品マスタ'!$B$6:$B$1005,$W7477)=0),COUNTIFS('①在庫を貼る'!$V$6:$V$10005,$V7477,'①在庫を貼る'!$W$6:$W$10005,$W7477)+COUNTIFS('月1回_1ヶ月前の在庫'!$V$6:$V$10005,$V7477,'月1回_1ヶ月前の在庫'!$W$6:$W$10005,$W7477)&gt;0),N(U7476),N(U7476)+1))</f>
        <v/>
      </c>
      <c r="V7477" s="19">
        <f>IF($B7477="","",TEXT($B7477,"0000"))</f>
        <v/>
      </c>
      <c r="W7477" s="19">
        <f>IF($I7477="","",IF(ISNUMBER($I7477),TEXT($I7477,"0"),$I7477))</f>
        <v/>
      </c>
    </row>
    <row r="7478">
      <c r="B7478" s="25" t="n"/>
      <c r="I7478" s="25" t="n"/>
      <c r="U7478" s="19">
        <f>IF($V7478&lt;&gt;'設定'!$C$4,N(U7477),IF(OR(NOT(COUNTIF('商品マスタ'!$B$6:$B$1005,$W7478)=0),COUNTIFS('①在庫を貼る'!$V$6:$V$10005,$V7478,'①在庫を貼る'!$W$6:$W$10005,$W7478)+COUNTIFS('月1回_1ヶ月前の在庫'!$V$6:$V$10005,$V7478,'月1回_1ヶ月前の在庫'!$W$6:$W$10005,$W7478)&gt;0),N(U7477),N(U7477)+1))</f>
        <v/>
      </c>
      <c r="V7478" s="19">
        <f>IF($B7478="","",TEXT($B7478,"0000"))</f>
        <v/>
      </c>
      <c r="W7478" s="19">
        <f>IF($I7478="","",IF(ISNUMBER($I7478),TEXT($I7478,"0"),$I7478))</f>
        <v/>
      </c>
    </row>
    <row r="7479">
      <c r="B7479" s="25" t="n"/>
      <c r="I7479" s="25" t="n"/>
      <c r="U7479" s="19">
        <f>IF($V7479&lt;&gt;'設定'!$C$4,N(U7478),IF(OR(NOT(COUNTIF('商品マスタ'!$B$6:$B$1005,$W7479)=0),COUNTIFS('①在庫を貼る'!$V$6:$V$10005,$V7479,'①在庫を貼る'!$W$6:$W$10005,$W7479)+COUNTIFS('月1回_1ヶ月前の在庫'!$V$6:$V$10005,$V7479,'月1回_1ヶ月前の在庫'!$W$6:$W$10005,$W7479)&gt;0),N(U7478),N(U7478)+1))</f>
        <v/>
      </c>
      <c r="V7479" s="19">
        <f>IF($B7479="","",TEXT($B7479,"0000"))</f>
        <v/>
      </c>
      <c r="W7479" s="19">
        <f>IF($I7479="","",IF(ISNUMBER($I7479),TEXT($I7479,"0"),$I7479))</f>
        <v/>
      </c>
    </row>
    <row r="7480">
      <c r="B7480" s="25" t="n"/>
      <c r="I7480" s="25" t="n"/>
      <c r="U7480" s="19">
        <f>IF($V7480&lt;&gt;'設定'!$C$4,N(U7479),IF(OR(NOT(COUNTIF('商品マスタ'!$B$6:$B$1005,$W7480)=0),COUNTIFS('①在庫を貼る'!$V$6:$V$10005,$V7480,'①在庫を貼る'!$W$6:$W$10005,$W7480)+COUNTIFS('月1回_1ヶ月前の在庫'!$V$6:$V$10005,$V7480,'月1回_1ヶ月前の在庫'!$W$6:$W$10005,$W7480)&gt;0),N(U7479),N(U7479)+1))</f>
        <v/>
      </c>
      <c r="V7480" s="19">
        <f>IF($B7480="","",TEXT($B7480,"0000"))</f>
        <v/>
      </c>
      <c r="W7480" s="19">
        <f>IF($I7480="","",IF(ISNUMBER($I7480),TEXT($I7480,"0"),$I7480))</f>
        <v/>
      </c>
    </row>
    <row r="7481">
      <c r="B7481" s="25" t="n"/>
      <c r="I7481" s="25" t="n"/>
      <c r="U7481" s="19">
        <f>IF($V7481&lt;&gt;'設定'!$C$4,N(U7480),IF(OR(NOT(COUNTIF('商品マスタ'!$B$6:$B$1005,$W7481)=0),COUNTIFS('①在庫を貼る'!$V$6:$V$10005,$V7481,'①在庫を貼る'!$W$6:$W$10005,$W7481)+COUNTIFS('月1回_1ヶ月前の在庫'!$V$6:$V$10005,$V7481,'月1回_1ヶ月前の在庫'!$W$6:$W$10005,$W7481)&gt;0),N(U7480),N(U7480)+1))</f>
        <v/>
      </c>
      <c r="V7481" s="19">
        <f>IF($B7481="","",TEXT($B7481,"0000"))</f>
        <v/>
      </c>
      <c r="W7481" s="19">
        <f>IF($I7481="","",IF(ISNUMBER($I7481),TEXT($I7481,"0"),$I7481))</f>
        <v/>
      </c>
    </row>
    <row r="7482">
      <c r="B7482" s="25" t="n"/>
      <c r="I7482" s="25" t="n"/>
      <c r="U7482" s="19">
        <f>IF($V7482&lt;&gt;'設定'!$C$4,N(U7481),IF(OR(NOT(COUNTIF('商品マスタ'!$B$6:$B$1005,$W7482)=0),COUNTIFS('①在庫を貼る'!$V$6:$V$10005,$V7482,'①在庫を貼る'!$W$6:$W$10005,$W7482)+COUNTIFS('月1回_1ヶ月前の在庫'!$V$6:$V$10005,$V7482,'月1回_1ヶ月前の在庫'!$W$6:$W$10005,$W7482)&gt;0),N(U7481),N(U7481)+1))</f>
        <v/>
      </c>
      <c r="V7482" s="19">
        <f>IF($B7482="","",TEXT($B7482,"0000"))</f>
        <v/>
      </c>
      <c r="W7482" s="19">
        <f>IF($I7482="","",IF(ISNUMBER($I7482),TEXT($I7482,"0"),$I7482))</f>
        <v/>
      </c>
    </row>
    <row r="7483">
      <c r="B7483" s="25" t="n"/>
      <c r="I7483" s="25" t="n"/>
      <c r="U7483" s="19">
        <f>IF($V7483&lt;&gt;'設定'!$C$4,N(U7482),IF(OR(NOT(COUNTIF('商品マスタ'!$B$6:$B$1005,$W7483)=0),COUNTIFS('①在庫を貼る'!$V$6:$V$10005,$V7483,'①在庫を貼る'!$W$6:$W$10005,$W7483)+COUNTIFS('月1回_1ヶ月前の在庫'!$V$6:$V$10005,$V7483,'月1回_1ヶ月前の在庫'!$W$6:$W$10005,$W7483)&gt;0),N(U7482),N(U7482)+1))</f>
        <v/>
      </c>
      <c r="V7483" s="19">
        <f>IF($B7483="","",TEXT($B7483,"0000"))</f>
        <v/>
      </c>
      <c r="W7483" s="19">
        <f>IF($I7483="","",IF(ISNUMBER($I7483),TEXT($I7483,"0"),$I7483))</f>
        <v/>
      </c>
    </row>
    <row r="7484">
      <c r="B7484" s="25" t="n"/>
      <c r="I7484" s="25" t="n"/>
      <c r="U7484" s="19">
        <f>IF($V7484&lt;&gt;'設定'!$C$4,N(U7483),IF(OR(NOT(COUNTIF('商品マスタ'!$B$6:$B$1005,$W7484)=0),COUNTIFS('①在庫を貼る'!$V$6:$V$10005,$V7484,'①在庫を貼る'!$W$6:$W$10005,$W7484)+COUNTIFS('月1回_1ヶ月前の在庫'!$V$6:$V$10005,$V7484,'月1回_1ヶ月前の在庫'!$W$6:$W$10005,$W7484)&gt;0),N(U7483),N(U7483)+1))</f>
        <v/>
      </c>
      <c r="V7484" s="19">
        <f>IF($B7484="","",TEXT($B7484,"0000"))</f>
        <v/>
      </c>
      <c r="W7484" s="19">
        <f>IF($I7484="","",IF(ISNUMBER($I7484),TEXT($I7484,"0"),$I7484))</f>
        <v/>
      </c>
    </row>
    <row r="7485">
      <c r="B7485" s="25" t="n"/>
      <c r="I7485" s="25" t="n"/>
      <c r="U7485" s="19">
        <f>IF($V7485&lt;&gt;'設定'!$C$4,N(U7484),IF(OR(NOT(COUNTIF('商品マスタ'!$B$6:$B$1005,$W7485)=0),COUNTIFS('①在庫を貼る'!$V$6:$V$10005,$V7485,'①在庫を貼る'!$W$6:$W$10005,$W7485)+COUNTIFS('月1回_1ヶ月前の在庫'!$V$6:$V$10005,$V7485,'月1回_1ヶ月前の在庫'!$W$6:$W$10005,$W7485)&gt;0),N(U7484),N(U7484)+1))</f>
        <v/>
      </c>
      <c r="V7485" s="19">
        <f>IF($B7485="","",TEXT($B7485,"0000"))</f>
        <v/>
      </c>
      <c r="W7485" s="19">
        <f>IF($I7485="","",IF(ISNUMBER($I7485),TEXT($I7485,"0"),$I7485))</f>
        <v/>
      </c>
    </row>
    <row r="7486">
      <c r="B7486" s="25" t="n"/>
      <c r="I7486" s="25" t="n"/>
      <c r="U7486" s="19">
        <f>IF($V7486&lt;&gt;'設定'!$C$4,N(U7485),IF(OR(NOT(COUNTIF('商品マスタ'!$B$6:$B$1005,$W7486)=0),COUNTIFS('①在庫を貼る'!$V$6:$V$10005,$V7486,'①在庫を貼る'!$W$6:$W$10005,$W7486)+COUNTIFS('月1回_1ヶ月前の在庫'!$V$6:$V$10005,$V7486,'月1回_1ヶ月前の在庫'!$W$6:$W$10005,$W7486)&gt;0),N(U7485),N(U7485)+1))</f>
        <v/>
      </c>
      <c r="V7486" s="19">
        <f>IF($B7486="","",TEXT($B7486,"0000"))</f>
        <v/>
      </c>
      <c r="W7486" s="19">
        <f>IF($I7486="","",IF(ISNUMBER($I7486),TEXT($I7486,"0"),$I7486))</f>
        <v/>
      </c>
    </row>
    <row r="7487">
      <c r="B7487" s="25" t="n"/>
      <c r="I7487" s="25" t="n"/>
      <c r="U7487" s="19">
        <f>IF($V7487&lt;&gt;'設定'!$C$4,N(U7486),IF(OR(NOT(COUNTIF('商品マスタ'!$B$6:$B$1005,$W7487)=0),COUNTIFS('①在庫を貼る'!$V$6:$V$10005,$V7487,'①在庫を貼る'!$W$6:$W$10005,$W7487)+COUNTIFS('月1回_1ヶ月前の在庫'!$V$6:$V$10005,$V7487,'月1回_1ヶ月前の在庫'!$W$6:$W$10005,$W7487)&gt;0),N(U7486),N(U7486)+1))</f>
        <v/>
      </c>
      <c r="V7487" s="19">
        <f>IF($B7487="","",TEXT($B7487,"0000"))</f>
        <v/>
      </c>
      <c r="W7487" s="19">
        <f>IF($I7487="","",IF(ISNUMBER($I7487),TEXT($I7487,"0"),$I7487))</f>
        <v/>
      </c>
    </row>
    <row r="7488">
      <c r="B7488" s="25" t="n"/>
      <c r="I7488" s="25" t="n"/>
      <c r="U7488" s="19">
        <f>IF($V7488&lt;&gt;'設定'!$C$4,N(U7487),IF(OR(NOT(COUNTIF('商品マスタ'!$B$6:$B$1005,$W7488)=0),COUNTIFS('①在庫を貼る'!$V$6:$V$10005,$V7488,'①在庫を貼る'!$W$6:$W$10005,$W7488)+COUNTIFS('月1回_1ヶ月前の在庫'!$V$6:$V$10005,$V7488,'月1回_1ヶ月前の在庫'!$W$6:$W$10005,$W7488)&gt;0),N(U7487),N(U7487)+1))</f>
        <v/>
      </c>
      <c r="V7488" s="19">
        <f>IF($B7488="","",TEXT($B7488,"0000"))</f>
        <v/>
      </c>
      <c r="W7488" s="19">
        <f>IF($I7488="","",IF(ISNUMBER($I7488),TEXT($I7488,"0"),$I7488))</f>
        <v/>
      </c>
    </row>
    <row r="7489">
      <c r="B7489" s="25" t="n"/>
      <c r="I7489" s="25" t="n"/>
      <c r="U7489" s="19">
        <f>IF($V7489&lt;&gt;'設定'!$C$4,N(U7488),IF(OR(NOT(COUNTIF('商品マスタ'!$B$6:$B$1005,$W7489)=0),COUNTIFS('①在庫を貼る'!$V$6:$V$10005,$V7489,'①在庫を貼る'!$W$6:$W$10005,$W7489)+COUNTIFS('月1回_1ヶ月前の在庫'!$V$6:$V$10005,$V7489,'月1回_1ヶ月前の在庫'!$W$6:$W$10005,$W7489)&gt;0),N(U7488),N(U7488)+1))</f>
        <v/>
      </c>
      <c r="V7489" s="19">
        <f>IF($B7489="","",TEXT($B7489,"0000"))</f>
        <v/>
      </c>
      <c r="W7489" s="19">
        <f>IF($I7489="","",IF(ISNUMBER($I7489),TEXT($I7489,"0"),$I7489))</f>
        <v/>
      </c>
    </row>
    <row r="7490">
      <c r="B7490" s="25" t="n"/>
      <c r="I7490" s="25" t="n"/>
      <c r="U7490" s="19">
        <f>IF($V7490&lt;&gt;'設定'!$C$4,N(U7489),IF(OR(NOT(COUNTIF('商品マスタ'!$B$6:$B$1005,$W7490)=0),COUNTIFS('①在庫を貼る'!$V$6:$V$10005,$V7490,'①在庫を貼る'!$W$6:$W$10005,$W7490)+COUNTIFS('月1回_1ヶ月前の在庫'!$V$6:$V$10005,$V7490,'月1回_1ヶ月前の在庫'!$W$6:$W$10005,$W7490)&gt;0),N(U7489),N(U7489)+1))</f>
        <v/>
      </c>
      <c r="V7490" s="19">
        <f>IF($B7490="","",TEXT($B7490,"0000"))</f>
        <v/>
      </c>
      <c r="W7490" s="19">
        <f>IF($I7490="","",IF(ISNUMBER($I7490),TEXT($I7490,"0"),$I7490))</f>
        <v/>
      </c>
    </row>
    <row r="7491">
      <c r="B7491" s="25" t="n"/>
      <c r="I7491" s="25" t="n"/>
      <c r="U7491" s="19">
        <f>IF($V7491&lt;&gt;'設定'!$C$4,N(U7490),IF(OR(NOT(COUNTIF('商品マスタ'!$B$6:$B$1005,$W7491)=0),COUNTIFS('①在庫を貼る'!$V$6:$V$10005,$V7491,'①在庫を貼る'!$W$6:$W$10005,$W7491)+COUNTIFS('月1回_1ヶ月前の在庫'!$V$6:$V$10005,$V7491,'月1回_1ヶ月前の在庫'!$W$6:$W$10005,$W7491)&gt;0),N(U7490),N(U7490)+1))</f>
        <v/>
      </c>
      <c r="V7491" s="19">
        <f>IF($B7491="","",TEXT($B7491,"0000"))</f>
        <v/>
      </c>
      <c r="W7491" s="19">
        <f>IF($I7491="","",IF(ISNUMBER($I7491),TEXT($I7491,"0"),$I7491))</f>
        <v/>
      </c>
    </row>
    <row r="7492">
      <c r="B7492" s="25" t="n"/>
      <c r="I7492" s="25" t="n"/>
      <c r="U7492" s="19">
        <f>IF($V7492&lt;&gt;'設定'!$C$4,N(U7491),IF(OR(NOT(COUNTIF('商品マスタ'!$B$6:$B$1005,$W7492)=0),COUNTIFS('①在庫を貼る'!$V$6:$V$10005,$V7492,'①在庫を貼る'!$W$6:$W$10005,$W7492)+COUNTIFS('月1回_1ヶ月前の在庫'!$V$6:$V$10005,$V7492,'月1回_1ヶ月前の在庫'!$W$6:$W$10005,$W7492)&gt;0),N(U7491),N(U7491)+1))</f>
        <v/>
      </c>
      <c r="V7492" s="19">
        <f>IF($B7492="","",TEXT($B7492,"0000"))</f>
        <v/>
      </c>
      <c r="W7492" s="19">
        <f>IF($I7492="","",IF(ISNUMBER($I7492),TEXT($I7492,"0"),$I7492))</f>
        <v/>
      </c>
    </row>
    <row r="7493">
      <c r="B7493" s="25" t="n"/>
      <c r="I7493" s="25" t="n"/>
      <c r="U7493" s="19">
        <f>IF($V7493&lt;&gt;'設定'!$C$4,N(U7492),IF(OR(NOT(COUNTIF('商品マスタ'!$B$6:$B$1005,$W7493)=0),COUNTIFS('①在庫を貼る'!$V$6:$V$10005,$V7493,'①在庫を貼る'!$W$6:$W$10005,$W7493)+COUNTIFS('月1回_1ヶ月前の在庫'!$V$6:$V$10005,$V7493,'月1回_1ヶ月前の在庫'!$W$6:$W$10005,$W7493)&gt;0),N(U7492),N(U7492)+1))</f>
        <v/>
      </c>
      <c r="V7493" s="19">
        <f>IF($B7493="","",TEXT($B7493,"0000"))</f>
        <v/>
      </c>
      <c r="W7493" s="19">
        <f>IF($I7493="","",IF(ISNUMBER($I7493),TEXT($I7493,"0"),$I7493))</f>
        <v/>
      </c>
    </row>
    <row r="7494">
      <c r="B7494" s="25" t="n"/>
      <c r="I7494" s="25" t="n"/>
      <c r="U7494" s="19">
        <f>IF($V7494&lt;&gt;'設定'!$C$4,N(U7493),IF(OR(NOT(COUNTIF('商品マスタ'!$B$6:$B$1005,$W7494)=0),COUNTIFS('①在庫を貼る'!$V$6:$V$10005,$V7494,'①在庫を貼る'!$W$6:$W$10005,$W7494)+COUNTIFS('月1回_1ヶ月前の在庫'!$V$6:$V$10005,$V7494,'月1回_1ヶ月前の在庫'!$W$6:$W$10005,$W7494)&gt;0),N(U7493),N(U7493)+1))</f>
        <v/>
      </c>
      <c r="V7494" s="19">
        <f>IF($B7494="","",TEXT($B7494,"0000"))</f>
        <v/>
      </c>
      <c r="W7494" s="19">
        <f>IF($I7494="","",IF(ISNUMBER($I7494),TEXT($I7494,"0"),$I7494))</f>
        <v/>
      </c>
    </row>
    <row r="7495">
      <c r="B7495" s="25" t="n"/>
      <c r="I7495" s="25" t="n"/>
      <c r="U7495" s="19">
        <f>IF($V7495&lt;&gt;'設定'!$C$4,N(U7494),IF(OR(NOT(COUNTIF('商品マスタ'!$B$6:$B$1005,$W7495)=0),COUNTIFS('①在庫を貼る'!$V$6:$V$10005,$V7495,'①在庫を貼る'!$W$6:$W$10005,$W7495)+COUNTIFS('月1回_1ヶ月前の在庫'!$V$6:$V$10005,$V7495,'月1回_1ヶ月前の在庫'!$W$6:$W$10005,$W7495)&gt;0),N(U7494),N(U7494)+1))</f>
        <v/>
      </c>
      <c r="V7495" s="19">
        <f>IF($B7495="","",TEXT($B7495,"0000"))</f>
        <v/>
      </c>
      <c r="W7495" s="19">
        <f>IF($I7495="","",IF(ISNUMBER($I7495),TEXT($I7495,"0"),$I7495))</f>
        <v/>
      </c>
    </row>
    <row r="7496">
      <c r="B7496" s="25" t="n"/>
      <c r="I7496" s="25" t="n"/>
      <c r="U7496" s="19">
        <f>IF($V7496&lt;&gt;'設定'!$C$4,N(U7495),IF(OR(NOT(COUNTIF('商品マスタ'!$B$6:$B$1005,$W7496)=0),COUNTIFS('①在庫を貼る'!$V$6:$V$10005,$V7496,'①在庫を貼る'!$W$6:$W$10005,$W7496)+COUNTIFS('月1回_1ヶ月前の在庫'!$V$6:$V$10005,$V7496,'月1回_1ヶ月前の在庫'!$W$6:$W$10005,$W7496)&gt;0),N(U7495),N(U7495)+1))</f>
        <v/>
      </c>
      <c r="V7496" s="19">
        <f>IF($B7496="","",TEXT($B7496,"0000"))</f>
        <v/>
      </c>
      <c r="W7496" s="19">
        <f>IF($I7496="","",IF(ISNUMBER($I7496),TEXT($I7496,"0"),$I7496))</f>
        <v/>
      </c>
    </row>
    <row r="7497">
      <c r="B7497" s="25" t="n"/>
      <c r="I7497" s="25" t="n"/>
      <c r="U7497" s="19">
        <f>IF($V7497&lt;&gt;'設定'!$C$4,N(U7496),IF(OR(NOT(COUNTIF('商品マスタ'!$B$6:$B$1005,$W7497)=0),COUNTIFS('①在庫を貼る'!$V$6:$V$10005,$V7497,'①在庫を貼る'!$W$6:$W$10005,$W7497)+COUNTIFS('月1回_1ヶ月前の在庫'!$V$6:$V$10005,$V7497,'月1回_1ヶ月前の在庫'!$W$6:$W$10005,$W7497)&gt;0),N(U7496),N(U7496)+1))</f>
        <v/>
      </c>
      <c r="V7497" s="19">
        <f>IF($B7497="","",TEXT($B7497,"0000"))</f>
        <v/>
      </c>
      <c r="W7497" s="19">
        <f>IF($I7497="","",IF(ISNUMBER($I7497),TEXT($I7497,"0"),$I7497))</f>
        <v/>
      </c>
    </row>
    <row r="7498">
      <c r="B7498" s="25" t="n"/>
      <c r="I7498" s="25" t="n"/>
      <c r="U7498" s="19">
        <f>IF($V7498&lt;&gt;'設定'!$C$4,N(U7497),IF(OR(NOT(COUNTIF('商品マスタ'!$B$6:$B$1005,$W7498)=0),COUNTIFS('①在庫を貼る'!$V$6:$V$10005,$V7498,'①在庫を貼る'!$W$6:$W$10005,$W7498)+COUNTIFS('月1回_1ヶ月前の在庫'!$V$6:$V$10005,$V7498,'月1回_1ヶ月前の在庫'!$W$6:$W$10005,$W7498)&gt;0),N(U7497),N(U7497)+1))</f>
        <v/>
      </c>
      <c r="V7498" s="19">
        <f>IF($B7498="","",TEXT($B7498,"0000"))</f>
        <v/>
      </c>
      <c r="W7498" s="19">
        <f>IF($I7498="","",IF(ISNUMBER($I7498),TEXT($I7498,"0"),$I7498))</f>
        <v/>
      </c>
    </row>
    <row r="7499">
      <c r="B7499" s="25" t="n"/>
      <c r="I7499" s="25" t="n"/>
      <c r="U7499" s="19">
        <f>IF($V7499&lt;&gt;'設定'!$C$4,N(U7498),IF(OR(NOT(COUNTIF('商品マスタ'!$B$6:$B$1005,$W7499)=0),COUNTIFS('①在庫を貼る'!$V$6:$V$10005,$V7499,'①在庫を貼る'!$W$6:$W$10005,$W7499)+COUNTIFS('月1回_1ヶ月前の在庫'!$V$6:$V$10005,$V7499,'月1回_1ヶ月前の在庫'!$W$6:$W$10005,$W7499)&gt;0),N(U7498),N(U7498)+1))</f>
        <v/>
      </c>
      <c r="V7499" s="19">
        <f>IF($B7499="","",TEXT($B7499,"0000"))</f>
        <v/>
      </c>
      <c r="W7499" s="19">
        <f>IF($I7499="","",IF(ISNUMBER($I7499),TEXT($I7499,"0"),$I7499))</f>
        <v/>
      </c>
    </row>
    <row r="7500">
      <c r="B7500" s="25" t="n"/>
      <c r="I7500" s="25" t="n"/>
      <c r="U7500" s="19">
        <f>IF($V7500&lt;&gt;'設定'!$C$4,N(U7499),IF(OR(NOT(COUNTIF('商品マスタ'!$B$6:$B$1005,$W7500)=0),COUNTIFS('①在庫を貼る'!$V$6:$V$10005,$V7500,'①在庫を貼る'!$W$6:$W$10005,$W7500)+COUNTIFS('月1回_1ヶ月前の在庫'!$V$6:$V$10005,$V7500,'月1回_1ヶ月前の在庫'!$W$6:$W$10005,$W7500)&gt;0),N(U7499),N(U7499)+1))</f>
        <v/>
      </c>
      <c r="V7500" s="19">
        <f>IF($B7500="","",TEXT($B7500,"0000"))</f>
        <v/>
      </c>
      <c r="W7500" s="19">
        <f>IF($I7500="","",IF(ISNUMBER($I7500),TEXT($I7500,"0"),$I7500))</f>
        <v/>
      </c>
    </row>
    <row r="7501">
      <c r="B7501" s="25" t="n"/>
      <c r="I7501" s="25" t="n"/>
      <c r="U7501" s="19">
        <f>IF($V7501&lt;&gt;'設定'!$C$4,N(U7500),IF(OR(NOT(COUNTIF('商品マスタ'!$B$6:$B$1005,$W7501)=0),COUNTIFS('①在庫を貼る'!$V$6:$V$10005,$V7501,'①在庫を貼る'!$W$6:$W$10005,$W7501)+COUNTIFS('月1回_1ヶ月前の在庫'!$V$6:$V$10005,$V7501,'月1回_1ヶ月前の在庫'!$W$6:$W$10005,$W7501)&gt;0),N(U7500),N(U7500)+1))</f>
        <v/>
      </c>
      <c r="V7501" s="19">
        <f>IF($B7501="","",TEXT($B7501,"0000"))</f>
        <v/>
      </c>
      <c r="W7501" s="19">
        <f>IF($I7501="","",IF(ISNUMBER($I7501),TEXT($I7501,"0"),$I7501))</f>
        <v/>
      </c>
    </row>
    <row r="7502">
      <c r="B7502" s="25" t="n"/>
      <c r="I7502" s="25" t="n"/>
      <c r="U7502" s="19">
        <f>IF($V7502&lt;&gt;'設定'!$C$4,N(U7501),IF(OR(NOT(COUNTIF('商品マスタ'!$B$6:$B$1005,$W7502)=0),COUNTIFS('①在庫を貼る'!$V$6:$V$10005,$V7502,'①在庫を貼る'!$W$6:$W$10005,$W7502)+COUNTIFS('月1回_1ヶ月前の在庫'!$V$6:$V$10005,$V7502,'月1回_1ヶ月前の在庫'!$W$6:$W$10005,$W7502)&gt;0),N(U7501),N(U7501)+1))</f>
        <v/>
      </c>
      <c r="V7502" s="19">
        <f>IF($B7502="","",TEXT($B7502,"0000"))</f>
        <v/>
      </c>
      <c r="W7502" s="19">
        <f>IF($I7502="","",IF(ISNUMBER($I7502),TEXT($I7502,"0"),$I7502))</f>
        <v/>
      </c>
    </row>
    <row r="7503">
      <c r="B7503" s="25" t="n"/>
      <c r="I7503" s="25" t="n"/>
      <c r="U7503" s="19">
        <f>IF($V7503&lt;&gt;'設定'!$C$4,N(U7502),IF(OR(NOT(COUNTIF('商品マスタ'!$B$6:$B$1005,$W7503)=0),COUNTIFS('①在庫を貼る'!$V$6:$V$10005,$V7503,'①在庫を貼る'!$W$6:$W$10005,$W7503)+COUNTIFS('月1回_1ヶ月前の在庫'!$V$6:$V$10005,$V7503,'月1回_1ヶ月前の在庫'!$W$6:$W$10005,$W7503)&gt;0),N(U7502),N(U7502)+1))</f>
        <v/>
      </c>
      <c r="V7503" s="19">
        <f>IF($B7503="","",TEXT($B7503,"0000"))</f>
        <v/>
      </c>
      <c r="W7503" s="19">
        <f>IF($I7503="","",IF(ISNUMBER($I7503),TEXT($I7503,"0"),$I7503))</f>
        <v/>
      </c>
    </row>
    <row r="7504">
      <c r="B7504" s="25" t="n"/>
      <c r="I7504" s="25" t="n"/>
      <c r="U7504" s="19">
        <f>IF($V7504&lt;&gt;'設定'!$C$4,N(U7503),IF(OR(NOT(COUNTIF('商品マスタ'!$B$6:$B$1005,$W7504)=0),COUNTIFS('①在庫を貼る'!$V$6:$V$10005,$V7504,'①在庫を貼る'!$W$6:$W$10005,$W7504)+COUNTIFS('月1回_1ヶ月前の在庫'!$V$6:$V$10005,$V7504,'月1回_1ヶ月前の在庫'!$W$6:$W$10005,$W7504)&gt;0),N(U7503),N(U7503)+1))</f>
        <v/>
      </c>
      <c r="V7504" s="19">
        <f>IF($B7504="","",TEXT($B7504,"0000"))</f>
        <v/>
      </c>
      <c r="W7504" s="19">
        <f>IF($I7504="","",IF(ISNUMBER($I7504),TEXT($I7504,"0"),$I7504))</f>
        <v/>
      </c>
    </row>
    <row r="7505">
      <c r="B7505" s="25" t="n"/>
      <c r="I7505" s="25" t="n"/>
      <c r="U7505" s="19">
        <f>IF($V7505&lt;&gt;'設定'!$C$4,N(U7504),IF(OR(NOT(COUNTIF('商品マスタ'!$B$6:$B$1005,$W7505)=0),COUNTIFS('①在庫を貼る'!$V$6:$V$10005,$V7505,'①在庫を貼る'!$W$6:$W$10005,$W7505)+COUNTIFS('月1回_1ヶ月前の在庫'!$V$6:$V$10005,$V7505,'月1回_1ヶ月前の在庫'!$W$6:$W$10005,$W7505)&gt;0),N(U7504),N(U7504)+1))</f>
        <v/>
      </c>
      <c r="V7505" s="19">
        <f>IF($B7505="","",TEXT($B7505,"0000"))</f>
        <v/>
      </c>
      <c r="W7505" s="19">
        <f>IF($I7505="","",IF(ISNUMBER($I7505),TEXT($I7505,"0"),$I7505))</f>
        <v/>
      </c>
    </row>
    <row r="7506">
      <c r="B7506" s="25" t="n"/>
      <c r="I7506" s="25" t="n"/>
      <c r="U7506" s="19">
        <f>IF($V7506&lt;&gt;'設定'!$C$4,N(U7505),IF(OR(NOT(COUNTIF('商品マスタ'!$B$6:$B$1005,$W7506)=0),COUNTIFS('①在庫を貼る'!$V$6:$V$10005,$V7506,'①在庫を貼る'!$W$6:$W$10005,$W7506)+COUNTIFS('月1回_1ヶ月前の在庫'!$V$6:$V$10005,$V7506,'月1回_1ヶ月前の在庫'!$W$6:$W$10005,$W7506)&gt;0),N(U7505),N(U7505)+1))</f>
        <v/>
      </c>
      <c r="V7506" s="19">
        <f>IF($B7506="","",TEXT($B7506,"0000"))</f>
        <v/>
      </c>
      <c r="W7506" s="19">
        <f>IF($I7506="","",IF(ISNUMBER($I7506),TEXT($I7506,"0"),$I7506))</f>
        <v/>
      </c>
    </row>
    <row r="7507">
      <c r="B7507" s="25" t="n"/>
      <c r="I7507" s="25" t="n"/>
      <c r="U7507" s="19">
        <f>IF($V7507&lt;&gt;'設定'!$C$4,N(U7506),IF(OR(NOT(COUNTIF('商品マスタ'!$B$6:$B$1005,$W7507)=0),COUNTIFS('①在庫を貼る'!$V$6:$V$10005,$V7507,'①在庫を貼る'!$W$6:$W$10005,$W7507)+COUNTIFS('月1回_1ヶ月前の在庫'!$V$6:$V$10005,$V7507,'月1回_1ヶ月前の在庫'!$W$6:$W$10005,$W7507)&gt;0),N(U7506),N(U7506)+1))</f>
        <v/>
      </c>
      <c r="V7507" s="19">
        <f>IF($B7507="","",TEXT($B7507,"0000"))</f>
        <v/>
      </c>
      <c r="W7507" s="19">
        <f>IF($I7507="","",IF(ISNUMBER($I7507),TEXT($I7507,"0"),$I7507))</f>
        <v/>
      </c>
    </row>
    <row r="7508">
      <c r="B7508" s="25" t="n"/>
      <c r="I7508" s="25" t="n"/>
      <c r="U7508" s="19">
        <f>IF($V7508&lt;&gt;'設定'!$C$4,N(U7507),IF(OR(NOT(COUNTIF('商品マスタ'!$B$6:$B$1005,$W7508)=0),COUNTIFS('①在庫を貼る'!$V$6:$V$10005,$V7508,'①在庫を貼る'!$W$6:$W$10005,$W7508)+COUNTIFS('月1回_1ヶ月前の在庫'!$V$6:$V$10005,$V7508,'月1回_1ヶ月前の在庫'!$W$6:$W$10005,$W7508)&gt;0),N(U7507),N(U7507)+1))</f>
        <v/>
      </c>
      <c r="V7508" s="19">
        <f>IF($B7508="","",TEXT($B7508,"0000"))</f>
        <v/>
      </c>
      <c r="W7508" s="19">
        <f>IF($I7508="","",IF(ISNUMBER($I7508),TEXT($I7508,"0"),$I7508))</f>
        <v/>
      </c>
    </row>
    <row r="7509">
      <c r="B7509" s="25" t="n"/>
      <c r="I7509" s="25" t="n"/>
      <c r="U7509" s="19">
        <f>IF($V7509&lt;&gt;'設定'!$C$4,N(U7508),IF(OR(NOT(COUNTIF('商品マスタ'!$B$6:$B$1005,$W7509)=0),COUNTIFS('①在庫を貼る'!$V$6:$V$10005,$V7509,'①在庫を貼る'!$W$6:$W$10005,$W7509)+COUNTIFS('月1回_1ヶ月前の在庫'!$V$6:$V$10005,$V7509,'月1回_1ヶ月前の在庫'!$W$6:$W$10005,$W7509)&gt;0),N(U7508),N(U7508)+1))</f>
        <v/>
      </c>
      <c r="V7509" s="19">
        <f>IF($B7509="","",TEXT($B7509,"0000"))</f>
        <v/>
      </c>
      <c r="W7509" s="19">
        <f>IF($I7509="","",IF(ISNUMBER($I7509),TEXT($I7509,"0"),$I7509))</f>
        <v/>
      </c>
    </row>
    <row r="7510">
      <c r="B7510" s="25" t="n"/>
      <c r="I7510" s="25" t="n"/>
      <c r="U7510" s="19">
        <f>IF($V7510&lt;&gt;'設定'!$C$4,N(U7509),IF(OR(NOT(COUNTIF('商品マスタ'!$B$6:$B$1005,$W7510)=0),COUNTIFS('①在庫を貼る'!$V$6:$V$10005,$V7510,'①在庫を貼る'!$W$6:$W$10005,$W7510)+COUNTIFS('月1回_1ヶ月前の在庫'!$V$6:$V$10005,$V7510,'月1回_1ヶ月前の在庫'!$W$6:$W$10005,$W7510)&gt;0),N(U7509),N(U7509)+1))</f>
        <v/>
      </c>
      <c r="V7510" s="19">
        <f>IF($B7510="","",TEXT($B7510,"0000"))</f>
        <v/>
      </c>
      <c r="W7510" s="19">
        <f>IF($I7510="","",IF(ISNUMBER($I7510),TEXT($I7510,"0"),$I7510))</f>
        <v/>
      </c>
    </row>
    <row r="7511">
      <c r="B7511" s="25" t="n"/>
      <c r="I7511" s="25" t="n"/>
      <c r="U7511" s="19">
        <f>IF($V7511&lt;&gt;'設定'!$C$4,N(U7510),IF(OR(NOT(COUNTIF('商品マスタ'!$B$6:$B$1005,$W7511)=0),COUNTIFS('①在庫を貼る'!$V$6:$V$10005,$V7511,'①在庫を貼る'!$W$6:$W$10005,$W7511)+COUNTIFS('月1回_1ヶ月前の在庫'!$V$6:$V$10005,$V7511,'月1回_1ヶ月前の在庫'!$W$6:$W$10005,$W7511)&gt;0),N(U7510),N(U7510)+1))</f>
        <v/>
      </c>
      <c r="V7511" s="19">
        <f>IF($B7511="","",TEXT($B7511,"0000"))</f>
        <v/>
      </c>
      <c r="W7511" s="19">
        <f>IF($I7511="","",IF(ISNUMBER($I7511),TEXT($I7511,"0"),$I7511))</f>
        <v/>
      </c>
    </row>
    <row r="7512">
      <c r="B7512" s="25" t="n"/>
      <c r="I7512" s="25" t="n"/>
      <c r="U7512" s="19">
        <f>IF($V7512&lt;&gt;'設定'!$C$4,N(U7511),IF(OR(NOT(COUNTIF('商品マスタ'!$B$6:$B$1005,$W7512)=0),COUNTIFS('①在庫を貼る'!$V$6:$V$10005,$V7512,'①在庫を貼る'!$W$6:$W$10005,$W7512)+COUNTIFS('月1回_1ヶ月前の在庫'!$V$6:$V$10005,$V7512,'月1回_1ヶ月前の在庫'!$W$6:$W$10005,$W7512)&gt;0),N(U7511),N(U7511)+1))</f>
        <v/>
      </c>
      <c r="V7512" s="19">
        <f>IF($B7512="","",TEXT($B7512,"0000"))</f>
        <v/>
      </c>
      <c r="W7512" s="19">
        <f>IF($I7512="","",IF(ISNUMBER($I7512),TEXT($I7512,"0"),$I7512))</f>
        <v/>
      </c>
    </row>
    <row r="7513">
      <c r="B7513" s="25" t="n"/>
      <c r="I7513" s="25" t="n"/>
      <c r="U7513" s="19">
        <f>IF($V7513&lt;&gt;'設定'!$C$4,N(U7512),IF(OR(NOT(COUNTIF('商品マスタ'!$B$6:$B$1005,$W7513)=0),COUNTIFS('①在庫を貼る'!$V$6:$V$10005,$V7513,'①在庫を貼る'!$W$6:$W$10005,$W7513)+COUNTIFS('月1回_1ヶ月前の在庫'!$V$6:$V$10005,$V7513,'月1回_1ヶ月前の在庫'!$W$6:$W$10005,$W7513)&gt;0),N(U7512),N(U7512)+1))</f>
        <v/>
      </c>
      <c r="V7513" s="19">
        <f>IF($B7513="","",TEXT($B7513,"0000"))</f>
        <v/>
      </c>
      <c r="W7513" s="19">
        <f>IF($I7513="","",IF(ISNUMBER($I7513),TEXT($I7513,"0"),$I7513))</f>
        <v/>
      </c>
    </row>
    <row r="7514">
      <c r="B7514" s="25" t="n"/>
      <c r="I7514" s="25" t="n"/>
      <c r="U7514" s="19">
        <f>IF($V7514&lt;&gt;'設定'!$C$4,N(U7513),IF(OR(NOT(COUNTIF('商品マスタ'!$B$6:$B$1005,$W7514)=0),COUNTIFS('①在庫を貼る'!$V$6:$V$10005,$V7514,'①在庫を貼る'!$W$6:$W$10005,$W7514)+COUNTIFS('月1回_1ヶ月前の在庫'!$V$6:$V$10005,$V7514,'月1回_1ヶ月前の在庫'!$W$6:$W$10005,$W7514)&gt;0),N(U7513),N(U7513)+1))</f>
        <v/>
      </c>
      <c r="V7514" s="19">
        <f>IF($B7514="","",TEXT($B7514,"0000"))</f>
        <v/>
      </c>
      <c r="W7514" s="19">
        <f>IF($I7514="","",IF(ISNUMBER($I7514),TEXT($I7514,"0"),$I7514))</f>
        <v/>
      </c>
    </row>
    <row r="7515">
      <c r="B7515" s="25" t="n"/>
      <c r="I7515" s="25" t="n"/>
      <c r="U7515" s="19">
        <f>IF($V7515&lt;&gt;'設定'!$C$4,N(U7514),IF(OR(NOT(COUNTIF('商品マスタ'!$B$6:$B$1005,$W7515)=0),COUNTIFS('①在庫を貼る'!$V$6:$V$10005,$V7515,'①在庫を貼る'!$W$6:$W$10005,$W7515)+COUNTIFS('月1回_1ヶ月前の在庫'!$V$6:$V$10005,$V7515,'月1回_1ヶ月前の在庫'!$W$6:$W$10005,$W7515)&gt;0),N(U7514),N(U7514)+1))</f>
        <v/>
      </c>
      <c r="V7515" s="19">
        <f>IF($B7515="","",TEXT($B7515,"0000"))</f>
        <v/>
      </c>
      <c r="W7515" s="19">
        <f>IF($I7515="","",IF(ISNUMBER($I7515),TEXT($I7515,"0"),$I7515))</f>
        <v/>
      </c>
    </row>
    <row r="7516">
      <c r="B7516" s="25" t="n"/>
      <c r="I7516" s="25" t="n"/>
      <c r="U7516" s="19">
        <f>IF($V7516&lt;&gt;'設定'!$C$4,N(U7515),IF(OR(NOT(COUNTIF('商品マスタ'!$B$6:$B$1005,$W7516)=0),COUNTIFS('①在庫を貼る'!$V$6:$V$10005,$V7516,'①在庫を貼る'!$W$6:$W$10005,$W7516)+COUNTIFS('月1回_1ヶ月前の在庫'!$V$6:$V$10005,$V7516,'月1回_1ヶ月前の在庫'!$W$6:$W$10005,$W7516)&gt;0),N(U7515),N(U7515)+1))</f>
        <v/>
      </c>
      <c r="V7516" s="19">
        <f>IF($B7516="","",TEXT($B7516,"0000"))</f>
        <v/>
      </c>
      <c r="W7516" s="19">
        <f>IF($I7516="","",IF(ISNUMBER($I7516),TEXT($I7516,"0"),$I7516))</f>
        <v/>
      </c>
    </row>
    <row r="7517">
      <c r="B7517" s="25" t="n"/>
      <c r="I7517" s="25" t="n"/>
      <c r="U7517" s="19">
        <f>IF($V7517&lt;&gt;'設定'!$C$4,N(U7516),IF(OR(NOT(COUNTIF('商品マスタ'!$B$6:$B$1005,$W7517)=0),COUNTIFS('①在庫を貼る'!$V$6:$V$10005,$V7517,'①在庫を貼る'!$W$6:$W$10005,$W7517)+COUNTIFS('月1回_1ヶ月前の在庫'!$V$6:$V$10005,$V7517,'月1回_1ヶ月前の在庫'!$W$6:$W$10005,$W7517)&gt;0),N(U7516),N(U7516)+1))</f>
        <v/>
      </c>
      <c r="V7517" s="19">
        <f>IF($B7517="","",TEXT($B7517,"0000"))</f>
        <v/>
      </c>
      <c r="W7517" s="19">
        <f>IF($I7517="","",IF(ISNUMBER($I7517),TEXT($I7517,"0"),$I7517))</f>
        <v/>
      </c>
    </row>
    <row r="7518">
      <c r="B7518" s="25" t="n"/>
      <c r="I7518" s="25" t="n"/>
      <c r="U7518" s="19">
        <f>IF($V7518&lt;&gt;'設定'!$C$4,N(U7517),IF(OR(NOT(COUNTIF('商品マスタ'!$B$6:$B$1005,$W7518)=0),COUNTIFS('①在庫を貼る'!$V$6:$V$10005,$V7518,'①在庫を貼る'!$W$6:$W$10005,$W7518)+COUNTIFS('月1回_1ヶ月前の在庫'!$V$6:$V$10005,$V7518,'月1回_1ヶ月前の在庫'!$W$6:$W$10005,$W7518)&gt;0),N(U7517),N(U7517)+1))</f>
        <v/>
      </c>
      <c r="V7518" s="19">
        <f>IF($B7518="","",TEXT($B7518,"0000"))</f>
        <v/>
      </c>
      <c r="W7518" s="19">
        <f>IF($I7518="","",IF(ISNUMBER($I7518),TEXT($I7518,"0"),$I7518))</f>
        <v/>
      </c>
    </row>
    <row r="7519">
      <c r="B7519" s="25" t="n"/>
      <c r="I7519" s="25" t="n"/>
      <c r="U7519" s="19">
        <f>IF($V7519&lt;&gt;'設定'!$C$4,N(U7518),IF(OR(NOT(COUNTIF('商品マスタ'!$B$6:$B$1005,$W7519)=0),COUNTIFS('①在庫を貼る'!$V$6:$V$10005,$V7519,'①在庫を貼る'!$W$6:$W$10005,$W7519)+COUNTIFS('月1回_1ヶ月前の在庫'!$V$6:$V$10005,$V7519,'月1回_1ヶ月前の在庫'!$W$6:$W$10005,$W7519)&gt;0),N(U7518),N(U7518)+1))</f>
        <v/>
      </c>
      <c r="V7519" s="19">
        <f>IF($B7519="","",TEXT($B7519,"0000"))</f>
        <v/>
      </c>
      <c r="W7519" s="19">
        <f>IF($I7519="","",IF(ISNUMBER($I7519),TEXT($I7519,"0"),$I7519))</f>
        <v/>
      </c>
    </row>
    <row r="7520">
      <c r="B7520" s="25" t="n"/>
      <c r="I7520" s="25" t="n"/>
      <c r="U7520" s="19">
        <f>IF($V7520&lt;&gt;'設定'!$C$4,N(U7519),IF(OR(NOT(COUNTIF('商品マスタ'!$B$6:$B$1005,$W7520)=0),COUNTIFS('①在庫を貼る'!$V$6:$V$10005,$V7520,'①在庫を貼る'!$W$6:$W$10005,$W7520)+COUNTIFS('月1回_1ヶ月前の在庫'!$V$6:$V$10005,$V7520,'月1回_1ヶ月前の在庫'!$W$6:$W$10005,$W7520)&gt;0),N(U7519),N(U7519)+1))</f>
        <v/>
      </c>
      <c r="V7520" s="19">
        <f>IF($B7520="","",TEXT($B7520,"0000"))</f>
        <v/>
      </c>
      <c r="W7520" s="19">
        <f>IF($I7520="","",IF(ISNUMBER($I7520),TEXT($I7520,"0"),$I7520))</f>
        <v/>
      </c>
    </row>
    <row r="7521">
      <c r="B7521" s="25" t="n"/>
      <c r="I7521" s="25" t="n"/>
      <c r="U7521" s="19">
        <f>IF($V7521&lt;&gt;'設定'!$C$4,N(U7520),IF(OR(NOT(COUNTIF('商品マスタ'!$B$6:$B$1005,$W7521)=0),COUNTIFS('①在庫を貼る'!$V$6:$V$10005,$V7521,'①在庫を貼る'!$W$6:$W$10005,$W7521)+COUNTIFS('月1回_1ヶ月前の在庫'!$V$6:$V$10005,$V7521,'月1回_1ヶ月前の在庫'!$W$6:$W$10005,$W7521)&gt;0),N(U7520),N(U7520)+1))</f>
        <v/>
      </c>
      <c r="V7521" s="19">
        <f>IF($B7521="","",TEXT($B7521,"0000"))</f>
        <v/>
      </c>
      <c r="W7521" s="19">
        <f>IF($I7521="","",IF(ISNUMBER($I7521),TEXT($I7521,"0"),$I7521))</f>
        <v/>
      </c>
    </row>
    <row r="7522">
      <c r="B7522" s="25" t="n"/>
      <c r="I7522" s="25" t="n"/>
      <c r="U7522" s="19">
        <f>IF($V7522&lt;&gt;'設定'!$C$4,N(U7521),IF(OR(NOT(COUNTIF('商品マスタ'!$B$6:$B$1005,$W7522)=0),COUNTIFS('①在庫を貼る'!$V$6:$V$10005,$V7522,'①在庫を貼る'!$W$6:$W$10005,$W7522)+COUNTIFS('月1回_1ヶ月前の在庫'!$V$6:$V$10005,$V7522,'月1回_1ヶ月前の在庫'!$W$6:$W$10005,$W7522)&gt;0),N(U7521),N(U7521)+1))</f>
        <v/>
      </c>
      <c r="V7522" s="19">
        <f>IF($B7522="","",TEXT($B7522,"0000"))</f>
        <v/>
      </c>
      <c r="W7522" s="19">
        <f>IF($I7522="","",IF(ISNUMBER($I7522),TEXT($I7522,"0"),$I7522))</f>
        <v/>
      </c>
    </row>
    <row r="7523">
      <c r="B7523" s="25" t="n"/>
      <c r="I7523" s="25" t="n"/>
      <c r="U7523" s="19">
        <f>IF($V7523&lt;&gt;'設定'!$C$4,N(U7522),IF(OR(NOT(COUNTIF('商品マスタ'!$B$6:$B$1005,$W7523)=0),COUNTIFS('①在庫を貼る'!$V$6:$V$10005,$V7523,'①在庫を貼る'!$W$6:$W$10005,$W7523)+COUNTIFS('月1回_1ヶ月前の在庫'!$V$6:$V$10005,$V7523,'月1回_1ヶ月前の在庫'!$W$6:$W$10005,$W7523)&gt;0),N(U7522),N(U7522)+1))</f>
        <v/>
      </c>
      <c r="V7523" s="19">
        <f>IF($B7523="","",TEXT($B7523,"0000"))</f>
        <v/>
      </c>
      <c r="W7523" s="19">
        <f>IF($I7523="","",IF(ISNUMBER($I7523),TEXT($I7523,"0"),$I7523))</f>
        <v/>
      </c>
    </row>
    <row r="7524">
      <c r="B7524" s="25" t="n"/>
      <c r="I7524" s="25" t="n"/>
      <c r="U7524" s="19">
        <f>IF($V7524&lt;&gt;'設定'!$C$4,N(U7523),IF(OR(NOT(COUNTIF('商品マスタ'!$B$6:$B$1005,$W7524)=0),COUNTIFS('①在庫を貼る'!$V$6:$V$10005,$V7524,'①在庫を貼る'!$W$6:$W$10005,$W7524)+COUNTIFS('月1回_1ヶ月前の在庫'!$V$6:$V$10005,$V7524,'月1回_1ヶ月前の在庫'!$W$6:$W$10005,$W7524)&gt;0),N(U7523),N(U7523)+1))</f>
        <v/>
      </c>
      <c r="V7524" s="19">
        <f>IF($B7524="","",TEXT($B7524,"0000"))</f>
        <v/>
      </c>
      <c r="W7524" s="19">
        <f>IF($I7524="","",IF(ISNUMBER($I7524),TEXT($I7524,"0"),$I7524))</f>
        <v/>
      </c>
    </row>
    <row r="7525">
      <c r="B7525" s="25" t="n"/>
      <c r="I7525" s="25" t="n"/>
      <c r="U7525" s="19">
        <f>IF($V7525&lt;&gt;'設定'!$C$4,N(U7524),IF(OR(NOT(COUNTIF('商品マスタ'!$B$6:$B$1005,$W7525)=0),COUNTIFS('①在庫を貼る'!$V$6:$V$10005,$V7525,'①在庫を貼る'!$W$6:$W$10005,$W7525)+COUNTIFS('月1回_1ヶ月前の在庫'!$V$6:$V$10005,$V7525,'月1回_1ヶ月前の在庫'!$W$6:$W$10005,$W7525)&gt;0),N(U7524),N(U7524)+1))</f>
        <v/>
      </c>
      <c r="V7525" s="19">
        <f>IF($B7525="","",TEXT($B7525,"0000"))</f>
        <v/>
      </c>
      <c r="W7525" s="19">
        <f>IF($I7525="","",IF(ISNUMBER($I7525),TEXT($I7525,"0"),$I7525))</f>
        <v/>
      </c>
    </row>
    <row r="7526">
      <c r="B7526" s="25" t="n"/>
      <c r="I7526" s="25" t="n"/>
      <c r="U7526" s="19">
        <f>IF($V7526&lt;&gt;'設定'!$C$4,N(U7525),IF(OR(NOT(COUNTIF('商品マスタ'!$B$6:$B$1005,$W7526)=0),COUNTIFS('①在庫を貼る'!$V$6:$V$10005,$V7526,'①在庫を貼る'!$W$6:$W$10005,$W7526)+COUNTIFS('月1回_1ヶ月前の在庫'!$V$6:$V$10005,$V7526,'月1回_1ヶ月前の在庫'!$W$6:$W$10005,$W7526)&gt;0),N(U7525),N(U7525)+1))</f>
        <v/>
      </c>
      <c r="V7526" s="19">
        <f>IF($B7526="","",TEXT($B7526,"0000"))</f>
        <v/>
      </c>
      <c r="W7526" s="19">
        <f>IF($I7526="","",IF(ISNUMBER($I7526),TEXT($I7526,"0"),$I7526))</f>
        <v/>
      </c>
    </row>
    <row r="7527">
      <c r="B7527" s="25" t="n"/>
      <c r="I7527" s="25" t="n"/>
      <c r="U7527" s="19">
        <f>IF($V7527&lt;&gt;'設定'!$C$4,N(U7526),IF(OR(NOT(COUNTIF('商品マスタ'!$B$6:$B$1005,$W7527)=0),COUNTIFS('①在庫を貼る'!$V$6:$V$10005,$V7527,'①在庫を貼る'!$W$6:$W$10005,$W7527)+COUNTIFS('月1回_1ヶ月前の在庫'!$V$6:$V$10005,$V7527,'月1回_1ヶ月前の在庫'!$W$6:$W$10005,$W7527)&gt;0),N(U7526),N(U7526)+1))</f>
        <v/>
      </c>
      <c r="V7527" s="19">
        <f>IF($B7527="","",TEXT($B7527,"0000"))</f>
        <v/>
      </c>
      <c r="W7527" s="19">
        <f>IF($I7527="","",IF(ISNUMBER($I7527),TEXT($I7527,"0"),$I7527))</f>
        <v/>
      </c>
    </row>
    <row r="7528">
      <c r="B7528" s="25" t="n"/>
      <c r="I7528" s="25" t="n"/>
      <c r="U7528" s="19">
        <f>IF($V7528&lt;&gt;'設定'!$C$4,N(U7527),IF(OR(NOT(COUNTIF('商品マスタ'!$B$6:$B$1005,$W7528)=0),COUNTIFS('①在庫を貼る'!$V$6:$V$10005,$V7528,'①在庫を貼る'!$W$6:$W$10005,$W7528)+COUNTIFS('月1回_1ヶ月前の在庫'!$V$6:$V$10005,$V7528,'月1回_1ヶ月前の在庫'!$W$6:$W$10005,$W7528)&gt;0),N(U7527),N(U7527)+1))</f>
        <v/>
      </c>
      <c r="V7528" s="19">
        <f>IF($B7528="","",TEXT($B7528,"0000"))</f>
        <v/>
      </c>
      <c r="W7528" s="19">
        <f>IF($I7528="","",IF(ISNUMBER($I7528),TEXT($I7528,"0"),$I7528))</f>
        <v/>
      </c>
    </row>
    <row r="7529">
      <c r="B7529" s="25" t="n"/>
      <c r="I7529" s="25" t="n"/>
      <c r="U7529" s="19">
        <f>IF($V7529&lt;&gt;'設定'!$C$4,N(U7528),IF(OR(NOT(COUNTIF('商品マスタ'!$B$6:$B$1005,$W7529)=0),COUNTIFS('①在庫を貼る'!$V$6:$V$10005,$V7529,'①在庫を貼る'!$W$6:$W$10005,$W7529)+COUNTIFS('月1回_1ヶ月前の在庫'!$V$6:$V$10005,$V7529,'月1回_1ヶ月前の在庫'!$W$6:$W$10005,$W7529)&gt;0),N(U7528),N(U7528)+1))</f>
        <v/>
      </c>
      <c r="V7529" s="19">
        <f>IF($B7529="","",TEXT($B7529,"0000"))</f>
        <v/>
      </c>
      <c r="W7529" s="19">
        <f>IF($I7529="","",IF(ISNUMBER($I7529),TEXT($I7529,"0"),$I7529))</f>
        <v/>
      </c>
    </row>
    <row r="7530">
      <c r="B7530" s="25" t="n"/>
      <c r="I7530" s="25" t="n"/>
      <c r="U7530" s="19">
        <f>IF($V7530&lt;&gt;'設定'!$C$4,N(U7529),IF(OR(NOT(COUNTIF('商品マスタ'!$B$6:$B$1005,$W7530)=0),COUNTIFS('①在庫を貼る'!$V$6:$V$10005,$V7530,'①在庫を貼る'!$W$6:$W$10005,$W7530)+COUNTIFS('月1回_1ヶ月前の在庫'!$V$6:$V$10005,$V7530,'月1回_1ヶ月前の在庫'!$W$6:$W$10005,$W7530)&gt;0),N(U7529),N(U7529)+1))</f>
        <v/>
      </c>
      <c r="V7530" s="19">
        <f>IF($B7530="","",TEXT($B7530,"0000"))</f>
        <v/>
      </c>
      <c r="W7530" s="19">
        <f>IF($I7530="","",IF(ISNUMBER($I7530),TEXT($I7530,"0"),$I7530))</f>
        <v/>
      </c>
    </row>
    <row r="7531">
      <c r="B7531" s="25" t="n"/>
      <c r="I7531" s="25" t="n"/>
      <c r="U7531" s="19">
        <f>IF($V7531&lt;&gt;'設定'!$C$4,N(U7530),IF(OR(NOT(COUNTIF('商品マスタ'!$B$6:$B$1005,$W7531)=0),COUNTIFS('①在庫を貼る'!$V$6:$V$10005,$V7531,'①在庫を貼る'!$W$6:$W$10005,$W7531)+COUNTIFS('月1回_1ヶ月前の在庫'!$V$6:$V$10005,$V7531,'月1回_1ヶ月前の在庫'!$W$6:$W$10005,$W7531)&gt;0),N(U7530),N(U7530)+1))</f>
        <v/>
      </c>
      <c r="V7531" s="19">
        <f>IF($B7531="","",TEXT($B7531,"0000"))</f>
        <v/>
      </c>
      <c r="W7531" s="19">
        <f>IF($I7531="","",IF(ISNUMBER($I7531),TEXT($I7531,"0"),$I7531))</f>
        <v/>
      </c>
    </row>
    <row r="7532">
      <c r="B7532" s="25" t="n"/>
      <c r="I7532" s="25" t="n"/>
      <c r="U7532" s="19">
        <f>IF($V7532&lt;&gt;'設定'!$C$4,N(U7531),IF(OR(NOT(COUNTIF('商品マスタ'!$B$6:$B$1005,$W7532)=0),COUNTIFS('①在庫を貼る'!$V$6:$V$10005,$V7532,'①在庫を貼る'!$W$6:$W$10005,$W7532)+COUNTIFS('月1回_1ヶ月前の在庫'!$V$6:$V$10005,$V7532,'月1回_1ヶ月前の在庫'!$W$6:$W$10005,$W7532)&gt;0),N(U7531),N(U7531)+1))</f>
        <v/>
      </c>
      <c r="V7532" s="19">
        <f>IF($B7532="","",TEXT($B7532,"0000"))</f>
        <v/>
      </c>
      <c r="W7532" s="19">
        <f>IF($I7532="","",IF(ISNUMBER($I7532),TEXT($I7532,"0"),$I7532))</f>
        <v/>
      </c>
    </row>
    <row r="7533">
      <c r="B7533" s="25" t="n"/>
      <c r="I7533" s="25" t="n"/>
      <c r="U7533" s="19">
        <f>IF($V7533&lt;&gt;'設定'!$C$4,N(U7532),IF(OR(NOT(COUNTIF('商品マスタ'!$B$6:$B$1005,$W7533)=0),COUNTIFS('①在庫を貼る'!$V$6:$V$10005,$V7533,'①在庫を貼る'!$W$6:$W$10005,$W7533)+COUNTIFS('月1回_1ヶ月前の在庫'!$V$6:$V$10005,$V7533,'月1回_1ヶ月前の在庫'!$W$6:$W$10005,$W7533)&gt;0),N(U7532),N(U7532)+1))</f>
        <v/>
      </c>
      <c r="V7533" s="19">
        <f>IF($B7533="","",TEXT($B7533,"0000"))</f>
        <v/>
      </c>
      <c r="W7533" s="19">
        <f>IF($I7533="","",IF(ISNUMBER($I7533),TEXT($I7533,"0"),$I7533))</f>
        <v/>
      </c>
    </row>
    <row r="7534">
      <c r="B7534" s="25" t="n"/>
      <c r="I7534" s="25" t="n"/>
      <c r="U7534" s="19">
        <f>IF($V7534&lt;&gt;'設定'!$C$4,N(U7533),IF(OR(NOT(COUNTIF('商品マスタ'!$B$6:$B$1005,$W7534)=0),COUNTIFS('①在庫を貼る'!$V$6:$V$10005,$V7534,'①在庫を貼る'!$W$6:$W$10005,$W7534)+COUNTIFS('月1回_1ヶ月前の在庫'!$V$6:$V$10005,$V7534,'月1回_1ヶ月前の在庫'!$W$6:$W$10005,$W7534)&gt;0),N(U7533),N(U7533)+1))</f>
        <v/>
      </c>
      <c r="V7534" s="19">
        <f>IF($B7534="","",TEXT($B7534,"0000"))</f>
        <v/>
      </c>
      <c r="W7534" s="19">
        <f>IF($I7534="","",IF(ISNUMBER($I7534),TEXT($I7534,"0"),$I7534))</f>
        <v/>
      </c>
    </row>
    <row r="7535">
      <c r="B7535" s="25" t="n"/>
      <c r="I7535" s="25" t="n"/>
      <c r="U7535" s="19">
        <f>IF($V7535&lt;&gt;'設定'!$C$4,N(U7534),IF(OR(NOT(COUNTIF('商品マスタ'!$B$6:$B$1005,$W7535)=0),COUNTIFS('①在庫を貼る'!$V$6:$V$10005,$V7535,'①在庫を貼る'!$W$6:$W$10005,$W7535)+COUNTIFS('月1回_1ヶ月前の在庫'!$V$6:$V$10005,$V7535,'月1回_1ヶ月前の在庫'!$W$6:$W$10005,$W7535)&gt;0),N(U7534),N(U7534)+1))</f>
        <v/>
      </c>
      <c r="V7535" s="19">
        <f>IF($B7535="","",TEXT($B7535,"0000"))</f>
        <v/>
      </c>
      <c r="W7535" s="19">
        <f>IF($I7535="","",IF(ISNUMBER($I7535),TEXT($I7535,"0"),$I7535))</f>
        <v/>
      </c>
    </row>
    <row r="7536">
      <c r="B7536" s="25" t="n"/>
      <c r="I7536" s="25" t="n"/>
      <c r="U7536" s="19">
        <f>IF($V7536&lt;&gt;'設定'!$C$4,N(U7535),IF(OR(NOT(COUNTIF('商品マスタ'!$B$6:$B$1005,$W7536)=0),COUNTIFS('①在庫を貼る'!$V$6:$V$10005,$V7536,'①在庫を貼る'!$W$6:$W$10005,$W7536)+COUNTIFS('月1回_1ヶ月前の在庫'!$V$6:$V$10005,$V7536,'月1回_1ヶ月前の在庫'!$W$6:$W$10005,$W7536)&gt;0),N(U7535),N(U7535)+1))</f>
        <v/>
      </c>
      <c r="V7536" s="19">
        <f>IF($B7536="","",TEXT($B7536,"0000"))</f>
        <v/>
      </c>
      <c r="W7536" s="19">
        <f>IF($I7536="","",IF(ISNUMBER($I7536),TEXT($I7536,"0"),$I7536))</f>
        <v/>
      </c>
    </row>
    <row r="7537">
      <c r="B7537" s="25" t="n"/>
      <c r="I7537" s="25" t="n"/>
      <c r="U7537" s="19">
        <f>IF($V7537&lt;&gt;'設定'!$C$4,N(U7536),IF(OR(NOT(COUNTIF('商品マスタ'!$B$6:$B$1005,$W7537)=0),COUNTIFS('①在庫を貼る'!$V$6:$V$10005,$V7537,'①在庫を貼る'!$W$6:$W$10005,$W7537)+COUNTIFS('月1回_1ヶ月前の在庫'!$V$6:$V$10005,$V7537,'月1回_1ヶ月前の在庫'!$W$6:$W$10005,$W7537)&gt;0),N(U7536),N(U7536)+1))</f>
        <v/>
      </c>
      <c r="V7537" s="19">
        <f>IF($B7537="","",TEXT($B7537,"0000"))</f>
        <v/>
      </c>
      <c r="W7537" s="19">
        <f>IF($I7537="","",IF(ISNUMBER($I7537),TEXT($I7537,"0"),$I7537))</f>
        <v/>
      </c>
    </row>
    <row r="7538">
      <c r="B7538" s="25" t="n"/>
      <c r="I7538" s="25" t="n"/>
      <c r="U7538" s="19">
        <f>IF($V7538&lt;&gt;'設定'!$C$4,N(U7537),IF(OR(NOT(COUNTIF('商品マスタ'!$B$6:$B$1005,$W7538)=0),COUNTIFS('①在庫を貼る'!$V$6:$V$10005,$V7538,'①在庫を貼る'!$W$6:$W$10005,$W7538)+COUNTIFS('月1回_1ヶ月前の在庫'!$V$6:$V$10005,$V7538,'月1回_1ヶ月前の在庫'!$W$6:$W$10005,$W7538)&gt;0),N(U7537),N(U7537)+1))</f>
        <v/>
      </c>
      <c r="V7538" s="19">
        <f>IF($B7538="","",TEXT($B7538,"0000"))</f>
        <v/>
      </c>
      <c r="W7538" s="19">
        <f>IF($I7538="","",IF(ISNUMBER($I7538),TEXT($I7538,"0"),$I7538))</f>
        <v/>
      </c>
    </row>
    <row r="7539">
      <c r="B7539" s="25" t="n"/>
      <c r="I7539" s="25" t="n"/>
      <c r="U7539" s="19">
        <f>IF($V7539&lt;&gt;'設定'!$C$4,N(U7538),IF(OR(NOT(COUNTIF('商品マスタ'!$B$6:$B$1005,$W7539)=0),COUNTIFS('①在庫を貼る'!$V$6:$V$10005,$V7539,'①在庫を貼る'!$W$6:$W$10005,$W7539)+COUNTIFS('月1回_1ヶ月前の在庫'!$V$6:$V$10005,$V7539,'月1回_1ヶ月前の在庫'!$W$6:$W$10005,$W7539)&gt;0),N(U7538),N(U7538)+1))</f>
        <v/>
      </c>
      <c r="V7539" s="19">
        <f>IF($B7539="","",TEXT($B7539,"0000"))</f>
        <v/>
      </c>
      <c r="W7539" s="19">
        <f>IF($I7539="","",IF(ISNUMBER($I7539),TEXT($I7539,"0"),$I7539))</f>
        <v/>
      </c>
    </row>
    <row r="7540">
      <c r="B7540" s="25" t="n"/>
      <c r="I7540" s="25" t="n"/>
      <c r="U7540" s="19">
        <f>IF($V7540&lt;&gt;'設定'!$C$4,N(U7539),IF(OR(NOT(COUNTIF('商品マスタ'!$B$6:$B$1005,$W7540)=0),COUNTIFS('①在庫を貼る'!$V$6:$V$10005,$V7540,'①在庫を貼る'!$W$6:$W$10005,$W7540)+COUNTIFS('月1回_1ヶ月前の在庫'!$V$6:$V$10005,$V7540,'月1回_1ヶ月前の在庫'!$W$6:$W$10005,$W7540)&gt;0),N(U7539),N(U7539)+1))</f>
        <v/>
      </c>
      <c r="V7540" s="19">
        <f>IF($B7540="","",TEXT($B7540,"0000"))</f>
        <v/>
      </c>
      <c r="W7540" s="19">
        <f>IF($I7540="","",IF(ISNUMBER($I7540),TEXT($I7540,"0"),$I7540))</f>
        <v/>
      </c>
    </row>
    <row r="7541">
      <c r="B7541" s="25" t="n"/>
      <c r="I7541" s="25" t="n"/>
      <c r="U7541" s="19">
        <f>IF($V7541&lt;&gt;'設定'!$C$4,N(U7540),IF(OR(NOT(COUNTIF('商品マスタ'!$B$6:$B$1005,$W7541)=0),COUNTIFS('①在庫を貼る'!$V$6:$V$10005,$V7541,'①在庫を貼る'!$W$6:$W$10005,$W7541)+COUNTIFS('月1回_1ヶ月前の在庫'!$V$6:$V$10005,$V7541,'月1回_1ヶ月前の在庫'!$W$6:$W$10005,$W7541)&gt;0),N(U7540),N(U7540)+1))</f>
        <v/>
      </c>
      <c r="V7541" s="19">
        <f>IF($B7541="","",TEXT($B7541,"0000"))</f>
        <v/>
      </c>
      <c r="W7541" s="19">
        <f>IF($I7541="","",IF(ISNUMBER($I7541),TEXT($I7541,"0"),$I7541))</f>
        <v/>
      </c>
    </row>
    <row r="7542">
      <c r="B7542" s="25" t="n"/>
      <c r="I7542" s="25" t="n"/>
      <c r="U7542" s="19">
        <f>IF($V7542&lt;&gt;'設定'!$C$4,N(U7541),IF(OR(NOT(COUNTIF('商品マスタ'!$B$6:$B$1005,$W7542)=0),COUNTIFS('①在庫を貼る'!$V$6:$V$10005,$V7542,'①在庫を貼る'!$W$6:$W$10005,$W7542)+COUNTIFS('月1回_1ヶ月前の在庫'!$V$6:$V$10005,$V7542,'月1回_1ヶ月前の在庫'!$W$6:$W$10005,$W7542)&gt;0),N(U7541),N(U7541)+1))</f>
        <v/>
      </c>
      <c r="V7542" s="19">
        <f>IF($B7542="","",TEXT($B7542,"0000"))</f>
        <v/>
      </c>
      <c r="W7542" s="19">
        <f>IF($I7542="","",IF(ISNUMBER($I7542),TEXT($I7542,"0"),$I7542))</f>
        <v/>
      </c>
    </row>
    <row r="7543">
      <c r="B7543" s="25" t="n"/>
      <c r="I7543" s="25" t="n"/>
      <c r="U7543" s="19">
        <f>IF($V7543&lt;&gt;'設定'!$C$4,N(U7542),IF(OR(NOT(COUNTIF('商品マスタ'!$B$6:$B$1005,$W7543)=0),COUNTIFS('①在庫を貼る'!$V$6:$V$10005,$V7543,'①在庫を貼る'!$W$6:$W$10005,$W7543)+COUNTIFS('月1回_1ヶ月前の在庫'!$V$6:$V$10005,$V7543,'月1回_1ヶ月前の在庫'!$W$6:$W$10005,$W7543)&gt;0),N(U7542),N(U7542)+1))</f>
        <v/>
      </c>
      <c r="V7543" s="19">
        <f>IF($B7543="","",TEXT($B7543,"0000"))</f>
        <v/>
      </c>
      <c r="W7543" s="19">
        <f>IF($I7543="","",IF(ISNUMBER($I7543),TEXT($I7543,"0"),$I7543))</f>
        <v/>
      </c>
    </row>
    <row r="7544">
      <c r="B7544" s="25" t="n"/>
      <c r="I7544" s="25" t="n"/>
      <c r="U7544" s="19">
        <f>IF($V7544&lt;&gt;'設定'!$C$4,N(U7543),IF(OR(NOT(COUNTIF('商品マスタ'!$B$6:$B$1005,$W7544)=0),COUNTIFS('①在庫を貼る'!$V$6:$V$10005,$V7544,'①在庫を貼る'!$W$6:$W$10005,$W7544)+COUNTIFS('月1回_1ヶ月前の在庫'!$V$6:$V$10005,$V7544,'月1回_1ヶ月前の在庫'!$W$6:$W$10005,$W7544)&gt;0),N(U7543),N(U7543)+1))</f>
        <v/>
      </c>
      <c r="V7544" s="19">
        <f>IF($B7544="","",TEXT($B7544,"0000"))</f>
        <v/>
      </c>
      <c r="W7544" s="19">
        <f>IF($I7544="","",IF(ISNUMBER($I7544),TEXT($I7544,"0"),$I7544))</f>
        <v/>
      </c>
    </row>
    <row r="7545">
      <c r="B7545" s="25" t="n"/>
      <c r="I7545" s="25" t="n"/>
      <c r="U7545" s="19">
        <f>IF($V7545&lt;&gt;'設定'!$C$4,N(U7544),IF(OR(NOT(COUNTIF('商品マスタ'!$B$6:$B$1005,$W7545)=0),COUNTIFS('①在庫を貼る'!$V$6:$V$10005,$V7545,'①在庫を貼る'!$W$6:$W$10005,$W7545)+COUNTIFS('月1回_1ヶ月前の在庫'!$V$6:$V$10005,$V7545,'月1回_1ヶ月前の在庫'!$W$6:$W$10005,$W7545)&gt;0),N(U7544),N(U7544)+1))</f>
        <v/>
      </c>
      <c r="V7545" s="19">
        <f>IF($B7545="","",TEXT($B7545,"0000"))</f>
        <v/>
      </c>
      <c r="W7545" s="19">
        <f>IF($I7545="","",IF(ISNUMBER($I7545),TEXT($I7545,"0"),$I7545))</f>
        <v/>
      </c>
    </row>
    <row r="7546">
      <c r="B7546" s="25" t="n"/>
      <c r="I7546" s="25" t="n"/>
      <c r="U7546" s="19">
        <f>IF($V7546&lt;&gt;'設定'!$C$4,N(U7545),IF(OR(NOT(COUNTIF('商品マスタ'!$B$6:$B$1005,$W7546)=0),COUNTIFS('①在庫を貼る'!$V$6:$V$10005,$V7546,'①在庫を貼る'!$W$6:$W$10005,$W7546)+COUNTIFS('月1回_1ヶ月前の在庫'!$V$6:$V$10005,$V7546,'月1回_1ヶ月前の在庫'!$W$6:$W$10005,$W7546)&gt;0),N(U7545),N(U7545)+1))</f>
        <v/>
      </c>
      <c r="V7546" s="19">
        <f>IF($B7546="","",TEXT($B7546,"0000"))</f>
        <v/>
      </c>
      <c r="W7546" s="19">
        <f>IF($I7546="","",IF(ISNUMBER($I7546),TEXT($I7546,"0"),$I7546))</f>
        <v/>
      </c>
    </row>
    <row r="7547">
      <c r="B7547" s="25" t="n"/>
      <c r="I7547" s="25" t="n"/>
      <c r="U7547" s="19">
        <f>IF($V7547&lt;&gt;'設定'!$C$4,N(U7546),IF(OR(NOT(COUNTIF('商品マスタ'!$B$6:$B$1005,$W7547)=0),COUNTIFS('①在庫を貼る'!$V$6:$V$10005,$V7547,'①在庫を貼る'!$W$6:$W$10005,$W7547)+COUNTIFS('月1回_1ヶ月前の在庫'!$V$6:$V$10005,$V7547,'月1回_1ヶ月前の在庫'!$W$6:$W$10005,$W7547)&gt;0),N(U7546),N(U7546)+1))</f>
        <v/>
      </c>
      <c r="V7547" s="19">
        <f>IF($B7547="","",TEXT($B7547,"0000"))</f>
        <v/>
      </c>
      <c r="W7547" s="19">
        <f>IF($I7547="","",IF(ISNUMBER($I7547),TEXT($I7547,"0"),$I7547))</f>
        <v/>
      </c>
    </row>
    <row r="7548">
      <c r="B7548" s="25" t="n"/>
      <c r="I7548" s="25" t="n"/>
      <c r="U7548" s="19">
        <f>IF($V7548&lt;&gt;'設定'!$C$4,N(U7547),IF(OR(NOT(COUNTIF('商品マスタ'!$B$6:$B$1005,$W7548)=0),COUNTIFS('①在庫を貼る'!$V$6:$V$10005,$V7548,'①在庫を貼る'!$W$6:$W$10005,$W7548)+COUNTIFS('月1回_1ヶ月前の在庫'!$V$6:$V$10005,$V7548,'月1回_1ヶ月前の在庫'!$W$6:$W$10005,$W7548)&gt;0),N(U7547),N(U7547)+1))</f>
        <v/>
      </c>
      <c r="V7548" s="19">
        <f>IF($B7548="","",TEXT($B7548,"0000"))</f>
        <v/>
      </c>
      <c r="W7548" s="19">
        <f>IF($I7548="","",IF(ISNUMBER($I7548),TEXT($I7548,"0"),$I7548))</f>
        <v/>
      </c>
    </row>
    <row r="7549">
      <c r="B7549" s="25" t="n"/>
      <c r="I7549" s="25" t="n"/>
      <c r="U7549" s="19">
        <f>IF($V7549&lt;&gt;'設定'!$C$4,N(U7548),IF(OR(NOT(COUNTIF('商品マスタ'!$B$6:$B$1005,$W7549)=0),COUNTIFS('①在庫を貼る'!$V$6:$V$10005,$V7549,'①在庫を貼る'!$W$6:$W$10005,$W7549)+COUNTIFS('月1回_1ヶ月前の在庫'!$V$6:$V$10005,$V7549,'月1回_1ヶ月前の在庫'!$W$6:$W$10005,$W7549)&gt;0),N(U7548),N(U7548)+1))</f>
        <v/>
      </c>
      <c r="V7549" s="19">
        <f>IF($B7549="","",TEXT($B7549,"0000"))</f>
        <v/>
      </c>
      <c r="W7549" s="19">
        <f>IF($I7549="","",IF(ISNUMBER($I7549),TEXT($I7549,"0"),$I7549))</f>
        <v/>
      </c>
    </row>
    <row r="7550">
      <c r="B7550" s="25" t="n"/>
      <c r="I7550" s="25" t="n"/>
      <c r="U7550" s="19">
        <f>IF($V7550&lt;&gt;'設定'!$C$4,N(U7549),IF(OR(NOT(COUNTIF('商品マスタ'!$B$6:$B$1005,$W7550)=0),COUNTIFS('①在庫を貼る'!$V$6:$V$10005,$V7550,'①在庫を貼る'!$W$6:$W$10005,$W7550)+COUNTIFS('月1回_1ヶ月前の在庫'!$V$6:$V$10005,$V7550,'月1回_1ヶ月前の在庫'!$W$6:$W$10005,$W7550)&gt;0),N(U7549),N(U7549)+1))</f>
        <v/>
      </c>
      <c r="V7550" s="19">
        <f>IF($B7550="","",TEXT($B7550,"0000"))</f>
        <v/>
      </c>
      <c r="W7550" s="19">
        <f>IF($I7550="","",IF(ISNUMBER($I7550),TEXT($I7550,"0"),$I7550))</f>
        <v/>
      </c>
    </row>
    <row r="7551">
      <c r="B7551" s="25" t="n"/>
      <c r="I7551" s="25" t="n"/>
      <c r="U7551" s="19">
        <f>IF($V7551&lt;&gt;'設定'!$C$4,N(U7550),IF(OR(NOT(COUNTIF('商品マスタ'!$B$6:$B$1005,$W7551)=0),COUNTIFS('①在庫を貼る'!$V$6:$V$10005,$V7551,'①在庫を貼る'!$W$6:$W$10005,$W7551)+COUNTIFS('月1回_1ヶ月前の在庫'!$V$6:$V$10005,$V7551,'月1回_1ヶ月前の在庫'!$W$6:$W$10005,$W7551)&gt;0),N(U7550),N(U7550)+1))</f>
        <v/>
      </c>
      <c r="V7551" s="19">
        <f>IF($B7551="","",TEXT($B7551,"0000"))</f>
        <v/>
      </c>
      <c r="W7551" s="19">
        <f>IF($I7551="","",IF(ISNUMBER($I7551),TEXT($I7551,"0"),$I7551))</f>
        <v/>
      </c>
    </row>
    <row r="7552">
      <c r="B7552" s="25" t="n"/>
      <c r="I7552" s="25" t="n"/>
      <c r="U7552" s="19">
        <f>IF($V7552&lt;&gt;'設定'!$C$4,N(U7551),IF(OR(NOT(COUNTIF('商品マスタ'!$B$6:$B$1005,$W7552)=0),COUNTIFS('①在庫を貼る'!$V$6:$V$10005,$V7552,'①在庫を貼る'!$W$6:$W$10005,$W7552)+COUNTIFS('月1回_1ヶ月前の在庫'!$V$6:$V$10005,$V7552,'月1回_1ヶ月前の在庫'!$W$6:$W$10005,$W7552)&gt;0),N(U7551),N(U7551)+1))</f>
        <v/>
      </c>
      <c r="V7552" s="19">
        <f>IF($B7552="","",TEXT($B7552,"0000"))</f>
        <v/>
      </c>
      <c r="W7552" s="19">
        <f>IF($I7552="","",IF(ISNUMBER($I7552),TEXT($I7552,"0"),$I7552))</f>
        <v/>
      </c>
    </row>
    <row r="7553">
      <c r="B7553" s="25" t="n"/>
      <c r="I7553" s="25" t="n"/>
      <c r="U7553" s="19">
        <f>IF($V7553&lt;&gt;'設定'!$C$4,N(U7552),IF(OR(NOT(COUNTIF('商品マスタ'!$B$6:$B$1005,$W7553)=0),COUNTIFS('①在庫を貼る'!$V$6:$V$10005,$V7553,'①在庫を貼る'!$W$6:$W$10005,$W7553)+COUNTIFS('月1回_1ヶ月前の在庫'!$V$6:$V$10005,$V7553,'月1回_1ヶ月前の在庫'!$W$6:$W$10005,$W7553)&gt;0),N(U7552),N(U7552)+1))</f>
        <v/>
      </c>
      <c r="V7553" s="19">
        <f>IF($B7553="","",TEXT($B7553,"0000"))</f>
        <v/>
      </c>
      <c r="W7553" s="19">
        <f>IF($I7553="","",IF(ISNUMBER($I7553),TEXT($I7553,"0"),$I7553))</f>
        <v/>
      </c>
    </row>
    <row r="7554">
      <c r="B7554" s="25" t="n"/>
      <c r="I7554" s="25" t="n"/>
      <c r="U7554" s="19">
        <f>IF($V7554&lt;&gt;'設定'!$C$4,N(U7553),IF(OR(NOT(COUNTIF('商品マスタ'!$B$6:$B$1005,$W7554)=0),COUNTIFS('①在庫を貼る'!$V$6:$V$10005,$V7554,'①在庫を貼る'!$W$6:$W$10005,$W7554)+COUNTIFS('月1回_1ヶ月前の在庫'!$V$6:$V$10005,$V7554,'月1回_1ヶ月前の在庫'!$W$6:$W$10005,$W7554)&gt;0),N(U7553),N(U7553)+1))</f>
        <v/>
      </c>
      <c r="V7554" s="19">
        <f>IF($B7554="","",TEXT($B7554,"0000"))</f>
        <v/>
      </c>
      <c r="W7554" s="19">
        <f>IF($I7554="","",IF(ISNUMBER($I7554),TEXT($I7554,"0"),$I7554))</f>
        <v/>
      </c>
    </row>
    <row r="7555">
      <c r="B7555" s="25" t="n"/>
      <c r="I7555" s="25" t="n"/>
      <c r="U7555" s="19">
        <f>IF($V7555&lt;&gt;'設定'!$C$4,N(U7554),IF(OR(NOT(COUNTIF('商品マスタ'!$B$6:$B$1005,$W7555)=0),COUNTIFS('①在庫を貼る'!$V$6:$V$10005,$V7555,'①在庫を貼る'!$W$6:$W$10005,$W7555)+COUNTIFS('月1回_1ヶ月前の在庫'!$V$6:$V$10005,$V7555,'月1回_1ヶ月前の在庫'!$W$6:$W$10005,$W7555)&gt;0),N(U7554),N(U7554)+1))</f>
        <v/>
      </c>
      <c r="V7555" s="19">
        <f>IF($B7555="","",TEXT($B7555,"0000"))</f>
        <v/>
      </c>
      <c r="W7555" s="19">
        <f>IF($I7555="","",IF(ISNUMBER($I7555),TEXT($I7555,"0"),$I7555))</f>
        <v/>
      </c>
    </row>
    <row r="7556">
      <c r="B7556" s="25" t="n"/>
      <c r="I7556" s="25" t="n"/>
      <c r="U7556" s="19">
        <f>IF($V7556&lt;&gt;'設定'!$C$4,N(U7555),IF(OR(NOT(COUNTIF('商品マスタ'!$B$6:$B$1005,$W7556)=0),COUNTIFS('①在庫を貼る'!$V$6:$V$10005,$V7556,'①在庫を貼る'!$W$6:$W$10005,$W7556)+COUNTIFS('月1回_1ヶ月前の在庫'!$V$6:$V$10005,$V7556,'月1回_1ヶ月前の在庫'!$W$6:$W$10005,$W7556)&gt;0),N(U7555),N(U7555)+1))</f>
        <v/>
      </c>
      <c r="V7556" s="19">
        <f>IF($B7556="","",TEXT($B7556,"0000"))</f>
        <v/>
      </c>
      <c r="W7556" s="19">
        <f>IF($I7556="","",IF(ISNUMBER($I7556),TEXT($I7556,"0"),$I7556))</f>
        <v/>
      </c>
    </row>
    <row r="7557">
      <c r="B7557" s="25" t="n"/>
      <c r="I7557" s="25" t="n"/>
      <c r="U7557" s="19">
        <f>IF($V7557&lt;&gt;'設定'!$C$4,N(U7556),IF(OR(NOT(COUNTIF('商品マスタ'!$B$6:$B$1005,$W7557)=0),COUNTIFS('①在庫を貼る'!$V$6:$V$10005,$V7557,'①在庫を貼る'!$W$6:$W$10005,$W7557)+COUNTIFS('月1回_1ヶ月前の在庫'!$V$6:$V$10005,$V7557,'月1回_1ヶ月前の在庫'!$W$6:$W$10005,$W7557)&gt;0),N(U7556),N(U7556)+1))</f>
        <v/>
      </c>
      <c r="V7557" s="19">
        <f>IF($B7557="","",TEXT($B7557,"0000"))</f>
        <v/>
      </c>
      <c r="W7557" s="19">
        <f>IF($I7557="","",IF(ISNUMBER($I7557),TEXT($I7557,"0"),$I7557))</f>
        <v/>
      </c>
    </row>
    <row r="7558">
      <c r="B7558" s="25" t="n"/>
      <c r="I7558" s="25" t="n"/>
      <c r="U7558" s="19">
        <f>IF($V7558&lt;&gt;'設定'!$C$4,N(U7557),IF(OR(NOT(COUNTIF('商品マスタ'!$B$6:$B$1005,$W7558)=0),COUNTIFS('①在庫を貼る'!$V$6:$V$10005,$V7558,'①在庫を貼る'!$W$6:$W$10005,$W7558)+COUNTIFS('月1回_1ヶ月前の在庫'!$V$6:$V$10005,$V7558,'月1回_1ヶ月前の在庫'!$W$6:$W$10005,$W7558)&gt;0),N(U7557),N(U7557)+1))</f>
        <v/>
      </c>
      <c r="V7558" s="19">
        <f>IF($B7558="","",TEXT($B7558,"0000"))</f>
        <v/>
      </c>
      <c r="W7558" s="19">
        <f>IF($I7558="","",IF(ISNUMBER($I7558),TEXT($I7558,"0"),$I7558))</f>
        <v/>
      </c>
    </row>
    <row r="7559">
      <c r="B7559" s="25" t="n"/>
      <c r="I7559" s="25" t="n"/>
      <c r="U7559" s="19">
        <f>IF($V7559&lt;&gt;'設定'!$C$4,N(U7558),IF(OR(NOT(COUNTIF('商品マスタ'!$B$6:$B$1005,$W7559)=0),COUNTIFS('①在庫を貼る'!$V$6:$V$10005,$V7559,'①在庫を貼る'!$W$6:$W$10005,$W7559)+COUNTIFS('月1回_1ヶ月前の在庫'!$V$6:$V$10005,$V7559,'月1回_1ヶ月前の在庫'!$W$6:$W$10005,$W7559)&gt;0),N(U7558),N(U7558)+1))</f>
        <v/>
      </c>
      <c r="V7559" s="19">
        <f>IF($B7559="","",TEXT($B7559,"0000"))</f>
        <v/>
      </c>
      <c r="W7559" s="19">
        <f>IF($I7559="","",IF(ISNUMBER($I7559),TEXT($I7559,"0"),$I7559))</f>
        <v/>
      </c>
    </row>
    <row r="7560">
      <c r="B7560" s="25" t="n"/>
      <c r="I7560" s="25" t="n"/>
      <c r="U7560" s="19">
        <f>IF($V7560&lt;&gt;'設定'!$C$4,N(U7559),IF(OR(NOT(COUNTIF('商品マスタ'!$B$6:$B$1005,$W7560)=0),COUNTIFS('①在庫を貼る'!$V$6:$V$10005,$V7560,'①在庫を貼る'!$W$6:$W$10005,$W7560)+COUNTIFS('月1回_1ヶ月前の在庫'!$V$6:$V$10005,$V7560,'月1回_1ヶ月前の在庫'!$W$6:$W$10005,$W7560)&gt;0),N(U7559),N(U7559)+1))</f>
        <v/>
      </c>
      <c r="V7560" s="19">
        <f>IF($B7560="","",TEXT($B7560,"0000"))</f>
        <v/>
      </c>
      <c r="W7560" s="19">
        <f>IF($I7560="","",IF(ISNUMBER($I7560),TEXT($I7560,"0"),$I7560))</f>
        <v/>
      </c>
    </row>
    <row r="7561">
      <c r="B7561" s="25" t="n"/>
      <c r="I7561" s="25" t="n"/>
      <c r="U7561" s="19">
        <f>IF($V7561&lt;&gt;'設定'!$C$4,N(U7560),IF(OR(NOT(COUNTIF('商品マスタ'!$B$6:$B$1005,$W7561)=0),COUNTIFS('①在庫を貼る'!$V$6:$V$10005,$V7561,'①在庫を貼る'!$W$6:$W$10005,$W7561)+COUNTIFS('月1回_1ヶ月前の在庫'!$V$6:$V$10005,$V7561,'月1回_1ヶ月前の在庫'!$W$6:$W$10005,$W7561)&gt;0),N(U7560),N(U7560)+1))</f>
        <v/>
      </c>
      <c r="V7561" s="19">
        <f>IF($B7561="","",TEXT($B7561,"0000"))</f>
        <v/>
      </c>
      <c r="W7561" s="19">
        <f>IF($I7561="","",IF(ISNUMBER($I7561),TEXT($I7561,"0"),$I7561))</f>
        <v/>
      </c>
    </row>
    <row r="7562">
      <c r="B7562" s="25" t="n"/>
      <c r="I7562" s="25" t="n"/>
      <c r="U7562" s="19">
        <f>IF($V7562&lt;&gt;'設定'!$C$4,N(U7561),IF(OR(NOT(COUNTIF('商品マスタ'!$B$6:$B$1005,$W7562)=0),COUNTIFS('①在庫を貼る'!$V$6:$V$10005,$V7562,'①在庫を貼る'!$W$6:$W$10005,$W7562)+COUNTIFS('月1回_1ヶ月前の在庫'!$V$6:$V$10005,$V7562,'月1回_1ヶ月前の在庫'!$W$6:$W$10005,$W7562)&gt;0),N(U7561),N(U7561)+1))</f>
        <v/>
      </c>
      <c r="V7562" s="19">
        <f>IF($B7562="","",TEXT($B7562,"0000"))</f>
        <v/>
      </c>
      <c r="W7562" s="19">
        <f>IF($I7562="","",IF(ISNUMBER($I7562),TEXT($I7562,"0"),$I7562))</f>
        <v/>
      </c>
    </row>
    <row r="7563">
      <c r="B7563" s="25" t="n"/>
      <c r="I7563" s="25" t="n"/>
      <c r="U7563" s="19">
        <f>IF($V7563&lt;&gt;'設定'!$C$4,N(U7562),IF(OR(NOT(COUNTIF('商品マスタ'!$B$6:$B$1005,$W7563)=0),COUNTIFS('①在庫を貼る'!$V$6:$V$10005,$V7563,'①在庫を貼る'!$W$6:$W$10005,$W7563)+COUNTIFS('月1回_1ヶ月前の在庫'!$V$6:$V$10005,$V7563,'月1回_1ヶ月前の在庫'!$W$6:$W$10005,$W7563)&gt;0),N(U7562),N(U7562)+1))</f>
        <v/>
      </c>
      <c r="V7563" s="19">
        <f>IF($B7563="","",TEXT($B7563,"0000"))</f>
        <v/>
      </c>
      <c r="W7563" s="19">
        <f>IF($I7563="","",IF(ISNUMBER($I7563),TEXT($I7563,"0"),$I7563))</f>
        <v/>
      </c>
    </row>
    <row r="7564">
      <c r="B7564" s="25" t="n"/>
      <c r="I7564" s="25" t="n"/>
      <c r="U7564" s="19">
        <f>IF($V7564&lt;&gt;'設定'!$C$4,N(U7563),IF(OR(NOT(COUNTIF('商品マスタ'!$B$6:$B$1005,$W7564)=0),COUNTIFS('①在庫を貼る'!$V$6:$V$10005,$V7564,'①在庫を貼る'!$W$6:$W$10005,$W7564)+COUNTIFS('月1回_1ヶ月前の在庫'!$V$6:$V$10005,$V7564,'月1回_1ヶ月前の在庫'!$W$6:$W$10005,$W7564)&gt;0),N(U7563),N(U7563)+1))</f>
        <v/>
      </c>
      <c r="V7564" s="19">
        <f>IF($B7564="","",TEXT($B7564,"0000"))</f>
        <v/>
      </c>
      <c r="W7564" s="19">
        <f>IF($I7564="","",IF(ISNUMBER($I7564),TEXT($I7564,"0"),$I7564))</f>
        <v/>
      </c>
    </row>
    <row r="7565">
      <c r="B7565" s="25" t="n"/>
      <c r="I7565" s="25" t="n"/>
      <c r="U7565" s="19">
        <f>IF($V7565&lt;&gt;'設定'!$C$4,N(U7564),IF(OR(NOT(COUNTIF('商品マスタ'!$B$6:$B$1005,$W7565)=0),COUNTIFS('①在庫を貼る'!$V$6:$V$10005,$V7565,'①在庫を貼る'!$W$6:$W$10005,$W7565)+COUNTIFS('月1回_1ヶ月前の在庫'!$V$6:$V$10005,$V7565,'月1回_1ヶ月前の在庫'!$W$6:$W$10005,$W7565)&gt;0),N(U7564),N(U7564)+1))</f>
        <v/>
      </c>
      <c r="V7565" s="19">
        <f>IF($B7565="","",TEXT($B7565,"0000"))</f>
        <v/>
      </c>
      <c r="W7565" s="19">
        <f>IF($I7565="","",IF(ISNUMBER($I7565),TEXT($I7565,"0"),$I7565))</f>
        <v/>
      </c>
    </row>
    <row r="7566">
      <c r="B7566" s="25" t="n"/>
      <c r="I7566" s="25" t="n"/>
      <c r="U7566" s="19">
        <f>IF($V7566&lt;&gt;'設定'!$C$4,N(U7565),IF(OR(NOT(COUNTIF('商品マスタ'!$B$6:$B$1005,$W7566)=0),COUNTIFS('①在庫を貼る'!$V$6:$V$10005,$V7566,'①在庫を貼る'!$W$6:$W$10005,$W7566)+COUNTIFS('月1回_1ヶ月前の在庫'!$V$6:$V$10005,$V7566,'月1回_1ヶ月前の在庫'!$W$6:$W$10005,$W7566)&gt;0),N(U7565),N(U7565)+1))</f>
        <v/>
      </c>
      <c r="V7566" s="19">
        <f>IF($B7566="","",TEXT($B7566,"0000"))</f>
        <v/>
      </c>
      <c r="W7566" s="19">
        <f>IF($I7566="","",IF(ISNUMBER($I7566),TEXT($I7566,"0"),$I7566))</f>
        <v/>
      </c>
    </row>
    <row r="7567">
      <c r="B7567" s="25" t="n"/>
      <c r="I7567" s="25" t="n"/>
      <c r="U7567" s="19">
        <f>IF($V7567&lt;&gt;'設定'!$C$4,N(U7566),IF(OR(NOT(COUNTIF('商品マスタ'!$B$6:$B$1005,$W7567)=0),COUNTIFS('①在庫を貼る'!$V$6:$V$10005,$V7567,'①在庫を貼る'!$W$6:$W$10005,$W7567)+COUNTIFS('月1回_1ヶ月前の在庫'!$V$6:$V$10005,$V7567,'月1回_1ヶ月前の在庫'!$W$6:$W$10005,$W7567)&gt;0),N(U7566),N(U7566)+1))</f>
        <v/>
      </c>
      <c r="V7567" s="19">
        <f>IF($B7567="","",TEXT($B7567,"0000"))</f>
        <v/>
      </c>
      <c r="W7567" s="19">
        <f>IF($I7567="","",IF(ISNUMBER($I7567),TEXT($I7567,"0"),$I7567))</f>
        <v/>
      </c>
    </row>
    <row r="7568">
      <c r="B7568" s="25" t="n"/>
      <c r="I7568" s="25" t="n"/>
      <c r="U7568" s="19">
        <f>IF($V7568&lt;&gt;'設定'!$C$4,N(U7567),IF(OR(NOT(COUNTIF('商品マスタ'!$B$6:$B$1005,$W7568)=0),COUNTIFS('①在庫を貼る'!$V$6:$V$10005,$V7568,'①在庫を貼る'!$W$6:$W$10005,$W7568)+COUNTIFS('月1回_1ヶ月前の在庫'!$V$6:$V$10005,$V7568,'月1回_1ヶ月前の在庫'!$W$6:$W$10005,$W7568)&gt;0),N(U7567),N(U7567)+1))</f>
        <v/>
      </c>
      <c r="V7568" s="19">
        <f>IF($B7568="","",TEXT($B7568,"0000"))</f>
        <v/>
      </c>
      <c r="W7568" s="19">
        <f>IF($I7568="","",IF(ISNUMBER($I7568),TEXT($I7568,"0"),$I7568))</f>
        <v/>
      </c>
    </row>
    <row r="7569">
      <c r="B7569" s="25" t="n"/>
      <c r="I7569" s="25" t="n"/>
      <c r="U7569" s="19">
        <f>IF($V7569&lt;&gt;'設定'!$C$4,N(U7568),IF(OR(NOT(COUNTIF('商品マスタ'!$B$6:$B$1005,$W7569)=0),COUNTIFS('①在庫を貼る'!$V$6:$V$10005,$V7569,'①在庫を貼る'!$W$6:$W$10005,$W7569)+COUNTIFS('月1回_1ヶ月前の在庫'!$V$6:$V$10005,$V7569,'月1回_1ヶ月前の在庫'!$W$6:$W$10005,$W7569)&gt;0),N(U7568),N(U7568)+1))</f>
        <v/>
      </c>
      <c r="V7569" s="19">
        <f>IF($B7569="","",TEXT($B7569,"0000"))</f>
        <v/>
      </c>
      <c r="W7569" s="19">
        <f>IF($I7569="","",IF(ISNUMBER($I7569),TEXT($I7569,"0"),$I7569))</f>
        <v/>
      </c>
    </row>
    <row r="7570">
      <c r="B7570" s="25" t="n"/>
      <c r="I7570" s="25" t="n"/>
      <c r="U7570" s="19">
        <f>IF($V7570&lt;&gt;'設定'!$C$4,N(U7569),IF(OR(NOT(COUNTIF('商品マスタ'!$B$6:$B$1005,$W7570)=0),COUNTIFS('①在庫を貼る'!$V$6:$V$10005,$V7570,'①在庫を貼る'!$W$6:$W$10005,$W7570)+COUNTIFS('月1回_1ヶ月前の在庫'!$V$6:$V$10005,$V7570,'月1回_1ヶ月前の在庫'!$W$6:$W$10005,$W7570)&gt;0),N(U7569),N(U7569)+1))</f>
        <v/>
      </c>
      <c r="V7570" s="19">
        <f>IF($B7570="","",TEXT($B7570,"0000"))</f>
        <v/>
      </c>
      <c r="W7570" s="19">
        <f>IF($I7570="","",IF(ISNUMBER($I7570),TEXT($I7570,"0"),$I7570))</f>
        <v/>
      </c>
    </row>
    <row r="7571">
      <c r="B7571" s="25" t="n"/>
      <c r="I7571" s="25" t="n"/>
      <c r="U7571" s="19">
        <f>IF($V7571&lt;&gt;'設定'!$C$4,N(U7570),IF(OR(NOT(COUNTIF('商品マスタ'!$B$6:$B$1005,$W7571)=0),COUNTIFS('①在庫を貼る'!$V$6:$V$10005,$V7571,'①在庫を貼る'!$W$6:$W$10005,$W7571)+COUNTIFS('月1回_1ヶ月前の在庫'!$V$6:$V$10005,$V7571,'月1回_1ヶ月前の在庫'!$W$6:$W$10005,$W7571)&gt;0),N(U7570),N(U7570)+1))</f>
        <v/>
      </c>
      <c r="V7571" s="19">
        <f>IF($B7571="","",TEXT($B7571,"0000"))</f>
        <v/>
      </c>
      <c r="W7571" s="19">
        <f>IF($I7571="","",IF(ISNUMBER($I7571),TEXT($I7571,"0"),$I7571))</f>
        <v/>
      </c>
    </row>
    <row r="7572">
      <c r="B7572" s="25" t="n"/>
      <c r="I7572" s="25" t="n"/>
      <c r="U7572" s="19">
        <f>IF($V7572&lt;&gt;'設定'!$C$4,N(U7571),IF(OR(NOT(COUNTIF('商品マスタ'!$B$6:$B$1005,$W7572)=0),COUNTIFS('①在庫を貼る'!$V$6:$V$10005,$V7572,'①在庫を貼る'!$W$6:$W$10005,$W7572)+COUNTIFS('月1回_1ヶ月前の在庫'!$V$6:$V$10005,$V7572,'月1回_1ヶ月前の在庫'!$W$6:$W$10005,$W7572)&gt;0),N(U7571),N(U7571)+1))</f>
        <v/>
      </c>
      <c r="V7572" s="19">
        <f>IF($B7572="","",TEXT($B7572,"0000"))</f>
        <v/>
      </c>
      <c r="W7572" s="19">
        <f>IF($I7572="","",IF(ISNUMBER($I7572),TEXT($I7572,"0"),$I7572))</f>
        <v/>
      </c>
    </row>
    <row r="7573">
      <c r="B7573" s="25" t="n"/>
      <c r="I7573" s="25" t="n"/>
      <c r="U7573" s="19">
        <f>IF($V7573&lt;&gt;'設定'!$C$4,N(U7572),IF(OR(NOT(COUNTIF('商品マスタ'!$B$6:$B$1005,$W7573)=0),COUNTIFS('①在庫を貼る'!$V$6:$V$10005,$V7573,'①在庫を貼る'!$W$6:$W$10005,$W7573)+COUNTIFS('月1回_1ヶ月前の在庫'!$V$6:$V$10005,$V7573,'月1回_1ヶ月前の在庫'!$W$6:$W$10005,$W7573)&gt;0),N(U7572),N(U7572)+1))</f>
        <v/>
      </c>
      <c r="V7573" s="19">
        <f>IF($B7573="","",TEXT($B7573,"0000"))</f>
        <v/>
      </c>
      <c r="W7573" s="19">
        <f>IF($I7573="","",IF(ISNUMBER($I7573),TEXT($I7573,"0"),$I7573))</f>
        <v/>
      </c>
    </row>
    <row r="7574">
      <c r="B7574" s="25" t="n"/>
      <c r="I7574" s="25" t="n"/>
      <c r="U7574" s="19">
        <f>IF($V7574&lt;&gt;'設定'!$C$4,N(U7573),IF(OR(NOT(COUNTIF('商品マスタ'!$B$6:$B$1005,$W7574)=0),COUNTIFS('①在庫を貼る'!$V$6:$V$10005,$V7574,'①在庫を貼る'!$W$6:$W$10005,$W7574)+COUNTIFS('月1回_1ヶ月前の在庫'!$V$6:$V$10005,$V7574,'月1回_1ヶ月前の在庫'!$W$6:$W$10005,$W7574)&gt;0),N(U7573),N(U7573)+1))</f>
        <v/>
      </c>
      <c r="V7574" s="19">
        <f>IF($B7574="","",TEXT($B7574,"0000"))</f>
        <v/>
      </c>
      <c r="W7574" s="19">
        <f>IF($I7574="","",IF(ISNUMBER($I7574),TEXT($I7574,"0"),$I7574))</f>
        <v/>
      </c>
    </row>
    <row r="7575">
      <c r="B7575" s="25" t="n"/>
      <c r="I7575" s="25" t="n"/>
      <c r="U7575" s="19">
        <f>IF($V7575&lt;&gt;'設定'!$C$4,N(U7574),IF(OR(NOT(COUNTIF('商品マスタ'!$B$6:$B$1005,$W7575)=0),COUNTIFS('①在庫を貼る'!$V$6:$V$10005,$V7575,'①在庫を貼る'!$W$6:$W$10005,$W7575)+COUNTIFS('月1回_1ヶ月前の在庫'!$V$6:$V$10005,$V7575,'月1回_1ヶ月前の在庫'!$W$6:$W$10005,$W7575)&gt;0),N(U7574),N(U7574)+1))</f>
        <v/>
      </c>
      <c r="V7575" s="19">
        <f>IF($B7575="","",TEXT($B7575,"0000"))</f>
        <v/>
      </c>
      <c r="W7575" s="19">
        <f>IF($I7575="","",IF(ISNUMBER($I7575),TEXT($I7575,"0"),$I7575))</f>
        <v/>
      </c>
    </row>
    <row r="7576">
      <c r="B7576" s="25" t="n"/>
      <c r="I7576" s="25" t="n"/>
      <c r="U7576" s="19">
        <f>IF($V7576&lt;&gt;'設定'!$C$4,N(U7575),IF(OR(NOT(COUNTIF('商品マスタ'!$B$6:$B$1005,$W7576)=0),COUNTIFS('①在庫を貼る'!$V$6:$V$10005,$V7576,'①在庫を貼る'!$W$6:$W$10005,$W7576)+COUNTIFS('月1回_1ヶ月前の在庫'!$V$6:$V$10005,$V7576,'月1回_1ヶ月前の在庫'!$W$6:$W$10005,$W7576)&gt;0),N(U7575),N(U7575)+1))</f>
        <v/>
      </c>
      <c r="V7576" s="19">
        <f>IF($B7576="","",TEXT($B7576,"0000"))</f>
        <v/>
      </c>
      <c r="W7576" s="19">
        <f>IF($I7576="","",IF(ISNUMBER($I7576),TEXT($I7576,"0"),$I7576))</f>
        <v/>
      </c>
    </row>
    <row r="7577">
      <c r="B7577" s="25" t="n"/>
      <c r="I7577" s="25" t="n"/>
      <c r="U7577" s="19">
        <f>IF($V7577&lt;&gt;'設定'!$C$4,N(U7576),IF(OR(NOT(COUNTIF('商品マスタ'!$B$6:$B$1005,$W7577)=0),COUNTIFS('①在庫を貼る'!$V$6:$V$10005,$V7577,'①在庫を貼る'!$W$6:$W$10005,$W7577)+COUNTIFS('月1回_1ヶ月前の在庫'!$V$6:$V$10005,$V7577,'月1回_1ヶ月前の在庫'!$W$6:$W$10005,$W7577)&gt;0),N(U7576),N(U7576)+1))</f>
        <v/>
      </c>
      <c r="V7577" s="19">
        <f>IF($B7577="","",TEXT($B7577,"0000"))</f>
        <v/>
      </c>
      <c r="W7577" s="19">
        <f>IF($I7577="","",IF(ISNUMBER($I7577),TEXT($I7577,"0"),$I7577))</f>
        <v/>
      </c>
    </row>
    <row r="7578">
      <c r="B7578" s="25" t="n"/>
      <c r="I7578" s="25" t="n"/>
      <c r="U7578" s="19">
        <f>IF($V7578&lt;&gt;'設定'!$C$4,N(U7577),IF(OR(NOT(COUNTIF('商品マスタ'!$B$6:$B$1005,$W7578)=0),COUNTIFS('①在庫を貼る'!$V$6:$V$10005,$V7578,'①在庫を貼る'!$W$6:$W$10005,$W7578)+COUNTIFS('月1回_1ヶ月前の在庫'!$V$6:$V$10005,$V7578,'月1回_1ヶ月前の在庫'!$W$6:$W$10005,$W7578)&gt;0),N(U7577),N(U7577)+1))</f>
        <v/>
      </c>
      <c r="V7578" s="19">
        <f>IF($B7578="","",TEXT($B7578,"0000"))</f>
        <v/>
      </c>
      <c r="W7578" s="19">
        <f>IF($I7578="","",IF(ISNUMBER($I7578),TEXT($I7578,"0"),$I7578))</f>
        <v/>
      </c>
    </row>
    <row r="7579">
      <c r="B7579" s="25" t="n"/>
      <c r="I7579" s="25" t="n"/>
      <c r="U7579" s="19">
        <f>IF($V7579&lt;&gt;'設定'!$C$4,N(U7578),IF(OR(NOT(COUNTIF('商品マスタ'!$B$6:$B$1005,$W7579)=0),COUNTIFS('①在庫を貼る'!$V$6:$V$10005,$V7579,'①在庫を貼る'!$W$6:$W$10005,$W7579)+COUNTIFS('月1回_1ヶ月前の在庫'!$V$6:$V$10005,$V7579,'月1回_1ヶ月前の在庫'!$W$6:$W$10005,$W7579)&gt;0),N(U7578),N(U7578)+1))</f>
        <v/>
      </c>
      <c r="V7579" s="19">
        <f>IF($B7579="","",TEXT($B7579,"0000"))</f>
        <v/>
      </c>
      <c r="W7579" s="19">
        <f>IF($I7579="","",IF(ISNUMBER($I7579),TEXT($I7579,"0"),$I7579))</f>
        <v/>
      </c>
    </row>
    <row r="7580">
      <c r="B7580" s="25" t="n"/>
      <c r="I7580" s="25" t="n"/>
      <c r="U7580" s="19">
        <f>IF($V7580&lt;&gt;'設定'!$C$4,N(U7579),IF(OR(NOT(COUNTIF('商品マスタ'!$B$6:$B$1005,$W7580)=0),COUNTIFS('①在庫を貼る'!$V$6:$V$10005,$V7580,'①在庫を貼る'!$W$6:$W$10005,$W7580)+COUNTIFS('月1回_1ヶ月前の在庫'!$V$6:$V$10005,$V7580,'月1回_1ヶ月前の在庫'!$W$6:$W$10005,$W7580)&gt;0),N(U7579),N(U7579)+1))</f>
        <v/>
      </c>
      <c r="V7580" s="19">
        <f>IF($B7580="","",TEXT($B7580,"0000"))</f>
        <v/>
      </c>
      <c r="W7580" s="19">
        <f>IF($I7580="","",IF(ISNUMBER($I7580),TEXT($I7580,"0"),$I7580))</f>
        <v/>
      </c>
    </row>
    <row r="7581">
      <c r="B7581" s="25" t="n"/>
      <c r="I7581" s="25" t="n"/>
      <c r="U7581" s="19">
        <f>IF($V7581&lt;&gt;'設定'!$C$4,N(U7580),IF(OR(NOT(COUNTIF('商品マスタ'!$B$6:$B$1005,$W7581)=0),COUNTIFS('①在庫を貼る'!$V$6:$V$10005,$V7581,'①在庫を貼る'!$W$6:$W$10005,$W7581)+COUNTIFS('月1回_1ヶ月前の在庫'!$V$6:$V$10005,$V7581,'月1回_1ヶ月前の在庫'!$W$6:$W$10005,$W7581)&gt;0),N(U7580),N(U7580)+1))</f>
        <v/>
      </c>
      <c r="V7581" s="19">
        <f>IF($B7581="","",TEXT($B7581,"0000"))</f>
        <v/>
      </c>
      <c r="W7581" s="19">
        <f>IF($I7581="","",IF(ISNUMBER($I7581),TEXT($I7581,"0"),$I7581))</f>
        <v/>
      </c>
    </row>
    <row r="7582">
      <c r="B7582" s="25" t="n"/>
      <c r="I7582" s="25" t="n"/>
      <c r="U7582" s="19">
        <f>IF($V7582&lt;&gt;'設定'!$C$4,N(U7581),IF(OR(NOT(COUNTIF('商品マスタ'!$B$6:$B$1005,$W7582)=0),COUNTIFS('①在庫を貼る'!$V$6:$V$10005,$V7582,'①在庫を貼る'!$W$6:$W$10005,$W7582)+COUNTIFS('月1回_1ヶ月前の在庫'!$V$6:$V$10005,$V7582,'月1回_1ヶ月前の在庫'!$W$6:$W$10005,$W7582)&gt;0),N(U7581),N(U7581)+1))</f>
        <v/>
      </c>
      <c r="V7582" s="19">
        <f>IF($B7582="","",TEXT($B7582,"0000"))</f>
        <v/>
      </c>
      <c r="W7582" s="19">
        <f>IF($I7582="","",IF(ISNUMBER($I7582),TEXT($I7582,"0"),$I7582))</f>
        <v/>
      </c>
    </row>
    <row r="7583">
      <c r="B7583" s="25" t="n"/>
      <c r="I7583" s="25" t="n"/>
      <c r="U7583" s="19">
        <f>IF($V7583&lt;&gt;'設定'!$C$4,N(U7582),IF(OR(NOT(COUNTIF('商品マスタ'!$B$6:$B$1005,$W7583)=0),COUNTIFS('①在庫を貼る'!$V$6:$V$10005,$V7583,'①在庫を貼る'!$W$6:$W$10005,$W7583)+COUNTIFS('月1回_1ヶ月前の在庫'!$V$6:$V$10005,$V7583,'月1回_1ヶ月前の在庫'!$W$6:$W$10005,$W7583)&gt;0),N(U7582),N(U7582)+1))</f>
        <v/>
      </c>
      <c r="V7583" s="19">
        <f>IF($B7583="","",TEXT($B7583,"0000"))</f>
        <v/>
      </c>
      <c r="W7583" s="19">
        <f>IF($I7583="","",IF(ISNUMBER($I7583),TEXT($I7583,"0"),$I7583))</f>
        <v/>
      </c>
    </row>
    <row r="7584">
      <c r="B7584" s="25" t="n"/>
      <c r="I7584" s="25" t="n"/>
      <c r="U7584" s="19">
        <f>IF($V7584&lt;&gt;'設定'!$C$4,N(U7583),IF(OR(NOT(COUNTIF('商品マスタ'!$B$6:$B$1005,$W7584)=0),COUNTIFS('①在庫を貼る'!$V$6:$V$10005,$V7584,'①在庫を貼る'!$W$6:$W$10005,$W7584)+COUNTIFS('月1回_1ヶ月前の在庫'!$V$6:$V$10005,$V7584,'月1回_1ヶ月前の在庫'!$W$6:$W$10005,$W7584)&gt;0),N(U7583),N(U7583)+1))</f>
        <v/>
      </c>
      <c r="V7584" s="19">
        <f>IF($B7584="","",TEXT($B7584,"0000"))</f>
        <v/>
      </c>
      <c r="W7584" s="19">
        <f>IF($I7584="","",IF(ISNUMBER($I7584),TEXT($I7584,"0"),$I7584))</f>
        <v/>
      </c>
    </row>
    <row r="7585">
      <c r="B7585" s="25" t="n"/>
      <c r="I7585" s="25" t="n"/>
      <c r="U7585" s="19">
        <f>IF($V7585&lt;&gt;'設定'!$C$4,N(U7584),IF(OR(NOT(COUNTIF('商品マスタ'!$B$6:$B$1005,$W7585)=0),COUNTIFS('①在庫を貼る'!$V$6:$V$10005,$V7585,'①在庫を貼る'!$W$6:$W$10005,$W7585)+COUNTIFS('月1回_1ヶ月前の在庫'!$V$6:$V$10005,$V7585,'月1回_1ヶ月前の在庫'!$W$6:$W$10005,$W7585)&gt;0),N(U7584),N(U7584)+1))</f>
        <v/>
      </c>
      <c r="V7585" s="19">
        <f>IF($B7585="","",TEXT($B7585,"0000"))</f>
        <v/>
      </c>
      <c r="W7585" s="19">
        <f>IF($I7585="","",IF(ISNUMBER($I7585),TEXT($I7585,"0"),$I7585))</f>
        <v/>
      </c>
    </row>
    <row r="7586">
      <c r="B7586" s="25" t="n"/>
      <c r="I7586" s="25" t="n"/>
      <c r="U7586" s="19">
        <f>IF($V7586&lt;&gt;'設定'!$C$4,N(U7585),IF(OR(NOT(COUNTIF('商品マスタ'!$B$6:$B$1005,$W7586)=0),COUNTIFS('①在庫を貼る'!$V$6:$V$10005,$V7586,'①在庫を貼る'!$W$6:$W$10005,$W7586)+COUNTIFS('月1回_1ヶ月前の在庫'!$V$6:$V$10005,$V7586,'月1回_1ヶ月前の在庫'!$W$6:$W$10005,$W7586)&gt;0),N(U7585),N(U7585)+1))</f>
        <v/>
      </c>
      <c r="V7586" s="19">
        <f>IF($B7586="","",TEXT($B7586,"0000"))</f>
        <v/>
      </c>
      <c r="W7586" s="19">
        <f>IF($I7586="","",IF(ISNUMBER($I7586),TEXT($I7586,"0"),$I7586))</f>
        <v/>
      </c>
    </row>
    <row r="7587">
      <c r="B7587" s="25" t="n"/>
      <c r="I7587" s="25" t="n"/>
      <c r="U7587" s="19">
        <f>IF($V7587&lt;&gt;'設定'!$C$4,N(U7586),IF(OR(NOT(COUNTIF('商品マスタ'!$B$6:$B$1005,$W7587)=0),COUNTIFS('①在庫を貼る'!$V$6:$V$10005,$V7587,'①在庫を貼る'!$W$6:$W$10005,$W7587)+COUNTIFS('月1回_1ヶ月前の在庫'!$V$6:$V$10005,$V7587,'月1回_1ヶ月前の在庫'!$W$6:$W$10005,$W7587)&gt;0),N(U7586),N(U7586)+1))</f>
        <v/>
      </c>
      <c r="V7587" s="19">
        <f>IF($B7587="","",TEXT($B7587,"0000"))</f>
        <v/>
      </c>
      <c r="W7587" s="19">
        <f>IF($I7587="","",IF(ISNUMBER($I7587),TEXT($I7587,"0"),$I7587))</f>
        <v/>
      </c>
    </row>
    <row r="7588">
      <c r="B7588" s="25" t="n"/>
      <c r="I7588" s="25" t="n"/>
      <c r="U7588" s="19">
        <f>IF($V7588&lt;&gt;'設定'!$C$4,N(U7587),IF(OR(NOT(COUNTIF('商品マスタ'!$B$6:$B$1005,$W7588)=0),COUNTIFS('①在庫を貼る'!$V$6:$V$10005,$V7588,'①在庫を貼る'!$W$6:$W$10005,$W7588)+COUNTIFS('月1回_1ヶ月前の在庫'!$V$6:$V$10005,$V7588,'月1回_1ヶ月前の在庫'!$W$6:$W$10005,$W7588)&gt;0),N(U7587),N(U7587)+1))</f>
        <v/>
      </c>
      <c r="V7588" s="19">
        <f>IF($B7588="","",TEXT($B7588,"0000"))</f>
        <v/>
      </c>
      <c r="W7588" s="19">
        <f>IF($I7588="","",IF(ISNUMBER($I7588),TEXT($I7588,"0"),$I7588))</f>
        <v/>
      </c>
    </row>
    <row r="7589">
      <c r="B7589" s="25" t="n"/>
      <c r="I7589" s="25" t="n"/>
      <c r="U7589" s="19">
        <f>IF($V7589&lt;&gt;'設定'!$C$4,N(U7588),IF(OR(NOT(COUNTIF('商品マスタ'!$B$6:$B$1005,$W7589)=0),COUNTIFS('①在庫を貼る'!$V$6:$V$10005,$V7589,'①在庫を貼る'!$W$6:$W$10005,$W7589)+COUNTIFS('月1回_1ヶ月前の在庫'!$V$6:$V$10005,$V7589,'月1回_1ヶ月前の在庫'!$W$6:$W$10005,$W7589)&gt;0),N(U7588),N(U7588)+1))</f>
        <v/>
      </c>
      <c r="V7589" s="19">
        <f>IF($B7589="","",TEXT($B7589,"0000"))</f>
        <v/>
      </c>
      <c r="W7589" s="19">
        <f>IF($I7589="","",IF(ISNUMBER($I7589),TEXT($I7589,"0"),$I7589))</f>
        <v/>
      </c>
    </row>
    <row r="7590">
      <c r="B7590" s="25" t="n"/>
      <c r="I7590" s="25" t="n"/>
      <c r="U7590" s="19">
        <f>IF($V7590&lt;&gt;'設定'!$C$4,N(U7589),IF(OR(NOT(COUNTIF('商品マスタ'!$B$6:$B$1005,$W7590)=0),COUNTIFS('①在庫を貼る'!$V$6:$V$10005,$V7590,'①在庫を貼る'!$W$6:$W$10005,$W7590)+COUNTIFS('月1回_1ヶ月前の在庫'!$V$6:$V$10005,$V7590,'月1回_1ヶ月前の在庫'!$W$6:$W$10005,$W7590)&gt;0),N(U7589),N(U7589)+1))</f>
        <v/>
      </c>
      <c r="V7590" s="19">
        <f>IF($B7590="","",TEXT($B7590,"0000"))</f>
        <v/>
      </c>
      <c r="W7590" s="19">
        <f>IF($I7590="","",IF(ISNUMBER($I7590),TEXT($I7590,"0"),$I7590))</f>
        <v/>
      </c>
    </row>
    <row r="7591">
      <c r="B7591" s="25" t="n"/>
      <c r="I7591" s="25" t="n"/>
      <c r="U7591" s="19">
        <f>IF($V7591&lt;&gt;'設定'!$C$4,N(U7590),IF(OR(NOT(COUNTIF('商品マスタ'!$B$6:$B$1005,$W7591)=0),COUNTIFS('①在庫を貼る'!$V$6:$V$10005,$V7591,'①在庫を貼る'!$W$6:$W$10005,$W7591)+COUNTIFS('月1回_1ヶ月前の在庫'!$V$6:$V$10005,$V7591,'月1回_1ヶ月前の在庫'!$W$6:$W$10005,$W7591)&gt;0),N(U7590),N(U7590)+1))</f>
        <v/>
      </c>
      <c r="V7591" s="19">
        <f>IF($B7591="","",TEXT($B7591,"0000"))</f>
        <v/>
      </c>
      <c r="W7591" s="19">
        <f>IF($I7591="","",IF(ISNUMBER($I7591),TEXT($I7591,"0"),$I7591))</f>
        <v/>
      </c>
    </row>
    <row r="7592">
      <c r="B7592" s="25" t="n"/>
      <c r="I7592" s="25" t="n"/>
      <c r="U7592" s="19">
        <f>IF($V7592&lt;&gt;'設定'!$C$4,N(U7591),IF(OR(NOT(COUNTIF('商品マスタ'!$B$6:$B$1005,$W7592)=0),COUNTIFS('①在庫を貼る'!$V$6:$V$10005,$V7592,'①在庫を貼る'!$W$6:$W$10005,$W7592)+COUNTIFS('月1回_1ヶ月前の在庫'!$V$6:$V$10005,$V7592,'月1回_1ヶ月前の在庫'!$W$6:$W$10005,$W7592)&gt;0),N(U7591),N(U7591)+1))</f>
        <v/>
      </c>
      <c r="V7592" s="19">
        <f>IF($B7592="","",TEXT($B7592,"0000"))</f>
        <v/>
      </c>
      <c r="W7592" s="19">
        <f>IF($I7592="","",IF(ISNUMBER($I7592),TEXT($I7592,"0"),$I7592))</f>
        <v/>
      </c>
    </row>
    <row r="7593">
      <c r="B7593" s="25" t="n"/>
      <c r="I7593" s="25" t="n"/>
      <c r="U7593" s="19">
        <f>IF($V7593&lt;&gt;'設定'!$C$4,N(U7592),IF(OR(NOT(COUNTIF('商品マスタ'!$B$6:$B$1005,$W7593)=0),COUNTIFS('①在庫を貼る'!$V$6:$V$10005,$V7593,'①在庫を貼る'!$W$6:$W$10005,$W7593)+COUNTIFS('月1回_1ヶ月前の在庫'!$V$6:$V$10005,$V7593,'月1回_1ヶ月前の在庫'!$W$6:$W$10005,$W7593)&gt;0),N(U7592),N(U7592)+1))</f>
        <v/>
      </c>
      <c r="V7593" s="19">
        <f>IF($B7593="","",TEXT($B7593,"0000"))</f>
        <v/>
      </c>
      <c r="W7593" s="19">
        <f>IF($I7593="","",IF(ISNUMBER($I7593),TEXT($I7593,"0"),$I7593))</f>
        <v/>
      </c>
    </row>
    <row r="7594">
      <c r="B7594" s="25" t="n"/>
      <c r="I7594" s="25" t="n"/>
      <c r="U7594" s="19">
        <f>IF($V7594&lt;&gt;'設定'!$C$4,N(U7593),IF(OR(NOT(COUNTIF('商品マスタ'!$B$6:$B$1005,$W7594)=0),COUNTIFS('①在庫を貼る'!$V$6:$V$10005,$V7594,'①在庫を貼る'!$W$6:$W$10005,$W7594)+COUNTIFS('月1回_1ヶ月前の在庫'!$V$6:$V$10005,$V7594,'月1回_1ヶ月前の在庫'!$W$6:$W$10005,$W7594)&gt;0),N(U7593),N(U7593)+1))</f>
        <v/>
      </c>
      <c r="V7594" s="19">
        <f>IF($B7594="","",TEXT($B7594,"0000"))</f>
        <v/>
      </c>
      <c r="W7594" s="19">
        <f>IF($I7594="","",IF(ISNUMBER($I7594),TEXT($I7594,"0"),$I7594))</f>
        <v/>
      </c>
    </row>
    <row r="7595">
      <c r="B7595" s="25" t="n"/>
      <c r="I7595" s="25" t="n"/>
      <c r="U7595" s="19">
        <f>IF($V7595&lt;&gt;'設定'!$C$4,N(U7594),IF(OR(NOT(COUNTIF('商品マスタ'!$B$6:$B$1005,$W7595)=0),COUNTIFS('①在庫を貼る'!$V$6:$V$10005,$V7595,'①在庫を貼る'!$W$6:$W$10005,$W7595)+COUNTIFS('月1回_1ヶ月前の在庫'!$V$6:$V$10005,$V7595,'月1回_1ヶ月前の在庫'!$W$6:$W$10005,$W7595)&gt;0),N(U7594),N(U7594)+1))</f>
        <v/>
      </c>
      <c r="V7595" s="19">
        <f>IF($B7595="","",TEXT($B7595,"0000"))</f>
        <v/>
      </c>
      <c r="W7595" s="19">
        <f>IF($I7595="","",IF(ISNUMBER($I7595),TEXT($I7595,"0"),$I7595))</f>
        <v/>
      </c>
    </row>
    <row r="7596">
      <c r="B7596" s="25" t="n"/>
      <c r="I7596" s="25" t="n"/>
      <c r="U7596" s="19">
        <f>IF($V7596&lt;&gt;'設定'!$C$4,N(U7595),IF(OR(NOT(COUNTIF('商品マスタ'!$B$6:$B$1005,$W7596)=0),COUNTIFS('①在庫を貼る'!$V$6:$V$10005,$V7596,'①在庫を貼る'!$W$6:$W$10005,$W7596)+COUNTIFS('月1回_1ヶ月前の在庫'!$V$6:$V$10005,$V7596,'月1回_1ヶ月前の在庫'!$W$6:$W$10005,$W7596)&gt;0),N(U7595),N(U7595)+1))</f>
        <v/>
      </c>
      <c r="V7596" s="19">
        <f>IF($B7596="","",TEXT($B7596,"0000"))</f>
        <v/>
      </c>
      <c r="W7596" s="19">
        <f>IF($I7596="","",IF(ISNUMBER($I7596),TEXT($I7596,"0"),$I7596))</f>
        <v/>
      </c>
    </row>
    <row r="7597">
      <c r="B7597" s="25" t="n"/>
      <c r="I7597" s="25" t="n"/>
      <c r="U7597" s="19">
        <f>IF($V7597&lt;&gt;'設定'!$C$4,N(U7596),IF(OR(NOT(COUNTIF('商品マスタ'!$B$6:$B$1005,$W7597)=0),COUNTIFS('①在庫を貼る'!$V$6:$V$10005,$V7597,'①在庫を貼る'!$W$6:$W$10005,$W7597)+COUNTIFS('月1回_1ヶ月前の在庫'!$V$6:$V$10005,$V7597,'月1回_1ヶ月前の在庫'!$W$6:$W$10005,$W7597)&gt;0),N(U7596),N(U7596)+1))</f>
        <v/>
      </c>
      <c r="V7597" s="19">
        <f>IF($B7597="","",TEXT($B7597,"0000"))</f>
        <v/>
      </c>
      <c r="W7597" s="19">
        <f>IF($I7597="","",IF(ISNUMBER($I7597),TEXT($I7597,"0"),$I7597))</f>
        <v/>
      </c>
    </row>
    <row r="7598">
      <c r="B7598" s="25" t="n"/>
      <c r="I7598" s="25" t="n"/>
      <c r="U7598" s="19">
        <f>IF($V7598&lt;&gt;'設定'!$C$4,N(U7597),IF(OR(NOT(COUNTIF('商品マスタ'!$B$6:$B$1005,$W7598)=0),COUNTIFS('①在庫を貼る'!$V$6:$V$10005,$V7598,'①在庫を貼る'!$W$6:$W$10005,$W7598)+COUNTIFS('月1回_1ヶ月前の在庫'!$V$6:$V$10005,$V7598,'月1回_1ヶ月前の在庫'!$W$6:$W$10005,$W7598)&gt;0),N(U7597),N(U7597)+1))</f>
        <v/>
      </c>
      <c r="V7598" s="19">
        <f>IF($B7598="","",TEXT($B7598,"0000"))</f>
        <v/>
      </c>
      <c r="W7598" s="19">
        <f>IF($I7598="","",IF(ISNUMBER($I7598),TEXT($I7598,"0"),$I7598))</f>
        <v/>
      </c>
    </row>
    <row r="7599">
      <c r="B7599" s="25" t="n"/>
      <c r="I7599" s="25" t="n"/>
      <c r="U7599" s="19">
        <f>IF($V7599&lt;&gt;'設定'!$C$4,N(U7598),IF(OR(NOT(COUNTIF('商品マスタ'!$B$6:$B$1005,$W7599)=0),COUNTIFS('①在庫を貼る'!$V$6:$V$10005,$V7599,'①在庫を貼る'!$W$6:$W$10005,$W7599)+COUNTIFS('月1回_1ヶ月前の在庫'!$V$6:$V$10005,$V7599,'月1回_1ヶ月前の在庫'!$W$6:$W$10005,$W7599)&gt;0),N(U7598),N(U7598)+1))</f>
        <v/>
      </c>
      <c r="V7599" s="19">
        <f>IF($B7599="","",TEXT($B7599,"0000"))</f>
        <v/>
      </c>
      <c r="W7599" s="19">
        <f>IF($I7599="","",IF(ISNUMBER($I7599),TEXT($I7599,"0"),$I7599))</f>
        <v/>
      </c>
    </row>
    <row r="7600">
      <c r="B7600" s="25" t="n"/>
      <c r="I7600" s="25" t="n"/>
      <c r="U7600" s="19">
        <f>IF($V7600&lt;&gt;'設定'!$C$4,N(U7599),IF(OR(NOT(COUNTIF('商品マスタ'!$B$6:$B$1005,$W7600)=0),COUNTIFS('①在庫を貼る'!$V$6:$V$10005,$V7600,'①在庫を貼る'!$W$6:$W$10005,$W7600)+COUNTIFS('月1回_1ヶ月前の在庫'!$V$6:$V$10005,$V7600,'月1回_1ヶ月前の在庫'!$W$6:$W$10005,$W7600)&gt;0),N(U7599),N(U7599)+1))</f>
        <v/>
      </c>
      <c r="V7600" s="19">
        <f>IF($B7600="","",TEXT($B7600,"0000"))</f>
        <v/>
      </c>
      <c r="W7600" s="19">
        <f>IF($I7600="","",IF(ISNUMBER($I7600),TEXT($I7600,"0"),$I7600))</f>
        <v/>
      </c>
    </row>
    <row r="7601">
      <c r="B7601" s="25" t="n"/>
      <c r="I7601" s="25" t="n"/>
      <c r="U7601" s="19">
        <f>IF($V7601&lt;&gt;'設定'!$C$4,N(U7600),IF(OR(NOT(COUNTIF('商品マスタ'!$B$6:$B$1005,$W7601)=0),COUNTIFS('①在庫を貼る'!$V$6:$V$10005,$V7601,'①在庫を貼る'!$W$6:$W$10005,$W7601)+COUNTIFS('月1回_1ヶ月前の在庫'!$V$6:$V$10005,$V7601,'月1回_1ヶ月前の在庫'!$W$6:$W$10005,$W7601)&gt;0),N(U7600),N(U7600)+1))</f>
        <v/>
      </c>
      <c r="V7601" s="19">
        <f>IF($B7601="","",TEXT($B7601,"0000"))</f>
        <v/>
      </c>
      <c r="W7601" s="19">
        <f>IF($I7601="","",IF(ISNUMBER($I7601),TEXT($I7601,"0"),$I7601))</f>
        <v/>
      </c>
    </row>
    <row r="7602">
      <c r="B7602" s="25" t="n"/>
      <c r="I7602" s="25" t="n"/>
      <c r="U7602" s="19">
        <f>IF($V7602&lt;&gt;'設定'!$C$4,N(U7601),IF(OR(NOT(COUNTIF('商品マスタ'!$B$6:$B$1005,$W7602)=0),COUNTIFS('①在庫を貼る'!$V$6:$V$10005,$V7602,'①在庫を貼る'!$W$6:$W$10005,$W7602)+COUNTIFS('月1回_1ヶ月前の在庫'!$V$6:$V$10005,$V7602,'月1回_1ヶ月前の在庫'!$W$6:$W$10005,$W7602)&gt;0),N(U7601),N(U7601)+1))</f>
        <v/>
      </c>
      <c r="V7602" s="19">
        <f>IF($B7602="","",TEXT($B7602,"0000"))</f>
        <v/>
      </c>
      <c r="W7602" s="19">
        <f>IF($I7602="","",IF(ISNUMBER($I7602),TEXT($I7602,"0"),$I7602))</f>
        <v/>
      </c>
    </row>
    <row r="7603">
      <c r="B7603" s="25" t="n"/>
      <c r="I7603" s="25" t="n"/>
      <c r="U7603" s="19">
        <f>IF($V7603&lt;&gt;'設定'!$C$4,N(U7602),IF(OR(NOT(COUNTIF('商品マスタ'!$B$6:$B$1005,$W7603)=0),COUNTIFS('①在庫を貼る'!$V$6:$V$10005,$V7603,'①在庫を貼る'!$W$6:$W$10005,$W7603)+COUNTIFS('月1回_1ヶ月前の在庫'!$V$6:$V$10005,$V7603,'月1回_1ヶ月前の在庫'!$W$6:$W$10005,$W7603)&gt;0),N(U7602),N(U7602)+1))</f>
        <v/>
      </c>
      <c r="V7603" s="19">
        <f>IF($B7603="","",TEXT($B7603,"0000"))</f>
        <v/>
      </c>
      <c r="W7603" s="19">
        <f>IF($I7603="","",IF(ISNUMBER($I7603),TEXT($I7603,"0"),$I7603))</f>
        <v/>
      </c>
    </row>
    <row r="7604">
      <c r="B7604" s="25" t="n"/>
      <c r="I7604" s="25" t="n"/>
      <c r="U7604" s="19">
        <f>IF($V7604&lt;&gt;'設定'!$C$4,N(U7603),IF(OR(NOT(COUNTIF('商品マスタ'!$B$6:$B$1005,$W7604)=0),COUNTIFS('①在庫を貼る'!$V$6:$V$10005,$V7604,'①在庫を貼る'!$W$6:$W$10005,$W7604)+COUNTIFS('月1回_1ヶ月前の在庫'!$V$6:$V$10005,$V7604,'月1回_1ヶ月前の在庫'!$W$6:$W$10005,$W7604)&gt;0),N(U7603),N(U7603)+1))</f>
        <v/>
      </c>
      <c r="V7604" s="19">
        <f>IF($B7604="","",TEXT($B7604,"0000"))</f>
        <v/>
      </c>
      <c r="W7604" s="19">
        <f>IF($I7604="","",IF(ISNUMBER($I7604),TEXT($I7604,"0"),$I7604))</f>
        <v/>
      </c>
    </row>
    <row r="7605">
      <c r="B7605" s="25" t="n"/>
      <c r="I7605" s="25" t="n"/>
      <c r="U7605" s="19">
        <f>IF($V7605&lt;&gt;'設定'!$C$4,N(U7604),IF(OR(NOT(COUNTIF('商品マスタ'!$B$6:$B$1005,$W7605)=0),COUNTIFS('①在庫を貼る'!$V$6:$V$10005,$V7605,'①在庫を貼る'!$W$6:$W$10005,$W7605)+COUNTIFS('月1回_1ヶ月前の在庫'!$V$6:$V$10005,$V7605,'月1回_1ヶ月前の在庫'!$W$6:$W$10005,$W7605)&gt;0),N(U7604),N(U7604)+1))</f>
        <v/>
      </c>
      <c r="V7605" s="19">
        <f>IF($B7605="","",TEXT($B7605,"0000"))</f>
        <v/>
      </c>
      <c r="W7605" s="19">
        <f>IF($I7605="","",IF(ISNUMBER($I7605),TEXT($I7605,"0"),$I7605))</f>
        <v/>
      </c>
    </row>
    <row r="7606">
      <c r="B7606" s="25" t="n"/>
      <c r="I7606" s="25" t="n"/>
      <c r="U7606" s="19">
        <f>IF($V7606&lt;&gt;'設定'!$C$4,N(U7605),IF(OR(NOT(COUNTIF('商品マスタ'!$B$6:$B$1005,$W7606)=0),COUNTIFS('①在庫を貼る'!$V$6:$V$10005,$V7606,'①在庫を貼る'!$W$6:$W$10005,$W7606)+COUNTIFS('月1回_1ヶ月前の在庫'!$V$6:$V$10005,$V7606,'月1回_1ヶ月前の在庫'!$W$6:$W$10005,$W7606)&gt;0),N(U7605),N(U7605)+1))</f>
        <v/>
      </c>
      <c r="V7606" s="19">
        <f>IF($B7606="","",TEXT($B7606,"0000"))</f>
        <v/>
      </c>
      <c r="W7606" s="19">
        <f>IF($I7606="","",IF(ISNUMBER($I7606),TEXT($I7606,"0"),$I7606))</f>
        <v/>
      </c>
    </row>
    <row r="7607">
      <c r="B7607" s="25" t="n"/>
      <c r="I7607" s="25" t="n"/>
      <c r="U7607" s="19">
        <f>IF($V7607&lt;&gt;'設定'!$C$4,N(U7606),IF(OR(NOT(COUNTIF('商品マスタ'!$B$6:$B$1005,$W7607)=0),COUNTIFS('①在庫を貼る'!$V$6:$V$10005,$V7607,'①在庫を貼る'!$W$6:$W$10005,$W7607)+COUNTIFS('月1回_1ヶ月前の在庫'!$V$6:$V$10005,$V7607,'月1回_1ヶ月前の在庫'!$W$6:$W$10005,$W7607)&gt;0),N(U7606),N(U7606)+1))</f>
        <v/>
      </c>
      <c r="V7607" s="19">
        <f>IF($B7607="","",TEXT($B7607,"0000"))</f>
        <v/>
      </c>
      <c r="W7607" s="19">
        <f>IF($I7607="","",IF(ISNUMBER($I7607),TEXT($I7607,"0"),$I7607))</f>
        <v/>
      </c>
    </row>
    <row r="7608">
      <c r="B7608" s="25" t="n"/>
      <c r="I7608" s="25" t="n"/>
      <c r="U7608" s="19">
        <f>IF($V7608&lt;&gt;'設定'!$C$4,N(U7607),IF(OR(NOT(COUNTIF('商品マスタ'!$B$6:$B$1005,$W7608)=0),COUNTIFS('①在庫を貼る'!$V$6:$V$10005,$V7608,'①在庫を貼る'!$W$6:$W$10005,$W7608)+COUNTIFS('月1回_1ヶ月前の在庫'!$V$6:$V$10005,$V7608,'月1回_1ヶ月前の在庫'!$W$6:$W$10005,$W7608)&gt;0),N(U7607),N(U7607)+1))</f>
        <v/>
      </c>
      <c r="V7608" s="19">
        <f>IF($B7608="","",TEXT($B7608,"0000"))</f>
        <v/>
      </c>
      <c r="W7608" s="19">
        <f>IF($I7608="","",IF(ISNUMBER($I7608),TEXT($I7608,"0"),$I7608))</f>
        <v/>
      </c>
    </row>
    <row r="7609">
      <c r="B7609" s="25" t="n"/>
      <c r="I7609" s="25" t="n"/>
      <c r="U7609" s="19">
        <f>IF($V7609&lt;&gt;'設定'!$C$4,N(U7608),IF(OR(NOT(COUNTIF('商品マスタ'!$B$6:$B$1005,$W7609)=0),COUNTIFS('①在庫を貼る'!$V$6:$V$10005,$V7609,'①在庫を貼る'!$W$6:$W$10005,$W7609)+COUNTIFS('月1回_1ヶ月前の在庫'!$V$6:$V$10005,$V7609,'月1回_1ヶ月前の在庫'!$W$6:$W$10005,$W7609)&gt;0),N(U7608),N(U7608)+1))</f>
        <v/>
      </c>
      <c r="V7609" s="19">
        <f>IF($B7609="","",TEXT($B7609,"0000"))</f>
        <v/>
      </c>
      <c r="W7609" s="19">
        <f>IF($I7609="","",IF(ISNUMBER($I7609),TEXT($I7609,"0"),$I7609))</f>
        <v/>
      </c>
    </row>
    <row r="7610">
      <c r="B7610" s="25" t="n"/>
      <c r="I7610" s="25" t="n"/>
      <c r="U7610" s="19">
        <f>IF($V7610&lt;&gt;'設定'!$C$4,N(U7609),IF(OR(NOT(COUNTIF('商品マスタ'!$B$6:$B$1005,$W7610)=0),COUNTIFS('①在庫を貼る'!$V$6:$V$10005,$V7610,'①在庫を貼る'!$W$6:$W$10005,$W7610)+COUNTIFS('月1回_1ヶ月前の在庫'!$V$6:$V$10005,$V7610,'月1回_1ヶ月前の在庫'!$W$6:$W$10005,$W7610)&gt;0),N(U7609),N(U7609)+1))</f>
        <v/>
      </c>
      <c r="V7610" s="19">
        <f>IF($B7610="","",TEXT($B7610,"0000"))</f>
        <v/>
      </c>
      <c r="W7610" s="19">
        <f>IF($I7610="","",IF(ISNUMBER($I7610),TEXT($I7610,"0"),$I7610))</f>
        <v/>
      </c>
    </row>
    <row r="7611">
      <c r="B7611" s="25" t="n"/>
      <c r="I7611" s="25" t="n"/>
      <c r="U7611" s="19">
        <f>IF($V7611&lt;&gt;'設定'!$C$4,N(U7610),IF(OR(NOT(COUNTIF('商品マスタ'!$B$6:$B$1005,$W7611)=0),COUNTIFS('①在庫を貼る'!$V$6:$V$10005,$V7611,'①在庫を貼る'!$W$6:$W$10005,$W7611)+COUNTIFS('月1回_1ヶ月前の在庫'!$V$6:$V$10005,$V7611,'月1回_1ヶ月前の在庫'!$W$6:$W$10005,$W7611)&gt;0),N(U7610),N(U7610)+1))</f>
        <v/>
      </c>
      <c r="V7611" s="19">
        <f>IF($B7611="","",TEXT($B7611,"0000"))</f>
        <v/>
      </c>
      <c r="W7611" s="19">
        <f>IF($I7611="","",IF(ISNUMBER($I7611),TEXT($I7611,"0"),$I7611))</f>
        <v/>
      </c>
    </row>
    <row r="7612">
      <c r="B7612" s="25" t="n"/>
      <c r="I7612" s="25" t="n"/>
      <c r="U7612" s="19">
        <f>IF($V7612&lt;&gt;'設定'!$C$4,N(U7611),IF(OR(NOT(COUNTIF('商品マスタ'!$B$6:$B$1005,$W7612)=0),COUNTIFS('①在庫を貼る'!$V$6:$V$10005,$V7612,'①在庫を貼る'!$W$6:$W$10005,$W7612)+COUNTIFS('月1回_1ヶ月前の在庫'!$V$6:$V$10005,$V7612,'月1回_1ヶ月前の在庫'!$W$6:$W$10005,$W7612)&gt;0),N(U7611),N(U7611)+1))</f>
        <v/>
      </c>
      <c r="V7612" s="19">
        <f>IF($B7612="","",TEXT($B7612,"0000"))</f>
        <v/>
      </c>
      <c r="W7612" s="19">
        <f>IF($I7612="","",IF(ISNUMBER($I7612),TEXT($I7612,"0"),$I7612))</f>
        <v/>
      </c>
    </row>
    <row r="7613">
      <c r="B7613" s="25" t="n"/>
      <c r="I7613" s="25" t="n"/>
      <c r="U7613" s="19">
        <f>IF($V7613&lt;&gt;'設定'!$C$4,N(U7612),IF(OR(NOT(COUNTIF('商品マスタ'!$B$6:$B$1005,$W7613)=0),COUNTIFS('①在庫を貼る'!$V$6:$V$10005,$V7613,'①在庫を貼る'!$W$6:$W$10005,$W7613)+COUNTIFS('月1回_1ヶ月前の在庫'!$V$6:$V$10005,$V7613,'月1回_1ヶ月前の在庫'!$W$6:$W$10005,$W7613)&gt;0),N(U7612),N(U7612)+1))</f>
        <v/>
      </c>
      <c r="V7613" s="19">
        <f>IF($B7613="","",TEXT($B7613,"0000"))</f>
        <v/>
      </c>
      <c r="W7613" s="19">
        <f>IF($I7613="","",IF(ISNUMBER($I7613),TEXT($I7613,"0"),$I7613))</f>
        <v/>
      </c>
    </row>
    <row r="7614">
      <c r="B7614" s="25" t="n"/>
      <c r="I7614" s="25" t="n"/>
      <c r="U7614" s="19">
        <f>IF($V7614&lt;&gt;'設定'!$C$4,N(U7613),IF(OR(NOT(COUNTIF('商品マスタ'!$B$6:$B$1005,$W7614)=0),COUNTIFS('①在庫を貼る'!$V$6:$V$10005,$V7614,'①在庫を貼る'!$W$6:$W$10005,$W7614)+COUNTIFS('月1回_1ヶ月前の在庫'!$V$6:$V$10005,$V7614,'月1回_1ヶ月前の在庫'!$W$6:$W$10005,$W7614)&gt;0),N(U7613),N(U7613)+1))</f>
        <v/>
      </c>
      <c r="V7614" s="19">
        <f>IF($B7614="","",TEXT($B7614,"0000"))</f>
        <v/>
      </c>
      <c r="W7614" s="19">
        <f>IF($I7614="","",IF(ISNUMBER($I7614),TEXT($I7614,"0"),$I7614))</f>
        <v/>
      </c>
    </row>
    <row r="7615">
      <c r="B7615" s="25" t="n"/>
      <c r="I7615" s="25" t="n"/>
      <c r="U7615" s="19">
        <f>IF($V7615&lt;&gt;'設定'!$C$4,N(U7614),IF(OR(NOT(COUNTIF('商品マスタ'!$B$6:$B$1005,$W7615)=0),COUNTIFS('①在庫を貼る'!$V$6:$V$10005,$V7615,'①在庫を貼る'!$W$6:$W$10005,$W7615)+COUNTIFS('月1回_1ヶ月前の在庫'!$V$6:$V$10005,$V7615,'月1回_1ヶ月前の在庫'!$W$6:$W$10005,$W7615)&gt;0),N(U7614),N(U7614)+1))</f>
        <v/>
      </c>
      <c r="V7615" s="19">
        <f>IF($B7615="","",TEXT($B7615,"0000"))</f>
        <v/>
      </c>
      <c r="W7615" s="19">
        <f>IF($I7615="","",IF(ISNUMBER($I7615),TEXT($I7615,"0"),$I7615))</f>
        <v/>
      </c>
    </row>
    <row r="7616">
      <c r="B7616" s="25" t="n"/>
      <c r="I7616" s="25" t="n"/>
      <c r="U7616" s="19">
        <f>IF($V7616&lt;&gt;'設定'!$C$4,N(U7615),IF(OR(NOT(COUNTIF('商品マスタ'!$B$6:$B$1005,$W7616)=0),COUNTIFS('①在庫を貼る'!$V$6:$V$10005,$V7616,'①在庫を貼る'!$W$6:$W$10005,$W7616)+COUNTIFS('月1回_1ヶ月前の在庫'!$V$6:$V$10005,$V7616,'月1回_1ヶ月前の在庫'!$W$6:$W$10005,$W7616)&gt;0),N(U7615),N(U7615)+1))</f>
        <v/>
      </c>
      <c r="V7616" s="19">
        <f>IF($B7616="","",TEXT($B7616,"0000"))</f>
        <v/>
      </c>
      <c r="W7616" s="19">
        <f>IF($I7616="","",IF(ISNUMBER($I7616),TEXT($I7616,"0"),$I7616))</f>
        <v/>
      </c>
    </row>
    <row r="7617">
      <c r="B7617" s="25" t="n"/>
      <c r="I7617" s="25" t="n"/>
      <c r="U7617" s="19">
        <f>IF($V7617&lt;&gt;'設定'!$C$4,N(U7616),IF(OR(NOT(COUNTIF('商品マスタ'!$B$6:$B$1005,$W7617)=0),COUNTIFS('①在庫を貼る'!$V$6:$V$10005,$V7617,'①在庫を貼る'!$W$6:$W$10005,$W7617)+COUNTIFS('月1回_1ヶ月前の在庫'!$V$6:$V$10005,$V7617,'月1回_1ヶ月前の在庫'!$W$6:$W$10005,$W7617)&gt;0),N(U7616),N(U7616)+1))</f>
        <v/>
      </c>
      <c r="V7617" s="19">
        <f>IF($B7617="","",TEXT($B7617,"0000"))</f>
        <v/>
      </c>
      <c r="W7617" s="19">
        <f>IF($I7617="","",IF(ISNUMBER($I7617),TEXT($I7617,"0"),$I7617))</f>
        <v/>
      </c>
    </row>
    <row r="7618">
      <c r="B7618" s="25" t="n"/>
      <c r="I7618" s="25" t="n"/>
      <c r="U7618" s="19">
        <f>IF($V7618&lt;&gt;'設定'!$C$4,N(U7617),IF(OR(NOT(COUNTIF('商品マスタ'!$B$6:$B$1005,$W7618)=0),COUNTIFS('①在庫を貼る'!$V$6:$V$10005,$V7618,'①在庫を貼る'!$W$6:$W$10005,$W7618)+COUNTIFS('月1回_1ヶ月前の在庫'!$V$6:$V$10005,$V7618,'月1回_1ヶ月前の在庫'!$W$6:$W$10005,$W7618)&gt;0),N(U7617),N(U7617)+1))</f>
        <v/>
      </c>
      <c r="V7618" s="19">
        <f>IF($B7618="","",TEXT($B7618,"0000"))</f>
        <v/>
      </c>
      <c r="W7618" s="19">
        <f>IF($I7618="","",IF(ISNUMBER($I7618),TEXT($I7618,"0"),$I7618))</f>
        <v/>
      </c>
    </row>
    <row r="7619">
      <c r="B7619" s="25" t="n"/>
      <c r="I7619" s="25" t="n"/>
      <c r="U7619" s="19">
        <f>IF($V7619&lt;&gt;'設定'!$C$4,N(U7618),IF(OR(NOT(COUNTIF('商品マスタ'!$B$6:$B$1005,$W7619)=0),COUNTIFS('①在庫を貼る'!$V$6:$V$10005,$V7619,'①在庫を貼る'!$W$6:$W$10005,$W7619)+COUNTIFS('月1回_1ヶ月前の在庫'!$V$6:$V$10005,$V7619,'月1回_1ヶ月前の在庫'!$W$6:$W$10005,$W7619)&gt;0),N(U7618),N(U7618)+1))</f>
        <v/>
      </c>
      <c r="V7619" s="19">
        <f>IF($B7619="","",TEXT($B7619,"0000"))</f>
        <v/>
      </c>
      <c r="W7619" s="19">
        <f>IF($I7619="","",IF(ISNUMBER($I7619),TEXT($I7619,"0"),$I7619))</f>
        <v/>
      </c>
    </row>
    <row r="7620">
      <c r="B7620" s="25" t="n"/>
      <c r="I7620" s="25" t="n"/>
      <c r="U7620" s="19">
        <f>IF($V7620&lt;&gt;'設定'!$C$4,N(U7619),IF(OR(NOT(COUNTIF('商品マスタ'!$B$6:$B$1005,$W7620)=0),COUNTIFS('①在庫を貼る'!$V$6:$V$10005,$V7620,'①在庫を貼る'!$W$6:$W$10005,$W7620)+COUNTIFS('月1回_1ヶ月前の在庫'!$V$6:$V$10005,$V7620,'月1回_1ヶ月前の在庫'!$W$6:$W$10005,$W7620)&gt;0),N(U7619),N(U7619)+1))</f>
        <v/>
      </c>
      <c r="V7620" s="19">
        <f>IF($B7620="","",TEXT($B7620,"0000"))</f>
        <v/>
      </c>
      <c r="W7620" s="19">
        <f>IF($I7620="","",IF(ISNUMBER($I7620),TEXT($I7620,"0"),$I7620))</f>
        <v/>
      </c>
    </row>
    <row r="7621">
      <c r="B7621" s="25" t="n"/>
      <c r="I7621" s="25" t="n"/>
      <c r="U7621" s="19">
        <f>IF($V7621&lt;&gt;'設定'!$C$4,N(U7620),IF(OR(NOT(COUNTIF('商品マスタ'!$B$6:$B$1005,$W7621)=0),COUNTIFS('①在庫を貼る'!$V$6:$V$10005,$V7621,'①在庫を貼る'!$W$6:$W$10005,$W7621)+COUNTIFS('月1回_1ヶ月前の在庫'!$V$6:$V$10005,$V7621,'月1回_1ヶ月前の在庫'!$W$6:$W$10005,$W7621)&gt;0),N(U7620),N(U7620)+1))</f>
        <v/>
      </c>
      <c r="V7621" s="19">
        <f>IF($B7621="","",TEXT($B7621,"0000"))</f>
        <v/>
      </c>
      <c r="W7621" s="19">
        <f>IF($I7621="","",IF(ISNUMBER($I7621),TEXT($I7621,"0"),$I7621))</f>
        <v/>
      </c>
    </row>
    <row r="7622">
      <c r="B7622" s="25" t="n"/>
      <c r="I7622" s="25" t="n"/>
      <c r="U7622" s="19">
        <f>IF($V7622&lt;&gt;'設定'!$C$4,N(U7621),IF(OR(NOT(COUNTIF('商品マスタ'!$B$6:$B$1005,$W7622)=0),COUNTIFS('①在庫を貼る'!$V$6:$V$10005,$V7622,'①在庫を貼る'!$W$6:$W$10005,$W7622)+COUNTIFS('月1回_1ヶ月前の在庫'!$V$6:$V$10005,$V7622,'月1回_1ヶ月前の在庫'!$W$6:$W$10005,$W7622)&gt;0),N(U7621),N(U7621)+1))</f>
        <v/>
      </c>
      <c r="V7622" s="19">
        <f>IF($B7622="","",TEXT($B7622,"0000"))</f>
        <v/>
      </c>
      <c r="W7622" s="19">
        <f>IF($I7622="","",IF(ISNUMBER($I7622),TEXT($I7622,"0"),$I7622))</f>
        <v/>
      </c>
    </row>
    <row r="7623">
      <c r="B7623" s="25" t="n"/>
      <c r="I7623" s="25" t="n"/>
      <c r="U7623" s="19">
        <f>IF($V7623&lt;&gt;'設定'!$C$4,N(U7622),IF(OR(NOT(COUNTIF('商品マスタ'!$B$6:$B$1005,$W7623)=0),COUNTIFS('①在庫を貼る'!$V$6:$V$10005,$V7623,'①在庫を貼る'!$W$6:$W$10005,$W7623)+COUNTIFS('月1回_1ヶ月前の在庫'!$V$6:$V$10005,$V7623,'月1回_1ヶ月前の在庫'!$W$6:$W$10005,$W7623)&gt;0),N(U7622),N(U7622)+1))</f>
        <v/>
      </c>
      <c r="V7623" s="19">
        <f>IF($B7623="","",TEXT($B7623,"0000"))</f>
        <v/>
      </c>
      <c r="W7623" s="19">
        <f>IF($I7623="","",IF(ISNUMBER($I7623),TEXT($I7623,"0"),$I7623))</f>
        <v/>
      </c>
    </row>
    <row r="7624">
      <c r="B7624" s="25" t="n"/>
      <c r="I7624" s="25" t="n"/>
      <c r="U7624" s="19">
        <f>IF($V7624&lt;&gt;'設定'!$C$4,N(U7623),IF(OR(NOT(COUNTIF('商品マスタ'!$B$6:$B$1005,$W7624)=0),COUNTIFS('①在庫を貼る'!$V$6:$V$10005,$V7624,'①在庫を貼る'!$W$6:$W$10005,$W7624)+COUNTIFS('月1回_1ヶ月前の在庫'!$V$6:$V$10005,$V7624,'月1回_1ヶ月前の在庫'!$W$6:$W$10005,$W7624)&gt;0),N(U7623),N(U7623)+1))</f>
        <v/>
      </c>
      <c r="V7624" s="19">
        <f>IF($B7624="","",TEXT($B7624,"0000"))</f>
        <v/>
      </c>
      <c r="W7624" s="19">
        <f>IF($I7624="","",IF(ISNUMBER($I7624),TEXT($I7624,"0"),$I7624))</f>
        <v/>
      </c>
    </row>
    <row r="7625">
      <c r="B7625" s="25" t="n"/>
      <c r="I7625" s="25" t="n"/>
      <c r="U7625" s="19">
        <f>IF($V7625&lt;&gt;'設定'!$C$4,N(U7624),IF(OR(NOT(COUNTIF('商品マスタ'!$B$6:$B$1005,$W7625)=0),COUNTIFS('①在庫を貼る'!$V$6:$V$10005,$V7625,'①在庫を貼る'!$W$6:$W$10005,$W7625)+COUNTIFS('月1回_1ヶ月前の在庫'!$V$6:$V$10005,$V7625,'月1回_1ヶ月前の在庫'!$W$6:$W$10005,$W7625)&gt;0),N(U7624),N(U7624)+1))</f>
        <v/>
      </c>
      <c r="V7625" s="19">
        <f>IF($B7625="","",TEXT($B7625,"0000"))</f>
        <v/>
      </c>
      <c r="W7625" s="19">
        <f>IF($I7625="","",IF(ISNUMBER($I7625),TEXT($I7625,"0"),$I7625))</f>
        <v/>
      </c>
    </row>
    <row r="7626">
      <c r="B7626" s="25" t="n"/>
      <c r="I7626" s="25" t="n"/>
      <c r="U7626" s="19">
        <f>IF($V7626&lt;&gt;'設定'!$C$4,N(U7625),IF(OR(NOT(COUNTIF('商品マスタ'!$B$6:$B$1005,$W7626)=0),COUNTIFS('①在庫を貼る'!$V$6:$V$10005,$V7626,'①在庫を貼る'!$W$6:$W$10005,$W7626)+COUNTIFS('月1回_1ヶ月前の在庫'!$V$6:$V$10005,$V7626,'月1回_1ヶ月前の在庫'!$W$6:$W$10005,$W7626)&gt;0),N(U7625),N(U7625)+1))</f>
        <v/>
      </c>
      <c r="V7626" s="19">
        <f>IF($B7626="","",TEXT($B7626,"0000"))</f>
        <v/>
      </c>
      <c r="W7626" s="19">
        <f>IF($I7626="","",IF(ISNUMBER($I7626),TEXT($I7626,"0"),$I7626))</f>
        <v/>
      </c>
    </row>
    <row r="7627">
      <c r="B7627" s="25" t="n"/>
      <c r="I7627" s="25" t="n"/>
      <c r="U7627" s="19">
        <f>IF($V7627&lt;&gt;'設定'!$C$4,N(U7626),IF(OR(NOT(COUNTIF('商品マスタ'!$B$6:$B$1005,$W7627)=0),COUNTIFS('①在庫を貼る'!$V$6:$V$10005,$V7627,'①在庫を貼る'!$W$6:$W$10005,$W7627)+COUNTIFS('月1回_1ヶ月前の在庫'!$V$6:$V$10005,$V7627,'月1回_1ヶ月前の在庫'!$W$6:$W$10005,$W7627)&gt;0),N(U7626),N(U7626)+1))</f>
        <v/>
      </c>
      <c r="V7627" s="19">
        <f>IF($B7627="","",TEXT($B7627,"0000"))</f>
        <v/>
      </c>
      <c r="W7627" s="19">
        <f>IF($I7627="","",IF(ISNUMBER($I7627),TEXT($I7627,"0"),$I7627))</f>
        <v/>
      </c>
    </row>
    <row r="7628">
      <c r="B7628" s="25" t="n"/>
      <c r="I7628" s="25" t="n"/>
      <c r="U7628" s="19">
        <f>IF($V7628&lt;&gt;'設定'!$C$4,N(U7627),IF(OR(NOT(COUNTIF('商品マスタ'!$B$6:$B$1005,$W7628)=0),COUNTIFS('①在庫を貼る'!$V$6:$V$10005,$V7628,'①在庫を貼る'!$W$6:$W$10005,$W7628)+COUNTIFS('月1回_1ヶ月前の在庫'!$V$6:$V$10005,$V7628,'月1回_1ヶ月前の在庫'!$W$6:$W$10005,$W7628)&gt;0),N(U7627),N(U7627)+1))</f>
        <v/>
      </c>
      <c r="V7628" s="19">
        <f>IF($B7628="","",TEXT($B7628,"0000"))</f>
        <v/>
      </c>
      <c r="W7628" s="19">
        <f>IF($I7628="","",IF(ISNUMBER($I7628),TEXT($I7628,"0"),$I7628))</f>
        <v/>
      </c>
    </row>
    <row r="7629">
      <c r="B7629" s="25" t="n"/>
      <c r="I7629" s="25" t="n"/>
      <c r="U7629" s="19">
        <f>IF($V7629&lt;&gt;'設定'!$C$4,N(U7628),IF(OR(NOT(COUNTIF('商品マスタ'!$B$6:$B$1005,$W7629)=0),COUNTIFS('①在庫を貼る'!$V$6:$V$10005,$V7629,'①在庫を貼る'!$W$6:$W$10005,$W7629)+COUNTIFS('月1回_1ヶ月前の在庫'!$V$6:$V$10005,$V7629,'月1回_1ヶ月前の在庫'!$W$6:$W$10005,$W7629)&gt;0),N(U7628),N(U7628)+1))</f>
        <v/>
      </c>
      <c r="V7629" s="19">
        <f>IF($B7629="","",TEXT($B7629,"0000"))</f>
        <v/>
      </c>
      <c r="W7629" s="19">
        <f>IF($I7629="","",IF(ISNUMBER($I7629),TEXT($I7629,"0"),$I7629))</f>
        <v/>
      </c>
    </row>
    <row r="7630">
      <c r="B7630" s="25" t="n"/>
      <c r="I7630" s="25" t="n"/>
      <c r="U7630" s="19">
        <f>IF($V7630&lt;&gt;'設定'!$C$4,N(U7629),IF(OR(NOT(COUNTIF('商品マスタ'!$B$6:$B$1005,$W7630)=0),COUNTIFS('①在庫を貼る'!$V$6:$V$10005,$V7630,'①在庫を貼る'!$W$6:$W$10005,$W7630)+COUNTIFS('月1回_1ヶ月前の在庫'!$V$6:$V$10005,$V7630,'月1回_1ヶ月前の在庫'!$W$6:$W$10005,$W7630)&gt;0),N(U7629),N(U7629)+1))</f>
        <v/>
      </c>
      <c r="V7630" s="19">
        <f>IF($B7630="","",TEXT($B7630,"0000"))</f>
        <v/>
      </c>
      <c r="W7630" s="19">
        <f>IF($I7630="","",IF(ISNUMBER($I7630),TEXT($I7630,"0"),$I7630))</f>
        <v/>
      </c>
    </row>
    <row r="7631">
      <c r="B7631" s="25" t="n"/>
      <c r="I7631" s="25" t="n"/>
      <c r="U7631" s="19">
        <f>IF($V7631&lt;&gt;'設定'!$C$4,N(U7630),IF(OR(NOT(COUNTIF('商品マスタ'!$B$6:$B$1005,$W7631)=0),COUNTIFS('①在庫を貼る'!$V$6:$V$10005,$V7631,'①在庫を貼る'!$W$6:$W$10005,$W7631)+COUNTIFS('月1回_1ヶ月前の在庫'!$V$6:$V$10005,$V7631,'月1回_1ヶ月前の在庫'!$W$6:$W$10005,$W7631)&gt;0),N(U7630),N(U7630)+1))</f>
        <v/>
      </c>
      <c r="V7631" s="19">
        <f>IF($B7631="","",TEXT($B7631,"0000"))</f>
        <v/>
      </c>
      <c r="W7631" s="19">
        <f>IF($I7631="","",IF(ISNUMBER($I7631),TEXT($I7631,"0"),$I7631))</f>
        <v/>
      </c>
    </row>
    <row r="7632">
      <c r="B7632" s="25" t="n"/>
      <c r="I7632" s="25" t="n"/>
      <c r="U7632" s="19">
        <f>IF($V7632&lt;&gt;'設定'!$C$4,N(U7631),IF(OR(NOT(COUNTIF('商品マスタ'!$B$6:$B$1005,$W7632)=0),COUNTIFS('①在庫を貼る'!$V$6:$V$10005,$V7632,'①在庫を貼る'!$W$6:$W$10005,$W7632)+COUNTIFS('月1回_1ヶ月前の在庫'!$V$6:$V$10005,$V7632,'月1回_1ヶ月前の在庫'!$W$6:$W$10005,$W7632)&gt;0),N(U7631),N(U7631)+1))</f>
        <v/>
      </c>
      <c r="V7632" s="19">
        <f>IF($B7632="","",TEXT($B7632,"0000"))</f>
        <v/>
      </c>
      <c r="W7632" s="19">
        <f>IF($I7632="","",IF(ISNUMBER($I7632),TEXT($I7632,"0"),$I7632))</f>
        <v/>
      </c>
    </row>
    <row r="7633">
      <c r="B7633" s="25" t="n"/>
      <c r="I7633" s="25" t="n"/>
      <c r="U7633" s="19">
        <f>IF($V7633&lt;&gt;'設定'!$C$4,N(U7632),IF(OR(NOT(COUNTIF('商品マスタ'!$B$6:$B$1005,$W7633)=0),COUNTIFS('①在庫を貼る'!$V$6:$V$10005,$V7633,'①在庫を貼る'!$W$6:$W$10005,$W7633)+COUNTIFS('月1回_1ヶ月前の在庫'!$V$6:$V$10005,$V7633,'月1回_1ヶ月前の在庫'!$W$6:$W$10005,$W7633)&gt;0),N(U7632),N(U7632)+1))</f>
        <v/>
      </c>
      <c r="V7633" s="19">
        <f>IF($B7633="","",TEXT($B7633,"0000"))</f>
        <v/>
      </c>
      <c r="W7633" s="19">
        <f>IF($I7633="","",IF(ISNUMBER($I7633),TEXT($I7633,"0"),$I7633))</f>
        <v/>
      </c>
    </row>
    <row r="7634">
      <c r="B7634" s="25" t="n"/>
      <c r="I7634" s="25" t="n"/>
      <c r="U7634" s="19">
        <f>IF($V7634&lt;&gt;'設定'!$C$4,N(U7633),IF(OR(NOT(COUNTIF('商品マスタ'!$B$6:$B$1005,$W7634)=0),COUNTIFS('①在庫を貼る'!$V$6:$V$10005,$V7634,'①在庫を貼る'!$W$6:$W$10005,$W7634)+COUNTIFS('月1回_1ヶ月前の在庫'!$V$6:$V$10005,$V7634,'月1回_1ヶ月前の在庫'!$W$6:$W$10005,$W7634)&gt;0),N(U7633),N(U7633)+1))</f>
        <v/>
      </c>
      <c r="V7634" s="19">
        <f>IF($B7634="","",TEXT($B7634,"0000"))</f>
        <v/>
      </c>
      <c r="W7634" s="19">
        <f>IF($I7634="","",IF(ISNUMBER($I7634),TEXT($I7634,"0"),$I7634))</f>
        <v/>
      </c>
    </row>
    <row r="7635">
      <c r="B7635" s="25" t="n"/>
      <c r="I7635" s="25" t="n"/>
      <c r="U7635" s="19">
        <f>IF($V7635&lt;&gt;'設定'!$C$4,N(U7634),IF(OR(NOT(COUNTIF('商品マスタ'!$B$6:$B$1005,$W7635)=0),COUNTIFS('①在庫を貼る'!$V$6:$V$10005,$V7635,'①在庫を貼る'!$W$6:$W$10005,$W7635)+COUNTIFS('月1回_1ヶ月前の在庫'!$V$6:$V$10005,$V7635,'月1回_1ヶ月前の在庫'!$W$6:$W$10005,$W7635)&gt;0),N(U7634),N(U7634)+1))</f>
        <v/>
      </c>
      <c r="V7635" s="19">
        <f>IF($B7635="","",TEXT($B7635,"0000"))</f>
        <v/>
      </c>
      <c r="W7635" s="19">
        <f>IF($I7635="","",IF(ISNUMBER($I7635),TEXT($I7635,"0"),$I7635))</f>
        <v/>
      </c>
    </row>
    <row r="7636">
      <c r="B7636" s="25" t="n"/>
      <c r="I7636" s="25" t="n"/>
      <c r="U7636" s="19">
        <f>IF($V7636&lt;&gt;'設定'!$C$4,N(U7635),IF(OR(NOT(COUNTIF('商品マスタ'!$B$6:$B$1005,$W7636)=0),COUNTIFS('①在庫を貼る'!$V$6:$V$10005,$V7636,'①在庫を貼る'!$W$6:$W$10005,$W7636)+COUNTIFS('月1回_1ヶ月前の在庫'!$V$6:$V$10005,$V7636,'月1回_1ヶ月前の在庫'!$W$6:$W$10005,$W7636)&gt;0),N(U7635),N(U7635)+1))</f>
        <v/>
      </c>
      <c r="V7636" s="19">
        <f>IF($B7636="","",TEXT($B7636,"0000"))</f>
        <v/>
      </c>
      <c r="W7636" s="19">
        <f>IF($I7636="","",IF(ISNUMBER($I7636),TEXT($I7636,"0"),$I7636))</f>
        <v/>
      </c>
    </row>
    <row r="7637">
      <c r="B7637" s="25" t="n"/>
      <c r="I7637" s="25" t="n"/>
      <c r="U7637" s="19">
        <f>IF($V7637&lt;&gt;'設定'!$C$4,N(U7636),IF(OR(NOT(COUNTIF('商品マスタ'!$B$6:$B$1005,$W7637)=0),COUNTIFS('①在庫を貼る'!$V$6:$V$10005,$V7637,'①在庫を貼る'!$W$6:$W$10005,$W7637)+COUNTIFS('月1回_1ヶ月前の在庫'!$V$6:$V$10005,$V7637,'月1回_1ヶ月前の在庫'!$W$6:$W$10005,$W7637)&gt;0),N(U7636),N(U7636)+1))</f>
        <v/>
      </c>
      <c r="V7637" s="19">
        <f>IF($B7637="","",TEXT($B7637,"0000"))</f>
        <v/>
      </c>
      <c r="W7637" s="19">
        <f>IF($I7637="","",IF(ISNUMBER($I7637),TEXT($I7637,"0"),$I7637))</f>
        <v/>
      </c>
    </row>
    <row r="7638">
      <c r="B7638" s="25" t="n"/>
      <c r="I7638" s="25" t="n"/>
      <c r="U7638" s="19">
        <f>IF($V7638&lt;&gt;'設定'!$C$4,N(U7637),IF(OR(NOT(COUNTIF('商品マスタ'!$B$6:$B$1005,$W7638)=0),COUNTIFS('①在庫を貼る'!$V$6:$V$10005,$V7638,'①在庫を貼る'!$W$6:$W$10005,$W7638)+COUNTIFS('月1回_1ヶ月前の在庫'!$V$6:$V$10005,$V7638,'月1回_1ヶ月前の在庫'!$W$6:$W$10005,$W7638)&gt;0),N(U7637),N(U7637)+1))</f>
        <v/>
      </c>
      <c r="V7638" s="19">
        <f>IF($B7638="","",TEXT($B7638,"0000"))</f>
        <v/>
      </c>
      <c r="W7638" s="19">
        <f>IF($I7638="","",IF(ISNUMBER($I7638),TEXT($I7638,"0"),$I7638))</f>
        <v/>
      </c>
    </row>
    <row r="7639">
      <c r="B7639" s="25" t="n"/>
      <c r="I7639" s="25" t="n"/>
      <c r="U7639" s="19">
        <f>IF($V7639&lt;&gt;'設定'!$C$4,N(U7638),IF(OR(NOT(COUNTIF('商品マスタ'!$B$6:$B$1005,$W7639)=0),COUNTIFS('①在庫を貼る'!$V$6:$V$10005,$V7639,'①在庫を貼る'!$W$6:$W$10005,$W7639)+COUNTIFS('月1回_1ヶ月前の在庫'!$V$6:$V$10005,$V7639,'月1回_1ヶ月前の在庫'!$W$6:$W$10005,$W7639)&gt;0),N(U7638),N(U7638)+1))</f>
        <v/>
      </c>
      <c r="V7639" s="19">
        <f>IF($B7639="","",TEXT($B7639,"0000"))</f>
        <v/>
      </c>
      <c r="W7639" s="19">
        <f>IF($I7639="","",IF(ISNUMBER($I7639),TEXT($I7639,"0"),$I7639))</f>
        <v/>
      </c>
    </row>
    <row r="7640">
      <c r="B7640" s="25" t="n"/>
      <c r="I7640" s="25" t="n"/>
      <c r="U7640" s="19">
        <f>IF($V7640&lt;&gt;'設定'!$C$4,N(U7639),IF(OR(NOT(COUNTIF('商品マスタ'!$B$6:$B$1005,$W7640)=0),COUNTIFS('①在庫を貼る'!$V$6:$V$10005,$V7640,'①在庫を貼る'!$W$6:$W$10005,$W7640)+COUNTIFS('月1回_1ヶ月前の在庫'!$V$6:$V$10005,$V7640,'月1回_1ヶ月前の在庫'!$W$6:$W$10005,$W7640)&gt;0),N(U7639),N(U7639)+1))</f>
        <v/>
      </c>
      <c r="V7640" s="19">
        <f>IF($B7640="","",TEXT($B7640,"0000"))</f>
        <v/>
      </c>
      <c r="W7640" s="19">
        <f>IF($I7640="","",IF(ISNUMBER($I7640),TEXT($I7640,"0"),$I7640))</f>
        <v/>
      </c>
    </row>
    <row r="7641">
      <c r="B7641" s="25" t="n"/>
      <c r="I7641" s="25" t="n"/>
      <c r="U7641" s="19">
        <f>IF($V7641&lt;&gt;'設定'!$C$4,N(U7640),IF(OR(NOT(COUNTIF('商品マスタ'!$B$6:$B$1005,$W7641)=0),COUNTIFS('①在庫を貼る'!$V$6:$V$10005,$V7641,'①在庫を貼る'!$W$6:$W$10005,$W7641)+COUNTIFS('月1回_1ヶ月前の在庫'!$V$6:$V$10005,$V7641,'月1回_1ヶ月前の在庫'!$W$6:$W$10005,$W7641)&gt;0),N(U7640),N(U7640)+1))</f>
        <v/>
      </c>
      <c r="V7641" s="19">
        <f>IF($B7641="","",TEXT($B7641,"0000"))</f>
        <v/>
      </c>
      <c r="W7641" s="19">
        <f>IF($I7641="","",IF(ISNUMBER($I7641),TEXT($I7641,"0"),$I7641))</f>
        <v/>
      </c>
    </row>
    <row r="7642">
      <c r="B7642" s="25" t="n"/>
      <c r="I7642" s="25" t="n"/>
      <c r="U7642" s="19">
        <f>IF($V7642&lt;&gt;'設定'!$C$4,N(U7641),IF(OR(NOT(COUNTIF('商品マスタ'!$B$6:$B$1005,$W7642)=0),COUNTIFS('①在庫を貼る'!$V$6:$V$10005,$V7642,'①在庫を貼る'!$W$6:$W$10005,$W7642)+COUNTIFS('月1回_1ヶ月前の在庫'!$V$6:$V$10005,$V7642,'月1回_1ヶ月前の在庫'!$W$6:$W$10005,$W7642)&gt;0),N(U7641),N(U7641)+1))</f>
        <v/>
      </c>
      <c r="V7642" s="19">
        <f>IF($B7642="","",TEXT($B7642,"0000"))</f>
        <v/>
      </c>
      <c r="W7642" s="19">
        <f>IF($I7642="","",IF(ISNUMBER($I7642),TEXT($I7642,"0"),$I7642))</f>
        <v/>
      </c>
    </row>
    <row r="7643">
      <c r="B7643" s="25" t="n"/>
      <c r="I7643" s="25" t="n"/>
      <c r="U7643" s="19">
        <f>IF($V7643&lt;&gt;'設定'!$C$4,N(U7642),IF(OR(NOT(COUNTIF('商品マスタ'!$B$6:$B$1005,$W7643)=0),COUNTIFS('①在庫を貼る'!$V$6:$V$10005,$V7643,'①在庫を貼る'!$W$6:$W$10005,$W7643)+COUNTIFS('月1回_1ヶ月前の在庫'!$V$6:$V$10005,$V7643,'月1回_1ヶ月前の在庫'!$W$6:$W$10005,$W7643)&gt;0),N(U7642),N(U7642)+1))</f>
        <v/>
      </c>
      <c r="V7643" s="19">
        <f>IF($B7643="","",TEXT($B7643,"0000"))</f>
        <v/>
      </c>
      <c r="W7643" s="19">
        <f>IF($I7643="","",IF(ISNUMBER($I7643),TEXT($I7643,"0"),$I7643))</f>
        <v/>
      </c>
    </row>
    <row r="7644">
      <c r="B7644" s="25" t="n"/>
      <c r="I7644" s="25" t="n"/>
      <c r="U7644" s="19">
        <f>IF($V7644&lt;&gt;'設定'!$C$4,N(U7643),IF(OR(NOT(COUNTIF('商品マスタ'!$B$6:$B$1005,$W7644)=0),COUNTIFS('①在庫を貼る'!$V$6:$V$10005,$V7644,'①在庫を貼る'!$W$6:$W$10005,$W7644)+COUNTIFS('月1回_1ヶ月前の在庫'!$V$6:$V$10005,$V7644,'月1回_1ヶ月前の在庫'!$W$6:$W$10005,$W7644)&gt;0),N(U7643),N(U7643)+1))</f>
        <v/>
      </c>
      <c r="V7644" s="19">
        <f>IF($B7644="","",TEXT($B7644,"0000"))</f>
        <v/>
      </c>
      <c r="W7644" s="19">
        <f>IF($I7644="","",IF(ISNUMBER($I7644),TEXT($I7644,"0"),$I7644))</f>
        <v/>
      </c>
    </row>
    <row r="7645">
      <c r="B7645" s="25" t="n"/>
      <c r="I7645" s="25" t="n"/>
      <c r="U7645" s="19">
        <f>IF($V7645&lt;&gt;'設定'!$C$4,N(U7644),IF(OR(NOT(COUNTIF('商品マスタ'!$B$6:$B$1005,$W7645)=0),COUNTIFS('①在庫を貼る'!$V$6:$V$10005,$V7645,'①在庫を貼る'!$W$6:$W$10005,$W7645)+COUNTIFS('月1回_1ヶ月前の在庫'!$V$6:$V$10005,$V7645,'月1回_1ヶ月前の在庫'!$W$6:$W$10005,$W7645)&gt;0),N(U7644),N(U7644)+1))</f>
        <v/>
      </c>
      <c r="V7645" s="19">
        <f>IF($B7645="","",TEXT($B7645,"0000"))</f>
        <v/>
      </c>
      <c r="W7645" s="19">
        <f>IF($I7645="","",IF(ISNUMBER($I7645),TEXT($I7645,"0"),$I7645))</f>
        <v/>
      </c>
    </row>
    <row r="7646">
      <c r="B7646" s="25" t="n"/>
      <c r="I7646" s="25" t="n"/>
      <c r="U7646" s="19">
        <f>IF($V7646&lt;&gt;'設定'!$C$4,N(U7645),IF(OR(NOT(COUNTIF('商品マスタ'!$B$6:$B$1005,$W7646)=0),COUNTIFS('①在庫を貼る'!$V$6:$V$10005,$V7646,'①在庫を貼る'!$W$6:$W$10005,$W7646)+COUNTIFS('月1回_1ヶ月前の在庫'!$V$6:$V$10005,$V7646,'月1回_1ヶ月前の在庫'!$W$6:$W$10005,$W7646)&gt;0),N(U7645),N(U7645)+1))</f>
        <v/>
      </c>
      <c r="V7646" s="19">
        <f>IF($B7646="","",TEXT($B7646,"0000"))</f>
        <v/>
      </c>
      <c r="W7646" s="19">
        <f>IF($I7646="","",IF(ISNUMBER($I7646),TEXT($I7646,"0"),$I7646))</f>
        <v/>
      </c>
    </row>
    <row r="7647">
      <c r="B7647" s="25" t="n"/>
      <c r="I7647" s="25" t="n"/>
      <c r="U7647" s="19">
        <f>IF($V7647&lt;&gt;'設定'!$C$4,N(U7646),IF(OR(NOT(COUNTIF('商品マスタ'!$B$6:$B$1005,$W7647)=0),COUNTIFS('①在庫を貼る'!$V$6:$V$10005,$V7647,'①在庫を貼る'!$W$6:$W$10005,$W7647)+COUNTIFS('月1回_1ヶ月前の在庫'!$V$6:$V$10005,$V7647,'月1回_1ヶ月前の在庫'!$W$6:$W$10005,$W7647)&gt;0),N(U7646),N(U7646)+1))</f>
        <v/>
      </c>
      <c r="V7647" s="19">
        <f>IF($B7647="","",TEXT($B7647,"0000"))</f>
        <v/>
      </c>
      <c r="W7647" s="19">
        <f>IF($I7647="","",IF(ISNUMBER($I7647),TEXT($I7647,"0"),$I7647))</f>
        <v/>
      </c>
    </row>
    <row r="7648">
      <c r="B7648" s="25" t="n"/>
      <c r="I7648" s="25" t="n"/>
      <c r="U7648" s="19">
        <f>IF($V7648&lt;&gt;'設定'!$C$4,N(U7647),IF(OR(NOT(COUNTIF('商品マスタ'!$B$6:$B$1005,$W7648)=0),COUNTIFS('①在庫を貼る'!$V$6:$V$10005,$V7648,'①在庫を貼る'!$W$6:$W$10005,$W7648)+COUNTIFS('月1回_1ヶ月前の在庫'!$V$6:$V$10005,$V7648,'月1回_1ヶ月前の在庫'!$W$6:$W$10005,$W7648)&gt;0),N(U7647),N(U7647)+1))</f>
        <v/>
      </c>
      <c r="V7648" s="19">
        <f>IF($B7648="","",TEXT($B7648,"0000"))</f>
        <v/>
      </c>
      <c r="W7648" s="19">
        <f>IF($I7648="","",IF(ISNUMBER($I7648),TEXT($I7648,"0"),$I7648))</f>
        <v/>
      </c>
    </row>
    <row r="7649">
      <c r="B7649" s="25" t="n"/>
      <c r="I7649" s="25" t="n"/>
      <c r="U7649" s="19">
        <f>IF($V7649&lt;&gt;'設定'!$C$4,N(U7648),IF(OR(NOT(COUNTIF('商品マスタ'!$B$6:$B$1005,$W7649)=0),COUNTIFS('①在庫を貼る'!$V$6:$V$10005,$V7649,'①在庫を貼る'!$W$6:$W$10005,$W7649)+COUNTIFS('月1回_1ヶ月前の在庫'!$V$6:$V$10005,$V7649,'月1回_1ヶ月前の在庫'!$W$6:$W$10005,$W7649)&gt;0),N(U7648),N(U7648)+1))</f>
        <v/>
      </c>
      <c r="V7649" s="19">
        <f>IF($B7649="","",TEXT($B7649,"0000"))</f>
        <v/>
      </c>
      <c r="W7649" s="19">
        <f>IF($I7649="","",IF(ISNUMBER($I7649),TEXT($I7649,"0"),$I7649))</f>
        <v/>
      </c>
    </row>
    <row r="7650">
      <c r="B7650" s="25" t="n"/>
      <c r="I7650" s="25" t="n"/>
      <c r="U7650" s="19">
        <f>IF($V7650&lt;&gt;'設定'!$C$4,N(U7649),IF(OR(NOT(COUNTIF('商品マスタ'!$B$6:$B$1005,$W7650)=0),COUNTIFS('①在庫を貼る'!$V$6:$V$10005,$V7650,'①在庫を貼る'!$W$6:$W$10005,$W7650)+COUNTIFS('月1回_1ヶ月前の在庫'!$V$6:$V$10005,$V7650,'月1回_1ヶ月前の在庫'!$W$6:$W$10005,$W7650)&gt;0),N(U7649),N(U7649)+1))</f>
        <v/>
      </c>
      <c r="V7650" s="19">
        <f>IF($B7650="","",TEXT($B7650,"0000"))</f>
        <v/>
      </c>
      <c r="W7650" s="19">
        <f>IF($I7650="","",IF(ISNUMBER($I7650),TEXT($I7650,"0"),$I7650))</f>
        <v/>
      </c>
    </row>
    <row r="7651">
      <c r="B7651" s="25" t="n"/>
      <c r="I7651" s="25" t="n"/>
      <c r="U7651" s="19">
        <f>IF($V7651&lt;&gt;'設定'!$C$4,N(U7650),IF(OR(NOT(COUNTIF('商品マスタ'!$B$6:$B$1005,$W7651)=0),COUNTIFS('①在庫を貼る'!$V$6:$V$10005,$V7651,'①在庫を貼る'!$W$6:$W$10005,$W7651)+COUNTIFS('月1回_1ヶ月前の在庫'!$V$6:$V$10005,$V7651,'月1回_1ヶ月前の在庫'!$W$6:$W$10005,$W7651)&gt;0),N(U7650),N(U7650)+1))</f>
        <v/>
      </c>
      <c r="V7651" s="19">
        <f>IF($B7651="","",TEXT($B7651,"0000"))</f>
        <v/>
      </c>
      <c r="W7651" s="19">
        <f>IF($I7651="","",IF(ISNUMBER($I7651),TEXT($I7651,"0"),$I7651))</f>
        <v/>
      </c>
    </row>
    <row r="7652">
      <c r="B7652" s="25" t="n"/>
      <c r="I7652" s="25" t="n"/>
      <c r="U7652" s="19">
        <f>IF($V7652&lt;&gt;'設定'!$C$4,N(U7651),IF(OR(NOT(COUNTIF('商品マスタ'!$B$6:$B$1005,$W7652)=0),COUNTIFS('①在庫を貼る'!$V$6:$V$10005,$V7652,'①在庫を貼る'!$W$6:$W$10005,$W7652)+COUNTIFS('月1回_1ヶ月前の在庫'!$V$6:$V$10005,$V7652,'月1回_1ヶ月前の在庫'!$W$6:$W$10005,$W7652)&gt;0),N(U7651),N(U7651)+1))</f>
        <v/>
      </c>
      <c r="V7652" s="19">
        <f>IF($B7652="","",TEXT($B7652,"0000"))</f>
        <v/>
      </c>
      <c r="W7652" s="19">
        <f>IF($I7652="","",IF(ISNUMBER($I7652),TEXT($I7652,"0"),$I7652))</f>
        <v/>
      </c>
    </row>
    <row r="7653">
      <c r="B7653" s="25" t="n"/>
      <c r="I7653" s="25" t="n"/>
      <c r="U7653" s="19">
        <f>IF($V7653&lt;&gt;'設定'!$C$4,N(U7652),IF(OR(NOT(COUNTIF('商品マスタ'!$B$6:$B$1005,$W7653)=0),COUNTIFS('①在庫を貼る'!$V$6:$V$10005,$V7653,'①在庫を貼る'!$W$6:$W$10005,$W7653)+COUNTIFS('月1回_1ヶ月前の在庫'!$V$6:$V$10005,$V7653,'月1回_1ヶ月前の在庫'!$W$6:$W$10005,$W7653)&gt;0),N(U7652),N(U7652)+1))</f>
        <v/>
      </c>
      <c r="V7653" s="19">
        <f>IF($B7653="","",TEXT($B7653,"0000"))</f>
        <v/>
      </c>
      <c r="W7653" s="19">
        <f>IF($I7653="","",IF(ISNUMBER($I7653),TEXT($I7653,"0"),$I7653))</f>
        <v/>
      </c>
    </row>
    <row r="7654">
      <c r="B7654" s="25" t="n"/>
      <c r="I7654" s="25" t="n"/>
      <c r="U7654" s="19">
        <f>IF($V7654&lt;&gt;'設定'!$C$4,N(U7653),IF(OR(NOT(COUNTIF('商品マスタ'!$B$6:$B$1005,$W7654)=0),COUNTIFS('①在庫を貼る'!$V$6:$V$10005,$V7654,'①在庫を貼る'!$W$6:$W$10005,$W7654)+COUNTIFS('月1回_1ヶ月前の在庫'!$V$6:$V$10005,$V7654,'月1回_1ヶ月前の在庫'!$W$6:$W$10005,$W7654)&gt;0),N(U7653),N(U7653)+1))</f>
        <v/>
      </c>
      <c r="V7654" s="19">
        <f>IF($B7654="","",TEXT($B7654,"0000"))</f>
        <v/>
      </c>
      <c r="W7654" s="19">
        <f>IF($I7654="","",IF(ISNUMBER($I7654),TEXT($I7654,"0"),$I7654))</f>
        <v/>
      </c>
    </row>
    <row r="7655">
      <c r="B7655" s="25" t="n"/>
      <c r="I7655" s="25" t="n"/>
      <c r="U7655" s="19">
        <f>IF($V7655&lt;&gt;'設定'!$C$4,N(U7654),IF(OR(NOT(COUNTIF('商品マスタ'!$B$6:$B$1005,$W7655)=0),COUNTIFS('①在庫を貼る'!$V$6:$V$10005,$V7655,'①在庫を貼る'!$W$6:$W$10005,$W7655)+COUNTIFS('月1回_1ヶ月前の在庫'!$V$6:$V$10005,$V7655,'月1回_1ヶ月前の在庫'!$W$6:$W$10005,$W7655)&gt;0),N(U7654),N(U7654)+1))</f>
        <v/>
      </c>
      <c r="V7655" s="19">
        <f>IF($B7655="","",TEXT($B7655,"0000"))</f>
        <v/>
      </c>
      <c r="W7655" s="19">
        <f>IF($I7655="","",IF(ISNUMBER($I7655),TEXT($I7655,"0"),$I7655))</f>
        <v/>
      </c>
    </row>
    <row r="7656">
      <c r="B7656" s="25" t="n"/>
      <c r="I7656" s="25" t="n"/>
      <c r="U7656" s="19">
        <f>IF($V7656&lt;&gt;'設定'!$C$4,N(U7655),IF(OR(NOT(COUNTIF('商品マスタ'!$B$6:$B$1005,$W7656)=0),COUNTIFS('①在庫を貼る'!$V$6:$V$10005,$V7656,'①在庫を貼る'!$W$6:$W$10005,$W7656)+COUNTIFS('月1回_1ヶ月前の在庫'!$V$6:$V$10005,$V7656,'月1回_1ヶ月前の在庫'!$W$6:$W$10005,$W7656)&gt;0),N(U7655),N(U7655)+1))</f>
        <v/>
      </c>
      <c r="V7656" s="19">
        <f>IF($B7656="","",TEXT($B7656,"0000"))</f>
        <v/>
      </c>
      <c r="W7656" s="19">
        <f>IF($I7656="","",IF(ISNUMBER($I7656),TEXT($I7656,"0"),$I7656))</f>
        <v/>
      </c>
    </row>
    <row r="7657">
      <c r="B7657" s="25" t="n"/>
      <c r="I7657" s="25" t="n"/>
      <c r="U7657" s="19">
        <f>IF($V7657&lt;&gt;'設定'!$C$4,N(U7656),IF(OR(NOT(COUNTIF('商品マスタ'!$B$6:$B$1005,$W7657)=0),COUNTIFS('①在庫を貼る'!$V$6:$V$10005,$V7657,'①在庫を貼る'!$W$6:$W$10005,$W7657)+COUNTIFS('月1回_1ヶ月前の在庫'!$V$6:$V$10005,$V7657,'月1回_1ヶ月前の在庫'!$W$6:$W$10005,$W7657)&gt;0),N(U7656),N(U7656)+1))</f>
        <v/>
      </c>
      <c r="V7657" s="19">
        <f>IF($B7657="","",TEXT($B7657,"0000"))</f>
        <v/>
      </c>
      <c r="W7657" s="19">
        <f>IF($I7657="","",IF(ISNUMBER($I7657),TEXT($I7657,"0"),$I7657))</f>
        <v/>
      </c>
    </row>
    <row r="7658">
      <c r="B7658" s="25" t="n"/>
      <c r="I7658" s="25" t="n"/>
      <c r="U7658" s="19">
        <f>IF($V7658&lt;&gt;'設定'!$C$4,N(U7657),IF(OR(NOT(COUNTIF('商品マスタ'!$B$6:$B$1005,$W7658)=0),COUNTIFS('①在庫を貼る'!$V$6:$V$10005,$V7658,'①在庫を貼る'!$W$6:$W$10005,$W7658)+COUNTIFS('月1回_1ヶ月前の在庫'!$V$6:$V$10005,$V7658,'月1回_1ヶ月前の在庫'!$W$6:$W$10005,$W7658)&gt;0),N(U7657),N(U7657)+1))</f>
        <v/>
      </c>
      <c r="V7658" s="19">
        <f>IF($B7658="","",TEXT($B7658,"0000"))</f>
        <v/>
      </c>
      <c r="W7658" s="19">
        <f>IF($I7658="","",IF(ISNUMBER($I7658),TEXT($I7658,"0"),$I7658))</f>
        <v/>
      </c>
    </row>
    <row r="7659">
      <c r="B7659" s="25" t="n"/>
      <c r="I7659" s="25" t="n"/>
      <c r="U7659" s="19">
        <f>IF($V7659&lt;&gt;'設定'!$C$4,N(U7658),IF(OR(NOT(COUNTIF('商品マスタ'!$B$6:$B$1005,$W7659)=0),COUNTIFS('①在庫を貼る'!$V$6:$V$10005,$V7659,'①在庫を貼る'!$W$6:$W$10005,$W7659)+COUNTIFS('月1回_1ヶ月前の在庫'!$V$6:$V$10005,$V7659,'月1回_1ヶ月前の在庫'!$W$6:$W$10005,$W7659)&gt;0),N(U7658),N(U7658)+1))</f>
        <v/>
      </c>
      <c r="V7659" s="19">
        <f>IF($B7659="","",TEXT($B7659,"0000"))</f>
        <v/>
      </c>
      <c r="W7659" s="19">
        <f>IF($I7659="","",IF(ISNUMBER($I7659),TEXT($I7659,"0"),$I7659))</f>
        <v/>
      </c>
    </row>
    <row r="7660">
      <c r="B7660" s="25" t="n"/>
      <c r="I7660" s="25" t="n"/>
      <c r="U7660" s="19">
        <f>IF($V7660&lt;&gt;'設定'!$C$4,N(U7659),IF(OR(NOT(COUNTIF('商品マスタ'!$B$6:$B$1005,$W7660)=0),COUNTIFS('①在庫を貼る'!$V$6:$V$10005,$V7660,'①在庫を貼る'!$W$6:$W$10005,$W7660)+COUNTIFS('月1回_1ヶ月前の在庫'!$V$6:$V$10005,$V7660,'月1回_1ヶ月前の在庫'!$W$6:$W$10005,$W7660)&gt;0),N(U7659),N(U7659)+1))</f>
        <v/>
      </c>
      <c r="V7660" s="19">
        <f>IF($B7660="","",TEXT($B7660,"0000"))</f>
        <v/>
      </c>
      <c r="W7660" s="19">
        <f>IF($I7660="","",IF(ISNUMBER($I7660),TEXT($I7660,"0"),$I7660))</f>
        <v/>
      </c>
    </row>
    <row r="7661">
      <c r="B7661" s="25" t="n"/>
      <c r="I7661" s="25" t="n"/>
      <c r="U7661" s="19">
        <f>IF($V7661&lt;&gt;'設定'!$C$4,N(U7660),IF(OR(NOT(COUNTIF('商品マスタ'!$B$6:$B$1005,$W7661)=0),COUNTIFS('①在庫を貼る'!$V$6:$V$10005,$V7661,'①在庫を貼る'!$W$6:$W$10005,$W7661)+COUNTIFS('月1回_1ヶ月前の在庫'!$V$6:$V$10005,$V7661,'月1回_1ヶ月前の在庫'!$W$6:$W$10005,$W7661)&gt;0),N(U7660),N(U7660)+1))</f>
        <v/>
      </c>
      <c r="V7661" s="19">
        <f>IF($B7661="","",TEXT($B7661,"0000"))</f>
        <v/>
      </c>
      <c r="W7661" s="19">
        <f>IF($I7661="","",IF(ISNUMBER($I7661),TEXT($I7661,"0"),$I7661))</f>
        <v/>
      </c>
    </row>
    <row r="7662">
      <c r="B7662" s="25" t="n"/>
      <c r="I7662" s="25" t="n"/>
      <c r="U7662" s="19">
        <f>IF($V7662&lt;&gt;'設定'!$C$4,N(U7661),IF(OR(NOT(COUNTIF('商品マスタ'!$B$6:$B$1005,$W7662)=0),COUNTIFS('①在庫を貼る'!$V$6:$V$10005,$V7662,'①在庫を貼る'!$W$6:$W$10005,$W7662)+COUNTIFS('月1回_1ヶ月前の在庫'!$V$6:$V$10005,$V7662,'月1回_1ヶ月前の在庫'!$W$6:$W$10005,$W7662)&gt;0),N(U7661),N(U7661)+1))</f>
        <v/>
      </c>
      <c r="V7662" s="19">
        <f>IF($B7662="","",TEXT($B7662,"0000"))</f>
        <v/>
      </c>
      <c r="W7662" s="19">
        <f>IF($I7662="","",IF(ISNUMBER($I7662),TEXT($I7662,"0"),$I7662))</f>
        <v/>
      </c>
    </row>
    <row r="7663">
      <c r="B7663" s="25" t="n"/>
      <c r="I7663" s="25" t="n"/>
      <c r="U7663" s="19">
        <f>IF($V7663&lt;&gt;'設定'!$C$4,N(U7662),IF(OR(NOT(COUNTIF('商品マスタ'!$B$6:$B$1005,$W7663)=0),COUNTIFS('①在庫を貼る'!$V$6:$V$10005,$V7663,'①在庫を貼る'!$W$6:$W$10005,$W7663)+COUNTIFS('月1回_1ヶ月前の在庫'!$V$6:$V$10005,$V7663,'月1回_1ヶ月前の在庫'!$W$6:$W$10005,$W7663)&gt;0),N(U7662),N(U7662)+1))</f>
        <v/>
      </c>
      <c r="V7663" s="19">
        <f>IF($B7663="","",TEXT($B7663,"0000"))</f>
        <v/>
      </c>
      <c r="W7663" s="19">
        <f>IF($I7663="","",IF(ISNUMBER($I7663),TEXT($I7663,"0"),$I7663))</f>
        <v/>
      </c>
    </row>
    <row r="7664">
      <c r="B7664" s="25" t="n"/>
      <c r="I7664" s="25" t="n"/>
      <c r="U7664" s="19">
        <f>IF($V7664&lt;&gt;'設定'!$C$4,N(U7663),IF(OR(NOT(COUNTIF('商品マスタ'!$B$6:$B$1005,$W7664)=0),COUNTIFS('①在庫を貼る'!$V$6:$V$10005,$V7664,'①在庫を貼る'!$W$6:$W$10005,$W7664)+COUNTIFS('月1回_1ヶ月前の在庫'!$V$6:$V$10005,$V7664,'月1回_1ヶ月前の在庫'!$W$6:$W$10005,$W7664)&gt;0),N(U7663),N(U7663)+1))</f>
        <v/>
      </c>
      <c r="V7664" s="19">
        <f>IF($B7664="","",TEXT($B7664,"0000"))</f>
        <v/>
      </c>
      <c r="W7664" s="19">
        <f>IF($I7664="","",IF(ISNUMBER($I7664),TEXT($I7664,"0"),$I7664))</f>
        <v/>
      </c>
    </row>
    <row r="7665">
      <c r="B7665" s="25" t="n"/>
      <c r="I7665" s="25" t="n"/>
      <c r="U7665" s="19">
        <f>IF($V7665&lt;&gt;'設定'!$C$4,N(U7664),IF(OR(NOT(COUNTIF('商品マスタ'!$B$6:$B$1005,$W7665)=0),COUNTIFS('①在庫を貼る'!$V$6:$V$10005,$V7665,'①在庫を貼る'!$W$6:$W$10005,$W7665)+COUNTIFS('月1回_1ヶ月前の在庫'!$V$6:$V$10005,$V7665,'月1回_1ヶ月前の在庫'!$W$6:$W$10005,$W7665)&gt;0),N(U7664),N(U7664)+1))</f>
        <v/>
      </c>
      <c r="V7665" s="19">
        <f>IF($B7665="","",TEXT($B7665,"0000"))</f>
        <v/>
      </c>
      <c r="W7665" s="19">
        <f>IF($I7665="","",IF(ISNUMBER($I7665),TEXT($I7665,"0"),$I7665))</f>
        <v/>
      </c>
    </row>
    <row r="7666">
      <c r="B7666" s="25" t="n"/>
      <c r="I7666" s="25" t="n"/>
      <c r="U7666" s="19">
        <f>IF($V7666&lt;&gt;'設定'!$C$4,N(U7665),IF(OR(NOT(COUNTIF('商品マスタ'!$B$6:$B$1005,$W7666)=0),COUNTIFS('①在庫を貼る'!$V$6:$V$10005,$V7666,'①在庫を貼る'!$W$6:$W$10005,$W7666)+COUNTIFS('月1回_1ヶ月前の在庫'!$V$6:$V$10005,$V7666,'月1回_1ヶ月前の在庫'!$W$6:$W$10005,$W7666)&gt;0),N(U7665),N(U7665)+1))</f>
        <v/>
      </c>
      <c r="V7666" s="19">
        <f>IF($B7666="","",TEXT($B7666,"0000"))</f>
        <v/>
      </c>
      <c r="W7666" s="19">
        <f>IF($I7666="","",IF(ISNUMBER($I7666),TEXT($I7666,"0"),$I7666))</f>
        <v/>
      </c>
    </row>
    <row r="7667">
      <c r="B7667" s="25" t="n"/>
      <c r="I7667" s="25" t="n"/>
      <c r="U7667" s="19">
        <f>IF($V7667&lt;&gt;'設定'!$C$4,N(U7666),IF(OR(NOT(COUNTIF('商品マスタ'!$B$6:$B$1005,$W7667)=0),COUNTIFS('①在庫を貼る'!$V$6:$V$10005,$V7667,'①在庫を貼る'!$W$6:$W$10005,$W7667)+COUNTIFS('月1回_1ヶ月前の在庫'!$V$6:$V$10005,$V7667,'月1回_1ヶ月前の在庫'!$W$6:$W$10005,$W7667)&gt;0),N(U7666),N(U7666)+1))</f>
        <v/>
      </c>
      <c r="V7667" s="19">
        <f>IF($B7667="","",TEXT($B7667,"0000"))</f>
        <v/>
      </c>
      <c r="W7667" s="19">
        <f>IF($I7667="","",IF(ISNUMBER($I7667),TEXT($I7667,"0"),$I7667))</f>
        <v/>
      </c>
    </row>
    <row r="7668">
      <c r="B7668" s="25" t="n"/>
      <c r="I7668" s="25" t="n"/>
      <c r="U7668" s="19">
        <f>IF($V7668&lt;&gt;'設定'!$C$4,N(U7667),IF(OR(NOT(COUNTIF('商品マスタ'!$B$6:$B$1005,$W7668)=0),COUNTIFS('①在庫を貼る'!$V$6:$V$10005,$V7668,'①在庫を貼る'!$W$6:$W$10005,$W7668)+COUNTIFS('月1回_1ヶ月前の在庫'!$V$6:$V$10005,$V7668,'月1回_1ヶ月前の在庫'!$W$6:$W$10005,$W7668)&gt;0),N(U7667),N(U7667)+1))</f>
        <v/>
      </c>
      <c r="V7668" s="19">
        <f>IF($B7668="","",TEXT($B7668,"0000"))</f>
        <v/>
      </c>
      <c r="W7668" s="19">
        <f>IF($I7668="","",IF(ISNUMBER($I7668),TEXT($I7668,"0"),$I7668))</f>
        <v/>
      </c>
    </row>
    <row r="7669">
      <c r="B7669" s="25" t="n"/>
      <c r="I7669" s="25" t="n"/>
      <c r="U7669" s="19">
        <f>IF($V7669&lt;&gt;'設定'!$C$4,N(U7668),IF(OR(NOT(COUNTIF('商品マスタ'!$B$6:$B$1005,$W7669)=0),COUNTIFS('①在庫を貼る'!$V$6:$V$10005,$V7669,'①在庫を貼る'!$W$6:$W$10005,$W7669)+COUNTIFS('月1回_1ヶ月前の在庫'!$V$6:$V$10005,$V7669,'月1回_1ヶ月前の在庫'!$W$6:$W$10005,$W7669)&gt;0),N(U7668),N(U7668)+1))</f>
        <v/>
      </c>
      <c r="V7669" s="19">
        <f>IF($B7669="","",TEXT($B7669,"0000"))</f>
        <v/>
      </c>
      <c r="W7669" s="19">
        <f>IF($I7669="","",IF(ISNUMBER($I7669),TEXT($I7669,"0"),$I7669))</f>
        <v/>
      </c>
    </row>
    <row r="7670">
      <c r="B7670" s="25" t="n"/>
      <c r="I7670" s="25" t="n"/>
      <c r="U7670" s="19">
        <f>IF($V7670&lt;&gt;'設定'!$C$4,N(U7669),IF(OR(NOT(COUNTIF('商品マスタ'!$B$6:$B$1005,$W7670)=0),COUNTIFS('①在庫を貼る'!$V$6:$V$10005,$V7670,'①在庫を貼る'!$W$6:$W$10005,$W7670)+COUNTIFS('月1回_1ヶ月前の在庫'!$V$6:$V$10005,$V7670,'月1回_1ヶ月前の在庫'!$W$6:$W$10005,$W7670)&gt;0),N(U7669),N(U7669)+1))</f>
        <v/>
      </c>
      <c r="V7670" s="19">
        <f>IF($B7670="","",TEXT($B7670,"0000"))</f>
        <v/>
      </c>
      <c r="W7670" s="19">
        <f>IF($I7670="","",IF(ISNUMBER($I7670),TEXT($I7670,"0"),$I7670))</f>
        <v/>
      </c>
    </row>
    <row r="7671">
      <c r="B7671" s="25" t="n"/>
      <c r="I7671" s="25" t="n"/>
      <c r="U7671" s="19">
        <f>IF($V7671&lt;&gt;'設定'!$C$4,N(U7670),IF(OR(NOT(COUNTIF('商品マスタ'!$B$6:$B$1005,$W7671)=0),COUNTIFS('①在庫を貼る'!$V$6:$V$10005,$V7671,'①在庫を貼る'!$W$6:$W$10005,$W7671)+COUNTIFS('月1回_1ヶ月前の在庫'!$V$6:$V$10005,$V7671,'月1回_1ヶ月前の在庫'!$W$6:$W$10005,$W7671)&gt;0),N(U7670),N(U7670)+1))</f>
        <v/>
      </c>
      <c r="V7671" s="19">
        <f>IF($B7671="","",TEXT($B7671,"0000"))</f>
        <v/>
      </c>
      <c r="W7671" s="19">
        <f>IF($I7671="","",IF(ISNUMBER($I7671),TEXT($I7671,"0"),$I7671))</f>
        <v/>
      </c>
    </row>
    <row r="7672">
      <c r="B7672" s="25" t="n"/>
      <c r="I7672" s="25" t="n"/>
      <c r="U7672" s="19">
        <f>IF($V7672&lt;&gt;'設定'!$C$4,N(U7671),IF(OR(NOT(COUNTIF('商品マスタ'!$B$6:$B$1005,$W7672)=0),COUNTIFS('①在庫を貼る'!$V$6:$V$10005,$V7672,'①在庫を貼る'!$W$6:$W$10005,$W7672)+COUNTIFS('月1回_1ヶ月前の在庫'!$V$6:$V$10005,$V7672,'月1回_1ヶ月前の在庫'!$W$6:$W$10005,$W7672)&gt;0),N(U7671),N(U7671)+1))</f>
        <v/>
      </c>
      <c r="V7672" s="19">
        <f>IF($B7672="","",TEXT($B7672,"0000"))</f>
        <v/>
      </c>
      <c r="W7672" s="19">
        <f>IF($I7672="","",IF(ISNUMBER($I7672),TEXT($I7672,"0"),$I7672))</f>
        <v/>
      </c>
    </row>
    <row r="7673">
      <c r="B7673" s="25" t="n"/>
      <c r="I7673" s="25" t="n"/>
      <c r="U7673" s="19">
        <f>IF($V7673&lt;&gt;'設定'!$C$4,N(U7672),IF(OR(NOT(COUNTIF('商品マスタ'!$B$6:$B$1005,$W7673)=0),COUNTIFS('①在庫を貼る'!$V$6:$V$10005,$V7673,'①在庫を貼る'!$W$6:$W$10005,$W7673)+COUNTIFS('月1回_1ヶ月前の在庫'!$V$6:$V$10005,$V7673,'月1回_1ヶ月前の在庫'!$W$6:$W$10005,$W7673)&gt;0),N(U7672),N(U7672)+1))</f>
        <v/>
      </c>
      <c r="V7673" s="19">
        <f>IF($B7673="","",TEXT($B7673,"0000"))</f>
        <v/>
      </c>
      <c r="W7673" s="19">
        <f>IF($I7673="","",IF(ISNUMBER($I7673),TEXT($I7673,"0"),$I7673))</f>
        <v/>
      </c>
    </row>
    <row r="7674">
      <c r="B7674" s="25" t="n"/>
      <c r="I7674" s="25" t="n"/>
      <c r="U7674" s="19">
        <f>IF($V7674&lt;&gt;'設定'!$C$4,N(U7673),IF(OR(NOT(COUNTIF('商品マスタ'!$B$6:$B$1005,$W7674)=0),COUNTIFS('①在庫を貼る'!$V$6:$V$10005,$V7674,'①在庫を貼る'!$W$6:$W$10005,$W7674)+COUNTIFS('月1回_1ヶ月前の在庫'!$V$6:$V$10005,$V7674,'月1回_1ヶ月前の在庫'!$W$6:$W$10005,$W7674)&gt;0),N(U7673),N(U7673)+1))</f>
        <v/>
      </c>
      <c r="V7674" s="19">
        <f>IF($B7674="","",TEXT($B7674,"0000"))</f>
        <v/>
      </c>
      <c r="W7674" s="19">
        <f>IF($I7674="","",IF(ISNUMBER($I7674),TEXT($I7674,"0"),$I7674))</f>
        <v/>
      </c>
    </row>
    <row r="7675">
      <c r="B7675" s="25" t="n"/>
      <c r="I7675" s="25" t="n"/>
      <c r="U7675" s="19">
        <f>IF($V7675&lt;&gt;'設定'!$C$4,N(U7674),IF(OR(NOT(COUNTIF('商品マスタ'!$B$6:$B$1005,$W7675)=0),COUNTIFS('①在庫を貼る'!$V$6:$V$10005,$V7675,'①在庫を貼る'!$W$6:$W$10005,$W7675)+COUNTIFS('月1回_1ヶ月前の在庫'!$V$6:$V$10005,$V7675,'月1回_1ヶ月前の在庫'!$W$6:$W$10005,$W7675)&gt;0),N(U7674),N(U7674)+1))</f>
        <v/>
      </c>
      <c r="V7675" s="19">
        <f>IF($B7675="","",TEXT($B7675,"0000"))</f>
        <v/>
      </c>
      <c r="W7675" s="19">
        <f>IF($I7675="","",IF(ISNUMBER($I7675),TEXT($I7675,"0"),$I7675))</f>
        <v/>
      </c>
    </row>
    <row r="7676">
      <c r="B7676" s="25" t="n"/>
      <c r="I7676" s="25" t="n"/>
      <c r="U7676" s="19">
        <f>IF($V7676&lt;&gt;'設定'!$C$4,N(U7675),IF(OR(NOT(COUNTIF('商品マスタ'!$B$6:$B$1005,$W7676)=0),COUNTIFS('①在庫を貼る'!$V$6:$V$10005,$V7676,'①在庫を貼る'!$W$6:$W$10005,$W7676)+COUNTIFS('月1回_1ヶ月前の在庫'!$V$6:$V$10005,$V7676,'月1回_1ヶ月前の在庫'!$W$6:$W$10005,$W7676)&gt;0),N(U7675),N(U7675)+1))</f>
        <v/>
      </c>
      <c r="V7676" s="19">
        <f>IF($B7676="","",TEXT($B7676,"0000"))</f>
        <v/>
      </c>
      <c r="W7676" s="19">
        <f>IF($I7676="","",IF(ISNUMBER($I7676),TEXT($I7676,"0"),$I7676))</f>
        <v/>
      </c>
    </row>
    <row r="7677">
      <c r="B7677" s="25" t="n"/>
      <c r="I7677" s="25" t="n"/>
      <c r="U7677" s="19">
        <f>IF($V7677&lt;&gt;'設定'!$C$4,N(U7676),IF(OR(NOT(COUNTIF('商品マスタ'!$B$6:$B$1005,$W7677)=0),COUNTIFS('①在庫を貼る'!$V$6:$V$10005,$V7677,'①在庫を貼る'!$W$6:$W$10005,$W7677)+COUNTIFS('月1回_1ヶ月前の在庫'!$V$6:$V$10005,$V7677,'月1回_1ヶ月前の在庫'!$W$6:$W$10005,$W7677)&gt;0),N(U7676),N(U7676)+1))</f>
        <v/>
      </c>
      <c r="V7677" s="19">
        <f>IF($B7677="","",TEXT($B7677,"0000"))</f>
        <v/>
      </c>
      <c r="W7677" s="19">
        <f>IF($I7677="","",IF(ISNUMBER($I7677),TEXT($I7677,"0"),$I7677))</f>
        <v/>
      </c>
    </row>
    <row r="7678">
      <c r="B7678" s="25" t="n"/>
      <c r="I7678" s="25" t="n"/>
      <c r="U7678" s="19">
        <f>IF($V7678&lt;&gt;'設定'!$C$4,N(U7677),IF(OR(NOT(COUNTIF('商品マスタ'!$B$6:$B$1005,$W7678)=0),COUNTIFS('①在庫を貼る'!$V$6:$V$10005,$V7678,'①在庫を貼る'!$W$6:$W$10005,$W7678)+COUNTIFS('月1回_1ヶ月前の在庫'!$V$6:$V$10005,$V7678,'月1回_1ヶ月前の在庫'!$W$6:$W$10005,$W7678)&gt;0),N(U7677),N(U7677)+1))</f>
        <v/>
      </c>
      <c r="V7678" s="19">
        <f>IF($B7678="","",TEXT($B7678,"0000"))</f>
        <v/>
      </c>
      <c r="W7678" s="19">
        <f>IF($I7678="","",IF(ISNUMBER($I7678),TEXT($I7678,"0"),$I7678))</f>
        <v/>
      </c>
    </row>
    <row r="7679">
      <c r="B7679" s="25" t="n"/>
      <c r="I7679" s="25" t="n"/>
      <c r="U7679" s="19">
        <f>IF($V7679&lt;&gt;'設定'!$C$4,N(U7678),IF(OR(NOT(COUNTIF('商品マスタ'!$B$6:$B$1005,$W7679)=0),COUNTIFS('①在庫を貼る'!$V$6:$V$10005,$V7679,'①在庫を貼る'!$W$6:$W$10005,$W7679)+COUNTIFS('月1回_1ヶ月前の在庫'!$V$6:$V$10005,$V7679,'月1回_1ヶ月前の在庫'!$W$6:$W$10005,$W7679)&gt;0),N(U7678),N(U7678)+1))</f>
        <v/>
      </c>
      <c r="V7679" s="19">
        <f>IF($B7679="","",TEXT($B7679,"0000"))</f>
        <v/>
      </c>
      <c r="W7679" s="19">
        <f>IF($I7679="","",IF(ISNUMBER($I7679),TEXT($I7679,"0"),$I7679))</f>
        <v/>
      </c>
    </row>
    <row r="7680">
      <c r="B7680" s="25" t="n"/>
      <c r="I7680" s="25" t="n"/>
      <c r="U7680" s="19">
        <f>IF($V7680&lt;&gt;'設定'!$C$4,N(U7679),IF(OR(NOT(COUNTIF('商品マスタ'!$B$6:$B$1005,$W7680)=0),COUNTIFS('①在庫を貼る'!$V$6:$V$10005,$V7680,'①在庫を貼る'!$W$6:$W$10005,$W7680)+COUNTIFS('月1回_1ヶ月前の在庫'!$V$6:$V$10005,$V7680,'月1回_1ヶ月前の在庫'!$W$6:$W$10005,$W7680)&gt;0),N(U7679),N(U7679)+1))</f>
        <v/>
      </c>
      <c r="V7680" s="19">
        <f>IF($B7680="","",TEXT($B7680,"0000"))</f>
        <v/>
      </c>
      <c r="W7680" s="19">
        <f>IF($I7680="","",IF(ISNUMBER($I7680),TEXT($I7680,"0"),$I7680))</f>
        <v/>
      </c>
    </row>
    <row r="7681">
      <c r="B7681" s="25" t="n"/>
      <c r="I7681" s="25" t="n"/>
      <c r="U7681" s="19">
        <f>IF($V7681&lt;&gt;'設定'!$C$4,N(U7680),IF(OR(NOT(COUNTIF('商品マスタ'!$B$6:$B$1005,$W7681)=0),COUNTIFS('①在庫を貼る'!$V$6:$V$10005,$V7681,'①在庫を貼る'!$W$6:$W$10005,$W7681)+COUNTIFS('月1回_1ヶ月前の在庫'!$V$6:$V$10005,$V7681,'月1回_1ヶ月前の在庫'!$W$6:$W$10005,$W7681)&gt;0),N(U7680),N(U7680)+1))</f>
        <v/>
      </c>
      <c r="V7681" s="19">
        <f>IF($B7681="","",TEXT($B7681,"0000"))</f>
        <v/>
      </c>
      <c r="W7681" s="19">
        <f>IF($I7681="","",IF(ISNUMBER($I7681),TEXT($I7681,"0"),$I7681))</f>
        <v/>
      </c>
    </row>
    <row r="7682">
      <c r="B7682" s="25" t="n"/>
      <c r="I7682" s="25" t="n"/>
      <c r="U7682" s="19">
        <f>IF($V7682&lt;&gt;'設定'!$C$4,N(U7681),IF(OR(NOT(COUNTIF('商品マスタ'!$B$6:$B$1005,$W7682)=0),COUNTIFS('①在庫を貼る'!$V$6:$V$10005,$V7682,'①在庫を貼る'!$W$6:$W$10005,$W7682)+COUNTIFS('月1回_1ヶ月前の在庫'!$V$6:$V$10005,$V7682,'月1回_1ヶ月前の在庫'!$W$6:$W$10005,$W7682)&gt;0),N(U7681),N(U7681)+1))</f>
        <v/>
      </c>
      <c r="V7682" s="19">
        <f>IF($B7682="","",TEXT($B7682,"0000"))</f>
        <v/>
      </c>
      <c r="W7682" s="19">
        <f>IF($I7682="","",IF(ISNUMBER($I7682),TEXT($I7682,"0"),$I7682))</f>
        <v/>
      </c>
    </row>
    <row r="7683">
      <c r="B7683" s="25" t="n"/>
      <c r="I7683" s="25" t="n"/>
      <c r="U7683" s="19">
        <f>IF($V7683&lt;&gt;'設定'!$C$4,N(U7682),IF(OR(NOT(COUNTIF('商品マスタ'!$B$6:$B$1005,$W7683)=0),COUNTIFS('①在庫を貼る'!$V$6:$V$10005,$V7683,'①在庫を貼る'!$W$6:$W$10005,$W7683)+COUNTIFS('月1回_1ヶ月前の在庫'!$V$6:$V$10005,$V7683,'月1回_1ヶ月前の在庫'!$W$6:$W$10005,$W7683)&gt;0),N(U7682),N(U7682)+1))</f>
        <v/>
      </c>
      <c r="V7683" s="19">
        <f>IF($B7683="","",TEXT($B7683,"0000"))</f>
        <v/>
      </c>
      <c r="W7683" s="19">
        <f>IF($I7683="","",IF(ISNUMBER($I7683),TEXT($I7683,"0"),$I7683))</f>
        <v/>
      </c>
    </row>
    <row r="7684">
      <c r="B7684" s="25" t="n"/>
      <c r="I7684" s="25" t="n"/>
      <c r="U7684" s="19">
        <f>IF($V7684&lt;&gt;'設定'!$C$4,N(U7683),IF(OR(NOT(COUNTIF('商品マスタ'!$B$6:$B$1005,$W7684)=0),COUNTIFS('①在庫を貼る'!$V$6:$V$10005,$V7684,'①在庫を貼る'!$W$6:$W$10005,$W7684)+COUNTIFS('月1回_1ヶ月前の在庫'!$V$6:$V$10005,$V7684,'月1回_1ヶ月前の在庫'!$W$6:$W$10005,$W7684)&gt;0),N(U7683),N(U7683)+1))</f>
        <v/>
      </c>
      <c r="V7684" s="19">
        <f>IF($B7684="","",TEXT($B7684,"0000"))</f>
        <v/>
      </c>
      <c r="W7684" s="19">
        <f>IF($I7684="","",IF(ISNUMBER($I7684),TEXT($I7684,"0"),$I7684))</f>
        <v/>
      </c>
    </row>
    <row r="7685">
      <c r="B7685" s="25" t="n"/>
      <c r="I7685" s="25" t="n"/>
      <c r="U7685" s="19">
        <f>IF($V7685&lt;&gt;'設定'!$C$4,N(U7684),IF(OR(NOT(COUNTIF('商品マスタ'!$B$6:$B$1005,$W7685)=0),COUNTIFS('①在庫を貼る'!$V$6:$V$10005,$V7685,'①在庫を貼る'!$W$6:$W$10005,$W7685)+COUNTIFS('月1回_1ヶ月前の在庫'!$V$6:$V$10005,$V7685,'月1回_1ヶ月前の在庫'!$W$6:$W$10005,$W7685)&gt;0),N(U7684),N(U7684)+1))</f>
        <v/>
      </c>
      <c r="V7685" s="19">
        <f>IF($B7685="","",TEXT($B7685,"0000"))</f>
        <v/>
      </c>
      <c r="W7685" s="19">
        <f>IF($I7685="","",IF(ISNUMBER($I7685),TEXT($I7685,"0"),$I7685))</f>
        <v/>
      </c>
    </row>
    <row r="7686">
      <c r="B7686" s="25" t="n"/>
      <c r="I7686" s="25" t="n"/>
      <c r="U7686" s="19">
        <f>IF($V7686&lt;&gt;'設定'!$C$4,N(U7685),IF(OR(NOT(COUNTIF('商品マスタ'!$B$6:$B$1005,$W7686)=0),COUNTIFS('①在庫を貼る'!$V$6:$V$10005,$V7686,'①在庫を貼る'!$W$6:$W$10005,$W7686)+COUNTIFS('月1回_1ヶ月前の在庫'!$V$6:$V$10005,$V7686,'月1回_1ヶ月前の在庫'!$W$6:$W$10005,$W7686)&gt;0),N(U7685),N(U7685)+1))</f>
        <v/>
      </c>
      <c r="V7686" s="19">
        <f>IF($B7686="","",TEXT($B7686,"0000"))</f>
        <v/>
      </c>
      <c r="W7686" s="19">
        <f>IF($I7686="","",IF(ISNUMBER($I7686),TEXT($I7686,"0"),$I7686))</f>
        <v/>
      </c>
    </row>
    <row r="7687">
      <c r="B7687" s="25" t="n"/>
      <c r="I7687" s="25" t="n"/>
      <c r="U7687" s="19">
        <f>IF($V7687&lt;&gt;'設定'!$C$4,N(U7686),IF(OR(NOT(COUNTIF('商品マスタ'!$B$6:$B$1005,$W7687)=0),COUNTIFS('①在庫を貼る'!$V$6:$V$10005,$V7687,'①在庫を貼る'!$W$6:$W$10005,$W7687)+COUNTIFS('月1回_1ヶ月前の在庫'!$V$6:$V$10005,$V7687,'月1回_1ヶ月前の在庫'!$W$6:$W$10005,$W7687)&gt;0),N(U7686),N(U7686)+1))</f>
        <v/>
      </c>
      <c r="V7687" s="19">
        <f>IF($B7687="","",TEXT($B7687,"0000"))</f>
        <v/>
      </c>
      <c r="W7687" s="19">
        <f>IF($I7687="","",IF(ISNUMBER($I7687),TEXT($I7687,"0"),$I7687))</f>
        <v/>
      </c>
    </row>
    <row r="7688">
      <c r="B7688" s="25" t="n"/>
      <c r="I7688" s="25" t="n"/>
      <c r="U7688" s="19">
        <f>IF($V7688&lt;&gt;'設定'!$C$4,N(U7687),IF(OR(NOT(COUNTIF('商品マスタ'!$B$6:$B$1005,$W7688)=0),COUNTIFS('①在庫を貼る'!$V$6:$V$10005,$V7688,'①在庫を貼る'!$W$6:$W$10005,$W7688)+COUNTIFS('月1回_1ヶ月前の在庫'!$V$6:$V$10005,$V7688,'月1回_1ヶ月前の在庫'!$W$6:$W$10005,$W7688)&gt;0),N(U7687),N(U7687)+1))</f>
        <v/>
      </c>
      <c r="V7688" s="19">
        <f>IF($B7688="","",TEXT($B7688,"0000"))</f>
        <v/>
      </c>
      <c r="W7688" s="19">
        <f>IF($I7688="","",IF(ISNUMBER($I7688),TEXT($I7688,"0"),$I7688))</f>
        <v/>
      </c>
    </row>
    <row r="7689">
      <c r="B7689" s="25" t="n"/>
      <c r="I7689" s="25" t="n"/>
      <c r="U7689" s="19">
        <f>IF($V7689&lt;&gt;'設定'!$C$4,N(U7688),IF(OR(NOT(COUNTIF('商品マスタ'!$B$6:$B$1005,$W7689)=0),COUNTIFS('①在庫を貼る'!$V$6:$V$10005,$V7689,'①在庫を貼る'!$W$6:$W$10005,$W7689)+COUNTIFS('月1回_1ヶ月前の在庫'!$V$6:$V$10005,$V7689,'月1回_1ヶ月前の在庫'!$W$6:$W$10005,$W7689)&gt;0),N(U7688),N(U7688)+1))</f>
        <v/>
      </c>
      <c r="V7689" s="19">
        <f>IF($B7689="","",TEXT($B7689,"0000"))</f>
        <v/>
      </c>
      <c r="W7689" s="19">
        <f>IF($I7689="","",IF(ISNUMBER($I7689),TEXT($I7689,"0"),$I7689))</f>
        <v/>
      </c>
    </row>
    <row r="7690">
      <c r="B7690" s="25" t="n"/>
      <c r="I7690" s="25" t="n"/>
      <c r="U7690" s="19">
        <f>IF($V7690&lt;&gt;'設定'!$C$4,N(U7689),IF(OR(NOT(COUNTIF('商品マスタ'!$B$6:$B$1005,$W7690)=0),COUNTIFS('①在庫を貼る'!$V$6:$V$10005,$V7690,'①在庫を貼る'!$W$6:$W$10005,$W7690)+COUNTIFS('月1回_1ヶ月前の在庫'!$V$6:$V$10005,$V7690,'月1回_1ヶ月前の在庫'!$W$6:$W$10005,$W7690)&gt;0),N(U7689),N(U7689)+1))</f>
        <v/>
      </c>
      <c r="V7690" s="19">
        <f>IF($B7690="","",TEXT($B7690,"0000"))</f>
        <v/>
      </c>
      <c r="W7690" s="19">
        <f>IF($I7690="","",IF(ISNUMBER($I7690),TEXT($I7690,"0"),$I7690))</f>
        <v/>
      </c>
    </row>
    <row r="7691">
      <c r="B7691" s="25" t="n"/>
      <c r="I7691" s="25" t="n"/>
      <c r="U7691" s="19">
        <f>IF($V7691&lt;&gt;'設定'!$C$4,N(U7690),IF(OR(NOT(COUNTIF('商品マスタ'!$B$6:$B$1005,$W7691)=0),COUNTIFS('①在庫を貼る'!$V$6:$V$10005,$V7691,'①在庫を貼る'!$W$6:$W$10005,$W7691)+COUNTIFS('月1回_1ヶ月前の在庫'!$V$6:$V$10005,$V7691,'月1回_1ヶ月前の在庫'!$W$6:$W$10005,$W7691)&gt;0),N(U7690),N(U7690)+1))</f>
        <v/>
      </c>
      <c r="V7691" s="19">
        <f>IF($B7691="","",TEXT($B7691,"0000"))</f>
        <v/>
      </c>
      <c r="W7691" s="19">
        <f>IF($I7691="","",IF(ISNUMBER($I7691),TEXT($I7691,"0"),$I7691))</f>
        <v/>
      </c>
    </row>
    <row r="7692">
      <c r="B7692" s="25" t="n"/>
      <c r="I7692" s="25" t="n"/>
      <c r="U7692" s="19">
        <f>IF($V7692&lt;&gt;'設定'!$C$4,N(U7691),IF(OR(NOT(COUNTIF('商品マスタ'!$B$6:$B$1005,$W7692)=0),COUNTIFS('①在庫を貼る'!$V$6:$V$10005,$V7692,'①在庫を貼る'!$W$6:$W$10005,$W7692)+COUNTIFS('月1回_1ヶ月前の在庫'!$V$6:$V$10005,$V7692,'月1回_1ヶ月前の在庫'!$W$6:$W$10005,$W7692)&gt;0),N(U7691),N(U7691)+1))</f>
        <v/>
      </c>
      <c r="V7692" s="19">
        <f>IF($B7692="","",TEXT($B7692,"0000"))</f>
        <v/>
      </c>
      <c r="W7692" s="19">
        <f>IF($I7692="","",IF(ISNUMBER($I7692),TEXT($I7692,"0"),$I7692))</f>
        <v/>
      </c>
    </row>
    <row r="7693">
      <c r="B7693" s="25" t="n"/>
      <c r="I7693" s="25" t="n"/>
      <c r="U7693" s="19">
        <f>IF($V7693&lt;&gt;'設定'!$C$4,N(U7692),IF(OR(NOT(COUNTIF('商品マスタ'!$B$6:$B$1005,$W7693)=0),COUNTIFS('①在庫を貼る'!$V$6:$V$10005,$V7693,'①在庫を貼る'!$W$6:$W$10005,$W7693)+COUNTIFS('月1回_1ヶ月前の在庫'!$V$6:$V$10005,$V7693,'月1回_1ヶ月前の在庫'!$W$6:$W$10005,$W7693)&gt;0),N(U7692),N(U7692)+1))</f>
        <v/>
      </c>
      <c r="V7693" s="19">
        <f>IF($B7693="","",TEXT($B7693,"0000"))</f>
        <v/>
      </c>
      <c r="W7693" s="19">
        <f>IF($I7693="","",IF(ISNUMBER($I7693),TEXT($I7693,"0"),$I7693))</f>
        <v/>
      </c>
    </row>
    <row r="7694">
      <c r="B7694" s="25" t="n"/>
      <c r="I7694" s="25" t="n"/>
      <c r="U7694" s="19">
        <f>IF($V7694&lt;&gt;'設定'!$C$4,N(U7693),IF(OR(NOT(COUNTIF('商品マスタ'!$B$6:$B$1005,$W7694)=0),COUNTIFS('①在庫を貼る'!$V$6:$V$10005,$V7694,'①在庫を貼る'!$W$6:$W$10005,$W7694)+COUNTIFS('月1回_1ヶ月前の在庫'!$V$6:$V$10005,$V7694,'月1回_1ヶ月前の在庫'!$W$6:$W$10005,$W7694)&gt;0),N(U7693),N(U7693)+1))</f>
        <v/>
      </c>
      <c r="V7694" s="19">
        <f>IF($B7694="","",TEXT($B7694,"0000"))</f>
        <v/>
      </c>
      <c r="W7694" s="19">
        <f>IF($I7694="","",IF(ISNUMBER($I7694),TEXT($I7694,"0"),$I7694))</f>
        <v/>
      </c>
    </row>
    <row r="7695">
      <c r="B7695" s="25" t="n"/>
      <c r="I7695" s="25" t="n"/>
      <c r="U7695" s="19">
        <f>IF($V7695&lt;&gt;'設定'!$C$4,N(U7694),IF(OR(NOT(COUNTIF('商品マスタ'!$B$6:$B$1005,$W7695)=0),COUNTIFS('①在庫を貼る'!$V$6:$V$10005,$V7695,'①在庫を貼る'!$W$6:$W$10005,$W7695)+COUNTIFS('月1回_1ヶ月前の在庫'!$V$6:$V$10005,$V7695,'月1回_1ヶ月前の在庫'!$W$6:$W$10005,$W7695)&gt;0),N(U7694),N(U7694)+1))</f>
        <v/>
      </c>
      <c r="V7695" s="19">
        <f>IF($B7695="","",TEXT($B7695,"0000"))</f>
        <v/>
      </c>
      <c r="W7695" s="19">
        <f>IF($I7695="","",IF(ISNUMBER($I7695),TEXT($I7695,"0"),$I7695))</f>
        <v/>
      </c>
    </row>
    <row r="7696">
      <c r="B7696" s="25" t="n"/>
      <c r="I7696" s="25" t="n"/>
      <c r="U7696" s="19">
        <f>IF($V7696&lt;&gt;'設定'!$C$4,N(U7695),IF(OR(NOT(COUNTIF('商品マスタ'!$B$6:$B$1005,$W7696)=0),COUNTIFS('①在庫を貼る'!$V$6:$V$10005,$V7696,'①在庫を貼る'!$W$6:$W$10005,$W7696)+COUNTIFS('月1回_1ヶ月前の在庫'!$V$6:$V$10005,$V7696,'月1回_1ヶ月前の在庫'!$W$6:$W$10005,$W7696)&gt;0),N(U7695),N(U7695)+1))</f>
        <v/>
      </c>
      <c r="V7696" s="19">
        <f>IF($B7696="","",TEXT($B7696,"0000"))</f>
        <v/>
      </c>
      <c r="W7696" s="19">
        <f>IF($I7696="","",IF(ISNUMBER($I7696),TEXT($I7696,"0"),$I7696))</f>
        <v/>
      </c>
    </row>
    <row r="7697">
      <c r="B7697" s="25" t="n"/>
      <c r="I7697" s="25" t="n"/>
      <c r="U7697" s="19">
        <f>IF($V7697&lt;&gt;'設定'!$C$4,N(U7696),IF(OR(NOT(COUNTIF('商品マスタ'!$B$6:$B$1005,$W7697)=0),COUNTIFS('①在庫を貼る'!$V$6:$V$10005,$V7697,'①在庫を貼る'!$W$6:$W$10005,$W7697)+COUNTIFS('月1回_1ヶ月前の在庫'!$V$6:$V$10005,$V7697,'月1回_1ヶ月前の在庫'!$W$6:$W$10005,$W7697)&gt;0),N(U7696),N(U7696)+1))</f>
        <v/>
      </c>
      <c r="V7697" s="19">
        <f>IF($B7697="","",TEXT($B7697,"0000"))</f>
        <v/>
      </c>
      <c r="W7697" s="19">
        <f>IF($I7697="","",IF(ISNUMBER($I7697),TEXT($I7697,"0"),$I7697))</f>
        <v/>
      </c>
    </row>
    <row r="7698">
      <c r="B7698" s="25" t="n"/>
      <c r="I7698" s="25" t="n"/>
      <c r="U7698" s="19">
        <f>IF($V7698&lt;&gt;'設定'!$C$4,N(U7697),IF(OR(NOT(COUNTIF('商品マスタ'!$B$6:$B$1005,$W7698)=0),COUNTIFS('①在庫を貼る'!$V$6:$V$10005,$V7698,'①在庫を貼る'!$W$6:$W$10005,$W7698)+COUNTIFS('月1回_1ヶ月前の在庫'!$V$6:$V$10005,$V7698,'月1回_1ヶ月前の在庫'!$W$6:$W$10005,$W7698)&gt;0),N(U7697),N(U7697)+1))</f>
        <v/>
      </c>
      <c r="V7698" s="19">
        <f>IF($B7698="","",TEXT($B7698,"0000"))</f>
        <v/>
      </c>
      <c r="W7698" s="19">
        <f>IF($I7698="","",IF(ISNUMBER($I7698),TEXT($I7698,"0"),$I7698))</f>
        <v/>
      </c>
    </row>
    <row r="7699">
      <c r="B7699" s="25" t="n"/>
      <c r="I7699" s="25" t="n"/>
      <c r="U7699" s="19">
        <f>IF($V7699&lt;&gt;'設定'!$C$4,N(U7698),IF(OR(NOT(COUNTIF('商品マスタ'!$B$6:$B$1005,$W7699)=0),COUNTIFS('①在庫を貼る'!$V$6:$V$10005,$V7699,'①在庫を貼る'!$W$6:$W$10005,$W7699)+COUNTIFS('月1回_1ヶ月前の在庫'!$V$6:$V$10005,$V7699,'月1回_1ヶ月前の在庫'!$W$6:$W$10005,$W7699)&gt;0),N(U7698),N(U7698)+1))</f>
        <v/>
      </c>
      <c r="V7699" s="19">
        <f>IF($B7699="","",TEXT($B7699,"0000"))</f>
        <v/>
      </c>
      <c r="W7699" s="19">
        <f>IF($I7699="","",IF(ISNUMBER($I7699),TEXT($I7699,"0"),$I7699))</f>
        <v/>
      </c>
    </row>
    <row r="7700">
      <c r="B7700" s="25" t="n"/>
      <c r="I7700" s="25" t="n"/>
      <c r="U7700" s="19">
        <f>IF($V7700&lt;&gt;'設定'!$C$4,N(U7699),IF(OR(NOT(COUNTIF('商品マスタ'!$B$6:$B$1005,$W7700)=0),COUNTIFS('①在庫を貼る'!$V$6:$V$10005,$V7700,'①在庫を貼る'!$W$6:$W$10005,$W7700)+COUNTIFS('月1回_1ヶ月前の在庫'!$V$6:$V$10005,$V7700,'月1回_1ヶ月前の在庫'!$W$6:$W$10005,$W7700)&gt;0),N(U7699),N(U7699)+1))</f>
        <v/>
      </c>
      <c r="V7700" s="19">
        <f>IF($B7700="","",TEXT($B7700,"0000"))</f>
        <v/>
      </c>
      <c r="W7700" s="19">
        <f>IF($I7700="","",IF(ISNUMBER($I7700),TEXT($I7700,"0"),$I7700))</f>
        <v/>
      </c>
    </row>
    <row r="7701">
      <c r="B7701" s="25" t="n"/>
      <c r="I7701" s="25" t="n"/>
      <c r="U7701" s="19">
        <f>IF($V7701&lt;&gt;'設定'!$C$4,N(U7700),IF(OR(NOT(COUNTIF('商品マスタ'!$B$6:$B$1005,$W7701)=0),COUNTIFS('①在庫を貼る'!$V$6:$V$10005,$V7701,'①在庫を貼る'!$W$6:$W$10005,$W7701)+COUNTIFS('月1回_1ヶ月前の在庫'!$V$6:$V$10005,$V7701,'月1回_1ヶ月前の在庫'!$W$6:$W$10005,$W7701)&gt;0),N(U7700),N(U7700)+1))</f>
        <v/>
      </c>
      <c r="V7701" s="19">
        <f>IF($B7701="","",TEXT($B7701,"0000"))</f>
        <v/>
      </c>
      <c r="W7701" s="19">
        <f>IF($I7701="","",IF(ISNUMBER($I7701),TEXT($I7701,"0"),$I7701))</f>
        <v/>
      </c>
    </row>
    <row r="7702">
      <c r="B7702" s="25" t="n"/>
      <c r="I7702" s="25" t="n"/>
      <c r="U7702" s="19">
        <f>IF($V7702&lt;&gt;'設定'!$C$4,N(U7701),IF(OR(NOT(COUNTIF('商品マスタ'!$B$6:$B$1005,$W7702)=0),COUNTIFS('①在庫を貼る'!$V$6:$V$10005,$V7702,'①在庫を貼る'!$W$6:$W$10005,$W7702)+COUNTIFS('月1回_1ヶ月前の在庫'!$V$6:$V$10005,$V7702,'月1回_1ヶ月前の在庫'!$W$6:$W$10005,$W7702)&gt;0),N(U7701),N(U7701)+1))</f>
        <v/>
      </c>
      <c r="V7702" s="19">
        <f>IF($B7702="","",TEXT($B7702,"0000"))</f>
        <v/>
      </c>
      <c r="W7702" s="19">
        <f>IF($I7702="","",IF(ISNUMBER($I7702),TEXT($I7702,"0"),$I7702))</f>
        <v/>
      </c>
    </row>
    <row r="7703">
      <c r="B7703" s="25" t="n"/>
      <c r="I7703" s="25" t="n"/>
      <c r="U7703" s="19">
        <f>IF($V7703&lt;&gt;'設定'!$C$4,N(U7702),IF(OR(NOT(COUNTIF('商品マスタ'!$B$6:$B$1005,$W7703)=0),COUNTIFS('①在庫を貼る'!$V$6:$V$10005,$V7703,'①在庫を貼る'!$W$6:$W$10005,$W7703)+COUNTIFS('月1回_1ヶ月前の在庫'!$V$6:$V$10005,$V7703,'月1回_1ヶ月前の在庫'!$W$6:$W$10005,$W7703)&gt;0),N(U7702),N(U7702)+1))</f>
        <v/>
      </c>
      <c r="V7703" s="19">
        <f>IF($B7703="","",TEXT($B7703,"0000"))</f>
        <v/>
      </c>
      <c r="W7703" s="19">
        <f>IF($I7703="","",IF(ISNUMBER($I7703),TEXT($I7703,"0"),$I7703))</f>
        <v/>
      </c>
    </row>
    <row r="7704">
      <c r="B7704" s="25" t="n"/>
      <c r="I7704" s="25" t="n"/>
      <c r="U7704" s="19">
        <f>IF($V7704&lt;&gt;'設定'!$C$4,N(U7703),IF(OR(NOT(COUNTIF('商品マスタ'!$B$6:$B$1005,$W7704)=0),COUNTIFS('①在庫を貼る'!$V$6:$V$10005,$V7704,'①在庫を貼る'!$W$6:$W$10005,$W7704)+COUNTIFS('月1回_1ヶ月前の在庫'!$V$6:$V$10005,$V7704,'月1回_1ヶ月前の在庫'!$W$6:$W$10005,$W7704)&gt;0),N(U7703),N(U7703)+1))</f>
        <v/>
      </c>
      <c r="V7704" s="19">
        <f>IF($B7704="","",TEXT($B7704,"0000"))</f>
        <v/>
      </c>
      <c r="W7704" s="19">
        <f>IF($I7704="","",IF(ISNUMBER($I7704),TEXT($I7704,"0"),$I7704))</f>
        <v/>
      </c>
    </row>
    <row r="7705">
      <c r="B7705" s="25" t="n"/>
      <c r="I7705" s="25" t="n"/>
      <c r="U7705" s="19">
        <f>IF($V7705&lt;&gt;'設定'!$C$4,N(U7704),IF(OR(NOT(COUNTIF('商品マスタ'!$B$6:$B$1005,$W7705)=0),COUNTIFS('①在庫を貼る'!$V$6:$V$10005,$V7705,'①在庫を貼る'!$W$6:$W$10005,$W7705)+COUNTIFS('月1回_1ヶ月前の在庫'!$V$6:$V$10005,$V7705,'月1回_1ヶ月前の在庫'!$W$6:$W$10005,$W7705)&gt;0),N(U7704),N(U7704)+1))</f>
        <v/>
      </c>
      <c r="V7705" s="19">
        <f>IF($B7705="","",TEXT($B7705,"0000"))</f>
        <v/>
      </c>
      <c r="W7705" s="19">
        <f>IF($I7705="","",IF(ISNUMBER($I7705),TEXT($I7705,"0"),$I7705))</f>
        <v/>
      </c>
    </row>
    <row r="7706">
      <c r="B7706" s="25" t="n"/>
      <c r="I7706" s="25" t="n"/>
      <c r="U7706" s="19">
        <f>IF($V7706&lt;&gt;'設定'!$C$4,N(U7705),IF(OR(NOT(COUNTIF('商品マスタ'!$B$6:$B$1005,$W7706)=0),COUNTIFS('①在庫を貼る'!$V$6:$V$10005,$V7706,'①在庫を貼る'!$W$6:$W$10005,$W7706)+COUNTIFS('月1回_1ヶ月前の在庫'!$V$6:$V$10005,$V7706,'月1回_1ヶ月前の在庫'!$W$6:$W$10005,$W7706)&gt;0),N(U7705),N(U7705)+1))</f>
        <v/>
      </c>
      <c r="V7706" s="19">
        <f>IF($B7706="","",TEXT($B7706,"0000"))</f>
        <v/>
      </c>
      <c r="W7706" s="19">
        <f>IF($I7706="","",IF(ISNUMBER($I7706),TEXT($I7706,"0"),$I7706))</f>
        <v/>
      </c>
    </row>
    <row r="7707">
      <c r="B7707" s="25" t="n"/>
      <c r="I7707" s="25" t="n"/>
      <c r="U7707" s="19">
        <f>IF($V7707&lt;&gt;'設定'!$C$4,N(U7706),IF(OR(NOT(COUNTIF('商品マスタ'!$B$6:$B$1005,$W7707)=0),COUNTIFS('①在庫を貼る'!$V$6:$V$10005,$V7707,'①在庫を貼る'!$W$6:$W$10005,$W7707)+COUNTIFS('月1回_1ヶ月前の在庫'!$V$6:$V$10005,$V7707,'月1回_1ヶ月前の在庫'!$W$6:$W$10005,$W7707)&gt;0),N(U7706),N(U7706)+1))</f>
        <v/>
      </c>
      <c r="V7707" s="19">
        <f>IF($B7707="","",TEXT($B7707,"0000"))</f>
        <v/>
      </c>
      <c r="W7707" s="19">
        <f>IF($I7707="","",IF(ISNUMBER($I7707),TEXT($I7707,"0"),$I7707))</f>
        <v/>
      </c>
    </row>
    <row r="7708">
      <c r="B7708" s="25" t="n"/>
      <c r="I7708" s="25" t="n"/>
      <c r="U7708" s="19">
        <f>IF($V7708&lt;&gt;'設定'!$C$4,N(U7707),IF(OR(NOT(COUNTIF('商品マスタ'!$B$6:$B$1005,$W7708)=0),COUNTIFS('①在庫を貼る'!$V$6:$V$10005,$V7708,'①在庫を貼る'!$W$6:$W$10005,$W7708)+COUNTIFS('月1回_1ヶ月前の在庫'!$V$6:$V$10005,$V7708,'月1回_1ヶ月前の在庫'!$W$6:$W$10005,$W7708)&gt;0),N(U7707),N(U7707)+1))</f>
        <v/>
      </c>
      <c r="V7708" s="19">
        <f>IF($B7708="","",TEXT($B7708,"0000"))</f>
        <v/>
      </c>
      <c r="W7708" s="19">
        <f>IF($I7708="","",IF(ISNUMBER($I7708),TEXT($I7708,"0"),$I7708))</f>
        <v/>
      </c>
    </row>
    <row r="7709">
      <c r="B7709" s="25" t="n"/>
      <c r="I7709" s="25" t="n"/>
      <c r="U7709" s="19">
        <f>IF($V7709&lt;&gt;'設定'!$C$4,N(U7708),IF(OR(NOT(COUNTIF('商品マスタ'!$B$6:$B$1005,$W7709)=0),COUNTIFS('①在庫を貼る'!$V$6:$V$10005,$V7709,'①在庫を貼る'!$W$6:$W$10005,$W7709)+COUNTIFS('月1回_1ヶ月前の在庫'!$V$6:$V$10005,$V7709,'月1回_1ヶ月前の在庫'!$W$6:$W$10005,$W7709)&gt;0),N(U7708),N(U7708)+1))</f>
        <v/>
      </c>
      <c r="V7709" s="19">
        <f>IF($B7709="","",TEXT($B7709,"0000"))</f>
        <v/>
      </c>
      <c r="W7709" s="19">
        <f>IF($I7709="","",IF(ISNUMBER($I7709),TEXT($I7709,"0"),$I7709))</f>
        <v/>
      </c>
    </row>
    <row r="7710">
      <c r="B7710" s="25" t="n"/>
      <c r="I7710" s="25" t="n"/>
      <c r="U7710" s="19">
        <f>IF($V7710&lt;&gt;'設定'!$C$4,N(U7709),IF(OR(NOT(COUNTIF('商品マスタ'!$B$6:$B$1005,$W7710)=0),COUNTIFS('①在庫を貼る'!$V$6:$V$10005,$V7710,'①在庫を貼る'!$W$6:$W$10005,$W7710)+COUNTIFS('月1回_1ヶ月前の在庫'!$V$6:$V$10005,$V7710,'月1回_1ヶ月前の在庫'!$W$6:$W$10005,$W7710)&gt;0),N(U7709),N(U7709)+1))</f>
        <v/>
      </c>
      <c r="V7710" s="19">
        <f>IF($B7710="","",TEXT($B7710,"0000"))</f>
        <v/>
      </c>
      <c r="W7710" s="19">
        <f>IF($I7710="","",IF(ISNUMBER($I7710),TEXT($I7710,"0"),$I7710))</f>
        <v/>
      </c>
    </row>
    <row r="7711">
      <c r="B7711" s="25" t="n"/>
      <c r="I7711" s="25" t="n"/>
      <c r="U7711" s="19">
        <f>IF($V7711&lt;&gt;'設定'!$C$4,N(U7710),IF(OR(NOT(COUNTIF('商品マスタ'!$B$6:$B$1005,$W7711)=0),COUNTIFS('①在庫を貼る'!$V$6:$V$10005,$V7711,'①在庫を貼る'!$W$6:$W$10005,$W7711)+COUNTIFS('月1回_1ヶ月前の在庫'!$V$6:$V$10005,$V7711,'月1回_1ヶ月前の在庫'!$W$6:$W$10005,$W7711)&gt;0),N(U7710),N(U7710)+1))</f>
        <v/>
      </c>
      <c r="V7711" s="19">
        <f>IF($B7711="","",TEXT($B7711,"0000"))</f>
        <v/>
      </c>
      <c r="W7711" s="19">
        <f>IF($I7711="","",IF(ISNUMBER($I7711),TEXT($I7711,"0"),$I7711))</f>
        <v/>
      </c>
    </row>
    <row r="7712">
      <c r="B7712" s="25" t="n"/>
      <c r="I7712" s="25" t="n"/>
      <c r="U7712" s="19">
        <f>IF($V7712&lt;&gt;'設定'!$C$4,N(U7711),IF(OR(NOT(COUNTIF('商品マスタ'!$B$6:$B$1005,$W7712)=0),COUNTIFS('①在庫を貼る'!$V$6:$V$10005,$V7712,'①在庫を貼る'!$W$6:$W$10005,$W7712)+COUNTIFS('月1回_1ヶ月前の在庫'!$V$6:$V$10005,$V7712,'月1回_1ヶ月前の在庫'!$W$6:$W$10005,$W7712)&gt;0),N(U7711),N(U7711)+1))</f>
        <v/>
      </c>
      <c r="V7712" s="19">
        <f>IF($B7712="","",TEXT($B7712,"0000"))</f>
        <v/>
      </c>
      <c r="W7712" s="19">
        <f>IF($I7712="","",IF(ISNUMBER($I7712),TEXT($I7712,"0"),$I7712))</f>
        <v/>
      </c>
    </row>
    <row r="7713">
      <c r="B7713" s="25" t="n"/>
      <c r="I7713" s="25" t="n"/>
      <c r="U7713" s="19">
        <f>IF($V7713&lt;&gt;'設定'!$C$4,N(U7712),IF(OR(NOT(COUNTIF('商品マスタ'!$B$6:$B$1005,$W7713)=0),COUNTIFS('①在庫を貼る'!$V$6:$V$10005,$V7713,'①在庫を貼る'!$W$6:$W$10005,$W7713)+COUNTIFS('月1回_1ヶ月前の在庫'!$V$6:$V$10005,$V7713,'月1回_1ヶ月前の在庫'!$W$6:$W$10005,$W7713)&gt;0),N(U7712),N(U7712)+1))</f>
        <v/>
      </c>
      <c r="V7713" s="19">
        <f>IF($B7713="","",TEXT($B7713,"0000"))</f>
        <v/>
      </c>
      <c r="W7713" s="19">
        <f>IF($I7713="","",IF(ISNUMBER($I7713),TEXT($I7713,"0"),$I7713))</f>
        <v/>
      </c>
    </row>
    <row r="7714">
      <c r="B7714" s="25" t="n"/>
      <c r="I7714" s="25" t="n"/>
      <c r="U7714" s="19">
        <f>IF($V7714&lt;&gt;'設定'!$C$4,N(U7713),IF(OR(NOT(COUNTIF('商品マスタ'!$B$6:$B$1005,$W7714)=0),COUNTIFS('①在庫を貼る'!$V$6:$V$10005,$V7714,'①在庫を貼る'!$W$6:$W$10005,$W7714)+COUNTIFS('月1回_1ヶ月前の在庫'!$V$6:$V$10005,$V7714,'月1回_1ヶ月前の在庫'!$W$6:$W$10005,$W7714)&gt;0),N(U7713),N(U7713)+1))</f>
        <v/>
      </c>
      <c r="V7714" s="19">
        <f>IF($B7714="","",TEXT($B7714,"0000"))</f>
        <v/>
      </c>
      <c r="W7714" s="19">
        <f>IF($I7714="","",IF(ISNUMBER($I7714),TEXT($I7714,"0"),$I7714))</f>
        <v/>
      </c>
    </row>
    <row r="7715">
      <c r="B7715" s="25" t="n"/>
      <c r="I7715" s="25" t="n"/>
      <c r="U7715" s="19">
        <f>IF($V7715&lt;&gt;'設定'!$C$4,N(U7714),IF(OR(NOT(COUNTIF('商品マスタ'!$B$6:$B$1005,$W7715)=0),COUNTIFS('①在庫を貼る'!$V$6:$V$10005,$V7715,'①在庫を貼る'!$W$6:$W$10005,$W7715)+COUNTIFS('月1回_1ヶ月前の在庫'!$V$6:$V$10005,$V7715,'月1回_1ヶ月前の在庫'!$W$6:$W$10005,$W7715)&gt;0),N(U7714),N(U7714)+1))</f>
        <v/>
      </c>
      <c r="V7715" s="19">
        <f>IF($B7715="","",TEXT($B7715,"0000"))</f>
        <v/>
      </c>
      <c r="W7715" s="19">
        <f>IF($I7715="","",IF(ISNUMBER($I7715),TEXT($I7715,"0"),$I7715))</f>
        <v/>
      </c>
    </row>
    <row r="7716">
      <c r="B7716" s="25" t="n"/>
      <c r="I7716" s="25" t="n"/>
      <c r="U7716" s="19">
        <f>IF($V7716&lt;&gt;'設定'!$C$4,N(U7715),IF(OR(NOT(COUNTIF('商品マスタ'!$B$6:$B$1005,$W7716)=0),COUNTIFS('①在庫を貼る'!$V$6:$V$10005,$V7716,'①在庫を貼る'!$W$6:$W$10005,$W7716)+COUNTIFS('月1回_1ヶ月前の在庫'!$V$6:$V$10005,$V7716,'月1回_1ヶ月前の在庫'!$W$6:$W$10005,$W7716)&gt;0),N(U7715),N(U7715)+1))</f>
        <v/>
      </c>
      <c r="V7716" s="19">
        <f>IF($B7716="","",TEXT($B7716,"0000"))</f>
        <v/>
      </c>
      <c r="W7716" s="19">
        <f>IF($I7716="","",IF(ISNUMBER($I7716),TEXT($I7716,"0"),$I7716))</f>
        <v/>
      </c>
    </row>
    <row r="7717">
      <c r="B7717" s="25" t="n"/>
      <c r="I7717" s="25" t="n"/>
      <c r="U7717" s="19">
        <f>IF($V7717&lt;&gt;'設定'!$C$4,N(U7716),IF(OR(NOT(COUNTIF('商品マスタ'!$B$6:$B$1005,$W7717)=0),COUNTIFS('①在庫を貼る'!$V$6:$V$10005,$V7717,'①在庫を貼る'!$W$6:$W$10005,$W7717)+COUNTIFS('月1回_1ヶ月前の在庫'!$V$6:$V$10005,$V7717,'月1回_1ヶ月前の在庫'!$W$6:$W$10005,$W7717)&gt;0),N(U7716),N(U7716)+1))</f>
        <v/>
      </c>
      <c r="V7717" s="19">
        <f>IF($B7717="","",TEXT($B7717,"0000"))</f>
        <v/>
      </c>
      <c r="W7717" s="19">
        <f>IF($I7717="","",IF(ISNUMBER($I7717),TEXT($I7717,"0"),$I7717))</f>
        <v/>
      </c>
    </row>
    <row r="7718">
      <c r="B7718" s="25" t="n"/>
      <c r="I7718" s="25" t="n"/>
      <c r="U7718" s="19">
        <f>IF($V7718&lt;&gt;'設定'!$C$4,N(U7717),IF(OR(NOT(COUNTIF('商品マスタ'!$B$6:$B$1005,$W7718)=0),COUNTIFS('①在庫を貼る'!$V$6:$V$10005,$V7718,'①在庫を貼る'!$W$6:$W$10005,$W7718)+COUNTIFS('月1回_1ヶ月前の在庫'!$V$6:$V$10005,$V7718,'月1回_1ヶ月前の在庫'!$W$6:$W$10005,$W7718)&gt;0),N(U7717),N(U7717)+1))</f>
        <v/>
      </c>
      <c r="V7718" s="19">
        <f>IF($B7718="","",TEXT($B7718,"0000"))</f>
        <v/>
      </c>
      <c r="W7718" s="19">
        <f>IF($I7718="","",IF(ISNUMBER($I7718),TEXT($I7718,"0"),$I7718))</f>
        <v/>
      </c>
    </row>
    <row r="7719">
      <c r="B7719" s="25" t="n"/>
      <c r="I7719" s="25" t="n"/>
      <c r="U7719" s="19">
        <f>IF($V7719&lt;&gt;'設定'!$C$4,N(U7718),IF(OR(NOT(COUNTIF('商品マスタ'!$B$6:$B$1005,$W7719)=0),COUNTIFS('①在庫を貼る'!$V$6:$V$10005,$V7719,'①在庫を貼る'!$W$6:$W$10005,$W7719)+COUNTIFS('月1回_1ヶ月前の在庫'!$V$6:$V$10005,$V7719,'月1回_1ヶ月前の在庫'!$W$6:$W$10005,$W7719)&gt;0),N(U7718),N(U7718)+1))</f>
        <v/>
      </c>
      <c r="V7719" s="19">
        <f>IF($B7719="","",TEXT($B7719,"0000"))</f>
        <v/>
      </c>
      <c r="W7719" s="19">
        <f>IF($I7719="","",IF(ISNUMBER($I7719),TEXT($I7719,"0"),$I7719))</f>
        <v/>
      </c>
    </row>
    <row r="7720">
      <c r="B7720" s="25" t="n"/>
      <c r="I7720" s="25" t="n"/>
      <c r="U7720" s="19">
        <f>IF($V7720&lt;&gt;'設定'!$C$4,N(U7719),IF(OR(NOT(COUNTIF('商品マスタ'!$B$6:$B$1005,$W7720)=0),COUNTIFS('①在庫を貼る'!$V$6:$V$10005,$V7720,'①在庫を貼る'!$W$6:$W$10005,$W7720)+COUNTIFS('月1回_1ヶ月前の在庫'!$V$6:$V$10005,$V7720,'月1回_1ヶ月前の在庫'!$W$6:$W$10005,$W7720)&gt;0),N(U7719),N(U7719)+1))</f>
        <v/>
      </c>
      <c r="V7720" s="19">
        <f>IF($B7720="","",TEXT($B7720,"0000"))</f>
        <v/>
      </c>
      <c r="W7720" s="19">
        <f>IF($I7720="","",IF(ISNUMBER($I7720),TEXT($I7720,"0"),$I7720))</f>
        <v/>
      </c>
    </row>
    <row r="7721">
      <c r="B7721" s="25" t="n"/>
      <c r="I7721" s="25" t="n"/>
      <c r="U7721" s="19">
        <f>IF($V7721&lt;&gt;'設定'!$C$4,N(U7720),IF(OR(NOT(COUNTIF('商品マスタ'!$B$6:$B$1005,$W7721)=0),COUNTIFS('①在庫を貼る'!$V$6:$V$10005,$V7721,'①在庫を貼る'!$W$6:$W$10005,$W7721)+COUNTIFS('月1回_1ヶ月前の在庫'!$V$6:$V$10005,$V7721,'月1回_1ヶ月前の在庫'!$W$6:$W$10005,$W7721)&gt;0),N(U7720),N(U7720)+1))</f>
        <v/>
      </c>
      <c r="V7721" s="19">
        <f>IF($B7721="","",TEXT($B7721,"0000"))</f>
        <v/>
      </c>
      <c r="W7721" s="19">
        <f>IF($I7721="","",IF(ISNUMBER($I7721),TEXT($I7721,"0"),$I7721))</f>
        <v/>
      </c>
    </row>
    <row r="7722">
      <c r="B7722" s="25" t="n"/>
      <c r="I7722" s="25" t="n"/>
      <c r="U7722" s="19">
        <f>IF($V7722&lt;&gt;'設定'!$C$4,N(U7721),IF(OR(NOT(COUNTIF('商品マスタ'!$B$6:$B$1005,$W7722)=0),COUNTIFS('①在庫を貼る'!$V$6:$V$10005,$V7722,'①在庫を貼る'!$W$6:$W$10005,$W7722)+COUNTIFS('月1回_1ヶ月前の在庫'!$V$6:$V$10005,$V7722,'月1回_1ヶ月前の在庫'!$W$6:$W$10005,$W7722)&gt;0),N(U7721),N(U7721)+1))</f>
        <v/>
      </c>
      <c r="V7722" s="19">
        <f>IF($B7722="","",TEXT($B7722,"0000"))</f>
        <v/>
      </c>
      <c r="W7722" s="19">
        <f>IF($I7722="","",IF(ISNUMBER($I7722),TEXT($I7722,"0"),$I7722))</f>
        <v/>
      </c>
    </row>
    <row r="7723">
      <c r="B7723" s="25" t="n"/>
      <c r="I7723" s="25" t="n"/>
      <c r="U7723" s="19">
        <f>IF($V7723&lt;&gt;'設定'!$C$4,N(U7722),IF(OR(NOT(COUNTIF('商品マスタ'!$B$6:$B$1005,$W7723)=0),COUNTIFS('①在庫を貼る'!$V$6:$V$10005,$V7723,'①在庫を貼る'!$W$6:$W$10005,$W7723)+COUNTIFS('月1回_1ヶ月前の在庫'!$V$6:$V$10005,$V7723,'月1回_1ヶ月前の在庫'!$W$6:$W$10005,$W7723)&gt;0),N(U7722),N(U7722)+1))</f>
        <v/>
      </c>
      <c r="V7723" s="19">
        <f>IF($B7723="","",TEXT($B7723,"0000"))</f>
        <v/>
      </c>
      <c r="W7723" s="19">
        <f>IF($I7723="","",IF(ISNUMBER($I7723),TEXT($I7723,"0"),$I7723))</f>
        <v/>
      </c>
    </row>
    <row r="7724">
      <c r="B7724" s="25" t="n"/>
      <c r="I7724" s="25" t="n"/>
      <c r="U7724" s="19">
        <f>IF($V7724&lt;&gt;'設定'!$C$4,N(U7723),IF(OR(NOT(COUNTIF('商品マスタ'!$B$6:$B$1005,$W7724)=0),COUNTIFS('①在庫を貼る'!$V$6:$V$10005,$V7724,'①在庫を貼る'!$W$6:$W$10005,$W7724)+COUNTIFS('月1回_1ヶ月前の在庫'!$V$6:$V$10005,$V7724,'月1回_1ヶ月前の在庫'!$W$6:$W$10005,$W7724)&gt;0),N(U7723),N(U7723)+1))</f>
        <v/>
      </c>
      <c r="V7724" s="19">
        <f>IF($B7724="","",TEXT($B7724,"0000"))</f>
        <v/>
      </c>
      <c r="W7724" s="19">
        <f>IF($I7724="","",IF(ISNUMBER($I7724),TEXT($I7724,"0"),$I7724))</f>
        <v/>
      </c>
    </row>
    <row r="7725">
      <c r="B7725" s="25" t="n"/>
      <c r="I7725" s="25" t="n"/>
      <c r="U7725" s="19">
        <f>IF($V7725&lt;&gt;'設定'!$C$4,N(U7724),IF(OR(NOT(COUNTIF('商品マスタ'!$B$6:$B$1005,$W7725)=0),COUNTIFS('①在庫を貼る'!$V$6:$V$10005,$V7725,'①在庫を貼る'!$W$6:$W$10005,$W7725)+COUNTIFS('月1回_1ヶ月前の在庫'!$V$6:$V$10005,$V7725,'月1回_1ヶ月前の在庫'!$W$6:$W$10005,$W7725)&gt;0),N(U7724),N(U7724)+1))</f>
        <v/>
      </c>
      <c r="V7725" s="19">
        <f>IF($B7725="","",TEXT($B7725,"0000"))</f>
        <v/>
      </c>
      <c r="W7725" s="19">
        <f>IF($I7725="","",IF(ISNUMBER($I7725),TEXT($I7725,"0"),$I7725))</f>
        <v/>
      </c>
    </row>
    <row r="7726">
      <c r="B7726" s="25" t="n"/>
      <c r="I7726" s="25" t="n"/>
      <c r="U7726" s="19">
        <f>IF($V7726&lt;&gt;'設定'!$C$4,N(U7725),IF(OR(NOT(COUNTIF('商品マスタ'!$B$6:$B$1005,$W7726)=0),COUNTIFS('①在庫を貼る'!$V$6:$V$10005,$V7726,'①在庫を貼る'!$W$6:$W$10005,$W7726)+COUNTIFS('月1回_1ヶ月前の在庫'!$V$6:$V$10005,$V7726,'月1回_1ヶ月前の在庫'!$W$6:$W$10005,$W7726)&gt;0),N(U7725),N(U7725)+1))</f>
        <v/>
      </c>
      <c r="V7726" s="19">
        <f>IF($B7726="","",TEXT($B7726,"0000"))</f>
        <v/>
      </c>
      <c r="W7726" s="19">
        <f>IF($I7726="","",IF(ISNUMBER($I7726),TEXT($I7726,"0"),$I7726))</f>
        <v/>
      </c>
    </row>
    <row r="7727">
      <c r="B7727" s="25" t="n"/>
      <c r="I7727" s="25" t="n"/>
      <c r="U7727" s="19">
        <f>IF($V7727&lt;&gt;'設定'!$C$4,N(U7726),IF(OR(NOT(COUNTIF('商品マスタ'!$B$6:$B$1005,$W7727)=0),COUNTIFS('①在庫を貼る'!$V$6:$V$10005,$V7727,'①在庫を貼る'!$W$6:$W$10005,$W7727)+COUNTIFS('月1回_1ヶ月前の在庫'!$V$6:$V$10005,$V7727,'月1回_1ヶ月前の在庫'!$W$6:$W$10005,$W7727)&gt;0),N(U7726),N(U7726)+1))</f>
        <v/>
      </c>
      <c r="V7727" s="19">
        <f>IF($B7727="","",TEXT($B7727,"0000"))</f>
        <v/>
      </c>
      <c r="W7727" s="19">
        <f>IF($I7727="","",IF(ISNUMBER($I7727),TEXT($I7727,"0"),$I7727))</f>
        <v/>
      </c>
    </row>
    <row r="7728">
      <c r="B7728" s="25" t="n"/>
      <c r="I7728" s="25" t="n"/>
      <c r="U7728" s="19">
        <f>IF($V7728&lt;&gt;'設定'!$C$4,N(U7727),IF(OR(NOT(COUNTIF('商品マスタ'!$B$6:$B$1005,$W7728)=0),COUNTIFS('①在庫を貼る'!$V$6:$V$10005,$V7728,'①在庫を貼る'!$W$6:$W$10005,$W7728)+COUNTIFS('月1回_1ヶ月前の在庫'!$V$6:$V$10005,$V7728,'月1回_1ヶ月前の在庫'!$W$6:$W$10005,$W7728)&gt;0),N(U7727),N(U7727)+1))</f>
        <v/>
      </c>
      <c r="V7728" s="19">
        <f>IF($B7728="","",TEXT($B7728,"0000"))</f>
        <v/>
      </c>
      <c r="W7728" s="19">
        <f>IF($I7728="","",IF(ISNUMBER($I7728),TEXT($I7728,"0"),$I7728))</f>
        <v/>
      </c>
    </row>
    <row r="7729">
      <c r="B7729" s="25" t="n"/>
      <c r="I7729" s="25" t="n"/>
      <c r="U7729" s="19">
        <f>IF($V7729&lt;&gt;'設定'!$C$4,N(U7728),IF(OR(NOT(COUNTIF('商品マスタ'!$B$6:$B$1005,$W7729)=0),COUNTIFS('①在庫を貼る'!$V$6:$V$10005,$V7729,'①在庫を貼る'!$W$6:$W$10005,$W7729)+COUNTIFS('月1回_1ヶ月前の在庫'!$V$6:$V$10005,$V7729,'月1回_1ヶ月前の在庫'!$W$6:$W$10005,$W7729)&gt;0),N(U7728),N(U7728)+1))</f>
        <v/>
      </c>
      <c r="V7729" s="19">
        <f>IF($B7729="","",TEXT($B7729,"0000"))</f>
        <v/>
      </c>
      <c r="W7729" s="19">
        <f>IF($I7729="","",IF(ISNUMBER($I7729),TEXT($I7729,"0"),$I7729))</f>
        <v/>
      </c>
    </row>
    <row r="7730">
      <c r="B7730" s="25" t="n"/>
      <c r="I7730" s="25" t="n"/>
      <c r="U7730" s="19">
        <f>IF($V7730&lt;&gt;'設定'!$C$4,N(U7729),IF(OR(NOT(COUNTIF('商品マスタ'!$B$6:$B$1005,$W7730)=0),COUNTIFS('①在庫を貼る'!$V$6:$V$10005,$V7730,'①在庫を貼る'!$W$6:$W$10005,$W7730)+COUNTIFS('月1回_1ヶ月前の在庫'!$V$6:$V$10005,$V7730,'月1回_1ヶ月前の在庫'!$W$6:$W$10005,$W7730)&gt;0),N(U7729),N(U7729)+1))</f>
        <v/>
      </c>
      <c r="V7730" s="19">
        <f>IF($B7730="","",TEXT($B7730,"0000"))</f>
        <v/>
      </c>
      <c r="W7730" s="19">
        <f>IF($I7730="","",IF(ISNUMBER($I7730),TEXT($I7730,"0"),$I7730))</f>
        <v/>
      </c>
    </row>
    <row r="7731">
      <c r="B7731" s="25" t="n"/>
      <c r="I7731" s="25" t="n"/>
      <c r="U7731" s="19">
        <f>IF($V7731&lt;&gt;'設定'!$C$4,N(U7730),IF(OR(NOT(COUNTIF('商品マスタ'!$B$6:$B$1005,$W7731)=0),COUNTIFS('①在庫を貼る'!$V$6:$V$10005,$V7731,'①在庫を貼る'!$W$6:$W$10005,$W7731)+COUNTIFS('月1回_1ヶ月前の在庫'!$V$6:$V$10005,$V7731,'月1回_1ヶ月前の在庫'!$W$6:$W$10005,$W7731)&gt;0),N(U7730),N(U7730)+1))</f>
        <v/>
      </c>
      <c r="V7731" s="19">
        <f>IF($B7731="","",TEXT($B7731,"0000"))</f>
        <v/>
      </c>
      <c r="W7731" s="19">
        <f>IF($I7731="","",IF(ISNUMBER($I7731),TEXT($I7731,"0"),$I7731))</f>
        <v/>
      </c>
    </row>
    <row r="7732">
      <c r="B7732" s="25" t="n"/>
      <c r="I7732" s="25" t="n"/>
      <c r="U7732" s="19">
        <f>IF($V7732&lt;&gt;'設定'!$C$4,N(U7731),IF(OR(NOT(COUNTIF('商品マスタ'!$B$6:$B$1005,$W7732)=0),COUNTIFS('①在庫を貼る'!$V$6:$V$10005,$V7732,'①在庫を貼る'!$W$6:$W$10005,$W7732)+COUNTIFS('月1回_1ヶ月前の在庫'!$V$6:$V$10005,$V7732,'月1回_1ヶ月前の在庫'!$W$6:$W$10005,$W7732)&gt;0),N(U7731),N(U7731)+1))</f>
        <v/>
      </c>
      <c r="V7732" s="19">
        <f>IF($B7732="","",TEXT($B7732,"0000"))</f>
        <v/>
      </c>
      <c r="W7732" s="19">
        <f>IF($I7732="","",IF(ISNUMBER($I7732),TEXT($I7732,"0"),$I7732))</f>
        <v/>
      </c>
    </row>
    <row r="7733">
      <c r="B7733" s="25" t="n"/>
      <c r="I7733" s="25" t="n"/>
      <c r="U7733" s="19">
        <f>IF($V7733&lt;&gt;'設定'!$C$4,N(U7732),IF(OR(NOT(COUNTIF('商品マスタ'!$B$6:$B$1005,$W7733)=0),COUNTIFS('①在庫を貼る'!$V$6:$V$10005,$V7733,'①在庫を貼る'!$W$6:$W$10005,$W7733)+COUNTIFS('月1回_1ヶ月前の在庫'!$V$6:$V$10005,$V7733,'月1回_1ヶ月前の在庫'!$W$6:$W$10005,$W7733)&gt;0),N(U7732),N(U7732)+1))</f>
        <v/>
      </c>
      <c r="V7733" s="19">
        <f>IF($B7733="","",TEXT($B7733,"0000"))</f>
        <v/>
      </c>
      <c r="W7733" s="19">
        <f>IF($I7733="","",IF(ISNUMBER($I7733),TEXT($I7733,"0"),$I7733))</f>
        <v/>
      </c>
    </row>
    <row r="7734">
      <c r="B7734" s="25" t="n"/>
      <c r="I7734" s="25" t="n"/>
      <c r="U7734" s="19">
        <f>IF($V7734&lt;&gt;'設定'!$C$4,N(U7733),IF(OR(NOT(COUNTIF('商品マスタ'!$B$6:$B$1005,$W7734)=0),COUNTIFS('①在庫を貼る'!$V$6:$V$10005,$V7734,'①在庫を貼る'!$W$6:$W$10005,$W7734)+COUNTIFS('月1回_1ヶ月前の在庫'!$V$6:$V$10005,$V7734,'月1回_1ヶ月前の在庫'!$W$6:$W$10005,$W7734)&gt;0),N(U7733),N(U7733)+1))</f>
        <v/>
      </c>
      <c r="V7734" s="19">
        <f>IF($B7734="","",TEXT($B7734,"0000"))</f>
        <v/>
      </c>
      <c r="W7734" s="19">
        <f>IF($I7734="","",IF(ISNUMBER($I7734),TEXT($I7734,"0"),$I7734))</f>
        <v/>
      </c>
    </row>
    <row r="7735">
      <c r="B7735" s="25" t="n"/>
      <c r="I7735" s="25" t="n"/>
      <c r="U7735" s="19">
        <f>IF($V7735&lt;&gt;'設定'!$C$4,N(U7734),IF(OR(NOT(COUNTIF('商品マスタ'!$B$6:$B$1005,$W7735)=0),COUNTIFS('①在庫を貼る'!$V$6:$V$10005,$V7735,'①在庫を貼る'!$W$6:$W$10005,$W7735)+COUNTIFS('月1回_1ヶ月前の在庫'!$V$6:$V$10005,$V7735,'月1回_1ヶ月前の在庫'!$W$6:$W$10005,$W7735)&gt;0),N(U7734),N(U7734)+1))</f>
        <v/>
      </c>
      <c r="V7735" s="19">
        <f>IF($B7735="","",TEXT($B7735,"0000"))</f>
        <v/>
      </c>
      <c r="W7735" s="19">
        <f>IF($I7735="","",IF(ISNUMBER($I7735),TEXT($I7735,"0"),$I7735))</f>
        <v/>
      </c>
    </row>
    <row r="7736">
      <c r="B7736" s="25" t="n"/>
      <c r="I7736" s="25" t="n"/>
      <c r="U7736" s="19">
        <f>IF($V7736&lt;&gt;'設定'!$C$4,N(U7735),IF(OR(NOT(COUNTIF('商品マスタ'!$B$6:$B$1005,$W7736)=0),COUNTIFS('①在庫を貼る'!$V$6:$V$10005,$V7736,'①在庫を貼る'!$W$6:$W$10005,$W7736)+COUNTIFS('月1回_1ヶ月前の在庫'!$V$6:$V$10005,$V7736,'月1回_1ヶ月前の在庫'!$W$6:$W$10005,$W7736)&gt;0),N(U7735),N(U7735)+1))</f>
        <v/>
      </c>
      <c r="V7736" s="19">
        <f>IF($B7736="","",TEXT($B7736,"0000"))</f>
        <v/>
      </c>
      <c r="W7736" s="19">
        <f>IF($I7736="","",IF(ISNUMBER($I7736),TEXT($I7736,"0"),$I7736))</f>
        <v/>
      </c>
    </row>
    <row r="7737">
      <c r="B7737" s="25" t="n"/>
      <c r="I7737" s="25" t="n"/>
      <c r="U7737" s="19">
        <f>IF($V7737&lt;&gt;'設定'!$C$4,N(U7736),IF(OR(NOT(COUNTIF('商品マスタ'!$B$6:$B$1005,$W7737)=0),COUNTIFS('①在庫を貼る'!$V$6:$V$10005,$V7737,'①在庫を貼る'!$W$6:$W$10005,$W7737)+COUNTIFS('月1回_1ヶ月前の在庫'!$V$6:$V$10005,$V7737,'月1回_1ヶ月前の在庫'!$W$6:$W$10005,$W7737)&gt;0),N(U7736),N(U7736)+1))</f>
        <v/>
      </c>
      <c r="V7737" s="19">
        <f>IF($B7737="","",TEXT($B7737,"0000"))</f>
        <v/>
      </c>
      <c r="W7737" s="19">
        <f>IF($I7737="","",IF(ISNUMBER($I7737),TEXT($I7737,"0"),$I7737))</f>
        <v/>
      </c>
    </row>
    <row r="7738">
      <c r="B7738" s="25" t="n"/>
      <c r="I7738" s="25" t="n"/>
      <c r="U7738" s="19">
        <f>IF($V7738&lt;&gt;'設定'!$C$4,N(U7737),IF(OR(NOT(COUNTIF('商品マスタ'!$B$6:$B$1005,$W7738)=0),COUNTIFS('①在庫を貼る'!$V$6:$V$10005,$V7738,'①在庫を貼る'!$W$6:$W$10005,$W7738)+COUNTIFS('月1回_1ヶ月前の在庫'!$V$6:$V$10005,$V7738,'月1回_1ヶ月前の在庫'!$W$6:$W$10005,$W7738)&gt;0),N(U7737),N(U7737)+1))</f>
        <v/>
      </c>
      <c r="V7738" s="19">
        <f>IF($B7738="","",TEXT($B7738,"0000"))</f>
        <v/>
      </c>
      <c r="W7738" s="19">
        <f>IF($I7738="","",IF(ISNUMBER($I7738),TEXT($I7738,"0"),$I7738))</f>
        <v/>
      </c>
    </row>
    <row r="7739">
      <c r="B7739" s="25" t="n"/>
      <c r="I7739" s="25" t="n"/>
      <c r="U7739" s="19">
        <f>IF($V7739&lt;&gt;'設定'!$C$4,N(U7738),IF(OR(NOT(COUNTIF('商品マスタ'!$B$6:$B$1005,$W7739)=0),COUNTIFS('①在庫を貼る'!$V$6:$V$10005,$V7739,'①在庫を貼る'!$W$6:$W$10005,$W7739)+COUNTIFS('月1回_1ヶ月前の在庫'!$V$6:$V$10005,$V7739,'月1回_1ヶ月前の在庫'!$W$6:$W$10005,$W7739)&gt;0),N(U7738),N(U7738)+1))</f>
        <v/>
      </c>
      <c r="V7739" s="19">
        <f>IF($B7739="","",TEXT($B7739,"0000"))</f>
        <v/>
      </c>
      <c r="W7739" s="19">
        <f>IF($I7739="","",IF(ISNUMBER($I7739),TEXT($I7739,"0"),$I7739))</f>
        <v/>
      </c>
    </row>
    <row r="7740">
      <c r="B7740" s="25" t="n"/>
      <c r="I7740" s="25" t="n"/>
      <c r="U7740" s="19">
        <f>IF($V7740&lt;&gt;'設定'!$C$4,N(U7739),IF(OR(NOT(COUNTIF('商品マスタ'!$B$6:$B$1005,$W7740)=0),COUNTIFS('①在庫を貼る'!$V$6:$V$10005,$V7740,'①在庫を貼る'!$W$6:$W$10005,$W7740)+COUNTIFS('月1回_1ヶ月前の在庫'!$V$6:$V$10005,$V7740,'月1回_1ヶ月前の在庫'!$W$6:$W$10005,$W7740)&gt;0),N(U7739),N(U7739)+1))</f>
        <v/>
      </c>
      <c r="V7740" s="19">
        <f>IF($B7740="","",TEXT($B7740,"0000"))</f>
        <v/>
      </c>
      <c r="W7740" s="19">
        <f>IF($I7740="","",IF(ISNUMBER($I7740),TEXT($I7740,"0"),$I7740))</f>
        <v/>
      </c>
    </row>
    <row r="7741">
      <c r="B7741" s="25" t="n"/>
      <c r="I7741" s="25" t="n"/>
      <c r="U7741" s="19">
        <f>IF($V7741&lt;&gt;'設定'!$C$4,N(U7740),IF(OR(NOT(COUNTIF('商品マスタ'!$B$6:$B$1005,$W7741)=0),COUNTIFS('①在庫を貼る'!$V$6:$V$10005,$V7741,'①在庫を貼る'!$W$6:$W$10005,$W7741)+COUNTIFS('月1回_1ヶ月前の在庫'!$V$6:$V$10005,$V7741,'月1回_1ヶ月前の在庫'!$W$6:$W$10005,$W7741)&gt;0),N(U7740),N(U7740)+1))</f>
        <v/>
      </c>
      <c r="V7741" s="19">
        <f>IF($B7741="","",TEXT($B7741,"0000"))</f>
        <v/>
      </c>
      <c r="W7741" s="19">
        <f>IF($I7741="","",IF(ISNUMBER($I7741),TEXT($I7741,"0"),$I7741))</f>
        <v/>
      </c>
    </row>
    <row r="7742">
      <c r="B7742" s="25" t="n"/>
      <c r="I7742" s="25" t="n"/>
      <c r="U7742" s="19">
        <f>IF($V7742&lt;&gt;'設定'!$C$4,N(U7741),IF(OR(NOT(COUNTIF('商品マスタ'!$B$6:$B$1005,$W7742)=0),COUNTIFS('①在庫を貼る'!$V$6:$V$10005,$V7742,'①在庫を貼る'!$W$6:$W$10005,$W7742)+COUNTIFS('月1回_1ヶ月前の在庫'!$V$6:$V$10005,$V7742,'月1回_1ヶ月前の在庫'!$W$6:$W$10005,$W7742)&gt;0),N(U7741),N(U7741)+1))</f>
        <v/>
      </c>
      <c r="V7742" s="19">
        <f>IF($B7742="","",TEXT($B7742,"0000"))</f>
        <v/>
      </c>
      <c r="W7742" s="19">
        <f>IF($I7742="","",IF(ISNUMBER($I7742),TEXT($I7742,"0"),$I7742))</f>
        <v/>
      </c>
    </row>
    <row r="7743">
      <c r="B7743" s="25" t="n"/>
      <c r="I7743" s="25" t="n"/>
      <c r="U7743" s="19">
        <f>IF($V7743&lt;&gt;'設定'!$C$4,N(U7742),IF(OR(NOT(COUNTIF('商品マスタ'!$B$6:$B$1005,$W7743)=0),COUNTIFS('①在庫を貼る'!$V$6:$V$10005,$V7743,'①在庫を貼る'!$W$6:$W$10005,$W7743)+COUNTIFS('月1回_1ヶ月前の在庫'!$V$6:$V$10005,$V7743,'月1回_1ヶ月前の在庫'!$W$6:$W$10005,$W7743)&gt;0),N(U7742),N(U7742)+1))</f>
        <v/>
      </c>
      <c r="V7743" s="19">
        <f>IF($B7743="","",TEXT($B7743,"0000"))</f>
        <v/>
      </c>
      <c r="W7743" s="19">
        <f>IF($I7743="","",IF(ISNUMBER($I7743),TEXT($I7743,"0"),$I7743))</f>
        <v/>
      </c>
    </row>
    <row r="7744">
      <c r="B7744" s="25" t="n"/>
      <c r="I7744" s="25" t="n"/>
      <c r="U7744" s="19">
        <f>IF($V7744&lt;&gt;'設定'!$C$4,N(U7743),IF(OR(NOT(COUNTIF('商品マスタ'!$B$6:$B$1005,$W7744)=0),COUNTIFS('①在庫を貼る'!$V$6:$V$10005,$V7744,'①在庫を貼る'!$W$6:$W$10005,$W7744)+COUNTIFS('月1回_1ヶ月前の在庫'!$V$6:$V$10005,$V7744,'月1回_1ヶ月前の在庫'!$W$6:$W$10005,$W7744)&gt;0),N(U7743),N(U7743)+1))</f>
        <v/>
      </c>
      <c r="V7744" s="19">
        <f>IF($B7744="","",TEXT($B7744,"0000"))</f>
        <v/>
      </c>
      <c r="W7744" s="19">
        <f>IF($I7744="","",IF(ISNUMBER($I7744),TEXT($I7744,"0"),$I7744))</f>
        <v/>
      </c>
    </row>
    <row r="7745">
      <c r="B7745" s="25" t="n"/>
      <c r="I7745" s="25" t="n"/>
      <c r="U7745" s="19">
        <f>IF($V7745&lt;&gt;'設定'!$C$4,N(U7744),IF(OR(NOT(COUNTIF('商品マスタ'!$B$6:$B$1005,$W7745)=0),COUNTIFS('①在庫を貼る'!$V$6:$V$10005,$V7745,'①在庫を貼る'!$W$6:$W$10005,$W7745)+COUNTIFS('月1回_1ヶ月前の在庫'!$V$6:$V$10005,$V7745,'月1回_1ヶ月前の在庫'!$W$6:$W$10005,$W7745)&gt;0),N(U7744),N(U7744)+1))</f>
        <v/>
      </c>
      <c r="V7745" s="19">
        <f>IF($B7745="","",TEXT($B7745,"0000"))</f>
        <v/>
      </c>
      <c r="W7745" s="19">
        <f>IF($I7745="","",IF(ISNUMBER($I7745),TEXT($I7745,"0"),$I7745))</f>
        <v/>
      </c>
    </row>
    <row r="7746">
      <c r="B7746" s="25" t="n"/>
      <c r="I7746" s="25" t="n"/>
      <c r="U7746" s="19">
        <f>IF($V7746&lt;&gt;'設定'!$C$4,N(U7745),IF(OR(NOT(COUNTIF('商品マスタ'!$B$6:$B$1005,$W7746)=0),COUNTIFS('①在庫を貼る'!$V$6:$V$10005,$V7746,'①在庫を貼る'!$W$6:$W$10005,$W7746)+COUNTIFS('月1回_1ヶ月前の在庫'!$V$6:$V$10005,$V7746,'月1回_1ヶ月前の在庫'!$W$6:$W$10005,$W7746)&gt;0),N(U7745),N(U7745)+1))</f>
        <v/>
      </c>
      <c r="V7746" s="19">
        <f>IF($B7746="","",TEXT($B7746,"0000"))</f>
        <v/>
      </c>
      <c r="W7746" s="19">
        <f>IF($I7746="","",IF(ISNUMBER($I7746),TEXT($I7746,"0"),$I7746))</f>
        <v/>
      </c>
    </row>
    <row r="7747">
      <c r="B7747" s="25" t="n"/>
      <c r="I7747" s="25" t="n"/>
      <c r="U7747" s="19">
        <f>IF($V7747&lt;&gt;'設定'!$C$4,N(U7746),IF(OR(NOT(COUNTIF('商品マスタ'!$B$6:$B$1005,$W7747)=0),COUNTIFS('①在庫を貼る'!$V$6:$V$10005,$V7747,'①在庫を貼る'!$W$6:$W$10005,$W7747)+COUNTIFS('月1回_1ヶ月前の在庫'!$V$6:$V$10005,$V7747,'月1回_1ヶ月前の在庫'!$W$6:$W$10005,$W7747)&gt;0),N(U7746),N(U7746)+1))</f>
        <v/>
      </c>
      <c r="V7747" s="19">
        <f>IF($B7747="","",TEXT($B7747,"0000"))</f>
        <v/>
      </c>
      <c r="W7747" s="19">
        <f>IF($I7747="","",IF(ISNUMBER($I7747),TEXT($I7747,"0"),$I7747))</f>
        <v/>
      </c>
    </row>
    <row r="7748">
      <c r="B7748" s="25" t="n"/>
      <c r="I7748" s="25" t="n"/>
      <c r="U7748" s="19">
        <f>IF($V7748&lt;&gt;'設定'!$C$4,N(U7747),IF(OR(NOT(COUNTIF('商品マスタ'!$B$6:$B$1005,$W7748)=0),COUNTIFS('①在庫を貼る'!$V$6:$V$10005,$V7748,'①在庫を貼る'!$W$6:$W$10005,$W7748)+COUNTIFS('月1回_1ヶ月前の在庫'!$V$6:$V$10005,$V7748,'月1回_1ヶ月前の在庫'!$W$6:$W$10005,$W7748)&gt;0),N(U7747),N(U7747)+1))</f>
        <v/>
      </c>
      <c r="V7748" s="19">
        <f>IF($B7748="","",TEXT($B7748,"0000"))</f>
        <v/>
      </c>
      <c r="W7748" s="19">
        <f>IF($I7748="","",IF(ISNUMBER($I7748),TEXT($I7748,"0"),$I7748))</f>
        <v/>
      </c>
    </row>
    <row r="7749">
      <c r="B7749" s="25" t="n"/>
      <c r="I7749" s="25" t="n"/>
      <c r="U7749" s="19">
        <f>IF($V7749&lt;&gt;'設定'!$C$4,N(U7748),IF(OR(NOT(COUNTIF('商品マスタ'!$B$6:$B$1005,$W7749)=0),COUNTIFS('①在庫を貼る'!$V$6:$V$10005,$V7749,'①在庫を貼る'!$W$6:$W$10005,$W7749)+COUNTIFS('月1回_1ヶ月前の在庫'!$V$6:$V$10005,$V7749,'月1回_1ヶ月前の在庫'!$W$6:$W$10005,$W7749)&gt;0),N(U7748),N(U7748)+1))</f>
        <v/>
      </c>
      <c r="V7749" s="19">
        <f>IF($B7749="","",TEXT($B7749,"0000"))</f>
        <v/>
      </c>
      <c r="W7749" s="19">
        <f>IF($I7749="","",IF(ISNUMBER($I7749),TEXT($I7749,"0"),$I7749))</f>
        <v/>
      </c>
    </row>
    <row r="7750">
      <c r="B7750" s="25" t="n"/>
      <c r="I7750" s="25" t="n"/>
      <c r="U7750" s="19">
        <f>IF($V7750&lt;&gt;'設定'!$C$4,N(U7749),IF(OR(NOT(COUNTIF('商品マスタ'!$B$6:$B$1005,$W7750)=0),COUNTIFS('①在庫を貼る'!$V$6:$V$10005,$V7750,'①在庫を貼る'!$W$6:$W$10005,$W7750)+COUNTIFS('月1回_1ヶ月前の在庫'!$V$6:$V$10005,$V7750,'月1回_1ヶ月前の在庫'!$W$6:$W$10005,$W7750)&gt;0),N(U7749),N(U7749)+1))</f>
        <v/>
      </c>
      <c r="V7750" s="19">
        <f>IF($B7750="","",TEXT($B7750,"0000"))</f>
        <v/>
      </c>
      <c r="W7750" s="19">
        <f>IF($I7750="","",IF(ISNUMBER($I7750),TEXT($I7750,"0"),$I7750))</f>
        <v/>
      </c>
    </row>
    <row r="7751">
      <c r="B7751" s="25" t="n"/>
      <c r="I7751" s="25" t="n"/>
      <c r="U7751" s="19">
        <f>IF($V7751&lt;&gt;'設定'!$C$4,N(U7750),IF(OR(NOT(COUNTIF('商品マスタ'!$B$6:$B$1005,$W7751)=0),COUNTIFS('①在庫を貼る'!$V$6:$V$10005,$V7751,'①在庫を貼る'!$W$6:$W$10005,$W7751)+COUNTIFS('月1回_1ヶ月前の在庫'!$V$6:$V$10005,$V7751,'月1回_1ヶ月前の在庫'!$W$6:$W$10005,$W7751)&gt;0),N(U7750),N(U7750)+1))</f>
        <v/>
      </c>
      <c r="V7751" s="19">
        <f>IF($B7751="","",TEXT($B7751,"0000"))</f>
        <v/>
      </c>
      <c r="W7751" s="19">
        <f>IF($I7751="","",IF(ISNUMBER($I7751),TEXT($I7751,"0"),$I7751))</f>
        <v/>
      </c>
    </row>
    <row r="7752">
      <c r="B7752" s="25" t="n"/>
      <c r="I7752" s="25" t="n"/>
      <c r="U7752" s="19">
        <f>IF($V7752&lt;&gt;'設定'!$C$4,N(U7751),IF(OR(NOT(COUNTIF('商品マスタ'!$B$6:$B$1005,$W7752)=0),COUNTIFS('①在庫を貼る'!$V$6:$V$10005,$V7752,'①在庫を貼る'!$W$6:$W$10005,$W7752)+COUNTIFS('月1回_1ヶ月前の在庫'!$V$6:$V$10005,$V7752,'月1回_1ヶ月前の在庫'!$W$6:$W$10005,$W7752)&gt;0),N(U7751),N(U7751)+1))</f>
        <v/>
      </c>
      <c r="V7752" s="19">
        <f>IF($B7752="","",TEXT($B7752,"0000"))</f>
        <v/>
      </c>
      <c r="W7752" s="19">
        <f>IF($I7752="","",IF(ISNUMBER($I7752),TEXT($I7752,"0"),$I7752))</f>
        <v/>
      </c>
    </row>
    <row r="7753">
      <c r="B7753" s="25" t="n"/>
      <c r="I7753" s="25" t="n"/>
      <c r="U7753" s="19">
        <f>IF($V7753&lt;&gt;'設定'!$C$4,N(U7752),IF(OR(NOT(COUNTIF('商品マスタ'!$B$6:$B$1005,$W7753)=0),COUNTIFS('①在庫を貼る'!$V$6:$V$10005,$V7753,'①在庫を貼る'!$W$6:$W$10005,$W7753)+COUNTIFS('月1回_1ヶ月前の在庫'!$V$6:$V$10005,$V7753,'月1回_1ヶ月前の在庫'!$W$6:$W$10005,$W7753)&gt;0),N(U7752),N(U7752)+1))</f>
        <v/>
      </c>
      <c r="V7753" s="19">
        <f>IF($B7753="","",TEXT($B7753,"0000"))</f>
        <v/>
      </c>
      <c r="W7753" s="19">
        <f>IF($I7753="","",IF(ISNUMBER($I7753),TEXT($I7753,"0"),$I7753))</f>
        <v/>
      </c>
    </row>
    <row r="7754">
      <c r="B7754" s="25" t="n"/>
      <c r="I7754" s="25" t="n"/>
      <c r="U7754" s="19">
        <f>IF($V7754&lt;&gt;'設定'!$C$4,N(U7753),IF(OR(NOT(COUNTIF('商品マスタ'!$B$6:$B$1005,$W7754)=0),COUNTIFS('①在庫を貼る'!$V$6:$V$10005,$V7754,'①在庫を貼る'!$W$6:$W$10005,$W7754)+COUNTIFS('月1回_1ヶ月前の在庫'!$V$6:$V$10005,$V7754,'月1回_1ヶ月前の在庫'!$W$6:$W$10005,$W7754)&gt;0),N(U7753),N(U7753)+1))</f>
        <v/>
      </c>
      <c r="V7754" s="19">
        <f>IF($B7754="","",TEXT($B7754,"0000"))</f>
        <v/>
      </c>
      <c r="W7754" s="19">
        <f>IF($I7754="","",IF(ISNUMBER($I7754),TEXT($I7754,"0"),$I7754))</f>
        <v/>
      </c>
    </row>
    <row r="7755">
      <c r="B7755" s="25" t="n"/>
      <c r="I7755" s="25" t="n"/>
      <c r="U7755" s="19">
        <f>IF($V7755&lt;&gt;'設定'!$C$4,N(U7754),IF(OR(NOT(COUNTIF('商品マスタ'!$B$6:$B$1005,$W7755)=0),COUNTIFS('①在庫を貼る'!$V$6:$V$10005,$V7755,'①在庫を貼る'!$W$6:$W$10005,$W7755)+COUNTIFS('月1回_1ヶ月前の在庫'!$V$6:$V$10005,$V7755,'月1回_1ヶ月前の在庫'!$W$6:$W$10005,$W7755)&gt;0),N(U7754),N(U7754)+1))</f>
        <v/>
      </c>
      <c r="V7755" s="19">
        <f>IF($B7755="","",TEXT($B7755,"0000"))</f>
        <v/>
      </c>
      <c r="W7755" s="19">
        <f>IF($I7755="","",IF(ISNUMBER($I7755),TEXT($I7755,"0"),$I7755))</f>
        <v/>
      </c>
    </row>
    <row r="7756">
      <c r="B7756" s="25" t="n"/>
      <c r="I7756" s="25" t="n"/>
      <c r="U7756" s="19">
        <f>IF($V7756&lt;&gt;'設定'!$C$4,N(U7755),IF(OR(NOT(COUNTIF('商品マスタ'!$B$6:$B$1005,$W7756)=0),COUNTIFS('①在庫を貼る'!$V$6:$V$10005,$V7756,'①在庫を貼る'!$W$6:$W$10005,$W7756)+COUNTIFS('月1回_1ヶ月前の在庫'!$V$6:$V$10005,$V7756,'月1回_1ヶ月前の在庫'!$W$6:$W$10005,$W7756)&gt;0),N(U7755),N(U7755)+1))</f>
        <v/>
      </c>
      <c r="V7756" s="19">
        <f>IF($B7756="","",TEXT($B7756,"0000"))</f>
        <v/>
      </c>
      <c r="W7756" s="19">
        <f>IF($I7756="","",IF(ISNUMBER($I7756),TEXT($I7756,"0"),$I7756))</f>
        <v/>
      </c>
    </row>
    <row r="7757">
      <c r="B7757" s="25" t="n"/>
      <c r="I7757" s="25" t="n"/>
      <c r="U7757" s="19">
        <f>IF($V7757&lt;&gt;'設定'!$C$4,N(U7756),IF(OR(NOT(COUNTIF('商品マスタ'!$B$6:$B$1005,$W7757)=0),COUNTIFS('①在庫を貼る'!$V$6:$V$10005,$V7757,'①在庫を貼る'!$W$6:$W$10005,$W7757)+COUNTIFS('月1回_1ヶ月前の在庫'!$V$6:$V$10005,$V7757,'月1回_1ヶ月前の在庫'!$W$6:$W$10005,$W7757)&gt;0),N(U7756),N(U7756)+1))</f>
        <v/>
      </c>
      <c r="V7757" s="19">
        <f>IF($B7757="","",TEXT($B7757,"0000"))</f>
        <v/>
      </c>
      <c r="W7757" s="19">
        <f>IF($I7757="","",IF(ISNUMBER($I7757),TEXT($I7757,"0"),$I7757))</f>
        <v/>
      </c>
    </row>
    <row r="7758">
      <c r="B7758" s="25" t="n"/>
      <c r="I7758" s="25" t="n"/>
      <c r="U7758" s="19">
        <f>IF($V7758&lt;&gt;'設定'!$C$4,N(U7757),IF(OR(NOT(COUNTIF('商品マスタ'!$B$6:$B$1005,$W7758)=0),COUNTIFS('①在庫を貼る'!$V$6:$V$10005,$V7758,'①在庫を貼る'!$W$6:$W$10005,$W7758)+COUNTIFS('月1回_1ヶ月前の在庫'!$V$6:$V$10005,$V7758,'月1回_1ヶ月前の在庫'!$W$6:$W$10005,$W7758)&gt;0),N(U7757),N(U7757)+1))</f>
        <v/>
      </c>
      <c r="V7758" s="19">
        <f>IF($B7758="","",TEXT($B7758,"0000"))</f>
        <v/>
      </c>
      <c r="W7758" s="19">
        <f>IF($I7758="","",IF(ISNUMBER($I7758),TEXT($I7758,"0"),$I7758))</f>
        <v/>
      </c>
    </row>
    <row r="7759">
      <c r="B7759" s="25" t="n"/>
      <c r="I7759" s="25" t="n"/>
      <c r="U7759" s="19">
        <f>IF($V7759&lt;&gt;'設定'!$C$4,N(U7758),IF(OR(NOT(COUNTIF('商品マスタ'!$B$6:$B$1005,$W7759)=0),COUNTIFS('①在庫を貼る'!$V$6:$V$10005,$V7759,'①在庫を貼る'!$W$6:$W$10005,$W7759)+COUNTIFS('月1回_1ヶ月前の在庫'!$V$6:$V$10005,$V7759,'月1回_1ヶ月前の在庫'!$W$6:$W$10005,$W7759)&gt;0),N(U7758),N(U7758)+1))</f>
        <v/>
      </c>
      <c r="V7759" s="19">
        <f>IF($B7759="","",TEXT($B7759,"0000"))</f>
        <v/>
      </c>
      <c r="W7759" s="19">
        <f>IF($I7759="","",IF(ISNUMBER($I7759),TEXT($I7759,"0"),$I7759))</f>
        <v/>
      </c>
    </row>
    <row r="7760">
      <c r="B7760" s="25" t="n"/>
      <c r="I7760" s="25" t="n"/>
      <c r="U7760" s="19">
        <f>IF($V7760&lt;&gt;'設定'!$C$4,N(U7759),IF(OR(NOT(COUNTIF('商品マスタ'!$B$6:$B$1005,$W7760)=0),COUNTIFS('①在庫を貼る'!$V$6:$V$10005,$V7760,'①在庫を貼る'!$W$6:$W$10005,$W7760)+COUNTIFS('月1回_1ヶ月前の在庫'!$V$6:$V$10005,$V7760,'月1回_1ヶ月前の在庫'!$W$6:$W$10005,$W7760)&gt;0),N(U7759),N(U7759)+1))</f>
        <v/>
      </c>
      <c r="V7760" s="19">
        <f>IF($B7760="","",TEXT($B7760,"0000"))</f>
        <v/>
      </c>
      <c r="W7760" s="19">
        <f>IF($I7760="","",IF(ISNUMBER($I7760),TEXT($I7760,"0"),$I7760))</f>
        <v/>
      </c>
    </row>
    <row r="7761">
      <c r="B7761" s="25" t="n"/>
      <c r="I7761" s="25" t="n"/>
      <c r="U7761" s="19">
        <f>IF($V7761&lt;&gt;'設定'!$C$4,N(U7760),IF(OR(NOT(COUNTIF('商品マスタ'!$B$6:$B$1005,$W7761)=0),COUNTIFS('①在庫を貼る'!$V$6:$V$10005,$V7761,'①在庫を貼る'!$W$6:$W$10005,$W7761)+COUNTIFS('月1回_1ヶ月前の在庫'!$V$6:$V$10005,$V7761,'月1回_1ヶ月前の在庫'!$W$6:$W$10005,$W7761)&gt;0),N(U7760),N(U7760)+1))</f>
        <v/>
      </c>
      <c r="V7761" s="19">
        <f>IF($B7761="","",TEXT($B7761,"0000"))</f>
        <v/>
      </c>
      <c r="W7761" s="19">
        <f>IF($I7761="","",IF(ISNUMBER($I7761),TEXT($I7761,"0"),$I7761))</f>
        <v/>
      </c>
    </row>
    <row r="7762">
      <c r="B7762" s="25" t="n"/>
      <c r="I7762" s="25" t="n"/>
      <c r="U7762" s="19">
        <f>IF($V7762&lt;&gt;'設定'!$C$4,N(U7761),IF(OR(NOT(COUNTIF('商品マスタ'!$B$6:$B$1005,$W7762)=0),COUNTIFS('①在庫を貼る'!$V$6:$V$10005,$V7762,'①在庫を貼る'!$W$6:$W$10005,$W7762)+COUNTIFS('月1回_1ヶ月前の在庫'!$V$6:$V$10005,$V7762,'月1回_1ヶ月前の在庫'!$W$6:$W$10005,$W7762)&gt;0),N(U7761),N(U7761)+1))</f>
        <v/>
      </c>
      <c r="V7762" s="19">
        <f>IF($B7762="","",TEXT($B7762,"0000"))</f>
        <v/>
      </c>
      <c r="W7762" s="19">
        <f>IF($I7762="","",IF(ISNUMBER($I7762),TEXT($I7762,"0"),$I7762))</f>
        <v/>
      </c>
    </row>
    <row r="7763">
      <c r="B7763" s="25" t="n"/>
      <c r="I7763" s="25" t="n"/>
      <c r="U7763" s="19">
        <f>IF($V7763&lt;&gt;'設定'!$C$4,N(U7762),IF(OR(NOT(COUNTIF('商品マスタ'!$B$6:$B$1005,$W7763)=0),COUNTIFS('①在庫を貼る'!$V$6:$V$10005,$V7763,'①在庫を貼る'!$W$6:$W$10005,$W7763)+COUNTIFS('月1回_1ヶ月前の在庫'!$V$6:$V$10005,$V7763,'月1回_1ヶ月前の在庫'!$W$6:$W$10005,$W7763)&gt;0),N(U7762),N(U7762)+1))</f>
        <v/>
      </c>
      <c r="V7763" s="19">
        <f>IF($B7763="","",TEXT($B7763,"0000"))</f>
        <v/>
      </c>
      <c r="W7763" s="19">
        <f>IF($I7763="","",IF(ISNUMBER($I7763),TEXT($I7763,"0"),$I7763))</f>
        <v/>
      </c>
    </row>
    <row r="7764">
      <c r="B7764" s="25" t="n"/>
      <c r="I7764" s="25" t="n"/>
      <c r="U7764" s="19">
        <f>IF($V7764&lt;&gt;'設定'!$C$4,N(U7763),IF(OR(NOT(COUNTIF('商品マスタ'!$B$6:$B$1005,$W7764)=0),COUNTIFS('①在庫を貼る'!$V$6:$V$10005,$V7764,'①在庫を貼る'!$W$6:$W$10005,$W7764)+COUNTIFS('月1回_1ヶ月前の在庫'!$V$6:$V$10005,$V7764,'月1回_1ヶ月前の在庫'!$W$6:$W$10005,$W7764)&gt;0),N(U7763),N(U7763)+1))</f>
        <v/>
      </c>
      <c r="V7764" s="19">
        <f>IF($B7764="","",TEXT($B7764,"0000"))</f>
        <v/>
      </c>
      <c r="W7764" s="19">
        <f>IF($I7764="","",IF(ISNUMBER($I7764),TEXT($I7764,"0"),$I7764))</f>
        <v/>
      </c>
    </row>
    <row r="7765">
      <c r="B7765" s="25" t="n"/>
      <c r="I7765" s="25" t="n"/>
      <c r="U7765" s="19">
        <f>IF($V7765&lt;&gt;'設定'!$C$4,N(U7764),IF(OR(NOT(COUNTIF('商品マスタ'!$B$6:$B$1005,$W7765)=0),COUNTIFS('①在庫を貼る'!$V$6:$V$10005,$V7765,'①在庫を貼る'!$W$6:$W$10005,$W7765)+COUNTIFS('月1回_1ヶ月前の在庫'!$V$6:$V$10005,$V7765,'月1回_1ヶ月前の在庫'!$W$6:$W$10005,$W7765)&gt;0),N(U7764),N(U7764)+1))</f>
        <v/>
      </c>
      <c r="V7765" s="19">
        <f>IF($B7765="","",TEXT($B7765,"0000"))</f>
        <v/>
      </c>
      <c r="W7765" s="19">
        <f>IF($I7765="","",IF(ISNUMBER($I7765),TEXT($I7765,"0"),$I7765))</f>
        <v/>
      </c>
    </row>
    <row r="7766">
      <c r="B7766" s="25" t="n"/>
      <c r="I7766" s="25" t="n"/>
      <c r="U7766" s="19">
        <f>IF($V7766&lt;&gt;'設定'!$C$4,N(U7765),IF(OR(NOT(COUNTIF('商品マスタ'!$B$6:$B$1005,$W7766)=0),COUNTIFS('①在庫を貼る'!$V$6:$V$10005,$V7766,'①在庫を貼る'!$W$6:$W$10005,$W7766)+COUNTIFS('月1回_1ヶ月前の在庫'!$V$6:$V$10005,$V7766,'月1回_1ヶ月前の在庫'!$W$6:$W$10005,$W7766)&gt;0),N(U7765),N(U7765)+1))</f>
        <v/>
      </c>
      <c r="V7766" s="19">
        <f>IF($B7766="","",TEXT($B7766,"0000"))</f>
        <v/>
      </c>
      <c r="W7766" s="19">
        <f>IF($I7766="","",IF(ISNUMBER($I7766),TEXT($I7766,"0"),$I7766))</f>
        <v/>
      </c>
    </row>
    <row r="7767">
      <c r="B7767" s="25" t="n"/>
      <c r="I7767" s="25" t="n"/>
      <c r="U7767" s="19">
        <f>IF($V7767&lt;&gt;'設定'!$C$4,N(U7766),IF(OR(NOT(COUNTIF('商品マスタ'!$B$6:$B$1005,$W7767)=0),COUNTIFS('①在庫を貼る'!$V$6:$V$10005,$V7767,'①在庫を貼る'!$W$6:$W$10005,$W7767)+COUNTIFS('月1回_1ヶ月前の在庫'!$V$6:$V$10005,$V7767,'月1回_1ヶ月前の在庫'!$W$6:$W$10005,$W7767)&gt;0),N(U7766),N(U7766)+1))</f>
        <v/>
      </c>
      <c r="V7767" s="19">
        <f>IF($B7767="","",TEXT($B7767,"0000"))</f>
        <v/>
      </c>
      <c r="W7767" s="19">
        <f>IF($I7767="","",IF(ISNUMBER($I7767),TEXT($I7767,"0"),$I7767))</f>
        <v/>
      </c>
    </row>
    <row r="7768">
      <c r="B7768" s="25" t="n"/>
      <c r="I7768" s="25" t="n"/>
      <c r="U7768" s="19">
        <f>IF($V7768&lt;&gt;'設定'!$C$4,N(U7767),IF(OR(NOT(COUNTIF('商品マスタ'!$B$6:$B$1005,$W7768)=0),COUNTIFS('①在庫を貼る'!$V$6:$V$10005,$V7768,'①在庫を貼る'!$W$6:$W$10005,$W7768)+COUNTIFS('月1回_1ヶ月前の在庫'!$V$6:$V$10005,$V7768,'月1回_1ヶ月前の在庫'!$W$6:$W$10005,$W7768)&gt;0),N(U7767),N(U7767)+1))</f>
        <v/>
      </c>
      <c r="V7768" s="19">
        <f>IF($B7768="","",TEXT($B7768,"0000"))</f>
        <v/>
      </c>
      <c r="W7768" s="19">
        <f>IF($I7768="","",IF(ISNUMBER($I7768),TEXT($I7768,"0"),$I7768))</f>
        <v/>
      </c>
    </row>
    <row r="7769">
      <c r="B7769" s="25" t="n"/>
      <c r="I7769" s="25" t="n"/>
      <c r="U7769" s="19">
        <f>IF($V7769&lt;&gt;'設定'!$C$4,N(U7768),IF(OR(NOT(COUNTIF('商品マスタ'!$B$6:$B$1005,$W7769)=0),COUNTIFS('①在庫を貼る'!$V$6:$V$10005,$V7769,'①在庫を貼る'!$W$6:$W$10005,$W7769)+COUNTIFS('月1回_1ヶ月前の在庫'!$V$6:$V$10005,$V7769,'月1回_1ヶ月前の在庫'!$W$6:$W$10005,$W7769)&gt;0),N(U7768),N(U7768)+1))</f>
        <v/>
      </c>
      <c r="V7769" s="19">
        <f>IF($B7769="","",TEXT($B7769,"0000"))</f>
        <v/>
      </c>
      <c r="W7769" s="19">
        <f>IF($I7769="","",IF(ISNUMBER($I7769),TEXT($I7769,"0"),$I7769))</f>
        <v/>
      </c>
    </row>
    <row r="7770">
      <c r="B7770" s="25" t="n"/>
      <c r="I7770" s="25" t="n"/>
      <c r="U7770" s="19">
        <f>IF($V7770&lt;&gt;'設定'!$C$4,N(U7769),IF(OR(NOT(COUNTIF('商品マスタ'!$B$6:$B$1005,$W7770)=0),COUNTIFS('①在庫を貼る'!$V$6:$V$10005,$V7770,'①在庫を貼る'!$W$6:$W$10005,$W7770)+COUNTIFS('月1回_1ヶ月前の在庫'!$V$6:$V$10005,$V7770,'月1回_1ヶ月前の在庫'!$W$6:$W$10005,$W7770)&gt;0),N(U7769),N(U7769)+1))</f>
        <v/>
      </c>
      <c r="V7770" s="19">
        <f>IF($B7770="","",TEXT($B7770,"0000"))</f>
        <v/>
      </c>
      <c r="W7770" s="19">
        <f>IF($I7770="","",IF(ISNUMBER($I7770),TEXT($I7770,"0"),$I7770))</f>
        <v/>
      </c>
    </row>
    <row r="7771">
      <c r="B7771" s="25" t="n"/>
      <c r="I7771" s="25" t="n"/>
      <c r="U7771" s="19">
        <f>IF($V7771&lt;&gt;'設定'!$C$4,N(U7770),IF(OR(NOT(COUNTIF('商品マスタ'!$B$6:$B$1005,$W7771)=0),COUNTIFS('①在庫を貼る'!$V$6:$V$10005,$V7771,'①在庫を貼る'!$W$6:$W$10005,$W7771)+COUNTIFS('月1回_1ヶ月前の在庫'!$V$6:$V$10005,$V7771,'月1回_1ヶ月前の在庫'!$W$6:$W$10005,$W7771)&gt;0),N(U7770),N(U7770)+1))</f>
        <v/>
      </c>
      <c r="V7771" s="19">
        <f>IF($B7771="","",TEXT($B7771,"0000"))</f>
        <v/>
      </c>
      <c r="W7771" s="19">
        <f>IF($I7771="","",IF(ISNUMBER($I7771),TEXT($I7771,"0"),$I7771))</f>
        <v/>
      </c>
    </row>
    <row r="7772">
      <c r="B7772" s="25" t="n"/>
      <c r="I7772" s="25" t="n"/>
      <c r="U7772" s="19">
        <f>IF($V7772&lt;&gt;'設定'!$C$4,N(U7771),IF(OR(NOT(COUNTIF('商品マスタ'!$B$6:$B$1005,$W7772)=0),COUNTIFS('①在庫を貼る'!$V$6:$V$10005,$V7772,'①在庫を貼る'!$W$6:$W$10005,$W7772)+COUNTIFS('月1回_1ヶ月前の在庫'!$V$6:$V$10005,$V7772,'月1回_1ヶ月前の在庫'!$W$6:$W$10005,$W7772)&gt;0),N(U7771),N(U7771)+1))</f>
        <v/>
      </c>
      <c r="V7772" s="19">
        <f>IF($B7772="","",TEXT($B7772,"0000"))</f>
        <v/>
      </c>
      <c r="W7772" s="19">
        <f>IF($I7772="","",IF(ISNUMBER($I7772),TEXT($I7772,"0"),$I7772))</f>
        <v/>
      </c>
    </row>
    <row r="7773">
      <c r="B7773" s="25" t="n"/>
      <c r="I7773" s="25" t="n"/>
      <c r="U7773" s="19">
        <f>IF($V7773&lt;&gt;'設定'!$C$4,N(U7772),IF(OR(NOT(COUNTIF('商品マスタ'!$B$6:$B$1005,$W7773)=0),COUNTIFS('①在庫を貼る'!$V$6:$V$10005,$V7773,'①在庫を貼る'!$W$6:$W$10005,$W7773)+COUNTIFS('月1回_1ヶ月前の在庫'!$V$6:$V$10005,$V7773,'月1回_1ヶ月前の在庫'!$W$6:$W$10005,$W7773)&gt;0),N(U7772),N(U7772)+1))</f>
        <v/>
      </c>
      <c r="V7773" s="19">
        <f>IF($B7773="","",TEXT($B7773,"0000"))</f>
        <v/>
      </c>
      <c r="W7773" s="19">
        <f>IF($I7773="","",IF(ISNUMBER($I7773),TEXT($I7773,"0"),$I7773))</f>
        <v/>
      </c>
    </row>
    <row r="7774">
      <c r="B7774" s="25" t="n"/>
      <c r="I7774" s="25" t="n"/>
      <c r="U7774" s="19">
        <f>IF($V7774&lt;&gt;'設定'!$C$4,N(U7773),IF(OR(NOT(COUNTIF('商品マスタ'!$B$6:$B$1005,$W7774)=0),COUNTIFS('①在庫を貼る'!$V$6:$V$10005,$V7774,'①在庫を貼る'!$W$6:$W$10005,$W7774)+COUNTIFS('月1回_1ヶ月前の在庫'!$V$6:$V$10005,$V7774,'月1回_1ヶ月前の在庫'!$W$6:$W$10005,$W7774)&gt;0),N(U7773),N(U7773)+1))</f>
        <v/>
      </c>
      <c r="V7774" s="19">
        <f>IF($B7774="","",TEXT($B7774,"0000"))</f>
        <v/>
      </c>
      <c r="W7774" s="19">
        <f>IF($I7774="","",IF(ISNUMBER($I7774),TEXT($I7774,"0"),$I7774))</f>
        <v/>
      </c>
    </row>
    <row r="7775">
      <c r="B7775" s="25" t="n"/>
      <c r="I7775" s="25" t="n"/>
      <c r="U7775" s="19">
        <f>IF($V7775&lt;&gt;'設定'!$C$4,N(U7774),IF(OR(NOT(COUNTIF('商品マスタ'!$B$6:$B$1005,$W7775)=0),COUNTIFS('①在庫を貼る'!$V$6:$V$10005,$V7775,'①在庫を貼る'!$W$6:$W$10005,$W7775)+COUNTIFS('月1回_1ヶ月前の在庫'!$V$6:$V$10005,$V7775,'月1回_1ヶ月前の在庫'!$W$6:$W$10005,$W7775)&gt;0),N(U7774),N(U7774)+1))</f>
        <v/>
      </c>
      <c r="V7775" s="19">
        <f>IF($B7775="","",TEXT($B7775,"0000"))</f>
        <v/>
      </c>
      <c r="W7775" s="19">
        <f>IF($I7775="","",IF(ISNUMBER($I7775),TEXT($I7775,"0"),$I7775))</f>
        <v/>
      </c>
    </row>
    <row r="7776">
      <c r="B7776" s="25" t="n"/>
      <c r="I7776" s="25" t="n"/>
      <c r="U7776" s="19">
        <f>IF($V7776&lt;&gt;'設定'!$C$4,N(U7775),IF(OR(NOT(COUNTIF('商品マスタ'!$B$6:$B$1005,$W7776)=0),COUNTIFS('①在庫を貼る'!$V$6:$V$10005,$V7776,'①在庫を貼る'!$W$6:$W$10005,$W7776)+COUNTIFS('月1回_1ヶ月前の在庫'!$V$6:$V$10005,$V7776,'月1回_1ヶ月前の在庫'!$W$6:$W$10005,$W7776)&gt;0),N(U7775),N(U7775)+1))</f>
        <v/>
      </c>
      <c r="V7776" s="19">
        <f>IF($B7776="","",TEXT($B7776,"0000"))</f>
        <v/>
      </c>
      <c r="W7776" s="19">
        <f>IF($I7776="","",IF(ISNUMBER($I7776),TEXT($I7776,"0"),$I7776))</f>
        <v/>
      </c>
    </row>
    <row r="7777">
      <c r="B7777" s="25" t="n"/>
      <c r="I7777" s="25" t="n"/>
      <c r="U7777" s="19">
        <f>IF($V7777&lt;&gt;'設定'!$C$4,N(U7776),IF(OR(NOT(COUNTIF('商品マスタ'!$B$6:$B$1005,$W7777)=0),COUNTIFS('①在庫を貼る'!$V$6:$V$10005,$V7777,'①在庫を貼る'!$W$6:$W$10005,$W7777)+COUNTIFS('月1回_1ヶ月前の在庫'!$V$6:$V$10005,$V7777,'月1回_1ヶ月前の在庫'!$W$6:$W$10005,$W7777)&gt;0),N(U7776),N(U7776)+1))</f>
        <v/>
      </c>
      <c r="V7777" s="19">
        <f>IF($B7777="","",TEXT($B7777,"0000"))</f>
        <v/>
      </c>
      <c r="W7777" s="19">
        <f>IF($I7777="","",IF(ISNUMBER($I7777),TEXT($I7777,"0"),$I7777))</f>
        <v/>
      </c>
    </row>
    <row r="7778">
      <c r="B7778" s="25" t="n"/>
      <c r="I7778" s="25" t="n"/>
      <c r="U7778" s="19">
        <f>IF($V7778&lt;&gt;'設定'!$C$4,N(U7777),IF(OR(NOT(COUNTIF('商品マスタ'!$B$6:$B$1005,$W7778)=0),COUNTIFS('①在庫を貼る'!$V$6:$V$10005,$V7778,'①在庫を貼る'!$W$6:$W$10005,$W7778)+COUNTIFS('月1回_1ヶ月前の在庫'!$V$6:$V$10005,$V7778,'月1回_1ヶ月前の在庫'!$W$6:$W$10005,$W7778)&gt;0),N(U7777),N(U7777)+1))</f>
        <v/>
      </c>
      <c r="V7778" s="19">
        <f>IF($B7778="","",TEXT($B7778,"0000"))</f>
        <v/>
      </c>
      <c r="W7778" s="19">
        <f>IF($I7778="","",IF(ISNUMBER($I7778),TEXT($I7778,"0"),$I7778))</f>
        <v/>
      </c>
    </row>
    <row r="7779">
      <c r="B7779" s="25" t="n"/>
      <c r="I7779" s="25" t="n"/>
      <c r="U7779" s="19">
        <f>IF($V7779&lt;&gt;'設定'!$C$4,N(U7778),IF(OR(NOT(COUNTIF('商品マスタ'!$B$6:$B$1005,$W7779)=0),COUNTIFS('①在庫を貼る'!$V$6:$V$10005,$V7779,'①在庫を貼る'!$W$6:$W$10005,$W7779)+COUNTIFS('月1回_1ヶ月前の在庫'!$V$6:$V$10005,$V7779,'月1回_1ヶ月前の在庫'!$W$6:$W$10005,$W7779)&gt;0),N(U7778),N(U7778)+1))</f>
        <v/>
      </c>
      <c r="V7779" s="19">
        <f>IF($B7779="","",TEXT($B7779,"0000"))</f>
        <v/>
      </c>
      <c r="W7779" s="19">
        <f>IF($I7779="","",IF(ISNUMBER($I7779),TEXT($I7779,"0"),$I7779))</f>
        <v/>
      </c>
    </row>
    <row r="7780">
      <c r="B7780" s="25" t="n"/>
      <c r="I7780" s="25" t="n"/>
      <c r="U7780" s="19">
        <f>IF($V7780&lt;&gt;'設定'!$C$4,N(U7779),IF(OR(NOT(COUNTIF('商品マスタ'!$B$6:$B$1005,$W7780)=0),COUNTIFS('①在庫を貼る'!$V$6:$V$10005,$V7780,'①在庫を貼る'!$W$6:$W$10005,$W7780)+COUNTIFS('月1回_1ヶ月前の在庫'!$V$6:$V$10005,$V7780,'月1回_1ヶ月前の在庫'!$W$6:$W$10005,$W7780)&gt;0),N(U7779),N(U7779)+1))</f>
        <v/>
      </c>
      <c r="V7780" s="19">
        <f>IF($B7780="","",TEXT($B7780,"0000"))</f>
        <v/>
      </c>
      <c r="W7780" s="19">
        <f>IF($I7780="","",IF(ISNUMBER($I7780),TEXT($I7780,"0"),$I7780))</f>
        <v/>
      </c>
    </row>
    <row r="7781">
      <c r="B7781" s="25" t="n"/>
      <c r="I7781" s="25" t="n"/>
      <c r="U7781" s="19">
        <f>IF($V7781&lt;&gt;'設定'!$C$4,N(U7780),IF(OR(NOT(COUNTIF('商品マスタ'!$B$6:$B$1005,$W7781)=0),COUNTIFS('①在庫を貼る'!$V$6:$V$10005,$V7781,'①在庫を貼る'!$W$6:$W$10005,$W7781)+COUNTIFS('月1回_1ヶ月前の在庫'!$V$6:$V$10005,$V7781,'月1回_1ヶ月前の在庫'!$W$6:$W$10005,$W7781)&gt;0),N(U7780),N(U7780)+1))</f>
        <v/>
      </c>
      <c r="V7781" s="19">
        <f>IF($B7781="","",TEXT($B7781,"0000"))</f>
        <v/>
      </c>
      <c r="W7781" s="19">
        <f>IF($I7781="","",IF(ISNUMBER($I7781),TEXT($I7781,"0"),$I7781))</f>
        <v/>
      </c>
    </row>
    <row r="7782">
      <c r="B7782" s="25" t="n"/>
      <c r="I7782" s="25" t="n"/>
      <c r="U7782" s="19">
        <f>IF($V7782&lt;&gt;'設定'!$C$4,N(U7781),IF(OR(NOT(COUNTIF('商品マスタ'!$B$6:$B$1005,$W7782)=0),COUNTIFS('①在庫を貼る'!$V$6:$V$10005,$V7782,'①在庫を貼る'!$W$6:$W$10005,$W7782)+COUNTIFS('月1回_1ヶ月前の在庫'!$V$6:$V$10005,$V7782,'月1回_1ヶ月前の在庫'!$W$6:$W$10005,$W7782)&gt;0),N(U7781),N(U7781)+1))</f>
        <v/>
      </c>
      <c r="V7782" s="19">
        <f>IF($B7782="","",TEXT($B7782,"0000"))</f>
        <v/>
      </c>
      <c r="W7782" s="19">
        <f>IF($I7782="","",IF(ISNUMBER($I7782),TEXT($I7782,"0"),$I7782))</f>
        <v/>
      </c>
    </row>
    <row r="7783">
      <c r="B7783" s="25" t="n"/>
      <c r="I7783" s="25" t="n"/>
      <c r="U7783" s="19">
        <f>IF($V7783&lt;&gt;'設定'!$C$4,N(U7782),IF(OR(NOT(COUNTIF('商品マスタ'!$B$6:$B$1005,$W7783)=0),COUNTIFS('①在庫を貼る'!$V$6:$V$10005,$V7783,'①在庫を貼る'!$W$6:$W$10005,$W7783)+COUNTIFS('月1回_1ヶ月前の在庫'!$V$6:$V$10005,$V7783,'月1回_1ヶ月前の在庫'!$W$6:$W$10005,$W7783)&gt;0),N(U7782),N(U7782)+1))</f>
        <v/>
      </c>
      <c r="V7783" s="19">
        <f>IF($B7783="","",TEXT($B7783,"0000"))</f>
        <v/>
      </c>
      <c r="W7783" s="19">
        <f>IF($I7783="","",IF(ISNUMBER($I7783),TEXT($I7783,"0"),$I7783))</f>
        <v/>
      </c>
    </row>
    <row r="7784">
      <c r="B7784" s="25" t="n"/>
      <c r="I7784" s="25" t="n"/>
      <c r="U7784" s="19">
        <f>IF($V7784&lt;&gt;'設定'!$C$4,N(U7783),IF(OR(NOT(COUNTIF('商品マスタ'!$B$6:$B$1005,$W7784)=0),COUNTIFS('①在庫を貼る'!$V$6:$V$10005,$V7784,'①在庫を貼る'!$W$6:$W$10005,$W7784)+COUNTIFS('月1回_1ヶ月前の在庫'!$V$6:$V$10005,$V7784,'月1回_1ヶ月前の在庫'!$W$6:$W$10005,$W7784)&gt;0),N(U7783),N(U7783)+1))</f>
        <v/>
      </c>
      <c r="V7784" s="19">
        <f>IF($B7784="","",TEXT($B7784,"0000"))</f>
        <v/>
      </c>
      <c r="W7784" s="19">
        <f>IF($I7784="","",IF(ISNUMBER($I7784),TEXT($I7784,"0"),$I7784))</f>
        <v/>
      </c>
    </row>
    <row r="7785">
      <c r="B7785" s="25" t="n"/>
      <c r="I7785" s="25" t="n"/>
      <c r="U7785" s="19">
        <f>IF($V7785&lt;&gt;'設定'!$C$4,N(U7784),IF(OR(NOT(COUNTIF('商品マスタ'!$B$6:$B$1005,$W7785)=0),COUNTIFS('①在庫を貼る'!$V$6:$V$10005,$V7785,'①在庫を貼る'!$W$6:$W$10005,$W7785)+COUNTIFS('月1回_1ヶ月前の在庫'!$V$6:$V$10005,$V7785,'月1回_1ヶ月前の在庫'!$W$6:$W$10005,$W7785)&gt;0),N(U7784),N(U7784)+1))</f>
        <v/>
      </c>
      <c r="V7785" s="19">
        <f>IF($B7785="","",TEXT($B7785,"0000"))</f>
        <v/>
      </c>
      <c r="W7785" s="19">
        <f>IF($I7785="","",IF(ISNUMBER($I7785),TEXT($I7785,"0"),$I7785))</f>
        <v/>
      </c>
    </row>
    <row r="7786">
      <c r="B7786" s="25" t="n"/>
      <c r="I7786" s="25" t="n"/>
      <c r="U7786" s="19">
        <f>IF($V7786&lt;&gt;'設定'!$C$4,N(U7785),IF(OR(NOT(COUNTIF('商品マスタ'!$B$6:$B$1005,$W7786)=0),COUNTIFS('①在庫を貼る'!$V$6:$V$10005,$V7786,'①在庫を貼る'!$W$6:$W$10005,$W7786)+COUNTIFS('月1回_1ヶ月前の在庫'!$V$6:$V$10005,$V7786,'月1回_1ヶ月前の在庫'!$W$6:$W$10005,$W7786)&gt;0),N(U7785),N(U7785)+1))</f>
        <v/>
      </c>
      <c r="V7786" s="19">
        <f>IF($B7786="","",TEXT($B7786,"0000"))</f>
        <v/>
      </c>
      <c r="W7786" s="19">
        <f>IF($I7786="","",IF(ISNUMBER($I7786),TEXT($I7786,"0"),$I7786))</f>
        <v/>
      </c>
    </row>
    <row r="7787">
      <c r="B7787" s="25" t="n"/>
      <c r="I7787" s="25" t="n"/>
      <c r="U7787" s="19">
        <f>IF($V7787&lt;&gt;'設定'!$C$4,N(U7786),IF(OR(NOT(COUNTIF('商品マスタ'!$B$6:$B$1005,$W7787)=0),COUNTIFS('①在庫を貼る'!$V$6:$V$10005,$V7787,'①在庫を貼る'!$W$6:$W$10005,$W7787)+COUNTIFS('月1回_1ヶ月前の在庫'!$V$6:$V$10005,$V7787,'月1回_1ヶ月前の在庫'!$W$6:$W$10005,$W7787)&gt;0),N(U7786),N(U7786)+1))</f>
        <v/>
      </c>
      <c r="V7787" s="19">
        <f>IF($B7787="","",TEXT($B7787,"0000"))</f>
        <v/>
      </c>
      <c r="W7787" s="19">
        <f>IF($I7787="","",IF(ISNUMBER($I7787),TEXT($I7787,"0"),$I7787))</f>
        <v/>
      </c>
    </row>
    <row r="7788">
      <c r="B7788" s="25" t="n"/>
      <c r="I7788" s="25" t="n"/>
      <c r="U7788" s="19">
        <f>IF($V7788&lt;&gt;'設定'!$C$4,N(U7787),IF(OR(NOT(COUNTIF('商品マスタ'!$B$6:$B$1005,$W7788)=0),COUNTIFS('①在庫を貼る'!$V$6:$V$10005,$V7788,'①在庫を貼る'!$W$6:$W$10005,$W7788)+COUNTIFS('月1回_1ヶ月前の在庫'!$V$6:$V$10005,$V7788,'月1回_1ヶ月前の在庫'!$W$6:$W$10005,$W7788)&gt;0),N(U7787),N(U7787)+1))</f>
        <v/>
      </c>
      <c r="V7788" s="19">
        <f>IF($B7788="","",TEXT($B7788,"0000"))</f>
        <v/>
      </c>
      <c r="W7788" s="19">
        <f>IF($I7788="","",IF(ISNUMBER($I7788),TEXT($I7788,"0"),$I7788))</f>
        <v/>
      </c>
    </row>
    <row r="7789">
      <c r="B7789" s="25" t="n"/>
      <c r="I7789" s="25" t="n"/>
      <c r="U7789" s="19">
        <f>IF($V7789&lt;&gt;'設定'!$C$4,N(U7788),IF(OR(NOT(COUNTIF('商品マスタ'!$B$6:$B$1005,$W7789)=0),COUNTIFS('①在庫を貼る'!$V$6:$V$10005,$V7789,'①在庫を貼る'!$W$6:$W$10005,$W7789)+COUNTIFS('月1回_1ヶ月前の在庫'!$V$6:$V$10005,$V7789,'月1回_1ヶ月前の在庫'!$W$6:$W$10005,$W7789)&gt;0),N(U7788),N(U7788)+1))</f>
        <v/>
      </c>
      <c r="V7789" s="19">
        <f>IF($B7789="","",TEXT($B7789,"0000"))</f>
        <v/>
      </c>
      <c r="W7789" s="19">
        <f>IF($I7789="","",IF(ISNUMBER($I7789),TEXT($I7789,"0"),$I7789))</f>
        <v/>
      </c>
    </row>
    <row r="7790">
      <c r="B7790" s="25" t="n"/>
      <c r="I7790" s="25" t="n"/>
      <c r="U7790" s="19">
        <f>IF($V7790&lt;&gt;'設定'!$C$4,N(U7789),IF(OR(NOT(COUNTIF('商品マスタ'!$B$6:$B$1005,$W7790)=0),COUNTIFS('①在庫を貼る'!$V$6:$V$10005,$V7790,'①在庫を貼る'!$W$6:$W$10005,$W7790)+COUNTIFS('月1回_1ヶ月前の在庫'!$V$6:$V$10005,$V7790,'月1回_1ヶ月前の在庫'!$W$6:$W$10005,$W7790)&gt;0),N(U7789),N(U7789)+1))</f>
        <v/>
      </c>
      <c r="V7790" s="19">
        <f>IF($B7790="","",TEXT($B7790,"0000"))</f>
        <v/>
      </c>
      <c r="W7790" s="19">
        <f>IF($I7790="","",IF(ISNUMBER($I7790),TEXT($I7790,"0"),$I7790))</f>
        <v/>
      </c>
    </row>
    <row r="7791">
      <c r="B7791" s="25" t="n"/>
      <c r="I7791" s="25" t="n"/>
      <c r="U7791" s="19">
        <f>IF($V7791&lt;&gt;'設定'!$C$4,N(U7790),IF(OR(NOT(COUNTIF('商品マスタ'!$B$6:$B$1005,$W7791)=0),COUNTIFS('①在庫を貼る'!$V$6:$V$10005,$V7791,'①在庫を貼る'!$W$6:$W$10005,$W7791)+COUNTIFS('月1回_1ヶ月前の在庫'!$V$6:$V$10005,$V7791,'月1回_1ヶ月前の在庫'!$W$6:$W$10005,$W7791)&gt;0),N(U7790),N(U7790)+1))</f>
        <v/>
      </c>
      <c r="V7791" s="19">
        <f>IF($B7791="","",TEXT($B7791,"0000"))</f>
        <v/>
      </c>
      <c r="W7791" s="19">
        <f>IF($I7791="","",IF(ISNUMBER($I7791),TEXT($I7791,"0"),$I7791))</f>
        <v/>
      </c>
    </row>
    <row r="7792">
      <c r="B7792" s="25" t="n"/>
      <c r="I7792" s="25" t="n"/>
      <c r="U7792" s="19">
        <f>IF($V7792&lt;&gt;'設定'!$C$4,N(U7791),IF(OR(NOT(COUNTIF('商品マスタ'!$B$6:$B$1005,$W7792)=0),COUNTIFS('①在庫を貼る'!$V$6:$V$10005,$V7792,'①在庫を貼る'!$W$6:$W$10005,$W7792)+COUNTIFS('月1回_1ヶ月前の在庫'!$V$6:$V$10005,$V7792,'月1回_1ヶ月前の在庫'!$W$6:$W$10005,$W7792)&gt;0),N(U7791),N(U7791)+1))</f>
        <v/>
      </c>
      <c r="V7792" s="19">
        <f>IF($B7792="","",TEXT($B7792,"0000"))</f>
        <v/>
      </c>
      <c r="W7792" s="19">
        <f>IF($I7792="","",IF(ISNUMBER($I7792),TEXT($I7792,"0"),$I7792))</f>
        <v/>
      </c>
    </row>
    <row r="7793">
      <c r="B7793" s="25" t="n"/>
      <c r="I7793" s="25" t="n"/>
      <c r="U7793" s="19">
        <f>IF($V7793&lt;&gt;'設定'!$C$4,N(U7792),IF(OR(NOT(COUNTIF('商品マスタ'!$B$6:$B$1005,$W7793)=0),COUNTIFS('①在庫を貼る'!$V$6:$V$10005,$V7793,'①在庫を貼る'!$W$6:$W$10005,$W7793)+COUNTIFS('月1回_1ヶ月前の在庫'!$V$6:$V$10005,$V7793,'月1回_1ヶ月前の在庫'!$W$6:$W$10005,$W7793)&gt;0),N(U7792),N(U7792)+1))</f>
        <v/>
      </c>
      <c r="V7793" s="19">
        <f>IF($B7793="","",TEXT($B7793,"0000"))</f>
        <v/>
      </c>
      <c r="W7793" s="19">
        <f>IF($I7793="","",IF(ISNUMBER($I7793),TEXT($I7793,"0"),$I7793))</f>
        <v/>
      </c>
    </row>
    <row r="7794">
      <c r="B7794" s="25" t="n"/>
      <c r="I7794" s="25" t="n"/>
      <c r="U7794" s="19">
        <f>IF($V7794&lt;&gt;'設定'!$C$4,N(U7793),IF(OR(NOT(COUNTIF('商品マスタ'!$B$6:$B$1005,$W7794)=0),COUNTIFS('①在庫を貼る'!$V$6:$V$10005,$V7794,'①在庫を貼る'!$W$6:$W$10005,$W7794)+COUNTIFS('月1回_1ヶ月前の在庫'!$V$6:$V$10005,$V7794,'月1回_1ヶ月前の在庫'!$W$6:$W$10005,$W7794)&gt;0),N(U7793),N(U7793)+1))</f>
        <v/>
      </c>
      <c r="V7794" s="19">
        <f>IF($B7794="","",TEXT($B7794,"0000"))</f>
        <v/>
      </c>
      <c r="W7794" s="19">
        <f>IF($I7794="","",IF(ISNUMBER($I7794),TEXT($I7794,"0"),$I7794))</f>
        <v/>
      </c>
    </row>
    <row r="7795">
      <c r="B7795" s="25" t="n"/>
      <c r="I7795" s="25" t="n"/>
      <c r="U7795" s="19">
        <f>IF($V7795&lt;&gt;'設定'!$C$4,N(U7794),IF(OR(NOT(COUNTIF('商品マスタ'!$B$6:$B$1005,$W7795)=0),COUNTIFS('①在庫を貼る'!$V$6:$V$10005,$V7795,'①在庫を貼る'!$W$6:$W$10005,$W7795)+COUNTIFS('月1回_1ヶ月前の在庫'!$V$6:$V$10005,$V7795,'月1回_1ヶ月前の在庫'!$W$6:$W$10005,$W7795)&gt;0),N(U7794),N(U7794)+1))</f>
        <v/>
      </c>
      <c r="V7795" s="19">
        <f>IF($B7795="","",TEXT($B7795,"0000"))</f>
        <v/>
      </c>
      <c r="W7795" s="19">
        <f>IF($I7795="","",IF(ISNUMBER($I7795),TEXT($I7795,"0"),$I7795))</f>
        <v/>
      </c>
    </row>
    <row r="7796">
      <c r="B7796" s="25" t="n"/>
      <c r="I7796" s="25" t="n"/>
      <c r="U7796" s="19">
        <f>IF($V7796&lt;&gt;'設定'!$C$4,N(U7795),IF(OR(NOT(COUNTIF('商品マスタ'!$B$6:$B$1005,$W7796)=0),COUNTIFS('①在庫を貼る'!$V$6:$V$10005,$V7796,'①在庫を貼る'!$W$6:$W$10005,$W7796)+COUNTIFS('月1回_1ヶ月前の在庫'!$V$6:$V$10005,$V7796,'月1回_1ヶ月前の在庫'!$W$6:$W$10005,$W7796)&gt;0),N(U7795),N(U7795)+1))</f>
        <v/>
      </c>
      <c r="V7796" s="19">
        <f>IF($B7796="","",TEXT($B7796,"0000"))</f>
        <v/>
      </c>
      <c r="W7796" s="19">
        <f>IF($I7796="","",IF(ISNUMBER($I7796),TEXT($I7796,"0"),$I7796))</f>
        <v/>
      </c>
    </row>
    <row r="7797">
      <c r="B7797" s="25" t="n"/>
      <c r="I7797" s="25" t="n"/>
      <c r="U7797" s="19">
        <f>IF($V7797&lt;&gt;'設定'!$C$4,N(U7796),IF(OR(NOT(COUNTIF('商品マスタ'!$B$6:$B$1005,$W7797)=0),COUNTIFS('①在庫を貼る'!$V$6:$V$10005,$V7797,'①在庫を貼る'!$W$6:$W$10005,$W7797)+COUNTIFS('月1回_1ヶ月前の在庫'!$V$6:$V$10005,$V7797,'月1回_1ヶ月前の在庫'!$W$6:$W$10005,$W7797)&gt;0),N(U7796),N(U7796)+1))</f>
        <v/>
      </c>
      <c r="V7797" s="19">
        <f>IF($B7797="","",TEXT($B7797,"0000"))</f>
        <v/>
      </c>
      <c r="W7797" s="19">
        <f>IF($I7797="","",IF(ISNUMBER($I7797),TEXT($I7797,"0"),$I7797))</f>
        <v/>
      </c>
    </row>
    <row r="7798">
      <c r="B7798" s="25" t="n"/>
      <c r="I7798" s="25" t="n"/>
      <c r="U7798" s="19">
        <f>IF($V7798&lt;&gt;'設定'!$C$4,N(U7797),IF(OR(NOT(COUNTIF('商品マスタ'!$B$6:$B$1005,$W7798)=0),COUNTIFS('①在庫を貼る'!$V$6:$V$10005,$V7798,'①在庫を貼る'!$W$6:$W$10005,$W7798)+COUNTIFS('月1回_1ヶ月前の在庫'!$V$6:$V$10005,$V7798,'月1回_1ヶ月前の在庫'!$W$6:$W$10005,$W7798)&gt;0),N(U7797),N(U7797)+1))</f>
        <v/>
      </c>
      <c r="V7798" s="19">
        <f>IF($B7798="","",TEXT($B7798,"0000"))</f>
        <v/>
      </c>
      <c r="W7798" s="19">
        <f>IF($I7798="","",IF(ISNUMBER($I7798),TEXT($I7798,"0"),$I7798))</f>
        <v/>
      </c>
    </row>
    <row r="7799">
      <c r="B7799" s="25" t="n"/>
      <c r="I7799" s="25" t="n"/>
      <c r="U7799" s="19">
        <f>IF($V7799&lt;&gt;'設定'!$C$4,N(U7798),IF(OR(NOT(COUNTIF('商品マスタ'!$B$6:$B$1005,$W7799)=0),COUNTIFS('①在庫を貼る'!$V$6:$V$10005,$V7799,'①在庫を貼る'!$W$6:$W$10005,$W7799)+COUNTIFS('月1回_1ヶ月前の在庫'!$V$6:$V$10005,$V7799,'月1回_1ヶ月前の在庫'!$W$6:$W$10005,$W7799)&gt;0),N(U7798),N(U7798)+1))</f>
        <v/>
      </c>
      <c r="V7799" s="19">
        <f>IF($B7799="","",TEXT($B7799,"0000"))</f>
        <v/>
      </c>
      <c r="W7799" s="19">
        <f>IF($I7799="","",IF(ISNUMBER($I7799),TEXT($I7799,"0"),$I7799))</f>
        <v/>
      </c>
    </row>
    <row r="7800">
      <c r="B7800" s="25" t="n"/>
      <c r="I7800" s="25" t="n"/>
      <c r="U7800" s="19">
        <f>IF($V7800&lt;&gt;'設定'!$C$4,N(U7799),IF(OR(NOT(COUNTIF('商品マスタ'!$B$6:$B$1005,$W7800)=0),COUNTIFS('①在庫を貼る'!$V$6:$V$10005,$V7800,'①在庫を貼る'!$W$6:$W$10005,$W7800)+COUNTIFS('月1回_1ヶ月前の在庫'!$V$6:$V$10005,$V7800,'月1回_1ヶ月前の在庫'!$W$6:$W$10005,$W7800)&gt;0),N(U7799),N(U7799)+1))</f>
        <v/>
      </c>
      <c r="V7800" s="19">
        <f>IF($B7800="","",TEXT($B7800,"0000"))</f>
        <v/>
      </c>
      <c r="W7800" s="19">
        <f>IF($I7800="","",IF(ISNUMBER($I7800),TEXT($I7800,"0"),$I7800))</f>
        <v/>
      </c>
    </row>
    <row r="7801">
      <c r="B7801" s="25" t="n"/>
      <c r="I7801" s="25" t="n"/>
      <c r="U7801" s="19">
        <f>IF($V7801&lt;&gt;'設定'!$C$4,N(U7800),IF(OR(NOT(COUNTIF('商品マスタ'!$B$6:$B$1005,$W7801)=0),COUNTIFS('①在庫を貼る'!$V$6:$V$10005,$V7801,'①在庫を貼る'!$W$6:$W$10005,$W7801)+COUNTIFS('月1回_1ヶ月前の在庫'!$V$6:$V$10005,$V7801,'月1回_1ヶ月前の在庫'!$W$6:$W$10005,$W7801)&gt;0),N(U7800),N(U7800)+1))</f>
        <v/>
      </c>
      <c r="V7801" s="19">
        <f>IF($B7801="","",TEXT($B7801,"0000"))</f>
        <v/>
      </c>
      <c r="W7801" s="19">
        <f>IF($I7801="","",IF(ISNUMBER($I7801),TEXT($I7801,"0"),$I7801))</f>
        <v/>
      </c>
    </row>
    <row r="7802">
      <c r="B7802" s="25" t="n"/>
      <c r="I7802" s="25" t="n"/>
      <c r="U7802" s="19">
        <f>IF($V7802&lt;&gt;'設定'!$C$4,N(U7801),IF(OR(NOT(COUNTIF('商品マスタ'!$B$6:$B$1005,$W7802)=0),COUNTIFS('①在庫を貼る'!$V$6:$V$10005,$V7802,'①在庫を貼る'!$W$6:$W$10005,$W7802)+COUNTIFS('月1回_1ヶ月前の在庫'!$V$6:$V$10005,$V7802,'月1回_1ヶ月前の在庫'!$W$6:$W$10005,$W7802)&gt;0),N(U7801),N(U7801)+1))</f>
        <v/>
      </c>
      <c r="V7802" s="19">
        <f>IF($B7802="","",TEXT($B7802,"0000"))</f>
        <v/>
      </c>
      <c r="W7802" s="19">
        <f>IF($I7802="","",IF(ISNUMBER($I7802),TEXT($I7802,"0"),$I7802))</f>
        <v/>
      </c>
    </row>
    <row r="7803">
      <c r="B7803" s="25" t="n"/>
      <c r="I7803" s="25" t="n"/>
      <c r="U7803" s="19">
        <f>IF($V7803&lt;&gt;'設定'!$C$4,N(U7802),IF(OR(NOT(COUNTIF('商品マスタ'!$B$6:$B$1005,$W7803)=0),COUNTIFS('①在庫を貼る'!$V$6:$V$10005,$V7803,'①在庫を貼る'!$W$6:$W$10005,$W7803)+COUNTIFS('月1回_1ヶ月前の在庫'!$V$6:$V$10005,$V7803,'月1回_1ヶ月前の在庫'!$W$6:$W$10005,$W7803)&gt;0),N(U7802),N(U7802)+1))</f>
        <v/>
      </c>
      <c r="V7803" s="19">
        <f>IF($B7803="","",TEXT($B7803,"0000"))</f>
        <v/>
      </c>
      <c r="W7803" s="19">
        <f>IF($I7803="","",IF(ISNUMBER($I7803),TEXT($I7803,"0"),$I7803))</f>
        <v/>
      </c>
    </row>
    <row r="7804">
      <c r="B7804" s="25" t="n"/>
      <c r="I7804" s="25" t="n"/>
      <c r="U7804" s="19">
        <f>IF($V7804&lt;&gt;'設定'!$C$4,N(U7803),IF(OR(NOT(COUNTIF('商品マスタ'!$B$6:$B$1005,$W7804)=0),COUNTIFS('①在庫を貼る'!$V$6:$V$10005,$V7804,'①在庫を貼る'!$W$6:$W$10005,$W7804)+COUNTIFS('月1回_1ヶ月前の在庫'!$V$6:$V$10005,$V7804,'月1回_1ヶ月前の在庫'!$W$6:$W$10005,$W7804)&gt;0),N(U7803),N(U7803)+1))</f>
        <v/>
      </c>
      <c r="V7804" s="19">
        <f>IF($B7804="","",TEXT($B7804,"0000"))</f>
        <v/>
      </c>
      <c r="W7804" s="19">
        <f>IF($I7804="","",IF(ISNUMBER($I7804),TEXT($I7804,"0"),$I7804))</f>
        <v/>
      </c>
    </row>
    <row r="7805">
      <c r="B7805" s="25" t="n"/>
      <c r="I7805" s="25" t="n"/>
      <c r="U7805" s="19">
        <f>IF($V7805&lt;&gt;'設定'!$C$4,N(U7804),IF(OR(NOT(COUNTIF('商品マスタ'!$B$6:$B$1005,$W7805)=0),COUNTIFS('①在庫を貼る'!$V$6:$V$10005,$V7805,'①在庫を貼る'!$W$6:$W$10005,$W7805)+COUNTIFS('月1回_1ヶ月前の在庫'!$V$6:$V$10005,$V7805,'月1回_1ヶ月前の在庫'!$W$6:$W$10005,$W7805)&gt;0),N(U7804),N(U7804)+1))</f>
        <v/>
      </c>
      <c r="V7805" s="19">
        <f>IF($B7805="","",TEXT($B7805,"0000"))</f>
        <v/>
      </c>
      <c r="W7805" s="19">
        <f>IF($I7805="","",IF(ISNUMBER($I7805),TEXT($I7805,"0"),$I7805))</f>
        <v/>
      </c>
    </row>
    <row r="7806">
      <c r="B7806" s="25" t="n"/>
      <c r="I7806" s="25" t="n"/>
      <c r="U7806" s="19">
        <f>IF($V7806&lt;&gt;'設定'!$C$4,N(U7805),IF(OR(NOT(COUNTIF('商品マスタ'!$B$6:$B$1005,$W7806)=0),COUNTIFS('①在庫を貼る'!$V$6:$V$10005,$V7806,'①在庫を貼る'!$W$6:$W$10005,$W7806)+COUNTIFS('月1回_1ヶ月前の在庫'!$V$6:$V$10005,$V7806,'月1回_1ヶ月前の在庫'!$W$6:$W$10005,$W7806)&gt;0),N(U7805),N(U7805)+1))</f>
        <v/>
      </c>
      <c r="V7806" s="19">
        <f>IF($B7806="","",TEXT($B7806,"0000"))</f>
        <v/>
      </c>
      <c r="W7806" s="19">
        <f>IF($I7806="","",IF(ISNUMBER($I7806),TEXT($I7806,"0"),$I7806))</f>
        <v/>
      </c>
    </row>
    <row r="7807">
      <c r="B7807" s="25" t="n"/>
      <c r="I7807" s="25" t="n"/>
      <c r="U7807" s="19">
        <f>IF($V7807&lt;&gt;'設定'!$C$4,N(U7806),IF(OR(NOT(COUNTIF('商品マスタ'!$B$6:$B$1005,$W7807)=0),COUNTIFS('①在庫を貼る'!$V$6:$V$10005,$V7807,'①在庫を貼る'!$W$6:$W$10005,$W7807)+COUNTIFS('月1回_1ヶ月前の在庫'!$V$6:$V$10005,$V7807,'月1回_1ヶ月前の在庫'!$W$6:$W$10005,$W7807)&gt;0),N(U7806),N(U7806)+1))</f>
        <v/>
      </c>
      <c r="V7807" s="19">
        <f>IF($B7807="","",TEXT($B7807,"0000"))</f>
        <v/>
      </c>
      <c r="W7807" s="19">
        <f>IF($I7807="","",IF(ISNUMBER($I7807),TEXT($I7807,"0"),$I7807))</f>
        <v/>
      </c>
    </row>
    <row r="7808">
      <c r="B7808" s="25" t="n"/>
      <c r="I7808" s="25" t="n"/>
      <c r="U7808" s="19">
        <f>IF($V7808&lt;&gt;'設定'!$C$4,N(U7807),IF(OR(NOT(COUNTIF('商品マスタ'!$B$6:$B$1005,$W7808)=0),COUNTIFS('①在庫を貼る'!$V$6:$V$10005,$V7808,'①在庫を貼る'!$W$6:$W$10005,$W7808)+COUNTIFS('月1回_1ヶ月前の在庫'!$V$6:$V$10005,$V7808,'月1回_1ヶ月前の在庫'!$W$6:$W$10005,$W7808)&gt;0),N(U7807),N(U7807)+1))</f>
        <v/>
      </c>
      <c r="V7808" s="19">
        <f>IF($B7808="","",TEXT($B7808,"0000"))</f>
        <v/>
      </c>
      <c r="W7808" s="19">
        <f>IF($I7808="","",IF(ISNUMBER($I7808),TEXT($I7808,"0"),$I7808))</f>
        <v/>
      </c>
    </row>
    <row r="7809">
      <c r="B7809" s="25" t="n"/>
      <c r="I7809" s="25" t="n"/>
      <c r="U7809" s="19">
        <f>IF($V7809&lt;&gt;'設定'!$C$4,N(U7808),IF(OR(NOT(COUNTIF('商品マスタ'!$B$6:$B$1005,$W7809)=0),COUNTIFS('①在庫を貼る'!$V$6:$V$10005,$V7809,'①在庫を貼る'!$W$6:$W$10005,$W7809)+COUNTIFS('月1回_1ヶ月前の在庫'!$V$6:$V$10005,$V7809,'月1回_1ヶ月前の在庫'!$W$6:$W$10005,$W7809)&gt;0),N(U7808),N(U7808)+1))</f>
        <v/>
      </c>
      <c r="V7809" s="19">
        <f>IF($B7809="","",TEXT($B7809,"0000"))</f>
        <v/>
      </c>
      <c r="W7809" s="19">
        <f>IF($I7809="","",IF(ISNUMBER($I7809),TEXT($I7809,"0"),$I7809))</f>
        <v/>
      </c>
    </row>
    <row r="7810">
      <c r="B7810" s="25" t="n"/>
      <c r="I7810" s="25" t="n"/>
      <c r="U7810" s="19">
        <f>IF($V7810&lt;&gt;'設定'!$C$4,N(U7809),IF(OR(NOT(COUNTIF('商品マスタ'!$B$6:$B$1005,$W7810)=0),COUNTIFS('①在庫を貼る'!$V$6:$V$10005,$V7810,'①在庫を貼る'!$W$6:$W$10005,$W7810)+COUNTIFS('月1回_1ヶ月前の在庫'!$V$6:$V$10005,$V7810,'月1回_1ヶ月前の在庫'!$W$6:$W$10005,$W7810)&gt;0),N(U7809),N(U7809)+1))</f>
        <v/>
      </c>
      <c r="V7810" s="19">
        <f>IF($B7810="","",TEXT($B7810,"0000"))</f>
        <v/>
      </c>
      <c r="W7810" s="19">
        <f>IF($I7810="","",IF(ISNUMBER($I7810),TEXT($I7810,"0"),$I7810))</f>
        <v/>
      </c>
    </row>
    <row r="7811">
      <c r="B7811" s="25" t="n"/>
      <c r="I7811" s="25" t="n"/>
      <c r="U7811" s="19">
        <f>IF($V7811&lt;&gt;'設定'!$C$4,N(U7810),IF(OR(NOT(COUNTIF('商品マスタ'!$B$6:$B$1005,$W7811)=0),COUNTIFS('①在庫を貼る'!$V$6:$V$10005,$V7811,'①在庫を貼る'!$W$6:$W$10005,$W7811)+COUNTIFS('月1回_1ヶ月前の在庫'!$V$6:$V$10005,$V7811,'月1回_1ヶ月前の在庫'!$W$6:$W$10005,$W7811)&gt;0),N(U7810),N(U7810)+1))</f>
        <v/>
      </c>
      <c r="V7811" s="19">
        <f>IF($B7811="","",TEXT($B7811,"0000"))</f>
        <v/>
      </c>
      <c r="W7811" s="19">
        <f>IF($I7811="","",IF(ISNUMBER($I7811),TEXT($I7811,"0"),$I7811))</f>
        <v/>
      </c>
    </row>
    <row r="7812">
      <c r="B7812" s="25" t="n"/>
      <c r="I7812" s="25" t="n"/>
      <c r="U7812" s="19">
        <f>IF($V7812&lt;&gt;'設定'!$C$4,N(U7811),IF(OR(NOT(COUNTIF('商品マスタ'!$B$6:$B$1005,$W7812)=0),COUNTIFS('①在庫を貼る'!$V$6:$V$10005,$V7812,'①在庫を貼る'!$W$6:$W$10005,$W7812)+COUNTIFS('月1回_1ヶ月前の在庫'!$V$6:$V$10005,$V7812,'月1回_1ヶ月前の在庫'!$W$6:$W$10005,$W7812)&gt;0),N(U7811),N(U7811)+1))</f>
        <v/>
      </c>
      <c r="V7812" s="19">
        <f>IF($B7812="","",TEXT($B7812,"0000"))</f>
        <v/>
      </c>
      <c r="W7812" s="19">
        <f>IF($I7812="","",IF(ISNUMBER($I7812),TEXT($I7812,"0"),$I7812))</f>
        <v/>
      </c>
    </row>
    <row r="7813">
      <c r="B7813" s="25" t="n"/>
      <c r="I7813" s="25" t="n"/>
      <c r="U7813" s="19">
        <f>IF($V7813&lt;&gt;'設定'!$C$4,N(U7812),IF(OR(NOT(COUNTIF('商品マスタ'!$B$6:$B$1005,$W7813)=0),COUNTIFS('①在庫を貼る'!$V$6:$V$10005,$V7813,'①在庫を貼る'!$W$6:$W$10005,$W7813)+COUNTIFS('月1回_1ヶ月前の在庫'!$V$6:$V$10005,$V7813,'月1回_1ヶ月前の在庫'!$W$6:$W$10005,$W7813)&gt;0),N(U7812),N(U7812)+1))</f>
        <v/>
      </c>
      <c r="V7813" s="19">
        <f>IF($B7813="","",TEXT($B7813,"0000"))</f>
        <v/>
      </c>
      <c r="W7813" s="19">
        <f>IF($I7813="","",IF(ISNUMBER($I7813),TEXT($I7813,"0"),$I7813))</f>
        <v/>
      </c>
    </row>
    <row r="7814">
      <c r="B7814" s="25" t="n"/>
      <c r="I7814" s="25" t="n"/>
      <c r="U7814" s="19">
        <f>IF($V7814&lt;&gt;'設定'!$C$4,N(U7813),IF(OR(NOT(COUNTIF('商品マスタ'!$B$6:$B$1005,$W7814)=0),COUNTIFS('①在庫を貼る'!$V$6:$V$10005,$V7814,'①在庫を貼る'!$W$6:$W$10005,$W7814)+COUNTIFS('月1回_1ヶ月前の在庫'!$V$6:$V$10005,$V7814,'月1回_1ヶ月前の在庫'!$W$6:$W$10005,$W7814)&gt;0),N(U7813),N(U7813)+1))</f>
        <v/>
      </c>
      <c r="V7814" s="19">
        <f>IF($B7814="","",TEXT($B7814,"0000"))</f>
        <v/>
      </c>
      <c r="W7814" s="19">
        <f>IF($I7814="","",IF(ISNUMBER($I7814),TEXT($I7814,"0"),$I7814))</f>
        <v/>
      </c>
    </row>
    <row r="7815">
      <c r="B7815" s="25" t="n"/>
      <c r="I7815" s="25" t="n"/>
      <c r="U7815" s="19">
        <f>IF($V7815&lt;&gt;'設定'!$C$4,N(U7814),IF(OR(NOT(COUNTIF('商品マスタ'!$B$6:$B$1005,$W7815)=0),COUNTIFS('①在庫を貼る'!$V$6:$V$10005,$V7815,'①在庫を貼る'!$W$6:$W$10005,$W7815)+COUNTIFS('月1回_1ヶ月前の在庫'!$V$6:$V$10005,$V7815,'月1回_1ヶ月前の在庫'!$W$6:$W$10005,$W7815)&gt;0),N(U7814),N(U7814)+1))</f>
        <v/>
      </c>
      <c r="V7815" s="19">
        <f>IF($B7815="","",TEXT($B7815,"0000"))</f>
        <v/>
      </c>
      <c r="W7815" s="19">
        <f>IF($I7815="","",IF(ISNUMBER($I7815),TEXT($I7815,"0"),$I7815))</f>
        <v/>
      </c>
    </row>
    <row r="7816">
      <c r="B7816" s="25" t="n"/>
      <c r="I7816" s="25" t="n"/>
      <c r="U7816" s="19">
        <f>IF($V7816&lt;&gt;'設定'!$C$4,N(U7815),IF(OR(NOT(COUNTIF('商品マスタ'!$B$6:$B$1005,$W7816)=0),COUNTIFS('①在庫を貼る'!$V$6:$V$10005,$V7816,'①在庫を貼る'!$W$6:$W$10005,$W7816)+COUNTIFS('月1回_1ヶ月前の在庫'!$V$6:$V$10005,$V7816,'月1回_1ヶ月前の在庫'!$W$6:$W$10005,$W7816)&gt;0),N(U7815),N(U7815)+1))</f>
        <v/>
      </c>
      <c r="V7816" s="19">
        <f>IF($B7816="","",TEXT($B7816,"0000"))</f>
        <v/>
      </c>
      <c r="W7816" s="19">
        <f>IF($I7816="","",IF(ISNUMBER($I7816),TEXT($I7816,"0"),$I7816))</f>
        <v/>
      </c>
    </row>
    <row r="7817">
      <c r="B7817" s="25" t="n"/>
      <c r="I7817" s="25" t="n"/>
      <c r="U7817" s="19">
        <f>IF($V7817&lt;&gt;'設定'!$C$4,N(U7816),IF(OR(NOT(COUNTIF('商品マスタ'!$B$6:$B$1005,$W7817)=0),COUNTIFS('①在庫を貼る'!$V$6:$V$10005,$V7817,'①在庫を貼る'!$W$6:$W$10005,$W7817)+COUNTIFS('月1回_1ヶ月前の在庫'!$V$6:$V$10005,$V7817,'月1回_1ヶ月前の在庫'!$W$6:$W$10005,$W7817)&gt;0),N(U7816),N(U7816)+1))</f>
        <v/>
      </c>
      <c r="V7817" s="19">
        <f>IF($B7817="","",TEXT($B7817,"0000"))</f>
        <v/>
      </c>
      <c r="W7817" s="19">
        <f>IF($I7817="","",IF(ISNUMBER($I7817),TEXT($I7817,"0"),$I7817))</f>
        <v/>
      </c>
    </row>
    <row r="7818">
      <c r="B7818" s="25" t="n"/>
      <c r="I7818" s="25" t="n"/>
      <c r="U7818" s="19">
        <f>IF($V7818&lt;&gt;'設定'!$C$4,N(U7817),IF(OR(NOT(COUNTIF('商品マスタ'!$B$6:$B$1005,$W7818)=0),COUNTIFS('①在庫を貼る'!$V$6:$V$10005,$V7818,'①在庫を貼る'!$W$6:$W$10005,$W7818)+COUNTIFS('月1回_1ヶ月前の在庫'!$V$6:$V$10005,$V7818,'月1回_1ヶ月前の在庫'!$W$6:$W$10005,$W7818)&gt;0),N(U7817),N(U7817)+1))</f>
        <v/>
      </c>
      <c r="V7818" s="19">
        <f>IF($B7818="","",TEXT($B7818,"0000"))</f>
        <v/>
      </c>
      <c r="W7818" s="19">
        <f>IF($I7818="","",IF(ISNUMBER($I7818),TEXT($I7818,"0"),$I7818))</f>
        <v/>
      </c>
    </row>
    <row r="7819">
      <c r="B7819" s="25" t="n"/>
      <c r="I7819" s="25" t="n"/>
      <c r="U7819" s="19">
        <f>IF($V7819&lt;&gt;'設定'!$C$4,N(U7818),IF(OR(NOT(COUNTIF('商品マスタ'!$B$6:$B$1005,$W7819)=0),COUNTIFS('①在庫を貼る'!$V$6:$V$10005,$V7819,'①在庫を貼る'!$W$6:$W$10005,$W7819)+COUNTIFS('月1回_1ヶ月前の在庫'!$V$6:$V$10005,$V7819,'月1回_1ヶ月前の在庫'!$W$6:$W$10005,$W7819)&gt;0),N(U7818),N(U7818)+1))</f>
        <v/>
      </c>
      <c r="V7819" s="19">
        <f>IF($B7819="","",TEXT($B7819,"0000"))</f>
        <v/>
      </c>
      <c r="W7819" s="19">
        <f>IF($I7819="","",IF(ISNUMBER($I7819),TEXT($I7819,"0"),$I7819))</f>
        <v/>
      </c>
    </row>
    <row r="7820">
      <c r="B7820" s="25" t="n"/>
      <c r="I7820" s="25" t="n"/>
      <c r="U7820" s="19">
        <f>IF($V7820&lt;&gt;'設定'!$C$4,N(U7819),IF(OR(NOT(COUNTIF('商品マスタ'!$B$6:$B$1005,$W7820)=0),COUNTIFS('①在庫を貼る'!$V$6:$V$10005,$V7820,'①在庫を貼る'!$W$6:$W$10005,$W7820)+COUNTIFS('月1回_1ヶ月前の在庫'!$V$6:$V$10005,$V7820,'月1回_1ヶ月前の在庫'!$W$6:$W$10005,$W7820)&gt;0),N(U7819),N(U7819)+1))</f>
        <v/>
      </c>
      <c r="V7820" s="19">
        <f>IF($B7820="","",TEXT($B7820,"0000"))</f>
        <v/>
      </c>
      <c r="W7820" s="19">
        <f>IF($I7820="","",IF(ISNUMBER($I7820),TEXT($I7820,"0"),$I7820))</f>
        <v/>
      </c>
    </row>
    <row r="7821">
      <c r="B7821" s="25" t="n"/>
      <c r="I7821" s="25" t="n"/>
      <c r="U7821" s="19">
        <f>IF($V7821&lt;&gt;'設定'!$C$4,N(U7820),IF(OR(NOT(COUNTIF('商品マスタ'!$B$6:$B$1005,$W7821)=0),COUNTIFS('①在庫を貼る'!$V$6:$V$10005,$V7821,'①在庫を貼る'!$W$6:$W$10005,$W7821)+COUNTIFS('月1回_1ヶ月前の在庫'!$V$6:$V$10005,$V7821,'月1回_1ヶ月前の在庫'!$W$6:$W$10005,$W7821)&gt;0),N(U7820),N(U7820)+1))</f>
        <v/>
      </c>
      <c r="V7821" s="19">
        <f>IF($B7821="","",TEXT($B7821,"0000"))</f>
        <v/>
      </c>
      <c r="W7821" s="19">
        <f>IF($I7821="","",IF(ISNUMBER($I7821),TEXT($I7821,"0"),$I7821))</f>
        <v/>
      </c>
    </row>
    <row r="7822">
      <c r="B7822" s="25" t="n"/>
      <c r="I7822" s="25" t="n"/>
      <c r="U7822" s="19">
        <f>IF($V7822&lt;&gt;'設定'!$C$4,N(U7821),IF(OR(NOT(COUNTIF('商品マスタ'!$B$6:$B$1005,$W7822)=0),COUNTIFS('①在庫を貼る'!$V$6:$V$10005,$V7822,'①在庫を貼る'!$W$6:$W$10005,$W7822)+COUNTIFS('月1回_1ヶ月前の在庫'!$V$6:$V$10005,$V7822,'月1回_1ヶ月前の在庫'!$W$6:$W$10005,$W7822)&gt;0),N(U7821),N(U7821)+1))</f>
        <v/>
      </c>
      <c r="V7822" s="19">
        <f>IF($B7822="","",TEXT($B7822,"0000"))</f>
        <v/>
      </c>
      <c r="W7822" s="19">
        <f>IF($I7822="","",IF(ISNUMBER($I7822),TEXT($I7822,"0"),$I7822))</f>
        <v/>
      </c>
    </row>
    <row r="7823">
      <c r="B7823" s="25" t="n"/>
      <c r="I7823" s="25" t="n"/>
      <c r="U7823" s="19">
        <f>IF($V7823&lt;&gt;'設定'!$C$4,N(U7822),IF(OR(NOT(COUNTIF('商品マスタ'!$B$6:$B$1005,$W7823)=0),COUNTIFS('①在庫を貼る'!$V$6:$V$10005,$V7823,'①在庫を貼る'!$W$6:$W$10005,$W7823)+COUNTIFS('月1回_1ヶ月前の在庫'!$V$6:$V$10005,$V7823,'月1回_1ヶ月前の在庫'!$W$6:$W$10005,$W7823)&gt;0),N(U7822),N(U7822)+1))</f>
        <v/>
      </c>
      <c r="V7823" s="19">
        <f>IF($B7823="","",TEXT($B7823,"0000"))</f>
        <v/>
      </c>
      <c r="W7823" s="19">
        <f>IF($I7823="","",IF(ISNUMBER($I7823),TEXT($I7823,"0"),$I7823))</f>
        <v/>
      </c>
    </row>
    <row r="7824">
      <c r="B7824" s="25" t="n"/>
      <c r="I7824" s="25" t="n"/>
      <c r="U7824" s="19">
        <f>IF($V7824&lt;&gt;'設定'!$C$4,N(U7823),IF(OR(NOT(COUNTIF('商品マスタ'!$B$6:$B$1005,$W7824)=0),COUNTIFS('①在庫を貼る'!$V$6:$V$10005,$V7824,'①在庫を貼る'!$W$6:$W$10005,$W7824)+COUNTIFS('月1回_1ヶ月前の在庫'!$V$6:$V$10005,$V7824,'月1回_1ヶ月前の在庫'!$W$6:$W$10005,$W7824)&gt;0),N(U7823),N(U7823)+1))</f>
        <v/>
      </c>
      <c r="V7824" s="19">
        <f>IF($B7824="","",TEXT($B7824,"0000"))</f>
        <v/>
      </c>
      <c r="W7824" s="19">
        <f>IF($I7824="","",IF(ISNUMBER($I7824),TEXT($I7824,"0"),$I7824))</f>
        <v/>
      </c>
    </row>
    <row r="7825">
      <c r="B7825" s="25" t="n"/>
      <c r="I7825" s="25" t="n"/>
      <c r="U7825" s="19">
        <f>IF($V7825&lt;&gt;'設定'!$C$4,N(U7824),IF(OR(NOT(COUNTIF('商品マスタ'!$B$6:$B$1005,$W7825)=0),COUNTIFS('①在庫を貼る'!$V$6:$V$10005,$V7825,'①在庫を貼る'!$W$6:$W$10005,$W7825)+COUNTIFS('月1回_1ヶ月前の在庫'!$V$6:$V$10005,$V7825,'月1回_1ヶ月前の在庫'!$W$6:$W$10005,$W7825)&gt;0),N(U7824),N(U7824)+1))</f>
        <v/>
      </c>
      <c r="V7825" s="19">
        <f>IF($B7825="","",TEXT($B7825,"0000"))</f>
        <v/>
      </c>
      <c r="W7825" s="19">
        <f>IF($I7825="","",IF(ISNUMBER($I7825),TEXT($I7825,"0"),$I7825))</f>
        <v/>
      </c>
    </row>
    <row r="7826">
      <c r="B7826" s="25" t="n"/>
      <c r="I7826" s="25" t="n"/>
      <c r="U7826" s="19">
        <f>IF($V7826&lt;&gt;'設定'!$C$4,N(U7825),IF(OR(NOT(COUNTIF('商品マスタ'!$B$6:$B$1005,$W7826)=0),COUNTIFS('①在庫を貼る'!$V$6:$V$10005,$V7826,'①在庫を貼る'!$W$6:$W$10005,$W7826)+COUNTIFS('月1回_1ヶ月前の在庫'!$V$6:$V$10005,$V7826,'月1回_1ヶ月前の在庫'!$W$6:$W$10005,$W7826)&gt;0),N(U7825),N(U7825)+1))</f>
        <v/>
      </c>
      <c r="V7826" s="19">
        <f>IF($B7826="","",TEXT($B7826,"0000"))</f>
        <v/>
      </c>
      <c r="W7826" s="19">
        <f>IF($I7826="","",IF(ISNUMBER($I7826),TEXT($I7826,"0"),$I7826))</f>
        <v/>
      </c>
    </row>
    <row r="7827">
      <c r="B7827" s="25" t="n"/>
      <c r="I7827" s="25" t="n"/>
      <c r="U7827" s="19">
        <f>IF($V7827&lt;&gt;'設定'!$C$4,N(U7826),IF(OR(NOT(COUNTIF('商品マスタ'!$B$6:$B$1005,$W7827)=0),COUNTIFS('①在庫を貼る'!$V$6:$V$10005,$V7827,'①在庫を貼る'!$W$6:$W$10005,$W7827)+COUNTIFS('月1回_1ヶ月前の在庫'!$V$6:$V$10005,$V7827,'月1回_1ヶ月前の在庫'!$W$6:$W$10005,$W7827)&gt;0),N(U7826),N(U7826)+1))</f>
        <v/>
      </c>
      <c r="V7827" s="19">
        <f>IF($B7827="","",TEXT($B7827,"0000"))</f>
        <v/>
      </c>
      <c r="W7827" s="19">
        <f>IF($I7827="","",IF(ISNUMBER($I7827),TEXT($I7827,"0"),$I7827))</f>
        <v/>
      </c>
    </row>
    <row r="7828">
      <c r="B7828" s="25" t="n"/>
      <c r="I7828" s="25" t="n"/>
      <c r="U7828" s="19">
        <f>IF($V7828&lt;&gt;'設定'!$C$4,N(U7827),IF(OR(NOT(COUNTIF('商品マスタ'!$B$6:$B$1005,$W7828)=0),COUNTIFS('①在庫を貼る'!$V$6:$V$10005,$V7828,'①在庫を貼る'!$W$6:$W$10005,$W7828)+COUNTIFS('月1回_1ヶ月前の在庫'!$V$6:$V$10005,$V7828,'月1回_1ヶ月前の在庫'!$W$6:$W$10005,$W7828)&gt;0),N(U7827),N(U7827)+1))</f>
        <v/>
      </c>
      <c r="V7828" s="19">
        <f>IF($B7828="","",TEXT($B7828,"0000"))</f>
        <v/>
      </c>
      <c r="W7828" s="19">
        <f>IF($I7828="","",IF(ISNUMBER($I7828),TEXT($I7828,"0"),$I7828))</f>
        <v/>
      </c>
    </row>
    <row r="7829">
      <c r="B7829" s="25" t="n"/>
      <c r="I7829" s="25" t="n"/>
      <c r="U7829" s="19">
        <f>IF($V7829&lt;&gt;'設定'!$C$4,N(U7828),IF(OR(NOT(COUNTIF('商品マスタ'!$B$6:$B$1005,$W7829)=0),COUNTIFS('①在庫を貼る'!$V$6:$V$10005,$V7829,'①在庫を貼る'!$W$6:$W$10005,$W7829)+COUNTIFS('月1回_1ヶ月前の在庫'!$V$6:$V$10005,$V7829,'月1回_1ヶ月前の在庫'!$W$6:$W$10005,$W7829)&gt;0),N(U7828),N(U7828)+1))</f>
        <v/>
      </c>
      <c r="V7829" s="19">
        <f>IF($B7829="","",TEXT($B7829,"0000"))</f>
        <v/>
      </c>
      <c r="W7829" s="19">
        <f>IF($I7829="","",IF(ISNUMBER($I7829),TEXT($I7829,"0"),$I7829))</f>
        <v/>
      </c>
    </row>
    <row r="7830">
      <c r="B7830" s="25" t="n"/>
      <c r="I7830" s="25" t="n"/>
      <c r="U7830" s="19">
        <f>IF($V7830&lt;&gt;'設定'!$C$4,N(U7829),IF(OR(NOT(COUNTIF('商品マスタ'!$B$6:$B$1005,$W7830)=0),COUNTIFS('①在庫を貼る'!$V$6:$V$10005,$V7830,'①在庫を貼る'!$W$6:$W$10005,$W7830)+COUNTIFS('月1回_1ヶ月前の在庫'!$V$6:$V$10005,$V7830,'月1回_1ヶ月前の在庫'!$W$6:$W$10005,$W7830)&gt;0),N(U7829),N(U7829)+1))</f>
        <v/>
      </c>
      <c r="V7830" s="19">
        <f>IF($B7830="","",TEXT($B7830,"0000"))</f>
        <v/>
      </c>
      <c r="W7830" s="19">
        <f>IF($I7830="","",IF(ISNUMBER($I7830),TEXT($I7830,"0"),$I7830))</f>
        <v/>
      </c>
    </row>
    <row r="7831">
      <c r="B7831" s="25" t="n"/>
      <c r="I7831" s="25" t="n"/>
      <c r="U7831" s="19">
        <f>IF($V7831&lt;&gt;'設定'!$C$4,N(U7830),IF(OR(NOT(COUNTIF('商品マスタ'!$B$6:$B$1005,$W7831)=0),COUNTIFS('①在庫を貼る'!$V$6:$V$10005,$V7831,'①在庫を貼る'!$W$6:$W$10005,$W7831)+COUNTIFS('月1回_1ヶ月前の在庫'!$V$6:$V$10005,$V7831,'月1回_1ヶ月前の在庫'!$W$6:$W$10005,$W7831)&gt;0),N(U7830),N(U7830)+1))</f>
        <v/>
      </c>
      <c r="V7831" s="19">
        <f>IF($B7831="","",TEXT($B7831,"0000"))</f>
        <v/>
      </c>
      <c r="W7831" s="19">
        <f>IF($I7831="","",IF(ISNUMBER($I7831),TEXT($I7831,"0"),$I7831))</f>
        <v/>
      </c>
    </row>
    <row r="7832">
      <c r="B7832" s="25" t="n"/>
      <c r="I7832" s="25" t="n"/>
      <c r="U7832" s="19">
        <f>IF($V7832&lt;&gt;'設定'!$C$4,N(U7831),IF(OR(NOT(COUNTIF('商品マスタ'!$B$6:$B$1005,$W7832)=0),COUNTIFS('①在庫を貼る'!$V$6:$V$10005,$V7832,'①在庫を貼る'!$W$6:$W$10005,$W7832)+COUNTIFS('月1回_1ヶ月前の在庫'!$V$6:$V$10005,$V7832,'月1回_1ヶ月前の在庫'!$W$6:$W$10005,$W7832)&gt;0),N(U7831),N(U7831)+1))</f>
        <v/>
      </c>
      <c r="V7832" s="19">
        <f>IF($B7832="","",TEXT($B7832,"0000"))</f>
        <v/>
      </c>
      <c r="W7832" s="19">
        <f>IF($I7832="","",IF(ISNUMBER($I7832),TEXT($I7832,"0"),$I7832))</f>
        <v/>
      </c>
    </row>
    <row r="7833">
      <c r="B7833" s="25" t="n"/>
      <c r="I7833" s="25" t="n"/>
      <c r="U7833" s="19">
        <f>IF($V7833&lt;&gt;'設定'!$C$4,N(U7832),IF(OR(NOT(COUNTIF('商品マスタ'!$B$6:$B$1005,$W7833)=0),COUNTIFS('①在庫を貼る'!$V$6:$V$10005,$V7833,'①在庫を貼る'!$W$6:$W$10005,$W7833)+COUNTIFS('月1回_1ヶ月前の在庫'!$V$6:$V$10005,$V7833,'月1回_1ヶ月前の在庫'!$W$6:$W$10005,$W7833)&gt;0),N(U7832),N(U7832)+1))</f>
        <v/>
      </c>
      <c r="V7833" s="19">
        <f>IF($B7833="","",TEXT($B7833,"0000"))</f>
        <v/>
      </c>
      <c r="W7833" s="19">
        <f>IF($I7833="","",IF(ISNUMBER($I7833),TEXT($I7833,"0"),$I7833))</f>
        <v/>
      </c>
    </row>
    <row r="7834">
      <c r="B7834" s="25" t="n"/>
      <c r="I7834" s="25" t="n"/>
      <c r="U7834" s="19">
        <f>IF($V7834&lt;&gt;'設定'!$C$4,N(U7833),IF(OR(NOT(COUNTIF('商品マスタ'!$B$6:$B$1005,$W7834)=0),COUNTIFS('①在庫を貼る'!$V$6:$V$10005,$V7834,'①在庫を貼る'!$W$6:$W$10005,$W7834)+COUNTIFS('月1回_1ヶ月前の在庫'!$V$6:$V$10005,$V7834,'月1回_1ヶ月前の在庫'!$W$6:$W$10005,$W7834)&gt;0),N(U7833),N(U7833)+1))</f>
        <v/>
      </c>
      <c r="V7834" s="19">
        <f>IF($B7834="","",TEXT($B7834,"0000"))</f>
        <v/>
      </c>
      <c r="W7834" s="19">
        <f>IF($I7834="","",IF(ISNUMBER($I7834),TEXT($I7834,"0"),$I7834))</f>
        <v/>
      </c>
    </row>
    <row r="7835">
      <c r="B7835" s="25" t="n"/>
      <c r="I7835" s="25" t="n"/>
      <c r="U7835" s="19">
        <f>IF($V7835&lt;&gt;'設定'!$C$4,N(U7834),IF(OR(NOT(COUNTIF('商品マスタ'!$B$6:$B$1005,$W7835)=0),COUNTIFS('①在庫を貼る'!$V$6:$V$10005,$V7835,'①在庫を貼る'!$W$6:$W$10005,$W7835)+COUNTIFS('月1回_1ヶ月前の在庫'!$V$6:$V$10005,$V7835,'月1回_1ヶ月前の在庫'!$W$6:$W$10005,$W7835)&gt;0),N(U7834),N(U7834)+1))</f>
        <v/>
      </c>
      <c r="V7835" s="19">
        <f>IF($B7835="","",TEXT($B7835,"0000"))</f>
        <v/>
      </c>
      <c r="W7835" s="19">
        <f>IF($I7835="","",IF(ISNUMBER($I7835),TEXT($I7835,"0"),$I7835))</f>
        <v/>
      </c>
    </row>
    <row r="7836">
      <c r="B7836" s="25" t="n"/>
      <c r="I7836" s="25" t="n"/>
      <c r="U7836" s="19">
        <f>IF($V7836&lt;&gt;'設定'!$C$4,N(U7835),IF(OR(NOT(COUNTIF('商品マスタ'!$B$6:$B$1005,$W7836)=0),COUNTIFS('①在庫を貼る'!$V$6:$V$10005,$V7836,'①在庫を貼る'!$W$6:$W$10005,$W7836)+COUNTIFS('月1回_1ヶ月前の在庫'!$V$6:$V$10005,$V7836,'月1回_1ヶ月前の在庫'!$W$6:$W$10005,$W7836)&gt;0),N(U7835),N(U7835)+1))</f>
        <v/>
      </c>
      <c r="V7836" s="19">
        <f>IF($B7836="","",TEXT($B7836,"0000"))</f>
        <v/>
      </c>
      <c r="W7836" s="19">
        <f>IF($I7836="","",IF(ISNUMBER($I7836),TEXT($I7836,"0"),$I7836))</f>
        <v/>
      </c>
    </row>
    <row r="7837">
      <c r="B7837" s="25" t="n"/>
      <c r="I7837" s="25" t="n"/>
      <c r="U7837" s="19">
        <f>IF($V7837&lt;&gt;'設定'!$C$4,N(U7836),IF(OR(NOT(COUNTIF('商品マスタ'!$B$6:$B$1005,$W7837)=0),COUNTIFS('①在庫を貼る'!$V$6:$V$10005,$V7837,'①在庫を貼る'!$W$6:$W$10005,$W7837)+COUNTIFS('月1回_1ヶ月前の在庫'!$V$6:$V$10005,$V7837,'月1回_1ヶ月前の在庫'!$W$6:$W$10005,$W7837)&gt;0),N(U7836),N(U7836)+1))</f>
        <v/>
      </c>
      <c r="V7837" s="19">
        <f>IF($B7837="","",TEXT($B7837,"0000"))</f>
        <v/>
      </c>
      <c r="W7837" s="19">
        <f>IF($I7837="","",IF(ISNUMBER($I7837),TEXT($I7837,"0"),$I7837))</f>
        <v/>
      </c>
    </row>
    <row r="7838">
      <c r="B7838" s="25" t="n"/>
      <c r="I7838" s="25" t="n"/>
      <c r="U7838" s="19">
        <f>IF($V7838&lt;&gt;'設定'!$C$4,N(U7837),IF(OR(NOT(COUNTIF('商品マスタ'!$B$6:$B$1005,$W7838)=0),COUNTIFS('①在庫を貼る'!$V$6:$V$10005,$V7838,'①在庫を貼る'!$W$6:$W$10005,$W7838)+COUNTIFS('月1回_1ヶ月前の在庫'!$V$6:$V$10005,$V7838,'月1回_1ヶ月前の在庫'!$W$6:$W$10005,$W7838)&gt;0),N(U7837),N(U7837)+1))</f>
        <v/>
      </c>
      <c r="V7838" s="19">
        <f>IF($B7838="","",TEXT($B7838,"0000"))</f>
        <v/>
      </c>
      <c r="W7838" s="19">
        <f>IF($I7838="","",IF(ISNUMBER($I7838),TEXT($I7838,"0"),$I7838))</f>
        <v/>
      </c>
    </row>
    <row r="7839">
      <c r="B7839" s="25" t="n"/>
      <c r="I7839" s="25" t="n"/>
      <c r="U7839" s="19">
        <f>IF($V7839&lt;&gt;'設定'!$C$4,N(U7838),IF(OR(NOT(COUNTIF('商品マスタ'!$B$6:$B$1005,$W7839)=0),COUNTIFS('①在庫を貼る'!$V$6:$V$10005,$V7839,'①在庫を貼る'!$W$6:$W$10005,$W7839)+COUNTIFS('月1回_1ヶ月前の在庫'!$V$6:$V$10005,$V7839,'月1回_1ヶ月前の在庫'!$W$6:$W$10005,$W7839)&gt;0),N(U7838),N(U7838)+1))</f>
        <v/>
      </c>
      <c r="V7839" s="19">
        <f>IF($B7839="","",TEXT($B7839,"0000"))</f>
        <v/>
      </c>
      <c r="W7839" s="19">
        <f>IF($I7839="","",IF(ISNUMBER($I7839),TEXT($I7839,"0"),$I7839))</f>
        <v/>
      </c>
    </row>
    <row r="7840">
      <c r="B7840" s="25" t="n"/>
      <c r="I7840" s="25" t="n"/>
      <c r="U7840" s="19">
        <f>IF($V7840&lt;&gt;'設定'!$C$4,N(U7839),IF(OR(NOT(COUNTIF('商品マスタ'!$B$6:$B$1005,$W7840)=0),COUNTIFS('①在庫を貼る'!$V$6:$V$10005,$V7840,'①在庫を貼る'!$W$6:$W$10005,$W7840)+COUNTIFS('月1回_1ヶ月前の在庫'!$V$6:$V$10005,$V7840,'月1回_1ヶ月前の在庫'!$W$6:$W$10005,$W7840)&gt;0),N(U7839),N(U7839)+1))</f>
        <v/>
      </c>
      <c r="V7840" s="19">
        <f>IF($B7840="","",TEXT($B7840,"0000"))</f>
        <v/>
      </c>
      <c r="W7840" s="19">
        <f>IF($I7840="","",IF(ISNUMBER($I7840),TEXT($I7840,"0"),$I7840))</f>
        <v/>
      </c>
    </row>
    <row r="7841">
      <c r="B7841" s="25" t="n"/>
      <c r="I7841" s="25" t="n"/>
      <c r="U7841" s="19">
        <f>IF($V7841&lt;&gt;'設定'!$C$4,N(U7840),IF(OR(NOT(COUNTIF('商品マスタ'!$B$6:$B$1005,$W7841)=0),COUNTIFS('①在庫を貼る'!$V$6:$V$10005,$V7841,'①在庫を貼る'!$W$6:$W$10005,$W7841)+COUNTIFS('月1回_1ヶ月前の在庫'!$V$6:$V$10005,$V7841,'月1回_1ヶ月前の在庫'!$W$6:$W$10005,$W7841)&gt;0),N(U7840),N(U7840)+1))</f>
        <v/>
      </c>
      <c r="V7841" s="19">
        <f>IF($B7841="","",TEXT($B7841,"0000"))</f>
        <v/>
      </c>
      <c r="W7841" s="19">
        <f>IF($I7841="","",IF(ISNUMBER($I7841),TEXT($I7841,"0"),$I7841))</f>
        <v/>
      </c>
    </row>
    <row r="7842">
      <c r="B7842" s="25" t="n"/>
      <c r="I7842" s="25" t="n"/>
      <c r="U7842" s="19">
        <f>IF($V7842&lt;&gt;'設定'!$C$4,N(U7841),IF(OR(NOT(COUNTIF('商品マスタ'!$B$6:$B$1005,$W7842)=0),COUNTIFS('①在庫を貼る'!$V$6:$V$10005,$V7842,'①在庫を貼る'!$W$6:$W$10005,$W7842)+COUNTIFS('月1回_1ヶ月前の在庫'!$V$6:$V$10005,$V7842,'月1回_1ヶ月前の在庫'!$W$6:$W$10005,$W7842)&gt;0),N(U7841),N(U7841)+1))</f>
        <v/>
      </c>
      <c r="V7842" s="19">
        <f>IF($B7842="","",TEXT($B7842,"0000"))</f>
        <v/>
      </c>
      <c r="W7842" s="19">
        <f>IF($I7842="","",IF(ISNUMBER($I7842),TEXT($I7842,"0"),$I7842))</f>
        <v/>
      </c>
    </row>
    <row r="7843">
      <c r="B7843" s="25" t="n"/>
      <c r="I7843" s="25" t="n"/>
      <c r="U7843" s="19">
        <f>IF($V7843&lt;&gt;'設定'!$C$4,N(U7842),IF(OR(NOT(COUNTIF('商品マスタ'!$B$6:$B$1005,$W7843)=0),COUNTIFS('①在庫を貼る'!$V$6:$V$10005,$V7843,'①在庫を貼る'!$W$6:$W$10005,$W7843)+COUNTIFS('月1回_1ヶ月前の在庫'!$V$6:$V$10005,$V7843,'月1回_1ヶ月前の在庫'!$W$6:$W$10005,$W7843)&gt;0),N(U7842),N(U7842)+1))</f>
        <v/>
      </c>
      <c r="V7843" s="19">
        <f>IF($B7843="","",TEXT($B7843,"0000"))</f>
        <v/>
      </c>
      <c r="W7843" s="19">
        <f>IF($I7843="","",IF(ISNUMBER($I7843),TEXT($I7843,"0"),$I7843))</f>
        <v/>
      </c>
    </row>
    <row r="7844">
      <c r="B7844" s="25" t="n"/>
      <c r="I7844" s="25" t="n"/>
      <c r="U7844" s="19">
        <f>IF($V7844&lt;&gt;'設定'!$C$4,N(U7843),IF(OR(NOT(COUNTIF('商品マスタ'!$B$6:$B$1005,$W7844)=0),COUNTIFS('①在庫を貼る'!$V$6:$V$10005,$V7844,'①在庫を貼る'!$W$6:$W$10005,$W7844)+COUNTIFS('月1回_1ヶ月前の在庫'!$V$6:$V$10005,$V7844,'月1回_1ヶ月前の在庫'!$W$6:$W$10005,$W7844)&gt;0),N(U7843),N(U7843)+1))</f>
        <v/>
      </c>
      <c r="V7844" s="19">
        <f>IF($B7844="","",TEXT($B7844,"0000"))</f>
        <v/>
      </c>
      <c r="W7844" s="19">
        <f>IF($I7844="","",IF(ISNUMBER($I7844),TEXT($I7844,"0"),$I7844))</f>
        <v/>
      </c>
    </row>
    <row r="7845">
      <c r="B7845" s="25" t="n"/>
      <c r="I7845" s="25" t="n"/>
      <c r="U7845" s="19">
        <f>IF($V7845&lt;&gt;'設定'!$C$4,N(U7844),IF(OR(NOT(COUNTIF('商品マスタ'!$B$6:$B$1005,$W7845)=0),COUNTIFS('①在庫を貼る'!$V$6:$V$10005,$V7845,'①在庫を貼る'!$W$6:$W$10005,$W7845)+COUNTIFS('月1回_1ヶ月前の在庫'!$V$6:$V$10005,$V7845,'月1回_1ヶ月前の在庫'!$W$6:$W$10005,$W7845)&gt;0),N(U7844),N(U7844)+1))</f>
        <v/>
      </c>
      <c r="V7845" s="19">
        <f>IF($B7845="","",TEXT($B7845,"0000"))</f>
        <v/>
      </c>
      <c r="W7845" s="19">
        <f>IF($I7845="","",IF(ISNUMBER($I7845),TEXT($I7845,"0"),$I7845))</f>
        <v/>
      </c>
    </row>
    <row r="7846">
      <c r="B7846" s="25" t="n"/>
      <c r="I7846" s="25" t="n"/>
      <c r="U7846" s="19">
        <f>IF($V7846&lt;&gt;'設定'!$C$4,N(U7845),IF(OR(NOT(COUNTIF('商品マスタ'!$B$6:$B$1005,$W7846)=0),COUNTIFS('①在庫を貼る'!$V$6:$V$10005,$V7846,'①在庫を貼る'!$W$6:$W$10005,$W7846)+COUNTIFS('月1回_1ヶ月前の在庫'!$V$6:$V$10005,$V7846,'月1回_1ヶ月前の在庫'!$W$6:$W$10005,$W7846)&gt;0),N(U7845),N(U7845)+1))</f>
        <v/>
      </c>
      <c r="V7846" s="19">
        <f>IF($B7846="","",TEXT($B7846,"0000"))</f>
        <v/>
      </c>
      <c r="W7846" s="19">
        <f>IF($I7846="","",IF(ISNUMBER($I7846),TEXT($I7846,"0"),$I7846))</f>
        <v/>
      </c>
    </row>
    <row r="7847">
      <c r="B7847" s="25" t="n"/>
      <c r="I7847" s="25" t="n"/>
      <c r="U7847" s="19">
        <f>IF($V7847&lt;&gt;'設定'!$C$4,N(U7846),IF(OR(NOT(COUNTIF('商品マスタ'!$B$6:$B$1005,$W7847)=0),COUNTIFS('①在庫を貼る'!$V$6:$V$10005,$V7847,'①在庫を貼る'!$W$6:$W$10005,$W7847)+COUNTIFS('月1回_1ヶ月前の在庫'!$V$6:$V$10005,$V7847,'月1回_1ヶ月前の在庫'!$W$6:$W$10005,$W7847)&gt;0),N(U7846),N(U7846)+1))</f>
        <v/>
      </c>
      <c r="V7847" s="19">
        <f>IF($B7847="","",TEXT($B7847,"0000"))</f>
        <v/>
      </c>
      <c r="W7847" s="19">
        <f>IF($I7847="","",IF(ISNUMBER($I7847),TEXT($I7847,"0"),$I7847))</f>
        <v/>
      </c>
    </row>
    <row r="7848">
      <c r="B7848" s="25" t="n"/>
      <c r="I7848" s="25" t="n"/>
      <c r="U7848" s="19">
        <f>IF($V7848&lt;&gt;'設定'!$C$4,N(U7847),IF(OR(NOT(COUNTIF('商品マスタ'!$B$6:$B$1005,$W7848)=0),COUNTIFS('①在庫を貼る'!$V$6:$V$10005,$V7848,'①在庫を貼る'!$W$6:$W$10005,$W7848)+COUNTIFS('月1回_1ヶ月前の在庫'!$V$6:$V$10005,$V7848,'月1回_1ヶ月前の在庫'!$W$6:$W$10005,$W7848)&gt;0),N(U7847),N(U7847)+1))</f>
        <v/>
      </c>
      <c r="V7848" s="19">
        <f>IF($B7848="","",TEXT($B7848,"0000"))</f>
        <v/>
      </c>
      <c r="W7848" s="19">
        <f>IF($I7848="","",IF(ISNUMBER($I7848),TEXT($I7848,"0"),$I7848))</f>
        <v/>
      </c>
    </row>
    <row r="7849">
      <c r="B7849" s="25" t="n"/>
      <c r="I7849" s="25" t="n"/>
      <c r="U7849" s="19">
        <f>IF($V7849&lt;&gt;'設定'!$C$4,N(U7848),IF(OR(NOT(COUNTIF('商品マスタ'!$B$6:$B$1005,$W7849)=0),COUNTIFS('①在庫を貼る'!$V$6:$V$10005,$V7849,'①在庫を貼る'!$W$6:$W$10005,$W7849)+COUNTIFS('月1回_1ヶ月前の在庫'!$V$6:$V$10005,$V7849,'月1回_1ヶ月前の在庫'!$W$6:$W$10005,$W7849)&gt;0),N(U7848),N(U7848)+1))</f>
        <v/>
      </c>
      <c r="V7849" s="19">
        <f>IF($B7849="","",TEXT($B7849,"0000"))</f>
        <v/>
      </c>
      <c r="W7849" s="19">
        <f>IF($I7849="","",IF(ISNUMBER($I7849),TEXT($I7849,"0"),$I7849))</f>
        <v/>
      </c>
    </row>
    <row r="7850">
      <c r="B7850" s="25" t="n"/>
      <c r="I7850" s="25" t="n"/>
      <c r="U7850" s="19">
        <f>IF($V7850&lt;&gt;'設定'!$C$4,N(U7849),IF(OR(NOT(COUNTIF('商品マスタ'!$B$6:$B$1005,$W7850)=0),COUNTIFS('①在庫を貼る'!$V$6:$V$10005,$V7850,'①在庫を貼る'!$W$6:$W$10005,$W7850)+COUNTIFS('月1回_1ヶ月前の在庫'!$V$6:$V$10005,$V7850,'月1回_1ヶ月前の在庫'!$W$6:$W$10005,$W7850)&gt;0),N(U7849),N(U7849)+1))</f>
        <v/>
      </c>
      <c r="V7850" s="19">
        <f>IF($B7850="","",TEXT($B7850,"0000"))</f>
        <v/>
      </c>
      <c r="W7850" s="19">
        <f>IF($I7850="","",IF(ISNUMBER($I7850),TEXT($I7850,"0"),$I7850))</f>
        <v/>
      </c>
    </row>
    <row r="7851">
      <c r="B7851" s="25" t="n"/>
      <c r="I7851" s="25" t="n"/>
      <c r="U7851" s="19">
        <f>IF($V7851&lt;&gt;'設定'!$C$4,N(U7850),IF(OR(NOT(COUNTIF('商品マスタ'!$B$6:$B$1005,$W7851)=0),COUNTIFS('①在庫を貼る'!$V$6:$V$10005,$V7851,'①在庫を貼る'!$W$6:$W$10005,$W7851)+COUNTIFS('月1回_1ヶ月前の在庫'!$V$6:$V$10005,$V7851,'月1回_1ヶ月前の在庫'!$W$6:$W$10005,$W7851)&gt;0),N(U7850),N(U7850)+1))</f>
        <v/>
      </c>
      <c r="V7851" s="19">
        <f>IF($B7851="","",TEXT($B7851,"0000"))</f>
        <v/>
      </c>
      <c r="W7851" s="19">
        <f>IF($I7851="","",IF(ISNUMBER($I7851),TEXT($I7851,"0"),$I7851))</f>
        <v/>
      </c>
    </row>
    <row r="7852">
      <c r="B7852" s="25" t="n"/>
      <c r="I7852" s="25" t="n"/>
      <c r="U7852" s="19">
        <f>IF($V7852&lt;&gt;'設定'!$C$4,N(U7851),IF(OR(NOT(COUNTIF('商品マスタ'!$B$6:$B$1005,$W7852)=0),COUNTIFS('①在庫を貼る'!$V$6:$V$10005,$V7852,'①在庫を貼る'!$W$6:$W$10005,$W7852)+COUNTIFS('月1回_1ヶ月前の在庫'!$V$6:$V$10005,$V7852,'月1回_1ヶ月前の在庫'!$W$6:$W$10005,$W7852)&gt;0),N(U7851),N(U7851)+1))</f>
        <v/>
      </c>
      <c r="V7852" s="19">
        <f>IF($B7852="","",TEXT($B7852,"0000"))</f>
        <v/>
      </c>
      <c r="W7852" s="19">
        <f>IF($I7852="","",IF(ISNUMBER($I7852),TEXT($I7852,"0"),$I7852))</f>
        <v/>
      </c>
    </row>
    <row r="7853">
      <c r="B7853" s="25" t="n"/>
      <c r="I7853" s="25" t="n"/>
      <c r="U7853" s="19">
        <f>IF($V7853&lt;&gt;'設定'!$C$4,N(U7852),IF(OR(NOT(COUNTIF('商品マスタ'!$B$6:$B$1005,$W7853)=0),COUNTIFS('①在庫を貼る'!$V$6:$V$10005,$V7853,'①在庫を貼る'!$W$6:$W$10005,$W7853)+COUNTIFS('月1回_1ヶ月前の在庫'!$V$6:$V$10005,$V7853,'月1回_1ヶ月前の在庫'!$W$6:$W$10005,$W7853)&gt;0),N(U7852),N(U7852)+1))</f>
        <v/>
      </c>
      <c r="V7853" s="19">
        <f>IF($B7853="","",TEXT($B7853,"0000"))</f>
        <v/>
      </c>
      <c r="W7853" s="19">
        <f>IF($I7853="","",IF(ISNUMBER($I7853),TEXT($I7853,"0"),$I7853))</f>
        <v/>
      </c>
    </row>
    <row r="7854">
      <c r="B7854" s="25" t="n"/>
      <c r="I7854" s="25" t="n"/>
      <c r="U7854" s="19">
        <f>IF($V7854&lt;&gt;'設定'!$C$4,N(U7853),IF(OR(NOT(COUNTIF('商品マスタ'!$B$6:$B$1005,$W7854)=0),COUNTIFS('①在庫を貼る'!$V$6:$V$10005,$V7854,'①在庫を貼る'!$W$6:$W$10005,$W7854)+COUNTIFS('月1回_1ヶ月前の在庫'!$V$6:$V$10005,$V7854,'月1回_1ヶ月前の在庫'!$W$6:$W$10005,$W7854)&gt;0),N(U7853),N(U7853)+1))</f>
        <v/>
      </c>
      <c r="V7854" s="19">
        <f>IF($B7854="","",TEXT($B7854,"0000"))</f>
        <v/>
      </c>
      <c r="W7854" s="19">
        <f>IF($I7854="","",IF(ISNUMBER($I7854),TEXT($I7854,"0"),$I7854))</f>
        <v/>
      </c>
    </row>
    <row r="7855">
      <c r="B7855" s="25" t="n"/>
      <c r="I7855" s="25" t="n"/>
      <c r="U7855" s="19">
        <f>IF($V7855&lt;&gt;'設定'!$C$4,N(U7854),IF(OR(NOT(COUNTIF('商品マスタ'!$B$6:$B$1005,$W7855)=0),COUNTIFS('①在庫を貼る'!$V$6:$V$10005,$V7855,'①在庫を貼る'!$W$6:$W$10005,$W7855)+COUNTIFS('月1回_1ヶ月前の在庫'!$V$6:$V$10005,$V7855,'月1回_1ヶ月前の在庫'!$W$6:$W$10005,$W7855)&gt;0),N(U7854),N(U7854)+1))</f>
        <v/>
      </c>
      <c r="V7855" s="19">
        <f>IF($B7855="","",TEXT($B7855,"0000"))</f>
        <v/>
      </c>
      <c r="W7855" s="19">
        <f>IF($I7855="","",IF(ISNUMBER($I7855),TEXT($I7855,"0"),$I7855))</f>
        <v/>
      </c>
    </row>
    <row r="7856">
      <c r="B7856" s="25" t="n"/>
      <c r="I7856" s="25" t="n"/>
      <c r="U7856" s="19">
        <f>IF($V7856&lt;&gt;'設定'!$C$4,N(U7855),IF(OR(NOT(COUNTIF('商品マスタ'!$B$6:$B$1005,$W7856)=0),COUNTIFS('①在庫を貼る'!$V$6:$V$10005,$V7856,'①在庫を貼る'!$W$6:$W$10005,$W7856)+COUNTIFS('月1回_1ヶ月前の在庫'!$V$6:$V$10005,$V7856,'月1回_1ヶ月前の在庫'!$W$6:$W$10005,$W7856)&gt;0),N(U7855),N(U7855)+1))</f>
        <v/>
      </c>
      <c r="V7856" s="19">
        <f>IF($B7856="","",TEXT($B7856,"0000"))</f>
        <v/>
      </c>
      <c r="W7856" s="19">
        <f>IF($I7856="","",IF(ISNUMBER($I7856),TEXT($I7856,"0"),$I7856))</f>
        <v/>
      </c>
    </row>
    <row r="7857">
      <c r="B7857" s="25" t="n"/>
      <c r="I7857" s="25" t="n"/>
      <c r="U7857" s="19">
        <f>IF($V7857&lt;&gt;'設定'!$C$4,N(U7856),IF(OR(NOT(COUNTIF('商品マスタ'!$B$6:$B$1005,$W7857)=0),COUNTIFS('①在庫を貼る'!$V$6:$V$10005,$V7857,'①在庫を貼る'!$W$6:$W$10005,$W7857)+COUNTIFS('月1回_1ヶ月前の在庫'!$V$6:$V$10005,$V7857,'月1回_1ヶ月前の在庫'!$W$6:$W$10005,$W7857)&gt;0),N(U7856),N(U7856)+1))</f>
        <v/>
      </c>
      <c r="V7857" s="19">
        <f>IF($B7857="","",TEXT($B7857,"0000"))</f>
        <v/>
      </c>
      <c r="W7857" s="19">
        <f>IF($I7857="","",IF(ISNUMBER($I7857),TEXT($I7857,"0"),$I7857))</f>
        <v/>
      </c>
    </row>
    <row r="7858">
      <c r="B7858" s="25" t="n"/>
      <c r="I7858" s="25" t="n"/>
      <c r="U7858" s="19">
        <f>IF($V7858&lt;&gt;'設定'!$C$4,N(U7857),IF(OR(NOT(COUNTIF('商品マスタ'!$B$6:$B$1005,$W7858)=0),COUNTIFS('①在庫を貼る'!$V$6:$V$10005,$V7858,'①在庫を貼る'!$W$6:$W$10005,$W7858)+COUNTIFS('月1回_1ヶ月前の在庫'!$V$6:$V$10005,$V7858,'月1回_1ヶ月前の在庫'!$W$6:$W$10005,$W7858)&gt;0),N(U7857),N(U7857)+1))</f>
        <v/>
      </c>
      <c r="V7858" s="19">
        <f>IF($B7858="","",TEXT($B7858,"0000"))</f>
        <v/>
      </c>
      <c r="W7858" s="19">
        <f>IF($I7858="","",IF(ISNUMBER($I7858),TEXT($I7858,"0"),$I7858))</f>
        <v/>
      </c>
    </row>
    <row r="7859">
      <c r="B7859" s="25" t="n"/>
      <c r="I7859" s="25" t="n"/>
      <c r="U7859" s="19">
        <f>IF($V7859&lt;&gt;'設定'!$C$4,N(U7858),IF(OR(NOT(COUNTIF('商品マスタ'!$B$6:$B$1005,$W7859)=0),COUNTIFS('①在庫を貼る'!$V$6:$V$10005,$V7859,'①在庫を貼る'!$W$6:$W$10005,$W7859)+COUNTIFS('月1回_1ヶ月前の在庫'!$V$6:$V$10005,$V7859,'月1回_1ヶ月前の在庫'!$W$6:$W$10005,$W7859)&gt;0),N(U7858),N(U7858)+1))</f>
        <v/>
      </c>
      <c r="V7859" s="19">
        <f>IF($B7859="","",TEXT($B7859,"0000"))</f>
        <v/>
      </c>
      <c r="W7859" s="19">
        <f>IF($I7859="","",IF(ISNUMBER($I7859),TEXT($I7859,"0"),$I7859))</f>
        <v/>
      </c>
    </row>
    <row r="7860">
      <c r="B7860" s="25" t="n"/>
      <c r="I7860" s="25" t="n"/>
      <c r="U7860" s="19">
        <f>IF($V7860&lt;&gt;'設定'!$C$4,N(U7859),IF(OR(NOT(COUNTIF('商品マスタ'!$B$6:$B$1005,$W7860)=0),COUNTIFS('①在庫を貼る'!$V$6:$V$10005,$V7860,'①在庫を貼る'!$W$6:$W$10005,$W7860)+COUNTIFS('月1回_1ヶ月前の在庫'!$V$6:$V$10005,$V7860,'月1回_1ヶ月前の在庫'!$W$6:$W$10005,$W7860)&gt;0),N(U7859),N(U7859)+1))</f>
        <v/>
      </c>
      <c r="V7860" s="19">
        <f>IF($B7860="","",TEXT($B7860,"0000"))</f>
        <v/>
      </c>
      <c r="W7860" s="19">
        <f>IF($I7860="","",IF(ISNUMBER($I7860),TEXT($I7860,"0"),$I7860))</f>
        <v/>
      </c>
    </row>
    <row r="7861">
      <c r="B7861" s="25" t="n"/>
      <c r="I7861" s="25" t="n"/>
      <c r="U7861" s="19">
        <f>IF($V7861&lt;&gt;'設定'!$C$4,N(U7860),IF(OR(NOT(COUNTIF('商品マスタ'!$B$6:$B$1005,$W7861)=0),COUNTIFS('①在庫を貼る'!$V$6:$V$10005,$V7861,'①在庫を貼る'!$W$6:$W$10005,$W7861)+COUNTIFS('月1回_1ヶ月前の在庫'!$V$6:$V$10005,$V7861,'月1回_1ヶ月前の在庫'!$W$6:$W$10005,$W7861)&gt;0),N(U7860),N(U7860)+1))</f>
        <v/>
      </c>
      <c r="V7861" s="19">
        <f>IF($B7861="","",TEXT($B7861,"0000"))</f>
        <v/>
      </c>
      <c r="W7861" s="19">
        <f>IF($I7861="","",IF(ISNUMBER($I7861),TEXT($I7861,"0"),$I7861))</f>
        <v/>
      </c>
    </row>
    <row r="7862">
      <c r="B7862" s="25" t="n"/>
      <c r="I7862" s="25" t="n"/>
      <c r="U7862" s="19">
        <f>IF($V7862&lt;&gt;'設定'!$C$4,N(U7861),IF(OR(NOT(COUNTIF('商品マスタ'!$B$6:$B$1005,$W7862)=0),COUNTIFS('①在庫を貼る'!$V$6:$V$10005,$V7862,'①在庫を貼る'!$W$6:$W$10005,$W7862)+COUNTIFS('月1回_1ヶ月前の在庫'!$V$6:$V$10005,$V7862,'月1回_1ヶ月前の在庫'!$W$6:$W$10005,$W7862)&gt;0),N(U7861),N(U7861)+1))</f>
        <v/>
      </c>
      <c r="V7862" s="19">
        <f>IF($B7862="","",TEXT($B7862,"0000"))</f>
        <v/>
      </c>
      <c r="W7862" s="19">
        <f>IF($I7862="","",IF(ISNUMBER($I7862),TEXT($I7862,"0"),$I7862))</f>
        <v/>
      </c>
    </row>
    <row r="7863">
      <c r="B7863" s="25" t="n"/>
      <c r="I7863" s="25" t="n"/>
      <c r="U7863" s="19">
        <f>IF($V7863&lt;&gt;'設定'!$C$4,N(U7862),IF(OR(NOT(COUNTIF('商品マスタ'!$B$6:$B$1005,$W7863)=0),COUNTIFS('①在庫を貼る'!$V$6:$V$10005,$V7863,'①在庫を貼る'!$W$6:$W$10005,$W7863)+COUNTIFS('月1回_1ヶ月前の在庫'!$V$6:$V$10005,$V7863,'月1回_1ヶ月前の在庫'!$W$6:$W$10005,$W7863)&gt;0),N(U7862),N(U7862)+1))</f>
        <v/>
      </c>
      <c r="V7863" s="19">
        <f>IF($B7863="","",TEXT($B7863,"0000"))</f>
        <v/>
      </c>
      <c r="W7863" s="19">
        <f>IF($I7863="","",IF(ISNUMBER($I7863),TEXT($I7863,"0"),$I7863))</f>
        <v/>
      </c>
    </row>
    <row r="7864">
      <c r="B7864" s="25" t="n"/>
      <c r="I7864" s="25" t="n"/>
      <c r="U7864" s="19">
        <f>IF($V7864&lt;&gt;'設定'!$C$4,N(U7863),IF(OR(NOT(COUNTIF('商品マスタ'!$B$6:$B$1005,$W7864)=0),COUNTIFS('①在庫を貼る'!$V$6:$V$10005,$V7864,'①在庫を貼る'!$W$6:$W$10005,$W7864)+COUNTIFS('月1回_1ヶ月前の在庫'!$V$6:$V$10005,$V7864,'月1回_1ヶ月前の在庫'!$W$6:$W$10005,$W7864)&gt;0),N(U7863),N(U7863)+1))</f>
        <v/>
      </c>
      <c r="V7864" s="19">
        <f>IF($B7864="","",TEXT($B7864,"0000"))</f>
        <v/>
      </c>
      <c r="W7864" s="19">
        <f>IF($I7864="","",IF(ISNUMBER($I7864),TEXT($I7864,"0"),$I7864))</f>
        <v/>
      </c>
    </row>
    <row r="7865">
      <c r="B7865" s="25" t="n"/>
      <c r="I7865" s="25" t="n"/>
      <c r="U7865" s="19">
        <f>IF($V7865&lt;&gt;'設定'!$C$4,N(U7864),IF(OR(NOT(COUNTIF('商品マスタ'!$B$6:$B$1005,$W7865)=0),COUNTIFS('①在庫を貼る'!$V$6:$V$10005,$V7865,'①在庫を貼る'!$W$6:$W$10005,$W7865)+COUNTIFS('月1回_1ヶ月前の在庫'!$V$6:$V$10005,$V7865,'月1回_1ヶ月前の在庫'!$W$6:$W$10005,$W7865)&gt;0),N(U7864),N(U7864)+1))</f>
        <v/>
      </c>
      <c r="V7865" s="19">
        <f>IF($B7865="","",TEXT($B7865,"0000"))</f>
        <v/>
      </c>
      <c r="W7865" s="19">
        <f>IF($I7865="","",IF(ISNUMBER($I7865),TEXT($I7865,"0"),$I7865))</f>
        <v/>
      </c>
    </row>
    <row r="7866">
      <c r="B7866" s="25" t="n"/>
      <c r="I7866" s="25" t="n"/>
      <c r="U7866" s="19">
        <f>IF($V7866&lt;&gt;'設定'!$C$4,N(U7865),IF(OR(NOT(COUNTIF('商品マスタ'!$B$6:$B$1005,$W7866)=0),COUNTIFS('①在庫を貼る'!$V$6:$V$10005,$V7866,'①在庫を貼る'!$W$6:$W$10005,$W7866)+COUNTIFS('月1回_1ヶ月前の在庫'!$V$6:$V$10005,$V7866,'月1回_1ヶ月前の在庫'!$W$6:$W$10005,$W7866)&gt;0),N(U7865),N(U7865)+1))</f>
        <v/>
      </c>
      <c r="V7866" s="19">
        <f>IF($B7866="","",TEXT($B7866,"0000"))</f>
        <v/>
      </c>
      <c r="W7866" s="19">
        <f>IF($I7866="","",IF(ISNUMBER($I7866),TEXT($I7866,"0"),$I7866))</f>
        <v/>
      </c>
    </row>
    <row r="7867">
      <c r="B7867" s="25" t="n"/>
      <c r="I7867" s="25" t="n"/>
      <c r="U7867" s="19">
        <f>IF($V7867&lt;&gt;'設定'!$C$4,N(U7866),IF(OR(NOT(COUNTIF('商品マスタ'!$B$6:$B$1005,$W7867)=0),COUNTIFS('①在庫を貼る'!$V$6:$V$10005,$V7867,'①在庫を貼る'!$W$6:$W$10005,$W7867)+COUNTIFS('月1回_1ヶ月前の在庫'!$V$6:$V$10005,$V7867,'月1回_1ヶ月前の在庫'!$W$6:$W$10005,$W7867)&gt;0),N(U7866),N(U7866)+1))</f>
        <v/>
      </c>
      <c r="V7867" s="19">
        <f>IF($B7867="","",TEXT($B7867,"0000"))</f>
        <v/>
      </c>
      <c r="W7867" s="19">
        <f>IF($I7867="","",IF(ISNUMBER($I7867),TEXT($I7867,"0"),$I7867))</f>
        <v/>
      </c>
    </row>
    <row r="7868">
      <c r="B7868" s="25" t="n"/>
      <c r="I7868" s="25" t="n"/>
      <c r="U7868" s="19">
        <f>IF($V7868&lt;&gt;'設定'!$C$4,N(U7867),IF(OR(NOT(COUNTIF('商品マスタ'!$B$6:$B$1005,$W7868)=0),COUNTIFS('①在庫を貼る'!$V$6:$V$10005,$V7868,'①在庫を貼る'!$W$6:$W$10005,$W7868)+COUNTIFS('月1回_1ヶ月前の在庫'!$V$6:$V$10005,$V7868,'月1回_1ヶ月前の在庫'!$W$6:$W$10005,$W7868)&gt;0),N(U7867),N(U7867)+1))</f>
        <v/>
      </c>
      <c r="V7868" s="19">
        <f>IF($B7868="","",TEXT($B7868,"0000"))</f>
        <v/>
      </c>
      <c r="W7868" s="19">
        <f>IF($I7868="","",IF(ISNUMBER($I7868),TEXT($I7868,"0"),$I7868))</f>
        <v/>
      </c>
    </row>
    <row r="7869">
      <c r="B7869" s="25" t="n"/>
      <c r="I7869" s="25" t="n"/>
      <c r="U7869" s="19">
        <f>IF($V7869&lt;&gt;'設定'!$C$4,N(U7868),IF(OR(NOT(COUNTIF('商品マスタ'!$B$6:$B$1005,$W7869)=0),COUNTIFS('①在庫を貼る'!$V$6:$V$10005,$V7869,'①在庫を貼る'!$W$6:$W$10005,$W7869)+COUNTIFS('月1回_1ヶ月前の在庫'!$V$6:$V$10005,$V7869,'月1回_1ヶ月前の在庫'!$W$6:$W$10005,$W7869)&gt;0),N(U7868),N(U7868)+1))</f>
        <v/>
      </c>
      <c r="V7869" s="19">
        <f>IF($B7869="","",TEXT($B7869,"0000"))</f>
        <v/>
      </c>
      <c r="W7869" s="19">
        <f>IF($I7869="","",IF(ISNUMBER($I7869),TEXT($I7869,"0"),$I7869))</f>
        <v/>
      </c>
    </row>
    <row r="7870">
      <c r="B7870" s="25" t="n"/>
      <c r="I7870" s="25" t="n"/>
      <c r="U7870" s="19">
        <f>IF($V7870&lt;&gt;'設定'!$C$4,N(U7869),IF(OR(NOT(COUNTIF('商品マスタ'!$B$6:$B$1005,$W7870)=0),COUNTIFS('①在庫を貼る'!$V$6:$V$10005,$V7870,'①在庫を貼る'!$W$6:$W$10005,$W7870)+COUNTIFS('月1回_1ヶ月前の在庫'!$V$6:$V$10005,$V7870,'月1回_1ヶ月前の在庫'!$W$6:$W$10005,$W7870)&gt;0),N(U7869),N(U7869)+1))</f>
        <v/>
      </c>
      <c r="V7870" s="19">
        <f>IF($B7870="","",TEXT($B7870,"0000"))</f>
        <v/>
      </c>
      <c r="W7870" s="19">
        <f>IF($I7870="","",IF(ISNUMBER($I7870),TEXT($I7870,"0"),$I7870))</f>
        <v/>
      </c>
    </row>
    <row r="7871">
      <c r="B7871" s="25" t="n"/>
      <c r="I7871" s="25" t="n"/>
      <c r="U7871" s="19">
        <f>IF($V7871&lt;&gt;'設定'!$C$4,N(U7870),IF(OR(NOT(COUNTIF('商品マスタ'!$B$6:$B$1005,$W7871)=0),COUNTIFS('①在庫を貼る'!$V$6:$V$10005,$V7871,'①在庫を貼る'!$W$6:$W$10005,$W7871)+COUNTIFS('月1回_1ヶ月前の在庫'!$V$6:$V$10005,$V7871,'月1回_1ヶ月前の在庫'!$W$6:$W$10005,$W7871)&gt;0),N(U7870),N(U7870)+1))</f>
        <v/>
      </c>
      <c r="V7871" s="19">
        <f>IF($B7871="","",TEXT($B7871,"0000"))</f>
        <v/>
      </c>
      <c r="W7871" s="19">
        <f>IF($I7871="","",IF(ISNUMBER($I7871),TEXT($I7871,"0"),$I7871))</f>
        <v/>
      </c>
    </row>
    <row r="7872">
      <c r="B7872" s="25" t="n"/>
      <c r="I7872" s="25" t="n"/>
      <c r="U7872" s="19">
        <f>IF($V7872&lt;&gt;'設定'!$C$4,N(U7871),IF(OR(NOT(COUNTIF('商品マスタ'!$B$6:$B$1005,$W7872)=0),COUNTIFS('①在庫を貼る'!$V$6:$V$10005,$V7872,'①在庫を貼る'!$W$6:$W$10005,$W7872)+COUNTIFS('月1回_1ヶ月前の在庫'!$V$6:$V$10005,$V7872,'月1回_1ヶ月前の在庫'!$W$6:$W$10005,$W7872)&gt;0),N(U7871),N(U7871)+1))</f>
        <v/>
      </c>
      <c r="V7872" s="19">
        <f>IF($B7872="","",TEXT($B7872,"0000"))</f>
        <v/>
      </c>
      <c r="W7872" s="19">
        <f>IF($I7872="","",IF(ISNUMBER($I7872),TEXT($I7872,"0"),$I7872))</f>
        <v/>
      </c>
    </row>
    <row r="7873">
      <c r="B7873" s="25" t="n"/>
      <c r="I7873" s="25" t="n"/>
      <c r="U7873" s="19">
        <f>IF($V7873&lt;&gt;'設定'!$C$4,N(U7872),IF(OR(NOT(COUNTIF('商品マスタ'!$B$6:$B$1005,$W7873)=0),COUNTIFS('①在庫を貼る'!$V$6:$V$10005,$V7873,'①在庫を貼る'!$W$6:$W$10005,$W7873)+COUNTIFS('月1回_1ヶ月前の在庫'!$V$6:$V$10005,$V7873,'月1回_1ヶ月前の在庫'!$W$6:$W$10005,$W7873)&gt;0),N(U7872),N(U7872)+1))</f>
        <v/>
      </c>
      <c r="V7873" s="19">
        <f>IF($B7873="","",TEXT($B7873,"0000"))</f>
        <v/>
      </c>
      <c r="W7873" s="19">
        <f>IF($I7873="","",IF(ISNUMBER($I7873),TEXT($I7873,"0"),$I7873))</f>
        <v/>
      </c>
    </row>
    <row r="7874">
      <c r="B7874" s="25" t="n"/>
      <c r="I7874" s="25" t="n"/>
      <c r="U7874" s="19">
        <f>IF($V7874&lt;&gt;'設定'!$C$4,N(U7873),IF(OR(NOT(COUNTIF('商品マスタ'!$B$6:$B$1005,$W7874)=0),COUNTIFS('①在庫を貼る'!$V$6:$V$10005,$V7874,'①在庫を貼る'!$W$6:$W$10005,$W7874)+COUNTIFS('月1回_1ヶ月前の在庫'!$V$6:$V$10005,$V7874,'月1回_1ヶ月前の在庫'!$W$6:$W$10005,$W7874)&gt;0),N(U7873),N(U7873)+1))</f>
        <v/>
      </c>
      <c r="V7874" s="19">
        <f>IF($B7874="","",TEXT($B7874,"0000"))</f>
        <v/>
      </c>
      <c r="W7874" s="19">
        <f>IF($I7874="","",IF(ISNUMBER($I7874),TEXT($I7874,"0"),$I7874))</f>
        <v/>
      </c>
    </row>
    <row r="7875">
      <c r="B7875" s="25" t="n"/>
      <c r="I7875" s="25" t="n"/>
      <c r="U7875" s="19">
        <f>IF($V7875&lt;&gt;'設定'!$C$4,N(U7874),IF(OR(NOT(COUNTIF('商品マスタ'!$B$6:$B$1005,$W7875)=0),COUNTIFS('①在庫を貼る'!$V$6:$V$10005,$V7875,'①在庫を貼る'!$W$6:$W$10005,$W7875)+COUNTIFS('月1回_1ヶ月前の在庫'!$V$6:$V$10005,$V7875,'月1回_1ヶ月前の在庫'!$W$6:$W$10005,$W7875)&gt;0),N(U7874),N(U7874)+1))</f>
        <v/>
      </c>
      <c r="V7875" s="19">
        <f>IF($B7875="","",TEXT($B7875,"0000"))</f>
        <v/>
      </c>
      <c r="W7875" s="19">
        <f>IF($I7875="","",IF(ISNUMBER($I7875),TEXT($I7875,"0"),$I7875))</f>
        <v/>
      </c>
    </row>
    <row r="7876">
      <c r="B7876" s="25" t="n"/>
      <c r="I7876" s="25" t="n"/>
      <c r="U7876" s="19">
        <f>IF($V7876&lt;&gt;'設定'!$C$4,N(U7875),IF(OR(NOT(COUNTIF('商品マスタ'!$B$6:$B$1005,$W7876)=0),COUNTIFS('①在庫を貼る'!$V$6:$V$10005,$V7876,'①在庫を貼る'!$W$6:$W$10005,$W7876)+COUNTIFS('月1回_1ヶ月前の在庫'!$V$6:$V$10005,$V7876,'月1回_1ヶ月前の在庫'!$W$6:$W$10005,$W7876)&gt;0),N(U7875),N(U7875)+1))</f>
        <v/>
      </c>
      <c r="V7876" s="19">
        <f>IF($B7876="","",TEXT($B7876,"0000"))</f>
        <v/>
      </c>
      <c r="W7876" s="19">
        <f>IF($I7876="","",IF(ISNUMBER($I7876),TEXT($I7876,"0"),$I7876))</f>
        <v/>
      </c>
    </row>
    <row r="7877">
      <c r="B7877" s="25" t="n"/>
      <c r="I7877" s="25" t="n"/>
      <c r="U7877" s="19">
        <f>IF($V7877&lt;&gt;'設定'!$C$4,N(U7876),IF(OR(NOT(COUNTIF('商品マスタ'!$B$6:$B$1005,$W7877)=0),COUNTIFS('①在庫を貼る'!$V$6:$V$10005,$V7877,'①在庫を貼る'!$W$6:$W$10005,$W7877)+COUNTIFS('月1回_1ヶ月前の在庫'!$V$6:$V$10005,$V7877,'月1回_1ヶ月前の在庫'!$W$6:$W$10005,$W7877)&gt;0),N(U7876),N(U7876)+1))</f>
        <v/>
      </c>
      <c r="V7877" s="19">
        <f>IF($B7877="","",TEXT($B7877,"0000"))</f>
        <v/>
      </c>
      <c r="W7877" s="19">
        <f>IF($I7877="","",IF(ISNUMBER($I7877),TEXT($I7877,"0"),$I7877))</f>
        <v/>
      </c>
    </row>
    <row r="7878">
      <c r="B7878" s="25" t="n"/>
      <c r="I7878" s="25" t="n"/>
      <c r="U7878" s="19">
        <f>IF($V7878&lt;&gt;'設定'!$C$4,N(U7877),IF(OR(NOT(COUNTIF('商品マスタ'!$B$6:$B$1005,$W7878)=0),COUNTIFS('①在庫を貼る'!$V$6:$V$10005,$V7878,'①在庫を貼る'!$W$6:$W$10005,$W7878)+COUNTIFS('月1回_1ヶ月前の在庫'!$V$6:$V$10005,$V7878,'月1回_1ヶ月前の在庫'!$W$6:$W$10005,$W7878)&gt;0),N(U7877),N(U7877)+1))</f>
        <v/>
      </c>
      <c r="V7878" s="19">
        <f>IF($B7878="","",TEXT($B7878,"0000"))</f>
        <v/>
      </c>
      <c r="W7878" s="19">
        <f>IF($I7878="","",IF(ISNUMBER($I7878),TEXT($I7878,"0"),$I7878))</f>
        <v/>
      </c>
    </row>
    <row r="7879">
      <c r="B7879" s="25" t="n"/>
      <c r="I7879" s="25" t="n"/>
      <c r="U7879" s="19">
        <f>IF($V7879&lt;&gt;'設定'!$C$4,N(U7878),IF(OR(NOT(COUNTIF('商品マスタ'!$B$6:$B$1005,$W7879)=0),COUNTIFS('①在庫を貼る'!$V$6:$V$10005,$V7879,'①在庫を貼る'!$W$6:$W$10005,$W7879)+COUNTIFS('月1回_1ヶ月前の在庫'!$V$6:$V$10005,$V7879,'月1回_1ヶ月前の在庫'!$W$6:$W$10005,$W7879)&gt;0),N(U7878),N(U7878)+1))</f>
        <v/>
      </c>
      <c r="V7879" s="19">
        <f>IF($B7879="","",TEXT($B7879,"0000"))</f>
        <v/>
      </c>
      <c r="W7879" s="19">
        <f>IF($I7879="","",IF(ISNUMBER($I7879),TEXT($I7879,"0"),$I7879))</f>
        <v/>
      </c>
    </row>
    <row r="7880">
      <c r="B7880" s="25" t="n"/>
      <c r="I7880" s="25" t="n"/>
      <c r="U7880" s="19">
        <f>IF($V7880&lt;&gt;'設定'!$C$4,N(U7879),IF(OR(NOT(COUNTIF('商品マスタ'!$B$6:$B$1005,$W7880)=0),COUNTIFS('①在庫を貼る'!$V$6:$V$10005,$V7880,'①在庫を貼る'!$W$6:$W$10005,$W7880)+COUNTIFS('月1回_1ヶ月前の在庫'!$V$6:$V$10005,$V7880,'月1回_1ヶ月前の在庫'!$W$6:$W$10005,$W7880)&gt;0),N(U7879),N(U7879)+1))</f>
        <v/>
      </c>
      <c r="V7880" s="19">
        <f>IF($B7880="","",TEXT($B7880,"0000"))</f>
        <v/>
      </c>
      <c r="W7880" s="19">
        <f>IF($I7880="","",IF(ISNUMBER($I7880),TEXT($I7880,"0"),$I7880))</f>
        <v/>
      </c>
    </row>
    <row r="7881">
      <c r="B7881" s="25" t="n"/>
      <c r="I7881" s="25" t="n"/>
      <c r="U7881" s="19">
        <f>IF($V7881&lt;&gt;'設定'!$C$4,N(U7880),IF(OR(NOT(COUNTIF('商品マスタ'!$B$6:$B$1005,$W7881)=0),COUNTIFS('①在庫を貼る'!$V$6:$V$10005,$V7881,'①在庫を貼る'!$W$6:$W$10005,$W7881)+COUNTIFS('月1回_1ヶ月前の在庫'!$V$6:$V$10005,$V7881,'月1回_1ヶ月前の在庫'!$W$6:$W$10005,$W7881)&gt;0),N(U7880),N(U7880)+1))</f>
        <v/>
      </c>
      <c r="V7881" s="19">
        <f>IF($B7881="","",TEXT($B7881,"0000"))</f>
        <v/>
      </c>
      <c r="W7881" s="19">
        <f>IF($I7881="","",IF(ISNUMBER($I7881),TEXT($I7881,"0"),$I7881))</f>
        <v/>
      </c>
    </row>
    <row r="7882">
      <c r="B7882" s="25" t="n"/>
      <c r="I7882" s="25" t="n"/>
      <c r="U7882" s="19">
        <f>IF($V7882&lt;&gt;'設定'!$C$4,N(U7881),IF(OR(NOT(COUNTIF('商品マスタ'!$B$6:$B$1005,$W7882)=0),COUNTIFS('①在庫を貼る'!$V$6:$V$10005,$V7882,'①在庫を貼る'!$W$6:$W$10005,$W7882)+COUNTIFS('月1回_1ヶ月前の在庫'!$V$6:$V$10005,$V7882,'月1回_1ヶ月前の在庫'!$W$6:$W$10005,$W7882)&gt;0),N(U7881),N(U7881)+1))</f>
        <v/>
      </c>
      <c r="V7882" s="19">
        <f>IF($B7882="","",TEXT($B7882,"0000"))</f>
        <v/>
      </c>
      <c r="W7882" s="19">
        <f>IF($I7882="","",IF(ISNUMBER($I7882),TEXT($I7882,"0"),$I7882))</f>
        <v/>
      </c>
    </row>
    <row r="7883">
      <c r="B7883" s="25" t="n"/>
      <c r="I7883" s="25" t="n"/>
      <c r="U7883" s="19">
        <f>IF($V7883&lt;&gt;'設定'!$C$4,N(U7882),IF(OR(NOT(COUNTIF('商品マスタ'!$B$6:$B$1005,$W7883)=0),COUNTIFS('①在庫を貼る'!$V$6:$V$10005,$V7883,'①在庫を貼る'!$W$6:$W$10005,$W7883)+COUNTIFS('月1回_1ヶ月前の在庫'!$V$6:$V$10005,$V7883,'月1回_1ヶ月前の在庫'!$W$6:$W$10005,$W7883)&gt;0),N(U7882),N(U7882)+1))</f>
        <v/>
      </c>
      <c r="V7883" s="19">
        <f>IF($B7883="","",TEXT($B7883,"0000"))</f>
        <v/>
      </c>
      <c r="W7883" s="19">
        <f>IF($I7883="","",IF(ISNUMBER($I7883),TEXT($I7883,"0"),$I7883))</f>
        <v/>
      </c>
    </row>
    <row r="7884">
      <c r="B7884" s="25" t="n"/>
      <c r="I7884" s="25" t="n"/>
      <c r="U7884" s="19">
        <f>IF($V7884&lt;&gt;'設定'!$C$4,N(U7883),IF(OR(NOT(COUNTIF('商品マスタ'!$B$6:$B$1005,$W7884)=0),COUNTIFS('①在庫を貼る'!$V$6:$V$10005,$V7884,'①在庫を貼る'!$W$6:$W$10005,$W7884)+COUNTIFS('月1回_1ヶ月前の在庫'!$V$6:$V$10005,$V7884,'月1回_1ヶ月前の在庫'!$W$6:$W$10005,$W7884)&gt;0),N(U7883),N(U7883)+1))</f>
        <v/>
      </c>
      <c r="V7884" s="19">
        <f>IF($B7884="","",TEXT($B7884,"0000"))</f>
        <v/>
      </c>
      <c r="W7884" s="19">
        <f>IF($I7884="","",IF(ISNUMBER($I7884),TEXT($I7884,"0"),$I7884))</f>
        <v/>
      </c>
    </row>
    <row r="7885">
      <c r="B7885" s="25" t="n"/>
      <c r="I7885" s="25" t="n"/>
      <c r="U7885" s="19">
        <f>IF($V7885&lt;&gt;'設定'!$C$4,N(U7884),IF(OR(NOT(COUNTIF('商品マスタ'!$B$6:$B$1005,$W7885)=0),COUNTIFS('①在庫を貼る'!$V$6:$V$10005,$V7885,'①在庫を貼る'!$W$6:$W$10005,$W7885)+COUNTIFS('月1回_1ヶ月前の在庫'!$V$6:$V$10005,$V7885,'月1回_1ヶ月前の在庫'!$W$6:$W$10005,$W7885)&gt;0),N(U7884),N(U7884)+1))</f>
        <v/>
      </c>
      <c r="V7885" s="19">
        <f>IF($B7885="","",TEXT($B7885,"0000"))</f>
        <v/>
      </c>
      <c r="W7885" s="19">
        <f>IF($I7885="","",IF(ISNUMBER($I7885),TEXT($I7885,"0"),$I7885))</f>
        <v/>
      </c>
    </row>
    <row r="7886">
      <c r="B7886" s="25" t="n"/>
      <c r="I7886" s="25" t="n"/>
      <c r="U7886" s="19">
        <f>IF($V7886&lt;&gt;'設定'!$C$4,N(U7885),IF(OR(NOT(COUNTIF('商品マスタ'!$B$6:$B$1005,$W7886)=0),COUNTIFS('①在庫を貼る'!$V$6:$V$10005,$V7886,'①在庫を貼る'!$W$6:$W$10005,$W7886)+COUNTIFS('月1回_1ヶ月前の在庫'!$V$6:$V$10005,$V7886,'月1回_1ヶ月前の在庫'!$W$6:$W$10005,$W7886)&gt;0),N(U7885),N(U7885)+1))</f>
        <v/>
      </c>
      <c r="V7886" s="19">
        <f>IF($B7886="","",TEXT($B7886,"0000"))</f>
        <v/>
      </c>
      <c r="W7886" s="19">
        <f>IF($I7886="","",IF(ISNUMBER($I7886),TEXT($I7886,"0"),$I7886))</f>
        <v/>
      </c>
    </row>
    <row r="7887">
      <c r="B7887" s="25" t="n"/>
      <c r="I7887" s="25" t="n"/>
      <c r="U7887" s="19">
        <f>IF($V7887&lt;&gt;'設定'!$C$4,N(U7886),IF(OR(NOT(COUNTIF('商品マスタ'!$B$6:$B$1005,$W7887)=0),COUNTIFS('①在庫を貼る'!$V$6:$V$10005,$V7887,'①在庫を貼る'!$W$6:$W$10005,$W7887)+COUNTIFS('月1回_1ヶ月前の在庫'!$V$6:$V$10005,$V7887,'月1回_1ヶ月前の在庫'!$W$6:$W$10005,$W7887)&gt;0),N(U7886),N(U7886)+1))</f>
        <v/>
      </c>
      <c r="V7887" s="19">
        <f>IF($B7887="","",TEXT($B7887,"0000"))</f>
        <v/>
      </c>
      <c r="W7887" s="19">
        <f>IF($I7887="","",IF(ISNUMBER($I7887),TEXT($I7887,"0"),$I7887))</f>
        <v/>
      </c>
    </row>
    <row r="7888">
      <c r="B7888" s="25" t="n"/>
      <c r="I7888" s="25" t="n"/>
      <c r="U7888" s="19">
        <f>IF($V7888&lt;&gt;'設定'!$C$4,N(U7887),IF(OR(NOT(COUNTIF('商品マスタ'!$B$6:$B$1005,$W7888)=0),COUNTIFS('①在庫を貼る'!$V$6:$V$10005,$V7888,'①在庫を貼る'!$W$6:$W$10005,$W7888)+COUNTIFS('月1回_1ヶ月前の在庫'!$V$6:$V$10005,$V7888,'月1回_1ヶ月前の在庫'!$W$6:$W$10005,$W7888)&gt;0),N(U7887),N(U7887)+1))</f>
        <v/>
      </c>
      <c r="V7888" s="19">
        <f>IF($B7888="","",TEXT($B7888,"0000"))</f>
        <v/>
      </c>
      <c r="W7888" s="19">
        <f>IF($I7888="","",IF(ISNUMBER($I7888),TEXT($I7888,"0"),$I7888))</f>
        <v/>
      </c>
    </row>
    <row r="7889">
      <c r="B7889" s="25" t="n"/>
      <c r="I7889" s="25" t="n"/>
      <c r="U7889" s="19">
        <f>IF($V7889&lt;&gt;'設定'!$C$4,N(U7888),IF(OR(NOT(COUNTIF('商品マスタ'!$B$6:$B$1005,$W7889)=0),COUNTIFS('①在庫を貼る'!$V$6:$V$10005,$V7889,'①在庫を貼る'!$W$6:$W$10005,$W7889)+COUNTIFS('月1回_1ヶ月前の在庫'!$V$6:$V$10005,$V7889,'月1回_1ヶ月前の在庫'!$W$6:$W$10005,$W7889)&gt;0),N(U7888),N(U7888)+1))</f>
        <v/>
      </c>
      <c r="V7889" s="19">
        <f>IF($B7889="","",TEXT($B7889,"0000"))</f>
        <v/>
      </c>
      <c r="W7889" s="19">
        <f>IF($I7889="","",IF(ISNUMBER($I7889),TEXT($I7889,"0"),$I7889))</f>
        <v/>
      </c>
    </row>
    <row r="7890">
      <c r="B7890" s="25" t="n"/>
      <c r="I7890" s="25" t="n"/>
      <c r="U7890" s="19">
        <f>IF($V7890&lt;&gt;'設定'!$C$4,N(U7889),IF(OR(NOT(COUNTIF('商品マスタ'!$B$6:$B$1005,$W7890)=0),COUNTIFS('①在庫を貼る'!$V$6:$V$10005,$V7890,'①在庫を貼る'!$W$6:$W$10005,$W7890)+COUNTIFS('月1回_1ヶ月前の在庫'!$V$6:$V$10005,$V7890,'月1回_1ヶ月前の在庫'!$W$6:$W$10005,$W7890)&gt;0),N(U7889),N(U7889)+1))</f>
        <v/>
      </c>
      <c r="V7890" s="19">
        <f>IF($B7890="","",TEXT($B7890,"0000"))</f>
        <v/>
      </c>
      <c r="W7890" s="19">
        <f>IF($I7890="","",IF(ISNUMBER($I7890),TEXT($I7890,"0"),$I7890))</f>
        <v/>
      </c>
    </row>
    <row r="7891">
      <c r="B7891" s="25" t="n"/>
      <c r="I7891" s="25" t="n"/>
      <c r="U7891" s="19">
        <f>IF($V7891&lt;&gt;'設定'!$C$4,N(U7890),IF(OR(NOT(COUNTIF('商品マスタ'!$B$6:$B$1005,$W7891)=0),COUNTIFS('①在庫を貼る'!$V$6:$V$10005,$V7891,'①在庫を貼る'!$W$6:$W$10005,$W7891)+COUNTIFS('月1回_1ヶ月前の在庫'!$V$6:$V$10005,$V7891,'月1回_1ヶ月前の在庫'!$W$6:$W$10005,$W7891)&gt;0),N(U7890),N(U7890)+1))</f>
        <v/>
      </c>
      <c r="V7891" s="19">
        <f>IF($B7891="","",TEXT($B7891,"0000"))</f>
        <v/>
      </c>
      <c r="W7891" s="19">
        <f>IF($I7891="","",IF(ISNUMBER($I7891),TEXT($I7891,"0"),$I7891))</f>
        <v/>
      </c>
    </row>
    <row r="7892">
      <c r="B7892" s="25" t="n"/>
      <c r="I7892" s="25" t="n"/>
      <c r="U7892" s="19">
        <f>IF($V7892&lt;&gt;'設定'!$C$4,N(U7891),IF(OR(NOT(COUNTIF('商品マスタ'!$B$6:$B$1005,$W7892)=0),COUNTIFS('①在庫を貼る'!$V$6:$V$10005,$V7892,'①在庫を貼る'!$W$6:$W$10005,$W7892)+COUNTIFS('月1回_1ヶ月前の在庫'!$V$6:$V$10005,$V7892,'月1回_1ヶ月前の在庫'!$W$6:$W$10005,$W7892)&gt;0),N(U7891),N(U7891)+1))</f>
        <v/>
      </c>
      <c r="V7892" s="19">
        <f>IF($B7892="","",TEXT($B7892,"0000"))</f>
        <v/>
      </c>
      <c r="W7892" s="19">
        <f>IF($I7892="","",IF(ISNUMBER($I7892),TEXT($I7892,"0"),$I7892))</f>
        <v/>
      </c>
    </row>
    <row r="7893">
      <c r="B7893" s="25" t="n"/>
      <c r="I7893" s="25" t="n"/>
      <c r="U7893" s="19">
        <f>IF($V7893&lt;&gt;'設定'!$C$4,N(U7892),IF(OR(NOT(COUNTIF('商品マスタ'!$B$6:$B$1005,$W7893)=0),COUNTIFS('①在庫を貼る'!$V$6:$V$10005,$V7893,'①在庫を貼る'!$W$6:$W$10005,$W7893)+COUNTIFS('月1回_1ヶ月前の在庫'!$V$6:$V$10005,$V7893,'月1回_1ヶ月前の在庫'!$W$6:$W$10005,$W7893)&gt;0),N(U7892),N(U7892)+1))</f>
        <v/>
      </c>
      <c r="V7893" s="19">
        <f>IF($B7893="","",TEXT($B7893,"0000"))</f>
        <v/>
      </c>
      <c r="W7893" s="19">
        <f>IF($I7893="","",IF(ISNUMBER($I7893),TEXT($I7893,"0"),$I7893))</f>
        <v/>
      </c>
    </row>
    <row r="7894">
      <c r="B7894" s="25" t="n"/>
      <c r="I7894" s="25" t="n"/>
      <c r="U7894" s="19">
        <f>IF($V7894&lt;&gt;'設定'!$C$4,N(U7893),IF(OR(NOT(COUNTIF('商品マスタ'!$B$6:$B$1005,$W7894)=0),COUNTIFS('①在庫を貼る'!$V$6:$V$10005,$V7894,'①在庫を貼る'!$W$6:$W$10005,$W7894)+COUNTIFS('月1回_1ヶ月前の在庫'!$V$6:$V$10005,$V7894,'月1回_1ヶ月前の在庫'!$W$6:$W$10005,$W7894)&gt;0),N(U7893),N(U7893)+1))</f>
        <v/>
      </c>
      <c r="V7894" s="19">
        <f>IF($B7894="","",TEXT($B7894,"0000"))</f>
        <v/>
      </c>
      <c r="W7894" s="19">
        <f>IF($I7894="","",IF(ISNUMBER($I7894),TEXT($I7894,"0"),$I7894))</f>
        <v/>
      </c>
    </row>
    <row r="7895">
      <c r="B7895" s="25" t="n"/>
      <c r="I7895" s="25" t="n"/>
      <c r="U7895" s="19">
        <f>IF($V7895&lt;&gt;'設定'!$C$4,N(U7894),IF(OR(NOT(COUNTIF('商品マスタ'!$B$6:$B$1005,$W7895)=0),COUNTIFS('①在庫を貼る'!$V$6:$V$10005,$V7895,'①在庫を貼る'!$W$6:$W$10005,$W7895)+COUNTIFS('月1回_1ヶ月前の在庫'!$V$6:$V$10005,$V7895,'月1回_1ヶ月前の在庫'!$W$6:$W$10005,$W7895)&gt;0),N(U7894),N(U7894)+1))</f>
        <v/>
      </c>
      <c r="V7895" s="19">
        <f>IF($B7895="","",TEXT($B7895,"0000"))</f>
        <v/>
      </c>
      <c r="W7895" s="19">
        <f>IF($I7895="","",IF(ISNUMBER($I7895),TEXT($I7895,"0"),$I7895))</f>
        <v/>
      </c>
    </row>
    <row r="7896">
      <c r="B7896" s="25" t="n"/>
      <c r="I7896" s="25" t="n"/>
      <c r="U7896" s="19">
        <f>IF($V7896&lt;&gt;'設定'!$C$4,N(U7895),IF(OR(NOT(COUNTIF('商品マスタ'!$B$6:$B$1005,$W7896)=0),COUNTIFS('①在庫を貼る'!$V$6:$V$10005,$V7896,'①在庫を貼る'!$W$6:$W$10005,$W7896)+COUNTIFS('月1回_1ヶ月前の在庫'!$V$6:$V$10005,$V7896,'月1回_1ヶ月前の在庫'!$W$6:$W$10005,$W7896)&gt;0),N(U7895),N(U7895)+1))</f>
        <v/>
      </c>
      <c r="V7896" s="19">
        <f>IF($B7896="","",TEXT($B7896,"0000"))</f>
        <v/>
      </c>
      <c r="W7896" s="19">
        <f>IF($I7896="","",IF(ISNUMBER($I7896),TEXT($I7896,"0"),$I7896))</f>
        <v/>
      </c>
    </row>
    <row r="7897">
      <c r="B7897" s="25" t="n"/>
      <c r="I7897" s="25" t="n"/>
      <c r="U7897" s="19">
        <f>IF($V7897&lt;&gt;'設定'!$C$4,N(U7896),IF(OR(NOT(COUNTIF('商品マスタ'!$B$6:$B$1005,$W7897)=0),COUNTIFS('①在庫を貼る'!$V$6:$V$10005,$V7897,'①在庫を貼る'!$W$6:$W$10005,$W7897)+COUNTIFS('月1回_1ヶ月前の在庫'!$V$6:$V$10005,$V7897,'月1回_1ヶ月前の在庫'!$W$6:$W$10005,$W7897)&gt;0),N(U7896),N(U7896)+1))</f>
        <v/>
      </c>
      <c r="V7897" s="19">
        <f>IF($B7897="","",TEXT($B7897,"0000"))</f>
        <v/>
      </c>
      <c r="W7897" s="19">
        <f>IF($I7897="","",IF(ISNUMBER($I7897),TEXT($I7897,"0"),$I7897))</f>
        <v/>
      </c>
    </row>
    <row r="7898">
      <c r="B7898" s="25" t="n"/>
      <c r="I7898" s="25" t="n"/>
      <c r="U7898" s="19">
        <f>IF($V7898&lt;&gt;'設定'!$C$4,N(U7897),IF(OR(NOT(COUNTIF('商品マスタ'!$B$6:$B$1005,$W7898)=0),COUNTIFS('①在庫を貼る'!$V$6:$V$10005,$V7898,'①在庫を貼る'!$W$6:$W$10005,$W7898)+COUNTIFS('月1回_1ヶ月前の在庫'!$V$6:$V$10005,$V7898,'月1回_1ヶ月前の在庫'!$W$6:$W$10005,$W7898)&gt;0),N(U7897),N(U7897)+1))</f>
        <v/>
      </c>
      <c r="V7898" s="19">
        <f>IF($B7898="","",TEXT($B7898,"0000"))</f>
        <v/>
      </c>
      <c r="W7898" s="19">
        <f>IF($I7898="","",IF(ISNUMBER($I7898),TEXT($I7898,"0"),$I7898))</f>
        <v/>
      </c>
    </row>
    <row r="7899">
      <c r="B7899" s="25" t="n"/>
      <c r="I7899" s="25" t="n"/>
      <c r="U7899" s="19">
        <f>IF($V7899&lt;&gt;'設定'!$C$4,N(U7898),IF(OR(NOT(COUNTIF('商品マスタ'!$B$6:$B$1005,$W7899)=0),COUNTIFS('①在庫を貼る'!$V$6:$V$10005,$V7899,'①在庫を貼る'!$W$6:$W$10005,$W7899)+COUNTIFS('月1回_1ヶ月前の在庫'!$V$6:$V$10005,$V7899,'月1回_1ヶ月前の在庫'!$W$6:$W$10005,$W7899)&gt;0),N(U7898),N(U7898)+1))</f>
        <v/>
      </c>
      <c r="V7899" s="19">
        <f>IF($B7899="","",TEXT($B7899,"0000"))</f>
        <v/>
      </c>
      <c r="W7899" s="19">
        <f>IF($I7899="","",IF(ISNUMBER($I7899),TEXT($I7899,"0"),$I7899))</f>
        <v/>
      </c>
    </row>
    <row r="7900">
      <c r="B7900" s="25" t="n"/>
      <c r="I7900" s="25" t="n"/>
      <c r="U7900" s="19">
        <f>IF($V7900&lt;&gt;'設定'!$C$4,N(U7899),IF(OR(NOT(COUNTIF('商品マスタ'!$B$6:$B$1005,$W7900)=0),COUNTIFS('①在庫を貼る'!$V$6:$V$10005,$V7900,'①在庫を貼る'!$W$6:$W$10005,$W7900)+COUNTIFS('月1回_1ヶ月前の在庫'!$V$6:$V$10005,$V7900,'月1回_1ヶ月前の在庫'!$W$6:$W$10005,$W7900)&gt;0),N(U7899),N(U7899)+1))</f>
        <v/>
      </c>
      <c r="V7900" s="19">
        <f>IF($B7900="","",TEXT($B7900,"0000"))</f>
        <v/>
      </c>
      <c r="W7900" s="19">
        <f>IF($I7900="","",IF(ISNUMBER($I7900),TEXT($I7900,"0"),$I7900))</f>
        <v/>
      </c>
    </row>
    <row r="7901">
      <c r="B7901" s="25" t="n"/>
      <c r="I7901" s="25" t="n"/>
      <c r="U7901" s="19">
        <f>IF($V7901&lt;&gt;'設定'!$C$4,N(U7900),IF(OR(NOT(COUNTIF('商品マスタ'!$B$6:$B$1005,$W7901)=0),COUNTIFS('①在庫を貼る'!$V$6:$V$10005,$V7901,'①在庫を貼る'!$W$6:$W$10005,$W7901)+COUNTIFS('月1回_1ヶ月前の在庫'!$V$6:$V$10005,$V7901,'月1回_1ヶ月前の在庫'!$W$6:$W$10005,$W7901)&gt;0),N(U7900),N(U7900)+1))</f>
        <v/>
      </c>
      <c r="V7901" s="19">
        <f>IF($B7901="","",TEXT($B7901,"0000"))</f>
        <v/>
      </c>
      <c r="W7901" s="19">
        <f>IF($I7901="","",IF(ISNUMBER($I7901),TEXT($I7901,"0"),$I7901))</f>
        <v/>
      </c>
    </row>
    <row r="7902">
      <c r="B7902" s="25" t="n"/>
      <c r="I7902" s="25" t="n"/>
      <c r="U7902" s="19">
        <f>IF($V7902&lt;&gt;'設定'!$C$4,N(U7901),IF(OR(NOT(COUNTIF('商品マスタ'!$B$6:$B$1005,$W7902)=0),COUNTIFS('①在庫を貼る'!$V$6:$V$10005,$V7902,'①在庫を貼る'!$W$6:$W$10005,$W7902)+COUNTIFS('月1回_1ヶ月前の在庫'!$V$6:$V$10005,$V7902,'月1回_1ヶ月前の在庫'!$W$6:$W$10005,$W7902)&gt;0),N(U7901),N(U7901)+1))</f>
        <v/>
      </c>
      <c r="V7902" s="19">
        <f>IF($B7902="","",TEXT($B7902,"0000"))</f>
        <v/>
      </c>
      <c r="W7902" s="19">
        <f>IF($I7902="","",IF(ISNUMBER($I7902),TEXT($I7902,"0"),$I7902))</f>
        <v/>
      </c>
    </row>
    <row r="7903">
      <c r="B7903" s="25" t="n"/>
      <c r="I7903" s="25" t="n"/>
      <c r="U7903" s="19">
        <f>IF($V7903&lt;&gt;'設定'!$C$4,N(U7902),IF(OR(NOT(COUNTIF('商品マスタ'!$B$6:$B$1005,$W7903)=0),COUNTIFS('①在庫を貼る'!$V$6:$V$10005,$V7903,'①在庫を貼る'!$W$6:$W$10005,$W7903)+COUNTIFS('月1回_1ヶ月前の在庫'!$V$6:$V$10005,$V7903,'月1回_1ヶ月前の在庫'!$W$6:$W$10005,$W7903)&gt;0),N(U7902),N(U7902)+1))</f>
        <v/>
      </c>
      <c r="V7903" s="19">
        <f>IF($B7903="","",TEXT($B7903,"0000"))</f>
        <v/>
      </c>
      <c r="W7903" s="19">
        <f>IF($I7903="","",IF(ISNUMBER($I7903),TEXT($I7903,"0"),$I7903))</f>
        <v/>
      </c>
    </row>
    <row r="7904">
      <c r="B7904" s="25" t="n"/>
      <c r="I7904" s="25" t="n"/>
      <c r="U7904" s="19">
        <f>IF($V7904&lt;&gt;'設定'!$C$4,N(U7903),IF(OR(NOT(COUNTIF('商品マスタ'!$B$6:$B$1005,$W7904)=0),COUNTIFS('①在庫を貼る'!$V$6:$V$10005,$V7904,'①在庫を貼る'!$W$6:$W$10005,$W7904)+COUNTIFS('月1回_1ヶ月前の在庫'!$V$6:$V$10005,$V7904,'月1回_1ヶ月前の在庫'!$W$6:$W$10005,$W7904)&gt;0),N(U7903),N(U7903)+1))</f>
        <v/>
      </c>
      <c r="V7904" s="19">
        <f>IF($B7904="","",TEXT($B7904,"0000"))</f>
        <v/>
      </c>
      <c r="W7904" s="19">
        <f>IF($I7904="","",IF(ISNUMBER($I7904),TEXT($I7904,"0"),$I7904))</f>
        <v/>
      </c>
    </row>
    <row r="7905">
      <c r="B7905" s="25" t="n"/>
      <c r="I7905" s="25" t="n"/>
      <c r="U7905" s="19">
        <f>IF($V7905&lt;&gt;'設定'!$C$4,N(U7904),IF(OR(NOT(COUNTIF('商品マスタ'!$B$6:$B$1005,$W7905)=0),COUNTIFS('①在庫を貼る'!$V$6:$V$10005,$V7905,'①在庫を貼る'!$W$6:$W$10005,$W7905)+COUNTIFS('月1回_1ヶ月前の在庫'!$V$6:$V$10005,$V7905,'月1回_1ヶ月前の在庫'!$W$6:$W$10005,$W7905)&gt;0),N(U7904),N(U7904)+1))</f>
        <v/>
      </c>
      <c r="V7905" s="19">
        <f>IF($B7905="","",TEXT($B7905,"0000"))</f>
        <v/>
      </c>
      <c r="W7905" s="19">
        <f>IF($I7905="","",IF(ISNUMBER($I7905),TEXT($I7905,"0"),$I7905))</f>
        <v/>
      </c>
    </row>
    <row r="7906">
      <c r="B7906" s="25" t="n"/>
      <c r="I7906" s="25" t="n"/>
      <c r="U7906" s="19">
        <f>IF($V7906&lt;&gt;'設定'!$C$4,N(U7905),IF(OR(NOT(COUNTIF('商品マスタ'!$B$6:$B$1005,$W7906)=0),COUNTIFS('①在庫を貼る'!$V$6:$V$10005,$V7906,'①在庫を貼る'!$W$6:$W$10005,$W7906)+COUNTIFS('月1回_1ヶ月前の在庫'!$V$6:$V$10005,$V7906,'月1回_1ヶ月前の在庫'!$W$6:$W$10005,$W7906)&gt;0),N(U7905),N(U7905)+1))</f>
        <v/>
      </c>
      <c r="V7906" s="19">
        <f>IF($B7906="","",TEXT($B7906,"0000"))</f>
        <v/>
      </c>
      <c r="W7906" s="19">
        <f>IF($I7906="","",IF(ISNUMBER($I7906),TEXT($I7906,"0"),$I7906))</f>
        <v/>
      </c>
    </row>
    <row r="7907">
      <c r="B7907" s="25" t="n"/>
      <c r="I7907" s="25" t="n"/>
      <c r="U7907" s="19">
        <f>IF($V7907&lt;&gt;'設定'!$C$4,N(U7906),IF(OR(NOT(COUNTIF('商品マスタ'!$B$6:$B$1005,$W7907)=0),COUNTIFS('①在庫を貼る'!$V$6:$V$10005,$V7907,'①在庫を貼る'!$W$6:$W$10005,$W7907)+COUNTIFS('月1回_1ヶ月前の在庫'!$V$6:$V$10005,$V7907,'月1回_1ヶ月前の在庫'!$W$6:$W$10005,$W7907)&gt;0),N(U7906),N(U7906)+1))</f>
        <v/>
      </c>
      <c r="V7907" s="19">
        <f>IF($B7907="","",TEXT($B7907,"0000"))</f>
        <v/>
      </c>
      <c r="W7907" s="19">
        <f>IF($I7907="","",IF(ISNUMBER($I7907),TEXT($I7907,"0"),$I7907))</f>
        <v/>
      </c>
    </row>
    <row r="7908">
      <c r="B7908" s="25" t="n"/>
      <c r="I7908" s="25" t="n"/>
      <c r="U7908" s="19">
        <f>IF($V7908&lt;&gt;'設定'!$C$4,N(U7907),IF(OR(NOT(COUNTIF('商品マスタ'!$B$6:$B$1005,$W7908)=0),COUNTIFS('①在庫を貼る'!$V$6:$V$10005,$V7908,'①在庫を貼る'!$W$6:$W$10005,$W7908)+COUNTIFS('月1回_1ヶ月前の在庫'!$V$6:$V$10005,$V7908,'月1回_1ヶ月前の在庫'!$W$6:$W$10005,$W7908)&gt;0),N(U7907),N(U7907)+1))</f>
        <v/>
      </c>
      <c r="V7908" s="19">
        <f>IF($B7908="","",TEXT($B7908,"0000"))</f>
        <v/>
      </c>
      <c r="W7908" s="19">
        <f>IF($I7908="","",IF(ISNUMBER($I7908),TEXT($I7908,"0"),$I7908))</f>
        <v/>
      </c>
    </row>
    <row r="7909">
      <c r="B7909" s="25" t="n"/>
      <c r="I7909" s="25" t="n"/>
      <c r="U7909" s="19">
        <f>IF($V7909&lt;&gt;'設定'!$C$4,N(U7908),IF(OR(NOT(COUNTIF('商品マスタ'!$B$6:$B$1005,$W7909)=0),COUNTIFS('①在庫を貼る'!$V$6:$V$10005,$V7909,'①在庫を貼る'!$W$6:$W$10005,$W7909)+COUNTIFS('月1回_1ヶ月前の在庫'!$V$6:$V$10005,$V7909,'月1回_1ヶ月前の在庫'!$W$6:$W$10005,$W7909)&gt;0),N(U7908),N(U7908)+1))</f>
        <v/>
      </c>
      <c r="V7909" s="19">
        <f>IF($B7909="","",TEXT($B7909,"0000"))</f>
        <v/>
      </c>
      <c r="W7909" s="19">
        <f>IF($I7909="","",IF(ISNUMBER($I7909),TEXT($I7909,"0"),$I7909))</f>
        <v/>
      </c>
    </row>
    <row r="7910">
      <c r="B7910" s="25" t="n"/>
      <c r="I7910" s="25" t="n"/>
      <c r="U7910" s="19">
        <f>IF($V7910&lt;&gt;'設定'!$C$4,N(U7909),IF(OR(NOT(COUNTIF('商品マスタ'!$B$6:$B$1005,$W7910)=0),COUNTIFS('①在庫を貼る'!$V$6:$V$10005,$V7910,'①在庫を貼る'!$W$6:$W$10005,$W7910)+COUNTIFS('月1回_1ヶ月前の在庫'!$V$6:$V$10005,$V7910,'月1回_1ヶ月前の在庫'!$W$6:$W$10005,$W7910)&gt;0),N(U7909),N(U7909)+1))</f>
        <v/>
      </c>
      <c r="V7910" s="19">
        <f>IF($B7910="","",TEXT($B7910,"0000"))</f>
        <v/>
      </c>
      <c r="W7910" s="19">
        <f>IF($I7910="","",IF(ISNUMBER($I7910),TEXT($I7910,"0"),$I7910))</f>
        <v/>
      </c>
    </row>
    <row r="7911">
      <c r="B7911" s="25" t="n"/>
      <c r="I7911" s="25" t="n"/>
      <c r="U7911" s="19">
        <f>IF($V7911&lt;&gt;'設定'!$C$4,N(U7910),IF(OR(NOT(COUNTIF('商品マスタ'!$B$6:$B$1005,$W7911)=0),COUNTIFS('①在庫を貼る'!$V$6:$V$10005,$V7911,'①在庫を貼る'!$W$6:$W$10005,$W7911)+COUNTIFS('月1回_1ヶ月前の在庫'!$V$6:$V$10005,$V7911,'月1回_1ヶ月前の在庫'!$W$6:$W$10005,$W7911)&gt;0),N(U7910),N(U7910)+1))</f>
        <v/>
      </c>
      <c r="V7911" s="19">
        <f>IF($B7911="","",TEXT($B7911,"0000"))</f>
        <v/>
      </c>
      <c r="W7911" s="19">
        <f>IF($I7911="","",IF(ISNUMBER($I7911),TEXT($I7911,"0"),$I7911))</f>
        <v/>
      </c>
    </row>
    <row r="7912">
      <c r="B7912" s="25" t="n"/>
      <c r="I7912" s="25" t="n"/>
      <c r="U7912" s="19">
        <f>IF($V7912&lt;&gt;'設定'!$C$4,N(U7911),IF(OR(NOT(COUNTIF('商品マスタ'!$B$6:$B$1005,$W7912)=0),COUNTIFS('①在庫を貼る'!$V$6:$V$10005,$V7912,'①在庫を貼る'!$W$6:$W$10005,$W7912)+COUNTIFS('月1回_1ヶ月前の在庫'!$V$6:$V$10005,$V7912,'月1回_1ヶ月前の在庫'!$W$6:$W$10005,$W7912)&gt;0),N(U7911),N(U7911)+1))</f>
        <v/>
      </c>
      <c r="V7912" s="19">
        <f>IF($B7912="","",TEXT($B7912,"0000"))</f>
        <v/>
      </c>
      <c r="W7912" s="19">
        <f>IF($I7912="","",IF(ISNUMBER($I7912),TEXT($I7912,"0"),$I7912))</f>
        <v/>
      </c>
    </row>
    <row r="7913">
      <c r="B7913" s="25" t="n"/>
      <c r="I7913" s="25" t="n"/>
      <c r="U7913" s="19">
        <f>IF($V7913&lt;&gt;'設定'!$C$4,N(U7912),IF(OR(NOT(COUNTIF('商品マスタ'!$B$6:$B$1005,$W7913)=0),COUNTIFS('①在庫を貼る'!$V$6:$V$10005,$V7913,'①在庫を貼る'!$W$6:$W$10005,$W7913)+COUNTIFS('月1回_1ヶ月前の在庫'!$V$6:$V$10005,$V7913,'月1回_1ヶ月前の在庫'!$W$6:$W$10005,$W7913)&gt;0),N(U7912),N(U7912)+1))</f>
        <v/>
      </c>
      <c r="V7913" s="19">
        <f>IF($B7913="","",TEXT($B7913,"0000"))</f>
        <v/>
      </c>
      <c r="W7913" s="19">
        <f>IF($I7913="","",IF(ISNUMBER($I7913),TEXT($I7913,"0"),$I7913))</f>
        <v/>
      </c>
    </row>
    <row r="7914">
      <c r="B7914" s="25" t="n"/>
      <c r="I7914" s="25" t="n"/>
      <c r="U7914" s="19">
        <f>IF($V7914&lt;&gt;'設定'!$C$4,N(U7913),IF(OR(NOT(COUNTIF('商品マスタ'!$B$6:$B$1005,$W7914)=0),COUNTIFS('①在庫を貼る'!$V$6:$V$10005,$V7914,'①在庫を貼る'!$W$6:$W$10005,$W7914)+COUNTIFS('月1回_1ヶ月前の在庫'!$V$6:$V$10005,$V7914,'月1回_1ヶ月前の在庫'!$W$6:$W$10005,$W7914)&gt;0),N(U7913),N(U7913)+1))</f>
        <v/>
      </c>
      <c r="V7914" s="19">
        <f>IF($B7914="","",TEXT($B7914,"0000"))</f>
        <v/>
      </c>
      <c r="W7914" s="19">
        <f>IF($I7914="","",IF(ISNUMBER($I7914),TEXT($I7914,"0"),$I7914))</f>
        <v/>
      </c>
    </row>
    <row r="7915">
      <c r="B7915" s="25" t="n"/>
      <c r="I7915" s="25" t="n"/>
      <c r="U7915" s="19">
        <f>IF($V7915&lt;&gt;'設定'!$C$4,N(U7914),IF(OR(NOT(COUNTIF('商品マスタ'!$B$6:$B$1005,$W7915)=0),COUNTIFS('①在庫を貼る'!$V$6:$V$10005,$V7915,'①在庫を貼る'!$W$6:$W$10005,$W7915)+COUNTIFS('月1回_1ヶ月前の在庫'!$V$6:$V$10005,$V7915,'月1回_1ヶ月前の在庫'!$W$6:$W$10005,$W7915)&gt;0),N(U7914),N(U7914)+1))</f>
        <v/>
      </c>
      <c r="V7915" s="19">
        <f>IF($B7915="","",TEXT($B7915,"0000"))</f>
        <v/>
      </c>
      <c r="W7915" s="19">
        <f>IF($I7915="","",IF(ISNUMBER($I7915),TEXT($I7915,"0"),$I7915))</f>
        <v/>
      </c>
    </row>
    <row r="7916">
      <c r="B7916" s="25" t="n"/>
      <c r="I7916" s="25" t="n"/>
      <c r="U7916" s="19">
        <f>IF($V7916&lt;&gt;'設定'!$C$4,N(U7915),IF(OR(NOT(COUNTIF('商品マスタ'!$B$6:$B$1005,$W7916)=0),COUNTIFS('①在庫を貼る'!$V$6:$V$10005,$V7916,'①在庫を貼る'!$W$6:$W$10005,$W7916)+COUNTIFS('月1回_1ヶ月前の在庫'!$V$6:$V$10005,$V7916,'月1回_1ヶ月前の在庫'!$W$6:$W$10005,$W7916)&gt;0),N(U7915),N(U7915)+1))</f>
        <v/>
      </c>
      <c r="V7916" s="19">
        <f>IF($B7916="","",TEXT($B7916,"0000"))</f>
        <v/>
      </c>
      <c r="W7916" s="19">
        <f>IF($I7916="","",IF(ISNUMBER($I7916),TEXT($I7916,"0"),$I7916))</f>
        <v/>
      </c>
    </row>
    <row r="7917">
      <c r="B7917" s="25" t="n"/>
      <c r="I7917" s="25" t="n"/>
      <c r="U7917" s="19">
        <f>IF($V7917&lt;&gt;'設定'!$C$4,N(U7916),IF(OR(NOT(COUNTIF('商品マスタ'!$B$6:$B$1005,$W7917)=0),COUNTIFS('①在庫を貼る'!$V$6:$V$10005,$V7917,'①在庫を貼る'!$W$6:$W$10005,$W7917)+COUNTIFS('月1回_1ヶ月前の在庫'!$V$6:$V$10005,$V7917,'月1回_1ヶ月前の在庫'!$W$6:$W$10005,$W7917)&gt;0),N(U7916),N(U7916)+1))</f>
        <v/>
      </c>
      <c r="V7917" s="19">
        <f>IF($B7917="","",TEXT($B7917,"0000"))</f>
        <v/>
      </c>
      <c r="W7917" s="19">
        <f>IF($I7917="","",IF(ISNUMBER($I7917),TEXT($I7917,"0"),$I7917))</f>
        <v/>
      </c>
    </row>
    <row r="7918">
      <c r="B7918" s="25" t="n"/>
      <c r="I7918" s="25" t="n"/>
      <c r="U7918" s="19">
        <f>IF($V7918&lt;&gt;'設定'!$C$4,N(U7917),IF(OR(NOT(COUNTIF('商品マスタ'!$B$6:$B$1005,$W7918)=0),COUNTIFS('①在庫を貼る'!$V$6:$V$10005,$V7918,'①在庫を貼る'!$W$6:$W$10005,$W7918)+COUNTIFS('月1回_1ヶ月前の在庫'!$V$6:$V$10005,$V7918,'月1回_1ヶ月前の在庫'!$W$6:$W$10005,$W7918)&gt;0),N(U7917),N(U7917)+1))</f>
        <v/>
      </c>
      <c r="V7918" s="19">
        <f>IF($B7918="","",TEXT($B7918,"0000"))</f>
        <v/>
      </c>
      <c r="W7918" s="19">
        <f>IF($I7918="","",IF(ISNUMBER($I7918),TEXT($I7918,"0"),$I7918))</f>
        <v/>
      </c>
    </row>
    <row r="7919">
      <c r="B7919" s="25" t="n"/>
      <c r="I7919" s="25" t="n"/>
      <c r="U7919" s="19">
        <f>IF($V7919&lt;&gt;'設定'!$C$4,N(U7918),IF(OR(NOT(COUNTIF('商品マスタ'!$B$6:$B$1005,$W7919)=0),COUNTIFS('①在庫を貼る'!$V$6:$V$10005,$V7919,'①在庫を貼る'!$W$6:$W$10005,$W7919)+COUNTIFS('月1回_1ヶ月前の在庫'!$V$6:$V$10005,$V7919,'月1回_1ヶ月前の在庫'!$W$6:$W$10005,$W7919)&gt;0),N(U7918),N(U7918)+1))</f>
        <v/>
      </c>
      <c r="V7919" s="19">
        <f>IF($B7919="","",TEXT($B7919,"0000"))</f>
        <v/>
      </c>
      <c r="W7919" s="19">
        <f>IF($I7919="","",IF(ISNUMBER($I7919),TEXT($I7919,"0"),$I7919))</f>
        <v/>
      </c>
    </row>
    <row r="7920">
      <c r="B7920" s="25" t="n"/>
      <c r="I7920" s="25" t="n"/>
      <c r="U7920" s="19">
        <f>IF($V7920&lt;&gt;'設定'!$C$4,N(U7919),IF(OR(NOT(COUNTIF('商品マスタ'!$B$6:$B$1005,$W7920)=0),COUNTIFS('①在庫を貼る'!$V$6:$V$10005,$V7920,'①在庫を貼る'!$W$6:$W$10005,$W7920)+COUNTIFS('月1回_1ヶ月前の在庫'!$V$6:$V$10005,$V7920,'月1回_1ヶ月前の在庫'!$W$6:$W$10005,$W7920)&gt;0),N(U7919),N(U7919)+1))</f>
        <v/>
      </c>
      <c r="V7920" s="19">
        <f>IF($B7920="","",TEXT($B7920,"0000"))</f>
        <v/>
      </c>
      <c r="W7920" s="19">
        <f>IF($I7920="","",IF(ISNUMBER($I7920),TEXT($I7920,"0"),$I7920))</f>
        <v/>
      </c>
    </row>
    <row r="7921">
      <c r="B7921" s="25" t="n"/>
      <c r="I7921" s="25" t="n"/>
      <c r="U7921" s="19">
        <f>IF($V7921&lt;&gt;'設定'!$C$4,N(U7920),IF(OR(NOT(COUNTIF('商品マスタ'!$B$6:$B$1005,$W7921)=0),COUNTIFS('①在庫を貼る'!$V$6:$V$10005,$V7921,'①在庫を貼る'!$W$6:$W$10005,$W7921)+COUNTIFS('月1回_1ヶ月前の在庫'!$V$6:$V$10005,$V7921,'月1回_1ヶ月前の在庫'!$W$6:$W$10005,$W7921)&gt;0),N(U7920),N(U7920)+1))</f>
        <v/>
      </c>
      <c r="V7921" s="19">
        <f>IF($B7921="","",TEXT($B7921,"0000"))</f>
        <v/>
      </c>
      <c r="W7921" s="19">
        <f>IF($I7921="","",IF(ISNUMBER($I7921),TEXT($I7921,"0"),$I7921))</f>
        <v/>
      </c>
    </row>
    <row r="7922">
      <c r="B7922" s="25" t="n"/>
      <c r="I7922" s="25" t="n"/>
      <c r="U7922" s="19">
        <f>IF($V7922&lt;&gt;'設定'!$C$4,N(U7921),IF(OR(NOT(COUNTIF('商品マスタ'!$B$6:$B$1005,$W7922)=0),COUNTIFS('①在庫を貼る'!$V$6:$V$10005,$V7922,'①在庫を貼る'!$W$6:$W$10005,$W7922)+COUNTIFS('月1回_1ヶ月前の在庫'!$V$6:$V$10005,$V7922,'月1回_1ヶ月前の在庫'!$W$6:$W$10005,$W7922)&gt;0),N(U7921),N(U7921)+1))</f>
        <v/>
      </c>
      <c r="V7922" s="19">
        <f>IF($B7922="","",TEXT($B7922,"0000"))</f>
        <v/>
      </c>
      <c r="W7922" s="19">
        <f>IF($I7922="","",IF(ISNUMBER($I7922),TEXT($I7922,"0"),$I7922))</f>
        <v/>
      </c>
    </row>
    <row r="7923">
      <c r="B7923" s="25" t="n"/>
      <c r="I7923" s="25" t="n"/>
      <c r="U7923" s="19">
        <f>IF($V7923&lt;&gt;'設定'!$C$4,N(U7922),IF(OR(NOT(COUNTIF('商品マスタ'!$B$6:$B$1005,$W7923)=0),COUNTIFS('①在庫を貼る'!$V$6:$V$10005,$V7923,'①在庫を貼る'!$W$6:$W$10005,$W7923)+COUNTIFS('月1回_1ヶ月前の在庫'!$V$6:$V$10005,$V7923,'月1回_1ヶ月前の在庫'!$W$6:$W$10005,$W7923)&gt;0),N(U7922),N(U7922)+1))</f>
        <v/>
      </c>
      <c r="V7923" s="19">
        <f>IF($B7923="","",TEXT($B7923,"0000"))</f>
        <v/>
      </c>
      <c r="W7923" s="19">
        <f>IF($I7923="","",IF(ISNUMBER($I7923),TEXT($I7923,"0"),$I7923))</f>
        <v/>
      </c>
    </row>
    <row r="7924">
      <c r="B7924" s="25" t="n"/>
      <c r="I7924" s="25" t="n"/>
      <c r="U7924" s="19">
        <f>IF($V7924&lt;&gt;'設定'!$C$4,N(U7923),IF(OR(NOT(COUNTIF('商品マスタ'!$B$6:$B$1005,$W7924)=0),COUNTIFS('①在庫を貼る'!$V$6:$V$10005,$V7924,'①在庫を貼る'!$W$6:$W$10005,$W7924)+COUNTIFS('月1回_1ヶ月前の在庫'!$V$6:$V$10005,$V7924,'月1回_1ヶ月前の在庫'!$W$6:$W$10005,$W7924)&gt;0),N(U7923),N(U7923)+1))</f>
        <v/>
      </c>
      <c r="V7924" s="19">
        <f>IF($B7924="","",TEXT($B7924,"0000"))</f>
        <v/>
      </c>
      <c r="W7924" s="19">
        <f>IF($I7924="","",IF(ISNUMBER($I7924),TEXT($I7924,"0"),$I7924))</f>
        <v/>
      </c>
    </row>
    <row r="7925">
      <c r="B7925" s="25" t="n"/>
      <c r="I7925" s="25" t="n"/>
      <c r="U7925" s="19">
        <f>IF($V7925&lt;&gt;'設定'!$C$4,N(U7924),IF(OR(NOT(COUNTIF('商品マスタ'!$B$6:$B$1005,$W7925)=0),COUNTIFS('①在庫を貼る'!$V$6:$V$10005,$V7925,'①在庫を貼る'!$W$6:$W$10005,$W7925)+COUNTIFS('月1回_1ヶ月前の在庫'!$V$6:$V$10005,$V7925,'月1回_1ヶ月前の在庫'!$W$6:$W$10005,$W7925)&gt;0),N(U7924),N(U7924)+1))</f>
        <v/>
      </c>
      <c r="V7925" s="19">
        <f>IF($B7925="","",TEXT($B7925,"0000"))</f>
        <v/>
      </c>
      <c r="W7925" s="19">
        <f>IF($I7925="","",IF(ISNUMBER($I7925),TEXT($I7925,"0"),$I7925))</f>
        <v/>
      </c>
    </row>
    <row r="7926">
      <c r="B7926" s="25" t="n"/>
      <c r="I7926" s="25" t="n"/>
      <c r="U7926" s="19">
        <f>IF($V7926&lt;&gt;'設定'!$C$4,N(U7925),IF(OR(NOT(COUNTIF('商品マスタ'!$B$6:$B$1005,$W7926)=0),COUNTIFS('①在庫を貼る'!$V$6:$V$10005,$V7926,'①在庫を貼る'!$W$6:$W$10005,$W7926)+COUNTIFS('月1回_1ヶ月前の在庫'!$V$6:$V$10005,$V7926,'月1回_1ヶ月前の在庫'!$W$6:$W$10005,$W7926)&gt;0),N(U7925),N(U7925)+1))</f>
        <v/>
      </c>
      <c r="V7926" s="19">
        <f>IF($B7926="","",TEXT($B7926,"0000"))</f>
        <v/>
      </c>
      <c r="W7926" s="19">
        <f>IF($I7926="","",IF(ISNUMBER($I7926),TEXT($I7926,"0"),$I7926))</f>
        <v/>
      </c>
    </row>
    <row r="7927">
      <c r="B7927" s="25" t="n"/>
      <c r="I7927" s="25" t="n"/>
      <c r="U7927" s="19">
        <f>IF($V7927&lt;&gt;'設定'!$C$4,N(U7926),IF(OR(NOT(COUNTIF('商品マスタ'!$B$6:$B$1005,$W7927)=0),COUNTIFS('①在庫を貼る'!$V$6:$V$10005,$V7927,'①在庫を貼る'!$W$6:$W$10005,$W7927)+COUNTIFS('月1回_1ヶ月前の在庫'!$V$6:$V$10005,$V7927,'月1回_1ヶ月前の在庫'!$W$6:$W$10005,$W7927)&gt;0),N(U7926),N(U7926)+1))</f>
        <v/>
      </c>
      <c r="V7927" s="19">
        <f>IF($B7927="","",TEXT($B7927,"0000"))</f>
        <v/>
      </c>
      <c r="W7927" s="19">
        <f>IF($I7927="","",IF(ISNUMBER($I7927),TEXT($I7927,"0"),$I7927))</f>
        <v/>
      </c>
    </row>
    <row r="7928">
      <c r="B7928" s="25" t="n"/>
      <c r="I7928" s="25" t="n"/>
      <c r="U7928" s="19">
        <f>IF($V7928&lt;&gt;'設定'!$C$4,N(U7927),IF(OR(NOT(COUNTIF('商品マスタ'!$B$6:$B$1005,$W7928)=0),COUNTIFS('①在庫を貼る'!$V$6:$V$10005,$V7928,'①在庫を貼る'!$W$6:$W$10005,$W7928)+COUNTIFS('月1回_1ヶ月前の在庫'!$V$6:$V$10005,$V7928,'月1回_1ヶ月前の在庫'!$W$6:$W$10005,$W7928)&gt;0),N(U7927),N(U7927)+1))</f>
        <v/>
      </c>
      <c r="V7928" s="19">
        <f>IF($B7928="","",TEXT($B7928,"0000"))</f>
        <v/>
      </c>
      <c r="W7928" s="19">
        <f>IF($I7928="","",IF(ISNUMBER($I7928),TEXT($I7928,"0"),$I7928))</f>
        <v/>
      </c>
    </row>
    <row r="7929">
      <c r="B7929" s="25" t="n"/>
      <c r="I7929" s="25" t="n"/>
      <c r="U7929" s="19">
        <f>IF($V7929&lt;&gt;'設定'!$C$4,N(U7928),IF(OR(NOT(COUNTIF('商品マスタ'!$B$6:$B$1005,$W7929)=0),COUNTIFS('①在庫を貼る'!$V$6:$V$10005,$V7929,'①在庫を貼る'!$W$6:$W$10005,$W7929)+COUNTIFS('月1回_1ヶ月前の在庫'!$V$6:$V$10005,$V7929,'月1回_1ヶ月前の在庫'!$W$6:$W$10005,$W7929)&gt;0),N(U7928),N(U7928)+1))</f>
        <v/>
      </c>
      <c r="V7929" s="19">
        <f>IF($B7929="","",TEXT($B7929,"0000"))</f>
        <v/>
      </c>
      <c r="W7929" s="19">
        <f>IF($I7929="","",IF(ISNUMBER($I7929),TEXT($I7929,"0"),$I7929))</f>
        <v/>
      </c>
    </row>
    <row r="7930">
      <c r="B7930" s="25" t="n"/>
      <c r="I7930" s="25" t="n"/>
      <c r="U7930" s="19">
        <f>IF($V7930&lt;&gt;'設定'!$C$4,N(U7929),IF(OR(NOT(COUNTIF('商品マスタ'!$B$6:$B$1005,$W7930)=0),COUNTIFS('①在庫を貼る'!$V$6:$V$10005,$V7930,'①在庫を貼る'!$W$6:$W$10005,$W7930)+COUNTIFS('月1回_1ヶ月前の在庫'!$V$6:$V$10005,$V7930,'月1回_1ヶ月前の在庫'!$W$6:$W$10005,$W7930)&gt;0),N(U7929),N(U7929)+1))</f>
        <v/>
      </c>
      <c r="V7930" s="19">
        <f>IF($B7930="","",TEXT($B7930,"0000"))</f>
        <v/>
      </c>
      <c r="W7930" s="19">
        <f>IF($I7930="","",IF(ISNUMBER($I7930),TEXT($I7930,"0"),$I7930))</f>
        <v/>
      </c>
    </row>
    <row r="7931">
      <c r="B7931" s="25" t="n"/>
      <c r="I7931" s="25" t="n"/>
      <c r="U7931" s="19">
        <f>IF($V7931&lt;&gt;'設定'!$C$4,N(U7930),IF(OR(NOT(COUNTIF('商品マスタ'!$B$6:$B$1005,$W7931)=0),COUNTIFS('①在庫を貼る'!$V$6:$V$10005,$V7931,'①在庫を貼る'!$W$6:$W$10005,$W7931)+COUNTIFS('月1回_1ヶ月前の在庫'!$V$6:$V$10005,$V7931,'月1回_1ヶ月前の在庫'!$W$6:$W$10005,$W7931)&gt;0),N(U7930),N(U7930)+1))</f>
        <v/>
      </c>
      <c r="V7931" s="19">
        <f>IF($B7931="","",TEXT($B7931,"0000"))</f>
        <v/>
      </c>
      <c r="W7931" s="19">
        <f>IF($I7931="","",IF(ISNUMBER($I7931),TEXT($I7931,"0"),$I7931))</f>
        <v/>
      </c>
    </row>
    <row r="7932">
      <c r="B7932" s="25" t="n"/>
      <c r="I7932" s="25" t="n"/>
      <c r="U7932" s="19">
        <f>IF($V7932&lt;&gt;'設定'!$C$4,N(U7931),IF(OR(NOT(COUNTIF('商品マスタ'!$B$6:$B$1005,$W7932)=0),COUNTIFS('①在庫を貼る'!$V$6:$V$10005,$V7932,'①在庫を貼る'!$W$6:$W$10005,$W7932)+COUNTIFS('月1回_1ヶ月前の在庫'!$V$6:$V$10005,$V7932,'月1回_1ヶ月前の在庫'!$W$6:$W$10005,$W7932)&gt;0),N(U7931),N(U7931)+1))</f>
        <v/>
      </c>
      <c r="V7932" s="19">
        <f>IF($B7932="","",TEXT($B7932,"0000"))</f>
        <v/>
      </c>
      <c r="W7932" s="19">
        <f>IF($I7932="","",IF(ISNUMBER($I7932),TEXT($I7932,"0"),$I7932))</f>
        <v/>
      </c>
    </row>
    <row r="7933">
      <c r="B7933" s="25" t="n"/>
      <c r="I7933" s="25" t="n"/>
      <c r="U7933" s="19">
        <f>IF($V7933&lt;&gt;'設定'!$C$4,N(U7932),IF(OR(NOT(COUNTIF('商品マスタ'!$B$6:$B$1005,$W7933)=0),COUNTIFS('①在庫を貼る'!$V$6:$V$10005,$V7933,'①在庫を貼る'!$W$6:$W$10005,$W7933)+COUNTIFS('月1回_1ヶ月前の在庫'!$V$6:$V$10005,$V7933,'月1回_1ヶ月前の在庫'!$W$6:$W$10005,$W7933)&gt;0),N(U7932),N(U7932)+1))</f>
        <v/>
      </c>
      <c r="V7933" s="19">
        <f>IF($B7933="","",TEXT($B7933,"0000"))</f>
        <v/>
      </c>
      <c r="W7933" s="19">
        <f>IF($I7933="","",IF(ISNUMBER($I7933),TEXT($I7933,"0"),$I7933))</f>
        <v/>
      </c>
    </row>
    <row r="7934">
      <c r="B7934" s="25" t="n"/>
      <c r="I7934" s="25" t="n"/>
      <c r="U7934" s="19">
        <f>IF($V7934&lt;&gt;'設定'!$C$4,N(U7933),IF(OR(NOT(COUNTIF('商品マスタ'!$B$6:$B$1005,$W7934)=0),COUNTIFS('①在庫を貼る'!$V$6:$V$10005,$V7934,'①在庫を貼る'!$W$6:$W$10005,$W7934)+COUNTIFS('月1回_1ヶ月前の在庫'!$V$6:$V$10005,$V7934,'月1回_1ヶ月前の在庫'!$W$6:$W$10005,$W7934)&gt;0),N(U7933),N(U7933)+1))</f>
        <v/>
      </c>
      <c r="V7934" s="19">
        <f>IF($B7934="","",TEXT($B7934,"0000"))</f>
        <v/>
      </c>
      <c r="W7934" s="19">
        <f>IF($I7934="","",IF(ISNUMBER($I7934),TEXT($I7934,"0"),$I7934))</f>
        <v/>
      </c>
    </row>
    <row r="7935">
      <c r="B7935" s="25" t="n"/>
      <c r="I7935" s="25" t="n"/>
      <c r="U7935" s="19">
        <f>IF($V7935&lt;&gt;'設定'!$C$4,N(U7934),IF(OR(NOT(COUNTIF('商品マスタ'!$B$6:$B$1005,$W7935)=0),COUNTIFS('①在庫を貼る'!$V$6:$V$10005,$V7935,'①在庫を貼る'!$W$6:$W$10005,$W7935)+COUNTIFS('月1回_1ヶ月前の在庫'!$V$6:$V$10005,$V7935,'月1回_1ヶ月前の在庫'!$W$6:$W$10005,$W7935)&gt;0),N(U7934),N(U7934)+1))</f>
        <v/>
      </c>
      <c r="V7935" s="19">
        <f>IF($B7935="","",TEXT($B7935,"0000"))</f>
        <v/>
      </c>
      <c r="W7935" s="19">
        <f>IF($I7935="","",IF(ISNUMBER($I7935),TEXT($I7935,"0"),$I7935))</f>
        <v/>
      </c>
    </row>
    <row r="7936">
      <c r="B7936" s="25" t="n"/>
      <c r="I7936" s="25" t="n"/>
      <c r="U7936" s="19">
        <f>IF($V7936&lt;&gt;'設定'!$C$4,N(U7935),IF(OR(NOT(COUNTIF('商品マスタ'!$B$6:$B$1005,$W7936)=0),COUNTIFS('①在庫を貼る'!$V$6:$V$10005,$V7936,'①在庫を貼る'!$W$6:$W$10005,$W7936)+COUNTIFS('月1回_1ヶ月前の在庫'!$V$6:$V$10005,$V7936,'月1回_1ヶ月前の在庫'!$W$6:$W$10005,$W7936)&gt;0),N(U7935),N(U7935)+1))</f>
        <v/>
      </c>
      <c r="V7936" s="19">
        <f>IF($B7936="","",TEXT($B7936,"0000"))</f>
        <v/>
      </c>
      <c r="W7936" s="19">
        <f>IF($I7936="","",IF(ISNUMBER($I7936),TEXT($I7936,"0"),$I7936))</f>
        <v/>
      </c>
    </row>
    <row r="7937">
      <c r="B7937" s="25" t="n"/>
      <c r="I7937" s="25" t="n"/>
      <c r="U7937" s="19">
        <f>IF($V7937&lt;&gt;'設定'!$C$4,N(U7936),IF(OR(NOT(COUNTIF('商品マスタ'!$B$6:$B$1005,$W7937)=0),COUNTIFS('①在庫を貼る'!$V$6:$V$10005,$V7937,'①在庫を貼る'!$W$6:$W$10005,$W7937)+COUNTIFS('月1回_1ヶ月前の在庫'!$V$6:$V$10005,$V7937,'月1回_1ヶ月前の在庫'!$W$6:$W$10005,$W7937)&gt;0),N(U7936),N(U7936)+1))</f>
        <v/>
      </c>
      <c r="V7937" s="19">
        <f>IF($B7937="","",TEXT($B7937,"0000"))</f>
        <v/>
      </c>
      <c r="W7937" s="19">
        <f>IF($I7937="","",IF(ISNUMBER($I7937),TEXT($I7937,"0"),$I7937))</f>
        <v/>
      </c>
    </row>
    <row r="7938">
      <c r="B7938" s="25" t="n"/>
      <c r="I7938" s="25" t="n"/>
      <c r="U7938" s="19">
        <f>IF($V7938&lt;&gt;'設定'!$C$4,N(U7937),IF(OR(NOT(COUNTIF('商品マスタ'!$B$6:$B$1005,$W7938)=0),COUNTIFS('①在庫を貼る'!$V$6:$V$10005,$V7938,'①在庫を貼る'!$W$6:$W$10005,$W7938)+COUNTIFS('月1回_1ヶ月前の在庫'!$V$6:$V$10005,$V7938,'月1回_1ヶ月前の在庫'!$W$6:$W$10005,$W7938)&gt;0),N(U7937),N(U7937)+1))</f>
        <v/>
      </c>
      <c r="V7938" s="19">
        <f>IF($B7938="","",TEXT($B7938,"0000"))</f>
        <v/>
      </c>
      <c r="W7938" s="19">
        <f>IF($I7938="","",IF(ISNUMBER($I7938),TEXT($I7938,"0"),$I7938))</f>
        <v/>
      </c>
    </row>
    <row r="7939">
      <c r="B7939" s="25" t="n"/>
      <c r="I7939" s="25" t="n"/>
      <c r="U7939" s="19">
        <f>IF($V7939&lt;&gt;'設定'!$C$4,N(U7938),IF(OR(NOT(COUNTIF('商品マスタ'!$B$6:$B$1005,$W7939)=0),COUNTIFS('①在庫を貼る'!$V$6:$V$10005,$V7939,'①在庫を貼る'!$W$6:$W$10005,$W7939)+COUNTIFS('月1回_1ヶ月前の在庫'!$V$6:$V$10005,$V7939,'月1回_1ヶ月前の在庫'!$W$6:$W$10005,$W7939)&gt;0),N(U7938),N(U7938)+1))</f>
        <v/>
      </c>
      <c r="V7939" s="19">
        <f>IF($B7939="","",TEXT($B7939,"0000"))</f>
        <v/>
      </c>
      <c r="W7939" s="19">
        <f>IF($I7939="","",IF(ISNUMBER($I7939),TEXT($I7939,"0"),$I7939))</f>
        <v/>
      </c>
    </row>
    <row r="7940">
      <c r="B7940" s="25" t="n"/>
      <c r="I7940" s="25" t="n"/>
      <c r="U7940" s="19">
        <f>IF($V7940&lt;&gt;'設定'!$C$4,N(U7939),IF(OR(NOT(COUNTIF('商品マスタ'!$B$6:$B$1005,$W7940)=0),COUNTIFS('①在庫を貼る'!$V$6:$V$10005,$V7940,'①在庫を貼る'!$W$6:$W$10005,$W7940)+COUNTIFS('月1回_1ヶ月前の在庫'!$V$6:$V$10005,$V7940,'月1回_1ヶ月前の在庫'!$W$6:$W$10005,$W7940)&gt;0),N(U7939),N(U7939)+1))</f>
        <v/>
      </c>
      <c r="V7940" s="19">
        <f>IF($B7940="","",TEXT($B7940,"0000"))</f>
        <v/>
      </c>
      <c r="W7940" s="19">
        <f>IF($I7940="","",IF(ISNUMBER($I7940),TEXT($I7940,"0"),$I7940))</f>
        <v/>
      </c>
    </row>
    <row r="7941">
      <c r="B7941" s="25" t="n"/>
      <c r="I7941" s="25" t="n"/>
      <c r="U7941" s="19">
        <f>IF($V7941&lt;&gt;'設定'!$C$4,N(U7940),IF(OR(NOT(COUNTIF('商品マスタ'!$B$6:$B$1005,$W7941)=0),COUNTIFS('①在庫を貼る'!$V$6:$V$10005,$V7941,'①在庫を貼る'!$W$6:$W$10005,$W7941)+COUNTIFS('月1回_1ヶ月前の在庫'!$V$6:$V$10005,$V7941,'月1回_1ヶ月前の在庫'!$W$6:$W$10005,$W7941)&gt;0),N(U7940),N(U7940)+1))</f>
        <v/>
      </c>
      <c r="V7941" s="19">
        <f>IF($B7941="","",TEXT($B7941,"0000"))</f>
        <v/>
      </c>
      <c r="W7941" s="19">
        <f>IF($I7941="","",IF(ISNUMBER($I7941),TEXT($I7941,"0"),$I7941))</f>
        <v/>
      </c>
    </row>
    <row r="7942">
      <c r="B7942" s="25" t="n"/>
      <c r="I7942" s="25" t="n"/>
      <c r="U7942" s="19">
        <f>IF($V7942&lt;&gt;'設定'!$C$4,N(U7941),IF(OR(NOT(COUNTIF('商品マスタ'!$B$6:$B$1005,$W7942)=0),COUNTIFS('①在庫を貼る'!$V$6:$V$10005,$V7942,'①在庫を貼る'!$W$6:$W$10005,$W7942)+COUNTIFS('月1回_1ヶ月前の在庫'!$V$6:$V$10005,$V7942,'月1回_1ヶ月前の在庫'!$W$6:$W$10005,$W7942)&gt;0),N(U7941),N(U7941)+1))</f>
        <v/>
      </c>
      <c r="V7942" s="19">
        <f>IF($B7942="","",TEXT($B7942,"0000"))</f>
        <v/>
      </c>
      <c r="W7942" s="19">
        <f>IF($I7942="","",IF(ISNUMBER($I7942),TEXT($I7942,"0"),$I7942))</f>
        <v/>
      </c>
    </row>
    <row r="7943">
      <c r="B7943" s="25" t="n"/>
      <c r="I7943" s="25" t="n"/>
      <c r="U7943" s="19">
        <f>IF($V7943&lt;&gt;'設定'!$C$4,N(U7942),IF(OR(NOT(COUNTIF('商品マスタ'!$B$6:$B$1005,$W7943)=0),COUNTIFS('①在庫を貼る'!$V$6:$V$10005,$V7943,'①在庫を貼る'!$W$6:$W$10005,$W7943)+COUNTIFS('月1回_1ヶ月前の在庫'!$V$6:$V$10005,$V7943,'月1回_1ヶ月前の在庫'!$W$6:$W$10005,$W7943)&gt;0),N(U7942),N(U7942)+1))</f>
        <v/>
      </c>
      <c r="V7943" s="19">
        <f>IF($B7943="","",TEXT($B7943,"0000"))</f>
        <v/>
      </c>
      <c r="W7943" s="19">
        <f>IF($I7943="","",IF(ISNUMBER($I7943),TEXT($I7943,"0"),$I7943))</f>
        <v/>
      </c>
    </row>
    <row r="7944">
      <c r="B7944" s="25" t="n"/>
      <c r="I7944" s="25" t="n"/>
      <c r="U7944" s="19">
        <f>IF($V7944&lt;&gt;'設定'!$C$4,N(U7943),IF(OR(NOT(COUNTIF('商品マスタ'!$B$6:$B$1005,$W7944)=0),COUNTIFS('①在庫を貼る'!$V$6:$V$10005,$V7944,'①在庫を貼る'!$W$6:$W$10005,$W7944)+COUNTIFS('月1回_1ヶ月前の在庫'!$V$6:$V$10005,$V7944,'月1回_1ヶ月前の在庫'!$W$6:$W$10005,$W7944)&gt;0),N(U7943),N(U7943)+1))</f>
        <v/>
      </c>
      <c r="V7944" s="19">
        <f>IF($B7944="","",TEXT($B7944,"0000"))</f>
        <v/>
      </c>
      <c r="W7944" s="19">
        <f>IF($I7944="","",IF(ISNUMBER($I7944),TEXT($I7944,"0"),$I7944))</f>
        <v/>
      </c>
    </row>
    <row r="7945">
      <c r="B7945" s="25" t="n"/>
      <c r="I7945" s="25" t="n"/>
      <c r="U7945" s="19">
        <f>IF($V7945&lt;&gt;'設定'!$C$4,N(U7944),IF(OR(NOT(COUNTIF('商品マスタ'!$B$6:$B$1005,$W7945)=0),COUNTIFS('①在庫を貼る'!$V$6:$V$10005,$V7945,'①在庫を貼る'!$W$6:$W$10005,$W7945)+COUNTIFS('月1回_1ヶ月前の在庫'!$V$6:$V$10005,$V7945,'月1回_1ヶ月前の在庫'!$W$6:$W$10005,$W7945)&gt;0),N(U7944),N(U7944)+1))</f>
        <v/>
      </c>
      <c r="V7945" s="19">
        <f>IF($B7945="","",TEXT($B7945,"0000"))</f>
        <v/>
      </c>
      <c r="W7945" s="19">
        <f>IF($I7945="","",IF(ISNUMBER($I7945),TEXT($I7945,"0"),$I7945))</f>
        <v/>
      </c>
    </row>
    <row r="7946">
      <c r="B7946" s="25" t="n"/>
      <c r="I7946" s="25" t="n"/>
      <c r="U7946" s="19">
        <f>IF($V7946&lt;&gt;'設定'!$C$4,N(U7945),IF(OR(NOT(COUNTIF('商品マスタ'!$B$6:$B$1005,$W7946)=0),COUNTIFS('①在庫を貼る'!$V$6:$V$10005,$V7946,'①在庫を貼る'!$W$6:$W$10005,$W7946)+COUNTIFS('月1回_1ヶ月前の在庫'!$V$6:$V$10005,$V7946,'月1回_1ヶ月前の在庫'!$W$6:$W$10005,$W7946)&gt;0),N(U7945),N(U7945)+1))</f>
        <v/>
      </c>
      <c r="V7946" s="19">
        <f>IF($B7946="","",TEXT($B7946,"0000"))</f>
        <v/>
      </c>
      <c r="W7946" s="19">
        <f>IF($I7946="","",IF(ISNUMBER($I7946),TEXT($I7946,"0"),$I7946))</f>
        <v/>
      </c>
    </row>
    <row r="7947">
      <c r="B7947" s="25" t="n"/>
      <c r="I7947" s="25" t="n"/>
      <c r="U7947" s="19">
        <f>IF($V7947&lt;&gt;'設定'!$C$4,N(U7946),IF(OR(NOT(COUNTIF('商品マスタ'!$B$6:$B$1005,$W7947)=0),COUNTIFS('①在庫を貼る'!$V$6:$V$10005,$V7947,'①在庫を貼る'!$W$6:$W$10005,$W7947)+COUNTIFS('月1回_1ヶ月前の在庫'!$V$6:$V$10005,$V7947,'月1回_1ヶ月前の在庫'!$W$6:$W$10005,$W7947)&gt;0),N(U7946),N(U7946)+1))</f>
        <v/>
      </c>
      <c r="V7947" s="19">
        <f>IF($B7947="","",TEXT($B7947,"0000"))</f>
        <v/>
      </c>
      <c r="W7947" s="19">
        <f>IF($I7947="","",IF(ISNUMBER($I7947),TEXT($I7947,"0"),$I7947))</f>
        <v/>
      </c>
    </row>
    <row r="7948">
      <c r="B7948" s="25" t="n"/>
      <c r="I7948" s="25" t="n"/>
      <c r="U7948" s="19">
        <f>IF($V7948&lt;&gt;'設定'!$C$4,N(U7947),IF(OR(NOT(COUNTIF('商品マスタ'!$B$6:$B$1005,$W7948)=0),COUNTIFS('①在庫を貼る'!$V$6:$V$10005,$V7948,'①在庫を貼る'!$W$6:$W$10005,$W7948)+COUNTIFS('月1回_1ヶ月前の在庫'!$V$6:$V$10005,$V7948,'月1回_1ヶ月前の在庫'!$W$6:$W$10005,$W7948)&gt;0),N(U7947),N(U7947)+1))</f>
        <v/>
      </c>
      <c r="V7948" s="19">
        <f>IF($B7948="","",TEXT($B7948,"0000"))</f>
        <v/>
      </c>
      <c r="W7948" s="19">
        <f>IF($I7948="","",IF(ISNUMBER($I7948),TEXT($I7948,"0"),$I7948))</f>
        <v/>
      </c>
    </row>
    <row r="7949">
      <c r="B7949" s="25" t="n"/>
      <c r="I7949" s="25" t="n"/>
      <c r="U7949" s="19">
        <f>IF($V7949&lt;&gt;'設定'!$C$4,N(U7948),IF(OR(NOT(COUNTIF('商品マスタ'!$B$6:$B$1005,$W7949)=0),COUNTIFS('①在庫を貼る'!$V$6:$V$10005,$V7949,'①在庫を貼る'!$W$6:$W$10005,$W7949)+COUNTIFS('月1回_1ヶ月前の在庫'!$V$6:$V$10005,$V7949,'月1回_1ヶ月前の在庫'!$W$6:$W$10005,$W7949)&gt;0),N(U7948),N(U7948)+1))</f>
        <v/>
      </c>
      <c r="V7949" s="19">
        <f>IF($B7949="","",TEXT($B7949,"0000"))</f>
        <v/>
      </c>
      <c r="W7949" s="19">
        <f>IF($I7949="","",IF(ISNUMBER($I7949),TEXT($I7949,"0"),$I7949))</f>
        <v/>
      </c>
    </row>
    <row r="7950">
      <c r="B7950" s="25" t="n"/>
      <c r="I7950" s="25" t="n"/>
      <c r="U7950" s="19">
        <f>IF($V7950&lt;&gt;'設定'!$C$4,N(U7949),IF(OR(NOT(COUNTIF('商品マスタ'!$B$6:$B$1005,$W7950)=0),COUNTIFS('①在庫を貼る'!$V$6:$V$10005,$V7950,'①在庫を貼る'!$W$6:$W$10005,$W7950)+COUNTIFS('月1回_1ヶ月前の在庫'!$V$6:$V$10005,$V7950,'月1回_1ヶ月前の在庫'!$W$6:$W$10005,$W7950)&gt;0),N(U7949),N(U7949)+1))</f>
        <v/>
      </c>
      <c r="V7950" s="19">
        <f>IF($B7950="","",TEXT($B7950,"0000"))</f>
        <v/>
      </c>
      <c r="W7950" s="19">
        <f>IF($I7950="","",IF(ISNUMBER($I7950),TEXT($I7950,"0"),$I7950))</f>
        <v/>
      </c>
    </row>
    <row r="7951">
      <c r="B7951" s="25" t="n"/>
      <c r="I7951" s="25" t="n"/>
      <c r="U7951" s="19">
        <f>IF($V7951&lt;&gt;'設定'!$C$4,N(U7950),IF(OR(NOT(COUNTIF('商品マスタ'!$B$6:$B$1005,$W7951)=0),COUNTIFS('①在庫を貼る'!$V$6:$V$10005,$V7951,'①在庫を貼る'!$W$6:$W$10005,$W7951)+COUNTIFS('月1回_1ヶ月前の在庫'!$V$6:$V$10005,$V7951,'月1回_1ヶ月前の在庫'!$W$6:$W$10005,$W7951)&gt;0),N(U7950),N(U7950)+1))</f>
        <v/>
      </c>
      <c r="V7951" s="19">
        <f>IF($B7951="","",TEXT($B7951,"0000"))</f>
        <v/>
      </c>
      <c r="W7951" s="19">
        <f>IF($I7951="","",IF(ISNUMBER($I7951),TEXT($I7951,"0"),$I7951))</f>
        <v/>
      </c>
    </row>
    <row r="7952">
      <c r="B7952" s="25" t="n"/>
      <c r="I7952" s="25" t="n"/>
      <c r="U7952" s="19">
        <f>IF($V7952&lt;&gt;'設定'!$C$4,N(U7951),IF(OR(NOT(COUNTIF('商品マスタ'!$B$6:$B$1005,$W7952)=0),COUNTIFS('①在庫を貼る'!$V$6:$V$10005,$V7952,'①在庫を貼る'!$W$6:$W$10005,$W7952)+COUNTIFS('月1回_1ヶ月前の在庫'!$V$6:$V$10005,$V7952,'月1回_1ヶ月前の在庫'!$W$6:$W$10005,$W7952)&gt;0),N(U7951),N(U7951)+1))</f>
        <v/>
      </c>
      <c r="V7952" s="19">
        <f>IF($B7952="","",TEXT($B7952,"0000"))</f>
        <v/>
      </c>
      <c r="W7952" s="19">
        <f>IF($I7952="","",IF(ISNUMBER($I7952),TEXT($I7952,"0"),$I7952))</f>
        <v/>
      </c>
    </row>
    <row r="7953">
      <c r="B7953" s="25" t="n"/>
      <c r="I7953" s="25" t="n"/>
      <c r="U7953" s="19">
        <f>IF($V7953&lt;&gt;'設定'!$C$4,N(U7952),IF(OR(NOT(COUNTIF('商品マスタ'!$B$6:$B$1005,$W7953)=0),COUNTIFS('①在庫を貼る'!$V$6:$V$10005,$V7953,'①在庫を貼る'!$W$6:$W$10005,$W7953)+COUNTIFS('月1回_1ヶ月前の在庫'!$V$6:$V$10005,$V7953,'月1回_1ヶ月前の在庫'!$W$6:$W$10005,$W7953)&gt;0),N(U7952),N(U7952)+1))</f>
        <v/>
      </c>
      <c r="V7953" s="19">
        <f>IF($B7953="","",TEXT($B7953,"0000"))</f>
        <v/>
      </c>
      <c r="W7953" s="19">
        <f>IF($I7953="","",IF(ISNUMBER($I7953),TEXT($I7953,"0"),$I7953))</f>
        <v/>
      </c>
    </row>
    <row r="7954">
      <c r="B7954" s="25" t="n"/>
      <c r="I7954" s="25" t="n"/>
      <c r="U7954" s="19">
        <f>IF($V7954&lt;&gt;'設定'!$C$4,N(U7953),IF(OR(NOT(COUNTIF('商品マスタ'!$B$6:$B$1005,$W7954)=0),COUNTIFS('①在庫を貼る'!$V$6:$V$10005,$V7954,'①在庫を貼る'!$W$6:$W$10005,$W7954)+COUNTIFS('月1回_1ヶ月前の在庫'!$V$6:$V$10005,$V7954,'月1回_1ヶ月前の在庫'!$W$6:$W$10005,$W7954)&gt;0),N(U7953),N(U7953)+1))</f>
        <v/>
      </c>
      <c r="V7954" s="19">
        <f>IF($B7954="","",TEXT($B7954,"0000"))</f>
        <v/>
      </c>
      <c r="W7954" s="19">
        <f>IF($I7954="","",IF(ISNUMBER($I7954),TEXT($I7954,"0"),$I7954))</f>
        <v/>
      </c>
    </row>
    <row r="7955">
      <c r="B7955" s="25" t="n"/>
      <c r="I7955" s="25" t="n"/>
      <c r="U7955" s="19">
        <f>IF($V7955&lt;&gt;'設定'!$C$4,N(U7954),IF(OR(NOT(COUNTIF('商品マスタ'!$B$6:$B$1005,$W7955)=0),COUNTIFS('①在庫を貼る'!$V$6:$V$10005,$V7955,'①在庫を貼る'!$W$6:$W$10005,$W7955)+COUNTIFS('月1回_1ヶ月前の在庫'!$V$6:$V$10005,$V7955,'月1回_1ヶ月前の在庫'!$W$6:$W$10005,$W7955)&gt;0),N(U7954),N(U7954)+1))</f>
        <v/>
      </c>
      <c r="V7955" s="19">
        <f>IF($B7955="","",TEXT($B7955,"0000"))</f>
        <v/>
      </c>
      <c r="W7955" s="19">
        <f>IF($I7955="","",IF(ISNUMBER($I7955),TEXT($I7955,"0"),$I7955))</f>
        <v/>
      </c>
    </row>
    <row r="7956">
      <c r="B7956" s="25" t="n"/>
      <c r="I7956" s="25" t="n"/>
      <c r="U7956" s="19">
        <f>IF($V7956&lt;&gt;'設定'!$C$4,N(U7955),IF(OR(NOT(COUNTIF('商品マスタ'!$B$6:$B$1005,$W7956)=0),COUNTIFS('①在庫を貼る'!$V$6:$V$10005,$V7956,'①在庫を貼る'!$W$6:$W$10005,$W7956)+COUNTIFS('月1回_1ヶ月前の在庫'!$V$6:$V$10005,$V7956,'月1回_1ヶ月前の在庫'!$W$6:$W$10005,$W7956)&gt;0),N(U7955),N(U7955)+1))</f>
        <v/>
      </c>
      <c r="V7956" s="19">
        <f>IF($B7956="","",TEXT($B7956,"0000"))</f>
        <v/>
      </c>
      <c r="W7956" s="19">
        <f>IF($I7956="","",IF(ISNUMBER($I7956),TEXT($I7956,"0"),$I7956))</f>
        <v/>
      </c>
    </row>
    <row r="7957">
      <c r="B7957" s="25" t="n"/>
      <c r="I7957" s="25" t="n"/>
      <c r="U7957" s="19">
        <f>IF($V7957&lt;&gt;'設定'!$C$4,N(U7956),IF(OR(NOT(COUNTIF('商品マスタ'!$B$6:$B$1005,$W7957)=0),COUNTIFS('①在庫を貼る'!$V$6:$V$10005,$V7957,'①在庫を貼る'!$W$6:$W$10005,$W7957)+COUNTIFS('月1回_1ヶ月前の在庫'!$V$6:$V$10005,$V7957,'月1回_1ヶ月前の在庫'!$W$6:$W$10005,$W7957)&gt;0),N(U7956),N(U7956)+1))</f>
        <v/>
      </c>
      <c r="V7957" s="19">
        <f>IF($B7957="","",TEXT($B7957,"0000"))</f>
        <v/>
      </c>
      <c r="W7957" s="19">
        <f>IF($I7957="","",IF(ISNUMBER($I7957),TEXT($I7957,"0"),$I7957))</f>
        <v/>
      </c>
    </row>
    <row r="7958">
      <c r="B7958" s="25" t="n"/>
      <c r="I7958" s="25" t="n"/>
      <c r="U7958" s="19">
        <f>IF($V7958&lt;&gt;'設定'!$C$4,N(U7957),IF(OR(NOT(COUNTIF('商品マスタ'!$B$6:$B$1005,$W7958)=0),COUNTIFS('①在庫を貼る'!$V$6:$V$10005,$V7958,'①在庫を貼る'!$W$6:$W$10005,$W7958)+COUNTIFS('月1回_1ヶ月前の在庫'!$V$6:$V$10005,$V7958,'月1回_1ヶ月前の在庫'!$W$6:$W$10005,$W7958)&gt;0),N(U7957),N(U7957)+1))</f>
        <v/>
      </c>
      <c r="V7958" s="19">
        <f>IF($B7958="","",TEXT($B7958,"0000"))</f>
        <v/>
      </c>
      <c r="W7958" s="19">
        <f>IF($I7958="","",IF(ISNUMBER($I7958),TEXT($I7958,"0"),$I7958))</f>
        <v/>
      </c>
    </row>
    <row r="7959">
      <c r="B7959" s="25" t="n"/>
      <c r="I7959" s="25" t="n"/>
      <c r="U7959" s="19">
        <f>IF($V7959&lt;&gt;'設定'!$C$4,N(U7958),IF(OR(NOT(COUNTIF('商品マスタ'!$B$6:$B$1005,$W7959)=0),COUNTIFS('①在庫を貼る'!$V$6:$V$10005,$V7959,'①在庫を貼る'!$W$6:$W$10005,$W7959)+COUNTIFS('月1回_1ヶ月前の在庫'!$V$6:$V$10005,$V7959,'月1回_1ヶ月前の在庫'!$W$6:$W$10005,$W7959)&gt;0),N(U7958),N(U7958)+1))</f>
        <v/>
      </c>
      <c r="V7959" s="19">
        <f>IF($B7959="","",TEXT($B7959,"0000"))</f>
        <v/>
      </c>
      <c r="W7959" s="19">
        <f>IF($I7959="","",IF(ISNUMBER($I7959),TEXT($I7959,"0"),$I7959))</f>
        <v/>
      </c>
    </row>
    <row r="7960">
      <c r="B7960" s="25" t="n"/>
      <c r="I7960" s="25" t="n"/>
      <c r="U7960" s="19">
        <f>IF($V7960&lt;&gt;'設定'!$C$4,N(U7959),IF(OR(NOT(COUNTIF('商品マスタ'!$B$6:$B$1005,$W7960)=0),COUNTIFS('①在庫を貼る'!$V$6:$V$10005,$V7960,'①在庫を貼る'!$W$6:$W$10005,$W7960)+COUNTIFS('月1回_1ヶ月前の在庫'!$V$6:$V$10005,$V7960,'月1回_1ヶ月前の在庫'!$W$6:$W$10005,$W7960)&gt;0),N(U7959),N(U7959)+1))</f>
        <v/>
      </c>
      <c r="V7960" s="19">
        <f>IF($B7960="","",TEXT($B7960,"0000"))</f>
        <v/>
      </c>
      <c r="W7960" s="19">
        <f>IF($I7960="","",IF(ISNUMBER($I7960),TEXT($I7960,"0"),$I7960))</f>
        <v/>
      </c>
    </row>
    <row r="7961">
      <c r="B7961" s="25" t="n"/>
      <c r="I7961" s="25" t="n"/>
      <c r="U7961" s="19">
        <f>IF($V7961&lt;&gt;'設定'!$C$4,N(U7960),IF(OR(NOT(COUNTIF('商品マスタ'!$B$6:$B$1005,$W7961)=0),COUNTIFS('①在庫を貼る'!$V$6:$V$10005,$V7961,'①在庫を貼る'!$W$6:$W$10005,$W7961)+COUNTIFS('月1回_1ヶ月前の在庫'!$V$6:$V$10005,$V7961,'月1回_1ヶ月前の在庫'!$W$6:$W$10005,$W7961)&gt;0),N(U7960),N(U7960)+1))</f>
        <v/>
      </c>
      <c r="V7961" s="19">
        <f>IF($B7961="","",TEXT($B7961,"0000"))</f>
        <v/>
      </c>
      <c r="W7961" s="19">
        <f>IF($I7961="","",IF(ISNUMBER($I7961),TEXT($I7961,"0"),$I7961))</f>
        <v/>
      </c>
    </row>
    <row r="7962">
      <c r="B7962" s="25" t="n"/>
      <c r="I7962" s="25" t="n"/>
      <c r="U7962" s="19">
        <f>IF($V7962&lt;&gt;'設定'!$C$4,N(U7961),IF(OR(NOT(COUNTIF('商品マスタ'!$B$6:$B$1005,$W7962)=0),COUNTIFS('①在庫を貼る'!$V$6:$V$10005,$V7962,'①在庫を貼る'!$W$6:$W$10005,$W7962)+COUNTIFS('月1回_1ヶ月前の在庫'!$V$6:$V$10005,$V7962,'月1回_1ヶ月前の在庫'!$W$6:$W$10005,$W7962)&gt;0),N(U7961),N(U7961)+1))</f>
        <v/>
      </c>
      <c r="V7962" s="19">
        <f>IF($B7962="","",TEXT($B7962,"0000"))</f>
        <v/>
      </c>
      <c r="W7962" s="19">
        <f>IF($I7962="","",IF(ISNUMBER($I7962),TEXT($I7962,"0"),$I7962))</f>
        <v/>
      </c>
    </row>
    <row r="7963">
      <c r="B7963" s="25" t="n"/>
      <c r="I7963" s="25" t="n"/>
      <c r="U7963" s="19">
        <f>IF($V7963&lt;&gt;'設定'!$C$4,N(U7962),IF(OR(NOT(COUNTIF('商品マスタ'!$B$6:$B$1005,$W7963)=0),COUNTIFS('①在庫を貼る'!$V$6:$V$10005,$V7963,'①在庫を貼る'!$W$6:$W$10005,$W7963)+COUNTIFS('月1回_1ヶ月前の在庫'!$V$6:$V$10005,$V7963,'月1回_1ヶ月前の在庫'!$W$6:$W$10005,$W7963)&gt;0),N(U7962),N(U7962)+1))</f>
        <v/>
      </c>
      <c r="V7963" s="19">
        <f>IF($B7963="","",TEXT($B7963,"0000"))</f>
        <v/>
      </c>
      <c r="W7963" s="19">
        <f>IF($I7963="","",IF(ISNUMBER($I7963),TEXT($I7963,"0"),$I7963))</f>
        <v/>
      </c>
    </row>
    <row r="7964">
      <c r="B7964" s="25" t="n"/>
      <c r="I7964" s="25" t="n"/>
      <c r="U7964" s="19">
        <f>IF($V7964&lt;&gt;'設定'!$C$4,N(U7963),IF(OR(NOT(COUNTIF('商品マスタ'!$B$6:$B$1005,$W7964)=0),COUNTIFS('①在庫を貼る'!$V$6:$V$10005,$V7964,'①在庫を貼る'!$W$6:$W$10005,$W7964)+COUNTIFS('月1回_1ヶ月前の在庫'!$V$6:$V$10005,$V7964,'月1回_1ヶ月前の在庫'!$W$6:$W$10005,$W7964)&gt;0),N(U7963),N(U7963)+1))</f>
        <v/>
      </c>
      <c r="V7964" s="19">
        <f>IF($B7964="","",TEXT($B7964,"0000"))</f>
        <v/>
      </c>
      <c r="W7964" s="19">
        <f>IF($I7964="","",IF(ISNUMBER($I7964),TEXT($I7964,"0"),$I7964))</f>
        <v/>
      </c>
    </row>
    <row r="7965">
      <c r="B7965" s="25" t="n"/>
      <c r="I7965" s="25" t="n"/>
      <c r="U7965" s="19">
        <f>IF($V7965&lt;&gt;'設定'!$C$4,N(U7964),IF(OR(NOT(COUNTIF('商品マスタ'!$B$6:$B$1005,$W7965)=0),COUNTIFS('①在庫を貼る'!$V$6:$V$10005,$V7965,'①在庫を貼る'!$W$6:$W$10005,$W7965)+COUNTIFS('月1回_1ヶ月前の在庫'!$V$6:$V$10005,$V7965,'月1回_1ヶ月前の在庫'!$W$6:$W$10005,$W7965)&gt;0),N(U7964),N(U7964)+1))</f>
        <v/>
      </c>
      <c r="V7965" s="19">
        <f>IF($B7965="","",TEXT($B7965,"0000"))</f>
        <v/>
      </c>
      <c r="W7965" s="19">
        <f>IF($I7965="","",IF(ISNUMBER($I7965),TEXT($I7965,"0"),$I7965))</f>
        <v/>
      </c>
    </row>
    <row r="7966">
      <c r="B7966" s="25" t="n"/>
      <c r="I7966" s="25" t="n"/>
      <c r="U7966" s="19">
        <f>IF($V7966&lt;&gt;'設定'!$C$4,N(U7965),IF(OR(NOT(COUNTIF('商品マスタ'!$B$6:$B$1005,$W7966)=0),COUNTIFS('①在庫を貼る'!$V$6:$V$10005,$V7966,'①在庫を貼る'!$W$6:$W$10005,$W7966)+COUNTIFS('月1回_1ヶ月前の在庫'!$V$6:$V$10005,$V7966,'月1回_1ヶ月前の在庫'!$W$6:$W$10005,$W7966)&gt;0),N(U7965),N(U7965)+1))</f>
        <v/>
      </c>
      <c r="V7966" s="19">
        <f>IF($B7966="","",TEXT($B7966,"0000"))</f>
        <v/>
      </c>
      <c r="W7966" s="19">
        <f>IF($I7966="","",IF(ISNUMBER($I7966),TEXT($I7966,"0"),$I7966))</f>
        <v/>
      </c>
    </row>
    <row r="7967">
      <c r="B7967" s="25" t="n"/>
      <c r="I7967" s="25" t="n"/>
      <c r="U7967" s="19">
        <f>IF($V7967&lt;&gt;'設定'!$C$4,N(U7966),IF(OR(NOT(COUNTIF('商品マスタ'!$B$6:$B$1005,$W7967)=0),COUNTIFS('①在庫を貼る'!$V$6:$V$10005,$V7967,'①在庫を貼る'!$W$6:$W$10005,$W7967)+COUNTIFS('月1回_1ヶ月前の在庫'!$V$6:$V$10005,$V7967,'月1回_1ヶ月前の在庫'!$W$6:$W$10005,$W7967)&gt;0),N(U7966),N(U7966)+1))</f>
        <v/>
      </c>
      <c r="V7967" s="19">
        <f>IF($B7967="","",TEXT($B7967,"0000"))</f>
        <v/>
      </c>
      <c r="W7967" s="19">
        <f>IF($I7967="","",IF(ISNUMBER($I7967),TEXT($I7967,"0"),$I7967))</f>
        <v/>
      </c>
    </row>
    <row r="7968">
      <c r="B7968" s="25" t="n"/>
      <c r="I7968" s="25" t="n"/>
      <c r="U7968" s="19">
        <f>IF($V7968&lt;&gt;'設定'!$C$4,N(U7967),IF(OR(NOT(COUNTIF('商品マスタ'!$B$6:$B$1005,$W7968)=0),COUNTIFS('①在庫を貼る'!$V$6:$V$10005,$V7968,'①在庫を貼る'!$W$6:$W$10005,$W7968)+COUNTIFS('月1回_1ヶ月前の在庫'!$V$6:$V$10005,$V7968,'月1回_1ヶ月前の在庫'!$W$6:$W$10005,$W7968)&gt;0),N(U7967),N(U7967)+1))</f>
        <v/>
      </c>
      <c r="V7968" s="19">
        <f>IF($B7968="","",TEXT($B7968,"0000"))</f>
        <v/>
      </c>
      <c r="W7968" s="19">
        <f>IF($I7968="","",IF(ISNUMBER($I7968),TEXT($I7968,"0"),$I7968))</f>
        <v/>
      </c>
    </row>
    <row r="7969">
      <c r="B7969" s="25" t="n"/>
      <c r="I7969" s="25" t="n"/>
      <c r="U7969" s="19">
        <f>IF($V7969&lt;&gt;'設定'!$C$4,N(U7968),IF(OR(NOT(COUNTIF('商品マスタ'!$B$6:$B$1005,$W7969)=0),COUNTIFS('①在庫を貼る'!$V$6:$V$10005,$V7969,'①在庫を貼る'!$W$6:$W$10005,$W7969)+COUNTIFS('月1回_1ヶ月前の在庫'!$V$6:$V$10005,$V7969,'月1回_1ヶ月前の在庫'!$W$6:$W$10005,$W7969)&gt;0),N(U7968),N(U7968)+1))</f>
        <v/>
      </c>
      <c r="V7969" s="19">
        <f>IF($B7969="","",TEXT($B7969,"0000"))</f>
        <v/>
      </c>
      <c r="W7969" s="19">
        <f>IF($I7969="","",IF(ISNUMBER($I7969),TEXT($I7969,"0"),$I7969))</f>
        <v/>
      </c>
    </row>
    <row r="7970">
      <c r="B7970" s="25" t="n"/>
      <c r="I7970" s="25" t="n"/>
      <c r="U7970" s="19">
        <f>IF($V7970&lt;&gt;'設定'!$C$4,N(U7969),IF(OR(NOT(COUNTIF('商品マスタ'!$B$6:$B$1005,$W7970)=0),COUNTIFS('①在庫を貼る'!$V$6:$V$10005,$V7970,'①在庫を貼る'!$W$6:$W$10005,$W7970)+COUNTIFS('月1回_1ヶ月前の在庫'!$V$6:$V$10005,$V7970,'月1回_1ヶ月前の在庫'!$W$6:$W$10005,$W7970)&gt;0),N(U7969),N(U7969)+1))</f>
        <v/>
      </c>
      <c r="V7970" s="19">
        <f>IF($B7970="","",TEXT($B7970,"0000"))</f>
        <v/>
      </c>
      <c r="W7970" s="19">
        <f>IF($I7970="","",IF(ISNUMBER($I7970),TEXT($I7970,"0"),$I7970))</f>
        <v/>
      </c>
    </row>
    <row r="7971">
      <c r="B7971" s="25" t="n"/>
      <c r="I7971" s="25" t="n"/>
      <c r="U7971" s="19">
        <f>IF($V7971&lt;&gt;'設定'!$C$4,N(U7970),IF(OR(NOT(COUNTIF('商品マスタ'!$B$6:$B$1005,$W7971)=0),COUNTIFS('①在庫を貼る'!$V$6:$V$10005,$V7971,'①在庫を貼る'!$W$6:$W$10005,$W7971)+COUNTIFS('月1回_1ヶ月前の在庫'!$V$6:$V$10005,$V7971,'月1回_1ヶ月前の在庫'!$W$6:$W$10005,$W7971)&gt;0),N(U7970),N(U7970)+1))</f>
        <v/>
      </c>
      <c r="V7971" s="19">
        <f>IF($B7971="","",TEXT($B7971,"0000"))</f>
        <v/>
      </c>
      <c r="W7971" s="19">
        <f>IF($I7971="","",IF(ISNUMBER($I7971),TEXT($I7971,"0"),$I7971))</f>
        <v/>
      </c>
    </row>
    <row r="7972">
      <c r="B7972" s="25" t="n"/>
      <c r="I7972" s="25" t="n"/>
      <c r="U7972" s="19">
        <f>IF($V7972&lt;&gt;'設定'!$C$4,N(U7971),IF(OR(NOT(COUNTIF('商品マスタ'!$B$6:$B$1005,$W7972)=0),COUNTIFS('①在庫を貼る'!$V$6:$V$10005,$V7972,'①在庫を貼る'!$W$6:$W$10005,$W7972)+COUNTIFS('月1回_1ヶ月前の在庫'!$V$6:$V$10005,$V7972,'月1回_1ヶ月前の在庫'!$W$6:$W$10005,$W7972)&gt;0),N(U7971),N(U7971)+1))</f>
        <v/>
      </c>
      <c r="V7972" s="19">
        <f>IF($B7972="","",TEXT($B7972,"0000"))</f>
        <v/>
      </c>
      <c r="W7972" s="19">
        <f>IF($I7972="","",IF(ISNUMBER($I7972),TEXT($I7972,"0"),$I7972))</f>
        <v/>
      </c>
    </row>
    <row r="7973">
      <c r="B7973" s="25" t="n"/>
      <c r="I7973" s="25" t="n"/>
      <c r="U7973" s="19">
        <f>IF($V7973&lt;&gt;'設定'!$C$4,N(U7972),IF(OR(NOT(COUNTIF('商品マスタ'!$B$6:$B$1005,$W7973)=0),COUNTIFS('①在庫を貼る'!$V$6:$V$10005,$V7973,'①在庫を貼る'!$W$6:$W$10005,$W7973)+COUNTIFS('月1回_1ヶ月前の在庫'!$V$6:$V$10005,$V7973,'月1回_1ヶ月前の在庫'!$W$6:$W$10005,$W7973)&gt;0),N(U7972),N(U7972)+1))</f>
        <v/>
      </c>
      <c r="V7973" s="19">
        <f>IF($B7973="","",TEXT($B7973,"0000"))</f>
        <v/>
      </c>
      <c r="W7973" s="19">
        <f>IF($I7973="","",IF(ISNUMBER($I7973),TEXT($I7973,"0"),$I7973))</f>
        <v/>
      </c>
    </row>
    <row r="7974">
      <c r="B7974" s="25" t="n"/>
      <c r="I7974" s="25" t="n"/>
      <c r="U7974" s="19">
        <f>IF($V7974&lt;&gt;'設定'!$C$4,N(U7973),IF(OR(NOT(COUNTIF('商品マスタ'!$B$6:$B$1005,$W7974)=0),COUNTIFS('①在庫を貼る'!$V$6:$V$10005,$V7974,'①在庫を貼る'!$W$6:$W$10005,$W7974)+COUNTIFS('月1回_1ヶ月前の在庫'!$V$6:$V$10005,$V7974,'月1回_1ヶ月前の在庫'!$W$6:$W$10005,$W7974)&gt;0),N(U7973),N(U7973)+1))</f>
        <v/>
      </c>
      <c r="V7974" s="19">
        <f>IF($B7974="","",TEXT($B7974,"0000"))</f>
        <v/>
      </c>
      <c r="W7974" s="19">
        <f>IF($I7974="","",IF(ISNUMBER($I7974),TEXT($I7974,"0"),$I7974))</f>
        <v/>
      </c>
    </row>
    <row r="7975">
      <c r="B7975" s="25" t="n"/>
      <c r="I7975" s="25" t="n"/>
      <c r="U7975" s="19">
        <f>IF($V7975&lt;&gt;'設定'!$C$4,N(U7974),IF(OR(NOT(COUNTIF('商品マスタ'!$B$6:$B$1005,$W7975)=0),COUNTIFS('①在庫を貼る'!$V$6:$V$10005,$V7975,'①在庫を貼る'!$W$6:$W$10005,$W7975)+COUNTIFS('月1回_1ヶ月前の在庫'!$V$6:$V$10005,$V7975,'月1回_1ヶ月前の在庫'!$W$6:$W$10005,$W7975)&gt;0),N(U7974),N(U7974)+1))</f>
        <v/>
      </c>
      <c r="V7975" s="19">
        <f>IF($B7975="","",TEXT($B7975,"0000"))</f>
        <v/>
      </c>
      <c r="W7975" s="19">
        <f>IF($I7975="","",IF(ISNUMBER($I7975),TEXT($I7975,"0"),$I7975))</f>
        <v/>
      </c>
    </row>
    <row r="7976">
      <c r="B7976" s="25" t="n"/>
      <c r="I7976" s="25" t="n"/>
      <c r="U7976" s="19">
        <f>IF($V7976&lt;&gt;'設定'!$C$4,N(U7975),IF(OR(NOT(COUNTIF('商品マスタ'!$B$6:$B$1005,$W7976)=0),COUNTIFS('①在庫を貼る'!$V$6:$V$10005,$V7976,'①在庫を貼る'!$W$6:$W$10005,$W7976)+COUNTIFS('月1回_1ヶ月前の在庫'!$V$6:$V$10005,$V7976,'月1回_1ヶ月前の在庫'!$W$6:$W$10005,$W7976)&gt;0),N(U7975),N(U7975)+1))</f>
        <v/>
      </c>
      <c r="V7976" s="19">
        <f>IF($B7976="","",TEXT($B7976,"0000"))</f>
        <v/>
      </c>
      <c r="W7976" s="19">
        <f>IF($I7976="","",IF(ISNUMBER($I7976),TEXT($I7976,"0"),$I7976))</f>
        <v/>
      </c>
    </row>
    <row r="7977">
      <c r="B7977" s="25" t="n"/>
      <c r="I7977" s="25" t="n"/>
      <c r="U7977" s="19">
        <f>IF($V7977&lt;&gt;'設定'!$C$4,N(U7976),IF(OR(NOT(COUNTIF('商品マスタ'!$B$6:$B$1005,$W7977)=0),COUNTIFS('①在庫を貼る'!$V$6:$V$10005,$V7977,'①在庫を貼る'!$W$6:$W$10005,$W7977)+COUNTIFS('月1回_1ヶ月前の在庫'!$V$6:$V$10005,$V7977,'月1回_1ヶ月前の在庫'!$W$6:$W$10005,$W7977)&gt;0),N(U7976),N(U7976)+1))</f>
        <v/>
      </c>
      <c r="V7977" s="19">
        <f>IF($B7977="","",TEXT($B7977,"0000"))</f>
        <v/>
      </c>
      <c r="W7977" s="19">
        <f>IF($I7977="","",IF(ISNUMBER($I7977),TEXT($I7977,"0"),$I7977))</f>
        <v/>
      </c>
    </row>
    <row r="7978">
      <c r="B7978" s="25" t="n"/>
      <c r="I7978" s="25" t="n"/>
      <c r="U7978" s="19">
        <f>IF($V7978&lt;&gt;'設定'!$C$4,N(U7977),IF(OR(NOT(COUNTIF('商品マスタ'!$B$6:$B$1005,$W7978)=0),COUNTIFS('①在庫を貼る'!$V$6:$V$10005,$V7978,'①在庫を貼る'!$W$6:$W$10005,$W7978)+COUNTIFS('月1回_1ヶ月前の在庫'!$V$6:$V$10005,$V7978,'月1回_1ヶ月前の在庫'!$W$6:$W$10005,$W7978)&gt;0),N(U7977),N(U7977)+1))</f>
        <v/>
      </c>
      <c r="V7978" s="19">
        <f>IF($B7978="","",TEXT($B7978,"0000"))</f>
        <v/>
      </c>
      <c r="W7978" s="19">
        <f>IF($I7978="","",IF(ISNUMBER($I7978),TEXT($I7978,"0"),$I7978))</f>
        <v/>
      </c>
    </row>
    <row r="7979">
      <c r="B7979" s="25" t="n"/>
      <c r="I7979" s="25" t="n"/>
      <c r="U7979" s="19">
        <f>IF($V7979&lt;&gt;'設定'!$C$4,N(U7978),IF(OR(NOT(COUNTIF('商品マスタ'!$B$6:$B$1005,$W7979)=0),COUNTIFS('①在庫を貼る'!$V$6:$V$10005,$V7979,'①在庫を貼る'!$W$6:$W$10005,$W7979)+COUNTIFS('月1回_1ヶ月前の在庫'!$V$6:$V$10005,$V7979,'月1回_1ヶ月前の在庫'!$W$6:$W$10005,$W7979)&gt;0),N(U7978),N(U7978)+1))</f>
        <v/>
      </c>
      <c r="V7979" s="19">
        <f>IF($B7979="","",TEXT($B7979,"0000"))</f>
        <v/>
      </c>
      <c r="W7979" s="19">
        <f>IF($I7979="","",IF(ISNUMBER($I7979),TEXT($I7979,"0"),$I7979))</f>
        <v/>
      </c>
    </row>
    <row r="7980">
      <c r="B7980" s="25" t="n"/>
      <c r="I7980" s="25" t="n"/>
      <c r="U7980" s="19">
        <f>IF($V7980&lt;&gt;'設定'!$C$4,N(U7979),IF(OR(NOT(COUNTIF('商品マスタ'!$B$6:$B$1005,$W7980)=0),COUNTIFS('①在庫を貼る'!$V$6:$V$10005,$V7980,'①在庫を貼る'!$W$6:$W$10005,$W7980)+COUNTIFS('月1回_1ヶ月前の在庫'!$V$6:$V$10005,$V7980,'月1回_1ヶ月前の在庫'!$W$6:$W$10005,$W7980)&gt;0),N(U7979),N(U7979)+1))</f>
        <v/>
      </c>
      <c r="V7980" s="19">
        <f>IF($B7980="","",TEXT($B7980,"0000"))</f>
        <v/>
      </c>
      <c r="W7980" s="19">
        <f>IF($I7980="","",IF(ISNUMBER($I7980),TEXT($I7980,"0"),$I7980))</f>
        <v/>
      </c>
    </row>
    <row r="7981">
      <c r="B7981" s="25" t="n"/>
      <c r="I7981" s="25" t="n"/>
      <c r="U7981" s="19">
        <f>IF($V7981&lt;&gt;'設定'!$C$4,N(U7980),IF(OR(NOT(COUNTIF('商品マスタ'!$B$6:$B$1005,$W7981)=0),COUNTIFS('①在庫を貼る'!$V$6:$V$10005,$V7981,'①在庫を貼る'!$W$6:$W$10005,$W7981)+COUNTIFS('月1回_1ヶ月前の在庫'!$V$6:$V$10005,$V7981,'月1回_1ヶ月前の在庫'!$W$6:$W$10005,$W7981)&gt;0),N(U7980),N(U7980)+1))</f>
        <v/>
      </c>
      <c r="V7981" s="19">
        <f>IF($B7981="","",TEXT($B7981,"0000"))</f>
        <v/>
      </c>
      <c r="W7981" s="19">
        <f>IF($I7981="","",IF(ISNUMBER($I7981),TEXT($I7981,"0"),$I7981))</f>
        <v/>
      </c>
    </row>
    <row r="7982">
      <c r="B7982" s="25" t="n"/>
      <c r="I7982" s="25" t="n"/>
      <c r="U7982" s="19">
        <f>IF($V7982&lt;&gt;'設定'!$C$4,N(U7981),IF(OR(NOT(COUNTIF('商品マスタ'!$B$6:$B$1005,$W7982)=0),COUNTIFS('①在庫を貼る'!$V$6:$V$10005,$V7982,'①在庫を貼る'!$W$6:$W$10005,$W7982)+COUNTIFS('月1回_1ヶ月前の在庫'!$V$6:$V$10005,$V7982,'月1回_1ヶ月前の在庫'!$W$6:$W$10005,$W7982)&gt;0),N(U7981),N(U7981)+1))</f>
        <v/>
      </c>
      <c r="V7982" s="19">
        <f>IF($B7982="","",TEXT($B7982,"0000"))</f>
        <v/>
      </c>
      <c r="W7982" s="19">
        <f>IF($I7982="","",IF(ISNUMBER($I7982),TEXT($I7982,"0"),$I7982))</f>
        <v/>
      </c>
    </row>
    <row r="7983">
      <c r="B7983" s="25" t="n"/>
      <c r="I7983" s="25" t="n"/>
      <c r="U7983" s="19">
        <f>IF($V7983&lt;&gt;'設定'!$C$4,N(U7982),IF(OR(NOT(COUNTIF('商品マスタ'!$B$6:$B$1005,$W7983)=0),COUNTIFS('①在庫を貼る'!$V$6:$V$10005,$V7983,'①在庫を貼る'!$W$6:$W$10005,$W7983)+COUNTIFS('月1回_1ヶ月前の在庫'!$V$6:$V$10005,$V7983,'月1回_1ヶ月前の在庫'!$W$6:$W$10005,$W7983)&gt;0),N(U7982),N(U7982)+1))</f>
        <v/>
      </c>
      <c r="V7983" s="19">
        <f>IF($B7983="","",TEXT($B7983,"0000"))</f>
        <v/>
      </c>
      <c r="W7983" s="19">
        <f>IF($I7983="","",IF(ISNUMBER($I7983),TEXT($I7983,"0"),$I7983))</f>
        <v/>
      </c>
    </row>
    <row r="7984">
      <c r="B7984" s="25" t="n"/>
      <c r="I7984" s="25" t="n"/>
      <c r="U7984" s="19">
        <f>IF($V7984&lt;&gt;'設定'!$C$4,N(U7983),IF(OR(NOT(COUNTIF('商品マスタ'!$B$6:$B$1005,$W7984)=0),COUNTIFS('①在庫を貼る'!$V$6:$V$10005,$V7984,'①在庫を貼る'!$W$6:$W$10005,$W7984)+COUNTIFS('月1回_1ヶ月前の在庫'!$V$6:$V$10005,$V7984,'月1回_1ヶ月前の在庫'!$W$6:$W$10005,$W7984)&gt;0),N(U7983),N(U7983)+1))</f>
        <v/>
      </c>
      <c r="V7984" s="19">
        <f>IF($B7984="","",TEXT($B7984,"0000"))</f>
        <v/>
      </c>
      <c r="W7984" s="19">
        <f>IF($I7984="","",IF(ISNUMBER($I7984),TEXT($I7984,"0"),$I7984))</f>
        <v/>
      </c>
    </row>
    <row r="7985">
      <c r="B7985" s="25" t="n"/>
      <c r="I7985" s="25" t="n"/>
      <c r="U7985" s="19">
        <f>IF($V7985&lt;&gt;'設定'!$C$4,N(U7984),IF(OR(NOT(COUNTIF('商品マスタ'!$B$6:$B$1005,$W7985)=0),COUNTIFS('①在庫を貼る'!$V$6:$V$10005,$V7985,'①在庫を貼る'!$W$6:$W$10005,$W7985)+COUNTIFS('月1回_1ヶ月前の在庫'!$V$6:$V$10005,$V7985,'月1回_1ヶ月前の在庫'!$W$6:$W$10005,$W7985)&gt;0),N(U7984),N(U7984)+1))</f>
        <v/>
      </c>
      <c r="V7985" s="19">
        <f>IF($B7985="","",TEXT($B7985,"0000"))</f>
        <v/>
      </c>
      <c r="W7985" s="19">
        <f>IF($I7985="","",IF(ISNUMBER($I7985),TEXT($I7985,"0"),$I7985))</f>
        <v/>
      </c>
    </row>
    <row r="7986">
      <c r="B7986" s="25" t="n"/>
      <c r="I7986" s="25" t="n"/>
      <c r="U7986" s="19">
        <f>IF($V7986&lt;&gt;'設定'!$C$4,N(U7985),IF(OR(NOT(COUNTIF('商品マスタ'!$B$6:$B$1005,$W7986)=0),COUNTIFS('①在庫を貼る'!$V$6:$V$10005,$V7986,'①在庫を貼る'!$W$6:$W$10005,$W7986)+COUNTIFS('月1回_1ヶ月前の在庫'!$V$6:$V$10005,$V7986,'月1回_1ヶ月前の在庫'!$W$6:$W$10005,$W7986)&gt;0),N(U7985),N(U7985)+1))</f>
        <v/>
      </c>
      <c r="V7986" s="19">
        <f>IF($B7986="","",TEXT($B7986,"0000"))</f>
        <v/>
      </c>
      <c r="W7986" s="19">
        <f>IF($I7986="","",IF(ISNUMBER($I7986),TEXT($I7986,"0"),$I7986))</f>
        <v/>
      </c>
    </row>
    <row r="7987">
      <c r="B7987" s="25" t="n"/>
      <c r="I7987" s="25" t="n"/>
      <c r="U7987" s="19">
        <f>IF($V7987&lt;&gt;'設定'!$C$4,N(U7986),IF(OR(NOT(COUNTIF('商品マスタ'!$B$6:$B$1005,$W7987)=0),COUNTIFS('①在庫を貼る'!$V$6:$V$10005,$V7987,'①在庫を貼る'!$W$6:$W$10005,$W7987)+COUNTIFS('月1回_1ヶ月前の在庫'!$V$6:$V$10005,$V7987,'月1回_1ヶ月前の在庫'!$W$6:$W$10005,$W7987)&gt;0),N(U7986),N(U7986)+1))</f>
        <v/>
      </c>
      <c r="V7987" s="19">
        <f>IF($B7987="","",TEXT($B7987,"0000"))</f>
        <v/>
      </c>
      <c r="W7987" s="19">
        <f>IF($I7987="","",IF(ISNUMBER($I7987),TEXT($I7987,"0"),$I7987))</f>
        <v/>
      </c>
    </row>
    <row r="7988">
      <c r="B7988" s="25" t="n"/>
      <c r="I7988" s="25" t="n"/>
      <c r="U7988" s="19">
        <f>IF($V7988&lt;&gt;'設定'!$C$4,N(U7987),IF(OR(NOT(COUNTIF('商品マスタ'!$B$6:$B$1005,$W7988)=0),COUNTIFS('①在庫を貼る'!$V$6:$V$10005,$V7988,'①在庫を貼る'!$W$6:$W$10005,$W7988)+COUNTIFS('月1回_1ヶ月前の在庫'!$V$6:$V$10005,$V7988,'月1回_1ヶ月前の在庫'!$W$6:$W$10005,$W7988)&gt;0),N(U7987),N(U7987)+1))</f>
        <v/>
      </c>
      <c r="V7988" s="19">
        <f>IF($B7988="","",TEXT($B7988,"0000"))</f>
        <v/>
      </c>
      <c r="W7988" s="19">
        <f>IF($I7988="","",IF(ISNUMBER($I7988),TEXT($I7988,"0"),$I7988))</f>
        <v/>
      </c>
    </row>
    <row r="7989">
      <c r="B7989" s="25" t="n"/>
      <c r="I7989" s="25" t="n"/>
      <c r="U7989" s="19">
        <f>IF($V7989&lt;&gt;'設定'!$C$4,N(U7988),IF(OR(NOT(COUNTIF('商品マスタ'!$B$6:$B$1005,$W7989)=0),COUNTIFS('①在庫を貼る'!$V$6:$V$10005,$V7989,'①在庫を貼る'!$W$6:$W$10005,$W7989)+COUNTIFS('月1回_1ヶ月前の在庫'!$V$6:$V$10005,$V7989,'月1回_1ヶ月前の在庫'!$W$6:$W$10005,$W7989)&gt;0),N(U7988),N(U7988)+1))</f>
        <v/>
      </c>
      <c r="V7989" s="19">
        <f>IF($B7989="","",TEXT($B7989,"0000"))</f>
        <v/>
      </c>
      <c r="W7989" s="19">
        <f>IF($I7989="","",IF(ISNUMBER($I7989),TEXT($I7989,"0"),$I7989))</f>
        <v/>
      </c>
    </row>
    <row r="7990">
      <c r="B7990" s="25" t="n"/>
      <c r="I7990" s="25" t="n"/>
      <c r="U7990" s="19">
        <f>IF($V7990&lt;&gt;'設定'!$C$4,N(U7989),IF(OR(NOT(COUNTIF('商品マスタ'!$B$6:$B$1005,$W7990)=0),COUNTIFS('①在庫を貼る'!$V$6:$V$10005,$V7990,'①在庫を貼る'!$W$6:$W$10005,$W7990)+COUNTIFS('月1回_1ヶ月前の在庫'!$V$6:$V$10005,$V7990,'月1回_1ヶ月前の在庫'!$W$6:$W$10005,$W7990)&gt;0),N(U7989),N(U7989)+1))</f>
        <v/>
      </c>
      <c r="V7990" s="19">
        <f>IF($B7990="","",TEXT($B7990,"0000"))</f>
        <v/>
      </c>
      <c r="W7990" s="19">
        <f>IF($I7990="","",IF(ISNUMBER($I7990),TEXT($I7990,"0"),$I7990))</f>
        <v/>
      </c>
    </row>
    <row r="7991">
      <c r="B7991" s="25" t="n"/>
      <c r="I7991" s="25" t="n"/>
      <c r="U7991" s="19">
        <f>IF($V7991&lt;&gt;'設定'!$C$4,N(U7990),IF(OR(NOT(COUNTIF('商品マスタ'!$B$6:$B$1005,$W7991)=0),COUNTIFS('①在庫を貼る'!$V$6:$V$10005,$V7991,'①在庫を貼る'!$W$6:$W$10005,$W7991)+COUNTIFS('月1回_1ヶ月前の在庫'!$V$6:$V$10005,$V7991,'月1回_1ヶ月前の在庫'!$W$6:$W$10005,$W7991)&gt;0),N(U7990),N(U7990)+1))</f>
        <v/>
      </c>
      <c r="V7991" s="19">
        <f>IF($B7991="","",TEXT($B7991,"0000"))</f>
        <v/>
      </c>
      <c r="W7991" s="19">
        <f>IF($I7991="","",IF(ISNUMBER($I7991),TEXT($I7991,"0"),$I7991))</f>
        <v/>
      </c>
    </row>
    <row r="7992">
      <c r="B7992" s="25" t="n"/>
      <c r="I7992" s="25" t="n"/>
      <c r="U7992" s="19">
        <f>IF($V7992&lt;&gt;'設定'!$C$4,N(U7991),IF(OR(NOT(COUNTIF('商品マスタ'!$B$6:$B$1005,$W7992)=0),COUNTIFS('①在庫を貼る'!$V$6:$V$10005,$V7992,'①在庫を貼る'!$W$6:$W$10005,$W7992)+COUNTIFS('月1回_1ヶ月前の在庫'!$V$6:$V$10005,$V7992,'月1回_1ヶ月前の在庫'!$W$6:$W$10005,$W7992)&gt;0),N(U7991),N(U7991)+1))</f>
        <v/>
      </c>
      <c r="V7992" s="19">
        <f>IF($B7992="","",TEXT($B7992,"0000"))</f>
        <v/>
      </c>
      <c r="W7992" s="19">
        <f>IF($I7992="","",IF(ISNUMBER($I7992),TEXT($I7992,"0"),$I7992))</f>
        <v/>
      </c>
    </row>
    <row r="7993">
      <c r="B7993" s="25" t="n"/>
      <c r="I7993" s="25" t="n"/>
      <c r="U7993" s="19">
        <f>IF($V7993&lt;&gt;'設定'!$C$4,N(U7992),IF(OR(NOT(COUNTIF('商品マスタ'!$B$6:$B$1005,$W7993)=0),COUNTIFS('①在庫を貼る'!$V$6:$V$10005,$V7993,'①在庫を貼る'!$W$6:$W$10005,$W7993)+COUNTIFS('月1回_1ヶ月前の在庫'!$V$6:$V$10005,$V7993,'月1回_1ヶ月前の在庫'!$W$6:$W$10005,$W7993)&gt;0),N(U7992),N(U7992)+1))</f>
        <v/>
      </c>
      <c r="V7993" s="19">
        <f>IF($B7993="","",TEXT($B7993,"0000"))</f>
        <v/>
      </c>
      <c r="W7993" s="19">
        <f>IF($I7993="","",IF(ISNUMBER($I7993),TEXT($I7993,"0"),$I7993))</f>
        <v/>
      </c>
    </row>
    <row r="7994">
      <c r="B7994" s="25" t="n"/>
      <c r="I7994" s="25" t="n"/>
      <c r="U7994" s="19">
        <f>IF($V7994&lt;&gt;'設定'!$C$4,N(U7993),IF(OR(NOT(COUNTIF('商品マスタ'!$B$6:$B$1005,$W7994)=0),COUNTIFS('①在庫を貼る'!$V$6:$V$10005,$V7994,'①在庫を貼る'!$W$6:$W$10005,$W7994)+COUNTIFS('月1回_1ヶ月前の在庫'!$V$6:$V$10005,$V7994,'月1回_1ヶ月前の在庫'!$W$6:$W$10005,$W7994)&gt;0),N(U7993),N(U7993)+1))</f>
        <v/>
      </c>
      <c r="V7994" s="19">
        <f>IF($B7994="","",TEXT($B7994,"0000"))</f>
        <v/>
      </c>
      <c r="W7994" s="19">
        <f>IF($I7994="","",IF(ISNUMBER($I7994),TEXT($I7994,"0"),$I7994))</f>
        <v/>
      </c>
    </row>
    <row r="7995">
      <c r="B7995" s="25" t="n"/>
      <c r="I7995" s="25" t="n"/>
      <c r="U7995" s="19">
        <f>IF($V7995&lt;&gt;'設定'!$C$4,N(U7994),IF(OR(NOT(COUNTIF('商品マスタ'!$B$6:$B$1005,$W7995)=0),COUNTIFS('①在庫を貼る'!$V$6:$V$10005,$V7995,'①在庫を貼る'!$W$6:$W$10005,$W7995)+COUNTIFS('月1回_1ヶ月前の在庫'!$V$6:$V$10005,$V7995,'月1回_1ヶ月前の在庫'!$W$6:$W$10005,$W7995)&gt;0),N(U7994),N(U7994)+1))</f>
        <v/>
      </c>
      <c r="V7995" s="19">
        <f>IF($B7995="","",TEXT($B7995,"0000"))</f>
        <v/>
      </c>
      <c r="W7995" s="19">
        <f>IF($I7995="","",IF(ISNUMBER($I7995),TEXT($I7995,"0"),$I7995))</f>
        <v/>
      </c>
    </row>
    <row r="7996">
      <c r="B7996" s="25" t="n"/>
      <c r="I7996" s="25" t="n"/>
      <c r="U7996" s="19">
        <f>IF($V7996&lt;&gt;'設定'!$C$4,N(U7995),IF(OR(NOT(COUNTIF('商品マスタ'!$B$6:$B$1005,$W7996)=0),COUNTIFS('①在庫を貼る'!$V$6:$V$10005,$V7996,'①在庫を貼る'!$W$6:$W$10005,$W7996)+COUNTIFS('月1回_1ヶ月前の在庫'!$V$6:$V$10005,$V7996,'月1回_1ヶ月前の在庫'!$W$6:$W$10005,$W7996)&gt;0),N(U7995),N(U7995)+1))</f>
        <v/>
      </c>
      <c r="V7996" s="19">
        <f>IF($B7996="","",TEXT($B7996,"0000"))</f>
        <v/>
      </c>
      <c r="W7996" s="19">
        <f>IF($I7996="","",IF(ISNUMBER($I7996),TEXT($I7996,"0"),$I7996))</f>
        <v/>
      </c>
    </row>
    <row r="7997">
      <c r="B7997" s="25" t="n"/>
      <c r="I7997" s="25" t="n"/>
      <c r="U7997" s="19">
        <f>IF($V7997&lt;&gt;'設定'!$C$4,N(U7996),IF(OR(NOT(COUNTIF('商品マスタ'!$B$6:$B$1005,$W7997)=0),COUNTIFS('①在庫を貼る'!$V$6:$V$10005,$V7997,'①在庫を貼る'!$W$6:$W$10005,$W7997)+COUNTIFS('月1回_1ヶ月前の在庫'!$V$6:$V$10005,$V7997,'月1回_1ヶ月前の在庫'!$W$6:$W$10005,$W7997)&gt;0),N(U7996),N(U7996)+1))</f>
        <v/>
      </c>
      <c r="V7997" s="19">
        <f>IF($B7997="","",TEXT($B7997,"0000"))</f>
        <v/>
      </c>
      <c r="W7997" s="19">
        <f>IF($I7997="","",IF(ISNUMBER($I7997),TEXT($I7997,"0"),$I7997))</f>
        <v/>
      </c>
    </row>
    <row r="7998">
      <c r="B7998" s="25" t="n"/>
      <c r="I7998" s="25" t="n"/>
      <c r="U7998" s="19">
        <f>IF($V7998&lt;&gt;'設定'!$C$4,N(U7997),IF(OR(NOT(COUNTIF('商品マスタ'!$B$6:$B$1005,$W7998)=0),COUNTIFS('①在庫を貼る'!$V$6:$V$10005,$V7998,'①在庫を貼る'!$W$6:$W$10005,$W7998)+COUNTIFS('月1回_1ヶ月前の在庫'!$V$6:$V$10005,$V7998,'月1回_1ヶ月前の在庫'!$W$6:$W$10005,$W7998)&gt;0),N(U7997),N(U7997)+1))</f>
        <v/>
      </c>
      <c r="V7998" s="19">
        <f>IF($B7998="","",TEXT($B7998,"0000"))</f>
        <v/>
      </c>
      <c r="W7998" s="19">
        <f>IF($I7998="","",IF(ISNUMBER($I7998),TEXT($I7998,"0"),$I7998))</f>
        <v/>
      </c>
    </row>
    <row r="7999">
      <c r="B7999" s="25" t="n"/>
      <c r="I7999" s="25" t="n"/>
      <c r="U7999" s="19">
        <f>IF($V7999&lt;&gt;'設定'!$C$4,N(U7998),IF(OR(NOT(COUNTIF('商品マスタ'!$B$6:$B$1005,$W7999)=0),COUNTIFS('①在庫を貼る'!$V$6:$V$10005,$V7999,'①在庫を貼る'!$W$6:$W$10005,$W7999)+COUNTIFS('月1回_1ヶ月前の在庫'!$V$6:$V$10005,$V7999,'月1回_1ヶ月前の在庫'!$W$6:$W$10005,$W7999)&gt;0),N(U7998),N(U7998)+1))</f>
        <v/>
      </c>
      <c r="V7999" s="19">
        <f>IF($B7999="","",TEXT($B7999,"0000"))</f>
        <v/>
      </c>
      <c r="W7999" s="19">
        <f>IF($I7999="","",IF(ISNUMBER($I7999),TEXT($I7999,"0"),$I7999))</f>
        <v/>
      </c>
    </row>
    <row r="8000">
      <c r="B8000" s="25" t="n"/>
      <c r="I8000" s="25" t="n"/>
      <c r="U8000" s="19">
        <f>IF($V8000&lt;&gt;'設定'!$C$4,N(U7999),IF(OR(NOT(COUNTIF('商品マスタ'!$B$6:$B$1005,$W8000)=0),COUNTIFS('①在庫を貼る'!$V$6:$V$10005,$V8000,'①在庫を貼る'!$W$6:$W$10005,$W8000)+COUNTIFS('月1回_1ヶ月前の在庫'!$V$6:$V$10005,$V8000,'月1回_1ヶ月前の在庫'!$W$6:$W$10005,$W8000)&gt;0),N(U7999),N(U7999)+1))</f>
        <v/>
      </c>
      <c r="V8000" s="19">
        <f>IF($B8000="","",TEXT($B8000,"0000"))</f>
        <v/>
      </c>
      <c r="W8000" s="19">
        <f>IF($I8000="","",IF(ISNUMBER($I8000),TEXT($I8000,"0"),$I8000))</f>
        <v/>
      </c>
    </row>
    <row r="8001">
      <c r="B8001" s="25" t="n"/>
      <c r="I8001" s="25" t="n"/>
      <c r="U8001" s="19">
        <f>IF($V8001&lt;&gt;'設定'!$C$4,N(U8000),IF(OR(NOT(COUNTIF('商品マスタ'!$B$6:$B$1005,$W8001)=0),COUNTIFS('①在庫を貼る'!$V$6:$V$10005,$V8001,'①在庫を貼る'!$W$6:$W$10005,$W8001)+COUNTIFS('月1回_1ヶ月前の在庫'!$V$6:$V$10005,$V8001,'月1回_1ヶ月前の在庫'!$W$6:$W$10005,$W8001)&gt;0),N(U8000),N(U8000)+1))</f>
        <v/>
      </c>
      <c r="V8001" s="19">
        <f>IF($B8001="","",TEXT($B8001,"0000"))</f>
        <v/>
      </c>
      <c r="W8001" s="19">
        <f>IF($I8001="","",IF(ISNUMBER($I8001),TEXT($I8001,"0"),$I8001))</f>
        <v/>
      </c>
    </row>
    <row r="8002">
      <c r="B8002" s="25" t="n"/>
      <c r="I8002" s="25" t="n"/>
      <c r="U8002" s="19">
        <f>IF($V8002&lt;&gt;'設定'!$C$4,N(U8001),IF(OR(NOT(COUNTIF('商品マスタ'!$B$6:$B$1005,$W8002)=0),COUNTIFS('①在庫を貼る'!$V$6:$V$10005,$V8002,'①在庫を貼る'!$W$6:$W$10005,$W8002)+COUNTIFS('月1回_1ヶ月前の在庫'!$V$6:$V$10005,$V8002,'月1回_1ヶ月前の在庫'!$W$6:$W$10005,$W8002)&gt;0),N(U8001),N(U8001)+1))</f>
        <v/>
      </c>
      <c r="V8002" s="19">
        <f>IF($B8002="","",TEXT($B8002,"0000"))</f>
        <v/>
      </c>
      <c r="W8002" s="19">
        <f>IF($I8002="","",IF(ISNUMBER($I8002),TEXT($I8002,"0"),$I8002))</f>
        <v/>
      </c>
    </row>
    <row r="8003">
      <c r="B8003" s="25" t="n"/>
      <c r="I8003" s="25" t="n"/>
      <c r="U8003" s="19">
        <f>IF($V8003&lt;&gt;'設定'!$C$4,N(U8002),IF(OR(NOT(COUNTIF('商品マスタ'!$B$6:$B$1005,$W8003)=0),COUNTIFS('①在庫を貼る'!$V$6:$V$10005,$V8003,'①在庫を貼る'!$W$6:$W$10005,$W8003)+COUNTIFS('月1回_1ヶ月前の在庫'!$V$6:$V$10005,$V8003,'月1回_1ヶ月前の在庫'!$W$6:$W$10005,$W8003)&gt;0),N(U8002),N(U8002)+1))</f>
        <v/>
      </c>
      <c r="V8003" s="19">
        <f>IF($B8003="","",TEXT($B8003,"0000"))</f>
        <v/>
      </c>
      <c r="W8003" s="19">
        <f>IF($I8003="","",IF(ISNUMBER($I8003),TEXT($I8003,"0"),$I8003))</f>
        <v/>
      </c>
    </row>
    <row r="8004">
      <c r="B8004" s="25" t="n"/>
      <c r="I8004" s="25" t="n"/>
      <c r="U8004" s="19">
        <f>IF($V8004&lt;&gt;'設定'!$C$4,N(U8003),IF(OR(NOT(COUNTIF('商品マスタ'!$B$6:$B$1005,$W8004)=0),COUNTIFS('①在庫を貼る'!$V$6:$V$10005,$V8004,'①在庫を貼る'!$W$6:$W$10005,$W8004)+COUNTIFS('月1回_1ヶ月前の在庫'!$V$6:$V$10005,$V8004,'月1回_1ヶ月前の在庫'!$W$6:$W$10005,$W8004)&gt;0),N(U8003),N(U8003)+1))</f>
        <v/>
      </c>
      <c r="V8004" s="19">
        <f>IF($B8004="","",TEXT($B8004,"0000"))</f>
        <v/>
      </c>
      <c r="W8004" s="19">
        <f>IF($I8004="","",IF(ISNUMBER($I8004),TEXT($I8004,"0"),$I8004))</f>
        <v/>
      </c>
    </row>
    <row r="8005">
      <c r="B8005" s="25" t="n"/>
      <c r="I8005" s="25" t="n"/>
      <c r="U8005" s="19">
        <f>IF($V8005&lt;&gt;'設定'!$C$4,N(U8004),IF(OR(NOT(COUNTIF('商品マスタ'!$B$6:$B$1005,$W8005)=0),COUNTIFS('①在庫を貼る'!$V$6:$V$10005,$V8005,'①在庫を貼る'!$W$6:$W$10005,$W8005)+COUNTIFS('月1回_1ヶ月前の在庫'!$V$6:$V$10005,$V8005,'月1回_1ヶ月前の在庫'!$W$6:$W$10005,$W8005)&gt;0),N(U8004),N(U8004)+1))</f>
        <v/>
      </c>
      <c r="V8005" s="19">
        <f>IF($B8005="","",TEXT($B8005,"0000"))</f>
        <v/>
      </c>
      <c r="W8005" s="19">
        <f>IF($I8005="","",IF(ISNUMBER($I8005),TEXT($I8005,"0"),$I8005))</f>
        <v/>
      </c>
    </row>
    <row r="8006">
      <c r="B8006" s="25" t="n"/>
      <c r="I8006" s="25" t="n"/>
      <c r="U8006" s="19">
        <f>IF($V8006&lt;&gt;'設定'!$C$4,N(U8005),IF(OR(NOT(COUNTIF('商品マスタ'!$B$6:$B$1005,$W8006)=0),COUNTIFS('①在庫を貼る'!$V$6:$V$10005,$V8006,'①在庫を貼る'!$W$6:$W$10005,$W8006)+COUNTIFS('月1回_1ヶ月前の在庫'!$V$6:$V$10005,$V8006,'月1回_1ヶ月前の在庫'!$W$6:$W$10005,$W8006)&gt;0),N(U8005),N(U8005)+1))</f>
        <v/>
      </c>
      <c r="V8006" s="19">
        <f>IF($B8006="","",TEXT($B8006,"0000"))</f>
        <v/>
      </c>
      <c r="W8006" s="19">
        <f>IF($I8006="","",IF(ISNUMBER($I8006),TEXT($I8006,"0"),$I8006))</f>
        <v/>
      </c>
    </row>
    <row r="8007">
      <c r="B8007" s="25" t="n"/>
      <c r="I8007" s="25" t="n"/>
      <c r="U8007" s="19">
        <f>IF($V8007&lt;&gt;'設定'!$C$4,N(U8006),IF(OR(NOT(COUNTIF('商品マスタ'!$B$6:$B$1005,$W8007)=0),COUNTIFS('①在庫を貼る'!$V$6:$V$10005,$V8007,'①在庫を貼る'!$W$6:$W$10005,$W8007)+COUNTIFS('月1回_1ヶ月前の在庫'!$V$6:$V$10005,$V8007,'月1回_1ヶ月前の在庫'!$W$6:$W$10005,$W8007)&gt;0),N(U8006),N(U8006)+1))</f>
        <v/>
      </c>
      <c r="V8007" s="19">
        <f>IF($B8007="","",TEXT($B8007,"0000"))</f>
        <v/>
      </c>
      <c r="W8007" s="19">
        <f>IF($I8007="","",IF(ISNUMBER($I8007),TEXT($I8007,"0"),$I8007))</f>
        <v/>
      </c>
    </row>
    <row r="8008">
      <c r="B8008" s="25" t="n"/>
      <c r="I8008" s="25" t="n"/>
      <c r="U8008" s="19">
        <f>IF($V8008&lt;&gt;'設定'!$C$4,N(U8007),IF(OR(NOT(COUNTIF('商品マスタ'!$B$6:$B$1005,$W8008)=0),COUNTIFS('①在庫を貼る'!$V$6:$V$10005,$V8008,'①在庫を貼る'!$W$6:$W$10005,$W8008)+COUNTIFS('月1回_1ヶ月前の在庫'!$V$6:$V$10005,$V8008,'月1回_1ヶ月前の在庫'!$W$6:$W$10005,$W8008)&gt;0),N(U8007),N(U8007)+1))</f>
        <v/>
      </c>
      <c r="V8008" s="19">
        <f>IF($B8008="","",TEXT($B8008,"0000"))</f>
        <v/>
      </c>
      <c r="W8008" s="19">
        <f>IF($I8008="","",IF(ISNUMBER($I8008),TEXT($I8008,"0"),$I8008))</f>
        <v/>
      </c>
    </row>
    <row r="8009">
      <c r="B8009" s="25" t="n"/>
      <c r="I8009" s="25" t="n"/>
      <c r="U8009" s="19">
        <f>IF($V8009&lt;&gt;'設定'!$C$4,N(U8008),IF(OR(NOT(COUNTIF('商品マスタ'!$B$6:$B$1005,$W8009)=0),COUNTIFS('①在庫を貼る'!$V$6:$V$10005,$V8009,'①在庫を貼る'!$W$6:$W$10005,$W8009)+COUNTIFS('月1回_1ヶ月前の在庫'!$V$6:$V$10005,$V8009,'月1回_1ヶ月前の在庫'!$W$6:$W$10005,$W8009)&gt;0),N(U8008),N(U8008)+1))</f>
        <v/>
      </c>
      <c r="V8009" s="19">
        <f>IF($B8009="","",TEXT($B8009,"0000"))</f>
        <v/>
      </c>
      <c r="W8009" s="19">
        <f>IF($I8009="","",IF(ISNUMBER($I8009),TEXT($I8009,"0"),$I8009))</f>
        <v/>
      </c>
    </row>
    <row r="8010">
      <c r="B8010" s="25" t="n"/>
      <c r="I8010" s="25" t="n"/>
      <c r="U8010" s="19">
        <f>IF($V8010&lt;&gt;'設定'!$C$4,N(U8009),IF(OR(NOT(COUNTIF('商品マスタ'!$B$6:$B$1005,$W8010)=0),COUNTIFS('①在庫を貼る'!$V$6:$V$10005,$V8010,'①在庫を貼る'!$W$6:$W$10005,$W8010)+COUNTIFS('月1回_1ヶ月前の在庫'!$V$6:$V$10005,$V8010,'月1回_1ヶ月前の在庫'!$W$6:$W$10005,$W8010)&gt;0),N(U8009),N(U8009)+1))</f>
        <v/>
      </c>
      <c r="V8010" s="19">
        <f>IF($B8010="","",TEXT($B8010,"0000"))</f>
        <v/>
      </c>
      <c r="W8010" s="19">
        <f>IF($I8010="","",IF(ISNUMBER($I8010),TEXT($I8010,"0"),$I8010))</f>
        <v/>
      </c>
    </row>
    <row r="8011">
      <c r="B8011" s="25" t="n"/>
      <c r="I8011" s="25" t="n"/>
      <c r="U8011" s="19">
        <f>IF($V8011&lt;&gt;'設定'!$C$4,N(U8010),IF(OR(NOT(COUNTIF('商品マスタ'!$B$6:$B$1005,$W8011)=0),COUNTIFS('①在庫を貼る'!$V$6:$V$10005,$V8011,'①在庫を貼る'!$W$6:$W$10005,$W8011)+COUNTIFS('月1回_1ヶ月前の在庫'!$V$6:$V$10005,$V8011,'月1回_1ヶ月前の在庫'!$W$6:$W$10005,$W8011)&gt;0),N(U8010),N(U8010)+1))</f>
        <v/>
      </c>
      <c r="V8011" s="19">
        <f>IF($B8011="","",TEXT($B8011,"0000"))</f>
        <v/>
      </c>
      <c r="W8011" s="19">
        <f>IF($I8011="","",IF(ISNUMBER($I8011),TEXT($I8011,"0"),$I8011))</f>
        <v/>
      </c>
    </row>
    <row r="8012">
      <c r="B8012" s="25" t="n"/>
      <c r="I8012" s="25" t="n"/>
      <c r="U8012" s="19">
        <f>IF($V8012&lt;&gt;'設定'!$C$4,N(U8011),IF(OR(NOT(COUNTIF('商品マスタ'!$B$6:$B$1005,$W8012)=0),COUNTIFS('①在庫を貼る'!$V$6:$V$10005,$V8012,'①在庫を貼る'!$W$6:$W$10005,$W8012)+COUNTIFS('月1回_1ヶ月前の在庫'!$V$6:$V$10005,$V8012,'月1回_1ヶ月前の在庫'!$W$6:$W$10005,$W8012)&gt;0),N(U8011),N(U8011)+1))</f>
        <v/>
      </c>
      <c r="V8012" s="19">
        <f>IF($B8012="","",TEXT($B8012,"0000"))</f>
        <v/>
      </c>
      <c r="W8012" s="19">
        <f>IF($I8012="","",IF(ISNUMBER($I8012),TEXT($I8012,"0"),$I8012))</f>
        <v/>
      </c>
    </row>
    <row r="8013">
      <c r="B8013" s="25" t="n"/>
      <c r="I8013" s="25" t="n"/>
      <c r="U8013" s="19">
        <f>IF($V8013&lt;&gt;'設定'!$C$4,N(U8012),IF(OR(NOT(COUNTIF('商品マスタ'!$B$6:$B$1005,$W8013)=0),COUNTIFS('①在庫を貼る'!$V$6:$V$10005,$V8013,'①在庫を貼る'!$W$6:$W$10005,$W8013)+COUNTIFS('月1回_1ヶ月前の在庫'!$V$6:$V$10005,$V8013,'月1回_1ヶ月前の在庫'!$W$6:$W$10005,$W8013)&gt;0),N(U8012),N(U8012)+1))</f>
        <v/>
      </c>
      <c r="V8013" s="19">
        <f>IF($B8013="","",TEXT($B8013,"0000"))</f>
        <v/>
      </c>
      <c r="W8013" s="19">
        <f>IF($I8013="","",IF(ISNUMBER($I8013),TEXT($I8013,"0"),$I8013))</f>
        <v/>
      </c>
    </row>
    <row r="8014">
      <c r="B8014" s="25" t="n"/>
      <c r="I8014" s="25" t="n"/>
      <c r="U8014" s="19">
        <f>IF($V8014&lt;&gt;'設定'!$C$4,N(U8013),IF(OR(NOT(COUNTIF('商品マスタ'!$B$6:$B$1005,$W8014)=0),COUNTIFS('①在庫を貼る'!$V$6:$V$10005,$V8014,'①在庫を貼る'!$W$6:$W$10005,$W8014)+COUNTIFS('月1回_1ヶ月前の在庫'!$V$6:$V$10005,$V8014,'月1回_1ヶ月前の在庫'!$W$6:$W$10005,$W8014)&gt;0),N(U8013),N(U8013)+1))</f>
        <v/>
      </c>
      <c r="V8014" s="19">
        <f>IF($B8014="","",TEXT($B8014,"0000"))</f>
        <v/>
      </c>
      <c r="W8014" s="19">
        <f>IF($I8014="","",IF(ISNUMBER($I8014),TEXT($I8014,"0"),$I8014))</f>
        <v/>
      </c>
    </row>
    <row r="8015">
      <c r="B8015" s="25" t="n"/>
      <c r="I8015" s="25" t="n"/>
      <c r="U8015" s="19">
        <f>IF($V8015&lt;&gt;'設定'!$C$4,N(U8014),IF(OR(NOT(COUNTIF('商品マスタ'!$B$6:$B$1005,$W8015)=0),COUNTIFS('①在庫を貼る'!$V$6:$V$10005,$V8015,'①在庫を貼る'!$W$6:$W$10005,$W8015)+COUNTIFS('月1回_1ヶ月前の在庫'!$V$6:$V$10005,$V8015,'月1回_1ヶ月前の在庫'!$W$6:$W$10005,$W8015)&gt;0),N(U8014),N(U8014)+1))</f>
        <v/>
      </c>
      <c r="V8015" s="19">
        <f>IF($B8015="","",TEXT($B8015,"0000"))</f>
        <v/>
      </c>
      <c r="W8015" s="19">
        <f>IF($I8015="","",IF(ISNUMBER($I8015),TEXT($I8015,"0"),$I8015))</f>
        <v/>
      </c>
    </row>
    <row r="8016">
      <c r="B8016" s="25" t="n"/>
      <c r="I8016" s="25" t="n"/>
      <c r="U8016" s="19">
        <f>IF($V8016&lt;&gt;'設定'!$C$4,N(U8015),IF(OR(NOT(COUNTIF('商品マスタ'!$B$6:$B$1005,$W8016)=0),COUNTIFS('①在庫を貼る'!$V$6:$V$10005,$V8016,'①在庫を貼る'!$W$6:$W$10005,$W8016)+COUNTIFS('月1回_1ヶ月前の在庫'!$V$6:$V$10005,$V8016,'月1回_1ヶ月前の在庫'!$W$6:$W$10005,$W8016)&gt;0),N(U8015),N(U8015)+1))</f>
        <v/>
      </c>
      <c r="V8016" s="19">
        <f>IF($B8016="","",TEXT($B8016,"0000"))</f>
        <v/>
      </c>
      <c r="W8016" s="19">
        <f>IF($I8016="","",IF(ISNUMBER($I8016),TEXT($I8016,"0"),$I8016))</f>
        <v/>
      </c>
    </row>
    <row r="8017">
      <c r="B8017" s="25" t="n"/>
      <c r="I8017" s="25" t="n"/>
      <c r="U8017" s="19">
        <f>IF($V8017&lt;&gt;'設定'!$C$4,N(U8016),IF(OR(NOT(COUNTIF('商品マスタ'!$B$6:$B$1005,$W8017)=0),COUNTIFS('①在庫を貼る'!$V$6:$V$10005,$V8017,'①在庫を貼る'!$W$6:$W$10005,$W8017)+COUNTIFS('月1回_1ヶ月前の在庫'!$V$6:$V$10005,$V8017,'月1回_1ヶ月前の在庫'!$W$6:$W$10005,$W8017)&gt;0),N(U8016),N(U8016)+1))</f>
        <v/>
      </c>
      <c r="V8017" s="19">
        <f>IF($B8017="","",TEXT($B8017,"0000"))</f>
        <v/>
      </c>
      <c r="W8017" s="19">
        <f>IF($I8017="","",IF(ISNUMBER($I8017),TEXT($I8017,"0"),$I8017))</f>
        <v/>
      </c>
    </row>
    <row r="8018">
      <c r="B8018" s="25" t="n"/>
      <c r="I8018" s="25" t="n"/>
      <c r="U8018" s="19">
        <f>IF($V8018&lt;&gt;'設定'!$C$4,N(U8017),IF(OR(NOT(COUNTIF('商品マスタ'!$B$6:$B$1005,$W8018)=0),COUNTIFS('①在庫を貼る'!$V$6:$V$10005,$V8018,'①在庫を貼る'!$W$6:$W$10005,$W8018)+COUNTIFS('月1回_1ヶ月前の在庫'!$V$6:$V$10005,$V8018,'月1回_1ヶ月前の在庫'!$W$6:$W$10005,$W8018)&gt;0),N(U8017),N(U8017)+1))</f>
        <v/>
      </c>
      <c r="V8018" s="19">
        <f>IF($B8018="","",TEXT($B8018,"0000"))</f>
        <v/>
      </c>
      <c r="W8018" s="19">
        <f>IF($I8018="","",IF(ISNUMBER($I8018),TEXT($I8018,"0"),$I8018))</f>
        <v/>
      </c>
    </row>
    <row r="8019">
      <c r="B8019" s="25" t="n"/>
      <c r="I8019" s="25" t="n"/>
      <c r="U8019" s="19">
        <f>IF($V8019&lt;&gt;'設定'!$C$4,N(U8018),IF(OR(NOT(COUNTIF('商品マスタ'!$B$6:$B$1005,$W8019)=0),COUNTIFS('①在庫を貼る'!$V$6:$V$10005,$V8019,'①在庫を貼る'!$W$6:$W$10005,$W8019)+COUNTIFS('月1回_1ヶ月前の在庫'!$V$6:$V$10005,$V8019,'月1回_1ヶ月前の在庫'!$W$6:$W$10005,$W8019)&gt;0),N(U8018),N(U8018)+1))</f>
        <v/>
      </c>
      <c r="V8019" s="19">
        <f>IF($B8019="","",TEXT($B8019,"0000"))</f>
        <v/>
      </c>
      <c r="W8019" s="19">
        <f>IF($I8019="","",IF(ISNUMBER($I8019),TEXT($I8019,"0"),$I8019))</f>
        <v/>
      </c>
    </row>
    <row r="8020">
      <c r="B8020" s="25" t="n"/>
      <c r="I8020" s="25" t="n"/>
      <c r="U8020" s="19">
        <f>IF($V8020&lt;&gt;'設定'!$C$4,N(U8019),IF(OR(NOT(COUNTIF('商品マスタ'!$B$6:$B$1005,$W8020)=0),COUNTIFS('①在庫を貼る'!$V$6:$V$10005,$V8020,'①在庫を貼る'!$W$6:$W$10005,$W8020)+COUNTIFS('月1回_1ヶ月前の在庫'!$V$6:$V$10005,$V8020,'月1回_1ヶ月前の在庫'!$W$6:$W$10005,$W8020)&gt;0),N(U8019),N(U8019)+1))</f>
        <v/>
      </c>
      <c r="V8020" s="19">
        <f>IF($B8020="","",TEXT($B8020,"0000"))</f>
        <v/>
      </c>
      <c r="W8020" s="19">
        <f>IF($I8020="","",IF(ISNUMBER($I8020),TEXT($I8020,"0"),$I8020))</f>
        <v/>
      </c>
    </row>
    <row r="8021">
      <c r="B8021" s="25" t="n"/>
      <c r="I8021" s="25" t="n"/>
      <c r="U8021" s="19">
        <f>IF($V8021&lt;&gt;'設定'!$C$4,N(U8020),IF(OR(NOT(COUNTIF('商品マスタ'!$B$6:$B$1005,$W8021)=0),COUNTIFS('①在庫を貼る'!$V$6:$V$10005,$V8021,'①在庫を貼る'!$W$6:$W$10005,$W8021)+COUNTIFS('月1回_1ヶ月前の在庫'!$V$6:$V$10005,$V8021,'月1回_1ヶ月前の在庫'!$W$6:$W$10005,$W8021)&gt;0),N(U8020),N(U8020)+1))</f>
        <v/>
      </c>
      <c r="V8021" s="19">
        <f>IF($B8021="","",TEXT($B8021,"0000"))</f>
        <v/>
      </c>
      <c r="W8021" s="19">
        <f>IF($I8021="","",IF(ISNUMBER($I8021),TEXT($I8021,"0"),$I8021))</f>
        <v/>
      </c>
    </row>
    <row r="8022">
      <c r="B8022" s="25" t="n"/>
      <c r="I8022" s="25" t="n"/>
      <c r="U8022" s="19">
        <f>IF($V8022&lt;&gt;'設定'!$C$4,N(U8021),IF(OR(NOT(COUNTIF('商品マスタ'!$B$6:$B$1005,$W8022)=0),COUNTIFS('①在庫を貼る'!$V$6:$V$10005,$V8022,'①在庫を貼る'!$W$6:$W$10005,$W8022)+COUNTIFS('月1回_1ヶ月前の在庫'!$V$6:$V$10005,$V8022,'月1回_1ヶ月前の在庫'!$W$6:$W$10005,$W8022)&gt;0),N(U8021),N(U8021)+1))</f>
        <v/>
      </c>
      <c r="V8022" s="19">
        <f>IF($B8022="","",TEXT($B8022,"0000"))</f>
        <v/>
      </c>
      <c r="W8022" s="19">
        <f>IF($I8022="","",IF(ISNUMBER($I8022),TEXT($I8022,"0"),$I8022))</f>
        <v/>
      </c>
    </row>
    <row r="8023">
      <c r="B8023" s="25" t="n"/>
      <c r="I8023" s="25" t="n"/>
      <c r="U8023" s="19">
        <f>IF($V8023&lt;&gt;'設定'!$C$4,N(U8022),IF(OR(NOT(COUNTIF('商品マスタ'!$B$6:$B$1005,$W8023)=0),COUNTIFS('①在庫を貼る'!$V$6:$V$10005,$V8023,'①在庫を貼る'!$W$6:$W$10005,$W8023)+COUNTIFS('月1回_1ヶ月前の在庫'!$V$6:$V$10005,$V8023,'月1回_1ヶ月前の在庫'!$W$6:$W$10005,$W8023)&gt;0),N(U8022),N(U8022)+1))</f>
        <v/>
      </c>
      <c r="V8023" s="19">
        <f>IF($B8023="","",TEXT($B8023,"0000"))</f>
        <v/>
      </c>
      <c r="W8023" s="19">
        <f>IF($I8023="","",IF(ISNUMBER($I8023),TEXT($I8023,"0"),$I8023))</f>
        <v/>
      </c>
    </row>
    <row r="8024">
      <c r="B8024" s="25" t="n"/>
      <c r="I8024" s="25" t="n"/>
      <c r="U8024" s="19">
        <f>IF($V8024&lt;&gt;'設定'!$C$4,N(U8023),IF(OR(NOT(COUNTIF('商品マスタ'!$B$6:$B$1005,$W8024)=0),COUNTIFS('①在庫を貼る'!$V$6:$V$10005,$V8024,'①在庫を貼る'!$W$6:$W$10005,$W8024)+COUNTIFS('月1回_1ヶ月前の在庫'!$V$6:$V$10005,$V8024,'月1回_1ヶ月前の在庫'!$W$6:$W$10005,$W8024)&gt;0),N(U8023),N(U8023)+1))</f>
        <v/>
      </c>
      <c r="V8024" s="19">
        <f>IF($B8024="","",TEXT($B8024,"0000"))</f>
        <v/>
      </c>
      <c r="W8024" s="19">
        <f>IF($I8024="","",IF(ISNUMBER($I8024),TEXT($I8024,"0"),$I8024))</f>
        <v/>
      </c>
    </row>
    <row r="8025">
      <c r="B8025" s="25" t="n"/>
      <c r="I8025" s="25" t="n"/>
      <c r="U8025" s="19">
        <f>IF($V8025&lt;&gt;'設定'!$C$4,N(U8024),IF(OR(NOT(COUNTIF('商品マスタ'!$B$6:$B$1005,$W8025)=0),COUNTIFS('①在庫を貼る'!$V$6:$V$10005,$V8025,'①在庫を貼る'!$W$6:$W$10005,$W8025)+COUNTIFS('月1回_1ヶ月前の在庫'!$V$6:$V$10005,$V8025,'月1回_1ヶ月前の在庫'!$W$6:$W$10005,$W8025)&gt;0),N(U8024),N(U8024)+1))</f>
        <v/>
      </c>
      <c r="V8025" s="19">
        <f>IF($B8025="","",TEXT($B8025,"0000"))</f>
        <v/>
      </c>
      <c r="W8025" s="19">
        <f>IF($I8025="","",IF(ISNUMBER($I8025),TEXT($I8025,"0"),$I8025))</f>
        <v/>
      </c>
    </row>
    <row r="8026">
      <c r="B8026" s="25" t="n"/>
      <c r="I8026" s="25" t="n"/>
      <c r="U8026" s="19">
        <f>IF($V8026&lt;&gt;'設定'!$C$4,N(U8025),IF(OR(NOT(COUNTIF('商品マスタ'!$B$6:$B$1005,$W8026)=0),COUNTIFS('①在庫を貼る'!$V$6:$V$10005,$V8026,'①在庫を貼る'!$W$6:$W$10005,$W8026)+COUNTIFS('月1回_1ヶ月前の在庫'!$V$6:$V$10005,$V8026,'月1回_1ヶ月前の在庫'!$W$6:$W$10005,$W8026)&gt;0),N(U8025),N(U8025)+1))</f>
        <v/>
      </c>
      <c r="V8026" s="19">
        <f>IF($B8026="","",TEXT($B8026,"0000"))</f>
        <v/>
      </c>
      <c r="W8026" s="19">
        <f>IF($I8026="","",IF(ISNUMBER($I8026),TEXT($I8026,"0"),$I8026))</f>
        <v/>
      </c>
    </row>
    <row r="8027">
      <c r="B8027" s="25" t="n"/>
      <c r="I8027" s="25" t="n"/>
      <c r="U8027" s="19">
        <f>IF($V8027&lt;&gt;'設定'!$C$4,N(U8026),IF(OR(NOT(COUNTIF('商品マスタ'!$B$6:$B$1005,$W8027)=0),COUNTIFS('①在庫を貼る'!$V$6:$V$10005,$V8027,'①在庫を貼る'!$W$6:$W$10005,$W8027)+COUNTIFS('月1回_1ヶ月前の在庫'!$V$6:$V$10005,$V8027,'月1回_1ヶ月前の在庫'!$W$6:$W$10005,$W8027)&gt;0),N(U8026),N(U8026)+1))</f>
        <v/>
      </c>
      <c r="V8027" s="19">
        <f>IF($B8027="","",TEXT($B8027,"0000"))</f>
        <v/>
      </c>
      <c r="W8027" s="19">
        <f>IF($I8027="","",IF(ISNUMBER($I8027),TEXT($I8027,"0"),$I8027))</f>
        <v/>
      </c>
    </row>
    <row r="8028">
      <c r="B8028" s="25" t="n"/>
      <c r="I8028" s="25" t="n"/>
      <c r="U8028" s="19">
        <f>IF($V8028&lt;&gt;'設定'!$C$4,N(U8027),IF(OR(NOT(COUNTIF('商品マスタ'!$B$6:$B$1005,$W8028)=0),COUNTIFS('①在庫を貼る'!$V$6:$V$10005,$V8028,'①在庫を貼る'!$W$6:$W$10005,$W8028)+COUNTIFS('月1回_1ヶ月前の在庫'!$V$6:$V$10005,$V8028,'月1回_1ヶ月前の在庫'!$W$6:$W$10005,$W8028)&gt;0),N(U8027),N(U8027)+1))</f>
        <v/>
      </c>
      <c r="V8028" s="19">
        <f>IF($B8028="","",TEXT($B8028,"0000"))</f>
        <v/>
      </c>
      <c r="W8028" s="19">
        <f>IF($I8028="","",IF(ISNUMBER($I8028),TEXT($I8028,"0"),$I8028))</f>
        <v/>
      </c>
    </row>
    <row r="8029">
      <c r="B8029" s="25" t="n"/>
      <c r="I8029" s="25" t="n"/>
      <c r="U8029" s="19">
        <f>IF($V8029&lt;&gt;'設定'!$C$4,N(U8028),IF(OR(NOT(COUNTIF('商品マスタ'!$B$6:$B$1005,$W8029)=0),COUNTIFS('①在庫を貼る'!$V$6:$V$10005,$V8029,'①在庫を貼る'!$W$6:$W$10005,$W8029)+COUNTIFS('月1回_1ヶ月前の在庫'!$V$6:$V$10005,$V8029,'月1回_1ヶ月前の在庫'!$W$6:$W$10005,$W8029)&gt;0),N(U8028),N(U8028)+1))</f>
        <v/>
      </c>
      <c r="V8029" s="19">
        <f>IF($B8029="","",TEXT($B8029,"0000"))</f>
        <v/>
      </c>
      <c r="W8029" s="19">
        <f>IF($I8029="","",IF(ISNUMBER($I8029),TEXT($I8029,"0"),$I8029))</f>
        <v/>
      </c>
    </row>
    <row r="8030">
      <c r="B8030" s="25" t="n"/>
      <c r="I8030" s="25" t="n"/>
      <c r="U8030" s="19">
        <f>IF($V8030&lt;&gt;'設定'!$C$4,N(U8029),IF(OR(NOT(COUNTIF('商品マスタ'!$B$6:$B$1005,$W8030)=0),COUNTIFS('①在庫を貼る'!$V$6:$V$10005,$V8030,'①在庫を貼る'!$W$6:$W$10005,$W8030)+COUNTIFS('月1回_1ヶ月前の在庫'!$V$6:$V$10005,$V8030,'月1回_1ヶ月前の在庫'!$W$6:$W$10005,$W8030)&gt;0),N(U8029),N(U8029)+1))</f>
        <v/>
      </c>
      <c r="V8030" s="19">
        <f>IF($B8030="","",TEXT($B8030,"0000"))</f>
        <v/>
      </c>
      <c r="W8030" s="19">
        <f>IF($I8030="","",IF(ISNUMBER($I8030),TEXT($I8030,"0"),$I8030))</f>
        <v/>
      </c>
    </row>
    <row r="8031">
      <c r="B8031" s="25" t="n"/>
      <c r="I8031" s="25" t="n"/>
      <c r="U8031" s="19">
        <f>IF($V8031&lt;&gt;'設定'!$C$4,N(U8030),IF(OR(NOT(COUNTIF('商品マスタ'!$B$6:$B$1005,$W8031)=0),COUNTIFS('①在庫を貼る'!$V$6:$V$10005,$V8031,'①在庫を貼る'!$W$6:$W$10005,$W8031)+COUNTIFS('月1回_1ヶ月前の在庫'!$V$6:$V$10005,$V8031,'月1回_1ヶ月前の在庫'!$W$6:$W$10005,$W8031)&gt;0),N(U8030),N(U8030)+1))</f>
        <v/>
      </c>
      <c r="V8031" s="19">
        <f>IF($B8031="","",TEXT($B8031,"0000"))</f>
        <v/>
      </c>
      <c r="W8031" s="19">
        <f>IF($I8031="","",IF(ISNUMBER($I8031),TEXT($I8031,"0"),$I8031))</f>
        <v/>
      </c>
    </row>
    <row r="8032">
      <c r="B8032" s="25" t="n"/>
      <c r="I8032" s="25" t="n"/>
      <c r="U8032" s="19">
        <f>IF($V8032&lt;&gt;'設定'!$C$4,N(U8031),IF(OR(NOT(COUNTIF('商品マスタ'!$B$6:$B$1005,$W8032)=0),COUNTIFS('①在庫を貼る'!$V$6:$V$10005,$V8032,'①在庫を貼る'!$W$6:$W$10005,$W8032)+COUNTIFS('月1回_1ヶ月前の在庫'!$V$6:$V$10005,$V8032,'月1回_1ヶ月前の在庫'!$W$6:$W$10005,$W8032)&gt;0),N(U8031),N(U8031)+1))</f>
        <v/>
      </c>
      <c r="V8032" s="19">
        <f>IF($B8032="","",TEXT($B8032,"0000"))</f>
        <v/>
      </c>
      <c r="W8032" s="19">
        <f>IF($I8032="","",IF(ISNUMBER($I8032),TEXT($I8032,"0"),$I8032))</f>
        <v/>
      </c>
    </row>
    <row r="8033">
      <c r="B8033" s="25" t="n"/>
      <c r="I8033" s="25" t="n"/>
      <c r="U8033" s="19">
        <f>IF($V8033&lt;&gt;'設定'!$C$4,N(U8032),IF(OR(NOT(COUNTIF('商品マスタ'!$B$6:$B$1005,$W8033)=0),COUNTIFS('①在庫を貼る'!$V$6:$V$10005,$V8033,'①在庫を貼る'!$W$6:$W$10005,$W8033)+COUNTIFS('月1回_1ヶ月前の在庫'!$V$6:$V$10005,$V8033,'月1回_1ヶ月前の在庫'!$W$6:$W$10005,$W8033)&gt;0),N(U8032),N(U8032)+1))</f>
        <v/>
      </c>
      <c r="V8033" s="19">
        <f>IF($B8033="","",TEXT($B8033,"0000"))</f>
        <v/>
      </c>
      <c r="W8033" s="19">
        <f>IF($I8033="","",IF(ISNUMBER($I8033),TEXT($I8033,"0"),$I8033))</f>
        <v/>
      </c>
    </row>
    <row r="8034">
      <c r="B8034" s="25" t="n"/>
      <c r="I8034" s="25" t="n"/>
      <c r="U8034" s="19">
        <f>IF($V8034&lt;&gt;'設定'!$C$4,N(U8033),IF(OR(NOT(COUNTIF('商品マスタ'!$B$6:$B$1005,$W8034)=0),COUNTIFS('①在庫を貼る'!$V$6:$V$10005,$V8034,'①在庫を貼る'!$W$6:$W$10005,$W8034)+COUNTIFS('月1回_1ヶ月前の在庫'!$V$6:$V$10005,$V8034,'月1回_1ヶ月前の在庫'!$W$6:$W$10005,$W8034)&gt;0),N(U8033),N(U8033)+1))</f>
        <v/>
      </c>
      <c r="V8034" s="19">
        <f>IF($B8034="","",TEXT($B8034,"0000"))</f>
        <v/>
      </c>
      <c r="W8034" s="19">
        <f>IF($I8034="","",IF(ISNUMBER($I8034),TEXT($I8034,"0"),$I8034))</f>
        <v/>
      </c>
    </row>
    <row r="8035">
      <c r="B8035" s="25" t="n"/>
      <c r="I8035" s="25" t="n"/>
      <c r="U8035" s="19">
        <f>IF($V8035&lt;&gt;'設定'!$C$4,N(U8034),IF(OR(NOT(COUNTIF('商品マスタ'!$B$6:$B$1005,$W8035)=0),COUNTIFS('①在庫を貼る'!$V$6:$V$10005,$V8035,'①在庫を貼る'!$W$6:$W$10005,$W8035)+COUNTIFS('月1回_1ヶ月前の在庫'!$V$6:$V$10005,$V8035,'月1回_1ヶ月前の在庫'!$W$6:$W$10005,$W8035)&gt;0),N(U8034),N(U8034)+1))</f>
        <v/>
      </c>
      <c r="V8035" s="19">
        <f>IF($B8035="","",TEXT($B8035,"0000"))</f>
        <v/>
      </c>
      <c r="W8035" s="19">
        <f>IF($I8035="","",IF(ISNUMBER($I8035),TEXT($I8035,"0"),$I8035))</f>
        <v/>
      </c>
    </row>
    <row r="8036">
      <c r="B8036" s="25" t="n"/>
      <c r="I8036" s="25" t="n"/>
      <c r="U8036" s="19">
        <f>IF($V8036&lt;&gt;'設定'!$C$4,N(U8035),IF(OR(NOT(COUNTIF('商品マスタ'!$B$6:$B$1005,$W8036)=0),COUNTIFS('①在庫を貼る'!$V$6:$V$10005,$V8036,'①在庫を貼る'!$W$6:$W$10005,$W8036)+COUNTIFS('月1回_1ヶ月前の在庫'!$V$6:$V$10005,$V8036,'月1回_1ヶ月前の在庫'!$W$6:$W$10005,$W8036)&gt;0),N(U8035),N(U8035)+1))</f>
        <v/>
      </c>
      <c r="V8036" s="19">
        <f>IF($B8036="","",TEXT($B8036,"0000"))</f>
        <v/>
      </c>
      <c r="W8036" s="19">
        <f>IF($I8036="","",IF(ISNUMBER($I8036),TEXT($I8036,"0"),$I8036))</f>
        <v/>
      </c>
    </row>
    <row r="8037">
      <c r="B8037" s="25" t="n"/>
      <c r="I8037" s="25" t="n"/>
      <c r="U8037" s="19">
        <f>IF($V8037&lt;&gt;'設定'!$C$4,N(U8036),IF(OR(NOT(COUNTIF('商品マスタ'!$B$6:$B$1005,$W8037)=0),COUNTIFS('①在庫を貼る'!$V$6:$V$10005,$V8037,'①在庫を貼る'!$W$6:$W$10005,$W8037)+COUNTIFS('月1回_1ヶ月前の在庫'!$V$6:$V$10005,$V8037,'月1回_1ヶ月前の在庫'!$W$6:$W$10005,$W8037)&gt;0),N(U8036),N(U8036)+1))</f>
        <v/>
      </c>
      <c r="V8037" s="19">
        <f>IF($B8037="","",TEXT($B8037,"0000"))</f>
        <v/>
      </c>
      <c r="W8037" s="19">
        <f>IF($I8037="","",IF(ISNUMBER($I8037),TEXT($I8037,"0"),$I8037))</f>
        <v/>
      </c>
    </row>
    <row r="8038">
      <c r="B8038" s="25" t="n"/>
      <c r="I8038" s="25" t="n"/>
      <c r="U8038" s="19">
        <f>IF($V8038&lt;&gt;'設定'!$C$4,N(U8037),IF(OR(NOT(COUNTIF('商品マスタ'!$B$6:$B$1005,$W8038)=0),COUNTIFS('①在庫を貼る'!$V$6:$V$10005,$V8038,'①在庫を貼る'!$W$6:$W$10005,$W8038)+COUNTIFS('月1回_1ヶ月前の在庫'!$V$6:$V$10005,$V8038,'月1回_1ヶ月前の在庫'!$W$6:$W$10005,$W8038)&gt;0),N(U8037),N(U8037)+1))</f>
        <v/>
      </c>
      <c r="V8038" s="19">
        <f>IF($B8038="","",TEXT($B8038,"0000"))</f>
        <v/>
      </c>
      <c r="W8038" s="19">
        <f>IF($I8038="","",IF(ISNUMBER($I8038),TEXT($I8038,"0"),$I8038))</f>
        <v/>
      </c>
    </row>
    <row r="8039">
      <c r="B8039" s="25" t="n"/>
      <c r="I8039" s="25" t="n"/>
      <c r="U8039" s="19">
        <f>IF($V8039&lt;&gt;'設定'!$C$4,N(U8038),IF(OR(NOT(COUNTIF('商品マスタ'!$B$6:$B$1005,$W8039)=0),COUNTIFS('①在庫を貼る'!$V$6:$V$10005,$V8039,'①在庫を貼る'!$W$6:$W$10005,$W8039)+COUNTIFS('月1回_1ヶ月前の在庫'!$V$6:$V$10005,$V8039,'月1回_1ヶ月前の在庫'!$W$6:$W$10005,$W8039)&gt;0),N(U8038),N(U8038)+1))</f>
        <v/>
      </c>
      <c r="V8039" s="19">
        <f>IF($B8039="","",TEXT($B8039,"0000"))</f>
        <v/>
      </c>
      <c r="W8039" s="19">
        <f>IF($I8039="","",IF(ISNUMBER($I8039),TEXT($I8039,"0"),$I8039))</f>
        <v/>
      </c>
    </row>
    <row r="8040">
      <c r="B8040" s="25" t="n"/>
      <c r="I8040" s="25" t="n"/>
      <c r="U8040" s="19">
        <f>IF($V8040&lt;&gt;'設定'!$C$4,N(U8039),IF(OR(NOT(COUNTIF('商品マスタ'!$B$6:$B$1005,$W8040)=0),COUNTIFS('①在庫を貼る'!$V$6:$V$10005,$V8040,'①在庫を貼る'!$W$6:$W$10005,$W8040)+COUNTIFS('月1回_1ヶ月前の在庫'!$V$6:$V$10005,$V8040,'月1回_1ヶ月前の在庫'!$W$6:$W$10005,$W8040)&gt;0),N(U8039),N(U8039)+1))</f>
        <v/>
      </c>
      <c r="V8040" s="19">
        <f>IF($B8040="","",TEXT($B8040,"0000"))</f>
        <v/>
      </c>
      <c r="W8040" s="19">
        <f>IF($I8040="","",IF(ISNUMBER($I8040),TEXT($I8040,"0"),$I8040))</f>
        <v/>
      </c>
    </row>
    <row r="8041">
      <c r="B8041" s="25" t="n"/>
      <c r="I8041" s="25" t="n"/>
      <c r="U8041" s="19">
        <f>IF($V8041&lt;&gt;'設定'!$C$4,N(U8040),IF(OR(NOT(COUNTIF('商品マスタ'!$B$6:$B$1005,$W8041)=0),COUNTIFS('①在庫を貼る'!$V$6:$V$10005,$V8041,'①在庫を貼る'!$W$6:$W$10005,$W8041)+COUNTIFS('月1回_1ヶ月前の在庫'!$V$6:$V$10005,$V8041,'月1回_1ヶ月前の在庫'!$W$6:$W$10005,$W8041)&gt;0),N(U8040),N(U8040)+1))</f>
        <v/>
      </c>
      <c r="V8041" s="19">
        <f>IF($B8041="","",TEXT($B8041,"0000"))</f>
        <v/>
      </c>
      <c r="W8041" s="19">
        <f>IF($I8041="","",IF(ISNUMBER($I8041),TEXT($I8041,"0"),$I8041))</f>
        <v/>
      </c>
    </row>
    <row r="8042">
      <c r="B8042" s="25" t="n"/>
      <c r="I8042" s="25" t="n"/>
      <c r="U8042" s="19">
        <f>IF($V8042&lt;&gt;'設定'!$C$4,N(U8041),IF(OR(NOT(COUNTIF('商品マスタ'!$B$6:$B$1005,$W8042)=0),COUNTIFS('①在庫を貼る'!$V$6:$V$10005,$V8042,'①在庫を貼る'!$W$6:$W$10005,$W8042)+COUNTIFS('月1回_1ヶ月前の在庫'!$V$6:$V$10005,$V8042,'月1回_1ヶ月前の在庫'!$W$6:$W$10005,$W8042)&gt;0),N(U8041),N(U8041)+1))</f>
        <v/>
      </c>
      <c r="V8042" s="19">
        <f>IF($B8042="","",TEXT($B8042,"0000"))</f>
        <v/>
      </c>
      <c r="W8042" s="19">
        <f>IF($I8042="","",IF(ISNUMBER($I8042),TEXT($I8042,"0"),$I8042))</f>
        <v/>
      </c>
    </row>
    <row r="8043">
      <c r="B8043" s="25" t="n"/>
      <c r="I8043" s="25" t="n"/>
      <c r="U8043" s="19">
        <f>IF($V8043&lt;&gt;'設定'!$C$4,N(U8042),IF(OR(NOT(COUNTIF('商品マスタ'!$B$6:$B$1005,$W8043)=0),COUNTIFS('①在庫を貼る'!$V$6:$V$10005,$V8043,'①在庫を貼る'!$W$6:$W$10005,$W8043)+COUNTIFS('月1回_1ヶ月前の在庫'!$V$6:$V$10005,$V8043,'月1回_1ヶ月前の在庫'!$W$6:$W$10005,$W8043)&gt;0),N(U8042),N(U8042)+1))</f>
        <v/>
      </c>
      <c r="V8043" s="19">
        <f>IF($B8043="","",TEXT($B8043,"0000"))</f>
        <v/>
      </c>
      <c r="W8043" s="19">
        <f>IF($I8043="","",IF(ISNUMBER($I8043),TEXT($I8043,"0"),$I8043))</f>
        <v/>
      </c>
    </row>
    <row r="8044">
      <c r="B8044" s="25" t="n"/>
      <c r="I8044" s="25" t="n"/>
      <c r="U8044" s="19">
        <f>IF($V8044&lt;&gt;'設定'!$C$4,N(U8043),IF(OR(NOT(COUNTIF('商品マスタ'!$B$6:$B$1005,$W8044)=0),COUNTIFS('①在庫を貼る'!$V$6:$V$10005,$V8044,'①在庫を貼る'!$W$6:$W$10005,$W8044)+COUNTIFS('月1回_1ヶ月前の在庫'!$V$6:$V$10005,$V8044,'月1回_1ヶ月前の在庫'!$W$6:$W$10005,$W8044)&gt;0),N(U8043),N(U8043)+1))</f>
        <v/>
      </c>
      <c r="V8044" s="19">
        <f>IF($B8044="","",TEXT($B8044,"0000"))</f>
        <v/>
      </c>
      <c r="W8044" s="19">
        <f>IF($I8044="","",IF(ISNUMBER($I8044),TEXT($I8044,"0"),$I8044))</f>
        <v/>
      </c>
    </row>
    <row r="8045">
      <c r="B8045" s="25" t="n"/>
      <c r="I8045" s="25" t="n"/>
      <c r="U8045" s="19">
        <f>IF($V8045&lt;&gt;'設定'!$C$4,N(U8044),IF(OR(NOT(COUNTIF('商品マスタ'!$B$6:$B$1005,$W8045)=0),COUNTIFS('①在庫を貼る'!$V$6:$V$10005,$V8045,'①在庫を貼る'!$W$6:$W$10005,$W8045)+COUNTIFS('月1回_1ヶ月前の在庫'!$V$6:$V$10005,$V8045,'月1回_1ヶ月前の在庫'!$W$6:$W$10005,$W8045)&gt;0),N(U8044),N(U8044)+1))</f>
        <v/>
      </c>
      <c r="V8045" s="19">
        <f>IF($B8045="","",TEXT($B8045,"0000"))</f>
        <v/>
      </c>
      <c r="W8045" s="19">
        <f>IF($I8045="","",IF(ISNUMBER($I8045),TEXT($I8045,"0"),$I8045))</f>
        <v/>
      </c>
    </row>
    <row r="8046">
      <c r="B8046" s="25" t="n"/>
      <c r="I8046" s="25" t="n"/>
      <c r="U8046" s="19">
        <f>IF($V8046&lt;&gt;'設定'!$C$4,N(U8045),IF(OR(NOT(COUNTIF('商品マスタ'!$B$6:$B$1005,$W8046)=0),COUNTIFS('①在庫を貼る'!$V$6:$V$10005,$V8046,'①在庫を貼る'!$W$6:$W$10005,$W8046)+COUNTIFS('月1回_1ヶ月前の在庫'!$V$6:$V$10005,$V8046,'月1回_1ヶ月前の在庫'!$W$6:$W$10005,$W8046)&gt;0),N(U8045),N(U8045)+1))</f>
        <v/>
      </c>
      <c r="V8046" s="19">
        <f>IF($B8046="","",TEXT($B8046,"0000"))</f>
        <v/>
      </c>
      <c r="W8046" s="19">
        <f>IF($I8046="","",IF(ISNUMBER($I8046),TEXT($I8046,"0"),$I8046))</f>
        <v/>
      </c>
    </row>
    <row r="8047">
      <c r="B8047" s="25" t="n"/>
      <c r="I8047" s="25" t="n"/>
      <c r="U8047" s="19">
        <f>IF($V8047&lt;&gt;'設定'!$C$4,N(U8046),IF(OR(NOT(COUNTIF('商品マスタ'!$B$6:$B$1005,$W8047)=0),COUNTIFS('①在庫を貼る'!$V$6:$V$10005,$V8047,'①在庫を貼る'!$W$6:$W$10005,$W8047)+COUNTIFS('月1回_1ヶ月前の在庫'!$V$6:$V$10005,$V8047,'月1回_1ヶ月前の在庫'!$W$6:$W$10005,$W8047)&gt;0),N(U8046),N(U8046)+1))</f>
        <v/>
      </c>
      <c r="V8047" s="19">
        <f>IF($B8047="","",TEXT($B8047,"0000"))</f>
        <v/>
      </c>
      <c r="W8047" s="19">
        <f>IF($I8047="","",IF(ISNUMBER($I8047),TEXT($I8047,"0"),$I8047))</f>
        <v/>
      </c>
    </row>
    <row r="8048">
      <c r="B8048" s="25" t="n"/>
      <c r="I8048" s="25" t="n"/>
      <c r="U8048" s="19">
        <f>IF($V8048&lt;&gt;'設定'!$C$4,N(U8047),IF(OR(NOT(COUNTIF('商品マスタ'!$B$6:$B$1005,$W8048)=0),COUNTIFS('①在庫を貼る'!$V$6:$V$10005,$V8048,'①在庫を貼る'!$W$6:$W$10005,$W8048)+COUNTIFS('月1回_1ヶ月前の在庫'!$V$6:$V$10005,$V8048,'月1回_1ヶ月前の在庫'!$W$6:$W$10005,$W8048)&gt;0),N(U8047),N(U8047)+1))</f>
        <v/>
      </c>
      <c r="V8048" s="19">
        <f>IF($B8048="","",TEXT($B8048,"0000"))</f>
        <v/>
      </c>
      <c r="W8048" s="19">
        <f>IF($I8048="","",IF(ISNUMBER($I8048),TEXT($I8048,"0"),$I8048))</f>
        <v/>
      </c>
    </row>
    <row r="8049">
      <c r="B8049" s="25" t="n"/>
      <c r="I8049" s="25" t="n"/>
      <c r="U8049" s="19">
        <f>IF($V8049&lt;&gt;'設定'!$C$4,N(U8048),IF(OR(NOT(COUNTIF('商品マスタ'!$B$6:$B$1005,$W8049)=0),COUNTIFS('①在庫を貼る'!$V$6:$V$10005,$V8049,'①在庫を貼る'!$W$6:$W$10005,$W8049)+COUNTIFS('月1回_1ヶ月前の在庫'!$V$6:$V$10005,$V8049,'月1回_1ヶ月前の在庫'!$W$6:$W$10005,$W8049)&gt;0),N(U8048),N(U8048)+1))</f>
        <v/>
      </c>
      <c r="V8049" s="19">
        <f>IF($B8049="","",TEXT($B8049,"0000"))</f>
        <v/>
      </c>
      <c r="W8049" s="19">
        <f>IF($I8049="","",IF(ISNUMBER($I8049),TEXT($I8049,"0"),$I8049))</f>
        <v/>
      </c>
    </row>
    <row r="8050">
      <c r="B8050" s="25" t="n"/>
      <c r="I8050" s="25" t="n"/>
      <c r="U8050" s="19">
        <f>IF($V8050&lt;&gt;'設定'!$C$4,N(U8049),IF(OR(NOT(COUNTIF('商品マスタ'!$B$6:$B$1005,$W8050)=0),COUNTIFS('①在庫を貼る'!$V$6:$V$10005,$V8050,'①在庫を貼る'!$W$6:$W$10005,$W8050)+COUNTIFS('月1回_1ヶ月前の在庫'!$V$6:$V$10005,$V8050,'月1回_1ヶ月前の在庫'!$W$6:$W$10005,$W8050)&gt;0),N(U8049),N(U8049)+1))</f>
        <v/>
      </c>
      <c r="V8050" s="19">
        <f>IF($B8050="","",TEXT($B8050,"0000"))</f>
        <v/>
      </c>
      <c r="W8050" s="19">
        <f>IF($I8050="","",IF(ISNUMBER($I8050),TEXT($I8050,"0"),$I8050))</f>
        <v/>
      </c>
    </row>
    <row r="8051">
      <c r="B8051" s="25" t="n"/>
      <c r="I8051" s="25" t="n"/>
      <c r="U8051" s="19">
        <f>IF($V8051&lt;&gt;'設定'!$C$4,N(U8050),IF(OR(NOT(COUNTIF('商品マスタ'!$B$6:$B$1005,$W8051)=0),COUNTIFS('①在庫を貼る'!$V$6:$V$10005,$V8051,'①在庫を貼る'!$W$6:$W$10005,$W8051)+COUNTIFS('月1回_1ヶ月前の在庫'!$V$6:$V$10005,$V8051,'月1回_1ヶ月前の在庫'!$W$6:$W$10005,$W8051)&gt;0),N(U8050),N(U8050)+1))</f>
        <v/>
      </c>
      <c r="V8051" s="19">
        <f>IF($B8051="","",TEXT($B8051,"0000"))</f>
        <v/>
      </c>
      <c r="W8051" s="19">
        <f>IF($I8051="","",IF(ISNUMBER($I8051),TEXT($I8051,"0"),$I8051))</f>
        <v/>
      </c>
    </row>
    <row r="8052">
      <c r="B8052" s="25" t="n"/>
      <c r="I8052" s="25" t="n"/>
      <c r="U8052" s="19">
        <f>IF($V8052&lt;&gt;'設定'!$C$4,N(U8051),IF(OR(NOT(COUNTIF('商品マスタ'!$B$6:$B$1005,$W8052)=0),COUNTIFS('①在庫を貼る'!$V$6:$V$10005,$V8052,'①在庫を貼る'!$W$6:$W$10005,$W8052)+COUNTIFS('月1回_1ヶ月前の在庫'!$V$6:$V$10005,$V8052,'月1回_1ヶ月前の在庫'!$W$6:$W$10005,$W8052)&gt;0),N(U8051),N(U8051)+1))</f>
        <v/>
      </c>
      <c r="V8052" s="19">
        <f>IF($B8052="","",TEXT($B8052,"0000"))</f>
        <v/>
      </c>
      <c r="W8052" s="19">
        <f>IF($I8052="","",IF(ISNUMBER($I8052),TEXT($I8052,"0"),$I8052))</f>
        <v/>
      </c>
    </row>
    <row r="8053">
      <c r="B8053" s="25" t="n"/>
      <c r="I8053" s="25" t="n"/>
      <c r="U8053" s="19">
        <f>IF($V8053&lt;&gt;'設定'!$C$4,N(U8052),IF(OR(NOT(COUNTIF('商品マスタ'!$B$6:$B$1005,$W8053)=0),COUNTIFS('①在庫を貼る'!$V$6:$V$10005,$V8053,'①在庫を貼る'!$W$6:$W$10005,$W8053)+COUNTIFS('月1回_1ヶ月前の在庫'!$V$6:$V$10005,$V8053,'月1回_1ヶ月前の在庫'!$W$6:$W$10005,$W8053)&gt;0),N(U8052),N(U8052)+1))</f>
        <v/>
      </c>
      <c r="V8053" s="19">
        <f>IF($B8053="","",TEXT($B8053,"0000"))</f>
        <v/>
      </c>
      <c r="W8053" s="19">
        <f>IF($I8053="","",IF(ISNUMBER($I8053),TEXT($I8053,"0"),$I8053))</f>
        <v/>
      </c>
    </row>
    <row r="8054">
      <c r="B8054" s="25" t="n"/>
      <c r="I8054" s="25" t="n"/>
      <c r="U8054" s="19">
        <f>IF($V8054&lt;&gt;'設定'!$C$4,N(U8053),IF(OR(NOT(COUNTIF('商品マスタ'!$B$6:$B$1005,$W8054)=0),COUNTIFS('①在庫を貼る'!$V$6:$V$10005,$V8054,'①在庫を貼る'!$W$6:$W$10005,$W8054)+COUNTIFS('月1回_1ヶ月前の在庫'!$V$6:$V$10005,$V8054,'月1回_1ヶ月前の在庫'!$W$6:$W$10005,$W8054)&gt;0),N(U8053),N(U8053)+1))</f>
        <v/>
      </c>
      <c r="V8054" s="19">
        <f>IF($B8054="","",TEXT($B8054,"0000"))</f>
        <v/>
      </c>
      <c r="W8054" s="19">
        <f>IF($I8054="","",IF(ISNUMBER($I8054),TEXT($I8054,"0"),$I8054))</f>
        <v/>
      </c>
    </row>
    <row r="8055">
      <c r="B8055" s="25" t="n"/>
      <c r="I8055" s="25" t="n"/>
      <c r="U8055" s="19">
        <f>IF($V8055&lt;&gt;'設定'!$C$4,N(U8054),IF(OR(NOT(COUNTIF('商品マスタ'!$B$6:$B$1005,$W8055)=0),COUNTIFS('①在庫を貼る'!$V$6:$V$10005,$V8055,'①在庫を貼る'!$W$6:$W$10005,$W8055)+COUNTIFS('月1回_1ヶ月前の在庫'!$V$6:$V$10005,$V8055,'月1回_1ヶ月前の在庫'!$W$6:$W$10005,$W8055)&gt;0),N(U8054),N(U8054)+1))</f>
        <v/>
      </c>
      <c r="V8055" s="19">
        <f>IF($B8055="","",TEXT($B8055,"0000"))</f>
        <v/>
      </c>
      <c r="W8055" s="19">
        <f>IF($I8055="","",IF(ISNUMBER($I8055),TEXT($I8055,"0"),$I8055))</f>
        <v/>
      </c>
    </row>
    <row r="8056">
      <c r="B8056" s="25" t="n"/>
      <c r="I8056" s="25" t="n"/>
      <c r="U8056" s="19">
        <f>IF($V8056&lt;&gt;'設定'!$C$4,N(U8055),IF(OR(NOT(COUNTIF('商品マスタ'!$B$6:$B$1005,$W8056)=0),COUNTIFS('①在庫を貼る'!$V$6:$V$10005,$V8056,'①在庫を貼る'!$W$6:$W$10005,$W8056)+COUNTIFS('月1回_1ヶ月前の在庫'!$V$6:$V$10005,$V8056,'月1回_1ヶ月前の在庫'!$W$6:$W$10005,$W8056)&gt;0),N(U8055),N(U8055)+1))</f>
        <v/>
      </c>
      <c r="V8056" s="19">
        <f>IF($B8056="","",TEXT($B8056,"0000"))</f>
        <v/>
      </c>
      <c r="W8056" s="19">
        <f>IF($I8056="","",IF(ISNUMBER($I8056),TEXT($I8056,"0"),$I8056))</f>
        <v/>
      </c>
    </row>
    <row r="8057">
      <c r="B8057" s="25" t="n"/>
      <c r="I8057" s="25" t="n"/>
      <c r="U8057" s="19">
        <f>IF($V8057&lt;&gt;'設定'!$C$4,N(U8056),IF(OR(NOT(COUNTIF('商品マスタ'!$B$6:$B$1005,$W8057)=0),COUNTIFS('①在庫を貼る'!$V$6:$V$10005,$V8057,'①在庫を貼る'!$W$6:$W$10005,$W8057)+COUNTIFS('月1回_1ヶ月前の在庫'!$V$6:$V$10005,$V8057,'月1回_1ヶ月前の在庫'!$W$6:$W$10005,$W8057)&gt;0),N(U8056),N(U8056)+1))</f>
        <v/>
      </c>
      <c r="V8057" s="19">
        <f>IF($B8057="","",TEXT($B8057,"0000"))</f>
        <v/>
      </c>
      <c r="W8057" s="19">
        <f>IF($I8057="","",IF(ISNUMBER($I8057),TEXT($I8057,"0"),$I8057))</f>
        <v/>
      </c>
    </row>
    <row r="8058">
      <c r="B8058" s="25" t="n"/>
      <c r="I8058" s="25" t="n"/>
      <c r="U8058" s="19">
        <f>IF($V8058&lt;&gt;'設定'!$C$4,N(U8057),IF(OR(NOT(COUNTIF('商品マスタ'!$B$6:$B$1005,$W8058)=0),COUNTIFS('①在庫を貼る'!$V$6:$V$10005,$V8058,'①在庫を貼る'!$W$6:$W$10005,$W8058)+COUNTIFS('月1回_1ヶ月前の在庫'!$V$6:$V$10005,$V8058,'月1回_1ヶ月前の在庫'!$W$6:$W$10005,$W8058)&gt;0),N(U8057),N(U8057)+1))</f>
        <v/>
      </c>
      <c r="V8058" s="19">
        <f>IF($B8058="","",TEXT($B8058,"0000"))</f>
        <v/>
      </c>
      <c r="W8058" s="19">
        <f>IF($I8058="","",IF(ISNUMBER($I8058),TEXT($I8058,"0"),$I8058))</f>
        <v/>
      </c>
    </row>
    <row r="8059">
      <c r="B8059" s="25" t="n"/>
      <c r="I8059" s="25" t="n"/>
      <c r="U8059" s="19">
        <f>IF($V8059&lt;&gt;'設定'!$C$4,N(U8058),IF(OR(NOT(COUNTIF('商品マスタ'!$B$6:$B$1005,$W8059)=0),COUNTIFS('①在庫を貼る'!$V$6:$V$10005,$V8059,'①在庫を貼る'!$W$6:$W$10005,$W8059)+COUNTIFS('月1回_1ヶ月前の在庫'!$V$6:$V$10005,$V8059,'月1回_1ヶ月前の在庫'!$W$6:$W$10005,$W8059)&gt;0),N(U8058),N(U8058)+1))</f>
        <v/>
      </c>
      <c r="V8059" s="19">
        <f>IF($B8059="","",TEXT($B8059,"0000"))</f>
        <v/>
      </c>
      <c r="W8059" s="19">
        <f>IF($I8059="","",IF(ISNUMBER($I8059),TEXT($I8059,"0"),$I8059))</f>
        <v/>
      </c>
    </row>
    <row r="8060">
      <c r="B8060" s="25" t="n"/>
      <c r="I8060" s="25" t="n"/>
      <c r="U8060" s="19">
        <f>IF($V8060&lt;&gt;'設定'!$C$4,N(U8059),IF(OR(NOT(COUNTIF('商品マスタ'!$B$6:$B$1005,$W8060)=0),COUNTIFS('①在庫を貼る'!$V$6:$V$10005,$V8060,'①在庫を貼る'!$W$6:$W$10005,$W8060)+COUNTIFS('月1回_1ヶ月前の在庫'!$V$6:$V$10005,$V8060,'月1回_1ヶ月前の在庫'!$W$6:$W$10005,$W8060)&gt;0),N(U8059),N(U8059)+1))</f>
        <v/>
      </c>
      <c r="V8060" s="19">
        <f>IF($B8060="","",TEXT($B8060,"0000"))</f>
        <v/>
      </c>
      <c r="W8060" s="19">
        <f>IF($I8060="","",IF(ISNUMBER($I8060),TEXT($I8060,"0"),$I8060))</f>
        <v/>
      </c>
    </row>
    <row r="8061">
      <c r="B8061" s="25" t="n"/>
      <c r="I8061" s="25" t="n"/>
      <c r="U8061" s="19">
        <f>IF($V8061&lt;&gt;'設定'!$C$4,N(U8060),IF(OR(NOT(COUNTIF('商品マスタ'!$B$6:$B$1005,$W8061)=0),COUNTIFS('①在庫を貼る'!$V$6:$V$10005,$V8061,'①在庫を貼る'!$W$6:$W$10005,$W8061)+COUNTIFS('月1回_1ヶ月前の在庫'!$V$6:$V$10005,$V8061,'月1回_1ヶ月前の在庫'!$W$6:$W$10005,$W8061)&gt;0),N(U8060),N(U8060)+1))</f>
        <v/>
      </c>
      <c r="V8061" s="19">
        <f>IF($B8061="","",TEXT($B8061,"0000"))</f>
        <v/>
      </c>
      <c r="W8061" s="19">
        <f>IF($I8061="","",IF(ISNUMBER($I8061),TEXT($I8061,"0"),$I8061))</f>
        <v/>
      </c>
    </row>
    <row r="8062">
      <c r="B8062" s="25" t="n"/>
      <c r="I8062" s="25" t="n"/>
      <c r="U8062" s="19">
        <f>IF($V8062&lt;&gt;'設定'!$C$4,N(U8061),IF(OR(NOT(COUNTIF('商品マスタ'!$B$6:$B$1005,$W8062)=0),COUNTIFS('①在庫を貼る'!$V$6:$V$10005,$V8062,'①在庫を貼る'!$W$6:$W$10005,$W8062)+COUNTIFS('月1回_1ヶ月前の在庫'!$V$6:$V$10005,$V8062,'月1回_1ヶ月前の在庫'!$W$6:$W$10005,$W8062)&gt;0),N(U8061),N(U8061)+1))</f>
        <v/>
      </c>
      <c r="V8062" s="19">
        <f>IF($B8062="","",TEXT($B8062,"0000"))</f>
        <v/>
      </c>
      <c r="W8062" s="19">
        <f>IF($I8062="","",IF(ISNUMBER($I8062),TEXT($I8062,"0"),$I8062))</f>
        <v/>
      </c>
    </row>
    <row r="8063">
      <c r="B8063" s="25" t="n"/>
      <c r="I8063" s="25" t="n"/>
      <c r="U8063" s="19">
        <f>IF($V8063&lt;&gt;'設定'!$C$4,N(U8062),IF(OR(NOT(COUNTIF('商品マスタ'!$B$6:$B$1005,$W8063)=0),COUNTIFS('①在庫を貼る'!$V$6:$V$10005,$V8063,'①在庫を貼る'!$W$6:$W$10005,$W8063)+COUNTIFS('月1回_1ヶ月前の在庫'!$V$6:$V$10005,$V8063,'月1回_1ヶ月前の在庫'!$W$6:$W$10005,$W8063)&gt;0),N(U8062),N(U8062)+1))</f>
        <v/>
      </c>
      <c r="V8063" s="19">
        <f>IF($B8063="","",TEXT($B8063,"0000"))</f>
        <v/>
      </c>
      <c r="W8063" s="19">
        <f>IF($I8063="","",IF(ISNUMBER($I8063),TEXT($I8063,"0"),$I8063))</f>
        <v/>
      </c>
    </row>
    <row r="8064">
      <c r="B8064" s="25" t="n"/>
      <c r="I8064" s="25" t="n"/>
      <c r="U8064" s="19">
        <f>IF($V8064&lt;&gt;'設定'!$C$4,N(U8063),IF(OR(NOT(COUNTIF('商品マスタ'!$B$6:$B$1005,$W8064)=0),COUNTIFS('①在庫を貼る'!$V$6:$V$10005,$V8064,'①在庫を貼る'!$W$6:$W$10005,$W8064)+COUNTIFS('月1回_1ヶ月前の在庫'!$V$6:$V$10005,$V8064,'月1回_1ヶ月前の在庫'!$W$6:$W$10005,$W8064)&gt;0),N(U8063),N(U8063)+1))</f>
        <v/>
      </c>
      <c r="V8064" s="19">
        <f>IF($B8064="","",TEXT($B8064,"0000"))</f>
        <v/>
      </c>
      <c r="W8064" s="19">
        <f>IF($I8064="","",IF(ISNUMBER($I8064),TEXT($I8064,"0"),$I8064))</f>
        <v/>
      </c>
    </row>
    <row r="8065">
      <c r="B8065" s="25" t="n"/>
      <c r="I8065" s="25" t="n"/>
      <c r="U8065" s="19">
        <f>IF($V8065&lt;&gt;'設定'!$C$4,N(U8064),IF(OR(NOT(COUNTIF('商品マスタ'!$B$6:$B$1005,$W8065)=0),COUNTIFS('①在庫を貼る'!$V$6:$V$10005,$V8065,'①在庫を貼る'!$W$6:$W$10005,$W8065)+COUNTIFS('月1回_1ヶ月前の在庫'!$V$6:$V$10005,$V8065,'月1回_1ヶ月前の在庫'!$W$6:$W$10005,$W8065)&gt;0),N(U8064),N(U8064)+1))</f>
        <v/>
      </c>
      <c r="V8065" s="19">
        <f>IF($B8065="","",TEXT($B8065,"0000"))</f>
        <v/>
      </c>
      <c r="W8065" s="19">
        <f>IF($I8065="","",IF(ISNUMBER($I8065),TEXT($I8065,"0"),$I8065))</f>
        <v/>
      </c>
    </row>
    <row r="8066">
      <c r="B8066" s="25" t="n"/>
      <c r="I8066" s="25" t="n"/>
      <c r="U8066" s="19">
        <f>IF($V8066&lt;&gt;'設定'!$C$4,N(U8065),IF(OR(NOT(COUNTIF('商品マスタ'!$B$6:$B$1005,$W8066)=0),COUNTIFS('①在庫を貼る'!$V$6:$V$10005,$V8066,'①在庫を貼る'!$W$6:$W$10005,$W8066)+COUNTIFS('月1回_1ヶ月前の在庫'!$V$6:$V$10005,$V8066,'月1回_1ヶ月前の在庫'!$W$6:$W$10005,$W8066)&gt;0),N(U8065),N(U8065)+1))</f>
        <v/>
      </c>
      <c r="V8066" s="19">
        <f>IF($B8066="","",TEXT($B8066,"0000"))</f>
        <v/>
      </c>
      <c r="W8066" s="19">
        <f>IF($I8066="","",IF(ISNUMBER($I8066),TEXT($I8066,"0"),$I8066))</f>
        <v/>
      </c>
    </row>
    <row r="8067">
      <c r="B8067" s="25" t="n"/>
      <c r="I8067" s="25" t="n"/>
      <c r="U8067" s="19">
        <f>IF($V8067&lt;&gt;'設定'!$C$4,N(U8066),IF(OR(NOT(COUNTIF('商品マスタ'!$B$6:$B$1005,$W8067)=0),COUNTIFS('①在庫を貼る'!$V$6:$V$10005,$V8067,'①在庫を貼る'!$W$6:$W$10005,$W8067)+COUNTIFS('月1回_1ヶ月前の在庫'!$V$6:$V$10005,$V8067,'月1回_1ヶ月前の在庫'!$W$6:$W$10005,$W8067)&gt;0),N(U8066),N(U8066)+1))</f>
        <v/>
      </c>
      <c r="V8067" s="19">
        <f>IF($B8067="","",TEXT($B8067,"0000"))</f>
        <v/>
      </c>
      <c r="W8067" s="19">
        <f>IF($I8067="","",IF(ISNUMBER($I8067),TEXT($I8067,"0"),$I8067))</f>
        <v/>
      </c>
    </row>
    <row r="8068">
      <c r="B8068" s="25" t="n"/>
      <c r="I8068" s="25" t="n"/>
      <c r="U8068" s="19">
        <f>IF($V8068&lt;&gt;'設定'!$C$4,N(U8067),IF(OR(NOT(COUNTIF('商品マスタ'!$B$6:$B$1005,$W8068)=0),COUNTIFS('①在庫を貼る'!$V$6:$V$10005,$V8068,'①在庫を貼る'!$W$6:$W$10005,$W8068)+COUNTIFS('月1回_1ヶ月前の在庫'!$V$6:$V$10005,$V8068,'月1回_1ヶ月前の在庫'!$W$6:$W$10005,$W8068)&gt;0),N(U8067),N(U8067)+1))</f>
        <v/>
      </c>
      <c r="V8068" s="19">
        <f>IF($B8068="","",TEXT($B8068,"0000"))</f>
        <v/>
      </c>
      <c r="W8068" s="19">
        <f>IF($I8068="","",IF(ISNUMBER($I8068),TEXT($I8068,"0"),$I8068))</f>
        <v/>
      </c>
    </row>
    <row r="8069">
      <c r="B8069" s="25" t="n"/>
      <c r="I8069" s="25" t="n"/>
      <c r="U8069" s="19">
        <f>IF($V8069&lt;&gt;'設定'!$C$4,N(U8068),IF(OR(NOT(COUNTIF('商品マスタ'!$B$6:$B$1005,$W8069)=0),COUNTIFS('①在庫を貼る'!$V$6:$V$10005,$V8069,'①在庫を貼る'!$W$6:$W$10005,$W8069)+COUNTIFS('月1回_1ヶ月前の在庫'!$V$6:$V$10005,$V8069,'月1回_1ヶ月前の在庫'!$W$6:$W$10005,$W8069)&gt;0),N(U8068),N(U8068)+1))</f>
        <v/>
      </c>
      <c r="V8069" s="19">
        <f>IF($B8069="","",TEXT($B8069,"0000"))</f>
        <v/>
      </c>
      <c r="W8069" s="19">
        <f>IF($I8069="","",IF(ISNUMBER($I8069),TEXT($I8069,"0"),$I8069))</f>
        <v/>
      </c>
    </row>
    <row r="8070">
      <c r="B8070" s="25" t="n"/>
      <c r="I8070" s="25" t="n"/>
      <c r="U8070" s="19">
        <f>IF($V8070&lt;&gt;'設定'!$C$4,N(U8069),IF(OR(NOT(COUNTIF('商品マスタ'!$B$6:$B$1005,$W8070)=0),COUNTIFS('①在庫を貼る'!$V$6:$V$10005,$V8070,'①在庫を貼る'!$W$6:$W$10005,$W8070)+COUNTIFS('月1回_1ヶ月前の在庫'!$V$6:$V$10005,$V8070,'月1回_1ヶ月前の在庫'!$W$6:$W$10005,$W8070)&gt;0),N(U8069),N(U8069)+1))</f>
        <v/>
      </c>
      <c r="V8070" s="19">
        <f>IF($B8070="","",TEXT($B8070,"0000"))</f>
        <v/>
      </c>
      <c r="W8070" s="19">
        <f>IF($I8070="","",IF(ISNUMBER($I8070),TEXT($I8070,"0"),$I8070))</f>
        <v/>
      </c>
    </row>
    <row r="8071">
      <c r="B8071" s="25" t="n"/>
      <c r="I8071" s="25" t="n"/>
      <c r="U8071" s="19">
        <f>IF($V8071&lt;&gt;'設定'!$C$4,N(U8070),IF(OR(NOT(COUNTIF('商品マスタ'!$B$6:$B$1005,$W8071)=0),COUNTIFS('①在庫を貼る'!$V$6:$V$10005,$V8071,'①在庫を貼る'!$W$6:$W$10005,$W8071)+COUNTIFS('月1回_1ヶ月前の在庫'!$V$6:$V$10005,$V8071,'月1回_1ヶ月前の在庫'!$W$6:$W$10005,$W8071)&gt;0),N(U8070),N(U8070)+1))</f>
        <v/>
      </c>
      <c r="V8071" s="19">
        <f>IF($B8071="","",TEXT($B8071,"0000"))</f>
        <v/>
      </c>
      <c r="W8071" s="19">
        <f>IF($I8071="","",IF(ISNUMBER($I8071),TEXT($I8071,"0"),$I8071))</f>
        <v/>
      </c>
    </row>
    <row r="8072">
      <c r="B8072" s="25" t="n"/>
      <c r="I8072" s="25" t="n"/>
      <c r="U8072" s="19">
        <f>IF($V8072&lt;&gt;'設定'!$C$4,N(U8071),IF(OR(NOT(COUNTIF('商品マスタ'!$B$6:$B$1005,$W8072)=0),COUNTIFS('①在庫を貼る'!$V$6:$V$10005,$V8072,'①在庫を貼る'!$W$6:$W$10005,$W8072)+COUNTIFS('月1回_1ヶ月前の在庫'!$V$6:$V$10005,$V8072,'月1回_1ヶ月前の在庫'!$W$6:$W$10005,$W8072)&gt;0),N(U8071),N(U8071)+1))</f>
        <v/>
      </c>
      <c r="V8072" s="19">
        <f>IF($B8072="","",TEXT($B8072,"0000"))</f>
        <v/>
      </c>
      <c r="W8072" s="19">
        <f>IF($I8072="","",IF(ISNUMBER($I8072),TEXT($I8072,"0"),$I8072))</f>
        <v/>
      </c>
    </row>
    <row r="8073">
      <c r="B8073" s="25" t="n"/>
      <c r="I8073" s="25" t="n"/>
      <c r="U8073" s="19">
        <f>IF($V8073&lt;&gt;'設定'!$C$4,N(U8072),IF(OR(NOT(COUNTIF('商品マスタ'!$B$6:$B$1005,$W8073)=0),COUNTIFS('①在庫を貼る'!$V$6:$V$10005,$V8073,'①在庫を貼る'!$W$6:$W$10005,$W8073)+COUNTIFS('月1回_1ヶ月前の在庫'!$V$6:$V$10005,$V8073,'月1回_1ヶ月前の在庫'!$W$6:$W$10005,$W8073)&gt;0),N(U8072),N(U8072)+1))</f>
        <v/>
      </c>
      <c r="V8073" s="19">
        <f>IF($B8073="","",TEXT($B8073,"0000"))</f>
        <v/>
      </c>
      <c r="W8073" s="19">
        <f>IF($I8073="","",IF(ISNUMBER($I8073),TEXT($I8073,"0"),$I8073))</f>
        <v/>
      </c>
    </row>
    <row r="8074">
      <c r="B8074" s="25" t="n"/>
      <c r="I8074" s="25" t="n"/>
      <c r="U8074" s="19">
        <f>IF($V8074&lt;&gt;'設定'!$C$4,N(U8073),IF(OR(NOT(COUNTIF('商品マスタ'!$B$6:$B$1005,$W8074)=0),COUNTIFS('①在庫を貼る'!$V$6:$V$10005,$V8074,'①在庫を貼る'!$W$6:$W$10005,$W8074)+COUNTIFS('月1回_1ヶ月前の在庫'!$V$6:$V$10005,$V8074,'月1回_1ヶ月前の在庫'!$W$6:$W$10005,$W8074)&gt;0),N(U8073),N(U8073)+1))</f>
        <v/>
      </c>
      <c r="V8074" s="19">
        <f>IF($B8074="","",TEXT($B8074,"0000"))</f>
        <v/>
      </c>
      <c r="W8074" s="19">
        <f>IF($I8074="","",IF(ISNUMBER($I8074),TEXT($I8074,"0"),$I8074))</f>
        <v/>
      </c>
    </row>
    <row r="8075">
      <c r="B8075" s="25" t="n"/>
      <c r="I8075" s="25" t="n"/>
      <c r="U8075" s="19">
        <f>IF($V8075&lt;&gt;'設定'!$C$4,N(U8074),IF(OR(NOT(COUNTIF('商品マスタ'!$B$6:$B$1005,$W8075)=0),COUNTIFS('①在庫を貼る'!$V$6:$V$10005,$V8075,'①在庫を貼る'!$W$6:$W$10005,$W8075)+COUNTIFS('月1回_1ヶ月前の在庫'!$V$6:$V$10005,$V8075,'月1回_1ヶ月前の在庫'!$W$6:$W$10005,$W8075)&gt;0),N(U8074),N(U8074)+1))</f>
        <v/>
      </c>
      <c r="V8075" s="19">
        <f>IF($B8075="","",TEXT($B8075,"0000"))</f>
        <v/>
      </c>
      <c r="W8075" s="19">
        <f>IF($I8075="","",IF(ISNUMBER($I8075),TEXT($I8075,"0"),$I8075))</f>
        <v/>
      </c>
    </row>
    <row r="8076">
      <c r="B8076" s="25" t="n"/>
      <c r="I8076" s="25" t="n"/>
      <c r="U8076" s="19">
        <f>IF($V8076&lt;&gt;'設定'!$C$4,N(U8075),IF(OR(NOT(COUNTIF('商品マスタ'!$B$6:$B$1005,$W8076)=0),COUNTIFS('①在庫を貼る'!$V$6:$V$10005,$V8076,'①在庫を貼る'!$W$6:$W$10005,$W8076)+COUNTIFS('月1回_1ヶ月前の在庫'!$V$6:$V$10005,$V8076,'月1回_1ヶ月前の在庫'!$W$6:$W$10005,$W8076)&gt;0),N(U8075),N(U8075)+1))</f>
        <v/>
      </c>
      <c r="V8076" s="19">
        <f>IF($B8076="","",TEXT($B8076,"0000"))</f>
        <v/>
      </c>
      <c r="W8076" s="19">
        <f>IF($I8076="","",IF(ISNUMBER($I8076),TEXT($I8076,"0"),$I8076))</f>
        <v/>
      </c>
    </row>
    <row r="8077">
      <c r="B8077" s="25" t="n"/>
      <c r="I8077" s="25" t="n"/>
      <c r="U8077" s="19">
        <f>IF($V8077&lt;&gt;'設定'!$C$4,N(U8076),IF(OR(NOT(COUNTIF('商品マスタ'!$B$6:$B$1005,$W8077)=0),COUNTIFS('①在庫を貼る'!$V$6:$V$10005,$V8077,'①在庫を貼る'!$W$6:$W$10005,$W8077)+COUNTIFS('月1回_1ヶ月前の在庫'!$V$6:$V$10005,$V8077,'月1回_1ヶ月前の在庫'!$W$6:$W$10005,$W8077)&gt;0),N(U8076),N(U8076)+1))</f>
        <v/>
      </c>
      <c r="V8077" s="19">
        <f>IF($B8077="","",TEXT($B8077,"0000"))</f>
        <v/>
      </c>
      <c r="W8077" s="19">
        <f>IF($I8077="","",IF(ISNUMBER($I8077),TEXT($I8077,"0"),$I8077))</f>
        <v/>
      </c>
    </row>
    <row r="8078">
      <c r="B8078" s="25" t="n"/>
      <c r="I8078" s="25" t="n"/>
      <c r="U8078" s="19">
        <f>IF($V8078&lt;&gt;'設定'!$C$4,N(U8077),IF(OR(NOT(COUNTIF('商品マスタ'!$B$6:$B$1005,$W8078)=0),COUNTIFS('①在庫を貼る'!$V$6:$V$10005,$V8078,'①在庫を貼る'!$W$6:$W$10005,$W8078)+COUNTIFS('月1回_1ヶ月前の在庫'!$V$6:$V$10005,$V8078,'月1回_1ヶ月前の在庫'!$W$6:$W$10005,$W8078)&gt;0),N(U8077),N(U8077)+1))</f>
        <v/>
      </c>
      <c r="V8078" s="19">
        <f>IF($B8078="","",TEXT($B8078,"0000"))</f>
        <v/>
      </c>
      <c r="W8078" s="19">
        <f>IF($I8078="","",IF(ISNUMBER($I8078),TEXT($I8078,"0"),$I8078))</f>
        <v/>
      </c>
    </row>
    <row r="8079">
      <c r="B8079" s="25" t="n"/>
      <c r="I8079" s="25" t="n"/>
      <c r="U8079" s="19">
        <f>IF($V8079&lt;&gt;'設定'!$C$4,N(U8078),IF(OR(NOT(COUNTIF('商品マスタ'!$B$6:$B$1005,$W8079)=0),COUNTIFS('①在庫を貼る'!$V$6:$V$10005,$V8079,'①在庫を貼る'!$W$6:$W$10005,$W8079)+COUNTIFS('月1回_1ヶ月前の在庫'!$V$6:$V$10005,$V8079,'月1回_1ヶ月前の在庫'!$W$6:$W$10005,$W8079)&gt;0),N(U8078),N(U8078)+1))</f>
        <v/>
      </c>
      <c r="V8079" s="19">
        <f>IF($B8079="","",TEXT($B8079,"0000"))</f>
        <v/>
      </c>
      <c r="W8079" s="19">
        <f>IF($I8079="","",IF(ISNUMBER($I8079),TEXT($I8079,"0"),$I8079))</f>
        <v/>
      </c>
    </row>
    <row r="8080">
      <c r="B8080" s="25" t="n"/>
      <c r="I8080" s="25" t="n"/>
      <c r="U8080" s="19">
        <f>IF($V8080&lt;&gt;'設定'!$C$4,N(U8079),IF(OR(NOT(COUNTIF('商品マスタ'!$B$6:$B$1005,$W8080)=0),COUNTIFS('①在庫を貼る'!$V$6:$V$10005,$V8080,'①在庫を貼る'!$W$6:$W$10005,$W8080)+COUNTIFS('月1回_1ヶ月前の在庫'!$V$6:$V$10005,$V8080,'月1回_1ヶ月前の在庫'!$W$6:$W$10005,$W8080)&gt;0),N(U8079),N(U8079)+1))</f>
        <v/>
      </c>
      <c r="V8080" s="19">
        <f>IF($B8080="","",TEXT($B8080,"0000"))</f>
        <v/>
      </c>
      <c r="W8080" s="19">
        <f>IF($I8080="","",IF(ISNUMBER($I8080),TEXT($I8080,"0"),$I8080))</f>
        <v/>
      </c>
    </row>
    <row r="8081">
      <c r="B8081" s="25" t="n"/>
      <c r="I8081" s="25" t="n"/>
      <c r="U8081" s="19">
        <f>IF($V8081&lt;&gt;'設定'!$C$4,N(U8080),IF(OR(NOT(COUNTIF('商品マスタ'!$B$6:$B$1005,$W8081)=0),COUNTIFS('①在庫を貼る'!$V$6:$V$10005,$V8081,'①在庫を貼る'!$W$6:$W$10005,$W8081)+COUNTIFS('月1回_1ヶ月前の在庫'!$V$6:$V$10005,$V8081,'月1回_1ヶ月前の在庫'!$W$6:$W$10005,$W8081)&gt;0),N(U8080),N(U8080)+1))</f>
        <v/>
      </c>
      <c r="V8081" s="19">
        <f>IF($B8081="","",TEXT($B8081,"0000"))</f>
        <v/>
      </c>
      <c r="W8081" s="19">
        <f>IF($I8081="","",IF(ISNUMBER($I8081),TEXT($I8081,"0"),$I8081))</f>
        <v/>
      </c>
    </row>
    <row r="8082">
      <c r="B8082" s="25" t="n"/>
      <c r="I8082" s="25" t="n"/>
      <c r="U8082" s="19">
        <f>IF($V8082&lt;&gt;'設定'!$C$4,N(U8081),IF(OR(NOT(COUNTIF('商品マスタ'!$B$6:$B$1005,$W8082)=0),COUNTIFS('①在庫を貼る'!$V$6:$V$10005,$V8082,'①在庫を貼る'!$W$6:$W$10005,$W8082)+COUNTIFS('月1回_1ヶ月前の在庫'!$V$6:$V$10005,$V8082,'月1回_1ヶ月前の在庫'!$W$6:$W$10005,$W8082)&gt;0),N(U8081),N(U8081)+1))</f>
        <v/>
      </c>
      <c r="V8082" s="19">
        <f>IF($B8082="","",TEXT($B8082,"0000"))</f>
        <v/>
      </c>
      <c r="W8082" s="19">
        <f>IF($I8082="","",IF(ISNUMBER($I8082),TEXT($I8082,"0"),$I8082))</f>
        <v/>
      </c>
    </row>
    <row r="8083">
      <c r="B8083" s="25" t="n"/>
      <c r="I8083" s="25" t="n"/>
      <c r="U8083" s="19">
        <f>IF($V8083&lt;&gt;'設定'!$C$4,N(U8082),IF(OR(NOT(COUNTIF('商品マスタ'!$B$6:$B$1005,$W8083)=0),COUNTIFS('①在庫を貼る'!$V$6:$V$10005,$V8083,'①在庫を貼る'!$W$6:$W$10005,$W8083)+COUNTIFS('月1回_1ヶ月前の在庫'!$V$6:$V$10005,$V8083,'月1回_1ヶ月前の在庫'!$W$6:$W$10005,$W8083)&gt;0),N(U8082),N(U8082)+1))</f>
        <v/>
      </c>
      <c r="V8083" s="19">
        <f>IF($B8083="","",TEXT($B8083,"0000"))</f>
        <v/>
      </c>
      <c r="W8083" s="19">
        <f>IF($I8083="","",IF(ISNUMBER($I8083),TEXT($I8083,"0"),$I8083))</f>
        <v/>
      </c>
    </row>
    <row r="8084">
      <c r="B8084" s="25" t="n"/>
      <c r="I8084" s="25" t="n"/>
      <c r="U8084" s="19">
        <f>IF($V8084&lt;&gt;'設定'!$C$4,N(U8083),IF(OR(NOT(COUNTIF('商品マスタ'!$B$6:$B$1005,$W8084)=0),COUNTIFS('①在庫を貼る'!$V$6:$V$10005,$V8084,'①在庫を貼る'!$W$6:$W$10005,$W8084)+COUNTIFS('月1回_1ヶ月前の在庫'!$V$6:$V$10005,$V8084,'月1回_1ヶ月前の在庫'!$W$6:$W$10005,$W8084)&gt;0),N(U8083),N(U8083)+1))</f>
        <v/>
      </c>
      <c r="V8084" s="19">
        <f>IF($B8084="","",TEXT($B8084,"0000"))</f>
        <v/>
      </c>
      <c r="W8084" s="19">
        <f>IF($I8084="","",IF(ISNUMBER($I8084),TEXT($I8084,"0"),$I8084))</f>
        <v/>
      </c>
    </row>
    <row r="8085">
      <c r="B8085" s="25" t="n"/>
      <c r="I8085" s="25" t="n"/>
      <c r="U8085" s="19">
        <f>IF($V8085&lt;&gt;'設定'!$C$4,N(U8084),IF(OR(NOT(COUNTIF('商品マスタ'!$B$6:$B$1005,$W8085)=0),COUNTIFS('①在庫を貼る'!$V$6:$V$10005,$V8085,'①在庫を貼る'!$W$6:$W$10005,$W8085)+COUNTIFS('月1回_1ヶ月前の在庫'!$V$6:$V$10005,$V8085,'月1回_1ヶ月前の在庫'!$W$6:$W$10005,$W8085)&gt;0),N(U8084),N(U8084)+1))</f>
        <v/>
      </c>
      <c r="V8085" s="19">
        <f>IF($B8085="","",TEXT($B8085,"0000"))</f>
        <v/>
      </c>
      <c r="W8085" s="19">
        <f>IF($I8085="","",IF(ISNUMBER($I8085),TEXT($I8085,"0"),$I8085))</f>
        <v/>
      </c>
    </row>
    <row r="8086">
      <c r="B8086" s="25" t="n"/>
      <c r="I8086" s="25" t="n"/>
      <c r="U8086" s="19">
        <f>IF($V8086&lt;&gt;'設定'!$C$4,N(U8085),IF(OR(NOT(COUNTIF('商品マスタ'!$B$6:$B$1005,$W8086)=0),COUNTIFS('①在庫を貼る'!$V$6:$V$10005,$V8086,'①在庫を貼る'!$W$6:$W$10005,$W8086)+COUNTIFS('月1回_1ヶ月前の在庫'!$V$6:$V$10005,$V8086,'月1回_1ヶ月前の在庫'!$W$6:$W$10005,$W8086)&gt;0),N(U8085),N(U8085)+1))</f>
        <v/>
      </c>
      <c r="V8086" s="19">
        <f>IF($B8086="","",TEXT($B8086,"0000"))</f>
        <v/>
      </c>
      <c r="W8086" s="19">
        <f>IF($I8086="","",IF(ISNUMBER($I8086),TEXT($I8086,"0"),$I8086))</f>
        <v/>
      </c>
    </row>
    <row r="8087">
      <c r="B8087" s="25" t="n"/>
      <c r="I8087" s="25" t="n"/>
      <c r="U8087" s="19">
        <f>IF($V8087&lt;&gt;'設定'!$C$4,N(U8086),IF(OR(NOT(COUNTIF('商品マスタ'!$B$6:$B$1005,$W8087)=0),COUNTIFS('①在庫を貼る'!$V$6:$V$10005,$V8087,'①在庫を貼る'!$W$6:$W$10005,$W8087)+COUNTIFS('月1回_1ヶ月前の在庫'!$V$6:$V$10005,$V8087,'月1回_1ヶ月前の在庫'!$W$6:$W$10005,$W8087)&gt;0),N(U8086),N(U8086)+1))</f>
        <v/>
      </c>
      <c r="V8087" s="19">
        <f>IF($B8087="","",TEXT($B8087,"0000"))</f>
        <v/>
      </c>
      <c r="W8087" s="19">
        <f>IF($I8087="","",IF(ISNUMBER($I8087),TEXT($I8087,"0"),$I8087))</f>
        <v/>
      </c>
    </row>
    <row r="8088">
      <c r="B8088" s="25" t="n"/>
      <c r="I8088" s="25" t="n"/>
      <c r="U8088" s="19">
        <f>IF($V8088&lt;&gt;'設定'!$C$4,N(U8087),IF(OR(NOT(COUNTIF('商品マスタ'!$B$6:$B$1005,$W8088)=0),COUNTIFS('①在庫を貼る'!$V$6:$V$10005,$V8088,'①在庫を貼る'!$W$6:$W$10005,$W8088)+COUNTIFS('月1回_1ヶ月前の在庫'!$V$6:$V$10005,$V8088,'月1回_1ヶ月前の在庫'!$W$6:$W$10005,$W8088)&gt;0),N(U8087),N(U8087)+1))</f>
        <v/>
      </c>
      <c r="V8088" s="19">
        <f>IF($B8088="","",TEXT($B8088,"0000"))</f>
        <v/>
      </c>
      <c r="W8088" s="19">
        <f>IF($I8088="","",IF(ISNUMBER($I8088),TEXT($I8088,"0"),$I8088))</f>
        <v/>
      </c>
    </row>
    <row r="8089">
      <c r="B8089" s="25" t="n"/>
      <c r="I8089" s="25" t="n"/>
      <c r="U8089" s="19">
        <f>IF($V8089&lt;&gt;'設定'!$C$4,N(U8088),IF(OR(NOT(COUNTIF('商品マスタ'!$B$6:$B$1005,$W8089)=0),COUNTIFS('①在庫を貼る'!$V$6:$V$10005,$V8089,'①在庫を貼る'!$W$6:$W$10005,$W8089)+COUNTIFS('月1回_1ヶ月前の在庫'!$V$6:$V$10005,$V8089,'月1回_1ヶ月前の在庫'!$W$6:$W$10005,$W8089)&gt;0),N(U8088),N(U8088)+1))</f>
        <v/>
      </c>
      <c r="V8089" s="19">
        <f>IF($B8089="","",TEXT($B8089,"0000"))</f>
        <v/>
      </c>
      <c r="W8089" s="19">
        <f>IF($I8089="","",IF(ISNUMBER($I8089),TEXT($I8089,"0"),$I8089))</f>
        <v/>
      </c>
    </row>
    <row r="8090">
      <c r="B8090" s="25" t="n"/>
      <c r="I8090" s="25" t="n"/>
      <c r="U8090" s="19">
        <f>IF($V8090&lt;&gt;'設定'!$C$4,N(U8089),IF(OR(NOT(COUNTIF('商品マスタ'!$B$6:$B$1005,$W8090)=0),COUNTIFS('①在庫を貼る'!$V$6:$V$10005,$V8090,'①在庫を貼る'!$W$6:$W$10005,$W8090)+COUNTIFS('月1回_1ヶ月前の在庫'!$V$6:$V$10005,$V8090,'月1回_1ヶ月前の在庫'!$W$6:$W$10005,$W8090)&gt;0),N(U8089),N(U8089)+1))</f>
        <v/>
      </c>
      <c r="V8090" s="19">
        <f>IF($B8090="","",TEXT($B8090,"0000"))</f>
        <v/>
      </c>
      <c r="W8090" s="19">
        <f>IF($I8090="","",IF(ISNUMBER($I8090),TEXT($I8090,"0"),$I8090))</f>
        <v/>
      </c>
    </row>
    <row r="8091">
      <c r="B8091" s="25" t="n"/>
      <c r="I8091" s="25" t="n"/>
      <c r="U8091" s="19">
        <f>IF($V8091&lt;&gt;'設定'!$C$4,N(U8090),IF(OR(NOT(COUNTIF('商品マスタ'!$B$6:$B$1005,$W8091)=0),COUNTIFS('①在庫を貼る'!$V$6:$V$10005,$V8091,'①在庫を貼る'!$W$6:$W$10005,$W8091)+COUNTIFS('月1回_1ヶ月前の在庫'!$V$6:$V$10005,$V8091,'月1回_1ヶ月前の在庫'!$W$6:$W$10005,$W8091)&gt;0),N(U8090),N(U8090)+1))</f>
        <v/>
      </c>
      <c r="V8091" s="19">
        <f>IF($B8091="","",TEXT($B8091,"0000"))</f>
        <v/>
      </c>
      <c r="W8091" s="19">
        <f>IF($I8091="","",IF(ISNUMBER($I8091),TEXT($I8091,"0"),$I8091))</f>
        <v/>
      </c>
    </row>
    <row r="8092">
      <c r="B8092" s="25" t="n"/>
      <c r="I8092" s="25" t="n"/>
      <c r="U8092" s="19">
        <f>IF($V8092&lt;&gt;'設定'!$C$4,N(U8091),IF(OR(NOT(COUNTIF('商品マスタ'!$B$6:$B$1005,$W8092)=0),COUNTIFS('①在庫を貼る'!$V$6:$V$10005,$V8092,'①在庫を貼る'!$W$6:$W$10005,$W8092)+COUNTIFS('月1回_1ヶ月前の在庫'!$V$6:$V$10005,$V8092,'月1回_1ヶ月前の在庫'!$W$6:$W$10005,$W8092)&gt;0),N(U8091),N(U8091)+1))</f>
        <v/>
      </c>
      <c r="V8092" s="19">
        <f>IF($B8092="","",TEXT($B8092,"0000"))</f>
        <v/>
      </c>
      <c r="W8092" s="19">
        <f>IF($I8092="","",IF(ISNUMBER($I8092),TEXT($I8092,"0"),$I8092))</f>
        <v/>
      </c>
    </row>
    <row r="8093">
      <c r="B8093" s="25" t="n"/>
      <c r="I8093" s="25" t="n"/>
      <c r="U8093" s="19">
        <f>IF($V8093&lt;&gt;'設定'!$C$4,N(U8092),IF(OR(NOT(COUNTIF('商品マスタ'!$B$6:$B$1005,$W8093)=0),COUNTIFS('①在庫を貼る'!$V$6:$V$10005,$V8093,'①在庫を貼る'!$W$6:$W$10005,$W8093)+COUNTIFS('月1回_1ヶ月前の在庫'!$V$6:$V$10005,$V8093,'月1回_1ヶ月前の在庫'!$W$6:$W$10005,$W8093)&gt;0),N(U8092),N(U8092)+1))</f>
        <v/>
      </c>
      <c r="V8093" s="19">
        <f>IF($B8093="","",TEXT($B8093,"0000"))</f>
        <v/>
      </c>
      <c r="W8093" s="19">
        <f>IF($I8093="","",IF(ISNUMBER($I8093),TEXT($I8093,"0"),$I8093))</f>
        <v/>
      </c>
    </row>
    <row r="8094">
      <c r="B8094" s="25" t="n"/>
      <c r="I8094" s="25" t="n"/>
      <c r="U8094" s="19">
        <f>IF($V8094&lt;&gt;'設定'!$C$4,N(U8093),IF(OR(NOT(COUNTIF('商品マスタ'!$B$6:$B$1005,$W8094)=0),COUNTIFS('①在庫を貼る'!$V$6:$V$10005,$V8094,'①在庫を貼る'!$W$6:$W$10005,$W8094)+COUNTIFS('月1回_1ヶ月前の在庫'!$V$6:$V$10005,$V8094,'月1回_1ヶ月前の在庫'!$W$6:$W$10005,$W8094)&gt;0),N(U8093),N(U8093)+1))</f>
        <v/>
      </c>
      <c r="V8094" s="19">
        <f>IF($B8094="","",TEXT($B8094,"0000"))</f>
        <v/>
      </c>
      <c r="W8094" s="19">
        <f>IF($I8094="","",IF(ISNUMBER($I8094),TEXT($I8094,"0"),$I8094))</f>
        <v/>
      </c>
    </row>
    <row r="8095">
      <c r="B8095" s="25" t="n"/>
      <c r="I8095" s="25" t="n"/>
      <c r="U8095" s="19">
        <f>IF($V8095&lt;&gt;'設定'!$C$4,N(U8094),IF(OR(NOT(COUNTIF('商品マスタ'!$B$6:$B$1005,$W8095)=0),COUNTIFS('①在庫を貼る'!$V$6:$V$10005,$V8095,'①在庫を貼る'!$W$6:$W$10005,$W8095)+COUNTIFS('月1回_1ヶ月前の在庫'!$V$6:$V$10005,$V8095,'月1回_1ヶ月前の在庫'!$W$6:$W$10005,$W8095)&gt;0),N(U8094),N(U8094)+1))</f>
        <v/>
      </c>
      <c r="V8095" s="19">
        <f>IF($B8095="","",TEXT($B8095,"0000"))</f>
        <v/>
      </c>
      <c r="W8095" s="19">
        <f>IF($I8095="","",IF(ISNUMBER($I8095),TEXT($I8095,"0"),$I8095))</f>
        <v/>
      </c>
    </row>
    <row r="8096">
      <c r="B8096" s="25" t="n"/>
      <c r="I8096" s="25" t="n"/>
      <c r="U8096" s="19">
        <f>IF($V8096&lt;&gt;'設定'!$C$4,N(U8095),IF(OR(NOT(COUNTIF('商品マスタ'!$B$6:$B$1005,$W8096)=0),COUNTIFS('①在庫を貼る'!$V$6:$V$10005,$V8096,'①在庫を貼る'!$W$6:$W$10005,$W8096)+COUNTIFS('月1回_1ヶ月前の在庫'!$V$6:$V$10005,$V8096,'月1回_1ヶ月前の在庫'!$W$6:$W$10005,$W8096)&gt;0),N(U8095),N(U8095)+1))</f>
        <v/>
      </c>
      <c r="V8096" s="19">
        <f>IF($B8096="","",TEXT($B8096,"0000"))</f>
        <v/>
      </c>
      <c r="W8096" s="19">
        <f>IF($I8096="","",IF(ISNUMBER($I8096),TEXT($I8096,"0"),$I8096))</f>
        <v/>
      </c>
    </row>
    <row r="8097">
      <c r="B8097" s="25" t="n"/>
      <c r="I8097" s="25" t="n"/>
      <c r="U8097" s="19">
        <f>IF($V8097&lt;&gt;'設定'!$C$4,N(U8096),IF(OR(NOT(COUNTIF('商品マスタ'!$B$6:$B$1005,$W8097)=0),COUNTIFS('①在庫を貼る'!$V$6:$V$10005,$V8097,'①在庫を貼る'!$W$6:$W$10005,$W8097)+COUNTIFS('月1回_1ヶ月前の在庫'!$V$6:$V$10005,$V8097,'月1回_1ヶ月前の在庫'!$W$6:$W$10005,$W8097)&gt;0),N(U8096),N(U8096)+1))</f>
        <v/>
      </c>
      <c r="V8097" s="19">
        <f>IF($B8097="","",TEXT($B8097,"0000"))</f>
        <v/>
      </c>
      <c r="W8097" s="19">
        <f>IF($I8097="","",IF(ISNUMBER($I8097),TEXT($I8097,"0"),$I8097))</f>
        <v/>
      </c>
    </row>
    <row r="8098">
      <c r="B8098" s="25" t="n"/>
      <c r="I8098" s="25" t="n"/>
      <c r="U8098" s="19">
        <f>IF($V8098&lt;&gt;'設定'!$C$4,N(U8097),IF(OR(NOT(COUNTIF('商品マスタ'!$B$6:$B$1005,$W8098)=0),COUNTIFS('①在庫を貼る'!$V$6:$V$10005,$V8098,'①在庫を貼る'!$W$6:$W$10005,$W8098)+COUNTIFS('月1回_1ヶ月前の在庫'!$V$6:$V$10005,$V8098,'月1回_1ヶ月前の在庫'!$W$6:$W$10005,$W8098)&gt;0),N(U8097),N(U8097)+1))</f>
        <v/>
      </c>
      <c r="V8098" s="19">
        <f>IF($B8098="","",TEXT($B8098,"0000"))</f>
        <v/>
      </c>
      <c r="W8098" s="19">
        <f>IF($I8098="","",IF(ISNUMBER($I8098),TEXT($I8098,"0"),$I8098))</f>
        <v/>
      </c>
    </row>
    <row r="8099">
      <c r="B8099" s="25" t="n"/>
      <c r="I8099" s="25" t="n"/>
      <c r="U8099" s="19">
        <f>IF($V8099&lt;&gt;'設定'!$C$4,N(U8098),IF(OR(NOT(COUNTIF('商品マスタ'!$B$6:$B$1005,$W8099)=0),COUNTIFS('①在庫を貼る'!$V$6:$V$10005,$V8099,'①在庫を貼る'!$W$6:$W$10005,$W8099)+COUNTIFS('月1回_1ヶ月前の在庫'!$V$6:$V$10005,$V8099,'月1回_1ヶ月前の在庫'!$W$6:$W$10005,$W8099)&gt;0),N(U8098),N(U8098)+1))</f>
        <v/>
      </c>
      <c r="V8099" s="19">
        <f>IF($B8099="","",TEXT($B8099,"0000"))</f>
        <v/>
      </c>
      <c r="W8099" s="19">
        <f>IF($I8099="","",IF(ISNUMBER($I8099),TEXT($I8099,"0"),$I8099))</f>
        <v/>
      </c>
    </row>
    <row r="8100">
      <c r="B8100" s="25" t="n"/>
      <c r="I8100" s="25" t="n"/>
      <c r="U8100" s="19">
        <f>IF($V8100&lt;&gt;'設定'!$C$4,N(U8099),IF(OR(NOT(COUNTIF('商品マスタ'!$B$6:$B$1005,$W8100)=0),COUNTIFS('①在庫を貼る'!$V$6:$V$10005,$V8100,'①在庫を貼る'!$W$6:$W$10005,$W8100)+COUNTIFS('月1回_1ヶ月前の在庫'!$V$6:$V$10005,$V8100,'月1回_1ヶ月前の在庫'!$W$6:$W$10005,$W8100)&gt;0),N(U8099),N(U8099)+1))</f>
        <v/>
      </c>
      <c r="V8100" s="19">
        <f>IF($B8100="","",TEXT($B8100,"0000"))</f>
        <v/>
      </c>
      <c r="W8100" s="19">
        <f>IF($I8100="","",IF(ISNUMBER($I8100),TEXT($I8100,"0"),$I8100))</f>
        <v/>
      </c>
    </row>
    <row r="8101">
      <c r="B8101" s="25" t="n"/>
      <c r="I8101" s="25" t="n"/>
      <c r="U8101" s="19">
        <f>IF($V8101&lt;&gt;'設定'!$C$4,N(U8100),IF(OR(NOT(COUNTIF('商品マスタ'!$B$6:$B$1005,$W8101)=0),COUNTIFS('①在庫を貼る'!$V$6:$V$10005,$V8101,'①在庫を貼る'!$W$6:$W$10005,$W8101)+COUNTIFS('月1回_1ヶ月前の在庫'!$V$6:$V$10005,$V8101,'月1回_1ヶ月前の在庫'!$W$6:$W$10005,$W8101)&gt;0),N(U8100),N(U8100)+1))</f>
        <v/>
      </c>
      <c r="V8101" s="19">
        <f>IF($B8101="","",TEXT($B8101,"0000"))</f>
        <v/>
      </c>
      <c r="W8101" s="19">
        <f>IF($I8101="","",IF(ISNUMBER($I8101),TEXT($I8101,"0"),$I8101))</f>
        <v/>
      </c>
    </row>
    <row r="8102">
      <c r="B8102" s="25" t="n"/>
      <c r="I8102" s="25" t="n"/>
      <c r="U8102" s="19">
        <f>IF($V8102&lt;&gt;'設定'!$C$4,N(U8101),IF(OR(NOT(COUNTIF('商品マスタ'!$B$6:$B$1005,$W8102)=0),COUNTIFS('①在庫を貼る'!$V$6:$V$10005,$V8102,'①在庫を貼る'!$W$6:$W$10005,$W8102)+COUNTIFS('月1回_1ヶ月前の在庫'!$V$6:$V$10005,$V8102,'月1回_1ヶ月前の在庫'!$W$6:$W$10005,$W8102)&gt;0),N(U8101),N(U8101)+1))</f>
        <v/>
      </c>
      <c r="V8102" s="19">
        <f>IF($B8102="","",TEXT($B8102,"0000"))</f>
        <v/>
      </c>
      <c r="W8102" s="19">
        <f>IF($I8102="","",IF(ISNUMBER($I8102),TEXT($I8102,"0"),$I8102))</f>
        <v/>
      </c>
    </row>
    <row r="8103">
      <c r="B8103" s="25" t="n"/>
      <c r="I8103" s="25" t="n"/>
      <c r="U8103" s="19">
        <f>IF($V8103&lt;&gt;'設定'!$C$4,N(U8102),IF(OR(NOT(COUNTIF('商品マスタ'!$B$6:$B$1005,$W8103)=0),COUNTIFS('①在庫を貼る'!$V$6:$V$10005,$V8103,'①在庫を貼る'!$W$6:$W$10005,$W8103)+COUNTIFS('月1回_1ヶ月前の在庫'!$V$6:$V$10005,$V8103,'月1回_1ヶ月前の在庫'!$W$6:$W$10005,$W8103)&gt;0),N(U8102),N(U8102)+1))</f>
        <v/>
      </c>
      <c r="V8103" s="19">
        <f>IF($B8103="","",TEXT($B8103,"0000"))</f>
        <v/>
      </c>
      <c r="W8103" s="19">
        <f>IF($I8103="","",IF(ISNUMBER($I8103),TEXT($I8103,"0"),$I8103))</f>
        <v/>
      </c>
    </row>
    <row r="8104">
      <c r="B8104" s="25" t="n"/>
      <c r="I8104" s="25" t="n"/>
      <c r="U8104" s="19">
        <f>IF($V8104&lt;&gt;'設定'!$C$4,N(U8103),IF(OR(NOT(COUNTIF('商品マスタ'!$B$6:$B$1005,$W8104)=0),COUNTIFS('①在庫を貼る'!$V$6:$V$10005,$V8104,'①在庫を貼る'!$W$6:$W$10005,$W8104)+COUNTIFS('月1回_1ヶ月前の在庫'!$V$6:$V$10005,$V8104,'月1回_1ヶ月前の在庫'!$W$6:$W$10005,$W8104)&gt;0),N(U8103),N(U8103)+1))</f>
        <v/>
      </c>
      <c r="V8104" s="19">
        <f>IF($B8104="","",TEXT($B8104,"0000"))</f>
        <v/>
      </c>
      <c r="W8104" s="19">
        <f>IF($I8104="","",IF(ISNUMBER($I8104),TEXT($I8104,"0"),$I8104))</f>
        <v/>
      </c>
    </row>
    <row r="8105">
      <c r="B8105" s="25" t="n"/>
      <c r="I8105" s="25" t="n"/>
      <c r="U8105" s="19">
        <f>IF($V8105&lt;&gt;'設定'!$C$4,N(U8104),IF(OR(NOT(COUNTIF('商品マスタ'!$B$6:$B$1005,$W8105)=0),COUNTIFS('①在庫を貼る'!$V$6:$V$10005,$V8105,'①在庫を貼る'!$W$6:$W$10005,$W8105)+COUNTIFS('月1回_1ヶ月前の在庫'!$V$6:$V$10005,$V8105,'月1回_1ヶ月前の在庫'!$W$6:$W$10005,$W8105)&gt;0),N(U8104),N(U8104)+1))</f>
        <v/>
      </c>
      <c r="V8105" s="19">
        <f>IF($B8105="","",TEXT($B8105,"0000"))</f>
        <v/>
      </c>
      <c r="W8105" s="19">
        <f>IF($I8105="","",IF(ISNUMBER($I8105),TEXT($I8105,"0"),$I8105))</f>
        <v/>
      </c>
    </row>
    <row r="8106">
      <c r="B8106" s="25" t="n"/>
      <c r="I8106" s="25" t="n"/>
      <c r="U8106" s="19">
        <f>IF($V8106&lt;&gt;'設定'!$C$4,N(U8105),IF(OR(NOT(COUNTIF('商品マスタ'!$B$6:$B$1005,$W8106)=0),COUNTIFS('①在庫を貼る'!$V$6:$V$10005,$V8106,'①在庫を貼る'!$W$6:$W$10005,$W8106)+COUNTIFS('月1回_1ヶ月前の在庫'!$V$6:$V$10005,$V8106,'月1回_1ヶ月前の在庫'!$W$6:$W$10005,$W8106)&gt;0),N(U8105),N(U8105)+1))</f>
        <v/>
      </c>
      <c r="V8106" s="19">
        <f>IF($B8106="","",TEXT($B8106,"0000"))</f>
        <v/>
      </c>
      <c r="W8106" s="19">
        <f>IF($I8106="","",IF(ISNUMBER($I8106),TEXT($I8106,"0"),$I8106))</f>
        <v/>
      </c>
    </row>
    <row r="8107">
      <c r="B8107" s="25" t="n"/>
      <c r="I8107" s="25" t="n"/>
      <c r="U8107" s="19">
        <f>IF($V8107&lt;&gt;'設定'!$C$4,N(U8106),IF(OR(NOT(COUNTIF('商品マスタ'!$B$6:$B$1005,$W8107)=0),COUNTIFS('①在庫を貼る'!$V$6:$V$10005,$V8107,'①在庫を貼る'!$W$6:$W$10005,$W8107)+COUNTIFS('月1回_1ヶ月前の在庫'!$V$6:$V$10005,$V8107,'月1回_1ヶ月前の在庫'!$W$6:$W$10005,$W8107)&gt;0),N(U8106),N(U8106)+1))</f>
        <v/>
      </c>
      <c r="V8107" s="19">
        <f>IF($B8107="","",TEXT($B8107,"0000"))</f>
        <v/>
      </c>
      <c r="W8107" s="19">
        <f>IF($I8107="","",IF(ISNUMBER($I8107),TEXT($I8107,"0"),$I8107))</f>
        <v/>
      </c>
    </row>
    <row r="8108">
      <c r="B8108" s="25" t="n"/>
      <c r="I8108" s="25" t="n"/>
      <c r="U8108" s="19">
        <f>IF($V8108&lt;&gt;'設定'!$C$4,N(U8107),IF(OR(NOT(COUNTIF('商品マスタ'!$B$6:$B$1005,$W8108)=0),COUNTIFS('①在庫を貼る'!$V$6:$V$10005,$V8108,'①在庫を貼る'!$W$6:$W$10005,$W8108)+COUNTIFS('月1回_1ヶ月前の在庫'!$V$6:$V$10005,$V8108,'月1回_1ヶ月前の在庫'!$W$6:$W$10005,$W8108)&gt;0),N(U8107),N(U8107)+1))</f>
        <v/>
      </c>
      <c r="V8108" s="19">
        <f>IF($B8108="","",TEXT($B8108,"0000"))</f>
        <v/>
      </c>
      <c r="W8108" s="19">
        <f>IF($I8108="","",IF(ISNUMBER($I8108),TEXT($I8108,"0"),$I8108))</f>
        <v/>
      </c>
    </row>
    <row r="8109">
      <c r="B8109" s="25" t="n"/>
      <c r="I8109" s="25" t="n"/>
      <c r="U8109" s="19">
        <f>IF($V8109&lt;&gt;'設定'!$C$4,N(U8108),IF(OR(NOT(COUNTIF('商品マスタ'!$B$6:$B$1005,$W8109)=0),COUNTIFS('①在庫を貼る'!$V$6:$V$10005,$V8109,'①在庫を貼る'!$W$6:$W$10005,$W8109)+COUNTIFS('月1回_1ヶ月前の在庫'!$V$6:$V$10005,$V8109,'月1回_1ヶ月前の在庫'!$W$6:$W$10005,$W8109)&gt;0),N(U8108),N(U8108)+1))</f>
        <v/>
      </c>
      <c r="V8109" s="19">
        <f>IF($B8109="","",TEXT($B8109,"0000"))</f>
        <v/>
      </c>
      <c r="W8109" s="19">
        <f>IF($I8109="","",IF(ISNUMBER($I8109),TEXT($I8109,"0"),$I8109))</f>
        <v/>
      </c>
    </row>
    <row r="8110">
      <c r="B8110" s="25" t="n"/>
      <c r="I8110" s="25" t="n"/>
      <c r="U8110" s="19">
        <f>IF($V8110&lt;&gt;'設定'!$C$4,N(U8109),IF(OR(NOT(COUNTIF('商品マスタ'!$B$6:$B$1005,$W8110)=0),COUNTIFS('①在庫を貼る'!$V$6:$V$10005,$V8110,'①在庫を貼る'!$W$6:$W$10005,$W8110)+COUNTIFS('月1回_1ヶ月前の在庫'!$V$6:$V$10005,$V8110,'月1回_1ヶ月前の在庫'!$W$6:$W$10005,$W8110)&gt;0),N(U8109),N(U8109)+1))</f>
        <v/>
      </c>
      <c r="V8110" s="19">
        <f>IF($B8110="","",TEXT($B8110,"0000"))</f>
        <v/>
      </c>
      <c r="W8110" s="19">
        <f>IF($I8110="","",IF(ISNUMBER($I8110),TEXT($I8110,"0"),$I8110))</f>
        <v/>
      </c>
    </row>
    <row r="8111">
      <c r="B8111" s="25" t="n"/>
      <c r="I8111" s="25" t="n"/>
      <c r="U8111" s="19">
        <f>IF($V8111&lt;&gt;'設定'!$C$4,N(U8110),IF(OR(NOT(COUNTIF('商品マスタ'!$B$6:$B$1005,$W8111)=0),COUNTIFS('①在庫を貼る'!$V$6:$V$10005,$V8111,'①在庫を貼る'!$W$6:$W$10005,$W8111)+COUNTIFS('月1回_1ヶ月前の在庫'!$V$6:$V$10005,$V8111,'月1回_1ヶ月前の在庫'!$W$6:$W$10005,$W8111)&gt;0),N(U8110),N(U8110)+1))</f>
        <v/>
      </c>
      <c r="V8111" s="19">
        <f>IF($B8111="","",TEXT($B8111,"0000"))</f>
        <v/>
      </c>
      <c r="W8111" s="19">
        <f>IF($I8111="","",IF(ISNUMBER($I8111),TEXT($I8111,"0"),$I8111))</f>
        <v/>
      </c>
    </row>
    <row r="8112">
      <c r="B8112" s="25" t="n"/>
      <c r="I8112" s="25" t="n"/>
      <c r="U8112" s="19">
        <f>IF($V8112&lt;&gt;'設定'!$C$4,N(U8111),IF(OR(NOT(COUNTIF('商品マスタ'!$B$6:$B$1005,$W8112)=0),COUNTIFS('①在庫を貼る'!$V$6:$V$10005,$V8112,'①在庫を貼る'!$W$6:$W$10005,$W8112)+COUNTIFS('月1回_1ヶ月前の在庫'!$V$6:$V$10005,$V8112,'月1回_1ヶ月前の在庫'!$W$6:$W$10005,$W8112)&gt;0),N(U8111),N(U8111)+1))</f>
        <v/>
      </c>
      <c r="V8112" s="19">
        <f>IF($B8112="","",TEXT($B8112,"0000"))</f>
        <v/>
      </c>
      <c r="W8112" s="19">
        <f>IF($I8112="","",IF(ISNUMBER($I8112),TEXT($I8112,"0"),$I8112))</f>
        <v/>
      </c>
    </row>
    <row r="8113">
      <c r="B8113" s="25" t="n"/>
      <c r="I8113" s="25" t="n"/>
      <c r="U8113" s="19">
        <f>IF($V8113&lt;&gt;'設定'!$C$4,N(U8112),IF(OR(NOT(COUNTIF('商品マスタ'!$B$6:$B$1005,$W8113)=0),COUNTIFS('①在庫を貼る'!$V$6:$V$10005,$V8113,'①在庫を貼る'!$W$6:$W$10005,$W8113)+COUNTIFS('月1回_1ヶ月前の在庫'!$V$6:$V$10005,$V8113,'月1回_1ヶ月前の在庫'!$W$6:$W$10005,$W8113)&gt;0),N(U8112),N(U8112)+1))</f>
        <v/>
      </c>
      <c r="V8113" s="19">
        <f>IF($B8113="","",TEXT($B8113,"0000"))</f>
        <v/>
      </c>
      <c r="W8113" s="19">
        <f>IF($I8113="","",IF(ISNUMBER($I8113),TEXT($I8113,"0"),$I8113))</f>
        <v/>
      </c>
    </row>
    <row r="8114">
      <c r="B8114" s="25" t="n"/>
      <c r="I8114" s="25" t="n"/>
      <c r="U8114" s="19">
        <f>IF($V8114&lt;&gt;'設定'!$C$4,N(U8113),IF(OR(NOT(COUNTIF('商品マスタ'!$B$6:$B$1005,$W8114)=0),COUNTIFS('①在庫を貼る'!$V$6:$V$10005,$V8114,'①在庫を貼る'!$W$6:$W$10005,$W8114)+COUNTIFS('月1回_1ヶ月前の在庫'!$V$6:$V$10005,$V8114,'月1回_1ヶ月前の在庫'!$W$6:$W$10005,$W8114)&gt;0),N(U8113),N(U8113)+1))</f>
        <v/>
      </c>
      <c r="V8114" s="19">
        <f>IF($B8114="","",TEXT($B8114,"0000"))</f>
        <v/>
      </c>
      <c r="W8114" s="19">
        <f>IF($I8114="","",IF(ISNUMBER($I8114),TEXT($I8114,"0"),$I8114))</f>
        <v/>
      </c>
    </row>
    <row r="8115">
      <c r="B8115" s="25" t="n"/>
      <c r="I8115" s="25" t="n"/>
      <c r="U8115" s="19">
        <f>IF($V8115&lt;&gt;'設定'!$C$4,N(U8114),IF(OR(NOT(COUNTIF('商品マスタ'!$B$6:$B$1005,$W8115)=0),COUNTIFS('①在庫を貼る'!$V$6:$V$10005,$V8115,'①在庫を貼る'!$W$6:$W$10005,$W8115)+COUNTIFS('月1回_1ヶ月前の在庫'!$V$6:$V$10005,$V8115,'月1回_1ヶ月前の在庫'!$W$6:$W$10005,$W8115)&gt;0),N(U8114),N(U8114)+1))</f>
        <v/>
      </c>
      <c r="V8115" s="19">
        <f>IF($B8115="","",TEXT($B8115,"0000"))</f>
        <v/>
      </c>
      <c r="W8115" s="19">
        <f>IF($I8115="","",IF(ISNUMBER($I8115),TEXT($I8115,"0"),$I8115))</f>
        <v/>
      </c>
    </row>
    <row r="8116">
      <c r="B8116" s="25" t="n"/>
      <c r="I8116" s="25" t="n"/>
      <c r="U8116" s="19">
        <f>IF($V8116&lt;&gt;'設定'!$C$4,N(U8115),IF(OR(NOT(COUNTIF('商品マスタ'!$B$6:$B$1005,$W8116)=0),COUNTIFS('①在庫を貼る'!$V$6:$V$10005,$V8116,'①在庫を貼る'!$W$6:$W$10005,$W8116)+COUNTIFS('月1回_1ヶ月前の在庫'!$V$6:$V$10005,$V8116,'月1回_1ヶ月前の在庫'!$W$6:$W$10005,$W8116)&gt;0),N(U8115),N(U8115)+1))</f>
        <v/>
      </c>
      <c r="V8116" s="19">
        <f>IF($B8116="","",TEXT($B8116,"0000"))</f>
        <v/>
      </c>
      <c r="W8116" s="19">
        <f>IF($I8116="","",IF(ISNUMBER($I8116),TEXT($I8116,"0"),$I8116))</f>
        <v/>
      </c>
    </row>
    <row r="8117">
      <c r="B8117" s="25" t="n"/>
      <c r="I8117" s="25" t="n"/>
      <c r="U8117" s="19">
        <f>IF($V8117&lt;&gt;'設定'!$C$4,N(U8116),IF(OR(NOT(COUNTIF('商品マスタ'!$B$6:$B$1005,$W8117)=0),COUNTIFS('①在庫を貼る'!$V$6:$V$10005,$V8117,'①在庫を貼る'!$W$6:$W$10005,$W8117)+COUNTIFS('月1回_1ヶ月前の在庫'!$V$6:$V$10005,$V8117,'月1回_1ヶ月前の在庫'!$W$6:$W$10005,$W8117)&gt;0),N(U8116),N(U8116)+1))</f>
        <v/>
      </c>
      <c r="V8117" s="19">
        <f>IF($B8117="","",TEXT($B8117,"0000"))</f>
        <v/>
      </c>
      <c r="W8117" s="19">
        <f>IF($I8117="","",IF(ISNUMBER($I8117),TEXT($I8117,"0"),$I8117))</f>
        <v/>
      </c>
    </row>
    <row r="8118">
      <c r="B8118" s="25" t="n"/>
      <c r="I8118" s="25" t="n"/>
      <c r="U8118" s="19">
        <f>IF($V8118&lt;&gt;'設定'!$C$4,N(U8117),IF(OR(NOT(COUNTIF('商品マスタ'!$B$6:$B$1005,$W8118)=0),COUNTIFS('①在庫を貼る'!$V$6:$V$10005,$V8118,'①在庫を貼る'!$W$6:$W$10005,$W8118)+COUNTIFS('月1回_1ヶ月前の在庫'!$V$6:$V$10005,$V8118,'月1回_1ヶ月前の在庫'!$W$6:$W$10005,$W8118)&gt;0),N(U8117),N(U8117)+1))</f>
        <v/>
      </c>
      <c r="V8118" s="19">
        <f>IF($B8118="","",TEXT($B8118,"0000"))</f>
        <v/>
      </c>
      <c r="W8118" s="19">
        <f>IF($I8118="","",IF(ISNUMBER($I8118),TEXT($I8118,"0"),$I8118))</f>
        <v/>
      </c>
    </row>
    <row r="8119">
      <c r="B8119" s="25" t="n"/>
      <c r="I8119" s="25" t="n"/>
      <c r="U8119" s="19">
        <f>IF($V8119&lt;&gt;'設定'!$C$4,N(U8118),IF(OR(NOT(COUNTIF('商品マスタ'!$B$6:$B$1005,$W8119)=0),COUNTIFS('①在庫を貼る'!$V$6:$V$10005,$V8119,'①在庫を貼る'!$W$6:$W$10005,$W8119)+COUNTIFS('月1回_1ヶ月前の在庫'!$V$6:$V$10005,$V8119,'月1回_1ヶ月前の在庫'!$W$6:$W$10005,$W8119)&gt;0),N(U8118),N(U8118)+1))</f>
        <v/>
      </c>
      <c r="V8119" s="19">
        <f>IF($B8119="","",TEXT($B8119,"0000"))</f>
        <v/>
      </c>
      <c r="W8119" s="19">
        <f>IF($I8119="","",IF(ISNUMBER($I8119),TEXT($I8119,"0"),$I8119))</f>
        <v/>
      </c>
    </row>
    <row r="8120">
      <c r="B8120" s="25" t="n"/>
      <c r="I8120" s="25" t="n"/>
      <c r="U8120" s="19">
        <f>IF($V8120&lt;&gt;'設定'!$C$4,N(U8119),IF(OR(NOT(COUNTIF('商品マスタ'!$B$6:$B$1005,$W8120)=0),COUNTIFS('①在庫を貼る'!$V$6:$V$10005,$V8120,'①在庫を貼る'!$W$6:$W$10005,$W8120)+COUNTIFS('月1回_1ヶ月前の在庫'!$V$6:$V$10005,$V8120,'月1回_1ヶ月前の在庫'!$W$6:$W$10005,$W8120)&gt;0),N(U8119),N(U8119)+1))</f>
        <v/>
      </c>
      <c r="V8120" s="19">
        <f>IF($B8120="","",TEXT($B8120,"0000"))</f>
        <v/>
      </c>
      <c r="W8120" s="19">
        <f>IF($I8120="","",IF(ISNUMBER($I8120),TEXT($I8120,"0"),$I8120))</f>
        <v/>
      </c>
    </row>
    <row r="8121">
      <c r="B8121" s="25" t="n"/>
      <c r="I8121" s="25" t="n"/>
      <c r="U8121" s="19">
        <f>IF($V8121&lt;&gt;'設定'!$C$4,N(U8120),IF(OR(NOT(COUNTIF('商品マスタ'!$B$6:$B$1005,$W8121)=0),COUNTIFS('①在庫を貼る'!$V$6:$V$10005,$V8121,'①在庫を貼る'!$W$6:$W$10005,$W8121)+COUNTIFS('月1回_1ヶ月前の在庫'!$V$6:$V$10005,$V8121,'月1回_1ヶ月前の在庫'!$W$6:$W$10005,$W8121)&gt;0),N(U8120),N(U8120)+1))</f>
        <v/>
      </c>
      <c r="V8121" s="19">
        <f>IF($B8121="","",TEXT($B8121,"0000"))</f>
        <v/>
      </c>
      <c r="W8121" s="19">
        <f>IF($I8121="","",IF(ISNUMBER($I8121),TEXT($I8121,"0"),$I8121))</f>
        <v/>
      </c>
    </row>
    <row r="8122">
      <c r="B8122" s="25" t="n"/>
      <c r="I8122" s="25" t="n"/>
      <c r="U8122" s="19">
        <f>IF($V8122&lt;&gt;'設定'!$C$4,N(U8121),IF(OR(NOT(COUNTIF('商品マスタ'!$B$6:$B$1005,$W8122)=0),COUNTIFS('①在庫を貼る'!$V$6:$V$10005,$V8122,'①在庫を貼る'!$W$6:$W$10005,$W8122)+COUNTIFS('月1回_1ヶ月前の在庫'!$V$6:$V$10005,$V8122,'月1回_1ヶ月前の在庫'!$W$6:$W$10005,$W8122)&gt;0),N(U8121),N(U8121)+1))</f>
        <v/>
      </c>
      <c r="V8122" s="19">
        <f>IF($B8122="","",TEXT($B8122,"0000"))</f>
        <v/>
      </c>
      <c r="W8122" s="19">
        <f>IF($I8122="","",IF(ISNUMBER($I8122),TEXT($I8122,"0"),$I8122))</f>
        <v/>
      </c>
    </row>
    <row r="8123">
      <c r="B8123" s="25" t="n"/>
      <c r="I8123" s="25" t="n"/>
      <c r="U8123" s="19">
        <f>IF($V8123&lt;&gt;'設定'!$C$4,N(U8122),IF(OR(NOT(COUNTIF('商品マスタ'!$B$6:$B$1005,$W8123)=0),COUNTIFS('①在庫を貼る'!$V$6:$V$10005,$V8123,'①在庫を貼る'!$W$6:$W$10005,$W8123)+COUNTIFS('月1回_1ヶ月前の在庫'!$V$6:$V$10005,$V8123,'月1回_1ヶ月前の在庫'!$W$6:$W$10005,$W8123)&gt;0),N(U8122),N(U8122)+1))</f>
        <v/>
      </c>
      <c r="V8123" s="19">
        <f>IF($B8123="","",TEXT($B8123,"0000"))</f>
        <v/>
      </c>
      <c r="W8123" s="19">
        <f>IF($I8123="","",IF(ISNUMBER($I8123),TEXT($I8123,"0"),$I8123))</f>
        <v/>
      </c>
    </row>
    <row r="8124">
      <c r="B8124" s="25" t="n"/>
      <c r="I8124" s="25" t="n"/>
      <c r="U8124" s="19">
        <f>IF($V8124&lt;&gt;'設定'!$C$4,N(U8123),IF(OR(NOT(COUNTIF('商品マスタ'!$B$6:$B$1005,$W8124)=0),COUNTIFS('①在庫を貼る'!$V$6:$V$10005,$V8124,'①在庫を貼る'!$W$6:$W$10005,$W8124)+COUNTIFS('月1回_1ヶ月前の在庫'!$V$6:$V$10005,$V8124,'月1回_1ヶ月前の在庫'!$W$6:$W$10005,$W8124)&gt;0),N(U8123),N(U8123)+1))</f>
        <v/>
      </c>
      <c r="V8124" s="19">
        <f>IF($B8124="","",TEXT($B8124,"0000"))</f>
        <v/>
      </c>
      <c r="W8124" s="19">
        <f>IF($I8124="","",IF(ISNUMBER($I8124),TEXT($I8124,"0"),$I8124))</f>
        <v/>
      </c>
    </row>
    <row r="8125">
      <c r="B8125" s="25" t="n"/>
      <c r="I8125" s="25" t="n"/>
      <c r="U8125" s="19">
        <f>IF($V8125&lt;&gt;'設定'!$C$4,N(U8124),IF(OR(NOT(COUNTIF('商品マスタ'!$B$6:$B$1005,$W8125)=0),COUNTIFS('①在庫を貼る'!$V$6:$V$10005,$V8125,'①在庫を貼る'!$W$6:$W$10005,$W8125)+COUNTIFS('月1回_1ヶ月前の在庫'!$V$6:$V$10005,$V8125,'月1回_1ヶ月前の在庫'!$W$6:$W$10005,$W8125)&gt;0),N(U8124),N(U8124)+1))</f>
        <v/>
      </c>
      <c r="V8125" s="19">
        <f>IF($B8125="","",TEXT($B8125,"0000"))</f>
        <v/>
      </c>
      <c r="W8125" s="19">
        <f>IF($I8125="","",IF(ISNUMBER($I8125),TEXT($I8125,"0"),$I8125))</f>
        <v/>
      </c>
    </row>
    <row r="8126">
      <c r="B8126" s="25" t="n"/>
      <c r="I8126" s="25" t="n"/>
      <c r="U8126" s="19">
        <f>IF($V8126&lt;&gt;'設定'!$C$4,N(U8125),IF(OR(NOT(COUNTIF('商品マスタ'!$B$6:$B$1005,$W8126)=0),COUNTIFS('①在庫を貼る'!$V$6:$V$10005,$V8126,'①在庫を貼る'!$W$6:$W$10005,$W8126)+COUNTIFS('月1回_1ヶ月前の在庫'!$V$6:$V$10005,$V8126,'月1回_1ヶ月前の在庫'!$W$6:$W$10005,$W8126)&gt;0),N(U8125),N(U8125)+1))</f>
        <v/>
      </c>
      <c r="V8126" s="19">
        <f>IF($B8126="","",TEXT($B8126,"0000"))</f>
        <v/>
      </c>
      <c r="W8126" s="19">
        <f>IF($I8126="","",IF(ISNUMBER($I8126),TEXT($I8126,"0"),$I8126))</f>
        <v/>
      </c>
    </row>
    <row r="8127">
      <c r="B8127" s="25" t="n"/>
      <c r="I8127" s="25" t="n"/>
      <c r="U8127" s="19">
        <f>IF($V8127&lt;&gt;'設定'!$C$4,N(U8126),IF(OR(NOT(COUNTIF('商品マスタ'!$B$6:$B$1005,$W8127)=0),COUNTIFS('①在庫を貼る'!$V$6:$V$10005,$V8127,'①在庫を貼る'!$W$6:$W$10005,$W8127)+COUNTIFS('月1回_1ヶ月前の在庫'!$V$6:$V$10005,$V8127,'月1回_1ヶ月前の在庫'!$W$6:$W$10005,$W8127)&gt;0),N(U8126),N(U8126)+1))</f>
        <v/>
      </c>
      <c r="V8127" s="19">
        <f>IF($B8127="","",TEXT($B8127,"0000"))</f>
        <v/>
      </c>
      <c r="W8127" s="19">
        <f>IF($I8127="","",IF(ISNUMBER($I8127),TEXT($I8127,"0"),$I8127))</f>
        <v/>
      </c>
    </row>
    <row r="8128">
      <c r="B8128" s="25" t="n"/>
      <c r="I8128" s="25" t="n"/>
      <c r="U8128" s="19">
        <f>IF($V8128&lt;&gt;'設定'!$C$4,N(U8127),IF(OR(NOT(COUNTIF('商品マスタ'!$B$6:$B$1005,$W8128)=0),COUNTIFS('①在庫を貼る'!$V$6:$V$10005,$V8128,'①在庫を貼る'!$W$6:$W$10005,$W8128)+COUNTIFS('月1回_1ヶ月前の在庫'!$V$6:$V$10005,$V8128,'月1回_1ヶ月前の在庫'!$W$6:$W$10005,$W8128)&gt;0),N(U8127),N(U8127)+1))</f>
        <v/>
      </c>
      <c r="V8128" s="19">
        <f>IF($B8128="","",TEXT($B8128,"0000"))</f>
        <v/>
      </c>
      <c r="W8128" s="19">
        <f>IF($I8128="","",IF(ISNUMBER($I8128),TEXT($I8128,"0"),$I8128))</f>
        <v/>
      </c>
    </row>
    <row r="8129">
      <c r="B8129" s="25" t="n"/>
      <c r="I8129" s="25" t="n"/>
      <c r="U8129" s="19">
        <f>IF($V8129&lt;&gt;'設定'!$C$4,N(U8128),IF(OR(NOT(COUNTIF('商品マスタ'!$B$6:$B$1005,$W8129)=0),COUNTIFS('①在庫を貼る'!$V$6:$V$10005,$V8129,'①在庫を貼る'!$W$6:$W$10005,$W8129)+COUNTIFS('月1回_1ヶ月前の在庫'!$V$6:$V$10005,$V8129,'月1回_1ヶ月前の在庫'!$W$6:$W$10005,$W8129)&gt;0),N(U8128),N(U8128)+1))</f>
        <v/>
      </c>
      <c r="V8129" s="19">
        <f>IF($B8129="","",TEXT($B8129,"0000"))</f>
        <v/>
      </c>
      <c r="W8129" s="19">
        <f>IF($I8129="","",IF(ISNUMBER($I8129),TEXT($I8129,"0"),$I8129))</f>
        <v/>
      </c>
    </row>
    <row r="8130">
      <c r="B8130" s="25" t="n"/>
      <c r="I8130" s="25" t="n"/>
      <c r="U8130" s="19">
        <f>IF($V8130&lt;&gt;'設定'!$C$4,N(U8129),IF(OR(NOT(COUNTIF('商品マスタ'!$B$6:$B$1005,$W8130)=0),COUNTIFS('①在庫を貼る'!$V$6:$V$10005,$V8130,'①在庫を貼る'!$W$6:$W$10005,$W8130)+COUNTIFS('月1回_1ヶ月前の在庫'!$V$6:$V$10005,$V8130,'月1回_1ヶ月前の在庫'!$W$6:$W$10005,$W8130)&gt;0),N(U8129),N(U8129)+1))</f>
        <v/>
      </c>
      <c r="V8130" s="19">
        <f>IF($B8130="","",TEXT($B8130,"0000"))</f>
        <v/>
      </c>
      <c r="W8130" s="19">
        <f>IF($I8130="","",IF(ISNUMBER($I8130),TEXT($I8130,"0"),$I8130))</f>
        <v/>
      </c>
    </row>
    <row r="8131">
      <c r="B8131" s="25" t="n"/>
      <c r="I8131" s="25" t="n"/>
      <c r="U8131" s="19">
        <f>IF($V8131&lt;&gt;'設定'!$C$4,N(U8130),IF(OR(NOT(COUNTIF('商品マスタ'!$B$6:$B$1005,$W8131)=0),COUNTIFS('①在庫を貼る'!$V$6:$V$10005,$V8131,'①在庫を貼る'!$W$6:$W$10005,$W8131)+COUNTIFS('月1回_1ヶ月前の在庫'!$V$6:$V$10005,$V8131,'月1回_1ヶ月前の在庫'!$W$6:$W$10005,$W8131)&gt;0),N(U8130),N(U8130)+1))</f>
        <v/>
      </c>
      <c r="V8131" s="19">
        <f>IF($B8131="","",TEXT($B8131,"0000"))</f>
        <v/>
      </c>
      <c r="W8131" s="19">
        <f>IF($I8131="","",IF(ISNUMBER($I8131),TEXT($I8131,"0"),$I8131))</f>
        <v/>
      </c>
    </row>
    <row r="8132">
      <c r="B8132" s="25" t="n"/>
      <c r="I8132" s="25" t="n"/>
      <c r="U8132" s="19">
        <f>IF($V8132&lt;&gt;'設定'!$C$4,N(U8131),IF(OR(NOT(COUNTIF('商品マスタ'!$B$6:$B$1005,$W8132)=0),COUNTIFS('①在庫を貼る'!$V$6:$V$10005,$V8132,'①在庫を貼る'!$W$6:$W$10005,$W8132)+COUNTIFS('月1回_1ヶ月前の在庫'!$V$6:$V$10005,$V8132,'月1回_1ヶ月前の在庫'!$W$6:$W$10005,$W8132)&gt;0),N(U8131),N(U8131)+1))</f>
        <v/>
      </c>
      <c r="V8132" s="19">
        <f>IF($B8132="","",TEXT($B8132,"0000"))</f>
        <v/>
      </c>
      <c r="W8132" s="19">
        <f>IF($I8132="","",IF(ISNUMBER($I8132),TEXT($I8132,"0"),$I8132))</f>
        <v/>
      </c>
    </row>
    <row r="8133">
      <c r="B8133" s="25" t="n"/>
      <c r="I8133" s="25" t="n"/>
      <c r="U8133" s="19">
        <f>IF($V8133&lt;&gt;'設定'!$C$4,N(U8132),IF(OR(NOT(COUNTIF('商品マスタ'!$B$6:$B$1005,$W8133)=0),COUNTIFS('①在庫を貼る'!$V$6:$V$10005,$V8133,'①在庫を貼る'!$W$6:$W$10005,$W8133)+COUNTIFS('月1回_1ヶ月前の在庫'!$V$6:$V$10005,$V8133,'月1回_1ヶ月前の在庫'!$W$6:$W$10005,$W8133)&gt;0),N(U8132),N(U8132)+1))</f>
        <v/>
      </c>
      <c r="V8133" s="19">
        <f>IF($B8133="","",TEXT($B8133,"0000"))</f>
        <v/>
      </c>
      <c r="W8133" s="19">
        <f>IF($I8133="","",IF(ISNUMBER($I8133),TEXT($I8133,"0"),$I8133))</f>
        <v/>
      </c>
    </row>
    <row r="8134">
      <c r="B8134" s="25" t="n"/>
      <c r="I8134" s="25" t="n"/>
      <c r="U8134" s="19">
        <f>IF($V8134&lt;&gt;'設定'!$C$4,N(U8133),IF(OR(NOT(COUNTIF('商品マスタ'!$B$6:$B$1005,$W8134)=0),COUNTIFS('①在庫を貼る'!$V$6:$V$10005,$V8134,'①在庫を貼る'!$W$6:$W$10005,$W8134)+COUNTIFS('月1回_1ヶ月前の在庫'!$V$6:$V$10005,$V8134,'月1回_1ヶ月前の在庫'!$W$6:$W$10005,$W8134)&gt;0),N(U8133),N(U8133)+1))</f>
        <v/>
      </c>
      <c r="V8134" s="19">
        <f>IF($B8134="","",TEXT($B8134,"0000"))</f>
        <v/>
      </c>
      <c r="W8134" s="19">
        <f>IF($I8134="","",IF(ISNUMBER($I8134),TEXT($I8134,"0"),$I8134))</f>
        <v/>
      </c>
    </row>
    <row r="8135">
      <c r="B8135" s="25" t="n"/>
      <c r="I8135" s="25" t="n"/>
      <c r="U8135" s="19">
        <f>IF($V8135&lt;&gt;'設定'!$C$4,N(U8134),IF(OR(NOT(COUNTIF('商品マスタ'!$B$6:$B$1005,$W8135)=0),COUNTIFS('①在庫を貼る'!$V$6:$V$10005,$V8135,'①在庫を貼る'!$W$6:$W$10005,$W8135)+COUNTIFS('月1回_1ヶ月前の在庫'!$V$6:$V$10005,$V8135,'月1回_1ヶ月前の在庫'!$W$6:$W$10005,$W8135)&gt;0),N(U8134),N(U8134)+1))</f>
        <v/>
      </c>
      <c r="V8135" s="19">
        <f>IF($B8135="","",TEXT($B8135,"0000"))</f>
        <v/>
      </c>
      <c r="W8135" s="19">
        <f>IF($I8135="","",IF(ISNUMBER($I8135),TEXT($I8135,"0"),$I8135))</f>
        <v/>
      </c>
    </row>
    <row r="8136">
      <c r="B8136" s="25" t="n"/>
      <c r="I8136" s="25" t="n"/>
      <c r="U8136" s="19">
        <f>IF($V8136&lt;&gt;'設定'!$C$4,N(U8135),IF(OR(NOT(COUNTIF('商品マスタ'!$B$6:$B$1005,$W8136)=0),COUNTIFS('①在庫を貼る'!$V$6:$V$10005,$V8136,'①在庫を貼る'!$W$6:$W$10005,$W8136)+COUNTIFS('月1回_1ヶ月前の在庫'!$V$6:$V$10005,$V8136,'月1回_1ヶ月前の在庫'!$W$6:$W$10005,$W8136)&gt;0),N(U8135),N(U8135)+1))</f>
        <v/>
      </c>
      <c r="V8136" s="19">
        <f>IF($B8136="","",TEXT($B8136,"0000"))</f>
        <v/>
      </c>
      <c r="W8136" s="19">
        <f>IF($I8136="","",IF(ISNUMBER($I8136),TEXT($I8136,"0"),$I8136))</f>
        <v/>
      </c>
    </row>
    <row r="8137">
      <c r="B8137" s="25" t="n"/>
      <c r="I8137" s="25" t="n"/>
      <c r="U8137" s="19">
        <f>IF($V8137&lt;&gt;'設定'!$C$4,N(U8136),IF(OR(NOT(COUNTIF('商品マスタ'!$B$6:$B$1005,$W8137)=0),COUNTIFS('①在庫を貼る'!$V$6:$V$10005,$V8137,'①在庫を貼る'!$W$6:$W$10005,$W8137)+COUNTIFS('月1回_1ヶ月前の在庫'!$V$6:$V$10005,$V8137,'月1回_1ヶ月前の在庫'!$W$6:$W$10005,$W8137)&gt;0),N(U8136),N(U8136)+1))</f>
        <v/>
      </c>
      <c r="V8137" s="19">
        <f>IF($B8137="","",TEXT($B8137,"0000"))</f>
        <v/>
      </c>
      <c r="W8137" s="19">
        <f>IF($I8137="","",IF(ISNUMBER($I8137),TEXT($I8137,"0"),$I8137))</f>
        <v/>
      </c>
    </row>
    <row r="8138">
      <c r="B8138" s="25" t="n"/>
      <c r="I8138" s="25" t="n"/>
      <c r="U8138" s="19">
        <f>IF($V8138&lt;&gt;'設定'!$C$4,N(U8137),IF(OR(NOT(COUNTIF('商品マスタ'!$B$6:$B$1005,$W8138)=0),COUNTIFS('①在庫を貼る'!$V$6:$V$10005,$V8138,'①在庫を貼る'!$W$6:$W$10005,$W8138)+COUNTIFS('月1回_1ヶ月前の在庫'!$V$6:$V$10005,$V8138,'月1回_1ヶ月前の在庫'!$W$6:$W$10005,$W8138)&gt;0),N(U8137),N(U8137)+1))</f>
        <v/>
      </c>
      <c r="V8138" s="19">
        <f>IF($B8138="","",TEXT($B8138,"0000"))</f>
        <v/>
      </c>
      <c r="W8138" s="19">
        <f>IF($I8138="","",IF(ISNUMBER($I8138),TEXT($I8138,"0"),$I8138))</f>
        <v/>
      </c>
    </row>
    <row r="8139">
      <c r="B8139" s="25" t="n"/>
      <c r="I8139" s="25" t="n"/>
      <c r="U8139" s="19">
        <f>IF($V8139&lt;&gt;'設定'!$C$4,N(U8138),IF(OR(NOT(COUNTIF('商品マスタ'!$B$6:$B$1005,$W8139)=0),COUNTIFS('①在庫を貼る'!$V$6:$V$10005,$V8139,'①在庫を貼る'!$W$6:$W$10005,$W8139)+COUNTIFS('月1回_1ヶ月前の在庫'!$V$6:$V$10005,$V8139,'月1回_1ヶ月前の在庫'!$W$6:$W$10005,$W8139)&gt;0),N(U8138),N(U8138)+1))</f>
        <v/>
      </c>
      <c r="V8139" s="19">
        <f>IF($B8139="","",TEXT($B8139,"0000"))</f>
        <v/>
      </c>
      <c r="W8139" s="19">
        <f>IF($I8139="","",IF(ISNUMBER($I8139),TEXT($I8139,"0"),$I8139))</f>
        <v/>
      </c>
    </row>
    <row r="8140">
      <c r="B8140" s="25" t="n"/>
      <c r="I8140" s="25" t="n"/>
      <c r="U8140" s="19">
        <f>IF($V8140&lt;&gt;'設定'!$C$4,N(U8139),IF(OR(NOT(COUNTIF('商品マスタ'!$B$6:$B$1005,$W8140)=0),COUNTIFS('①在庫を貼る'!$V$6:$V$10005,$V8140,'①在庫を貼る'!$W$6:$W$10005,$W8140)+COUNTIFS('月1回_1ヶ月前の在庫'!$V$6:$V$10005,$V8140,'月1回_1ヶ月前の在庫'!$W$6:$W$10005,$W8140)&gt;0),N(U8139),N(U8139)+1))</f>
        <v/>
      </c>
      <c r="V8140" s="19">
        <f>IF($B8140="","",TEXT($B8140,"0000"))</f>
        <v/>
      </c>
      <c r="W8140" s="19">
        <f>IF($I8140="","",IF(ISNUMBER($I8140),TEXT($I8140,"0"),$I8140))</f>
        <v/>
      </c>
    </row>
    <row r="8141">
      <c r="B8141" s="25" t="n"/>
      <c r="I8141" s="25" t="n"/>
      <c r="U8141" s="19">
        <f>IF($V8141&lt;&gt;'設定'!$C$4,N(U8140),IF(OR(NOT(COUNTIF('商品マスタ'!$B$6:$B$1005,$W8141)=0),COUNTIFS('①在庫を貼る'!$V$6:$V$10005,$V8141,'①在庫を貼る'!$W$6:$W$10005,$W8141)+COUNTIFS('月1回_1ヶ月前の在庫'!$V$6:$V$10005,$V8141,'月1回_1ヶ月前の在庫'!$W$6:$W$10005,$W8141)&gt;0),N(U8140),N(U8140)+1))</f>
        <v/>
      </c>
      <c r="V8141" s="19">
        <f>IF($B8141="","",TEXT($B8141,"0000"))</f>
        <v/>
      </c>
      <c r="W8141" s="19">
        <f>IF($I8141="","",IF(ISNUMBER($I8141),TEXT($I8141,"0"),$I8141))</f>
        <v/>
      </c>
    </row>
    <row r="8142">
      <c r="B8142" s="25" t="n"/>
      <c r="I8142" s="25" t="n"/>
      <c r="U8142" s="19">
        <f>IF($V8142&lt;&gt;'設定'!$C$4,N(U8141),IF(OR(NOT(COUNTIF('商品マスタ'!$B$6:$B$1005,$W8142)=0),COUNTIFS('①在庫を貼る'!$V$6:$V$10005,$V8142,'①在庫を貼る'!$W$6:$W$10005,$W8142)+COUNTIFS('月1回_1ヶ月前の在庫'!$V$6:$V$10005,$V8142,'月1回_1ヶ月前の在庫'!$W$6:$W$10005,$W8142)&gt;0),N(U8141),N(U8141)+1))</f>
        <v/>
      </c>
      <c r="V8142" s="19">
        <f>IF($B8142="","",TEXT($B8142,"0000"))</f>
        <v/>
      </c>
      <c r="W8142" s="19">
        <f>IF($I8142="","",IF(ISNUMBER($I8142),TEXT($I8142,"0"),$I8142))</f>
        <v/>
      </c>
    </row>
    <row r="8143">
      <c r="B8143" s="25" t="n"/>
      <c r="I8143" s="25" t="n"/>
      <c r="U8143" s="19">
        <f>IF($V8143&lt;&gt;'設定'!$C$4,N(U8142),IF(OR(NOT(COUNTIF('商品マスタ'!$B$6:$B$1005,$W8143)=0),COUNTIFS('①在庫を貼る'!$V$6:$V$10005,$V8143,'①在庫を貼る'!$W$6:$W$10005,$W8143)+COUNTIFS('月1回_1ヶ月前の在庫'!$V$6:$V$10005,$V8143,'月1回_1ヶ月前の在庫'!$W$6:$W$10005,$W8143)&gt;0),N(U8142),N(U8142)+1))</f>
        <v/>
      </c>
      <c r="V8143" s="19">
        <f>IF($B8143="","",TEXT($B8143,"0000"))</f>
        <v/>
      </c>
      <c r="W8143" s="19">
        <f>IF($I8143="","",IF(ISNUMBER($I8143),TEXT($I8143,"0"),$I8143))</f>
        <v/>
      </c>
    </row>
    <row r="8144">
      <c r="B8144" s="25" t="n"/>
      <c r="I8144" s="25" t="n"/>
      <c r="U8144" s="19">
        <f>IF($V8144&lt;&gt;'設定'!$C$4,N(U8143),IF(OR(NOT(COUNTIF('商品マスタ'!$B$6:$B$1005,$W8144)=0),COUNTIFS('①在庫を貼る'!$V$6:$V$10005,$V8144,'①在庫を貼る'!$W$6:$W$10005,$W8144)+COUNTIFS('月1回_1ヶ月前の在庫'!$V$6:$V$10005,$V8144,'月1回_1ヶ月前の在庫'!$W$6:$W$10005,$W8144)&gt;0),N(U8143),N(U8143)+1))</f>
        <v/>
      </c>
      <c r="V8144" s="19">
        <f>IF($B8144="","",TEXT($B8144,"0000"))</f>
        <v/>
      </c>
      <c r="W8144" s="19">
        <f>IF($I8144="","",IF(ISNUMBER($I8144),TEXT($I8144,"0"),$I8144))</f>
        <v/>
      </c>
    </row>
    <row r="8145">
      <c r="B8145" s="25" t="n"/>
      <c r="I8145" s="25" t="n"/>
      <c r="U8145" s="19">
        <f>IF($V8145&lt;&gt;'設定'!$C$4,N(U8144),IF(OR(NOT(COUNTIF('商品マスタ'!$B$6:$B$1005,$W8145)=0),COUNTIFS('①在庫を貼る'!$V$6:$V$10005,$V8145,'①在庫を貼る'!$W$6:$W$10005,$W8145)+COUNTIFS('月1回_1ヶ月前の在庫'!$V$6:$V$10005,$V8145,'月1回_1ヶ月前の在庫'!$W$6:$W$10005,$W8145)&gt;0),N(U8144),N(U8144)+1))</f>
        <v/>
      </c>
      <c r="V8145" s="19">
        <f>IF($B8145="","",TEXT($B8145,"0000"))</f>
        <v/>
      </c>
      <c r="W8145" s="19">
        <f>IF($I8145="","",IF(ISNUMBER($I8145),TEXT($I8145,"0"),$I8145))</f>
        <v/>
      </c>
    </row>
    <row r="8146">
      <c r="B8146" s="25" t="n"/>
      <c r="I8146" s="25" t="n"/>
      <c r="U8146" s="19">
        <f>IF($V8146&lt;&gt;'設定'!$C$4,N(U8145),IF(OR(NOT(COUNTIF('商品マスタ'!$B$6:$B$1005,$W8146)=0),COUNTIFS('①在庫を貼る'!$V$6:$V$10005,$V8146,'①在庫を貼る'!$W$6:$W$10005,$W8146)+COUNTIFS('月1回_1ヶ月前の在庫'!$V$6:$V$10005,$V8146,'月1回_1ヶ月前の在庫'!$W$6:$W$10005,$W8146)&gt;0),N(U8145),N(U8145)+1))</f>
        <v/>
      </c>
      <c r="V8146" s="19">
        <f>IF($B8146="","",TEXT($B8146,"0000"))</f>
        <v/>
      </c>
      <c r="W8146" s="19">
        <f>IF($I8146="","",IF(ISNUMBER($I8146),TEXT($I8146,"0"),$I8146))</f>
        <v/>
      </c>
    </row>
    <row r="8147">
      <c r="B8147" s="25" t="n"/>
      <c r="I8147" s="25" t="n"/>
      <c r="U8147" s="19">
        <f>IF($V8147&lt;&gt;'設定'!$C$4,N(U8146),IF(OR(NOT(COUNTIF('商品マスタ'!$B$6:$B$1005,$W8147)=0),COUNTIFS('①在庫を貼る'!$V$6:$V$10005,$V8147,'①在庫を貼る'!$W$6:$W$10005,$W8147)+COUNTIFS('月1回_1ヶ月前の在庫'!$V$6:$V$10005,$V8147,'月1回_1ヶ月前の在庫'!$W$6:$W$10005,$W8147)&gt;0),N(U8146),N(U8146)+1))</f>
        <v/>
      </c>
      <c r="V8147" s="19">
        <f>IF($B8147="","",TEXT($B8147,"0000"))</f>
        <v/>
      </c>
      <c r="W8147" s="19">
        <f>IF($I8147="","",IF(ISNUMBER($I8147),TEXT($I8147,"0"),$I8147))</f>
        <v/>
      </c>
    </row>
    <row r="8148">
      <c r="B8148" s="25" t="n"/>
      <c r="I8148" s="25" t="n"/>
      <c r="U8148" s="19">
        <f>IF($V8148&lt;&gt;'設定'!$C$4,N(U8147),IF(OR(NOT(COUNTIF('商品マスタ'!$B$6:$B$1005,$W8148)=0),COUNTIFS('①在庫を貼る'!$V$6:$V$10005,$V8148,'①在庫を貼る'!$W$6:$W$10005,$W8148)+COUNTIFS('月1回_1ヶ月前の在庫'!$V$6:$V$10005,$V8148,'月1回_1ヶ月前の在庫'!$W$6:$W$10005,$W8148)&gt;0),N(U8147),N(U8147)+1))</f>
        <v/>
      </c>
      <c r="V8148" s="19">
        <f>IF($B8148="","",TEXT($B8148,"0000"))</f>
        <v/>
      </c>
      <c r="W8148" s="19">
        <f>IF($I8148="","",IF(ISNUMBER($I8148),TEXT($I8148,"0"),$I8148))</f>
        <v/>
      </c>
    </row>
    <row r="8149">
      <c r="B8149" s="25" t="n"/>
      <c r="I8149" s="25" t="n"/>
      <c r="U8149" s="19">
        <f>IF($V8149&lt;&gt;'設定'!$C$4,N(U8148),IF(OR(NOT(COUNTIF('商品マスタ'!$B$6:$B$1005,$W8149)=0),COUNTIFS('①在庫を貼る'!$V$6:$V$10005,$V8149,'①在庫を貼る'!$W$6:$W$10005,$W8149)+COUNTIFS('月1回_1ヶ月前の在庫'!$V$6:$V$10005,$V8149,'月1回_1ヶ月前の在庫'!$W$6:$W$10005,$W8149)&gt;0),N(U8148),N(U8148)+1))</f>
        <v/>
      </c>
      <c r="V8149" s="19">
        <f>IF($B8149="","",TEXT($B8149,"0000"))</f>
        <v/>
      </c>
      <c r="W8149" s="19">
        <f>IF($I8149="","",IF(ISNUMBER($I8149),TEXT($I8149,"0"),$I8149))</f>
        <v/>
      </c>
    </row>
    <row r="8150">
      <c r="B8150" s="25" t="n"/>
      <c r="I8150" s="25" t="n"/>
      <c r="U8150" s="19">
        <f>IF($V8150&lt;&gt;'設定'!$C$4,N(U8149),IF(OR(NOT(COUNTIF('商品マスタ'!$B$6:$B$1005,$W8150)=0),COUNTIFS('①在庫を貼る'!$V$6:$V$10005,$V8150,'①在庫を貼る'!$W$6:$W$10005,$W8150)+COUNTIFS('月1回_1ヶ月前の在庫'!$V$6:$V$10005,$V8150,'月1回_1ヶ月前の在庫'!$W$6:$W$10005,$W8150)&gt;0),N(U8149),N(U8149)+1))</f>
        <v/>
      </c>
      <c r="V8150" s="19">
        <f>IF($B8150="","",TEXT($B8150,"0000"))</f>
        <v/>
      </c>
      <c r="W8150" s="19">
        <f>IF($I8150="","",IF(ISNUMBER($I8150),TEXT($I8150,"0"),$I8150))</f>
        <v/>
      </c>
    </row>
    <row r="8151">
      <c r="B8151" s="25" t="n"/>
      <c r="I8151" s="25" t="n"/>
      <c r="U8151" s="19">
        <f>IF($V8151&lt;&gt;'設定'!$C$4,N(U8150),IF(OR(NOT(COUNTIF('商品マスタ'!$B$6:$B$1005,$W8151)=0),COUNTIFS('①在庫を貼る'!$V$6:$V$10005,$V8151,'①在庫を貼る'!$W$6:$W$10005,$W8151)+COUNTIFS('月1回_1ヶ月前の在庫'!$V$6:$V$10005,$V8151,'月1回_1ヶ月前の在庫'!$W$6:$W$10005,$W8151)&gt;0),N(U8150),N(U8150)+1))</f>
        <v/>
      </c>
      <c r="V8151" s="19">
        <f>IF($B8151="","",TEXT($B8151,"0000"))</f>
        <v/>
      </c>
      <c r="W8151" s="19">
        <f>IF($I8151="","",IF(ISNUMBER($I8151),TEXT($I8151,"0"),$I8151))</f>
        <v/>
      </c>
    </row>
    <row r="8152">
      <c r="B8152" s="25" t="n"/>
      <c r="I8152" s="25" t="n"/>
      <c r="U8152" s="19">
        <f>IF($V8152&lt;&gt;'設定'!$C$4,N(U8151),IF(OR(NOT(COUNTIF('商品マスタ'!$B$6:$B$1005,$W8152)=0),COUNTIFS('①在庫を貼る'!$V$6:$V$10005,$V8152,'①在庫を貼る'!$W$6:$W$10005,$W8152)+COUNTIFS('月1回_1ヶ月前の在庫'!$V$6:$V$10005,$V8152,'月1回_1ヶ月前の在庫'!$W$6:$W$10005,$W8152)&gt;0),N(U8151),N(U8151)+1))</f>
        <v/>
      </c>
      <c r="V8152" s="19">
        <f>IF($B8152="","",TEXT($B8152,"0000"))</f>
        <v/>
      </c>
      <c r="W8152" s="19">
        <f>IF($I8152="","",IF(ISNUMBER($I8152),TEXT($I8152,"0"),$I8152))</f>
        <v/>
      </c>
    </row>
    <row r="8153">
      <c r="B8153" s="25" t="n"/>
      <c r="I8153" s="25" t="n"/>
      <c r="U8153" s="19">
        <f>IF($V8153&lt;&gt;'設定'!$C$4,N(U8152),IF(OR(NOT(COUNTIF('商品マスタ'!$B$6:$B$1005,$W8153)=0),COUNTIFS('①在庫を貼る'!$V$6:$V$10005,$V8153,'①在庫を貼る'!$W$6:$W$10005,$W8153)+COUNTIFS('月1回_1ヶ月前の在庫'!$V$6:$V$10005,$V8153,'月1回_1ヶ月前の在庫'!$W$6:$W$10005,$W8153)&gt;0),N(U8152),N(U8152)+1))</f>
        <v/>
      </c>
      <c r="V8153" s="19">
        <f>IF($B8153="","",TEXT($B8153,"0000"))</f>
        <v/>
      </c>
      <c r="W8153" s="19">
        <f>IF($I8153="","",IF(ISNUMBER($I8153),TEXT($I8153,"0"),$I8153))</f>
        <v/>
      </c>
    </row>
    <row r="8154">
      <c r="B8154" s="25" t="n"/>
      <c r="I8154" s="25" t="n"/>
      <c r="U8154" s="19">
        <f>IF($V8154&lt;&gt;'設定'!$C$4,N(U8153),IF(OR(NOT(COUNTIF('商品マスタ'!$B$6:$B$1005,$W8154)=0),COUNTIFS('①在庫を貼る'!$V$6:$V$10005,$V8154,'①在庫を貼る'!$W$6:$W$10005,$W8154)+COUNTIFS('月1回_1ヶ月前の在庫'!$V$6:$V$10005,$V8154,'月1回_1ヶ月前の在庫'!$W$6:$W$10005,$W8154)&gt;0),N(U8153),N(U8153)+1))</f>
        <v/>
      </c>
      <c r="V8154" s="19">
        <f>IF($B8154="","",TEXT($B8154,"0000"))</f>
        <v/>
      </c>
      <c r="W8154" s="19">
        <f>IF($I8154="","",IF(ISNUMBER($I8154),TEXT($I8154,"0"),$I8154))</f>
        <v/>
      </c>
    </row>
    <row r="8155">
      <c r="B8155" s="25" t="n"/>
      <c r="I8155" s="25" t="n"/>
      <c r="U8155" s="19">
        <f>IF($V8155&lt;&gt;'設定'!$C$4,N(U8154),IF(OR(NOT(COUNTIF('商品マスタ'!$B$6:$B$1005,$W8155)=0),COUNTIFS('①在庫を貼る'!$V$6:$V$10005,$V8155,'①在庫を貼る'!$W$6:$W$10005,$W8155)+COUNTIFS('月1回_1ヶ月前の在庫'!$V$6:$V$10005,$V8155,'月1回_1ヶ月前の在庫'!$W$6:$W$10005,$W8155)&gt;0),N(U8154),N(U8154)+1))</f>
        <v/>
      </c>
      <c r="V8155" s="19">
        <f>IF($B8155="","",TEXT($B8155,"0000"))</f>
        <v/>
      </c>
      <c r="W8155" s="19">
        <f>IF($I8155="","",IF(ISNUMBER($I8155),TEXT($I8155,"0"),$I8155))</f>
        <v/>
      </c>
    </row>
    <row r="8156">
      <c r="B8156" s="25" t="n"/>
      <c r="I8156" s="25" t="n"/>
      <c r="U8156" s="19">
        <f>IF($V8156&lt;&gt;'設定'!$C$4,N(U8155),IF(OR(NOT(COUNTIF('商品マスタ'!$B$6:$B$1005,$W8156)=0),COUNTIFS('①在庫を貼る'!$V$6:$V$10005,$V8156,'①在庫を貼る'!$W$6:$W$10005,$W8156)+COUNTIFS('月1回_1ヶ月前の在庫'!$V$6:$V$10005,$V8156,'月1回_1ヶ月前の在庫'!$W$6:$W$10005,$W8156)&gt;0),N(U8155),N(U8155)+1))</f>
        <v/>
      </c>
      <c r="V8156" s="19">
        <f>IF($B8156="","",TEXT($B8156,"0000"))</f>
        <v/>
      </c>
      <c r="W8156" s="19">
        <f>IF($I8156="","",IF(ISNUMBER($I8156),TEXT($I8156,"0"),$I8156))</f>
        <v/>
      </c>
    </row>
    <row r="8157">
      <c r="B8157" s="25" t="n"/>
      <c r="I8157" s="25" t="n"/>
      <c r="U8157" s="19">
        <f>IF($V8157&lt;&gt;'設定'!$C$4,N(U8156),IF(OR(NOT(COUNTIF('商品マスタ'!$B$6:$B$1005,$W8157)=0),COUNTIFS('①在庫を貼る'!$V$6:$V$10005,$V8157,'①在庫を貼る'!$W$6:$W$10005,$W8157)+COUNTIFS('月1回_1ヶ月前の在庫'!$V$6:$V$10005,$V8157,'月1回_1ヶ月前の在庫'!$W$6:$W$10005,$W8157)&gt;0),N(U8156),N(U8156)+1))</f>
        <v/>
      </c>
      <c r="V8157" s="19">
        <f>IF($B8157="","",TEXT($B8157,"0000"))</f>
        <v/>
      </c>
      <c r="W8157" s="19">
        <f>IF($I8157="","",IF(ISNUMBER($I8157),TEXT($I8157,"0"),$I8157))</f>
        <v/>
      </c>
    </row>
    <row r="8158">
      <c r="B8158" s="25" t="n"/>
      <c r="I8158" s="25" t="n"/>
      <c r="U8158" s="19">
        <f>IF($V8158&lt;&gt;'設定'!$C$4,N(U8157),IF(OR(NOT(COUNTIF('商品マスタ'!$B$6:$B$1005,$W8158)=0),COUNTIFS('①在庫を貼る'!$V$6:$V$10005,$V8158,'①在庫を貼る'!$W$6:$W$10005,$W8158)+COUNTIFS('月1回_1ヶ月前の在庫'!$V$6:$V$10005,$V8158,'月1回_1ヶ月前の在庫'!$W$6:$W$10005,$W8158)&gt;0),N(U8157),N(U8157)+1))</f>
        <v/>
      </c>
      <c r="V8158" s="19">
        <f>IF($B8158="","",TEXT($B8158,"0000"))</f>
        <v/>
      </c>
      <c r="W8158" s="19">
        <f>IF($I8158="","",IF(ISNUMBER($I8158),TEXT($I8158,"0"),$I8158))</f>
        <v/>
      </c>
    </row>
    <row r="8159">
      <c r="B8159" s="25" t="n"/>
      <c r="I8159" s="25" t="n"/>
      <c r="U8159" s="19">
        <f>IF($V8159&lt;&gt;'設定'!$C$4,N(U8158),IF(OR(NOT(COUNTIF('商品マスタ'!$B$6:$B$1005,$W8159)=0),COUNTIFS('①在庫を貼る'!$V$6:$V$10005,$V8159,'①在庫を貼る'!$W$6:$W$10005,$W8159)+COUNTIFS('月1回_1ヶ月前の在庫'!$V$6:$V$10005,$V8159,'月1回_1ヶ月前の在庫'!$W$6:$W$10005,$W8159)&gt;0),N(U8158),N(U8158)+1))</f>
        <v/>
      </c>
      <c r="V8159" s="19">
        <f>IF($B8159="","",TEXT($B8159,"0000"))</f>
        <v/>
      </c>
      <c r="W8159" s="19">
        <f>IF($I8159="","",IF(ISNUMBER($I8159),TEXT($I8159,"0"),$I8159))</f>
        <v/>
      </c>
    </row>
    <row r="8160">
      <c r="B8160" s="25" t="n"/>
      <c r="I8160" s="25" t="n"/>
      <c r="U8160" s="19">
        <f>IF($V8160&lt;&gt;'設定'!$C$4,N(U8159),IF(OR(NOT(COUNTIF('商品マスタ'!$B$6:$B$1005,$W8160)=0),COUNTIFS('①在庫を貼る'!$V$6:$V$10005,$V8160,'①在庫を貼る'!$W$6:$W$10005,$W8160)+COUNTIFS('月1回_1ヶ月前の在庫'!$V$6:$V$10005,$V8160,'月1回_1ヶ月前の在庫'!$W$6:$W$10005,$W8160)&gt;0),N(U8159),N(U8159)+1))</f>
        <v/>
      </c>
      <c r="V8160" s="19">
        <f>IF($B8160="","",TEXT($B8160,"0000"))</f>
        <v/>
      </c>
      <c r="W8160" s="19">
        <f>IF($I8160="","",IF(ISNUMBER($I8160),TEXT($I8160,"0"),$I8160))</f>
        <v/>
      </c>
    </row>
    <row r="8161">
      <c r="B8161" s="25" t="n"/>
      <c r="I8161" s="25" t="n"/>
      <c r="U8161" s="19">
        <f>IF($V8161&lt;&gt;'設定'!$C$4,N(U8160),IF(OR(NOT(COUNTIF('商品マスタ'!$B$6:$B$1005,$W8161)=0),COUNTIFS('①在庫を貼る'!$V$6:$V$10005,$V8161,'①在庫を貼る'!$W$6:$W$10005,$W8161)+COUNTIFS('月1回_1ヶ月前の在庫'!$V$6:$V$10005,$V8161,'月1回_1ヶ月前の在庫'!$W$6:$W$10005,$W8161)&gt;0),N(U8160),N(U8160)+1))</f>
        <v/>
      </c>
      <c r="V8161" s="19">
        <f>IF($B8161="","",TEXT($B8161,"0000"))</f>
        <v/>
      </c>
      <c r="W8161" s="19">
        <f>IF($I8161="","",IF(ISNUMBER($I8161),TEXT($I8161,"0"),$I8161))</f>
        <v/>
      </c>
    </row>
    <row r="8162">
      <c r="B8162" s="25" t="n"/>
      <c r="I8162" s="25" t="n"/>
      <c r="U8162" s="19">
        <f>IF($V8162&lt;&gt;'設定'!$C$4,N(U8161),IF(OR(NOT(COUNTIF('商品マスタ'!$B$6:$B$1005,$W8162)=0),COUNTIFS('①在庫を貼る'!$V$6:$V$10005,$V8162,'①在庫を貼る'!$W$6:$W$10005,$W8162)+COUNTIFS('月1回_1ヶ月前の在庫'!$V$6:$V$10005,$V8162,'月1回_1ヶ月前の在庫'!$W$6:$W$10005,$W8162)&gt;0),N(U8161),N(U8161)+1))</f>
        <v/>
      </c>
      <c r="V8162" s="19">
        <f>IF($B8162="","",TEXT($B8162,"0000"))</f>
        <v/>
      </c>
      <c r="W8162" s="19">
        <f>IF($I8162="","",IF(ISNUMBER($I8162),TEXT($I8162,"0"),$I8162))</f>
        <v/>
      </c>
    </row>
    <row r="8163">
      <c r="B8163" s="25" t="n"/>
      <c r="I8163" s="25" t="n"/>
      <c r="U8163" s="19">
        <f>IF($V8163&lt;&gt;'設定'!$C$4,N(U8162),IF(OR(NOT(COUNTIF('商品マスタ'!$B$6:$B$1005,$W8163)=0),COUNTIFS('①在庫を貼る'!$V$6:$V$10005,$V8163,'①在庫を貼る'!$W$6:$W$10005,$W8163)+COUNTIFS('月1回_1ヶ月前の在庫'!$V$6:$V$10005,$V8163,'月1回_1ヶ月前の在庫'!$W$6:$W$10005,$W8163)&gt;0),N(U8162),N(U8162)+1))</f>
        <v/>
      </c>
      <c r="V8163" s="19">
        <f>IF($B8163="","",TEXT($B8163,"0000"))</f>
        <v/>
      </c>
      <c r="W8163" s="19">
        <f>IF($I8163="","",IF(ISNUMBER($I8163),TEXT($I8163,"0"),$I8163))</f>
        <v/>
      </c>
    </row>
    <row r="8164">
      <c r="B8164" s="25" t="n"/>
      <c r="I8164" s="25" t="n"/>
      <c r="U8164" s="19">
        <f>IF($V8164&lt;&gt;'設定'!$C$4,N(U8163),IF(OR(NOT(COUNTIF('商品マスタ'!$B$6:$B$1005,$W8164)=0),COUNTIFS('①在庫を貼る'!$V$6:$V$10005,$V8164,'①在庫を貼る'!$W$6:$W$10005,$W8164)+COUNTIFS('月1回_1ヶ月前の在庫'!$V$6:$V$10005,$V8164,'月1回_1ヶ月前の在庫'!$W$6:$W$10005,$W8164)&gt;0),N(U8163),N(U8163)+1))</f>
        <v/>
      </c>
      <c r="V8164" s="19">
        <f>IF($B8164="","",TEXT($B8164,"0000"))</f>
        <v/>
      </c>
      <c r="W8164" s="19">
        <f>IF($I8164="","",IF(ISNUMBER($I8164),TEXT($I8164,"0"),$I8164))</f>
        <v/>
      </c>
    </row>
    <row r="8165">
      <c r="B8165" s="25" t="n"/>
      <c r="I8165" s="25" t="n"/>
      <c r="U8165" s="19">
        <f>IF($V8165&lt;&gt;'設定'!$C$4,N(U8164),IF(OR(NOT(COUNTIF('商品マスタ'!$B$6:$B$1005,$W8165)=0),COUNTIFS('①在庫を貼る'!$V$6:$V$10005,$V8165,'①在庫を貼る'!$W$6:$W$10005,$W8165)+COUNTIFS('月1回_1ヶ月前の在庫'!$V$6:$V$10005,$V8165,'月1回_1ヶ月前の在庫'!$W$6:$W$10005,$W8165)&gt;0),N(U8164),N(U8164)+1))</f>
        <v/>
      </c>
      <c r="V8165" s="19">
        <f>IF($B8165="","",TEXT($B8165,"0000"))</f>
        <v/>
      </c>
      <c r="W8165" s="19">
        <f>IF($I8165="","",IF(ISNUMBER($I8165),TEXT($I8165,"0"),$I8165))</f>
        <v/>
      </c>
    </row>
    <row r="8166">
      <c r="B8166" s="25" t="n"/>
      <c r="I8166" s="25" t="n"/>
      <c r="U8166" s="19">
        <f>IF($V8166&lt;&gt;'設定'!$C$4,N(U8165),IF(OR(NOT(COUNTIF('商品マスタ'!$B$6:$B$1005,$W8166)=0),COUNTIFS('①在庫を貼る'!$V$6:$V$10005,$V8166,'①在庫を貼る'!$W$6:$W$10005,$W8166)+COUNTIFS('月1回_1ヶ月前の在庫'!$V$6:$V$10005,$V8166,'月1回_1ヶ月前の在庫'!$W$6:$W$10005,$W8166)&gt;0),N(U8165),N(U8165)+1))</f>
        <v/>
      </c>
      <c r="V8166" s="19">
        <f>IF($B8166="","",TEXT($B8166,"0000"))</f>
        <v/>
      </c>
      <c r="W8166" s="19">
        <f>IF($I8166="","",IF(ISNUMBER($I8166),TEXT($I8166,"0"),$I8166))</f>
        <v/>
      </c>
    </row>
    <row r="8167">
      <c r="B8167" s="25" t="n"/>
      <c r="I8167" s="25" t="n"/>
      <c r="U8167" s="19">
        <f>IF($V8167&lt;&gt;'設定'!$C$4,N(U8166),IF(OR(NOT(COUNTIF('商品マスタ'!$B$6:$B$1005,$W8167)=0),COUNTIFS('①在庫を貼る'!$V$6:$V$10005,$V8167,'①在庫を貼る'!$W$6:$W$10005,$W8167)+COUNTIFS('月1回_1ヶ月前の在庫'!$V$6:$V$10005,$V8167,'月1回_1ヶ月前の在庫'!$W$6:$W$10005,$W8167)&gt;0),N(U8166),N(U8166)+1))</f>
        <v/>
      </c>
      <c r="V8167" s="19">
        <f>IF($B8167="","",TEXT($B8167,"0000"))</f>
        <v/>
      </c>
      <c r="W8167" s="19">
        <f>IF($I8167="","",IF(ISNUMBER($I8167),TEXT($I8167,"0"),$I8167))</f>
        <v/>
      </c>
    </row>
    <row r="8168">
      <c r="B8168" s="25" t="n"/>
      <c r="I8168" s="25" t="n"/>
      <c r="U8168" s="19">
        <f>IF($V8168&lt;&gt;'設定'!$C$4,N(U8167),IF(OR(NOT(COUNTIF('商品マスタ'!$B$6:$B$1005,$W8168)=0),COUNTIFS('①在庫を貼る'!$V$6:$V$10005,$V8168,'①在庫を貼る'!$W$6:$W$10005,$W8168)+COUNTIFS('月1回_1ヶ月前の在庫'!$V$6:$V$10005,$V8168,'月1回_1ヶ月前の在庫'!$W$6:$W$10005,$W8168)&gt;0),N(U8167),N(U8167)+1))</f>
        <v/>
      </c>
      <c r="V8168" s="19">
        <f>IF($B8168="","",TEXT($B8168,"0000"))</f>
        <v/>
      </c>
      <c r="W8168" s="19">
        <f>IF($I8168="","",IF(ISNUMBER($I8168),TEXT($I8168,"0"),$I8168))</f>
        <v/>
      </c>
    </row>
    <row r="8169">
      <c r="B8169" s="25" t="n"/>
      <c r="I8169" s="25" t="n"/>
      <c r="U8169" s="19">
        <f>IF($V8169&lt;&gt;'設定'!$C$4,N(U8168),IF(OR(NOT(COUNTIF('商品マスタ'!$B$6:$B$1005,$W8169)=0),COUNTIFS('①在庫を貼る'!$V$6:$V$10005,$V8169,'①在庫を貼る'!$W$6:$W$10005,$W8169)+COUNTIFS('月1回_1ヶ月前の在庫'!$V$6:$V$10005,$V8169,'月1回_1ヶ月前の在庫'!$W$6:$W$10005,$W8169)&gt;0),N(U8168),N(U8168)+1))</f>
        <v/>
      </c>
      <c r="V8169" s="19">
        <f>IF($B8169="","",TEXT($B8169,"0000"))</f>
        <v/>
      </c>
      <c r="W8169" s="19">
        <f>IF($I8169="","",IF(ISNUMBER($I8169),TEXT($I8169,"0"),$I8169))</f>
        <v/>
      </c>
    </row>
    <row r="8170">
      <c r="B8170" s="25" t="n"/>
      <c r="I8170" s="25" t="n"/>
      <c r="U8170" s="19">
        <f>IF($V8170&lt;&gt;'設定'!$C$4,N(U8169),IF(OR(NOT(COUNTIF('商品マスタ'!$B$6:$B$1005,$W8170)=0),COUNTIFS('①在庫を貼る'!$V$6:$V$10005,$V8170,'①在庫を貼る'!$W$6:$W$10005,$W8170)+COUNTIFS('月1回_1ヶ月前の在庫'!$V$6:$V$10005,$V8170,'月1回_1ヶ月前の在庫'!$W$6:$W$10005,$W8170)&gt;0),N(U8169),N(U8169)+1))</f>
        <v/>
      </c>
      <c r="V8170" s="19">
        <f>IF($B8170="","",TEXT($B8170,"0000"))</f>
        <v/>
      </c>
      <c r="W8170" s="19">
        <f>IF($I8170="","",IF(ISNUMBER($I8170),TEXT($I8170,"0"),$I8170))</f>
        <v/>
      </c>
    </row>
    <row r="8171">
      <c r="B8171" s="25" t="n"/>
      <c r="I8171" s="25" t="n"/>
      <c r="U8171" s="19">
        <f>IF($V8171&lt;&gt;'設定'!$C$4,N(U8170),IF(OR(NOT(COUNTIF('商品マスタ'!$B$6:$B$1005,$W8171)=0),COUNTIFS('①在庫を貼る'!$V$6:$V$10005,$V8171,'①在庫を貼る'!$W$6:$W$10005,$W8171)+COUNTIFS('月1回_1ヶ月前の在庫'!$V$6:$V$10005,$V8171,'月1回_1ヶ月前の在庫'!$W$6:$W$10005,$W8171)&gt;0),N(U8170),N(U8170)+1))</f>
        <v/>
      </c>
      <c r="V8171" s="19">
        <f>IF($B8171="","",TEXT($B8171,"0000"))</f>
        <v/>
      </c>
      <c r="W8171" s="19">
        <f>IF($I8171="","",IF(ISNUMBER($I8171),TEXT($I8171,"0"),$I8171))</f>
        <v/>
      </c>
    </row>
    <row r="8172">
      <c r="B8172" s="25" t="n"/>
      <c r="I8172" s="25" t="n"/>
      <c r="U8172" s="19">
        <f>IF($V8172&lt;&gt;'設定'!$C$4,N(U8171),IF(OR(NOT(COUNTIF('商品マスタ'!$B$6:$B$1005,$W8172)=0),COUNTIFS('①在庫を貼る'!$V$6:$V$10005,$V8172,'①在庫を貼る'!$W$6:$W$10005,$W8172)+COUNTIFS('月1回_1ヶ月前の在庫'!$V$6:$V$10005,$V8172,'月1回_1ヶ月前の在庫'!$W$6:$W$10005,$W8172)&gt;0),N(U8171),N(U8171)+1))</f>
        <v/>
      </c>
      <c r="V8172" s="19">
        <f>IF($B8172="","",TEXT($B8172,"0000"))</f>
        <v/>
      </c>
      <c r="W8172" s="19">
        <f>IF($I8172="","",IF(ISNUMBER($I8172),TEXT($I8172,"0"),$I8172))</f>
        <v/>
      </c>
    </row>
    <row r="8173">
      <c r="B8173" s="25" t="n"/>
      <c r="I8173" s="25" t="n"/>
      <c r="U8173" s="19">
        <f>IF($V8173&lt;&gt;'設定'!$C$4,N(U8172),IF(OR(NOT(COUNTIF('商品マスタ'!$B$6:$B$1005,$W8173)=0),COUNTIFS('①在庫を貼る'!$V$6:$V$10005,$V8173,'①在庫を貼る'!$W$6:$W$10005,$W8173)+COUNTIFS('月1回_1ヶ月前の在庫'!$V$6:$V$10005,$V8173,'月1回_1ヶ月前の在庫'!$W$6:$W$10005,$W8173)&gt;0),N(U8172),N(U8172)+1))</f>
        <v/>
      </c>
      <c r="V8173" s="19">
        <f>IF($B8173="","",TEXT($B8173,"0000"))</f>
        <v/>
      </c>
      <c r="W8173" s="19">
        <f>IF($I8173="","",IF(ISNUMBER($I8173),TEXT($I8173,"0"),$I8173))</f>
        <v/>
      </c>
    </row>
    <row r="8174">
      <c r="B8174" s="25" t="n"/>
      <c r="I8174" s="25" t="n"/>
      <c r="U8174" s="19">
        <f>IF($V8174&lt;&gt;'設定'!$C$4,N(U8173),IF(OR(NOT(COUNTIF('商品マスタ'!$B$6:$B$1005,$W8174)=0),COUNTIFS('①在庫を貼る'!$V$6:$V$10005,$V8174,'①在庫を貼る'!$W$6:$W$10005,$W8174)+COUNTIFS('月1回_1ヶ月前の在庫'!$V$6:$V$10005,$V8174,'月1回_1ヶ月前の在庫'!$W$6:$W$10005,$W8174)&gt;0),N(U8173),N(U8173)+1))</f>
        <v/>
      </c>
      <c r="V8174" s="19">
        <f>IF($B8174="","",TEXT($B8174,"0000"))</f>
        <v/>
      </c>
      <c r="W8174" s="19">
        <f>IF($I8174="","",IF(ISNUMBER($I8174),TEXT($I8174,"0"),$I8174))</f>
        <v/>
      </c>
    </row>
    <row r="8175">
      <c r="B8175" s="25" t="n"/>
      <c r="I8175" s="25" t="n"/>
      <c r="U8175" s="19">
        <f>IF($V8175&lt;&gt;'設定'!$C$4,N(U8174),IF(OR(NOT(COUNTIF('商品マスタ'!$B$6:$B$1005,$W8175)=0),COUNTIFS('①在庫を貼る'!$V$6:$V$10005,$V8175,'①在庫を貼る'!$W$6:$W$10005,$W8175)+COUNTIFS('月1回_1ヶ月前の在庫'!$V$6:$V$10005,$V8175,'月1回_1ヶ月前の在庫'!$W$6:$W$10005,$W8175)&gt;0),N(U8174),N(U8174)+1))</f>
        <v/>
      </c>
      <c r="V8175" s="19">
        <f>IF($B8175="","",TEXT($B8175,"0000"))</f>
        <v/>
      </c>
      <c r="W8175" s="19">
        <f>IF($I8175="","",IF(ISNUMBER($I8175),TEXT($I8175,"0"),$I8175))</f>
        <v/>
      </c>
    </row>
    <row r="8176">
      <c r="B8176" s="25" t="n"/>
      <c r="I8176" s="25" t="n"/>
      <c r="U8176" s="19">
        <f>IF($V8176&lt;&gt;'設定'!$C$4,N(U8175),IF(OR(NOT(COUNTIF('商品マスタ'!$B$6:$B$1005,$W8176)=0),COUNTIFS('①在庫を貼る'!$V$6:$V$10005,$V8176,'①在庫を貼る'!$W$6:$W$10005,$W8176)+COUNTIFS('月1回_1ヶ月前の在庫'!$V$6:$V$10005,$V8176,'月1回_1ヶ月前の在庫'!$W$6:$W$10005,$W8176)&gt;0),N(U8175),N(U8175)+1))</f>
        <v/>
      </c>
      <c r="V8176" s="19">
        <f>IF($B8176="","",TEXT($B8176,"0000"))</f>
        <v/>
      </c>
      <c r="W8176" s="19">
        <f>IF($I8176="","",IF(ISNUMBER($I8176),TEXT($I8176,"0"),$I8176))</f>
        <v/>
      </c>
    </row>
    <row r="8177">
      <c r="B8177" s="25" t="n"/>
      <c r="I8177" s="25" t="n"/>
      <c r="U8177" s="19">
        <f>IF($V8177&lt;&gt;'設定'!$C$4,N(U8176),IF(OR(NOT(COUNTIF('商品マスタ'!$B$6:$B$1005,$W8177)=0),COUNTIFS('①在庫を貼る'!$V$6:$V$10005,$V8177,'①在庫を貼る'!$W$6:$W$10005,$W8177)+COUNTIFS('月1回_1ヶ月前の在庫'!$V$6:$V$10005,$V8177,'月1回_1ヶ月前の在庫'!$W$6:$W$10005,$W8177)&gt;0),N(U8176),N(U8176)+1))</f>
        <v/>
      </c>
      <c r="V8177" s="19">
        <f>IF($B8177="","",TEXT($B8177,"0000"))</f>
        <v/>
      </c>
      <c r="W8177" s="19">
        <f>IF($I8177="","",IF(ISNUMBER($I8177),TEXT($I8177,"0"),$I8177))</f>
        <v/>
      </c>
    </row>
    <row r="8178">
      <c r="B8178" s="25" t="n"/>
      <c r="I8178" s="25" t="n"/>
      <c r="U8178" s="19">
        <f>IF($V8178&lt;&gt;'設定'!$C$4,N(U8177),IF(OR(NOT(COUNTIF('商品マスタ'!$B$6:$B$1005,$W8178)=0),COUNTIFS('①在庫を貼る'!$V$6:$V$10005,$V8178,'①在庫を貼る'!$W$6:$W$10005,$W8178)+COUNTIFS('月1回_1ヶ月前の在庫'!$V$6:$V$10005,$V8178,'月1回_1ヶ月前の在庫'!$W$6:$W$10005,$W8178)&gt;0),N(U8177),N(U8177)+1))</f>
        <v/>
      </c>
      <c r="V8178" s="19">
        <f>IF($B8178="","",TEXT($B8178,"0000"))</f>
        <v/>
      </c>
      <c r="W8178" s="19">
        <f>IF($I8178="","",IF(ISNUMBER($I8178),TEXT($I8178,"0"),$I8178))</f>
        <v/>
      </c>
    </row>
    <row r="8179">
      <c r="B8179" s="25" t="n"/>
      <c r="I8179" s="25" t="n"/>
      <c r="U8179" s="19">
        <f>IF($V8179&lt;&gt;'設定'!$C$4,N(U8178),IF(OR(NOT(COUNTIF('商品マスタ'!$B$6:$B$1005,$W8179)=0),COUNTIFS('①在庫を貼る'!$V$6:$V$10005,$V8179,'①在庫を貼る'!$W$6:$W$10005,$W8179)+COUNTIFS('月1回_1ヶ月前の在庫'!$V$6:$V$10005,$V8179,'月1回_1ヶ月前の在庫'!$W$6:$W$10005,$W8179)&gt;0),N(U8178),N(U8178)+1))</f>
        <v/>
      </c>
      <c r="V8179" s="19">
        <f>IF($B8179="","",TEXT($B8179,"0000"))</f>
        <v/>
      </c>
      <c r="W8179" s="19">
        <f>IF($I8179="","",IF(ISNUMBER($I8179),TEXT($I8179,"0"),$I8179))</f>
        <v/>
      </c>
    </row>
    <row r="8180">
      <c r="B8180" s="25" t="n"/>
      <c r="I8180" s="25" t="n"/>
      <c r="U8180" s="19">
        <f>IF($V8180&lt;&gt;'設定'!$C$4,N(U8179),IF(OR(NOT(COUNTIF('商品マスタ'!$B$6:$B$1005,$W8180)=0),COUNTIFS('①在庫を貼る'!$V$6:$V$10005,$V8180,'①在庫を貼る'!$W$6:$W$10005,$W8180)+COUNTIFS('月1回_1ヶ月前の在庫'!$V$6:$V$10005,$V8180,'月1回_1ヶ月前の在庫'!$W$6:$W$10005,$W8180)&gt;0),N(U8179),N(U8179)+1))</f>
        <v/>
      </c>
      <c r="V8180" s="19">
        <f>IF($B8180="","",TEXT($B8180,"0000"))</f>
        <v/>
      </c>
      <c r="W8180" s="19">
        <f>IF($I8180="","",IF(ISNUMBER($I8180),TEXT($I8180,"0"),$I8180))</f>
        <v/>
      </c>
    </row>
    <row r="8181">
      <c r="B8181" s="25" t="n"/>
      <c r="I8181" s="25" t="n"/>
      <c r="U8181" s="19">
        <f>IF($V8181&lt;&gt;'設定'!$C$4,N(U8180),IF(OR(NOT(COUNTIF('商品マスタ'!$B$6:$B$1005,$W8181)=0),COUNTIFS('①在庫を貼る'!$V$6:$V$10005,$V8181,'①在庫を貼る'!$W$6:$W$10005,$W8181)+COUNTIFS('月1回_1ヶ月前の在庫'!$V$6:$V$10005,$V8181,'月1回_1ヶ月前の在庫'!$W$6:$W$10005,$W8181)&gt;0),N(U8180),N(U8180)+1))</f>
        <v/>
      </c>
      <c r="V8181" s="19">
        <f>IF($B8181="","",TEXT($B8181,"0000"))</f>
        <v/>
      </c>
      <c r="W8181" s="19">
        <f>IF($I8181="","",IF(ISNUMBER($I8181),TEXT($I8181,"0"),$I8181))</f>
        <v/>
      </c>
    </row>
    <row r="8182">
      <c r="B8182" s="25" t="n"/>
      <c r="I8182" s="25" t="n"/>
      <c r="U8182" s="19">
        <f>IF($V8182&lt;&gt;'設定'!$C$4,N(U8181),IF(OR(NOT(COUNTIF('商品マスタ'!$B$6:$B$1005,$W8182)=0),COUNTIFS('①在庫を貼る'!$V$6:$V$10005,$V8182,'①在庫を貼る'!$W$6:$W$10005,$W8182)+COUNTIFS('月1回_1ヶ月前の在庫'!$V$6:$V$10005,$V8182,'月1回_1ヶ月前の在庫'!$W$6:$W$10005,$W8182)&gt;0),N(U8181),N(U8181)+1))</f>
        <v/>
      </c>
      <c r="V8182" s="19">
        <f>IF($B8182="","",TEXT($B8182,"0000"))</f>
        <v/>
      </c>
      <c r="W8182" s="19">
        <f>IF($I8182="","",IF(ISNUMBER($I8182),TEXT($I8182,"0"),$I8182))</f>
        <v/>
      </c>
    </row>
    <row r="8183">
      <c r="B8183" s="25" t="n"/>
      <c r="I8183" s="25" t="n"/>
      <c r="U8183" s="19">
        <f>IF($V8183&lt;&gt;'設定'!$C$4,N(U8182),IF(OR(NOT(COUNTIF('商品マスタ'!$B$6:$B$1005,$W8183)=0),COUNTIFS('①在庫を貼る'!$V$6:$V$10005,$V8183,'①在庫を貼る'!$W$6:$W$10005,$W8183)+COUNTIFS('月1回_1ヶ月前の在庫'!$V$6:$V$10005,$V8183,'月1回_1ヶ月前の在庫'!$W$6:$W$10005,$W8183)&gt;0),N(U8182),N(U8182)+1))</f>
        <v/>
      </c>
      <c r="V8183" s="19">
        <f>IF($B8183="","",TEXT($B8183,"0000"))</f>
        <v/>
      </c>
      <c r="W8183" s="19">
        <f>IF($I8183="","",IF(ISNUMBER($I8183),TEXT($I8183,"0"),$I8183))</f>
        <v/>
      </c>
    </row>
    <row r="8184">
      <c r="B8184" s="25" t="n"/>
      <c r="I8184" s="25" t="n"/>
      <c r="U8184" s="19">
        <f>IF($V8184&lt;&gt;'設定'!$C$4,N(U8183),IF(OR(NOT(COUNTIF('商品マスタ'!$B$6:$B$1005,$W8184)=0),COUNTIFS('①在庫を貼る'!$V$6:$V$10005,$V8184,'①在庫を貼る'!$W$6:$W$10005,$W8184)+COUNTIFS('月1回_1ヶ月前の在庫'!$V$6:$V$10005,$V8184,'月1回_1ヶ月前の在庫'!$W$6:$W$10005,$W8184)&gt;0),N(U8183),N(U8183)+1))</f>
        <v/>
      </c>
      <c r="V8184" s="19">
        <f>IF($B8184="","",TEXT($B8184,"0000"))</f>
        <v/>
      </c>
      <c r="W8184" s="19">
        <f>IF($I8184="","",IF(ISNUMBER($I8184),TEXT($I8184,"0"),$I8184))</f>
        <v/>
      </c>
    </row>
    <row r="8185">
      <c r="B8185" s="25" t="n"/>
      <c r="I8185" s="25" t="n"/>
      <c r="U8185" s="19">
        <f>IF($V8185&lt;&gt;'設定'!$C$4,N(U8184),IF(OR(NOT(COUNTIF('商品マスタ'!$B$6:$B$1005,$W8185)=0),COUNTIFS('①在庫を貼る'!$V$6:$V$10005,$V8185,'①在庫を貼る'!$W$6:$W$10005,$W8185)+COUNTIFS('月1回_1ヶ月前の在庫'!$V$6:$V$10005,$V8185,'月1回_1ヶ月前の在庫'!$W$6:$W$10005,$W8185)&gt;0),N(U8184),N(U8184)+1))</f>
        <v/>
      </c>
      <c r="V8185" s="19">
        <f>IF($B8185="","",TEXT($B8185,"0000"))</f>
        <v/>
      </c>
      <c r="W8185" s="19">
        <f>IF($I8185="","",IF(ISNUMBER($I8185),TEXT($I8185,"0"),$I8185))</f>
        <v/>
      </c>
    </row>
    <row r="8186">
      <c r="B8186" s="25" t="n"/>
      <c r="I8186" s="25" t="n"/>
      <c r="U8186" s="19">
        <f>IF($V8186&lt;&gt;'設定'!$C$4,N(U8185),IF(OR(NOT(COUNTIF('商品マスタ'!$B$6:$B$1005,$W8186)=0),COUNTIFS('①在庫を貼る'!$V$6:$V$10005,$V8186,'①在庫を貼る'!$W$6:$W$10005,$W8186)+COUNTIFS('月1回_1ヶ月前の在庫'!$V$6:$V$10005,$V8186,'月1回_1ヶ月前の在庫'!$W$6:$W$10005,$W8186)&gt;0),N(U8185),N(U8185)+1))</f>
        <v/>
      </c>
      <c r="V8186" s="19">
        <f>IF($B8186="","",TEXT($B8186,"0000"))</f>
        <v/>
      </c>
      <c r="W8186" s="19">
        <f>IF($I8186="","",IF(ISNUMBER($I8186),TEXT($I8186,"0"),$I8186))</f>
        <v/>
      </c>
    </row>
    <row r="8187">
      <c r="B8187" s="25" t="n"/>
      <c r="I8187" s="25" t="n"/>
      <c r="U8187" s="19">
        <f>IF($V8187&lt;&gt;'設定'!$C$4,N(U8186),IF(OR(NOT(COUNTIF('商品マスタ'!$B$6:$B$1005,$W8187)=0),COUNTIFS('①在庫を貼る'!$V$6:$V$10005,$V8187,'①在庫を貼る'!$W$6:$W$10005,$W8187)+COUNTIFS('月1回_1ヶ月前の在庫'!$V$6:$V$10005,$V8187,'月1回_1ヶ月前の在庫'!$W$6:$W$10005,$W8187)&gt;0),N(U8186),N(U8186)+1))</f>
        <v/>
      </c>
      <c r="V8187" s="19">
        <f>IF($B8187="","",TEXT($B8187,"0000"))</f>
        <v/>
      </c>
      <c r="W8187" s="19">
        <f>IF($I8187="","",IF(ISNUMBER($I8187),TEXT($I8187,"0"),$I8187))</f>
        <v/>
      </c>
    </row>
    <row r="8188">
      <c r="B8188" s="25" t="n"/>
      <c r="I8188" s="25" t="n"/>
      <c r="U8188" s="19">
        <f>IF($V8188&lt;&gt;'設定'!$C$4,N(U8187),IF(OR(NOT(COUNTIF('商品マスタ'!$B$6:$B$1005,$W8188)=0),COUNTIFS('①在庫を貼る'!$V$6:$V$10005,$V8188,'①在庫を貼る'!$W$6:$W$10005,$W8188)+COUNTIFS('月1回_1ヶ月前の在庫'!$V$6:$V$10005,$V8188,'月1回_1ヶ月前の在庫'!$W$6:$W$10005,$W8188)&gt;0),N(U8187),N(U8187)+1))</f>
        <v/>
      </c>
      <c r="V8188" s="19">
        <f>IF($B8188="","",TEXT($B8188,"0000"))</f>
        <v/>
      </c>
      <c r="W8188" s="19">
        <f>IF($I8188="","",IF(ISNUMBER($I8188),TEXT($I8188,"0"),$I8188))</f>
        <v/>
      </c>
    </row>
    <row r="8189">
      <c r="B8189" s="25" t="n"/>
      <c r="I8189" s="25" t="n"/>
      <c r="U8189" s="19">
        <f>IF($V8189&lt;&gt;'設定'!$C$4,N(U8188),IF(OR(NOT(COUNTIF('商品マスタ'!$B$6:$B$1005,$W8189)=0),COUNTIFS('①在庫を貼る'!$V$6:$V$10005,$V8189,'①在庫を貼る'!$W$6:$W$10005,$W8189)+COUNTIFS('月1回_1ヶ月前の在庫'!$V$6:$V$10005,$V8189,'月1回_1ヶ月前の在庫'!$W$6:$W$10005,$W8189)&gt;0),N(U8188),N(U8188)+1))</f>
        <v/>
      </c>
      <c r="V8189" s="19">
        <f>IF($B8189="","",TEXT($B8189,"0000"))</f>
        <v/>
      </c>
      <c r="W8189" s="19">
        <f>IF($I8189="","",IF(ISNUMBER($I8189),TEXT($I8189,"0"),$I8189))</f>
        <v/>
      </c>
    </row>
    <row r="8190">
      <c r="B8190" s="25" t="n"/>
      <c r="I8190" s="25" t="n"/>
      <c r="U8190" s="19">
        <f>IF($V8190&lt;&gt;'設定'!$C$4,N(U8189),IF(OR(NOT(COUNTIF('商品マスタ'!$B$6:$B$1005,$W8190)=0),COUNTIFS('①在庫を貼る'!$V$6:$V$10005,$V8190,'①在庫を貼る'!$W$6:$W$10005,$W8190)+COUNTIFS('月1回_1ヶ月前の在庫'!$V$6:$V$10005,$V8190,'月1回_1ヶ月前の在庫'!$W$6:$W$10005,$W8190)&gt;0),N(U8189),N(U8189)+1))</f>
        <v/>
      </c>
      <c r="V8190" s="19">
        <f>IF($B8190="","",TEXT($B8190,"0000"))</f>
        <v/>
      </c>
      <c r="W8190" s="19">
        <f>IF($I8190="","",IF(ISNUMBER($I8190),TEXT($I8190,"0"),$I8190))</f>
        <v/>
      </c>
    </row>
    <row r="8191">
      <c r="B8191" s="25" t="n"/>
      <c r="I8191" s="25" t="n"/>
      <c r="U8191" s="19">
        <f>IF($V8191&lt;&gt;'設定'!$C$4,N(U8190),IF(OR(NOT(COUNTIF('商品マスタ'!$B$6:$B$1005,$W8191)=0),COUNTIFS('①在庫を貼る'!$V$6:$V$10005,$V8191,'①在庫を貼る'!$W$6:$W$10005,$W8191)+COUNTIFS('月1回_1ヶ月前の在庫'!$V$6:$V$10005,$V8191,'月1回_1ヶ月前の在庫'!$W$6:$W$10005,$W8191)&gt;0),N(U8190),N(U8190)+1))</f>
        <v/>
      </c>
      <c r="V8191" s="19">
        <f>IF($B8191="","",TEXT($B8191,"0000"))</f>
        <v/>
      </c>
      <c r="W8191" s="19">
        <f>IF($I8191="","",IF(ISNUMBER($I8191),TEXT($I8191,"0"),$I8191))</f>
        <v/>
      </c>
    </row>
    <row r="8192">
      <c r="B8192" s="25" t="n"/>
      <c r="I8192" s="25" t="n"/>
      <c r="U8192" s="19">
        <f>IF($V8192&lt;&gt;'設定'!$C$4,N(U8191),IF(OR(NOT(COUNTIF('商品マスタ'!$B$6:$B$1005,$W8192)=0),COUNTIFS('①在庫を貼る'!$V$6:$V$10005,$V8192,'①在庫を貼る'!$W$6:$W$10005,$W8192)+COUNTIFS('月1回_1ヶ月前の在庫'!$V$6:$V$10005,$V8192,'月1回_1ヶ月前の在庫'!$W$6:$W$10005,$W8192)&gt;0),N(U8191),N(U8191)+1))</f>
        <v/>
      </c>
      <c r="V8192" s="19">
        <f>IF($B8192="","",TEXT($B8192,"0000"))</f>
        <v/>
      </c>
      <c r="W8192" s="19">
        <f>IF($I8192="","",IF(ISNUMBER($I8192),TEXT($I8192,"0"),$I8192))</f>
        <v/>
      </c>
    </row>
    <row r="8193">
      <c r="B8193" s="25" t="n"/>
      <c r="I8193" s="25" t="n"/>
      <c r="U8193" s="19">
        <f>IF($V8193&lt;&gt;'設定'!$C$4,N(U8192),IF(OR(NOT(COUNTIF('商品マスタ'!$B$6:$B$1005,$W8193)=0),COUNTIFS('①在庫を貼る'!$V$6:$V$10005,$V8193,'①在庫を貼る'!$W$6:$W$10005,$W8193)+COUNTIFS('月1回_1ヶ月前の在庫'!$V$6:$V$10005,$V8193,'月1回_1ヶ月前の在庫'!$W$6:$W$10005,$W8193)&gt;0),N(U8192),N(U8192)+1))</f>
        <v/>
      </c>
      <c r="V8193" s="19">
        <f>IF($B8193="","",TEXT($B8193,"0000"))</f>
        <v/>
      </c>
      <c r="W8193" s="19">
        <f>IF($I8193="","",IF(ISNUMBER($I8193),TEXT($I8193,"0"),$I8193))</f>
        <v/>
      </c>
    </row>
    <row r="8194">
      <c r="B8194" s="25" t="n"/>
      <c r="I8194" s="25" t="n"/>
      <c r="U8194" s="19">
        <f>IF($V8194&lt;&gt;'設定'!$C$4,N(U8193),IF(OR(NOT(COUNTIF('商品マスタ'!$B$6:$B$1005,$W8194)=0),COUNTIFS('①在庫を貼る'!$V$6:$V$10005,$V8194,'①在庫を貼る'!$W$6:$W$10005,$W8194)+COUNTIFS('月1回_1ヶ月前の在庫'!$V$6:$V$10005,$V8194,'月1回_1ヶ月前の在庫'!$W$6:$W$10005,$W8194)&gt;0),N(U8193),N(U8193)+1))</f>
        <v/>
      </c>
      <c r="V8194" s="19">
        <f>IF($B8194="","",TEXT($B8194,"0000"))</f>
        <v/>
      </c>
      <c r="W8194" s="19">
        <f>IF($I8194="","",IF(ISNUMBER($I8194),TEXT($I8194,"0"),$I8194))</f>
        <v/>
      </c>
    </row>
    <row r="8195">
      <c r="B8195" s="25" t="n"/>
      <c r="I8195" s="25" t="n"/>
      <c r="U8195" s="19">
        <f>IF($V8195&lt;&gt;'設定'!$C$4,N(U8194),IF(OR(NOT(COUNTIF('商品マスタ'!$B$6:$B$1005,$W8195)=0),COUNTIFS('①在庫を貼る'!$V$6:$V$10005,$V8195,'①在庫を貼る'!$W$6:$W$10005,$W8195)+COUNTIFS('月1回_1ヶ月前の在庫'!$V$6:$V$10005,$V8195,'月1回_1ヶ月前の在庫'!$W$6:$W$10005,$W8195)&gt;0),N(U8194),N(U8194)+1))</f>
        <v/>
      </c>
      <c r="V8195" s="19">
        <f>IF($B8195="","",TEXT($B8195,"0000"))</f>
        <v/>
      </c>
      <c r="W8195" s="19">
        <f>IF($I8195="","",IF(ISNUMBER($I8195),TEXT($I8195,"0"),$I8195))</f>
        <v/>
      </c>
    </row>
    <row r="8196">
      <c r="B8196" s="25" t="n"/>
      <c r="I8196" s="25" t="n"/>
      <c r="U8196" s="19">
        <f>IF($V8196&lt;&gt;'設定'!$C$4,N(U8195),IF(OR(NOT(COUNTIF('商品マスタ'!$B$6:$B$1005,$W8196)=0),COUNTIFS('①在庫を貼る'!$V$6:$V$10005,$V8196,'①在庫を貼る'!$W$6:$W$10005,$W8196)+COUNTIFS('月1回_1ヶ月前の在庫'!$V$6:$V$10005,$V8196,'月1回_1ヶ月前の在庫'!$W$6:$W$10005,$W8196)&gt;0),N(U8195),N(U8195)+1))</f>
        <v/>
      </c>
      <c r="V8196" s="19">
        <f>IF($B8196="","",TEXT($B8196,"0000"))</f>
        <v/>
      </c>
      <c r="W8196" s="19">
        <f>IF($I8196="","",IF(ISNUMBER($I8196),TEXT($I8196,"0"),$I8196))</f>
        <v/>
      </c>
    </row>
    <row r="8197">
      <c r="B8197" s="25" t="n"/>
      <c r="I8197" s="25" t="n"/>
      <c r="U8197" s="19">
        <f>IF($V8197&lt;&gt;'設定'!$C$4,N(U8196),IF(OR(NOT(COUNTIF('商品マスタ'!$B$6:$B$1005,$W8197)=0),COUNTIFS('①在庫を貼る'!$V$6:$V$10005,$V8197,'①在庫を貼る'!$W$6:$W$10005,$W8197)+COUNTIFS('月1回_1ヶ月前の在庫'!$V$6:$V$10005,$V8197,'月1回_1ヶ月前の在庫'!$W$6:$W$10005,$W8197)&gt;0),N(U8196),N(U8196)+1))</f>
        <v/>
      </c>
      <c r="V8197" s="19">
        <f>IF($B8197="","",TEXT($B8197,"0000"))</f>
        <v/>
      </c>
      <c r="W8197" s="19">
        <f>IF($I8197="","",IF(ISNUMBER($I8197),TEXT($I8197,"0"),$I8197))</f>
        <v/>
      </c>
    </row>
    <row r="8198">
      <c r="B8198" s="25" t="n"/>
      <c r="I8198" s="25" t="n"/>
      <c r="U8198" s="19">
        <f>IF($V8198&lt;&gt;'設定'!$C$4,N(U8197),IF(OR(NOT(COUNTIF('商品マスタ'!$B$6:$B$1005,$W8198)=0),COUNTIFS('①在庫を貼る'!$V$6:$V$10005,$V8198,'①在庫を貼る'!$W$6:$W$10005,$W8198)+COUNTIFS('月1回_1ヶ月前の在庫'!$V$6:$V$10005,$V8198,'月1回_1ヶ月前の在庫'!$W$6:$W$10005,$W8198)&gt;0),N(U8197),N(U8197)+1))</f>
        <v/>
      </c>
      <c r="V8198" s="19">
        <f>IF($B8198="","",TEXT($B8198,"0000"))</f>
        <v/>
      </c>
      <c r="W8198" s="19">
        <f>IF($I8198="","",IF(ISNUMBER($I8198),TEXT($I8198,"0"),$I8198))</f>
        <v/>
      </c>
    </row>
    <row r="8199">
      <c r="B8199" s="25" t="n"/>
      <c r="I8199" s="25" t="n"/>
      <c r="U8199" s="19">
        <f>IF($V8199&lt;&gt;'設定'!$C$4,N(U8198),IF(OR(NOT(COUNTIF('商品マスタ'!$B$6:$B$1005,$W8199)=0),COUNTIFS('①在庫を貼る'!$V$6:$V$10005,$V8199,'①在庫を貼る'!$W$6:$W$10005,$W8199)+COUNTIFS('月1回_1ヶ月前の在庫'!$V$6:$V$10005,$V8199,'月1回_1ヶ月前の在庫'!$W$6:$W$10005,$W8199)&gt;0),N(U8198),N(U8198)+1))</f>
        <v/>
      </c>
      <c r="V8199" s="19">
        <f>IF($B8199="","",TEXT($B8199,"0000"))</f>
        <v/>
      </c>
      <c r="W8199" s="19">
        <f>IF($I8199="","",IF(ISNUMBER($I8199),TEXT($I8199,"0"),$I8199))</f>
        <v/>
      </c>
    </row>
    <row r="8200">
      <c r="B8200" s="25" t="n"/>
      <c r="I8200" s="25" t="n"/>
      <c r="U8200" s="19">
        <f>IF($V8200&lt;&gt;'設定'!$C$4,N(U8199),IF(OR(NOT(COUNTIF('商品マスタ'!$B$6:$B$1005,$W8200)=0),COUNTIFS('①在庫を貼る'!$V$6:$V$10005,$V8200,'①在庫を貼る'!$W$6:$W$10005,$W8200)+COUNTIFS('月1回_1ヶ月前の在庫'!$V$6:$V$10005,$V8200,'月1回_1ヶ月前の在庫'!$W$6:$W$10005,$W8200)&gt;0),N(U8199),N(U8199)+1))</f>
        <v/>
      </c>
      <c r="V8200" s="19">
        <f>IF($B8200="","",TEXT($B8200,"0000"))</f>
        <v/>
      </c>
      <c r="W8200" s="19">
        <f>IF($I8200="","",IF(ISNUMBER($I8200),TEXT($I8200,"0"),$I8200))</f>
        <v/>
      </c>
    </row>
    <row r="8201">
      <c r="B8201" s="25" t="n"/>
      <c r="I8201" s="25" t="n"/>
      <c r="U8201" s="19">
        <f>IF($V8201&lt;&gt;'設定'!$C$4,N(U8200),IF(OR(NOT(COUNTIF('商品マスタ'!$B$6:$B$1005,$W8201)=0),COUNTIFS('①在庫を貼る'!$V$6:$V$10005,$V8201,'①在庫を貼る'!$W$6:$W$10005,$W8201)+COUNTIFS('月1回_1ヶ月前の在庫'!$V$6:$V$10005,$V8201,'月1回_1ヶ月前の在庫'!$W$6:$W$10005,$W8201)&gt;0),N(U8200),N(U8200)+1))</f>
        <v/>
      </c>
      <c r="V8201" s="19">
        <f>IF($B8201="","",TEXT($B8201,"0000"))</f>
        <v/>
      </c>
      <c r="W8201" s="19">
        <f>IF($I8201="","",IF(ISNUMBER($I8201),TEXT($I8201,"0"),$I8201))</f>
        <v/>
      </c>
    </row>
    <row r="8202">
      <c r="B8202" s="25" t="n"/>
      <c r="I8202" s="25" t="n"/>
      <c r="U8202" s="19">
        <f>IF($V8202&lt;&gt;'設定'!$C$4,N(U8201),IF(OR(NOT(COUNTIF('商品マスタ'!$B$6:$B$1005,$W8202)=0),COUNTIFS('①在庫を貼る'!$V$6:$V$10005,$V8202,'①在庫を貼る'!$W$6:$W$10005,$W8202)+COUNTIFS('月1回_1ヶ月前の在庫'!$V$6:$V$10005,$V8202,'月1回_1ヶ月前の在庫'!$W$6:$W$10005,$W8202)&gt;0),N(U8201),N(U8201)+1))</f>
        <v/>
      </c>
      <c r="V8202" s="19">
        <f>IF($B8202="","",TEXT($B8202,"0000"))</f>
        <v/>
      </c>
      <c r="W8202" s="19">
        <f>IF($I8202="","",IF(ISNUMBER($I8202),TEXT($I8202,"0"),$I8202))</f>
        <v/>
      </c>
    </row>
    <row r="8203">
      <c r="B8203" s="25" t="n"/>
      <c r="I8203" s="25" t="n"/>
      <c r="U8203" s="19">
        <f>IF($V8203&lt;&gt;'設定'!$C$4,N(U8202),IF(OR(NOT(COUNTIF('商品マスタ'!$B$6:$B$1005,$W8203)=0),COUNTIFS('①在庫を貼る'!$V$6:$V$10005,$V8203,'①在庫を貼る'!$W$6:$W$10005,$W8203)+COUNTIFS('月1回_1ヶ月前の在庫'!$V$6:$V$10005,$V8203,'月1回_1ヶ月前の在庫'!$W$6:$W$10005,$W8203)&gt;0),N(U8202),N(U8202)+1))</f>
        <v/>
      </c>
      <c r="V8203" s="19">
        <f>IF($B8203="","",TEXT($B8203,"0000"))</f>
        <v/>
      </c>
      <c r="W8203" s="19">
        <f>IF($I8203="","",IF(ISNUMBER($I8203),TEXT($I8203,"0"),$I8203))</f>
        <v/>
      </c>
    </row>
    <row r="8204">
      <c r="B8204" s="25" t="n"/>
      <c r="I8204" s="25" t="n"/>
      <c r="U8204" s="19">
        <f>IF($V8204&lt;&gt;'設定'!$C$4,N(U8203),IF(OR(NOT(COUNTIF('商品マスタ'!$B$6:$B$1005,$W8204)=0),COUNTIFS('①在庫を貼る'!$V$6:$V$10005,$V8204,'①在庫を貼る'!$W$6:$W$10005,$W8204)+COUNTIFS('月1回_1ヶ月前の在庫'!$V$6:$V$10005,$V8204,'月1回_1ヶ月前の在庫'!$W$6:$W$10005,$W8204)&gt;0),N(U8203),N(U8203)+1))</f>
        <v/>
      </c>
      <c r="V8204" s="19">
        <f>IF($B8204="","",TEXT($B8204,"0000"))</f>
        <v/>
      </c>
      <c r="W8204" s="19">
        <f>IF($I8204="","",IF(ISNUMBER($I8204),TEXT($I8204,"0"),$I8204))</f>
        <v/>
      </c>
    </row>
    <row r="8205">
      <c r="B8205" s="25" t="n"/>
      <c r="I8205" s="25" t="n"/>
      <c r="U8205" s="19">
        <f>IF($V8205&lt;&gt;'設定'!$C$4,N(U8204),IF(OR(NOT(COUNTIF('商品マスタ'!$B$6:$B$1005,$W8205)=0),COUNTIFS('①在庫を貼る'!$V$6:$V$10005,$V8205,'①在庫を貼る'!$W$6:$W$10005,$W8205)+COUNTIFS('月1回_1ヶ月前の在庫'!$V$6:$V$10005,$V8205,'月1回_1ヶ月前の在庫'!$W$6:$W$10005,$W8205)&gt;0),N(U8204),N(U8204)+1))</f>
        <v/>
      </c>
      <c r="V8205" s="19">
        <f>IF($B8205="","",TEXT($B8205,"0000"))</f>
        <v/>
      </c>
      <c r="W8205" s="19">
        <f>IF($I8205="","",IF(ISNUMBER($I8205),TEXT($I8205,"0"),$I8205))</f>
        <v/>
      </c>
    </row>
    <row r="8206">
      <c r="B8206" s="25" t="n"/>
      <c r="I8206" s="25" t="n"/>
      <c r="U8206" s="19">
        <f>IF($V8206&lt;&gt;'設定'!$C$4,N(U8205),IF(OR(NOT(COUNTIF('商品マスタ'!$B$6:$B$1005,$W8206)=0),COUNTIFS('①在庫を貼る'!$V$6:$V$10005,$V8206,'①在庫を貼る'!$W$6:$W$10005,$W8206)+COUNTIFS('月1回_1ヶ月前の在庫'!$V$6:$V$10005,$V8206,'月1回_1ヶ月前の在庫'!$W$6:$W$10005,$W8206)&gt;0),N(U8205),N(U8205)+1))</f>
        <v/>
      </c>
      <c r="V8206" s="19">
        <f>IF($B8206="","",TEXT($B8206,"0000"))</f>
        <v/>
      </c>
      <c r="W8206" s="19">
        <f>IF($I8206="","",IF(ISNUMBER($I8206),TEXT($I8206,"0"),$I8206))</f>
        <v/>
      </c>
    </row>
    <row r="8207">
      <c r="B8207" s="25" t="n"/>
      <c r="I8207" s="25" t="n"/>
      <c r="U8207" s="19">
        <f>IF($V8207&lt;&gt;'設定'!$C$4,N(U8206),IF(OR(NOT(COUNTIF('商品マスタ'!$B$6:$B$1005,$W8207)=0),COUNTIFS('①在庫を貼る'!$V$6:$V$10005,$V8207,'①在庫を貼る'!$W$6:$W$10005,$W8207)+COUNTIFS('月1回_1ヶ月前の在庫'!$V$6:$V$10005,$V8207,'月1回_1ヶ月前の在庫'!$W$6:$W$10005,$W8207)&gt;0),N(U8206),N(U8206)+1))</f>
        <v/>
      </c>
      <c r="V8207" s="19">
        <f>IF($B8207="","",TEXT($B8207,"0000"))</f>
        <v/>
      </c>
      <c r="W8207" s="19">
        <f>IF($I8207="","",IF(ISNUMBER($I8207),TEXT($I8207,"0"),$I8207))</f>
        <v/>
      </c>
    </row>
    <row r="8208">
      <c r="B8208" s="25" t="n"/>
      <c r="I8208" s="25" t="n"/>
      <c r="U8208" s="19">
        <f>IF($V8208&lt;&gt;'設定'!$C$4,N(U8207),IF(OR(NOT(COUNTIF('商品マスタ'!$B$6:$B$1005,$W8208)=0),COUNTIFS('①在庫を貼る'!$V$6:$V$10005,$V8208,'①在庫を貼る'!$W$6:$W$10005,$W8208)+COUNTIFS('月1回_1ヶ月前の在庫'!$V$6:$V$10005,$V8208,'月1回_1ヶ月前の在庫'!$W$6:$W$10005,$W8208)&gt;0),N(U8207),N(U8207)+1))</f>
        <v/>
      </c>
      <c r="V8208" s="19">
        <f>IF($B8208="","",TEXT($B8208,"0000"))</f>
        <v/>
      </c>
      <c r="W8208" s="19">
        <f>IF($I8208="","",IF(ISNUMBER($I8208),TEXT($I8208,"0"),$I8208))</f>
        <v/>
      </c>
    </row>
    <row r="8209">
      <c r="B8209" s="25" t="n"/>
      <c r="I8209" s="25" t="n"/>
      <c r="U8209" s="19">
        <f>IF($V8209&lt;&gt;'設定'!$C$4,N(U8208),IF(OR(NOT(COUNTIF('商品マスタ'!$B$6:$B$1005,$W8209)=0),COUNTIFS('①在庫を貼る'!$V$6:$V$10005,$V8209,'①在庫を貼る'!$W$6:$W$10005,$W8209)+COUNTIFS('月1回_1ヶ月前の在庫'!$V$6:$V$10005,$V8209,'月1回_1ヶ月前の在庫'!$W$6:$W$10005,$W8209)&gt;0),N(U8208),N(U8208)+1))</f>
        <v/>
      </c>
      <c r="V8209" s="19">
        <f>IF($B8209="","",TEXT($B8209,"0000"))</f>
        <v/>
      </c>
      <c r="W8209" s="19">
        <f>IF($I8209="","",IF(ISNUMBER($I8209),TEXT($I8209,"0"),$I8209))</f>
        <v/>
      </c>
    </row>
    <row r="8210">
      <c r="B8210" s="25" t="n"/>
      <c r="I8210" s="25" t="n"/>
      <c r="U8210" s="19">
        <f>IF($V8210&lt;&gt;'設定'!$C$4,N(U8209),IF(OR(NOT(COUNTIF('商品マスタ'!$B$6:$B$1005,$W8210)=0),COUNTIFS('①在庫を貼る'!$V$6:$V$10005,$V8210,'①在庫を貼る'!$W$6:$W$10005,$W8210)+COUNTIFS('月1回_1ヶ月前の在庫'!$V$6:$V$10005,$V8210,'月1回_1ヶ月前の在庫'!$W$6:$W$10005,$W8210)&gt;0),N(U8209),N(U8209)+1))</f>
        <v/>
      </c>
      <c r="V8210" s="19">
        <f>IF($B8210="","",TEXT($B8210,"0000"))</f>
        <v/>
      </c>
      <c r="W8210" s="19">
        <f>IF($I8210="","",IF(ISNUMBER($I8210),TEXT($I8210,"0"),$I8210))</f>
        <v/>
      </c>
    </row>
    <row r="8211">
      <c r="B8211" s="25" t="n"/>
      <c r="I8211" s="25" t="n"/>
      <c r="U8211" s="19">
        <f>IF($V8211&lt;&gt;'設定'!$C$4,N(U8210),IF(OR(NOT(COUNTIF('商品マスタ'!$B$6:$B$1005,$W8211)=0),COUNTIFS('①在庫を貼る'!$V$6:$V$10005,$V8211,'①在庫を貼る'!$W$6:$W$10005,$W8211)+COUNTIFS('月1回_1ヶ月前の在庫'!$V$6:$V$10005,$V8211,'月1回_1ヶ月前の在庫'!$W$6:$W$10005,$W8211)&gt;0),N(U8210),N(U8210)+1))</f>
        <v/>
      </c>
      <c r="V8211" s="19">
        <f>IF($B8211="","",TEXT($B8211,"0000"))</f>
        <v/>
      </c>
      <c r="W8211" s="19">
        <f>IF($I8211="","",IF(ISNUMBER($I8211),TEXT($I8211,"0"),$I8211))</f>
        <v/>
      </c>
    </row>
    <row r="8212">
      <c r="B8212" s="25" t="n"/>
      <c r="I8212" s="25" t="n"/>
      <c r="U8212" s="19">
        <f>IF($V8212&lt;&gt;'設定'!$C$4,N(U8211),IF(OR(NOT(COUNTIF('商品マスタ'!$B$6:$B$1005,$W8212)=0),COUNTIFS('①在庫を貼る'!$V$6:$V$10005,$V8212,'①在庫を貼る'!$W$6:$W$10005,$W8212)+COUNTIFS('月1回_1ヶ月前の在庫'!$V$6:$V$10005,$V8212,'月1回_1ヶ月前の在庫'!$W$6:$W$10005,$W8212)&gt;0),N(U8211),N(U8211)+1))</f>
        <v/>
      </c>
      <c r="V8212" s="19">
        <f>IF($B8212="","",TEXT($B8212,"0000"))</f>
        <v/>
      </c>
      <c r="W8212" s="19">
        <f>IF($I8212="","",IF(ISNUMBER($I8212),TEXT($I8212,"0"),$I8212))</f>
        <v/>
      </c>
    </row>
    <row r="8213">
      <c r="B8213" s="25" t="n"/>
      <c r="I8213" s="25" t="n"/>
      <c r="U8213" s="19">
        <f>IF($V8213&lt;&gt;'設定'!$C$4,N(U8212),IF(OR(NOT(COUNTIF('商品マスタ'!$B$6:$B$1005,$W8213)=0),COUNTIFS('①在庫を貼る'!$V$6:$V$10005,$V8213,'①在庫を貼る'!$W$6:$W$10005,$W8213)+COUNTIFS('月1回_1ヶ月前の在庫'!$V$6:$V$10005,$V8213,'月1回_1ヶ月前の在庫'!$W$6:$W$10005,$W8213)&gt;0),N(U8212),N(U8212)+1))</f>
        <v/>
      </c>
      <c r="V8213" s="19">
        <f>IF($B8213="","",TEXT($B8213,"0000"))</f>
        <v/>
      </c>
      <c r="W8213" s="19">
        <f>IF($I8213="","",IF(ISNUMBER($I8213),TEXT($I8213,"0"),$I8213))</f>
        <v/>
      </c>
    </row>
    <row r="8214">
      <c r="B8214" s="25" t="n"/>
      <c r="I8214" s="25" t="n"/>
      <c r="U8214" s="19">
        <f>IF($V8214&lt;&gt;'設定'!$C$4,N(U8213),IF(OR(NOT(COUNTIF('商品マスタ'!$B$6:$B$1005,$W8214)=0),COUNTIFS('①在庫を貼る'!$V$6:$V$10005,$V8214,'①在庫を貼る'!$W$6:$W$10005,$W8214)+COUNTIFS('月1回_1ヶ月前の在庫'!$V$6:$V$10005,$V8214,'月1回_1ヶ月前の在庫'!$W$6:$W$10005,$W8214)&gt;0),N(U8213),N(U8213)+1))</f>
        <v/>
      </c>
      <c r="V8214" s="19">
        <f>IF($B8214="","",TEXT($B8214,"0000"))</f>
        <v/>
      </c>
      <c r="W8214" s="19">
        <f>IF($I8214="","",IF(ISNUMBER($I8214),TEXT($I8214,"0"),$I8214))</f>
        <v/>
      </c>
    </row>
    <row r="8215">
      <c r="B8215" s="25" t="n"/>
      <c r="I8215" s="25" t="n"/>
      <c r="U8215" s="19">
        <f>IF($V8215&lt;&gt;'設定'!$C$4,N(U8214),IF(OR(NOT(COUNTIF('商品マスタ'!$B$6:$B$1005,$W8215)=0),COUNTIFS('①在庫を貼る'!$V$6:$V$10005,$V8215,'①在庫を貼る'!$W$6:$W$10005,$W8215)+COUNTIFS('月1回_1ヶ月前の在庫'!$V$6:$V$10005,$V8215,'月1回_1ヶ月前の在庫'!$W$6:$W$10005,$W8215)&gt;0),N(U8214),N(U8214)+1))</f>
        <v/>
      </c>
      <c r="V8215" s="19">
        <f>IF($B8215="","",TEXT($B8215,"0000"))</f>
        <v/>
      </c>
      <c r="W8215" s="19">
        <f>IF($I8215="","",IF(ISNUMBER($I8215),TEXT($I8215,"0"),$I8215))</f>
        <v/>
      </c>
    </row>
    <row r="8216">
      <c r="B8216" s="25" t="n"/>
      <c r="I8216" s="25" t="n"/>
      <c r="U8216" s="19">
        <f>IF($V8216&lt;&gt;'設定'!$C$4,N(U8215),IF(OR(NOT(COUNTIF('商品マスタ'!$B$6:$B$1005,$W8216)=0),COUNTIFS('①在庫を貼る'!$V$6:$V$10005,$V8216,'①在庫を貼る'!$W$6:$W$10005,$W8216)+COUNTIFS('月1回_1ヶ月前の在庫'!$V$6:$V$10005,$V8216,'月1回_1ヶ月前の在庫'!$W$6:$W$10005,$W8216)&gt;0),N(U8215),N(U8215)+1))</f>
        <v/>
      </c>
      <c r="V8216" s="19">
        <f>IF($B8216="","",TEXT($B8216,"0000"))</f>
        <v/>
      </c>
      <c r="W8216" s="19">
        <f>IF($I8216="","",IF(ISNUMBER($I8216),TEXT($I8216,"0"),$I8216))</f>
        <v/>
      </c>
    </row>
    <row r="8217">
      <c r="B8217" s="25" t="n"/>
      <c r="I8217" s="25" t="n"/>
      <c r="U8217" s="19">
        <f>IF($V8217&lt;&gt;'設定'!$C$4,N(U8216),IF(OR(NOT(COUNTIF('商品マスタ'!$B$6:$B$1005,$W8217)=0),COUNTIFS('①在庫を貼る'!$V$6:$V$10005,$V8217,'①在庫を貼る'!$W$6:$W$10005,$W8217)+COUNTIFS('月1回_1ヶ月前の在庫'!$V$6:$V$10005,$V8217,'月1回_1ヶ月前の在庫'!$W$6:$W$10005,$W8217)&gt;0),N(U8216),N(U8216)+1))</f>
        <v/>
      </c>
      <c r="V8217" s="19">
        <f>IF($B8217="","",TEXT($B8217,"0000"))</f>
        <v/>
      </c>
      <c r="W8217" s="19">
        <f>IF($I8217="","",IF(ISNUMBER($I8217),TEXT($I8217,"0"),$I8217))</f>
        <v/>
      </c>
    </row>
    <row r="8218">
      <c r="B8218" s="25" t="n"/>
      <c r="I8218" s="25" t="n"/>
      <c r="U8218" s="19">
        <f>IF($V8218&lt;&gt;'設定'!$C$4,N(U8217),IF(OR(NOT(COUNTIF('商品マスタ'!$B$6:$B$1005,$W8218)=0),COUNTIFS('①在庫を貼る'!$V$6:$V$10005,$V8218,'①在庫を貼る'!$W$6:$W$10005,$W8218)+COUNTIFS('月1回_1ヶ月前の在庫'!$V$6:$V$10005,$V8218,'月1回_1ヶ月前の在庫'!$W$6:$W$10005,$W8218)&gt;0),N(U8217),N(U8217)+1))</f>
        <v/>
      </c>
      <c r="V8218" s="19">
        <f>IF($B8218="","",TEXT($B8218,"0000"))</f>
        <v/>
      </c>
      <c r="W8218" s="19">
        <f>IF($I8218="","",IF(ISNUMBER($I8218),TEXT($I8218,"0"),$I8218))</f>
        <v/>
      </c>
    </row>
    <row r="8219">
      <c r="B8219" s="25" t="n"/>
      <c r="I8219" s="25" t="n"/>
      <c r="U8219" s="19">
        <f>IF($V8219&lt;&gt;'設定'!$C$4,N(U8218),IF(OR(NOT(COUNTIF('商品マスタ'!$B$6:$B$1005,$W8219)=0),COUNTIFS('①在庫を貼る'!$V$6:$V$10005,$V8219,'①在庫を貼る'!$W$6:$W$10005,$W8219)+COUNTIFS('月1回_1ヶ月前の在庫'!$V$6:$V$10005,$V8219,'月1回_1ヶ月前の在庫'!$W$6:$W$10005,$W8219)&gt;0),N(U8218),N(U8218)+1))</f>
        <v/>
      </c>
      <c r="V8219" s="19">
        <f>IF($B8219="","",TEXT($B8219,"0000"))</f>
        <v/>
      </c>
      <c r="W8219" s="19">
        <f>IF($I8219="","",IF(ISNUMBER($I8219),TEXT($I8219,"0"),$I8219))</f>
        <v/>
      </c>
    </row>
    <row r="8220">
      <c r="B8220" s="25" t="n"/>
      <c r="I8220" s="25" t="n"/>
      <c r="U8220" s="19">
        <f>IF($V8220&lt;&gt;'設定'!$C$4,N(U8219),IF(OR(NOT(COUNTIF('商品マスタ'!$B$6:$B$1005,$W8220)=0),COUNTIFS('①在庫を貼る'!$V$6:$V$10005,$V8220,'①在庫を貼る'!$W$6:$W$10005,$W8220)+COUNTIFS('月1回_1ヶ月前の在庫'!$V$6:$V$10005,$V8220,'月1回_1ヶ月前の在庫'!$W$6:$W$10005,$W8220)&gt;0),N(U8219),N(U8219)+1))</f>
        <v/>
      </c>
      <c r="V8220" s="19">
        <f>IF($B8220="","",TEXT($B8220,"0000"))</f>
        <v/>
      </c>
      <c r="W8220" s="19">
        <f>IF($I8220="","",IF(ISNUMBER($I8220),TEXT($I8220,"0"),$I8220))</f>
        <v/>
      </c>
    </row>
    <row r="8221">
      <c r="B8221" s="25" t="n"/>
      <c r="I8221" s="25" t="n"/>
      <c r="U8221" s="19">
        <f>IF($V8221&lt;&gt;'設定'!$C$4,N(U8220),IF(OR(NOT(COUNTIF('商品マスタ'!$B$6:$B$1005,$W8221)=0),COUNTIFS('①在庫を貼る'!$V$6:$V$10005,$V8221,'①在庫を貼る'!$W$6:$W$10005,$W8221)+COUNTIFS('月1回_1ヶ月前の在庫'!$V$6:$V$10005,$V8221,'月1回_1ヶ月前の在庫'!$W$6:$W$10005,$W8221)&gt;0),N(U8220),N(U8220)+1))</f>
        <v/>
      </c>
      <c r="V8221" s="19">
        <f>IF($B8221="","",TEXT($B8221,"0000"))</f>
        <v/>
      </c>
      <c r="W8221" s="19">
        <f>IF($I8221="","",IF(ISNUMBER($I8221),TEXT($I8221,"0"),$I8221))</f>
        <v/>
      </c>
    </row>
    <row r="8222">
      <c r="B8222" s="25" t="n"/>
      <c r="I8222" s="25" t="n"/>
      <c r="U8222" s="19">
        <f>IF($V8222&lt;&gt;'設定'!$C$4,N(U8221),IF(OR(NOT(COUNTIF('商品マスタ'!$B$6:$B$1005,$W8222)=0),COUNTIFS('①在庫を貼る'!$V$6:$V$10005,$V8222,'①在庫を貼る'!$W$6:$W$10005,$W8222)+COUNTIFS('月1回_1ヶ月前の在庫'!$V$6:$V$10005,$V8222,'月1回_1ヶ月前の在庫'!$W$6:$W$10005,$W8222)&gt;0),N(U8221),N(U8221)+1))</f>
        <v/>
      </c>
      <c r="V8222" s="19">
        <f>IF($B8222="","",TEXT($B8222,"0000"))</f>
        <v/>
      </c>
      <c r="W8222" s="19">
        <f>IF($I8222="","",IF(ISNUMBER($I8222),TEXT($I8222,"0"),$I8222))</f>
        <v/>
      </c>
    </row>
    <row r="8223">
      <c r="B8223" s="25" t="n"/>
      <c r="I8223" s="25" t="n"/>
      <c r="U8223" s="19">
        <f>IF($V8223&lt;&gt;'設定'!$C$4,N(U8222),IF(OR(NOT(COUNTIF('商品マスタ'!$B$6:$B$1005,$W8223)=0),COUNTIFS('①在庫を貼る'!$V$6:$V$10005,$V8223,'①在庫を貼る'!$W$6:$W$10005,$W8223)+COUNTIFS('月1回_1ヶ月前の在庫'!$V$6:$V$10005,$V8223,'月1回_1ヶ月前の在庫'!$W$6:$W$10005,$W8223)&gt;0),N(U8222),N(U8222)+1))</f>
        <v/>
      </c>
      <c r="V8223" s="19">
        <f>IF($B8223="","",TEXT($B8223,"0000"))</f>
        <v/>
      </c>
      <c r="W8223" s="19">
        <f>IF($I8223="","",IF(ISNUMBER($I8223),TEXT($I8223,"0"),$I8223))</f>
        <v/>
      </c>
    </row>
    <row r="8224">
      <c r="B8224" s="25" t="n"/>
      <c r="I8224" s="25" t="n"/>
      <c r="U8224" s="19">
        <f>IF($V8224&lt;&gt;'設定'!$C$4,N(U8223),IF(OR(NOT(COUNTIF('商品マスタ'!$B$6:$B$1005,$W8224)=0),COUNTIFS('①在庫を貼る'!$V$6:$V$10005,$V8224,'①在庫を貼る'!$W$6:$W$10005,$W8224)+COUNTIFS('月1回_1ヶ月前の在庫'!$V$6:$V$10005,$V8224,'月1回_1ヶ月前の在庫'!$W$6:$W$10005,$W8224)&gt;0),N(U8223),N(U8223)+1))</f>
        <v/>
      </c>
      <c r="V8224" s="19">
        <f>IF($B8224="","",TEXT($B8224,"0000"))</f>
        <v/>
      </c>
      <c r="W8224" s="19">
        <f>IF($I8224="","",IF(ISNUMBER($I8224),TEXT($I8224,"0"),$I8224))</f>
        <v/>
      </c>
    </row>
    <row r="8225">
      <c r="B8225" s="25" t="n"/>
      <c r="I8225" s="25" t="n"/>
      <c r="U8225" s="19">
        <f>IF($V8225&lt;&gt;'設定'!$C$4,N(U8224),IF(OR(NOT(COUNTIF('商品マスタ'!$B$6:$B$1005,$W8225)=0),COUNTIFS('①在庫を貼る'!$V$6:$V$10005,$V8225,'①在庫を貼る'!$W$6:$W$10005,$W8225)+COUNTIFS('月1回_1ヶ月前の在庫'!$V$6:$V$10005,$V8225,'月1回_1ヶ月前の在庫'!$W$6:$W$10005,$W8225)&gt;0),N(U8224),N(U8224)+1))</f>
        <v/>
      </c>
      <c r="V8225" s="19">
        <f>IF($B8225="","",TEXT($B8225,"0000"))</f>
        <v/>
      </c>
      <c r="W8225" s="19">
        <f>IF($I8225="","",IF(ISNUMBER($I8225),TEXT($I8225,"0"),$I8225))</f>
        <v/>
      </c>
    </row>
    <row r="8226">
      <c r="B8226" s="25" t="n"/>
      <c r="I8226" s="25" t="n"/>
      <c r="U8226" s="19">
        <f>IF($V8226&lt;&gt;'設定'!$C$4,N(U8225),IF(OR(NOT(COUNTIF('商品マスタ'!$B$6:$B$1005,$W8226)=0),COUNTIFS('①在庫を貼る'!$V$6:$V$10005,$V8226,'①在庫を貼る'!$W$6:$W$10005,$W8226)+COUNTIFS('月1回_1ヶ月前の在庫'!$V$6:$V$10005,$V8226,'月1回_1ヶ月前の在庫'!$W$6:$W$10005,$W8226)&gt;0),N(U8225),N(U8225)+1))</f>
        <v/>
      </c>
      <c r="V8226" s="19">
        <f>IF($B8226="","",TEXT($B8226,"0000"))</f>
        <v/>
      </c>
      <c r="W8226" s="19">
        <f>IF($I8226="","",IF(ISNUMBER($I8226),TEXT($I8226,"0"),$I8226))</f>
        <v/>
      </c>
    </row>
    <row r="8227">
      <c r="B8227" s="25" t="n"/>
      <c r="I8227" s="25" t="n"/>
      <c r="U8227" s="19">
        <f>IF($V8227&lt;&gt;'設定'!$C$4,N(U8226),IF(OR(NOT(COUNTIF('商品マスタ'!$B$6:$B$1005,$W8227)=0),COUNTIFS('①在庫を貼る'!$V$6:$V$10005,$V8227,'①在庫を貼る'!$W$6:$W$10005,$W8227)+COUNTIFS('月1回_1ヶ月前の在庫'!$V$6:$V$10005,$V8227,'月1回_1ヶ月前の在庫'!$W$6:$W$10005,$W8227)&gt;0),N(U8226),N(U8226)+1))</f>
        <v/>
      </c>
      <c r="V8227" s="19">
        <f>IF($B8227="","",TEXT($B8227,"0000"))</f>
        <v/>
      </c>
      <c r="W8227" s="19">
        <f>IF($I8227="","",IF(ISNUMBER($I8227),TEXT($I8227,"0"),$I8227))</f>
        <v/>
      </c>
    </row>
    <row r="8228">
      <c r="B8228" s="25" t="n"/>
      <c r="I8228" s="25" t="n"/>
      <c r="U8228" s="19">
        <f>IF($V8228&lt;&gt;'設定'!$C$4,N(U8227),IF(OR(NOT(COUNTIF('商品マスタ'!$B$6:$B$1005,$W8228)=0),COUNTIFS('①在庫を貼る'!$V$6:$V$10005,$V8228,'①在庫を貼る'!$W$6:$W$10005,$W8228)+COUNTIFS('月1回_1ヶ月前の在庫'!$V$6:$V$10005,$V8228,'月1回_1ヶ月前の在庫'!$W$6:$W$10005,$W8228)&gt;0),N(U8227),N(U8227)+1))</f>
        <v/>
      </c>
      <c r="V8228" s="19">
        <f>IF($B8228="","",TEXT($B8228,"0000"))</f>
        <v/>
      </c>
      <c r="W8228" s="19">
        <f>IF($I8228="","",IF(ISNUMBER($I8228),TEXT($I8228,"0"),$I8228))</f>
        <v/>
      </c>
    </row>
    <row r="8229">
      <c r="B8229" s="25" t="n"/>
      <c r="I8229" s="25" t="n"/>
      <c r="U8229" s="19">
        <f>IF($V8229&lt;&gt;'設定'!$C$4,N(U8228),IF(OR(NOT(COUNTIF('商品マスタ'!$B$6:$B$1005,$W8229)=0),COUNTIFS('①在庫を貼る'!$V$6:$V$10005,$V8229,'①在庫を貼る'!$W$6:$W$10005,$W8229)+COUNTIFS('月1回_1ヶ月前の在庫'!$V$6:$V$10005,$V8229,'月1回_1ヶ月前の在庫'!$W$6:$W$10005,$W8229)&gt;0),N(U8228),N(U8228)+1))</f>
        <v/>
      </c>
      <c r="V8229" s="19">
        <f>IF($B8229="","",TEXT($B8229,"0000"))</f>
        <v/>
      </c>
      <c r="W8229" s="19">
        <f>IF($I8229="","",IF(ISNUMBER($I8229),TEXT($I8229,"0"),$I8229))</f>
        <v/>
      </c>
    </row>
    <row r="8230">
      <c r="B8230" s="25" t="n"/>
      <c r="I8230" s="25" t="n"/>
      <c r="U8230" s="19">
        <f>IF($V8230&lt;&gt;'設定'!$C$4,N(U8229),IF(OR(NOT(COUNTIF('商品マスタ'!$B$6:$B$1005,$W8230)=0),COUNTIFS('①在庫を貼る'!$V$6:$V$10005,$V8230,'①在庫を貼る'!$W$6:$W$10005,$W8230)+COUNTIFS('月1回_1ヶ月前の在庫'!$V$6:$V$10005,$V8230,'月1回_1ヶ月前の在庫'!$W$6:$W$10005,$W8230)&gt;0),N(U8229),N(U8229)+1))</f>
        <v/>
      </c>
      <c r="V8230" s="19">
        <f>IF($B8230="","",TEXT($B8230,"0000"))</f>
        <v/>
      </c>
      <c r="W8230" s="19">
        <f>IF($I8230="","",IF(ISNUMBER($I8230),TEXT($I8230,"0"),$I8230))</f>
        <v/>
      </c>
    </row>
    <row r="8231">
      <c r="B8231" s="25" t="n"/>
      <c r="I8231" s="25" t="n"/>
      <c r="U8231" s="19">
        <f>IF($V8231&lt;&gt;'設定'!$C$4,N(U8230),IF(OR(NOT(COUNTIF('商品マスタ'!$B$6:$B$1005,$W8231)=0),COUNTIFS('①在庫を貼る'!$V$6:$V$10005,$V8231,'①在庫を貼る'!$W$6:$W$10005,$W8231)+COUNTIFS('月1回_1ヶ月前の在庫'!$V$6:$V$10005,$V8231,'月1回_1ヶ月前の在庫'!$W$6:$W$10005,$W8231)&gt;0),N(U8230),N(U8230)+1))</f>
        <v/>
      </c>
      <c r="V8231" s="19">
        <f>IF($B8231="","",TEXT($B8231,"0000"))</f>
        <v/>
      </c>
      <c r="W8231" s="19">
        <f>IF($I8231="","",IF(ISNUMBER($I8231),TEXT($I8231,"0"),$I8231))</f>
        <v/>
      </c>
    </row>
    <row r="8232">
      <c r="B8232" s="25" t="n"/>
      <c r="I8232" s="25" t="n"/>
      <c r="U8232" s="19">
        <f>IF($V8232&lt;&gt;'設定'!$C$4,N(U8231),IF(OR(NOT(COUNTIF('商品マスタ'!$B$6:$B$1005,$W8232)=0),COUNTIFS('①在庫を貼る'!$V$6:$V$10005,$V8232,'①在庫を貼る'!$W$6:$W$10005,$W8232)+COUNTIFS('月1回_1ヶ月前の在庫'!$V$6:$V$10005,$V8232,'月1回_1ヶ月前の在庫'!$W$6:$W$10005,$W8232)&gt;0),N(U8231),N(U8231)+1))</f>
        <v/>
      </c>
      <c r="V8232" s="19">
        <f>IF($B8232="","",TEXT($B8232,"0000"))</f>
        <v/>
      </c>
      <c r="W8232" s="19">
        <f>IF($I8232="","",IF(ISNUMBER($I8232),TEXT($I8232,"0"),$I8232))</f>
        <v/>
      </c>
    </row>
    <row r="8233">
      <c r="B8233" s="25" t="n"/>
      <c r="I8233" s="25" t="n"/>
      <c r="U8233" s="19">
        <f>IF($V8233&lt;&gt;'設定'!$C$4,N(U8232),IF(OR(NOT(COUNTIF('商品マスタ'!$B$6:$B$1005,$W8233)=0),COUNTIFS('①在庫を貼る'!$V$6:$V$10005,$V8233,'①在庫を貼る'!$W$6:$W$10005,$W8233)+COUNTIFS('月1回_1ヶ月前の在庫'!$V$6:$V$10005,$V8233,'月1回_1ヶ月前の在庫'!$W$6:$W$10005,$W8233)&gt;0),N(U8232),N(U8232)+1))</f>
        <v/>
      </c>
      <c r="V8233" s="19">
        <f>IF($B8233="","",TEXT($B8233,"0000"))</f>
        <v/>
      </c>
      <c r="W8233" s="19">
        <f>IF($I8233="","",IF(ISNUMBER($I8233),TEXT($I8233,"0"),$I8233))</f>
        <v/>
      </c>
    </row>
    <row r="8234">
      <c r="B8234" s="25" t="n"/>
      <c r="I8234" s="25" t="n"/>
      <c r="U8234" s="19">
        <f>IF($V8234&lt;&gt;'設定'!$C$4,N(U8233),IF(OR(NOT(COUNTIF('商品マスタ'!$B$6:$B$1005,$W8234)=0),COUNTIFS('①在庫を貼る'!$V$6:$V$10005,$V8234,'①在庫を貼る'!$W$6:$W$10005,$W8234)+COUNTIFS('月1回_1ヶ月前の在庫'!$V$6:$V$10005,$V8234,'月1回_1ヶ月前の在庫'!$W$6:$W$10005,$W8234)&gt;0),N(U8233),N(U8233)+1))</f>
        <v/>
      </c>
      <c r="V8234" s="19">
        <f>IF($B8234="","",TEXT($B8234,"0000"))</f>
        <v/>
      </c>
      <c r="W8234" s="19">
        <f>IF($I8234="","",IF(ISNUMBER($I8234),TEXT($I8234,"0"),$I8234))</f>
        <v/>
      </c>
    </row>
    <row r="8235">
      <c r="B8235" s="25" t="n"/>
      <c r="I8235" s="25" t="n"/>
      <c r="U8235" s="19">
        <f>IF($V8235&lt;&gt;'設定'!$C$4,N(U8234),IF(OR(NOT(COUNTIF('商品マスタ'!$B$6:$B$1005,$W8235)=0),COUNTIFS('①在庫を貼る'!$V$6:$V$10005,$V8235,'①在庫を貼る'!$W$6:$W$10005,$W8235)+COUNTIFS('月1回_1ヶ月前の在庫'!$V$6:$V$10005,$V8235,'月1回_1ヶ月前の在庫'!$W$6:$W$10005,$W8235)&gt;0),N(U8234),N(U8234)+1))</f>
        <v/>
      </c>
      <c r="V8235" s="19">
        <f>IF($B8235="","",TEXT($B8235,"0000"))</f>
        <v/>
      </c>
      <c r="W8235" s="19">
        <f>IF($I8235="","",IF(ISNUMBER($I8235),TEXT($I8235,"0"),$I8235))</f>
        <v/>
      </c>
    </row>
    <row r="8236">
      <c r="B8236" s="25" t="n"/>
      <c r="I8236" s="25" t="n"/>
      <c r="U8236" s="19">
        <f>IF($V8236&lt;&gt;'設定'!$C$4,N(U8235),IF(OR(NOT(COUNTIF('商品マスタ'!$B$6:$B$1005,$W8236)=0),COUNTIFS('①在庫を貼る'!$V$6:$V$10005,$V8236,'①在庫を貼る'!$W$6:$W$10005,$W8236)+COUNTIFS('月1回_1ヶ月前の在庫'!$V$6:$V$10005,$V8236,'月1回_1ヶ月前の在庫'!$W$6:$W$10005,$W8236)&gt;0),N(U8235),N(U8235)+1))</f>
        <v/>
      </c>
      <c r="V8236" s="19">
        <f>IF($B8236="","",TEXT($B8236,"0000"))</f>
        <v/>
      </c>
      <c r="W8236" s="19">
        <f>IF($I8236="","",IF(ISNUMBER($I8236),TEXT($I8236,"0"),$I8236))</f>
        <v/>
      </c>
    </row>
    <row r="8237">
      <c r="B8237" s="25" t="n"/>
      <c r="I8237" s="25" t="n"/>
      <c r="U8237" s="19">
        <f>IF($V8237&lt;&gt;'設定'!$C$4,N(U8236),IF(OR(NOT(COUNTIF('商品マスタ'!$B$6:$B$1005,$W8237)=0),COUNTIFS('①在庫を貼る'!$V$6:$V$10005,$V8237,'①在庫を貼る'!$W$6:$W$10005,$W8237)+COUNTIFS('月1回_1ヶ月前の在庫'!$V$6:$V$10005,$V8237,'月1回_1ヶ月前の在庫'!$W$6:$W$10005,$W8237)&gt;0),N(U8236),N(U8236)+1))</f>
        <v/>
      </c>
      <c r="V8237" s="19">
        <f>IF($B8237="","",TEXT($B8237,"0000"))</f>
        <v/>
      </c>
      <c r="W8237" s="19">
        <f>IF($I8237="","",IF(ISNUMBER($I8237),TEXT($I8237,"0"),$I8237))</f>
        <v/>
      </c>
    </row>
    <row r="8238">
      <c r="B8238" s="25" t="n"/>
      <c r="I8238" s="25" t="n"/>
      <c r="U8238" s="19">
        <f>IF($V8238&lt;&gt;'設定'!$C$4,N(U8237),IF(OR(NOT(COUNTIF('商品マスタ'!$B$6:$B$1005,$W8238)=0),COUNTIFS('①在庫を貼る'!$V$6:$V$10005,$V8238,'①在庫を貼る'!$W$6:$W$10005,$W8238)+COUNTIFS('月1回_1ヶ月前の在庫'!$V$6:$V$10005,$V8238,'月1回_1ヶ月前の在庫'!$W$6:$W$10005,$W8238)&gt;0),N(U8237),N(U8237)+1))</f>
        <v/>
      </c>
      <c r="V8238" s="19">
        <f>IF($B8238="","",TEXT($B8238,"0000"))</f>
        <v/>
      </c>
      <c r="W8238" s="19">
        <f>IF($I8238="","",IF(ISNUMBER($I8238),TEXT($I8238,"0"),$I8238))</f>
        <v/>
      </c>
    </row>
    <row r="8239">
      <c r="B8239" s="25" t="n"/>
      <c r="I8239" s="25" t="n"/>
      <c r="U8239" s="19">
        <f>IF($V8239&lt;&gt;'設定'!$C$4,N(U8238),IF(OR(NOT(COUNTIF('商品マスタ'!$B$6:$B$1005,$W8239)=0),COUNTIFS('①在庫を貼る'!$V$6:$V$10005,$V8239,'①在庫を貼る'!$W$6:$W$10005,$W8239)+COUNTIFS('月1回_1ヶ月前の在庫'!$V$6:$V$10005,$V8239,'月1回_1ヶ月前の在庫'!$W$6:$W$10005,$W8239)&gt;0),N(U8238),N(U8238)+1))</f>
        <v/>
      </c>
      <c r="V8239" s="19">
        <f>IF($B8239="","",TEXT($B8239,"0000"))</f>
        <v/>
      </c>
      <c r="W8239" s="19">
        <f>IF($I8239="","",IF(ISNUMBER($I8239),TEXT($I8239,"0"),$I8239))</f>
        <v/>
      </c>
    </row>
    <row r="8240">
      <c r="B8240" s="25" t="n"/>
      <c r="I8240" s="25" t="n"/>
      <c r="U8240" s="19">
        <f>IF($V8240&lt;&gt;'設定'!$C$4,N(U8239),IF(OR(NOT(COUNTIF('商品マスタ'!$B$6:$B$1005,$W8240)=0),COUNTIFS('①在庫を貼る'!$V$6:$V$10005,$V8240,'①在庫を貼る'!$W$6:$W$10005,$W8240)+COUNTIFS('月1回_1ヶ月前の在庫'!$V$6:$V$10005,$V8240,'月1回_1ヶ月前の在庫'!$W$6:$W$10005,$W8240)&gt;0),N(U8239),N(U8239)+1))</f>
        <v/>
      </c>
      <c r="V8240" s="19">
        <f>IF($B8240="","",TEXT($B8240,"0000"))</f>
        <v/>
      </c>
      <c r="W8240" s="19">
        <f>IF($I8240="","",IF(ISNUMBER($I8240),TEXT($I8240,"0"),$I8240))</f>
        <v/>
      </c>
    </row>
    <row r="8241">
      <c r="B8241" s="25" t="n"/>
      <c r="I8241" s="25" t="n"/>
      <c r="U8241" s="19">
        <f>IF($V8241&lt;&gt;'設定'!$C$4,N(U8240),IF(OR(NOT(COUNTIF('商品マスタ'!$B$6:$B$1005,$W8241)=0),COUNTIFS('①在庫を貼る'!$V$6:$V$10005,$V8241,'①在庫を貼る'!$W$6:$W$10005,$W8241)+COUNTIFS('月1回_1ヶ月前の在庫'!$V$6:$V$10005,$V8241,'月1回_1ヶ月前の在庫'!$W$6:$W$10005,$W8241)&gt;0),N(U8240),N(U8240)+1))</f>
        <v/>
      </c>
      <c r="V8241" s="19">
        <f>IF($B8241="","",TEXT($B8241,"0000"))</f>
        <v/>
      </c>
      <c r="W8241" s="19">
        <f>IF($I8241="","",IF(ISNUMBER($I8241),TEXT($I8241,"0"),$I8241))</f>
        <v/>
      </c>
    </row>
    <row r="8242">
      <c r="B8242" s="25" t="n"/>
      <c r="I8242" s="25" t="n"/>
      <c r="U8242" s="19">
        <f>IF($V8242&lt;&gt;'設定'!$C$4,N(U8241),IF(OR(NOT(COUNTIF('商品マスタ'!$B$6:$B$1005,$W8242)=0),COUNTIFS('①在庫を貼る'!$V$6:$V$10005,$V8242,'①在庫を貼る'!$W$6:$W$10005,$W8242)+COUNTIFS('月1回_1ヶ月前の在庫'!$V$6:$V$10005,$V8242,'月1回_1ヶ月前の在庫'!$W$6:$W$10005,$W8242)&gt;0),N(U8241),N(U8241)+1))</f>
        <v/>
      </c>
      <c r="V8242" s="19">
        <f>IF($B8242="","",TEXT($B8242,"0000"))</f>
        <v/>
      </c>
      <c r="W8242" s="19">
        <f>IF($I8242="","",IF(ISNUMBER($I8242),TEXT($I8242,"0"),$I8242))</f>
        <v/>
      </c>
    </row>
    <row r="8243">
      <c r="B8243" s="25" t="n"/>
      <c r="I8243" s="25" t="n"/>
      <c r="U8243" s="19">
        <f>IF($V8243&lt;&gt;'設定'!$C$4,N(U8242),IF(OR(NOT(COUNTIF('商品マスタ'!$B$6:$B$1005,$W8243)=0),COUNTIFS('①在庫を貼る'!$V$6:$V$10005,$V8243,'①在庫を貼る'!$W$6:$W$10005,$W8243)+COUNTIFS('月1回_1ヶ月前の在庫'!$V$6:$V$10005,$V8243,'月1回_1ヶ月前の在庫'!$W$6:$W$10005,$W8243)&gt;0),N(U8242),N(U8242)+1))</f>
        <v/>
      </c>
      <c r="V8243" s="19">
        <f>IF($B8243="","",TEXT($B8243,"0000"))</f>
        <v/>
      </c>
      <c r="W8243" s="19">
        <f>IF($I8243="","",IF(ISNUMBER($I8243),TEXT($I8243,"0"),$I8243))</f>
        <v/>
      </c>
    </row>
    <row r="8244">
      <c r="B8244" s="25" t="n"/>
      <c r="I8244" s="25" t="n"/>
      <c r="U8244" s="19">
        <f>IF($V8244&lt;&gt;'設定'!$C$4,N(U8243),IF(OR(NOT(COUNTIF('商品マスタ'!$B$6:$B$1005,$W8244)=0),COUNTIFS('①在庫を貼る'!$V$6:$V$10005,$V8244,'①在庫を貼る'!$W$6:$W$10005,$W8244)+COUNTIFS('月1回_1ヶ月前の在庫'!$V$6:$V$10005,$V8244,'月1回_1ヶ月前の在庫'!$W$6:$W$10005,$W8244)&gt;0),N(U8243),N(U8243)+1))</f>
        <v/>
      </c>
      <c r="V8244" s="19">
        <f>IF($B8244="","",TEXT($B8244,"0000"))</f>
        <v/>
      </c>
      <c r="W8244" s="19">
        <f>IF($I8244="","",IF(ISNUMBER($I8244),TEXT($I8244,"0"),$I8244))</f>
        <v/>
      </c>
    </row>
    <row r="8245">
      <c r="B8245" s="25" t="n"/>
      <c r="I8245" s="25" t="n"/>
      <c r="U8245" s="19">
        <f>IF($V8245&lt;&gt;'設定'!$C$4,N(U8244),IF(OR(NOT(COUNTIF('商品マスタ'!$B$6:$B$1005,$W8245)=0),COUNTIFS('①在庫を貼る'!$V$6:$V$10005,$V8245,'①在庫を貼る'!$W$6:$W$10005,$W8245)+COUNTIFS('月1回_1ヶ月前の在庫'!$V$6:$V$10005,$V8245,'月1回_1ヶ月前の在庫'!$W$6:$W$10005,$W8245)&gt;0),N(U8244),N(U8244)+1))</f>
        <v/>
      </c>
      <c r="V8245" s="19">
        <f>IF($B8245="","",TEXT($B8245,"0000"))</f>
        <v/>
      </c>
      <c r="W8245" s="19">
        <f>IF($I8245="","",IF(ISNUMBER($I8245),TEXT($I8245,"0"),$I8245))</f>
        <v/>
      </c>
    </row>
    <row r="8246">
      <c r="B8246" s="25" t="n"/>
      <c r="I8246" s="25" t="n"/>
      <c r="U8246" s="19">
        <f>IF($V8246&lt;&gt;'設定'!$C$4,N(U8245),IF(OR(NOT(COUNTIF('商品マスタ'!$B$6:$B$1005,$W8246)=0),COUNTIFS('①在庫を貼る'!$V$6:$V$10005,$V8246,'①在庫を貼る'!$W$6:$W$10005,$W8246)+COUNTIFS('月1回_1ヶ月前の在庫'!$V$6:$V$10005,$V8246,'月1回_1ヶ月前の在庫'!$W$6:$W$10005,$W8246)&gt;0),N(U8245),N(U8245)+1))</f>
        <v/>
      </c>
      <c r="V8246" s="19">
        <f>IF($B8246="","",TEXT($B8246,"0000"))</f>
        <v/>
      </c>
      <c r="W8246" s="19">
        <f>IF($I8246="","",IF(ISNUMBER($I8246),TEXT($I8246,"0"),$I8246))</f>
        <v/>
      </c>
    </row>
    <row r="8247">
      <c r="B8247" s="25" t="n"/>
      <c r="I8247" s="25" t="n"/>
      <c r="U8247" s="19">
        <f>IF($V8247&lt;&gt;'設定'!$C$4,N(U8246),IF(OR(NOT(COUNTIF('商品マスタ'!$B$6:$B$1005,$W8247)=0),COUNTIFS('①在庫を貼る'!$V$6:$V$10005,$V8247,'①在庫を貼る'!$W$6:$W$10005,$W8247)+COUNTIFS('月1回_1ヶ月前の在庫'!$V$6:$V$10005,$V8247,'月1回_1ヶ月前の在庫'!$W$6:$W$10005,$W8247)&gt;0),N(U8246),N(U8246)+1))</f>
        <v/>
      </c>
      <c r="V8247" s="19">
        <f>IF($B8247="","",TEXT($B8247,"0000"))</f>
        <v/>
      </c>
      <c r="W8247" s="19">
        <f>IF($I8247="","",IF(ISNUMBER($I8247),TEXT($I8247,"0"),$I8247))</f>
        <v/>
      </c>
    </row>
    <row r="8248">
      <c r="B8248" s="25" t="n"/>
      <c r="I8248" s="25" t="n"/>
      <c r="U8248" s="19">
        <f>IF($V8248&lt;&gt;'設定'!$C$4,N(U8247),IF(OR(NOT(COUNTIF('商品マスタ'!$B$6:$B$1005,$W8248)=0),COUNTIFS('①在庫を貼る'!$V$6:$V$10005,$V8248,'①在庫を貼る'!$W$6:$W$10005,$W8248)+COUNTIFS('月1回_1ヶ月前の在庫'!$V$6:$V$10005,$V8248,'月1回_1ヶ月前の在庫'!$W$6:$W$10005,$W8248)&gt;0),N(U8247),N(U8247)+1))</f>
        <v/>
      </c>
      <c r="V8248" s="19">
        <f>IF($B8248="","",TEXT($B8248,"0000"))</f>
        <v/>
      </c>
      <c r="W8248" s="19">
        <f>IF($I8248="","",IF(ISNUMBER($I8248),TEXT($I8248,"0"),$I8248))</f>
        <v/>
      </c>
    </row>
    <row r="8249">
      <c r="B8249" s="25" t="n"/>
      <c r="I8249" s="25" t="n"/>
      <c r="U8249" s="19">
        <f>IF($V8249&lt;&gt;'設定'!$C$4,N(U8248),IF(OR(NOT(COUNTIF('商品マスタ'!$B$6:$B$1005,$W8249)=0),COUNTIFS('①在庫を貼る'!$V$6:$V$10005,$V8249,'①在庫を貼る'!$W$6:$W$10005,$W8249)+COUNTIFS('月1回_1ヶ月前の在庫'!$V$6:$V$10005,$V8249,'月1回_1ヶ月前の在庫'!$W$6:$W$10005,$W8249)&gt;0),N(U8248),N(U8248)+1))</f>
        <v/>
      </c>
      <c r="V8249" s="19">
        <f>IF($B8249="","",TEXT($B8249,"0000"))</f>
        <v/>
      </c>
      <c r="W8249" s="19">
        <f>IF($I8249="","",IF(ISNUMBER($I8249),TEXT($I8249,"0"),$I8249))</f>
        <v/>
      </c>
    </row>
    <row r="8250">
      <c r="B8250" s="25" t="n"/>
      <c r="I8250" s="25" t="n"/>
      <c r="U8250" s="19">
        <f>IF($V8250&lt;&gt;'設定'!$C$4,N(U8249),IF(OR(NOT(COUNTIF('商品マスタ'!$B$6:$B$1005,$W8250)=0),COUNTIFS('①在庫を貼る'!$V$6:$V$10005,$V8250,'①在庫を貼る'!$W$6:$W$10005,$W8250)+COUNTIFS('月1回_1ヶ月前の在庫'!$V$6:$V$10005,$V8250,'月1回_1ヶ月前の在庫'!$W$6:$W$10005,$W8250)&gt;0),N(U8249),N(U8249)+1))</f>
        <v/>
      </c>
      <c r="V8250" s="19">
        <f>IF($B8250="","",TEXT($B8250,"0000"))</f>
        <v/>
      </c>
      <c r="W8250" s="19">
        <f>IF($I8250="","",IF(ISNUMBER($I8250),TEXT($I8250,"0"),$I8250))</f>
        <v/>
      </c>
    </row>
    <row r="8251">
      <c r="B8251" s="25" t="n"/>
      <c r="I8251" s="25" t="n"/>
      <c r="U8251" s="19">
        <f>IF($V8251&lt;&gt;'設定'!$C$4,N(U8250),IF(OR(NOT(COUNTIF('商品マスタ'!$B$6:$B$1005,$W8251)=0),COUNTIFS('①在庫を貼る'!$V$6:$V$10005,$V8251,'①在庫を貼る'!$W$6:$W$10005,$W8251)+COUNTIFS('月1回_1ヶ月前の在庫'!$V$6:$V$10005,$V8251,'月1回_1ヶ月前の在庫'!$W$6:$W$10005,$W8251)&gt;0),N(U8250),N(U8250)+1))</f>
        <v/>
      </c>
      <c r="V8251" s="19">
        <f>IF($B8251="","",TEXT($B8251,"0000"))</f>
        <v/>
      </c>
      <c r="W8251" s="19">
        <f>IF($I8251="","",IF(ISNUMBER($I8251),TEXT($I8251,"0"),$I8251))</f>
        <v/>
      </c>
    </row>
    <row r="8252">
      <c r="B8252" s="25" t="n"/>
      <c r="I8252" s="25" t="n"/>
      <c r="U8252" s="19">
        <f>IF($V8252&lt;&gt;'設定'!$C$4,N(U8251),IF(OR(NOT(COUNTIF('商品マスタ'!$B$6:$B$1005,$W8252)=0),COUNTIFS('①在庫を貼る'!$V$6:$V$10005,$V8252,'①在庫を貼る'!$W$6:$W$10005,$W8252)+COUNTIFS('月1回_1ヶ月前の在庫'!$V$6:$V$10005,$V8252,'月1回_1ヶ月前の在庫'!$W$6:$W$10005,$W8252)&gt;0),N(U8251),N(U8251)+1))</f>
        <v/>
      </c>
      <c r="V8252" s="19">
        <f>IF($B8252="","",TEXT($B8252,"0000"))</f>
        <v/>
      </c>
      <c r="W8252" s="19">
        <f>IF($I8252="","",IF(ISNUMBER($I8252),TEXT($I8252,"0"),$I8252))</f>
        <v/>
      </c>
    </row>
    <row r="8253">
      <c r="B8253" s="25" t="n"/>
      <c r="I8253" s="25" t="n"/>
      <c r="U8253" s="19">
        <f>IF($V8253&lt;&gt;'設定'!$C$4,N(U8252),IF(OR(NOT(COUNTIF('商品マスタ'!$B$6:$B$1005,$W8253)=0),COUNTIFS('①在庫を貼る'!$V$6:$V$10005,$V8253,'①在庫を貼る'!$W$6:$W$10005,$W8253)+COUNTIFS('月1回_1ヶ月前の在庫'!$V$6:$V$10005,$V8253,'月1回_1ヶ月前の在庫'!$W$6:$W$10005,$W8253)&gt;0),N(U8252),N(U8252)+1))</f>
        <v/>
      </c>
      <c r="V8253" s="19">
        <f>IF($B8253="","",TEXT($B8253,"0000"))</f>
        <v/>
      </c>
      <c r="W8253" s="19">
        <f>IF($I8253="","",IF(ISNUMBER($I8253),TEXT($I8253,"0"),$I8253))</f>
        <v/>
      </c>
    </row>
    <row r="8254">
      <c r="B8254" s="25" t="n"/>
      <c r="I8254" s="25" t="n"/>
      <c r="U8254" s="19">
        <f>IF($V8254&lt;&gt;'設定'!$C$4,N(U8253),IF(OR(NOT(COUNTIF('商品マスタ'!$B$6:$B$1005,$W8254)=0),COUNTIFS('①在庫を貼る'!$V$6:$V$10005,$V8254,'①在庫を貼る'!$W$6:$W$10005,$W8254)+COUNTIFS('月1回_1ヶ月前の在庫'!$V$6:$V$10005,$V8254,'月1回_1ヶ月前の在庫'!$W$6:$W$10005,$W8254)&gt;0),N(U8253),N(U8253)+1))</f>
        <v/>
      </c>
      <c r="V8254" s="19">
        <f>IF($B8254="","",TEXT($B8254,"0000"))</f>
        <v/>
      </c>
      <c r="W8254" s="19">
        <f>IF($I8254="","",IF(ISNUMBER($I8254),TEXT($I8254,"0"),$I8254))</f>
        <v/>
      </c>
    </row>
    <row r="8255">
      <c r="B8255" s="25" t="n"/>
      <c r="I8255" s="25" t="n"/>
      <c r="U8255" s="19">
        <f>IF($V8255&lt;&gt;'設定'!$C$4,N(U8254),IF(OR(NOT(COUNTIF('商品マスタ'!$B$6:$B$1005,$W8255)=0),COUNTIFS('①在庫を貼る'!$V$6:$V$10005,$V8255,'①在庫を貼る'!$W$6:$W$10005,$W8255)+COUNTIFS('月1回_1ヶ月前の在庫'!$V$6:$V$10005,$V8255,'月1回_1ヶ月前の在庫'!$W$6:$W$10005,$W8255)&gt;0),N(U8254),N(U8254)+1))</f>
        <v/>
      </c>
      <c r="V8255" s="19">
        <f>IF($B8255="","",TEXT($B8255,"0000"))</f>
        <v/>
      </c>
      <c r="W8255" s="19">
        <f>IF($I8255="","",IF(ISNUMBER($I8255),TEXT($I8255,"0"),$I8255))</f>
        <v/>
      </c>
    </row>
    <row r="8256">
      <c r="B8256" s="25" t="n"/>
      <c r="I8256" s="25" t="n"/>
      <c r="U8256" s="19">
        <f>IF($V8256&lt;&gt;'設定'!$C$4,N(U8255),IF(OR(NOT(COUNTIF('商品マスタ'!$B$6:$B$1005,$W8256)=0),COUNTIFS('①在庫を貼る'!$V$6:$V$10005,$V8256,'①在庫を貼る'!$W$6:$W$10005,$W8256)+COUNTIFS('月1回_1ヶ月前の在庫'!$V$6:$V$10005,$V8256,'月1回_1ヶ月前の在庫'!$W$6:$W$10005,$W8256)&gt;0),N(U8255),N(U8255)+1))</f>
        <v/>
      </c>
      <c r="V8256" s="19">
        <f>IF($B8256="","",TEXT($B8256,"0000"))</f>
        <v/>
      </c>
      <c r="W8256" s="19">
        <f>IF($I8256="","",IF(ISNUMBER($I8256),TEXT($I8256,"0"),$I8256))</f>
        <v/>
      </c>
    </row>
    <row r="8257">
      <c r="B8257" s="25" t="n"/>
      <c r="I8257" s="25" t="n"/>
      <c r="U8257" s="19">
        <f>IF($V8257&lt;&gt;'設定'!$C$4,N(U8256),IF(OR(NOT(COUNTIF('商品マスタ'!$B$6:$B$1005,$W8257)=0),COUNTIFS('①在庫を貼る'!$V$6:$V$10005,$V8257,'①在庫を貼る'!$W$6:$W$10005,$W8257)+COUNTIFS('月1回_1ヶ月前の在庫'!$V$6:$V$10005,$V8257,'月1回_1ヶ月前の在庫'!$W$6:$W$10005,$W8257)&gt;0),N(U8256),N(U8256)+1))</f>
        <v/>
      </c>
      <c r="V8257" s="19">
        <f>IF($B8257="","",TEXT($B8257,"0000"))</f>
        <v/>
      </c>
      <c r="W8257" s="19">
        <f>IF($I8257="","",IF(ISNUMBER($I8257),TEXT($I8257,"0"),$I8257))</f>
        <v/>
      </c>
    </row>
    <row r="8258">
      <c r="B8258" s="25" t="n"/>
      <c r="I8258" s="25" t="n"/>
      <c r="U8258" s="19">
        <f>IF($V8258&lt;&gt;'設定'!$C$4,N(U8257),IF(OR(NOT(COUNTIF('商品マスタ'!$B$6:$B$1005,$W8258)=0),COUNTIFS('①在庫を貼る'!$V$6:$V$10005,$V8258,'①在庫を貼る'!$W$6:$W$10005,$W8258)+COUNTIFS('月1回_1ヶ月前の在庫'!$V$6:$V$10005,$V8258,'月1回_1ヶ月前の在庫'!$W$6:$W$10005,$W8258)&gt;0),N(U8257),N(U8257)+1))</f>
        <v/>
      </c>
      <c r="V8258" s="19">
        <f>IF($B8258="","",TEXT($B8258,"0000"))</f>
        <v/>
      </c>
      <c r="W8258" s="19">
        <f>IF($I8258="","",IF(ISNUMBER($I8258),TEXT($I8258,"0"),$I8258))</f>
        <v/>
      </c>
    </row>
    <row r="8259">
      <c r="B8259" s="25" t="n"/>
      <c r="I8259" s="25" t="n"/>
      <c r="U8259" s="19">
        <f>IF($V8259&lt;&gt;'設定'!$C$4,N(U8258),IF(OR(NOT(COUNTIF('商品マスタ'!$B$6:$B$1005,$W8259)=0),COUNTIFS('①在庫を貼る'!$V$6:$V$10005,$V8259,'①在庫を貼る'!$W$6:$W$10005,$W8259)+COUNTIFS('月1回_1ヶ月前の在庫'!$V$6:$V$10005,$V8259,'月1回_1ヶ月前の在庫'!$W$6:$W$10005,$W8259)&gt;0),N(U8258),N(U8258)+1))</f>
        <v/>
      </c>
      <c r="V8259" s="19">
        <f>IF($B8259="","",TEXT($B8259,"0000"))</f>
        <v/>
      </c>
      <c r="W8259" s="19">
        <f>IF($I8259="","",IF(ISNUMBER($I8259),TEXT($I8259,"0"),$I8259))</f>
        <v/>
      </c>
    </row>
    <row r="8260">
      <c r="B8260" s="25" t="n"/>
      <c r="I8260" s="25" t="n"/>
      <c r="U8260" s="19">
        <f>IF($V8260&lt;&gt;'設定'!$C$4,N(U8259),IF(OR(NOT(COUNTIF('商品マスタ'!$B$6:$B$1005,$W8260)=0),COUNTIFS('①在庫を貼る'!$V$6:$V$10005,$V8260,'①在庫を貼る'!$W$6:$W$10005,$W8260)+COUNTIFS('月1回_1ヶ月前の在庫'!$V$6:$V$10005,$V8260,'月1回_1ヶ月前の在庫'!$W$6:$W$10005,$W8260)&gt;0),N(U8259),N(U8259)+1))</f>
        <v/>
      </c>
      <c r="V8260" s="19">
        <f>IF($B8260="","",TEXT($B8260,"0000"))</f>
        <v/>
      </c>
      <c r="W8260" s="19">
        <f>IF($I8260="","",IF(ISNUMBER($I8260),TEXT($I8260,"0"),$I8260))</f>
        <v/>
      </c>
    </row>
    <row r="8261">
      <c r="B8261" s="25" t="n"/>
      <c r="I8261" s="25" t="n"/>
      <c r="U8261" s="19">
        <f>IF($V8261&lt;&gt;'設定'!$C$4,N(U8260),IF(OR(NOT(COUNTIF('商品マスタ'!$B$6:$B$1005,$W8261)=0),COUNTIFS('①在庫を貼る'!$V$6:$V$10005,$V8261,'①在庫を貼る'!$W$6:$W$10005,$W8261)+COUNTIFS('月1回_1ヶ月前の在庫'!$V$6:$V$10005,$V8261,'月1回_1ヶ月前の在庫'!$W$6:$W$10005,$W8261)&gt;0),N(U8260),N(U8260)+1))</f>
        <v/>
      </c>
      <c r="V8261" s="19">
        <f>IF($B8261="","",TEXT($B8261,"0000"))</f>
        <v/>
      </c>
      <c r="W8261" s="19">
        <f>IF($I8261="","",IF(ISNUMBER($I8261),TEXT($I8261,"0"),$I8261))</f>
        <v/>
      </c>
    </row>
    <row r="8262">
      <c r="B8262" s="25" t="n"/>
      <c r="I8262" s="25" t="n"/>
      <c r="U8262" s="19">
        <f>IF($V8262&lt;&gt;'設定'!$C$4,N(U8261),IF(OR(NOT(COUNTIF('商品マスタ'!$B$6:$B$1005,$W8262)=0),COUNTIFS('①在庫を貼る'!$V$6:$V$10005,$V8262,'①在庫を貼る'!$W$6:$W$10005,$W8262)+COUNTIFS('月1回_1ヶ月前の在庫'!$V$6:$V$10005,$V8262,'月1回_1ヶ月前の在庫'!$W$6:$W$10005,$W8262)&gt;0),N(U8261),N(U8261)+1))</f>
        <v/>
      </c>
      <c r="V8262" s="19">
        <f>IF($B8262="","",TEXT($B8262,"0000"))</f>
        <v/>
      </c>
      <c r="W8262" s="19">
        <f>IF($I8262="","",IF(ISNUMBER($I8262),TEXT($I8262,"0"),$I8262))</f>
        <v/>
      </c>
    </row>
    <row r="8263">
      <c r="B8263" s="25" t="n"/>
      <c r="I8263" s="25" t="n"/>
      <c r="U8263" s="19">
        <f>IF($V8263&lt;&gt;'設定'!$C$4,N(U8262),IF(OR(NOT(COUNTIF('商品マスタ'!$B$6:$B$1005,$W8263)=0),COUNTIFS('①在庫を貼る'!$V$6:$V$10005,$V8263,'①在庫を貼る'!$W$6:$W$10005,$W8263)+COUNTIFS('月1回_1ヶ月前の在庫'!$V$6:$V$10005,$V8263,'月1回_1ヶ月前の在庫'!$W$6:$W$10005,$W8263)&gt;0),N(U8262),N(U8262)+1))</f>
        <v/>
      </c>
      <c r="V8263" s="19">
        <f>IF($B8263="","",TEXT($B8263,"0000"))</f>
        <v/>
      </c>
      <c r="W8263" s="19">
        <f>IF($I8263="","",IF(ISNUMBER($I8263),TEXT($I8263,"0"),$I8263))</f>
        <v/>
      </c>
    </row>
    <row r="8264">
      <c r="B8264" s="25" t="n"/>
      <c r="I8264" s="25" t="n"/>
      <c r="U8264" s="19">
        <f>IF($V8264&lt;&gt;'設定'!$C$4,N(U8263),IF(OR(NOT(COUNTIF('商品マスタ'!$B$6:$B$1005,$W8264)=0),COUNTIFS('①在庫を貼る'!$V$6:$V$10005,$V8264,'①在庫を貼る'!$W$6:$W$10005,$W8264)+COUNTIFS('月1回_1ヶ月前の在庫'!$V$6:$V$10005,$V8264,'月1回_1ヶ月前の在庫'!$W$6:$W$10005,$W8264)&gt;0),N(U8263),N(U8263)+1))</f>
        <v/>
      </c>
      <c r="V8264" s="19">
        <f>IF($B8264="","",TEXT($B8264,"0000"))</f>
        <v/>
      </c>
      <c r="W8264" s="19">
        <f>IF($I8264="","",IF(ISNUMBER($I8264),TEXT($I8264,"0"),$I8264))</f>
        <v/>
      </c>
    </row>
    <row r="8265">
      <c r="B8265" s="25" t="n"/>
      <c r="I8265" s="25" t="n"/>
      <c r="U8265" s="19">
        <f>IF($V8265&lt;&gt;'設定'!$C$4,N(U8264),IF(OR(NOT(COUNTIF('商品マスタ'!$B$6:$B$1005,$W8265)=0),COUNTIFS('①在庫を貼る'!$V$6:$V$10005,$V8265,'①在庫を貼る'!$W$6:$W$10005,$W8265)+COUNTIFS('月1回_1ヶ月前の在庫'!$V$6:$V$10005,$V8265,'月1回_1ヶ月前の在庫'!$W$6:$W$10005,$W8265)&gt;0),N(U8264),N(U8264)+1))</f>
        <v/>
      </c>
      <c r="V8265" s="19">
        <f>IF($B8265="","",TEXT($B8265,"0000"))</f>
        <v/>
      </c>
      <c r="W8265" s="19">
        <f>IF($I8265="","",IF(ISNUMBER($I8265),TEXT($I8265,"0"),$I8265))</f>
        <v/>
      </c>
    </row>
    <row r="8266">
      <c r="B8266" s="25" t="n"/>
      <c r="I8266" s="25" t="n"/>
      <c r="U8266" s="19">
        <f>IF($V8266&lt;&gt;'設定'!$C$4,N(U8265),IF(OR(NOT(COUNTIF('商品マスタ'!$B$6:$B$1005,$W8266)=0),COUNTIFS('①在庫を貼る'!$V$6:$V$10005,$V8266,'①在庫を貼る'!$W$6:$W$10005,$W8266)+COUNTIFS('月1回_1ヶ月前の在庫'!$V$6:$V$10005,$V8266,'月1回_1ヶ月前の在庫'!$W$6:$W$10005,$W8266)&gt;0),N(U8265),N(U8265)+1))</f>
        <v/>
      </c>
      <c r="V8266" s="19">
        <f>IF($B8266="","",TEXT($B8266,"0000"))</f>
        <v/>
      </c>
      <c r="W8266" s="19">
        <f>IF($I8266="","",IF(ISNUMBER($I8266),TEXT($I8266,"0"),$I8266))</f>
        <v/>
      </c>
    </row>
    <row r="8267">
      <c r="B8267" s="25" t="n"/>
      <c r="I8267" s="25" t="n"/>
      <c r="U8267" s="19">
        <f>IF($V8267&lt;&gt;'設定'!$C$4,N(U8266),IF(OR(NOT(COUNTIF('商品マスタ'!$B$6:$B$1005,$W8267)=0),COUNTIFS('①在庫を貼る'!$V$6:$V$10005,$V8267,'①在庫を貼る'!$W$6:$W$10005,$W8267)+COUNTIFS('月1回_1ヶ月前の在庫'!$V$6:$V$10005,$V8267,'月1回_1ヶ月前の在庫'!$W$6:$W$10005,$W8267)&gt;0),N(U8266),N(U8266)+1))</f>
        <v/>
      </c>
      <c r="V8267" s="19">
        <f>IF($B8267="","",TEXT($B8267,"0000"))</f>
        <v/>
      </c>
      <c r="W8267" s="19">
        <f>IF($I8267="","",IF(ISNUMBER($I8267),TEXT($I8267,"0"),$I8267))</f>
        <v/>
      </c>
    </row>
    <row r="8268">
      <c r="B8268" s="25" t="n"/>
      <c r="I8268" s="25" t="n"/>
      <c r="U8268" s="19">
        <f>IF($V8268&lt;&gt;'設定'!$C$4,N(U8267),IF(OR(NOT(COUNTIF('商品マスタ'!$B$6:$B$1005,$W8268)=0),COUNTIFS('①在庫を貼る'!$V$6:$V$10005,$V8268,'①在庫を貼る'!$W$6:$W$10005,$W8268)+COUNTIFS('月1回_1ヶ月前の在庫'!$V$6:$V$10005,$V8268,'月1回_1ヶ月前の在庫'!$W$6:$W$10005,$W8268)&gt;0),N(U8267),N(U8267)+1))</f>
        <v/>
      </c>
      <c r="V8268" s="19">
        <f>IF($B8268="","",TEXT($B8268,"0000"))</f>
        <v/>
      </c>
      <c r="W8268" s="19">
        <f>IF($I8268="","",IF(ISNUMBER($I8268),TEXT($I8268,"0"),$I8268))</f>
        <v/>
      </c>
    </row>
    <row r="8269">
      <c r="B8269" s="25" t="n"/>
      <c r="I8269" s="25" t="n"/>
      <c r="U8269" s="19">
        <f>IF($V8269&lt;&gt;'設定'!$C$4,N(U8268),IF(OR(NOT(COUNTIF('商品マスタ'!$B$6:$B$1005,$W8269)=0),COUNTIFS('①在庫を貼る'!$V$6:$V$10005,$V8269,'①在庫を貼る'!$W$6:$W$10005,$W8269)+COUNTIFS('月1回_1ヶ月前の在庫'!$V$6:$V$10005,$V8269,'月1回_1ヶ月前の在庫'!$W$6:$W$10005,$W8269)&gt;0),N(U8268),N(U8268)+1))</f>
        <v/>
      </c>
      <c r="V8269" s="19">
        <f>IF($B8269="","",TEXT($B8269,"0000"))</f>
        <v/>
      </c>
      <c r="W8269" s="19">
        <f>IF($I8269="","",IF(ISNUMBER($I8269),TEXT($I8269,"0"),$I8269))</f>
        <v/>
      </c>
    </row>
    <row r="8270">
      <c r="B8270" s="25" t="n"/>
      <c r="I8270" s="25" t="n"/>
      <c r="U8270" s="19">
        <f>IF($V8270&lt;&gt;'設定'!$C$4,N(U8269),IF(OR(NOT(COUNTIF('商品マスタ'!$B$6:$B$1005,$W8270)=0),COUNTIFS('①在庫を貼る'!$V$6:$V$10005,$V8270,'①在庫を貼る'!$W$6:$W$10005,$W8270)+COUNTIFS('月1回_1ヶ月前の在庫'!$V$6:$V$10005,$V8270,'月1回_1ヶ月前の在庫'!$W$6:$W$10005,$W8270)&gt;0),N(U8269),N(U8269)+1))</f>
        <v/>
      </c>
      <c r="V8270" s="19">
        <f>IF($B8270="","",TEXT($B8270,"0000"))</f>
        <v/>
      </c>
      <c r="W8270" s="19">
        <f>IF($I8270="","",IF(ISNUMBER($I8270),TEXT($I8270,"0"),$I8270))</f>
        <v/>
      </c>
    </row>
    <row r="8271">
      <c r="B8271" s="25" t="n"/>
      <c r="I8271" s="25" t="n"/>
      <c r="U8271" s="19">
        <f>IF($V8271&lt;&gt;'設定'!$C$4,N(U8270),IF(OR(NOT(COUNTIF('商品マスタ'!$B$6:$B$1005,$W8271)=0),COUNTIFS('①在庫を貼る'!$V$6:$V$10005,$V8271,'①在庫を貼る'!$W$6:$W$10005,$W8271)+COUNTIFS('月1回_1ヶ月前の在庫'!$V$6:$V$10005,$V8271,'月1回_1ヶ月前の在庫'!$W$6:$W$10005,$W8271)&gt;0),N(U8270),N(U8270)+1))</f>
        <v/>
      </c>
      <c r="V8271" s="19">
        <f>IF($B8271="","",TEXT($B8271,"0000"))</f>
        <v/>
      </c>
      <c r="W8271" s="19">
        <f>IF($I8271="","",IF(ISNUMBER($I8271),TEXT($I8271,"0"),$I8271))</f>
        <v/>
      </c>
    </row>
    <row r="8272">
      <c r="B8272" s="25" t="n"/>
      <c r="I8272" s="25" t="n"/>
      <c r="U8272" s="19">
        <f>IF($V8272&lt;&gt;'設定'!$C$4,N(U8271),IF(OR(NOT(COUNTIF('商品マスタ'!$B$6:$B$1005,$W8272)=0),COUNTIFS('①在庫を貼る'!$V$6:$V$10005,$V8272,'①在庫を貼る'!$W$6:$W$10005,$W8272)+COUNTIFS('月1回_1ヶ月前の在庫'!$V$6:$V$10005,$V8272,'月1回_1ヶ月前の在庫'!$W$6:$W$10005,$W8272)&gt;0),N(U8271),N(U8271)+1))</f>
        <v/>
      </c>
      <c r="V8272" s="19">
        <f>IF($B8272="","",TEXT($B8272,"0000"))</f>
        <v/>
      </c>
      <c r="W8272" s="19">
        <f>IF($I8272="","",IF(ISNUMBER($I8272),TEXT($I8272,"0"),$I8272))</f>
        <v/>
      </c>
    </row>
    <row r="8273">
      <c r="B8273" s="25" t="n"/>
      <c r="I8273" s="25" t="n"/>
      <c r="U8273" s="19">
        <f>IF($V8273&lt;&gt;'設定'!$C$4,N(U8272),IF(OR(NOT(COUNTIF('商品マスタ'!$B$6:$B$1005,$W8273)=0),COUNTIFS('①在庫を貼る'!$V$6:$V$10005,$V8273,'①在庫を貼る'!$W$6:$W$10005,$W8273)+COUNTIFS('月1回_1ヶ月前の在庫'!$V$6:$V$10005,$V8273,'月1回_1ヶ月前の在庫'!$W$6:$W$10005,$W8273)&gt;0),N(U8272),N(U8272)+1))</f>
        <v/>
      </c>
      <c r="V8273" s="19">
        <f>IF($B8273="","",TEXT($B8273,"0000"))</f>
        <v/>
      </c>
      <c r="W8273" s="19">
        <f>IF($I8273="","",IF(ISNUMBER($I8273),TEXT($I8273,"0"),$I8273))</f>
        <v/>
      </c>
    </row>
    <row r="8274">
      <c r="B8274" s="25" t="n"/>
      <c r="I8274" s="25" t="n"/>
      <c r="U8274" s="19">
        <f>IF($V8274&lt;&gt;'設定'!$C$4,N(U8273),IF(OR(NOT(COUNTIF('商品マスタ'!$B$6:$B$1005,$W8274)=0),COUNTIFS('①在庫を貼る'!$V$6:$V$10005,$V8274,'①在庫を貼る'!$W$6:$W$10005,$W8274)+COUNTIFS('月1回_1ヶ月前の在庫'!$V$6:$V$10005,$V8274,'月1回_1ヶ月前の在庫'!$W$6:$W$10005,$W8274)&gt;0),N(U8273),N(U8273)+1))</f>
        <v/>
      </c>
      <c r="V8274" s="19">
        <f>IF($B8274="","",TEXT($B8274,"0000"))</f>
        <v/>
      </c>
      <c r="W8274" s="19">
        <f>IF($I8274="","",IF(ISNUMBER($I8274),TEXT($I8274,"0"),$I8274))</f>
        <v/>
      </c>
    </row>
    <row r="8275">
      <c r="B8275" s="25" t="n"/>
      <c r="I8275" s="25" t="n"/>
      <c r="U8275" s="19">
        <f>IF($V8275&lt;&gt;'設定'!$C$4,N(U8274),IF(OR(NOT(COUNTIF('商品マスタ'!$B$6:$B$1005,$W8275)=0),COUNTIFS('①在庫を貼る'!$V$6:$V$10005,$V8275,'①在庫を貼る'!$W$6:$W$10005,$W8275)+COUNTIFS('月1回_1ヶ月前の在庫'!$V$6:$V$10005,$V8275,'月1回_1ヶ月前の在庫'!$W$6:$W$10005,$W8275)&gt;0),N(U8274),N(U8274)+1))</f>
        <v/>
      </c>
      <c r="V8275" s="19">
        <f>IF($B8275="","",TEXT($B8275,"0000"))</f>
        <v/>
      </c>
      <c r="W8275" s="19">
        <f>IF($I8275="","",IF(ISNUMBER($I8275),TEXT($I8275,"0"),$I8275))</f>
        <v/>
      </c>
    </row>
    <row r="8276">
      <c r="B8276" s="25" t="n"/>
      <c r="I8276" s="25" t="n"/>
      <c r="U8276" s="19">
        <f>IF($V8276&lt;&gt;'設定'!$C$4,N(U8275),IF(OR(NOT(COUNTIF('商品マスタ'!$B$6:$B$1005,$W8276)=0),COUNTIFS('①在庫を貼る'!$V$6:$V$10005,$V8276,'①在庫を貼る'!$W$6:$W$10005,$W8276)+COUNTIFS('月1回_1ヶ月前の在庫'!$V$6:$V$10005,$V8276,'月1回_1ヶ月前の在庫'!$W$6:$W$10005,$W8276)&gt;0),N(U8275),N(U8275)+1))</f>
        <v/>
      </c>
      <c r="V8276" s="19">
        <f>IF($B8276="","",TEXT($B8276,"0000"))</f>
        <v/>
      </c>
      <c r="W8276" s="19">
        <f>IF($I8276="","",IF(ISNUMBER($I8276),TEXT($I8276,"0"),$I8276))</f>
        <v/>
      </c>
    </row>
    <row r="8277">
      <c r="B8277" s="25" t="n"/>
      <c r="I8277" s="25" t="n"/>
      <c r="U8277" s="19">
        <f>IF($V8277&lt;&gt;'設定'!$C$4,N(U8276),IF(OR(NOT(COUNTIF('商品マスタ'!$B$6:$B$1005,$W8277)=0),COUNTIFS('①在庫を貼る'!$V$6:$V$10005,$V8277,'①在庫を貼る'!$W$6:$W$10005,$W8277)+COUNTIFS('月1回_1ヶ月前の在庫'!$V$6:$V$10005,$V8277,'月1回_1ヶ月前の在庫'!$W$6:$W$10005,$W8277)&gt;0),N(U8276),N(U8276)+1))</f>
        <v/>
      </c>
      <c r="V8277" s="19">
        <f>IF($B8277="","",TEXT($B8277,"0000"))</f>
        <v/>
      </c>
      <c r="W8277" s="19">
        <f>IF($I8277="","",IF(ISNUMBER($I8277),TEXT($I8277,"0"),$I8277))</f>
        <v/>
      </c>
    </row>
    <row r="8278">
      <c r="B8278" s="25" t="n"/>
      <c r="I8278" s="25" t="n"/>
      <c r="U8278" s="19">
        <f>IF($V8278&lt;&gt;'設定'!$C$4,N(U8277),IF(OR(NOT(COUNTIF('商品マスタ'!$B$6:$B$1005,$W8278)=0),COUNTIFS('①在庫を貼る'!$V$6:$V$10005,$V8278,'①在庫を貼る'!$W$6:$W$10005,$W8278)+COUNTIFS('月1回_1ヶ月前の在庫'!$V$6:$V$10005,$V8278,'月1回_1ヶ月前の在庫'!$W$6:$W$10005,$W8278)&gt;0),N(U8277),N(U8277)+1))</f>
        <v/>
      </c>
      <c r="V8278" s="19">
        <f>IF($B8278="","",TEXT($B8278,"0000"))</f>
        <v/>
      </c>
      <c r="W8278" s="19">
        <f>IF($I8278="","",IF(ISNUMBER($I8278),TEXT($I8278,"0"),$I8278))</f>
        <v/>
      </c>
    </row>
    <row r="8279">
      <c r="B8279" s="25" t="n"/>
      <c r="I8279" s="25" t="n"/>
      <c r="U8279" s="19">
        <f>IF($V8279&lt;&gt;'設定'!$C$4,N(U8278),IF(OR(NOT(COUNTIF('商品マスタ'!$B$6:$B$1005,$W8279)=0),COUNTIFS('①在庫を貼る'!$V$6:$V$10005,$V8279,'①在庫を貼る'!$W$6:$W$10005,$W8279)+COUNTIFS('月1回_1ヶ月前の在庫'!$V$6:$V$10005,$V8279,'月1回_1ヶ月前の在庫'!$W$6:$W$10005,$W8279)&gt;0),N(U8278),N(U8278)+1))</f>
        <v/>
      </c>
      <c r="V8279" s="19">
        <f>IF($B8279="","",TEXT($B8279,"0000"))</f>
        <v/>
      </c>
      <c r="W8279" s="19">
        <f>IF($I8279="","",IF(ISNUMBER($I8279),TEXT($I8279,"0"),$I8279))</f>
        <v/>
      </c>
    </row>
    <row r="8280">
      <c r="B8280" s="25" t="n"/>
      <c r="I8280" s="25" t="n"/>
      <c r="U8280" s="19">
        <f>IF($V8280&lt;&gt;'設定'!$C$4,N(U8279),IF(OR(NOT(COUNTIF('商品マスタ'!$B$6:$B$1005,$W8280)=0),COUNTIFS('①在庫を貼る'!$V$6:$V$10005,$V8280,'①在庫を貼る'!$W$6:$W$10005,$W8280)+COUNTIFS('月1回_1ヶ月前の在庫'!$V$6:$V$10005,$V8280,'月1回_1ヶ月前の在庫'!$W$6:$W$10005,$W8280)&gt;0),N(U8279),N(U8279)+1))</f>
        <v/>
      </c>
      <c r="V8280" s="19">
        <f>IF($B8280="","",TEXT($B8280,"0000"))</f>
        <v/>
      </c>
      <c r="W8280" s="19">
        <f>IF($I8280="","",IF(ISNUMBER($I8280),TEXT($I8280,"0"),$I8280))</f>
        <v/>
      </c>
    </row>
    <row r="8281">
      <c r="B8281" s="25" t="n"/>
      <c r="I8281" s="25" t="n"/>
      <c r="U8281" s="19">
        <f>IF($V8281&lt;&gt;'設定'!$C$4,N(U8280),IF(OR(NOT(COUNTIF('商品マスタ'!$B$6:$B$1005,$W8281)=0),COUNTIFS('①在庫を貼る'!$V$6:$V$10005,$V8281,'①在庫を貼る'!$W$6:$W$10005,$W8281)+COUNTIFS('月1回_1ヶ月前の在庫'!$V$6:$V$10005,$V8281,'月1回_1ヶ月前の在庫'!$W$6:$W$10005,$W8281)&gt;0),N(U8280),N(U8280)+1))</f>
        <v/>
      </c>
      <c r="V8281" s="19">
        <f>IF($B8281="","",TEXT($B8281,"0000"))</f>
        <v/>
      </c>
      <c r="W8281" s="19">
        <f>IF($I8281="","",IF(ISNUMBER($I8281),TEXT($I8281,"0"),$I8281))</f>
        <v/>
      </c>
    </row>
    <row r="8282">
      <c r="B8282" s="25" t="n"/>
      <c r="I8282" s="25" t="n"/>
      <c r="U8282" s="19">
        <f>IF($V8282&lt;&gt;'設定'!$C$4,N(U8281),IF(OR(NOT(COUNTIF('商品マスタ'!$B$6:$B$1005,$W8282)=0),COUNTIFS('①在庫を貼る'!$V$6:$V$10005,$V8282,'①在庫を貼る'!$W$6:$W$10005,$W8282)+COUNTIFS('月1回_1ヶ月前の在庫'!$V$6:$V$10005,$V8282,'月1回_1ヶ月前の在庫'!$W$6:$W$10005,$W8282)&gt;0),N(U8281),N(U8281)+1))</f>
        <v/>
      </c>
      <c r="V8282" s="19">
        <f>IF($B8282="","",TEXT($B8282,"0000"))</f>
        <v/>
      </c>
      <c r="W8282" s="19">
        <f>IF($I8282="","",IF(ISNUMBER($I8282),TEXT($I8282,"0"),$I8282))</f>
        <v/>
      </c>
    </row>
    <row r="8283">
      <c r="B8283" s="25" t="n"/>
      <c r="I8283" s="25" t="n"/>
      <c r="U8283" s="19">
        <f>IF($V8283&lt;&gt;'設定'!$C$4,N(U8282),IF(OR(NOT(COUNTIF('商品マスタ'!$B$6:$B$1005,$W8283)=0),COUNTIFS('①在庫を貼る'!$V$6:$V$10005,$V8283,'①在庫を貼る'!$W$6:$W$10005,$W8283)+COUNTIFS('月1回_1ヶ月前の在庫'!$V$6:$V$10005,$V8283,'月1回_1ヶ月前の在庫'!$W$6:$W$10005,$W8283)&gt;0),N(U8282),N(U8282)+1))</f>
        <v/>
      </c>
      <c r="V8283" s="19">
        <f>IF($B8283="","",TEXT($B8283,"0000"))</f>
        <v/>
      </c>
      <c r="W8283" s="19">
        <f>IF($I8283="","",IF(ISNUMBER($I8283),TEXT($I8283,"0"),$I8283))</f>
        <v/>
      </c>
    </row>
    <row r="8284">
      <c r="B8284" s="25" t="n"/>
      <c r="I8284" s="25" t="n"/>
      <c r="U8284" s="19">
        <f>IF($V8284&lt;&gt;'設定'!$C$4,N(U8283),IF(OR(NOT(COUNTIF('商品マスタ'!$B$6:$B$1005,$W8284)=0),COUNTIFS('①在庫を貼る'!$V$6:$V$10005,$V8284,'①在庫を貼る'!$W$6:$W$10005,$W8284)+COUNTIFS('月1回_1ヶ月前の在庫'!$V$6:$V$10005,$V8284,'月1回_1ヶ月前の在庫'!$W$6:$W$10005,$W8284)&gt;0),N(U8283),N(U8283)+1))</f>
        <v/>
      </c>
      <c r="V8284" s="19">
        <f>IF($B8284="","",TEXT($B8284,"0000"))</f>
        <v/>
      </c>
      <c r="W8284" s="19">
        <f>IF($I8284="","",IF(ISNUMBER($I8284),TEXT($I8284,"0"),$I8284))</f>
        <v/>
      </c>
    </row>
    <row r="8285">
      <c r="B8285" s="25" t="n"/>
      <c r="I8285" s="25" t="n"/>
      <c r="U8285" s="19">
        <f>IF($V8285&lt;&gt;'設定'!$C$4,N(U8284),IF(OR(NOT(COUNTIF('商品マスタ'!$B$6:$B$1005,$W8285)=0),COUNTIFS('①在庫を貼る'!$V$6:$V$10005,$V8285,'①在庫を貼る'!$W$6:$W$10005,$W8285)+COUNTIFS('月1回_1ヶ月前の在庫'!$V$6:$V$10005,$V8285,'月1回_1ヶ月前の在庫'!$W$6:$W$10005,$W8285)&gt;0),N(U8284),N(U8284)+1))</f>
        <v/>
      </c>
      <c r="V8285" s="19">
        <f>IF($B8285="","",TEXT($B8285,"0000"))</f>
        <v/>
      </c>
      <c r="W8285" s="19">
        <f>IF($I8285="","",IF(ISNUMBER($I8285),TEXT($I8285,"0"),$I8285))</f>
        <v/>
      </c>
    </row>
    <row r="8286">
      <c r="B8286" s="25" t="n"/>
      <c r="I8286" s="25" t="n"/>
      <c r="U8286" s="19">
        <f>IF($V8286&lt;&gt;'設定'!$C$4,N(U8285),IF(OR(NOT(COUNTIF('商品マスタ'!$B$6:$B$1005,$W8286)=0),COUNTIFS('①在庫を貼る'!$V$6:$V$10005,$V8286,'①在庫を貼る'!$W$6:$W$10005,$W8286)+COUNTIFS('月1回_1ヶ月前の在庫'!$V$6:$V$10005,$V8286,'月1回_1ヶ月前の在庫'!$W$6:$W$10005,$W8286)&gt;0),N(U8285),N(U8285)+1))</f>
        <v/>
      </c>
      <c r="V8286" s="19">
        <f>IF($B8286="","",TEXT($B8286,"0000"))</f>
        <v/>
      </c>
      <c r="W8286" s="19">
        <f>IF($I8286="","",IF(ISNUMBER($I8286),TEXT($I8286,"0"),$I8286))</f>
        <v/>
      </c>
    </row>
    <row r="8287">
      <c r="B8287" s="25" t="n"/>
      <c r="I8287" s="25" t="n"/>
      <c r="U8287" s="19">
        <f>IF($V8287&lt;&gt;'設定'!$C$4,N(U8286),IF(OR(NOT(COUNTIF('商品マスタ'!$B$6:$B$1005,$W8287)=0),COUNTIFS('①在庫を貼る'!$V$6:$V$10005,$V8287,'①在庫を貼る'!$W$6:$W$10005,$W8287)+COUNTIFS('月1回_1ヶ月前の在庫'!$V$6:$V$10005,$V8287,'月1回_1ヶ月前の在庫'!$W$6:$W$10005,$W8287)&gt;0),N(U8286),N(U8286)+1))</f>
        <v/>
      </c>
      <c r="V8287" s="19">
        <f>IF($B8287="","",TEXT($B8287,"0000"))</f>
        <v/>
      </c>
      <c r="W8287" s="19">
        <f>IF($I8287="","",IF(ISNUMBER($I8287),TEXT($I8287,"0"),$I8287))</f>
        <v/>
      </c>
    </row>
    <row r="8288">
      <c r="B8288" s="25" t="n"/>
      <c r="I8288" s="25" t="n"/>
      <c r="U8288" s="19">
        <f>IF($V8288&lt;&gt;'設定'!$C$4,N(U8287),IF(OR(NOT(COUNTIF('商品マスタ'!$B$6:$B$1005,$W8288)=0),COUNTIFS('①在庫を貼る'!$V$6:$V$10005,$V8288,'①在庫を貼る'!$W$6:$W$10005,$W8288)+COUNTIFS('月1回_1ヶ月前の在庫'!$V$6:$V$10005,$V8288,'月1回_1ヶ月前の在庫'!$W$6:$W$10005,$W8288)&gt;0),N(U8287),N(U8287)+1))</f>
        <v/>
      </c>
      <c r="V8288" s="19">
        <f>IF($B8288="","",TEXT($B8288,"0000"))</f>
        <v/>
      </c>
      <c r="W8288" s="19">
        <f>IF($I8288="","",IF(ISNUMBER($I8288),TEXT($I8288,"0"),$I8288))</f>
        <v/>
      </c>
    </row>
    <row r="8289">
      <c r="B8289" s="25" t="n"/>
      <c r="I8289" s="25" t="n"/>
      <c r="U8289" s="19">
        <f>IF($V8289&lt;&gt;'設定'!$C$4,N(U8288),IF(OR(NOT(COUNTIF('商品マスタ'!$B$6:$B$1005,$W8289)=0),COUNTIFS('①在庫を貼る'!$V$6:$V$10005,$V8289,'①在庫を貼る'!$W$6:$W$10005,$W8289)+COUNTIFS('月1回_1ヶ月前の在庫'!$V$6:$V$10005,$V8289,'月1回_1ヶ月前の在庫'!$W$6:$W$10005,$W8289)&gt;0),N(U8288),N(U8288)+1))</f>
        <v/>
      </c>
      <c r="V8289" s="19">
        <f>IF($B8289="","",TEXT($B8289,"0000"))</f>
        <v/>
      </c>
      <c r="W8289" s="19">
        <f>IF($I8289="","",IF(ISNUMBER($I8289),TEXT($I8289,"0"),$I8289))</f>
        <v/>
      </c>
    </row>
    <row r="8290">
      <c r="B8290" s="25" t="n"/>
      <c r="I8290" s="25" t="n"/>
      <c r="U8290" s="19">
        <f>IF($V8290&lt;&gt;'設定'!$C$4,N(U8289),IF(OR(NOT(COUNTIF('商品マスタ'!$B$6:$B$1005,$W8290)=0),COUNTIFS('①在庫を貼る'!$V$6:$V$10005,$V8290,'①在庫を貼る'!$W$6:$W$10005,$W8290)+COUNTIFS('月1回_1ヶ月前の在庫'!$V$6:$V$10005,$V8290,'月1回_1ヶ月前の在庫'!$W$6:$W$10005,$W8290)&gt;0),N(U8289),N(U8289)+1))</f>
        <v/>
      </c>
      <c r="V8290" s="19">
        <f>IF($B8290="","",TEXT($B8290,"0000"))</f>
        <v/>
      </c>
      <c r="W8290" s="19">
        <f>IF($I8290="","",IF(ISNUMBER($I8290),TEXT($I8290,"0"),$I8290))</f>
        <v/>
      </c>
    </row>
    <row r="8291">
      <c r="B8291" s="25" t="n"/>
      <c r="I8291" s="25" t="n"/>
      <c r="U8291" s="19">
        <f>IF($V8291&lt;&gt;'設定'!$C$4,N(U8290),IF(OR(NOT(COUNTIF('商品マスタ'!$B$6:$B$1005,$W8291)=0),COUNTIFS('①在庫を貼る'!$V$6:$V$10005,$V8291,'①在庫を貼る'!$W$6:$W$10005,$W8291)+COUNTIFS('月1回_1ヶ月前の在庫'!$V$6:$V$10005,$V8291,'月1回_1ヶ月前の在庫'!$W$6:$W$10005,$W8291)&gt;0),N(U8290),N(U8290)+1))</f>
        <v/>
      </c>
      <c r="V8291" s="19">
        <f>IF($B8291="","",TEXT($B8291,"0000"))</f>
        <v/>
      </c>
      <c r="W8291" s="19">
        <f>IF($I8291="","",IF(ISNUMBER($I8291),TEXT($I8291,"0"),$I8291))</f>
        <v/>
      </c>
    </row>
    <row r="8292">
      <c r="B8292" s="25" t="n"/>
      <c r="I8292" s="25" t="n"/>
      <c r="U8292" s="19">
        <f>IF($V8292&lt;&gt;'設定'!$C$4,N(U8291),IF(OR(NOT(COUNTIF('商品マスタ'!$B$6:$B$1005,$W8292)=0),COUNTIFS('①在庫を貼る'!$V$6:$V$10005,$V8292,'①在庫を貼る'!$W$6:$W$10005,$W8292)+COUNTIFS('月1回_1ヶ月前の在庫'!$V$6:$V$10005,$V8292,'月1回_1ヶ月前の在庫'!$W$6:$W$10005,$W8292)&gt;0),N(U8291),N(U8291)+1))</f>
        <v/>
      </c>
      <c r="V8292" s="19">
        <f>IF($B8292="","",TEXT($B8292,"0000"))</f>
        <v/>
      </c>
      <c r="W8292" s="19">
        <f>IF($I8292="","",IF(ISNUMBER($I8292),TEXT($I8292,"0"),$I8292))</f>
        <v/>
      </c>
    </row>
    <row r="8293">
      <c r="B8293" s="25" t="n"/>
      <c r="I8293" s="25" t="n"/>
      <c r="U8293" s="19">
        <f>IF($V8293&lt;&gt;'設定'!$C$4,N(U8292),IF(OR(NOT(COUNTIF('商品マスタ'!$B$6:$B$1005,$W8293)=0),COUNTIFS('①在庫を貼る'!$V$6:$V$10005,$V8293,'①在庫を貼る'!$W$6:$W$10005,$W8293)+COUNTIFS('月1回_1ヶ月前の在庫'!$V$6:$V$10005,$V8293,'月1回_1ヶ月前の在庫'!$W$6:$W$10005,$W8293)&gt;0),N(U8292),N(U8292)+1))</f>
        <v/>
      </c>
      <c r="V8293" s="19">
        <f>IF($B8293="","",TEXT($B8293,"0000"))</f>
        <v/>
      </c>
      <c r="W8293" s="19">
        <f>IF($I8293="","",IF(ISNUMBER($I8293),TEXT($I8293,"0"),$I8293))</f>
        <v/>
      </c>
    </row>
    <row r="8294">
      <c r="B8294" s="25" t="n"/>
      <c r="I8294" s="25" t="n"/>
      <c r="U8294" s="19">
        <f>IF($V8294&lt;&gt;'設定'!$C$4,N(U8293),IF(OR(NOT(COUNTIF('商品マスタ'!$B$6:$B$1005,$W8294)=0),COUNTIFS('①在庫を貼る'!$V$6:$V$10005,$V8294,'①在庫を貼る'!$W$6:$W$10005,$W8294)+COUNTIFS('月1回_1ヶ月前の在庫'!$V$6:$V$10005,$V8294,'月1回_1ヶ月前の在庫'!$W$6:$W$10005,$W8294)&gt;0),N(U8293),N(U8293)+1))</f>
        <v/>
      </c>
      <c r="V8294" s="19">
        <f>IF($B8294="","",TEXT($B8294,"0000"))</f>
        <v/>
      </c>
      <c r="W8294" s="19">
        <f>IF($I8294="","",IF(ISNUMBER($I8294),TEXT($I8294,"0"),$I8294))</f>
        <v/>
      </c>
    </row>
    <row r="8295">
      <c r="B8295" s="25" t="n"/>
      <c r="I8295" s="25" t="n"/>
      <c r="U8295" s="19">
        <f>IF($V8295&lt;&gt;'設定'!$C$4,N(U8294),IF(OR(NOT(COUNTIF('商品マスタ'!$B$6:$B$1005,$W8295)=0),COUNTIFS('①在庫を貼る'!$V$6:$V$10005,$V8295,'①在庫を貼る'!$W$6:$W$10005,$W8295)+COUNTIFS('月1回_1ヶ月前の在庫'!$V$6:$V$10005,$V8295,'月1回_1ヶ月前の在庫'!$W$6:$W$10005,$W8295)&gt;0),N(U8294),N(U8294)+1))</f>
        <v/>
      </c>
      <c r="V8295" s="19">
        <f>IF($B8295="","",TEXT($B8295,"0000"))</f>
        <v/>
      </c>
      <c r="W8295" s="19">
        <f>IF($I8295="","",IF(ISNUMBER($I8295),TEXT($I8295,"0"),$I8295))</f>
        <v/>
      </c>
    </row>
    <row r="8296">
      <c r="B8296" s="25" t="n"/>
      <c r="I8296" s="25" t="n"/>
      <c r="U8296" s="19">
        <f>IF($V8296&lt;&gt;'設定'!$C$4,N(U8295),IF(OR(NOT(COUNTIF('商品マスタ'!$B$6:$B$1005,$W8296)=0),COUNTIFS('①在庫を貼る'!$V$6:$V$10005,$V8296,'①在庫を貼る'!$W$6:$W$10005,$W8296)+COUNTIFS('月1回_1ヶ月前の在庫'!$V$6:$V$10005,$V8296,'月1回_1ヶ月前の在庫'!$W$6:$W$10005,$W8296)&gt;0),N(U8295),N(U8295)+1))</f>
        <v/>
      </c>
      <c r="V8296" s="19">
        <f>IF($B8296="","",TEXT($B8296,"0000"))</f>
        <v/>
      </c>
      <c r="W8296" s="19">
        <f>IF($I8296="","",IF(ISNUMBER($I8296),TEXT($I8296,"0"),$I8296))</f>
        <v/>
      </c>
    </row>
    <row r="8297">
      <c r="B8297" s="25" t="n"/>
      <c r="I8297" s="25" t="n"/>
      <c r="U8297" s="19">
        <f>IF($V8297&lt;&gt;'設定'!$C$4,N(U8296),IF(OR(NOT(COUNTIF('商品マスタ'!$B$6:$B$1005,$W8297)=0),COUNTIFS('①在庫を貼る'!$V$6:$V$10005,$V8297,'①在庫を貼る'!$W$6:$W$10005,$W8297)+COUNTIFS('月1回_1ヶ月前の在庫'!$V$6:$V$10005,$V8297,'月1回_1ヶ月前の在庫'!$W$6:$W$10005,$W8297)&gt;0),N(U8296),N(U8296)+1))</f>
        <v/>
      </c>
      <c r="V8297" s="19">
        <f>IF($B8297="","",TEXT($B8297,"0000"))</f>
        <v/>
      </c>
      <c r="W8297" s="19">
        <f>IF($I8297="","",IF(ISNUMBER($I8297),TEXT($I8297,"0"),$I8297))</f>
        <v/>
      </c>
    </row>
    <row r="8298">
      <c r="B8298" s="25" t="n"/>
      <c r="I8298" s="25" t="n"/>
      <c r="U8298" s="19">
        <f>IF($V8298&lt;&gt;'設定'!$C$4,N(U8297),IF(OR(NOT(COUNTIF('商品マスタ'!$B$6:$B$1005,$W8298)=0),COUNTIFS('①在庫を貼る'!$V$6:$V$10005,$V8298,'①在庫を貼る'!$W$6:$W$10005,$W8298)+COUNTIFS('月1回_1ヶ月前の在庫'!$V$6:$V$10005,$V8298,'月1回_1ヶ月前の在庫'!$W$6:$W$10005,$W8298)&gt;0),N(U8297),N(U8297)+1))</f>
        <v/>
      </c>
      <c r="V8298" s="19">
        <f>IF($B8298="","",TEXT($B8298,"0000"))</f>
        <v/>
      </c>
      <c r="W8298" s="19">
        <f>IF($I8298="","",IF(ISNUMBER($I8298),TEXT($I8298,"0"),$I8298))</f>
        <v/>
      </c>
    </row>
    <row r="8299">
      <c r="B8299" s="25" t="n"/>
      <c r="I8299" s="25" t="n"/>
      <c r="U8299" s="19">
        <f>IF($V8299&lt;&gt;'設定'!$C$4,N(U8298),IF(OR(NOT(COUNTIF('商品マスタ'!$B$6:$B$1005,$W8299)=0),COUNTIFS('①在庫を貼る'!$V$6:$V$10005,$V8299,'①在庫を貼る'!$W$6:$W$10005,$W8299)+COUNTIFS('月1回_1ヶ月前の在庫'!$V$6:$V$10005,$V8299,'月1回_1ヶ月前の在庫'!$W$6:$W$10005,$W8299)&gt;0),N(U8298),N(U8298)+1))</f>
        <v/>
      </c>
      <c r="V8299" s="19">
        <f>IF($B8299="","",TEXT($B8299,"0000"))</f>
        <v/>
      </c>
      <c r="W8299" s="19">
        <f>IF($I8299="","",IF(ISNUMBER($I8299),TEXT($I8299,"0"),$I8299))</f>
        <v/>
      </c>
    </row>
    <row r="8300">
      <c r="B8300" s="25" t="n"/>
      <c r="I8300" s="25" t="n"/>
      <c r="U8300" s="19">
        <f>IF($V8300&lt;&gt;'設定'!$C$4,N(U8299),IF(OR(NOT(COUNTIF('商品マスタ'!$B$6:$B$1005,$W8300)=0),COUNTIFS('①在庫を貼る'!$V$6:$V$10005,$V8300,'①在庫を貼る'!$W$6:$W$10005,$W8300)+COUNTIFS('月1回_1ヶ月前の在庫'!$V$6:$V$10005,$V8300,'月1回_1ヶ月前の在庫'!$W$6:$W$10005,$W8300)&gt;0),N(U8299),N(U8299)+1))</f>
        <v/>
      </c>
      <c r="V8300" s="19">
        <f>IF($B8300="","",TEXT($B8300,"0000"))</f>
        <v/>
      </c>
      <c r="W8300" s="19">
        <f>IF($I8300="","",IF(ISNUMBER($I8300),TEXT($I8300,"0"),$I8300))</f>
        <v/>
      </c>
    </row>
    <row r="8301">
      <c r="B8301" s="25" t="n"/>
      <c r="I8301" s="25" t="n"/>
      <c r="U8301" s="19">
        <f>IF($V8301&lt;&gt;'設定'!$C$4,N(U8300),IF(OR(NOT(COUNTIF('商品マスタ'!$B$6:$B$1005,$W8301)=0),COUNTIFS('①在庫を貼る'!$V$6:$V$10005,$V8301,'①在庫を貼る'!$W$6:$W$10005,$W8301)+COUNTIFS('月1回_1ヶ月前の在庫'!$V$6:$V$10005,$V8301,'月1回_1ヶ月前の在庫'!$W$6:$W$10005,$W8301)&gt;0),N(U8300),N(U8300)+1))</f>
        <v/>
      </c>
      <c r="V8301" s="19">
        <f>IF($B8301="","",TEXT($B8301,"0000"))</f>
        <v/>
      </c>
      <c r="W8301" s="19">
        <f>IF($I8301="","",IF(ISNUMBER($I8301),TEXT($I8301,"0"),$I8301))</f>
        <v/>
      </c>
    </row>
    <row r="8302">
      <c r="B8302" s="25" t="n"/>
      <c r="I8302" s="25" t="n"/>
      <c r="U8302" s="19">
        <f>IF($V8302&lt;&gt;'設定'!$C$4,N(U8301),IF(OR(NOT(COUNTIF('商品マスタ'!$B$6:$B$1005,$W8302)=0),COUNTIFS('①在庫を貼る'!$V$6:$V$10005,$V8302,'①在庫を貼る'!$W$6:$W$10005,$W8302)+COUNTIFS('月1回_1ヶ月前の在庫'!$V$6:$V$10005,$V8302,'月1回_1ヶ月前の在庫'!$W$6:$W$10005,$W8302)&gt;0),N(U8301),N(U8301)+1))</f>
        <v/>
      </c>
      <c r="V8302" s="19">
        <f>IF($B8302="","",TEXT($B8302,"0000"))</f>
        <v/>
      </c>
      <c r="W8302" s="19">
        <f>IF($I8302="","",IF(ISNUMBER($I8302),TEXT($I8302,"0"),$I8302))</f>
        <v/>
      </c>
    </row>
    <row r="8303">
      <c r="B8303" s="25" t="n"/>
      <c r="I8303" s="25" t="n"/>
      <c r="U8303" s="19">
        <f>IF($V8303&lt;&gt;'設定'!$C$4,N(U8302),IF(OR(NOT(COUNTIF('商品マスタ'!$B$6:$B$1005,$W8303)=0),COUNTIFS('①在庫を貼る'!$V$6:$V$10005,$V8303,'①在庫を貼る'!$W$6:$W$10005,$W8303)+COUNTIFS('月1回_1ヶ月前の在庫'!$V$6:$V$10005,$V8303,'月1回_1ヶ月前の在庫'!$W$6:$W$10005,$W8303)&gt;0),N(U8302),N(U8302)+1))</f>
        <v/>
      </c>
      <c r="V8303" s="19">
        <f>IF($B8303="","",TEXT($B8303,"0000"))</f>
        <v/>
      </c>
      <c r="W8303" s="19">
        <f>IF($I8303="","",IF(ISNUMBER($I8303),TEXT($I8303,"0"),$I8303))</f>
        <v/>
      </c>
    </row>
    <row r="8304">
      <c r="B8304" s="25" t="n"/>
      <c r="I8304" s="25" t="n"/>
      <c r="U8304" s="19">
        <f>IF($V8304&lt;&gt;'設定'!$C$4,N(U8303),IF(OR(NOT(COUNTIF('商品マスタ'!$B$6:$B$1005,$W8304)=0),COUNTIFS('①在庫を貼る'!$V$6:$V$10005,$V8304,'①在庫を貼る'!$W$6:$W$10005,$W8304)+COUNTIFS('月1回_1ヶ月前の在庫'!$V$6:$V$10005,$V8304,'月1回_1ヶ月前の在庫'!$W$6:$W$10005,$W8304)&gt;0),N(U8303),N(U8303)+1))</f>
        <v/>
      </c>
      <c r="V8304" s="19">
        <f>IF($B8304="","",TEXT($B8304,"0000"))</f>
        <v/>
      </c>
      <c r="W8304" s="19">
        <f>IF($I8304="","",IF(ISNUMBER($I8304),TEXT($I8304,"0"),$I8304))</f>
        <v/>
      </c>
    </row>
    <row r="8305">
      <c r="B8305" s="25" t="n"/>
      <c r="I8305" s="25" t="n"/>
      <c r="U8305" s="19">
        <f>IF($V8305&lt;&gt;'設定'!$C$4,N(U8304),IF(OR(NOT(COUNTIF('商品マスタ'!$B$6:$B$1005,$W8305)=0),COUNTIFS('①在庫を貼る'!$V$6:$V$10005,$V8305,'①在庫を貼る'!$W$6:$W$10005,$W8305)+COUNTIFS('月1回_1ヶ月前の在庫'!$V$6:$V$10005,$V8305,'月1回_1ヶ月前の在庫'!$W$6:$W$10005,$W8305)&gt;0),N(U8304),N(U8304)+1))</f>
        <v/>
      </c>
      <c r="V8305" s="19">
        <f>IF($B8305="","",TEXT($B8305,"0000"))</f>
        <v/>
      </c>
      <c r="W8305" s="19">
        <f>IF($I8305="","",IF(ISNUMBER($I8305),TEXT($I8305,"0"),$I8305))</f>
        <v/>
      </c>
    </row>
    <row r="8306">
      <c r="B8306" s="25" t="n"/>
      <c r="I8306" s="25" t="n"/>
      <c r="U8306" s="19">
        <f>IF($V8306&lt;&gt;'設定'!$C$4,N(U8305),IF(OR(NOT(COUNTIF('商品マスタ'!$B$6:$B$1005,$W8306)=0),COUNTIFS('①在庫を貼る'!$V$6:$V$10005,$V8306,'①在庫を貼る'!$W$6:$W$10005,$W8306)+COUNTIFS('月1回_1ヶ月前の在庫'!$V$6:$V$10005,$V8306,'月1回_1ヶ月前の在庫'!$W$6:$W$10005,$W8306)&gt;0),N(U8305),N(U8305)+1))</f>
        <v/>
      </c>
      <c r="V8306" s="19">
        <f>IF($B8306="","",TEXT($B8306,"0000"))</f>
        <v/>
      </c>
      <c r="W8306" s="19">
        <f>IF($I8306="","",IF(ISNUMBER($I8306),TEXT($I8306,"0"),$I8306))</f>
        <v/>
      </c>
    </row>
    <row r="8307">
      <c r="B8307" s="25" t="n"/>
      <c r="I8307" s="25" t="n"/>
      <c r="U8307" s="19">
        <f>IF($V8307&lt;&gt;'設定'!$C$4,N(U8306),IF(OR(NOT(COUNTIF('商品マスタ'!$B$6:$B$1005,$W8307)=0),COUNTIFS('①在庫を貼る'!$V$6:$V$10005,$V8307,'①在庫を貼る'!$W$6:$W$10005,$W8307)+COUNTIFS('月1回_1ヶ月前の在庫'!$V$6:$V$10005,$V8307,'月1回_1ヶ月前の在庫'!$W$6:$W$10005,$W8307)&gt;0),N(U8306),N(U8306)+1))</f>
        <v/>
      </c>
      <c r="V8307" s="19">
        <f>IF($B8307="","",TEXT($B8307,"0000"))</f>
        <v/>
      </c>
      <c r="W8307" s="19">
        <f>IF($I8307="","",IF(ISNUMBER($I8307),TEXT($I8307,"0"),$I8307))</f>
        <v/>
      </c>
    </row>
    <row r="8308">
      <c r="B8308" s="25" t="n"/>
      <c r="I8308" s="25" t="n"/>
      <c r="U8308" s="19">
        <f>IF($V8308&lt;&gt;'設定'!$C$4,N(U8307),IF(OR(NOT(COUNTIF('商品マスタ'!$B$6:$B$1005,$W8308)=0),COUNTIFS('①在庫を貼る'!$V$6:$V$10005,$V8308,'①在庫を貼る'!$W$6:$W$10005,$W8308)+COUNTIFS('月1回_1ヶ月前の在庫'!$V$6:$V$10005,$V8308,'月1回_1ヶ月前の在庫'!$W$6:$W$10005,$W8308)&gt;0),N(U8307),N(U8307)+1))</f>
        <v/>
      </c>
      <c r="V8308" s="19">
        <f>IF($B8308="","",TEXT($B8308,"0000"))</f>
        <v/>
      </c>
      <c r="W8308" s="19">
        <f>IF($I8308="","",IF(ISNUMBER($I8308),TEXT($I8308,"0"),$I8308))</f>
        <v/>
      </c>
    </row>
    <row r="8309">
      <c r="B8309" s="25" t="n"/>
      <c r="I8309" s="25" t="n"/>
      <c r="U8309" s="19">
        <f>IF($V8309&lt;&gt;'設定'!$C$4,N(U8308),IF(OR(NOT(COUNTIF('商品マスタ'!$B$6:$B$1005,$W8309)=0),COUNTIFS('①在庫を貼る'!$V$6:$V$10005,$V8309,'①在庫を貼る'!$W$6:$W$10005,$W8309)+COUNTIFS('月1回_1ヶ月前の在庫'!$V$6:$V$10005,$V8309,'月1回_1ヶ月前の在庫'!$W$6:$W$10005,$W8309)&gt;0),N(U8308),N(U8308)+1))</f>
        <v/>
      </c>
      <c r="V8309" s="19">
        <f>IF($B8309="","",TEXT($B8309,"0000"))</f>
        <v/>
      </c>
      <c r="W8309" s="19">
        <f>IF($I8309="","",IF(ISNUMBER($I8309),TEXT($I8309,"0"),$I8309))</f>
        <v/>
      </c>
    </row>
    <row r="8310">
      <c r="B8310" s="25" t="n"/>
      <c r="I8310" s="25" t="n"/>
      <c r="U8310" s="19">
        <f>IF($V8310&lt;&gt;'設定'!$C$4,N(U8309),IF(OR(NOT(COUNTIF('商品マスタ'!$B$6:$B$1005,$W8310)=0),COUNTIFS('①在庫を貼る'!$V$6:$V$10005,$V8310,'①在庫を貼る'!$W$6:$W$10005,$W8310)+COUNTIFS('月1回_1ヶ月前の在庫'!$V$6:$V$10005,$V8310,'月1回_1ヶ月前の在庫'!$W$6:$W$10005,$W8310)&gt;0),N(U8309),N(U8309)+1))</f>
        <v/>
      </c>
      <c r="V8310" s="19">
        <f>IF($B8310="","",TEXT($B8310,"0000"))</f>
        <v/>
      </c>
      <c r="W8310" s="19">
        <f>IF($I8310="","",IF(ISNUMBER($I8310),TEXT($I8310,"0"),$I8310))</f>
        <v/>
      </c>
    </row>
    <row r="8311">
      <c r="B8311" s="25" t="n"/>
      <c r="I8311" s="25" t="n"/>
      <c r="U8311" s="19">
        <f>IF($V8311&lt;&gt;'設定'!$C$4,N(U8310),IF(OR(NOT(COUNTIF('商品マスタ'!$B$6:$B$1005,$W8311)=0),COUNTIFS('①在庫を貼る'!$V$6:$V$10005,$V8311,'①在庫を貼る'!$W$6:$W$10005,$W8311)+COUNTIFS('月1回_1ヶ月前の在庫'!$V$6:$V$10005,$V8311,'月1回_1ヶ月前の在庫'!$W$6:$W$10005,$W8311)&gt;0),N(U8310),N(U8310)+1))</f>
        <v/>
      </c>
      <c r="V8311" s="19">
        <f>IF($B8311="","",TEXT($B8311,"0000"))</f>
        <v/>
      </c>
      <c r="W8311" s="19">
        <f>IF($I8311="","",IF(ISNUMBER($I8311),TEXT($I8311,"0"),$I8311))</f>
        <v/>
      </c>
    </row>
    <row r="8312">
      <c r="B8312" s="25" t="n"/>
      <c r="I8312" s="25" t="n"/>
      <c r="U8312" s="19">
        <f>IF($V8312&lt;&gt;'設定'!$C$4,N(U8311),IF(OR(NOT(COUNTIF('商品マスタ'!$B$6:$B$1005,$W8312)=0),COUNTIFS('①在庫を貼る'!$V$6:$V$10005,$V8312,'①在庫を貼る'!$W$6:$W$10005,$W8312)+COUNTIFS('月1回_1ヶ月前の在庫'!$V$6:$V$10005,$V8312,'月1回_1ヶ月前の在庫'!$W$6:$W$10005,$W8312)&gt;0),N(U8311),N(U8311)+1))</f>
        <v/>
      </c>
      <c r="V8312" s="19">
        <f>IF($B8312="","",TEXT($B8312,"0000"))</f>
        <v/>
      </c>
      <c r="W8312" s="19">
        <f>IF($I8312="","",IF(ISNUMBER($I8312),TEXT($I8312,"0"),$I8312))</f>
        <v/>
      </c>
    </row>
    <row r="8313">
      <c r="B8313" s="25" t="n"/>
      <c r="I8313" s="25" t="n"/>
      <c r="U8313" s="19">
        <f>IF($V8313&lt;&gt;'設定'!$C$4,N(U8312),IF(OR(NOT(COUNTIF('商品マスタ'!$B$6:$B$1005,$W8313)=0),COUNTIFS('①在庫を貼る'!$V$6:$V$10005,$V8313,'①在庫を貼る'!$W$6:$W$10005,$W8313)+COUNTIFS('月1回_1ヶ月前の在庫'!$V$6:$V$10005,$V8313,'月1回_1ヶ月前の在庫'!$W$6:$W$10005,$W8313)&gt;0),N(U8312),N(U8312)+1))</f>
        <v/>
      </c>
      <c r="V8313" s="19">
        <f>IF($B8313="","",TEXT($B8313,"0000"))</f>
        <v/>
      </c>
      <c r="W8313" s="19">
        <f>IF($I8313="","",IF(ISNUMBER($I8313),TEXT($I8313,"0"),$I8313))</f>
        <v/>
      </c>
    </row>
    <row r="8314">
      <c r="B8314" s="25" t="n"/>
      <c r="I8314" s="25" t="n"/>
      <c r="U8314" s="19">
        <f>IF($V8314&lt;&gt;'設定'!$C$4,N(U8313),IF(OR(NOT(COUNTIF('商品マスタ'!$B$6:$B$1005,$W8314)=0),COUNTIFS('①在庫を貼る'!$V$6:$V$10005,$V8314,'①在庫を貼る'!$W$6:$W$10005,$W8314)+COUNTIFS('月1回_1ヶ月前の在庫'!$V$6:$V$10005,$V8314,'月1回_1ヶ月前の在庫'!$W$6:$W$10005,$W8314)&gt;0),N(U8313),N(U8313)+1))</f>
        <v/>
      </c>
      <c r="V8314" s="19">
        <f>IF($B8314="","",TEXT($B8314,"0000"))</f>
        <v/>
      </c>
      <c r="W8314" s="19">
        <f>IF($I8314="","",IF(ISNUMBER($I8314),TEXT($I8314,"0"),$I8314))</f>
        <v/>
      </c>
    </row>
    <row r="8315">
      <c r="B8315" s="25" t="n"/>
      <c r="I8315" s="25" t="n"/>
      <c r="U8315" s="19">
        <f>IF($V8315&lt;&gt;'設定'!$C$4,N(U8314),IF(OR(NOT(COUNTIF('商品マスタ'!$B$6:$B$1005,$W8315)=0),COUNTIFS('①在庫を貼る'!$V$6:$V$10005,$V8315,'①在庫を貼る'!$W$6:$W$10005,$W8315)+COUNTIFS('月1回_1ヶ月前の在庫'!$V$6:$V$10005,$V8315,'月1回_1ヶ月前の在庫'!$W$6:$W$10005,$W8315)&gt;0),N(U8314),N(U8314)+1))</f>
        <v/>
      </c>
      <c r="V8315" s="19">
        <f>IF($B8315="","",TEXT($B8315,"0000"))</f>
        <v/>
      </c>
      <c r="W8315" s="19">
        <f>IF($I8315="","",IF(ISNUMBER($I8315),TEXT($I8315,"0"),$I8315))</f>
        <v/>
      </c>
    </row>
    <row r="8316">
      <c r="B8316" s="25" t="n"/>
      <c r="I8316" s="25" t="n"/>
      <c r="U8316" s="19">
        <f>IF($V8316&lt;&gt;'設定'!$C$4,N(U8315),IF(OR(NOT(COUNTIF('商品マスタ'!$B$6:$B$1005,$W8316)=0),COUNTIFS('①在庫を貼る'!$V$6:$V$10005,$V8316,'①在庫を貼る'!$W$6:$W$10005,$W8316)+COUNTIFS('月1回_1ヶ月前の在庫'!$V$6:$V$10005,$V8316,'月1回_1ヶ月前の在庫'!$W$6:$W$10005,$W8316)&gt;0),N(U8315),N(U8315)+1))</f>
        <v/>
      </c>
      <c r="V8316" s="19">
        <f>IF($B8316="","",TEXT($B8316,"0000"))</f>
        <v/>
      </c>
      <c r="W8316" s="19">
        <f>IF($I8316="","",IF(ISNUMBER($I8316),TEXT($I8316,"0"),$I8316))</f>
        <v/>
      </c>
    </row>
    <row r="8317">
      <c r="B8317" s="25" t="n"/>
      <c r="I8317" s="25" t="n"/>
      <c r="U8317" s="19">
        <f>IF($V8317&lt;&gt;'設定'!$C$4,N(U8316),IF(OR(NOT(COUNTIF('商品マスタ'!$B$6:$B$1005,$W8317)=0),COUNTIFS('①在庫を貼る'!$V$6:$V$10005,$V8317,'①在庫を貼る'!$W$6:$W$10005,$W8317)+COUNTIFS('月1回_1ヶ月前の在庫'!$V$6:$V$10005,$V8317,'月1回_1ヶ月前の在庫'!$W$6:$W$10005,$W8317)&gt;0),N(U8316),N(U8316)+1))</f>
        <v/>
      </c>
      <c r="V8317" s="19">
        <f>IF($B8317="","",TEXT($B8317,"0000"))</f>
        <v/>
      </c>
      <c r="W8317" s="19">
        <f>IF($I8317="","",IF(ISNUMBER($I8317),TEXT($I8317,"0"),$I8317))</f>
        <v/>
      </c>
    </row>
    <row r="8318">
      <c r="B8318" s="25" t="n"/>
      <c r="I8318" s="25" t="n"/>
      <c r="U8318" s="19">
        <f>IF($V8318&lt;&gt;'設定'!$C$4,N(U8317),IF(OR(NOT(COUNTIF('商品マスタ'!$B$6:$B$1005,$W8318)=0),COUNTIFS('①在庫を貼る'!$V$6:$V$10005,$V8318,'①在庫を貼る'!$W$6:$W$10005,$W8318)+COUNTIFS('月1回_1ヶ月前の在庫'!$V$6:$V$10005,$V8318,'月1回_1ヶ月前の在庫'!$W$6:$W$10005,$W8318)&gt;0),N(U8317),N(U8317)+1))</f>
        <v/>
      </c>
      <c r="V8318" s="19">
        <f>IF($B8318="","",TEXT($B8318,"0000"))</f>
        <v/>
      </c>
      <c r="W8318" s="19">
        <f>IF($I8318="","",IF(ISNUMBER($I8318),TEXT($I8318,"0"),$I8318))</f>
        <v/>
      </c>
    </row>
    <row r="8319">
      <c r="B8319" s="25" t="n"/>
      <c r="I8319" s="25" t="n"/>
      <c r="U8319" s="19">
        <f>IF($V8319&lt;&gt;'設定'!$C$4,N(U8318),IF(OR(NOT(COUNTIF('商品マスタ'!$B$6:$B$1005,$W8319)=0),COUNTIFS('①在庫を貼る'!$V$6:$V$10005,$V8319,'①在庫を貼る'!$W$6:$W$10005,$W8319)+COUNTIFS('月1回_1ヶ月前の在庫'!$V$6:$V$10005,$V8319,'月1回_1ヶ月前の在庫'!$W$6:$W$10005,$W8319)&gt;0),N(U8318),N(U8318)+1))</f>
        <v/>
      </c>
      <c r="V8319" s="19">
        <f>IF($B8319="","",TEXT($B8319,"0000"))</f>
        <v/>
      </c>
      <c r="W8319" s="19">
        <f>IF($I8319="","",IF(ISNUMBER($I8319),TEXT($I8319,"0"),$I8319))</f>
        <v/>
      </c>
    </row>
    <row r="8320">
      <c r="B8320" s="25" t="n"/>
      <c r="I8320" s="25" t="n"/>
      <c r="U8320" s="19">
        <f>IF($V8320&lt;&gt;'設定'!$C$4,N(U8319),IF(OR(NOT(COUNTIF('商品マスタ'!$B$6:$B$1005,$W8320)=0),COUNTIFS('①在庫を貼る'!$V$6:$V$10005,$V8320,'①在庫を貼る'!$W$6:$W$10005,$W8320)+COUNTIFS('月1回_1ヶ月前の在庫'!$V$6:$V$10005,$V8320,'月1回_1ヶ月前の在庫'!$W$6:$W$10005,$W8320)&gt;0),N(U8319),N(U8319)+1))</f>
        <v/>
      </c>
      <c r="V8320" s="19">
        <f>IF($B8320="","",TEXT($B8320,"0000"))</f>
        <v/>
      </c>
      <c r="W8320" s="19">
        <f>IF($I8320="","",IF(ISNUMBER($I8320),TEXT($I8320,"0"),$I8320))</f>
        <v/>
      </c>
    </row>
    <row r="8321">
      <c r="B8321" s="25" t="n"/>
      <c r="I8321" s="25" t="n"/>
      <c r="U8321" s="19">
        <f>IF($V8321&lt;&gt;'設定'!$C$4,N(U8320),IF(OR(NOT(COUNTIF('商品マスタ'!$B$6:$B$1005,$W8321)=0),COUNTIFS('①在庫を貼る'!$V$6:$V$10005,$V8321,'①在庫を貼る'!$W$6:$W$10005,$W8321)+COUNTIFS('月1回_1ヶ月前の在庫'!$V$6:$V$10005,$V8321,'月1回_1ヶ月前の在庫'!$W$6:$W$10005,$W8321)&gt;0),N(U8320),N(U8320)+1))</f>
        <v/>
      </c>
      <c r="V8321" s="19">
        <f>IF($B8321="","",TEXT($B8321,"0000"))</f>
        <v/>
      </c>
      <c r="W8321" s="19">
        <f>IF($I8321="","",IF(ISNUMBER($I8321),TEXT($I8321,"0"),$I8321))</f>
        <v/>
      </c>
    </row>
    <row r="8322">
      <c r="B8322" s="25" t="n"/>
      <c r="I8322" s="25" t="n"/>
      <c r="U8322" s="19">
        <f>IF($V8322&lt;&gt;'設定'!$C$4,N(U8321),IF(OR(NOT(COUNTIF('商品マスタ'!$B$6:$B$1005,$W8322)=0),COUNTIFS('①在庫を貼る'!$V$6:$V$10005,$V8322,'①在庫を貼る'!$W$6:$W$10005,$W8322)+COUNTIFS('月1回_1ヶ月前の在庫'!$V$6:$V$10005,$V8322,'月1回_1ヶ月前の在庫'!$W$6:$W$10005,$W8322)&gt;0),N(U8321),N(U8321)+1))</f>
        <v/>
      </c>
      <c r="V8322" s="19">
        <f>IF($B8322="","",TEXT($B8322,"0000"))</f>
        <v/>
      </c>
      <c r="W8322" s="19">
        <f>IF($I8322="","",IF(ISNUMBER($I8322),TEXT($I8322,"0"),$I8322))</f>
        <v/>
      </c>
    </row>
    <row r="8323">
      <c r="B8323" s="25" t="n"/>
      <c r="I8323" s="25" t="n"/>
      <c r="U8323" s="19">
        <f>IF($V8323&lt;&gt;'設定'!$C$4,N(U8322),IF(OR(NOT(COUNTIF('商品マスタ'!$B$6:$B$1005,$W8323)=0),COUNTIFS('①在庫を貼る'!$V$6:$V$10005,$V8323,'①在庫を貼る'!$W$6:$W$10005,$W8323)+COUNTIFS('月1回_1ヶ月前の在庫'!$V$6:$V$10005,$V8323,'月1回_1ヶ月前の在庫'!$W$6:$W$10005,$W8323)&gt;0),N(U8322),N(U8322)+1))</f>
        <v/>
      </c>
      <c r="V8323" s="19">
        <f>IF($B8323="","",TEXT($B8323,"0000"))</f>
        <v/>
      </c>
      <c r="W8323" s="19">
        <f>IF($I8323="","",IF(ISNUMBER($I8323),TEXT($I8323,"0"),$I8323))</f>
        <v/>
      </c>
    </row>
    <row r="8324">
      <c r="B8324" s="25" t="n"/>
      <c r="I8324" s="25" t="n"/>
      <c r="U8324" s="19">
        <f>IF($V8324&lt;&gt;'設定'!$C$4,N(U8323),IF(OR(NOT(COUNTIF('商品マスタ'!$B$6:$B$1005,$W8324)=0),COUNTIFS('①在庫を貼る'!$V$6:$V$10005,$V8324,'①在庫を貼る'!$W$6:$W$10005,$W8324)+COUNTIFS('月1回_1ヶ月前の在庫'!$V$6:$V$10005,$V8324,'月1回_1ヶ月前の在庫'!$W$6:$W$10005,$W8324)&gt;0),N(U8323),N(U8323)+1))</f>
        <v/>
      </c>
      <c r="V8324" s="19">
        <f>IF($B8324="","",TEXT($B8324,"0000"))</f>
        <v/>
      </c>
      <c r="W8324" s="19">
        <f>IF($I8324="","",IF(ISNUMBER($I8324),TEXT($I8324,"0"),$I8324))</f>
        <v/>
      </c>
    </row>
    <row r="8325">
      <c r="B8325" s="25" t="n"/>
      <c r="I8325" s="25" t="n"/>
      <c r="U8325" s="19">
        <f>IF($V8325&lt;&gt;'設定'!$C$4,N(U8324),IF(OR(NOT(COUNTIF('商品マスタ'!$B$6:$B$1005,$W8325)=0),COUNTIFS('①在庫を貼る'!$V$6:$V$10005,$V8325,'①在庫を貼る'!$W$6:$W$10005,$W8325)+COUNTIFS('月1回_1ヶ月前の在庫'!$V$6:$V$10005,$V8325,'月1回_1ヶ月前の在庫'!$W$6:$W$10005,$W8325)&gt;0),N(U8324),N(U8324)+1))</f>
        <v/>
      </c>
      <c r="V8325" s="19">
        <f>IF($B8325="","",TEXT($B8325,"0000"))</f>
        <v/>
      </c>
      <c r="W8325" s="19">
        <f>IF($I8325="","",IF(ISNUMBER($I8325),TEXT($I8325,"0"),$I8325))</f>
        <v/>
      </c>
    </row>
    <row r="8326">
      <c r="B8326" s="25" t="n"/>
      <c r="I8326" s="25" t="n"/>
      <c r="U8326" s="19">
        <f>IF($V8326&lt;&gt;'設定'!$C$4,N(U8325),IF(OR(NOT(COUNTIF('商品マスタ'!$B$6:$B$1005,$W8326)=0),COUNTIFS('①在庫を貼る'!$V$6:$V$10005,$V8326,'①在庫を貼る'!$W$6:$W$10005,$W8326)+COUNTIFS('月1回_1ヶ月前の在庫'!$V$6:$V$10005,$V8326,'月1回_1ヶ月前の在庫'!$W$6:$W$10005,$W8326)&gt;0),N(U8325),N(U8325)+1))</f>
        <v/>
      </c>
      <c r="V8326" s="19">
        <f>IF($B8326="","",TEXT($B8326,"0000"))</f>
        <v/>
      </c>
      <c r="W8326" s="19">
        <f>IF($I8326="","",IF(ISNUMBER($I8326),TEXT($I8326,"0"),$I8326))</f>
        <v/>
      </c>
    </row>
    <row r="8327">
      <c r="B8327" s="25" t="n"/>
      <c r="I8327" s="25" t="n"/>
      <c r="U8327" s="19">
        <f>IF($V8327&lt;&gt;'設定'!$C$4,N(U8326),IF(OR(NOT(COUNTIF('商品マスタ'!$B$6:$B$1005,$W8327)=0),COUNTIFS('①在庫を貼る'!$V$6:$V$10005,$V8327,'①在庫を貼る'!$W$6:$W$10005,$W8327)+COUNTIFS('月1回_1ヶ月前の在庫'!$V$6:$V$10005,$V8327,'月1回_1ヶ月前の在庫'!$W$6:$W$10005,$W8327)&gt;0),N(U8326),N(U8326)+1))</f>
        <v/>
      </c>
      <c r="V8327" s="19">
        <f>IF($B8327="","",TEXT($B8327,"0000"))</f>
        <v/>
      </c>
      <c r="W8327" s="19">
        <f>IF($I8327="","",IF(ISNUMBER($I8327),TEXT($I8327,"0"),$I8327))</f>
        <v/>
      </c>
    </row>
    <row r="8328">
      <c r="B8328" s="25" t="n"/>
      <c r="I8328" s="25" t="n"/>
      <c r="U8328" s="19">
        <f>IF($V8328&lt;&gt;'設定'!$C$4,N(U8327),IF(OR(NOT(COUNTIF('商品マスタ'!$B$6:$B$1005,$W8328)=0),COUNTIFS('①在庫を貼る'!$V$6:$V$10005,$V8328,'①在庫を貼る'!$W$6:$W$10005,$W8328)+COUNTIFS('月1回_1ヶ月前の在庫'!$V$6:$V$10005,$V8328,'月1回_1ヶ月前の在庫'!$W$6:$W$10005,$W8328)&gt;0),N(U8327),N(U8327)+1))</f>
        <v/>
      </c>
      <c r="V8328" s="19">
        <f>IF($B8328="","",TEXT($B8328,"0000"))</f>
        <v/>
      </c>
      <c r="W8328" s="19">
        <f>IF($I8328="","",IF(ISNUMBER($I8328),TEXT($I8328,"0"),$I8328))</f>
        <v/>
      </c>
    </row>
    <row r="8329">
      <c r="B8329" s="25" t="n"/>
      <c r="I8329" s="25" t="n"/>
      <c r="U8329" s="19">
        <f>IF($V8329&lt;&gt;'設定'!$C$4,N(U8328),IF(OR(NOT(COUNTIF('商品マスタ'!$B$6:$B$1005,$W8329)=0),COUNTIFS('①在庫を貼る'!$V$6:$V$10005,$V8329,'①在庫を貼る'!$W$6:$W$10005,$W8329)+COUNTIFS('月1回_1ヶ月前の在庫'!$V$6:$V$10005,$V8329,'月1回_1ヶ月前の在庫'!$W$6:$W$10005,$W8329)&gt;0),N(U8328),N(U8328)+1))</f>
        <v/>
      </c>
      <c r="V8329" s="19">
        <f>IF($B8329="","",TEXT($B8329,"0000"))</f>
        <v/>
      </c>
      <c r="W8329" s="19">
        <f>IF($I8329="","",IF(ISNUMBER($I8329),TEXT($I8329,"0"),$I8329))</f>
        <v/>
      </c>
    </row>
    <row r="8330">
      <c r="B8330" s="25" t="n"/>
      <c r="I8330" s="25" t="n"/>
      <c r="U8330" s="19">
        <f>IF($V8330&lt;&gt;'設定'!$C$4,N(U8329),IF(OR(NOT(COUNTIF('商品マスタ'!$B$6:$B$1005,$W8330)=0),COUNTIFS('①在庫を貼る'!$V$6:$V$10005,$V8330,'①在庫を貼る'!$W$6:$W$10005,$W8330)+COUNTIFS('月1回_1ヶ月前の在庫'!$V$6:$V$10005,$V8330,'月1回_1ヶ月前の在庫'!$W$6:$W$10005,$W8330)&gt;0),N(U8329),N(U8329)+1))</f>
        <v/>
      </c>
      <c r="V8330" s="19">
        <f>IF($B8330="","",TEXT($B8330,"0000"))</f>
        <v/>
      </c>
      <c r="W8330" s="19">
        <f>IF($I8330="","",IF(ISNUMBER($I8330),TEXT($I8330,"0"),$I8330))</f>
        <v/>
      </c>
    </row>
    <row r="8331">
      <c r="B8331" s="25" t="n"/>
      <c r="I8331" s="25" t="n"/>
      <c r="U8331" s="19">
        <f>IF($V8331&lt;&gt;'設定'!$C$4,N(U8330),IF(OR(NOT(COUNTIF('商品マスタ'!$B$6:$B$1005,$W8331)=0),COUNTIFS('①在庫を貼る'!$V$6:$V$10005,$V8331,'①在庫を貼る'!$W$6:$W$10005,$W8331)+COUNTIFS('月1回_1ヶ月前の在庫'!$V$6:$V$10005,$V8331,'月1回_1ヶ月前の在庫'!$W$6:$W$10005,$W8331)&gt;0),N(U8330),N(U8330)+1))</f>
        <v/>
      </c>
      <c r="V8331" s="19">
        <f>IF($B8331="","",TEXT($B8331,"0000"))</f>
        <v/>
      </c>
      <c r="W8331" s="19">
        <f>IF($I8331="","",IF(ISNUMBER($I8331),TEXT($I8331,"0"),$I8331))</f>
        <v/>
      </c>
    </row>
    <row r="8332">
      <c r="B8332" s="25" t="n"/>
      <c r="I8332" s="25" t="n"/>
      <c r="U8332" s="19">
        <f>IF($V8332&lt;&gt;'設定'!$C$4,N(U8331),IF(OR(NOT(COUNTIF('商品マスタ'!$B$6:$B$1005,$W8332)=0),COUNTIFS('①在庫を貼る'!$V$6:$V$10005,$V8332,'①在庫を貼る'!$W$6:$W$10005,$W8332)+COUNTIFS('月1回_1ヶ月前の在庫'!$V$6:$V$10005,$V8332,'月1回_1ヶ月前の在庫'!$W$6:$W$10005,$W8332)&gt;0),N(U8331),N(U8331)+1))</f>
        <v/>
      </c>
      <c r="V8332" s="19">
        <f>IF($B8332="","",TEXT($B8332,"0000"))</f>
        <v/>
      </c>
      <c r="W8332" s="19">
        <f>IF($I8332="","",IF(ISNUMBER($I8332),TEXT($I8332,"0"),$I8332))</f>
        <v/>
      </c>
    </row>
    <row r="8333">
      <c r="B8333" s="25" t="n"/>
      <c r="I8333" s="25" t="n"/>
      <c r="U8333" s="19">
        <f>IF($V8333&lt;&gt;'設定'!$C$4,N(U8332),IF(OR(NOT(COUNTIF('商品マスタ'!$B$6:$B$1005,$W8333)=0),COUNTIFS('①在庫を貼る'!$V$6:$V$10005,$V8333,'①在庫を貼る'!$W$6:$W$10005,$W8333)+COUNTIFS('月1回_1ヶ月前の在庫'!$V$6:$V$10005,$V8333,'月1回_1ヶ月前の在庫'!$W$6:$W$10005,$W8333)&gt;0),N(U8332),N(U8332)+1))</f>
        <v/>
      </c>
      <c r="V8333" s="19">
        <f>IF($B8333="","",TEXT($B8333,"0000"))</f>
        <v/>
      </c>
      <c r="W8333" s="19">
        <f>IF($I8333="","",IF(ISNUMBER($I8333),TEXT($I8333,"0"),$I8333))</f>
        <v/>
      </c>
    </row>
    <row r="8334">
      <c r="B8334" s="25" t="n"/>
      <c r="I8334" s="25" t="n"/>
      <c r="U8334" s="19">
        <f>IF($V8334&lt;&gt;'設定'!$C$4,N(U8333),IF(OR(NOT(COUNTIF('商品マスタ'!$B$6:$B$1005,$W8334)=0),COUNTIFS('①在庫を貼る'!$V$6:$V$10005,$V8334,'①在庫を貼る'!$W$6:$W$10005,$W8334)+COUNTIFS('月1回_1ヶ月前の在庫'!$V$6:$V$10005,$V8334,'月1回_1ヶ月前の在庫'!$W$6:$W$10005,$W8334)&gt;0),N(U8333),N(U8333)+1))</f>
        <v/>
      </c>
      <c r="V8334" s="19">
        <f>IF($B8334="","",TEXT($B8334,"0000"))</f>
        <v/>
      </c>
      <c r="W8334" s="19">
        <f>IF($I8334="","",IF(ISNUMBER($I8334),TEXT($I8334,"0"),$I8334))</f>
        <v/>
      </c>
    </row>
    <row r="8335">
      <c r="B8335" s="25" t="n"/>
      <c r="I8335" s="25" t="n"/>
      <c r="U8335" s="19">
        <f>IF($V8335&lt;&gt;'設定'!$C$4,N(U8334),IF(OR(NOT(COUNTIF('商品マスタ'!$B$6:$B$1005,$W8335)=0),COUNTIFS('①在庫を貼る'!$V$6:$V$10005,$V8335,'①在庫を貼る'!$W$6:$W$10005,$W8335)+COUNTIFS('月1回_1ヶ月前の在庫'!$V$6:$V$10005,$V8335,'月1回_1ヶ月前の在庫'!$W$6:$W$10005,$W8335)&gt;0),N(U8334),N(U8334)+1))</f>
        <v/>
      </c>
      <c r="V8335" s="19">
        <f>IF($B8335="","",TEXT($B8335,"0000"))</f>
        <v/>
      </c>
      <c r="W8335" s="19">
        <f>IF($I8335="","",IF(ISNUMBER($I8335),TEXT($I8335,"0"),$I8335))</f>
        <v/>
      </c>
    </row>
    <row r="8336">
      <c r="B8336" s="25" t="n"/>
      <c r="I8336" s="25" t="n"/>
      <c r="U8336" s="19">
        <f>IF($V8336&lt;&gt;'設定'!$C$4,N(U8335),IF(OR(NOT(COUNTIF('商品マスタ'!$B$6:$B$1005,$W8336)=0),COUNTIFS('①在庫を貼る'!$V$6:$V$10005,$V8336,'①在庫を貼る'!$W$6:$W$10005,$W8336)+COUNTIFS('月1回_1ヶ月前の在庫'!$V$6:$V$10005,$V8336,'月1回_1ヶ月前の在庫'!$W$6:$W$10005,$W8336)&gt;0),N(U8335),N(U8335)+1))</f>
        <v/>
      </c>
      <c r="V8336" s="19">
        <f>IF($B8336="","",TEXT($B8336,"0000"))</f>
        <v/>
      </c>
      <c r="W8336" s="19">
        <f>IF($I8336="","",IF(ISNUMBER($I8336),TEXT($I8336,"0"),$I8336))</f>
        <v/>
      </c>
    </row>
    <row r="8337">
      <c r="B8337" s="25" t="n"/>
      <c r="I8337" s="25" t="n"/>
      <c r="U8337" s="19">
        <f>IF($V8337&lt;&gt;'設定'!$C$4,N(U8336),IF(OR(NOT(COUNTIF('商品マスタ'!$B$6:$B$1005,$W8337)=0),COUNTIFS('①在庫を貼る'!$V$6:$V$10005,$V8337,'①在庫を貼る'!$W$6:$W$10005,$W8337)+COUNTIFS('月1回_1ヶ月前の在庫'!$V$6:$V$10005,$V8337,'月1回_1ヶ月前の在庫'!$W$6:$W$10005,$W8337)&gt;0),N(U8336),N(U8336)+1))</f>
        <v/>
      </c>
      <c r="V8337" s="19">
        <f>IF($B8337="","",TEXT($B8337,"0000"))</f>
        <v/>
      </c>
      <c r="W8337" s="19">
        <f>IF($I8337="","",IF(ISNUMBER($I8337),TEXT($I8337,"0"),$I8337))</f>
        <v/>
      </c>
    </row>
    <row r="8338">
      <c r="B8338" s="25" t="n"/>
      <c r="I8338" s="25" t="n"/>
      <c r="U8338" s="19">
        <f>IF($V8338&lt;&gt;'設定'!$C$4,N(U8337),IF(OR(NOT(COUNTIF('商品マスタ'!$B$6:$B$1005,$W8338)=0),COUNTIFS('①在庫を貼る'!$V$6:$V$10005,$V8338,'①在庫を貼る'!$W$6:$W$10005,$W8338)+COUNTIFS('月1回_1ヶ月前の在庫'!$V$6:$V$10005,$V8338,'月1回_1ヶ月前の在庫'!$W$6:$W$10005,$W8338)&gt;0),N(U8337),N(U8337)+1))</f>
        <v/>
      </c>
      <c r="V8338" s="19">
        <f>IF($B8338="","",TEXT($B8338,"0000"))</f>
        <v/>
      </c>
      <c r="W8338" s="19">
        <f>IF($I8338="","",IF(ISNUMBER($I8338),TEXT($I8338,"0"),$I8338))</f>
        <v/>
      </c>
    </row>
    <row r="8339">
      <c r="B8339" s="25" t="n"/>
      <c r="I8339" s="25" t="n"/>
      <c r="U8339" s="19">
        <f>IF($V8339&lt;&gt;'設定'!$C$4,N(U8338),IF(OR(NOT(COUNTIF('商品マスタ'!$B$6:$B$1005,$W8339)=0),COUNTIFS('①在庫を貼る'!$V$6:$V$10005,$V8339,'①在庫を貼る'!$W$6:$W$10005,$W8339)+COUNTIFS('月1回_1ヶ月前の在庫'!$V$6:$V$10005,$V8339,'月1回_1ヶ月前の在庫'!$W$6:$W$10005,$W8339)&gt;0),N(U8338),N(U8338)+1))</f>
        <v/>
      </c>
      <c r="V8339" s="19">
        <f>IF($B8339="","",TEXT($B8339,"0000"))</f>
        <v/>
      </c>
      <c r="W8339" s="19">
        <f>IF($I8339="","",IF(ISNUMBER($I8339),TEXT($I8339,"0"),$I8339))</f>
        <v/>
      </c>
    </row>
    <row r="8340">
      <c r="B8340" s="25" t="n"/>
      <c r="I8340" s="25" t="n"/>
      <c r="U8340" s="19">
        <f>IF($V8340&lt;&gt;'設定'!$C$4,N(U8339),IF(OR(NOT(COUNTIF('商品マスタ'!$B$6:$B$1005,$W8340)=0),COUNTIFS('①在庫を貼る'!$V$6:$V$10005,$V8340,'①在庫を貼る'!$W$6:$W$10005,$W8340)+COUNTIFS('月1回_1ヶ月前の在庫'!$V$6:$V$10005,$V8340,'月1回_1ヶ月前の在庫'!$W$6:$W$10005,$W8340)&gt;0),N(U8339),N(U8339)+1))</f>
        <v/>
      </c>
      <c r="V8340" s="19">
        <f>IF($B8340="","",TEXT($B8340,"0000"))</f>
        <v/>
      </c>
      <c r="W8340" s="19">
        <f>IF($I8340="","",IF(ISNUMBER($I8340),TEXT($I8340,"0"),$I8340))</f>
        <v/>
      </c>
    </row>
    <row r="8341">
      <c r="B8341" s="25" t="n"/>
      <c r="I8341" s="25" t="n"/>
      <c r="U8341" s="19">
        <f>IF($V8341&lt;&gt;'設定'!$C$4,N(U8340),IF(OR(NOT(COUNTIF('商品マスタ'!$B$6:$B$1005,$W8341)=0),COUNTIFS('①在庫を貼る'!$V$6:$V$10005,$V8341,'①在庫を貼る'!$W$6:$W$10005,$W8341)+COUNTIFS('月1回_1ヶ月前の在庫'!$V$6:$V$10005,$V8341,'月1回_1ヶ月前の在庫'!$W$6:$W$10005,$W8341)&gt;0),N(U8340),N(U8340)+1))</f>
        <v/>
      </c>
      <c r="V8341" s="19">
        <f>IF($B8341="","",TEXT($B8341,"0000"))</f>
        <v/>
      </c>
      <c r="W8341" s="19">
        <f>IF($I8341="","",IF(ISNUMBER($I8341),TEXT($I8341,"0"),$I8341))</f>
        <v/>
      </c>
    </row>
    <row r="8342">
      <c r="B8342" s="25" t="n"/>
      <c r="I8342" s="25" t="n"/>
      <c r="U8342" s="19">
        <f>IF($V8342&lt;&gt;'設定'!$C$4,N(U8341),IF(OR(NOT(COUNTIF('商品マスタ'!$B$6:$B$1005,$W8342)=0),COUNTIFS('①在庫を貼る'!$V$6:$V$10005,$V8342,'①在庫を貼る'!$W$6:$W$10005,$W8342)+COUNTIFS('月1回_1ヶ月前の在庫'!$V$6:$V$10005,$V8342,'月1回_1ヶ月前の在庫'!$W$6:$W$10005,$W8342)&gt;0),N(U8341),N(U8341)+1))</f>
        <v/>
      </c>
      <c r="V8342" s="19">
        <f>IF($B8342="","",TEXT($B8342,"0000"))</f>
        <v/>
      </c>
      <c r="W8342" s="19">
        <f>IF($I8342="","",IF(ISNUMBER($I8342),TEXT($I8342,"0"),$I8342))</f>
        <v/>
      </c>
    </row>
    <row r="8343">
      <c r="B8343" s="25" t="n"/>
      <c r="I8343" s="25" t="n"/>
      <c r="U8343" s="19">
        <f>IF($V8343&lt;&gt;'設定'!$C$4,N(U8342),IF(OR(NOT(COUNTIF('商品マスタ'!$B$6:$B$1005,$W8343)=0),COUNTIFS('①在庫を貼る'!$V$6:$V$10005,$V8343,'①在庫を貼る'!$W$6:$W$10005,$W8343)+COUNTIFS('月1回_1ヶ月前の在庫'!$V$6:$V$10005,$V8343,'月1回_1ヶ月前の在庫'!$W$6:$W$10005,$W8343)&gt;0),N(U8342),N(U8342)+1))</f>
        <v/>
      </c>
      <c r="V8343" s="19">
        <f>IF($B8343="","",TEXT($B8343,"0000"))</f>
        <v/>
      </c>
      <c r="W8343" s="19">
        <f>IF($I8343="","",IF(ISNUMBER($I8343),TEXT($I8343,"0"),$I8343))</f>
        <v/>
      </c>
    </row>
    <row r="8344">
      <c r="B8344" s="25" t="n"/>
      <c r="I8344" s="25" t="n"/>
      <c r="U8344" s="19">
        <f>IF($V8344&lt;&gt;'設定'!$C$4,N(U8343),IF(OR(NOT(COUNTIF('商品マスタ'!$B$6:$B$1005,$W8344)=0),COUNTIFS('①在庫を貼る'!$V$6:$V$10005,$V8344,'①在庫を貼る'!$W$6:$W$10005,$W8344)+COUNTIFS('月1回_1ヶ月前の在庫'!$V$6:$V$10005,$V8344,'月1回_1ヶ月前の在庫'!$W$6:$W$10005,$W8344)&gt;0),N(U8343),N(U8343)+1))</f>
        <v/>
      </c>
      <c r="V8344" s="19">
        <f>IF($B8344="","",TEXT($B8344,"0000"))</f>
        <v/>
      </c>
      <c r="W8344" s="19">
        <f>IF($I8344="","",IF(ISNUMBER($I8344),TEXT($I8344,"0"),$I8344))</f>
        <v/>
      </c>
    </row>
    <row r="8345">
      <c r="B8345" s="25" t="n"/>
      <c r="I8345" s="25" t="n"/>
      <c r="U8345" s="19">
        <f>IF($V8345&lt;&gt;'設定'!$C$4,N(U8344),IF(OR(NOT(COUNTIF('商品マスタ'!$B$6:$B$1005,$W8345)=0),COUNTIFS('①在庫を貼る'!$V$6:$V$10005,$V8345,'①在庫を貼る'!$W$6:$W$10005,$W8345)+COUNTIFS('月1回_1ヶ月前の在庫'!$V$6:$V$10005,$V8345,'月1回_1ヶ月前の在庫'!$W$6:$W$10005,$W8345)&gt;0),N(U8344),N(U8344)+1))</f>
        <v/>
      </c>
      <c r="V8345" s="19">
        <f>IF($B8345="","",TEXT($B8345,"0000"))</f>
        <v/>
      </c>
      <c r="W8345" s="19">
        <f>IF($I8345="","",IF(ISNUMBER($I8345),TEXT($I8345,"0"),$I8345))</f>
        <v/>
      </c>
    </row>
    <row r="8346">
      <c r="B8346" s="25" t="n"/>
      <c r="I8346" s="25" t="n"/>
      <c r="U8346" s="19">
        <f>IF($V8346&lt;&gt;'設定'!$C$4,N(U8345),IF(OR(NOT(COUNTIF('商品マスタ'!$B$6:$B$1005,$W8346)=0),COUNTIFS('①在庫を貼る'!$V$6:$V$10005,$V8346,'①在庫を貼る'!$W$6:$W$10005,$W8346)+COUNTIFS('月1回_1ヶ月前の在庫'!$V$6:$V$10005,$V8346,'月1回_1ヶ月前の在庫'!$W$6:$W$10005,$W8346)&gt;0),N(U8345),N(U8345)+1))</f>
        <v/>
      </c>
      <c r="V8346" s="19">
        <f>IF($B8346="","",TEXT($B8346,"0000"))</f>
        <v/>
      </c>
      <c r="W8346" s="19">
        <f>IF($I8346="","",IF(ISNUMBER($I8346),TEXT($I8346,"0"),$I8346))</f>
        <v/>
      </c>
    </row>
    <row r="8347">
      <c r="B8347" s="25" t="n"/>
      <c r="I8347" s="25" t="n"/>
      <c r="U8347" s="19">
        <f>IF($V8347&lt;&gt;'設定'!$C$4,N(U8346),IF(OR(NOT(COUNTIF('商品マスタ'!$B$6:$B$1005,$W8347)=0),COUNTIFS('①在庫を貼る'!$V$6:$V$10005,$V8347,'①在庫を貼る'!$W$6:$W$10005,$W8347)+COUNTIFS('月1回_1ヶ月前の在庫'!$V$6:$V$10005,$V8347,'月1回_1ヶ月前の在庫'!$W$6:$W$10005,$W8347)&gt;0),N(U8346),N(U8346)+1))</f>
        <v/>
      </c>
      <c r="V8347" s="19">
        <f>IF($B8347="","",TEXT($B8347,"0000"))</f>
        <v/>
      </c>
      <c r="W8347" s="19">
        <f>IF($I8347="","",IF(ISNUMBER($I8347),TEXT($I8347,"0"),$I8347))</f>
        <v/>
      </c>
    </row>
    <row r="8348">
      <c r="B8348" s="25" t="n"/>
      <c r="I8348" s="25" t="n"/>
      <c r="U8348" s="19">
        <f>IF($V8348&lt;&gt;'設定'!$C$4,N(U8347),IF(OR(NOT(COUNTIF('商品マスタ'!$B$6:$B$1005,$W8348)=0),COUNTIFS('①在庫を貼る'!$V$6:$V$10005,$V8348,'①在庫を貼る'!$W$6:$W$10005,$W8348)+COUNTIFS('月1回_1ヶ月前の在庫'!$V$6:$V$10005,$V8348,'月1回_1ヶ月前の在庫'!$W$6:$W$10005,$W8348)&gt;0),N(U8347),N(U8347)+1))</f>
        <v/>
      </c>
      <c r="V8348" s="19">
        <f>IF($B8348="","",TEXT($B8348,"0000"))</f>
        <v/>
      </c>
      <c r="W8348" s="19">
        <f>IF($I8348="","",IF(ISNUMBER($I8348),TEXT($I8348,"0"),$I8348))</f>
        <v/>
      </c>
    </row>
    <row r="8349">
      <c r="B8349" s="25" t="n"/>
      <c r="I8349" s="25" t="n"/>
      <c r="U8349" s="19">
        <f>IF($V8349&lt;&gt;'設定'!$C$4,N(U8348),IF(OR(NOT(COUNTIF('商品マスタ'!$B$6:$B$1005,$W8349)=0),COUNTIFS('①在庫を貼る'!$V$6:$V$10005,$V8349,'①在庫を貼る'!$W$6:$W$10005,$W8349)+COUNTIFS('月1回_1ヶ月前の在庫'!$V$6:$V$10005,$V8349,'月1回_1ヶ月前の在庫'!$W$6:$W$10005,$W8349)&gt;0),N(U8348),N(U8348)+1))</f>
        <v/>
      </c>
      <c r="V8349" s="19">
        <f>IF($B8349="","",TEXT($B8349,"0000"))</f>
        <v/>
      </c>
      <c r="W8349" s="19">
        <f>IF($I8349="","",IF(ISNUMBER($I8349),TEXT($I8349,"0"),$I8349))</f>
        <v/>
      </c>
    </row>
    <row r="8350">
      <c r="B8350" s="25" t="n"/>
      <c r="I8350" s="25" t="n"/>
      <c r="U8350" s="19">
        <f>IF($V8350&lt;&gt;'設定'!$C$4,N(U8349),IF(OR(NOT(COUNTIF('商品マスタ'!$B$6:$B$1005,$W8350)=0),COUNTIFS('①在庫を貼る'!$V$6:$V$10005,$V8350,'①在庫を貼る'!$W$6:$W$10005,$W8350)+COUNTIFS('月1回_1ヶ月前の在庫'!$V$6:$V$10005,$V8350,'月1回_1ヶ月前の在庫'!$W$6:$W$10005,$W8350)&gt;0),N(U8349),N(U8349)+1))</f>
        <v/>
      </c>
      <c r="V8350" s="19">
        <f>IF($B8350="","",TEXT($B8350,"0000"))</f>
        <v/>
      </c>
      <c r="W8350" s="19">
        <f>IF($I8350="","",IF(ISNUMBER($I8350),TEXT($I8350,"0"),$I8350))</f>
        <v/>
      </c>
    </row>
    <row r="8351">
      <c r="B8351" s="25" t="n"/>
      <c r="I8351" s="25" t="n"/>
      <c r="U8351" s="19">
        <f>IF($V8351&lt;&gt;'設定'!$C$4,N(U8350),IF(OR(NOT(COUNTIF('商品マスタ'!$B$6:$B$1005,$W8351)=0),COUNTIFS('①在庫を貼る'!$V$6:$V$10005,$V8351,'①在庫を貼る'!$W$6:$W$10005,$W8351)+COUNTIFS('月1回_1ヶ月前の在庫'!$V$6:$V$10005,$V8351,'月1回_1ヶ月前の在庫'!$W$6:$W$10005,$W8351)&gt;0),N(U8350),N(U8350)+1))</f>
        <v/>
      </c>
      <c r="V8351" s="19">
        <f>IF($B8351="","",TEXT($B8351,"0000"))</f>
        <v/>
      </c>
      <c r="W8351" s="19">
        <f>IF($I8351="","",IF(ISNUMBER($I8351),TEXT($I8351,"0"),$I8351))</f>
        <v/>
      </c>
    </row>
    <row r="8352">
      <c r="B8352" s="25" t="n"/>
      <c r="I8352" s="25" t="n"/>
      <c r="U8352" s="19">
        <f>IF($V8352&lt;&gt;'設定'!$C$4,N(U8351),IF(OR(NOT(COUNTIF('商品マスタ'!$B$6:$B$1005,$W8352)=0),COUNTIFS('①在庫を貼る'!$V$6:$V$10005,$V8352,'①在庫を貼る'!$W$6:$W$10005,$W8352)+COUNTIFS('月1回_1ヶ月前の在庫'!$V$6:$V$10005,$V8352,'月1回_1ヶ月前の在庫'!$W$6:$W$10005,$W8352)&gt;0),N(U8351),N(U8351)+1))</f>
        <v/>
      </c>
      <c r="V8352" s="19">
        <f>IF($B8352="","",TEXT($B8352,"0000"))</f>
        <v/>
      </c>
      <c r="W8352" s="19">
        <f>IF($I8352="","",IF(ISNUMBER($I8352),TEXT($I8352,"0"),$I8352))</f>
        <v/>
      </c>
    </row>
    <row r="8353">
      <c r="B8353" s="25" t="n"/>
      <c r="I8353" s="25" t="n"/>
      <c r="U8353" s="19">
        <f>IF($V8353&lt;&gt;'設定'!$C$4,N(U8352),IF(OR(NOT(COUNTIF('商品マスタ'!$B$6:$B$1005,$W8353)=0),COUNTIFS('①在庫を貼る'!$V$6:$V$10005,$V8353,'①在庫を貼る'!$W$6:$W$10005,$W8353)+COUNTIFS('月1回_1ヶ月前の在庫'!$V$6:$V$10005,$V8353,'月1回_1ヶ月前の在庫'!$W$6:$W$10005,$W8353)&gt;0),N(U8352),N(U8352)+1))</f>
        <v/>
      </c>
      <c r="V8353" s="19">
        <f>IF($B8353="","",TEXT($B8353,"0000"))</f>
        <v/>
      </c>
      <c r="W8353" s="19">
        <f>IF($I8353="","",IF(ISNUMBER($I8353),TEXT($I8353,"0"),$I8353))</f>
        <v/>
      </c>
    </row>
    <row r="8354">
      <c r="B8354" s="25" t="n"/>
      <c r="I8354" s="25" t="n"/>
      <c r="U8354" s="19">
        <f>IF($V8354&lt;&gt;'設定'!$C$4,N(U8353),IF(OR(NOT(COUNTIF('商品マスタ'!$B$6:$B$1005,$W8354)=0),COUNTIFS('①在庫を貼る'!$V$6:$V$10005,$V8354,'①在庫を貼る'!$W$6:$W$10005,$W8354)+COUNTIFS('月1回_1ヶ月前の在庫'!$V$6:$V$10005,$V8354,'月1回_1ヶ月前の在庫'!$W$6:$W$10005,$W8354)&gt;0),N(U8353),N(U8353)+1))</f>
        <v/>
      </c>
      <c r="V8354" s="19">
        <f>IF($B8354="","",TEXT($B8354,"0000"))</f>
        <v/>
      </c>
      <c r="W8354" s="19">
        <f>IF($I8354="","",IF(ISNUMBER($I8354),TEXT($I8354,"0"),$I8354))</f>
        <v/>
      </c>
    </row>
    <row r="8355">
      <c r="B8355" s="25" t="n"/>
      <c r="I8355" s="25" t="n"/>
      <c r="U8355" s="19">
        <f>IF($V8355&lt;&gt;'設定'!$C$4,N(U8354),IF(OR(NOT(COUNTIF('商品マスタ'!$B$6:$B$1005,$W8355)=0),COUNTIFS('①在庫を貼る'!$V$6:$V$10005,$V8355,'①在庫を貼る'!$W$6:$W$10005,$W8355)+COUNTIFS('月1回_1ヶ月前の在庫'!$V$6:$V$10005,$V8355,'月1回_1ヶ月前の在庫'!$W$6:$W$10005,$W8355)&gt;0),N(U8354),N(U8354)+1))</f>
        <v/>
      </c>
      <c r="V8355" s="19">
        <f>IF($B8355="","",TEXT($B8355,"0000"))</f>
        <v/>
      </c>
      <c r="W8355" s="19">
        <f>IF($I8355="","",IF(ISNUMBER($I8355),TEXT($I8355,"0"),$I8355))</f>
        <v/>
      </c>
    </row>
    <row r="8356">
      <c r="B8356" s="25" t="n"/>
      <c r="I8356" s="25" t="n"/>
      <c r="U8356" s="19">
        <f>IF($V8356&lt;&gt;'設定'!$C$4,N(U8355),IF(OR(NOT(COUNTIF('商品マスタ'!$B$6:$B$1005,$W8356)=0),COUNTIFS('①在庫を貼る'!$V$6:$V$10005,$V8356,'①在庫を貼る'!$W$6:$W$10005,$W8356)+COUNTIFS('月1回_1ヶ月前の在庫'!$V$6:$V$10005,$V8356,'月1回_1ヶ月前の在庫'!$W$6:$W$10005,$W8356)&gt;0),N(U8355),N(U8355)+1))</f>
        <v/>
      </c>
      <c r="V8356" s="19">
        <f>IF($B8356="","",TEXT($B8356,"0000"))</f>
        <v/>
      </c>
      <c r="W8356" s="19">
        <f>IF($I8356="","",IF(ISNUMBER($I8356),TEXT($I8356,"0"),$I8356))</f>
        <v/>
      </c>
    </row>
    <row r="8357">
      <c r="B8357" s="25" t="n"/>
      <c r="I8357" s="25" t="n"/>
      <c r="U8357" s="19">
        <f>IF($V8357&lt;&gt;'設定'!$C$4,N(U8356),IF(OR(NOT(COUNTIF('商品マスタ'!$B$6:$B$1005,$W8357)=0),COUNTIFS('①在庫を貼る'!$V$6:$V$10005,$V8357,'①在庫を貼る'!$W$6:$W$10005,$W8357)+COUNTIFS('月1回_1ヶ月前の在庫'!$V$6:$V$10005,$V8357,'月1回_1ヶ月前の在庫'!$W$6:$W$10005,$W8357)&gt;0),N(U8356),N(U8356)+1))</f>
        <v/>
      </c>
      <c r="V8357" s="19">
        <f>IF($B8357="","",TEXT($B8357,"0000"))</f>
        <v/>
      </c>
      <c r="W8357" s="19">
        <f>IF($I8357="","",IF(ISNUMBER($I8357),TEXT($I8357,"0"),$I8357))</f>
        <v/>
      </c>
    </row>
    <row r="8358">
      <c r="B8358" s="25" t="n"/>
      <c r="I8358" s="25" t="n"/>
      <c r="U8358" s="19">
        <f>IF($V8358&lt;&gt;'設定'!$C$4,N(U8357),IF(OR(NOT(COUNTIF('商品マスタ'!$B$6:$B$1005,$W8358)=0),COUNTIFS('①在庫を貼る'!$V$6:$V$10005,$V8358,'①在庫を貼る'!$W$6:$W$10005,$W8358)+COUNTIFS('月1回_1ヶ月前の在庫'!$V$6:$V$10005,$V8358,'月1回_1ヶ月前の在庫'!$W$6:$W$10005,$W8358)&gt;0),N(U8357),N(U8357)+1))</f>
        <v/>
      </c>
      <c r="V8358" s="19">
        <f>IF($B8358="","",TEXT($B8358,"0000"))</f>
        <v/>
      </c>
      <c r="W8358" s="19">
        <f>IF($I8358="","",IF(ISNUMBER($I8358),TEXT($I8358,"0"),$I8358))</f>
        <v/>
      </c>
    </row>
    <row r="8359">
      <c r="B8359" s="25" t="n"/>
      <c r="I8359" s="25" t="n"/>
      <c r="U8359" s="19">
        <f>IF($V8359&lt;&gt;'設定'!$C$4,N(U8358),IF(OR(NOT(COUNTIF('商品マスタ'!$B$6:$B$1005,$W8359)=0),COUNTIFS('①在庫を貼る'!$V$6:$V$10005,$V8359,'①在庫を貼る'!$W$6:$W$10005,$W8359)+COUNTIFS('月1回_1ヶ月前の在庫'!$V$6:$V$10005,$V8359,'月1回_1ヶ月前の在庫'!$W$6:$W$10005,$W8359)&gt;0),N(U8358),N(U8358)+1))</f>
        <v/>
      </c>
      <c r="V8359" s="19">
        <f>IF($B8359="","",TEXT($B8359,"0000"))</f>
        <v/>
      </c>
      <c r="W8359" s="19">
        <f>IF($I8359="","",IF(ISNUMBER($I8359),TEXT($I8359,"0"),$I8359))</f>
        <v/>
      </c>
    </row>
    <row r="8360">
      <c r="B8360" s="25" t="n"/>
      <c r="I8360" s="25" t="n"/>
      <c r="U8360" s="19">
        <f>IF($V8360&lt;&gt;'設定'!$C$4,N(U8359),IF(OR(NOT(COUNTIF('商品マスタ'!$B$6:$B$1005,$W8360)=0),COUNTIFS('①在庫を貼る'!$V$6:$V$10005,$V8360,'①在庫を貼る'!$W$6:$W$10005,$W8360)+COUNTIFS('月1回_1ヶ月前の在庫'!$V$6:$V$10005,$V8360,'月1回_1ヶ月前の在庫'!$W$6:$W$10005,$W8360)&gt;0),N(U8359),N(U8359)+1))</f>
        <v/>
      </c>
      <c r="V8360" s="19">
        <f>IF($B8360="","",TEXT($B8360,"0000"))</f>
        <v/>
      </c>
      <c r="W8360" s="19">
        <f>IF($I8360="","",IF(ISNUMBER($I8360),TEXT($I8360,"0"),$I8360))</f>
        <v/>
      </c>
    </row>
    <row r="8361">
      <c r="B8361" s="25" t="n"/>
      <c r="I8361" s="25" t="n"/>
      <c r="U8361" s="19">
        <f>IF($V8361&lt;&gt;'設定'!$C$4,N(U8360),IF(OR(NOT(COUNTIF('商品マスタ'!$B$6:$B$1005,$W8361)=0),COUNTIFS('①在庫を貼る'!$V$6:$V$10005,$V8361,'①在庫を貼る'!$W$6:$W$10005,$W8361)+COUNTIFS('月1回_1ヶ月前の在庫'!$V$6:$V$10005,$V8361,'月1回_1ヶ月前の在庫'!$W$6:$W$10005,$W8361)&gt;0),N(U8360),N(U8360)+1))</f>
        <v/>
      </c>
      <c r="V8361" s="19">
        <f>IF($B8361="","",TEXT($B8361,"0000"))</f>
        <v/>
      </c>
      <c r="W8361" s="19">
        <f>IF($I8361="","",IF(ISNUMBER($I8361),TEXT($I8361,"0"),$I8361))</f>
        <v/>
      </c>
    </row>
    <row r="8362">
      <c r="B8362" s="25" t="n"/>
      <c r="I8362" s="25" t="n"/>
      <c r="U8362" s="19">
        <f>IF($V8362&lt;&gt;'設定'!$C$4,N(U8361),IF(OR(NOT(COUNTIF('商品マスタ'!$B$6:$B$1005,$W8362)=0),COUNTIFS('①在庫を貼る'!$V$6:$V$10005,$V8362,'①在庫を貼る'!$W$6:$W$10005,$W8362)+COUNTIFS('月1回_1ヶ月前の在庫'!$V$6:$V$10005,$V8362,'月1回_1ヶ月前の在庫'!$W$6:$W$10005,$W8362)&gt;0),N(U8361),N(U8361)+1))</f>
        <v/>
      </c>
      <c r="V8362" s="19">
        <f>IF($B8362="","",TEXT($B8362,"0000"))</f>
        <v/>
      </c>
      <c r="W8362" s="19">
        <f>IF($I8362="","",IF(ISNUMBER($I8362),TEXT($I8362,"0"),$I8362))</f>
        <v/>
      </c>
    </row>
    <row r="8363">
      <c r="B8363" s="25" t="n"/>
      <c r="I8363" s="25" t="n"/>
      <c r="U8363" s="19">
        <f>IF($V8363&lt;&gt;'設定'!$C$4,N(U8362),IF(OR(NOT(COUNTIF('商品マスタ'!$B$6:$B$1005,$W8363)=0),COUNTIFS('①在庫を貼る'!$V$6:$V$10005,$V8363,'①在庫を貼る'!$W$6:$W$10005,$W8363)+COUNTIFS('月1回_1ヶ月前の在庫'!$V$6:$V$10005,$V8363,'月1回_1ヶ月前の在庫'!$W$6:$W$10005,$W8363)&gt;0),N(U8362),N(U8362)+1))</f>
        <v/>
      </c>
      <c r="V8363" s="19">
        <f>IF($B8363="","",TEXT($B8363,"0000"))</f>
        <v/>
      </c>
      <c r="W8363" s="19">
        <f>IF($I8363="","",IF(ISNUMBER($I8363),TEXT($I8363,"0"),$I8363))</f>
        <v/>
      </c>
    </row>
    <row r="8364">
      <c r="B8364" s="25" t="n"/>
      <c r="I8364" s="25" t="n"/>
      <c r="U8364" s="19">
        <f>IF($V8364&lt;&gt;'設定'!$C$4,N(U8363),IF(OR(NOT(COUNTIF('商品マスタ'!$B$6:$B$1005,$W8364)=0),COUNTIFS('①在庫を貼る'!$V$6:$V$10005,$V8364,'①在庫を貼る'!$W$6:$W$10005,$W8364)+COUNTIFS('月1回_1ヶ月前の在庫'!$V$6:$V$10005,$V8364,'月1回_1ヶ月前の在庫'!$W$6:$W$10005,$W8364)&gt;0),N(U8363),N(U8363)+1))</f>
        <v/>
      </c>
      <c r="V8364" s="19">
        <f>IF($B8364="","",TEXT($B8364,"0000"))</f>
        <v/>
      </c>
      <c r="W8364" s="19">
        <f>IF($I8364="","",IF(ISNUMBER($I8364),TEXT($I8364,"0"),$I8364))</f>
        <v/>
      </c>
    </row>
    <row r="8365">
      <c r="B8365" s="25" t="n"/>
      <c r="I8365" s="25" t="n"/>
      <c r="U8365" s="19">
        <f>IF($V8365&lt;&gt;'設定'!$C$4,N(U8364),IF(OR(NOT(COUNTIF('商品マスタ'!$B$6:$B$1005,$W8365)=0),COUNTIFS('①在庫を貼る'!$V$6:$V$10005,$V8365,'①在庫を貼る'!$W$6:$W$10005,$W8365)+COUNTIFS('月1回_1ヶ月前の在庫'!$V$6:$V$10005,$V8365,'月1回_1ヶ月前の在庫'!$W$6:$W$10005,$W8365)&gt;0),N(U8364),N(U8364)+1))</f>
        <v/>
      </c>
      <c r="V8365" s="19">
        <f>IF($B8365="","",TEXT($B8365,"0000"))</f>
        <v/>
      </c>
      <c r="W8365" s="19">
        <f>IF($I8365="","",IF(ISNUMBER($I8365),TEXT($I8365,"0"),$I8365))</f>
        <v/>
      </c>
    </row>
    <row r="8366">
      <c r="B8366" s="25" t="n"/>
      <c r="I8366" s="25" t="n"/>
      <c r="U8366" s="19">
        <f>IF($V8366&lt;&gt;'設定'!$C$4,N(U8365),IF(OR(NOT(COUNTIF('商品マスタ'!$B$6:$B$1005,$W8366)=0),COUNTIFS('①在庫を貼る'!$V$6:$V$10005,$V8366,'①在庫を貼る'!$W$6:$W$10005,$W8366)+COUNTIFS('月1回_1ヶ月前の在庫'!$V$6:$V$10005,$V8366,'月1回_1ヶ月前の在庫'!$W$6:$W$10005,$W8366)&gt;0),N(U8365),N(U8365)+1))</f>
        <v/>
      </c>
      <c r="V8366" s="19">
        <f>IF($B8366="","",TEXT($B8366,"0000"))</f>
        <v/>
      </c>
      <c r="W8366" s="19">
        <f>IF($I8366="","",IF(ISNUMBER($I8366),TEXT($I8366,"0"),$I8366))</f>
        <v/>
      </c>
    </row>
    <row r="8367">
      <c r="B8367" s="25" t="n"/>
      <c r="I8367" s="25" t="n"/>
      <c r="U8367" s="19">
        <f>IF($V8367&lt;&gt;'設定'!$C$4,N(U8366),IF(OR(NOT(COUNTIF('商品マスタ'!$B$6:$B$1005,$W8367)=0),COUNTIFS('①在庫を貼る'!$V$6:$V$10005,$V8367,'①在庫を貼る'!$W$6:$W$10005,$W8367)+COUNTIFS('月1回_1ヶ月前の在庫'!$V$6:$V$10005,$V8367,'月1回_1ヶ月前の在庫'!$W$6:$W$10005,$W8367)&gt;0),N(U8366),N(U8366)+1))</f>
        <v/>
      </c>
      <c r="V8367" s="19">
        <f>IF($B8367="","",TEXT($B8367,"0000"))</f>
        <v/>
      </c>
      <c r="W8367" s="19">
        <f>IF($I8367="","",IF(ISNUMBER($I8367),TEXT($I8367,"0"),$I8367))</f>
        <v/>
      </c>
    </row>
    <row r="8368">
      <c r="B8368" s="25" t="n"/>
      <c r="I8368" s="25" t="n"/>
      <c r="U8368" s="19">
        <f>IF($V8368&lt;&gt;'設定'!$C$4,N(U8367),IF(OR(NOT(COUNTIF('商品マスタ'!$B$6:$B$1005,$W8368)=0),COUNTIFS('①在庫を貼る'!$V$6:$V$10005,$V8368,'①在庫を貼る'!$W$6:$W$10005,$W8368)+COUNTIFS('月1回_1ヶ月前の在庫'!$V$6:$V$10005,$V8368,'月1回_1ヶ月前の在庫'!$W$6:$W$10005,$W8368)&gt;0),N(U8367),N(U8367)+1))</f>
        <v/>
      </c>
      <c r="V8368" s="19">
        <f>IF($B8368="","",TEXT($B8368,"0000"))</f>
        <v/>
      </c>
      <c r="W8368" s="19">
        <f>IF($I8368="","",IF(ISNUMBER($I8368),TEXT($I8368,"0"),$I8368))</f>
        <v/>
      </c>
    </row>
    <row r="8369">
      <c r="B8369" s="25" t="n"/>
      <c r="I8369" s="25" t="n"/>
      <c r="U8369" s="19">
        <f>IF($V8369&lt;&gt;'設定'!$C$4,N(U8368),IF(OR(NOT(COUNTIF('商品マスタ'!$B$6:$B$1005,$W8369)=0),COUNTIFS('①在庫を貼る'!$V$6:$V$10005,$V8369,'①在庫を貼る'!$W$6:$W$10005,$W8369)+COUNTIFS('月1回_1ヶ月前の在庫'!$V$6:$V$10005,$V8369,'月1回_1ヶ月前の在庫'!$W$6:$W$10005,$W8369)&gt;0),N(U8368),N(U8368)+1))</f>
        <v/>
      </c>
      <c r="V8369" s="19">
        <f>IF($B8369="","",TEXT($B8369,"0000"))</f>
        <v/>
      </c>
      <c r="W8369" s="19">
        <f>IF($I8369="","",IF(ISNUMBER($I8369),TEXT($I8369,"0"),$I8369))</f>
        <v/>
      </c>
    </row>
    <row r="8370">
      <c r="B8370" s="25" t="n"/>
      <c r="I8370" s="25" t="n"/>
      <c r="U8370" s="19">
        <f>IF($V8370&lt;&gt;'設定'!$C$4,N(U8369),IF(OR(NOT(COUNTIF('商品マスタ'!$B$6:$B$1005,$W8370)=0),COUNTIFS('①在庫を貼る'!$V$6:$V$10005,$V8370,'①在庫を貼る'!$W$6:$W$10005,$W8370)+COUNTIFS('月1回_1ヶ月前の在庫'!$V$6:$V$10005,$V8370,'月1回_1ヶ月前の在庫'!$W$6:$W$10005,$W8370)&gt;0),N(U8369),N(U8369)+1))</f>
        <v/>
      </c>
      <c r="V8370" s="19">
        <f>IF($B8370="","",TEXT($B8370,"0000"))</f>
        <v/>
      </c>
      <c r="W8370" s="19">
        <f>IF($I8370="","",IF(ISNUMBER($I8370),TEXT($I8370,"0"),$I8370))</f>
        <v/>
      </c>
    </row>
    <row r="8371">
      <c r="B8371" s="25" t="n"/>
      <c r="I8371" s="25" t="n"/>
      <c r="U8371" s="19">
        <f>IF($V8371&lt;&gt;'設定'!$C$4,N(U8370),IF(OR(NOT(COUNTIF('商品マスタ'!$B$6:$B$1005,$W8371)=0),COUNTIFS('①在庫を貼る'!$V$6:$V$10005,$V8371,'①在庫を貼る'!$W$6:$W$10005,$W8371)+COUNTIFS('月1回_1ヶ月前の在庫'!$V$6:$V$10005,$V8371,'月1回_1ヶ月前の在庫'!$W$6:$W$10005,$W8371)&gt;0),N(U8370),N(U8370)+1))</f>
        <v/>
      </c>
      <c r="V8371" s="19">
        <f>IF($B8371="","",TEXT($B8371,"0000"))</f>
        <v/>
      </c>
      <c r="W8371" s="19">
        <f>IF($I8371="","",IF(ISNUMBER($I8371),TEXT($I8371,"0"),$I8371))</f>
        <v/>
      </c>
    </row>
    <row r="8372">
      <c r="B8372" s="25" t="n"/>
      <c r="I8372" s="25" t="n"/>
      <c r="U8372" s="19">
        <f>IF($V8372&lt;&gt;'設定'!$C$4,N(U8371),IF(OR(NOT(COUNTIF('商品マスタ'!$B$6:$B$1005,$W8372)=0),COUNTIFS('①在庫を貼る'!$V$6:$V$10005,$V8372,'①在庫を貼る'!$W$6:$W$10005,$W8372)+COUNTIFS('月1回_1ヶ月前の在庫'!$V$6:$V$10005,$V8372,'月1回_1ヶ月前の在庫'!$W$6:$W$10005,$W8372)&gt;0),N(U8371),N(U8371)+1))</f>
        <v/>
      </c>
      <c r="V8372" s="19">
        <f>IF($B8372="","",TEXT($B8372,"0000"))</f>
        <v/>
      </c>
      <c r="W8372" s="19">
        <f>IF($I8372="","",IF(ISNUMBER($I8372),TEXT($I8372,"0"),$I8372))</f>
        <v/>
      </c>
    </row>
    <row r="8373">
      <c r="B8373" s="25" t="n"/>
      <c r="I8373" s="25" t="n"/>
      <c r="U8373" s="19">
        <f>IF($V8373&lt;&gt;'設定'!$C$4,N(U8372),IF(OR(NOT(COUNTIF('商品マスタ'!$B$6:$B$1005,$W8373)=0),COUNTIFS('①在庫を貼る'!$V$6:$V$10005,$V8373,'①在庫を貼る'!$W$6:$W$10005,$W8373)+COUNTIFS('月1回_1ヶ月前の在庫'!$V$6:$V$10005,$V8373,'月1回_1ヶ月前の在庫'!$W$6:$W$10005,$W8373)&gt;0),N(U8372),N(U8372)+1))</f>
        <v/>
      </c>
      <c r="V8373" s="19">
        <f>IF($B8373="","",TEXT($B8373,"0000"))</f>
        <v/>
      </c>
      <c r="W8373" s="19">
        <f>IF($I8373="","",IF(ISNUMBER($I8373),TEXT($I8373,"0"),$I8373))</f>
        <v/>
      </c>
    </row>
    <row r="8374">
      <c r="B8374" s="25" t="n"/>
      <c r="I8374" s="25" t="n"/>
      <c r="U8374" s="19">
        <f>IF($V8374&lt;&gt;'設定'!$C$4,N(U8373),IF(OR(NOT(COUNTIF('商品マスタ'!$B$6:$B$1005,$W8374)=0),COUNTIFS('①在庫を貼る'!$V$6:$V$10005,$V8374,'①在庫を貼る'!$W$6:$W$10005,$W8374)+COUNTIFS('月1回_1ヶ月前の在庫'!$V$6:$V$10005,$V8374,'月1回_1ヶ月前の在庫'!$W$6:$W$10005,$W8374)&gt;0),N(U8373),N(U8373)+1))</f>
        <v/>
      </c>
      <c r="V8374" s="19">
        <f>IF($B8374="","",TEXT($B8374,"0000"))</f>
        <v/>
      </c>
      <c r="W8374" s="19">
        <f>IF($I8374="","",IF(ISNUMBER($I8374),TEXT($I8374,"0"),$I8374))</f>
        <v/>
      </c>
    </row>
    <row r="8375">
      <c r="B8375" s="25" t="n"/>
      <c r="I8375" s="25" t="n"/>
      <c r="U8375" s="19">
        <f>IF($V8375&lt;&gt;'設定'!$C$4,N(U8374),IF(OR(NOT(COUNTIF('商品マスタ'!$B$6:$B$1005,$W8375)=0),COUNTIFS('①在庫を貼る'!$V$6:$V$10005,$V8375,'①在庫を貼る'!$W$6:$W$10005,$W8375)+COUNTIFS('月1回_1ヶ月前の在庫'!$V$6:$V$10005,$V8375,'月1回_1ヶ月前の在庫'!$W$6:$W$10005,$W8375)&gt;0),N(U8374),N(U8374)+1))</f>
        <v/>
      </c>
      <c r="V8375" s="19">
        <f>IF($B8375="","",TEXT($B8375,"0000"))</f>
        <v/>
      </c>
      <c r="W8375" s="19">
        <f>IF($I8375="","",IF(ISNUMBER($I8375),TEXT($I8375,"0"),$I8375))</f>
        <v/>
      </c>
    </row>
    <row r="8376">
      <c r="B8376" s="25" t="n"/>
      <c r="I8376" s="25" t="n"/>
      <c r="U8376" s="19">
        <f>IF($V8376&lt;&gt;'設定'!$C$4,N(U8375),IF(OR(NOT(COUNTIF('商品マスタ'!$B$6:$B$1005,$W8376)=0),COUNTIFS('①在庫を貼る'!$V$6:$V$10005,$V8376,'①在庫を貼る'!$W$6:$W$10005,$W8376)+COUNTIFS('月1回_1ヶ月前の在庫'!$V$6:$V$10005,$V8376,'月1回_1ヶ月前の在庫'!$W$6:$W$10005,$W8376)&gt;0),N(U8375),N(U8375)+1))</f>
        <v/>
      </c>
      <c r="V8376" s="19">
        <f>IF($B8376="","",TEXT($B8376,"0000"))</f>
        <v/>
      </c>
      <c r="W8376" s="19">
        <f>IF($I8376="","",IF(ISNUMBER($I8376),TEXT($I8376,"0"),$I8376))</f>
        <v/>
      </c>
    </row>
    <row r="8377">
      <c r="B8377" s="25" t="n"/>
      <c r="I8377" s="25" t="n"/>
      <c r="U8377" s="19">
        <f>IF($V8377&lt;&gt;'設定'!$C$4,N(U8376),IF(OR(NOT(COUNTIF('商品マスタ'!$B$6:$B$1005,$W8377)=0),COUNTIFS('①在庫を貼る'!$V$6:$V$10005,$V8377,'①在庫を貼る'!$W$6:$W$10005,$W8377)+COUNTIFS('月1回_1ヶ月前の在庫'!$V$6:$V$10005,$V8377,'月1回_1ヶ月前の在庫'!$W$6:$W$10005,$W8377)&gt;0),N(U8376),N(U8376)+1))</f>
        <v/>
      </c>
      <c r="V8377" s="19">
        <f>IF($B8377="","",TEXT($B8377,"0000"))</f>
        <v/>
      </c>
      <c r="W8377" s="19">
        <f>IF($I8377="","",IF(ISNUMBER($I8377),TEXT($I8377,"0"),$I8377))</f>
        <v/>
      </c>
    </row>
    <row r="8378">
      <c r="B8378" s="25" t="n"/>
      <c r="I8378" s="25" t="n"/>
      <c r="U8378" s="19">
        <f>IF($V8378&lt;&gt;'設定'!$C$4,N(U8377),IF(OR(NOT(COUNTIF('商品マスタ'!$B$6:$B$1005,$W8378)=0),COUNTIFS('①在庫を貼る'!$V$6:$V$10005,$V8378,'①在庫を貼る'!$W$6:$W$10005,$W8378)+COUNTIFS('月1回_1ヶ月前の在庫'!$V$6:$V$10005,$V8378,'月1回_1ヶ月前の在庫'!$W$6:$W$10005,$W8378)&gt;0),N(U8377),N(U8377)+1))</f>
        <v/>
      </c>
      <c r="V8378" s="19">
        <f>IF($B8378="","",TEXT($B8378,"0000"))</f>
        <v/>
      </c>
      <c r="W8378" s="19">
        <f>IF($I8378="","",IF(ISNUMBER($I8378),TEXT($I8378,"0"),$I8378))</f>
        <v/>
      </c>
    </row>
    <row r="8379">
      <c r="B8379" s="25" t="n"/>
      <c r="I8379" s="25" t="n"/>
      <c r="U8379" s="19">
        <f>IF($V8379&lt;&gt;'設定'!$C$4,N(U8378),IF(OR(NOT(COUNTIF('商品マスタ'!$B$6:$B$1005,$W8379)=0),COUNTIFS('①在庫を貼る'!$V$6:$V$10005,$V8379,'①在庫を貼る'!$W$6:$W$10005,$W8379)+COUNTIFS('月1回_1ヶ月前の在庫'!$V$6:$V$10005,$V8379,'月1回_1ヶ月前の在庫'!$W$6:$W$10005,$W8379)&gt;0),N(U8378),N(U8378)+1))</f>
        <v/>
      </c>
      <c r="V8379" s="19">
        <f>IF($B8379="","",TEXT($B8379,"0000"))</f>
        <v/>
      </c>
      <c r="W8379" s="19">
        <f>IF($I8379="","",IF(ISNUMBER($I8379),TEXT($I8379,"0"),$I8379))</f>
        <v/>
      </c>
    </row>
    <row r="8380">
      <c r="B8380" s="25" t="n"/>
      <c r="I8380" s="25" t="n"/>
      <c r="U8380" s="19">
        <f>IF($V8380&lt;&gt;'設定'!$C$4,N(U8379),IF(OR(NOT(COUNTIF('商品マスタ'!$B$6:$B$1005,$W8380)=0),COUNTIFS('①在庫を貼る'!$V$6:$V$10005,$V8380,'①在庫を貼る'!$W$6:$W$10005,$W8380)+COUNTIFS('月1回_1ヶ月前の在庫'!$V$6:$V$10005,$V8380,'月1回_1ヶ月前の在庫'!$W$6:$W$10005,$W8380)&gt;0),N(U8379),N(U8379)+1))</f>
        <v/>
      </c>
      <c r="V8380" s="19">
        <f>IF($B8380="","",TEXT($B8380,"0000"))</f>
        <v/>
      </c>
      <c r="W8380" s="19">
        <f>IF($I8380="","",IF(ISNUMBER($I8380),TEXT($I8380,"0"),$I8380))</f>
        <v/>
      </c>
    </row>
    <row r="8381">
      <c r="B8381" s="25" t="n"/>
      <c r="I8381" s="25" t="n"/>
      <c r="U8381" s="19">
        <f>IF($V8381&lt;&gt;'設定'!$C$4,N(U8380),IF(OR(NOT(COUNTIF('商品マスタ'!$B$6:$B$1005,$W8381)=0),COUNTIFS('①在庫を貼る'!$V$6:$V$10005,$V8381,'①在庫を貼る'!$W$6:$W$10005,$W8381)+COUNTIFS('月1回_1ヶ月前の在庫'!$V$6:$V$10005,$V8381,'月1回_1ヶ月前の在庫'!$W$6:$W$10005,$W8381)&gt;0),N(U8380),N(U8380)+1))</f>
        <v/>
      </c>
      <c r="V8381" s="19">
        <f>IF($B8381="","",TEXT($B8381,"0000"))</f>
        <v/>
      </c>
      <c r="W8381" s="19">
        <f>IF($I8381="","",IF(ISNUMBER($I8381),TEXT($I8381,"0"),$I8381))</f>
        <v/>
      </c>
    </row>
    <row r="8382">
      <c r="B8382" s="25" t="n"/>
      <c r="I8382" s="25" t="n"/>
      <c r="U8382" s="19">
        <f>IF($V8382&lt;&gt;'設定'!$C$4,N(U8381),IF(OR(NOT(COUNTIF('商品マスタ'!$B$6:$B$1005,$W8382)=0),COUNTIFS('①在庫を貼る'!$V$6:$V$10005,$V8382,'①在庫を貼る'!$W$6:$W$10005,$W8382)+COUNTIFS('月1回_1ヶ月前の在庫'!$V$6:$V$10005,$V8382,'月1回_1ヶ月前の在庫'!$W$6:$W$10005,$W8382)&gt;0),N(U8381),N(U8381)+1))</f>
        <v/>
      </c>
      <c r="V8382" s="19">
        <f>IF($B8382="","",TEXT($B8382,"0000"))</f>
        <v/>
      </c>
      <c r="W8382" s="19">
        <f>IF($I8382="","",IF(ISNUMBER($I8382),TEXT($I8382,"0"),$I8382))</f>
        <v/>
      </c>
    </row>
    <row r="8383">
      <c r="B8383" s="25" t="n"/>
      <c r="I8383" s="25" t="n"/>
      <c r="U8383" s="19">
        <f>IF($V8383&lt;&gt;'設定'!$C$4,N(U8382),IF(OR(NOT(COUNTIF('商品マスタ'!$B$6:$B$1005,$W8383)=0),COUNTIFS('①在庫を貼る'!$V$6:$V$10005,$V8383,'①在庫を貼る'!$W$6:$W$10005,$W8383)+COUNTIFS('月1回_1ヶ月前の在庫'!$V$6:$V$10005,$V8383,'月1回_1ヶ月前の在庫'!$W$6:$W$10005,$W8383)&gt;0),N(U8382),N(U8382)+1))</f>
        <v/>
      </c>
      <c r="V8383" s="19">
        <f>IF($B8383="","",TEXT($B8383,"0000"))</f>
        <v/>
      </c>
      <c r="W8383" s="19">
        <f>IF($I8383="","",IF(ISNUMBER($I8383),TEXT($I8383,"0"),$I8383))</f>
        <v/>
      </c>
    </row>
    <row r="8384">
      <c r="B8384" s="25" t="n"/>
      <c r="I8384" s="25" t="n"/>
      <c r="U8384" s="19">
        <f>IF($V8384&lt;&gt;'設定'!$C$4,N(U8383),IF(OR(NOT(COUNTIF('商品マスタ'!$B$6:$B$1005,$W8384)=0),COUNTIFS('①在庫を貼る'!$V$6:$V$10005,$V8384,'①在庫を貼る'!$W$6:$W$10005,$W8384)+COUNTIFS('月1回_1ヶ月前の在庫'!$V$6:$V$10005,$V8384,'月1回_1ヶ月前の在庫'!$W$6:$W$10005,$W8384)&gt;0),N(U8383),N(U8383)+1))</f>
        <v/>
      </c>
      <c r="V8384" s="19">
        <f>IF($B8384="","",TEXT($B8384,"0000"))</f>
        <v/>
      </c>
      <c r="W8384" s="19">
        <f>IF($I8384="","",IF(ISNUMBER($I8384),TEXT($I8384,"0"),$I8384))</f>
        <v/>
      </c>
    </row>
    <row r="8385">
      <c r="B8385" s="25" t="n"/>
      <c r="I8385" s="25" t="n"/>
      <c r="U8385" s="19">
        <f>IF($V8385&lt;&gt;'設定'!$C$4,N(U8384),IF(OR(NOT(COUNTIF('商品マスタ'!$B$6:$B$1005,$W8385)=0),COUNTIFS('①在庫を貼る'!$V$6:$V$10005,$V8385,'①在庫を貼る'!$W$6:$W$10005,$W8385)+COUNTIFS('月1回_1ヶ月前の在庫'!$V$6:$V$10005,$V8385,'月1回_1ヶ月前の在庫'!$W$6:$W$10005,$W8385)&gt;0),N(U8384),N(U8384)+1))</f>
        <v/>
      </c>
      <c r="V8385" s="19">
        <f>IF($B8385="","",TEXT($B8385,"0000"))</f>
        <v/>
      </c>
      <c r="W8385" s="19">
        <f>IF($I8385="","",IF(ISNUMBER($I8385),TEXT($I8385,"0"),$I8385))</f>
        <v/>
      </c>
    </row>
    <row r="8386">
      <c r="B8386" s="25" t="n"/>
      <c r="I8386" s="25" t="n"/>
      <c r="U8386" s="19">
        <f>IF($V8386&lt;&gt;'設定'!$C$4,N(U8385),IF(OR(NOT(COUNTIF('商品マスタ'!$B$6:$B$1005,$W8386)=0),COUNTIFS('①在庫を貼る'!$V$6:$V$10005,$V8386,'①在庫を貼る'!$W$6:$W$10005,$W8386)+COUNTIFS('月1回_1ヶ月前の在庫'!$V$6:$V$10005,$V8386,'月1回_1ヶ月前の在庫'!$W$6:$W$10005,$W8386)&gt;0),N(U8385),N(U8385)+1))</f>
        <v/>
      </c>
      <c r="V8386" s="19">
        <f>IF($B8386="","",TEXT($B8386,"0000"))</f>
        <v/>
      </c>
      <c r="W8386" s="19">
        <f>IF($I8386="","",IF(ISNUMBER($I8386),TEXT($I8386,"0"),$I8386))</f>
        <v/>
      </c>
    </row>
    <row r="8387">
      <c r="B8387" s="25" t="n"/>
      <c r="I8387" s="25" t="n"/>
      <c r="U8387" s="19">
        <f>IF($V8387&lt;&gt;'設定'!$C$4,N(U8386),IF(OR(NOT(COUNTIF('商品マスタ'!$B$6:$B$1005,$W8387)=0),COUNTIFS('①在庫を貼る'!$V$6:$V$10005,$V8387,'①在庫を貼る'!$W$6:$W$10005,$W8387)+COUNTIFS('月1回_1ヶ月前の在庫'!$V$6:$V$10005,$V8387,'月1回_1ヶ月前の在庫'!$W$6:$W$10005,$W8387)&gt;0),N(U8386),N(U8386)+1))</f>
        <v/>
      </c>
      <c r="V8387" s="19">
        <f>IF($B8387="","",TEXT($B8387,"0000"))</f>
        <v/>
      </c>
      <c r="W8387" s="19">
        <f>IF($I8387="","",IF(ISNUMBER($I8387),TEXT($I8387,"0"),$I8387))</f>
        <v/>
      </c>
    </row>
    <row r="8388">
      <c r="B8388" s="25" t="n"/>
      <c r="I8388" s="25" t="n"/>
      <c r="U8388" s="19">
        <f>IF($V8388&lt;&gt;'設定'!$C$4,N(U8387),IF(OR(NOT(COUNTIF('商品マスタ'!$B$6:$B$1005,$W8388)=0),COUNTIFS('①在庫を貼る'!$V$6:$V$10005,$V8388,'①在庫を貼る'!$W$6:$W$10005,$W8388)+COUNTIFS('月1回_1ヶ月前の在庫'!$V$6:$V$10005,$V8388,'月1回_1ヶ月前の在庫'!$W$6:$W$10005,$W8388)&gt;0),N(U8387),N(U8387)+1))</f>
        <v/>
      </c>
      <c r="V8388" s="19">
        <f>IF($B8388="","",TEXT($B8388,"0000"))</f>
        <v/>
      </c>
      <c r="W8388" s="19">
        <f>IF($I8388="","",IF(ISNUMBER($I8388),TEXT($I8388,"0"),$I8388))</f>
        <v/>
      </c>
    </row>
    <row r="8389">
      <c r="B8389" s="25" t="n"/>
      <c r="I8389" s="25" t="n"/>
      <c r="U8389" s="19">
        <f>IF($V8389&lt;&gt;'設定'!$C$4,N(U8388),IF(OR(NOT(COUNTIF('商品マスタ'!$B$6:$B$1005,$W8389)=0),COUNTIFS('①在庫を貼る'!$V$6:$V$10005,$V8389,'①在庫を貼る'!$W$6:$W$10005,$W8389)+COUNTIFS('月1回_1ヶ月前の在庫'!$V$6:$V$10005,$V8389,'月1回_1ヶ月前の在庫'!$W$6:$W$10005,$W8389)&gt;0),N(U8388),N(U8388)+1))</f>
        <v/>
      </c>
      <c r="V8389" s="19">
        <f>IF($B8389="","",TEXT($B8389,"0000"))</f>
        <v/>
      </c>
      <c r="W8389" s="19">
        <f>IF($I8389="","",IF(ISNUMBER($I8389),TEXT($I8389,"0"),$I8389))</f>
        <v/>
      </c>
    </row>
    <row r="8390">
      <c r="B8390" s="25" t="n"/>
      <c r="I8390" s="25" t="n"/>
      <c r="U8390" s="19">
        <f>IF($V8390&lt;&gt;'設定'!$C$4,N(U8389),IF(OR(NOT(COUNTIF('商品マスタ'!$B$6:$B$1005,$W8390)=0),COUNTIFS('①在庫を貼る'!$V$6:$V$10005,$V8390,'①在庫を貼る'!$W$6:$W$10005,$W8390)+COUNTIFS('月1回_1ヶ月前の在庫'!$V$6:$V$10005,$V8390,'月1回_1ヶ月前の在庫'!$W$6:$W$10005,$W8390)&gt;0),N(U8389),N(U8389)+1))</f>
        <v/>
      </c>
      <c r="V8390" s="19">
        <f>IF($B8390="","",TEXT($B8390,"0000"))</f>
        <v/>
      </c>
      <c r="W8390" s="19">
        <f>IF($I8390="","",IF(ISNUMBER($I8390),TEXT($I8390,"0"),$I8390))</f>
        <v/>
      </c>
    </row>
    <row r="8391">
      <c r="B8391" s="25" t="n"/>
      <c r="I8391" s="25" t="n"/>
      <c r="U8391" s="19">
        <f>IF($V8391&lt;&gt;'設定'!$C$4,N(U8390),IF(OR(NOT(COUNTIF('商品マスタ'!$B$6:$B$1005,$W8391)=0),COUNTIFS('①在庫を貼る'!$V$6:$V$10005,$V8391,'①在庫を貼る'!$W$6:$W$10005,$W8391)+COUNTIFS('月1回_1ヶ月前の在庫'!$V$6:$V$10005,$V8391,'月1回_1ヶ月前の在庫'!$W$6:$W$10005,$W8391)&gt;0),N(U8390),N(U8390)+1))</f>
        <v/>
      </c>
      <c r="V8391" s="19">
        <f>IF($B8391="","",TEXT($B8391,"0000"))</f>
        <v/>
      </c>
      <c r="W8391" s="19">
        <f>IF($I8391="","",IF(ISNUMBER($I8391),TEXT($I8391,"0"),$I8391))</f>
        <v/>
      </c>
    </row>
    <row r="8392">
      <c r="B8392" s="25" t="n"/>
      <c r="I8392" s="25" t="n"/>
      <c r="U8392" s="19">
        <f>IF($V8392&lt;&gt;'設定'!$C$4,N(U8391),IF(OR(NOT(COUNTIF('商品マスタ'!$B$6:$B$1005,$W8392)=0),COUNTIFS('①在庫を貼る'!$V$6:$V$10005,$V8392,'①在庫を貼る'!$W$6:$W$10005,$W8392)+COUNTIFS('月1回_1ヶ月前の在庫'!$V$6:$V$10005,$V8392,'月1回_1ヶ月前の在庫'!$W$6:$W$10005,$W8392)&gt;0),N(U8391),N(U8391)+1))</f>
        <v/>
      </c>
      <c r="V8392" s="19">
        <f>IF($B8392="","",TEXT($B8392,"0000"))</f>
        <v/>
      </c>
      <c r="W8392" s="19">
        <f>IF($I8392="","",IF(ISNUMBER($I8392),TEXT($I8392,"0"),$I8392))</f>
        <v/>
      </c>
    </row>
    <row r="8393">
      <c r="B8393" s="25" t="n"/>
      <c r="I8393" s="25" t="n"/>
      <c r="U8393" s="19">
        <f>IF($V8393&lt;&gt;'設定'!$C$4,N(U8392),IF(OR(NOT(COUNTIF('商品マスタ'!$B$6:$B$1005,$W8393)=0),COUNTIFS('①在庫を貼る'!$V$6:$V$10005,$V8393,'①在庫を貼る'!$W$6:$W$10005,$W8393)+COUNTIFS('月1回_1ヶ月前の在庫'!$V$6:$V$10005,$V8393,'月1回_1ヶ月前の在庫'!$W$6:$W$10005,$W8393)&gt;0),N(U8392),N(U8392)+1))</f>
        <v/>
      </c>
      <c r="V8393" s="19">
        <f>IF($B8393="","",TEXT($B8393,"0000"))</f>
        <v/>
      </c>
      <c r="W8393" s="19">
        <f>IF($I8393="","",IF(ISNUMBER($I8393),TEXT($I8393,"0"),$I8393))</f>
        <v/>
      </c>
    </row>
    <row r="8394">
      <c r="B8394" s="25" t="n"/>
      <c r="I8394" s="25" t="n"/>
      <c r="U8394" s="19">
        <f>IF($V8394&lt;&gt;'設定'!$C$4,N(U8393),IF(OR(NOT(COUNTIF('商品マスタ'!$B$6:$B$1005,$W8394)=0),COUNTIFS('①在庫を貼る'!$V$6:$V$10005,$V8394,'①在庫を貼る'!$W$6:$W$10005,$W8394)+COUNTIFS('月1回_1ヶ月前の在庫'!$V$6:$V$10005,$V8394,'月1回_1ヶ月前の在庫'!$W$6:$W$10005,$W8394)&gt;0),N(U8393),N(U8393)+1))</f>
        <v/>
      </c>
      <c r="V8394" s="19">
        <f>IF($B8394="","",TEXT($B8394,"0000"))</f>
        <v/>
      </c>
      <c r="W8394" s="19">
        <f>IF($I8394="","",IF(ISNUMBER($I8394),TEXT($I8394,"0"),$I8394))</f>
        <v/>
      </c>
    </row>
    <row r="8395">
      <c r="B8395" s="25" t="n"/>
      <c r="I8395" s="25" t="n"/>
      <c r="U8395" s="19">
        <f>IF($V8395&lt;&gt;'設定'!$C$4,N(U8394),IF(OR(NOT(COUNTIF('商品マスタ'!$B$6:$B$1005,$W8395)=0),COUNTIFS('①在庫を貼る'!$V$6:$V$10005,$V8395,'①在庫を貼る'!$W$6:$W$10005,$W8395)+COUNTIFS('月1回_1ヶ月前の在庫'!$V$6:$V$10005,$V8395,'月1回_1ヶ月前の在庫'!$W$6:$W$10005,$W8395)&gt;0),N(U8394),N(U8394)+1))</f>
        <v/>
      </c>
      <c r="V8395" s="19">
        <f>IF($B8395="","",TEXT($B8395,"0000"))</f>
        <v/>
      </c>
      <c r="W8395" s="19">
        <f>IF($I8395="","",IF(ISNUMBER($I8395),TEXT($I8395,"0"),$I8395))</f>
        <v/>
      </c>
    </row>
    <row r="8396">
      <c r="B8396" s="25" t="n"/>
      <c r="I8396" s="25" t="n"/>
      <c r="U8396" s="19">
        <f>IF($V8396&lt;&gt;'設定'!$C$4,N(U8395),IF(OR(NOT(COUNTIF('商品マスタ'!$B$6:$B$1005,$W8396)=0),COUNTIFS('①在庫を貼る'!$V$6:$V$10005,$V8396,'①在庫を貼る'!$W$6:$W$10005,$W8396)+COUNTIFS('月1回_1ヶ月前の在庫'!$V$6:$V$10005,$V8396,'月1回_1ヶ月前の在庫'!$W$6:$W$10005,$W8396)&gt;0),N(U8395),N(U8395)+1))</f>
        <v/>
      </c>
      <c r="V8396" s="19">
        <f>IF($B8396="","",TEXT($B8396,"0000"))</f>
        <v/>
      </c>
      <c r="W8396" s="19">
        <f>IF($I8396="","",IF(ISNUMBER($I8396),TEXT($I8396,"0"),$I8396))</f>
        <v/>
      </c>
    </row>
    <row r="8397">
      <c r="B8397" s="25" t="n"/>
      <c r="I8397" s="25" t="n"/>
      <c r="U8397" s="19">
        <f>IF($V8397&lt;&gt;'設定'!$C$4,N(U8396),IF(OR(NOT(COUNTIF('商品マスタ'!$B$6:$B$1005,$W8397)=0),COUNTIFS('①在庫を貼る'!$V$6:$V$10005,$V8397,'①在庫を貼る'!$W$6:$W$10005,$W8397)+COUNTIFS('月1回_1ヶ月前の在庫'!$V$6:$V$10005,$V8397,'月1回_1ヶ月前の在庫'!$W$6:$W$10005,$W8397)&gt;0),N(U8396),N(U8396)+1))</f>
        <v/>
      </c>
      <c r="V8397" s="19">
        <f>IF($B8397="","",TEXT($B8397,"0000"))</f>
        <v/>
      </c>
      <c r="W8397" s="19">
        <f>IF($I8397="","",IF(ISNUMBER($I8397),TEXT($I8397,"0"),$I8397))</f>
        <v/>
      </c>
    </row>
    <row r="8398">
      <c r="B8398" s="25" t="n"/>
      <c r="I8398" s="25" t="n"/>
      <c r="U8398" s="19">
        <f>IF($V8398&lt;&gt;'設定'!$C$4,N(U8397),IF(OR(NOT(COUNTIF('商品マスタ'!$B$6:$B$1005,$W8398)=0),COUNTIFS('①在庫を貼る'!$V$6:$V$10005,$V8398,'①在庫を貼る'!$W$6:$W$10005,$W8398)+COUNTIFS('月1回_1ヶ月前の在庫'!$V$6:$V$10005,$V8398,'月1回_1ヶ月前の在庫'!$W$6:$W$10005,$W8398)&gt;0),N(U8397),N(U8397)+1))</f>
        <v/>
      </c>
      <c r="V8398" s="19">
        <f>IF($B8398="","",TEXT($B8398,"0000"))</f>
        <v/>
      </c>
      <c r="W8398" s="19">
        <f>IF($I8398="","",IF(ISNUMBER($I8398),TEXT($I8398,"0"),$I8398))</f>
        <v/>
      </c>
    </row>
    <row r="8399">
      <c r="B8399" s="25" t="n"/>
      <c r="I8399" s="25" t="n"/>
      <c r="U8399" s="19">
        <f>IF($V8399&lt;&gt;'設定'!$C$4,N(U8398),IF(OR(NOT(COUNTIF('商品マスタ'!$B$6:$B$1005,$W8399)=0),COUNTIFS('①在庫を貼る'!$V$6:$V$10005,$V8399,'①在庫を貼る'!$W$6:$W$10005,$W8399)+COUNTIFS('月1回_1ヶ月前の在庫'!$V$6:$V$10005,$V8399,'月1回_1ヶ月前の在庫'!$W$6:$W$10005,$W8399)&gt;0),N(U8398),N(U8398)+1))</f>
        <v/>
      </c>
      <c r="V8399" s="19">
        <f>IF($B8399="","",TEXT($B8399,"0000"))</f>
        <v/>
      </c>
      <c r="W8399" s="19">
        <f>IF($I8399="","",IF(ISNUMBER($I8399),TEXT($I8399,"0"),$I8399))</f>
        <v/>
      </c>
    </row>
    <row r="8400">
      <c r="B8400" s="25" t="n"/>
      <c r="I8400" s="25" t="n"/>
      <c r="U8400" s="19">
        <f>IF($V8400&lt;&gt;'設定'!$C$4,N(U8399),IF(OR(NOT(COUNTIF('商品マスタ'!$B$6:$B$1005,$W8400)=0),COUNTIFS('①在庫を貼る'!$V$6:$V$10005,$V8400,'①在庫を貼る'!$W$6:$W$10005,$W8400)+COUNTIFS('月1回_1ヶ月前の在庫'!$V$6:$V$10005,$V8400,'月1回_1ヶ月前の在庫'!$W$6:$W$10005,$W8400)&gt;0),N(U8399),N(U8399)+1))</f>
        <v/>
      </c>
      <c r="V8400" s="19">
        <f>IF($B8400="","",TEXT($B8400,"0000"))</f>
        <v/>
      </c>
      <c r="W8400" s="19">
        <f>IF($I8400="","",IF(ISNUMBER($I8400),TEXT($I8400,"0"),$I8400))</f>
        <v/>
      </c>
    </row>
    <row r="8401">
      <c r="B8401" s="25" t="n"/>
      <c r="I8401" s="25" t="n"/>
      <c r="U8401" s="19">
        <f>IF($V8401&lt;&gt;'設定'!$C$4,N(U8400),IF(OR(NOT(COUNTIF('商品マスタ'!$B$6:$B$1005,$W8401)=0),COUNTIFS('①在庫を貼る'!$V$6:$V$10005,$V8401,'①在庫を貼る'!$W$6:$W$10005,$W8401)+COUNTIFS('月1回_1ヶ月前の在庫'!$V$6:$V$10005,$V8401,'月1回_1ヶ月前の在庫'!$W$6:$W$10005,$W8401)&gt;0),N(U8400),N(U8400)+1))</f>
        <v/>
      </c>
      <c r="V8401" s="19">
        <f>IF($B8401="","",TEXT($B8401,"0000"))</f>
        <v/>
      </c>
      <c r="W8401" s="19">
        <f>IF($I8401="","",IF(ISNUMBER($I8401),TEXT($I8401,"0"),$I8401))</f>
        <v/>
      </c>
    </row>
    <row r="8402">
      <c r="B8402" s="25" t="n"/>
      <c r="I8402" s="25" t="n"/>
      <c r="U8402" s="19">
        <f>IF($V8402&lt;&gt;'設定'!$C$4,N(U8401),IF(OR(NOT(COUNTIF('商品マスタ'!$B$6:$B$1005,$W8402)=0),COUNTIFS('①在庫を貼る'!$V$6:$V$10005,$V8402,'①在庫を貼る'!$W$6:$W$10005,$W8402)+COUNTIFS('月1回_1ヶ月前の在庫'!$V$6:$V$10005,$V8402,'月1回_1ヶ月前の在庫'!$W$6:$W$10005,$W8402)&gt;0),N(U8401),N(U8401)+1))</f>
        <v/>
      </c>
      <c r="V8402" s="19">
        <f>IF($B8402="","",TEXT($B8402,"0000"))</f>
        <v/>
      </c>
      <c r="W8402" s="19">
        <f>IF($I8402="","",IF(ISNUMBER($I8402),TEXT($I8402,"0"),$I8402))</f>
        <v/>
      </c>
    </row>
    <row r="8403">
      <c r="B8403" s="25" t="n"/>
      <c r="I8403" s="25" t="n"/>
      <c r="U8403" s="19">
        <f>IF($V8403&lt;&gt;'設定'!$C$4,N(U8402),IF(OR(NOT(COUNTIF('商品マスタ'!$B$6:$B$1005,$W8403)=0),COUNTIFS('①在庫を貼る'!$V$6:$V$10005,$V8403,'①在庫を貼る'!$W$6:$W$10005,$W8403)+COUNTIFS('月1回_1ヶ月前の在庫'!$V$6:$V$10005,$V8403,'月1回_1ヶ月前の在庫'!$W$6:$W$10005,$W8403)&gt;0),N(U8402),N(U8402)+1))</f>
        <v/>
      </c>
      <c r="V8403" s="19">
        <f>IF($B8403="","",TEXT($B8403,"0000"))</f>
        <v/>
      </c>
      <c r="W8403" s="19">
        <f>IF($I8403="","",IF(ISNUMBER($I8403),TEXT($I8403,"0"),$I8403))</f>
        <v/>
      </c>
    </row>
    <row r="8404">
      <c r="B8404" s="25" t="n"/>
      <c r="I8404" s="25" t="n"/>
      <c r="U8404" s="19">
        <f>IF($V8404&lt;&gt;'設定'!$C$4,N(U8403),IF(OR(NOT(COUNTIF('商品マスタ'!$B$6:$B$1005,$W8404)=0),COUNTIFS('①在庫を貼る'!$V$6:$V$10005,$V8404,'①在庫を貼る'!$W$6:$W$10005,$W8404)+COUNTIFS('月1回_1ヶ月前の在庫'!$V$6:$V$10005,$V8404,'月1回_1ヶ月前の在庫'!$W$6:$W$10005,$W8404)&gt;0),N(U8403),N(U8403)+1))</f>
        <v/>
      </c>
      <c r="V8404" s="19">
        <f>IF($B8404="","",TEXT($B8404,"0000"))</f>
        <v/>
      </c>
      <c r="W8404" s="19">
        <f>IF($I8404="","",IF(ISNUMBER($I8404),TEXT($I8404,"0"),$I8404))</f>
        <v/>
      </c>
    </row>
    <row r="8405">
      <c r="B8405" s="25" t="n"/>
      <c r="I8405" s="25" t="n"/>
      <c r="U8405" s="19">
        <f>IF($V8405&lt;&gt;'設定'!$C$4,N(U8404),IF(OR(NOT(COUNTIF('商品マスタ'!$B$6:$B$1005,$W8405)=0),COUNTIFS('①在庫を貼る'!$V$6:$V$10005,$V8405,'①在庫を貼る'!$W$6:$W$10005,$W8405)+COUNTIFS('月1回_1ヶ月前の在庫'!$V$6:$V$10005,$V8405,'月1回_1ヶ月前の在庫'!$W$6:$W$10005,$W8405)&gt;0),N(U8404),N(U8404)+1))</f>
        <v/>
      </c>
      <c r="V8405" s="19">
        <f>IF($B8405="","",TEXT($B8405,"0000"))</f>
        <v/>
      </c>
      <c r="W8405" s="19">
        <f>IF($I8405="","",IF(ISNUMBER($I8405),TEXT($I8405,"0"),$I8405))</f>
        <v/>
      </c>
    </row>
    <row r="8406">
      <c r="B8406" s="25" t="n"/>
      <c r="I8406" s="25" t="n"/>
      <c r="U8406" s="19">
        <f>IF($V8406&lt;&gt;'設定'!$C$4,N(U8405),IF(OR(NOT(COUNTIF('商品マスタ'!$B$6:$B$1005,$W8406)=0),COUNTIFS('①在庫を貼る'!$V$6:$V$10005,$V8406,'①在庫を貼る'!$W$6:$W$10005,$W8406)+COUNTIFS('月1回_1ヶ月前の在庫'!$V$6:$V$10005,$V8406,'月1回_1ヶ月前の在庫'!$W$6:$W$10005,$W8406)&gt;0),N(U8405),N(U8405)+1))</f>
        <v/>
      </c>
      <c r="V8406" s="19">
        <f>IF($B8406="","",TEXT($B8406,"0000"))</f>
        <v/>
      </c>
      <c r="W8406" s="19">
        <f>IF($I8406="","",IF(ISNUMBER($I8406),TEXT($I8406,"0"),$I8406))</f>
        <v/>
      </c>
    </row>
    <row r="8407">
      <c r="B8407" s="25" t="n"/>
      <c r="I8407" s="25" t="n"/>
      <c r="U8407" s="19">
        <f>IF($V8407&lt;&gt;'設定'!$C$4,N(U8406),IF(OR(NOT(COUNTIF('商品マスタ'!$B$6:$B$1005,$W8407)=0),COUNTIFS('①在庫を貼る'!$V$6:$V$10005,$V8407,'①在庫を貼る'!$W$6:$W$10005,$W8407)+COUNTIFS('月1回_1ヶ月前の在庫'!$V$6:$V$10005,$V8407,'月1回_1ヶ月前の在庫'!$W$6:$W$10005,$W8407)&gt;0),N(U8406),N(U8406)+1))</f>
        <v/>
      </c>
      <c r="V8407" s="19">
        <f>IF($B8407="","",TEXT($B8407,"0000"))</f>
        <v/>
      </c>
      <c r="W8407" s="19">
        <f>IF($I8407="","",IF(ISNUMBER($I8407),TEXT($I8407,"0"),$I8407))</f>
        <v/>
      </c>
    </row>
    <row r="8408">
      <c r="B8408" s="25" t="n"/>
      <c r="I8408" s="25" t="n"/>
      <c r="U8408" s="19">
        <f>IF($V8408&lt;&gt;'設定'!$C$4,N(U8407),IF(OR(NOT(COUNTIF('商品マスタ'!$B$6:$B$1005,$W8408)=0),COUNTIFS('①在庫を貼る'!$V$6:$V$10005,$V8408,'①在庫を貼る'!$W$6:$W$10005,$W8408)+COUNTIFS('月1回_1ヶ月前の在庫'!$V$6:$V$10005,$V8408,'月1回_1ヶ月前の在庫'!$W$6:$W$10005,$W8408)&gt;0),N(U8407),N(U8407)+1))</f>
        <v/>
      </c>
      <c r="V8408" s="19">
        <f>IF($B8408="","",TEXT($B8408,"0000"))</f>
        <v/>
      </c>
      <c r="W8408" s="19">
        <f>IF($I8408="","",IF(ISNUMBER($I8408),TEXT($I8408,"0"),$I8408))</f>
        <v/>
      </c>
    </row>
    <row r="8409">
      <c r="B8409" s="25" t="n"/>
      <c r="I8409" s="25" t="n"/>
      <c r="U8409" s="19">
        <f>IF($V8409&lt;&gt;'設定'!$C$4,N(U8408),IF(OR(NOT(COUNTIF('商品マスタ'!$B$6:$B$1005,$W8409)=0),COUNTIFS('①在庫を貼る'!$V$6:$V$10005,$V8409,'①在庫を貼る'!$W$6:$W$10005,$W8409)+COUNTIFS('月1回_1ヶ月前の在庫'!$V$6:$V$10005,$V8409,'月1回_1ヶ月前の在庫'!$W$6:$W$10005,$W8409)&gt;0),N(U8408),N(U8408)+1))</f>
        <v/>
      </c>
      <c r="V8409" s="19">
        <f>IF($B8409="","",TEXT($B8409,"0000"))</f>
        <v/>
      </c>
      <c r="W8409" s="19">
        <f>IF($I8409="","",IF(ISNUMBER($I8409),TEXT($I8409,"0"),$I8409))</f>
        <v/>
      </c>
    </row>
    <row r="8410">
      <c r="B8410" s="25" t="n"/>
      <c r="I8410" s="25" t="n"/>
      <c r="U8410" s="19">
        <f>IF($V8410&lt;&gt;'設定'!$C$4,N(U8409),IF(OR(NOT(COUNTIF('商品マスタ'!$B$6:$B$1005,$W8410)=0),COUNTIFS('①在庫を貼る'!$V$6:$V$10005,$V8410,'①在庫を貼る'!$W$6:$W$10005,$W8410)+COUNTIFS('月1回_1ヶ月前の在庫'!$V$6:$V$10005,$V8410,'月1回_1ヶ月前の在庫'!$W$6:$W$10005,$W8410)&gt;0),N(U8409),N(U8409)+1))</f>
        <v/>
      </c>
      <c r="V8410" s="19">
        <f>IF($B8410="","",TEXT($B8410,"0000"))</f>
        <v/>
      </c>
      <c r="W8410" s="19">
        <f>IF($I8410="","",IF(ISNUMBER($I8410),TEXT($I8410,"0"),$I8410))</f>
        <v/>
      </c>
    </row>
    <row r="8411">
      <c r="B8411" s="25" t="n"/>
      <c r="I8411" s="25" t="n"/>
      <c r="U8411" s="19">
        <f>IF($V8411&lt;&gt;'設定'!$C$4,N(U8410),IF(OR(NOT(COUNTIF('商品マスタ'!$B$6:$B$1005,$W8411)=0),COUNTIFS('①在庫を貼る'!$V$6:$V$10005,$V8411,'①在庫を貼る'!$W$6:$W$10005,$W8411)+COUNTIFS('月1回_1ヶ月前の在庫'!$V$6:$V$10005,$V8411,'月1回_1ヶ月前の在庫'!$W$6:$W$10005,$W8411)&gt;0),N(U8410),N(U8410)+1))</f>
        <v/>
      </c>
      <c r="V8411" s="19">
        <f>IF($B8411="","",TEXT($B8411,"0000"))</f>
        <v/>
      </c>
      <c r="W8411" s="19">
        <f>IF($I8411="","",IF(ISNUMBER($I8411),TEXT($I8411,"0"),$I8411))</f>
        <v/>
      </c>
    </row>
    <row r="8412">
      <c r="B8412" s="25" t="n"/>
      <c r="I8412" s="25" t="n"/>
      <c r="U8412" s="19">
        <f>IF($V8412&lt;&gt;'設定'!$C$4,N(U8411),IF(OR(NOT(COUNTIF('商品マスタ'!$B$6:$B$1005,$W8412)=0),COUNTIFS('①在庫を貼る'!$V$6:$V$10005,$V8412,'①在庫を貼る'!$W$6:$W$10005,$W8412)+COUNTIFS('月1回_1ヶ月前の在庫'!$V$6:$V$10005,$V8412,'月1回_1ヶ月前の在庫'!$W$6:$W$10005,$W8412)&gt;0),N(U8411),N(U8411)+1))</f>
        <v/>
      </c>
      <c r="V8412" s="19">
        <f>IF($B8412="","",TEXT($B8412,"0000"))</f>
        <v/>
      </c>
      <c r="W8412" s="19">
        <f>IF($I8412="","",IF(ISNUMBER($I8412),TEXT($I8412,"0"),$I8412))</f>
        <v/>
      </c>
    </row>
    <row r="8413">
      <c r="B8413" s="25" t="n"/>
      <c r="I8413" s="25" t="n"/>
      <c r="U8413" s="19">
        <f>IF($V8413&lt;&gt;'設定'!$C$4,N(U8412),IF(OR(NOT(COUNTIF('商品マスタ'!$B$6:$B$1005,$W8413)=0),COUNTIFS('①在庫を貼る'!$V$6:$V$10005,$V8413,'①在庫を貼る'!$W$6:$W$10005,$W8413)+COUNTIFS('月1回_1ヶ月前の在庫'!$V$6:$V$10005,$V8413,'月1回_1ヶ月前の在庫'!$W$6:$W$10005,$W8413)&gt;0),N(U8412),N(U8412)+1))</f>
        <v/>
      </c>
      <c r="V8413" s="19">
        <f>IF($B8413="","",TEXT($B8413,"0000"))</f>
        <v/>
      </c>
      <c r="W8413" s="19">
        <f>IF($I8413="","",IF(ISNUMBER($I8413),TEXT($I8413,"0"),$I8413))</f>
        <v/>
      </c>
    </row>
    <row r="8414">
      <c r="B8414" s="25" t="n"/>
      <c r="I8414" s="25" t="n"/>
      <c r="U8414" s="19">
        <f>IF($V8414&lt;&gt;'設定'!$C$4,N(U8413),IF(OR(NOT(COUNTIF('商品マスタ'!$B$6:$B$1005,$W8414)=0),COUNTIFS('①在庫を貼る'!$V$6:$V$10005,$V8414,'①在庫を貼る'!$W$6:$W$10005,$W8414)+COUNTIFS('月1回_1ヶ月前の在庫'!$V$6:$V$10005,$V8414,'月1回_1ヶ月前の在庫'!$W$6:$W$10005,$W8414)&gt;0),N(U8413),N(U8413)+1))</f>
        <v/>
      </c>
      <c r="V8414" s="19">
        <f>IF($B8414="","",TEXT($B8414,"0000"))</f>
        <v/>
      </c>
      <c r="W8414" s="19">
        <f>IF($I8414="","",IF(ISNUMBER($I8414),TEXT($I8414,"0"),$I8414))</f>
        <v/>
      </c>
    </row>
    <row r="8415">
      <c r="B8415" s="25" t="n"/>
      <c r="I8415" s="25" t="n"/>
      <c r="U8415" s="19">
        <f>IF($V8415&lt;&gt;'設定'!$C$4,N(U8414),IF(OR(NOT(COUNTIF('商品マスタ'!$B$6:$B$1005,$W8415)=0),COUNTIFS('①在庫を貼る'!$V$6:$V$10005,$V8415,'①在庫を貼る'!$W$6:$W$10005,$W8415)+COUNTIFS('月1回_1ヶ月前の在庫'!$V$6:$V$10005,$V8415,'月1回_1ヶ月前の在庫'!$W$6:$W$10005,$W8415)&gt;0),N(U8414),N(U8414)+1))</f>
        <v/>
      </c>
      <c r="V8415" s="19">
        <f>IF($B8415="","",TEXT($B8415,"0000"))</f>
        <v/>
      </c>
      <c r="W8415" s="19">
        <f>IF($I8415="","",IF(ISNUMBER($I8415),TEXT($I8415,"0"),$I8415))</f>
        <v/>
      </c>
    </row>
    <row r="8416">
      <c r="B8416" s="25" t="n"/>
      <c r="I8416" s="25" t="n"/>
      <c r="U8416" s="19">
        <f>IF($V8416&lt;&gt;'設定'!$C$4,N(U8415),IF(OR(NOT(COUNTIF('商品マスタ'!$B$6:$B$1005,$W8416)=0),COUNTIFS('①在庫を貼る'!$V$6:$V$10005,$V8416,'①在庫を貼る'!$W$6:$W$10005,$W8416)+COUNTIFS('月1回_1ヶ月前の在庫'!$V$6:$V$10005,$V8416,'月1回_1ヶ月前の在庫'!$W$6:$W$10005,$W8416)&gt;0),N(U8415),N(U8415)+1))</f>
        <v/>
      </c>
      <c r="V8416" s="19">
        <f>IF($B8416="","",TEXT($B8416,"0000"))</f>
        <v/>
      </c>
      <c r="W8416" s="19">
        <f>IF($I8416="","",IF(ISNUMBER($I8416),TEXT($I8416,"0"),$I8416))</f>
        <v/>
      </c>
    </row>
    <row r="8417">
      <c r="B8417" s="25" t="n"/>
      <c r="I8417" s="25" t="n"/>
      <c r="U8417" s="19">
        <f>IF($V8417&lt;&gt;'設定'!$C$4,N(U8416),IF(OR(NOT(COUNTIF('商品マスタ'!$B$6:$B$1005,$W8417)=0),COUNTIFS('①在庫を貼る'!$V$6:$V$10005,$V8417,'①在庫を貼る'!$W$6:$W$10005,$W8417)+COUNTIFS('月1回_1ヶ月前の在庫'!$V$6:$V$10005,$V8417,'月1回_1ヶ月前の在庫'!$W$6:$W$10005,$W8417)&gt;0),N(U8416),N(U8416)+1))</f>
        <v/>
      </c>
      <c r="V8417" s="19">
        <f>IF($B8417="","",TEXT($B8417,"0000"))</f>
        <v/>
      </c>
      <c r="W8417" s="19">
        <f>IF($I8417="","",IF(ISNUMBER($I8417),TEXT($I8417,"0"),$I8417))</f>
        <v/>
      </c>
    </row>
    <row r="8418">
      <c r="B8418" s="25" t="n"/>
      <c r="I8418" s="25" t="n"/>
      <c r="U8418" s="19">
        <f>IF($V8418&lt;&gt;'設定'!$C$4,N(U8417),IF(OR(NOT(COUNTIF('商品マスタ'!$B$6:$B$1005,$W8418)=0),COUNTIFS('①在庫を貼る'!$V$6:$V$10005,$V8418,'①在庫を貼る'!$W$6:$W$10005,$W8418)+COUNTIFS('月1回_1ヶ月前の在庫'!$V$6:$V$10005,$V8418,'月1回_1ヶ月前の在庫'!$W$6:$W$10005,$W8418)&gt;0),N(U8417),N(U8417)+1))</f>
        <v/>
      </c>
      <c r="V8418" s="19">
        <f>IF($B8418="","",TEXT($B8418,"0000"))</f>
        <v/>
      </c>
      <c r="W8418" s="19">
        <f>IF($I8418="","",IF(ISNUMBER($I8418),TEXT($I8418,"0"),$I8418))</f>
        <v/>
      </c>
    </row>
    <row r="8419">
      <c r="B8419" s="25" t="n"/>
      <c r="I8419" s="25" t="n"/>
      <c r="U8419" s="19">
        <f>IF($V8419&lt;&gt;'設定'!$C$4,N(U8418),IF(OR(NOT(COUNTIF('商品マスタ'!$B$6:$B$1005,$W8419)=0),COUNTIFS('①在庫を貼る'!$V$6:$V$10005,$V8419,'①在庫を貼る'!$W$6:$W$10005,$W8419)+COUNTIFS('月1回_1ヶ月前の在庫'!$V$6:$V$10005,$V8419,'月1回_1ヶ月前の在庫'!$W$6:$W$10005,$W8419)&gt;0),N(U8418),N(U8418)+1))</f>
        <v/>
      </c>
      <c r="V8419" s="19">
        <f>IF($B8419="","",TEXT($B8419,"0000"))</f>
        <v/>
      </c>
      <c r="W8419" s="19">
        <f>IF($I8419="","",IF(ISNUMBER($I8419),TEXT($I8419,"0"),$I8419))</f>
        <v/>
      </c>
    </row>
    <row r="8420">
      <c r="B8420" s="25" t="n"/>
      <c r="I8420" s="25" t="n"/>
      <c r="U8420" s="19">
        <f>IF($V8420&lt;&gt;'設定'!$C$4,N(U8419),IF(OR(NOT(COUNTIF('商品マスタ'!$B$6:$B$1005,$W8420)=0),COUNTIFS('①在庫を貼る'!$V$6:$V$10005,$V8420,'①在庫を貼る'!$W$6:$W$10005,$W8420)+COUNTIFS('月1回_1ヶ月前の在庫'!$V$6:$V$10005,$V8420,'月1回_1ヶ月前の在庫'!$W$6:$W$10005,$W8420)&gt;0),N(U8419),N(U8419)+1))</f>
        <v/>
      </c>
      <c r="V8420" s="19">
        <f>IF($B8420="","",TEXT($B8420,"0000"))</f>
        <v/>
      </c>
      <c r="W8420" s="19">
        <f>IF($I8420="","",IF(ISNUMBER($I8420),TEXT($I8420,"0"),$I8420))</f>
        <v/>
      </c>
    </row>
    <row r="8421">
      <c r="B8421" s="25" t="n"/>
      <c r="I8421" s="25" t="n"/>
      <c r="U8421" s="19">
        <f>IF($V8421&lt;&gt;'設定'!$C$4,N(U8420),IF(OR(NOT(COUNTIF('商品マスタ'!$B$6:$B$1005,$W8421)=0),COUNTIFS('①在庫を貼る'!$V$6:$V$10005,$V8421,'①在庫を貼る'!$W$6:$W$10005,$W8421)+COUNTIFS('月1回_1ヶ月前の在庫'!$V$6:$V$10005,$V8421,'月1回_1ヶ月前の在庫'!$W$6:$W$10005,$W8421)&gt;0),N(U8420),N(U8420)+1))</f>
        <v/>
      </c>
      <c r="V8421" s="19">
        <f>IF($B8421="","",TEXT($B8421,"0000"))</f>
        <v/>
      </c>
      <c r="W8421" s="19">
        <f>IF($I8421="","",IF(ISNUMBER($I8421),TEXT($I8421,"0"),$I8421))</f>
        <v/>
      </c>
    </row>
    <row r="8422">
      <c r="B8422" s="25" t="n"/>
      <c r="I8422" s="25" t="n"/>
      <c r="U8422" s="19">
        <f>IF($V8422&lt;&gt;'設定'!$C$4,N(U8421),IF(OR(NOT(COUNTIF('商品マスタ'!$B$6:$B$1005,$W8422)=0),COUNTIFS('①在庫を貼る'!$V$6:$V$10005,$V8422,'①在庫を貼る'!$W$6:$W$10005,$W8422)+COUNTIFS('月1回_1ヶ月前の在庫'!$V$6:$V$10005,$V8422,'月1回_1ヶ月前の在庫'!$W$6:$W$10005,$W8422)&gt;0),N(U8421),N(U8421)+1))</f>
        <v/>
      </c>
      <c r="V8422" s="19">
        <f>IF($B8422="","",TEXT($B8422,"0000"))</f>
        <v/>
      </c>
      <c r="W8422" s="19">
        <f>IF($I8422="","",IF(ISNUMBER($I8422),TEXT($I8422,"0"),$I8422))</f>
        <v/>
      </c>
    </row>
    <row r="8423">
      <c r="B8423" s="25" t="n"/>
      <c r="I8423" s="25" t="n"/>
      <c r="U8423" s="19">
        <f>IF($V8423&lt;&gt;'設定'!$C$4,N(U8422),IF(OR(NOT(COUNTIF('商品マスタ'!$B$6:$B$1005,$W8423)=0),COUNTIFS('①在庫を貼る'!$V$6:$V$10005,$V8423,'①在庫を貼る'!$W$6:$W$10005,$W8423)+COUNTIFS('月1回_1ヶ月前の在庫'!$V$6:$V$10005,$V8423,'月1回_1ヶ月前の在庫'!$W$6:$W$10005,$W8423)&gt;0),N(U8422),N(U8422)+1))</f>
        <v/>
      </c>
      <c r="V8423" s="19">
        <f>IF($B8423="","",TEXT($B8423,"0000"))</f>
        <v/>
      </c>
      <c r="W8423" s="19">
        <f>IF($I8423="","",IF(ISNUMBER($I8423),TEXT($I8423,"0"),$I8423))</f>
        <v/>
      </c>
    </row>
    <row r="8424">
      <c r="B8424" s="25" t="n"/>
      <c r="I8424" s="25" t="n"/>
      <c r="U8424" s="19">
        <f>IF($V8424&lt;&gt;'設定'!$C$4,N(U8423),IF(OR(NOT(COUNTIF('商品マスタ'!$B$6:$B$1005,$W8424)=0),COUNTIFS('①在庫を貼る'!$V$6:$V$10005,$V8424,'①在庫を貼る'!$W$6:$W$10005,$W8424)+COUNTIFS('月1回_1ヶ月前の在庫'!$V$6:$V$10005,$V8424,'月1回_1ヶ月前の在庫'!$W$6:$W$10005,$W8424)&gt;0),N(U8423),N(U8423)+1))</f>
        <v/>
      </c>
      <c r="V8424" s="19">
        <f>IF($B8424="","",TEXT($B8424,"0000"))</f>
        <v/>
      </c>
      <c r="W8424" s="19">
        <f>IF($I8424="","",IF(ISNUMBER($I8424),TEXT($I8424,"0"),$I8424))</f>
        <v/>
      </c>
    </row>
    <row r="8425">
      <c r="B8425" s="25" t="n"/>
      <c r="I8425" s="25" t="n"/>
      <c r="U8425" s="19">
        <f>IF($V8425&lt;&gt;'設定'!$C$4,N(U8424),IF(OR(NOT(COUNTIF('商品マスタ'!$B$6:$B$1005,$W8425)=0),COUNTIFS('①在庫を貼る'!$V$6:$V$10005,$V8425,'①在庫を貼る'!$W$6:$W$10005,$W8425)+COUNTIFS('月1回_1ヶ月前の在庫'!$V$6:$V$10005,$V8425,'月1回_1ヶ月前の在庫'!$W$6:$W$10005,$W8425)&gt;0),N(U8424),N(U8424)+1))</f>
        <v/>
      </c>
      <c r="V8425" s="19">
        <f>IF($B8425="","",TEXT($B8425,"0000"))</f>
        <v/>
      </c>
      <c r="W8425" s="19">
        <f>IF($I8425="","",IF(ISNUMBER($I8425),TEXT($I8425,"0"),$I8425))</f>
        <v/>
      </c>
    </row>
    <row r="8426">
      <c r="B8426" s="25" t="n"/>
      <c r="I8426" s="25" t="n"/>
      <c r="U8426" s="19">
        <f>IF($V8426&lt;&gt;'設定'!$C$4,N(U8425),IF(OR(NOT(COUNTIF('商品マスタ'!$B$6:$B$1005,$W8426)=0),COUNTIFS('①在庫を貼る'!$V$6:$V$10005,$V8426,'①在庫を貼る'!$W$6:$W$10005,$W8426)+COUNTIFS('月1回_1ヶ月前の在庫'!$V$6:$V$10005,$V8426,'月1回_1ヶ月前の在庫'!$W$6:$W$10005,$W8426)&gt;0),N(U8425),N(U8425)+1))</f>
        <v/>
      </c>
      <c r="V8426" s="19">
        <f>IF($B8426="","",TEXT($B8426,"0000"))</f>
        <v/>
      </c>
      <c r="W8426" s="19">
        <f>IF($I8426="","",IF(ISNUMBER($I8426),TEXT($I8426,"0"),$I8426))</f>
        <v/>
      </c>
    </row>
    <row r="8427">
      <c r="B8427" s="25" t="n"/>
      <c r="I8427" s="25" t="n"/>
      <c r="U8427" s="19">
        <f>IF($V8427&lt;&gt;'設定'!$C$4,N(U8426),IF(OR(NOT(COUNTIF('商品マスタ'!$B$6:$B$1005,$W8427)=0),COUNTIFS('①在庫を貼る'!$V$6:$V$10005,$V8427,'①在庫を貼る'!$W$6:$W$10005,$W8427)+COUNTIFS('月1回_1ヶ月前の在庫'!$V$6:$V$10005,$V8427,'月1回_1ヶ月前の在庫'!$W$6:$W$10005,$W8427)&gt;0),N(U8426),N(U8426)+1))</f>
        <v/>
      </c>
      <c r="V8427" s="19">
        <f>IF($B8427="","",TEXT($B8427,"0000"))</f>
        <v/>
      </c>
      <c r="W8427" s="19">
        <f>IF($I8427="","",IF(ISNUMBER($I8427),TEXT($I8427,"0"),$I8427))</f>
        <v/>
      </c>
    </row>
    <row r="8428">
      <c r="B8428" s="25" t="n"/>
      <c r="I8428" s="25" t="n"/>
      <c r="U8428" s="19">
        <f>IF($V8428&lt;&gt;'設定'!$C$4,N(U8427),IF(OR(NOT(COUNTIF('商品マスタ'!$B$6:$B$1005,$W8428)=0),COUNTIFS('①在庫を貼る'!$V$6:$V$10005,$V8428,'①在庫を貼る'!$W$6:$W$10005,$W8428)+COUNTIFS('月1回_1ヶ月前の在庫'!$V$6:$V$10005,$V8428,'月1回_1ヶ月前の在庫'!$W$6:$W$10005,$W8428)&gt;0),N(U8427),N(U8427)+1))</f>
        <v/>
      </c>
      <c r="V8428" s="19">
        <f>IF($B8428="","",TEXT($B8428,"0000"))</f>
        <v/>
      </c>
      <c r="W8428" s="19">
        <f>IF($I8428="","",IF(ISNUMBER($I8428),TEXT($I8428,"0"),$I8428))</f>
        <v/>
      </c>
    </row>
    <row r="8429">
      <c r="B8429" s="25" t="n"/>
      <c r="I8429" s="25" t="n"/>
      <c r="U8429" s="19">
        <f>IF($V8429&lt;&gt;'設定'!$C$4,N(U8428),IF(OR(NOT(COUNTIF('商品マスタ'!$B$6:$B$1005,$W8429)=0),COUNTIFS('①在庫を貼る'!$V$6:$V$10005,$V8429,'①在庫を貼る'!$W$6:$W$10005,$W8429)+COUNTIFS('月1回_1ヶ月前の在庫'!$V$6:$V$10005,$V8429,'月1回_1ヶ月前の在庫'!$W$6:$W$10005,$W8429)&gt;0),N(U8428),N(U8428)+1))</f>
        <v/>
      </c>
      <c r="V8429" s="19">
        <f>IF($B8429="","",TEXT($B8429,"0000"))</f>
        <v/>
      </c>
      <c r="W8429" s="19">
        <f>IF($I8429="","",IF(ISNUMBER($I8429),TEXT($I8429,"0"),$I8429))</f>
        <v/>
      </c>
    </row>
    <row r="8430">
      <c r="B8430" s="25" t="n"/>
      <c r="I8430" s="25" t="n"/>
      <c r="U8430" s="19">
        <f>IF($V8430&lt;&gt;'設定'!$C$4,N(U8429),IF(OR(NOT(COUNTIF('商品マスタ'!$B$6:$B$1005,$W8430)=0),COUNTIFS('①在庫を貼る'!$V$6:$V$10005,$V8430,'①在庫を貼る'!$W$6:$W$10005,$W8430)+COUNTIFS('月1回_1ヶ月前の在庫'!$V$6:$V$10005,$V8430,'月1回_1ヶ月前の在庫'!$W$6:$W$10005,$W8430)&gt;0),N(U8429),N(U8429)+1))</f>
        <v/>
      </c>
      <c r="V8430" s="19">
        <f>IF($B8430="","",TEXT($B8430,"0000"))</f>
        <v/>
      </c>
      <c r="W8430" s="19">
        <f>IF($I8430="","",IF(ISNUMBER($I8430),TEXT($I8430,"0"),$I8430))</f>
        <v/>
      </c>
    </row>
    <row r="8431">
      <c r="B8431" s="25" t="n"/>
      <c r="I8431" s="25" t="n"/>
      <c r="U8431" s="19">
        <f>IF($V8431&lt;&gt;'設定'!$C$4,N(U8430),IF(OR(NOT(COUNTIF('商品マスタ'!$B$6:$B$1005,$W8431)=0),COUNTIFS('①在庫を貼る'!$V$6:$V$10005,$V8431,'①在庫を貼る'!$W$6:$W$10005,$W8431)+COUNTIFS('月1回_1ヶ月前の在庫'!$V$6:$V$10005,$V8431,'月1回_1ヶ月前の在庫'!$W$6:$W$10005,$W8431)&gt;0),N(U8430),N(U8430)+1))</f>
        <v/>
      </c>
      <c r="V8431" s="19">
        <f>IF($B8431="","",TEXT($B8431,"0000"))</f>
        <v/>
      </c>
      <c r="W8431" s="19">
        <f>IF($I8431="","",IF(ISNUMBER($I8431),TEXT($I8431,"0"),$I8431))</f>
        <v/>
      </c>
    </row>
    <row r="8432">
      <c r="B8432" s="25" t="n"/>
      <c r="I8432" s="25" t="n"/>
      <c r="U8432" s="19">
        <f>IF($V8432&lt;&gt;'設定'!$C$4,N(U8431),IF(OR(NOT(COUNTIF('商品マスタ'!$B$6:$B$1005,$W8432)=0),COUNTIFS('①在庫を貼る'!$V$6:$V$10005,$V8432,'①在庫を貼る'!$W$6:$W$10005,$W8432)+COUNTIFS('月1回_1ヶ月前の在庫'!$V$6:$V$10005,$V8432,'月1回_1ヶ月前の在庫'!$W$6:$W$10005,$W8432)&gt;0),N(U8431),N(U8431)+1))</f>
        <v/>
      </c>
      <c r="V8432" s="19">
        <f>IF($B8432="","",TEXT($B8432,"0000"))</f>
        <v/>
      </c>
      <c r="W8432" s="19">
        <f>IF($I8432="","",IF(ISNUMBER($I8432),TEXT($I8432,"0"),$I8432))</f>
        <v/>
      </c>
    </row>
    <row r="8433">
      <c r="B8433" s="25" t="n"/>
      <c r="I8433" s="25" t="n"/>
      <c r="U8433" s="19">
        <f>IF($V8433&lt;&gt;'設定'!$C$4,N(U8432),IF(OR(NOT(COUNTIF('商品マスタ'!$B$6:$B$1005,$W8433)=0),COUNTIFS('①在庫を貼る'!$V$6:$V$10005,$V8433,'①在庫を貼る'!$W$6:$W$10005,$W8433)+COUNTIFS('月1回_1ヶ月前の在庫'!$V$6:$V$10005,$V8433,'月1回_1ヶ月前の在庫'!$W$6:$W$10005,$W8433)&gt;0),N(U8432),N(U8432)+1))</f>
        <v/>
      </c>
      <c r="V8433" s="19">
        <f>IF($B8433="","",TEXT($B8433,"0000"))</f>
        <v/>
      </c>
      <c r="W8433" s="19">
        <f>IF($I8433="","",IF(ISNUMBER($I8433),TEXT($I8433,"0"),$I8433))</f>
        <v/>
      </c>
    </row>
    <row r="8434">
      <c r="B8434" s="25" t="n"/>
      <c r="I8434" s="25" t="n"/>
      <c r="U8434" s="19">
        <f>IF($V8434&lt;&gt;'設定'!$C$4,N(U8433),IF(OR(NOT(COUNTIF('商品マスタ'!$B$6:$B$1005,$W8434)=0),COUNTIFS('①在庫を貼る'!$V$6:$V$10005,$V8434,'①在庫を貼る'!$W$6:$W$10005,$W8434)+COUNTIFS('月1回_1ヶ月前の在庫'!$V$6:$V$10005,$V8434,'月1回_1ヶ月前の在庫'!$W$6:$W$10005,$W8434)&gt;0),N(U8433),N(U8433)+1))</f>
        <v/>
      </c>
      <c r="V8434" s="19">
        <f>IF($B8434="","",TEXT($B8434,"0000"))</f>
        <v/>
      </c>
      <c r="W8434" s="19">
        <f>IF($I8434="","",IF(ISNUMBER($I8434),TEXT($I8434,"0"),$I8434))</f>
        <v/>
      </c>
    </row>
    <row r="8435">
      <c r="B8435" s="25" t="n"/>
      <c r="I8435" s="25" t="n"/>
      <c r="U8435" s="19">
        <f>IF($V8435&lt;&gt;'設定'!$C$4,N(U8434),IF(OR(NOT(COUNTIF('商品マスタ'!$B$6:$B$1005,$W8435)=0),COUNTIFS('①在庫を貼る'!$V$6:$V$10005,$V8435,'①在庫を貼る'!$W$6:$W$10005,$W8435)+COUNTIFS('月1回_1ヶ月前の在庫'!$V$6:$V$10005,$V8435,'月1回_1ヶ月前の在庫'!$W$6:$W$10005,$W8435)&gt;0),N(U8434),N(U8434)+1))</f>
        <v/>
      </c>
      <c r="V8435" s="19">
        <f>IF($B8435="","",TEXT($B8435,"0000"))</f>
        <v/>
      </c>
      <c r="W8435" s="19">
        <f>IF($I8435="","",IF(ISNUMBER($I8435),TEXT($I8435,"0"),$I8435))</f>
        <v/>
      </c>
    </row>
    <row r="8436">
      <c r="B8436" s="25" t="n"/>
      <c r="I8436" s="25" t="n"/>
      <c r="U8436" s="19">
        <f>IF($V8436&lt;&gt;'設定'!$C$4,N(U8435),IF(OR(NOT(COUNTIF('商品マスタ'!$B$6:$B$1005,$W8436)=0),COUNTIFS('①在庫を貼る'!$V$6:$V$10005,$V8436,'①在庫を貼る'!$W$6:$W$10005,$W8436)+COUNTIFS('月1回_1ヶ月前の在庫'!$V$6:$V$10005,$V8436,'月1回_1ヶ月前の在庫'!$W$6:$W$10005,$W8436)&gt;0),N(U8435),N(U8435)+1))</f>
        <v/>
      </c>
      <c r="V8436" s="19">
        <f>IF($B8436="","",TEXT($B8436,"0000"))</f>
        <v/>
      </c>
      <c r="W8436" s="19">
        <f>IF($I8436="","",IF(ISNUMBER($I8436),TEXT($I8436,"0"),$I8436))</f>
        <v/>
      </c>
    </row>
    <row r="8437">
      <c r="B8437" s="25" t="n"/>
      <c r="I8437" s="25" t="n"/>
      <c r="U8437" s="19">
        <f>IF($V8437&lt;&gt;'設定'!$C$4,N(U8436),IF(OR(NOT(COUNTIF('商品マスタ'!$B$6:$B$1005,$W8437)=0),COUNTIFS('①在庫を貼る'!$V$6:$V$10005,$V8437,'①在庫を貼る'!$W$6:$W$10005,$W8437)+COUNTIFS('月1回_1ヶ月前の在庫'!$V$6:$V$10005,$V8437,'月1回_1ヶ月前の在庫'!$W$6:$W$10005,$W8437)&gt;0),N(U8436),N(U8436)+1))</f>
        <v/>
      </c>
      <c r="V8437" s="19">
        <f>IF($B8437="","",TEXT($B8437,"0000"))</f>
        <v/>
      </c>
      <c r="W8437" s="19">
        <f>IF($I8437="","",IF(ISNUMBER($I8437),TEXT($I8437,"0"),$I8437))</f>
        <v/>
      </c>
    </row>
    <row r="8438">
      <c r="B8438" s="25" t="n"/>
      <c r="I8438" s="25" t="n"/>
      <c r="U8438" s="19">
        <f>IF($V8438&lt;&gt;'設定'!$C$4,N(U8437),IF(OR(NOT(COUNTIF('商品マスタ'!$B$6:$B$1005,$W8438)=0),COUNTIFS('①在庫を貼る'!$V$6:$V$10005,$V8438,'①在庫を貼る'!$W$6:$W$10005,$W8438)+COUNTIFS('月1回_1ヶ月前の在庫'!$V$6:$V$10005,$V8438,'月1回_1ヶ月前の在庫'!$W$6:$W$10005,$W8438)&gt;0),N(U8437),N(U8437)+1))</f>
        <v/>
      </c>
      <c r="V8438" s="19">
        <f>IF($B8438="","",TEXT($B8438,"0000"))</f>
        <v/>
      </c>
      <c r="W8438" s="19">
        <f>IF($I8438="","",IF(ISNUMBER($I8438),TEXT($I8438,"0"),$I8438))</f>
        <v/>
      </c>
    </row>
    <row r="8439">
      <c r="B8439" s="25" t="n"/>
      <c r="I8439" s="25" t="n"/>
      <c r="U8439" s="19">
        <f>IF($V8439&lt;&gt;'設定'!$C$4,N(U8438),IF(OR(NOT(COUNTIF('商品マスタ'!$B$6:$B$1005,$W8439)=0),COUNTIFS('①在庫を貼る'!$V$6:$V$10005,$V8439,'①在庫を貼る'!$W$6:$W$10005,$W8439)+COUNTIFS('月1回_1ヶ月前の在庫'!$V$6:$V$10005,$V8439,'月1回_1ヶ月前の在庫'!$W$6:$W$10005,$W8439)&gt;0),N(U8438),N(U8438)+1))</f>
        <v/>
      </c>
      <c r="V8439" s="19">
        <f>IF($B8439="","",TEXT($B8439,"0000"))</f>
        <v/>
      </c>
      <c r="W8439" s="19">
        <f>IF($I8439="","",IF(ISNUMBER($I8439),TEXT($I8439,"0"),$I8439))</f>
        <v/>
      </c>
    </row>
    <row r="8440">
      <c r="B8440" s="25" t="n"/>
      <c r="I8440" s="25" t="n"/>
      <c r="U8440" s="19">
        <f>IF($V8440&lt;&gt;'設定'!$C$4,N(U8439),IF(OR(NOT(COUNTIF('商品マスタ'!$B$6:$B$1005,$W8440)=0),COUNTIFS('①在庫を貼る'!$V$6:$V$10005,$V8440,'①在庫を貼る'!$W$6:$W$10005,$W8440)+COUNTIFS('月1回_1ヶ月前の在庫'!$V$6:$V$10005,$V8440,'月1回_1ヶ月前の在庫'!$W$6:$W$10005,$W8440)&gt;0),N(U8439),N(U8439)+1))</f>
        <v/>
      </c>
      <c r="V8440" s="19">
        <f>IF($B8440="","",TEXT($B8440,"0000"))</f>
        <v/>
      </c>
      <c r="W8440" s="19">
        <f>IF($I8440="","",IF(ISNUMBER($I8440),TEXT($I8440,"0"),$I8440))</f>
        <v/>
      </c>
    </row>
    <row r="8441">
      <c r="B8441" s="25" t="n"/>
      <c r="I8441" s="25" t="n"/>
      <c r="U8441" s="19">
        <f>IF($V8441&lt;&gt;'設定'!$C$4,N(U8440),IF(OR(NOT(COUNTIF('商品マスタ'!$B$6:$B$1005,$W8441)=0),COUNTIFS('①在庫を貼る'!$V$6:$V$10005,$V8441,'①在庫を貼る'!$W$6:$W$10005,$W8441)+COUNTIFS('月1回_1ヶ月前の在庫'!$V$6:$V$10005,$V8441,'月1回_1ヶ月前の在庫'!$W$6:$W$10005,$W8441)&gt;0),N(U8440),N(U8440)+1))</f>
        <v/>
      </c>
      <c r="V8441" s="19">
        <f>IF($B8441="","",TEXT($B8441,"0000"))</f>
        <v/>
      </c>
      <c r="W8441" s="19">
        <f>IF($I8441="","",IF(ISNUMBER($I8441),TEXT($I8441,"0"),$I8441))</f>
        <v/>
      </c>
    </row>
    <row r="8442">
      <c r="B8442" s="25" t="n"/>
      <c r="I8442" s="25" t="n"/>
      <c r="U8442" s="19">
        <f>IF($V8442&lt;&gt;'設定'!$C$4,N(U8441),IF(OR(NOT(COUNTIF('商品マスタ'!$B$6:$B$1005,$W8442)=0),COUNTIFS('①在庫を貼る'!$V$6:$V$10005,$V8442,'①在庫を貼る'!$W$6:$W$10005,$W8442)+COUNTIFS('月1回_1ヶ月前の在庫'!$V$6:$V$10005,$V8442,'月1回_1ヶ月前の在庫'!$W$6:$W$10005,$W8442)&gt;0),N(U8441),N(U8441)+1))</f>
        <v/>
      </c>
      <c r="V8442" s="19">
        <f>IF($B8442="","",TEXT($B8442,"0000"))</f>
        <v/>
      </c>
      <c r="W8442" s="19">
        <f>IF($I8442="","",IF(ISNUMBER($I8442),TEXT($I8442,"0"),$I8442))</f>
        <v/>
      </c>
    </row>
    <row r="8443">
      <c r="B8443" s="25" t="n"/>
      <c r="I8443" s="25" t="n"/>
      <c r="U8443" s="19">
        <f>IF($V8443&lt;&gt;'設定'!$C$4,N(U8442),IF(OR(NOT(COUNTIF('商品マスタ'!$B$6:$B$1005,$W8443)=0),COUNTIFS('①在庫を貼る'!$V$6:$V$10005,$V8443,'①在庫を貼る'!$W$6:$W$10005,$W8443)+COUNTIFS('月1回_1ヶ月前の在庫'!$V$6:$V$10005,$V8443,'月1回_1ヶ月前の在庫'!$W$6:$W$10005,$W8443)&gt;0),N(U8442),N(U8442)+1))</f>
        <v/>
      </c>
      <c r="V8443" s="19">
        <f>IF($B8443="","",TEXT($B8443,"0000"))</f>
        <v/>
      </c>
      <c r="W8443" s="19">
        <f>IF($I8443="","",IF(ISNUMBER($I8443),TEXT($I8443,"0"),$I8443))</f>
        <v/>
      </c>
    </row>
    <row r="8444">
      <c r="B8444" s="25" t="n"/>
      <c r="I8444" s="25" t="n"/>
      <c r="U8444" s="19">
        <f>IF($V8444&lt;&gt;'設定'!$C$4,N(U8443),IF(OR(NOT(COUNTIF('商品マスタ'!$B$6:$B$1005,$W8444)=0),COUNTIFS('①在庫を貼る'!$V$6:$V$10005,$V8444,'①在庫を貼る'!$W$6:$W$10005,$W8444)+COUNTIFS('月1回_1ヶ月前の在庫'!$V$6:$V$10005,$V8444,'月1回_1ヶ月前の在庫'!$W$6:$W$10005,$W8444)&gt;0),N(U8443),N(U8443)+1))</f>
        <v/>
      </c>
      <c r="V8444" s="19">
        <f>IF($B8444="","",TEXT($B8444,"0000"))</f>
        <v/>
      </c>
      <c r="W8444" s="19">
        <f>IF($I8444="","",IF(ISNUMBER($I8444),TEXT($I8444,"0"),$I8444))</f>
        <v/>
      </c>
    </row>
    <row r="8445">
      <c r="B8445" s="25" t="n"/>
      <c r="I8445" s="25" t="n"/>
      <c r="U8445" s="19">
        <f>IF($V8445&lt;&gt;'設定'!$C$4,N(U8444),IF(OR(NOT(COUNTIF('商品マスタ'!$B$6:$B$1005,$W8445)=0),COUNTIFS('①在庫を貼る'!$V$6:$V$10005,$V8445,'①在庫を貼る'!$W$6:$W$10005,$W8445)+COUNTIFS('月1回_1ヶ月前の在庫'!$V$6:$V$10005,$V8445,'月1回_1ヶ月前の在庫'!$W$6:$W$10005,$W8445)&gt;0),N(U8444),N(U8444)+1))</f>
        <v/>
      </c>
      <c r="V8445" s="19">
        <f>IF($B8445="","",TEXT($B8445,"0000"))</f>
        <v/>
      </c>
      <c r="W8445" s="19">
        <f>IF($I8445="","",IF(ISNUMBER($I8445),TEXT($I8445,"0"),$I8445))</f>
        <v/>
      </c>
    </row>
    <row r="8446">
      <c r="B8446" s="25" t="n"/>
      <c r="I8446" s="25" t="n"/>
      <c r="U8446" s="19">
        <f>IF($V8446&lt;&gt;'設定'!$C$4,N(U8445),IF(OR(NOT(COUNTIF('商品マスタ'!$B$6:$B$1005,$W8446)=0),COUNTIFS('①在庫を貼る'!$V$6:$V$10005,$V8446,'①在庫を貼る'!$W$6:$W$10005,$W8446)+COUNTIFS('月1回_1ヶ月前の在庫'!$V$6:$V$10005,$V8446,'月1回_1ヶ月前の在庫'!$W$6:$W$10005,$W8446)&gt;0),N(U8445),N(U8445)+1))</f>
        <v/>
      </c>
      <c r="V8446" s="19">
        <f>IF($B8446="","",TEXT($B8446,"0000"))</f>
        <v/>
      </c>
      <c r="W8446" s="19">
        <f>IF($I8446="","",IF(ISNUMBER($I8446),TEXT($I8446,"0"),$I8446))</f>
        <v/>
      </c>
    </row>
    <row r="8447">
      <c r="B8447" s="25" t="n"/>
      <c r="I8447" s="25" t="n"/>
      <c r="U8447" s="19">
        <f>IF($V8447&lt;&gt;'設定'!$C$4,N(U8446),IF(OR(NOT(COUNTIF('商品マスタ'!$B$6:$B$1005,$W8447)=0),COUNTIFS('①在庫を貼る'!$V$6:$V$10005,$V8447,'①在庫を貼る'!$W$6:$W$10005,$W8447)+COUNTIFS('月1回_1ヶ月前の在庫'!$V$6:$V$10005,$V8447,'月1回_1ヶ月前の在庫'!$W$6:$W$10005,$W8447)&gt;0),N(U8446),N(U8446)+1))</f>
        <v/>
      </c>
      <c r="V8447" s="19">
        <f>IF($B8447="","",TEXT($B8447,"0000"))</f>
        <v/>
      </c>
      <c r="W8447" s="19">
        <f>IF($I8447="","",IF(ISNUMBER($I8447),TEXT($I8447,"0"),$I8447))</f>
        <v/>
      </c>
    </row>
    <row r="8448">
      <c r="B8448" s="25" t="n"/>
      <c r="I8448" s="25" t="n"/>
      <c r="U8448" s="19">
        <f>IF($V8448&lt;&gt;'設定'!$C$4,N(U8447),IF(OR(NOT(COUNTIF('商品マスタ'!$B$6:$B$1005,$W8448)=0),COUNTIFS('①在庫を貼る'!$V$6:$V$10005,$V8448,'①在庫を貼る'!$W$6:$W$10005,$W8448)+COUNTIFS('月1回_1ヶ月前の在庫'!$V$6:$V$10005,$V8448,'月1回_1ヶ月前の在庫'!$W$6:$W$10005,$W8448)&gt;0),N(U8447),N(U8447)+1))</f>
        <v/>
      </c>
      <c r="V8448" s="19">
        <f>IF($B8448="","",TEXT($B8448,"0000"))</f>
        <v/>
      </c>
      <c r="W8448" s="19">
        <f>IF($I8448="","",IF(ISNUMBER($I8448),TEXT($I8448,"0"),$I8448))</f>
        <v/>
      </c>
    </row>
    <row r="8449">
      <c r="B8449" s="25" t="n"/>
      <c r="I8449" s="25" t="n"/>
      <c r="U8449" s="19">
        <f>IF($V8449&lt;&gt;'設定'!$C$4,N(U8448),IF(OR(NOT(COUNTIF('商品マスタ'!$B$6:$B$1005,$W8449)=0),COUNTIFS('①在庫を貼る'!$V$6:$V$10005,$V8449,'①在庫を貼る'!$W$6:$W$10005,$W8449)+COUNTIFS('月1回_1ヶ月前の在庫'!$V$6:$V$10005,$V8449,'月1回_1ヶ月前の在庫'!$W$6:$W$10005,$W8449)&gt;0),N(U8448),N(U8448)+1))</f>
        <v/>
      </c>
      <c r="V8449" s="19">
        <f>IF($B8449="","",TEXT($B8449,"0000"))</f>
        <v/>
      </c>
      <c r="W8449" s="19">
        <f>IF($I8449="","",IF(ISNUMBER($I8449),TEXT($I8449,"0"),$I8449))</f>
        <v/>
      </c>
    </row>
    <row r="8450">
      <c r="B8450" s="25" t="n"/>
      <c r="I8450" s="25" t="n"/>
      <c r="U8450" s="19">
        <f>IF($V8450&lt;&gt;'設定'!$C$4,N(U8449),IF(OR(NOT(COUNTIF('商品マスタ'!$B$6:$B$1005,$W8450)=0),COUNTIFS('①在庫を貼る'!$V$6:$V$10005,$V8450,'①在庫を貼る'!$W$6:$W$10005,$W8450)+COUNTIFS('月1回_1ヶ月前の在庫'!$V$6:$V$10005,$V8450,'月1回_1ヶ月前の在庫'!$W$6:$W$10005,$W8450)&gt;0),N(U8449),N(U8449)+1))</f>
        <v/>
      </c>
      <c r="V8450" s="19">
        <f>IF($B8450="","",TEXT($B8450,"0000"))</f>
        <v/>
      </c>
      <c r="W8450" s="19">
        <f>IF($I8450="","",IF(ISNUMBER($I8450),TEXT($I8450,"0"),$I8450))</f>
        <v/>
      </c>
    </row>
    <row r="8451">
      <c r="B8451" s="25" t="n"/>
      <c r="I8451" s="25" t="n"/>
      <c r="U8451" s="19">
        <f>IF($V8451&lt;&gt;'設定'!$C$4,N(U8450),IF(OR(NOT(COUNTIF('商品マスタ'!$B$6:$B$1005,$W8451)=0),COUNTIFS('①在庫を貼る'!$V$6:$V$10005,$V8451,'①在庫を貼る'!$W$6:$W$10005,$W8451)+COUNTIFS('月1回_1ヶ月前の在庫'!$V$6:$V$10005,$V8451,'月1回_1ヶ月前の在庫'!$W$6:$W$10005,$W8451)&gt;0),N(U8450),N(U8450)+1))</f>
        <v/>
      </c>
      <c r="V8451" s="19">
        <f>IF($B8451="","",TEXT($B8451,"0000"))</f>
        <v/>
      </c>
      <c r="W8451" s="19">
        <f>IF($I8451="","",IF(ISNUMBER($I8451),TEXT($I8451,"0"),$I8451))</f>
        <v/>
      </c>
    </row>
    <row r="8452">
      <c r="B8452" s="25" t="n"/>
      <c r="I8452" s="25" t="n"/>
      <c r="U8452" s="19">
        <f>IF($V8452&lt;&gt;'設定'!$C$4,N(U8451),IF(OR(NOT(COUNTIF('商品マスタ'!$B$6:$B$1005,$W8452)=0),COUNTIFS('①在庫を貼る'!$V$6:$V$10005,$V8452,'①在庫を貼る'!$W$6:$W$10005,$W8452)+COUNTIFS('月1回_1ヶ月前の在庫'!$V$6:$V$10005,$V8452,'月1回_1ヶ月前の在庫'!$W$6:$W$10005,$W8452)&gt;0),N(U8451),N(U8451)+1))</f>
        <v/>
      </c>
      <c r="V8452" s="19">
        <f>IF($B8452="","",TEXT($B8452,"0000"))</f>
        <v/>
      </c>
      <c r="W8452" s="19">
        <f>IF($I8452="","",IF(ISNUMBER($I8452),TEXT($I8452,"0"),$I8452))</f>
        <v/>
      </c>
    </row>
    <row r="8453">
      <c r="B8453" s="25" t="n"/>
      <c r="I8453" s="25" t="n"/>
      <c r="U8453" s="19">
        <f>IF($V8453&lt;&gt;'設定'!$C$4,N(U8452),IF(OR(NOT(COUNTIF('商品マスタ'!$B$6:$B$1005,$W8453)=0),COUNTIFS('①在庫を貼る'!$V$6:$V$10005,$V8453,'①在庫を貼る'!$W$6:$W$10005,$W8453)+COUNTIFS('月1回_1ヶ月前の在庫'!$V$6:$V$10005,$V8453,'月1回_1ヶ月前の在庫'!$W$6:$W$10005,$W8453)&gt;0),N(U8452),N(U8452)+1))</f>
        <v/>
      </c>
      <c r="V8453" s="19">
        <f>IF($B8453="","",TEXT($B8453,"0000"))</f>
        <v/>
      </c>
      <c r="W8453" s="19">
        <f>IF($I8453="","",IF(ISNUMBER($I8453),TEXT($I8453,"0"),$I8453))</f>
        <v/>
      </c>
    </row>
    <row r="8454">
      <c r="B8454" s="25" t="n"/>
      <c r="I8454" s="25" t="n"/>
      <c r="U8454" s="19">
        <f>IF($V8454&lt;&gt;'設定'!$C$4,N(U8453),IF(OR(NOT(COUNTIF('商品マスタ'!$B$6:$B$1005,$W8454)=0),COUNTIFS('①在庫を貼る'!$V$6:$V$10005,$V8454,'①在庫を貼る'!$W$6:$W$10005,$W8454)+COUNTIFS('月1回_1ヶ月前の在庫'!$V$6:$V$10005,$V8454,'月1回_1ヶ月前の在庫'!$W$6:$W$10005,$W8454)&gt;0),N(U8453),N(U8453)+1))</f>
        <v/>
      </c>
      <c r="V8454" s="19">
        <f>IF($B8454="","",TEXT($B8454,"0000"))</f>
        <v/>
      </c>
      <c r="W8454" s="19">
        <f>IF($I8454="","",IF(ISNUMBER($I8454),TEXT($I8454,"0"),$I8454))</f>
        <v/>
      </c>
    </row>
    <row r="8455">
      <c r="B8455" s="25" t="n"/>
      <c r="I8455" s="25" t="n"/>
      <c r="U8455" s="19">
        <f>IF($V8455&lt;&gt;'設定'!$C$4,N(U8454),IF(OR(NOT(COUNTIF('商品マスタ'!$B$6:$B$1005,$W8455)=0),COUNTIFS('①在庫を貼る'!$V$6:$V$10005,$V8455,'①在庫を貼る'!$W$6:$W$10005,$W8455)+COUNTIFS('月1回_1ヶ月前の在庫'!$V$6:$V$10005,$V8455,'月1回_1ヶ月前の在庫'!$W$6:$W$10005,$W8455)&gt;0),N(U8454),N(U8454)+1))</f>
        <v/>
      </c>
      <c r="V8455" s="19">
        <f>IF($B8455="","",TEXT($B8455,"0000"))</f>
        <v/>
      </c>
      <c r="W8455" s="19">
        <f>IF($I8455="","",IF(ISNUMBER($I8455),TEXT($I8455,"0"),$I8455))</f>
        <v/>
      </c>
    </row>
    <row r="8456">
      <c r="B8456" s="25" t="n"/>
      <c r="I8456" s="25" t="n"/>
      <c r="U8456" s="19">
        <f>IF($V8456&lt;&gt;'設定'!$C$4,N(U8455),IF(OR(NOT(COUNTIF('商品マスタ'!$B$6:$B$1005,$W8456)=0),COUNTIFS('①在庫を貼る'!$V$6:$V$10005,$V8456,'①在庫を貼る'!$W$6:$W$10005,$W8456)+COUNTIFS('月1回_1ヶ月前の在庫'!$V$6:$V$10005,$V8456,'月1回_1ヶ月前の在庫'!$W$6:$W$10005,$W8456)&gt;0),N(U8455),N(U8455)+1))</f>
        <v/>
      </c>
      <c r="V8456" s="19">
        <f>IF($B8456="","",TEXT($B8456,"0000"))</f>
        <v/>
      </c>
      <c r="W8456" s="19">
        <f>IF($I8456="","",IF(ISNUMBER($I8456),TEXT($I8456,"0"),$I8456))</f>
        <v/>
      </c>
    </row>
    <row r="8457">
      <c r="B8457" s="25" t="n"/>
      <c r="I8457" s="25" t="n"/>
      <c r="U8457" s="19">
        <f>IF($V8457&lt;&gt;'設定'!$C$4,N(U8456),IF(OR(NOT(COUNTIF('商品マスタ'!$B$6:$B$1005,$W8457)=0),COUNTIFS('①在庫を貼る'!$V$6:$V$10005,$V8457,'①在庫を貼る'!$W$6:$W$10005,$W8457)+COUNTIFS('月1回_1ヶ月前の在庫'!$V$6:$V$10005,$V8457,'月1回_1ヶ月前の在庫'!$W$6:$W$10005,$W8457)&gt;0),N(U8456),N(U8456)+1))</f>
        <v/>
      </c>
      <c r="V8457" s="19">
        <f>IF($B8457="","",TEXT($B8457,"0000"))</f>
        <v/>
      </c>
      <c r="W8457" s="19">
        <f>IF($I8457="","",IF(ISNUMBER($I8457),TEXT($I8457,"0"),$I8457))</f>
        <v/>
      </c>
    </row>
    <row r="8458">
      <c r="B8458" s="25" t="n"/>
      <c r="I8458" s="25" t="n"/>
      <c r="U8458" s="19">
        <f>IF($V8458&lt;&gt;'設定'!$C$4,N(U8457),IF(OR(NOT(COUNTIF('商品マスタ'!$B$6:$B$1005,$W8458)=0),COUNTIFS('①在庫を貼る'!$V$6:$V$10005,$V8458,'①在庫を貼る'!$W$6:$W$10005,$W8458)+COUNTIFS('月1回_1ヶ月前の在庫'!$V$6:$V$10005,$V8458,'月1回_1ヶ月前の在庫'!$W$6:$W$10005,$W8458)&gt;0),N(U8457),N(U8457)+1))</f>
        <v/>
      </c>
      <c r="V8458" s="19">
        <f>IF($B8458="","",TEXT($B8458,"0000"))</f>
        <v/>
      </c>
      <c r="W8458" s="19">
        <f>IF($I8458="","",IF(ISNUMBER($I8458),TEXT($I8458,"0"),$I8458))</f>
        <v/>
      </c>
    </row>
    <row r="8459">
      <c r="B8459" s="25" t="n"/>
      <c r="I8459" s="25" t="n"/>
      <c r="U8459" s="19">
        <f>IF($V8459&lt;&gt;'設定'!$C$4,N(U8458),IF(OR(NOT(COUNTIF('商品マスタ'!$B$6:$B$1005,$W8459)=0),COUNTIFS('①在庫を貼る'!$V$6:$V$10005,$V8459,'①在庫を貼る'!$W$6:$W$10005,$W8459)+COUNTIFS('月1回_1ヶ月前の在庫'!$V$6:$V$10005,$V8459,'月1回_1ヶ月前の在庫'!$W$6:$W$10005,$W8459)&gt;0),N(U8458),N(U8458)+1))</f>
        <v/>
      </c>
      <c r="V8459" s="19">
        <f>IF($B8459="","",TEXT($B8459,"0000"))</f>
        <v/>
      </c>
      <c r="W8459" s="19">
        <f>IF($I8459="","",IF(ISNUMBER($I8459),TEXT($I8459,"0"),$I8459))</f>
        <v/>
      </c>
    </row>
    <row r="8460">
      <c r="B8460" s="25" t="n"/>
      <c r="I8460" s="25" t="n"/>
      <c r="U8460" s="19">
        <f>IF($V8460&lt;&gt;'設定'!$C$4,N(U8459),IF(OR(NOT(COUNTIF('商品マスタ'!$B$6:$B$1005,$W8460)=0),COUNTIFS('①在庫を貼る'!$V$6:$V$10005,$V8460,'①在庫を貼る'!$W$6:$W$10005,$W8460)+COUNTIFS('月1回_1ヶ月前の在庫'!$V$6:$V$10005,$V8460,'月1回_1ヶ月前の在庫'!$W$6:$W$10005,$W8460)&gt;0),N(U8459),N(U8459)+1))</f>
        <v/>
      </c>
      <c r="V8460" s="19">
        <f>IF($B8460="","",TEXT($B8460,"0000"))</f>
        <v/>
      </c>
      <c r="W8460" s="19">
        <f>IF($I8460="","",IF(ISNUMBER($I8460),TEXT($I8460,"0"),$I8460))</f>
        <v/>
      </c>
    </row>
    <row r="8461">
      <c r="B8461" s="25" t="n"/>
      <c r="I8461" s="25" t="n"/>
      <c r="U8461" s="19">
        <f>IF($V8461&lt;&gt;'設定'!$C$4,N(U8460),IF(OR(NOT(COUNTIF('商品マスタ'!$B$6:$B$1005,$W8461)=0),COUNTIFS('①在庫を貼る'!$V$6:$V$10005,$V8461,'①在庫を貼る'!$W$6:$W$10005,$W8461)+COUNTIFS('月1回_1ヶ月前の在庫'!$V$6:$V$10005,$V8461,'月1回_1ヶ月前の在庫'!$W$6:$W$10005,$W8461)&gt;0),N(U8460),N(U8460)+1))</f>
        <v/>
      </c>
      <c r="V8461" s="19">
        <f>IF($B8461="","",TEXT($B8461,"0000"))</f>
        <v/>
      </c>
      <c r="W8461" s="19">
        <f>IF($I8461="","",IF(ISNUMBER($I8461),TEXT($I8461,"0"),$I8461))</f>
        <v/>
      </c>
    </row>
    <row r="8462">
      <c r="B8462" s="25" t="n"/>
      <c r="I8462" s="25" t="n"/>
      <c r="U8462" s="19">
        <f>IF($V8462&lt;&gt;'設定'!$C$4,N(U8461),IF(OR(NOT(COUNTIF('商品マスタ'!$B$6:$B$1005,$W8462)=0),COUNTIFS('①在庫を貼る'!$V$6:$V$10005,$V8462,'①在庫を貼る'!$W$6:$W$10005,$W8462)+COUNTIFS('月1回_1ヶ月前の在庫'!$V$6:$V$10005,$V8462,'月1回_1ヶ月前の在庫'!$W$6:$W$10005,$W8462)&gt;0),N(U8461),N(U8461)+1))</f>
        <v/>
      </c>
      <c r="V8462" s="19">
        <f>IF($B8462="","",TEXT($B8462,"0000"))</f>
        <v/>
      </c>
      <c r="W8462" s="19">
        <f>IF($I8462="","",IF(ISNUMBER($I8462),TEXT($I8462,"0"),$I8462))</f>
        <v/>
      </c>
    </row>
    <row r="8463">
      <c r="B8463" s="25" t="n"/>
      <c r="I8463" s="25" t="n"/>
      <c r="U8463" s="19">
        <f>IF($V8463&lt;&gt;'設定'!$C$4,N(U8462),IF(OR(NOT(COUNTIF('商品マスタ'!$B$6:$B$1005,$W8463)=0),COUNTIFS('①在庫を貼る'!$V$6:$V$10005,$V8463,'①在庫を貼る'!$W$6:$W$10005,$W8463)+COUNTIFS('月1回_1ヶ月前の在庫'!$V$6:$V$10005,$V8463,'月1回_1ヶ月前の在庫'!$W$6:$W$10005,$W8463)&gt;0),N(U8462),N(U8462)+1))</f>
        <v/>
      </c>
      <c r="V8463" s="19">
        <f>IF($B8463="","",TEXT($B8463,"0000"))</f>
        <v/>
      </c>
      <c r="W8463" s="19">
        <f>IF($I8463="","",IF(ISNUMBER($I8463),TEXT($I8463,"0"),$I8463))</f>
        <v/>
      </c>
    </row>
    <row r="8464">
      <c r="B8464" s="25" t="n"/>
      <c r="I8464" s="25" t="n"/>
      <c r="U8464" s="19">
        <f>IF($V8464&lt;&gt;'設定'!$C$4,N(U8463),IF(OR(NOT(COUNTIF('商品マスタ'!$B$6:$B$1005,$W8464)=0),COUNTIFS('①在庫を貼る'!$V$6:$V$10005,$V8464,'①在庫を貼る'!$W$6:$W$10005,$W8464)+COUNTIFS('月1回_1ヶ月前の在庫'!$V$6:$V$10005,$V8464,'月1回_1ヶ月前の在庫'!$W$6:$W$10005,$W8464)&gt;0),N(U8463),N(U8463)+1))</f>
        <v/>
      </c>
      <c r="V8464" s="19">
        <f>IF($B8464="","",TEXT($B8464,"0000"))</f>
        <v/>
      </c>
      <c r="W8464" s="19">
        <f>IF($I8464="","",IF(ISNUMBER($I8464),TEXT($I8464,"0"),$I8464))</f>
        <v/>
      </c>
    </row>
    <row r="8465">
      <c r="B8465" s="25" t="n"/>
      <c r="I8465" s="25" t="n"/>
      <c r="U8465" s="19">
        <f>IF($V8465&lt;&gt;'設定'!$C$4,N(U8464),IF(OR(NOT(COUNTIF('商品マスタ'!$B$6:$B$1005,$W8465)=0),COUNTIFS('①在庫を貼る'!$V$6:$V$10005,$V8465,'①在庫を貼る'!$W$6:$W$10005,$W8465)+COUNTIFS('月1回_1ヶ月前の在庫'!$V$6:$V$10005,$V8465,'月1回_1ヶ月前の在庫'!$W$6:$W$10005,$W8465)&gt;0),N(U8464),N(U8464)+1))</f>
        <v/>
      </c>
      <c r="V8465" s="19">
        <f>IF($B8465="","",TEXT($B8465,"0000"))</f>
        <v/>
      </c>
      <c r="W8465" s="19">
        <f>IF($I8465="","",IF(ISNUMBER($I8465),TEXT($I8465,"0"),$I8465))</f>
        <v/>
      </c>
    </row>
    <row r="8466">
      <c r="B8466" s="25" t="n"/>
      <c r="I8466" s="25" t="n"/>
      <c r="U8466" s="19">
        <f>IF($V8466&lt;&gt;'設定'!$C$4,N(U8465),IF(OR(NOT(COUNTIF('商品マスタ'!$B$6:$B$1005,$W8466)=0),COUNTIFS('①在庫を貼る'!$V$6:$V$10005,$V8466,'①在庫を貼る'!$W$6:$W$10005,$W8466)+COUNTIFS('月1回_1ヶ月前の在庫'!$V$6:$V$10005,$V8466,'月1回_1ヶ月前の在庫'!$W$6:$W$10005,$W8466)&gt;0),N(U8465),N(U8465)+1))</f>
        <v/>
      </c>
      <c r="V8466" s="19">
        <f>IF($B8466="","",TEXT($B8466,"0000"))</f>
        <v/>
      </c>
      <c r="W8466" s="19">
        <f>IF($I8466="","",IF(ISNUMBER($I8466),TEXT($I8466,"0"),$I8466))</f>
        <v/>
      </c>
    </row>
    <row r="8467">
      <c r="B8467" s="25" t="n"/>
      <c r="I8467" s="25" t="n"/>
      <c r="U8467" s="19">
        <f>IF($V8467&lt;&gt;'設定'!$C$4,N(U8466),IF(OR(NOT(COUNTIF('商品マスタ'!$B$6:$B$1005,$W8467)=0),COUNTIFS('①在庫を貼る'!$V$6:$V$10005,$V8467,'①在庫を貼る'!$W$6:$W$10005,$W8467)+COUNTIFS('月1回_1ヶ月前の在庫'!$V$6:$V$10005,$V8467,'月1回_1ヶ月前の在庫'!$W$6:$W$10005,$W8467)&gt;0),N(U8466),N(U8466)+1))</f>
        <v/>
      </c>
      <c r="V8467" s="19">
        <f>IF($B8467="","",TEXT($B8467,"0000"))</f>
        <v/>
      </c>
      <c r="W8467" s="19">
        <f>IF($I8467="","",IF(ISNUMBER($I8467),TEXT($I8467,"0"),$I8467))</f>
        <v/>
      </c>
    </row>
    <row r="8468">
      <c r="B8468" s="25" t="n"/>
      <c r="I8468" s="25" t="n"/>
      <c r="U8468" s="19">
        <f>IF($V8468&lt;&gt;'設定'!$C$4,N(U8467),IF(OR(NOT(COUNTIF('商品マスタ'!$B$6:$B$1005,$W8468)=0),COUNTIFS('①在庫を貼る'!$V$6:$V$10005,$V8468,'①在庫を貼る'!$W$6:$W$10005,$W8468)+COUNTIFS('月1回_1ヶ月前の在庫'!$V$6:$V$10005,$V8468,'月1回_1ヶ月前の在庫'!$W$6:$W$10005,$W8468)&gt;0),N(U8467),N(U8467)+1))</f>
        <v/>
      </c>
      <c r="V8468" s="19">
        <f>IF($B8468="","",TEXT($B8468,"0000"))</f>
        <v/>
      </c>
      <c r="W8468" s="19">
        <f>IF($I8468="","",IF(ISNUMBER($I8468),TEXT($I8468,"0"),$I8468))</f>
        <v/>
      </c>
    </row>
    <row r="8469">
      <c r="B8469" s="25" t="n"/>
      <c r="I8469" s="25" t="n"/>
      <c r="U8469" s="19">
        <f>IF($V8469&lt;&gt;'設定'!$C$4,N(U8468),IF(OR(NOT(COUNTIF('商品マスタ'!$B$6:$B$1005,$W8469)=0),COUNTIFS('①在庫を貼る'!$V$6:$V$10005,$V8469,'①在庫を貼る'!$W$6:$W$10005,$W8469)+COUNTIFS('月1回_1ヶ月前の在庫'!$V$6:$V$10005,$V8469,'月1回_1ヶ月前の在庫'!$W$6:$W$10005,$W8469)&gt;0),N(U8468),N(U8468)+1))</f>
        <v/>
      </c>
      <c r="V8469" s="19">
        <f>IF($B8469="","",TEXT($B8469,"0000"))</f>
        <v/>
      </c>
      <c r="W8469" s="19">
        <f>IF($I8469="","",IF(ISNUMBER($I8469),TEXT($I8469,"0"),$I8469))</f>
        <v/>
      </c>
    </row>
    <row r="8470">
      <c r="B8470" s="25" t="n"/>
      <c r="I8470" s="25" t="n"/>
      <c r="U8470" s="19">
        <f>IF($V8470&lt;&gt;'設定'!$C$4,N(U8469),IF(OR(NOT(COUNTIF('商品マスタ'!$B$6:$B$1005,$W8470)=0),COUNTIFS('①在庫を貼る'!$V$6:$V$10005,$V8470,'①在庫を貼る'!$W$6:$W$10005,$W8470)+COUNTIFS('月1回_1ヶ月前の在庫'!$V$6:$V$10005,$V8470,'月1回_1ヶ月前の在庫'!$W$6:$W$10005,$W8470)&gt;0),N(U8469),N(U8469)+1))</f>
        <v/>
      </c>
      <c r="V8470" s="19">
        <f>IF($B8470="","",TEXT($B8470,"0000"))</f>
        <v/>
      </c>
      <c r="W8470" s="19">
        <f>IF($I8470="","",IF(ISNUMBER($I8470),TEXT($I8470,"0"),$I8470))</f>
        <v/>
      </c>
    </row>
    <row r="8471">
      <c r="B8471" s="25" t="n"/>
      <c r="I8471" s="25" t="n"/>
      <c r="U8471" s="19">
        <f>IF($V8471&lt;&gt;'設定'!$C$4,N(U8470),IF(OR(NOT(COUNTIF('商品マスタ'!$B$6:$B$1005,$W8471)=0),COUNTIFS('①在庫を貼る'!$V$6:$V$10005,$V8471,'①在庫を貼る'!$W$6:$W$10005,$W8471)+COUNTIFS('月1回_1ヶ月前の在庫'!$V$6:$V$10005,$V8471,'月1回_1ヶ月前の在庫'!$W$6:$W$10005,$W8471)&gt;0),N(U8470),N(U8470)+1))</f>
        <v/>
      </c>
      <c r="V8471" s="19">
        <f>IF($B8471="","",TEXT($B8471,"0000"))</f>
        <v/>
      </c>
      <c r="W8471" s="19">
        <f>IF($I8471="","",IF(ISNUMBER($I8471),TEXT($I8471,"0"),$I8471))</f>
        <v/>
      </c>
    </row>
    <row r="8472">
      <c r="B8472" s="25" t="n"/>
      <c r="I8472" s="25" t="n"/>
      <c r="U8472" s="19">
        <f>IF($V8472&lt;&gt;'設定'!$C$4,N(U8471),IF(OR(NOT(COUNTIF('商品マスタ'!$B$6:$B$1005,$W8472)=0),COUNTIFS('①在庫を貼る'!$V$6:$V$10005,$V8472,'①在庫を貼る'!$W$6:$W$10005,$W8472)+COUNTIFS('月1回_1ヶ月前の在庫'!$V$6:$V$10005,$V8472,'月1回_1ヶ月前の在庫'!$W$6:$W$10005,$W8472)&gt;0),N(U8471),N(U8471)+1))</f>
        <v/>
      </c>
      <c r="V8472" s="19">
        <f>IF($B8472="","",TEXT($B8472,"0000"))</f>
        <v/>
      </c>
      <c r="W8472" s="19">
        <f>IF($I8472="","",IF(ISNUMBER($I8472),TEXT($I8472,"0"),$I8472))</f>
        <v/>
      </c>
    </row>
    <row r="8473">
      <c r="B8473" s="25" t="n"/>
      <c r="I8473" s="25" t="n"/>
      <c r="U8473" s="19">
        <f>IF($V8473&lt;&gt;'設定'!$C$4,N(U8472),IF(OR(NOT(COUNTIF('商品マスタ'!$B$6:$B$1005,$W8473)=0),COUNTIFS('①在庫を貼る'!$V$6:$V$10005,$V8473,'①在庫を貼る'!$W$6:$W$10005,$W8473)+COUNTIFS('月1回_1ヶ月前の在庫'!$V$6:$V$10005,$V8473,'月1回_1ヶ月前の在庫'!$W$6:$W$10005,$W8473)&gt;0),N(U8472),N(U8472)+1))</f>
        <v/>
      </c>
      <c r="V8473" s="19">
        <f>IF($B8473="","",TEXT($B8473,"0000"))</f>
        <v/>
      </c>
      <c r="W8473" s="19">
        <f>IF($I8473="","",IF(ISNUMBER($I8473),TEXT($I8473,"0"),$I8473))</f>
        <v/>
      </c>
    </row>
    <row r="8474">
      <c r="B8474" s="25" t="n"/>
      <c r="I8474" s="25" t="n"/>
      <c r="U8474" s="19">
        <f>IF($V8474&lt;&gt;'設定'!$C$4,N(U8473),IF(OR(NOT(COUNTIF('商品マスタ'!$B$6:$B$1005,$W8474)=0),COUNTIFS('①在庫を貼る'!$V$6:$V$10005,$V8474,'①在庫を貼る'!$W$6:$W$10005,$W8474)+COUNTIFS('月1回_1ヶ月前の在庫'!$V$6:$V$10005,$V8474,'月1回_1ヶ月前の在庫'!$W$6:$W$10005,$W8474)&gt;0),N(U8473),N(U8473)+1))</f>
        <v/>
      </c>
      <c r="V8474" s="19">
        <f>IF($B8474="","",TEXT($B8474,"0000"))</f>
        <v/>
      </c>
      <c r="W8474" s="19">
        <f>IF($I8474="","",IF(ISNUMBER($I8474),TEXT($I8474,"0"),$I8474))</f>
        <v/>
      </c>
    </row>
    <row r="8475">
      <c r="B8475" s="25" t="n"/>
      <c r="I8475" s="25" t="n"/>
      <c r="U8475" s="19">
        <f>IF($V8475&lt;&gt;'設定'!$C$4,N(U8474),IF(OR(NOT(COUNTIF('商品マスタ'!$B$6:$B$1005,$W8475)=0),COUNTIFS('①在庫を貼る'!$V$6:$V$10005,$V8475,'①在庫を貼る'!$W$6:$W$10005,$W8475)+COUNTIFS('月1回_1ヶ月前の在庫'!$V$6:$V$10005,$V8475,'月1回_1ヶ月前の在庫'!$W$6:$W$10005,$W8475)&gt;0),N(U8474),N(U8474)+1))</f>
        <v/>
      </c>
      <c r="V8475" s="19">
        <f>IF($B8475="","",TEXT($B8475,"0000"))</f>
        <v/>
      </c>
      <c r="W8475" s="19">
        <f>IF($I8475="","",IF(ISNUMBER($I8475),TEXT($I8475,"0"),$I8475))</f>
        <v/>
      </c>
    </row>
    <row r="8476">
      <c r="B8476" s="25" t="n"/>
      <c r="I8476" s="25" t="n"/>
      <c r="U8476" s="19">
        <f>IF($V8476&lt;&gt;'設定'!$C$4,N(U8475),IF(OR(NOT(COUNTIF('商品マスタ'!$B$6:$B$1005,$W8476)=0),COUNTIFS('①在庫を貼る'!$V$6:$V$10005,$V8476,'①在庫を貼る'!$W$6:$W$10005,$W8476)+COUNTIFS('月1回_1ヶ月前の在庫'!$V$6:$V$10005,$V8476,'月1回_1ヶ月前の在庫'!$W$6:$W$10005,$W8476)&gt;0),N(U8475),N(U8475)+1))</f>
        <v/>
      </c>
      <c r="V8476" s="19">
        <f>IF($B8476="","",TEXT($B8476,"0000"))</f>
        <v/>
      </c>
      <c r="W8476" s="19">
        <f>IF($I8476="","",IF(ISNUMBER($I8476),TEXT($I8476,"0"),$I8476))</f>
        <v/>
      </c>
    </row>
    <row r="8477">
      <c r="B8477" s="25" t="n"/>
      <c r="I8477" s="25" t="n"/>
      <c r="U8477" s="19">
        <f>IF($V8477&lt;&gt;'設定'!$C$4,N(U8476),IF(OR(NOT(COUNTIF('商品マスタ'!$B$6:$B$1005,$W8477)=0),COUNTIFS('①在庫を貼る'!$V$6:$V$10005,$V8477,'①在庫を貼る'!$W$6:$W$10005,$W8477)+COUNTIFS('月1回_1ヶ月前の在庫'!$V$6:$V$10005,$V8477,'月1回_1ヶ月前の在庫'!$W$6:$W$10005,$W8477)&gt;0),N(U8476),N(U8476)+1))</f>
        <v/>
      </c>
      <c r="V8477" s="19">
        <f>IF($B8477="","",TEXT($B8477,"0000"))</f>
        <v/>
      </c>
      <c r="W8477" s="19">
        <f>IF($I8477="","",IF(ISNUMBER($I8477),TEXT($I8477,"0"),$I8477))</f>
        <v/>
      </c>
    </row>
    <row r="8478">
      <c r="B8478" s="25" t="n"/>
      <c r="I8478" s="25" t="n"/>
      <c r="U8478" s="19">
        <f>IF($V8478&lt;&gt;'設定'!$C$4,N(U8477),IF(OR(NOT(COUNTIF('商品マスタ'!$B$6:$B$1005,$W8478)=0),COUNTIFS('①在庫を貼る'!$V$6:$V$10005,$V8478,'①在庫を貼る'!$W$6:$W$10005,$W8478)+COUNTIFS('月1回_1ヶ月前の在庫'!$V$6:$V$10005,$V8478,'月1回_1ヶ月前の在庫'!$W$6:$W$10005,$W8478)&gt;0),N(U8477),N(U8477)+1))</f>
        <v/>
      </c>
      <c r="V8478" s="19">
        <f>IF($B8478="","",TEXT($B8478,"0000"))</f>
        <v/>
      </c>
      <c r="W8478" s="19">
        <f>IF($I8478="","",IF(ISNUMBER($I8478),TEXT($I8478,"0"),$I8478))</f>
        <v/>
      </c>
    </row>
    <row r="8479">
      <c r="B8479" s="25" t="n"/>
      <c r="I8479" s="25" t="n"/>
      <c r="U8479" s="19">
        <f>IF($V8479&lt;&gt;'設定'!$C$4,N(U8478),IF(OR(NOT(COUNTIF('商品マスタ'!$B$6:$B$1005,$W8479)=0),COUNTIFS('①在庫を貼る'!$V$6:$V$10005,$V8479,'①在庫を貼る'!$W$6:$W$10005,$W8479)+COUNTIFS('月1回_1ヶ月前の在庫'!$V$6:$V$10005,$V8479,'月1回_1ヶ月前の在庫'!$W$6:$W$10005,$W8479)&gt;0),N(U8478),N(U8478)+1))</f>
        <v/>
      </c>
      <c r="V8479" s="19">
        <f>IF($B8479="","",TEXT($B8479,"0000"))</f>
        <v/>
      </c>
      <c r="W8479" s="19">
        <f>IF($I8479="","",IF(ISNUMBER($I8479),TEXT($I8479,"0"),$I8479))</f>
        <v/>
      </c>
    </row>
    <row r="8480">
      <c r="B8480" s="25" t="n"/>
      <c r="I8480" s="25" t="n"/>
      <c r="U8480" s="19">
        <f>IF($V8480&lt;&gt;'設定'!$C$4,N(U8479),IF(OR(NOT(COUNTIF('商品マスタ'!$B$6:$B$1005,$W8480)=0),COUNTIFS('①在庫を貼る'!$V$6:$V$10005,$V8480,'①在庫を貼る'!$W$6:$W$10005,$W8480)+COUNTIFS('月1回_1ヶ月前の在庫'!$V$6:$V$10005,$V8480,'月1回_1ヶ月前の在庫'!$W$6:$W$10005,$W8480)&gt;0),N(U8479),N(U8479)+1))</f>
        <v/>
      </c>
      <c r="V8480" s="19">
        <f>IF($B8480="","",TEXT($B8480,"0000"))</f>
        <v/>
      </c>
      <c r="W8480" s="19">
        <f>IF($I8480="","",IF(ISNUMBER($I8480),TEXT($I8480,"0"),$I8480))</f>
        <v/>
      </c>
    </row>
    <row r="8481">
      <c r="B8481" s="25" t="n"/>
      <c r="I8481" s="25" t="n"/>
      <c r="U8481" s="19">
        <f>IF($V8481&lt;&gt;'設定'!$C$4,N(U8480),IF(OR(NOT(COUNTIF('商品マスタ'!$B$6:$B$1005,$W8481)=0),COUNTIFS('①在庫を貼る'!$V$6:$V$10005,$V8481,'①在庫を貼る'!$W$6:$W$10005,$W8481)+COUNTIFS('月1回_1ヶ月前の在庫'!$V$6:$V$10005,$V8481,'月1回_1ヶ月前の在庫'!$W$6:$W$10005,$W8481)&gt;0),N(U8480),N(U8480)+1))</f>
        <v/>
      </c>
      <c r="V8481" s="19">
        <f>IF($B8481="","",TEXT($B8481,"0000"))</f>
        <v/>
      </c>
      <c r="W8481" s="19">
        <f>IF($I8481="","",IF(ISNUMBER($I8481),TEXT($I8481,"0"),$I8481))</f>
        <v/>
      </c>
    </row>
    <row r="8482">
      <c r="B8482" s="25" t="n"/>
      <c r="I8482" s="25" t="n"/>
      <c r="U8482" s="19">
        <f>IF($V8482&lt;&gt;'設定'!$C$4,N(U8481),IF(OR(NOT(COUNTIF('商品マスタ'!$B$6:$B$1005,$W8482)=0),COUNTIFS('①在庫を貼る'!$V$6:$V$10005,$V8482,'①在庫を貼る'!$W$6:$W$10005,$W8482)+COUNTIFS('月1回_1ヶ月前の在庫'!$V$6:$V$10005,$V8482,'月1回_1ヶ月前の在庫'!$W$6:$W$10005,$W8482)&gt;0),N(U8481),N(U8481)+1))</f>
        <v/>
      </c>
      <c r="V8482" s="19">
        <f>IF($B8482="","",TEXT($B8482,"0000"))</f>
        <v/>
      </c>
      <c r="W8482" s="19">
        <f>IF($I8482="","",IF(ISNUMBER($I8482),TEXT($I8482,"0"),$I8482))</f>
        <v/>
      </c>
    </row>
    <row r="8483">
      <c r="B8483" s="25" t="n"/>
      <c r="I8483" s="25" t="n"/>
      <c r="U8483" s="19">
        <f>IF($V8483&lt;&gt;'設定'!$C$4,N(U8482),IF(OR(NOT(COUNTIF('商品マスタ'!$B$6:$B$1005,$W8483)=0),COUNTIFS('①在庫を貼る'!$V$6:$V$10005,$V8483,'①在庫を貼る'!$W$6:$W$10005,$W8483)+COUNTIFS('月1回_1ヶ月前の在庫'!$V$6:$V$10005,$V8483,'月1回_1ヶ月前の在庫'!$W$6:$W$10005,$W8483)&gt;0),N(U8482),N(U8482)+1))</f>
        <v/>
      </c>
      <c r="V8483" s="19">
        <f>IF($B8483="","",TEXT($B8483,"0000"))</f>
        <v/>
      </c>
      <c r="W8483" s="19">
        <f>IF($I8483="","",IF(ISNUMBER($I8483),TEXT($I8483,"0"),$I8483))</f>
        <v/>
      </c>
    </row>
    <row r="8484">
      <c r="B8484" s="25" t="n"/>
      <c r="I8484" s="25" t="n"/>
      <c r="U8484" s="19">
        <f>IF($V8484&lt;&gt;'設定'!$C$4,N(U8483),IF(OR(NOT(COUNTIF('商品マスタ'!$B$6:$B$1005,$W8484)=0),COUNTIFS('①在庫を貼る'!$V$6:$V$10005,$V8484,'①在庫を貼る'!$W$6:$W$10005,$W8484)+COUNTIFS('月1回_1ヶ月前の在庫'!$V$6:$V$10005,$V8484,'月1回_1ヶ月前の在庫'!$W$6:$W$10005,$W8484)&gt;0),N(U8483),N(U8483)+1))</f>
        <v/>
      </c>
      <c r="V8484" s="19">
        <f>IF($B8484="","",TEXT($B8484,"0000"))</f>
        <v/>
      </c>
      <c r="W8484" s="19">
        <f>IF($I8484="","",IF(ISNUMBER($I8484),TEXT($I8484,"0"),$I8484))</f>
        <v/>
      </c>
    </row>
    <row r="8485">
      <c r="B8485" s="25" t="n"/>
      <c r="I8485" s="25" t="n"/>
      <c r="U8485" s="19">
        <f>IF($V8485&lt;&gt;'設定'!$C$4,N(U8484),IF(OR(NOT(COUNTIF('商品マスタ'!$B$6:$B$1005,$W8485)=0),COUNTIFS('①在庫を貼る'!$V$6:$V$10005,$V8485,'①在庫を貼る'!$W$6:$W$10005,$W8485)+COUNTIFS('月1回_1ヶ月前の在庫'!$V$6:$V$10005,$V8485,'月1回_1ヶ月前の在庫'!$W$6:$W$10005,$W8485)&gt;0),N(U8484),N(U8484)+1))</f>
        <v/>
      </c>
      <c r="V8485" s="19">
        <f>IF($B8485="","",TEXT($B8485,"0000"))</f>
        <v/>
      </c>
      <c r="W8485" s="19">
        <f>IF($I8485="","",IF(ISNUMBER($I8485),TEXT($I8485,"0"),$I8485))</f>
        <v/>
      </c>
    </row>
    <row r="8486">
      <c r="B8486" s="25" t="n"/>
      <c r="I8486" s="25" t="n"/>
      <c r="U8486" s="19">
        <f>IF($V8486&lt;&gt;'設定'!$C$4,N(U8485),IF(OR(NOT(COUNTIF('商品マスタ'!$B$6:$B$1005,$W8486)=0),COUNTIFS('①在庫を貼る'!$V$6:$V$10005,$V8486,'①在庫を貼る'!$W$6:$W$10005,$W8486)+COUNTIFS('月1回_1ヶ月前の在庫'!$V$6:$V$10005,$V8486,'月1回_1ヶ月前の在庫'!$W$6:$W$10005,$W8486)&gt;0),N(U8485),N(U8485)+1))</f>
        <v/>
      </c>
      <c r="V8486" s="19">
        <f>IF($B8486="","",TEXT($B8486,"0000"))</f>
        <v/>
      </c>
      <c r="W8486" s="19">
        <f>IF($I8486="","",IF(ISNUMBER($I8486),TEXT($I8486,"0"),$I8486))</f>
        <v/>
      </c>
    </row>
    <row r="8487">
      <c r="B8487" s="25" t="n"/>
      <c r="I8487" s="25" t="n"/>
      <c r="U8487" s="19">
        <f>IF($V8487&lt;&gt;'設定'!$C$4,N(U8486),IF(OR(NOT(COUNTIF('商品マスタ'!$B$6:$B$1005,$W8487)=0),COUNTIFS('①在庫を貼る'!$V$6:$V$10005,$V8487,'①在庫を貼る'!$W$6:$W$10005,$W8487)+COUNTIFS('月1回_1ヶ月前の在庫'!$V$6:$V$10005,$V8487,'月1回_1ヶ月前の在庫'!$W$6:$W$10005,$W8487)&gt;0),N(U8486),N(U8486)+1))</f>
        <v/>
      </c>
      <c r="V8487" s="19">
        <f>IF($B8487="","",TEXT($B8487,"0000"))</f>
        <v/>
      </c>
      <c r="W8487" s="19">
        <f>IF($I8487="","",IF(ISNUMBER($I8487),TEXT($I8487,"0"),$I8487))</f>
        <v/>
      </c>
    </row>
    <row r="8488">
      <c r="B8488" s="25" t="n"/>
      <c r="I8488" s="25" t="n"/>
      <c r="U8488" s="19">
        <f>IF($V8488&lt;&gt;'設定'!$C$4,N(U8487),IF(OR(NOT(COUNTIF('商品マスタ'!$B$6:$B$1005,$W8488)=0),COUNTIFS('①在庫を貼る'!$V$6:$V$10005,$V8488,'①在庫を貼る'!$W$6:$W$10005,$W8488)+COUNTIFS('月1回_1ヶ月前の在庫'!$V$6:$V$10005,$V8488,'月1回_1ヶ月前の在庫'!$W$6:$W$10005,$W8488)&gt;0),N(U8487),N(U8487)+1))</f>
        <v/>
      </c>
      <c r="V8488" s="19">
        <f>IF($B8488="","",TEXT($B8488,"0000"))</f>
        <v/>
      </c>
      <c r="W8488" s="19">
        <f>IF($I8488="","",IF(ISNUMBER($I8488),TEXT($I8488,"0"),$I8488))</f>
        <v/>
      </c>
    </row>
    <row r="8489">
      <c r="B8489" s="25" t="n"/>
      <c r="I8489" s="25" t="n"/>
      <c r="U8489" s="19">
        <f>IF($V8489&lt;&gt;'設定'!$C$4,N(U8488),IF(OR(NOT(COUNTIF('商品マスタ'!$B$6:$B$1005,$W8489)=0),COUNTIFS('①在庫を貼る'!$V$6:$V$10005,$V8489,'①在庫を貼る'!$W$6:$W$10005,$W8489)+COUNTIFS('月1回_1ヶ月前の在庫'!$V$6:$V$10005,$V8489,'月1回_1ヶ月前の在庫'!$W$6:$W$10005,$W8489)&gt;0),N(U8488),N(U8488)+1))</f>
        <v/>
      </c>
      <c r="V8489" s="19">
        <f>IF($B8489="","",TEXT($B8489,"0000"))</f>
        <v/>
      </c>
      <c r="W8489" s="19">
        <f>IF($I8489="","",IF(ISNUMBER($I8489),TEXT($I8489,"0"),$I8489))</f>
        <v/>
      </c>
    </row>
    <row r="8490">
      <c r="B8490" s="25" t="n"/>
      <c r="I8490" s="25" t="n"/>
      <c r="U8490" s="19">
        <f>IF($V8490&lt;&gt;'設定'!$C$4,N(U8489),IF(OR(NOT(COUNTIF('商品マスタ'!$B$6:$B$1005,$W8490)=0),COUNTIFS('①在庫を貼る'!$V$6:$V$10005,$V8490,'①在庫を貼る'!$W$6:$W$10005,$W8490)+COUNTIFS('月1回_1ヶ月前の在庫'!$V$6:$V$10005,$V8490,'月1回_1ヶ月前の在庫'!$W$6:$W$10005,$W8490)&gt;0),N(U8489),N(U8489)+1))</f>
        <v/>
      </c>
      <c r="V8490" s="19">
        <f>IF($B8490="","",TEXT($B8490,"0000"))</f>
        <v/>
      </c>
      <c r="W8490" s="19">
        <f>IF($I8490="","",IF(ISNUMBER($I8490),TEXT($I8490,"0"),$I8490))</f>
        <v/>
      </c>
    </row>
    <row r="8491">
      <c r="B8491" s="25" t="n"/>
      <c r="I8491" s="25" t="n"/>
      <c r="U8491" s="19">
        <f>IF($V8491&lt;&gt;'設定'!$C$4,N(U8490),IF(OR(NOT(COUNTIF('商品マスタ'!$B$6:$B$1005,$W8491)=0),COUNTIFS('①在庫を貼る'!$V$6:$V$10005,$V8491,'①在庫を貼る'!$W$6:$W$10005,$W8491)+COUNTIFS('月1回_1ヶ月前の在庫'!$V$6:$V$10005,$V8491,'月1回_1ヶ月前の在庫'!$W$6:$W$10005,$W8491)&gt;0),N(U8490),N(U8490)+1))</f>
        <v/>
      </c>
      <c r="V8491" s="19">
        <f>IF($B8491="","",TEXT($B8491,"0000"))</f>
        <v/>
      </c>
      <c r="W8491" s="19">
        <f>IF($I8491="","",IF(ISNUMBER($I8491),TEXT($I8491,"0"),$I8491))</f>
        <v/>
      </c>
    </row>
    <row r="8492">
      <c r="B8492" s="25" t="n"/>
      <c r="I8492" s="25" t="n"/>
      <c r="U8492" s="19">
        <f>IF($V8492&lt;&gt;'設定'!$C$4,N(U8491),IF(OR(NOT(COUNTIF('商品マスタ'!$B$6:$B$1005,$W8492)=0),COUNTIFS('①在庫を貼る'!$V$6:$V$10005,$V8492,'①在庫を貼る'!$W$6:$W$10005,$W8492)+COUNTIFS('月1回_1ヶ月前の在庫'!$V$6:$V$10005,$V8492,'月1回_1ヶ月前の在庫'!$W$6:$W$10005,$W8492)&gt;0),N(U8491),N(U8491)+1))</f>
        <v/>
      </c>
      <c r="V8492" s="19">
        <f>IF($B8492="","",TEXT($B8492,"0000"))</f>
        <v/>
      </c>
      <c r="W8492" s="19">
        <f>IF($I8492="","",IF(ISNUMBER($I8492),TEXT($I8492,"0"),$I8492))</f>
        <v/>
      </c>
    </row>
    <row r="8493">
      <c r="B8493" s="25" t="n"/>
      <c r="I8493" s="25" t="n"/>
      <c r="U8493" s="19">
        <f>IF($V8493&lt;&gt;'設定'!$C$4,N(U8492),IF(OR(NOT(COUNTIF('商品マスタ'!$B$6:$B$1005,$W8493)=0),COUNTIFS('①在庫を貼る'!$V$6:$V$10005,$V8493,'①在庫を貼る'!$W$6:$W$10005,$W8493)+COUNTIFS('月1回_1ヶ月前の在庫'!$V$6:$V$10005,$V8493,'月1回_1ヶ月前の在庫'!$W$6:$W$10005,$W8493)&gt;0),N(U8492),N(U8492)+1))</f>
        <v/>
      </c>
      <c r="V8493" s="19">
        <f>IF($B8493="","",TEXT($B8493,"0000"))</f>
        <v/>
      </c>
      <c r="W8493" s="19">
        <f>IF($I8493="","",IF(ISNUMBER($I8493),TEXT($I8493,"0"),$I8493))</f>
        <v/>
      </c>
    </row>
    <row r="8494">
      <c r="B8494" s="25" t="n"/>
      <c r="I8494" s="25" t="n"/>
      <c r="U8494" s="19">
        <f>IF($V8494&lt;&gt;'設定'!$C$4,N(U8493),IF(OR(NOT(COUNTIF('商品マスタ'!$B$6:$B$1005,$W8494)=0),COUNTIFS('①在庫を貼る'!$V$6:$V$10005,$V8494,'①在庫を貼る'!$W$6:$W$10005,$W8494)+COUNTIFS('月1回_1ヶ月前の在庫'!$V$6:$V$10005,$V8494,'月1回_1ヶ月前の在庫'!$W$6:$W$10005,$W8494)&gt;0),N(U8493),N(U8493)+1))</f>
        <v/>
      </c>
      <c r="V8494" s="19">
        <f>IF($B8494="","",TEXT($B8494,"0000"))</f>
        <v/>
      </c>
      <c r="W8494" s="19">
        <f>IF($I8494="","",IF(ISNUMBER($I8494),TEXT($I8494,"0"),$I8494))</f>
        <v/>
      </c>
    </row>
    <row r="8495">
      <c r="B8495" s="25" t="n"/>
      <c r="I8495" s="25" t="n"/>
      <c r="U8495" s="19">
        <f>IF($V8495&lt;&gt;'設定'!$C$4,N(U8494),IF(OR(NOT(COUNTIF('商品マスタ'!$B$6:$B$1005,$W8495)=0),COUNTIFS('①在庫を貼る'!$V$6:$V$10005,$V8495,'①在庫を貼る'!$W$6:$W$10005,$W8495)+COUNTIFS('月1回_1ヶ月前の在庫'!$V$6:$V$10005,$V8495,'月1回_1ヶ月前の在庫'!$W$6:$W$10005,$W8495)&gt;0),N(U8494),N(U8494)+1))</f>
        <v/>
      </c>
      <c r="V8495" s="19">
        <f>IF($B8495="","",TEXT($B8495,"0000"))</f>
        <v/>
      </c>
      <c r="W8495" s="19">
        <f>IF($I8495="","",IF(ISNUMBER($I8495),TEXT($I8495,"0"),$I8495))</f>
        <v/>
      </c>
    </row>
    <row r="8496">
      <c r="B8496" s="25" t="n"/>
      <c r="I8496" s="25" t="n"/>
      <c r="U8496" s="19">
        <f>IF($V8496&lt;&gt;'設定'!$C$4,N(U8495),IF(OR(NOT(COUNTIF('商品マスタ'!$B$6:$B$1005,$W8496)=0),COUNTIFS('①在庫を貼る'!$V$6:$V$10005,$V8496,'①在庫を貼る'!$W$6:$W$10005,$W8496)+COUNTIFS('月1回_1ヶ月前の在庫'!$V$6:$V$10005,$V8496,'月1回_1ヶ月前の在庫'!$W$6:$W$10005,$W8496)&gt;0),N(U8495),N(U8495)+1))</f>
        <v/>
      </c>
      <c r="V8496" s="19">
        <f>IF($B8496="","",TEXT($B8496,"0000"))</f>
        <v/>
      </c>
      <c r="W8496" s="19">
        <f>IF($I8496="","",IF(ISNUMBER($I8496),TEXT($I8496,"0"),$I8496))</f>
        <v/>
      </c>
    </row>
    <row r="8497">
      <c r="B8497" s="25" t="n"/>
      <c r="I8497" s="25" t="n"/>
      <c r="U8497" s="19">
        <f>IF($V8497&lt;&gt;'設定'!$C$4,N(U8496),IF(OR(NOT(COUNTIF('商品マスタ'!$B$6:$B$1005,$W8497)=0),COUNTIFS('①在庫を貼る'!$V$6:$V$10005,$V8497,'①在庫を貼る'!$W$6:$W$10005,$W8497)+COUNTIFS('月1回_1ヶ月前の在庫'!$V$6:$V$10005,$V8497,'月1回_1ヶ月前の在庫'!$W$6:$W$10005,$W8497)&gt;0),N(U8496),N(U8496)+1))</f>
        <v/>
      </c>
      <c r="V8497" s="19">
        <f>IF($B8497="","",TEXT($B8497,"0000"))</f>
        <v/>
      </c>
      <c r="W8497" s="19">
        <f>IF($I8497="","",IF(ISNUMBER($I8497),TEXT($I8497,"0"),$I8497))</f>
        <v/>
      </c>
    </row>
    <row r="8498">
      <c r="B8498" s="25" t="n"/>
      <c r="I8498" s="25" t="n"/>
      <c r="U8498" s="19">
        <f>IF($V8498&lt;&gt;'設定'!$C$4,N(U8497),IF(OR(NOT(COUNTIF('商品マスタ'!$B$6:$B$1005,$W8498)=0),COUNTIFS('①在庫を貼る'!$V$6:$V$10005,$V8498,'①在庫を貼る'!$W$6:$W$10005,$W8498)+COUNTIFS('月1回_1ヶ月前の在庫'!$V$6:$V$10005,$V8498,'月1回_1ヶ月前の在庫'!$W$6:$W$10005,$W8498)&gt;0),N(U8497),N(U8497)+1))</f>
        <v/>
      </c>
      <c r="V8498" s="19">
        <f>IF($B8498="","",TEXT($B8498,"0000"))</f>
        <v/>
      </c>
      <c r="W8498" s="19">
        <f>IF($I8498="","",IF(ISNUMBER($I8498),TEXT($I8498,"0"),$I8498))</f>
        <v/>
      </c>
    </row>
    <row r="8499">
      <c r="B8499" s="25" t="n"/>
      <c r="I8499" s="25" t="n"/>
      <c r="U8499" s="19">
        <f>IF($V8499&lt;&gt;'設定'!$C$4,N(U8498),IF(OR(NOT(COUNTIF('商品マスタ'!$B$6:$B$1005,$W8499)=0),COUNTIFS('①在庫を貼る'!$V$6:$V$10005,$V8499,'①在庫を貼る'!$W$6:$W$10005,$W8499)+COUNTIFS('月1回_1ヶ月前の在庫'!$V$6:$V$10005,$V8499,'月1回_1ヶ月前の在庫'!$W$6:$W$10005,$W8499)&gt;0),N(U8498),N(U8498)+1))</f>
        <v/>
      </c>
      <c r="V8499" s="19">
        <f>IF($B8499="","",TEXT($B8499,"0000"))</f>
        <v/>
      </c>
      <c r="W8499" s="19">
        <f>IF($I8499="","",IF(ISNUMBER($I8499),TEXT($I8499,"0"),$I8499))</f>
        <v/>
      </c>
    </row>
    <row r="8500">
      <c r="B8500" s="25" t="n"/>
      <c r="I8500" s="25" t="n"/>
      <c r="U8500" s="19">
        <f>IF($V8500&lt;&gt;'設定'!$C$4,N(U8499),IF(OR(NOT(COUNTIF('商品マスタ'!$B$6:$B$1005,$W8500)=0),COUNTIFS('①在庫を貼る'!$V$6:$V$10005,$V8500,'①在庫を貼る'!$W$6:$W$10005,$W8500)+COUNTIFS('月1回_1ヶ月前の在庫'!$V$6:$V$10005,$V8500,'月1回_1ヶ月前の在庫'!$W$6:$W$10005,$W8500)&gt;0),N(U8499),N(U8499)+1))</f>
        <v/>
      </c>
      <c r="V8500" s="19">
        <f>IF($B8500="","",TEXT($B8500,"0000"))</f>
        <v/>
      </c>
      <c r="W8500" s="19">
        <f>IF($I8500="","",IF(ISNUMBER($I8500),TEXT($I8500,"0"),$I8500))</f>
        <v/>
      </c>
    </row>
    <row r="8501">
      <c r="B8501" s="25" t="n"/>
      <c r="I8501" s="25" t="n"/>
      <c r="U8501" s="19">
        <f>IF($V8501&lt;&gt;'設定'!$C$4,N(U8500),IF(OR(NOT(COUNTIF('商品マスタ'!$B$6:$B$1005,$W8501)=0),COUNTIFS('①在庫を貼る'!$V$6:$V$10005,$V8501,'①在庫を貼る'!$W$6:$W$10005,$W8501)+COUNTIFS('月1回_1ヶ月前の在庫'!$V$6:$V$10005,$V8501,'月1回_1ヶ月前の在庫'!$W$6:$W$10005,$W8501)&gt;0),N(U8500),N(U8500)+1))</f>
        <v/>
      </c>
      <c r="V8501" s="19">
        <f>IF($B8501="","",TEXT($B8501,"0000"))</f>
        <v/>
      </c>
      <c r="W8501" s="19">
        <f>IF($I8501="","",IF(ISNUMBER($I8501),TEXT($I8501,"0"),$I8501))</f>
        <v/>
      </c>
    </row>
    <row r="8502">
      <c r="B8502" s="25" t="n"/>
      <c r="I8502" s="25" t="n"/>
      <c r="U8502" s="19">
        <f>IF($V8502&lt;&gt;'設定'!$C$4,N(U8501),IF(OR(NOT(COUNTIF('商品マスタ'!$B$6:$B$1005,$W8502)=0),COUNTIFS('①在庫を貼る'!$V$6:$V$10005,$V8502,'①在庫を貼る'!$W$6:$W$10005,$W8502)+COUNTIFS('月1回_1ヶ月前の在庫'!$V$6:$V$10005,$V8502,'月1回_1ヶ月前の在庫'!$W$6:$W$10005,$W8502)&gt;0),N(U8501),N(U8501)+1))</f>
        <v/>
      </c>
      <c r="V8502" s="19">
        <f>IF($B8502="","",TEXT($B8502,"0000"))</f>
        <v/>
      </c>
      <c r="W8502" s="19">
        <f>IF($I8502="","",IF(ISNUMBER($I8502),TEXT($I8502,"0"),$I8502))</f>
        <v/>
      </c>
    </row>
    <row r="8503">
      <c r="B8503" s="25" t="n"/>
      <c r="I8503" s="25" t="n"/>
      <c r="U8503" s="19">
        <f>IF($V8503&lt;&gt;'設定'!$C$4,N(U8502),IF(OR(NOT(COUNTIF('商品マスタ'!$B$6:$B$1005,$W8503)=0),COUNTIFS('①在庫を貼る'!$V$6:$V$10005,$V8503,'①在庫を貼る'!$W$6:$W$10005,$W8503)+COUNTIFS('月1回_1ヶ月前の在庫'!$V$6:$V$10005,$V8503,'月1回_1ヶ月前の在庫'!$W$6:$W$10005,$W8503)&gt;0),N(U8502),N(U8502)+1))</f>
        <v/>
      </c>
      <c r="V8503" s="19">
        <f>IF($B8503="","",TEXT($B8503,"0000"))</f>
        <v/>
      </c>
      <c r="W8503" s="19">
        <f>IF($I8503="","",IF(ISNUMBER($I8503),TEXT($I8503,"0"),$I8503))</f>
        <v/>
      </c>
    </row>
    <row r="8504">
      <c r="B8504" s="25" t="n"/>
      <c r="I8504" s="25" t="n"/>
      <c r="U8504" s="19">
        <f>IF($V8504&lt;&gt;'設定'!$C$4,N(U8503),IF(OR(NOT(COUNTIF('商品マスタ'!$B$6:$B$1005,$W8504)=0),COUNTIFS('①在庫を貼る'!$V$6:$V$10005,$V8504,'①在庫を貼る'!$W$6:$W$10005,$W8504)+COUNTIFS('月1回_1ヶ月前の在庫'!$V$6:$V$10005,$V8504,'月1回_1ヶ月前の在庫'!$W$6:$W$10005,$W8504)&gt;0),N(U8503),N(U8503)+1))</f>
        <v/>
      </c>
      <c r="V8504" s="19">
        <f>IF($B8504="","",TEXT($B8504,"0000"))</f>
        <v/>
      </c>
      <c r="W8504" s="19">
        <f>IF($I8504="","",IF(ISNUMBER($I8504),TEXT($I8504,"0"),$I8504))</f>
        <v/>
      </c>
    </row>
    <row r="8505">
      <c r="B8505" s="25" t="n"/>
      <c r="I8505" s="25" t="n"/>
      <c r="U8505" s="19">
        <f>IF($V8505&lt;&gt;'設定'!$C$4,N(U8504),IF(OR(NOT(COUNTIF('商品マスタ'!$B$6:$B$1005,$W8505)=0),COUNTIFS('①在庫を貼る'!$V$6:$V$10005,$V8505,'①在庫を貼る'!$W$6:$W$10005,$W8505)+COUNTIFS('月1回_1ヶ月前の在庫'!$V$6:$V$10005,$V8505,'月1回_1ヶ月前の在庫'!$W$6:$W$10005,$W8505)&gt;0),N(U8504),N(U8504)+1))</f>
        <v/>
      </c>
      <c r="V8505" s="19">
        <f>IF($B8505="","",TEXT($B8505,"0000"))</f>
        <v/>
      </c>
      <c r="W8505" s="19">
        <f>IF($I8505="","",IF(ISNUMBER($I8505),TEXT($I8505,"0"),$I8505))</f>
        <v/>
      </c>
    </row>
    <row r="8506">
      <c r="B8506" s="25" t="n"/>
      <c r="I8506" s="25" t="n"/>
      <c r="U8506" s="19">
        <f>IF($V8506&lt;&gt;'設定'!$C$4,N(U8505),IF(OR(NOT(COUNTIF('商品マスタ'!$B$6:$B$1005,$W8506)=0),COUNTIFS('①在庫を貼る'!$V$6:$V$10005,$V8506,'①在庫を貼る'!$W$6:$W$10005,$W8506)+COUNTIFS('月1回_1ヶ月前の在庫'!$V$6:$V$10005,$V8506,'月1回_1ヶ月前の在庫'!$W$6:$W$10005,$W8506)&gt;0),N(U8505),N(U8505)+1))</f>
        <v/>
      </c>
      <c r="V8506" s="19">
        <f>IF($B8506="","",TEXT($B8506,"0000"))</f>
        <v/>
      </c>
      <c r="W8506" s="19">
        <f>IF($I8506="","",IF(ISNUMBER($I8506),TEXT($I8506,"0"),$I8506))</f>
        <v/>
      </c>
    </row>
    <row r="8507">
      <c r="B8507" s="25" t="n"/>
      <c r="I8507" s="25" t="n"/>
      <c r="U8507" s="19">
        <f>IF($V8507&lt;&gt;'設定'!$C$4,N(U8506),IF(OR(NOT(COUNTIF('商品マスタ'!$B$6:$B$1005,$W8507)=0),COUNTIFS('①在庫を貼る'!$V$6:$V$10005,$V8507,'①在庫を貼る'!$W$6:$W$10005,$W8507)+COUNTIFS('月1回_1ヶ月前の在庫'!$V$6:$V$10005,$V8507,'月1回_1ヶ月前の在庫'!$W$6:$W$10005,$W8507)&gt;0),N(U8506),N(U8506)+1))</f>
        <v/>
      </c>
      <c r="V8507" s="19">
        <f>IF($B8507="","",TEXT($B8507,"0000"))</f>
        <v/>
      </c>
      <c r="W8507" s="19">
        <f>IF($I8507="","",IF(ISNUMBER($I8507),TEXT($I8507,"0"),$I8507))</f>
        <v/>
      </c>
    </row>
    <row r="8508">
      <c r="B8508" s="25" t="n"/>
      <c r="I8508" s="25" t="n"/>
      <c r="U8508" s="19">
        <f>IF($V8508&lt;&gt;'設定'!$C$4,N(U8507),IF(OR(NOT(COUNTIF('商品マスタ'!$B$6:$B$1005,$W8508)=0),COUNTIFS('①在庫を貼る'!$V$6:$V$10005,$V8508,'①在庫を貼る'!$W$6:$W$10005,$W8508)+COUNTIFS('月1回_1ヶ月前の在庫'!$V$6:$V$10005,$V8508,'月1回_1ヶ月前の在庫'!$W$6:$W$10005,$W8508)&gt;0),N(U8507),N(U8507)+1))</f>
        <v/>
      </c>
      <c r="V8508" s="19">
        <f>IF($B8508="","",TEXT($B8508,"0000"))</f>
        <v/>
      </c>
      <c r="W8508" s="19">
        <f>IF($I8508="","",IF(ISNUMBER($I8508),TEXT($I8508,"0"),$I8508))</f>
        <v/>
      </c>
    </row>
    <row r="8509">
      <c r="B8509" s="25" t="n"/>
      <c r="I8509" s="25" t="n"/>
      <c r="U8509" s="19">
        <f>IF($V8509&lt;&gt;'設定'!$C$4,N(U8508),IF(OR(NOT(COUNTIF('商品マスタ'!$B$6:$B$1005,$W8509)=0),COUNTIFS('①在庫を貼る'!$V$6:$V$10005,$V8509,'①在庫を貼る'!$W$6:$W$10005,$W8509)+COUNTIFS('月1回_1ヶ月前の在庫'!$V$6:$V$10005,$V8509,'月1回_1ヶ月前の在庫'!$W$6:$W$10005,$W8509)&gt;0),N(U8508),N(U8508)+1))</f>
        <v/>
      </c>
      <c r="V8509" s="19">
        <f>IF($B8509="","",TEXT($B8509,"0000"))</f>
        <v/>
      </c>
      <c r="W8509" s="19">
        <f>IF($I8509="","",IF(ISNUMBER($I8509),TEXT($I8509,"0"),$I8509))</f>
        <v/>
      </c>
    </row>
    <row r="8510">
      <c r="B8510" s="25" t="n"/>
      <c r="I8510" s="25" t="n"/>
      <c r="U8510" s="19">
        <f>IF($V8510&lt;&gt;'設定'!$C$4,N(U8509),IF(OR(NOT(COUNTIF('商品マスタ'!$B$6:$B$1005,$W8510)=0),COUNTIFS('①在庫を貼る'!$V$6:$V$10005,$V8510,'①在庫を貼る'!$W$6:$W$10005,$W8510)+COUNTIFS('月1回_1ヶ月前の在庫'!$V$6:$V$10005,$V8510,'月1回_1ヶ月前の在庫'!$W$6:$W$10005,$W8510)&gt;0),N(U8509),N(U8509)+1))</f>
        <v/>
      </c>
      <c r="V8510" s="19">
        <f>IF($B8510="","",TEXT($B8510,"0000"))</f>
        <v/>
      </c>
      <c r="W8510" s="19">
        <f>IF($I8510="","",IF(ISNUMBER($I8510),TEXT($I8510,"0"),$I8510))</f>
        <v/>
      </c>
    </row>
    <row r="8511">
      <c r="B8511" s="25" t="n"/>
      <c r="I8511" s="25" t="n"/>
      <c r="U8511" s="19">
        <f>IF($V8511&lt;&gt;'設定'!$C$4,N(U8510),IF(OR(NOT(COUNTIF('商品マスタ'!$B$6:$B$1005,$W8511)=0),COUNTIFS('①在庫を貼る'!$V$6:$V$10005,$V8511,'①在庫を貼る'!$W$6:$W$10005,$W8511)+COUNTIFS('月1回_1ヶ月前の在庫'!$V$6:$V$10005,$V8511,'月1回_1ヶ月前の在庫'!$W$6:$W$10005,$W8511)&gt;0),N(U8510),N(U8510)+1))</f>
        <v/>
      </c>
      <c r="V8511" s="19">
        <f>IF($B8511="","",TEXT($B8511,"0000"))</f>
        <v/>
      </c>
      <c r="W8511" s="19">
        <f>IF($I8511="","",IF(ISNUMBER($I8511),TEXT($I8511,"0"),$I8511))</f>
        <v/>
      </c>
    </row>
    <row r="8512">
      <c r="B8512" s="25" t="n"/>
      <c r="I8512" s="25" t="n"/>
      <c r="U8512" s="19">
        <f>IF($V8512&lt;&gt;'設定'!$C$4,N(U8511),IF(OR(NOT(COUNTIF('商品マスタ'!$B$6:$B$1005,$W8512)=0),COUNTIFS('①在庫を貼る'!$V$6:$V$10005,$V8512,'①在庫を貼る'!$W$6:$W$10005,$W8512)+COUNTIFS('月1回_1ヶ月前の在庫'!$V$6:$V$10005,$V8512,'月1回_1ヶ月前の在庫'!$W$6:$W$10005,$W8512)&gt;0),N(U8511),N(U8511)+1))</f>
        <v/>
      </c>
      <c r="V8512" s="19">
        <f>IF($B8512="","",TEXT($B8512,"0000"))</f>
        <v/>
      </c>
      <c r="W8512" s="19">
        <f>IF($I8512="","",IF(ISNUMBER($I8512),TEXT($I8512,"0"),$I8512))</f>
        <v/>
      </c>
    </row>
    <row r="8513">
      <c r="B8513" s="25" t="n"/>
      <c r="I8513" s="25" t="n"/>
      <c r="U8513" s="19">
        <f>IF($V8513&lt;&gt;'設定'!$C$4,N(U8512),IF(OR(NOT(COUNTIF('商品マスタ'!$B$6:$B$1005,$W8513)=0),COUNTIFS('①在庫を貼る'!$V$6:$V$10005,$V8513,'①在庫を貼る'!$W$6:$W$10005,$W8513)+COUNTIFS('月1回_1ヶ月前の在庫'!$V$6:$V$10005,$V8513,'月1回_1ヶ月前の在庫'!$W$6:$W$10005,$W8513)&gt;0),N(U8512),N(U8512)+1))</f>
        <v/>
      </c>
      <c r="V8513" s="19">
        <f>IF($B8513="","",TEXT($B8513,"0000"))</f>
        <v/>
      </c>
      <c r="W8513" s="19">
        <f>IF($I8513="","",IF(ISNUMBER($I8513),TEXT($I8513,"0"),$I8513))</f>
        <v/>
      </c>
    </row>
    <row r="8514">
      <c r="B8514" s="25" t="n"/>
      <c r="I8514" s="25" t="n"/>
      <c r="U8514" s="19">
        <f>IF($V8514&lt;&gt;'設定'!$C$4,N(U8513),IF(OR(NOT(COUNTIF('商品マスタ'!$B$6:$B$1005,$W8514)=0),COUNTIFS('①在庫を貼る'!$V$6:$V$10005,$V8514,'①在庫を貼る'!$W$6:$W$10005,$W8514)+COUNTIFS('月1回_1ヶ月前の在庫'!$V$6:$V$10005,$V8514,'月1回_1ヶ月前の在庫'!$W$6:$W$10005,$W8514)&gt;0),N(U8513),N(U8513)+1))</f>
        <v/>
      </c>
      <c r="V8514" s="19">
        <f>IF($B8514="","",TEXT($B8514,"0000"))</f>
        <v/>
      </c>
      <c r="W8514" s="19">
        <f>IF($I8514="","",IF(ISNUMBER($I8514),TEXT($I8514,"0"),$I8514))</f>
        <v/>
      </c>
    </row>
    <row r="8515">
      <c r="B8515" s="25" t="n"/>
      <c r="I8515" s="25" t="n"/>
      <c r="U8515" s="19">
        <f>IF($V8515&lt;&gt;'設定'!$C$4,N(U8514),IF(OR(NOT(COUNTIF('商品マスタ'!$B$6:$B$1005,$W8515)=0),COUNTIFS('①在庫を貼る'!$V$6:$V$10005,$V8515,'①在庫を貼る'!$W$6:$W$10005,$W8515)+COUNTIFS('月1回_1ヶ月前の在庫'!$V$6:$V$10005,$V8515,'月1回_1ヶ月前の在庫'!$W$6:$W$10005,$W8515)&gt;0),N(U8514),N(U8514)+1))</f>
        <v/>
      </c>
      <c r="V8515" s="19">
        <f>IF($B8515="","",TEXT($B8515,"0000"))</f>
        <v/>
      </c>
      <c r="W8515" s="19">
        <f>IF($I8515="","",IF(ISNUMBER($I8515),TEXT($I8515,"0"),$I8515))</f>
        <v/>
      </c>
    </row>
    <row r="8516">
      <c r="B8516" s="25" t="n"/>
      <c r="I8516" s="25" t="n"/>
      <c r="U8516" s="19">
        <f>IF($V8516&lt;&gt;'設定'!$C$4,N(U8515),IF(OR(NOT(COUNTIF('商品マスタ'!$B$6:$B$1005,$W8516)=0),COUNTIFS('①在庫を貼る'!$V$6:$V$10005,$V8516,'①在庫を貼る'!$W$6:$W$10005,$W8516)+COUNTIFS('月1回_1ヶ月前の在庫'!$V$6:$V$10005,$V8516,'月1回_1ヶ月前の在庫'!$W$6:$W$10005,$W8516)&gt;0),N(U8515),N(U8515)+1))</f>
        <v/>
      </c>
      <c r="V8516" s="19">
        <f>IF($B8516="","",TEXT($B8516,"0000"))</f>
        <v/>
      </c>
      <c r="W8516" s="19">
        <f>IF($I8516="","",IF(ISNUMBER($I8516),TEXT($I8516,"0"),$I8516))</f>
        <v/>
      </c>
    </row>
    <row r="8517">
      <c r="B8517" s="25" t="n"/>
      <c r="I8517" s="25" t="n"/>
      <c r="U8517" s="19">
        <f>IF($V8517&lt;&gt;'設定'!$C$4,N(U8516),IF(OR(NOT(COUNTIF('商品マスタ'!$B$6:$B$1005,$W8517)=0),COUNTIFS('①在庫を貼る'!$V$6:$V$10005,$V8517,'①在庫を貼る'!$W$6:$W$10005,$W8517)+COUNTIFS('月1回_1ヶ月前の在庫'!$V$6:$V$10005,$V8517,'月1回_1ヶ月前の在庫'!$W$6:$W$10005,$W8517)&gt;0),N(U8516),N(U8516)+1))</f>
        <v/>
      </c>
      <c r="V8517" s="19">
        <f>IF($B8517="","",TEXT($B8517,"0000"))</f>
        <v/>
      </c>
      <c r="W8517" s="19">
        <f>IF($I8517="","",IF(ISNUMBER($I8517),TEXT($I8517,"0"),$I8517))</f>
        <v/>
      </c>
    </row>
    <row r="8518">
      <c r="B8518" s="25" t="n"/>
      <c r="I8518" s="25" t="n"/>
      <c r="U8518" s="19">
        <f>IF($V8518&lt;&gt;'設定'!$C$4,N(U8517),IF(OR(NOT(COUNTIF('商品マスタ'!$B$6:$B$1005,$W8518)=0),COUNTIFS('①在庫を貼る'!$V$6:$V$10005,$V8518,'①在庫を貼る'!$W$6:$W$10005,$W8518)+COUNTIFS('月1回_1ヶ月前の在庫'!$V$6:$V$10005,$V8518,'月1回_1ヶ月前の在庫'!$W$6:$W$10005,$W8518)&gt;0),N(U8517),N(U8517)+1))</f>
        <v/>
      </c>
      <c r="V8518" s="19">
        <f>IF($B8518="","",TEXT($B8518,"0000"))</f>
        <v/>
      </c>
      <c r="W8518" s="19">
        <f>IF($I8518="","",IF(ISNUMBER($I8518),TEXT($I8518,"0"),$I8518))</f>
        <v/>
      </c>
    </row>
    <row r="8519">
      <c r="B8519" s="25" t="n"/>
      <c r="I8519" s="25" t="n"/>
      <c r="U8519" s="19">
        <f>IF($V8519&lt;&gt;'設定'!$C$4,N(U8518),IF(OR(NOT(COUNTIF('商品マスタ'!$B$6:$B$1005,$W8519)=0),COUNTIFS('①在庫を貼る'!$V$6:$V$10005,$V8519,'①在庫を貼る'!$W$6:$W$10005,$W8519)+COUNTIFS('月1回_1ヶ月前の在庫'!$V$6:$V$10005,$V8519,'月1回_1ヶ月前の在庫'!$W$6:$W$10005,$W8519)&gt;0),N(U8518),N(U8518)+1))</f>
        <v/>
      </c>
      <c r="V8519" s="19">
        <f>IF($B8519="","",TEXT($B8519,"0000"))</f>
        <v/>
      </c>
      <c r="W8519" s="19">
        <f>IF($I8519="","",IF(ISNUMBER($I8519),TEXT($I8519,"0"),$I8519))</f>
        <v/>
      </c>
    </row>
    <row r="8520">
      <c r="B8520" s="25" t="n"/>
      <c r="I8520" s="25" t="n"/>
      <c r="U8520" s="19">
        <f>IF($V8520&lt;&gt;'設定'!$C$4,N(U8519),IF(OR(NOT(COUNTIF('商品マスタ'!$B$6:$B$1005,$W8520)=0),COUNTIFS('①在庫を貼る'!$V$6:$V$10005,$V8520,'①在庫を貼る'!$W$6:$W$10005,$W8520)+COUNTIFS('月1回_1ヶ月前の在庫'!$V$6:$V$10005,$V8520,'月1回_1ヶ月前の在庫'!$W$6:$W$10005,$W8520)&gt;0),N(U8519),N(U8519)+1))</f>
        <v/>
      </c>
      <c r="V8520" s="19">
        <f>IF($B8520="","",TEXT($B8520,"0000"))</f>
        <v/>
      </c>
      <c r="W8520" s="19">
        <f>IF($I8520="","",IF(ISNUMBER($I8520),TEXT($I8520,"0"),$I8520))</f>
        <v/>
      </c>
    </row>
    <row r="8521">
      <c r="B8521" s="25" t="n"/>
      <c r="I8521" s="25" t="n"/>
      <c r="U8521" s="19">
        <f>IF($V8521&lt;&gt;'設定'!$C$4,N(U8520),IF(OR(NOT(COUNTIF('商品マスタ'!$B$6:$B$1005,$W8521)=0),COUNTIFS('①在庫を貼る'!$V$6:$V$10005,$V8521,'①在庫を貼る'!$W$6:$W$10005,$W8521)+COUNTIFS('月1回_1ヶ月前の在庫'!$V$6:$V$10005,$V8521,'月1回_1ヶ月前の在庫'!$W$6:$W$10005,$W8521)&gt;0),N(U8520),N(U8520)+1))</f>
        <v/>
      </c>
      <c r="V8521" s="19">
        <f>IF($B8521="","",TEXT($B8521,"0000"))</f>
        <v/>
      </c>
      <c r="W8521" s="19">
        <f>IF($I8521="","",IF(ISNUMBER($I8521),TEXT($I8521,"0"),$I8521))</f>
        <v/>
      </c>
    </row>
    <row r="8522">
      <c r="B8522" s="25" t="n"/>
      <c r="I8522" s="25" t="n"/>
      <c r="U8522" s="19">
        <f>IF($V8522&lt;&gt;'設定'!$C$4,N(U8521),IF(OR(NOT(COUNTIF('商品マスタ'!$B$6:$B$1005,$W8522)=0),COUNTIFS('①在庫を貼る'!$V$6:$V$10005,$V8522,'①在庫を貼る'!$W$6:$W$10005,$W8522)+COUNTIFS('月1回_1ヶ月前の在庫'!$V$6:$V$10005,$V8522,'月1回_1ヶ月前の在庫'!$W$6:$W$10005,$W8522)&gt;0),N(U8521),N(U8521)+1))</f>
        <v/>
      </c>
      <c r="V8522" s="19">
        <f>IF($B8522="","",TEXT($B8522,"0000"))</f>
        <v/>
      </c>
      <c r="W8522" s="19">
        <f>IF($I8522="","",IF(ISNUMBER($I8522),TEXT($I8522,"0"),$I8522))</f>
        <v/>
      </c>
    </row>
    <row r="8523">
      <c r="B8523" s="25" t="n"/>
      <c r="I8523" s="25" t="n"/>
      <c r="U8523" s="19">
        <f>IF($V8523&lt;&gt;'設定'!$C$4,N(U8522),IF(OR(NOT(COUNTIF('商品マスタ'!$B$6:$B$1005,$W8523)=0),COUNTIFS('①在庫を貼る'!$V$6:$V$10005,$V8523,'①在庫を貼る'!$W$6:$W$10005,$W8523)+COUNTIFS('月1回_1ヶ月前の在庫'!$V$6:$V$10005,$V8523,'月1回_1ヶ月前の在庫'!$W$6:$W$10005,$W8523)&gt;0),N(U8522),N(U8522)+1))</f>
        <v/>
      </c>
      <c r="V8523" s="19">
        <f>IF($B8523="","",TEXT($B8523,"0000"))</f>
        <v/>
      </c>
      <c r="W8523" s="19">
        <f>IF($I8523="","",IF(ISNUMBER($I8523),TEXT($I8523,"0"),$I8523))</f>
        <v/>
      </c>
    </row>
    <row r="8524">
      <c r="B8524" s="25" t="n"/>
      <c r="I8524" s="25" t="n"/>
      <c r="U8524" s="19">
        <f>IF($V8524&lt;&gt;'設定'!$C$4,N(U8523),IF(OR(NOT(COUNTIF('商品マスタ'!$B$6:$B$1005,$W8524)=0),COUNTIFS('①在庫を貼る'!$V$6:$V$10005,$V8524,'①在庫を貼る'!$W$6:$W$10005,$W8524)+COUNTIFS('月1回_1ヶ月前の在庫'!$V$6:$V$10005,$V8524,'月1回_1ヶ月前の在庫'!$W$6:$W$10005,$W8524)&gt;0),N(U8523),N(U8523)+1))</f>
        <v/>
      </c>
      <c r="V8524" s="19">
        <f>IF($B8524="","",TEXT($B8524,"0000"))</f>
        <v/>
      </c>
      <c r="W8524" s="19">
        <f>IF($I8524="","",IF(ISNUMBER($I8524),TEXT($I8524,"0"),$I8524))</f>
        <v/>
      </c>
    </row>
    <row r="8525">
      <c r="B8525" s="25" t="n"/>
      <c r="I8525" s="25" t="n"/>
      <c r="U8525" s="19">
        <f>IF($V8525&lt;&gt;'設定'!$C$4,N(U8524),IF(OR(NOT(COUNTIF('商品マスタ'!$B$6:$B$1005,$W8525)=0),COUNTIFS('①在庫を貼る'!$V$6:$V$10005,$V8525,'①在庫を貼る'!$W$6:$W$10005,$W8525)+COUNTIFS('月1回_1ヶ月前の在庫'!$V$6:$V$10005,$V8525,'月1回_1ヶ月前の在庫'!$W$6:$W$10005,$W8525)&gt;0),N(U8524),N(U8524)+1))</f>
        <v/>
      </c>
      <c r="V8525" s="19">
        <f>IF($B8525="","",TEXT($B8525,"0000"))</f>
        <v/>
      </c>
      <c r="W8525" s="19">
        <f>IF($I8525="","",IF(ISNUMBER($I8525),TEXT($I8525,"0"),$I8525))</f>
        <v/>
      </c>
    </row>
    <row r="8526">
      <c r="B8526" s="25" t="n"/>
      <c r="I8526" s="25" t="n"/>
      <c r="U8526" s="19">
        <f>IF($V8526&lt;&gt;'設定'!$C$4,N(U8525),IF(OR(NOT(COUNTIF('商品マスタ'!$B$6:$B$1005,$W8526)=0),COUNTIFS('①在庫を貼る'!$V$6:$V$10005,$V8526,'①在庫を貼る'!$W$6:$W$10005,$W8526)+COUNTIFS('月1回_1ヶ月前の在庫'!$V$6:$V$10005,$V8526,'月1回_1ヶ月前の在庫'!$W$6:$W$10005,$W8526)&gt;0),N(U8525),N(U8525)+1))</f>
        <v/>
      </c>
      <c r="V8526" s="19">
        <f>IF($B8526="","",TEXT($B8526,"0000"))</f>
        <v/>
      </c>
      <c r="W8526" s="19">
        <f>IF($I8526="","",IF(ISNUMBER($I8526),TEXT($I8526,"0"),$I8526))</f>
        <v/>
      </c>
    </row>
    <row r="8527">
      <c r="B8527" s="25" t="n"/>
      <c r="I8527" s="25" t="n"/>
      <c r="U8527" s="19">
        <f>IF($V8527&lt;&gt;'設定'!$C$4,N(U8526),IF(OR(NOT(COUNTIF('商品マスタ'!$B$6:$B$1005,$W8527)=0),COUNTIFS('①在庫を貼る'!$V$6:$V$10005,$V8527,'①在庫を貼る'!$W$6:$W$10005,$W8527)+COUNTIFS('月1回_1ヶ月前の在庫'!$V$6:$V$10005,$V8527,'月1回_1ヶ月前の在庫'!$W$6:$W$10005,$W8527)&gt;0),N(U8526),N(U8526)+1))</f>
        <v/>
      </c>
      <c r="V8527" s="19">
        <f>IF($B8527="","",TEXT($B8527,"0000"))</f>
        <v/>
      </c>
      <c r="W8527" s="19">
        <f>IF($I8527="","",IF(ISNUMBER($I8527),TEXT($I8527,"0"),$I8527))</f>
        <v/>
      </c>
    </row>
    <row r="8528">
      <c r="B8528" s="25" t="n"/>
      <c r="I8528" s="25" t="n"/>
      <c r="U8528" s="19">
        <f>IF($V8528&lt;&gt;'設定'!$C$4,N(U8527),IF(OR(NOT(COUNTIF('商品マスタ'!$B$6:$B$1005,$W8528)=0),COUNTIFS('①在庫を貼る'!$V$6:$V$10005,$V8528,'①在庫を貼る'!$W$6:$W$10005,$W8528)+COUNTIFS('月1回_1ヶ月前の在庫'!$V$6:$V$10005,$V8528,'月1回_1ヶ月前の在庫'!$W$6:$W$10005,$W8528)&gt;0),N(U8527),N(U8527)+1))</f>
        <v/>
      </c>
      <c r="V8528" s="19">
        <f>IF($B8528="","",TEXT($B8528,"0000"))</f>
        <v/>
      </c>
      <c r="W8528" s="19">
        <f>IF($I8528="","",IF(ISNUMBER($I8528),TEXT($I8528,"0"),$I8528))</f>
        <v/>
      </c>
    </row>
    <row r="8529">
      <c r="B8529" s="25" t="n"/>
      <c r="I8529" s="25" t="n"/>
      <c r="U8529" s="19">
        <f>IF($V8529&lt;&gt;'設定'!$C$4,N(U8528),IF(OR(NOT(COUNTIF('商品マスタ'!$B$6:$B$1005,$W8529)=0),COUNTIFS('①在庫を貼る'!$V$6:$V$10005,$V8529,'①在庫を貼る'!$W$6:$W$10005,$W8529)+COUNTIFS('月1回_1ヶ月前の在庫'!$V$6:$V$10005,$V8529,'月1回_1ヶ月前の在庫'!$W$6:$W$10005,$W8529)&gt;0),N(U8528),N(U8528)+1))</f>
        <v/>
      </c>
      <c r="V8529" s="19">
        <f>IF($B8529="","",TEXT($B8529,"0000"))</f>
        <v/>
      </c>
      <c r="W8529" s="19">
        <f>IF($I8529="","",IF(ISNUMBER($I8529),TEXT($I8529,"0"),$I8529))</f>
        <v/>
      </c>
    </row>
    <row r="8530">
      <c r="B8530" s="25" t="n"/>
      <c r="I8530" s="25" t="n"/>
      <c r="U8530" s="19">
        <f>IF($V8530&lt;&gt;'設定'!$C$4,N(U8529),IF(OR(NOT(COUNTIF('商品マスタ'!$B$6:$B$1005,$W8530)=0),COUNTIFS('①在庫を貼る'!$V$6:$V$10005,$V8530,'①在庫を貼る'!$W$6:$W$10005,$W8530)+COUNTIFS('月1回_1ヶ月前の在庫'!$V$6:$V$10005,$V8530,'月1回_1ヶ月前の在庫'!$W$6:$W$10005,$W8530)&gt;0),N(U8529),N(U8529)+1))</f>
        <v/>
      </c>
      <c r="V8530" s="19">
        <f>IF($B8530="","",TEXT($B8530,"0000"))</f>
        <v/>
      </c>
      <c r="W8530" s="19">
        <f>IF($I8530="","",IF(ISNUMBER($I8530),TEXT($I8530,"0"),$I8530))</f>
        <v/>
      </c>
    </row>
    <row r="8531">
      <c r="B8531" s="25" t="n"/>
      <c r="I8531" s="25" t="n"/>
      <c r="U8531" s="19">
        <f>IF($V8531&lt;&gt;'設定'!$C$4,N(U8530),IF(OR(NOT(COUNTIF('商品マスタ'!$B$6:$B$1005,$W8531)=0),COUNTIFS('①在庫を貼る'!$V$6:$V$10005,$V8531,'①在庫を貼る'!$W$6:$W$10005,$W8531)+COUNTIFS('月1回_1ヶ月前の在庫'!$V$6:$V$10005,$V8531,'月1回_1ヶ月前の在庫'!$W$6:$W$10005,$W8531)&gt;0),N(U8530),N(U8530)+1))</f>
        <v/>
      </c>
      <c r="V8531" s="19">
        <f>IF($B8531="","",TEXT($B8531,"0000"))</f>
        <v/>
      </c>
      <c r="W8531" s="19">
        <f>IF($I8531="","",IF(ISNUMBER($I8531),TEXT($I8531,"0"),$I8531))</f>
        <v/>
      </c>
    </row>
    <row r="8532">
      <c r="B8532" s="25" t="n"/>
      <c r="I8532" s="25" t="n"/>
      <c r="U8532" s="19">
        <f>IF($V8532&lt;&gt;'設定'!$C$4,N(U8531),IF(OR(NOT(COUNTIF('商品マスタ'!$B$6:$B$1005,$W8532)=0),COUNTIFS('①在庫を貼る'!$V$6:$V$10005,$V8532,'①在庫を貼る'!$W$6:$W$10005,$W8532)+COUNTIFS('月1回_1ヶ月前の在庫'!$V$6:$V$10005,$V8532,'月1回_1ヶ月前の在庫'!$W$6:$W$10005,$W8532)&gt;0),N(U8531),N(U8531)+1))</f>
        <v/>
      </c>
      <c r="V8532" s="19">
        <f>IF($B8532="","",TEXT($B8532,"0000"))</f>
        <v/>
      </c>
      <c r="W8532" s="19">
        <f>IF($I8532="","",IF(ISNUMBER($I8532),TEXT($I8532,"0"),$I8532))</f>
        <v/>
      </c>
    </row>
    <row r="8533">
      <c r="B8533" s="25" t="n"/>
      <c r="I8533" s="25" t="n"/>
      <c r="U8533" s="19">
        <f>IF($V8533&lt;&gt;'設定'!$C$4,N(U8532),IF(OR(NOT(COUNTIF('商品マスタ'!$B$6:$B$1005,$W8533)=0),COUNTIFS('①在庫を貼る'!$V$6:$V$10005,$V8533,'①在庫を貼る'!$W$6:$W$10005,$W8533)+COUNTIFS('月1回_1ヶ月前の在庫'!$V$6:$V$10005,$V8533,'月1回_1ヶ月前の在庫'!$W$6:$W$10005,$W8533)&gt;0),N(U8532),N(U8532)+1))</f>
        <v/>
      </c>
      <c r="V8533" s="19">
        <f>IF($B8533="","",TEXT($B8533,"0000"))</f>
        <v/>
      </c>
      <c r="W8533" s="19">
        <f>IF($I8533="","",IF(ISNUMBER($I8533),TEXT($I8533,"0"),$I8533))</f>
        <v/>
      </c>
    </row>
    <row r="8534">
      <c r="B8534" s="25" t="n"/>
      <c r="I8534" s="25" t="n"/>
      <c r="U8534" s="19">
        <f>IF($V8534&lt;&gt;'設定'!$C$4,N(U8533),IF(OR(NOT(COUNTIF('商品マスタ'!$B$6:$B$1005,$W8534)=0),COUNTIFS('①在庫を貼る'!$V$6:$V$10005,$V8534,'①在庫を貼る'!$W$6:$W$10005,$W8534)+COUNTIFS('月1回_1ヶ月前の在庫'!$V$6:$V$10005,$V8534,'月1回_1ヶ月前の在庫'!$W$6:$W$10005,$W8534)&gt;0),N(U8533),N(U8533)+1))</f>
        <v/>
      </c>
      <c r="V8534" s="19">
        <f>IF($B8534="","",TEXT($B8534,"0000"))</f>
        <v/>
      </c>
      <c r="W8534" s="19">
        <f>IF($I8534="","",IF(ISNUMBER($I8534),TEXT($I8534,"0"),$I8534))</f>
        <v/>
      </c>
    </row>
    <row r="8535">
      <c r="B8535" s="25" t="n"/>
      <c r="I8535" s="25" t="n"/>
      <c r="U8535" s="19">
        <f>IF($V8535&lt;&gt;'設定'!$C$4,N(U8534),IF(OR(NOT(COUNTIF('商品マスタ'!$B$6:$B$1005,$W8535)=0),COUNTIFS('①在庫を貼る'!$V$6:$V$10005,$V8535,'①在庫を貼る'!$W$6:$W$10005,$W8535)+COUNTIFS('月1回_1ヶ月前の在庫'!$V$6:$V$10005,$V8535,'月1回_1ヶ月前の在庫'!$W$6:$W$10005,$W8535)&gt;0),N(U8534),N(U8534)+1))</f>
        <v/>
      </c>
      <c r="V8535" s="19">
        <f>IF($B8535="","",TEXT($B8535,"0000"))</f>
        <v/>
      </c>
      <c r="W8535" s="19">
        <f>IF($I8535="","",IF(ISNUMBER($I8535),TEXT($I8535,"0"),$I8535))</f>
        <v/>
      </c>
    </row>
    <row r="8536">
      <c r="B8536" s="25" t="n"/>
      <c r="I8536" s="25" t="n"/>
      <c r="U8536" s="19">
        <f>IF($V8536&lt;&gt;'設定'!$C$4,N(U8535),IF(OR(NOT(COUNTIF('商品マスタ'!$B$6:$B$1005,$W8536)=0),COUNTIFS('①在庫を貼る'!$V$6:$V$10005,$V8536,'①在庫を貼る'!$W$6:$W$10005,$W8536)+COUNTIFS('月1回_1ヶ月前の在庫'!$V$6:$V$10005,$V8536,'月1回_1ヶ月前の在庫'!$W$6:$W$10005,$W8536)&gt;0),N(U8535),N(U8535)+1))</f>
        <v/>
      </c>
      <c r="V8536" s="19">
        <f>IF($B8536="","",TEXT($B8536,"0000"))</f>
        <v/>
      </c>
      <c r="W8536" s="19">
        <f>IF($I8536="","",IF(ISNUMBER($I8536),TEXT($I8536,"0"),$I8536))</f>
        <v/>
      </c>
    </row>
    <row r="8537">
      <c r="B8537" s="25" t="n"/>
      <c r="I8537" s="25" t="n"/>
      <c r="U8537" s="19">
        <f>IF($V8537&lt;&gt;'設定'!$C$4,N(U8536),IF(OR(NOT(COUNTIF('商品マスタ'!$B$6:$B$1005,$W8537)=0),COUNTIFS('①在庫を貼る'!$V$6:$V$10005,$V8537,'①在庫を貼る'!$W$6:$W$10005,$W8537)+COUNTIFS('月1回_1ヶ月前の在庫'!$V$6:$V$10005,$V8537,'月1回_1ヶ月前の在庫'!$W$6:$W$10005,$W8537)&gt;0),N(U8536),N(U8536)+1))</f>
        <v/>
      </c>
      <c r="V8537" s="19">
        <f>IF($B8537="","",TEXT($B8537,"0000"))</f>
        <v/>
      </c>
      <c r="W8537" s="19">
        <f>IF($I8537="","",IF(ISNUMBER($I8537),TEXT($I8537,"0"),$I8537))</f>
        <v/>
      </c>
    </row>
    <row r="8538">
      <c r="B8538" s="25" t="n"/>
      <c r="I8538" s="25" t="n"/>
      <c r="U8538" s="19">
        <f>IF($V8538&lt;&gt;'設定'!$C$4,N(U8537),IF(OR(NOT(COUNTIF('商品マスタ'!$B$6:$B$1005,$W8538)=0),COUNTIFS('①在庫を貼る'!$V$6:$V$10005,$V8538,'①在庫を貼る'!$W$6:$W$10005,$W8538)+COUNTIFS('月1回_1ヶ月前の在庫'!$V$6:$V$10005,$V8538,'月1回_1ヶ月前の在庫'!$W$6:$W$10005,$W8538)&gt;0),N(U8537),N(U8537)+1))</f>
        <v/>
      </c>
      <c r="V8538" s="19">
        <f>IF($B8538="","",TEXT($B8538,"0000"))</f>
        <v/>
      </c>
      <c r="W8538" s="19">
        <f>IF($I8538="","",IF(ISNUMBER($I8538),TEXT($I8538,"0"),$I8538))</f>
        <v/>
      </c>
    </row>
    <row r="8539">
      <c r="B8539" s="25" t="n"/>
      <c r="I8539" s="25" t="n"/>
      <c r="U8539" s="19">
        <f>IF($V8539&lt;&gt;'設定'!$C$4,N(U8538),IF(OR(NOT(COUNTIF('商品マスタ'!$B$6:$B$1005,$W8539)=0),COUNTIFS('①在庫を貼る'!$V$6:$V$10005,$V8539,'①在庫を貼る'!$W$6:$W$10005,$W8539)+COUNTIFS('月1回_1ヶ月前の在庫'!$V$6:$V$10005,$V8539,'月1回_1ヶ月前の在庫'!$W$6:$W$10005,$W8539)&gt;0),N(U8538),N(U8538)+1))</f>
        <v/>
      </c>
      <c r="V8539" s="19">
        <f>IF($B8539="","",TEXT($B8539,"0000"))</f>
        <v/>
      </c>
      <c r="W8539" s="19">
        <f>IF($I8539="","",IF(ISNUMBER($I8539),TEXT($I8539,"0"),$I8539))</f>
        <v/>
      </c>
    </row>
    <row r="8540">
      <c r="B8540" s="25" t="n"/>
      <c r="I8540" s="25" t="n"/>
      <c r="U8540" s="19">
        <f>IF($V8540&lt;&gt;'設定'!$C$4,N(U8539),IF(OR(NOT(COUNTIF('商品マスタ'!$B$6:$B$1005,$W8540)=0),COUNTIFS('①在庫を貼る'!$V$6:$V$10005,$V8540,'①在庫を貼る'!$W$6:$W$10005,$W8540)+COUNTIFS('月1回_1ヶ月前の在庫'!$V$6:$V$10005,$V8540,'月1回_1ヶ月前の在庫'!$W$6:$W$10005,$W8540)&gt;0),N(U8539),N(U8539)+1))</f>
        <v/>
      </c>
      <c r="V8540" s="19">
        <f>IF($B8540="","",TEXT($B8540,"0000"))</f>
        <v/>
      </c>
      <c r="W8540" s="19">
        <f>IF($I8540="","",IF(ISNUMBER($I8540),TEXT($I8540,"0"),$I8540))</f>
        <v/>
      </c>
    </row>
    <row r="8541">
      <c r="B8541" s="25" t="n"/>
      <c r="I8541" s="25" t="n"/>
      <c r="U8541" s="19">
        <f>IF($V8541&lt;&gt;'設定'!$C$4,N(U8540),IF(OR(NOT(COUNTIF('商品マスタ'!$B$6:$B$1005,$W8541)=0),COUNTIFS('①在庫を貼る'!$V$6:$V$10005,$V8541,'①在庫を貼る'!$W$6:$W$10005,$W8541)+COUNTIFS('月1回_1ヶ月前の在庫'!$V$6:$V$10005,$V8541,'月1回_1ヶ月前の在庫'!$W$6:$W$10005,$W8541)&gt;0),N(U8540),N(U8540)+1))</f>
        <v/>
      </c>
      <c r="V8541" s="19">
        <f>IF($B8541="","",TEXT($B8541,"0000"))</f>
        <v/>
      </c>
      <c r="W8541" s="19">
        <f>IF($I8541="","",IF(ISNUMBER($I8541),TEXT($I8541,"0"),$I8541))</f>
        <v/>
      </c>
    </row>
    <row r="8542">
      <c r="B8542" s="25" t="n"/>
      <c r="I8542" s="25" t="n"/>
      <c r="U8542" s="19">
        <f>IF($V8542&lt;&gt;'設定'!$C$4,N(U8541),IF(OR(NOT(COUNTIF('商品マスタ'!$B$6:$B$1005,$W8542)=0),COUNTIFS('①在庫を貼る'!$V$6:$V$10005,$V8542,'①在庫を貼る'!$W$6:$W$10005,$W8542)+COUNTIFS('月1回_1ヶ月前の在庫'!$V$6:$V$10005,$V8542,'月1回_1ヶ月前の在庫'!$W$6:$W$10005,$W8542)&gt;0),N(U8541),N(U8541)+1))</f>
        <v/>
      </c>
      <c r="V8542" s="19">
        <f>IF($B8542="","",TEXT($B8542,"0000"))</f>
        <v/>
      </c>
      <c r="W8542" s="19">
        <f>IF($I8542="","",IF(ISNUMBER($I8542),TEXT($I8542,"0"),$I8542))</f>
        <v/>
      </c>
    </row>
    <row r="8543">
      <c r="B8543" s="25" t="n"/>
      <c r="I8543" s="25" t="n"/>
      <c r="U8543" s="19">
        <f>IF($V8543&lt;&gt;'設定'!$C$4,N(U8542),IF(OR(NOT(COUNTIF('商品マスタ'!$B$6:$B$1005,$W8543)=0),COUNTIFS('①在庫を貼る'!$V$6:$V$10005,$V8543,'①在庫を貼る'!$W$6:$W$10005,$W8543)+COUNTIFS('月1回_1ヶ月前の在庫'!$V$6:$V$10005,$V8543,'月1回_1ヶ月前の在庫'!$W$6:$W$10005,$W8543)&gt;0),N(U8542),N(U8542)+1))</f>
        <v/>
      </c>
      <c r="V8543" s="19">
        <f>IF($B8543="","",TEXT($B8543,"0000"))</f>
        <v/>
      </c>
      <c r="W8543" s="19">
        <f>IF($I8543="","",IF(ISNUMBER($I8543),TEXT($I8543,"0"),$I8543))</f>
        <v/>
      </c>
    </row>
    <row r="8544">
      <c r="B8544" s="25" t="n"/>
      <c r="I8544" s="25" t="n"/>
      <c r="U8544" s="19">
        <f>IF($V8544&lt;&gt;'設定'!$C$4,N(U8543),IF(OR(NOT(COUNTIF('商品マスタ'!$B$6:$B$1005,$W8544)=0),COUNTIFS('①在庫を貼る'!$V$6:$V$10005,$V8544,'①在庫を貼る'!$W$6:$W$10005,$W8544)+COUNTIFS('月1回_1ヶ月前の在庫'!$V$6:$V$10005,$V8544,'月1回_1ヶ月前の在庫'!$W$6:$W$10005,$W8544)&gt;0),N(U8543),N(U8543)+1))</f>
        <v/>
      </c>
      <c r="V8544" s="19">
        <f>IF($B8544="","",TEXT($B8544,"0000"))</f>
        <v/>
      </c>
      <c r="W8544" s="19">
        <f>IF($I8544="","",IF(ISNUMBER($I8544),TEXT($I8544,"0"),$I8544))</f>
        <v/>
      </c>
    </row>
    <row r="8545">
      <c r="B8545" s="25" t="n"/>
      <c r="I8545" s="25" t="n"/>
      <c r="U8545" s="19">
        <f>IF($V8545&lt;&gt;'設定'!$C$4,N(U8544),IF(OR(NOT(COUNTIF('商品マスタ'!$B$6:$B$1005,$W8545)=0),COUNTIFS('①在庫を貼る'!$V$6:$V$10005,$V8545,'①在庫を貼る'!$W$6:$W$10005,$W8545)+COUNTIFS('月1回_1ヶ月前の在庫'!$V$6:$V$10005,$V8545,'月1回_1ヶ月前の在庫'!$W$6:$W$10005,$W8545)&gt;0),N(U8544),N(U8544)+1))</f>
        <v/>
      </c>
      <c r="V8545" s="19">
        <f>IF($B8545="","",TEXT($B8545,"0000"))</f>
        <v/>
      </c>
      <c r="W8545" s="19">
        <f>IF($I8545="","",IF(ISNUMBER($I8545),TEXT($I8545,"0"),$I8545))</f>
        <v/>
      </c>
    </row>
    <row r="8546">
      <c r="B8546" s="25" t="n"/>
      <c r="I8546" s="25" t="n"/>
      <c r="U8546" s="19">
        <f>IF($V8546&lt;&gt;'設定'!$C$4,N(U8545),IF(OR(NOT(COUNTIF('商品マスタ'!$B$6:$B$1005,$W8546)=0),COUNTIFS('①在庫を貼る'!$V$6:$V$10005,$V8546,'①在庫を貼る'!$W$6:$W$10005,$W8546)+COUNTIFS('月1回_1ヶ月前の在庫'!$V$6:$V$10005,$V8546,'月1回_1ヶ月前の在庫'!$W$6:$W$10005,$W8546)&gt;0),N(U8545),N(U8545)+1))</f>
        <v/>
      </c>
      <c r="V8546" s="19">
        <f>IF($B8546="","",TEXT($B8546,"0000"))</f>
        <v/>
      </c>
      <c r="W8546" s="19">
        <f>IF($I8546="","",IF(ISNUMBER($I8546),TEXT($I8546,"0"),$I8546))</f>
        <v/>
      </c>
    </row>
    <row r="8547">
      <c r="B8547" s="25" t="n"/>
      <c r="I8547" s="25" t="n"/>
      <c r="U8547" s="19">
        <f>IF($V8547&lt;&gt;'設定'!$C$4,N(U8546),IF(OR(NOT(COUNTIF('商品マスタ'!$B$6:$B$1005,$W8547)=0),COUNTIFS('①在庫を貼る'!$V$6:$V$10005,$V8547,'①在庫を貼る'!$W$6:$W$10005,$W8547)+COUNTIFS('月1回_1ヶ月前の在庫'!$V$6:$V$10005,$V8547,'月1回_1ヶ月前の在庫'!$W$6:$W$10005,$W8547)&gt;0),N(U8546),N(U8546)+1))</f>
        <v/>
      </c>
      <c r="V8547" s="19">
        <f>IF($B8547="","",TEXT($B8547,"0000"))</f>
        <v/>
      </c>
      <c r="W8547" s="19">
        <f>IF($I8547="","",IF(ISNUMBER($I8547),TEXT($I8547,"0"),$I8547))</f>
        <v/>
      </c>
    </row>
    <row r="8548">
      <c r="B8548" s="25" t="n"/>
      <c r="I8548" s="25" t="n"/>
      <c r="U8548" s="19">
        <f>IF($V8548&lt;&gt;'設定'!$C$4,N(U8547),IF(OR(NOT(COUNTIF('商品マスタ'!$B$6:$B$1005,$W8548)=0),COUNTIFS('①在庫を貼る'!$V$6:$V$10005,$V8548,'①在庫を貼る'!$W$6:$W$10005,$W8548)+COUNTIFS('月1回_1ヶ月前の在庫'!$V$6:$V$10005,$V8548,'月1回_1ヶ月前の在庫'!$W$6:$W$10005,$W8548)&gt;0),N(U8547),N(U8547)+1))</f>
        <v/>
      </c>
      <c r="V8548" s="19">
        <f>IF($B8548="","",TEXT($B8548,"0000"))</f>
        <v/>
      </c>
      <c r="W8548" s="19">
        <f>IF($I8548="","",IF(ISNUMBER($I8548),TEXT($I8548,"0"),$I8548))</f>
        <v/>
      </c>
    </row>
    <row r="8549">
      <c r="B8549" s="25" t="n"/>
      <c r="I8549" s="25" t="n"/>
      <c r="U8549" s="19">
        <f>IF($V8549&lt;&gt;'設定'!$C$4,N(U8548),IF(OR(NOT(COUNTIF('商品マスタ'!$B$6:$B$1005,$W8549)=0),COUNTIFS('①在庫を貼る'!$V$6:$V$10005,$V8549,'①在庫を貼る'!$W$6:$W$10005,$W8549)+COUNTIFS('月1回_1ヶ月前の在庫'!$V$6:$V$10005,$V8549,'月1回_1ヶ月前の在庫'!$W$6:$W$10005,$W8549)&gt;0),N(U8548),N(U8548)+1))</f>
        <v/>
      </c>
      <c r="V8549" s="19">
        <f>IF($B8549="","",TEXT($B8549,"0000"))</f>
        <v/>
      </c>
      <c r="W8549" s="19">
        <f>IF($I8549="","",IF(ISNUMBER($I8549),TEXT($I8549,"0"),$I8549))</f>
        <v/>
      </c>
    </row>
    <row r="8550">
      <c r="B8550" s="25" t="n"/>
      <c r="I8550" s="25" t="n"/>
      <c r="U8550" s="19">
        <f>IF($V8550&lt;&gt;'設定'!$C$4,N(U8549),IF(OR(NOT(COUNTIF('商品マスタ'!$B$6:$B$1005,$W8550)=0),COUNTIFS('①在庫を貼る'!$V$6:$V$10005,$V8550,'①在庫を貼る'!$W$6:$W$10005,$W8550)+COUNTIFS('月1回_1ヶ月前の在庫'!$V$6:$V$10005,$V8550,'月1回_1ヶ月前の在庫'!$W$6:$W$10005,$W8550)&gt;0),N(U8549),N(U8549)+1))</f>
        <v/>
      </c>
      <c r="V8550" s="19">
        <f>IF($B8550="","",TEXT($B8550,"0000"))</f>
        <v/>
      </c>
      <c r="W8550" s="19">
        <f>IF($I8550="","",IF(ISNUMBER($I8550),TEXT($I8550,"0"),$I8550))</f>
        <v/>
      </c>
    </row>
    <row r="8551">
      <c r="B8551" s="25" t="n"/>
      <c r="I8551" s="25" t="n"/>
      <c r="U8551" s="19">
        <f>IF($V8551&lt;&gt;'設定'!$C$4,N(U8550),IF(OR(NOT(COUNTIF('商品マスタ'!$B$6:$B$1005,$W8551)=0),COUNTIFS('①在庫を貼る'!$V$6:$V$10005,$V8551,'①在庫を貼る'!$W$6:$W$10005,$W8551)+COUNTIFS('月1回_1ヶ月前の在庫'!$V$6:$V$10005,$V8551,'月1回_1ヶ月前の在庫'!$W$6:$W$10005,$W8551)&gt;0),N(U8550),N(U8550)+1))</f>
        <v/>
      </c>
      <c r="V8551" s="19">
        <f>IF($B8551="","",TEXT($B8551,"0000"))</f>
        <v/>
      </c>
      <c r="W8551" s="19">
        <f>IF($I8551="","",IF(ISNUMBER($I8551),TEXT($I8551,"0"),$I8551))</f>
        <v/>
      </c>
    </row>
    <row r="8552">
      <c r="B8552" s="25" t="n"/>
      <c r="I8552" s="25" t="n"/>
      <c r="U8552" s="19">
        <f>IF($V8552&lt;&gt;'設定'!$C$4,N(U8551),IF(OR(NOT(COUNTIF('商品マスタ'!$B$6:$B$1005,$W8552)=0),COUNTIFS('①在庫を貼る'!$V$6:$V$10005,$V8552,'①在庫を貼る'!$W$6:$W$10005,$W8552)+COUNTIFS('月1回_1ヶ月前の在庫'!$V$6:$V$10005,$V8552,'月1回_1ヶ月前の在庫'!$W$6:$W$10005,$W8552)&gt;0),N(U8551),N(U8551)+1))</f>
        <v/>
      </c>
      <c r="V8552" s="19">
        <f>IF($B8552="","",TEXT($B8552,"0000"))</f>
        <v/>
      </c>
      <c r="W8552" s="19">
        <f>IF($I8552="","",IF(ISNUMBER($I8552),TEXT($I8552,"0"),$I8552))</f>
        <v/>
      </c>
    </row>
    <row r="8553">
      <c r="B8553" s="25" t="n"/>
      <c r="I8553" s="25" t="n"/>
      <c r="U8553" s="19">
        <f>IF($V8553&lt;&gt;'設定'!$C$4,N(U8552),IF(OR(NOT(COUNTIF('商品マスタ'!$B$6:$B$1005,$W8553)=0),COUNTIFS('①在庫を貼る'!$V$6:$V$10005,$V8553,'①在庫を貼る'!$W$6:$W$10005,$W8553)+COUNTIFS('月1回_1ヶ月前の在庫'!$V$6:$V$10005,$V8553,'月1回_1ヶ月前の在庫'!$W$6:$W$10005,$W8553)&gt;0),N(U8552),N(U8552)+1))</f>
        <v/>
      </c>
      <c r="V8553" s="19">
        <f>IF($B8553="","",TEXT($B8553,"0000"))</f>
        <v/>
      </c>
      <c r="W8553" s="19">
        <f>IF($I8553="","",IF(ISNUMBER($I8553),TEXT($I8553,"0"),$I8553))</f>
        <v/>
      </c>
    </row>
    <row r="8554">
      <c r="B8554" s="25" t="n"/>
      <c r="I8554" s="25" t="n"/>
      <c r="U8554" s="19">
        <f>IF($V8554&lt;&gt;'設定'!$C$4,N(U8553),IF(OR(NOT(COUNTIF('商品マスタ'!$B$6:$B$1005,$W8554)=0),COUNTIFS('①在庫を貼る'!$V$6:$V$10005,$V8554,'①在庫を貼る'!$W$6:$W$10005,$W8554)+COUNTIFS('月1回_1ヶ月前の在庫'!$V$6:$V$10005,$V8554,'月1回_1ヶ月前の在庫'!$W$6:$W$10005,$W8554)&gt;0),N(U8553),N(U8553)+1))</f>
        <v/>
      </c>
      <c r="V8554" s="19">
        <f>IF($B8554="","",TEXT($B8554,"0000"))</f>
        <v/>
      </c>
      <c r="W8554" s="19">
        <f>IF($I8554="","",IF(ISNUMBER($I8554),TEXT($I8554,"0"),$I8554))</f>
        <v/>
      </c>
    </row>
    <row r="8555">
      <c r="B8555" s="25" t="n"/>
      <c r="I8555" s="25" t="n"/>
      <c r="U8555" s="19">
        <f>IF($V8555&lt;&gt;'設定'!$C$4,N(U8554),IF(OR(NOT(COUNTIF('商品マスタ'!$B$6:$B$1005,$W8555)=0),COUNTIFS('①在庫を貼る'!$V$6:$V$10005,$V8555,'①在庫を貼る'!$W$6:$W$10005,$W8555)+COUNTIFS('月1回_1ヶ月前の在庫'!$V$6:$V$10005,$V8555,'月1回_1ヶ月前の在庫'!$W$6:$W$10005,$W8555)&gt;0),N(U8554),N(U8554)+1))</f>
        <v/>
      </c>
      <c r="V8555" s="19">
        <f>IF($B8555="","",TEXT($B8555,"0000"))</f>
        <v/>
      </c>
      <c r="W8555" s="19">
        <f>IF($I8555="","",IF(ISNUMBER($I8555),TEXT($I8555,"0"),$I8555))</f>
        <v/>
      </c>
    </row>
    <row r="8556">
      <c r="B8556" s="25" t="n"/>
      <c r="I8556" s="25" t="n"/>
      <c r="U8556" s="19">
        <f>IF($V8556&lt;&gt;'設定'!$C$4,N(U8555),IF(OR(NOT(COUNTIF('商品マスタ'!$B$6:$B$1005,$W8556)=0),COUNTIFS('①在庫を貼る'!$V$6:$V$10005,$V8556,'①在庫を貼る'!$W$6:$W$10005,$W8556)+COUNTIFS('月1回_1ヶ月前の在庫'!$V$6:$V$10005,$V8556,'月1回_1ヶ月前の在庫'!$W$6:$W$10005,$W8556)&gt;0),N(U8555),N(U8555)+1))</f>
        <v/>
      </c>
      <c r="V8556" s="19">
        <f>IF($B8556="","",TEXT($B8556,"0000"))</f>
        <v/>
      </c>
      <c r="W8556" s="19">
        <f>IF($I8556="","",IF(ISNUMBER($I8556),TEXT($I8556,"0"),$I8556))</f>
        <v/>
      </c>
    </row>
    <row r="8557">
      <c r="B8557" s="25" t="n"/>
      <c r="I8557" s="25" t="n"/>
      <c r="U8557" s="19">
        <f>IF($V8557&lt;&gt;'設定'!$C$4,N(U8556),IF(OR(NOT(COUNTIF('商品マスタ'!$B$6:$B$1005,$W8557)=0),COUNTIFS('①在庫を貼る'!$V$6:$V$10005,$V8557,'①在庫を貼る'!$W$6:$W$10005,$W8557)+COUNTIFS('月1回_1ヶ月前の在庫'!$V$6:$V$10005,$V8557,'月1回_1ヶ月前の在庫'!$W$6:$W$10005,$W8557)&gt;0),N(U8556),N(U8556)+1))</f>
        <v/>
      </c>
      <c r="V8557" s="19">
        <f>IF($B8557="","",TEXT($B8557,"0000"))</f>
        <v/>
      </c>
      <c r="W8557" s="19">
        <f>IF($I8557="","",IF(ISNUMBER($I8557),TEXT($I8557,"0"),$I8557))</f>
        <v/>
      </c>
    </row>
    <row r="8558">
      <c r="B8558" s="25" t="n"/>
      <c r="I8558" s="25" t="n"/>
      <c r="U8558" s="19">
        <f>IF($V8558&lt;&gt;'設定'!$C$4,N(U8557),IF(OR(NOT(COUNTIF('商品マスタ'!$B$6:$B$1005,$W8558)=0),COUNTIFS('①在庫を貼る'!$V$6:$V$10005,$V8558,'①在庫を貼る'!$W$6:$W$10005,$W8558)+COUNTIFS('月1回_1ヶ月前の在庫'!$V$6:$V$10005,$V8558,'月1回_1ヶ月前の在庫'!$W$6:$W$10005,$W8558)&gt;0),N(U8557),N(U8557)+1))</f>
        <v/>
      </c>
      <c r="V8558" s="19">
        <f>IF($B8558="","",TEXT($B8558,"0000"))</f>
        <v/>
      </c>
      <c r="W8558" s="19">
        <f>IF($I8558="","",IF(ISNUMBER($I8558),TEXT($I8558,"0"),$I8558))</f>
        <v/>
      </c>
    </row>
    <row r="8559">
      <c r="B8559" s="25" t="n"/>
      <c r="I8559" s="25" t="n"/>
      <c r="U8559" s="19">
        <f>IF($V8559&lt;&gt;'設定'!$C$4,N(U8558),IF(OR(NOT(COUNTIF('商品マスタ'!$B$6:$B$1005,$W8559)=0),COUNTIFS('①在庫を貼る'!$V$6:$V$10005,$V8559,'①在庫を貼る'!$W$6:$W$10005,$W8559)+COUNTIFS('月1回_1ヶ月前の在庫'!$V$6:$V$10005,$V8559,'月1回_1ヶ月前の在庫'!$W$6:$W$10005,$W8559)&gt;0),N(U8558),N(U8558)+1))</f>
        <v/>
      </c>
      <c r="V8559" s="19">
        <f>IF($B8559="","",TEXT($B8559,"0000"))</f>
        <v/>
      </c>
      <c r="W8559" s="19">
        <f>IF($I8559="","",IF(ISNUMBER($I8559),TEXT($I8559,"0"),$I8559))</f>
        <v/>
      </c>
    </row>
    <row r="8560">
      <c r="B8560" s="25" t="n"/>
      <c r="I8560" s="25" t="n"/>
      <c r="U8560" s="19">
        <f>IF($V8560&lt;&gt;'設定'!$C$4,N(U8559),IF(OR(NOT(COUNTIF('商品マスタ'!$B$6:$B$1005,$W8560)=0),COUNTIFS('①在庫を貼る'!$V$6:$V$10005,$V8560,'①在庫を貼る'!$W$6:$W$10005,$W8560)+COUNTIFS('月1回_1ヶ月前の在庫'!$V$6:$V$10005,$V8560,'月1回_1ヶ月前の在庫'!$W$6:$W$10005,$W8560)&gt;0),N(U8559),N(U8559)+1))</f>
        <v/>
      </c>
      <c r="V8560" s="19">
        <f>IF($B8560="","",TEXT($B8560,"0000"))</f>
        <v/>
      </c>
      <c r="W8560" s="19">
        <f>IF($I8560="","",IF(ISNUMBER($I8560),TEXT($I8560,"0"),$I8560))</f>
        <v/>
      </c>
    </row>
    <row r="8561">
      <c r="B8561" s="25" t="n"/>
      <c r="I8561" s="25" t="n"/>
      <c r="U8561" s="19">
        <f>IF($V8561&lt;&gt;'設定'!$C$4,N(U8560),IF(OR(NOT(COUNTIF('商品マスタ'!$B$6:$B$1005,$W8561)=0),COUNTIFS('①在庫を貼る'!$V$6:$V$10005,$V8561,'①在庫を貼る'!$W$6:$W$10005,$W8561)+COUNTIFS('月1回_1ヶ月前の在庫'!$V$6:$V$10005,$V8561,'月1回_1ヶ月前の在庫'!$W$6:$W$10005,$W8561)&gt;0),N(U8560),N(U8560)+1))</f>
        <v/>
      </c>
      <c r="V8561" s="19">
        <f>IF($B8561="","",TEXT($B8561,"0000"))</f>
        <v/>
      </c>
      <c r="W8561" s="19">
        <f>IF($I8561="","",IF(ISNUMBER($I8561),TEXT($I8561,"0"),$I8561))</f>
        <v/>
      </c>
    </row>
    <row r="8562">
      <c r="B8562" s="25" t="n"/>
      <c r="I8562" s="25" t="n"/>
      <c r="U8562" s="19">
        <f>IF($V8562&lt;&gt;'設定'!$C$4,N(U8561),IF(OR(NOT(COUNTIF('商品マスタ'!$B$6:$B$1005,$W8562)=0),COUNTIFS('①在庫を貼る'!$V$6:$V$10005,$V8562,'①在庫を貼る'!$W$6:$W$10005,$W8562)+COUNTIFS('月1回_1ヶ月前の在庫'!$V$6:$V$10005,$V8562,'月1回_1ヶ月前の在庫'!$W$6:$W$10005,$W8562)&gt;0),N(U8561),N(U8561)+1))</f>
        <v/>
      </c>
      <c r="V8562" s="19">
        <f>IF($B8562="","",TEXT($B8562,"0000"))</f>
        <v/>
      </c>
      <c r="W8562" s="19">
        <f>IF($I8562="","",IF(ISNUMBER($I8562),TEXT($I8562,"0"),$I8562))</f>
        <v/>
      </c>
    </row>
    <row r="8563">
      <c r="B8563" s="25" t="n"/>
      <c r="I8563" s="25" t="n"/>
      <c r="U8563" s="19">
        <f>IF($V8563&lt;&gt;'設定'!$C$4,N(U8562),IF(OR(NOT(COUNTIF('商品マスタ'!$B$6:$B$1005,$W8563)=0),COUNTIFS('①在庫を貼る'!$V$6:$V$10005,$V8563,'①在庫を貼る'!$W$6:$W$10005,$W8563)+COUNTIFS('月1回_1ヶ月前の在庫'!$V$6:$V$10005,$V8563,'月1回_1ヶ月前の在庫'!$W$6:$W$10005,$W8563)&gt;0),N(U8562),N(U8562)+1))</f>
        <v/>
      </c>
      <c r="V8563" s="19">
        <f>IF($B8563="","",TEXT($B8563,"0000"))</f>
        <v/>
      </c>
      <c r="W8563" s="19">
        <f>IF($I8563="","",IF(ISNUMBER($I8563),TEXT($I8563,"0"),$I8563))</f>
        <v/>
      </c>
    </row>
    <row r="8564">
      <c r="B8564" s="25" t="n"/>
      <c r="I8564" s="25" t="n"/>
      <c r="U8564" s="19">
        <f>IF($V8564&lt;&gt;'設定'!$C$4,N(U8563),IF(OR(NOT(COUNTIF('商品マスタ'!$B$6:$B$1005,$W8564)=0),COUNTIFS('①在庫を貼る'!$V$6:$V$10005,$V8564,'①在庫を貼る'!$W$6:$W$10005,$W8564)+COUNTIFS('月1回_1ヶ月前の在庫'!$V$6:$V$10005,$V8564,'月1回_1ヶ月前の在庫'!$W$6:$W$10005,$W8564)&gt;0),N(U8563),N(U8563)+1))</f>
        <v/>
      </c>
      <c r="V8564" s="19">
        <f>IF($B8564="","",TEXT($B8564,"0000"))</f>
        <v/>
      </c>
      <c r="W8564" s="19">
        <f>IF($I8564="","",IF(ISNUMBER($I8564),TEXT($I8564,"0"),$I8564))</f>
        <v/>
      </c>
    </row>
    <row r="8565">
      <c r="B8565" s="25" t="n"/>
      <c r="I8565" s="25" t="n"/>
      <c r="U8565" s="19">
        <f>IF($V8565&lt;&gt;'設定'!$C$4,N(U8564),IF(OR(NOT(COUNTIF('商品マスタ'!$B$6:$B$1005,$W8565)=0),COUNTIFS('①在庫を貼る'!$V$6:$V$10005,$V8565,'①在庫を貼る'!$W$6:$W$10005,$W8565)+COUNTIFS('月1回_1ヶ月前の在庫'!$V$6:$V$10005,$V8565,'月1回_1ヶ月前の在庫'!$W$6:$W$10005,$W8565)&gt;0),N(U8564),N(U8564)+1))</f>
        <v/>
      </c>
      <c r="V8565" s="19">
        <f>IF($B8565="","",TEXT($B8565,"0000"))</f>
        <v/>
      </c>
      <c r="W8565" s="19">
        <f>IF($I8565="","",IF(ISNUMBER($I8565),TEXT($I8565,"0"),$I8565))</f>
        <v/>
      </c>
    </row>
    <row r="8566">
      <c r="B8566" s="25" t="n"/>
      <c r="I8566" s="25" t="n"/>
      <c r="U8566" s="19">
        <f>IF($V8566&lt;&gt;'設定'!$C$4,N(U8565),IF(OR(NOT(COUNTIF('商品マスタ'!$B$6:$B$1005,$W8566)=0),COUNTIFS('①在庫を貼る'!$V$6:$V$10005,$V8566,'①在庫を貼る'!$W$6:$W$10005,$W8566)+COUNTIFS('月1回_1ヶ月前の在庫'!$V$6:$V$10005,$V8566,'月1回_1ヶ月前の在庫'!$W$6:$W$10005,$W8566)&gt;0),N(U8565),N(U8565)+1))</f>
        <v/>
      </c>
      <c r="V8566" s="19">
        <f>IF($B8566="","",TEXT($B8566,"0000"))</f>
        <v/>
      </c>
      <c r="W8566" s="19">
        <f>IF($I8566="","",IF(ISNUMBER($I8566),TEXT($I8566,"0"),$I8566))</f>
        <v/>
      </c>
    </row>
    <row r="8567">
      <c r="B8567" s="25" t="n"/>
      <c r="I8567" s="25" t="n"/>
      <c r="U8567" s="19">
        <f>IF($V8567&lt;&gt;'設定'!$C$4,N(U8566),IF(OR(NOT(COUNTIF('商品マスタ'!$B$6:$B$1005,$W8567)=0),COUNTIFS('①在庫を貼る'!$V$6:$V$10005,$V8567,'①在庫を貼る'!$W$6:$W$10005,$W8567)+COUNTIFS('月1回_1ヶ月前の在庫'!$V$6:$V$10005,$V8567,'月1回_1ヶ月前の在庫'!$W$6:$W$10005,$W8567)&gt;0),N(U8566),N(U8566)+1))</f>
        <v/>
      </c>
      <c r="V8567" s="19">
        <f>IF($B8567="","",TEXT($B8567,"0000"))</f>
        <v/>
      </c>
      <c r="W8567" s="19">
        <f>IF($I8567="","",IF(ISNUMBER($I8567),TEXT($I8567,"0"),$I8567))</f>
        <v/>
      </c>
    </row>
    <row r="8568">
      <c r="B8568" s="25" t="n"/>
      <c r="I8568" s="25" t="n"/>
      <c r="U8568" s="19">
        <f>IF($V8568&lt;&gt;'設定'!$C$4,N(U8567),IF(OR(NOT(COUNTIF('商品マスタ'!$B$6:$B$1005,$W8568)=0),COUNTIFS('①在庫を貼る'!$V$6:$V$10005,$V8568,'①在庫を貼る'!$W$6:$W$10005,$W8568)+COUNTIFS('月1回_1ヶ月前の在庫'!$V$6:$V$10005,$V8568,'月1回_1ヶ月前の在庫'!$W$6:$W$10005,$W8568)&gt;0),N(U8567),N(U8567)+1))</f>
        <v/>
      </c>
      <c r="V8568" s="19">
        <f>IF($B8568="","",TEXT($B8568,"0000"))</f>
        <v/>
      </c>
      <c r="W8568" s="19">
        <f>IF($I8568="","",IF(ISNUMBER($I8568),TEXT($I8568,"0"),$I8568))</f>
        <v/>
      </c>
    </row>
    <row r="8569">
      <c r="B8569" s="25" t="n"/>
      <c r="I8569" s="25" t="n"/>
      <c r="U8569" s="19">
        <f>IF($V8569&lt;&gt;'設定'!$C$4,N(U8568),IF(OR(NOT(COUNTIF('商品マスタ'!$B$6:$B$1005,$W8569)=0),COUNTIFS('①在庫を貼る'!$V$6:$V$10005,$V8569,'①在庫を貼る'!$W$6:$W$10005,$W8569)+COUNTIFS('月1回_1ヶ月前の在庫'!$V$6:$V$10005,$V8569,'月1回_1ヶ月前の在庫'!$W$6:$W$10005,$W8569)&gt;0),N(U8568),N(U8568)+1))</f>
        <v/>
      </c>
      <c r="V8569" s="19">
        <f>IF($B8569="","",TEXT($B8569,"0000"))</f>
        <v/>
      </c>
      <c r="W8569" s="19">
        <f>IF($I8569="","",IF(ISNUMBER($I8569),TEXT($I8569,"0"),$I8569))</f>
        <v/>
      </c>
    </row>
    <row r="8570">
      <c r="B8570" s="25" t="n"/>
      <c r="I8570" s="25" t="n"/>
      <c r="U8570" s="19">
        <f>IF($V8570&lt;&gt;'設定'!$C$4,N(U8569),IF(OR(NOT(COUNTIF('商品マスタ'!$B$6:$B$1005,$W8570)=0),COUNTIFS('①在庫を貼る'!$V$6:$V$10005,$V8570,'①在庫を貼る'!$W$6:$W$10005,$W8570)+COUNTIFS('月1回_1ヶ月前の在庫'!$V$6:$V$10005,$V8570,'月1回_1ヶ月前の在庫'!$W$6:$W$10005,$W8570)&gt;0),N(U8569),N(U8569)+1))</f>
        <v/>
      </c>
      <c r="V8570" s="19">
        <f>IF($B8570="","",TEXT($B8570,"0000"))</f>
        <v/>
      </c>
      <c r="W8570" s="19">
        <f>IF($I8570="","",IF(ISNUMBER($I8570),TEXT($I8570,"0"),$I8570))</f>
        <v/>
      </c>
    </row>
    <row r="8571">
      <c r="B8571" s="25" t="n"/>
      <c r="I8571" s="25" t="n"/>
      <c r="U8571" s="19">
        <f>IF($V8571&lt;&gt;'設定'!$C$4,N(U8570),IF(OR(NOT(COUNTIF('商品マスタ'!$B$6:$B$1005,$W8571)=0),COUNTIFS('①在庫を貼る'!$V$6:$V$10005,$V8571,'①在庫を貼る'!$W$6:$W$10005,$W8571)+COUNTIFS('月1回_1ヶ月前の在庫'!$V$6:$V$10005,$V8571,'月1回_1ヶ月前の在庫'!$W$6:$W$10005,$W8571)&gt;0),N(U8570),N(U8570)+1))</f>
        <v/>
      </c>
      <c r="V8571" s="19">
        <f>IF($B8571="","",TEXT($B8571,"0000"))</f>
        <v/>
      </c>
      <c r="W8571" s="19">
        <f>IF($I8571="","",IF(ISNUMBER($I8571),TEXT($I8571,"0"),$I8571))</f>
        <v/>
      </c>
    </row>
    <row r="8572">
      <c r="B8572" s="25" t="n"/>
      <c r="I8572" s="25" t="n"/>
      <c r="U8572" s="19">
        <f>IF($V8572&lt;&gt;'設定'!$C$4,N(U8571),IF(OR(NOT(COUNTIF('商品マスタ'!$B$6:$B$1005,$W8572)=0),COUNTIFS('①在庫を貼る'!$V$6:$V$10005,$V8572,'①在庫を貼る'!$W$6:$W$10005,$W8572)+COUNTIFS('月1回_1ヶ月前の在庫'!$V$6:$V$10005,$V8572,'月1回_1ヶ月前の在庫'!$W$6:$W$10005,$W8572)&gt;0),N(U8571),N(U8571)+1))</f>
        <v/>
      </c>
      <c r="V8572" s="19">
        <f>IF($B8572="","",TEXT($B8572,"0000"))</f>
        <v/>
      </c>
      <c r="W8572" s="19">
        <f>IF($I8572="","",IF(ISNUMBER($I8572),TEXT($I8572,"0"),$I8572))</f>
        <v/>
      </c>
    </row>
    <row r="8573">
      <c r="B8573" s="25" t="n"/>
      <c r="I8573" s="25" t="n"/>
      <c r="U8573" s="19">
        <f>IF($V8573&lt;&gt;'設定'!$C$4,N(U8572),IF(OR(NOT(COUNTIF('商品マスタ'!$B$6:$B$1005,$W8573)=0),COUNTIFS('①在庫を貼る'!$V$6:$V$10005,$V8573,'①在庫を貼る'!$W$6:$W$10005,$W8573)+COUNTIFS('月1回_1ヶ月前の在庫'!$V$6:$V$10005,$V8573,'月1回_1ヶ月前の在庫'!$W$6:$W$10005,$W8573)&gt;0),N(U8572),N(U8572)+1))</f>
        <v/>
      </c>
      <c r="V8573" s="19">
        <f>IF($B8573="","",TEXT($B8573,"0000"))</f>
        <v/>
      </c>
      <c r="W8573" s="19">
        <f>IF($I8573="","",IF(ISNUMBER($I8573),TEXT($I8573,"0"),$I8573))</f>
        <v/>
      </c>
    </row>
    <row r="8574">
      <c r="B8574" s="25" t="n"/>
      <c r="I8574" s="25" t="n"/>
      <c r="U8574" s="19">
        <f>IF($V8574&lt;&gt;'設定'!$C$4,N(U8573),IF(OR(NOT(COUNTIF('商品マスタ'!$B$6:$B$1005,$W8574)=0),COUNTIFS('①在庫を貼る'!$V$6:$V$10005,$V8574,'①在庫を貼る'!$W$6:$W$10005,$W8574)+COUNTIFS('月1回_1ヶ月前の在庫'!$V$6:$V$10005,$V8574,'月1回_1ヶ月前の在庫'!$W$6:$W$10005,$W8574)&gt;0),N(U8573),N(U8573)+1))</f>
        <v/>
      </c>
      <c r="V8574" s="19">
        <f>IF($B8574="","",TEXT($B8574,"0000"))</f>
        <v/>
      </c>
      <c r="W8574" s="19">
        <f>IF($I8574="","",IF(ISNUMBER($I8574),TEXT($I8574,"0"),$I8574))</f>
        <v/>
      </c>
    </row>
    <row r="8575">
      <c r="B8575" s="25" t="n"/>
      <c r="I8575" s="25" t="n"/>
      <c r="U8575" s="19">
        <f>IF($V8575&lt;&gt;'設定'!$C$4,N(U8574),IF(OR(NOT(COUNTIF('商品マスタ'!$B$6:$B$1005,$W8575)=0),COUNTIFS('①在庫を貼る'!$V$6:$V$10005,$V8575,'①在庫を貼る'!$W$6:$W$10005,$W8575)+COUNTIFS('月1回_1ヶ月前の在庫'!$V$6:$V$10005,$V8575,'月1回_1ヶ月前の在庫'!$W$6:$W$10005,$W8575)&gt;0),N(U8574),N(U8574)+1))</f>
        <v/>
      </c>
      <c r="V8575" s="19">
        <f>IF($B8575="","",TEXT($B8575,"0000"))</f>
        <v/>
      </c>
      <c r="W8575" s="19">
        <f>IF($I8575="","",IF(ISNUMBER($I8575),TEXT($I8575,"0"),$I8575))</f>
        <v/>
      </c>
    </row>
    <row r="8576">
      <c r="B8576" s="25" t="n"/>
      <c r="I8576" s="25" t="n"/>
      <c r="U8576" s="19">
        <f>IF($V8576&lt;&gt;'設定'!$C$4,N(U8575),IF(OR(NOT(COUNTIF('商品マスタ'!$B$6:$B$1005,$W8576)=0),COUNTIFS('①在庫を貼る'!$V$6:$V$10005,$V8576,'①在庫を貼る'!$W$6:$W$10005,$W8576)+COUNTIFS('月1回_1ヶ月前の在庫'!$V$6:$V$10005,$V8576,'月1回_1ヶ月前の在庫'!$W$6:$W$10005,$W8576)&gt;0),N(U8575),N(U8575)+1))</f>
        <v/>
      </c>
      <c r="V8576" s="19">
        <f>IF($B8576="","",TEXT($B8576,"0000"))</f>
        <v/>
      </c>
      <c r="W8576" s="19">
        <f>IF($I8576="","",IF(ISNUMBER($I8576),TEXT($I8576,"0"),$I8576))</f>
        <v/>
      </c>
    </row>
    <row r="8577">
      <c r="B8577" s="25" t="n"/>
      <c r="I8577" s="25" t="n"/>
      <c r="U8577" s="19">
        <f>IF($V8577&lt;&gt;'設定'!$C$4,N(U8576),IF(OR(NOT(COUNTIF('商品マスタ'!$B$6:$B$1005,$W8577)=0),COUNTIFS('①在庫を貼る'!$V$6:$V$10005,$V8577,'①在庫を貼る'!$W$6:$W$10005,$W8577)+COUNTIFS('月1回_1ヶ月前の在庫'!$V$6:$V$10005,$V8577,'月1回_1ヶ月前の在庫'!$W$6:$W$10005,$W8577)&gt;0),N(U8576),N(U8576)+1))</f>
        <v/>
      </c>
      <c r="V8577" s="19">
        <f>IF($B8577="","",TEXT($B8577,"0000"))</f>
        <v/>
      </c>
      <c r="W8577" s="19">
        <f>IF($I8577="","",IF(ISNUMBER($I8577),TEXT($I8577,"0"),$I8577))</f>
        <v/>
      </c>
    </row>
    <row r="8578">
      <c r="B8578" s="25" t="n"/>
      <c r="I8578" s="25" t="n"/>
      <c r="U8578" s="19">
        <f>IF($V8578&lt;&gt;'設定'!$C$4,N(U8577),IF(OR(NOT(COUNTIF('商品マスタ'!$B$6:$B$1005,$W8578)=0),COUNTIFS('①在庫を貼る'!$V$6:$V$10005,$V8578,'①在庫を貼る'!$W$6:$W$10005,$W8578)+COUNTIFS('月1回_1ヶ月前の在庫'!$V$6:$V$10005,$V8578,'月1回_1ヶ月前の在庫'!$W$6:$W$10005,$W8578)&gt;0),N(U8577),N(U8577)+1))</f>
        <v/>
      </c>
      <c r="V8578" s="19">
        <f>IF($B8578="","",TEXT($B8578,"0000"))</f>
        <v/>
      </c>
      <c r="W8578" s="19">
        <f>IF($I8578="","",IF(ISNUMBER($I8578),TEXT($I8578,"0"),$I8578))</f>
        <v/>
      </c>
    </row>
    <row r="8579">
      <c r="B8579" s="25" t="n"/>
      <c r="I8579" s="25" t="n"/>
      <c r="U8579" s="19">
        <f>IF($V8579&lt;&gt;'設定'!$C$4,N(U8578),IF(OR(NOT(COUNTIF('商品マスタ'!$B$6:$B$1005,$W8579)=0),COUNTIFS('①在庫を貼る'!$V$6:$V$10005,$V8579,'①在庫を貼る'!$W$6:$W$10005,$W8579)+COUNTIFS('月1回_1ヶ月前の在庫'!$V$6:$V$10005,$V8579,'月1回_1ヶ月前の在庫'!$W$6:$W$10005,$W8579)&gt;0),N(U8578),N(U8578)+1))</f>
        <v/>
      </c>
      <c r="V8579" s="19">
        <f>IF($B8579="","",TEXT($B8579,"0000"))</f>
        <v/>
      </c>
      <c r="W8579" s="19">
        <f>IF($I8579="","",IF(ISNUMBER($I8579),TEXT($I8579,"0"),$I8579))</f>
        <v/>
      </c>
    </row>
    <row r="8580">
      <c r="B8580" s="25" t="n"/>
      <c r="I8580" s="25" t="n"/>
      <c r="U8580" s="19">
        <f>IF($V8580&lt;&gt;'設定'!$C$4,N(U8579),IF(OR(NOT(COUNTIF('商品マスタ'!$B$6:$B$1005,$W8580)=0),COUNTIFS('①在庫を貼る'!$V$6:$V$10005,$V8580,'①在庫を貼る'!$W$6:$W$10005,$W8580)+COUNTIFS('月1回_1ヶ月前の在庫'!$V$6:$V$10005,$V8580,'月1回_1ヶ月前の在庫'!$W$6:$W$10005,$W8580)&gt;0),N(U8579),N(U8579)+1))</f>
        <v/>
      </c>
      <c r="V8580" s="19">
        <f>IF($B8580="","",TEXT($B8580,"0000"))</f>
        <v/>
      </c>
      <c r="W8580" s="19">
        <f>IF($I8580="","",IF(ISNUMBER($I8580),TEXT($I8580,"0"),$I8580))</f>
        <v/>
      </c>
    </row>
    <row r="8581">
      <c r="B8581" s="25" t="n"/>
      <c r="I8581" s="25" t="n"/>
      <c r="U8581" s="19">
        <f>IF($V8581&lt;&gt;'設定'!$C$4,N(U8580),IF(OR(NOT(COUNTIF('商品マスタ'!$B$6:$B$1005,$W8581)=0),COUNTIFS('①在庫を貼る'!$V$6:$V$10005,$V8581,'①在庫を貼る'!$W$6:$W$10005,$W8581)+COUNTIFS('月1回_1ヶ月前の在庫'!$V$6:$V$10005,$V8581,'月1回_1ヶ月前の在庫'!$W$6:$W$10005,$W8581)&gt;0),N(U8580),N(U8580)+1))</f>
        <v/>
      </c>
      <c r="V8581" s="19">
        <f>IF($B8581="","",TEXT($B8581,"0000"))</f>
        <v/>
      </c>
      <c r="W8581" s="19">
        <f>IF($I8581="","",IF(ISNUMBER($I8581),TEXT($I8581,"0"),$I8581))</f>
        <v/>
      </c>
    </row>
    <row r="8582">
      <c r="B8582" s="25" t="n"/>
      <c r="I8582" s="25" t="n"/>
      <c r="U8582" s="19">
        <f>IF($V8582&lt;&gt;'設定'!$C$4,N(U8581),IF(OR(NOT(COUNTIF('商品マスタ'!$B$6:$B$1005,$W8582)=0),COUNTIFS('①在庫を貼る'!$V$6:$V$10005,$V8582,'①在庫を貼る'!$W$6:$W$10005,$W8582)+COUNTIFS('月1回_1ヶ月前の在庫'!$V$6:$V$10005,$V8582,'月1回_1ヶ月前の在庫'!$W$6:$W$10005,$W8582)&gt;0),N(U8581),N(U8581)+1))</f>
        <v/>
      </c>
      <c r="V8582" s="19">
        <f>IF($B8582="","",TEXT($B8582,"0000"))</f>
        <v/>
      </c>
      <c r="W8582" s="19">
        <f>IF($I8582="","",IF(ISNUMBER($I8582),TEXT($I8582,"0"),$I8582))</f>
        <v/>
      </c>
    </row>
    <row r="8583">
      <c r="B8583" s="25" t="n"/>
      <c r="I8583" s="25" t="n"/>
      <c r="U8583" s="19">
        <f>IF($V8583&lt;&gt;'設定'!$C$4,N(U8582),IF(OR(NOT(COUNTIF('商品マスタ'!$B$6:$B$1005,$W8583)=0),COUNTIFS('①在庫を貼る'!$V$6:$V$10005,$V8583,'①在庫を貼る'!$W$6:$W$10005,$W8583)+COUNTIFS('月1回_1ヶ月前の在庫'!$V$6:$V$10005,$V8583,'月1回_1ヶ月前の在庫'!$W$6:$W$10005,$W8583)&gt;0),N(U8582),N(U8582)+1))</f>
        <v/>
      </c>
      <c r="V8583" s="19">
        <f>IF($B8583="","",TEXT($B8583,"0000"))</f>
        <v/>
      </c>
      <c r="W8583" s="19">
        <f>IF($I8583="","",IF(ISNUMBER($I8583),TEXT($I8583,"0"),$I8583))</f>
        <v/>
      </c>
    </row>
    <row r="8584">
      <c r="B8584" s="25" t="n"/>
      <c r="I8584" s="25" t="n"/>
      <c r="U8584" s="19">
        <f>IF($V8584&lt;&gt;'設定'!$C$4,N(U8583),IF(OR(NOT(COUNTIF('商品マスタ'!$B$6:$B$1005,$W8584)=0),COUNTIFS('①在庫を貼る'!$V$6:$V$10005,$V8584,'①在庫を貼る'!$W$6:$W$10005,$W8584)+COUNTIFS('月1回_1ヶ月前の在庫'!$V$6:$V$10005,$V8584,'月1回_1ヶ月前の在庫'!$W$6:$W$10005,$W8584)&gt;0),N(U8583),N(U8583)+1))</f>
        <v/>
      </c>
      <c r="V8584" s="19">
        <f>IF($B8584="","",TEXT($B8584,"0000"))</f>
        <v/>
      </c>
      <c r="W8584" s="19">
        <f>IF($I8584="","",IF(ISNUMBER($I8584),TEXT($I8584,"0"),$I8584))</f>
        <v/>
      </c>
    </row>
    <row r="8585">
      <c r="B8585" s="25" t="n"/>
      <c r="I8585" s="25" t="n"/>
      <c r="U8585" s="19">
        <f>IF($V8585&lt;&gt;'設定'!$C$4,N(U8584),IF(OR(NOT(COUNTIF('商品マスタ'!$B$6:$B$1005,$W8585)=0),COUNTIFS('①在庫を貼る'!$V$6:$V$10005,$V8585,'①在庫を貼る'!$W$6:$W$10005,$W8585)+COUNTIFS('月1回_1ヶ月前の在庫'!$V$6:$V$10005,$V8585,'月1回_1ヶ月前の在庫'!$W$6:$W$10005,$W8585)&gt;0),N(U8584),N(U8584)+1))</f>
        <v/>
      </c>
      <c r="V8585" s="19">
        <f>IF($B8585="","",TEXT($B8585,"0000"))</f>
        <v/>
      </c>
      <c r="W8585" s="19">
        <f>IF($I8585="","",IF(ISNUMBER($I8585),TEXT($I8585,"0"),$I8585))</f>
        <v/>
      </c>
    </row>
    <row r="8586">
      <c r="B8586" s="25" t="n"/>
      <c r="I8586" s="25" t="n"/>
      <c r="U8586" s="19">
        <f>IF($V8586&lt;&gt;'設定'!$C$4,N(U8585),IF(OR(NOT(COUNTIF('商品マスタ'!$B$6:$B$1005,$W8586)=0),COUNTIFS('①在庫を貼る'!$V$6:$V$10005,$V8586,'①在庫を貼る'!$W$6:$W$10005,$W8586)+COUNTIFS('月1回_1ヶ月前の在庫'!$V$6:$V$10005,$V8586,'月1回_1ヶ月前の在庫'!$W$6:$W$10005,$W8586)&gt;0),N(U8585),N(U8585)+1))</f>
        <v/>
      </c>
      <c r="V8586" s="19">
        <f>IF($B8586="","",TEXT($B8586,"0000"))</f>
        <v/>
      </c>
      <c r="W8586" s="19">
        <f>IF($I8586="","",IF(ISNUMBER($I8586),TEXT($I8586,"0"),$I8586))</f>
        <v/>
      </c>
    </row>
    <row r="8587">
      <c r="B8587" s="25" t="n"/>
      <c r="I8587" s="25" t="n"/>
      <c r="U8587" s="19">
        <f>IF($V8587&lt;&gt;'設定'!$C$4,N(U8586),IF(OR(NOT(COUNTIF('商品マスタ'!$B$6:$B$1005,$W8587)=0),COUNTIFS('①在庫を貼る'!$V$6:$V$10005,$V8587,'①在庫を貼る'!$W$6:$W$10005,$W8587)+COUNTIFS('月1回_1ヶ月前の在庫'!$V$6:$V$10005,$V8587,'月1回_1ヶ月前の在庫'!$W$6:$W$10005,$W8587)&gt;0),N(U8586),N(U8586)+1))</f>
        <v/>
      </c>
      <c r="V8587" s="19">
        <f>IF($B8587="","",TEXT($B8587,"0000"))</f>
        <v/>
      </c>
      <c r="W8587" s="19">
        <f>IF($I8587="","",IF(ISNUMBER($I8587),TEXT($I8587,"0"),$I8587))</f>
        <v/>
      </c>
    </row>
    <row r="8588">
      <c r="B8588" s="25" t="n"/>
      <c r="I8588" s="25" t="n"/>
      <c r="U8588" s="19">
        <f>IF($V8588&lt;&gt;'設定'!$C$4,N(U8587),IF(OR(NOT(COUNTIF('商品マスタ'!$B$6:$B$1005,$W8588)=0),COUNTIFS('①在庫を貼る'!$V$6:$V$10005,$V8588,'①在庫を貼る'!$W$6:$W$10005,$W8588)+COUNTIFS('月1回_1ヶ月前の在庫'!$V$6:$V$10005,$V8588,'月1回_1ヶ月前の在庫'!$W$6:$W$10005,$W8588)&gt;0),N(U8587),N(U8587)+1))</f>
        <v/>
      </c>
      <c r="V8588" s="19">
        <f>IF($B8588="","",TEXT($B8588,"0000"))</f>
        <v/>
      </c>
      <c r="W8588" s="19">
        <f>IF($I8588="","",IF(ISNUMBER($I8588),TEXT($I8588,"0"),$I8588))</f>
        <v/>
      </c>
    </row>
    <row r="8589">
      <c r="B8589" s="25" t="n"/>
      <c r="I8589" s="25" t="n"/>
      <c r="U8589" s="19">
        <f>IF($V8589&lt;&gt;'設定'!$C$4,N(U8588),IF(OR(NOT(COUNTIF('商品マスタ'!$B$6:$B$1005,$W8589)=0),COUNTIFS('①在庫を貼る'!$V$6:$V$10005,$V8589,'①在庫を貼る'!$W$6:$W$10005,$W8589)+COUNTIFS('月1回_1ヶ月前の在庫'!$V$6:$V$10005,$V8589,'月1回_1ヶ月前の在庫'!$W$6:$W$10005,$W8589)&gt;0),N(U8588),N(U8588)+1))</f>
        <v/>
      </c>
      <c r="V8589" s="19">
        <f>IF($B8589="","",TEXT($B8589,"0000"))</f>
        <v/>
      </c>
      <c r="W8589" s="19">
        <f>IF($I8589="","",IF(ISNUMBER($I8589),TEXT($I8589,"0"),$I8589))</f>
        <v/>
      </c>
    </row>
    <row r="8590">
      <c r="B8590" s="25" t="n"/>
      <c r="I8590" s="25" t="n"/>
      <c r="U8590" s="19">
        <f>IF($V8590&lt;&gt;'設定'!$C$4,N(U8589),IF(OR(NOT(COUNTIF('商品マスタ'!$B$6:$B$1005,$W8590)=0),COUNTIFS('①在庫を貼る'!$V$6:$V$10005,$V8590,'①在庫を貼る'!$W$6:$W$10005,$W8590)+COUNTIFS('月1回_1ヶ月前の在庫'!$V$6:$V$10005,$V8590,'月1回_1ヶ月前の在庫'!$W$6:$W$10005,$W8590)&gt;0),N(U8589),N(U8589)+1))</f>
        <v/>
      </c>
      <c r="V8590" s="19">
        <f>IF($B8590="","",TEXT($B8590,"0000"))</f>
        <v/>
      </c>
      <c r="W8590" s="19">
        <f>IF($I8590="","",IF(ISNUMBER($I8590),TEXT($I8590,"0"),$I8590))</f>
        <v/>
      </c>
    </row>
    <row r="8591">
      <c r="B8591" s="25" t="n"/>
      <c r="I8591" s="25" t="n"/>
      <c r="U8591" s="19">
        <f>IF($V8591&lt;&gt;'設定'!$C$4,N(U8590),IF(OR(NOT(COUNTIF('商品マスタ'!$B$6:$B$1005,$W8591)=0),COUNTIFS('①在庫を貼る'!$V$6:$V$10005,$V8591,'①在庫を貼る'!$W$6:$W$10005,$W8591)+COUNTIFS('月1回_1ヶ月前の在庫'!$V$6:$V$10005,$V8591,'月1回_1ヶ月前の在庫'!$W$6:$W$10005,$W8591)&gt;0),N(U8590),N(U8590)+1))</f>
        <v/>
      </c>
      <c r="V8591" s="19">
        <f>IF($B8591="","",TEXT($B8591,"0000"))</f>
        <v/>
      </c>
      <c r="W8591" s="19">
        <f>IF($I8591="","",IF(ISNUMBER($I8591),TEXT($I8591,"0"),$I8591))</f>
        <v/>
      </c>
    </row>
    <row r="8592">
      <c r="B8592" s="25" t="n"/>
      <c r="I8592" s="25" t="n"/>
      <c r="U8592" s="19">
        <f>IF($V8592&lt;&gt;'設定'!$C$4,N(U8591),IF(OR(NOT(COUNTIF('商品マスタ'!$B$6:$B$1005,$W8592)=0),COUNTIFS('①在庫を貼る'!$V$6:$V$10005,$V8592,'①在庫を貼る'!$W$6:$W$10005,$W8592)+COUNTIFS('月1回_1ヶ月前の在庫'!$V$6:$V$10005,$V8592,'月1回_1ヶ月前の在庫'!$W$6:$W$10005,$W8592)&gt;0),N(U8591),N(U8591)+1))</f>
        <v/>
      </c>
      <c r="V8592" s="19">
        <f>IF($B8592="","",TEXT($B8592,"0000"))</f>
        <v/>
      </c>
      <c r="W8592" s="19">
        <f>IF($I8592="","",IF(ISNUMBER($I8592),TEXT($I8592,"0"),$I8592))</f>
        <v/>
      </c>
    </row>
    <row r="8593">
      <c r="B8593" s="25" t="n"/>
      <c r="I8593" s="25" t="n"/>
      <c r="U8593" s="19">
        <f>IF($V8593&lt;&gt;'設定'!$C$4,N(U8592),IF(OR(NOT(COUNTIF('商品マスタ'!$B$6:$B$1005,$W8593)=0),COUNTIFS('①在庫を貼る'!$V$6:$V$10005,$V8593,'①在庫を貼る'!$W$6:$W$10005,$W8593)+COUNTIFS('月1回_1ヶ月前の在庫'!$V$6:$V$10005,$V8593,'月1回_1ヶ月前の在庫'!$W$6:$W$10005,$W8593)&gt;0),N(U8592),N(U8592)+1))</f>
        <v/>
      </c>
      <c r="V8593" s="19">
        <f>IF($B8593="","",TEXT($B8593,"0000"))</f>
        <v/>
      </c>
      <c r="W8593" s="19">
        <f>IF($I8593="","",IF(ISNUMBER($I8593),TEXT($I8593,"0"),$I8593))</f>
        <v/>
      </c>
    </row>
    <row r="8594">
      <c r="B8594" s="25" t="n"/>
      <c r="I8594" s="25" t="n"/>
      <c r="U8594" s="19">
        <f>IF($V8594&lt;&gt;'設定'!$C$4,N(U8593),IF(OR(NOT(COUNTIF('商品マスタ'!$B$6:$B$1005,$W8594)=0),COUNTIFS('①在庫を貼る'!$V$6:$V$10005,$V8594,'①在庫を貼る'!$W$6:$W$10005,$W8594)+COUNTIFS('月1回_1ヶ月前の在庫'!$V$6:$V$10005,$V8594,'月1回_1ヶ月前の在庫'!$W$6:$W$10005,$W8594)&gt;0),N(U8593),N(U8593)+1))</f>
        <v/>
      </c>
      <c r="V8594" s="19">
        <f>IF($B8594="","",TEXT($B8594,"0000"))</f>
        <v/>
      </c>
      <c r="W8594" s="19">
        <f>IF($I8594="","",IF(ISNUMBER($I8594),TEXT($I8594,"0"),$I8594))</f>
        <v/>
      </c>
    </row>
    <row r="8595">
      <c r="B8595" s="25" t="n"/>
      <c r="I8595" s="25" t="n"/>
      <c r="U8595" s="19">
        <f>IF($V8595&lt;&gt;'設定'!$C$4,N(U8594),IF(OR(NOT(COUNTIF('商品マスタ'!$B$6:$B$1005,$W8595)=0),COUNTIFS('①在庫を貼る'!$V$6:$V$10005,$V8595,'①在庫を貼る'!$W$6:$W$10005,$W8595)+COUNTIFS('月1回_1ヶ月前の在庫'!$V$6:$V$10005,$V8595,'月1回_1ヶ月前の在庫'!$W$6:$W$10005,$W8595)&gt;0),N(U8594),N(U8594)+1))</f>
        <v/>
      </c>
      <c r="V8595" s="19">
        <f>IF($B8595="","",TEXT($B8595,"0000"))</f>
        <v/>
      </c>
      <c r="W8595" s="19">
        <f>IF($I8595="","",IF(ISNUMBER($I8595),TEXT($I8595,"0"),$I8595))</f>
        <v/>
      </c>
    </row>
    <row r="8596">
      <c r="B8596" s="25" t="n"/>
      <c r="I8596" s="25" t="n"/>
      <c r="U8596" s="19">
        <f>IF($V8596&lt;&gt;'設定'!$C$4,N(U8595),IF(OR(NOT(COUNTIF('商品マスタ'!$B$6:$B$1005,$W8596)=0),COUNTIFS('①在庫を貼る'!$V$6:$V$10005,$V8596,'①在庫を貼る'!$W$6:$W$10005,$W8596)+COUNTIFS('月1回_1ヶ月前の在庫'!$V$6:$V$10005,$V8596,'月1回_1ヶ月前の在庫'!$W$6:$W$10005,$W8596)&gt;0),N(U8595),N(U8595)+1))</f>
        <v/>
      </c>
      <c r="V8596" s="19">
        <f>IF($B8596="","",TEXT($B8596,"0000"))</f>
        <v/>
      </c>
      <c r="W8596" s="19">
        <f>IF($I8596="","",IF(ISNUMBER($I8596),TEXT($I8596,"0"),$I8596))</f>
        <v/>
      </c>
    </row>
    <row r="8597">
      <c r="B8597" s="25" t="n"/>
      <c r="I8597" s="25" t="n"/>
      <c r="U8597" s="19">
        <f>IF($V8597&lt;&gt;'設定'!$C$4,N(U8596),IF(OR(NOT(COUNTIF('商品マスタ'!$B$6:$B$1005,$W8597)=0),COUNTIFS('①在庫を貼る'!$V$6:$V$10005,$V8597,'①在庫を貼る'!$W$6:$W$10005,$W8597)+COUNTIFS('月1回_1ヶ月前の在庫'!$V$6:$V$10005,$V8597,'月1回_1ヶ月前の在庫'!$W$6:$W$10005,$W8597)&gt;0),N(U8596),N(U8596)+1))</f>
        <v/>
      </c>
      <c r="V8597" s="19">
        <f>IF($B8597="","",TEXT($B8597,"0000"))</f>
        <v/>
      </c>
      <c r="W8597" s="19">
        <f>IF($I8597="","",IF(ISNUMBER($I8597),TEXT($I8597,"0"),$I8597))</f>
        <v/>
      </c>
    </row>
    <row r="8598">
      <c r="B8598" s="25" t="n"/>
      <c r="I8598" s="25" t="n"/>
      <c r="U8598" s="19">
        <f>IF($V8598&lt;&gt;'設定'!$C$4,N(U8597),IF(OR(NOT(COUNTIF('商品マスタ'!$B$6:$B$1005,$W8598)=0),COUNTIFS('①在庫を貼る'!$V$6:$V$10005,$V8598,'①在庫を貼る'!$W$6:$W$10005,$W8598)+COUNTIFS('月1回_1ヶ月前の在庫'!$V$6:$V$10005,$V8598,'月1回_1ヶ月前の在庫'!$W$6:$W$10005,$W8598)&gt;0),N(U8597),N(U8597)+1))</f>
        <v/>
      </c>
      <c r="V8598" s="19">
        <f>IF($B8598="","",TEXT($B8598,"0000"))</f>
        <v/>
      </c>
      <c r="W8598" s="19">
        <f>IF($I8598="","",IF(ISNUMBER($I8598),TEXT($I8598,"0"),$I8598))</f>
        <v/>
      </c>
    </row>
    <row r="8599">
      <c r="B8599" s="25" t="n"/>
      <c r="I8599" s="25" t="n"/>
      <c r="U8599" s="19">
        <f>IF($V8599&lt;&gt;'設定'!$C$4,N(U8598),IF(OR(NOT(COUNTIF('商品マスタ'!$B$6:$B$1005,$W8599)=0),COUNTIFS('①在庫を貼る'!$V$6:$V$10005,$V8599,'①在庫を貼る'!$W$6:$W$10005,$W8599)+COUNTIFS('月1回_1ヶ月前の在庫'!$V$6:$V$10005,$V8599,'月1回_1ヶ月前の在庫'!$W$6:$W$10005,$W8599)&gt;0),N(U8598),N(U8598)+1))</f>
        <v/>
      </c>
      <c r="V8599" s="19">
        <f>IF($B8599="","",TEXT($B8599,"0000"))</f>
        <v/>
      </c>
      <c r="W8599" s="19">
        <f>IF($I8599="","",IF(ISNUMBER($I8599),TEXT($I8599,"0"),$I8599))</f>
        <v/>
      </c>
    </row>
    <row r="8600">
      <c r="B8600" s="25" t="n"/>
      <c r="I8600" s="25" t="n"/>
      <c r="U8600" s="19">
        <f>IF($V8600&lt;&gt;'設定'!$C$4,N(U8599),IF(OR(NOT(COUNTIF('商品マスタ'!$B$6:$B$1005,$W8600)=0),COUNTIFS('①在庫を貼る'!$V$6:$V$10005,$V8600,'①在庫を貼る'!$W$6:$W$10005,$W8600)+COUNTIFS('月1回_1ヶ月前の在庫'!$V$6:$V$10005,$V8600,'月1回_1ヶ月前の在庫'!$W$6:$W$10005,$W8600)&gt;0),N(U8599),N(U8599)+1))</f>
        <v/>
      </c>
      <c r="V8600" s="19">
        <f>IF($B8600="","",TEXT($B8600,"0000"))</f>
        <v/>
      </c>
      <c r="W8600" s="19">
        <f>IF($I8600="","",IF(ISNUMBER($I8600),TEXT($I8600,"0"),$I8600))</f>
        <v/>
      </c>
    </row>
    <row r="8601">
      <c r="B8601" s="25" t="n"/>
      <c r="I8601" s="25" t="n"/>
      <c r="U8601" s="19">
        <f>IF($V8601&lt;&gt;'設定'!$C$4,N(U8600),IF(OR(NOT(COUNTIF('商品マスタ'!$B$6:$B$1005,$W8601)=0),COUNTIFS('①在庫を貼る'!$V$6:$V$10005,$V8601,'①在庫を貼る'!$W$6:$W$10005,$W8601)+COUNTIFS('月1回_1ヶ月前の在庫'!$V$6:$V$10005,$V8601,'月1回_1ヶ月前の在庫'!$W$6:$W$10005,$W8601)&gt;0),N(U8600),N(U8600)+1))</f>
        <v/>
      </c>
      <c r="V8601" s="19">
        <f>IF($B8601="","",TEXT($B8601,"0000"))</f>
        <v/>
      </c>
      <c r="W8601" s="19">
        <f>IF($I8601="","",IF(ISNUMBER($I8601),TEXT($I8601,"0"),$I8601))</f>
        <v/>
      </c>
    </row>
    <row r="8602">
      <c r="B8602" s="25" t="n"/>
      <c r="I8602" s="25" t="n"/>
      <c r="U8602" s="19">
        <f>IF($V8602&lt;&gt;'設定'!$C$4,N(U8601),IF(OR(NOT(COUNTIF('商品マスタ'!$B$6:$B$1005,$W8602)=0),COUNTIFS('①在庫を貼る'!$V$6:$V$10005,$V8602,'①在庫を貼る'!$W$6:$W$10005,$W8602)+COUNTIFS('月1回_1ヶ月前の在庫'!$V$6:$V$10005,$V8602,'月1回_1ヶ月前の在庫'!$W$6:$W$10005,$W8602)&gt;0),N(U8601),N(U8601)+1))</f>
        <v/>
      </c>
      <c r="V8602" s="19">
        <f>IF($B8602="","",TEXT($B8602,"0000"))</f>
        <v/>
      </c>
      <c r="W8602" s="19">
        <f>IF($I8602="","",IF(ISNUMBER($I8602),TEXT($I8602,"0"),$I8602))</f>
        <v/>
      </c>
    </row>
    <row r="8603">
      <c r="B8603" s="25" t="n"/>
      <c r="I8603" s="25" t="n"/>
      <c r="U8603" s="19">
        <f>IF($V8603&lt;&gt;'設定'!$C$4,N(U8602),IF(OR(NOT(COUNTIF('商品マスタ'!$B$6:$B$1005,$W8603)=0),COUNTIFS('①在庫を貼る'!$V$6:$V$10005,$V8603,'①在庫を貼る'!$W$6:$W$10005,$W8603)+COUNTIFS('月1回_1ヶ月前の在庫'!$V$6:$V$10005,$V8603,'月1回_1ヶ月前の在庫'!$W$6:$W$10005,$W8603)&gt;0),N(U8602),N(U8602)+1))</f>
        <v/>
      </c>
      <c r="V8603" s="19">
        <f>IF($B8603="","",TEXT($B8603,"0000"))</f>
        <v/>
      </c>
      <c r="W8603" s="19">
        <f>IF($I8603="","",IF(ISNUMBER($I8603),TEXT($I8603,"0"),$I8603))</f>
        <v/>
      </c>
    </row>
    <row r="8604">
      <c r="B8604" s="25" t="n"/>
      <c r="I8604" s="25" t="n"/>
      <c r="U8604" s="19">
        <f>IF($V8604&lt;&gt;'設定'!$C$4,N(U8603),IF(OR(NOT(COUNTIF('商品マスタ'!$B$6:$B$1005,$W8604)=0),COUNTIFS('①在庫を貼る'!$V$6:$V$10005,$V8604,'①在庫を貼る'!$W$6:$W$10005,$W8604)+COUNTIFS('月1回_1ヶ月前の在庫'!$V$6:$V$10005,$V8604,'月1回_1ヶ月前の在庫'!$W$6:$W$10005,$W8604)&gt;0),N(U8603),N(U8603)+1))</f>
        <v/>
      </c>
      <c r="V8604" s="19">
        <f>IF($B8604="","",TEXT($B8604,"0000"))</f>
        <v/>
      </c>
      <c r="W8604" s="19">
        <f>IF($I8604="","",IF(ISNUMBER($I8604),TEXT($I8604,"0"),$I8604))</f>
        <v/>
      </c>
    </row>
    <row r="8605">
      <c r="B8605" s="25" t="n"/>
      <c r="I8605" s="25" t="n"/>
      <c r="U8605" s="19">
        <f>IF($V8605&lt;&gt;'設定'!$C$4,N(U8604),IF(OR(NOT(COUNTIF('商品マスタ'!$B$6:$B$1005,$W8605)=0),COUNTIFS('①在庫を貼る'!$V$6:$V$10005,$V8605,'①在庫を貼る'!$W$6:$W$10005,$W8605)+COUNTIFS('月1回_1ヶ月前の在庫'!$V$6:$V$10005,$V8605,'月1回_1ヶ月前の在庫'!$W$6:$W$10005,$W8605)&gt;0),N(U8604),N(U8604)+1))</f>
        <v/>
      </c>
      <c r="V8605" s="19">
        <f>IF($B8605="","",TEXT($B8605,"0000"))</f>
        <v/>
      </c>
      <c r="W8605" s="19">
        <f>IF($I8605="","",IF(ISNUMBER($I8605),TEXT($I8605,"0"),$I8605))</f>
        <v/>
      </c>
    </row>
    <row r="8606">
      <c r="B8606" s="25" t="n"/>
      <c r="I8606" s="25" t="n"/>
      <c r="U8606" s="19">
        <f>IF($V8606&lt;&gt;'設定'!$C$4,N(U8605),IF(OR(NOT(COUNTIF('商品マスタ'!$B$6:$B$1005,$W8606)=0),COUNTIFS('①在庫を貼る'!$V$6:$V$10005,$V8606,'①在庫を貼る'!$W$6:$W$10005,$W8606)+COUNTIFS('月1回_1ヶ月前の在庫'!$V$6:$V$10005,$V8606,'月1回_1ヶ月前の在庫'!$W$6:$W$10005,$W8606)&gt;0),N(U8605),N(U8605)+1))</f>
        <v/>
      </c>
      <c r="V8606" s="19">
        <f>IF($B8606="","",TEXT($B8606,"0000"))</f>
        <v/>
      </c>
      <c r="W8606" s="19">
        <f>IF($I8606="","",IF(ISNUMBER($I8606),TEXT($I8606,"0"),$I8606))</f>
        <v/>
      </c>
    </row>
    <row r="8607">
      <c r="B8607" s="25" t="n"/>
      <c r="I8607" s="25" t="n"/>
      <c r="U8607" s="19">
        <f>IF($V8607&lt;&gt;'設定'!$C$4,N(U8606),IF(OR(NOT(COUNTIF('商品マスタ'!$B$6:$B$1005,$W8607)=0),COUNTIFS('①在庫を貼る'!$V$6:$V$10005,$V8607,'①在庫を貼る'!$W$6:$W$10005,$W8607)+COUNTIFS('月1回_1ヶ月前の在庫'!$V$6:$V$10005,$V8607,'月1回_1ヶ月前の在庫'!$W$6:$W$10005,$W8607)&gt;0),N(U8606),N(U8606)+1))</f>
        <v/>
      </c>
      <c r="V8607" s="19">
        <f>IF($B8607="","",TEXT($B8607,"0000"))</f>
        <v/>
      </c>
      <c r="W8607" s="19">
        <f>IF($I8607="","",IF(ISNUMBER($I8607),TEXT($I8607,"0"),$I8607))</f>
        <v/>
      </c>
    </row>
    <row r="8608">
      <c r="B8608" s="25" t="n"/>
      <c r="I8608" s="25" t="n"/>
      <c r="U8608" s="19">
        <f>IF($V8608&lt;&gt;'設定'!$C$4,N(U8607),IF(OR(NOT(COUNTIF('商品マスタ'!$B$6:$B$1005,$W8608)=0),COUNTIFS('①在庫を貼る'!$V$6:$V$10005,$V8608,'①在庫を貼る'!$W$6:$W$10005,$W8608)+COUNTIFS('月1回_1ヶ月前の在庫'!$V$6:$V$10005,$V8608,'月1回_1ヶ月前の在庫'!$W$6:$W$10005,$W8608)&gt;0),N(U8607),N(U8607)+1))</f>
        <v/>
      </c>
      <c r="V8608" s="19">
        <f>IF($B8608="","",TEXT($B8608,"0000"))</f>
        <v/>
      </c>
      <c r="W8608" s="19">
        <f>IF($I8608="","",IF(ISNUMBER($I8608),TEXT($I8608,"0"),$I8608))</f>
        <v/>
      </c>
    </row>
    <row r="8609">
      <c r="B8609" s="25" t="n"/>
      <c r="I8609" s="25" t="n"/>
      <c r="U8609" s="19">
        <f>IF($V8609&lt;&gt;'設定'!$C$4,N(U8608),IF(OR(NOT(COUNTIF('商品マスタ'!$B$6:$B$1005,$W8609)=0),COUNTIFS('①在庫を貼る'!$V$6:$V$10005,$V8609,'①在庫を貼る'!$W$6:$W$10005,$W8609)+COUNTIFS('月1回_1ヶ月前の在庫'!$V$6:$V$10005,$V8609,'月1回_1ヶ月前の在庫'!$W$6:$W$10005,$W8609)&gt;0),N(U8608),N(U8608)+1))</f>
        <v/>
      </c>
      <c r="V8609" s="19">
        <f>IF($B8609="","",TEXT($B8609,"0000"))</f>
        <v/>
      </c>
      <c r="W8609" s="19">
        <f>IF($I8609="","",IF(ISNUMBER($I8609),TEXT($I8609,"0"),$I8609))</f>
        <v/>
      </c>
    </row>
    <row r="8610">
      <c r="B8610" s="25" t="n"/>
      <c r="I8610" s="25" t="n"/>
      <c r="U8610" s="19">
        <f>IF($V8610&lt;&gt;'設定'!$C$4,N(U8609),IF(OR(NOT(COUNTIF('商品マスタ'!$B$6:$B$1005,$W8610)=0),COUNTIFS('①在庫を貼る'!$V$6:$V$10005,$V8610,'①在庫を貼る'!$W$6:$W$10005,$W8610)+COUNTIFS('月1回_1ヶ月前の在庫'!$V$6:$V$10005,$V8610,'月1回_1ヶ月前の在庫'!$W$6:$W$10005,$W8610)&gt;0),N(U8609),N(U8609)+1))</f>
        <v/>
      </c>
      <c r="V8610" s="19">
        <f>IF($B8610="","",TEXT($B8610,"0000"))</f>
        <v/>
      </c>
      <c r="W8610" s="19">
        <f>IF($I8610="","",IF(ISNUMBER($I8610),TEXT($I8610,"0"),$I8610))</f>
        <v/>
      </c>
    </row>
    <row r="8611">
      <c r="B8611" s="25" t="n"/>
      <c r="I8611" s="25" t="n"/>
      <c r="U8611" s="19">
        <f>IF($V8611&lt;&gt;'設定'!$C$4,N(U8610),IF(OR(NOT(COUNTIF('商品マスタ'!$B$6:$B$1005,$W8611)=0),COUNTIFS('①在庫を貼る'!$V$6:$V$10005,$V8611,'①在庫を貼る'!$W$6:$W$10005,$W8611)+COUNTIFS('月1回_1ヶ月前の在庫'!$V$6:$V$10005,$V8611,'月1回_1ヶ月前の在庫'!$W$6:$W$10005,$W8611)&gt;0),N(U8610),N(U8610)+1))</f>
        <v/>
      </c>
      <c r="V8611" s="19">
        <f>IF($B8611="","",TEXT($B8611,"0000"))</f>
        <v/>
      </c>
      <c r="W8611" s="19">
        <f>IF($I8611="","",IF(ISNUMBER($I8611),TEXT($I8611,"0"),$I8611))</f>
        <v/>
      </c>
    </row>
    <row r="8612">
      <c r="B8612" s="25" t="n"/>
      <c r="I8612" s="25" t="n"/>
      <c r="U8612" s="19">
        <f>IF($V8612&lt;&gt;'設定'!$C$4,N(U8611),IF(OR(NOT(COUNTIF('商品マスタ'!$B$6:$B$1005,$W8612)=0),COUNTIFS('①在庫を貼る'!$V$6:$V$10005,$V8612,'①在庫を貼る'!$W$6:$W$10005,$W8612)+COUNTIFS('月1回_1ヶ月前の在庫'!$V$6:$V$10005,$V8612,'月1回_1ヶ月前の在庫'!$W$6:$W$10005,$W8612)&gt;0),N(U8611),N(U8611)+1))</f>
        <v/>
      </c>
      <c r="V8612" s="19">
        <f>IF($B8612="","",TEXT($B8612,"0000"))</f>
        <v/>
      </c>
      <c r="W8612" s="19">
        <f>IF($I8612="","",IF(ISNUMBER($I8612),TEXT($I8612,"0"),$I8612))</f>
        <v/>
      </c>
    </row>
    <row r="8613">
      <c r="B8613" s="25" t="n"/>
      <c r="I8613" s="25" t="n"/>
      <c r="U8613" s="19">
        <f>IF($V8613&lt;&gt;'設定'!$C$4,N(U8612),IF(OR(NOT(COUNTIF('商品マスタ'!$B$6:$B$1005,$W8613)=0),COUNTIFS('①在庫を貼る'!$V$6:$V$10005,$V8613,'①在庫を貼る'!$W$6:$W$10005,$W8613)+COUNTIFS('月1回_1ヶ月前の在庫'!$V$6:$V$10005,$V8613,'月1回_1ヶ月前の在庫'!$W$6:$W$10005,$W8613)&gt;0),N(U8612),N(U8612)+1))</f>
        <v/>
      </c>
      <c r="V8613" s="19">
        <f>IF($B8613="","",TEXT($B8613,"0000"))</f>
        <v/>
      </c>
      <c r="W8613" s="19">
        <f>IF($I8613="","",IF(ISNUMBER($I8613),TEXT($I8613,"0"),$I8613))</f>
        <v/>
      </c>
    </row>
    <row r="8614">
      <c r="B8614" s="25" t="n"/>
      <c r="I8614" s="25" t="n"/>
      <c r="U8614" s="19">
        <f>IF($V8614&lt;&gt;'設定'!$C$4,N(U8613),IF(OR(NOT(COUNTIF('商品マスタ'!$B$6:$B$1005,$W8614)=0),COUNTIFS('①在庫を貼る'!$V$6:$V$10005,$V8614,'①在庫を貼る'!$W$6:$W$10005,$W8614)+COUNTIFS('月1回_1ヶ月前の在庫'!$V$6:$V$10005,$V8614,'月1回_1ヶ月前の在庫'!$W$6:$W$10005,$W8614)&gt;0),N(U8613),N(U8613)+1))</f>
        <v/>
      </c>
      <c r="V8614" s="19">
        <f>IF($B8614="","",TEXT($B8614,"0000"))</f>
        <v/>
      </c>
      <c r="W8614" s="19">
        <f>IF($I8614="","",IF(ISNUMBER($I8614),TEXT($I8614,"0"),$I8614))</f>
        <v/>
      </c>
    </row>
    <row r="8615">
      <c r="B8615" s="25" t="n"/>
      <c r="I8615" s="25" t="n"/>
      <c r="U8615" s="19">
        <f>IF($V8615&lt;&gt;'設定'!$C$4,N(U8614),IF(OR(NOT(COUNTIF('商品マスタ'!$B$6:$B$1005,$W8615)=0),COUNTIFS('①在庫を貼る'!$V$6:$V$10005,$V8615,'①在庫を貼る'!$W$6:$W$10005,$W8615)+COUNTIFS('月1回_1ヶ月前の在庫'!$V$6:$V$10005,$V8615,'月1回_1ヶ月前の在庫'!$W$6:$W$10005,$W8615)&gt;0),N(U8614),N(U8614)+1))</f>
        <v/>
      </c>
      <c r="V8615" s="19">
        <f>IF($B8615="","",TEXT($B8615,"0000"))</f>
        <v/>
      </c>
      <c r="W8615" s="19">
        <f>IF($I8615="","",IF(ISNUMBER($I8615),TEXT($I8615,"0"),$I8615))</f>
        <v/>
      </c>
    </row>
    <row r="8616">
      <c r="B8616" s="25" t="n"/>
      <c r="I8616" s="25" t="n"/>
      <c r="U8616" s="19">
        <f>IF($V8616&lt;&gt;'設定'!$C$4,N(U8615),IF(OR(NOT(COUNTIF('商品マスタ'!$B$6:$B$1005,$W8616)=0),COUNTIFS('①在庫を貼る'!$V$6:$V$10005,$V8616,'①在庫を貼る'!$W$6:$W$10005,$W8616)+COUNTIFS('月1回_1ヶ月前の在庫'!$V$6:$V$10005,$V8616,'月1回_1ヶ月前の在庫'!$W$6:$W$10005,$W8616)&gt;0),N(U8615),N(U8615)+1))</f>
        <v/>
      </c>
      <c r="V8616" s="19">
        <f>IF($B8616="","",TEXT($B8616,"0000"))</f>
        <v/>
      </c>
      <c r="W8616" s="19">
        <f>IF($I8616="","",IF(ISNUMBER($I8616),TEXT($I8616,"0"),$I8616))</f>
        <v/>
      </c>
    </row>
    <row r="8617">
      <c r="B8617" s="25" t="n"/>
      <c r="I8617" s="25" t="n"/>
      <c r="U8617" s="19">
        <f>IF($V8617&lt;&gt;'設定'!$C$4,N(U8616),IF(OR(NOT(COUNTIF('商品マスタ'!$B$6:$B$1005,$W8617)=0),COUNTIFS('①在庫を貼る'!$V$6:$V$10005,$V8617,'①在庫を貼る'!$W$6:$W$10005,$W8617)+COUNTIFS('月1回_1ヶ月前の在庫'!$V$6:$V$10005,$V8617,'月1回_1ヶ月前の在庫'!$W$6:$W$10005,$W8617)&gt;0),N(U8616),N(U8616)+1))</f>
        <v/>
      </c>
      <c r="V8617" s="19">
        <f>IF($B8617="","",TEXT($B8617,"0000"))</f>
        <v/>
      </c>
      <c r="W8617" s="19">
        <f>IF($I8617="","",IF(ISNUMBER($I8617),TEXT($I8617,"0"),$I8617))</f>
        <v/>
      </c>
    </row>
    <row r="8618">
      <c r="B8618" s="25" t="n"/>
      <c r="I8618" s="25" t="n"/>
      <c r="U8618" s="19">
        <f>IF($V8618&lt;&gt;'設定'!$C$4,N(U8617),IF(OR(NOT(COUNTIF('商品マスタ'!$B$6:$B$1005,$W8618)=0),COUNTIFS('①在庫を貼る'!$V$6:$V$10005,$V8618,'①在庫を貼る'!$W$6:$W$10005,$W8618)+COUNTIFS('月1回_1ヶ月前の在庫'!$V$6:$V$10005,$V8618,'月1回_1ヶ月前の在庫'!$W$6:$W$10005,$W8618)&gt;0),N(U8617),N(U8617)+1))</f>
        <v/>
      </c>
      <c r="V8618" s="19">
        <f>IF($B8618="","",TEXT($B8618,"0000"))</f>
        <v/>
      </c>
      <c r="W8618" s="19">
        <f>IF($I8618="","",IF(ISNUMBER($I8618),TEXT($I8618,"0"),$I8618))</f>
        <v/>
      </c>
    </row>
    <row r="8619">
      <c r="B8619" s="25" t="n"/>
      <c r="I8619" s="25" t="n"/>
      <c r="U8619" s="19">
        <f>IF($V8619&lt;&gt;'設定'!$C$4,N(U8618),IF(OR(NOT(COUNTIF('商品マスタ'!$B$6:$B$1005,$W8619)=0),COUNTIFS('①在庫を貼る'!$V$6:$V$10005,$V8619,'①在庫を貼る'!$W$6:$W$10005,$W8619)+COUNTIFS('月1回_1ヶ月前の在庫'!$V$6:$V$10005,$V8619,'月1回_1ヶ月前の在庫'!$W$6:$W$10005,$W8619)&gt;0),N(U8618),N(U8618)+1))</f>
        <v/>
      </c>
      <c r="V8619" s="19">
        <f>IF($B8619="","",TEXT($B8619,"0000"))</f>
        <v/>
      </c>
      <c r="W8619" s="19">
        <f>IF($I8619="","",IF(ISNUMBER($I8619),TEXT($I8619,"0"),$I8619))</f>
        <v/>
      </c>
    </row>
    <row r="8620">
      <c r="B8620" s="25" t="n"/>
      <c r="I8620" s="25" t="n"/>
      <c r="U8620" s="19">
        <f>IF($V8620&lt;&gt;'設定'!$C$4,N(U8619),IF(OR(NOT(COUNTIF('商品マスタ'!$B$6:$B$1005,$W8620)=0),COUNTIFS('①在庫を貼る'!$V$6:$V$10005,$V8620,'①在庫を貼る'!$W$6:$W$10005,$W8620)+COUNTIFS('月1回_1ヶ月前の在庫'!$V$6:$V$10005,$V8620,'月1回_1ヶ月前の在庫'!$W$6:$W$10005,$W8620)&gt;0),N(U8619),N(U8619)+1))</f>
        <v/>
      </c>
      <c r="V8620" s="19">
        <f>IF($B8620="","",TEXT($B8620,"0000"))</f>
        <v/>
      </c>
      <c r="W8620" s="19">
        <f>IF($I8620="","",IF(ISNUMBER($I8620),TEXT($I8620,"0"),$I8620))</f>
        <v/>
      </c>
    </row>
    <row r="8621">
      <c r="B8621" s="25" t="n"/>
      <c r="I8621" s="25" t="n"/>
      <c r="U8621" s="19">
        <f>IF($V8621&lt;&gt;'設定'!$C$4,N(U8620),IF(OR(NOT(COUNTIF('商品マスタ'!$B$6:$B$1005,$W8621)=0),COUNTIFS('①在庫を貼る'!$V$6:$V$10005,$V8621,'①在庫を貼る'!$W$6:$W$10005,$W8621)+COUNTIFS('月1回_1ヶ月前の在庫'!$V$6:$V$10005,$V8621,'月1回_1ヶ月前の在庫'!$W$6:$W$10005,$W8621)&gt;0),N(U8620),N(U8620)+1))</f>
        <v/>
      </c>
      <c r="V8621" s="19">
        <f>IF($B8621="","",TEXT($B8621,"0000"))</f>
        <v/>
      </c>
      <c r="W8621" s="19">
        <f>IF($I8621="","",IF(ISNUMBER($I8621),TEXT($I8621,"0"),$I8621))</f>
        <v/>
      </c>
    </row>
    <row r="8622">
      <c r="B8622" s="25" t="n"/>
      <c r="I8622" s="25" t="n"/>
      <c r="U8622" s="19">
        <f>IF($V8622&lt;&gt;'設定'!$C$4,N(U8621),IF(OR(NOT(COUNTIF('商品マスタ'!$B$6:$B$1005,$W8622)=0),COUNTIFS('①在庫を貼る'!$V$6:$V$10005,$V8622,'①在庫を貼る'!$W$6:$W$10005,$W8622)+COUNTIFS('月1回_1ヶ月前の在庫'!$V$6:$V$10005,$V8622,'月1回_1ヶ月前の在庫'!$W$6:$W$10005,$W8622)&gt;0),N(U8621),N(U8621)+1))</f>
        <v/>
      </c>
      <c r="V8622" s="19">
        <f>IF($B8622="","",TEXT($B8622,"0000"))</f>
        <v/>
      </c>
      <c r="W8622" s="19">
        <f>IF($I8622="","",IF(ISNUMBER($I8622),TEXT($I8622,"0"),$I8622))</f>
        <v/>
      </c>
    </row>
    <row r="8623">
      <c r="B8623" s="25" t="n"/>
      <c r="I8623" s="25" t="n"/>
      <c r="U8623" s="19">
        <f>IF($V8623&lt;&gt;'設定'!$C$4,N(U8622),IF(OR(NOT(COUNTIF('商品マスタ'!$B$6:$B$1005,$W8623)=0),COUNTIFS('①在庫を貼る'!$V$6:$V$10005,$V8623,'①在庫を貼る'!$W$6:$W$10005,$W8623)+COUNTIFS('月1回_1ヶ月前の在庫'!$V$6:$V$10005,$V8623,'月1回_1ヶ月前の在庫'!$W$6:$W$10005,$W8623)&gt;0),N(U8622),N(U8622)+1))</f>
        <v/>
      </c>
      <c r="V8623" s="19">
        <f>IF($B8623="","",TEXT($B8623,"0000"))</f>
        <v/>
      </c>
      <c r="W8623" s="19">
        <f>IF($I8623="","",IF(ISNUMBER($I8623),TEXT($I8623,"0"),$I8623))</f>
        <v/>
      </c>
    </row>
    <row r="8624">
      <c r="B8624" s="25" t="n"/>
      <c r="I8624" s="25" t="n"/>
      <c r="U8624" s="19">
        <f>IF($V8624&lt;&gt;'設定'!$C$4,N(U8623),IF(OR(NOT(COUNTIF('商品マスタ'!$B$6:$B$1005,$W8624)=0),COUNTIFS('①在庫を貼る'!$V$6:$V$10005,$V8624,'①在庫を貼る'!$W$6:$W$10005,$W8624)+COUNTIFS('月1回_1ヶ月前の在庫'!$V$6:$V$10005,$V8624,'月1回_1ヶ月前の在庫'!$W$6:$W$10005,$W8624)&gt;0),N(U8623),N(U8623)+1))</f>
        <v/>
      </c>
      <c r="V8624" s="19">
        <f>IF($B8624="","",TEXT($B8624,"0000"))</f>
        <v/>
      </c>
      <c r="W8624" s="19">
        <f>IF($I8624="","",IF(ISNUMBER($I8624),TEXT($I8624,"0"),$I8624))</f>
        <v/>
      </c>
    </row>
    <row r="8625">
      <c r="B8625" s="25" t="n"/>
      <c r="I8625" s="25" t="n"/>
      <c r="U8625" s="19">
        <f>IF($V8625&lt;&gt;'設定'!$C$4,N(U8624),IF(OR(NOT(COUNTIF('商品マスタ'!$B$6:$B$1005,$W8625)=0),COUNTIFS('①在庫を貼る'!$V$6:$V$10005,$V8625,'①在庫を貼る'!$W$6:$W$10005,$W8625)+COUNTIFS('月1回_1ヶ月前の在庫'!$V$6:$V$10005,$V8625,'月1回_1ヶ月前の在庫'!$W$6:$W$10005,$W8625)&gt;0),N(U8624),N(U8624)+1))</f>
        <v/>
      </c>
      <c r="V8625" s="19">
        <f>IF($B8625="","",TEXT($B8625,"0000"))</f>
        <v/>
      </c>
      <c r="W8625" s="19">
        <f>IF($I8625="","",IF(ISNUMBER($I8625),TEXT($I8625,"0"),$I8625))</f>
        <v/>
      </c>
    </row>
    <row r="8626">
      <c r="B8626" s="25" t="n"/>
      <c r="I8626" s="25" t="n"/>
      <c r="U8626" s="19">
        <f>IF($V8626&lt;&gt;'設定'!$C$4,N(U8625),IF(OR(NOT(COUNTIF('商品マスタ'!$B$6:$B$1005,$W8626)=0),COUNTIFS('①在庫を貼る'!$V$6:$V$10005,$V8626,'①在庫を貼る'!$W$6:$W$10005,$W8626)+COUNTIFS('月1回_1ヶ月前の在庫'!$V$6:$V$10005,$V8626,'月1回_1ヶ月前の在庫'!$W$6:$W$10005,$W8626)&gt;0),N(U8625),N(U8625)+1))</f>
        <v/>
      </c>
      <c r="V8626" s="19">
        <f>IF($B8626="","",TEXT($B8626,"0000"))</f>
        <v/>
      </c>
      <c r="W8626" s="19">
        <f>IF($I8626="","",IF(ISNUMBER($I8626),TEXT($I8626,"0"),$I8626))</f>
        <v/>
      </c>
    </row>
    <row r="8627">
      <c r="B8627" s="25" t="n"/>
      <c r="I8627" s="25" t="n"/>
      <c r="U8627" s="19">
        <f>IF($V8627&lt;&gt;'設定'!$C$4,N(U8626),IF(OR(NOT(COUNTIF('商品マスタ'!$B$6:$B$1005,$W8627)=0),COUNTIFS('①在庫を貼る'!$V$6:$V$10005,$V8627,'①在庫を貼る'!$W$6:$W$10005,$W8627)+COUNTIFS('月1回_1ヶ月前の在庫'!$V$6:$V$10005,$V8627,'月1回_1ヶ月前の在庫'!$W$6:$W$10005,$W8627)&gt;0),N(U8626),N(U8626)+1))</f>
        <v/>
      </c>
      <c r="V8627" s="19">
        <f>IF($B8627="","",TEXT($B8627,"0000"))</f>
        <v/>
      </c>
      <c r="W8627" s="19">
        <f>IF($I8627="","",IF(ISNUMBER($I8627),TEXT($I8627,"0"),$I8627))</f>
        <v/>
      </c>
    </row>
    <row r="8628">
      <c r="B8628" s="25" t="n"/>
      <c r="I8628" s="25" t="n"/>
      <c r="U8628" s="19">
        <f>IF($V8628&lt;&gt;'設定'!$C$4,N(U8627),IF(OR(NOT(COUNTIF('商品マスタ'!$B$6:$B$1005,$W8628)=0),COUNTIFS('①在庫を貼る'!$V$6:$V$10005,$V8628,'①在庫を貼る'!$W$6:$W$10005,$W8628)+COUNTIFS('月1回_1ヶ月前の在庫'!$V$6:$V$10005,$V8628,'月1回_1ヶ月前の在庫'!$W$6:$W$10005,$W8628)&gt;0),N(U8627),N(U8627)+1))</f>
        <v/>
      </c>
      <c r="V8628" s="19">
        <f>IF($B8628="","",TEXT($B8628,"0000"))</f>
        <v/>
      </c>
      <c r="W8628" s="19">
        <f>IF($I8628="","",IF(ISNUMBER($I8628),TEXT($I8628,"0"),$I8628))</f>
        <v/>
      </c>
    </row>
    <row r="8629">
      <c r="B8629" s="25" t="n"/>
      <c r="I8629" s="25" t="n"/>
      <c r="U8629" s="19">
        <f>IF($V8629&lt;&gt;'設定'!$C$4,N(U8628),IF(OR(NOT(COUNTIF('商品マスタ'!$B$6:$B$1005,$W8629)=0),COUNTIFS('①在庫を貼る'!$V$6:$V$10005,$V8629,'①在庫を貼る'!$W$6:$W$10005,$W8629)+COUNTIFS('月1回_1ヶ月前の在庫'!$V$6:$V$10005,$V8629,'月1回_1ヶ月前の在庫'!$W$6:$W$10005,$W8629)&gt;0),N(U8628),N(U8628)+1))</f>
        <v/>
      </c>
      <c r="V8629" s="19">
        <f>IF($B8629="","",TEXT($B8629,"0000"))</f>
        <v/>
      </c>
      <c r="W8629" s="19">
        <f>IF($I8629="","",IF(ISNUMBER($I8629),TEXT($I8629,"0"),$I8629))</f>
        <v/>
      </c>
    </row>
    <row r="8630">
      <c r="B8630" s="25" t="n"/>
      <c r="I8630" s="25" t="n"/>
      <c r="U8630" s="19">
        <f>IF($V8630&lt;&gt;'設定'!$C$4,N(U8629),IF(OR(NOT(COUNTIF('商品マスタ'!$B$6:$B$1005,$W8630)=0),COUNTIFS('①在庫を貼る'!$V$6:$V$10005,$V8630,'①在庫を貼る'!$W$6:$W$10005,$W8630)+COUNTIFS('月1回_1ヶ月前の在庫'!$V$6:$V$10005,$V8630,'月1回_1ヶ月前の在庫'!$W$6:$W$10005,$W8630)&gt;0),N(U8629),N(U8629)+1))</f>
        <v/>
      </c>
      <c r="V8630" s="19">
        <f>IF($B8630="","",TEXT($B8630,"0000"))</f>
        <v/>
      </c>
      <c r="W8630" s="19">
        <f>IF($I8630="","",IF(ISNUMBER($I8630),TEXT($I8630,"0"),$I8630))</f>
        <v/>
      </c>
    </row>
    <row r="8631">
      <c r="B8631" s="25" t="n"/>
      <c r="I8631" s="25" t="n"/>
      <c r="U8631" s="19">
        <f>IF($V8631&lt;&gt;'設定'!$C$4,N(U8630),IF(OR(NOT(COUNTIF('商品マスタ'!$B$6:$B$1005,$W8631)=0),COUNTIFS('①在庫を貼る'!$V$6:$V$10005,$V8631,'①在庫を貼る'!$W$6:$W$10005,$W8631)+COUNTIFS('月1回_1ヶ月前の在庫'!$V$6:$V$10005,$V8631,'月1回_1ヶ月前の在庫'!$W$6:$W$10005,$W8631)&gt;0),N(U8630),N(U8630)+1))</f>
        <v/>
      </c>
      <c r="V8631" s="19">
        <f>IF($B8631="","",TEXT($B8631,"0000"))</f>
        <v/>
      </c>
      <c r="W8631" s="19">
        <f>IF($I8631="","",IF(ISNUMBER($I8631),TEXT($I8631,"0"),$I8631))</f>
        <v/>
      </c>
    </row>
    <row r="8632">
      <c r="B8632" s="25" t="n"/>
      <c r="I8632" s="25" t="n"/>
      <c r="U8632" s="19">
        <f>IF($V8632&lt;&gt;'設定'!$C$4,N(U8631),IF(OR(NOT(COUNTIF('商品マスタ'!$B$6:$B$1005,$W8632)=0),COUNTIFS('①在庫を貼る'!$V$6:$V$10005,$V8632,'①在庫を貼る'!$W$6:$W$10005,$W8632)+COUNTIFS('月1回_1ヶ月前の在庫'!$V$6:$V$10005,$V8632,'月1回_1ヶ月前の在庫'!$W$6:$W$10005,$W8632)&gt;0),N(U8631),N(U8631)+1))</f>
        <v/>
      </c>
      <c r="V8632" s="19">
        <f>IF($B8632="","",TEXT($B8632,"0000"))</f>
        <v/>
      </c>
      <c r="W8632" s="19">
        <f>IF($I8632="","",IF(ISNUMBER($I8632),TEXT($I8632,"0"),$I8632))</f>
        <v/>
      </c>
    </row>
    <row r="8633">
      <c r="B8633" s="25" t="n"/>
      <c r="I8633" s="25" t="n"/>
      <c r="U8633" s="19">
        <f>IF($V8633&lt;&gt;'設定'!$C$4,N(U8632),IF(OR(NOT(COUNTIF('商品マスタ'!$B$6:$B$1005,$W8633)=0),COUNTIFS('①在庫を貼る'!$V$6:$V$10005,$V8633,'①在庫を貼る'!$W$6:$W$10005,$W8633)+COUNTIFS('月1回_1ヶ月前の在庫'!$V$6:$V$10005,$V8633,'月1回_1ヶ月前の在庫'!$W$6:$W$10005,$W8633)&gt;0),N(U8632),N(U8632)+1))</f>
        <v/>
      </c>
      <c r="V8633" s="19">
        <f>IF($B8633="","",TEXT($B8633,"0000"))</f>
        <v/>
      </c>
      <c r="W8633" s="19">
        <f>IF($I8633="","",IF(ISNUMBER($I8633),TEXT($I8633,"0"),$I8633))</f>
        <v/>
      </c>
    </row>
    <row r="8634">
      <c r="B8634" s="25" t="n"/>
      <c r="I8634" s="25" t="n"/>
      <c r="U8634" s="19">
        <f>IF($V8634&lt;&gt;'設定'!$C$4,N(U8633),IF(OR(NOT(COUNTIF('商品マスタ'!$B$6:$B$1005,$W8634)=0),COUNTIFS('①在庫を貼る'!$V$6:$V$10005,$V8634,'①在庫を貼る'!$W$6:$W$10005,$W8634)+COUNTIFS('月1回_1ヶ月前の在庫'!$V$6:$V$10005,$V8634,'月1回_1ヶ月前の在庫'!$W$6:$W$10005,$W8634)&gt;0),N(U8633),N(U8633)+1))</f>
        <v/>
      </c>
      <c r="V8634" s="19">
        <f>IF($B8634="","",TEXT($B8634,"0000"))</f>
        <v/>
      </c>
      <c r="W8634" s="19">
        <f>IF($I8634="","",IF(ISNUMBER($I8634),TEXT($I8634,"0"),$I8634))</f>
        <v/>
      </c>
    </row>
    <row r="8635">
      <c r="B8635" s="25" t="n"/>
      <c r="I8635" s="25" t="n"/>
      <c r="U8635" s="19">
        <f>IF($V8635&lt;&gt;'設定'!$C$4,N(U8634),IF(OR(NOT(COUNTIF('商品マスタ'!$B$6:$B$1005,$W8635)=0),COUNTIFS('①在庫を貼る'!$V$6:$V$10005,$V8635,'①在庫を貼る'!$W$6:$W$10005,$W8635)+COUNTIFS('月1回_1ヶ月前の在庫'!$V$6:$V$10005,$V8635,'月1回_1ヶ月前の在庫'!$W$6:$W$10005,$W8635)&gt;0),N(U8634),N(U8634)+1))</f>
        <v/>
      </c>
      <c r="V8635" s="19">
        <f>IF($B8635="","",TEXT($B8635,"0000"))</f>
        <v/>
      </c>
      <c r="W8635" s="19">
        <f>IF($I8635="","",IF(ISNUMBER($I8635),TEXT($I8635,"0"),$I8635))</f>
        <v/>
      </c>
    </row>
    <row r="8636">
      <c r="B8636" s="25" t="n"/>
      <c r="I8636" s="25" t="n"/>
      <c r="U8636" s="19">
        <f>IF($V8636&lt;&gt;'設定'!$C$4,N(U8635),IF(OR(NOT(COUNTIF('商品マスタ'!$B$6:$B$1005,$W8636)=0),COUNTIFS('①在庫を貼る'!$V$6:$V$10005,$V8636,'①在庫を貼る'!$W$6:$W$10005,$W8636)+COUNTIFS('月1回_1ヶ月前の在庫'!$V$6:$V$10005,$V8636,'月1回_1ヶ月前の在庫'!$W$6:$W$10005,$W8636)&gt;0),N(U8635),N(U8635)+1))</f>
        <v/>
      </c>
      <c r="V8636" s="19">
        <f>IF($B8636="","",TEXT($B8636,"0000"))</f>
        <v/>
      </c>
      <c r="W8636" s="19">
        <f>IF($I8636="","",IF(ISNUMBER($I8636),TEXT($I8636,"0"),$I8636))</f>
        <v/>
      </c>
    </row>
    <row r="8637">
      <c r="B8637" s="25" t="n"/>
      <c r="I8637" s="25" t="n"/>
      <c r="U8637" s="19">
        <f>IF($V8637&lt;&gt;'設定'!$C$4,N(U8636),IF(OR(NOT(COUNTIF('商品マスタ'!$B$6:$B$1005,$W8637)=0),COUNTIFS('①在庫を貼る'!$V$6:$V$10005,$V8637,'①在庫を貼る'!$W$6:$W$10005,$W8637)+COUNTIFS('月1回_1ヶ月前の在庫'!$V$6:$V$10005,$V8637,'月1回_1ヶ月前の在庫'!$W$6:$W$10005,$W8637)&gt;0),N(U8636),N(U8636)+1))</f>
        <v/>
      </c>
      <c r="V8637" s="19">
        <f>IF($B8637="","",TEXT($B8637,"0000"))</f>
        <v/>
      </c>
      <c r="W8637" s="19">
        <f>IF($I8637="","",IF(ISNUMBER($I8637),TEXT($I8637,"0"),$I8637))</f>
        <v/>
      </c>
    </row>
    <row r="8638">
      <c r="B8638" s="25" t="n"/>
      <c r="I8638" s="25" t="n"/>
      <c r="U8638" s="19">
        <f>IF($V8638&lt;&gt;'設定'!$C$4,N(U8637),IF(OR(NOT(COUNTIF('商品マスタ'!$B$6:$B$1005,$W8638)=0),COUNTIFS('①在庫を貼る'!$V$6:$V$10005,$V8638,'①在庫を貼る'!$W$6:$W$10005,$W8638)+COUNTIFS('月1回_1ヶ月前の在庫'!$V$6:$V$10005,$V8638,'月1回_1ヶ月前の在庫'!$W$6:$W$10005,$W8638)&gt;0),N(U8637),N(U8637)+1))</f>
        <v/>
      </c>
      <c r="V8638" s="19">
        <f>IF($B8638="","",TEXT($B8638,"0000"))</f>
        <v/>
      </c>
      <c r="W8638" s="19">
        <f>IF($I8638="","",IF(ISNUMBER($I8638),TEXT($I8638,"0"),$I8638))</f>
        <v/>
      </c>
    </row>
    <row r="8639">
      <c r="B8639" s="25" t="n"/>
      <c r="I8639" s="25" t="n"/>
      <c r="U8639" s="19">
        <f>IF($V8639&lt;&gt;'設定'!$C$4,N(U8638),IF(OR(NOT(COUNTIF('商品マスタ'!$B$6:$B$1005,$W8639)=0),COUNTIFS('①在庫を貼る'!$V$6:$V$10005,$V8639,'①在庫を貼る'!$W$6:$W$10005,$W8639)+COUNTIFS('月1回_1ヶ月前の在庫'!$V$6:$V$10005,$V8639,'月1回_1ヶ月前の在庫'!$W$6:$W$10005,$W8639)&gt;0),N(U8638),N(U8638)+1))</f>
        <v/>
      </c>
      <c r="V8639" s="19">
        <f>IF($B8639="","",TEXT($B8639,"0000"))</f>
        <v/>
      </c>
      <c r="W8639" s="19">
        <f>IF($I8639="","",IF(ISNUMBER($I8639),TEXT($I8639,"0"),$I8639))</f>
        <v/>
      </c>
    </row>
    <row r="8640">
      <c r="B8640" s="25" t="n"/>
      <c r="I8640" s="25" t="n"/>
      <c r="U8640" s="19">
        <f>IF($V8640&lt;&gt;'設定'!$C$4,N(U8639),IF(OR(NOT(COUNTIF('商品マスタ'!$B$6:$B$1005,$W8640)=0),COUNTIFS('①在庫を貼る'!$V$6:$V$10005,$V8640,'①在庫を貼る'!$W$6:$W$10005,$W8640)+COUNTIFS('月1回_1ヶ月前の在庫'!$V$6:$V$10005,$V8640,'月1回_1ヶ月前の在庫'!$W$6:$W$10005,$W8640)&gt;0),N(U8639),N(U8639)+1))</f>
        <v/>
      </c>
      <c r="V8640" s="19">
        <f>IF($B8640="","",TEXT($B8640,"0000"))</f>
        <v/>
      </c>
      <c r="W8640" s="19">
        <f>IF($I8640="","",IF(ISNUMBER($I8640),TEXT($I8640,"0"),$I8640))</f>
        <v/>
      </c>
    </row>
    <row r="8641">
      <c r="B8641" s="25" t="n"/>
      <c r="I8641" s="25" t="n"/>
      <c r="U8641" s="19">
        <f>IF($V8641&lt;&gt;'設定'!$C$4,N(U8640),IF(OR(NOT(COUNTIF('商品マスタ'!$B$6:$B$1005,$W8641)=0),COUNTIFS('①在庫を貼る'!$V$6:$V$10005,$V8641,'①在庫を貼る'!$W$6:$W$10005,$W8641)+COUNTIFS('月1回_1ヶ月前の在庫'!$V$6:$V$10005,$V8641,'月1回_1ヶ月前の在庫'!$W$6:$W$10005,$W8641)&gt;0),N(U8640),N(U8640)+1))</f>
        <v/>
      </c>
      <c r="V8641" s="19">
        <f>IF($B8641="","",TEXT($B8641,"0000"))</f>
        <v/>
      </c>
      <c r="W8641" s="19">
        <f>IF($I8641="","",IF(ISNUMBER($I8641),TEXT($I8641,"0"),$I8641))</f>
        <v/>
      </c>
    </row>
    <row r="8642">
      <c r="B8642" s="25" t="n"/>
      <c r="I8642" s="25" t="n"/>
      <c r="U8642" s="19">
        <f>IF($V8642&lt;&gt;'設定'!$C$4,N(U8641),IF(OR(NOT(COUNTIF('商品マスタ'!$B$6:$B$1005,$W8642)=0),COUNTIFS('①在庫を貼る'!$V$6:$V$10005,$V8642,'①在庫を貼る'!$W$6:$W$10005,$W8642)+COUNTIFS('月1回_1ヶ月前の在庫'!$V$6:$V$10005,$V8642,'月1回_1ヶ月前の在庫'!$W$6:$W$10005,$W8642)&gt;0),N(U8641),N(U8641)+1))</f>
        <v/>
      </c>
      <c r="V8642" s="19">
        <f>IF($B8642="","",TEXT($B8642,"0000"))</f>
        <v/>
      </c>
      <c r="W8642" s="19">
        <f>IF($I8642="","",IF(ISNUMBER($I8642),TEXT($I8642,"0"),$I8642))</f>
        <v/>
      </c>
    </row>
    <row r="8643">
      <c r="B8643" s="25" t="n"/>
      <c r="I8643" s="25" t="n"/>
      <c r="U8643" s="19">
        <f>IF($V8643&lt;&gt;'設定'!$C$4,N(U8642),IF(OR(NOT(COUNTIF('商品マスタ'!$B$6:$B$1005,$W8643)=0),COUNTIFS('①在庫を貼る'!$V$6:$V$10005,$V8643,'①在庫を貼る'!$W$6:$W$10005,$W8643)+COUNTIFS('月1回_1ヶ月前の在庫'!$V$6:$V$10005,$V8643,'月1回_1ヶ月前の在庫'!$W$6:$W$10005,$W8643)&gt;0),N(U8642),N(U8642)+1))</f>
        <v/>
      </c>
      <c r="V8643" s="19">
        <f>IF($B8643="","",TEXT($B8643,"0000"))</f>
        <v/>
      </c>
      <c r="W8643" s="19">
        <f>IF($I8643="","",IF(ISNUMBER($I8643),TEXT($I8643,"0"),$I8643))</f>
        <v/>
      </c>
    </row>
    <row r="8644">
      <c r="B8644" s="25" t="n"/>
      <c r="I8644" s="25" t="n"/>
      <c r="U8644" s="19">
        <f>IF($V8644&lt;&gt;'設定'!$C$4,N(U8643),IF(OR(NOT(COUNTIF('商品マスタ'!$B$6:$B$1005,$W8644)=0),COUNTIFS('①在庫を貼る'!$V$6:$V$10005,$V8644,'①在庫を貼る'!$W$6:$W$10005,$W8644)+COUNTIFS('月1回_1ヶ月前の在庫'!$V$6:$V$10005,$V8644,'月1回_1ヶ月前の在庫'!$W$6:$W$10005,$W8644)&gt;0),N(U8643),N(U8643)+1))</f>
        <v/>
      </c>
      <c r="V8644" s="19">
        <f>IF($B8644="","",TEXT($B8644,"0000"))</f>
        <v/>
      </c>
      <c r="W8644" s="19">
        <f>IF($I8644="","",IF(ISNUMBER($I8644),TEXT($I8644,"0"),$I8644))</f>
        <v/>
      </c>
    </row>
    <row r="8645">
      <c r="B8645" s="25" t="n"/>
      <c r="I8645" s="25" t="n"/>
      <c r="U8645" s="19">
        <f>IF($V8645&lt;&gt;'設定'!$C$4,N(U8644),IF(OR(NOT(COUNTIF('商品マスタ'!$B$6:$B$1005,$W8645)=0),COUNTIFS('①在庫を貼る'!$V$6:$V$10005,$V8645,'①在庫を貼る'!$W$6:$W$10005,$W8645)+COUNTIFS('月1回_1ヶ月前の在庫'!$V$6:$V$10005,$V8645,'月1回_1ヶ月前の在庫'!$W$6:$W$10005,$W8645)&gt;0),N(U8644),N(U8644)+1))</f>
        <v/>
      </c>
      <c r="V8645" s="19">
        <f>IF($B8645="","",TEXT($B8645,"0000"))</f>
        <v/>
      </c>
      <c r="W8645" s="19">
        <f>IF($I8645="","",IF(ISNUMBER($I8645),TEXT($I8645,"0"),$I8645))</f>
        <v/>
      </c>
    </row>
    <row r="8646">
      <c r="B8646" s="25" t="n"/>
      <c r="I8646" s="25" t="n"/>
      <c r="U8646" s="19">
        <f>IF($V8646&lt;&gt;'設定'!$C$4,N(U8645),IF(OR(NOT(COUNTIF('商品マスタ'!$B$6:$B$1005,$W8646)=0),COUNTIFS('①在庫を貼る'!$V$6:$V$10005,$V8646,'①在庫を貼る'!$W$6:$W$10005,$W8646)+COUNTIFS('月1回_1ヶ月前の在庫'!$V$6:$V$10005,$V8646,'月1回_1ヶ月前の在庫'!$W$6:$W$10005,$W8646)&gt;0),N(U8645),N(U8645)+1))</f>
        <v/>
      </c>
      <c r="V8646" s="19">
        <f>IF($B8646="","",TEXT($B8646,"0000"))</f>
        <v/>
      </c>
      <c r="W8646" s="19">
        <f>IF($I8646="","",IF(ISNUMBER($I8646),TEXT($I8646,"0"),$I8646))</f>
        <v/>
      </c>
    </row>
    <row r="8647">
      <c r="B8647" s="25" t="n"/>
      <c r="I8647" s="25" t="n"/>
      <c r="U8647" s="19">
        <f>IF($V8647&lt;&gt;'設定'!$C$4,N(U8646),IF(OR(NOT(COUNTIF('商品マスタ'!$B$6:$B$1005,$W8647)=0),COUNTIFS('①在庫を貼る'!$V$6:$V$10005,$V8647,'①在庫を貼る'!$W$6:$W$10005,$W8647)+COUNTIFS('月1回_1ヶ月前の在庫'!$V$6:$V$10005,$V8647,'月1回_1ヶ月前の在庫'!$W$6:$W$10005,$W8647)&gt;0),N(U8646),N(U8646)+1))</f>
        <v/>
      </c>
      <c r="V8647" s="19">
        <f>IF($B8647="","",TEXT($B8647,"0000"))</f>
        <v/>
      </c>
      <c r="W8647" s="19">
        <f>IF($I8647="","",IF(ISNUMBER($I8647),TEXT($I8647,"0"),$I8647))</f>
        <v/>
      </c>
    </row>
    <row r="8648">
      <c r="B8648" s="25" t="n"/>
      <c r="I8648" s="25" t="n"/>
      <c r="U8648" s="19">
        <f>IF($V8648&lt;&gt;'設定'!$C$4,N(U8647),IF(OR(NOT(COUNTIF('商品マスタ'!$B$6:$B$1005,$W8648)=0),COUNTIFS('①在庫を貼る'!$V$6:$V$10005,$V8648,'①在庫を貼る'!$W$6:$W$10005,$W8648)+COUNTIFS('月1回_1ヶ月前の在庫'!$V$6:$V$10005,$V8648,'月1回_1ヶ月前の在庫'!$W$6:$W$10005,$W8648)&gt;0),N(U8647),N(U8647)+1))</f>
        <v/>
      </c>
      <c r="V8648" s="19">
        <f>IF($B8648="","",TEXT($B8648,"0000"))</f>
        <v/>
      </c>
      <c r="W8648" s="19">
        <f>IF($I8648="","",IF(ISNUMBER($I8648),TEXT($I8648,"0"),$I8648))</f>
        <v/>
      </c>
    </row>
    <row r="8649">
      <c r="B8649" s="25" t="n"/>
      <c r="I8649" s="25" t="n"/>
      <c r="U8649" s="19">
        <f>IF($V8649&lt;&gt;'設定'!$C$4,N(U8648),IF(OR(NOT(COUNTIF('商品マスタ'!$B$6:$B$1005,$W8649)=0),COUNTIFS('①在庫を貼る'!$V$6:$V$10005,$V8649,'①在庫を貼る'!$W$6:$W$10005,$W8649)+COUNTIFS('月1回_1ヶ月前の在庫'!$V$6:$V$10005,$V8649,'月1回_1ヶ月前の在庫'!$W$6:$W$10005,$W8649)&gt;0),N(U8648),N(U8648)+1))</f>
        <v/>
      </c>
      <c r="V8649" s="19">
        <f>IF($B8649="","",TEXT($B8649,"0000"))</f>
        <v/>
      </c>
      <c r="W8649" s="19">
        <f>IF($I8649="","",IF(ISNUMBER($I8649),TEXT($I8649,"0"),$I8649))</f>
        <v/>
      </c>
    </row>
    <row r="8650">
      <c r="B8650" s="25" t="n"/>
      <c r="I8650" s="25" t="n"/>
      <c r="U8650" s="19">
        <f>IF($V8650&lt;&gt;'設定'!$C$4,N(U8649),IF(OR(NOT(COUNTIF('商品マスタ'!$B$6:$B$1005,$W8650)=0),COUNTIFS('①在庫を貼る'!$V$6:$V$10005,$V8650,'①在庫を貼る'!$W$6:$W$10005,$W8650)+COUNTIFS('月1回_1ヶ月前の在庫'!$V$6:$V$10005,$V8650,'月1回_1ヶ月前の在庫'!$W$6:$W$10005,$W8650)&gt;0),N(U8649),N(U8649)+1))</f>
        <v/>
      </c>
      <c r="V8650" s="19">
        <f>IF($B8650="","",TEXT($B8650,"0000"))</f>
        <v/>
      </c>
      <c r="W8650" s="19">
        <f>IF($I8650="","",IF(ISNUMBER($I8650),TEXT($I8650,"0"),$I8650))</f>
        <v/>
      </c>
    </row>
    <row r="8651">
      <c r="B8651" s="25" t="n"/>
      <c r="I8651" s="25" t="n"/>
      <c r="U8651" s="19">
        <f>IF($V8651&lt;&gt;'設定'!$C$4,N(U8650),IF(OR(NOT(COUNTIF('商品マスタ'!$B$6:$B$1005,$W8651)=0),COUNTIFS('①在庫を貼る'!$V$6:$V$10005,$V8651,'①在庫を貼る'!$W$6:$W$10005,$W8651)+COUNTIFS('月1回_1ヶ月前の在庫'!$V$6:$V$10005,$V8651,'月1回_1ヶ月前の在庫'!$W$6:$W$10005,$W8651)&gt;0),N(U8650),N(U8650)+1))</f>
        <v/>
      </c>
      <c r="V8651" s="19">
        <f>IF($B8651="","",TEXT($B8651,"0000"))</f>
        <v/>
      </c>
      <c r="W8651" s="19">
        <f>IF($I8651="","",IF(ISNUMBER($I8651),TEXT($I8651,"0"),$I8651))</f>
        <v/>
      </c>
    </row>
    <row r="8652">
      <c r="B8652" s="25" t="n"/>
      <c r="I8652" s="25" t="n"/>
      <c r="U8652" s="19">
        <f>IF($V8652&lt;&gt;'設定'!$C$4,N(U8651),IF(OR(NOT(COUNTIF('商品マスタ'!$B$6:$B$1005,$W8652)=0),COUNTIFS('①在庫を貼る'!$V$6:$V$10005,$V8652,'①在庫を貼る'!$W$6:$W$10005,$W8652)+COUNTIFS('月1回_1ヶ月前の在庫'!$V$6:$V$10005,$V8652,'月1回_1ヶ月前の在庫'!$W$6:$W$10005,$W8652)&gt;0),N(U8651),N(U8651)+1))</f>
        <v/>
      </c>
      <c r="V8652" s="19">
        <f>IF($B8652="","",TEXT($B8652,"0000"))</f>
        <v/>
      </c>
      <c r="W8652" s="19">
        <f>IF($I8652="","",IF(ISNUMBER($I8652),TEXT($I8652,"0"),$I8652))</f>
        <v/>
      </c>
    </row>
    <row r="8653">
      <c r="B8653" s="25" t="n"/>
      <c r="I8653" s="25" t="n"/>
      <c r="U8653" s="19">
        <f>IF($V8653&lt;&gt;'設定'!$C$4,N(U8652),IF(OR(NOT(COUNTIF('商品マスタ'!$B$6:$B$1005,$W8653)=0),COUNTIFS('①在庫を貼る'!$V$6:$V$10005,$V8653,'①在庫を貼る'!$W$6:$W$10005,$W8653)+COUNTIFS('月1回_1ヶ月前の在庫'!$V$6:$V$10005,$V8653,'月1回_1ヶ月前の在庫'!$W$6:$W$10005,$W8653)&gt;0),N(U8652),N(U8652)+1))</f>
        <v/>
      </c>
      <c r="V8653" s="19">
        <f>IF($B8653="","",TEXT($B8653,"0000"))</f>
        <v/>
      </c>
      <c r="W8653" s="19">
        <f>IF($I8653="","",IF(ISNUMBER($I8653),TEXT($I8653,"0"),$I8653))</f>
        <v/>
      </c>
    </row>
    <row r="8654">
      <c r="B8654" s="25" t="n"/>
      <c r="I8654" s="25" t="n"/>
      <c r="U8654" s="19">
        <f>IF($V8654&lt;&gt;'設定'!$C$4,N(U8653),IF(OR(NOT(COUNTIF('商品マスタ'!$B$6:$B$1005,$W8654)=0),COUNTIFS('①在庫を貼る'!$V$6:$V$10005,$V8654,'①在庫を貼る'!$W$6:$W$10005,$W8654)+COUNTIFS('月1回_1ヶ月前の在庫'!$V$6:$V$10005,$V8654,'月1回_1ヶ月前の在庫'!$W$6:$W$10005,$W8654)&gt;0),N(U8653),N(U8653)+1))</f>
        <v/>
      </c>
      <c r="V8654" s="19">
        <f>IF($B8654="","",TEXT($B8654,"0000"))</f>
        <v/>
      </c>
      <c r="W8654" s="19">
        <f>IF($I8654="","",IF(ISNUMBER($I8654),TEXT($I8654,"0"),$I8654))</f>
        <v/>
      </c>
    </row>
    <row r="8655">
      <c r="B8655" s="25" t="n"/>
      <c r="I8655" s="25" t="n"/>
      <c r="U8655" s="19">
        <f>IF($V8655&lt;&gt;'設定'!$C$4,N(U8654),IF(OR(NOT(COUNTIF('商品マスタ'!$B$6:$B$1005,$W8655)=0),COUNTIFS('①在庫を貼る'!$V$6:$V$10005,$V8655,'①在庫を貼る'!$W$6:$W$10005,$W8655)+COUNTIFS('月1回_1ヶ月前の在庫'!$V$6:$V$10005,$V8655,'月1回_1ヶ月前の在庫'!$W$6:$W$10005,$W8655)&gt;0),N(U8654),N(U8654)+1))</f>
        <v/>
      </c>
      <c r="V8655" s="19">
        <f>IF($B8655="","",TEXT($B8655,"0000"))</f>
        <v/>
      </c>
      <c r="W8655" s="19">
        <f>IF($I8655="","",IF(ISNUMBER($I8655),TEXT($I8655,"0"),$I8655))</f>
        <v/>
      </c>
    </row>
    <row r="8656">
      <c r="B8656" s="25" t="n"/>
      <c r="I8656" s="25" t="n"/>
      <c r="U8656" s="19">
        <f>IF($V8656&lt;&gt;'設定'!$C$4,N(U8655),IF(OR(NOT(COUNTIF('商品マスタ'!$B$6:$B$1005,$W8656)=0),COUNTIFS('①在庫を貼る'!$V$6:$V$10005,$V8656,'①在庫を貼る'!$W$6:$W$10005,$W8656)+COUNTIFS('月1回_1ヶ月前の在庫'!$V$6:$V$10005,$V8656,'月1回_1ヶ月前の在庫'!$W$6:$W$10005,$W8656)&gt;0),N(U8655),N(U8655)+1))</f>
        <v/>
      </c>
      <c r="V8656" s="19">
        <f>IF($B8656="","",TEXT($B8656,"0000"))</f>
        <v/>
      </c>
      <c r="W8656" s="19">
        <f>IF($I8656="","",IF(ISNUMBER($I8656),TEXT($I8656,"0"),$I8656))</f>
        <v/>
      </c>
    </row>
    <row r="8657">
      <c r="B8657" s="25" t="n"/>
      <c r="I8657" s="25" t="n"/>
      <c r="U8657" s="19">
        <f>IF($V8657&lt;&gt;'設定'!$C$4,N(U8656),IF(OR(NOT(COUNTIF('商品マスタ'!$B$6:$B$1005,$W8657)=0),COUNTIFS('①在庫を貼る'!$V$6:$V$10005,$V8657,'①在庫を貼る'!$W$6:$W$10005,$W8657)+COUNTIFS('月1回_1ヶ月前の在庫'!$V$6:$V$10005,$V8657,'月1回_1ヶ月前の在庫'!$W$6:$W$10005,$W8657)&gt;0),N(U8656),N(U8656)+1))</f>
        <v/>
      </c>
      <c r="V8657" s="19">
        <f>IF($B8657="","",TEXT($B8657,"0000"))</f>
        <v/>
      </c>
      <c r="W8657" s="19">
        <f>IF($I8657="","",IF(ISNUMBER($I8657),TEXT($I8657,"0"),$I8657))</f>
        <v/>
      </c>
    </row>
    <row r="8658">
      <c r="B8658" s="25" t="n"/>
      <c r="I8658" s="25" t="n"/>
      <c r="U8658" s="19">
        <f>IF($V8658&lt;&gt;'設定'!$C$4,N(U8657),IF(OR(NOT(COUNTIF('商品マスタ'!$B$6:$B$1005,$W8658)=0),COUNTIFS('①在庫を貼る'!$V$6:$V$10005,$V8658,'①在庫を貼る'!$W$6:$W$10005,$W8658)+COUNTIFS('月1回_1ヶ月前の在庫'!$V$6:$V$10005,$V8658,'月1回_1ヶ月前の在庫'!$W$6:$W$10005,$W8658)&gt;0),N(U8657),N(U8657)+1))</f>
        <v/>
      </c>
      <c r="V8658" s="19">
        <f>IF($B8658="","",TEXT($B8658,"0000"))</f>
        <v/>
      </c>
      <c r="W8658" s="19">
        <f>IF($I8658="","",IF(ISNUMBER($I8658),TEXT($I8658,"0"),$I8658))</f>
        <v/>
      </c>
    </row>
    <row r="8659">
      <c r="B8659" s="25" t="n"/>
      <c r="I8659" s="25" t="n"/>
      <c r="U8659" s="19">
        <f>IF($V8659&lt;&gt;'設定'!$C$4,N(U8658),IF(OR(NOT(COUNTIF('商品マスタ'!$B$6:$B$1005,$W8659)=0),COUNTIFS('①在庫を貼る'!$V$6:$V$10005,$V8659,'①在庫を貼る'!$W$6:$W$10005,$W8659)+COUNTIFS('月1回_1ヶ月前の在庫'!$V$6:$V$10005,$V8659,'月1回_1ヶ月前の在庫'!$W$6:$W$10005,$W8659)&gt;0),N(U8658),N(U8658)+1))</f>
        <v/>
      </c>
      <c r="V8659" s="19">
        <f>IF($B8659="","",TEXT($B8659,"0000"))</f>
        <v/>
      </c>
      <c r="W8659" s="19">
        <f>IF($I8659="","",IF(ISNUMBER($I8659),TEXT($I8659,"0"),$I8659))</f>
        <v/>
      </c>
    </row>
    <row r="8660">
      <c r="B8660" s="25" t="n"/>
      <c r="I8660" s="25" t="n"/>
      <c r="U8660" s="19">
        <f>IF($V8660&lt;&gt;'設定'!$C$4,N(U8659),IF(OR(NOT(COUNTIF('商品マスタ'!$B$6:$B$1005,$W8660)=0),COUNTIFS('①在庫を貼る'!$V$6:$V$10005,$V8660,'①在庫を貼る'!$W$6:$W$10005,$W8660)+COUNTIFS('月1回_1ヶ月前の在庫'!$V$6:$V$10005,$V8660,'月1回_1ヶ月前の在庫'!$W$6:$W$10005,$W8660)&gt;0),N(U8659),N(U8659)+1))</f>
        <v/>
      </c>
      <c r="V8660" s="19">
        <f>IF($B8660="","",TEXT($B8660,"0000"))</f>
        <v/>
      </c>
      <c r="W8660" s="19">
        <f>IF($I8660="","",IF(ISNUMBER($I8660),TEXT($I8660,"0"),$I8660))</f>
        <v/>
      </c>
    </row>
    <row r="8661">
      <c r="B8661" s="25" t="n"/>
      <c r="I8661" s="25" t="n"/>
      <c r="U8661" s="19">
        <f>IF($V8661&lt;&gt;'設定'!$C$4,N(U8660),IF(OR(NOT(COUNTIF('商品マスタ'!$B$6:$B$1005,$W8661)=0),COUNTIFS('①在庫を貼る'!$V$6:$V$10005,$V8661,'①在庫を貼る'!$W$6:$W$10005,$W8661)+COUNTIFS('月1回_1ヶ月前の在庫'!$V$6:$V$10005,$V8661,'月1回_1ヶ月前の在庫'!$W$6:$W$10005,$W8661)&gt;0),N(U8660),N(U8660)+1))</f>
        <v/>
      </c>
      <c r="V8661" s="19">
        <f>IF($B8661="","",TEXT($B8661,"0000"))</f>
        <v/>
      </c>
      <c r="W8661" s="19">
        <f>IF($I8661="","",IF(ISNUMBER($I8661),TEXT($I8661,"0"),$I8661))</f>
        <v/>
      </c>
    </row>
    <row r="8662">
      <c r="B8662" s="25" t="n"/>
      <c r="I8662" s="25" t="n"/>
      <c r="U8662" s="19">
        <f>IF($V8662&lt;&gt;'設定'!$C$4,N(U8661),IF(OR(NOT(COUNTIF('商品マスタ'!$B$6:$B$1005,$W8662)=0),COUNTIFS('①在庫を貼る'!$V$6:$V$10005,$V8662,'①在庫を貼る'!$W$6:$W$10005,$W8662)+COUNTIFS('月1回_1ヶ月前の在庫'!$V$6:$V$10005,$V8662,'月1回_1ヶ月前の在庫'!$W$6:$W$10005,$W8662)&gt;0),N(U8661),N(U8661)+1))</f>
        <v/>
      </c>
      <c r="V8662" s="19">
        <f>IF($B8662="","",TEXT($B8662,"0000"))</f>
        <v/>
      </c>
      <c r="W8662" s="19">
        <f>IF($I8662="","",IF(ISNUMBER($I8662),TEXT($I8662,"0"),$I8662))</f>
        <v/>
      </c>
    </row>
    <row r="8663">
      <c r="B8663" s="25" t="n"/>
      <c r="I8663" s="25" t="n"/>
      <c r="U8663" s="19">
        <f>IF($V8663&lt;&gt;'設定'!$C$4,N(U8662),IF(OR(NOT(COUNTIF('商品マスタ'!$B$6:$B$1005,$W8663)=0),COUNTIFS('①在庫を貼る'!$V$6:$V$10005,$V8663,'①在庫を貼る'!$W$6:$W$10005,$W8663)+COUNTIFS('月1回_1ヶ月前の在庫'!$V$6:$V$10005,$V8663,'月1回_1ヶ月前の在庫'!$W$6:$W$10005,$W8663)&gt;0),N(U8662),N(U8662)+1))</f>
        <v/>
      </c>
      <c r="V8663" s="19">
        <f>IF($B8663="","",TEXT($B8663,"0000"))</f>
        <v/>
      </c>
      <c r="W8663" s="19">
        <f>IF($I8663="","",IF(ISNUMBER($I8663),TEXT($I8663,"0"),$I8663))</f>
        <v/>
      </c>
    </row>
    <row r="8664">
      <c r="B8664" s="25" t="n"/>
      <c r="I8664" s="25" t="n"/>
      <c r="U8664" s="19">
        <f>IF($V8664&lt;&gt;'設定'!$C$4,N(U8663),IF(OR(NOT(COUNTIF('商品マスタ'!$B$6:$B$1005,$W8664)=0),COUNTIFS('①在庫を貼る'!$V$6:$V$10005,$V8664,'①在庫を貼る'!$W$6:$W$10005,$W8664)+COUNTIFS('月1回_1ヶ月前の在庫'!$V$6:$V$10005,$V8664,'月1回_1ヶ月前の在庫'!$W$6:$W$10005,$W8664)&gt;0),N(U8663),N(U8663)+1))</f>
        <v/>
      </c>
      <c r="V8664" s="19">
        <f>IF($B8664="","",TEXT($B8664,"0000"))</f>
        <v/>
      </c>
      <c r="W8664" s="19">
        <f>IF($I8664="","",IF(ISNUMBER($I8664),TEXT($I8664,"0"),$I8664))</f>
        <v/>
      </c>
    </row>
    <row r="8665">
      <c r="B8665" s="25" t="n"/>
      <c r="I8665" s="25" t="n"/>
      <c r="U8665" s="19">
        <f>IF($V8665&lt;&gt;'設定'!$C$4,N(U8664),IF(OR(NOT(COUNTIF('商品マスタ'!$B$6:$B$1005,$W8665)=0),COUNTIFS('①在庫を貼る'!$V$6:$V$10005,$V8665,'①在庫を貼る'!$W$6:$W$10005,$W8665)+COUNTIFS('月1回_1ヶ月前の在庫'!$V$6:$V$10005,$V8665,'月1回_1ヶ月前の在庫'!$W$6:$W$10005,$W8665)&gt;0),N(U8664),N(U8664)+1))</f>
        <v/>
      </c>
      <c r="V8665" s="19">
        <f>IF($B8665="","",TEXT($B8665,"0000"))</f>
        <v/>
      </c>
      <c r="W8665" s="19">
        <f>IF($I8665="","",IF(ISNUMBER($I8665),TEXT($I8665,"0"),$I8665))</f>
        <v/>
      </c>
    </row>
    <row r="8666">
      <c r="B8666" s="25" t="n"/>
      <c r="I8666" s="25" t="n"/>
      <c r="U8666" s="19">
        <f>IF($V8666&lt;&gt;'設定'!$C$4,N(U8665),IF(OR(NOT(COUNTIF('商品マスタ'!$B$6:$B$1005,$W8666)=0),COUNTIFS('①在庫を貼る'!$V$6:$V$10005,$V8666,'①在庫を貼る'!$W$6:$W$10005,$W8666)+COUNTIFS('月1回_1ヶ月前の在庫'!$V$6:$V$10005,$V8666,'月1回_1ヶ月前の在庫'!$W$6:$W$10005,$W8666)&gt;0),N(U8665),N(U8665)+1))</f>
        <v/>
      </c>
      <c r="V8666" s="19">
        <f>IF($B8666="","",TEXT($B8666,"0000"))</f>
        <v/>
      </c>
      <c r="W8666" s="19">
        <f>IF($I8666="","",IF(ISNUMBER($I8666),TEXT($I8666,"0"),$I8666))</f>
        <v/>
      </c>
    </row>
    <row r="8667">
      <c r="B8667" s="25" t="n"/>
      <c r="I8667" s="25" t="n"/>
      <c r="U8667" s="19">
        <f>IF($V8667&lt;&gt;'設定'!$C$4,N(U8666),IF(OR(NOT(COUNTIF('商品マスタ'!$B$6:$B$1005,$W8667)=0),COUNTIFS('①在庫を貼る'!$V$6:$V$10005,$V8667,'①在庫を貼る'!$W$6:$W$10005,$W8667)+COUNTIFS('月1回_1ヶ月前の在庫'!$V$6:$V$10005,$V8667,'月1回_1ヶ月前の在庫'!$W$6:$W$10005,$W8667)&gt;0),N(U8666),N(U8666)+1))</f>
        <v/>
      </c>
      <c r="V8667" s="19">
        <f>IF($B8667="","",TEXT($B8667,"0000"))</f>
        <v/>
      </c>
      <c r="W8667" s="19">
        <f>IF($I8667="","",IF(ISNUMBER($I8667),TEXT($I8667,"0"),$I8667))</f>
        <v/>
      </c>
    </row>
    <row r="8668">
      <c r="B8668" s="25" t="n"/>
      <c r="I8668" s="25" t="n"/>
      <c r="U8668" s="19">
        <f>IF($V8668&lt;&gt;'設定'!$C$4,N(U8667),IF(OR(NOT(COUNTIF('商品マスタ'!$B$6:$B$1005,$W8668)=0),COUNTIFS('①在庫を貼る'!$V$6:$V$10005,$V8668,'①在庫を貼る'!$W$6:$W$10005,$W8668)+COUNTIFS('月1回_1ヶ月前の在庫'!$V$6:$V$10005,$V8668,'月1回_1ヶ月前の在庫'!$W$6:$W$10005,$W8668)&gt;0),N(U8667),N(U8667)+1))</f>
        <v/>
      </c>
      <c r="V8668" s="19">
        <f>IF($B8668="","",TEXT($B8668,"0000"))</f>
        <v/>
      </c>
      <c r="W8668" s="19">
        <f>IF($I8668="","",IF(ISNUMBER($I8668),TEXT($I8668,"0"),$I8668))</f>
        <v/>
      </c>
    </row>
    <row r="8669">
      <c r="B8669" s="25" t="n"/>
      <c r="I8669" s="25" t="n"/>
      <c r="U8669" s="19">
        <f>IF($V8669&lt;&gt;'設定'!$C$4,N(U8668),IF(OR(NOT(COUNTIF('商品マスタ'!$B$6:$B$1005,$W8669)=0),COUNTIFS('①在庫を貼る'!$V$6:$V$10005,$V8669,'①在庫を貼る'!$W$6:$W$10005,$W8669)+COUNTIFS('月1回_1ヶ月前の在庫'!$V$6:$V$10005,$V8669,'月1回_1ヶ月前の在庫'!$W$6:$W$10005,$W8669)&gt;0),N(U8668),N(U8668)+1))</f>
        <v/>
      </c>
      <c r="V8669" s="19">
        <f>IF($B8669="","",TEXT($B8669,"0000"))</f>
        <v/>
      </c>
      <c r="W8669" s="19">
        <f>IF($I8669="","",IF(ISNUMBER($I8669),TEXT($I8669,"0"),$I8669))</f>
        <v/>
      </c>
    </row>
    <row r="8670">
      <c r="B8670" s="25" t="n"/>
      <c r="I8670" s="25" t="n"/>
      <c r="U8670" s="19">
        <f>IF($V8670&lt;&gt;'設定'!$C$4,N(U8669),IF(OR(NOT(COUNTIF('商品マスタ'!$B$6:$B$1005,$W8670)=0),COUNTIFS('①在庫を貼る'!$V$6:$V$10005,$V8670,'①在庫を貼る'!$W$6:$W$10005,$W8670)+COUNTIFS('月1回_1ヶ月前の在庫'!$V$6:$V$10005,$V8670,'月1回_1ヶ月前の在庫'!$W$6:$W$10005,$W8670)&gt;0),N(U8669),N(U8669)+1))</f>
        <v/>
      </c>
      <c r="V8670" s="19">
        <f>IF($B8670="","",TEXT($B8670,"0000"))</f>
        <v/>
      </c>
      <c r="W8670" s="19">
        <f>IF($I8670="","",IF(ISNUMBER($I8670),TEXT($I8670,"0"),$I8670))</f>
        <v/>
      </c>
    </row>
    <row r="8671">
      <c r="B8671" s="25" t="n"/>
      <c r="I8671" s="25" t="n"/>
      <c r="U8671" s="19">
        <f>IF($V8671&lt;&gt;'設定'!$C$4,N(U8670),IF(OR(NOT(COUNTIF('商品マスタ'!$B$6:$B$1005,$W8671)=0),COUNTIFS('①在庫を貼る'!$V$6:$V$10005,$V8671,'①在庫を貼る'!$W$6:$W$10005,$W8671)+COUNTIFS('月1回_1ヶ月前の在庫'!$V$6:$V$10005,$V8671,'月1回_1ヶ月前の在庫'!$W$6:$W$10005,$W8671)&gt;0),N(U8670),N(U8670)+1))</f>
        <v/>
      </c>
      <c r="V8671" s="19">
        <f>IF($B8671="","",TEXT($B8671,"0000"))</f>
        <v/>
      </c>
      <c r="W8671" s="19">
        <f>IF($I8671="","",IF(ISNUMBER($I8671),TEXT($I8671,"0"),$I8671))</f>
        <v/>
      </c>
    </row>
    <row r="8672">
      <c r="B8672" s="25" t="n"/>
      <c r="I8672" s="25" t="n"/>
      <c r="U8672" s="19">
        <f>IF($V8672&lt;&gt;'設定'!$C$4,N(U8671),IF(OR(NOT(COUNTIF('商品マスタ'!$B$6:$B$1005,$W8672)=0),COUNTIFS('①在庫を貼る'!$V$6:$V$10005,$V8672,'①在庫を貼る'!$W$6:$W$10005,$W8672)+COUNTIFS('月1回_1ヶ月前の在庫'!$V$6:$V$10005,$V8672,'月1回_1ヶ月前の在庫'!$W$6:$W$10005,$W8672)&gt;0),N(U8671),N(U8671)+1))</f>
        <v/>
      </c>
      <c r="V8672" s="19">
        <f>IF($B8672="","",TEXT($B8672,"0000"))</f>
        <v/>
      </c>
      <c r="W8672" s="19">
        <f>IF($I8672="","",IF(ISNUMBER($I8672),TEXT($I8672,"0"),$I8672))</f>
        <v/>
      </c>
    </row>
    <row r="8673">
      <c r="B8673" s="25" t="n"/>
      <c r="I8673" s="25" t="n"/>
      <c r="U8673" s="19">
        <f>IF($V8673&lt;&gt;'設定'!$C$4,N(U8672),IF(OR(NOT(COUNTIF('商品マスタ'!$B$6:$B$1005,$W8673)=0),COUNTIFS('①在庫を貼る'!$V$6:$V$10005,$V8673,'①在庫を貼る'!$W$6:$W$10005,$W8673)+COUNTIFS('月1回_1ヶ月前の在庫'!$V$6:$V$10005,$V8673,'月1回_1ヶ月前の在庫'!$W$6:$W$10005,$W8673)&gt;0),N(U8672),N(U8672)+1))</f>
        <v/>
      </c>
      <c r="V8673" s="19">
        <f>IF($B8673="","",TEXT($B8673,"0000"))</f>
        <v/>
      </c>
      <c r="W8673" s="19">
        <f>IF($I8673="","",IF(ISNUMBER($I8673),TEXT($I8673,"0"),$I8673))</f>
        <v/>
      </c>
    </row>
    <row r="8674">
      <c r="B8674" s="25" t="n"/>
      <c r="I8674" s="25" t="n"/>
      <c r="U8674" s="19">
        <f>IF($V8674&lt;&gt;'設定'!$C$4,N(U8673),IF(OR(NOT(COUNTIF('商品マスタ'!$B$6:$B$1005,$W8674)=0),COUNTIFS('①在庫を貼る'!$V$6:$V$10005,$V8674,'①在庫を貼る'!$W$6:$W$10005,$W8674)+COUNTIFS('月1回_1ヶ月前の在庫'!$V$6:$V$10005,$V8674,'月1回_1ヶ月前の在庫'!$W$6:$W$10005,$W8674)&gt;0),N(U8673),N(U8673)+1))</f>
        <v/>
      </c>
      <c r="V8674" s="19">
        <f>IF($B8674="","",TEXT($B8674,"0000"))</f>
        <v/>
      </c>
      <c r="W8674" s="19">
        <f>IF($I8674="","",IF(ISNUMBER($I8674),TEXT($I8674,"0"),$I8674))</f>
        <v/>
      </c>
    </row>
    <row r="8675">
      <c r="B8675" s="25" t="n"/>
      <c r="I8675" s="25" t="n"/>
      <c r="U8675" s="19">
        <f>IF($V8675&lt;&gt;'設定'!$C$4,N(U8674),IF(OR(NOT(COUNTIF('商品マスタ'!$B$6:$B$1005,$W8675)=0),COUNTIFS('①在庫を貼る'!$V$6:$V$10005,$V8675,'①在庫を貼る'!$W$6:$W$10005,$W8675)+COUNTIFS('月1回_1ヶ月前の在庫'!$V$6:$V$10005,$V8675,'月1回_1ヶ月前の在庫'!$W$6:$W$10005,$W8675)&gt;0),N(U8674),N(U8674)+1))</f>
        <v/>
      </c>
      <c r="V8675" s="19">
        <f>IF($B8675="","",TEXT($B8675,"0000"))</f>
        <v/>
      </c>
      <c r="W8675" s="19">
        <f>IF($I8675="","",IF(ISNUMBER($I8675),TEXT($I8675,"0"),$I8675))</f>
        <v/>
      </c>
    </row>
    <row r="8676">
      <c r="B8676" s="25" t="n"/>
      <c r="I8676" s="25" t="n"/>
      <c r="U8676" s="19">
        <f>IF($V8676&lt;&gt;'設定'!$C$4,N(U8675),IF(OR(NOT(COUNTIF('商品マスタ'!$B$6:$B$1005,$W8676)=0),COUNTIFS('①在庫を貼る'!$V$6:$V$10005,$V8676,'①在庫を貼る'!$W$6:$W$10005,$W8676)+COUNTIFS('月1回_1ヶ月前の在庫'!$V$6:$V$10005,$V8676,'月1回_1ヶ月前の在庫'!$W$6:$W$10005,$W8676)&gt;0),N(U8675),N(U8675)+1))</f>
        <v/>
      </c>
      <c r="V8676" s="19">
        <f>IF($B8676="","",TEXT($B8676,"0000"))</f>
        <v/>
      </c>
      <c r="W8676" s="19">
        <f>IF($I8676="","",IF(ISNUMBER($I8676),TEXT($I8676,"0"),$I8676))</f>
        <v/>
      </c>
    </row>
    <row r="8677">
      <c r="B8677" s="25" t="n"/>
      <c r="I8677" s="25" t="n"/>
      <c r="U8677" s="19">
        <f>IF($V8677&lt;&gt;'設定'!$C$4,N(U8676),IF(OR(NOT(COUNTIF('商品マスタ'!$B$6:$B$1005,$W8677)=0),COUNTIFS('①在庫を貼る'!$V$6:$V$10005,$V8677,'①在庫を貼る'!$W$6:$W$10005,$W8677)+COUNTIFS('月1回_1ヶ月前の在庫'!$V$6:$V$10005,$V8677,'月1回_1ヶ月前の在庫'!$W$6:$W$10005,$W8677)&gt;0),N(U8676),N(U8676)+1))</f>
        <v/>
      </c>
      <c r="V8677" s="19">
        <f>IF($B8677="","",TEXT($B8677,"0000"))</f>
        <v/>
      </c>
      <c r="W8677" s="19">
        <f>IF($I8677="","",IF(ISNUMBER($I8677),TEXT($I8677,"0"),$I8677))</f>
        <v/>
      </c>
    </row>
    <row r="8678">
      <c r="B8678" s="25" t="n"/>
      <c r="I8678" s="25" t="n"/>
      <c r="U8678" s="19">
        <f>IF($V8678&lt;&gt;'設定'!$C$4,N(U8677),IF(OR(NOT(COUNTIF('商品マスタ'!$B$6:$B$1005,$W8678)=0),COUNTIFS('①在庫を貼る'!$V$6:$V$10005,$V8678,'①在庫を貼る'!$W$6:$W$10005,$W8678)+COUNTIFS('月1回_1ヶ月前の在庫'!$V$6:$V$10005,$V8678,'月1回_1ヶ月前の在庫'!$W$6:$W$10005,$W8678)&gt;0),N(U8677),N(U8677)+1))</f>
        <v/>
      </c>
      <c r="V8678" s="19">
        <f>IF($B8678="","",TEXT($B8678,"0000"))</f>
        <v/>
      </c>
      <c r="W8678" s="19">
        <f>IF($I8678="","",IF(ISNUMBER($I8678),TEXT($I8678,"0"),$I8678))</f>
        <v/>
      </c>
    </row>
    <row r="8679">
      <c r="B8679" s="25" t="n"/>
      <c r="I8679" s="25" t="n"/>
      <c r="U8679" s="19">
        <f>IF($V8679&lt;&gt;'設定'!$C$4,N(U8678),IF(OR(NOT(COUNTIF('商品マスタ'!$B$6:$B$1005,$W8679)=0),COUNTIFS('①在庫を貼る'!$V$6:$V$10005,$V8679,'①在庫を貼る'!$W$6:$W$10005,$W8679)+COUNTIFS('月1回_1ヶ月前の在庫'!$V$6:$V$10005,$V8679,'月1回_1ヶ月前の在庫'!$W$6:$W$10005,$W8679)&gt;0),N(U8678),N(U8678)+1))</f>
        <v/>
      </c>
      <c r="V8679" s="19">
        <f>IF($B8679="","",TEXT($B8679,"0000"))</f>
        <v/>
      </c>
      <c r="W8679" s="19">
        <f>IF($I8679="","",IF(ISNUMBER($I8679),TEXT($I8679,"0"),$I8679))</f>
        <v/>
      </c>
    </row>
    <row r="8680">
      <c r="B8680" s="25" t="n"/>
      <c r="I8680" s="25" t="n"/>
      <c r="U8680" s="19">
        <f>IF($V8680&lt;&gt;'設定'!$C$4,N(U8679),IF(OR(NOT(COUNTIF('商品マスタ'!$B$6:$B$1005,$W8680)=0),COUNTIFS('①在庫を貼る'!$V$6:$V$10005,$V8680,'①在庫を貼る'!$W$6:$W$10005,$W8680)+COUNTIFS('月1回_1ヶ月前の在庫'!$V$6:$V$10005,$V8680,'月1回_1ヶ月前の在庫'!$W$6:$W$10005,$W8680)&gt;0),N(U8679),N(U8679)+1))</f>
        <v/>
      </c>
      <c r="V8680" s="19">
        <f>IF($B8680="","",TEXT($B8680,"0000"))</f>
        <v/>
      </c>
      <c r="W8680" s="19">
        <f>IF($I8680="","",IF(ISNUMBER($I8680),TEXT($I8680,"0"),$I8680))</f>
        <v/>
      </c>
    </row>
    <row r="8681">
      <c r="B8681" s="25" t="n"/>
      <c r="I8681" s="25" t="n"/>
      <c r="U8681" s="19">
        <f>IF($V8681&lt;&gt;'設定'!$C$4,N(U8680),IF(OR(NOT(COUNTIF('商品マスタ'!$B$6:$B$1005,$W8681)=0),COUNTIFS('①在庫を貼る'!$V$6:$V$10005,$V8681,'①在庫を貼る'!$W$6:$W$10005,$W8681)+COUNTIFS('月1回_1ヶ月前の在庫'!$V$6:$V$10005,$V8681,'月1回_1ヶ月前の在庫'!$W$6:$W$10005,$W8681)&gt;0),N(U8680),N(U8680)+1))</f>
        <v/>
      </c>
      <c r="V8681" s="19">
        <f>IF($B8681="","",TEXT($B8681,"0000"))</f>
        <v/>
      </c>
      <c r="W8681" s="19">
        <f>IF($I8681="","",IF(ISNUMBER($I8681),TEXT($I8681,"0"),$I8681))</f>
        <v/>
      </c>
    </row>
    <row r="8682">
      <c r="B8682" s="25" t="n"/>
      <c r="I8682" s="25" t="n"/>
      <c r="U8682" s="19">
        <f>IF($V8682&lt;&gt;'設定'!$C$4,N(U8681),IF(OR(NOT(COUNTIF('商品マスタ'!$B$6:$B$1005,$W8682)=0),COUNTIFS('①在庫を貼る'!$V$6:$V$10005,$V8682,'①在庫を貼る'!$W$6:$W$10005,$W8682)+COUNTIFS('月1回_1ヶ月前の在庫'!$V$6:$V$10005,$V8682,'月1回_1ヶ月前の在庫'!$W$6:$W$10005,$W8682)&gt;0),N(U8681),N(U8681)+1))</f>
        <v/>
      </c>
      <c r="V8682" s="19">
        <f>IF($B8682="","",TEXT($B8682,"0000"))</f>
        <v/>
      </c>
      <c r="W8682" s="19">
        <f>IF($I8682="","",IF(ISNUMBER($I8682),TEXT($I8682,"0"),$I8682))</f>
        <v/>
      </c>
    </row>
    <row r="8683">
      <c r="B8683" s="25" t="n"/>
      <c r="I8683" s="25" t="n"/>
      <c r="U8683" s="19">
        <f>IF($V8683&lt;&gt;'設定'!$C$4,N(U8682),IF(OR(NOT(COUNTIF('商品マスタ'!$B$6:$B$1005,$W8683)=0),COUNTIFS('①在庫を貼る'!$V$6:$V$10005,$V8683,'①在庫を貼る'!$W$6:$W$10005,$W8683)+COUNTIFS('月1回_1ヶ月前の在庫'!$V$6:$V$10005,$V8683,'月1回_1ヶ月前の在庫'!$W$6:$W$10005,$W8683)&gt;0),N(U8682),N(U8682)+1))</f>
        <v/>
      </c>
      <c r="V8683" s="19">
        <f>IF($B8683="","",TEXT($B8683,"0000"))</f>
        <v/>
      </c>
      <c r="W8683" s="19">
        <f>IF($I8683="","",IF(ISNUMBER($I8683),TEXT($I8683,"0"),$I8683))</f>
        <v/>
      </c>
    </row>
    <row r="8684">
      <c r="B8684" s="25" t="n"/>
      <c r="I8684" s="25" t="n"/>
      <c r="U8684" s="19">
        <f>IF($V8684&lt;&gt;'設定'!$C$4,N(U8683),IF(OR(NOT(COUNTIF('商品マスタ'!$B$6:$B$1005,$W8684)=0),COUNTIFS('①在庫を貼る'!$V$6:$V$10005,$V8684,'①在庫を貼る'!$W$6:$W$10005,$W8684)+COUNTIFS('月1回_1ヶ月前の在庫'!$V$6:$V$10005,$V8684,'月1回_1ヶ月前の在庫'!$W$6:$W$10005,$W8684)&gt;0),N(U8683),N(U8683)+1))</f>
        <v/>
      </c>
      <c r="V8684" s="19">
        <f>IF($B8684="","",TEXT($B8684,"0000"))</f>
        <v/>
      </c>
      <c r="W8684" s="19">
        <f>IF($I8684="","",IF(ISNUMBER($I8684),TEXT($I8684,"0"),$I8684))</f>
        <v/>
      </c>
    </row>
    <row r="8685">
      <c r="B8685" s="25" t="n"/>
      <c r="I8685" s="25" t="n"/>
      <c r="U8685" s="19">
        <f>IF($V8685&lt;&gt;'設定'!$C$4,N(U8684),IF(OR(NOT(COUNTIF('商品マスタ'!$B$6:$B$1005,$W8685)=0),COUNTIFS('①在庫を貼る'!$V$6:$V$10005,$V8685,'①在庫を貼る'!$W$6:$W$10005,$W8685)+COUNTIFS('月1回_1ヶ月前の在庫'!$V$6:$V$10005,$V8685,'月1回_1ヶ月前の在庫'!$W$6:$W$10005,$W8685)&gt;0),N(U8684),N(U8684)+1))</f>
        <v/>
      </c>
      <c r="V8685" s="19">
        <f>IF($B8685="","",TEXT($B8685,"0000"))</f>
        <v/>
      </c>
      <c r="W8685" s="19">
        <f>IF($I8685="","",IF(ISNUMBER($I8685),TEXT($I8685,"0"),$I8685))</f>
        <v/>
      </c>
    </row>
    <row r="8686">
      <c r="B8686" s="25" t="n"/>
      <c r="I8686" s="25" t="n"/>
      <c r="U8686" s="19">
        <f>IF($V8686&lt;&gt;'設定'!$C$4,N(U8685),IF(OR(NOT(COUNTIF('商品マスタ'!$B$6:$B$1005,$W8686)=0),COUNTIFS('①在庫を貼る'!$V$6:$V$10005,$V8686,'①在庫を貼る'!$W$6:$W$10005,$W8686)+COUNTIFS('月1回_1ヶ月前の在庫'!$V$6:$V$10005,$V8686,'月1回_1ヶ月前の在庫'!$W$6:$W$10005,$W8686)&gt;0),N(U8685),N(U8685)+1))</f>
        <v/>
      </c>
      <c r="V8686" s="19">
        <f>IF($B8686="","",TEXT($B8686,"0000"))</f>
        <v/>
      </c>
      <c r="W8686" s="19">
        <f>IF($I8686="","",IF(ISNUMBER($I8686),TEXT($I8686,"0"),$I8686))</f>
        <v/>
      </c>
    </row>
    <row r="8687">
      <c r="B8687" s="25" t="n"/>
      <c r="I8687" s="25" t="n"/>
      <c r="U8687" s="19">
        <f>IF($V8687&lt;&gt;'設定'!$C$4,N(U8686),IF(OR(NOT(COUNTIF('商品マスタ'!$B$6:$B$1005,$W8687)=0),COUNTIFS('①在庫を貼る'!$V$6:$V$10005,$V8687,'①在庫を貼る'!$W$6:$W$10005,$W8687)+COUNTIFS('月1回_1ヶ月前の在庫'!$V$6:$V$10005,$V8687,'月1回_1ヶ月前の在庫'!$W$6:$W$10005,$W8687)&gt;0),N(U8686),N(U8686)+1))</f>
        <v/>
      </c>
      <c r="V8687" s="19">
        <f>IF($B8687="","",TEXT($B8687,"0000"))</f>
        <v/>
      </c>
      <c r="W8687" s="19">
        <f>IF($I8687="","",IF(ISNUMBER($I8687),TEXT($I8687,"0"),$I8687))</f>
        <v/>
      </c>
    </row>
    <row r="8688">
      <c r="B8688" s="25" t="n"/>
      <c r="I8688" s="25" t="n"/>
      <c r="U8688" s="19">
        <f>IF($V8688&lt;&gt;'設定'!$C$4,N(U8687),IF(OR(NOT(COUNTIF('商品マスタ'!$B$6:$B$1005,$W8688)=0),COUNTIFS('①在庫を貼る'!$V$6:$V$10005,$V8688,'①在庫を貼る'!$W$6:$W$10005,$W8688)+COUNTIFS('月1回_1ヶ月前の在庫'!$V$6:$V$10005,$V8688,'月1回_1ヶ月前の在庫'!$W$6:$W$10005,$W8688)&gt;0),N(U8687),N(U8687)+1))</f>
        <v/>
      </c>
      <c r="V8688" s="19">
        <f>IF($B8688="","",TEXT($B8688,"0000"))</f>
        <v/>
      </c>
      <c r="W8688" s="19">
        <f>IF($I8688="","",IF(ISNUMBER($I8688),TEXT($I8688,"0"),$I8688))</f>
        <v/>
      </c>
    </row>
    <row r="8689">
      <c r="B8689" s="25" t="n"/>
      <c r="I8689" s="25" t="n"/>
      <c r="U8689" s="19">
        <f>IF($V8689&lt;&gt;'設定'!$C$4,N(U8688),IF(OR(NOT(COUNTIF('商品マスタ'!$B$6:$B$1005,$W8689)=0),COUNTIFS('①在庫を貼る'!$V$6:$V$10005,$V8689,'①在庫を貼る'!$W$6:$W$10005,$W8689)+COUNTIFS('月1回_1ヶ月前の在庫'!$V$6:$V$10005,$V8689,'月1回_1ヶ月前の在庫'!$W$6:$W$10005,$W8689)&gt;0),N(U8688),N(U8688)+1))</f>
        <v/>
      </c>
      <c r="V8689" s="19">
        <f>IF($B8689="","",TEXT($B8689,"0000"))</f>
        <v/>
      </c>
      <c r="W8689" s="19">
        <f>IF($I8689="","",IF(ISNUMBER($I8689),TEXT($I8689,"0"),$I8689))</f>
        <v/>
      </c>
    </row>
    <row r="8690">
      <c r="B8690" s="25" t="n"/>
      <c r="I8690" s="25" t="n"/>
      <c r="U8690" s="19">
        <f>IF($V8690&lt;&gt;'設定'!$C$4,N(U8689),IF(OR(NOT(COUNTIF('商品マスタ'!$B$6:$B$1005,$W8690)=0),COUNTIFS('①在庫を貼る'!$V$6:$V$10005,$V8690,'①在庫を貼る'!$W$6:$W$10005,$W8690)+COUNTIFS('月1回_1ヶ月前の在庫'!$V$6:$V$10005,$V8690,'月1回_1ヶ月前の在庫'!$W$6:$W$10005,$W8690)&gt;0),N(U8689),N(U8689)+1))</f>
        <v/>
      </c>
      <c r="V8690" s="19">
        <f>IF($B8690="","",TEXT($B8690,"0000"))</f>
        <v/>
      </c>
      <c r="W8690" s="19">
        <f>IF($I8690="","",IF(ISNUMBER($I8690),TEXT($I8690,"0"),$I8690))</f>
        <v/>
      </c>
    </row>
    <row r="8691">
      <c r="B8691" s="25" t="n"/>
      <c r="I8691" s="25" t="n"/>
      <c r="U8691" s="19">
        <f>IF($V8691&lt;&gt;'設定'!$C$4,N(U8690),IF(OR(NOT(COUNTIF('商品マスタ'!$B$6:$B$1005,$W8691)=0),COUNTIFS('①在庫を貼る'!$V$6:$V$10005,$V8691,'①在庫を貼る'!$W$6:$W$10005,$W8691)+COUNTIFS('月1回_1ヶ月前の在庫'!$V$6:$V$10005,$V8691,'月1回_1ヶ月前の在庫'!$W$6:$W$10005,$W8691)&gt;0),N(U8690),N(U8690)+1))</f>
        <v/>
      </c>
      <c r="V8691" s="19">
        <f>IF($B8691="","",TEXT($B8691,"0000"))</f>
        <v/>
      </c>
      <c r="W8691" s="19">
        <f>IF($I8691="","",IF(ISNUMBER($I8691),TEXT($I8691,"0"),$I8691))</f>
        <v/>
      </c>
    </row>
    <row r="8692">
      <c r="B8692" s="25" t="n"/>
      <c r="I8692" s="25" t="n"/>
      <c r="U8692" s="19">
        <f>IF($V8692&lt;&gt;'設定'!$C$4,N(U8691),IF(OR(NOT(COUNTIF('商品マスタ'!$B$6:$B$1005,$W8692)=0),COUNTIFS('①在庫を貼る'!$V$6:$V$10005,$V8692,'①在庫を貼る'!$W$6:$W$10005,$W8692)+COUNTIFS('月1回_1ヶ月前の在庫'!$V$6:$V$10005,$V8692,'月1回_1ヶ月前の在庫'!$W$6:$W$10005,$W8692)&gt;0),N(U8691),N(U8691)+1))</f>
        <v/>
      </c>
      <c r="V8692" s="19">
        <f>IF($B8692="","",TEXT($B8692,"0000"))</f>
        <v/>
      </c>
      <c r="W8692" s="19">
        <f>IF($I8692="","",IF(ISNUMBER($I8692),TEXT($I8692,"0"),$I8692))</f>
        <v/>
      </c>
    </row>
    <row r="8693">
      <c r="B8693" s="25" t="n"/>
      <c r="I8693" s="25" t="n"/>
      <c r="U8693" s="19">
        <f>IF($V8693&lt;&gt;'設定'!$C$4,N(U8692),IF(OR(NOT(COUNTIF('商品マスタ'!$B$6:$B$1005,$W8693)=0),COUNTIFS('①在庫を貼る'!$V$6:$V$10005,$V8693,'①在庫を貼る'!$W$6:$W$10005,$W8693)+COUNTIFS('月1回_1ヶ月前の在庫'!$V$6:$V$10005,$V8693,'月1回_1ヶ月前の在庫'!$W$6:$W$10005,$W8693)&gt;0),N(U8692),N(U8692)+1))</f>
        <v/>
      </c>
      <c r="V8693" s="19">
        <f>IF($B8693="","",TEXT($B8693,"0000"))</f>
        <v/>
      </c>
      <c r="W8693" s="19">
        <f>IF($I8693="","",IF(ISNUMBER($I8693),TEXT($I8693,"0"),$I8693))</f>
        <v/>
      </c>
    </row>
    <row r="8694">
      <c r="B8694" s="25" t="n"/>
      <c r="I8694" s="25" t="n"/>
      <c r="U8694" s="19">
        <f>IF($V8694&lt;&gt;'設定'!$C$4,N(U8693),IF(OR(NOT(COUNTIF('商品マスタ'!$B$6:$B$1005,$W8694)=0),COUNTIFS('①在庫を貼る'!$V$6:$V$10005,$V8694,'①在庫を貼る'!$W$6:$W$10005,$W8694)+COUNTIFS('月1回_1ヶ月前の在庫'!$V$6:$V$10005,$V8694,'月1回_1ヶ月前の在庫'!$W$6:$W$10005,$W8694)&gt;0),N(U8693),N(U8693)+1))</f>
        <v/>
      </c>
      <c r="V8694" s="19">
        <f>IF($B8694="","",TEXT($B8694,"0000"))</f>
        <v/>
      </c>
      <c r="W8694" s="19">
        <f>IF($I8694="","",IF(ISNUMBER($I8694),TEXT($I8694,"0"),$I8694))</f>
        <v/>
      </c>
    </row>
    <row r="8695">
      <c r="B8695" s="25" t="n"/>
      <c r="I8695" s="25" t="n"/>
      <c r="U8695" s="19">
        <f>IF($V8695&lt;&gt;'設定'!$C$4,N(U8694),IF(OR(NOT(COUNTIF('商品マスタ'!$B$6:$B$1005,$W8695)=0),COUNTIFS('①在庫を貼る'!$V$6:$V$10005,$V8695,'①在庫を貼る'!$W$6:$W$10005,$W8695)+COUNTIFS('月1回_1ヶ月前の在庫'!$V$6:$V$10005,$V8695,'月1回_1ヶ月前の在庫'!$W$6:$W$10005,$W8695)&gt;0),N(U8694),N(U8694)+1))</f>
        <v/>
      </c>
      <c r="V8695" s="19">
        <f>IF($B8695="","",TEXT($B8695,"0000"))</f>
        <v/>
      </c>
      <c r="W8695" s="19">
        <f>IF($I8695="","",IF(ISNUMBER($I8695),TEXT($I8695,"0"),$I8695))</f>
        <v/>
      </c>
    </row>
    <row r="8696">
      <c r="B8696" s="25" t="n"/>
      <c r="I8696" s="25" t="n"/>
      <c r="U8696" s="19">
        <f>IF($V8696&lt;&gt;'設定'!$C$4,N(U8695),IF(OR(NOT(COUNTIF('商品マスタ'!$B$6:$B$1005,$W8696)=0),COUNTIFS('①在庫を貼る'!$V$6:$V$10005,$V8696,'①在庫を貼る'!$W$6:$W$10005,$W8696)+COUNTIFS('月1回_1ヶ月前の在庫'!$V$6:$V$10005,$V8696,'月1回_1ヶ月前の在庫'!$W$6:$W$10005,$W8696)&gt;0),N(U8695),N(U8695)+1))</f>
        <v/>
      </c>
      <c r="V8696" s="19">
        <f>IF($B8696="","",TEXT($B8696,"0000"))</f>
        <v/>
      </c>
      <c r="W8696" s="19">
        <f>IF($I8696="","",IF(ISNUMBER($I8696),TEXT($I8696,"0"),$I8696))</f>
        <v/>
      </c>
    </row>
    <row r="8697">
      <c r="B8697" s="25" t="n"/>
      <c r="I8697" s="25" t="n"/>
      <c r="U8697" s="19">
        <f>IF($V8697&lt;&gt;'設定'!$C$4,N(U8696),IF(OR(NOT(COUNTIF('商品マスタ'!$B$6:$B$1005,$W8697)=0),COUNTIFS('①在庫を貼る'!$V$6:$V$10005,$V8697,'①在庫を貼る'!$W$6:$W$10005,$W8697)+COUNTIFS('月1回_1ヶ月前の在庫'!$V$6:$V$10005,$V8697,'月1回_1ヶ月前の在庫'!$W$6:$W$10005,$W8697)&gt;0),N(U8696),N(U8696)+1))</f>
        <v/>
      </c>
      <c r="V8697" s="19">
        <f>IF($B8697="","",TEXT($B8697,"0000"))</f>
        <v/>
      </c>
      <c r="W8697" s="19">
        <f>IF($I8697="","",IF(ISNUMBER($I8697),TEXT($I8697,"0"),$I8697))</f>
        <v/>
      </c>
    </row>
    <row r="8698">
      <c r="B8698" s="25" t="n"/>
      <c r="I8698" s="25" t="n"/>
      <c r="U8698" s="19">
        <f>IF($V8698&lt;&gt;'設定'!$C$4,N(U8697),IF(OR(NOT(COUNTIF('商品マスタ'!$B$6:$B$1005,$W8698)=0),COUNTIFS('①在庫を貼る'!$V$6:$V$10005,$V8698,'①在庫を貼る'!$W$6:$W$10005,$W8698)+COUNTIFS('月1回_1ヶ月前の在庫'!$V$6:$V$10005,$V8698,'月1回_1ヶ月前の在庫'!$W$6:$W$10005,$W8698)&gt;0),N(U8697),N(U8697)+1))</f>
        <v/>
      </c>
      <c r="V8698" s="19">
        <f>IF($B8698="","",TEXT($B8698,"0000"))</f>
        <v/>
      </c>
      <c r="W8698" s="19">
        <f>IF($I8698="","",IF(ISNUMBER($I8698),TEXT($I8698,"0"),$I8698))</f>
        <v/>
      </c>
    </row>
    <row r="8699">
      <c r="B8699" s="25" t="n"/>
      <c r="I8699" s="25" t="n"/>
      <c r="U8699" s="19">
        <f>IF($V8699&lt;&gt;'設定'!$C$4,N(U8698),IF(OR(NOT(COUNTIF('商品マスタ'!$B$6:$B$1005,$W8699)=0),COUNTIFS('①在庫を貼る'!$V$6:$V$10005,$V8699,'①在庫を貼る'!$W$6:$W$10005,$W8699)+COUNTIFS('月1回_1ヶ月前の在庫'!$V$6:$V$10005,$V8699,'月1回_1ヶ月前の在庫'!$W$6:$W$10005,$W8699)&gt;0),N(U8698),N(U8698)+1))</f>
        <v/>
      </c>
      <c r="V8699" s="19">
        <f>IF($B8699="","",TEXT($B8699,"0000"))</f>
        <v/>
      </c>
      <c r="W8699" s="19">
        <f>IF($I8699="","",IF(ISNUMBER($I8699),TEXT($I8699,"0"),$I8699))</f>
        <v/>
      </c>
    </row>
    <row r="8700">
      <c r="B8700" s="25" t="n"/>
      <c r="I8700" s="25" t="n"/>
      <c r="U8700" s="19">
        <f>IF($V8700&lt;&gt;'設定'!$C$4,N(U8699),IF(OR(NOT(COUNTIF('商品マスタ'!$B$6:$B$1005,$W8700)=0),COUNTIFS('①在庫を貼る'!$V$6:$V$10005,$V8700,'①在庫を貼る'!$W$6:$W$10005,$W8700)+COUNTIFS('月1回_1ヶ月前の在庫'!$V$6:$V$10005,$V8700,'月1回_1ヶ月前の在庫'!$W$6:$W$10005,$W8700)&gt;0),N(U8699),N(U8699)+1))</f>
        <v/>
      </c>
      <c r="V8700" s="19">
        <f>IF($B8700="","",TEXT($B8700,"0000"))</f>
        <v/>
      </c>
      <c r="W8700" s="19">
        <f>IF($I8700="","",IF(ISNUMBER($I8700),TEXT($I8700,"0"),$I8700))</f>
        <v/>
      </c>
    </row>
    <row r="8701">
      <c r="B8701" s="25" t="n"/>
      <c r="I8701" s="25" t="n"/>
      <c r="U8701" s="19">
        <f>IF($V8701&lt;&gt;'設定'!$C$4,N(U8700),IF(OR(NOT(COUNTIF('商品マスタ'!$B$6:$B$1005,$W8701)=0),COUNTIFS('①在庫を貼る'!$V$6:$V$10005,$V8701,'①在庫を貼る'!$W$6:$W$10005,$W8701)+COUNTIFS('月1回_1ヶ月前の在庫'!$V$6:$V$10005,$V8701,'月1回_1ヶ月前の在庫'!$W$6:$W$10005,$W8701)&gt;0),N(U8700),N(U8700)+1))</f>
        <v/>
      </c>
      <c r="V8701" s="19">
        <f>IF($B8701="","",TEXT($B8701,"0000"))</f>
        <v/>
      </c>
      <c r="W8701" s="19">
        <f>IF($I8701="","",IF(ISNUMBER($I8701),TEXT($I8701,"0"),$I8701))</f>
        <v/>
      </c>
    </row>
    <row r="8702">
      <c r="B8702" s="25" t="n"/>
      <c r="I8702" s="25" t="n"/>
      <c r="U8702" s="19">
        <f>IF($V8702&lt;&gt;'設定'!$C$4,N(U8701),IF(OR(NOT(COUNTIF('商品マスタ'!$B$6:$B$1005,$W8702)=0),COUNTIFS('①在庫を貼る'!$V$6:$V$10005,$V8702,'①在庫を貼る'!$W$6:$W$10005,$W8702)+COUNTIFS('月1回_1ヶ月前の在庫'!$V$6:$V$10005,$V8702,'月1回_1ヶ月前の在庫'!$W$6:$W$10005,$W8702)&gt;0),N(U8701),N(U8701)+1))</f>
        <v/>
      </c>
      <c r="V8702" s="19">
        <f>IF($B8702="","",TEXT($B8702,"0000"))</f>
        <v/>
      </c>
      <c r="W8702" s="19">
        <f>IF($I8702="","",IF(ISNUMBER($I8702),TEXT($I8702,"0"),$I8702))</f>
        <v/>
      </c>
    </row>
    <row r="8703">
      <c r="B8703" s="25" t="n"/>
      <c r="I8703" s="25" t="n"/>
      <c r="U8703" s="19">
        <f>IF($V8703&lt;&gt;'設定'!$C$4,N(U8702),IF(OR(NOT(COUNTIF('商品マスタ'!$B$6:$B$1005,$W8703)=0),COUNTIFS('①在庫を貼る'!$V$6:$V$10005,$V8703,'①在庫を貼る'!$W$6:$W$10005,$W8703)+COUNTIFS('月1回_1ヶ月前の在庫'!$V$6:$V$10005,$V8703,'月1回_1ヶ月前の在庫'!$W$6:$W$10005,$W8703)&gt;0),N(U8702),N(U8702)+1))</f>
        <v/>
      </c>
      <c r="V8703" s="19">
        <f>IF($B8703="","",TEXT($B8703,"0000"))</f>
        <v/>
      </c>
      <c r="W8703" s="19">
        <f>IF($I8703="","",IF(ISNUMBER($I8703),TEXT($I8703,"0"),$I8703))</f>
        <v/>
      </c>
    </row>
    <row r="8704">
      <c r="B8704" s="25" t="n"/>
      <c r="I8704" s="25" t="n"/>
      <c r="U8704" s="19">
        <f>IF($V8704&lt;&gt;'設定'!$C$4,N(U8703),IF(OR(NOT(COUNTIF('商品マスタ'!$B$6:$B$1005,$W8704)=0),COUNTIFS('①在庫を貼る'!$V$6:$V$10005,$V8704,'①在庫を貼る'!$W$6:$W$10005,$W8704)+COUNTIFS('月1回_1ヶ月前の在庫'!$V$6:$V$10005,$V8704,'月1回_1ヶ月前の在庫'!$W$6:$W$10005,$W8704)&gt;0),N(U8703),N(U8703)+1))</f>
        <v/>
      </c>
      <c r="V8704" s="19">
        <f>IF($B8704="","",TEXT($B8704,"0000"))</f>
        <v/>
      </c>
      <c r="W8704" s="19">
        <f>IF($I8704="","",IF(ISNUMBER($I8704),TEXT($I8704,"0"),$I8704))</f>
        <v/>
      </c>
    </row>
    <row r="8705">
      <c r="B8705" s="25" t="n"/>
      <c r="I8705" s="25" t="n"/>
      <c r="U8705" s="19">
        <f>IF($V8705&lt;&gt;'設定'!$C$4,N(U8704),IF(OR(NOT(COUNTIF('商品マスタ'!$B$6:$B$1005,$W8705)=0),COUNTIFS('①在庫を貼る'!$V$6:$V$10005,$V8705,'①在庫を貼る'!$W$6:$W$10005,$W8705)+COUNTIFS('月1回_1ヶ月前の在庫'!$V$6:$V$10005,$V8705,'月1回_1ヶ月前の在庫'!$W$6:$W$10005,$W8705)&gt;0),N(U8704),N(U8704)+1))</f>
        <v/>
      </c>
      <c r="V8705" s="19">
        <f>IF($B8705="","",TEXT($B8705,"0000"))</f>
        <v/>
      </c>
      <c r="W8705" s="19">
        <f>IF($I8705="","",IF(ISNUMBER($I8705),TEXT($I8705,"0"),$I8705))</f>
        <v/>
      </c>
    </row>
    <row r="8706">
      <c r="B8706" s="25" t="n"/>
      <c r="I8706" s="25" t="n"/>
      <c r="U8706" s="19">
        <f>IF($V8706&lt;&gt;'設定'!$C$4,N(U8705),IF(OR(NOT(COUNTIF('商品マスタ'!$B$6:$B$1005,$W8706)=0),COUNTIFS('①在庫を貼る'!$V$6:$V$10005,$V8706,'①在庫を貼る'!$W$6:$W$10005,$W8706)+COUNTIFS('月1回_1ヶ月前の在庫'!$V$6:$V$10005,$V8706,'月1回_1ヶ月前の在庫'!$W$6:$W$10005,$W8706)&gt;0),N(U8705),N(U8705)+1))</f>
        <v/>
      </c>
      <c r="V8706" s="19">
        <f>IF($B8706="","",TEXT($B8706,"0000"))</f>
        <v/>
      </c>
      <c r="W8706" s="19">
        <f>IF($I8706="","",IF(ISNUMBER($I8706),TEXT($I8706,"0"),$I8706))</f>
        <v/>
      </c>
    </row>
    <row r="8707">
      <c r="B8707" s="25" t="n"/>
      <c r="I8707" s="25" t="n"/>
      <c r="U8707" s="19">
        <f>IF($V8707&lt;&gt;'設定'!$C$4,N(U8706),IF(OR(NOT(COUNTIF('商品マスタ'!$B$6:$B$1005,$W8707)=0),COUNTIFS('①在庫を貼る'!$V$6:$V$10005,$V8707,'①在庫を貼る'!$W$6:$W$10005,$W8707)+COUNTIFS('月1回_1ヶ月前の在庫'!$V$6:$V$10005,$V8707,'月1回_1ヶ月前の在庫'!$W$6:$W$10005,$W8707)&gt;0),N(U8706),N(U8706)+1))</f>
        <v/>
      </c>
      <c r="V8707" s="19">
        <f>IF($B8707="","",TEXT($B8707,"0000"))</f>
        <v/>
      </c>
      <c r="W8707" s="19">
        <f>IF($I8707="","",IF(ISNUMBER($I8707),TEXT($I8707,"0"),$I8707))</f>
        <v/>
      </c>
    </row>
    <row r="8708">
      <c r="B8708" s="25" t="n"/>
      <c r="I8708" s="25" t="n"/>
      <c r="U8708" s="19">
        <f>IF($V8708&lt;&gt;'設定'!$C$4,N(U8707),IF(OR(NOT(COUNTIF('商品マスタ'!$B$6:$B$1005,$W8708)=0),COUNTIFS('①在庫を貼る'!$V$6:$V$10005,$V8708,'①在庫を貼る'!$W$6:$W$10005,$W8708)+COUNTIFS('月1回_1ヶ月前の在庫'!$V$6:$V$10005,$V8708,'月1回_1ヶ月前の在庫'!$W$6:$W$10005,$W8708)&gt;0),N(U8707),N(U8707)+1))</f>
        <v/>
      </c>
      <c r="V8708" s="19">
        <f>IF($B8708="","",TEXT($B8708,"0000"))</f>
        <v/>
      </c>
      <c r="W8708" s="19">
        <f>IF($I8708="","",IF(ISNUMBER($I8708),TEXT($I8708,"0"),$I8708))</f>
        <v/>
      </c>
    </row>
    <row r="8709">
      <c r="B8709" s="25" t="n"/>
      <c r="I8709" s="25" t="n"/>
      <c r="U8709" s="19">
        <f>IF($V8709&lt;&gt;'設定'!$C$4,N(U8708),IF(OR(NOT(COUNTIF('商品マスタ'!$B$6:$B$1005,$W8709)=0),COUNTIFS('①在庫を貼る'!$V$6:$V$10005,$V8709,'①在庫を貼る'!$W$6:$W$10005,$W8709)+COUNTIFS('月1回_1ヶ月前の在庫'!$V$6:$V$10005,$V8709,'月1回_1ヶ月前の在庫'!$W$6:$W$10005,$W8709)&gt;0),N(U8708),N(U8708)+1))</f>
        <v/>
      </c>
      <c r="V8709" s="19">
        <f>IF($B8709="","",TEXT($B8709,"0000"))</f>
        <v/>
      </c>
      <c r="W8709" s="19">
        <f>IF($I8709="","",IF(ISNUMBER($I8709),TEXT($I8709,"0"),$I8709))</f>
        <v/>
      </c>
    </row>
    <row r="8710">
      <c r="B8710" s="25" t="n"/>
      <c r="I8710" s="25" t="n"/>
      <c r="U8710" s="19">
        <f>IF($V8710&lt;&gt;'設定'!$C$4,N(U8709),IF(OR(NOT(COUNTIF('商品マスタ'!$B$6:$B$1005,$W8710)=0),COUNTIFS('①在庫を貼る'!$V$6:$V$10005,$V8710,'①在庫を貼る'!$W$6:$W$10005,$W8710)+COUNTIFS('月1回_1ヶ月前の在庫'!$V$6:$V$10005,$V8710,'月1回_1ヶ月前の在庫'!$W$6:$W$10005,$W8710)&gt;0),N(U8709),N(U8709)+1))</f>
        <v/>
      </c>
      <c r="V8710" s="19">
        <f>IF($B8710="","",TEXT($B8710,"0000"))</f>
        <v/>
      </c>
      <c r="W8710" s="19">
        <f>IF($I8710="","",IF(ISNUMBER($I8710),TEXT($I8710,"0"),$I8710))</f>
        <v/>
      </c>
    </row>
    <row r="8711">
      <c r="B8711" s="25" t="n"/>
      <c r="I8711" s="25" t="n"/>
      <c r="U8711" s="19">
        <f>IF($V8711&lt;&gt;'設定'!$C$4,N(U8710),IF(OR(NOT(COUNTIF('商品マスタ'!$B$6:$B$1005,$W8711)=0),COUNTIFS('①在庫を貼る'!$V$6:$V$10005,$V8711,'①在庫を貼る'!$W$6:$W$10005,$W8711)+COUNTIFS('月1回_1ヶ月前の在庫'!$V$6:$V$10005,$V8711,'月1回_1ヶ月前の在庫'!$W$6:$W$10005,$W8711)&gt;0),N(U8710),N(U8710)+1))</f>
        <v/>
      </c>
      <c r="V8711" s="19">
        <f>IF($B8711="","",TEXT($B8711,"0000"))</f>
        <v/>
      </c>
      <c r="W8711" s="19">
        <f>IF($I8711="","",IF(ISNUMBER($I8711),TEXT($I8711,"0"),$I8711))</f>
        <v/>
      </c>
    </row>
    <row r="8712">
      <c r="B8712" s="25" t="n"/>
      <c r="I8712" s="25" t="n"/>
      <c r="U8712" s="19">
        <f>IF($V8712&lt;&gt;'設定'!$C$4,N(U8711),IF(OR(NOT(COUNTIF('商品マスタ'!$B$6:$B$1005,$W8712)=0),COUNTIFS('①在庫を貼る'!$V$6:$V$10005,$V8712,'①在庫を貼る'!$W$6:$W$10005,$W8712)+COUNTIFS('月1回_1ヶ月前の在庫'!$V$6:$V$10005,$V8712,'月1回_1ヶ月前の在庫'!$W$6:$W$10005,$W8712)&gt;0),N(U8711),N(U8711)+1))</f>
        <v/>
      </c>
      <c r="V8712" s="19">
        <f>IF($B8712="","",TEXT($B8712,"0000"))</f>
        <v/>
      </c>
      <c r="W8712" s="19">
        <f>IF($I8712="","",IF(ISNUMBER($I8712),TEXT($I8712,"0"),$I8712))</f>
        <v/>
      </c>
    </row>
    <row r="8713">
      <c r="B8713" s="25" t="n"/>
      <c r="I8713" s="25" t="n"/>
      <c r="U8713" s="19">
        <f>IF($V8713&lt;&gt;'設定'!$C$4,N(U8712),IF(OR(NOT(COUNTIF('商品マスタ'!$B$6:$B$1005,$W8713)=0),COUNTIFS('①在庫を貼る'!$V$6:$V$10005,$V8713,'①在庫を貼る'!$W$6:$W$10005,$W8713)+COUNTIFS('月1回_1ヶ月前の在庫'!$V$6:$V$10005,$V8713,'月1回_1ヶ月前の在庫'!$W$6:$W$10005,$W8713)&gt;0),N(U8712),N(U8712)+1))</f>
        <v/>
      </c>
      <c r="V8713" s="19">
        <f>IF($B8713="","",TEXT($B8713,"0000"))</f>
        <v/>
      </c>
      <c r="W8713" s="19">
        <f>IF($I8713="","",IF(ISNUMBER($I8713),TEXT($I8713,"0"),$I8713))</f>
        <v/>
      </c>
    </row>
    <row r="8714">
      <c r="B8714" s="25" t="n"/>
      <c r="I8714" s="25" t="n"/>
      <c r="U8714" s="19">
        <f>IF($V8714&lt;&gt;'設定'!$C$4,N(U8713),IF(OR(NOT(COUNTIF('商品マスタ'!$B$6:$B$1005,$W8714)=0),COUNTIFS('①在庫を貼る'!$V$6:$V$10005,$V8714,'①在庫を貼る'!$W$6:$W$10005,$W8714)+COUNTIFS('月1回_1ヶ月前の在庫'!$V$6:$V$10005,$V8714,'月1回_1ヶ月前の在庫'!$W$6:$W$10005,$W8714)&gt;0),N(U8713),N(U8713)+1))</f>
        <v/>
      </c>
      <c r="V8714" s="19">
        <f>IF($B8714="","",TEXT($B8714,"0000"))</f>
        <v/>
      </c>
      <c r="W8714" s="19">
        <f>IF($I8714="","",IF(ISNUMBER($I8714),TEXT($I8714,"0"),$I8714))</f>
        <v/>
      </c>
    </row>
    <row r="8715">
      <c r="B8715" s="25" t="n"/>
      <c r="I8715" s="25" t="n"/>
      <c r="U8715" s="19">
        <f>IF($V8715&lt;&gt;'設定'!$C$4,N(U8714),IF(OR(NOT(COUNTIF('商品マスタ'!$B$6:$B$1005,$W8715)=0),COUNTIFS('①在庫を貼る'!$V$6:$V$10005,$V8715,'①在庫を貼る'!$W$6:$W$10005,$W8715)+COUNTIFS('月1回_1ヶ月前の在庫'!$V$6:$V$10005,$V8715,'月1回_1ヶ月前の在庫'!$W$6:$W$10005,$W8715)&gt;0),N(U8714),N(U8714)+1))</f>
        <v/>
      </c>
      <c r="V8715" s="19">
        <f>IF($B8715="","",TEXT($B8715,"0000"))</f>
        <v/>
      </c>
      <c r="W8715" s="19">
        <f>IF($I8715="","",IF(ISNUMBER($I8715),TEXT($I8715,"0"),$I8715))</f>
        <v/>
      </c>
    </row>
    <row r="8716">
      <c r="B8716" s="25" t="n"/>
      <c r="I8716" s="25" t="n"/>
      <c r="U8716" s="19">
        <f>IF($V8716&lt;&gt;'設定'!$C$4,N(U8715),IF(OR(NOT(COUNTIF('商品マスタ'!$B$6:$B$1005,$W8716)=0),COUNTIFS('①在庫を貼る'!$V$6:$V$10005,$V8716,'①在庫を貼る'!$W$6:$W$10005,$W8716)+COUNTIFS('月1回_1ヶ月前の在庫'!$V$6:$V$10005,$V8716,'月1回_1ヶ月前の在庫'!$W$6:$W$10005,$W8716)&gt;0),N(U8715),N(U8715)+1))</f>
        <v/>
      </c>
      <c r="V8716" s="19">
        <f>IF($B8716="","",TEXT($B8716,"0000"))</f>
        <v/>
      </c>
      <c r="W8716" s="19">
        <f>IF($I8716="","",IF(ISNUMBER($I8716),TEXT($I8716,"0"),$I8716))</f>
        <v/>
      </c>
    </row>
    <row r="8717">
      <c r="B8717" s="25" t="n"/>
      <c r="I8717" s="25" t="n"/>
      <c r="U8717" s="19">
        <f>IF($V8717&lt;&gt;'設定'!$C$4,N(U8716),IF(OR(NOT(COUNTIF('商品マスタ'!$B$6:$B$1005,$W8717)=0),COUNTIFS('①在庫を貼る'!$V$6:$V$10005,$V8717,'①在庫を貼る'!$W$6:$W$10005,$W8717)+COUNTIFS('月1回_1ヶ月前の在庫'!$V$6:$V$10005,$V8717,'月1回_1ヶ月前の在庫'!$W$6:$W$10005,$W8717)&gt;0),N(U8716),N(U8716)+1))</f>
        <v/>
      </c>
      <c r="V8717" s="19">
        <f>IF($B8717="","",TEXT($B8717,"0000"))</f>
        <v/>
      </c>
      <c r="W8717" s="19">
        <f>IF($I8717="","",IF(ISNUMBER($I8717),TEXT($I8717,"0"),$I8717))</f>
        <v/>
      </c>
    </row>
    <row r="8718">
      <c r="B8718" s="25" t="n"/>
      <c r="I8718" s="25" t="n"/>
      <c r="U8718" s="19">
        <f>IF($V8718&lt;&gt;'設定'!$C$4,N(U8717),IF(OR(NOT(COUNTIF('商品マスタ'!$B$6:$B$1005,$W8718)=0),COUNTIFS('①在庫を貼る'!$V$6:$V$10005,$V8718,'①在庫を貼る'!$W$6:$W$10005,$W8718)+COUNTIFS('月1回_1ヶ月前の在庫'!$V$6:$V$10005,$V8718,'月1回_1ヶ月前の在庫'!$W$6:$W$10005,$W8718)&gt;0),N(U8717),N(U8717)+1))</f>
        <v/>
      </c>
      <c r="V8718" s="19">
        <f>IF($B8718="","",TEXT($B8718,"0000"))</f>
        <v/>
      </c>
      <c r="W8718" s="19">
        <f>IF($I8718="","",IF(ISNUMBER($I8718),TEXT($I8718,"0"),$I8718))</f>
        <v/>
      </c>
    </row>
    <row r="8719">
      <c r="B8719" s="25" t="n"/>
      <c r="I8719" s="25" t="n"/>
      <c r="U8719" s="19">
        <f>IF($V8719&lt;&gt;'設定'!$C$4,N(U8718),IF(OR(NOT(COUNTIF('商品マスタ'!$B$6:$B$1005,$W8719)=0),COUNTIFS('①在庫を貼る'!$V$6:$V$10005,$V8719,'①在庫を貼る'!$W$6:$W$10005,$W8719)+COUNTIFS('月1回_1ヶ月前の在庫'!$V$6:$V$10005,$V8719,'月1回_1ヶ月前の在庫'!$W$6:$W$10005,$W8719)&gt;0),N(U8718),N(U8718)+1))</f>
        <v/>
      </c>
      <c r="V8719" s="19">
        <f>IF($B8719="","",TEXT($B8719,"0000"))</f>
        <v/>
      </c>
      <c r="W8719" s="19">
        <f>IF($I8719="","",IF(ISNUMBER($I8719),TEXT($I8719,"0"),$I8719))</f>
        <v/>
      </c>
    </row>
    <row r="8720">
      <c r="B8720" s="25" t="n"/>
      <c r="I8720" s="25" t="n"/>
      <c r="U8720" s="19">
        <f>IF($V8720&lt;&gt;'設定'!$C$4,N(U8719),IF(OR(NOT(COUNTIF('商品マスタ'!$B$6:$B$1005,$W8720)=0),COUNTIFS('①在庫を貼る'!$V$6:$V$10005,$V8720,'①在庫を貼る'!$W$6:$W$10005,$W8720)+COUNTIFS('月1回_1ヶ月前の在庫'!$V$6:$V$10005,$V8720,'月1回_1ヶ月前の在庫'!$W$6:$W$10005,$W8720)&gt;0),N(U8719),N(U8719)+1))</f>
        <v/>
      </c>
      <c r="V8720" s="19">
        <f>IF($B8720="","",TEXT($B8720,"0000"))</f>
        <v/>
      </c>
      <c r="W8720" s="19">
        <f>IF($I8720="","",IF(ISNUMBER($I8720),TEXT($I8720,"0"),$I8720))</f>
        <v/>
      </c>
    </row>
    <row r="8721">
      <c r="B8721" s="25" t="n"/>
      <c r="I8721" s="25" t="n"/>
      <c r="U8721" s="19">
        <f>IF($V8721&lt;&gt;'設定'!$C$4,N(U8720),IF(OR(NOT(COUNTIF('商品マスタ'!$B$6:$B$1005,$W8721)=0),COUNTIFS('①在庫を貼る'!$V$6:$V$10005,$V8721,'①在庫を貼る'!$W$6:$W$10005,$W8721)+COUNTIFS('月1回_1ヶ月前の在庫'!$V$6:$V$10005,$V8721,'月1回_1ヶ月前の在庫'!$W$6:$W$10005,$W8721)&gt;0),N(U8720),N(U8720)+1))</f>
        <v/>
      </c>
      <c r="V8721" s="19">
        <f>IF($B8721="","",TEXT($B8721,"0000"))</f>
        <v/>
      </c>
      <c r="W8721" s="19">
        <f>IF($I8721="","",IF(ISNUMBER($I8721),TEXT($I8721,"0"),$I8721))</f>
        <v/>
      </c>
    </row>
    <row r="8722">
      <c r="B8722" s="25" t="n"/>
      <c r="I8722" s="25" t="n"/>
      <c r="U8722" s="19">
        <f>IF($V8722&lt;&gt;'設定'!$C$4,N(U8721),IF(OR(NOT(COUNTIF('商品マスタ'!$B$6:$B$1005,$W8722)=0),COUNTIFS('①在庫を貼る'!$V$6:$V$10005,$V8722,'①在庫を貼る'!$W$6:$W$10005,$W8722)+COUNTIFS('月1回_1ヶ月前の在庫'!$V$6:$V$10005,$V8722,'月1回_1ヶ月前の在庫'!$W$6:$W$10005,$W8722)&gt;0),N(U8721),N(U8721)+1))</f>
        <v/>
      </c>
      <c r="V8722" s="19">
        <f>IF($B8722="","",TEXT($B8722,"0000"))</f>
        <v/>
      </c>
      <c r="W8722" s="19">
        <f>IF($I8722="","",IF(ISNUMBER($I8722),TEXT($I8722,"0"),$I8722))</f>
        <v/>
      </c>
    </row>
    <row r="8723">
      <c r="B8723" s="25" t="n"/>
      <c r="I8723" s="25" t="n"/>
      <c r="U8723" s="19">
        <f>IF($V8723&lt;&gt;'設定'!$C$4,N(U8722),IF(OR(NOT(COUNTIF('商品マスタ'!$B$6:$B$1005,$W8723)=0),COUNTIFS('①在庫を貼る'!$V$6:$V$10005,$V8723,'①在庫を貼る'!$W$6:$W$10005,$W8723)+COUNTIFS('月1回_1ヶ月前の在庫'!$V$6:$V$10005,$V8723,'月1回_1ヶ月前の在庫'!$W$6:$W$10005,$W8723)&gt;0),N(U8722),N(U8722)+1))</f>
        <v/>
      </c>
      <c r="V8723" s="19">
        <f>IF($B8723="","",TEXT($B8723,"0000"))</f>
        <v/>
      </c>
      <c r="W8723" s="19">
        <f>IF($I8723="","",IF(ISNUMBER($I8723),TEXT($I8723,"0"),$I8723))</f>
        <v/>
      </c>
    </row>
    <row r="8724">
      <c r="B8724" s="25" t="n"/>
      <c r="I8724" s="25" t="n"/>
      <c r="U8724" s="19">
        <f>IF($V8724&lt;&gt;'設定'!$C$4,N(U8723),IF(OR(NOT(COUNTIF('商品マスタ'!$B$6:$B$1005,$W8724)=0),COUNTIFS('①在庫を貼る'!$V$6:$V$10005,$V8724,'①在庫を貼る'!$W$6:$W$10005,$W8724)+COUNTIFS('月1回_1ヶ月前の在庫'!$V$6:$V$10005,$V8724,'月1回_1ヶ月前の在庫'!$W$6:$W$10005,$W8724)&gt;0),N(U8723),N(U8723)+1))</f>
        <v/>
      </c>
      <c r="V8724" s="19">
        <f>IF($B8724="","",TEXT($B8724,"0000"))</f>
        <v/>
      </c>
      <c r="W8724" s="19">
        <f>IF($I8724="","",IF(ISNUMBER($I8724),TEXT($I8724,"0"),$I8724))</f>
        <v/>
      </c>
    </row>
    <row r="8725">
      <c r="B8725" s="25" t="n"/>
      <c r="I8725" s="25" t="n"/>
      <c r="U8725" s="19">
        <f>IF($V8725&lt;&gt;'設定'!$C$4,N(U8724),IF(OR(NOT(COUNTIF('商品マスタ'!$B$6:$B$1005,$W8725)=0),COUNTIFS('①在庫を貼る'!$V$6:$V$10005,$V8725,'①在庫を貼る'!$W$6:$W$10005,$W8725)+COUNTIFS('月1回_1ヶ月前の在庫'!$V$6:$V$10005,$V8725,'月1回_1ヶ月前の在庫'!$W$6:$W$10005,$W8725)&gt;0),N(U8724),N(U8724)+1))</f>
        <v/>
      </c>
      <c r="V8725" s="19">
        <f>IF($B8725="","",TEXT($B8725,"0000"))</f>
        <v/>
      </c>
      <c r="W8725" s="19">
        <f>IF($I8725="","",IF(ISNUMBER($I8725),TEXT($I8725,"0"),$I8725))</f>
        <v/>
      </c>
    </row>
    <row r="8726">
      <c r="B8726" s="25" t="n"/>
      <c r="I8726" s="25" t="n"/>
      <c r="U8726" s="19">
        <f>IF($V8726&lt;&gt;'設定'!$C$4,N(U8725),IF(OR(NOT(COUNTIF('商品マスタ'!$B$6:$B$1005,$W8726)=0),COUNTIFS('①在庫を貼る'!$V$6:$V$10005,$V8726,'①在庫を貼る'!$W$6:$W$10005,$W8726)+COUNTIFS('月1回_1ヶ月前の在庫'!$V$6:$V$10005,$V8726,'月1回_1ヶ月前の在庫'!$W$6:$W$10005,$W8726)&gt;0),N(U8725),N(U8725)+1))</f>
        <v/>
      </c>
      <c r="V8726" s="19">
        <f>IF($B8726="","",TEXT($B8726,"0000"))</f>
        <v/>
      </c>
      <c r="W8726" s="19">
        <f>IF($I8726="","",IF(ISNUMBER($I8726),TEXT($I8726,"0"),$I8726))</f>
        <v/>
      </c>
    </row>
    <row r="8727">
      <c r="B8727" s="25" t="n"/>
      <c r="I8727" s="25" t="n"/>
      <c r="U8727" s="19">
        <f>IF($V8727&lt;&gt;'設定'!$C$4,N(U8726),IF(OR(NOT(COUNTIF('商品マスタ'!$B$6:$B$1005,$W8727)=0),COUNTIFS('①在庫を貼る'!$V$6:$V$10005,$V8727,'①在庫を貼る'!$W$6:$W$10005,$W8727)+COUNTIFS('月1回_1ヶ月前の在庫'!$V$6:$V$10005,$V8727,'月1回_1ヶ月前の在庫'!$W$6:$W$10005,$W8727)&gt;0),N(U8726),N(U8726)+1))</f>
        <v/>
      </c>
      <c r="V8727" s="19">
        <f>IF($B8727="","",TEXT($B8727,"0000"))</f>
        <v/>
      </c>
      <c r="W8727" s="19">
        <f>IF($I8727="","",IF(ISNUMBER($I8727),TEXT($I8727,"0"),$I8727))</f>
        <v/>
      </c>
    </row>
    <row r="8728">
      <c r="B8728" s="25" t="n"/>
      <c r="I8728" s="25" t="n"/>
      <c r="U8728" s="19">
        <f>IF($V8728&lt;&gt;'設定'!$C$4,N(U8727),IF(OR(NOT(COUNTIF('商品マスタ'!$B$6:$B$1005,$W8728)=0),COUNTIFS('①在庫を貼る'!$V$6:$V$10005,$V8728,'①在庫を貼る'!$W$6:$W$10005,$W8728)+COUNTIFS('月1回_1ヶ月前の在庫'!$V$6:$V$10005,$V8728,'月1回_1ヶ月前の在庫'!$W$6:$W$10005,$W8728)&gt;0),N(U8727),N(U8727)+1))</f>
        <v/>
      </c>
      <c r="V8728" s="19">
        <f>IF($B8728="","",TEXT($B8728,"0000"))</f>
        <v/>
      </c>
      <c r="W8728" s="19">
        <f>IF($I8728="","",IF(ISNUMBER($I8728),TEXT($I8728,"0"),$I8728))</f>
        <v/>
      </c>
    </row>
    <row r="8729">
      <c r="B8729" s="25" t="n"/>
      <c r="I8729" s="25" t="n"/>
      <c r="U8729" s="19">
        <f>IF($V8729&lt;&gt;'設定'!$C$4,N(U8728),IF(OR(NOT(COUNTIF('商品マスタ'!$B$6:$B$1005,$W8729)=0),COUNTIFS('①在庫を貼る'!$V$6:$V$10005,$V8729,'①在庫を貼る'!$W$6:$W$10005,$W8729)+COUNTIFS('月1回_1ヶ月前の在庫'!$V$6:$V$10005,$V8729,'月1回_1ヶ月前の在庫'!$W$6:$W$10005,$W8729)&gt;0),N(U8728),N(U8728)+1))</f>
        <v/>
      </c>
      <c r="V8729" s="19">
        <f>IF($B8729="","",TEXT($B8729,"0000"))</f>
        <v/>
      </c>
      <c r="W8729" s="19">
        <f>IF($I8729="","",IF(ISNUMBER($I8729),TEXT($I8729,"0"),$I8729))</f>
        <v/>
      </c>
    </row>
    <row r="8730">
      <c r="B8730" s="25" t="n"/>
      <c r="I8730" s="25" t="n"/>
      <c r="U8730" s="19">
        <f>IF($V8730&lt;&gt;'設定'!$C$4,N(U8729),IF(OR(NOT(COUNTIF('商品マスタ'!$B$6:$B$1005,$W8730)=0),COUNTIFS('①在庫を貼る'!$V$6:$V$10005,$V8730,'①在庫を貼る'!$W$6:$W$10005,$W8730)+COUNTIFS('月1回_1ヶ月前の在庫'!$V$6:$V$10005,$V8730,'月1回_1ヶ月前の在庫'!$W$6:$W$10005,$W8730)&gt;0),N(U8729),N(U8729)+1))</f>
        <v/>
      </c>
      <c r="V8730" s="19">
        <f>IF($B8730="","",TEXT($B8730,"0000"))</f>
        <v/>
      </c>
      <c r="W8730" s="19">
        <f>IF($I8730="","",IF(ISNUMBER($I8730),TEXT($I8730,"0"),$I8730))</f>
        <v/>
      </c>
    </row>
    <row r="8731">
      <c r="B8731" s="25" t="n"/>
      <c r="I8731" s="25" t="n"/>
      <c r="U8731" s="19">
        <f>IF($V8731&lt;&gt;'設定'!$C$4,N(U8730),IF(OR(NOT(COUNTIF('商品マスタ'!$B$6:$B$1005,$W8731)=0),COUNTIFS('①在庫を貼る'!$V$6:$V$10005,$V8731,'①在庫を貼る'!$W$6:$W$10005,$W8731)+COUNTIFS('月1回_1ヶ月前の在庫'!$V$6:$V$10005,$V8731,'月1回_1ヶ月前の在庫'!$W$6:$W$10005,$W8731)&gt;0),N(U8730),N(U8730)+1))</f>
        <v/>
      </c>
      <c r="V8731" s="19">
        <f>IF($B8731="","",TEXT($B8731,"0000"))</f>
        <v/>
      </c>
      <c r="W8731" s="19">
        <f>IF($I8731="","",IF(ISNUMBER($I8731),TEXT($I8731,"0"),$I8731))</f>
        <v/>
      </c>
    </row>
    <row r="8732">
      <c r="B8732" s="25" t="n"/>
      <c r="I8732" s="25" t="n"/>
      <c r="U8732" s="19">
        <f>IF($V8732&lt;&gt;'設定'!$C$4,N(U8731),IF(OR(NOT(COUNTIF('商品マスタ'!$B$6:$B$1005,$W8732)=0),COUNTIFS('①在庫を貼る'!$V$6:$V$10005,$V8732,'①在庫を貼る'!$W$6:$W$10005,$W8732)+COUNTIFS('月1回_1ヶ月前の在庫'!$V$6:$V$10005,$V8732,'月1回_1ヶ月前の在庫'!$W$6:$W$10005,$W8732)&gt;0),N(U8731),N(U8731)+1))</f>
        <v/>
      </c>
      <c r="V8732" s="19">
        <f>IF($B8732="","",TEXT($B8732,"0000"))</f>
        <v/>
      </c>
      <c r="W8732" s="19">
        <f>IF($I8732="","",IF(ISNUMBER($I8732),TEXT($I8732,"0"),$I8732))</f>
        <v/>
      </c>
    </row>
    <row r="8733">
      <c r="B8733" s="25" t="n"/>
      <c r="I8733" s="25" t="n"/>
      <c r="U8733" s="19">
        <f>IF($V8733&lt;&gt;'設定'!$C$4,N(U8732),IF(OR(NOT(COUNTIF('商品マスタ'!$B$6:$B$1005,$W8733)=0),COUNTIFS('①在庫を貼る'!$V$6:$V$10005,$V8733,'①在庫を貼る'!$W$6:$W$10005,$W8733)+COUNTIFS('月1回_1ヶ月前の在庫'!$V$6:$V$10005,$V8733,'月1回_1ヶ月前の在庫'!$W$6:$W$10005,$W8733)&gt;0),N(U8732),N(U8732)+1))</f>
        <v/>
      </c>
      <c r="V8733" s="19">
        <f>IF($B8733="","",TEXT($B8733,"0000"))</f>
        <v/>
      </c>
      <c r="W8733" s="19">
        <f>IF($I8733="","",IF(ISNUMBER($I8733),TEXT($I8733,"0"),$I8733))</f>
        <v/>
      </c>
    </row>
    <row r="8734">
      <c r="B8734" s="25" t="n"/>
      <c r="I8734" s="25" t="n"/>
      <c r="U8734" s="19">
        <f>IF($V8734&lt;&gt;'設定'!$C$4,N(U8733),IF(OR(NOT(COUNTIF('商品マスタ'!$B$6:$B$1005,$W8734)=0),COUNTIFS('①在庫を貼る'!$V$6:$V$10005,$V8734,'①在庫を貼る'!$W$6:$W$10005,$W8734)+COUNTIFS('月1回_1ヶ月前の在庫'!$V$6:$V$10005,$V8734,'月1回_1ヶ月前の在庫'!$W$6:$W$10005,$W8734)&gt;0),N(U8733),N(U8733)+1))</f>
        <v/>
      </c>
      <c r="V8734" s="19">
        <f>IF($B8734="","",TEXT($B8734,"0000"))</f>
        <v/>
      </c>
      <c r="W8734" s="19">
        <f>IF($I8734="","",IF(ISNUMBER($I8734),TEXT($I8734,"0"),$I8734))</f>
        <v/>
      </c>
    </row>
    <row r="8735">
      <c r="B8735" s="25" t="n"/>
      <c r="I8735" s="25" t="n"/>
      <c r="U8735" s="19">
        <f>IF($V8735&lt;&gt;'設定'!$C$4,N(U8734),IF(OR(NOT(COUNTIF('商品マスタ'!$B$6:$B$1005,$W8735)=0),COUNTIFS('①在庫を貼る'!$V$6:$V$10005,$V8735,'①在庫を貼る'!$W$6:$W$10005,$W8735)+COUNTIFS('月1回_1ヶ月前の在庫'!$V$6:$V$10005,$V8735,'月1回_1ヶ月前の在庫'!$W$6:$W$10005,$W8735)&gt;0),N(U8734),N(U8734)+1))</f>
        <v/>
      </c>
      <c r="V8735" s="19">
        <f>IF($B8735="","",TEXT($B8735,"0000"))</f>
        <v/>
      </c>
      <c r="W8735" s="19">
        <f>IF($I8735="","",IF(ISNUMBER($I8735),TEXT($I8735,"0"),$I8735))</f>
        <v/>
      </c>
    </row>
    <row r="8736">
      <c r="B8736" s="25" t="n"/>
      <c r="I8736" s="25" t="n"/>
      <c r="U8736" s="19">
        <f>IF($V8736&lt;&gt;'設定'!$C$4,N(U8735),IF(OR(NOT(COUNTIF('商品マスタ'!$B$6:$B$1005,$W8736)=0),COUNTIFS('①在庫を貼る'!$V$6:$V$10005,$V8736,'①在庫を貼る'!$W$6:$W$10005,$W8736)+COUNTIFS('月1回_1ヶ月前の在庫'!$V$6:$V$10005,$V8736,'月1回_1ヶ月前の在庫'!$W$6:$W$10005,$W8736)&gt;0),N(U8735),N(U8735)+1))</f>
        <v/>
      </c>
      <c r="V8736" s="19">
        <f>IF($B8736="","",TEXT($B8736,"0000"))</f>
        <v/>
      </c>
      <c r="W8736" s="19">
        <f>IF($I8736="","",IF(ISNUMBER($I8736),TEXT($I8736,"0"),$I8736))</f>
        <v/>
      </c>
    </row>
    <row r="8737">
      <c r="B8737" s="25" t="n"/>
      <c r="I8737" s="25" t="n"/>
      <c r="U8737" s="19">
        <f>IF($V8737&lt;&gt;'設定'!$C$4,N(U8736),IF(OR(NOT(COUNTIF('商品マスタ'!$B$6:$B$1005,$W8737)=0),COUNTIFS('①在庫を貼る'!$V$6:$V$10005,$V8737,'①在庫を貼る'!$W$6:$W$10005,$W8737)+COUNTIFS('月1回_1ヶ月前の在庫'!$V$6:$V$10005,$V8737,'月1回_1ヶ月前の在庫'!$W$6:$W$10005,$W8737)&gt;0),N(U8736),N(U8736)+1))</f>
        <v/>
      </c>
      <c r="V8737" s="19">
        <f>IF($B8737="","",TEXT($B8737,"0000"))</f>
        <v/>
      </c>
      <c r="W8737" s="19">
        <f>IF($I8737="","",IF(ISNUMBER($I8737),TEXT($I8737,"0"),$I8737))</f>
        <v/>
      </c>
    </row>
    <row r="8738">
      <c r="B8738" s="25" t="n"/>
      <c r="I8738" s="25" t="n"/>
      <c r="U8738" s="19">
        <f>IF($V8738&lt;&gt;'設定'!$C$4,N(U8737),IF(OR(NOT(COUNTIF('商品マスタ'!$B$6:$B$1005,$W8738)=0),COUNTIFS('①在庫を貼る'!$V$6:$V$10005,$V8738,'①在庫を貼る'!$W$6:$W$10005,$W8738)+COUNTIFS('月1回_1ヶ月前の在庫'!$V$6:$V$10005,$V8738,'月1回_1ヶ月前の在庫'!$W$6:$W$10005,$W8738)&gt;0),N(U8737),N(U8737)+1))</f>
        <v/>
      </c>
      <c r="V8738" s="19">
        <f>IF($B8738="","",TEXT($B8738,"0000"))</f>
        <v/>
      </c>
      <c r="W8738" s="19">
        <f>IF($I8738="","",IF(ISNUMBER($I8738),TEXT($I8738,"0"),$I8738))</f>
        <v/>
      </c>
    </row>
    <row r="8739">
      <c r="B8739" s="25" t="n"/>
      <c r="I8739" s="25" t="n"/>
      <c r="U8739" s="19">
        <f>IF($V8739&lt;&gt;'設定'!$C$4,N(U8738),IF(OR(NOT(COUNTIF('商品マスタ'!$B$6:$B$1005,$W8739)=0),COUNTIFS('①在庫を貼る'!$V$6:$V$10005,$V8739,'①在庫を貼る'!$W$6:$W$10005,$W8739)+COUNTIFS('月1回_1ヶ月前の在庫'!$V$6:$V$10005,$V8739,'月1回_1ヶ月前の在庫'!$W$6:$W$10005,$W8739)&gt;0),N(U8738),N(U8738)+1))</f>
        <v/>
      </c>
      <c r="V8739" s="19">
        <f>IF($B8739="","",TEXT($B8739,"0000"))</f>
        <v/>
      </c>
      <c r="W8739" s="19">
        <f>IF($I8739="","",IF(ISNUMBER($I8739),TEXT($I8739,"0"),$I8739))</f>
        <v/>
      </c>
    </row>
    <row r="8740">
      <c r="B8740" s="25" t="n"/>
      <c r="I8740" s="25" t="n"/>
      <c r="U8740" s="19">
        <f>IF($V8740&lt;&gt;'設定'!$C$4,N(U8739),IF(OR(NOT(COUNTIF('商品マスタ'!$B$6:$B$1005,$W8740)=0),COUNTIFS('①在庫を貼る'!$V$6:$V$10005,$V8740,'①在庫を貼る'!$W$6:$W$10005,$W8740)+COUNTIFS('月1回_1ヶ月前の在庫'!$V$6:$V$10005,$V8740,'月1回_1ヶ月前の在庫'!$W$6:$W$10005,$W8740)&gt;0),N(U8739),N(U8739)+1))</f>
        <v/>
      </c>
      <c r="V8740" s="19">
        <f>IF($B8740="","",TEXT($B8740,"0000"))</f>
        <v/>
      </c>
      <c r="W8740" s="19">
        <f>IF($I8740="","",IF(ISNUMBER($I8740),TEXT($I8740,"0"),$I8740))</f>
        <v/>
      </c>
    </row>
    <row r="8741">
      <c r="B8741" s="25" t="n"/>
      <c r="I8741" s="25" t="n"/>
      <c r="U8741" s="19">
        <f>IF($V8741&lt;&gt;'設定'!$C$4,N(U8740),IF(OR(NOT(COUNTIF('商品マスタ'!$B$6:$B$1005,$W8741)=0),COUNTIFS('①在庫を貼る'!$V$6:$V$10005,$V8741,'①在庫を貼る'!$W$6:$W$10005,$W8741)+COUNTIFS('月1回_1ヶ月前の在庫'!$V$6:$V$10005,$V8741,'月1回_1ヶ月前の在庫'!$W$6:$W$10005,$W8741)&gt;0),N(U8740),N(U8740)+1))</f>
        <v/>
      </c>
      <c r="V8741" s="19">
        <f>IF($B8741="","",TEXT($B8741,"0000"))</f>
        <v/>
      </c>
      <c r="W8741" s="19">
        <f>IF($I8741="","",IF(ISNUMBER($I8741),TEXT($I8741,"0"),$I8741))</f>
        <v/>
      </c>
    </row>
    <row r="8742">
      <c r="B8742" s="25" t="n"/>
      <c r="I8742" s="25" t="n"/>
      <c r="U8742" s="19">
        <f>IF($V8742&lt;&gt;'設定'!$C$4,N(U8741),IF(OR(NOT(COUNTIF('商品マスタ'!$B$6:$B$1005,$W8742)=0),COUNTIFS('①在庫を貼る'!$V$6:$V$10005,$V8742,'①在庫を貼る'!$W$6:$W$10005,$W8742)+COUNTIFS('月1回_1ヶ月前の在庫'!$V$6:$V$10005,$V8742,'月1回_1ヶ月前の在庫'!$W$6:$W$10005,$W8742)&gt;0),N(U8741),N(U8741)+1))</f>
        <v/>
      </c>
      <c r="V8742" s="19">
        <f>IF($B8742="","",TEXT($B8742,"0000"))</f>
        <v/>
      </c>
      <c r="W8742" s="19">
        <f>IF($I8742="","",IF(ISNUMBER($I8742),TEXT($I8742,"0"),$I8742))</f>
        <v/>
      </c>
    </row>
    <row r="8743">
      <c r="B8743" s="25" t="n"/>
      <c r="I8743" s="25" t="n"/>
      <c r="U8743" s="19">
        <f>IF($V8743&lt;&gt;'設定'!$C$4,N(U8742),IF(OR(NOT(COUNTIF('商品マスタ'!$B$6:$B$1005,$W8743)=0),COUNTIFS('①在庫を貼る'!$V$6:$V$10005,$V8743,'①在庫を貼る'!$W$6:$W$10005,$W8743)+COUNTIFS('月1回_1ヶ月前の在庫'!$V$6:$V$10005,$V8743,'月1回_1ヶ月前の在庫'!$W$6:$W$10005,$W8743)&gt;0),N(U8742),N(U8742)+1))</f>
        <v/>
      </c>
      <c r="V8743" s="19">
        <f>IF($B8743="","",TEXT($B8743,"0000"))</f>
        <v/>
      </c>
      <c r="W8743" s="19">
        <f>IF($I8743="","",IF(ISNUMBER($I8743),TEXT($I8743,"0"),$I8743))</f>
        <v/>
      </c>
    </row>
    <row r="8744">
      <c r="B8744" s="25" t="n"/>
      <c r="I8744" s="25" t="n"/>
      <c r="U8744" s="19">
        <f>IF($V8744&lt;&gt;'設定'!$C$4,N(U8743),IF(OR(NOT(COUNTIF('商品マスタ'!$B$6:$B$1005,$W8744)=0),COUNTIFS('①在庫を貼る'!$V$6:$V$10005,$V8744,'①在庫を貼る'!$W$6:$W$10005,$W8744)+COUNTIFS('月1回_1ヶ月前の在庫'!$V$6:$V$10005,$V8744,'月1回_1ヶ月前の在庫'!$W$6:$W$10005,$W8744)&gt;0),N(U8743),N(U8743)+1))</f>
        <v/>
      </c>
      <c r="V8744" s="19">
        <f>IF($B8744="","",TEXT($B8744,"0000"))</f>
        <v/>
      </c>
      <c r="W8744" s="19">
        <f>IF($I8744="","",IF(ISNUMBER($I8744),TEXT($I8744,"0"),$I8744))</f>
        <v/>
      </c>
    </row>
    <row r="8745">
      <c r="B8745" s="25" t="n"/>
      <c r="I8745" s="25" t="n"/>
      <c r="U8745" s="19">
        <f>IF($V8745&lt;&gt;'設定'!$C$4,N(U8744),IF(OR(NOT(COUNTIF('商品マスタ'!$B$6:$B$1005,$W8745)=0),COUNTIFS('①在庫を貼る'!$V$6:$V$10005,$V8745,'①在庫を貼る'!$W$6:$W$10005,$W8745)+COUNTIFS('月1回_1ヶ月前の在庫'!$V$6:$V$10005,$V8745,'月1回_1ヶ月前の在庫'!$W$6:$W$10005,$W8745)&gt;0),N(U8744),N(U8744)+1))</f>
        <v/>
      </c>
      <c r="V8745" s="19">
        <f>IF($B8745="","",TEXT($B8745,"0000"))</f>
        <v/>
      </c>
      <c r="W8745" s="19">
        <f>IF($I8745="","",IF(ISNUMBER($I8745),TEXT($I8745,"0"),$I8745))</f>
        <v/>
      </c>
    </row>
    <row r="8746">
      <c r="B8746" s="25" t="n"/>
      <c r="I8746" s="25" t="n"/>
      <c r="U8746" s="19">
        <f>IF($V8746&lt;&gt;'設定'!$C$4,N(U8745),IF(OR(NOT(COUNTIF('商品マスタ'!$B$6:$B$1005,$W8746)=0),COUNTIFS('①在庫を貼る'!$V$6:$V$10005,$V8746,'①在庫を貼る'!$W$6:$W$10005,$W8746)+COUNTIFS('月1回_1ヶ月前の在庫'!$V$6:$V$10005,$V8746,'月1回_1ヶ月前の在庫'!$W$6:$W$10005,$W8746)&gt;0),N(U8745),N(U8745)+1))</f>
        <v/>
      </c>
      <c r="V8746" s="19">
        <f>IF($B8746="","",TEXT($B8746,"0000"))</f>
        <v/>
      </c>
      <c r="W8746" s="19">
        <f>IF($I8746="","",IF(ISNUMBER($I8746),TEXT($I8746,"0"),$I8746))</f>
        <v/>
      </c>
    </row>
    <row r="8747">
      <c r="B8747" s="25" t="n"/>
      <c r="I8747" s="25" t="n"/>
      <c r="U8747" s="19">
        <f>IF($V8747&lt;&gt;'設定'!$C$4,N(U8746),IF(OR(NOT(COUNTIF('商品マスタ'!$B$6:$B$1005,$W8747)=0),COUNTIFS('①在庫を貼る'!$V$6:$V$10005,$V8747,'①在庫を貼る'!$W$6:$W$10005,$W8747)+COUNTIFS('月1回_1ヶ月前の在庫'!$V$6:$V$10005,$V8747,'月1回_1ヶ月前の在庫'!$W$6:$W$10005,$W8747)&gt;0),N(U8746),N(U8746)+1))</f>
        <v/>
      </c>
      <c r="V8747" s="19">
        <f>IF($B8747="","",TEXT($B8747,"0000"))</f>
        <v/>
      </c>
      <c r="W8747" s="19">
        <f>IF($I8747="","",IF(ISNUMBER($I8747),TEXT($I8747,"0"),$I8747))</f>
        <v/>
      </c>
    </row>
    <row r="8748">
      <c r="B8748" s="25" t="n"/>
      <c r="I8748" s="25" t="n"/>
      <c r="U8748" s="19">
        <f>IF($V8748&lt;&gt;'設定'!$C$4,N(U8747),IF(OR(NOT(COUNTIF('商品マスタ'!$B$6:$B$1005,$W8748)=0),COUNTIFS('①在庫を貼る'!$V$6:$V$10005,$V8748,'①在庫を貼る'!$W$6:$W$10005,$W8748)+COUNTIFS('月1回_1ヶ月前の在庫'!$V$6:$V$10005,$V8748,'月1回_1ヶ月前の在庫'!$W$6:$W$10005,$W8748)&gt;0),N(U8747),N(U8747)+1))</f>
        <v/>
      </c>
      <c r="V8748" s="19">
        <f>IF($B8748="","",TEXT($B8748,"0000"))</f>
        <v/>
      </c>
      <c r="W8748" s="19">
        <f>IF($I8748="","",IF(ISNUMBER($I8748),TEXT($I8748,"0"),$I8748))</f>
        <v/>
      </c>
    </row>
    <row r="8749">
      <c r="B8749" s="25" t="n"/>
      <c r="I8749" s="25" t="n"/>
      <c r="U8749" s="19">
        <f>IF($V8749&lt;&gt;'設定'!$C$4,N(U8748),IF(OR(NOT(COUNTIF('商品マスタ'!$B$6:$B$1005,$W8749)=0),COUNTIFS('①在庫を貼る'!$V$6:$V$10005,$V8749,'①在庫を貼る'!$W$6:$W$10005,$W8749)+COUNTIFS('月1回_1ヶ月前の在庫'!$V$6:$V$10005,$V8749,'月1回_1ヶ月前の在庫'!$W$6:$W$10005,$W8749)&gt;0),N(U8748),N(U8748)+1))</f>
        <v/>
      </c>
      <c r="V8749" s="19">
        <f>IF($B8749="","",TEXT($B8749,"0000"))</f>
        <v/>
      </c>
      <c r="W8749" s="19">
        <f>IF($I8749="","",IF(ISNUMBER($I8749),TEXT($I8749,"0"),$I8749))</f>
        <v/>
      </c>
    </row>
    <row r="8750">
      <c r="B8750" s="25" t="n"/>
      <c r="I8750" s="25" t="n"/>
      <c r="U8750" s="19">
        <f>IF($V8750&lt;&gt;'設定'!$C$4,N(U8749),IF(OR(NOT(COUNTIF('商品マスタ'!$B$6:$B$1005,$W8750)=0),COUNTIFS('①在庫を貼る'!$V$6:$V$10005,$V8750,'①在庫を貼る'!$W$6:$W$10005,$W8750)+COUNTIFS('月1回_1ヶ月前の在庫'!$V$6:$V$10005,$V8750,'月1回_1ヶ月前の在庫'!$W$6:$W$10005,$W8750)&gt;0),N(U8749),N(U8749)+1))</f>
        <v/>
      </c>
      <c r="V8750" s="19">
        <f>IF($B8750="","",TEXT($B8750,"0000"))</f>
        <v/>
      </c>
      <c r="W8750" s="19">
        <f>IF($I8750="","",IF(ISNUMBER($I8750),TEXT($I8750,"0"),$I8750))</f>
        <v/>
      </c>
    </row>
    <row r="8751">
      <c r="B8751" s="25" t="n"/>
      <c r="I8751" s="25" t="n"/>
      <c r="U8751" s="19">
        <f>IF($V8751&lt;&gt;'設定'!$C$4,N(U8750),IF(OR(NOT(COUNTIF('商品マスタ'!$B$6:$B$1005,$W8751)=0),COUNTIFS('①在庫を貼る'!$V$6:$V$10005,$V8751,'①在庫を貼る'!$W$6:$W$10005,$W8751)+COUNTIFS('月1回_1ヶ月前の在庫'!$V$6:$V$10005,$V8751,'月1回_1ヶ月前の在庫'!$W$6:$W$10005,$W8751)&gt;0),N(U8750),N(U8750)+1))</f>
        <v/>
      </c>
      <c r="V8751" s="19">
        <f>IF($B8751="","",TEXT($B8751,"0000"))</f>
        <v/>
      </c>
      <c r="W8751" s="19">
        <f>IF($I8751="","",IF(ISNUMBER($I8751),TEXT($I8751,"0"),$I8751))</f>
        <v/>
      </c>
    </row>
    <row r="8752">
      <c r="B8752" s="25" t="n"/>
      <c r="I8752" s="25" t="n"/>
      <c r="U8752" s="19">
        <f>IF($V8752&lt;&gt;'設定'!$C$4,N(U8751),IF(OR(NOT(COUNTIF('商品マスタ'!$B$6:$B$1005,$W8752)=0),COUNTIFS('①在庫を貼る'!$V$6:$V$10005,$V8752,'①在庫を貼る'!$W$6:$W$10005,$W8752)+COUNTIFS('月1回_1ヶ月前の在庫'!$V$6:$V$10005,$V8752,'月1回_1ヶ月前の在庫'!$W$6:$W$10005,$W8752)&gt;0),N(U8751),N(U8751)+1))</f>
        <v/>
      </c>
      <c r="V8752" s="19">
        <f>IF($B8752="","",TEXT($B8752,"0000"))</f>
        <v/>
      </c>
      <c r="W8752" s="19">
        <f>IF($I8752="","",IF(ISNUMBER($I8752),TEXT($I8752,"0"),$I8752))</f>
        <v/>
      </c>
    </row>
    <row r="8753">
      <c r="B8753" s="25" t="n"/>
      <c r="I8753" s="25" t="n"/>
      <c r="U8753" s="19">
        <f>IF($V8753&lt;&gt;'設定'!$C$4,N(U8752),IF(OR(NOT(COUNTIF('商品マスタ'!$B$6:$B$1005,$W8753)=0),COUNTIFS('①在庫を貼る'!$V$6:$V$10005,$V8753,'①在庫を貼る'!$W$6:$W$10005,$W8753)+COUNTIFS('月1回_1ヶ月前の在庫'!$V$6:$V$10005,$V8753,'月1回_1ヶ月前の在庫'!$W$6:$W$10005,$W8753)&gt;0),N(U8752),N(U8752)+1))</f>
        <v/>
      </c>
      <c r="V8753" s="19">
        <f>IF($B8753="","",TEXT($B8753,"0000"))</f>
        <v/>
      </c>
      <c r="W8753" s="19">
        <f>IF($I8753="","",IF(ISNUMBER($I8753),TEXT($I8753,"0"),$I8753))</f>
        <v/>
      </c>
    </row>
    <row r="8754">
      <c r="B8754" s="25" t="n"/>
      <c r="I8754" s="25" t="n"/>
      <c r="U8754" s="19">
        <f>IF($V8754&lt;&gt;'設定'!$C$4,N(U8753),IF(OR(NOT(COUNTIF('商品マスタ'!$B$6:$B$1005,$W8754)=0),COUNTIFS('①在庫を貼る'!$V$6:$V$10005,$V8754,'①在庫を貼る'!$W$6:$W$10005,$W8754)+COUNTIFS('月1回_1ヶ月前の在庫'!$V$6:$V$10005,$V8754,'月1回_1ヶ月前の在庫'!$W$6:$W$10005,$W8754)&gt;0),N(U8753),N(U8753)+1))</f>
        <v/>
      </c>
      <c r="V8754" s="19">
        <f>IF($B8754="","",TEXT($B8754,"0000"))</f>
        <v/>
      </c>
      <c r="W8754" s="19">
        <f>IF($I8754="","",IF(ISNUMBER($I8754),TEXT($I8754,"0"),$I8754))</f>
        <v/>
      </c>
    </row>
    <row r="8755">
      <c r="B8755" s="25" t="n"/>
      <c r="I8755" s="25" t="n"/>
      <c r="U8755" s="19">
        <f>IF($V8755&lt;&gt;'設定'!$C$4,N(U8754),IF(OR(NOT(COUNTIF('商品マスタ'!$B$6:$B$1005,$W8755)=0),COUNTIFS('①在庫を貼る'!$V$6:$V$10005,$V8755,'①在庫を貼る'!$W$6:$W$10005,$W8755)+COUNTIFS('月1回_1ヶ月前の在庫'!$V$6:$V$10005,$V8755,'月1回_1ヶ月前の在庫'!$W$6:$W$10005,$W8755)&gt;0),N(U8754),N(U8754)+1))</f>
        <v/>
      </c>
      <c r="V8755" s="19">
        <f>IF($B8755="","",TEXT($B8755,"0000"))</f>
        <v/>
      </c>
      <c r="W8755" s="19">
        <f>IF($I8755="","",IF(ISNUMBER($I8755),TEXT($I8755,"0"),$I8755))</f>
        <v/>
      </c>
    </row>
    <row r="8756">
      <c r="B8756" s="25" t="n"/>
      <c r="I8756" s="25" t="n"/>
      <c r="U8756" s="19">
        <f>IF($V8756&lt;&gt;'設定'!$C$4,N(U8755),IF(OR(NOT(COUNTIF('商品マスタ'!$B$6:$B$1005,$W8756)=0),COUNTIFS('①在庫を貼る'!$V$6:$V$10005,$V8756,'①在庫を貼る'!$W$6:$W$10005,$W8756)+COUNTIFS('月1回_1ヶ月前の在庫'!$V$6:$V$10005,$V8756,'月1回_1ヶ月前の在庫'!$W$6:$W$10005,$W8756)&gt;0),N(U8755),N(U8755)+1))</f>
        <v/>
      </c>
      <c r="V8756" s="19">
        <f>IF($B8756="","",TEXT($B8756,"0000"))</f>
        <v/>
      </c>
      <c r="W8756" s="19">
        <f>IF($I8756="","",IF(ISNUMBER($I8756),TEXT($I8756,"0"),$I8756))</f>
        <v/>
      </c>
    </row>
    <row r="8757">
      <c r="B8757" s="25" t="n"/>
      <c r="I8757" s="25" t="n"/>
      <c r="U8757" s="19">
        <f>IF($V8757&lt;&gt;'設定'!$C$4,N(U8756),IF(OR(NOT(COUNTIF('商品マスタ'!$B$6:$B$1005,$W8757)=0),COUNTIFS('①在庫を貼る'!$V$6:$V$10005,$V8757,'①在庫を貼る'!$W$6:$W$10005,$W8757)+COUNTIFS('月1回_1ヶ月前の在庫'!$V$6:$V$10005,$V8757,'月1回_1ヶ月前の在庫'!$W$6:$W$10005,$W8757)&gt;0),N(U8756),N(U8756)+1))</f>
        <v/>
      </c>
      <c r="V8757" s="19">
        <f>IF($B8757="","",TEXT($B8757,"0000"))</f>
        <v/>
      </c>
      <c r="W8757" s="19">
        <f>IF($I8757="","",IF(ISNUMBER($I8757),TEXT($I8757,"0"),$I8757))</f>
        <v/>
      </c>
    </row>
    <row r="8758">
      <c r="B8758" s="25" t="n"/>
      <c r="I8758" s="25" t="n"/>
      <c r="U8758" s="19">
        <f>IF($V8758&lt;&gt;'設定'!$C$4,N(U8757),IF(OR(NOT(COUNTIF('商品マスタ'!$B$6:$B$1005,$W8758)=0),COUNTIFS('①在庫を貼る'!$V$6:$V$10005,$V8758,'①在庫を貼る'!$W$6:$W$10005,$W8758)+COUNTIFS('月1回_1ヶ月前の在庫'!$V$6:$V$10005,$V8758,'月1回_1ヶ月前の在庫'!$W$6:$W$10005,$W8758)&gt;0),N(U8757),N(U8757)+1))</f>
        <v/>
      </c>
      <c r="V8758" s="19">
        <f>IF($B8758="","",TEXT($B8758,"0000"))</f>
        <v/>
      </c>
      <c r="W8758" s="19">
        <f>IF($I8758="","",IF(ISNUMBER($I8758),TEXT($I8758,"0"),$I8758))</f>
        <v/>
      </c>
    </row>
    <row r="8759">
      <c r="B8759" s="25" t="n"/>
      <c r="I8759" s="25" t="n"/>
      <c r="U8759" s="19">
        <f>IF($V8759&lt;&gt;'設定'!$C$4,N(U8758),IF(OR(NOT(COUNTIF('商品マスタ'!$B$6:$B$1005,$W8759)=0),COUNTIFS('①在庫を貼る'!$V$6:$V$10005,$V8759,'①在庫を貼る'!$W$6:$W$10005,$W8759)+COUNTIFS('月1回_1ヶ月前の在庫'!$V$6:$V$10005,$V8759,'月1回_1ヶ月前の在庫'!$W$6:$W$10005,$W8759)&gt;0),N(U8758),N(U8758)+1))</f>
        <v/>
      </c>
      <c r="V8759" s="19">
        <f>IF($B8759="","",TEXT($B8759,"0000"))</f>
        <v/>
      </c>
      <c r="W8759" s="19">
        <f>IF($I8759="","",IF(ISNUMBER($I8759),TEXT($I8759,"0"),$I8759))</f>
        <v/>
      </c>
    </row>
    <row r="8760">
      <c r="B8760" s="25" t="n"/>
      <c r="I8760" s="25" t="n"/>
      <c r="U8760" s="19">
        <f>IF($V8760&lt;&gt;'設定'!$C$4,N(U8759),IF(OR(NOT(COUNTIF('商品マスタ'!$B$6:$B$1005,$W8760)=0),COUNTIFS('①在庫を貼る'!$V$6:$V$10005,$V8760,'①在庫を貼る'!$W$6:$W$10005,$W8760)+COUNTIFS('月1回_1ヶ月前の在庫'!$V$6:$V$10005,$V8760,'月1回_1ヶ月前の在庫'!$W$6:$W$10005,$W8760)&gt;0),N(U8759),N(U8759)+1))</f>
        <v/>
      </c>
      <c r="V8760" s="19">
        <f>IF($B8760="","",TEXT($B8760,"0000"))</f>
        <v/>
      </c>
      <c r="W8760" s="19">
        <f>IF($I8760="","",IF(ISNUMBER($I8760),TEXT($I8760,"0"),$I8760))</f>
        <v/>
      </c>
    </row>
    <row r="8761">
      <c r="B8761" s="25" t="n"/>
      <c r="I8761" s="25" t="n"/>
      <c r="U8761" s="19">
        <f>IF($V8761&lt;&gt;'設定'!$C$4,N(U8760),IF(OR(NOT(COUNTIF('商品マスタ'!$B$6:$B$1005,$W8761)=0),COUNTIFS('①在庫を貼る'!$V$6:$V$10005,$V8761,'①在庫を貼る'!$W$6:$W$10005,$W8761)+COUNTIFS('月1回_1ヶ月前の在庫'!$V$6:$V$10005,$V8761,'月1回_1ヶ月前の在庫'!$W$6:$W$10005,$W8761)&gt;0),N(U8760),N(U8760)+1))</f>
        <v/>
      </c>
      <c r="V8761" s="19">
        <f>IF($B8761="","",TEXT($B8761,"0000"))</f>
        <v/>
      </c>
      <c r="W8761" s="19">
        <f>IF($I8761="","",IF(ISNUMBER($I8761),TEXT($I8761,"0"),$I8761))</f>
        <v/>
      </c>
    </row>
    <row r="8762">
      <c r="B8762" s="25" t="n"/>
      <c r="I8762" s="25" t="n"/>
      <c r="U8762" s="19">
        <f>IF($V8762&lt;&gt;'設定'!$C$4,N(U8761),IF(OR(NOT(COUNTIF('商品マスタ'!$B$6:$B$1005,$W8762)=0),COUNTIFS('①在庫を貼る'!$V$6:$V$10005,$V8762,'①在庫を貼る'!$W$6:$W$10005,$W8762)+COUNTIFS('月1回_1ヶ月前の在庫'!$V$6:$V$10005,$V8762,'月1回_1ヶ月前の在庫'!$W$6:$W$10005,$W8762)&gt;0),N(U8761),N(U8761)+1))</f>
        <v/>
      </c>
      <c r="V8762" s="19">
        <f>IF($B8762="","",TEXT($B8762,"0000"))</f>
        <v/>
      </c>
      <c r="W8762" s="19">
        <f>IF($I8762="","",IF(ISNUMBER($I8762),TEXT($I8762,"0"),$I8762))</f>
        <v/>
      </c>
    </row>
    <row r="8763">
      <c r="B8763" s="25" t="n"/>
      <c r="I8763" s="25" t="n"/>
      <c r="U8763" s="19">
        <f>IF($V8763&lt;&gt;'設定'!$C$4,N(U8762),IF(OR(NOT(COUNTIF('商品マスタ'!$B$6:$B$1005,$W8763)=0),COUNTIFS('①在庫を貼る'!$V$6:$V$10005,$V8763,'①在庫を貼る'!$W$6:$W$10005,$W8763)+COUNTIFS('月1回_1ヶ月前の在庫'!$V$6:$V$10005,$V8763,'月1回_1ヶ月前の在庫'!$W$6:$W$10005,$W8763)&gt;0),N(U8762),N(U8762)+1))</f>
        <v/>
      </c>
      <c r="V8763" s="19">
        <f>IF($B8763="","",TEXT($B8763,"0000"))</f>
        <v/>
      </c>
      <c r="W8763" s="19">
        <f>IF($I8763="","",IF(ISNUMBER($I8763),TEXT($I8763,"0"),$I8763))</f>
        <v/>
      </c>
    </row>
    <row r="8764">
      <c r="B8764" s="25" t="n"/>
      <c r="I8764" s="25" t="n"/>
      <c r="U8764" s="19">
        <f>IF($V8764&lt;&gt;'設定'!$C$4,N(U8763),IF(OR(NOT(COUNTIF('商品マスタ'!$B$6:$B$1005,$W8764)=0),COUNTIFS('①在庫を貼る'!$V$6:$V$10005,$V8764,'①在庫を貼る'!$W$6:$W$10005,$W8764)+COUNTIFS('月1回_1ヶ月前の在庫'!$V$6:$V$10005,$V8764,'月1回_1ヶ月前の在庫'!$W$6:$W$10005,$W8764)&gt;0),N(U8763),N(U8763)+1))</f>
        <v/>
      </c>
      <c r="V8764" s="19">
        <f>IF($B8764="","",TEXT($B8764,"0000"))</f>
        <v/>
      </c>
      <c r="W8764" s="19">
        <f>IF($I8764="","",IF(ISNUMBER($I8764),TEXT($I8764,"0"),$I8764))</f>
        <v/>
      </c>
    </row>
    <row r="8765">
      <c r="B8765" s="25" t="n"/>
      <c r="I8765" s="25" t="n"/>
      <c r="U8765" s="19">
        <f>IF($V8765&lt;&gt;'設定'!$C$4,N(U8764),IF(OR(NOT(COUNTIF('商品マスタ'!$B$6:$B$1005,$W8765)=0),COUNTIFS('①在庫を貼る'!$V$6:$V$10005,$V8765,'①在庫を貼る'!$W$6:$W$10005,$W8765)+COUNTIFS('月1回_1ヶ月前の在庫'!$V$6:$V$10005,$V8765,'月1回_1ヶ月前の在庫'!$W$6:$W$10005,$W8765)&gt;0),N(U8764),N(U8764)+1))</f>
        <v/>
      </c>
      <c r="V8765" s="19">
        <f>IF($B8765="","",TEXT($B8765,"0000"))</f>
        <v/>
      </c>
      <c r="W8765" s="19">
        <f>IF($I8765="","",IF(ISNUMBER($I8765),TEXT($I8765,"0"),$I8765))</f>
        <v/>
      </c>
    </row>
    <row r="8766">
      <c r="B8766" s="25" t="n"/>
      <c r="I8766" s="25" t="n"/>
      <c r="U8766" s="19">
        <f>IF($V8766&lt;&gt;'設定'!$C$4,N(U8765),IF(OR(NOT(COUNTIF('商品マスタ'!$B$6:$B$1005,$W8766)=0),COUNTIFS('①在庫を貼る'!$V$6:$V$10005,$V8766,'①在庫を貼る'!$W$6:$W$10005,$W8766)+COUNTIFS('月1回_1ヶ月前の在庫'!$V$6:$V$10005,$V8766,'月1回_1ヶ月前の在庫'!$W$6:$W$10005,$W8766)&gt;0),N(U8765),N(U8765)+1))</f>
        <v/>
      </c>
      <c r="V8766" s="19">
        <f>IF($B8766="","",TEXT($B8766,"0000"))</f>
        <v/>
      </c>
      <c r="W8766" s="19">
        <f>IF($I8766="","",IF(ISNUMBER($I8766),TEXT($I8766,"0"),$I8766))</f>
        <v/>
      </c>
    </row>
    <row r="8767">
      <c r="B8767" s="25" t="n"/>
      <c r="I8767" s="25" t="n"/>
      <c r="U8767" s="19">
        <f>IF($V8767&lt;&gt;'設定'!$C$4,N(U8766),IF(OR(NOT(COUNTIF('商品マスタ'!$B$6:$B$1005,$W8767)=0),COUNTIFS('①在庫を貼る'!$V$6:$V$10005,$V8767,'①在庫を貼る'!$W$6:$W$10005,$W8767)+COUNTIFS('月1回_1ヶ月前の在庫'!$V$6:$V$10005,$V8767,'月1回_1ヶ月前の在庫'!$W$6:$W$10005,$W8767)&gt;0),N(U8766),N(U8766)+1))</f>
        <v/>
      </c>
      <c r="V8767" s="19">
        <f>IF($B8767="","",TEXT($B8767,"0000"))</f>
        <v/>
      </c>
      <c r="W8767" s="19">
        <f>IF($I8767="","",IF(ISNUMBER($I8767),TEXT($I8767,"0"),$I8767))</f>
        <v/>
      </c>
    </row>
    <row r="8768">
      <c r="B8768" s="25" t="n"/>
      <c r="I8768" s="25" t="n"/>
      <c r="U8768" s="19">
        <f>IF($V8768&lt;&gt;'設定'!$C$4,N(U8767),IF(OR(NOT(COUNTIF('商品マスタ'!$B$6:$B$1005,$W8768)=0),COUNTIFS('①在庫を貼る'!$V$6:$V$10005,$V8768,'①在庫を貼る'!$W$6:$W$10005,$W8768)+COUNTIFS('月1回_1ヶ月前の在庫'!$V$6:$V$10005,$V8768,'月1回_1ヶ月前の在庫'!$W$6:$W$10005,$W8768)&gt;0),N(U8767),N(U8767)+1))</f>
        <v/>
      </c>
      <c r="V8768" s="19">
        <f>IF($B8768="","",TEXT($B8768,"0000"))</f>
        <v/>
      </c>
      <c r="W8768" s="19">
        <f>IF($I8768="","",IF(ISNUMBER($I8768),TEXT($I8768,"0"),$I8768))</f>
        <v/>
      </c>
    </row>
    <row r="8769">
      <c r="B8769" s="25" t="n"/>
      <c r="I8769" s="25" t="n"/>
      <c r="U8769" s="19">
        <f>IF($V8769&lt;&gt;'設定'!$C$4,N(U8768),IF(OR(NOT(COUNTIF('商品マスタ'!$B$6:$B$1005,$W8769)=0),COUNTIFS('①在庫を貼る'!$V$6:$V$10005,$V8769,'①在庫を貼る'!$W$6:$W$10005,$W8769)+COUNTIFS('月1回_1ヶ月前の在庫'!$V$6:$V$10005,$V8769,'月1回_1ヶ月前の在庫'!$W$6:$W$10005,$W8769)&gt;0),N(U8768),N(U8768)+1))</f>
        <v/>
      </c>
      <c r="V8769" s="19">
        <f>IF($B8769="","",TEXT($B8769,"0000"))</f>
        <v/>
      </c>
      <c r="W8769" s="19">
        <f>IF($I8769="","",IF(ISNUMBER($I8769),TEXT($I8769,"0"),$I8769))</f>
        <v/>
      </c>
    </row>
    <row r="8770">
      <c r="B8770" s="25" t="n"/>
      <c r="I8770" s="25" t="n"/>
      <c r="U8770" s="19">
        <f>IF($V8770&lt;&gt;'設定'!$C$4,N(U8769),IF(OR(NOT(COUNTIF('商品マスタ'!$B$6:$B$1005,$W8770)=0),COUNTIFS('①在庫を貼る'!$V$6:$V$10005,$V8770,'①在庫を貼る'!$W$6:$W$10005,$W8770)+COUNTIFS('月1回_1ヶ月前の在庫'!$V$6:$V$10005,$V8770,'月1回_1ヶ月前の在庫'!$W$6:$W$10005,$W8770)&gt;0),N(U8769),N(U8769)+1))</f>
        <v/>
      </c>
      <c r="V8770" s="19">
        <f>IF($B8770="","",TEXT($B8770,"0000"))</f>
        <v/>
      </c>
      <c r="W8770" s="19">
        <f>IF($I8770="","",IF(ISNUMBER($I8770),TEXT($I8770,"0"),$I8770))</f>
        <v/>
      </c>
    </row>
    <row r="8771">
      <c r="B8771" s="25" t="n"/>
      <c r="I8771" s="25" t="n"/>
      <c r="U8771" s="19">
        <f>IF($V8771&lt;&gt;'設定'!$C$4,N(U8770),IF(OR(NOT(COUNTIF('商品マスタ'!$B$6:$B$1005,$W8771)=0),COUNTIFS('①在庫を貼る'!$V$6:$V$10005,$V8771,'①在庫を貼る'!$W$6:$W$10005,$W8771)+COUNTIFS('月1回_1ヶ月前の在庫'!$V$6:$V$10005,$V8771,'月1回_1ヶ月前の在庫'!$W$6:$W$10005,$W8771)&gt;0),N(U8770),N(U8770)+1))</f>
        <v/>
      </c>
      <c r="V8771" s="19">
        <f>IF($B8771="","",TEXT($B8771,"0000"))</f>
        <v/>
      </c>
      <c r="W8771" s="19">
        <f>IF($I8771="","",IF(ISNUMBER($I8771),TEXT($I8771,"0"),$I8771))</f>
        <v/>
      </c>
    </row>
    <row r="8772">
      <c r="B8772" s="25" t="n"/>
      <c r="I8772" s="25" t="n"/>
      <c r="U8772" s="19">
        <f>IF($V8772&lt;&gt;'設定'!$C$4,N(U8771),IF(OR(NOT(COUNTIF('商品マスタ'!$B$6:$B$1005,$W8772)=0),COUNTIFS('①在庫を貼る'!$V$6:$V$10005,$V8772,'①在庫を貼る'!$W$6:$W$10005,$W8772)+COUNTIFS('月1回_1ヶ月前の在庫'!$V$6:$V$10005,$V8772,'月1回_1ヶ月前の在庫'!$W$6:$W$10005,$W8772)&gt;0),N(U8771),N(U8771)+1))</f>
        <v/>
      </c>
      <c r="V8772" s="19">
        <f>IF($B8772="","",TEXT($B8772,"0000"))</f>
        <v/>
      </c>
      <c r="W8772" s="19">
        <f>IF($I8772="","",IF(ISNUMBER($I8772),TEXT($I8772,"0"),$I8772))</f>
        <v/>
      </c>
    </row>
    <row r="8773">
      <c r="B8773" s="25" t="n"/>
      <c r="I8773" s="25" t="n"/>
      <c r="U8773" s="19">
        <f>IF($V8773&lt;&gt;'設定'!$C$4,N(U8772),IF(OR(NOT(COUNTIF('商品マスタ'!$B$6:$B$1005,$W8773)=0),COUNTIFS('①在庫を貼る'!$V$6:$V$10005,$V8773,'①在庫を貼る'!$W$6:$W$10005,$W8773)+COUNTIFS('月1回_1ヶ月前の在庫'!$V$6:$V$10005,$V8773,'月1回_1ヶ月前の在庫'!$W$6:$W$10005,$W8773)&gt;0),N(U8772),N(U8772)+1))</f>
        <v/>
      </c>
      <c r="V8773" s="19">
        <f>IF($B8773="","",TEXT($B8773,"0000"))</f>
        <v/>
      </c>
      <c r="W8773" s="19">
        <f>IF($I8773="","",IF(ISNUMBER($I8773),TEXT($I8773,"0"),$I8773))</f>
        <v/>
      </c>
    </row>
    <row r="8774">
      <c r="B8774" s="25" t="n"/>
      <c r="I8774" s="25" t="n"/>
      <c r="U8774" s="19">
        <f>IF($V8774&lt;&gt;'設定'!$C$4,N(U8773),IF(OR(NOT(COUNTIF('商品マスタ'!$B$6:$B$1005,$W8774)=0),COUNTIFS('①在庫を貼る'!$V$6:$V$10005,$V8774,'①在庫を貼る'!$W$6:$W$10005,$W8774)+COUNTIFS('月1回_1ヶ月前の在庫'!$V$6:$V$10005,$V8774,'月1回_1ヶ月前の在庫'!$W$6:$W$10005,$W8774)&gt;0),N(U8773),N(U8773)+1))</f>
        <v/>
      </c>
      <c r="V8774" s="19">
        <f>IF($B8774="","",TEXT($B8774,"0000"))</f>
        <v/>
      </c>
      <c r="W8774" s="19">
        <f>IF($I8774="","",IF(ISNUMBER($I8774),TEXT($I8774,"0"),$I8774))</f>
        <v/>
      </c>
    </row>
    <row r="8775">
      <c r="B8775" s="25" t="n"/>
      <c r="I8775" s="25" t="n"/>
      <c r="U8775" s="19">
        <f>IF($V8775&lt;&gt;'設定'!$C$4,N(U8774),IF(OR(NOT(COUNTIF('商品マスタ'!$B$6:$B$1005,$W8775)=0),COUNTIFS('①在庫を貼る'!$V$6:$V$10005,$V8775,'①在庫を貼る'!$W$6:$W$10005,$W8775)+COUNTIFS('月1回_1ヶ月前の在庫'!$V$6:$V$10005,$V8775,'月1回_1ヶ月前の在庫'!$W$6:$W$10005,$W8775)&gt;0),N(U8774),N(U8774)+1))</f>
        <v/>
      </c>
      <c r="V8775" s="19">
        <f>IF($B8775="","",TEXT($B8775,"0000"))</f>
        <v/>
      </c>
      <c r="W8775" s="19">
        <f>IF($I8775="","",IF(ISNUMBER($I8775),TEXT($I8775,"0"),$I8775))</f>
        <v/>
      </c>
    </row>
    <row r="8776">
      <c r="B8776" s="25" t="n"/>
      <c r="I8776" s="25" t="n"/>
      <c r="U8776" s="19">
        <f>IF($V8776&lt;&gt;'設定'!$C$4,N(U8775),IF(OR(NOT(COUNTIF('商品マスタ'!$B$6:$B$1005,$W8776)=0),COUNTIFS('①在庫を貼る'!$V$6:$V$10005,$V8776,'①在庫を貼る'!$W$6:$W$10005,$W8776)+COUNTIFS('月1回_1ヶ月前の在庫'!$V$6:$V$10005,$V8776,'月1回_1ヶ月前の在庫'!$W$6:$W$10005,$W8776)&gt;0),N(U8775),N(U8775)+1))</f>
        <v/>
      </c>
      <c r="V8776" s="19">
        <f>IF($B8776="","",TEXT($B8776,"0000"))</f>
        <v/>
      </c>
      <c r="W8776" s="19">
        <f>IF($I8776="","",IF(ISNUMBER($I8776),TEXT($I8776,"0"),$I8776))</f>
        <v/>
      </c>
    </row>
    <row r="8777">
      <c r="B8777" s="25" t="n"/>
      <c r="I8777" s="25" t="n"/>
      <c r="U8777" s="19">
        <f>IF($V8777&lt;&gt;'設定'!$C$4,N(U8776),IF(OR(NOT(COUNTIF('商品マスタ'!$B$6:$B$1005,$W8777)=0),COUNTIFS('①在庫を貼る'!$V$6:$V$10005,$V8777,'①在庫を貼る'!$W$6:$W$10005,$W8777)+COUNTIFS('月1回_1ヶ月前の在庫'!$V$6:$V$10005,$V8777,'月1回_1ヶ月前の在庫'!$W$6:$W$10005,$W8777)&gt;0),N(U8776),N(U8776)+1))</f>
        <v/>
      </c>
      <c r="V8777" s="19">
        <f>IF($B8777="","",TEXT($B8777,"0000"))</f>
        <v/>
      </c>
      <c r="W8777" s="19">
        <f>IF($I8777="","",IF(ISNUMBER($I8777),TEXT($I8777,"0"),$I8777))</f>
        <v/>
      </c>
    </row>
    <row r="8778">
      <c r="B8778" s="25" t="n"/>
      <c r="I8778" s="25" t="n"/>
      <c r="U8778" s="19">
        <f>IF($V8778&lt;&gt;'設定'!$C$4,N(U8777),IF(OR(NOT(COUNTIF('商品マスタ'!$B$6:$B$1005,$W8778)=0),COUNTIFS('①在庫を貼る'!$V$6:$V$10005,$V8778,'①在庫を貼る'!$W$6:$W$10005,$W8778)+COUNTIFS('月1回_1ヶ月前の在庫'!$V$6:$V$10005,$V8778,'月1回_1ヶ月前の在庫'!$W$6:$W$10005,$W8778)&gt;0),N(U8777),N(U8777)+1))</f>
        <v/>
      </c>
      <c r="V8778" s="19">
        <f>IF($B8778="","",TEXT($B8778,"0000"))</f>
        <v/>
      </c>
      <c r="W8778" s="19">
        <f>IF($I8778="","",IF(ISNUMBER($I8778),TEXT($I8778,"0"),$I8778))</f>
        <v/>
      </c>
    </row>
    <row r="8779">
      <c r="B8779" s="25" t="n"/>
      <c r="I8779" s="25" t="n"/>
      <c r="U8779" s="19">
        <f>IF($V8779&lt;&gt;'設定'!$C$4,N(U8778),IF(OR(NOT(COUNTIF('商品マスタ'!$B$6:$B$1005,$W8779)=0),COUNTIFS('①在庫を貼る'!$V$6:$V$10005,$V8779,'①在庫を貼る'!$W$6:$W$10005,$W8779)+COUNTIFS('月1回_1ヶ月前の在庫'!$V$6:$V$10005,$V8779,'月1回_1ヶ月前の在庫'!$W$6:$W$10005,$W8779)&gt;0),N(U8778),N(U8778)+1))</f>
        <v/>
      </c>
      <c r="V8779" s="19">
        <f>IF($B8779="","",TEXT($B8779,"0000"))</f>
        <v/>
      </c>
      <c r="W8779" s="19">
        <f>IF($I8779="","",IF(ISNUMBER($I8779),TEXT($I8779,"0"),$I8779))</f>
        <v/>
      </c>
    </row>
    <row r="8780">
      <c r="B8780" s="25" t="n"/>
      <c r="I8780" s="25" t="n"/>
      <c r="U8780" s="19">
        <f>IF($V8780&lt;&gt;'設定'!$C$4,N(U8779),IF(OR(NOT(COUNTIF('商品マスタ'!$B$6:$B$1005,$W8780)=0),COUNTIFS('①在庫を貼る'!$V$6:$V$10005,$V8780,'①在庫を貼る'!$W$6:$W$10005,$W8780)+COUNTIFS('月1回_1ヶ月前の在庫'!$V$6:$V$10005,$V8780,'月1回_1ヶ月前の在庫'!$W$6:$W$10005,$W8780)&gt;0),N(U8779),N(U8779)+1))</f>
        <v/>
      </c>
      <c r="V8780" s="19">
        <f>IF($B8780="","",TEXT($B8780,"0000"))</f>
        <v/>
      </c>
      <c r="W8780" s="19">
        <f>IF($I8780="","",IF(ISNUMBER($I8780),TEXT($I8780,"0"),$I8780))</f>
        <v/>
      </c>
    </row>
    <row r="8781">
      <c r="B8781" s="25" t="n"/>
      <c r="I8781" s="25" t="n"/>
      <c r="U8781" s="19">
        <f>IF($V8781&lt;&gt;'設定'!$C$4,N(U8780),IF(OR(NOT(COUNTIF('商品マスタ'!$B$6:$B$1005,$W8781)=0),COUNTIFS('①在庫を貼る'!$V$6:$V$10005,$V8781,'①在庫を貼る'!$W$6:$W$10005,$W8781)+COUNTIFS('月1回_1ヶ月前の在庫'!$V$6:$V$10005,$V8781,'月1回_1ヶ月前の在庫'!$W$6:$W$10005,$W8781)&gt;0),N(U8780),N(U8780)+1))</f>
        <v/>
      </c>
      <c r="V8781" s="19">
        <f>IF($B8781="","",TEXT($B8781,"0000"))</f>
        <v/>
      </c>
      <c r="W8781" s="19">
        <f>IF($I8781="","",IF(ISNUMBER($I8781),TEXT($I8781,"0"),$I8781))</f>
        <v/>
      </c>
    </row>
    <row r="8782">
      <c r="B8782" s="25" t="n"/>
      <c r="I8782" s="25" t="n"/>
      <c r="U8782" s="19">
        <f>IF($V8782&lt;&gt;'設定'!$C$4,N(U8781),IF(OR(NOT(COUNTIF('商品マスタ'!$B$6:$B$1005,$W8782)=0),COUNTIFS('①在庫を貼る'!$V$6:$V$10005,$V8782,'①在庫を貼る'!$W$6:$W$10005,$W8782)+COUNTIFS('月1回_1ヶ月前の在庫'!$V$6:$V$10005,$V8782,'月1回_1ヶ月前の在庫'!$W$6:$W$10005,$W8782)&gt;0),N(U8781),N(U8781)+1))</f>
        <v/>
      </c>
      <c r="V8782" s="19">
        <f>IF($B8782="","",TEXT($B8782,"0000"))</f>
        <v/>
      </c>
      <c r="W8782" s="19">
        <f>IF($I8782="","",IF(ISNUMBER($I8782),TEXT($I8782,"0"),$I8782))</f>
        <v/>
      </c>
    </row>
    <row r="8783">
      <c r="B8783" s="25" t="n"/>
      <c r="I8783" s="25" t="n"/>
      <c r="U8783" s="19">
        <f>IF($V8783&lt;&gt;'設定'!$C$4,N(U8782),IF(OR(NOT(COUNTIF('商品マスタ'!$B$6:$B$1005,$W8783)=0),COUNTIFS('①在庫を貼る'!$V$6:$V$10005,$V8783,'①在庫を貼る'!$W$6:$W$10005,$W8783)+COUNTIFS('月1回_1ヶ月前の在庫'!$V$6:$V$10005,$V8783,'月1回_1ヶ月前の在庫'!$W$6:$W$10005,$W8783)&gt;0),N(U8782),N(U8782)+1))</f>
        <v/>
      </c>
      <c r="V8783" s="19">
        <f>IF($B8783="","",TEXT($B8783,"0000"))</f>
        <v/>
      </c>
      <c r="W8783" s="19">
        <f>IF($I8783="","",IF(ISNUMBER($I8783),TEXT($I8783,"0"),$I8783))</f>
        <v/>
      </c>
    </row>
    <row r="8784">
      <c r="B8784" s="25" t="n"/>
      <c r="I8784" s="25" t="n"/>
      <c r="U8784" s="19">
        <f>IF($V8784&lt;&gt;'設定'!$C$4,N(U8783),IF(OR(NOT(COUNTIF('商品マスタ'!$B$6:$B$1005,$W8784)=0),COUNTIFS('①在庫を貼る'!$V$6:$V$10005,$V8784,'①在庫を貼る'!$W$6:$W$10005,$W8784)+COUNTIFS('月1回_1ヶ月前の在庫'!$V$6:$V$10005,$V8784,'月1回_1ヶ月前の在庫'!$W$6:$W$10005,$W8784)&gt;0),N(U8783),N(U8783)+1))</f>
        <v/>
      </c>
      <c r="V8784" s="19">
        <f>IF($B8784="","",TEXT($B8784,"0000"))</f>
        <v/>
      </c>
      <c r="W8784" s="19">
        <f>IF($I8784="","",IF(ISNUMBER($I8784),TEXT($I8784,"0"),$I8784))</f>
        <v/>
      </c>
    </row>
    <row r="8785">
      <c r="B8785" s="25" t="n"/>
      <c r="I8785" s="25" t="n"/>
      <c r="U8785" s="19">
        <f>IF($V8785&lt;&gt;'設定'!$C$4,N(U8784),IF(OR(NOT(COUNTIF('商品マスタ'!$B$6:$B$1005,$W8785)=0),COUNTIFS('①在庫を貼る'!$V$6:$V$10005,$V8785,'①在庫を貼る'!$W$6:$W$10005,$W8785)+COUNTIFS('月1回_1ヶ月前の在庫'!$V$6:$V$10005,$V8785,'月1回_1ヶ月前の在庫'!$W$6:$W$10005,$W8785)&gt;0),N(U8784),N(U8784)+1))</f>
        <v/>
      </c>
      <c r="V8785" s="19">
        <f>IF($B8785="","",TEXT($B8785,"0000"))</f>
        <v/>
      </c>
      <c r="W8785" s="19">
        <f>IF($I8785="","",IF(ISNUMBER($I8785),TEXT($I8785,"0"),$I8785))</f>
        <v/>
      </c>
    </row>
    <row r="8786">
      <c r="B8786" s="25" t="n"/>
      <c r="I8786" s="25" t="n"/>
      <c r="U8786" s="19">
        <f>IF($V8786&lt;&gt;'設定'!$C$4,N(U8785),IF(OR(NOT(COUNTIF('商品マスタ'!$B$6:$B$1005,$W8786)=0),COUNTIFS('①在庫を貼る'!$V$6:$V$10005,$V8786,'①在庫を貼る'!$W$6:$W$10005,$W8786)+COUNTIFS('月1回_1ヶ月前の在庫'!$V$6:$V$10005,$V8786,'月1回_1ヶ月前の在庫'!$W$6:$W$10005,$W8786)&gt;0),N(U8785),N(U8785)+1))</f>
        <v/>
      </c>
      <c r="V8786" s="19">
        <f>IF($B8786="","",TEXT($B8786,"0000"))</f>
        <v/>
      </c>
      <c r="W8786" s="19">
        <f>IF($I8786="","",IF(ISNUMBER($I8786),TEXT($I8786,"0"),$I8786))</f>
        <v/>
      </c>
    </row>
    <row r="8787">
      <c r="B8787" s="25" t="n"/>
      <c r="I8787" s="25" t="n"/>
      <c r="U8787" s="19">
        <f>IF($V8787&lt;&gt;'設定'!$C$4,N(U8786),IF(OR(NOT(COUNTIF('商品マスタ'!$B$6:$B$1005,$W8787)=0),COUNTIFS('①在庫を貼る'!$V$6:$V$10005,$V8787,'①在庫を貼る'!$W$6:$W$10005,$W8787)+COUNTIFS('月1回_1ヶ月前の在庫'!$V$6:$V$10005,$V8787,'月1回_1ヶ月前の在庫'!$W$6:$W$10005,$W8787)&gt;0),N(U8786),N(U8786)+1))</f>
        <v/>
      </c>
      <c r="V8787" s="19">
        <f>IF($B8787="","",TEXT($B8787,"0000"))</f>
        <v/>
      </c>
      <c r="W8787" s="19">
        <f>IF($I8787="","",IF(ISNUMBER($I8787),TEXT($I8787,"0"),$I8787))</f>
        <v/>
      </c>
    </row>
    <row r="8788">
      <c r="B8788" s="25" t="n"/>
      <c r="I8788" s="25" t="n"/>
      <c r="U8788" s="19">
        <f>IF($V8788&lt;&gt;'設定'!$C$4,N(U8787),IF(OR(NOT(COUNTIF('商品マスタ'!$B$6:$B$1005,$W8788)=0),COUNTIFS('①在庫を貼る'!$V$6:$V$10005,$V8788,'①在庫を貼る'!$W$6:$W$10005,$W8788)+COUNTIFS('月1回_1ヶ月前の在庫'!$V$6:$V$10005,$V8788,'月1回_1ヶ月前の在庫'!$W$6:$W$10005,$W8788)&gt;0),N(U8787),N(U8787)+1))</f>
        <v/>
      </c>
      <c r="V8788" s="19">
        <f>IF($B8788="","",TEXT($B8788,"0000"))</f>
        <v/>
      </c>
      <c r="W8788" s="19">
        <f>IF($I8788="","",IF(ISNUMBER($I8788),TEXT($I8788,"0"),$I8788))</f>
        <v/>
      </c>
    </row>
    <row r="8789">
      <c r="B8789" s="25" t="n"/>
      <c r="I8789" s="25" t="n"/>
      <c r="U8789" s="19">
        <f>IF($V8789&lt;&gt;'設定'!$C$4,N(U8788),IF(OR(NOT(COUNTIF('商品マスタ'!$B$6:$B$1005,$W8789)=0),COUNTIFS('①在庫を貼る'!$V$6:$V$10005,$V8789,'①在庫を貼る'!$W$6:$W$10005,$W8789)+COUNTIFS('月1回_1ヶ月前の在庫'!$V$6:$V$10005,$V8789,'月1回_1ヶ月前の在庫'!$W$6:$W$10005,$W8789)&gt;0),N(U8788),N(U8788)+1))</f>
        <v/>
      </c>
      <c r="V8789" s="19">
        <f>IF($B8789="","",TEXT($B8789,"0000"))</f>
        <v/>
      </c>
      <c r="W8789" s="19">
        <f>IF($I8789="","",IF(ISNUMBER($I8789),TEXT($I8789,"0"),$I8789))</f>
        <v/>
      </c>
    </row>
    <row r="8790">
      <c r="B8790" s="25" t="n"/>
      <c r="I8790" s="25" t="n"/>
      <c r="U8790" s="19">
        <f>IF($V8790&lt;&gt;'設定'!$C$4,N(U8789),IF(OR(NOT(COUNTIF('商品マスタ'!$B$6:$B$1005,$W8790)=0),COUNTIFS('①在庫を貼る'!$V$6:$V$10005,$V8790,'①在庫を貼る'!$W$6:$W$10005,$W8790)+COUNTIFS('月1回_1ヶ月前の在庫'!$V$6:$V$10005,$V8790,'月1回_1ヶ月前の在庫'!$W$6:$W$10005,$W8790)&gt;0),N(U8789),N(U8789)+1))</f>
        <v/>
      </c>
      <c r="V8790" s="19">
        <f>IF($B8790="","",TEXT($B8790,"0000"))</f>
        <v/>
      </c>
      <c r="W8790" s="19">
        <f>IF($I8790="","",IF(ISNUMBER($I8790),TEXT($I8790,"0"),$I8790))</f>
        <v/>
      </c>
    </row>
    <row r="8791">
      <c r="B8791" s="25" t="n"/>
      <c r="I8791" s="25" t="n"/>
      <c r="U8791" s="19">
        <f>IF($V8791&lt;&gt;'設定'!$C$4,N(U8790),IF(OR(NOT(COUNTIF('商品マスタ'!$B$6:$B$1005,$W8791)=0),COUNTIFS('①在庫を貼る'!$V$6:$V$10005,$V8791,'①在庫を貼る'!$W$6:$W$10005,$W8791)+COUNTIFS('月1回_1ヶ月前の在庫'!$V$6:$V$10005,$V8791,'月1回_1ヶ月前の在庫'!$W$6:$W$10005,$W8791)&gt;0),N(U8790),N(U8790)+1))</f>
        <v/>
      </c>
      <c r="V8791" s="19">
        <f>IF($B8791="","",TEXT($B8791,"0000"))</f>
        <v/>
      </c>
      <c r="W8791" s="19">
        <f>IF($I8791="","",IF(ISNUMBER($I8791),TEXT($I8791,"0"),$I8791))</f>
        <v/>
      </c>
    </row>
    <row r="8792">
      <c r="B8792" s="25" t="n"/>
      <c r="I8792" s="25" t="n"/>
      <c r="U8792" s="19">
        <f>IF($V8792&lt;&gt;'設定'!$C$4,N(U8791),IF(OR(NOT(COUNTIF('商品マスタ'!$B$6:$B$1005,$W8792)=0),COUNTIFS('①在庫を貼る'!$V$6:$V$10005,$V8792,'①在庫を貼る'!$W$6:$W$10005,$W8792)+COUNTIFS('月1回_1ヶ月前の在庫'!$V$6:$V$10005,$V8792,'月1回_1ヶ月前の在庫'!$W$6:$W$10005,$W8792)&gt;0),N(U8791),N(U8791)+1))</f>
        <v/>
      </c>
      <c r="V8792" s="19">
        <f>IF($B8792="","",TEXT($B8792,"0000"))</f>
        <v/>
      </c>
      <c r="W8792" s="19">
        <f>IF($I8792="","",IF(ISNUMBER($I8792),TEXT($I8792,"0"),$I8792))</f>
        <v/>
      </c>
    </row>
    <row r="8793">
      <c r="B8793" s="25" t="n"/>
      <c r="I8793" s="25" t="n"/>
      <c r="U8793" s="19">
        <f>IF($V8793&lt;&gt;'設定'!$C$4,N(U8792),IF(OR(NOT(COUNTIF('商品マスタ'!$B$6:$B$1005,$W8793)=0),COUNTIFS('①在庫を貼る'!$V$6:$V$10005,$V8793,'①在庫を貼る'!$W$6:$W$10005,$W8793)+COUNTIFS('月1回_1ヶ月前の在庫'!$V$6:$V$10005,$V8793,'月1回_1ヶ月前の在庫'!$W$6:$W$10005,$W8793)&gt;0),N(U8792),N(U8792)+1))</f>
        <v/>
      </c>
      <c r="V8793" s="19">
        <f>IF($B8793="","",TEXT($B8793,"0000"))</f>
        <v/>
      </c>
      <c r="W8793" s="19">
        <f>IF($I8793="","",IF(ISNUMBER($I8793),TEXT($I8793,"0"),$I8793))</f>
        <v/>
      </c>
    </row>
    <row r="8794">
      <c r="B8794" s="25" t="n"/>
      <c r="I8794" s="25" t="n"/>
      <c r="U8794" s="19">
        <f>IF($V8794&lt;&gt;'設定'!$C$4,N(U8793),IF(OR(NOT(COUNTIF('商品マスタ'!$B$6:$B$1005,$W8794)=0),COUNTIFS('①在庫を貼る'!$V$6:$V$10005,$V8794,'①在庫を貼る'!$W$6:$W$10005,$W8794)+COUNTIFS('月1回_1ヶ月前の在庫'!$V$6:$V$10005,$V8794,'月1回_1ヶ月前の在庫'!$W$6:$W$10005,$W8794)&gt;0),N(U8793),N(U8793)+1))</f>
        <v/>
      </c>
      <c r="V8794" s="19">
        <f>IF($B8794="","",TEXT($B8794,"0000"))</f>
        <v/>
      </c>
      <c r="W8794" s="19">
        <f>IF($I8794="","",IF(ISNUMBER($I8794),TEXT($I8794,"0"),$I8794))</f>
        <v/>
      </c>
    </row>
    <row r="8795">
      <c r="B8795" s="25" t="n"/>
      <c r="I8795" s="25" t="n"/>
      <c r="U8795" s="19">
        <f>IF($V8795&lt;&gt;'設定'!$C$4,N(U8794),IF(OR(NOT(COUNTIF('商品マスタ'!$B$6:$B$1005,$W8795)=0),COUNTIFS('①在庫を貼る'!$V$6:$V$10005,$V8795,'①在庫を貼る'!$W$6:$W$10005,$W8795)+COUNTIFS('月1回_1ヶ月前の在庫'!$V$6:$V$10005,$V8795,'月1回_1ヶ月前の在庫'!$W$6:$W$10005,$W8795)&gt;0),N(U8794),N(U8794)+1))</f>
        <v/>
      </c>
      <c r="V8795" s="19">
        <f>IF($B8795="","",TEXT($B8795,"0000"))</f>
        <v/>
      </c>
      <c r="W8795" s="19">
        <f>IF($I8795="","",IF(ISNUMBER($I8795),TEXT($I8795,"0"),$I8795))</f>
        <v/>
      </c>
    </row>
    <row r="8796">
      <c r="B8796" s="25" t="n"/>
      <c r="I8796" s="25" t="n"/>
      <c r="U8796" s="19">
        <f>IF($V8796&lt;&gt;'設定'!$C$4,N(U8795),IF(OR(NOT(COUNTIF('商品マスタ'!$B$6:$B$1005,$W8796)=0),COUNTIFS('①在庫を貼る'!$V$6:$V$10005,$V8796,'①在庫を貼る'!$W$6:$W$10005,$W8796)+COUNTIFS('月1回_1ヶ月前の在庫'!$V$6:$V$10005,$V8796,'月1回_1ヶ月前の在庫'!$W$6:$W$10005,$W8796)&gt;0),N(U8795),N(U8795)+1))</f>
        <v/>
      </c>
      <c r="V8796" s="19">
        <f>IF($B8796="","",TEXT($B8796,"0000"))</f>
        <v/>
      </c>
      <c r="W8796" s="19">
        <f>IF($I8796="","",IF(ISNUMBER($I8796),TEXT($I8796,"0"),$I8796))</f>
        <v/>
      </c>
    </row>
    <row r="8797">
      <c r="B8797" s="25" t="n"/>
      <c r="I8797" s="25" t="n"/>
      <c r="U8797" s="19">
        <f>IF($V8797&lt;&gt;'設定'!$C$4,N(U8796),IF(OR(NOT(COUNTIF('商品マスタ'!$B$6:$B$1005,$W8797)=0),COUNTIFS('①在庫を貼る'!$V$6:$V$10005,$V8797,'①在庫を貼る'!$W$6:$W$10005,$W8797)+COUNTIFS('月1回_1ヶ月前の在庫'!$V$6:$V$10005,$V8797,'月1回_1ヶ月前の在庫'!$W$6:$W$10005,$W8797)&gt;0),N(U8796),N(U8796)+1))</f>
        <v/>
      </c>
      <c r="V8797" s="19">
        <f>IF($B8797="","",TEXT($B8797,"0000"))</f>
        <v/>
      </c>
      <c r="W8797" s="19">
        <f>IF($I8797="","",IF(ISNUMBER($I8797),TEXT($I8797,"0"),$I8797))</f>
        <v/>
      </c>
    </row>
    <row r="8798">
      <c r="B8798" s="25" t="n"/>
      <c r="I8798" s="25" t="n"/>
      <c r="U8798" s="19">
        <f>IF($V8798&lt;&gt;'設定'!$C$4,N(U8797),IF(OR(NOT(COUNTIF('商品マスタ'!$B$6:$B$1005,$W8798)=0),COUNTIFS('①在庫を貼る'!$V$6:$V$10005,$V8798,'①在庫を貼る'!$W$6:$W$10005,$W8798)+COUNTIFS('月1回_1ヶ月前の在庫'!$V$6:$V$10005,$V8798,'月1回_1ヶ月前の在庫'!$W$6:$W$10005,$W8798)&gt;0),N(U8797),N(U8797)+1))</f>
        <v/>
      </c>
      <c r="V8798" s="19">
        <f>IF($B8798="","",TEXT($B8798,"0000"))</f>
        <v/>
      </c>
      <c r="W8798" s="19">
        <f>IF($I8798="","",IF(ISNUMBER($I8798),TEXT($I8798,"0"),$I8798))</f>
        <v/>
      </c>
    </row>
    <row r="8799">
      <c r="B8799" s="25" t="n"/>
      <c r="I8799" s="25" t="n"/>
      <c r="U8799" s="19">
        <f>IF($V8799&lt;&gt;'設定'!$C$4,N(U8798),IF(OR(NOT(COUNTIF('商品マスタ'!$B$6:$B$1005,$W8799)=0),COUNTIFS('①在庫を貼る'!$V$6:$V$10005,$V8799,'①在庫を貼る'!$W$6:$W$10005,$W8799)+COUNTIFS('月1回_1ヶ月前の在庫'!$V$6:$V$10005,$V8799,'月1回_1ヶ月前の在庫'!$W$6:$W$10005,$W8799)&gt;0),N(U8798),N(U8798)+1))</f>
        <v/>
      </c>
      <c r="V8799" s="19">
        <f>IF($B8799="","",TEXT($B8799,"0000"))</f>
        <v/>
      </c>
      <c r="W8799" s="19">
        <f>IF($I8799="","",IF(ISNUMBER($I8799),TEXT($I8799,"0"),$I8799))</f>
        <v/>
      </c>
    </row>
    <row r="8800">
      <c r="B8800" s="25" t="n"/>
      <c r="I8800" s="25" t="n"/>
      <c r="U8800" s="19">
        <f>IF($V8800&lt;&gt;'設定'!$C$4,N(U8799),IF(OR(NOT(COUNTIF('商品マスタ'!$B$6:$B$1005,$W8800)=0),COUNTIFS('①在庫を貼る'!$V$6:$V$10005,$V8800,'①在庫を貼る'!$W$6:$W$10005,$W8800)+COUNTIFS('月1回_1ヶ月前の在庫'!$V$6:$V$10005,$V8800,'月1回_1ヶ月前の在庫'!$W$6:$W$10005,$W8800)&gt;0),N(U8799),N(U8799)+1))</f>
        <v/>
      </c>
      <c r="V8800" s="19">
        <f>IF($B8800="","",TEXT($B8800,"0000"))</f>
        <v/>
      </c>
      <c r="W8800" s="19">
        <f>IF($I8800="","",IF(ISNUMBER($I8800),TEXT($I8800,"0"),$I8800))</f>
        <v/>
      </c>
    </row>
    <row r="8801">
      <c r="B8801" s="25" t="n"/>
      <c r="I8801" s="25" t="n"/>
      <c r="U8801" s="19">
        <f>IF($V8801&lt;&gt;'設定'!$C$4,N(U8800),IF(OR(NOT(COUNTIF('商品マスタ'!$B$6:$B$1005,$W8801)=0),COUNTIFS('①在庫を貼る'!$V$6:$V$10005,$V8801,'①在庫を貼る'!$W$6:$W$10005,$W8801)+COUNTIFS('月1回_1ヶ月前の在庫'!$V$6:$V$10005,$V8801,'月1回_1ヶ月前の在庫'!$W$6:$W$10005,$W8801)&gt;0),N(U8800),N(U8800)+1))</f>
        <v/>
      </c>
      <c r="V8801" s="19">
        <f>IF($B8801="","",TEXT($B8801,"0000"))</f>
        <v/>
      </c>
      <c r="W8801" s="19">
        <f>IF($I8801="","",IF(ISNUMBER($I8801),TEXT($I8801,"0"),$I8801))</f>
        <v/>
      </c>
    </row>
    <row r="8802">
      <c r="B8802" s="25" t="n"/>
      <c r="I8802" s="25" t="n"/>
      <c r="U8802" s="19">
        <f>IF($V8802&lt;&gt;'設定'!$C$4,N(U8801),IF(OR(NOT(COUNTIF('商品マスタ'!$B$6:$B$1005,$W8802)=0),COUNTIFS('①在庫を貼る'!$V$6:$V$10005,$V8802,'①在庫を貼る'!$W$6:$W$10005,$W8802)+COUNTIFS('月1回_1ヶ月前の在庫'!$V$6:$V$10005,$V8802,'月1回_1ヶ月前の在庫'!$W$6:$W$10005,$W8802)&gt;0),N(U8801),N(U8801)+1))</f>
        <v/>
      </c>
      <c r="V8802" s="19">
        <f>IF($B8802="","",TEXT($B8802,"0000"))</f>
        <v/>
      </c>
      <c r="W8802" s="19">
        <f>IF($I8802="","",IF(ISNUMBER($I8802),TEXT($I8802,"0"),$I8802))</f>
        <v/>
      </c>
    </row>
    <row r="8803">
      <c r="B8803" s="25" t="n"/>
      <c r="I8803" s="25" t="n"/>
      <c r="U8803" s="19">
        <f>IF($V8803&lt;&gt;'設定'!$C$4,N(U8802),IF(OR(NOT(COUNTIF('商品マスタ'!$B$6:$B$1005,$W8803)=0),COUNTIFS('①在庫を貼る'!$V$6:$V$10005,$V8803,'①在庫を貼る'!$W$6:$W$10005,$W8803)+COUNTIFS('月1回_1ヶ月前の在庫'!$V$6:$V$10005,$V8803,'月1回_1ヶ月前の在庫'!$W$6:$W$10005,$W8803)&gt;0),N(U8802),N(U8802)+1))</f>
        <v/>
      </c>
      <c r="V8803" s="19">
        <f>IF($B8803="","",TEXT($B8803,"0000"))</f>
        <v/>
      </c>
      <c r="W8803" s="19">
        <f>IF($I8803="","",IF(ISNUMBER($I8803),TEXT($I8803,"0"),$I8803))</f>
        <v/>
      </c>
    </row>
    <row r="8804">
      <c r="B8804" s="25" t="n"/>
      <c r="I8804" s="25" t="n"/>
      <c r="U8804" s="19">
        <f>IF($V8804&lt;&gt;'設定'!$C$4,N(U8803),IF(OR(NOT(COUNTIF('商品マスタ'!$B$6:$B$1005,$W8804)=0),COUNTIFS('①在庫を貼る'!$V$6:$V$10005,$V8804,'①在庫を貼る'!$W$6:$W$10005,$W8804)+COUNTIFS('月1回_1ヶ月前の在庫'!$V$6:$V$10005,$V8804,'月1回_1ヶ月前の在庫'!$W$6:$W$10005,$W8804)&gt;0),N(U8803),N(U8803)+1))</f>
        <v/>
      </c>
      <c r="V8804" s="19">
        <f>IF($B8804="","",TEXT($B8804,"0000"))</f>
        <v/>
      </c>
      <c r="W8804" s="19">
        <f>IF($I8804="","",IF(ISNUMBER($I8804),TEXT($I8804,"0"),$I8804))</f>
        <v/>
      </c>
    </row>
    <row r="8805">
      <c r="B8805" s="25" t="n"/>
      <c r="I8805" s="25" t="n"/>
      <c r="U8805" s="19">
        <f>IF($V8805&lt;&gt;'設定'!$C$4,N(U8804),IF(OR(NOT(COUNTIF('商品マスタ'!$B$6:$B$1005,$W8805)=0),COUNTIFS('①在庫を貼る'!$V$6:$V$10005,$V8805,'①在庫を貼る'!$W$6:$W$10005,$W8805)+COUNTIFS('月1回_1ヶ月前の在庫'!$V$6:$V$10005,$V8805,'月1回_1ヶ月前の在庫'!$W$6:$W$10005,$W8805)&gt;0),N(U8804),N(U8804)+1))</f>
        <v/>
      </c>
      <c r="V8805" s="19">
        <f>IF($B8805="","",TEXT($B8805,"0000"))</f>
        <v/>
      </c>
      <c r="W8805" s="19">
        <f>IF($I8805="","",IF(ISNUMBER($I8805),TEXT($I8805,"0"),$I8805))</f>
        <v/>
      </c>
    </row>
    <row r="8806">
      <c r="B8806" s="25" t="n"/>
      <c r="I8806" s="25" t="n"/>
      <c r="U8806" s="19">
        <f>IF($V8806&lt;&gt;'設定'!$C$4,N(U8805),IF(OR(NOT(COUNTIF('商品マスタ'!$B$6:$B$1005,$W8806)=0),COUNTIFS('①在庫を貼る'!$V$6:$V$10005,$V8806,'①在庫を貼る'!$W$6:$W$10005,$W8806)+COUNTIFS('月1回_1ヶ月前の在庫'!$V$6:$V$10005,$V8806,'月1回_1ヶ月前の在庫'!$W$6:$W$10005,$W8806)&gt;0),N(U8805),N(U8805)+1))</f>
        <v/>
      </c>
      <c r="V8806" s="19">
        <f>IF($B8806="","",TEXT($B8806,"0000"))</f>
        <v/>
      </c>
      <c r="W8806" s="19">
        <f>IF($I8806="","",IF(ISNUMBER($I8806),TEXT($I8806,"0"),$I8806))</f>
        <v/>
      </c>
    </row>
    <row r="8807">
      <c r="B8807" s="25" t="n"/>
      <c r="I8807" s="25" t="n"/>
      <c r="U8807" s="19">
        <f>IF($V8807&lt;&gt;'設定'!$C$4,N(U8806),IF(OR(NOT(COUNTIF('商品マスタ'!$B$6:$B$1005,$W8807)=0),COUNTIFS('①在庫を貼る'!$V$6:$V$10005,$V8807,'①在庫を貼る'!$W$6:$W$10005,$W8807)+COUNTIFS('月1回_1ヶ月前の在庫'!$V$6:$V$10005,$V8807,'月1回_1ヶ月前の在庫'!$W$6:$W$10005,$W8807)&gt;0),N(U8806),N(U8806)+1))</f>
        <v/>
      </c>
      <c r="V8807" s="19">
        <f>IF($B8807="","",TEXT($B8807,"0000"))</f>
        <v/>
      </c>
      <c r="W8807" s="19">
        <f>IF($I8807="","",IF(ISNUMBER($I8807),TEXT($I8807,"0"),$I8807))</f>
        <v/>
      </c>
    </row>
    <row r="8808">
      <c r="B8808" s="25" t="n"/>
      <c r="I8808" s="25" t="n"/>
      <c r="U8808" s="19">
        <f>IF($V8808&lt;&gt;'設定'!$C$4,N(U8807),IF(OR(NOT(COUNTIF('商品マスタ'!$B$6:$B$1005,$W8808)=0),COUNTIFS('①在庫を貼る'!$V$6:$V$10005,$V8808,'①在庫を貼る'!$W$6:$W$10005,$W8808)+COUNTIFS('月1回_1ヶ月前の在庫'!$V$6:$V$10005,$V8808,'月1回_1ヶ月前の在庫'!$W$6:$W$10005,$W8808)&gt;0),N(U8807),N(U8807)+1))</f>
        <v/>
      </c>
      <c r="V8808" s="19">
        <f>IF($B8808="","",TEXT($B8808,"0000"))</f>
        <v/>
      </c>
      <c r="W8808" s="19">
        <f>IF($I8808="","",IF(ISNUMBER($I8808),TEXT($I8808,"0"),$I8808))</f>
        <v/>
      </c>
    </row>
    <row r="8809">
      <c r="B8809" s="25" t="n"/>
      <c r="I8809" s="25" t="n"/>
      <c r="U8809" s="19">
        <f>IF($V8809&lt;&gt;'設定'!$C$4,N(U8808),IF(OR(NOT(COUNTIF('商品マスタ'!$B$6:$B$1005,$W8809)=0),COUNTIFS('①在庫を貼る'!$V$6:$V$10005,$V8809,'①在庫を貼る'!$W$6:$W$10005,$W8809)+COUNTIFS('月1回_1ヶ月前の在庫'!$V$6:$V$10005,$V8809,'月1回_1ヶ月前の在庫'!$W$6:$W$10005,$W8809)&gt;0),N(U8808),N(U8808)+1))</f>
        <v/>
      </c>
      <c r="V8809" s="19">
        <f>IF($B8809="","",TEXT($B8809,"0000"))</f>
        <v/>
      </c>
      <c r="W8809" s="19">
        <f>IF($I8809="","",IF(ISNUMBER($I8809),TEXT($I8809,"0"),$I8809))</f>
        <v/>
      </c>
    </row>
    <row r="8810">
      <c r="B8810" s="25" t="n"/>
      <c r="I8810" s="25" t="n"/>
      <c r="U8810" s="19">
        <f>IF($V8810&lt;&gt;'設定'!$C$4,N(U8809),IF(OR(NOT(COUNTIF('商品マスタ'!$B$6:$B$1005,$W8810)=0),COUNTIFS('①在庫を貼る'!$V$6:$V$10005,$V8810,'①在庫を貼る'!$W$6:$W$10005,$W8810)+COUNTIFS('月1回_1ヶ月前の在庫'!$V$6:$V$10005,$V8810,'月1回_1ヶ月前の在庫'!$W$6:$W$10005,$W8810)&gt;0),N(U8809),N(U8809)+1))</f>
        <v/>
      </c>
      <c r="V8810" s="19">
        <f>IF($B8810="","",TEXT($B8810,"0000"))</f>
        <v/>
      </c>
      <c r="W8810" s="19">
        <f>IF($I8810="","",IF(ISNUMBER($I8810),TEXT($I8810,"0"),$I8810))</f>
        <v/>
      </c>
    </row>
    <row r="8811">
      <c r="B8811" s="25" t="n"/>
      <c r="I8811" s="25" t="n"/>
      <c r="U8811" s="19">
        <f>IF($V8811&lt;&gt;'設定'!$C$4,N(U8810),IF(OR(NOT(COUNTIF('商品マスタ'!$B$6:$B$1005,$W8811)=0),COUNTIFS('①在庫を貼る'!$V$6:$V$10005,$V8811,'①在庫を貼る'!$W$6:$W$10005,$W8811)+COUNTIFS('月1回_1ヶ月前の在庫'!$V$6:$V$10005,$V8811,'月1回_1ヶ月前の在庫'!$W$6:$W$10005,$W8811)&gt;0),N(U8810),N(U8810)+1))</f>
        <v/>
      </c>
      <c r="V8811" s="19">
        <f>IF($B8811="","",TEXT($B8811,"0000"))</f>
        <v/>
      </c>
      <c r="W8811" s="19">
        <f>IF($I8811="","",IF(ISNUMBER($I8811),TEXT($I8811,"0"),$I8811))</f>
        <v/>
      </c>
    </row>
    <row r="8812">
      <c r="B8812" s="25" t="n"/>
      <c r="I8812" s="25" t="n"/>
      <c r="U8812" s="19">
        <f>IF($V8812&lt;&gt;'設定'!$C$4,N(U8811),IF(OR(NOT(COUNTIF('商品マスタ'!$B$6:$B$1005,$W8812)=0),COUNTIFS('①在庫を貼る'!$V$6:$V$10005,$V8812,'①在庫を貼る'!$W$6:$W$10005,$W8812)+COUNTIFS('月1回_1ヶ月前の在庫'!$V$6:$V$10005,$V8812,'月1回_1ヶ月前の在庫'!$W$6:$W$10005,$W8812)&gt;0),N(U8811),N(U8811)+1))</f>
        <v/>
      </c>
      <c r="V8812" s="19">
        <f>IF($B8812="","",TEXT($B8812,"0000"))</f>
        <v/>
      </c>
      <c r="W8812" s="19">
        <f>IF($I8812="","",IF(ISNUMBER($I8812),TEXT($I8812,"0"),$I8812))</f>
        <v/>
      </c>
    </row>
    <row r="8813">
      <c r="B8813" s="25" t="n"/>
      <c r="I8813" s="25" t="n"/>
      <c r="U8813" s="19">
        <f>IF($V8813&lt;&gt;'設定'!$C$4,N(U8812),IF(OR(NOT(COUNTIF('商品マスタ'!$B$6:$B$1005,$W8813)=0),COUNTIFS('①在庫を貼る'!$V$6:$V$10005,$V8813,'①在庫を貼る'!$W$6:$W$10005,$W8813)+COUNTIFS('月1回_1ヶ月前の在庫'!$V$6:$V$10005,$V8813,'月1回_1ヶ月前の在庫'!$W$6:$W$10005,$W8813)&gt;0),N(U8812),N(U8812)+1))</f>
        <v/>
      </c>
      <c r="V8813" s="19">
        <f>IF($B8813="","",TEXT($B8813,"0000"))</f>
        <v/>
      </c>
      <c r="W8813" s="19">
        <f>IF($I8813="","",IF(ISNUMBER($I8813),TEXT($I8813,"0"),$I8813))</f>
        <v/>
      </c>
    </row>
    <row r="8814">
      <c r="B8814" s="25" t="n"/>
      <c r="I8814" s="25" t="n"/>
      <c r="U8814" s="19">
        <f>IF($V8814&lt;&gt;'設定'!$C$4,N(U8813),IF(OR(NOT(COUNTIF('商品マスタ'!$B$6:$B$1005,$W8814)=0),COUNTIFS('①在庫を貼る'!$V$6:$V$10005,$V8814,'①在庫を貼る'!$W$6:$W$10005,$W8814)+COUNTIFS('月1回_1ヶ月前の在庫'!$V$6:$V$10005,$V8814,'月1回_1ヶ月前の在庫'!$W$6:$W$10005,$W8814)&gt;0),N(U8813),N(U8813)+1))</f>
        <v/>
      </c>
      <c r="V8814" s="19">
        <f>IF($B8814="","",TEXT($B8814,"0000"))</f>
        <v/>
      </c>
      <c r="W8814" s="19">
        <f>IF($I8814="","",IF(ISNUMBER($I8814),TEXT($I8814,"0"),$I8814))</f>
        <v/>
      </c>
    </row>
    <row r="8815">
      <c r="B8815" s="25" t="n"/>
      <c r="I8815" s="25" t="n"/>
      <c r="U8815" s="19">
        <f>IF($V8815&lt;&gt;'設定'!$C$4,N(U8814),IF(OR(NOT(COUNTIF('商品マスタ'!$B$6:$B$1005,$W8815)=0),COUNTIFS('①在庫を貼る'!$V$6:$V$10005,$V8815,'①在庫を貼る'!$W$6:$W$10005,$W8815)+COUNTIFS('月1回_1ヶ月前の在庫'!$V$6:$V$10005,$V8815,'月1回_1ヶ月前の在庫'!$W$6:$W$10005,$W8815)&gt;0),N(U8814),N(U8814)+1))</f>
        <v/>
      </c>
      <c r="V8815" s="19">
        <f>IF($B8815="","",TEXT($B8815,"0000"))</f>
        <v/>
      </c>
      <c r="W8815" s="19">
        <f>IF($I8815="","",IF(ISNUMBER($I8815),TEXT($I8815,"0"),$I8815))</f>
        <v/>
      </c>
    </row>
    <row r="8816">
      <c r="B8816" s="25" t="n"/>
      <c r="I8816" s="25" t="n"/>
      <c r="U8816" s="19">
        <f>IF($V8816&lt;&gt;'設定'!$C$4,N(U8815),IF(OR(NOT(COUNTIF('商品マスタ'!$B$6:$B$1005,$W8816)=0),COUNTIFS('①在庫を貼る'!$V$6:$V$10005,$V8816,'①在庫を貼る'!$W$6:$W$10005,$W8816)+COUNTIFS('月1回_1ヶ月前の在庫'!$V$6:$V$10005,$V8816,'月1回_1ヶ月前の在庫'!$W$6:$W$10005,$W8816)&gt;0),N(U8815),N(U8815)+1))</f>
        <v/>
      </c>
      <c r="V8816" s="19">
        <f>IF($B8816="","",TEXT($B8816,"0000"))</f>
        <v/>
      </c>
      <c r="W8816" s="19">
        <f>IF($I8816="","",IF(ISNUMBER($I8816),TEXT($I8816,"0"),$I8816))</f>
        <v/>
      </c>
    </row>
    <row r="8817">
      <c r="B8817" s="25" t="n"/>
      <c r="I8817" s="25" t="n"/>
      <c r="U8817" s="19">
        <f>IF($V8817&lt;&gt;'設定'!$C$4,N(U8816),IF(OR(NOT(COUNTIF('商品マスタ'!$B$6:$B$1005,$W8817)=0),COUNTIFS('①在庫を貼る'!$V$6:$V$10005,$V8817,'①在庫を貼る'!$W$6:$W$10005,$W8817)+COUNTIFS('月1回_1ヶ月前の在庫'!$V$6:$V$10005,$V8817,'月1回_1ヶ月前の在庫'!$W$6:$W$10005,$W8817)&gt;0),N(U8816),N(U8816)+1))</f>
        <v/>
      </c>
      <c r="V8817" s="19">
        <f>IF($B8817="","",TEXT($B8817,"0000"))</f>
        <v/>
      </c>
      <c r="W8817" s="19">
        <f>IF($I8817="","",IF(ISNUMBER($I8817),TEXT($I8817,"0"),$I8817))</f>
        <v/>
      </c>
    </row>
    <row r="8818">
      <c r="B8818" s="25" t="n"/>
      <c r="I8818" s="25" t="n"/>
      <c r="U8818" s="19">
        <f>IF($V8818&lt;&gt;'設定'!$C$4,N(U8817),IF(OR(NOT(COUNTIF('商品マスタ'!$B$6:$B$1005,$W8818)=0),COUNTIFS('①在庫を貼る'!$V$6:$V$10005,$V8818,'①在庫を貼る'!$W$6:$W$10005,$W8818)+COUNTIFS('月1回_1ヶ月前の在庫'!$V$6:$V$10005,$V8818,'月1回_1ヶ月前の在庫'!$W$6:$W$10005,$W8818)&gt;0),N(U8817),N(U8817)+1))</f>
        <v/>
      </c>
      <c r="V8818" s="19">
        <f>IF($B8818="","",TEXT($B8818,"0000"))</f>
        <v/>
      </c>
      <c r="W8818" s="19">
        <f>IF($I8818="","",IF(ISNUMBER($I8818),TEXT($I8818,"0"),$I8818))</f>
        <v/>
      </c>
    </row>
    <row r="8819">
      <c r="B8819" s="25" t="n"/>
      <c r="I8819" s="25" t="n"/>
      <c r="U8819" s="19">
        <f>IF($V8819&lt;&gt;'設定'!$C$4,N(U8818),IF(OR(NOT(COUNTIF('商品マスタ'!$B$6:$B$1005,$W8819)=0),COUNTIFS('①在庫を貼る'!$V$6:$V$10005,$V8819,'①在庫を貼る'!$W$6:$W$10005,$W8819)+COUNTIFS('月1回_1ヶ月前の在庫'!$V$6:$V$10005,$V8819,'月1回_1ヶ月前の在庫'!$W$6:$W$10005,$W8819)&gt;0),N(U8818),N(U8818)+1))</f>
        <v/>
      </c>
      <c r="V8819" s="19">
        <f>IF($B8819="","",TEXT($B8819,"0000"))</f>
        <v/>
      </c>
      <c r="W8819" s="19">
        <f>IF($I8819="","",IF(ISNUMBER($I8819),TEXT($I8819,"0"),$I8819))</f>
        <v/>
      </c>
    </row>
    <row r="8820">
      <c r="B8820" s="25" t="n"/>
      <c r="I8820" s="25" t="n"/>
      <c r="U8820" s="19">
        <f>IF($V8820&lt;&gt;'設定'!$C$4,N(U8819),IF(OR(NOT(COUNTIF('商品マスタ'!$B$6:$B$1005,$W8820)=0),COUNTIFS('①在庫を貼る'!$V$6:$V$10005,$V8820,'①在庫を貼る'!$W$6:$W$10005,$W8820)+COUNTIFS('月1回_1ヶ月前の在庫'!$V$6:$V$10005,$V8820,'月1回_1ヶ月前の在庫'!$W$6:$W$10005,$W8820)&gt;0),N(U8819),N(U8819)+1))</f>
        <v/>
      </c>
      <c r="V8820" s="19">
        <f>IF($B8820="","",TEXT($B8820,"0000"))</f>
        <v/>
      </c>
      <c r="W8820" s="19">
        <f>IF($I8820="","",IF(ISNUMBER($I8820),TEXT($I8820,"0"),$I8820))</f>
        <v/>
      </c>
    </row>
    <row r="8821">
      <c r="B8821" s="25" t="n"/>
      <c r="I8821" s="25" t="n"/>
      <c r="U8821" s="19">
        <f>IF($V8821&lt;&gt;'設定'!$C$4,N(U8820),IF(OR(NOT(COUNTIF('商品マスタ'!$B$6:$B$1005,$W8821)=0),COUNTIFS('①在庫を貼る'!$V$6:$V$10005,$V8821,'①在庫を貼る'!$W$6:$W$10005,$W8821)+COUNTIFS('月1回_1ヶ月前の在庫'!$V$6:$V$10005,$V8821,'月1回_1ヶ月前の在庫'!$W$6:$W$10005,$W8821)&gt;0),N(U8820),N(U8820)+1))</f>
        <v/>
      </c>
      <c r="V8821" s="19">
        <f>IF($B8821="","",TEXT($B8821,"0000"))</f>
        <v/>
      </c>
      <c r="W8821" s="19">
        <f>IF($I8821="","",IF(ISNUMBER($I8821),TEXT($I8821,"0"),$I8821))</f>
        <v/>
      </c>
    </row>
    <row r="8822">
      <c r="B8822" s="25" t="n"/>
      <c r="I8822" s="25" t="n"/>
      <c r="U8822" s="19">
        <f>IF($V8822&lt;&gt;'設定'!$C$4,N(U8821),IF(OR(NOT(COUNTIF('商品マスタ'!$B$6:$B$1005,$W8822)=0),COUNTIFS('①在庫を貼る'!$V$6:$V$10005,$V8822,'①在庫を貼る'!$W$6:$W$10005,$W8822)+COUNTIFS('月1回_1ヶ月前の在庫'!$V$6:$V$10005,$V8822,'月1回_1ヶ月前の在庫'!$W$6:$W$10005,$W8822)&gt;0),N(U8821),N(U8821)+1))</f>
        <v/>
      </c>
      <c r="V8822" s="19">
        <f>IF($B8822="","",TEXT($B8822,"0000"))</f>
        <v/>
      </c>
      <c r="W8822" s="19">
        <f>IF($I8822="","",IF(ISNUMBER($I8822),TEXT($I8822,"0"),$I8822))</f>
        <v/>
      </c>
    </row>
    <row r="8823">
      <c r="B8823" s="25" t="n"/>
      <c r="I8823" s="25" t="n"/>
      <c r="U8823" s="19">
        <f>IF($V8823&lt;&gt;'設定'!$C$4,N(U8822),IF(OR(NOT(COUNTIF('商品マスタ'!$B$6:$B$1005,$W8823)=0),COUNTIFS('①在庫を貼る'!$V$6:$V$10005,$V8823,'①在庫を貼る'!$W$6:$W$10005,$W8823)+COUNTIFS('月1回_1ヶ月前の在庫'!$V$6:$V$10005,$V8823,'月1回_1ヶ月前の在庫'!$W$6:$W$10005,$W8823)&gt;0),N(U8822),N(U8822)+1))</f>
        <v/>
      </c>
      <c r="V8823" s="19">
        <f>IF($B8823="","",TEXT($B8823,"0000"))</f>
        <v/>
      </c>
      <c r="W8823" s="19">
        <f>IF($I8823="","",IF(ISNUMBER($I8823),TEXT($I8823,"0"),$I8823))</f>
        <v/>
      </c>
    </row>
    <row r="8824">
      <c r="B8824" s="25" t="n"/>
      <c r="I8824" s="25" t="n"/>
      <c r="U8824" s="19">
        <f>IF($V8824&lt;&gt;'設定'!$C$4,N(U8823),IF(OR(NOT(COUNTIF('商品マスタ'!$B$6:$B$1005,$W8824)=0),COUNTIFS('①在庫を貼る'!$V$6:$V$10005,$V8824,'①在庫を貼る'!$W$6:$W$10005,$W8824)+COUNTIFS('月1回_1ヶ月前の在庫'!$V$6:$V$10005,$V8824,'月1回_1ヶ月前の在庫'!$W$6:$W$10005,$W8824)&gt;0),N(U8823),N(U8823)+1))</f>
        <v/>
      </c>
      <c r="V8824" s="19">
        <f>IF($B8824="","",TEXT($B8824,"0000"))</f>
        <v/>
      </c>
      <c r="W8824" s="19">
        <f>IF($I8824="","",IF(ISNUMBER($I8824),TEXT($I8824,"0"),$I8824))</f>
        <v/>
      </c>
    </row>
    <row r="8825">
      <c r="B8825" s="25" t="n"/>
      <c r="I8825" s="25" t="n"/>
      <c r="U8825" s="19">
        <f>IF($V8825&lt;&gt;'設定'!$C$4,N(U8824),IF(OR(NOT(COUNTIF('商品マスタ'!$B$6:$B$1005,$W8825)=0),COUNTIFS('①在庫を貼る'!$V$6:$V$10005,$V8825,'①在庫を貼る'!$W$6:$W$10005,$W8825)+COUNTIFS('月1回_1ヶ月前の在庫'!$V$6:$V$10005,$V8825,'月1回_1ヶ月前の在庫'!$W$6:$W$10005,$W8825)&gt;0),N(U8824),N(U8824)+1))</f>
        <v/>
      </c>
      <c r="V8825" s="19">
        <f>IF($B8825="","",TEXT($B8825,"0000"))</f>
        <v/>
      </c>
      <c r="W8825" s="19">
        <f>IF($I8825="","",IF(ISNUMBER($I8825),TEXT($I8825,"0"),$I8825))</f>
        <v/>
      </c>
    </row>
    <row r="8826">
      <c r="B8826" s="25" t="n"/>
      <c r="I8826" s="25" t="n"/>
      <c r="U8826" s="19">
        <f>IF($V8826&lt;&gt;'設定'!$C$4,N(U8825),IF(OR(NOT(COUNTIF('商品マスタ'!$B$6:$B$1005,$W8826)=0),COUNTIFS('①在庫を貼る'!$V$6:$V$10005,$V8826,'①在庫を貼る'!$W$6:$W$10005,$W8826)+COUNTIFS('月1回_1ヶ月前の在庫'!$V$6:$V$10005,$V8826,'月1回_1ヶ月前の在庫'!$W$6:$W$10005,$W8826)&gt;0),N(U8825),N(U8825)+1))</f>
        <v/>
      </c>
      <c r="V8826" s="19">
        <f>IF($B8826="","",TEXT($B8826,"0000"))</f>
        <v/>
      </c>
      <c r="W8826" s="19">
        <f>IF($I8826="","",IF(ISNUMBER($I8826),TEXT($I8826,"0"),$I8826))</f>
        <v/>
      </c>
    </row>
    <row r="8827">
      <c r="B8827" s="25" t="n"/>
      <c r="I8827" s="25" t="n"/>
      <c r="U8827" s="19">
        <f>IF($V8827&lt;&gt;'設定'!$C$4,N(U8826),IF(OR(NOT(COUNTIF('商品マスタ'!$B$6:$B$1005,$W8827)=0),COUNTIFS('①在庫を貼る'!$V$6:$V$10005,$V8827,'①在庫を貼る'!$W$6:$W$10005,$W8827)+COUNTIFS('月1回_1ヶ月前の在庫'!$V$6:$V$10005,$V8827,'月1回_1ヶ月前の在庫'!$W$6:$W$10005,$W8827)&gt;0),N(U8826),N(U8826)+1))</f>
        <v/>
      </c>
      <c r="V8827" s="19">
        <f>IF($B8827="","",TEXT($B8827,"0000"))</f>
        <v/>
      </c>
      <c r="W8827" s="19">
        <f>IF($I8827="","",IF(ISNUMBER($I8827),TEXT($I8827,"0"),$I8827))</f>
        <v/>
      </c>
    </row>
    <row r="8828">
      <c r="B8828" s="25" t="n"/>
      <c r="I8828" s="25" t="n"/>
      <c r="U8828" s="19">
        <f>IF($V8828&lt;&gt;'設定'!$C$4,N(U8827),IF(OR(NOT(COUNTIF('商品マスタ'!$B$6:$B$1005,$W8828)=0),COUNTIFS('①在庫を貼る'!$V$6:$V$10005,$V8828,'①在庫を貼る'!$W$6:$W$10005,$W8828)+COUNTIFS('月1回_1ヶ月前の在庫'!$V$6:$V$10005,$V8828,'月1回_1ヶ月前の在庫'!$W$6:$W$10005,$W8828)&gt;0),N(U8827),N(U8827)+1))</f>
        <v/>
      </c>
      <c r="V8828" s="19">
        <f>IF($B8828="","",TEXT($B8828,"0000"))</f>
        <v/>
      </c>
      <c r="W8828" s="19">
        <f>IF($I8828="","",IF(ISNUMBER($I8828),TEXT($I8828,"0"),$I8828))</f>
        <v/>
      </c>
    </row>
    <row r="8829">
      <c r="B8829" s="25" t="n"/>
      <c r="I8829" s="25" t="n"/>
      <c r="U8829" s="19">
        <f>IF($V8829&lt;&gt;'設定'!$C$4,N(U8828),IF(OR(NOT(COUNTIF('商品マスタ'!$B$6:$B$1005,$W8829)=0),COUNTIFS('①在庫を貼る'!$V$6:$V$10005,$V8829,'①在庫を貼る'!$W$6:$W$10005,$W8829)+COUNTIFS('月1回_1ヶ月前の在庫'!$V$6:$V$10005,$V8829,'月1回_1ヶ月前の在庫'!$W$6:$W$10005,$W8829)&gt;0),N(U8828),N(U8828)+1))</f>
        <v/>
      </c>
      <c r="V8829" s="19">
        <f>IF($B8829="","",TEXT($B8829,"0000"))</f>
        <v/>
      </c>
      <c r="W8829" s="19">
        <f>IF($I8829="","",IF(ISNUMBER($I8829),TEXT($I8829,"0"),$I8829))</f>
        <v/>
      </c>
    </row>
    <row r="8830">
      <c r="B8830" s="25" t="n"/>
      <c r="I8830" s="25" t="n"/>
      <c r="U8830" s="19">
        <f>IF($V8830&lt;&gt;'設定'!$C$4,N(U8829),IF(OR(NOT(COUNTIF('商品マスタ'!$B$6:$B$1005,$W8830)=0),COUNTIFS('①在庫を貼る'!$V$6:$V$10005,$V8830,'①在庫を貼る'!$W$6:$W$10005,$W8830)+COUNTIFS('月1回_1ヶ月前の在庫'!$V$6:$V$10005,$V8830,'月1回_1ヶ月前の在庫'!$W$6:$W$10005,$W8830)&gt;0),N(U8829),N(U8829)+1))</f>
        <v/>
      </c>
      <c r="V8830" s="19">
        <f>IF($B8830="","",TEXT($B8830,"0000"))</f>
        <v/>
      </c>
      <c r="W8830" s="19">
        <f>IF($I8830="","",IF(ISNUMBER($I8830),TEXT($I8830,"0"),$I8830))</f>
        <v/>
      </c>
    </row>
    <row r="8831">
      <c r="B8831" s="25" t="n"/>
      <c r="I8831" s="25" t="n"/>
      <c r="U8831" s="19">
        <f>IF($V8831&lt;&gt;'設定'!$C$4,N(U8830),IF(OR(NOT(COUNTIF('商品マスタ'!$B$6:$B$1005,$W8831)=0),COUNTIFS('①在庫を貼る'!$V$6:$V$10005,$V8831,'①在庫を貼る'!$W$6:$W$10005,$W8831)+COUNTIFS('月1回_1ヶ月前の在庫'!$V$6:$V$10005,$V8831,'月1回_1ヶ月前の在庫'!$W$6:$W$10005,$W8831)&gt;0),N(U8830),N(U8830)+1))</f>
        <v/>
      </c>
      <c r="V8831" s="19">
        <f>IF($B8831="","",TEXT($B8831,"0000"))</f>
        <v/>
      </c>
      <c r="W8831" s="19">
        <f>IF($I8831="","",IF(ISNUMBER($I8831),TEXT($I8831,"0"),$I8831))</f>
        <v/>
      </c>
    </row>
    <row r="8832">
      <c r="B8832" s="25" t="n"/>
      <c r="I8832" s="25" t="n"/>
      <c r="U8832" s="19">
        <f>IF($V8832&lt;&gt;'設定'!$C$4,N(U8831),IF(OR(NOT(COUNTIF('商品マスタ'!$B$6:$B$1005,$W8832)=0),COUNTIFS('①在庫を貼る'!$V$6:$V$10005,$V8832,'①在庫を貼る'!$W$6:$W$10005,$W8832)+COUNTIFS('月1回_1ヶ月前の在庫'!$V$6:$V$10005,$V8832,'月1回_1ヶ月前の在庫'!$W$6:$W$10005,$W8832)&gt;0),N(U8831),N(U8831)+1))</f>
        <v/>
      </c>
      <c r="V8832" s="19">
        <f>IF($B8832="","",TEXT($B8832,"0000"))</f>
        <v/>
      </c>
      <c r="W8832" s="19">
        <f>IF($I8832="","",IF(ISNUMBER($I8832),TEXT($I8832,"0"),$I8832))</f>
        <v/>
      </c>
    </row>
    <row r="8833">
      <c r="B8833" s="25" t="n"/>
      <c r="I8833" s="25" t="n"/>
      <c r="U8833" s="19">
        <f>IF($V8833&lt;&gt;'設定'!$C$4,N(U8832),IF(OR(NOT(COUNTIF('商品マスタ'!$B$6:$B$1005,$W8833)=0),COUNTIFS('①在庫を貼る'!$V$6:$V$10005,$V8833,'①在庫を貼る'!$W$6:$W$10005,$W8833)+COUNTIFS('月1回_1ヶ月前の在庫'!$V$6:$V$10005,$V8833,'月1回_1ヶ月前の在庫'!$W$6:$W$10005,$W8833)&gt;0),N(U8832),N(U8832)+1))</f>
        <v/>
      </c>
      <c r="V8833" s="19">
        <f>IF($B8833="","",TEXT($B8833,"0000"))</f>
        <v/>
      </c>
      <c r="W8833" s="19">
        <f>IF($I8833="","",IF(ISNUMBER($I8833),TEXT($I8833,"0"),$I8833))</f>
        <v/>
      </c>
    </row>
    <row r="8834">
      <c r="B8834" s="25" t="n"/>
      <c r="I8834" s="25" t="n"/>
      <c r="U8834" s="19">
        <f>IF($V8834&lt;&gt;'設定'!$C$4,N(U8833),IF(OR(NOT(COUNTIF('商品マスタ'!$B$6:$B$1005,$W8834)=0),COUNTIFS('①在庫を貼る'!$V$6:$V$10005,$V8834,'①在庫を貼る'!$W$6:$W$10005,$W8834)+COUNTIFS('月1回_1ヶ月前の在庫'!$V$6:$V$10005,$V8834,'月1回_1ヶ月前の在庫'!$W$6:$W$10005,$W8834)&gt;0),N(U8833),N(U8833)+1))</f>
        <v/>
      </c>
      <c r="V8834" s="19">
        <f>IF($B8834="","",TEXT($B8834,"0000"))</f>
        <v/>
      </c>
      <c r="W8834" s="19">
        <f>IF($I8834="","",IF(ISNUMBER($I8834),TEXT($I8834,"0"),$I8834))</f>
        <v/>
      </c>
    </row>
    <row r="8835">
      <c r="B8835" s="25" t="n"/>
      <c r="I8835" s="25" t="n"/>
      <c r="U8835" s="19">
        <f>IF($V8835&lt;&gt;'設定'!$C$4,N(U8834),IF(OR(NOT(COUNTIF('商品マスタ'!$B$6:$B$1005,$W8835)=0),COUNTIFS('①在庫を貼る'!$V$6:$V$10005,$V8835,'①在庫を貼る'!$W$6:$W$10005,$W8835)+COUNTIFS('月1回_1ヶ月前の在庫'!$V$6:$V$10005,$V8835,'月1回_1ヶ月前の在庫'!$W$6:$W$10005,$W8835)&gt;0),N(U8834),N(U8834)+1))</f>
        <v/>
      </c>
      <c r="V8835" s="19">
        <f>IF($B8835="","",TEXT($B8835,"0000"))</f>
        <v/>
      </c>
      <c r="W8835" s="19">
        <f>IF($I8835="","",IF(ISNUMBER($I8835),TEXT($I8835,"0"),$I8835))</f>
        <v/>
      </c>
    </row>
    <row r="8836">
      <c r="B8836" s="25" t="n"/>
      <c r="I8836" s="25" t="n"/>
      <c r="U8836" s="19">
        <f>IF($V8836&lt;&gt;'設定'!$C$4,N(U8835),IF(OR(NOT(COUNTIF('商品マスタ'!$B$6:$B$1005,$W8836)=0),COUNTIFS('①在庫を貼る'!$V$6:$V$10005,$V8836,'①在庫を貼る'!$W$6:$W$10005,$W8836)+COUNTIFS('月1回_1ヶ月前の在庫'!$V$6:$V$10005,$V8836,'月1回_1ヶ月前の在庫'!$W$6:$W$10005,$W8836)&gt;0),N(U8835),N(U8835)+1))</f>
        <v/>
      </c>
      <c r="V8836" s="19">
        <f>IF($B8836="","",TEXT($B8836,"0000"))</f>
        <v/>
      </c>
      <c r="W8836" s="19">
        <f>IF($I8836="","",IF(ISNUMBER($I8836),TEXT($I8836,"0"),$I8836))</f>
        <v/>
      </c>
    </row>
    <row r="8837">
      <c r="B8837" s="25" t="n"/>
      <c r="I8837" s="25" t="n"/>
      <c r="U8837" s="19">
        <f>IF($V8837&lt;&gt;'設定'!$C$4,N(U8836),IF(OR(NOT(COUNTIF('商品マスタ'!$B$6:$B$1005,$W8837)=0),COUNTIFS('①在庫を貼る'!$V$6:$V$10005,$V8837,'①在庫を貼る'!$W$6:$W$10005,$W8837)+COUNTIFS('月1回_1ヶ月前の在庫'!$V$6:$V$10005,$V8837,'月1回_1ヶ月前の在庫'!$W$6:$W$10005,$W8837)&gt;0),N(U8836),N(U8836)+1))</f>
        <v/>
      </c>
      <c r="V8837" s="19">
        <f>IF($B8837="","",TEXT($B8837,"0000"))</f>
        <v/>
      </c>
      <c r="W8837" s="19">
        <f>IF($I8837="","",IF(ISNUMBER($I8837),TEXT($I8837,"0"),$I8837))</f>
        <v/>
      </c>
    </row>
    <row r="8838">
      <c r="B8838" s="25" t="n"/>
      <c r="I8838" s="25" t="n"/>
      <c r="U8838" s="19">
        <f>IF($V8838&lt;&gt;'設定'!$C$4,N(U8837),IF(OR(NOT(COUNTIF('商品マスタ'!$B$6:$B$1005,$W8838)=0),COUNTIFS('①在庫を貼る'!$V$6:$V$10005,$V8838,'①在庫を貼る'!$W$6:$W$10005,$W8838)+COUNTIFS('月1回_1ヶ月前の在庫'!$V$6:$V$10005,$V8838,'月1回_1ヶ月前の在庫'!$W$6:$W$10005,$W8838)&gt;0),N(U8837),N(U8837)+1))</f>
        <v/>
      </c>
      <c r="V8838" s="19">
        <f>IF($B8838="","",TEXT($B8838,"0000"))</f>
        <v/>
      </c>
      <c r="W8838" s="19">
        <f>IF($I8838="","",IF(ISNUMBER($I8838),TEXT($I8838,"0"),$I8838))</f>
        <v/>
      </c>
    </row>
    <row r="8839">
      <c r="B8839" s="25" t="n"/>
      <c r="I8839" s="25" t="n"/>
      <c r="U8839" s="19">
        <f>IF($V8839&lt;&gt;'設定'!$C$4,N(U8838),IF(OR(NOT(COUNTIF('商品マスタ'!$B$6:$B$1005,$W8839)=0),COUNTIFS('①在庫を貼る'!$V$6:$V$10005,$V8839,'①在庫を貼る'!$W$6:$W$10005,$W8839)+COUNTIFS('月1回_1ヶ月前の在庫'!$V$6:$V$10005,$V8839,'月1回_1ヶ月前の在庫'!$W$6:$W$10005,$W8839)&gt;0),N(U8838),N(U8838)+1))</f>
        <v/>
      </c>
      <c r="V8839" s="19">
        <f>IF($B8839="","",TEXT($B8839,"0000"))</f>
        <v/>
      </c>
      <c r="W8839" s="19">
        <f>IF($I8839="","",IF(ISNUMBER($I8839),TEXT($I8839,"0"),$I8839))</f>
        <v/>
      </c>
    </row>
    <row r="8840">
      <c r="B8840" s="25" t="n"/>
      <c r="I8840" s="25" t="n"/>
      <c r="U8840" s="19">
        <f>IF($V8840&lt;&gt;'設定'!$C$4,N(U8839),IF(OR(NOT(COUNTIF('商品マスタ'!$B$6:$B$1005,$W8840)=0),COUNTIFS('①在庫を貼る'!$V$6:$V$10005,$V8840,'①在庫を貼る'!$W$6:$W$10005,$W8840)+COUNTIFS('月1回_1ヶ月前の在庫'!$V$6:$V$10005,$V8840,'月1回_1ヶ月前の在庫'!$W$6:$W$10005,$W8840)&gt;0),N(U8839),N(U8839)+1))</f>
        <v/>
      </c>
      <c r="V8840" s="19">
        <f>IF($B8840="","",TEXT($B8840,"0000"))</f>
        <v/>
      </c>
      <c r="W8840" s="19">
        <f>IF($I8840="","",IF(ISNUMBER($I8840),TEXT($I8840,"0"),$I8840))</f>
        <v/>
      </c>
    </row>
    <row r="8841">
      <c r="B8841" s="25" t="n"/>
      <c r="I8841" s="25" t="n"/>
      <c r="U8841" s="19">
        <f>IF($V8841&lt;&gt;'設定'!$C$4,N(U8840),IF(OR(NOT(COUNTIF('商品マスタ'!$B$6:$B$1005,$W8841)=0),COUNTIFS('①在庫を貼る'!$V$6:$V$10005,$V8841,'①在庫を貼る'!$W$6:$W$10005,$W8841)+COUNTIFS('月1回_1ヶ月前の在庫'!$V$6:$V$10005,$V8841,'月1回_1ヶ月前の在庫'!$W$6:$W$10005,$W8841)&gt;0),N(U8840),N(U8840)+1))</f>
        <v/>
      </c>
      <c r="V8841" s="19">
        <f>IF($B8841="","",TEXT($B8841,"0000"))</f>
        <v/>
      </c>
      <c r="W8841" s="19">
        <f>IF($I8841="","",IF(ISNUMBER($I8841),TEXT($I8841,"0"),$I8841))</f>
        <v/>
      </c>
    </row>
    <row r="8842">
      <c r="B8842" s="25" t="n"/>
      <c r="I8842" s="25" t="n"/>
      <c r="U8842" s="19">
        <f>IF($V8842&lt;&gt;'設定'!$C$4,N(U8841),IF(OR(NOT(COUNTIF('商品マスタ'!$B$6:$B$1005,$W8842)=0),COUNTIFS('①在庫を貼る'!$V$6:$V$10005,$V8842,'①在庫を貼る'!$W$6:$W$10005,$W8842)+COUNTIFS('月1回_1ヶ月前の在庫'!$V$6:$V$10005,$V8842,'月1回_1ヶ月前の在庫'!$W$6:$W$10005,$W8842)&gt;0),N(U8841),N(U8841)+1))</f>
        <v/>
      </c>
      <c r="V8842" s="19">
        <f>IF($B8842="","",TEXT($B8842,"0000"))</f>
        <v/>
      </c>
      <c r="W8842" s="19">
        <f>IF($I8842="","",IF(ISNUMBER($I8842),TEXT($I8842,"0"),$I8842))</f>
        <v/>
      </c>
    </row>
    <row r="8843">
      <c r="B8843" s="25" t="n"/>
      <c r="I8843" s="25" t="n"/>
      <c r="U8843" s="19">
        <f>IF($V8843&lt;&gt;'設定'!$C$4,N(U8842),IF(OR(NOT(COUNTIF('商品マスタ'!$B$6:$B$1005,$W8843)=0),COUNTIFS('①在庫を貼る'!$V$6:$V$10005,$V8843,'①在庫を貼る'!$W$6:$W$10005,$W8843)+COUNTIFS('月1回_1ヶ月前の在庫'!$V$6:$V$10005,$V8843,'月1回_1ヶ月前の在庫'!$W$6:$W$10005,$W8843)&gt;0),N(U8842),N(U8842)+1))</f>
        <v/>
      </c>
      <c r="V8843" s="19">
        <f>IF($B8843="","",TEXT($B8843,"0000"))</f>
        <v/>
      </c>
      <c r="W8843" s="19">
        <f>IF($I8843="","",IF(ISNUMBER($I8843),TEXT($I8843,"0"),$I8843))</f>
        <v/>
      </c>
    </row>
    <row r="8844">
      <c r="B8844" s="25" t="n"/>
      <c r="I8844" s="25" t="n"/>
      <c r="U8844" s="19">
        <f>IF($V8844&lt;&gt;'設定'!$C$4,N(U8843),IF(OR(NOT(COUNTIF('商品マスタ'!$B$6:$B$1005,$W8844)=0),COUNTIFS('①在庫を貼る'!$V$6:$V$10005,$V8844,'①在庫を貼る'!$W$6:$W$10005,$W8844)+COUNTIFS('月1回_1ヶ月前の在庫'!$V$6:$V$10005,$V8844,'月1回_1ヶ月前の在庫'!$W$6:$W$10005,$W8844)&gt;0),N(U8843),N(U8843)+1))</f>
        <v/>
      </c>
      <c r="V8844" s="19">
        <f>IF($B8844="","",TEXT($B8844,"0000"))</f>
        <v/>
      </c>
      <c r="W8844" s="19">
        <f>IF($I8844="","",IF(ISNUMBER($I8844),TEXT($I8844,"0"),$I8844))</f>
        <v/>
      </c>
    </row>
    <row r="8845">
      <c r="B8845" s="25" t="n"/>
      <c r="I8845" s="25" t="n"/>
      <c r="U8845" s="19">
        <f>IF($V8845&lt;&gt;'設定'!$C$4,N(U8844),IF(OR(NOT(COUNTIF('商品マスタ'!$B$6:$B$1005,$W8845)=0),COUNTIFS('①在庫を貼る'!$V$6:$V$10005,$V8845,'①在庫を貼る'!$W$6:$W$10005,$W8845)+COUNTIFS('月1回_1ヶ月前の在庫'!$V$6:$V$10005,$V8845,'月1回_1ヶ月前の在庫'!$W$6:$W$10005,$W8845)&gt;0),N(U8844),N(U8844)+1))</f>
        <v/>
      </c>
      <c r="V8845" s="19">
        <f>IF($B8845="","",TEXT($B8845,"0000"))</f>
        <v/>
      </c>
      <c r="W8845" s="19">
        <f>IF($I8845="","",IF(ISNUMBER($I8845),TEXT($I8845,"0"),$I8845))</f>
        <v/>
      </c>
    </row>
    <row r="8846">
      <c r="B8846" s="25" t="n"/>
      <c r="I8846" s="25" t="n"/>
      <c r="U8846" s="19">
        <f>IF($V8846&lt;&gt;'設定'!$C$4,N(U8845),IF(OR(NOT(COUNTIF('商品マスタ'!$B$6:$B$1005,$W8846)=0),COUNTIFS('①在庫を貼る'!$V$6:$V$10005,$V8846,'①在庫を貼る'!$W$6:$W$10005,$W8846)+COUNTIFS('月1回_1ヶ月前の在庫'!$V$6:$V$10005,$V8846,'月1回_1ヶ月前の在庫'!$W$6:$W$10005,$W8846)&gt;0),N(U8845),N(U8845)+1))</f>
        <v/>
      </c>
      <c r="V8846" s="19">
        <f>IF($B8846="","",TEXT($B8846,"0000"))</f>
        <v/>
      </c>
      <c r="W8846" s="19">
        <f>IF($I8846="","",IF(ISNUMBER($I8846),TEXT($I8846,"0"),$I8846))</f>
        <v/>
      </c>
    </row>
    <row r="8847">
      <c r="B8847" s="25" t="n"/>
      <c r="I8847" s="25" t="n"/>
      <c r="U8847" s="19">
        <f>IF($V8847&lt;&gt;'設定'!$C$4,N(U8846),IF(OR(NOT(COUNTIF('商品マスタ'!$B$6:$B$1005,$W8847)=0),COUNTIFS('①在庫を貼る'!$V$6:$V$10005,$V8847,'①在庫を貼る'!$W$6:$W$10005,$W8847)+COUNTIFS('月1回_1ヶ月前の在庫'!$V$6:$V$10005,$V8847,'月1回_1ヶ月前の在庫'!$W$6:$W$10005,$W8847)&gt;0),N(U8846),N(U8846)+1))</f>
        <v/>
      </c>
      <c r="V8847" s="19">
        <f>IF($B8847="","",TEXT($B8847,"0000"))</f>
        <v/>
      </c>
      <c r="W8847" s="19">
        <f>IF($I8847="","",IF(ISNUMBER($I8847),TEXT($I8847,"0"),$I8847))</f>
        <v/>
      </c>
    </row>
    <row r="8848">
      <c r="B8848" s="25" t="n"/>
      <c r="I8848" s="25" t="n"/>
      <c r="U8848" s="19">
        <f>IF($V8848&lt;&gt;'設定'!$C$4,N(U8847),IF(OR(NOT(COUNTIF('商品マスタ'!$B$6:$B$1005,$W8848)=0),COUNTIFS('①在庫を貼る'!$V$6:$V$10005,$V8848,'①在庫を貼る'!$W$6:$W$10005,$W8848)+COUNTIFS('月1回_1ヶ月前の在庫'!$V$6:$V$10005,$V8848,'月1回_1ヶ月前の在庫'!$W$6:$W$10005,$W8848)&gt;0),N(U8847),N(U8847)+1))</f>
        <v/>
      </c>
      <c r="V8848" s="19">
        <f>IF($B8848="","",TEXT($B8848,"0000"))</f>
        <v/>
      </c>
      <c r="W8848" s="19">
        <f>IF($I8848="","",IF(ISNUMBER($I8848),TEXT($I8848,"0"),$I8848))</f>
        <v/>
      </c>
    </row>
    <row r="8849">
      <c r="B8849" s="25" t="n"/>
      <c r="I8849" s="25" t="n"/>
      <c r="U8849" s="19">
        <f>IF($V8849&lt;&gt;'設定'!$C$4,N(U8848),IF(OR(NOT(COUNTIF('商品マスタ'!$B$6:$B$1005,$W8849)=0),COUNTIFS('①在庫を貼る'!$V$6:$V$10005,$V8849,'①在庫を貼る'!$W$6:$W$10005,$W8849)+COUNTIFS('月1回_1ヶ月前の在庫'!$V$6:$V$10005,$V8849,'月1回_1ヶ月前の在庫'!$W$6:$W$10005,$W8849)&gt;0),N(U8848),N(U8848)+1))</f>
        <v/>
      </c>
      <c r="V8849" s="19">
        <f>IF($B8849="","",TEXT($B8849,"0000"))</f>
        <v/>
      </c>
      <c r="W8849" s="19">
        <f>IF($I8849="","",IF(ISNUMBER($I8849),TEXT($I8849,"0"),$I8849))</f>
        <v/>
      </c>
    </row>
    <row r="8850">
      <c r="B8850" s="25" t="n"/>
      <c r="I8850" s="25" t="n"/>
      <c r="U8850" s="19">
        <f>IF($V8850&lt;&gt;'設定'!$C$4,N(U8849),IF(OR(NOT(COUNTIF('商品マスタ'!$B$6:$B$1005,$W8850)=0),COUNTIFS('①在庫を貼る'!$V$6:$V$10005,$V8850,'①在庫を貼る'!$W$6:$W$10005,$W8850)+COUNTIFS('月1回_1ヶ月前の在庫'!$V$6:$V$10005,$V8850,'月1回_1ヶ月前の在庫'!$W$6:$W$10005,$W8850)&gt;0),N(U8849),N(U8849)+1))</f>
        <v/>
      </c>
      <c r="V8850" s="19">
        <f>IF($B8850="","",TEXT($B8850,"0000"))</f>
        <v/>
      </c>
      <c r="W8850" s="19">
        <f>IF($I8850="","",IF(ISNUMBER($I8850),TEXT($I8850,"0"),$I8850))</f>
        <v/>
      </c>
    </row>
    <row r="8851">
      <c r="B8851" s="25" t="n"/>
      <c r="I8851" s="25" t="n"/>
      <c r="U8851" s="19">
        <f>IF($V8851&lt;&gt;'設定'!$C$4,N(U8850),IF(OR(NOT(COUNTIF('商品マスタ'!$B$6:$B$1005,$W8851)=0),COUNTIFS('①在庫を貼る'!$V$6:$V$10005,$V8851,'①在庫を貼る'!$W$6:$W$10005,$W8851)+COUNTIFS('月1回_1ヶ月前の在庫'!$V$6:$V$10005,$V8851,'月1回_1ヶ月前の在庫'!$W$6:$W$10005,$W8851)&gt;0),N(U8850),N(U8850)+1))</f>
        <v/>
      </c>
      <c r="V8851" s="19">
        <f>IF($B8851="","",TEXT($B8851,"0000"))</f>
        <v/>
      </c>
      <c r="W8851" s="19">
        <f>IF($I8851="","",IF(ISNUMBER($I8851),TEXT($I8851,"0"),$I8851))</f>
        <v/>
      </c>
    </row>
    <row r="8852">
      <c r="B8852" s="25" t="n"/>
      <c r="I8852" s="25" t="n"/>
      <c r="U8852" s="19">
        <f>IF($V8852&lt;&gt;'設定'!$C$4,N(U8851),IF(OR(NOT(COUNTIF('商品マスタ'!$B$6:$B$1005,$W8852)=0),COUNTIFS('①在庫を貼る'!$V$6:$V$10005,$V8852,'①在庫を貼る'!$W$6:$W$10005,$W8852)+COUNTIFS('月1回_1ヶ月前の在庫'!$V$6:$V$10005,$V8852,'月1回_1ヶ月前の在庫'!$W$6:$W$10005,$W8852)&gt;0),N(U8851),N(U8851)+1))</f>
        <v/>
      </c>
      <c r="V8852" s="19">
        <f>IF($B8852="","",TEXT($B8852,"0000"))</f>
        <v/>
      </c>
      <c r="W8852" s="19">
        <f>IF($I8852="","",IF(ISNUMBER($I8852),TEXT($I8852,"0"),$I8852))</f>
        <v/>
      </c>
    </row>
    <row r="8853">
      <c r="B8853" s="25" t="n"/>
      <c r="I8853" s="25" t="n"/>
      <c r="U8853" s="19">
        <f>IF($V8853&lt;&gt;'設定'!$C$4,N(U8852),IF(OR(NOT(COUNTIF('商品マスタ'!$B$6:$B$1005,$W8853)=0),COUNTIFS('①在庫を貼る'!$V$6:$V$10005,$V8853,'①在庫を貼る'!$W$6:$W$10005,$W8853)+COUNTIFS('月1回_1ヶ月前の在庫'!$V$6:$V$10005,$V8853,'月1回_1ヶ月前の在庫'!$W$6:$W$10005,$W8853)&gt;0),N(U8852),N(U8852)+1))</f>
        <v/>
      </c>
      <c r="V8853" s="19">
        <f>IF($B8853="","",TEXT($B8853,"0000"))</f>
        <v/>
      </c>
      <c r="W8853" s="19">
        <f>IF($I8853="","",IF(ISNUMBER($I8853),TEXT($I8853,"0"),$I8853))</f>
        <v/>
      </c>
    </row>
    <row r="8854">
      <c r="B8854" s="25" t="n"/>
      <c r="I8854" s="25" t="n"/>
      <c r="U8854" s="19">
        <f>IF($V8854&lt;&gt;'設定'!$C$4,N(U8853),IF(OR(NOT(COUNTIF('商品マスタ'!$B$6:$B$1005,$W8854)=0),COUNTIFS('①在庫を貼る'!$V$6:$V$10005,$V8854,'①在庫を貼る'!$W$6:$W$10005,$W8854)+COUNTIFS('月1回_1ヶ月前の在庫'!$V$6:$V$10005,$V8854,'月1回_1ヶ月前の在庫'!$W$6:$W$10005,$W8854)&gt;0),N(U8853),N(U8853)+1))</f>
        <v/>
      </c>
      <c r="V8854" s="19">
        <f>IF($B8854="","",TEXT($B8854,"0000"))</f>
        <v/>
      </c>
      <c r="W8854" s="19">
        <f>IF($I8854="","",IF(ISNUMBER($I8854),TEXT($I8854,"0"),$I8854))</f>
        <v/>
      </c>
    </row>
    <row r="8855">
      <c r="B8855" s="25" t="n"/>
      <c r="I8855" s="25" t="n"/>
      <c r="U8855" s="19">
        <f>IF($V8855&lt;&gt;'設定'!$C$4,N(U8854),IF(OR(NOT(COUNTIF('商品マスタ'!$B$6:$B$1005,$W8855)=0),COUNTIFS('①在庫を貼る'!$V$6:$V$10005,$V8855,'①在庫を貼る'!$W$6:$W$10005,$W8855)+COUNTIFS('月1回_1ヶ月前の在庫'!$V$6:$V$10005,$V8855,'月1回_1ヶ月前の在庫'!$W$6:$W$10005,$W8855)&gt;0),N(U8854),N(U8854)+1))</f>
        <v/>
      </c>
      <c r="V8855" s="19">
        <f>IF($B8855="","",TEXT($B8855,"0000"))</f>
        <v/>
      </c>
      <c r="W8855" s="19">
        <f>IF($I8855="","",IF(ISNUMBER($I8855),TEXT($I8855,"0"),$I8855))</f>
        <v/>
      </c>
    </row>
    <row r="8856">
      <c r="B8856" s="25" t="n"/>
      <c r="I8856" s="25" t="n"/>
      <c r="U8856" s="19">
        <f>IF($V8856&lt;&gt;'設定'!$C$4,N(U8855),IF(OR(NOT(COUNTIF('商品マスタ'!$B$6:$B$1005,$W8856)=0),COUNTIFS('①在庫を貼る'!$V$6:$V$10005,$V8856,'①在庫を貼る'!$W$6:$W$10005,$W8856)+COUNTIFS('月1回_1ヶ月前の在庫'!$V$6:$V$10005,$V8856,'月1回_1ヶ月前の在庫'!$W$6:$W$10005,$W8856)&gt;0),N(U8855),N(U8855)+1))</f>
        <v/>
      </c>
      <c r="V8856" s="19">
        <f>IF($B8856="","",TEXT($B8856,"0000"))</f>
        <v/>
      </c>
      <c r="W8856" s="19">
        <f>IF($I8856="","",IF(ISNUMBER($I8856),TEXT($I8856,"0"),$I8856))</f>
        <v/>
      </c>
    </row>
    <row r="8857">
      <c r="B8857" s="25" t="n"/>
      <c r="I8857" s="25" t="n"/>
      <c r="U8857" s="19">
        <f>IF($V8857&lt;&gt;'設定'!$C$4,N(U8856),IF(OR(NOT(COUNTIF('商品マスタ'!$B$6:$B$1005,$W8857)=0),COUNTIFS('①在庫を貼る'!$V$6:$V$10005,$V8857,'①在庫を貼る'!$W$6:$W$10005,$W8857)+COUNTIFS('月1回_1ヶ月前の在庫'!$V$6:$V$10005,$V8857,'月1回_1ヶ月前の在庫'!$W$6:$W$10005,$W8857)&gt;0),N(U8856),N(U8856)+1))</f>
        <v/>
      </c>
      <c r="V8857" s="19">
        <f>IF($B8857="","",TEXT($B8857,"0000"))</f>
        <v/>
      </c>
      <c r="W8857" s="19">
        <f>IF($I8857="","",IF(ISNUMBER($I8857),TEXT($I8857,"0"),$I8857))</f>
        <v/>
      </c>
    </row>
    <row r="8858">
      <c r="B8858" s="25" t="n"/>
      <c r="I8858" s="25" t="n"/>
      <c r="U8858" s="19">
        <f>IF($V8858&lt;&gt;'設定'!$C$4,N(U8857),IF(OR(NOT(COUNTIF('商品マスタ'!$B$6:$B$1005,$W8858)=0),COUNTIFS('①在庫を貼る'!$V$6:$V$10005,$V8858,'①在庫を貼る'!$W$6:$W$10005,$W8858)+COUNTIFS('月1回_1ヶ月前の在庫'!$V$6:$V$10005,$V8858,'月1回_1ヶ月前の在庫'!$W$6:$W$10005,$W8858)&gt;0),N(U8857),N(U8857)+1))</f>
        <v/>
      </c>
      <c r="V8858" s="19">
        <f>IF($B8858="","",TEXT($B8858,"0000"))</f>
        <v/>
      </c>
      <c r="W8858" s="19">
        <f>IF($I8858="","",IF(ISNUMBER($I8858),TEXT($I8858,"0"),$I8858))</f>
        <v/>
      </c>
    </row>
    <row r="8859">
      <c r="B8859" s="25" t="n"/>
      <c r="I8859" s="25" t="n"/>
      <c r="U8859" s="19">
        <f>IF($V8859&lt;&gt;'設定'!$C$4,N(U8858),IF(OR(NOT(COUNTIF('商品マスタ'!$B$6:$B$1005,$W8859)=0),COUNTIFS('①在庫を貼る'!$V$6:$V$10005,$V8859,'①在庫を貼る'!$W$6:$W$10005,$W8859)+COUNTIFS('月1回_1ヶ月前の在庫'!$V$6:$V$10005,$V8859,'月1回_1ヶ月前の在庫'!$W$6:$W$10005,$W8859)&gt;0),N(U8858),N(U8858)+1))</f>
        <v/>
      </c>
      <c r="V8859" s="19">
        <f>IF($B8859="","",TEXT($B8859,"0000"))</f>
        <v/>
      </c>
      <c r="W8859" s="19">
        <f>IF($I8859="","",IF(ISNUMBER($I8859),TEXT($I8859,"0"),$I8859))</f>
        <v/>
      </c>
    </row>
    <row r="8860">
      <c r="B8860" s="25" t="n"/>
      <c r="I8860" s="25" t="n"/>
      <c r="U8860" s="19">
        <f>IF($V8860&lt;&gt;'設定'!$C$4,N(U8859),IF(OR(NOT(COUNTIF('商品マスタ'!$B$6:$B$1005,$W8860)=0),COUNTIFS('①在庫を貼る'!$V$6:$V$10005,$V8860,'①在庫を貼る'!$W$6:$W$10005,$W8860)+COUNTIFS('月1回_1ヶ月前の在庫'!$V$6:$V$10005,$V8860,'月1回_1ヶ月前の在庫'!$W$6:$W$10005,$W8860)&gt;0),N(U8859),N(U8859)+1))</f>
        <v/>
      </c>
      <c r="V8860" s="19">
        <f>IF($B8860="","",TEXT($B8860,"0000"))</f>
        <v/>
      </c>
      <c r="W8860" s="19">
        <f>IF($I8860="","",IF(ISNUMBER($I8860),TEXT($I8860,"0"),$I8860))</f>
        <v/>
      </c>
    </row>
    <row r="8861">
      <c r="B8861" s="25" t="n"/>
      <c r="I8861" s="25" t="n"/>
      <c r="U8861" s="19">
        <f>IF($V8861&lt;&gt;'設定'!$C$4,N(U8860),IF(OR(NOT(COUNTIF('商品マスタ'!$B$6:$B$1005,$W8861)=0),COUNTIFS('①在庫を貼る'!$V$6:$V$10005,$V8861,'①在庫を貼る'!$W$6:$W$10005,$W8861)+COUNTIFS('月1回_1ヶ月前の在庫'!$V$6:$V$10005,$V8861,'月1回_1ヶ月前の在庫'!$W$6:$W$10005,$W8861)&gt;0),N(U8860),N(U8860)+1))</f>
        <v/>
      </c>
      <c r="V8861" s="19">
        <f>IF($B8861="","",TEXT($B8861,"0000"))</f>
        <v/>
      </c>
      <c r="W8861" s="19">
        <f>IF($I8861="","",IF(ISNUMBER($I8861),TEXT($I8861,"0"),$I8861))</f>
        <v/>
      </c>
    </row>
    <row r="8862">
      <c r="B8862" s="25" t="n"/>
      <c r="I8862" s="25" t="n"/>
      <c r="U8862" s="19">
        <f>IF($V8862&lt;&gt;'設定'!$C$4,N(U8861),IF(OR(NOT(COUNTIF('商品マスタ'!$B$6:$B$1005,$W8862)=0),COUNTIFS('①在庫を貼る'!$V$6:$V$10005,$V8862,'①在庫を貼る'!$W$6:$W$10005,$W8862)+COUNTIFS('月1回_1ヶ月前の在庫'!$V$6:$V$10005,$V8862,'月1回_1ヶ月前の在庫'!$W$6:$W$10005,$W8862)&gt;0),N(U8861),N(U8861)+1))</f>
        <v/>
      </c>
      <c r="V8862" s="19">
        <f>IF($B8862="","",TEXT($B8862,"0000"))</f>
        <v/>
      </c>
      <c r="W8862" s="19">
        <f>IF($I8862="","",IF(ISNUMBER($I8862),TEXT($I8862,"0"),$I8862))</f>
        <v/>
      </c>
    </row>
    <row r="8863">
      <c r="B8863" s="25" t="n"/>
      <c r="I8863" s="25" t="n"/>
      <c r="U8863" s="19">
        <f>IF($V8863&lt;&gt;'設定'!$C$4,N(U8862),IF(OR(NOT(COUNTIF('商品マスタ'!$B$6:$B$1005,$W8863)=0),COUNTIFS('①在庫を貼る'!$V$6:$V$10005,$V8863,'①在庫を貼る'!$W$6:$W$10005,$W8863)+COUNTIFS('月1回_1ヶ月前の在庫'!$V$6:$V$10005,$V8863,'月1回_1ヶ月前の在庫'!$W$6:$W$10005,$W8863)&gt;0),N(U8862),N(U8862)+1))</f>
        <v/>
      </c>
      <c r="V8863" s="19">
        <f>IF($B8863="","",TEXT($B8863,"0000"))</f>
        <v/>
      </c>
      <c r="W8863" s="19">
        <f>IF($I8863="","",IF(ISNUMBER($I8863),TEXT($I8863,"0"),$I8863))</f>
        <v/>
      </c>
    </row>
    <row r="8864">
      <c r="B8864" s="25" t="n"/>
      <c r="I8864" s="25" t="n"/>
      <c r="U8864" s="19">
        <f>IF($V8864&lt;&gt;'設定'!$C$4,N(U8863),IF(OR(NOT(COUNTIF('商品マスタ'!$B$6:$B$1005,$W8864)=0),COUNTIFS('①在庫を貼る'!$V$6:$V$10005,$V8864,'①在庫を貼る'!$W$6:$W$10005,$W8864)+COUNTIFS('月1回_1ヶ月前の在庫'!$V$6:$V$10005,$V8864,'月1回_1ヶ月前の在庫'!$W$6:$W$10005,$W8864)&gt;0),N(U8863),N(U8863)+1))</f>
        <v/>
      </c>
      <c r="V8864" s="19">
        <f>IF($B8864="","",TEXT($B8864,"0000"))</f>
        <v/>
      </c>
      <c r="W8864" s="19">
        <f>IF($I8864="","",IF(ISNUMBER($I8864),TEXT($I8864,"0"),$I8864))</f>
        <v/>
      </c>
    </row>
    <row r="8865">
      <c r="B8865" s="25" t="n"/>
      <c r="I8865" s="25" t="n"/>
      <c r="U8865" s="19">
        <f>IF($V8865&lt;&gt;'設定'!$C$4,N(U8864),IF(OR(NOT(COUNTIF('商品マスタ'!$B$6:$B$1005,$W8865)=0),COUNTIFS('①在庫を貼る'!$V$6:$V$10005,$V8865,'①在庫を貼る'!$W$6:$W$10005,$W8865)+COUNTIFS('月1回_1ヶ月前の在庫'!$V$6:$V$10005,$V8865,'月1回_1ヶ月前の在庫'!$W$6:$W$10005,$W8865)&gt;0),N(U8864),N(U8864)+1))</f>
        <v/>
      </c>
      <c r="V8865" s="19">
        <f>IF($B8865="","",TEXT($B8865,"0000"))</f>
        <v/>
      </c>
      <c r="W8865" s="19">
        <f>IF($I8865="","",IF(ISNUMBER($I8865),TEXT($I8865,"0"),$I8865))</f>
        <v/>
      </c>
    </row>
    <row r="8866">
      <c r="B8866" s="25" t="n"/>
      <c r="I8866" s="25" t="n"/>
      <c r="U8866" s="19">
        <f>IF($V8866&lt;&gt;'設定'!$C$4,N(U8865),IF(OR(NOT(COUNTIF('商品マスタ'!$B$6:$B$1005,$W8866)=0),COUNTIFS('①在庫を貼る'!$V$6:$V$10005,$V8866,'①在庫を貼る'!$W$6:$W$10005,$W8866)+COUNTIFS('月1回_1ヶ月前の在庫'!$V$6:$V$10005,$V8866,'月1回_1ヶ月前の在庫'!$W$6:$W$10005,$W8866)&gt;0),N(U8865),N(U8865)+1))</f>
        <v/>
      </c>
      <c r="V8866" s="19">
        <f>IF($B8866="","",TEXT($B8866,"0000"))</f>
        <v/>
      </c>
      <c r="W8866" s="19">
        <f>IF($I8866="","",IF(ISNUMBER($I8866),TEXT($I8866,"0"),$I8866))</f>
        <v/>
      </c>
    </row>
    <row r="8867">
      <c r="B8867" s="25" t="n"/>
      <c r="I8867" s="25" t="n"/>
      <c r="U8867" s="19">
        <f>IF($V8867&lt;&gt;'設定'!$C$4,N(U8866),IF(OR(NOT(COUNTIF('商品マスタ'!$B$6:$B$1005,$W8867)=0),COUNTIFS('①在庫を貼る'!$V$6:$V$10005,$V8867,'①在庫を貼る'!$W$6:$W$10005,$W8867)+COUNTIFS('月1回_1ヶ月前の在庫'!$V$6:$V$10005,$V8867,'月1回_1ヶ月前の在庫'!$W$6:$W$10005,$W8867)&gt;0),N(U8866),N(U8866)+1))</f>
        <v/>
      </c>
      <c r="V8867" s="19">
        <f>IF($B8867="","",TEXT($B8867,"0000"))</f>
        <v/>
      </c>
      <c r="W8867" s="19">
        <f>IF($I8867="","",IF(ISNUMBER($I8867),TEXT($I8867,"0"),$I8867))</f>
        <v/>
      </c>
    </row>
    <row r="8868">
      <c r="B8868" s="25" t="n"/>
      <c r="I8868" s="25" t="n"/>
      <c r="U8868" s="19">
        <f>IF($V8868&lt;&gt;'設定'!$C$4,N(U8867),IF(OR(NOT(COUNTIF('商品マスタ'!$B$6:$B$1005,$W8868)=0),COUNTIFS('①在庫を貼る'!$V$6:$V$10005,$V8868,'①在庫を貼る'!$W$6:$W$10005,$W8868)+COUNTIFS('月1回_1ヶ月前の在庫'!$V$6:$V$10005,$V8868,'月1回_1ヶ月前の在庫'!$W$6:$W$10005,$W8868)&gt;0),N(U8867),N(U8867)+1))</f>
        <v/>
      </c>
      <c r="V8868" s="19">
        <f>IF($B8868="","",TEXT($B8868,"0000"))</f>
        <v/>
      </c>
      <c r="W8868" s="19">
        <f>IF($I8868="","",IF(ISNUMBER($I8868),TEXT($I8868,"0"),$I8868))</f>
        <v/>
      </c>
    </row>
    <row r="8869">
      <c r="B8869" s="25" t="n"/>
      <c r="I8869" s="25" t="n"/>
      <c r="U8869" s="19">
        <f>IF($V8869&lt;&gt;'設定'!$C$4,N(U8868),IF(OR(NOT(COUNTIF('商品マスタ'!$B$6:$B$1005,$W8869)=0),COUNTIFS('①在庫を貼る'!$V$6:$V$10005,$V8869,'①在庫を貼る'!$W$6:$W$10005,$W8869)+COUNTIFS('月1回_1ヶ月前の在庫'!$V$6:$V$10005,$V8869,'月1回_1ヶ月前の在庫'!$W$6:$W$10005,$W8869)&gt;0),N(U8868),N(U8868)+1))</f>
        <v/>
      </c>
      <c r="V8869" s="19">
        <f>IF($B8869="","",TEXT($B8869,"0000"))</f>
        <v/>
      </c>
      <c r="W8869" s="19">
        <f>IF($I8869="","",IF(ISNUMBER($I8869),TEXT($I8869,"0"),$I8869))</f>
        <v/>
      </c>
    </row>
    <row r="8870">
      <c r="B8870" s="25" t="n"/>
      <c r="I8870" s="25" t="n"/>
      <c r="U8870" s="19">
        <f>IF($V8870&lt;&gt;'設定'!$C$4,N(U8869),IF(OR(NOT(COUNTIF('商品マスタ'!$B$6:$B$1005,$W8870)=0),COUNTIFS('①在庫を貼る'!$V$6:$V$10005,$V8870,'①在庫を貼る'!$W$6:$W$10005,$W8870)+COUNTIFS('月1回_1ヶ月前の在庫'!$V$6:$V$10005,$V8870,'月1回_1ヶ月前の在庫'!$W$6:$W$10005,$W8870)&gt;0),N(U8869),N(U8869)+1))</f>
        <v/>
      </c>
      <c r="V8870" s="19">
        <f>IF($B8870="","",TEXT($B8870,"0000"))</f>
        <v/>
      </c>
      <c r="W8870" s="19">
        <f>IF($I8870="","",IF(ISNUMBER($I8870),TEXT($I8870,"0"),$I8870))</f>
        <v/>
      </c>
    </row>
    <row r="8871">
      <c r="B8871" s="25" t="n"/>
      <c r="I8871" s="25" t="n"/>
      <c r="U8871" s="19">
        <f>IF($V8871&lt;&gt;'設定'!$C$4,N(U8870),IF(OR(NOT(COUNTIF('商品マスタ'!$B$6:$B$1005,$W8871)=0),COUNTIFS('①在庫を貼る'!$V$6:$V$10005,$V8871,'①在庫を貼る'!$W$6:$W$10005,$W8871)+COUNTIFS('月1回_1ヶ月前の在庫'!$V$6:$V$10005,$V8871,'月1回_1ヶ月前の在庫'!$W$6:$W$10005,$W8871)&gt;0),N(U8870),N(U8870)+1))</f>
        <v/>
      </c>
      <c r="V8871" s="19">
        <f>IF($B8871="","",TEXT($B8871,"0000"))</f>
        <v/>
      </c>
      <c r="W8871" s="19">
        <f>IF($I8871="","",IF(ISNUMBER($I8871),TEXT($I8871,"0"),$I8871))</f>
        <v/>
      </c>
    </row>
    <row r="8872">
      <c r="B8872" s="25" t="n"/>
      <c r="I8872" s="25" t="n"/>
      <c r="U8872" s="19">
        <f>IF($V8872&lt;&gt;'設定'!$C$4,N(U8871),IF(OR(NOT(COUNTIF('商品マスタ'!$B$6:$B$1005,$W8872)=0),COUNTIFS('①在庫を貼る'!$V$6:$V$10005,$V8872,'①在庫を貼る'!$W$6:$W$10005,$W8872)+COUNTIFS('月1回_1ヶ月前の在庫'!$V$6:$V$10005,$V8872,'月1回_1ヶ月前の在庫'!$W$6:$W$10005,$W8872)&gt;0),N(U8871),N(U8871)+1))</f>
        <v/>
      </c>
      <c r="V8872" s="19">
        <f>IF($B8872="","",TEXT($B8872,"0000"))</f>
        <v/>
      </c>
      <c r="W8872" s="19">
        <f>IF($I8872="","",IF(ISNUMBER($I8872),TEXT($I8872,"0"),$I8872))</f>
        <v/>
      </c>
    </row>
    <row r="8873">
      <c r="B8873" s="25" t="n"/>
      <c r="I8873" s="25" t="n"/>
      <c r="U8873" s="19">
        <f>IF($V8873&lt;&gt;'設定'!$C$4,N(U8872),IF(OR(NOT(COUNTIF('商品マスタ'!$B$6:$B$1005,$W8873)=0),COUNTIFS('①在庫を貼る'!$V$6:$V$10005,$V8873,'①在庫を貼る'!$W$6:$W$10005,$W8873)+COUNTIFS('月1回_1ヶ月前の在庫'!$V$6:$V$10005,$V8873,'月1回_1ヶ月前の在庫'!$W$6:$W$10005,$W8873)&gt;0),N(U8872),N(U8872)+1))</f>
        <v/>
      </c>
      <c r="V8873" s="19">
        <f>IF($B8873="","",TEXT($B8873,"0000"))</f>
        <v/>
      </c>
      <c r="W8873" s="19">
        <f>IF($I8873="","",IF(ISNUMBER($I8873),TEXT($I8873,"0"),$I8873))</f>
        <v/>
      </c>
    </row>
    <row r="8874">
      <c r="B8874" s="25" t="n"/>
      <c r="I8874" s="25" t="n"/>
      <c r="U8874" s="19">
        <f>IF($V8874&lt;&gt;'設定'!$C$4,N(U8873),IF(OR(NOT(COUNTIF('商品マスタ'!$B$6:$B$1005,$W8874)=0),COUNTIFS('①在庫を貼る'!$V$6:$V$10005,$V8874,'①在庫を貼る'!$W$6:$W$10005,$W8874)+COUNTIFS('月1回_1ヶ月前の在庫'!$V$6:$V$10005,$V8874,'月1回_1ヶ月前の在庫'!$W$6:$W$10005,$W8874)&gt;0),N(U8873),N(U8873)+1))</f>
        <v/>
      </c>
      <c r="V8874" s="19">
        <f>IF($B8874="","",TEXT($B8874,"0000"))</f>
        <v/>
      </c>
      <c r="W8874" s="19">
        <f>IF($I8874="","",IF(ISNUMBER($I8874),TEXT($I8874,"0"),$I8874))</f>
        <v/>
      </c>
    </row>
    <row r="8875">
      <c r="B8875" s="25" t="n"/>
      <c r="I8875" s="25" t="n"/>
      <c r="U8875" s="19">
        <f>IF($V8875&lt;&gt;'設定'!$C$4,N(U8874),IF(OR(NOT(COUNTIF('商品マスタ'!$B$6:$B$1005,$W8875)=0),COUNTIFS('①在庫を貼る'!$V$6:$V$10005,$V8875,'①在庫を貼る'!$W$6:$W$10005,$W8875)+COUNTIFS('月1回_1ヶ月前の在庫'!$V$6:$V$10005,$V8875,'月1回_1ヶ月前の在庫'!$W$6:$W$10005,$W8875)&gt;0),N(U8874),N(U8874)+1))</f>
        <v/>
      </c>
      <c r="V8875" s="19">
        <f>IF($B8875="","",TEXT($B8875,"0000"))</f>
        <v/>
      </c>
      <c r="W8875" s="19">
        <f>IF($I8875="","",IF(ISNUMBER($I8875),TEXT($I8875,"0"),$I8875))</f>
        <v/>
      </c>
    </row>
    <row r="8876">
      <c r="B8876" s="25" t="n"/>
      <c r="I8876" s="25" t="n"/>
      <c r="U8876" s="19">
        <f>IF($V8876&lt;&gt;'設定'!$C$4,N(U8875),IF(OR(NOT(COUNTIF('商品マスタ'!$B$6:$B$1005,$W8876)=0),COUNTIFS('①在庫を貼る'!$V$6:$V$10005,$V8876,'①在庫を貼る'!$W$6:$W$10005,$W8876)+COUNTIFS('月1回_1ヶ月前の在庫'!$V$6:$V$10005,$V8876,'月1回_1ヶ月前の在庫'!$W$6:$W$10005,$W8876)&gt;0),N(U8875),N(U8875)+1))</f>
        <v/>
      </c>
      <c r="V8876" s="19">
        <f>IF($B8876="","",TEXT($B8876,"0000"))</f>
        <v/>
      </c>
      <c r="W8876" s="19">
        <f>IF($I8876="","",IF(ISNUMBER($I8876),TEXT($I8876,"0"),$I8876))</f>
        <v/>
      </c>
    </row>
    <row r="8877">
      <c r="B8877" s="25" t="n"/>
      <c r="I8877" s="25" t="n"/>
      <c r="U8877" s="19">
        <f>IF($V8877&lt;&gt;'設定'!$C$4,N(U8876),IF(OR(NOT(COUNTIF('商品マスタ'!$B$6:$B$1005,$W8877)=0),COUNTIFS('①在庫を貼る'!$V$6:$V$10005,$V8877,'①在庫を貼る'!$W$6:$W$10005,$W8877)+COUNTIFS('月1回_1ヶ月前の在庫'!$V$6:$V$10005,$V8877,'月1回_1ヶ月前の在庫'!$W$6:$W$10005,$W8877)&gt;0),N(U8876),N(U8876)+1))</f>
        <v/>
      </c>
      <c r="V8877" s="19">
        <f>IF($B8877="","",TEXT($B8877,"0000"))</f>
        <v/>
      </c>
      <c r="W8877" s="19">
        <f>IF($I8877="","",IF(ISNUMBER($I8877),TEXT($I8877,"0"),$I8877))</f>
        <v/>
      </c>
    </row>
    <row r="8878">
      <c r="B8878" s="25" t="n"/>
      <c r="I8878" s="25" t="n"/>
      <c r="U8878" s="19">
        <f>IF($V8878&lt;&gt;'設定'!$C$4,N(U8877),IF(OR(NOT(COUNTIF('商品マスタ'!$B$6:$B$1005,$W8878)=0),COUNTIFS('①在庫を貼る'!$V$6:$V$10005,$V8878,'①在庫を貼る'!$W$6:$W$10005,$W8878)+COUNTIFS('月1回_1ヶ月前の在庫'!$V$6:$V$10005,$V8878,'月1回_1ヶ月前の在庫'!$W$6:$W$10005,$W8878)&gt;0),N(U8877),N(U8877)+1))</f>
        <v/>
      </c>
      <c r="V8878" s="19">
        <f>IF($B8878="","",TEXT($B8878,"0000"))</f>
        <v/>
      </c>
      <c r="W8878" s="19">
        <f>IF($I8878="","",IF(ISNUMBER($I8878),TEXT($I8878,"0"),$I8878))</f>
        <v/>
      </c>
    </row>
    <row r="8879">
      <c r="B8879" s="25" t="n"/>
      <c r="I8879" s="25" t="n"/>
      <c r="U8879" s="19">
        <f>IF($V8879&lt;&gt;'設定'!$C$4,N(U8878),IF(OR(NOT(COUNTIF('商品マスタ'!$B$6:$B$1005,$W8879)=0),COUNTIFS('①在庫を貼る'!$V$6:$V$10005,$V8879,'①在庫を貼る'!$W$6:$W$10005,$W8879)+COUNTIFS('月1回_1ヶ月前の在庫'!$V$6:$V$10005,$V8879,'月1回_1ヶ月前の在庫'!$W$6:$W$10005,$W8879)&gt;0),N(U8878),N(U8878)+1))</f>
        <v/>
      </c>
      <c r="V8879" s="19">
        <f>IF($B8879="","",TEXT($B8879,"0000"))</f>
        <v/>
      </c>
      <c r="W8879" s="19">
        <f>IF($I8879="","",IF(ISNUMBER($I8879),TEXT($I8879,"0"),$I8879))</f>
        <v/>
      </c>
    </row>
    <row r="8880">
      <c r="B8880" s="25" t="n"/>
      <c r="I8880" s="25" t="n"/>
      <c r="U8880" s="19">
        <f>IF($V8880&lt;&gt;'設定'!$C$4,N(U8879),IF(OR(NOT(COUNTIF('商品マスタ'!$B$6:$B$1005,$W8880)=0),COUNTIFS('①在庫を貼る'!$V$6:$V$10005,$V8880,'①在庫を貼る'!$W$6:$W$10005,$W8880)+COUNTIFS('月1回_1ヶ月前の在庫'!$V$6:$V$10005,$V8880,'月1回_1ヶ月前の在庫'!$W$6:$W$10005,$W8880)&gt;0),N(U8879),N(U8879)+1))</f>
        <v/>
      </c>
      <c r="V8880" s="19">
        <f>IF($B8880="","",TEXT($B8880,"0000"))</f>
        <v/>
      </c>
      <c r="W8880" s="19">
        <f>IF($I8880="","",IF(ISNUMBER($I8880),TEXT($I8880,"0"),$I8880))</f>
        <v/>
      </c>
    </row>
    <row r="8881">
      <c r="B8881" s="25" t="n"/>
      <c r="I8881" s="25" t="n"/>
      <c r="U8881" s="19">
        <f>IF($V8881&lt;&gt;'設定'!$C$4,N(U8880),IF(OR(NOT(COUNTIF('商品マスタ'!$B$6:$B$1005,$W8881)=0),COUNTIFS('①在庫を貼る'!$V$6:$V$10005,$V8881,'①在庫を貼る'!$W$6:$W$10005,$W8881)+COUNTIFS('月1回_1ヶ月前の在庫'!$V$6:$V$10005,$V8881,'月1回_1ヶ月前の在庫'!$W$6:$W$10005,$W8881)&gt;0),N(U8880),N(U8880)+1))</f>
        <v/>
      </c>
      <c r="V8881" s="19">
        <f>IF($B8881="","",TEXT($B8881,"0000"))</f>
        <v/>
      </c>
      <c r="W8881" s="19">
        <f>IF($I8881="","",IF(ISNUMBER($I8881),TEXT($I8881,"0"),$I8881))</f>
        <v/>
      </c>
    </row>
    <row r="8882">
      <c r="B8882" s="25" t="n"/>
      <c r="I8882" s="25" t="n"/>
      <c r="U8882" s="19">
        <f>IF($V8882&lt;&gt;'設定'!$C$4,N(U8881),IF(OR(NOT(COUNTIF('商品マスタ'!$B$6:$B$1005,$W8882)=0),COUNTIFS('①在庫を貼る'!$V$6:$V$10005,$V8882,'①在庫を貼る'!$W$6:$W$10005,$W8882)+COUNTIFS('月1回_1ヶ月前の在庫'!$V$6:$V$10005,$V8882,'月1回_1ヶ月前の在庫'!$W$6:$W$10005,$W8882)&gt;0),N(U8881),N(U8881)+1))</f>
        <v/>
      </c>
      <c r="V8882" s="19">
        <f>IF($B8882="","",TEXT($B8882,"0000"))</f>
        <v/>
      </c>
      <c r="W8882" s="19">
        <f>IF($I8882="","",IF(ISNUMBER($I8882),TEXT($I8882,"0"),$I8882))</f>
        <v/>
      </c>
    </row>
    <row r="8883">
      <c r="B8883" s="25" t="n"/>
      <c r="I8883" s="25" t="n"/>
      <c r="U8883" s="19">
        <f>IF($V8883&lt;&gt;'設定'!$C$4,N(U8882),IF(OR(NOT(COUNTIF('商品マスタ'!$B$6:$B$1005,$W8883)=0),COUNTIFS('①在庫を貼る'!$V$6:$V$10005,$V8883,'①在庫を貼る'!$W$6:$W$10005,$W8883)+COUNTIFS('月1回_1ヶ月前の在庫'!$V$6:$V$10005,$V8883,'月1回_1ヶ月前の在庫'!$W$6:$W$10005,$W8883)&gt;0),N(U8882),N(U8882)+1))</f>
        <v/>
      </c>
      <c r="V8883" s="19">
        <f>IF($B8883="","",TEXT($B8883,"0000"))</f>
        <v/>
      </c>
      <c r="W8883" s="19">
        <f>IF($I8883="","",IF(ISNUMBER($I8883),TEXT($I8883,"0"),$I8883))</f>
        <v/>
      </c>
    </row>
    <row r="8884">
      <c r="B8884" s="25" t="n"/>
      <c r="I8884" s="25" t="n"/>
      <c r="U8884" s="19">
        <f>IF($V8884&lt;&gt;'設定'!$C$4,N(U8883),IF(OR(NOT(COUNTIF('商品マスタ'!$B$6:$B$1005,$W8884)=0),COUNTIFS('①在庫を貼る'!$V$6:$V$10005,$V8884,'①在庫を貼る'!$W$6:$W$10005,$W8884)+COUNTIFS('月1回_1ヶ月前の在庫'!$V$6:$V$10005,$V8884,'月1回_1ヶ月前の在庫'!$W$6:$W$10005,$W8884)&gt;0),N(U8883),N(U8883)+1))</f>
        <v/>
      </c>
      <c r="V8884" s="19">
        <f>IF($B8884="","",TEXT($B8884,"0000"))</f>
        <v/>
      </c>
      <c r="W8884" s="19">
        <f>IF($I8884="","",IF(ISNUMBER($I8884),TEXT($I8884,"0"),$I8884))</f>
        <v/>
      </c>
    </row>
    <row r="8885">
      <c r="B8885" s="25" t="n"/>
      <c r="I8885" s="25" t="n"/>
      <c r="U8885" s="19">
        <f>IF($V8885&lt;&gt;'設定'!$C$4,N(U8884),IF(OR(NOT(COUNTIF('商品マスタ'!$B$6:$B$1005,$W8885)=0),COUNTIFS('①在庫を貼る'!$V$6:$V$10005,$V8885,'①在庫を貼る'!$W$6:$W$10005,$W8885)+COUNTIFS('月1回_1ヶ月前の在庫'!$V$6:$V$10005,$V8885,'月1回_1ヶ月前の在庫'!$W$6:$W$10005,$W8885)&gt;0),N(U8884),N(U8884)+1))</f>
        <v/>
      </c>
      <c r="V8885" s="19">
        <f>IF($B8885="","",TEXT($B8885,"0000"))</f>
        <v/>
      </c>
      <c r="W8885" s="19">
        <f>IF($I8885="","",IF(ISNUMBER($I8885),TEXT($I8885,"0"),$I8885))</f>
        <v/>
      </c>
    </row>
    <row r="8886">
      <c r="B8886" s="25" t="n"/>
      <c r="I8886" s="25" t="n"/>
      <c r="U8886" s="19">
        <f>IF($V8886&lt;&gt;'設定'!$C$4,N(U8885),IF(OR(NOT(COUNTIF('商品マスタ'!$B$6:$B$1005,$W8886)=0),COUNTIFS('①在庫を貼る'!$V$6:$V$10005,$V8886,'①在庫を貼る'!$W$6:$W$10005,$W8886)+COUNTIFS('月1回_1ヶ月前の在庫'!$V$6:$V$10005,$V8886,'月1回_1ヶ月前の在庫'!$W$6:$W$10005,$W8886)&gt;0),N(U8885),N(U8885)+1))</f>
        <v/>
      </c>
      <c r="V8886" s="19">
        <f>IF($B8886="","",TEXT($B8886,"0000"))</f>
        <v/>
      </c>
      <c r="W8886" s="19">
        <f>IF($I8886="","",IF(ISNUMBER($I8886),TEXT($I8886,"0"),$I8886))</f>
        <v/>
      </c>
    </row>
    <row r="8887">
      <c r="B8887" s="25" t="n"/>
      <c r="I8887" s="25" t="n"/>
      <c r="U8887" s="19">
        <f>IF($V8887&lt;&gt;'設定'!$C$4,N(U8886),IF(OR(NOT(COUNTIF('商品マスタ'!$B$6:$B$1005,$W8887)=0),COUNTIFS('①在庫を貼る'!$V$6:$V$10005,$V8887,'①在庫を貼る'!$W$6:$W$10005,$W8887)+COUNTIFS('月1回_1ヶ月前の在庫'!$V$6:$V$10005,$V8887,'月1回_1ヶ月前の在庫'!$W$6:$W$10005,$W8887)&gt;0),N(U8886),N(U8886)+1))</f>
        <v/>
      </c>
      <c r="V8887" s="19">
        <f>IF($B8887="","",TEXT($B8887,"0000"))</f>
        <v/>
      </c>
      <c r="W8887" s="19">
        <f>IF($I8887="","",IF(ISNUMBER($I8887),TEXT($I8887,"0"),$I8887))</f>
        <v/>
      </c>
    </row>
    <row r="8888">
      <c r="B8888" s="25" t="n"/>
      <c r="I8888" s="25" t="n"/>
      <c r="U8888" s="19">
        <f>IF($V8888&lt;&gt;'設定'!$C$4,N(U8887),IF(OR(NOT(COUNTIF('商品マスタ'!$B$6:$B$1005,$W8888)=0),COUNTIFS('①在庫を貼る'!$V$6:$V$10005,$V8888,'①在庫を貼る'!$W$6:$W$10005,$W8888)+COUNTIFS('月1回_1ヶ月前の在庫'!$V$6:$V$10005,$V8888,'月1回_1ヶ月前の在庫'!$W$6:$W$10005,$W8888)&gt;0),N(U8887),N(U8887)+1))</f>
        <v/>
      </c>
      <c r="V8888" s="19">
        <f>IF($B8888="","",TEXT($B8888,"0000"))</f>
        <v/>
      </c>
      <c r="W8888" s="19">
        <f>IF($I8888="","",IF(ISNUMBER($I8888),TEXT($I8888,"0"),$I8888))</f>
        <v/>
      </c>
    </row>
    <row r="8889">
      <c r="B8889" s="25" t="n"/>
      <c r="I8889" s="25" t="n"/>
      <c r="U8889" s="19">
        <f>IF($V8889&lt;&gt;'設定'!$C$4,N(U8888),IF(OR(NOT(COUNTIF('商品マスタ'!$B$6:$B$1005,$W8889)=0),COUNTIFS('①在庫を貼る'!$V$6:$V$10005,$V8889,'①在庫を貼る'!$W$6:$W$10005,$W8889)+COUNTIFS('月1回_1ヶ月前の在庫'!$V$6:$V$10005,$V8889,'月1回_1ヶ月前の在庫'!$W$6:$W$10005,$W8889)&gt;0),N(U8888),N(U8888)+1))</f>
        <v/>
      </c>
      <c r="V8889" s="19">
        <f>IF($B8889="","",TEXT($B8889,"0000"))</f>
        <v/>
      </c>
      <c r="W8889" s="19">
        <f>IF($I8889="","",IF(ISNUMBER($I8889),TEXT($I8889,"0"),$I8889))</f>
        <v/>
      </c>
    </row>
    <row r="8890">
      <c r="B8890" s="25" t="n"/>
      <c r="I8890" s="25" t="n"/>
      <c r="U8890" s="19">
        <f>IF($V8890&lt;&gt;'設定'!$C$4,N(U8889),IF(OR(NOT(COUNTIF('商品マスタ'!$B$6:$B$1005,$W8890)=0),COUNTIFS('①在庫を貼る'!$V$6:$V$10005,$V8890,'①在庫を貼る'!$W$6:$W$10005,$W8890)+COUNTIFS('月1回_1ヶ月前の在庫'!$V$6:$V$10005,$V8890,'月1回_1ヶ月前の在庫'!$W$6:$W$10005,$W8890)&gt;0),N(U8889),N(U8889)+1))</f>
        <v/>
      </c>
      <c r="V8890" s="19">
        <f>IF($B8890="","",TEXT($B8890,"0000"))</f>
        <v/>
      </c>
      <c r="W8890" s="19">
        <f>IF($I8890="","",IF(ISNUMBER($I8890),TEXT($I8890,"0"),$I8890))</f>
        <v/>
      </c>
    </row>
    <row r="8891">
      <c r="B8891" s="25" t="n"/>
      <c r="I8891" s="25" t="n"/>
      <c r="U8891" s="19">
        <f>IF($V8891&lt;&gt;'設定'!$C$4,N(U8890),IF(OR(NOT(COUNTIF('商品マスタ'!$B$6:$B$1005,$W8891)=0),COUNTIFS('①在庫を貼る'!$V$6:$V$10005,$V8891,'①在庫を貼る'!$W$6:$W$10005,$W8891)+COUNTIFS('月1回_1ヶ月前の在庫'!$V$6:$V$10005,$V8891,'月1回_1ヶ月前の在庫'!$W$6:$W$10005,$W8891)&gt;0),N(U8890),N(U8890)+1))</f>
        <v/>
      </c>
      <c r="V8891" s="19">
        <f>IF($B8891="","",TEXT($B8891,"0000"))</f>
        <v/>
      </c>
      <c r="W8891" s="19">
        <f>IF($I8891="","",IF(ISNUMBER($I8891),TEXT($I8891,"0"),$I8891))</f>
        <v/>
      </c>
    </row>
    <row r="8892">
      <c r="B8892" s="25" t="n"/>
      <c r="I8892" s="25" t="n"/>
      <c r="U8892" s="19">
        <f>IF($V8892&lt;&gt;'設定'!$C$4,N(U8891),IF(OR(NOT(COUNTIF('商品マスタ'!$B$6:$B$1005,$W8892)=0),COUNTIFS('①在庫を貼る'!$V$6:$V$10005,$V8892,'①在庫を貼る'!$W$6:$W$10005,$W8892)+COUNTIFS('月1回_1ヶ月前の在庫'!$V$6:$V$10005,$V8892,'月1回_1ヶ月前の在庫'!$W$6:$W$10005,$W8892)&gt;0),N(U8891),N(U8891)+1))</f>
        <v/>
      </c>
      <c r="V8892" s="19">
        <f>IF($B8892="","",TEXT($B8892,"0000"))</f>
        <v/>
      </c>
      <c r="W8892" s="19">
        <f>IF($I8892="","",IF(ISNUMBER($I8892),TEXT($I8892,"0"),$I8892))</f>
        <v/>
      </c>
    </row>
    <row r="8893">
      <c r="B8893" s="25" t="n"/>
      <c r="I8893" s="25" t="n"/>
      <c r="U8893" s="19">
        <f>IF($V8893&lt;&gt;'設定'!$C$4,N(U8892),IF(OR(NOT(COUNTIF('商品マスタ'!$B$6:$B$1005,$W8893)=0),COUNTIFS('①在庫を貼る'!$V$6:$V$10005,$V8893,'①在庫を貼る'!$W$6:$W$10005,$W8893)+COUNTIFS('月1回_1ヶ月前の在庫'!$V$6:$V$10005,$V8893,'月1回_1ヶ月前の在庫'!$W$6:$W$10005,$W8893)&gt;0),N(U8892),N(U8892)+1))</f>
        <v/>
      </c>
      <c r="V8893" s="19">
        <f>IF($B8893="","",TEXT($B8893,"0000"))</f>
        <v/>
      </c>
      <c r="W8893" s="19">
        <f>IF($I8893="","",IF(ISNUMBER($I8893),TEXT($I8893,"0"),$I8893))</f>
        <v/>
      </c>
    </row>
    <row r="8894">
      <c r="B8894" s="25" t="n"/>
      <c r="I8894" s="25" t="n"/>
      <c r="U8894" s="19">
        <f>IF($V8894&lt;&gt;'設定'!$C$4,N(U8893),IF(OR(NOT(COUNTIF('商品マスタ'!$B$6:$B$1005,$W8894)=0),COUNTIFS('①在庫を貼る'!$V$6:$V$10005,$V8894,'①在庫を貼る'!$W$6:$W$10005,$W8894)+COUNTIFS('月1回_1ヶ月前の在庫'!$V$6:$V$10005,$V8894,'月1回_1ヶ月前の在庫'!$W$6:$W$10005,$W8894)&gt;0),N(U8893),N(U8893)+1))</f>
        <v/>
      </c>
      <c r="V8894" s="19">
        <f>IF($B8894="","",TEXT($B8894,"0000"))</f>
        <v/>
      </c>
      <c r="W8894" s="19">
        <f>IF($I8894="","",IF(ISNUMBER($I8894),TEXT($I8894,"0"),$I8894))</f>
        <v/>
      </c>
    </row>
    <row r="8895">
      <c r="B8895" s="25" t="n"/>
      <c r="I8895" s="25" t="n"/>
      <c r="U8895" s="19">
        <f>IF($V8895&lt;&gt;'設定'!$C$4,N(U8894),IF(OR(NOT(COUNTIF('商品マスタ'!$B$6:$B$1005,$W8895)=0),COUNTIFS('①在庫を貼る'!$V$6:$V$10005,$V8895,'①在庫を貼る'!$W$6:$W$10005,$W8895)+COUNTIFS('月1回_1ヶ月前の在庫'!$V$6:$V$10005,$V8895,'月1回_1ヶ月前の在庫'!$W$6:$W$10005,$W8895)&gt;0),N(U8894),N(U8894)+1))</f>
        <v/>
      </c>
      <c r="V8895" s="19">
        <f>IF($B8895="","",TEXT($B8895,"0000"))</f>
        <v/>
      </c>
      <c r="W8895" s="19">
        <f>IF($I8895="","",IF(ISNUMBER($I8895),TEXT($I8895,"0"),$I8895))</f>
        <v/>
      </c>
    </row>
    <row r="8896">
      <c r="B8896" s="25" t="n"/>
      <c r="I8896" s="25" t="n"/>
      <c r="U8896" s="19">
        <f>IF($V8896&lt;&gt;'設定'!$C$4,N(U8895),IF(OR(NOT(COUNTIF('商品マスタ'!$B$6:$B$1005,$W8896)=0),COUNTIFS('①在庫を貼る'!$V$6:$V$10005,$V8896,'①在庫を貼る'!$W$6:$W$10005,$W8896)+COUNTIFS('月1回_1ヶ月前の在庫'!$V$6:$V$10005,$V8896,'月1回_1ヶ月前の在庫'!$W$6:$W$10005,$W8896)&gt;0),N(U8895),N(U8895)+1))</f>
        <v/>
      </c>
      <c r="V8896" s="19">
        <f>IF($B8896="","",TEXT($B8896,"0000"))</f>
        <v/>
      </c>
      <c r="W8896" s="19">
        <f>IF($I8896="","",IF(ISNUMBER($I8896),TEXT($I8896,"0"),$I8896))</f>
        <v/>
      </c>
    </row>
    <row r="8897">
      <c r="B8897" s="25" t="n"/>
      <c r="I8897" s="25" t="n"/>
      <c r="U8897" s="19">
        <f>IF($V8897&lt;&gt;'設定'!$C$4,N(U8896),IF(OR(NOT(COUNTIF('商品マスタ'!$B$6:$B$1005,$W8897)=0),COUNTIFS('①在庫を貼る'!$V$6:$V$10005,$V8897,'①在庫を貼る'!$W$6:$W$10005,$W8897)+COUNTIFS('月1回_1ヶ月前の在庫'!$V$6:$V$10005,$V8897,'月1回_1ヶ月前の在庫'!$W$6:$W$10005,$W8897)&gt;0),N(U8896),N(U8896)+1))</f>
        <v/>
      </c>
      <c r="V8897" s="19">
        <f>IF($B8897="","",TEXT($B8897,"0000"))</f>
        <v/>
      </c>
      <c r="W8897" s="19">
        <f>IF($I8897="","",IF(ISNUMBER($I8897),TEXT($I8897,"0"),$I8897))</f>
        <v/>
      </c>
    </row>
    <row r="8898">
      <c r="B8898" s="25" t="n"/>
      <c r="I8898" s="25" t="n"/>
      <c r="U8898" s="19">
        <f>IF($V8898&lt;&gt;'設定'!$C$4,N(U8897),IF(OR(NOT(COUNTIF('商品マスタ'!$B$6:$B$1005,$W8898)=0),COUNTIFS('①在庫を貼る'!$V$6:$V$10005,$V8898,'①在庫を貼る'!$W$6:$W$10005,$W8898)+COUNTIFS('月1回_1ヶ月前の在庫'!$V$6:$V$10005,$V8898,'月1回_1ヶ月前の在庫'!$W$6:$W$10005,$W8898)&gt;0),N(U8897),N(U8897)+1))</f>
        <v/>
      </c>
      <c r="V8898" s="19">
        <f>IF($B8898="","",TEXT($B8898,"0000"))</f>
        <v/>
      </c>
      <c r="W8898" s="19">
        <f>IF($I8898="","",IF(ISNUMBER($I8898),TEXT($I8898,"0"),$I8898))</f>
        <v/>
      </c>
    </row>
    <row r="8899">
      <c r="B8899" s="25" t="n"/>
      <c r="I8899" s="25" t="n"/>
      <c r="U8899" s="19">
        <f>IF($V8899&lt;&gt;'設定'!$C$4,N(U8898),IF(OR(NOT(COUNTIF('商品マスタ'!$B$6:$B$1005,$W8899)=0),COUNTIFS('①在庫を貼る'!$V$6:$V$10005,$V8899,'①在庫を貼る'!$W$6:$W$10005,$W8899)+COUNTIFS('月1回_1ヶ月前の在庫'!$V$6:$V$10005,$V8899,'月1回_1ヶ月前の在庫'!$W$6:$W$10005,$W8899)&gt;0),N(U8898),N(U8898)+1))</f>
        <v/>
      </c>
      <c r="V8899" s="19">
        <f>IF($B8899="","",TEXT($B8899,"0000"))</f>
        <v/>
      </c>
      <c r="W8899" s="19">
        <f>IF($I8899="","",IF(ISNUMBER($I8899),TEXT($I8899,"0"),$I8899))</f>
        <v/>
      </c>
    </row>
    <row r="8900">
      <c r="B8900" s="25" t="n"/>
      <c r="I8900" s="25" t="n"/>
      <c r="U8900" s="19">
        <f>IF($V8900&lt;&gt;'設定'!$C$4,N(U8899),IF(OR(NOT(COUNTIF('商品マスタ'!$B$6:$B$1005,$W8900)=0),COUNTIFS('①在庫を貼る'!$V$6:$V$10005,$V8900,'①在庫を貼る'!$W$6:$W$10005,$W8900)+COUNTIFS('月1回_1ヶ月前の在庫'!$V$6:$V$10005,$V8900,'月1回_1ヶ月前の在庫'!$W$6:$W$10005,$W8900)&gt;0),N(U8899),N(U8899)+1))</f>
        <v/>
      </c>
      <c r="V8900" s="19">
        <f>IF($B8900="","",TEXT($B8900,"0000"))</f>
        <v/>
      </c>
      <c r="W8900" s="19">
        <f>IF($I8900="","",IF(ISNUMBER($I8900),TEXT($I8900,"0"),$I8900))</f>
        <v/>
      </c>
    </row>
    <row r="8901">
      <c r="B8901" s="25" t="n"/>
      <c r="I8901" s="25" t="n"/>
      <c r="U8901" s="19">
        <f>IF($V8901&lt;&gt;'設定'!$C$4,N(U8900),IF(OR(NOT(COUNTIF('商品マスタ'!$B$6:$B$1005,$W8901)=0),COUNTIFS('①在庫を貼る'!$V$6:$V$10005,$V8901,'①在庫を貼る'!$W$6:$W$10005,$W8901)+COUNTIFS('月1回_1ヶ月前の在庫'!$V$6:$V$10005,$V8901,'月1回_1ヶ月前の在庫'!$W$6:$W$10005,$W8901)&gt;0),N(U8900),N(U8900)+1))</f>
        <v/>
      </c>
      <c r="V8901" s="19">
        <f>IF($B8901="","",TEXT($B8901,"0000"))</f>
        <v/>
      </c>
      <c r="W8901" s="19">
        <f>IF($I8901="","",IF(ISNUMBER($I8901),TEXT($I8901,"0"),$I8901))</f>
        <v/>
      </c>
    </row>
    <row r="8902">
      <c r="B8902" s="25" t="n"/>
      <c r="I8902" s="25" t="n"/>
      <c r="U8902" s="19">
        <f>IF($V8902&lt;&gt;'設定'!$C$4,N(U8901),IF(OR(NOT(COUNTIF('商品マスタ'!$B$6:$B$1005,$W8902)=0),COUNTIFS('①在庫を貼る'!$V$6:$V$10005,$V8902,'①在庫を貼る'!$W$6:$W$10005,$W8902)+COUNTIFS('月1回_1ヶ月前の在庫'!$V$6:$V$10005,$V8902,'月1回_1ヶ月前の在庫'!$W$6:$W$10005,$W8902)&gt;0),N(U8901),N(U8901)+1))</f>
        <v/>
      </c>
      <c r="V8902" s="19">
        <f>IF($B8902="","",TEXT($B8902,"0000"))</f>
        <v/>
      </c>
      <c r="W8902" s="19">
        <f>IF($I8902="","",IF(ISNUMBER($I8902),TEXT($I8902,"0"),$I8902))</f>
        <v/>
      </c>
    </row>
    <row r="8903">
      <c r="B8903" s="25" t="n"/>
      <c r="I8903" s="25" t="n"/>
      <c r="U8903" s="19">
        <f>IF($V8903&lt;&gt;'設定'!$C$4,N(U8902),IF(OR(NOT(COUNTIF('商品マスタ'!$B$6:$B$1005,$W8903)=0),COUNTIFS('①在庫を貼る'!$V$6:$V$10005,$V8903,'①在庫を貼る'!$W$6:$W$10005,$W8903)+COUNTIFS('月1回_1ヶ月前の在庫'!$V$6:$V$10005,$V8903,'月1回_1ヶ月前の在庫'!$W$6:$W$10005,$W8903)&gt;0),N(U8902),N(U8902)+1))</f>
        <v/>
      </c>
      <c r="V8903" s="19">
        <f>IF($B8903="","",TEXT($B8903,"0000"))</f>
        <v/>
      </c>
      <c r="W8903" s="19">
        <f>IF($I8903="","",IF(ISNUMBER($I8903),TEXT($I8903,"0"),$I8903))</f>
        <v/>
      </c>
    </row>
    <row r="8904">
      <c r="B8904" s="25" t="n"/>
      <c r="I8904" s="25" t="n"/>
      <c r="U8904" s="19">
        <f>IF($V8904&lt;&gt;'設定'!$C$4,N(U8903),IF(OR(NOT(COUNTIF('商品マスタ'!$B$6:$B$1005,$W8904)=0),COUNTIFS('①在庫を貼る'!$V$6:$V$10005,$V8904,'①在庫を貼る'!$W$6:$W$10005,$W8904)+COUNTIFS('月1回_1ヶ月前の在庫'!$V$6:$V$10005,$V8904,'月1回_1ヶ月前の在庫'!$W$6:$W$10005,$W8904)&gt;0),N(U8903),N(U8903)+1))</f>
        <v/>
      </c>
      <c r="V8904" s="19">
        <f>IF($B8904="","",TEXT($B8904,"0000"))</f>
        <v/>
      </c>
      <c r="W8904" s="19">
        <f>IF($I8904="","",IF(ISNUMBER($I8904),TEXT($I8904,"0"),$I8904))</f>
        <v/>
      </c>
    </row>
    <row r="8905">
      <c r="B8905" s="25" t="n"/>
      <c r="I8905" s="25" t="n"/>
      <c r="U8905" s="19">
        <f>IF($V8905&lt;&gt;'設定'!$C$4,N(U8904),IF(OR(NOT(COUNTIF('商品マスタ'!$B$6:$B$1005,$W8905)=0),COUNTIFS('①在庫を貼る'!$V$6:$V$10005,$V8905,'①在庫を貼る'!$W$6:$W$10005,$W8905)+COUNTIFS('月1回_1ヶ月前の在庫'!$V$6:$V$10005,$V8905,'月1回_1ヶ月前の在庫'!$W$6:$W$10005,$W8905)&gt;0),N(U8904),N(U8904)+1))</f>
        <v/>
      </c>
      <c r="V8905" s="19">
        <f>IF($B8905="","",TEXT($B8905,"0000"))</f>
        <v/>
      </c>
      <c r="W8905" s="19">
        <f>IF($I8905="","",IF(ISNUMBER($I8905),TEXT($I8905,"0"),$I8905))</f>
        <v/>
      </c>
    </row>
    <row r="8906">
      <c r="B8906" s="25" t="n"/>
      <c r="I8906" s="25" t="n"/>
      <c r="U8906" s="19">
        <f>IF($V8906&lt;&gt;'設定'!$C$4,N(U8905),IF(OR(NOT(COUNTIF('商品マスタ'!$B$6:$B$1005,$W8906)=0),COUNTIFS('①在庫を貼る'!$V$6:$V$10005,$V8906,'①在庫を貼る'!$W$6:$W$10005,$W8906)+COUNTIFS('月1回_1ヶ月前の在庫'!$V$6:$V$10005,$V8906,'月1回_1ヶ月前の在庫'!$W$6:$W$10005,$W8906)&gt;0),N(U8905),N(U8905)+1))</f>
        <v/>
      </c>
      <c r="V8906" s="19">
        <f>IF($B8906="","",TEXT($B8906,"0000"))</f>
        <v/>
      </c>
      <c r="W8906" s="19">
        <f>IF($I8906="","",IF(ISNUMBER($I8906),TEXT($I8906,"0"),$I8906))</f>
        <v/>
      </c>
    </row>
    <row r="8907">
      <c r="B8907" s="25" t="n"/>
      <c r="I8907" s="25" t="n"/>
      <c r="U8907" s="19">
        <f>IF($V8907&lt;&gt;'設定'!$C$4,N(U8906),IF(OR(NOT(COUNTIF('商品マスタ'!$B$6:$B$1005,$W8907)=0),COUNTIFS('①在庫を貼る'!$V$6:$V$10005,$V8907,'①在庫を貼る'!$W$6:$W$10005,$W8907)+COUNTIFS('月1回_1ヶ月前の在庫'!$V$6:$V$10005,$V8907,'月1回_1ヶ月前の在庫'!$W$6:$W$10005,$W8907)&gt;0),N(U8906),N(U8906)+1))</f>
        <v/>
      </c>
      <c r="V8907" s="19">
        <f>IF($B8907="","",TEXT($B8907,"0000"))</f>
        <v/>
      </c>
      <c r="W8907" s="19">
        <f>IF($I8907="","",IF(ISNUMBER($I8907),TEXT($I8907,"0"),$I8907))</f>
        <v/>
      </c>
    </row>
    <row r="8908">
      <c r="B8908" s="25" t="n"/>
      <c r="I8908" s="25" t="n"/>
      <c r="U8908" s="19">
        <f>IF($V8908&lt;&gt;'設定'!$C$4,N(U8907),IF(OR(NOT(COUNTIF('商品マスタ'!$B$6:$B$1005,$W8908)=0),COUNTIFS('①在庫を貼る'!$V$6:$V$10005,$V8908,'①在庫を貼る'!$W$6:$W$10005,$W8908)+COUNTIFS('月1回_1ヶ月前の在庫'!$V$6:$V$10005,$V8908,'月1回_1ヶ月前の在庫'!$W$6:$W$10005,$W8908)&gt;0),N(U8907),N(U8907)+1))</f>
        <v/>
      </c>
      <c r="V8908" s="19">
        <f>IF($B8908="","",TEXT($B8908,"0000"))</f>
        <v/>
      </c>
      <c r="W8908" s="19">
        <f>IF($I8908="","",IF(ISNUMBER($I8908),TEXT($I8908,"0"),$I8908))</f>
        <v/>
      </c>
    </row>
    <row r="8909">
      <c r="B8909" s="25" t="n"/>
      <c r="I8909" s="25" t="n"/>
      <c r="U8909" s="19">
        <f>IF($V8909&lt;&gt;'設定'!$C$4,N(U8908),IF(OR(NOT(COUNTIF('商品マスタ'!$B$6:$B$1005,$W8909)=0),COUNTIFS('①在庫を貼る'!$V$6:$V$10005,$V8909,'①在庫を貼る'!$W$6:$W$10005,$W8909)+COUNTIFS('月1回_1ヶ月前の在庫'!$V$6:$V$10005,$V8909,'月1回_1ヶ月前の在庫'!$W$6:$W$10005,$W8909)&gt;0),N(U8908),N(U8908)+1))</f>
        <v/>
      </c>
      <c r="V8909" s="19">
        <f>IF($B8909="","",TEXT($B8909,"0000"))</f>
        <v/>
      </c>
      <c r="W8909" s="19">
        <f>IF($I8909="","",IF(ISNUMBER($I8909),TEXT($I8909,"0"),$I8909))</f>
        <v/>
      </c>
    </row>
    <row r="8910">
      <c r="B8910" s="25" t="n"/>
      <c r="I8910" s="25" t="n"/>
      <c r="U8910" s="19">
        <f>IF($V8910&lt;&gt;'設定'!$C$4,N(U8909),IF(OR(NOT(COUNTIF('商品マスタ'!$B$6:$B$1005,$W8910)=0),COUNTIFS('①在庫を貼る'!$V$6:$V$10005,$V8910,'①在庫を貼る'!$W$6:$W$10005,$W8910)+COUNTIFS('月1回_1ヶ月前の在庫'!$V$6:$V$10005,$V8910,'月1回_1ヶ月前の在庫'!$W$6:$W$10005,$W8910)&gt;0),N(U8909),N(U8909)+1))</f>
        <v/>
      </c>
      <c r="V8910" s="19">
        <f>IF($B8910="","",TEXT($B8910,"0000"))</f>
        <v/>
      </c>
      <c r="W8910" s="19">
        <f>IF($I8910="","",IF(ISNUMBER($I8910),TEXT($I8910,"0"),$I8910))</f>
        <v/>
      </c>
    </row>
    <row r="8911">
      <c r="B8911" s="25" t="n"/>
      <c r="I8911" s="25" t="n"/>
      <c r="U8911" s="19">
        <f>IF($V8911&lt;&gt;'設定'!$C$4,N(U8910),IF(OR(NOT(COUNTIF('商品マスタ'!$B$6:$B$1005,$W8911)=0),COUNTIFS('①在庫を貼る'!$V$6:$V$10005,$V8911,'①在庫を貼る'!$W$6:$W$10005,$W8911)+COUNTIFS('月1回_1ヶ月前の在庫'!$V$6:$V$10005,$V8911,'月1回_1ヶ月前の在庫'!$W$6:$W$10005,$W8911)&gt;0),N(U8910),N(U8910)+1))</f>
        <v/>
      </c>
      <c r="V8911" s="19">
        <f>IF($B8911="","",TEXT($B8911,"0000"))</f>
        <v/>
      </c>
      <c r="W8911" s="19">
        <f>IF($I8911="","",IF(ISNUMBER($I8911),TEXT($I8911,"0"),$I8911))</f>
        <v/>
      </c>
    </row>
    <row r="8912">
      <c r="B8912" s="25" t="n"/>
      <c r="I8912" s="25" t="n"/>
      <c r="U8912" s="19">
        <f>IF($V8912&lt;&gt;'設定'!$C$4,N(U8911),IF(OR(NOT(COUNTIF('商品マスタ'!$B$6:$B$1005,$W8912)=0),COUNTIFS('①在庫を貼る'!$V$6:$V$10005,$V8912,'①在庫を貼る'!$W$6:$W$10005,$W8912)+COUNTIFS('月1回_1ヶ月前の在庫'!$V$6:$V$10005,$V8912,'月1回_1ヶ月前の在庫'!$W$6:$W$10005,$W8912)&gt;0),N(U8911),N(U8911)+1))</f>
        <v/>
      </c>
      <c r="V8912" s="19">
        <f>IF($B8912="","",TEXT($B8912,"0000"))</f>
        <v/>
      </c>
      <c r="W8912" s="19">
        <f>IF($I8912="","",IF(ISNUMBER($I8912),TEXT($I8912,"0"),$I8912))</f>
        <v/>
      </c>
    </row>
    <row r="8913">
      <c r="B8913" s="25" t="n"/>
      <c r="I8913" s="25" t="n"/>
      <c r="U8913" s="19">
        <f>IF($V8913&lt;&gt;'設定'!$C$4,N(U8912),IF(OR(NOT(COUNTIF('商品マスタ'!$B$6:$B$1005,$W8913)=0),COUNTIFS('①在庫を貼る'!$V$6:$V$10005,$V8913,'①在庫を貼る'!$W$6:$W$10005,$W8913)+COUNTIFS('月1回_1ヶ月前の在庫'!$V$6:$V$10005,$V8913,'月1回_1ヶ月前の在庫'!$W$6:$W$10005,$W8913)&gt;0),N(U8912),N(U8912)+1))</f>
        <v/>
      </c>
      <c r="V8913" s="19">
        <f>IF($B8913="","",TEXT($B8913,"0000"))</f>
        <v/>
      </c>
      <c r="W8913" s="19">
        <f>IF($I8913="","",IF(ISNUMBER($I8913),TEXT($I8913,"0"),$I8913))</f>
        <v/>
      </c>
    </row>
    <row r="8914">
      <c r="B8914" s="25" t="n"/>
      <c r="I8914" s="25" t="n"/>
      <c r="U8914" s="19">
        <f>IF($V8914&lt;&gt;'設定'!$C$4,N(U8913),IF(OR(NOT(COUNTIF('商品マスタ'!$B$6:$B$1005,$W8914)=0),COUNTIFS('①在庫を貼る'!$V$6:$V$10005,$V8914,'①在庫を貼る'!$W$6:$W$10005,$W8914)+COUNTIFS('月1回_1ヶ月前の在庫'!$V$6:$V$10005,$V8914,'月1回_1ヶ月前の在庫'!$W$6:$W$10005,$W8914)&gt;0),N(U8913),N(U8913)+1))</f>
        <v/>
      </c>
      <c r="V8914" s="19">
        <f>IF($B8914="","",TEXT($B8914,"0000"))</f>
        <v/>
      </c>
      <c r="W8914" s="19">
        <f>IF($I8914="","",IF(ISNUMBER($I8914),TEXT($I8914,"0"),$I8914))</f>
        <v/>
      </c>
    </row>
    <row r="8915">
      <c r="B8915" s="25" t="n"/>
      <c r="I8915" s="25" t="n"/>
      <c r="U8915" s="19">
        <f>IF($V8915&lt;&gt;'設定'!$C$4,N(U8914),IF(OR(NOT(COUNTIF('商品マスタ'!$B$6:$B$1005,$W8915)=0),COUNTIFS('①在庫を貼る'!$V$6:$V$10005,$V8915,'①在庫を貼る'!$W$6:$W$10005,$W8915)+COUNTIFS('月1回_1ヶ月前の在庫'!$V$6:$V$10005,$V8915,'月1回_1ヶ月前の在庫'!$W$6:$W$10005,$W8915)&gt;0),N(U8914),N(U8914)+1))</f>
        <v/>
      </c>
      <c r="V8915" s="19">
        <f>IF($B8915="","",TEXT($B8915,"0000"))</f>
        <v/>
      </c>
      <c r="W8915" s="19">
        <f>IF($I8915="","",IF(ISNUMBER($I8915),TEXT($I8915,"0"),$I8915))</f>
        <v/>
      </c>
    </row>
    <row r="8916">
      <c r="B8916" s="25" t="n"/>
      <c r="I8916" s="25" t="n"/>
      <c r="U8916" s="19">
        <f>IF($V8916&lt;&gt;'設定'!$C$4,N(U8915),IF(OR(NOT(COUNTIF('商品マスタ'!$B$6:$B$1005,$W8916)=0),COUNTIFS('①在庫を貼る'!$V$6:$V$10005,$V8916,'①在庫を貼る'!$W$6:$W$10005,$W8916)+COUNTIFS('月1回_1ヶ月前の在庫'!$V$6:$V$10005,$V8916,'月1回_1ヶ月前の在庫'!$W$6:$W$10005,$W8916)&gt;0),N(U8915),N(U8915)+1))</f>
        <v/>
      </c>
      <c r="V8916" s="19">
        <f>IF($B8916="","",TEXT($B8916,"0000"))</f>
        <v/>
      </c>
      <c r="W8916" s="19">
        <f>IF($I8916="","",IF(ISNUMBER($I8916),TEXT($I8916,"0"),$I8916))</f>
        <v/>
      </c>
    </row>
    <row r="8917">
      <c r="B8917" s="25" t="n"/>
      <c r="I8917" s="25" t="n"/>
      <c r="U8917" s="19">
        <f>IF($V8917&lt;&gt;'設定'!$C$4,N(U8916),IF(OR(NOT(COUNTIF('商品マスタ'!$B$6:$B$1005,$W8917)=0),COUNTIFS('①在庫を貼る'!$V$6:$V$10005,$V8917,'①在庫を貼る'!$W$6:$W$10005,$W8917)+COUNTIFS('月1回_1ヶ月前の在庫'!$V$6:$V$10005,$V8917,'月1回_1ヶ月前の在庫'!$W$6:$W$10005,$W8917)&gt;0),N(U8916),N(U8916)+1))</f>
        <v/>
      </c>
      <c r="V8917" s="19">
        <f>IF($B8917="","",TEXT($B8917,"0000"))</f>
        <v/>
      </c>
      <c r="W8917" s="19">
        <f>IF($I8917="","",IF(ISNUMBER($I8917),TEXT($I8917,"0"),$I8917))</f>
        <v/>
      </c>
    </row>
    <row r="8918">
      <c r="B8918" s="25" t="n"/>
      <c r="I8918" s="25" t="n"/>
      <c r="U8918" s="19">
        <f>IF($V8918&lt;&gt;'設定'!$C$4,N(U8917),IF(OR(NOT(COUNTIF('商品マスタ'!$B$6:$B$1005,$W8918)=0),COUNTIFS('①在庫を貼る'!$V$6:$V$10005,$V8918,'①在庫を貼る'!$W$6:$W$10005,$W8918)+COUNTIFS('月1回_1ヶ月前の在庫'!$V$6:$V$10005,$V8918,'月1回_1ヶ月前の在庫'!$W$6:$W$10005,$W8918)&gt;0),N(U8917),N(U8917)+1))</f>
        <v/>
      </c>
      <c r="V8918" s="19">
        <f>IF($B8918="","",TEXT($B8918,"0000"))</f>
        <v/>
      </c>
      <c r="W8918" s="19">
        <f>IF($I8918="","",IF(ISNUMBER($I8918),TEXT($I8918,"0"),$I8918))</f>
        <v/>
      </c>
    </row>
    <row r="8919">
      <c r="B8919" s="25" t="n"/>
      <c r="I8919" s="25" t="n"/>
      <c r="U8919" s="19">
        <f>IF($V8919&lt;&gt;'設定'!$C$4,N(U8918),IF(OR(NOT(COUNTIF('商品マスタ'!$B$6:$B$1005,$W8919)=0),COUNTIFS('①在庫を貼る'!$V$6:$V$10005,$V8919,'①在庫を貼る'!$W$6:$W$10005,$W8919)+COUNTIFS('月1回_1ヶ月前の在庫'!$V$6:$V$10005,$V8919,'月1回_1ヶ月前の在庫'!$W$6:$W$10005,$W8919)&gt;0),N(U8918),N(U8918)+1))</f>
        <v/>
      </c>
      <c r="V8919" s="19">
        <f>IF($B8919="","",TEXT($B8919,"0000"))</f>
        <v/>
      </c>
      <c r="W8919" s="19">
        <f>IF($I8919="","",IF(ISNUMBER($I8919),TEXT($I8919,"0"),$I8919))</f>
        <v/>
      </c>
    </row>
    <row r="8920">
      <c r="B8920" s="25" t="n"/>
      <c r="I8920" s="25" t="n"/>
      <c r="U8920" s="19">
        <f>IF($V8920&lt;&gt;'設定'!$C$4,N(U8919),IF(OR(NOT(COUNTIF('商品マスタ'!$B$6:$B$1005,$W8920)=0),COUNTIFS('①在庫を貼る'!$V$6:$V$10005,$V8920,'①在庫を貼る'!$W$6:$W$10005,$W8920)+COUNTIFS('月1回_1ヶ月前の在庫'!$V$6:$V$10005,$V8920,'月1回_1ヶ月前の在庫'!$W$6:$W$10005,$W8920)&gt;0),N(U8919),N(U8919)+1))</f>
        <v/>
      </c>
      <c r="V8920" s="19">
        <f>IF($B8920="","",TEXT($B8920,"0000"))</f>
        <v/>
      </c>
      <c r="W8920" s="19">
        <f>IF($I8920="","",IF(ISNUMBER($I8920),TEXT($I8920,"0"),$I8920))</f>
        <v/>
      </c>
    </row>
    <row r="8921">
      <c r="B8921" s="25" t="n"/>
      <c r="I8921" s="25" t="n"/>
      <c r="U8921" s="19">
        <f>IF($V8921&lt;&gt;'設定'!$C$4,N(U8920),IF(OR(NOT(COUNTIF('商品マスタ'!$B$6:$B$1005,$W8921)=0),COUNTIFS('①在庫を貼る'!$V$6:$V$10005,$V8921,'①在庫を貼る'!$W$6:$W$10005,$W8921)+COUNTIFS('月1回_1ヶ月前の在庫'!$V$6:$V$10005,$V8921,'月1回_1ヶ月前の在庫'!$W$6:$W$10005,$W8921)&gt;0),N(U8920),N(U8920)+1))</f>
        <v/>
      </c>
      <c r="V8921" s="19">
        <f>IF($B8921="","",TEXT($B8921,"0000"))</f>
        <v/>
      </c>
      <c r="W8921" s="19">
        <f>IF($I8921="","",IF(ISNUMBER($I8921),TEXT($I8921,"0"),$I8921))</f>
        <v/>
      </c>
    </row>
    <row r="8922">
      <c r="B8922" s="25" t="n"/>
      <c r="I8922" s="25" t="n"/>
      <c r="U8922" s="19">
        <f>IF($V8922&lt;&gt;'設定'!$C$4,N(U8921),IF(OR(NOT(COUNTIF('商品マスタ'!$B$6:$B$1005,$W8922)=0),COUNTIFS('①在庫を貼る'!$V$6:$V$10005,$V8922,'①在庫を貼る'!$W$6:$W$10005,$W8922)+COUNTIFS('月1回_1ヶ月前の在庫'!$V$6:$V$10005,$V8922,'月1回_1ヶ月前の在庫'!$W$6:$W$10005,$W8922)&gt;0),N(U8921),N(U8921)+1))</f>
        <v/>
      </c>
      <c r="V8922" s="19">
        <f>IF($B8922="","",TEXT($B8922,"0000"))</f>
        <v/>
      </c>
      <c r="W8922" s="19">
        <f>IF($I8922="","",IF(ISNUMBER($I8922),TEXT($I8922,"0"),$I8922))</f>
        <v/>
      </c>
    </row>
    <row r="8923">
      <c r="B8923" s="25" t="n"/>
      <c r="I8923" s="25" t="n"/>
      <c r="U8923" s="19">
        <f>IF($V8923&lt;&gt;'設定'!$C$4,N(U8922),IF(OR(NOT(COUNTIF('商品マスタ'!$B$6:$B$1005,$W8923)=0),COUNTIFS('①在庫を貼る'!$V$6:$V$10005,$V8923,'①在庫を貼る'!$W$6:$W$10005,$W8923)+COUNTIFS('月1回_1ヶ月前の在庫'!$V$6:$V$10005,$V8923,'月1回_1ヶ月前の在庫'!$W$6:$W$10005,$W8923)&gt;0),N(U8922),N(U8922)+1))</f>
        <v/>
      </c>
      <c r="V8923" s="19">
        <f>IF($B8923="","",TEXT($B8923,"0000"))</f>
        <v/>
      </c>
      <c r="W8923" s="19">
        <f>IF($I8923="","",IF(ISNUMBER($I8923),TEXT($I8923,"0"),$I8923))</f>
        <v/>
      </c>
    </row>
    <row r="8924">
      <c r="B8924" s="25" t="n"/>
      <c r="I8924" s="25" t="n"/>
      <c r="U8924" s="19">
        <f>IF($V8924&lt;&gt;'設定'!$C$4,N(U8923),IF(OR(NOT(COUNTIF('商品マスタ'!$B$6:$B$1005,$W8924)=0),COUNTIFS('①在庫を貼る'!$V$6:$V$10005,$V8924,'①在庫を貼る'!$W$6:$W$10005,$W8924)+COUNTIFS('月1回_1ヶ月前の在庫'!$V$6:$V$10005,$V8924,'月1回_1ヶ月前の在庫'!$W$6:$W$10005,$W8924)&gt;0),N(U8923),N(U8923)+1))</f>
        <v/>
      </c>
      <c r="V8924" s="19">
        <f>IF($B8924="","",TEXT($B8924,"0000"))</f>
        <v/>
      </c>
      <c r="W8924" s="19">
        <f>IF($I8924="","",IF(ISNUMBER($I8924),TEXT($I8924,"0"),$I8924))</f>
        <v/>
      </c>
    </row>
    <row r="8925">
      <c r="B8925" s="25" t="n"/>
      <c r="I8925" s="25" t="n"/>
      <c r="U8925" s="19">
        <f>IF($V8925&lt;&gt;'設定'!$C$4,N(U8924),IF(OR(NOT(COUNTIF('商品マスタ'!$B$6:$B$1005,$W8925)=0),COUNTIFS('①在庫を貼る'!$V$6:$V$10005,$V8925,'①在庫を貼る'!$W$6:$W$10005,$W8925)+COUNTIFS('月1回_1ヶ月前の在庫'!$V$6:$V$10005,$V8925,'月1回_1ヶ月前の在庫'!$W$6:$W$10005,$W8925)&gt;0),N(U8924),N(U8924)+1))</f>
        <v/>
      </c>
      <c r="V8925" s="19">
        <f>IF($B8925="","",TEXT($B8925,"0000"))</f>
        <v/>
      </c>
      <c r="W8925" s="19">
        <f>IF($I8925="","",IF(ISNUMBER($I8925),TEXT($I8925,"0"),$I8925))</f>
        <v/>
      </c>
    </row>
    <row r="8926">
      <c r="B8926" s="25" t="n"/>
      <c r="I8926" s="25" t="n"/>
      <c r="U8926" s="19">
        <f>IF($V8926&lt;&gt;'設定'!$C$4,N(U8925),IF(OR(NOT(COUNTIF('商品マスタ'!$B$6:$B$1005,$W8926)=0),COUNTIFS('①在庫を貼る'!$V$6:$V$10005,$V8926,'①在庫を貼る'!$W$6:$W$10005,$W8926)+COUNTIFS('月1回_1ヶ月前の在庫'!$V$6:$V$10005,$V8926,'月1回_1ヶ月前の在庫'!$W$6:$W$10005,$W8926)&gt;0),N(U8925),N(U8925)+1))</f>
        <v/>
      </c>
      <c r="V8926" s="19">
        <f>IF($B8926="","",TEXT($B8926,"0000"))</f>
        <v/>
      </c>
      <c r="W8926" s="19">
        <f>IF($I8926="","",IF(ISNUMBER($I8926),TEXT($I8926,"0"),$I8926))</f>
        <v/>
      </c>
    </row>
    <row r="8927">
      <c r="B8927" s="25" t="n"/>
      <c r="I8927" s="25" t="n"/>
      <c r="U8927" s="19">
        <f>IF($V8927&lt;&gt;'設定'!$C$4,N(U8926),IF(OR(NOT(COUNTIF('商品マスタ'!$B$6:$B$1005,$W8927)=0),COUNTIFS('①在庫を貼る'!$V$6:$V$10005,$V8927,'①在庫を貼る'!$W$6:$W$10005,$W8927)+COUNTIFS('月1回_1ヶ月前の在庫'!$V$6:$V$10005,$V8927,'月1回_1ヶ月前の在庫'!$W$6:$W$10005,$W8927)&gt;0),N(U8926),N(U8926)+1))</f>
        <v/>
      </c>
      <c r="V8927" s="19">
        <f>IF($B8927="","",TEXT($B8927,"0000"))</f>
        <v/>
      </c>
      <c r="W8927" s="19">
        <f>IF($I8927="","",IF(ISNUMBER($I8927),TEXT($I8927,"0"),$I8927))</f>
        <v/>
      </c>
    </row>
    <row r="8928">
      <c r="B8928" s="25" t="n"/>
      <c r="I8928" s="25" t="n"/>
      <c r="U8928" s="19">
        <f>IF($V8928&lt;&gt;'設定'!$C$4,N(U8927),IF(OR(NOT(COUNTIF('商品マスタ'!$B$6:$B$1005,$W8928)=0),COUNTIFS('①在庫を貼る'!$V$6:$V$10005,$V8928,'①在庫を貼る'!$W$6:$W$10005,$W8928)+COUNTIFS('月1回_1ヶ月前の在庫'!$V$6:$V$10005,$V8928,'月1回_1ヶ月前の在庫'!$W$6:$W$10005,$W8928)&gt;0),N(U8927),N(U8927)+1))</f>
        <v/>
      </c>
      <c r="V8928" s="19">
        <f>IF($B8928="","",TEXT($B8928,"0000"))</f>
        <v/>
      </c>
      <c r="W8928" s="19">
        <f>IF($I8928="","",IF(ISNUMBER($I8928),TEXT($I8928,"0"),$I8928))</f>
        <v/>
      </c>
    </row>
    <row r="8929">
      <c r="B8929" s="25" t="n"/>
      <c r="I8929" s="25" t="n"/>
      <c r="U8929" s="19">
        <f>IF($V8929&lt;&gt;'設定'!$C$4,N(U8928),IF(OR(NOT(COUNTIF('商品マスタ'!$B$6:$B$1005,$W8929)=0),COUNTIFS('①在庫を貼る'!$V$6:$V$10005,$V8929,'①在庫を貼る'!$W$6:$W$10005,$W8929)+COUNTIFS('月1回_1ヶ月前の在庫'!$V$6:$V$10005,$V8929,'月1回_1ヶ月前の在庫'!$W$6:$W$10005,$W8929)&gt;0),N(U8928),N(U8928)+1))</f>
        <v/>
      </c>
      <c r="V8929" s="19">
        <f>IF($B8929="","",TEXT($B8929,"0000"))</f>
        <v/>
      </c>
      <c r="W8929" s="19">
        <f>IF($I8929="","",IF(ISNUMBER($I8929),TEXT($I8929,"0"),$I8929))</f>
        <v/>
      </c>
    </row>
    <row r="8930">
      <c r="B8930" s="25" t="n"/>
      <c r="I8930" s="25" t="n"/>
      <c r="U8930" s="19">
        <f>IF($V8930&lt;&gt;'設定'!$C$4,N(U8929),IF(OR(NOT(COUNTIF('商品マスタ'!$B$6:$B$1005,$W8930)=0),COUNTIFS('①在庫を貼る'!$V$6:$V$10005,$V8930,'①在庫を貼る'!$W$6:$W$10005,$W8930)+COUNTIFS('月1回_1ヶ月前の在庫'!$V$6:$V$10005,$V8930,'月1回_1ヶ月前の在庫'!$W$6:$W$10005,$W8930)&gt;0),N(U8929),N(U8929)+1))</f>
        <v/>
      </c>
      <c r="V8930" s="19">
        <f>IF($B8930="","",TEXT($B8930,"0000"))</f>
        <v/>
      </c>
      <c r="W8930" s="19">
        <f>IF($I8930="","",IF(ISNUMBER($I8930),TEXT($I8930,"0"),$I8930))</f>
        <v/>
      </c>
    </row>
    <row r="8931">
      <c r="B8931" s="25" t="n"/>
      <c r="I8931" s="25" t="n"/>
      <c r="U8931" s="19">
        <f>IF($V8931&lt;&gt;'設定'!$C$4,N(U8930),IF(OR(NOT(COUNTIF('商品マスタ'!$B$6:$B$1005,$W8931)=0),COUNTIFS('①在庫を貼る'!$V$6:$V$10005,$V8931,'①在庫を貼る'!$W$6:$W$10005,$W8931)+COUNTIFS('月1回_1ヶ月前の在庫'!$V$6:$V$10005,$V8931,'月1回_1ヶ月前の在庫'!$W$6:$W$10005,$W8931)&gt;0),N(U8930),N(U8930)+1))</f>
        <v/>
      </c>
      <c r="V8931" s="19">
        <f>IF($B8931="","",TEXT($B8931,"0000"))</f>
        <v/>
      </c>
      <c r="W8931" s="19">
        <f>IF($I8931="","",IF(ISNUMBER($I8931),TEXT($I8931,"0"),$I8931))</f>
        <v/>
      </c>
    </row>
    <row r="8932">
      <c r="B8932" s="25" t="n"/>
      <c r="I8932" s="25" t="n"/>
      <c r="U8932" s="19">
        <f>IF($V8932&lt;&gt;'設定'!$C$4,N(U8931),IF(OR(NOT(COUNTIF('商品マスタ'!$B$6:$B$1005,$W8932)=0),COUNTIFS('①在庫を貼る'!$V$6:$V$10005,$V8932,'①在庫を貼る'!$W$6:$W$10005,$W8932)+COUNTIFS('月1回_1ヶ月前の在庫'!$V$6:$V$10005,$V8932,'月1回_1ヶ月前の在庫'!$W$6:$W$10005,$W8932)&gt;0),N(U8931),N(U8931)+1))</f>
        <v/>
      </c>
      <c r="V8932" s="19">
        <f>IF($B8932="","",TEXT($B8932,"0000"))</f>
        <v/>
      </c>
      <c r="W8932" s="19">
        <f>IF($I8932="","",IF(ISNUMBER($I8932),TEXT($I8932,"0"),$I8932))</f>
        <v/>
      </c>
    </row>
    <row r="8933">
      <c r="B8933" s="25" t="n"/>
      <c r="I8933" s="25" t="n"/>
      <c r="U8933" s="19">
        <f>IF($V8933&lt;&gt;'設定'!$C$4,N(U8932),IF(OR(NOT(COUNTIF('商品マスタ'!$B$6:$B$1005,$W8933)=0),COUNTIFS('①在庫を貼る'!$V$6:$V$10005,$V8933,'①在庫を貼る'!$W$6:$W$10005,$W8933)+COUNTIFS('月1回_1ヶ月前の在庫'!$V$6:$V$10005,$V8933,'月1回_1ヶ月前の在庫'!$W$6:$W$10005,$W8933)&gt;0),N(U8932),N(U8932)+1))</f>
        <v/>
      </c>
      <c r="V8933" s="19">
        <f>IF($B8933="","",TEXT($B8933,"0000"))</f>
        <v/>
      </c>
      <c r="W8933" s="19">
        <f>IF($I8933="","",IF(ISNUMBER($I8933),TEXT($I8933,"0"),$I8933))</f>
        <v/>
      </c>
    </row>
    <row r="8934">
      <c r="B8934" s="25" t="n"/>
      <c r="I8934" s="25" t="n"/>
      <c r="U8934" s="19">
        <f>IF($V8934&lt;&gt;'設定'!$C$4,N(U8933),IF(OR(NOT(COUNTIF('商品マスタ'!$B$6:$B$1005,$W8934)=0),COUNTIFS('①在庫を貼る'!$V$6:$V$10005,$V8934,'①在庫を貼る'!$W$6:$W$10005,$W8934)+COUNTIFS('月1回_1ヶ月前の在庫'!$V$6:$V$10005,$V8934,'月1回_1ヶ月前の在庫'!$W$6:$W$10005,$W8934)&gt;0),N(U8933),N(U8933)+1))</f>
        <v/>
      </c>
      <c r="V8934" s="19">
        <f>IF($B8934="","",TEXT($B8934,"0000"))</f>
        <v/>
      </c>
      <c r="W8934" s="19">
        <f>IF($I8934="","",IF(ISNUMBER($I8934),TEXT($I8934,"0"),$I8934))</f>
        <v/>
      </c>
    </row>
    <row r="8935">
      <c r="B8935" s="25" t="n"/>
      <c r="I8935" s="25" t="n"/>
      <c r="U8935" s="19">
        <f>IF($V8935&lt;&gt;'設定'!$C$4,N(U8934),IF(OR(NOT(COUNTIF('商品マスタ'!$B$6:$B$1005,$W8935)=0),COUNTIFS('①在庫を貼る'!$V$6:$V$10005,$V8935,'①在庫を貼る'!$W$6:$W$10005,$W8935)+COUNTIFS('月1回_1ヶ月前の在庫'!$V$6:$V$10005,$V8935,'月1回_1ヶ月前の在庫'!$W$6:$W$10005,$W8935)&gt;0),N(U8934),N(U8934)+1))</f>
        <v/>
      </c>
      <c r="V8935" s="19">
        <f>IF($B8935="","",TEXT($B8935,"0000"))</f>
        <v/>
      </c>
      <c r="W8935" s="19">
        <f>IF($I8935="","",IF(ISNUMBER($I8935),TEXT($I8935,"0"),$I8935))</f>
        <v/>
      </c>
    </row>
    <row r="8936">
      <c r="B8936" s="25" t="n"/>
      <c r="I8936" s="25" t="n"/>
      <c r="U8936" s="19">
        <f>IF($V8936&lt;&gt;'設定'!$C$4,N(U8935),IF(OR(NOT(COUNTIF('商品マスタ'!$B$6:$B$1005,$W8936)=0),COUNTIFS('①在庫を貼る'!$V$6:$V$10005,$V8936,'①在庫を貼る'!$W$6:$W$10005,$W8936)+COUNTIFS('月1回_1ヶ月前の在庫'!$V$6:$V$10005,$V8936,'月1回_1ヶ月前の在庫'!$W$6:$W$10005,$W8936)&gt;0),N(U8935),N(U8935)+1))</f>
        <v/>
      </c>
      <c r="V8936" s="19">
        <f>IF($B8936="","",TEXT($B8936,"0000"))</f>
        <v/>
      </c>
      <c r="W8936" s="19">
        <f>IF($I8936="","",IF(ISNUMBER($I8936),TEXT($I8936,"0"),$I8936))</f>
        <v/>
      </c>
    </row>
    <row r="8937">
      <c r="B8937" s="25" t="n"/>
      <c r="I8937" s="25" t="n"/>
      <c r="U8937" s="19">
        <f>IF($V8937&lt;&gt;'設定'!$C$4,N(U8936),IF(OR(NOT(COUNTIF('商品マスタ'!$B$6:$B$1005,$W8937)=0),COUNTIFS('①在庫を貼る'!$V$6:$V$10005,$V8937,'①在庫を貼る'!$W$6:$W$10005,$W8937)+COUNTIFS('月1回_1ヶ月前の在庫'!$V$6:$V$10005,$V8937,'月1回_1ヶ月前の在庫'!$W$6:$W$10005,$W8937)&gt;0),N(U8936),N(U8936)+1))</f>
        <v/>
      </c>
      <c r="V8937" s="19">
        <f>IF($B8937="","",TEXT($B8937,"0000"))</f>
        <v/>
      </c>
      <c r="W8937" s="19">
        <f>IF($I8937="","",IF(ISNUMBER($I8937),TEXT($I8937,"0"),$I8937))</f>
        <v/>
      </c>
    </row>
    <row r="8938">
      <c r="B8938" s="25" t="n"/>
      <c r="I8938" s="25" t="n"/>
      <c r="U8938" s="19">
        <f>IF($V8938&lt;&gt;'設定'!$C$4,N(U8937),IF(OR(NOT(COUNTIF('商品マスタ'!$B$6:$B$1005,$W8938)=0),COUNTIFS('①在庫を貼る'!$V$6:$V$10005,$V8938,'①在庫を貼る'!$W$6:$W$10005,$W8938)+COUNTIFS('月1回_1ヶ月前の在庫'!$V$6:$V$10005,$V8938,'月1回_1ヶ月前の在庫'!$W$6:$W$10005,$W8938)&gt;0),N(U8937),N(U8937)+1))</f>
        <v/>
      </c>
      <c r="V8938" s="19">
        <f>IF($B8938="","",TEXT($B8938,"0000"))</f>
        <v/>
      </c>
      <c r="W8938" s="19">
        <f>IF($I8938="","",IF(ISNUMBER($I8938),TEXT($I8938,"0"),$I8938))</f>
        <v/>
      </c>
    </row>
    <row r="8939">
      <c r="B8939" s="25" t="n"/>
      <c r="I8939" s="25" t="n"/>
      <c r="U8939" s="19">
        <f>IF($V8939&lt;&gt;'設定'!$C$4,N(U8938),IF(OR(NOT(COUNTIF('商品マスタ'!$B$6:$B$1005,$W8939)=0),COUNTIFS('①在庫を貼る'!$V$6:$V$10005,$V8939,'①在庫を貼る'!$W$6:$W$10005,$W8939)+COUNTIFS('月1回_1ヶ月前の在庫'!$V$6:$V$10005,$V8939,'月1回_1ヶ月前の在庫'!$W$6:$W$10005,$W8939)&gt;0),N(U8938),N(U8938)+1))</f>
        <v/>
      </c>
      <c r="V8939" s="19">
        <f>IF($B8939="","",TEXT($B8939,"0000"))</f>
        <v/>
      </c>
      <c r="W8939" s="19">
        <f>IF($I8939="","",IF(ISNUMBER($I8939),TEXT($I8939,"0"),$I8939))</f>
        <v/>
      </c>
    </row>
    <row r="8940">
      <c r="B8940" s="25" t="n"/>
      <c r="I8940" s="25" t="n"/>
      <c r="U8940" s="19">
        <f>IF($V8940&lt;&gt;'設定'!$C$4,N(U8939),IF(OR(NOT(COUNTIF('商品マスタ'!$B$6:$B$1005,$W8940)=0),COUNTIFS('①在庫を貼る'!$V$6:$V$10005,$V8940,'①在庫を貼る'!$W$6:$W$10005,$W8940)+COUNTIFS('月1回_1ヶ月前の在庫'!$V$6:$V$10005,$V8940,'月1回_1ヶ月前の在庫'!$W$6:$W$10005,$W8940)&gt;0),N(U8939),N(U8939)+1))</f>
        <v/>
      </c>
      <c r="V8940" s="19">
        <f>IF($B8940="","",TEXT($B8940,"0000"))</f>
        <v/>
      </c>
      <c r="W8940" s="19">
        <f>IF($I8940="","",IF(ISNUMBER($I8940),TEXT($I8940,"0"),$I8940))</f>
        <v/>
      </c>
    </row>
    <row r="8941">
      <c r="B8941" s="25" t="n"/>
      <c r="I8941" s="25" t="n"/>
      <c r="U8941" s="19">
        <f>IF($V8941&lt;&gt;'設定'!$C$4,N(U8940),IF(OR(NOT(COUNTIF('商品マスタ'!$B$6:$B$1005,$W8941)=0),COUNTIFS('①在庫を貼る'!$V$6:$V$10005,$V8941,'①在庫を貼る'!$W$6:$W$10005,$W8941)+COUNTIFS('月1回_1ヶ月前の在庫'!$V$6:$V$10005,$V8941,'月1回_1ヶ月前の在庫'!$W$6:$W$10005,$W8941)&gt;0),N(U8940),N(U8940)+1))</f>
        <v/>
      </c>
      <c r="V8941" s="19">
        <f>IF($B8941="","",TEXT($B8941,"0000"))</f>
        <v/>
      </c>
      <c r="W8941" s="19">
        <f>IF($I8941="","",IF(ISNUMBER($I8941),TEXT($I8941,"0"),$I8941))</f>
        <v/>
      </c>
    </row>
    <row r="8942">
      <c r="B8942" s="25" t="n"/>
      <c r="I8942" s="25" t="n"/>
      <c r="U8942" s="19">
        <f>IF($V8942&lt;&gt;'設定'!$C$4,N(U8941),IF(OR(NOT(COUNTIF('商品マスタ'!$B$6:$B$1005,$W8942)=0),COUNTIFS('①在庫を貼る'!$V$6:$V$10005,$V8942,'①在庫を貼る'!$W$6:$W$10005,$W8942)+COUNTIFS('月1回_1ヶ月前の在庫'!$V$6:$V$10005,$V8942,'月1回_1ヶ月前の在庫'!$W$6:$W$10005,$W8942)&gt;0),N(U8941),N(U8941)+1))</f>
        <v/>
      </c>
      <c r="V8942" s="19">
        <f>IF($B8942="","",TEXT($B8942,"0000"))</f>
        <v/>
      </c>
      <c r="W8942" s="19">
        <f>IF($I8942="","",IF(ISNUMBER($I8942),TEXT($I8942,"0"),$I8942))</f>
        <v/>
      </c>
    </row>
    <row r="8943">
      <c r="B8943" s="25" t="n"/>
      <c r="I8943" s="25" t="n"/>
      <c r="U8943" s="19">
        <f>IF($V8943&lt;&gt;'設定'!$C$4,N(U8942),IF(OR(NOT(COUNTIF('商品マスタ'!$B$6:$B$1005,$W8943)=0),COUNTIFS('①在庫を貼る'!$V$6:$V$10005,$V8943,'①在庫を貼る'!$W$6:$W$10005,$W8943)+COUNTIFS('月1回_1ヶ月前の在庫'!$V$6:$V$10005,$V8943,'月1回_1ヶ月前の在庫'!$W$6:$W$10005,$W8943)&gt;0),N(U8942),N(U8942)+1))</f>
        <v/>
      </c>
      <c r="V8943" s="19">
        <f>IF($B8943="","",TEXT($B8943,"0000"))</f>
        <v/>
      </c>
      <c r="W8943" s="19">
        <f>IF($I8943="","",IF(ISNUMBER($I8943),TEXT($I8943,"0"),$I8943))</f>
        <v/>
      </c>
    </row>
    <row r="8944">
      <c r="B8944" s="25" t="n"/>
      <c r="I8944" s="25" t="n"/>
      <c r="U8944" s="19">
        <f>IF($V8944&lt;&gt;'設定'!$C$4,N(U8943),IF(OR(NOT(COUNTIF('商品マスタ'!$B$6:$B$1005,$W8944)=0),COUNTIFS('①在庫を貼る'!$V$6:$V$10005,$V8944,'①在庫を貼る'!$W$6:$W$10005,$W8944)+COUNTIFS('月1回_1ヶ月前の在庫'!$V$6:$V$10005,$V8944,'月1回_1ヶ月前の在庫'!$W$6:$W$10005,$W8944)&gt;0),N(U8943),N(U8943)+1))</f>
        <v/>
      </c>
      <c r="V8944" s="19">
        <f>IF($B8944="","",TEXT($B8944,"0000"))</f>
        <v/>
      </c>
      <c r="W8944" s="19">
        <f>IF($I8944="","",IF(ISNUMBER($I8944),TEXT($I8944,"0"),$I8944))</f>
        <v/>
      </c>
    </row>
    <row r="8945">
      <c r="B8945" s="25" t="n"/>
      <c r="I8945" s="25" t="n"/>
      <c r="U8945" s="19">
        <f>IF($V8945&lt;&gt;'設定'!$C$4,N(U8944),IF(OR(NOT(COUNTIF('商品マスタ'!$B$6:$B$1005,$W8945)=0),COUNTIFS('①在庫を貼る'!$V$6:$V$10005,$V8945,'①在庫を貼る'!$W$6:$W$10005,$W8945)+COUNTIFS('月1回_1ヶ月前の在庫'!$V$6:$V$10005,$V8945,'月1回_1ヶ月前の在庫'!$W$6:$W$10005,$W8945)&gt;0),N(U8944),N(U8944)+1))</f>
        <v/>
      </c>
      <c r="V8945" s="19">
        <f>IF($B8945="","",TEXT($B8945,"0000"))</f>
        <v/>
      </c>
      <c r="W8945" s="19">
        <f>IF($I8945="","",IF(ISNUMBER($I8945),TEXT($I8945,"0"),$I8945))</f>
        <v/>
      </c>
    </row>
    <row r="8946">
      <c r="B8946" s="25" t="n"/>
      <c r="I8946" s="25" t="n"/>
      <c r="U8946" s="19">
        <f>IF($V8946&lt;&gt;'設定'!$C$4,N(U8945),IF(OR(NOT(COUNTIF('商品マスタ'!$B$6:$B$1005,$W8946)=0),COUNTIFS('①在庫を貼る'!$V$6:$V$10005,$V8946,'①在庫を貼る'!$W$6:$W$10005,$W8946)+COUNTIFS('月1回_1ヶ月前の在庫'!$V$6:$V$10005,$V8946,'月1回_1ヶ月前の在庫'!$W$6:$W$10005,$W8946)&gt;0),N(U8945),N(U8945)+1))</f>
        <v/>
      </c>
      <c r="V8946" s="19">
        <f>IF($B8946="","",TEXT($B8946,"0000"))</f>
        <v/>
      </c>
      <c r="W8946" s="19">
        <f>IF($I8946="","",IF(ISNUMBER($I8946),TEXT($I8946,"0"),$I8946))</f>
        <v/>
      </c>
    </row>
    <row r="8947">
      <c r="B8947" s="25" t="n"/>
      <c r="I8947" s="25" t="n"/>
      <c r="U8947" s="19">
        <f>IF($V8947&lt;&gt;'設定'!$C$4,N(U8946),IF(OR(NOT(COUNTIF('商品マスタ'!$B$6:$B$1005,$W8947)=0),COUNTIFS('①在庫を貼る'!$V$6:$V$10005,$V8947,'①在庫を貼る'!$W$6:$W$10005,$W8947)+COUNTIFS('月1回_1ヶ月前の在庫'!$V$6:$V$10005,$V8947,'月1回_1ヶ月前の在庫'!$W$6:$W$10005,$W8947)&gt;0),N(U8946),N(U8946)+1))</f>
        <v/>
      </c>
      <c r="V8947" s="19">
        <f>IF($B8947="","",TEXT($B8947,"0000"))</f>
        <v/>
      </c>
      <c r="W8947" s="19">
        <f>IF($I8947="","",IF(ISNUMBER($I8947),TEXT($I8947,"0"),$I8947))</f>
        <v/>
      </c>
    </row>
    <row r="8948">
      <c r="B8948" s="25" t="n"/>
      <c r="I8948" s="25" t="n"/>
      <c r="U8948" s="19">
        <f>IF($V8948&lt;&gt;'設定'!$C$4,N(U8947),IF(OR(NOT(COUNTIF('商品マスタ'!$B$6:$B$1005,$W8948)=0),COUNTIFS('①在庫を貼る'!$V$6:$V$10005,$V8948,'①在庫を貼る'!$W$6:$W$10005,$W8948)+COUNTIFS('月1回_1ヶ月前の在庫'!$V$6:$V$10005,$V8948,'月1回_1ヶ月前の在庫'!$W$6:$W$10005,$W8948)&gt;0),N(U8947),N(U8947)+1))</f>
        <v/>
      </c>
      <c r="V8948" s="19">
        <f>IF($B8948="","",TEXT($B8948,"0000"))</f>
        <v/>
      </c>
      <c r="W8948" s="19">
        <f>IF($I8948="","",IF(ISNUMBER($I8948),TEXT($I8948,"0"),$I8948))</f>
        <v/>
      </c>
    </row>
    <row r="8949">
      <c r="B8949" s="25" t="n"/>
      <c r="I8949" s="25" t="n"/>
      <c r="U8949" s="19">
        <f>IF($V8949&lt;&gt;'設定'!$C$4,N(U8948),IF(OR(NOT(COUNTIF('商品マスタ'!$B$6:$B$1005,$W8949)=0),COUNTIFS('①在庫を貼る'!$V$6:$V$10005,$V8949,'①在庫を貼る'!$W$6:$W$10005,$W8949)+COUNTIFS('月1回_1ヶ月前の在庫'!$V$6:$V$10005,$V8949,'月1回_1ヶ月前の在庫'!$W$6:$W$10005,$W8949)&gt;0),N(U8948),N(U8948)+1))</f>
        <v/>
      </c>
      <c r="V8949" s="19">
        <f>IF($B8949="","",TEXT($B8949,"0000"))</f>
        <v/>
      </c>
      <c r="W8949" s="19">
        <f>IF($I8949="","",IF(ISNUMBER($I8949),TEXT($I8949,"0"),$I8949))</f>
        <v/>
      </c>
    </row>
    <row r="8950">
      <c r="B8950" s="25" t="n"/>
      <c r="I8950" s="25" t="n"/>
      <c r="U8950" s="19">
        <f>IF($V8950&lt;&gt;'設定'!$C$4,N(U8949),IF(OR(NOT(COUNTIF('商品マスタ'!$B$6:$B$1005,$W8950)=0),COUNTIFS('①在庫を貼る'!$V$6:$V$10005,$V8950,'①在庫を貼る'!$W$6:$W$10005,$W8950)+COUNTIFS('月1回_1ヶ月前の在庫'!$V$6:$V$10005,$V8950,'月1回_1ヶ月前の在庫'!$W$6:$W$10005,$W8950)&gt;0),N(U8949),N(U8949)+1))</f>
        <v/>
      </c>
      <c r="V8950" s="19">
        <f>IF($B8950="","",TEXT($B8950,"0000"))</f>
        <v/>
      </c>
      <c r="W8950" s="19">
        <f>IF($I8950="","",IF(ISNUMBER($I8950),TEXT($I8950,"0"),$I8950))</f>
        <v/>
      </c>
    </row>
    <row r="8951">
      <c r="B8951" s="25" t="n"/>
      <c r="I8951" s="25" t="n"/>
      <c r="U8951" s="19">
        <f>IF($V8951&lt;&gt;'設定'!$C$4,N(U8950),IF(OR(NOT(COUNTIF('商品マスタ'!$B$6:$B$1005,$W8951)=0),COUNTIFS('①在庫を貼る'!$V$6:$V$10005,$V8951,'①在庫を貼る'!$W$6:$W$10005,$W8951)+COUNTIFS('月1回_1ヶ月前の在庫'!$V$6:$V$10005,$V8951,'月1回_1ヶ月前の在庫'!$W$6:$W$10005,$W8951)&gt;0),N(U8950),N(U8950)+1))</f>
        <v/>
      </c>
      <c r="V8951" s="19">
        <f>IF($B8951="","",TEXT($B8951,"0000"))</f>
        <v/>
      </c>
      <c r="W8951" s="19">
        <f>IF($I8951="","",IF(ISNUMBER($I8951),TEXT($I8951,"0"),$I8951))</f>
        <v/>
      </c>
    </row>
    <row r="8952">
      <c r="B8952" s="25" t="n"/>
      <c r="I8952" s="25" t="n"/>
      <c r="U8952" s="19">
        <f>IF($V8952&lt;&gt;'設定'!$C$4,N(U8951),IF(OR(NOT(COUNTIF('商品マスタ'!$B$6:$B$1005,$W8952)=0),COUNTIFS('①在庫を貼る'!$V$6:$V$10005,$V8952,'①在庫を貼る'!$W$6:$W$10005,$W8952)+COUNTIFS('月1回_1ヶ月前の在庫'!$V$6:$V$10005,$V8952,'月1回_1ヶ月前の在庫'!$W$6:$W$10005,$W8952)&gt;0),N(U8951),N(U8951)+1))</f>
        <v/>
      </c>
      <c r="V8952" s="19">
        <f>IF($B8952="","",TEXT($B8952,"0000"))</f>
        <v/>
      </c>
      <c r="W8952" s="19">
        <f>IF($I8952="","",IF(ISNUMBER($I8952),TEXT($I8952,"0"),$I8952))</f>
        <v/>
      </c>
    </row>
    <row r="8953">
      <c r="B8953" s="25" t="n"/>
      <c r="I8953" s="25" t="n"/>
      <c r="U8953" s="19">
        <f>IF($V8953&lt;&gt;'設定'!$C$4,N(U8952),IF(OR(NOT(COUNTIF('商品マスタ'!$B$6:$B$1005,$W8953)=0),COUNTIFS('①在庫を貼る'!$V$6:$V$10005,$V8953,'①在庫を貼る'!$W$6:$W$10005,$W8953)+COUNTIFS('月1回_1ヶ月前の在庫'!$V$6:$V$10005,$V8953,'月1回_1ヶ月前の在庫'!$W$6:$W$10005,$W8953)&gt;0),N(U8952),N(U8952)+1))</f>
        <v/>
      </c>
      <c r="V8953" s="19">
        <f>IF($B8953="","",TEXT($B8953,"0000"))</f>
        <v/>
      </c>
      <c r="W8953" s="19">
        <f>IF($I8953="","",IF(ISNUMBER($I8953),TEXT($I8953,"0"),$I8953))</f>
        <v/>
      </c>
    </row>
    <row r="8954">
      <c r="B8954" s="25" t="n"/>
      <c r="I8954" s="25" t="n"/>
      <c r="U8954" s="19">
        <f>IF($V8954&lt;&gt;'設定'!$C$4,N(U8953),IF(OR(NOT(COUNTIF('商品マスタ'!$B$6:$B$1005,$W8954)=0),COUNTIFS('①在庫を貼る'!$V$6:$V$10005,$V8954,'①在庫を貼る'!$W$6:$W$10005,$W8954)+COUNTIFS('月1回_1ヶ月前の在庫'!$V$6:$V$10005,$V8954,'月1回_1ヶ月前の在庫'!$W$6:$W$10005,$W8954)&gt;0),N(U8953),N(U8953)+1))</f>
        <v/>
      </c>
      <c r="V8954" s="19">
        <f>IF($B8954="","",TEXT($B8954,"0000"))</f>
        <v/>
      </c>
      <c r="W8954" s="19">
        <f>IF($I8954="","",IF(ISNUMBER($I8954),TEXT($I8954,"0"),$I8954))</f>
        <v/>
      </c>
    </row>
    <row r="8955">
      <c r="B8955" s="25" t="n"/>
      <c r="I8955" s="25" t="n"/>
      <c r="U8955" s="19">
        <f>IF($V8955&lt;&gt;'設定'!$C$4,N(U8954),IF(OR(NOT(COUNTIF('商品マスタ'!$B$6:$B$1005,$W8955)=0),COUNTIFS('①在庫を貼る'!$V$6:$V$10005,$V8955,'①在庫を貼る'!$W$6:$W$10005,$W8955)+COUNTIFS('月1回_1ヶ月前の在庫'!$V$6:$V$10005,$V8955,'月1回_1ヶ月前の在庫'!$W$6:$W$10005,$W8955)&gt;0),N(U8954),N(U8954)+1))</f>
        <v/>
      </c>
      <c r="V8955" s="19">
        <f>IF($B8955="","",TEXT($B8955,"0000"))</f>
        <v/>
      </c>
      <c r="W8955" s="19">
        <f>IF($I8955="","",IF(ISNUMBER($I8955),TEXT($I8955,"0"),$I8955))</f>
        <v/>
      </c>
    </row>
    <row r="8956">
      <c r="B8956" s="25" t="n"/>
      <c r="I8956" s="25" t="n"/>
      <c r="U8956" s="19">
        <f>IF($V8956&lt;&gt;'設定'!$C$4,N(U8955),IF(OR(NOT(COUNTIF('商品マスタ'!$B$6:$B$1005,$W8956)=0),COUNTIFS('①在庫を貼る'!$V$6:$V$10005,$V8956,'①在庫を貼る'!$W$6:$W$10005,$W8956)+COUNTIFS('月1回_1ヶ月前の在庫'!$V$6:$V$10005,$V8956,'月1回_1ヶ月前の在庫'!$W$6:$W$10005,$W8956)&gt;0),N(U8955),N(U8955)+1))</f>
        <v/>
      </c>
      <c r="V8956" s="19">
        <f>IF($B8956="","",TEXT($B8956,"0000"))</f>
        <v/>
      </c>
      <c r="W8956" s="19">
        <f>IF($I8956="","",IF(ISNUMBER($I8956),TEXT($I8956,"0"),$I8956))</f>
        <v/>
      </c>
    </row>
    <row r="8957">
      <c r="B8957" s="25" t="n"/>
      <c r="I8957" s="25" t="n"/>
      <c r="U8957" s="19">
        <f>IF($V8957&lt;&gt;'設定'!$C$4,N(U8956),IF(OR(NOT(COUNTIF('商品マスタ'!$B$6:$B$1005,$W8957)=0),COUNTIFS('①在庫を貼る'!$V$6:$V$10005,$V8957,'①在庫を貼る'!$W$6:$W$10005,$W8957)+COUNTIFS('月1回_1ヶ月前の在庫'!$V$6:$V$10005,$V8957,'月1回_1ヶ月前の在庫'!$W$6:$W$10005,$W8957)&gt;0),N(U8956),N(U8956)+1))</f>
        <v/>
      </c>
      <c r="V8957" s="19">
        <f>IF($B8957="","",TEXT($B8957,"0000"))</f>
        <v/>
      </c>
      <c r="W8957" s="19">
        <f>IF($I8957="","",IF(ISNUMBER($I8957),TEXT($I8957,"0"),$I8957))</f>
        <v/>
      </c>
    </row>
    <row r="8958">
      <c r="B8958" s="25" t="n"/>
      <c r="I8958" s="25" t="n"/>
      <c r="U8958" s="19">
        <f>IF($V8958&lt;&gt;'設定'!$C$4,N(U8957),IF(OR(NOT(COUNTIF('商品マスタ'!$B$6:$B$1005,$W8958)=0),COUNTIFS('①在庫を貼る'!$V$6:$V$10005,$V8958,'①在庫を貼る'!$W$6:$W$10005,$W8958)+COUNTIFS('月1回_1ヶ月前の在庫'!$V$6:$V$10005,$V8958,'月1回_1ヶ月前の在庫'!$W$6:$W$10005,$W8958)&gt;0),N(U8957),N(U8957)+1))</f>
        <v/>
      </c>
      <c r="V8958" s="19">
        <f>IF($B8958="","",TEXT($B8958,"0000"))</f>
        <v/>
      </c>
      <c r="W8958" s="19">
        <f>IF($I8958="","",IF(ISNUMBER($I8958),TEXT($I8958,"0"),$I8958))</f>
        <v/>
      </c>
    </row>
    <row r="8959">
      <c r="B8959" s="25" t="n"/>
      <c r="I8959" s="25" t="n"/>
      <c r="U8959" s="19">
        <f>IF($V8959&lt;&gt;'設定'!$C$4,N(U8958),IF(OR(NOT(COUNTIF('商品マスタ'!$B$6:$B$1005,$W8959)=0),COUNTIFS('①在庫を貼る'!$V$6:$V$10005,$V8959,'①在庫を貼る'!$W$6:$W$10005,$W8959)+COUNTIFS('月1回_1ヶ月前の在庫'!$V$6:$V$10005,$V8959,'月1回_1ヶ月前の在庫'!$W$6:$W$10005,$W8959)&gt;0),N(U8958),N(U8958)+1))</f>
        <v/>
      </c>
      <c r="V8959" s="19">
        <f>IF($B8959="","",TEXT($B8959,"0000"))</f>
        <v/>
      </c>
      <c r="W8959" s="19">
        <f>IF($I8959="","",IF(ISNUMBER($I8959),TEXT($I8959,"0"),$I8959))</f>
        <v/>
      </c>
    </row>
    <row r="8960">
      <c r="B8960" s="25" t="n"/>
      <c r="I8960" s="25" t="n"/>
      <c r="U8960" s="19">
        <f>IF($V8960&lt;&gt;'設定'!$C$4,N(U8959),IF(OR(NOT(COUNTIF('商品マスタ'!$B$6:$B$1005,$W8960)=0),COUNTIFS('①在庫を貼る'!$V$6:$V$10005,$V8960,'①在庫を貼る'!$W$6:$W$10005,$W8960)+COUNTIFS('月1回_1ヶ月前の在庫'!$V$6:$V$10005,$V8960,'月1回_1ヶ月前の在庫'!$W$6:$W$10005,$W8960)&gt;0),N(U8959),N(U8959)+1))</f>
        <v/>
      </c>
      <c r="V8960" s="19">
        <f>IF($B8960="","",TEXT($B8960,"0000"))</f>
        <v/>
      </c>
      <c r="W8960" s="19">
        <f>IF($I8960="","",IF(ISNUMBER($I8960),TEXT($I8960,"0"),$I8960))</f>
        <v/>
      </c>
    </row>
    <row r="8961">
      <c r="B8961" s="25" t="n"/>
      <c r="I8961" s="25" t="n"/>
      <c r="U8961" s="19">
        <f>IF($V8961&lt;&gt;'設定'!$C$4,N(U8960),IF(OR(NOT(COUNTIF('商品マスタ'!$B$6:$B$1005,$W8961)=0),COUNTIFS('①在庫を貼る'!$V$6:$V$10005,$V8961,'①在庫を貼る'!$W$6:$W$10005,$W8961)+COUNTIFS('月1回_1ヶ月前の在庫'!$V$6:$V$10005,$V8961,'月1回_1ヶ月前の在庫'!$W$6:$W$10005,$W8961)&gt;0),N(U8960),N(U8960)+1))</f>
        <v/>
      </c>
      <c r="V8961" s="19">
        <f>IF($B8961="","",TEXT($B8961,"0000"))</f>
        <v/>
      </c>
      <c r="W8961" s="19">
        <f>IF($I8961="","",IF(ISNUMBER($I8961),TEXT($I8961,"0"),$I8961))</f>
        <v/>
      </c>
    </row>
    <row r="8962">
      <c r="B8962" s="25" t="n"/>
      <c r="I8962" s="25" t="n"/>
      <c r="U8962" s="19">
        <f>IF($V8962&lt;&gt;'設定'!$C$4,N(U8961),IF(OR(NOT(COUNTIF('商品マスタ'!$B$6:$B$1005,$W8962)=0),COUNTIFS('①在庫を貼る'!$V$6:$V$10005,$V8962,'①在庫を貼る'!$W$6:$W$10005,$W8962)+COUNTIFS('月1回_1ヶ月前の在庫'!$V$6:$V$10005,$V8962,'月1回_1ヶ月前の在庫'!$W$6:$W$10005,$W8962)&gt;0),N(U8961),N(U8961)+1))</f>
        <v/>
      </c>
      <c r="V8962" s="19">
        <f>IF($B8962="","",TEXT($B8962,"0000"))</f>
        <v/>
      </c>
      <c r="W8962" s="19">
        <f>IF($I8962="","",IF(ISNUMBER($I8962),TEXT($I8962,"0"),$I8962))</f>
        <v/>
      </c>
    </row>
    <row r="8963">
      <c r="B8963" s="25" t="n"/>
      <c r="I8963" s="25" t="n"/>
      <c r="U8963" s="19">
        <f>IF($V8963&lt;&gt;'設定'!$C$4,N(U8962),IF(OR(NOT(COUNTIF('商品マスタ'!$B$6:$B$1005,$W8963)=0),COUNTIFS('①在庫を貼る'!$V$6:$V$10005,$V8963,'①在庫を貼る'!$W$6:$W$10005,$W8963)+COUNTIFS('月1回_1ヶ月前の在庫'!$V$6:$V$10005,$V8963,'月1回_1ヶ月前の在庫'!$W$6:$W$10005,$W8963)&gt;0),N(U8962),N(U8962)+1))</f>
        <v/>
      </c>
      <c r="V8963" s="19">
        <f>IF($B8963="","",TEXT($B8963,"0000"))</f>
        <v/>
      </c>
      <c r="W8963" s="19">
        <f>IF($I8963="","",IF(ISNUMBER($I8963),TEXT($I8963,"0"),$I8963))</f>
        <v/>
      </c>
    </row>
    <row r="8964">
      <c r="B8964" s="25" t="n"/>
      <c r="I8964" s="25" t="n"/>
      <c r="U8964" s="19">
        <f>IF($V8964&lt;&gt;'設定'!$C$4,N(U8963),IF(OR(NOT(COUNTIF('商品マスタ'!$B$6:$B$1005,$W8964)=0),COUNTIFS('①在庫を貼る'!$V$6:$V$10005,$V8964,'①在庫を貼る'!$W$6:$W$10005,$W8964)+COUNTIFS('月1回_1ヶ月前の在庫'!$V$6:$V$10005,$V8964,'月1回_1ヶ月前の在庫'!$W$6:$W$10005,$W8964)&gt;0),N(U8963),N(U8963)+1))</f>
        <v/>
      </c>
      <c r="V8964" s="19">
        <f>IF($B8964="","",TEXT($B8964,"0000"))</f>
        <v/>
      </c>
      <c r="W8964" s="19">
        <f>IF($I8964="","",IF(ISNUMBER($I8964),TEXT($I8964,"0"),$I8964))</f>
        <v/>
      </c>
    </row>
    <row r="8965">
      <c r="B8965" s="25" t="n"/>
      <c r="I8965" s="25" t="n"/>
      <c r="U8965" s="19">
        <f>IF($V8965&lt;&gt;'設定'!$C$4,N(U8964),IF(OR(NOT(COUNTIF('商品マスタ'!$B$6:$B$1005,$W8965)=0),COUNTIFS('①在庫を貼る'!$V$6:$V$10005,$V8965,'①在庫を貼る'!$W$6:$W$10005,$W8965)+COUNTIFS('月1回_1ヶ月前の在庫'!$V$6:$V$10005,$V8965,'月1回_1ヶ月前の在庫'!$W$6:$W$10005,$W8965)&gt;0),N(U8964),N(U8964)+1))</f>
        <v/>
      </c>
      <c r="V8965" s="19">
        <f>IF($B8965="","",TEXT($B8965,"0000"))</f>
        <v/>
      </c>
      <c r="W8965" s="19">
        <f>IF($I8965="","",IF(ISNUMBER($I8965),TEXT($I8965,"0"),$I8965))</f>
        <v/>
      </c>
    </row>
    <row r="8966">
      <c r="B8966" s="25" t="n"/>
      <c r="I8966" s="25" t="n"/>
      <c r="U8966" s="19">
        <f>IF($V8966&lt;&gt;'設定'!$C$4,N(U8965),IF(OR(NOT(COUNTIF('商品マスタ'!$B$6:$B$1005,$W8966)=0),COUNTIFS('①在庫を貼る'!$V$6:$V$10005,$V8966,'①在庫を貼る'!$W$6:$W$10005,$W8966)+COUNTIFS('月1回_1ヶ月前の在庫'!$V$6:$V$10005,$V8966,'月1回_1ヶ月前の在庫'!$W$6:$W$10005,$W8966)&gt;0),N(U8965),N(U8965)+1))</f>
        <v/>
      </c>
      <c r="V8966" s="19">
        <f>IF($B8966="","",TEXT($B8966,"0000"))</f>
        <v/>
      </c>
      <c r="W8966" s="19">
        <f>IF($I8966="","",IF(ISNUMBER($I8966),TEXT($I8966,"0"),$I8966))</f>
        <v/>
      </c>
    </row>
    <row r="8967">
      <c r="B8967" s="25" t="n"/>
      <c r="I8967" s="25" t="n"/>
      <c r="U8967" s="19">
        <f>IF($V8967&lt;&gt;'設定'!$C$4,N(U8966),IF(OR(NOT(COUNTIF('商品マスタ'!$B$6:$B$1005,$W8967)=0),COUNTIFS('①在庫を貼る'!$V$6:$V$10005,$V8967,'①在庫を貼る'!$W$6:$W$10005,$W8967)+COUNTIFS('月1回_1ヶ月前の在庫'!$V$6:$V$10005,$V8967,'月1回_1ヶ月前の在庫'!$W$6:$W$10005,$W8967)&gt;0),N(U8966),N(U8966)+1))</f>
        <v/>
      </c>
      <c r="V8967" s="19">
        <f>IF($B8967="","",TEXT($B8967,"0000"))</f>
        <v/>
      </c>
      <c r="W8967" s="19">
        <f>IF($I8967="","",IF(ISNUMBER($I8967),TEXT($I8967,"0"),$I8967))</f>
        <v/>
      </c>
    </row>
    <row r="8968">
      <c r="B8968" s="25" t="n"/>
      <c r="I8968" s="25" t="n"/>
      <c r="U8968" s="19">
        <f>IF($V8968&lt;&gt;'設定'!$C$4,N(U8967),IF(OR(NOT(COUNTIF('商品マスタ'!$B$6:$B$1005,$W8968)=0),COUNTIFS('①在庫を貼る'!$V$6:$V$10005,$V8968,'①在庫を貼る'!$W$6:$W$10005,$W8968)+COUNTIFS('月1回_1ヶ月前の在庫'!$V$6:$V$10005,$V8968,'月1回_1ヶ月前の在庫'!$W$6:$W$10005,$W8968)&gt;0),N(U8967),N(U8967)+1))</f>
        <v/>
      </c>
      <c r="V8968" s="19">
        <f>IF($B8968="","",TEXT($B8968,"0000"))</f>
        <v/>
      </c>
      <c r="W8968" s="19">
        <f>IF($I8968="","",IF(ISNUMBER($I8968),TEXT($I8968,"0"),$I8968))</f>
        <v/>
      </c>
    </row>
    <row r="8969">
      <c r="B8969" s="25" t="n"/>
      <c r="I8969" s="25" t="n"/>
      <c r="U8969" s="19">
        <f>IF($V8969&lt;&gt;'設定'!$C$4,N(U8968),IF(OR(NOT(COUNTIF('商品マスタ'!$B$6:$B$1005,$W8969)=0),COUNTIFS('①在庫を貼る'!$V$6:$V$10005,$V8969,'①在庫を貼る'!$W$6:$W$10005,$W8969)+COUNTIFS('月1回_1ヶ月前の在庫'!$V$6:$V$10005,$V8969,'月1回_1ヶ月前の在庫'!$W$6:$W$10005,$W8969)&gt;0),N(U8968),N(U8968)+1))</f>
        <v/>
      </c>
      <c r="V8969" s="19">
        <f>IF($B8969="","",TEXT($B8969,"0000"))</f>
        <v/>
      </c>
      <c r="W8969" s="19">
        <f>IF($I8969="","",IF(ISNUMBER($I8969),TEXT($I8969,"0"),$I8969))</f>
        <v/>
      </c>
    </row>
    <row r="8970">
      <c r="B8970" s="25" t="n"/>
      <c r="I8970" s="25" t="n"/>
      <c r="U8970" s="19">
        <f>IF($V8970&lt;&gt;'設定'!$C$4,N(U8969),IF(OR(NOT(COUNTIF('商品マスタ'!$B$6:$B$1005,$W8970)=0),COUNTIFS('①在庫を貼る'!$V$6:$V$10005,$V8970,'①在庫を貼る'!$W$6:$W$10005,$W8970)+COUNTIFS('月1回_1ヶ月前の在庫'!$V$6:$V$10005,$V8970,'月1回_1ヶ月前の在庫'!$W$6:$W$10005,$W8970)&gt;0),N(U8969),N(U8969)+1))</f>
        <v/>
      </c>
      <c r="V8970" s="19">
        <f>IF($B8970="","",TEXT($B8970,"0000"))</f>
        <v/>
      </c>
      <c r="W8970" s="19">
        <f>IF($I8970="","",IF(ISNUMBER($I8970),TEXT($I8970,"0"),$I8970))</f>
        <v/>
      </c>
    </row>
    <row r="8971">
      <c r="B8971" s="25" t="n"/>
      <c r="I8971" s="25" t="n"/>
      <c r="U8971" s="19">
        <f>IF($V8971&lt;&gt;'設定'!$C$4,N(U8970),IF(OR(NOT(COUNTIF('商品マスタ'!$B$6:$B$1005,$W8971)=0),COUNTIFS('①在庫を貼る'!$V$6:$V$10005,$V8971,'①在庫を貼る'!$W$6:$W$10005,$W8971)+COUNTIFS('月1回_1ヶ月前の在庫'!$V$6:$V$10005,$V8971,'月1回_1ヶ月前の在庫'!$W$6:$W$10005,$W8971)&gt;0),N(U8970),N(U8970)+1))</f>
        <v/>
      </c>
      <c r="V8971" s="19">
        <f>IF($B8971="","",TEXT($B8971,"0000"))</f>
        <v/>
      </c>
      <c r="W8971" s="19">
        <f>IF($I8971="","",IF(ISNUMBER($I8971),TEXT($I8971,"0"),$I8971))</f>
        <v/>
      </c>
    </row>
    <row r="8972">
      <c r="B8972" s="25" t="n"/>
      <c r="I8972" s="25" t="n"/>
      <c r="U8972" s="19">
        <f>IF($V8972&lt;&gt;'設定'!$C$4,N(U8971),IF(OR(NOT(COUNTIF('商品マスタ'!$B$6:$B$1005,$W8972)=0),COUNTIFS('①在庫を貼る'!$V$6:$V$10005,$V8972,'①在庫を貼る'!$W$6:$W$10005,$W8972)+COUNTIFS('月1回_1ヶ月前の在庫'!$V$6:$V$10005,$V8972,'月1回_1ヶ月前の在庫'!$W$6:$W$10005,$W8972)&gt;0),N(U8971),N(U8971)+1))</f>
        <v/>
      </c>
      <c r="V8972" s="19">
        <f>IF($B8972="","",TEXT($B8972,"0000"))</f>
        <v/>
      </c>
      <c r="W8972" s="19">
        <f>IF($I8972="","",IF(ISNUMBER($I8972),TEXT($I8972,"0"),$I8972))</f>
        <v/>
      </c>
    </row>
    <row r="8973">
      <c r="B8973" s="25" t="n"/>
      <c r="I8973" s="25" t="n"/>
      <c r="U8973" s="19">
        <f>IF($V8973&lt;&gt;'設定'!$C$4,N(U8972),IF(OR(NOT(COUNTIF('商品マスタ'!$B$6:$B$1005,$W8973)=0),COUNTIFS('①在庫を貼る'!$V$6:$V$10005,$V8973,'①在庫を貼る'!$W$6:$W$10005,$W8973)+COUNTIFS('月1回_1ヶ月前の在庫'!$V$6:$V$10005,$V8973,'月1回_1ヶ月前の在庫'!$W$6:$W$10005,$W8973)&gt;0),N(U8972),N(U8972)+1))</f>
        <v/>
      </c>
      <c r="V8973" s="19">
        <f>IF($B8973="","",TEXT($B8973,"0000"))</f>
        <v/>
      </c>
      <c r="W8973" s="19">
        <f>IF($I8973="","",IF(ISNUMBER($I8973),TEXT($I8973,"0"),$I8973))</f>
        <v/>
      </c>
    </row>
    <row r="8974">
      <c r="B8974" s="25" t="n"/>
      <c r="I8974" s="25" t="n"/>
      <c r="U8974" s="19">
        <f>IF($V8974&lt;&gt;'設定'!$C$4,N(U8973),IF(OR(NOT(COUNTIF('商品マスタ'!$B$6:$B$1005,$W8974)=0),COUNTIFS('①在庫を貼る'!$V$6:$V$10005,$V8974,'①在庫を貼る'!$W$6:$W$10005,$W8974)+COUNTIFS('月1回_1ヶ月前の在庫'!$V$6:$V$10005,$V8974,'月1回_1ヶ月前の在庫'!$W$6:$W$10005,$W8974)&gt;0),N(U8973),N(U8973)+1))</f>
        <v/>
      </c>
      <c r="V8974" s="19">
        <f>IF($B8974="","",TEXT($B8974,"0000"))</f>
        <v/>
      </c>
      <c r="W8974" s="19">
        <f>IF($I8974="","",IF(ISNUMBER($I8974),TEXT($I8974,"0"),$I8974))</f>
        <v/>
      </c>
    </row>
    <row r="8975">
      <c r="B8975" s="25" t="n"/>
      <c r="I8975" s="25" t="n"/>
      <c r="U8975" s="19">
        <f>IF($V8975&lt;&gt;'設定'!$C$4,N(U8974),IF(OR(NOT(COUNTIF('商品マスタ'!$B$6:$B$1005,$W8975)=0),COUNTIFS('①在庫を貼る'!$V$6:$V$10005,$V8975,'①在庫を貼る'!$W$6:$W$10005,$W8975)+COUNTIFS('月1回_1ヶ月前の在庫'!$V$6:$V$10005,$V8975,'月1回_1ヶ月前の在庫'!$W$6:$W$10005,$W8975)&gt;0),N(U8974),N(U8974)+1))</f>
        <v/>
      </c>
      <c r="V8975" s="19">
        <f>IF($B8975="","",TEXT($B8975,"0000"))</f>
        <v/>
      </c>
      <c r="W8975" s="19">
        <f>IF($I8975="","",IF(ISNUMBER($I8975),TEXT($I8975,"0"),$I8975))</f>
        <v/>
      </c>
    </row>
    <row r="8976">
      <c r="B8976" s="25" t="n"/>
      <c r="I8976" s="25" t="n"/>
      <c r="U8976" s="19">
        <f>IF($V8976&lt;&gt;'設定'!$C$4,N(U8975),IF(OR(NOT(COUNTIF('商品マスタ'!$B$6:$B$1005,$W8976)=0),COUNTIFS('①在庫を貼る'!$V$6:$V$10005,$V8976,'①在庫を貼る'!$W$6:$W$10005,$W8976)+COUNTIFS('月1回_1ヶ月前の在庫'!$V$6:$V$10005,$V8976,'月1回_1ヶ月前の在庫'!$W$6:$W$10005,$W8976)&gt;0),N(U8975),N(U8975)+1))</f>
        <v/>
      </c>
      <c r="V8976" s="19">
        <f>IF($B8976="","",TEXT($B8976,"0000"))</f>
        <v/>
      </c>
      <c r="W8976" s="19">
        <f>IF($I8976="","",IF(ISNUMBER($I8976),TEXT($I8976,"0"),$I8976))</f>
        <v/>
      </c>
    </row>
    <row r="8977">
      <c r="B8977" s="25" t="n"/>
      <c r="I8977" s="25" t="n"/>
      <c r="U8977" s="19">
        <f>IF($V8977&lt;&gt;'設定'!$C$4,N(U8976),IF(OR(NOT(COUNTIF('商品マスタ'!$B$6:$B$1005,$W8977)=0),COUNTIFS('①在庫を貼る'!$V$6:$V$10005,$V8977,'①在庫を貼る'!$W$6:$W$10005,$W8977)+COUNTIFS('月1回_1ヶ月前の在庫'!$V$6:$V$10005,$V8977,'月1回_1ヶ月前の在庫'!$W$6:$W$10005,$W8977)&gt;0),N(U8976),N(U8976)+1))</f>
        <v/>
      </c>
      <c r="V8977" s="19">
        <f>IF($B8977="","",TEXT($B8977,"0000"))</f>
        <v/>
      </c>
      <c r="W8977" s="19">
        <f>IF($I8977="","",IF(ISNUMBER($I8977),TEXT($I8977,"0"),$I8977))</f>
        <v/>
      </c>
    </row>
    <row r="8978">
      <c r="B8978" s="25" t="n"/>
      <c r="I8978" s="25" t="n"/>
      <c r="U8978" s="19">
        <f>IF($V8978&lt;&gt;'設定'!$C$4,N(U8977),IF(OR(NOT(COUNTIF('商品マスタ'!$B$6:$B$1005,$W8978)=0),COUNTIFS('①在庫を貼る'!$V$6:$V$10005,$V8978,'①在庫を貼る'!$W$6:$W$10005,$W8978)+COUNTIFS('月1回_1ヶ月前の在庫'!$V$6:$V$10005,$V8978,'月1回_1ヶ月前の在庫'!$W$6:$W$10005,$W8978)&gt;0),N(U8977),N(U8977)+1))</f>
        <v/>
      </c>
      <c r="V8978" s="19">
        <f>IF($B8978="","",TEXT($B8978,"0000"))</f>
        <v/>
      </c>
      <c r="W8978" s="19">
        <f>IF($I8978="","",IF(ISNUMBER($I8978),TEXT($I8978,"0"),$I8978))</f>
        <v/>
      </c>
    </row>
    <row r="8979">
      <c r="B8979" s="25" t="n"/>
      <c r="I8979" s="25" t="n"/>
      <c r="U8979" s="19">
        <f>IF($V8979&lt;&gt;'設定'!$C$4,N(U8978),IF(OR(NOT(COUNTIF('商品マスタ'!$B$6:$B$1005,$W8979)=0),COUNTIFS('①在庫を貼る'!$V$6:$V$10005,$V8979,'①在庫を貼る'!$W$6:$W$10005,$W8979)+COUNTIFS('月1回_1ヶ月前の在庫'!$V$6:$V$10005,$V8979,'月1回_1ヶ月前の在庫'!$W$6:$W$10005,$W8979)&gt;0),N(U8978),N(U8978)+1))</f>
        <v/>
      </c>
      <c r="V8979" s="19">
        <f>IF($B8979="","",TEXT($B8979,"0000"))</f>
        <v/>
      </c>
      <c r="W8979" s="19">
        <f>IF($I8979="","",IF(ISNUMBER($I8979),TEXT($I8979,"0"),$I8979))</f>
        <v/>
      </c>
    </row>
    <row r="8980">
      <c r="B8980" s="25" t="n"/>
      <c r="I8980" s="25" t="n"/>
      <c r="U8980" s="19">
        <f>IF($V8980&lt;&gt;'設定'!$C$4,N(U8979),IF(OR(NOT(COUNTIF('商品マスタ'!$B$6:$B$1005,$W8980)=0),COUNTIFS('①在庫を貼る'!$V$6:$V$10005,$V8980,'①在庫を貼る'!$W$6:$W$10005,$W8980)+COUNTIFS('月1回_1ヶ月前の在庫'!$V$6:$V$10005,$V8980,'月1回_1ヶ月前の在庫'!$W$6:$W$10005,$W8980)&gt;0),N(U8979),N(U8979)+1))</f>
        <v/>
      </c>
      <c r="V8980" s="19">
        <f>IF($B8980="","",TEXT($B8980,"0000"))</f>
        <v/>
      </c>
      <c r="W8980" s="19">
        <f>IF($I8980="","",IF(ISNUMBER($I8980),TEXT($I8980,"0"),$I8980))</f>
        <v/>
      </c>
    </row>
    <row r="8981">
      <c r="B8981" s="25" t="n"/>
      <c r="I8981" s="25" t="n"/>
      <c r="U8981" s="19">
        <f>IF($V8981&lt;&gt;'設定'!$C$4,N(U8980),IF(OR(NOT(COUNTIF('商品マスタ'!$B$6:$B$1005,$W8981)=0),COUNTIFS('①在庫を貼る'!$V$6:$V$10005,$V8981,'①在庫を貼る'!$W$6:$W$10005,$W8981)+COUNTIFS('月1回_1ヶ月前の在庫'!$V$6:$V$10005,$V8981,'月1回_1ヶ月前の在庫'!$W$6:$W$10005,$W8981)&gt;0),N(U8980),N(U8980)+1))</f>
        <v/>
      </c>
      <c r="V8981" s="19">
        <f>IF($B8981="","",TEXT($B8981,"0000"))</f>
        <v/>
      </c>
      <c r="W8981" s="19">
        <f>IF($I8981="","",IF(ISNUMBER($I8981),TEXT($I8981,"0"),$I8981))</f>
        <v/>
      </c>
    </row>
    <row r="8982">
      <c r="B8982" s="25" t="n"/>
      <c r="I8982" s="25" t="n"/>
      <c r="U8982" s="19">
        <f>IF($V8982&lt;&gt;'設定'!$C$4,N(U8981),IF(OR(NOT(COUNTIF('商品マスタ'!$B$6:$B$1005,$W8982)=0),COUNTIFS('①在庫を貼る'!$V$6:$V$10005,$V8982,'①在庫を貼る'!$W$6:$W$10005,$W8982)+COUNTIFS('月1回_1ヶ月前の在庫'!$V$6:$V$10005,$V8982,'月1回_1ヶ月前の在庫'!$W$6:$W$10005,$W8982)&gt;0),N(U8981),N(U8981)+1))</f>
        <v/>
      </c>
      <c r="V8982" s="19">
        <f>IF($B8982="","",TEXT($B8982,"0000"))</f>
        <v/>
      </c>
      <c r="W8982" s="19">
        <f>IF($I8982="","",IF(ISNUMBER($I8982),TEXT($I8982,"0"),$I8982))</f>
        <v/>
      </c>
    </row>
    <row r="8983">
      <c r="B8983" s="25" t="n"/>
      <c r="I8983" s="25" t="n"/>
      <c r="U8983" s="19">
        <f>IF($V8983&lt;&gt;'設定'!$C$4,N(U8982),IF(OR(NOT(COUNTIF('商品マスタ'!$B$6:$B$1005,$W8983)=0),COUNTIFS('①在庫を貼る'!$V$6:$V$10005,$V8983,'①在庫を貼る'!$W$6:$W$10005,$W8983)+COUNTIFS('月1回_1ヶ月前の在庫'!$V$6:$V$10005,$V8983,'月1回_1ヶ月前の在庫'!$W$6:$W$10005,$W8983)&gt;0),N(U8982),N(U8982)+1))</f>
        <v/>
      </c>
      <c r="V8983" s="19">
        <f>IF($B8983="","",TEXT($B8983,"0000"))</f>
        <v/>
      </c>
      <c r="W8983" s="19">
        <f>IF($I8983="","",IF(ISNUMBER($I8983),TEXT($I8983,"0"),$I8983))</f>
        <v/>
      </c>
    </row>
    <row r="8984">
      <c r="B8984" s="25" t="n"/>
      <c r="I8984" s="25" t="n"/>
      <c r="U8984" s="19">
        <f>IF($V8984&lt;&gt;'設定'!$C$4,N(U8983),IF(OR(NOT(COUNTIF('商品マスタ'!$B$6:$B$1005,$W8984)=0),COUNTIFS('①在庫を貼る'!$V$6:$V$10005,$V8984,'①在庫を貼る'!$W$6:$W$10005,$W8984)+COUNTIFS('月1回_1ヶ月前の在庫'!$V$6:$V$10005,$V8984,'月1回_1ヶ月前の在庫'!$W$6:$W$10005,$W8984)&gt;0),N(U8983),N(U8983)+1))</f>
        <v/>
      </c>
      <c r="V8984" s="19">
        <f>IF($B8984="","",TEXT($B8984,"0000"))</f>
        <v/>
      </c>
      <c r="W8984" s="19">
        <f>IF($I8984="","",IF(ISNUMBER($I8984),TEXT($I8984,"0"),$I8984))</f>
        <v/>
      </c>
    </row>
    <row r="8985">
      <c r="B8985" s="25" t="n"/>
      <c r="I8985" s="25" t="n"/>
      <c r="U8985" s="19">
        <f>IF($V8985&lt;&gt;'設定'!$C$4,N(U8984),IF(OR(NOT(COUNTIF('商品マスタ'!$B$6:$B$1005,$W8985)=0),COUNTIFS('①在庫を貼る'!$V$6:$V$10005,$V8985,'①在庫を貼る'!$W$6:$W$10005,$W8985)+COUNTIFS('月1回_1ヶ月前の在庫'!$V$6:$V$10005,$V8985,'月1回_1ヶ月前の在庫'!$W$6:$W$10005,$W8985)&gt;0),N(U8984),N(U8984)+1))</f>
        <v/>
      </c>
      <c r="V8985" s="19">
        <f>IF($B8985="","",TEXT($B8985,"0000"))</f>
        <v/>
      </c>
      <c r="W8985" s="19">
        <f>IF($I8985="","",IF(ISNUMBER($I8985),TEXT($I8985,"0"),$I8985))</f>
        <v/>
      </c>
    </row>
    <row r="8986">
      <c r="B8986" s="25" t="n"/>
      <c r="I8986" s="25" t="n"/>
      <c r="U8986" s="19">
        <f>IF($V8986&lt;&gt;'設定'!$C$4,N(U8985),IF(OR(NOT(COUNTIF('商品マスタ'!$B$6:$B$1005,$W8986)=0),COUNTIFS('①在庫を貼る'!$V$6:$V$10005,$V8986,'①在庫を貼る'!$W$6:$W$10005,$W8986)+COUNTIFS('月1回_1ヶ月前の在庫'!$V$6:$V$10005,$V8986,'月1回_1ヶ月前の在庫'!$W$6:$W$10005,$W8986)&gt;0),N(U8985),N(U8985)+1))</f>
        <v/>
      </c>
      <c r="V8986" s="19">
        <f>IF($B8986="","",TEXT($B8986,"0000"))</f>
        <v/>
      </c>
      <c r="W8986" s="19">
        <f>IF($I8986="","",IF(ISNUMBER($I8986),TEXT($I8986,"0"),$I8986))</f>
        <v/>
      </c>
    </row>
    <row r="8987">
      <c r="B8987" s="25" t="n"/>
      <c r="I8987" s="25" t="n"/>
      <c r="U8987" s="19">
        <f>IF($V8987&lt;&gt;'設定'!$C$4,N(U8986),IF(OR(NOT(COUNTIF('商品マスタ'!$B$6:$B$1005,$W8987)=0),COUNTIFS('①在庫を貼る'!$V$6:$V$10005,$V8987,'①在庫を貼る'!$W$6:$W$10005,$W8987)+COUNTIFS('月1回_1ヶ月前の在庫'!$V$6:$V$10005,$V8987,'月1回_1ヶ月前の在庫'!$W$6:$W$10005,$W8987)&gt;0),N(U8986),N(U8986)+1))</f>
        <v/>
      </c>
      <c r="V8987" s="19">
        <f>IF($B8987="","",TEXT($B8987,"0000"))</f>
        <v/>
      </c>
      <c r="W8987" s="19">
        <f>IF($I8987="","",IF(ISNUMBER($I8987),TEXT($I8987,"0"),$I8987))</f>
        <v/>
      </c>
    </row>
    <row r="8988">
      <c r="B8988" s="25" t="n"/>
      <c r="I8988" s="25" t="n"/>
      <c r="U8988" s="19">
        <f>IF($V8988&lt;&gt;'設定'!$C$4,N(U8987),IF(OR(NOT(COUNTIF('商品マスタ'!$B$6:$B$1005,$W8988)=0),COUNTIFS('①在庫を貼る'!$V$6:$V$10005,$V8988,'①在庫を貼る'!$W$6:$W$10005,$W8988)+COUNTIFS('月1回_1ヶ月前の在庫'!$V$6:$V$10005,$V8988,'月1回_1ヶ月前の在庫'!$W$6:$W$10005,$W8988)&gt;0),N(U8987),N(U8987)+1))</f>
        <v/>
      </c>
      <c r="V8988" s="19">
        <f>IF($B8988="","",TEXT($B8988,"0000"))</f>
        <v/>
      </c>
      <c r="W8988" s="19">
        <f>IF($I8988="","",IF(ISNUMBER($I8988),TEXT($I8988,"0"),$I8988))</f>
        <v/>
      </c>
    </row>
    <row r="8989">
      <c r="B8989" s="25" t="n"/>
      <c r="I8989" s="25" t="n"/>
      <c r="U8989" s="19">
        <f>IF($V8989&lt;&gt;'設定'!$C$4,N(U8988),IF(OR(NOT(COUNTIF('商品マスタ'!$B$6:$B$1005,$W8989)=0),COUNTIFS('①在庫を貼る'!$V$6:$V$10005,$V8989,'①在庫を貼る'!$W$6:$W$10005,$W8989)+COUNTIFS('月1回_1ヶ月前の在庫'!$V$6:$V$10005,$V8989,'月1回_1ヶ月前の在庫'!$W$6:$W$10005,$W8989)&gt;0),N(U8988),N(U8988)+1))</f>
        <v/>
      </c>
      <c r="V8989" s="19">
        <f>IF($B8989="","",TEXT($B8989,"0000"))</f>
        <v/>
      </c>
      <c r="W8989" s="19">
        <f>IF($I8989="","",IF(ISNUMBER($I8989),TEXT($I8989,"0"),$I8989))</f>
        <v/>
      </c>
    </row>
    <row r="8990">
      <c r="B8990" s="25" t="n"/>
      <c r="I8990" s="25" t="n"/>
      <c r="U8990" s="19">
        <f>IF($V8990&lt;&gt;'設定'!$C$4,N(U8989),IF(OR(NOT(COUNTIF('商品マスタ'!$B$6:$B$1005,$W8990)=0),COUNTIFS('①在庫を貼る'!$V$6:$V$10005,$V8990,'①在庫を貼る'!$W$6:$W$10005,$W8990)+COUNTIFS('月1回_1ヶ月前の在庫'!$V$6:$V$10005,$V8990,'月1回_1ヶ月前の在庫'!$W$6:$W$10005,$W8990)&gt;0),N(U8989),N(U8989)+1))</f>
        <v/>
      </c>
      <c r="V8990" s="19">
        <f>IF($B8990="","",TEXT($B8990,"0000"))</f>
        <v/>
      </c>
      <c r="W8990" s="19">
        <f>IF($I8990="","",IF(ISNUMBER($I8990),TEXT($I8990,"0"),$I8990))</f>
        <v/>
      </c>
    </row>
    <row r="8991">
      <c r="B8991" s="25" t="n"/>
      <c r="I8991" s="25" t="n"/>
      <c r="U8991" s="19">
        <f>IF($V8991&lt;&gt;'設定'!$C$4,N(U8990),IF(OR(NOT(COUNTIF('商品マスタ'!$B$6:$B$1005,$W8991)=0),COUNTIFS('①在庫を貼る'!$V$6:$V$10005,$V8991,'①在庫を貼る'!$W$6:$W$10005,$W8991)+COUNTIFS('月1回_1ヶ月前の在庫'!$V$6:$V$10005,$V8991,'月1回_1ヶ月前の在庫'!$W$6:$W$10005,$W8991)&gt;0),N(U8990),N(U8990)+1))</f>
        <v/>
      </c>
      <c r="V8991" s="19">
        <f>IF($B8991="","",TEXT($B8991,"0000"))</f>
        <v/>
      </c>
      <c r="W8991" s="19">
        <f>IF($I8991="","",IF(ISNUMBER($I8991),TEXT($I8991,"0"),$I8991))</f>
        <v/>
      </c>
    </row>
    <row r="8992">
      <c r="B8992" s="25" t="n"/>
      <c r="I8992" s="25" t="n"/>
      <c r="U8992" s="19">
        <f>IF($V8992&lt;&gt;'設定'!$C$4,N(U8991),IF(OR(NOT(COUNTIF('商品マスタ'!$B$6:$B$1005,$W8992)=0),COUNTIFS('①在庫を貼る'!$V$6:$V$10005,$V8992,'①在庫を貼る'!$W$6:$W$10005,$W8992)+COUNTIFS('月1回_1ヶ月前の在庫'!$V$6:$V$10005,$V8992,'月1回_1ヶ月前の在庫'!$W$6:$W$10005,$W8992)&gt;0),N(U8991),N(U8991)+1))</f>
        <v/>
      </c>
      <c r="V8992" s="19">
        <f>IF($B8992="","",TEXT($B8992,"0000"))</f>
        <v/>
      </c>
      <c r="W8992" s="19">
        <f>IF($I8992="","",IF(ISNUMBER($I8992),TEXT($I8992,"0"),$I8992))</f>
        <v/>
      </c>
    </row>
    <row r="8993">
      <c r="B8993" s="25" t="n"/>
      <c r="I8993" s="25" t="n"/>
      <c r="U8993" s="19">
        <f>IF($V8993&lt;&gt;'設定'!$C$4,N(U8992),IF(OR(NOT(COUNTIF('商品マスタ'!$B$6:$B$1005,$W8993)=0),COUNTIFS('①在庫を貼る'!$V$6:$V$10005,$V8993,'①在庫を貼る'!$W$6:$W$10005,$W8993)+COUNTIFS('月1回_1ヶ月前の在庫'!$V$6:$V$10005,$V8993,'月1回_1ヶ月前の在庫'!$W$6:$W$10005,$W8993)&gt;0),N(U8992),N(U8992)+1))</f>
        <v/>
      </c>
      <c r="V8993" s="19">
        <f>IF($B8993="","",TEXT($B8993,"0000"))</f>
        <v/>
      </c>
      <c r="W8993" s="19">
        <f>IF($I8993="","",IF(ISNUMBER($I8993),TEXT($I8993,"0"),$I8993))</f>
        <v/>
      </c>
    </row>
    <row r="8994">
      <c r="B8994" s="25" t="n"/>
      <c r="I8994" s="25" t="n"/>
      <c r="U8994" s="19">
        <f>IF($V8994&lt;&gt;'設定'!$C$4,N(U8993),IF(OR(NOT(COUNTIF('商品マスタ'!$B$6:$B$1005,$W8994)=0),COUNTIFS('①在庫を貼る'!$V$6:$V$10005,$V8994,'①在庫を貼る'!$W$6:$W$10005,$W8994)+COUNTIFS('月1回_1ヶ月前の在庫'!$V$6:$V$10005,$V8994,'月1回_1ヶ月前の在庫'!$W$6:$W$10005,$W8994)&gt;0),N(U8993),N(U8993)+1))</f>
        <v/>
      </c>
      <c r="V8994" s="19">
        <f>IF($B8994="","",TEXT($B8994,"0000"))</f>
        <v/>
      </c>
      <c r="W8994" s="19">
        <f>IF($I8994="","",IF(ISNUMBER($I8994),TEXT($I8994,"0"),$I8994))</f>
        <v/>
      </c>
    </row>
    <row r="8995">
      <c r="B8995" s="25" t="n"/>
      <c r="I8995" s="25" t="n"/>
      <c r="U8995" s="19">
        <f>IF($V8995&lt;&gt;'設定'!$C$4,N(U8994),IF(OR(NOT(COUNTIF('商品マスタ'!$B$6:$B$1005,$W8995)=0),COUNTIFS('①在庫を貼る'!$V$6:$V$10005,$V8995,'①在庫を貼る'!$W$6:$W$10005,$W8995)+COUNTIFS('月1回_1ヶ月前の在庫'!$V$6:$V$10005,$V8995,'月1回_1ヶ月前の在庫'!$W$6:$W$10005,$W8995)&gt;0),N(U8994),N(U8994)+1))</f>
        <v/>
      </c>
      <c r="V8995" s="19">
        <f>IF($B8995="","",TEXT($B8995,"0000"))</f>
        <v/>
      </c>
      <c r="W8995" s="19">
        <f>IF($I8995="","",IF(ISNUMBER($I8995),TEXT($I8995,"0"),$I8995))</f>
        <v/>
      </c>
    </row>
    <row r="8996">
      <c r="B8996" s="25" t="n"/>
      <c r="I8996" s="25" t="n"/>
      <c r="U8996" s="19">
        <f>IF($V8996&lt;&gt;'設定'!$C$4,N(U8995),IF(OR(NOT(COUNTIF('商品マスタ'!$B$6:$B$1005,$W8996)=0),COUNTIFS('①在庫を貼る'!$V$6:$V$10005,$V8996,'①在庫を貼る'!$W$6:$W$10005,$W8996)+COUNTIFS('月1回_1ヶ月前の在庫'!$V$6:$V$10005,$V8996,'月1回_1ヶ月前の在庫'!$W$6:$W$10005,$W8996)&gt;0),N(U8995),N(U8995)+1))</f>
        <v/>
      </c>
      <c r="V8996" s="19">
        <f>IF($B8996="","",TEXT($B8996,"0000"))</f>
        <v/>
      </c>
      <c r="W8996" s="19">
        <f>IF($I8996="","",IF(ISNUMBER($I8996),TEXT($I8996,"0"),$I8996))</f>
        <v/>
      </c>
    </row>
    <row r="8997">
      <c r="B8997" s="25" t="n"/>
      <c r="I8997" s="25" t="n"/>
      <c r="U8997" s="19">
        <f>IF($V8997&lt;&gt;'設定'!$C$4,N(U8996),IF(OR(NOT(COUNTIF('商品マスタ'!$B$6:$B$1005,$W8997)=0),COUNTIFS('①在庫を貼る'!$V$6:$V$10005,$V8997,'①在庫を貼る'!$W$6:$W$10005,$W8997)+COUNTIFS('月1回_1ヶ月前の在庫'!$V$6:$V$10005,$V8997,'月1回_1ヶ月前の在庫'!$W$6:$W$10005,$W8997)&gt;0),N(U8996),N(U8996)+1))</f>
        <v/>
      </c>
      <c r="V8997" s="19">
        <f>IF($B8997="","",TEXT($B8997,"0000"))</f>
        <v/>
      </c>
      <c r="W8997" s="19">
        <f>IF($I8997="","",IF(ISNUMBER($I8997),TEXT($I8997,"0"),$I8997))</f>
        <v/>
      </c>
    </row>
    <row r="8998">
      <c r="B8998" s="25" t="n"/>
      <c r="I8998" s="25" t="n"/>
      <c r="U8998" s="19">
        <f>IF($V8998&lt;&gt;'設定'!$C$4,N(U8997),IF(OR(NOT(COUNTIF('商品マスタ'!$B$6:$B$1005,$W8998)=0),COUNTIFS('①在庫を貼る'!$V$6:$V$10005,$V8998,'①在庫を貼る'!$W$6:$W$10005,$W8998)+COUNTIFS('月1回_1ヶ月前の在庫'!$V$6:$V$10005,$V8998,'月1回_1ヶ月前の在庫'!$W$6:$W$10005,$W8998)&gt;0),N(U8997),N(U8997)+1))</f>
        <v/>
      </c>
      <c r="V8998" s="19">
        <f>IF($B8998="","",TEXT($B8998,"0000"))</f>
        <v/>
      </c>
      <c r="W8998" s="19">
        <f>IF($I8998="","",IF(ISNUMBER($I8998),TEXT($I8998,"0"),$I8998))</f>
        <v/>
      </c>
    </row>
    <row r="8999">
      <c r="B8999" s="25" t="n"/>
      <c r="I8999" s="25" t="n"/>
      <c r="U8999" s="19">
        <f>IF($V8999&lt;&gt;'設定'!$C$4,N(U8998),IF(OR(NOT(COUNTIF('商品マスタ'!$B$6:$B$1005,$W8999)=0),COUNTIFS('①在庫を貼る'!$V$6:$V$10005,$V8999,'①在庫を貼る'!$W$6:$W$10005,$W8999)+COUNTIFS('月1回_1ヶ月前の在庫'!$V$6:$V$10005,$V8999,'月1回_1ヶ月前の在庫'!$W$6:$W$10005,$W8999)&gt;0),N(U8998),N(U8998)+1))</f>
        <v/>
      </c>
      <c r="V8999" s="19">
        <f>IF($B8999="","",TEXT($B8999,"0000"))</f>
        <v/>
      </c>
      <c r="W8999" s="19">
        <f>IF($I8999="","",IF(ISNUMBER($I8999),TEXT($I8999,"0"),$I8999))</f>
        <v/>
      </c>
    </row>
    <row r="9000">
      <c r="B9000" s="25" t="n"/>
      <c r="I9000" s="25" t="n"/>
      <c r="U9000" s="19">
        <f>IF($V9000&lt;&gt;'設定'!$C$4,N(U8999),IF(OR(NOT(COUNTIF('商品マスタ'!$B$6:$B$1005,$W9000)=0),COUNTIFS('①在庫を貼る'!$V$6:$V$10005,$V9000,'①在庫を貼る'!$W$6:$W$10005,$W9000)+COUNTIFS('月1回_1ヶ月前の在庫'!$V$6:$V$10005,$V9000,'月1回_1ヶ月前の在庫'!$W$6:$W$10005,$W9000)&gt;0),N(U8999),N(U8999)+1))</f>
        <v/>
      </c>
      <c r="V9000" s="19">
        <f>IF($B9000="","",TEXT($B9000,"0000"))</f>
        <v/>
      </c>
      <c r="W9000" s="19">
        <f>IF($I9000="","",IF(ISNUMBER($I9000),TEXT($I9000,"0"),$I9000))</f>
        <v/>
      </c>
    </row>
    <row r="9001">
      <c r="B9001" s="25" t="n"/>
      <c r="I9001" s="25" t="n"/>
      <c r="U9001" s="19">
        <f>IF($V9001&lt;&gt;'設定'!$C$4,N(U9000),IF(OR(NOT(COUNTIF('商品マスタ'!$B$6:$B$1005,$W9001)=0),COUNTIFS('①在庫を貼る'!$V$6:$V$10005,$V9001,'①在庫を貼る'!$W$6:$W$10005,$W9001)+COUNTIFS('月1回_1ヶ月前の在庫'!$V$6:$V$10005,$V9001,'月1回_1ヶ月前の在庫'!$W$6:$W$10005,$W9001)&gt;0),N(U9000),N(U9000)+1))</f>
        <v/>
      </c>
      <c r="V9001" s="19">
        <f>IF($B9001="","",TEXT($B9001,"0000"))</f>
        <v/>
      </c>
      <c r="W9001" s="19">
        <f>IF($I9001="","",IF(ISNUMBER($I9001),TEXT($I9001,"0"),$I9001))</f>
        <v/>
      </c>
    </row>
    <row r="9002">
      <c r="B9002" s="25" t="n"/>
      <c r="I9002" s="25" t="n"/>
      <c r="U9002" s="19">
        <f>IF($V9002&lt;&gt;'設定'!$C$4,N(U9001),IF(OR(NOT(COUNTIF('商品マスタ'!$B$6:$B$1005,$W9002)=0),COUNTIFS('①在庫を貼る'!$V$6:$V$10005,$V9002,'①在庫を貼る'!$W$6:$W$10005,$W9002)+COUNTIFS('月1回_1ヶ月前の在庫'!$V$6:$V$10005,$V9002,'月1回_1ヶ月前の在庫'!$W$6:$W$10005,$W9002)&gt;0),N(U9001),N(U9001)+1))</f>
        <v/>
      </c>
      <c r="V9002" s="19">
        <f>IF($B9002="","",TEXT($B9002,"0000"))</f>
        <v/>
      </c>
      <c r="W9002" s="19">
        <f>IF($I9002="","",IF(ISNUMBER($I9002),TEXT($I9002,"0"),$I9002))</f>
        <v/>
      </c>
    </row>
    <row r="9003">
      <c r="B9003" s="25" t="n"/>
      <c r="I9003" s="25" t="n"/>
      <c r="U9003" s="19">
        <f>IF($V9003&lt;&gt;'設定'!$C$4,N(U9002),IF(OR(NOT(COUNTIF('商品マスタ'!$B$6:$B$1005,$W9003)=0),COUNTIFS('①在庫を貼る'!$V$6:$V$10005,$V9003,'①在庫を貼る'!$W$6:$W$10005,$W9003)+COUNTIFS('月1回_1ヶ月前の在庫'!$V$6:$V$10005,$V9003,'月1回_1ヶ月前の在庫'!$W$6:$W$10005,$W9003)&gt;0),N(U9002),N(U9002)+1))</f>
        <v/>
      </c>
      <c r="V9003" s="19">
        <f>IF($B9003="","",TEXT($B9003,"0000"))</f>
        <v/>
      </c>
      <c r="W9003" s="19">
        <f>IF($I9003="","",IF(ISNUMBER($I9003),TEXT($I9003,"0"),$I9003))</f>
        <v/>
      </c>
    </row>
    <row r="9004">
      <c r="B9004" s="25" t="n"/>
      <c r="I9004" s="25" t="n"/>
      <c r="U9004" s="19">
        <f>IF($V9004&lt;&gt;'設定'!$C$4,N(U9003),IF(OR(NOT(COUNTIF('商品マスタ'!$B$6:$B$1005,$W9004)=0),COUNTIFS('①在庫を貼る'!$V$6:$V$10005,$V9004,'①在庫を貼る'!$W$6:$W$10005,$W9004)+COUNTIFS('月1回_1ヶ月前の在庫'!$V$6:$V$10005,$V9004,'月1回_1ヶ月前の在庫'!$W$6:$W$10005,$W9004)&gt;0),N(U9003),N(U9003)+1))</f>
        <v/>
      </c>
      <c r="V9004" s="19">
        <f>IF($B9004="","",TEXT($B9004,"0000"))</f>
        <v/>
      </c>
      <c r="W9004" s="19">
        <f>IF($I9004="","",IF(ISNUMBER($I9004),TEXT($I9004,"0"),$I9004))</f>
        <v/>
      </c>
    </row>
    <row r="9005">
      <c r="B9005" s="25" t="n"/>
      <c r="I9005" s="25" t="n"/>
      <c r="U9005" s="19">
        <f>IF($V9005&lt;&gt;'設定'!$C$4,N(U9004),IF(OR(NOT(COUNTIF('商品マスタ'!$B$6:$B$1005,$W9005)=0),COUNTIFS('①在庫を貼る'!$V$6:$V$10005,$V9005,'①在庫を貼る'!$W$6:$W$10005,$W9005)+COUNTIFS('月1回_1ヶ月前の在庫'!$V$6:$V$10005,$V9005,'月1回_1ヶ月前の在庫'!$W$6:$W$10005,$W9005)&gt;0),N(U9004),N(U9004)+1))</f>
        <v/>
      </c>
      <c r="V9005" s="19">
        <f>IF($B9005="","",TEXT($B9005,"0000"))</f>
        <v/>
      </c>
      <c r="W9005" s="19">
        <f>IF($I9005="","",IF(ISNUMBER($I9005),TEXT($I9005,"0"),$I9005))</f>
        <v/>
      </c>
    </row>
    <row r="9006">
      <c r="B9006" s="25" t="n"/>
      <c r="I9006" s="25" t="n"/>
      <c r="U9006" s="19">
        <f>IF($V9006&lt;&gt;'設定'!$C$4,N(U9005),IF(OR(NOT(COUNTIF('商品マスタ'!$B$6:$B$1005,$W9006)=0),COUNTIFS('①在庫を貼る'!$V$6:$V$10005,$V9006,'①在庫を貼る'!$W$6:$W$10005,$W9006)+COUNTIFS('月1回_1ヶ月前の在庫'!$V$6:$V$10005,$V9006,'月1回_1ヶ月前の在庫'!$W$6:$W$10005,$W9006)&gt;0),N(U9005),N(U9005)+1))</f>
        <v/>
      </c>
      <c r="V9006" s="19">
        <f>IF($B9006="","",TEXT($B9006,"0000"))</f>
        <v/>
      </c>
      <c r="W9006" s="19">
        <f>IF($I9006="","",IF(ISNUMBER($I9006),TEXT($I9006,"0"),$I9006))</f>
        <v/>
      </c>
    </row>
    <row r="9007">
      <c r="B9007" s="25" t="n"/>
      <c r="I9007" s="25" t="n"/>
      <c r="U9007" s="19">
        <f>IF($V9007&lt;&gt;'設定'!$C$4,N(U9006),IF(OR(NOT(COUNTIF('商品マスタ'!$B$6:$B$1005,$W9007)=0),COUNTIFS('①在庫を貼る'!$V$6:$V$10005,$V9007,'①在庫を貼る'!$W$6:$W$10005,$W9007)+COUNTIFS('月1回_1ヶ月前の在庫'!$V$6:$V$10005,$V9007,'月1回_1ヶ月前の在庫'!$W$6:$W$10005,$W9007)&gt;0),N(U9006),N(U9006)+1))</f>
        <v/>
      </c>
      <c r="V9007" s="19">
        <f>IF($B9007="","",TEXT($B9007,"0000"))</f>
        <v/>
      </c>
      <c r="W9007" s="19">
        <f>IF($I9007="","",IF(ISNUMBER($I9007),TEXT($I9007,"0"),$I9007))</f>
        <v/>
      </c>
    </row>
    <row r="9008">
      <c r="B9008" s="25" t="n"/>
      <c r="I9008" s="25" t="n"/>
      <c r="U9008" s="19">
        <f>IF($V9008&lt;&gt;'設定'!$C$4,N(U9007),IF(OR(NOT(COUNTIF('商品マスタ'!$B$6:$B$1005,$W9008)=0),COUNTIFS('①在庫を貼る'!$V$6:$V$10005,$V9008,'①在庫を貼る'!$W$6:$W$10005,$W9008)+COUNTIFS('月1回_1ヶ月前の在庫'!$V$6:$V$10005,$V9008,'月1回_1ヶ月前の在庫'!$W$6:$W$10005,$W9008)&gt;0),N(U9007),N(U9007)+1))</f>
        <v/>
      </c>
      <c r="V9008" s="19">
        <f>IF($B9008="","",TEXT($B9008,"0000"))</f>
        <v/>
      </c>
      <c r="W9008" s="19">
        <f>IF($I9008="","",IF(ISNUMBER($I9008),TEXT($I9008,"0"),$I9008))</f>
        <v/>
      </c>
    </row>
    <row r="9009">
      <c r="B9009" s="25" t="n"/>
      <c r="I9009" s="25" t="n"/>
      <c r="U9009" s="19">
        <f>IF($V9009&lt;&gt;'設定'!$C$4,N(U9008),IF(OR(NOT(COUNTIF('商品マスタ'!$B$6:$B$1005,$W9009)=0),COUNTIFS('①在庫を貼る'!$V$6:$V$10005,$V9009,'①在庫を貼る'!$W$6:$W$10005,$W9009)+COUNTIFS('月1回_1ヶ月前の在庫'!$V$6:$V$10005,$V9009,'月1回_1ヶ月前の在庫'!$W$6:$W$10005,$W9009)&gt;0),N(U9008),N(U9008)+1))</f>
        <v/>
      </c>
      <c r="V9009" s="19">
        <f>IF($B9009="","",TEXT($B9009,"0000"))</f>
        <v/>
      </c>
      <c r="W9009" s="19">
        <f>IF($I9009="","",IF(ISNUMBER($I9009),TEXT($I9009,"0"),$I9009))</f>
        <v/>
      </c>
    </row>
    <row r="9010">
      <c r="B9010" s="25" t="n"/>
      <c r="I9010" s="25" t="n"/>
      <c r="U9010" s="19">
        <f>IF($V9010&lt;&gt;'設定'!$C$4,N(U9009),IF(OR(NOT(COUNTIF('商品マスタ'!$B$6:$B$1005,$W9010)=0),COUNTIFS('①在庫を貼る'!$V$6:$V$10005,$V9010,'①在庫を貼る'!$W$6:$W$10005,$W9010)+COUNTIFS('月1回_1ヶ月前の在庫'!$V$6:$V$10005,$V9010,'月1回_1ヶ月前の在庫'!$W$6:$W$10005,$W9010)&gt;0),N(U9009),N(U9009)+1))</f>
        <v/>
      </c>
      <c r="V9010" s="19">
        <f>IF($B9010="","",TEXT($B9010,"0000"))</f>
        <v/>
      </c>
      <c r="W9010" s="19">
        <f>IF($I9010="","",IF(ISNUMBER($I9010),TEXT($I9010,"0"),$I9010))</f>
        <v/>
      </c>
    </row>
    <row r="9011">
      <c r="B9011" s="25" t="n"/>
      <c r="I9011" s="25" t="n"/>
      <c r="U9011" s="19">
        <f>IF($V9011&lt;&gt;'設定'!$C$4,N(U9010),IF(OR(NOT(COUNTIF('商品マスタ'!$B$6:$B$1005,$W9011)=0),COUNTIFS('①在庫を貼る'!$V$6:$V$10005,$V9011,'①在庫を貼る'!$W$6:$W$10005,$W9011)+COUNTIFS('月1回_1ヶ月前の在庫'!$V$6:$V$10005,$V9011,'月1回_1ヶ月前の在庫'!$W$6:$W$10005,$W9011)&gt;0),N(U9010),N(U9010)+1))</f>
        <v/>
      </c>
      <c r="V9011" s="19">
        <f>IF($B9011="","",TEXT($B9011,"0000"))</f>
        <v/>
      </c>
      <c r="W9011" s="19">
        <f>IF($I9011="","",IF(ISNUMBER($I9011),TEXT($I9011,"0"),$I9011))</f>
        <v/>
      </c>
    </row>
    <row r="9012">
      <c r="B9012" s="25" t="n"/>
      <c r="I9012" s="25" t="n"/>
      <c r="U9012" s="19">
        <f>IF($V9012&lt;&gt;'設定'!$C$4,N(U9011),IF(OR(NOT(COUNTIF('商品マスタ'!$B$6:$B$1005,$W9012)=0),COUNTIFS('①在庫を貼る'!$V$6:$V$10005,$V9012,'①在庫を貼る'!$W$6:$W$10005,$W9012)+COUNTIFS('月1回_1ヶ月前の在庫'!$V$6:$V$10005,$V9012,'月1回_1ヶ月前の在庫'!$W$6:$W$10005,$W9012)&gt;0),N(U9011),N(U9011)+1))</f>
        <v/>
      </c>
      <c r="V9012" s="19">
        <f>IF($B9012="","",TEXT($B9012,"0000"))</f>
        <v/>
      </c>
      <c r="W9012" s="19">
        <f>IF($I9012="","",IF(ISNUMBER($I9012),TEXT($I9012,"0"),$I9012))</f>
        <v/>
      </c>
    </row>
    <row r="9013">
      <c r="B9013" s="25" t="n"/>
      <c r="I9013" s="25" t="n"/>
      <c r="U9013" s="19">
        <f>IF($V9013&lt;&gt;'設定'!$C$4,N(U9012),IF(OR(NOT(COUNTIF('商品マスタ'!$B$6:$B$1005,$W9013)=0),COUNTIFS('①在庫を貼る'!$V$6:$V$10005,$V9013,'①在庫を貼る'!$W$6:$W$10005,$W9013)+COUNTIFS('月1回_1ヶ月前の在庫'!$V$6:$V$10005,$V9013,'月1回_1ヶ月前の在庫'!$W$6:$W$10005,$W9013)&gt;0),N(U9012),N(U9012)+1))</f>
        <v/>
      </c>
      <c r="V9013" s="19">
        <f>IF($B9013="","",TEXT($B9013,"0000"))</f>
        <v/>
      </c>
      <c r="W9013" s="19">
        <f>IF($I9013="","",IF(ISNUMBER($I9013),TEXT($I9013,"0"),$I9013))</f>
        <v/>
      </c>
    </row>
    <row r="9014">
      <c r="B9014" s="25" t="n"/>
      <c r="I9014" s="25" t="n"/>
      <c r="U9014" s="19">
        <f>IF($V9014&lt;&gt;'設定'!$C$4,N(U9013),IF(OR(NOT(COUNTIF('商品マスタ'!$B$6:$B$1005,$W9014)=0),COUNTIFS('①在庫を貼る'!$V$6:$V$10005,$V9014,'①在庫を貼る'!$W$6:$W$10005,$W9014)+COUNTIFS('月1回_1ヶ月前の在庫'!$V$6:$V$10005,$V9014,'月1回_1ヶ月前の在庫'!$W$6:$W$10005,$W9014)&gt;0),N(U9013),N(U9013)+1))</f>
        <v/>
      </c>
      <c r="V9014" s="19">
        <f>IF($B9014="","",TEXT($B9014,"0000"))</f>
        <v/>
      </c>
      <c r="W9014" s="19">
        <f>IF($I9014="","",IF(ISNUMBER($I9014),TEXT($I9014,"0"),$I9014))</f>
        <v/>
      </c>
    </row>
    <row r="9015">
      <c r="B9015" s="25" t="n"/>
      <c r="I9015" s="25" t="n"/>
      <c r="U9015" s="19">
        <f>IF($V9015&lt;&gt;'設定'!$C$4,N(U9014),IF(OR(NOT(COUNTIF('商品マスタ'!$B$6:$B$1005,$W9015)=0),COUNTIFS('①在庫を貼る'!$V$6:$V$10005,$V9015,'①在庫を貼る'!$W$6:$W$10005,$W9015)+COUNTIFS('月1回_1ヶ月前の在庫'!$V$6:$V$10005,$V9015,'月1回_1ヶ月前の在庫'!$W$6:$W$10005,$W9015)&gt;0),N(U9014),N(U9014)+1))</f>
        <v/>
      </c>
      <c r="V9015" s="19">
        <f>IF($B9015="","",TEXT($B9015,"0000"))</f>
        <v/>
      </c>
      <c r="W9015" s="19">
        <f>IF($I9015="","",IF(ISNUMBER($I9015),TEXT($I9015,"0"),$I9015))</f>
        <v/>
      </c>
    </row>
    <row r="9016">
      <c r="B9016" s="25" t="n"/>
      <c r="I9016" s="25" t="n"/>
      <c r="U9016" s="19">
        <f>IF($V9016&lt;&gt;'設定'!$C$4,N(U9015),IF(OR(NOT(COUNTIF('商品マスタ'!$B$6:$B$1005,$W9016)=0),COUNTIFS('①在庫を貼る'!$V$6:$V$10005,$V9016,'①在庫を貼る'!$W$6:$W$10005,$W9016)+COUNTIFS('月1回_1ヶ月前の在庫'!$V$6:$V$10005,$V9016,'月1回_1ヶ月前の在庫'!$W$6:$W$10005,$W9016)&gt;0),N(U9015),N(U9015)+1))</f>
        <v/>
      </c>
      <c r="V9016" s="19">
        <f>IF($B9016="","",TEXT($B9016,"0000"))</f>
        <v/>
      </c>
      <c r="W9016" s="19">
        <f>IF($I9016="","",IF(ISNUMBER($I9016),TEXT($I9016,"0"),$I9016))</f>
        <v/>
      </c>
    </row>
    <row r="9017">
      <c r="B9017" s="25" t="n"/>
      <c r="I9017" s="25" t="n"/>
      <c r="U9017" s="19">
        <f>IF($V9017&lt;&gt;'設定'!$C$4,N(U9016),IF(OR(NOT(COUNTIF('商品マスタ'!$B$6:$B$1005,$W9017)=0),COUNTIFS('①在庫を貼る'!$V$6:$V$10005,$V9017,'①在庫を貼る'!$W$6:$W$10005,$W9017)+COUNTIFS('月1回_1ヶ月前の在庫'!$V$6:$V$10005,$V9017,'月1回_1ヶ月前の在庫'!$W$6:$W$10005,$W9017)&gt;0),N(U9016),N(U9016)+1))</f>
        <v/>
      </c>
      <c r="V9017" s="19">
        <f>IF($B9017="","",TEXT($B9017,"0000"))</f>
        <v/>
      </c>
      <c r="W9017" s="19">
        <f>IF($I9017="","",IF(ISNUMBER($I9017),TEXT($I9017,"0"),$I9017))</f>
        <v/>
      </c>
    </row>
    <row r="9018">
      <c r="B9018" s="25" t="n"/>
      <c r="I9018" s="25" t="n"/>
      <c r="U9018" s="19">
        <f>IF($V9018&lt;&gt;'設定'!$C$4,N(U9017),IF(OR(NOT(COUNTIF('商品マスタ'!$B$6:$B$1005,$W9018)=0),COUNTIFS('①在庫を貼る'!$V$6:$V$10005,$V9018,'①在庫を貼る'!$W$6:$W$10005,$W9018)+COUNTIFS('月1回_1ヶ月前の在庫'!$V$6:$V$10005,$V9018,'月1回_1ヶ月前の在庫'!$W$6:$W$10005,$W9018)&gt;0),N(U9017),N(U9017)+1))</f>
        <v/>
      </c>
      <c r="V9018" s="19">
        <f>IF($B9018="","",TEXT($B9018,"0000"))</f>
        <v/>
      </c>
      <c r="W9018" s="19">
        <f>IF($I9018="","",IF(ISNUMBER($I9018),TEXT($I9018,"0"),$I9018))</f>
        <v/>
      </c>
    </row>
    <row r="9019">
      <c r="B9019" s="25" t="n"/>
      <c r="I9019" s="25" t="n"/>
      <c r="U9019" s="19">
        <f>IF($V9019&lt;&gt;'設定'!$C$4,N(U9018),IF(OR(NOT(COUNTIF('商品マスタ'!$B$6:$B$1005,$W9019)=0),COUNTIFS('①在庫を貼る'!$V$6:$V$10005,$V9019,'①在庫を貼る'!$W$6:$W$10005,$W9019)+COUNTIFS('月1回_1ヶ月前の在庫'!$V$6:$V$10005,$V9019,'月1回_1ヶ月前の在庫'!$W$6:$W$10005,$W9019)&gt;0),N(U9018),N(U9018)+1))</f>
        <v/>
      </c>
      <c r="V9019" s="19">
        <f>IF($B9019="","",TEXT($B9019,"0000"))</f>
        <v/>
      </c>
      <c r="W9019" s="19">
        <f>IF($I9019="","",IF(ISNUMBER($I9019),TEXT($I9019,"0"),$I9019))</f>
        <v/>
      </c>
    </row>
    <row r="9020">
      <c r="B9020" s="25" t="n"/>
      <c r="I9020" s="25" t="n"/>
      <c r="U9020" s="19">
        <f>IF($V9020&lt;&gt;'設定'!$C$4,N(U9019),IF(OR(NOT(COUNTIF('商品マスタ'!$B$6:$B$1005,$W9020)=0),COUNTIFS('①在庫を貼る'!$V$6:$V$10005,$V9020,'①在庫を貼る'!$W$6:$W$10005,$W9020)+COUNTIFS('月1回_1ヶ月前の在庫'!$V$6:$V$10005,$V9020,'月1回_1ヶ月前の在庫'!$W$6:$W$10005,$W9020)&gt;0),N(U9019),N(U9019)+1))</f>
        <v/>
      </c>
      <c r="V9020" s="19">
        <f>IF($B9020="","",TEXT($B9020,"0000"))</f>
        <v/>
      </c>
      <c r="W9020" s="19">
        <f>IF($I9020="","",IF(ISNUMBER($I9020),TEXT($I9020,"0"),$I9020))</f>
        <v/>
      </c>
    </row>
    <row r="9021">
      <c r="B9021" s="25" t="n"/>
      <c r="I9021" s="25" t="n"/>
      <c r="U9021" s="19">
        <f>IF($V9021&lt;&gt;'設定'!$C$4,N(U9020),IF(OR(NOT(COUNTIF('商品マスタ'!$B$6:$B$1005,$W9021)=0),COUNTIFS('①在庫を貼る'!$V$6:$V$10005,$V9021,'①在庫を貼る'!$W$6:$W$10005,$W9021)+COUNTIFS('月1回_1ヶ月前の在庫'!$V$6:$V$10005,$V9021,'月1回_1ヶ月前の在庫'!$W$6:$W$10005,$W9021)&gt;0),N(U9020),N(U9020)+1))</f>
        <v/>
      </c>
      <c r="V9021" s="19">
        <f>IF($B9021="","",TEXT($B9021,"0000"))</f>
        <v/>
      </c>
      <c r="W9021" s="19">
        <f>IF($I9021="","",IF(ISNUMBER($I9021),TEXT($I9021,"0"),$I9021))</f>
        <v/>
      </c>
    </row>
    <row r="9022">
      <c r="B9022" s="25" t="n"/>
      <c r="I9022" s="25" t="n"/>
      <c r="U9022" s="19">
        <f>IF($V9022&lt;&gt;'設定'!$C$4,N(U9021),IF(OR(NOT(COUNTIF('商品マスタ'!$B$6:$B$1005,$W9022)=0),COUNTIFS('①在庫を貼る'!$V$6:$V$10005,$V9022,'①在庫を貼る'!$W$6:$W$10005,$W9022)+COUNTIFS('月1回_1ヶ月前の在庫'!$V$6:$V$10005,$V9022,'月1回_1ヶ月前の在庫'!$W$6:$W$10005,$W9022)&gt;0),N(U9021),N(U9021)+1))</f>
        <v/>
      </c>
      <c r="V9022" s="19">
        <f>IF($B9022="","",TEXT($B9022,"0000"))</f>
        <v/>
      </c>
      <c r="W9022" s="19">
        <f>IF($I9022="","",IF(ISNUMBER($I9022),TEXT($I9022,"0"),$I9022))</f>
        <v/>
      </c>
    </row>
    <row r="9023">
      <c r="B9023" s="25" t="n"/>
      <c r="I9023" s="25" t="n"/>
      <c r="U9023" s="19">
        <f>IF($V9023&lt;&gt;'設定'!$C$4,N(U9022),IF(OR(NOT(COUNTIF('商品マスタ'!$B$6:$B$1005,$W9023)=0),COUNTIFS('①在庫を貼る'!$V$6:$V$10005,$V9023,'①在庫を貼る'!$W$6:$W$10005,$W9023)+COUNTIFS('月1回_1ヶ月前の在庫'!$V$6:$V$10005,$V9023,'月1回_1ヶ月前の在庫'!$W$6:$W$10005,$W9023)&gt;0),N(U9022),N(U9022)+1))</f>
        <v/>
      </c>
      <c r="V9023" s="19">
        <f>IF($B9023="","",TEXT($B9023,"0000"))</f>
        <v/>
      </c>
      <c r="W9023" s="19">
        <f>IF($I9023="","",IF(ISNUMBER($I9023),TEXT($I9023,"0"),$I9023))</f>
        <v/>
      </c>
    </row>
    <row r="9024">
      <c r="B9024" s="25" t="n"/>
      <c r="I9024" s="25" t="n"/>
      <c r="U9024" s="19">
        <f>IF($V9024&lt;&gt;'設定'!$C$4,N(U9023),IF(OR(NOT(COUNTIF('商品マスタ'!$B$6:$B$1005,$W9024)=0),COUNTIFS('①在庫を貼る'!$V$6:$V$10005,$V9024,'①在庫を貼る'!$W$6:$W$10005,$W9024)+COUNTIFS('月1回_1ヶ月前の在庫'!$V$6:$V$10005,$V9024,'月1回_1ヶ月前の在庫'!$W$6:$W$10005,$W9024)&gt;0),N(U9023),N(U9023)+1))</f>
        <v/>
      </c>
      <c r="V9024" s="19">
        <f>IF($B9024="","",TEXT($B9024,"0000"))</f>
        <v/>
      </c>
      <c r="W9024" s="19">
        <f>IF($I9024="","",IF(ISNUMBER($I9024),TEXT($I9024,"0"),$I9024))</f>
        <v/>
      </c>
    </row>
    <row r="9025">
      <c r="B9025" s="25" t="n"/>
      <c r="I9025" s="25" t="n"/>
      <c r="U9025" s="19">
        <f>IF($V9025&lt;&gt;'設定'!$C$4,N(U9024),IF(OR(NOT(COUNTIF('商品マスタ'!$B$6:$B$1005,$W9025)=0),COUNTIFS('①在庫を貼る'!$V$6:$V$10005,$V9025,'①在庫を貼る'!$W$6:$W$10005,$W9025)+COUNTIFS('月1回_1ヶ月前の在庫'!$V$6:$V$10005,$V9025,'月1回_1ヶ月前の在庫'!$W$6:$W$10005,$W9025)&gt;0),N(U9024),N(U9024)+1))</f>
        <v/>
      </c>
      <c r="V9025" s="19">
        <f>IF($B9025="","",TEXT($B9025,"0000"))</f>
        <v/>
      </c>
      <c r="W9025" s="19">
        <f>IF($I9025="","",IF(ISNUMBER($I9025),TEXT($I9025,"0"),$I9025))</f>
        <v/>
      </c>
    </row>
    <row r="9026">
      <c r="B9026" s="25" t="n"/>
      <c r="I9026" s="25" t="n"/>
      <c r="U9026" s="19">
        <f>IF($V9026&lt;&gt;'設定'!$C$4,N(U9025),IF(OR(NOT(COUNTIF('商品マスタ'!$B$6:$B$1005,$W9026)=0),COUNTIFS('①在庫を貼る'!$V$6:$V$10005,$V9026,'①在庫を貼る'!$W$6:$W$10005,$W9026)+COUNTIFS('月1回_1ヶ月前の在庫'!$V$6:$V$10005,$V9026,'月1回_1ヶ月前の在庫'!$W$6:$W$10005,$W9026)&gt;0),N(U9025),N(U9025)+1))</f>
        <v/>
      </c>
      <c r="V9026" s="19">
        <f>IF($B9026="","",TEXT($B9026,"0000"))</f>
        <v/>
      </c>
      <c r="W9026" s="19">
        <f>IF($I9026="","",IF(ISNUMBER($I9026),TEXT($I9026,"0"),$I9026))</f>
        <v/>
      </c>
    </row>
    <row r="9027">
      <c r="B9027" s="25" t="n"/>
      <c r="I9027" s="25" t="n"/>
      <c r="U9027" s="19">
        <f>IF($V9027&lt;&gt;'設定'!$C$4,N(U9026),IF(OR(NOT(COUNTIF('商品マスタ'!$B$6:$B$1005,$W9027)=0),COUNTIFS('①在庫を貼る'!$V$6:$V$10005,$V9027,'①在庫を貼る'!$W$6:$W$10005,$W9027)+COUNTIFS('月1回_1ヶ月前の在庫'!$V$6:$V$10005,$V9027,'月1回_1ヶ月前の在庫'!$W$6:$W$10005,$W9027)&gt;0),N(U9026),N(U9026)+1))</f>
        <v/>
      </c>
      <c r="V9027" s="19">
        <f>IF($B9027="","",TEXT($B9027,"0000"))</f>
        <v/>
      </c>
      <c r="W9027" s="19">
        <f>IF($I9027="","",IF(ISNUMBER($I9027),TEXT($I9027,"0"),$I9027))</f>
        <v/>
      </c>
    </row>
    <row r="9028">
      <c r="B9028" s="25" t="n"/>
      <c r="I9028" s="25" t="n"/>
      <c r="U9028" s="19">
        <f>IF($V9028&lt;&gt;'設定'!$C$4,N(U9027),IF(OR(NOT(COUNTIF('商品マスタ'!$B$6:$B$1005,$W9028)=0),COUNTIFS('①在庫を貼る'!$V$6:$V$10005,$V9028,'①在庫を貼る'!$W$6:$W$10005,$W9028)+COUNTIFS('月1回_1ヶ月前の在庫'!$V$6:$V$10005,$V9028,'月1回_1ヶ月前の在庫'!$W$6:$W$10005,$W9028)&gt;0),N(U9027),N(U9027)+1))</f>
        <v/>
      </c>
      <c r="V9028" s="19">
        <f>IF($B9028="","",TEXT($B9028,"0000"))</f>
        <v/>
      </c>
      <c r="W9028" s="19">
        <f>IF($I9028="","",IF(ISNUMBER($I9028),TEXT($I9028,"0"),$I9028))</f>
        <v/>
      </c>
    </row>
    <row r="9029">
      <c r="B9029" s="25" t="n"/>
      <c r="I9029" s="25" t="n"/>
      <c r="U9029" s="19">
        <f>IF($V9029&lt;&gt;'設定'!$C$4,N(U9028),IF(OR(NOT(COUNTIF('商品マスタ'!$B$6:$B$1005,$W9029)=0),COUNTIFS('①在庫を貼る'!$V$6:$V$10005,$V9029,'①在庫を貼る'!$W$6:$W$10005,$W9029)+COUNTIFS('月1回_1ヶ月前の在庫'!$V$6:$V$10005,$V9029,'月1回_1ヶ月前の在庫'!$W$6:$W$10005,$W9029)&gt;0),N(U9028),N(U9028)+1))</f>
        <v/>
      </c>
      <c r="V9029" s="19">
        <f>IF($B9029="","",TEXT($B9029,"0000"))</f>
        <v/>
      </c>
      <c r="W9029" s="19">
        <f>IF($I9029="","",IF(ISNUMBER($I9029),TEXT($I9029,"0"),$I9029))</f>
        <v/>
      </c>
    </row>
    <row r="9030">
      <c r="B9030" s="25" t="n"/>
      <c r="I9030" s="25" t="n"/>
      <c r="U9030" s="19">
        <f>IF($V9030&lt;&gt;'設定'!$C$4,N(U9029),IF(OR(NOT(COUNTIF('商品マスタ'!$B$6:$B$1005,$W9030)=0),COUNTIFS('①在庫を貼る'!$V$6:$V$10005,$V9030,'①在庫を貼る'!$W$6:$W$10005,$W9030)+COUNTIFS('月1回_1ヶ月前の在庫'!$V$6:$V$10005,$V9030,'月1回_1ヶ月前の在庫'!$W$6:$W$10005,$W9030)&gt;0),N(U9029),N(U9029)+1))</f>
        <v/>
      </c>
      <c r="V9030" s="19">
        <f>IF($B9030="","",TEXT($B9030,"0000"))</f>
        <v/>
      </c>
      <c r="W9030" s="19">
        <f>IF($I9030="","",IF(ISNUMBER($I9030),TEXT($I9030,"0"),$I9030))</f>
        <v/>
      </c>
    </row>
    <row r="9031">
      <c r="B9031" s="25" t="n"/>
      <c r="I9031" s="25" t="n"/>
      <c r="U9031" s="19">
        <f>IF($V9031&lt;&gt;'設定'!$C$4,N(U9030),IF(OR(NOT(COUNTIF('商品マスタ'!$B$6:$B$1005,$W9031)=0),COUNTIFS('①在庫を貼る'!$V$6:$V$10005,$V9031,'①在庫を貼る'!$W$6:$W$10005,$W9031)+COUNTIFS('月1回_1ヶ月前の在庫'!$V$6:$V$10005,$V9031,'月1回_1ヶ月前の在庫'!$W$6:$W$10005,$W9031)&gt;0),N(U9030),N(U9030)+1))</f>
        <v/>
      </c>
      <c r="V9031" s="19">
        <f>IF($B9031="","",TEXT($B9031,"0000"))</f>
        <v/>
      </c>
      <c r="W9031" s="19">
        <f>IF($I9031="","",IF(ISNUMBER($I9031),TEXT($I9031,"0"),$I9031))</f>
        <v/>
      </c>
    </row>
    <row r="9032">
      <c r="B9032" s="25" t="n"/>
      <c r="I9032" s="25" t="n"/>
      <c r="U9032" s="19">
        <f>IF($V9032&lt;&gt;'設定'!$C$4,N(U9031),IF(OR(NOT(COUNTIF('商品マスタ'!$B$6:$B$1005,$W9032)=0),COUNTIFS('①在庫を貼る'!$V$6:$V$10005,$V9032,'①在庫を貼る'!$W$6:$W$10005,$W9032)+COUNTIFS('月1回_1ヶ月前の在庫'!$V$6:$V$10005,$V9032,'月1回_1ヶ月前の在庫'!$W$6:$W$10005,$W9032)&gt;0),N(U9031),N(U9031)+1))</f>
        <v/>
      </c>
      <c r="V9032" s="19">
        <f>IF($B9032="","",TEXT($B9032,"0000"))</f>
        <v/>
      </c>
      <c r="W9032" s="19">
        <f>IF($I9032="","",IF(ISNUMBER($I9032),TEXT($I9032,"0"),$I9032))</f>
        <v/>
      </c>
    </row>
    <row r="9033">
      <c r="B9033" s="25" t="n"/>
      <c r="I9033" s="25" t="n"/>
      <c r="U9033" s="19">
        <f>IF($V9033&lt;&gt;'設定'!$C$4,N(U9032),IF(OR(NOT(COUNTIF('商品マスタ'!$B$6:$B$1005,$W9033)=0),COUNTIFS('①在庫を貼る'!$V$6:$V$10005,$V9033,'①在庫を貼る'!$W$6:$W$10005,$W9033)+COUNTIFS('月1回_1ヶ月前の在庫'!$V$6:$V$10005,$V9033,'月1回_1ヶ月前の在庫'!$W$6:$W$10005,$W9033)&gt;0),N(U9032),N(U9032)+1))</f>
        <v/>
      </c>
      <c r="V9033" s="19">
        <f>IF($B9033="","",TEXT($B9033,"0000"))</f>
        <v/>
      </c>
      <c r="W9033" s="19">
        <f>IF($I9033="","",IF(ISNUMBER($I9033),TEXT($I9033,"0"),$I9033))</f>
        <v/>
      </c>
    </row>
    <row r="9034">
      <c r="B9034" s="25" t="n"/>
      <c r="I9034" s="25" t="n"/>
      <c r="U9034" s="19">
        <f>IF($V9034&lt;&gt;'設定'!$C$4,N(U9033),IF(OR(NOT(COUNTIF('商品マスタ'!$B$6:$B$1005,$W9034)=0),COUNTIFS('①在庫を貼る'!$V$6:$V$10005,$V9034,'①在庫を貼る'!$W$6:$W$10005,$W9034)+COUNTIFS('月1回_1ヶ月前の在庫'!$V$6:$V$10005,$V9034,'月1回_1ヶ月前の在庫'!$W$6:$W$10005,$W9034)&gt;0),N(U9033),N(U9033)+1))</f>
        <v/>
      </c>
      <c r="V9034" s="19">
        <f>IF($B9034="","",TEXT($B9034,"0000"))</f>
        <v/>
      </c>
      <c r="W9034" s="19">
        <f>IF($I9034="","",IF(ISNUMBER($I9034),TEXT($I9034,"0"),$I9034))</f>
        <v/>
      </c>
    </row>
    <row r="9035">
      <c r="B9035" s="25" t="n"/>
      <c r="I9035" s="25" t="n"/>
      <c r="U9035" s="19">
        <f>IF($V9035&lt;&gt;'設定'!$C$4,N(U9034),IF(OR(NOT(COUNTIF('商品マスタ'!$B$6:$B$1005,$W9035)=0),COUNTIFS('①在庫を貼る'!$V$6:$V$10005,$V9035,'①在庫を貼る'!$W$6:$W$10005,$W9035)+COUNTIFS('月1回_1ヶ月前の在庫'!$V$6:$V$10005,$V9035,'月1回_1ヶ月前の在庫'!$W$6:$W$10005,$W9035)&gt;0),N(U9034),N(U9034)+1))</f>
        <v/>
      </c>
      <c r="V9035" s="19">
        <f>IF($B9035="","",TEXT($B9035,"0000"))</f>
        <v/>
      </c>
      <c r="W9035" s="19">
        <f>IF($I9035="","",IF(ISNUMBER($I9035),TEXT($I9035,"0"),$I9035))</f>
        <v/>
      </c>
    </row>
    <row r="9036">
      <c r="B9036" s="25" t="n"/>
      <c r="I9036" s="25" t="n"/>
      <c r="U9036" s="19">
        <f>IF($V9036&lt;&gt;'設定'!$C$4,N(U9035),IF(OR(NOT(COUNTIF('商品マスタ'!$B$6:$B$1005,$W9036)=0),COUNTIFS('①在庫を貼る'!$V$6:$V$10005,$V9036,'①在庫を貼る'!$W$6:$W$10005,$W9036)+COUNTIFS('月1回_1ヶ月前の在庫'!$V$6:$V$10005,$V9036,'月1回_1ヶ月前の在庫'!$W$6:$W$10005,$W9036)&gt;0),N(U9035),N(U9035)+1))</f>
        <v/>
      </c>
      <c r="V9036" s="19">
        <f>IF($B9036="","",TEXT($B9036,"0000"))</f>
        <v/>
      </c>
      <c r="W9036" s="19">
        <f>IF($I9036="","",IF(ISNUMBER($I9036),TEXT($I9036,"0"),$I9036))</f>
        <v/>
      </c>
    </row>
    <row r="9037">
      <c r="B9037" s="25" t="n"/>
      <c r="I9037" s="25" t="n"/>
      <c r="U9037" s="19">
        <f>IF($V9037&lt;&gt;'設定'!$C$4,N(U9036),IF(OR(NOT(COUNTIF('商品マスタ'!$B$6:$B$1005,$W9037)=0),COUNTIFS('①在庫を貼る'!$V$6:$V$10005,$V9037,'①在庫を貼る'!$W$6:$W$10005,$W9037)+COUNTIFS('月1回_1ヶ月前の在庫'!$V$6:$V$10005,$V9037,'月1回_1ヶ月前の在庫'!$W$6:$W$10005,$W9037)&gt;0),N(U9036),N(U9036)+1))</f>
        <v/>
      </c>
      <c r="V9037" s="19">
        <f>IF($B9037="","",TEXT($B9037,"0000"))</f>
        <v/>
      </c>
      <c r="W9037" s="19">
        <f>IF($I9037="","",IF(ISNUMBER($I9037),TEXT($I9037,"0"),$I9037))</f>
        <v/>
      </c>
    </row>
    <row r="9038">
      <c r="B9038" s="25" t="n"/>
      <c r="I9038" s="25" t="n"/>
      <c r="U9038" s="19">
        <f>IF($V9038&lt;&gt;'設定'!$C$4,N(U9037),IF(OR(NOT(COUNTIF('商品マスタ'!$B$6:$B$1005,$W9038)=0),COUNTIFS('①在庫を貼る'!$V$6:$V$10005,$V9038,'①在庫を貼る'!$W$6:$W$10005,$W9038)+COUNTIFS('月1回_1ヶ月前の在庫'!$V$6:$V$10005,$V9038,'月1回_1ヶ月前の在庫'!$W$6:$W$10005,$W9038)&gt;0),N(U9037),N(U9037)+1))</f>
        <v/>
      </c>
      <c r="V9038" s="19">
        <f>IF($B9038="","",TEXT($B9038,"0000"))</f>
        <v/>
      </c>
      <c r="W9038" s="19">
        <f>IF($I9038="","",IF(ISNUMBER($I9038),TEXT($I9038,"0"),$I9038))</f>
        <v/>
      </c>
    </row>
    <row r="9039">
      <c r="B9039" s="25" t="n"/>
      <c r="I9039" s="25" t="n"/>
      <c r="U9039" s="19">
        <f>IF($V9039&lt;&gt;'設定'!$C$4,N(U9038),IF(OR(NOT(COUNTIF('商品マスタ'!$B$6:$B$1005,$W9039)=0),COUNTIFS('①在庫を貼る'!$V$6:$V$10005,$V9039,'①在庫を貼る'!$W$6:$W$10005,$W9039)+COUNTIFS('月1回_1ヶ月前の在庫'!$V$6:$V$10005,$V9039,'月1回_1ヶ月前の在庫'!$W$6:$W$10005,$W9039)&gt;0),N(U9038),N(U9038)+1))</f>
        <v/>
      </c>
      <c r="V9039" s="19">
        <f>IF($B9039="","",TEXT($B9039,"0000"))</f>
        <v/>
      </c>
      <c r="W9039" s="19">
        <f>IF($I9039="","",IF(ISNUMBER($I9039),TEXT($I9039,"0"),$I9039))</f>
        <v/>
      </c>
    </row>
    <row r="9040">
      <c r="B9040" s="25" t="n"/>
      <c r="I9040" s="25" t="n"/>
      <c r="U9040" s="19">
        <f>IF($V9040&lt;&gt;'設定'!$C$4,N(U9039),IF(OR(NOT(COUNTIF('商品マスタ'!$B$6:$B$1005,$W9040)=0),COUNTIFS('①在庫を貼る'!$V$6:$V$10005,$V9040,'①在庫を貼る'!$W$6:$W$10005,$W9040)+COUNTIFS('月1回_1ヶ月前の在庫'!$V$6:$V$10005,$V9040,'月1回_1ヶ月前の在庫'!$W$6:$W$10005,$W9040)&gt;0),N(U9039),N(U9039)+1))</f>
        <v/>
      </c>
      <c r="V9040" s="19">
        <f>IF($B9040="","",TEXT($B9040,"0000"))</f>
        <v/>
      </c>
      <c r="W9040" s="19">
        <f>IF($I9040="","",IF(ISNUMBER($I9040),TEXT($I9040,"0"),$I9040))</f>
        <v/>
      </c>
    </row>
    <row r="9041">
      <c r="B9041" s="25" t="n"/>
      <c r="I9041" s="25" t="n"/>
      <c r="U9041" s="19">
        <f>IF($V9041&lt;&gt;'設定'!$C$4,N(U9040),IF(OR(NOT(COUNTIF('商品マスタ'!$B$6:$B$1005,$W9041)=0),COUNTIFS('①在庫を貼る'!$V$6:$V$10005,$V9041,'①在庫を貼る'!$W$6:$W$10005,$W9041)+COUNTIFS('月1回_1ヶ月前の在庫'!$V$6:$V$10005,$V9041,'月1回_1ヶ月前の在庫'!$W$6:$W$10005,$W9041)&gt;0),N(U9040),N(U9040)+1))</f>
        <v/>
      </c>
      <c r="V9041" s="19">
        <f>IF($B9041="","",TEXT($B9041,"0000"))</f>
        <v/>
      </c>
      <c r="W9041" s="19">
        <f>IF($I9041="","",IF(ISNUMBER($I9041),TEXT($I9041,"0"),$I9041))</f>
        <v/>
      </c>
    </row>
    <row r="9042">
      <c r="B9042" s="25" t="n"/>
      <c r="I9042" s="25" t="n"/>
      <c r="U9042" s="19">
        <f>IF($V9042&lt;&gt;'設定'!$C$4,N(U9041),IF(OR(NOT(COUNTIF('商品マスタ'!$B$6:$B$1005,$W9042)=0),COUNTIFS('①在庫を貼る'!$V$6:$V$10005,$V9042,'①在庫を貼る'!$W$6:$W$10005,$W9042)+COUNTIFS('月1回_1ヶ月前の在庫'!$V$6:$V$10005,$V9042,'月1回_1ヶ月前の在庫'!$W$6:$W$10005,$W9042)&gt;0),N(U9041),N(U9041)+1))</f>
        <v/>
      </c>
      <c r="V9042" s="19">
        <f>IF($B9042="","",TEXT($B9042,"0000"))</f>
        <v/>
      </c>
      <c r="W9042" s="19">
        <f>IF($I9042="","",IF(ISNUMBER($I9042),TEXT($I9042,"0"),$I9042))</f>
        <v/>
      </c>
    </row>
    <row r="9043">
      <c r="B9043" s="25" t="n"/>
      <c r="I9043" s="25" t="n"/>
      <c r="U9043" s="19">
        <f>IF($V9043&lt;&gt;'設定'!$C$4,N(U9042),IF(OR(NOT(COUNTIF('商品マスタ'!$B$6:$B$1005,$W9043)=0),COUNTIFS('①在庫を貼る'!$V$6:$V$10005,$V9043,'①在庫を貼る'!$W$6:$W$10005,$W9043)+COUNTIFS('月1回_1ヶ月前の在庫'!$V$6:$V$10005,$V9043,'月1回_1ヶ月前の在庫'!$W$6:$W$10005,$W9043)&gt;0),N(U9042),N(U9042)+1))</f>
        <v/>
      </c>
      <c r="V9043" s="19">
        <f>IF($B9043="","",TEXT($B9043,"0000"))</f>
        <v/>
      </c>
      <c r="W9043" s="19">
        <f>IF($I9043="","",IF(ISNUMBER($I9043),TEXT($I9043,"0"),$I9043))</f>
        <v/>
      </c>
    </row>
    <row r="9044">
      <c r="B9044" s="25" t="n"/>
      <c r="I9044" s="25" t="n"/>
      <c r="U9044" s="19">
        <f>IF($V9044&lt;&gt;'設定'!$C$4,N(U9043),IF(OR(NOT(COUNTIF('商品マスタ'!$B$6:$B$1005,$W9044)=0),COUNTIFS('①在庫を貼る'!$V$6:$V$10005,$V9044,'①在庫を貼る'!$W$6:$W$10005,$W9044)+COUNTIFS('月1回_1ヶ月前の在庫'!$V$6:$V$10005,$V9044,'月1回_1ヶ月前の在庫'!$W$6:$W$10005,$W9044)&gt;0),N(U9043),N(U9043)+1))</f>
        <v/>
      </c>
      <c r="V9044" s="19">
        <f>IF($B9044="","",TEXT($B9044,"0000"))</f>
        <v/>
      </c>
      <c r="W9044" s="19">
        <f>IF($I9044="","",IF(ISNUMBER($I9044),TEXT($I9044,"0"),$I9044))</f>
        <v/>
      </c>
    </row>
    <row r="9045">
      <c r="B9045" s="25" t="n"/>
      <c r="I9045" s="25" t="n"/>
      <c r="U9045" s="19">
        <f>IF($V9045&lt;&gt;'設定'!$C$4,N(U9044),IF(OR(NOT(COUNTIF('商品マスタ'!$B$6:$B$1005,$W9045)=0),COUNTIFS('①在庫を貼る'!$V$6:$V$10005,$V9045,'①在庫を貼る'!$W$6:$W$10005,$W9045)+COUNTIFS('月1回_1ヶ月前の在庫'!$V$6:$V$10005,$V9045,'月1回_1ヶ月前の在庫'!$W$6:$W$10005,$W9045)&gt;0),N(U9044),N(U9044)+1))</f>
        <v/>
      </c>
      <c r="V9045" s="19">
        <f>IF($B9045="","",TEXT($B9045,"0000"))</f>
        <v/>
      </c>
      <c r="W9045" s="19">
        <f>IF($I9045="","",IF(ISNUMBER($I9045),TEXT($I9045,"0"),$I9045))</f>
        <v/>
      </c>
    </row>
    <row r="9046">
      <c r="B9046" s="25" t="n"/>
      <c r="I9046" s="25" t="n"/>
      <c r="U9046" s="19">
        <f>IF($V9046&lt;&gt;'設定'!$C$4,N(U9045),IF(OR(NOT(COUNTIF('商品マスタ'!$B$6:$B$1005,$W9046)=0),COUNTIFS('①在庫を貼る'!$V$6:$V$10005,$V9046,'①在庫を貼る'!$W$6:$W$10005,$W9046)+COUNTIFS('月1回_1ヶ月前の在庫'!$V$6:$V$10005,$V9046,'月1回_1ヶ月前の在庫'!$W$6:$W$10005,$W9046)&gt;0),N(U9045),N(U9045)+1))</f>
        <v/>
      </c>
      <c r="V9046" s="19">
        <f>IF($B9046="","",TEXT($B9046,"0000"))</f>
        <v/>
      </c>
      <c r="W9046" s="19">
        <f>IF($I9046="","",IF(ISNUMBER($I9046),TEXT($I9046,"0"),$I9046))</f>
        <v/>
      </c>
    </row>
    <row r="9047">
      <c r="B9047" s="25" t="n"/>
      <c r="I9047" s="25" t="n"/>
      <c r="U9047" s="19">
        <f>IF($V9047&lt;&gt;'設定'!$C$4,N(U9046),IF(OR(NOT(COUNTIF('商品マスタ'!$B$6:$B$1005,$W9047)=0),COUNTIFS('①在庫を貼る'!$V$6:$V$10005,$V9047,'①在庫を貼る'!$W$6:$W$10005,$W9047)+COUNTIFS('月1回_1ヶ月前の在庫'!$V$6:$V$10005,$V9047,'月1回_1ヶ月前の在庫'!$W$6:$W$10005,$W9047)&gt;0),N(U9046),N(U9046)+1))</f>
        <v/>
      </c>
      <c r="V9047" s="19">
        <f>IF($B9047="","",TEXT($B9047,"0000"))</f>
        <v/>
      </c>
      <c r="W9047" s="19">
        <f>IF($I9047="","",IF(ISNUMBER($I9047),TEXT($I9047,"0"),$I9047))</f>
        <v/>
      </c>
    </row>
    <row r="9048">
      <c r="B9048" s="25" t="n"/>
      <c r="I9048" s="25" t="n"/>
      <c r="U9048" s="19">
        <f>IF($V9048&lt;&gt;'設定'!$C$4,N(U9047),IF(OR(NOT(COUNTIF('商品マスタ'!$B$6:$B$1005,$W9048)=0),COUNTIFS('①在庫を貼る'!$V$6:$V$10005,$V9048,'①在庫を貼る'!$W$6:$W$10005,$W9048)+COUNTIFS('月1回_1ヶ月前の在庫'!$V$6:$V$10005,$V9048,'月1回_1ヶ月前の在庫'!$W$6:$W$10005,$W9048)&gt;0),N(U9047),N(U9047)+1))</f>
        <v/>
      </c>
      <c r="V9048" s="19">
        <f>IF($B9048="","",TEXT($B9048,"0000"))</f>
        <v/>
      </c>
      <c r="W9048" s="19">
        <f>IF($I9048="","",IF(ISNUMBER($I9048),TEXT($I9048,"0"),$I9048))</f>
        <v/>
      </c>
    </row>
    <row r="9049">
      <c r="B9049" s="25" t="n"/>
      <c r="I9049" s="25" t="n"/>
      <c r="U9049" s="19">
        <f>IF($V9049&lt;&gt;'設定'!$C$4,N(U9048),IF(OR(NOT(COUNTIF('商品マスタ'!$B$6:$B$1005,$W9049)=0),COUNTIFS('①在庫を貼る'!$V$6:$V$10005,$V9049,'①在庫を貼る'!$W$6:$W$10005,$W9049)+COUNTIFS('月1回_1ヶ月前の在庫'!$V$6:$V$10005,$V9049,'月1回_1ヶ月前の在庫'!$W$6:$W$10005,$W9049)&gt;0),N(U9048),N(U9048)+1))</f>
        <v/>
      </c>
      <c r="V9049" s="19">
        <f>IF($B9049="","",TEXT($B9049,"0000"))</f>
        <v/>
      </c>
      <c r="W9049" s="19">
        <f>IF($I9049="","",IF(ISNUMBER($I9049),TEXT($I9049,"0"),$I9049))</f>
        <v/>
      </c>
    </row>
    <row r="9050">
      <c r="B9050" s="25" t="n"/>
      <c r="I9050" s="25" t="n"/>
      <c r="U9050" s="19">
        <f>IF($V9050&lt;&gt;'設定'!$C$4,N(U9049),IF(OR(NOT(COUNTIF('商品マスタ'!$B$6:$B$1005,$W9050)=0),COUNTIFS('①在庫を貼る'!$V$6:$V$10005,$V9050,'①在庫を貼る'!$W$6:$W$10005,$W9050)+COUNTIFS('月1回_1ヶ月前の在庫'!$V$6:$V$10005,$V9050,'月1回_1ヶ月前の在庫'!$W$6:$W$10005,$W9050)&gt;0),N(U9049),N(U9049)+1))</f>
        <v/>
      </c>
      <c r="V9050" s="19">
        <f>IF($B9050="","",TEXT($B9050,"0000"))</f>
        <v/>
      </c>
      <c r="W9050" s="19">
        <f>IF($I9050="","",IF(ISNUMBER($I9050),TEXT($I9050,"0"),$I9050))</f>
        <v/>
      </c>
    </row>
    <row r="9051">
      <c r="B9051" s="25" t="n"/>
      <c r="I9051" s="25" t="n"/>
      <c r="U9051" s="19">
        <f>IF($V9051&lt;&gt;'設定'!$C$4,N(U9050),IF(OR(NOT(COUNTIF('商品マスタ'!$B$6:$B$1005,$W9051)=0),COUNTIFS('①在庫を貼る'!$V$6:$V$10005,$V9051,'①在庫を貼る'!$W$6:$W$10005,$W9051)+COUNTIFS('月1回_1ヶ月前の在庫'!$V$6:$V$10005,$V9051,'月1回_1ヶ月前の在庫'!$W$6:$W$10005,$W9051)&gt;0),N(U9050),N(U9050)+1))</f>
        <v/>
      </c>
      <c r="V9051" s="19">
        <f>IF($B9051="","",TEXT($B9051,"0000"))</f>
        <v/>
      </c>
      <c r="W9051" s="19">
        <f>IF($I9051="","",IF(ISNUMBER($I9051),TEXT($I9051,"0"),$I9051))</f>
        <v/>
      </c>
    </row>
    <row r="9052">
      <c r="B9052" s="25" t="n"/>
      <c r="I9052" s="25" t="n"/>
      <c r="U9052" s="19">
        <f>IF($V9052&lt;&gt;'設定'!$C$4,N(U9051),IF(OR(NOT(COUNTIF('商品マスタ'!$B$6:$B$1005,$W9052)=0),COUNTIFS('①在庫を貼る'!$V$6:$V$10005,$V9052,'①在庫を貼る'!$W$6:$W$10005,$W9052)+COUNTIFS('月1回_1ヶ月前の在庫'!$V$6:$V$10005,$V9052,'月1回_1ヶ月前の在庫'!$W$6:$W$10005,$W9052)&gt;0),N(U9051),N(U9051)+1))</f>
        <v/>
      </c>
      <c r="V9052" s="19">
        <f>IF($B9052="","",TEXT($B9052,"0000"))</f>
        <v/>
      </c>
      <c r="W9052" s="19">
        <f>IF($I9052="","",IF(ISNUMBER($I9052),TEXT($I9052,"0"),$I9052))</f>
        <v/>
      </c>
    </row>
    <row r="9053">
      <c r="B9053" s="25" t="n"/>
      <c r="I9053" s="25" t="n"/>
      <c r="U9053" s="19">
        <f>IF($V9053&lt;&gt;'設定'!$C$4,N(U9052),IF(OR(NOT(COUNTIF('商品マスタ'!$B$6:$B$1005,$W9053)=0),COUNTIFS('①在庫を貼る'!$V$6:$V$10005,$V9053,'①在庫を貼る'!$W$6:$W$10005,$W9053)+COUNTIFS('月1回_1ヶ月前の在庫'!$V$6:$V$10005,$V9053,'月1回_1ヶ月前の在庫'!$W$6:$W$10005,$W9053)&gt;0),N(U9052),N(U9052)+1))</f>
        <v/>
      </c>
      <c r="V9053" s="19">
        <f>IF($B9053="","",TEXT($B9053,"0000"))</f>
        <v/>
      </c>
      <c r="W9053" s="19">
        <f>IF($I9053="","",IF(ISNUMBER($I9053),TEXT($I9053,"0"),$I9053))</f>
        <v/>
      </c>
    </row>
    <row r="9054">
      <c r="B9054" s="25" t="n"/>
      <c r="I9054" s="25" t="n"/>
      <c r="U9054" s="19">
        <f>IF($V9054&lt;&gt;'設定'!$C$4,N(U9053),IF(OR(NOT(COUNTIF('商品マスタ'!$B$6:$B$1005,$W9054)=0),COUNTIFS('①在庫を貼る'!$V$6:$V$10005,$V9054,'①在庫を貼る'!$W$6:$W$10005,$W9054)+COUNTIFS('月1回_1ヶ月前の在庫'!$V$6:$V$10005,$V9054,'月1回_1ヶ月前の在庫'!$W$6:$W$10005,$W9054)&gt;0),N(U9053),N(U9053)+1))</f>
        <v/>
      </c>
      <c r="V9054" s="19">
        <f>IF($B9054="","",TEXT($B9054,"0000"))</f>
        <v/>
      </c>
      <c r="W9054" s="19">
        <f>IF($I9054="","",IF(ISNUMBER($I9054),TEXT($I9054,"0"),$I9054))</f>
        <v/>
      </c>
    </row>
    <row r="9055">
      <c r="B9055" s="25" t="n"/>
      <c r="I9055" s="25" t="n"/>
      <c r="U9055" s="19">
        <f>IF($V9055&lt;&gt;'設定'!$C$4,N(U9054),IF(OR(NOT(COUNTIF('商品マスタ'!$B$6:$B$1005,$W9055)=0),COUNTIFS('①在庫を貼る'!$V$6:$V$10005,$V9055,'①在庫を貼る'!$W$6:$W$10005,$W9055)+COUNTIFS('月1回_1ヶ月前の在庫'!$V$6:$V$10005,$V9055,'月1回_1ヶ月前の在庫'!$W$6:$W$10005,$W9055)&gt;0),N(U9054),N(U9054)+1))</f>
        <v/>
      </c>
      <c r="V9055" s="19">
        <f>IF($B9055="","",TEXT($B9055,"0000"))</f>
        <v/>
      </c>
      <c r="W9055" s="19">
        <f>IF($I9055="","",IF(ISNUMBER($I9055),TEXT($I9055,"0"),$I9055))</f>
        <v/>
      </c>
    </row>
    <row r="9056">
      <c r="B9056" s="25" t="n"/>
      <c r="I9056" s="25" t="n"/>
      <c r="U9056" s="19">
        <f>IF($V9056&lt;&gt;'設定'!$C$4,N(U9055),IF(OR(NOT(COUNTIF('商品マスタ'!$B$6:$B$1005,$W9056)=0),COUNTIFS('①在庫を貼る'!$V$6:$V$10005,$V9056,'①在庫を貼る'!$W$6:$W$10005,$W9056)+COUNTIFS('月1回_1ヶ月前の在庫'!$V$6:$V$10005,$V9056,'月1回_1ヶ月前の在庫'!$W$6:$W$10005,$W9056)&gt;0),N(U9055),N(U9055)+1))</f>
        <v/>
      </c>
      <c r="V9056" s="19">
        <f>IF($B9056="","",TEXT($B9056,"0000"))</f>
        <v/>
      </c>
      <c r="W9056" s="19">
        <f>IF($I9056="","",IF(ISNUMBER($I9056),TEXT($I9056,"0"),$I9056))</f>
        <v/>
      </c>
    </row>
    <row r="9057">
      <c r="B9057" s="25" t="n"/>
      <c r="I9057" s="25" t="n"/>
      <c r="U9057" s="19">
        <f>IF($V9057&lt;&gt;'設定'!$C$4,N(U9056),IF(OR(NOT(COUNTIF('商品マスタ'!$B$6:$B$1005,$W9057)=0),COUNTIFS('①在庫を貼る'!$V$6:$V$10005,$V9057,'①在庫を貼る'!$W$6:$W$10005,$W9057)+COUNTIFS('月1回_1ヶ月前の在庫'!$V$6:$V$10005,$V9057,'月1回_1ヶ月前の在庫'!$W$6:$W$10005,$W9057)&gt;0),N(U9056),N(U9056)+1))</f>
        <v/>
      </c>
      <c r="V9057" s="19">
        <f>IF($B9057="","",TEXT($B9057,"0000"))</f>
        <v/>
      </c>
      <c r="W9057" s="19">
        <f>IF($I9057="","",IF(ISNUMBER($I9057),TEXT($I9057,"0"),$I9057))</f>
        <v/>
      </c>
    </row>
    <row r="9058">
      <c r="B9058" s="25" t="n"/>
      <c r="I9058" s="25" t="n"/>
      <c r="U9058" s="19">
        <f>IF($V9058&lt;&gt;'設定'!$C$4,N(U9057),IF(OR(NOT(COUNTIF('商品マスタ'!$B$6:$B$1005,$W9058)=0),COUNTIFS('①在庫を貼る'!$V$6:$V$10005,$V9058,'①在庫を貼る'!$W$6:$W$10005,$W9058)+COUNTIFS('月1回_1ヶ月前の在庫'!$V$6:$V$10005,$V9058,'月1回_1ヶ月前の在庫'!$W$6:$W$10005,$W9058)&gt;0),N(U9057),N(U9057)+1))</f>
        <v/>
      </c>
      <c r="V9058" s="19">
        <f>IF($B9058="","",TEXT($B9058,"0000"))</f>
        <v/>
      </c>
      <c r="W9058" s="19">
        <f>IF($I9058="","",IF(ISNUMBER($I9058),TEXT($I9058,"0"),$I9058))</f>
        <v/>
      </c>
    </row>
    <row r="9059">
      <c r="B9059" s="25" t="n"/>
      <c r="I9059" s="25" t="n"/>
      <c r="U9059" s="19">
        <f>IF($V9059&lt;&gt;'設定'!$C$4,N(U9058),IF(OR(NOT(COUNTIF('商品マスタ'!$B$6:$B$1005,$W9059)=0),COUNTIFS('①在庫を貼る'!$V$6:$V$10005,$V9059,'①在庫を貼る'!$W$6:$W$10005,$W9059)+COUNTIFS('月1回_1ヶ月前の在庫'!$V$6:$V$10005,$V9059,'月1回_1ヶ月前の在庫'!$W$6:$W$10005,$W9059)&gt;0),N(U9058),N(U9058)+1))</f>
        <v/>
      </c>
      <c r="V9059" s="19">
        <f>IF($B9059="","",TEXT($B9059,"0000"))</f>
        <v/>
      </c>
      <c r="W9059" s="19">
        <f>IF($I9059="","",IF(ISNUMBER($I9059),TEXT($I9059,"0"),$I9059))</f>
        <v/>
      </c>
    </row>
    <row r="9060">
      <c r="B9060" s="25" t="n"/>
      <c r="I9060" s="25" t="n"/>
      <c r="U9060" s="19">
        <f>IF($V9060&lt;&gt;'設定'!$C$4,N(U9059),IF(OR(NOT(COUNTIF('商品マスタ'!$B$6:$B$1005,$W9060)=0),COUNTIFS('①在庫を貼る'!$V$6:$V$10005,$V9060,'①在庫を貼る'!$W$6:$W$10005,$W9060)+COUNTIFS('月1回_1ヶ月前の在庫'!$V$6:$V$10005,$V9060,'月1回_1ヶ月前の在庫'!$W$6:$W$10005,$W9060)&gt;0),N(U9059),N(U9059)+1))</f>
        <v/>
      </c>
      <c r="V9060" s="19">
        <f>IF($B9060="","",TEXT($B9060,"0000"))</f>
        <v/>
      </c>
      <c r="W9060" s="19">
        <f>IF($I9060="","",IF(ISNUMBER($I9060),TEXT($I9060,"0"),$I9060))</f>
        <v/>
      </c>
    </row>
    <row r="9061">
      <c r="B9061" s="25" t="n"/>
      <c r="I9061" s="25" t="n"/>
      <c r="U9061" s="19">
        <f>IF($V9061&lt;&gt;'設定'!$C$4,N(U9060),IF(OR(NOT(COUNTIF('商品マスタ'!$B$6:$B$1005,$W9061)=0),COUNTIFS('①在庫を貼る'!$V$6:$V$10005,$V9061,'①在庫を貼る'!$W$6:$W$10005,$W9061)+COUNTIFS('月1回_1ヶ月前の在庫'!$V$6:$V$10005,$V9061,'月1回_1ヶ月前の在庫'!$W$6:$W$10005,$W9061)&gt;0),N(U9060),N(U9060)+1))</f>
        <v/>
      </c>
      <c r="V9061" s="19">
        <f>IF($B9061="","",TEXT($B9061,"0000"))</f>
        <v/>
      </c>
      <c r="W9061" s="19">
        <f>IF($I9061="","",IF(ISNUMBER($I9061),TEXT($I9061,"0"),$I9061))</f>
        <v/>
      </c>
    </row>
    <row r="9062">
      <c r="B9062" s="25" t="n"/>
      <c r="I9062" s="25" t="n"/>
      <c r="U9062" s="19">
        <f>IF($V9062&lt;&gt;'設定'!$C$4,N(U9061),IF(OR(NOT(COUNTIF('商品マスタ'!$B$6:$B$1005,$W9062)=0),COUNTIFS('①在庫を貼る'!$V$6:$V$10005,$V9062,'①在庫を貼る'!$W$6:$W$10005,$W9062)+COUNTIFS('月1回_1ヶ月前の在庫'!$V$6:$V$10005,$V9062,'月1回_1ヶ月前の在庫'!$W$6:$W$10005,$W9062)&gt;0),N(U9061),N(U9061)+1))</f>
        <v/>
      </c>
      <c r="V9062" s="19">
        <f>IF($B9062="","",TEXT($B9062,"0000"))</f>
        <v/>
      </c>
      <c r="W9062" s="19">
        <f>IF($I9062="","",IF(ISNUMBER($I9062),TEXT($I9062,"0"),$I9062))</f>
        <v/>
      </c>
    </row>
    <row r="9063">
      <c r="B9063" s="25" t="n"/>
      <c r="I9063" s="25" t="n"/>
      <c r="U9063" s="19">
        <f>IF($V9063&lt;&gt;'設定'!$C$4,N(U9062),IF(OR(NOT(COUNTIF('商品マスタ'!$B$6:$B$1005,$W9063)=0),COUNTIFS('①在庫を貼る'!$V$6:$V$10005,$V9063,'①在庫を貼る'!$W$6:$W$10005,$W9063)+COUNTIFS('月1回_1ヶ月前の在庫'!$V$6:$V$10005,$V9063,'月1回_1ヶ月前の在庫'!$W$6:$W$10005,$W9063)&gt;0),N(U9062),N(U9062)+1))</f>
        <v/>
      </c>
      <c r="V9063" s="19">
        <f>IF($B9063="","",TEXT($B9063,"0000"))</f>
        <v/>
      </c>
      <c r="W9063" s="19">
        <f>IF($I9063="","",IF(ISNUMBER($I9063),TEXT($I9063,"0"),$I9063))</f>
        <v/>
      </c>
    </row>
    <row r="9064">
      <c r="B9064" s="25" t="n"/>
      <c r="I9064" s="25" t="n"/>
      <c r="U9064" s="19">
        <f>IF($V9064&lt;&gt;'設定'!$C$4,N(U9063),IF(OR(NOT(COUNTIF('商品マスタ'!$B$6:$B$1005,$W9064)=0),COUNTIFS('①在庫を貼る'!$V$6:$V$10005,$V9064,'①在庫を貼る'!$W$6:$W$10005,$W9064)+COUNTIFS('月1回_1ヶ月前の在庫'!$V$6:$V$10005,$V9064,'月1回_1ヶ月前の在庫'!$W$6:$W$10005,$W9064)&gt;0),N(U9063),N(U9063)+1))</f>
        <v/>
      </c>
      <c r="V9064" s="19">
        <f>IF($B9064="","",TEXT($B9064,"0000"))</f>
        <v/>
      </c>
      <c r="W9064" s="19">
        <f>IF($I9064="","",IF(ISNUMBER($I9064),TEXT($I9064,"0"),$I9064))</f>
        <v/>
      </c>
    </row>
    <row r="9065">
      <c r="B9065" s="25" t="n"/>
      <c r="I9065" s="25" t="n"/>
      <c r="U9065" s="19">
        <f>IF($V9065&lt;&gt;'設定'!$C$4,N(U9064),IF(OR(NOT(COUNTIF('商品マスタ'!$B$6:$B$1005,$W9065)=0),COUNTIFS('①在庫を貼る'!$V$6:$V$10005,$V9065,'①在庫を貼る'!$W$6:$W$10005,$W9065)+COUNTIFS('月1回_1ヶ月前の在庫'!$V$6:$V$10005,$V9065,'月1回_1ヶ月前の在庫'!$W$6:$W$10005,$W9065)&gt;0),N(U9064),N(U9064)+1))</f>
        <v/>
      </c>
      <c r="V9065" s="19">
        <f>IF($B9065="","",TEXT($B9065,"0000"))</f>
        <v/>
      </c>
      <c r="W9065" s="19">
        <f>IF($I9065="","",IF(ISNUMBER($I9065),TEXT($I9065,"0"),$I9065))</f>
        <v/>
      </c>
    </row>
    <row r="9066">
      <c r="B9066" s="25" t="n"/>
      <c r="I9066" s="25" t="n"/>
      <c r="U9066" s="19">
        <f>IF($V9066&lt;&gt;'設定'!$C$4,N(U9065),IF(OR(NOT(COUNTIF('商品マスタ'!$B$6:$B$1005,$W9066)=0),COUNTIFS('①在庫を貼る'!$V$6:$V$10005,$V9066,'①在庫を貼る'!$W$6:$W$10005,$W9066)+COUNTIFS('月1回_1ヶ月前の在庫'!$V$6:$V$10005,$V9066,'月1回_1ヶ月前の在庫'!$W$6:$W$10005,$W9066)&gt;0),N(U9065),N(U9065)+1))</f>
        <v/>
      </c>
      <c r="V9066" s="19">
        <f>IF($B9066="","",TEXT($B9066,"0000"))</f>
        <v/>
      </c>
      <c r="W9066" s="19">
        <f>IF($I9066="","",IF(ISNUMBER($I9066),TEXT($I9066,"0"),$I9066))</f>
        <v/>
      </c>
    </row>
    <row r="9067">
      <c r="B9067" s="25" t="n"/>
      <c r="I9067" s="25" t="n"/>
      <c r="U9067" s="19">
        <f>IF($V9067&lt;&gt;'設定'!$C$4,N(U9066),IF(OR(NOT(COUNTIF('商品マスタ'!$B$6:$B$1005,$W9067)=0),COUNTIFS('①在庫を貼る'!$V$6:$V$10005,$V9067,'①在庫を貼る'!$W$6:$W$10005,$W9067)+COUNTIFS('月1回_1ヶ月前の在庫'!$V$6:$V$10005,$V9067,'月1回_1ヶ月前の在庫'!$W$6:$W$10005,$W9067)&gt;0),N(U9066),N(U9066)+1))</f>
        <v/>
      </c>
      <c r="V9067" s="19">
        <f>IF($B9067="","",TEXT($B9067,"0000"))</f>
        <v/>
      </c>
      <c r="W9067" s="19">
        <f>IF($I9067="","",IF(ISNUMBER($I9067),TEXT($I9067,"0"),$I9067))</f>
        <v/>
      </c>
    </row>
    <row r="9068">
      <c r="B9068" s="25" t="n"/>
      <c r="I9068" s="25" t="n"/>
      <c r="U9068" s="19">
        <f>IF($V9068&lt;&gt;'設定'!$C$4,N(U9067),IF(OR(NOT(COUNTIF('商品マスタ'!$B$6:$B$1005,$W9068)=0),COUNTIFS('①在庫を貼る'!$V$6:$V$10005,$V9068,'①在庫を貼る'!$W$6:$W$10005,$W9068)+COUNTIFS('月1回_1ヶ月前の在庫'!$V$6:$V$10005,$V9068,'月1回_1ヶ月前の在庫'!$W$6:$W$10005,$W9068)&gt;0),N(U9067),N(U9067)+1))</f>
        <v/>
      </c>
      <c r="V9068" s="19">
        <f>IF($B9068="","",TEXT($B9068,"0000"))</f>
        <v/>
      </c>
      <c r="W9068" s="19">
        <f>IF($I9068="","",IF(ISNUMBER($I9068),TEXT($I9068,"0"),$I9068))</f>
        <v/>
      </c>
    </row>
    <row r="9069">
      <c r="B9069" s="25" t="n"/>
      <c r="I9069" s="25" t="n"/>
      <c r="U9069" s="19">
        <f>IF($V9069&lt;&gt;'設定'!$C$4,N(U9068),IF(OR(NOT(COUNTIF('商品マスタ'!$B$6:$B$1005,$W9069)=0),COUNTIFS('①在庫を貼る'!$V$6:$V$10005,$V9069,'①在庫を貼る'!$W$6:$W$10005,$W9069)+COUNTIFS('月1回_1ヶ月前の在庫'!$V$6:$V$10005,$V9069,'月1回_1ヶ月前の在庫'!$W$6:$W$10005,$W9069)&gt;0),N(U9068),N(U9068)+1))</f>
        <v/>
      </c>
      <c r="V9069" s="19">
        <f>IF($B9069="","",TEXT($B9069,"0000"))</f>
        <v/>
      </c>
      <c r="W9069" s="19">
        <f>IF($I9069="","",IF(ISNUMBER($I9069),TEXT($I9069,"0"),$I9069))</f>
        <v/>
      </c>
    </row>
    <row r="9070">
      <c r="B9070" s="25" t="n"/>
      <c r="I9070" s="25" t="n"/>
      <c r="U9070" s="19">
        <f>IF($V9070&lt;&gt;'設定'!$C$4,N(U9069),IF(OR(NOT(COUNTIF('商品マスタ'!$B$6:$B$1005,$W9070)=0),COUNTIFS('①在庫を貼る'!$V$6:$V$10005,$V9070,'①在庫を貼る'!$W$6:$W$10005,$W9070)+COUNTIFS('月1回_1ヶ月前の在庫'!$V$6:$V$10005,$V9070,'月1回_1ヶ月前の在庫'!$W$6:$W$10005,$W9070)&gt;0),N(U9069),N(U9069)+1))</f>
        <v/>
      </c>
      <c r="V9070" s="19">
        <f>IF($B9070="","",TEXT($B9070,"0000"))</f>
        <v/>
      </c>
      <c r="W9070" s="19">
        <f>IF($I9070="","",IF(ISNUMBER($I9070),TEXT($I9070,"0"),$I9070))</f>
        <v/>
      </c>
    </row>
    <row r="9071">
      <c r="B9071" s="25" t="n"/>
      <c r="I9071" s="25" t="n"/>
      <c r="U9071" s="19">
        <f>IF($V9071&lt;&gt;'設定'!$C$4,N(U9070),IF(OR(NOT(COUNTIF('商品マスタ'!$B$6:$B$1005,$W9071)=0),COUNTIFS('①在庫を貼る'!$V$6:$V$10005,$V9071,'①在庫を貼る'!$W$6:$W$10005,$W9071)+COUNTIFS('月1回_1ヶ月前の在庫'!$V$6:$V$10005,$V9071,'月1回_1ヶ月前の在庫'!$W$6:$W$10005,$W9071)&gt;0),N(U9070),N(U9070)+1))</f>
        <v/>
      </c>
      <c r="V9071" s="19">
        <f>IF($B9071="","",TEXT($B9071,"0000"))</f>
        <v/>
      </c>
      <c r="W9071" s="19">
        <f>IF($I9071="","",IF(ISNUMBER($I9071),TEXT($I9071,"0"),$I9071))</f>
        <v/>
      </c>
    </row>
    <row r="9072">
      <c r="B9072" s="25" t="n"/>
      <c r="I9072" s="25" t="n"/>
      <c r="U9072" s="19">
        <f>IF($V9072&lt;&gt;'設定'!$C$4,N(U9071),IF(OR(NOT(COUNTIF('商品マスタ'!$B$6:$B$1005,$W9072)=0),COUNTIFS('①在庫を貼る'!$V$6:$V$10005,$V9072,'①在庫を貼る'!$W$6:$W$10005,$W9072)+COUNTIFS('月1回_1ヶ月前の在庫'!$V$6:$V$10005,$V9072,'月1回_1ヶ月前の在庫'!$W$6:$W$10005,$W9072)&gt;0),N(U9071),N(U9071)+1))</f>
        <v/>
      </c>
      <c r="V9072" s="19">
        <f>IF($B9072="","",TEXT($B9072,"0000"))</f>
        <v/>
      </c>
      <c r="W9072" s="19">
        <f>IF($I9072="","",IF(ISNUMBER($I9072),TEXT($I9072,"0"),$I9072))</f>
        <v/>
      </c>
    </row>
    <row r="9073">
      <c r="B9073" s="25" t="n"/>
      <c r="I9073" s="25" t="n"/>
      <c r="U9073" s="19">
        <f>IF($V9073&lt;&gt;'設定'!$C$4,N(U9072),IF(OR(NOT(COUNTIF('商品マスタ'!$B$6:$B$1005,$W9073)=0),COUNTIFS('①在庫を貼る'!$V$6:$V$10005,$V9073,'①在庫を貼る'!$W$6:$W$10005,$W9073)+COUNTIFS('月1回_1ヶ月前の在庫'!$V$6:$V$10005,$V9073,'月1回_1ヶ月前の在庫'!$W$6:$W$10005,$W9073)&gt;0),N(U9072),N(U9072)+1))</f>
        <v/>
      </c>
      <c r="V9073" s="19">
        <f>IF($B9073="","",TEXT($B9073,"0000"))</f>
        <v/>
      </c>
      <c r="W9073" s="19">
        <f>IF($I9073="","",IF(ISNUMBER($I9073),TEXT($I9073,"0"),$I9073))</f>
        <v/>
      </c>
    </row>
    <row r="9074">
      <c r="B9074" s="25" t="n"/>
      <c r="I9074" s="25" t="n"/>
      <c r="U9074" s="19">
        <f>IF($V9074&lt;&gt;'設定'!$C$4,N(U9073),IF(OR(NOT(COUNTIF('商品マスタ'!$B$6:$B$1005,$W9074)=0),COUNTIFS('①在庫を貼る'!$V$6:$V$10005,$V9074,'①在庫を貼る'!$W$6:$W$10005,$W9074)+COUNTIFS('月1回_1ヶ月前の在庫'!$V$6:$V$10005,$V9074,'月1回_1ヶ月前の在庫'!$W$6:$W$10005,$W9074)&gt;0),N(U9073),N(U9073)+1))</f>
        <v/>
      </c>
      <c r="V9074" s="19">
        <f>IF($B9074="","",TEXT($B9074,"0000"))</f>
        <v/>
      </c>
      <c r="W9074" s="19">
        <f>IF($I9074="","",IF(ISNUMBER($I9074),TEXT($I9074,"0"),$I9074))</f>
        <v/>
      </c>
    </row>
    <row r="9075">
      <c r="B9075" s="25" t="n"/>
      <c r="I9075" s="25" t="n"/>
      <c r="U9075" s="19">
        <f>IF($V9075&lt;&gt;'設定'!$C$4,N(U9074),IF(OR(NOT(COUNTIF('商品マスタ'!$B$6:$B$1005,$W9075)=0),COUNTIFS('①在庫を貼る'!$V$6:$V$10005,$V9075,'①在庫を貼る'!$W$6:$W$10005,$W9075)+COUNTIFS('月1回_1ヶ月前の在庫'!$V$6:$V$10005,$V9075,'月1回_1ヶ月前の在庫'!$W$6:$W$10005,$W9075)&gt;0),N(U9074),N(U9074)+1))</f>
        <v/>
      </c>
      <c r="V9075" s="19">
        <f>IF($B9075="","",TEXT($B9075,"0000"))</f>
        <v/>
      </c>
      <c r="W9075" s="19">
        <f>IF($I9075="","",IF(ISNUMBER($I9075),TEXT($I9075,"0"),$I9075))</f>
        <v/>
      </c>
    </row>
    <row r="9076">
      <c r="B9076" s="25" t="n"/>
      <c r="I9076" s="25" t="n"/>
      <c r="U9076" s="19">
        <f>IF($V9076&lt;&gt;'設定'!$C$4,N(U9075),IF(OR(NOT(COUNTIF('商品マスタ'!$B$6:$B$1005,$W9076)=0),COUNTIFS('①在庫を貼る'!$V$6:$V$10005,$V9076,'①在庫を貼る'!$W$6:$W$10005,$W9076)+COUNTIFS('月1回_1ヶ月前の在庫'!$V$6:$V$10005,$V9076,'月1回_1ヶ月前の在庫'!$W$6:$W$10005,$W9076)&gt;0),N(U9075),N(U9075)+1))</f>
        <v/>
      </c>
      <c r="V9076" s="19">
        <f>IF($B9076="","",TEXT($B9076,"0000"))</f>
        <v/>
      </c>
      <c r="W9076" s="19">
        <f>IF($I9076="","",IF(ISNUMBER($I9076),TEXT($I9076,"0"),$I9076))</f>
        <v/>
      </c>
    </row>
    <row r="9077">
      <c r="B9077" s="25" t="n"/>
      <c r="I9077" s="25" t="n"/>
      <c r="U9077" s="19">
        <f>IF($V9077&lt;&gt;'設定'!$C$4,N(U9076),IF(OR(NOT(COUNTIF('商品マスタ'!$B$6:$B$1005,$W9077)=0),COUNTIFS('①在庫を貼る'!$V$6:$V$10005,$V9077,'①在庫を貼る'!$W$6:$W$10005,$W9077)+COUNTIFS('月1回_1ヶ月前の在庫'!$V$6:$V$10005,$V9077,'月1回_1ヶ月前の在庫'!$W$6:$W$10005,$W9077)&gt;0),N(U9076),N(U9076)+1))</f>
        <v/>
      </c>
      <c r="V9077" s="19">
        <f>IF($B9077="","",TEXT($B9077,"0000"))</f>
        <v/>
      </c>
      <c r="W9077" s="19">
        <f>IF($I9077="","",IF(ISNUMBER($I9077),TEXT($I9077,"0"),$I9077))</f>
        <v/>
      </c>
    </row>
    <row r="9078">
      <c r="B9078" s="25" t="n"/>
      <c r="I9078" s="25" t="n"/>
      <c r="U9078" s="19">
        <f>IF($V9078&lt;&gt;'設定'!$C$4,N(U9077),IF(OR(NOT(COUNTIF('商品マスタ'!$B$6:$B$1005,$W9078)=0),COUNTIFS('①在庫を貼る'!$V$6:$V$10005,$V9078,'①在庫を貼る'!$W$6:$W$10005,$W9078)+COUNTIFS('月1回_1ヶ月前の在庫'!$V$6:$V$10005,$V9078,'月1回_1ヶ月前の在庫'!$W$6:$W$10005,$W9078)&gt;0),N(U9077),N(U9077)+1))</f>
        <v/>
      </c>
      <c r="V9078" s="19">
        <f>IF($B9078="","",TEXT($B9078,"0000"))</f>
        <v/>
      </c>
      <c r="W9078" s="19">
        <f>IF($I9078="","",IF(ISNUMBER($I9078),TEXT($I9078,"0"),$I9078))</f>
        <v/>
      </c>
    </row>
    <row r="9079">
      <c r="B9079" s="25" t="n"/>
      <c r="I9079" s="25" t="n"/>
      <c r="U9079" s="19">
        <f>IF($V9079&lt;&gt;'設定'!$C$4,N(U9078),IF(OR(NOT(COUNTIF('商品マスタ'!$B$6:$B$1005,$W9079)=0),COUNTIFS('①在庫を貼る'!$V$6:$V$10005,$V9079,'①在庫を貼る'!$W$6:$W$10005,$W9079)+COUNTIFS('月1回_1ヶ月前の在庫'!$V$6:$V$10005,$V9079,'月1回_1ヶ月前の在庫'!$W$6:$W$10005,$W9079)&gt;0),N(U9078),N(U9078)+1))</f>
        <v/>
      </c>
      <c r="V9079" s="19">
        <f>IF($B9079="","",TEXT($B9079,"0000"))</f>
        <v/>
      </c>
      <c r="W9079" s="19">
        <f>IF($I9079="","",IF(ISNUMBER($I9079),TEXT($I9079,"0"),$I9079))</f>
        <v/>
      </c>
    </row>
    <row r="9080">
      <c r="B9080" s="25" t="n"/>
      <c r="I9080" s="25" t="n"/>
      <c r="U9080" s="19">
        <f>IF($V9080&lt;&gt;'設定'!$C$4,N(U9079),IF(OR(NOT(COUNTIF('商品マスタ'!$B$6:$B$1005,$W9080)=0),COUNTIFS('①在庫を貼る'!$V$6:$V$10005,$V9080,'①在庫を貼る'!$W$6:$W$10005,$W9080)+COUNTIFS('月1回_1ヶ月前の在庫'!$V$6:$V$10005,$V9080,'月1回_1ヶ月前の在庫'!$W$6:$W$10005,$W9080)&gt;0),N(U9079),N(U9079)+1))</f>
        <v/>
      </c>
      <c r="V9080" s="19">
        <f>IF($B9080="","",TEXT($B9080,"0000"))</f>
        <v/>
      </c>
      <c r="W9080" s="19">
        <f>IF($I9080="","",IF(ISNUMBER($I9080),TEXT($I9080,"0"),$I9080))</f>
        <v/>
      </c>
    </row>
    <row r="9081">
      <c r="B9081" s="25" t="n"/>
      <c r="I9081" s="25" t="n"/>
      <c r="U9081" s="19">
        <f>IF($V9081&lt;&gt;'設定'!$C$4,N(U9080),IF(OR(NOT(COUNTIF('商品マスタ'!$B$6:$B$1005,$W9081)=0),COUNTIFS('①在庫を貼る'!$V$6:$V$10005,$V9081,'①在庫を貼る'!$W$6:$W$10005,$W9081)+COUNTIFS('月1回_1ヶ月前の在庫'!$V$6:$V$10005,$V9081,'月1回_1ヶ月前の在庫'!$W$6:$W$10005,$W9081)&gt;0),N(U9080),N(U9080)+1))</f>
        <v/>
      </c>
      <c r="V9081" s="19">
        <f>IF($B9081="","",TEXT($B9081,"0000"))</f>
        <v/>
      </c>
      <c r="W9081" s="19">
        <f>IF($I9081="","",IF(ISNUMBER($I9081),TEXT($I9081,"0"),$I9081))</f>
        <v/>
      </c>
    </row>
    <row r="9082">
      <c r="B9082" s="25" t="n"/>
      <c r="I9082" s="25" t="n"/>
      <c r="U9082" s="19">
        <f>IF($V9082&lt;&gt;'設定'!$C$4,N(U9081),IF(OR(NOT(COUNTIF('商品マスタ'!$B$6:$B$1005,$W9082)=0),COUNTIFS('①在庫を貼る'!$V$6:$V$10005,$V9082,'①在庫を貼る'!$W$6:$W$10005,$W9082)+COUNTIFS('月1回_1ヶ月前の在庫'!$V$6:$V$10005,$V9082,'月1回_1ヶ月前の在庫'!$W$6:$W$10005,$W9082)&gt;0),N(U9081),N(U9081)+1))</f>
        <v/>
      </c>
      <c r="V9082" s="19">
        <f>IF($B9082="","",TEXT($B9082,"0000"))</f>
        <v/>
      </c>
      <c r="W9082" s="19">
        <f>IF($I9082="","",IF(ISNUMBER($I9082),TEXT($I9082,"0"),$I9082))</f>
        <v/>
      </c>
    </row>
    <row r="9083">
      <c r="B9083" s="25" t="n"/>
      <c r="I9083" s="25" t="n"/>
      <c r="U9083" s="19">
        <f>IF($V9083&lt;&gt;'設定'!$C$4,N(U9082),IF(OR(NOT(COUNTIF('商品マスタ'!$B$6:$B$1005,$W9083)=0),COUNTIFS('①在庫を貼る'!$V$6:$V$10005,$V9083,'①在庫を貼る'!$W$6:$W$10005,$W9083)+COUNTIFS('月1回_1ヶ月前の在庫'!$V$6:$V$10005,$V9083,'月1回_1ヶ月前の在庫'!$W$6:$W$10005,$W9083)&gt;0),N(U9082),N(U9082)+1))</f>
        <v/>
      </c>
      <c r="V9083" s="19">
        <f>IF($B9083="","",TEXT($B9083,"0000"))</f>
        <v/>
      </c>
      <c r="W9083" s="19">
        <f>IF($I9083="","",IF(ISNUMBER($I9083),TEXT($I9083,"0"),$I9083))</f>
        <v/>
      </c>
    </row>
    <row r="9084">
      <c r="B9084" s="25" t="n"/>
      <c r="I9084" s="25" t="n"/>
      <c r="U9084" s="19">
        <f>IF($V9084&lt;&gt;'設定'!$C$4,N(U9083),IF(OR(NOT(COUNTIF('商品マスタ'!$B$6:$B$1005,$W9084)=0),COUNTIFS('①在庫を貼る'!$V$6:$V$10005,$V9084,'①在庫を貼る'!$W$6:$W$10005,$W9084)+COUNTIFS('月1回_1ヶ月前の在庫'!$V$6:$V$10005,$V9084,'月1回_1ヶ月前の在庫'!$W$6:$W$10005,$W9084)&gt;0),N(U9083),N(U9083)+1))</f>
        <v/>
      </c>
      <c r="V9084" s="19">
        <f>IF($B9084="","",TEXT($B9084,"0000"))</f>
        <v/>
      </c>
      <c r="W9084" s="19">
        <f>IF($I9084="","",IF(ISNUMBER($I9084),TEXT($I9084,"0"),$I9084))</f>
        <v/>
      </c>
    </row>
    <row r="9085">
      <c r="B9085" s="25" t="n"/>
      <c r="I9085" s="25" t="n"/>
      <c r="U9085" s="19">
        <f>IF($V9085&lt;&gt;'設定'!$C$4,N(U9084),IF(OR(NOT(COUNTIF('商品マスタ'!$B$6:$B$1005,$W9085)=0),COUNTIFS('①在庫を貼る'!$V$6:$V$10005,$V9085,'①在庫を貼る'!$W$6:$W$10005,$W9085)+COUNTIFS('月1回_1ヶ月前の在庫'!$V$6:$V$10005,$V9085,'月1回_1ヶ月前の在庫'!$W$6:$W$10005,$W9085)&gt;0),N(U9084),N(U9084)+1))</f>
        <v/>
      </c>
      <c r="V9085" s="19">
        <f>IF($B9085="","",TEXT($B9085,"0000"))</f>
        <v/>
      </c>
      <c r="W9085" s="19">
        <f>IF($I9085="","",IF(ISNUMBER($I9085),TEXT($I9085,"0"),$I9085))</f>
        <v/>
      </c>
    </row>
    <row r="9086">
      <c r="B9086" s="25" t="n"/>
      <c r="I9086" s="25" t="n"/>
      <c r="U9086" s="19">
        <f>IF($V9086&lt;&gt;'設定'!$C$4,N(U9085),IF(OR(NOT(COUNTIF('商品マスタ'!$B$6:$B$1005,$W9086)=0),COUNTIFS('①在庫を貼る'!$V$6:$V$10005,$V9086,'①在庫を貼る'!$W$6:$W$10005,$W9086)+COUNTIFS('月1回_1ヶ月前の在庫'!$V$6:$V$10005,$V9086,'月1回_1ヶ月前の在庫'!$W$6:$W$10005,$W9086)&gt;0),N(U9085),N(U9085)+1))</f>
        <v/>
      </c>
      <c r="V9086" s="19">
        <f>IF($B9086="","",TEXT($B9086,"0000"))</f>
        <v/>
      </c>
      <c r="W9086" s="19">
        <f>IF($I9086="","",IF(ISNUMBER($I9086),TEXT($I9086,"0"),$I9086))</f>
        <v/>
      </c>
    </row>
    <row r="9087">
      <c r="B9087" s="25" t="n"/>
      <c r="I9087" s="25" t="n"/>
      <c r="U9087" s="19">
        <f>IF($V9087&lt;&gt;'設定'!$C$4,N(U9086),IF(OR(NOT(COUNTIF('商品マスタ'!$B$6:$B$1005,$W9087)=0),COUNTIFS('①在庫を貼る'!$V$6:$V$10005,$V9087,'①在庫を貼る'!$W$6:$W$10005,$W9087)+COUNTIFS('月1回_1ヶ月前の在庫'!$V$6:$V$10005,$V9087,'月1回_1ヶ月前の在庫'!$W$6:$W$10005,$W9087)&gt;0),N(U9086),N(U9086)+1))</f>
        <v/>
      </c>
      <c r="V9087" s="19">
        <f>IF($B9087="","",TEXT($B9087,"0000"))</f>
        <v/>
      </c>
      <c r="W9087" s="19">
        <f>IF($I9087="","",IF(ISNUMBER($I9087),TEXT($I9087,"0"),$I9087))</f>
        <v/>
      </c>
    </row>
    <row r="9088">
      <c r="B9088" s="25" t="n"/>
      <c r="I9088" s="25" t="n"/>
      <c r="U9088" s="19">
        <f>IF($V9088&lt;&gt;'設定'!$C$4,N(U9087),IF(OR(NOT(COUNTIF('商品マスタ'!$B$6:$B$1005,$W9088)=0),COUNTIFS('①在庫を貼る'!$V$6:$V$10005,$V9088,'①在庫を貼る'!$W$6:$W$10005,$W9088)+COUNTIFS('月1回_1ヶ月前の在庫'!$V$6:$V$10005,$V9088,'月1回_1ヶ月前の在庫'!$W$6:$W$10005,$W9088)&gt;0),N(U9087),N(U9087)+1))</f>
        <v/>
      </c>
      <c r="V9088" s="19">
        <f>IF($B9088="","",TEXT($B9088,"0000"))</f>
        <v/>
      </c>
      <c r="W9088" s="19">
        <f>IF($I9088="","",IF(ISNUMBER($I9088),TEXT($I9088,"0"),$I9088))</f>
        <v/>
      </c>
    </row>
    <row r="9089">
      <c r="B9089" s="25" t="n"/>
      <c r="I9089" s="25" t="n"/>
      <c r="U9089" s="19">
        <f>IF($V9089&lt;&gt;'設定'!$C$4,N(U9088),IF(OR(NOT(COUNTIF('商品マスタ'!$B$6:$B$1005,$W9089)=0),COUNTIFS('①在庫を貼る'!$V$6:$V$10005,$V9089,'①在庫を貼る'!$W$6:$W$10005,$W9089)+COUNTIFS('月1回_1ヶ月前の在庫'!$V$6:$V$10005,$V9089,'月1回_1ヶ月前の在庫'!$W$6:$W$10005,$W9089)&gt;0),N(U9088),N(U9088)+1))</f>
        <v/>
      </c>
      <c r="V9089" s="19">
        <f>IF($B9089="","",TEXT($B9089,"0000"))</f>
        <v/>
      </c>
      <c r="W9089" s="19">
        <f>IF($I9089="","",IF(ISNUMBER($I9089),TEXT($I9089,"0"),$I9089))</f>
        <v/>
      </c>
    </row>
    <row r="9090">
      <c r="B9090" s="25" t="n"/>
      <c r="I9090" s="25" t="n"/>
      <c r="U9090" s="19">
        <f>IF($V9090&lt;&gt;'設定'!$C$4,N(U9089),IF(OR(NOT(COUNTIF('商品マスタ'!$B$6:$B$1005,$W9090)=0),COUNTIFS('①在庫を貼る'!$V$6:$V$10005,$V9090,'①在庫を貼る'!$W$6:$W$10005,$W9090)+COUNTIFS('月1回_1ヶ月前の在庫'!$V$6:$V$10005,$V9090,'月1回_1ヶ月前の在庫'!$W$6:$W$10005,$W9090)&gt;0),N(U9089),N(U9089)+1))</f>
        <v/>
      </c>
      <c r="V9090" s="19">
        <f>IF($B9090="","",TEXT($B9090,"0000"))</f>
        <v/>
      </c>
      <c r="W9090" s="19">
        <f>IF($I9090="","",IF(ISNUMBER($I9090),TEXT($I9090,"0"),$I9090))</f>
        <v/>
      </c>
    </row>
    <row r="9091">
      <c r="B9091" s="25" t="n"/>
      <c r="I9091" s="25" t="n"/>
      <c r="U9091" s="19">
        <f>IF($V9091&lt;&gt;'設定'!$C$4,N(U9090),IF(OR(NOT(COUNTIF('商品マスタ'!$B$6:$B$1005,$W9091)=0),COUNTIFS('①在庫を貼る'!$V$6:$V$10005,$V9091,'①在庫を貼る'!$W$6:$W$10005,$W9091)+COUNTIFS('月1回_1ヶ月前の在庫'!$V$6:$V$10005,$V9091,'月1回_1ヶ月前の在庫'!$W$6:$W$10005,$W9091)&gt;0),N(U9090),N(U9090)+1))</f>
        <v/>
      </c>
      <c r="V9091" s="19">
        <f>IF($B9091="","",TEXT($B9091,"0000"))</f>
        <v/>
      </c>
      <c r="W9091" s="19">
        <f>IF($I9091="","",IF(ISNUMBER($I9091),TEXT($I9091,"0"),$I9091))</f>
        <v/>
      </c>
    </row>
    <row r="9092">
      <c r="B9092" s="25" t="n"/>
      <c r="I9092" s="25" t="n"/>
      <c r="U9092" s="19">
        <f>IF($V9092&lt;&gt;'設定'!$C$4,N(U9091),IF(OR(NOT(COUNTIF('商品マスタ'!$B$6:$B$1005,$W9092)=0),COUNTIFS('①在庫を貼る'!$V$6:$V$10005,$V9092,'①在庫を貼る'!$W$6:$W$10005,$W9092)+COUNTIFS('月1回_1ヶ月前の在庫'!$V$6:$V$10005,$V9092,'月1回_1ヶ月前の在庫'!$W$6:$W$10005,$W9092)&gt;0),N(U9091),N(U9091)+1))</f>
        <v/>
      </c>
      <c r="V9092" s="19">
        <f>IF($B9092="","",TEXT($B9092,"0000"))</f>
        <v/>
      </c>
      <c r="W9092" s="19">
        <f>IF($I9092="","",IF(ISNUMBER($I9092),TEXT($I9092,"0"),$I9092))</f>
        <v/>
      </c>
    </row>
    <row r="9093">
      <c r="B9093" s="25" t="n"/>
      <c r="I9093" s="25" t="n"/>
      <c r="U9093" s="19">
        <f>IF($V9093&lt;&gt;'設定'!$C$4,N(U9092),IF(OR(NOT(COUNTIF('商品マスタ'!$B$6:$B$1005,$W9093)=0),COUNTIFS('①在庫を貼る'!$V$6:$V$10005,$V9093,'①在庫を貼る'!$W$6:$W$10005,$W9093)+COUNTIFS('月1回_1ヶ月前の在庫'!$V$6:$V$10005,$V9093,'月1回_1ヶ月前の在庫'!$W$6:$W$10005,$W9093)&gt;0),N(U9092),N(U9092)+1))</f>
        <v/>
      </c>
      <c r="V9093" s="19">
        <f>IF($B9093="","",TEXT($B9093,"0000"))</f>
        <v/>
      </c>
      <c r="W9093" s="19">
        <f>IF($I9093="","",IF(ISNUMBER($I9093),TEXT($I9093,"0"),$I9093))</f>
        <v/>
      </c>
    </row>
    <row r="9094">
      <c r="B9094" s="25" t="n"/>
      <c r="I9094" s="25" t="n"/>
      <c r="U9094" s="19">
        <f>IF($V9094&lt;&gt;'設定'!$C$4,N(U9093),IF(OR(NOT(COUNTIF('商品マスタ'!$B$6:$B$1005,$W9094)=0),COUNTIFS('①在庫を貼る'!$V$6:$V$10005,$V9094,'①在庫を貼る'!$W$6:$W$10005,$W9094)+COUNTIFS('月1回_1ヶ月前の在庫'!$V$6:$V$10005,$V9094,'月1回_1ヶ月前の在庫'!$W$6:$W$10005,$W9094)&gt;0),N(U9093),N(U9093)+1))</f>
        <v/>
      </c>
      <c r="V9094" s="19">
        <f>IF($B9094="","",TEXT($B9094,"0000"))</f>
        <v/>
      </c>
      <c r="W9094" s="19">
        <f>IF($I9094="","",IF(ISNUMBER($I9094),TEXT($I9094,"0"),$I9094))</f>
        <v/>
      </c>
    </row>
    <row r="9095">
      <c r="B9095" s="25" t="n"/>
      <c r="I9095" s="25" t="n"/>
      <c r="U9095" s="19">
        <f>IF($V9095&lt;&gt;'設定'!$C$4,N(U9094),IF(OR(NOT(COUNTIF('商品マスタ'!$B$6:$B$1005,$W9095)=0),COUNTIFS('①在庫を貼る'!$V$6:$V$10005,$V9095,'①在庫を貼る'!$W$6:$W$10005,$W9095)+COUNTIFS('月1回_1ヶ月前の在庫'!$V$6:$V$10005,$V9095,'月1回_1ヶ月前の在庫'!$W$6:$W$10005,$W9095)&gt;0),N(U9094),N(U9094)+1))</f>
        <v/>
      </c>
      <c r="V9095" s="19">
        <f>IF($B9095="","",TEXT($B9095,"0000"))</f>
        <v/>
      </c>
      <c r="W9095" s="19">
        <f>IF($I9095="","",IF(ISNUMBER($I9095),TEXT($I9095,"0"),$I9095))</f>
        <v/>
      </c>
    </row>
    <row r="9096">
      <c r="B9096" s="25" t="n"/>
      <c r="I9096" s="25" t="n"/>
      <c r="U9096" s="19">
        <f>IF($V9096&lt;&gt;'設定'!$C$4,N(U9095),IF(OR(NOT(COUNTIF('商品マスタ'!$B$6:$B$1005,$W9096)=0),COUNTIFS('①在庫を貼る'!$V$6:$V$10005,$V9096,'①在庫を貼る'!$W$6:$W$10005,$W9096)+COUNTIFS('月1回_1ヶ月前の在庫'!$V$6:$V$10005,$V9096,'月1回_1ヶ月前の在庫'!$W$6:$W$10005,$W9096)&gt;0),N(U9095),N(U9095)+1))</f>
        <v/>
      </c>
      <c r="V9096" s="19">
        <f>IF($B9096="","",TEXT($B9096,"0000"))</f>
        <v/>
      </c>
      <c r="W9096" s="19">
        <f>IF($I9096="","",IF(ISNUMBER($I9096),TEXT($I9096,"0"),$I9096))</f>
        <v/>
      </c>
    </row>
    <row r="9097">
      <c r="B9097" s="25" t="n"/>
      <c r="I9097" s="25" t="n"/>
      <c r="U9097" s="19">
        <f>IF($V9097&lt;&gt;'設定'!$C$4,N(U9096),IF(OR(NOT(COUNTIF('商品マスタ'!$B$6:$B$1005,$W9097)=0),COUNTIFS('①在庫を貼る'!$V$6:$V$10005,$V9097,'①在庫を貼る'!$W$6:$W$10005,$W9097)+COUNTIFS('月1回_1ヶ月前の在庫'!$V$6:$V$10005,$V9097,'月1回_1ヶ月前の在庫'!$W$6:$W$10005,$W9097)&gt;0),N(U9096),N(U9096)+1))</f>
        <v/>
      </c>
      <c r="V9097" s="19">
        <f>IF($B9097="","",TEXT($B9097,"0000"))</f>
        <v/>
      </c>
      <c r="W9097" s="19">
        <f>IF($I9097="","",IF(ISNUMBER($I9097),TEXT($I9097,"0"),$I9097))</f>
        <v/>
      </c>
    </row>
    <row r="9098">
      <c r="B9098" s="25" t="n"/>
      <c r="I9098" s="25" t="n"/>
      <c r="U9098" s="19">
        <f>IF($V9098&lt;&gt;'設定'!$C$4,N(U9097),IF(OR(NOT(COUNTIF('商品マスタ'!$B$6:$B$1005,$W9098)=0),COUNTIFS('①在庫を貼る'!$V$6:$V$10005,$V9098,'①在庫を貼る'!$W$6:$W$10005,$W9098)+COUNTIFS('月1回_1ヶ月前の在庫'!$V$6:$V$10005,$V9098,'月1回_1ヶ月前の在庫'!$W$6:$W$10005,$W9098)&gt;0),N(U9097),N(U9097)+1))</f>
        <v/>
      </c>
      <c r="V9098" s="19">
        <f>IF($B9098="","",TEXT($B9098,"0000"))</f>
        <v/>
      </c>
      <c r="W9098" s="19">
        <f>IF($I9098="","",IF(ISNUMBER($I9098),TEXT($I9098,"0"),$I9098))</f>
        <v/>
      </c>
    </row>
    <row r="9099">
      <c r="B9099" s="25" t="n"/>
      <c r="I9099" s="25" t="n"/>
      <c r="U9099" s="19">
        <f>IF($V9099&lt;&gt;'設定'!$C$4,N(U9098),IF(OR(NOT(COUNTIF('商品マスタ'!$B$6:$B$1005,$W9099)=0),COUNTIFS('①在庫を貼る'!$V$6:$V$10005,$V9099,'①在庫を貼る'!$W$6:$W$10005,$W9099)+COUNTIFS('月1回_1ヶ月前の在庫'!$V$6:$V$10005,$V9099,'月1回_1ヶ月前の在庫'!$W$6:$W$10005,$W9099)&gt;0),N(U9098),N(U9098)+1))</f>
        <v/>
      </c>
      <c r="V9099" s="19">
        <f>IF($B9099="","",TEXT($B9099,"0000"))</f>
        <v/>
      </c>
      <c r="W9099" s="19">
        <f>IF($I9099="","",IF(ISNUMBER($I9099),TEXT($I9099,"0"),$I9099))</f>
        <v/>
      </c>
    </row>
    <row r="9100">
      <c r="B9100" s="25" t="n"/>
      <c r="I9100" s="25" t="n"/>
      <c r="U9100" s="19">
        <f>IF($V9100&lt;&gt;'設定'!$C$4,N(U9099),IF(OR(NOT(COUNTIF('商品マスタ'!$B$6:$B$1005,$W9100)=0),COUNTIFS('①在庫を貼る'!$V$6:$V$10005,$V9100,'①在庫を貼る'!$W$6:$W$10005,$W9100)+COUNTIFS('月1回_1ヶ月前の在庫'!$V$6:$V$10005,$V9100,'月1回_1ヶ月前の在庫'!$W$6:$W$10005,$W9100)&gt;0),N(U9099),N(U9099)+1))</f>
        <v/>
      </c>
      <c r="V9100" s="19">
        <f>IF($B9100="","",TEXT($B9100,"0000"))</f>
        <v/>
      </c>
      <c r="W9100" s="19">
        <f>IF($I9100="","",IF(ISNUMBER($I9100),TEXT($I9100,"0"),$I9100))</f>
        <v/>
      </c>
    </row>
    <row r="9101">
      <c r="B9101" s="25" t="n"/>
      <c r="I9101" s="25" t="n"/>
      <c r="U9101" s="19">
        <f>IF($V9101&lt;&gt;'設定'!$C$4,N(U9100),IF(OR(NOT(COUNTIF('商品マスタ'!$B$6:$B$1005,$W9101)=0),COUNTIFS('①在庫を貼る'!$V$6:$V$10005,$V9101,'①在庫を貼る'!$W$6:$W$10005,$W9101)+COUNTIFS('月1回_1ヶ月前の在庫'!$V$6:$V$10005,$V9101,'月1回_1ヶ月前の在庫'!$W$6:$W$10005,$W9101)&gt;0),N(U9100),N(U9100)+1))</f>
        <v/>
      </c>
      <c r="V9101" s="19">
        <f>IF($B9101="","",TEXT($B9101,"0000"))</f>
        <v/>
      </c>
      <c r="W9101" s="19">
        <f>IF($I9101="","",IF(ISNUMBER($I9101),TEXT($I9101,"0"),$I9101))</f>
        <v/>
      </c>
    </row>
    <row r="9102">
      <c r="B9102" s="25" t="n"/>
      <c r="I9102" s="25" t="n"/>
      <c r="U9102" s="19">
        <f>IF($V9102&lt;&gt;'設定'!$C$4,N(U9101),IF(OR(NOT(COUNTIF('商品マスタ'!$B$6:$B$1005,$W9102)=0),COUNTIFS('①在庫を貼る'!$V$6:$V$10005,$V9102,'①在庫を貼る'!$W$6:$W$10005,$W9102)+COUNTIFS('月1回_1ヶ月前の在庫'!$V$6:$V$10005,$V9102,'月1回_1ヶ月前の在庫'!$W$6:$W$10005,$W9102)&gt;0),N(U9101),N(U9101)+1))</f>
        <v/>
      </c>
      <c r="V9102" s="19">
        <f>IF($B9102="","",TEXT($B9102,"0000"))</f>
        <v/>
      </c>
      <c r="W9102" s="19">
        <f>IF($I9102="","",IF(ISNUMBER($I9102),TEXT($I9102,"0"),$I9102))</f>
        <v/>
      </c>
    </row>
    <row r="9103">
      <c r="B9103" s="25" t="n"/>
      <c r="I9103" s="25" t="n"/>
      <c r="U9103" s="19">
        <f>IF($V9103&lt;&gt;'設定'!$C$4,N(U9102),IF(OR(NOT(COUNTIF('商品マスタ'!$B$6:$B$1005,$W9103)=0),COUNTIFS('①在庫を貼る'!$V$6:$V$10005,$V9103,'①在庫を貼る'!$W$6:$W$10005,$W9103)+COUNTIFS('月1回_1ヶ月前の在庫'!$V$6:$V$10005,$V9103,'月1回_1ヶ月前の在庫'!$W$6:$W$10005,$W9103)&gt;0),N(U9102),N(U9102)+1))</f>
        <v/>
      </c>
      <c r="V9103" s="19">
        <f>IF($B9103="","",TEXT($B9103,"0000"))</f>
        <v/>
      </c>
      <c r="W9103" s="19">
        <f>IF($I9103="","",IF(ISNUMBER($I9103),TEXT($I9103,"0"),$I9103))</f>
        <v/>
      </c>
    </row>
    <row r="9104">
      <c r="B9104" s="25" t="n"/>
      <c r="I9104" s="25" t="n"/>
      <c r="U9104" s="19">
        <f>IF($V9104&lt;&gt;'設定'!$C$4,N(U9103),IF(OR(NOT(COUNTIF('商品マスタ'!$B$6:$B$1005,$W9104)=0),COUNTIFS('①在庫を貼る'!$V$6:$V$10005,$V9104,'①在庫を貼る'!$W$6:$W$10005,$W9104)+COUNTIFS('月1回_1ヶ月前の在庫'!$V$6:$V$10005,$V9104,'月1回_1ヶ月前の在庫'!$W$6:$W$10005,$W9104)&gt;0),N(U9103),N(U9103)+1))</f>
        <v/>
      </c>
      <c r="V9104" s="19">
        <f>IF($B9104="","",TEXT($B9104,"0000"))</f>
        <v/>
      </c>
      <c r="W9104" s="19">
        <f>IF($I9104="","",IF(ISNUMBER($I9104),TEXT($I9104,"0"),$I9104))</f>
        <v/>
      </c>
    </row>
    <row r="9105">
      <c r="B9105" s="25" t="n"/>
      <c r="I9105" s="25" t="n"/>
      <c r="U9105" s="19">
        <f>IF($V9105&lt;&gt;'設定'!$C$4,N(U9104),IF(OR(NOT(COUNTIF('商品マスタ'!$B$6:$B$1005,$W9105)=0),COUNTIFS('①在庫を貼る'!$V$6:$V$10005,$V9105,'①在庫を貼る'!$W$6:$W$10005,$W9105)+COUNTIFS('月1回_1ヶ月前の在庫'!$V$6:$V$10005,$V9105,'月1回_1ヶ月前の在庫'!$W$6:$W$10005,$W9105)&gt;0),N(U9104),N(U9104)+1))</f>
        <v/>
      </c>
      <c r="V9105" s="19">
        <f>IF($B9105="","",TEXT($B9105,"0000"))</f>
        <v/>
      </c>
      <c r="W9105" s="19">
        <f>IF($I9105="","",IF(ISNUMBER($I9105),TEXT($I9105,"0"),$I9105))</f>
        <v/>
      </c>
    </row>
    <row r="9106">
      <c r="B9106" s="25" t="n"/>
      <c r="I9106" s="25" t="n"/>
      <c r="U9106" s="19">
        <f>IF($V9106&lt;&gt;'設定'!$C$4,N(U9105),IF(OR(NOT(COUNTIF('商品マスタ'!$B$6:$B$1005,$W9106)=0),COUNTIFS('①在庫を貼る'!$V$6:$V$10005,$V9106,'①在庫を貼る'!$W$6:$W$10005,$W9106)+COUNTIFS('月1回_1ヶ月前の在庫'!$V$6:$V$10005,$V9106,'月1回_1ヶ月前の在庫'!$W$6:$W$10005,$W9106)&gt;0),N(U9105),N(U9105)+1))</f>
        <v/>
      </c>
      <c r="V9106" s="19">
        <f>IF($B9106="","",TEXT($B9106,"0000"))</f>
        <v/>
      </c>
      <c r="W9106" s="19">
        <f>IF($I9106="","",IF(ISNUMBER($I9106),TEXT($I9106,"0"),$I9106))</f>
        <v/>
      </c>
    </row>
    <row r="9107">
      <c r="B9107" s="25" t="n"/>
      <c r="I9107" s="25" t="n"/>
      <c r="U9107" s="19">
        <f>IF($V9107&lt;&gt;'設定'!$C$4,N(U9106),IF(OR(NOT(COUNTIF('商品マスタ'!$B$6:$B$1005,$W9107)=0),COUNTIFS('①在庫を貼る'!$V$6:$V$10005,$V9107,'①在庫を貼る'!$W$6:$W$10005,$W9107)+COUNTIFS('月1回_1ヶ月前の在庫'!$V$6:$V$10005,$V9107,'月1回_1ヶ月前の在庫'!$W$6:$W$10005,$W9107)&gt;0),N(U9106),N(U9106)+1))</f>
        <v/>
      </c>
      <c r="V9107" s="19">
        <f>IF($B9107="","",TEXT($B9107,"0000"))</f>
        <v/>
      </c>
      <c r="W9107" s="19">
        <f>IF($I9107="","",IF(ISNUMBER($I9107),TEXT($I9107,"0"),$I9107))</f>
        <v/>
      </c>
    </row>
    <row r="9108">
      <c r="B9108" s="25" t="n"/>
      <c r="I9108" s="25" t="n"/>
      <c r="U9108" s="19">
        <f>IF($V9108&lt;&gt;'設定'!$C$4,N(U9107),IF(OR(NOT(COUNTIF('商品マスタ'!$B$6:$B$1005,$W9108)=0),COUNTIFS('①在庫を貼る'!$V$6:$V$10005,$V9108,'①在庫を貼る'!$W$6:$W$10005,$W9108)+COUNTIFS('月1回_1ヶ月前の在庫'!$V$6:$V$10005,$V9108,'月1回_1ヶ月前の在庫'!$W$6:$W$10005,$W9108)&gt;0),N(U9107),N(U9107)+1))</f>
        <v/>
      </c>
      <c r="V9108" s="19">
        <f>IF($B9108="","",TEXT($B9108,"0000"))</f>
        <v/>
      </c>
      <c r="W9108" s="19">
        <f>IF($I9108="","",IF(ISNUMBER($I9108),TEXT($I9108,"0"),$I9108))</f>
        <v/>
      </c>
    </row>
    <row r="9109">
      <c r="B9109" s="25" t="n"/>
      <c r="I9109" s="25" t="n"/>
      <c r="U9109" s="19">
        <f>IF($V9109&lt;&gt;'設定'!$C$4,N(U9108),IF(OR(NOT(COUNTIF('商品マスタ'!$B$6:$B$1005,$W9109)=0),COUNTIFS('①在庫を貼る'!$V$6:$V$10005,$V9109,'①在庫を貼る'!$W$6:$W$10005,$W9109)+COUNTIFS('月1回_1ヶ月前の在庫'!$V$6:$V$10005,$V9109,'月1回_1ヶ月前の在庫'!$W$6:$W$10005,$W9109)&gt;0),N(U9108),N(U9108)+1))</f>
        <v/>
      </c>
      <c r="V9109" s="19">
        <f>IF($B9109="","",TEXT($B9109,"0000"))</f>
        <v/>
      </c>
      <c r="W9109" s="19">
        <f>IF($I9109="","",IF(ISNUMBER($I9109),TEXT($I9109,"0"),$I9109))</f>
        <v/>
      </c>
    </row>
    <row r="9110">
      <c r="B9110" s="25" t="n"/>
      <c r="I9110" s="25" t="n"/>
      <c r="U9110" s="19">
        <f>IF($V9110&lt;&gt;'設定'!$C$4,N(U9109),IF(OR(NOT(COUNTIF('商品マスタ'!$B$6:$B$1005,$W9110)=0),COUNTIFS('①在庫を貼る'!$V$6:$V$10005,$V9110,'①在庫を貼る'!$W$6:$W$10005,$W9110)+COUNTIFS('月1回_1ヶ月前の在庫'!$V$6:$V$10005,$V9110,'月1回_1ヶ月前の在庫'!$W$6:$W$10005,$W9110)&gt;0),N(U9109),N(U9109)+1))</f>
        <v/>
      </c>
      <c r="V9110" s="19">
        <f>IF($B9110="","",TEXT($B9110,"0000"))</f>
        <v/>
      </c>
      <c r="W9110" s="19">
        <f>IF($I9110="","",IF(ISNUMBER($I9110),TEXT($I9110,"0"),$I9110))</f>
        <v/>
      </c>
    </row>
    <row r="9111">
      <c r="B9111" s="25" t="n"/>
      <c r="I9111" s="25" t="n"/>
      <c r="U9111" s="19">
        <f>IF($V9111&lt;&gt;'設定'!$C$4,N(U9110),IF(OR(NOT(COUNTIF('商品マスタ'!$B$6:$B$1005,$W9111)=0),COUNTIFS('①在庫を貼る'!$V$6:$V$10005,$V9111,'①在庫を貼る'!$W$6:$W$10005,$W9111)+COUNTIFS('月1回_1ヶ月前の在庫'!$V$6:$V$10005,$V9111,'月1回_1ヶ月前の在庫'!$W$6:$W$10005,$W9111)&gt;0),N(U9110),N(U9110)+1))</f>
        <v/>
      </c>
      <c r="V9111" s="19">
        <f>IF($B9111="","",TEXT($B9111,"0000"))</f>
        <v/>
      </c>
      <c r="W9111" s="19">
        <f>IF($I9111="","",IF(ISNUMBER($I9111),TEXT($I9111,"0"),$I9111))</f>
        <v/>
      </c>
    </row>
    <row r="9112">
      <c r="B9112" s="25" t="n"/>
      <c r="I9112" s="25" t="n"/>
      <c r="U9112" s="19">
        <f>IF($V9112&lt;&gt;'設定'!$C$4,N(U9111),IF(OR(NOT(COUNTIF('商品マスタ'!$B$6:$B$1005,$W9112)=0),COUNTIFS('①在庫を貼る'!$V$6:$V$10005,$V9112,'①在庫を貼る'!$W$6:$W$10005,$W9112)+COUNTIFS('月1回_1ヶ月前の在庫'!$V$6:$V$10005,$V9112,'月1回_1ヶ月前の在庫'!$W$6:$W$10005,$W9112)&gt;0),N(U9111),N(U9111)+1))</f>
        <v/>
      </c>
      <c r="V9112" s="19">
        <f>IF($B9112="","",TEXT($B9112,"0000"))</f>
        <v/>
      </c>
      <c r="W9112" s="19">
        <f>IF($I9112="","",IF(ISNUMBER($I9112),TEXT($I9112,"0"),$I9112))</f>
        <v/>
      </c>
    </row>
    <row r="9113">
      <c r="B9113" s="25" t="n"/>
      <c r="I9113" s="25" t="n"/>
      <c r="U9113" s="19">
        <f>IF($V9113&lt;&gt;'設定'!$C$4,N(U9112),IF(OR(NOT(COUNTIF('商品マスタ'!$B$6:$B$1005,$W9113)=0),COUNTIFS('①在庫を貼る'!$V$6:$V$10005,$V9113,'①在庫を貼る'!$W$6:$W$10005,$W9113)+COUNTIFS('月1回_1ヶ月前の在庫'!$V$6:$V$10005,$V9113,'月1回_1ヶ月前の在庫'!$W$6:$W$10005,$W9113)&gt;0),N(U9112),N(U9112)+1))</f>
        <v/>
      </c>
      <c r="V9113" s="19">
        <f>IF($B9113="","",TEXT($B9113,"0000"))</f>
        <v/>
      </c>
      <c r="W9113" s="19">
        <f>IF($I9113="","",IF(ISNUMBER($I9113),TEXT($I9113,"0"),$I9113))</f>
        <v/>
      </c>
    </row>
    <row r="9114">
      <c r="B9114" s="25" t="n"/>
      <c r="I9114" s="25" t="n"/>
      <c r="U9114" s="19">
        <f>IF($V9114&lt;&gt;'設定'!$C$4,N(U9113),IF(OR(NOT(COUNTIF('商品マスタ'!$B$6:$B$1005,$W9114)=0),COUNTIFS('①在庫を貼る'!$V$6:$V$10005,$V9114,'①在庫を貼る'!$W$6:$W$10005,$W9114)+COUNTIFS('月1回_1ヶ月前の在庫'!$V$6:$V$10005,$V9114,'月1回_1ヶ月前の在庫'!$W$6:$W$10005,$W9114)&gt;0),N(U9113),N(U9113)+1))</f>
        <v/>
      </c>
      <c r="V9114" s="19">
        <f>IF($B9114="","",TEXT($B9114,"0000"))</f>
        <v/>
      </c>
      <c r="W9114" s="19">
        <f>IF($I9114="","",IF(ISNUMBER($I9114),TEXT($I9114,"0"),$I9114))</f>
        <v/>
      </c>
    </row>
    <row r="9115">
      <c r="B9115" s="25" t="n"/>
      <c r="I9115" s="25" t="n"/>
      <c r="U9115" s="19">
        <f>IF($V9115&lt;&gt;'設定'!$C$4,N(U9114),IF(OR(NOT(COUNTIF('商品マスタ'!$B$6:$B$1005,$W9115)=0),COUNTIFS('①在庫を貼る'!$V$6:$V$10005,$V9115,'①在庫を貼る'!$W$6:$W$10005,$W9115)+COUNTIFS('月1回_1ヶ月前の在庫'!$V$6:$V$10005,$V9115,'月1回_1ヶ月前の在庫'!$W$6:$W$10005,$W9115)&gt;0),N(U9114),N(U9114)+1))</f>
        <v/>
      </c>
      <c r="V9115" s="19">
        <f>IF($B9115="","",TEXT($B9115,"0000"))</f>
        <v/>
      </c>
      <c r="W9115" s="19">
        <f>IF($I9115="","",IF(ISNUMBER($I9115),TEXT($I9115,"0"),$I9115))</f>
        <v/>
      </c>
    </row>
    <row r="9116">
      <c r="B9116" s="25" t="n"/>
      <c r="I9116" s="25" t="n"/>
      <c r="U9116" s="19">
        <f>IF($V9116&lt;&gt;'設定'!$C$4,N(U9115),IF(OR(NOT(COUNTIF('商品マスタ'!$B$6:$B$1005,$W9116)=0),COUNTIFS('①在庫を貼る'!$V$6:$V$10005,$V9116,'①在庫を貼る'!$W$6:$W$10005,$W9116)+COUNTIFS('月1回_1ヶ月前の在庫'!$V$6:$V$10005,$V9116,'月1回_1ヶ月前の在庫'!$W$6:$W$10005,$W9116)&gt;0),N(U9115),N(U9115)+1))</f>
        <v/>
      </c>
      <c r="V9116" s="19">
        <f>IF($B9116="","",TEXT($B9116,"0000"))</f>
        <v/>
      </c>
      <c r="W9116" s="19">
        <f>IF($I9116="","",IF(ISNUMBER($I9116),TEXT($I9116,"0"),$I9116))</f>
        <v/>
      </c>
    </row>
    <row r="9117">
      <c r="B9117" s="25" t="n"/>
      <c r="I9117" s="25" t="n"/>
      <c r="U9117" s="19">
        <f>IF($V9117&lt;&gt;'設定'!$C$4,N(U9116),IF(OR(NOT(COUNTIF('商品マスタ'!$B$6:$B$1005,$W9117)=0),COUNTIFS('①在庫を貼る'!$V$6:$V$10005,$V9117,'①在庫を貼る'!$W$6:$W$10005,$W9117)+COUNTIFS('月1回_1ヶ月前の在庫'!$V$6:$V$10005,$V9117,'月1回_1ヶ月前の在庫'!$W$6:$W$10005,$W9117)&gt;0),N(U9116),N(U9116)+1))</f>
        <v/>
      </c>
      <c r="V9117" s="19">
        <f>IF($B9117="","",TEXT($B9117,"0000"))</f>
        <v/>
      </c>
      <c r="W9117" s="19">
        <f>IF($I9117="","",IF(ISNUMBER($I9117),TEXT($I9117,"0"),$I9117))</f>
        <v/>
      </c>
    </row>
    <row r="9118">
      <c r="B9118" s="25" t="n"/>
      <c r="I9118" s="25" t="n"/>
      <c r="U9118" s="19">
        <f>IF($V9118&lt;&gt;'設定'!$C$4,N(U9117),IF(OR(NOT(COUNTIF('商品マスタ'!$B$6:$B$1005,$W9118)=0),COUNTIFS('①在庫を貼る'!$V$6:$V$10005,$V9118,'①在庫を貼る'!$W$6:$W$10005,$W9118)+COUNTIFS('月1回_1ヶ月前の在庫'!$V$6:$V$10005,$V9118,'月1回_1ヶ月前の在庫'!$W$6:$W$10005,$W9118)&gt;0),N(U9117),N(U9117)+1))</f>
        <v/>
      </c>
      <c r="V9118" s="19">
        <f>IF($B9118="","",TEXT($B9118,"0000"))</f>
        <v/>
      </c>
      <c r="W9118" s="19">
        <f>IF($I9118="","",IF(ISNUMBER($I9118),TEXT($I9118,"0"),$I9118))</f>
        <v/>
      </c>
    </row>
    <row r="9119">
      <c r="B9119" s="25" t="n"/>
      <c r="I9119" s="25" t="n"/>
      <c r="U9119" s="19">
        <f>IF($V9119&lt;&gt;'設定'!$C$4,N(U9118),IF(OR(NOT(COUNTIF('商品マスタ'!$B$6:$B$1005,$W9119)=0),COUNTIFS('①在庫を貼る'!$V$6:$V$10005,$V9119,'①在庫を貼る'!$W$6:$W$10005,$W9119)+COUNTIFS('月1回_1ヶ月前の在庫'!$V$6:$V$10005,$V9119,'月1回_1ヶ月前の在庫'!$W$6:$W$10005,$W9119)&gt;0),N(U9118),N(U9118)+1))</f>
        <v/>
      </c>
      <c r="V9119" s="19">
        <f>IF($B9119="","",TEXT($B9119,"0000"))</f>
        <v/>
      </c>
      <c r="W9119" s="19">
        <f>IF($I9119="","",IF(ISNUMBER($I9119),TEXT($I9119,"0"),$I9119))</f>
        <v/>
      </c>
    </row>
    <row r="9120">
      <c r="B9120" s="25" t="n"/>
      <c r="I9120" s="25" t="n"/>
      <c r="U9120" s="19">
        <f>IF($V9120&lt;&gt;'設定'!$C$4,N(U9119),IF(OR(NOT(COUNTIF('商品マスタ'!$B$6:$B$1005,$W9120)=0),COUNTIFS('①在庫を貼る'!$V$6:$V$10005,$V9120,'①在庫を貼る'!$W$6:$W$10005,$W9120)+COUNTIFS('月1回_1ヶ月前の在庫'!$V$6:$V$10005,$V9120,'月1回_1ヶ月前の在庫'!$W$6:$W$10005,$W9120)&gt;0),N(U9119),N(U9119)+1))</f>
        <v/>
      </c>
      <c r="V9120" s="19">
        <f>IF($B9120="","",TEXT($B9120,"0000"))</f>
        <v/>
      </c>
      <c r="W9120" s="19">
        <f>IF($I9120="","",IF(ISNUMBER($I9120),TEXT($I9120,"0"),$I9120))</f>
        <v/>
      </c>
    </row>
    <row r="9121">
      <c r="B9121" s="25" t="n"/>
      <c r="I9121" s="25" t="n"/>
      <c r="U9121" s="19">
        <f>IF($V9121&lt;&gt;'設定'!$C$4,N(U9120),IF(OR(NOT(COUNTIF('商品マスタ'!$B$6:$B$1005,$W9121)=0),COUNTIFS('①在庫を貼る'!$V$6:$V$10005,$V9121,'①在庫を貼る'!$W$6:$W$10005,$W9121)+COUNTIFS('月1回_1ヶ月前の在庫'!$V$6:$V$10005,$V9121,'月1回_1ヶ月前の在庫'!$W$6:$W$10005,$W9121)&gt;0),N(U9120),N(U9120)+1))</f>
        <v/>
      </c>
      <c r="V9121" s="19">
        <f>IF($B9121="","",TEXT($B9121,"0000"))</f>
        <v/>
      </c>
      <c r="W9121" s="19">
        <f>IF($I9121="","",IF(ISNUMBER($I9121),TEXT($I9121,"0"),$I9121))</f>
        <v/>
      </c>
    </row>
    <row r="9122">
      <c r="B9122" s="25" t="n"/>
      <c r="I9122" s="25" t="n"/>
      <c r="U9122" s="19">
        <f>IF($V9122&lt;&gt;'設定'!$C$4,N(U9121),IF(OR(NOT(COUNTIF('商品マスタ'!$B$6:$B$1005,$W9122)=0),COUNTIFS('①在庫を貼る'!$V$6:$V$10005,$V9122,'①在庫を貼る'!$W$6:$W$10005,$W9122)+COUNTIFS('月1回_1ヶ月前の在庫'!$V$6:$V$10005,$V9122,'月1回_1ヶ月前の在庫'!$W$6:$W$10005,$W9122)&gt;0),N(U9121),N(U9121)+1))</f>
        <v/>
      </c>
      <c r="V9122" s="19">
        <f>IF($B9122="","",TEXT($B9122,"0000"))</f>
        <v/>
      </c>
      <c r="W9122" s="19">
        <f>IF($I9122="","",IF(ISNUMBER($I9122),TEXT($I9122,"0"),$I9122))</f>
        <v/>
      </c>
    </row>
    <row r="9123">
      <c r="B9123" s="25" t="n"/>
      <c r="I9123" s="25" t="n"/>
      <c r="U9123" s="19">
        <f>IF($V9123&lt;&gt;'設定'!$C$4,N(U9122),IF(OR(NOT(COUNTIF('商品マスタ'!$B$6:$B$1005,$W9123)=0),COUNTIFS('①在庫を貼る'!$V$6:$V$10005,$V9123,'①在庫を貼る'!$W$6:$W$10005,$W9123)+COUNTIFS('月1回_1ヶ月前の在庫'!$V$6:$V$10005,$V9123,'月1回_1ヶ月前の在庫'!$W$6:$W$10005,$W9123)&gt;0),N(U9122),N(U9122)+1))</f>
        <v/>
      </c>
      <c r="V9123" s="19">
        <f>IF($B9123="","",TEXT($B9123,"0000"))</f>
        <v/>
      </c>
      <c r="W9123" s="19">
        <f>IF($I9123="","",IF(ISNUMBER($I9123),TEXT($I9123,"0"),$I9123))</f>
        <v/>
      </c>
    </row>
    <row r="9124">
      <c r="B9124" s="25" t="n"/>
      <c r="I9124" s="25" t="n"/>
      <c r="U9124" s="19">
        <f>IF($V9124&lt;&gt;'設定'!$C$4,N(U9123),IF(OR(NOT(COUNTIF('商品マスタ'!$B$6:$B$1005,$W9124)=0),COUNTIFS('①在庫を貼る'!$V$6:$V$10005,$V9124,'①在庫を貼る'!$W$6:$W$10005,$W9124)+COUNTIFS('月1回_1ヶ月前の在庫'!$V$6:$V$10005,$V9124,'月1回_1ヶ月前の在庫'!$W$6:$W$10005,$W9124)&gt;0),N(U9123),N(U9123)+1))</f>
        <v/>
      </c>
      <c r="V9124" s="19">
        <f>IF($B9124="","",TEXT($B9124,"0000"))</f>
        <v/>
      </c>
      <c r="W9124" s="19">
        <f>IF($I9124="","",IF(ISNUMBER($I9124),TEXT($I9124,"0"),$I9124))</f>
        <v/>
      </c>
    </row>
    <row r="9125">
      <c r="B9125" s="25" t="n"/>
      <c r="I9125" s="25" t="n"/>
      <c r="U9125" s="19">
        <f>IF($V9125&lt;&gt;'設定'!$C$4,N(U9124),IF(OR(NOT(COUNTIF('商品マスタ'!$B$6:$B$1005,$W9125)=0),COUNTIFS('①在庫を貼る'!$V$6:$V$10005,$V9125,'①在庫を貼る'!$W$6:$W$10005,$W9125)+COUNTIFS('月1回_1ヶ月前の在庫'!$V$6:$V$10005,$V9125,'月1回_1ヶ月前の在庫'!$W$6:$W$10005,$W9125)&gt;0),N(U9124),N(U9124)+1))</f>
        <v/>
      </c>
      <c r="V9125" s="19">
        <f>IF($B9125="","",TEXT($B9125,"0000"))</f>
        <v/>
      </c>
      <c r="W9125" s="19">
        <f>IF($I9125="","",IF(ISNUMBER($I9125),TEXT($I9125,"0"),$I9125))</f>
        <v/>
      </c>
    </row>
    <row r="9126">
      <c r="B9126" s="25" t="n"/>
      <c r="I9126" s="25" t="n"/>
      <c r="U9126" s="19">
        <f>IF($V9126&lt;&gt;'設定'!$C$4,N(U9125),IF(OR(NOT(COUNTIF('商品マスタ'!$B$6:$B$1005,$W9126)=0),COUNTIFS('①在庫を貼る'!$V$6:$V$10005,$V9126,'①在庫を貼る'!$W$6:$W$10005,$W9126)+COUNTIFS('月1回_1ヶ月前の在庫'!$V$6:$V$10005,$V9126,'月1回_1ヶ月前の在庫'!$W$6:$W$10005,$W9126)&gt;0),N(U9125),N(U9125)+1))</f>
        <v/>
      </c>
      <c r="V9126" s="19">
        <f>IF($B9126="","",TEXT($B9126,"0000"))</f>
        <v/>
      </c>
      <c r="W9126" s="19">
        <f>IF($I9126="","",IF(ISNUMBER($I9126),TEXT($I9126,"0"),$I9126))</f>
        <v/>
      </c>
    </row>
    <row r="9127">
      <c r="B9127" s="25" t="n"/>
      <c r="I9127" s="25" t="n"/>
      <c r="U9127" s="19">
        <f>IF($V9127&lt;&gt;'設定'!$C$4,N(U9126),IF(OR(NOT(COUNTIF('商品マスタ'!$B$6:$B$1005,$W9127)=0),COUNTIFS('①在庫を貼る'!$V$6:$V$10005,$V9127,'①在庫を貼る'!$W$6:$W$10005,$W9127)+COUNTIFS('月1回_1ヶ月前の在庫'!$V$6:$V$10005,$V9127,'月1回_1ヶ月前の在庫'!$W$6:$W$10005,$W9127)&gt;0),N(U9126),N(U9126)+1))</f>
        <v/>
      </c>
      <c r="V9127" s="19">
        <f>IF($B9127="","",TEXT($B9127,"0000"))</f>
        <v/>
      </c>
      <c r="W9127" s="19">
        <f>IF($I9127="","",IF(ISNUMBER($I9127),TEXT($I9127,"0"),$I9127))</f>
        <v/>
      </c>
    </row>
    <row r="9128">
      <c r="B9128" s="25" t="n"/>
      <c r="I9128" s="25" t="n"/>
      <c r="U9128" s="19">
        <f>IF($V9128&lt;&gt;'設定'!$C$4,N(U9127),IF(OR(NOT(COUNTIF('商品マスタ'!$B$6:$B$1005,$W9128)=0),COUNTIFS('①在庫を貼る'!$V$6:$V$10005,$V9128,'①在庫を貼る'!$W$6:$W$10005,$W9128)+COUNTIFS('月1回_1ヶ月前の在庫'!$V$6:$V$10005,$V9128,'月1回_1ヶ月前の在庫'!$W$6:$W$10005,$W9128)&gt;0),N(U9127),N(U9127)+1))</f>
        <v/>
      </c>
      <c r="V9128" s="19">
        <f>IF($B9128="","",TEXT($B9128,"0000"))</f>
        <v/>
      </c>
      <c r="W9128" s="19">
        <f>IF($I9128="","",IF(ISNUMBER($I9128),TEXT($I9128,"0"),$I9128))</f>
        <v/>
      </c>
    </row>
    <row r="9129">
      <c r="B9129" s="25" t="n"/>
      <c r="I9129" s="25" t="n"/>
      <c r="U9129" s="19">
        <f>IF($V9129&lt;&gt;'設定'!$C$4,N(U9128),IF(OR(NOT(COUNTIF('商品マスタ'!$B$6:$B$1005,$W9129)=0),COUNTIFS('①在庫を貼る'!$V$6:$V$10005,$V9129,'①在庫を貼る'!$W$6:$W$10005,$W9129)+COUNTIFS('月1回_1ヶ月前の在庫'!$V$6:$V$10005,$V9129,'月1回_1ヶ月前の在庫'!$W$6:$W$10005,$W9129)&gt;0),N(U9128),N(U9128)+1))</f>
        <v/>
      </c>
      <c r="V9129" s="19">
        <f>IF($B9129="","",TEXT($B9129,"0000"))</f>
        <v/>
      </c>
      <c r="W9129" s="19">
        <f>IF($I9129="","",IF(ISNUMBER($I9129),TEXT($I9129,"0"),$I9129))</f>
        <v/>
      </c>
    </row>
    <row r="9130">
      <c r="B9130" s="25" t="n"/>
      <c r="I9130" s="25" t="n"/>
      <c r="U9130" s="19">
        <f>IF($V9130&lt;&gt;'設定'!$C$4,N(U9129),IF(OR(NOT(COUNTIF('商品マスタ'!$B$6:$B$1005,$W9130)=0),COUNTIFS('①在庫を貼る'!$V$6:$V$10005,$V9130,'①在庫を貼る'!$W$6:$W$10005,$W9130)+COUNTIFS('月1回_1ヶ月前の在庫'!$V$6:$V$10005,$V9130,'月1回_1ヶ月前の在庫'!$W$6:$W$10005,$W9130)&gt;0),N(U9129),N(U9129)+1))</f>
        <v/>
      </c>
      <c r="V9130" s="19">
        <f>IF($B9130="","",TEXT($B9130,"0000"))</f>
        <v/>
      </c>
      <c r="W9130" s="19">
        <f>IF($I9130="","",IF(ISNUMBER($I9130),TEXT($I9130,"0"),$I9130))</f>
        <v/>
      </c>
    </row>
    <row r="9131">
      <c r="B9131" s="25" t="n"/>
      <c r="I9131" s="25" t="n"/>
      <c r="U9131" s="19">
        <f>IF($V9131&lt;&gt;'設定'!$C$4,N(U9130),IF(OR(NOT(COUNTIF('商品マスタ'!$B$6:$B$1005,$W9131)=0),COUNTIFS('①在庫を貼る'!$V$6:$V$10005,$V9131,'①在庫を貼る'!$W$6:$W$10005,$W9131)+COUNTIFS('月1回_1ヶ月前の在庫'!$V$6:$V$10005,$V9131,'月1回_1ヶ月前の在庫'!$W$6:$W$10005,$W9131)&gt;0),N(U9130),N(U9130)+1))</f>
        <v/>
      </c>
      <c r="V9131" s="19">
        <f>IF($B9131="","",TEXT($B9131,"0000"))</f>
        <v/>
      </c>
      <c r="W9131" s="19">
        <f>IF($I9131="","",IF(ISNUMBER($I9131),TEXT($I9131,"0"),$I9131))</f>
        <v/>
      </c>
    </row>
    <row r="9132">
      <c r="B9132" s="25" t="n"/>
      <c r="I9132" s="25" t="n"/>
      <c r="U9132" s="19">
        <f>IF($V9132&lt;&gt;'設定'!$C$4,N(U9131),IF(OR(NOT(COUNTIF('商品マスタ'!$B$6:$B$1005,$W9132)=0),COUNTIFS('①在庫を貼る'!$V$6:$V$10005,$V9132,'①在庫を貼る'!$W$6:$W$10005,$W9132)+COUNTIFS('月1回_1ヶ月前の在庫'!$V$6:$V$10005,$V9132,'月1回_1ヶ月前の在庫'!$W$6:$W$10005,$W9132)&gt;0),N(U9131),N(U9131)+1))</f>
        <v/>
      </c>
      <c r="V9132" s="19">
        <f>IF($B9132="","",TEXT($B9132,"0000"))</f>
        <v/>
      </c>
      <c r="W9132" s="19">
        <f>IF($I9132="","",IF(ISNUMBER($I9132),TEXT($I9132,"0"),$I9132))</f>
        <v/>
      </c>
    </row>
    <row r="9133">
      <c r="B9133" s="25" t="n"/>
      <c r="I9133" s="25" t="n"/>
      <c r="U9133" s="19">
        <f>IF($V9133&lt;&gt;'設定'!$C$4,N(U9132),IF(OR(NOT(COUNTIF('商品マスタ'!$B$6:$B$1005,$W9133)=0),COUNTIFS('①在庫を貼る'!$V$6:$V$10005,$V9133,'①在庫を貼る'!$W$6:$W$10005,$W9133)+COUNTIFS('月1回_1ヶ月前の在庫'!$V$6:$V$10005,$V9133,'月1回_1ヶ月前の在庫'!$W$6:$W$10005,$W9133)&gt;0),N(U9132),N(U9132)+1))</f>
        <v/>
      </c>
      <c r="V9133" s="19">
        <f>IF($B9133="","",TEXT($B9133,"0000"))</f>
        <v/>
      </c>
      <c r="W9133" s="19">
        <f>IF($I9133="","",IF(ISNUMBER($I9133),TEXT($I9133,"0"),$I9133))</f>
        <v/>
      </c>
    </row>
    <row r="9134">
      <c r="B9134" s="25" t="n"/>
      <c r="I9134" s="25" t="n"/>
      <c r="U9134" s="19">
        <f>IF($V9134&lt;&gt;'設定'!$C$4,N(U9133),IF(OR(NOT(COUNTIF('商品マスタ'!$B$6:$B$1005,$W9134)=0),COUNTIFS('①在庫を貼る'!$V$6:$V$10005,$V9134,'①在庫を貼る'!$W$6:$W$10005,$W9134)+COUNTIFS('月1回_1ヶ月前の在庫'!$V$6:$V$10005,$V9134,'月1回_1ヶ月前の在庫'!$W$6:$W$10005,$W9134)&gt;0),N(U9133),N(U9133)+1))</f>
        <v/>
      </c>
      <c r="V9134" s="19">
        <f>IF($B9134="","",TEXT($B9134,"0000"))</f>
        <v/>
      </c>
      <c r="W9134" s="19">
        <f>IF($I9134="","",IF(ISNUMBER($I9134),TEXT($I9134,"0"),$I9134))</f>
        <v/>
      </c>
    </row>
    <row r="9135">
      <c r="B9135" s="25" t="n"/>
      <c r="I9135" s="25" t="n"/>
      <c r="U9135" s="19">
        <f>IF($V9135&lt;&gt;'設定'!$C$4,N(U9134),IF(OR(NOT(COUNTIF('商品マスタ'!$B$6:$B$1005,$W9135)=0),COUNTIFS('①在庫を貼る'!$V$6:$V$10005,$V9135,'①在庫を貼る'!$W$6:$W$10005,$W9135)+COUNTIFS('月1回_1ヶ月前の在庫'!$V$6:$V$10005,$V9135,'月1回_1ヶ月前の在庫'!$W$6:$W$10005,$W9135)&gt;0),N(U9134),N(U9134)+1))</f>
        <v/>
      </c>
      <c r="V9135" s="19">
        <f>IF($B9135="","",TEXT($B9135,"0000"))</f>
        <v/>
      </c>
      <c r="W9135" s="19">
        <f>IF($I9135="","",IF(ISNUMBER($I9135),TEXT($I9135,"0"),$I9135))</f>
        <v/>
      </c>
    </row>
    <row r="9136">
      <c r="B9136" s="25" t="n"/>
      <c r="I9136" s="25" t="n"/>
      <c r="U9136" s="19">
        <f>IF($V9136&lt;&gt;'設定'!$C$4,N(U9135),IF(OR(NOT(COUNTIF('商品マスタ'!$B$6:$B$1005,$W9136)=0),COUNTIFS('①在庫を貼る'!$V$6:$V$10005,$V9136,'①在庫を貼る'!$W$6:$W$10005,$W9136)+COUNTIFS('月1回_1ヶ月前の在庫'!$V$6:$V$10005,$V9136,'月1回_1ヶ月前の在庫'!$W$6:$W$10005,$W9136)&gt;0),N(U9135),N(U9135)+1))</f>
        <v/>
      </c>
      <c r="V9136" s="19">
        <f>IF($B9136="","",TEXT($B9136,"0000"))</f>
        <v/>
      </c>
      <c r="W9136" s="19">
        <f>IF($I9136="","",IF(ISNUMBER($I9136),TEXT($I9136,"0"),$I9136))</f>
        <v/>
      </c>
    </row>
    <row r="9137">
      <c r="B9137" s="25" t="n"/>
      <c r="I9137" s="25" t="n"/>
      <c r="U9137" s="19">
        <f>IF($V9137&lt;&gt;'設定'!$C$4,N(U9136),IF(OR(NOT(COUNTIF('商品マスタ'!$B$6:$B$1005,$W9137)=0),COUNTIFS('①在庫を貼る'!$V$6:$V$10005,$V9137,'①在庫を貼る'!$W$6:$W$10005,$W9137)+COUNTIFS('月1回_1ヶ月前の在庫'!$V$6:$V$10005,$V9137,'月1回_1ヶ月前の在庫'!$W$6:$W$10005,$W9137)&gt;0),N(U9136),N(U9136)+1))</f>
        <v/>
      </c>
      <c r="V9137" s="19">
        <f>IF($B9137="","",TEXT($B9137,"0000"))</f>
        <v/>
      </c>
      <c r="W9137" s="19">
        <f>IF($I9137="","",IF(ISNUMBER($I9137),TEXT($I9137,"0"),$I9137))</f>
        <v/>
      </c>
    </row>
    <row r="9138">
      <c r="B9138" s="25" t="n"/>
      <c r="I9138" s="25" t="n"/>
      <c r="U9138" s="19">
        <f>IF($V9138&lt;&gt;'設定'!$C$4,N(U9137),IF(OR(NOT(COUNTIF('商品マスタ'!$B$6:$B$1005,$W9138)=0),COUNTIFS('①在庫を貼る'!$V$6:$V$10005,$V9138,'①在庫を貼る'!$W$6:$W$10005,$W9138)+COUNTIFS('月1回_1ヶ月前の在庫'!$V$6:$V$10005,$V9138,'月1回_1ヶ月前の在庫'!$W$6:$W$10005,$W9138)&gt;0),N(U9137),N(U9137)+1))</f>
        <v/>
      </c>
      <c r="V9138" s="19">
        <f>IF($B9138="","",TEXT($B9138,"0000"))</f>
        <v/>
      </c>
      <c r="W9138" s="19">
        <f>IF($I9138="","",IF(ISNUMBER($I9138),TEXT($I9138,"0"),$I9138))</f>
        <v/>
      </c>
    </row>
    <row r="9139">
      <c r="B9139" s="25" t="n"/>
      <c r="I9139" s="25" t="n"/>
      <c r="U9139" s="19">
        <f>IF($V9139&lt;&gt;'設定'!$C$4,N(U9138),IF(OR(NOT(COUNTIF('商品マスタ'!$B$6:$B$1005,$W9139)=0),COUNTIFS('①在庫を貼る'!$V$6:$V$10005,$V9139,'①在庫を貼る'!$W$6:$W$10005,$W9139)+COUNTIFS('月1回_1ヶ月前の在庫'!$V$6:$V$10005,$V9139,'月1回_1ヶ月前の在庫'!$W$6:$W$10005,$W9139)&gt;0),N(U9138),N(U9138)+1))</f>
        <v/>
      </c>
      <c r="V9139" s="19">
        <f>IF($B9139="","",TEXT($B9139,"0000"))</f>
        <v/>
      </c>
      <c r="W9139" s="19">
        <f>IF($I9139="","",IF(ISNUMBER($I9139),TEXT($I9139,"0"),$I9139))</f>
        <v/>
      </c>
    </row>
    <row r="9140">
      <c r="B9140" s="25" t="n"/>
      <c r="I9140" s="25" t="n"/>
      <c r="U9140" s="19">
        <f>IF($V9140&lt;&gt;'設定'!$C$4,N(U9139),IF(OR(NOT(COUNTIF('商品マスタ'!$B$6:$B$1005,$W9140)=0),COUNTIFS('①在庫を貼る'!$V$6:$V$10005,$V9140,'①在庫を貼る'!$W$6:$W$10005,$W9140)+COUNTIFS('月1回_1ヶ月前の在庫'!$V$6:$V$10005,$V9140,'月1回_1ヶ月前の在庫'!$W$6:$W$10005,$W9140)&gt;0),N(U9139),N(U9139)+1))</f>
        <v/>
      </c>
      <c r="V9140" s="19">
        <f>IF($B9140="","",TEXT($B9140,"0000"))</f>
        <v/>
      </c>
      <c r="W9140" s="19">
        <f>IF($I9140="","",IF(ISNUMBER($I9140),TEXT($I9140,"0"),$I9140))</f>
        <v/>
      </c>
    </row>
    <row r="9141">
      <c r="B9141" s="25" t="n"/>
      <c r="I9141" s="25" t="n"/>
      <c r="U9141" s="19">
        <f>IF($V9141&lt;&gt;'設定'!$C$4,N(U9140),IF(OR(NOT(COUNTIF('商品マスタ'!$B$6:$B$1005,$W9141)=0),COUNTIFS('①在庫を貼る'!$V$6:$V$10005,$V9141,'①在庫を貼る'!$W$6:$W$10005,$W9141)+COUNTIFS('月1回_1ヶ月前の在庫'!$V$6:$V$10005,$V9141,'月1回_1ヶ月前の在庫'!$W$6:$W$10005,$W9141)&gt;0),N(U9140),N(U9140)+1))</f>
        <v/>
      </c>
      <c r="V9141" s="19">
        <f>IF($B9141="","",TEXT($B9141,"0000"))</f>
        <v/>
      </c>
      <c r="W9141" s="19">
        <f>IF($I9141="","",IF(ISNUMBER($I9141),TEXT($I9141,"0"),$I9141))</f>
        <v/>
      </c>
    </row>
    <row r="9142">
      <c r="B9142" s="25" t="n"/>
      <c r="I9142" s="25" t="n"/>
      <c r="U9142" s="19">
        <f>IF($V9142&lt;&gt;'設定'!$C$4,N(U9141),IF(OR(NOT(COUNTIF('商品マスタ'!$B$6:$B$1005,$W9142)=0),COUNTIFS('①在庫を貼る'!$V$6:$V$10005,$V9142,'①在庫を貼る'!$W$6:$W$10005,$W9142)+COUNTIFS('月1回_1ヶ月前の在庫'!$V$6:$V$10005,$V9142,'月1回_1ヶ月前の在庫'!$W$6:$W$10005,$W9142)&gt;0),N(U9141),N(U9141)+1))</f>
        <v/>
      </c>
      <c r="V9142" s="19">
        <f>IF($B9142="","",TEXT($B9142,"0000"))</f>
        <v/>
      </c>
      <c r="W9142" s="19">
        <f>IF($I9142="","",IF(ISNUMBER($I9142),TEXT($I9142,"0"),$I9142))</f>
        <v/>
      </c>
    </row>
    <row r="9143">
      <c r="B9143" s="25" t="n"/>
      <c r="I9143" s="25" t="n"/>
      <c r="U9143" s="19">
        <f>IF($V9143&lt;&gt;'設定'!$C$4,N(U9142),IF(OR(NOT(COUNTIF('商品マスタ'!$B$6:$B$1005,$W9143)=0),COUNTIFS('①在庫を貼る'!$V$6:$V$10005,$V9143,'①在庫を貼る'!$W$6:$W$10005,$W9143)+COUNTIFS('月1回_1ヶ月前の在庫'!$V$6:$V$10005,$V9143,'月1回_1ヶ月前の在庫'!$W$6:$W$10005,$W9143)&gt;0),N(U9142),N(U9142)+1))</f>
        <v/>
      </c>
      <c r="V9143" s="19">
        <f>IF($B9143="","",TEXT($B9143,"0000"))</f>
        <v/>
      </c>
      <c r="W9143" s="19">
        <f>IF($I9143="","",IF(ISNUMBER($I9143),TEXT($I9143,"0"),$I9143))</f>
        <v/>
      </c>
    </row>
    <row r="9144">
      <c r="B9144" s="25" t="n"/>
      <c r="I9144" s="25" t="n"/>
      <c r="U9144" s="19">
        <f>IF($V9144&lt;&gt;'設定'!$C$4,N(U9143),IF(OR(NOT(COUNTIF('商品マスタ'!$B$6:$B$1005,$W9144)=0),COUNTIFS('①在庫を貼る'!$V$6:$V$10005,$V9144,'①在庫を貼る'!$W$6:$W$10005,$W9144)+COUNTIFS('月1回_1ヶ月前の在庫'!$V$6:$V$10005,$V9144,'月1回_1ヶ月前の在庫'!$W$6:$W$10005,$W9144)&gt;0),N(U9143),N(U9143)+1))</f>
        <v/>
      </c>
      <c r="V9144" s="19">
        <f>IF($B9144="","",TEXT($B9144,"0000"))</f>
        <v/>
      </c>
      <c r="W9144" s="19">
        <f>IF($I9144="","",IF(ISNUMBER($I9144),TEXT($I9144,"0"),$I9144))</f>
        <v/>
      </c>
    </row>
    <row r="9145">
      <c r="B9145" s="25" t="n"/>
      <c r="I9145" s="25" t="n"/>
      <c r="U9145" s="19">
        <f>IF($V9145&lt;&gt;'設定'!$C$4,N(U9144),IF(OR(NOT(COUNTIF('商品マスタ'!$B$6:$B$1005,$W9145)=0),COUNTIFS('①在庫を貼る'!$V$6:$V$10005,$V9145,'①在庫を貼る'!$W$6:$W$10005,$W9145)+COUNTIFS('月1回_1ヶ月前の在庫'!$V$6:$V$10005,$V9145,'月1回_1ヶ月前の在庫'!$W$6:$W$10005,$W9145)&gt;0),N(U9144),N(U9144)+1))</f>
        <v/>
      </c>
      <c r="V9145" s="19">
        <f>IF($B9145="","",TEXT($B9145,"0000"))</f>
        <v/>
      </c>
      <c r="W9145" s="19">
        <f>IF($I9145="","",IF(ISNUMBER($I9145),TEXT($I9145,"0"),$I9145))</f>
        <v/>
      </c>
    </row>
    <row r="9146">
      <c r="B9146" s="25" t="n"/>
      <c r="I9146" s="25" t="n"/>
      <c r="U9146" s="19">
        <f>IF($V9146&lt;&gt;'設定'!$C$4,N(U9145),IF(OR(NOT(COUNTIF('商品マスタ'!$B$6:$B$1005,$W9146)=0),COUNTIFS('①在庫を貼る'!$V$6:$V$10005,$V9146,'①在庫を貼る'!$W$6:$W$10005,$W9146)+COUNTIFS('月1回_1ヶ月前の在庫'!$V$6:$V$10005,$V9146,'月1回_1ヶ月前の在庫'!$W$6:$W$10005,$W9146)&gt;0),N(U9145),N(U9145)+1))</f>
        <v/>
      </c>
      <c r="V9146" s="19">
        <f>IF($B9146="","",TEXT($B9146,"0000"))</f>
        <v/>
      </c>
      <c r="W9146" s="19">
        <f>IF($I9146="","",IF(ISNUMBER($I9146),TEXT($I9146,"0"),$I9146))</f>
        <v/>
      </c>
    </row>
    <row r="9147">
      <c r="B9147" s="25" t="n"/>
      <c r="I9147" s="25" t="n"/>
      <c r="U9147" s="19">
        <f>IF($V9147&lt;&gt;'設定'!$C$4,N(U9146),IF(OR(NOT(COUNTIF('商品マスタ'!$B$6:$B$1005,$W9147)=0),COUNTIFS('①在庫を貼る'!$V$6:$V$10005,$V9147,'①在庫を貼る'!$W$6:$W$10005,$W9147)+COUNTIFS('月1回_1ヶ月前の在庫'!$V$6:$V$10005,$V9147,'月1回_1ヶ月前の在庫'!$W$6:$W$10005,$W9147)&gt;0),N(U9146),N(U9146)+1))</f>
        <v/>
      </c>
      <c r="V9147" s="19">
        <f>IF($B9147="","",TEXT($B9147,"0000"))</f>
        <v/>
      </c>
      <c r="W9147" s="19">
        <f>IF($I9147="","",IF(ISNUMBER($I9147),TEXT($I9147,"0"),$I9147))</f>
        <v/>
      </c>
    </row>
    <row r="9148">
      <c r="B9148" s="25" t="n"/>
      <c r="I9148" s="25" t="n"/>
      <c r="U9148" s="19">
        <f>IF($V9148&lt;&gt;'設定'!$C$4,N(U9147),IF(OR(NOT(COUNTIF('商品マスタ'!$B$6:$B$1005,$W9148)=0),COUNTIFS('①在庫を貼る'!$V$6:$V$10005,$V9148,'①在庫を貼る'!$W$6:$W$10005,$W9148)+COUNTIFS('月1回_1ヶ月前の在庫'!$V$6:$V$10005,$V9148,'月1回_1ヶ月前の在庫'!$W$6:$W$10005,$W9148)&gt;0),N(U9147),N(U9147)+1))</f>
        <v/>
      </c>
      <c r="V9148" s="19">
        <f>IF($B9148="","",TEXT($B9148,"0000"))</f>
        <v/>
      </c>
      <c r="W9148" s="19">
        <f>IF($I9148="","",IF(ISNUMBER($I9148),TEXT($I9148,"0"),$I9148))</f>
        <v/>
      </c>
    </row>
    <row r="9149">
      <c r="B9149" s="25" t="n"/>
      <c r="I9149" s="25" t="n"/>
      <c r="U9149" s="19">
        <f>IF($V9149&lt;&gt;'設定'!$C$4,N(U9148),IF(OR(NOT(COUNTIF('商品マスタ'!$B$6:$B$1005,$W9149)=0),COUNTIFS('①在庫を貼る'!$V$6:$V$10005,$V9149,'①在庫を貼る'!$W$6:$W$10005,$W9149)+COUNTIFS('月1回_1ヶ月前の在庫'!$V$6:$V$10005,$V9149,'月1回_1ヶ月前の在庫'!$W$6:$W$10005,$W9149)&gt;0),N(U9148),N(U9148)+1))</f>
        <v/>
      </c>
      <c r="V9149" s="19">
        <f>IF($B9149="","",TEXT($B9149,"0000"))</f>
        <v/>
      </c>
      <c r="W9149" s="19">
        <f>IF($I9149="","",IF(ISNUMBER($I9149),TEXT($I9149,"0"),$I9149))</f>
        <v/>
      </c>
    </row>
    <row r="9150">
      <c r="B9150" s="25" t="n"/>
      <c r="I9150" s="25" t="n"/>
      <c r="U9150" s="19">
        <f>IF($V9150&lt;&gt;'設定'!$C$4,N(U9149),IF(OR(NOT(COUNTIF('商品マスタ'!$B$6:$B$1005,$W9150)=0),COUNTIFS('①在庫を貼る'!$V$6:$V$10005,$V9150,'①在庫を貼る'!$W$6:$W$10005,$W9150)+COUNTIFS('月1回_1ヶ月前の在庫'!$V$6:$V$10005,$V9150,'月1回_1ヶ月前の在庫'!$W$6:$W$10005,$W9150)&gt;0),N(U9149),N(U9149)+1))</f>
        <v/>
      </c>
      <c r="V9150" s="19">
        <f>IF($B9150="","",TEXT($B9150,"0000"))</f>
        <v/>
      </c>
      <c r="W9150" s="19">
        <f>IF($I9150="","",IF(ISNUMBER($I9150),TEXT($I9150,"0"),$I9150))</f>
        <v/>
      </c>
    </row>
    <row r="9151">
      <c r="B9151" s="25" t="n"/>
      <c r="I9151" s="25" t="n"/>
      <c r="U9151" s="19">
        <f>IF($V9151&lt;&gt;'設定'!$C$4,N(U9150),IF(OR(NOT(COUNTIF('商品マスタ'!$B$6:$B$1005,$W9151)=0),COUNTIFS('①在庫を貼る'!$V$6:$V$10005,$V9151,'①在庫を貼る'!$W$6:$W$10005,$W9151)+COUNTIFS('月1回_1ヶ月前の在庫'!$V$6:$V$10005,$V9151,'月1回_1ヶ月前の在庫'!$W$6:$W$10005,$W9151)&gt;0),N(U9150),N(U9150)+1))</f>
        <v/>
      </c>
      <c r="V9151" s="19">
        <f>IF($B9151="","",TEXT($B9151,"0000"))</f>
        <v/>
      </c>
      <c r="W9151" s="19">
        <f>IF($I9151="","",IF(ISNUMBER($I9151),TEXT($I9151,"0"),$I9151))</f>
        <v/>
      </c>
    </row>
    <row r="9152">
      <c r="B9152" s="25" t="n"/>
      <c r="I9152" s="25" t="n"/>
      <c r="U9152" s="19">
        <f>IF($V9152&lt;&gt;'設定'!$C$4,N(U9151),IF(OR(NOT(COUNTIF('商品マスタ'!$B$6:$B$1005,$W9152)=0),COUNTIFS('①在庫を貼る'!$V$6:$V$10005,$V9152,'①在庫を貼る'!$W$6:$W$10005,$W9152)+COUNTIFS('月1回_1ヶ月前の在庫'!$V$6:$V$10005,$V9152,'月1回_1ヶ月前の在庫'!$W$6:$W$10005,$W9152)&gt;0),N(U9151),N(U9151)+1))</f>
        <v/>
      </c>
      <c r="V9152" s="19">
        <f>IF($B9152="","",TEXT($B9152,"0000"))</f>
        <v/>
      </c>
      <c r="W9152" s="19">
        <f>IF($I9152="","",IF(ISNUMBER($I9152),TEXT($I9152,"0"),$I9152))</f>
        <v/>
      </c>
    </row>
    <row r="9153">
      <c r="B9153" s="25" t="n"/>
      <c r="I9153" s="25" t="n"/>
      <c r="U9153" s="19">
        <f>IF($V9153&lt;&gt;'設定'!$C$4,N(U9152),IF(OR(NOT(COUNTIF('商品マスタ'!$B$6:$B$1005,$W9153)=0),COUNTIFS('①在庫を貼る'!$V$6:$V$10005,$V9153,'①在庫を貼る'!$W$6:$W$10005,$W9153)+COUNTIFS('月1回_1ヶ月前の在庫'!$V$6:$V$10005,$V9153,'月1回_1ヶ月前の在庫'!$W$6:$W$10005,$W9153)&gt;0),N(U9152),N(U9152)+1))</f>
        <v/>
      </c>
      <c r="V9153" s="19">
        <f>IF($B9153="","",TEXT($B9153,"0000"))</f>
        <v/>
      </c>
      <c r="W9153" s="19">
        <f>IF($I9153="","",IF(ISNUMBER($I9153),TEXT($I9153,"0"),$I9153))</f>
        <v/>
      </c>
    </row>
    <row r="9154">
      <c r="B9154" s="25" t="n"/>
      <c r="I9154" s="25" t="n"/>
      <c r="U9154" s="19">
        <f>IF($V9154&lt;&gt;'設定'!$C$4,N(U9153),IF(OR(NOT(COUNTIF('商品マスタ'!$B$6:$B$1005,$W9154)=0),COUNTIFS('①在庫を貼る'!$V$6:$V$10005,$V9154,'①在庫を貼る'!$W$6:$W$10005,$W9154)+COUNTIFS('月1回_1ヶ月前の在庫'!$V$6:$V$10005,$V9154,'月1回_1ヶ月前の在庫'!$W$6:$W$10005,$W9154)&gt;0),N(U9153),N(U9153)+1))</f>
        <v/>
      </c>
      <c r="V9154" s="19">
        <f>IF($B9154="","",TEXT($B9154,"0000"))</f>
        <v/>
      </c>
      <c r="W9154" s="19">
        <f>IF($I9154="","",IF(ISNUMBER($I9154),TEXT($I9154,"0"),$I9154))</f>
        <v/>
      </c>
    </row>
    <row r="9155">
      <c r="B9155" s="25" t="n"/>
      <c r="I9155" s="25" t="n"/>
      <c r="U9155" s="19">
        <f>IF($V9155&lt;&gt;'設定'!$C$4,N(U9154),IF(OR(NOT(COUNTIF('商品マスタ'!$B$6:$B$1005,$W9155)=0),COUNTIFS('①在庫を貼る'!$V$6:$V$10005,$V9155,'①在庫を貼る'!$W$6:$W$10005,$W9155)+COUNTIFS('月1回_1ヶ月前の在庫'!$V$6:$V$10005,$V9155,'月1回_1ヶ月前の在庫'!$W$6:$W$10005,$W9155)&gt;0),N(U9154),N(U9154)+1))</f>
        <v/>
      </c>
      <c r="V9155" s="19">
        <f>IF($B9155="","",TEXT($B9155,"0000"))</f>
        <v/>
      </c>
      <c r="W9155" s="19">
        <f>IF($I9155="","",IF(ISNUMBER($I9155),TEXT($I9155,"0"),$I9155))</f>
        <v/>
      </c>
    </row>
    <row r="9156">
      <c r="B9156" s="25" t="n"/>
      <c r="I9156" s="25" t="n"/>
      <c r="U9156" s="19">
        <f>IF($V9156&lt;&gt;'設定'!$C$4,N(U9155),IF(OR(NOT(COUNTIF('商品マスタ'!$B$6:$B$1005,$W9156)=0),COUNTIFS('①在庫を貼る'!$V$6:$V$10005,$V9156,'①在庫を貼る'!$W$6:$W$10005,$W9156)+COUNTIFS('月1回_1ヶ月前の在庫'!$V$6:$V$10005,$V9156,'月1回_1ヶ月前の在庫'!$W$6:$W$10005,$W9156)&gt;0),N(U9155),N(U9155)+1))</f>
        <v/>
      </c>
      <c r="V9156" s="19">
        <f>IF($B9156="","",TEXT($B9156,"0000"))</f>
        <v/>
      </c>
      <c r="W9156" s="19">
        <f>IF($I9156="","",IF(ISNUMBER($I9156),TEXT($I9156,"0"),$I9156))</f>
        <v/>
      </c>
    </row>
    <row r="9157">
      <c r="B9157" s="25" t="n"/>
      <c r="I9157" s="25" t="n"/>
      <c r="U9157" s="19">
        <f>IF($V9157&lt;&gt;'設定'!$C$4,N(U9156),IF(OR(NOT(COUNTIF('商品マスタ'!$B$6:$B$1005,$W9157)=0),COUNTIFS('①在庫を貼る'!$V$6:$V$10005,$V9157,'①在庫を貼る'!$W$6:$W$10005,$W9157)+COUNTIFS('月1回_1ヶ月前の在庫'!$V$6:$V$10005,$V9157,'月1回_1ヶ月前の在庫'!$W$6:$W$10005,$W9157)&gt;0),N(U9156),N(U9156)+1))</f>
        <v/>
      </c>
      <c r="V9157" s="19">
        <f>IF($B9157="","",TEXT($B9157,"0000"))</f>
        <v/>
      </c>
      <c r="W9157" s="19">
        <f>IF($I9157="","",IF(ISNUMBER($I9157),TEXT($I9157,"0"),$I9157))</f>
        <v/>
      </c>
    </row>
    <row r="9158">
      <c r="B9158" s="25" t="n"/>
      <c r="I9158" s="25" t="n"/>
      <c r="U9158" s="19">
        <f>IF($V9158&lt;&gt;'設定'!$C$4,N(U9157),IF(OR(NOT(COUNTIF('商品マスタ'!$B$6:$B$1005,$W9158)=0),COUNTIFS('①在庫を貼る'!$V$6:$V$10005,$V9158,'①在庫を貼る'!$W$6:$W$10005,$W9158)+COUNTIFS('月1回_1ヶ月前の在庫'!$V$6:$V$10005,$V9158,'月1回_1ヶ月前の在庫'!$W$6:$W$10005,$W9158)&gt;0),N(U9157),N(U9157)+1))</f>
        <v/>
      </c>
      <c r="V9158" s="19">
        <f>IF($B9158="","",TEXT($B9158,"0000"))</f>
        <v/>
      </c>
      <c r="W9158" s="19">
        <f>IF($I9158="","",IF(ISNUMBER($I9158),TEXT($I9158,"0"),$I9158))</f>
        <v/>
      </c>
    </row>
    <row r="9159">
      <c r="B9159" s="25" t="n"/>
      <c r="I9159" s="25" t="n"/>
      <c r="U9159" s="19">
        <f>IF($V9159&lt;&gt;'設定'!$C$4,N(U9158),IF(OR(NOT(COUNTIF('商品マスタ'!$B$6:$B$1005,$W9159)=0),COUNTIFS('①在庫を貼る'!$V$6:$V$10005,$V9159,'①在庫を貼る'!$W$6:$W$10005,$W9159)+COUNTIFS('月1回_1ヶ月前の在庫'!$V$6:$V$10005,$V9159,'月1回_1ヶ月前の在庫'!$W$6:$W$10005,$W9159)&gt;0),N(U9158),N(U9158)+1))</f>
        <v/>
      </c>
      <c r="V9159" s="19">
        <f>IF($B9159="","",TEXT($B9159,"0000"))</f>
        <v/>
      </c>
      <c r="W9159" s="19">
        <f>IF($I9159="","",IF(ISNUMBER($I9159),TEXT($I9159,"0"),$I9159))</f>
        <v/>
      </c>
    </row>
    <row r="9160">
      <c r="B9160" s="25" t="n"/>
      <c r="I9160" s="25" t="n"/>
      <c r="U9160" s="19">
        <f>IF($V9160&lt;&gt;'設定'!$C$4,N(U9159),IF(OR(NOT(COUNTIF('商品マスタ'!$B$6:$B$1005,$W9160)=0),COUNTIFS('①在庫を貼る'!$V$6:$V$10005,$V9160,'①在庫を貼る'!$W$6:$W$10005,$W9160)+COUNTIFS('月1回_1ヶ月前の在庫'!$V$6:$V$10005,$V9160,'月1回_1ヶ月前の在庫'!$W$6:$W$10005,$W9160)&gt;0),N(U9159),N(U9159)+1))</f>
        <v/>
      </c>
      <c r="V9160" s="19">
        <f>IF($B9160="","",TEXT($B9160,"0000"))</f>
        <v/>
      </c>
      <c r="W9160" s="19">
        <f>IF($I9160="","",IF(ISNUMBER($I9160),TEXT($I9160,"0"),$I9160))</f>
        <v/>
      </c>
    </row>
    <row r="9161">
      <c r="B9161" s="25" t="n"/>
      <c r="I9161" s="25" t="n"/>
      <c r="U9161" s="19">
        <f>IF($V9161&lt;&gt;'設定'!$C$4,N(U9160),IF(OR(NOT(COUNTIF('商品マスタ'!$B$6:$B$1005,$W9161)=0),COUNTIFS('①在庫を貼る'!$V$6:$V$10005,$V9161,'①在庫を貼る'!$W$6:$W$10005,$W9161)+COUNTIFS('月1回_1ヶ月前の在庫'!$V$6:$V$10005,$V9161,'月1回_1ヶ月前の在庫'!$W$6:$W$10005,$W9161)&gt;0),N(U9160),N(U9160)+1))</f>
        <v/>
      </c>
      <c r="V9161" s="19">
        <f>IF($B9161="","",TEXT($B9161,"0000"))</f>
        <v/>
      </c>
      <c r="W9161" s="19">
        <f>IF($I9161="","",IF(ISNUMBER($I9161),TEXT($I9161,"0"),$I9161))</f>
        <v/>
      </c>
    </row>
    <row r="9162">
      <c r="B9162" s="25" t="n"/>
      <c r="I9162" s="25" t="n"/>
      <c r="U9162" s="19">
        <f>IF($V9162&lt;&gt;'設定'!$C$4,N(U9161),IF(OR(NOT(COUNTIF('商品マスタ'!$B$6:$B$1005,$W9162)=0),COUNTIFS('①在庫を貼る'!$V$6:$V$10005,$V9162,'①在庫を貼る'!$W$6:$W$10005,$W9162)+COUNTIFS('月1回_1ヶ月前の在庫'!$V$6:$V$10005,$V9162,'月1回_1ヶ月前の在庫'!$W$6:$W$10005,$W9162)&gt;0),N(U9161),N(U9161)+1))</f>
        <v/>
      </c>
      <c r="V9162" s="19">
        <f>IF($B9162="","",TEXT($B9162,"0000"))</f>
        <v/>
      </c>
      <c r="W9162" s="19">
        <f>IF($I9162="","",IF(ISNUMBER($I9162),TEXT($I9162,"0"),$I9162))</f>
        <v/>
      </c>
    </row>
    <row r="9163">
      <c r="B9163" s="25" t="n"/>
      <c r="I9163" s="25" t="n"/>
      <c r="U9163" s="19">
        <f>IF($V9163&lt;&gt;'設定'!$C$4,N(U9162),IF(OR(NOT(COUNTIF('商品マスタ'!$B$6:$B$1005,$W9163)=0),COUNTIFS('①在庫を貼る'!$V$6:$V$10005,$V9163,'①在庫を貼る'!$W$6:$W$10005,$W9163)+COUNTIFS('月1回_1ヶ月前の在庫'!$V$6:$V$10005,$V9163,'月1回_1ヶ月前の在庫'!$W$6:$W$10005,$W9163)&gt;0),N(U9162),N(U9162)+1))</f>
        <v/>
      </c>
      <c r="V9163" s="19">
        <f>IF($B9163="","",TEXT($B9163,"0000"))</f>
        <v/>
      </c>
      <c r="W9163" s="19">
        <f>IF($I9163="","",IF(ISNUMBER($I9163),TEXT($I9163,"0"),$I9163))</f>
        <v/>
      </c>
    </row>
    <row r="9164">
      <c r="B9164" s="25" t="n"/>
      <c r="I9164" s="25" t="n"/>
      <c r="U9164" s="19">
        <f>IF($V9164&lt;&gt;'設定'!$C$4,N(U9163),IF(OR(NOT(COUNTIF('商品マスタ'!$B$6:$B$1005,$W9164)=0),COUNTIFS('①在庫を貼る'!$V$6:$V$10005,$V9164,'①在庫を貼る'!$W$6:$W$10005,$W9164)+COUNTIFS('月1回_1ヶ月前の在庫'!$V$6:$V$10005,$V9164,'月1回_1ヶ月前の在庫'!$W$6:$W$10005,$W9164)&gt;0),N(U9163),N(U9163)+1))</f>
        <v/>
      </c>
      <c r="V9164" s="19">
        <f>IF($B9164="","",TEXT($B9164,"0000"))</f>
        <v/>
      </c>
      <c r="W9164" s="19">
        <f>IF($I9164="","",IF(ISNUMBER($I9164),TEXT($I9164,"0"),$I9164))</f>
        <v/>
      </c>
    </row>
    <row r="9165">
      <c r="B9165" s="25" t="n"/>
      <c r="I9165" s="25" t="n"/>
      <c r="U9165" s="19">
        <f>IF($V9165&lt;&gt;'設定'!$C$4,N(U9164),IF(OR(NOT(COUNTIF('商品マスタ'!$B$6:$B$1005,$W9165)=0),COUNTIFS('①在庫を貼る'!$V$6:$V$10005,$V9165,'①在庫を貼る'!$W$6:$W$10005,$W9165)+COUNTIFS('月1回_1ヶ月前の在庫'!$V$6:$V$10005,$V9165,'月1回_1ヶ月前の在庫'!$W$6:$W$10005,$W9165)&gt;0),N(U9164),N(U9164)+1))</f>
        <v/>
      </c>
      <c r="V9165" s="19">
        <f>IF($B9165="","",TEXT($B9165,"0000"))</f>
        <v/>
      </c>
      <c r="W9165" s="19">
        <f>IF($I9165="","",IF(ISNUMBER($I9165),TEXT($I9165,"0"),$I9165))</f>
        <v/>
      </c>
    </row>
    <row r="9166">
      <c r="B9166" s="25" t="n"/>
      <c r="I9166" s="25" t="n"/>
      <c r="U9166" s="19">
        <f>IF($V9166&lt;&gt;'設定'!$C$4,N(U9165),IF(OR(NOT(COUNTIF('商品マスタ'!$B$6:$B$1005,$W9166)=0),COUNTIFS('①在庫を貼る'!$V$6:$V$10005,$V9166,'①在庫を貼る'!$W$6:$W$10005,$W9166)+COUNTIFS('月1回_1ヶ月前の在庫'!$V$6:$V$10005,$V9166,'月1回_1ヶ月前の在庫'!$W$6:$W$10005,$W9166)&gt;0),N(U9165),N(U9165)+1))</f>
        <v/>
      </c>
      <c r="V9166" s="19">
        <f>IF($B9166="","",TEXT($B9166,"0000"))</f>
        <v/>
      </c>
      <c r="W9166" s="19">
        <f>IF($I9166="","",IF(ISNUMBER($I9166),TEXT($I9166,"0"),$I9166))</f>
        <v/>
      </c>
    </row>
    <row r="9167">
      <c r="B9167" s="25" t="n"/>
      <c r="I9167" s="25" t="n"/>
      <c r="U9167" s="19">
        <f>IF($V9167&lt;&gt;'設定'!$C$4,N(U9166),IF(OR(NOT(COUNTIF('商品マスタ'!$B$6:$B$1005,$W9167)=0),COUNTIFS('①在庫を貼る'!$V$6:$V$10005,$V9167,'①在庫を貼る'!$W$6:$W$10005,$W9167)+COUNTIFS('月1回_1ヶ月前の在庫'!$V$6:$V$10005,$V9167,'月1回_1ヶ月前の在庫'!$W$6:$W$10005,$W9167)&gt;0),N(U9166),N(U9166)+1))</f>
        <v/>
      </c>
      <c r="V9167" s="19">
        <f>IF($B9167="","",TEXT($B9167,"0000"))</f>
        <v/>
      </c>
      <c r="W9167" s="19">
        <f>IF($I9167="","",IF(ISNUMBER($I9167),TEXT($I9167,"0"),$I9167))</f>
        <v/>
      </c>
    </row>
    <row r="9168">
      <c r="B9168" s="25" t="n"/>
      <c r="I9168" s="25" t="n"/>
      <c r="U9168" s="19">
        <f>IF($V9168&lt;&gt;'設定'!$C$4,N(U9167),IF(OR(NOT(COUNTIF('商品マスタ'!$B$6:$B$1005,$W9168)=0),COUNTIFS('①在庫を貼る'!$V$6:$V$10005,$V9168,'①在庫を貼る'!$W$6:$W$10005,$W9168)+COUNTIFS('月1回_1ヶ月前の在庫'!$V$6:$V$10005,$V9168,'月1回_1ヶ月前の在庫'!$W$6:$W$10005,$W9168)&gt;0),N(U9167),N(U9167)+1))</f>
        <v/>
      </c>
      <c r="V9168" s="19">
        <f>IF($B9168="","",TEXT($B9168,"0000"))</f>
        <v/>
      </c>
      <c r="W9168" s="19">
        <f>IF($I9168="","",IF(ISNUMBER($I9168),TEXT($I9168,"0"),$I9168))</f>
        <v/>
      </c>
    </row>
    <row r="9169">
      <c r="B9169" s="25" t="n"/>
      <c r="I9169" s="25" t="n"/>
      <c r="U9169" s="19">
        <f>IF($V9169&lt;&gt;'設定'!$C$4,N(U9168),IF(OR(NOT(COUNTIF('商品マスタ'!$B$6:$B$1005,$W9169)=0),COUNTIFS('①在庫を貼る'!$V$6:$V$10005,$V9169,'①在庫を貼る'!$W$6:$W$10005,$W9169)+COUNTIFS('月1回_1ヶ月前の在庫'!$V$6:$V$10005,$V9169,'月1回_1ヶ月前の在庫'!$W$6:$W$10005,$W9169)&gt;0),N(U9168),N(U9168)+1))</f>
        <v/>
      </c>
      <c r="V9169" s="19">
        <f>IF($B9169="","",TEXT($B9169,"0000"))</f>
        <v/>
      </c>
      <c r="W9169" s="19">
        <f>IF($I9169="","",IF(ISNUMBER($I9169),TEXT($I9169,"0"),$I9169))</f>
        <v/>
      </c>
    </row>
    <row r="9170">
      <c r="B9170" s="25" t="n"/>
      <c r="I9170" s="25" t="n"/>
      <c r="U9170" s="19">
        <f>IF($V9170&lt;&gt;'設定'!$C$4,N(U9169),IF(OR(NOT(COUNTIF('商品マスタ'!$B$6:$B$1005,$W9170)=0),COUNTIFS('①在庫を貼る'!$V$6:$V$10005,$V9170,'①在庫を貼る'!$W$6:$W$10005,$W9170)+COUNTIFS('月1回_1ヶ月前の在庫'!$V$6:$V$10005,$V9170,'月1回_1ヶ月前の在庫'!$W$6:$W$10005,$W9170)&gt;0),N(U9169),N(U9169)+1))</f>
        <v/>
      </c>
      <c r="V9170" s="19">
        <f>IF($B9170="","",TEXT($B9170,"0000"))</f>
        <v/>
      </c>
      <c r="W9170" s="19">
        <f>IF($I9170="","",IF(ISNUMBER($I9170),TEXT($I9170,"0"),$I9170))</f>
        <v/>
      </c>
    </row>
    <row r="9171">
      <c r="B9171" s="25" t="n"/>
      <c r="I9171" s="25" t="n"/>
      <c r="U9171" s="19">
        <f>IF($V9171&lt;&gt;'設定'!$C$4,N(U9170),IF(OR(NOT(COUNTIF('商品マスタ'!$B$6:$B$1005,$W9171)=0),COUNTIFS('①在庫を貼る'!$V$6:$V$10005,$V9171,'①在庫を貼る'!$W$6:$W$10005,$W9171)+COUNTIFS('月1回_1ヶ月前の在庫'!$V$6:$V$10005,$V9171,'月1回_1ヶ月前の在庫'!$W$6:$W$10005,$W9171)&gt;0),N(U9170),N(U9170)+1))</f>
        <v/>
      </c>
      <c r="V9171" s="19">
        <f>IF($B9171="","",TEXT($B9171,"0000"))</f>
        <v/>
      </c>
      <c r="W9171" s="19">
        <f>IF($I9171="","",IF(ISNUMBER($I9171),TEXT($I9171,"0"),$I9171))</f>
        <v/>
      </c>
    </row>
    <row r="9172">
      <c r="B9172" s="25" t="n"/>
      <c r="I9172" s="25" t="n"/>
      <c r="U9172" s="19">
        <f>IF($V9172&lt;&gt;'設定'!$C$4,N(U9171),IF(OR(NOT(COUNTIF('商品マスタ'!$B$6:$B$1005,$W9172)=0),COUNTIFS('①在庫を貼る'!$V$6:$V$10005,$V9172,'①在庫を貼る'!$W$6:$W$10005,$W9172)+COUNTIFS('月1回_1ヶ月前の在庫'!$V$6:$V$10005,$V9172,'月1回_1ヶ月前の在庫'!$W$6:$W$10005,$W9172)&gt;0),N(U9171),N(U9171)+1))</f>
        <v/>
      </c>
      <c r="V9172" s="19">
        <f>IF($B9172="","",TEXT($B9172,"0000"))</f>
        <v/>
      </c>
      <c r="W9172" s="19">
        <f>IF($I9172="","",IF(ISNUMBER($I9172),TEXT($I9172,"0"),$I9172))</f>
        <v/>
      </c>
    </row>
    <row r="9173">
      <c r="B9173" s="25" t="n"/>
      <c r="I9173" s="25" t="n"/>
      <c r="U9173" s="19">
        <f>IF($V9173&lt;&gt;'設定'!$C$4,N(U9172),IF(OR(NOT(COUNTIF('商品マスタ'!$B$6:$B$1005,$W9173)=0),COUNTIFS('①在庫を貼る'!$V$6:$V$10005,$V9173,'①在庫を貼る'!$W$6:$W$10005,$W9173)+COUNTIFS('月1回_1ヶ月前の在庫'!$V$6:$V$10005,$V9173,'月1回_1ヶ月前の在庫'!$W$6:$W$10005,$W9173)&gt;0),N(U9172),N(U9172)+1))</f>
        <v/>
      </c>
      <c r="V9173" s="19">
        <f>IF($B9173="","",TEXT($B9173,"0000"))</f>
        <v/>
      </c>
      <c r="W9173" s="19">
        <f>IF($I9173="","",IF(ISNUMBER($I9173),TEXT($I9173,"0"),$I9173))</f>
        <v/>
      </c>
    </row>
    <row r="9174">
      <c r="B9174" s="25" t="n"/>
      <c r="I9174" s="25" t="n"/>
      <c r="U9174" s="19">
        <f>IF($V9174&lt;&gt;'設定'!$C$4,N(U9173),IF(OR(NOT(COUNTIF('商品マスタ'!$B$6:$B$1005,$W9174)=0),COUNTIFS('①在庫を貼る'!$V$6:$V$10005,$V9174,'①在庫を貼る'!$W$6:$W$10005,$W9174)+COUNTIFS('月1回_1ヶ月前の在庫'!$V$6:$V$10005,$V9174,'月1回_1ヶ月前の在庫'!$W$6:$W$10005,$W9174)&gt;0),N(U9173),N(U9173)+1))</f>
        <v/>
      </c>
      <c r="V9174" s="19">
        <f>IF($B9174="","",TEXT($B9174,"0000"))</f>
        <v/>
      </c>
      <c r="W9174" s="19">
        <f>IF($I9174="","",IF(ISNUMBER($I9174),TEXT($I9174,"0"),$I9174))</f>
        <v/>
      </c>
    </row>
    <row r="9175">
      <c r="B9175" s="25" t="n"/>
      <c r="I9175" s="25" t="n"/>
      <c r="U9175" s="19">
        <f>IF($V9175&lt;&gt;'設定'!$C$4,N(U9174),IF(OR(NOT(COUNTIF('商品マスタ'!$B$6:$B$1005,$W9175)=0),COUNTIFS('①在庫を貼る'!$V$6:$V$10005,$V9175,'①在庫を貼る'!$W$6:$W$10005,$W9175)+COUNTIFS('月1回_1ヶ月前の在庫'!$V$6:$V$10005,$V9175,'月1回_1ヶ月前の在庫'!$W$6:$W$10005,$W9175)&gt;0),N(U9174),N(U9174)+1))</f>
        <v/>
      </c>
      <c r="V9175" s="19">
        <f>IF($B9175="","",TEXT($B9175,"0000"))</f>
        <v/>
      </c>
      <c r="W9175" s="19">
        <f>IF($I9175="","",IF(ISNUMBER($I9175),TEXT($I9175,"0"),$I9175))</f>
        <v/>
      </c>
    </row>
    <row r="9176">
      <c r="B9176" s="25" t="n"/>
      <c r="I9176" s="25" t="n"/>
      <c r="U9176" s="19">
        <f>IF($V9176&lt;&gt;'設定'!$C$4,N(U9175),IF(OR(NOT(COUNTIF('商品マスタ'!$B$6:$B$1005,$W9176)=0),COUNTIFS('①在庫を貼る'!$V$6:$V$10005,$V9176,'①在庫を貼る'!$W$6:$W$10005,$W9176)+COUNTIFS('月1回_1ヶ月前の在庫'!$V$6:$V$10005,$V9176,'月1回_1ヶ月前の在庫'!$W$6:$W$10005,$W9176)&gt;0),N(U9175),N(U9175)+1))</f>
        <v/>
      </c>
      <c r="V9176" s="19">
        <f>IF($B9176="","",TEXT($B9176,"0000"))</f>
        <v/>
      </c>
      <c r="W9176" s="19">
        <f>IF($I9176="","",IF(ISNUMBER($I9176),TEXT($I9176,"0"),$I9176))</f>
        <v/>
      </c>
    </row>
    <row r="9177">
      <c r="B9177" s="25" t="n"/>
      <c r="I9177" s="25" t="n"/>
      <c r="U9177" s="19">
        <f>IF($V9177&lt;&gt;'設定'!$C$4,N(U9176),IF(OR(NOT(COUNTIF('商品マスタ'!$B$6:$B$1005,$W9177)=0),COUNTIFS('①在庫を貼る'!$V$6:$V$10005,$V9177,'①在庫を貼る'!$W$6:$W$10005,$W9177)+COUNTIFS('月1回_1ヶ月前の在庫'!$V$6:$V$10005,$V9177,'月1回_1ヶ月前の在庫'!$W$6:$W$10005,$W9177)&gt;0),N(U9176),N(U9176)+1))</f>
        <v/>
      </c>
      <c r="V9177" s="19">
        <f>IF($B9177="","",TEXT($B9177,"0000"))</f>
        <v/>
      </c>
      <c r="W9177" s="19">
        <f>IF($I9177="","",IF(ISNUMBER($I9177),TEXT($I9177,"0"),$I9177))</f>
        <v/>
      </c>
    </row>
    <row r="9178">
      <c r="B9178" s="25" t="n"/>
      <c r="I9178" s="25" t="n"/>
      <c r="U9178" s="19">
        <f>IF($V9178&lt;&gt;'設定'!$C$4,N(U9177),IF(OR(NOT(COUNTIF('商品マスタ'!$B$6:$B$1005,$W9178)=0),COUNTIFS('①在庫を貼る'!$V$6:$V$10005,$V9178,'①在庫を貼る'!$W$6:$W$10005,$W9178)+COUNTIFS('月1回_1ヶ月前の在庫'!$V$6:$V$10005,$V9178,'月1回_1ヶ月前の在庫'!$W$6:$W$10005,$W9178)&gt;0),N(U9177),N(U9177)+1))</f>
        <v/>
      </c>
      <c r="V9178" s="19">
        <f>IF($B9178="","",TEXT($B9178,"0000"))</f>
        <v/>
      </c>
      <c r="W9178" s="19">
        <f>IF($I9178="","",IF(ISNUMBER($I9178),TEXT($I9178,"0"),$I9178))</f>
        <v/>
      </c>
    </row>
    <row r="9179">
      <c r="B9179" s="25" t="n"/>
      <c r="I9179" s="25" t="n"/>
      <c r="U9179" s="19">
        <f>IF($V9179&lt;&gt;'設定'!$C$4,N(U9178),IF(OR(NOT(COUNTIF('商品マスタ'!$B$6:$B$1005,$W9179)=0),COUNTIFS('①在庫を貼る'!$V$6:$V$10005,$V9179,'①在庫を貼る'!$W$6:$W$10005,$W9179)+COUNTIFS('月1回_1ヶ月前の在庫'!$V$6:$V$10005,$V9179,'月1回_1ヶ月前の在庫'!$W$6:$W$10005,$W9179)&gt;0),N(U9178),N(U9178)+1))</f>
        <v/>
      </c>
      <c r="V9179" s="19">
        <f>IF($B9179="","",TEXT($B9179,"0000"))</f>
        <v/>
      </c>
      <c r="W9179" s="19">
        <f>IF($I9179="","",IF(ISNUMBER($I9179),TEXT($I9179,"0"),$I9179))</f>
        <v/>
      </c>
    </row>
    <row r="9180">
      <c r="B9180" s="25" t="n"/>
      <c r="I9180" s="25" t="n"/>
      <c r="U9180" s="19">
        <f>IF($V9180&lt;&gt;'設定'!$C$4,N(U9179),IF(OR(NOT(COUNTIF('商品マスタ'!$B$6:$B$1005,$W9180)=0),COUNTIFS('①在庫を貼る'!$V$6:$V$10005,$V9180,'①在庫を貼る'!$W$6:$W$10005,$W9180)+COUNTIFS('月1回_1ヶ月前の在庫'!$V$6:$V$10005,$V9180,'月1回_1ヶ月前の在庫'!$W$6:$W$10005,$W9180)&gt;0),N(U9179),N(U9179)+1))</f>
        <v/>
      </c>
      <c r="V9180" s="19">
        <f>IF($B9180="","",TEXT($B9180,"0000"))</f>
        <v/>
      </c>
      <c r="W9180" s="19">
        <f>IF($I9180="","",IF(ISNUMBER($I9180),TEXT($I9180,"0"),$I9180))</f>
        <v/>
      </c>
    </row>
    <row r="9181">
      <c r="B9181" s="25" t="n"/>
      <c r="I9181" s="25" t="n"/>
      <c r="U9181" s="19">
        <f>IF($V9181&lt;&gt;'設定'!$C$4,N(U9180),IF(OR(NOT(COUNTIF('商品マスタ'!$B$6:$B$1005,$W9181)=0),COUNTIFS('①在庫を貼る'!$V$6:$V$10005,$V9181,'①在庫を貼る'!$W$6:$W$10005,$W9181)+COUNTIFS('月1回_1ヶ月前の在庫'!$V$6:$V$10005,$V9181,'月1回_1ヶ月前の在庫'!$W$6:$W$10005,$W9181)&gt;0),N(U9180),N(U9180)+1))</f>
        <v/>
      </c>
      <c r="V9181" s="19">
        <f>IF($B9181="","",TEXT($B9181,"0000"))</f>
        <v/>
      </c>
      <c r="W9181" s="19">
        <f>IF($I9181="","",IF(ISNUMBER($I9181),TEXT($I9181,"0"),$I9181))</f>
        <v/>
      </c>
    </row>
    <row r="9182">
      <c r="B9182" s="25" t="n"/>
      <c r="I9182" s="25" t="n"/>
      <c r="U9182" s="19">
        <f>IF($V9182&lt;&gt;'設定'!$C$4,N(U9181),IF(OR(NOT(COUNTIF('商品マスタ'!$B$6:$B$1005,$W9182)=0),COUNTIFS('①在庫を貼る'!$V$6:$V$10005,$V9182,'①在庫を貼る'!$W$6:$W$10005,$W9182)+COUNTIFS('月1回_1ヶ月前の在庫'!$V$6:$V$10005,$V9182,'月1回_1ヶ月前の在庫'!$W$6:$W$10005,$W9182)&gt;0),N(U9181),N(U9181)+1))</f>
        <v/>
      </c>
      <c r="V9182" s="19">
        <f>IF($B9182="","",TEXT($B9182,"0000"))</f>
        <v/>
      </c>
      <c r="W9182" s="19">
        <f>IF($I9182="","",IF(ISNUMBER($I9182),TEXT($I9182,"0"),$I9182))</f>
        <v/>
      </c>
    </row>
    <row r="9183">
      <c r="B9183" s="25" t="n"/>
      <c r="I9183" s="25" t="n"/>
      <c r="U9183" s="19">
        <f>IF($V9183&lt;&gt;'設定'!$C$4,N(U9182),IF(OR(NOT(COUNTIF('商品マスタ'!$B$6:$B$1005,$W9183)=0),COUNTIFS('①在庫を貼る'!$V$6:$V$10005,$V9183,'①在庫を貼る'!$W$6:$W$10005,$W9183)+COUNTIFS('月1回_1ヶ月前の在庫'!$V$6:$V$10005,$V9183,'月1回_1ヶ月前の在庫'!$W$6:$W$10005,$W9183)&gt;0),N(U9182),N(U9182)+1))</f>
        <v/>
      </c>
      <c r="V9183" s="19">
        <f>IF($B9183="","",TEXT($B9183,"0000"))</f>
        <v/>
      </c>
      <c r="W9183" s="19">
        <f>IF($I9183="","",IF(ISNUMBER($I9183),TEXT($I9183,"0"),$I9183))</f>
        <v/>
      </c>
    </row>
    <row r="9184">
      <c r="B9184" s="25" t="n"/>
      <c r="I9184" s="25" t="n"/>
      <c r="U9184" s="19">
        <f>IF($V9184&lt;&gt;'設定'!$C$4,N(U9183),IF(OR(NOT(COUNTIF('商品マスタ'!$B$6:$B$1005,$W9184)=0),COUNTIFS('①在庫を貼る'!$V$6:$V$10005,$V9184,'①在庫を貼る'!$W$6:$W$10005,$W9184)+COUNTIFS('月1回_1ヶ月前の在庫'!$V$6:$V$10005,$V9184,'月1回_1ヶ月前の在庫'!$W$6:$W$10005,$W9184)&gt;0),N(U9183),N(U9183)+1))</f>
        <v/>
      </c>
      <c r="V9184" s="19">
        <f>IF($B9184="","",TEXT($B9184,"0000"))</f>
        <v/>
      </c>
      <c r="W9184" s="19">
        <f>IF($I9184="","",IF(ISNUMBER($I9184),TEXT($I9184,"0"),$I9184))</f>
        <v/>
      </c>
    </row>
    <row r="9185">
      <c r="B9185" s="25" t="n"/>
      <c r="I9185" s="25" t="n"/>
      <c r="U9185" s="19">
        <f>IF($V9185&lt;&gt;'設定'!$C$4,N(U9184),IF(OR(NOT(COUNTIF('商品マスタ'!$B$6:$B$1005,$W9185)=0),COUNTIFS('①在庫を貼る'!$V$6:$V$10005,$V9185,'①在庫を貼る'!$W$6:$W$10005,$W9185)+COUNTIFS('月1回_1ヶ月前の在庫'!$V$6:$V$10005,$V9185,'月1回_1ヶ月前の在庫'!$W$6:$W$10005,$W9185)&gt;0),N(U9184),N(U9184)+1))</f>
        <v/>
      </c>
      <c r="V9185" s="19">
        <f>IF($B9185="","",TEXT($B9185,"0000"))</f>
        <v/>
      </c>
      <c r="W9185" s="19">
        <f>IF($I9185="","",IF(ISNUMBER($I9185),TEXT($I9185,"0"),$I9185))</f>
        <v/>
      </c>
    </row>
    <row r="9186">
      <c r="B9186" s="25" t="n"/>
      <c r="I9186" s="25" t="n"/>
      <c r="U9186" s="19">
        <f>IF($V9186&lt;&gt;'設定'!$C$4,N(U9185),IF(OR(NOT(COUNTIF('商品マスタ'!$B$6:$B$1005,$W9186)=0),COUNTIFS('①在庫を貼る'!$V$6:$V$10005,$V9186,'①在庫を貼る'!$W$6:$W$10005,$W9186)+COUNTIFS('月1回_1ヶ月前の在庫'!$V$6:$V$10005,$V9186,'月1回_1ヶ月前の在庫'!$W$6:$W$10005,$W9186)&gt;0),N(U9185),N(U9185)+1))</f>
        <v/>
      </c>
      <c r="V9186" s="19">
        <f>IF($B9186="","",TEXT($B9186,"0000"))</f>
        <v/>
      </c>
      <c r="W9186" s="19">
        <f>IF($I9186="","",IF(ISNUMBER($I9186),TEXT($I9186,"0"),$I9186))</f>
        <v/>
      </c>
    </row>
    <row r="9187">
      <c r="B9187" s="25" t="n"/>
      <c r="I9187" s="25" t="n"/>
      <c r="U9187" s="19">
        <f>IF($V9187&lt;&gt;'設定'!$C$4,N(U9186),IF(OR(NOT(COUNTIF('商品マスタ'!$B$6:$B$1005,$W9187)=0),COUNTIFS('①在庫を貼る'!$V$6:$V$10005,$V9187,'①在庫を貼る'!$W$6:$W$10005,$W9187)+COUNTIFS('月1回_1ヶ月前の在庫'!$V$6:$V$10005,$V9187,'月1回_1ヶ月前の在庫'!$W$6:$W$10005,$W9187)&gt;0),N(U9186),N(U9186)+1))</f>
        <v/>
      </c>
      <c r="V9187" s="19">
        <f>IF($B9187="","",TEXT($B9187,"0000"))</f>
        <v/>
      </c>
      <c r="W9187" s="19">
        <f>IF($I9187="","",IF(ISNUMBER($I9187),TEXT($I9187,"0"),$I9187))</f>
        <v/>
      </c>
    </row>
    <row r="9188">
      <c r="B9188" s="25" t="n"/>
      <c r="I9188" s="25" t="n"/>
      <c r="U9188" s="19">
        <f>IF($V9188&lt;&gt;'設定'!$C$4,N(U9187),IF(OR(NOT(COUNTIF('商品マスタ'!$B$6:$B$1005,$W9188)=0),COUNTIFS('①在庫を貼る'!$V$6:$V$10005,$V9188,'①在庫を貼る'!$W$6:$W$10005,$W9188)+COUNTIFS('月1回_1ヶ月前の在庫'!$V$6:$V$10005,$V9188,'月1回_1ヶ月前の在庫'!$W$6:$W$10005,$W9188)&gt;0),N(U9187),N(U9187)+1))</f>
        <v/>
      </c>
      <c r="V9188" s="19">
        <f>IF($B9188="","",TEXT($B9188,"0000"))</f>
        <v/>
      </c>
      <c r="W9188" s="19">
        <f>IF($I9188="","",IF(ISNUMBER($I9188),TEXT($I9188,"0"),$I9188))</f>
        <v/>
      </c>
    </row>
    <row r="9189">
      <c r="B9189" s="25" t="n"/>
      <c r="I9189" s="25" t="n"/>
      <c r="U9189" s="19">
        <f>IF($V9189&lt;&gt;'設定'!$C$4,N(U9188),IF(OR(NOT(COUNTIF('商品マスタ'!$B$6:$B$1005,$W9189)=0),COUNTIFS('①在庫を貼る'!$V$6:$V$10005,$V9189,'①在庫を貼る'!$W$6:$W$10005,$W9189)+COUNTIFS('月1回_1ヶ月前の在庫'!$V$6:$V$10005,$V9189,'月1回_1ヶ月前の在庫'!$W$6:$W$10005,$W9189)&gt;0),N(U9188),N(U9188)+1))</f>
        <v/>
      </c>
      <c r="V9189" s="19">
        <f>IF($B9189="","",TEXT($B9189,"0000"))</f>
        <v/>
      </c>
      <c r="W9189" s="19">
        <f>IF($I9189="","",IF(ISNUMBER($I9189),TEXT($I9189,"0"),$I9189))</f>
        <v/>
      </c>
    </row>
    <row r="9190">
      <c r="B9190" s="25" t="n"/>
      <c r="I9190" s="25" t="n"/>
      <c r="U9190" s="19">
        <f>IF($V9190&lt;&gt;'設定'!$C$4,N(U9189),IF(OR(NOT(COUNTIF('商品マスタ'!$B$6:$B$1005,$W9190)=0),COUNTIFS('①在庫を貼る'!$V$6:$V$10005,$V9190,'①在庫を貼る'!$W$6:$W$10005,$W9190)+COUNTIFS('月1回_1ヶ月前の在庫'!$V$6:$V$10005,$V9190,'月1回_1ヶ月前の在庫'!$W$6:$W$10005,$W9190)&gt;0),N(U9189),N(U9189)+1))</f>
        <v/>
      </c>
      <c r="V9190" s="19">
        <f>IF($B9190="","",TEXT($B9190,"0000"))</f>
        <v/>
      </c>
      <c r="W9190" s="19">
        <f>IF($I9190="","",IF(ISNUMBER($I9190),TEXT($I9190,"0"),$I9190))</f>
        <v/>
      </c>
    </row>
    <row r="9191">
      <c r="B9191" s="25" t="n"/>
      <c r="I9191" s="25" t="n"/>
      <c r="U9191" s="19">
        <f>IF($V9191&lt;&gt;'設定'!$C$4,N(U9190),IF(OR(NOT(COUNTIF('商品マスタ'!$B$6:$B$1005,$W9191)=0),COUNTIFS('①在庫を貼る'!$V$6:$V$10005,$V9191,'①在庫を貼る'!$W$6:$W$10005,$W9191)+COUNTIFS('月1回_1ヶ月前の在庫'!$V$6:$V$10005,$V9191,'月1回_1ヶ月前の在庫'!$W$6:$W$10005,$W9191)&gt;0),N(U9190),N(U9190)+1))</f>
        <v/>
      </c>
      <c r="V9191" s="19">
        <f>IF($B9191="","",TEXT($B9191,"0000"))</f>
        <v/>
      </c>
      <c r="W9191" s="19">
        <f>IF($I9191="","",IF(ISNUMBER($I9191),TEXT($I9191,"0"),$I9191))</f>
        <v/>
      </c>
    </row>
    <row r="9192">
      <c r="B9192" s="25" t="n"/>
      <c r="I9192" s="25" t="n"/>
      <c r="U9192" s="19">
        <f>IF($V9192&lt;&gt;'設定'!$C$4,N(U9191),IF(OR(NOT(COUNTIF('商品マスタ'!$B$6:$B$1005,$W9192)=0),COUNTIFS('①在庫を貼る'!$V$6:$V$10005,$V9192,'①在庫を貼る'!$W$6:$W$10005,$W9192)+COUNTIFS('月1回_1ヶ月前の在庫'!$V$6:$V$10005,$V9192,'月1回_1ヶ月前の在庫'!$W$6:$W$10005,$W9192)&gt;0),N(U9191),N(U9191)+1))</f>
        <v/>
      </c>
      <c r="V9192" s="19">
        <f>IF($B9192="","",TEXT($B9192,"0000"))</f>
        <v/>
      </c>
      <c r="W9192" s="19">
        <f>IF($I9192="","",IF(ISNUMBER($I9192),TEXT($I9192,"0"),$I9192))</f>
        <v/>
      </c>
    </row>
    <row r="9193">
      <c r="B9193" s="25" t="n"/>
      <c r="I9193" s="25" t="n"/>
      <c r="U9193" s="19">
        <f>IF($V9193&lt;&gt;'設定'!$C$4,N(U9192),IF(OR(NOT(COUNTIF('商品マスタ'!$B$6:$B$1005,$W9193)=0),COUNTIFS('①在庫を貼る'!$V$6:$V$10005,$V9193,'①在庫を貼る'!$W$6:$W$10005,$W9193)+COUNTIFS('月1回_1ヶ月前の在庫'!$V$6:$V$10005,$V9193,'月1回_1ヶ月前の在庫'!$W$6:$W$10005,$W9193)&gt;0),N(U9192),N(U9192)+1))</f>
        <v/>
      </c>
      <c r="V9193" s="19">
        <f>IF($B9193="","",TEXT($B9193,"0000"))</f>
        <v/>
      </c>
      <c r="W9193" s="19">
        <f>IF($I9193="","",IF(ISNUMBER($I9193),TEXT($I9193,"0"),$I9193))</f>
        <v/>
      </c>
    </row>
    <row r="9194">
      <c r="B9194" s="25" t="n"/>
      <c r="I9194" s="25" t="n"/>
      <c r="U9194" s="19">
        <f>IF($V9194&lt;&gt;'設定'!$C$4,N(U9193),IF(OR(NOT(COUNTIF('商品マスタ'!$B$6:$B$1005,$W9194)=0),COUNTIFS('①在庫を貼る'!$V$6:$V$10005,$V9194,'①在庫を貼る'!$W$6:$W$10005,$W9194)+COUNTIFS('月1回_1ヶ月前の在庫'!$V$6:$V$10005,$V9194,'月1回_1ヶ月前の在庫'!$W$6:$W$10005,$W9194)&gt;0),N(U9193),N(U9193)+1))</f>
        <v/>
      </c>
      <c r="V9194" s="19">
        <f>IF($B9194="","",TEXT($B9194,"0000"))</f>
        <v/>
      </c>
      <c r="W9194" s="19">
        <f>IF($I9194="","",IF(ISNUMBER($I9194),TEXT($I9194,"0"),$I9194))</f>
        <v/>
      </c>
    </row>
    <row r="9195">
      <c r="B9195" s="25" t="n"/>
      <c r="I9195" s="25" t="n"/>
      <c r="U9195" s="19">
        <f>IF($V9195&lt;&gt;'設定'!$C$4,N(U9194),IF(OR(NOT(COUNTIF('商品マスタ'!$B$6:$B$1005,$W9195)=0),COUNTIFS('①在庫を貼る'!$V$6:$V$10005,$V9195,'①在庫を貼る'!$W$6:$W$10005,$W9195)+COUNTIFS('月1回_1ヶ月前の在庫'!$V$6:$V$10005,$V9195,'月1回_1ヶ月前の在庫'!$W$6:$W$10005,$W9195)&gt;0),N(U9194),N(U9194)+1))</f>
        <v/>
      </c>
      <c r="V9195" s="19">
        <f>IF($B9195="","",TEXT($B9195,"0000"))</f>
        <v/>
      </c>
      <c r="W9195" s="19">
        <f>IF($I9195="","",IF(ISNUMBER($I9195),TEXT($I9195,"0"),$I9195))</f>
        <v/>
      </c>
    </row>
    <row r="9196">
      <c r="B9196" s="25" t="n"/>
      <c r="I9196" s="25" t="n"/>
      <c r="U9196" s="19">
        <f>IF($V9196&lt;&gt;'設定'!$C$4,N(U9195),IF(OR(NOT(COUNTIF('商品マスタ'!$B$6:$B$1005,$W9196)=0),COUNTIFS('①在庫を貼る'!$V$6:$V$10005,$V9196,'①在庫を貼る'!$W$6:$W$10005,$W9196)+COUNTIFS('月1回_1ヶ月前の在庫'!$V$6:$V$10005,$V9196,'月1回_1ヶ月前の在庫'!$W$6:$W$10005,$W9196)&gt;0),N(U9195),N(U9195)+1))</f>
        <v/>
      </c>
      <c r="V9196" s="19">
        <f>IF($B9196="","",TEXT($B9196,"0000"))</f>
        <v/>
      </c>
      <c r="W9196" s="19">
        <f>IF($I9196="","",IF(ISNUMBER($I9196),TEXT($I9196,"0"),$I9196))</f>
        <v/>
      </c>
    </row>
    <row r="9197">
      <c r="B9197" s="25" t="n"/>
      <c r="I9197" s="25" t="n"/>
      <c r="U9197" s="19">
        <f>IF($V9197&lt;&gt;'設定'!$C$4,N(U9196),IF(OR(NOT(COUNTIF('商品マスタ'!$B$6:$B$1005,$W9197)=0),COUNTIFS('①在庫を貼る'!$V$6:$V$10005,$V9197,'①在庫を貼る'!$W$6:$W$10005,$W9197)+COUNTIFS('月1回_1ヶ月前の在庫'!$V$6:$V$10005,$V9197,'月1回_1ヶ月前の在庫'!$W$6:$W$10005,$W9197)&gt;0),N(U9196),N(U9196)+1))</f>
        <v/>
      </c>
      <c r="V9197" s="19">
        <f>IF($B9197="","",TEXT($B9197,"0000"))</f>
        <v/>
      </c>
      <c r="W9197" s="19">
        <f>IF($I9197="","",IF(ISNUMBER($I9197),TEXT($I9197,"0"),$I9197))</f>
        <v/>
      </c>
    </row>
    <row r="9198">
      <c r="B9198" s="25" t="n"/>
      <c r="I9198" s="25" t="n"/>
      <c r="U9198" s="19">
        <f>IF($V9198&lt;&gt;'設定'!$C$4,N(U9197),IF(OR(NOT(COUNTIF('商品マスタ'!$B$6:$B$1005,$W9198)=0),COUNTIFS('①在庫を貼る'!$V$6:$V$10005,$V9198,'①在庫を貼る'!$W$6:$W$10005,$W9198)+COUNTIFS('月1回_1ヶ月前の在庫'!$V$6:$V$10005,$V9198,'月1回_1ヶ月前の在庫'!$W$6:$W$10005,$W9198)&gt;0),N(U9197),N(U9197)+1))</f>
        <v/>
      </c>
      <c r="V9198" s="19">
        <f>IF($B9198="","",TEXT($B9198,"0000"))</f>
        <v/>
      </c>
      <c r="W9198" s="19">
        <f>IF($I9198="","",IF(ISNUMBER($I9198),TEXT($I9198,"0"),$I9198))</f>
        <v/>
      </c>
    </row>
    <row r="9199">
      <c r="B9199" s="25" t="n"/>
      <c r="I9199" s="25" t="n"/>
      <c r="U9199" s="19">
        <f>IF($V9199&lt;&gt;'設定'!$C$4,N(U9198),IF(OR(NOT(COUNTIF('商品マスタ'!$B$6:$B$1005,$W9199)=0),COUNTIFS('①在庫を貼る'!$V$6:$V$10005,$V9199,'①在庫を貼る'!$W$6:$W$10005,$W9199)+COUNTIFS('月1回_1ヶ月前の在庫'!$V$6:$V$10005,$V9199,'月1回_1ヶ月前の在庫'!$W$6:$W$10005,$W9199)&gt;0),N(U9198),N(U9198)+1))</f>
        <v/>
      </c>
      <c r="V9199" s="19">
        <f>IF($B9199="","",TEXT($B9199,"0000"))</f>
        <v/>
      </c>
      <c r="W9199" s="19">
        <f>IF($I9199="","",IF(ISNUMBER($I9199),TEXT($I9199,"0"),$I9199))</f>
        <v/>
      </c>
    </row>
    <row r="9200">
      <c r="B9200" s="25" t="n"/>
      <c r="I9200" s="25" t="n"/>
      <c r="U9200" s="19">
        <f>IF($V9200&lt;&gt;'設定'!$C$4,N(U9199),IF(OR(NOT(COUNTIF('商品マスタ'!$B$6:$B$1005,$W9200)=0),COUNTIFS('①在庫を貼る'!$V$6:$V$10005,$V9200,'①在庫を貼る'!$W$6:$W$10005,$W9200)+COUNTIFS('月1回_1ヶ月前の在庫'!$V$6:$V$10005,$V9200,'月1回_1ヶ月前の在庫'!$W$6:$W$10005,$W9200)&gt;0),N(U9199),N(U9199)+1))</f>
        <v/>
      </c>
      <c r="V9200" s="19">
        <f>IF($B9200="","",TEXT($B9200,"0000"))</f>
        <v/>
      </c>
      <c r="W9200" s="19">
        <f>IF($I9200="","",IF(ISNUMBER($I9200),TEXT($I9200,"0"),$I9200))</f>
        <v/>
      </c>
    </row>
    <row r="9201">
      <c r="B9201" s="25" t="n"/>
      <c r="I9201" s="25" t="n"/>
      <c r="U9201" s="19">
        <f>IF($V9201&lt;&gt;'設定'!$C$4,N(U9200),IF(OR(NOT(COUNTIF('商品マスタ'!$B$6:$B$1005,$W9201)=0),COUNTIFS('①在庫を貼る'!$V$6:$V$10005,$V9201,'①在庫を貼る'!$W$6:$W$10005,$W9201)+COUNTIFS('月1回_1ヶ月前の在庫'!$V$6:$V$10005,$V9201,'月1回_1ヶ月前の在庫'!$W$6:$W$10005,$W9201)&gt;0),N(U9200),N(U9200)+1))</f>
        <v/>
      </c>
      <c r="V9201" s="19">
        <f>IF($B9201="","",TEXT($B9201,"0000"))</f>
        <v/>
      </c>
      <c r="W9201" s="19">
        <f>IF($I9201="","",IF(ISNUMBER($I9201),TEXT($I9201,"0"),$I9201))</f>
        <v/>
      </c>
    </row>
    <row r="9202">
      <c r="B9202" s="25" t="n"/>
      <c r="I9202" s="25" t="n"/>
      <c r="U9202" s="19">
        <f>IF($V9202&lt;&gt;'設定'!$C$4,N(U9201),IF(OR(NOT(COUNTIF('商品マスタ'!$B$6:$B$1005,$W9202)=0),COUNTIFS('①在庫を貼る'!$V$6:$V$10005,$V9202,'①在庫を貼る'!$W$6:$W$10005,$W9202)+COUNTIFS('月1回_1ヶ月前の在庫'!$V$6:$V$10005,$V9202,'月1回_1ヶ月前の在庫'!$W$6:$W$10005,$W9202)&gt;0),N(U9201),N(U9201)+1))</f>
        <v/>
      </c>
      <c r="V9202" s="19">
        <f>IF($B9202="","",TEXT($B9202,"0000"))</f>
        <v/>
      </c>
      <c r="W9202" s="19">
        <f>IF($I9202="","",IF(ISNUMBER($I9202),TEXT($I9202,"0"),$I9202))</f>
        <v/>
      </c>
    </row>
    <row r="9203">
      <c r="B9203" s="25" t="n"/>
      <c r="I9203" s="25" t="n"/>
      <c r="U9203" s="19">
        <f>IF($V9203&lt;&gt;'設定'!$C$4,N(U9202),IF(OR(NOT(COUNTIF('商品マスタ'!$B$6:$B$1005,$W9203)=0),COUNTIFS('①在庫を貼る'!$V$6:$V$10005,$V9203,'①在庫を貼る'!$W$6:$W$10005,$W9203)+COUNTIFS('月1回_1ヶ月前の在庫'!$V$6:$V$10005,$V9203,'月1回_1ヶ月前の在庫'!$W$6:$W$10005,$W9203)&gt;0),N(U9202),N(U9202)+1))</f>
        <v/>
      </c>
      <c r="V9203" s="19">
        <f>IF($B9203="","",TEXT($B9203,"0000"))</f>
        <v/>
      </c>
      <c r="W9203" s="19">
        <f>IF($I9203="","",IF(ISNUMBER($I9203),TEXT($I9203,"0"),$I9203))</f>
        <v/>
      </c>
    </row>
    <row r="9204">
      <c r="B9204" s="25" t="n"/>
      <c r="I9204" s="25" t="n"/>
      <c r="U9204" s="19">
        <f>IF($V9204&lt;&gt;'設定'!$C$4,N(U9203),IF(OR(NOT(COUNTIF('商品マスタ'!$B$6:$B$1005,$W9204)=0),COUNTIFS('①在庫を貼る'!$V$6:$V$10005,$V9204,'①在庫を貼る'!$W$6:$W$10005,$W9204)+COUNTIFS('月1回_1ヶ月前の在庫'!$V$6:$V$10005,$V9204,'月1回_1ヶ月前の在庫'!$W$6:$W$10005,$W9204)&gt;0),N(U9203),N(U9203)+1))</f>
        <v/>
      </c>
      <c r="V9204" s="19">
        <f>IF($B9204="","",TEXT($B9204,"0000"))</f>
        <v/>
      </c>
      <c r="W9204" s="19">
        <f>IF($I9204="","",IF(ISNUMBER($I9204),TEXT($I9204,"0"),$I9204))</f>
        <v/>
      </c>
    </row>
    <row r="9205">
      <c r="B9205" s="25" t="n"/>
      <c r="I9205" s="25" t="n"/>
      <c r="U9205" s="19">
        <f>IF($V9205&lt;&gt;'設定'!$C$4,N(U9204),IF(OR(NOT(COUNTIF('商品マスタ'!$B$6:$B$1005,$W9205)=0),COUNTIFS('①在庫を貼る'!$V$6:$V$10005,$V9205,'①在庫を貼る'!$W$6:$W$10005,$W9205)+COUNTIFS('月1回_1ヶ月前の在庫'!$V$6:$V$10005,$V9205,'月1回_1ヶ月前の在庫'!$W$6:$W$10005,$W9205)&gt;0),N(U9204),N(U9204)+1))</f>
        <v/>
      </c>
      <c r="V9205" s="19">
        <f>IF($B9205="","",TEXT($B9205,"0000"))</f>
        <v/>
      </c>
      <c r="W9205" s="19">
        <f>IF($I9205="","",IF(ISNUMBER($I9205),TEXT($I9205,"0"),$I9205))</f>
        <v/>
      </c>
    </row>
    <row r="9206">
      <c r="B9206" s="25" t="n"/>
      <c r="I9206" s="25" t="n"/>
      <c r="U9206" s="19">
        <f>IF($V9206&lt;&gt;'設定'!$C$4,N(U9205),IF(OR(NOT(COUNTIF('商品マスタ'!$B$6:$B$1005,$W9206)=0),COUNTIFS('①在庫を貼る'!$V$6:$V$10005,$V9206,'①在庫を貼る'!$W$6:$W$10005,$W9206)+COUNTIFS('月1回_1ヶ月前の在庫'!$V$6:$V$10005,$V9206,'月1回_1ヶ月前の在庫'!$W$6:$W$10005,$W9206)&gt;0),N(U9205),N(U9205)+1))</f>
        <v/>
      </c>
      <c r="V9206" s="19">
        <f>IF($B9206="","",TEXT($B9206,"0000"))</f>
        <v/>
      </c>
      <c r="W9206" s="19">
        <f>IF($I9206="","",IF(ISNUMBER($I9206),TEXT($I9206,"0"),$I9206))</f>
        <v/>
      </c>
    </row>
    <row r="9207">
      <c r="B9207" s="25" t="n"/>
      <c r="I9207" s="25" t="n"/>
      <c r="U9207" s="19">
        <f>IF($V9207&lt;&gt;'設定'!$C$4,N(U9206),IF(OR(NOT(COUNTIF('商品マスタ'!$B$6:$B$1005,$W9207)=0),COUNTIFS('①在庫を貼る'!$V$6:$V$10005,$V9207,'①在庫を貼る'!$W$6:$W$10005,$W9207)+COUNTIFS('月1回_1ヶ月前の在庫'!$V$6:$V$10005,$V9207,'月1回_1ヶ月前の在庫'!$W$6:$W$10005,$W9207)&gt;0),N(U9206),N(U9206)+1))</f>
        <v/>
      </c>
      <c r="V9207" s="19">
        <f>IF($B9207="","",TEXT($B9207,"0000"))</f>
        <v/>
      </c>
      <c r="W9207" s="19">
        <f>IF($I9207="","",IF(ISNUMBER($I9207),TEXT($I9207,"0"),$I9207))</f>
        <v/>
      </c>
    </row>
    <row r="9208">
      <c r="B9208" s="25" t="n"/>
      <c r="I9208" s="25" t="n"/>
      <c r="U9208" s="19">
        <f>IF($V9208&lt;&gt;'設定'!$C$4,N(U9207),IF(OR(NOT(COUNTIF('商品マスタ'!$B$6:$B$1005,$W9208)=0),COUNTIFS('①在庫を貼る'!$V$6:$V$10005,$V9208,'①在庫を貼る'!$W$6:$W$10005,$W9208)+COUNTIFS('月1回_1ヶ月前の在庫'!$V$6:$V$10005,$V9208,'月1回_1ヶ月前の在庫'!$W$6:$W$10005,$W9208)&gt;0),N(U9207),N(U9207)+1))</f>
        <v/>
      </c>
      <c r="V9208" s="19">
        <f>IF($B9208="","",TEXT($B9208,"0000"))</f>
        <v/>
      </c>
      <c r="W9208" s="19">
        <f>IF($I9208="","",IF(ISNUMBER($I9208),TEXT($I9208,"0"),$I9208))</f>
        <v/>
      </c>
    </row>
    <row r="9209">
      <c r="B9209" s="25" t="n"/>
      <c r="I9209" s="25" t="n"/>
      <c r="U9209" s="19">
        <f>IF($V9209&lt;&gt;'設定'!$C$4,N(U9208),IF(OR(NOT(COUNTIF('商品マスタ'!$B$6:$B$1005,$W9209)=0),COUNTIFS('①在庫を貼る'!$V$6:$V$10005,$V9209,'①在庫を貼る'!$W$6:$W$10005,$W9209)+COUNTIFS('月1回_1ヶ月前の在庫'!$V$6:$V$10005,$V9209,'月1回_1ヶ月前の在庫'!$W$6:$W$10005,$W9209)&gt;0),N(U9208),N(U9208)+1))</f>
        <v/>
      </c>
      <c r="V9209" s="19">
        <f>IF($B9209="","",TEXT($B9209,"0000"))</f>
        <v/>
      </c>
      <c r="W9209" s="19">
        <f>IF($I9209="","",IF(ISNUMBER($I9209),TEXT($I9209,"0"),$I9209))</f>
        <v/>
      </c>
    </row>
    <row r="9210">
      <c r="B9210" s="25" t="n"/>
      <c r="I9210" s="25" t="n"/>
      <c r="U9210" s="19">
        <f>IF($V9210&lt;&gt;'設定'!$C$4,N(U9209),IF(OR(NOT(COUNTIF('商品マスタ'!$B$6:$B$1005,$W9210)=0),COUNTIFS('①在庫を貼る'!$V$6:$V$10005,$V9210,'①在庫を貼る'!$W$6:$W$10005,$W9210)+COUNTIFS('月1回_1ヶ月前の在庫'!$V$6:$V$10005,$V9210,'月1回_1ヶ月前の在庫'!$W$6:$W$10005,$W9210)&gt;0),N(U9209),N(U9209)+1))</f>
        <v/>
      </c>
      <c r="V9210" s="19">
        <f>IF($B9210="","",TEXT($B9210,"0000"))</f>
        <v/>
      </c>
      <c r="W9210" s="19">
        <f>IF($I9210="","",IF(ISNUMBER($I9210),TEXT($I9210,"0"),$I9210))</f>
        <v/>
      </c>
    </row>
    <row r="9211">
      <c r="B9211" s="25" t="n"/>
      <c r="I9211" s="25" t="n"/>
      <c r="U9211" s="19">
        <f>IF($V9211&lt;&gt;'設定'!$C$4,N(U9210),IF(OR(NOT(COUNTIF('商品マスタ'!$B$6:$B$1005,$W9211)=0),COUNTIFS('①在庫を貼る'!$V$6:$V$10005,$V9211,'①在庫を貼る'!$W$6:$W$10005,$W9211)+COUNTIFS('月1回_1ヶ月前の在庫'!$V$6:$V$10005,$V9211,'月1回_1ヶ月前の在庫'!$W$6:$W$10005,$W9211)&gt;0),N(U9210),N(U9210)+1))</f>
        <v/>
      </c>
      <c r="V9211" s="19">
        <f>IF($B9211="","",TEXT($B9211,"0000"))</f>
        <v/>
      </c>
      <c r="W9211" s="19">
        <f>IF($I9211="","",IF(ISNUMBER($I9211),TEXT($I9211,"0"),$I9211))</f>
        <v/>
      </c>
    </row>
    <row r="9212">
      <c r="B9212" s="25" t="n"/>
      <c r="I9212" s="25" t="n"/>
      <c r="U9212" s="19">
        <f>IF($V9212&lt;&gt;'設定'!$C$4,N(U9211),IF(OR(NOT(COUNTIF('商品マスタ'!$B$6:$B$1005,$W9212)=0),COUNTIFS('①在庫を貼る'!$V$6:$V$10005,$V9212,'①在庫を貼る'!$W$6:$W$10005,$W9212)+COUNTIFS('月1回_1ヶ月前の在庫'!$V$6:$V$10005,$V9212,'月1回_1ヶ月前の在庫'!$W$6:$W$10005,$W9212)&gt;0),N(U9211),N(U9211)+1))</f>
        <v/>
      </c>
      <c r="V9212" s="19">
        <f>IF($B9212="","",TEXT($B9212,"0000"))</f>
        <v/>
      </c>
      <c r="W9212" s="19">
        <f>IF($I9212="","",IF(ISNUMBER($I9212),TEXT($I9212,"0"),$I9212))</f>
        <v/>
      </c>
    </row>
    <row r="9213">
      <c r="B9213" s="25" t="n"/>
      <c r="I9213" s="25" t="n"/>
      <c r="U9213" s="19">
        <f>IF($V9213&lt;&gt;'設定'!$C$4,N(U9212),IF(OR(NOT(COUNTIF('商品マスタ'!$B$6:$B$1005,$W9213)=0),COUNTIFS('①在庫を貼る'!$V$6:$V$10005,$V9213,'①在庫を貼る'!$W$6:$W$10005,$W9213)+COUNTIFS('月1回_1ヶ月前の在庫'!$V$6:$V$10005,$V9213,'月1回_1ヶ月前の在庫'!$W$6:$W$10005,$W9213)&gt;0),N(U9212),N(U9212)+1))</f>
        <v/>
      </c>
      <c r="V9213" s="19">
        <f>IF($B9213="","",TEXT($B9213,"0000"))</f>
        <v/>
      </c>
      <c r="W9213" s="19">
        <f>IF($I9213="","",IF(ISNUMBER($I9213),TEXT($I9213,"0"),$I9213))</f>
        <v/>
      </c>
    </row>
    <row r="9214">
      <c r="B9214" s="25" t="n"/>
      <c r="I9214" s="25" t="n"/>
      <c r="U9214" s="19">
        <f>IF($V9214&lt;&gt;'設定'!$C$4,N(U9213),IF(OR(NOT(COUNTIF('商品マスタ'!$B$6:$B$1005,$W9214)=0),COUNTIFS('①在庫を貼る'!$V$6:$V$10005,$V9214,'①在庫を貼る'!$W$6:$W$10005,$W9214)+COUNTIFS('月1回_1ヶ月前の在庫'!$V$6:$V$10005,$V9214,'月1回_1ヶ月前の在庫'!$W$6:$W$10005,$W9214)&gt;0),N(U9213),N(U9213)+1))</f>
        <v/>
      </c>
      <c r="V9214" s="19">
        <f>IF($B9214="","",TEXT($B9214,"0000"))</f>
        <v/>
      </c>
      <c r="W9214" s="19">
        <f>IF($I9214="","",IF(ISNUMBER($I9214),TEXT($I9214,"0"),$I9214))</f>
        <v/>
      </c>
    </row>
    <row r="9215">
      <c r="B9215" s="25" t="n"/>
      <c r="I9215" s="25" t="n"/>
      <c r="U9215" s="19">
        <f>IF($V9215&lt;&gt;'設定'!$C$4,N(U9214),IF(OR(NOT(COUNTIF('商品マスタ'!$B$6:$B$1005,$W9215)=0),COUNTIFS('①在庫を貼る'!$V$6:$V$10005,$V9215,'①在庫を貼る'!$W$6:$W$10005,$W9215)+COUNTIFS('月1回_1ヶ月前の在庫'!$V$6:$V$10005,$V9215,'月1回_1ヶ月前の在庫'!$W$6:$W$10005,$W9215)&gt;0),N(U9214),N(U9214)+1))</f>
        <v/>
      </c>
      <c r="V9215" s="19">
        <f>IF($B9215="","",TEXT($B9215,"0000"))</f>
        <v/>
      </c>
      <c r="W9215" s="19">
        <f>IF($I9215="","",IF(ISNUMBER($I9215),TEXT($I9215,"0"),$I9215))</f>
        <v/>
      </c>
    </row>
    <row r="9216">
      <c r="B9216" s="25" t="n"/>
      <c r="I9216" s="25" t="n"/>
      <c r="U9216" s="19">
        <f>IF($V9216&lt;&gt;'設定'!$C$4,N(U9215),IF(OR(NOT(COUNTIF('商品マスタ'!$B$6:$B$1005,$W9216)=0),COUNTIFS('①在庫を貼る'!$V$6:$V$10005,$V9216,'①在庫を貼る'!$W$6:$W$10005,$W9216)+COUNTIFS('月1回_1ヶ月前の在庫'!$V$6:$V$10005,$V9216,'月1回_1ヶ月前の在庫'!$W$6:$W$10005,$W9216)&gt;0),N(U9215),N(U9215)+1))</f>
        <v/>
      </c>
      <c r="V9216" s="19">
        <f>IF($B9216="","",TEXT($B9216,"0000"))</f>
        <v/>
      </c>
      <c r="W9216" s="19">
        <f>IF($I9216="","",IF(ISNUMBER($I9216),TEXT($I9216,"0"),$I9216))</f>
        <v/>
      </c>
    </row>
    <row r="9217">
      <c r="B9217" s="25" t="n"/>
      <c r="I9217" s="25" t="n"/>
      <c r="U9217" s="19">
        <f>IF($V9217&lt;&gt;'設定'!$C$4,N(U9216),IF(OR(NOT(COUNTIF('商品マスタ'!$B$6:$B$1005,$W9217)=0),COUNTIFS('①在庫を貼る'!$V$6:$V$10005,$V9217,'①在庫を貼る'!$W$6:$W$10005,$W9217)+COUNTIFS('月1回_1ヶ月前の在庫'!$V$6:$V$10005,$V9217,'月1回_1ヶ月前の在庫'!$W$6:$W$10005,$W9217)&gt;0),N(U9216),N(U9216)+1))</f>
        <v/>
      </c>
      <c r="V9217" s="19">
        <f>IF($B9217="","",TEXT($B9217,"0000"))</f>
        <v/>
      </c>
      <c r="W9217" s="19">
        <f>IF($I9217="","",IF(ISNUMBER($I9217),TEXT($I9217,"0"),$I9217))</f>
        <v/>
      </c>
    </row>
    <row r="9218">
      <c r="B9218" s="25" t="n"/>
      <c r="I9218" s="25" t="n"/>
      <c r="U9218" s="19">
        <f>IF($V9218&lt;&gt;'設定'!$C$4,N(U9217),IF(OR(NOT(COUNTIF('商品マスタ'!$B$6:$B$1005,$W9218)=0),COUNTIFS('①在庫を貼る'!$V$6:$V$10005,$V9218,'①在庫を貼る'!$W$6:$W$10005,$W9218)+COUNTIFS('月1回_1ヶ月前の在庫'!$V$6:$V$10005,$V9218,'月1回_1ヶ月前の在庫'!$W$6:$W$10005,$W9218)&gt;0),N(U9217),N(U9217)+1))</f>
        <v/>
      </c>
      <c r="V9218" s="19">
        <f>IF($B9218="","",TEXT($B9218,"0000"))</f>
        <v/>
      </c>
      <c r="W9218" s="19">
        <f>IF($I9218="","",IF(ISNUMBER($I9218),TEXT($I9218,"0"),$I9218))</f>
        <v/>
      </c>
    </row>
    <row r="9219">
      <c r="B9219" s="25" t="n"/>
      <c r="I9219" s="25" t="n"/>
      <c r="U9219" s="19">
        <f>IF($V9219&lt;&gt;'設定'!$C$4,N(U9218),IF(OR(NOT(COUNTIF('商品マスタ'!$B$6:$B$1005,$W9219)=0),COUNTIFS('①在庫を貼る'!$V$6:$V$10005,$V9219,'①在庫を貼る'!$W$6:$W$10005,$W9219)+COUNTIFS('月1回_1ヶ月前の在庫'!$V$6:$V$10005,$V9219,'月1回_1ヶ月前の在庫'!$W$6:$W$10005,$W9219)&gt;0),N(U9218),N(U9218)+1))</f>
        <v/>
      </c>
      <c r="V9219" s="19">
        <f>IF($B9219="","",TEXT($B9219,"0000"))</f>
        <v/>
      </c>
      <c r="W9219" s="19">
        <f>IF($I9219="","",IF(ISNUMBER($I9219),TEXT($I9219,"0"),$I9219))</f>
        <v/>
      </c>
    </row>
    <row r="9220">
      <c r="B9220" s="25" t="n"/>
      <c r="I9220" s="25" t="n"/>
      <c r="U9220" s="19">
        <f>IF($V9220&lt;&gt;'設定'!$C$4,N(U9219),IF(OR(NOT(COUNTIF('商品マスタ'!$B$6:$B$1005,$W9220)=0),COUNTIFS('①在庫を貼る'!$V$6:$V$10005,$V9220,'①在庫を貼る'!$W$6:$W$10005,$W9220)+COUNTIFS('月1回_1ヶ月前の在庫'!$V$6:$V$10005,$V9220,'月1回_1ヶ月前の在庫'!$W$6:$W$10005,$W9220)&gt;0),N(U9219),N(U9219)+1))</f>
        <v/>
      </c>
      <c r="V9220" s="19">
        <f>IF($B9220="","",TEXT($B9220,"0000"))</f>
        <v/>
      </c>
      <c r="W9220" s="19">
        <f>IF($I9220="","",IF(ISNUMBER($I9220),TEXT($I9220,"0"),$I9220))</f>
        <v/>
      </c>
    </row>
    <row r="9221">
      <c r="B9221" s="25" t="n"/>
      <c r="I9221" s="25" t="n"/>
      <c r="U9221" s="19">
        <f>IF($V9221&lt;&gt;'設定'!$C$4,N(U9220),IF(OR(NOT(COUNTIF('商品マスタ'!$B$6:$B$1005,$W9221)=0),COUNTIFS('①在庫を貼る'!$V$6:$V$10005,$V9221,'①在庫を貼る'!$W$6:$W$10005,$W9221)+COUNTIFS('月1回_1ヶ月前の在庫'!$V$6:$V$10005,$V9221,'月1回_1ヶ月前の在庫'!$W$6:$W$10005,$W9221)&gt;0),N(U9220),N(U9220)+1))</f>
        <v/>
      </c>
      <c r="V9221" s="19">
        <f>IF($B9221="","",TEXT($B9221,"0000"))</f>
        <v/>
      </c>
      <c r="W9221" s="19">
        <f>IF($I9221="","",IF(ISNUMBER($I9221),TEXT($I9221,"0"),$I9221))</f>
        <v/>
      </c>
    </row>
    <row r="9222">
      <c r="B9222" s="25" t="n"/>
      <c r="I9222" s="25" t="n"/>
      <c r="U9222" s="19">
        <f>IF($V9222&lt;&gt;'設定'!$C$4,N(U9221),IF(OR(NOT(COUNTIF('商品マスタ'!$B$6:$B$1005,$W9222)=0),COUNTIFS('①在庫を貼る'!$V$6:$V$10005,$V9222,'①在庫を貼る'!$W$6:$W$10005,$W9222)+COUNTIFS('月1回_1ヶ月前の在庫'!$V$6:$V$10005,$V9222,'月1回_1ヶ月前の在庫'!$W$6:$W$10005,$W9222)&gt;0),N(U9221),N(U9221)+1))</f>
        <v/>
      </c>
      <c r="V9222" s="19">
        <f>IF($B9222="","",TEXT($B9222,"0000"))</f>
        <v/>
      </c>
      <c r="W9222" s="19">
        <f>IF($I9222="","",IF(ISNUMBER($I9222),TEXT($I9222,"0"),$I9222))</f>
        <v/>
      </c>
    </row>
    <row r="9223">
      <c r="B9223" s="25" t="n"/>
      <c r="I9223" s="25" t="n"/>
      <c r="U9223" s="19">
        <f>IF($V9223&lt;&gt;'設定'!$C$4,N(U9222),IF(OR(NOT(COUNTIF('商品マスタ'!$B$6:$B$1005,$W9223)=0),COUNTIFS('①在庫を貼る'!$V$6:$V$10005,$V9223,'①在庫を貼る'!$W$6:$W$10005,$W9223)+COUNTIFS('月1回_1ヶ月前の在庫'!$V$6:$V$10005,$V9223,'月1回_1ヶ月前の在庫'!$W$6:$W$10005,$W9223)&gt;0),N(U9222),N(U9222)+1))</f>
        <v/>
      </c>
      <c r="V9223" s="19">
        <f>IF($B9223="","",TEXT($B9223,"0000"))</f>
        <v/>
      </c>
      <c r="W9223" s="19">
        <f>IF($I9223="","",IF(ISNUMBER($I9223),TEXT($I9223,"0"),$I9223))</f>
        <v/>
      </c>
    </row>
    <row r="9224">
      <c r="B9224" s="25" t="n"/>
      <c r="I9224" s="25" t="n"/>
      <c r="U9224" s="19">
        <f>IF($V9224&lt;&gt;'設定'!$C$4,N(U9223),IF(OR(NOT(COUNTIF('商品マスタ'!$B$6:$B$1005,$W9224)=0),COUNTIFS('①在庫を貼る'!$V$6:$V$10005,$V9224,'①在庫を貼る'!$W$6:$W$10005,$W9224)+COUNTIFS('月1回_1ヶ月前の在庫'!$V$6:$V$10005,$V9224,'月1回_1ヶ月前の在庫'!$W$6:$W$10005,$W9224)&gt;0),N(U9223),N(U9223)+1))</f>
        <v/>
      </c>
      <c r="V9224" s="19">
        <f>IF($B9224="","",TEXT($B9224,"0000"))</f>
        <v/>
      </c>
      <c r="W9224" s="19">
        <f>IF($I9224="","",IF(ISNUMBER($I9224),TEXT($I9224,"0"),$I9224))</f>
        <v/>
      </c>
    </row>
    <row r="9225">
      <c r="B9225" s="25" t="n"/>
      <c r="I9225" s="25" t="n"/>
      <c r="U9225" s="19">
        <f>IF($V9225&lt;&gt;'設定'!$C$4,N(U9224),IF(OR(NOT(COUNTIF('商品マスタ'!$B$6:$B$1005,$W9225)=0),COUNTIFS('①在庫を貼る'!$V$6:$V$10005,$V9225,'①在庫を貼る'!$W$6:$W$10005,$W9225)+COUNTIFS('月1回_1ヶ月前の在庫'!$V$6:$V$10005,$V9225,'月1回_1ヶ月前の在庫'!$W$6:$W$10005,$W9225)&gt;0),N(U9224),N(U9224)+1))</f>
        <v/>
      </c>
      <c r="V9225" s="19">
        <f>IF($B9225="","",TEXT($B9225,"0000"))</f>
        <v/>
      </c>
      <c r="W9225" s="19">
        <f>IF($I9225="","",IF(ISNUMBER($I9225),TEXT($I9225,"0"),$I9225))</f>
        <v/>
      </c>
    </row>
    <row r="9226">
      <c r="B9226" s="25" t="n"/>
      <c r="I9226" s="25" t="n"/>
      <c r="U9226" s="19">
        <f>IF($V9226&lt;&gt;'設定'!$C$4,N(U9225),IF(OR(NOT(COUNTIF('商品マスタ'!$B$6:$B$1005,$W9226)=0),COUNTIFS('①在庫を貼る'!$V$6:$V$10005,$V9226,'①在庫を貼る'!$W$6:$W$10005,$W9226)+COUNTIFS('月1回_1ヶ月前の在庫'!$V$6:$V$10005,$V9226,'月1回_1ヶ月前の在庫'!$W$6:$W$10005,$W9226)&gt;0),N(U9225),N(U9225)+1))</f>
        <v/>
      </c>
      <c r="V9226" s="19">
        <f>IF($B9226="","",TEXT($B9226,"0000"))</f>
        <v/>
      </c>
      <c r="W9226" s="19">
        <f>IF($I9226="","",IF(ISNUMBER($I9226),TEXT($I9226,"0"),$I9226))</f>
        <v/>
      </c>
    </row>
    <row r="9227">
      <c r="B9227" s="25" t="n"/>
      <c r="I9227" s="25" t="n"/>
      <c r="U9227" s="19">
        <f>IF($V9227&lt;&gt;'設定'!$C$4,N(U9226),IF(OR(NOT(COUNTIF('商品マスタ'!$B$6:$B$1005,$W9227)=0),COUNTIFS('①在庫を貼る'!$V$6:$V$10005,$V9227,'①在庫を貼る'!$W$6:$W$10005,$W9227)+COUNTIFS('月1回_1ヶ月前の在庫'!$V$6:$V$10005,$V9227,'月1回_1ヶ月前の在庫'!$W$6:$W$10005,$W9227)&gt;0),N(U9226),N(U9226)+1))</f>
        <v/>
      </c>
      <c r="V9227" s="19">
        <f>IF($B9227="","",TEXT($B9227,"0000"))</f>
        <v/>
      </c>
      <c r="W9227" s="19">
        <f>IF($I9227="","",IF(ISNUMBER($I9227),TEXT($I9227,"0"),$I9227))</f>
        <v/>
      </c>
    </row>
    <row r="9228">
      <c r="B9228" s="25" t="n"/>
      <c r="I9228" s="25" t="n"/>
      <c r="U9228" s="19">
        <f>IF($V9228&lt;&gt;'設定'!$C$4,N(U9227),IF(OR(NOT(COUNTIF('商品マスタ'!$B$6:$B$1005,$W9228)=0),COUNTIFS('①在庫を貼る'!$V$6:$V$10005,$V9228,'①在庫を貼る'!$W$6:$W$10005,$W9228)+COUNTIFS('月1回_1ヶ月前の在庫'!$V$6:$V$10005,$V9228,'月1回_1ヶ月前の在庫'!$W$6:$W$10005,$W9228)&gt;0),N(U9227),N(U9227)+1))</f>
        <v/>
      </c>
      <c r="V9228" s="19">
        <f>IF($B9228="","",TEXT($B9228,"0000"))</f>
        <v/>
      </c>
      <c r="W9228" s="19">
        <f>IF($I9228="","",IF(ISNUMBER($I9228),TEXT($I9228,"0"),$I9228))</f>
        <v/>
      </c>
    </row>
    <row r="9229">
      <c r="B9229" s="25" t="n"/>
      <c r="I9229" s="25" t="n"/>
      <c r="U9229" s="19">
        <f>IF($V9229&lt;&gt;'設定'!$C$4,N(U9228),IF(OR(NOT(COUNTIF('商品マスタ'!$B$6:$B$1005,$W9229)=0),COUNTIFS('①在庫を貼る'!$V$6:$V$10005,$V9229,'①在庫を貼る'!$W$6:$W$10005,$W9229)+COUNTIFS('月1回_1ヶ月前の在庫'!$V$6:$V$10005,$V9229,'月1回_1ヶ月前の在庫'!$W$6:$W$10005,$W9229)&gt;0),N(U9228),N(U9228)+1))</f>
        <v/>
      </c>
      <c r="V9229" s="19">
        <f>IF($B9229="","",TEXT($B9229,"0000"))</f>
        <v/>
      </c>
      <c r="W9229" s="19">
        <f>IF($I9229="","",IF(ISNUMBER($I9229),TEXT($I9229,"0"),$I9229))</f>
        <v/>
      </c>
    </row>
    <row r="9230">
      <c r="B9230" s="25" t="n"/>
      <c r="I9230" s="25" t="n"/>
      <c r="U9230" s="19">
        <f>IF($V9230&lt;&gt;'設定'!$C$4,N(U9229),IF(OR(NOT(COUNTIF('商品マスタ'!$B$6:$B$1005,$W9230)=0),COUNTIFS('①在庫を貼る'!$V$6:$V$10005,$V9230,'①在庫を貼る'!$W$6:$W$10005,$W9230)+COUNTIFS('月1回_1ヶ月前の在庫'!$V$6:$V$10005,$V9230,'月1回_1ヶ月前の在庫'!$W$6:$W$10005,$W9230)&gt;0),N(U9229),N(U9229)+1))</f>
        <v/>
      </c>
      <c r="V9230" s="19">
        <f>IF($B9230="","",TEXT($B9230,"0000"))</f>
        <v/>
      </c>
      <c r="W9230" s="19">
        <f>IF($I9230="","",IF(ISNUMBER($I9230),TEXT($I9230,"0"),$I9230))</f>
        <v/>
      </c>
    </row>
    <row r="9231">
      <c r="B9231" s="25" t="n"/>
      <c r="I9231" s="25" t="n"/>
      <c r="U9231" s="19">
        <f>IF($V9231&lt;&gt;'設定'!$C$4,N(U9230),IF(OR(NOT(COUNTIF('商品マスタ'!$B$6:$B$1005,$W9231)=0),COUNTIFS('①在庫を貼る'!$V$6:$V$10005,$V9231,'①在庫を貼る'!$W$6:$W$10005,$W9231)+COUNTIFS('月1回_1ヶ月前の在庫'!$V$6:$V$10005,$V9231,'月1回_1ヶ月前の在庫'!$W$6:$W$10005,$W9231)&gt;0),N(U9230),N(U9230)+1))</f>
        <v/>
      </c>
      <c r="V9231" s="19">
        <f>IF($B9231="","",TEXT($B9231,"0000"))</f>
        <v/>
      </c>
      <c r="W9231" s="19">
        <f>IF($I9231="","",IF(ISNUMBER($I9231),TEXT($I9231,"0"),$I9231))</f>
        <v/>
      </c>
    </row>
    <row r="9232">
      <c r="B9232" s="25" t="n"/>
      <c r="I9232" s="25" t="n"/>
      <c r="U9232" s="19">
        <f>IF($V9232&lt;&gt;'設定'!$C$4,N(U9231),IF(OR(NOT(COUNTIF('商品マスタ'!$B$6:$B$1005,$W9232)=0),COUNTIFS('①在庫を貼る'!$V$6:$V$10005,$V9232,'①在庫を貼る'!$W$6:$W$10005,$W9232)+COUNTIFS('月1回_1ヶ月前の在庫'!$V$6:$V$10005,$V9232,'月1回_1ヶ月前の在庫'!$W$6:$W$10005,$W9232)&gt;0),N(U9231),N(U9231)+1))</f>
        <v/>
      </c>
      <c r="V9232" s="19">
        <f>IF($B9232="","",TEXT($B9232,"0000"))</f>
        <v/>
      </c>
      <c r="W9232" s="19">
        <f>IF($I9232="","",IF(ISNUMBER($I9232),TEXT($I9232,"0"),$I9232))</f>
        <v/>
      </c>
    </row>
    <row r="9233">
      <c r="B9233" s="25" t="n"/>
      <c r="I9233" s="25" t="n"/>
      <c r="U9233" s="19">
        <f>IF($V9233&lt;&gt;'設定'!$C$4,N(U9232),IF(OR(NOT(COUNTIF('商品マスタ'!$B$6:$B$1005,$W9233)=0),COUNTIFS('①在庫を貼る'!$V$6:$V$10005,$V9233,'①在庫を貼る'!$W$6:$W$10005,$W9233)+COUNTIFS('月1回_1ヶ月前の在庫'!$V$6:$V$10005,$V9233,'月1回_1ヶ月前の在庫'!$W$6:$W$10005,$W9233)&gt;0),N(U9232),N(U9232)+1))</f>
        <v/>
      </c>
      <c r="V9233" s="19">
        <f>IF($B9233="","",TEXT($B9233,"0000"))</f>
        <v/>
      </c>
      <c r="W9233" s="19">
        <f>IF($I9233="","",IF(ISNUMBER($I9233),TEXT($I9233,"0"),$I9233))</f>
        <v/>
      </c>
    </row>
    <row r="9234">
      <c r="B9234" s="25" t="n"/>
      <c r="I9234" s="25" t="n"/>
      <c r="U9234" s="19">
        <f>IF($V9234&lt;&gt;'設定'!$C$4,N(U9233),IF(OR(NOT(COUNTIF('商品マスタ'!$B$6:$B$1005,$W9234)=0),COUNTIFS('①在庫を貼る'!$V$6:$V$10005,$V9234,'①在庫を貼る'!$W$6:$W$10005,$W9234)+COUNTIFS('月1回_1ヶ月前の在庫'!$V$6:$V$10005,$V9234,'月1回_1ヶ月前の在庫'!$W$6:$W$10005,$W9234)&gt;0),N(U9233),N(U9233)+1))</f>
        <v/>
      </c>
      <c r="V9234" s="19">
        <f>IF($B9234="","",TEXT($B9234,"0000"))</f>
        <v/>
      </c>
      <c r="W9234" s="19">
        <f>IF($I9234="","",IF(ISNUMBER($I9234),TEXT($I9234,"0"),$I9234))</f>
        <v/>
      </c>
    </row>
    <row r="9235">
      <c r="B9235" s="25" t="n"/>
      <c r="I9235" s="25" t="n"/>
      <c r="U9235" s="19">
        <f>IF($V9235&lt;&gt;'設定'!$C$4,N(U9234),IF(OR(NOT(COUNTIF('商品マスタ'!$B$6:$B$1005,$W9235)=0),COUNTIFS('①在庫を貼る'!$V$6:$V$10005,$V9235,'①在庫を貼る'!$W$6:$W$10005,$W9235)+COUNTIFS('月1回_1ヶ月前の在庫'!$V$6:$V$10005,$V9235,'月1回_1ヶ月前の在庫'!$W$6:$W$10005,$W9235)&gt;0),N(U9234),N(U9234)+1))</f>
        <v/>
      </c>
      <c r="V9235" s="19">
        <f>IF($B9235="","",TEXT($B9235,"0000"))</f>
        <v/>
      </c>
      <c r="W9235" s="19">
        <f>IF($I9235="","",IF(ISNUMBER($I9235),TEXT($I9235,"0"),$I9235))</f>
        <v/>
      </c>
    </row>
    <row r="9236">
      <c r="B9236" s="25" t="n"/>
      <c r="I9236" s="25" t="n"/>
      <c r="U9236" s="19">
        <f>IF($V9236&lt;&gt;'設定'!$C$4,N(U9235),IF(OR(NOT(COUNTIF('商品マスタ'!$B$6:$B$1005,$W9236)=0),COUNTIFS('①在庫を貼る'!$V$6:$V$10005,$V9236,'①在庫を貼る'!$W$6:$W$10005,$W9236)+COUNTIFS('月1回_1ヶ月前の在庫'!$V$6:$V$10005,$V9236,'月1回_1ヶ月前の在庫'!$W$6:$W$10005,$W9236)&gt;0),N(U9235),N(U9235)+1))</f>
        <v/>
      </c>
      <c r="V9236" s="19">
        <f>IF($B9236="","",TEXT($B9236,"0000"))</f>
        <v/>
      </c>
      <c r="W9236" s="19">
        <f>IF($I9236="","",IF(ISNUMBER($I9236),TEXT($I9236,"0"),$I9236))</f>
        <v/>
      </c>
    </row>
    <row r="9237">
      <c r="B9237" s="25" t="n"/>
      <c r="I9237" s="25" t="n"/>
      <c r="U9237" s="19">
        <f>IF($V9237&lt;&gt;'設定'!$C$4,N(U9236),IF(OR(NOT(COUNTIF('商品マスタ'!$B$6:$B$1005,$W9237)=0),COUNTIFS('①在庫を貼る'!$V$6:$V$10005,$V9237,'①在庫を貼る'!$W$6:$W$10005,$W9237)+COUNTIFS('月1回_1ヶ月前の在庫'!$V$6:$V$10005,$V9237,'月1回_1ヶ月前の在庫'!$W$6:$W$10005,$W9237)&gt;0),N(U9236),N(U9236)+1))</f>
        <v/>
      </c>
      <c r="V9237" s="19">
        <f>IF($B9237="","",TEXT($B9237,"0000"))</f>
        <v/>
      </c>
      <c r="W9237" s="19">
        <f>IF($I9237="","",IF(ISNUMBER($I9237),TEXT($I9237,"0"),$I9237))</f>
        <v/>
      </c>
    </row>
    <row r="9238">
      <c r="B9238" s="25" t="n"/>
      <c r="I9238" s="25" t="n"/>
      <c r="U9238" s="19">
        <f>IF($V9238&lt;&gt;'設定'!$C$4,N(U9237),IF(OR(NOT(COUNTIF('商品マスタ'!$B$6:$B$1005,$W9238)=0),COUNTIFS('①在庫を貼る'!$V$6:$V$10005,$V9238,'①在庫を貼る'!$W$6:$W$10005,$W9238)+COUNTIFS('月1回_1ヶ月前の在庫'!$V$6:$V$10005,$V9238,'月1回_1ヶ月前の在庫'!$W$6:$W$10005,$W9238)&gt;0),N(U9237),N(U9237)+1))</f>
        <v/>
      </c>
      <c r="V9238" s="19">
        <f>IF($B9238="","",TEXT($B9238,"0000"))</f>
        <v/>
      </c>
      <c r="W9238" s="19">
        <f>IF($I9238="","",IF(ISNUMBER($I9238),TEXT($I9238,"0"),$I9238))</f>
        <v/>
      </c>
    </row>
    <row r="9239">
      <c r="B9239" s="25" t="n"/>
      <c r="I9239" s="25" t="n"/>
      <c r="U9239" s="19">
        <f>IF($V9239&lt;&gt;'設定'!$C$4,N(U9238),IF(OR(NOT(COUNTIF('商品マスタ'!$B$6:$B$1005,$W9239)=0),COUNTIFS('①在庫を貼る'!$V$6:$V$10005,$V9239,'①在庫を貼る'!$W$6:$W$10005,$W9239)+COUNTIFS('月1回_1ヶ月前の在庫'!$V$6:$V$10005,$V9239,'月1回_1ヶ月前の在庫'!$W$6:$W$10005,$W9239)&gt;0),N(U9238),N(U9238)+1))</f>
        <v/>
      </c>
      <c r="V9239" s="19">
        <f>IF($B9239="","",TEXT($B9239,"0000"))</f>
        <v/>
      </c>
      <c r="W9239" s="19">
        <f>IF($I9239="","",IF(ISNUMBER($I9239),TEXT($I9239,"0"),$I9239))</f>
        <v/>
      </c>
    </row>
    <row r="9240">
      <c r="B9240" s="25" t="n"/>
      <c r="I9240" s="25" t="n"/>
      <c r="U9240" s="19">
        <f>IF($V9240&lt;&gt;'設定'!$C$4,N(U9239),IF(OR(NOT(COUNTIF('商品マスタ'!$B$6:$B$1005,$W9240)=0),COUNTIFS('①在庫を貼る'!$V$6:$V$10005,$V9240,'①在庫を貼る'!$W$6:$W$10005,$W9240)+COUNTIFS('月1回_1ヶ月前の在庫'!$V$6:$V$10005,$V9240,'月1回_1ヶ月前の在庫'!$W$6:$W$10005,$W9240)&gt;0),N(U9239),N(U9239)+1))</f>
        <v/>
      </c>
      <c r="V9240" s="19">
        <f>IF($B9240="","",TEXT($B9240,"0000"))</f>
        <v/>
      </c>
      <c r="W9240" s="19">
        <f>IF($I9240="","",IF(ISNUMBER($I9240),TEXT($I9240,"0"),$I9240))</f>
        <v/>
      </c>
    </row>
    <row r="9241">
      <c r="B9241" s="25" t="n"/>
      <c r="I9241" s="25" t="n"/>
      <c r="U9241" s="19">
        <f>IF($V9241&lt;&gt;'設定'!$C$4,N(U9240),IF(OR(NOT(COUNTIF('商品マスタ'!$B$6:$B$1005,$W9241)=0),COUNTIFS('①在庫を貼る'!$V$6:$V$10005,$V9241,'①在庫を貼る'!$W$6:$W$10005,$W9241)+COUNTIFS('月1回_1ヶ月前の在庫'!$V$6:$V$10005,$V9241,'月1回_1ヶ月前の在庫'!$W$6:$W$10005,$W9241)&gt;0),N(U9240),N(U9240)+1))</f>
        <v/>
      </c>
      <c r="V9241" s="19">
        <f>IF($B9241="","",TEXT($B9241,"0000"))</f>
        <v/>
      </c>
      <c r="W9241" s="19">
        <f>IF($I9241="","",IF(ISNUMBER($I9241),TEXT($I9241,"0"),$I9241))</f>
        <v/>
      </c>
    </row>
    <row r="9242">
      <c r="B9242" s="25" t="n"/>
      <c r="I9242" s="25" t="n"/>
      <c r="U9242" s="19">
        <f>IF($V9242&lt;&gt;'設定'!$C$4,N(U9241),IF(OR(NOT(COUNTIF('商品マスタ'!$B$6:$B$1005,$W9242)=0),COUNTIFS('①在庫を貼る'!$V$6:$V$10005,$V9242,'①在庫を貼る'!$W$6:$W$10005,$W9242)+COUNTIFS('月1回_1ヶ月前の在庫'!$V$6:$V$10005,$V9242,'月1回_1ヶ月前の在庫'!$W$6:$W$10005,$W9242)&gt;0),N(U9241),N(U9241)+1))</f>
        <v/>
      </c>
      <c r="V9242" s="19">
        <f>IF($B9242="","",TEXT($B9242,"0000"))</f>
        <v/>
      </c>
      <c r="W9242" s="19">
        <f>IF($I9242="","",IF(ISNUMBER($I9242),TEXT($I9242,"0"),$I9242))</f>
        <v/>
      </c>
    </row>
    <row r="9243">
      <c r="B9243" s="25" t="n"/>
      <c r="I9243" s="25" t="n"/>
      <c r="U9243" s="19">
        <f>IF($V9243&lt;&gt;'設定'!$C$4,N(U9242),IF(OR(NOT(COUNTIF('商品マスタ'!$B$6:$B$1005,$W9243)=0),COUNTIFS('①在庫を貼る'!$V$6:$V$10005,$V9243,'①在庫を貼る'!$W$6:$W$10005,$W9243)+COUNTIFS('月1回_1ヶ月前の在庫'!$V$6:$V$10005,$V9243,'月1回_1ヶ月前の在庫'!$W$6:$W$10005,$W9243)&gt;0),N(U9242),N(U9242)+1))</f>
        <v/>
      </c>
      <c r="V9243" s="19">
        <f>IF($B9243="","",TEXT($B9243,"0000"))</f>
        <v/>
      </c>
      <c r="W9243" s="19">
        <f>IF($I9243="","",IF(ISNUMBER($I9243),TEXT($I9243,"0"),$I9243))</f>
        <v/>
      </c>
    </row>
    <row r="9244">
      <c r="B9244" s="25" t="n"/>
      <c r="I9244" s="25" t="n"/>
      <c r="U9244" s="19">
        <f>IF($V9244&lt;&gt;'設定'!$C$4,N(U9243),IF(OR(NOT(COUNTIF('商品マスタ'!$B$6:$B$1005,$W9244)=0),COUNTIFS('①在庫を貼る'!$V$6:$V$10005,$V9244,'①在庫を貼る'!$W$6:$W$10005,$W9244)+COUNTIFS('月1回_1ヶ月前の在庫'!$V$6:$V$10005,$V9244,'月1回_1ヶ月前の在庫'!$W$6:$W$10005,$W9244)&gt;0),N(U9243),N(U9243)+1))</f>
        <v/>
      </c>
      <c r="V9244" s="19">
        <f>IF($B9244="","",TEXT($B9244,"0000"))</f>
        <v/>
      </c>
      <c r="W9244" s="19">
        <f>IF($I9244="","",IF(ISNUMBER($I9244),TEXT($I9244,"0"),$I9244))</f>
        <v/>
      </c>
    </row>
    <row r="9245">
      <c r="B9245" s="25" t="n"/>
      <c r="I9245" s="25" t="n"/>
      <c r="U9245" s="19">
        <f>IF($V9245&lt;&gt;'設定'!$C$4,N(U9244),IF(OR(NOT(COUNTIF('商品マスタ'!$B$6:$B$1005,$W9245)=0),COUNTIFS('①在庫を貼る'!$V$6:$V$10005,$V9245,'①在庫を貼る'!$W$6:$W$10005,$W9245)+COUNTIFS('月1回_1ヶ月前の在庫'!$V$6:$V$10005,$V9245,'月1回_1ヶ月前の在庫'!$W$6:$W$10005,$W9245)&gt;0),N(U9244),N(U9244)+1))</f>
        <v/>
      </c>
      <c r="V9245" s="19">
        <f>IF($B9245="","",TEXT($B9245,"0000"))</f>
        <v/>
      </c>
      <c r="W9245" s="19">
        <f>IF($I9245="","",IF(ISNUMBER($I9245),TEXT($I9245,"0"),$I9245))</f>
        <v/>
      </c>
    </row>
    <row r="9246">
      <c r="B9246" s="25" t="n"/>
      <c r="I9246" s="25" t="n"/>
      <c r="U9246" s="19">
        <f>IF($V9246&lt;&gt;'設定'!$C$4,N(U9245),IF(OR(NOT(COUNTIF('商品マスタ'!$B$6:$B$1005,$W9246)=0),COUNTIFS('①在庫を貼る'!$V$6:$V$10005,$V9246,'①在庫を貼る'!$W$6:$W$10005,$W9246)+COUNTIFS('月1回_1ヶ月前の在庫'!$V$6:$V$10005,$V9246,'月1回_1ヶ月前の在庫'!$W$6:$W$10005,$W9246)&gt;0),N(U9245),N(U9245)+1))</f>
        <v/>
      </c>
      <c r="V9246" s="19">
        <f>IF($B9246="","",TEXT($B9246,"0000"))</f>
        <v/>
      </c>
      <c r="W9246" s="19">
        <f>IF($I9246="","",IF(ISNUMBER($I9246),TEXT($I9246,"0"),$I9246))</f>
        <v/>
      </c>
    </row>
    <row r="9247">
      <c r="B9247" s="25" t="n"/>
      <c r="I9247" s="25" t="n"/>
      <c r="U9247" s="19">
        <f>IF($V9247&lt;&gt;'設定'!$C$4,N(U9246),IF(OR(NOT(COUNTIF('商品マスタ'!$B$6:$B$1005,$W9247)=0),COUNTIFS('①在庫を貼る'!$V$6:$V$10005,$V9247,'①在庫を貼る'!$W$6:$W$10005,$W9247)+COUNTIFS('月1回_1ヶ月前の在庫'!$V$6:$V$10005,$V9247,'月1回_1ヶ月前の在庫'!$W$6:$W$10005,$W9247)&gt;0),N(U9246),N(U9246)+1))</f>
        <v/>
      </c>
      <c r="V9247" s="19">
        <f>IF($B9247="","",TEXT($B9247,"0000"))</f>
        <v/>
      </c>
      <c r="W9247" s="19">
        <f>IF($I9247="","",IF(ISNUMBER($I9247),TEXT($I9247,"0"),$I9247))</f>
        <v/>
      </c>
    </row>
    <row r="9248">
      <c r="B9248" s="25" t="n"/>
      <c r="I9248" s="25" t="n"/>
      <c r="U9248" s="19">
        <f>IF($V9248&lt;&gt;'設定'!$C$4,N(U9247),IF(OR(NOT(COUNTIF('商品マスタ'!$B$6:$B$1005,$W9248)=0),COUNTIFS('①在庫を貼る'!$V$6:$V$10005,$V9248,'①在庫を貼る'!$W$6:$W$10005,$W9248)+COUNTIFS('月1回_1ヶ月前の在庫'!$V$6:$V$10005,$V9248,'月1回_1ヶ月前の在庫'!$W$6:$W$10005,$W9248)&gt;0),N(U9247),N(U9247)+1))</f>
        <v/>
      </c>
      <c r="V9248" s="19">
        <f>IF($B9248="","",TEXT($B9248,"0000"))</f>
        <v/>
      </c>
      <c r="W9248" s="19">
        <f>IF($I9248="","",IF(ISNUMBER($I9248),TEXT($I9248,"0"),$I9248))</f>
        <v/>
      </c>
    </row>
    <row r="9249">
      <c r="B9249" s="25" t="n"/>
      <c r="I9249" s="25" t="n"/>
      <c r="U9249" s="19">
        <f>IF($V9249&lt;&gt;'設定'!$C$4,N(U9248),IF(OR(NOT(COUNTIF('商品マスタ'!$B$6:$B$1005,$W9249)=0),COUNTIFS('①在庫を貼る'!$V$6:$V$10005,$V9249,'①在庫を貼る'!$W$6:$W$10005,$W9249)+COUNTIFS('月1回_1ヶ月前の在庫'!$V$6:$V$10005,$V9249,'月1回_1ヶ月前の在庫'!$W$6:$W$10005,$W9249)&gt;0),N(U9248),N(U9248)+1))</f>
        <v/>
      </c>
      <c r="V9249" s="19">
        <f>IF($B9249="","",TEXT($B9249,"0000"))</f>
        <v/>
      </c>
      <c r="W9249" s="19">
        <f>IF($I9249="","",IF(ISNUMBER($I9249),TEXT($I9249,"0"),$I9249))</f>
        <v/>
      </c>
    </row>
    <row r="9250">
      <c r="B9250" s="25" t="n"/>
      <c r="I9250" s="25" t="n"/>
      <c r="U9250" s="19">
        <f>IF($V9250&lt;&gt;'設定'!$C$4,N(U9249),IF(OR(NOT(COUNTIF('商品マスタ'!$B$6:$B$1005,$W9250)=0),COUNTIFS('①在庫を貼る'!$V$6:$V$10005,$V9250,'①在庫を貼る'!$W$6:$W$10005,$W9250)+COUNTIFS('月1回_1ヶ月前の在庫'!$V$6:$V$10005,$V9250,'月1回_1ヶ月前の在庫'!$W$6:$W$10005,$W9250)&gt;0),N(U9249),N(U9249)+1))</f>
        <v/>
      </c>
      <c r="V9250" s="19">
        <f>IF($B9250="","",TEXT($B9250,"0000"))</f>
        <v/>
      </c>
      <c r="W9250" s="19">
        <f>IF($I9250="","",IF(ISNUMBER($I9250),TEXT($I9250,"0"),$I9250))</f>
        <v/>
      </c>
    </row>
    <row r="9251">
      <c r="B9251" s="25" t="n"/>
      <c r="I9251" s="25" t="n"/>
      <c r="U9251" s="19">
        <f>IF($V9251&lt;&gt;'設定'!$C$4,N(U9250),IF(OR(NOT(COUNTIF('商品マスタ'!$B$6:$B$1005,$W9251)=0),COUNTIFS('①在庫を貼る'!$V$6:$V$10005,$V9251,'①在庫を貼る'!$W$6:$W$10005,$W9251)+COUNTIFS('月1回_1ヶ月前の在庫'!$V$6:$V$10005,$V9251,'月1回_1ヶ月前の在庫'!$W$6:$W$10005,$W9251)&gt;0),N(U9250),N(U9250)+1))</f>
        <v/>
      </c>
      <c r="V9251" s="19">
        <f>IF($B9251="","",TEXT($B9251,"0000"))</f>
        <v/>
      </c>
      <c r="W9251" s="19">
        <f>IF($I9251="","",IF(ISNUMBER($I9251),TEXT($I9251,"0"),$I9251))</f>
        <v/>
      </c>
    </row>
    <row r="9252">
      <c r="B9252" s="25" t="n"/>
      <c r="I9252" s="25" t="n"/>
      <c r="U9252" s="19">
        <f>IF($V9252&lt;&gt;'設定'!$C$4,N(U9251),IF(OR(NOT(COUNTIF('商品マスタ'!$B$6:$B$1005,$W9252)=0),COUNTIFS('①在庫を貼る'!$V$6:$V$10005,$V9252,'①在庫を貼る'!$W$6:$W$10005,$W9252)+COUNTIFS('月1回_1ヶ月前の在庫'!$V$6:$V$10005,$V9252,'月1回_1ヶ月前の在庫'!$W$6:$W$10005,$W9252)&gt;0),N(U9251),N(U9251)+1))</f>
        <v/>
      </c>
      <c r="V9252" s="19">
        <f>IF($B9252="","",TEXT($B9252,"0000"))</f>
        <v/>
      </c>
      <c r="W9252" s="19">
        <f>IF($I9252="","",IF(ISNUMBER($I9252),TEXT($I9252,"0"),$I9252))</f>
        <v/>
      </c>
    </row>
    <row r="9253">
      <c r="B9253" s="25" t="n"/>
      <c r="I9253" s="25" t="n"/>
      <c r="U9253" s="19">
        <f>IF($V9253&lt;&gt;'設定'!$C$4,N(U9252),IF(OR(NOT(COUNTIF('商品マスタ'!$B$6:$B$1005,$W9253)=0),COUNTIFS('①在庫を貼る'!$V$6:$V$10005,$V9253,'①在庫を貼る'!$W$6:$W$10005,$W9253)+COUNTIFS('月1回_1ヶ月前の在庫'!$V$6:$V$10005,$V9253,'月1回_1ヶ月前の在庫'!$W$6:$W$10005,$W9253)&gt;0),N(U9252),N(U9252)+1))</f>
        <v/>
      </c>
      <c r="V9253" s="19">
        <f>IF($B9253="","",TEXT($B9253,"0000"))</f>
        <v/>
      </c>
      <c r="W9253" s="19">
        <f>IF($I9253="","",IF(ISNUMBER($I9253),TEXT($I9253,"0"),$I9253))</f>
        <v/>
      </c>
    </row>
    <row r="9254">
      <c r="B9254" s="25" t="n"/>
      <c r="I9254" s="25" t="n"/>
      <c r="U9254" s="19">
        <f>IF($V9254&lt;&gt;'設定'!$C$4,N(U9253),IF(OR(NOT(COUNTIF('商品マスタ'!$B$6:$B$1005,$W9254)=0),COUNTIFS('①在庫を貼る'!$V$6:$V$10005,$V9254,'①在庫を貼る'!$W$6:$W$10005,$W9254)+COUNTIFS('月1回_1ヶ月前の在庫'!$V$6:$V$10005,$V9254,'月1回_1ヶ月前の在庫'!$W$6:$W$10005,$W9254)&gt;0),N(U9253),N(U9253)+1))</f>
        <v/>
      </c>
      <c r="V9254" s="19">
        <f>IF($B9254="","",TEXT($B9254,"0000"))</f>
        <v/>
      </c>
      <c r="W9254" s="19">
        <f>IF($I9254="","",IF(ISNUMBER($I9254),TEXT($I9254,"0"),$I9254))</f>
        <v/>
      </c>
    </row>
    <row r="9255">
      <c r="B9255" s="25" t="n"/>
      <c r="I9255" s="25" t="n"/>
      <c r="U9255" s="19">
        <f>IF($V9255&lt;&gt;'設定'!$C$4,N(U9254),IF(OR(NOT(COUNTIF('商品マスタ'!$B$6:$B$1005,$W9255)=0),COUNTIFS('①在庫を貼る'!$V$6:$V$10005,$V9255,'①在庫を貼る'!$W$6:$W$10005,$W9255)+COUNTIFS('月1回_1ヶ月前の在庫'!$V$6:$V$10005,$V9255,'月1回_1ヶ月前の在庫'!$W$6:$W$10005,$W9255)&gt;0),N(U9254),N(U9254)+1))</f>
        <v/>
      </c>
      <c r="V9255" s="19">
        <f>IF($B9255="","",TEXT($B9255,"0000"))</f>
        <v/>
      </c>
      <c r="W9255" s="19">
        <f>IF($I9255="","",IF(ISNUMBER($I9255),TEXT($I9255,"0"),$I9255))</f>
        <v/>
      </c>
    </row>
    <row r="9256">
      <c r="B9256" s="25" t="n"/>
      <c r="I9256" s="25" t="n"/>
      <c r="U9256" s="19">
        <f>IF($V9256&lt;&gt;'設定'!$C$4,N(U9255),IF(OR(NOT(COUNTIF('商品マスタ'!$B$6:$B$1005,$W9256)=0),COUNTIFS('①在庫を貼る'!$V$6:$V$10005,$V9256,'①在庫を貼る'!$W$6:$W$10005,$W9256)+COUNTIFS('月1回_1ヶ月前の在庫'!$V$6:$V$10005,$V9256,'月1回_1ヶ月前の在庫'!$W$6:$W$10005,$W9256)&gt;0),N(U9255),N(U9255)+1))</f>
        <v/>
      </c>
      <c r="V9256" s="19">
        <f>IF($B9256="","",TEXT($B9256,"0000"))</f>
        <v/>
      </c>
      <c r="W9256" s="19">
        <f>IF($I9256="","",IF(ISNUMBER($I9256),TEXT($I9256,"0"),$I9256))</f>
        <v/>
      </c>
    </row>
    <row r="9257">
      <c r="B9257" s="25" t="n"/>
      <c r="I9257" s="25" t="n"/>
      <c r="U9257" s="19">
        <f>IF($V9257&lt;&gt;'設定'!$C$4,N(U9256),IF(OR(NOT(COUNTIF('商品マスタ'!$B$6:$B$1005,$W9257)=0),COUNTIFS('①在庫を貼る'!$V$6:$V$10005,$V9257,'①在庫を貼る'!$W$6:$W$10005,$W9257)+COUNTIFS('月1回_1ヶ月前の在庫'!$V$6:$V$10005,$V9257,'月1回_1ヶ月前の在庫'!$W$6:$W$10005,$W9257)&gt;0),N(U9256),N(U9256)+1))</f>
        <v/>
      </c>
      <c r="V9257" s="19">
        <f>IF($B9257="","",TEXT($B9257,"0000"))</f>
        <v/>
      </c>
      <c r="W9257" s="19">
        <f>IF($I9257="","",IF(ISNUMBER($I9257),TEXT($I9257,"0"),$I9257))</f>
        <v/>
      </c>
    </row>
    <row r="9258">
      <c r="B9258" s="25" t="n"/>
      <c r="I9258" s="25" t="n"/>
      <c r="U9258" s="19">
        <f>IF($V9258&lt;&gt;'設定'!$C$4,N(U9257),IF(OR(NOT(COUNTIF('商品マスタ'!$B$6:$B$1005,$W9258)=0),COUNTIFS('①在庫を貼る'!$V$6:$V$10005,$V9258,'①在庫を貼る'!$W$6:$W$10005,$W9258)+COUNTIFS('月1回_1ヶ月前の在庫'!$V$6:$V$10005,$V9258,'月1回_1ヶ月前の在庫'!$W$6:$W$10005,$W9258)&gt;0),N(U9257),N(U9257)+1))</f>
        <v/>
      </c>
      <c r="V9258" s="19">
        <f>IF($B9258="","",TEXT($B9258,"0000"))</f>
        <v/>
      </c>
      <c r="W9258" s="19">
        <f>IF($I9258="","",IF(ISNUMBER($I9258),TEXT($I9258,"0"),$I9258))</f>
        <v/>
      </c>
    </row>
    <row r="9259">
      <c r="B9259" s="25" t="n"/>
      <c r="I9259" s="25" t="n"/>
      <c r="U9259" s="19">
        <f>IF($V9259&lt;&gt;'設定'!$C$4,N(U9258),IF(OR(NOT(COUNTIF('商品マスタ'!$B$6:$B$1005,$W9259)=0),COUNTIFS('①在庫を貼る'!$V$6:$V$10005,$V9259,'①在庫を貼る'!$W$6:$W$10005,$W9259)+COUNTIFS('月1回_1ヶ月前の在庫'!$V$6:$V$10005,$V9259,'月1回_1ヶ月前の在庫'!$W$6:$W$10005,$W9259)&gt;0),N(U9258),N(U9258)+1))</f>
        <v/>
      </c>
      <c r="V9259" s="19">
        <f>IF($B9259="","",TEXT($B9259,"0000"))</f>
        <v/>
      </c>
      <c r="W9259" s="19">
        <f>IF($I9259="","",IF(ISNUMBER($I9259),TEXT($I9259,"0"),$I9259))</f>
        <v/>
      </c>
    </row>
    <row r="9260">
      <c r="B9260" s="25" t="n"/>
      <c r="I9260" s="25" t="n"/>
      <c r="U9260" s="19">
        <f>IF($V9260&lt;&gt;'設定'!$C$4,N(U9259),IF(OR(NOT(COUNTIF('商品マスタ'!$B$6:$B$1005,$W9260)=0),COUNTIFS('①在庫を貼る'!$V$6:$V$10005,$V9260,'①在庫を貼る'!$W$6:$W$10005,$W9260)+COUNTIFS('月1回_1ヶ月前の在庫'!$V$6:$V$10005,$V9260,'月1回_1ヶ月前の在庫'!$W$6:$W$10005,$W9260)&gt;0),N(U9259),N(U9259)+1))</f>
        <v/>
      </c>
      <c r="V9260" s="19">
        <f>IF($B9260="","",TEXT($B9260,"0000"))</f>
        <v/>
      </c>
      <c r="W9260" s="19">
        <f>IF($I9260="","",IF(ISNUMBER($I9260),TEXT($I9260,"0"),$I9260))</f>
        <v/>
      </c>
    </row>
    <row r="9261">
      <c r="B9261" s="25" t="n"/>
      <c r="I9261" s="25" t="n"/>
      <c r="U9261" s="19">
        <f>IF($V9261&lt;&gt;'設定'!$C$4,N(U9260),IF(OR(NOT(COUNTIF('商品マスタ'!$B$6:$B$1005,$W9261)=0),COUNTIFS('①在庫を貼る'!$V$6:$V$10005,$V9261,'①在庫を貼る'!$W$6:$W$10005,$W9261)+COUNTIFS('月1回_1ヶ月前の在庫'!$V$6:$V$10005,$V9261,'月1回_1ヶ月前の在庫'!$W$6:$W$10005,$W9261)&gt;0),N(U9260),N(U9260)+1))</f>
        <v/>
      </c>
      <c r="V9261" s="19">
        <f>IF($B9261="","",TEXT($B9261,"0000"))</f>
        <v/>
      </c>
      <c r="W9261" s="19">
        <f>IF($I9261="","",IF(ISNUMBER($I9261),TEXT($I9261,"0"),$I9261))</f>
        <v/>
      </c>
    </row>
    <row r="9262">
      <c r="B9262" s="25" t="n"/>
      <c r="I9262" s="25" t="n"/>
      <c r="U9262" s="19">
        <f>IF($V9262&lt;&gt;'設定'!$C$4,N(U9261),IF(OR(NOT(COUNTIF('商品マスタ'!$B$6:$B$1005,$W9262)=0),COUNTIFS('①在庫を貼る'!$V$6:$V$10005,$V9262,'①在庫を貼る'!$W$6:$W$10005,$W9262)+COUNTIFS('月1回_1ヶ月前の在庫'!$V$6:$V$10005,$V9262,'月1回_1ヶ月前の在庫'!$W$6:$W$10005,$W9262)&gt;0),N(U9261),N(U9261)+1))</f>
        <v/>
      </c>
      <c r="V9262" s="19">
        <f>IF($B9262="","",TEXT($B9262,"0000"))</f>
        <v/>
      </c>
      <c r="W9262" s="19">
        <f>IF($I9262="","",IF(ISNUMBER($I9262),TEXT($I9262,"0"),$I9262))</f>
        <v/>
      </c>
    </row>
    <row r="9263">
      <c r="B9263" s="25" t="n"/>
      <c r="I9263" s="25" t="n"/>
      <c r="U9263" s="19">
        <f>IF($V9263&lt;&gt;'設定'!$C$4,N(U9262),IF(OR(NOT(COUNTIF('商品マスタ'!$B$6:$B$1005,$W9263)=0),COUNTIFS('①在庫を貼る'!$V$6:$V$10005,$V9263,'①在庫を貼る'!$W$6:$W$10005,$W9263)+COUNTIFS('月1回_1ヶ月前の在庫'!$V$6:$V$10005,$V9263,'月1回_1ヶ月前の在庫'!$W$6:$W$10005,$W9263)&gt;0),N(U9262),N(U9262)+1))</f>
        <v/>
      </c>
      <c r="V9263" s="19">
        <f>IF($B9263="","",TEXT($B9263,"0000"))</f>
        <v/>
      </c>
      <c r="W9263" s="19">
        <f>IF($I9263="","",IF(ISNUMBER($I9263),TEXT($I9263,"0"),$I9263))</f>
        <v/>
      </c>
    </row>
    <row r="9264">
      <c r="B9264" s="25" t="n"/>
      <c r="I9264" s="25" t="n"/>
      <c r="U9264" s="19">
        <f>IF($V9264&lt;&gt;'設定'!$C$4,N(U9263),IF(OR(NOT(COUNTIF('商品マスタ'!$B$6:$B$1005,$W9264)=0),COUNTIFS('①在庫を貼る'!$V$6:$V$10005,$V9264,'①在庫を貼る'!$W$6:$W$10005,$W9264)+COUNTIFS('月1回_1ヶ月前の在庫'!$V$6:$V$10005,$V9264,'月1回_1ヶ月前の在庫'!$W$6:$W$10005,$W9264)&gt;0),N(U9263),N(U9263)+1))</f>
        <v/>
      </c>
      <c r="V9264" s="19">
        <f>IF($B9264="","",TEXT($B9264,"0000"))</f>
        <v/>
      </c>
      <c r="W9264" s="19">
        <f>IF($I9264="","",IF(ISNUMBER($I9264),TEXT($I9264,"0"),$I9264))</f>
        <v/>
      </c>
    </row>
    <row r="9265">
      <c r="B9265" s="25" t="n"/>
      <c r="I9265" s="25" t="n"/>
      <c r="U9265" s="19">
        <f>IF($V9265&lt;&gt;'設定'!$C$4,N(U9264),IF(OR(NOT(COUNTIF('商品マスタ'!$B$6:$B$1005,$W9265)=0),COUNTIFS('①在庫を貼る'!$V$6:$V$10005,$V9265,'①在庫を貼る'!$W$6:$W$10005,$W9265)+COUNTIFS('月1回_1ヶ月前の在庫'!$V$6:$V$10005,$V9265,'月1回_1ヶ月前の在庫'!$W$6:$W$10005,$W9265)&gt;0),N(U9264),N(U9264)+1))</f>
        <v/>
      </c>
      <c r="V9265" s="19">
        <f>IF($B9265="","",TEXT($B9265,"0000"))</f>
        <v/>
      </c>
      <c r="W9265" s="19">
        <f>IF($I9265="","",IF(ISNUMBER($I9265),TEXT($I9265,"0"),$I9265))</f>
        <v/>
      </c>
    </row>
    <row r="9266">
      <c r="B9266" s="25" t="n"/>
      <c r="I9266" s="25" t="n"/>
      <c r="U9266" s="19">
        <f>IF($V9266&lt;&gt;'設定'!$C$4,N(U9265),IF(OR(NOT(COUNTIF('商品マスタ'!$B$6:$B$1005,$W9266)=0),COUNTIFS('①在庫を貼る'!$V$6:$V$10005,$V9266,'①在庫を貼る'!$W$6:$W$10005,$W9266)+COUNTIFS('月1回_1ヶ月前の在庫'!$V$6:$V$10005,$V9266,'月1回_1ヶ月前の在庫'!$W$6:$W$10005,$W9266)&gt;0),N(U9265),N(U9265)+1))</f>
        <v/>
      </c>
      <c r="V9266" s="19">
        <f>IF($B9266="","",TEXT($B9266,"0000"))</f>
        <v/>
      </c>
      <c r="W9266" s="19">
        <f>IF($I9266="","",IF(ISNUMBER($I9266),TEXT($I9266,"0"),$I9266))</f>
        <v/>
      </c>
    </row>
    <row r="9267">
      <c r="B9267" s="25" t="n"/>
      <c r="I9267" s="25" t="n"/>
      <c r="U9267" s="19">
        <f>IF($V9267&lt;&gt;'設定'!$C$4,N(U9266),IF(OR(NOT(COUNTIF('商品マスタ'!$B$6:$B$1005,$W9267)=0),COUNTIFS('①在庫を貼る'!$V$6:$V$10005,$V9267,'①在庫を貼る'!$W$6:$W$10005,$W9267)+COUNTIFS('月1回_1ヶ月前の在庫'!$V$6:$V$10005,$V9267,'月1回_1ヶ月前の在庫'!$W$6:$W$10005,$W9267)&gt;0),N(U9266),N(U9266)+1))</f>
        <v/>
      </c>
      <c r="V9267" s="19">
        <f>IF($B9267="","",TEXT($B9267,"0000"))</f>
        <v/>
      </c>
      <c r="W9267" s="19">
        <f>IF($I9267="","",IF(ISNUMBER($I9267),TEXT($I9267,"0"),$I9267))</f>
        <v/>
      </c>
    </row>
    <row r="9268">
      <c r="B9268" s="25" t="n"/>
      <c r="I9268" s="25" t="n"/>
      <c r="U9268" s="19">
        <f>IF($V9268&lt;&gt;'設定'!$C$4,N(U9267),IF(OR(NOT(COUNTIF('商品マスタ'!$B$6:$B$1005,$W9268)=0),COUNTIFS('①在庫を貼る'!$V$6:$V$10005,$V9268,'①在庫を貼る'!$W$6:$W$10005,$W9268)+COUNTIFS('月1回_1ヶ月前の在庫'!$V$6:$V$10005,$V9268,'月1回_1ヶ月前の在庫'!$W$6:$W$10005,$W9268)&gt;0),N(U9267),N(U9267)+1))</f>
        <v/>
      </c>
      <c r="V9268" s="19">
        <f>IF($B9268="","",TEXT($B9268,"0000"))</f>
        <v/>
      </c>
      <c r="W9268" s="19">
        <f>IF($I9268="","",IF(ISNUMBER($I9268),TEXT($I9268,"0"),$I9268))</f>
        <v/>
      </c>
    </row>
    <row r="9269">
      <c r="B9269" s="25" t="n"/>
      <c r="I9269" s="25" t="n"/>
      <c r="U9269" s="19">
        <f>IF($V9269&lt;&gt;'設定'!$C$4,N(U9268),IF(OR(NOT(COUNTIF('商品マスタ'!$B$6:$B$1005,$W9269)=0),COUNTIFS('①在庫を貼る'!$V$6:$V$10005,$V9269,'①在庫を貼る'!$W$6:$W$10005,$W9269)+COUNTIFS('月1回_1ヶ月前の在庫'!$V$6:$V$10005,$V9269,'月1回_1ヶ月前の在庫'!$W$6:$W$10005,$W9269)&gt;0),N(U9268),N(U9268)+1))</f>
        <v/>
      </c>
      <c r="V9269" s="19">
        <f>IF($B9269="","",TEXT($B9269,"0000"))</f>
        <v/>
      </c>
      <c r="W9269" s="19">
        <f>IF($I9269="","",IF(ISNUMBER($I9269),TEXT($I9269,"0"),$I9269))</f>
        <v/>
      </c>
    </row>
    <row r="9270">
      <c r="B9270" s="25" t="n"/>
      <c r="I9270" s="25" t="n"/>
      <c r="U9270" s="19">
        <f>IF($V9270&lt;&gt;'設定'!$C$4,N(U9269),IF(OR(NOT(COUNTIF('商品マスタ'!$B$6:$B$1005,$W9270)=0),COUNTIFS('①在庫を貼る'!$V$6:$V$10005,$V9270,'①在庫を貼る'!$W$6:$W$10005,$W9270)+COUNTIFS('月1回_1ヶ月前の在庫'!$V$6:$V$10005,$V9270,'月1回_1ヶ月前の在庫'!$W$6:$W$10005,$W9270)&gt;0),N(U9269),N(U9269)+1))</f>
        <v/>
      </c>
      <c r="V9270" s="19">
        <f>IF($B9270="","",TEXT($B9270,"0000"))</f>
        <v/>
      </c>
      <c r="W9270" s="19">
        <f>IF($I9270="","",IF(ISNUMBER($I9270),TEXT($I9270,"0"),$I9270))</f>
        <v/>
      </c>
    </row>
    <row r="9271">
      <c r="B9271" s="25" t="n"/>
      <c r="I9271" s="25" t="n"/>
      <c r="U9271" s="19">
        <f>IF($V9271&lt;&gt;'設定'!$C$4,N(U9270),IF(OR(NOT(COUNTIF('商品マスタ'!$B$6:$B$1005,$W9271)=0),COUNTIFS('①在庫を貼る'!$V$6:$V$10005,$V9271,'①在庫を貼る'!$W$6:$W$10005,$W9271)+COUNTIFS('月1回_1ヶ月前の在庫'!$V$6:$V$10005,$V9271,'月1回_1ヶ月前の在庫'!$W$6:$W$10005,$W9271)&gt;0),N(U9270),N(U9270)+1))</f>
        <v/>
      </c>
      <c r="V9271" s="19">
        <f>IF($B9271="","",TEXT($B9271,"0000"))</f>
        <v/>
      </c>
      <c r="W9271" s="19">
        <f>IF($I9271="","",IF(ISNUMBER($I9271),TEXT($I9271,"0"),$I9271))</f>
        <v/>
      </c>
    </row>
    <row r="9272">
      <c r="B9272" s="25" t="n"/>
      <c r="I9272" s="25" t="n"/>
      <c r="U9272" s="19">
        <f>IF($V9272&lt;&gt;'設定'!$C$4,N(U9271),IF(OR(NOT(COUNTIF('商品マスタ'!$B$6:$B$1005,$W9272)=0),COUNTIFS('①在庫を貼る'!$V$6:$V$10005,$V9272,'①在庫を貼る'!$W$6:$W$10005,$W9272)+COUNTIFS('月1回_1ヶ月前の在庫'!$V$6:$V$10005,$V9272,'月1回_1ヶ月前の在庫'!$W$6:$W$10005,$W9272)&gt;0),N(U9271),N(U9271)+1))</f>
        <v/>
      </c>
      <c r="V9272" s="19">
        <f>IF($B9272="","",TEXT($B9272,"0000"))</f>
        <v/>
      </c>
      <c r="W9272" s="19">
        <f>IF($I9272="","",IF(ISNUMBER($I9272),TEXT($I9272,"0"),$I9272))</f>
        <v/>
      </c>
    </row>
    <row r="9273">
      <c r="B9273" s="25" t="n"/>
      <c r="I9273" s="25" t="n"/>
      <c r="U9273" s="19">
        <f>IF($V9273&lt;&gt;'設定'!$C$4,N(U9272),IF(OR(NOT(COUNTIF('商品マスタ'!$B$6:$B$1005,$W9273)=0),COUNTIFS('①在庫を貼る'!$V$6:$V$10005,$V9273,'①在庫を貼る'!$W$6:$W$10005,$W9273)+COUNTIFS('月1回_1ヶ月前の在庫'!$V$6:$V$10005,$V9273,'月1回_1ヶ月前の在庫'!$W$6:$W$10005,$W9273)&gt;0),N(U9272),N(U9272)+1))</f>
        <v/>
      </c>
      <c r="V9273" s="19">
        <f>IF($B9273="","",TEXT($B9273,"0000"))</f>
        <v/>
      </c>
      <c r="W9273" s="19">
        <f>IF($I9273="","",IF(ISNUMBER($I9273),TEXT($I9273,"0"),$I9273))</f>
        <v/>
      </c>
    </row>
    <row r="9274">
      <c r="B9274" s="25" t="n"/>
      <c r="I9274" s="25" t="n"/>
      <c r="U9274" s="19">
        <f>IF($V9274&lt;&gt;'設定'!$C$4,N(U9273),IF(OR(NOT(COUNTIF('商品マスタ'!$B$6:$B$1005,$W9274)=0),COUNTIFS('①在庫を貼る'!$V$6:$V$10005,$V9274,'①在庫を貼る'!$W$6:$W$10005,$W9274)+COUNTIFS('月1回_1ヶ月前の在庫'!$V$6:$V$10005,$V9274,'月1回_1ヶ月前の在庫'!$W$6:$W$10005,$W9274)&gt;0),N(U9273),N(U9273)+1))</f>
        <v/>
      </c>
      <c r="V9274" s="19">
        <f>IF($B9274="","",TEXT($B9274,"0000"))</f>
        <v/>
      </c>
      <c r="W9274" s="19">
        <f>IF($I9274="","",IF(ISNUMBER($I9274),TEXT($I9274,"0"),$I9274))</f>
        <v/>
      </c>
    </row>
    <row r="9275">
      <c r="B9275" s="25" t="n"/>
      <c r="I9275" s="25" t="n"/>
      <c r="U9275" s="19">
        <f>IF($V9275&lt;&gt;'設定'!$C$4,N(U9274),IF(OR(NOT(COUNTIF('商品マスタ'!$B$6:$B$1005,$W9275)=0),COUNTIFS('①在庫を貼る'!$V$6:$V$10005,$V9275,'①在庫を貼る'!$W$6:$W$10005,$W9275)+COUNTIFS('月1回_1ヶ月前の在庫'!$V$6:$V$10005,$V9275,'月1回_1ヶ月前の在庫'!$W$6:$W$10005,$W9275)&gt;0),N(U9274),N(U9274)+1))</f>
        <v/>
      </c>
      <c r="V9275" s="19">
        <f>IF($B9275="","",TEXT($B9275,"0000"))</f>
        <v/>
      </c>
      <c r="W9275" s="19">
        <f>IF($I9275="","",IF(ISNUMBER($I9275),TEXT($I9275,"0"),$I9275))</f>
        <v/>
      </c>
    </row>
    <row r="9276">
      <c r="B9276" s="25" t="n"/>
      <c r="I9276" s="25" t="n"/>
      <c r="U9276" s="19">
        <f>IF($V9276&lt;&gt;'設定'!$C$4,N(U9275),IF(OR(NOT(COUNTIF('商品マスタ'!$B$6:$B$1005,$W9276)=0),COUNTIFS('①在庫を貼る'!$V$6:$V$10005,$V9276,'①在庫を貼る'!$W$6:$W$10005,$W9276)+COUNTIFS('月1回_1ヶ月前の在庫'!$V$6:$V$10005,$V9276,'月1回_1ヶ月前の在庫'!$W$6:$W$10005,$W9276)&gt;0),N(U9275),N(U9275)+1))</f>
        <v/>
      </c>
      <c r="V9276" s="19">
        <f>IF($B9276="","",TEXT($B9276,"0000"))</f>
        <v/>
      </c>
      <c r="W9276" s="19">
        <f>IF($I9276="","",IF(ISNUMBER($I9276),TEXT($I9276,"0"),$I9276))</f>
        <v/>
      </c>
    </row>
    <row r="9277">
      <c r="B9277" s="25" t="n"/>
      <c r="I9277" s="25" t="n"/>
      <c r="U9277" s="19">
        <f>IF($V9277&lt;&gt;'設定'!$C$4,N(U9276),IF(OR(NOT(COUNTIF('商品マスタ'!$B$6:$B$1005,$W9277)=0),COUNTIFS('①在庫を貼る'!$V$6:$V$10005,$V9277,'①在庫を貼る'!$W$6:$W$10005,$W9277)+COUNTIFS('月1回_1ヶ月前の在庫'!$V$6:$V$10005,$V9277,'月1回_1ヶ月前の在庫'!$W$6:$W$10005,$W9277)&gt;0),N(U9276),N(U9276)+1))</f>
        <v/>
      </c>
      <c r="V9277" s="19">
        <f>IF($B9277="","",TEXT($B9277,"0000"))</f>
        <v/>
      </c>
      <c r="W9277" s="19">
        <f>IF($I9277="","",IF(ISNUMBER($I9277),TEXT($I9277,"0"),$I9277))</f>
        <v/>
      </c>
    </row>
    <row r="9278">
      <c r="B9278" s="25" t="n"/>
      <c r="I9278" s="25" t="n"/>
      <c r="U9278" s="19">
        <f>IF($V9278&lt;&gt;'設定'!$C$4,N(U9277),IF(OR(NOT(COUNTIF('商品マスタ'!$B$6:$B$1005,$W9278)=0),COUNTIFS('①在庫を貼る'!$V$6:$V$10005,$V9278,'①在庫を貼る'!$W$6:$W$10005,$W9278)+COUNTIFS('月1回_1ヶ月前の在庫'!$V$6:$V$10005,$V9278,'月1回_1ヶ月前の在庫'!$W$6:$W$10005,$W9278)&gt;0),N(U9277),N(U9277)+1))</f>
        <v/>
      </c>
      <c r="V9278" s="19">
        <f>IF($B9278="","",TEXT($B9278,"0000"))</f>
        <v/>
      </c>
      <c r="W9278" s="19">
        <f>IF($I9278="","",IF(ISNUMBER($I9278),TEXT($I9278,"0"),$I9278))</f>
        <v/>
      </c>
    </row>
    <row r="9279">
      <c r="B9279" s="25" t="n"/>
      <c r="I9279" s="25" t="n"/>
      <c r="U9279" s="19">
        <f>IF($V9279&lt;&gt;'設定'!$C$4,N(U9278),IF(OR(NOT(COUNTIF('商品マスタ'!$B$6:$B$1005,$W9279)=0),COUNTIFS('①在庫を貼る'!$V$6:$V$10005,$V9279,'①在庫を貼る'!$W$6:$W$10005,$W9279)+COUNTIFS('月1回_1ヶ月前の在庫'!$V$6:$V$10005,$V9279,'月1回_1ヶ月前の在庫'!$W$6:$W$10005,$W9279)&gt;0),N(U9278),N(U9278)+1))</f>
        <v/>
      </c>
      <c r="V9279" s="19">
        <f>IF($B9279="","",TEXT($B9279,"0000"))</f>
        <v/>
      </c>
      <c r="W9279" s="19">
        <f>IF($I9279="","",IF(ISNUMBER($I9279),TEXT($I9279,"0"),$I9279))</f>
        <v/>
      </c>
    </row>
    <row r="9280">
      <c r="B9280" s="25" t="n"/>
      <c r="I9280" s="25" t="n"/>
      <c r="U9280" s="19">
        <f>IF($V9280&lt;&gt;'設定'!$C$4,N(U9279),IF(OR(NOT(COUNTIF('商品マスタ'!$B$6:$B$1005,$W9280)=0),COUNTIFS('①在庫を貼る'!$V$6:$V$10005,$V9280,'①在庫を貼る'!$W$6:$W$10005,$W9280)+COUNTIFS('月1回_1ヶ月前の在庫'!$V$6:$V$10005,$V9280,'月1回_1ヶ月前の在庫'!$W$6:$W$10005,$W9280)&gt;0),N(U9279),N(U9279)+1))</f>
        <v/>
      </c>
      <c r="V9280" s="19">
        <f>IF($B9280="","",TEXT($B9280,"0000"))</f>
        <v/>
      </c>
      <c r="W9280" s="19">
        <f>IF($I9280="","",IF(ISNUMBER($I9280),TEXT($I9280,"0"),$I9280))</f>
        <v/>
      </c>
    </row>
    <row r="9281">
      <c r="B9281" s="25" t="n"/>
      <c r="I9281" s="25" t="n"/>
      <c r="U9281" s="19">
        <f>IF($V9281&lt;&gt;'設定'!$C$4,N(U9280),IF(OR(NOT(COUNTIF('商品マスタ'!$B$6:$B$1005,$W9281)=0),COUNTIFS('①在庫を貼る'!$V$6:$V$10005,$V9281,'①在庫を貼る'!$W$6:$W$10005,$W9281)+COUNTIFS('月1回_1ヶ月前の在庫'!$V$6:$V$10005,$V9281,'月1回_1ヶ月前の在庫'!$W$6:$W$10005,$W9281)&gt;0),N(U9280),N(U9280)+1))</f>
        <v/>
      </c>
      <c r="V9281" s="19">
        <f>IF($B9281="","",TEXT($B9281,"0000"))</f>
        <v/>
      </c>
      <c r="W9281" s="19">
        <f>IF($I9281="","",IF(ISNUMBER($I9281),TEXT($I9281,"0"),$I9281))</f>
        <v/>
      </c>
    </row>
    <row r="9282">
      <c r="B9282" s="25" t="n"/>
      <c r="I9282" s="25" t="n"/>
      <c r="U9282" s="19">
        <f>IF($V9282&lt;&gt;'設定'!$C$4,N(U9281),IF(OR(NOT(COUNTIF('商品マスタ'!$B$6:$B$1005,$W9282)=0),COUNTIFS('①在庫を貼る'!$V$6:$V$10005,$V9282,'①在庫を貼る'!$W$6:$W$10005,$W9282)+COUNTIFS('月1回_1ヶ月前の在庫'!$V$6:$V$10005,$V9282,'月1回_1ヶ月前の在庫'!$W$6:$W$10005,$W9282)&gt;0),N(U9281),N(U9281)+1))</f>
        <v/>
      </c>
      <c r="V9282" s="19">
        <f>IF($B9282="","",TEXT($B9282,"0000"))</f>
        <v/>
      </c>
      <c r="W9282" s="19">
        <f>IF($I9282="","",IF(ISNUMBER($I9282),TEXT($I9282,"0"),$I9282))</f>
        <v/>
      </c>
    </row>
    <row r="9283">
      <c r="B9283" s="25" t="n"/>
      <c r="I9283" s="25" t="n"/>
      <c r="U9283" s="19">
        <f>IF($V9283&lt;&gt;'設定'!$C$4,N(U9282),IF(OR(NOT(COUNTIF('商品マスタ'!$B$6:$B$1005,$W9283)=0),COUNTIFS('①在庫を貼る'!$V$6:$V$10005,$V9283,'①在庫を貼る'!$W$6:$W$10005,$W9283)+COUNTIFS('月1回_1ヶ月前の在庫'!$V$6:$V$10005,$V9283,'月1回_1ヶ月前の在庫'!$W$6:$W$10005,$W9283)&gt;0),N(U9282),N(U9282)+1))</f>
        <v/>
      </c>
      <c r="V9283" s="19">
        <f>IF($B9283="","",TEXT($B9283,"0000"))</f>
        <v/>
      </c>
      <c r="W9283" s="19">
        <f>IF($I9283="","",IF(ISNUMBER($I9283),TEXT($I9283,"0"),$I9283))</f>
        <v/>
      </c>
    </row>
    <row r="9284">
      <c r="B9284" s="25" t="n"/>
      <c r="I9284" s="25" t="n"/>
      <c r="U9284" s="19">
        <f>IF($V9284&lt;&gt;'設定'!$C$4,N(U9283),IF(OR(NOT(COUNTIF('商品マスタ'!$B$6:$B$1005,$W9284)=0),COUNTIFS('①在庫を貼る'!$V$6:$V$10005,$V9284,'①在庫を貼る'!$W$6:$W$10005,$W9284)+COUNTIFS('月1回_1ヶ月前の在庫'!$V$6:$V$10005,$V9284,'月1回_1ヶ月前の在庫'!$W$6:$W$10005,$W9284)&gt;0),N(U9283),N(U9283)+1))</f>
        <v/>
      </c>
      <c r="V9284" s="19">
        <f>IF($B9284="","",TEXT($B9284,"0000"))</f>
        <v/>
      </c>
      <c r="W9284" s="19">
        <f>IF($I9284="","",IF(ISNUMBER($I9284),TEXT($I9284,"0"),$I9284))</f>
        <v/>
      </c>
    </row>
    <row r="9285">
      <c r="B9285" s="25" t="n"/>
      <c r="I9285" s="25" t="n"/>
      <c r="U9285" s="19">
        <f>IF($V9285&lt;&gt;'設定'!$C$4,N(U9284),IF(OR(NOT(COUNTIF('商品マスタ'!$B$6:$B$1005,$W9285)=0),COUNTIFS('①在庫を貼る'!$V$6:$V$10005,$V9285,'①在庫を貼る'!$W$6:$W$10005,$W9285)+COUNTIFS('月1回_1ヶ月前の在庫'!$V$6:$V$10005,$V9285,'月1回_1ヶ月前の在庫'!$W$6:$W$10005,$W9285)&gt;0),N(U9284),N(U9284)+1))</f>
        <v/>
      </c>
      <c r="V9285" s="19">
        <f>IF($B9285="","",TEXT($B9285,"0000"))</f>
        <v/>
      </c>
      <c r="W9285" s="19">
        <f>IF($I9285="","",IF(ISNUMBER($I9285),TEXT($I9285,"0"),$I9285))</f>
        <v/>
      </c>
    </row>
    <row r="9286">
      <c r="B9286" s="25" t="n"/>
      <c r="I9286" s="25" t="n"/>
      <c r="U9286" s="19">
        <f>IF($V9286&lt;&gt;'設定'!$C$4,N(U9285),IF(OR(NOT(COUNTIF('商品マスタ'!$B$6:$B$1005,$W9286)=0),COUNTIFS('①在庫を貼る'!$V$6:$V$10005,$V9286,'①在庫を貼る'!$W$6:$W$10005,$W9286)+COUNTIFS('月1回_1ヶ月前の在庫'!$V$6:$V$10005,$V9286,'月1回_1ヶ月前の在庫'!$W$6:$W$10005,$W9286)&gt;0),N(U9285),N(U9285)+1))</f>
        <v/>
      </c>
      <c r="V9286" s="19">
        <f>IF($B9286="","",TEXT($B9286,"0000"))</f>
        <v/>
      </c>
      <c r="W9286" s="19">
        <f>IF($I9286="","",IF(ISNUMBER($I9286),TEXT($I9286,"0"),$I9286))</f>
        <v/>
      </c>
    </row>
    <row r="9287">
      <c r="B9287" s="25" t="n"/>
      <c r="I9287" s="25" t="n"/>
      <c r="U9287" s="19">
        <f>IF($V9287&lt;&gt;'設定'!$C$4,N(U9286),IF(OR(NOT(COUNTIF('商品マスタ'!$B$6:$B$1005,$W9287)=0),COUNTIFS('①在庫を貼る'!$V$6:$V$10005,$V9287,'①在庫を貼る'!$W$6:$W$10005,$W9287)+COUNTIFS('月1回_1ヶ月前の在庫'!$V$6:$V$10005,$V9287,'月1回_1ヶ月前の在庫'!$W$6:$W$10005,$W9287)&gt;0),N(U9286),N(U9286)+1))</f>
        <v/>
      </c>
      <c r="V9287" s="19">
        <f>IF($B9287="","",TEXT($B9287,"0000"))</f>
        <v/>
      </c>
      <c r="W9287" s="19">
        <f>IF($I9287="","",IF(ISNUMBER($I9287),TEXT($I9287,"0"),$I9287))</f>
        <v/>
      </c>
    </row>
    <row r="9288">
      <c r="B9288" s="25" t="n"/>
      <c r="I9288" s="25" t="n"/>
      <c r="U9288" s="19">
        <f>IF($V9288&lt;&gt;'設定'!$C$4,N(U9287),IF(OR(NOT(COUNTIF('商品マスタ'!$B$6:$B$1005,$W9288)=0),COUNTIFS('①在庫を貼る'!$V$6:$V$10005,$V9288,'①在庫を貼る'!$W$6:$W$10005,$W9288)+COUNTIFS('月1回_1ヶ月前の在庫'!$V$6:$V$10005,$V9288,'月1回_1ヶ月前の在庫'!$W$6:$W$10005,$W9288)&gt;0),N(U9287),N(U9287)+1))</f>
        <v/>
      </c>
      <c r="V9288" s="19">
        <f>IF($B9288="","",TEXT($B9288,"0000"))</f>
        <v/>
      </c>
      <c r="W9288" s="19">
        <f>IF($I9288="","",IF(ISNUMBER($I9288),TEXT($I9288,"0"),$I9288))</f>
        <v/>
      </c>
    </row>
    <row r="9289">
      <c r="B9289" s="25" t="n"/>
      <c r="I9289" s="25" t="n"/>
      <c r="U9289" s="19">
        <f>IF($V9289&lt;&gt;'設定'!$C$4,N(U9288),IF(OR(NOT(COUNTIF('商品マスタ'!$B$6:$B$1005,$W9289)=0),COUNTIFS('①在庫を貼る'!$V$6:$V$10005,$V9289,'①在庫を貼る'!$W$6:$W$10005,$W9289)+COUNTIFS('月1回_1ヶ月前の在庫'!$V$6:$V$10005,$V9289,'月1回_1ヶ月前の在庫'!$W$6:$W$10005,$W9289)&gt;0),N(U9288),N(U9288)+1))</f>
        <v/>
      </c>
      <c r="V9289" s="19">
        <f>IF($B9289="","",TEXT($B9289,"0000"))</f>
        <v/>
      </c>
      <c r="W9289" s="19">
        <f>IF($I9289="","",IF(ISNUMBER($I9289),TEXT($I9289,"0"),$I9289))</f>
        <v/>
      </c>
    </row>
    <row r="9290">
      <c r="B9290" s="25" t="n"/>
      <c r="I9290" s="25" t="n"/>
      <c r="U9290" s="19">
        <f>IF($V9290&lt;&gt;'設定'!$C$4,N(U9289),IF(OR(NOT(COUNTIF('商品マスタ'!$B$6:$B$1005,$W9290)=0),COUNTIFS('①在庫を貼る'!$V$6:$V$10005,$V9290,'①在庫を貼る'!$W$6:$W$10005,$W9290)+COUNTIFS('月1回_1ヶ月前の在庫'!$V$6:$V$10005,$V9290,'月1回_1ヶ月前の在庫'!$W$6:$W$10005,$W9290)&gt;0),N(U9289),N(U9289)+1))</f>
        <v/>
      </c>
      <c r="V9290" s="19">
        <f>IF($B9290="","",TEXT($B9290,"0000"))</f>
        <v/>
      </c>
      <c r="W9290" s="19">
        <f>IF($I9290="","",IF(ISNUMBER($I9290),TEXT($I9290,"0"),$I9290))</f>
        <v/>
      </c>
    </row>
    <row r="9291">
      <c r="B9291" s="25" t="n"/>
      <c r="I9291" s="25" t="n"/>
      <c r="U9291" s="19">
        <f>IF($V9291&lt;&gt;'設定'!$C$4,N(U9290),IF(OR(NOT(COUNTIF('商品マスタ'!$B$6:$B$1005,$W9291)=0),COUNTIFS('①在庫を貼る'!$V$6:$V$10005,$V9291,'①在庫を貼る'!$W$6:$W$10005,$W9291)+COUNTIFS('月1回_1ヶ月前の在庫'!$V$6:$V$10005,$V9291,'月1回_1ヶ月前の在庫'!$W$6:$W$10005,$W9291)&gt;0),N(U9290),N(U9290)+1))</f>
        <v/>
      </c>
      <c r="V9291" s="19">
        <f>IF($B9291="","",TEXT($B9291,"0000"))</f>
        <v/>
      </c>
      <c r="W9291" s="19">
        <f>IF($I9291="","",IF(ISNUMBER($I9291),TEXT($I9291,"0"),$I9291))</f>
        <v/>
      </c>
    </row>
    <row r="9292">
      <c r="B9292" s="25" t="n"/>
      <c r="I9292" s="25" t="n"/>
      <c r="U9292" s="19">
        <f>IF($V9292&lt;&gt;'設定'!$C$4,N(U9291),IF(OR(NOT(COUNTIF('商品マスタ'!$B$6:$B$1005,$W9292)=0),COUNTIFS('①在庫を貼る'!$V$6:$V$10005,$V9292,'①在庫を貼る'!$W$6:$W$10005,$W9292)+COUNTIFS('月1回_1ヶ月前の在庫'!$V$6:$V$10005,$V9292,'月1回_1ヶ月前の在庫'!$W$6:$W$10005,$W9292)&gt;0),N(U9291),N(U9291)+1))</f>
        <v/>
      </c>
      <c r="V9292" s="19">
        <f>IF($B9292="","",TEXT($B9292,"0000"))</f>
        <v/>
      </c>
      <c r="W9292" s="19">
        <f>IF($I9292="","",IF(ISNUMBER($I9292),TEXT($I9292,"0"),$I9292))</f>
        <v/>
      </c>
    </row>
    <row r="9293">
      <c r="B9293" s="25" t="n"/>
      <c r="I9293" s="25" t="n"/>
      <c r="U9293" s="19">
        <f>IF($V9293&lt;&gt;'設定'!$C$4,N(U9292),IF(OR(NOT(COUNTIF('商品マスタ'!$B$6:$B$1005,$W9293)=0),COUNTIFS('①在庫を貼る'!$V$6:$V$10005,$V9293,'①在庫を貼る'!$W$6:$W$10005,$W9293)+COUNTIFS('月1回_1ヶ月前の在庫'!$V$6:$V$10005,$V9293,'月1回_1ヶ月前の在庫'!$W$6:$W$10005,$W9293)&gt;0),N(U9292),N(U9292)+1))</f>
        <v/>
      </c>
      <c r="V9293" s="19">
        <f>IF($B9293="","",TEXT($B9293,"0000"))</f>
        <v/>
      </c>
      <c r="W9293" s="19">
        <f>IF($I9293="","",IF(ISNUMBER($I9293),TEXT($I9293,"0"),$I9293))</f>
        <v/>
      </c>
    </row>
    <row r="9294">
      <c r="B9294" s="25" t="n"/>
      <c r="I9294" s="25" t="n"/>
      <c r="U9294" s="19">
        <f>IF($V9294&lt;&gt;'設定'!$C$4,N(U9293),IF(OR(NOT(COUNTIF('商品マスタ'!$B$6:$B$1005,$W9294)=0),COUNTIFS('①在庫を貼る'!$V$6:$V$10005,$V9294,'①在庫を貼る'!$W$6:$W$10005,$W9294)+COUNTIFS('月1回_1ヶ月前の在庫'!$V$6:$V$10005,$V9294,'月1回_1ヶ月前の在庫'!$W$6:$W$10005,$W9294)&gt;0),N(U9293),N(U9293)+1))</f>
        <v/>
      </c>
      <c r="V9294" s="19">
        <f>IF($B9294="","",TEXT($B9294,"0000"))</f>
        <v/>
      </c>
      <c r="W9294" s="19">
        <f>IF($I9294="","",IF(ISNUMBER($I9294),TEXT($I9294,"0"),$I9294))</f>
        <v/>
      </c>
    </row>
    <row r="9295">
      <c r="B9295" s="25" t="n"/>
      <c r="I9295" s="25" t="n"/>
      <c r="U9295" s="19">
        <f>IF($V9295&lt;&gt;'設定'!$C$4,N(U9294),IF(OR(NOT(COUNTIF('商品マスタ'!$B$6:$B$1005,$W9295)=0),COUNTIFS('①在庫を貼る'!$V$6:$V$10005,$V9295,'①在庫を貼る'!$W$6:$W$10005,$W9295)+COUNTIFS('月1回_1ヶ月前の在庫'!$V$6:$V$10005,$V9295,'月1回_1ヶ月前の在庫'!$W$6:$W$10005,$W9295)&gt;0),N(U9294),N(U9294)+1))</f>
        <v/>
      </c>
      <c r="V9295" s="19">
        <f>IF($B9295="","",TEXT($B9295,"0000"))</f>
        <v/>
      </c>
      <c r="W9295" s="19">
        <f>IF($I9295="","",IF(ISNUMBER($I9295),TEXT($I9295,"0"),$I9295))</f>
        <v/>
      </c>
    </row>
    <row r="9296">
      <c r="B9296" s="25" t="n"/>
      <c r="I9296" s="25" t="n"/>
      <c r="U9296" s="19">
        <f>IF($V9296&lt;&gt;'設定'!$C$4,N(U9295),IF(OR(NOT(COUNTIF('商品マスタ'!$B$6:$B$1005,$W9296)=0),COUNTIFS('①在庫を貼る'!$V$6:$V$10005,$V9296,'①在庫を貼る'!$W$6:$W$10005,$W9296)+COUNTIFS('月1回_1ヶ月前の在庫'!$V$6:$V$10005,$V9296,'月1回_1ヶ月前の在庫'!$W$6:$W$10005,$W9296)&gt;0),N(U9295),N(U9295)+1))</f>
        <v/>
      </c>
      <c r="V9296" s="19">
        <f>IF($B9296="","",TEXT($B9296,"0000"))</f>
        <v/>
      </c>
      <c r="W9296" s="19">
        <f>IF($I9296="","",IF(ISNUMBER($I9296),TEXT($I9296,"0"),$I9296))</f>
        <v/>
      </c>
    </row>
    <row r="9297">
      <c r="B9297" s="25" t="n"/>
      <c r="I9297" s="25" t="n"/>
      <c r="U9297" s="19">
        <f>IF($V9297&lt;&gt;'設定'!$C$4,N(U9296),IF(OR(NOT(COUNTIF('商品マスタ'!$B$6:$B$1005,$W9297)=0),COUNTIFS('①在庫を貼る'!$V$6:$V$10005,$V9297,'①在庫を貼る'!$W$6:$W$10005,$W9297)+COUNTIFS('月1回_1ヶ月前の在庫'!$V$6:$V$10005,$V9297,'月1回_1ヶ月前の在庫'!$W$6:$W$10005,$W9297)&gt;0),N(U9296),N(U9296)+1))</f>
        <v/>
      </c>
      <c r="V9297" s="19">
        <f>IF($B9297="","",TEXT($B9297,"0000"))</f>
        <v/>
      </c>
      <c r="W9297" s="19">
        <f>IF($I9297="","",IF(ISNUMBER($I9297),TEXT($I9297,"0"),$I9297))</f>
        <v/>
      </c>
    </row>
    <row r="9298">
      <c r="B9298" s="25" t="n"/>
      <c r="I9298" s="25" t="n"/>
      <c r="U9298" s="19">
        <f>IF($V9298&lt;&gt;'設定'!$C$4,N(U9297),IF(OR(NOT(COUNTIF('商品マスタ'!$B$6:$B$1005,$W9298)=0),COUNTIFS('①在庫を貼る'!$V$6:$V$10005,$V9298,'①在庫を貼る'!$W$6:$W$10005,$W9298)+COUNTIFS('月1回_1ヶ月前の在庫'!$V$6:$V$10005,$V9298,'月1回_1ヶ月前の在庫'!$W$6:$W$10005,$W9298)&gt;0),N(U9297),N(U9297)+1))</f>
        <v/>
      </c>
      <c r="V9298" s="19">
        <f>IF($B9298="","",TEXT($B9298,"0000"))</f>
        <v/>
      </c>
      <c r="W9298" s="19">
        <f>IF($I9298="","",IF(ISNUMBER($I9298),TEXT($I9298,"0"),$I9298))</f>
        <v/>
      </c>
    </row>
    <row r="9299">
      <c r="B9299" s="25" t="n"/>
      <c r="I9299" s="25" t="n"/>
      <c r="U9299" s="19">
        <f>IF($V9299&lt;&gt;'設定'!$C$4,N(U9298),IF(OR(NOT(COUNTIF('商品マスタ'!$B$6:$B$1005,$W9299)=0),COUNTIFS('①在庫を貼る'!$V$6:$V$10005,$V9299,'①在庫を貼る'!$W$6:$W$10005,$W9299)+COUNTIFS('月1回_1ヶ月前の在庫'!$V$6:$V$10005,$V9299,'月1回_1ヶ月前の在庫'!$W$6:$W$10005,$W9299)&gt;0),N(U9298),N(U9298)+1))</f>
        <v/>
      </c>
      <c r="V9299" s="19">
        <f>IF($B9299="","",TEXT($B9299,"0000"))</f>
        <v/>
      </c>
      <c r="W9299" s="19">
        <f>IF($I9299="","",IF(ISNUMBER($I9299),TEXT($I9299,"0"),$I9299))</f>
        <v/>
      </c>
    </row>
    <row r="9300">
      <c r="B9300" s="25" t="n"/>
      <c r="I9300" s="25" t="n"/>
      <c r="U9300" s="19">
        <f>IF($V9300&lt;&gt;'設定'!$C$4,N(U9299),IF(OR(NOT(COUNTIF('商品マスタ'!$B$6:$B$1005,$W9300)=0),COUNTIFS('①在庫を貼る'!$V$6:$V$10005,$V9300,'①在庫を貼る'!$W$6:$W$10005,$W9300)+COUNTIFS('月1回_1ヶ月前の在庫'!$V$6:$V$10005,$V9300,'月1回_1ヶ月前の在庫'!$W$6:$W$10005,$W9300)&gt;0),N(U9299),N(U9299)+1))</f>
        <v/>
      </c>
      <c r="V9300" s="19">
        <f>IF($B9300="","",TEXT($B9300,"0000"))</f>
        <v/>
      </c>
      <c r="W9300" s="19">
        <f>IF($I9300="","",IF(ISNUMBER($I9300),TEXT($I9300,"0"),$I9300))</f>
        <v/>
      </c>
    </row>
    <row r="9301">
      <c r="B9301" s="25" t="n"/>
      <c r="I9301" s="25" t="n"/>
      <c r="U9301" s="19">
        <f>IF($V9301&lt;&gt;'設定'!$C$4,N(U9300),IF(OR(NOT(COUNTIF('商品マスタ'!$B$6:$B$1005,$W9301)=0),COUNTIFS('①在庫を貼る'!$V$6:$V$10005,$V9301,'①在庫を貼る'!$W$6:$W$10005,$W9301)+COUNTIFS('月1回_1ヶ月前の在庫'!$V$6:$V$10005,$V9301,'月1回_1ヶ月前の在庫'!$W$6:$W$10005,$W9301)&gt;0),N(U9300),N(U9300)+1))</f>
        <v/>
      </c>
      <c r="V9301" s="19">
        <f>IF($B9301="","",TEXT($B9301,"0000"))</f>
        <v/>
      </c>
      <c r="W9301" s="19">
        <f>IF($I9301="","",IF(ISNUMBER($I9301),TEXT($I9301,"0"),$I9301))</f>
        <v/>
      </c>
    </row>
    <row r="9302">
      <c r="B9302" s="25" t="n"/>
      <c r="I9302" s="25" t="n"/>
      <c r="U9302" s="19">
        <f>IF($V9302&lt;&gt;'設定'!$C$4,N(U9301),IF(OR(NOT(COUNTIF('商品マスタ'!$B$6:$B$1005,$W9302)=0),COUNTIFS('①在庫を貼る'!$V$6:$V$10005,$V9302,'①在庫を貼る'!$W$6:$W$10005,$W9302)+COUNTIFS('月1回_1ヶ月前の在庫'!$V$6:$V$10005,$V9302,'月1回_1ヶ月前の在庫'!$W$6:$W$10005,$W9302)&gt;0),N(U9301),N(U9301)+1))</f>
        <v/>
      </c>
      <c r="V9302" s="19">
        <f>IF($B9302="","",TEXT($B9302,"0000"))</f>
        <v/>
      </c>
      <c r="W9302" s="19">
        <f>IF($I9302="","",IF(ISNUMBER($I9302),TEXT($I9302,"0"),$I9302))</f>
        <v/>
      </c>
    </row>
    <row r="9303">
      <c r="B9303" s="25" t="n"/>
      <c r="I9303" s="25" t="n"/>
      <c r="U9303" s="19">
        <f>IF($V9303&lt;&gt;'設定'!$C$4,N(U9302),IF(OR(NOT(COUNTIF('商品マスタ'!$B$6:$B$1005,$W9303)=0),COUNTIFS('①在庫を貼る'!$V$6:$V$10005,$V9303,'①在庫を貼る'!$W$6:$W$10005,$W9303)+COUNTIFS('月1回_1ヶ月前の在庫'!$V$6:$V$10005,$V9303,'月1回_1ヶ月前の在庫'!$W$6:$W$10005,$W9303)&gt;0),N(U9302),N(U9302)+1))</f>
        <v/>
      </c>
      <c r="V9303" s="19">
        <f>IF($B9303="","",TEXT($B9303,"0000"))</f>
        <v/>
      </c>
      <c r="W9303" s="19">
        <f>IF($I9303="","",IF(ISNUMBER($I9303),TEXT($I9303,"0"),$I9303))</f>
        <v/>
      </c>
    </row>
    <row r="9304">
      <c r="B9304" s="25" t="n"/>
      <c r="I9304" s="25" t="n"/>
      <c r="U9304" s="19">
        <f>IF($V9304&lt;&gt;'設定'!$C$4,N(U9303),IF(OR(NOT(COUNTIF('商品マスタ'!$B$6:$B$1005,$W9304)=0),COUNTIFS('①在庫を貼る'!$V$6:$V$10005,$V9304,'①在庫を貼る'!$W$6:$W$10005,$W9304)+COUNTIFS('月1回_1ヶ月前の在庫'!$V$6:$V$10005,$V9304,'月1回_1ヶ月前の在庫'!$W$6:$W$10005,$W9304)&gt;0),N(U9303),N(U9303)+1))</f>
        <v/>
      </c>
      <c r="V9304" s="19">
        <f>IF($B9304="","",TEXT($B9304,"0000"))</f>
        <v/>
      </c>
      <c r="W9304" s="19">
        <f>IF($I9304="","",IF(ISNUMBER($I9304),TEXT($I9304,"0"),$I9304))</f>
        <v/>
      </c>
    </row>
    <row r="9305">
      <c r="B9305" s="25" t="n"/>
      <c r="I9305" s="25" t="n"/>
      <c r="U9305" s="19">
        <f>IF($V9305&lt;&gt;'設定'!$C$4,N(U9304),IF(OR(NOT(COUNTIF('商品マスタ'!$B$6:$B$1005,$W9305)=0),COUNTIFS('①在庫を貼る'!$V$6:$V$10005,$V9305,'①在庫を貼る'!$W$6:$W$10005,$W9305)+COUNTIFS('月1回_1ヶ月前の在庫'!$V$6:$V$10005,$V9305,'月1回_1ヶ月前の在庫'!$W$6:$W$10005,$W9305)&gt;0),N(U9304),N(U9304)+1))</f>
        <v/>
      </c>
      <c r="V9305" s="19">
        <f>IF($B9305="","",TEXT($B9305,"0000"))</f>
        <v/>
      </c>
      <c r="W9305" s="19">
        <f>IF($I9305="","",IF(ISNUMBER($I9305),TEXT($I9305,"0"),$I9305))</f>
        <v/>
      </c>
    </row>
    <row r="9306">
      <c r="B9306" s="25" t="n"/>
      <c r="I9306" s="25" t="n"/>
      <c r="U9306" s="19">
        <f>IF($V9306&lt;&gt;'設定'!$C$4,N(U9305),IF(OR(NOT(COUNTIF('商品マスタ'!$B$6:$B$1005,$W9306)=0),COUNTIFS('①在庫を貼る'!$V$6:$V$10005,$V9306,'①在庫を貼る'!$W$6:$W$10005,$W9306)+COUNTIFS('月1回_1ヶ月前の在庫'!$V$6:$V$10005,$V9306,'月1回_1ヶ月前の在庫'!$W$6:$W$10005,$W9306)&gt;0),N(U9305),N(U9305)+1))</f>
        <v/>
      </c>
      <c r="V9306" s="19">
        <f>IF($B9306="","",TEXT($B9306,"0000"))</f>
        <v/>
      </c>
      <c r="W9306" s="19">
        <f>IF($I9306="","",IF(ISNUMBER($I9306),TEXT($I9306,"0"),$I9306))</f>
        <v/>
      </c>
    </row>
    <row r="9307">
      <c r="B9307" s="25" t="n"/>
      <c r="I9307" s="25" t="n"/>
      <c r="U9307" s="19">
        <f>IF($V9307&lt;&gt;'設定'!$C$4,N(U9306),IF(OR(NOT(COUNTIF('商品マスタ'!$B$6:$B$1005,$W9307)=0),COUNTIFS('①在庫を貼る'!$V$6:$V$10005,$V9307,'①在庫を貼る'!$W$6:$W$10005,$W9307)+COUNTIFS('月1回_1ヶ月前の在庫'!$V$6:$V$10005,$V9307,'月1回_1ヶ月前の在庫'!$W$6:$W$10005,$W9307)&gt;0),N(U9306),N(U9306)+1))</f>
        <v/>
      </c>
      <c r="V9307" s="19">
        <f>IF($B9307="","",TEXT($B9307,"0000"))</f>
        <v/>
      </c>
      <c r="W9307" s="19">
        <f>IF($I9307="","",IF(ISNUMBER($I9307),TEXT($I9307,"0"),$I9307))</f>
        <v/>
      </c>
    </row>
    <row r="9308">
      <c r="B9308" s="25" t="n"/>
      <c r="I9308" s="25" t="n"/>
      <c r="U9308" s="19">
        <f>IF($V9308&lt;&gt;'設定'!$C$4,N(U9307),IF(OR(NOT(COUNTIF('商品マスタ'!$B$6:$B$1005,$W9308)=0),COUNTIFS('①在庫を貼る'!$V$6:$V$10005,$V9308,'①在庫を貼る'!$W$6:$W$10005,$W9308)+COUNTIFS('月1回_1ヶ月前の在庫'!$V$6:$V$10005,$V9308,'月1回_1ヶ月前の在庫'!$W$6:$W$10005,$W9308)&gt;0),N(U9307),N(U9307)+1))</f>
        <v/>
      </c>
      <c r="V9308" s="19">
        <f>IF($B9308="","",TEXT($B9308,"0000"))</f>
        <v/>
      </c>
      <c r="W9308" s="19">
        <f>IF($I9308="","",IF(ISNUMBER($I9308),TEXT($I9308,"0"),$I9308))</f>
        <v/>
      </c>
    </row>
    <row r="9309">
      <c r="B9309" s="25" t="n"/>
      <c r="I9309" s="25" t="n"/>
      <c r="U9309" s="19">
        <f>IF($V9309&lt;&gt;'設定'!$C$4,N(U9308),IF(OR(NOT(COUNTIF('商品マスタ'!$B$6:$B$1005,$W9309)=0),COUNTIFS('①在庫を貼る'!$V$6:$V$10005,$V9309,'①在庫を貼る'!$W$6:$W$10005,$W9309)+COUNTIFS('月1回_1ヶ月前の在庫'!$V$6:$V$10005,$V9309,'月1回_1ヶ月前の在庫'!$W$6:$W$10005,$W9309)&gt;0),N(U9308),N(U9308)+1))</f>
        <v/>
      </c>
      <c r="V9309" s="19">
        <f>IF($B9309="","",TEXT($B9309,"0000"))</f>
        <v/>
      </c>
      <c r="W9309" s="19">
        <f>IF($I9309="","",IF(ISNUMBER($I9309),TEXT($I9309,"0"),$I9309))</f>
        <v/>
      </c>
    </row>
    <row r="9310">
      <c r="B9310" s="25" t="n"/>
      <c r="I9310" s="25" t="n"/>
      <c r="U9310" s="19">
        <f>IF($V9310&lt;&gt;'設定'!$C$4,N(U9309),IF(OR(NOT(COUNTIF('商品マスタ'!$B$6:$B$1005,$W9310)=0),COUNTIFS('①在庫を貼る'!$V$6:$V$10005,$V9310,'①在庫を貼る'!$W$6:$W$10005,$W9310)+COUNTIFS('月1回_1ヶ月前の在庫'!$V$6:$V$10005,$V9310,'月1回_1ヶ月前の在庫'!$W$6:$W$10005,$W9310)&gt;0),N(U9309),N(U9309)+1))</f>
        <v/>
      </c>
      <c r="V9310" s="19">
        <f>IF($B9310="","",TEXT($B9310,"0000"))</f>
        <v/>
      </c>
      <c r="W9310" s="19">
        <f>IF($I9310="","",IF(ISNUMBER($I9310),TEXT($I9310,"0"),$I9310))</f>
        <v/>
      </c>
    </row>
    <row r="9311">
      <c r="B9311" s="25" t="n"/>
      <c r="I9311" s="25" t="n"/>
      <c r="U9311" s="19">
        <f>IF($V9311&lt;&gt;'設定'!$C$4,N(U9310),IF(OR(NOT(COUNTIF('商品マスタ'!$B$6:$B$1005,$W9311)=0),COUNTIFS('①在庫を貼る'!$V$6:$V$10005,$V9311,'①在庫を貼る'!$W$6:$W$10005,$W9311)+COUNTIFS('月1回_1ヶ月前の在庫'!$V$6:$V$10005,$V9311,'月1回_1ヶ月前の在庫'!$W$6:$W$10005,$W9311)&gt;0),N(U9310),N(U9310)+1))</f>
        <v/>
      </c>
      <c r="V9311" s="19">
        <f>IF($B9311="","",TEXT($B9311,"0000"))</f>
        <v/>
      </c>
      <c r="W9311" s="19">
        <f>IF($I9311="","",IF(ISNUMBER($I9311),TEXT($I9311,"0"),$I9311))</f>
        <v/>
      </c>
    </row>
    <row r="9312">
      <c r="B9312" s="25" t="n"/>
      <c r="I9312" s="25" t="n"/>
      <c r="U9312" s="19">
        <f>IF($V9312&lt;&gt;'設定'!$C$4,N(U9311),IF(OR(NOT(COUNTIF('商品マスタ'!$B$6:$B$1005,$W9312)=0),COUNTIFS('①在庫を貼る'!$V$6:$V$10005,$V9312,'①在庫を貼る'!$W$6:$W$10005,$W9312)+COUNTIFS('月1回_1ヶ月前の在庫'!$V$6:$V$10005,$V9312,'月1回_1ヶ月前の在庫'!$W$6:$W$10005,$W9312)&gt;0),N(U9311),N(U9311)+1))</f>
        <v/>
      </c>
      <c r="V9312" s="19">
        <f>IF($B9312="","",TEXT($B9312,"0000"))</f>
        <v/>
      </c>
      <c r="W9312" s="19">
        <f>IF($I9312="","",IF(ISNUMBER($I9312),TEXT($I9312,"0"),$I9312))</f>
        <v/>
      </c>
    </row>
    <row r="9313">
      <c r="B9313" s="25" t="n"/>
      <c r="I9313" s="25" t="n"/>
      <c r="U9313" s="19">
        <f>IF($V9313&lt;&gt;'設定'!$C$4,N(U9312),IF(OR(NOT(COUNTIF('商品マスタ'!$B$6:$B$1005,$W9313)=0),COUNTIFS('①在庫を貼る'!$V$6:$V$10005,$V9313,'①在庫を貼る'!$W$6:$W$10005,$W9313)+COUNTIFS('月1回_1ヶ月前の在庫'!$V$6:$V$10005,$V9313,'月1回_1ヶ月前の在庫'!$W$6:$W$10005,$W9313)&gt;0),N(U9312),N(U9312)+1))</f>
        <v/>
      </c>
      <c r="V9313" s="19">
        <f>IF($B9313="","",TEXT($B9313,"0000"))</f>
        <v/>
      </c>
      <c r="W9313" s="19">
        <f>IF($I9313="","",IF(ISNUMBER($I9313),TEXT($I9313,"0"),$I9313))</f>
        <v/>
      </c>
    </row>
    <row r="9314">
      <c r="B9314" s="25" t="n"/>
      <c r="I9314" s="25" t="n"/>
      <c r="U9314" s="19">
        <f>IF($V9314&lt;&gt;'設定'!$C$4,N(U9313),IF(OR(NOT(COUNTIF('商品マスタ'!$B$6:$B$1005,$W9314)=0),COUNTIFS('①在庫を貼る'!$V$6:$V$10005,$V9314,'①在庫を貼る'!$W$6:$W$10005,$W9314)+COUNTIFS('月1回_1ヶ月前の在庫'!$V$6:$V$10005,$V9314,'月1回_1ヶ月前の在庫'!$W$6:$W$10005,$W9314)&gt;0),N(U9313),N(U9313)+1))</f>
        <v/>
      </c>
      <c r="V9314" s="19">
        <f>IF($B9314="","",TEXT($B9314,"0000"))</f>
        <v/>
      </c>
      <c r="W9314" s="19">
        <f>IF($I9314="","",IF(ISNUMBER($I9314),TEXT($I9314,"0"),$I9314))</f>
        <v/>
      </c>
    </row>
    <row r="9315">
      <c r="B9315" s="25" t="n"/>
      <c r="I9315" s="25" t="n"/>
      <c r="U9315" s="19">
        <f>IF($V9315&lt;&gt;'設定'!$C$4,N(U9314),IF(OR(NOT(COUNTIF('商品マスタ'!$B$6:$B$1005,$W9315)=0),COUNTIFS('①在庫を貼る'!$V$6:$V$10005,$V9315,'①在庫を貼る'!$W$6:$W$10005,$W9315)+COUNTIFS('月1回_1ヶ月前の在庫'!$V$6:$V$10005,$V9315,'月1回_1ヶ月前の在庫'!$W$6:$W$10005,$W9315)&gt;0),N(U9314),N(U9314)+1))</f>
        <v/>
      </c>
      <c r="V9315" s="19">
        <f>IF($B9315="","",TEXT($B9315,"0000"))</f>
        <v/>
      </c>
      <c r="W9315" s="19">
        <f>IF($I9315="","",IF(ISNUMBER($I9315),TEXT($I9315,"0"),$I9315))</f>
        <v/>
      </c>
    </row>
    <row r="9316">
      <c r="B9316" s="25" t="n"/>
      <c r="I9316" s="25" t="n"/>
      <c r="U9316" s="19">
        <f>IF($V9316&lt;&gt;'設定'!$C$4,N(U9315),IF(OR(NOT(COUNTIF('商品マスタ'!$B$6:$B$1005,$W9316)=0),COUNTIFS('①在庫を貼る'!$V$6:$V$10005,$V9316,'①在庫を貼る'!$W$6:$W$10005,$W9316)+COUNTIFS('月1回_1ヶ月前の在庫'!$V$6:$V$10005,$V9316,'月1回_1ヶ月前の在庫'!$W$6:$W$10005,$W9316)&gt;0),N(U9315),N(U9315)+1))</f>
        <v/>
      </c>
      <c r="V9316" s="19">
        <f>IF($B9316="","",TEXT($B9316,"0000"))</f>
        <v/>
      </c>
      <c r="W9316" s="19">
        <f>IF($I9316="","",IF(ISNUMBER($I9316),TEXT($I9316,"0"),$I9316))</f>
        <v/>
      </c>
    </row>
    <row r="9317">
      <c r="B9317" s="25" t="n"/>
      <c r="I9317" s="25" t="n"/>
      <c r="U9317" s="19">
        <f>IF($V9317&lt;&gt;'設定'!$C$4,N(U9316),IF(OR(NOT(COUNTIF('商品マスタ'!$B$6:$B$1005,$W9317)=0),COUNTIFS('①在庫を貼る'!$V$6:$V$10005,$V9317,'①在庫を貼る'!$W$6:$W$10005,$W9317)+COUNTIFS('月1回_1ヶ月前の在庫'!$V$6:$V$10005,$V9317,'月1回_1ヶ月前の在庫'!$W$6:$W$10005,$W9317)&gt;0),N(U9316),N(U9316)+1))</f>
        <v/>
      </c>
      <c r="V9317" s="19">
        <f>IF($B9317="","",TEXT($B9317,"0000"))</f>
        <v/>
      </c>
      <c r="W9317" s="19">
        <f>IF($I9317="","",IF(ISNUMBER($I9317),TEXT($I9317,"0"),$I9317))</f>
        <v/>
      </c>
    </row>
    <row r="9318">
      <c r="B9318" s="25" t="n"/>
      <c r="I9318" s="25" t="n"/>
      <c r="U9318" s="19">
        <f>IF($V9318&lt;&gt;'設定'!$C$4,N(U9317),IF(OR(NOT(COUNTIF('商品マスタ'!$B$6:$B$1005,$W9318)=0),COUNTIFS('①在庫を貼る'!$V$6:$V$10005,$V9318,'①在庫を貼る'!$W$6:$W$10005,$W9318)+COUNTIFS('月1回_1ヶ月前の在庫'!$V$6:$V$10005,$V9318,'月1回_1ヶ月前の在庫'!$W$6:$W$10005,$W9318)&gt;0),N(U9317),N(U9317)+1))</f>
        <v/>
      </c>
      <c r="V9318" s="19">
        <f>IF($B9318="","",TEXT($B9318,"0000"))</f>
        <v/>
      </c>
      <c r="W9318" s="19">
        <f>IF($I9318="","",IF(ISNUMBER($I9318),TEXT($I9318,"0"),$I9318))</f>
        <v/>
      </c>
    </row>
    <row r="9319">
      <c r="B9319" s="25" t="n"/>
      <c r="I9319" s="25" t="n"/>
      <c r="U9319" s="19">
        <f>IF($V9319&lt;&gt;'設定'!$C$4,N(U9318),IF(OR(NOT(COUNTIF('商品マスタ'!$B$6:$B$1005,$W9319)=0),COUNTIFS('①在庫を貼る'!$V$6:$V$10005,$V9319,'①在庫を貼る'!$W$6:$W$10005,$W9319)+COUNTIFS('月1回_1ヶ月前の在庫'!$V$6:$V$10005,$V9319,'月1回_1ヶ月前の在庫'!$W$6:$W$10005,$W9319)&gt;0),N(U9318),N(U9318)+1))</f>
        <v/>
      </c>
      <c r="V9319" s="19">
        <f>IF($B9319="","",TEXT($B9319,"0000"))</f>
        <v/>
      </c>
      <c r="W9319" s="19">
        <f>IF($I9319="","",IF(ISNUMBER($I9319),TEXT($I9319,"0"),$I9319))</f>
        <v/>
      </c>
    </row>
    <row r="9320">
      <c r="B9320" s="25" t="n"/>
      <c r="I9320" s="25" t="n"/>
      <c r="U9320" s="19">
        <f>IF($V9320&lt;&gt;'設定'!$C$4,N(U9319),IF(OR(NOT(COUNTIF('商品マスタ'!$B$6:$B$1005,$W9320)=0),COUNTIFS('①在庫を貼る'!$V$6:$V$10005,$V9320,'①在庫を貼る'!$W$6:$W$10005,$W9320)+COUNTIFS('月1回_1ヶ月前の在庫'!$V$6:$V$10005,$V9320,'月1回_1ヶ月前の在庫'!$W$6:$W$10005,$W9320)&gt;0),N(U9319),N(U9319)+1))</f>
        <v/>
      </c>
      <c r="V9320" s="19">
        <f>IF($B9320="","",TEXT($B9320,"0000"))</f>
        <v/>
      </c>
      <c r="W9320" s="19">
        <f>IF($I9320="","",IF(ISNUMBER($I9320),TEXT($I9320,"0"),$I9320))</f>
        <v/>
      </c>
    </row>
    <row r="9321">
      <c r="B9321" s="25" t="n"/>
      <c r="I9321" s="25" t="n"/>
      <c r="U9321" s="19">
        <f>IF($V9321&lt;&gt;'設定'!$C$4,N(U9320),IF(OR(NOT(COUNTIF('商品マスタ'!$B$6:$B$1005,$W9321)=0),COUNTIFS('①在庫を貼る'!$V$6:$V$10005,$V9321,'①在庫を貼る'!$W$6:$W$10005,$W9321)+COUNTIFS('月1回_1ヶ月前の在庫'!$V$6:$V$10005,$V9321,'月1回_1ヶ月前の在庫'!$W$6:$W$10005,$W9321)&gt;0),N(U9320),N(U9320)+1))</f>
        <v/>
      </c>
      <c r="V9321" s="19">
        <f>IF($B9321="","",TEXT($B9321,"0000"))</f>
        <v/>
      </c>
      <c r="W9321" s="19">
        <f>IF($I9321="","",IF(ISNUMBER($I9321),TEXT($I9321,"0"),$I9321))</f>
        <v/>
      </c>
    </row>
    <row r="9322">
      <c r="B9322" s="25" t="n"/>
      <c r="I9322" s="25" t="n"/>
      <c r="U9322" s="19">
        <f>IF($V9322&lt;&gt;'設定'!$C$4,N(U9321),IF(OR(NOT(COUNTIF('商品マスタ'!$B$6:$B$1005,$W9322)=0),COUNTIFS('①在庫を貼る'!$V$6:$V$10005,$V9322,'①在庫を貼る'!$W$6:$W$10005,$W9322)+COUNTIFS('月1回_1ヶ月前の在庫'!$V$6:$V$10005,$V9322,'月1回_1ヶ月前の在庫'!$W$6:$W$10005,$W9322)&gt;0),N(U9321),N(U9321)+1))</f>
        <v/>
      </c>
      <c r="V9322" s="19">
        <f>IF($B9322="","",TEXT($B9322,"0000"))</f>
        <v/>
      </c>
      <c r="W9322" s="19">
        <f>IF($I9322="","",IF(ISNUMBER($I9322),TEXT($I9322,"0"),$I9322))</f>
        <v/>
      </c>
    </row>
    <row r="9323">
      <c r="B9323" s="25" t="n"/>
      <c r="I9323" s="25" t="n"/>
      <c r="U9323" s="19">
        <f>IF($V9323&lt;&gt;'設定'!$C$4,N(U9322),IF(OR(NOT(COUNTIF('商品マスタ'!$B$6:$B$1005,$W9323)=0),COUNTIFS('①在庫を貼る'!$V$6:$V$10005,$V9323,'①在庫を貼る'!$W$6:$W$10005,$W9323)+COUNTIFS('月1回_1ヶ月前の在庫'!$V$6:$V$10005,$V9323,'月1回_1ヶ月前の在庫'!$W$6:$W$10005,$W9323)&gt;0),N(U9322),N(U9322)+1))</f>
        <v/>
      </c>
      <c r="V9323" s="19">
        <f>IF($B9323="","",TEXT($B9323,"0000"))</f>
        <v/>
      </c>
      <c r="W9323" s="19">
        <f>IF($I9323="","",IF(ISNUMBER($I9323),TEXT($I9323,"0"),$I9323))</f>
        <v/>
      </c>
    </row>
    <row r="9324">
      <c r="B9324" s="25" t="n"/>
      <c r="I9324" s="25" t="n"/>
      <c r="U9324" s="19">
        <f>IF($V9324&lt;&gt;'設定'!$C$4,N(U9323),IF(OR(NOT(COUNTIF('商品マスタ'!$B$6:$B$1005,$W9324)=0),COUNTIFS('①在庫を貼る'!$V$6:$V$10005,$V9324,'①在庫を貼る'!$W$6:$W$10005,$W9324)+COUNTIFS('月1回_1ヶ月前の在庫'!$V$6:$V$10005,$V9324,'月1回_1ヶ月前の在庫'!$W$6:$W$10005,$W9324)&gt;0),N(U9323),N(U9323)+1))</f>
        <v/>
      </c>
      <c r="V9324" s="19">
        <f>IF($B9324="","",TEXT($B9324,"0000"))</f>
        <v/>
      </c>
      <c r="W9324" s="19">
        <f>IF($I9324="","",IF(ISNUMBER($I9324),TEXT($I9324,"0"),$I9324))</f>
        <v/>
      </c>
    </row>
    <row r="9325">
      <c r="B9325" s="25" t="n"/>
      <c r="I9325" s="25" t="n"/>
      <c r="U9325" s="19">
        <f>IF($V9325&lt;&gt;'設定'!$C$4,N(U9324),IF(OR(NOT(COUNTIF('商品マスタ'!$B$6:$B$1005,$W9325)=0),COUNTIFS('①在庫を貼る'!$V$6:$V$10005,$V9325,'①在庫を貼る'!$W$6:$W$10005,$W9325)+COUNTIFS('月1回_1ヶ月前の在庫'!$V$6:$V$10005,$V9325,'月1回_1ヶ月前の在庫'!$W$6:$W$10005,$W9325)&gt;0),N(U9324),N(U9324)+1))</f>
        <v/>
      </c>
      <c r="V9325" s="19">
        <f>IF($B9325="","",TEXT($B9325,"0000"))</f>
        <v/>
      </c>
      <c r="W9325" s="19">
        <f>IF($I9325="","",IF(ISNUMBER($I9325),TEXT($I9325,"0"),$I9325))</f>
        <v/>
      </c>
    </row>
    <row r="9326">
      <c r="B9326" s="25" t="n"/>
      <c r="I9326" s="25" t="n"/>
      <c r="U9326" s="19">
        <f>IF($V9326&lt;&gt;'設定'!$C$4,N(U9325),IF(OR(NOT(COUNTIF('商品マスタ'!$B$6:$B$1005,$W9326)=0),COUNTIFS('①在庫を貼る'!$V$6:$V$10005,$V9326,'①在庫を貼る'!$W$6:$W$10005,$W9326)+COUNTIFS('月1回_1ヶ月前の在庫'!$V$6:$V$10005,$V9326,'月1回_1ヶ月前の在庫'!$W$6:$W$10005,$W9326)&gt;0),N(U9325),N(U9325)+1))</f>
        <v/>
      </c>
      <c r="V9326" s="19">
        <f>IF($B9326="","",TEXT($B9326,"0000"))</f>
        <v/>
      </c>
      <c r="W9326" s="19">
        <f>IF($I9326="","",IF(ISNUMBER($I9326),TEXT($I9326,"0"),$I9326))</f>
        <v/>
      </c>
    </row>
    <row r="9327">
      <c r="B9327" s="25" t="n"/>
      <c r="I9327" s="25" t="n"/>
      <c r="U9327" s="19">
        <f>IF($V9327&lt;&gt;'設定'!$C$4,N(U9326),IF(OR(NOT(COUNTIF('商品マスタ'!$B$6:$B$1005,$W9327)=0),COUNTIFS('①在庫を貼る'!$V$6:$V$10005,$V9327,'①在庫を貼る'!$W$6:$W$10005,$W9327)+COUNTIFS('月1回_1ヶ月前の在庫'!$V$6:$V$10005,$V9327,'月1回_1ヶ月前の在庫'!$W$6:$W$10005,$W9327)&gt;0),N(U9326),N(U9326)+1))</f>
        <v/>
      </c>
      <c r="V9327" s="19">
        <f>IF($B9327="","",TEXT($B9327,"0000"))</f>
        <v/>
      </c>
      <c r="W9327" s="19">
        <f>IF($I9327="","",IF(ISNUMBER($I9327),TEXT($I9327,"0"),$I9327))</f>
        <v/>
      </c>
    </row>
    <row r="9328">
      <c r="B9328" s="25" t="n"/>
      <c r="I9328" s="25" t="n"/>
      <c r="U9328" s="19">
        <f>IF($V9328&lt;&gt;'設定'!$C$4,N(U9327),IF(OR(NOT(COUNTIF('商品マスタ'!$B$6:$B$1005,$W9328)=0),COUNTIFS('①在庫を貼る'!$V$6:$V$10005,$V9328,'①在庫を貼る'!$W$6:$W$10005,$W9328)+COUNTIFS('月1回_1ヶ月前の在庫'!$V$6:$V$10005,$V9328,'月1回_1ヶ月前の在庫'!$W$6:$W$10005,$W9328)&gt;0),N(U9327),N(U9327)+1))</f>
        <v/>
      </c>
      <c r="V9328" s="19">
        <f>IF($B9328="","",TEXT($B9328,"0000"))</f>
        <v/>
      </c>
      <c r="W9328" s="19">
        <f>IF($I9328="","",IF(ISNUMBER($I9328),TEXT($I9328,"0"),$I9328))</f>
        <v/>
      </c>
    </row>
    <row r="9329">
      <c r="B9329" s="25" t="n"/>
      <c r="I9329" s="25" t="n"/>
      <c r="U9329" s="19">
        <f>IF($V9329&lt;&gt;'設定'!$C$4,N(U9328),IF(OR(NOT(COUNTIF('商品マスタ'!$B$6:$B$1005,$W9329)=0),COUNTIFS('①在庫を貼る'!$V$6:$V$10005,$V9329,'①在庫を貼る'!$W$6:$W$10005,$W9329)+COUNTIFS('月1回_1ヶ月前の在庫'!$V$6:$V$10005,$V9329,'月1回_1ヶ月前の在庫'!$W$6:$W$10005,$W9329)&gt;0),N(U9328),N(U9328)+1))</f>
        <v/>
      </c>
      <c r="V9329" s="19">
        <f>IF($B9329="","",TEXT($B9329,"0000"))</f>
        <v/>
      </c>
      <c r="W9329" s="19">
        <f>IF($I9329="","",IF(ISNUMBER($I9329),TEXT($I9329,"0"),$I9329))</f>
        <v/>
      </c>
    </row>
    <row r="9330">
      <c r="B9330" s="25" t="n"/>
      <c r="I9330" s="25" t="n"/>
      <c r="U9330" s="19">
        <f>IF($V9330&lt;&gt;'設定'!$C$4,N(U9329),IF(OR(NOT(COUNTIF('商品マスタ'!$B$6:$B$1005,$W9330)=0),COUNTIFS('①在庫を貼る'!$V$6:$V$10005,$V9330,'①在庫を貼る'!$W$6:$W$10005,$W9330)+COUNTIFS('月1回_1ヶ月前の在庫'!$V$6:$V$10005,$V9330,'月1回_1ヶ月前の在庫'!$W$6:$W$10005,$W9330)&gt;0),N(U9329),N(U9329)+1))</f>
        <v/>
      </c>
      <c r="V9330" s="19">
        <f>IF($B9330="","",TEXT($B9330,"0000"))</f>
        <v/>
      </c>
      <c r="W9330" s="19">
        <f>IF($I9330="","",IF(ISNUMBER($I9330),TEXT($I9330,"0"),$I9330))</f>
        <v/>
      </c>
    </row>
    <row r="9331">
      <c r="B9331" s="25" t="n"/>
      <c r="I9331" s="25" t="n"/>
      <c r="U9331" s="19">
        <f>IF($V9331&lt;&gt;'設定'!$C$4,N(U9330),IF(OR(NOT(COUNTIF('商品マスタ'!$B$6:$B$1005,$W9331)=0),COUNTIFS('①在庫を貼る'!$V$6:$V$10005,$V9331,'①在庫を貼る'!$W$6:$W$10005,$W9331)+COUNTIFS('月1回_1ヶ月前の在庫'!$V$6:$V$10005,$V9331,'月1回_1ヶ月前の在庫'!$W$6:$W$10005,$W9331)&gt;0),N(U9330),N(U9330)+1))</f>
        <v/>
      </c>
      <c r="V9331" s="19">
        <f>IF($B9331="","",TEXT($B9331,"0000"))</f>
        <v/>
      </c>
      <c r="W9331" s="19">
        <f>IF($I9331="","",IF(ISNUMBER($I9331),TEXT($I9331,"0"),$I9331))</f>
        <v/>
      </c>
    </row>
    <row r="9332">
      <c r="B9332" s="25" t="n"/>
      <c r="I9332" s="25" t="n"/>
      <c r="U9332" s="19">
        <f>IF($V9332&lt;&gt;'設定'!$C$4,N(U9331),IF(OR(NOT(COUNTIF('商品マスタ'!$B$6:$B$1005,$W9332)=0),COUNTIFS('①在庫を貼る'!$V$6:$V$10005,$V9332,'①在庫を貼る'!$W$6:$W$10005,$W9332)+COUNTIFS('月1回_1ヶ月前の在庫'!$V$6:$V$10005,$V9332,'月1回_1ヶ月前の在庫'!$W$6:$W$10005,$W9332)&gt;0),N(U9331),N(U9331)+1))</f>
        <v/>
      </c>
      <c r="V9332" s="19">
        <f>IF($B9332="","",TEXT($B9332,"0000"))</f>
        <v/>
      </c>
      <c r="W9332" s="19">
        <f>IF($I9332="","",IF(ISNUMBER($I9332),TEXT($I9332,"0"),$I9332))</f>
        <v/>
      </c>
    </row>
    <row r="9333">
      <c r="B9333" s="25" t="n"/>
      <c r="I9333" s="25" t="n"/>
      <c r="U9333" s="19">
        <f>IF($V9333&lt;&gt;'設定'!$C$4,N(U9332),IF(OR(NOT(COUNTIF('商品マスタ'!$B$6:$B$1005,$W9333)=0),COUNTIFS('①在庫を貼る'!$V$6:$V$10005,$V9333,'①在庫を貼る'!$W$6:$W$10005,$W9333)+COUNTIFS('月1回_1ヶ月前の在庫'!$V$6:$V$10005,$V9333,'月1回_1ヶ月前の在庫'!$W$6:$W$10005,$W9333)&gt;0),N(U9332),N(U9332)+1))</f>
        <v/>
      </c>
      <c r="V9333" s="19">
        <f>IF($B9333="","",TEXT($B9333,"0000"))</f>
        <v/>
      </c>
      <c r="W9333" s="19">
        <f>IF($I9333="","",IF(ISNUMBER($I9333),TEXT($I9333,"0"),$I9333))</f>
        <v/>
      </c>
    </row>
    <row r="9334">
      <c r="B9334" s="25" t="n"/>
      <c r="I9334" s="25" t="n"/>
      <c r="U9334" s="19">
        <f>IF($V9334&lt;&gt;'設定'!$C$4,N(U9333),IF(OR(NOT(COUNTIF('商品マスタ'!$B$6:$B$1005,$W9334)=0),COUNTIFS('①在庫を貼る'!$V$6:$V$10005,$V9334,'①在庫を貼る'!$W$6:$W$10005,$W9334)+COUNTIFS('月1回_1ヶ月前の在庫'!$V$6:$V$10005,$V9334,'月1回_1ヶ月前の在庫'!$W$6:$W$10005,$W9334)&gt;0),N(U9333),N(U9333)+1))</f>
        <v/>
      </c>
      <c r="V9334" s="19">
        <f>IF($B9334="","",TEXT($B9334,"0000"))</f>
        <v/>
      </c>
      <c r="W9334" s="19">
        <f>IF($I9334="","",IF(ISNUMBER($I9334),TEXT($I9334,"0"),$I9334))</f>
        <v/>
      </c>
    </row>
    <row r="9335">
      <c r="B9335" s="25" t="n"/>
      <c r="I9335" s="25" t="n"/>
      <c r="U9335" s="19">
        <f>IF($V9335&lt;&gt;'設定'!$C$4,N(U9334),IF(OR(NOT(COUNTIF('商品マスタ'!$B$6:$B$1005,$W9335)=0),COUNTIFS('①在庫を貼る'!$V$6:$V$10005,$V9335,'①在庫を貼る'!$W$6:$W$10005,$W9335)+COUNTIFS('月1回_1ヶ月前の在庫'!$V$6:$V$10005,$V9335,'月1回_1ヶ月前の在庫'!$W$6:$W$10005,$W9335)&gt;0),N(U9334),N(U9334)+1))</f>
        <v/>
      </c>
      <c r="V9335" s="19">
        <f>IF($B9335="","",TEXT($B9335,"0000"))</f>
        <v/>
      </c>
      <c r="W9335" s="19">
        <f>IF($I9335="","",IF(ISNUMBER($I9335),TEXT($I9335,"0"),$I9335))</f>
        <v/>
      </c>
    </row>
    <row r="9336">
      <c r="B9336" s="25" t="n"/>
      <c r="I9336" s="25" t="n"/>
      <c r="U9336" s="19">
        <f>IF($V9336&lt;&gt;'設定'!$C$4,N(U9335),IF(OR(NOT(COUNTIF('商品マスタ'!$B$6:$B$1005,$W9336)=0),COUNTIFS('①在庫を貼る'!$V$6:$V$10005,$V9336,'①在庫を貼る'!$W$6:$W$10005,$W9336)+COUNTIFS('月1回_1ヶ月前の在庫'!$V$6:$V$10005,$V9336,'月1回_1ヶ月前の在庫'!$W$6:$W$10005,$W9336)&gt;0),N(U9335),N(U9335)+1))</f>
        <v/>
      </c>
      <c r="V9336" s="19">
        <f>IF($B9336="","",TEXT($B9336,"0000"))</f>
        <v/>
      </c>
      <c r="W9336" s="19">
        <f>IF($I9336="","",IF(ISNUMBER($I9336),TEXT($I9336,"0"),$I9336))</f>
        <v/>
      </c>
    </row>
    <row r="9337">
      <c r="B9337" s="25" t="n"/>
      <c r="I9337" s="25" t="n"/>
      <c r="U9337" s="19">
        <f>IF($V9337&lt;&gt;'設定'!$C$4,N(U9336),IF(OR(NOT(COUNTIF('商品マスタ'!$B$6:$B$1005,$W9337)=0),COUNTIFS('①在庫を貼る'!$V$6:$V$10005,$V9337,'①在庫を貼る'!$W$6:$W$10005,$W9337)+COUNTIFS('月1回_1ヶ月前の在庫'!$V$6:$V$10005,$V9337,'月1回_1ヶ月前の在庫'!$W$6:$W$10005,$W9337)&gt;0),N(U9336),N(U9336)+1))</f>
        <v/>
      </c>
      <c r="V9337" s="19">
        <f>IF($B9337="","",TEXT($B9337,"0000"))</f>
        <v/>
      </c>
      <c r="W9337" s="19">
        <f>IF($I9337="","",IF(ISNUMBER($I9337),TEXT($I9337,"0"),$I9337))</f>
        <v/>
      </c>
    </row>
    <row r="9338">
      <c r="B9338" s="25" t="n"/>
      <c r="I9338" s="25" t="n"/>
      <c r="U9338" s="19">
        <f>IF($V9338&lt;&gt;'設定'!$C$4,N(U9337),IF(OR(NOT(COUNTIF('商品マスタ'!$B$6:$B$1005,$W9338)=0),COUNTIFS('①在庫を貼る'!$V$6:$V$10005,$V9338,'①在庫を貼る'!$W$6:$W$10005,$W9338)+COUNTIFS('月1回_1ヶ月前の在庫'!$V$6:$V$10005,$V9338,'月1回_1ヶ月前の在庫'!$W$6:$W$10005,$W9338)&gt;0),N(U9337),N(U9337)+1))</f>
        <v/>
      </c>
      <c r="V9338" s="19">
        <f>IF($B9338="","",TEXT($B9338,"0000"))</f>
        <v/>
      </c>
      <c r="W9338" s="19">
        <f>IF($I9338="","",IF(ISNUMBER($I9338),TEXT($I9338,"0"),$I9338))</f>
        <v/>
      </c>
    </row>
    <row r="9339">
      <c r="B9339" s="25" t="n"/>
      <c r="I9339" s="25" t="n"/>
      <c r="U9339" s="19">
        <f>IF($V9339&lt;&gt;'設定'!$C$4,N(U9338),IF(OR(NOT(COUNTIF('商品マスタ'!$B$6:$B$1005,$W9339)=0),COUNTIFS('①在庫を貼る'!$V$6:$V$10005,$V9339,'①在庫を貼る'!$W$6:$W$10005,$W9339)+COUNTIFS('月1回_1ヶ月前の在庫'!$V$6:$V$10005,$V9339,'月1回_1ヶ月前の在庫'!$W$6:$W$10005,$W9339)&gt;0),N(U9338),N(U9338)+1))</f>
        <v/>
      </c>
      <c r="V9339" s="19">
        <f>IF($B9339="","",TEXT($B9339,"0000"))</f>
        <v/>
      </c>
      <c r="W9339" s="19">
        <f>IF($I9339="","",IF(ISNUMBER($I9339),TEXT($I9339,"0"),$I9339))</f>
        <v/>
      </c>
    </row>
    <row r="9340">
      <c r="B9340" s="25" t="n"/>
      <c r="I9340" s="25" t="n"/>
      <c r="U9340" s="19">
        <f>IF($V9340&lt;&gt;'設定'!$C$4,N(U9339),IF(OR(NOT(COUNTIF('商品マスタ'!$B$6:$B$1005,$W9340)=0),COUNTIFS('①在庫を貼る'!$V$6:$V$10005,$V9340,'①在庫を貼る'!$W$6:$W$10005,$W9340)+COUNTIFS('月1回_1ヶ月前の在庫'!$V$6:$V$10005,$V9340,'月1回_1ヶ月前の在庫'!$W$6:$W$10005,$W9340)&gt;0),N(U9339),N(U9339)+1))</f>
        <v/>
      </c>
      <c r="V9340" s="19">
        <f>IF($B9340="","",TEXT($B9340,"0000"))</f>
        <v/>
      </c>
      <c r="W9340" s="19">
        <f>IF($I9340="","",IF(ISNUMBER($I9340),TEXT($I9340,"0"),$I9340))</f>
        <v/>
      </c>
    </row>
    <row r="9341">
      <c r="B9341" s="25" t="n"/>
      <c r="I9341" s="25" t="n"/>
      <c r="U9341" s="19">
        <f>IF($V9341&lt;&gt;'設定'!$C$4,N(U9340),IF(OR(NOT(COUNTIF('商品マスタ'!$B$6:$B$1005,$W9341)=0),COUNTIFS('①在庫を貼る'!$V$6:$V$10005,$V9341,'①在庫を貼る'!$W$6:$W$10005,$W9341)+COUNTIFS('月1回_1ヶ月前の在庫'!$V$6:$V$10005,$V9341,'月1回_1ヶ月前の在庫'!$W$6:$W$10005,$W9341)&gt;0),N(U9340),N(U9340)+1))</f>
        <v/>
      </c>
      <c r="V9341" s="19">
        <f>IF($B9341="","",TEXT($B9341,"0000"))</f>
        <v/>
      </c>
      <c r="W9341" s="19">
        <f>IF($I9341="","",IF(ISNUMBER($I9341),TEXT($I9341,"0"),$I9341))</f>
        <v/>
      </c>
    </row>
    <row r="9342">
      <c r="B9342" s="25" t="n"/>
      <c r="I9342" s="25" t="n"/>
      <c r="U9342" s="19">
        <f>IF($V9342&lt;&gt;'設定'!$C$4,N(U9341),IF(OR(NOT(COUNTIF('商品マスタ'!$B$6:$B$1005,$W9342)=0),COUNTIFS('①在庫を貼る'!$V$6:$V$10005,$V9342,'①在庫を貼る'!$W$6:$W$10005,$W9342)+COUNTIFS('月1回_1ヶ月前の在庫'!$V$6:$V$10005,$V9342,'月1回_1ヶ月前の在庫'!$W$6:$W$10005,$W9342)&gt;0),N(U9341),N(U9341)+1))</f>
        <v/>
      </c>
      <c r="V9342" s="19">
        <f>IF($B9342="","",TEXT($B9342,"0000"))</f>
        <v/>
      </c>
      <c r="W9342" s="19">
        <f>IF($I9342="","",IF(ISNUMBER($I9342),TEXT($I9342,"0"),$I9342))</f>
        <v/>
      </c>
    </row>
    <row r="9343">
      <c r="B9343" s="25" t="n"/>
      <c r="I9343" s="25" t="n"/>
      <c r="U9343" s="19">
        <f>IF($V9343&lt;&gt;'設定'!$C$4,N(U9342),IF(OR(NOT(COUNTIF('商品マスタ'!$B$6:$B$1005,$W9343)=0),COUNTIFS('①在庫を貼る'!$V$6:$V$10005,$V9343,'①在庫を貼る'!$W$6:$W$10005,$W9343)+COUNTIFS('月1回_1ヶ月前の在庫'!$V$6:$V$10005,$V9343,'月1回_1ヶ月前の在庫'!$W$6:$W$10005,$W9343)&gt;0),N(U9342),N(U9342)+1))</f>
        <v/>
      </c>
      <c r="V9343" s="19">
        <f>IF($B9343="","",TEXT($B9343,"0000"))</f>
        <v/>
      </c>
      <c r="W9343" s="19">
        <f>IF($I9343="","",IF(ISNUMBER($I9343),TEXT($I9343,"0"),$I9343))</f>
        <v/>
      </c>
    </row>
    <row r="9344">
      <c r="B9344" s="25" t="n"/>
      <c r="I9344" s="25" t="n"/>
      <c r="U9344" s="19">
        <f>IF($V9344&lt;&gt;'設定'!$C$4,N(U9343),IF(OR(NOT(COUNTIF('商品マスタ'!$B$6:$B$1005,$W9344)=0),COUNTIFS('①在庫を貼る'!$V$6:$V$10005,$V9344,'①在庫を貼る'!$W$6:$W$10005,$W9344)+COUNTIFS('月1回_1ヶ月前の在庫'!$V$6:$V$10005,$V9344,'月1回_1ヶ月前の在庫'!$W$6:$W$10005,$W9344)&gt;0),N(U9343),N(U9343)+1))</f>
        <v/>
      </c>
      <c r="V9344" s="19">
        <f>IF($B9344="","",TEXT($B9344,"0000"))</f>
        <v/>
      </c>
      <c r="W9344" s="19">
        <f>IF($I9344="","",IF(ISNUMBER($I9344),TEXT($I9344,"0"),$I9344))</f>
        <v/>
      </c>
    </row>
    <row r="9345">
      <c r="B9345" s="25" t="n"/>
      <c r="I9345" s="25" t="n"/>
      <c r="U9345" s="19">
        <f>IF($V9345&lt;&gt;'設定'!$C$4,N(U9344),IF(OR(NOT(COUNTIF('商品マスタ'!$B$6:$B$1005,$W9345)=0),COUNTIFS('①在庫を貼る'!$V$6:$V$10005,$V9345,'①在庫を貼る'!$W$6:$W$10005,$W9345)+COUNTIFS('月1回_1ヶ月前の在庫'!$V$6:$V$10005,$V9345,'月1回_1ヶ月前の在庫'!$W$6:$W$10005,$W9345)&gt;0),N(U9344),N(U9344)+1))</f>
        <v/>
      </c>
      <c r="V9345" s="19">
        <f>IF($B9345="","",TEXT($B9345,"0000"))</f>
        <v/>
      </c>
      <c r="W9345" s="19">
        <f>IF($I9345="","",IF(ISNUMBER($I9345),TEXT($I9345,"0"),$I9345))</f>
        <v/>
      </c>
    </row>
    <row r="9346">
      <c r="B9346" s="25" t="n"/>
      <c r="I9346" s="25" t="n"/>
      <c r="U9346" s="19">
        <f>IF($V9346&lt;&gt;'設定'!$C$4,N(U9345),IF(OR(NOT(COUNTIF('商品マスタ'!$B$6:$B$1005,$W9346)=0),COUNTIFS('①在庫を貼る'!$V$6:$V$10005,$V9346,'①在庫を貼る'!$W$6:$W$10005,$W9346)+COUNTIFS('月1回_1ヶ月前の在庫'!$V$6:$V$10005,$V9346,'月1回_1ヶ月前の在庫'!$W$6:$W$10005,$W9346)&gt;0),N(U9345),N(U9345)+1))</f>
        <v/>
      </c>
      <c r="V9346" s="19">
        <f>IF($B9346="","",TEXT($B9346,"0000"))</f>
        <v/>
      </c>
      <c r="W9346" s="19">
        <f>IF($I9346="","",IF(ISNUMBER($I9346),TEXT($I9346,"0"),$I9346))</f>
        <v/>
      </c>
    </row>
    <row r="9347">
      <c r="B9347" s="25" t="n"/>
      <c r="I9347" s="25" t="n"/>
      <c r="U9347" s="19">
        <f>IF($V9347&lt;&gt;'設定'!$C$4,N(U9346),IF(OR(NOT(COUNTIF('商品マスタ'!$B$6:$B$1005,$W9347)=0),COUNTIFS('①在庫を貼る'!$V$6:$V$10005,$V9347,'①在庫を貼る'!$W$6:$W$10005,$W9347)+COUNTIFS('月1回_1ヶ月前の在庫'!$V$6:$V$10005,$V9347,'月1回_1ヶ月前の在庫'!$W$6:$W$10005,$W9347)&gt;0),N(U9346),N(U9346)+1))</f>
        <v/>
      </c>
      <c r="V9347" s="19">
        <f>IF($B9347="","",TEXT($B9347,"0000"))</f>
        <v/>
      </c>
      <c r="W9347" s="19">
        <f>IF($I9347="","",IF(ISNUMBER($I9347),TEXT($I9347,"0"),$I9347))</f>
        <v/>
      </c>
    </row>
    <row r="9348">
      <c r="B9348" s="25" t="n"/>
      <c r="I9348" s="25" t="n"/>
      <c r="U9348" s="19">
        <f>IF($V9348&lt;&gt;'設定'!$C$4,N(U9347),IF(OR(NOT(COUNTIF('商品マスタ'!$B$6:$B$1005,$W9348)=0),COUNTIFS('①在庫を貼る'!$V$6:$V$10005,$V9348,'①在庫を貼る'!$W$6:$W$10005,$W9348)+COUNTIFS('月1回_1ヶ月前の在庫'!$V$6:$V$10005,$V9348,'月1回_1ヶ月前の在庫'!$W$6:$W$10005,$W9348)&gt;0),N(U9347),N(U9347)+1))</f>
        <v/>
      </c>
      <c r="V9348" s="19">
        <f>IF($B9348="","",TEXT($B9348,"0000"))</f>
        <v/>
      </c>
      <c r="W9348" s="19">
        <f>IF($I9348="","",IF(ISNUMBER($I9348),TEXT($I9348,"0"),$I9348))</f>
        <v/>
      </c>
    </row>
    <row r="9349">
      <c r="B9349" s="25" t="n"/>
      <c r="I9349" s="25" t="n"/>
      <c r="U9349" s="19">
        <f>IF($V9349&lt;&gt;'設定'!$C$4,N(U9348),IF(OR(NOT(COUNTIF('商品マスタ'!$B$6:$B$1005,$W9349)=0),COUNTIFS('①在庫を貼る'!$V$6:$V$10005,$V9349,'①在庫を貼る'!$W$6:$W$10005,$W9349)+COUNTIFS('月1回_1ヶ月前の在庫'!$V$6:$V$10005,$V9349,'月1回_1ヶ月前の在庫'!$W$6:$W$10005,$W9349)&gt;0),N(U9348),N(U9348)+1))</f>
        <v/>
      </c>
      <c r="V9349" s="19">
        <f>IF($B9349="","",TEXT($B9349,"0000"))</f>
        <v/>
      </c>
      <c r="W9349" s="19">
        <f>IF($I9349="","",IF(ISNUMBER($I9349),TEXT($I9349,"0"),$I9349))</f>
        <v/>
      </c>
    </row>
    <row r="9350">
      <c r="B9350" s="25" t="n"/>
      <c r="I9350" s="25" t="n"/>
      <c r="U9350" s="19">
        <f>IF($V9350&lt;&gt;'設定'!$C$4,N(U9349),IF(OR(NOT(COUNTIF('商品マスタ'!$B$6:$B$1005,$W9350)=0),COUNTIFS('①在庫を貼る'!$V$6:$V$10005,$V9350,'①在庫を貼る'!$W$6:$W$10005,$W9350)+COUNTIFS('月1回_1ヶ月前の在庫'!$V$6:$V$10005,$V9350,'月1回_1ヶ月前の在庫'!$W$6:$W$10005,$W9350)&gt;0),N(U9349),N(U9349)+1))</f>
        <v/>
      </c>
      <c r="V9350" s="19">
        <f>IF($B9350="","",TEXT($B9350,"0000"))</f>
        <v/>
      </c>
      <c r="W9350" s="19">
        <f>IF($I9350="","",IF(ISNUMBER($I9350),TEXT($I9350,"0"),$I9350))</f>
        <v/>
      </c>
    </row>
    <row r="9351">
      <c r="B9351" s="25" t="n"/>
      <c r="I9351" s="25" t="n"/>
      <c r="U9351" s="19">
        <f>IF($V9351&lt;&gt;'設定'!$C$4,N(U9350),IF(OR(NOT(COUNTIF('商品マスタ'!$B$6:$B$1005,$W9351)=0),COUNTIFS('①在庫を貼る'!$V$6:$V$10005,$V9351,'①在庫を貼る'!$W$6:$W$10005,$W9351)+COUNTIFS('月1回_1ヶ月前の在庫'!$V$6:$V$10005,$V9351,'月1回_1ヶ月前の在庫'!$W$6:$W$10005,$W9351)&gt;0),N(U9350),N(U9350)+1))</f>
        <v/>
      </c>
      <c r="V9351" s="19">
        <f>IF($B9351="","",TEXT($B9351,"0000"))</f>
        <v/>
      </c>
      <c r="W9351" s="19">
        <f>IF($I9351="","",IF(ISNUMBER($I9351),TEXT($I9351,"0"),$I9351))</f>
        <v/>
      </c>
    </row>
    <row r="9352">
      <c r="B9352" s="25" t="n"/>
      <c r="I9352" s="25" t="n"/>
      <c r="U9352" s="19">
        <f>IF($V9352&lt;&gt;'設定'!$C$4,N(U9351),IF(OR(NOT(COUNTIF('商品マスタ'!$B$6:$B$1005,$W9352)=0),COUNTIFS('①在庫を貼る'!$V$6:$V$10005,$V9352,'①在庫を貼る'!$W$6:$W$10005,$W9352)+COUNTIFS('月1回_1ヶ月前の在庫'!$V$6:$V$10005,$V9352,'月1回_1ヶ月前の在庫'!$W$6:$W$10005,$W9352)&gt;0),N(U9351),N(U9351)+1))</f>
        <v/>
      </c>
      <c r="V9352" s="19">
        <f>IF($B9352="","",TEXT($B9352,"0000"))</f>
        <v/>
      </c>
      <c r="W9352" s="19">
        <f>IF($I9352="","",IF(ISNUMBER($I9352),TEXT($I9352,"0"),$I9352))</f>
        <v/>
      </c>
    </row>
    <row r="9353">
      <c r="B9353" s="25" t="n"/>
      <c r="I9353" s="25" t="n"/>
      <c r="U9353" s="19">
        <f>IF($V9353&lt;&gt;'設定'!$C$4,N(U9352),IF(OR(NOT(COUNTIF('商品マスタ'!$B$6:$B$1005,$W9353)=0),COUNTIFS('①在庫を貼る'!$V$6:$V$10005,$V9353,'①在庫を貼る'!$W$6:$W$10005,$W9353)+COUNTIFS('月1回_1ヶ月前の在庫'!$V$6:$V$10005,$V9353,'月1回_1ヶ月前の在庫'!$W$6:$W$10005,$W9353)&gt;0),N(U9352),N(U9352)+1))</f>
        <v/>
      </c>
      <c r="V9353" s="19">
        <f>IF($B9353="","",TEXT($B9353,"0000"))</f>
        <v/>
      </c>
      <c r="W9353" s="19">
        <f>IF($I9353="","",IF(ISNUMBER($I9353),TEXT($I9353,"0"),$I9353))</f>
        <v/>
      </c>
    </row>
    <row r="9354">
      <c r="B9354" s="25" t="n"/>
      <c r="I9354" s="25" t="n"/>
      <c r="U9354" s="19">
        <f>IF($V9354&lt;&gt;'設定'!$C$4,N(U9353),IF(OR(NOT(COUNTIF('商品マスタ'!$B$6:$B$1005,$W9354)=0),COUNTIFS('①在庫を貼る'!$V$6:$V$10005,$V9354,'①在庫を貼る'!$W$6:$W$10005,$W9354)+COUNTIFS('月1回_1ヶ月前の在庫'!$V$6:$V$10005,$V9354,'月1回_1ヶ月前の在庫'!$W$6:$W$10005,$W9354)&gt;0),N(U9353),N(U9353)+1))</f>
        <v/>
      </c>
      <c r="V9354" s="19">
        <f>IF($B9354="","",TEXT($B9354,"0000"))</f>
        <v/>
      </c>
      <c r="W9354" s="19">
        <f>IF($I9354="","",IF(ISNUMBER($I9354),TEXT($I9354,"0"),$I9354))</f>
        <v/>
      </c>
    </row>
    <row r="9355">
      <c r="B9355" s="25" t="n"/>
      <c r="I9355" s="25" t="n"/>
      <c r="U9355" s="19">
        <f>IF($V9355&lt;&gt;'設定'!$C$4,N(U9354),IF(OR(NOT(COUNTIF('商品マスタ'!$B$6:$B$1005,$W9355)=0),COUNTIFS('①在庫を貼る'!$V$6:$V$10005,$V9355,'①在庫を貼る'!$W$6:$W$10005,$W9355)+COUNTIFS('月1回_1ヶ月前の在庫'!$V$6:$V$10005,$V9355,'月1回_1ヶ月前の在庫'!$W$6:$W$10005,$W9355)&gt;0),N(U9354),N(U9354)+1))</f>
        <v/>
      </c>
      <c r="V9355" s="19">
        <f>IF($B9355="","",TEXT($B9355,"0000"))</f>
        <v/>
      </c>
      <c r="W9355" s="19">
        <f>IF($I9355="","",IF(ISNUMBER($I9355),TEXT($I9355,"0"),$I9355))</f>
        <v/>
      </c>
    </row>
    <row r="9356">
      <c r="B9356" s="25" t="n"/>
      <c r="I9356" s="25" t="n"/>
      <c r="U9356" s="19">
        <f>IF($V9356&lt;&gt;'設定'!$C$4,N(U9355),IF(OR(NOT(COUNTIF('商品マスタ'!$B$6:$B$1005,$W9356)=0),COUNTIFS('①在庫を貼る'!$V$6:$V$10005,$V9356,'①在庫を貼る'!$W$6:$W$10005,$W9356)+COUNTIFS('月1回_1ヶ月前の在庫'!$V$6:$V$10005,$V9356,'月1回_1ヶ月前の在庫'!$W$6:$W$10005,$W9356)&gt;0),N(U9355),N(U9355)+1))</f>
        <v/>
      </c>
      <c r="V9356" s="19">
        <f>IF($B9356="","",TEXT($B9356,"0000"))</f>
        <v/>
      </c>
      <c r="W9356" s="19">
        <f>IF($I9356="","",IF(ISNUMBER($I9356),TEXT($I9356,"0"),$I9356))</f>
        <v/>
      </c>
    </row>
    <row r="9357">
      <c r="B9357" s="25" t="n"/>
      <c r="I9357" s="25" t="n"/>
      <c r="U9357" s="19">
        <f>IF($V9357&lt;&gt;'設定'!$C$4,N(U9356),IF(OR(NOT(COUNTIF('商品マスタ'!$B$6:$B$1005,$W9357)=0),COUNTIFS('①在庫を貼る'!$V$6:$V$10005,$V9357,'①在庫を貼る'!$W$6:$W$10005,$W9357)+COUNTIFS('月1回_1ヶ月前の在庫'!$V$6:$V$10005,$V9357,'月1回_1ヶ月前の在庫'!$W$6:$W$10005,$W9357)&gt;0),N(U9356),N(U9356)+1))</f>
        <v/>
      </c>
      <c r="V9357" s="19">
        <f>IF($B9357="","",TEXT($B9357,"0000"))</f>
        <v/>
      </c>
      <c r="W9357" s="19">
        <f>IF($I9357="","",IF(ISNUMBER($I9357),TEXT($I9357,"0"),$I9357))</f>
        <v/>
      </c>
    </row>
    <row r="9358">
      <c r="B9358" s="25" t="n"/>
      <c r="I9358" s="25" t="n"/>
      <c r="U9358" s="19">
        <f>IF($V9358&lt;&gt;'設定'!$C$4,N(U9357),IF(OR(NOT(COUNTIF('商品マスタ'!$B$6:$B$1005,$W9358)=0),COUNTIFS('①在庫を貼る'!$V$6:$V$10005,$V9358,'①在庫を貼る'!$W$6:$W$10005,$W9358)+COUNTIFS('月1回_1ヶ月前の在庫'!$V$6:$V$10005,$V9358,'月1回_1ヶ月前の在庫'!$W$6:$W$10005,$W9358)&gt;0),N(U9357),N(U9357)+1))</f>
        <v/>
      </c>
      <c r="V9358" s="19">
        <f>IF($B9358="","",TEXT($B9358,"0000"))</f>
        <v/>
      </c>
      <c r="W9358" s="19">
        <f>IF($I9358="","",IF(ISNUMBER($I9358),TEXT($I9358,"0"),$I9358))</f>
        <v/>
      </c>
    </row>
    <row r="9359">
      <c r="B9359" s="25" t="n"/>
      <c r="I9359" s="25" t="n"/>
      <c r="U9359" s="19">
        <f>IF($V9359&lt;&gt;'設定'!$C$4,N(U9358),IF(OR(NOT(COUNTIF('商品マスタ'!$B$6:$B$1005,$W9359)=0),COUNTIFS('①在庫を貼る'!$V$6:$V$10005,$V9359,'①在庫を貼る'!$W$6:$W$10005,$W9359)+COUNTIFS('月1回_1ヶ月前の在庫'!$V$6:$V$10005,$V9359,'月1回_1ヶ月前の在庫'!$W$6:$W$10005,$W9359)&gt;0),N(U9358),N(U9358)+1))</f>
        <v/>
      </c>
      <c r="V9359" s="19">
        <f>IF($B9359="","",TEXT($B9359,"0000"))</f>
        <v/>
      </c>
      <c r="W9359" s="19">
        <f>IF($I9359="","",IF(ISNUMBER($I9359),TEXT($I9359,"0"),$I9359))</f>
        <v/>
      </c>
    </row>
    <row r="9360">
      <c r="B9360" s="25" t="n"/>
      <c r="I9360" s="25" t="n"/>
      <c r="U9360" s="19">
        <f>IF($V9360&lt;&gt;'設定'!$C$4,N(U9359),IF(OR(NOT(COUNTIF('商品マスタ'!$B$6:$B$1005,$W9360)=0),COUNTIFS('①在庫を貼る'!$V$6:$V$10005,$V9360,'①在庫を貼る'!$W$6:$W$10005,$W9360)+COUNTIFS('月1回_1ヶ月前の在庫'!$V$6:$V$10005,$V9360,'月1回_1ヶ月前の在庫'!$W$6:$W$10005,$W9360)&gt;0),N(U9359),N(U9359)+1))</f>
        <v/>
      </c>
      <c r="V9360" s="19">
        <f>IF($B9360="","",TEXT($B9360,"0000"))</f>
        <v/>
      </c>
      <c r="W9360" s="19">
        <f>IF($I9360="","",IF(ISNUMBER($I9360),TEXT($I9360,"0"),$I9360))</f>
        <v/>
      </c>
    </row>
    <row r="9361">
      <c r="B9361" s="25" t="n"/>
      <c r="I9361" s="25" t="n"/>
      <c r="U9361" s="19">
        <f>IF($V9361&lt;&gt;'設定'!$C$4,N(U9360),IF(OR(NOT(COUNTIF('商品マスタ'!$B$6:$B$1005,$W9361)=0),COUNTIFS('①在庫を貼る'!$V$6:$V$10005,$V9361,'①在庫を貼る'!$W$6:$W$10005,$W9361)+COUNTIFS('月1回_1ヶ月前の在庫'!$V$6:$V$10005,$V9361,'月1回_1ヶ月前の在庫'!$W$6:$W$10005,$W9361)&gt;0),N(U9360),N(U9360)+1))</f>
        <v/>
      </c>
      <c r="V9361" s="19">
        <f>IF($B9361="","",TEXT($B9361,"0000"))</f>
        <v/>
      </c>
      <c r="W9361" s="19">
        <f>IF($I9361="","",IF(ISNUMBER($I9361),TEXT($I9361,"0"),$I9361))</f>
        <v/>
      </c>
    </row>
    <row r="9362">
      <c r="B9362" s="25" t="n"/>
      <c r="I9362" s="25" t="n"/>
      <c r="U9362" s="19">
        <f>IF($V9362&lt;&gt;'設定'!$C$4,N(U9361),IF(OR(NOT(COUNTIF('商品マスタ'!$B$6:$B$1005,$W9362)=0),COUNTIFS('①在庫を貼る'!$V$6:$V$10005,$V9362,'①在庫を貼る'!$W$6:$W$10005,$W9362)+COUNTIFS('月1回_1ヶ月前の在庫'!$V$6:$V$10005,$V9362,'月1回_1ヶ月前の在庫'!$W$6:$W$10005,$W9362)&gt;0),N(U9361),N(U9361)+1))</f>
        <v/>
      </c>
      <c r="V9362" s="19">
        <f>IF($B9362="","",TEXT($B9362,"0000"))</f>
        <v/>
      </c>
      <c r="W9362" s="19">
        <f>IF($I9362="","",IF(ISNUMBER($I9362),TEXT($I9362,"0"),$I9362))</f>
        <v/>
      </c>
    </row>
    <row r="9363">
      <c r="B9363" s="25" t="n"/>
      <c r="I9363" s="25" t="n"/>
      <c r="U9363" s="19">
        <f>IF($V9363&lt;&gt;'設定'!$C$4,N(U9362),IF(OR(NOT(COUNTIF('商品マスタ'!$B$6:$B$1005,$W9363)=0),COUNTIFS('①在庫を貼る'!$V$6:$V$10005,$V9363,'①在庫を貼る'!$W$6:$W$10005,$W9363)+COUNTIFS('月1回_1ヶ月前の在庫'!$V$6:$V$10005,$V9363,'月1回_1ヶ月前の在庫'!$W$6:$W$10005,$W9363)&gt;0),N(U9362),N(U9362)+1))</f>
        <v/>
      </c>
      <c r="V9363" s="19">
        <f>IF($B9363="","",TEXT($B9363,"0000"))</f>
        <v/>
      </c>
      <c r="W9363" s="19">
        <f>IF($I9363="","",IF(ISNUMBER($I9363),TEXT($I9363,"0"),$I9363))</f>
        <v/>
      </c>
    </row>
    <row r="9364">
      <c r="B9364" s="25" t="n"/>
      <c r="I9364" s="25" t="n"/>
      <c r="U9364" s="19">
        <f>IF($V9364&lt;&gt;'設定'!$C$4,N(U9363),IF(OR(NOT(COUNTIF('商品マスタ'!$B$6:$B$1005,$W9364)=0),COUNTIFS('①在庫を貼る'!$V$6:$V$10005,$V9364,'①在庫を貼る'!$W$6:$W$10005,$W9364)+COUNTIFS('月1回_1ヶ月前の在庫'!$V$6:$V$10005,$V9364,'月1回_1ヶ月前の在庫'!$W$6:$W$10005,$W9364)&gt;0),N(U9363),N(U9363)+1))</f>
        <v/>
      </c>
      <c r="V9364" s="19">
        <f>IF($B9364="","",TEXT($B9364,"0000"))</f>
        <v/>
      </c>
      <c r="W9364" s="19">
        <f>IF($I9364="","",IF(ISNUMBER($I9364),TEXT($I9364,"0"),$I9364))</f>
        <v/>
      </c>
    </row>
    <row r="9365">
      <c r="B9365" s="25" t="n"/>
      <c r="I9365" s="25" t="n"/>
      <c r="U9365" s="19">
        <f>IF($V9365&lt;&gt;'設定'!$C$4,N(U9364),IF(OR(NOT(COUNTIF('商品マスタ'!$B$6:$B$1005,$W9365)=0),COUNTIFS('①在庫を貼る'!$V$6:$V$10005,$V9365,'①在庫を貼る'!$W$6:$W$10005,$W9365)+COUNTIFS('月1回_1ヶ月前の在庫'!$V$6:$V$10005,$V9365,'月1回_1ヶ月前の在庫'!$W$6:$W$10005,$W9365)&gt;0),N(U9364),N(U9364)+1))</f>
        <v/>
      </c>
      <c r="V9365" s="19">
        <f>IF($B9365="","",TEXT($B9365,"0000"))</f>
        <v/>
      </c>
      <c r="W9365" s="19">
        <f>IF($I9365="","",IF(ISNUMBER($I9365),TEXT($I9365,"0"),$I9365))</f>
        <v/>
      </c>
    </row>
    <row r="9366">
      <c r="B9366" s="25" t="n"/>
      <c r="I9366" s="25" t="n"/>
      <c r="U9366" s="19">
        <f>IF($V9366&lt;&gt;'設定'!$C$4,N(U9365),IF(OR(NOT(COUNTIF('商品マスタ'!$B$6:$B$1005,$W9366)=0),COUNTIFS('①在庫を貼る'!$V$6:$V$10005,$V9366,'①在庫を貼る'!$W$6:$W$10005,$W9366)+COUNTIFS('月1回_1ヶ月前の在庫'!$V$6:$V$10005,$V9366,'月1回_1ヶ月前の在庫'!$W$6:$W$10005,$W9366)&gt;0),N(U9365),N(U9365)+1))</f>
        <v/>
      </c>
      <c r="V9366" s="19">
        <f>IF($B9366="","",TEXT($B9366,"0000"))</f>
        <v/>
      </c>
      <c r="W9366" s="19">
        <f>IF($I9366="","",IF(ISNUMBER($I9366),TEXT($I9366,"0"),$I9366))</f>
        <v/>
      </c>
    </row>
    <row r="9367">
      <c r="B9367" s="25" t="n"/>
      <c r="I9367" s="25" t="n"/>
      <c r="U9367" s="19">
        <f>IF($V9367&lt;&gt;'設定'!$C$4,N(U9366),IF(OR(NOT(COUNTIF('商品マスタ'!$B$6:$B$1005,$W9367)=0),COUNTIFS('①在庫を貼る'!$V$6:$V$10005,$V9367,'①在庫を貼る'!$W$6:$W$10005,$W9367)+COUNTIFS('月1回_1ヶ月前の在庫'!$V$6:$V$10005,$V9367,'月1回_1ヶ月前の在庫'!$W$6:$W$10005,$W9367)&gt;0),N(U9366),N(U9366)+1))</f>
        <v/>
      </c>
      <c r="V9367" s="19">
        <f>IF($B9367="","",TEXT($B9367,"0000"))</f>
        <v/>
      </c>
      <c r="W9367" s="19">
        <f>IF($I9367="","",IF(ISNUMBER($I9367),TEXT($I9367,"0"),$I9367))</f>
        <v/>
      </c>
    </row>
    <row r="9368">
      <c r="B9368" s="25" t="n"/>
      <c r="I9368" s="25" t="n"/>
      <c r="U9368" s="19">
        <f>IF($V9368&lt;&gt;'設定'!$C$4,N(U9367),IF(OR(NOT(COUNTIF('商品マスタ'!$B$6:$B$1005,$W9368)=0),COUNTIFS('①在庫を貼る'!$V$6:$V$10005,$V9368,'①在庫を貼る'!$W$6:$W$10005,$W9368)+COUNTIFS('月1回_1ヶ月前の在庫'!$V$6:$V$10005,$V9368,'月1回_1ヶ月前の在庫'!$W$6:$W$10005,$W9368)&gt;0),N(U9367),N(U9367)+1))</f>
        <v/>
      </c>
      <c r="V9368" s="19">
        <f>IF($B9368="","",TEXT($B9368,"0000"))</f>
        <v/>
      </c>
      <c r="W9368" s="19">
        <f>IF($I9368="","",IF(ISNUMBER($I9368),TEXT($I9368,"0"),$I9368))</f>
        <v/>
      </c>
    </row>
    <row r="9369">
      <c r="B9369" s="25" t="n"/>
      <c r="I9369" s="25" t="n"/>
      <c r="U9369" s="19">
        <f>IF($V9369&lt;&gt;'設定'!$C$4,N(U9368),IF(OR(NOT(COUNTIF('商品マスタ'!$B$6:$B$1005,$W9369)=0),COUNTIFS('①在庫を貼る'!$V$6:$V$10005,$V9369,'①在庫を貼る'!$W$6:$W$10005,$W9369)+COUNTIFS('月1回_1ヶ月前の在庫'!$V$6:$V$10005,$V9369,'月1回_1ヶ月前の在庫'!$W$6:$W$10005,$W9369)&gt;0),N(U9368),N(U9368)+1))</f>
        <v/>
      </c>
      <c r="V9369" s="19">
        <f>IF($B9369="","",TEXT($B9369,"0000"))</f>
        <v/>
      </c>
      <c r="W9369" s="19">
        <f>IF($I9369="","",IF(ISNUMBER($I9369),TEXT($I9369,"0"),$I9369))</f>
        <v/>
      </c>
    </row>
    <row r="9370">
      <c r="B9370" s="25" t="n"/>
      <c r="I9370" s="25" t="n"/>
      <c r="U9370" s="19">
        <f>IF($V9370&lt;&gt;'設定'!$C$4,N(U9369),IF(OR(NOT(COUNTIF('商品マスタ'!$B$6:$B$1005,$W9370)=0),COUNTIFS('①在庫を貼る'!$V$6:$V$10005,$V9370,'①在庫を貼る'!$W$6:$W$10005,$W9370)+COUNTIFS('月1回_1ヶ月前の在庫'!$V$6:$V$10005,$V9370,'月1回_1ヶ月前の在庫'!$W$6:$W$10005,$W9370)&gt;0),N(U9369),N(U9369)+1))</f>
        <v/>
      </c>
      <c r="V9370" s="19">
        <f>IF($B9370="","",TEXT($B9370,"0000"))</f>
        <v/>
      </c>
      <c r="W9370" s="19">
        <f>IF($I9370="","",IF(ISNUMBER($I9370),TEXT($I9370,"0"),$I9370))</f>
        <v/>
      </c>
    </row>
    <row r="9371">
      <c r="B9371" s="25" t="n"/>
      <c r="I9371" s="25" t="n"/>
      <c r="U9371" s="19">
        <f>IF($V9371&lt;&gt;'設定'!$C$4,N(U9370),IF(OR(NOT(COUNTIF('商品マスタ'!$B$6:$B$1005,$W9371)=0),COUNTIFS('①在庫を貼る'!$V$6:$V$10005,$V9371,'①在庫を貼る'!$W$6:$W$10005,$W9371)+COUNTIFS('月1回_1ヶ月前の在庫'!$V$6:$V$10005,$V9371,'月1回_1ヶ月前の在庫'!$W$6:$W$10005,$W9371)&gt;0),N(U9370),N(U9370)+1))</f>
        <v/>
      </c>
      <c r="V9371" s="19">
        <f>IF($B9371="","",TEXT($B9371,"0000"))</f>
        <v/>
      </c>
      <c r="W9371" s="19">
        <f>IF($I9371="","",IF(ISNUMBER($I9371),TEXT($I9371,"0"),$I9371))</f>
        <v/>
      </c>
    </row>
    <row r="9372">
      <c r="B9372" s="25" t="n"/>
      <c r="I9372" s="25" t="n"/>
      <c r="U9372" s="19">
        <f>IF($V9372&lt;&gt;'設定'!$C$4,N(U9371),IF(OR(NOT(COUNTIF('商品マスタ'!$B$6:$B$1005,$W9372)=0),COUNTIFS('①在庫を貼る'!$V$6:$V$10005,$V9372,'①在庫を貼る'!$W$6:$W$10005,$W9372)+COUNTIFS('月1回_1ヶ月前の在庫'!$V$6:$V$10005,$V9372,'月1回_1ヶ月前の在庫'!$W$6:$W$10005,$W9372)&gt;0),N(U9371),N(U9371)+1))</f>
        <v/>
      </c>
      <c r="V9372" s="19">
        <f>IF($B9372="","",TEXT($B9372,"0000"))</f>
        <v/>
      </c>
      <c r="W9372" s="19">
        <f>IF($I9372="","",IF(ISNUMBER($I9372),TEXT($I9372,"0"),$I9372))</f>
        <v/>
      </c>
    </row>
    <row r="9373">
      <c r="B9373" s="25" t="n"/>
      <c r="I9373" s="25" t="n"/>
      <c r="U9373" s="19">
        <f>IF($V9373&lt;&gt;'設定'!$C$4,N(U9372),IF(OR(NOT(COUNTIF('商品マスタ'!$B$6:$B$1005,$W9373)=0),COUNTIFS('①在庫を貼る'!$V$6:$V$10005,$V9373,'①在庫を貼る'!$W$6:$W$10005,$W9373)+COUNTIFS('月1回_1ヶ月前の在庫'!$V$6:$V$10005,$V9373,'月1回_1ヶ月前の在庫'!$W$6:$W$10005,$W9373)&gt;0),N(U9372),N(U9372)+1))</f>
        <v/>
      </c>
      <c r="V9373" s="19">
        <f>IF($B9373="","",TEXT($B9373,"0000"))</f>
        <v/>
      </c>
      <c r="W9373" s="19">
        <f>IF($I9373="","",IF(ISNUMBER($I9373),TEXT($I9373,"0"),$I9373))</f>
        <v/>
      </c>
    </row>
    <row r="9374">
      <c r="B9374" s="25" t="n"/>
      <c r="I9374" s="25" t="n"/>
      <c r="U9374" s="19">
        <f>IF($V9374&lt;&gt;'設定'!$C$4,N(U9373),IF(OR(NOT(COUNTIF('商品マスタ'!$B$6:$B$1005,$W9374)=0),COUNTIFS('①在庫を貼る'!$V$6:$V$10005,$V9374,'①在庫を貼る'!$W$6:$W$10005,$W9374)+COUNTIFS('月1回_1ヶ月前の在庫'!$V$6:$V$10005,$V9374,'月1回_1ヶ月前の在庫'!$W$6:$W$10005,$W9374)&gt;0),N(U9373),N(U9373)+1))</f>
        <v/>
      </c>
      <c r="V9374" s="19">
        <f>IF($B9374="","",TEXT($B9374,"0000"))</f>
        <v/>
      </c>
      <c r="W9374" s="19">
        <f>IF($I9374="","",IF(ISNUMBER($I9374),TEXT($I9374,"0"),$I9374))</f>
        <v/>
      </c>
    </row>
    <row r="9375">
      <c r="B9375" s="25" t="n"/>
      <c r="I9375" s="25" t="n"/>
      <c r="U9375" s="19">
        <f>IF($V9375&lt;&gt;'設定'!$C$4,N(U9374),IF(OR(NOT(COUNTIF('商品マスタ'!$B$6:$B$1005,$W9375)=0),COUNTIFS('①在庫を貼る'!$V$6:$V$10005,$V9375,'①在庫を貼る'!$W$6:$W$10005,$W9375)+COUNTIFS('月1回_1ヶ月前の在庫'!$V$6:$V$10005,$V9375,'月1回_1ヶ月前の在庫'!$W$6:$W$10005,$W9375)&gt;0),N(U9374),N(U9374)+1))</f>
        <v/>
      </c>
      <c r="V9375" s="19">
        <f>IF($B9375="","",TEXT($B9375,"0000"))</f>
        <v/>
      </c>
      <c r="W9375" s="19">
        <f>IF($I9375="","",IF(ISNUMBER($I9375),TEXT($I9375,"0"),$I9375))</f>
        <v/>
      </c>
    </row>
    <row r="9376">
      <c r="B9376" s="25" t="n"/>
      <c r="I9376" s="25" t="n"/>
      <c r="U9376" s="19">
        <f>IF($V9376&lt;&gt;'設定'!$C$4,N(U9375),IF(OR(NOT(COUNTIF('商品マスタ'!$B$6:$B$1005,$W9376)=0),COUNTIFS('①在庫を貼る'!$V$6:$V$10005,$V9376,'①在庫を貼る'!$W$6:$W$10005,$W9376)+COUNTIFS('月1回_1ヶ月前の在庫'!$V$6:$V$10005,$V9376,'月1回_1ヶ月前の在庫'!$W$6:$W$10005,$W9376)&gt;0),N(U9375),N(U9375)+1))</f>
        <v/>
      </c>
      <c r="V9376" s="19">
        <f>IF($B9376="","",TEXT($B9376,"0000"))</f>
        <v/>
      </c>
      <c r="W9376" s="19">
        <f>IF($I9376="","",IF(ISNUMBER($I9376),TEXT($I9376,"0"),$I9376))</f>
        <v/>
      </c>
    </row>
    <row r="9377">
      <c r="B9377" s="25" t="n"/>
      <c r="I9377" s="25" t="n"/>
      <c r="U9377" s="19">
        <f>IF($V9377&lt;&gt;'設定'!$C$4,N(U9376),IF(OR(NOT(COUNTIF('商品マスタ'!$B$6:$B$1005,$W9377)=0),COUNTIFS('①在庫を貼る'!$V$6:$V$10005,$V9377,'①在庫を貼る'!$W$6:$W$10005,$W9377)+COUNTIFS('月1回_1ヶ月前の在庫'!$V$6:$V$10005,$V9377,'月1回_1ヶ月前の在庫'!$W$6:$W$10005,$W9377)&gt;0),N(U9376),N(U9376)+1))</f>
        <v/>
      </c>
      <c r="V9377" s="19">
        <f>IF($B9377="","",TEXT($B9377,"0000"))</f>
        <v/>
      </c>
      <c r="W9377" s="19">
        <f>IF($I9377="","",IF(ISNUMBER($I9377),TEXT($I9377,"0"),$I9377))</f>
        <v/>
      </c>
    </row>
    <row r="9378">
      <c r="B9378" s="25" t="n"/>
      <c r="I9378" s="25" t="n"/>
      <c r="U9378" s="19">
        <f>IF($V9378&lt;&gt;'設定'!$C$4,N(U9377),IF(OR(NOT(COUNTIF('商品マスタ'!$B$6:$B$1005,$W9378)=0),COUNTIFS('①在庫を貼る'!$V$6:$V$10005,$V9378,'①在庫を貼る'!$W$6:$W$10005,$W9378)+COUNTIFS('月1回_1ヶ月前の在庫'!$V$6:$V$10005,$V9378,'月1回_1ヶ月前の在庫'!$W$6:$W$10005,$W9378)&gt;0),N(U9377),N(U9377)+1))</f>
        <v/>
      </c>
      <c r="V9378" s="19">
        <f>IF($B9378="","",TEXT($B9378,"0000"))</f>
        <v/>
      </c>
      <c r="W9378" s="19">
        <f>IF($I9378="","",IF(ISNUMBER($I9378),TEXT($I9378,"0"),$I9378))</f>
        <v/>
      </c>
    </row>
    <row r="9379">
      <c r="B9379" s="25" t="n"/>
      <c r="I9379" s="25" t="n"/>
      <c r="U9379" s="19">
        <f>IF($V9379&lt;&gt;'設定'!$C$4,N(U9378),IF(OR(NOT(COUNTIF('商品マスタ'!$B$6:$B$1005,$W9379)=0),COUNTIFS('①在庫を貼る'!$V$6:$V$10005,$V9379,'①在庫を貼る'!$W$6:$W$10005,$W9379)+COUNTIFS('月1回_1ヶ月前の在庫'!$V$6:$V$10005,$V9379,'月1回_1ヶ月前の在庫'!$W$6:$W$10005,$W9379)&gt;0),N(U9378),N(U9378)+1))</f>
        <v/>
      </c>
      <c r="V9379" s="19">
        <f>IF($B9379="","",TEXT($B9379,"0000"))</f>
        <v/>
      </c>
      <c r="W9379" s="19">
        <f>IF($I9379="","",IF(ISNUMBER($I9379),TEXT($I9379,"0"),$I9379))</f>
        <v/>
      </c>
    </row>
    <row r="9380">
      <c r="B9380" s="25" t="n"/>
      <c r="I9380" s="25" t="n"/>
      <c r="U9380" s="19">
        <f>IF($V9380&lt;&gt;'設定'!$C$4,N(U9379),IF(OR(NOT(COUNTIF('商品マスタ'!$B$6:$B$1005,$W9380)=0),COUNTIFS('①在庫を貼る'!$V$6:$V$10005,$V9380,'①在庫を貼る'!$W$6:$W$10005,$W9380)+COUNTIFS('月1回_1ヶ月前の在庫'!$V$6:$V$10005,$V9380,'月1回_1ヶ月前の在庫'!$W$6:$W$10005,$W9380)&gt;0),N(U9379),N(U9379)+1))</f>
        <v/>
      </c>
      <c r="V9380" s="19">
        <f>IF($B9380="","",TEXT($B9380,"0000"))</f>
        <v/>
      </c>
      <c r="W9380" s="19">
        <f>IF($I9380="","",IF(ISNUMBER($I9380),TEXT($I9380,"0"),$I9380))</f>
        <v/>
      </c>
    </row>
    <row r="9381">
      <c r="B9381" s="25" t="n"/>
      <c r="I9381" s="25" t="n"/>
      <c r="U9381" s="19">
        <f>IF($V9381&lt;&gt;'設定'!$C$4,N(U9380),IF(OR(NOT(COUNTIF('商品マスタ'!$B$6:$B$1005,$W9381)=0),COUNTIFS('①在庫を貼る'!$V$6:$V$10005,$V9381,'①在庫を貼る'!$W$6:$W$10005,$W9381)+COUNTIFS('月1回_1ヶ月前の在庫'!$V$6:$V$10005,$V9381,'月1回_1ヶ月前の在庫'!$W$6:$W$10005,$W9381)&gt;0),N(U9380),N(U9380)+1))</f>
        <v/>
      </c>
      <c r="V9381" s="19">
        <f>IF($B9381="","",TEXT($B9381,"0000"))</f>
        <v/>
      </c>
      <c r="W9381" s="19">
        <f>IF($I9381="","",IF(ISNUMBER($I9381),TEXT($I9381,"0"),$I9381))</f>
        <v/>
      </c>
    </row>
    <row r="9382">
      <c r="B9382" s="25" t="n"/>
      <c r="I9382" s="25" t="n"/>
      <c r="U9382" s="19">
        <f>IF($V9382&lt;&gt;'設定'!$C$4,N(U9381),IF(OR(NOT(COUNTIF('商品マスタ'!$B$6:$B$1005,$W9382)=0),COUNTIFS('①在庫を貼る'!$V$6:$V$10005,$V9382,'①在庫を貼る'!$W$6:$W$10005,$W9382)+COUNTIFS('月1回_1ヶ月前の在庫'!$V$6:$V$10005,$V9382,'月1回_1ヶ月前の在庫'!$W$6:$W$10005,$W9382)&gt;0),N(U9381),N(U9381)+1))</f>
        <v/>
      </c>
      <c r="V9382" s="19">
        <f>IF($B9382="","",TEXT($B9382,"0000"))</f>
        <v/>
      </c>
      <c r="W9382" s="19">
        <f>IF($I9382="","",IF(ISNUMBER($I9382),TEXT($I9382,"0"),$I9382))</f>
        <v/>
      </c>
    </row>
    <row r="9383">
      <c r="B9383" s="25" t="n"/>
      <c r="I9383" s="25" t="n"/>
      <c r="U9383" s="19">
        <f>IF($V9383&lt;&gt;'設定'!$C$4,N(U9382),IF(OR(NOT(COUNTIF('商品マスタ'!$B$6:$B$1005,$W9383)=0),COUNTIFS('①在庫を貼る'!$V$6:$V$10005,$V9383,'①在庫を貼る'!$W$6:$W$10005,$W9383)+COUNTIFS('月1回_1ヶ月前の在庫'!$V$6:$V$10005,$V9383,'月1回_1ヶ月前の在庫'!$W$6:$W$10005,$W9383)&gt;0),N(U9382),N(U9382)+1))</f>
        <v/>
      </c>
      <c r="V9383" s="19">
        <f>IF($B9383="","",TEXT($B9383,"0000"))</f>
        <v/>
      </c>
      <c r="W9383" s="19">
        <f>IF($I9383="","",IF(ISNUMBER($I9383),TEXT($I9383,"0"),$I9383))</f>
        <v/>
      </c>
    </row>
    <row r="9384">
      <c r="B9384" s="25" t="n"/>
      <c r="I9384" s="25" t="n"/>
      <c r="U9384" s="19">
        <f>IF($V9384&lt;&gt;'設定'!$C$4,N(U9383),IF(OR(NOT(COUNTIF('商品マスタ'!$B$6:$B$1005,$W9384)=0),COUNTIFS('①在庫を貼る'!$V$6:$V$10005,$V9384,'①在庫を貼る'!$W$6:$W$10005,$W9384)+COUNTIFS('月1回_1ヶ月前の在庫'!$V$6:$V$10005,$V9384,'月1回_1ヶ月前の在庫'!$W$6:$W$10005,$W9384)&gt;0),N(U9383),N(U9383)+1))</f>
        <v/>
      </c>
      <c r="V9384" s="19">
        <f>IF($B9384="","",TEXT($B9384,"0000"))</f>
        <v/>
      </c>
      <c r="W9384" s="19">
        <f>IF($I9384="","",IF(ISNUMBER($I9384),TEXT($I9384,"0"),$I9384))</f>
        <v/>
      </c>
    </row>
    <row r="9385">
      <c r="B9385" s="25" t="n"/>
      <c r="I9385" s="25" t="n"/>
      <c r="U9385" s="19">
        <f>IF($V9385&lt;&gt;'設定'!$C$4,N(U9384),IF(OR(NOT(COUNTIF('商品マスタ'!$B$6:$B$1005,$W9385)=0),COUNTIFS('①在庫を貼る'!$V$6:$V$10005,$V9385,'①在庫を貼る'!$W$6:$W$10005,$W9385)+COUNTIFS('月1回_1ヶ月前の在庫'!$V$6:$V$10005,$V9385,'月1回_1ヶ月前の在庫'!$W$6:$W$10005,$W9385)&gt;0),N(U9384),N(U9384)+1))</f>
        <v/>
      </c>
      <c r="V9385" s="19">
        <f>IF($B9385="","",TEXT($B9385,"0000"))</f>
        <v/>
      </c>
      <c r="W9385" s="19">
        <f>IF($I9385="","",IF(ISNUMBER($I9385),TEXT($I9385,"0"),$I9385))</f>
        <v/>
      </c>
    </row>
    <row r="9386">
      <c r="B9386" s="25" t="n"/>
      <c r="I9386" s="25" t="n"/>
      <c r="U9386" s="19">
        <f>IF($V9386&lt;&gt;'設定'!$C$4,N(U9385),IF(OR(NOT(COUNTIF('商品マスタ'!$B$6:$B$1005,$W9386)=0),COUNTIFS('①在庫を貼る'!$V$6:$V$10005,$V9386,'①在庫を貼る'!$W$6:$W$10005,$W9386)+COUNTIFS('月1回_1ヶ月前の在庫'!$V$6:$V$10005,$V9386,'月1回_1ヶ月前の在庫'!$W$6:$W$10005,$W9386)&gt;0),N(U9385),N(U9385)+1))</f>
        <v/>
      </c>
      <c r="V9386" s="19">
        <f>IF($B9386="","",TEXT($B9386,"0000"))</f>
        <v/>
      </c>
      <c r="W9386" s="19">
        <f>IF($I9386="","",IF(ISNUMBER($I9386),TEXT($I9386,"0"),$I9386))</f>
        <v/>
      </c>
    </row>
    <row r="9387">
      <c r="B9387" s="25" t="n"/>
      <c r="I9387" s="25" t="n"/>
      <c r="U9387" s="19">
        <f>IF($V9387&lt;&gt;'設定'!$C$4,N(U9386),IF(OR(NOT(COUNTIF('商品マスタ'!$B$6:$B$1005,$W9387)=0),COUNTIFS('①在庫を貼る'!$V$6:$V$10005,$V9387,'①在庫を貼る'!$W$6:$W$10005,$W9387)+COUNTIFS('月1回_1ヶ月前の在庫'!$V$6:$V$10005,$V9387,'月1回_1ヶ月前の在庫'!$W$6:$W$10005,$W9387)&gt;0),N(U9386),N(U9386)+1))</f>
        <v/>
      </c>
      <c r="V9387" s="19">
        <f>IF($B9387="","",TEXT($B9387,"0000"))</f>
        <v/>
      </c>
      <c r="W9387" s="19">
        <f>IF($I9387="","",IF(ISNUMBER($I9387),TEXT($I9387,"0"),$I9387))</f>
        <v/>
      </c>
    </row>
    <row r="9388">
      <c r="B9388" s="25" t="n"/>
      <c r="I9388" s="25" t="n"/>
      <c r="U9388" s="19">
        <f>IF($V9388&lt;&gt;'設定'!$C$4,N(U9387),IF(OR(NOT(COUNTIF('商品マスタ'!$B$6:$B$1005,$W9388)=0),COUNTIFS('①在庫を貼る'!$V$6:$V$10005,$V9388,'①在庫を貼る'!$W$6:$W$10005,$W9388)+COUNTIFS('月1回_1ヶ月前の在庫'!$V$6:$V$10005,$V9388,'月1回_1ヶ月前の在庫'!$W$6:$W$10005,$W9388)&gt;0),N(U9387),N(U9387)+1))</f>
        <v/>
      </c>
      <c r="V9388" s="19">
        <f>IF($B9388="","",TEXT($B9388,"0000"))</f>
        <v/>
      </c>
      <c r="W9388" s="19">
        <f>IF($I9388="","",IF(ISNUMBER($I9388),TEXT($I9388,"0"),$I9388))</f>
        <v/>
      </c>
    </row>
    <row r="9389">
      <c r="B9389" s="25" t="n"/>
      <c r="I9389" s="25" t="n"/>
      <c r="U9389" s="19">
        <f>IF($V9389&lt;&gt;'設定'!$C$4,N(U9388),IF(OR(NOT(COUNTIF('商品マスタ'!$B$6:$B$1005,$W9389)=0),COUNTIFS('①在庫を貼る'!$V$6:$V$10005,$V9389,'①在庫を貼る'!$W$6:$W$10005,$W9389)+COUNTIFS('月1回_1ヶ月前の在庫'!$V$6:$V$10005,$V9389,'月1回_1ヶ月前の在庫'!$W$6:$W$10005,$W9389)&gt;0),N(U9388),N(U9388)+1))</f>
        <v/>
      </c>
      <c r="V9389" s="19">
        <f>IF($B9389="","",TEXT($B9389,"0000"))</f>
        <v/>
      </c>
      <c r="W9389" s="19">
        <f>IF($I9389="","",IF(ISNUMBER($I9389),TEXT($I9389,"0"),$I9389))</f>
        <v/>
      </c>
    </row>
    <row r="9390">
      <c r="B9390" s="25" t="n"/>
      <c r="I9390" s="25" t="n"/>
      <c r="U9390" s="19">
        <f>IF($V9390&lt;&gt;'設定'!$C$4,N(U9389),IF(OR(NOT(COUNTIF('商品マスタ'!$B$6:$B$1005,$W9390)=0),COUNTIFS('①在庫を貼る'!$V$6:$V$10005,$V9390,'①在庫を貼る'!$W$6:$W$10005,$W9390)+COUNTIFS('月1回_1ヶ月前の在庫'!$V$6:$V$10005,$V9390,'月1回_1ヶ月前の在庫'!$W$6:$W$10005,$W9390)&gt;0),N(U9389),N(U9389)+1))</f>
        <v/>
      </c>
      <c r="V9390" s="19">
        <f>IF($B9390="","",TEXT($B9390,"0000"))</f>
        <v/>
      </c>
      <c r="W9390" s="19">
        <f>IF($I9390="","",IF(ISNUMBER($I9390),TEXT($I9390,"0"),$I9390))</f>
        <v/>
      </c>
    </row>
    <row r="9391">
      <c r="B9391" s="25" t="n"/>
      <c r="I9391" s="25" t="n"/>
      <c r="U9391" s="19">
        <f>IF($V9391&lt;&gt;'設定'!$C$4,N(U9390),IF(OR(NOT(COUNTIF('商品マスタ'!$B$6:$B$1005,$W9391)=0),COUNTIFS('①在庫を貼る'!$V$6:$V$10005,$V9391,'①在庫を貼る'!$W$6:$W$10005,$W9391)+COUNTIFS('月1回_1ヶ月前の在庫'!$V$6:$V$10005,$V9391,'月1回_1ヶ月前の在庫'!$W$6:$W$10005,$W9391)&gt;0),N(U9390),N(U9390)+1))</f>
        <v/>
      </c>
      <c r="V9391" s="19">
        <f>IF($B9391="","",TEXT($B9391,"0000"))</f>
        <v/>
      </c>
      <c r="W9391" s="19">
        <f>IF($I9391="","",IF(ISNUMBER($I9391),TEXT($I9391,"0"),$I9391))</f>
        <v/>
      </c>
    </row>
    <row r="9392">
      <c r="B9392" s="25" t="n"/>
      <c r="I9392" s="25" t="n"/>
      <c r="U9392" s="19">
        <f>IF($V9392&lt;&gt;'設定'!$C$4,N(U9391),IF(OR(NOT(COUNTIF('商品マスタ'!$B$6:$B$1005,$W9392)=0),COUNTIFS('①在庫を貼る'!$V$6:$V$10005,$V9392,'①在庫を貼る'!$W$6:$W$10005,$W9392)+COUNTIFS('月1回_1ヶ月前の在庫'!$V$6:$V$10005,$V9392,'月1回_1ヶ月前の在庫'!$W$6:$W$10005,$W9392)&gt;0),N(U9391),N(U9391)+1))</f>
        <v/>
      </c>
      <c r="V9392" s="19">
        <f>IF($B9392="","",TEXT($B9392,"0000"))</f>
        <v/>
      </c>
      <c r="W9392" s="19">
        <f>IF($I9392="","",IF(ISNUMBER($I9392),TEXT($I9392,"0"),$I9392))</f>
        <v/>
      </c>
    </row>
    <row r="9393">
      <c r="B9393" s="25" t="n"/>
      <c r="I9393" s="25" t="n"/>
      <c r="U9393" s="19">
        <f>IF($V9393&lt;&gt;'設定'!$C$4,N(U9392),IF(OR(NOT(COUNTIF('商品マスタ'!$B$6:$B$1005,$W9393)=0),COUNTIFS('①在庫を貼る'!$V$6:$V$10005,$V9393,'①在庫を貼る'!$W$6:$W$10005,$W9393)+COUNTIFS('月1回_1ヶ月前の在庫'!$V$6:$V$10005,$V9393,'月1回_1ヶ月前の在庫'!$W$6:$W$10005,$W9393)&gt;0),N(U9392),N(U9392)+1))</f>
        <v/>
      </c>
      <c r="V9393" s="19">
        <f>IF($B9393="","",TEXT($B9393,"0000"))</f>
        <v/>
      </c>
      <c r="W9393" s="19">
        <f>IF($I9393="","",IF(ISNUMBER($I9393),TEXT($I9393,"0"),$I9393))</f>
        <v/>
      </c>
    </row>
    <row r="9394">
      <c r="B9394" s="25" t="n"/>
      <c r="I9394" s="25" t="n"/>
      <c r="U9394" s="19">
        <f>IF($V9394&lt;&gt;'設定'!$C$4,N(U9393),IF(OR(NOT(COUNTIF('商品マスタ'!$B$6:$B$1005,$W9394)=0),COUNTIFS('①在庫を貼る'!$V$6:$V$10005,$V9394,'①在庫を貼る'!$W$6:$W$10005,$W9394)+COUNTIFS('月1回_1ヶ月前の在庫'!$V$6:$V$10005,$V9394,'月1回_1ヶ月前の在庫'!$W$6:$W$10005,$W9394)&gt;0),N(U9393),N(U9393)+1))</f>
        <v/>
      </c>
      <c r="V9394" s="19">
        <f>IF($B9394="","",TEXT($B9394,"0000"))</f>
        <v/>
      </c>
      <c r="W9394" s="19">
        <f>IF($I9394="","",IF(ISNUMBER($I9394),TEXT($I9394,"0"),$I9394))</f>
        <v/>
      </c>
    </row>
    <row r="9395">
      <c r="B9395" s="25" t="n"/>
      <c r="I9395" s="25" t="n"/>
      <c r="U9395" s="19">
        <f>IF($V9395&lt;&gt;'設定'!$C$4,N(U9394),IF(OR(NOT(COUNTIF('商品マスタ'!$B$6:$B$1005,$W9395)=0),COUNTIFS('①在庫を貼る'!$V$6:$V$10005,$V9395,'①在庫を貼る'!$W$6:$W$10005,$W9395)+COUNTIFS('月1回_1ヶ月前の在庫'!$V$6:$V$10005,$V9395,'月1回_1ヶ月前の在庫'!$W$6:$W$10005,$W9395)&gt;0),N(U9394),N(U9394)+1))</f>
        <v/>
      </c>
      <c r="V9395" s="19">
        <f>IF($B9395="","",TEXT($B9395,"0000"))</f>
        <v/>
      </c>
      <c r="W9395" s="19">
        <f>IF($I9395="","",IF(ISNUMBER($I9395),TEXT($I9395,"0"),$I9395))</f>
        <v/>
      </c>
    </row>
    <row r="9396">
      <c r="B9396" s="25" t="n"/>
      <c r="I9396" s="25" t="n"/>
      <c r="U9396" s="19">
        <f>IF($V9396&lt;&gt;'設定'!$C$4,N(U9395),IF(OR(NOT(COUNTIF('商品マスタ'!$B$6:$B$1005,$W9396)=0),COUNTIFS('①在庫を貼る'!$V$6:$V$10005,$V9396,'①在庫を貼る'!$W$6:$W$10005,$W9396)+COUNTIFS('月1回_1ヶ月前の在庫'!$V$6:$V$10005,$V9396,'月1回_1ヶ月前の在庫'!$W$6:$W$10005,$W9396)&gt;0),N(U9395),N(U9395)+1))</f>
        <v/>
      </c>
      <c r="V9396" s="19">
        <f>IF($B9396="","",TEXT($B9396,"0000"))</f>
        <v/>
      </c>
      <c r="W9396" s="19">
        <f>IF($I9396="","",IF(ISNUMBER($I9396),TEXT($I9396,"0"),$I9396))</f>
        <v/>
      </c>
    </row>
    <row r="9397">
      <c r="B9397" s="25" t="n"/>
      <c r="I9397" s="25" t="n"/>
      <c r="U9397" s="19">
        <f>IF($V9397&lt;&gt;'設定'!$C$4,N(U9396),IF(OR(NOT(COUNTIF('商品マスタ'!$B$6:$B$1005,$W9397)=0),COUNTIFS('①在庫を貼る'!$V$6:$V$10005,$V9397,'①在庫を貼る'!$W$6:$W$10005,$W9397)+COUNTIFS('月1回_1ヶ月前の在庫'!$V$6:$V$10005,$V9397,'月1回_1ヶ月前の在庫'!$W$6:$W$10005,$W9397)&gt;0),N(U9396),N(U9396)+1))</f>
        <v/>
      </c>
      <c r="V9397" s="19">
        <f>IF($B9397="","",TEXT($B9397,"0000"))</f>
        <v/>
      </c>
      <c r="W9397" s="19">
        <f>IF($I9397="","",IF(ISNUMBER($I9397),TEXT($I9397,"0"),$I9397))</f>
        <v/>
      </c>
    </row>
    <row r="9398">
      <c r="B9398" s="25" t="n"/>
      <c r="I9398" s="25" t="n"/>
      <c r="U9398" s="19">
        <f>IF($V9398&lt;&gt;'設定'!$C$4,N(U9397),IF(OR(NOT(COUNTIF('商品マスタ'!$B$6:$B$1005,$W9398)=0),COUNTIFS('①在庫を貼る'!$V$6:$V$10005,$V9398,'①在庫を貼る'!$W$6:$W$10005,$W9398)+COUNTIFS('月1回_1ヶ月前の在庫'!$V$6:$V$10005,$V9398,'月1回_1ヶ月前の在庫'!$W$6:$W$10005,$W9398)&gt;0),N(U9397),N(U9397)+1))</f>
        <v/>
      </c>
      <c r="V9398" s="19">
        <f>IF($B9398="","",TEXT($B9398,"0000"))</f>
        <v/>
      </c>
      <c r="W9398" s="19">
        <f>IF($I9398="","",IF(ISNUMBER($I9398),TEXT($I9398,"0"),$I9398))</f>
        <v/>
      </c>
    </row>
    <row r="9399">
      <c r="B9399" s="25" t="n"/>
      <c r="I9399" s="25" t="n"/>
      <c r="U9399" s="19">
        <f>IF($V9399&lt;&gt;'設定'!$C$4,N(U9398),IF(OR(NOT(COUNTIF('商品マスタ'!$B$6:$B$1005,$W9399)=0),COUNTIFS('①在庫を貼る'!$V$6:$V$10005,$V9399,'①在庫を貼る'!$W$6:$W$10005,$W9399)+COUNTIFS('月1回_1ヶ月前の在庫'!$V$6:$V$10005,$V9399,'月1回_1ヶ月前の在庫'!$W$6:$W$10005,$W9399)&gt;0),N(U9398),N(U9398)+1))</f>
        <v/>
      </c>
      <c r="V9399" s="19">
        <f>IF($B9399="","",TEXT($B9399,"0000"))</f>
        <v/>
      </c>
      <c r="W9399" s="19">
        <f>IF($I9399="","",IF(ISNUMBER($I9399),TEXT($I9399,"0"),$I9399))</f>
        <v/>
      </c>
    </row>
    <row r="9400">
      <c r="B9400" s="25" t="n"/>
      <c r="I9400" s="25" t="n"/>
      <c r="U9400" s="19">
        <f>IF($V9400&lt;&gt;'設定'!$C$4,N(U9399),IF(OR(NOT(COUNTIF('商品マスタ'!$B$6:$B$1005,$W9400)=0),COUNTIFS('①在庫を貼る'!$V$6:$V$10005,$V9400,'①在庫を貼る'!$W$6:$W$10005,$W9400)+COUNTIFS('月1回_1ヶ月前の在庫'!$V$6:$V$10005,$V9400,'月1回_1ヶ月前の在庫'!$W$6:$W$10005,$W9400)&gt;0),N(U9399),N(U9399)+1))</f>
        <v/>
      </c>
      <c r="V9400" s="19">
        <f>IF($B9400="","",TEXT($B9400,"0000"))</f>
        <v/>
      </c>
      <c r="W9400" s="19">
        <f>IF($I9400="","",IF(ISNUMBER($I9400),TEXT($I9400,"0"),$I9400))</f>
        <v/>
      </c>
    </row>
    <row r="9401">
      <c r="B9401" s="25" t="n"/>
      <c r="I9401" s="25" t="n"/>
      <c r="U9401" s="19">
        <f>IF($V9401&lt;&gt;'設定'!$C$4,N(U9400),IF(OR(NOT(COUNTIF('商品マスタ'!$B$6:$B$1005,$W9401)=0),COUNTIFS('①在庫を貼る'!$V$6:$V$10005,$V9401,'①在庫を貼る'!$W$6:$W$10005,$W9401)+COUNTIFS('月1回_1ヶ月前の在庫'!$V$6:$V$10005,$V9401,'月1回_1ヶ月前の在庫'!$W$6:$W$10005,$W9401)&gt;0),N(U9400),N(U9400)+1))</f>
        <v/>
      </c>
      <c r="V9401" s="19">
        <f>IF($B9401="","",TEXT($B9401,"0000"))</f>
        <v/>
      </c>
      <c r="W9401" s="19">
        <f>IF($I9401="","",IF(ISNUMBER($I9401),TEXT($I9401,"0"),$I9401))</f>
        <v/>
      </c>
    </row>
    <row r="9402">
      <c r="B9402" s="25" t="n"/>
      <c r="I9402" s="25" t="n"/>
      <c r="U9402" s="19">
        <f>IF($V9402&lt;&gt;'設定'!$C$4,N(U9401),IF(OR(NOT(COUNTIF('商品マスタ'!$B$6:$B$1005,$W9402)=0),COUNTIFS('①在庫を貼る'!$V$6:$V$10005,$V9402,'①在庫を貼る'!$W$6:$W$10005,$W9402)+COUNTIFS('月1回_1ヶ月前の在庫'!$V$6:$V$10005,$V9402,'月1回_1ヶ月前の在庫'!$W$6:$W$10005,$W9402)&gt;0),N(U9401),N(U9401)+1))</f>
        <v/>
      </c>
      <c r="V9402" s="19">
        <f>IF($B9402="","",TEXT($B9402,"0000"))</f>
        <v/>
      </c>
      <c r="W9402" s="19">
        <f>IF($I9402="","",IF(ISNUMBER($I9402),TEXT($I9402,"0"),$I9402))</f>
        <v/>
      </c>
    </row>
    <row r="9403">
      <c r="B9403" s="25" t="n"/>
      <c r="I9403" s="25" t="n"/>
      <c r="U9403" s="19">
        <f>IF($V9403&lt;&gt;'設定'!$C$4,N(U9402),IF(OR(NOT(COUNTIF('商品マスタ'!$B$6:$B$1005,$W9403)=0),COUNTIFS('①在庫を貼る'!$V$6:$V$10005,$V9403,'①在庫を貼る'!$W$6:$W$10005,$W9403)+COUNTIFS('月1回_1ヶ月前の在庫'!$V$6:$V$10005,$V9403,'月1回_1ヶ月前の在庫'!$W$6:$W$10005,$W9403)&gt;0),N(U9402),N(U9402)+1))</f>
        <v/>
      </c>
      <c r="V9403" s="19">
        <f>IF($B9403="","",TEXT($B9403,"0000"))</f>
        <v/>
      </c>
      <c r="W9403" s="19">
        <f>IF($I9403="","",IF(ISNUMBER($I9403),TEXT($I9403,"0"),$I9403))</f>
        <v/>
      </c>
    </row>
    <row r="9404">
      <c r="B9404" s="25" t="n"/>
      <c r="I9404" s="25" t="n"/>
      <c r="U9404" s="19">
        <f>IF($V9404&lt;&gt;'設定'!$C$4,N(U9403),IF(OR(NOT(COUNTIF('商品マスタ'!$B$6:$B$1005,$W9404)=0),COUNTIFS('①在庫を貼る'!$V$6:$V$10005,$V9404,'①在庫を貼る'!$W$6:$W$10005,$W9404)+COUNTIFS('月1回_1ヶ月前の在庫'!$V$6:$V$10005,$V9404,'月1回_1ヶ月前の在庫'!$W$6:$W$10005,$W9404)&gt;0),N(U9403),N(U9403)+1))</f>
        <v/>
      </c>
      <c r="V9404" s="19">
        <f>IF($B9404="","",TEXT($B9404,"0000"))</f>
        <v/>
      </c>
      <c r="W9404" s="19">
        <f>IF($I9404="","",IF(ISNUMBER($I9404),TEXT($I9404,"0"),$I9404))</f>
        <v/>
      </c>
    </row>
    <row r="9405">
      <c r="B9405" s="25" t="n"/>
      <c r="I9405" s="25" t="n"/>
      <c r="U9405" s="19">
        <f>IF($V9405&lt;&gt;'設定'!$C$4,N(U9404),IF(OR(NOT(COUNTIF('商品マスタ'!$B$6:$B$1005,$W9405)=0),COUNTIFS('①在庫を貼る'!$V$6:$V$10005,$V9405,'①在庫を貼る'!$W$6:$W$10005,$W9405)+COUNTIFS('月1回_1ヶ月前の在庫'!$V$6:$V$10005,$V9405,'月1回_1ヶ月前の在庫'!$W$6:$W$10005,$W9405)&gt;0),N(U9404),N(U9404)+1))</f>
        <v/>
      </c>
      <c r="V9405" s="19">
        <f>IF($B9405="","",TEXT($B9405,"0000"))</f>
        <v/>
      </c>
      <c r="W9405" s="19">
        <f>IF($I9405="","",IF(ISNUMBER($I9405),TEXT($I9405,"0"),$I9405))</f>
        <v/>
      </c>
    </row>
    <row r="9406">
      <c r="B9406" s="25" t="n"/>
      <c r="I9406" s="25" t="n"/>
      <c r="U9406" s="19">
        <f>IF($V9406&lt;&gt;'設定'!$C$4,N(U9405),IF(OR(NOT(COUNTIF('商品マスタ'!$B$6:$B$1005,$W9406)=0),COUNTIFS('①在庫を貼る'!$V$6:$V$10005,$V9406,'①在庫を貼る'!$W$6:$W$10005,$W9406)+COUNTIFS('月1回_1ヶ月前の在庫'!$V$6:$V$10005,$V9406,'月1回_1ヶ月前の在庫'!$W$6:$W$10005,$W9406)&gt;0),N(U9405),N(U9405)+1))</f>
        <v/>
      </c>
      <c r="V9406" s="19">
        <f>IF($B9406="","",TEXT($B9406,"0000"))</f>
        <v/>
      </c>
      <c r="W9406" s="19">
        <f>IF($I9406="","",IF(ISNUMBER($I9406),TEXT($I9406,"0"),$I9406))</f>
        <v/>
      </c>
    </row>
    <row r="9407">
      <c r="B9407" s="25" t="n"/>
      <c r="I9407" s="25" t="n"/>
      <c r="U9407" s="19">
        <f>IF($V9407&lt;&gt;'設定'!$C$4,N(U9406),IF(OR(NOT(COUNTIF('商品マスタ'!$B$6:$B$1005,$W9407)=0),COUNTIFS('①在庫を貼る'!$V$6:$V$10005,$V9407,'①在庫を貼る'!$W$6:$W$10005,$W9407)+COUNTIFS('月1回_1ヶ月前の在庫'!$V$6:$V$10005,$V9407,'月1回_1ヶ月前の在庫'!$W$6:$W$10005,$W9407)&gt;0),N(U9406),N(U9406)+1))</f>
        <v/>
      </c>
      <c r="V9407" s="19">
        <f>IF($B9407="","",TEXT($B9407,"0000"))</f>
        <v/>
      </c>
      <c r="W9407" s="19">
        <f>IF($I9407="","",IF(ISNUMBER($I9407),TEXT($I9407,"0"),$I9407))</f>
        <v/>
      </c>
    </row>
    <row r="9408">
      <c r="B9408" s="25" t="n"/>
      <c r="I9408" s="25" t="n"/>
      <c r="U9408" s="19">
        <f>IF($V9408&lt;&gt;'設定'!$C$4,N(U9407),IF(OR(NOT(COUNTIF('商品マスタ'!$B$6:$B$1005,$W9408)=0),COUNTIFS('①在庫を貼る'!$V$6:$V$10005,$V9408,'①在庫を貼る'!$W$6:$W$10005,$W9408)+COUNTIFS('月1回_1ヶ月前の在庫'!$V$6:$V$10005,$V9408,'月1回_1ヶ月前の在庫'!$W$6:$W$10005,$W9408)&gt;0),N(U9407),N(U9407)+1))</f>
        <v/>
      </c>
      <c r="V9408" s="19">
        <f>IF($B9408="","",TEXT($B9408,"0000"))</f>
        <v/>
      </c>
      <c r="W9408" s="19">
        <f>IF($I9408="","",IF(ISNUMBER($I9408),TEXT($I9408,"0"),$I9408))</f>
        <v/>
      </c>
    </row>
    <row r="9409">
      <c r="B9409" s="25" t="n"/>
      <c r="I9409" s="25" t="n"/>
      <c r="U9409" s="19">
        <f>IF($V9409&lt;&gt;'設定'!$C$4,N(U9408),IF(OR(NOT(COUNTIF('商品マスタ'!$B$6:$B$1005,$W9409)=0),COUNTIFS('①在庫を貼る'!$V$6:$V$10005,$V9409,'①在庫を貼る'!$W$6:$W$10005,$W9409)+COUNTIFS('月1回_1ヶ月前の在庫'!$V$6:$V$10005,$V9409,'月1回_1ヶ月前の在庫'!$W$6:$W$10005,$W9409)&gt;0),N(U9408),N(U9408)+1))</f>
        <v/>
      </c>
      <c r="V9409" s="19">
        <f>IF($B9409="","",TEXT($B9409,"0000"))</f>
        <v/>
      </c>
      <c r="W9409" s="19">
        <f>IF($I9409="","",IF(ISNUMBER($I9409),TEXT($I9409,"0"),$I9409))</f>
        <v/>
      </c>
    </row>
    <row r="9410">
      <c r="B9410" s="25" t="n"/>
      <c r="I9410" s="25" t="n"/>
      <c r="U9410" s="19">
        <f>IF($V9410&lt;&gt;'設定'!$C$4,N(U9409),IF(OR(NOT(COUNTIF('商品マスタ'!$B$6:$B$1005,$W9410)=0),COUNTIFS('①在庫を貼る'!$V$6:$V$10005,$V9410,'①在庫を貼る'!$W$6:$W$10005,$W9410)+COUNTIFS('月1回_1ヶ月前の在庫'!$V$6:$V$10005,$V9410,'月1回_1ヶ月前の在庫'!$W$6:$W$10005,$W9410)&gt;0),N(U9409),N(U9409)+1))</f>
        <v/>
      </c>
      <c r="V9410" s="19">
        <f>IF($B9410="","",TEXT($B9410,"0000"))</f>
        <v/>
      </c>
      <c r="W9410" s="19">
        <f>IF($I9410="","",IF(ISNUMBER($I9410),TEXT($I9410,"0"),$I9410))</f>
        <v/>
      </c>
    </row>
    <row r="9411">
      <c r="B9411" s="25" t="n"/>
      <c r="I9411" s="25" t="n"/>
      <c r="U9411" s="19">
        <f>IF($V9411&lt;&gt;'設定'!$C$4,N(U9410),IF(OR(NOT(COUNTIF('商品マスタ'!$B$6:$B$1005,$W9411)=0),COUNTIFS('①在庫を貼る'!$V$6:$V$10005,$V9411,'①在庫を貼る'!$W$6:$W$10005,$W9411)+COUNTIFS('月1回_1ヶ月前の在庫'!$V$6:$V$10005,$V9411,'月1回_1ヶ月前の在庫'!$W$6:$W$10005,$W9411)&gt;0),N(U9410),N(U9410)+1))</f>
        <v/>
      </c>
      <c r="V9411" s="19">
        <f>IF($B9411="","",TEXT($B9411,"0000"))</f>
        <v/>
      </c>
      <c r="W9411" s="19">
        <f>IF($I9411="","",IF(ISNUMBER($I9411),TEXT($I9411,"0"),$I9411))</f>
        <v/>
      </c>
    </row>
    <row r="9412">
      <c r="B9412" s="25" t="n"/>
      <c r="I9412" s="25" t="n"/>
      <c r="U9412" s="19">
        <f>IF($V9412&lt;&gt;'設定'!$C$4,N(U9411),IF(OR(NOT(COUNTIF('商品マスタ'!$B$6:$B$1005,$W9412)=0),COUNTIFS('①在庫を貼る'!$V$6:$V$10005,$V9412,'①在庫を貼る'!$W$6:$W$10005,$W9412)+COUNTIFS('月1回_1ヶ月前の在庫'!$V$6:$V$10005,$V9412,'月1回_1ヶ月前の在庫'!$W$6:$W$10005,$W9412)&gt;0),N(U9411),N(U9411)+1))</f>
        <v/>
      </c>
      <c r="V9412" s="19">
        <f>IF($B9412="","",TEXT($B9412,"0000"))</f>
        <v/>
      </c>
      <c r="W9412" s="19">
        <f>IF($I9412="","",IF(ISNUMBER($I9412),TEXT($I9412,"0"),$I9412))</f>
        <v/>
      </c>
    </row>
    <row r="9413">
      <c r="B9413" s="25" t="n"/>
      <c r="I9413" s="25" t="n"/>
      <c r="U9413" s="19">
        <f>IF($V9413&lt;&gt;'設定'!$C$4,N(U9412),IF(OR(NOT(COUNTIF('商品マスタ'!$B$6:$B$1005,$W9413)=0),COUNTIFS('①在庫を貼る'!$V$6:$V$10005,$V9413,'①在庫を貼る'!$W$6:$W$10005,$W9413)+COUNTIFS('月1回_1ヶ月前の在庫'!$V$6:$V$10005,$V9413,'月1回_1ヶ月前の在庫'!$W$6:$W$10005,$W9413)&gt;0),N(U9412),N(U9412)+1))</f>
        <v/>
      </c>
      <c r="V9413" s="19">
        <f>IF($B9413="","",TEXT($B9413,"0000"))</f>
        <v/>
      </c>
      <c r="W9413" s="19">
        <f>IF($I9413="","",IF(ISNUMBER($I9413),TEXT($I9413,"0"),$I9413))</f>
        <v/>
      </c>
    </row>
    <row r="9414">
      <c r="B9414" s="25" t="n"/>
      <c r="I9414" s="25" t="n"/>
      <c r="U9414" s="19">
        <f>IF($V9414&lt;&gt;'設定'!$C$4,N(U9413),IF(OR(NOT(COUNTIF('商品マスタ'!$B$6:$B$1005,$W9414)=0),COUNTIFS('①在庫を貼る'!$V$6:$V$10005,$V9414,'①在庫を貼る'!$W$6:$W$10005,$W9414)+COUNTIFS('月1回_1ヶ月前の在庫'!$V$6:$V$10005,$V9414,'月1回_1ヶ月前の在庫'!$W$6:$W$10005,$W9414)&gt;0),N(U9413),N(U9413)+1))</f>
        <v/>
      </c>
      <c r="V9414" s="19">
        <f>IF($B9414="","",TEXT($B9414,"0000"))</f>
        <v/>
      </c>
      <c r="W9414" s="19">
        <f>IF($I9414="","",IF(ISNUMBER($I9414),TEXT($I9414,"0"),$I9414))</f>
        <v/>
      </c>
    </row>
    <row r="9415">
      <c r="B9415" s="25" t="n"/>
      <c r="I9415" s="25" t="n"/>
      <c r="U9415" s="19">
        <f>IF($V9415&lt;&gt;'設定'!$C$4,N(U9414),IF(OR(NOT(COUNTIF('商品マスタ'!$B$6:$B$1005,$W9415)=0),COUNTIFS('①在庫を貼る'!$V$6:$V$10005,$V9415,'①在庫を貼る'!$W$6:$W$10005,$W9415)+COUNTIFS('月1回_1ヶ月前の在庫'!$V$6:$V$10005,$V9415,'月1回_1ヶ月前の在庫'!$W$6:$W$10005,$W9415)&gt;0),N(U9414),N(U9414)+1))</f>
        <v/>
      </c>
      <c r="V9415" s="19">
        <f>IF($B9415="","",TEXT($B9415,"0000"))</f>
        <v/>
      </c>
      <c r="W9415" s="19">
        <f>IF($I9415="","",IF(ISNUMBER($I9415),TEXT($I9415,"0"),$I9415))</f>
        <v/>
      </c>
    </row>
    <row r="9416">
      <c r="B9416" s="25" t="n"/>
      <c r="I9416" s="25" t="n"/>
      <c r="U9416" s="19">
        <f>IF($V9416&lt;&gt;'設定'!$C$4,N(U9415),IF(OR(NOT(COUNTIF('商品マスタ'!$B$6:$B$1005,$W9416)=0),COUNTIFS('①在庫を貼る'!$V$6:$V$10005,$V9416,'①在庫を貼る'!$W$6:$W$10005,$W9416)+COUNTIFS('月1回_1ヶ月前の在庫'!$V$6:$V$10005,$V9416,'月1回_1ヶ月前の在庫'!$W$6:$W$10005,$W9416)&gt;0),N(U9415),N(U9415)+1))</f>
        <v/>
      </c>
      <c r="V9416" s="19">
        <f>IF($B9416="","",TEXT($B9416,"0000"))</f>
        <v/>
      </c>
      <c r="W9416" s="19">
        <f>IF($I9416="","",IF(ISNUMBER($I9416),TEXT($I9416,"0"),$I9416))</f>
        <v/>
      </c>
    </row>
    <row r="9417">
      <c r="B9417" s="25" t="n"/>
      <c r="I9417" s="25" t="n"/>
      <c r="U9417" s="19">
        <f>IF($V9417&lt;&gt;'設定'!$C$4,N(U9416),IF(OR(NOT(COUNTIF('商品マスタ'!$B$6:$B$1005,$W9417)=0),COUNTIFS('①在庫を貼る'!$V$6:$V$10005,$V9417,'①在庫を貼る'!$W$6:$W$10005,$W9417)+COUNTIFS('月1回_1ヶ月前の在庫'!$V$6:$V$10005,$V9417,'月1回_1ヶ月前の在庫'!$W$6:$W$10005,$W9417)&gt;0),N(U9416),N(U9416)+1))</f>
        <v/>
      </c>
      <c r="V9417" s="19">
        <f>IF($B9417="","",TEXT($B9417,"0000"))</f>
        <v/>
      </c>
      <c r="W9417" s="19">
        <f>IF($I9417="","",IF(ISNUMBER($I9417),TEXT($I9417,"0"),$I9417))</f>
        <v/>
      </c>
    </row>
    <row r="9418">
      <c r="B9418" s="25" t="n"/>
      <c r="I9418" s="25" t="n"/>
      <c r="U9418" s="19">
        <f>IF($V9418&lt;&gt;'設定'!$C$4,N(U9417),IF(OR(NOT(COUNTIF('商品マスタ'!$B$6:$B$1005,$W9418)=0),COUNTIFS('①在庫を貼る'!$V$6:$V$10005,$V9418,'①在庫を貼る'!$W$6:$W$10005,$W9418)+COUNTIFS('月1回_1ヶ月前の在庫'!$V$6:$V$10005,$V9418,'月1回_1ヶ月前の在庫'!$W$6:$W$10005,$W9418)&gt;0),N(U9417),N(U9417)+1))</f>
        <v/>
      </c>
      <c r="V9418" s="19">
        <f>IF($B9418="","",TEXT($B9418,"0000"))</f>
        <v/>
      </c>
      <c r="W9418" s="19">
        <f>IF($I9418="","",IF(ISNUMBER($I9418),TEXT($I9418,"0"),$I9418))</f>
        <v/>
      </c>
    </row>
    <row r="9419">
      <c r="B9419" s="25" t="n"/>
      <c r="I9419" s="25" t="n"/>
      <c r="U9419" s="19">
        <f>IF($V9419&lt;&gt;'設定'!$C$4,N(U9418),IF(OR(NOT(COUNTIF('商品マスタ'!$B$6:$B$1005,$W9419)=0),COUNTIFS('①在庫を貼る'!$V$6:$V$10005,$V9419,'①在庫を貼る'!$W$6:$W$10005,$W9419)+COUNTIFS('月1回_1ヶ月前の在庫'!$V$6:$V$10005,$V9419,'月1回_1ヶ月前の在庫'!$W$6:$W$10005,$W9419)&gt;0),N(U9418),N(U9418)+1))</f>
        <v/>
      </c>
      <c r="V9419" s="19">
        <f>IF($B9419="","",TEXT($B9419,"0000"))</f>
        <v/>
      </c>
      <c r="W9419" s="19">
        <f>IF($I9419="","",IF(ISNUMBER($I9419),TEXT($I9419,"0"),$I9419))</f>
        <v/>
      </c>
    </row>
    <row r="9420">
      <c r="B9420" s="25" t="n"/>
      <c r="I9420" s="25" t="n"/>
      <c r="U9420" s="19">
        <f>IF($V9420&lt;&gt;'設定'!$C$4,N(U9419),IF(OR(NOT(COUNTIF('商品マスタ'!$B$6:$B$1005,$W9420)=0),COUNTIFS('①在庫を貼る'!$V$6:$V$10005,$V9420,'①在庫を貼る'!$W$6:$W$10005,$W9420)+COUNTIFS('月1回_1ヶ月前の在庫'!$V$6:$V$10005,$V9420,'月1回_1ヶ月前の在庫'!$W$6:$W$10005,$W9420)&gt;0),N(U9419),N(U9419)+1))</f>
        <v/>
      </c>
      <c r="V9420" s="19">
        <f>IF($B9420="","",TEXT($B9420,"0000"))</f>
        <v/>
      </c>
      <c r="W9420" s="19">
        <f>IF($I9420="","",IF(ISNUMBER($I9420),TEXT($I9420,"0"),$I9420))</f>
        <v/>
      </c>
    </row>
    <row r="9421">
      <c r="B9421" s="25" t="n"/>
      <c r="I9421" s="25" t="n"/>
      <c r="U9421" s="19">
        <f>IF($V9421&lt;&gt;'設定'!$C$4,N(U9420),IF(OR(NOT(COUNTIF('商品マスタ'!$B$6:$B$1005,$W9421)=0),COUNTIFS('①在庫を貼る'!$V$6:$V$10005,$V9421,'①在庫を貼る'!$W$6:$W$10005,$W9421)+COUNTIFS('月1回_1ヶ月前の在庫'!$V$6:$V$10005,$V9421,'月1回_1ヶ月前の在庫'!$W$6:$W$10005,$W9421)&gt;0),N(U9420),N(U9420)+1))</f>
        <v/>
      </c>
      <c r="V9421" s="19">
        <f>IF($B9421="","",TEXT($B9421,"0000"))</f>
        <v/>
      </c>
      <c r="W9421" s="19">
        <f>IF($I9421="","",IF(ISNUMBER($I9421),TEXT($I9421,"0"),$I9421))</f>
        <v/>
      </c>
    </row>
    <row r="9422">
      <c r="B9422" s="25" t="n"/>
      <c r="I9422" s="25" t="n"/>
      <c r="U9422" s="19">
        <f>IF($V9422&lt;&gt;'設定'!$C$4,N(U9421),IF(OR(NOT(COUNTIF('商品マスタ'!$B$6:$B$1005,$W9422)=0),COUNTIFS('①在庫を貼る'!$V$6:$V$10005,$V9422,'①在庫を貼る'!$W$6:$W$10005,$W9422)+COUNTIFS('月1回_1ヶ月前の在庫'!$V$6:$V$10005,$V9422,'月1回_1ヶ月前の在庫'!$W$6:$W$10005,$W9422)&gt;0),N(U9421),N(U9421)+1))</f>
        <v/>
      </c>
      <c r="V9422" s="19">
        <f>IF($B9422="","",TEXT($B9422,"0000"))</f>
        <v/>
      </c>
      <c r="W9422" s="19">
        <f>IF($I9422="","",IF(ISNUMBER($I9422),TEXT($I9422,"0"),$I9422))</f>
        <v/>
      </c>
    </row>
    <row r="9423">
      <c r="B9423" s="25" t="n"/>
      <c r="I9423" s="25" t="n"/>
      <c r="U9423" s="19">
        <f>IF($V9423&lt;&gt;'設定'!$C$4,N(U9422),IF(OR(NOT(COUNTIF('商品マスタ'!$B$6:$B$1005,$W9423)=0),COUNTIFS('①在庫を貼る'!$V$6:$V$10005,$V9423,'①在庫を貼る'!$W$6:$W$10005,$W9423)+COUNTIFS('月1回_1ヶ月前の在庫'!$V$6:$V$10005,$V9423,'月1回_1ヶ月前の在庫'!$W$6:$W$10005,$W9423)&gt;0),N(U9422),N(U9422)+1))</f>
        <v/>
      </c>
      <c r="V9423" s="19">
        <f>IF($B9423="","",TEXT($B9423,"0000"))</f>
        <v/>
      </c>
      <c r="W9423" s="19">
        <f>IF($I9423="","",IF(ISNUMBER($I9423),TEXT($I9423,"0"),$I9423))</f>
        <v/>
      </c>
    </row>
    <row r="9424">
      <c r="B9424" s="25" t="n"/>
      <c r="I9424" s="25" t="n"/>
      <c r="U9424" s="19">
        <f>IF($V9424&lt;&gt;'設定'!$C$4,N(U9423),IF(OR(NOT(COUNTIF('商品マスタ'!$B$6:$B$1005,$W9424)=0),COUNTIFS('①在庫を貼る'!$V$6:$V$10005,$V9424,'①在庫を貼る'!$W$6:$W$10005,$W9424)+COUNTIFS('月1回_1ヶ月前の在庫'!$V$6:$V$10005,$V9424,'月1回_1ヶ月前の在庫'!$W$6:$W$10005,$W9424)&gt;0),N(U9423),N(U9423)+1))</f>
        <v/>
      </c>
      <c r="V9424" s="19">
        <f>IF($B9424="","",TEXT($B9424,"0000"))</f>
        <v/>
      </c>
      <c r="W9424" s="19">
        <f>IF($I9424="","",IF(ISNUMBER($I9424),TEXT($I9424,"0"),$I9424))</f>
        <v/>
      </c>
    </row>
    <row r="9425">
      <c r="B9425" s="25" t="n"/>
      <c r="I9425" s="25" t="n"/>
      <c r="U9425" s="19">
        <f>IF($V9425&lt;&gt;'設定'!$C$4,N(U9424),IF(OR(NOT(COUNTIF('商品マスタ'!$B$6:$B$1005,$W9425)=0),COUNTIFS('①在庫を貼る'!$V$6:$V$10005,$V9425,'①在庫を貼る'!$W$6:$W$10005,$W9425)+COUNTIFS('月1回_1ヶ月前の在庫'!$V$6:$V$10005,$V9425,'月1回_1ヶ月前の在庫'!$W$6:$W$10005,$W9425)&gt;0),N(U9424),N(U9424)+1))</f>
        <v/>
      </c>
      <c r="V9425" s="19">
        <f>IF($B9425="","",TEXT($B9425,"0000"))</f>
        <v/>
      </c>
      <c r="W9425" s="19">
        <f>IF($I9425="","",IF(ISNUMBER($I9425),TEXT($I9425,"0"),$I9425))</f>
        <v/>
      </c>
    </row>
    <row r="9426">
      <c r="B9426" s="25" t="n"/>
      <c r="I9426" s="25" t="n"/>
      <c r="U9426" s="19">
        <f>IF($V9426&lt;&gt;'設定'!$C$4,N(U9425),IF(OR(NOT(COUNTIF('商品マスタ'!$B$6:$B$1005,$W9426)=0),COUNTIFS('①在庫を貼る'!$V$6:$V$10005,$V9426,'①在庫を貼る'!$W$6:$W$10005,$W9426)+COUNTIFS('月1回_1ヶ月前の在庫'!$V$6:$V$10005,$V9426,'月1回_1ヶ月前の在庫'!$W$6:$W$10005,$W9426)&gt;0),N(U9425),N(U9425)+1))</f>
        <v/>
      </c>
      <c r="V9426" s="19">
        <f>IF($B9426="","",TEXT($B9426,"0000"))</f>
        <v/>
      </c>
      <c r="W9426" s="19">
        <f>IF($I9426="","",IF(ISNUMBER($I9426),TEXT($I9426,"0"),$I9426))</f>
        <v/>
      </c>
    </row>
    <row r="9427">
      <c r="B9427" s="25" t="n"/>
      <c r="I9427" s="25" t="n"/>
      <c r="U9427" s="19">
        <f>IF($V9427&lt;&gt;'設定'!$C$4,N(U9426),IF(OR(NOT(COUNTIF('商品マスタ'!$B$6:$B$1005,$W9427)=0),COUNTIFS('①在庫を貼る'!$V$6:$V$10005,$V9427,'①在庫を貼る'!$W$6:$W$10005,$W9427)+COUNTIFS('月1回_1ヶ月前の在庫'!$V$6:$V$10005,$V9427,'月1回_1ヶ月前の在庫'!$W$6:$W$10005,$W9427)&gt;0),N(U9426),N(U9426)+1))</f>
        <v/>
      </c>
      <c r="V9427" s="19">
        <f>IF($B9427="","",TEXT($B9427,"0000"))</f>
        <v/>
      </c>
      <c r="W9427" s="19">
        <f>IF($I9427="","",IF(ISNUMBER($I9427),TEXT($I9427,"0"),$I9427))</f>
        <v/>
      </c>
    </row>
    <row r="9428">
      <c r="B9428" s="25" t="n"/>
      <c r="I9428" s="25" t="n"/>
      <c r="U9428" s="19">
        <f>IF($V9428&lt;&gt;'設定'!$C$4,N(U9427),IF(OR(NOT(COUNTIF('商品マスタ'!$B$6:$B$1005,$W9428)=0),COUNTIFS('①在庫を貼る'!$V$6:$V$10005,$V9428,'①在庫を貼る'!$W$6:$W$10005,$W9428)+COUNTIFS('月1回_1ヶ月前の在庫'!$V$6:$V$10005,$V9428,'月1回_1ヶ月前の在庫'!$W$6:$W$10005,$W9428)&gt;0),N(U9427),N(U9427)+1))</f>
        <v/>
      </c>
      <c r="V9428" s="19">
        <f>IF($B9428="","",TEXT($B9428,"0000"))</f>
        <v/>
      </c>
      <c r="W9428" s="19">
        <f>IF($I9428="","",IF(ISNUMBER($I9428),TEXT($I9428,"0"),$I9428))</f>
        <v/>
      </c>
    </row>
    <row r="9429">
      <c r="B9429" s="25" t="n"/>
      <c r="I9429" s="25" t="n"/>
      <c r="U9429" s="19">
        <f>IF($V9429&lt;&gt;'設定'!$C$4,N(U9428),IF(OR(NOT(COUNTIF('商品マスタ'!$B$6:$B$1005,$W9429)=0),COUNTIFS('①在庫を貼る'!$V$6:$V$10005,$V9429,'①在庫を貼る'!$W$6:$W$10005,$W9429)+COUNTIFS('月1回_1ヶ月前の在庫'!$V$6:$V$10005,$V9429,'月1回_1ヶ月前の在庫'!$W$6:$W$10005,$W9429)&gt;0),N(U9428),N(U9428)+1))</f>
        <v/>
      </c>
      <c r="V9429" s="19">
        <f>IF($B9429="","",TEXT($B9429,"0000"))</f>
        <v/>
      </c>
      <c r="W9429" s="19">
        <f>IF($I9429="","",IF(ISNUMBER($I9429),TEXT($I9429,"0"),$I9429))</f>
        <v/>
      </c>
    </row>
    <row r="9430">
      <c r="B9430" s="25" t="n"/>
      <c r="I9430" s="25" t="n"/>
      <c r="U9430" s="19">
        <f>IF($V9430&lt;&gt;'設定'!$C$4,N(U9429),IF(OR(NOT(COUNTIF('商品マスタ'!$B$6:$B$1005,$W9430)=0),COUNTIFS('①在庫を貼る'!$V$6:$V$10005,$V9430,'①在庫を貼る'!$W$6:$W$10005,$W9430)+COUNTIFS('月1回_1ヶ月前の在庫'!$V$6:$V$10005,$V9430,'月1回_1ヶ月前の在庫'!$W$6:$W$10005,$W9430)&gt;0),N(U9429),N(U9429)+1))</f>
        <v/>
      </c>
      <c r="V9430" s="19">
        <f>IF($B9430="","",TEXT($B9430,"0000"))</f>
        <v/>
      </c>
      <c r="W9430" s="19">
        <f>IF($I9430="","",IF(ISNUMBER($I9430),TEXT($I9430,"0"),$I9430))</f>
        <v/>
      </c>
    </row>
    <row r="9431">
      <c r="B9431" s="25" t="n"/>
      <c r="I9431" s="25" t="n"/>
      <c r="U9431" s="19">
        <f>IF($V9431&lt;&gt;'設定'!$C$4,N(U9430),IF(OR(NOT(COUNTIF('商品マスタ'!$B$6:$B$1005,$W9431)=0),COUNTIFS('①在庫を貼る'!$V$6:$V$10005,$V9431,'①在庫を貼る'!$W$6:$W$10005,$W9431)+COUNTIFS('月1回_1ヶ月前の在庫'!$V$6:$V$10005,$V9431,'月1回_1ヶ月前の在庫'!$W$6:$W$10005,$W9431)&gt;0),N(U9430),N(U9430)+1))</f>
        <v/>
      </c>
      <c r="V9431" s="19">
        <f>IF($B9431="","",TEXT($B9431,"0000"))</f>
        <v/>
      </c>
      <c r="W9431" s="19">
        <f>IF($I9431="","",IF(ISNUMBER($I9431),TEXT($I9431,"0"),$I9431))</f>
        <v/>
      </c>
    </row>
    <row r="9432">
      <c r="B9432" s="25" t="n"/>
      <c r="I9432" s="25" t="n"/>
      <c r="U9432" s="19">
        <f>IF($V9432&lt;&gt;'設定'!$C$4,N(U9431),IF(OR(NOT(COUNTIF('商品マスタ'!$B$6:$B$1005,$W9432)=0),COUNTIFS('①在庫を貼る'!$V$6:$V$10005,$V9432,'①在庫を貼る'!$W$6:$W$10005,$W9432)+COUNTIFS('月1回_1ヶ月前の在庫'!$V$6:$V$10005,$V9432,'月1回_1ヶ月前の在庫'!$W$6:$W$10005,$W9432)&gt;0),N(U9431),N(U9431)+1))</f>
        <v/>
      </c>
      <c r="V9432" s="19">
        <f>IF($B9432="","",TEXT($B9432,"0000"))</f>
        <v/>
      </c>
      <c r="W9432" s="19">
        <f>IF($I9432="","",IF(ISNUMBER($I9432),TEXT($I9432,"0"),$I9432))</f>
        <v/>
      </c>
    </row>
    <row r="9433">
      <c r="B9433" s="25" t="n"/>
      <c r="I9433" s="25" t="n"/>
      <c r="U9433" s="19">
        <f>IF($V9433&lt;&gt;'設定'!$C$4,N(U9432),IF(OR(NOT(COUNTIF('商品マスタ'!$B$6:$B$1005,$W9433)=0),COUNTIFS('①在庫を貼る'!$V$6:$V$10005,$V9433,'①在庫を貼る'!$W$6:$W$10005,$W9433)+COUNTIFS('月1回_1ヶ月前の在庫'!$V$6:$V$10005,$V9433,'月1回_1ヶ月前の在庫'!$W$6:$W$10005,$W9433)&gt;0),N(U9432),N(U9432)+1))</f>
        <v/>
      </c>
      <c r="V9433" s="19">
        <f>IF($B9433="","",TEXT($B9433,"0000"))</f>
        <v/>
      </c>
      <c r="W9433" s="19">
        <f>IF($I9433="","",IF(ISNUMBER($I9433),TEXT($I9433,"0"),$I9433))</f>
        <v/>
      </c>
    </row>
    <row r="9434">
      <c r="B9434" s="25" t="n"/>
      <c r="I9434" s="25" t="n"/>
      <c r="U9434" s="19">
        <f>IF($V9434&lt;&gt;'設定'!$C$4,N(U9433),IF(OR(NOT(COUNTIF('商品マスタ'!$B$6:$B$1005,$W9434)=0),COUNTIFS('①在庫を貼る'!$V$6:$V$10005,$V9434,'①在庫を貼る'!$W$6:$W$10005,$W9434)+COUNTIFS('月1回_1ヶ月前の在庫'!$V$6:$V$10005,$V9434,'月1回_1ヶ月前の在庫'!$W$6:$W$10005,$W9434)&gt;0),N(U9433),N(U9433)+1))</f>
        <v/>
      </c>
      <c r="V9434" s="19">
        <f>IF($B9434="","",TEXT($B9434,"0000"))</f>
        <v/>
      </c>
      <c r="W9434" s="19">
        <f>IF($I9434="","",IF(ISNUMBER($I9434),TEXT($I9434,"0"),$I9434))</f>
        <v/>
      </c>
    </row>
    <row r="9435">
      <c r="B9435" s="25" t="n"/>
      <c r="I9435" s="25" t="n"/>
      <c r="U9435" s="19">
        <f>IF($V9435&lt;&gt;'設定'!$C$4,N(U9434),IF(OR(NOT(COUNTIF('商品マスタ'!$B$6:$B$1005,$W9435)=0),COUNTIFS('①在庫を貼る'!$V$6:$V$10005,$V9435,'①在庫を貼る'!$W$6:$W$10005,$W9435)+COUNTIFS('月1回_1ヶ月前の在庫'!$V$6:$V$10005,$V9435,'月1回_1ヶ月前の在庫'!$W$6:$W$10005,$W9435)&gt;0),N(U9434),N(U9434)+1))</f>
        <v/>
      </c>
      <c r="V9435" s="19">
        <f>IF($B9435="","",TEXT($B9435,"0000"))</f>
        <v/>
      </c>
      <c r="W9435" s="19">
        <f>IF($I9435="","",IF(ISNUMBER($I9435),TEXT($I9435,"0"),$I9435))</f>
        <v/>
      </c>
    </row>
    <row r="9436">
      <c r="B9436" s="25" t="n"/>
      <c r="I9436" s="25" t="n"/>
      <c r="U9436" s="19">
        <f>IF($V9436&lt;&gt;'設定'!$C$4,N(U9435),IF(OR(NOT(COUNTIF('商品マスタ'!$B$6:$B$1005,$W9436)=0),COUNTIFS('①在庫を貼る'!$V$6:$V$10005,$V9436,'①在庫を貼る'!$W$6:$W$10005,$W9436)+COUNTIFS('月1回_1ヶ月前の在庫'!$V$6:$V$10005,$V9436,'月1回_1ヶ月前の在庫'!$W$6:$W$10005,$W9436)&gt;0),N(U9435),N(U9435)+1))</f>
        <v/>
      </c>
      <c r="V9436" s="19">
        <f>IF($B9436="","",TEXT($B9436,"0000"))</f>
        <v/>
      </c>
      <c r="W9436" s="19">
        <f>IF($I9436="","",IF(ISNUMBER($I9436),TEXT($I9436,"0"),$I9436))</f>
        <v/>
      </c>
    </row>
    <row r="9437">
      <c r="B9437" s="25" t="n"/>
      <c r="I9437" s="25" t="n"/>
      <c r="U9437" s="19">
        <f>IF($V9437&lt;&gt;'設定'!$C$4,N(U9436),IF(OR(NOT(COUNTIF('商品マスタ'!$B$6:$B$1005,$W9437)=0),COUNTIFS('①在庫を貼る'!$V$6:$V$10005,$V9437,'①在庫を貼る'!$W$6:$W$10005,$W9437)+COUNTIFS('月1回_1ヶ月前の在庫'!$V$6:$V$10005,$V9437,'月1回_1ヶ月前の在庫'!$W$6:$W$10005,$W9437)&gt;0),N(U9436),N(U9436)+1))</f>
        <v/>
      </c>
      <c r="V9437" s="19">
        <f>IF($B9437="","",TEXT($B9437,"0000"))</f>
        <v/>
      </c>
      <c r="W9437" s="19">
        <f>IF($I9437="","",IF(ISNUMBER($I9437),TEXT($I9437,"0"),$I9437))</f>
        <v/>
      </c>
    </row>
    <row r="9438">
      <c r="B9438" s="25" t="n"/>
      <c r="I9438" s="25" t="n"/>
      <c r="U9438" s="19">
        <f>IF($V9438&lt;&gt;'設定'!$C$4,N(U9437),IF(OR(NOT(COUNTIF('商品マスタ'!$B$6:$B$1005,$W9438)=0),COUNTIFS('①在庫を貼る'!$V$6:$V$10005,$V9438,'①在庫を貼る'!$W$6:$W$10005,$W9438)+COUNTIFS('月1回_1ヶ月前の在庫'!$V$6:$V$10005,$V9438,'月1回_1ヶ月前の在庫'!$W$6:$W$10005,$W9438)&gt;0),N(U9437),N(U9437)+1))</f>
        <v/>
      </c>
      <c r="V9438" s="19">
        <f>IF($B9438="","",TEXT($B9438,"0000"))</f>
        <v/>
      </c>
      <c r="W9438" s="19">
        <f>IF($I9438="","",IF(ISNUMBER($I9438),TEXT($I9438,"0"),$I9438))</f>
        <v/>
      </c>
    </row>
    <row r="9439">
      <c r="B9439" s="25" t="n"/>
      <c r="I9439" s="25" t="n"/>
      <c r="U9439" s="19">
        <f>IF($V9439&lt;&gt;'設定'!$C$4,N(U9438),IF(OR(NOT(COUNTIF('商品マスタ'!$B$6:$B$1005,$W9439)=0),COUNTIFS('①在庫を貼る'!$V$6:$V$10005,$V9439,'①在庫を貼る'!$W$6:$W$10005,$W9439)+COUNTIFS('月1回_1ヶ月前の在庫'!$V$6:$V$10005,$V9439,'月1回_1ヶ月前の在庫'!$W$6:$W$10005,$W9439)&gt;0),N(U9438),N(U9438)+1))</f>
        <v/>
      </c>
      <c r="V9439" s="19">
        <f>IF($B9439="","",TEXT($B9439,"0000"))</f>
        <v/>
      </c>
      <c r="W9439" s="19">
        <f>IF($I9439="","",IF(ISNUMBER($I9439),TEXT($I9439,"0"),$I9439))</f>
        <v/>
      </c>
    </row>
    <row r="9440">
      <c r="B9440" s="25" t="n"/>
      <c r="I9440" s="25" t="n"/>
      <c r="U9440" s="19">
        <f>IF($V9440&lt;&gt;'設定'!$C$4,N(U9439),IF(OR(NOT(COUNTIF('商品マスタ'!$B$6:$B$1005,$W9440)=0),COUNTIFS('①在庫を貼る'!$V$6:$V$10005,$V9440,'①在庫を貼る'!$W$6:$W$10005,$W9440)+COUNTIFS('月1回_1ヶ月前の在庫'!$V$6:$V$10005,$V9440,'月1回_1ヶ月前の在庫'!$W$6:$W$10005,$W9440)&gt;0),N(U9439),N(U9439)+1))</f>
        <v/>
      </c>
      <c r="V9440" s="19">
        <f>IF($B9440="","",TEXT($B9440,"0000"))</f>
        <v/>
      </c>
      <c r="W9440" s="19">
        <f>IF($I9440="","",IF(ISNUMBER($I9440),TEXT($I9440,"0"),$I9440))</f>
        <v/>
      </c>
    </row>
    <row r="9441">
      <c r="B9441" s="25" t="n"/>
      <c r="I9441" s="25" t="n"/>
      <c r="U9441" s="19">
        <f>IF($V9441&lt;&gt;'設定'!$C$4,N(U9440),IF(OR(NOT(COUNTIF('商品マスタ'!$B$6:$B$1005,$W9441)=0),COUNTIFS('①在庫を貼る'!$V$6:$V$10005,$V9441,'①在庫を貼る'!$W$6:$W$10005,$W9441)+COUNTIFS('月1回_1ヶ月前の在庫'!$V$6:$V$10005,$V9441,'月1回_1ヶ月前の在庫'!$W$6:$W$10005,$W9441)&gt;0),N(U9440),N(U9440)+1))</f>
        <v/>
      </c>
      <c r="V9441" s="19">
        <f>IF($B9441="","",TEXT($B9441,"0000"))</f>
        <v/>
      </c>
      <c r="W9441" s="19">
        <f>IF($I9441="","",IF(ISNUMBER($I9441),TEXT($I9441,"0"),$I9441))</f>
        <v/>
      </c>
    </row>
    <row r="9442">
      <c r="B9442" s="25" t="n"/>
      <c r="I9442" s="25" t="n"/>
      <c r="U9442" s="19">
        <f>IF($V9442&lt;&gt;'設定'!$C$4,N(U9441),IF(OR(NOT(COUNTIF('商品マスタ'!$B$6:$B$1005,$W9442)=0),COUNTIFS('①在庫を貼る'!$V$6:$V$10005,$V9442,'①在庫を貼る'!$W$6:$W$10005,$W9442)+COUNTIFS('月1回_1ヶ月前の在庫'!$V$6:$V$10005,$V9442,'月1回_1ヶ月前の在庫'!$W$6:$W$10005,$W9442)&gt;0),N(U9441),N(U9441)+1))</f>
        <v/>
      </c>
      <c r="V9442" s="19">
        <f>IF($B9442="","",TEXT($B9442,"0000"))</f>
        <v/>
      </c>
      <c r="W9442" s="19">
        <f>IF($I9442="","",IF(ISNUMBER($I9442),TEXT($I9442,"0"),$I9442))</f>
        <v/>
      </c>
    </row>
    <row r="9443">
      <c r="B9443" s="25" t="n"/>
      <c r="I9443" s="25" t="n"/>
      <c r="U9443" s="19">
        <f>IF($V9443&lt;&gt;'設定'!$C$4,N(U9442),IF(OR(NOT(COUNTIF('商品マスタ'!$B$6:$B$1005,$W9443)=0),COUNTIFS('①在庫を貼る'!$V$6:$V$10005,$V9443,'①在庫を貼る'!$W$6:$W$10005,$W9443)+COUNTIFS('月1回_1ヶ月前の在庫'!$V$6:$V$10005,$V9443,'月1回_1ヶ月前の在庫'!$W$6:$W$10005,$W9443)&gt;0),N(U9442),N(U9442)+1))</f>
        <v/>
      </c>
      <c r="V9443" s="19">
        <f>IF($B9443="","",TEXT($B9443,"0000"))</f>
        <v/>
      </c>
      <c r="W9443" s="19">
        <f>IF($I9443="","",IF(ISNUMBER($I9443),TEXT($I9443,"0"),$I9443))</f>
        <v/>
      </c>
    </row>
    <row r="9444">
      <c r="B9444" s="25" t="n"/>
      <c r="I9444" s="25" t="n"/>
      <c r="U9444" s="19">
        <f>IF($V9444&lt;&gt;'設定'!$C$4,N(U9443),IF(OR(NOT(COUNTIF('商品マスタ'!$B$6:$B$1005,$W9444)=0),COUNTIFS('①在庫を貼る'!$V$6:$V$10005,$V9444,'①在庫を貼る'!$W$6:$W$10005,$W9444)+COUNTIFS('月1回_1ヶ月前の在庫'!$V$6:$V$10005,$V9444,'月1回_1ヶ月前の在庫'!$W$6:$W$10005,$W9444)&gt;0),N(U9443),N(U9443)+1))</f>
        <v/>
      </c>
      <c r="V9444" s="19">
        <f>IF($B9444="","",TEXT($B9444,"0000"))</f>
        <v/>
      </c>
      <c r="W9444" s="19">
        <f>IF($I9444="","",IF(ISNUMBER($I9444),TEXT($I9444,"0"),$I9444))</f>
        <v/>
      </c>
    </row>
    <row r="9445">
      <c r="B9445" s="25" t="n"/>
      <c r="I9445" s="25" t="n"/>
      <c r="U9445" s="19">
        <f>IF($V9445&lt;&gt;'設定'!$C$4,N(U9444),IF(OR(NOT(COUNTIF('商品マスタ'!$B$6:$B$1005,$W9445)=0),COUNTIFS('①在庫を貼る'!$V$6:$V$10005,$V9445,'①在庫を貼る'!$W$6:$W$10005,$W9445)+COUNTIFS('月1回_1ヶ月前の在庫'!$V$6:$V$10005,$V9445,'月1回_1ヶ月前の在庫'!$W$6:$W$10005,$W9445)&gt;0),N(U9444),N(U9444)+1))</f>
        <v/>
      </c>
      <c r="V9445" s="19">
        <f>IF($B9445="","",TEXT($B9445,"0000"))</f>
        <v/>
      </c>
      <c r="W9445" s="19">
        <f>IF($I9445="","",IF(ISNUMBER($I9445),TEXT($I9445,"0"),$I9445))</f>
        <v/>
      </c>
    </row>
    <row r="9446">
      <c r="B9446" s="25" t="n"/>
      <c r="I9446" s="25" t="n"/>
      <c r="U9446" s="19">
        <f>IF($V9446&lt;&gt;'設定'!$C$4,N(U9445),IF(OR(NOT(COUNTIF('商品マスタ'!$B$6:$B$1005,$W9446)=0),COUNTIFS('①在庫を貼る'!$V$6:$V$10005,$V9446,'①在庫を貼る'!$W$6:$W$10005,$W9446)+COUNTIFS('月1回_1ヶ月前の在庫'!$V$6:$V$10005,$V9446,'月1回_1ヶ月前の在庫'!$W$6:$W$10005,$W9446)&gt;0),N(U9445),N(U9445)+1))</f>
        <v/>
      </c>
      <c r="V9446" s="19">
        <f>IF($B9446="","",TEXT($B9446,"0000"))</f>
        <v/>
      </c>
      <c r="W9446" s="19">
        <f>IF($I9446="","",IF(ISNUMBER($I9446),TEXT($I9446,"0"),$I9446))</f>
        <v/>
      </c>
    </row>
    <row r="9447">
      <c r="B9447" s="25" t="n"/>
      <c r="I9447" s="25" t="n"/>
      <c r="U9447" s="19">
        <f>IF($V9447&lt;&gt;'設定'!$C$4,N(U9446),IF(OR(NOT(COUNTIF('商品マスタ'!$B$6:$B$1005,$W9447)=0),COUNTIFS('①在庫を貼る'!$V$6:$V$10005,$V9447,'①在庫を貼る'!$W$6:$W$10005,$W9447)+COUNTIFS('月1回_1ヶ月前の在庫'!$V$6:$V$10005,$V9447,'月1回_1ヶ月前の在庫'!$W$6:$W$10005,$W9447)&gt;0),N(U9446),N(U9446)+1))</f>
        <v/>
      </c>
      <c r="V9447" s="19">
        <f>IF($B9447="","",TEXT($B9447,"0000"))</f>
        <v/>
      </c>
      <c r="W9447" s="19">
        <f>IF($I9447="","",IF(ISNUMBER($I9447),TEXT($I9447,"0"),$I9447))</f>
        <v/>
      </c>
    </row>
    <row r="9448">
      <c r="B9448" s="25" t="n"/>
      <c r="I9448" s="25" t="n"/>
      <c r="U9448" s="19">
        <f>IF($V9448&lt;&gt;'設定'!$C$4,N(U9447),IF(OR(NOT(COUNTIF('商品マスタ'!$B$6:$B$1005,$W9448)=0),COUNTIFS('①在庫を貼る'!$V$6:$V$10005,$V9448,'①在庫を貼る'!$W$6:$W$10005,$W9448)+COUNTIFS('月1回_1ヶ月前の在庫'!$V$6:$V$10005,$V9448,'月1回_1ヶ月前の在庫'!$W$6:$W$10005,$W9448)&gt;0),N(U9447),N(U9447)+1))</f>
        <v/>
      </c>
      <c r="V9448" s="19">
        <f>IF($B9448="","",TEXT($B9448,"0000"))</f>
        <v/>
      </c>
      <c r="W9448" s="19">
        <f>IF($I9448="","",IF(ISNUMBER($I9448),TEXT($I9448,"0"),$I9448))</f>
        <v/>
      </c>
    </row>
    <row r="9449">
      <c r="B9449" s="25" t="n"/>
      <c r="I9449" s="25" t="n"/>
      <c r="U9449" s="19">
        <f>IF($V9449&lt;&gt;'設定'!$C$4,N(U9448),IF(OR(NOT(COUNTIF('商品マスタ'!$B$6:$B$1005,$W9449)=0),COUNTIFS('①在庫を貼る'!$V$6:$V$10005,$V9449,'①在庫を貼る'!$W$6:$W$10005,$W9449)+COUNTIFS('月1回_1ヶ月前の在庫'!$V$6:$V$10005,$V9449,'月1回_1ヶ月前の在庫'!$W$6:$W$10005,$W9449)&gt;0),N(U9448),N(U9448)+1))</f>
        <v/>
      </c>
      <c r="V9449" s="19">
        <f>IF($B9449="","",TEXT($B9449,"0000"))</f>
        <v/>
      </c>
      <c r="W9449" s="19">
        <f>IF($I9449="","",IF(ISNUMBER($I9449),TEXT($I9449,"0"),$I9449))</f>
        <v/>
      </c>
    </row>
    <row r="9450">
      <c r="B9450" s="25" t="n"/>
      <c r="I9450" s="25" t="n"/>
      <c r="U9450" s="19">
        <f>IF($V9450&lt;&gt;'設定'!$C$4,N(U9449),IF(OR(NOT(COUNTIF('商品マスタ'!$B$6:$B$1005,$W9450)=0),COUNTIFS('①在庫を貼る'!$V$6:$V$10005,$V9450,'①在庫を貼る'!$W$6:$W$10005,$W9450)+COUNTIFS('月1回_1ヶ月前の在庫'!$V$6:$V$10005,$V9450,'月1回_1ヶ月前の在庫'!$W$6:$W$10005,$W9450)&gt;0),N(U9449),N(U9449)+1))</f>
        <v/>
      </c>
      <c r="V9450" s="19">
        <f>IF($B9450="","",TEXT($B9450,"0000"))</f>
        <v/>
      </c>
      <c r="W9450" s="19">
        <f>IF($I9450="","",IF(ISNUMBER($I9450),TEXT($I9450,"0"),$I9450))</f>
        <v/>
      </c>
    </row>
    <row r="9451">
      <c r="B9451" s="25" t="n"/>
      <c r="I9451" s="25" t="n"/>
      <c r="U9451" s="19">
        <f>IF($V9451&lt;&gt;'設定'!$C$4,N(U9450),IF(OR(NOT(COUNTIF('商品マスタ'!$B$6:$B$1005,$W9451)=0),COUNTIFS('①在庫を貼る'!$V$6:$V$10005,$V9451,'①在庫を貼る'!$W$6:$W$10005,$W9451)+COUNTIFS('月1回_1ヶ月前の在庫'!$V$6:$V$10005,$V9451,'月1回_1ヶ月前の在庫'!$W$6:$W$10005,$W9451)&gt;0),N(U9450),N(U9450)+1))</f>
        <v/>
      </c>
      <c r="V9451" s="19">
        <f>IF($B9451="","",TEXT($B9451,"0000"))</f>
        <v/>
      </c>
      <c r="W9451" s="19">
        <f>IF($I9451="","",IF(ISNUMBER($I9451),TEXT($I9451,"0"),$I9451))</f>
        <v/>
      </c>
    </row>
    <row r="9452">
      <c r="B9452" s="25" t="n"/>
      <c r="I9452" s="25" t="n"/>
      <c r="U9452" s="19">
        <f>IF($V9452&lt;&gt;'設定'!$C$4,N(U9451),IF(OR(NOT(COUNTIF('商品マスタ'!$B$6:$B$1005,$W9452)=0),COUNTIFS('①在庫を貼る'!$V$6:$V$10005,$V9452,'①在庫を貼る'!$W$6:$W$10005,$W9452)+COUNTIFS('月1回_1ヶ月前の在庫'!$V$6:$V$10005,$V9452,'月1回_1ヶ月前の在庫'!$W$6:$W$10005,$W9452)&gt;0),N(U9451),N(U9451)+1))</f>
        <v/>
      </c>
      <c r="V9452" s="19">
        <f>IF($B9452="","",TEXT($B9452,"0000"))</f>
        <v/>
      </c>
      <c r="W9452" s="19">
        <f>IF($I9452="","",IF(ISNUMBER($I9452),TEXT($I9452,"0"),$I9452))</f>
        <v/>
      </c>
    </row>
    <row r="9453">
      <c r="B9453" s="25" t="n"/>
      <c r="I9453" s="25" t="n"/>
      <c r="U9453" s="19">
        <f>IF($V9453&lt;&gt;'設定'!$C$4,N(U9452),IF(OR(NOT(COUNTIF('商品マスタ'!$B$6:$B$1005,$W9453)=0),COUNTIFS('①在庫を貼る'!$V$6:$V$10005,$V9453,'①在庫を貼る'!$W$6:$W$10005,$W9453)+COUNTIFS('月1回_1ヶ月前の在庫'!$V$6:$V$10005,$V9453,'月1回_1ヶ月前の在庫'!$W$6:$W$10005,$W9453)&gt;0),N(U9452),N(U9452)+1))</f>
        <v/>
      </c>
      <c r="V9453" s="19">
        <f>IF($B9453="","",TEXT($B9453,"0000"))</f>
        <v/>
      </c>
      <c r="W9453" s="19">
        <f>IF($I9453="","",IF(ISNUMBER($I9453),TEXT($I9453,"0"),$I9453))</f>
        <v/>
      </c>
    </row>
    <row r="9454">
      <c r="B9454" s="25" t="n"/>
      <c r="I9454" s="25" t="n"/>
      <c r="U9454" s="19">
        <f>IF($V9454&lt;&gt;'設定'!$C$4,N(U9453),IF(OR(NOT(COUNTIF('商品マスタ'!$B$6:$B$1005,$W9454)=0),COUNTIFS('①在庫を貼る'!$V$6:$V$10005,$V9454,'①在庫を貼る'!$W$6:$W$10005,$W9454)+COUNTIFS('月1回_1ヶ月前の在庫'!$V$6:$V$10005,$V9454,'月1回_1ヶ月前の在庫'!$W$6:$W$10005,$W9454)&gt;0),N(U9453),N(U9453)+1))</f>
        <v/>
      </c>
      <c r="V9454" s="19">
        <f>IF($B9454="","",TEXT($B9454,"0000"))</f>
        <v/>
      </c>
      <c r="W9454" s="19">
        <f>IF($I9454="","",IF(ISNUMBER($I9454),TEXT($I9454,"0"),$I9454))</f>
        <v/>
      </c>
    </row>
    <row r="9455">
      <c r="B9455" s="25" t="n"/>
      <c r="I9455" s="25" t="n"/>
      <c r="U9455" s="19">
        <f>IF($V9455&lt;&gt;'設定'!$C$4,N(U9454),IF(OR(NOT(COUNTIF('商品マスタ'!$B$6:$B$1005,$W9455)=0),COUNTIFS('①在庫を貼る'!$V$6:$V$10005,$V9455,'①在庫を貼る'!$W$6:$W$10005,$W9455)+COUNTIFS('月1回_1ヶ月前の在庫'!$V$6:$V$10005,$V9455,'月1回_1ヶ月前の在庫'!$W$6:$W$10005,$W9455)&gt;0),N(U9454),N(U9454)+1))</f>
        <v/>
      </c>
      <c r="V9455" s="19">
        <f>IF($B9455="","",TEXT($B9455,"0000"))</f>
        <v/>
      </c>
      <c r="W9455" s="19">
        <f>IF($I9455="","",IF(ISNUMBER($I9455),TEXT($I9455,"0"),$I9455))</f>
        <v/>
      </c>
    </row>
    <row r="9456">
      <c r="B9456" s="25" t="n"/>
      <c r="I9456" s="25" t="n"/>
      <c r="U9456" s="19">
        <f>IF($V9456&lt;&gt;'設定'!$C$4,N(U9455),IF(OR(NOT(COUNTIF('商品マスタ'!$B$6:$B$1005,$W9456)=0),COUNTIFS('①在庫を貼る'!$V$6:$V$10005,$V9456,'①在庫を貼る'!$W$6:$W$10005,$W9456)+COUNTIFS('月1回_1ヶ月前の在庫'!$V$6:$V$10005,$V9456,'月1回_1ヶ月前の在庫'!$W$6:$W$10005,$W9456)&gt;0),N(U9455),N(U9455)+1))</f>
        <v/>
      </c>
      <c r="V9456" s="19">
        <f>IF($B9456="","",TEXT($B9456,"0000"))</f>
        <v/>
      </c>
      <c r="W9456" s="19">
        <f>IF($I9456="","",IF(ISNUMBER($I9456),TEXT($I9456,"0"),$I9456))</f>
        <v/>
      </c>
    </row>
    <row r="9457">
      <c r="B9457" s="25" t="n"/>
      <c r="I9457" s="25" t="n"/>
      <c r="U9457" s="19">
        <f>IF($V9457&lt;&gt;'設定'!$C$4,N(U9456),IF(OR(NOT(COUNTIF('商品マスタ'!$B$6:$B$1005,$W9457)=0),COUNTIFS('①在庫を貼る'!$V$6:$V$10005,$V9457,'①在庫を貼る'!$W$6:$W$10005,$W9457)+COUNTIFS('月1回_1ヶ月前の在庫'!$V$6:$V$10005,$V9457,'月1回_1ヶ月前の在庫'!$W$6:$W$10005,$W9457)&gt;0),N(U9456),N(U9456)+1))</f>
        <v/>
      </c>
      <c r="V9457" s="19">
        <f>IF($B9457="","",TEXT($B9457,"0000"))</f>
        <v/>
      </c>
      <c r="W9457" s="19">
        <f>IF($I9457="","",IF(ISNUMBER($I9457),TEXT($I9457,"0"),$I9457))</f>
        <v/>
      </c>
    </row>
    <row r="9458">
      <c r="B9458" s="25" t="n"/>
      <c r="I9458" s="25" t="n"/>
      <c r="U9458" s="19">
        <f>IF($V9458&lt;&gt;'設定'!$C$4,N(U9457),IF(OR(NOT(COUNTIF('商品マスタ'!$B$6:$B$1005,$W9458)=0),COUNTIFS('①在庫を貼る'!$V$6:$V$10005,$V9458,'①在庫を貼る'!$W$6:$W$10005,$W9458)+COUNTIFS('月1回_1ヶ月前の在庫'!$V$6:$V$10005,$V9458,'月1回_1ヶ月前の在庫'!$W$6:$W$10005,$W9458)&gt;0),N(U9457),N(U9457)+1))</f>
        <v/>
      </c>
      <c r="V9458" s="19">
        <f>IF($B9458="","",TEXT($B9458,"0000"))</f>
        <v/>
      </c>
      <c r="W9458" s="19">
        <f>IF($I9458="","",IF(ISNUMBER($I9458),TEXT($I9458,"0"),$I9458))</f>
        <v/>
      </c>
    </row>
    <row r="9459">
      <c r="B9459" s="25" t="n"/>
      <c r="I9459" s="25" t="n"/>
      <c r="U9459" s="19">
        <f>IF($V9459&lt;&gt;'設定'!$C$4,N(U9458),IF(OR(NOT(COUNTIF('商品マスタ'!$B$6:$B$1005,$W9459)=0),COUNTIFS('①在庫を貼る'!$V$6:$V$10005,$V9459,'①在庫を貼る'!$W$6:$W$10005,$W9459)+COUNTIFS('月1回_1ヶ月前の在庫'!$V$6:$V$10005,$V9459,'月1回_1ヶ月前の在庫'!$W$6:$W$10005,$W9459)&gt;0),N(U9458),N(U9458)+1))</f>
        <v/>
      </c>
      <c r="V9459" s="19">
        <f>IF($B9459="","",TEXT($B9459,"0000"))</f>
        <v/>
      </c>
      <c r="W9459" s="19">
        <f>IF($I9459="","",IF(ISNUMBER($I9459),TEXT($I9459,"0"),$I9459))</f>
        <v/>
      </c>
    </row>
    <row r="9460">
      <c r="B9460" s="25" t="n"/>
      <c r="I9460" s="25" t="n"/>
      <c r="U9460" s="19">
        <f>IF($V9460&lt;&gt;'設定'!$C$4,N(U9459),IF(OR(NOT(COUNTIF('商品マスタ'!$B$6:$B$1005,$W9460)=0),COUNTIFS('①在庫を貼る'!$V$6:$V$10005,$V9460,'①在庫を貼る'!$W$6:$W$10005,$W9460)+COUNTIFS('月1回_1ヶ月前の在庫'!$V$6:$V$10005,$V9460,'月1回_1ヶ月前の在庫'!$W$6:$W$10005,$W9460)&gt;0),N(U9459),N(U9459)+1))</f>
        <v/>
      </c>
      <c r="V9460" s="19">
        <f>IF($B9460="","",TEXT($B9460,"0000"))</f>
        <v/>
      </c>
      <c r="W9460" s="19">
        <f>IF($I9460="","",IF(ISNUMBER($I9460),TEXT($I9460,"0"),$I9460))</f>
        <v/>
      </c>
    </row>
    <row r="9461">
      <c r="B9461" s="25" t="n"/>
      <c r="I9461" s="25" t="n"/>
      <c r="U9461" s="19">
        <f>IF($V9461&lt;&gt;'設定'!$C$4,N(U9460),IF(OR(NOT(COUNTIF('商品マスタ'!$B$6:$B$1005,$W9461)=0),COUNTIFS('①在庫を貼る'!$V$6:$V$10005,$V9461,'①在庫を貼る'!$W$6:$W$10005,$W9461)+COUNTIFS('月1回_1ヶ月前の在庫'!$V$6:$V$10005,$V9461,'月1回_1ヶ月前の在庫'!$W$6:$W$10005,$W9461)&gt;0),N(U9460),N(U9460)+1))</f>
        <v/>
      </c>
      <c r="V9461" s="19">
        <f>IF($B9461="","",TEXT($B9461,"0000"))</f>
        <v/>
      </c>
      <c r="W9461" s="19">
        <f>IF($I9461="","",IF(ISNUMBER($I9461),TEXT($I9461,"0"),$I9461))</f>
        <v/>
      </c>
    </row>
    <row r="9462">
      <c r="B9462" s="25" t="n"/>
      <c r="I9462" s="25" t="n"/>
      <c r="U9462" s="19">
        <f>IF($V9462&lt;&gt;'設定'!$C$4,N(U9461),IF(OR(NOT(COUNTIF('商品マスタ'!$B$6:$B$1005,$W9462)=0),COUNTIFS('①在庫を貼る'!$V$6:$V$10005,$V9462,'①在庫を貼る'!$W$6:$W$10005,$W9462)+COUNTIFS('月1回_1ヶ月前の在庫'!$V$6:$V$10005,$V9462,'月1回_1ヶ月前の在庫'!$W$6:$W$10005,$W9462)&gt;0),N(U9461),N(U9461)+1))</f>
        <v/>
      </c>
      <c r="V9462" s="19">
        <f>IF($B9462="","",TEXT($B9462,"0000"))</f>
        <v/>
      </c>
      <c r="W9462" s="19">
        <f>IF($I9462="","",IF(ISNUMBER($I9462),TEXT($I9462,"0"),$I9462))</f>
        <v/>
      </c>
    </row>
    <row r="9463">
      <c r="B9463" s="25" t="n"/>
      <c r="I9463" s="25" t="n"/>
      <c r="U9463" s="19">
        <f>IF($V9463&lt;&gt;'設定'!$C$4,N(U9462),IF(OR(NOT(COUNTIF('商品マスタ'!$B$6:$B$1005,$W9463)=0),COUNTIFS('①在庫を貼る'!$V$6:$V$10005,$V9463,'①在庫を貼る'!$W$6:$W$10005,$W9463)+COUNTIFS('月1回_1ヶ月前の在庫'!$V$6:$V$10005,$V9463,'月1回_1ヶ月前の在庫'!$W$6:$W$10005,$W9463)&gt;0),N(U9462),N(U9462)+1))</f>
        <v/>
      </c>
      <c r="V9463" s="19">
        <f>IF($B9463="","",TEXT($B9463,"0000"))</f>
        <v/>
      </c>
      <c r="W9463" s="19">
        <f>IF($I9463="","",IF(ISNUMBER($I9463),TEXT($I9463,"0"),$I9463))</f>
        <v/>
      </c>
    </row>
    <row r="9464">
      <c r="B9464" s="25" t="n"/>
      <c r="I9464" s="25" t="n"/>
      <c r="U9464" s="19">
        <f>IF($V9464&lt;&gt;'設定'!$C$4,N(U9463),IF(OR(NOT(COUNTIF('商品マスタ'!$B$6:$B$1005,$W9464)=0),COUNTIFS('①在庫を貼る'!$V$6:$V$10005,$V9464,'①在庫を貼る'!$W$6:$W$10005,$W9464)+COUNTIFS('月1回_1ヶ月前の在庫'!$V$6:$V$10005,$V9464,'月1回_1ヶ月前の在庫'!$W$6:$W$10005,$W9464)&gt;0),N(U9463),N(U9463)+1))</f>
        <v/>
      </c>
      <c r="V9464" s="19">
        <f>IF($B9464="","",TEXT($B9464,"0000"))</f>
        <v/>
      </c>
      <c r="W9464" s="19">
        <f>IF($I9464="","",IF(ISNUMBER($I9464),TEXT($I9464,"0"),$I9464))</f>
        <v/>
      </c>
    </row>
    <row r="9465">
      <c r="B9465" s="25" t="n"/>
      <c r="I9465" s="25" t="n"/>
      <c r="U9465" s="19">
        <f>IF($V9465&lt;&gt;'設定'!$C$4,N(U9464),IF(OR(NOT(COUNTIF('商品マスタ'!$B$6:$B$1005,$W9465)=0),COUNTIFS('①在庫を貼る'!$V$6:$V$10005,$V9465,'①在庫を貼る'!$W$6:$W$10005,$W9465)+COUNTIFS('月1回_1ヶ月前の在庫'!$V$6:$V$10005,$V9465,'月1回_1ヶ月前の在庫'!$W$6:$W$10005,$W9465)&gt;0),N(U9464),N(U9464)+1))</f>
        <v/>
      </c>
      <c r="V9465" s="19">
        <f>IF($B9465="","",TEXT($B9465,"0000"))</f>
        <v/>
      </c>
      <c r="W9465" s="19">
        <f>IF($I9465="","",IF(ISNUMBER($I9465),TEXT($I9465,"0"),$I9465))</f>
        <v/>
      </c>
    </row>
    <row r="9466">
      <c r="B9466" s="25" t="n"/>
      <c r="I9466" s="25" t="n"/>
      <c r="U9466" s="19">
        <f>IF($V9466&lt;&gt;'設定'!$C$4,N(U9465),IF(OR(NOT(COUNTIF('商品マスタ'!$B$6:$B$1005,$W9466)=0),COUNTIFS('①在庫を貼る'!$V$6:$V$10005,$V9466,'①在庫を貼る'!$W$6:$W$10005,$W9466)+COUNTIFS('月1回_1ヶ月前の在庫'!$V$6:$V$10005,$V9466,'月1回_1ヶ月前の在庫'!$W$6:$W$10005,$W9466)&gt;0),N(U9465),N(U9465)+1))</f>
        <v/>
      </c>
      <c r="V9466" s="19">
        <f>IF($B9466="","",TEXT($B9466,"0000"))</f>
        <v/>
      </c>
      <c r="W9466" s="19">
        <f>IF($I9466="","",IF(ISNUMBER($I9466),TEXT($I9466,"0"),$I9466))</f>
        <v/>
      </c>
    </row>
    <row r="9467">
      <c r="B9467" s="25" t="n"/>
      <c r="I9467" s="25" t="n"/>
      <c r="U9467" s="19">
        <f>IF($V9467&lt;&gt;'設定'!$C$4,N(U9466),IF(OR(NOT(COUNTIF('商品マスタ'!$B$6:$B$1005,$W9467)=0),COUNTIFS('①在庫を貼る'!$V$6:$V$10005,$V9467,'①在庫を貼る'!$W$6:$W$10005,$W9467)+COUNTIFS('月1回_1ヶ月前の在庫'!$V$6:$V$10005,$V9467,'月1回_1ヶ月前の在庫'!$W$6:$W$10005,$W9467)&gt;0),N(U9466),N(U9466)+1))</f>
        <v/>
      </c>
      <c r="V9467" s="19">
        <f>IF($B9467="","",TEXT($B9467,"0000"))</f>
        <v/>
      </c>
      <c r="W9467" s="19">
        <f>IF($I9467="","",IF(ISNUMBER($I9467),TEXT($I9467,"0"),$I9467))</f>
        <v/>
      </c>
    </row>
    <row r="9468">
      <c r="B9468" s="25" t="n"/>
      <c r="I9468" s="25" t="n"/>
      <c r="U9468" s="19">
        <f>IF($V9468&lt;&gt;'設定'!$C$4,N(U9467),IF(OR(NOT(COUNTIF('商品マスタ'!$B$6:$B$1005,$W9468)=0),COUNTIFS('①在庫を貼る'!$V$6:$V$10005,$V9468,'①在庫を貼る'!$W$6:$W$10005,$W9468)+COUNTIFS('月1回_1ヶ月前の在庫'!$V$6:$V$10005,$V9468,'月1回_1ヶ月前の在庫'!$W$6:$W$10005,$W9468)&gt;0),N(U9467),N(U9467)+1))</f>
        <v/>
      </c>
      <c r="V9468" s="19">
        <f>IF($B9468="","",TEXT($B9468,"0000"))</f>
        <v/>
      </c>
      <c r="W9468" s="19">
        <f>IF($I9468="","",IF(ISNUMBER($I9468),TEXT($I9468,"0"),$I9468))</f>
        <v/>
      </c>
    </row>
    <row r="9469">
      <c r="B9469" s="25" t="n"/>
      <c r="I9469" s="25" t="n"/>
      <c r="U9469" s="19">
        <f>IF($V9469&lt;&gt;'設定'!$C$4,N(U9468),IF(OR(NOT(COUNTIF('商品マスタ'!$B$6:$B$1005,$W9469)=0),COUNTIFS('①在庫を貼る'!$V$6:$V$10005,$V9469,'①在庫を貼る'!$W$6:$W$10005,$W9469)+COUNTIFS('月1回_1ヶ月前の在庫'!$V$6:$V$10005,$V9469,'月1回_1ヶ月前の在庫'!$W$6:$W$10005,$W9469)&gt;0),N(U9468),N(U9468)+1))</f>
        <v/>
      </c>
      <c r="V9469" s="19">
        <f>IF($B9469="","",TEXT($B9469,"0000"))</f>
        <v/>
      </c>
      <c r="W9469" s="19">
        <f>IF($I9469="","",IF(ISNUMBER($I9469),TEXT($I9469,"0"),$I9469))</f>
        <v/>
      </c>
    </row>
    <row r="9470">
      <c r="B9470" s="25" t="n"/>
      <c r="I9470" s="25" t="n"/>
      <c r="U9470" s="19">
        <f>IF($V9470&lt;&gt;'設定'!$C$4,N(U9469),IF(OR(NOT(COUNTIF('商品マスタ'!$B$6:$B$1005,$W9470)=0),COUNTIFS('①在庫を貼る'!$V$6:$V$10005,$V9470,'①在庫を貼る'!$W$6:$W$10005,$W9470)+COUNTIFS('月1回_1ヶ月前の在庫'!$V$6:$V$10005,$V9470,'月1回_1ヶ月前の在庫'!$W$6:$W$10005,$W9470)&gt;0),N(U9469),N(U9469)+1))</f>
        <v/>
      </c>
      <c r="V9470" s="19">
        <f>IF($B9470="","",TEXT($B9470,"0000"))</f>
        <v/>
      </c>
      <c r="W9470" s="19">
        <f>IF($I9470="","",IF(ISNUMBER($I9470),TEXT($I9470,"0"),$I9470))</f>
        <v/>
      </c>
    </row>
    <row r="9471">
      <c r="B9471" s="25" t="n"/>
      <c r="I9471" s="25" t="n"/>
      <c r="U9471" s="19">
        <f>IF($V9471&lt;&gt;'設定'!$C$4,N(U9470),IF(OR(NOT(COUNTIF('商品マスタ'!$B$6:$B$1005,$W9471)=0),COUNTIFS('①在庫を貼る'!$V$6:$V$10005,$V9471,'①在庫を貼る'!$W$6:$W$10005,$W9471)+COUNTIFS('月1回_1ヶ月前の在庫'!$V$6:$V$10005,$V9471,'月1回_1ヶ月前の在庫'!$W$6:$W$10005,$W9471)&gt;0),N(U9470),N(U9470)+1))</f>
        <v/>
      </c>
      <c r="V9471" s="19">
        <f>IF($B9471="","",TEXT($B9471,"0000"))</f>
        <v/>
      </c>
      <c r="W9471" s="19">
        <f>IF($I9471="","",IF(ISNUMBER($I9471),TEXT($I9471,"0"),$I9471))</f>
        <v/>
      </c>
    </row>
    <row r="9472">
      <c r="B9472" s="25" t="n"/>
      <c r="I9472" s="25" t="n"/>
      <c r="U9472" s="19">
        <f>IF($V9472&lt;&gt;'設定'!$C$4,N(U9471),IF(OR(NOT(COUNTIF('商品マスタ'!$B$6:$B$1005,$W9472)=0),COUNTIFS('①在庫を貼る'!$V$6:$V$10005,$V9472,'①在庫を貼る'!$W$6:$W$10005,$W9472)+COUNTIFS('月1回_1ヶ月前の在庫'!$V$6:$V$10005,$V9472,'月1回_1ヶ月前の在庫'!$W$6:$W$10005,$W9472)&gt;0),N(U9471),N(U9471)+1))</f>
        <v/>
      </c>
      <c r="V9472" s="19">
        <f>IF($B9472="","",TEXT($B9472,"0000"))</f>
        <v/>
      </c>
      <c r="W9472" s="19">
        <f>IF($I9472="","",IF(ISNUMBER($I9472),TEXT($I9472,"0"),$I9472))</f>
        <v/>
      </c>
    </row>
    <row r="9473">
      <c r="B9473" s="25" t="n"/>
      <c r="I9473" s="25" t="n"/>
      <c r="U9473" s="19">
        <f>IF($V9473&lt;&gt;'設定'!$C$4,N(U9472),IF(OR(NOT(COUNTIF('商品マスタ'!$B$6:$B$1005,$W9473)=0),COUNTIFS('①在庫を貼る'!$V$6:$V$10005,$V9473,'①在庫を貼る'!$W$6:$W$10005,$W9473)+COUNTIFS('月1回_1ヶ月前の在庫'!$V$6:$V$10005,$V9473,'月1回_1ヶ月前の在庫'!$W$6:$W$10005,$W9473)&gt;0),N(U9472),N(U9472)+1))</f>
        <v/>
      </c>
      <c r="V9473" s="19">
        <f>IF($B9473="","",TEXT($B9473,"0000"))</f>
        <v/>
      </c>
      <c r="W9473" s="19">
        <f>IF($I9473="","",IF(ISNUMBER($I9473),TEXT($I9473,"0"),$I9473))</f>
        <v/>
      </c>
    </row>
    <row r="9474">
      <c r="B9474" s="25" t="n"/>
      <c r="I9474" s="25" t="n"/>
      <c r="U9474" s="19">
        <f>IF($V9474&lt;&gt;'設定'!$C$4,N(U9473),IF(OR(NOT(COUNTIF('商品マスタ'!$B$6:$B$1005,$W9474)=0),COUNTIFS('①在庫を貼る'!$V$6:$V$10005,$V9474,'①在庫を貼る'!$W$6:$W$10005,$W9474)+COUNTIFS('月1回_1ヶ月前の在庫'!$V$6:$V$10005,$V9474,'月1回_1ヶ月前の在庫'!$W$6:$W$10005,$W9474)&gt;0),N(U9473),N(U9473)+1))</f>
        <v/>
      </c>
      <c r="V9474" s="19">
        <f>IF($B9474="","",TEXT($B9474,"0000"))</f>
        <v/>
      </c>
      <c r="W9474" s="19">
        <f>IF($I9474="","",IF(ISNUMBER($I9474),TEXT($I9474,"0"),$I9474))</f>
        <v/>
      </c>
    </row>
    <row r="9475">
      <c r="B9475" s="25" t="n"/>
      <c r="I9475" s="25" t="n"/>
      <c r="U9475" s="19">
        <f>IF($V9475&lt;&gt;'設定'!$C$4,N(U9474),IF(OR(NOT(COUNTIF('商品マスタ'!$B$6:$B$1005,$W9475)=0),COUNTIFS('①在庫を貼る'!$V$6:$V$10005,$V9475,'①在庫を貼る'!$W$6:$W$10005,$W9475)+COUNTIFS('月1回_1ヶ月前の在庫'!$V$6:$V$10005,$V9475,'月1回_1ヶ月前の在庫'!$W$6:$W$10005,$W9475)&gt;0),N(U9474),N(U9474)+1))</f>
        <v/>
      </c>
      <c r="V9475" s="19">
        <f>IF($B9475="","",TEXT($B9475,"0000"))</f>
        <v/>
      </c>
      <c r="W9475" s="19">
        <f>IF($I9475="","",IF(ISNUMBER($I9475),TEXT($I9475,"0"),$I9475))</f>
        <v/>
      </c>
    </row>
    <row r="9476">
      <c r="B9476" s="25" t="n"/>
      <c r="I9476" s="25" t="n"/>
      <c r="U9476" s="19">
        <f>IF($V9476&lt;&gt;'設定'!$C$4,N(U9475),IF(OR(NOT(COUNTIF('商品マスタ'!$B$6:$B$1005,$W9476)=0),COUNTIFS('①在庫を貼る'!$V$6:$V$10005,$V9476,'①在庫を貼る'!$W$6:$W$10005,$W9476)+COUNTIFS('月1回_1ヶ月前の在庫'!$V$6:$V$10005,$V9476,'月1回_1ヶ月前の在庫'!$W$6:$W$10005,$W9476)&gt;0),N(U9475),N(U9475)+1))</f>
        <v/>
      </c>
      <c r="V9476" s="19">
        <f>IF($B9476="","",TEXT($B9476,"0000"))</f>
        <v/>
      </c>
      <c r="W9476" s="19">
        <f>IF($I9476="","",IF(ISNUMBER($I9476),TEXT($I9476,"0"),$I9476))</f>
        <v/>
      </c>
    </row>
    <row r="9477">
      <c r="B9477" s="25" t="n"/>
      <c r="I9477" s="25" t="n"/>
      <c r="U9477" s="19">
        <f>IF($V9477&lt;&gt;'設定'!$C$4,N(U9476),IF(OR(NOT(COUNTIF('商品マスタ'!$B$6:$B$1005,$W9477)=0),COUNTIFS('①在庫を貼る'!$V$6:$V$10005,$V9477,'①在庫を貼る'!$W$6:$W$10005,$W9477)+COUNTIFS('月1回_1ヶ月前の在庫'!$V$6:$V$10005,$V9477,'月1回_1ヶ月前の在庫'!$W$6:$W$10005,$W9477)&gt;0),N(U9476),N(U9476)+1))</f>
        <v/>
      </c>
      <c r="V9477" s="19">
        <f>IF($B9477="","",TEXT($B9477,"0000"))</f>
        <v/>
      </c>
      <c r="W9477" s="19">
        <f>IF($I9477="","",IF(ISNUMBER($I9477),TEXT($I9477,"0"),$I9477))</f>
        <v/>
      </c>
    </row>
    <row r="9478">
      <c r="B9478" s="25" t="n"/>
      <c r="I9478" s="25" t="n"/>
      <c r="U9478" s="19">
        <f>IF($V9478&lt;&gt;'設定'!$C$4,N(U9477),IF(OR(NOT(COUNTIF('商品マスタ'!$B$6:$B$1005,$W9478)=0),COUNTIFS('①在庫を貼る'!$V$6:$V$10005,$V9478,'①在庫を貼る'!$W$6:$W$10005,$W9478)+COUNTIFS('月1回_1ヶ月前の在庫'!$V$6:$V$10005,$V9478,'月1回_1ヶ月前の在庫'!$W$6:$W$10005,$W9478)&gt;0),N(U9477),N(U9477)+1))</f>
        <v/>
      </c>
      <c r="V9478" s="19">
        <f>IF($B9478="","",TEXT($B9478,"0000"))</f>
        <v/>
      </c>
      <c r="W9478" s="19">
        <f>IF($I9478="","",IF(ISNUMBER($I9478),TEXT($I9478,"0"),$I9478))</f>
        <v/>
      </c>
    </row>
    <row r="9479">
      <c r="B9479" s="25" t="n"/>
      <c r="I9479" s="25" t="n"/>
      <c r="U9479" s="19">
        <f>IF($V9479&lt;&gt;'設定'!$C$4,N(U9478),IF(OR(NOT(COUNTIF('商品マスタ'!$B$6:$B$1005,$W9479)=0),COUNTIFS('①在庫を貼る'!$V$6:$V$10005,$V9479,'①在庫を貼る'!$W$6:$W$10005,$W9479)+COUNTIFS('月1回_1ヶ月前の在庫'!$V$6:$V$10005,$V9479,'月1回_1ヶ月前の在庫'!$W$6:$W$10005,$W9479)&gt;0),N(U9478),N(U9478)+1))</f>
        <v/>
      </c>
      <c r="V9479" s="19">
        <f>IF($B9479="","",TEXT($B9479,"0000"))</f>
        <v/>
      </c>
      <c r="W9479" s="19">
        <f>IF($I9479="","",IF(ISNUMBER($I9479),TEXT($I9479,"0"),$I9479))</f>
        <v/>
      </c>
    </row>
    <row r="9480">
      <c r="B9480" s="25" t="n"/>
      <c r="I9480" s="25" t="n"/>
      <c r="U9480" s="19">
        <f>IF($V9480&lt;&gt;'設定'!$C$4,N(U9479),IF(OR(NOT(COUNTIF('商品マスタ'!$B$6:$B$1005,$W9480)=0),COUNTIFS('①在庫を貼る'!$V$6:$V$10005,$V9480,'①在庫を貼る'!$W$6:$W$10005,$W9480)+COUNTIFS('月1回_1ヶ月前の在庫'!$V$6:$V$10005,$V9480,'月1回_1ヶ月前の在庫'!$W$6:$W$10005,$W9480)&gt;0),N(U9479),N(U9479)+1))</f>
        <v/>
      </c>
      <c r="V9480" s="19">
        <f>IF($B9480="","",TEXT($B9480,"0000"))</f>
        <v/>
      </c>
      <c r="W9480" s="19">
        <f>IF($I9480="","",IF(ISNUMBER($I9480),TEXT($I9480,"0"),$I9480))</f>
        <v/>
      </c>
    </row>
    <row r="9481">
      <c r="B9481" s="25" t="n"/>
      <c r="I9481" s="25" t="n"/>
      <c r="U9481" s="19">
        <f>IF($V9481&lt;&gt;'設定'!$C$4,N(U9480),IF(OR(NOT(COUNTIF('商品マスタ'!$B$6:$B$1005,$W9481)=0),COUNTIFS('①在庫を貼る'!$V$6:$V$10005,$V9481,'①在庫を貼る'!$W$6:$W$10005,$W9481)+COUNTIFS('月1回_1ヶ月前の在庫'!$V$6:$V$10005,$V9481,'月1回_1ヶ月前の在庫'!$W$6:$W$10005,$W9481)&gt;0),N(U9480),N(U9480)+1))</f>
        <v/>
      </c>
      <c r="V9481" s="19">
        <f>IF($B9481="","",TEXT($B9481,"0000"))</f>
        <v/>
      </c>
      <c r="W9481" s="19">
        <f>IF($I9481="","",IF(ISNUMBER($I9481),TEXT($I9481,"0"),$I9481))</f>
        <v/>
      </c>
    </row>
    <row r="9482">
      <c r="B9482" s="25" t="n"/>
      <c r="I9482" s="25" t="n"/>
      <c r="U9482" s="19">
        <f>IF($V9482&lt;&gt;'設定'!$C$4,N(U9481),IF(OR(NOT(COUNTIF('商品マスタ'!$B$6:$B$1005,$W9482)=0),COUNTIFS('①在庫を貼る'!$V$6:$V$10005,$V9482,'①在庫を貼る'!$W$6:$W$10005,$W9482)+COUNTIFS('月1回_1ヶ月前の在庫'!$V$6:$V$10005,$V9482,'月1回_1ヶ月前の在庫'!$W$6:$W$10005,$W9482)&gt;0),N(U9481),N(U9481)+1))</f>
        <v/>
      </c>
      <c r="V9482" s="19">
        <f>IF($B9482="","",TEXT($B9482,"0000"))</f>
        <v/>
      </c>
      <c r="W9482" s="19">
        <f>IF($I9482="","",IF(ISNUMBER($I9482),TEXT($I9482,"0"),$I9482))</f>
        <v/>
      </c>
    </row>
    <row r="9483">
      <c r="B9483" s="25" t="n"/>
      <c r="I9483" s="25" t="n"/>
      <c r="U9483" s="19">
        <f>IF($V9483&lt;&gt;'設定'!$C$4,N(U9482),IF(OR(NOT(COUNTIF('商品マスタ'!$B$6:$B$1005,$W9483)=0),COUNTIFS('①在庫を貼る'!$V$6:$V$10005,$V9483,'①在庫を貼る'!$W$6:$W$10005,$W9483)+COUNTIFS('月1回_1ヶ月前の在庫'!$V$6:$V$10005,$V9483,'月1回_1ヶ月前の在庫'!$W$6:$W$10005,$W9483)&gt;0),N(U9482),N(U9482)+1))</f>
        <v/>
      </c>
      <c r="V9483" s="19">
        <f>IF($B9483="","",TEXT($B9483,"0000"))</f>
        <v/>
      </c>
      <c r="W9483" s="19">
        <f>IF($I9483="","",IF(ISNUMBER($I9483),TEXT($I9483,"0"),$I9483))</f>
        <v/>
      </c>
    </row>
    <row r="9484">
      <c r="B9484" s="25" t="n"/>
      <c r="I9484" s="25" t="n"/>
      <c r="U9484" s="19">
        <f>IF($V9484&lt;&gt;'設定'!$C$4,N(U9483),IF(OR(NOT(COUNTIF('商品マスタ'!$B$6:$B$1005,$W9484)=0),COUNTIFS('①在庫を貼る'!$V$6:$V$10005,$V9484,'①在庫を貼る'!$W$6:$W$10005,$W9484)+COUNTIFS('月1回_1ヶ月前の在庫'!$V$6:$V$10005,$V9484,'月1回_1ヶ月前の在庫'!$W$6:$W$10005,$W9484)&gt;0),N(U9483),N(U9483)+1))</f>
        <v/>
      </c>
      <c r="V9484" s="19">
        <f>IF($B9484="","",TEXT($B9484,"0000"))</f>
        <v/>
      </c>
      <c r="W9484" s="19">
        <f>IF($I9484="","",IF(ISNUMBER($I9484),TEXT($I9484,"0"),$I9484))</f>
        <v/>
      </c>
    </row>
    <row r="9485">
      <c r="B9485" s="25" t="n"/>
      <c r="I9485" s="25" t="n"/>
      <c r="U9485" s="19">
        <f>IF($V9485&lt;&gt;'設定'!$C$4,N(U9484),IF(OR(NOT(COUNTIF('商品マスタ'!$B$6:$B$1005,$W9485)=0),COUNTIFS('①在庫を貼る'!$V$6:$V$10005,$V9485,'①在庫を貼る'!$W$6:$W$10005,$W9485)+COUNTIFS('月1回_1ヶ月前の在庫'!$V$6:$V$10005,$V9485,'月1回_1ヶ月前の在庫'!$W$6:$W$10005,$W9485)&gt;0),N(U9484),N(U9484)+1))</f>
        <v/>
      </c>
      <c r="V9485" s="19">
        <f>IF($B9485="","",TEXT($B9485,"0000"))</f>
        <v/>
      </c>
      <c r="W9485" s="19">
        <f>IF($I9485="","",IF(ISNUMBER($I9485),TEXT($I9485,"0"),$I9485))</f>
        <v/>
      </c>
    </row>
    <row r="9486">
      <c r="B9486" s="25" t="n"/>
      <c r="I9486" s="25" t="n"/>
      <c r="U9486" s="19">
        <f>IF($V9486&lt;&gt;'設定'!$C$4,N(U9485),IF(OR(NOT(COUNTIF('商品マスタ'!$B$6:$B$1005,$W9486)=0),COUNTIFS('①在庫を貼る'!$V$6:$V$10005,$V9486,'①在庫を貼る'!$W$6:$W$10005,$W9486)+COUNTIFS('月1回_1ヶ月前の在庫'!$V$6:$V$10005,$V9486,'月1回_1ヶ月前の在庫'!$W$6:$W$10005,$W9486)&gt;0),N(U9485),N(U9485)+1))</f>
        <v/>
      </c>
      <c r="V9486" s="19">
        <f>IF($B9486="","",TEXT($B9486,"0000"))</f>
        <v/>
      </c>
      <c r="W9486" s="19">
        <f>IF($I9486="","",IF(ISNUMBER($I9486),TEXT($I9486,"0"),$I9486))</f>
        <v/>
      </c>
    </row>
    <row r="9487">
      <c r="B9487" s="25" t="n"/>
      <c r="I9487" s="25" t="n"/>
      <c r="U9487" s="19">
        <f>IF($V9487&lt;&gt;'設定'!$C$4,N(U9486),IF(OR(NOT(COUNTIF('商品マスタ'!$B$6:$B$1005,$W9487)=0),COUNTIFS('①在庫を貼る'!$V$6:$V$10005,$V9487,'①在庫を貼る'!$W$6:$W$10005,$W9487)+COUNTIFS('月1回_1ヶ月前の在庫'!$V$6:$V$10005,$V9487,'月1回_1ヶ月前の在庫'!$W$6:$W$10005,$W9487)&gt;0),N(U9486),N(U9486)+1))</f>
        <v/>
      </c>
      <c r="V9487" s="19">
        <f>IF($B9487="","",TEXT($B9487,"0000"))</f>
        <v/>
      </c>
      <c r="W9487" s="19">
        <f>IF($I9487="","",IF(ISNUMBER($I9487),TEXT($I9487,"0"),$I9487))</f>
        <v/>
      </c>
    </row>
    <row r="9488">
      <c r="B9488" s="25" t="n"/>
      <c r="I9488" s="25" t="n"/>
      <c r="U9488" s="19">
        <f>IF($V9488&lt;&gt;'設定'!$C$4,N(U9487),IF(OR(NOT(COUNTIF('商品マスタ'!$B$6:$B$1005,$W9488)=0),COUNTIFS('①在庫を貼る'!$V$6:$V$10005,$V9488,'①在庫を貼る'!$W$6:$W$10005,$W9488)+COUNTIFS('月1回_1ヶ月前の在庫'!$V$6:$V$10005,$V9488,'月1回_1ヶ月前の在庫'!$W$6:$W$10005,$W9488)&gt;0),N(U9487),N(U9487)+1))</f>
        <v/>
      </c>
      <c r="V9488" s="19">
        <f>IF($B9488="","",TEXT($B9488,"0000"))</f>
        <v/>
      </c>
      <c r="W9488" s="19">
        <f>IF($I9488="","",IF(ISNUMBER($I9488),TEXT($I9488,"0"),$I9488))</f>
        <v/>
      </c>
    </row>
    <row r="9489">
      <c r="B9489" s="25" t="n"/>
      <c r="I9489" s="25" t="n"/>
      <c r="U9489" s="19">
        <f>IF($V9489&lt;&gt;'設定'!$C$4,N(U9488),IF(OR(NOT(COUNTIF('商品マスタ'!$B$6:$B$1005,$W9489)=0),COUNTIFS('①在庫を貼る'!$V$6:$V$10005,$V9489,'①在庫を貼る'!$W$6:$W$10005,$W9489)+COUNTIFS('月1回_1ヶ月前の在庫'!$V$6:$V$10005,$V9489,'月1回_1ヶ月前の在庫'!$W$6:$W$10005,$W9489)&gt;0),N(U9488),N(U9488)+1))</f>
        <v/>
      </c>
      <c r="V9489" s="19">
        <f>IF($B9489="","",TEXT($B9489,"0000"))</f>
        <v/>
      </c>
      <c r="W9489" s="19">
        <f>IF($I9489="","",IF(ISNUMBER($I9489),TEXT($I9489,"0"),$I9489))</f>
        <v/>
      </c>
    </row>
    <row r="9490">
      <c r="B9490" s="25" t="n"/>
      <c r="I9490" s="25" t="n"/>
      <c r="U9490" s="19">
        <f>IF($V9490&lt;&gt;'設定'!$C$4,N(U9489),IF(OR(NOT(COUNTIF('商品マスタ'!$B$6:$B$1005,$W9490)=0),COUNTIFS('①在庫を貼る'!$V$6:$V$10005,$V9490,'①在庫を貼る'!$W$6:$W$10005,$W9490)+COUNTIFS('月1回_1ヶ月前の在庫'!$V$6:$V$10005,$V9490,'月1回_1ヶ月前の在庫'!$W$6:$W$10005,$W9490)&gt;0),N(U9489),N(U9489)+1))</f>
        <v/>
      </c>
      <c r="V9490" s="19">
        <f>IF($B9490="","",TEXT($B9490,"0000"))</f>
        <v/>
      </c>
      <c r="W9490" s="19">
        <f>IF($I9490="","",IF(ISNUMBER($I9490),TEXT($I9490,"0"),$I9490))</f>
        <v/>
      </c>
    </row>
    <row r="9491">
      <c r="B9491" s="25" t="n"/>
      <c r="I9491" s="25" t="n"/>
      <c r="U9491" s="19">
        <f>IF($V9491&lt;&gt;'設定'!$C$4,N(U9490),IF(OR(NOT(COUNTIF('商品マスタ'!$B$6:$B$1005,$W9491)=0),COUNTIFS('①在庫を貼る'!$V$6:$V$10005,$V9491,'①在庫を貼る'!$W$6:$W$10005,$W9491)+COUNTIFS('月1回_1ヶ月前の在庫'!$V$6:$V$10005,$V9491,'月1回_1ヶ月前の在庫'!$W$6:$W$10005,$W9491)&gt;0),N(U9490),N(U9490)+1))</f>
        <v/>
      </c>
      <c r="V9491" s="19">
        <f>IF($B9491="","",TEXT($B9491,"0000"))</f>
        <v/>
      </c>
      <c r="W9491" s="19">
        <f>IF($I9491="","",IF(ISNUMBER($I9491),TEXT($I9491,"0"),$I9491))</f>
        <v/>
      </c>
    </row>
    <row r="9492">
      <c r="B9492" s="25" t="n"/>
      <c r="I9492" s="25" t="n"/>
      <c r="U9492" s="19">
        <f>IF($V9492&lt;&gt;'設定'!$C$4,N(U9491),IF(OR(NOT(COUNTIF('商品マスタ'!$B$6:$B$1005,$W9492)=0),COUNTIFS('①在庫を貼る'!$V$6:$V$10005,$V9492,'①在庫を貼る'!$W$6:$W$10005,$W9492)+COUNTIFS('月1回_1ヶ月前の在庫'!$V$6:$V$10005,$V9492,'月1回_1ヶ月前の在庫'!$W$6:$W$10005,$W9492)&gt;0),N(U9491),N(U9491)+1))</f>
        <v/>
      </c>
      <c r="V9492" s="19">
        <f>IF($B9492="","",TEXT($B9492,"0000"))</f>
        <v/>
      </c>
      <c r="W9492" s="19">
        <f>IF($I9492="","",IF(ISNUMBER($I9492),TEXT($I9492,"0"),$I9492))</f>
        <v/>
      </c>
    </row>
    <row r="9493">
      <c r="B9493" s="25" t="n"/>
      <c r="I9493" s="25" t="n"/>
      <c r="U9493" s="19">
        <f>IF($V9493&lt;&gt;'設定'!$C$4,N(U9492),IF(OR(NOT(COUNTIF('商品マスタ'!$B$6:$B$1005,$W9493)=0),COUNTIFS('①在庫を貼る'!$V$6:$V$10005,$V9493,'①在庫を貼る'!$W$6:$W$10005,$W9493)+COUNTIFS('月1回_1ヶ月前の在庫'!$V$6:$V$10005,$V9493,'月1回_1ヶ月前の在庫'!$W$6:$W$10005,$W9493)&gt;0),N(U9492),N(U9492)+1))</f>
        <v/>
      </c>
      <c r="V9493" s="19">
        <f>IF($B9493="","",TEXT($B9493,"0000"))</f>
        <v/>
      </c>
      <c r="W9493" s="19">
        <f>IF($I9493="","",IF(ISNUMBER($I9493),TEXT($I9493,"0"),$I9493))</f>
        <v/>
      </c>
    </row>
    <row r="9494">
      <c r="B9494" s="25" t="n"/>
      <c r="I9494" s="25" t="n"/>
      <c r="U9494" s="19">
        <f>IF($V9494&lt;&gt;'設定'!$C$4,N(U9493),IF(OR(NOT(COUNTIF('商品マスタ'!$B$6:$B$1005,$W9494)=0),COUNTIFS('①在庫を貼る'!$V$6:$V$10005,$V9494,'①在庫を貼る'!$W$6:$W$10005,$W9494)+COUNTIFS('月1回_1ヶ月前の在庫'!$V$6:$V$10005,$V9494,'月1回_1ヶ月前の在庫'!$W$6:$W$10005,$W9494)&gt;0),N(U9493),N(U9493)+1))</f>
        <v/>
      </c>
      <c r="V9494" s="19">
        <f>IF($B9494="","",TEXT($B9494,"0000"))</f>
        <v/>
      </c>
      <c r="W9494" s="19">
        <f>IF($I9494="","",IF(ISNUMBER($I9494),TEXT($I9494,"0"),$I9494))</f>
        <v/>
      </c>
    </row>
    <row r="9495">
      <c r="B9495" s="25" t="n"/>
      <c r="I9495" s="25" t="n"/>
      <c r="U9495" s="19">
        <f>IF($V9495&lt;&gt;'設定'!$C$4,N(U9494),IF(OR(NOT(COUNTIF('商品マスタ'!$B$6:$B$1005,$W9495)=0),COUNTIFS('①在庫を貼る'!$V$6:$V$10005,$V9495,'①在庫を貼る'!$W$6:$W$10005,$W9495)+COUNTIFS('月1回_1ヶ月前の在庫'!$V$6:$V$10005,$V9495,'月1回_1ヶ月前の在庫'!$W$6:$W$10005,$W9495)&gt;0),N(U9494),N(U9494)+1))</f>
        <v/>
      </c>
      <c r="V9495" s="19">
        <f>IF($B9495="","",TEXT($B9495,"0000"))</f>
        <v/>
      </c>
      <c r="W9495" s="19">
        <f>IF($I9495="","",IF(ISNUMBER($I9495),TEXT($I9495,"0"),$I9495))</f>
        <v/>
      </c>
    </row>
    <row r="9496">
      <c r="B9496" s="25" t="n"/>
      <c r="I9496" s="25" t="n"/>
      <c r="U9496" s="19">
        <f>IF($V9496&lt;&gt;'設定'!$C$4,N(U9495),IF(OR(NOT(COUNTIF('商品マスタ'!$B$6:$B$1005,$W9496)=0),COUNTIFS('①在庫を貼る'!$V$6:$V$10005,$V9496,'①在庫を貼る'!$W$6:$W$10005,$W9496)+COUNTIFS('月1回_1ヶ月前の在庫'!$V$6:$V$10005,$V9496,'月1回_1ヶ月前の在庫'!$W$6:$W$10005,$W9496)&gt;0),N(U9495),N(U9495)+1))</f>
        <v/>
      </c>
      <c r="V9496" s="19">
        <f>IF($B9496="","",TEXT($B9496,"0000"))</f>
        <v/>
      </c>
      <c r="W9496" s="19">
        <f>IF($I9496="","",IF(ISNUMBER($I9496),TEXT($I9496,"0"),$I9496))</f>
        <v/>
      </c>
    </row>
    <row r="9497">
      <c r="B9497" s="25" t="n"/>
      <c r="I9497" s="25" t="n"/>
      <c r="U9497" s="19">
        <f>IF($V9497&lt;&gt;'設定'!$C$4,N(U9496),IF(OR(NOT(COUNTIF('商品マスタ'!$B$6:$B$1005,$W9497)=0),COUNTIFS('①在庫を貼る'!$V$6:$V$10005,$V9497,'①在庫を貼る'!$W$6:$W$10005,$W9497)+COUNTIFS('月1回_1ヶ月前の在庫'!$V$6:$V$10005,$V9497,'月1回_1ヶ月前の在庫'!$W$6:$W$10005,$W9497)&gt;0),N(U9496),N(U9496)+1))</f>
        <v/>
      </c>
      <c r="V9497" s="19">
        <f>IF($B9497="","",TEXT($B9497,"0000"))</f>
        <v/>
      </c>
      <c r="W9497" s="19">
        <f>IF($I9497="","",IF(ISNUMBER($I9497),TEXT($I9497,"0"),$I9497))</f>
        <v/>
      </c>
    </row>
    <row r="9498">
      <c r="B9498" s="25" t="n"/>
      <c r="I9498" s="25" t="n"/>
      <c r="U9498" s="19">
        <f>IF($V9498&lt;&gt;'設定'!$C$4,N(U9497),IF(OR(NOT(COUNTIF('商品マスタ'!$B$6:$B$1005,$W9498)=0),COUNTIFS('①在庫を貼る'!$V$6:$V$10005,$V9498,'①在庫を貼る'!$W$6:$W$10005,$W9498)+COUNTIFS('月1回_1ヶ月前の在庫'!$V$6:$V$10005,$V9498,'月1回_1ヶ月前の在庫'!$W$6:$W$10005,$W9498)&gt;0),N(U9497),N(U9497)+1))</f>
        <v/>
      </c>
      <c r="V9498" s="19">
        <f>IF($B9498="","",TEXT($B9498,"0000"))</f>
        <v/>
      </c>
      <c r="W9498" s="19">
        <f>IF($I9498="","",IF(ISNUMBER($I9498),TEXT($I9498,"0"),$I9498))</f>
        <v/>
      </c>
    </row>
    <row r="9499">
      <c r="B9499" s="25" t="n"/>
      <c r="I9499" s="25" t="n"/>
      <c r="U9499" s="19">
        <f>IF($V9499&lt;&gt;'設定'!$C$4,N(U9498),IF(OR(NOT(COUNTIF('商品マスタ'!$B$6:$B$1005,$W9499)=0),COUNTIFS('①在庫を貼る'!$V$6:$V$10005,$V9499,'①在庫を貼る'!$W$6:$W$10005,$W9499)+COUNTIFS('月1回_1ヶ月前の在庫'!$V$6:$V$10005,$V9499,'月1回_1ヶ月前の在庫'!$W$6:$W$10005,$W9499)&gt;0),N(U9498),N(U9498)+1))</f>
        <v/>
      </c>
      <c r="V9499" s="19">
        <f>IF($B9499="","",TEXT($B9499,"0000"))</f>
        <v/>
      </c>
      <c r="W9499" s="19">
        <f>IF($I9499="","",IF(ISNUMBER($I9499),TEXT($I9499,"0"),$I9499))</f>
        <v/>
      </c>
    </row>
    <row r="9500">
      <c r="B9500" s="25" t="n"/>
      <c r="I9500" s="25" t="n"/>
      <c r="U9500" s="19">
        <f>IF($V9500&lt;&gt;'設定'!$C$4,N(U9499),IF(OR(NOT(COUNTIF('商品マスタ'!$B$6:$B$1005,$W9500)=0),COUNTIFS('①在庫を貼る'!$V$6:$V$10005,$V9500,'①在庫を貼る'!$W$6:$W$10005,$W9500)+COUNTIFS('月1回_1ヶ月前の在庫'!$V$6:$V$10005,$V9500,'月1回_1ヶ月前の在庫'!$W$6:$W$10005,$W9500)&gt;0),N(U9499),N(U9499)+1))</f>
        <v/>
      </c>
      <c r="V9500" s="19">
        <f>IF($B9500="","",TEXT($B9500,"0000"))</f>
        <v/>
      </c>
      <c r="W9500" s="19">
        <f>IF($I9500="","",IF(ISNUMBER($I9500),TEXT($I9500,"0"),$I9500))</f>
        <v/>
      </c>
    </row>
    <row r="9501">
      <c r="B9501" s="25" t="n"/>
      <c r="I9501" s="25" t="n"/>
      <c r="U9501" s="19">
        <f>IF($V9501&lt;&gt;'設定'!$C$4,N(U9500),IF(OR(NOT(COUNTIF('商品マスタ'!$B$6:$B$1005,$W9501)=0),COUNTIFS('①在庫を貼る'!$V$6:$V$10005,$V9501,'①在庫を貼る'!$W$6:$W$10005,$W9501)+COUNTIFS('月1回_1ヶ月前の在庫'!$V$6:$V$10005,$V9501,'月1回_1ヶ月前の在庫'!$W$6:$W$10005,$W9501)&gt;0),N(U9500),N(U9500)+1))</f>
        <v/>
      </c>
      <c r="V9501" s="19">
        <f>IF($B9501="","",TEXT($B9501,"0000"))</f>
        <v/>
      </c>
      <c r="W9501" s="19">
        <f>IF($I9501="","",IF(ISNUMBER($I9501),TEXT($I9501,"0"),$I9501))</f>
        <v/>
      </c>
    </row>
    <row r="9502">
      <c r="B9502" s="25" t="n"/>
      <c r="I9502" s="25" t="n"/>
      <c r="U9502" s="19">
        <f>IF($V9502&lt;&gt;'設定'!$C$4,N(U9501),IF(OR(NOT(COUNTIF('商品マスタ'!$B$6:$B$1005,$W9502)=0),COUNTIFS('①在庫を貼る'!$V$6:$V$10005,$V9502,'①在庫を貼る'!$W$6:$W$10005,$W9502)+COUNTIFS('月1回_1ヶ月前の在庫'!$V$6:$V$10005,$V9502,'月1回_1ヶ月前の在庫'!$W$6:$W$10005,$W9502)&gt;0),N(U9501),N(U9501)+1))</f>
        <v/>
      </c>
      <c r="V9502" s="19">
        <f>IF($B9502="","",TEXT($B9502,"0000"))</f>
        <v/>
      </c>
      <c r="W9502" s="19">
        <f>IF($I9502="","",IF(ISNUMBER($I9502),TEXT($I9502,"0"),$I9502))</f>
        <v/>
      </c>
    </row>
    <row r="9503">
      <c r="B9503" s="25" t="n"/>
      <c r="I9503" s="25" t="n"/>
      <c r="U9503" s="19">
        <f>IF($V9503&lt;&gt;'設定'!$C$4,N(U9502),IF(OR(NOT(COUNTIF('商品マスタ'!$B$6:$B$1005,$W9503)=0),COUNTIFS('①在庫を貼る'!$V$6:$V$10005,$V9503,'①在庫を貼る'!$W$6:$W$10005,$W9503)+COUNTIFS('月1回_1ヶ月前の在庫'!$V$6:$V$10005,$V9503,'月1回_1ヶ月前の在庫'!$W$6:$W$10005,$W9503)&gt;0),N(U9502),N(U9502)+1))</f>
        <v/>
      </c>
      <c r="V9503" s="19">
        <f>IF($B9503="","",TEXT($B9503,"0000"))</f>
        <v/>
      </c>
      <c r="W9503" s="19">
        <f>IF($I9503="","",IF(ISNUMBER($I9503),TEXT($I9503,"0"),$I9503))</f>
        <v/>
      </c>
    </row>
    <row r="9504">
      <c r="B9504" s="25" t="n"/>
      <c r="I9504" s="25" t="n"/>
      <c r="U9504" s="19">
        <f>IF($V9504&lt;&gt;'設定'!$C$4,N(U9503),IF(OR(NOT(COUNTIF('商品マスタ'!$B$6:$B$1005,$W9504)=0),COUNTIFS('①在庫を貼る'!$V$6:$V$10005,$V9504,'①在庫を貼る'!$W$6:$W$10005,$W9504)+COUNTIFS('月1回_1ヶ月前の在庫'!$V$6:$V$10005,$V9504,'月1回_1ヶ月前の在庫'!$W$6:$W$10005,$W9504)&gt;0),N(U9503),N(U9503)+1))</f>
        <v/>
      </c>
      <c r="V9504" s="19">
        <f>IF($B9504="","",TEXT($B9504,"0000"))</f>
        <v/>
      </c>
      <c r="W9504" s="19">
        <f>IF($I9504="","",IF(ISNUMBER($I9504),TEXT($I9504,"0"),$I9504))</f>
        <v/>
      </c>
    </row>
    <row r="9505">
      <c r="B9505" s="25" t="n"/>
      <c r="I9505" s="25" t="n"/>
      <c r="U9505" s="19">
        <f>IF($V9505&lt;&gt;'設定'!$C$4,N(U9504),IF(OR(NOT(COUNTIF('商品マスタ'!$B$6:$B$1005,$W9505)=0),COUNTIFS('①在庫を貼る'!$V$6:$V$10005,$V9505,'①在庫を貼る'!$W$6:$W$10005,$W9505)+COUNTIFS('月1回_1ヶ月前の在庫'!$V$6:$V$10005,$V9505,'月1回_1ヶ月前の在庫'!$W$6:$W$10005,$W9505)&gt;0),N(U9504),N(U9504)+1))</f>
        <v/>
      </c>
      <c r="V9505" s="19">
        <f>IF($B9505="","",TEXT($B9505,"0000"))</f>
        <v/>
      </c>
      <c r="W9505" s="19">
        <f>IF($I9505="","",IF(ISNUMBER($I9505),TEXT($I9505,"0"),$I9505))</f>
        <v/>
      </c>
    </row>
    <row r="9506">
      <c r="B9506" s="25" t="n"/>
      <c r="I9506" s="25" t="n"/>
      <c r="U9506" s="19">
        <f>IF($V9506&lt;&gt;'設定'!$C$4,N(U9505),IF(OR(NOT(COUNTIF('商品マスタ'!$B$6:$B$1005,$W9506)=0),COUNTIFS('①在庫を貼る'!$V$6:$V$10005,$V9506,'①在庫を貼る'!$W$6:$W$10005,$W9506)+COUNTIFS('月1回_1ヶ月前の在庫'!$V$6:$V$10005,$V9506,'月1回_1ヶ月前の在庫'!$W$6:$W$10005,$W9506)&gt;0),N(U9505),N(U9505)+1))</f>
        <v/>
      </c>
      <c r="V9506" s="19">
        <f>IF($B9506="","",TEXT($B9506,"0000"))</f>
        <v/>
      </c>
      <c r="W9506" s="19">
        <f>IF($I9506="","",IF(ISNUMBER($I9506),TEXT($I9506,"0"),$I9506))</f>
        <v/>
      </c>
    </row>
    <row r="9507">
      <c r="B9507" s="25" t="n"/>
      <c r="I9507" s="25" t="n"/>
      <c r="U9507" s="19">
        <f>IF($V9507&lt;&gt;'設定'!$C$4,N(U9506),IF(OR(NOT(COUNTIF('商品マスタ'!$B$6:$B$1005,$W9507)=0),COUNTIFS('①在庫を貼る'!$V$6:$V$10005,$V9507,'①在庫を貼る'!$W$6:$W$10005,$W9507)+COUNTIFS('月1回_1ヶ月前の在庫'!$V$6:$V$10005,$V9507,'月1回_1ヶ月前の在庫'!$W$6:$W$10005,$W9507)&gt;0),N(U9506),N(U9506)+1))</f>
        <v/>
      </c>
      <c r="V9507" s="19">
        <f>IF($B9507="","",TEXT($B9507,"0000"))</f>
        <v/>
      </c>
      <c r="W9507" s="19">
        <f>IF($I9507="","",IF(ISNUMBER($I9507),TEXT($I9507,"0"),$I9507))</f>
        <v/>
      </c>
    </row>
    <row r="9508">
      <c r="B9508" s="25" t="n"/>
      <c r="I9508" s="25" t="n"/>
      <c r="U9508" s="19">
        <f>IF($V9508&lt;&gt;'設定'!$C$4,N(U9507),IF(OR(NOT(COUNTIF('商品マスタ'!$B$6:$B$1005,$W9508)=0),COUNTIFS('①在庫を貼る'!$V$6:$V$10005,$V9508,'①在庫を貼る'!$W$6:$W$10005,$W9508)+COUNTIFS('月1回_1ヶ月前の在庫'!$V$6:$V$10005,$V9508,'月1回_1ヶ月前の在庫'!$W$6:$W$10005,$W9508)&gt;0),N(U9507),N(U9507)+1))</f>
        <v/>
      </c>
      <c r="V9508" s="19">
        <f>IF($B9508="","",TEXT($B9508,"0000"))</f>
        <v/>
      </c>
      <c r="W9508" s="19">
        <f>IF($I9508="","",IF(ISNUMBER($I9508),TEXT($I9508,"0"),$I9508))</f>
        <v/>
      </c>
    </row>
    <row r="9509">
      <c r="B9509" s="25" t="n"/>
      <c r="I9509" s="25" t="n"/>
      <c r="U9509" s="19">
        <f>IF($V9509&lt;&gt;'設定'!$C$4,N(U9508),IF(OR(NOT(COUNTIF('商品マスタ'!$B$6:$B$1005,$W9509)=0),COUNTIFS('①在庫を貼る'!$V$6:$V$10005,$V9509,'①在庫を貼る'!$W$6:$W$10005,$W9509)+COUNTIFS('月1回_1ヶ月前の在庫'!$V$6:$V$10005,$V9509,'月1回_1ヶ月前の在庫'!$W$6:$W$10005,$W9509)&gt;0),N(U9508),N(U9508)+1))</f>
        <v/>
      </c>
      <c r="V9509" s="19">
        <f>IF($B9509="","",TEXT($B9509,"0000"))</f>
        <v/>
      </c>
      <c r="W9509" s="19">
        <f>IF($I9509="","",IF(ISNUMBER($I9509),TEXT($I9509,"0"),$I9509))</f>
        <v/>
      </c>
    </row>
    <row r="9510">
      <c r="B9510" s="25" t="n"/>
      <c r="I9510" s="25" t="n"/>
      <c r="U9510" s="19">
        <f>IF($V9510&lt;&gt;'設定'!$C$4,N(U9509),IF(OR(NOT(COUNTIF('商品マスタ'!$B$6:$B$1005,$W9510)=0),COUNTIFS('①在庫を貼る'!$V$6:$V$10005,$V9510,'①在庫を貼る'!$W$6:$W$10005,$W9510)+COUNTIFS('月1回_1ヶ月前の在庫'!$V$6:$V$10005,$V9510,'月1回_1ヶ月前の在庫'!$W$6:$W$10005,$W9510)&gt;0),N(U9509),N(U9509)+1))</f>
        <v/>
      </c>
      <c r="V9510" s="19">
        <f>IF($B9510="","",TEXT($B9510,"0000"))</f>
        <v/>
      </c>
      <c r="W9510" s="19">
        <f>IF($I9510="","",IF(ISNUMBER($I9510),TEXT($I9510,"0"),$I9510))</f>
        <v/>
      </c>
    </row>
    <row r="9511">
      <c r="B9511" s="25" t="n"/>
      <c r="I9511" s="25" t="n"/>
      <c r="U9511" s="19">
        <f>IF($V9511&lt;&gt;'設定'!$C$4,N(U9510),IF(OR(NOT(COUNTIF('商品マスタ'!$B$6:$B$1005,$W9511)=0),COUNTIFS('①在庫を貼る'!$V$6:$V$10005,$V9511,'①在庫を貼る'!$W$6:$W$10005,$W9511)+COUNTIFS('月1回_1ヶ月前の在庫'!$V$6:$V$10005,$V9511,'月1回_1ヶ月前の在庫'!$W$6:$W$10005,$W9511)&gt;0),N(U9510),N(U9510)+1))</f>
        <v/>
      </c>
      <c r="V9511" s="19">
        <f>IF($B9511="","",TEXT($B9511,"0000"))</f>
        <v/>
      </c>
      <c r="W9511" s="19">
        <f>IF($I9511="","",IF(ISNUMBER($I9511),TEXT($I9511,"0"),$I9511))</f>
        <v/>
      </c>
    </row>
    <row r="9512">
      <c r="B9512" s="25" t="n"/>
      <c r="I9512" s="25" t="n"/>
      <c r="U9512" s="19">
        <f>IF($V9512&lt;&gt;'設定'!$C$4,N(U9511),IF(OR(NOT(COUNTIF('商品マスタ'!$B$6:$B$1005,$W9512)=0),COUNTIFS('①在庫を貼る'!$V$6:$V$10005,$V9512,'①在庫を貼る'!$W$6:$W$10005,$W9512)+COUNTIFS('月1回_1ヶ月前の在庫'!$V$6:$V$10005,$V9512,'月1回_1ヶ月前の在庫'!$W$6:$W$10005,$W9512)&gt;0),N(U9511),N(U9511)+1))</f>
        <v/>
      </c>
      <c r="V9512" s="19">
        <f>IF($B9512="","",TEXT($B9512,"0000"))</f>
        <v/>
      </c>
      <c r="W9512" s="19">
        <f>IF($I9512="","",IF(ISNUMBER($I9512),TEXT($I9512,"0"),$I9512))</f>
        <v/>
      </c>
    </row>
    <row r="9513">
      <c r="B9513" s="25" t="n"/>
      <c r="I9513" s="25" t="n"/>
      <c r="U9513" s="19">
        <f>IF($V9513&lt;&gt;'設定'!$C$4,N(U9512),IF(OR(NOT(COUNTIF('商品マスタ'!$B$6:$B$1005,$W9513)=0),COUNTIFS('①在庫を貼る'!$V$6:$V$10005,$V9513,'①在庫を貼る'!$W$6:$W$10005,$W9513)+COUNTIFS('月1回_1ヶ月前の在庫'!$V$6:$V$10005,$V9513,'月1回_1ヶ月前の在庫'!$W$6:$W$10005,$W9513)&gt;0),N(U9512),N(U9512)+1))</f>
        <v/>
      </c>
      <c r="V9513" s="19">
        <f>IF($B9513="","",TEXT($B9513,"0000"))</f>
        <v/>
      </c>
      <c r="W9513" s="19">
        <f>IF($I9513="","",IF(ISNUMBER($I9513),TEXT($I9513,"0"),$I9513))</f>
        <v/>
      </c>
    </row>
    <row r="9514">
      <c r="B9514" s="25" t="n"/>
      <c r="I9514" s="25" t="n"/>
      <c r="U9514" s="19">
        <f>IF($V9514&lt;&gt;'設定'!$C$4,N(U9513),IF(OR(NOT(COUNTIF('商品マスタ'!$B$6:$B$1005,$W9514)=0),COUNTIFS('①在庫を貼る'!$V$6:$V$10005,$V9514,'①在庫を貼る'!$W$6:$W$10005,$W9514)+COUNTIFS('月1回_1ヶ月前の在庫'!$V$6:$V$10005,$V9514,'月1回_1ヶ月前の在庫'!$W$6:$W$10005,$W9514)&gt;0),N(U9513),N(U9513)+1))</f>
        <v/>
      </c>
      <c r="V9514" s="19">
        <f>IF($B9514="","",TEXT($B9514,"0000"))</f>
        <v/>
      </c>
      <c r="W9514" s="19">
        <f>IF($I9514="","",IF(ISNUMBER($I9514),TEXT($I9514,"0"),$I9514))</f>
        <v/>
      </c>
    </row>
    <row r="9515">
      <c r="B9515" s="25" t="n"/>
      <c r="I9515" s="25" t="n"/>
      <c r="U9515" s="19">
        <f>IF($V9515&lt;&gt;'設定'!$C$4,N(U9514),IF(OR(NOT(COUNTIF('商品マスタ'!$B$6:$B$1005,$W9515)=0),COUNTIFS('①在庫を貼る'!$V$6:$V$10005,$V9515,'①在庫を貼る'!$W$6:$W$10005,$W9515)+COUNTIFS('月1回_1ヶ月前の在庫'!$V$6:$V$10005,$V9515,'月1回_1ヶ月前の在庫'!$W$6:$W$10005,$W9515)&gt;0),N(U9514),N(U9514)+1))</f>
        <v/>
      </c>
      <c r="V9515" s="19">
        <f>IF($B9515="","",TEXT($B9515,"0000"))</f>
        <v/>
      </c>
      <c r="W9515" s="19">
        <f>IF($I9515="","",IF(ISNUMBER($I9515),TEXT($I9515,"0"),$I9515))</f>
        <v/>
      </c>
    </row>
    <row r="9516">
      <c r="B9516" s="25" t="n"/>
      <c r="I9516" s="25" t="n"/>
      <c r="U9516" s="19">
        <f>IF($V9516&lt;&gt;'設定'!$C$4,N(U9515),IF(OR(NOT(COUNTIF('商品マスタ'!$B$6:$B$1005,$W9516)=0),COUNTIFS('①在庫を貼る'!$V$6:$V$10005,$V9516,'①在庫を貼る'!$W$6:$W$10005,$W9516)+COUNTIFS('月1回_1ヶ月前の在庫'!$V$6:$V$10005,$V9516,'月1回_1ヶ月前の在庫'!$W$6:$W$10005,$W9516)&gt;0),N(U9515),N(U9515)+1))</f>
        <v/>
      </c>
      <c r="V9516" s="19">
        <f>IF($B9516="","",TEXT($B9516,"0000"))</f>
        <v/>
      </c>
      <c r="W9516" s="19">
        <f>IF($I9516="","",IF(ISNUMBER($I9516),TEXT($I9516,"0"),$I9516))</f>
        <v/>
      </c>
    </row>
    <row r="9517">
      <c r="B9517" s="25" t="n"/>
      <c r="I9517" s="25" t="n"/>
      <c r="U9517" s="19">
        <f>IF($V9517&lt;&gt;'設定'!$C$4,N(U9516),IF(OR(NOT(COUNTIF('商品マスタ'!$B$6:$B$1005,$W9517)=0),COUNTIFS('①在庫を貼る'!$V$6:$V$10005,$V9517,'①在庫を貼る'!$W$6:$W$10005,$W9517)+COUNTIFS('月1回_1ヶ月前の在庫'!$V$6:$V$10005,$V9517,'月1回_1ヶ月前の在庫'!$W$6:$W$10005,$W9517)&gt;0),N(U9516),N(U9516)+1))</f>
        <v/>
      </c>
      <c r="V9517" s="19">
        <f>IF($B9517="","",TEXT($B9517,"0000"))</f>
        <v/>
      </c>
      <c r="W9517" s="19">
        <f>IF($I9517="","",IF(ISNUMBER($I9517),TEXT($I9517,"0"),$I9517))</f>
        <v/>
      </c>
    </row>
    <row r="9518">
      <c r="B9518" s="25" t="n"/>
      <c r="I9518" s="25" t="n"/>
      <c r="U9518" s="19">
        <f>IF($V9518&lt;&gt;'設定'!$C$4,N(U9517),IF(OR(NOT(COUNTIF('商品マスタ'!$B$6:$B$1005,$W9518)=0),COUNTIFS('①在庫を貼る'!$V$6:$V$10005,$V9518,'①在庫を貼る'!$W$6:$W$10005,$W9518)+COUNTIFS('月1回_1ヶ月前の在庫'!$V$6:$V$10005,$V9518,'月1回_1ヶ月前の在庫'!$W$6:$W$10005,$W9518)&gt;0),N(U9517),N(U9517)+1))</f>
        <v/>
      </c>
      <c r="V9518" s="19">
        <f>IF($B9518="","",TEXT($B9518,"0000"))</f>
        <v/>
      </c>
      <c r="W9518" s="19">
        <f>IF($I9518="","",IF(ISNUMBER($I9518),TEXT($I9518,"0"),$I9518))</f>
        <v/>
      </c>
    </row>
    <row r="9519">
      <c r="B9519" s="25" t="n"/>
      <c r="I9519" s="25" t="n"/>
      <c r="U9519" s="19">
        <f>IF($V9519&lt;&gt;'設定'!$C$4,N(U9518),IF(OR(NOT(COUNTIF('商品マスタ'!$B$6:$B$1005,$W9519)=0),COUNTIFS('①在庫を貼る'!$V$6:$V$10005,$V9519,'①在庫を貼る'!$W$6:$W$10005,$W9519)+COUNTIFS('月1回_1ヶ月前の在庫'!$V$6:$V$10005,$V9519,'月1回_1ヶ月前の在庫'!$W$6:$W$10005,$W9519)&gt;0),N(U9518),N(U9518)+1))</f>
        <v/>
      </c>
      <c r="V9519" s="19">
        <f>IF($B9519="","",TEXT($B9519,"0000"))</f>
        <v/>
      </c>
      <c r="W9519" s="19">
        <f>IF($I9519="","",IF(ISNUMBER($I9519),TEXT($I9519,"0"),$I9519))</f>
        <v/>
      </c>
    </row>
    <row r="9520">
      <c r="B9520" s="25" t="n"/>
      <c r="I9520" s="25" t="n"/>
      <c r="U9520" s="19">
        <f>IF($V9520&lt;&gt;'設定'!$C$4,N(U9519),IF(OR(NOT(COUNTIF('商品マスタ'!$B$6:$B$1005,$W9520)=0),COUNTIFS('①在庫を貼る'!$V$6:$V$10005,$V9520,'①在庫を貼る'!$W$6:$W$10005,$W9520)+COUNTIFS('月1回_1ヶ月前の在庫'!$V$6:$V$10005,$V9520,'月1回_1ヶ月前の在庫'!$W$6:$W$10005,$W9520)&gt;0),N(U9519),N(U9519)+1))</f>
        <v/>
      </c>
      <c r="V9520" s="19">
        <f>IF($B9520="","",TEXT($B9520,"0000"))</f>
        <v/>
      </c>
      <c r="W9520" s="19">
        <f>IF($I9520="","",IF(ISNUMBER($I9520),TEXT($I9520,"0"),$I9520))</f>
        <v/>
      </c>
    </row>
    <row r="9521">
      <c r="B9521" s="25" t="n"/>
      <c r="I9521" s="25" t="n"/>
      <c r="U9521" s="19">
        <f>IF($V9521&lt;&gt;'設定'!$C$4,N(U9520),IF(OR(NOT(COUNTIF('商品マスタ'!$B$6:$B$1005,$W9521)=0),COUNTIFS('①在庫を貼る'!$V$6:$V$10005,$V9521,'①在庫を貼る'!$W$6:$W$10005,$W9521)+COUNTIFS('月1回_1ヶ月前の在庫'!$V$6:$V$10005,$V9521,'月1回_1ヶ月前の在庫'!$W$6:$W$10005,$W9521)&gt;0),N(U9520),N(U9520)+1))</f>
        <v/>
      </c>
      <c r="V9521" s="19">
        <f>IF($B9521="","",TEXT($B9521,"0000"))</f>
        <v/>
      </c>
      <c r="W9521" s="19">
        <f>IF($I9521="","",IF(ISNUMBER($I9521),TEXT($I9521,"0"),$I9521))</f>
        <v/>
      </c>
    </row>
    <row r="9522">
      <c r="B9522" s="25" t="n"/>
      <c r="I9522" s="25" t="n"/>
      <c r="U9522" s="19">
        <f>IF($V9522&lt;&gt;'設定'!$C$4,N(U9521),IF(OR(NOT(COUNTIF('商品マスタ'!$B$6:$B$1005,$W9522)=0),COUNTIFS('①在庫を貼る'!$V$6:$V$10005,$V9522,'①在庫を貼る'!$W$6:$W$10005,$W9522)+COUNTIFS('月1回_1ヶ月前の在庫'!$V$6:$V$10005,$V9522,'月1回_1ヶ月前の在庫'!$W$6:$W$10005,$W9522)&gt;0),N(U9521),N(U9521)+1))</f>
        <v/>
      </c>
      <c r="V9522" s="19">
        <f>IF($B9522="","",TEXT($B9522,"0000"))</f>
        <v/>
      </c>
      <c r="W9522" s="19">
        <f>IF($I9522="","",IF(ISNUMBER($I9522),TEXT($I9522,"0"),$I9522))</f>
        <v/>
      </c>
    </row>
    <row r="9523">
      <c r="B9523" s="25" t="n"/>
      <c r="I9523" s="25" t="n"/>
      <c r="U9523" s="19">
        <f>IF($V9523&lt;&gt;'設定'!$C$4,N(U9522),IF(OR(NOT(COUNTIF('商品マスタ'!$B$6:$B$1005,$W9523)=0),COUNTIFS('①在庫を貼る'!$V$6:$V$10005,$V9523,'①在庫を貼る'!$W$6:$W$10005,$W9523)+COUNTIFS('月1回_1ヶ月前の在庫'!$V$6:$V$10005,$V9523,'月1回_1ヶ月前の在庫'!$W$6:$W$10005,$W9523)&gt;0),N(U9522),N(U9522)+1))</f>
        <v/>
      </c>
      <c r="V9523" s="19">
        <f>IF($B9523="","",TEXT($B9523,"0000"))</f>
        <v/>
      </c>
      <c r="W9523" s="19">
        <f>IF($I9523="","",IF(ISNUMBER($I9523),TEXT($I9523,"0"),$I9523))</f>
        <v/>
      </c>
    </row>
    <row r="9524">
      <c r="B9524" s="25" t="n"/>
      <c r="I9524" s="25" t="n"/>
      <c r="U9524" s="19">
        <f>IF($V9524&lt;&gt;'設定'!$C$4,N(U9523),IF(OR(NOT(COUNTIF('商品マスタ'!$B$6:$B$1005,$W9524)=0),COUNTIFS('①在庫を貼る'!$V$6:$V$10005,$V9524,'①在庫を貼る'!$W$6:$W$10005,$W9524)+COUNTIFS('月1回_1ヶ月前の在庫'!$V$6:$V$10005,$V9524,'月1回_1ヶ月前の在庫'!$W$6:$W$10005,$W9524)&gt;0),N(U9523),N(U9523)+1))</f>
        <v/>
      </c>
      <c r="V9524" s="19">
        <f>IF($B9524="","",TEXT($B9524,"0000"))</f>
        <v/>
      </c>
      <c r="W9524" s="19">
        <f>IF($I9524="","",IF(ISNUMBER($I9524),TEXT($I9524,"0"),$I9524))</f>
        <v/>
      </c>
    </row>
    <row r="9525">
      <c r="B9525" s="25" t="n"/>
      <c r="I9525" s="25" t="n"/>
      <c r="U9525" s="19">
        <f>IF($V9525&lt;&gt;'設定'!$C$4,N(U9524),IF(OR(NOT(COUNTIF('商品マスタ'!$B$6:$B$1005,$W9525)=0),COUNTIFS('①在庫を貼る'!$V$6:$V$10005,$V9525,'①在庫を貼る'!$W$6:$W$10005,$W9525)+COUNTIFS('月1回_1ヶ月前の在庫'!$V$6:$V$10005,$V9525,'月1回_1ヶ月前の在庫'!$W$6:$W$10005,$W9525)&gt;0),N(U9524),N(U9524)+1))</f>
        <v/>
      </c>
      <c r="V9525" s="19">
        <f>IF($B9525="","",TEXT($B9525,"0000"))</f>
        <v/>
      </c>
      <c r="W9525" s="19">
        <f>IF($I9525="","",IF(ISNUMBER($I9525),TEXT($I9525,"0"),$I9525))</f>
        <v/>
      </c>
    </row>
    <row r="9526">
      <c r="B9526" s="25" t="n"/>
      <c r="I9526" s="25" t="n"/>
      <c r="U9526" s="19">
        <f>IF($V9526&lt;&gt;'設定'!$C$4,N(U9525),IF(OR(NOT(COUNTIF('商品マスタ'!$B$6:$B$1005,$W9526)=0),COUNTIFS('①在庫を貼る'!$V$6:$V$10005,$V9526,'①在庫を貼る'!$W$6:$W$10005,$W9526)+COUNTIFS('月1回_1ヶ月前の在庫'!$V$6:$V$10005,$V9526,'月1回_1ヶ月前の在庫'!$W$6:$W$10005,$W9526)&gt;0),N(U9525),N(U9525)+1))</f>
        <v/>
      </c>
      <c r="V9526" s="19">
        <f>IF($B9526="","",TEXT($B9526,"0000"))</f>
        <v/>
      </c>
      <c r="W9526" s="19">
        <f>IF($I9526="","",IF(ISNUMBER($I9526),TEXT($I9526,"0"),$I9526))</f>
        <v/>
      </c>
    </row>
    <row r="9527">
      <c r="B9527" s="25" t="n"/>
      <c r="I9527" s="25" t="n"/>
      <c r="U9527" s="19">
        <f>IF($V9527&lt;&gt;'設定'!$C$4,N(U9526),IF(OR(NOT(COUNTIF('商品マスタ'!$B$6:$B$1005,$W9527)=0),COUNTIFS('①在庫を貼る'!$V$6:$V$10005,$V9527,'①在庫を貼る'!$W$6:$W$10005,$W9527)+COUNTIFS('月1回_1ヶ月前の在庫'!$V$6:$V$10005,$V9527,'月1回_1ヶ月前の在庫'!$W$6:$W$10005,$W9527)&gt;0),N(U9526),N(U9526)+1))</f>
        <v/>
      </c>
      <c r="V9527" s="19">
        <f>IF($B9527="","",TEXT($B9527,"0000"))</f>
        <v/>
      </c>
      <c r="W9527" s="19">
        <f>IF($I9527="","",IF(ISNUMBER($I9527),TEXT($I9527,"0"),$I9527))</f>
        <v/>
      </c>
    </row>
    <row r="9528">
      <c r="B9528" s="25" t="n"/>
      <c r="I9528" s="25" t="n"/>
      <c r="U9528" s="19">
        <f>IF($V9528&lt;&gt;'設定'!$C$4,N(U9527),IF(OR(NOT(COUNTIF('商品マスタ'!$B$6:$B$1005,$W9528)=0),COUNTIFS('①在庫を貼る'!$V$6:$V$10005,$V9528,'①在庫を貼る'!$W$6:$W$10005,$W9528)+COUNTIFS('月1回_1ヶ月前の在庫'!$V$6:$V$10005,$V9528,'月1回_1ヶ月前の在庫'!$W$6:$W$10005,$W9528)&gt;0),N(U9527),N(U9527)+1))</f>
        <v/>
      </c>
      <c r="V9528" s="19">
        <f>IF($B9528="","",TEXT($B9528,"0000"))</f>
        <v/>
      </c>
      <c r="W9528" s="19">
        <f>IF($I9528="","",IF(ISNUMBER($I9528),TEXT($I9528,"0"),$I9528))</f>
        <v/>
      </c>
    </row>
    <row r="9529">
      <c r="B9529" s="25" t="n"/>
      <c r="I9529" s="25" t="n"/>
      <c r="U9529" s="19">
        <f>IF($V9529&lt;&gt;'設定'!$C$4,N(U9528),IF(OR(NOT(COUNTIF('商品マスタ'!$B$6:$B$1005,$W9529)=0),COUNTIFS('①在庫を貼る'!$V$6:$V$10005,$V9529,'①在庫を貼る'!$W$6:$W$10005,$W9529)+COUNTIFS('月1回_1ヶ月前の在庫'!$V$6:$V$10005,$V9529,'月1回_1ヶ月前の在庫'!$W$6:$W$10005,$W9529)&gt;0),N(U9528),N(U9528)+1))</f>
        <v/>
      </c>
      <c r="V9529" s="19">
        <f>IF($B9529="","",TEXT($B9529,"0000"))</f>
        <v/>
      </c>
      <c r="W9529" s="19">
        <f>IF($I9529="","",IF(ISNUMBER($I9529),TEXT($I9529,"0"),$I9529))</f>
        <v/>
      </c>
    </row>
    <row r="9530">
      <c r="B9530" s="25" t="n"/>
      <c r="I9530" s="25" t="n"/>
      <c r="U9530" s="19">
        <f>IF($V9530&lt;&gt;'設定'!$C$4,N(U9529),IF(OR(NOT(COUNTIF('商品マスタ'!$B$6:$B$1005,$W9530)=0),COUNTIFS('①在庫を貼る'!$V$6:$V$10005,$V9530,'①在庫を貼る'!$W$6:$W$10005,$W9530)+COUNTIFS('月1回_1ヶ月前の在庫'!$V$6:$V$10005,$V9530,'月1回_1ヶ月前の在庫'!$W$6:$W$10005,$W9530)&gt;0),N(U9529),N(U9529)+1))</f>
        <v/>
      </c>
      <c r="V9530" s="19">
        <f>IF($B9530="","",TEXT($B9530,"0000"))</f>
        <v/>
      </c>
      <c r="W9530" s="19">
        <f>IF($I9530="","",IF(ISNUMBER($I9530),TEXT($I9530,"0"),$I9530))</f>
        <v/>
      </c>
    </row>
    <row r="9531">
      <c r="B9531" s="25" t="n"/>
      <c r="I9531" s="25" t="n"/>
      <c r="U9531" s="19">
        <f>IF($V9531&lt;&gt;'設定'!$C$4,N(U9530),IF(OR(NOT(COUNTIF('商品マスタ'!$B$6:$B$1005,$W9531)=0),COUNTIFS('①在庫を貼る'!$V$6:$V$10005,$V9531,'①在庫を貼る'!$W$6:$W$10005,$W9531)+COUNTIFS('月1回_1ヶ月前の在庫'!$V$6:$V$10005,$V9531,'月1回_1ヶ月前の在庫'!$W$6:$W$10005,$W9531)&gt;0),N(U9530),N(U9530)+1))</f>
        <v/>
      </c>
      <c r="V9531" s="19">
        <f>IF($B9531="","",TEXT($B9531,"0000"))</f>
        <v/>
      </c>
      <c r="W9531" s="19">
        <f>IF($I9531="","",IF(ISNUMBER($I9531),TEXT($I9531,"0"),$I9531))</f>
        <v/>
      </c>
    </row>
    <row r="9532">
      <c r="B9532" s="25" t="n"/>
      <c r="I9532" s="25" t="n"/>
      <c r="U9532" s="19">
        <f>IF($V9532&lt;&gt;'設定'!$C$4,N(U9531),IF(OR(NOT(COUNTIF('商品マスタ'!$B$6:$B$1005,$W9532)=0),COUNTIFS('①在庫を貼る'!$V$6:$V$10005,$V9532,'①在庫を貼る'!$W$6:$W$10005,$W9532)+COUNTIFS('月1回_1ヶ月前の在庫'!$V$6:$V$10005,$V9532,'月1回_1ヶ月前の在庫'!$W$6:$W$10005,$W9532)&gt;0),N(U9531),N(U9531)+1))</f>
        <v/>
      </c>
      <c r="V9532" s="19">
        <f>IF($B9532="","",TEXT($B9532,"0000"))</f>
        <v/>
      </c>
      <c r="W9532" s="19">
        <f>IF($I9532="","",IF(ISNUMBER($I9532),TEXT($I9532,"0"),$I9532))</f>
        <v/>
      </c>
    </row>
    <row r="9533">
      <c r="B9533" s="25" t="n"/>
      <c r="I9533" s="25" t="n"/>
      <c r="U9533" s="19">
        <f>IF($V9533&lt;&gt;'設定'!$C$4,N(U9532),IF(OR(NOT(COUNTIF('商品マスタ'!$B$6:$B$1005,$W9533)=0),COUNTIFS('①在庫を貼る'!$V$6:$V$10005,$V9533,'①在庫を貼る'!$W$6:$W$10005,$W9533)+COUNTIFS('月1回_1ヶ月前の在庫'!$V$6:$V$10005,$V9533,'月1回_1ヶ月前の在庫'!$W$6:$W$10005,$W9533)&gt;0),N(U9532),N(U9532)+1))</f>
        <v/>
      </c>
      <c r="V9533" s="19">
        <f>IF($B9533="","",TEXT($B9533,"0000"))</f>
        <v/>
      </c>
      <c r="W9533" s="19">
        <f>IF($I9533="","",IF(ISNUMBER($I9533),TEXT($I9533,"0"),$I9533))</f>
        <v/>
      </c>
    </row>
    <row r="9534">
      <c r="B9534" s="25" t="n"/>
      <c r="I9534" s="25" t="n"/>
      <c r="U9534" s="19">
        <f>IF($V9534&lt;&gt;'設定'!$C$4,N(U9533),IF(OR(NOT(COUNTIF('商品マスタ'!$B$6:$B$1005,$W9534)=0),COUNTIFS('①在庫を貼る'!$V$6:$V$10005,$V9534,'①在庫を貼る'!$W$6:$W$10005,$W9534)+COUNTIFS('月1回_1ヶ月前の在庫'!$V$6:$V$10005,$V9534,'月1回_1ヶ月前の在庫'!$W$6:$W$10005,$W9534)&gt;0),N(U9533),N(U9533)+1))</f>
        <v/>
      </c>
      <c r="V9534" s="19">
        <f>IF($B9534="","",TEXT($B9534,"0000"))</f>
        <v/>
      </c>
      <c r="W9534" s="19">
        <f>IF($I9534="","",IF(ISNUMBER($I9534),TEXT($I9534,"0"),$I9534))</f>
        <v/>
      </c>
    </row>
    <row r="9535">
      <c r="B9535" s="25" t="n"/>
      <c r="I9535" s="25" t="n"/>
      <c r="U9535" s="19">
        <f>IF($V9535&lt;&gt;'設定'!$C$4,N(U9534),IF(OR(NOT(COUNTIF('商品マスタ'!$B$6:$B$1005,$W9535)=0),COUNTIFS('①在庫を貼る'!$V$6:$V$10005,$V9535,'①在庫を貼る'!$W$6:$W$10005,$W9535)+COUNTIFS('月1回_1ヶ月前の在庫'!$V$6:$V$10005,$V9535,'月1回_1ヶ月前の在庫'!$W$6:$W$10005,$W9535)&gt;0),N(U9534),N(U9534)+1))</f>
        <v/>
      </c>
      <c r="V9535" s="19">
        <f>IF($B9535="","",TEXT($B9535,"0000"))</f>
        <v/>
      </c>
      <c r="W9535" s="19">
        <f>IF($I9535="","",IF(ISNUMBER($I9535),TEXT($I9535,"0"),$I9535))</f>
        <v/>
      </c>
    </row>
    <row r="9536">
      <c r="B9536" s="25" t="n"/>
      <c r="I9536" s="25" t="n"/>
      <c r="U9536" s="19">
        <f>IF($V9536&lt;&gt;'設定'!$C$4,N(U9535),IF(OR(NOT(COUNTIF('商品マスタ'!$B$6:$B$1005,$W9536)=0),COUNTIFS('①在庫を貼る'!$V$6:$V$10005,$V9536,'①在庫を貼る'!$W$6:$W$10005,$W9536)+COUNTIFS('月1回_1ヶ月前の在庫'!$V$6:$V$10005,$V9536,'月1回_1ヶ月前の在庫'!$W$6:$W$10005,$W9536)&gt;0),N(U9535),N(U9535)+1))</f>
        <v/>
      </c>
      <c r="V9536" s="19">
        <f>IF($B9536="","",TEXT($B9536,"0000"))</f>
        <v/>
      </c>
      <c r="W9536" s="19">
        <f>IF($I9536="","",IF(ISNUMBER($I9536),TEXT($I9536,"0"),$I9536))</f>
        <v/>
      </c>
    </row>
    <row r="9537">
      <c r="B9537" s="25" t="n"/>
      <c r="I9537" s="25" t="n"/>
      <c r="U9537" s="19">
        <f>IF($V9537&lt;&gt;'設定'!$C$4,N(U9536),IF(OR(NOT(COUNTIF('商品マスタ'!$B$6:$B$1005,$W9537)=0),COUNTIFS('①在庫を貼る'!$V$6:$V$10005,$V9537,'①在庫を貼る'!$W$6:$W$10005,$W9537)+COUNTIFS('月1回_1ヶ月前の在庫'!$V$6:$V$10005,$V9537,'月1回_1ヶ月前の在庫'!$W$6:$W$10005,$W9537)&gt;0),N(U9536),N(U9536)+1))</f>
        <v/>
      </c>
      <c r="V9537" s="19">
        <f>IF($B9537="","",TEXT($B9537,"0000"))</f>
        <v/>
      </c>
      <c r="W9537" s="19">
        <f>IF($I9537="","",IF(ISNUMBER($I9537),TEXT($I9537,"0"),$I9537))</f>
        <v/>
      </c>
    </row>
    <row r="9538">
      <c r="B9538" s="25" t="n"/>
      <c r="I9538" s="25" t="n"/>
      <c r="U9538" s="19">
        <f>IF($V9538&lt;&gt;'設定'!$C$4,N(U9537),IF(OR(NOT(COUNTIF('商品マスタ'!$B$6:$B$1005,$W9538)=0),COUNTIFS('①在庫を貼る'!$V$6:$V$10005,$V9538,'①在庫を貼る'!$W$6:$W$10005,$W9538)+COUNTIFS('月1回_1ヶ月前の在庫'!$V$6:$V$10005,$V9538,'月1回_1ヶ月前の在庫'!$W$6:$W$10005,$W9538)&gt;0),N(U9537),N(U9537)+1))</f>
        <v/>
      </c>
      <c r="V9538" s="19">
        <f>IF($B9538="","",TEXT($B9538,"0000"))</f>
        <v/>
      </c>
      <c r="W9538" s="19">
        <f>IF($I9538="","",IF(ISNUMBER($I9538),TEXT($I9538,"0"),$I9538))</f>
        <v/>
      </c>
    </row>
    <row r="9539">
      <c r="B9539" s="25" t="n"/>
      <c r="I9539" s="25" t="n"/>
      <c r="U9539" s="19">
        <f>IF($V9539&lt;&gt;'設定'!$C$4,N(U9538),IF(OR(NOT(COUNTIF('商品マスタ'!$B$6:$B$1005,$W9539)=0),COUNTIFS('①在庫を貼る'!$V$6:$V$10005,$V9539,'①在庫を貼る'!$W$6:$W$10005,$W9539)+COUNTIFS('月1回_1ヶ月前の在庫'!$V$6:$V$10005,$V9539,'月1回_1ヶ月前の在庫'!$W$6:$W$10005,$W9539)&gt;0),N(U9538),N(U9538)+1))</f>
        <v/>
      </c>
      <c r="V9539" s="19">
        <f>IF($B9539="","",TEXT($B9539,"0000"))</f>
        <v/>
      </c>
      <c r="W9539" s="19">
        <f>IF($I9539="","",IF(ISNUMBER($I9539),TEXT($I9539,"0"),$I9539))</f>
        <v/>
      </c>
    </row>
    <row r="9540">
      <c r="B9540" s="25" t="n"/>
      <c r="I9540" s="25" t="n"/>
      <c r="U9540" s="19">
        <f>IF($V9540&lt;&gt;'設定'!$C$4,N(U9539),IF(OR(NOT(COUNTIF('商品マスタ'!$B$6:$B$1005,$W9540)=0),COUNTIFS('①在庫を貼る'!$V$6:$V$10005,$V9540,'①在庫を貼る'!$W$6:$W$10005,$W9540)+COUNTIFS('月1回_1ヶ月前の在庫'!$V$6:$V$10005,$V9540,'月1回_1ヶ月前の在庫'!$W$6:$W$10005,$W9540)&gt;0),N(U9539),N(U9539)+1))</f>
        <v/>
      </c>
      <c r="V9540" s="19">
        <f>IF($B9540="","",TEXT($B9540,"0000"))</f>
        <v/>
      </c>
      <c r="W9540" s="19">
        <f>IF($I9540="","",IF(ISNUMBER($I9540),TEXT($I9540,"0"),$I9540))</f>
        <v/>
      </c>
    </row>
    <row r="9541">
      <c r="B9541" s="25" t="n"/>
      <c r="I9541" s="25" t="n"/>
      <c r="U9541" s="19">
        <f>IF($V9541&lt;&gt;'設定'!$C$4,N(U9540),IF(OR(NOT(COUNTIF('商品マスタ'!$B$6:$B$1005,$W9541)=0),COUNTIFS('①在庫を貼る'!$V$6:$V$10005,$V9541,'①在庫を貼る'!$W$6:$W$10005,$W9541)+COUNTIFS('月1回_1ヶ月前の在庫'!$V$6:$V$10005,$V9541,'月1回_1ヶ月前の在庫'!$W$6:$W$10005,$W9541)&gt;0),N(U9540),N(U9540)+1))</f>
        <v/>
      </c>
      <c r="V9541" s="19">
        <f>IF($B9541="","",TEXT($B9541,"0000"))</f>
        <v/>
      </c>
      <c r="W9541" s="19">
        <f>IF($I9541="","",IF(ISNUMBER($I9541),TEXT($I9541,"0"),$I9541))</f>
        <v/>
      </c>
    </row>
    <row r="9542">
      <c r="B9542" s="25" t="n"/>
      <c r="I9542" s="25" t="n"/>
      <c r="U9542" s="19">
        <f>IF($V9542&lt;&gt;'設定'!$C$4,N(U9541),IF(OR(NOT(COUNTIF('商品マスタ'!$B$6:$B$1005,$W9542)=0),COUNTIFS('①在庫を貼る'!$V$6:$V$10005,$V9542,'①在庫を貼る'!$W$6:$W$10005,$W9542)+COUNTIFS('月1回_1ヶ月前の在庫'!$V$6:$V$10005,$V9542,'月1回_1ヶ月前の在庫'!$W$6:$W$10005,$W9542)&gt;0),N(U9541),N(U9541)+1))</f>
        <v/>
      </c>
      <c r="V9542" s="19">
        <f>IF($B9542="","",TEXT($B9542,"0000"))</f>
        <v/>
      </c>
      <c r="W9542" s="19">
        <f>IF($I9542="","",IF(ISNUMBER($I9542),TEXT($I9542,"0"),$I9542))</f>
        <v/>
      </c>
    </row>
    <row r="9543">
      <c r="B9543" s="25" t="n"/>
      <c r="I9543" s="25" t="n"/>
      <c r="U9543" s="19">
        <f>IF($V9543&lt;&gt;'設定'!$C$4,N(U9542),IF(OR(NOT(COUNTIF('商品マスタ'!$B$6:$B$1005,$W9543)=0),COUNTIFS('①在庫を貼る'!$V$6:$V$10005,$V9543,'①在庫を貼る'!$W$6:$W$10005,$W9543)+COUNTIFS('月1回_1ヶ月前の在庫'!$V$6:$V$10005,$V9543,'月1回_1ヶ月前の在庫'!$W$6:$W$10005,$W9543)&gt;0),N(U9542),N(U9542)+1))</f>
        <v/>
      </c>
      <c r="V9543" s="19">
        <f>IF($B9543="","",TEXT($B9543,"0000"))</f>
        <v/>
      </c>
      <c r="W9543" s="19">
        <f>IF($I9543="","",IF(ISNUMBER($I9543),TEXT($I9543,"0"),$I9543))</f>
        <v/>
      </c>
    </row>
    <row r="9544">
      <c r="B9544" s="25" t="n"/>
      <c r="I9544" s="25" t="n"/>
      <c r="U9544" s="19">
        <f>IF($V9544&lt;&gt;'設定'!$C$4,N(U9543),IF(OR(NOT(COUNTIF('商品マスタ'!$B$6:$B$1005,$W9544)=0),COUNTIFS('①在庫を貼る'!$V$6:$V$10005,$V9544,'①在庫を貼る'!$W$6:$W$10005,$W9544)+COUNTIFS('月1回_1ヶ月前の在庫'!$V$6:$V$10005,$V9544,'月1回_1ヶ月前の在庫'!$W$6:$W$10005,$W9544)&gt;0),N(U9543),N(U9543)+1))</f>
        <v/>
      </c>
      <c r="V9544" s="19">
        <f>IF($B9544="","",TEXT($B9544,"0000"))</f>
        <v/>
      </c>
      <c r="W9544" s="19">
        <f>IF($I9544="","",IF(ISNUMBER($I9544),TEXT($I9544,"0"),$I9544))</f>
        <v/>
      </c>
    </row>
    <row r="9545">
      <c r="B9545" s="25" t="n"/>
      <c r="I9545" s="25" t="n"/>
      <c r="U9545" s="19">
        <f>IF($V9545&lt;&gt;'設定'!$C$4,N(U9544),IF(OR(NOT(COUNTIF('商品マスタ'!$B$6:$B$1005,$W9545)=0),COUNTIFS('①在庫を貼る'!$V$6:$V$10005,$V9545,'①在庫を貼る'!$W$6:$W$10005,$W9545)+COUNTIFS('月1回_1ヶ月前の在庫'!$V$6:$V$10005,$V9545,'月1回_1ヶ月前の在庫'!$W$6:$W$10005,$W9545)&gt;0),N(U9544),N(U9544)+1))</f>
        <v/>
      </c>
      <c r="V9545" s="19">
        <f>IF($B9545="","",TEXT($B9545,"0000"))</f>
        <v/>
      </c>
      <c r="W9545" s="19">
        <f>IF($I9545="","",IF(ISNUMBER($I9545),TEXT($I9545,"0"),$I9545))</f>
        <v/>
      </c>
    </row>
    <row r="9546">
      <c r="B9546" s="25" t="n"/>
      <c r="I9546" s="25" t="n"/>
      <c r="U9546" s="19">
        <f>IF($V9546&lt;&gt;'設定'!$C$4,N(U9545),IF(OR(NOT(COUNTIF('商品マスタ'!$B$6:$B$1005,$W9546)=0),COUNTIFS('①在庫を貼る'!$V$6:$V$10005,$V9546,'①在庫を貼る'!$W$6:$W$10005,$W9546)+COUNTIFS('月1回_1ヶ月前の在庫'!$V$6:$V$10005,$V9546,'月1回_1ヶ月前の在庫'!$W$6:$W$10005,$W9546)&gt;0),N(U9545),N(U9545)+1))</f>
        <v/>
      </c>
      <c r="V9546" s="19">
        <f>IF($B9546="","",TEXT($B9546,"0000"))</f>
        <v/>
      </c>
      <c r="W9546" s="19">
        <f>IF($I9546="","",IF(ISNUMBER($I9546),TEXT($I9546,"0"),$I9546))</f>
        <v/>
      </c>
    </row>
    <row r="9547">
      <c r="B9547" s="25" t="n"/>
      <c r="I9547" s="25" t="n"/>
      <c r="U9547" s="19">
        <f>IF($V9547&lt;&gt;'設定'!$C$4,N(U9546),IF(OR(NOT(COUNTIF('商品マスタ'!$B$6:$B$1005,$W9547)=0),COUNTIFS('①在庫を貼る'!$V$6:$V$10005,$V9547,'①在庫を貼る'!$W$6:$W$10005,$W9547)+COUNTIFS('月1回_1ヶ月前の在庫'!$V$6:$V$10005,$V9547,'月1回_1ヶ月前の在庫'!$W$6:$W$10005,$W9547)&gt;0),N(U9546),N(U9546)+1))</f>
        <v/>
      </c>
      <c r="V9547" s="19">
        <f>IF($B9547="","",TEXT($B9547,"0000"))</f>
        <v/>
      </c>
      <c r="W9547" s="19">
        <f>IF($I9547="","",IF(ISNUMBER($I9547),TEXT($I9547,"0"),$I9547))</f>
        <v/>
      </c>
    </row>
    <row r="9548">
      <c r="B9548" s="25" t="n"/>
      <c r="I9548" s="25" t="n"/>
      <c r="U9548" s="19">
        <f>IF($V9548&lt;&gt;'設定'!$C$4,N(U9547),IF(OR(NOT(COUNTIF('商品マスタ'!$B$6:$B$1005,$W9548)=0),COUNTIFS('①在庫を貼る'!$V$6:$V$10005,$V9548,'①在庫を貼る'!$W$6:$W$10005,$W9548)+COUNTIFS('月1回_1ヶ月前の在庫'!$V$6:$V$10005,$V9548,'月1回_1ヶ月前の在庫'!$W$6:$W$10005,$W9548)&gt;0),N(U9547),N(U9547)+1))</f>
        <v/>
      </c>
      <c r="V9548" s="19">
        <f>IF($B9548="","",TEXT($B9548,"0000"))</f>
        <v/>
      </c>
      <c r="W9548" s="19">
        <f>IF($I9548="","",IF(ISNUMBER($I9548),TEXT($I9548,"0"),$I9548))</f>
        <v/>
      </c>
    </row>
    <row r="9549">
      <c r="B9549" s="25" t="n"/>
      <c r="I9549" s="25" t="n"/>
      <c r="U9549" s="19">
        <f>IF($V9549&lt;&gt;'設定'!$C$4,N(U9548),IF(OR(NOT(COUNTIF('商品マスタ'!$B$6:$B$1005,$W9549)=0),COUNTIFS('①在庫を貼る'!$V$6:$V$10005,$V9549,'①在庫を貼る'!$W$6:$W$10005,$W9549)+COUNTIFS('月1回_1ヶ月前の在庫'!$V$6:$V$10005,$V9549,'月1回_1ヶ月前の在庫'!$W$6:$W$10005,$W9549)&gt;0),N(U9548),N(U9548)+1))</f>
        <v/>
      </c>
      <c r="V9549" s="19">
        <f>IF($B9549="","",TEXT($B9549,"0000"))</f>
        <v/>
      </c>
      <c r="W9549" s="19">
        <f>IF($I9549="","",IF(ISNUMBER($I9549),TEXT($I9549,"0"),$I9549))</f>
        <v/>
      </c>
    </row>
    <row r="9550">
      <c r="B9550" s="25" t="n"/>
      <c r="I9550" s="25" t="n"/>
      <c r="U9550" s="19">
        <f>IF($V9550&lt;&gt;'設定'!$C$4,N(U9549),IF(OR(NOT(COUNTIF('商品マスタ'!$B$6:$B$1005,$W9550)=0),COUNTIFS('①在庫を貼る'!$V$6:$V$10005,$V9550,'①在庫を貼る'!$W$6:$W$10005,$W9550)+COUNTIFS('月1回_1ヶ月前の在庫'!$V$6:$V$10005,$V9550,'月1回_1ヶ月前の在庫'!$W$6:$W$10005,$W9550)&gt;0),N(U9549),N(U9549)+1))</f>
        <v/>
      </c>
      <c r="V9550" s="19">
        <f>IF($B9550="","",TEXT($B9550,"0000"))</f>
        <v/>
      </c>
      <c r="W9550" s="19">
        <f>IF($I9550="","",IF(ISNUMBER($I9550),TEXT($I9550,"0"),$I9550))</f>
        <v/>
      </c>
    </row>
    <row r="9551">
      <c r="B9551" s="25" t="n"/>
      <c r="I9551" s="25" t="n"/>
      <c r="U9551" s="19">
        <f>IF($V9551&lt;&gt;'設定'!$C$4,N(U9550),IF(OR(NOT(COUNTIF('商品マスタ'!$B$6:$B$1005,$W9551)=0),COUNTIFS('①在庫を貼る'!$V$6:$V$10005,$V9551,'①在庫を貼る'!$W$6:$W$10005,$W9551)+COUNTIFS('月1回_1ヶ月前の在庫'!$V$6:$V$10005,$V9551,'月1回_1ヶ月前の在庫'!$W$6:$W$10005,$W9551)&gt;0),N(U9550),N(U9550)+1))</f>
        <v/>
      </c>
      <c r="V9551" s="19">
        <f>IF($B9551="","",TEXT($B9551,"0000"))</f>
        <v/>
      </c>
      <c r="W9551" s="19">
        <f>IF($I9551="","",IF(ISNUMBER($I9551),TEXT($I9551,"0"),$I9551))</f>
        <v/>
      </c>
    </row>
    <row r="9552">
      <c r="B9552" s="25" t="n"/>
      <c r="I9552" s="25" t="n"/>
      <c r="U9552" s="19">
        <f>IF($V9552&lt;&gt;'設定'!$C$4,N(U9551),IF(OR(NOT(COUNTIF('商品マスタ'!$B$6:$B$1005,$W9552)=0),COUNTIFS('①在庫を貼る'!$V$6:$V$10005,$V9552,'①在庫を貼る'!$W$6:$W$10005,$W9552)+COUNTIFS('月1回_1ヶ月前の在庫'!$V$6:$V$10005,$V9552,'月1回_1ヶ月前の在庫'!$W$6:$W$10005,$W9552)&gt;0),N(U9551),N(U9551)+1))</f>
        <v/>
      </c>
      <c r="V9552" s="19">
        <f>IF($B9552="","",TEXT($B9552,"0000"))</f>
        <v/>
      </c>
      <c r="W9552" s="19">
        <f>IF($I9552="","",IF(ISNUMBER($I9552),TEXT($I9552,"0"),$I9552))</f>
        <v/>
      </c>
    </row>
    <row r="9553">
      <c r="B9553" s="25" t="n"/>
      <c r="I9553" s="25" t="n"/>
      <c r="U9553" s="19">
        <f>IF($V9553&lt;&gt;'設定'!$C$4,N(U9552),IF(OR(NOT(COUNTIF('商品マスタ'!$B$6:$B$1005,$W9553)=0),COUNTIFS('①在庫を貼る'!$V$6:$V$10005,$V9553,'①在庫を貼る'!$W$6:$W$10005,$W9553)+COUNTIFS('月1回_1ヶ月前の在庫'!$V$6:$V$10005,$V9553,'月1回_1ヶ月前の在庫'!$W$6:$W$10005,$W9553)&gt;0),N(U9552),N(U9552)+1))</f>
        <v/>
      </c>
      <c r="V9553" s="19">
        <f>IF($B9553="","",TEXT($B9553,"0000"))</f>
        <v/>
      </c>
      <c r="W9553" s="19">
        <f>IF($I9553="","",IF(ISNUMBER($I9553),TEXT($I9553,"0"),$I9553))</f>
        <v/>
      </c>
    </row>
    <row r="9554">
      <c r="B9554" s="25" t="n"/>
      <c r="I9554" s="25" t="n"/>
      <c r="U9554" s="19">
        <f>IF($V9554&lt;&gt;'設定'!$C$4,N(U9553),IF(OR(NOT(COUNTIF('商品マスタ'!$B$6:$B$1005,$W9554)=0),COUNTIFS('①在庫を貼る'!$V$6:$V$10005,$V9554,'①在庫を貼る'!$W$6:$W$10005,$W9554)+COUNTIFS('月1回_1ヶ月前の在庫'!$V$6:$V$10005,$V9554,'月1回_1ヶ月前の在庫'!$W$6:$W$10005,$W9554)&gt;0),N(U9553),N(U9553)+1))</f>
        <v/>
      </c>
      <c r="V9554" s="19">
        <f>IF($B9554="","",TEXT($B9554,"0000"))</f>
        <v/>
      </c>
      <c r="W9554" s="19">
        <f>IF($I9554="","",IF(ISNUMBER($I9554),TEXT($I9554,"0"),$I9554))</f>
        <v/>
      </c>
    </row>
    <row r="9555">
      <c r="B9555" s="25" t="n"/>
      <c r="I9555" s="25" t="n"/>
      <c r="U9555" s="19">
        <f>IF($V9555&lt;&gt;'設定'!$C$4,N(U9554),IF(OR(NOT(COUNTIF('商品マスタ'!$B$6:$B$1005,$W9555)=0),COUNTIFS('①在庫を貼る'!$V$6:$V$10005,$V9555,'①在庫を貼る'!$W$6:$W$10005,$W9555)+COUNTIFS('月1回_1ヶ月前の在庫'!$V$6:$V$10005,$V9555,'月1回_1ヶ月前の在庫'!$W$6:$W$10005,$W9555)&gt;0),N(U9554),N(U9554)+1))</f>
        <v/>
      </c>
      <c r="V9555" s="19">
        <f>IF($B9555="","",TEXT($B9555,"0000"))</f>
        <v/>
      </c>
      <c r="W9555" s="19">
        <f>IF($I9555="","",IF(ISNUMBER($I9555),TEXT($I9555,"0"),$I9555))</f>
        <v/>
      </c>
    </row>
    <row r="9556">
      <c r="B9556" s="25" t="n"/>
      <c r="I9556" s="25" t="n"/>
      <c r="U9556" s="19">
        <f>IF($V9556&lt;&gt;'設定'!$C$4,N(U9555),IF(OR(NOT(COUNTIF('商品マスタ'!$B$6:$B$1005,$W9556)=0),COUNTIFS('①在庫を貼る'!$V$6:$V$10005,$V9556,'①在庫を貼る'!$W$6:$W$10005,$W9556)+COUNTIFS('月1回_1ヶ月前の在庫'!$V$6:$V$10005,$V9556,'月1回_1ヶ月前の在庫'!$W$6:$W$10005,$W9556)&gt;0),N(U9555),N(U9555)+1))</f>
        <v/>
      </c>
      <c r="V9556" s="19">
        <f>IF($B9556="","",TEXT($B9556,"0000"))</f>
        <v/>
      </c>
      <c r="W9556" s="19">
        <f>IF($I9556="","",IF(ISNUMBER($I9556),TEXT($I9556,"0"),$I9556))</f>
        <v/>
      </c>
    </row>
    <row r="9557">
      <c r="B9557" s="25" t="n"/>
      <c r="I9557" s="25" t="n"/>
      <c r="U9557" s="19">
        <f>IF($V9557&lt;&gt;'設定'!$C$4,N(U9556),IF(OR(NOT(COUNTIF('商品マスタ'!$B$6:$B$1005,$W9557)=0),COUNTIFS('①在庫を貼る'!$V$6:$V$10005,$V9557,'①在庫を貼る'!$W$6:$W$10005,$W9557)+COUNTIFS('月1回_1ヶ月前の在庫'!$V$6:$V$10005,$V9557,'月1回_1ヶ月前の在庫'!$W$6:$W$10005,$W9557)&gt;0),N(U9556),N(U9556)+1))</f>
        <v/>
      </c>
      <c r="V9557" s="19">
        <f>IF($B9557="","",TEXT($B9557,"0000"))</f>
        <v/>
      </c>
      <c r="W9557" s="19">
        <f>IF($I9557="","",IF(ISNUMBER($I9557),TEXT($I9557,"0"),$I9557))</f>
        <v/>
      </c>
    </row>
    <row r="9558">
      <c r="B9558" s="25" t="n"/>
      <c r="I9558" s="25" t="n"/>
      <c r="U9558" s="19">
        <f>IF($V9558&lt;&gt;'設定'!$C$4,N(U9557),IF(OR(NOT(COUNTIF('商品マスタ'!$B$6:$B$1005,$W9558)=0),COUNTIFS('①在庫を貼る'!$V$6:$V$10005,$V9558,'①在庫を貼る'!$W$6:$W$10005,$W9558)+COUNTIFS('月1回_1ヶ月前の在庫'!$V$6:$V$10005,$V9558,'月1回_1ヶ月前の在庫'!$W$6:$W$10005,$W9558)&gt;0),N(U9557),N(U9557)+1))</f>
        <v/>
      </c>
      <c r="V9558" s="19">
        <f>IF($B9558="","",TEXT($B9558,"0000"))</f>
        <v/>
      </c>
      <c r="W9558" s="19">
        <f>IF($I9558="","",IF(ISNUMBER($I9558),TEXT($I9558,"0"),$I9558))</f>
        <v/>
      </c>
    </row>
    <row r="9559">
      <c r="B9559" s="25" t="n"/>
      <c r="I9559" s="25" t="n"/>
      <c r="U9559" s="19">
        <f>IF($V9559&lt;&gt;'設定'!$C$4,N(U9558),IF(OR(NOT(COUNTIF('商品マスタ'!$B$6:$B$1005,$W9559)=0),COUNTIFS('①在庫を貼る'!$V$6:$V$10005,$V9559,'①在庫を貼る'!$W$6:$W$10005,$W9559)+COUNTIFS('月1回_1ヶ月前の在庫'!$V$6:$V$10005,$V9559,'月1回_1ヶ月前の在庫'!$W$6:$W$10005,$W9559)&gt;0),N(U9558),N(U9558)+1))</f>
        <v/>
      </c>
      <c r="V9559" s="19">
        <f>IF($B9559="","",TEXT($B9559,"0000"))</f>
        <v/>
      </c>
      <c r="W9559" s="19">
        <f>IF($I9559="","",IF(ISNUMBER($I9559),TEXT($I9559,"0"),$I9559))</f>
        <v/>
      </c>
    </row>
    <row r="9560">
      <c r="B9560" s="25" t="n"/>
      <c r="I9560" s="25" t="n"/>
      <c r="U9560" s="19">
        <f>IF($V9560&lt;&gt;'設定'!$C$4,N(U9559),IF(OR(NOT(COUNTIF('商品マスタ'!$B$6:$B$1005,$W9560)=0),COUNTIFS('①在庫を貼る'!$V$6:$V$10005,$V9560,'①在庫を貼る'!$W$6:$W$10005,$W9560)+COUNTIFS('月1回_1ヶ月前の在庫'!$V$6:$V$10005,$V9560,'月1回_1ヶ月前の在庫'!$W$6:$W$10005,$W9560)&gt;0),N(U9559),N(U9559)+1))</f>
        <v/>
      </c>
      <c r="V9560" s="19">
        <f>IF($B9560="","",TEXT($B9560,"0000"))</f>
        <v/>
      </c>
      <c r="W9560" s="19">
        <f>IF($I9560="","",IF(ISNUMBER($I9560),TEXT($I9560,"0"),$I9560))</f>
        <v/>
      </c>
    </row>
    <row r="9561">
      <c r="B9561" s="25" t="n"/>
      <c r="I9561" s="25" t="n"/>
      <c r="U9561" s="19">
        <f>IF($V9561&lt;&gt;'設定'!$C$4,N(U9560),IF(OR(NOT(COUNTIF('商品マスタ'!$B$6:$B$1005,$W9561)=0),COUNTIFS('①在庫を貼る'!$V$6:$V$10005,$V9561,'①在庫を貼る'!$W$6:$W$10005,$W9561)+COUNTIFS('月1回_1ヶ月前の在庫'!$V$6:$V$10005,$V9561,'月1回_1ヶ月前の在庫'!$W$6:$W$10005,$W9561)&gt;0),N(U9560),N(U9560)+1))</f>
        <v/>
      </c>
      <c r="V9561" s="19">
        <f>IF($B9561="","",TEXT($B9561,"0000"))</f>
        <v/>
      </c>
      <c r="W9561" s="19">
        <f>IF($I9561="","",IF(ISNUMBER($I9561),TEXT($I9561,"0"),$I9561))</f>
        <v/>
      </c>
    </row>
    <row r="9562">
      <c r="B9562" s="25" t="n"/>
      <c r="I9562" s="25" t="n"/>
      <c r="U9562" s="19">
        <f>IF($V9562&lt;&gt;'設定'!$C$4,N(U9561),IF(OR(NOT(COUNTIF('商品マスタ'!$B$6:$B$1005,$W9562)=0),COUNTIFS('①在庫を貼る'!$V$6:$V$10005,$V9562,'①在庫を貼る'!$W$6:$W$10005,$W9562)+COUNTIFS('月1回_1ヶ月前の在庫'!$V$6:$V$10005,$V9562,'月1回_1ヶ月前の在庫'!$W$6:$W$10005,$W9562)&gt;0),N(U9561),N(U9561)+1))</f>
        <v/>
      </c>
      <c r="V9562" s="19">
        <f>IF($B9562="","",TEXT($B9562,"0000"))</f>
        <v/>
      </c>
      <c r="W9562" s="19">
        <f>IF($I9562="","",IF(ISNUMBER($I9562),TEXT($I9562,"0"),$I9562))</f>
        <v/>
      </c>
    </row>
    <row r="9563">
      <c r="B9563" s="25" t="n"/>
      <c r="I9563" s="25" t="n"/>
      <c r="U9563" s="19">
        <f>IF($V9563&lt;&gt;'設定'!$C$4,N(U9562),IF(OR(NOT(COUNTIF('商品マスタ'!$B$6:$B$1005,$W9563)=0),COUNTIFS('①在庫を貼る'!$V$6:$V$10005,$V9563,'①在庫を貼る'!$W$6:$W$10005,$W9563)+COUNTIFS('月1回_1ヶ月前の在庫'!$V$6:$V$10005,$V9563,'月1回_1ヶ月前の在庫'!$W$6:$W$10005,$W9563)&gt;0),N(U9562),N(U9562)+1))</f>
        <v/>
      </c>
      <c r="V9563" s="19">
        <f>IF($B9563="","",TEXT($B9563,"0000"))</f>
        <v/>
      </c>
      <c r="W9563" s="19">
        <f>IF($I9563="","",IF(ISNUMBER($I9563),TEXT($I9563,"0"),$I9563))</f>
        <v/>
      </c>
    </row>
    <row r="9564">
      <c r="B9564" s="25" t="n"/>
      <c r="I9564" s="25" t="n"/>
      <c r="U9564" s="19">
        <f>IF($V9564&lt;&gt;'設定'!$C$4,N(U9563),IF(OR(NOT(COUNTIF('商品マスタ'!$B$6:$B$1005,$W9564)=0),COUNTIFS('①在庫を貼る'!$V$6:$V$10005,$V9564,'①在庫を貼る'!$W$6:$W$10005,$W9564)+COUNTIFS('月1回_1ヶ月前の在庫'!$V$6:$V$10005,$V9564,'月1回_1ヶ月前の在庫'!$W$6:$W$10005,$W9564)&gt;0),N(U9563),N(U9563)+1))</f>
        <v/>
      </c>
      <c r="V9564" s="19">
        <f>IF($B9564="","",TEXT($B9564,"0000"))</f>
        <v/>
      </c>
      <c r="W9564" s="19">
        <f>IF($I9564="","",IF(ISNUMBER($I9564),TEXT($I9564,"0"),$I9564))</f>
        <v/>
      </c>
    </row>
    <row r="9565">
      <c r="B9565" s="25" t="n"/>
      <c r="I9565" s="25" t="n"/>
      <c r="U9565" s="19">
        <f>IF($V9565&lt;&gt;'設定'!$C$4,N(U9564),IF(OR(NOT(COUNTIF('商品マスタ'!$B$6:$B$1005,$W9565)=0),COUNTIFS('①在庫を貼る'!$V$6:$V$10005,$V9565,'①在庫を貼る'!$W$6:$W$10005,$W9565)+COUNTIFS('月1回_1ヶ月前の在庫'!$V$6:$V$10005,$V9565,'月1回_1ヶ月前の在庫'!$W$6:$W$10005,$W9565)&gt;0),N(U9564),N(U9564)+1))</f>
        <v/>
      </c>
      <c r="V9565" s="19">
        <f>IF($B9565="","",TEXT($B9565,"0000"))</f>
        <v/>
      </c>
      <c r="W9565" s="19">
        <f>IF($I9565="","",IF(ISNUMBER($I9565),TEXT($I9565,"0"),$I9565))</f>
        <v/>
      </c>
    </row>
    <row r="9566">
      <c r="B9566" s="25" t="n"/>
      <c r="I9566" s="25" t="n"/>
      <c r="U9566" s="19">
        <f>IF($V9566&lt;&gt;'設定'!$C$4,N(U9565),IF(OR(NOT(COUNTIF('商品マスタ'!$B$6:$B$1005,$W9566)=0),COUNTIFS('①在庫を貼る'!$V$6:$V$10005,$V9566,'①在庫を貼る'!$W$6:$W$10005,$W9566)+COUNTIFS('月1回_1ヶ月前の在庫'!$V$6:$V$10005,$V9566,'月1回_1ヶ月前の在庫'!$W$6:$W$10005,$W9566)&gt;0),N(U9565),N(U9565)+1))</f>
        <v/>
      </c>
      <c r="V9566" s="19">
        <f>IF($B9566="","",TEXT($B9566,"0000"))</f>
        <v/>
      </c>
      <c r="W9566" s="19">
        <f>IF($I9566="","",IF(ISNUMBER($I9566),TEXT($I9566,"0"),$I9566))</f>
        <v/>
      </c>
    </row>
    <row r="9567">
      <c r="B9567" s="25" t="n"/>
      <c r="I9567" s="25" t="n"/>
      <c r="U9567" s="19">
        <f>IF($V9567&lt;&gt;'設定'!$C$4,N(U9566),IF(OR(NOT(COUNTIF('商品マスタ'!$B$6:$B$1005,$W9567)=0),COUNTIFS('①在庫を貼る'!$V$6:$V$10005,$V9567,'①在庫を貼る'!$W$6:$W$10005,$W9567)+COUNTIFS('月1回_1ヶ月前の在庫'!$V$6:$V$10005,$V9567,'月1回_1ヶ月前の在庫'!$W$6:$W$10005,$W9567)&gt;0),N(U9566),N(U9566)+1))</f>
        <v/>
      </c>
      <c r="V9567" s="19">
        <f>IF($B9567="","",TEXT($B9567,"0000"))</f>
        <v/>
      </c>
      <c r="W9567" s="19">
        <f>IF($I9567="","",IF(ISNUMBER($I9567),TEXT($I9567,"0"),$I9567))</f>
        <v/>
      </c>
    </row>
    <row r="9568">
      <c r="B9568" s="25" t="n"/>
      <c r="I9568" s="25" t="n"/>
      <c r="U9568" s="19">
        <f>IF($V9568&lt;&gt;'設定'!$C$4,N(U9567),IF(OR(NOT(COUNTIF('商品マスタ'!$B$6:$B$1005,$W9568)=0),COUNTIFS('①在庫を貼る'!$V$6:$V$10005,$V9568,'①在庫を貼る'!$W$6:$W$10005,$W9568)+COUNTIFS('月1回_1ヶ月前の在庫'!$V$6:$V$10005,$V9568,'月1回_1ヶ月前の在庫'!$W$6:$W$10005,$W9568)&gt;0),N(U9567),N(U9567)+1))</f>
        <v/>
      </c>
      <c r="V9568" s="19">
        <f>IF($B9568="","",TEXT($B9568,"0000"))</f>
        <v/>
      </c>
      <c r="W9568" s="19">
        <f>IF($I9568="","",IF(ISNUMBER($I9568),TEXT($I9568,"0"),$I9568))</f>
        <v/>
      </c>
    </row>
    <row r="9569">
      <c r="B9569" s="25" t="n"/>
      <c r="I9569" s="25" t="n"/>
      <c r="U9569" s="19">
        <f>IF($V9569&lt;&gt;'設定'!$C$4,N(U9568),IF(OR(NOT(COUNTIF('商品マスタ'!$B$6:$B$1005,$W9569)=0),COUNTIFS('①在庫を貼る'!$V$6:$V$10005,$V9569,'①在庫を貼る'!$W$6:$W$10005,$W9569)+COUNTIFS('月1回_1ヶ月前の在庫'!$V$6:$V$10005,$V9569,'月1回_1ヶ月前の在庫'!$W$6:$W$10005,$W9569)&gt;0),N(U9568),N(U9568)+1))</f>
        <v/>
      </c>
      <c r="V9569" s="19">
        <f>IF($B9569="","",TEXT($B9569,"0000"))</f>
        <v/>
      </c>
      <c r="W9569" s="19">
        <f>IF($I9569="","",IF(ISNUMBER($I9569),TEXT($I9569,"0"),$I9569))</f>
        <v/>
      </c>
    </row>
    <row r="9570">
      <c r="B9570" s="25" t="n"/>
      <c r="I9570" s="25" t="n"/>
      <c r="U9570" s="19">
        <f>IF($V9570&lt;&gt;'設定'!$C$4,N(U9569),IF(OR(NOT(COUNTIF('商品マスタ'!$B$6:$B$1005,$W9570)=0),COUNTIFS('①在庫を貼る'!$V$6:$V$10005,$V9570,'①在庫を貼る'!$W$6:$W$10005,$W9570)+COUNTIFS('月1回_1ヶ月前の在庫'!$V$6:$V$10005,$V9570,'月1回_1ヶ月前の在庫'!$W$6:$W$10005,$W9570)&gt;0),N(U9569),N(U9569)+1))</f>
        <v/>
      </c>
      <c r="V9570" s="19">
        <f>IF($B9570="","",TEXT($B9570,"0000"))</f>
        <v/>
      </c>
      <c r="W9570" s="19">
        <f>IF($I9570="","",IF(ISNUMBER($I9570),TEXT($I9570,"0"),$I9570))</f>
        <v/>
      </c>
    </row>
    <row r="9571">
      <c r="B9571" s="25" t="n"/>
      <c r="I9571" s="25" t="n"/>
      <c r="U9571" s="19">
        <f>IF($V9571&lt;&gt;'設定'!$C$4,N(U9570),IF(OR(NOT(COUNTIF('商品マスタ'!$B$6:$B$1005,$W9571)=0),COUNTIFS('①在庫を貼る'!$V$6:$V$10005,$V9571,'①在庫を貼る'!$W$6:$W$10005,$W9571)+COUNTIFS('月1回_1ヶ月前の在庫'!$V$6:$V$10005,$V9571,'月1回_1ヶ月前の在庫'!$W$6:$W$10005,$W9571)&gt;0),N(U9570),N(U9570)+1))</f>
        <v/>
      </c>
      <c r="V9571" s="19">
        <f>IF($B9571="","",TEXT($B9571,"0000"))</f>
        <v/>
      </c>
      <c r="W9571" s="19">
        <f>IF($I9571="","",IF(ISNUMBER($I9571),TEXT($I9571,"0"),$I9571))</f>
        <v/>
      </c>
    </row>
    <row r="9572">
      <c r="B9572" s="25" t="n"/>
      <c r="I9572" s="25" t="n"/>
      <c r="U9572" s="19">
        <f>IF($V9572&lt;&gt;'設定'!$C$4,N(U9571),IF(OR(NOT(COUNTIF('商品マスタ'!$B$6:$B$1005,$W9572)=0),COUNTIFS('①在庫を貼る'!$V$6:$V$10005,$V9572,'①在庫を貼る'!$W$6:$W$10005,$W9572)+COUNTIFS('月1回_1ヶ月前の在庫'!$V$6:$V$10005,$V9572,'月1回_1ヶ月前の在庫'!$W$6:$W$10005,$W9572)&gt;0),N(U9571),N(U9571)+1))</f>
        <v/>
      </c>
      <c r="V9572" s="19">
        <f>IF($B9572="","",TEXT($B9572,"0000"))</f>
        <v/>
      </c>
      <c r="W9572" s="19">
        <f>IF($I9572="","",IF(ISNUMBER($I9572),TEXT($I9572,"0"),$I9572))</f>
        <v/>
      </c>
    </row>
    <row r="9573">
      <c r="B9573" s="25" t="n"/>
      <c r="I9573" s="25" t="n"/>
      <c r="U9573" s="19">
        <f>IF($V9573&lt;&gt;'設定'!$C$4,N(U9572),IF(OR(NOT(COUNTIF('商品マスタ'!$B$6:$B$1005,$W9573)=0),COUNTIFS('①在庫を貼る'!$V$6:$V$10005,$V9573,'①在庫を貼る'!$W$6:$W$10005,$W9573)+COUNTIFS('月1回_1ヶ月前の在庫'!$V$6:$V$10005,$V9573,'月1回_1ヶ月前の在庫'!$W$6:$W$10005,$W9573)&gt;0),N(U9572),N(U9572)+1))</f>
        <v/>
      </c>
      <c r="V9573" s="19">
        <f>IF($B9573="","",TEXT($B9573,"0000"))</f>
        <v/>
      </c>
      <c r="W9573" s="19">
        <f>IF($I9573="","",IF(ISNUMBER($I9573),TEXT($I9573,"0"),$I9573))</f>
        <v/>
      </c>
    </row>
    <row r="9574">
      <c r="B9574" s="25" t="n"/>
      <c r="I9574" s="25" t="n"/>
      <c r="U9574" s="19">
        <f>IF($V9574&lt;&gt;'設定'!$C$4,N(U9573),IF(OR(NOT(COUNTIF('商品マスタ'!$B$6:$B$1005,$W9574)=0),COUNTIFS('①在庫を貼る'!$V$6:$V$10005,$V9574,'①在庫を貼る'!$W$6:$W$10005,$W9574)+COUNTIFS('月1回_1ヶ月前の在庫'!$V$6:$V$10005,$V9574,'月1回_1ヶ月前の在庫'!$W$6:$W$10005,$W9574)&gt;0),N(U9573),N(U9573)+1))</f>
        <v/>
      </c>
      <c r="V9574" s="19">
        <f>IF($B9574="","",TEXT($B9574,"0000"))</f>
        <v/>
      </c>
      <c r="W9574" s="19">
        <f>IF($I9574="","",IF(ISNUMBER($I9574),TEXT($I9574,"0"),$I9574))</f>
        <v/>
      </c>
    </row>
    <row r="9575">
      <c r="B9575" s="25" t="n"/>
      <c r="I9575" s="25" t="n"/>
      <c r="U9575" s="19">
        <f>IF($V9575&lt;&gt;'設定'!$C$4,N(U9574),IF(OR(NOT(COUNTIF('商品マスタ'!$B$6:$B$1005,$W9575)=0),COUNTIFS('①在庫を貼る'!$V$6:$V$10005,$V9575,'①在庫を貼る'!$W$6:$W$10005,$W9575)+COUNTIFS('月1回_1ヶ月前の在庫'!$V$6:$V$10005,$V9575,'月1回_1ヶ月前の在庫'!$W$6:$W$10005,$W9575)&gt;0),N(U9574),N(U9574)+1))</f>
        <v/>
      </c>
      <c r="V9575" s="19">
        <f>IF($B9575="","",TEXT($B9575,"0000"))</f>
        <v/>
      </c>
      <c r="W9575" s="19">
        <f>IF($I9575="","",IF(ISNUMBER($I9575),TEXT($I9575,"0"),$I9575))</f>
        <v/>
      </c>
    </row>
    <row r="9576">
      <c r="B9576" s="25" t="n"/>
      <c r="I9576" s="25" t="n"/>
      <c r="U9576" s="19">
        <f>IF($V9576&lt;&gt;'設定'!$C$4,N(U9575),IF(OR(NOT(COUNTIF('商品マスタ'!$B$6:$B$1005,$W9576)=0),COUNTIFS('①在庫を貼る'!$V$6:$V$10005,$V9576,'①在庫を貼る'!$W$6:$W$10005,$W9576)+COUNTIFS('月1回_1ヶ月前の在庫'!$V$6:$V$10005,$V9576,'月1回_1ヶ月前の在庫'!$W$6:$W$10005,$W9576)&gt;0),N(U9575),N(U9575)+1))</f>
        <v/>
      </c>
      <c r="V9576" s="19">
        <f>IF($B9576="","",TEXT($B9576,"0000"))</f>
        <v/>
      </c>
      <c r="W9576" s="19">
        <f>IF($I9576="","",IF(ISNUMBER($I9576),TEXT($I9576,"0"),$I9576))</f>
        <v/>
      </c>
    </row>
    <row r="9577">
      <c r="B9577" s="25" t="n"/>
      <c r="I9577" s="25" t="n"/>
      <c r="U9577" s="19">
        <f>IF($V9577&lt;&gt;'設定'!$C$4,N(U9576),IF(OR(NOT(COUNTIF('商品マスタ'!$B$6:$B$1005,$W9577)=0),COUNTIFS('①在庫を貼る'!$V$6:$V$10005,$V9577,'①在庫を貼る'!$W$6:$W$10005,$W9577)+COUNTIFS('月1回_1ヶ月前の在庫'!$V$6:$V$10005,$V9577,'月1回_1ヶ月前の在庫'!$W$6:$W$10005,$W9577)&gt;0),N(U9576),N(U9576)+1))</f>
        <v/>
      </c>
      <c r="V9577" s="19">
        <f>IF($B9577="","",TEXT($B9577,"0000"))</f>
        <v/>
      </c>
      <c r="W9577" s="19">
        <f>IF($I9577="","",IF(ISNUMBER($I9577),TEXT($I9577,"0"),$I9577))</f>
        <v/>
      </c>
    </row>
    <row r="9578">
      <c r="B9578" s="25" t="n"/>
      <c r="I9578" s="25" t="n"/>
      <c r="U9578" s="19">
        <f>IF($V9578&lt;&gt;'設定'!$C$4,N(U9577),IF(OR(NOT(COUNTIF('商品マスタ'!$B$6:$B$1005,$W9578)=0),COUNTIFS('①在庫を貼る'!$V$6:$V$10005,$V9578,'①在庫を貼る'!$W$6:$W$10005,$W9578)+COUNTIFS('月1回_1ヶ月前の在庫'!$V$6:$V$10005,$V9578,'月1回_1ヶ月前の在庫'!$W$6:$W$10005,$W9578)&gt;0),N(U9577),N(U9577)+1))</f>
        <v/>
      </c>
      <c r="V9578" s="19">
        <f>IF($B9578="","",TEXT($B9578,"0000"))</f>
        <v/>
      </c>
      <c r="W9578" s="19">
        <f>IF($I9578="","",IF(ISNUMBER($I9578),TEXT($I9578,"0"),$I9578))</f>
        <v/>
      </c>
    </row>
    <row r="9579">
      <c r="B9579" s="25" t="n"/>
      <c r="I9579" s="25" t="n"/>
      <c r="U9579" s="19">
        <f>IF($V9579&lt;&gt;'設定'!$C$4,N(U9578),IF(OR(NOT(COUNTIF('商品マスタ'!$B$6:$B$1005,$W9579)=0),COUNTIFS('①在庫を貼る'!$V$6:$V$10005,$V9579,'①在庫を貼る'!$W$6:$W$10005,$W9579)+COUNTIFS('月1回_1ヶ月前の在庫'!$V$6:$V$10005,$V9579,'月1回_1ヶ月前の在庫'!$W$6:$W$10005,$W9579)&gt;0),N(U9578),N(U9578)+1))</f>
        <v/>
      </c>
      <c r="V9579" s="19">
        <f>IF($B9579="","",TEXT($B9579,"0000"))</f>
        <v/>
      </c>
      <c r="W9579" s="19">
        <f>IF($I9579="","",IF(ISNUMBER($I9579),TEXT($I9579,"0"),$I9579))</f>
        <v/>
      </c>
    </row>
    <row r="9580">
      <c r="B9580" s="25" t="n"/>
      <c r="I9580" s="25" t="n"/>
      <c r="U9580" s="19">
        <f>IF($V9580&lt;&gt;'設定'!$C$4,N(U9579),IF(OR(NOT(COUNTIF('商品マスタ'!$B$6:$B$1005,$W9580)=0),COUNTIFS('①在庫を貼る'!$V$6:$V$10005,$V9580,'①在庫を貼る'!$W$6:$W$10005,$W9580)+COUNTIFS('月1回_1ヶ月前の在庫'!$V$6:$V$10005,$V9580,'月1回_1ヶ月前の在庫'!$W$6:$W$10005,$W9580)&gt;0),N(U9579),N(U9579)+1))</f>
        <v/>
      </c>
      <c r="V9580" s="19">
        <f>IF($B9580="","",TEXT($B9580,"0000"))</f>
        <v/>
      </c>
      <c r="W9580" s="19">
        <f>IF($I9580="","",IF(ISNUMBER($I9580),TEXT($I9580,"0"),$I9580))</f>
        <v/>
      </c>
    </row>
    <row r="9581">
      <c r="B9581" s="25" t="n"/>
      <c r="I9581" s="25" t="n"/>
      <c r="U9581" s="19">
        <f>IF($V9581&lt;&gt;'設定'!$C$4,N(U9580),IF(OR(NOT(COUNTIF('商品マスタ'!$B$6:$B$1005,$W9581)=0),COUNTIFS('①在庫を貼る'!$V$6:$V$10005,$V9581,'①在庫を貼る'!$W$6:$W$10005,$W9581)+COUNTIFS('月1回_1ヶ月前の在庫'!$V$6:$V$10005,$V9581,'月1回_1ヶ月前の在庫'!$W$6:$W$10005,$W9581)&gt;0),N(U9580),N(U9580)+1))</f>
        <v/>
      </c>
      <c r="V9581" s="19">
        <f>IF($B9581="","",TEXT($B9581,"0000"))</f>
        <v/>
      </c>
      <c r="W9581" s="19">
        <f>IF($I9581="","",IF(ISNUMBER($I9581),TEXT($I9581,"0"),$I9581))</f>
        <v/>
      </c>
    </row>
    <row r="9582">
      <c r="B9582" s="25" t="n"/>
      <c r="I9582" s="25" t="n"/>
      <c r="U9582" s="19">
        <f>IF($V9582&lt;&gt;'設定'!$C$4,N(U9581),IF(OR(NOT(COUNTIF('商品マスタ'!$B$6:$B$1005,$W9582)=0),COUNTIFS('①在庫を貼る'!$V$6:$V$10005,$V9582,'①在庫を貼る'!$W$6:$W$10005,$W9582)+COUNTIFS('月1回_1ヶ月前の在庫'!$V$6:$V$10005,$V9582,'月1回_1ヶ月前の在庫'!$W$6:$W$10005,$W9582)&gt;0),N(U9581),N(U9581)+1))</f>
        <v/>
      </c>
      <c r="V9582" s="19">
        <f>IF($B9582="","",TEXT($B9582,"0000"))</f>
        <v/>
      </c>
      <c r="W9582" s="19">
        <f>IF($I9582="","",IF(ISNUMBER($I9582),TEXT($I9582,"0"),$I9582))</f>
        <v/>
      </c>
    </row>
    <row r="9583">
      <c r="B9583" s="25" t="n"/>
      <c r="I9583" s="25" t="n"/>
      <c r="U9583" s="19">
        <f>IF($V9583&lt;&gt;'設定'!$C$4,N(U9582),IF(OR(NOT(COUNTIF('商品マスタ'!$B$6:$B$1005,$W9583)=0),COUNTIFS('①在庫を貼る'!$V$6:$V$10005,$V9583,'①在庫を貼る'!$W$6:$W$10005,$W9583)+COUNTIFS('月1回_1ヶ月前の在庫'!$V$6:$V$10005,$V9583,'月1回_1ヶ月前の在庫'!$W$6:$W$10005,$W9583)&gt;0),N(U9582),N(U9582)+1))</f>
        <v/>
      </c>
      <c r="V9583" s="19">
        <f>IF($B9583="","",TEXT($B9583,"0000"))</f>
        <v/>
      </c>
      <c r="W9583" s="19">
        <f>IF($I9583="","",IF(ISNUMBER($I9583),TEXT($I9583,"0"),$I9583))</f>
        <v/>
      </c>
    </row>
    <row r="9584">
      <c r="B9584" s="25" t="n"/>
      <c r="I9584" s="25" t="n"/>
      <c r="U9584" s="19">
        <f>IF($V9584&lt;&gt;'設定'!$C$4,N(U9583),IF(OR(NOT(COUNTIF('商品マスタ'!$B$6:$B$1005,$W9584)=0),COUNTIFS('①在庫を貼る'!$V$6:$V$10005,$V9584,'①在庫を貼る'!$W$6:$W$10005,$W9584)+COUNTIFS('月1回_1ヶ月前の在庫'!$V$6:$V$10005,$V9584,'月1回_1ヶ月前の在庫'!$W$6:$W$10005,$W9584)&gt;0),N(U9583),N(U9583)+1))</f>
        <v/>
      </c>
      <c r="V9584" s="19">
        <f>IF($B9584="","",TEXT($B9584,"0000"))</f>
        <v/>
      </c>
      <c r="W9584" s="19">
        <f>IF($I9584="","",IF(ISNUMBER($I9584),TEXT($I9584,"0"),$I9584))</f>
        <v/>
      </c>
    </row>
    <row r="9585">
      <c r="B9585" s="25" t="n"/>
      <c r="I9585" s="25" t="n"/>
      <c r="U9585" s="19">
        <f>IF($V9585&lt;&gt;'設定'!$C$4,N(U9584),IF(OR(NOT(COUNTIF('商品マスタ'!$B$6:$B$1005,$W9585)=0),COUNTIFS('①在庫を貼る'!$V$6:$V$10005,$V9585,'①在庫を貼る'!$W$6:$W$10005,$W9585)+COUNTIFS('月1回_1ヶ月前の在庫'!$V$6:$V$10005,$V9585,'月1回_1ヶ月前の在庫'!$W$6:$W$10005,$W9585)&gt;0),N(U9584),N(U9584)+1))</f>
        <v/>
      </c>
      <c r="V9585" s="19">
        <f>IF($B9585="","",TEXT($B9585,"0000"))</f>
        <v/>
      </c>
      <c r="W9585" s="19">
        <f>IF($I9585="","",IF(ISNUMBER($I9585),TEXT($I9585,"0"),$I9585))</f>
        <v/>
      </c>
    </row>
    <row r="9586">
      <c r="B9586" s="25" t="n"/>
      <c r="I9586" s="25" t="n"/>
      <c r="U9586" s="19">
        <f>IF($V9586&lt;&gt;'設定'!$C$4,N(U9585),IF(OR(NOT(COUNTIF('商品マスタ'!$B$6:$B$1005,$W9586)=0),COUNTIFS('①在庫を貼る'!$V$6:$V$10005,$V9586,'①在庫を貼る'!$W$6:$W$10005,$W9586)+COUNTIFS('月1回_1ヶ月前の在庫'!$V$6:$V$10005,$V9586,'月1回_1ヶ月前の在庫'!$W$6:$W$10005,$W9586)&gt;0),N(U9585),N(U9585)+1))</f>
        <v/>
      </c>
      <c r="V9586" s="19">
        <f>IF($B9586="","",TEXT($B9586,"0000"))</f>
        <v/>
      </c>
      <c r="W9586" s="19">
        <f>IF($I9586="","",IF(ISNUMBER($I9586),TEXT($I9586,"0"),$I9586))</f>
        <v/>
      </c>
    </row>
    <row r="9587">
      <c r="B9587" s="25" t="n"/>
      <c r="I9587" s="25" t="n"/>
      <c r="U9587" s="19">
        <f>IF($V9587&lt;&gt;'設定'!$C$4,N(U9586),IF(OR(NOT(COUNTIF('商品マスタ'!$B$6:$B$1005,$W9587)=0),COUNTIFS('①在庫を貼る'!$V$6:$V$10005,$V9587,'①在庫を貼る'!$W$6:$W$10005,$W9587)+COUNTIFS('月1回_1ヶ月前の在庫'!$V$6:$V$10005,$V9587,'月1回_1ヶ月前の在庫'!$W$6:$W$10005,$W9587)&gt;0),N(U9586),N(U9586)+1))</f>
        <v/>
      </c>
      <c r="V9587" s="19">
        <f>IF($B9587="","",TEXT($B9587,"0000"))</f>
        <v/>
      </c>
      <c r="W9587" s="19">
        <f>IF($I9587="","",IF(ISNUMBER($I9587),TEXT($I9587,"0"),$I9587))</f>
        <v/>
      </c>
    </row>
    <row r="9588">
      <c r="B9588" s="25" t="n"/>
      <c r="I9588" s="25" t="n"/>
      <c r="U9588" s="19">
        <f>IF($V9588&lt;&gt;'設定'!$C$4,N(U9587),IF(OR(NOT(COUNTIF('商品マスタ'!$B$6:$B$1005,$W9588)=0),COUNTIFS('①在庫を貼る'!$V$6:$V$10005,$V9588,'①在庫を貼る'!$W$6:$W$10005,$W9588)+COUNTIFS('月1回_1ヶ月前の在庫'!$V$6:$V$10005,$V9588,'月1回_1ヶ月前の在庫'!$W$6:$W$10005,$W9588)&gt;0),N(U9587),N(U9587)+1))</f>
        <v/>
      </c>
      <c r="V9588" s="19">
        <f>IF($B9588="","",TEXT($B9588,"0000"))</f>
        <v/>
      </c>
      <c r="W9588" s="19">
        <f>IF($I9588="","",IF(ISNUMBER($I9588),TEXT($I9588,"0"),$I9588))</f>
        <v/>
      </c>
    </row>
    <row r="9589">
      <c r="B9589" s="25" t="n"/>
      <c r="I9589" s="25" t="n"/>
      <c r="U9589" s="19">
        <f>IF($V9589&lt;&gt;'設定'!$C$4,N(U9588),IF(OR(NOT(COUNTIF('商品マスタ'!$B$6:$B$1005,$W9589)=0),COUNTIFS('①在庫を貼る'!$V$6:$V$10005,$V9589,'①在庫を貼る'!$W$6:$W$10005,$W9589)+COUNTIFS('月1回_1ヶ月前の在庫'!$V$6:$V$10005,$V9589,'月1回_1ヶ月前の在庫'!$W$6:$W$10005,$W9589)&gt;0),N(U9588),N(U9588)+1))</f>
        <v/>
      </c>
      <c r="V9589" s="19">
        <f>IF($B9589="","",TEXT($B9589,"0000"))</f>
        <v/>
      </c>
      <c r="W9589" s="19">
        <f>IF($I9589="","",IF(ISNUMBER($I9589),TEXT($I9589,"0"),$I9589))</f>
        <v/>
      </c>
    </row>
    <row r="9590">
      <c r="B9590" s="25" t="n"/>
      <c r="I9590" s="25" t="n"/>
      <c r="U9590" s="19">
        <f>IF($V9590&lt;&gt;'設定'!$C$4,N(U9589),IF(OR(NOT(COUNTIF('商品マスタ'!$B$6:$B$1005,$W9590)=0),COUNTIFS('①在庫を貼る'!$V$6:$V$10005,$V9590,'①在庫を貼る'!$W$6:$W$10005,$W9590)+COUNTIFS('月1回_1ヶ月前の在庫'!$V$6:$V$10005,$V9590,'月1回_1ヶ月前の在庫'!$W$6:$W$10005,$W9590)&gt;0),N(U9589),N(U9589)+1))</f>
        <v/>
      </c>
      <c r="V9590" s="19">
        <f>IF($B9590="","",TEXT($B9590,"0000"))</f>
        <v/>
      </c>
      <c r="W9590" s="19">
        <f>IF($I9590="","",IF(ISNUMBER($I9590),TEXT($I9590,"0"),$I9590))</f>
        <v/>
      </c>
    </row>
    <row r="9591">
      <c r="B9591" s="25" t="n"/>
      <c r="I9591" s="25" t="n"/>
      <c r="U9591" s="19">
        <f>IF($V9591&lt;&gt;'設定'!$C$4,N(U9590),IF(OR(NOT(COUNTIF('商品マスタ'!$B$6:$B$1005,$W9591)=0),COUNTIFS('①在庫を貼る'!$V$6:$V$10005,$V9591,'①在庫を貼る'!$W$6:$W$10005,$W9591)+COUNTIFS('月1回_1ヶ月前の在庫'!$V$6:$V$10005,$V9591,'月1回_1ヶ月前の在庫'!$W$6:$W$10005,$W9591)&gt;0),N(U9590),N(U9590)+1))</f>
        <v/>
      </c>
      <c r="V9591" s="19">
        <f>IF($B9591="","",TEXT($B9591,"0000"))</f>
        <v/>
      </c>
      <c r="W9591" s="19">
        <f>IF($I9591="","",IF(ISNUMBER($I9591),TEXT($I9591,"0"),$I9591))</f>
        <v/>
      </c>
    </row>
    <row r="9592">
      <c r="B9592" s="25" t="n"/>
      <c r="I9592" s="25" t="n"/>
      <c r="U9592" s="19">
        <f>IF($V9592&lt;&gt;'設定'!$C$4,N(U9591),IF(OR(NOT(COUNTIF('商品マスタ'!$B$6:$B$1005,$W9592)=0),COUNTIFS('①在庫を貼る'!$V$6:$V$10005,$V9592,'①在庫を貼る'!$W$6:$W$10005,$W9592)+COUNTIFS('月1回_1ヶ月前の在庫'!$V$6:$V$10005,$V9592,'月1回_1ヶ月前の在庫'!$W$6:$W$10005,$W9592)&gt;0),N(U9591),N(U9591)+1))</f>
        <v/>
      </c>
      <c r="V9592" s="19">
        <f>IF($B9592="","",TEXT($B9592,"0000"))</f>
        <v/>
      </c>
      <c r="W9592" s="19">
        <f>IF($I9592="","",IF(ISNUMBER($I9592),TEXT($I9592,"0"),$I9592))</f>
        <v/>
      </c>
    </row>
    <row r="9593">
      <c r="B9593" s="25" t="n"/>
      <c r="I9593" s="25" t="n"/>
      <c r="U9593" s="19">
        <f>IF($V9593&lt;&gt;'設定'!$C$4,N(U9592),IF(OR(NOT(COUNTIF('商品マスタ'!$B$6:$B$1005,$W9593)=0),COUNTIFS('①在庫を貼る'!$V$6:$V$10005,$V9593,'①在庫を貼る'!$W$6:$W$10005,$W9593)+COUNTIFS('月1回_1ヶ月前の在庫'!$V$6:$V$10005,$V9593,'月1回_1ヶ月前の在庫'!$W$6:$W$10005,$W9593)&gt;0),N(U9592),N(U9592)+1))</f>
        <v/>
      </c>
      <c r="V9593" s="19">
        <f>IF($B9593="","",TEXT($B9593,"0000"))</f>
        <v/>
      </c>
      <c r="W9593" s="19">
        <f>IF($I9593="","",IF(ISNUMBER($I9593),TEXT($I9593,"0"),$I9593))</f>
        <v/>
      </c>
    </row>
    <row r="9594">
      <c r="B9594" s="25" t="n"/>
      <c r="I9594" s="25" t="n"/>
      <c r="U9594" s="19">
        <f>IF($V9594&lt;&gt;'設定'!$C$4,N(U9593),IF(OR(NOT(COUNTIF('商品マスタ'!$B$6:$B$1005,$W9594)=0),COUNTIFS('①在庫を貼る'!$V$6:$V$10005,$V9594,'①在庫を貼る'!$W$6:$W$10005,$W9594)+COUNTIFS('月1回_1ヶ月前の在庫'!$V$6:$V$10005,$V9594,'月1回_1ヶ月前の在庫'!$W$6:$W$10005,$W9594)&gt;0),N(U9593),N(U9593)+1))</f>
        <v/>
      </c>
      <c r="V9594" s="19">
        <f>IF($B9594="","",TEXT($B9594,"0000"))</f>
        <v/>
      </c>
      <c r="W9594" s="19">
        <f>IF($I9594="","",IF(ISNUMBER($I9594),TEXT($I9594,"0"),$I9594))</f>
        <v/>
      </c>
    </row>
    <row r="9595">
      <c r="B9595" s="25" t="n"/>
      <c r="I9595" s="25" t="n"/>
      <c r="U9595" s="19">
        <f>IF($V9595&lt;&gt;'設定'!$C$4,N(U9594),IF(OR(NOT(COUNTIF('商品マスタ'!$B$6:$B$1005,$W9595)=0),COUNTIFS('①在庫を貼る'!$V$6:$V$10005,$V9595,'①在庫を貼る'!$W$6:$W$10005,$W9595)+COUNTIFS('月1回_1ヶ月前の在庫'!$V$6:$V$10005,$V9595,'月1回_1ヶ月前の在庫'!$W$6:$W$10005,$W9595)&gt;0),N(U9594),N(U9594)+1))</f>
        <v/>
      </c>
      <c r="V9595" s="19">
        <f>IF($B9595="","",TEXT($B9595,"0000"))</f>
        <v/>
      </c>
      <c r="W9595" s="19">
        <f>IF($I9595="","",IF(ISNUMBER($I9595),TEXT($I9595,"0"),$I9595))</f>
        <v/>
      </c>
    </row>
    <row r="9596">
      <c r="B9596" s="25" t="n"/>
      <c r="I9596" s="25" t="n"/>
      <c r="U9596" s="19">
        <f>IF($V9596&lt;&gt;'設定'!$C$4,N(U9595),IF(OR(NOT(COUNTIF('商品マスタ'!$B$6:$B$1005,$W9596)=0),COUNTIFS('①在庫を貼る'!$V$6:$V$10005,$V9596,'①在庫を貼る'!$W$6:$W$10005,$W9596)+COUNTIFS('月1回_1ヶ月前の在庫'!$V$6:$V$10005,$V9596,'月1回_1ヶ月前の在庫'!$W$6:$W$10005,$W9596)&gt;0),N(U9595),N(U9595)+1))</f>
        <v/>
      </c>
      <c r="V9596" s="19">
        <f>IF($B9596="","",TEXT($B9596,"0000"))</f>
        <v/>
      </c>
      <c r="W9596" s="19">
        <f>IF($I9596="","",IF(ISNUMBER($I9596),TEXT($I9596,"0"),$I9596))</f>
        <v/>
      </c>
    </row>
    <row r="9597">
      <c r="B9597" s="25" t="n"/>
      <c r="I9597" s="25" t="n"/>
      <c r="U9597" s="19">
        <f>IF($V9597&lt;&gt;'設定'!$C$4,N(U9596),IF(OR(NOT(COUNTIF('商品マスタ'!$B$6:$B$1005,$W9597)=0),COUNTIFS('①在庫を貼る'!$V$6:$V$10005,$V9597,'①在庫を貼る'!$W$6:$W$10005,$W9597)+COUNTIFS('月1回_1ヶ月前の在庫'!$V$6:$V$10005,$V9597,'月1回_1ヶ月前の在庫'!$W$6:$W$10005,$W9597)&gt;0),N(U9596),N(U9596)+1))</f>
        <v/>
      </c>
      <c r="V9597" s="19">
        <f>IF($B9597="","",TEXT($B9597,"0000"))</f>
        <v/>
      </c>
      <c r="W9597" s="19">
        <f>IF($I9597="","",IF(ISNUMBER($I9597),TEXT($I9597,"0"),$I9597))</f>
        <v/>
      </c>
    </row>
    <row r="9598">
      <c r="B9598" s="25" t="n"/>
      <c r="I9598" s="25" t="n"/>
      <c r="U9598" s="19">
        <f>IF($V9598&lt;&gt;'設定'!$C$4,N(U9597),IF(OR(NOT(COUNTIF('商品マスタ'!$B$6:$B$1005,$W9598)=0),COUNTIFS('①在庫を貼る'!$V$6:$V$10005,$V9598,'①在庫を貼る'!$W$6:$W$10005,$W9598)+COUNTIFS('月1回_1ヶ月前の在庫'!$V$6:$V$10005,$V9598,'月1回_1ヶ月前の在庫'!$W$6:$W$10005,$W9598)&gt;0),N(U9597),N(U9597)+1))</f>
        <v/>
      </c>
      <c r="V9598" s="19">
        <f>IF($B9598="","",TEXT($B9598,"0000"))</f>
        <v/>
      </c>
      <c r="W9598" s="19">
        <f>IF($I9598="","",IF(ISNUMBER($I9598),TEXT($I9598,"0"),$I9598))</f>
        <v/>
      </c>
    </row>
    <row r="9599">
      <c r="B9599" s="25" t="n"/>
      <c r="I9599" s="25" t="n"/>
      <c r="U9599" s="19">
        <f>IF($V9599&lt;&gt;'設定'!$C$4,N(U9598),IF(OR(NOT(COUNTIF('商品マスタ'!$B$6:$B$1005,$W9599)=0),COUNTIFS('①在庫を貼る'!$V$6:$V$10005,$V9599,'①在庫を貼る'!$W$6:$W$10005,$W9599)+COUNTIFS('月1回_1ヶ月前の在庫'!$V$6:$V$10005,$V9599,'月1回_1ヶ月前の在庫'!$W$6:$W$10005,$W9599)&gt;0),N(U9598),N(U9598)+1))</f>
        <v/>
      </c>
      <c r="V9599" s="19">
        <f>IF($B9599="","",TEXT($B9599,"0000"))</f>
        <v/>
      </c>
      <c r="W9599" s="19">
        <f>IF($I9599="","",IF(ISNUMBER($I9599),TEXT($I9599,"0"),$I9599))</f>
        <v/>
      </c>
    </row>
    <row r="9600">
      <c r="B9600" s="25" t="n"/>
      <c r="I9600" s="25" t="n"/>
      <c r="U9600" s="19">
        <f>IF($V9600&lt;&gt;'設定'!$C$4,N(U9599),IF(OR(NOT(COUNTIF('商品マスタ'!$B$6:$B$1005,$W9600)=0),COUNTIFS('①在庫を貼る'!$V$6:$V$10005,$V9600,'①在庫を貼る'!$W$6:$W$10005,$W9600)+COUNTIFS('月1回_1ヶ月前の在庫'!$V$6:$V$10005,$V9600,'月1回_1ヶ月前の在庫'!$W$6:$W$10005,$W9600)&gt;0),N(U9599),N(U9599)+1))</f>
        <v/>
      </c>
      <c r="V9600" s="19">
        <f>IF($B9600="","",TEXT($B9600,"0000"))</f>
        <v/>
      </c>
      <c r="W9600" s="19">
        <f>IF($I9600="","",IF(ISNUMBER($I9600),TEXT($I9600,"0"),$I9600))</f>
        <v/>
      </c>
    </row>
    <row r="9601">
      <c r="B9601" s="25" t="n"/>
      <c r="I9601" s="25" t="n"/>
      <c r="U9601" s="19">
        <f>IF($V9601&lt;&gt;'設定'!$C$4,N(U9600),IF(OR(NOT(COUNTIF('商品マスタ'!$B$6:$B$1005,$W9601)=0),COUNTIFS('①在庫を貼る'!$V$6:$V$10005,$V9601,'①在庫を貼る'!$W$6:$W$10005,$W9601)+COUNTIFS('月1回_1ヶ月前の在庫'!$V$6:$V$10005,$V9601,'月1回_1ヶ月前の在庫'!$W$6:$W$10005,$W9601)&gt;0),N(U9600),N(U9600)+1))</f>
        <v/>
      </c>
      <c r="V9601" s="19">
        <f>IF($B9601="","",TEXT($B9601,"0000"))</f>
        <v/>
      </c>
      <c r="W9601" s="19">
        <f>IF($I9601="","",IF(ISNUMBER($I9601),TEXT($I9601,"0"),$I9601))</f>
        <v/>
      </c>
    </row>
    <row r="9602">
      <c r="B9602" s="25" t="n"/>
      <c r="I9602" s="25" t="n"/>
      <c r="U9602" s="19">
        <f>IF($V9602&lt;&gt;'設定'!$C$4,N(U9601),IF(OR(NOT(COUNTIF('商品マスタ'!$B$6:$B$1005,$W9602)=0),COUNTIFS('①在庫を貼る'!$V$6:$V$10005,$V9602,'①在庫を貼る'!$W$6:$W$10005,$W9602)+COUNTIFS('月1回_1ヶ月前の在庫'!$V$6:$V$10005,$V9602,'月1回_1ヶ月前の在庫'!$W$6:$W$10005,$W9602)&gt;0),N(U9601),N(U9601)+1))</f>
        <v/>
      </c>
      <c r="V9602" s="19">
        <f>IF($B9602="","",TEXT($B9602,"0000"))</f>
        <v/>
      </c>
      <c r="W9602" s="19">
        <f>IF($I9602="","",IF(ISNUMBER($I9602),TEXT($I9602,"0"),$I9602))</f>
        <v/>
      </c>
    </row>
    <row r="9603">
      <c r="B9603" s="25" t="n"/>
      <c r="I9603" s="25" t="n"/>
      <c r="U9603" s="19">
        <f>IF($V9603&lt;&gt;'設定'!$C$4,N(U9602),IF(OR(NOT(COUNTIF('商品マスタ'!$B$6:$B$1005,$W9603)=0),COUNTIFS('①在庫を貼る'!$V$6:$V$10005,$V9603,'①在庫を貼る'!$W$6:$W$10005,$W9603)+COUNTIFS('月1回_1ヶ月前の在庫'!$V$6:$V$10005,$V9603,'月1回_1ヶ月前の在庫'!$W$6:$W$10005,$W9603)&gt;0),N(U9602),N(U9602)+1))</f>
        <v/>
      </c>
      <c r="V9603" s="19">
        <f>IF($B9603="","",TEXT($B9603,"0000"))</f>
        <v/>
      </c>
      <c r="W9603" s="19">
        <f>IF($I9603="","",IF(ISNUMBER($I9603),TEXT($I9603,"0"),$I9603))</f>
        <v/>
      </c>
    </row>
    <row r="9604">
      <c r="B9604" s="25" t="n"/>
      <c r="I9604" s="25" t="n"/>
      <c r="U9604" s="19">
        <f>IF($V9604&lt;&gt;'設定'!$C$4,N(U9603),IF(OR(NOT(COUNTIF('商品マスタ'!$B$6:$B$1005,$W9604)=0),COUNTIFS('①在庫を貼る'!$V$6:$V$10005,$V9604,'①在庫を貼る'!$W$6:$W$10005,$W9604)+COUNTIFS('月1回_1ヶ月前の在庫'!$V$6:$V$10005,$V9604,'月1回_1ヶ月前の在庫'!$W$6:$W$10005,$W9604)&gt;0),N(U9603),N(U9603)+1))</f>
        <v/>
      </c>
      <c r="V9604" s="19">
        <f>IF($B9604="","",TEXT($B9604,"0000"))</f>
        <v/>
      </c>
      <c r="W9604" s="19">
        <f>IF($I9604="","",IF(ISNUMBER($I9604),TEXT($I9604,"0"),$I9604))</f>
        <v/>
      </c>
    </row>
    <row r="9605">
      <c r="B9605" s="25" t="n"/>
      <c r="I9605" s="25" t="n"/>
      <c r="U9605" s="19">
        <f>IF($V9605&lt;&gt;'設定'!$C$4,N(U9604),IF(OR(NOT(COUNTIF('商品マスタ'!$B$6:$B$1005,$W9605)=0),COUNTIFS('①在庫を貼る'!$V$6:$V$10005,$V9605,'①在庫を貼る'!$W$6:$W$10005,$W9605)+COUNTIFS('月1回_1ヶ月前の在庫'!$V$6:$V$10005,$V9605,'月1回_1ヶ月前の在庫'!$W$6:$W$10005,$W9605)&gt;0),N(U9604),N(U9604)+1))</f>
        <v/>
      </c>
      <c r="V9605" s="19">
        <f>IF($B9605="","",TEXT($B9605,"0000"))</f>
        <v/>
      </c>
      <c r="W9605" s="19">
        <f>IF($I9605="","",IF(ISNUMBER($I9605),TEXT($I9605,"0"),$I9605))</f>
        <v/>
      </c>
    </row>
    <row r="9606">
      <c r="B9606" s="25" t="n"/>
      <c r="I9606" s="25" t="n"/>
      <c r="U9606" s="19">
        <f>IF($V9606&lt;&gt;'設定'!$C$4,N(U9605),IF(OR(NOT(COUNTIF('商品マスタ'!$B$6:$B$1005,$W9606)=0),COUNTIFS('①在庫を貼る'!$V$6:$V$10005,$V9606,'①在庫を貼る'!$W$6:$W$10005,$W9606)+COUNTIFS('月1回_1ヶ月前の在庫'!$V$6:$V$10005,$V9606,'月1回_1ヶ月前の在庫'!$W$6:$W$10005,$W9606)&gt;0),N(U9605),N(U9605)+1))</f>
        <v/>
      </c>
      <c r="V9606" s="19">
        <f>IF($B9606="","",TEXT($B9606,"0000"))</f>
        <v/>
      </c>
      <c r="W9606" s="19">
        <f>IF($I9606="","",IF(ISNUMBER($I9606),TEXT($I9606,"0"),$I9606))</f>
        <v/>
      </c>
    </row>
    <row r="9607">
      <c r="B9607" s="25" t="n"/>
      <c r="I9607" s="25" t="n"/>
      <c r="U9607" s="19">
        <f>IF($V9607&lt;&gt;'設定'!$C$4,N(U9606),IF(OR(NOT(COUNTIF('商品マスタ'!$B$6:$B$1005,$W9607)=0),COUNTIFS('①在庫を貼る'!$V$6:$V$10005,$V9607,'①在庫を貼る'!$W$6:$W$10005,$W9607)+COUNTIFS('月1回_1ヶ月前の在庫'!$V$6:$V$10005,$V9607,'月1回_1ヶ月前の在庫'!$W$6:$W$10005,$W9607)&gt;0),N(U9606),N(U9606)+1))</f>
        <v/>
      </c>
      <c r="V9607" s="19">
        <f>IF($B9607="","",TEXT($B9607,"0000"))</f>
        <v/>
      </c>
      <c r="W9607" s="19">
        <f>IF($I9607="","",IF(ISNUMBER($I9607),TEXT($I9607,"0"),$I9607))</f>
        <v/>
      </c>
    </row>
    <row r="9608">
      <c r="B9608" s="25" t="n"/>
      <c r="I9608" s="25" t="n"/>
      <c r="U9608" s="19">
        <f>IF($V9608&lt;&gt;'設定'!$C$4,N(U9607),IF(OR(NOT(COUNTIF('商品マスタ'!$B$6:$B$1005,$W9608)=0),COUNTIFS('①在庫を貼る'!$V$6:$V$10005,$V9608,'①在庫を貼る'!$W$6:$W$10005,$W9608)+COUNTIFS('月1回_1ヶ月前の在庫'!$V$6:$V$10005,$V9608,'月1回_1ヶ月前の在庫'!$W$6:$W$10005,$W9608)&gt;0),N(U9607),N(U9607)+1))</f>
        <v/>
      </c>
      <c r="V9608" s="19">
        <f>IF($B9608="","",TEXT($B9608,"0000"))</f>
        <v/>
      </c>
      <c r="W9608" s="19">
        <f>IF($I9608="","",IF(ISNUMBER($I9608),TEXT($I9608,"0"),$I9608))</f>
        <v/>
      </c>
    </row>
    <row r="9609">
      <c r="B9609" s="25" t="n"/>
      <c r="I9609" s="25" t="n"/>
      <c r="U9609" s="19">
        <f>IF($V9609&lt;&gt;'設定'!$C$4,N(U9608),IF(OR(NOT(COUNTIF('商品マスタ'!$B$6:$B$1005,$W9609)=0),COUNTIFS('①在庫を貼る'!$V$6:$V$10005,$V9609,'①在庫を貼る'!$W$6:$W$10005,$W9609)+COUNTIFS('月1回_1ヶ月前の在庫'!$V$6:$V$10005,$V9609,'月1回_1ヶ月前の在庫'!$W$6:$W$10005,$W9609)&gt;0),N(U9608),N(U9608)+1))</f>
        <v/>
      </c>
      <c r="V9609" s="19">
        <f>IF($B9609="","",TEXT($B9609,"0000"))</f>
        <v/>
      </c>
      <c r="W9609" s="19">
        <f>IF($I9609="","",IF(ISNUMBER($I9609),TEXT($I9609,"0"),$I9609))</f>
        <v/>
      </c>
    </row>
    <row r="9610">
      <c r="B9610" s="25" t="n"/>
      <c r="I9610" s="25" t="n"/>
      <c r="U9610" s="19">
        <f>IF($V9610&lt;&gt;'設定'!$C$4,N(U9609),IF(OR(NOT(COUNTIF('商品マスタ'!$B$6:$B$1005,$W9610)=0),COUNTIFS('①在庫を貼る'!$V$6:$V$10005,$V9610,'①在庫を貼る'!$W$6:$W$10005,$W9610)+COUNTIFS('月1回_1ヶ月前の在庫'!$V$6:$V$10005,$V9610,'月1回_1ヶ月前の在庫'!$W$6:$W$10005,$W9610)&gt;0),N(U9609),N(U9609)+1))</f>
        <v/>
      </c>
      <c r="V9610" s="19">
        <f>IF($B9610="","",TEXT($B9610,"0000"))</f>
        <v/>
      </c>
      <c r="W9610" s="19">
        <f>IF($I9610="","",IF(ISNUMBER($I9610),TEXT($I9610,"0"),$I9610))</f>
        <v/>
      </c>
    </row>
    <row r="9611">
      <c r="B9611" s="25" t="n"/>
      <c r="I9611" s="25" t="n"/>
      <c r="U9611" s="19">
        <f>IF($V9611&lt;&gt;'設定'!$C$4,N(U9610),IF(OR(NOT(COUNTIF('商品マスタ'!$B$6:$B$1005,$W9611)=0),COUNTIFS('①在庫を貼る'!$V$6:$V$10005,$V9611,'①在庫を貼る'!$W$6:$W$10005,$W9611)+COUNTIFS('月1回_1ヶ月前の在庫'!$V$6:$V$10005,$V9611,'月1回_1ヶ月前の在庫'!$W$6:$W$10005,$W9611)&gt;0),N(U9610),N(U9610)+1))</f>
        <v/>
      </c>
      <c r="V9611" s="19">
        <f>IF($B9611="","",TEXT($B9611,"0000"))</f>
        <v/>
      </c>
      <c r="W9611" s="19">
        <f>IF($I9611="","",IF(ISNUMBER($I9611),TEXT($I9611,"0"),$I9611))</f>
        <v/>
      </c>
    </row>
    <row r="9612">
      <c r="B9612" s="25" t="n"/>
      <c r="I9612" s="25" t="n"/>
      <c r="U9612" s="19">
        <f>IF($V9612&lt;&gt;'設定'!$C$4,N(U9611),IF(OR(NOT(COUNTIF('商品マスタ'!$B$6:$B$1005,$W9612)=0),COUNTIFS('①在庫を貼る'!$V$6:$V$10005,$V9612,'①在庫を貼る'!$W$6:$W$10005,$W9612)+COUNTIFS('月1回_1ヶ月前の在庫'!$V$6:$V$10005,$V9612,'月1回_1ヶ月前の在庫'!$W$6:$W$10005,$W9612)&gt;0),N(U9611),N(U9611)+1))</f>
        <v/>
      </c>
      <c r="V9612" s="19">
        <f>IF($B9612="","",TEXT($B9612,"0000"))</f>
        <v/>
      </c>
      <c r="W9612" s="19">
        <f>IF($I9612="","",IF(ISNUMBER($I9612),TEXT($I9612,"0"),$I9612))</f>
        <v/>
      </c>
    </row>
    <row r="9613">
      <c r="B9613" s="25" t="n"/>
      <c r="I9613" s="25" t="n"/>
      <c r="U9613" s="19">
        <f>IF($V9613&lt;&gt;'設定'!$C$4,N(U9612),IF(OR(NOT(COUNTIF('商品マスタ'!$B$6:$B$1005,$W9613)=0),COUNTIFS('①在庫を貼る'!$V$6:$V$10005,$V9613,'①在庫を貼る'!$W$6:$W$10005,$W9613)+COUNTIFS('月1回_1ヶ月前の在庫'!$V$6:$V$10005,$V9613,'月1回_1ヶ月前の在庫'!$W$6:$W$10005,$W9613)&gt;0),N(U9612),N(U9612)+1))</f>
        <v/>
      </c>
      <c r="V9613" s="19">
        <f>IF($B9613="","",TEXT($B9613,"0000"))</f>
        <v/>
      </c>
      <c r="W9613" s="19">
        <f>IF($I9613="","",IF(ISNUMBER($I9613),TEXT($I9613,"0"),$I9613))</f>
        <v/>
      </c>
    </row>
    <row r="9614">
      <c r="B9614" s="25" t="n"/>
      <c r="I9614" s="25" t="n"/>
      <c r="U9614" s="19">
        <f>IF($V9614&lt;&gt;'設定'!$C$4,N(U9613),IF(OR(NOT(COUNTIF('商品マスタ'!$B$6:$B$1005,$W9614)=0),COUNTIFS('①在庫を貼る'!$V$6:$V$10005,$V9614,'①在庫を貼る'!$W$6:$W$10005,$W9614)+COUNTIFS('月1回_1ヶ月前の在庫'!$V$6:$V$10005,$V9614,'月1回_1ヶ月前の在庫'!$W$6:$W$10005,$W9614)&gt;0),N(U9613),N(U9613)+1))</f>
        <v/>
      </c>
      <c r="V9614" s="19">
        <f>IF($B9614="","",TEXT($B9614,"0000"))</f>
        <v/>
      </c>
      <c r="W9614" s="19">
        <f>IF($I9614="","",IF(ISNUMBER($I9614),TEXT($I9614,"0"),$I9614))</f>
        <v/>
      </c>
    </row>
    <row r="9615">
      <c r="B9615" s="25" t="n"/>
      <c r="I9615" s="25" t="n"/>
      <c r="U9615" s="19">
        <f>IF($V9615&lt;&gt;'設定'!$C$4,N(U9614),IF(OR(NOT(COUNTIF('商品マスタ'!$B$6:$B$1005,$W9615)=0),COUNTIFS('①在庫を貼る'!$V$6:$V$10005,$V9615,'①在庫を貼る'!$W$6:$W$10005,$W9615)+COUNTIFS('月1回_1ヶ月前の在庫'!$V$6:$V$10005,$V9615,'月1回_1ヶ月前の在庫'!$W$6:$W$10005,$W9615)&gt;0),N(U9614),N(U9614)+1))</f>
        <v/>
      </c>
      <c r="V9615" s="19">
        <f>IF($B9615="","",TEXT($B9615,"0000"))</f>
        <v/>
      </c>
      <c r="W9615" s="19">
        <f>IF($I9615="","",IF(ISNUMBER($I9615),TEXT($I9615,"0"),$I9615))</f>
        <v/>
      </c>
    </row>
    <row r="9616">
      <c r="B9616" s="25" t="n"/>
      <c r="I9616" s="25" t="n"/>
      <c r="U9616" s="19">
        <f>IF($V9616&lt;&gt;'設定'!$C$4,N(U9615),IF(OR(NOT(COUNTIF('商品マスタ'!$B$6:$B$1005,$W9616)=0),COUNTIFS('①在庫を貼る'!$V$6:$V$10005,$V9616,'①在庫を貼る'!$W$6:$W$10005,$W9616)+COUNTIFS('月1回_1ヶ月前の在庫'!$V$6:$V$10005,$V9616,'月1回_1ヶ月前の在庫'!$W$6:$W$10005,$W9616)&gt;0),N(U9615),N(U9615)+1))</f>
        <v/>
      </c>
      <c r="V9616" s="19">
        <f>IF($B9616="","",TEXT($B9616,"0000"))</f>
        <v/>
      </c>
      <c r="W9616" s="19">
        <f>IF($I9616="","",IF(ISNUMBER($I9616),TEXT($I9616,"0"),$I9616))</f>
        <v/>
      </c>
    </row>
    <row r="9617">
      <c r="B9617" s="25" t="n"/>
      <c r="I9617" s="25" t="n"/>
      <c r="U9617" s="19">
        <f>IF($V9617&lt;&gt;'設定'!$C$4,N(U9616),IF(OR(NOT(COUNTIF('商品マスタ'!$B$6:$B$1005,$W9617)=0),COUNTIFS('①在庫を貼る'!$V$6:$V$10005,$V9617,'①在庫を貼る'!$W$6:$W$10005,$W9617)+COUNTIFS('月1回_1ヶ月前の在庫'!$V$6:$V$10005,$V9617,'月1回_1ヶ月前の在庫'!$W$6:$W$10005,$W9617)&gt;0),N(U9616),N(U9616)+1))</f>
        <v/>
      </c>
      <c r="V9617" s="19">
        <f>IF($B9617="","",TEXT($B9617,"0000"))</f>
        <v/>
      </c>
      <c r="W9617" s="19">
        <f>IF($I9617="","",IF(ISNUMBER($I9617),TEXT($I9617,"0"),$I9617))</f>
        <v/>
      </c>
    </row>
    <row r="9618">
      <c r="B9618" s="25" t="n"/>
      <c r="I9618" s="25" t="n"/>
      <c r="U9618" s="19">
        <f>IF($V9618&lt;&gt;'設定'!$C$4,N(U9617),IF(OR(NOT(COUNTIF('商品マスタ'!$B$6:$B$1005,$W9618)=0),COUNTIFS('①在庫を貼る'!$V$6:$V$10005,$V9618,'①在庫を貼る'!$W$6:$W$10005,$W9618)+COUNTIFS('月1回_1ヶ月前の在庫'!$V$6:$V$10005,$V9618,'月1回_1ヶ月前の在庫'!$W$6:$W$10005,$W9618)&gt;0),N(U9617),N(U9617)+1))</f>
        <v/>
      </c>
      <c r="V9618" s="19">
        <f>IF($B9618="","",TEXT($B9618,"0000"))</f>
        <v/>
      </c>
      <c r="W9618" s="19">
        <f>IF($I9618="","",IF(ISNUMBER($I9618),TEXT($I9618,"0"),$I9618))</f>
        <v/>
      </c>
    </row>
    <row r="9619">
      <c r="B9619" s="25" t="n"/>
      <c r="I9619" s="25" t="n"/>
      <c r="U9619" s="19">
        <f>IF($V9619&lt;&gt;'設定'!$C$4,N(U9618),IF(OR(NOT(COUNTIF('商品マスタ'!$B$6:$B$1005,$W9619)=0),COUNTIFS('①在庫を貼る'!$V$6:$V$10005,$V9619,'①在庫を貼る'!$W$6:$W$10005,$W9619)+COUNTIFS('月1回_1ヶ月前の在庫'!$V$6:$V$10005,$V9619,'月1回_1ヶ月前の在庫'!$W$6:$W$10005,$W9619)&gt;0),N(U9618),N(U9618)+1))</f>
        <v/>
      </c>
      <c r="V9619" s="19">
        <f>IF($B9619="","",TEXT($B9619,"0000"))</f>
        <v/>
      </c>
      <c r="W9619" s="19">
        <f>IF($I9619="","",IF(ISNUMBER($I9619),TEXT($I9619,"0"),$I9619))</f>
        <v/>
      </c>
    </row>
    <row r="9620">
      <c r="B9620" s="25" t="n"/>
      <c r="I9620" s="25" t="n"/>
      <c r="U9620" s="19">
        <f>IF($V9620&lt;&gt;'設定'!$C$4,N(U9619),IF(OR(NOT(COUNTIF('商品マスタ'!$B$6:$B$1005,$W9620)=0),COUNTIFS('①在庫を貼る'!$V$6:$V$10005,$V9620,'①在庫を貼る'!$W$6:$W$10005,$W9620)+COUNTIFS('月1回_1ヶ月前の在庫'!$V$6:$V$10005,$V9620,'月1回_1ヶ月前の在庫'!$W$6:$W$10005,$W9620)&gt;0),N(U9619),N(U9619)+1))</f>
        <v/>
      </c>
      <c r="V9620" s="19">
        <f>IF($B9620="","",TEXT($B9620,"0000"))</f>
        <v/>
      </c>
      <c r="W9620" s="19">
        <f>IF($I9620="","",IF(ISNUMBER($I9620),TEXT($I9620,"0"),$I9620))</f>
        <v/>
      </c>
    </row>
    <row r="9621">
      <c r="B9621" s="25" t="n"/>
      <c r="I9621" s="25" t="n"/>
      <c r="U9621" s="19">
        <f>IF($V9621&lt;&gt;'設定'!$C$4,N(U9620),IF(OR(NOT(COUNTIF('商品マスタ'!$B$6:$B$1005,$W9621)=0),COUNTIFS('①在庫を貼る'!$V$6:$V$10005,$V9621,'①在庫を貼る'!$W$6:$W$10005,$W9621)+COUNTIFS('月1回_1ヶ月前の在庫'!$V$6:$V$10005,$V9621,'月1回_1ヶ月前の在庫'!$W$6:$W$10005,$W9621)&gt;0),N(U9620),N(U9620)+1))</f>
        <v/>
      </c>
      <c r="V9621" s="19">
        <f>IF($B9621="","",TEXT($B9621,"0000"))</f>
        <v/>
      </c>
      <c r="W9621" s="19">
        <f>IF($I9621="","",IF(ISNUMBER($I9621),TEXT($I9621,"0"),$I9621))</f>
        <v/>
      </c>
    </row>
    <row r="9622">
      <c r="B9622" s="25" t="n"/>
      <c r="I9622" s="25" t="n"/>
      <c r="U9622" s="19">
        <f>IF($V9622&lt;&gt;'設定'!$C$4,N(U9621),IF(OR(NOT(COUNTIF('商品マスタ'!$B$6:$B$1005,$W9622)=0),COUNTIFS('①在庫を貼る'!$V$6:$V$10005,$V9622,'①在庫を貼る'!$W$6:$W$10005,$W9622)+COUNTIFS('月1回_1ヶ月前の在庫'!$V$6:$V$10005,$V9622,'月1回_1ヶ月前の在庫'!$W$6:$W$10005,$W9622)&gt;0),N(U9621),N(U9621)+1))</f>
        <v/>
      </c>
      <c r="V9622" s="19">
        <f>IF($B9622="","",TEXT($B9622,"0000"))</f>
        <v/>
      </c>
      <c r="W9622" s="19">
        <f>IF($I9622="","",IF(ISNUMBER($I9622),TEXT($I9622,"0"),$I9622))</f>
        <v/>
      </c>
    </row>
    <row r="9623">
      <c r="B9623" s="25" t="n"/>
      <c r="I9623" s="25" t="n"/>
      <c r="U9623" s="19">
        <f>IF($V9623&lt;&gt;'設定'!$C$4,N(U9622),IF(OR(NOT(COUNTIF('商品マスタ'!$B$6:$B$1005,$W9623)=0),COUNTIFS('①在庫を貼る'!$V$6:$V$10005,$V9623,'①在庫を貼る'!$W$6:$W$10005,$W9623)+COUNTIFS('月1回_1ヶ月前の在庫'!$V$6:$V$10005,$V9623,'月1回_1ヶ月前の在庫'!$W$6:$W$10005,$W9623)&gt;0),N(U9622),N(U9622)+1))</f>
        <v/>
      </c>
      <c r="V9623" s="19">
        <f>IF($B9623="","",TEXT($B9623,"0000"))</f>
        <v/>
      </c>
      <c r="W9623" s="19">
        <f>IF($I9623="","",IF(ISNUMBER($I9623),TEXT($I9623,"0"),$I9623))</f>
        <v/>
      </c>
    </row>
    <row r="9624">
      <c r="B9624" s="25" t="n"/>
      <c r="I9624" s="25" t="n"/>
      <c r="U9624" s="19">
        <f>IF($V9624&lt;&gt;'設定'!$C$4,N(U9623),IF(OR(NOT(COUNTIF('商品マスタ'!$B$6:$B$1005,$W9624)=0),COUNTIFS('①在庫を貼る'!$V$6:$V$10005,$V9624,'①在庫を貼る'!$W$6:$W$10005,$W9624)+COUNTIFS('月1回_1ヶ月前の在庫'!$V$6:$V$10005,$V9624,'月1回_1ヶ月前の在庫'!$W$6:$W$10005,$W9624)&gt;0),N(U9623),N(U9623)+1))</f>
        <v/>
      </c>
      <c r="V9624" s="19">
        <f>IF($B9624="","",TEXT($B9624,"0000"))</f>
        <v/>
      </c>
      <c r="W9624" s="19">
        <f>IF($I9624="","",IF(ISNUMBER($I9624),TEXT($I9624,"0"),$I9624))</f>
        <v/>
      </c>
    </row>
    <row r="9625">
      <c r="B9625" s="25" t="n"/>
      <c r="I9625" s="25" t="n"/>
      <c r="U9625" s="19">
        <f>IF($V9625&lt;&gt;'設定'!$C$4,N(U9624),IF(OR(NOT(COUNTIF('商品マスタ'!$B$6:$B$1005,$W9625)=0),COUNTIFS('①在庫を貼る'!$V$6:$V$10005,$V9625,'①在庫を貼る'!$W$6:$W$10005,$W9625)+COUNTIFS('月1回_1ヶ月前の在庫'!$V$6:$V$10005,$V9625,'月1回_1ヶ月前の在庫'!$W$6:$W$10005,$W9625)&gt;0),N(U9624),N(U9624)+1))</f>
        <v/>
      </c>
      <c r="V9625" s="19">
        <f>IF($B9625="","",TEXT($B9625,"0000"))</f>
        <v/>
      </c>
      <c r="W9625" s="19">
        <f>IF($I9625="","",IF(ISNUMBER($I9625),TEXT($I9625,"0"),$I9625))</f>
        <v/>
      </c>
    </row>
    <row r="9626">
      <c r="B9626" s="25" t="n"/>
      <c r="I9626" s="25" t="n"/>
      <c r="U9626" s="19">
        <f>IF($V9626&lt;&gt;'設定'!$C$4,N(U9625),IF(OR(NOT(COUNTIF('商品マスタ'!$B$6:$B$1005,$W9626)=0),COUNTIFS('①在庫を貼る'!$V$6:$V$10005,$V9626,'①在庫を貼る'!$W$6:$W$10005,$W9626)+COUNTIFS('月1回_1ヶ月前の在庫'!$V$6:$V$10005,$V9626,'月1回_1ヶ月前の在庫'!$W$6:$W$10005,$W9626)&gt;0),N(U9625),N(U9625)+1))</f>
        <v/>
      </c>
      <c r="V9626" s="19">
        <f>IF($B9626="","",TEXT($B9626,"0000"))</f>
        <v/>
      </c>
      <c r="W9626" s="19">
        <f>IF($I9626="","",IF(ISNUMBER($I9626),TEXT($I9626,"0"),$I9626))</f>
        <v/>
      </c>
    </row>
    <row r="9627">
      <c r="B9627" s="25" t="n"/>
      <c r="I9627" s="25" t="n"/>
      <c r="U9627" s="19">
        <f>IF($V9627&lt;&gt;'設定'!$C$4,N(U9626),IF(OR(NOT(COUNTIF('商品マスタ'!$B$6:$B$1005,$W9627)=0),COUNTIFS('①在庫を貼る'!$V$6:$V$10005,$V9627,'①在庫を貼る'!$W$6:$W$10005,$W9627)+COUNTIFS('月1回_1ヶ月前の在庫'!$V$6:$V$10005,$V9627,'月1回_1ヶ月前の在庫'!$W$6:$W$10005,$W9627)&gt;0),N(U9626),N(U9626)+1))</f>
        <v/>
      </c>
      <c r="V9627" s="19">
        <f>IF($B9627="","",TEXT($B9627,"0000"))</f>
        <v/>
      </c>
      <c r="W9627" s="19">
        <f>IF($I9627="","",IF(ISNUMBER($I9627),TEXT($I9627,"0"),$I9627))</f>
        <v/>
      </c>
    </row>
    <row r="9628">
      <c r="B9628" s="25" t="n"/>
      <c r="I9628" s="25" t="n"/>
      <c r="U9628" s="19">
        <f>IF($V9628&lt;&gt;'設定'!$C$4,N(U9627),IF(OR(NOT(COUNTIF('商品マスタ'!$B$6:$B$1005,$W9628)=0),COUNTIFS('①在庫を貼る'!$V$6:$V$10005,$V9628,'①在庫を貼る'!$W$6:$W$10005,$W9628)+COUNTIFS('月1回_1ヶ月前の在庫'!$V$6:$V$10005,$V9628,'月1回_1ヶ月前の在庫'!$W$6:$W$10005,$W9628)&gt;0),N(U9627),N(U9627)+1))</f>
        <v/>
      </c>
      <c r="V9628" s="19">
        <f>IF($B9628="","",TEXT($B9628,"0000"))</f>
        <v/>
      </c>
      <c r="W9628" s="19">
        <f>IF($I9628="","",IF(ISNUMBER($I9628),TEXT($I9628,"0"),$I9628))</f>
        <v/>
      </c>
    </row>
    <row r="9629">
      <c r="B9629" s="25" t="n"/>
      <c r="I9629" s="25" t="n"/>
      <c r="U9629" s="19">
        <f>IF($V9629&lt;&gt;'設定'!$C$4,N(U9628),IF(OR(NOT(COUNTIF('商品マスタ'!$B$6:$B$1005,$W9629)=0),COUNTIFS('①在庫を貼る'!$V$6:$V$10005,$V9629,'①在庫を貼る'!$W$6:$W$10005,$W9629)+COUNTIFS('月1回_1ヶ月前の在庫'!$V$6:$V$10005,$V9629,'月1回_1ヶ月前の在庫'!$W$6:$W$10005,$W9629)&gt;0),N(U9628),N(U9628)+1))</f>
        <v/>
      </c>
      <c r="V9629" s="19">
        <f>IF($B9629="","",TEXT($B9629,"0000"))</f>
        <v/>
      </c>
      <c r="W9629" s="19">
        <f>IF($I9629="","",IF(ISNUMBER($I9629),TEXT($I9629,"0"),$I9629))</f>
        <v/>
      </c>
    </row>
    <row r="9630">
      <c r="B9630" s="25" t="n"/>
      <c r="I9630" s="25" t="n"/>
      <c r="U9630" s="19">
        <f>IF($V9630&lt;&gt;'設定'!$C$4,N(U9629),IF(OR(NOT(COUNTIF('商品マスタ'!$B$6:$B$1005,$W9630)=0),COUNTIFS('①在庫を貼る'!$V$6:$V$10005,$V9630,'①在庫を貼る'!$W$6:$W$10005,$W9630)+COUNTIFS('月1回_1ヶ月前の在庫'!$V$6:$V$10005,$V9630,'月1回_1ヶ月前の在庫'!$W$6:$W$10005,$W9630)&gt;0),N(U9629),N(U9629)+1))</f>
        <v/>
      </c>
      <c r="V9630" s="19">
        <f>IF($B9630="","",TEXT($B9630,"0000"))</f>
        <v/>
      </c>
      <c r="W9630" s="19">
        <f>IF($I9630="","",IF(ISNUMBER($I9630),TEXT($I9630,"0"),$I9630))</f>
        <v/>
      </c>
    </row>
    <row r="9631">
      <c r="B9631" s="25" t="n"/>
      <c r="I9631" s="25" t="n"/>
      <c r="U9631" s="19">
        <f>IF($V9631&lt;&gt;'設定'!$C$4,N(U9630),IF(OR(NOT(COUNTIF('商品マスタ'!$B$6:$B$1005,$W9631)=0),COUNTIFS('①在庫を貼る'!$V$6:$V$10005,$V9631,'①在庫を貼る'!$W$6:$W$10005,$W9631)+COUNTIFS('月1回_1ヶ月前の在庫'!$V$6:$V$10005,$V9631,'月1回_1ヶ月前の在庫'!$W$6:$W$10005,$W9631)&gt;0),N(U9630),N(U9630)+1))</f>
        <v/>
      </c>
      <c r="V9631" s="19">
        <f>IF($B9631="","",TEXT($B9631,"0000"))</f>
        <v/>
      </c>
      <c r="W9631" s="19">
        <f>IF($I9631="","",IF(ISNUMBER($I9631),TEXT($I9631,"0"),$I9631))</f>
        <v/>
      </c>
    </row>
    <row r="9632">
      <c r="B9632" s="25" t="n"/>
      <c r="I9632" s="25" t="n"/>
      <c r="U9632" s="19">
        <f>IF($V9632&lt;&gt;'設定'!$C$4,N(U9631),IF(OR(NOT(COUNTIF('商品マスタ'!$B$6:$B$1005,$W9632)=0),COUNTIFS('①在庫を貼る'!$V$6:$V$10005,$V9632,'①在庫を貼る'!$W$6:$W$10005,$W9632)+COUNTIFS('月1回_1ヶ月前の在庫'!$V$6:$V$10005,$V9632,'月1回_1ヶ月前の在庫'!$W$6:$W$10005,$W9632)&gt;0),N(U9631),N(U9631)+1))</f>
        <v/>
      </c>
      <c r="V9632" s="19">
        <f>IF($B9632="","",TEXT($B9632,"0000"))</f>
        <v/>
      </c>
      <c r="W9632" s="19">
        <f>IF($I9632="","",IF(ISNUMBER($I9632),TEXT($I9632,"0"),$I9632))</f>
        <v/>
      </c>
    </row>
    <row r="9633">
      <c r="B9633" s="25" t="n"/>
      <c r="I9633" s="25" t="n"/>
      <c r="U9633" s="19">
        <f>IF($V9633&lt;&gt;'設定'!$C$4,N(U9632),IF(OR(NOT(COUNTIF('商品マスタ'!$B$6:$B$1005,$W9633)=0),COUNTIFS('①在庫を貼る'!$V$6:$V$10005,$V9633,'①在庫を貼る'!$W$6:$W$10005,$W9633)+COUNTIFS('月1回_1ヶ月前の在庫'!$V$6:$V$10005,$V9633,'月1回_1ヶ月前の在庫'!$W$6:$W$10005,$W9633)&gt;0),N(U9632),N(U9632)+1))</f>
        <v/>
      </c>
      <c r="V9633" s="19">
        <f>IF($B9633="","",TEXT($B9633,"0000"))</f>
        <v/>
      </c>
      <c r="W9633" s="19">
        <f>IF($I9633="","",IF(ISNUMBER($I9633),TEXT($I9633,"0"),$I9633))</f>
        <v/>
      </c>
    </row>
    <row r="9634">
      <c r="B9634" s="25" t="n"/>
      <c r="I9634" s="25" t="n"/>
      <c r="U9634" s="19">
        <f>IF($V9634&lt;&gt;'設定'!$C$4,N(U9633),IF(OR(NOT(COUNTIF('商品マスタ'!$B$6:$B$1005,$W9634)=0),COUNTIFS('①在庫を貼る'!$V$6:$V$10005,$V9634,'①在庫を貼る'!$W$6:$W$10005,$W9634)+COUNTIFS('月1回_1ヶ月前の在庫'!$V$6:$V$10005,$V9634,'月1回_1ヶ月前の在庫'!$W$6:$W$10005,$W9634)&gt;0),N(U9633),N(U9633)+1))</f>
        <v/>
      </c>
      <c r="V9634" s="19">
        <f>IF($B9634="","",TEXT($B9634,"0000"))</f>
        <v/>
      </c>
      <c r="W9634" s="19">
        <f>IF($I9634="","",IF(ISNUMBER($I9634),TEXT($I9634,"0"),$I9634))</f>
        <v/>
      </c>
    </row>
    <row r="9635">
      <c r="B9635" s="25" t="n"/>
      <c r="I9635" s="25" t="n"/>
      <c r="U9635" s="19">
        <f>IF($V9635&lt;&gt;'設定'!$C$4,N(U9634),IF(OR(NOT(COUNTIF('商品マスタ'!$B$6:$B$1005,$W9635)=0),COUNTIFS('①在庫を貼る'!$V$6:$V$10005,$V9635,'①在庫を貼る'!$W$6:$W$10005,$W9635)+COUNTIFS('月1回_1ヶ月前の在庫'!$V$6:$V$10005,$V9635,'月1回_1ヶ月前の在庫'!$W$6:$W$10005,$W9635)&gt;0),N(U9634),N(U9634)+1))</f>
        <v/>
      </c>
      <c r="V9635" s="19">
        <f>IF($B9635="","",TEXT($B9635,"0000"))</f>
        <v/>
      </c>
      <c r="W9635" s="19">
        <f>IF($I9635="","",IF(ISNUMBER($I9635),TEXT($I9635,"0"),$I9635))</f>
        <v/>
      </c>
    </row>
    <row r="9636">
      <c r="B9636" s="25" t="n"/>
      <c r="I9636" s="25" t="n"/>
      <c r="U9636" s="19">
        <f>IF($V9636&lt;&gt;'設定'!$C$4,N(U9635),IF(OR(NOT(COUNTIF('商品マスタ'!$B$6:$B$1005,$W9636)=0),COUNTIFS('①在庫を貼る'!$V$6:$V$10005,$V9636,'①在庫を貼る'!$W$6:$W$10005,$W9636)+COUNTIFS('月1回_1ヶ月前の在庫'!$V$6:$V$10005,$V9636,'月1回_1ヶ月前の在庫'!$W$6:$W$10005,$W9636)&gt;0),N(U9635),N(U9635)+1))</f>
        <v/>
      </c>
      <c r="V9636" s="19">
        <f>IF($B9636="","",TEXT($B9636,"0000"))</f>
        <v/>
      </c>
      <c r="W9636" s="19">
        <f>IF($I9636="","",IF(ISNUMBER($I9636),TEXT($I9636,"0"),$I9636))</f>
        <v/>
      </c>
    </row>
    <row r="9637">
      <c r="B9637" s="25" t="n"/>
      <c r="I9637" s="25" t="n"/>
      <c r="U9637" s="19">
        <f>IF($V9637&lt;&gt;'設定'!$C$4,N(U9636),IF(OR(NOT(COUNTIF('商品マスタ'!$B$6:$B$1005,$W9637)=0),COUNTIFS('①在庫を貼る'!$V$6:$V$10005,$V9637,'①在庫を貼る'!$W$6:$W$10005,$W9637)+COUNTIFS('月1回_1ヶ月前の在庫'!$V$6:$V$10005,$V9637,'月1回_1ヶ月前の在庫'!$W$6:$W$10005,$W9637)&gt;0),N(U9636),N(U9636)+1))</f>
        <v/>
      </c>
      <c r="V9637" s="19">
        <f>IF($B9637="","",TEXT($B9637,"0000"))</f>
        <v/>
      </c>
      <c r="W9637" s="19">
        <f>IF($I9637="","",IF(ISNUMBER($I9637),TEXT($I9637,"0"),$I9637))</f>
        <v/>
      </c>
    </row>
    <row r="9638">
      <c r="B9638" s="25" t="n"/>
      <c r="I9638" s="25" t="n"/>
      <c r="U9638" s="19">
        <f>IF($V9638&lt;&gt;'設定'!$C$4,N(U9637),IF(OR(NOT(COUNTIF('商品マスタ'!$B$6:$B$1005,$W9638)=0),COUNTIFS('①在庫を貼る'!$V$6:$V$10005,$V9638,'①在庫を貼る'!$W$6:$W$10005,$W9638)+COUNTIFS('月1回_1ヶ月前の在庫'!$V$6:$V$10005,$V9638,'月1回_1ヶ月前の在庫'!$W$6:$W$10005,$W9638)&gt;0),N(U9637),N(U9637)+1))</f>
        <v/>
      </c>
      <c r="V9638" s="19">
        <f>IF($B9638="","",TEXT($B9638,"0000"))</f>
        <v/>
      </c>
      <c r="W9638" s="19">
        <f>IF($I9638="","",IF(ISNUMBER($I9638),TEXT($I9638,"0"),$I9638))</f>
        <v/>
      </c>
    </row>
    <row r="9639">
      <c r="B9639" s="25" t="n"/>
      <c r="I9639" s="25" t="n"/>
      <c r="U9639" s="19">
        <f>IF($V9639&lt;&gt;'設定'!$C$4,N(U9638),IF(OR(NOT(COUNTIF('商品マスタ'!$B$6:$B$1005,$W9639)=0),COUNTIFS('①在庫を貼る'!$V$6:$V$10005,$V9639,'①在庫を貼る'!$W$6:$W$10005,$W9639)+COUNTIFS('月1回_1ヶ月前の在庫'!$V$6:$V$10005,$V9639,'月1回_1ヶ月前の在庫'!$W$6:$W$10005,$W9639)&gt;0),N(U9638),N(U9638)+1))</f>
        <v/>
      </c>
      <c r="V9639" s="19">
        <f>IF($B9639="","",TEXT($B9639,"0000"))</f>
        <v/>
      </c>
      <c r="W9639" s="19">
        <f>IF($I9639="","",IF(ISNUMBER($I9639),TEXT($I9639,"0"),$I9639))</f>
        <v/>
      </c>
    </row>
    <row r="9640">
      <c r="B9640" s="25" t="n"/>
      <c r="I9640" s="25" t="n"/>
      <c r="U9640" s="19">
        <f>IF($V9640&lt;&gt;'設定'!$C$4,N(U9639),IF(OR(NOT(COUNTIF('商品マスタ'!$B$6:$B$1005,$W9640)=0),COUNTIFS('①在庫を貼る'!$V$6:$V$10005,$V9640,'①在庫を貼る'!$W$6:$W$10005,$W9640)+COUNTIFS('月1回_1ヶ月前の在庫'!$V$6:$V$10005,$V9640,'月1回_1ヶ月前の在庫'!$W$6:$W$10005,$W9640)&gt;0),N(U9639),N(U9639)+1))</f>
        <v/>
      </c>
      <c r="V9640" s="19">
        <f>IF($B9640="","",TEXT($B9640,"0000"))</f>
        <v/>
      </c>
      <c r="W9640" s="19">
        <f>IF($I9640="","",IF(ISNUMBER($I9640),TEXT($I9640,"0"),$I9640))</f>
        <v/>
      </c>
    </row>
    <row r="9641">
      <c r="B9641" s="25" t="n"/>
      <c r="I9641" s="25" t="n"/>
      <c r="U9641" s="19">
        <f>IF($V9641&lt;&gt;'設定'!$C$4,N(U9640),IF(OR(NOT(COUNTIF('商品マスタ'!$B$6:$B$1005,$W9641)=0),COUNTIFS('①在庫を貼る'!$V$6:$V$10005,$V9641,'①在庫を貼る'!$W$6:$W$10005,$W9641)+COUNTIFS('月1回_1ヶ月前の在庫'!$V$6:$V$10005,$V9641,'月1回_1ヶ月前の在庫'!$W$6:$W$10005,$W9641)&gt;0),N(U9640),N(U9640)+1))</f>
        <v/>
      </c>
      <c r="V9641" s="19">
        <f>IF($B9641="","",TEXT($B9641,"0000"))</f>
        <v/>
      </c>
      <c r="W9641" s="19">
        <f>IF($I9641="","",IF(ISNUMBER($I9641),TEXT($I9641,"0"),$I9641))</f>
        <v/>
      </c>
    </row>
    <row r="9642">
      <c r="B9642" s="25" t="n"/>
      <c r="I9642" s="25" t="n"/>
      <c r="U9642" s="19">
        <f>IF($V9642&lt;&gt;'設定'!$C$4,N(U9641),IF(OR(NOT(COUNTIF('商品マスタ'!$B$6:$B$1005,$W9642)=0),COUNTIFS('①在庫を貼る'!$V$6:$V$10005,$V9642,'①在庫を貼る'!$W$6:$W$10005,$W9642)+COUNTIFS('月1回_1ヶ月前の在庫'!$V$6:$V$10005,$V9642,'月1回_1ヶ月前の在庫'!$W$6:$W$10005,$W9642)&gt;0),N(U9641),N(U9641)+1))</f>
        <v/>
      </c>
      <c r="V9642" s="19">
        <f>IF($B9642="","",TEXT($B9642,"0000"))</f>
        <v/>
      </c>
      <c r="W9642" s="19">
        <f>IF($I9642="","",IF(ISNUMBER($I9642),TEXT($I9642,"0"),$I9642))</f>
        <v/>
      </c>
    </row>
    <row r="9643">
      <c r="B9643" s="25" t="n"/>
      <c r="I9643" s="25" t="n"/>
      <c r="U9643" s="19">
        <f>IF($V9643&lt;&gt;'設定'!$C$4,N(U9642),IF(OR(NOT(COUNTIF('商品マスタ'!$B$6:$B$1005,$W9643)=0),COUNTIFS('①在庫を貼る'!$V$6:$V$10005,$V9643,'①在庫を貼る'!$W$6:$W$10005,$W9643)+COUNTIFS('月1回_1ヶ月前の在庫'!$V$6:$V$10005,$V9643,'月1回_1ヶ月前の在庫'!$W$6:$W$10005,$W9643)&gt;0),N(U9642),N(U9642)+1))</f>
        <v/>
      </c>
      <c r="V9643" s="19">
        <f>IF($B9643="","",TEXT($B9643,"0000"))</f>
        <v/>
      </c>
      <c r="W9643" s="19">
        <f>IF($I9643="","",IF(ISNUMBER($I9643),TEXT($I9643,"0"),$I9643))</f>
        <v/>
      </c>
    </row>
    <row r="9644">
      <c r="B9644" s="25" t="n"/>
      <c r="I9644" s="25" t="n"/>
      <c r="U9644" s="19">
        <f>IF($V9644&lt;&gt;'設定'!$C$4,N(U9643),IF(OR(NOT(COUNTIF('商品マスタ'!$B$6:$B$1005,$W9644)=0),COUNTIFS('①在庫を貼る'!$V$6:$V$10005,$V9644,'①在庫を貼る'!$W$6:$W$10005,$W9644)+COUNTIFS('月1回_1ヶ月前の在庫'!$V$6:$V$10005,$V9644,'月1回_1ヶ月前の在庫'!$W$6:$W$10005,$W9644)&gt;0),N(U9643),N(U9643)+1))</f>
        <v/>
      </c>
      <c r="V9644" s="19">
        <f>IF($B9644="","",TEXT($B9644,"0000"))</f>
        <v/>
      </c>
      <c r="W9644" s="19">
        <f>IF($I9644="","",IF(ISNUMBER($I9644),TEXT($I9644,"0"),$I9644))</f>
        <v/>
      </c>
    </row>
    <row r="9645">
      <c r="B9645" s="25" t="n"/>
      <c r="I9645" s="25" t="n"/>
      <c r="U9645" s="19">
        <f>IF($V9645&lt;&gt;'設定'!$C$4,N(U9644),IF(OR(NOT(COUNTIF('商品マスタ'!$B$6:$B$1005,$W9645)=0),COUNTIFS('①在庫を貼る'!$V$6:$V$10005,$V9645,'①在庫を貼る'!$W$6:$W$10005,$W9645)+COUNTIFS('月1回_1ヶ月前の在庫'!$V$6:$V$10005,$V9645,'月1回_1ヶ月前の在庫'!$W$6:$W$10005,$W9645)&gt;0),N(U9644),N(U9644)+1))</f>
        <v/>
      </c>
      <c r="V9645" s="19">
        <f>IF($B9645="","",TEXT($B9645,"0000"))</f>
        <v/>
      </c>
      <c r="W9645" s="19">
        <f>IF($I9645="","",IF(ISNUMBER($I9645),TEXT($I9645,"0"),$I9645))</f>
        <v/>
      </c>
    </row>
    <row r="9646">
      <c r="B9646" s="25" t="n"/>
      <c r="I9646" s="25" t="n"/>
      <c r="U9646" s="19">
        <f>IF($V9646&lt;&gt;'設定'!$C$4,N(U9645),IF(OR(NOT(COUNTIF('商品マスタ'!$B$6:$B$1005,$W9646)=0),COUNTIFS('①在庫を貼る'!$V$6:$V$10005,$V9646,'①在庫を貼る'!$W$6:$W$10005,$W9646)+COUNTIFS('月1回_1ヶ月前の在庫'!$V$6:$V$10005,$V9646,'月1回_1ヶ月前の在庫'!$W$6:$W$10005,$W9646)&gt;0),N(U9645),N(U9645)+1))</f>
        <v/>
      </c>
      <c r="V9646" s="19">
        <f>IF($B9646="","",TEXT($B9646,"0000"))</f>
        <v/>
      </c>
      <c r="W9646" s="19">
        <f>IF($I9646="","",IF(ISNUMBER($I9646),TEXT($I9646,"0"),$I9646))</f>
        <v/>
      </c>
    </row>
    <row r="9647">
      <c r="B9647" s="25" t="n"/>
      <c r="I9647" s="25" t="n"/>
      <c r="U9647" s="19">
        <f>IF($V9647&lt;&gt;'設定'!$C$4,N(U9646),IF(OR(NOT(COUNTIF('商品マスタ'!$B$6:$B$1005,$W9647)=0),COUNTIFS('①在庫を貼る'!$V$6:$V$10005,$V9647,'①在庫を貼る'!$W$6:$W$10005,$W9647)+COUNTIFS('月1回_1ヶ月前の在庫'!$V$6:$V$10005,$V9647,'月1回_1ヶ月前の在庫'!$W$6:$W$10005,$W9647)&gt;0),N(U9646),N(U9646)+1))</f>
        <v/>
      </c>
      <c r="V9647" s="19">
        <f>IF($B9647="","",TEXT($B9647,"0000"))</f>
        <v/>
      </c>
      <c r="W9647" s="19">
        <f>IF($I9647="","",IF(ISNUMBER($I9647),TEXT($I9647,"0"),$I9647))</f>
        <v/>
      </c>
    </row>
    <row r="9648">
      <c r="B9648" s="25" t="n"/>
      <c r="I9648" s="25" t="n"/>
      <c r="U9648" s="19">
        <f>IF($V9648&lt;&gt;'設定'!$C$4,N(U9647),IF(OR(NOT(COUNTIF('商品マスタ'!$B$6:$B$1005,$W9648)=0),COUNTIFS('①在庫を貼る'!$V$6:$V$10005,$V9648,'①在庫を貼る'!$W$6:$W$10005,$W9648)+COUNTIFS('月1回_1ヶ月前の在庫'!$V$6:$V$10005,$V9648,'月1回_1ヶ月前の在庫'!$W$6:$W$10005,$W9648)&gt;0),N(U9647),N(U9647)+1))</f>
        <v/>
      </c>
      <c r="V9648" s="19">
        <f>IF($B9648="","",TEXT($B9648,"0000"))</f>
        <v/>
      </c>
      <c r="W9648" s="19">
        <f>IF($I9648="","",IF(ISNUMBER($I9648),TEXT($I9648,"0"),$I9648))</f>
        <v/>
      </c>
    </row>
    <row r="9649">
      <c r="B9649" s="25" t="n"/>
      <c r="I9649" s="25" t="n"/>
      <c r="U9649" s="19">
        <f>IF($V9649&lt;&gt;'設定'!$C$4,N(U9648),IF(OR(NOT(COUNTIF('商品マスタ'!$B$6:$B$1005,$W9649)=0),COUNTIFS('①在庫を貼る'!$V$6:$V$10005,$V9649,'①在庫を貼る'!$W$6:$W$10005,$W9649)+COUNTIFS('月1回_1ヶ月前の在庫'!$V$6:$V$10005,$V9649,'月1回_1ヶ月前の在庫'!$W$6:$W$10005,$W9649)&gt;0),N(U9648),N(U9648)+1))</f>
        <v/>
      </c>
      <c r="V9649" s="19">
        <f>IF($B9649="","",TEXT($B9649,"0000"))</f>
        <v/>
      </c>
      <c r="W9649" s="19">
        <f>IF($I9649="","",IF(ISNUMBER($I9649),TEXT($I9649,"0"),$I9649))</f>
        <v/>
      </c>
    </row>
    <row r="9650">
      <c r="B9650" s="25" t="n"/>
      <c r="I9650" s="25" t="n"/>
      <c r="U9650" s="19">
        <f>IF($V9650&lt;&gt;'設定'!$C$4,N(U9649),IF(OR(NOT(COUNTIF('商品マスタ'!$B$6:$B$1005,$W9650)=0),COUNTIFS('①在庫を貼る'!$V$6:$V$10005,$V9650,'①在庫を貼る'!$W$6:$W$10005,$W9650)+COUNTIFS('月1回_1ヶ月前の在庫'!$V$6:$V$10005,$V9650,'月1回_1ヶ月前の在庫'!$W$6:$W$10005,$W9650)&gt;0),N(U9649),N(U9649)+1))</f>
        <v/>
      </c>
      <c r="V9650" s="19">
        <f>IF($B9650="","",TEXT($B9650,"0000"))</f>
        <v/>
      </c>
      <c r="W9650" s="19">
        <f>IF($I9650="","",IF(ISNUMBER($I9650),TEXT($I9650,"0"),$I9650))</f>
        <v/>
      </c>
    </row>
    <row r="9651">
      <c r="B9651" s="25" t="n"/>
      <c r="I9651" s="25" t="n"/>
      <c r="U9651" s="19">
        <f>IF($V9651&lt;&gt;'設定'!$C$4,N(U9650),IF(OR(NOT(COUNTIF('商品マスタ'!$B$6:$B$1005,$W9651)=0),COUNTIFS('①在庫を貼る'!$V$6:$V$10005,$V9651,'①在庫を貼る'!$W$6:$W$10005,$W9651)+COUNTIFS('月1回_1ヶ月前の在庫'!$V$6:$V$10005,$V9651,'月1回_1ヶ月前の在庫'!$W$6:$W$10005,$W9651)&gt;0),N(U9650),N(U9650)+1))</f>
        <v/>
      </c>
      <c r="V9651" s="19">
        <f>IF($B9651="","",TEXT($B9651,"0000"))</f>
        <v/>
      </c>
      <c r="W9651" s="19">
        <f>IF($I9651="","",IF(ISNUMBER($I9651),TEXT($I9651,"0"),$I9651))</f>
        <v/>
      </c>
    </row>
    <row r="9652">
      <c r="B9652" s="25" t="n"/>
      <c r="I9652" s="25" t="n"/>
      <c r="U9652" s="19">
        <f>IF($V9652&lt;&gt;'設定'!$C$4,N(U9651),IF(OR(NOT(COUNTIF('商品マスタ'!$B$6:$B$1005,$W9652)=0),COUNTIFS('①在庫を貼る'!$V$6:$V$10005,$V9652,'①在庫を貼る'!$W$6:$W$10005,$W9652)+COUNTIFS('月1回_1ヶ月前の在庫'!$V$6:$V$10005,$V9652,'月1回_1ヶ月前の在庫'!$W$6:$W$10005,$W9652)&gt;0),N(U9651),N(U9651)+1))</f>
        <v/>
      </c>
      <c r="V9652" s="19">
        <f>IF($B9652="","",TEXT($B9652,"0000"))</f>
        <v/>
      </c>
      <c r="W9652" s="19">
        <f>IF($I9652="","",IF(ISNUMBER($I9652),TEXT($I9652,"0"),$I9652))</f>
        <v/>
      </c>
    </row>
    <row r="9653">
      <c r="B9653" s="25" t="n"/>
      <c r="I9653" s="25" t="n"/>
      <c r="U9653" s="19">
        <f>IF($V9653&lt;&gt;'設定'!$C$4,N(U9652),IF(OR(NOT(COUNTIF('商品マスタ'!$B$6:$B$1005,$W9653)=0),COUNTIFS('①在庫を貼る'!$V$6:$V$10005,$V9653,'①在庫を貼る'!$W$6:$W$10005,$W9653)+COUNTIFS('月1回_1ヶ月前の在庫'!$V$6:$V$10005,$V9653,'月1回_1ヶ月前の在庫'!$W$6:$W$10005,$W9653)&gt;0),N(U9652),N(U9652)+1))</f>
        <v/>
      </c>
      <c r="V9653" s="19">
        <f>IF($B9653="","",TEXT($B9653,"0000"))</f>
        <v/>
      </c>
      <c r="W9653" s="19">
        <f>IF($I9653="","",IF(ISNUMBER($I9653),TEXT($I9653,"0"),$I9653))</f>
        <v/>
      </c>
    </row>
    <row r="9654">
      <c r="B9654" s="25" t="n"/>
      <c r="I9654" s="25" t="n"/>
      <c r="U9654" s="19">
        <f>IF($V9654&lt;&gt;'設定'!$C$4,N(U9653),IF(OR(NOT(COUNTIF('商品マスタ'!$B$6:$B$1005,$W9654)=0),COUNTIFS('①在庫を貼る'!$V$6:$V$10005,$V9654,'①在庫を貼る'!$W$6:$W$10005,$W9654)+COUNTIFS('月1回_1ヶ月前の在庫'!$V$6:$V$10005,$V9654,'月1回_1ヶ月前の在庫'!$W$6:$W$10005,$W9654)&gt;0),N(U9653),N(U9653)+1))</f>
        <v/>
      </c>
      <c r="V9654" s="19">
        <f>IF($B9654="","",TEXT($B9654,"0000"))</f>
        <v/>
      </c>
      <c r="W9654" s="19">
        <f>IF($I9654="","",IF(ISNUMBER($I9654),TEXT($I9654,"0"),$I9654))</f>
        <v/>
      </c>
    </row>
    <row r="9655">
      <c r="B9655" s="25" t="n"/>
      <c r="I9655" s="25" t="n"/>
      <c r="U9655" s="19">
        <f>IF($V9655&lt;&gt;'設定'!$C$4,N(U9654),IF(OR(NOT(COUNTIF('商品マスタ'!$B$6:$B$1005,$W9655)=0),COUNTIFS('①在庫を貼る'!$V$6:$V$10005,$V9655,'①在庫を貼る'!$W$6:$W$10005,$W9655)+COUNTIFS('月1回_1ヶ月前の在庫'!$V$6:$V$10005,$V9655,'月1回_1ヶ月前の在庫'!$W$6:$W$10005,$W9655)&gt;0),N(U9654),N(U9654)+1))</f>
        <v/>
      </c>
      <c r="V9655" s="19">
        <f>IF($B9655="","",TEXT($B9655,"0000"))</f>
        <v/>
      </c>
      <c r="W9655" s="19">
        <f>IF($I9655="","",IF(ISNUMBER($I9655),TEXT($I9655,"0"),$I9655))</f>
        <v/>
      </c>
    </row>
    <row r="9656">
      <c r="B9656" s="25" t="n"/>
      <c r="I9656" s="25" t="n"/>
      <c r="U9656" s="19">
        <f>IF($V9656&lt;&gt;'設定'!$C$4,N(U9655),IF(OR(NOT(COUNTIF('商品マスタ'!$B$6:$B$1005,$W9656)=0),COUNTIFS('①在庫を貼る'!$V$6:$V$10005,$V9656,'①在庫を貼る'!$W$6:$W$10005,$W9656)+COUNTIFS('月1回_1ヶ月前の在庫'!$V$6:$V$10005,$V9656,'月1回_1ヶ月前の在庫'!$W$6:$W$10005,$W9656)&gt;0),N(U9655),N(U9655)+1))</f>
        <v/>
      </c>
      <c r="V9656" s="19">
        <f>IF($B9656="","",TEXT($B9656,"0000"))</f>
        <v/>
      </c>
      <c r="W9656" s="19">
        <f>IF($I9656="","",IF(ISNUMBER($I9656),TEXT($I9656,"0"),$I9656))</f>
        <v/>
      </c>
    </row>
    <row r="9657">
      <c r="B9657" s="25" t="n"/>
      <c r="I9657" s="25" t="n"/>
      <c r="U9657" s="19">
        <f>IF($V9657&lt;&gt;'設定'!$C$4,N(U9656),IF(OR(NOT(COUNTIF('商品マスタ'!$B$6:$B$1005,$W9657)=0),COUNTIFS('①在庫を貼る'!$V$6:$V$10005,$V9657,'①在庫を貼る'!$W$6:$W$10005,$W9657)+COUNTIFS('月1回_1ヶ月前の在庫'!$V$6:$V$10005,$V9657,'月1回_1ヶ月前の在庫'!$W$6:$W$10005,$W9657)&gt;0),N(U9656),N(U9656)+1))</f>
        <v/>
      </c>
      <c r="V9657" s="19">
        <f>IF($B9657="","",TEXT($B9657,"0000"))</f>
        <v/>
      </c>
      <c r="W9657" s="19">
        <f>IF($I9657="","",IF(ISNUMBER($I9657),TEXT($I9657,"0"),$I9657))</f>
        <v/>
      </c>
    </row>
    <row r="9658">
      <c r="B9658" s="25" t="n"/>
      <c r="I9658" s="25" t="n"/>
      <c r="U9658" s="19">
        <f>IF($V9658&lt;&gt;'設定'!$C$4,N(U9657),IF(OR(NOT(COUNTIF('商品マスタ'!$B$6:$B$1005,$W9658)=0),COUNTIFS('①在庫を貼る'!$V$6:$V$10005,$V9658,'①在庫を貼る'!$W$6:$W$10005,$W9658)+COUNTIFS('月1回_1ヶ月前の在庫'!$V$6:$V$10005,$V9658,'月1回_1ヶ月前の在庫'!$W$6:$W$10005,$W9658)&gt;0),N(U9657),N(U9657)+1))</f>
        <v/>
      </c>
      <c r="V9658" s="19">
        <f>IF($B9658="","",TEXT($B9658,"0000"))</f>
        <v/>
      </c>
      <c r="W9658" s="19">
        <f>IF($I9658="","",IF(ISNUMBER($I9658),TEXT($I9658,"0"),$I9658))</f>
        <v/>
      </c>
    </row>
    <row r="9659">
      <c r="B9659" s="25" t="n"/>
      <c r="I9659" s="25" t="n"/>
      <c r="U9659" s="19">
        <f>IF($V9659&lt;&gt;'設定'!$C$4,N(U9658),IF(OR(NOT(COUNTIF('商品マスタ'!$B$6:$B$1005,$W9659)=0),COUNTIFS('①在庫を貼る'!$V$6:$V$10005,$V9659,'①在庫を貼る'!$W$6:$W$10005,$W9659)+COUNTIFS('月1回_1ヶ月前の在庫'!$V$6:$V$10005,$V9659,'月1回_1ヶ月前の在庫'!$W$6:$W$10005,$W9659)&gt;0),N(U9658),N(U9658)+1))</f>
        <v/>
      </c>
      <c r="V9659" s="19">
        <f>IF($B9659="","",TEXT($B9659,"0000"))</f>
        <v/>
      </c>
      <c r="W9659" s="19">
        <f>IF($I9659="","",IF(ISNUMBER($I9659),TEXT($I9659,"0"),$I9659))</f>
        <v/>
      </c>
    </row>
    <row r="9660">
      <c r="B9660" s="25" t="n"/>
      <c r="I9660" s="25" t="n"/>
      <c r="U9660" s="19">
        <f>IF($V9660&lt;&gt;'設定'!$C$4,N(U9659),IF(OR(NOT(COUNTIF('商品マスタ'!$B$6:$B$1005,$W9660)=0),COUNTIFS('①在庫を貼る'!$V$6:$V$10005,$V9660,'①在庫を貼る'!$W$6:$W$10005,$W9660)+COUNTIFS('月1回_1ヶ月前の在庫'!$V$6:$V$10005,$V9660,'月1回_1ヶ月前の在庫'!$W$6:$W$10005,$W9660)&gt;0),N(U9659),N(U9659)+1))</f>
        <v/>
      </c>
      <c r="V9660" s="19">
        <f>IF($B9660="","",TEXT($B9660,"0000"))</f>
        <v/>
      </c>
      <c r="W9660" s="19">
        <f>IF($I9660="","",IF(ISNUMBER($I9660),TEXT($I9660,"0"),$I9660))</f>
        <v/>
      </c>
    </row>
    <row r="9661">
      <c r="B9661" s="25" t="n"/>
      <c r="I9661" s="25" t="n"/>
      <c r="U9661" s="19">
        <f>IF($V9661&lt;&gt;'設定'!$C$4,N(U9660),IF(OR(NOT(COUNTIF('商品マスタ'!$B$6:$B$1005,$W9661)=0),COUNTIFS('①在庫を貼る'!$V$6:$V$10005,$V9661,'①在庫を貼る'!$W$6:$W$10005,$W9661)+COUNTIFS('月1回_1ヶ月前の在庫'!$V$6:$V$10005,$V9661,'月1回_1ヶ月前の在庫'!$W$6:$W$10005,$W9661)&gt;0),N(U9660),N(U9660)+1))</f>
        <v/>
      </c>
      <c r="V9661" s="19">
        <f>IF($B9661="","",TEXT($B9661,"0000"))</f>
        <v/>
      </c>
      <c r="W9661" s="19">
        <f>IF($I9661="","",IF(ISNUMBER($I9661),TEXT($I9661,"0"),$I9661))</f>
        <v/>
      </c>
    </row>
    <row r="9662">
      <c r="B9662" s="25" t="n"/>
      <c r="I9662" s="25" t="n"/>
      <c r="U9662" s="19">
        <f>IF($V9662&lt;&gt;'設定'!$C$4,N(U9661),IF(OR(NOT(COUNTIF('商品マスタ'!$B$6:$B$1005,$W9662)=0),COUNTIFS('①在庫を貼る'!$V$6:$V$10005,$V9662,'①在庫を貼る'!$W$6:$W$10005,$W9662)+COUNTIFS('月1回_1ヶ月前の在庫'!$V$6:$V$10005,$V9662,'月1回_1ヶ月前の在庫'!$W$6:$W$10005,$W9662)&gt;0),N(U9661),N(U9661)+1))</f>
        <v/>
      </c>
      <c r="V9662" s="19">
        <f>IF($B9662="","",TEXT($B9662,"0000"))</f>
        <v/>
      </c>
      <c r="W9662" s="19">
        <f>IF($I9662="","",IF(ISNUMBER($I9662),TEXT($I9662,"0"),$I9662))</f>
        <v/>
      </c>
    </row>
    <row r="9663">
      <c r="B9663" s="25" t="n"/>
      <c r="I9663" s="25" t="n"/>
      <c r="U9663" s="19">
        <f>IF($V9663&lt;&gt;'設定'!$C$4,N(U9662),IF(OR(NOT(COUNTIF('商品マスタ'!$B$6:$B$1005,$W9663)=0),COUNTIFS('①在庫を貼る'!$V$6:$V$10005,$V9663,'①在庫を貼る'!$W$6:$W$10005,$W9663)+COUNTIFS('月1回_1ヶ月前の在庫'!$V$6:$V$10005,$V9663,'月1回_1ヶ月前の在庫'!$W$6:$W$10005,$W9663)&gt;0),N(U9662),N(U9662)+1))</f>
        <v/>
      </c>
      <c r="V9663" s="19">
        <f>IF($B9663="","",TEXT($B9663,"0000"))</f>
        <v/>
      </c>
      <c r="W9663" s="19">
        <f>IF($I9663="","",IF(ISNUMBER($I9663),TEXT($I9663,"0"),$I9663))</f>
        <v/>
      </c>
    </row>
    <row r="9664">
      <c r="B9664" s="25" t="n"/>
      <c r="I9664" s="25" t="n"/>
      <c r="U9664" s="19">
        <f>IF($V9664&lt;&gt;'設定'!$C$4,N(U9663),IF(OR(NOT(COUNTIF('商品マスタ'!$B$6:$B$1005,$W9664)=0),COUNTIFS('①在庫を貼る'!$V$6:$V$10005,$V9664,'①在庫を貼る'!$W$6:$W$10005,$W9664)+COUNTIFS('月1回_1ヶ月前の在庫'!$V$6:$V$10005,$V9664,'月1回_1ヶ月前の在庫'!$W$6:$W$10005,$W9664)&gt;0),N(U9663),N(U9663)+1))</f>
        <v/>
      </c>
      <c r="V9664" s="19">
        <f>IF($B9664="","",TEXT($B9664,"0000"))</f>
        <v/>
      </c>
      <c r="W9664" s="19">
        <f>IF($I9664="","",IF(ISNUMBER($I9664),TEXT($I9664,"0"),$I9664))</f>
        <v/>
      </c>
    </row>
    <row r="9665">
      <c r="B9665" s="25" t="n"/>
      <c r="I9665" s="25" t="n"/>
      <c r="U9665" s="19">
        <f>IF($V9665&lt;&gt;'設定'!$C$4,N(U9664),IF(OR(NOT(COUNTIF('商品マスタ'!$B$6:$B$1005,$W9665)=0),COUNTIFS('①在庫を貼る'!$V$6:$V$10005,$V9665,'①在庫を貼る'!$W$6:$W$10005,$W9665)+COUNTIFS('月1回_1ヶ月前の在庫'!$V$6:$V$10005,$V9665,'月1回_1ヶ月前の在庫'!$W$6:$W$10005,$W9665)&gt;0),N(U9664),N(U9664)+1))</f>
        <v/>
      </c>
      <c r="V9665" s="19">
        <f>IF($B9665="","",TEXT($B9665,"0000"))</f>
        <v/>
      </c>
      <c r="W9665" s="19">
        <f>IF($I9665="","",IF(ISNUMBER($I9665),TEXT($I9665,"0"),$I9665))</f>
        <v/>
      </c>
    </row>
    <row r="9666">
      <c r="B9666" s="25" t="n"/>
      <c r="I9666" s="25" t="n"/>
      <c r="U9666" s="19">
        <f>IF($V9666&lt;&gt;'設定'!$C$4,N(U9665),IF(OR(NOT(COUNTIF('商品マスタ'!$B$6:$B$1005,$W9666)=0),COUNTIFS('①在庫を貼る'!$V$6:$V$10005,$V9666,'①在庫を貼る'!$W$6:$W$10005,$W9666)+COUNTIFS('月1回_1ヶ月前の在庫'!$V$6:$V$10005,$V9666,'月1回_1ヶ月前の在庫'!$W$6:$W$10005,$W9666)&gt;0),N(U9665),N(U9665)+1))</f>
        <v/>
      </c>
      <c r="V9666" s="19">
        <f>IF($B9666="","",TEXT($B9666,"0000"))</f>
        <v/>
      </c>
      <c r="W9666" s="19">
        <f>IF($I9666="","",IF(ISNUMBER($I9666),TEXT($I9666,"0"),$I9666))</f>
        <v/>
      </c>
    </row>
    <row r="9667">
      <c r="B9667" s="25" t="n"/>
      <c r="I9667" s="25" t="n"/>
      <c r="U9667" s="19">
        <f>IF($V9667&lt;&gt;'設定'!$C$4,N(U9666),IF(OR(NOT(COUNTIF('商品マスタ'!$B$6:$B$1005,$W9667)=0),COUNTIFS('①在庫を貼る'!$V$6:$V$10005,$V9667,'①在庫を貼る'!$W$6:$W$10005,$W9667)+COUNTIFS('月1回_1ヶ月前の在庫'!$V$6:$V$10005,$V9667,'月1回_1ヶ月前の在庫'!$W$6:$W$10005,$W9667)&gt;0),N(U9666),N(U9666)+1))</f>
        <v/>
      </c>
      <c r="V9667" s="19">
        <f>IF($B9667="","",TEXT($B9667,"0000"))</f>
        <v/>
      </c>
      <c r="W9667" s="19">
        <f>IF($I9667="","",IF(ISNUMBER($I9667),TEXT($I9667,"0"),$I9667))</f>
        <v/>
      </c>
    </row>
    <row r="9668">
      <c r="B9668" s="25" t="n"/>
      <c r="I9668" s="25" t="n"/>
      <c r="U9668" s="19">
        <f>IF($V9668&lt;&gt;'設定'!$C$4,N(U9667),IF(OR(NOT(COUNTIF('商品マスタ'!$B$6:$B$1005,$W9668)=0),COUNTIFS('①在庫を貼る'!$V$6:$V$10005,$V9668,'①在庫を貼る'!$W$6:$W$10005,$W9668)+COUNTIFS('月1回_1ヶ月前の在庫'!$V$6:$V$10005,$V9668,'月1回_1ヶ月前の在庫'!$W$6:$W$10005,$W9668)&gt;0),N(U9667),N(U9667)+1))</f>
        <v/>
      </c>
      <c r="V9668" s="19">
        <f>IF($B9668="","",TEXT($B9668,"0000"))</f>
        <v/>
      </c>
      <c r="W9668" s="19">
        <f>IF($I9668="","",IF(ISNUMBER($I9668),TEXT($I9668,"0"),$I9668))</f>
        <v/>
      </c>
    </row>
    <row r="9669">
      <c r="B9669" s="25" t="n"/>
      <c r="I9669" s="25" t="n"/>
      <c r="U9669" s="19">
        <f>IF($V9669&lt;&gt;'設定'!$C$4,N(U9668),IF(OR(NOT(COUNTIF('商品マスタ'!$B$6:$B$1005,$W9669)=0),COUNTIFS('①在庫を貼る'!$V$6:$V$10005,$V9669,'①在庫を貼る'!$W$6:$W$10005,$W9669)+COUNTIFS('月1回_1ヶ月前の在庫'!$V$6:$V$10005,$V9669,'月1回_1ヶ月前の在庫'!$W$6:$W$10005,$W9669)&gt;0),N(U9668),N(U9668)+1))</f>
        <v/>
      </c>
      <c r="V9669" s="19">
        <f>IF($B9669="","",TEXT($B9669,"0000"))</f>
        <v/>
      </c>
      <c r="W9669" s="19">
        <f>IF($I9669="","",IF(ISNUMBER($I9669),TEXT($I9669,"0"),$I9669))</f>
        <v/>
      </c>
    </row>
    <row r="9670">
      <c r="B9670" s="25" t="n"/>
      <c r="I9670" s="25" t="n"/>
      <c r="U9670" s="19">
        <f>IF($V9670&lt;&gt;'設定'!$C$4,N(U9669),IF(OR(NOT(COUNTIF('商品マスタ'!$B$6:$B$1005,$W9670)=0),COUNTIFS('①在庫を貼る'!$V$6:$V$10005,$V9670,'①在庫を貼る'!$W$6:$W$10005,$W9670)+COUNTIFS('月1回_1ヶ月前の在庫'!$V$6:$V$10005,$V9670,'月1回_1ヶ月前の在庫'!$W$6:$W$10005,$W9670)&gt;0),N(U9669),N(U9669)+1))</f>
        <v/>
      </c>
      <c r="V9670" s="19">
        <f>IF($B9670="","",TEXT($B9670,"0000"))</f>
        <v/>
      </c>
      <c r="W9670" s="19">
        <f>IF($I9670="","",IF(ISNUMBER($I9670),TEXT($I9670,"0"),$I9670))</f>
        <v/>
      </c>
    </row>
    <row r="9671">
      <c r="B9671" s="25" t="n"/>
      <c r="I9671" s="25" t="n"/>
      <c r="U9671" s="19">
        <f>IF($V9671&lt;&gt;'設定'!$C$4,N(U9670),IF(OR(NOT(COUNTIF('商品マスタ'!$B$6:$B$1005,$W9671)=0),COUNTIFS('①在庫を貼る'!$V$6:$V$10005,$V9671,'①在庫を貼る'!$W$6:$W$10005,$W9671)+COUNTIFS('月1回_1ヶ月前の在庫'!$V$6:$V$10005,$V9671,'月1回_1ヶ月前の在庫'!$W$6:$W$10005,$W9671)&gt;0),N(U9670),N(U9670)+1))</f>
        <v/>
      </c>
      <c r="V9671" s="19">
        <f>IF($B9671="","",TEXT($B9671,"0000"))</f>
        <v/>
      </c>
      <c r="W9671" s="19">
        <f>IF($I9671="","",IF(ISNUMBER($I9671),TEXT($I9671,"0"),$I9671))</f>
        <v/>
      </c>
    </row>
    <row r="9672">
      <c r="B9672" s="25" t="n"/>
      <c r="I9672" s="25" t="n"/>
      <c r="U9672" s="19">
        <f>IF($V9672&lt;&gt;'設定'!$C$4,N(U9671),IF(OR(NOT(COUNTIF('商品マスタ'!$B$6:$B$1005,$W9672)=0),COUNTIFS('①在庫を貼る'!$V$6:$V$10005,$V9672,'①在庫を貼る'!$W$6:$W$10005,$W9672)+COUNTIFS('月1回_1ヶ月前の在庫'!$V$6:$V$10005,$V9672,'月1回_1ヶ月前の在庫'!$W$6:$W$10005,$W9672)&gt;0),N(U9671),N(U9671)+1))</f>
        <v/>
      </c>
      <c r="V9672" s="19">
        <f>IF($B9672="","",TEXT($B9672,"0000"))</f>
        <v/>
      </c>
      <c r="W9672" s="19">
        <f>IF($I9672="","",IF(ISNUMBER($I9672),TEXT($I9672,"0"),$I9672))</f>
        <v/>
      </c>
    </row>
    <row r="9673">
      <c r="B9673" s="25" t="n"/>
      <c r="I9673" s="25" t="n"/>
      <c r="U9673" s="19">
        <f>IF($V9673&lt;&gt;'設定'!$C$4,N(U9672),IF(OR(NOT(COUNTIF('商品マスタ'!$B$6:$B$1005,$W9673)=0),COUNTIFS('①在庫を貼る'!$V$6:$V$10005,$V9673,'①在庫を貼る'!$W$6:$W$10005,$W9673)+COUNTIFS('月1回_1ヶ月前の在庫'!$V$6:$V$10005,$V9673,'月1回_1ヶ月前の在庫'!$W$6:$W$10005,$W9673)&gt;0),N(U9672),N(U9672)+1))</f>
        <v/>
      </c>
      <c r="V9673" s="19">
        <f>IF($B9673="","",TEXT($B9673,"0000"))</f>
        <v/>
      </c>
      <c r="W9673" s="19">
        <f>IF($I9673="","",IF(ISNUMBER($I9673),TEXT($I9673,"0"),$I9673))</f>
        <v/>
      </c>
    </row>
    <row r="9674">
      <c r="B9674" s="25" t="n"/>
      <c r="I9674" s="25" t="n"/>
      <c r="U9674" s="19">
        <f>IF($V9674&lt;&gt;'設定'!$C$4,N(U9673),IF(OR(NOT(COUNTIF('商品マスタ'!$B$6:$B$1005,$W9674)=0),COUNTIFS('①在庫を貼る'!$V$6:$V$10005,$V9674,'①在庫を貼る'!$W$6:$W$10005,$W9674)+COUNTIFS('月1回_1ヶ月前の在庫'!$V$6:$V$10005,$V9674,'月1回_1ヶ月前の在庫'!$W$6:$W$10005,$W9674)&gt;0),N(U9673),N(U9673)+1))</f>
        <v/>
      </c>
      <c r="V9674" s="19">
        <f>IF($B9674="","",TEXT($B9674,"0000"))</f>
        <v/>
      </c>
      <c r="W9674" s="19">
        <f>IF($I9674="","",IF(ISNUMBER($I9674),TEXT($I9674,"0"),$I9674))</f>
        <v/>
      </c>
    </row>
    <row r="9675">
      <c r="B9675" s="25" t="n"/>
      <c r="I9675" s="25" t="n"/>
      <c r="U9675" s="19">
        <f>IF($V9675&lt;&gt;'設定'!$C$4,N(U9674),IF(OR(NOT(COUNTIF('商品マスタ'!$B$6:$B$1005,$W9675)=0),COUNTIFS('①在庫を貼る'!$V$6:$V$10005,$V9675,'①在庫を貼る'!$W$6:$W$10005,$W9675)+COUNTIFS('月1回_1ヶ月前の在庫'!$V$6:$V$10005,$V9675,'月1回_1ヶ月前の在庫'!$W$6:$W$10005,$W9675)&gt;0),N(U9674),N(U9674)+1))</f>
        <v/>
      </c>
      <c r="V9675" s="19">
        <f>IF($B9675="","",TEXT($B9675,"0000"))</f>
        <v/>
      </c>
      <c r="W9675" s="19">
        <f>IF($I9675="","",IF(ISNUMBER($I9675),TEXT($I9675,"0"),$I9675))</f>
        <v/>
      </c>
    </row>
    <row r="9676">
      <c r="B9676" s="25" t="n"/>
      <c r="I9676" s="25" t="n"/>
      <c r="U9676" s="19">
        <f>IF($V9676&lt;&gt;'設定'!$C$4,N(U9675),IF(OR(NOT(COUNTIF('商品マスタ'!$B$6:$B$1005,$W9676)=0),COUNTIFS('①在庫を貼る'!$V$6:$V$10005,$V9676,'①在庫を貼る'!$W$6:$W$10005,$W9676)+COUNTIFS('月1回_1ヶ月前の在庫'!$V$6:$V$10005,$V9676,'月1回_1ヶ月前の在庫'!$W$6:$W$10005,$W9676)&gt;0),N(U9675),N(U9675)+1))</f>
        <v/>
      </c>
      <c r="V9676" s="19">
        <f>IF($B9676="","",TEXT($B9676,"0000"))</f>
        <v/>
      </c>
      <c r="W9676" s="19">
        <f>IF($I9676="","",IF(ISNUMBER($I9676),TEXT($I9676,"0"),$I9676))</f>
        <v/>
      </c>
    </row>
    <row r="9677">
      <c r="B9677" s="25" t="n"/>
      <c r="I9677" s="25" t="n"/>
      <c r="U9677" s="19">
        <f>IF($V9677&lt;&gt;'設定'!$C$4,N(U9676),IF(OR(NOT(COUNTIF('商品マスタ'!$B$6:$B$1005,$W9677)=0),COUNTIFS('①在庫を貼る'!$V$6:$V$10005,$V9677,'①在庫を貼る'!$W$6:$W$10005,$W9677)+COUNTIFS('月1回_1ヶ月前の在庫'!$V$6:$V$10005,$V9677,'月1回_1ヶ月前の在庫'!$W$6:$W$10005,$W9677)&gt;0),N(U9676),N(U9676)+1))</f>
        <v/>
      </c>
      <c r="V9677" s="19">
        <f>IF($B9677="","",TEXT($B9677,"0000"))</f>
        <v/>
      </c>
      <c r="W9677" s="19">
        <f>IF($I9677="","",IF(ISNUMBER($I9677),TEXT($I9677,"0"),$I9677))</f>
        <v/>
      </c>
    </row>
    <row r="9678">
      <c r="B9678" s="25" t="n"/>
      <c r="I9678" s="25" t="n"/>
      <c r="U9678" s="19">
        <f>IF($V9678&lt;&gt;'設定'!$C$4,N(U9677),IF(OR(NOT(COUNTIF('商品マスタ'!$B$6:$B$1005,$W9678)=0),COUNTIFS('①在庫を貼る'!$V$6:$V$10005,$V9678,'①在庫を貼る'!$W$6:$W$10005,$W9678)+COUNTIFS('月1回_1ヶ月前の在庫'!$V$6:$V$10005,$V9678,'月1回_1ヶ月前の在庫'!$W$6:$W$10005,$W9678)&gt;0),N(U9677),N(U9677)+1))</f>
        <v/>
      </c>
      <c r="V9678" s="19">
        <f>IF($B9678="","",TEXT($B9678,"0000"))</f>
        <v/>
      </c>
      <c r="W9678" s="19">
        <f>IF($I9678="","",IF(ISNUMBER($I9678),TEXT($I9678,"0"),$I9678))</f>
        <v/>
      </c>
    </row>
    <row r="9679">
      <c r="B9679" s="25" t="n"/>
      <c r="I9679" s="25" t="n"/>
      <c r="U9679" s="19">
        <f>IF($V9679&lt;&gt;'設定'!$C$4,N(U9678),IF(OR(NOT(COUNTIF('商品マスタ'!$B$6:$B$1005,$W9679)=0),COUNTIFS('①在庫を貼る'!$V$6:$V$10005,$V9679,'①在庫を貼る'!$W$6:$W$10005,$W9679)+COUNTIFS('月1回_1ヶ月前の在庫'!$V$6:$V$10005,$V9679,'月1回_1ヶ月前の在庫'!$W$6:$W$10005,$W9679)&gt;0),N(U9678),N(U9678)+1))</f>
        <v/>
      </c>
      <c r="V9679" s="19">
        <f>IF($B9679="","",TEXT($B9679,"0000"))</f>
        <v/>
      </c>
      <c r="W9679" s="19">
        <f>IF($I9679="","",IF(ISNUMBER($I9679),TEXT($I9679,"0"),$I9679))</f>
        <v/>
      </c>
    </row>
    <row r="9680">
      <c r="B9680" s="25" t="n"/>
      <c r="I9680" s="25" t="n"/>
      <c r="U9680" s="19">
        <f>IF($V9680&lt;&gt;'設定'!$C$4,N(U9679),IF(OR(NOT(COUNTIF('商品マスタ'!$B$6:$B$1005,$W9680)=0),COUNTIFS('①在庫を貼る'!$V$6:$V$10005,$V9680,'①在庫を貼る'!$W$6:$W$10005,$W9680)+COUNTIFS('月1回_1ヶ月前の在庫'!$V$6:$V$10005,$V9680,'月1回_1ヶ月前の在庫'!$W$6:$W$10005,$W9680)&gt;0),N(U9679),N(U9679)+1))</f>
        <v/>
      </c>
      <c r="V9680" s="19">
        <f>IF($B9680="","",TEXT($B9680,"0000"))</f>
        <v/>
      </c>
      <c r="W9680" s="19">
        <f>IF($I9680="","",IF(ISNUMBER($I9680),TEXT($I9680,"0"),$I9680))</f>
        <v/>
      </c>
    </row>
    <row r="9681">
      <c r="B9681" s="25" t="n"/>
      <c r="I9681" s="25" t="n"/>
      <c r="U9681" s="19">
        <f>IF($V9681&lt;&gt;'設定'!$C$4,N(U9680),IF(OR(NOT(COUNTIF('商品マスタ'!$B$6:$B$1005,$W9681)=0),COUNTIFS('①在庫を貼る'!$V$6:$V$10005,$V9681,'①在庫を貼る'!$W$6:$W$10005,$W9681)+COUNTIFS('月1回_1ヶ月前の在庫'!$V$6:$V$10005,$V9681,'月1回_1ヶ月前の在庫'!$W$6:$W$10005,$W9681)&gt;0),N(U9680),N(U9680)+1))</f>
        <v/>
      </c>
      <c r="V9681" s="19">
        <f>IF($B9681="","",TEXT($B9681,"0000"))</f>
        <v/>
      </c>
      <c r="W9681" s="19">
        <f>IF($I9681="","",IF(ISNUMBER($I9681),TEXT($I9681,"0"),$I9681))</f>
        <v/>
      </c>
    </row>
    <row r="9682">
      <c r="B9682" s="25" t="n"/>
      <c r="I9682" s="25" t="n"/>
      <c r="U9682" s="19">
        <f>IF($V9682&lt;&gt;'設定'!$C$4,N(U9681),IF(OR(NOT(COUNTIF('商品マスタ'!$B$6:$B$1005,$W9682)=0),COUNTIFS('①在庫を貼る'!$V$6:$V$10005,$V9682,'①在庫を貼る'!$W$6:$W$10005,$W9682)+COUNTIFS('月1回_1ヶ月前の在庫'!$V$6:$V$10005,$V9682,'月1回_1ヶ月前の在庫'!$W$6:$W$10005,$W9682)&gt;0),N(U9681),N(U9681)+1))</f>
        <v/>
      </c>
      <c r="V9682" s="19">
        <f>IF($B9682="","",TEXT($B9682,"0000"))</f>
        <v/>
      </c>
      <c r="W9682" s="19">
        <f>IF($I9682="","",IF(ISNUMBER($I9682),TEXT($I9682,"0"),$I9682))</f>
        <v/>
      </c>
    </row>
    <row r="9683">
      <c r="B9683" s="25" t="n"/>
      <c r="I9683" s="25" t="n"/>
      <c r="U9683" s="19">
        <f>IF($V9683&lt;&gt;'設定'!$C$4,N(U9682),IF(OR(NOT(COUNTIF('商品マスタ'!$B$6:$B$1005,$W9683)=0),COUNTIFS('①在庫を貼る'!$V$6:$V$10005,$V9683,'①在庫を貼る'!$W$6:$W$10005,$W9683)+COUNTIFS('月1回_1ヶ月前の在庫'!$V$6:$V$10005,$V9683,'月1回_1ヶ月前の在庫'!$W$6:$W$10005,$W9683)&gt;0),N(U9682),N(U9682)+1))</f>
        <v/>
      </c>
      <c r="V9683" s="19">
        <f>IF($B9683="","",TEXT($B9683,"0000"))</f>
        <v/>
      </c>
      <c r="W9683" s="19">
        <f>IF($I9683="","",IF(ISNUMBER($I9683),TEXT($I9683,"0"),$I9683))</f>
        <v/>
      </c>
    </row>
    <row r="9684">
      <c r="B9684" s="25" t="n"/>
      <c r="I9684" s="25" t="n"/>
      <c r="U9684" s="19">
        <f>IF($V9684&lt;&gt;'設定'!$C$4,N(U9683),IF(OR(NOT(COUNTIF('商品マスタ'!$B$6:$B$1005,$W9684)=0),COUNTIFS('①在庫を貼る'!$V$6:$V$10005,$V9684,'①在庫を貼る'!$W$6:$W$10005,$W9684)+COUNTIFS('月1回_1ヶ月前の在庫'!$V$6:$V$10005,$V9684,'月1回_1ヶ月前の在庫'!$W$6:$W$10005,$W9684)&gt;0),N(U9683),N(U9683)+1))</f>
        <v/>
      </c>
      <c r="V9684" s="19">
        <f>IF($B9684="","",TEXT($B9684,"0000"))</f>
        <v/>
      </c>
      <c r="W9684" s="19">
        <f>IF($I9684="","",IF(ISNUMBER($I9684),TEXT($I9684,"0"),$I9684))</f>
        <v/>
      </c>
    </row>
    <row r="9685">
      <c r="B9685" s="25" t="n"/>
      <c r="I9685" s="25" t="n"/>
      <c r="U9685" s="19">
        <f>IF($V9685&lt;&gt;'設定'!$C$4,N(U9684),IF(OR(NOT(COUNTIF('商品マスタ'!$B$6:$B$1005,$W9685)=0),COUNTIFS('①在庫を貼る'!$V$6:$V$10005,$V9685,'①在庫を貼る'!$W$6:$W$10005,$W9685)+COUNTIFS('月1回_1ヶ月前の在庫'!$V$6:$V$10005,$V9685,'月1回_1ヶ月前の在庫'!$W$6:$W$10005,$W9685)&gt;0),N(U9684),N(U9684)+1))</f>
        <v/>
      </c>
      <c r="V9685" s="19">
        <f>IF($B9685="","",TEXT($B9685,"0000"))</f>
        <v/>
      </c>
      <c r="W9685" s="19">
        <f>IF($I9685="","",IF(ISNUMBER($I9685),TEXT($I9685,"0"),$I9685))</f>
        <v/>
      </c>
    </row>
    <row r="9686">
      <c r="B9686" s="25" t="n"/>
      <c r="I9686" s="25" t="n"/>
      <c r="U9686" s="19">
        <f>IF($V9686&lt;&gt;'設定'!$C$4,N(U9685),IF(OR(NOT(COUNTIF('商品マスタ'!$B$6:$B$1005,$W9686)=0),COUNTIFS('①在庫を貼る'!$V$6:$V$10005,$V9686,'①在庫を貼る'!$W$6:$W$10005,$W9686)+COUNTIFS('月1回_1ヶ月前の在庫'!$V$6:$V$10005,$V9686,'月1回_1ヶ月前の在庫'!$W$6:$W$10005,$W9686)&gt;0),N(U9685),N(U9685)+1))</f>
        <v/>
      </c>
      <c r="V9686" s="19">
        <f>IF($B9686="","",TEXT($B9686,"0000"))</f>
        <v/>
      </c>
      <c r="W9686" s="19">
        <f>IF($I9686="","",IF(ISNUMBER($I9686),TEXT($I9686,"0"),$I9686))</f>
        <v/>
      </c>
    </row>
    <row r="9687">
      <c r="B9687" s="25" t="n"/>
      <c r="I9687" s="25" t="n"/>
      <c r="U9687" s="19">
        <f>IF($V9687&lt;&gt;'設定'!$C$4,N(U9686),IF(OR(NOT(COUNTIF('商品マスタ'!$B$6:$B$1005,$W9687)=0),COUNTIFS('①在庫を貼る'!$V$6:$V$10005,$V9687,'①在庫を貼る'!$W$6:$W$10005,$W9687)+COUNTIFS('月1回_1ヶ月前の在庫'!$V$6:$V$10005,$V9687,'月1回_1ヶ月前の在庫'!$W$6:$W$10005,$W9687)&gt;0),N(U9686),N(U9686)+1))</f>
        <v/>
      </c>
      <c r="V9687" s="19">
        <f>IF($B9687="","",TEXT($B9687,"0000"))</f>
        <v/>
      </c>
      <c r="W9687" s="19">
        <f>IF($I9687="","",IF(ISNUMBER($I9687),TEXT($I9687,"0"),$I9687))</f>
        <v/>
      </c>
    </row>
    <row r="9688">
      <c r="B9688" s="25" t="n"/>
      <c r="I9688" s="25" t="n"/>
      <c r="U9688" s="19">
        <f>IF($V9688&lt;&gt;'設定'!$C$4,N(U9687),IF(OR(NOT(COUNTIF('商品マスタ'!$B$6:$B$1005,$W9688)=0),COUNTIFS('①在庫を貼る'!$V$6:$V$10005,$V9688,'①在庫を貼る'!$W$6:$W$10005,$W9688)+COUNTIFS('月1回_1ヶ月前の在庫'!$V$6:$V$10005,$V9688,'月1回_1ヶ月前の在庫'!$W$6:$W$10005,$W9688)&gt;0),N(U9687),N(U9687)+1))</f>
        <v/>
      </c>
      <c r="V9688" s="19">
        <f>IF($B9688="","",TEXT($B9688,"0000"))</f>
        <v/>
      </c>
      <c r="W9688" s="19">
        <f>IF($I9688="","",IF(ISNUMBER($I9688),TEXT($I9688,"0"),$I9688))</f>
        <v/>
      </c>
    </row>
    <row r="9689">
      <c r="B9689" s="25" t="n"/>
      <c r="I9689" s="25" t="n"/>
      <c r="U9689" s="19">
        <f>IF($V9689&lt;&gt;'設定'!$C$4,N(U9688),IF(OR(NOT(COUNTIF('商品マスタ'!$B$6:$B$1005,$W9689)=0),COUNTIFS('①在庫を貼る'!$V$6:$V$10005,$V9689,'①在庫を貼る'!$W$6:$W$10005,$W9689)+COUNTIFS('月1回_1ヶ月前の在庫'!$V$6:$V$10005,$V9689,'月1回_1ヶ月前の在庫'!$W$6:$W$10005,$W9689)&gt;0),N(U9688),N(U9688)+1))</f>
        <v/>
      </c>
      <c r="V9689" s="19">
        <f>IF($B9689="","",TEXT($B9689,"0000"))</f>
        <v/>
      </c>
      <c r="W9689" s="19">
        <f>IF($I9689="","",IF(ISNUMBER($I9689),TEXT($I9689,"0"),$I9689))</f>
        <v/>
      </c>
    </row>
    <row r="9690">
      <c r="B9690" s="25" t="n"/>
      <c r="I9690" s="25" t="n"/>
      <c r="U9690" s="19">
        <f>IF($V9690&lt;&gt;'設定'!$C$4,N(U9689),IF(OR(NOT(COUNTIF('商品マスタ'!$B$6:$B$1005,$W9690)=0),COUNTIFS('①在庫を貼る'!$V$6:$V$10005,$V9690,'①在庫を貼る'!$W$6:$W$10005,$W9690)+COUNTIFS('月1回_1ヶ月前の在庫'!$V$6:$V$10005,$V9690,'月1回_1ヶ月前の在庫'!$W$6:$W$10005,$W9690)&gt;0),N(U9689),N(U9689)+1))</f>
        <v/>
      </c>
      <c r="V9690" s="19">
        <f>IF($B9690="","",TEXT($B9690,"0000"))</f>
        <v/>
      </c>
      <c r="W9690" s="19">
        <f>IF($I9690="","",IF(ISNUMBER($I9690),TEXT($I9690,"0"),$I9690))</f>
        <v/>
      </c>
    </row>
    <row r="9691">
      <c r="B9691" s="25" t="n"/>
      <c r="I9691" s="25" t="n"/>
      <c r="U9691" s="19">
        <f>IF($V9691&lt;&gt;'設定'!$C$4,N(U9690),IF(OR(NOT(COUNTIF('商品マスタ'!$B$6:$B$1005,$W9691)=0),COUNTIFS('①在庫を貼る'!$V$6:$V$10005,$V9691,'①在庫を貼る'!$W$6:$W$10005,$W9691)+COUNTIFS('月1回_1ヶ月前の在庫'!$V$6:$V$10005,$V9691,'月1回_1ヶ月前の在庫'!$W$6:$W$10005,$W9691)&gt;0),N(U9690),N(U9690)+1))</f>
        <v/>
      </c>
      <c r="V9691" s="19">
        <f>IF($B9691="","",TEXT($B9691,"0000"))</f>
        <v/>
      </c>
      <c r="W9691" s="19">
        <f>IF($I9691="","",IF(ISNUMBER($I9691),TEXT($I9691,"0"),$I9691))</f>
        <v/>
      </c>
    </row>
    <row r="9692">
      <c r="B9692" s="25" t="n"/>
      <c r="I9692" s="25" t="n"/>
      <c r="U9692" s="19">
        <f>IF($V9692&lt;&gt;'設定'!$C$4,N(U9691),IF(OR(NOT(COUNTIF('商品マスタ'!$B$6:$B$1005,$W9692)=0),COUNTIFS('①在庫を貼る'!$V$6:$V$10005,$V9692,'①在庫を貼る'!$W$6:$W$10005,$W9692)+COUNTIFS('月1回_1ヶ月前の在庫'!$V$6:$V$10005,$V9692,'月1回_1ヶ月前の在庫'!$W$6:$W$10005,$W9692)&gt;0),N(U9691),N(U9691)+1))</f>
        <v/>
      </c>
      <c r="V9692" s="19">
        <f>IF($B9692="","",TEXT($B9692,"0000"))</f>
        <v/>
      </c>
      <c r="W9692" s="19">
        <f>IF($I9692="","",IF(ISNUMBER($I9692),TEXT($I9692,"0"),$I9692))</f>
        <v/>
      </c>
    </row>
    <row r="9693">
      <c r="B9693" s="25" t="n"/>
      <c r="I9693" s="25" t="n"/>
      <c r="U9693" s="19">
        <f>IF($V9693&lt;&gt;'設定'!$C$4,N(U9692),IF(OR(NOT(COUNTIF('商品マスタ'!$B$6:$B$1005,$W9693)=0),COUNTIFS('①在庫を貼る'!$V$6:$V$10005,$V9693,'①在庫を貼る'!$W$6:$W$10005,$W9693)+COUNTIFS('月1回_1ヶ月前の在庫'!$V$6:$V$10005,$V9693,'月1回_1ヶ月前の在庫'!$W$6:$W$10005,$W9693)&gt;0),N(U9692),N(U9692)+1))</f>
        <v/>
      </c>
      <c r="V9693" s="19">
        <f>IF($B9693="","",TEXT($B9693,"0000"))</f>
        <v/>
      </c>
      <c r="W9693" s="19">
        <f>IF($I9693="","",IF(ISNUMBER($I9693),TEXT($I9693,"0"),$I9693))</f>
        <v/>
      </c>
    </row>
    <row r="9694">
      <c r="B9694" s="25" t="n"/>
      <c r="I9694" s="25" t="n"/>
      <c r="U9694" s="19">
        <f>IF($V9694&lt;&gt;'設定'!$C$4,N(U9693),IF(OR(NOT(COUNTIF('商品マスタ'!$B$6:$B$1005,$W9694)=0),COUNTIFS('①在庫を貼る'!$V$6:$V$10005,$V9694,'①在庫を貼る'!$W$6:$W$10005,$W9694)+COUNTIFS('月1回_1ヶ月前の在庫'!$V$6:$V$10005,$V9694,'月1回_1ヶ月前の在庫'!$W$6:$W$10005,$W9694)&gt;0),N(U9693),N(U9693)+1))</f>
        <v/>
      </c>
      <c r="V9694" s="19">
        <f>IF($B9694="","",TEXT($B9694,"0000"))</f>
        <v/>
      </c>
      <c r="W9694" s="19">
        <f>IF($I9694="","",IF(ISNUMBER($I9694),TEXT($I9694,"0"),$I9694))</f>
        <v/>
      </c>
    </row>
    <row r="9695">
      <c r="B9695" s="25" t="n"/>
      <c r="I9695" s="25" t="n"/>
      <c r="U9695" s="19">
        <f>IF($V9695&lt;&gt;'設定'!$C$4,N(U9694),IF(OR(NOT(COUNTIF('商品マスタ'!$B$6:$B$1005,$W9695)=0),COUNTIFS('①在庫を貼る'!$V$6:$V$10005,$V9695,'①在庫を貼る'!$W$6:$W$10005,$W9695)+COUNTIFS('月1回_1ヶ月前の在庫'!$V$6:$V$10005,$V9695,'月1回_1ヶ月前の在庫'!$W$6:$W$10005,$W9695)&gt;0),N(U9694),N(U9694)+1))</f>
        <v/>
      </c>
      <c r="V9695" s="19">
        <f>IF($B9695="","",TEXT($B9695,"0000"))</f>
        <v/>
      </c>
      <c r="W9695" s="19">
        <f>IF($I9695="","",IF(ISNUMBER($I9695),TEXT($I9695,"0"),$I9695))</f>
        <v/>
      </c>
    </row>
    <row r="9696">
      <c r="B9696" s="25" t="n"/>
      <c r="I9696" s="25" t="n"/>
      <c r="U9696" s="19">
        <f>IF($V9696&lt;&gt;'設定'!$C$4,N(U9695),IF(OR(NOT(COUNTIF('商品マスタ'!$B$6:$B$1005,$W9696)=0),COUNTIFS('①在庫を貼る'!$V$6:$V$10005,$V9696,'①在庫を貼る'!$W$6:$W$10005,$W9696)+COUNTIFS('月1回_1ヶ月前の在庫'!$V$6:$V$10005,$V9696,'月1回_1ヶ月前の在庫'!$W$6:$W$10005,$W9696)&gt;0),N(U9695),N(U9695)+1))</f>
        <v/>
      </c>
      <c r="V9696" s="19">
        <f>IF($B9696="","",TEXT($B9696,"0000"))</f>
        <v/>
      </c>
      <c r="W9696" s="19">
        <f>IF($I9696="","",IF(ISNUMBER($I9696),TEXT($I9696,"0"),$I9696))</f>
        <v/>
      </c>
    </row>
    <row r="9697">
      <c r="B9697" s="25" t="n"/>
      <c r="I9697" s="25" t="n"/>
      <c r="U9697" s="19">
        <f>IF($V9697&lt;&gt;'設定'!$C$4,N(U9696),IF(OR(NOT(COUNTIF('商品マスタ'!$B$6:$B$1005,$W9697)=0),COUNTIFS('①在庫を貼る'!$V$6:$V$10005,$V9697,'①在庫を貼る'!$W$6:$W$10005,$W9697)+COUNTIFS('月1回_1ヶ月前の在庫'!$V$6:$V$10005,$V9697,'月1回_1ヶ月前の在庫'!$W$6:$W$10005,$W9697)&gt;0),N(U9696),N(U9696)+1))</f>
        <v/>
      </c>
      <c r="V9697" s="19">
        <f>IF($B9697="","",TEXT($B9697,"0000"))</f>
        <v/>
      </c>
      <c r="W9697" s="19">
        <f>IF($I9697="","",IF(ISNUMBER($I9697),TEXT($I9697,"0"),$I9697))</f>
        <v/>
      </c>
    </row>
    <row r="9698">
      <c r="B9698" s="25" t="n"/>
      <c r="I9698" s="25" t="n"/>
      <c r="U9698" s="19">
        <f>IF($V9698&lt;&gt;'設定'!$C$4,N(U9697),IF(OR(NOT(COUNTIF('商品マスタ'!$B$6:$B$1005,$W9698)=0),COUNTIFS('①在庫を貼る'!$V$6:$V$10005,$V9698,'①在庫を貼る'!$W$6:$W$10005,$W9698)+COUNTIFS('月1回_1ヶ月前の在庫'!$V$6:$V$10005,$V9698,'月1回_1ヶ月前の在庫'!$W$6:$W$10005,$W9698)&gt;0),N(U9697),N(U9697)+1))</f>
        <v/>
      </c>
      <c r="V9698" s="19">
        <f>IF($B9698="","",TEXT($B9698,"0000"))</f>
        <v/>
      </c>
      <c r="W9698" s="19">
        <f>IF($I9698="","",IF(ISNUMBER($I9698),TEXT($I9698,"0"),$I9698))</f>
        <v/>
      </c>
    </row>
    <row r="9699">
      <c r="B9699" s="25" t="n"/>
      <c r="I9699" s="25" t="n"/>
      <c r="U9699" s="19">
        <f>IF($V9699&lt;&gt;'設定'!$C$4,N(U9698),IF(OR(NOT(COUNTIF('商品マスタ'!$B$6:$B$1005,$W9699)=0),COUNTIFS('①在庫を貼る'!$V$6:$V$10005,$V9699,'①在庫を貼る'!$W$6:$W$10005,$W9699)+COUNTIFS('月1回_1ヶ月前の在庫'!$V$6:$V$10005,$V9699,'月1回_1ヶ月前の在庫'!$W$6:$W$10005,$W9699)&gt;0),N(U9698),N(U9698)+1))</f>
        <v/>
      </c>
      <c r="V9699" s="19">
        <f>IF($B9699="","",TEXT($B9699,"0000"))</f>
        <v/>
      </c>
      <c r="W9699" s="19">
        <f>IF($I9699="","",IF(ISNUMBER($I9699),TEXT($I9699,"0"),$I9699))</f>
        <v/>
      </c>
    </row>
    <row r="9700">
      <c r="B9700" s="25" t="n"/>
      <c r="I9700" s="25" t="n"/>
      <c r="U9700" s="19">
        <f>IF($V9700&lt;&gt;'設定'!$C$4,N(U9699),IF(OR(NOT(COUNTIF('商品マスタ'!$B$6:$B$1005,$W9700)=0),COUNTIFS('①在庫を貼る'!$V$6:$V$10005,$V9700,'①在庫を貼る'!$W$6:$W$10005,$W9700)+COUNTIFS('月1回_1ヶ月前の在庫'!$V$6:$V$10005,$V9700,'月1回_1ヶ月前の在庫'!$W$6:$W$10005,$W9700)&gt;0),N(U9699),N(U9699)+1))</f>
        <v/>
      </c>
      <c r="V9700" s="19">
        <f>IF($B9700="","",TEXT($B9700,"0000"))</f>
        <v/>
      </c>
      <c r="W9700" s="19">
        <f>IF($I9700="","",IF(ISNUMBER($I9700),TEXT($I9700,"0"),$I9700))</f>
        <v/>
      </c>
    </row>
    <row r="9701">
      <c r="B9701" s="25" t="n"/>
      <c r="I9701" s="25" t="n"/>
      <c r="U9701" s="19">
        <f>IF($V9701&lt;&gt;'設定'!$C$4,N(U9700),IF(OR(NOT(COUNTIF('商品マスタ'!$B$6:$B$1005,$W9701)=0),COUNTIFS('①在庫を貼る'!$V$6:$V$10005,$V9701,'①在庫を貼る'!$W$6:$W$10005,$W9701)+COUNTIFS('月1回_1ヶ月前の在庫'!$V$6:$V$10005,$V9701,'月1回_1ヶ月前の在庫'!$W$6:$W$10005,$W9701)&gt;0),N(U9700),N(U9700)+1))</f>
        <v/>
      </c>
      <c r="V9701" s="19">
        <f>IF($B9701="","",TEXT($B9701,"0000"))</f>
        <v/>
      </c>
      <c r="W9701" s="19">
        <f>IF($I9701="","",IF(ISNUMBER($I9701),TEXT($I9701,"0"),$I9701))</f>
        <v/>
      </c>
    </row>
    <row r="9702">
      <c r="B9702" s="25" t="n"/>
      <c r="I9702" s="25" t="n"/>
      <c r="U9702" s="19">
        <f>IF($V9702&lt;&gt;'設定'!$C$4,N(U9701),IF(OR(NOT(COUNTIF('商品マスタ'!$B$6:$B$1005,$W9702)=0),COUNTIFS('①在庫を貼る'!$V$6:$V$10005,$V9702,'①在庫を貼る'!$W$6:$W$10005,$W9702)+COUNTIFS('月1回_1ヶ月前の在庫'!$V$6:$V$10005,$V9702,'月1回_1ヶ月前の在庫'!$W$6:$W$10005,$W9702)&gt;0),N(U9701),N(U9701)+1))</f>
        <v/>
      </c>
      <c r="V9702" s="19">
        <f>IF($B9702="","",TEXT($B9702,"0000"))</f>
        <v/>
      </c>
      <c r="W9702" s="19">
        <f>IF($I9702="","",IF(ISNUMBER($I9702),TEXT($I9702,"0"),$I9702))</f>
        <v/>
      </c>
    </row>
    <row r="9703">
      <c r="B9703" s="25" t="n"/>
      <c r="I9703" s="25" t="n"/>
      <c r="U9703" s="19">
        <f>IF($V9703&lt;&gt;'設定'!$C$4,N(U9702),IF(OR(NOT(COUNTIF('商品マスタ'!$B$6:$B$1005,$W9703)=0),COUNTIFS('①在庫を貼る'!$V$6:$V$10005,$V9703,'①在庫を貼る'!$W$6:$W$10005,$W9703)+COUNTIFS('月1回_1ヶ月前の在庫'!$V$6:$V$10005,$V9703,'月1回_1ヶ月前の在庫'!$W$6:$W$10005,$W9703)&gt;0),N(U9702),N(U9702)+1))</f>
        <v/>
      </c>
      <c r="V9703" s="19">
        <f>IF($B9703="","",TEXT($B9703,"0000"))</f>
        <v/>
      </c>
      <c r="W9703" s="19">
        <f>IF($I9703="","",IF(ISNUMBER($I9703),TEXT($I9703,"0"),$I9703))</f>
        <v/>
      </c>
    </row>
    <row r="9704">
      <c r="B9704" s="25" t="n"/>
      <c r="I9704" s="25" t="n"/>
      <c r="U9704" s="19">
        <f>IF($V9704&lt;&gt;'設定'!$C$4,N(U9703),IF(OR(NOT(COUNTIF('商品マスタ'!$B$6:$B$1005,$W9704)=0),COUNTIFS('①在庫を貼る'!$V$6:$V$10005,$V9704,'①在庫を貼る'!$W$6:$W$10005,$W9704)+COUNTIFS('月1回_1ヶ月前の在庫'!$V$6:$V$10005,$V9704,'月1回_1ヶ月前の在庫'!$W$6:$W$10005,$W9704)&gt;0),N(U9703),N(U9703)+1))</f>
        <v/>
      </c>
      <c r="V9704" s="19">
        <f>IF($B9704="","",TEXT($B9704,"0000"))</f>
        <v/>
      </c>
      <c r="W9704" s="19">
        <f>IF($I9704="","",IF(ISNUMBER($I9704),TEXT($I9704,"0"),$I9704))</f>
        <v/>
      </c>
    </row>
    <row r="9705">
      <c r="B9705" s="25" t="n"/>
      <c r="I9705" s="25" t="n"/>
      <c r="U9705" s="19">
        <f>IF($V9705&lt;&gt;'設定'!$C$4,N(U9704),IF(OR(NOT(COUNTIF('商品マスタ'!$B$6:$B$1005,$W9705)=0),COUNTIFS('①在庫を貼る'!$V$6:$V$10005,$V9705,'①在庫を貼る'!$W$6:$W$10005,$W9705)+COUNTIFS('月1回_1ヶ月前の在庫'!$V$6:$V$10005,$V9705,'月1回_1ヶ月前の在庫'!$W$6:$W$10005,$W9705)&gt;0),N(U9704),N(U9704)+1))</f>
        <v/>
      </c>
      <c r="V9705" s="19">
        <f>IF($B9705="","",TEXT($B9705,"0000"))</f>
        <v/>
      </c>
      <c r="W9705" s="19">
        <f>IF($I9705="","",IF(ISNUMBER($I9705),TEXT($I9705,"0"),$I9705))</f>
        <v/>
      </c>
    </row>
    <row r="9706">
      <c r="B9706" s="25" t="n"/>
      <c r="I9706" s="25" t="n"/>
      <c r="U9706" s="19">
        <f>IF($V9706&lt;&gt;'設定'!$C$4,N(U9705),IF(OR(NOT(COUNTIF('商品マスタ'!$B$6:$B$1005,$W9706)=0),COUNTIFS('①在庫を貼る'!$V$6:$V$10005,$V9706,'①在庫を貼る'!$W$6:$W$10005,$W9706)+COUNTIFS('月1回_1ヶ月前の在庫'!$V$6:$V$10005,$V9706,'月1回_1ヶ月前の在庫'!$W$6:$W$10005,$W9706)&gt;0),N(U9705),N(U9705)+1))</f>
        <v/>
      </c>
      <c r="V9706" s="19">
        <f>IF($B9706="","",TEXT($B9706,"0000"))</f>
        <v/>
      </c>
      <c r="W9706" s="19">
        <f>IF($I9706="","",IF(ISNUMBER($I9706),TEXT($I9706,"0"),$I9706))</f>
        <v/>
      </c>
    </row>
    <row r="9707">
      <c r="B9707" s="25" t="n"/>
      <c r="I9707" s="25" t="n"/>
      <c r="U9707" s="19">
        <f>IF($V9707&lt;&gt;'設定'!$C$4,N(U9706),IF(OR(NOT(COUNTIF('商品マスタ'!$B$6:$B$1005,$W9707)=0),COUNTIFS('①在庫を貼る'!$V$6:$V$10005,$V9707,'①在庫を貼る'!$W$6:$W$10005,$W9707)+COUNTIFS('月1回_1ヶ月前の在庫'!$V$6:$V$10005,$V9707,'月1回_1ヶ月前の在庫'!$W$6:$W$10005,$W9707)&gt;0),N(U9706),N(U9706)+1))</f>
        <v/>
      </c>
      <c r="V9707" s="19">
        <f>IF($B9707="","",TEXT($B9707,"0000"))</f>
        <v/>
      </c>
      <c r="W9707" s="19">
        <f>IF($I9707="","",IF(ISNUMBER($I9707),TEXT($I9707,"0"),$I9707))</f>
        <v/>
      </c>
    </row>
    <row r="9708">
      <c r="B9708" s="25" t="n"/>
      <c r="I9708" s="25" t="n"/>
      <c r="U9708" s="19">
        <f>IF($V9708&lt;&gt;'設定'!$C$4,N(U9707),IF(OR(NOT(COUNTIF('商品マスタ'!$B$6:$B$1005,$W9708)=0),COUNTIFS('①在庫を貼る'!$V$6:$V$10005,$V9708,'①在庫を貼る'!$W$6:$W$10005,$W9708)+COUNTIFS('月1回_1ヶ月前の在庫'!$V$6:$V$10005,$V9708,'月1回_1ヶ月前の在庫'!$W$6:$W$10005,$W9708)&gt;0),N(U9707),N(U9707)+1))</f>
        <v/>
      </c>
      <c r="V9708" s="19">
        <f>IF($B9708="","",TEXT($B9708,"0000"))</f>
        <v/>
      </c>
      <c r="W9708" s="19">
        <f>IF($I9708="","",IF(ISNUMBER($I9708),TEXT($I9708,"0"),$I9708))</f>
        <v/>
      </c>
    </row>
    <row r="9709">
      <c r="B9709" s="25" t="n"/>
      <c r="I9709" s="25" t="n"/>
      <c r="U9709" s="19">
        <f>IF($V9709&lt;&gt;'設定'!$C$4,N(U9708),IF(OR(NOT(COUNTIF('商品マスタ'!$B$6:$B$1005,$W9709)=0),COUNTIFS('①在庫を貼る'!$V$6:$V$10005,$V9709,'①在庫を貼る'!$W$6:$W$10005,$W9709)+COUNTIFS('月1回_1ヶ月前の在庫'!$V$6:$V$10005,$V9709,'月1回_1ヶ月前の在庫'!$W$6:$W$10005,$W9709)&gt;0),N(U9708),N(U9708)+1))</f>
        <v/>
      </c>
      <c r="V9709" s="19">
        <f>IF($B9709="","",TEXT($B9709,"0000"))</f>
        <v/>
      </c>
      <c r="W9709" s="19">
        <f>IF($I9709="","",IF(ISNUMBER($I9709),TEXT($I9709,"0"),$I9709))</f>
        <v/>
      </c>
    </row>
    <row r="9710">
      <c r="B9710" s="25" t="n"/>
      <c r="I9710" s="25" t="n"/>
      <c r="U9710" s="19">
        <f>IF($V9710&lt;&gt;'設定'!$C$4,N(U9709),IF(OR(NOT(COUNTIF('商品マスタ'!$B$6:$B$1005,$W9710)=0),COUNTIFS('①在庫を貼る'!$V$6:$V$10005,$V9710,'①在庫を貼る'!$W$6:$W$10005,$W9710)+COUNTIFS('月1回_1ヶ月前の在庫'!$V$6:$V$10005,$V9710,'月1回_1ヶ月前の在庫'!$W$6:$W$10005,$W9710)&gt;0),N(U9709),N(U9709)+1))</f>
        <v/>
      </c>
      <c r="V9710" s="19">
        <f>IF($B9710="","",TEXT($B9710,"0000"))</f>
        <v/>
      </c>
      <c r="W9710" s="19">
        <f>IF($I9710="","",IF(ISNUMBER($I9710),TEXT($I9710,"0"),$I9710))</f>
        <v/>
      </c>
    </row>
    <row r="9711">
      <c r="B9711" s="25" t="n"/>
      <c r="I9711" s="25" t="n"/>
      <c r="U9711" s="19">
        <f>IF($V9711&lt;&gt;'設定'!$C$4,N(U9710),IF(OR(NOT(COUNTIF('商品マスタ'!$B$6:$B$1005,$W9711)=0),COUNTIFS('①在庫を貼る'!$V$6:$V$10005,$V9711,'①在庫を貼る'!$W$6:$W$10005,$W9711)+COUNTIFS('月1回_1ヶ月前の在庫'!$V$6:$V$10005,$V9711,'月1回_1ヶ月前の在庫'!$W$6:$W$10005,$W9711)&gt;0),N(U9710),N(U9710)+1))</f>
        <v/>
      </c>
      <c r="V9711" s="19">
        <f>IF($B9711="","",TEXT($B9711,"0000"))</f>
        <v/>
      </c>
      <c r="W9711" s="19">
        <f>IF($I9711="","",IF(ISNUMBER($I9711),TEXT($I9711,"0"),$I9711))</f>
        <v/>
      </c>
    </row>
    <row r="9712">
      <c r="B9712" s="25" t="n"/>
      <c r="I9712" s="25" t="n"/>
      <c r="U9712" s="19">
        <f>IF($V9712&lt;&gt;'設定'!$C$4,N(U9711),IF(OR(NOT(COUNTIF('商品マスタ'!$B$6:$B$1005,$W9712)=0),COUNTIFS('①在庫を貼る'!$V$6:$V$10005,$V9712,'①在庫を貼る'!$W$6:$W$10005,$W9712)+COUNTIFS('月1回_1ヶ月前の在庫'!$V$6:$V$10005,$V9712,'月1回_1ヶ月前の在庫'!$W$6:$W$10005,$W9712)&gt;0),N(U9711),N(U9711)+1))</f>
        <v/>
      </c>
      <c r="V9712" s="19">
        <f>IF($B9712="","",TEXT($B9712,"0000"))</f>
        <v/>
      </c>
      <c r="W9712" s="19">
        <f>IF($I9712="","",IF(ISNUMBER($I9712),TEXT($I9712,"0"),$I9712))</f>
        <v/>
      </c>
    </row>
    <row r="9713">
      <c r="B9713" s="25" t="n"/>
      <c r="I9713" s="25" t="n"/>
      <c r="U9713" s="19">
        <f>IF($V9713&lt;&gt;'設定'!$C$4,N(U9712),IF(OR(NOT(COUNTIF('商品マスタ'!$B$6:$B$1005,$W9713)=0),COUNTIFS('①在庫を貼る'!$V$6:$V$10005,$V9713,'①在庫を貼る'!$W$6:$W$10005,$W9713)+COUNTIFS('月1回_1ヶ月前の在庫'!$V$6:$V$10005,$V9713,'月1回_1ヶ月前の在庫'!$W$6:$W$10005,$W9713)&gt;0),N(U9712),N(U9712)+1))</f>
        <v/>
      </c>
      <c r="V9713" s="19">
        <f>IF($B9713="","",TEXT($B9713,"0000"))</f>
        <v/>
      </c>
      <c r="W9713" s="19">
        <f>IF($I9713="","",IF(ISNUMBER($I9713),TEXT($I9713,"0"),$I9713))</f>
        <v/>
      </c>
    </row>
    <row r="9714">
      <c r="B9714" s="25" t="n"/>
      <c r="I9714" s="25" t="n"/>
      <c r="U9714" s="19">
        <f>IF($V9714&lt;&gt;'設定'!$C$4,N(U9713),IF(OR(NOT(COUNTIF('商品マスタ'!$B$6:$B$1005,$W9714)=0),COUNTIFS('①在庫を貼る'!$V$6:$V$10005,$V9714,'①在庫を貼る'!$W$6:$W$10005,$W9714)+COUNTIFS('月1回_1ヶ月前の在庫'!$V$6:$V$10005,$V9714,'月1回_1ヶ月前の在庫'!$W$6:$W$10005,$W9714)&gt;0),N(U9713),N(U9713)+1))</f>
        <v/>
      </c>
      <c r="V9714" s="19">
        <f>IF($B9714="","",TEXT($B9714,"0000"))</f>
        <v/>
      </c>
      <c r="W9714" s="19">
        <f>IF($I9714="","",IF(ISNUMBER($I9714),TEXT($I9714,"0"),$I9714))</f>
        <v/>
      </c>
    </row>
    <row r="9715">
      <c r="B9715" s="25" t="n"/>
      <c r="I9715" s="25" t="n"/>
      <c r="U9715" s="19">
        <f>IF($V9715&lt;&gt;'設定'!$C$4,N(U9714),IF(OR(NOT(COUNTIF('商品マスタ'!$B$6:$B$1005,$W9715)=0),COUNTIFS('①在庫を貼る'!$V$6:$V$10005,$V9715,'①在庫を貼る'!$W$6:$W$10005,$W9715)+COUNTIFS('月1回_1ヶ月前の在庫'!$V$6:$V$10005,$V9715,'月1回_1ヶ月前の在庫'!$W$6:$W$10005,$W9715)&gt;0),N(U9714),N(U9714)+1))</f>
        <v/>
      </c>
      <c r="V9715" s="19">
        <f>IF($B9715="","",TEXT($B9715,"0000"))</f>
        <v/>
      </c>
      <c r="W9715" s="19">
        <f>IF($I9715="","",IF(ISNUMBER($I9715),TEXT($I9715,"0"),$I9715))</f>
        <v/>
      </c>
    </row>
    <row r="9716">
      <c r="B9716" s="25" t="n"/>
      <c r="I9716" s="25" t="n"/>
      <c r="U9716" s="19">
        <f>IF($V9716&lt;&gt;'設定'!$C$4,N(U9715),IF(OR(NOT(COUNTIF('商品マスタ'!$B$6:$B$1005,$W9716)=0),COUNTIFS('①在庫を貼る'!$V$6:$V$10005,$V9716,'①在庫を貼る'!$W$6:$W$10005,$W9716)+COUNTIFS('月1回_1ヶ月前の在庫'!$V$6:$V$10005,$V9716,'月1回_1ヶ月前の在庫'!$W$6:$W$10005,$W9716)&gt;0),N(U9715),N(U9715)+1))</f>
        <v/>
      </c>
      <c r="V9716" s="19">
        <f>IF($B9716="","",TEXT($B9716,"0000"))</f>
        <v/>
      </c>
      <c r="W9716" s="19">
        <f>IF($I9716="","",IF(ISNUMBER($I9716),TEXT($I9716,"0"),$I9716))</f>
        <v/>
      </c>
    </row>
    <row r="9717">
      <c r="B9717" s="25" t="n"/>
      <c r="I9717" s="25" t="n"/>
      <c r="U9717" s="19">
        <f>IF($V9717&lt;&gt;'設定'!$C$4,N(U9716),IF(OR(NOT(COUNTIF('商品マスタ'!$B$6:$B$1005,$W9717)=0),COUNTIFS('①在庫を貼る'!$V$6:$V$10005,$V9717,'①在庫を貼る'!$W$6:$W$10005,$W9717)+COUNTIFS('月1回_1ヶ月前の在庫'!$V$6:$V$10005,$V9717,'月1回_1ヶ月前の在庫'!$W$6:$W$10005,$W9717)&gt;0),N(U9716),N(U9716)+1))</f>
        <v/>
      </c>
      <c r="V9717" s="19">
        <f>IF($B9717="","",TEXT($B9717,"0000"))</f>
        <v/>
      </c>
      <c r="W9717" s="19">
        <f>IF($I9717="","",IF(ISNUMBER($I9717),TEXT($I9717,"0"),$I9717))</f>
        <v/>
      </c>
    </row>
    <row r="9718">
      <c r="B9718" s="25" t="n"/>
      <c r="I9718" s="25" t="n"/>
      <c r="U9718" s="19">
        <f>IF($V9718&lt;&gt;'設定'!$C$4,N(U9717),IF(OR(NOT(COUNTIF('商品マスタ'!$B$6:$B$1005,$W9718)=0),COUNTIFS('①在庫を貼る'!$V$6:$V$10005,$V9718,'①在庫を貼る'!$W$6:$W$10005,$W9718)+COUNTIFS('月1回_1ヶ月前の在庫'!$V$6:$V$10005,$V9718,'月1回_1ヶ月前の在庫'!$W$6:$W$10005,$W9718)&gt;0),N(U9717),N(U9717)+1))</f>
        <v/>
      </c>
      <c r="V9718" s="19">
        <f>IF($B9718="","",TEXT($B9718,"0000"))</f>
        <v/>
      </c>
      <c r="W9718" s="19">
        <f>IF($I9718="","",IF(ISNUMBER($I9718),TEXT($I9718,"0"),$I9718))</f>
        <v/>
      </c>
    </row>
    <row r="9719">
      <c r="B9719" s="25" t="n"/>
      <c r="I9719" s="25" t="n"/>
      <c r="U9719" s="19">
        <f>IF($V9719&lt;&gt;'設定'!$C$4,N(U9718),IF(OR(NOT(COUNTIF('商品マスタ'!$B$6:$B$1005,$W9719)=0),COUNTIFS('①在庫を貼る'!$V$6:$V$10005,$V9719,'①在庫を貼る'!$W$6:$W$10005,$W9719)+COUNTIFS('月1回_1ヶ月前の在庫'!$V$6:$V$10005,$V9719,'月1回_1ヶ月前の在庫'!$W$6:$W$10005,$W9719)&gt;0),N(U9718),N(U9718)+1))</f>
        <v/>
      </c>
      <c r="V9719" s="19">
        <f>IF($B9719="","",TEXT($B9719,"0000"))</f>
        <v/>
      </c>
      <c r="W9719" s="19">
        <f>IF($I9719="","",IF(ISNUMBER($I9719),TEXT($I9719,"0"),$I9719))</f>
        <v/>
      </c>
    </row>
    <row r="9720">
      <c r="B9720" s="25" t="n"/>
      <c r="I9720" s="25" t="n"/>
      <c r="U9720" s="19">
        <f>IF($V9720&lt;&gt;'設定'!$C$4,N(U9719),IF(OR(NOT(COUNTIF('商品マスタ'!$B$6:$B$1005,$W9720)=0),COUNTIFS('①在庫を貼る'!$V$6:$V$10005,$V9720,'①在庫を貼る'!$W$6:$W$10005,$W9720)+COUNTIFS('月1回_1ヶ月前の在庫'!$V$6:$V$10005,$V9720,'月1回_1ヶ月前の在庫'!$W$6:$W$10005,$W9720)&gt;0),N(U9719),N(U9719)+1))</f>
        <v/>
      </c>
      <c r="V9720" s="19">
        <f>IF($B9720="","",TEXT($B9720,"0000"))</f>
        <v/>
      </c>
      <c r="W9720" s="19">
        <f>IF($I9720="","",IF(ISNUMBER($I9720),TEXT($I9720,"0"),$I9720))</f>
        <v/>
      </c>
    </row>
    <row r="9721">
      <c r="B9721" s="25" t="n"/>
      <c r="I9721" s="25" t="n"/>
      <c r="U9721" s="19">
        <f>IF($V9721&lt;&gt;'設定'!$C$4,N(U9720),IF(OR(NOT(COUNTIF('商品マスタ'!$B$6:$B$1005,$W9721)=0),COUNTIFS('①在庫を貼る'!$V$6:$V$10005,$V9721,'①在庫を貼る'!$W$6:$W$10005,$W9721)+COUNTIFS('月1回_1ヶ月前の在庫'!$V$6:$V$10005,$V9721,'月1回_1ヶ月前の在庫'!$W$6:$W$10005,$W9721)&gt;0),N(U9720),N(U9720)+1))</f>
        <v/>
      </c>
      <c r="V9721" s="19">
        <f>IF($B9721="","",TEXT($B9721,"0000"))</f>
        <v/>
      </c>
      <c r="W9721" s="19">
        <f>IF($I9721="","",IF(ISNUMBER($I9721),TEXT($I9721,"0"),$I9721))</f>
        <v/>
      </c>
    </row>
    <row r="9722">
      <c r="B9722" s="25" t="n"/>
      <c r="I9722" s="25" t="n"/>
      <c r="U9722" s="19">
        <f>IF($V9722&lt;&gt;'設定'!$C$4,N(U9721),IF(OR(NOT(COUNTIF('商品マスタ'!$B$6:$B$1005,$W9722)=0),COUNTIFS('①在庫を貼る'!$V$6:$V$10005,$V9722,'①在庫を貼る'!$W$6:$W$10005,$W9722)+COUNTIFS('月1回_1ヶ月前の在庫'!$V$6:$V$10005,$V9722,'月1回_1ヶ月前の在庫'!$W$6:$W$10005,$W9722)&gt;0),N(U9721),N(U9721)+1))</f>
        <v/>
      </c>
      <c r="V9722" s="19">
        <f>IF($B9722="","",TEXT($B9722,"0000"))</f>
        <v/>
      </c>
      <c r="W9722" s="19">
        <f>IF($I9722="","",IF(ISNUMBER($I9722),TEXT($I9722,"0"),$I9722))</f>
        <v/>
      </c>
    </row>
    <row r="9723">
      <c r="B9723" s="25" t="n"/>
      <c r="I9723" s="25" t="n"/>
      <c r="U9723" s="19">
        <f>IF($V9723&lt;&gt;'設定'!$C$4,N(U9722),IF(OR(NOT(COUNTIF('商品マスタ'!$B$6:$B$1005,$W9723)=0),COUNTIFS('①在庫を貼る'!$V$6:$V$10005,$V9723,'①在庫を貼る'!$W$6:$W$10005,$W9723)+COUNTIFS('月1回_1ヶ月前の在庫'!$V$6:$V$10005,$V9723,'月1回_1ヶ月前の在庫'!$W$6:$W$10005,$W9723)&gt;0),N(U9722),N(U9722)+1))</f>
        <v/>
      </c>
      <c r="V9723" s="19">
        <f>IF($B9723="","",TEXT($B9723,"0000"))</f>
        <v/>
      </c>
      <c r="W9723" s="19">
        <f>IF($I9723="","",IF(ISNUMBER($I9723),TEXT($I9723,"0"),$I9723))</f>
        <v/>
      </c>
    </row>
    <row r="9724">
      <c r="B9724" s="25" t="n"/>
      <c r="I9724" s="25" t="n"/>
      <c r="U9724" s="19">
        <f>IF($V9724&lt;&gt;'設定'!$C$4,N(U9723),IF(OR(NOT(COUNTIF('商品マスタ'!$B$6:$B$1005,$W9724)=0),COUNTIFS('①在庫を貼る'!$V$6:$V$10005,$V9724,'①在庫を貼る'!$W$6:$W$10005,$W9724)+COUNTIFS('月1回_1ヶ月前の在庫'!$V$6:$V$10005,$V9724,'月1回_1ヶ月前の在庫'!$W$6:$W$10005,$W9724)&gt;0),N(U9723),N(U9723)+1))</f>
        <v/>
      </c>
      <c r="V9724" s="19">
        <f>IF($B9724="","",TEXT($B9724,"0000"))</f>
        <v/>
      </c>
      <c r="W9724" s="19">
        <f>IF($I9724="","",IF(ISNUMBER($I9724),TEXT($I9724,"0"),$I9724))</f>
        <v/>
      </c>
    </row>
    <row r="9725">
      <c r="B9725" s="25" t="n"/>
      <c r="I9725" s="25" t="n"/>
      <c r="U9725" s="19">
        <f>IF($V9725&lt;&gt;'設定'!$C$4,N(U9724),IF(OR(NOT(COUNTIF('商品マスタ'!$B$6:$B$1005,$W9725)=0),COUNTIFS('①在庫を貼る'!$V$6:$V$10005,$V9725,'①在庫を貼る'!$W$6:$W$10005,$W9725)+COUNTIFS('月1回_1ヶ月前の在庫'!$V$6:$V$10005,$V9725,'月1回_1ヶ月前の在庫'!$W$6:$W$10005,$W9725)&gt;0),N(U9724),N(U9724)+1))</f>
        <v/>
      </c>
      <c r="V9725" s="19">
        <f>IF($B9725="","",TEXT($B9725,"0000"))</f>
        <v/>
      </c>
      <c r="W9725" s="19">
        <f>IF($I9725="","",IF(ISNUMBER($I9725),TEXT($I9725,"0"),$I9725))</f>
        <v/>
      </c>
    </row>
    <row r="9726">
      <c r="B9726" s="25" t="n"/>
      <c r="I9726" s="25" t="n"/>
      <c r="U9726" s="19">
        <f>IF($V9726&lt;&gt;'設定'!$C$4,N(U9725),IF(OR(NOT(COUNTIF('商品マスタ'!$B$6:$B$1005,$W9726)=0),COUNTIFS('①在庫を貼る'!$V$6:$V$10005,$V9726,'①在庫を貼る'!$W$6:$W$10005,$W9726)+COUNTIFS('月1回_1ヶ月前の在庫'!$V$6:$V$10005,$V9726,'月1回_1ヶ月前の在庫'!$W$6:$W$10005,$W9726)&gt;0),N(U9725),N(U9725)+1))</f>
        <v/>
      </c>
      <c r="V9726" s="19">
        <f>IF($B9726="","",TEXT($B9726,"0000"))</f>
        <v/>
      </c>
      <c r="W9726" s="19">
        <f>IF($I9726="","",IF(ISNUMBER($I9726),TEXT($I9726,"0"),$I9726))</f>
        <v/>
      </c>
    </row>
    <row r="9727">
      <c r="B9727" s="25" t="n"/>
      <c r="I9727" s="25" t="n"/>
      <c r="U9727" s="19">
        <f>IF($V9727&lt;&gt;'設定'!$C$4,N(U9726),IF(OR(NOT(COUNTIF('商品マスタ'!$B$6:$B$1005,$W9727)=0),COUNTIFS('①在庫を貼る'!$V$6:$V$10005,$V9727,'①在庫を貼る'!$W$6:$W$10005,$W9727)+COUNTIFS('月1回_1ヶ月前の在庫'!$V$6:$V$10005,$V9727,'月1回_1ヶ月前の在庫'!$W$6:$W$10005,$W9727)&gt;0),N(U9726),N(U9726)+1))</f>
        <v/>
      </c>
      <c r="V9727" s="19">
        <f>IF($B9727="","",TEXT($B9727,"0000"))</f>
        <v/>
      </c>
      <c r="W9727" s="19">
        <f>IF($I9727="","",IF(ISNUMBER($I9727),TEXT($I9727,"0"),$I9727))</f>
        <v/>
      </c>
    </row>
    <row r="9728">
      <c r="B9728" s="25" t="n"/>
      <c r="I9728" s="25" t="n"/>
      <c r="U9728" s="19">
        <f>IF($V9728&lt;&gt;'設定'!$C$4,N(U9727),IF(OR(NOT(COUNTIF('商品マスタ'!$B$6:$B$1005,$W9728)=0),COUNTIFS('①在庫を貼る'!$V$6:$V$10005,$V9728,'①在庫を貼る'!$W$6:$W$10005,$W9728)+COUNTIFS('月1回_1ヶ月前の在庫'!$V$6:$V$10005,$V9728,'月1回_1ヶ月前の在庫'!$W$6:$W$10005,$W9728)&gt;0),N(U9727),N(U9727)+1))</f>
        <v/>
      </c>
      <c r="V9728" s="19">
        <f>IF($B9728="","",TEXT($B9728,"0000"))</f>
        <v/>
      </c>
      <c r="W9728" s="19">
        <f>IF($I9728="","",IF(ISNUMBER($I9728),TEXT($I9728,"0"),$I9728))</f>
        <v/>
      </c>
    </row>
    <row r="9729">
      <c r="B9729" s="25" t="n"/>
      <c r="I9729" s="25" t="n"/>
      <c r="U9729" s="19">
        <f>IF($V9729&lt;&gt;'設定'!$C$4,N(U9728),IF(OR(NOT(COUNTIF('商品マスタ'!$B$6:$B$1005,$W9729)=0),COUNTIFS('①在庫を貼る'!$V$6:$V$10005,$V9729,'①在庫を貼る'!$W$6:$W$10005,$W9729)+COUNTIFS('月1回_1ヶ月前の在庫'!$V$6:$V$10005,$V9729,'月1回_1ヶ月前の在庫'!$W$6:$W$10005,$W9729)&gt;0),N(U9728),N(U9728)+1))</f>
        <v/>
      </c>
      <c r="V9729" s="19">
        <f>IF($B9729="","",TEXT($B9729,"0000"))</f>
        <v/>
      </c>
      <c r="W9729" s="19">
        <f>IF($I9729="","",IF(ISNUMBER($I9729),TEXT($I9729,"0"),$I9729))</f>
        <v/>
      </c>
    </row>
    <row r="9730">
      <c r="B9730" s="25" t="n"/>
      <c r="I9730" s="25" t="n"/>
      <c r="U9730" s="19">
        <f>IF($V9730&lt;&gt;'設定'!$C$4,N(U9729),IF(OR(NOT(COUNTIF('商品マスタ'!$B$6:$B$1005,$W9730)=0),COUNTIFS('①在庫を貼る'!$V$6:$V$10005,$V9730,'①在庫を貼る'!$W$6:$W$10005,$W9730)+COUNTIFS('月1回_1ヶ月前の在庫'!$V$6:$V$10005,$V9730,'月1回_1ヶ月前の在庫'!$W$6:$W$10005,$W9730)&gt;0),N(U9729),N(U9729)+1))</f>
        <v/>
      </c>
      <c r="V9730" s="19">
        <f>IF($B9730="","",TEXT($B9730,"0000"))</f>
        <v/>
      </c>
      <c r="W9730" s="19">
        <f>IF($I9730="","",IF(ISNUMBER($I9730),TEXT($I9730,"0"),$I9730))</f>
        <v/>
      </c>
    </row>
    <row r="9731">
      <c r="B9731" s="25" t="n"/>
      <c r="I9731" s="25" t="n"/>
      <c r="U9731" s="19">
        <f>IF($V9731&lt;&gt;'設定'!$C$4,N(U9730),IF(OR(NOT(COUNTIF('商品マスタ'!$B$6:$B$1005,$W9731)=0),COUNTIFS('①在庫を貼る'!$V$6:$V$10005,$V9731,'①在庫を貼る'!$W$6:$W$10005,$W9731)+COUNTIFS('月1回_1ヶ月前の在庫'!$V$6:$V$10005,$V9731,'月1回_1ヶ月前の在庫'!$W$6:$W$10005,$W9731)&gt;0),N(U9730),N(U9730)+1))</f>
        <v/>
      </c>
      <c r="V9731" s="19">
        <f>IF($B9731="","",TEXT($B9731,"0000"))</f>
        <v/>
      </c>
      <c r="W9731" s="19">
        <f>IF($I9731="","",IF(ISNUMBER($I9731),TEXT($I9731,"0"),$I9731))</f>
        <v/>
      </c>
    </row>
    <row r="9732">
      <c r="B9732" s="25" t="n"/>
      <c r="I9732" s="25" t="n"/>
      <c r="U9732" s="19">
        <f>IF($V9732&lt;&gt;'設定'!$C$4,N(U9731),IF(OR(NOT(COUNTIF('商品マスタ'!$B$6:$B$1005,$W9732)=0),COUNTIFS('①在庫を貼る'!$V$6:$V$10005,$V9732,'①在庫を貼る'!$W$6:$W$10005,$W9732)+COUNTIFS('月1回_1ヶ月前の在庫'!$V$6:$V$10005,$V9732,'月1回_1ヶ月前の在庫'!$W$6:$W$10005,$W9732)&gt;0),N(U9731),N(U9731)+1))</f>
        <v/>
      </c>
      <c r="V9732" s="19">
        <f>IF($B9732="","",TEXT($B9732,"0000"))</f>
        <v/>
      </c>
      <c r="W9732" s="19">
        <f>IF($I9732="","",IF(ISNUMBER($I9732),TEXT($I9732,"0"),$I9732))</f>
        <v/>
      </c>
    </row>
    <row r="9733">
      <c r="B9733" s="25" t="n"/>
      <c r="I9733" s="25" t="n"/>
      <c r="U9733" s="19">
        <f>IF($V9733&lt;&gt;'設定'!$C$4,N(U9732),IF(OR(NOT(COUNTIF('商品マスタ'!$B$6:$B$1005,$W9733)=0),COUNTIFS('①在庫を貼る'!$V$6:$V$10005,$V9733,'①在庫を貼る'!$W$6:$W$10005,$W9733)+COUNTIFS('月1回_1ヶ月前の在庫'!$V$6:$V$10005,$V9733,'月1回_1ヶ月前の在庫'!$W$6:$W$10005,$W9733)&gt;0),N(U9732),N(U9732)+1))</f>
        <v/>
      </c>
      <c r="V9733" s="19">
        <f>IF($B9733="","",TEXT($B9733,"0000"))</f>
        <v/>
      </c>
      <c r="W9733" s="19">
        <f>IF($I9733="","",IF(ISNUMBER($I9733),TEXT($I9733,"0"),$I9733))</f>
        <v/>
      </c>
    </row>
    <row r="9734">
      <c r="B9734" s="25" t="n"/>
      <c r="I9734" s="25" t="n"/>
      <c r="U9734" s="19">
        <f>IF($V9734&lt;&gt;'設定'!$C$4,N(U9733),IF(OR(NOT(COUNTIF('商品マスタ'!$B$6:$B$1005,$W9734)=0),COUNTIFS('①在庫を貼る'!$V$6:$V$10005,$V9734,'①在庫を貼る'!$W$6:$W$10005,$W9734)+COUNTIFS('月1回_1ヶ月前の在庫'!$V$6:$V$10005,$V9734,'月1回_1ヶ月前の在庫'!$W$6:$W$10005,$W9734)&gt;0),N(U9733),N(U9733)+1))</f>
        <v/>
      </c>
      <c r="V9734" s="19">
        <f>IF($B9734="","",TEXT($B9734,"0000"))</f>
        <v/>
      </c>
      <c r="W9734" s="19">
        <f>IF($I9734="","",IF(ISNUMBER($I9734),TEXT($I9734,"0"),$I9734))</f>
        <v/>
      </c>
    </row>
    <row r="9735">
      <c r="B9735" s="25" t="n"/>
      <c r="I9735" s="25" t="n"/>
      <c r="U9735" s="19">
        <f>IF($V9735&lt;&gt;'設定'!$C$4,N(U9734),IF(OR(NOT(COUNTIF('商品マスタ'!$B$6:$B$1005,$W9735)=0),COUNTIFS('①在庫を貼る'!$V$6:$V$10005,$V9735,'①在庫を貼る'!$W$6:$W$10005,$W9735)+COUNTIFS('月1回_1ヶ月前の在庫'!$V$6:$V$10005,$V9735,'月1回_1ヶ月前の在庫'!$W$6:$W$10005,$W9735)&gt;0),N(U9734),N(U9734)+1))</f>
        <v/>
      </c>
      <c r="V9735" s="19">
        <f>IF($B9735="","",TEXT($B9735,"0000"))</f>
        <v/>
      </c>
      <c r="W9735" s="19">
        <f>IF($I9735="","",IF(ISNUMBER($I9735),TEXT($I9735,"0"),$I9735))</f>
        <v/>
      </c>
    </row>
    <row r="9736">
      <c r="B9736" s="25" t="n"/>
      <c r="I9736" s="25" t="n"/>
      <c r="U9736" s="19">
        <f>IF($V9736&lt;&gt;'設定'!$C$4,N(U9735),IF(OR(NOT(COUNTIF('商品マスタ'!$B$6:$B$1005,$W9736)=0),COUNTIFS('①在庫を貼る'!$V$6:$V$10005,$V9736,'①在庫を貼る'!$W$6:$W$10005,$W9736)+COUNTIFS('月1回_1ヶ月前の在庫'!$V$6:$V$10005,$V9736,'月1回_1ヶ月前の在庫'!$W$6:$W$10005,$W9736)&gt;0),N(U9735),N(U9735)+1))</f>
        <v/>
      </c>
      <c r="V9736" s="19">
        <f>IF($B9736="","",TEXT($B9736,"0000"))</f>
        <v/>
      </c>
      <c r="W9736" s="19">
        <f>IF($I9736="","",IF(ISNUMBER($I9736),TEXT($I9736,"0"),$I9736))</f>
        <v/>
      </c>
    </row>
    <row r="9737">
      <c r="B9737" s="25" t="n"/>
      <c r="I9737" s="25" t="n"/>
      <c r="U9737" s="19">
        <f>IF($V9737&lt;&gt;'設定'!$C$4,N(U9736),IF(OR(NOT(COUNTIF('商品マスタ'!$B$6:$B$1005,$W9737)=0),COUNTIFS('①在庫を貼る'!$V$6:$V$10005,$V9737,'①在庫を貼る'!$W$6:$W$10005,$W9737)+COUNTIFS('月1回_1ヶ月前の在庫'!$V$6:$V$10005,$V9737,'月1回_1ヶ月前の在庫'!$W$6:$W$10005,$W9737)&gt;0),N(U9736),N(U9736)+1))</f>
        <v/>
      </c>
      <c r="V9737" s="19">
        <f>IF($B9737="","",TEXT($B9737,"0000"))</f>
        <v/>
      </c>
      <c r="W9737" s="19">
        <f>IF($I9737="","",IF(ISNUMBER($I9737),TEXT($I9737,"0"),$I9737))</f>
        <v/>
      </c>
    </row>
    <row r="9738">
      <c r="B9738" s="25" t="n"/>
      <c r="I9738" s="25" t="n"/>
      <c r="U9738" s="19">
        <f>IF($V9738&lt;&gt;'設定'!$C$4,N(U9737),IF(OR(NOT(COUNTIF('商品マスタ'!$B$6:$B$1005,$W9738)=0),COUNTIFS('①在庫を貼る'!$V$6:$V$10005,$V9738,'①在庫を貼る'!$W$6:$W$10005,$W9738)+COUNTIFS('月1回_1ヶ月前の在庫'!$V$6:$V$10005,$V9738,'月1回_1ヶ月前の在庫'!$W$6:$W$10005,$W9738)&gt;0),N(U9737),N(U9737)+1))</f>
        <v/>
      </c>
      <c r="V9738" s="19">
        <f>IF($B9738="","",TEXT($B9738,"0000"))</f>
        <v/>
      </c>
      <c r="W9738" s="19">
        <f>IF($I9738="","",IF(ISNUMBER($I9738),TEXT($I9738,"0"),$I9738))</f>
        <v/>
      </c>
    </row>
    <row r="9739">
      <c r="B9739" s="25" t="n"/>
      <c r="I9739" s="25" t="n"/>
      <c r="U9739" s="19">
        <f>IF($V9739&lt;&gt;'設定'!$C$4,N(U9738),IF(OR(NOT(COUNTIF('商品マスタ'!$B$6:$B$1005,$W9739)=0),COUNTIFS('①在庫を貼る'!$V$6:$V$10005,$V9739,'①在庫を貼る'!$W$6:$W$10005,$W9739)+COUNTIFS('月1回_1ヶ月前の在庫'!$V$6:$V$10005,$V9739,'月1回_1ヶ月前の在庫'!$W$6:$W$10005,$W9739)&gt;0),N(U9738),N(U9738)+1))</f>
        <v/>
      </c>
      <c r="V9739" s="19">
        <f>IF($B9739="","",TEXT($B9739,"0000"))</f>
        <v/>
      </c>
      <c r="W9739" s="19">
        <f>IF($I9739="","",IF(ISNUMBER($I9739),TEXT($I9739,"0"),$I9739))</f>
        <v/>
      </c>
    </row>
    <row r="9740">
      <c r="B9740" s="25" t="n"/>
      <c r="I9740" s="25" t="n"/>
      <c r="U9740" s="19">
        <f>IF($V9740&lt;&gt;'設定'!$C$4,N(U9739),IF(OR(NOT(COUNTIF('商品マスタ'!$B$6:$B$1005,$W9740)=0),COUNTIFS('①在庫を貼る'!$V$6:$V$10005,$V9740,'①在庫を貼る'!$W$6:$W$10005,$W9740)+COUNTIFS('月1回_1ヶ月前の在庫'!$V$6:$V$10005,$V9740,'月1回_1ヶ月前の在庫'!$W$6:$W$10005,$W9740)&gt;0),N(U9739),N(U9739)+1))</f>
        <v/>
      </c>
      <c r="V9740" s="19">
        <f>IF($B9740="","",TEXT($B9740,"0000"))</f>
        <v/>
      </c>
      <c r="W9740" s="19">
        <f>IF($I9740="","",IF(ISNUMBER($I9740),TEXT($I9740,"0"),$I9740))</f>
        <v/>
      </c>
    </row>
    <row r="9741">
      <c r="B9741" s="25" t="n"/>
      <c r="I9741" s="25" t="n"/>
      <c r="U9741" s="19">
        <f>IF($V9741&lt;&gt;'設定'!$C$4,N(U9740),IF(OR(NOT(COUNTIF('商品マスタ'!$B$6:$B$1005,$W9741)=0),COUNTIFS('①在庫を貼る'!$V$6:$V$10005,$V9741,'①在庫を貼る'!$W$6:$W$10005,$W9741)+COUNTIFS('月1回_1ヶ月前の在庫'!$V$6:$V$10005,$V9741,'月1回_1ヶ月前の在庫'!$W$6:$W$10005,$W9741)&gt;0),N(U9740),N(U9740)+1))</f>
        <v/>
      </c>
      <c r="V9741" s="19">
        <f>IF($B9741="","",TEXT($B9741,"0000"))</f>
        <v/>
      </c>
      <c r="W9741" s="19">
        <f>IF($I9741="","",IF(ISNUMBER($I9741),TEXT($I9741,"0"),$I9741))</f>
        <v/>
      </c>
    </row>
    <row r="9742">
      <c r="B9742" s="25" t="n"/>
      <c r="I9742" s="25" t="n"/>
      <c r="U9742" s="19">
        <f>IF($V9742&lt;&gt;'設定'!$C$4,N(U9741),IF(OR(NOT(COUNTIF('商品マスタ'!$B$6:$B$1005,$W9742)=0),COUNTIFS('①在庫を貼る'!$V$6:$V$10005,$V9742,'①在庫を貼る'!$W$6:$W$10005,$W9742)+COUNTIFS('月1回_1ヶ月前の在庫'!$V$6:$V$10005,$V9742,'月1回_1ヶ月前の在庫'!$W$6:$W$10005,$W9742)&gt;0),N(U9741),N(U9741)+1))</f>
        <v/>
      </c>
      <c r="V9742" s="19">
        <f>IF($B9742="","",TEXT($B9742,"0000"))</f>
        <v/>
      </c>
      <c r="W9742" s="19">
        <f>IF($I9742="","",IF(ISNUMBER($I9742),TEXT($I9742,"0"),$I9742))</f>
        <v/>
      </c>
    </row>
    <row r="9743">
      <c r="B9743" s="25" t="n"/>
      <c r="I9743" s="25" t="n"/>
      <c r="U9743" s="19">
        <f>IF($V9743&lt;&gt;'設定'!$C$4,N(U9742),IF(OR(NOT(COUNTIF('商品マスタ'!$B$6:$B$1005,$W9743)=0),COUNTIFS('①在庫を貼る'!$V$6:$V$10005,$V9743,'①在庫を貼る'!$W$6:$W$10005,$W9743)+COUNTIFS('月1回_1ヶ月前の在庫'!$V$6:$V$10005,$V9743,'月1回_1ヶ月前の在庫'!$W$6:$W$10005,$W9743)&gt;0),N(U9742),N(U9742)+1))</f>
        <v/>
      </c>
      <c r="V9743" s="19">
        <f>IF($B9743="","",TEXT($B9743,"0000"))</f>
        <v/>
      </c>
      <c r="W9743" s="19">
        <f>IF($I9743="","",IF(ISNUMBER($I9743),TEXT($I9743,"0"),$I9743))</f>
        <v/>
      </c>
    </row>
    <row r="9744">
      <c r="B9744" s="25" t="n"/>
      <c r="I9744" s="25" t="n"/>
      <c r="U9744" s="19">
        <f>IF($V9744&lt;&gt;'設定'!$C$4,N(U9743),IF(OR(NOT(COUNTIF('商品マスタ'!$B$6:$B$1005,$W9744)=0),COUNTIFS('①在庫を貼る'!$V$6:$V$10005,$V9744,'①在庫を貼る'!$W$6:$W$10005,$W9744)+COUNTIFS('月1回_1ヶ月前の在庫'!$V$6:$V$10005,$V9744,'月1回_1ヶ月前の在庫'!$W$6:$W$10005,$W9744)&gt;0),N(U9743),N(U9743)+1))</f>
        <v/>
      </c>
      <c r="V9744" s="19">
        <f>IF($B9744="","",TEXT($B9744,"0000"))</f>
        <v/>
      </c>
      <c r="W9744" s="19">
        <f>IF($I9744="","",IF(ISNUMBER($I9744),TEXT($I9744,"0"),$I9744))</f>
        <v/>
      </c>
    </row>
    <row r="9745">
      <c r="B9745" s="25" t="n"/>
      <c r="I9745" s="25" t="n"/>
      <c r="U9745" s="19">
        <f>IF($V9745&lt;&gt;'設定'!$C$4,N(U9744),IF(OR(NOT(COUNTIF('商品マスタ'!$B$6:$B$1005,$W9745)=0),COUNTIFS('①在庫を貼る'!$V$6:$V$10005,$V9745,'①在庫を貼る'!$W$6:$W$10005,$W9745)+COUNTIFS('月1回_1ヶ月前の在庫'!$V$6:$V$10005,$V9745,'月1回_1ヶ月前の在庫'!$W$6:$W$10005,$W9745)&gt;0),N(U9744),N(U9744)+1))</f>
        <v/>
      </c>
      <c r="V9745" s="19">
        <f>IF($B9745="","",TEXT($B9745,"0000"))</f>
        <v/>
      </c>
      <c r="W9745" s="19">
        <f>IF($I9745="","",IF(ISNUMBER($I9745),TEXT($I9745,"0"),$I9745))</f>
        <v/>
      </c>
    </row>
    <row r="9746">
      <c r="B9746" s="25" t="n"/>
      <c r="I9746" s="25" t="n"/>
      <c r="U9746" s="19">
        <f>IF($V9746&lt;&gt;'設定'!$C$4,N(U9745),IF(OR(NOT(COUNTIF('商品マスタ'!$B$6:$B$1005,$W9746)=0),COUNTIFS('①在庫を貼る'!$V$6:$V$10005,$V9746,'①在庫を貼る'!$W$6:$W$10005,$W9746)+COUNTIFS('月1回_1ヶ月前の在庫'!$V$6:$V$10005,$V9746,'月1回_1ヶ月前の在庫'!$W$6:$W$10005,$W9746)&gt;0),N(U9745),N(U9745)+1))</f>
        <v/>
      </c>
      <c r="V9746" s="19">
        <f>IF($B9746="","",TEXT($B9746,"0000"))</f>
        <v/>
      </c>
      <c r="W9746" s="19">
        <f>IF($I9746="","",IF(ISNUMBER($I9746),TEXT($I9746,"0"),$I9746))</f>
        <v/>
      </c>
    </row>
    <row r="9747">
      <c r="B9747" s="25" t="n"/>
      <c r="I9747" s="25" t="n"/>
      <c r="U9747" s="19">
        <f>IF($V9747&lt;&gt;'設定'!$C$4,N(U9746),IF(OR(NOT(COUNTIF('商品マスタ'!$B$6:$B$1005,$W9747)=0),COUNTIFS('①在庫を貼る'!$V$6:$V$10005,$V9747,'①在庫を貼る'!$W$6:$W$10005,$W9747)+COUNTIFS('月1回_1ヶ月前の在庫'!$V$6:$V$10005,$V9747,'月1回_1ヶ月前の在庫'!$W$6:$W$10005,$W9747)&gt;0),N(U9746),N(U9746)+1))</f>
        <v/>
      </c>
      <c r="V9747" s="19">
        <f>IF($B9747="","",TEXT($B9747,"0000"))</f>
        <v/>
      </c>
      <c r="W9747" s="19">
        <f>IF($I9747="","",IF(ISNUMBER($I9747),TEXT($I9747,"0"),$I9747))</f>
        <v/>
      </c>
    </row>
    <row r="9748">
      <c r="B9748" s="25" t="n"/>
      <c r="I9748" s="25" t="n"/>
      <c r="U9748" s="19">
        <f>IF($V9748&lt;&gt;'設定'!$C$4,N(U9747),IF(OR(NOT(COUNTIF('商品マスタ'!$B$6:$B$1005,$W9748)=0),COUNTIFS('①在庫を貼る'!$V$6:$V$10005,$V9748,'①在庫を貼る'!$W$6:$W$10005,$W9748)+COUNTIFS('月1回_1ヶ月前の在庫'!$V$6:$V$10005,$V9748,'月1回_1ヶ月前の在庫'!$W$6:$W$10005,$W9748)&gt;0),N(U9747),N(U9747)+1))</f>
        <v/>
      </c>
      <c r="V9748" s="19">
        <f>IF($B9748="","",TEXT($B9748,"0000"))</f>
        <v/>
      </c>
      <c r="W9748" s="19">
        <f>IF($I9748="","",IF(ISNUMBER($I9748),TEXT($I9748,"0"),$I9748))</f>
        <v/>
      </c>
    </row>
    <row r="9749">
      <c r="B9749" s="25" t="n"/>
      <c r="I9749" s="25" t="n"/>
      <c r="U9749" s="19">
        <f>IF($V9749&lt;&gt;'設定'!$C$4,N(U9748),IF(OR(NOT(COUNTIF('商品マスタ'!$B$6:$B$1005,$W9749)=0),COUNTIFS('①在庫を貼る'!$V$6:$V$10005,$V9749,'①在庫を貼る'!$W$6:$W$10005,$W9749)+COUNTIFS('月1回_1ヶ月前の在庫'!$V$6:$V$10005,$V9749,'月1回_1ヶ月前の在庫'!$W$6:$W$10005,$W9749)&gt;0),N(U9748),N(U9748)+1))</f>
        <v/>
      </c>
      <c r="V9749" s="19">
        <f>IF($B9749="","",TEXT($B9749,"0000"))</f>
        <v/>
      </c>
      <c r="W9749" s="19">
        <f>IF($I9749="","",IF(ISNUMBER($I9749),TEXT($I9749,"0"),$I9749))</f>
        <v/>
      </c>
    </row>
    <row r="9750">
      <c r="B9750" s="25" t="n"/>
      <c r="I9750" s="25" t="n"/>
      <c r="U9750" s="19">
        <f>IF($V9750&lt;&gt;'設定'!$C$4,N(U9749),IF(OR(NOT(COUNTIF('商品マスタ'!$B$6:$B$1005,$W9750)=0),COUNTIFS('①在庫を貼る'!$V$6:$V$10005,$V9750,'①在庫を貼る'!$W$6:$W$10005,$W9750)+COUNTIFS('月1回_1ヶ月前の在庫'!$V$6:$V$10005,$V9750,'月1回_1ヶ月前の在庫'!$W$6:$W$10005,$W9750)&gt;0),N(U9749),N(U9749)+1))</f>
        <v/>
      </c>
      <c r="V9750" s="19">
        <f>IF($B9750="","",TEXT($B9750,"0000"))</f>
        <v/>
      </c>
      <c r="W9750" s="19">
        <f>IF($I9750="","",IF(ISNUMBER($I9750),TEXT($I9750,"0"),$I9750))</f>
        <v/>
      </c>
    </row>
    <row r="9751">
      <c r="B9751" s="25" t="n"/>
      <c r="I9751" s="25" t="n"/>
      <c r="U9751" s="19">
        <f>IF($V9751&lt;&gt;'設定'!$C$4,N(U9750),IF(OR(NOT(COUNTIF('商品マスタ'!$B$6:$B$1005,$W9751)=0),COUNTIFS('①在庫を貼る'!$V$6:$V$10005,$V9751,'①在庫を貼る'!$W$6:$W$10005,$W9751)+COUNTIFS('月1回_1ヶ月前の在庫'!$V$6:$V$10005,$V9751,'月1回_1ヶ月前の在庫'!$W$6:$W$10005,$W9751)&gt;0),N(U9750),N(U9750)+1))</f>
        <v/>
      </c>
      <c r="V9751" s="19">
        <f>IF($B9751="","",TEXT($B9751,"0000"))</f>
        <v/>
      </c>
      <c r="W9751" s="19">
        <f>IF($I9751="","",IF(ISNUMBER($I9751),TEXT($I9751,"0"),$I9751))</f>
        <v/>
      </c>
    </row>
    <row r="9752">
      <c r="B9752" s="25" t="n"/>
      <c r="I9752" s="25" t="n"/>
      <c r="U9752" s="19">
        <f>IF($V9752&lt;&gt;'設定'!$C$4,N(U9751),IF(OR(NOT(COUNTIF('商品マスタ'!$B$6:$B$1005,$W9752)=0),COUNTIFS('①在庫を貼る'!$V$6:$V$10005,$V9752,'①在庫を貼る'!$W$6:$W$10005,$W9752)+COUNTIFS('月1回_1ヶ月前の在庫'!$V$6:$V$10005,$V9752,'月1回_1ヶ月前の在庫'!$W$6:$W$10005,$W9752)&gt;0),N(U9751),N(U9751)+1))</f>
        <v/>
      </c>
      <c r="V9752" s="19">
        <f>IF($B9752="","",TEXT($B9752,"0000"))</f>
        <v/>
      </c>
      <c r="W9752" s="19">
        <f>IF($I9752="","",IF(ISNUMBER($I9752),TEXT($I9752,"0"),$I9752))</f>
        <v/>
      </c>
    </row>
    <row r="9753">
      <c r="B9753" s="25" t="n"/>
      <c r="I9753" s="25" t="n"/>
      <c r="U9753" s="19">
        <f>IF($V9753&lt;&gt;'設定'!$C$4,N(U9752),IF(OR(NOT(COUNTIF('商品マスタ'!$B$6:$B$1005,$W9753)=0),COUNTIFS('①在庫を貼る'!$V$6:$V$10005,$V9753,'①在庫を貼る'!$W$6:$W$10005,$W9753)+COUNTIFS('月1回_1ヶ月前の在庫'!$V$6:$V$10005,$V9753,'月1回_1ヶ月前の在庫'!$W$6:$W$10005,$W9753)&gt;0),N(U9752),N(U9752)+1))</f>
        <v/>
      </c>
      <c r="V9753" s="19">
        <f>IF($B9753="","",TEXT($B9753,"0000"))</f>
        <v/>
      </c>
      <c r="W9753" s="19">
        <f>IF($I9753="","",IF(ISNUMBER($I9753),TEXT($I9753,"0"),$I9753))</f>
        <v/>
      </c>
    </row>
    <row r="9754">
      <c r="B9754" s="25" t="n"/>
      <c r="I9754" s="25" t="n"/>
      <c r="U9754" s="19">
        <f>IF($V9754&lt;&gt;'設定'!$C$4,N(U9753),IF(OR(NOT(COUNTIF('商品マスタ'!$B$6:$B$1005,$W9754)=0),COUNTIFS('①在庫を貼る'!$V$6:$V$10005,$V9754,'①在庫を貼る'!$W$6:$W$10005,$W9754)+COUNTIFS('月1回_1ヶ月前の在庫'!$V$6:$V$10005,$V9754,'月1回_1ヶ月前の在庫'!$W$6:$W$10005,$W9754)&gt;0),N(U9753),N(U9753)+1))</f>
        <v/>
      </c>
      <c r="V9754" s="19">
        <f>IF($B9754="","",TEXT($B9754,"0000"))</f>
        <v/>
      </c>
      <c r="W9754" s="19">
        <f>IF($I9754="","",IF(ISNUMBER($I9754),TEXT($I9754,"0"),$I9754))</f>
        <v/>
      </c>
    </row>
    <row r="9755">
      <c r="B9755" s="25" t="n"/>
      <c r="I9755" s="25" t="n"/>
      <c r="U9755" s="19">
        <f>IF($V9755&lt;&gt;'設定'!$C$4,N(U9754),IF(OR(NOT(COUNTIF('商品マスタ'!$B$6:$B$1005,$W9755)=0),COUNTIFS('①在庫を貼る'!$V$6:$V$10005,$V9755,'①在庫を貼る'!$W$6:$W$10005,$W9755)+COUNTIFS('月1回_1ヶ月前の在庫'!$V$6:$V$10005,$V9755,'月1回_1ヶ月前の在庫'!$W$6:$W$10005,$W9755)&gt;0),N(U9754),N(U9754)+1))</f>
        <v/>
      </c>
      <c r="V9755" s="19">
        <f>IF($B9755="","",TEXT($B9755,"0000"))</f>
        <v/>
      </c>
      <c r="W9755" s="19">
        <f>IF($I9755="","",IF(ISNUMBER($I9755),TEXT($I9755,"0"),$I9755))</f>
        <v/>
      </c>
    </row>
    <row r="9756">
      <c r="B9756" s="25" t="n"/>
      <c r="I9756" s="25" t="n"/>
      <c r="U9756" s="19">
        <f>IF($V9756&lt;&gt;'設定'!$C$4,N(U9755),IF(OR(NOT(COUNTIF('商品マスタ'!$B$6:$B$1005,$W9756)=0),COUNTIFS('①在庫を貼る'!$V$6:$V$10005,$V9756,'①在庫を貼る'!$W$6:$W$10005,$W9756)+COUNTIFS('月1回_1ヶ月前の在庫'!$V$6:$V$10005,$V9756,'月1回_1ヶ月前の在庫'!$W$6:$W$10005,$W9756)&gt;0),N(U9755),N(U9755)+1))</f>
        <v/>
      </c>
      <c r="V9756" s="19">
        <f>IF($B9756="","",TEXT($B9756,"0000"))</f>
        <v/>
      </c>
      <c r="W9756" s="19">
        <f>IF($I9756="","",IF(ISNUMBER($I9756),TEXT($I9756,"0"),$I9756))</f>
        <v/>
      </c>
    </row>
    <row r="9757">
      <c r="B9757" s="25" t="n"/>
      <c r="I9757" s="25" t="n"/>
      <c r="U9757" s="19">
        <f>IF($V9757&lt;&gt;'設定'!$C$4,N(U9756),IF(OR(NOT(COUNTIF('商品マスタ'!$B$6:$B$1005,$W9757)=0),COUNTIFS('①在庫を貼る'!$V$6:$V$10005,$V9757,'①在庫を貼る'!$W$6:$W$10005,$W9757)+COUNTIFS('月1回_1ヶ月前の在庫'!$V$6:$V$10005,$V9757,'月1回_1ヶ月前の在庫'!$W$6:$W$10005,$W9757)&gt;0),N(U9756),N(U9756)+1))</f>
        <v/>
      </c>
      <c r="V9757" s="19">
        <f>IF($B9757="","",TEXT($B9757,"0000"))</f>
        <v/>
      </c>
      <c r="W9757" s="19">
        <f>IF($I9757="","",IF(ISNUMBER($I9757),TEXT($I9757,"0"),$I9757))</f>
        <v/>
      </c>
    </row>
    <row r="9758">
      <c r="B9758" s="25" t="n"/>
      <c r="I9758" s="25" t="n"/>
      <c r="U9758" s="19">
        <f>IF($V9758&lt;&gt;'設定'!$C$4,N(U9757),IF(OR(NOT(COUNTIF('商品マスタ'!$B$6:$B$1005,$W9758)=0),COUNTIFS('①在庫を貼る'!$V$6:$V$10005,$V9758,'①在庫を貼る'!$W$6:$W$10005,$W9758)+COUNTIFS('月1回_1ヶ月前の在庫'!$V$6:$V$10005,$V9758,'月1回_1ヶ月前の在庫'!$W$6:$W$10005,$W9758)&gt;0),N(U9757),N(U9757)+1))</f>
        <v/>
      </c>
      <c r="V9758" s="19">
        <f>IF($B9758="","",TEXT($B9758,"0000"))</f>
        <v/>
      </c>
      <c r="W9758" s="19">
        <f>IF($I9758="","",IF(ISNUMBER($I9758),TEXT($I9758,"0"),$I9758))</f>
        <v/>
      </c>
    </row>
    <row r="9759">
      <c r="B9759" s="25" t="n"/>
      <c r="I9759" s="25" t="n"/>
      <c r="U9759" s="19">
        <f>IF($V9759&lt;&gt;'設定'!$C$4,N(U9758),IF(OR(NOT(COUNTIF('商品マスタ'!$B$6:$B$1005,$W9759)=0),COUNTIFS('①在庫を貼る'!$V$6:$V$10005,$V9759,'①在庫を貼る'!$W$6:$W$10005,$W9759)+COUNTIFS('月1回_1ヶ月前の在庫'!$V$6:$V$10005,$V9759,'月1回_1ヶ月前の在庫'!$W$6:$W$10005,$W9759)&gt;0),N(U9758),N(U9758)+1))</f>
        <v/>
      </c>
      <c r="V9759" s="19">
        <f>IF($B9759="","",TEXT($B9759,"0000"))</f>
        <v/>
      </c>
      <c r="W9759" s="19">
        <f>IF($I9759="","",IF(ISNUMBER($I9759),TEXT($I9759,"0"),$I9759))</f>
        <v/>
      </c>
    </row>
    <row r="9760">
      <c r="B9760" s="25" t="n"/>
      <c r="I9760" s="25" t="n"/>
      <c r="U9760" s="19">
        <f>IF($V9760&lt;&gt;'設定'!$C$4,N(U9759),IF(OR(NOT(COUNTIF('商品マスタ'!$B$6:$B$1005,$W9760)=0),COUNTIFS('①在庫を貼る'!$V$6:$V$10005,$V9760,'①在庫を貼る'!$W$6:$W$10005,$W9760)+COUNTIFS('月1回_1ヶ月前の在庫'!$V$6:$V$10005,$V9760,'月1回_1ヶ月前の在庫'!$W$6:$W$10005,$W9760)&gt;0),N(U9759),N(U9759)+1))</f>
        <v/>
      </c>
      <c r="V9760" s="19">
        <f>IF($B9760="","",TEXT($B9760,"0000"))</f>
        <v/>
      </c>
      <c r="W9760" s="19">
        <f>IF($I9760="","",IF(ISNUMBER($I9760),TEXT($I9760,"0"),$I9760))</f>
        <v/>
      </c>
    </row>
    <row r="9761">
      <c r="B9761" s="25" t="n"/>
      <c r="I9761" s="25" t="n"/>
      <c r="U9761" s="19">
        <f>IF($V9761&lt;&gt;'設定'!$C$4,N(U9760),IF(OR(NOT(COUNTIF('商品マスタ'!$B$6:$B$1005,$W9761)=0),COUNTIFS('①在庫を貼る'!$V$6:$V$10005,$V9761,'①在庫を貼る'!$W$6:$W$10005,$W9761)+COUNTIFS('月1回_1ヶ月前の在庫'!$V$6:$V$10005,$V9761,'月1回_1ヶ月前の在庫'!$W$6:$W$10005,$W9761)&gt;0),N(U9760),N(U9760)+1))</f>
        <v/>
      </c>
      <c r="V9761" s="19">
        <f>IF($B9761="","",TEXT($B9761,"0000"))</f>
        <v/>
      </c>
      <c r="W9761" s="19">
        <f>IF($I9761="","",IF(ISNUMBER($I9761),TEXT($I9761,"0"),$I9761))</f>
        <v/>
      </c>
    </row>
    <row r="9762">
      <c r="B9762" s="25" t="n"/>
      <c r="I9762" s="25" t="n"/>
      <c r="U9762" s="19">
        <f>IF($V9762&lt;&gt;'設定'!$C$4,N(U9761),IF(OR(NOT(COUNTIF('商品マスタ'!$B$6:$B$1005,$W9762)=0),COUNTIFS('①在庫を貼る'!$V$6:$V$10005,$V9762,'①在庫を貼る'!$W$6:$W$10005,$W9762)+COUNTIFS('月1回_1ヶ月前の在庫'!$V$6:$V$10005,$V9762,'月1回_1ヶ月前の在庫'!$W$6:$W$10005,$W9762)&gt;0),N(U9761),N(U9761)+1))</f>
        <v/>
      </c>
      <c r="V9762" s="19">
        <f>IF($B9762="","",TEXT($B9762,"0000"))</f>
        <v/>
      </c>
      <c r="W9762" s="19">
        <f>IF($I9762="","",IF(ISNUMBER($I9762),TEXT($I9762,"0"),$I9762))</f>
        <v/>
      </c>
    </row>
    <row r="9763">
      <c r="B9763" s="25" t="n"/>
      <c r="I9763" s="25" t="n"/>
      <c r="U9763" s="19">
        <f>IF($V9763&lt;&gt;'設定'!$C$4,N(U9762),IF(OR(NOT(COUNTIF('商品マスタ'!$B$6:$B$1005,$W9763)=0),COUNTIFS('①在庫を貼る'!$V$6:$V$10005,$V9763,'①在庫を貼る'!$W$6:$W$10005,$W9763)+COUNTIFS('月1回_1ヶ月前の在庫'!$V$6:$V$10005,$V9763,'月1回_1ヶ月前の在庫'!$W$6:$W$10005,$W9763)&gt;0),N(U9762),N(U9762)+1))</f>
        <v/>
      </c>
      <c r="V9763" s="19">
        <f>IF($B9763="","",TEXT($B9763,"0000"))</f>
        <v/>
      </c>
      <c r="W9763" s="19">
        <f>IF($I9763="","",IF(ISNUMBER($I9763),TEXT($I9763,"0"),$I9763))</f>
        <v/>
      </c>
    </row>
    <row r="9764">
      <c r="B9764" s="25" t="n"/>
      <c r="I9764" s="25" t="n"/>
      <c r="U9764" s="19">
        <f>IF($V9764&lt;&gt;'設定'!$C$4,N(U9763),IF(OR(NOT(COUNTIF('商品マスタ'!$B$6:$B$1005,$W9764)=0),COUNTIFS('①在庫を貼る'!$V$6:$V$10005,$V9764,'①在庫を貼る'!$W$6:$W$10005,$W9764)+COUNTIFS('月1回_1ヶ月前の在庫'!$V$6:$V$10005,$V9764,'月1回_1ヶ月前の在庫'!$W$6:$W$10005,$W9764)&gt;0),N(U9763),N(U9763)+1))</f>
        <v/>
      </c>
      <c r="V9764" s="19">
        <f>IF($B9764="","",TEXT($B9764,"0000"))</f>
        <v/>
      </c>
      <c r="W9764" s="19">
        <f>IF($I9764="","",IF(ISNUMBER($I9764),TEXT($I9764,"0"),$I9764))</f>
        <v/>
      </c>
    </row>
    <row r="9765">
      <c r="B9765" s="25" t="n"/>
      <c r="I9765" s="25" t="n"/>
      <c r="U9765" s="19">
        <f>IF($V9765&lt;&gt;'設定'!$C$4,N(U9764),IF(OR(NOT(COUNTIF('商品マスタ'!$B$6:$B$1005,$W9765)=0),COUNTIFS('①在庫を貼る'!$V$6:$V$10005,$V9765,'①在庫を貼る'!$W$6:$W$10005,$W9765)+COUNTIFS('月1回_1ヶ月前の在庫'!$V$6:$V$10005,$V9765,'月1回_1ヶ月前の在庫'!$W$6:$W$10005,$W9765)&gt;0),N(U9764),N(U9764)+1))</f>
        <v/>
      </c>
      <c r="V9765" s="19">
        <f>IF($B9765="","",TEXT($B9765,"0000"))</f>
        <v/>
      </c>
      <c r="W9765" s="19">
        <f>IF($I9765="","",IF(ISNUMBER($I9765),TEXT($I9765,"0"),$I9765))</f>
        <v/>
      </c>
    </row>
    <row r="9766">
      <c r="B9766" s="25" t="n"/>
      <c r="I9766" s="25" t="n"/>
      <c r="U9766" s="19">
        <f>IF($V9766&lt;&gt;'設定'!$C$4,N(U9765),IF(OR(NOT(COUNTIF('商品マスタ'!$B$6:$B$1005,$W9766)=0),COUNTIFS('①在庫を貼る'!$V$6:$V$10005,$V9766,'①在庫を貼る'!$W$6:$W$10005,$W9766)+COUNTIFS('月1回_1ヶ月前の在庫'!$V$6:$V$10005,$V9766,'月1回_1ヶ月前の在庫'!$W$6:$W$10005,$W9766)&gt;0),N(U9765),N(U9765)+1))</f>
        <v/>
      </c>
      <c r="V9766" s="19">
        <f>IF($B9766="","",TEXT($B9766,"0000"))</f>
        <v/>
      </c>
      <c r="W9766" s="19">
        <f>IF($I9766="","",IF(ISNUMBER($I9766),TEXT($I9766,"0"),$I9766))</f>
        <v/>
      </c>
    </row>
    <row r="9767">
      <c r="B9767" s="25" t="n"/>
      <c r="I9767" s="25" t="n"/>
      <c r="U9767" s="19">
        <f>IF($V9767&lt;&gt;'設定'!$C$4,N(U9766),IF(OR(NOT(COUNTIF('商品マスタ'!$B$6:$B$1005,$W9767)=0),COUNTIFS('①在庫を貼る'!$V$6:$V$10005,$V9767,'①在庫を貼る'!$W$6:$W$10005,$W9767)+COUNTIFS('月1回_1ヶ月前の在庫'!$V$6:$V$10005,$V9767,'月1回_1ヶ月前の在庫'!$W$6:$W$10005,$W9767)&gt;0),N(U9766),N(U9766)+1))</f>
        <v/>
      </c>
      <c r="V9767" s="19">
        <f>IF($B9767="","",TEXT($B9767,"0000"))</f>
        <v/>
      </c>
      <c r="W9767" s="19">
        <f>IF($I9767="","",IF(ISNUMBER($I9767),TEXT($I9767,"0"),$I9767))</f>
        <v/>
      </c>
    </row>
    <row r="9768">
      <c r="B9768" s="25" t="n"/>
      <c r="I9768" s="25" t="n"/>
      <c r="U9768" s="19">
        <f>IF($V9768&lt;&gt;'設定'!$C$4,N(U9767),IF(OR(NOT(COUNTIF('商品マスタ'!$B$6:$B$1005,$W9768)=0),COUNTIFS('①在庫を貼る'!$V$6:$V$10005,$V9768,'①在庫を貼る'!$W$6:$W$10005,$W9768)+COUNTIFS('月1回_1ヶ月前の在庫'!$V$6:$V$10005,$V9768,'月1回_1ヶ月前の在庫'!$W$6:$W$10005,$W9768)&gt;0),N(U9767),N(U9767)+1))</f>
        <v/>
      </c>
      <c r="V9768" s="19">
        <f>IF($B9768="","",TEXT($B9768,"0000"))</f>
        <v/>
      </c>
      <c r="W9768" s="19">
        <f>IF($I9768="","",IF(ISNUMBER($I9768),TEXT($I9768,"0"),$I9768))</f>
        <v/>
      </c>
    </row>
    <row r="9769">
      <c r="B9769" s="25" t="n"/>
      <c r="I9769" s="25" t="n"/>
      <c r="U9769" s="19">
        <f>IF($V9769&lt;&gt;'設定'!$C$4,N(U9768),IF(OR(NOT(COUNTIF('商品マスタ'!$B$6:$B$1005,$W9769)=0),COUNTIFS('①在庫を貼る'!$V$6:$V$10005,$V9769,'①在庫を貼る'!$W$6:$W$10005,$W9769)+COUNTIFS('月1回_1ヶ月前の在庫'!$V$6:$V$10005,$V9769,'月1回_1ヶ月前の在庫'!$W$6:$W$10005,$W9769)&gt;0),N(U9768),N(U9768)+1))</f>
        <v/>
      </c>
      <c r="V9769" s="19">
        <f>IF($B9769="","",TEXT($B9769,"0000"))</f>
        <v/>
      </c>
      <c r="W9769" s="19">
        <f>IF($I9769="","",IF(ISNUMBER($I9769),TEXT($I9769,"0"),$I9769))</f>
        <v/>
      </c>
    </row>
    <row r="9770">
      <c r="B9770" s="25" t="n"/>
      <c r="I9770" s="25" t="n"/>
      <c r="U9770" s="19">
        <f>IF($V9770&lt;&gt;'設定'!$C$4,N(U9769),IF(OR(NOT(COUNTIF('商品マスタ'!$B$6:$B$1005,$W9770)=0),COUNTIFS('①在庫を貼る'!$V$6:$V$10005,$V9770,'①在庫を貼る'!$W$6:$W$10005,$W9770)+COUNTIFS('月1回_1ヶ月前の在庫'!$V$6:$V$10005,$V9770,'月1回_1ヶ月前の在庫'!$W$6:$W$10005,$W9770)&gt;0),N(U9769),N(U9769)+1))</f>
        <v/>
      </c>
      <c r="V9770" s="19">
        <f>IF($B9770="","",TEXT($B9770,"0000"))</f>
        <v/>
      </c>
      <c r="W9770" s="19">
        <f>IF($I9770="","",IF(ISNUMBER($I9770),TEXT($I9770,"0"),$I9770))</f>
        <v/>
      </c>
    </row>
    <row r="9771">
      <c r="B9771" s="25" t="n"/>
      <c r="I9771" s="25" t="n"/>
      <c r="U9771" s="19">
        <f>IF($V9771&lt;&gt;'設定'!$C$4,N(U9770),IF(OR(NOT(COUNTIF('商品マスタ'!$B$6:$B$1005,$W9771)=0),COUNTIFS('①在庫を貼る'!$V$6:$V$10005,$V9771,'①在庫を貼る'!$W$6:$W$10005,$W9771)+COUNTIFS('月1回_1ヶ月前の在庫'!$V$6:$V$10005,$V9771,'月1回_1ヶ月前の在庫'!$W$6:$W$10005,$W9771)&gt;0),N(U9770),N(U9770)+1))</f>
        <v/>
      </c>
      <c r="V9771" s="19">
        <f>IF($B9771="","",TEXT($B9771,"0000"))</f>
        <v/>
      </c>
      <c r="W9771" s="19">
        <f>IF($I9771="","",IF(ISNUMBER($I9771),TEXT($I9771,"0"),$I9771))</f>
        <v/>
      </c>
    </row>
    <row r="9772">
      <c r="B9772" s="25" t="n"/>
      <c r="I9772" s="25" t="n"/>
      <c r="U9772" s="19">
        <f>IF($V9772&lt;&gt;'設定'!$C$4,N(U9771),IF(OR(NOT(COUNTIF('商品マスタ'!$B$6:$B$1005,$W9772)=0),COUNTIFS('①在庫を貼る'!$V$6:$V$10005,$V9772,'①在庫を貼る'!$W$6:$W$10005,$W9772)+COUNTIFS('月1回_1ヶ月前の在庫'!$V$6:$V$10005,$V9772,'月1回_1ヶ月前の在庫'!$W$6:$W$10005,$W9772)&gt;0),N(U9771),N(U9771)+1))</f>
        <v/>
      </c>
      <c r="V9772" s="19">
        <f>IF($B9772="","",TEXT($B9772,"0000"))</f>
        <v/>
      </c>
      <c r="W9772" s="19">
        <f>IF($I9772="","",IF(ISNUMBER($I9772),TEXT($I9772,"0"),$I9772))</f>
        <v/>
      </c>
    </row>
    <row r="9773">
      <c r="B9773" s="25" t="n"/>
      <c r="I9773" s="25" t="n"/>
      <c r="U9773" s="19">
        <f>IF($V9773&lt;&gt;'設定'!$C$4,N(U9772),IF(OR(NOT(COUNTIF('商品マスタ'!$B$6:$B$1005,$W9773)=0),COUNTIFS('①在庫を貼る'!$V$6:$V$10005,$V9773,'①在庫を貼る'!$W$6:$W$10005,$W9773)+COUNTIFS('月1回_1ヶ月前の在庫'!$V$6:$V$10005,$V9773,'月1回_1ヶ月前の在庫'!$W$6:$W$10005,$W9773)&gt;0),N(U9772),N(U9772)+1))</f>
        <v/>
      </c>
      <c r="V9773" s="19">
        <f>IF($B9773="","",TEXT($B9773,"0000"))</f>
        <v/>
      </c>
      <c r="W9773" s="19">
        <f>IF($I9773="","",IF(ISNUMBER($I9773),TEXT($I9773,"0"),$I9773))</f>
        <v/>
      </c>
    </row>
    <row r="9774">
      <c r="B9774" s="25" t="n"/>
      <c r="I9774" s="25" t="n"/>
      <c r="U9774" s="19">
        <f>IF($V9774&lt;&gt;'設定'!$C$4,N(U9773),IF(OR(NOT(COUNTIF('商品マスタ'!$B$6:$B$1005,$W9774)=0),COUNTIFS('①在庫を貼る'!$V$6:$V$10005,$V9774,'①在庫を貼る'!$W$6:$W$10005,$W9774)+COUNTIFS('月1回_1ヶ月前の在庫'!$V$6:$V$10005,$V9774,'月1回_1ヶ月前の在庫'!$W$6:$W$10005,$W9774)&gt;0),N(U9773),N(U9773)+1))</f>
        <v/>
      </c>
      <c r="V9774" s="19">
        <f>IF($B9774="","",TEXT($B9774,"0000"))</f>
        <v/>
      </c>
      <c r="W9774" s="19">
        <f>IF($I9774="","",IF(ISNUMBER($I9774),TEXT($I9774,"0"),$I9774))</f>
        <v/>
      </c>
    </row>
    <row r="9775">
      <c r="B9775" s="25" t="n"/>
      <c r="I9775" s="25" t="n"/>
      <c r="U9775" s="19">
        <f>IF($V9775&lt;&gt;'設定'!$C$4,N(U9774),IF(OR(NOT(COUNTIF('商品マスタ'!$B$6:$B$1005,$W9775)=0),COUNTIFS('①在庫を貼る'!$V$6:$V$10005,$V9775,'①在庫を貼る'!$W$6:$W$10005,$W9775)+COUNTIFS('月1回_1ヶ月前の在庫'!$V$6:$V$10005,$V9775,'月1回_1ヶ月前の在庫'!$W$6:$W$10005,$W9775)&gt;0),N(U9774),N(U9774)+1))</f>
        <v/>
      </c>
      <c r="V9775" s="19">
        <f>IF($B9775="","",TEXT($B9775,"0000"))</f>
        <v/>
      </c>
      <c r="W9775" s="19">
        <f>IF($I9775="","",IF(ISNUMBER($I9775),TEXT($I9775,"0"),$I9775))</f>
        <v/>
      </c>
    </row>
    <row r="9776">
      <c r="B9776" s="25" t="n"/>
      <c r="I9776" s="25" t="n"/>
      <c r="U9776" s="19">
        <f>IF($V9776&lt;&gt;'設定'!$C$4,N(U9775),IF(OR(NOT(COUNTIF('商品マスタ'!$B$6:$B$1005,$W9776)=0),COUNTIFS('①在庫を貼る'!$V$6:$V$10005,$V9776,'①在庫を貼る'!$W$6:$W$10005,$W9776)+COUNTIFS('月1回_1ヶ月前の在庫'!$V$6:$V$10005,$V9776,'月1回_1ヶ月前の在庫'!$W$6:$W$10005,$W9776)&gt;0),N(U9775),N(U9775)+1))</f>
        <v/>
      </c>
      <c r="V9776" s="19">
        <f>IF($B9776="","",TEXT($B9776,"0000"))</f>
        <v/>
      </c>
      <c r="W9776" s="19">
        <f>IF($I9776="","",IF(ISNUMBER($I9776),TEXT($I9776,"0"),$I9776))</f>
        <v/>
      </c>
    </row>
    <row r="9777">
      <c r="B9777" s="25" t="n"/>
      <c r="I9777" s="25" t="n"/>
      <c r="U9777" s="19">
        <f>IF($V9777&lt;&gt;'設定'!$C$4,N(U9776),IF(OR(NOT(COUNTIF('商品マスタ'!$B$6:$B$1005,$W9777)=0),COUNTIFS('①在庫を貼る'!$V$6:$V$10005,$V9777,'①在庫を貼る'!$W$6:$W$10005,$W9777)+COUNTIFS('月1回_1ヶ月前の在庫'!$V$6:$V$10005,$V9777,'月1回_1ヶ月前の在庫'!$W$6:$W$10005,$W9777)&gt;0),N(U9776),N(U9776)+1))</f>
        <v/>
      </c>
      <c r="V9777" s="19">
        <f>IF($B9777="","",TEXT($B9777,"0000"))</f>
        <v/>
      </c>
      <c r="W9777" s="19">
        <f>IF($I9777="","",IF(ISNUMBER($I9777),TEXT($I9777,"0"),$I9777))</f>
        <v/>
      </c>
    </row>
    <row r="9778">
      <c r="B9778" s="25" t="n"/>
      <c r="I9778" s="25" t="n"/>
      <c r="U9778" s="19">
        <f>IF($V9778&lt;&gt;'設定'!$C$4,N(U9777),IF(OR(NOT(COUNTIF('商品マスタ'!$B$6:$B$1005,$W9778)=0),COUNTIFS('①在庫を貼る'!$V$6:$V$10005,$V9778,'①在庫を貼る'!$W$6:$W$10005,$W9778)+COUNTIFS('月1回_1ヶ月前の在庫'!$V$6:$V$10005,$V9778,'月1回_1ヶ月前の在庫'!$W$6:$W$10005,$W9778)&gt;0),N(U9777),N(U9777)+1))</f>
        <v/>
      </c>
      <c r="V9778" s="19">
        <f>IF($B9778="","",TEXT($B9778,"0000"))</f>
        <v/>
      </c>
      <c r="W9778" s="19">
        <f>IF($I9778="","",IF(ISNUMBER($I9778),TEXT($I9778,"0"),$I9778))</f>
        <v/>
      </c>
    </row>
    <row r="9779">
      <c r="B9779" s="25" t="n"/>
      <c r="I9779" s="25" t="n"/>
      <c r="U9779" s="19">
        <f>IF($V9779&lt;&gt;'設定'!$C$4,N(U9778),IF(OR(NOT(COUNTIF('商品マスタ'!$B$6:$B$1005,$W9779)=0),COUNTIFS('①在庫を貼る'!$V$6:$V$10005,$V9779,'①在庫を貼る'!$W$6:$W$10005,$W9779)+COUNTIFS('月1回_1ヶ月前の在庫'!$V$6:$V$10005,$V9779,'月1回_1ヶ月前の在庫'!$W$6:$W$10005,$W9779)&gt;0),N(U9778),N(U9778)+1))</f>
        <v/>
      </c>
      <c r="V9779" s="19">
        <f>IF($B9779="","",TEXT($B9779,"0000"))</f>
        <v/>
      </c>
      <c r="W9779" s="19">
        <f>IF($I9779="","",IF(ISNUMBER($I9779),TEXT($I9779,"0"),$I9779))</f>
        <v/>
      </c>
    </row>
    <row r="9780">
      <c r="B9780" s="25" t="n"/>
      <c r="I9780" s="25" t="n"/>
      <c r="U9780" s="19">
        <f>IF($V9780&lt;&gt;'設定'!$C$4,N(U9779),IF(OR(NOT(COUNTIF('商品マスタ'!$B$6:$B$1005,$W9780)=0),COUNTIFS('①在庫を貼る'!$V$6:$V$10005,$V9780,'①在庫を貼る'!$W$6:$W$10005,$W9780)+COUNTIFS('月1回_1ヶ月前の在庫'!$V$6:$V$10005,$V9780,'月1回_1ヶ月前の在庫'!$W$6:$W$10005,$W9780)&gt;0),N(U9779),N(U9779)+1))</f>
        <v/>
      </c>
      <c r="V9780" s="19">
        <f>IF($B9780="","",TEXT($B9780,"0000"))</f>
        <v/>
      </c>
      <c r="W9780" s="19">
        <f>IF($I9780="","",IF(ISNUMBER($I9780),TEXT($I9780,"0"),$I9780))</f>
        <v/>
      </c>
    </row>
    <row r="9781">
      <c r="B9781" s="25" t="n"/>
      <c r="I9781" s="25" t="n"/>
      <c r="U9781" s="19">
        <f>IF($V9781&lt;&gt;'設定'!$C$4,N(U9780),IF(OR(NOT(COUNTIF('商品マスタ'!$B$6:$B$1005,$W9781)=0),COUNTIFS('①在庫を貼る'!$V$6:$V$10005,$V9781,'①在庫を貼る'!$W$6:$W$10005,$W9781)+COUNTIFS('月1回_1ヶ月前の在庫'!$V$6:$V$10005,$V9781,'月1回_1ヶ月前の在庫'!$W$6:$W$10005,$W9781)&gt;0),N(U9780),N(U9780)+1))</f>
        <v/>
      </c>
      <c r="V9781" s="19">
        <f>IF($B9781="","",TEXT($B9781,"0000"))</f>
        <v/>
      </c>
      <c r="W9781" s="19">
        <f>IF($I9781="","",IF(ISNUMBER($I9781),TEXT($I9781,"0"),$I9781))</f>
        <v/>
      </c>
    </row>
    <row r="9782">
      <c r="B9782" s="25" t="n"/>
      <c r="I9782" s="25" t="n"/>
      <c r="U9782" s="19">
        <f>IF($V9782&lt;&gt;'設定'!$C$4,N(U9781),IF(OR(NOT(COUNTIF('商品マスタ'!$B$6:$B$1005,$W9782)=0),COUNTIFS('①在庫を貼る'!$V$6:$V$10005,$V9782,'①在庫を貼る'!$W$6:$W$10005,$W9782)+COUNTIFS('月1回_1ヶ月前の在庫'!$V$6:$V$10005,$V9782,'月1回_1ヶ月前の在庫'!$W$6:$W$10005,$W9782)&gt;0),N(U9781),N(U9781)+1))</f>
        <v/>
      </c>
      <c r="V9782" s="19">
        <f>IF($B9782="","",TEXT($B9782,"0000"))</f>
        <v/>
      </c>
      <c r="W9782" s="19">
        <f>IF($I9782="","",IF(ISNUMBER($I9782),TEXT($I9782,"0"),$I9782))</f>
        <v/>
      </c>
    </row>
    <row r="9783">
      <c r="B9783" s="25" t="n"/>
      <c r="I9783" s="25" t="n"/>
      <c r="U9783" s="19">
        <f>IF($V9783&lt;&gt;'設定'!$C$4,N(U9782),IF(OR(NOT(COUNTIF('商品マスタ'!$B$6:$B$1005,$W9783)=0),COUNTIFS('①在庫を貼る'!$V$6:$V$10005,$V9783,'①在庫を貼る'!$W$6:$W$10005,$W9783)+COUNTIFS('月1回_1ヶ月前の在庫'!$V$6:$V$10005,$V9783,'月1回_1ヶ月前の在庫'!$W$6:$W$10005,$W9783)&gt;0),N(U9782),N(U9782)+1))</f>
        <v/>
      </c>
      <c r="V9783" s="19">
        <f>IF($B9783="","",TEXT($B9783,"0000"))</f>
        <v/>
      </c>
      <c r="W9783" s="19">
        <f>IF($I9783="","",IF(ISNUMBER($I9783),TEXT($I9783,"0"),$I9783))</f>
        <v/>
      </c>
    </row>
    <row r="9784">
      <c r="B9784" s="25" t="n"/>
      <c r="I9784" s="25" t="n"/>
      <c r="U9784" s="19">
        <f>IF($V9784&lt;&gt;'設定'!$C$4,N(U9783),IF(OR(NOT(COUNTIF('商品マスタ'!$B$6:$B$1005,$W9784)=0),COUNTIFS('①在庫を貼る'!$V$6:$V$10005,$V9784,'①在庫を貼る'!$W$6:$W$10005,$W9784)+COUNTIFS('月1回_1ヶ月前の在庫'!$V$6:$V$10005,$V9784,'月1回_1ヶ月前の在庫'!$W$6:$W$10005,$W9784)&gt;0),N(U9783),N(U9783)+1))</f>
        <v/>
      </c>
      <c r="V9784" s="19">
        <f>IF($B9784="","",TEXT($B9784,"0000"))</f>
        <v/>
      </c>
      <c r="W9784" s="19">
        <f>IF($I9784="","",IF(ISNUMBER($I9784),TEXT($I9784,"0"),$I9784))</f>
        <v/>
      </c>
    </row>
    <row r="9785">
      <c r="B9785" s="25" t="n"/>
      <c r="I9785" s="25" t="n"/>
      <c r="U9785" s="19">
        <f>IF($V9785&lt;&gt;'設定'!$C$4,N(U9784),IF(OR(NOT(COUNTIF('商品マスタ'!$B$6:$B$1005,$W9785)=0),COUNTIFS('①在庫を貼る'!$V$6:$V$10005,$V9785,'①在庫を貼る'!$W$6:$W$10005,$W9785)+COUNTIFS('月1回_1ヶ月前の在庫'!$V$6:$V$10005,$V9785,'月1回_1ヶ月前の在庫'!$W$6:$W$10005,$W9785)&gt;0),N(U9784),N(U9784)+1))</f>
        <v/>
      </c>
      <c r="V9785" s="19">
        <f>IF($B9785="","",TEXT($B9785,"0000"))</f>
        <v/>
      </c>
      <c r="W9785" s="19">
        <f>IF($I9785="","",IF(ISNUMBER($I9785),TEXT($I9785,"0"),$I9785))</f>
        <v/>
      </c>
    </row>
    <row r="9786">
      <c r="B9786" s="25" t="n"/>
      <c r="I9786" s="25" t="n"/>
      <c r="U9786" s="19">
        <f>IF($V9786&lt;&gt;'設定'!$C$4,N(U9785),IF(OR(NOT(COUNTIF('商品マスタ'!$B$6:$B$1005,$W9786)=0),COUNTIFS('①在庫を貼る'!$V$6:$V$10005,$V9786,'①在庫を貼る'!$W$6:$W$10005,$W9786)+COUNTIFS('月1回_1ヶ月前の在庫'!$V$6:$V$10005,$V9786,'月1回_1ヶ月前の在庫'!$W$6:$W$10005,$W9786)&gt;0),N(U9785),N(U9785)+1))</f>
        <v/>
      </c>
      <c r="V9786" s="19">
        <f>IF($B9786="","",TEXT($B9786,"0000"))</f>
        <v/>
      </c>
      <c r="W9786" s="19">
        <f>IF($I9786="","",IF(ISNUMBER($I9786),TEXT($I9786,"0"),$I9786))</f>
        <v/>
      </c>
    </row>
    <row r="9787">
      <c r="B9787" s="25" t="n"/>
      <c r="I9787" s="25" t="n"/>
      <c r="U9787" s="19">
        <f>IF($V9787&lt;&gt;'設定'!$C$4,N(U9786),IF(OR(NOT(COUNTIF('商品マスタ'!$B$6:$B$1005,$W9787)=0),COUNTIFS('①在庫を貼る'!$V$6:$V$10005,$V9787,'①在庫を貼る'!$W$6:$W$10005,$W9787)+COUNTIFS('月1回_1ヶ月前の在庫'!$V$6:$V$10005,$V9787,'月1回_1ヶ月前の在庫'!$W$6:$W$10005,$W9787)&gt;0),N(U9786),N(U9786)+1))</f>
        <v/>
      </c>
      <c r="V9787" s="19">
        <f>IF($B9787="","",TEXT($B9787,"0000"))</f>
        <v/>
      </c>
      <c r="W9787" s="19">
        <f>IF($I9787="","",IF(ISNUMBER($I9787),TEXT($I9787,"0"),$I9787))</f>
        <v/>
      </c>
    </row>
    <row r="9788">
      <c r="B9788" s="25" t="n"/>
      <c r="I9788" s="25" t="n"/>
      <c r="U9788" s="19">
        <f>IF($V9788&lt;&gt;'設定'!$C$4,N(U9787),IF(OR(NOT(COUNTIF('商品マスタ'!$B$6:$B$1005,$W9788)=0),COUNTIFS('①在庫を貼る'!$V$6:$V$10005,$V9788,'①在庫を貼る'!$W$6:$W$10005,$W9788)+COUNTIFS('月1回_1ヶ月前の在庫'!$V$6:$V$10005,$V9788,'月1回_1ヶ月前の在庫'!$W$6:$W$10005,$W9788)&gt;0),N(U9787),N(U9787)+1))</f>
        <v/>
      </c>
      <c r="V9788" s="19">
        <f>IF($B9788="","",TEXT($B9788,"0000"))</f>
        <v/>
      </c>
      <c r="W9788" s="19">
        <f>IF($I9788="","",IF(ISNUMBER($I9788),TEXT($I9788,"0"),$I9788))</f>
        <v/>
      </c>
    </row>
    <row r="9789">
      <c r="B9789" s="25" t="n"/>
      <c r="I9789" s="25" t="n"/>
      <c r="U9789" s="19">
        <f>IF($V9789&lt;&gt;'設定'!$C$4,N(U9788),IF(OR(NOT(COUNTIF('商品マスタ'!$B$6:$B$1005,$W9789)=0),COUNTIFS('①在庫を貼る'!$V$6:$V$10005,$V9789,'①在庫を貼る'!$W$6:$W$10005,$W9789)+COUNTIFS('月1回_1ヶ月前の在庫'!$V$6:$V$10005,$V9789,'月1回_1ヶ月前の在庫'!$W$6:$W$10005,$W9789)&gt;0),N(U9788),N(U9788)+1))</f>
        <v/>
      </c>
      <c r="V9789" s="19">
        <f>IF($B9789="","",TEXT($B9789,"0000"))</f>
        <v/>
      </c>
      <c r="W9789" s="19">
        <f>IF($I9789="","",IF(ISNUMBER($I9789),TEXT($I9789,"0"),$I9789))</f>
        <v/>
      </c>
    </row>
    <row r="9790">
      <c r="B9790" s="25" t="n"/>
      <c r="I9790" s="25" t="n"/>
      <c r="U9790" s="19">
        <f>IF($V9790&lt;&gt;'設定'!$C$4,N(U9789),IF(OR(NOT(COUNTIF('商品マスタ'!$B$6:$B$1005,$W9790)=0),COUNTIFS('①在庫を貼る'!$V$6:$V$10005,$V9790,'①在庫を貼る'!$W$6:$W$10005,$W9790)+COUNTIFS('月1回_1ヶ月前の在庫'!$V$6:$V$10005,$V9790,'月1回_1ヶ月前の在庫'!$W$6:$W$10005,$W9790)&gt;0),N(U9789),N(U9789)+1))</f>
        <v/>
      </c>
      <c r="V9790" s="19">
        <f>IF($B9790="","",TEXT($B9790,"0000"))</f>
        <v/>
      </c>
      <c r="W9790" s="19">
        <f>IF($I9790="","",IF(ISNUMBER($I9790),TEXT($I9790,"0"),$I9790))</f>
        <v/>
      </c>
    </row>
    <row r="9791">
      <c r="B9791" s="25" t="n"/>
      <c r="I9791" s="25" t="n"/>
      <c r="U9791" s="19">
        <f>IF($V9791&lt;&gt;'設定'!$C$4,N(U9790),IF(OR(NOT(COUNTIF('商品マスタ'!$B$6:$B$1005,$W9791)=0),COUNTIFS('①在庫を貼る'!$V$6:$V$10005,$V9791,'①在庫を貼る'!$W$6:$W$10005,$W9791)+COUNTIFS('月1回_1ヶ月前の在庫'!$V$6:$V$10005,$V9791,'月1回_1ヶ月前の在庫'!$W$6:$W$10005,$W9791)&gt;0),N(U9790),N(U9790)+1))</f>
        <v/>
      </c>
      <c r="V9791" s="19">
        <f>IF($B9791="","",TEXT($B9791,"0000"))</f>
        <v/>
      </c>
      <c r="W9791" s="19">
        <f>IF($I9791="","",IF(ISNUMBER($I9791),TEXT($I9791,"0"),$I9791))</f>
        <v/>
      </c>
    </row>
    <row r="9792">
      <c r="B9792" s="25" t="n"/>
      <c r="I9792" s="25" t="n"/>
      <c r="U9792" s="19">
        <f>IF($V9792&lt;&gt;'設定'!$C$4,N(U9791),IF(OR(NOT(COUNTIF('商品マスタ'!$B$6:$B$1005,$W9792)=0),COUNTIFS('①在庫を貼る'!$V$6:$V$10005,$V9792,'①在庫を貼る'!$W$6:$W$10005,$W9792)+COUNTIFS('月1回_1ヶ月前の在庫'!$V$6:$V$10005,$V9792,'月1回_1ヶ月前の在庫'!$W$6:$W$10005,$W9792)&gt;0),N(U9791),N(U9791)+1))</f>
        <v/>
      </c>
      <c r="V9792" s="19">
        <f>IF($B9792="","",TEXT($B9792,"0000"))</f>
        <v/>
      </c>
      <c r="W9792" s="19">
        <f>IF($I9792="","",IF(ISNUMBER($I9792),TEXT($I9792,"0"),$I9792))</f>
        <v/>
      </c>
    </row>
    <row r="9793">
      <c r="B9793" s="25" t="n"/>
      <c r="I9793" s="25" t="n"/>
      <c r="U9793" s="19">
        <f>IF($V9793&lt;&gt;'設定'!$C$4,N(U9792),IF(OR(NOT(COUNTIF('商品マスタ'!$B$6:$B$1005,$W9793)=0),COUNTIFS('①在庫を貼る'!$V$6:$V$10005,$V9793,'①在庫を貼る'!$W$6:$W$10005,$W9793)+COUNTIFS('月1回_1ヶ月前の在庫'!$V$6:$V$10005,$V9793,'月1回_1ヶ月前の在庫'!$W$6:$W$10005,$W9793)&gt;0),N(U9792),N(U9792)+1))</f>
        <v/>
      </c>
      <c r="V9793" s="19">
        <f>IF($B9793="","",TEXT($B9793,"0000"))</f>
        <v/>
      </c>
      <c r="W9793" s="19">
        <f>IF($I9793="","",IF(ISNUMBER($I9793),TEXT($I9793,"0"),$I9793))</f>
        <v/>
      </c>
    </row>
    <row r="9794">
      <c r="B9794" s="25" t="n"/>
      <c r="I9794" s="25" t="n"/>
      <c r="U9794" s="19">
        <f>IF($V9794&lt;&gt;'設定'!$C$4,N(U9793),IF(OR(NOT(COUNTIF('商品マスタ'!$B$6:$B$1005,$W9794)=0),COUNTIFS('①在庫を貼る'!$V$6:$V$10005,$V9794,'①在庫を貼る'!$W$6:$W$10005,$W9794)+COUNTIFS('月1回_1ヶ月前の在庫'!$V$6:$V$10005,$V9794,'月1回_1ヶ月前の在庫'!$W$6:$W$10005,$W9794)&gt;0),N(U9793),N(U9793)+1))</f>
        <v/>
      </c>
      <c r="V9794" s="19">
        <f>IF($B9794="","",TEXT($B9794,"0000"))</f>
        <v/>
      </c>
      <c r="W9794" s="19">
        <f>IF($I9794="","",IF(ISNUMBER($I9794),TEXT($I9794,"0"),$I9794))</f>
        <v/>
      </c>
    </row>
    <row r="9795">
      <c r="B9795" s="25" t="n"/>
      <c r="I9795" s="25" t="n"/>
      <c r="U9795" s="19">
        <f>IF($V9795&lt;&gt;'設定'!$C$4,N(U9794),IF(OR(NOT(COUNTIF('商品マスタ'!$B$6:$B$1005,$W9795)=0),COUNTIFS('①在庫を貼る'!$V$6:$V$10005,$V9795,'①在庫を貼る'!$W$6:$W$10005,$W9795)+COUNTIFS('月1回_1ヶ月前の在庫'!$V$6:$V$10005,$V9795,'月1回_1ヶ月前の在庫'!$W$6:$W$10005,$W9795)&gt;0),N(U9794),N(U9794)+1))</f>
        <v/>
      </c>
      <c r="V9795" s="19">
        <f>IF($B9795="","",TEXT($B9795,"0000"))</f>
        <v/>
      </c>
      <c r="W9795" s="19">
        <f>IF($I9795="","",IF(ISNUMBER($I9795),TEXT($I9795,"0"),$I9795))</f>
        <v/>
      </c>
    </row>
    <row r="9796">
      <c r="B9796" s="25" t="n"/>
      <c r="I9796" s="25" t="n"/>
      <c r="U9796" s="19">
        <f>IF($V9796&lt;&gt;'設定'!$C$4,N(U9795),IF(OR(NOT(COUNTIF('商品マスタ'!$B$6:$B$1005,$W9796)=0),COUNTIFS('①在庫を貼る'!$V$6:$V$10005,$V9796,'①在庫を貼る'!$W$6:$W$10005,$W9796)+COUNTIFS('月1回_1ヶ月前の在庫'!$V$6:$V$10005,$V9796,'月1回_1ヶ月前の在庫'!$W$6:$W$10005,$W9796)&gt;0),N(U9795),N(U9795)+1))</f>
        <v/>
      </c>
      <c r="V9796" s="19">
        <f>IF($B9796="","",TEXT($B9796,"0000"))</f>
        <v/>
      </c>
      <c r="W9796" s="19">
        <f>IF($I9796="","",IF(ISNUMBER($I9796),TEXT($I9796,"0"),$I9796))</f>
        <v/>
      </c>
    </row>
    <row r="9797">
      <c r="B9797" s="25" t="n"/>
      <c r="I9797" s="25" t="n"/>
      <c r="U9797" s="19">
        <f>IF($V9797&lt;&gt;'設定'!$C$4,N(U9796),IF(OR(NOT(COUNTIF('商品マスタ'!$B$6:$B$1005,$W9797)=0),COUNTIFS('①在庫を貼る'!$V$6:$V$10005,$V9797,'①在庫を貼る'!$W$6:$W$10005,$W9797)+COUNTIFS('月1回_1ヶ月前の在庫'!$V$6:$V$10005,$V9797,'月1回_1ヶ月前の在庫'!$W$6:$W$10005,$W9797)&gt;0),N(U9796),N(U9796)+1))</f>
        <v/>
      </c>
      <c r="V9797" s="19">
        <f>IF($B9797="","",TEXT($B9797,"0000"))</f>
        <v/>
      </c>
      <c r="W9797" s="19">
        <f>IF($I9797="","",IF(ISNUMBER($I9797),TEXT($I9797,"0"),$I9797))</f>
        <v/>
      </c>
    </row>
    <row r="9798">
      <c r="B9798" s="25" t="n"/>
      <c r="I9798" s="25" t="n"/>
      <c r="U9798" s="19">
        <f>IF($V9798&lt;&gt;'設定'!$C$4,N(U9797),IF(OR(NOT(COUNTIF('商品マスタ'!$B$6:$B$1005,$W9798)=0),COUNTIFS('①在庫を貼る'!$V$6:$V$10005,$V9798,'①在庫を貼る'!$W$6:$W$10005,$W9798)+COUNTIFS('月1回_1ヶ月前の在庫'!$V$6:$V$10005,$V9798,'月1回_1ヶ月前の在庫'!$W$6:$W$10005,$W9798)&gt;0),N(U9797),N(U9797)+1))</f>
        <v/>
      </c>
      <c r="V9798" s="19">
        <f>IF($B9798="","",TEXT($B9798,"0000"))</f>
        <v/>
      </c>
      <c r="W9798" s="19">
        <f>IF($I9798="","",IF(ISNUMBER($I9798),TEXT($I9798,"0"),$I9798))</f>
        <v/>
      </c>
    </row>
    <row r="9799">
      <c r="B9799" s="25" t="n"/>
      <c r="I9799" s="25" t="n"/>
      <c r="U9799" s="19">
        <f>IF($V9799&lt;&gt;'設定'!$C$4,N(U9798),IF(OR(NOT(COUNTIF('商品マスタ'!$B$6:$B$1005,$W9799)=0),COUNTIFS('①在庫を貼る'!$V$6:$V$10005,$V9799,'①在庫を貼る'!$W$6:$W$10005,$W9799)+COUNTIFS('月1回_1ヶ月前の在庫'!$V$6:$V$10005,$V9799,'月1回_1ヶ月前の在庫'!$W$6:$W$10005,$W9799)&gt;0),N(U9798),N(U9798)+1))</f>
        <v/>
      </c>
      <c r="V9799" s="19">
        <f>IF($B9799="","",TEXT($B9799,"0000"))</f>
        <v/>
      </c>
      <c r="W9799" s="19">
        <f>IF($I9799="","",IF(ISNUMBER($I9799),TEXT($I9799,"0"),$I9799))</f>
        <v/>
      </c>
    </row>
    <row r="9800">
      <c r="B9800" s="25" t="n"/>
      <c r="I9800" s="25" t="n"/>
      <c r="U9800" s="19">
        <f>IF($V9800&lt;&gt;'設定'!$C$4,N(U9799),IF(OR(NOT(COUNTIF('商品マスタ'!$B$6:$B$1005,$W9800)=0),COUNTIFS('①在庫を貼る'!$V$6:$V$10005,$V9800,'①在庫を貼る'!$W$6:$W$10005,$W9800)+COUNTIFS('月1回_1ヶ月前の在庫'!$V$6:$V$10005,$V9800,'月1回_1ヶ月前の在庫'!$W$6:$W$10005,$W9800)&gt;0),N(U9799),N(U9799)+1))</f>
        <v/>
      </c>
      <c r="V9800" s="19">
        <f>IF($B9800="","",TEXT($B9800,"0000"))</f>
        <v/>
      </c>
      <c r="W9800" s="19">
        <f>IF($I9800="","",IF(ISNUMBER($I9800),TEXT($I9800,"0"),$I9800))</f>
        <v/>
      </c>
    </row>
    <row r="9801">
      <c r="B9801" s="25" t="n"/>
      <c r="I9801" s="25" t="n"/>
      <c r="U9801" s="19">
        <f>IF($V9801&lt;&gt;'設定'!$C$4,N(U9800),IF(OR(NOT(COUNTIF('商品マスタ'!$B$6:$B$1005,$W9801)=0),COUNTIFS('①在庫を貼る'!$V$6:$V$10005,$V9801,'①在庫を貼る'!$W$6:$W$10005,$W9801)+COUNTIFS('月1回_1ヶ月前の在庫'!$V$6:$V$10005,$V9801,'月1回_1ヶ月前の在庫'!$W$6:$W$10005,$W9801)&gt;0),N(U9800),N(U9800)+1))</f>
        <v/>
      </c>
      <c r="V9801" s="19">
        <f>IF($B9801="","",TEXT($B9801,"0000"))</f>
        <v/>
      </c>
      <c r="W9801" s="19">
        <f>IF($I9801="","",IF(ISNUMBER($I9801),TEXT($I9801,"0"),$I9801))</f>
        <v/>
      </c>
    </row>
    <row r="9802">
      <c r="B9802" s="25" t="n"/>
      <c r="I9802" s="25" t="n"/>
      <c r="U9802" s="19">
        <f>IF($V9802&lt;&gt;'設定'!$C$4,N(U9801),IF(OR(NOT(COUNTIF('商品マスタ'!$B$6:$B$1005,$W9802)=0),COUNTIFS('①在庫を貼る'!$V$6:$V$10005,$V9802,'①在庫を貼る'!$W$6:$W$10005,$W9802)+COUNTIFS('月1回_1ヶ月前の在庫'!$V$6:$V$10005,$V9802,'月1回_1ヶ月前の在庫'!$W$6:$W$10005,$W9802)&gt;0),N(U9801),N(U9801)+1))</f>
        <v/>
      </c>
      <c r="V9802" s="19">
        <f>IF($B9802="","",TEXT($B9802,"0000"))</f>
        <v/>
      </c>
      <c r="W9802" s="19">
        <f>IF($I9802="","",IF(ISNUMBER($I9802),TEXT($I9802,"0"),$I9802))</f>
        <v/>
      </c>
    </row>
    <row r="9803">
      <c r="B9803" s="25" t="n"/>
      <c r="I9803" s="25" t="n"/>
      <c r="U9803" s="19">
        <f>IF($V9803&lt;&gt;'設定'!$C$4,N(U9802),IF(OR(NOT(COUNTIF('商品マスタ'!$B$6:$B$1005,$W9803)=0),COUNTIFS('①在庫を貼る'!$V$6:$V$10005,$V9803,'①在庫を貼る'!$W$6:$W$10005,$W9803)+COUNTIFS('月1回_1ヶ月前の在庫'!$V$6:$V$10005,$V9803,'月1回_1ヶ月前の在庫'!$W$6:$W$10005,$W9803)&gt;0),N(U9802),N(U9802)+1))</f>
        <v/>
      </c>
      <c r="V9803" s="19">
        <f>IF($B9803="","",TEXT($B9803,"0000"))</f>
        <v/>
      </c>
      <c r="W9803" s="19">
        <f>IF($I9803="","",IF(ISNUMBER($I9803),TEXT($I9803,"0"),$I9803))</f>
        <v/>
      </c>
    </row>
    <row r="9804">
      <c r="B9804" s="25" t="n"/>
      <c r="I9804" s="25" t="n"/>
      <c r="U9804" s="19">
        <f>IF($V9804&lt;&gt;'設定'!$C$4,N(U9803),IF(OR(NOT(COUNTIF('商品マスタ'!$B$6:$B$1005,$W9804)=0),COUNTIFS('①在庫を貼る'!$V$6:$V$10005,$V9804,'①在庫を貼る'!$W$6:$W$10005,$W9804)+COUNTIFS('月1回_1ヶ月前の在庫'!$V$6:$V$10005,$V9804,'月1回_1ヶ月前の在庫'!$W$6:$W$10005,$W9804)&gt;0),N(U9803),N(U9803)+1))</f>
        <v/>
      </c>
      <c r="V9804" s="19">
        <f>IF($B9804="","",TEXT($B9804,"0000"))</f>
        <v/>
      </c>
      <c r="W9804" s="19">
        <f>IF($I9804="","",IF(ISNUMBER($I9804),TEXT($I9804,"0"),$I9804))</f>
        <v/>
      </c>
    </row>
    <row r="9805">
      <c r="B9805" s="25" t="n"/>
      <c r="I9805" s="25" t="n"/>
      <c r="U9805" s="19">
        <f>IF($V9805&lt;&gt;'設定'!$C$4,N(U9804),IF(OR(NOT(COUNTIF('商品マスタ'!$B$6:$B$1005,$W9805)=0),COUNTIFS('①在庫を貼る'!$V$6:$V$10005,$V9805,'①在庫を貼る'!$W$6:$W$10005,$W9805)+COUNTIFS('月1回_1ヶ月前の在庫'!$V$6:$V$10005,$V9805,'月1回_1ヶ月前の在庫'!$W$6:$W$10005,$W9805)&gt;0),N(U9804),N(U9804)+1))</f>
        <v/>
      </c>
      <c r="V9805" s="19">
        <f>IF($B9805="","",TEXT($B9805,"0000"))</f>
        <v/>
      </c>
      <c r="W9805" s="19">
        <f>IF($I9805="","",IF(ISNUMBER($I9805),TEXT($I9805,"0"),$I9805))</f>
        <v/>
      </c>
    </row>
    <row r="9806">
      <c r="B9806" s="25" t="n"/>
      <c r="I9806" s="25" t="n"/>
      <c r="U9806" s="19">
        <f>IF($V9806&lt;&gt;'設定'!$C$4,N(U9805),IF(OR(NOT(COUNTIF('商品マスタ'!$B$6:$B$1005,$W9806)=0),COUNTIFS('①在庫を貼る'!$V$6:$V$10005,$V9806,'①在庫を貼る'!$W$6:$W$10005,$W9806)+COUNTIFS('月1回_1ヶ月前の在庫'!$V$6:$V$10005,$V9806,'月1回_1ヶ月前の在庫'!$W$6:$W$10005,$W9806)&gt;0),N(U9805),N(U9805)+1))</f>
        <v/>
      </c>
      <c r="V9806" s="19">
        <f>IF($B9806="","",TEXT($B9806,"0000"))</f>
        <v/>
      </c>
      <c r="W9806" s="19">
        <f>IF($I9806="","",IF(ISNUMBER($I9806),TEXT($I9806,"0"),$I9806))</f>
        <v/>
      </c>
    </row>
    <row r="9807">
      <c r="B9807" s="25" t="n"/>
      <c r="I9807" s="25" t="n"/>
      <c r="U9807" s="19">
        <f>IF($V9807&lt;&gt;'設定'!$C$4,N(U9806),IF(OR(NOT(COUNTIF('商品マスタ'!$B$6:$B$1005,$W9807)=0),COUNTIFS('①在庫を貼る'!$V$6:$V$10005,$V9807,'①在庫を貼る'!$W$6:$W$10005,$W9807)+COUNTIFS('月1回_1ヶ月前の在庫'!$V$6:$V$10005,$V9807,'月1回_1ヶ月前の在庫'!$W$6:$W$10005,$W9807)&gt;0),N(U9806),N(U9806)+1))</f>
        <v/>
      </c>
      <c r="V9807" s="19">
        <f>IF($B9807="","",TEXT($B9807,"0000"))</f>
        <v/>
      </c>
      <c r="W9807" s="19">
        <f>IF($I9807="","",IF(ISNUMBER($I9807),TEXT($I9807,"0"),$I9807))</f>
        <v/>
      </c>
    </row>
    <row r="9808">
      <c r="B9808" s="25" t="n"/>
      <c r="I9808" s="25" t="n"/>
      <c r="U9808" s="19">
        <f>IF($V9808&lt;&gt;'設定'!$C$4,N(U9807),IF(OR(NOT(COUNTIF('商品マスタ'!$B$6:$B$1005,$W9808)=0),COUNTIFS('①在庫を貼る'!$V$6:$V$10005,$V9808,'①在庫を貼る'!$W$6:$W$10005,$W9808)+COUNTIFS('月1回_1ヶ月前の在庫'!$V$6:$V$10005,$V9808,'月1回_1ヶ月前の在庫'!$W$6:$W$10005,$W9808)&gt;0),N(U9807),N(U9807)+1))</f>
        <v/>
      </c>
      <c r="V9808" s="19">
        <f>IF($B9808="","",TEXT($B9808,"0000"))</f>
        <v/>
      </c>
      <c r="W9808" s="19">
        <f>IF($I9808="","",IF(ISNUMBER($I9808),TEXT($I9808,"0"),$I9808))</f>
        <v/>
      </c>
    </row>
    <row r="9809">
      <c r="B9809" s="25" t="n"/>
      <c r="I9809" s="25" t="n"/>
      <c r="U9809" s="19">
        <f>IF($V9809&lt;&gt;'設定'!$C$4,N(U9808),IF(OR(NOT(COUNTIF('商品マスタ'!$B$6:$B$1005,$W9809)=0),COUNTIFS('①在庫を貼る'!$V$6:$V$10005,$V9809,'①在庫を貼る'!$W$6:$W$10005,$W9809)+COUNTIFS('月1回_1ヶ月前の在庫'!$V$6:$V$10005,$V9809,'月1回_1ヶ月前の在庫'!$W$6:$W$10005,$W9809)&gt;0),N(U9808),N(U9808)+1))</f>
        <v/>
      </c>
      <c r="V9809" s="19">
        <f>IF($B9809="","",TEXT($B9809,"0000"))</f>
        <v/>
      </c>
      <c r="W9809" s="19">
        <f>IF($I9809="","",IF(ISNUMBER($I9809),TEXT($I9809,"0"),$I9809))</f>
        <v/>
      </c>
    </row>
    <row r="9810">
      <c r="B9810" s="25" t="n"/>
      <c r="I9810" s="25" t="n"/>
      <c r="U9810" s="19">
        <f>IF($V9810&lt;&gt;'設定'!$C$4,N(U9809),IF(OR(NOT(COUNTIF('商品マスタ'!$B$6:$B$1005,$W9810)=0),COUNTIFS('①在庫を貼る'!$V$6:$V$10005,$V9810,'①在庫を貼る'!$W$6:$W$10005,$W9810)+COUNTIFS('月1回_1ヶ月前の在庫'!$V$6:$V$10005,$V9810,'月1回_1ヶ月前の在庫'!$W$6:$W$10005,$W9810)&gt;0),N(U9809),N(U9809)+1))</f>
        <v/>
      </c>
      <c r="V9810" s="19">
        <f>IF($B9810="","",TEXT($B9810,"0000"))</f>
        <v/>
      </c>
      <c r="W9810" s="19">
        <f>IF($I9810="","",IF(ISNUMBER($I9810),TEXT($I9810,"0"),$I9810))</f>
        <v/>
      </c>
    </row>
    <row r="9811">
      <c r="B9811" s="25" t="n"/>
      <c r="I9811" s="25" t="n"/>
      <c r="U9811" s="19">
        <f>IF($V9811&lt;&gt;'設定'!$C$4,N(U9810),IF(OR(NOT(COUNTIF('商品マスタ'!$B$6:$B$1005,$W9811)=0),COUNTIFS('①在庫を貼る'!$V$6:$V$10005,$V9811,'①在庫を貼る'!$W$6:$W$10005,$W9811)+COUNTIFS('月1回_1ヶ月前の在庫'!$V$6:$V$10005,$V9811,'月1回_1ヶ月前の在庫'!$W$6:$W$10005,$W9811)&gt;0),N(U9810),N(U9810)+1))</f>
        <v/>
      </c>
      <c r="V9811" s="19">
        <f>IF($B9811="","",TEXT($B9811,"0000"))</f>
        <v/>
      </c>
      <c r="W9811" s="19">
        <f>IF($I9811="","",IF(ISNUMBER($I9811),TEXT($I9811,"0"),$I9811))</f>
        <v/>
      </c>
    </row>
    <row r="9812">
      <c r="B9812" s="25" t="n"/>
      <c r="I9812" s="25" t="n"/>
      <c r="U9812" s="19">
        <f>IF($V9812&lt;&gt;'設定'!$C$4,N(U9811),IF(OR(NOT(COUNTIF('商品マスタ'!$B$6:$B$1005,$W9812)=0),COUNTIFS('①在庫を貼る'!$V$6:$V$10005,$V9812,'①在庫を貼る'!$W$6:$W$10005,$W9812)+COUNTIFS('月1回_1ヶ月前の在庫'!$V$6:$V$10005,$V9812,'月1回_1ヶ月前の在庫'!$W$6:$W$10005,$W9812)&gt;0),N(U9811),N(U9811)+1))</f>
        <v/>
      </c>
      <c r="V9812" s="19">
        <f>IF($B9812="","",TEXT($B9812,"0000"))</f>
        <v/>
      </c>
      <c r="W9812" s="19">
        <f>IF($I9812="","",IF(ISNUMBER($I9812),TEXT($I9812,"0"),$I9812))</f>
        <v/>
      </c>
    </row>
    <row r="9813">
      <c r="B9813" s="25" t="n"/>
      <c r="I9813" s="25" t="n"/>
      <c r="U9813" s="19">
        <f>IF($V9813&lt;&gt;'設定'!$C$4,N(U9812),IF(OR(NOT(COUNTIF('商品マスタ'!$B$6:$B$1005,$W9813)=0),COUNTIFS('①在庫を貼る'!$V$6:$V$10005,$V9813,'①在庫を貼る'!$W$6:$W$10005,$W9813)+COUNTIFS('月1回_1ヶ月前の在庫'!$V$6:$V$10005,$V9813,'月1回_1ヶ月前の在庫'!$W$6:$W$10005,$W9813)&gt;0),N(U9812),N(U9812)+1))</f>
        <v/>
      </c>
      <c r="V9813" s="19">
        <f>IF($B9813="","",TEXT($B9813,"0000"))</f>
        <v/>
      </c>
      <c r="W9813" s="19">
        <f>IF($I9813="","",IF(ISNUMBER($I9813),TEXT($I9813,"0"),$I9813))</f>
        <v/>
      </c>
    </row>
    <row r="9814">
      <c r="B9814" s="25" t="n"/>
      <c r="I9814" s="25" t="n"/>
      <c r="U9814" s="19">
        <f>IF($V9814&lt;&gt;'設定'!$C$4,N(U9813),IF(OR(NOT(COUNTIF('商品マスタ'!$B$6:$B$1005,$W9814)=0),COUNTIFS('①在庫を貼る'!$V$6:$V$10005,$V9814,'①在庫を貼る'!$W$6:$W$10005,$W9814)+COUNTIFS('月1回_1ヶ月前の在庫'!$V$6:$V$10005,$V9814,'月1回_1ヶ月前の在庫'!$W$6:$W$10005,$W9814)&gt;0),N(U9813),N(U9813)+1))</f>
        <v/>
      </c>
      <c r="V9814" s="19">
        <f>IF($B9814="","",TEXT($B9814,"0000"))</f>
        <v/>
      </c>
      <c r="W9814" s="19">
        <f>IF($I9814="","",IF(ISNUMBER($I9814),TEXT($I9814,"0"),$I9814))</f>
        <v/>
      </c>
    </row>
    <row r="9815">
      <c r="B9815" s="25" t="n"/>
      <c r="I9815" s="25" t="n"/>
      <c r="U9815" s="19">
        <f>IF($V9815&lt;&gt;'設定'!$C$4,N(U9814),IF(OR(NOT(COUNTIF('商品マスタ'!$B$6:$B$1005,$W9815)=0),COUNTIFS('①在庫を貼る'!$V$6:$V$10005,$V9815,'①在庫を貼る'!$W$6:$W$10005,$W9815)+COUNTIFS('月1回_1ヶ月前の在庫'!$V$6:$V$10005,$V9815,'月1回_1ヶ月前の在庫'!$W$6:$W$10005,$W9815)&gt;0),N(U9814),N(U9814)+1))</f>
        <v/>
      </c>
      <c r="V9815" s="19">
        <f>IF($B9815="","",TEXT($B9815,"0000"))</f>
        <v/>
      </c>
      <c r="W9815" s="19">
        <f>IF($I9815="","",IF(ISNUMBER($I9815),TEXT($I9815,"0"),$I9815))</f>
        <v/>
      </c>
    </row>
    <row r="9816">
      <c r="B9816" s="25" t="n"/>
      <c r="I9816" s="25" t="n"/>
      <c r="U9816" s="19">
        <f>IF($V9816&lt;&gt;'設定'!$C$4,N(U9815),IF(OR(NOT(COUNTIF('商品マスタ'!$B$6:$B$1005,$W9816)=0),COUNTIFS('①在庫を貼る'!$V$6:$V$10005,$V9816,'①在庫を貼る'!$W$6:$W$10005,$W9816)+COUNTIFS('月1回_1ヶ月前の在庫'!$V$6:$V$10005,$V9816,'月1回_1ヶ月前の在庫'!$W$6:$W$10005,$W9816)&gt;0),N(U9815),N(U9815)+1))</f>
        <v/>
      </c>
      <c r="V9816" s="19">
        <f>IF($B9816="","",TEXT($B9816,"0000"))</f>
        <v/>
      </c>
      <c r="W9816" s="19">
        <f>IF($I9816="","",IF(ISNUMBER($I9816),TEXT($I9816,"0"),$I9816))</f>
        <v/>
      </c>
    </row>
    <row r="9817">
      <c r="B9817" s="25" t="n"/>
      <c r="I9817" s="25" t="n"/>
      <c r="U9817" s="19">
        <f>IF($V9817&lt;&gt;'設定'!$C$4,N(U9816),IF(OR(NOT(COUNTIF('商品マスタ'!$B$6:$B$1005,$W9817)=0),COUNTIFS('①在庫を貼る'!$V$6:$V$10005,$V9817,'①在庫を貼る'!$W$6:$W$10005,$W9817)+COUNTIFS('月1回_1ヶ月前の在庫'!$V$6:$V$10005,$V9817,'月1回_1ヶ月前の在庫'!$W$6:$W$10005,$W9817)&gt;0),N(U9816),N(U9816)+1))</f>
        <v/>
      </c>
      <c r="V9817" s="19">
        <f>IF($B9817="","",TEXT($B9817,"0000"))</f>
        <v/>
      </c>
      <c r="W9817" s="19">
        <f>IF($I9817="","",IF(ISNUMBER($I9817),TEXT($I9817,"0"),$I9817))</f>
        <v/>
      </c>
    </row>
    <row r="9818">
      <c r="B9818" s="25" t="n"/>
      <c r="I9818" s="25" t="n"/>
      <c r="U9818" s="19">
        <f>IF($V9818&lt;&gt;'設定'!$C$4,N(U9817),IF(OR(NOT(COUNTIF('商品マスタ'!$B$6:$B$1005,$W9818)=0),COUNTIFS('①在庫を貼る'!$V$6:$V$10005,$V9818,'①在庫を貼る'!$W$6:$W$10005,$W9818)+COUNTIFS('月1回_1ヶ月前の在庫'!$V$6:$V$10005,$V9818,'月1回_1ヶ月前の在庫'!$W$6:$W$10005,$W9818)&gt;0),N(U9817),N(U9817)+1))</f>
        <v/>
      </c>
      <c r="V9818" s="19">
        <f>IF($B9818="","",TEXT($B9818,"0000"))</f>
        <v/>
      </c>
      <c r="W9818" s="19">
        <f>IF($I9818="","",IF(ISNUMBER($I9818),TEXT($I9818,"0"),$I9818))</f>
        <v/>
      </c>
    </row>
    <row r="9819">
      <c r="B9819" s="25" t="n"/>
      <c r="I9819" s="25" t="n"/>
      <c r="U9819" s="19">
        <f>IF($V9819&lt;&gt;'設定'!$C$4,N(U9818),IF(OR(NOT(COUNTIF('商品マスタ'!$B$6:$B$1005,$W9819)=0),COUNTIFS('①在庫を貼る'!$V$6:$V$10005,$V9819,'①在庫を貼る'!$W$6:$W$10005,$W9819)+COUNTIFS('月1回_1ヶ月前の在庫'!$V$6:$V$10005,$V9819,'月1回_1ヶ月前の在庫'!$W$6:$W$10005,$W9819)&gt;0),N(U9818),N(U9818)+1))</f>
        <v/>
      </c>
      <c r="V9819" s="19">
        <f>IF($B9819="","",TEXT($B9819,"0000"))</f>
        <v/>
      </c>
      <c r="W9819" s="19">
        <f>IF($I9819="","",IF(ISNUMBER($I9819),TEXT($I9819,"0"),$I9819))</f>
        <v/>
      </c>
    </row>
    <row r="9820">
      <c r="B9820" s="25" t="n"/>
      <c r="I9820" s="25" t="n"/>
      <c r="U9820" s="19">
        <f>IF($V9820&lt;&gt;'設定'!$C$4,N(U9819),IF(OR(NOT(COUNTIF('商品マスタ'!$B$6:$B$1005,$W9820)=0),COUNTIFS('①在庫を貼る'!$V$6:$V$10005,$V9820,'①在庫を貼る'!$W$6:$W$10005,$W9820)+COUNTIFS('月1回_1ヶ月前の在庫'!$V$6:$V$10005,$V9820,'月1回_1ヶ月前の在庫'!$W$6:$W$10005,$W9820)&gt;0),N(U9819),N(U9819)+1))</f>
        <v/>
      </c>
      <c r="V9820" s="19">
        <f>IF($B9820="","",TEXT($B9820,"0000"))</f>
        <v/>
      </c>
      <c r="W9820" s="19">
        <f>IF($I9820="","",IF(ISNUMBER($I9820),TEXT($I9820,"0"),$I9820))</f>
        <v/>
      </c>
    </row>
    <row r="9821">
      <c r="B9821" s="25" t="n"/>
      <c r="I9821" s="25" t="n"/>
      <c r="U9821" s="19">
        <f>IF($V9821&lt;&gt;'設定'!$C$4,N(U9820),IF(OR(NOT(COUNTIF('商品マスタ'!$B$6:$B$1005,$W9821)=0),COUNTIFS('①在庫を貼る'!$V$6:$V$10005,$V9821,'①在庫を貼る'!$W$6:$W$10005,$W9821)+COUNTIFS('月1回_1ヶ月前の在庫'!$V$6:$V$10005,$V9821,'月1回_1ヶ月前の在庫'!$W$6:$W$10005,$W9821)&gt;0),N(U9820),N(U9820)+1))</f>
        <v/>
      </c>
      <c r="V9821" s="19">
        <f>IF($B9821="","",TEXT($B9821,"0000"))</f>
        <v/>
      </c>
      <c r="W9821" s="19">
        <f>IF($I9821="","",IF(ISNUMBER($I9821),TEXT($I9821,"0"),$I9821))</f>
        <v/>
      </c>
    </row>
    <row r="9822">
      <c r="B9822" s="25" t="n"/>
      <c r="I9822" s="25" t="n"/>
      <c r="U9822" s="19">
        <f>IF($V9822&lt;&gt;'設定'!$C$4,N(U9821),IF(OR(NOT(COUNTIF('商品マスタ'!$B$6:$B$1005,$W9822)=0),COUNTIFS('①在庫を貼る'!$V$6:$V$10005,$V9822,'①在庫を貼る'!$W$6:$W$10005,$W9822)+COUNTIFS('月1回_1ヶ月前の在庫'!$V$6:$V$10005,$V9822,'月1回_1ヶ月前の在庫'!$W$6:$W$10005,$W9822)&gt;0),N(U9821),N(U9821)+1))</f>
        <v/>
      </c>
      <c r="V9822" s="19">
        <f>IF($B9822="","",TEXT($B9822,"0000"))</f>
        <v/>
      </c>
      <c r="W9822" s="19">
        <f>IF($I9822="","",IF(ISNUMBER($I9822),TEXT($I9822,"0"),$I9822))</f>
        <v/>
      </c>
    </row>
    <row r="9823">
      <c r="B9823" s="25" t="n"/>
      <c r="I9823" s="25" t="n"/>
      <c r="U9823" s="19">
        <f>IF($V9823&lt;&gt;'設定'!$C$4,N(U9822),IF(OR(NOT(COUNTIF('商品マスタ'!$B$6:$B$1005,$W9823)=0),COUNTIFS('①在庫を貼る'!$V$6:$V$10005,$V9823,'①在庫を貼る'!$W$6:$W$10005,$W9823)+COUNTIFS('月1回_1ヶ月前の在庫'!$V$6:$V$10005,$V9823,'月1回_1ヶ月前の在庫'!$W$6:$W$10005,$W9823)&gt;0),N(U9822),N(U9822)+1))</f>
        <v/>
      </c>
      <c r="V9823" s="19">
        <f>IF($B9823="","",TEXT($B9823,"0000"))</f>
        <v/>
      </c>
      <c r="W9823" s="19">
        <f>IF($I9823="","",IF(ISNUMBER($I9823),TEXT($I9823,"0"),$I9823))</f>
        <v/>
      </c>
    </row>
    <row r="9824">
      <c r="B9824" s="25" t="n"/>
      <c r="I9824" s="25" t="n"/>
      <c r="U9824" s="19">
        <f>IF($V9824&lt;&gt;'設定'!$C$4,N(U9823),IF(OR(NOT(COUNTIF('商品マスタ'!$B$6:$B$1005,$W9824)=0),COUNTIFS('①在庫を貼る'!$V$6:$V$10005,$V9824,'①在庫を貼る'!$W$6:$W$10005,$W9824)+COUNTIFS('月1回_1ヶ月前の在庫'!$V$6:$V$10005,$V9824,'月1回_1ヶ月前の在庫'!$W$6:$W$10005,$W9824)&gt;0),N(U9823),N(U9823)+1))</f>
        <v/>
      </c>
      <c r="V9824" s="19">
        <f>IF($B9824="","",TEXT($B9824,"0000"))</f>
        <v/>
      </c>
      <c r="W9824" s="19">
        <f>IF($I9824="","",IF(ISNUMBER($I9824),TEXT($I9824,"0"),$I9824))</f>
        <v/>
      </c>
    </row>
    <row r="9825">
      <c r="B9825" s="25" t="n"/>
      <c r="I9825" s="25" t="n"/>
      <c r="U9825" s="19">
        <f>IF($V9825&lt;&gt;'設定'!$C$4,N(U9824),IF(OR(NOT(COUNTIF('商品マスタ'!$B$6:$B$1005,$W9825)=0),COUNTIFS('①在庫を貼る'!$V$6:$V$10005,$V9825,'①在庫を貼る'!$W$6:$W$10005,$W9825)+COUNTIFS('月1回_1ヶ月前の在庫'!$V$6:$V$10005,$V9825,'月1回_1ヶ月前の在庫'!$W$6:$W$10005,$W9825)&gt;0),N(U9824),N(U9824)+1))</f>
        <v/>
      </c>
      <c r="V9825" s="19">
        <f>IF($B9825="","",TEXT($B9825,"0000"))</f>
        <v/>
      </c>
      <c r="W9825" s="19">
        <f>IF($I9825="","",IF(ISNUMBER($I9825),TEXT($I9825,"0"),$I9825))</f>
        <v/>
      </c>
    </row>
    <row r="9826">
      <c r="B9826" s="25" t="n"/>
      <c r="I9826" s="25" t="n"/>
      <c r="U9826" s="19">
        <f>IF($V9826&lt;&gt;'設定'!$C$4,N(U9825),IF(OR(NOT(COUNTIF('商品マスタ'!$B$6:$B$1005,$W9826)=0),COUNTIFS('①在庫を貼る'!$V$6:$V$10005,$V9826,'①在庫を貼る'!$W$6:$W$10005,$W9826)+COUNTIFS('月1回_1ヶ月前の在庫'!$V$6:$V$10005,$V9826,'月1回_1ヶ月前の在庫'!$W$6:$W$10005,$W9826)&gt;0),N(U9825),N(U9825)+1))</f>
        <v/>
      </c>
      <c r="V9826" s="19">
        <f>IF($B9826="","",TEXT($B9826,"0000"))</f>
        <v/>
      </c>
      <c r="W9826" s="19">
        <f>IF($I9826="","",IF(ISNUMBER($I9826),TEXT($I9826,"0"),$I9826))</f>
        <v/>
      </c>
    </row>
    <row r="9827">
      <c r="B9827" s="25" t="n"/>
      <c r="I9827" s="25" t="n"/>
      <c r="U9827" s="19">
        <f>IF($V9827&lt;&gt;'設定'!$C$4,N(U9826),IF(OR(NOT(COUNTIF('商品マスタ'!$B$6:$B$1005,$W9827)=0),COUNTIFS('①在庫を貼る'!$V$6:$V$10005,$V9827,'①在庫を貼る'!$W$6:$W$10005,$W9827)+COUNTIFS('月1回_1ヶ月前の在庫'!$V$6:$V$10005,$V9827,'月1回_1ヶ月前の在庫'!$W$6:$W$10005,$W9827)&gt;0),N(U9826),N(U9826)+1))</f>
        <v/>
      </c>
      <c r="V9827" s="19">
        <f>IF($B9827="","",TEXT($B9827,"0000"))</f>
        <v/>
      </c>
      <c r="W9827" s="19">
        <f>IF($I9827="","",IF(ISNUMBER($I9827),TEXT($I9827,"0"),$I9827))</f>
        <v/>
      </c>
    </row>
    <row r="9828">
      <c r="B9828" s="25" t="n"/>
      <c r="I9828" s="25" t="n"/>
      <c r="U9828" s="19">
        <f>IF($V9828&lt;&gt;'設定'!$C$4,N(U9827),IF(OR(NOT(COUNTIF('商品マスタ'!$B$6:$B$1005,$W9828)=0),COUNTIFS('①在庫を貼る'!$V$6:$V$10005,$V9828,'①在庫を貼る'!$W$6:$W$10005,$W9828)+COUNTIFS('月1回_1ヶ月前の在庫'!$V$6:$V$10005,$V9828,'月1回_1ヶ月前の在庫'!$W$6:$W$10005,$W9828)&gt;0),N(U9827),N(U9827)+1))</f>
        <v/>
      </c>
      <c r="V9828" s="19">
        <f>IF($B9828="","",TEXT($B9828,"0000"))</f>
        <v/>
      </c>
      <c r="W9828" s="19">
        <f>IF($I9828="","",IF(ISNUMBER($I9828),TEXT($I9828,"0"),$I9828))</f>
        <v/>
      </c>
    </row>
    <row r="9829">
      <c r="B9829" s="25" t="n"/>
      <c r="I9829" s="25" t="n"/>
      <c r="U9829" s="19">
        <f>IF($V9829&lt;&gt;'設定'!$C$4,N(U9828),IF(OR(NOT(COUNTIF('商品マスタ'!$B$6:$B$1005,$W9829)=0),COUNTIFS('①在庫を貼る'!$V$6:$V$10005,$V9829,'①在庫を貼る'!$W$6:$W$10005,$W9829)+COUNTIFS('月1回_1ヶ月前の在庫'!$V$6:$V$10005,$V9829,'月1回_1ヶ月前の在庫'!$W$6:$W$10005,$W9829)&gt;0),N(U9828),N(U9828)+1))</f>
        <v/>
      </c>
      <c r="V9829" s="19">
        <f>IF($B9829="","",TEXT($B9829,"0000"))</f>
        <v/>
      </c>
      <c r="W9829" s="19">
        <f>IF($I9829="","",IF(ISNUMBER($I9829),TEXT($I9829,"0"),$I9829))</f>
        <v/>
      </c>
    </row>
    <row r="9830">
      <c r="B9830" s="25" t="n"/>
      <c r="I9830" s="25" t="n"/>
      <c r="U9830" s="19">
        <f>IF($V9830&lt;&gt;'設定'!$C$4,N(U9829),IF(OR(NOT(COUNTIF('商品マスタ'!$B$6:$B$1005,$W9830)=0),COUNTIFS('①在庫を貼る'!$V$6:$V$10005,$V9830,'①在庫を貼る'!$W$6:$W$10005,$W9830)+COUNTIFS('月1回_1ヶ月前の在庫'!$V$6:$V$10005,$V9830,'月1回_1ヶ月前の在庫'!$W$6:$W$10005,$W9830)&gt;0),N(U9829),N(U9829)+1))</f>
        <v/>
      </c>
      <c r="V9830" s="19">
        <f>IF($B9830="","",TEXT($B9830,"0000"))</f>
        <v/>
      </c>
      <c r="W9830" s="19">
        <f>IF($I9830="","",IF(ISNUMBER($I9830),TEXT($I9830,"0"),$I9830))</f>
        <v/>
      </c>
    </row>
    <row r="9831">
      <c r="B9831" s="25" t="n"/>
      <c r="I9831" s="25" t="n"/>
      <c r="U9831" s="19">
        <f>IF($V9831&lt;&gt;'設定'!$C$4,N(U9830),IF(OR(NOT(COUNTIF('商品マスタ'!$B$6:$B$1005,$W9831)=0),COUNTIFS('①在庫を貼る'!$V$6:$V$10005,$V9831,'①在庫を貼る'!$W$6:$W$10005,$W9831)+COUNTIFS('月1回_1ヶ月前の在庫'!$V$6:$V$10005,$V9831,'月1回_1ヶ月前の在庫'!$W$6:$W$10005,$W9831)&gt;0),N(U9830),N(U9830)+1))</f>
        <v/>
      </c>
      <c r="V9831" s="19">
        <f>IF($B9831="","",TEXT($B9831,"0000"))</f>
        <v/>
      </c>
      <c r="W9831" s="19">
        <f>IF($I9831="","",IF(ISNUMBER($I9831),TEXT($I9831,"0"),$I9831))</f>
        <v/>
      </c>
    </row>
    <row r="9832">
      <c r="B9832" s="25" t="n"/>
      <c r="I9832" s="25" t="n"/>
      <c r="U9832" s="19">
        <f>IF($V9832&lt;&gt;'設定'!$C$4,N(U9831),IF(OR(NOT(COUNTIF('商品マスタ'!$B$6:$B$1005,$W9832)=0),COUNTIFS('①在庫を貼る'!$V$6:$V$10005,$V9832,'①在庫を貼る'!$W$6:$W$10005,$W9832)+COUNTIFS('月1回_1ヶ月前の在庫'!$V$6:$V$10005,$V9832,'月1回_1ヶ月前の在庫'!$W$6:$W$10005,$W9832)&gt;0),N(U9831),N(U9831)+1))</f>
        <v/>
      </c>
      <c r="V9832" s="19">
        <f>IF($B9832="","",TEXT($B9832,"0000"))</f>
        <v/>
      </c>
      <c r="W9832" s="19">
        <f>IF($I9832="","",IF(ISNUMBER($I9832),TEXT($I9832,"0"),$I9832))</f>
        <v/>
      </c>
    </row>
    <row r="9833">
      <c r="B9833" s="25" t="n"/>
      <c r="I9833" s="25" t="n"/>
      <c r="U9833" s="19">
        <f>IF($V9833&lt;&gt;'設定'!$C$4,N(U9832),IF(OR(NOT(COUNTIF('商品マスタ'!$B$6:$B$1005,$W9833)=0),COUNTIFS('①在庫を貼る'!$V$6:$V$10005,$V9833,'①在庫を貼る'!$W$6:$W$10005,$W9833)+COUNTIFS('月1回_1ヶ月前の在庫'!$V$6:$V$10005,$V9833,'月1回_1ヶ月前の在庫'!$W$6:$W$10005,$W9833)&gt;0),N(U9832),N(U9832)+1))</f>
        <v/>
      </c>
      <c r="V9833" s="19">
        <f>IF($B9833="","",TEXT($B9833,"0000"))</f>
        <v/>
      </c>
      <c r="W9833" s="19">
        <f>IF($I9833="","",IF(ISNUMBER($I9833),TEXT($I9833,"0"),$I9833))</f>
        <v/>
      </c>
    </row>
    <row r="9834">
      <c r="B9834" s="25" t="n"/>
      <c r="I9834" s="25" t="n"/>
      <c r="U9834" s="19">
        <f>IF($V9834&lt;&gt;'設定'!$C$4,N(U9833),IF(OR(NOT(COUNTIF('商品マスタ'!$B$6:$B$1005,$W9834)=0),COUNTIFS('①在庫を貼る'!$V$6:$V$10005,$V9834,'①在庫を貼る'!$W$6:$W$10005,$W9834)+COUNTIFS('月1回_1ヶ月前の在庫'!$V$6:$V$10005,$V9834,'月1回_1ヶ月前の在庫'!$W$6:$W$10005,$W9834)&gt;0),N(U9833),N(U9833)+1))</f>
        <v/>
      </c>
      <c r="V9834" s="19">
        <f>IF($B9834="","",TEXT($B9834,"0000"))</f>
        <v/>
      </c>
      <c r="W9834" s="19">
        <f>IF($I9834="","",IF(ISNUMBER($I9834),TEXT($I9834,"0"),$I9834))</f>
        <v/>
      </c>
    </row>
    <row r="9835">
      <c r="B9835" s="25" t="n"/>
      <c r="I9835" s="25" t="n"/>
      <c r="U9835" s="19">
        <f>IF($V9835&lt;&gt;'設定'!$C$4,N(U9834),IF(OR(NOT(COUNTIF('商品マスタ'!$B$6:$B$1005,$W9835)=0),COUNTIFS('①在庫を貼る'!$V$6:$V$10005,$V9835,'①在庫を貼る'!$W$6:$W$10005,$W9835)+COUNTIFS('月1回_1ヶ月前の在庫'!$V$6:$V$10005,$V9835,'月1回_1ヶ月前の在庫'!$W$6:$W$10005,$W9835)&gt;0),N(U9834),N(U9834)+1))</f>
        <v/>
      </c>
      <c r="V9835" s="19">
        <f>IF($B9835="","",TEXT($B9835,"0000"))</f>
        <v/>
      </c>
      <c r="W9835" s="19">
        <f>IF($I9835="","",IF(ISNUMBER($I9835),TEXT($I9835,"0"),$I9835))</f>
        <v/>
      </c>
    </row>
    <row r="9836">
      <c r="B9836" s="25" t="n"/>
      <c r="I9836" s="25" t="n"/>
      <c r="U9836" s="19">
        <f>IF($V9836&lt;&gt;'設定'!$C$4,N(U9835),IF(OR(NOT(COUNTIF('商品マスタ'!$B$6:$B$1005,$W9836)=0),COUNTIFS('①在庫を貼る'!$V$6:$V$10005,$V9836,'①在庫を貼る'!$W$6:$W$10005,$W9836)+COUNTIFS('月1回_1ヶ月前の在庫'!$V$6:$V$10005,$V9836,'月1回_1ヶ月前の在庫'!$W$6:$W$10005,$W9836)&gt;0),N(U9835),N(U9835)+1))</f>
        <v/>
      </c>
      <c r="V9836" s="19">
        <f>IF($B9836="","",TEXT($B9836,"0000"))</f>
        <v/>
      </c>
      <c r="W9836" s="19">
        <f>IF($I9836="","",IF(ISNUMBER($I9836),TEXT($I9836,"0"),$I9836))</f>
        <v/>
      </c>
    </row>
    <row r="9837">
      <c r="B9837" s="25" t="n"/>
      <c r="I9837" s="25" t="n"/>
      <c r="U9837" s="19">
        <f>IF($V9837&lt;&gt;'設定'!$C$4,N(U9836),IF(OR(NOT(COUNTIF('商品マスタ'!$B$6:$B$1005,$W9837)=0),COUNTIFS('①在庫を貼る'!$V$6:$V$10005,$V9837,'①在庫を貼る'!$W$6:$W$10005,$W9837)+COUNTIFS('月1回_1ヶ月前の在庫'!$V$6:$V$10005,$V9837,'月1回_1ヶ月前の在庫'!$W$6:$W$10005,$W9837)&gt;0),N(U9836),N(U9836)+1))</f>
        <v/>
      </c>
      <c r="V9837" s="19">
        <f>IF($B9837="","",TEXT($B9837,"0000"))</f>
        <v/>
      </c>
      <c r="W9837" s="19">
        <f>IF($I9837="","",IF(ISNUMBER($I9837),TEXT($I9837,"0"),$I9837))</f>
        <v/>
      </c>
    </row>
    <row r="9838">
      <c r="B9838" s="25" t="n"/>
      <c r="I9838" s="25" t="n"/>
      <c r="U9838" s="19">
        <f>IF($V9838&lt;&gt;'設定'!$C$4,N(U9837),IF(OR(NOT(COUNTIF('商品マスタ'!$B$6:$B$1005,$W9838)=0),COUNTIFS('①在庫を貼る'!$V$6:$V$10005,$V9838,'①在庫を貼る'!$W$6:$W$10005,$W9838)+COUNTIFS('月1回_1ヶ月前の在庫'!$V$6:$V$10005,$V9838,'月1回_1ヶ月前の在庫'!$W$6:$W$10005,$W9838)&gt;0),N(U9837),N(U9837)+1))</f>
        <v/>
      </c>
      <c r="V9838" s="19">
        <f>IF($B9838="","",TEXT($B9838,"0000"))</f>
        <v/>
      </c>
      <c r="W9838" s="19">
        <f>IF($I9838="","",IF(ISNUMBER($I9838),TEXT($I9838,"0"),$I9838))</f>
        <v/>
      </c>
    </row>
    <row r="9839">
      <c r="B9839" s="25" t="n"/>
      <c r="I9839" s="25" t="n"/>
      <c r="U9839" s="19">
        <f>IF($V9839&lt;&gt;'設定'!$C$4,N(U9838),IF(OR(NOT(COUNTIF('商品マスタ'!$B$6:$B$1005,$W9839)=0),COUNTIFS('①在庫を貼る'!$V$6:$V$10005,$V9839,'①在庫を貼る'!$W$6:$W$10005,$W9839)+COUNTIFS('月1回_1ヶ月前の在庫'!$V$6:$V$10005,$V9839,'月1回_1ヶ月前の在庫'!$W$6:$W$10005,$W9839)&gt;0),N(U9838),N(U9838)+1))</f>
        <v/>
      </c>
      <c r="V9839" s="19">
        <f>IF($B9839="","",TEXT($B9839,"0000"))</f>
        <v/>
      </c>
      <c r="W9839" s="19">
        <f>IF($I9839="","",IF(ISNUMBER($I9839),TEXT($I9839,"0"),$I9839))</f>
        <v/>
      </c>
    </row>
    <row r="9840">
      <c r="B9840" s="25" t="n"/>
      <c r="I9840" s="25" t="n"/>
      <c r="U9840" s="19">
        <f>IF($V9840&lt;&gt;'設定'!$C$4,N(U9839),IF(OR(NOT(COUNTIF('商品マスタ'!$B$6:$B$1005,$W9840)=0),COUNTIFS('①在庫を貼る'!$V$6:$V$10005,$V9840,'①在庫を貼る'!$W$6:$W$10005,$W9840)+COUNTIFS('月1回_1ヶ月前の在庫'!$V$6:$V$10005,$V9840,'月1回_1ヶ月前の在庫'!$W$6:$W$10005,$W9840)&gt;0),N(U9839),N(U9839)+1))</f>
        <v/>
      </c>
      <c r="V9840" s="19">
        <f>IF($B9840="","",TEXT($B9840,"0000"))</f>
        <v/>
      </c>
      <c r="W9840" s="19">
        <f>IF($I9840="","",IF(ISNUMBER($I9840),TEXT($I9840,"0"),$I9840))</f>
        <v/>
      </c>
    </row>
    <row r="9841">
      <c r="B9841" s="25" t="n"/>
      <c r="I9841" s="25" t="n"/>
      <c r="U9841" s="19">
        <f>IF($V9841&lt;&gt;'設定'!$C$4,N(U9840),IF(OR(NOT(COUNTIF('商品マスタ'!$B$6:$B$1005,$W9841)=0),COUNTIFS('①在庫を貼る'!$V$6:$V$10005,$V9841,'①在庫を貼る'!$W$6:$W$10005,$W9841)+COUNTIFS('月1回_1ヶ月前の在庫'!$V$6:$V$10005,$V9841,'月1回_1ヶ月前の在庫'!$W$6:$W$10005,$W9841)&gt;0),N(U9840),N(U9840)+1))</f>
        <v/>
      </c>
      <c r="V9841" s="19">
        <f>IF($B9841="","",TEXT($B9841,"0000"))</f>
        <v/>
      </c>
      <c r="W9841" s="19">
        <f>IF($I9841="","",IF(ISNUMBER($I9841),TEXT($I9841,"0"),$I9841))</f>
        <v/>
      </c>
    </row>
    <row r="9842">
      <c r="B9842" s="25" t="n"/>
      <c r="I9842" s="25" t="n"/>
      <c r="U9842" s="19">
        <f>IF($V9842&lt;&gt;'設定'!$C$4,N(U9841),IF(OR(NOT(COUNTIF('商品マスタ'!$B$6:$B$1005,$W9842)=0),COUNTIFS('①在庫を貼る'!$V$6:$V$10005,$V9842,'①在庫を貼る'!$W$6:$W$10005,$W9842)+COUNTIFS('月1回_1ヶ月前の在庫'!$V$6:$V$10005,$V9842,'月1回_1ヶ月前の在庫'!$W$6:$W$10005,$W9842)&gt;0),N(U9841),N(U9841)+1))</f>
        <v/>
      </c>
      <c r="V9842" s="19">
        <f>IF($B9842="","",TEXT($B9842,"0000"))</f>
        <v/>
      </c>
      <c r="W9842" s="19">
        <f>IF($I9842="","",IF(ISNUMBER($I9842),TEXT($I9842,"0"),$I9842))</f>
        <v/>
      </c>
    </row>
    <row r="9843">
      <c r="B9843" s="25" t="n"/>
      <c r="I9843" s="25" t="n"/>
      <c r="U9843" s="19">
        <f>IF($V9843&lt;&gt;'設定'!$C$4,N(U9842),IF(OR(NOT(COUNTIF('商品マスタ'!$B$6:$B$1005,$W9843)=0),COUNTIFS('①在庫を貼る'!$V$6:$V$10005,$V9843,'①在庫を貼る'!$W$6:$W$10005,$W9843)+COUNTIFS('月1回_1ヶ月前の在庫'!$V$6:$V$10005,$V9843,'月1回_1ヶ月前の在庫'!$W$6:$W$10005,$W9843)&gt;0),N(U9842),N(U9842)+1))</f>
        <v/>
      </c>
      <c r="V9843" s="19">
        <f>IF($B9843="","",TEXT($B9843,"0000"))</f>
        <v/>
      </c>
      <c r="W9843" s="19">
        <f>IF($I9843="","",IF(ISNUMBER($I9843),TEXT($I9843,"0"),$I9843))</f>
        <v/>
      </c>
    </row>
    <row r="9844">
      <c r="B9844" s="25" t="n"/>
      <c r="I9844" s="25" t="n"/>
      <c r="U9844" s="19">
        <f>IF($V9844&lt;&gt;'設定'!$C$4,N(U9843),IF(OR(NOT(COUNTIF('商品マスタ'!$B$6:$B$1005,$W9844)=0),COUNTIFS('①在庫を貼る'!$V$6:$V$10005,$V9844,'①在庫を貼る'!$W$6:$W$10005,$W9844)+COUNTIFS('月1回_1ヶ月前の在庫'!$V$6:$V$10005,$V9844,'月1回_1ヶ月前の在庫'!$W$6:$W$10005,$W9844)&gt;0),N(U9843),N(U9843)+1))</f>
        <v/>
      </c>
      <c r="V9844" s="19">
        <f>IF($B9844="","",TEXT($B9844,"0000"))</f>
        <v/>
      </c>
      <c r="W9844" s="19">
        <f>IF($I9844="","",IF(ISNUMBER($I9844),TEXT($I9844,"0"),$I9844))</f>
        <v/>
      </c>
    </row>
    <row r="9845">
      <c r="B9845" s="25" t="n"/>
      <c r="I9845" s="25" t="n"/>
      <c r="U9845" s="19">
        <f>IF($V9845&lt;&gt;'設定'!$C$4,N(U9844),IF(OR(NOT(COUNTIF('商品マスタ'!$B$6:$B$1005,$W9845)=0),COUNTIFS('①在庫を貼る'!$V$6:$V$10005,$V9845,'①在庫を貼る'!$W$6:$W$10005,$W9845)+COUNTIFS('月1回_1ヶ月前の在庫'!$V$6:$V$10005,$V9845,'月1回_1ヶ月前の在庫'!$W$6:$W$10005,$W9845)&gt;0),N(U9844),N(U9844)+1))</f>
        <v/>
      </c>
      <c r="V9845" s="19">
        <f>IF($B9845="","",TEXT($B9845,"0000"))</f>
        <v/>
      </c>
      <c r="W9845" s="19">
        <f>IF($I9845="","",IF(ISNUMBER($I9845),TEXT($I9845,"0"),$I9845))</f>
        <v/>
      </c>
    </row>
    <row r="9846">
      <c r="B9846" s="25" t="n"/>
      <c r="I9846" s="25" t="n"/>
      <c r="U9846" s="19">
        <f>IF($V9846&lt;&gt;'設定'!$C$4,N(U9845),IF(OR(NOT(COUNTIF('商品マスタ'!$B$6:$B$1005,$W9846)=0),COUNTIFS('①在庫を貼る'!$V$6:$V$10005,$V9846,'①在庫を貼る'!$W$6:$W$10005,$W9846)+COUNTIFS('月1回_1ヶ月前の在庫'!$V$6:$V$10005,$V9846,'月1回_1ヶ月前の在庫'!$W$6:$W$10005,$W9846)&gt;0),N(U9845),N(U9845)+1))</f>
        <v/>
      </c>
      <c r="V9846" s="19">
        <f>IF($B9846="","",TEXT($B9846,"0000"))</f>
        <v/>
      </c>
      <c r="W9846" s="19">
        <f>IF($I9846="","",IF(ISNUMBER($I9846),TEXT($I9846,"0"),$I9846))</f>
        <v/>
      </c>
    </row>
    <row r="9847">
      <c r="B9847" s="25" t="n"/>
      <c r="I9847" s="25" t="n"/>
      <c r="U9847" s="19">
        <f>IF($V9847&lt;&gt;'設定'!$C$4,N(U9846),IF(OR(NOT(COUNTIF('商品マスタ'!$B$6:$B$1005,$W9847)=0),COUNTIFS('①在庫を貼る'!$V$6:$V$10005,$V9847,'①在庫を貼る'!$W$6:$W$10005,$W9847)+COUNTIFS('月1回_1ヶ月前の在庫'!$V$6:$V$10005,$V9847,'月1回_1ヶ月前の在庫'!$W$6:$W$10005,$W9847)&gt;0),N(U9846),N(U9846)+1))</f>
        <v/>
      </c>
      <c r="V9847" s="19">
        <f>IF($B9847="","",TEXT($B9847,"0000"))</f>
        <v/>
      </c>
      <c r="W9847" s="19">
        <f>IF($I9847="","",IF(ISNUMBER($I9847),TEXT($I9847,"0"),$I9847))</f>
        <v/>
      </c>
    </row>
    <row r="9848">
      <c r="B9848" s="25" t="n"/>
      <c r="I9848" s="25" t="n"/>
      <c r="U9848" s="19">
        <f>IF($V9848&lt;&gt;'設定'!$C$4,N(U9847),IF(OR(NOT(COUNTIF('商品マスタ'!$B$6:$B$1005,$W9848)=0),COUNTIFS('①在庫を貼る'!$V$6:$V$10005,$V9848,'①在庫を貼る'!$W$6:$W$10005,$W9848)+COUNTIFS('月1回_1ヶ月前の在庫'!$V$6:$V$10005,$V9848,'月1回_1ヶ月前の在庫'!$W$6:$W$10005,$W9848)&gt;0),N(U9847),N(U9847)+1))</f>
        <v/>
      </c>
      <c r="V9848" s="19">
        <f>IF($B9848="","",TEXT($B9848,"0000"))</f>
        <v/>
      </c>
      <c r="W9848" s="19">
        <f>IF($I9848="","",IF(ISNUMBER($I9848),TEXT($I9848,"0"),$I9848))</f>
        <v/>
      </c>
    </row>
    <row r="9849">
      <c r="B9849" s="25" t="n"/>
      <c r="I9849" s="25" t="n"/>
      <c r="U9849" s="19">
        <f>IF($V9849&lt;&gt;'設定'!$C$4,N(U9848),IF(OR(NOT(COUNTIF('商品マスタ'!$B$6:$B$1005,$W9849)=0),COUNTIFS('①在庫を貼る'!$V$6:$V$10005,$V9849,'①在庫を貼る'!$W$6:$W$10005,$W9849)+COUNTIFS('月1回_1ヶ月前の在庫'!$V$6:$V$10005,$V9849,'月1回_1ヶ月前の在庫'!$W$6:$W$10005,$W9849)&gt;0),N(U9848),N(U9848)+1))</f>
        <v/>
      </c>
      <c r="V9849" s="19">
        <f>IF($B9849="","",TEXT($B9849,"0000"))</f>
        <v/>
      </c>
      <c r="W9849" s="19">
        <f>IF($I9849="","",IF(ISNUMBER($I9849),TEXT($I9849,"0"),$I9849))</f>
        <v/>
      </c>
    </row>
    <row r="9850">
      <c r="B9850" s="25" t="n"/>
      <c r="I9850" s="25" t="n"/>
      <c r="U9850" s="19">
        <f>IF($V9850&lt;&gt;'設定'!$C$4,N(U9849),IF(OR(NOT(COUNTIF('商品マスタ'!$B$6:$B$1005,$W9850)=0),COUNTIFS('①在庫を貼る'!$V$6:$V$10005,$V9850,'①在庫を貼る'!$W$6:$W$10005,$W9850)+COUNTIFS('月1回_1ヶ月前の在庫'!$V$6:$V$10005,$V9850,'月1回_1ヶ月前の在庫'!$W$6:$W$10005,$W9850)&gt;0),N(U9849),N(U9849)+1))</f>
        <v/>
      </c>
      <c r="V9850" s="19">
        <f>IF($B9850="","",TEXT($B9850,"0000"))</f>
        <v/>
      </c>
      <c r="W9850" s="19">
        <f>IF($I9850="","",IF(ISNUMBER($I9850),TEXT($I9850,"0"),$I9850))</f>
        <v/>
      </c>
    </row>
    <row r="9851">
      <c r="B9851" s="25" t="n"/>
      <c r="I9851" s="25" t="n"/>
      <c r="U9851" s="19">
        <f>IF($V9851&lt;&gt;'設定'!$C$4,N(U9850),IF(OR(NOT(COUNTIF('商品マスタ'!$B$6:$B$1005,$W9851)=0),COUNTIFS('①在庫を貼る'!$V$6:$V$10005,$V9851,'①在庫を貼る'!$W$6:$W$10005,$W9851)+COUNTIFS('月1回_1ヶ月前の在庫'!$V$6:$V$10005,$V9851,'月1回_1ヶ月前の在庫'!$W$6:$W$10005,$W9851)&gt;0),N(U9850),N(U9850)+1))</f>
        <v/>
      </c>
      <c r="V9851" s="19">
        <f>IF($B9851="","",TEXT($B9851,"0000"))</f>
        <v/>
      </c>
      <c r="W9851" s="19">
        <f>IF($I9851="","",IF(ISNUMBER($I9851),TEXT($I9851,"0"),$I9851))</f>
        <v/>
      </c>
    </row>
    <row r="9852">
      <c r="B9852" s="25" t="n"/>
      <c r="I9852" s="25" t="n"/>
      <c r="U9852" s="19">
        <f>IF($V9852&lt;&gt;'設定'!$C$4,N(U9851),IF(OR(NOT(COUNTIF('商品マスタ'!$B$6:$B$1005,$W9852)=0),COUNTIFS('①在庫を貼る'!$V$6:$V$10005,$V9852,'①在庫を貼る'!$W$6:$W$10005,$W9852)+COUNTIFS('月1回_1ヶ月前の在庫'!$V$6:$V$10005,$V9852,'月1回_1ヶ月前の在庫'!$W$6:$W$10005,$W9852)&gt;0),N(U9851),N(U9851)+1))</f>
        <v/>
      </c>
      <c r="V9852" s="19">
        <f>IF($B9852="","",TEXT($B9852,"0000"))</f>
        <v/>
      </c>
      <c r="W9852" s="19">
        <f>IF($I9852="","",IF(ISNUMBER($I9852),TEXT($I9852,"0"),$I9852))</f>
        <v/>
      </c>
    </row>
    <row r="9853">
      <c r="B9853" s="25" t="n"/>
      <c r="I9853" s="25" t="n"/>
      <c r="U9853" s="19">
        <f>IF($V9853&lt;&gt;'設定'!$C$4,N(U9852),IF(OR(NOT(COUNTIF('商品マスタ'!$B$6:$B$1005,$W9853)=0),COUNTIFS('①在庫を貼る'!$V$6:$V$10005,$V9853,'①在庫を貼る'!$W$6:$W$10005,$W9853)+COUNTIFS('月1回_1ヶ月前の在庫'!$V$6:$V$10005,$V9853,'月1回_1ヶ月前の在庫'!$W$6:$W$10005,$W9853)&gt;0),N(U9852),N(U9852)+1))</f>
        <v/>
      </c>
      <c r="V9853" s="19">
        <f>IF($B9853="","",TEXT($B9853,"0000"))</f>
        <v/>
      </c>
      <c r="W9853" s="19">
        <f>IF($I9853="","",IF(ISNUMBER($I9853),TEXT($I9853,"0"),$I9853))</f>
        <v/>
      </c>
    </row>
    <row r="9854">
      <c r="B9854" s="25" t="n"/>
      <c r="I9854" s="25" t="n"/>
      <c r="U9854" s="19">
        <f>IF($V9854&lt;&gt;'設定'!$C$4,N(U9853),IF(OR(NOT(COUNTIF('商品マスタ'!$B$6:$B$1005,$W9854)=0),COUNTIFS('①在庫を貼る'!$V$6:$V$10005,$V9854,'①在庫を貼る'!$W$6:$W$10005,$W9854)+COUNTIFS('月1回_1ヶ月前の在庫'!$V$6:$V$10005,$V9854,'月1回_1ヶ月前の在庫'!$W$6:$W$10005,$W9854)&gt;0),N(U9853),N(U9853)+1))</f>
        <v/>
      </c>
      <c r="V9854" s="19">
        <f>IF($B9854="","",TEXT($B9854,"0000"))</f>
        <v/>
      </c>
      <c r="W9854" s="19">
        <f>IF($I9854="","",IF(ISNUMBER($I9854),TEXT($I9854,"0"),$I9854))</f>
        <v/>
      </c>
    </row>
    <row r="9855">
      <c r="B9855" s="25" t="n"/>
      <c r="I9855" s="25" t="n"/>
      <c r="U9855" s="19">
        <f>IF($V9855&lt;&gt;'設定'!$C$4,N(U9854),IF(OR(NOT(COUNTIF('商品マスタ'!$B$6:$B$1005,$W9855)=0),COUNTIFS('①在庫を貼る'!$V$6:$V$10005,$V9855,'①在庫を貼る'!$W$6:$W$10005,$W9855)+COUNTIFS('月1回_1ヶ月前の在庫'!$V$6:$V$10005,$V9855,'月1回_1ヶ月前の在庫'!$W$6:$W$10005,$W9855)&gt;0),N(U9854),N(U9854)+1))</f>
        <v/>
      </c>
      <c r="V9855" s="19">
        <f>IF($B9855="","",TEXT($B9855,"0000"))</f>
        <v/>
      </c>
      <c r="W9855" s="19">
        <f>IF($I9855="","",IF(ISNUMBER($I9855),TEXT($I9855,"0"),$I9855))</f>
        <v/>
      </c>
    </row>
    <row r="9856">
      <c r="B9856" s="25" t="n"/>
      <c r="I9856" s="25" t="n"/>
      <c r="U9856" s="19">
        <f>IF($V9856&lt;&gt;'設定'!$C$4,N(U9855),IF(OR(NOT(COUNTIF('商品マスタ'!$B$6:$B$1005,$W9856)=0),COUNTIFS('①在庫を貼る'!$V$6:$V$10005,$V9856,'①在庫を貼る'!$W$6:$W$10005,$W9856)+COUNTIFS('月1回_1ヶ月前の在庫'!$V$6:$V$10005,$V9856,'月1回_1ヶ月前の在庫'!$W$6:$W$10005,$W9856)&gt;0),N(U9855),N(U9855)+1))</f>
        <v/>
      </c>
      <c r="V9856" s="19">
        <f>IF($B9856="","",TEXT($B9856,"0000"))</f>
        <v/>
      </c>
      <c r="W9856" s="19">
        <f>IF($I9856="","",IF(ISNUMBER($I9856),TEXT($I9856,"0"),$I9856))</f>
        <v/>
      </c>
    </row>
    <row r="9857">
      <c r="B9857" s="25" t="n"/>
      <c r="I9857" s="25" t="n"/>
      <c r="U9857" s="19">
        <f>IF($V9857&lt;&gt;'設定'!$C$4,N(U9856),IF(OR(NOT(COUNTIF('商品マスタ'!$B$6:$B$1005,$W9857)=0),COUNTIFS('①在庫を貼る'!$V$6:$V$10005,$V9857,'①在庫を貼る'!$W$6:$W$10005,$W9857)+COUNTIFS('月1回_1ヶ月前の在庫'!$V$6:$V$10005,$V9857,'月1回_1ヶ月前の在庫'!$W$6:$W$10005,$W9857)&gt;0),N(U9856),N(U9856)+1))</f>
        <v/>
      </c>
      <c r="V9857" s="19">
        <f>IF($B9857="","",TEXT($B9857,"0000"))</f>
        <v/>
      </c>
      <c r="W9857" s="19">
        <f>IF($I9857="","",IF(ISNUMBER($I9857),TEXT($I9857,"0"),$I9857))</f>
        <v/>
      </c>
    </row>
    <row r="9858">
      <c r="B9858" s="25" t="n"/>
      <c r="I9858" s="25" t="n"/>
      <c r="U9858" s="19">
        <f>IF($V9858&lt;&gt;'設定'!$C$4,N(U9857),IF(OR(NOT(COUNTIF('商品マスタ'!$B$6:$B$1005,$W9858)=0),COUNTIFS('①在庫を貼る'!$V$6:$V$10005,$V9858,'①在庫を貼る'!$W$6:$W$10005,$W9858)+COUNTIFS('月1回_1ヶ月前の在庫'!$V$6:$V$10005,$V9858,'月1回_1ヶ月前の在庫'!$W$6:$W$10005,$W9858)&gt;0),N(U9857),N(U9857)+1))</f>
        <v/>
      </c>
      <c r="V9858" s="19">
        <f>IF($B9858="","",TEXT($B9858,"0000"))</f>
        <v/>
      </c>
      <c r="W9858" s="19">
        <f>IF($I9858="","",IF(ISNUMBER($I9858),TEXT($I9858,"0"),$I9858))</f>
        <v/>
      </c>
    </row>
    <row r="9859">
      <c r="B9859" s="25" t="n"/>
      <c r="I9859" s="25" t="n"/>
      <c r="U9859" s="19">
        <f>IF($V9859&lt;&gt;'設定'!$C$4,N(U9858),IF(OR(NOT(COUNTIF('商品マスタ'!$B$6:$B$1005,$W9859)=0),COUNTIFS('①在庫を貼る'!$V$6:$V$10005,$V9859,'①在庫を貼る'!$W$6:$W$10005,$W9859)+COUNTIFS('月1回_1ヶ月前の在庫'!$V$6:$V$10005,$V9859,'月1回_1ヶ月前の在庫'!$W$6:$W$10005,$W9859)&gt;0),N(U9858),N(U9858)+1))</f>
        <v/>
      </c>
      <c r="V9859" s="19">
        <f>IF($B9859="","",TEXT($B9859,"0000"))</f>
        <v/>
      </c>
      <c r="W9859" s="19">
        <f>IF($I9859="","",IF(ISNUMBER($I9859),TEXT($I9859,"0"),$I9859))</f>
        <v/>
      </c>
    </row>
    <row r="9860">
      <c r="B9860" s="25" t="n"/>
      <c r="I9860" s="25" t="n"/>
      <c r="U9860" s="19">
        <f>IF($V9860&lt;&gt;'設定'!$C$4,N(U9859),IF(OR(NOT(COUNTIF('商品マスタ'!$B$6:$B$1005,$W9860)=0),COUNTIFS('①在庫を貼る'!$V$6:$V$10005,$V9860,'①在庫を貼る'!$W$6:$W$10005,$W9860)+COUNTIFS('月1回_1ヶ月前の在庫'!$V$6:$V$10005,$V9860,'月1回_1ヶ月前の在庫'!$W$6:$W$10005,$W9860)&gt;0),N(U9859),N(U9859)+1))</f>
        <v/>
      </c>
      <c r="V9860" s="19">
        <f>IF($B9860="","",TEXT($B9860,"0000"))</f>
        <v/>
      </c>
      <c r="W9860" s="19">
        <f>IF($I9860="","",IF(ISNUMBER($I9860),TEXT($I9860,"0"),$I9860))</f>
        <v/>
      </c>
    </row>
    <row r="9861">
      <c r="B9861" s="25" t="n"/>
      <c r="I9861" s="25" t="n"/>
      <c r="U9861" s="19">
        <f>IF($V9861&lt;&gt;'設定'!$C$4,N(U9860),IF(OR(NOT(COUNTIF('商品マスタ'!$B$6:$B$1005,$W9861)=0),COUNTIFS('①在庫を貼る'!$V$6:$V$10005,$V9861,'①在庫を貼る'!$W$6:$W$10005,$W9861)+COUNTIFS('月1回_1ヶ月前の在庫'!$V$6:$V$10005,$V9861,'月1回_1ヶ月前の在庫'!$W$6:$W$10005,$W9861)&gt;0),N(U9860),N(U9860)+1))</f>
        <v/>
      </c>
      <c r="V9861" s="19">
        <f>IF($B9861="","",TEXT($B9861,"0000"))</f>
        <v/>
      </c>
      <c r="W9861" s="19">
        <f>IF($I9861="","",IF(ISNUMBER($I9861),TEXT($I9861,"0"),$I9861))</f>
        <v/>
      </c>
    </row>
    <row r="9862">
      <c r="B9862" s="25" t="n"/>
      <c r="I9862" s="25" t="n"/>
      <c r="U9862" s="19">
        <f>IF($V9862&lt;&gt;'設定'!$C$4,N(U9861),IF(OR(NOT(COUNTIF('商品マスタ'!$B$6:$B$1005,$W9862)=0),COUNTIFS('①在庫を貼る'!$V$6:$V$10005,$V9862,'①在庫を貼る'!$W$6:$W$10005,$W9862)+COUNTIFS('月1回_1ヶ月前の在庫'!$V$6:$V$10005,$V9862,'月1回_1ヶ月前の在庫'!$W$6:$W$10005,$W9862)&gt;0),N(U9861),N(U9861)+1))</f>
        <v/>
      </c>
      <c r="V9862" s="19">
        <f>IF($B9862="","",TEXT($B9862,"0000"))</f>
        <v/>
      </c>
      <c r="W9862" s="19">
        <f>IF($I9862="","",IF(ISNUMBER($I9862),TEXT($I9862,"0"),$I9862))</f>
        <v/>
      </c>
    </row>
    <row r="9863">
      <c r="B9863" s="25" t="n"/>
      <c r="I9863" s="25" t="n"/>
      <c r="U9863" s="19">
        <f>IF($V9863&lt;&gt;'設定'!$C$4,N(U9862),IF(OR(NOT(COUNTIF('商品マスタ'!$B$6:$B$1005,$W9863)=0),COUNTIFS('①在庫を貼る'!$V$6:$V$10005,$V9863,'①在庫を貼る'!$W$6:$W$10005,$W9863)+COUNTIFS('月1回_1ヶ月前の在庫'!$V$6:$V$10005,$V9863,'月1回_1ヶ月前の在庫'!$W$6:$W$10005,$W9863)&gt;0),N(U9862),N(U9862)+1))</f>
        <v/>
      </c>
      <c r="V9863" s="19">
        <f>IF($B9863="","",TEXT($B9863,"0000"))</f>
        <v/>
      </c>
      <c r="W9863" s="19">
        <f>IF($I9863="","",IF(ISNUMBER($I9863),TEXT($I9863,"0"),$I9863))</f>
        <v/>
      </c>
    </row>
    <row r="9864">
      <c r="B9864" s="25" t="n"/>
      <c r="I9864" s="25" t="n"/>
      <c r="U9864" s="19">
        <f>IF($V9864&lt;&gt;'設定'!$C$4,N(U9863),IF(OR(NOT(COUNTIF('商品マスタ'!$B$6:$B$1005,$W9864)=0),COUNTIFS('①在庫を貼る'!$V$6:$V$10005,$V9864,'①在庫を貼る'!$W$6:$W$10005,$W9864)+COUNTIFS('月1回_1ヶ月前の在庫'!$V$6:$V$10005,$V9864,'月1回_1ヶ月前の在庫'!$W$6:$W$10005,$W9864)&gt;0),N(U9863),N(U9863)+1))</f>
        <v/>
      </c>
      <c r="V9864" s="19">
        <f>IF($B9864="","",TEXT($B9864,"0000"))</f>
        <v/>
      </c>
      <c r="W9864" s="19">
        <f>IF($I9864="","",IF(ISNUMBER($I9864),TEXT($I9864,"0"),$I9864))</f>
        <v/>
      </c>
    </row>
    <row r="9865">
      <c r="B9865" s="25" t="n"/>
      <c r="I9865" s="25" t="n"/>
      <c r="U9865" s="19">
        <f>IF($V9865&lt;&gt;'設定'!$C$4,N(U9864),IF(OR(NOT(COUNTIF('商品マスタ'!$B$6:$B$1005,$W9865)=0),COUNTIFS('①在庫を貼る'!$V$6:$V$10005,$V9865,'①在庫を貼る'!$W$6:$W$10005,$W9865)+COUNTIFS('月1回_1ヶ月前の在庫'!$V$6:$V$10005,$V9865,'月1回_1ヶ月前の在庫'!$W$6:$W$10005,$W9865)&gt;0),N(U9864),N(U9864)+1))</f>
        <v/>
      </c>
      <c r="V9865" s="19">
        <f>IF($B9865="","",TEXT($B9865,"0000"))</f>
        <v/>
      </c>
      <c r="W9865" s="19">
        <f>IF($I9865="","",IF(ISNUMBER($I9865),TEXT($I9865,"0"),$I9865))</f>
        <v/>
      </c>
    </row>
    <row r="9866">
      <c r="B9866" s="25" t="n"/>
      <c r="I9866" s="25" t="n"/>
      <c r="U9866" s="19">
        <f>IF($V9866&lt;&gt;'設定'!$C$4,N(U9865),IF(OR(NOT(COUNTIF('商品マスタ'!$B$6:$B$1005,$W9866)=0),COUNTIFS('①在庫を貼る'!$V$6:$V$10005,$V9866,'①在庫を貼る'!$W$6:$W$10005,$W9866)+COUNTIFS('月1回_1ヶ月前の在庫'!$V$6:$V$10005,$V9866,'月1回_1ヶ月前の在庫'!$W$6:$W$10005,$W9866)&gt;0),N(U9865),N(U9865)+1))</f>
        <v/>
      </c>
      <c r="V9866" s="19">
        <f>IF($B9866="","",TEXT($B9866,"0000"))</f>
        <v/>
      </c>
      <c r="W9866" s="19">
        <f>IF($I9866="","",IF(ISNUMBER($I9866),TEXT($I9866,"0"),$I9866))</f>
        <v/>
      </c>
    </row>
    <row r="9867">
      <c r="B9867" s="25" t="n"/>
      <c r="I9867" s="25" t="n"/>
      <c r="U9867" s="19">
        <f>IF($V9867&lt;&gt;'設定'!$C$4,N(U9866),IF(OR(NOT(COUNTIF('商品マスタ'!$B$6:$B$1005,$W9867)=0),COUNTIFS('①在庫を貼る'!$V$6:$V$10005,$V9867,'①在庫を貼る'!$W$6:$W$10005,$W9867)+COUNTIFS('月1回_1ヶ月前の在庫'!$V$6:$V$10005,$V9867,'月1回_1ヶ月前の在庫'!$W$6:$W$10005,$W9867)&gt;0),N(U9866),N(U9866)+1))</f>
        <v/>
      </c>
      <c r="V9867" s="19">
        <f>IF($B9867="","",TEXT($B9867,"0000"))</f>
        <v/>
      </c>
      <c r="W9867" s="19">
        <f>IF($I9867="","",IF(ISNUMBER($I9867),TEXT($I9867,"0"),$I9867))</f>
        <v/>
      </c>
    </row>
    <row r="9868">
      <c r="B9868" s="25" t="n"/>
      <c r="I9868" s="25" t="n"/>
      <c r="U9868" s="19">
        <f>IF($V9868&lt;&gt;'設定'!$C$4,N(U9867),IF(OR(NOT(COUNTIF('商品マスタ'!$B$6:$B$1005,$W9868)=0),COUNTIFS('①在庫を貼る'!$V$6:$V$10005,$V9868,'①在庫を貼る'!$W$6:$W$10005,$W9868)+COUNTIFS('月1回_1ヶ月前の在庫'!$V$6:$V$10005,$V9868,'月1回_1ヶ月前の在庫'!$W$6:$W$10005,$W9868)&gt;0),N(U9867),N(U9867)+1))</f>
        <v/>
      </c>
      <c r="V9868" s="19">
        <f>IF($B9868="","",TEXT($B9868,"0000"))</f>
        <v/>
      </c>
      <c r="W9868" s="19">
        <f>IF($I9868="","",IF(ISNUMBER($I9868),TEXT($I9868,"0"),$I9868))</f>
        <v/>
      </c>
    </row>
    <row r="9869">
      <c r="B9869" s="25" t="n"/>
      <c r="I9869" s="25" t="n"/>
      <c r="U9869" s="19">
        <f>IF($V9869&lt;&gt;'設定'!$C$4,N(U9868),IF(OR(NOT(COUNTIF('商品マスタ'!$B$6:$B$1005,$W9869)=0),COUNTIFS('①在庫を貼る'!$V$6:$V$10005,$V9869,'①在庫を貼る'!$W$6:$W$10005,$W9869)+COUNTIFS('月1回_1ヶ月前の在庫'!$V$6:$V$10005,$V9869,'月1回_1ヶ月前の在庫'!$W$6:$W$10005,$W9869)&gt;0),N(U9868),N(U9868)+1))</f>
        <v/>
      </c>
      <c r="V9869" s="19">
        <f>IF($B9869="","",TEXT($B9869,"0000"))</f>
        <v/>
      </c>
      <c r="W9869" s="19">
        <f>IF($I9869="","",IF(ISNUMBER($I9869),TEXT($I9869,"0"),$I9869))</f>
        <v/>
      </c>
    </row>
    <row r="9870">
      <c r="B9870" s="25" t="n"/>
      <c r="I9870" s="25" t="n"/>
      <c r="U9870" s="19">
        <f>IF($V9870&lt;&gt;'設定'!$C$4,N(U9869),IF(OR(NOT(COUNTIF('商品マスタ'!$B$6:$B$1005,$W9870)=0),COUNTIFS('①在庫を貼る'!$V$6:$V$10005,$V9870,'①在庫を貼る'!$W$6:$W$10005,$W9870)+COUNTIFS('月1回_1ヶ月前の在庫'!$V$6:$V$10005,$V9870,'月1回_1ヶ月前の在庫'!$W$6:$W$10005,$W9870)&gt;0),N(U9869),N(U9869)+1))</f>
        <v/>
      </c>
      <c r="V9870" s="19">
        <f>IF($B9870="","",TEXT($B9870,"0000"))</f>
        <v/>
      </c>
      <c r="W9870" s="19">
        <f>IF($I9870="","",IF(ISNUMBER($I9870),TEXT($I9870,"0"),$I9870))</f>
        <v/>
      </c>
    </row>
    <row r="9871">
      <c r="B9871" s="25" t="n"/>
      <c r="I9871" s="25" t="n"/>
      <c r="U9871" s="19">
        <f>IF($V9871&lt;&gt;'設定'!$C$4,N(U9870),IF(OR(NOT(COUNTIF('商品マスタ'!$B$6:$B$1005,$W9871)=0),COUNTIFS('①在庫を貼る'!$V$6:$V$10005,$V9871,'①在庫を貼る'!$W$6:$W$10005,$W9871)+COUNTIFS('月1回_1ヶ月前の在庫'!$V$6:$V$10005,$V9871,'月1回_1ヶ月前の在庫'!$W$6:$W$10005,$W9871)&gt;0),N(U9870),N(U9870)+1))</f>
        <v/>
      </c>
      <c r="V9871" s="19">
        <f>IF($B9871="","",TEXT($B9871,"0000"))</f>
        <v/>
      </c>
      <c r="W9871" s="19">
        <f>IF($I9871="","",IF(ISNUMBER($I9871),TEXT($I9871,"0"),$I9871))</f>
        <v/>
      </c>
    </row>
    <row r="9872">
      <c r="B9872" s="25" t="n"/>
      <c r="I9872" s="25" t="n"/>
      <c r="U9872" s="19">
        <f>IF($V9872&lt;&gt;'設定'!$C$4,N(U9871),IF(OR(NOT(COUNTIF('商品マスタ'!$B$6:$B$1005,$W9872)=0),COUNTIFS('①在庫を貼る'!$V$6:$V$10005,$V9872,'①在庫を貼る'!$W$6:$W$10005,$W9872)+COUNTIFS('月1回_1ヶ月前の在庫'!$V$6:$V$10005,$V9872,'月1回_1ヶ月前の在庫'!$W$6:$W$10005,$W9872)&gt;0),N(U9871),N(U9871)+1))</f>
        <v/>
      </c>
      <c r="V9872" s="19">
        <f>IF($B9872="","",TEXT($B9872,"0000"))</f>
        <v/>
      </c>
      <c r="W9872" s="19">
        <f>IF($I9872="","",IF(ISNUMBER($I9872),TEXT($I9872,"0"),$I9872))</f>
        <v/>
      </c>
    </row>
    <row r="9873">
      <c r="B9873" s="25" t="n"/>
      <c r="I9873" s="25" t="n"/>
      <c r="U9873" s="19">
        <f>IF($V9873&lt;&gt;'設定'!$C$4,N(U9872),IF(OR(NOT(COUNTIF('商品マスタ'!$B$6:$B$1005,$W9873)=0),COUNTIFS('①在庫を貼る'!$V$6:$V$10005,$V9873,'①在庫を貼る'!$W$6:$W$10005,$W9873)+COUNTIFS('月1回_1ヶ月前の在庫'!$V$6:$V$10005,$V9873,'月1回_1ヶ月前の在庫'!$W$6:$W$10005,$W9873)&gt;0),N(U9872),N(U9872)+1))</f>
        <v/>
      </c>
      <c r="V9873" s="19">
        <f>IF($B9873="","",TEXT($B9873,"0000"))</f>
        <v/>
      </c>
      <c r="W9873" s="19">
        <f>IF($I9873="","",IF(ISNUMBER($I9873),TEXT($I9873,"0"),$I9873))</f>
        <v/>
      </c>
    </row>
    <row r="9874">
      <c r="B9874" s="25" t="n"/>
      <c r="I9874" s="25" t="n"/>
      <c r="U9874" s="19">
        <f>IF($V9874&lt;&gt;'設定'!$C$4,N(U9873),IF(OR(NOT(COUNTIF('商品マスタ'!$B$6:$B$1005,$W9874)=0),COUNTIFS('①在庫を貼る'!$V$6:$V$10005,$V9874,'①在庫を貼る'!$W$6:$W$10005,$W9874)+COUNTIFS('月1回_1ヶ月前の在庫'!$V$6:$V$10005,$V9874,'月1回_1ヶ月前の在庫'!$W$6:$W$10005,$W9874)&gt;0),N(U9873),N(U9873)+1))</f>
        <v/>
      </c>
      <c r="V9874" s="19">
        <f>IF($B9874="","",TEXT($B9874,"0000"))</f>
        <v/>
      </c>
      <c r="W9874" s="19">
        <f>IF($I9874="","",IF(ISNUMBER($I9874),TEXT($I9874,"0"),$I9874))</f>
        <v/>
      </c>
    </row>
    <row r="9875">
      <c r="B9875" s="25" t="n"/>
      <c r="I9875" s="25" t="n"/>
      <c r="U9875" s="19">
        <f>IF($V9875&lt;&gt;'設定'!$C$4,N(U9874),IF(OR(NOT(COUNTIF('商品マスタ'!$B$6:$B$1005,$W9875)=0),COUNTIFS('①在庫を貼る'!$V$6:$V$10005,$V9875,'①在庫を貼る'!$W$6:$W$10005,$W9875)+COUNTIFS('月1回_1ヶ月前の在庫'!$V$6:$V$10005,$V9875,'月1回_1ヶ月前の在庫'!$W$6:$W$10005,$W9875)&gt;0),N(U9874),N(U9874)+1))</f>
        <v/>
      </c>
      <c r="V9875" s="19">
        <f>IF($B9875="","",TEXT($B9875,"0000"))</f>
        <v/>
      </c>
      <c r="W9875" s="19">
        <f>IF($I9875="","",IF(ISNUMBER($I9875),TEXT($I9875,"0"),$I9875))</f>
        <v/>
      </c>
    </row>
    <row r="9876">
      <c r="B9876" s="25" t="n"/>
      <c r="I9876" s="25" t="n"/>
      <c r="U9876" s="19">
        <f>IF($V9876&lt;&gt;'設定'!$C$4,N(U9875),IF(OR(NOT(COUNTIF('商品マスタ'!$B$6:$B$1005,$W9876)=0),COUNTIFS('①在庫を貼る'!$V$6:$V$10005,$V9876,'①在庫を貼る'!$W$6:$W$10005,$W9876)+COUNTIFS('月1回_1ヶ月前の在庫'!$V$6:$V$10005,$V9876,'月1回_1ヶ月前の在庫'!$W$6:$W$10005,$W9876)&gt;0),N(U9875),N(U9875)+1))</f>
        <v/>
      </c>
      <c r="V9876" s="19">
        <f>IF($B9876="","",TEXT($B9876,"0000"))</f>
        <v/>
      </c>
      <c r="W9876" s="19">
        <f>IF($I9876="","",IF(ISNUMBER($I9876),TEXT($I9876,"0"),$I9876))</f>
        <v/>
      </c>
    </row>
    <row r="9877">
      <c r="B9877" s="25" t="n"/>
      <c r="I9877" s="25" t="n"/>
      <c r="U9877" s="19">
        <f>IF($V9877&lt;&gt;'設定'!$C$4,N(U9876),IF(OR(NOT(COUNTIF('商品マスタ'!$B$6:$B$1005,$W9877)=0),COUNTIFS('①在庫を貼る'!$V$6:$V$10005,$V9877,'①在庫を貼る'!$W$6:$W$10005,$W9877)+COUNTIFS('月1回_1ヶ月前の在庫'!$V$6:$V$10005,$V9877,'月1回_1ヶ月前の在庫'!$W$6:$W$10005,$W9877)&gt;0),N(U9876),N(U9876)+1))</f>
        <v/>
      </c>
      <c r="V9877" s="19">
        <f>IF($B9877="","",TEXT($B9877,"0000"))</f>
        <v/>
      </c>
      <c r="W9877" s="19">
        <f>IF($I9877="","",IF(ISNUMBER($I9877),TEXT($I9877,"0"),$I9877))</f>
        <v/>
      </c>
    </row>
    <row r="9878">
      <c r="B9878" s="25" t="n"/>
      <c r="I9878" s="25" t="n"/>
      <c r="U9878" s="19">
        <f>IF($V9878&lt;&gt;'設定'!$C$4,N(U9877),IF(OR(NOT(COUNTIF('商品マスタ'!$B$6:$B$1005,$W9878)=0),COUNTIFS('①在庫を貼る'!$V$6:$V$10005,$V9878,'①在庫を貼る'!$W$6:$W$10005,$W9878)+COUNTIFS('月1回_1ヶ月前の在庫'!$V$6:$V$10005,$V9878,'月1回_1ヶ月前の在庫'!$W$6:$W$10005,$W9878)&gt;0),N(U9877),N(U9877)+1))</f>
        <v/>
      </c>
      <c r="V9878" s="19">
        <f>IF($B9878="","",TEXT($B9878,"0000"))</f>
        <v/>
      </c>
      <c r="W9878" s="19">
        <f>IF($I9878="","",IF(ISNUMBER($I9878),TEXT($I9878,"0"),$I9878))</f>
        <v/>
      </c>
    </row>
    <row r="9879">
      <c r="B9879" s="25" t="n"/>
      <c r="I9879" s="25" t="n"/>
      <c r="U9879" s="19">
        <f>IF($V9879&lt;&gt;'設定'!$C$4,N(U9878),IF(OR(NOT(COUNTIF('商品マスタ'!$B$6:$B$1005,$W9879)=0),COUNTIFS('①在庫を貼る'!$V$6:$V$10005,$V9879,'①在庫を貼る'!$W$6:$W$10005,$W9879)+COUNTIFS('月1回_1ヶ月前の在庫'!$V$6:$V$10005,$V9879,'月1回_1ヶ月前の在庫'!$W$6:$W$10005,$W9879)&gt;0),N(U9878),N(U9878)+1))</f>
        <v/>
      </c>
      <c r="V9879" s="19">
        <f>IF($B9879="","",TEXT($B9879,"0000"))</f>
        <v/>
      </c>
      <c r="W9879" s="19">
        <f>IF($I9879="","",IF(ISNUMBER($I9879),TEXT($I9879,"0"),$I9879))</f>
        <v/>
      </c>
    </row>
    <row r="9880">
      <c r="B9880" s="25" t="n"/>
      <c r="I9880" s="25" t="n"/>
      <c r="U9880" s="19">
        <f>IF($V9880&lt;&gt;'設定'!$C$4,N(U9879),IF(OR(NOT(COUNTIF('商品マスタ'!$B$6:$B$1005,$W9880)=0),COUNTIFS('①在庫を貼る'!$V$6:$V$10005,$V9880,'①在庫を貼る'!$W$6:$W$10005,$W9880)+COUNTIFS('月1回_1ヶ月前の在庫'!$V$6:$V$10005,$V9880,'月1回_1ヶ月前の在庫'!$W$6:$W$10005,$W9880)&gt;0),N(U9879),N(U9879)+1))</f>
        <v/>
      </c>
      <c r="V9880" s="19">
        <f>IF($B9880="","",TEXT($B9880,"0000"))</f>
        <v/>
      </c>
      <c r="W9880" s="19">
        <f>IF($I9880="","",IF(ISNUMBER($I9880),TEXT($I9880,"0"),$I9880))</f>
        <v/>
      </c>
    </row>
    <row r="9881">
      <c r="B9881" s="25" t="n"/>
      <c r="I9881" s="25" t="n"/>
      <c r="U9881" s="19">
        <f>IF($V9881&lt;&gt;'設定'!$C$4,N(U9880),IF(OR(NOT(COUNTIF('商品マスタ'!$B$6:$B$1005,$W9881)=0),COUNTIFS('①在庫を貼る'!$V$6:$V$10005,$V9881,'①在庫を貼る'!$W$6:$W$10005,$W9881)+COUNTIFS('月1回_1ヶ月前の在庫'!$V$6:$V$10005,$V9881,'月1回_1ヶ月前の在庫'!$W$6:$W$10005,$W9881)&gt;0),N(U9880),N(U9880)+1))</f>
        <v/>
      </c>
      <c r="V9881" s="19">
        <f>IF($B9881="","",TEXT($B9881,"0000"))</f>
        <v/>
      </c>
      <c r="W9881" s="19">
        <f>IF($I9881="","",IF(ISNUMBER($I9881),TEXT($I9881,"0"),$I9881))</f>
        <v/>
      </c>
    </row>
    <row r="9882">
      <c r="B9882" s="25" t="n"/>
      <c r="I9882" s="25" t="n"/>
      <c r="U9882" s="19">
        <f>IF($V9882&lt;&gt;'設定'!$C$4,N(U9881),IF(OR(NOT(COUNTIF('商品マスタ'!$B$6:$B$1005,$W9882)=0),COUNTIFS('①在庫を貼る'!$V$6:$V$10005,$V9882,'①在庫を貼る'!$W$6:$W$10005,$W9882)+COUNTIFS('月1回_1ヶ月前の在庫'!$V$6:$V$10005,$V9882,'月1回_1ヶ月前の在庫'!$W$6:$W$10005,$W9882)&gt;0),N(U9881),N(U9881)+1))</f>
        <v/>
      </c>
      <c r="V9882" s="19">
        <f>IF($B9882="","",TEXT($B9882,"0000"))</f>
        <v/>
      </c>
      <c r="W9882" s="19">
        <f>IF($I9882="","",IF(ISNUMBER($I9882),TEXT($I9882,"0"),$I9882))</f>
        <v/>
      </c>
    </row>
    <row r="9883">
      <c r="B9883" s="25" t="n"/>
      <c r="I9883" s="25" t="n"/>
      <c r="U9883" s="19">
        <f>IF($V9883&lt;&gt;'設定'!$C$4,N(U9882),IF(OR(NOT(COUNTIF('商品マスタ'!$B$6:$B$1005,$W9883)=0),COUNTIFS('①在庫を貼る'!$V$6:$V$10005,$V9883,'①在庫を貼る'!$W$6:$W$10005,$W9883)+COUNTIFS('月1回_1ヶ月前の在庫'!$V$6:$V$10005,$V9883,'月1回_1ヶ月前の在庫'!$W$6:$W$10005,$W9883)&gt;0),N(U9882),N(U9882)+1))</f>
        <v/>
      </c>
      <c r="V9883" s="19">
        <f>IF($B9883="","",TEXT($B9883,"0000"))</f>
        <v/>
      </c>
      <c r="W9883" s="19">
        <f>IF($I9883="","",IF(ISNUMBER($I9883),TEXT($I9883,"0"),$I9883))</f>
        <v/>
      </c>
    </row>
    <row r="9884">
      <c r="B9884" s="25" t="n"/>
      <c r="I9884" s="25" t="n"/>
      <c r="U9884" s="19">
        <f>IF($V9884&lt;&gt;'設定'!$C$4,N(U9883),IF(OR(NOT(COUNTIF('商品マスタ'!$B$6:$B$1005,$W9884)=0),COUNTIFS('①在庫を貼る'!$V$6:$V$10005,$V9884,'①在庫を貼る'!$W$6:$W$10005,$W9884)+COUNTIFS('月1回_1ヶ月前の在庫'!$V$6:$V$10005,$V9884,'月1回_1ヶ月前の在庫'!$W$6:$W$10005,$W9884)&gt;0),N(U9883),N(U9883)+1))</f>
        <v/>
      </c>
      <c r="V9884" s="19">
        <f>IF($B9884="","",TEXT($B9884,"0000"))</f>
        <v/>
      </c>
      <c r="W9884" s="19">
        <f>IF($I9884="","",IF(ISNUMBER($I9884),TEXT($I9884,"0"),$I9884))</f>
        <v/>
      </c>
    </row>
    <row r="9885">
      <c r="B9885" s="25" t="n"/>
      <c r="I9885" s="25" t="n"/>
      <c r="U9885" s="19">
        <f>IF($V9885&lt;&gt;'設定'!$C$4,N(U9884),IF(OR(NOT(COUNTIF('商品マスタ'!$B$6:$B$1005,$W9885)=0),COUNTIFS('①在庫を貼る'!$V$6:$V$10005,$V9885,'①在庫を貼る'!$W$6:$W$10005,$W9885)+COUNTIFS('月1回_1ヶ月前の在庫'!$V$6:$V$10005,$V9885,'月1回_1ヶ月前の在庫'!$W$6:$W$10005,$W9885)&gt;0),N(U9884),N(U9884)+1))</f>
        <v/>
      </c>
      <c r="V9885" s="19">
        <f>IF($B9885="","",TEXT($B9885,"0000"))</f>
        <v/>
      </c>
      <c r="W9885" s="19">
        <f>IF($I9885="","",IF(ISNUMBER($I9885),TEXT($I9885,"0"),$I9885))</f>
        <v/>
      </c>
    </row>
    <row r="9886">
      <c r="B9886" s="25" t="n"/>
      <c r="I9886" s="25" t="n"/>
      <c r="U9886" s="19">
        <f>IF($V9886&lt;&gt;'設定'!$C$4,N(U9885),IF(OR(NOT(COUNTIF('商品マスタ'!$B$6:$B$1005,$W9886)=0),COUNTIFS('①在庫を貼る'!$V$6:$V$10005,$V9886,'①在庫を貼る'!$W$6:$W$10005,$W9886)+COUNTIFS('月1回_1ヶ月前の在庫'!$V$6:$V$10005,$V9886,'月1回_1ヶ月前の在庫'!$W$6:$W$10005,$W9886)&gt;0),N(U9885),N(U9885)+1))</f>
        <v/>
      </c>
      <c r="V9886" s="19">
        <f>IF($B9886="","",TEXT($B9886,"0000"))</f>
        <v/>
      </c>
      <c r="W9886" s="19">
        <f>IF($I9886="","",IF(ISNUMBER($I9886),TEXT($I9886,"0"),$I9886))</f>
        <v/>
      </c>
    </row>
    <row r="9887">
      <c r="B9887" s="25" t="n"/>
      <c r="I9887" s="25" t="n"/>
      <c r="U9887" s="19">
        <f>IF($V9887&lt;&gt;'設定'!$C$4,N(U9886),IF(OR(NOT(COUNTIF('商品マスタ'!$B$6:$B$1005,$W9887)=0),COUNTIFS('①在庫を貼る'!$V$6:$V$10005,$V9887,'①在庫を貼る'!$W$6:$W$10005,$W9887)+COUNTIFS('月1回_1ヶ月前の在庫'!$V$6:$V$10005,$V9887,'月1回_1ヶ月前の在庫'!$W$6:$W$10005,$W9887)&gt;0),N(U9886),N(U9886)+1))</f>
        <v/>
      </c>
      <c r="V9887" s="19">
        <f>IF($B9887="","",TEXT($B9887,"0000"))</f>
        <v/>
      </c>
      <c r="W9887" s="19">
        <f>IF($I9887="","",IF(ISNUMBER($I9887),TEXT($I9887,"0"),$I9887))</f>
        <v/>
      </c>
    </row>
    <row r="9888">
      <c r="B9888" s="25" t="n"/>
      <c r="I9888" s="25" t="n"/>
      <c r="U9888" s="19">
        <f>IF($V9888&lt;&gt;'設定'!$C$4,N(U9887),IF(OR(NOT(COUNTIF('商品マスタ'!$B$6:$B$1005,$W9888)=0),COUNTIFS('①在庫を貼る'!$V$6:$V$10005,$V9888,'①在庫を貼る'!$W$6:$W$10005,$W9888)+COUNTIFS('月1回_1ヶ月前の在庫'!$V$6:$V$10005,$V9888,'月1回_1ヶ月前の在庫'!$W$6:$W$10005,$W9888)&gt;0),N(U9887),N(U9887)+1))</f>
        <v/>
      </c>
      <c r="V9888" s="19">
        <f>IF($B9888="","",TEXT($B9888,"0000"))</f>
        <v/>
      </c>
      <c r="W9888" s="19">
        <f>IF($I9888="","",IF(ISNUMBER($I9888),TEXT($I9888,"0"),$I9888))</f>
        <v/>
      </c>
    </row>
    <row r="9889">
      <c r="B9889" s="25" t="n"/>
      <c r="I9889" s="25" t="n"/>
      <c r="U9889" s="19">
        <f>IF($V9889&lt;&gt;'設定'!$C$4,N(U9888),IF(OR(NOT(COUNTIF('商品マスタ'!$B$6:$B$1005,$W9889)=0),COUNTIFS('①在庫を貼る'!$V$6:$V$10005,$V9889,'①在庫を貼る'!$W$6:$W$10005,$W9889)+COUNTIFS('月1回_1ヶ月前の在庫'!$V$6:$V$10005,$V9889,'月1回_1ヶ月前の在庫'!$W$6:$W$10005,$W9889)&gt;0),N(U9888),N(U9888)+1))</f>
        <v/>
      </c>
      <c r="V9889" s="19">
        <f>IF($B9889="","",TEXT($B9889,"0000"))</f>
        <v/>
      </c>
      <c r="W9889" s="19">
        <f>IF($I9889="","",IF(ISNUMBER($I9889),TEXT($I9889,"0"),$I9889))</f>
        <v/>
      </c>
    </row>
    <row r="9890">
      <c r="B9890" s="25" t="n"/>
      <c r="I9890" s="25" t="n"/>
      <c r="U9890" s="19">
        <f>IF($V9890&lt;&gt;'設定'!$C$4,N(U9889),IF(OR(NOT(COUNTIF('商品マスタ'!$B$6:$B$1005,$W9890)=0),COUNTIFS('①在庫を貼る'!$V$6:$V$10005,$V9890,'①在庫を貼る'!$W$6:$W$10005,$W9890)+COUNTIFS('月1回_1ヶ月前の在庫'!$V$6:$V$10005,$V9890,'月1回_1ヶ月前の在庫'!$W$6:$W$10005,$W9890)&gt;0),N(U9889),N(U9889)+1))</f>
        <v/>
      </c>
      <c r="V9890" s="19">
        <f>IF($B9890="","",TEXT($B9890,"0000"))</f>
        <v/>
      </c>
      <c r="W9890" s="19">
        <f>IF($I9890="","",IF(ISNUMBER($I9890),TEXT($I9890,"0"),$I9890))</f>
        <v/>
      </c>
    </row>
    <row r="9891">
      <c r="B9891" s="25" t="n"/>
      <c r="I9891" s="25" t="n"/>
      <c r="U9891" s="19">
        <f>IF($V9891&lt;&gt;'設定'!$C$4,N(U9890),IF(OR(NOT(COUNTIF('商品マスタ'!$B$6:$B$1005,$W9891)=0),COUNTIFS('①在庫を貼る'!$V$6:$V$10005,$V9891,'①在庫を貼る'!$W$6:$W$10005,$W9891)+COUNTIFS('月1回_1ヶ月前の在庫'!$V$6:$V$10005,$V9891,'月1回_1ヶ月前の在庫'!$W$6:$W$10005,$W9891)&gt;0),N(U9890),N(U9890)+1))</f>
        <v/>
      </c>
      <c r="V9891" s="19">
        <f>IF($B9891="","",TEXT($B9891,"0000"))</f>
        <v/>
      </c>
      <c r="W9891" s="19">
        <f>IF($I9891="","",IF(ISNUMBER($I9891),TEXT($I9891,"0"),$I9891))</f>
        <v/>
      </c>
    </row>
    <row r="9892">
      <c r="B9892" s="25" t="n"/>
      <c r="I9892" s="25" t="n"/>
      <c r="U9892" s="19">
        <f>IF($V9892&lt;&gt;'設定'!$C$4,N(U9891),IF(OR(NOT(COUNTIF('商品マスタ'!$B$6:$B$1005,$W9892)=0),COUNTIFS('①在庫を貼る'!$V$6:$V$10005,$V9892,'①在庫を貼る'!$W$6:$W$10005,$W9892)+COUNTIFS('月1回_1ヶ月前の在庫'!$V$6:$V$10005,$V9892,'月1回_1ヶ月前の在庫'!$W$6:$W$10005,$W9892)&gt;0),N(U9891),N(U9891)+1))</f>
        <v/>
      </c>
      <c r="V9892" s="19">
        <f>IF($B9892="","",TEXT($B9892,"0000"))</f>
        <v/>
      </c>
      <c r="W9892" s="19">
        <f>IF($I9892="","",IF(ISNUMBER($I9892),TEXT($I9892,"0"),$I9892))</f>
        <v/>
      </c>
    </row>
    <row r="9893">
      <c r="B9893" s="25" t="n"/>
      <c r="I9893" s="25" t="n"/>
      <c r="U9893" s="19">
        <f>IF($V9893&lt;&gt;'設定'!$C$4,N(U9892),IF(OR(NOT(COUNTIF('商品マスタ'!$B$6:$B$1005,$W9893)=0),COUNTIFS('①在庫を貼る'!$V$6:$V$10005,$V9893,'①在庫を貼る'!$W$6:$W$10005,$W9893)+COUNTIFS('月1回_1ヶ月前の在庫'!$V$6:$V$10005,$V9893,'月1回_1ヶ月前の在庫'!$W$6:$W$10005,$W9893)&gt;0),N(U9892),N(U9892)+1))</f>
        <v/>
      </c>
      <c r="V9893" s="19">
        <f>IF($B9893="","",TEXT($B9893,"0000"))</f>
        <v/>
      </c>
      <c r="W9893" s="19">
        <f>IF($I9893="","",IF(ISNUMBER($I9893),TEXT($I9893,"0"),$I9893))</f>
        <v/>
      </c>
    </row>
    <row r="9894">
      <c r="B9894" s="25" t="n"/>
      <c r="I9894" s="25" t="n"/>
      <c r="U9894" s="19">
        <f>IF($V9894&lt;&gt;'設定'!$C$4,N(U9893),IF(OR(NOT(COUNTIF('商品マスタ'!$B$6:$B$1005,$W9894)=0),COUNTIFS('①在庫を貼る'!$V$6:$V$10005,$V9894,'①在庫を貼る'!$W$6:$W$10005,$W9894)+COUNTIFS('月1回_1ヶ月前の在庫'!$V$6:$V$10005,$V9894,'月1回_1ヶ月前の在庫'!$W$6:$W$10005,$W9894)&gt;0),N(U9893),N(U9893)+1))</f>
        <v/>
      </c>
      <c r="V9894" s="19">
        <f>IF($B9894="","",TEXT($B9894,"0000"))</f>
        <v/>
      </c>
      <c r="W9894" s="19">
        <f>IF($I9894="","",IF(ISNUMBER($I9894),TEXT($I9894,"0"),$I9894))</f>
        <v/>
      </c>
    </row>
    <row r="9895">
      <c r="B9895" s="25" t="n"/>
      <c r="I9895" s="25" t="n"/>
      <c r="U9895" s="19">
        <f>IF($V9895&lt;&gt;'設定'!$C$4,N(U9894),IF(OR(NOT(COUNTIF('商品マスタ'!$B$6:$B$1005,$W9895)=0),COUNTIFS('①在庫を貼る'!$V$6:$V$10005,$V9895,'①在庫を貼る'!$W$6:$W$10005,$W9895)+COUNTIFS('月1回_1ヶ月前の在庫'!$V$6:$V$10005,$V9895,'月1回_1ヶ月前の在庫'!$W$6:$W$10005,$W9895)&gt;0),N(U9894),N(U9894)+1))</f>
        <v/>
      </c>
      <c r="V9895" s="19">
        <f>IF($B9895="","",TEXT($B9895,"0000"))</f>
        <v/>
      </c>
      <c r="W9895" s="19">
        <f>IF($I9895="","",IF(ISNUMBER($I9895),TEXT($I9895,"0"),$I9895))</f>
        <v/>
      </c>
    </row>
    <row r="9896">
      <c r="B9896" s="25" t="n"/>
      <c r="I9896" s="25" t="n"/>
      <c r="U9896" s="19">
        <f>IF($V9896&lt;&gt;'設定'!$C$4,N(U9895),IF(OR(NOT(COUNTIF('商品マスタ'!$B$6:$B$1005,$W9896)=0),COUNTIFS('①在庫を貼る'!$V$6:$V$10005,$V9896,'①在庫を貼る'!$W$6:$W$10005,$W9896)+COUNTIFS('月1回_1ヶ月前の在庫'!$V$6:$V$10005,$V9896,'月1回_1ヶ月前の在庫'!$W$6:$W$10005,$W9896)&gt;0),N(U9895),N(U9895)+1))</f>
        <v/>
      </c>
      <c r="V9896" s="19">
        <f>IF($B9896="","",TEXT($B9896,"0000"))</f>
        <v/>
      </c>
      <c r="W9896" s="19">
        <f>IF($I9896="","",IF(ISNUMBER($I9896),TEXT($I9896,"0"),$I9896))</f>
        <v/>
      </c>
    </row>
    <row r="9897">
      <c r="B9897" s="25" t="n"/>
      <c r="I9897" s="25" t="n"/>
      <c r="U9897" s="19">
        <f>IF($V9897&lt;&gt;'設定'!$C$4,N(U9896),IF(OR(NOT(COUNTIF('商品マスタ'!$B$6:$B$1005,$W9897)=0),COUNTIFS('①在庫を貼る'!$V$6:$V$10005,$V9897,'①在庫を貼る'!$W$6:$W$10005,$W9897)+COUNTIFS('月1回_1ヶ月前の在庫'!$V$6:$V$10005,$V9897,'月1回_1ヶ月前の在庫'!$W$6:$W$10005,$W9897)&gt;0),N(U9896),N(U9896)+1))</f>
        <v/>
      </c>
      <c r="V9897" s="19">
        <f>IF($B9897="","",TEXT($B9897,"0000"))</f>
        <v/>
      </c>
      <c r="W9897" s="19">
        <f>IF($I9897="","",IF(ISNUMBER($I9897),TEXT($I9897,"0"),$I9897))</f>
        <v/>
      </c>
    </row>
    <row r="9898">
      <c r="B9898" s="25" t="n"/>
      <c r="I9898" s="25" t="n"/>
      <c r="U9898" s="19">
        <f>IF($V9898&lt;&gt;'設定'!$C$4,N(U9897),IF(OR(NOT(COUNTIF('商品マスタ'!$B$6:$B$1005,$W9898)=0),COUNTIFS('①在庫を貼る'!$V$6:$V$10005,$V9898,'①在庫を貼る'!$W$6:$W$10005,$W9898)+COUNTIFS('月1回_1ヶ月前の在庫'!$V$6:$V$10005,$V9898,'月1回_1ヶ月前の在庫'!$W$6:$W$10005,$W9898)&gt;0),N(U9897),N(U9897)+1))</f>
        <v/>
      </c>
      <c r="V9898" s="19">
        <f>IF($B9898="","",TEXT($B9898,"0000"))</f>
        <v/>
      </c>
      <c r="W9898" s="19">
        <f>IF($I9898="","",IF(ISNUMBER($I9898),TEXT($I9898,"0"),$I9898))</f>
        <v/>
      </c>
    </row>
    <row r="9899">
      <c r="B9899" s="25" t="n"/>
      <c r="I9899" s="25" t="n"/>
      <c r="U9899" s="19">
        <f>IF($V9899&lt;&gt;'設定'!$C$4,N(U9898),IF(OR(NOT(COUNTIF('商品マスタ'!$B$6:$B$1005,$W9899)=0),COUNTIFS('①在庫を貼る'!$V$6:$V$10005,$V9899,'①在庫を貼る'!$W$6:$W$10005,$W9899)+COUNTIFS('月1回_1ヶ月前の在庫'!$V$6:$V$10005,$V9899,'月1回_1ヶ月前の在庫'!$W$6:$W$10005,$W9899)&gt;0),N(U9898),N(U9898)+1))</f>
        <v/>
      </c>
      <c r="V9899" s="19">
        <f>IF($B9899="","",TEXT($B9899,"0000"))</f>
        <v/>
      </c>
      <c r="W9899" s="19">
        <f>IF($I9899="","",IF(ISNUMBER($I9899),TEXT($I9899,"0"),$I9899))</f>
        <v/>
      </c>
    </row>
    <row r="9900">
      <c r="B9900" s="25" t="n"/>
      <c r="I9900" s="25" t="n"/>
      <c r="U9900" s="19">
        <f>IF($V9900&lt;&gt;'設定'!$C$4,N(U9899),IF(OR(NOT(COUNTIF('商品マスタ'!$B$6:$B$1005,$W9900)=0),COUNTIFS('①在庫を貼る'!$V$6:$V$10005,$V9900,'①在庫を貼る'!$W$6:$W$10005,$W9900)+COUNTIFS('月1回_1ヶ月前の在庫'!$V$6:$V$10005,$V9900,'月1回_1ヶ月前の在庫'!$W$6:$W$10005,$W9900)&gt;0),N(U9899),N(U9899)+1))</f>
        <v/>
      </c>
      <c r="V9900" s="19">
        <f>IF($B9900="","",TEXT($B9900,"0000"))</f>
        <v/>
      </c>
      <c r="W9900" s="19">
        <f>IF($I9900="","",IF(ISNUMBER($I9900),TEXT($I9900,"0"),$I9900))</f>
        <v/>
      </c>
    </row>
    <row r="9901">
      <c r="B9901" s="25" t="n"/>
      <c r="I9901" s="25" t="n"/>
      <c r="U9901" s="19">
        <f>IF($V9901&lt;&gt;'設定'!$C$4,N(U9900),IF(OR(NOT(COUNTIF('商品マスタ'!$B$6:$B$1005,$W9901)=0),COUNTIFS('①在庫を貼る'!$V$6:$V$10005,$V9901,'①在庫を貼る'!$W$6:$W$10005,$W9901)+COUNTIFS('月1回_1ヶ月前の在庫'!$V$6:$V$10005,$V9901,'月1回_1ヶ月前の在庫'!$W$6:$W$10005,$W9901)&gt;0),N(U9900),N(U9900)+1))</f>
        <v/>
      </c>
      <c r="V9901" s="19">
        <f>IF($B9901="","",TEXT($B9901,"0000"))</f>
        <v/>
      </c>
      <c r="W9901" s="19">
        <f>IF($I9901="","",IF(ISNUMBER($I9901),TEXT($I9901,"0"),$I9901))</f>
        <v/>
      </c>
    </row>
    <row r="9902">
      <c r="B9902" s="25" t="n"/>
      <c r="I9902" s="25" t="n"/>
      <c r="U9902" s="19">
        <f>IF($V9902&lt;&gt;'設定'!$C$4,N(U9901),IF(OR(NOT(COUNTIF('商品マスタ'!$B$6:$B$1005,$W9902)=0),COUNTIFS('①在庫を貼る'!$V$6:$V$10005,$V9902,'①在庫を貼る'!$W$6:$W$10005,$W9902)+COUNTIFS('月1回_1ヶ月前の在庫'!$V$6:$V$10005,$V9902,'月1回_1ヶ月前の在庫'!$W$6:$W$10005,$W9902)&gt;0),N(U9901),N(U9901)+1))</f>
        <v/>
      </c>
      <c r="V9902" s="19">
        <f>IF($B9902="","",TEXT($B9902,"0000"))</f>
        <v/>
      </c>
      <c r="W9902" s="19">
        <f>IF($I9902="","",IF(ISNUMBER($I9902),TEXT($I9902,"0"),$I9902))</f>
        <v/>
      </c>
    </row>
    <row r="9903">
      <c r="B9903" s="25" t="n"/>
      <c r="I9903" s="25" t="n"/>
      <c r="U9903" s="19">
        <f>IF($V9903&lt;&gt;'設定'!$C$4,N(U9902),IF(OR(NOT(COUNTIF('商品マスタ'!$B$6:$B$1005,$W9903)=0),COUNTIFS('①在庫を貼る'!$V$6:$V$10005,$V9903,'①在庫を貼る'!$W$6:$W$10005,$W9903)+COUNTIFS('月1回_1ヶ月前の在庫'!$V$6:$V$10005,$V9903,'月1回_1ヶ月前の在庫'!$W$6:$W$10005,$W9903)&gt;0),N(U9902),N(U9902)+1))</f>
        <v/>
      </c>
      <c r="V9903" s="19">
        <f>IF($B9903="","",TEXT($B9903,"0000"))</f>
        <v/>
      </c>
      <c r="W9903" s="19">
        <f>IF($I9903="","",IF(ISNUMBER($I9903),TEXT($I9903,"0"),$I9903))</f>
        <v/>
      </c>
    </row>
    <row r="9904">
      <c r="B9904" s="25" t="n"/>
      <c r="I9904" s="25" t="n"/>
      <c r="U9904" s="19">
        <f>IF($V9904&lt;&gt;'設定'!$C$4,N(U9903),IF(OR(NOT(COUNTIF('商品マスタ'!$B$6:$B$1005,$W9904)=0),COUNTIFS('①在庫を貼る'!$V$6:$V$10005,$V9904,'①在庫を貼る'!$W$6:$W$10005,$W9904)+COUNTIFS('月1回_1ヶ月前の在庫'!$V$6:$V$10005,$V9904,'月1回_1ヶ月前の在庫'!$W$6:$W$10005,$W9904)&gt;0),N(U9903),N(U9903)+1))</f>
        <v/>
      </c>
      <c r="V9904" s="19">
        <f>IF($B9904="","",TEXT($B9904,"0000"))</f>
        <v/>
      </c>
      <c r="W9904" s="19">
        <f>IF($I9904="","",IF(ISNUMBER($I9904),TEXT($I9904,"0"),$I9904))</f>
        <v/>
      </c>
    </row>
    <row r="9905">
      <c r="B9905" s="25" t="n"/>
      <c r="I9905" s="25" t="n"/>
      <c r="U9905" s="19">
        <f>IF($V9905&lt;&gt;'設定'!$C$4,N(U9904),IF(OR(NOT(COUNTIF('商品マスタ'!$B$6:$B$1005,$W9905)=0),COUNTIFS('①在庫を貼る'!$V$6:$V$10005,$V9905,'①在庫を貼る'!$W$6:$W$10005,$W9905)+COUNTIFS('月1回_1ヶ月前の在庫'!$V$6:$V$10005,$V9905,'月1回_1ヶ月前の在庫'!$W$6:$W$10005,$W9905)&gt;0),N(U9904),N(U9904)+1))</f>
        <v/>
      </c>
      <c r="V9905" s="19">
        <f>IF($B9905="","",TEXT($B9905,"0000"))</f>
        <v/>
      </c>
      <c r="W9905" s="19">
        <f>IF($I9905="","",IF(ISNUMBER($I9905),TEXT($I9905,"0"),$I9905))</f>
        <v/>
      </c>
    </row>
    <row r="9906">
      <c r="B9906" s="25" t="n"/>
      <c r="I9906" s="25" t="n"/>
      <c r="U9906" s="19">
        <f>IF($V9906&lt;&gt;'設定'!$C$4,N(U9905),IF(OR(NOT(COUNTIF('商品マスタ'!$B$6:$B$1005,$W9906)=0),COUNTIFS('①在庫を貼る'!$V$6:$V$10005,$V9906,'①在庫を貼る'!$W$6:$W$10005,$W9906)+COUNTIFS('月1回_1ヶ月前の在庫'!$V$6:$V$10005,$V9906,'月1回_1ヶ月前の在庫'!$W$6:$W$10005,$W9906)&gt;0),N(U9905),N(U9905)+1))</f>
        <v/>
      </c>
      <c r="V9906" s="19">
        <f>IF($B9906="","",TEXT($B9906,"0000"))</f>
        <v/>
      </c>
      <c r="W9906" s="19">
        <f>IF($I9906="","",IF(ISNUMBER($I9906),TEXT($I9906,"0"),$I9906))</f>
        <v/>
      </c>
    </row>
    <row r="9907">
      <c r="B9907" s="25" t="n"/>
      <c r="I9907" s="25" t="n"/>
      <c r="U9907" s="19">
        <f>IF($V9907&lt;&gt;'設定'!$C$4,N(U9906),IF(OR(NOT(COUNTIF('商品マスタ'!$B$6:$B$1005,$W9907)=0),COUNTIFS('①在庫を貼る'!$V$6:$V$10005,$V9907,'①在庫を貼る'!$W$6:$W$10005,$W9907)+COUNTIFS('月1回_1ヶ月前の在庫'!$V$6:$V$10005,$V9907,'月1回_1ヶ月前の在庫'!$W$6:$W$10005,$W9907)&gt;0),N(U9906),N(U9906)+1))</f>
        <v/>
      </c>
      <c r="V9907" s="19">
        <f>IF($B9907="","",TEXT($B9907,"0000"))</f>
        <v/>
      </c>
      <c r="W9907" s="19">
        <f>IF($I9907="","",IF(ISNUMBER($I9907),TEXT($I9907,"0"),$I9907))</f>
        <v/>
      </c>
    </row>
    <row r="9908">
      <c r="B9908" s="25" t="n"/>
      <c r="I9908" s="25" t="n"/>
      <c r="U9908" s="19">
        <f>IF($V9908&lt;&gt;'設定'!$C$4,N(U9907),IF(OR(NOT(COUNTIF('商品マスタ'!$B$6:$B$1005,$W9908)=0),COUNTIFS('①在庫を貼る'!$V$6:$V$10005,$V9908,'①在庫を貼る'!$W$6:$W$10005,$W9908)+COUNTIFS('月1回_1ヶ月前の在庫'!$V$6:$V$10005,$V9908,'月1回_1ヶ月前の在庫'!$W$6:$W$10005,$W9908)&gt;0),N(U9907),N(U9907)+1))</f>
        <v/>
      </c>
      <c r="V9908" s="19">
        <f>IF($B9908="","",TEXT($B9908,"0000"))</f>
        <v/>
      </c>
      <c r="W9908" s="19">
        <f>IF($I9908="","",IF(ISNUMBER($I9908),TEXT($I9908,"0"),$I9908))</f>
        <v/>
      </c>
    </row>
    <row r="9909">
      <c r="B9909" s="25" t="n"/>
      <c r="I9909" s="25" t="n"/>
      <c r="U9909" s="19">
        <f>IF($V9909&lt;&gt;'設定'!$C$4,N(U9908),IF(OR(NOT(COUNTIF('商品マスタ'!$B$6:$B$1005,$W9909)=0),COUNTIFS('①在庫を貼る'!$V$6:$V$10005,$V9909,'①在庫を貼る'!$W$6:$W$10005,$W9909)+COUNTIFS('月1回_1ヶ月前の在庫'!$V$6:$V$10005,$V9909,'月1回_1ヶ月前の在庫'!$W$6:$W$10005,$W9909)&gt;0),N(U9908),N(U9908)+1))</f>
        <v/>
      </c>
      <c r="V9909" s="19">
        <f>IF($B9909="","",TEXT($B9909,"0000"))</f>
        <v/>
      </c>
      <c r="W9909" s="19">
        <f>IF($I9909="","",IF(ISNUMBER($I9909),TEXT($I9909,"0"),$I9909))</f>
        <v/>
      </c>
    </row>
    <row r="9910">
      <c r="B9910" s="25" t="n"/>
      <c r="I9910" s="25" t="n"/>
      <c r="U9910" s="19">
        <f>IF($V9910&lt;&gt;'設定'!$C$4,N(U9909),IF(OR(NOT(COUNTIF('商品マスタ'!$B$6:$B$1005,$W9910)=0),COUNTIFS('①在庫を貼る'!$V$6:$V$10005,$V9910,'①在庫を貼る'!$W$6:$W$10005,$W9910)+COUNTIFS('月1回_1ヶ月前の在庫'!$V$6:$V$10005,$V9910,'月1回_1ヶ月前の在庫'!$W$6:$W$10005,$W9910)&gt;0),N(U9909),N(U9909)+1))</f>
        <v/>
      </c>
      <c r="V9910" s="19">
        <f>IF($B9910="","",TEXT($B9910,"0000"))</f>
        <v/>
      </c>
      <c r="W9910" s="19">
        <f>IF($I9910="","",IF(ISNUMBER($I9910),TEXT($I9910,"0"),$I9910))</f>
        <v/>
      </c>
    </row>
    <row r="9911">
      <c r="B9911" s="25" t="n"/>
      <c r="I9911" s="25" t="n"/>
      <c r="U9911" s="19">
        <f>IF($V9911&lt;&gt;'設定'!$C$4,N(U9910),IF(OR(NOT(COUNTIF('商品マスタ'!$B$6:$B$1005,$W9911)=0),COUNTIFS('①在庫を貼る'!$V$6:$V$10005,$V9911,'①在庫を貼る'!$W$6:$W$10005,$W9911)+COUNTIFS('月1回_1ヶ月前の在庫'!$V$6:$V$10005,$V9911,'月1回_1ヶ月前の在庫'!$W$6:$W$10005,$W9911)&gt;0),N(U9910),N(U9910)+1))</f>
        <v/>
      </c>
      <c r="V9911" s="19">
        <f>IF($B9911="","",TEXT($B9911,"0000"))</f>
        <v/>
      </c>
      <c r="W9911" s="19">
        <f>IF($I9911="","",IF(ISNUMBER($I9911),TEXT($I9911,"0"),$I9911))</f>
        <v/>
      </c>
    </row>
    <row r="9912">
      <c r="B9912" s="25" t="n"/>
      <c r="I9912" s="25" t="n"/>
      <c r="U9912" s="19">
        <f>IF($V9912&lt;&gt;'設定'!$C$4,N(U9911),IF(OR(NOT(COUNTIF('商品マスタ'!$B$6:$B$1005,$W9912)=0),COUNTIFS('①在庫を貼る'!$V$6:$V$10005,$V9912,'①在庫を貼る'!$W$6:$W$10005,$W9912)+COUNTIFS('月1回_1ヶ月前の在庫'!$V$6:$V$10005,$V9912,'月1回_1ヶ月前の在庫'!$W$6:$W$10005,$W9912)&gt;0),N(U9911),N(U9911)+1))</f>
        <v/>
      </c>
      <c r="V9912" s="19">
        <f>IF($B9912="","",TEXT($B9912,"0000"))</f>
        <v/>
      </c>
      <c r="W9912" s="19">
        <f>IF($I9912="","",IF(ISNUMBER($I9912),TEXT($I9912,"0"),$I9912))</f>
        <v/>
      </c>
    </row>
    <row r="9913">
      <c r="B9913" s="25" t="n"/>
      <c r="I9913" s="25" t="n"/>
      <c r="U9913" s="19">
        <f>IF($V9913&lt;&gt;'設定'!$C$4,N(U9912),IF(OR(NOT(COUNTIF('商品マスタ'!$B$6:$B$1005,$W9913)=0),COUNTIFS('①在庫を貼る'!$V$6:$V$10005,$V9913,'①在庫を貼る'!$W$6:$W$10005,$W9913)+COUNTIFS('月1回_1ヶ月前の在庫'!$V$6:$V$10005,$V9913,'月1回_1ヶ月前の在庫'!$W$6:$W$10005,$W9913)&gt;0),N(U9912),N(U9912)+1))</f>
        <v/>
      </c>
      <c r="V9913" s="19">
        <f>IF($B9913="","",TEXT($B9913,"0000"))</f>
        <v/>
      </c>
      <c r="W9913" s="19">
        <f>IF($I9913="","",IF(ISNUMBER($I9913),TEXT($I9913,"0"),$I9913))</f>
        <v/>
      </c>
    </row>
    <row r="9914">
      <c r="B9914" s="25" t="n"/>
      <c r="I9914" s="25" t="n"/>
      <c r="U9914" s="19">
        <f>IF($V9914&lt;&gt;'設定'!$C$4,N(U9913),IF(OR(NOT(COUNTIF('商品マスタ'!$B$6:$B$1005,$W9914)=0),COUNTIFS('①在庫を貼る'!$V$6:$V$10005,$V9914,'①在庫を貼る'!$W$6:$W$10005,$W9914)+COUNTIFS('月1回_1ヶ月前の在庫'!$V$6:$V$10005,$V9914,'月1回_1ヶ月前の在庫'!$W$6:$W$10005,$W9914)&gt;0),N(U9913),N(U9913)+1))</f>
        <v/>
      </c>
      <c r="V9914" s="19">
        <f>IF($B9914="","",TEXT($B9914,"0000"))</f>
        <v/>
      </c>
      <c r="W9914" s="19">
        <f>IF($I9914="","",IF(ISNUMBER($I9914),TEXT($I9914,"0"),$I9914))</f>
        <v/>
      </c>
    </row>
    <row r="9915">
      <c r="B9915" s="25" t="n"/>
      <c r="I9915" s="25" t="n"/>
      <c r="U9915" s="19">
        <f>IF($V9915&lt;&gt;'設定'!$C$4,N(U9914),IF(OR(NOT(COUNTIF('商品マスタ'!$B$6:$B$1005,$W9915)=0),COUNTIFS('①在庫を貼る'!$V$6:$V$10005,$V9915,'①在庫を貼る'!$W$6:$W$10005,$W9915)+COUNTIFS('月1回_1ヶ月前の在庫'!$V$6:$V$10005,$V9915,'月1回_1ヶ月前の在庫'!$W$6:$W$10005,$W9915)&gt;0),N(U9914),N(U9914)+1))</f>
        <v/>
      </c>
      <c r="V9915" s="19">
        <f>IF($B9915="","",TEXT($B9915,"0000"))</f>
        <v/>
      </c>
      <c r="W9915" s="19">
        <f>IF($I9915="","",IF(ISNUMBER($I9915),TEXT($I9915,"0"),$I9915))</f>
        <v/>
      </c>
    </row>
    <row r="9916">
      <c r="B9916" s="25" t="n"/>
      <c r="I9916" s="25" t="n"/>
      <c r="U9916" s="19">
        <f>IF($V9916&lt;&gt;'設定'!$C$4,N(U9915),IF(OR(NOT(COUNTIF('商品マスタ'!$B$6:$B$1005,$W9916)=0),COUNTIFS('①在庫を貼る'!$V$6:$V$10005,$V9916,'①在庫を貼る'!$W$6:$W$10005,$W9916)+COUNTIFS('月1回_1ヶ月前の在庫'!$V$6:$V$10005,$V9916,'月1回_1ヶ月前の在庫'!$W$6:$W$10005,$W9916)&gt;0),N(U9915),N(U9915)+1))</f>
        <v/>
      </c>
      <c r="V9916" s="19">
        <f>IF($B9916="","",TEXT($B9916,"0000"))</f>
        <v/>
      </c>
      <c r="W9916" s="19">
        <f>IF($I9916="","",IF(ISNUMBER($I9916),TEXT($I9916,"0"),$I9916))</f>
        <v/>
      </c>
    </row>
    <row r="9917">
      <c r="B9917" s="25" t="n"/>
      <c r="I9917" s="25" t="n"/>
      <c r="U9917" s="19">
        <f>IF($V9917&lt;&gt;'設定'!$C$4,N(U9916),IF(OR(NOT(COUNTIF('商品マスタ'!$B$6:$B$1005,$W9917)=0),COUNTIFS('①在庫を貼る'!$V$6:$V$10005,$V9917,'①在庫を貼る'!$W$6:$W$10005,$W9917)+COUNTIFS('月1回_1ヶ月前の在庫'!$V$6:$V$10005,$V9917,'月1回_1ヶ月前の在庫'!$W$6:$W$10005,$W9917)&gt;0),N(U9916),N(U9916)+1))</f>
        <v/>
      </c>
      <c r="V9917" s="19">
        <f>IF($B9917="","",TEXT($B9917,"0000"))</f>
        <v/>
      </c>
      <c r="W9917" s="19">
        <f>IF($I9917="","",IF(ISNUMBER($I9917),TEXT($I9917,"0"),$I9917))</f>
        <v/>
      </c>
    </row>
    <row r="9918">
      <c r="B9918" s="25" t="n"/>
      <c r="I9918" s="25" t="n"/>
      <c r="U9918" s="19">
        <f>IF($V9918&lt;&gt;'設定'!$C$4,N(U9917),IF(OR(NOT(COUNTIF('商品マスタ'!$B$6:$B$1005,$W9918)=0),COUNTIFS('①在庫を貼る'!$V$6:$V$10005,$V9918,'①在庫を貼る'!$W$6:$W$10005,$W9918)+COUNTIFS('月1回_1ヶ月前の在庫'!$V$6:$V$10005,$V9918,'月1回_1ヶ月前の在庫'!$W$6:$W$10005,$W9918)&gt;0),N(U9917),N(U9917)+1))</f>
        <v/>
      </c>
      <c r="V9918" s="19">
        <f>IF($B9918="","",TEXT($B9918,"0000"))</f>
        <v/>
      </c>
      <c r="W9918" s="19">
        <f>IF($I9918="","",IF(ISNUMBER($I9918),TEXT($I9918,"0"),$I9918))</f>
        <v/>
      </c>
    </row>
    <row r="9919">
      <c r="B9919" s="25" t="n"/>
      <c r="I9919" s="25" t="n"/>
      <c r="U9919" s="19">
        <f>IF($V9919&lt;&gt;'設定'!$C$4,N(U9918),IF(OR(NOT(COUNTIF('商品マスタ'!$B$6:$B$1005,$W9919)=0),COUNTIFS('①在庫を貼る'!$V$6:$V$10005,$V9919,'①在庫を貼る'!$W$6:$W$10005,$W9919)+COUNTIFS('月1回_1ヶ月前の在庫'!$V$6:$V$10005,$V9919,'月1回_1ヶ月前の在庫'!$W$6:$W$10005,$W9919)&gt;0),N(U9918),N(U9918)+1))</f>
        <v/>
      </c>
      <c r="V9919" s="19">
        <f>IF($B9919="","",TEXT($B9919,"0000"))</f>
        <v/>
      </c>
      <c r="W9919" s="19">
        <f>IF($I9919="","",IF(ISNUMBER($I9919),TEXT($I9919,"0"),$I9919))</f>
        <v/>
      </c>
    </row>
    <row r="9920">
      <c r="B9920" s="25" t="n"/>
      <c r="I9920" s="25" t="n"/>
      <c r="U9920" s="19">
        <f>IF($V9920&lt;&gt;'設定'!$C$4,N(U9919),IF(OR(NOT(COUNTIF('商品マスタ'!$B$6:$B$1005,$W9920)=0),COUNTIFS('①在庫を貼る'!$V$6:$V$10005,$V9920,'①在庫を貼る'!$W$6:$W$10005,$W9920)+COUNTIFS('月1回_1ヶ月前の在庫'!$V$6:$V$10005,$V9920,'月1回_1ヶ月前の在庫'!$W$6:$W$10005,$W9920)&gt;0),N(U9919),N(U9919)+1))</f>
        <v/>
      </c>
      <c r="V9920" s="19">
        <f>IF($B9920="","",TEXT($B9920,"0000"))</f>
        <v/>
      </c>
      <c r="W9920" s="19">
        <f>IF($I9920="","",IF(ISNUMBER($I9920),TEXT($I9920,"0"),$I9920))</f>
        <v/>
      </c>
    </row>
    <row r="9921">
      <c r="B9921" s="25" t="n"/>
      <c r="I9921" s="25" t="n"/>
      <c r="U9921" s="19">
        <f>IF($V9921&lt;&gt;'設定'!$C$4,N(U9920),IF(OR(NOT(COUNTIF('商品マスタ'!$B$6:$B$1005,$W9921)=0),COUNTIFS('①在庫を貼る'!$V$6:$V$10005,$V9921,'①在庫を貼る'!$W$6:$W$10005,$W9921)+COUNTIFS('月1回_1ヶ月前の在庫'!$V$6:$V$10005,$V9921,'月1回_1ヶ月前の在庫'!$W$6:$W$10005,$W9921)&gt;0),N(U9920),N(U9920)+1))</f>
        <v/>
      </c>
      <c r="V9921" s="19">
        <f>IF($B9921="","",TEXT($B9921,"0000"))</f>
        <v/>
      </c>
      <c r="W9921" s="19">
        <f>IF($I9921="","",IF(ISNUMBER($I9921),TEXT($I9921,"0"),$I9921))</f>
        <v/>
      </c>
    </row>
    <row r="9922">
      <c r="B9922" s="25" t="n"/>
      <c r="I9922" s="25" t="n"/>
      <c r="U9922" s="19">
        <f>IF($V9922&lt;&gt;'設定'!$C$4,N(U9921),IF(OR(NOT(COUNTIF('商品マスタ'!$B$6:$B$1005,$W9922)=0),COUNTIFS('①在庫を貼る'!$V$6:$V$10005,$V9922,'①在庫を貼る'!$W$6:$W$10005,$W9922)+COUNTIFS('月1回_1ヶ月前の在庫'!$V$6:$V$10005,$V9922,'月1回_1ヶ月前の在庫'!$W$6:$W$10005,$W9922)&gt;0),N(U9921),N(U9921)+1))</f>
        <v/>
      </c>
      <c r="V9922" s="19">
        <f>IF($B9922="","",TEXT($B9922,"0000"))</f>
        <v/>
      </c>
      <c r="W9922" s="19">
        <f>IF($I9922="","",IF(ISNUMBER($I9922),TEXT($I9922,"0"),$I9922))</f>
        <v/>
      </c>
    </row>
    <row r="9923">
      <c r="B9923" s="25" t="n"/>
      <c r="I9923" s="25" t="n"/>
      <c r="U9923" s="19">
        <f>IF($V9923&lt;&gt;'設定'!$C$4,N(U9922),IF(OR(NOT(COUNTIF('商品マスタ'!$B$6:$B$1005,$W9923)=0),COUNTIFS('①在庫を貼る'!$V$6:$V$10005,$V9923,'①在庫を貼る'!$W$6:$W$10005,$W9923)+COUNTIFS('月1回_1ヶ月前の在庫'!$V$6:$V$10005,$V9923,'月1回_1ヶ月前の在庫'!$W$6:$W$10005,$W9923)&gt;0),N(U9922),N(U9922)+1))</f>
        <v/>
      </c>
      <c r="V9923" s="19">
        <f>IF($B9923="","",TEXT($B9923,"0000"))</f>
        <v/>
      </c>
      <c r="W9923" s="19">
        <f>IF($I9923="","",IF(ISNUMBER($I9923),TEXT($I9923,"0"),$I9923))</f>
        <v/>
      </c>
    </row>
    <row r="9924">
      <c r="B9924" s="25" t="n"/>
      <c r="I9924" s="25" t="n"/>
      <c r="U9924" s="19">
        <f>IF($V9924&lt;&gt;'設定'!$C$4,N(U9923),IF(OR(NOT(COUNTIF('商品マスタ'!$B$6:$B$1005,$W9924)=0),COUNTIFS('①在庫を貼る'!$V$6:$V$10005,$V9924,'①在庫を貼る'!$W$6:$W$10005,$W9924)+COUNTIFS('月1回_1ヶ月前の在庫'!$V$6:$V$10005,$V9924,'月1回_1ヶ月前の在庫'!$W$6:$W$10005,$W9924)&gt;0),N(U9923),N(U9923)+1))</f>
        <v/>
      </c>
      <c r="V9924" s="19">
        <f>IF($B9924="","",TEXT($B9924,"0000"))</f>
        <v/>
      </c>
      <c r="W9924" s="19">
        <f>IF($I9924="","",IF(ISNUMBER($I9924),TEXT($I9924,"0"),$I9924))</f>
        <v/>
      </c>
    </row>
    <row r="9925">
      <c r="B9925" s="25" t="n"/>
      <c r="I9925" s="25" t="n"/>
      <c r="U9925" s="19">
        <f>IF($V9925&lt;&gt;'設定'!$C$4,N(U9924),IF(OR(NOT(COUNTIF('商品マスタ'!$B$6:$B$1005,$W9925)=0),COUNTIFS('①在庫を貼る'!$V$6:$V$10005,$V9925,'①在庫を貼る'!$W$6:$W$10005,$W9925)+COUNTIFS('月1回_1ヶ月前の在庫'!$V$6:$V$10005,$V9925,'月1回_1ヶ月前の在庫'!$W$6:$W$10005,$W9925)&gt;0),N(U9924),N(U9924)+1))</f>
        <v/>
      </c>
      <c r="V9925" s="19">
        <f>IF($B9925="","",TEXT($B9925,"0000"))</f>
        <v/>
      </c>
      <c r="W9925" s="19">
        <f>IF($I9925="","",IF(ISNUMBER($I9925),TEXT($I9925,"0"),$I9925))</f>
        <v/>
      </c>
    </row>
    <row r="9926">
      <c r="B9926" s="25" t="n"/>
      <c r="I9926" s="25" t="n"/>
      <c r="U9926" s="19">
        <f>IF($V9926&lt;&gt;'設定'!$C$4,N(U9925),IF(OR(NOT(COUNTIF('商品マスタ'!$B$6:$B$1005,$W9926)=0),COUNTIFS('①在庫を貼る'!$V$6:$V$10005,$V9926,'①在庫を貼る'!$W$6:$W$10005,$W9926)+COUNTIFS('月1回_1ヶ月前の在庫'!$V$6:$V$10005,$V9926,'月1回_1ヶ月前の在庫'!$W$6:$W$10005,$W9926)&gt;0),N(U9925),N(U9925)+1))</f>
        <v/>
      </c>
      <c r="V9926" s="19">
        <f>IF($B9926="","",TEXT($B9926,"0000"))</f>
        <v/>
      </c>
      <c r="W9926" s="19">
        <f>IF($I9926="","",IF(ISNUMBER($I9926),TEXT($I9926,"0"),$I9926))</f>
        <v/>
      </c>
    </row>
    <row r="9927">
      <c r="B9927" s="25" t="n"/>
      <c r="I9927" s="25" t="n"/>
      <c r="U9927" s="19">
        <f>IF($V9927&lt;&gt;'設定'!$C$4,N(U9926),IF(OR(NOT(COUNTIF('商品マスタ'!$B$6:$B$1005,$W9927)=0),COUNTIFS('①在庫を貼る'!$V$6:$V$10005,$V9927,'①在庫を貼る'!$W$6:$W$10005,$W9927)+COUNTIFS('月1回_1ヶ月前の在庫'!$V$6:$V$10005,$V9927,'月1回_1ヶ月前の在庫'!$W$6:$W$10005,$W9927)&gt;0),N(U9926),N(U9926)+1))</f>
        <v/>
      </c>
      <c r="V9927" s="19">
        <f>IF($B9927="","",TEXT($B9927,"0000"))</f>
        <v/>
      </c>
      <c r="W9927" s="19">
        <f>IF($I9927="","",IF(ISNUMBER($I9927),TEXT($I9927,"0"),$I9927))</f>
        <v/>
      </c>
    </row>
    <row r="9928">
      <c r="B9928" s="25" t="n"/>
      <c r="I9928" s="25" t="n"/>
      <c r="U9928" s="19">
        <f>IF($V9928&lt;&gt;'設定'!$C$4,N(U9927),IF(OR(NOT(COUNTIF('商品マスタ'!$B$6:$B$1005,$W9928)=0),COUNTIFS('①在庫を貼る'!$V$6:$V$10005,$V9928,'①在庫を貼る'!$W$6:$W$10005,$W9928)+COUNTIFS('月1回_1ヶ月前の在庫'!$V$6:$V$10005,$V9928,'月1回_1ヶ月前の在庫'!$W$6:$W$10005,$W9928)&gt;0),N(U9927),N(U9927)+1))</f>
        <v/>
      </c>
      <c r="V9928" s="19">
        <f>IF($B9928="","",TEXT($B9928,"0000"))</f>
        <v/>
      </c>
      <c r="W9928" s="19">
        <f>IF($I9928="","",IF(ISNUMBER($I9928),TEXT($I9928,"0"),$I9928))</f>
        <v/>
      </c>
    </row>
    <row r="9929">
      <c r="B9929" s="25" t="n"/>
      <c r="I9929" s="25" t="n"/>
      <c r="U9929" s="19">
        <f>IF($V9929&lt;&gt;'設定'!$C$4,N(U9928),IF(OR(NOT(COUNTIF('商品マスタ'!$B$6:$B$1005,$W9929)=0),COUNTIFS('①在庫を貼る'!$V$6:$V$10005,$V9929,'①在庫を貼る'!$W$6:$W$10005,$W9929)+COUNTIFS('月1回_1ヶ月前の在庫'!$V$6:$V$10005,$V9929,'月1回_1ヶ月前の在庫'!$W$6:$W$10005,$W9929)&gt;0),N(U9928),N(U9928)+1))</f>
        <v/>
      </c>
      <c r="V9929" s="19">
        <f>IF($B9929="","",TEXT($B9929,"0000"))</f>
        <v/>
      </c>
      <c r="W9929" s="19">
        <f>IF($I9929="","",IF(ISNUMBER($I9929),TEXT($I9929,"0"),$I9929))</f>
        <v/>
      </c>
    </row>
    <row r="9930">
      <c r="B9930" s="25" t="n"/>
      <c r="I9930" s="25" t="n"/>
      <c r="U9930" s="19">
        <f>IF($V9930&lt;&gt;'設定'!$C$4,N(U9929),IF(OR(NOT(COUNTIF('商品マスタ'!$B$6:$B$1005,$W9930)=0),COUNTIFS('①在庫を貼る'!$V$6:$V$10005,$V9930,'①在庫を貼る'!$W$6:$W$10005,$W9930)+COUNTIFS('月1回_1ヶ月前の在庫'!$V$6:$V$10005,$V9930,'月1回_1ヶ月前の在庫'!$W$6:$W$10005,$W9930)&gt;0),N(U9929),N(U9929)+1))</f>
        <v/>
      </c>
      <c r="V9930" s="19">
        <f>IF($B9930="","",TEXT($B9930,"0000"))</f>
        <v/>
      </c>
      <c r="W9930" s="19">
        <f>IF($I9930="","",IF(ISNUMBER($I9930),TEXT($I9930,"0"),$I9930))</f>
        <v/>
      </c>
    </row>
    <row r="9931">
      <c r="B9931" s="25" t="n"/>
      <c r="I9931" s="25" t="n"/>
      <c r="U9931" s="19">
        <f>IF($V9931&lt;&gt;'設定'!$C$4,N(U9930),IF(OR(NOT(COUNTIF('商品マスタ'!$B$6:$B$1005,$W9931)=0),COUNTIFS('①在庫を貼る'!$V$6:$V$10005,$V9931,'①在庫を貼る'!$W$6:$W$10005,$W9931)+COUNTIFS('月1回_1ヶ月前の在庫'!$V$6:$V$10005,$V9931,'月1回_1ヶ月前の在庫'!$W$6:$W$10005,$W9931)&gt;0),N(U9930),N(U9930)+1))</f>
        <v/>
      </c>
      <c r="V9931" s="19">
        <f>IF($B9931="","",TEXT($B9931,"0000"))</f>
        <v/>
      </c>
      <c r="W9931" s="19">
        <f>IF($I9931="","",IF(ISNUMBER($I9931),TEXT($I9931,"0"),$I9931))</f>
        <v/>
      </c>
    </row>
    <row r="9932">
      <c r="B9932" s="25" t="n"/>
      <c r="I9932" s="25" t="n"/>
      <c r="U9932" s="19">
        <f>IF($V9932&lt;&gt;'設定'!$C$4,N(U9931),IF(OR(NOT(COUNTIF('商品マスタ'!$B$6:$B$1005,$W9932)=0),COUNTIFS('①在庫を貼る'!$V$6:$V$10005,$V9932,'①在庫を貼る'!$W$6:$W$10005,$W9932)+COUNTIFS('月1回_1ヶ月前の在庫'!$V$6:$V$10005,$V9932,'月1回_1ヶ月前の在庫'!$W$6:$W$10005,$W9932)&gt;0),N(U9931),N(U9931)+1))</f>
        <v/>
      </c>
      <c r="V9932" s="19">
        <f>IF($B9932="","",TEXT($B9932,"0000"))</f>
        <v/>
      </c>
      <c r="W9932" s="19">
        <f>IF($I9932="","",IF(ISNUMBER($I9932),TEXT($I9932,"0"),$I9932))</f>
        <v/>
      </c>
    </row>
    <row r="9933">
      <c r="B9933" s="25" t="n"/>
      <c r="I9933" s="25" t="n"/>
      <c r="U9933" s="19">
        <f>IF($V9933&lt;&gt;'設定'!$C$4,N(U9932),IF(OR(NOT(COUNTIF('商品マスタ'!$B$6:$B$1005,$W9933)=0),COUNTIFS('①在庫を貼る'!$V$6:$V$10005,$V9933,'①在庫を貼る'!$W$6:$W$10005,$W9933)+COUNTIFS('月1回_1ヶ月前の在庫'!$V$6:$V$10005,$V9933,'月1回_1ヶ月前の在庫'!$W$6:$W$10005,$W9933)&gt;0),N(U9932),N(U9932)+1))</f>
        <v/>
      </c>
      <c r="V9933" s="19">
        <f>IF($B9933="","",TEXT($B9933,"0000"))</f>
        <v/>
      </c>
      <c r="W9933" s="19">
        <f>IF($I9933="","",IF(ISNUMBER($I9933),TEXT($I9933,"0"),$I9933))</f>
        <v/>
      </c>
    </row>
    <row r="9934">
      <c r="B9934" s="25" t="n"/>
      <c r="I9934" s="25" t="n"/>
      <c r="U9934" s="19">
        <f>IF($V9934&lt;&gt;'設定'!$C$4,N(U9933),IF(OR(NOT(COUNTIF('商品マスタ'!$B$6:$B$1005,$W9934)=0),COUNTIFS('①在庫を貼る'!$V$6:$V$10005,$V9934,'①在庫を貼る'!$W$6:$W$10005,$W9934)+COUNTIFS('月1回_1ヶ月前の在庫'!$V$6:$V$10005,$V9934,'月1回_1ヶ月前の在庫'!$W$6:$W$10005,$W9934)&gt;0),N(U9933),N(U9933)+1))</f>
        <v/>
      </c>
      <c r="V9934" s="19">
        <f>IF($B9934="","",TEXT($B9934,"0000"))</f>
        <v/>
      </c>
      <c r="W9934" s="19">
        <f>IF($I9934="","",IF(ISNUMBER($I9934),TEXT($I9934,"0"),$I9934))</f>
        <v/>
      </c>
    </row>
    <row r="9935">
      <c r="B9935" s="25" t="n"/>
      <c r="I9935" s="25" t="n"/>
      <c r="U9935" s="19">
        <f>IF($V9935&lt;&gt;'設定'!$C$4,N(U9934),IF(OR(NOT(COUNTIF('商品マスタ'!$B$6:$B$1005,$W9935)=0),COUNTIFS('①在庫を貼る'!$V$6:$V$10005,$V9935,'①在庫を貼る'!$W$6:$W$10005,$W9935)+COUNTIFS('月1回_1ヶ月前の在庫'!$V$6:$V$10005,$V9935,'月1回_1ヶ月前の在庫'!$W$6:$W$10005,$W9935)&gt;0),N(U9934),N(U9934)+1))</f>
        <v/>
      </c>
      <c r="V9935" s="19">
        <f>IF($B9935="","",TEXT($B9935,"0000"))</f>
        <v/>
      </c>
      <c r="W9935" s="19">
        <f>IF($I9935="","",IF(ISNUMBER($I9935),TEXT($I9935,"0"),$I9935))</f>
        <v/>
      </c>
    </row>
    <row r="9936">
      <c r="B9936" s="25" t="n"/>
      <c r="I9936" s="25" t="n"/>
      <c r="U9936" s="19">
        <f>IF($V9936&lt;&gt;'設定'!$C$4,N(U9935),IF(OR(NOT(COUNTIF('商品マスタ'!$B$6:$B$1005,$W9936)=0),COUNTIFS('①在庫を貼る'!$V$6:$V$10005,$V9936,'①在庫を貼る'!$W$6:$W$10005,$W9936)+COUNTIFS('月1回_1ヶ月前の在庫'!$V$6:$V$10005,$V9936,'月1回_1ヶ月前の在庫'!$W$6:$W$10005,$W9936)&gt;0),N(U9935),N(U9935)+1))</f>
        <v/>
      </c>
      <c r="V9936" s="19">
        <f>IF($B9936="","",TEXT($B9936,"0000"))</f>
        <v/>
      </c>
      <c r="W9936" s="19">
        <f>IF($I9936="","",IF(ISNUMBER($I9936),TEXT($I9936,"0"),$I9936))</f>
        <v/>
      </c>
    </row>
    <row r="9937">
      <c r="B9937" s="25" t="n"/>
      <c r="I9937" s="25" t="n"/>
      <c r="U9937" s="19">
        <f>IF($V9937&lt;&gt;'設定'!$C$4,N(U9936),IF(OR(NOT(COUNTIF('商品マスタ'!$B$6:$B$1005,$W9937)=0),COUNTIFS('①在庫を貼る'!$V$6:$V$10005,$V9937,'①在庫を貼る'!$W$6:$W$10005,$W9937)+COUNTIFS('月1回_1ヶ月前の在庫'!$V$6:$V$10005,$V9937,'月1回_1ヶ月前の在庫'!$W$6:$W$10005,$W9937)&gt;0),N(U9936),N(U9936)+1))</f>
        <v/>
      </c>
      <c r="V9937" s="19">
        <f>IF($B9937="","",TEXT($B9937,"0000"))</f>
        <v/>
      </c>
      <c r="W9937" s="19">
        <f>IF($I9937="","",IF(ISNUMBER($I9937),TEXT($I9937,"0"),$I9937))</f>
        <v/>
      </c>
    </row>
    <row r="9938">
      <c r="B9938" s="25" t="n"/>
      <c r="I9938" s="25" t="n"/>
      <c r="U9938" s="19">
        <f>IF($V9938&lt;&gt;'設定'!$C$4,N(U9937),IF(OR(NOT(COUNTIF('商品マスタ'!$B$6:$B$1005,$W9938)=0),COUNTIFS('①在庫を貼る'!$V$6:$V$10005,$V9938,'①在庫を貼る'!$W$6:$W$10005,$W9938)+COUNTIFS('月1回_1ヶ月前の在庫'!$V$6:$V$10005,$V9938,'月1回_1ヶ月前の在庫'!$W$6:$W$10005,$W9938)&gt;0),N(U9937),N(U9937)+1))</f>
        <v/>
      </c>
      <c r="V9938" s="19">
        <f>IF($B9938="","",TEXT($B9938,"0000"))</f>
        <v/>
      </c>
      <c r="W9938" s="19">
        <f>IF($I9938="","",IF(ISNUMBER($I9938),TEXT($I9938,"0"),$I9938))</f>
        <v/>
      </c>
    </row>
    <row r="9939">
      <c r="B9939" s="25" t="n"/>
      <c r="I9939" s="25" t="n"/>
      <c r="U9939" s="19">
        <f>IF($V9939&lt;&gt;'設定'!$C$4,N(U9938),IF(OR(NOT(COUNTIF('商品マスタ'!$B$6:$B$1005,$W9939)=0),COUNTIFS('①在庫を貼る'!$V$6:$V$10005,$V9939,'①在庫を貼る'!$W$6:$W$10005,$W9939)+COUNTIFS('月1回_1ヶ月前の在庫'!$V$6:$V$10005,$V9939,'月1回_1ヶ月前の在庫'!$W$6:$W$10005,$W9939)&gt;0),N(U9938),N(U9938)+1))</f>
        <v/>
      </c>
      <c r="V9939" s="19">
        <f>IF($B9939="","",TEXT($B9939,"0000"))</f>
        <v/>
      </c>
      <c r="W9939" s="19">
        <f>IF($I9939="","",IF(ISNUMBER($I9939),TEXT($I9939,"0"),$I9939))</f>
        <v/>
      </c>
    </row>
    <row r="9940">
      <c r="B9940" s="25" t="n"/>
      <c r="I9940" s="25" t="n"/>
      <c r="U9940" s="19">
        <f>IF($V9940&lt;&gt;'設定'!$C$4,N(U9939),IF(OR(NOT(COUNTIF('商品マスタ'!$B$6:$B$1005,$W9940)=0),COUNTIFS('①在庫を貼る'!$V$6:$V$10005,$V9940,'①在庫を貼る'!$W$6:$W$10005,$W9940)+COUNTIFS('月1回_1ヶ月前の在庫'!$V$6:$V$10005,$V9940,'月1回_1ヶ月前の在庫'!$W$6:$W$10005,$W9940)&gt;0),N(U9939),N(U9939)+1))</f>
        <v/>
      </c>
      <c r="V9940" s="19">
        <f>IF($B9940="","",TEXT($B9940,"0000"))</f>
        <v/>
      </c>
      <c r="W9940" s="19">
        <f>IF($I9940="","",IF(ISNUMBER($I9940),TEXT($I9940,"0"),$I9940))</f>
        <v/>
      </c>
    </row>
    <row r="9941">
      <c r="B9941" s="25" t="n"/>
      <c r="I9941" s="25" t="n"/>
      <c r="U9941" s="19">
        <f>IF($V9941&lt;&gt;'設定'!$C$4,N(U9940),IF(OR(NOT(COUNTIF('商品マスタ'!$B$6:$B$1005,$W9941)=0),COUNTIFS('①在庫を貼る'!$V$6:$V$10005,$V9941,'①在庫を貼る'!$W$6:$W$10005,$W9941)+COUNTIFS('月1回_1ヶ月前の在庫'!$V$6:$V$10005,$V9941,'月1回_1ヶ月前の在庫'!$W$6:$W$10005,$W9941)&gt;0),N(U9940),N(U9940)+1))</f>
        <v/>
      </c>
      <c r="V9941" s="19">
        <f>IF($B9941="","",TEXT($B9941,"0000"))</f>
        <v/>
      </c>
      <c r="W9941" s="19">
        <f>IF($I9941="","",IF(ISNUMBER($I9941),TEXT($I9941,"0"),$I9941))</f>
        <v/>
      </c>
    </row>
    <row r="9942">
      <c r="B9942" s="25" t="n"/>
      <c r="I9942" s="25" t="n"/>
      <c r="U9942" s="19">
        <f>IF($V9942&lt;&gt;'設定'!$C$4,N(U9941),IF(OR(NOT(COUNTIF('商品マスタ'!$B$6:$B$1005,$W9942)=0),COUNTIFS('①在庫を貼る'!$V$6:$V$10005,$V9942,'①在庫を貼る'!$W$6:$W$10005,$W9942)+COUNTIFS('月1回_1ヶ月前の在庫'!$V$6:$V$10005,$V9942,'月1回_1ヶ月前の在庫'!$W$6:$W$10005,$W9942)&gt;0),N(U9941),N(U9941)+1))</f>
        <v/>
      </c>
      <c r="V9942" s="19">
        <f>IF($B9942="","",TEXT($B9942,"0000"))</f>
        <v/>
      </c>
      <c r="W9942" s="19">
        <f>IF($I9942="","",IF(ISNUMBER($I9942),TEXT($I9942,"0"),$I9942))</f>
        <v/>
      </c>
    </row>
    <row r="9943">
      <c r="B9943" s="25" t="n"/>
      <c r="I9943" s="25" t="n"/>
      <c r="U9943" s="19">
        <f>IF($V9943&lt;&gt;'設定'!$C$4,N(U9942),IF(OR(NOT(COUNTIF('商品マスタ'!$B$6:$B$1005,$W9943)=0),COUNTIFS('①在庫を貼る'!$V$6:$V$10005,$V9943,'①在庫を貼る'!$W$6:$W$10005,$W9943)+COUNTIFS('月1回_1ヶ月前の在庫'!$V$6:$V$10005,$V9943,'月1回_1ヶ月前の在庫'!$W$6:$W$10005,$W9943)&gt;0),N(U9942),N(U9942)+1))</f>
        <v/>
      </c>
      <c r="V9943" s="19">
        <f>IF($B9943="","",TEXT($B9943,"0000"))</f>
        <v/>
      </c>
      <c r="W9943" s="19">
        <f>IF($I9943="","",IF(ISNUMBER($I9943),TEXT($I9943,"0"),$I9943))</f>
        <v/>
      </c>
    </row>
    <row r="9944">
      <c r="B9944" s="25" t="n"/>
      <c r="I9944" s="25" t="n"/>
      <c r="U9944" s="19">
        <f>IF($V9944&lt;&gt;'設定'!$C$4,N(U9943),IF(OR(NOT(COUNTIF('商品マスタ'!$B$6:$B$1005,$W9944)=0),COUNTIFS('①在庫を貼る'!$V$6:$V$10005,$V9944,'①在庫を貼る'!$W$6:$W$10005,$W9944)+COUNTIFS('月1回_1ヶ月前の在庫'!$V$6:$V$10005,$V9944,'月1回_1ヶ月前の在庫'!$W$6:$W$10005,$W9944)&gt;0),N(U9943),N(U9943)+1))</f>
        <v/>
      </c>
      <c r="V9944" s="19">
        <f>IF($B9944="","",TEXT($B9944,"0000"))</f>
        <v/>
      </c>
      <c r="W9944" s="19">
        <f>IF($I9944="","",IF(ISNUMBER($I9944),TEXT($I9944,"0"),$I9944))</f>
        <v/>
      </c>
    </row>
    <row r="9945">
      <c r="B9945" s="25" t="n"/>
      <c r="I9945" s="25" t="n"/>
      <c r="U9945" s="19">
        <f>IF($V9945&lt;&gt;'設定'!$C$4,N(U9944),IF(OR(NOT(COUNTIF('商品マスタ'!$B$6:$B$1005,$W9945)=0),COUNTIFS('①在庫を貼る'!$V$6:$V$10005,$V9945,'①在庫を貼る'!$W$6:$W$10005,$W9945)+COUNTIFS('月1回_1ヶ月前の在庫'!$V$6:$V$10005,$V9945,'月1回_1ヶ月前の在庫'!$W$6:$W$10005,$W9945)&gt;0),N(U9944),N(U9944)+1))</f>
        <v/>
      </c>
      <c r="V9945" s="19">
        <f>IF($B9945="","",TEXT($B9945,"0000"))</f>
        <v/>
      </c>
      <c r="W9945" s="19">
        <f>IF($I9945="","",IF(ISNUMBER($I9945),TEXT($I9945,"0"),$I9945))</f>
        <v/>
      </c>
    </row>
    <row r="9946">
      <c r="B9946" s="25" t="n"/>
      <c r="I9946" s="25" t="n"/>
      <c r="U9946" s="19">
        <f>IF($V9946&lt;&gt;'設定'!$C$4,N(U9945),IF(OR(NOT(COUNTIF('商品マスタ'!$B$6:$B$1005,$W9946)=0),COUNTIFS('①在庫を貼る'!$V$6:$V$10005,$V9946,'①在庫を貼る'!$W$6:$W$10005,$W9946)+COUNTIFS('月1回_1ヶ月前の在庫'!$V$6:$V$10005,$V9946,'月1回_1ヶ月前の在庫'!$W$6:$W$10005,$W9946)&gt;0),N(U9945),N(U9945)+1))</f>
        <v/>
      </c>
      <c r="V9946" s="19">
        <f>IF($B9946="","",TEXT($B9946,"0000"))</f>
        <v/>
      </c>
      <c r="W9946" s="19">
        <f>IF($I9946="","",IF(ISNUMBER($I9946),TEXT($I9946,"0"),$I9946))</f>
        <v/>
      </c>
    </row>
    <row r="9947">
      <c r="B9947" s="25" t="n"/>
      <c r="I9947" s="25" t="n"/>
      <c r="U9947" s="19">
        <f>IF($V9947&lt;&gt;'設定'!$C$4,N(U9946),IF(OR(NOT(COUNTIF('商品マスタ'!$B$6:$B$1005,$W9947)=0),COUNTIFS('①在庫を貼る'!$V$6:$V$10005,$V9947,'①在庫を貼る'!$W$6:$W$10005,$W9947)+COUNTIFS('月1回_1ヶ月前の在庫'!$V$6:$V$10005,$V9947,'月1回_1ヶ月前の在庫'!$W$6:$W$10005,$W9947)&gt;0),N(U9946),N(U9946)+1))</f>
        <v/>
      </c>
      <c r="V9947" s="19">
        <f>IF($B9947="","",TEXT($B9947,"0000"))</f>
        <v/>
      </c>
      <c r="W9947" s="19">
        <f>IF($I9947="","",IF(ISNUMBER($I9947),TEXT($I9947,"0"),$I9947))</f>
        <v/>
      </c>
    </row>
    <row r="9948">
      <c r="B9948" s="25" t="n"/>
      <c r="I9948" s="25" t="n"/>
      <c r="U9948" s="19">
        <f>IF($V9948&lt;&gt;'設定'!$C$4,N(U9947),IF(OR(NOT(COUNTIF('商品マスタ'!$B$6:$B$1005,$W9948)=0),COUNTIFS('①在庫を貼る'!$V$6:$V$10005,$V9948,'①在庫を貼る'!$W$6:$W$10005,$W9948)+COUNTIFS('月1回_1ヶ月前の在庫'!$V$6:$V$10005,$V9948,'月1回_1ヶ月前の在庫'!$W$6:$W$10005,$W9948)&gt;0),N(U9947),N(U9947)+1))</f>
        <v/>
      </c>
      <c r="V9948" s="19">
        <f>IF($B9948="","",TEXT($B9948,"0000"))</f>
        <v/>
      </c>
      <c r="W9948" s="19">
        <f>IF($I9948="","",IF(ISNUMBER($I9948),TEXT($I9948,"0"),$I9948))</f>
        <v/>
      </c>
    </row>
    <row r="9949">
      <c r="B9949" s="25" t="n"/>
      <c r="I9949" s="25" t="n"/>
      <c r="U9949" s="19">
        <f>IF($V9949&lt;&gt;'設定'!$C$4,N(U9948),IF(OR(NOT(COUNTIF('商品マスタ'!$B$6:$B$1005,$W9949)=0),COUNTIFS('①在庫を貼る'!$V$6:$V$10005,$V9949,'①在庫を貼る'!$W$6:$W$10005,$W9949)+COUNTIFS('月1回_1ヶ月前の在庫'!$V$6:$V$10005,$V9949,'月1回_1ヶ月前の在庫'!$W$6:$W$10005,$W9949)&gt;0),N(U9948),N(U9948)+1))</f>
        <v/>
      </c>
      <c r="V9949" s="19">
        <f>IF($B9949="","",TEXT($B9949,"0000"))</f>
        <v/>
      </c>
      <c r="W9949" s="19">
        <f>IF($I9949="","",IF(ISNUMBER($I9949),TEXT($I9949,"0"),$I9949))</f>
        <v/>
      </c>
    </row>
    <row r="9950">
      <c r="B9950" s="25" t="n"/>
      <c r="I9950" s="25" t="n"/>
      <c r="U9950" s="19">
        <f>IF($V9950&lt;&gt;'設定'!$C$4,N(U9949),IF(OR(NOT(COUNTIF('商品マスタ'!$B$6:$B$1005,$W9950)=0),COUNTIFS('①在庫を貼る'!$V$6:$V$10005,$V9950,'①在庫を貼る'!$W$6:$W$10005,$W9950)+COUNTIFS('月1回_1ヶ月前の在庫'!$V$6:$V$10005,$V9950,'月1回_1ヶ月前の在庫'!$W$6:$W$10005,$W9950)&gt;0),N(U9949),N(U9949)+1))</f>
        <v/>
      </c>
      <c r="V9950" s="19">
        <f>IF($B9950="","",TEXT($B9950,"0000"))</f>
        <v/>
      </c>
      <c r="W9950" s="19">
        <f>IF($I9950="","",IF(ISNUMBER($I9950),TEXT($I9950,"0"),$I9950))</f>
        <v/>
      </c>
    </row>
    <row r="9951">
      <c r="B9951" s="25" t="n"/>
      <c r="I9951" s="25" t="n"/>
      <c r="U9951" s="19">
        <f>IF($V9951&lt;&gt;'設定'!$C$4,N(U9950),IF(OR(NOT(COUNTIF('商品マスタ'!$B$6:$B$1005,$W9951)=0),COUNTIFS('①在庫を貼る'!$V$6:$V$10005,$V9951,'①在庫を貼る'!$W$6:$W$10005,$W9951)+COUNTIFS('月1回_1ヶ月前の在庫'!$V$6:$V$10005,$V9951,'月1回_1ヶ月前の在庫'!$W$6:$W$10005,$W9951)&gt;0),N(U9950),N(U9950)+1))</f>
        <v/>
      </c>
      <c r="V9951" s="19">
        <f>IF($B9951="","",TEXT($B9951,"0000"))</f>
        <v/>
      </c>
      <c r="W9951" s="19">
        <f>IF($I9951="","",IF(ISNUMBER($I9951),TEXT($I9951,"0"),$I9951))</f>
        <v/>
      </c>
    </row>
    <row r="9952">
      <c r="B9952" s="25" t="n"/>
      <c r="I9952" s="25" t="n"/>
      <c r="U9952" s="19">
        <f>IF($V9952&lt;&gt;'設定'!$C$4,N(U9951),IF(OR(NOT(COUNTIF('商品マスタ'!$B$6:$B$1005,$W9952)=0),COUNTIFS('①在庫を貼る'!$V$6:$V$10005,$V9952,'①在庫を貼る'!$W$6:$W$10005,$W9952)+COUNTIFS('月1回_1ヶ月前の在庫'!$V$6:$V$10005,$V9952,'月1回_1ヶ月前の在庫'!$W$6:$W$10005,$W9952)&gt;0),N(U9951),N(U9951)+1))</f>
        <v/>
      </c>
      <c r="V9952" s="19">
        <f>IF($B9952="","",TEXT($B9952,"0000"))</f>
        <v/>
      </c>
      <c r="W9952" s="19">
        <f>IF($I9952="","",IF(ISNUMBER($I9952),TEXT($I9952,"0"),$I9952))</f>
        <v/>
      </c>
    </row>
    <row r="9953">
      <c r="B9953" s="25" t="n"/>
      <c r="I9953" s="25" t="n"/>
      <c r="U9953" s="19">
        <f>IF($V9953&lt;&gt;'設定'!$C$4,N(U9952),IF(OR(NOT(COUNTIF('商品マスタ'!$B$6:$B$1005,$W9953)=0),COUNTIFS('①在庫を貼る'!$V$6:$V$10005,$V9953,'①在庫を貼る'!$W$6:$W$10005,$W9953)+COUNTIFS('月1回_1ヶ月前の在庫'!$V$6:$V$10005,$V9953,'月1回_1ヶ月前の在庫'!$W$6:$W$10005,$W9953)&gt;0),N(U9952),N(U9952)+1))</f>
        <v/>
      </c>
      <c r="V9953" s="19">
        <f>IF($B9953="","",TEXT($B9953,"0000"))</f>
        <v/>
      </c>
      <c r="W9953" s="19">
        <f>IF($I9953="","",IF(ISNUMBER($I9953),TEXT($I9953,"0"),$I9953))</f>
        <v/>
      </c>
    </row>
    <row r="9954">
      <c r="B9954" s="25" t="n"/>
      <c r="I9954" s="25" t="n"/>
      <c r="U9954" s="19">
        <f>IF($V9954&lt;&gt;'設定'!$C$4,N(U9953),IF(OR(NOT(COUNTIF('商品マスタ'!$B$6:$B$1005,$W9954)=0),COUNTIFS('①在庫を貼る'!$V$6:$V$10005,$V9954,'①在庫を貼る'!$W$6:$W$10005,$W9954)+COUNTIFS('月1回_1ヶ月前の在庫'!$V$6:$V$10005,$V9954,'月1回_1ヶ月前の在庫'!$W$6:$W$10005,$W9954)&gt;0),N(U9953),N(U9953)+1))</f>
        <v/>
      </c>
      <c r="V9954" s="19">
        <f>IF($B9954="","",TEXT($B9954,"0000"))</f>
        <v/>
      </c>
      <c r="W9954" s="19">
        <f>IF($I9954="","",IF(ISNUMBER($I9954),TEXT($I9954,"0"),$I9954))</f>
        <v/>
      </c>
    </row>
    <row r="9955">
      <c r="B9955" s="25" t="n"/>
      <c r="I9955" s="25" t="n"/>
      <c r="U9955" s="19">
        <f>IF($V9955&lt;&gt;'設定'!$C$4,N(U9954),IF(OR(NOT(COUNTIF('商品マスタ'!$B$6:$B$1005,$W9955)=0),COUNTIFS('①在庫を貼る'!$V$6:$V$10005,$V9955,'①在庫を貼る'!$W$6:$W$10005,$W9955)+COUNTIFS('月1回_1ヶ月前の在庫'!$V$6:$V$10005,$V9955,'月1回_1ヶ月前の在庫'!$W$6:$W$10005,$W9955)&gt;0),N(U9954),N(U9954)+1))</f>
        <v/>
      </c>
      <c r="V9955" s="19">
        <f>IF($B9955="","",TEXT($B9955,"0000"))</f>
        <v/>
      </c>
      <c r="W9955" s="19">
        <f>IF($I9955="","",IF(ISNUMBER($I9955),TEXT($I9955,"0"),$I9955))</f>
        <v/>
      </c>
    </row>
    <row r="9956">
      <c r="B9956" s="25" t="n"/>
      <c r="I9956" s="25" t="n"/>
      <c r="U9956" s="19">
        <f>IF($V9956&lt;&gt;'設定'!$C$4,N(U9955),IF(OR(NOT(COUNTIF('商品マスタ'!$B$6:$B$1005,$W9956)=0),COUNTIFS('①在庫を貼る'!$V$6:$V$10005,$V9956,'①在庫を貼る'!$W$6:$W$10005,$W9956)+COUNTIFS('月1回_1ヶ月前の在庫'!$V$6:$V$10005,$V9956,'月1回_1ヶ月前の在庫'!$W$6:$W$10005,$W9956)&gt;0),N(U9955),N(U9955)+1))</f>
        <v/>
      </c>
      <c r="V9956" s="19">
        <f>IF($B9956="","",TEXT($B9956,"0000"))</f>
        <v/>
      </c>
      <c r="W9956" s="19">
        <f>IF($I9956="","",IF(ISNUMBER($I9956),TEXT($I9956,"0"),$I9956))</f>
        <v/>
      </c>
    </row>
    <row r="9957">
      <c r="B9957" s="25" t="n"/>
      <c r="I9957" s="25" t="n"/>
      <c r="U9957" s="19">
        <f>IF($V9957&lt;&gt;'設定'!$C$4,N(U9956),IF(OR(NOT(COUNTIF('商品マスタ'!$B$6:$B$1005,$W9957)=0),COUNTIFS('①在庫を貼る'!$V$6:$V$10005,$V9957,'①在庫を貼る'!$W$6:$W$10005,$W9957)+COUNTIFS('月1回_1ヶ月前の在庫'!$V$6:$V$10005,$V9957,'月1回_1ヶ月前の在庫'!$W$6:$W$10005,$W9957)&gt;0),N(U9956),N(U9956)+1))</f>
        <v/>
      </c>
      <c r="V9957" s="19">
        <f>IF($B9957="","",TEXT($B9957,"0000"))</f>
        <v/>
      </c>
      <c r="W9957" s="19">
        <f>IF($I9957="","",IF(ISNUMBER($I9957),TEXT($I9957,"0"),$I9957))</f>
        <v/>
      </c>
    </row>
    <row r="9958">
      <c r="B9958" s="25" t="n"/>
      <c r="I9958" s="25" t="n"/>
      <c r="U9958" s="19">
        <f>IF($V9958&lt;&gt;'設定'!$C$4,N(U9957),IF(OR(NOT(COUNTIF('商品マスタ'!$B$6:$B$1005,$W9958)=0),COUNTIFS('①在庫を貼る'!$V$6:$V$10005,$V9958,'①在庫を貼る'!$W$6:$W$10005,$W9958)+COUNTIFS('月1回_1ヶ月前の在庫'!$V$6:$V$10005,$V9958,'月1回_1ヶ月前の在庫'!$W$6:$W$10005,$W9958)&gt;0),N(U9957),N(U9957)+1))</f>
        <v/>
      </c>
      <c r="V9958" s="19">
        <f>IF($B9958="","",TEXT($B9958,"0000"))</f>
        <v/>
      </c>
      <c r="W9958" s="19">
        <f>IF($I9958="","",IF(ISNUMBER($I9958),TEXT($I9958,"0"),$I9958))</f>
        <v/>
      </c>
    </row>
    <row r="9959">
      <c r="B9959" s="25" t="n"/>
      <c r="I9959" s="25" t="n"/>
      <c r="U9959" s="19">
        <f>IF($V9959&lt;&gt;'設定'!$C$4,N(U9958),IF(OR(NOT(COUNTIF('商品マスタ'!$B$6:$B$1005,$W9959)=0),COUNTIFS('①在庫を貼る'!$V$6:$V$10005,$V9959,'①在庫を貼る'!$W$6:$W$10005,$W9959)+COUNTIFS('月1回_1ヶ月前の在庫'!$V$6:$V$10005,$V9959,'月1回_1ヶ月前の在庫'!$W$6:$W$10005,$W9959)&gt;0),N(U9958),N(U9958)+1))</f>
        <v/>
      </c>
      <c r="V9959" s="19">
        <f>IF($B9959="","",TEXT($B9959,"0000"))</f>
        <v/>
      </c>
      <c r="W9959" s="19">
        <f>IF($I9959="","",IF(ISNUMBER($I9959),TEXT($I9959,"0"),$I9959))</f>
        <v/>
      </c>
    </row>
    <row r="9960">
      <c r="B9960" s="25" t="n"/>
      <c r="I9960" s="25" t="n"/>
      <c r="U9960" s="19">
        <f>IF($V9960&lt;&gt;'設定'!$C$4,N(U9959),IF(OR(NOT(COUNTIF('商品マスタ'!$B$6:$B$1005,$W9960)=0),COUNTIFS('①在庫を貼る'!$V$6:$V$10005,$V9960,'①在庫を貼る'!$W$6:$W$10005,$W9960)+COUNTIFS('月1回_1ヶ月前の在庫'!$V$6:$V$10005,$V9960,'月1回_1ヶ月前の在庫'!$W$6:$W$10005,$W9960)&gt;0),N(U9959),N(U9959)+1))</f>
        <v/>
      </c>
      <c r="V9960" s="19">
        <f>IF($B9960="","",TEXT($B9960,"0000"))</f>
        <v/>
      </c>
      <c r="W9960" s="19">
        <f>IF($I9960="","",IF(ISNUMBER($I9960),TEXT($I9960,"0"),$I9960))</f>
        <v/>
      </c>
    </row>
    <row r="9961">
      <c r="B9961" s="25" t="n"/>
      <c r="I9961" s="25" t="n"/>
      <c r="U9961" s="19">
        <f>IF($V9961&lt;&gt;'設定'!$C$4,N(U9960),IF(OR(NOT(COUNTIF('商品マスタ'!$B$6:$B$1005,$W9961)=0),COUNTIFS('①在庫を貼る'!$V$6:$V$10005,$V9961,'①在庫を貼る'!$W$6:$W$10005,$W9961)+COUNTIFS('月1回_1ヶ月前の在庫'!$V$6:$V$10005,$V9961,'月1回_1ヶ月前の在庫'!$W$6:$W$10005,$W9961)&gt;0),N(U9960),N(U9960)+1))</f>
        <v/>
      </c>
      <c r="V9961" s="19">
        <f>IF($B9961="","",TEXT($B9961,"0000"))</f>
        <v/>
      </c>
      <c r="W9961" s="19">
        <f>IF($I9961="","",IF(ISNUMBER($I9961),TEXT($I9961,"0"),$I9961))</f>
        <v/>
      </c>
    </row>
    <row r="9962">
      <c r="B9962" s="25" t="n"/>
      <c r="I9962" s="25" t="n"/>
      <c r="U9962" s="19">
        <f>IF($V9962&lt;&gt;'設定'!$C$4,N(U9961),IF(OR(NOT(COUNTIF('商品マスタ'!$B$6:$B$1005,$W9962)=0),COUNTIFS('①在庫を貼る'!$V$6:$V$10005,$V9962,'①在庫を貼る'!$W$6:$W$10005,$W9962)+COUNTIFS('月1回_1ヶ月前の在庫'!$V$6:$V$10005,$V9962,'月1回_1ヶ月前の在庫'!$W$6:$W$10005,$W9962)&gt;0),N(U9961),N(U9961)+1))</f>
        <v/>
      </c>
      <c r="V9962" s="19">
        <f>IF($B9962="","",TEXT($B9962,"0000"))</f>
        <v/>
      </c>
      <c r="W9962" s="19">
        <f>IF($I9962="","",IF(ISNUMBER($I9962),TEXT($I9962,"0"),$I9962))</f>
        <v/>
      </c>
    </row>
    <row r="9963">
      <c r="B9963" s="25" t="n"/>
      <c r="I9963" s="25" t="n"/>
      <c r="U9963" s="19">
        <f>IF($V9963&lt;&gt;'設定'!$C$4,N(U9962),IF(OR(NOT(COUNTIF('商品マスタ'!$B$6:$B$1005,$W9963)=0),COUNTIFS('①在庫を貼る'!$V$6:$V$10005,$V9963,'①在庫を貼る'!$W$6:$W$10005,$W9963)+COUNTIFS('月1回_1ヶ月前の在庫'!$V$6:$V$10005,$V9963,'月1回_1ヶ月前の在庫'!$W$6:$W$10005,$W9963)&gt;0),N(U9962),N(U9962)+1))</f>
        <v/>
      </c>
      <c r="V9963" s="19">
        <f>IF($B9963="","",TEXT($B9963,"0000"))</f>
        <v/>
      </c>
      <c r="W9963" s="19">
        <f>IF($I9963="","",IF(ISNUMBER($I9963),TEXT($I9963,"0"),$I9963))</f>
        <v/>
      </c>
    </row>
    <row r="9964">
      <c r="B9964" s="25" t="n"/>
      <c r="I9964" s="25" t="n"/>
      <c r="U9964" s="19">
        <f>IF($V9964&lt;&gt;'設定'!$C$4,N(U9963),IF(OR(NOT(COUNTIF('商品マスタ'!$B$6:$B$1005,$W9964)=0),COUNTIFS('①在庫を貼る'!$V$6:$V$10005,$V9964,'①在庫を貼る'!$W$6:$W$10005,$W9964)+COUNTIFS('月1回_1ヶ月前の在庫'!$V$6:$V$10005,$V9964,'月1回_1ヶ月前の在庫'!$W$6:$W$10005,$W9964)&gt;0),N(U9963),N(U9963)+1))</f>
        <v/>
      </c>
      <c r="V9964" s="19">
        <f>IF($B9964="","",TEXT($B9964,"0000"))</f>
        <v/>
      </c>
      <c r="W9964" s="19">
        <f>IF($I9964="","",IF(ISNUMBER($I9964),TEXT($I9964,"0"),$I9964))</f>
        <v/>
      </c>
    </row>
    <row r="9965">
      <c r="B9965" s="25" t="n"/>
      <c r="I9965" s="25" t="n"/>
      <c r="U9965" s="19">
        <f>IF($V9965&lt;&gt;'設定'!$C$4,N(U9964),IF(OR(NOT(COUNTIF('商品マスタ'!$B$6:$B$1005,$W9965)=0),COUNTIFS('①在庫を貼る'!$V$6:$V$10005,$V9965,'①在庫を貼る'!$W$6:$W$10005,$W9965)+COUNTIFS('月1回_1ヶ月前の在庫'!$V$6:$V$10005,$V9965,'月1回_1ヶ月前の在庫'!$W$6:$W$10005,$W9965)&gt;0),N(U9964),N(U9964)+1))</f>
        <v/>
      </c>
      <c r="V9965" s="19">
        <f>IF($B9965="","",TEXT($B9965,"0000"))</f>
        <v/>
      </c>
      <c r="W9965" s="19">
        <f>IF($I9965="","",IF(ISNUMBER($I9965),TEXT($I9965,"0"),$I9965))</f>
        <v/>
      </c>
    </row>
    <row r="9966">
      <c r="B9966" s="25" t="n"/>
      <c r="I9966" s="25" t="n"/>
      <c r="U9966" s="19">
        <f>IF($V9966&lt;&gt;'設定'!$C$4,N(U9965),IF(OR(NOT(COUNTIF('商品マスタ'!$B$6:$B$1005,$W9966)=0),COUNTIFS('①在庫を貼る'!$V$6:$V$10005,$V9966,'①在庫を貼る'!$W$6:$W$10005,$W9966)+COUNTIFS('月1回_1ヶ月前の在庫'!$V$6:$V$10005,$V9966,'月1回_1ヶ月前の在庫'!$W$6:$W$10005,$W9966)&gt;0),N(U9965),N(U9965)+1))</f>
        <v/>
      </c>
      <c r="V9966" s="19">
        <f>IF($B9966="","",TEXT($B9966,"0000"))</f>
        <v/>
      </c>
      <c r="W9966" s="19">
        <f>IF($I9966="","",IF(ISNUMBER($I9966),TEXT($I9966,"0"),$I9966))</f>
        <v/>
      </c>
    </row>
    <row r="9967">
      <c r="B9967" s="25" t="n"/>
      <c r="I9967" s="25" t="n"/>
      <c r="U9967" s="19">
        <f>IF($V9967&lt;&gt;'設定'!$C$4,N(U9966),IF(OR(NOT(COUNTIF('商品マスタ'!$B$6:$B$1005,$W9967)=0),COUNTIFS('①在庫を貼る'!$V$6:$V$10005,$V9967,'①在庫を貼る'!$W$6:$W$10005,$W9967)+COUNTIFS('月1回_1ヶ月前の在庫'!$V$6:$V$10005,$V9967,'月1回_1ヶ月前の在庫'!$W$6:$W$10005,$W9967)&gt;0),N(U9966),N(U9966)+1))</f>
        <v/>
      </c>
      <c r="V9967" s="19">
        <f>IF($B9967="","",TEXT($B9967,"0000"))</f>
        <v/>
      </c>
      <c r="W9967" s="19">
        <f>IF($I9967="","",IF(ISNUMBER($I9967),TEXT($I9967,"0"),$I9967))</f>
        <v/>
      </c>
    </row>
    <row r="9968">
      <c r="B9968" s="25" t="n"/>
      <c r="I9968" s="25" t="n"/>
      <c r="U9968" s="19">
        <f>IF($V9968&lt;&gt;'設定'!$C$4,N(U9967),IF(OR(NOT(COUNTIF('商品マスタ'!$B$6:$B$1005,$W9968)=0),COUNTIFS('①在庫を貼る'!$V$6:$V$10005,$V9968,'①在庫を貼る'!$W$6:$W$10005,$W9968)+COUNTIFS('月1回_1ヶ月前の在庫'!$V$6:$V$10005,$V9968,'月1回_1ヶ月前の在庫'!$W$6:$W$10005,$W9968)&gt;0),N(U9967),N(U9967)+1))</f>
        <v/>
      </c>
      <c r="V9968" s="19">
        <f>IF($B9968="","",TEXT($B9968,"0000"))</f>
        <v/>
      </c>
      <c r="W9968" s="19">
        <f>IF($I9968="","",IF(ISNUMBER($I9968),TEXT($I9968,"0"),$I9968))</f>
        <v/>
      </c>
    </row>
    <row r="9969">
      <c r="B9969" s="25" t="n"/>
      <c r="I9969" s="25" t="n"/>
      <c r="U9969" s="19">
        <f>IF($V9969&lt;&gt;'設定'!$C$4,N(U9968),IF(OR(NOT(COUNTIF('商品マスタ'!$B$6:$B$1005,$W9969)=0),COUNTIFS('①在庫を貼る'!$V$6:$V$10005,$V9969,'①在庫を貼る'!$W$6:$W$10005,$W9969)+COUNTIFS('月1回_1ヶ月前の在庫'!$V$6:$V$10005,$V9969,'月1回_1ヶ月前の在庫'!$W$6:$W$10005,$W9969)&gt;0),N(U9968),N(U9968)+1))</f>
        <v/>
      </c>
      <c r="V9969" s="19">
        <f>IF($B9969="","",TEXT($B9969,"0000"))</f>
        <v/>
      </c>
      <c r="W9969" s="19">
        <f>IF($I9969="","",IF(ISNUMBER($I9969),TEXT($I9969,"0"),$I9969))</f>
        <v/>
      </c>
    </row>
    <row r="9970">
      <c r="B9970" s="25" t="n"/>
      <c r="I9970" s="25" t="n"/>
      <c r="U9970" s="19">
        <f>IF($V9970&lt;&gt;'設定'!$C$4,N(U9969),IF(OR(NOT(COUNTIF('商品マスタ'!$B$6:$B$1005,$W9970)=0),COUNTIFS('①在庫を貼る'!$V$6:$V$10005,$V9970,'①在庫を貼る'!$W$6:$W$10005,$W9970)+COUNTIFS('月1回_1ヶ月前の在庫'!$V$6:$V$10005,$V9970,'月1回_1ヶ月前の在庫'!$W$6:$W$10005,$W9970)&gt;0),N(U9969),N(U9969)+1))</f>
        <v/>
      </c>
      <c r="V9970" s="19">
        <f>IF($B9970="","",TEXT($B9970,"0000"))</f>
        <v/>
      </c>
      <c r="W9970" s="19">
        <f>IF($I9970="","",IF(ISNUMBER($I9970),TEXT($I9970,"0"),$I9970))</f>
        <v/>
      </c>
    </row>
    <row r="9971">
      <c r="B9971" s="25" t="n"/>
      <c r="I9971" s="25" t="n"/>
      <c r="U9971" s="19">
        <f>IF($V9971&lt;&gt;'設定'!$C$4,N(U9970),IF(OR(NOT(COUNTIF('商品マスタ'!$B$6:$B$1005,$W9971)=0),COUNTIFS('①在庫を貼る'!$V$6:$V$10005,$V9971,'①在庫を貼る'!$W$6:$W$10005,$W9971)+COUNTIFS('月1回_1ヶ月前の在庫'!$V$6:$V$10005,$V9971,'月1回_1ヶ月前の在庫'!$W$6:$W$10005,$W9971)&gt;0),N(U9970),N(U9970)+1))</f>
        <v/>
      </c>
      <c r="V9971" s="19">
        <f>IF($B9971="","",TEXT($B9971,"0000"))</f>
        <v/>
      </c>
      <c r="W9971" s="19">
        <f>IF($I9971="","",IF(ISNUMBER($I9971),TEXT($I9971,"0"),$I9971))</f>
        <v/>
      </c>
    </row>
    <row r="9972">
      <c r="B9972" s="25" t="n"/>
      <c r="I9972" s="25" t="n"/>
      <c r="U9972" s="19">
        <f>IF($V9972&lt;&gt;'設定'!$C$4,N(U9971),IF(OR(NOT(COUNTIF('商品マスタ'!$B$6:$B$1005,$W9972)=0),COUNTIFS('①在庫を貼る'!$V$6:$V$10005,$V9972,'①在庫を貼る'!$W$6:$W$10005,$W9972)+COUNTIFS('月1回_1ヶ月前の在庫'!$V$6:$V$10005,$V9972,'月1回_1ヶ月前の在庫'!$W$6:$W$10005,$W9972)&gt;0),N(U9971),N(U9971)+1))</f>
        <v/>
      </c>
      <c r="V9972" s="19">
        <f>IF($B9972="","",TEXT($B9972,"0000"))</f>
        <v/>
      </c>
      <c r="W9972" s="19">
        <f>IF($I9972="","",IF(ISNUMBER($I9972),TEXT($I9972,"0"),$I9972))</f>
        <v/>
      </c>
    </row>
    <row r="9973">
      <c r="B9973" s="25" t="n"/>
      <c r="I9973" s="25" t="n"/>
      <c r="U9973" s="19">
        <f>IF($V9973&lt;&gt;'設定'!$C$4,N(U9972),IF(OR(NOT(COUNTIF('商品マスタ'!$B$6:$B$1005,$W9973)=0),COUNTIFS('①在庫を貼る'!$V$6:$V$10005,$V9973,'①在庫を貼る'!$W$6:$W$10005,$W9973)+COUNTIFS('月1回_1ヶ月前の在庫'!$V$6:$V$10005,$V9973,'月1回_1ヶ月前の在庫'!$W$6:$W$10005,$W9973)&gt;0),N(U9972),N(U9972)+1))</f>
        <v/>
      </c>
      <c r="V9973" s="19">
        <f>IF($B9973="","",TEXT($B9973,"0000"))</f>
        <v/>
      </c>
      <c r="W9973" s="19">
        <f>IF($I9973="","",IF(ISNUMBER($I9973),TEXT($I9973,"0"),$I9973))</f>
        <v/>
      </c>
    </row>
    <row r="9974">
      <c r="B9974" s="25" t="n"/>
      <c r="I9974" s="25" t="n"/>
      <c r="U9974" s="19">
        <f>IF($V9974&lt;&gt;'設定'!$C$4,N(U9973),IF(OR(NOT(COUNTIF('商品マスタ'!$B$6:$B$1005,$W9974)=0),COUNTIFS('①在庫を貼る'!$V$6:$V$10005,$V9974,'①在庫を貼る'!$W$6:$W$10005,$W9974)+COUNTIFS('月1回_1ヶ月前の在庫'!$V$6:$V$10005,$V9974,'月1回_1ヶ月前の在庫'!$W$6:$W$10005,$W9974)&gt;0),N(U9973),N(U9973)+1))</f>
        <v/>
      </c>
      <c r="V9974" s="19">
        <f>IF($B9974="","",TEXT($B9974,"0000"))</f>
        <v/>
      </c>
      <c r="W9974" s="19">
        <f>IF($I9974="","",IF(ISNUMBER($I9974),TEXT($I9974,"0"),$I9974))</f>
        <v/>
      </c>
    </row>
    <row r="9975">
      <c r="B9975" s="25" t="n"/>
      <c r="I9975" s="25" t="n"/>
      <c r="U9975" s="19">
        <f>IF($V9975&lt;&gt;'設定'!$C$4,N(U9974),IF(OR(NOT(COUNTIF('商品マスタ'!$B$6:$B$1005,$W9975)=0),COUNTIFS('①在庫を貼る'!$V$6:$V$10005,$V9975,'①在庫を貼る'!$W$6:$W$10005,$W9975)+COUNTIFS('月1回_1ヶ月前の在庫'!$V$6:$V$10005,$V9975,'月1回_1ヶ月前の在庫'!$W$6:$W$10005,$W9975)&gt;0),N(U9974),N(U9974)+1))</f>
        <v/>
      </c>
      <c r="V9975" s="19">
        <f>IF($B9975="","",TEXT($B9975,"0000"))</f>
        <v/>
      </c>
      <c r="W9975" s="19">
        <f>IF($I9975="","",IF(ISNUMBER($I9975),TEXT($I9975,"0"),$I9975))</f>
        <v/>
      </c>
    </row>
    <row r="9976">
      <c r="B9976" s="25" t="n"/>
      <c r="I9976" s="25" t="n"/>
      <c r="U9976" s="19">
        <f>IF($V9976&lt;&gt;'設定'!$C$4,N(U9975),IF(OR(NOT(COUNTIF('商品マスタ'!$B$6:$B$1005,$W9976)=0),COUNTIFS('①在庫を貼る'!$V$6:$V$10005,$V9976,'①在庫を貼る'!$W$6:$W$10005,$W9976)+COUNTIFS('月1回_1ヶ月前の在庫'!$V$6:$V$10005,$V9976,'月1回_1ヶ月前の在庫'!$W$6:$W$10005,$W9976)&gt;0),N(U9975),N(U9975)+1))</f>
        <v/>
      </c>
      <c r="V9976" s="19">
        <f>IF($B9976="","",TEXT($B9976,"0000"))</f>
        <v/>
      </c>
      <c r="W9976" s="19">
        <f>IF($I9976="","",IF(ISNUMBER($I9976),TEXT($I9976,"0"),$I9976))</f>
        <v/>
      </c>
    </row>
    <row r="9977">
      <c r="B9977" s="25" t="n"/>
      <c r="I9977" s="25" t="n"/>
      <c r="U9977" s="19">
        <f>IF($V9977&lt;&gt;'設定'!$C$4,N(U9976),IF(OR(NOT(COUNTIF('商品マスタ'!$B$6:$B$1005,$W9977)=0),COUNTIFS('①在庫を貼る'!$V$6:$V$10005,$V9977,'①在庫を貼る'!$W$6:$W$10005,$W9977)+COUNTIFS('月1回_1ヶ月前の在庫'!$V$6:$V$10005,$V9977,'月1回_1ヶ月前の在庫'!$W$6:$W$10005,$W9977)&gt;0),N(U9976),N(U9976)+1))</f>
        <v/>
      </c>
      <c r="V9977" s="19">
        <f>IF($B9977="","",TEXT($B9977,"0000"))</f>
        <v/>
      </c>
      <c r="W9977" s="19">
        <f>IF($I9977="","",IF(ISNUMBER($I9977),TEXT($I9977,"0"),$I9977))</f>
        <v/>
      </c>
    </row>
    <row r="9978">
      <c r="B9978" s="25" t="n"/>
      <c r="I9978" s="25" t="n"/>
      <c r="U9978" s="19">
        <f>IF($V9978&lt;&gt;'設定'!$C$4,N(U9977),IF(OR(NOT(COUNTIF('商品マスタ'!$B$6:$B$1005,$W9978)=0),COUNTIFS('①在庫を貼る'!$V$6:$V$10005,$V9978,'①在庫を貼る'!$W$6:$W$10005,$W9978)+COUNTIFS('月1回_1ヶ月前の在庫'!$V$6:$V$10005,$V9978,'月1回_1ヶ月前の在庫'!$W$6:$W$10005,$W9978)&gt;0),N(U9977),N(U9977)+1))</f>
        <v/>
      </c>
      <c r="V9978" s="19">
        <f>IF($B9978="","",TEXT($B9978,"0000"))</f>
        <v/>
      </c>
      <c r="W9978" s="19">
        <f>IF($I9978="","",IF(ISNUMBER($I9978),TEXT($I9978,"0"),$I9978))</f>
        <v/>
      </c>
    </row>
    <row r="9979">
      <c r="B9979" s="25" t="n"/>
      <c r="I9979" s="25" t="n"/>
      <c r="U9979" s="19">
        <f>IF($V9979&lt;&gt;'設定'!$C$4,N(U9978),IF(OR(NOT(COUNTIF('商品マスタ'!$B$6:$B$1005,$W9979)=0),COUNTIFS('①在庫を貼る'!$V$6:$V$10005,$V9979,'①在庫を貼る'!$W$6:$W$10005,$W9979)+COUNTIFS('月1回_1ヶ月前の在庫'!$V$6:$V$10005,$V9979,'月1回_1ヶ月前の在庫'!$W$6:$W$10005,$W9979)&gt;0),N(U9978),N(U9978)+1))</f>
        <v/>
      </c>
      <c r="V9979" s="19">
        <f>IF($B9979="","",TEXT($B9979,"0000"))</f>
        <v/>
      </c>
      <c r="W9979" s="19">
        <f>IF($I9979="","",IF(ISNUMBER($I9979),TEXT($I9979,"0"),$I9979))</f>
        <v/>
      </c>
    </row>
    <row r="9980">
      <c r="B9980" s="25" t="n"/>
      <c r="I9980" s="25" t="n"/>
      <c r="U9980" s="19">
        <f>IF($V9980&lt;&gt;'設定'!$C$4,N(U9979),IF(OR(NOT(COUNTIF('商品マスタ'!$B$6:$B$1005,$W9980)=0),COUNTIFS('①在庫を貼る'!$V$6:$V$10005,$V9980,'①在庫を貼る'!$W$6:$W$10005,$W9980)+COUNTIFS('月1回_1ヶ月前の在庫'!$V$6:$V$10005,$V9980,'月1回_1ヶ月前の在庫'!$W$6:$W$10005,$W9980)&gt;0),N(U9979),N(U9979)+1))</f>
        <v/>
      </c>
      <c r="V9980" s="19">
        <f>IF($B9980="","",TEXT($B9980,"0000"))</f>
        <v/>
      </c>
      <c r="W9980" s="19">
        <f>IF($I9980="","",IF(ISNUMBER($I9980),TEXT($I9980,"0"),$I9980))</f>
        <v/>
      </c>
    </row>
    <row r="9981">
      <c r="B9981" s="25" t="n"/>
      <c r="I9981" s="25" t="n"/>
      <c r="U9981" s="19">
        <f>IF($V9981&lt;&gt;'設定'!$C$4,N(U9980),IF(OR(NOT(COUNTIF('商品マスタ'!$B$6:$B$1005,$W9981)=0),COUNTIFS('①在庫を貼る'!$V$6:$V$10005,$V9981,'①在庫を貼る'!$W$6:$W$10005,$W9981)+COUNTIFS('月1回_1ヶ月前の在庫'!$V$6:$V$10005,$V9981,'月1回_1ヶ月前の在庫'!$W$6:$W$10005,$W9981)&gt;0),N(U9980),N(U9980)+1))</f>
        <v/>
      </c>
      <c r="V9981" s="19">
        <f>IF($B9981="","",TEXT($B9981,"0000"))</f>
        <v/>
      </c>
      <c r="W9981" s="19">
        <f>IF($I9981="","",IF(ISNUMBER($I9981),TEXT($I9981,"0"),$I9981))</f>
        <v/>
      </c>
    </row>
    <row r="9982">
      <c r="B9982" s="25" t="n"/>
      <c r="I9982" s="25" t="n"/>
      <c r="U9982" s="19">
        <f>IF($V9982&lt;&gt;'設定'!$C$4,N(U9981),IF(OR(NOT(COUNTIF('商品マスタ'!$B$6:$B$1005,$W9982)=0),COUNTIFS('①在庫を貼る'!$V$6:$V$10005,$V9982,'①在庫を貼る'!$W$6:$W$10005,$W9982)+COUNTIFS('月1回_1ヶ月前の在庫'!$V$6:$V$10005,$V9982,'月1回_1ヶ月前の在庫'!$W$6:$W$10005,$W9982)&gt;0),N(U9981),N(U9981)+1))</f>
        <v/>
      </c>
      <c r="V9982" s="19">
        <f>IF($B9982="","",TEXT($B9982,"0000"))</f>
        <v/>
      </c>
      <c r="W9982" s="19">
        <f>IF($I9982="","",IF(ISNUMBER($I9982),TEXT($I9982,"0"),$I9982))</f>
        <v/>
      </c>
    </row>
    <row r="9983">
      <c r="B9983" s="25" t="n"/>
      <c r="I9983" s="25" t="n"/>
      <c r="U9983" s="19">
        <f>IF($V9983&lt;&gt;'設定'!$C$4,N(U9982),IF(OR(NOT(COUNTIF('商品マスタ'!$B$6:$B$1005,$W9983)=0),COUNTIFS('①在庫を貼る'!$V$6:$V$10005,$V9983,'①在庫を貼る'!$W$6:$W$10005,$W9983)+COUNTIFS('月1回_1ヶ月前の在庫'!$V$6:$V$10005,$V9983,'月1回_1ヶ月前の在庫'!$W$6:$W$10005,$W9983)&gt;0),N(U9982),N(U9982)+1))</f>
        <v/>
      </c>
      <c r="V9983" s="19">
        <f>IF($B9983="","",TEXT($B9983,"0000"))</f>
        <v/>
      </c>
      <c r="W9983" s="19">
        <f>IF($I9983="","",IF(ISNUMBER($I9983),TEXT($I9983,"0"),$I9983))</f>
        <v/>
      </c>
    </row>
    <row r="9984">
      <c r="B9984" s="25" t="n"/>
      <c r="I9984" s="25" t="n"/>
      <c r="U9984" s="19">
        <f>IF($V9984&lt;&gt;'設定'!$C$4,N(U9983),IF(OR(NOT(COUNTIF('商品マスタ'!$B$6:$B$1005,$W9984)=0),COUNTIFS('①在庫を貼る'!$V$6:$V$10005,$V9984,'①在庫を貼る'!$W$6:$W$10005,$W9984)+COUNTIFS('月1回_1ヶ月前の在庫'!$V$6:$V$10005,$V9984,'月1回_1ヶ月前の在庫'!$W$6:$W$10005,$W9984)&gt;0),N(U9983),N(U9983)+1))</f>
        <v/>
      </c>
      <c r="V9984" s="19">
        <f>IF($B9984="","",TEXT($B9984,"0000"))</f>
        <v/>
      </c>
      <c r="W9984" s="19">
        <f>IF($I9984="","",IF(ISNUMBER($I9984),TEXT($I9984,"0"),$I9984))</f>
        <v/>
      </c>
    </row>
    <row r="9985">
      <c r="B9985" s="25" t="n"/>
      <c r="I9985" s="25" t="n"/>
      <c r="U9985" s="19">
        <f>IF($V9985&lt;&gt;'設定'!$C$4,N(U9984),IF(OR(NOT(COUNTIF('商品マスタ'!$B$6:$B$1005,$W9985)=0),COUNTIFS('①在庫を貼る'!$V$6:$V$10005,$V9985,'①在庫を貼る'!$W$6:$W$10005,$W9985)+COUNTIFS('月1回_1ヶ月前の在庫'!$V$6:$V$10005,$V9985,'月1回_1ヶ月前の在庫'!$W$6:$W$10005,$W9985)&gt;0),N(U9984),N(U9984)+1))</f>
        <v/>
      </c>
      <c r="V9985" s="19">
        <f>IF($B9985="","",TEXT($B9985,"0000"))</f>
        <v/>
      </c>
      <c r="W9985" s="19">
        <f>IF($I9985="","",IF(ISNUMBER($I9985),TEXT($I9985,"0"),$I9985))</f>
        <v/>
      </c>
    </row>
    <row r="9986">
      <c r="B9986" s="25" t="n"/>
      <c r="I9986" s="25" t="n"/>
      <c r="U9986" s="19">
        <f>IF($V9986&lt;&gt;'設定'!$C$4,N(U9985),IF(OR(NOT(COUNTIF('商品マスタ'!$B$6:$B$1005,$W9986)=0),COUNTIFS('①在庫を貼る'!$V$6:$V$10005,$V9986,'①在庫を貼る'!$W$6:$W$10005,$W9986)+COUNTIFS('月1回_1ヶ月前の在庫'!$V$6:$V$10005,$V9986,'月1回_1ヶ月前の在庫'!$W$6:$W$10005,$W9986)&gt;0),N(U9985),N(U9985)+1))</f>
        <v/>
      </c>
      <c r="V9986" s="19">
        <f>IF($B9986="","",TEXT($B9986,"0000"))</f>
        <v/>
      </c>
      <c r="W9986" s="19">
        <f>IF($I9986="","",IF(ISNUMBER($I9986),TEXT($I9986,"0"),$I9986))</f>
        <v/>
      </c>
    </row>
    <row r="9987">
      <c r="B9987" s="25" t="n"/>
      <c r="I9987" s="25" t="n"/>
      <c r="U9987" s="19">
        <f>IF($V9987&lt;&gt;'設定'!$C$4,N(U9986),IF(OR(NOT(COUNTIF('商品マスタ'!$B$6:$B$1005,$W9987)=0),COUNTIFS('①在庫を貼る'!$V$6:$V$10005,$V9987,'①在庫を貼る'!$W$6:$W$10005,$W9987)+COUNTIFS('月1回_1ヶ月前の在庫'!$V$6:$V$10005,$V9987,'月1回_1ヶ月前の在庫'!$W$6:$W$10005,$W9987)&gt;0),N(U9986),N(U9986)+1))</f>
        <v/>
      </c>
      <c r="V9987" s="19">
        <f>IF($B9987="","",TEXT($B9987,"0000"))</f>
        <v/>
      </c>
      <c r="W9987" s="19">
        <f>IF($I9987="","",IF(ISNUMBER($I9987),TEXT($I9987,"0"),$I9987))</f>
        <v/>
      </c>
    </row>
    <row r="9988">
      <c r="B9988" s="25" t="n"/>
      <c r="I9988" s="25" t="n"/>
      <c r="U9988" s="19">
        <f>IF($V9988&lt;&gt;'設定'!$C$4,N(U9987),IF(OR(NOT(COUNTIF('商品マスタ'!$B$6:$B$1005,$W9988)=0),COUNTIFS('①在庫を貼る'!$V$6:$V$10005,$V9988,'①在庫を貼る'!$W$6:$W$10005,$W9988)+COUNTIFS('月1回_1ヶ月前の在庫'!$V$6:$V$10005,$V9988,'月1回_1ヶ月前の在庫'!$W$6:$W$10005,$W9988)&gt;0),N(U9987),N(U9987)+1))</f>
        <v/>
      </c>
      <c r="V9988" s="19">
        <f>IF($B9988="","",TEXT($B9988,"0000"))</f>
        <v/>
      </c>
      <c r="W9988" s="19">
        <f>IF($I9988="","",IF(ISNUMBER($I9988),TEXT($I9988,"0"),$I9988))</f>
        <v/>
      </c>
    </row>
    <row r="9989">
      <c r="B9989" s="25" t="n"/>
      <c r="I9989" s="25" t="n"/>
      <c r="U9989" s="19">
        <f>IF($V9989&lt;&gt;'設定'!$C$4,N(U9988),IF(OR(NOT(COUNTIF('商品マスタ'!$B$6:$B$1005,$W9989)=0),COUNTIFS('①在庫を貼る'!$V$6:$V$10005,$V9989,'①在庫を貼る'!$W$6:$W$10005,$W9989)+COUNTIFS('月1回_1ヶ月前の在庫'!$V$6:$V$10005,$V9989,'月1回_1ヶ月前の在庫'!$W$6:$W$10005,$W9989)&gt;0),N(U9988),N(U9988)+1))</f>
        <v/>
      </c>
      <c r="V9989" s="19">
        <f>IF($B9989="","",TEXT($B9989,"0000"))</f>
        <v/>
      </c>
      <c r="W9989" s="19">
        <f>IF($I9989="","",IF(ISNUMBER($I9989),TEXT($I9989,"0"),$I9989))</f>
        <v/>
      </c>
    </row>
    <row r="9990">
      <c r="B9990" s="25" t="n"/>
      <c r="I9990" s="25" t="n"/>
      <c r="U9990" s="19">
        <f>IF($V9990&lt;&gt;'設定'!$C$4,N(U9989),IF(OR(NOT(COUNTIF('商品マスタ'!$B$6:$B$1005,$W9990)=0),COUNTIFS('①在庫を貼る'!$V$6:$V$10005,$V9990,'①在庫を貼る'!$W$6:$W$10005,$W9990)+COUNTIFS('月1回_1ヶ月前の在庫'!$V$6:$V$10005,$V9990,'月1回_1ヶ月前の在庫'!$W$6:$W$10005,$W9990)&gt;0),N(U9989),N(U9989)+1))</f>
        <v/>
      </c>
      <c r="V9990" s="19">
        <f>IF($B9990="","",TEXT($B9990,"0000"))</f>
        <v/>
      </c>
      <c r="W9990" s="19">
        <f>IF($I9990="","",IF(ISNUMBER($I9990),TEXT($I9990,"0"),$I9990))</f>
        <v/>
      </c>
    </row>
    <row r="9991">
      <c r="B9991" s="25" t="n"/>
      <c r="I9991" s="25" t="n"/>
      <c r="U9991" s="19">
        <f>IF($V9991&lt;&gt;'設定'!$C$4,N(U9990),IF(OR(NOT(COUNTIF('商品マスタ'!$B$6:$B$1005,$W9991)=0),COUNTIFS('①在庫を貼る'!$V$6:$V$10005,$V9991,'①在庫を貼る'!$W$6:$W$10005,$W9991)+COUNTIFS('月1回_1ヶ月前の在庫'!$V$6:$V$10005,$V9991,'月1回_1ヶ月前の在庫'!$W$6:$W$10005,$W9991)&gt;0),N(U9990),N(U9990)+1))</f>
        <v/>
      </c>
      <c r="V9991" s="19">
        <f>IF($B9991="","",TEXT($B9991,"0000"))</f>
        <v/>
      </c>
      <c r="W9991" s="19">
        <f>IF($I9991="","",IF(ISNUMBER($I9991),TEXT($I9991,"0"),$I9991))</f>
        <v/>
      </c>
    </row>
    <row r="9992">
      <c r="B9992" s="25" t="n"/>
      <c r="I9992" s="25" t="n"/>
      <c r="U9992" s="19">
        <f>IF($V9992&lt;&gt;'設定'!$C$4,N(U9991),IF(OR(NOT(COUNTIF('商品マスタ'!$B$6:$B$1005,$W9992)=0),COUNTIFS('①在庫を貼る'!$V$6:$V$10005,$V9992,'①在庫を貼る'!$W$6:$W$10005,$W9992)+COUNTIFS('月1回_1ヶ月前の在庫'!$V$6:$V$10005,$V9992,'月1回_1ヶ月前の在庫'!$W$6:$W$10005,$W9992)&gt;0),N(U9991),N(U9991)+1))</f>
        <v/>
      </c>
      <c r="V9992" s="19">
        <f>IF($B9992="","",TEXT($B9992,"0000"))</f>
        <v/>
      </c>
      <c r="W9992" s="19">
        <f>IF($I9992="","",IF(ISNUMBER($I9992),TEXT($I9992,"0"),$I9992))</f>
        <v/>
      </c>
    </row>
    <row r="9993">
      <c r="B9993" s="25" t="n"/>
      <c r="I9993" s="25" t="n"/>
      <c r="U9993" s="19">
        <f>IF($V9993&lt;&gt;'設定'!$C$4,N(U9992),IF(OR(NOT(COUNTIF('商品マスタ'!$B$6:$B$1005,$W9993)=0),COUNTIFS('①在庫を貼る'!$V$6:$V$10005,$V9993,'①在庫を貼る'!$W$6:$W$10005,$W9993)+COUNTIFS('月1回_1ヶ月前の在庫'!$V$6:$V$10005,$V9993,'月1回_1ヶ月前の在庫'!$W$6:$W$10005,$W9993)&gt;0),N(U9992),N(U9992)+1))</f>
        <v/>
      </c>
      <c r="V9993" s="19">
        <f>IF($B9993="","",TEXT($B9993,"0000"))</f>
        <v/>
      </c>
      <c r="W9993" s="19">
        <f>IF($I9993="","",IF(ISNUMBER($I9993),TEXT($I9993,"0"),$I9993))</f>
        <v/>
      </c>
    </row>
    <row r="9994">
      <c r="B9994" s="25" t="n"/>
      <c r="I9994" s="25" t="n"/>
      <c r="U9994" s="19">
        <f>IF($V9994&lt;&gt;'設定'!$C$4,N(U9993),IF(OR(NOT(COUNTIF('商品マスタ'!$B$6:$B$1005,$W9994)=0),COUNTIFS('①在庫を貼る'!$V$6:$V$10005,$V9994,'①在庫を貼る'!$W$6:$W$10005,$W9994)+COUNTIFS('月1回_1ヶ月前の在庫'!$V$6:$V$10005,$V9994,'月1回_1ヶ月前の在庫'!$W$6:$W$10005,$W9994)&gt;0),N(U9993),N(U9993)+1))</f>
        <v/>
      </c>
      <c r="V9994" s="19">
        <f>IF($B9994="","",TEXT($B9994,"0000"))</f>
        <v/>
      </c>
      <c r="W9994" s="19">
        <f>IF($I9994="","",IF(ISNUMBER($I9994),TEXT($I9994,"0"),$I9994))</f>
        <v/>
      </c>
    </row>
    <row r="9995">
      <c r="B9995" s="25" t="n"/>
      <c r="I9995" s="25" t="n"/>
      <c r="U9995" s="19">
        <f>IF($V9995&lt;&gt;'設定'!$C$4,N(U9994),IF(OR(NOT(COUNTIF('商品マスタ'!$B$6:$B$1005,$W9995)=0),COUNTIFS('①在庫を貼る'!$V$6:$V$10005,$V9995,'①在庫を貼る'!$W$6:$W$10005,$W9995)+COUNTIFS('月1回_1ヶ月前の在庫'!$V$6:$V$10005,$V9995,'月1回_1ヶ月前の在庫'!$W$6:$W$10005,$W9995)&gt;0),N(U9994),N(U9994)+1))</f>
        <v/>
      </c>
      <c r="V9995" s="19">
        <f>IF($B9995="","",TEXT($B9995,"0000"))</f>
        <v/>
      </c>
      <c r="W9995" s="19">
        <f>IF($I9995="","",IF(ISNUMBER($I9995),TEXT($I9995,"0"),$I9995))</f>
        <v/>
      </c>
    </row>
    <row r="9996">
      <c r="B9996" s="25" t="n"/>
      <c r="I9996" s="25" t="n"/>
      <c r="U9996" s="19">
        <f>IF($V9996&lt;&gt;'設定'!$C$4,N(U9995),IF(OR(NOT(COUNTIF('商品マスタ'!$B$6:$B$1005,$W9996)=0),COUNTIFS('①在庫を貼る'!$V$6:$V$10005,$V9996,'①在庫を貼る'!$W$6:$W$10005,$W9996)+COUNTIFS('月1回_1ヶ月前の在庫'!$V$6:$V$10005,$V9996,'月1回_1ヶ月前の在庫'!$W$6:$W$10005,$W9996)&gt;0),N(U9995),N(U9995)+1))</f>
        <v/>
      </c>
      <c r="V9996" s="19">
        <f>IF($B9996="","",TEXT($B9996,"0000"))</f>
        <v/>
      </c>
      <c r="W9996" s="19">
        <f>IF($I9996="","",IF(ISNUMBER($I9996),TEXT($I9996,"0"),$I9996))</f>
        <v/>
      </c>
    </row>
    <row r="9997">
      <c r="B9997" s="25" t="n"/>
      <c r="I9997" s="25" t="n"/>
      <c r="U9997" s="19">
        <f>IF($V9997&lt;&gt;'設定'!$C$4,N(U9996),IF(OR(NOT(COUNTIF('商品マスタ'!$B$6:$B$1005,$W9997)=0),COUNTIFS('①在庫を貼る'!$V$6:$V$10005,$V9997,'①在庫を貼る'!$W$6:$W$10005,$W9997)+COUNTIFS('月1回_1ヶ月前の在庫'!$V$6:$V$10005,$V9997,'月1回_1ヶ月前の在庫'!$W$6:$W$10005,$W9997)&gt;0),N(U9996),N(U9996)+1))</f>
        <v/>
      </c>
      <c r="V9997" s="19">
        <f>IF($B9997="","",TEXT($B9997,"0000"))</f>
        <v/>
      </c>
      <c r="W9997" s="19">
        <f>IF($I9997="","",IF(ISNUMBER($I9997),TEXT($I9997,"0"),$I9997))</f>
        <v/>
      </c>
    </row>
    <row r="9998">
      <c r="B9998" s="25" t="n"/>
      <c r="I9998" s="25" t="n"/>
      <c r="U9998" s="19">
        <f>IF($V9998&lt;&gt;'設定'!$C$4,N(U9997),IF(OR(NOT(COUNTIF('商品マスタ'!$B$6:$B$1005,$W9998)=0),COUNTIFS('①在庫を貼る'!$V$6:$V$10005,$V9998,'①在庫を貼る'!$W$6:$W$10005,$W9998)+COUNTIFS('月1回_1ヶ月前の在庫'!$V$6:$V$10005,$V9998,'月1回_1ヶ月前の在庫'!$W$6:$W$10005,$W9998)&gt;0),N(U9997),N(U9997)+1))</f>
        <v/>
      </c>
      <c r="V9998" s="19">
        <f>IF($B9998="","",TEXT($B9998,"0000"))</f>
        <v/>
      </c>
      <c r="W9998" s="19">
        <f>IF($I9998="","",IF(ISNUMBER($I9998),TEXT($I9998,"0"),$I9998))</f>
        <v/>
      </c>
    </row>
    <row r="9999">
      <c r="B9999" s="25" t="n"/>
      <c r="I9999" s="25" t="n"/>
      <c r="U9999" s="19">
        <f>IF($V9999&lt;&gt;'設定'!$C$4,N(U9998),IF(OR(NOT(COUNTIF('商品マスタ'!$B$6:$B$1005,$W9999)=0),COUNTIFS('①在庫を貼る'!$V$6:$V$10005,$V9999,'①在庫を貼る'!$W$6:$W$10005,$W9999)+COUNTIFS('月1回_1ヶ月前の在庫'!$V$6:$V$10005,$V9999,'月1回_1ヶ月前の在庫'!$W$6:$W$10005,$W9999)&gt;0),N(U9998),N(U9998)+1))</f>
        <v/>
      </c>
      <c r="V9999" s="19">
        <f>IF($B9999="","",TEXT($B9999,"0000"))</f>
        <v/>
      </c>
      <c r="W9999" s="19">
        <f>IF($I9999="","",IF(ISNUMBER($I9999),TEXT($I9999,"0"),$I9999))</f>
        <v/>
      </c>
    </row>
    <row r="10000">
      <c r="B10000" s="25" t="n"/>
      <c r="I10000" s="25" t="n"/>
      <c r="U10000" s="19">
        <f>IF($V10000&lt;&gt;'設定'!$C$4,N(U9999),IF(OR(NOT(COUNTIF('商品マスタ'!$B$6:$B$1005,$W10000)=0),COUNTIFS('①在庫を貼る'!$V$6:$V$10005,$V10000,'①在庫を貼る'!$W$6:$W$10005,$W10000)+COUNTIFS('月1回_1ヶ月前の在庫'!$V$6:$V$10005,$V10000,'月1回_1ヶ月前の在庫'!$W$6:$W$10005,$W10000)&gt;0),N(U9999),N(U9999)+1))</f>
        <v/>
      </c>
      <c r="V10000" s="19">
        <f>IF($B10000="","",TEXT($B10000,"0000"))</f>
        <v/>
      </c>
      <c r="W10000" s="19">
        <f>IF($I10000="","",IF(ISNUMBER($I10000),TEXT($I10000,"0"),$I10000))</f>
        <v/>
      </c>
    </row>
    <row r="10001">
      <c r="B10001" s="25" t="n"/>
      <c r="I10001" s="25" t="n"/>
      <c r="U10001" s="19">
        <f>IF($V10001&lt;&gt;'設定'!$C$4,N(U10000),IF(OR(NOT(COUNTIF('商品マスタ'!$B$6:$B$1005,$W10001)=0),COUNTIFS('①在庫を貼る'!$V$6:$V$10005,$V10001,'①在庫を貼る'!$W$6:$W$10005,$W10001)+COUNTIFS('月1回_1ヶ月前の在庫'!$V$6:$V$10005,$V10001,'月1回_1ヶ月前の在庫'!$W$6:$W$10005,$W10001)&gt;0),N(U10000),N(U10000)+1))</f>
        <v/>
      </c>
      <c r="V10001" s="19">
        <f>IF($B10001="","",TEXT($B10001,"0000"))</f>
        <v/>
      </c>
      <c r="W10001" s="19">
        <f>IF($I10001="","",IF(ISNUMBER($I10001),TEXT($I10001,"0"),$I10001))</f>
        <v/>
      </c>
    </row>
    <row r="10002">
      <c r="B10002" s="25" t="n"/>
      <c r="I10002" s="25" t="n"/>
      <c r="U10002" s="19">
        <f>IF($V10002&lt;&gt;'設定'!$C$4,N(U10001),IF(OR(NOT(COUNTIF('商品マスタ'!$B$6:$B$1005,$W10002)=0),COUNTIFS('①在庫を貼る'!$V$6:$V$10005,$V10002,'①在庫を貼る'!$W$6:$W$10005,$W10002)+COUNTIFS('月1回_1ヶ月前の在庫'!$V$6:$V$10005,$V10002,'月1回_1ヶ月前の在庫'!$W$6:$W$10005,$W10002)&gt;0),N(U10001),N(U10001)+1))</f>
        <v/>
      </c>
      <c r="V10002" s="19">
        <f>IF($B10002="","",TEXT($B10002,"0000"))</f>
        <v/>
      </c>
      <c r="W10002" s="19">
        <f>IF($I10002="","",IF(ISNUMBER($I10002),TEXT($I10002,"0"),$I10002))</f>
        <v/>
      </c>
    </row>
    <row r="10003">
      <c r="B10003" s="25" t="n"/>
      <c r="I10003" s="25" t="n"/>
      <c r="U10003" s="19">
        <f>IF($V10003&lt;&gt;'設定'!$C$4,N(U10002),IF(OR(NOT(COUNTIF('商品マスタ'!$B$6:$B$1005,$W10003)=0),COUNTIFS('①在庫を貼る'!$V$6:$V$10005,$V10003,'①在庫を貼る'!$W$6:$W$10005,$W10003)+COUNTIFS('月1回_1ヶ月前の在庫'!$V$6:$V$10005,$V10003,'月1回_1ヶ月前の在庫'!$W$6:$W$10005,$W10003)&gt;0),N(U10002),N(U10002)+1))</f>
        <v/>
      </c>
      <c r="V10003" s="19">
        <f>IF($B10003="","",TEXT($B10003,"0000"))</f>
        <v/>
      </c>
      <c r="W10003" s="19">
        <f>IF($I10003="","",IF(ISNUMBER($I10003),TEXT($I10003,"0"),$I10003))</f>
        <v/>
      </c>
    </row>
    <row r="10004">
      <c r="B10004" s="25" t="n"/>
      <c r="I10004" s="25" t="n"/>
      <c r="U10004" s="19">
        <f>IF($V10004&lt;&gt;'設定'!$C$4,N(U10003),IF(OR(NOT(COUNTIF('商品マスタ'!$B$6:$B$1005,$W10004)=0),COUNTIFS('①在庫を貼る'!$V$6:$V$10005,$V10004,'①在庫を貼る'!$W$6:$W$10005,$W10004)+COUNTIFS('月1回_1ヶ月前の在庫'!$V$6:$V$10005,$V10004,'月1回_1ヶ月前の在庫'!$W$6:$W$10005,$W10004)&gt;0),N(U10003),N(U10003)+1))</f>
        <v/>
      </c>
      <c r="V10004" s="19">
        <f>IF($B10004="","",TEXT($B10004,"0000"))</f>
        <v/>
      </c>
      <c r="W10004" s="19">
        <f>IF($I10004="","",IF(ISNUMBER($I10004),TEXT($I10004,"0"),$I10004))</f>
        <v/>
      </c>
    </row>
    <row r="10005">
      <c r="B10005" s="25" t="n"/>
      <c r="I10005" s="25" t="n"/>
      <c r="U10005" s="19">
        <f>IF($V10005&lt;&gt;'設定'!$C$4,N(U10004),IF(OR(NOT(COUNTIF('商品マスタ'!$B$6:$B$1005,$W10005)=0),COUNTIFS('①在庫を貼る'!$V$6:$V$10005,$V10005,'①在庫を貼る'!$W$6:$W$10005,$W10005)+COUNTIFS('月1回_1ヶ月前の在庫'!$V$6:$V$10005,$V10005,'月1回_1ヶ月前の在庫'!$W$6:$W$10005,$W10005)&gt;0),N(U10004),N(U10004)+1))</f>
        <v/>
      </c>
      <c r="V10005" s="19">
        <f>IF($B10005="","",TEXT($B10005,"0000"))</f>
        <v/>
      </c>
      <c r="W10005" s="19">
        <f>IF($I10005="","",IF(ISNUMBER($I10005),TEXT($I10005,"0"),$I10005))</f>
        <v/>
      </c>
    </row>
  </sheetData>
  <mergeCells count="1">
    <mergeCell ref="B1:M1"/>
  </mergeCells>
  <conditionalFormatting sqref="H2">
    <cfRule type="expression" priority="1" dxfId="4" stopIfTrue="1">
      <formula>COUNTIF($V$6:$V$10005,'設定'!$C$4)=0</formula>
    </cfRule>
    <cfRule type="expression" priority="2" dxfId="5" stopIfTrue="1">
      <formula>TRUE</formula>
    </cfRule>
  </conditionalFormatting>
  <hyperlinks>
    <hyperlink ref="N1" location="'ホーム'!A1" display="◀ ホーム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A8D9C"/>
    <outlinePr summaryBelow="1" summaryRight="1"/>
    <pageSetUpPr/>
  </sheetPr>
  <dimension ref="B1:O10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8" customWidth="1" min="2" max="2"/>
    <col width="34.56" customWidth="1" min="3" max="3"/>
    <col width="17.28" customWidth="1" min="4" max="4"/>
    <col width="25.92" customWidth="1" min="5" max="5"/>
    <col width="7.56" customWidth="1" min="6" max="6"/>
    <col width="11.88" customWidth="1" min="7" max="7"/>
    <col width="12.96" customWidth="1" min="8" max="8"/>
    <col width="10.8" customWidth="1" min="9" max="9"/>
    <col width="17.28" customWidth="1" min="10" max="10"/>
    <col width="28.08" customWidth="1" min="11" max="11"/>
    <col width="7.56" customWidth="1" min="12" max="12"/>
    <col width="6.48" customWidth="1" min="13" max="13"/>
    <col width="8.640000000000001" customWidth="1" min="14" max="14"/>
  </cols>
  <sheetData>
    <row r="1" ht="24" customHeight="1">
      <c r="B1" s="1" t="inlineStr">
        <is>
          <t xml:space="preserve">  商品マスタ（社員）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0" t="inlineStr">
        <is>
          <t xml:space="preserve">◀ ホーム  </t>
        </is>
      </c>
    </row>
    <row r="2" ht="30" customHeight="1">
      <c r="B2" s="21" t="inlineStr">
        <is>
          <t>商品マスタ</t>
        </is>
      </c>
    </row>
    <row r="3">
      <c r="B3" s="5" t="inlineStr">
        <is>
          <t>「定数（ケース）」と「100人あたりの減り数」を入れると発注画面が動きます。②発注する はこの表の順に並びます。行の挿入・削除・並べ替えは入庫を入れていない朝いちに。</t>
        </is>
      </c>
    </row>
    <row r="4">
      <c r="B4" s="39" t="inlineStr">
        <is>
          <t>入力</t>
        </is>
      </c>
      <c r="C4" s="39" t="inlineStr">
        <is>
          <t>入力</t>
        </is>
      </c>
      <c r="D4" s="39" t="inlineStr">
        <is>
          <t>入力</t>
        </is>
      </c>
      <c r="E4" s="39" t="inlineStr">
        <is>
          <t>入力</t>
        </is>
      </c>
      <c r="F4" s="39" t="inlineStr">
        <is>
          <t>入力</t>
        </is>
      </c>
      <c r="G4" s="39" t="inlineStr">
        <is>
          <t>入力</t>
        </is>
      </c>
      <c r="H4" s="39" t="inlineStr">
        <is>
          <t>入力</t>
        </is>
      </c>
      <c r="I4" s="39" t="inlineStr">
        <is>
          <t>自動</t>
        </is>
      </c>
      <c r="J4" s="39" t="inlineStr">
        <is>
          <t>入力</t>
        </is>
      </c>
      <c r="K4" s="39" t="inlineStr">
        <is>
          <t>入力</t>
        </is>
      </c>
      <c r="L4" s="39" t="inlineStr">
        <is>
          <t>自動</t>
        </is>
      </c>
      <c r="M4" s="39" t="inlineStr">
        <is>
          <t>自動</t>
        </is>
      </c>
      <c r="N4" s="39" t="inlineStr">
        <is>
          <t>自動</t>
        </is>
      </c>
    </row>
    <row r="5" ht="30" customHeight="1">
      <c r="B5" s="40" t="inlineStr">
        <is>
          <t>商品コード</t>
        </is>
      </c>
      <c r="C5" s="40" t="inlineStr">
        <is>
          <t>商品名</t>
        </is>
      </c>
      <c r="D5" s="40" t="inlineStr">
        <is>
          <t>商品分類名</t>
        </is>
      </c>
      <c r="E5" s="40" t="inlineStr">
        <is>
          <t>支払先名</t>
        </is>
      </c>
      <c r="F5" s="40" t="inlineStr">
        <is>
          <t>入数</t>
        </is>
      </c>
      <c r="G5" s="40" t="inlineStr">
        <is>
          <t>税抜単価</t>
        </is>
      </c>
      <c r="H5" s="40" t="inlineStr">
        <is>
          <t>定数（ケース）</t>
        </is>
      </c>
      <c r="I5" s="40" t="inlineStr">
        <is>
          <t>定数（個）</t>
        </is>
      </c>
      <c r="J5" s="40" t="inlineStr">
        <is>
          <t>100人あたりの減り数</t>
        </is>
      </c>
      <c r="K5" s="40" t="inlineStr">
        <is>
          <t>備考</t>
        </is>
      </c>
      <c r="L5" s="40" t="inlineStr">
        <is>
          <t>取扱中</t>
        </is>
      </c>
      <c r="M5" s="40" t="inlineStr">
        <is>
          <t>並び</t>
        </is>
      </c>
      <c r="N5" s="40" t="inlineStr">
        <is>
          <t>当日CSVの行数</t>
        </is>
      </c>
      <c r="O5" s="19" t="inlineStr">
        <is>
          <t>減り数が橙＝1日で定数以上減る計算です。「1日の減り数」を入れていませんか（100人あたりに直す）</t>
        </is>
      </c>
    </row>
    <row r="6" ht="18" customHeight="1">
      <c r="B6" s="76" t="inlineStr">
        <is>
          <t>1812000008585</t>
        </is>
      </c>
      <c r="C6" s="77" t="inlineStr">
        <is>
          <t>プレミアムモルツ　２０Ｌ</t>
        </is>
      </c>
      <c r="D6" s="77" t="inlineStr">
        <is>
          <t>アルコール</t>
        </is>
      </c>
      <c r="E6" s="77" t="inlineStr">
        <is>
          <t>株式会社　カクヤス</t>
        </is>
      </c>
      <c r="F6" s="78" t="n">
        <v>1</v>
      </c>
      <c r="G6" s="79" t="n">
        <v>11300</v>
      </c>
      <c r="H6" s="69" t="n"/>
      <c r="I6" s="44">
        <f>IF(OR($B6="",$H6=""),"",$H6*MAX(1,N($F6)))</f>
        <v/>
      </c>
      <c r="J6" s="80" t="n"/>
      <c r="K6" s="77" t="n"/>
      <c r="L6" s="54">
        <f>IF($B6="",0,IF(COUNTIFS('①在庫を貼る'!$V$6:$V$10005,'設定'!$C$4,'①在庫を貼る'!$W$6:$W$10005,$B6)+COUNTIFS('月1回_1ヶ月前の在庫'!$V$6:$V$10005,'設定'!$C$4,'月1回_1ヶ月前の在庫'!$W$6:$W$10005,$B6)+COUNTIFS('月1回_2ヶ月前の在庫'!$V$6:$V$10005,'設定'!$C$4,'月1回_2ヶ月前の在庫'!$W$6:$W$10005,$B6)&gt;0,1,0))</f>
        <v/>
      </c>
      <c r="M6" s="54">
        <f>0+$L6</f>
        <v/>
      </c>
      <c r="N6" s="54">
        <f>IF($B6="",0,COUNTIFS('①在庫を貼る'!$V$6:$V$10005,'設定'!$C$4,'①在庫を貼る'!$W$6:$W$10005,$B6))</f>
        <v/>
      </c>
    </row>
    <row r="7" ht="18" customHeight="1">
      <c r="B7" s="76" t="inlineStr">
        <is>
          <t>1812000010991</t>
        </is>
      </c>
      <c r="C7" s="77" t="inlineStr">
        <is>
          <t>ミオネット　ベビーボトル２００ｍ</t>
        </is>
      </c>
      <c r="D7" s="77" t="inlineStr">
        <is>
          <t>アルコール</t>
        </is>
      </c>
      <c r="E7" s="77" t="inlineStr">
        <is>
          <t>株式会社　カクヤス</t>
        </is>
      </c>
      <c r="F7" s="78" t="n">
        <v>24</v>
      </c>
      <c r="G7" s="79" t="n">
        <v>587</v>
      </c>
      <c r="H7" s="69" t="n"/>
      <c r="I7" s="44">
        <f>IF(OR($B7="",$H7=""),"",$H7*MAX(1,N($F7)))</f>
        <v/>
      </c>
      <c r="J7" s="80" t="n"/>
      <c r="K7" s="77" t="n"/>
      <c r="L7" s="54">
        <f>IF($B7="",0,IF(COUNTIFS('①在庫を貼る'!$V$6:$V$10005,'設定'!$C$4,'①在庫を貼る'!$W$6:$W$10005,$B7)+COUNTIFS('月1回_1ヶ月前の在庫'!$V$6:$V$10005,'設定'!$C$4,'月1回_1ヶ月前の在庫'!$W$6:$W$10005,$B7)+COUNTIFS('月1回_2ヶ月前の在庫'!$V$6:$V$10005,'設定'!$C$4,'月1回_2ヶ月前の在庫'!$W$6:$W$10005,$B7)&gt;0,1,0))</f>
        <v/>
      </c>
      <c r="M7" s="54">
        <f>N(M6)+$L7</f>
        <v/>
      </c>
      <c r="N7" s="54">
        <f>IF($B7="",0,COUNTIFS('①在庫を貼る'!$V$6:$V$10005,'設定'!$C$4,'①在庫を貼る'!$W$6:$W$10005,$B7))</f>
        <v/>
      </c>
    </row>
    <row r="8" ht="18" customHeight="1">
      <c r="B8" s="76" t="inlineStr">
        <is>
          <t>1812000011745</t>
        </is>
      </c>
      <c r="C8" s="77" t="inlineStr">
        <is>
          <t>フォルタン　リトラル　赤</t>
        </is>
      </c>
      <c r="D8" s="77" t="inlineStr">
        <is>
          <t>アルコール</t>
        </is>
      </c>
      <c r="E8" s="77" t="inlineStr">
        <is>
          <t>株式会社　カクヤス</t>
        </is>
      </c>
      <c r="F8" s="78" t="n">
        <v>48</v>
      </c>
      <c r="G8" s="79" t="n">
        <v>357</v>
      </c>
      <c r="H8" s="69" t="n"/>
      <c r="I8" s="44">
        <f>IF(OR($B8="",$H8=""),"",$H8*MAX(1,N($F8)))</f>
        <v/>
      </c>
      <c r="J8" s="80" t="n"/>
      <c r="K8" s="77" t="n"/>
      <c r="L8" s="54">
        <f>IF($B8="",0,IF(COUNTIFS('①在庫を貼る'!$V$6:$V$10005,'設定'!$C$4,'①在庫を貼る'!$W$6:$W$10005,$B8)+COUNTIFS('月1回_1ヶ月前の在庫'!$V$6:$V$10005,'設定'!$C$4,'月1回_1ヶ月前の在庫'!$W$6:$W$10005,$B8)+COUNTIFS('月1回_2ヶ月前の在庫'!$V$6:$V$10005,'設定'!$C$4,'月1回_2ヶ月前の在庫'!$W$6:$W$10005,$B8)&gt;0,1,0))</f>
        <v/>
      </c>
      <c r="M8" s="54">
        <f>N(M7)+$L8</f>
        <v/>
      </c>
      <c r="N8" s="54">
        <f>IF($B8="",0,COUNTIFS('①在庫を貼る'!$V$6:$V$10005,'設定'!$C$4,'①在庫を貼る'!$W$6:$W$10005,$B8))</f>
        <v/>
      </c>
    </row>
    <row r="9" ht="18" customHeight="1">
      <c r="B9" s="76" t="inlineStr">
        <is>
          <t>1812000011752</t>
        </is>
      </c>
      <c r="C9" s="77" t="inlineStr">
        <is>
          <t>フォルタン　リトラル　白</t>
        </is>
      </c>
      <c r="D9" s="77" t="inlineStr">
        <is>
          <t>アルコール</t>
        </is>
      </c>
      <c r="E9" s="77" t="inlineStr">
        <is>
          <t>株式会社　カクヤス</t>
        </is>
      </c>
      <c r="F9" s="78" t="n">
        <v>48</v>
      </c>
      <c r="G9" s="79" t="n">
        <v>357</v>
      </c>
      <c r="H9" s="69" t="n"/>
      <c r="I9" s="44">
        <f>IF(OR($B9="",$H9=""),"",$H9*MAX(1,N($F9)))</f>
        <v/>
      </c>
      <c r="J9" s="80" t="n"/>
      <c r="K9" s="77" t="n"/>
      <c r="L9" s="54">
        <f>IF($B9="",0,IF(COUNTIFS('①在庫を貼る'!$V$6:$V$10005,'設定'!$C$4,'①在庫を貼る'!$W$6:$W$10005,$B9)+COUNTIFS('月1回_1ヶ月前の在庫'!$V$6:$V$10005,'設定'!$C$4,'月1回_1ヶ月前の在庫'!$W$6:$W$10005,$B9)+COUNTIFS('月1回_2ヶ月前の在庫'!$V$6:$V$10005,'設定'!$C$4,'月1回_2ヶ月前の在庫'!$W$6:$W$10005,$B9)&gt;0,1,0))</f>
        <v/>
      </c>
      <c r="M9" s="54">
        <f>N(M8)+$L9</f>
        <v/>
      </c>
      <c r="N9" s="54">
        <f>IF($B9="",0,COUNTIFS('①在庫を貼る'!$V$6:$V$10005,'設定'!$C$4,'①在庫を貼る'!$W$6:$W$10005,$B9))</f>
        <v/>
      </c>
    </row>
    <row r="10" ht="18" customHeight="1">
      <c r="B10" s="76" t="inlineStr">
        <is>
          <t>1812000013343</t>
        </is>
      </c>
      <c r="C10" s="77" t="inlineStr">
        <is>
          <t>フレシネコルドンネグロ２００ｍｌ</t>
        </is>
      </c>
      <c r="D10" s="77" t="inlineStr">
        <is>
          <t>アルコール</t>
        </is>
      </c>
      <c r="E10" s="77" t="inlineStr">
        <is>
          <t>株式会社　カクヤス</t>
        </is>
      </c>
      <c r="F10" s="78" t="n">
        <v>24</v>
      </c>
      <c r="G10" s="79" t="n">
        <v>585</v>
      </c>
      <c r="H10" s="69" t="n"/>
      <c r="I10" s="44">
        <f>IF(OR($B10="",$H10=""),"",$H10*MAX(1,N($F10)))</f>
        <v/>
      </c>
      <c r="J10" s="80" t="n"/>
      <c r="K10" s="77" t="n"/>
      <c r="L10" s="54">
        <f>IF($B10="",0,IF(COUNTIFS('①在庫を貼る'!$V$6:$V$10005,'設定'!$C$4,'①在庫を貼る'!$W$6:$W$10005,$B10)+COUNTIFS('月1回_1ヶ月前の在庫'!$V$6:$V$10005,'設定'!$C$4,'月1回_1ヶ月前の在庫'!$W$6:$W$10005,$B10)+COUNTIFS('月1回_2ヶ月前の在庫'!$V$6:$V$10005,'設定'!$C$4,'月1回_2ヶ月前の在庫'!$W$6:$W$10005,$B10)&gt;0,1,0))</f>
        <v/>
      </c>
      <c r="M10" s="54">
        <f>N(M9)+$L10</f>
        <v/>
      </c>
      <c r="N10" s="54">
        <f>IF($B10="",0,COUNTIFS('①在庫を貼る'!$V$6:$V$10005,'設定'!$C$4,'①在庫を貼る'!$W$6:$W$10005,$B10))</f>
        <v/>
      </c>
    </row>
    <row r="11" ht="18" customHeight="1">
      <c r="B11" s="76" t="inlineStr">
        <is>
          <t>1813000187270</t>
        </is>
      </c>
      <c r="C11" s="77" t="inlineStr">
        <is>
          <t>サントリー角ハイボール</t>
        </is>
      </c>
      <c r="D11" s="77" t="inlineStr">
        <is>
          <t>アルコール</t>
        </is>
      </c>
      <c r="E11" s="77" t="inlineStr">
        <is>
          <t>株式会社　カクヤス</t>
        </is>
      </c>
      <c r="F11" s="78" t="n">
        <v>30</v>
      </c>
      <c r="G11" s="79" t="n">
        <v>118</v>
      </c>
      <c r="H11" s="69" t="n"/>
      <c r="I11" s="44">
        <f>IF(OR($B11="",$H11=""),"",$H11*MAX(1,N($F11)))</f>
        <v/>
      </c>
      <c r="J11" s="80" t="n"/>
      <c r="K11" s="77" t="n"/>
      <c r="L11" s="54">
        <f>IF($B11="",0,IF(COUNTIFS('①在庫を貼る'!$V$6:$V$10005,'設定'!$C$4,'①在庫を貼る'!$W$6:$W$10005,$B11)+COUNTIFS('月1回_1ヶ月前の在庫'!$V$6:$V$10005,'設定'!$C$4,'月1回_1ヶ月前の在庫'!$W$6:$W$10005,$B11)+COUNTIFS('月1回_2ヶ月前の在庫'!$V$6:$V$10005,'設定'!$C$4,'月1回_2ヶ月前の在庫'!$W$6:$W$10005,$B11)&gt;0,1,0))</f>
        <v/>
      </c>
      <c r="M11" s="54">
        <f>N(M10)+$L11</f>
        <v/>
      </c>
      <c r="N11" s="54">
        <f>IF($B11="",0,COUNTIFS('①在庫を貼る'!$V$6:$V$10005,'設定'!$C$4,'①在庫を貼る'!$W$6:$W$10005,$B11))</f>
        <v/>
      </c>
    </row>
    <row r="12" ht="18" customHeight="1">
      <c r="B12" s="76" t="inlineStr">
        <is>
          <t>1812000000237</t>
        </is>
      </c>
      <c r="C12" s="77" t="inlineStr">
        <is>
          <t>アイスティシロップ</t>
        </is>
      </c>
      <c r="D12" s="77" t="inlineStr">
        <is>
          <t>コールド</t>
        </is>
      </c>
      <c r="E12" s="77" t="inlineStr">
        <is>
          <t>オザックス株式会社</t>
        </is>
      </c>
      <c r="F12" s="78" t="n">
        <v>1</v>
      </c>
      <c r="G12" s="79" t="n">
        <v>3756</v>
      </c>
      <c r="H12" s="69" t="n"/>
      <c r="I12" s="44">
        <f>IF(OR($B12="",$H12=""),"",$H12*MAX(1,N($F12)))</f>
        <v/>
      </c>
      <c r="J12" s="80" t="n"/>
      <c r="K12" s="77" t="n"/>
      <c r="L12" s="54">
        <f>IF($B12="",0,IF(COUNTIFS('①在庫を貼る'!$V$6:$V$10005,'設定'!$C$4,'①在庫を貼る'!$W$6:$W$10005,$B12)+COUNTIFS('月1回_1ヶ月前の在庫'!$V$6:$V$10005,'設定'!$C$4,'月1回_1ヶ月前の在庫'!$W$6:$W$10005,$B12)+COUNTIFS('月1回_2ヶ月前の在庫'!$V$6:$V$10005,'設定'!$C$4,'月1回_2ヶ月前の在庫'!$W$6:$W$10005,$B12)&gt;0,1,0))</f>
        <v/>
      </c>
      <c r="M12" s="54">
        <f>N(M11)+$L12</f>
        <v/>
      </c>
      <c r="N12" s="54">
        <f>IF($B12="",0,COUNTIFS('①在庫を貼る'!$V$6:$V$10005,'設定'!$C$4,'①在庫を貼る'!$W$6:$W$10005,$B12))</f>
        <v/>
      </c>
    </row>
    <row r="13" ht="18" customHeight="1">
      <c r="B13" s="76" t="inlineStr">
        <is>
          <t>1812000000251</t>
        </is>
      </c>
      <c r="C13" s="77" t="inlineStr">
        <is>
          <t>烏龍茶１０倍シロップ</t>
        </is>
      </c>
      <c r="D13" s="77" t="inlineStr">
        <is>
          <t>コールド</t>
        </is>
      </c>
      <c r="E13" s="77" t="inlineStr">
        <is>
          <t>オザックス株式会社</t>
        </is>
      </c>
      <c r="F13" s="78" t="n">
        <v>1</v>
      </c>
      <c r="G13" s="79" t="n">
        <v>4382</v>
      </c>
      <c r="H13" s="69" t="n"/>
      <c r="I13" s="44">
        <f>IF(OR($B13="",$H13=""),"",$H13*MAX(1,N($F13)))</f>
        <v/>
      </c>
      <c r="J13" s="80" t="n"/>
      <c r="K13" s="77" t="n"/>
      <c r="L13" s="54">
        <f>IF($B13="",0,IF(COUNTIFS('①在庫を貼る'!$V$6:$V$10005,'設定'!$C$4,'①在庫を貼る'!$W$6:$W$10005,$B13)+COUNTIFS('月1回_1ヶ月前の在庫'!$V$6:$V$10005,'設定'!$C$4,'月1回_1ヶ月前の在庫'!$W$6:$W$10005,$B13)+COUNTIFS('月1回_2ヶ月前の在庫'!$V$6:$V$10005,'設定'!$C$4,'月1回_2ヶ月前の在庫'!$W$6:$W$10005,$B13)&gt;0,1,0))</f>
        <v/>
      </c>
      <c r="M13" s="54">
        <f>N(M12)+$L13</f>
        <v/>
      </c>
      <c r="N13" s="54">
        <f>IF($B13="",0,COUNTIFS('①在庫を貼る'!$V$6:$V$10005,'設定'!$C$4,'①在庫を貼る'!$W$6:$W$10005,$B13))</f>
        <v/>
      </c>
    </row>
    <row r="14" ht="18" customHeight="1">
      <c r="B14" s="76" t="inlineStr">
        <is>
          <t>1812000007441</t>
        </is>
      </c>
      <c r="C14" s="77" t="inlineStr">
        <is>
          <t>ミニッツメイドオレンジＦＫＡ</t>
        </is>
      </c>
      <c r="D14" s="77" t="inlineStr">
        <is>
          <t>コールド</t>
        </is>
      </c>
      <c r="E14" s="77" t="inlineStr">
        <is>
          <t>オザックス株式会社</t>
        </is>
      </c>
      <c r="F14" s="78" t="n">
        <v>1</v>
      </c>
      <c r="G14" s="79" t="n">
        <v>2890</v>
      </c>
      <c r="H14" s="69" t="n"/>
      <c r="I14" s="44">
        <f>IF(OR($B14="",$H14=""),"",$H14*MAX(1,N($F14)))</f>
        <v/>
      </c>
      <c r="J14" s="80" t="n"/>
      <c r="K14" s="77" t="n"/>
      <c r="L14" s="54">
        <f>IF($B14="",0,IF(COUNTIFS('①在庫を貼る'!$V$6:$V$10005,'設定'!$C$4,'①在庫を貼る'!$W$6:$W$10005,$B14)+COUNTIFS('月1回_1ヶ月前の在庫'!$V$6:$V$10005,'設定'!$C$4,'月1回_1ヶ月前の在庫'!$W$6:$W$10005,$B14)+COUNTIFS('月1回_2ヶ月前の在庫'!$V$6:$V$10005,'設定'!$C$4,'月1回_2ヶ月前の在庫'!$W$6:$W$10005,$B14)&gt;0,1,0))</f>
        <v/>
      </c>
      <c r="M14" s="54">
        <f>N(M13)+$L14</f>
        <v/>
      </c>
      <c r="N14" s="54">
        <f>IF($B14="",0,COUNTIFS('①在庫を貼る'!$V$6:$V$10005,'設定'!$C$4,'①在庫を貼る'!$W$6:$W$10005,$B14))</f>
        <v/>
      </c>
    </row>
    <row r="15" ht="18" customHeight="1">
      <c r="B15" s="76" t="inlineStr">
        <is>
          <t>1812000013169</t>
        </is>
      </c>
      <c r="C15" s="77" t="inlineStr">
        <is>
          <t>ミニッツメイドアップル</t>
        </is>
      </c>
      <c r="D15" s="77" t="inlineStr">
        <is>
          <t>コールド</t>
        </is>
      </c>
      <c r="E15" s="77" t="inlineStr">
        <is>
          <t>オザックス株式会社</t>
        </is>
      </c>
      <c r="F15" s="78" t="n">
        <v>1</v>
      </c>
      <c r="G15" s="79" t="n">
        <v>3636</v>
      </c>
      <c r="H15" s="69" t="n"/>
      <c r="I15" s="44">
        <f>IF(OR($B15="",$H15=""),"",$H15*MAX(1,N($F15)))</f>
        <v/>
      </c>
      <c r="J15" s="80" t="n"/>
      <c r="K15" s="77" t="n"/>
      <c r="L15" s="54">
        <f>IF($B15="",0,IF(COUNTIFS('①在庫を貼る'!$V$6:$V$10005,'設定'!$C$4,'①在庫を貼る'!$W$6:$W$10005,$B15)+COUNTIFS('月1回_1ヶ月前の在庫'!$V$6:$V$10005,'設定'!$C$4,'月1回_1ヶ月前の在庫'!$W$6:$W$10005,$B15)+COUNTIFS('月1回_2ヶ月前の在庫'!$V$6:$V$10005,'設定'!$C$4,'月1回_2ヶ月前の在庫'!$W$6:$W$10005,$B15)&gt;0,1,0))</f>
        <v/>
      </c>
      <c r="M15" s="54">
        <f>N(M14)+$L15</f>
        <v/>
      </c>
      <c r="N15" s="54">
        <f>IF($B15="",0,COUNTIFS('①在庫を貼る'!$V$6:$V$10005,'設定'!$C$4,'①在庫を貼る'!$W$6:$W$10005,$B15))</f>
        <v/>
      </c>
    </row>
    <row r="16" ht="18" customHeight="1">
      <c r="B16" s="76" t="inlineStr">
        <is>
          <t>4902102081283</t>
        </is>
      </c>
      <c r="C16" s="77" t="inlineStr">
        <is>
          <t>ＰＸＴ爽健美茶１Ｇ</t>
        </is>
      </c>
      <c r="D16" s="77" t="inlineStr">
        <is>
          <t>コールド</t>
        </is>
      </c>
      <c r="E16" s="77" t="inlineStr">
        <is>
          <t>オザックス株式会社</t>
        </is>
      </c>
      <c r="F16" s="78" t="n">
        <v>1</v>
      </c>
      <c r="G16" s="79" t="n">
        <v>3756</v>
      </c>
      <c r="H16" s="69" t="n"/>
      <c r="I16" s="44">
        <f>IF(OR($B16="",$H16=""),"",$H16*MAX(1,N($F16)))</f>
        <v/>
      </c>
      <c r="J16" s="80" t="n"/>
      <c r="K16" s="77" t="n"/>
      <c r="L16" s="54">
        <f>IF($B16="",0,IF(COUNTIFS('①在庫を貼る'!$V$6:$V$10005,'設定'!$C$4,'①在庫を貼る'!$W$6:$W$10005,$B16)+COUNTIFS('月1回_1ヶ月前の在庫'!$V$6:$V$10005,'設定'!$C$4,'月1回_1ヶ月前の在庫'!$W$6:$W$10005,$B16)+COUNTIFS('月1回_2ヶ月前の在庫'!$V$6:$V$10005,'設定'!$C$4,'月1回_2ヶ月前の在庫'!$W$6:$W$10005,$B16)&gt;0,1,0))</f>
        <v/>
      </c>
      <c r="M16" s="54">
        <f>N(M15)+$L16</f>
        <v/>
      </c>
      <c r="N16" s="54">
        <f>IF($B16="",0,COUNTIFS('①在庫を貼る'!$V$6:$V$10005,'設定'!$C$4,'①在庫を貼る'!$W$6:$W$10005,$B16))</f>
        <v/>
      </c>
    </row>
    <row r="17" ht="18" customHeight="1">
      <c r="B17" s="76" t="inlineStr">
        <is>
          <t>4902102112901</t>
        </is>
      </c>
      <c r="C17" s="77" t="inlineStr">
        <is>
          <t>フラットＢＩＢメロンＳ２．５Ｇ</t>
        </is>
      </c>
      <c r="D17" s="77" t="inlineStr">
        <is>
          <t>コールド</t>
        </is>
      </c>
      <c r="E17" s="77" t="inlineStr">
        <is>
          <t>オザックス株式会社</t>
        </is>
      </c>
      <c r="F17" s="78" t="n">
        <v>1</v>
      </c>
      <c r="G17" s="79" t="n">
        <v>7510</v>
      </c>
      <c r="H17" s="69" t="n"/>
      <c r="I17" s="44">
        <f>IF(OR($B17="",$H17=""),"",$H17*MAX(1,N($F17)))</f>
        <v/>
      </c>
      <c r="J17" s="80" t="n"/>
      <c r="K17" s="77" t="n"/>
      <c r="L17" s="54">
        <f>IF($B17="",0,IF(COUNTIFS('①在庫を貼る'!$V$6:$V$10005,'設定'!$C$4,'①在庫を貼る'!$W$6:$W$10005,$B17)+COUNTIFS('月1回_1ヶ月前の在庫'!$V$6:$V$10005,'設定'!$C$4,'月1回_1ヶ月前の在庫'!$W$6:$W$10005,$B17)+COUNTIFS('月1回_2ヶ月前の在庫'!$V$6:$V$10005,'設定'!$C$4,'月1回_2ヶ月前の在庫'!$W$6:$W$10005,$B17)&gt;0,1,0))</f>
        <v/>
      </c>
      <c r="M17" s="54">
        <f>N(M16)+$L17</f>
        <v/>
      </c>
      <c r="N17" s="54">
        <f>IF($B17="",0,COUNTIFS('①在庫を貼る'!$V$6:$V$10005,'設定'!$C$4,'①在庫を貼る'!$W$6:$W$10005,$B17))</f>
        <v/>
      </c>
    </row>
    <row r="18" ht="18" customHeight="1">
      <c r="B18" s="76" t="inlineStr">
        <is>
          <t>4902102112956</t>
        </is>
      </c>
      <c r="C18" s="77" t="inlineStr">
        <is>
          <t>フラットＢＩＢコカコーラ２．５Ｇ</t>
        </is>
      </c>
      <c r="D18" s="77" t="inlineStr">
        <is>
          <t>コールド</t>
        </is>
      </c>
      <c r="E18" s="77" t="inlineStr">
        <is>
          <t>オザックス株式会社</t>
        </is>
      </c>
      <c r="F18" s="78" t="n">
        <v>1</v>
      </c>
      <c r="G18" s="79" t="n">
        <v>8136</v>
      </c>
      <c r="H18" s="69" t="n"/>
      <c r="I18" s="44">
        <f>IF(OR($B18="",$H18=""),"",$H18*MAX(1,N($F18)))</f>
        <v/>
      </c>
      <c r="J18" s="80" t="n"/>
      <c r="K18" s="77" t="n"/>
      <c r="L18" s="54">
        <f>IF($B18="",0,IF(COUNTIFS('①在庫を貼る'!$V$6:$V$10005,'設定'!$C$4,'①在庫を貼る'!$W$6:$W$10005,$B18)+COUNTIFS('月1回_1ヶ月前の在庫'!$V$6:$V$10005,'設定'!$C$4,'月1回_1ヶ月前の在庫'!$W$6:$W$10005,$B18)+COUNTIFS('月1回_2ヶ月前の在庫'!$V$6:$V$10005,'設定'!$C$4,'月1回_2ヶ月前の在庫'!$W$6:$W$10005,$B18)&gt;0,1,0))</f>
        <v/>
      </c>
      <c r="M18" s="54">
        <f>N(M17)+$L18</f>
        <v/>
      </c>
      <c r="N18" s="54">
        <f>IF($B18="",0,COUNTIFS('①在庫を貼る'!$V$6:$V$10005,'設定'!$C$4,'①在庫を貼る'!$W$6:$W$10005,$B18))</f>
        <v/>
      </c>
    </row>
    <row r="19" ht="18" customHeight="1">
      <c r="B19" s="76" t="inlineStr">
        <is>
          <t>4902102113014</t>
        </is>
      </c>
      <c r="C19" s="77" t="inlineStr">
        <is>
          <t>フラットＢＩＢコーラゼロ２．５Ｇ</t>
        </is>
      </c>
      <c r="D19" s="77" t="inlineStr">
        <is>
          <t>コールド</t>
        </is>
      </c>
      <c r="E19" s="77" t="inlineStr">
        <is>
          <t>オザックス株式会社</t>
        </is>
      </c>
      <c r="F19" s="78" t="n">
        <v>1</v>
      </c>
      <c r="G19" s="79" t="n">
        <v>8136</v>
      </c>
      <c r="H19" s="69" t="n"/>
      <c r="I19" s="44">
        <f>IF(OR($B19="",$H19=""),"",$H19*MAX(1,N($F19)))</f>
        <v/>
      </c>
      <c r="J19" s="80" t="n"/>
      <c r="K19" s="77" t="n"/>
      <c r="L19" s="54">
        <f>IF($B19="",0,IF(COUNTIFS('①在庫を貼る'!$V$6:$V$10005,'設定'!$C$4,'①在庫を貼る'!$W$6:$W$10005,$B19)+COUNTIFS('月1回_1ヶ月前の在庫'!$V$6:$V$10005,'設定'!$C$4,'月1回_1ヶ月前の在庫'!$W$6:$W$10005,$B19)+COUNTIFS('月1回_2ヶ月前の在庫'!$V$6:$V$10005,'設定'!$C$4,'月1回_2ヶ月前の在庫'!$W$6:$W$10005,$B19)&gt;0,1,0))</f>
        <v/>
      </c>
      <c r="M19" s="54">
        <f>N(M18)+$L19</f>
        <v/>
      </c>
      <c r="N19" s="54">
        <f>IF($B19="",0,COUNTIFS('①在庫を貼る'!$V$6:$V$10005,'設定'!$C$4,'①在庫を貼る'!$W$6:$W$10005,$B19))</f>
        <v/>
      </c>
    </row>
    <row r="20" ht="18" customHeight="1">
      <c r="B20" s="76" t="inlineStr">
        <is>
          <t>4902102113045</t>
        </is>
      </c>
      <c r="C20" s="77" t="inlineStr">
        <is>
          <t>フラットＢＩＢジンジャー２．５Ｇ</t>
        </is>
      </c>
      <c r="D20" s="77" t="inlineStr">
        <is>
          <t>コールド</t>
        </is>
      </c>
      <c r="E20" s="77" t="inlineStr">
        <is>
          <t>オザックス株式会社</t>
        </is>
      </c>
      <c r="F20" s="78" t="n">
        <v>1</v>
      </c>
      <c r="G20" s="79" t="n">
        <v>8136</v>
      </c>
      <c r="H20" s="69" t="n"/>
      <c r="I20" s="44">
        <f>IF(OR($B20="",$H20=""),"",$H20*MAX(1,N($F20)))</f>
        <v/>
      </c>
      <c r="J20" s="80" t="n"/>
      <c r="K20" s="77" t="n"/>
      <c r="L20" s="54">
        <f>IF($B20="",0,IF(COUNTIFS('①在庫を貼る'!$V$6:$V$10005,'設定'!$C$4,'①在庫を貼る'!$W$6:$W$10005,$B20)+COUNTIFS('月1回_1ヶ月前の在庫'!$V$6:$V$10005,'設定'!$C$4,'月1回_1ヶ月前の在庫'!$W$6:$W$10005,$B20)+COUNTIFS('月1回_2ヶ月前の在庫'!$V$6:$V$10005,'設定'!$C$4,'月1回_2ヶ月前の在庫'!$W$6:$W$10005,$B20)&gt;0,1,0))</f>
        <v/>
      </c>
      <c r="M20" s="54">
        <f>N(M19)+$L20</f>
        <v/>
      </c>
      <c r="N20" s="54">
        <f>IF($B20="",0,COUNTIFS('①在庫を貼る'!$V$6:$V$10005,'設定'!$C$4,'①在庫を貼る'!$W$6:$W$10005,$B20))</f>
        <v/>
      </c>
    </row>
    <row r="21" ht="18" customHeight="1">
      <c r="B21" s="76" t="inlineStr">
        <is>
          <t>4902102113137</t>
        </is>
      </c>
      <c r="C21" s="77" t="inlineStr">
        <is>
          <t>フラットＢＩＢスプライト２．５Ｇ</t>
        </is>
      </c>
      <c r="D21" s="77" t="inlineStr">
        <is>
          <t>コールド</t>
        </is>
      </c>
      <c r="E21" s="77" t="inlineStr">
        <is>
          <t>オザックス株式会社</t>
        </is>
      </c>
      <c r="F21" s="78" t="n">
        <v>1</v>
      </c>
      <c r="G21" s="79" t="n">
        <v>8136</v>
      </c>
      <c r="H21" s="69" t="n"/>
      <c r="I21" s="44">
        <f>IF(OR($B21="",$H21=""),"",$H21*MAX(1,N($F21)))</f>
        <v/>
      </c>
      <c r="J21" s="80" t="n"/>
      <c r="K21" s="77" t="n"/>
      <c r="L21" s="54">
        <f>IF($B21="",0,IF(COUNTIFS('①在庫を貼る'!$V$6:$V$10005,'設定'!$C$4,'①在庫を貼る'!$W$6:$W$10005,$B21)+COUNTIFS('月1回_1ヶ月前の在庫'!$V$6:$V$10005,'設定'!$C$4,'月1回_1ヶ月前の在庫'!$W$6:$W$10005,$B21)+COUNTIFS('月1回_2ヶ月前の在庫'!$V$6:$V$10005,'設定'!$C$4,'月1回_2ヶ月前の在庫'!$W$6:$W$10005,$B21)&gt;0,1,0))</f>
        <v/>
      </c>
      <c r="M21" s="54">
        <f>N(M20)+$L21</f>
        <v/>
      </c>
      <c r="N21" s="54">
        <f>IF($B21="",0,COUNTIFS('①在庫を貼る'!$V$6:$V$10005,'設定'!$C$4,'①在庫を貼る'!$W$6:$W$10005,$B21))</f>
        <v/>
      </c>
    </row>
    <row r="22" ht="18" customHeight="1">
      <c r="B22" s="76" t="inlineStr">
        <is>
          <t>4902102115032</t>
        </is>
      </c>
      <c r="C22" s="77" t="inlineStr">
        <is>
          <t>フラットＢＩＢカルピス２．５Ｇ</t>
        </is>
      </c>
      <c r="D22" s="77" t="inlineStr">
        <is>
          <t>コールド</t>
        </is>
      </c>
      <c r="E22" s="77" t="inlineStr">
        <is>
          <t>オザックス株式会社</t>
        </is>
      </c>
      <c r="F22" s="78" t="n">
        <v>1</v>
      </c>
      <c r="G22" s="79" t="n">
        <v>8638</v>
      </c>
      <c r="H22" s="69" t="n"/>
      <c r="I22" s="44">
        <f>IF(OR($B22="",$H22=""),"",$H22*MAX(1,N($F22)))</f>
        <v/>
      </c>
      <c r="J22" s="80" t="n"/>
      <c r="K22" s="77" t="n"/>
      <c r="L22" s="54">
        <f>IF($B22="",0,IF(COUNTIFS('①在庫を貼る'!$V$6:$V$10005,'設定'!$C$4,'①在庫を貼る'!$W$6:$W$10005,$B22)+COUNTIFS('月1回_1ヶ月前の在庫'!$V$6:$V$10005,'設定'!$C$4,'月1回_1ヶ月前の在庫'!$W$6:$W$10005,$B22)+COUNTIFS('月1回_2ヶ月前の在庫'!$V$6:$V$10005,'設定'!$C$4,'月1回_2ヶ月前の在庫'!$W$6:$W$10005,$B22)&gt;0,1,0))</f>
        <v/>
      </c>
      <c r="M22" s="54">
        <f>N(M21)+$L22</f>
        <v/>
      </c>
      <c r="N22" s="54">
        <f>IF($B22="",0,COUNTIFS('①在庫を貼る'!$V$6:$V$10005,'設定'!$C$4,'①在庫を貼る'!$W$6:$W$10005,$B22))</f>
        <v/>
      </c>
    </row>
    <row r="23" ht="18" customHeight="1">
      <c r="B23" s="76" t="inlineStr">
        <is>
          <t>4902102149549</t>
        </is>
      </c>
      <c r="C23" s="77" t="inlineStr">
        <is>
          <t>（コスタ）新コーヒー豆</t>
        </is>
      </c>
      <c r="D23" s="77" t="inlineStr">
        <is>
          <t>コーヒー</t>
        </is>
      </c>
      <c r="E23" s="77" t="inlineStr">
        <is>
          <t>オザックス株式会社</t>
        </is>
      </c>
      <c r="F23" s="78" t="n">
        <v>10</v>
      </c>
      <c r="G23" s="79" t="n">
        <v>4503.2</v>
      </c>
      <c r="H23" s="69" t="n"/>
      <c r="I23" s="44">
        <f>IF(OR($B23="",$H23=""),"",$H23*MAX(1,N($F23)))</f>
        <v/>
      </c>
      <c r="J23" s="80" t="n"/>
      <c r="K23" s="77" t="n"/>
      <c r="L23" s="54">
        <f>IF($B23="",0,IF(COUNTIFS('①在庫を貼る'!$V$6:$V$10005,'設定'!$C$4,'①在庫を貼る'!$W$6:$W$10005,$B23)+COUNTIFS('月1回_1ヶ月前の在庫'!$V$6:$V$10005,'設定'!$C$4,'月1回_1ヶ月前の在庫'!$W$6:$W$10005,$B23)+COUNTIFS('月1回_2ヶ月前の在庫'!$V$6:$V$10005,'設定'!$C$4,'月1回_2ヶ月前の在庫'!$W$6:$W$10005,$B23)&gt;0,1,0))</f>
        <v/>
      </c>
      <c r="M23" s="54">
        <f>N(M22)+$L23</f>
        <v/>
      </c>
      <c r="N23" s="54">
        <f>IF($B23="",0,COUNTIFS('①在庫を貼る'!$V$6:$V$10005,'設定'!$C$4,'①在庫を貼る'!$W$6:$W$10005,$B23))</f>
        <v/>
      </c>
    </row>
    <row r="24" ht="18" customHeight="1">
      <c r="B24" s="76" t="inlineStr">
        <is>
          <t>4902188012225</t>
        </is>
      </c>
      <c r="C24" s="77" t="inlineStr">
        <is>
          <t>めいらく北海道特選３．６牛乳</t>
        </is>
      </c>
      <c r="D24" s="77" t="inlineStr">
        <is>
          <t>コーヒー</t>
        </is>
      </c>
      <c r="E24" s="77" t="inlineStr">
        <is>
          <t>オザックス株式会社</t>
        </is>
      </c>
      <c r="F24" s="78" t="n">
        <v>12</v>
      </c>
      <c r="G24" s="79" t="n">
        <v>332</v>
      </c>
      <c r="H24" s="69" t="n"/>
      <c r="I24" s="44">
        <f>IF(OR($B24="",$H24=""),"",$H24*MAX(1,N($F24)))</f>
        <v/>
      </c>
      <c r="J24" s="80" t="n"/>
      <c r="K24" s="77" t="n"/>
      <c r="L24" s="54">
        <f>IF($B24="",0,IF(COUNTIFS('①在庫を貼る'!$V$6:$V$10005,'設定'!$C$4,'①在庫を貼る'!$W$6:$W$10005,$B24)+COUNTIFS('月1回_1ヶ月前の在庫'!$V$6:$V$10005,'設定'!$C$4,'月1回_1ヶ月前の在庫'!$W$6:$W$10005,$B24)+COUNTIFS('月1回_2ヶ月前の在庫'!$V$6:$V$10005,'設定'!$C$4,'月1回_2ヶ月前の在庫'!$W$6:$W$10005,$B24)&gt;0,1,0))</f>
        <v/>
      </c>
      <c r="M24" s="54">
        <f>N(M23)+$L24</f>
        <v/>
      </c>
      <c r="N24" s="54">
        <f>IF($B24="",0,COUNTIFS('①在庫を貼る'!$V$6:$V$10005,'設定'!$C$4,'①在庫を貼る'!$W$6:$W$10005,$B24))</f>
        <v/>
      </c>
    </row>
    <row r="25" ht="18" customHeight="1">
      <c r="B25" s="76" t="inlineStr">
        <is>
          <t>1812000000084</t>
        </is>
      </c>
      <c r="C25" s="77" t="inlineStr">
        <is>
          <t>ミルクティーパウダー</t>
        </is>
      </c>
      <c r="D25" s="77" t="inlineStr">
        <is>
          <t>ホット</t>
        </is>
      </c>
      <c r="E25" s="77" t="inlineStr">
        <is>
          <t>オザックス株式会社</t>
        </is>
      </c>
      <c r="F25" s="78" t="n">
        <v>1</v>
      </c>
      <c r="G25" s="79" t="n">
        <v>2254</v>
      </c>
      <c r="H25" s="69" t="n"/>
      <c r="I25" s="44">
        <f>IF(OR($B25="",$H25=""),"",$H25*MAX(1,N($F25)))</f>
        <v/>
      </c>
      <c r="J25" s="80" t="n"/>
      <c r="K25" s="77" t="n"/>
      <c r="L25" s="54">
        <f>IF($B25="",0,IF(COUNTIFS('①在庫を貼る'!$V$6:$V$10005,'設定'!$C$4,'①在庫を貼る'!$W$6:$W$10005,$B25)+COUNTIFS('月1回_1ヶ月前の在庫'!$V$6:$V$10005,'設定'!$C$4,'月1回_1ヶ月前の在庫'!$W$6:$W$10005,$B25)+COUNTIFS('月1回_2ヶ月前の在庫'!$V$6:$V$10005,'設定'!$C$4,'月1回_2ヶ月前の在庫'!$W$6:$W$10005,$B25)&gt;0,1,0))</f>
        <v/>
      </c>
      <c r="M25" s="54">
        <f>N(M24)+$L25</f>
        <v/>
      </c>
      <c r="N25" s="54">
        <f>IF($B25="",0,COUNTIFS('①在庫を貼る'!$V$6:$V$10005,'設定'!$C$4,'①在庫を貼る'!$W$6:$W$10005,$B25))</f>
        <v/>
      </c>
    </row>
    <row r="26" ht="18" customHeight="1">
      <c r="B26" s="76" t="inlineStr">
        <is>
          <t>1812000008066</t>
        </is>
      </c>
      <c r="C26" s="77" t="inlineStr">
        <is>
          <t>ココアカントリーＫオフパウダー</t>
        </is>
      </c>
      <c r="D26" s="77" t="inlineStr">
        <is>
          <t>ホット</t>
        </is>
      </c>
      <c r="E26" s="77" t="inlineStr">
        <is>
          <t>オザックス株式会社</t>
        </is>
      </c>
      <c r="F26" s="78" t="n">
        <v>1</v>
      </c>
      <c r="G26" s="79" t="n">
        <v>2309</v>
      </c>
      <c r="H26" s="69" t="n"/>
      <c r="I26" s="44">
        <f>IF(OR($B26="",$H26=""),"",$H26*MAX(1,N($F26)))</f>
        <v/>
      </c>
      <c r="J26" s="80" t="n"/>
      <c r="K26" s="77" t="n"/>
      <c r="L26" s="54">
        <f>IF($B26="",0,IF(COUNTIFS('①在庫を貼る'!$V$6:$V$10005,'設定'!$C$4,'①在庫を貼る'!$W$6:$W$10005,$B26)+COUNTIFS('月1回_1ヶ月前の在庫'!$V$6:$V$10005,'設定'!$C$4,'月1回_1ヶ月前の在庫'!$W$6:$W$10005,$B26)+COUNTIFS('月1回_2ヶ月前の在庫'!$V$6:$V$10005,'設定'!$C$4,'月1回_2ヶ月前の在庫'!$W$6:$W$10005,$B26)&gt;0,1,0))</f>
        <v/>
      </c>
      <c r="M26" s="54">
        <f>N(M25)+$L26</f>
        <v/>
      </c>
      <c r="N26" s="54">
        <f>IF($B26="",0,COUNTIFS('①在庫を貼る'!$V$6:$V$10005,'設定'!$C$4,'①在庫を貼る'!$W$6:$W$10005,$B26))</f>
        <v/>
      </c>
    </row>
    <row r="27" ht="18" customHeight="1">
      <c r="B27" s="76" t="inlineStr">
        <is>
          <t>4902102119146</t>
        </is>
      </c>
      <c r="C27" s="77" t="inlineStr">
        <is>
          <t>ミレイユ抹茶オレ　パウダー</t>
        </is>
      </c>
      <c r="D27" s="77" t="inlineStr">
        <is>
          <t>ホット</t>
        </is>
      </c>
      <c r="E27" s="77" t="inlineStr">
        <is>
          <t>オザックス株式会社</t>
        </is>
      </c>
      <c r="F27" s="78" t="n">
        <v>1</v>
      </c>
      <c r="G27" s="79" t="n">
        <v>2705</v>
      </c>
      <c r="H27" s="69" t="n"/>
      <c r="I27" s="44">
        <f>IF(OR($B27="",$H27=""),"",$H27*MAX(1,N($F27)))</f>
        <v/>
      </c>
      <c r="J27" s="80" t="n"/>
      <c r="K27" s="77" t="n"/>
      <c r="L27" s="54">
        <f>IF($B27="",0,IF(COUNTIFS('①在庫を貼る'!$V$6:$V$10005,'設定'!$C$4,'①在庫を貼る'!$W$6:$W$10005,$B27)+COUNTIFS('月1回_1ヶ月前の在庫'!$V$6:$V$10005,'設定'!$C$4,'月1回_1ヶ月前の在庫'!$W$6:$W$10005,$B27)+COUNTIFS('月1回_2ヶ月前の在庫'!$V$6:$V$10005,'設定'!$C$4,'月1回_2ヶ月前の在庫'!$W$6:$W$10005,$B27)&gt;0,1,0))</f>
        <v/>
      </c>
      <c r="M27" s="54">
        <f>N(M26)+$L27</f>
        <v/>
      </c>
      <c r="N27" s="54">
        <f>IF($B27="",0,COUNTIFS('①在庫を貼る'!$V$6:$V$10005,'設定'!$C$4,'①在庫を貼る'!$W$6:$W$10005,$B27))</f>
        <v/>
      </c>
    </row>
    <row r="28" ht="18" customHeight="1">
      <c r="B28" s="76" t="inlineStr">
        <is>
          <t>1812000010496</t>
        </is>
      </c>
      <c r="C28" s="77" t="inlineStr">
        <is>
          <t>台湾レモン　ナタデココ　入り</t>
        </is>
      </c>
      <c r="D28" s="77" t="inlineStr">
        <is>
          <t>その他ドリンク</t>
        </is>
      </c>
      <c r="E28" s="77" t="inlineStr">
        <is>
          <t>オザックス株式会社</t>
        </is>
      </c>
      <c r="F28" s="78" t="n">
        <v>120</v>
      </c>
      <c r="G28" s="79" t="n">
        <v>142</v>
      </c>
      <c r="H28" s="69" t="n"/>
      <c r="I28" s="44">
        <f>IF(OR($B28="",$H28=""),"",$H28*MAX(1,N($F28)))</f>
        <v/>
      </c>
      <c r="J28" s="80" t="n"/>
      <c r="K28" s="77" t="n"/>
      <c r="L28" s="54">
        <f>IF($B28="",0,IF(COUNTIFS('①在庫を貼る'!$V$6:$V$10005,'設定'!$C$4,'①在庫を貼る'!$W$6:$W$10005,$B28)+COUNTIFS('月1回_1ヶ月前の在庫'!$V$6:$V$10005,'設定'!$C$4,'月1回_1ヶ月前の在庫'!$W$6:$W$10005,$B28)+COUNTIFS('月1回_2ヶ月前の在庫'!$V$6:$V$10005,'設定'!$C$4,'月1回_2ヶ月前の在庫'!$W$6:$W$10005,$B28)&gt;0,1,0))</f>
        <v/>
      </c>
      <c r="M28" s="54">
        <f>N(M27)+$L28</f>
        <v/>
      </c>
      <c r="N28" s="54">
        <f>IF($B28="",0,COUNTIFS('①在庫を貼る'!$V$6:$V$10005,'設定'!$C$4,'①在庫を貼る'!$W$6:$W$10005,$B28))</f>
        <v/>
      </c>
    </row>
    <row r="29" ht="18" customHeight="1">
      <c r="B29" s="76" t="inlineStr">
        <is>
          <t>1812000010779</t>
        </is>
      </c>
      <c r="C29" s="77" t="inlineStr">
        <is>
          <t>黒糖ブラックタピオカ</t>
        </is>
      </c>
      <c r="D29" s="77" t="inlineStr">
        <is>
          <t>その他ドリンク</t>
        </is>
      </c>
      <c r="E29" s="77" t="inlineStr">
        <is>
          <t>オザックス株式会社</t>
        </is>
      </c>
      <c r="F29" s="78" t="n">
        <v>120</v>
      </c>
      <c r="G29" s="79" t="n">
        <v>107</v>
      </c>
      <c r="H29" s="69" t="n"/>
      <c r="I29" s="44">
        <f>IF(OR($B29="",$H29=""),"",$H29*MAX(1,N($F29)))</f>
        <v/>
      </c>
      <c r="J29" s="80" t="n"/>
      <c r="K29" s="77" t="n"/>
      <c r="L29" s="54">
        <f>IF($B29="",0,IF(COUNTIFS('①在庫を貼る'!$V$6:$V$10005,'設定'!$C$4,'①在庫を貼る'!$W$6:$W$10005,$B29)+COUNTIFS('月1回_1ヶ月前の在庫'!$V$6:$V$10005,'設定'!$C$4,'月1回_1ヶ月前の在庫'!$W$6:$W$10005,$B29)+COUNTIFS('月1回_2ヶ月前の在庫'!$V$6:$V$10005,'設定'!$C$4,'月1回_2ヶ月前の在庫'!$W$6:$W$10005,$B29)&gt;0,1,0))</f>
        <v/>
      </c>
      <c r="M29" s="54">
        <f>N(M28)+$L29</f>
        <v/>
      </c>
      <c r="N29" s="54">
        <f>IF($B29="",0,COUNTIFS('①在庫を貼る'!$V$6:$V$10005,'設定'!$C$4,'①在庫を貼る'!$W$6:$W$10005,$B29))</f>
        <v/>
      </c>
    </row>
    <row r="30" ht="18" customHeight="1">
      <c r="B30" s="76" t="inlineStr">
        <is>
          <t>1812000010922</t>
        </is>
      </c>
      <c r="C30" s="77" t="inlineStr">
        <is>
          <t>とろけるフローズンゼリマスカット</t>
        </is>
      </c>
      <c r="D30" s="77" t="inlineStr">
        <is>
          <t>その他ドリンク</t>
        </is>
      </c>
      <c r="E30" s="77" t="inlineStr">
        <is>
          <t>オザックス株式会社</t>
        </is>
      </c>
      <c r="F30" s="78" t="n">
        <v>90</v>
      </c>
      <c r="G30" s="79" t="n">
        <v>166</v>
      </c>
      <c r="H30" s="69" t="n"/>
      <c r="I30" s="44">
        <f>IF(OR($B30="",$H30=""),"",$H30*MAX(1,N($F30)))</f>
        <v/>
      </c>
      <c r="J30" s="80" t="n"/>
      <c r="K30" s="77" t="n"/>
      <c r="L30" s="54">
        <f>IF($B30="",0,IF(COUNTIFS('①在庫を貼る'!$V$6:$V$10005,'設定'!$C$4,'①在庫を貼る'!$W$6:$W$10005,$B30)+COUNTIFS('月1回_1ヶ月前の在庫'!$V$6:$V$10005,'設定'!$C$4,'月1回_1ヶ月前の在庫'!$W$6:$W$10005,$B30)+COUNTIFS('月1回_2ヶ月前の在庫'!$V$6:$V$10005,'設定'!$C$4,'月1回_2ヶ月前の在庫'!$W$6:$W$10005,$B30)&gt;0,1,0))</f>
        <v/>
      </c>
      <c r="M30" s="54">
        <f>N(M29)+$L30</f>
        <v/>
      </c>
      <c r="N30" s="54">
        <f>IF($B30="",0,COUNTIFS('①在庫を貼る'!$V$6:$V$10005,'設定'!$C$4,'①在庫を貼る'!$W$6:$W$10005,$B30))</f>
        <v/>
      </c>
    </row>
    <row r="31" ht="18" customHeight="1">
      <c r="B31" s="76" t="inlineStr">
        <is>
          <t>1812000011677</t>
        </is>
      </c>
      <c r="C31" s="77" t="inlineStr">
        <is>
          <t>超ストロベリーフローズン</t>
        </is>
      </c>
      <c r="D31" s="77" t="inlineStr">
        <is>
          <t>その他ドリンク</t>
        </is>
      </c>
      <c r="E31" s="77" t="inlineStr">
        <is>
          <t>オザックス株式会社</t>
        </is>
      </c>
      <c r="F31" s="78" t="n">
        <v>80</v>
      </c>
      <c r="G31" s="79" t="n">
        <v>203</v>
      </c>
      <c r="H31" s="69" t="n"/>
      <c r="I31" s="44">
        <f>IF(OR($B31="",$H31=""),"",$H31*MAX(1,N($F31)))</f>
        <v/>
      </c>
      <c r="J31" s="80" t="n"/>
      <c r="K31" s="77" t="n"/>
      <c r="L31" s="54">
        <f>IF($B31="",0,IF(COUNTIFS('①在庫を貼る'!$V$6:$V$10005,'設定'!$C$4,'①在庫を貼る'!$W$6:$W$10005,$B31)+COUNTIFS('月1回_1ヶ月前の在庫'!$V$6:$V$10005,'設定'!$C$4,'月1回_1ヶ月前の在庫'!$W$6:$W$10005,$B31)+COUNTIFS('月1回_2ヶ月前の在庫'!$V$6:$V$10005,'設定'!$C$4,'月1回_2ヶ月前の在庫'!$W$6:$W$10005,$B31)&gt;0,1,0))</f>
        <v/>
      </c>
      <c r="M31" s="54">
        <f>N(M30)+$L31</f>
        <v/>
      </c>
      <c r="N31" s="54">
        <f>IF($B31="",0,COUNTIFS('①在庫を貼る'!$V$6:$V$10005,'設定'!$C$4,'①在庫を貼る'!$W$6:$W$10005,$B31))</f>
        <v/>
      </c>
    </row>
    <row r="32" ht="18" customHeight="1">
      <c r="B32" s="76" t="inlineStr">
        <is>
          <t>1812000011684</t>
        </is>
      </c>
      <c r="C32" s="77" t="inlineStr">
        <is>
          <t>超マンゴー＆パッションフローズン</t>
        </is>
      </c>
      <c r="D32" s="77" t="inlineStr">
        <is>
          <t>その他ドリンク</t>
        </is>
      </c>
      <c r="E32" s="77" t="inlineStr">
        <is>
          <t>オザックス株式会社</t>
        </is>
      </c>
      <c r="F32" s="78" t="n">
        <v>80</v>
      </c>
      <c r="G32" s="79" t="n">
        <v>203</v>
      </c>
      <c r="H32" s="69" t="n"/>
      <c r="I32" s="44">
        <f>IF(OR($B32="",$H32=""),"",$H32*MAX(1,N($F32)))</f>
        <v/>
      </c>
      <c r="J32" s="80" t="n"/>
      <c r="K32" s="77" t="n"/>
      <c r="L32" s="54">
        <f>IF($B32="",0,IF(COUNTIFS('①在庫を貼る'!$V$6:$V$10005,'設定'!$C$4,'①在庫を貼る'!$W$6:$W$10005,$B32)+COUNTIFS('月1回_1ヶ月前の在庫'!$V$6:$V$10005,'設定'!$C$4,'月1回_1ヶ月前の在庫'!$W$6:$W$10005,$B32)+COUNTIFS('月1回_2ヶ月前の在庫'!$V$6:$V$10005,'設定'!$C$4,'月1回_2ヶ月前の在庫'!$W$6:$W$10005,$B32)&gt;0,1,0))</f>
        <v/>
      </c>
      <c r="M32" s="54">
        <f>N(M31)+$L32</f>
        <v/>
      </c>
      <c r="N32" s="54">
        <f>IF($B32="",0,COUNTIFS('①在庫を貼る'!$V$6:$V$10005,'設定'!$C$4,'①在庫を貼る'!$W$6:$W$10005,$B32))</f>
        <v/>
      </c>
    </row>
    <row r="33" ht="18" customHeight="1">
      <c r="B33" s="76" t="inlineStr">
        <is>
          <t>1812000011783</t>
        </is>
      </c>
      <c r="C33" s="77" t="inlineStr">
        <is>
          <t>ＩＣＥＥ　ブルーラズベリー５Ｇ</t>
        </is>
      </c>
      <c r="D33" s="77" t="inlineStr">
        <is>
          <t>その他ドリンク</t>
        </is>
      </c>
      <c r="E33" s="77" t="inlineStr">
        <is>
          <t>オザックス株式会社</t>
        </is>
      </c>
      <c r="F33" s="78" t="n">
        <v>1</v>
      </c>
      <c r="G33" s="79" t="n">
        <v>26884</v>
      </c>
      <c r="H33" s="69" t="n"/>
      <c r="I33" s="44">
        <f>IF(OR($B33="",$H33=""),"",$H33*MAX(1,N($F33)))</f>
        <v/>
      </c>
      <c r="J33" s="80" t="n"/>
      <c r="K33" s="77" t="n"/>
      <c r="L33" s="54">
        <f>IF($B33="",0,IF(COUNTIFS('①在庫を貼る'!$V$6:$V$10005,'設定'!$C$4,'①在庫を貼る'!$W$6:$W$10005,$B33)+COUNTIFS('月1回_1ヶ月前の在庫'!$V$6:$V$10005,'設定'!$C$4,'月1回_1ヶ月前の在庫'!$W$6:$W$10005,$B33)+COUNTIFS('月1回_2ヶ月前の在庫'!$V$6:$V$10005,'設定'!$C$4,'月1回_2ヶ月前の在庫'!$W$6:$W$10005,$B33)&gt;0,1,0))</f>
        <v/>
      </c>
      <c r="M33" s="54">
        <f>N(M32)+$L33</f>
        <v/>
      </c>
      <c r="N33" s="54">
        <f>IF($B33="",0,COUNTIFS('①在庫を貼る'!$V$6:$V$10005,'設定'!$C$4,'①在庫を貼る'!$W$6:$W$10005,$B33))</f>
        <v/>
      </c>
    </row>
    <row r="34" ht="18" customHeight="1">
      <c r="B34" s="76" t="inlineStr">
        <is>
          <t>1812000011790</t>
        </is>
      </c>
      <c r="C34" s="77" t="inlineStr">
        <is>
          <t>ＩＣＥＥ　レッドストロベリー５Ｇ</t>
        </is>
      </c>
      <c r="D34" s="77" t="inlineStr">
        <is>
          <t>その他ドリンク</t>
        </is>
      </c>
      <c r="E34" s="77" t="inlineStr">
        <is>
          <t>オザックス株式会社</t>
        </is>
      </c>
      <c r="F34" s="78" t="n">
        <v>1</v>
      </c>
      <c r="G34" s="79" t="n">
        <v>26884</v>
      </c>
      <c r="H34" s="69" t="n"/>
      <c r="I34" s="44">
        <f>IF(OR($B34="",$H34=""),"",$H34*MAX(1,N($F34)))</f>
        <v/>
      </c>
      <c r="J34" s="80" t="n"/>
      <c r="K34" s="77" t="n"/>
      <c r="L34" s="54">
        <f>IF($B34="",0,IF(COUNTIFS('①在庫を貼る'!$V$6:$V$10005,'設定'!$C$4,'①在庫を貼る'!$W$6:$W$10005,$B34)+COUNTIFS('月1回_1ヶ月前の在庫'!$V$6:$V$10005,'設定'!$C$4,'月1回_1ヶ月前の在庫'!$W$6:$W$10005,$B34)+COUNTIFS('月1回_2ヶ月前の在庫'!$V$6:$V$10005,'設定'!$C$4,'月1回_2ヶ月前の在庫'!$W$6:$W$10005,$B34)&gt;0,1,0))</f>
        <v/>
      </c>
      <c r="M34" s="54">
        <f>N(M33)+$L34</f>
        <v/>
      </c>
      <c r="N34" s="54">
        <f>IF($B34="",0,COUNTIFS('①在庫を貼る'!$V$6:$V$10005,'設定'!$C$4,'①在庫を貼る'!$W$6:$W$10005,$B34))</f>
        <v/>
      </c>
    </row>
    <row r="35" ht="18" customHeight="1">
      <c r="B35" s="76" t="inlineStr">
        <is>
          <t>1812000011806</t>
        </is>
      </c>
      <c r="C35" s="77" t="inlineStr">
        <is>
          <t>ＩＣＥＥ　イエローピーチ５Ｇ</t>
        </is>
      </c>
      <c r="D35" s="77" t="inlineStr">
        <is>
          <t>その他ドリンク</t>
        </is>
      </c>
      <c r="E35" s="77" t="inlineStr">
        <is>
          <t>オザックス株式会社</t>
        </is>
      </c>
      <c r="F35" s="78" t="n">
        <v>1</v>
      </c>
      <c r="G35" s="79" t="n">
        <v>26884</v>
      </c>
      <c r="H35" s="69" t="n"/>
      <c r="I35" s="44">
        <f>IF(OR($B35="",$H35=""),"",$H35*MAX(1,N($F35)))</f>
        <v/>
      </c>
      <c r="J35" s="80" t="n"/>
      <c r="K35" s="77" t="n"/>
      <c r="L35" s="54">
        <f>IF($B35="",0,IF(COUNTIFS('①在庫を貼る'!$V$6:$V$10005,'設定'!$C$4,'①在庫を貼る'!$W$6:$W$10005,$B35)+COUNTIFS('月1回_1ヶ月前の在庫'!$V$6:$V$10005,'設定'!$C$4,'月1回_1ヶ月前の在庫'!$W$6:$W$10005,$B35)+COUNTIFS('月1回_2ヶ月前の在庫'!$V$6:$V$10005,'設定'!$C$4,'月1回_2ヶ月前の在庫'!$W$6:$W$10005,$B35)&gt;0,1,0))</f>
        <v/>
      </c>
      <c r="M35" s="54">
        <f>N(M34)+$L35</f>
        <v/>
      </c>
      <c r="N35" s="54">
        <f>IF($B35="",0,COUNTIFS('①在庫を貼る'!$V$6:$V$10005,'設定'!$C$4,'①在庫を貼る'!$W$6:$W$10005,$B35))</f>
        <v/>
      </c>
    </row>
    <row r="36" ht="18" customHeight="1">
      <c r="B36" s="76" t="inlineStr">
        <is>
          <t>1812000012490</t>
        </is>
      </c>
      <c r="C36" s="77" t="inlineStr">
        <is>
          <t>ブルーキュラソーシロップ</t>
        </is>
      </c>
      <c r="D36" s="77" t="inlineStr">
        <is>
          <t>その他ドリンク</t>
        </is>
      </c>
      <c r="E36" s="77" t="inlineStr">
        <is>
          <t>オザックス株式会社</t>
        </is>
      </c>
      <c r="F36" s="78" t="n">
        <v>1</v>
      </c>
      <c r="G36" s="79" t="n">
        <v>1386</v>
      </c>
      <c r="H36" s="69" t="n"/>
      <c r="I36" s="44">
        <f>IF(OR($B36="",$H36=""),"",$H36*MAX(1,N($F36)))</f>
        <v/>
      </c>
      <c r="J36" s="80" t="n"/>
      <c r="K36" s="77" t="n"/>
      <c r="L36" s="54">
        <f>IF($B36="",0,IF(COUNTIFS('①在庫を貼る'!$V$6:$V$10005,'設定'!$C$4,'①在庫を貼る'!$W$6:$W$10005,$B36)+COUNTIFS('月1回_1ヶ月前の在庫'!$V$6:$V$10005,'設定'!$C$4,'月1回_1ヶ月前の在庫'!$W$6:$W$10005,$B36)+COUNTIFS('月1回_2ヶ月前の在庫'!$V$6:$V$10005,'設定'!$C$4,'月1回_2ヶ月前の在庫'!$W$6:$W$10005,$B36)&gt;0,1,0))</f>
        <v/>
      </c>
      <c r="M36" s="54">
        <f>N(M35)+$L36</f>
        <v/>
      </c>
      <c r="N36" s="54">
        <f>IF($B36="",0,COUNTIFS('①在庫を貼る'!$V$6:$V$10005,'設定'!$C$4,'①在庫を貼る'!$W$6:$W$10005,$B36))</f>
        <v/>
      </c>
    </row>
    <row r="37" ht="18" customHeight="1">
      <c r="B37" s="76" t="inlineStr">
        <is>
          <t>4902102091855</t>
        </is>
      </c>
      <c r="C37" s="77" t="inlineStr">
        <is>
          <t>ミネラルウォータい・ろ・は・す</t>
        </is>
      </c>
      <c r="D37" s="77" t="inlineStr">
        <is>
          <t>その他ドリンク</t>
        </is>
      </c>
      <c r="E37" s="77" t="inlineStr">
        <is>
          <t>オザックス株式会社</t>
        </is>
      </c>
      <c r="F37" s="78" t="n">
        <v>24</v>
      </c>
      <c r="G37" s="79" t="n">
        <v>87</v>
      </c>
      <c r="H37" s="69" t="n"/>
      <c r="I37" s="44">
        <f>IF(OR($B37="",$H37=""),"",$H37*MAX(1,N($F37)))</f>
        <v/>
      </c>
      <c r="J37" s="80" t="n"/>
      <c r="K37" s="77" t="n"/>
      <c r="L37" s="54">
        <f>IF($B37="",0,IF(COUNTIFS('①在庫を貼る'!$V$6:$V$10005,'設定'!$C$4,'①在庫を貼る'!$W$6:$W$10005,$B37)+COUNTIFS('月1回_1ヶ月前の在庫'!$V$6:$V$10005,'設定'!$C$4,'月1回_1ヶ月前の在庫'!$W$6:$W$10005,$B37)+COUNTIFS('月1回_2ヶ月前の在庫'!$V$6:$V$10005,'設定'!$C$4,'月1回_2ヶ月前の在庫'!$W$6:$W$10005,$B37)&gt;0,1,0))</f>
        <v/>
      </c>
      <c r="M37" s="54">
        <f>N(M36)+$L37</f>
        <v/>
      </c>
      <c r="N37" s="54">
        <f>IF($B37="",0,COUNTIFS('①在庫を貼る'!$V$6:$V$10005,'設定'!$C$4,'①在庫を貼る'!$W$6:$W$10005,$B37))</f>
        <v/>
      </c>
    </row>
    <row r="38" ht="18" customHeight="1">
      <c r="B38" s="76" t="inlineStr">
        <is>
          <t>1812000007618</t>
        </is>
      </c>
      <c r="C38" s="77" t="inlineStr">
        <is>
          <t>キャラメルグレーズ５０ＬＢＳ</t>
        </is>
      </c>
      <c r="D38" s="77" t="inlineStr">
        <is>
          <t>ポップコーン</t>
        </is>
      </c>
      <c r="E38" s="77" t="inlineStr">
        <is>
          <t>オザックス株式会社</t>
        </is>
      </c>
      <c r="F38" s="78" t="n">
        <v>1</v>
      </c>
      <c r="G38" s="79" t="n">
        <v>12046</v>
      </c>
      <c r="H38" s="69" t="n"/>
      <c r="I38" s="44">
        <f>IF(OR($B38="",$H38=""),"",$H38*MAX(1,N($F38)))</f>
        <v/>
      </c>
      <c r="J38" s="80" t="n"/>
      <c r="K38" s="77" t="n"/>
      <c r="L38" s="54">
        <f>IF($B38="",0,IF(COUNTIFS('①在庫を貼る'!$V$6:$V$10005,'設定'!$C$4,'①在庫を貼る'!$W$6:$W$10005,$B38)+COUNTIFS('月1回_1ヶ月前の在庫'!$V$6:$V$10005,'設定'!$C$4,'月1回_1ヶ月前の在庫'!$W$6:$W$10005,$B38)+COUNTIFS('月1回_2ヶ月前の在庫'!$V$6:$V$10005,'設定'!$C$4,'月1回_2ヶ月前の在庫'!$W$6:$W$10005,$B38)&gt;0,1,0))</f>
        <v/>
      </c>
      <c r="M38" s="54">
        <f>N(M37)+$L38</f>
        <v/>
      </c>
      <c r="N38" s="54">
        <f>IF($B38="",0,COUNTIFS('①在庫を貼る'!$V$6:$V$10005,'設定'!$C$4,'①在庫を貼る'!$W$6:$W$10005,$B38))</f>
        <v/>
      </c>
    </row>
    <row r="39" ht="18" customHeight="1">
      <c r="B39" s="76" t="inlineStr">
        <is>
          <t>1812000008950</t>
        </is>
      </c>
      <c r="C39" s="77" t="inlineStr">
        <is>
          <t>ポップコーンブレンドオイルＢＩＢ</t>
        </is>
      </c>
      <c r="D39" s="77" t="inlineStr">
        <is>
          <t>ポップコーン</t>
        </is>
      </c>
      <c r="E39" s="77" t="inlineStr">
        <is>
          <t>オザックス株式会社</t>
        </is>
      </c>
      <c r="F39" s="78" t="n">
        <v>1</v>
      </c>
      <c r="G39" s="79" t="n">
        <v>5841</v>
      </c>
      <c r="H39" s="69" t="n"/>
      <c r="I39" s="44">
        <f>IF(OR($B39="",$H39=""),"",$H39*MAX(1,N($F39)))</f>
        <v/>
      </c>
      <c r="J39" s="80" t="n"/>
      <c r="K39" s="77" t="n"/>
      <c r="L39" s="54">
        <f>IF($B39="",0,IF(COUNTIFS('①在庫を貼る'!$V$6:$V$10005,'設定'!$C$4,'①在庫を貼る'!$W$6:$W$10005,$B39)+COUNTIFS('月1回_1ヶ月前の在庫'!$V$6:$V$10005,'設定'!$C$4,'月1回_1ヶ月前の在庫'!$W$6:$W$10005,$B39)+COUNTIFS('月1回_2ヶ月前の在庫'!$V$6:$V$10005,'設定'!$C$4,'月1回_2ヶ月前の在庫'!$W$6:$W$10005,$B39)&gt;0,1,0))</f>
        <v/>
      </c>
      <c r="M39" s="54">
        <f>N(M38)+$L39</f>
        <v/>
      </c>
      <c r="N39" s="54">
        <f>IF($B39="",0,COUNTIFS('①在庫を貼る'!$V$6:$V$10005,'設定'!$C$4,'①在庫を貼る'!$W$6:$W$10005,$B39))</f>
        <v/>
      </c>
    </row>
    <row r="40" ht="18" customHeight="1">
      <c r="B40" s="76" t="inlineStr">
        <is>
          <t>1812000009292</t>
        </is>
      </c>
      <c r="C40" s="77" t="inlineStr">
        <is>
          <t>ＪＳＵバターフレーバーオイル</t>
        </is>
      </c>
      <c r="D40" s="77" t="inlineStr">
        <is>
          <t>ポップコーン</t>
        </is>
      </c>
      <c r="E40" s="77" t="inlineStr">
        <is>
          <t>オザックス株式会社</t>
        </is>
      </c>
      <c r="F40" s="78" t="n">
        <v>6</v>
      </c>
      <c r="G40" s="79" t="n">
        <v>786</v>
      </c>
      <c r="H40" s="69" t="n"/>
      <c r="I40" s="44">
        <f>IF(OR($B40="",$H40=""),"",$H40*MAX(1,N($F40)))</f>
        <v/>
      </c>
      <c r="J40" s="80" t="n"/>
      <c r="K40" s="77" t="n"/>
      <c r="L40" s="54">
        <f>IF($B40="",0,IF(COUNTIFS('①在庫を貼る'!$V$6:$V$10005,'設定'!$C$4,'①在庫を貼る'!$W$6:$W$10005,$B40)+COUNTIFS('月1回_1ヶ月前の在庫'!$V$6:$V$10005,'設定'!$C$4,'月1回_1ヶ月前の在庫'!$W$6:$W$10005,$B40)+COUNTIFS('月1回_2ヶ月前の在庫'!$V$6:$V$10005,'設定'!$C$4,'月1回_2ヶ月前の在庫'!$W$6:$W$10005,$B40)&gt;0,1,0))</f>
        <v/>
      </c>
      <c r="M40" s="54">
        <f>N(M39)+$L40</f>
        <v/>
      </c>
      <c r="N40" s="54">
        <f>IF($B40="",0,COUNTIFS('①在庫を貼る'!$V$6:$V$10005,'設定'!$C$4,'①在庫を貼る'!$W$6:$W$10005,$B40))</f>
        <v/>
      </c>
    </row>
    <row r="41" ht="18" customHeight="1">
      <c r="B41" s="76" t="inlineStr">
        <is>
          <t>1812000009551</t>
        </is>
      </c>
      <c r="C41" s="77" t="inlineStr">
        <is>
          <t>シネマイク　濃厚バター醤油味</t>
        </is>
      </c>
      <c r="D41" s="77" t="inlineStr">
        <is>
          <t>ポップコーン</t>
        </is>
      </c>
      <c r="E41" s="77" t="inlineStr">
        <is>
          <t>オザックス株式会社</t>
        </is>
      </c>
      <c r="F41" s="78" t="n">
        <v>1</v>
      </c>
      <c r="G41" s="79" t="n">
        <v>1024</v>
      </c>
      <c r="H41" s="69" t="n"/>
      <c r="I41" s="44">
        <f>IF(OR($B41="",$H41=""),"",$H41*MAX(1,N($F41)))</f>
        <v/>
      </c>
      <c r="J41" s="80" t="n"/>
      <c r="K41" s="77" t="n"/>
      <c r="L41" s="54">
        <f>IF($B41="",0,IF(COUNTIFS('①在庫を貼る'!$V$6:$V$10005,'設定'!$C$4,'①在庫を貼る'!$W$6:$W$10005,$B41)+COUNTIFS('月1回_1ヶ月前の在庫'!$V$6:$V$10005,'設定'!$C$4,'月1回_1ヶ月前の在庫'!$W$6:$W$10005,$B41)+COUNTIFS('月1回_2ヶ月前の在庫'!$V$6:$V$10005,'設定'!$C$4,'月1回_2ヶ月前の在庫'!$W$6:$W$10005,$B41)&gt;0,1,0))</f>
        <v/>
      </c>
      <c r="M41" s="54">
        <f>N(M40)+$L41</f>
        <v/>
      </c>
      <c r="N41" s="54">
        <f>IF($B41="",0,COUNTIFS('①在庫を貼る'!$V$6:$V$10005,'設定'!$C$4,'①在庫を貼る'!$W$6:$W$10005,$B41))</f>
        <v/>
      </c>
    </row>
    <row r="42" ht="18" customHeight="1">
      <c r="B42" s="76" t="inlineStr">
        <is>
          <t>1812000010939</t>
        </is>
      </c>
      <c r="C42" s="77" t="inlineStr">
        <is>
          <t>シネマイク　トリュフバターシーズ</t>
        </is>
      </c>
      <c r="D42" s="77" t="inlineStr">
        <is>
          <t>ポップコーン</t>
        </is>
      </c>
      <c r="E42" s="77" t="inlineStr">
        <is>
          <t>オザックス株式会社</t>
        </is>
      </c>
      <c r="F42" s="78" t="n">
        <v>1</v>
      </c>
      <c r="G42" s="79" t="n">
        <v>1074</v>
      </c>
      <c r="H42" s="69" t="n"/>
      <c r="I42" s="44">
        <f>IF(OR($B42="",$H42=""),"",$H42*MAX(1,N($F42)))</f>
        <v/>
      </c>
      <c r="J42" s="80" t="n"/>
      <c r="K42" s="77" t="n"/>
      <c r="L42" s="54">
        <f>IF($B42="",0,IF(COUNTIFS('①在庫を貼る'!$V$6:$V$10005,'設定'!$C$4,'①在庫を貼る'!$W$6:$W$10005,$B42)+COUNTIFS('月1回_1ヶ月前の在庫'!$V$6:$V$10005,'設定'!$C$4,'月1回_1ヶ月前の在庫'!$W$6:$W$10005,$B42)+COUNTIFS('月1回_2ヶ月前の在庫'!$V$6:$V$10005,'設定'!$C$4,'月1回_2ヶ月前の在庫'!$W$6:$W$10005,$B42)&gt;0,1,0))</f>
        <v/>
      </c>
      <c r="M42" s="54">
        <f>N(M41)+$L42</f>
        <v/>
      </c>
      <c r="N42" s="54">
        <f>IF($B42="",0,COUNTIFS('①在庫を貼る'!$V$6:$V$10005,'設定'!$C$4,'①在庫を貼る'!$W$6:$W$10005,$B42))</f>
        <v/>
      </c>
    </row>
    <row r="43" ht="18" customHeight="1">
      <c r="B43" s="76" t="inlineStr">
        <is>
          <t>1812000011271</t>
        </is>
      </c>
      <c r="C43" s="77" t="inlineStr">
        <is>
          <t>サッポロポテトバーベＱシーズニン</t>
        </is>
      </c>
      <c r="D43" s="77" t="inlineStr">
        <is>
          <t>ポップコーン</t>
        </is>
      </c>
      <c r="E43" s="77" t="inlineStr">
        <is>
          <t>オザックス株式会社</t>
        </is>
      </c>
      <c r="F43" s="78" t="n">
        <v>1</v>
      </c>
      <c r="G43" s="79" t="n">
        <v>1396</v>
      </c>
      <c r="H43" s="69" t="n"/>
      <c r="I43" s="44">
        <f>IF(OR($B43="",$H43=""),"",$H43*MAX(1,N($F43)))</f>
        <v/>
      </c>
      <c r="J43" s="80" t="n"/>
      <c r="K43" s="77" t="n"/>
      <c r="L43" s="54">
        <f>IF($B43="",0,IF(COUNTIFS('①在庫を貼る'!$V$6:$V$10005,'設定'!$C$4,'①在庫を貼る'!$W$6:$W$10005,$B43)+COUNTIFS('月1回_1ヶ月前の在庫'!$V$6:$V$10005,'設定'!$C$4,'月1回_1ヶ月前の在庫'!$W$6:$W$10005,$B43)+COUNTIFS('月1回_2ヶ月前の在庫'!$V$6:$V$10005,'設定'!$C$4,'月1回_2ヶ月前の在庫'!$W$6:$W$10005,$B43)&gt;0,1,0))</f>
        <v/>
      </c>
      <c r="M43" s="54">
        <f>N(M42)+$L43</f>
        <v/>
      </c>
      <c r="N43" s="54">
        <f>IF($B43="",0,COUNTIFS('①在庫を貼る'!$V$6:$V$10005,'設定'!$C$4,'①在庫を貼る'!$W$6:$W$10005,$B43))</f>
        <v/>
      </c>
    </row>
    <row r="44" ht="18" customHeight="1">
      <c r="B44" s="76" t="inlineStr">
        <is>
          <t>1812000011288</t>
        </is>
      </c>
      <c r="C44" s="77" t="inlineStr">
        <is>
          <t>ＴＨ　サッポロポテトバーベＱ味</t>
        </is>
      </c>
      <c r="D44" s="77" t="inlineStr">
        <is>
          <t>ポップコーン</t>
        </is>
      </c>
      <c r="E44" s="77" t="inlineStr">
        <is>
          <t>オザックス株式会社</t>
        </is>
      </c>
      <c r="F44" s="78" t="n">
        <v>48</v>
      </c>
      <c r="G44" s="79" t="n">
        <v>114</v>
      </c>
      <c r="H44" s="69" t="n"/>
      <c r="I44" s="44">
        <f>IF(OR($B44="",$H44=""),"",$H44*MAX(1,N($F44)))</f>
        <v/>
      </c>
      <c r="J44" s="80" t="n"/>
      <c r="K44" s="77" t="n"/>
      <c r="L44" s="54">
        <f>IF($B44="",0,IF(COUNTIFS('①在庫を貼る'!$V$6:$V$10005,'設定'!$C$4,'①在庫を貼る'!$W$6:$W$10005,$B44)+COUNTIFS('月1回_1ヶ月前の在庫'!$V$6:$V$10005,'設定'!$C$4,'月1回_1ヶ月前の在庫'!$W$6:$W$10005,$B44)+COUNTIFS('月1回_2ヶ月前の在庫'!$V$6:$V$10005,'設定'!$C$4,'月1回_2ヶ月前の在庫'!$W$6:$W$10005,$B44)&gt;0,1,0))</f>
        <v/>
      </c>
      <c r="M44" s="54">
        <f>N(M43)+$L44</f>
        <v/>
      </c>
      <c r="N44" s="54">
        <f>IF($B44="",0,COUNTIFS('①在庫を貼る'!$V$6:$V$10005,'設定'!$C$4,'①在庫を貼る'!$W$6:$W$10005,$B44))</f>
        <v/>
      </c>
    </row>
    <row r="45" ht="18" customHeight="1">
      <c r="B45" s="76" t="inlineStr">
        <is>
          <t>1812000011387</t>
        </is>
      </c>
      <c r="C45" s="77" t="inlineStr">
        <is>
          <t>Ｒｅｉｓｔポップコーン豆</t>
        </is>
      </c>
      <c r="D45" s="77" t="inlineStr">
        <is>
          <t>ポップコーン</t>
        </is>
      </c>
      <c r="E45" s="77" t="inlineStr">
        <is>
          <t>オザックス株式会社</t>
        </is>
      </c>
      <c r="F45" s="78" t="n">
        <v>1</v>
      </c>
      <c r="G45" s="79" t="n">
        <v>4420</v>
      </c>
      <c r="H45" s="69" t="n"/>
      <c r="I45" s="44">
        <f>IF(OR($B45="",$H45=""),"",$H45*MAX(1,N($F45)))</f>
        <v/>
      </c>
      <c r="J45" s="80" t="n"/>
      <c r="K45" s="77" t="n"/>
      <c r="L45" s="54">
        <f>IF($B45="",0,IF(COUNTIFS('①在庫を貼る'!$V$6:$V$10005,'設定'!$C$4,'①在庫を貼る'!$W$6:$W$10005,$B45)+COUNTIFS('月1回_1ヶ月前の在庫'!$V$6:$V$10005,'設定'!$C$4,'月1回_1ヶ月前の在庫'!$W$6:$W$10005,$B45)+COUNTIFS('月1回_2ヶ月前の在庫'!$V$6:$V$10005,'設定'!$C$4,'月1回_2ヶ月前の在庫'!$W$6:$W$10005,$B45)&gt;0,1,0))</f>
        <v/>
      </c>
      <c r="M45" s="54">
        <f>N(M44)+$L45</f>
        <v/>
      </c>
      <c r="N45" s="54">
        <f>IF($B45="",0,COUNTIFS('①在庫を貼る'!$V$6:$V$10005,'設定'!$C$4,'①在庫を貼る'!$W$6:$W$10005,$B45))</f>
        <v/>
      </c>
    </row>
    <row r="46" ht="18" customHeight="1">
      <c r="B46" s="76" t="inlineStr">
        <is>
          <t>1812000011707</t>
        </is>
      </c>
      <c r="C46" s="77" t="inlineStr">
        <is>
          <t>シネマイク　塩キャラメル味シーズ</t>
        </is>
      </c>
      <c r="D46" s="77" t="inlineStr">
        <is>
          <t>ポップコーン</t>
        </is>
      </c>
      <c r="E46" s="77" t="inlineStr">
        <is>
          <t>オザックス株式会社</t>
        </is>
      </c>
      <c r="F46" s="78" t="n">
        <v>1</v>
      </c>
      <c r="G46" s="79" t="n">
        <v>1099</v>
      </c>
      <c r="H46" s="69" t="n"/>
      <c r="I46" s="44">
        <f>IF(OR($B46="",$H46=""),"",$H46*MAX(1,N($F46)))</f>
        <v/>
      </c>
      <c r="J46" s="80" t="n"/>
      <c r="K46" s="77" t="n"/>
      <c r="L46" s="54">
        <f>IF($B46="",0,IF(COUNTIFS('①在庫を貼る'!$V$6:$V$10005,'設定'!$C$4,'①在庫を貼る'!$W$6:$W$10005,$B46)+COUNTIFS('月1回_1ヶ月前の在庫'!$V$6:$V$10005,'設定'!$C$4,'月1回_1ヶ月前の在庫'!$W$6:$W$10005,$B46)+COUNTIFS('月1回_2ヶ月前の在庫'!$V$6:$V$10005,'設定'!$C$4,'月1回_2ヶ月前の在庫'!$W$6:$W$10005,$B46)&gt;0,1,0))</f>
        <v/>
      </c>
      <c r="M46" s="54">
        <f>N(M45)+$L46</f>
        <v/>
      </c>
      <c r="N46" s="54">
        <f>IF($B46="",0,COUNTIFS('①在庫を貼る'!$V$6:$V$10005,'設定'!$C$4,'①在庫を貼る'!$W$6:$W$10005,$B46))</f>
        <v/>
      </c>
    </row>
    <row r="47" ht="18" customHeight="1">
      <c r="B47" s="76" t="inlineStr">
        <is>
          <t>1812000012391</t>
        </is>
      </c>
      <c r="C47" s="77" t="inlineStr">
        <is>
          <t>シネマイク　ブラックＰ味シーズニ</t>
        </is>
      </c>
      <c r="D47" s="77" t="inlineStr">
        <is>
          <t>ポップコーン</t>
        </is>
      </c>
      <c r="E47" s="77" t="inlineStr">
        <is>
          <t>オザックス株式会社</t>
        </is>
      </c>
      <c r="F47" s="78" t="n">
        <v>1</v>
      </c>
      <c r="G47" s="79" t="n">
        <v>955</v>
      </c>
      <c r="H47" s="69" t="n"/>
      <c r="I47" s="44">
        <f>IF(OR($B47="",$H47=""),"",$H47*MAX(1,N($F47)))</f>
        <v/>
      </c>
      <c r="J47" s="80" t="n"/>
      <c r="K47" s="77" t="n"/>
      <c r="L47" s="54">
        <f>IF($B47="",0,IF(COUNTIFS('①在庫を貼る'!$V$6:$V$10005,'設定'!$C$4,'①在庫を貼る'!$W$6:$W$10005,$B47)+COUNTIFS('月1回_1ヶ月前の在庫'!$V$6:$V$10005,'設定'!$C$4,'月1回_1ヶ月前の在庫'!$W$6:$W$10005,$B47)+COUNTIFS('月1回_2ヶ月前の在庫'!$V$6:$V$10005,'設定'!$C$4,'月1回_2ヶ月前の在庫'!$W$6:$W$10005,$B47)&gt;0,1,0))</f>
        <v/>
      </c>
      <c r="M47" s="54">
        <f>N(M46)+$L47</f>
        <v/>
      </c>
      <c r="N47" s="54">
        <f>IF($B47="",0,COUNTIFS('①在庫を貼る'!$V$6:$V$10005,'設定'!$C$4,'①在庫を貼る'!$W$6:$W$10005,$B47))</f>
        <v/>
      </c>
    </row>
    <row r="48" ht="18" customHeight="1">
      <c r="B48" s="76" t="inlineStr">
        <is>
          <t>1812000012506</t>
        </is>
      </c>
      <c r="C48" s="77" t="inlineStr">
        <is>
          <t>ＴＨキャラメルポップコーンオイル</t>
        </is>
      </c>
      <c r="D48" s="77" t="inlineStr">
        <is>
          <t>ポップコーン</t>
        </is>
      </c>
      <c r="E48" s="77" t="inlineStr">
        <is>
          <t>オザックス株式会社</t>
        </is>
      </c>
      <c r="F48" s="78" t="n">
        <v>1</v>
      </c>
      <c r="G48" s="79" t="n">
        <v>6887</v>
      </c>
      <c r="H48" s="69" t="n"/>
      <c r="I48" s="44">
        <f>IF(OR($B48="",$H48=""),"",$H48*MAX(1,N($F48)))</f>
        <v/>
      </c>
      <c r="J48" s="80" t="n"/>
      <c r="K48" s="77" t="n"/>
      <c r="L48" s="54">
        <f>IF($B48="",0,IF(COUNTIFS('①在庫を貼る'!$V$6:$V$10005,'設定'!$C$4,'①在庫を貼る'!$W$6:$W$10005,$B48)+COUNTIFS('月1回_1ヶ月前の在庫'!$V$6:$V$10005,'設定'!$C$4,'月1回_1ヶ月前の在庫'!$W$6:$W$10005,$B48)+COUNTIFS('月1回_2ヶ月前の在庫'!$V$6:$V$10005,'設定'!$C$4,'月1回_2ヶ月前の在庫'!$W$6:$W$10005,$B48)&gt;0,1,0))</f>
        <v/>
      </c>
      <c r="M48" s="54">
        <f>N(M47)+$L48</f>
        <v/>
      </c>
      <c r="N48" s="54">
        <f>IF($B48="",0,COUNTIFS('①在庫を貼る'!$V$6:$V$10005,'設定'!$C$4,'①在庫を貼る'!$W$6:$W$10005,$B48))</f>
        <v/>
      </c>
    </row>
    <row r="49" ht="18" customHeight="1">
      <c r="B49" s="76" t="inlineStr">
        <is>
          <t>1812000013350</t>
        </is>
      </c>
      <c r="C49" s="77" t="inlineStr">
        <is>
          <t>味ぽんあじ　シーズニング</t>
        </is>
      </c>
      <c r="D49" s="77" t="inlineStr">
        <is>
          <t>ポップコーン</t>
        </is>
      </c>
      <c r="E49" s="77" t="inlineStr">
        <is>
          <t>オザックス株式会社</t>
        </is>
      </c>
      <c r="F49" s="78" t="n">
        <v>1</v>
      </c>
      <c r="G49" s="79" t="n">
        <v>1180</v>
      </c>
      <c r="H49" s="69" t="n"/>
      <c r="I49" s="44">
        <f>IF(OR($B49="",$H49=""),"",$H49*MAX(1,N($F49)))</f>
        <v/>
      </c>
      <c r="J49" s="80" t="n"/>
      <c r="K49" s="77" t="n"/>
      <c r="L49" s="54">
        <f>IF($B49="",0,IF(COUNTIFS('①在庫を貼る'!$V$6:$V$10005,'設定'!$C$4,'①在庫を貼る'!$W$6:$W$10005,$B49)+COUNTIFS('月1回_1ヶ月前の在庫'!$V$6:$V$10005,'設定'!$C$4,'月1回_1ヶ月前の在庫'!$W$6:$W$10005,$B49)+COUNTIFS('月1回_2ヶ月前の在庫'!$V$6:$V$10005,'設定'!$C$4,'月1回_2ヶ月前の在庫'!$W$6:$W$10005,$B49)&gt;0,1,0))</f>
        <v/>
      </c>
      <c r="M49" s="54">
        <f>N(M48)+$L49</f>
        <v/>
      </c>
      <c r="N49" s="54">
        <f>IF($B49="",0,COUNTIFS('①在庫を貼る'!$V$6:$V$10005,'設定'!$C$4,'①在庫を貼る'!$W$6:$W$10005,$B49))</f>
        <v/>
      </c>
    </row>
    <row r="50" ht="18" customHeight="1">
      <c r="B50" s="76" t="inlineStr">
        <is>
          <t>1812000013404</t>
        </is>
      </c>
      <c r="C50" s="77" t="inlineStr">
        <is>
          <t>チーズバーガー味シーズニング</t>
        </is>
      </c>
      <c r="D50" s="77" t="inlineStr">
        <is>
          <t>ポップコーン</t>
        </is>
      </c>
      <c r="E50" s="77" t="inlineStr">
        <is>
          <t>オザックス株式会社</t>
        </is>
      </c>
      <c r="F50" s="78" t="n">
        <v>1</v>
      </c>
      <c r="G50" s="79" t="n">
        <v>1294</v>
      </c>
      <c r="H50" s="69" t="n"/>
      <c r="I50" s="44">
        <f>IF(OR($B50="",$H50=""),"",$H50*MAX(1,N($F50)))</f>
        <v/>
      </c>
      <c r="J50" s="80" t="n"/>
      <c r="K50" s="77" t="n"/>
      <c r="L50" s="54">
        <f>IF($B50="",0,IF(COUNTIFS('①在庫を貼る'!$V$6:$V$10005,'設定'!$C$4,'①在庫を貼る'!$W$6:$W$10005,$B50)+COUNTIFS('月1回_1ヶ月前の在庫'!$V$6:$V$10005,'設定'!$C$4,'月1回_1ヶ月前の在庫'!$W$6:$W$10005,$B50)+COUNTIFS('月1回_2ヶ月前の在庫'!$V$6:$V$10005,'設定'!$C$4,'月1回_2ヶ月前の在庫'!$W$6:$W$10005,$B50)&gt;0,1,0))</f>
        <v/>
      </c>
      <c r="M50" s="54">
        <f>N(M49)+$L50</f>
        <v/>
      </c>
      <c r="N50" s="54">
        <f>IF($B50="",0,COUNTIFS('①在庫を貼る'!$V$6:$V$10005,'設定'!$C$4,'①在庫を貼る'!$W$6:$W$10005,$B50))</f>
        <v/>
      </c>
    </row>
    <row r="51" ht="18" customHeight="1">
      <c r="B51" s="76" t="inlineStr">
        <is>
          <t>1812000009933</t>
        </is>
      </c>
      <c r="C51" s="77" t="inlineStr">
        <is>
          <t>一体型ホットドッグ（プレーン）</t>
        </is>
      </c>
      <c r="D51" s="77" t="inlineStr">
        <is>
          <t>ホットドッグ</t>
        </is>
      </c>
      <c r="E51" s="77" t="inlineStr">
        <is>
          <t>オザックス株式会社</t>
        </is>
      </c>
      <c r="F51" s="78" t="n">
        <v>96</v>
      </c>
      <c r="G51" s="79" t="n">
        <v>176</v>
      </c>
      <c r="H51" s="69" t="n"/>
      <c r="I51" s="44">
        <f>IF(OR($B51="",$H51=""),"",$H51*MAX(1,N($F51)))</f>
        <v/>
      </c>
      <c r="J51" s="80" t="n"/>
      <c r="K51" s="77" t="n"/>
      <c r="L51" s="54">
        <f>IF($B51="",0,IF(COUNTIFS('①在庫を貼る'!$V$6:$V$10005,'設定'!$C$4,'①在庫を貼る'!$W$6:$W$10005,$B51)+COUNTIFS('月1回_1ヶ月前の在庫'!$V$6:$V$10005,'設定'!$C$4,'月1回_1ヶ月前の在庫'!$W$6:$W$10005,$B51)+COUNTIFS('月1回_2ヶ月前の在庫'!$V$6:$V$10005,'設定'!$C$4,'月1回_2ヶ月前の在庫'!$W$6:$W$10005,$B51)&gt;0,1,0))</f>
        <v/>
      </c>
      <c r="M51" s="54">
        <f>N(M50)+$L51</f>
        <v/>
      </c>
      <c r="N51" s="54">
        <f>IF($B51="",0,COUNTIFS('①在庫を貼る'!$V$6:$V$10005,'設定'!$C$4,'①在庫を貼る'!$W$6:$W$10005,$B51))</f>
        <v/>
      </c>
    </row>
    <row r="52" ht="18" customHeight="1">
      <c r="B52" s="76" t="inlineStr">
        <is>
          <t>1812000011660</t>
        </is>
      </c>
      <c r="C52" s="77" t="inlineStr">
        <is>
          <t>プレミアムドッグ　ビーフシチュー</t>
        </is>
      </c>
      <c r="D52" s="77" t="inlineStr">
        <is>
          <t>ホットドッグ</t>
        </is>
      </c>
      <c r="E52" s="77" t="inlineStr">
        <is>
          <t>オザックス株式会社</t>
        </is>
      </c>
      <c r="F52" s="78" t="n">
        <v>96</v>
      </c>
      <c r="G52" s="79" t="n">
        <v>242</v>
      </c>
      <c r="H52" s="69" t="n"/>
      <c r="I52" s="44">
        <f>IF(OR($B52="",$H52=""),"",$H52*MAX(1,N($F52)))</f>
        <v/>
      </c>
      <c r="J52" s="80" t="n"/>
      <c r="K52" s="77" t="n"/>
      <c r="L52" s="54">
        <f>IF($B52="",0,IF(COUNTIFS('①在庫を貼る'!$V$6:$V$10005,'設定'!$C$4,'①在庫を貼る'!$W$6:$W$10005,$B52)+COUNTIFS('月1回_1ヶ月前の在庫'!$V$6:$V$10005,'設定'!$C$4,'月1回_1ヶ月前の在庫'!$W$6:$W$10005,$B52)+COUNTIFS('月1回_2ヶ月前の在庫'!$V$6:$V$10005,'設定'!$C$4,'月1回_2ヶ月前の在庫'!$W$6:$W$10005,$B52)&gt;0,1,0))</f>
        <v/>
      </c>
      <c r="M52" s="54">
        <f>N(M51)+$L52</f>
        <v/>
      </c>
      <c r="N52" s="54">
        <f>IF($B52="",0,COUNTIFS('①在庫を貼る'!$V$6:$V$10005,'設定'!$C$4,'①在庫を貼る'!$W$6:$W$10005,$B52))</f>
        <v/>
      </c>
    </row>
    <row r="53" ht="18" customHeight="1">
      <c r="B53" s="76" t="inlineStr">
        <is>
          <t>1812000011868</t>
        </is>
      </c>
      <c r="C53" s="77" t="inlineStr">
        <is>
          <t>ＴＨ　スパイシーハラペー　オリ</t>
        </is>
      </c>
      <c r="D53" s="77" t="inlineStr">
        <is>
          <t>ホットドッグ</t>
        </is>
      </c>
      <c r="E53" s="77" t="inlineStr">
        <is>
          <t>オザックス株式会社</t>
        </is>
      </c>
      <c r="F53" s="78" t="n">
        <v>96</v>
      </c>
      <c r="G53" s="79" t="n">
        <v>239</v>
      </c>
      <c r="H53" s="69" t="n"/>
      <c r="I53" s="44">
        <f>IF(OR($B53="",$H53=""),"",$H53*MAX(1,N($F53)))</f>
        <v/>
      </c>
      <c r="J53" s="80" t="n"/>
      <c r="K53" s="77" t="n"/>
      <c r="L53" s="54">
        <f>IF($B53="",0,IF(COUNTIFS('①在庫を貼る'!$V$6:$V$10005,'設定'!$C$4,'①在庫を貼る'!$W$6:$W$10005,$B53)+COUNTIFS('月1回_1ヶ月前の在庫'!$V$6:$V$10005,'設定'!$C$4,'月1回_1ヶ月前の在庫'!$W$6:$W$10005,$B53)+COUNTIFS('月1回_2ヶ月前の在庫'!$V$6:$V$10005,'設定'!$C$4,'月1回_2ヶ月前の在庫'!$W$6:$W$10005,$B53)&gt;0,1,0))</f>
        <v/>
      </c>
      <c r="M53" s="54">
        <f>N(M52)+$L53</f>
        <v/>
      </c>
      <c r="N53" s="54">
        <f>IF($B53="",0,COUNTIFS('①在庫を貼る'!$V$6:$V$10005,'設定'!$C$4,'①在庫を貼る'!$W$6:$W$10005,$B53))</f>
        <v/>
      </c>
    </row>
    <row r="54" ht="18" customHeight="1">
      <c r="B54" s="76" t="inlineStr">
        <is>
          <t>1812000012421</t>
        </is>
      </c>
      <c r="C54" s="77" t="inlineStr">
        <is>
          <t>プレミアムホットドッグガリポテ</t>
        </is>
      </c>
      <c r="D54" s="77" t="inlineStr">
        <is>
          <t>ホットドッグ</t>
        </is>
      </c>
      <c r="E54" s="77" t="inlineStr">
        <is>
          <t>オザックス株式会社</t>
        </is>
      </c>
      <c r="F54" s="78" t="n">
        <v>96</v>
      </c>
      <c r="G54" s="79" t="n">
        <v>244</v>
      </c>
      <c r="H54" s="69" t="n"/>
      <c r="I54" s="44">
        <f>IF(OR($B54="",$H54=""),"",$H54*MAX(1,N($F54)))</f>
        <v/>
      </c>
      <c r="J54" s="80" t="n"/>
      <c r="K54" s="77" t="n"/>
      <c r="L54" s="54">
        <f>IF($B54="",0,IF(COUNTIFS('①在庫を貼る'!$V$6:$V$10005,'設定'!$C$4,'①在庫を貼る'!$W$6:$W$10005,$B54)+COUNTIFS('月1回_1ヶ月前の在庫'!$V$6:$V$10005,'設定'!$C$4,'月1回_1ヶ月前の在庫'!$W$6:$W$10005,$B54)+COUNTIFS('月1回_2ヶ月前の在庫'!$V$6:$V$10005,'設定'!$C$4,'月1回_2ヶ月前の在庫'!$W$6:$W$10005,$B54)&gt;0,1,0))</f>
        <v/>
      </c>
      <c r="M54" s="54">
        <f>N(M53)+$L54</f>
        <v/>
      </c>
      <c r="N54" s="54">
        <f>IF($B54="",0,COUNTIFS('①在庫を貼る'!$V$6:$V$10005,'設定'!$C$4,'①在庫を貼る'!$W$6:$W$10005,$B54))</f>
        <v/>
      </c>
    </row>
    <row r="55" ht="18" customHeight="1">
      <c r="B55" s="76" t="inlineStr">
        <is>
          <t>1812000010274</t>
        </is>
      </c>
      <c r="C55" s="77" t="inlineStr">
        <is>
          <t>シチリア岩塩＆クワトロハーブ</t>
        </is>
      </c>
      <c r="D55" s="77" t="inlineStr">
        <is>
          <t>軽食系フード</t>
        </is>
      </c>
      <c r="E55" s="77" t="inlineStr">
        <is>
          <t>オザックス株式会社</t>
        </is>
      </c>
      <c r="F55" s="78" t="n">
        <v>1</v>
      </c>
      <c r="G55" s="79" t="n">
        <v>1755</v>
      </c>
      <c r="H55" s="69" t="n"/>
      <c r="I55" s="44">
        <f>IF(OR($B55="",$H55=""),"",$H55*MAX(1,N($F55)))</f>
        <v/>
      </c>
      <c r="J55" s="80" t="n"/>
      <c r="K55" s="77" t="n"/>
      <c r="L55" s="54">
        <f>IF($B55="",0,IF(COUNTIFS('①在庫を貼る'!$V$6:$V$10005,'設定'!$C$4,'①在庫を貼る'!$W$6:$W$10005,$B55)+COUNTIFS('月1回_1ヶ月前の在庫'!$V$6:$V$10005,'設定'!$C$4,'月1回_1ヶ月前の在庫'!$W$6:$W$10005,$B55)+COUNTIFS('月1回_2ヶ月前の在庫'!$V$6:$V$10005,'設定'!$C$4,'月1回_2ヶ月前の在庫'!$W$6:$W$10005,$B55)&gt;0,1,0))</f>
        <v/>
      </c>
      <c r="M55" s="54">
        <f>N(M54)+$L55</f>
        <v/>
      </c>
      <c r="N55" s="54">
        <f>IF($B55="",0,COUNTIFS('①在庫を貼る'!$V$6:$V$10005,'設定'!$C$4,'①在庫を貼る'!$W$6:$W$10005,$B55))</f>
        <v/>
      </c>
    </row>
    <row r="56" ht="18" customHeight="1">
      <c r="B56" s="76" t="inlineStr">
        <is>
          <t>1812000010533</t>
        </is>
      </c>
      <c r="C56" s="77" t="inlineStr">
        <is>
          <t>レンジポテト（個包装）</t>
        </is>
      </c>
      <c r="D56" s="77" t="inlineStr">
        <is>
          <t>軽食系フード</t>
        </is>
      </c>
      <c r="E56" s="77" t="inlineStr">
        <is>
          <t>オザックス株式会社</t>
        </is>
      </c>
      <c r="F56" s="78" t="n">
        <v>40</v>
      </c>
      <c r="G56" s="79" t="n">
        <v>96.25</v>
      </c>
      <c r="H56" s="69" t="n"/>
      <c r="I56" s="44">
        <f>IF(OR($B56="",$H56=""),"",$H56*MAX(1,N($F56)))</f>
        <v/>
      </c>
      <c r="J56" s="80" t="n"/>
      <c r="K56" s="77" t="n"/>
      <c r="L56" s="54">
        <f>IF($B56="",0,IF(COUNTIFS('①在庫を貼る'!$V$6:$V$10005,'設定'!$C$4,'①在庫を貼る'!$W$6:$W$10005,$B56)+COUNTIFS('月1回_1ヶ月前の在庫'!$V$6:$V$10005,'設定'!$C$4,'月1回_1ヶ月前の在庫'!$W$6:$W$10005,$B56)+COUNTIFS('月1回_2ヶ月前の在庫'!$V$6:$V$10005,'設定'!$C$4,'月1回_2ヶ月前の在庫'!$W$6:$W$10005,$B56)&gt;0,1,0))</f>
        <v/>
      </c>
      <c r="M56" s="54">
        <f>N(M55)+$L56</f>
        <v/>
      </c>
      <c r="N56" s="54">
        <f>IF($B56="",0,COUNTIFS('①在庫を貼る'!$V$6:$V$10005,'設定'!$C$4,'①在庫を貼る'!$W$6:$W$10005,$B56))</f>
        <v/>
      </c>
    </row>
    <row r="57" ht="18" customHeight="1">
      <c r="B57" s="76" t="inlineStr">
        <is>
          <t>1812000010755</t>
        </is>
      </c>
      <c r="C57" s="77" t="inlineStr">
        <is>
          <t>スパイシー！ポップチキン（個包装</t>
        </is>
      </c>
      <c r="D57" s="77" t="inlineStr">
        <is>
          <t>軽食系フード</t>
        </is>
      </c>
      <c r="E57" s="77" t="inlineStr">
        <is>
          <t>オザックス株式会社</t>
        </is>
      </c>
      <c r="F57" s="78" t="n">
        <v>96</v>
      </c>
      <c r="G57" s="79" t="n">
        <v>164</v>
      </c>
      <c r="H57" s="69" t="n"/>
      <c r="I57" s="44">
        <f>IF(OR($B57="",$H57=""),"",$H57*MAX(1,N($F57)))</f>
        <v/>
      </c>
      <c r="J57" s="80" t="n"/>
      <c r="K57" s="77" t="n"/>
      <c r="L57" s="54">
        <f>IF($B57="",0,IF(COUNTIFS('①在庫を貼る'!$V$6:$V$10005,'設定'!$C$4,'①在庫を貼る'!$W$6:$W$10005,$B57)+COUNTIFS('月1回_1ヶ月前の在庫'!$V$6:$V$10005,'設定'!$C$4,'月1回_1ヶ月前の在庫'!$W$6:$W$10005,$B57)+COUNTIFS('月1回_2ヶ月前の在庫'!$V$6:$V$10005,'設定'!$C$4,'月1回_2ヶ月前の在庫'!$W$6:$W$10005,$B57)&gt;0,1,0))</f>
        <v/>
      </c>
      <c r="M57" s="54">
        <f>N(M56)+$L57</f>
        <v/>
      </c>
      <c r="N57" s="54">
        <f>IF($B57="",0,COUNTIFS('①在庫を貼る'!$V$6:$V$10005,'設定'!$C$4,'①在庫を貼る'!$W$6:$W$10005,$B57))</f>
        <v/>
      </c>
    </row>
    <row r="58" ht="18" customHeight="1">
      <c r="B58" s="76" t="inlineStr">
        <is>
          <t>1812000006963</t>
        </is>
      </c>
      <c r="C58" s="77" t="inlineStr">
        <is>
          <t>チュリトス（プレーン）</t>
        </is>
      </c>
      <c r="D58" s="77" t="inlineStr">
        <is>
          <t>調理系スイーツ</t>
        </is>
      </c>
      <c r="E58" s="77" t="inlineStr">
        <is>
          <t>オザックス株式会社</t>
        </is>
      </c>
      <c r="F58" s="78" t="n">
        <v>100</v>
      </c>
      <c r="G58" s="79" t="n">
        <v>109</v>
      </c>
      <c r="H58" s="69" t="n"/>
      <c r="I58" s="44">
        <f>IF(OR($B58="",$H58=""),"",$H58*MAX(1,N($F58)))</f>
        <v/>
      </c>
      <c r="J58" s="80" t="n"/>
      <c r="K58" s="77" t="n"/>
      <c r="L58" s="54">
        <f>IF($B58="",0,IF(COUNTIFS('①在庫を貼る'!$V$6:$V$10005,'設定'!$C$4,'①在庫を貼る'!$W$6:$W$10005,$B58)+COUNTIFS('月1回_1ヶ月前の在庫'!$V$6:$V$10005,'設定'!$C$4,'月1回_1ヶ月前の在庫'!$W$6:$W$10005,$B58)+COUNTIFS('月1回_2ヶ月前の在庫'!$V$6:$V$10005,'設定'!$C$4,'月1回_2ヶ月前の在庫'!$W$6:$W$10005,$B58)&gt;0,1,0))</f>
        <v/>
      </c>
      <c r="M58" s="54">
        <f>N(M57)+$L58</f>
        <v/>
      </c>
      <c r="N58" s="54">
        <f>IF($B58="",0,COUNTIFS('①在庫を貼る'!$V$6:$V$10005,'設定'!$C$4,'①在庫を貼る'!$W$6:$W$10005,$B58))</f>
        <v/>
      </c>
    </row>
    <row r="59" ht="18" customHeight="1">
      <c r="B59" s="76" t="inlineStr">
        <is>
          <t>1812000009643</t>
        </is>
      </c>
      <c r="C59" s="77" t="inlineStr">
        <is>
          <t>チョコレートクリームチュリトス</t>
        </is>
      </c>
      <c r="D59" s="77" t="inlineStr">
        <is>
          <t>調理系スイーツ</t>
        </is>
      </c>
      <c r="E59" s="77" t="inlineStr">
        <is>
          <t>オザックス株式会社</t>
        </is>
      </c>
      <c r="F59" s="78" t="n">
        <v>100</v>
      </c>
      <c r="G59" s="79" t="n">
        <v>107</v>
      </c>
      <c r="H59" s="69" t="n"/>
      <c r="I59" s="44">
        <f>IF(OR($B59="",$H59=""),"",$H59*MAX(1,N($F59)))</f>
        <v/>
      </c>
      <c r="J59" s="80" t="n"/>
      <c r="K59" s="77" t="n"/>
      <c r="L59" s="54">
        <f>IF($B59="",0,IF(COUNTIFS('①在庫を貼る'!$V$6:$V$10005,'設定'!$C$4,'①在庫を貼る'!$W$6:$W$10005,$B59)+COUNTIFS('月1回_1ヶ月前の在庫'!$V$6:$V$10005,'設定'!$C$4,'月1回_1ヶ月前の在庫'!$W$6:$W$10005,$B59)+COUNTIFS('月1回_2ヶ月前の在庫'!$V$6:$V$10005,'設定'!$C$4,'月1回_2ヶ月前の在庫'!$W$6:$W$10005,$B59)&gt;0,1,0))</f>
        <v/>
      </c>
      <c r="M59" s="54">
        <f>N(M58)+$L59</f>
        <v/>
      </c>
      <c r="N59" s="54">
        <f>IF($B59="",0,COUNTIFS('①在庫を貼る'!$V$6:$V$10005,'設定'!$C$4,'①在庫を貼る'!$W$6:$W$10005,$B59))</f>
        <v/>
      </c>
    </row>
    <row r="60" ht="18" customHeight="1">
      <c r="B60" s="76" t="inlineStr">
        <is>
          <t>1812000009827</t>
        </is>
      </c>
      <c r="C60" s="77" t="inlineStr">
        <is>
          <t>カラーシュガー　ホワイト</t>
        </is>
      </c>
      <c r="D60" s="77" t="inlineStr">
        <is>
          <t>調理系スイーツ</t>
        </is>
      </c>
      <c r="E60" s="77" t="inlineStr">
        <is>
          <t>オザックス株式会社</t>
        </is>
      </c>
      <c r="F60" s="78" t="n">
        <v>1</v>
      </c>
      <c r="G60" s="79" t="n">
        <v>1181</v>
      </c>
      <c r="H60" s="69" t="n"/>
      <c r="I60" s="44">
        <f>IF(OR($B60="",$H60=""),"",$H60*MAX(1,N($F60)))</f>
        <v/>
      </c>
      <c r="J60" s="80" t="n"/>
      <c r="K60" s="77" t="n"/>
      <c r="L60" s="54">
        <f>IF($B60="",0,IF(COUNTIFS('①在庫を貼る'!$V$6:$V$10005,'設定'!$C$4,'①在庫を貼る'!$W$6:$W$10005,$B60)+COUNTIFS('月1回_1ヶ月前の在庫'!$V$6:$V$10005,'設定'!$C$4,'月1回_1ヶ月前の在庫'!$W$6:$W$10005,$B60)+COUNTIFS('月1回_2ヶ月前の在庫'!$V$6:$V$10005,'設定'!$C$4,'月1回_2ヶ月前の在庫'!$W$6:$W$10005,$B60)&gt;0,1,0))</f>
        <v/>
      </c>
      <c r="M60" s="54">
        <f>N(M59)+$L60</f>
        <v/>
      </c>
      <c r="N60" s="54">
        <f>IF($B60="",0,COUNTIFS('①在庫を貼る'!$V$6:$V$10005,'設定'!$C$4,'①在庫を貼る'!$W$6:$W$10005,$B60))</f>
        <v/>
      </c>
    </row>
    <row r="61" ht="18" customHeight="1">
      <c r="B61" s="76" t="inlineStr">
        <is>
          <t>1812000009834</t>
        </is>
      </c>
      <c r="C61" s="77" t="inlineStr">
        <is>
          <t>カラーシュガー　ピンク</t>
        </is>
      </c>
      <c r="D61" s="77" t="inlineStr">
        <is>
          <t>調理系スイーツ</t>
        </is>
      </c>
      <c r="E61" s="77" t="inlineStr">
        <is>
          <t>オザックス株式会社</t>
        </is>
      </c>
      <c r="F61" s="78" t="n">
        <v>1</v>
      </c>
      <c r="G61" s="79" t="n">
        <v>1181</v>
      </c>
      <c r="H61" s="69" t="n"/>
      <c r="I61" s="44">
        <f>IF(OR($B61="",$H61=""),"",$H61*MAX(1,N($F61)))</f>
        <v/>
      </c>
      <c r="J61" s="80" t="n"/>
      <c r="K61" s="77" t="n"/>
      <c r="L61" s="54">
        <f>IF($B61="",0,IF(COUNTIFS('①在庫を貼る'!$V$6:$V$10005,'設定'!$C$4,'①在庫を貼る'!$W$6:$W$10005,$B61)+COUNTIFS('月1回_1ヶ月前の在庫'!$V$6:$V$10005,'設定'!$C$4,'月1回_1ヶ月前の在庫'!$W$6:$W$10005,$B61)+COUNTIFS('月1回_2ヶ月前の在庫'!$V$6:$V$10005,'設定'!$C$4,'月1回_2ヶ月前の在庫'!$W$6:$W$10005,$B61)&gt;0,1,0))</f>
        <v/>
      </c>
      <c r="M61" s="54">
        <f>N(M60)+$L61</f>
        <v/>
      </c>
      <c r="N61" s="54">
        <f>IF($B61="",0,COUNTIFS('①在庫を貼る'!$V$6:$V$10005,'設定'!$C$4,'①在庫を貼る'!$W$6:$W$10005,$B61))</f>
        <v/>
      </c>
    </row>
    <row r="62" ht="18" customHeight="1">
      <c r="B62" s="76" t="inlineStr">
        <is>
          <t>1812000009841</t>
        </is>
      </c>
      <c r="C62" s="77" t="inlineStr">
        <is>
          <t>カラーシュガー　パープル</t>
        </is>
      </c>
      <c r="D62" s="77" t="inlineStr">
        <is>
          <t>調理系スイーツ</t>
        </is>
      </c>
      <c r="E62" s="77" t="inlineStr">
        <is>
          <t>オザックス株式会社</t>
        </is>
      </c>
      <c r="F62" s="78" t="n">
        <v>1</v>
      </c>
      <c r="G62" s="79" t="n">
        <v>1181</v>
      </c>
      <c r="H62" s="69" t="n"/>
      <c r="I62" s="44">
        <f>IF(OR($B62="",$H62=""),"",$H62*MAX(1,N($F62)))</f>
        <v/>
      </c>
      <c r="J62" s="80" t="n"/>
      <c r="K62" s="77" t="n"/>
      <c r="L62" s="54">
        <f>IF($B62="",0,IF(COUNTIFS('①在庫を貼る'!$V$6:$V$10005,'設定'!$C$4,'①在庫を貼る'!$W$6:$W$10005,$B62)+COUNTIFS('月1回_1ヶ月前の在庫'!$V$6:$V$10005,'設定'!$C$4,'月1回_1ヶ月前の在庫'!$W$6:$W$10005,$B62)+COUNTIFS('月1回_2ヶ月前の在庫'!$V$6:$V$10005,'設定'!$C$4,'月1回_2ヶ月前の在庫'!$W$6:$W$10005,$B62)&gt;0,1,0))</f>
        <v/>
      </c>
      <c r="M62" s="54">
        <f>N(M61)+$L62</f>
        <v/>
      </c>
      <c r="N62" s="54">
        <f>IF($B62="",0,COUNTIFS('①在庫を貼る'!$V$6:$V$10005,'設定'!$C$4,'①在庫を貼る'!$W$6:$W$10005,$B62))</f>
        <v/>
      </c>
    </row>
    <row r="63" ht="18" customHeight="1">
      <c r="B63" s="76" t="inlineStr">
        <is>
          <t>1812000009858</t>
        </is>
      </c>
      <c r="C63" s="77" t="inlineStr">
        <is>
          <t>カラーシュガー　ブルー</t>
        </is>
      </c>
      <c r="D63" s="77" t="inlineStr">
        <is>
          <t>調理系スイーツ</t>
        </is>
      </c>
      <c r="E63" s="77" t="inlineStr">
        <is>
          <t>オザックス株式会社</t>
        </is>
      </c>
      <c r="F63" s="78" t="n">
        <v>1</v>
      </c>
      <c r="G63" s="79" t="n">
        <v>1181</v>
      </c>
      <c r="H63" s="69" t="n"/>
      <c r="I63" s="44">
        <f>IF(OR($B63="",$H63=""),"",$H63*MAX(1,N($F63)))</f>
        <v/>
      </c>
      <c r="J63" s="80" t="n"/>
      <c r="K63" s="77" t="n"/>
      <c r="L63" s="54">
        <f>IF($B63="",0,IF(COUNTIFS('①在庫を貼る'!$V$6:$V$10005,'設定'!$C$4,'①在庫を貼る'!$W$6:$W$10005,$B63)+COUNTIFS('月1回_1ヶ月前の在庫'!$V$6:$V$10005,'設定'!$C$4,'月1回_1ヶ月前の在庫'!$W$6:$W$10005,$B63)+COUNTIFS('月1回_2ヶ月前の在庫'!$V$6:$V$10005,'設定'!$C$4,'月1回_2ヶ月前の在庫'!$W$6:$W$10005,$B63)&gt;0,1,0))</f>
        <v/>
      </c>
      <c r="M63" s="54">
        <f>N(M62)+$L63</f>
        <v/>
      </c>
      <c r="N63" s="54">
        <f>IF($B63="",0,COUNTIFS('①在庫を貼る'!$V$6:$V$10005,'設定'!$C$4,'①在庫を貼る'!$W$6:$W$10005,$B63))</f>
        <v/>
      </c>
    </row>
    <row r="64" ht="18" customHeight="1">
      <c r="B64" s="76" t="inlineStr">
        <is>
          <t>1812000009865</t>
        </is>
      </c>
      <c r="C64" s="77" t="inlineStr">
        <is>
          <t>カラーシュガー　グリーン</t>
        </is>
      </c>
      <c r="D64" s="77" t="inlineStr">
        <is>
          <t>調理系スイーツ</t>
        </is>
      </c>
      <c r="E64" s="77" t="inlineStr">
        <is>
          <t>オザックス株式会社</t>
        </is>
      </c>
      <c r="F64" s="78" t="n">
        <v>1</v>
      </c>
      <c r="G64" s="79" t="n">
        <v>1181</v>
      </c>
      <c r="H64" s="69" t="n"/>
      <c r="I64" s="44">
        <f>IF(OR($B64="",$H64=""),"",$H64*MAX(1,N($F64)))</f>
        <v/>
      </c>
      <c r="J64" s="80" t="n"/>
      <c r="K64" s="77" t="n"/>
      <c r="L64" s="54">
        <f>IF($B64="",0,IF(COUNTIFS('①在庫を貼る'!$V$6:$V$10005,'設定'!$C$4,'①在庫を貼る'!$W$6:$W$10005,$B64)+COUNTIFS('月1回_1ヶ月前の在庫'!$V$6:$V$10005,'設定'!$C$4,'月1回_1ヶ月前の在庫'!$W$6:$W$10005,$B64)+COUNTIFS('月1回_2ヶ月前の在庫'!$V$6:$V$10005,'設定'!$C$4,'月1回_2ヶ月前の在庫'!$W$6:$W$10005,$B64)&gt;0,1,0))</f>
        <v/>
      </c>
      <c r="M64" s="54">
        <f>N(M63)+$L64</f>
        <v/>
      </c>
      <c r="N64" s="54">
        <f>IF($B64="",0,COUNTIFS('①在庫を貼る'!$V$6:$V$10005,'設定'!$C$4,'①在庫を貼る'!$W$6:$W$10005,$B64))</f>
        <v/>
      </c>
    </row>
    <row r="65" ht="18" customHeight="1">
      <c r="B65" s="76" t="inlineStr">
        <is>
          <t>1812000009872</t>
        </is>
      </c>
      <c r="C65" s="77" t="inlineStr">
        <is>
          <t>カラーシュガー　イエロー</t>
        </is>
      </c>
      <c r="D65" s="77" t="inlineStr">
        <is>
          <t>調理系スイーツ</t>
        </is>
      </c>
      <c r="E65" s="77" t="inlineStr">
        <is>
          <t>オザックス株式会社</t>
        </is>
      </c>
      <c r="F65" s="78" t="n">
        <v>1</v>
      </c>
      <c r="G65" s="79" t="n">
        <v>1181</v>
      </c>
      <c r="H65" s="69" t="n"/>
      <c r="I65" s="44">
        <f>IF(OR($B65="",$H65=""),"",$H65*MAX(1,N($F65)))</f>
        <v/>
      </c>
      <c r="J65" s="80" t="n"/>
      <c r="K65" s="77" t="n"/>
      <c r="L65" s="54">
        <f>IF($B65="",0,IF(COUNTIFS('①在庫を貼る'!$V$6:$V$10005,'設定'!$C$4,'①在庫を貼る'!$W$6:$W$10005,$B65)+COUNTIFS('月1回_1ヶ月前の在庫'!$V$6:$V$10005,'設定'!$C$4,'月1回_1ヶ月前の在庫'!$W$6:$W$10005,$B65)+COUNTIFS('月1回_2ヶ月前の在庫'!$V$6:$V$10005,'設定'!$C$4,'月1回_2ヶ月前の在庫'!$W$6:$W$10005,$B65)&gt;0,1,0))</f>
        <v/>
      </c>
      <c r="M65" s="54">
        <f>N(M64)+$L65</f>
        <v/>
      </c>
      <c r="N65" s="54">
        <f>IF($B65="",0,COUNTIFS('①在庫を貼る'!$V$6:$V$10005,'設定'!$C$4,'①在庫を貼る'!$W$6:$W$10005,$B65))</f>
        <v/>
      </c>
    </row>
    <row r="66" ht="18" customHeight="1">
      <c r="B66" s="76" t="inlineStr">
        <is>
          <t>1812000009889</t>
        </is>
      </c>
      <c r="C66" s="77" t="inlineStr">
        <is>
          <t>カラーシュガー　オレンジ</t>
        </is>
      </c>
      <c r="D66" s="77" t="inlineStr">
        <is>
          <t>調理系スイーツ</t>
        </is>
      </c>
      <c r="E66" s="77" t="inlineStr">
        <is>
          <t>オザックス株式会社</t>
        </is>
      </c>
      <c r="F66" s="78" t="n">
        <v>1</v>
      </c>
      <c r="G66" s="79" t="n">
        <v>1181</v>
      </c>
      <c r="H66" s="69" t="n"/>
      <c r="I66" s="44">
        <f>IF(OR($B66="",$H66=""),"",$H66*MAX(1,N($F66)))</f>
        <v/>
      </c>
      <c r="J66" s="80" t="n"/>
      <c r="K66" s="77" t="n"/>
      <c r="L66" s="54">
        <f>IF($B66="",0,IF(COUNTIFS('①在庫を貼る'!$V$6:$V$10005,'設定'!$C$4,'①在庫を貼る'!$W$6:$W$10005,$B66)+COUNTIFS('月1回_1ヶ月前の在庫'!$V$6:$V$10005,'設定'!$C$4,'月1回_1ヶ月前の在庫'!$W$6:$W$10005,$B66)+COUNTIFS('月1回_2ヶ月前の在庫'!$V$6:$V$10005,'設定'!$C$4,'月1回_2ヶ月前の在庫'!$W$6:$W$10005,$B66)&gt;0,1,0))</f>
        <v/>
      </c>
      <c r="M66" s="54">
        <f>N(M65)+$L66</f>
        <v/>
      </c>
      <c r="N66" s="54">
        <f>IF($B66="",0,COUNTIFS('①在庫を貼る'!$V$6:$V$10005,'設定'!$C$4,'①在庫を貼る'!$W$6:$W$10005,$B66))</f>
        <v/>
      </c>
    </row>
    <row r="67" ht="18" customHeight="1">
      <c r="B67" s="76" t="inlineStr">
        <is>
          <t>1812000010175</t>
        </is>
      </c>
      <c r="C67" s="77" t="inlineStr">
        <is>
          <t>新シナモンシュガー</t>
        </is>
      </c>
      <c r="D67" s="77" t="inlineStr">
        <is>
          <t>調理系スイーツ</t>
        </is>
      </c>
      <c r="E67" s="77" t="inlineStr">
        <is>
          <t>オザックス株式会社</t>
        </is>
      </c>
      <c r="F67" s="78" t="n">
        <v>1</v>
      </c>
      <c r="G67" s="79" t="n">
        <v>730</v>
      </c>
      <c r="H67" s="69" t="n"/>
      <c r="I67" s="44">
        <f>IF(OR($B67="",$H67=""),"",$H67*MAX(1,N($F67)))</f>
        <v/>
      </c>
      <c r="J67" s="80" t="n"/>
      <c r="K67" s="77" t="n"/>
      <c r="L67" s="54">
        <f>IF($B67="",0,IF(COUNTIFS('①在庫を貼る'!$V$6:$V$10005,'設定'!$C$4,'①在庫を貼る'!$W$6:$W$10005,$B67)+COUNTIFS('月1回_1ヶ月前の在庫'!$V$6:$V$10005,'設定'!$C$4,'月1回_1ヶ月前の在庫'!$W$6:$W$10005,$B67)+COUNTIFS('月1回_2ヶ月前の在庫'!$V$6:$V$10005,'設定'!$C$4,'月1回_2ヶ月前の在庫'!$W$6:$W$10005,$B67)&gt;0,1,0))</f>
        <v/>
      </c>
      <c r="M67" s="54">
        <f>N(M66)+$L67</f>
        <v/>
      </c>
      <c r="N67" s="54">
        <f>IF($B67="",0,COUNTIFS('①在庫を貼る'!$V$6:$V$10005,'設定'!$C$4,'①在庫を貼る'!$W$6:$W$10005,$B67))</f>
        <v/>
      </c>
    </row>
    <row r="68" ht="18" customHeight="1">
      <c r="B68" s="76" t="inlineStr">
        <is>
          <t>1812000012131</t>
        </is>
      </c>
      <c r="C68" s="77" t="inlineStr">
        <is>
          <t>ココアシュガー２％</t>
        </is>
      </c>
      <c r="D68" s="77" t="inlineStr">
        <is>
          <t>調理系スイーツ</t>
        </is>
      </c>
      <c r="E68" s="77" t="inlineStr">
        <is>
          <t>オザックス株式会社</t>
        </is>
      </c>
      <c r="F68" s="78" t="n">
        <v>1</v>
      </c>
      <c r="G68" s="79" t="n">
        <v>804</v>
      </c>
      <c r="H68" s="69" t="n"/>
      <c r="I68" s="44">
        <f>IF(OR($B68="",$H68=""),"",$H68*MAX(1,N($F68)))</f>
        <v/>
      </c>
      <c r="J68" s="80" t="n"/>
      <c r="K68" s="77" t="n"/>
      <c r="L68" s="54">
        <f>IF($B68="",0,IF(COUNTIFS('①在庫を貼る'!$V$6:$V$10005,'設定'!$C$4,'①在庫を貼る'!$W$6:$W$10005,$B68)+COUNTIFS('月1回_1ヶ月前の在庫'!$V$6:$V$10005,'設定'!$C$4,'月1回_1ヶ月前の在庫'!$W$6:$W$10005,$B68)+COUNTIFS('月1回_2ヶ月前の在庫'!$V$6:$V$10005,'設定'!$C$4,'月1回_2ヶ月前の在庫'!$W$6:$W$10005,$B68)&gt;0,1,0))</f>
        <v/>
      </c>
      <c r="M68" s="54">
        <f>N(M67)+$L68</f>
        <v/>
      </c>
      <c r="N68" s="54">
        <f>IF($B68="",0,COUNTIFS('①在庫を貼る'!$V$6:$V$10005,'設定'!$C$4,'①在庫を貼る'!$W$6:$W$10005,$B68))</f>
        <v/>
      </c>
    </row>
    <row r="69" ht="18" customHeight="1">
      <c r="B69" s="76" t="inlineStr">
        <is>
          <t>1812000013503</t>
        </is>
      </c>
      <c r="C69" s="77" t="inlineStr">
        <is>
          <t>カラーシュガーレッドストロベリー</t>
        </is>
      </c>
      <c r="D69" s="77" t="inlineStr">
        <is>
          <t>調理系スイーツ</t>
        </is>
      </c>
      <c r="E69" s="77" t="inlineStr">
        <is>
          <t>オザックス株式会社</t>
        </is>
      </c>
      <c r="F69" s="78" t="n">
        <v>1</v>
      </c>
      <c r="G69" s="79" t="n">
        <v>1181</v>
      </c>
      <c r="H69" s="69" t="n"/>
      <c r="I69" s="44">
        <f>IF(OR($B69="",$H69=""),"",$H69*MAX(1,N($F69)))</f>
        <v/>
      </c>
      <c r="J69" s="80" t="n"/>
      <c r="K69" s="77" t="n"/>
      <c r="L69" s="54">
        <f>IF($B69="",0,IF(COUNTIFS('①在庫を貼る'!$V$6:$V$10005,'設定'!$C$4,'①在庫を貼る'!$W$6:$W$10005,$B69)+COUNTIFS('月1回_1ヶ月前の在庫'!$V$6:$V$10005,'設定'!$C$4,'月1回_1ヶ月前の在庫'!$W$6:$W$10005,$B69)+COUNTIFS('月1回_2ヶ月前の在庫'!$V$6:$V$10005,'設定'!$C$4,'月1回_2ヶ月前の在庫'!$W$6:$W$10005,$B69)&gt;0,1,0))</f>
        <v/>
      </c>
      <c r="M69" s="54">
        <f>N(M68)+$L69</f>
        <v/>
      </c>
      <c r="N69" s="54">
        <f>IF($B69="",0,COUNTIFS('①在庫を貼る'!$V$6:$V$10005,'設定'!$C$4,'①在庫を貼る'!$W$6:$W$10005,$B69))</f>
        <v/>
      </c>
    </row>
    <row r="70" ht="18" customHeight="1">
      <c r="B70" s="76" t="inlineStr">
        <is>
          <t>1812000010687</t>
        </is>
      </c>
      <c r="C70" s="77" t="inlineStr">
        <is>
          <t>アイスクレープ　バナナ＆チョコ</t>
        </is>
      </c>
      <c r="D70" s="77" t="inlineStr">
        <is>
          <t>その他フード</t>
        </is>
      </c>
      <c r="E70" s="77" t="inlineStr">
        <is>
          <t>オザックス株式会社</t>
        </is>
      </c>
      <c r="F70" s="78" t="n">
        <v>120</v>
      </c>
      <c r="G70" s="79" t="n">
        <v>174</v>
      </c>
      <c r="H70" s="69" t="n"/>
      <c r="I70" s="44">
        <f>IF(OR($B70="",$H70=""),"",$H70*MAX(1,N($F70)))</f>
        <v/>
      </c>
      <c r="J70" s="80" t="n"/>
      <c r="K70" s="77" t="n"/>
      <c r="L70" s="54">
        <f>IF($B70="",0,IF(COUNTIFS('①在庫を貼る'!$V$6:$V$10005,'設定'!$C$4,'①在庫を貼る'!$W$6:$W$10005,$B70)+COUNTIFS('月1回_1ヶ月前の在庫'!$V$6:$V$10005,'設定'!$C$4,'月1回_1ヶ月前の在庫'!$W$6:$W$10005,$B70)+COUNTIFS('月1回_2ヶ月前の在庫'!$V$6:$V$10005,'設定'!$C$4,'月1回_2ヶ月前の在庫'!$W$6:$W$10005,$B70)&gt;0,1,0))</f>
        <v/>
      </c>
      <c r="M70" s="54">
        <f>N(M69)+$L70</f>
        <v/>
      </c>
      <c r="N70" s="54">
        <f>IF($B70="",0,COUNTIFS('①在庫を貼る'!$V$6:$V$10005,'設定'!$C$4,'①在庫を貼る'!$W$6:$W$10005,$B70))</f>
        <v/>
      </c>
    </row>
    <row r="71" ht="18" customHeight="1">
      <c r="B71" s="76" t="inlineStr">
        <is>
          <t>1812000011714</t>
        </is>
      </c>
      <c r="C71" s="77" t="inlineStr">
        <is>
          <t>アイスクレープ　贅沢いちご</t>
        </is>
      </c>
      <c r="D71" s="77" t="inlineStr">
        <is>
          <t>その他フード</t>
        </is>
      </c>
      <c r="E71" s="77" t="inlineStr">
        <is>
          <t>オザックス株式会社</t>
        </is>
      </c>
      <c r="F71" s="78" t="n">
        <v>120</v>
      </c>
      <c r="G71" s="79" t="n">
        <v>162</v>
      </c>
      <c r="H71" s="69" t="n"/>
      <c r="I71" s="44">
        <f>IF(OR($B71="",$H71=""),"",$H71*MAX(1,N($F71)))</f>
        <v/>
      </c>
      <c r="J71" s="80" t="n"/>
      <c r="K71" s="77" t="n"/>
      <c r="L71" s="54">
        <f>IF($B71="",0,IF(COUNTIFS('①在庫を貼る'!$V$6:$V$10005,'設定'!$C$4,'①在庫を貼る'!$W$6:$W$10005,$B71)+COUNTIFS('月1回_1ヶ月前の在庫'!$V$6:$V$10005,'設定'!$C$4,'月1回_1ヶ月前の在庫'!$W$6:$W$10005,$B71)+COUNTIFS('月1回_2ヶ月前の在庫'!$V$6:$V$10005,'設定'!$C$4,'月1回_2ヶ月前の在庫'!$W$6:$W$10005,$B71)&gt;0,1,0))</f>
        <v/>
      </c>
      <c r="M71" s="54">
        <f>N(M70)+$L71</f>
        <v/>
      </c>
      <c r="N71" s="54">
        <f>IF($B71="",0,COUNTIFS('①在庫を貼る'!$V$6:$V$10005,'設定'!$C$4,'①在庫を貼る'!$W$6:$W$10005,$B71))</f>
        <v/>
      </c>
    </row>
    <row r="72" ht="18" customHeight="1">
      <c r="B72" s="76" t="inlineStr">
        <is>
          <t>1812000007564</t>
        </is>
      </c>
      <c r="C72" s="77" t="inlineStr">
        <is>
          <t>いり塩パウダー（１Ｋｇ）</t>
        </is>
      </c>
      <c r="D72" s="77" t="inlineStr">
        <is>
          <t>フード調味料</t>
        </is>
      </c>
      <c r="E72" s="77" t="inlineStr">
        <is>
          <t>オザックス株式会社</t>
        </is>
      </c>
      <c r="F72" s="78" t="n">
        <v>1</v>
      </c>
      <c r="G72" s="79" t="n">
        <v>458</v>
      </c>
      <c r="H72" s="69" t="n"/>
      <c r="I72" s="44">
        <f>IF(OR($B72="",$H72=""),"",$H72*MAX(1,N($F72)))</f>
        <v/>
      </c>
      <c r="J72" s="80" t="n"/>
      <c r="K72" s="77" t="n"/>
      <c r="L72" s="54">
        <f>IF($B72="",0,IF(COUNTIFS('①在庫を貼る'!$V$6:$V$10005,'設定'!$C$4,'①在庫を貼る'!$W$6:$W$10005,$B72)+COUNTIFS('月1回_1ヶ月前の在庫'!$V$6:$V$10005,'設定'!$C$4,'月1回_1ヶ月前の在庫'!$W$6:$W$10005,$B72)+COUNTIFS('月1回_2ヶ月前の在庫'!$V$6:$V$10005,'設定'!$C$4,'月1回_2ヶ月前の在庫'!$W$6:$W$10005,$B72)&gt;0,1,0))</f>
        <v/>
      </c>
      <c r="M72" s="54">
        <f>N(M71)+$L72</f>
        <v/>
      </c>
      <c r="N72" s="54">
        <f>IF($B72="",0,COUNTIFS('①在庫を貼る'!$V$6:$V$10005,'設定'!$C$4,'①在庫を貼る'!$W$6:$W$10005,$B72))</f>
        <v/>
      </c>
    </row>
    <row r="73" ht="18" customHeight="1">
      <c r="B73" s="76" t="inlineStr">
        <is>
          <t>1812000008837</t>
        </is>
      </c>
      <c r="C73" s="77" t="inlineStr">
        <is>
          <t>マスタードソース（ピース出荷）</t>
        </is>
      </c>
      <c r="D73" s="77" t="inlineStr">
        <is>
          <t>フード調味料</t>
        </is>
      </c>
      <c r="E73" s="77" t="inlineStr">
        <is>
          <t>オザックス株式会社</t>
        </is>
      </c>
      <c r="F73" s="78" t="n">
        <v>1</v>
      </c>
      <c r="G73" s="79" t="n">
        <v>452</v>
      </c>
      <c r="H73" s="69" t="n"/>
      <c r="I73" s="44">
        <f>IF(OR($B73="",$H73=""),"",$H73*MAX(1,N($F73)))</f>
        <v/>
      </c>
      <c r="J73" s="80" t="n"/>
      <c r="K73" s="77" t="n"/>
      <c r="L73" s="54">
        <f>IF($B73="",0,IF(COUNTIFS('①在庫を貼る'!$V$6:$V$10005,'設定'!$C$4,'①在庫を貼る'!$W$6:$W$10005,$B73)+COUNTIFS('月1回_1ヶ月前の在庫'!$V$6:$V$10005,'設定'!$C$4,'月1回_1ヶ月前の在庫'!$W$6:$W$10005,$B73)+COUNTIFS('月1回_2ヶ月前の在庫'!$V$6:$V$10005,'設定'!$C$4,'月1回_2ヶ月前の在庫'!$W$6:$W$10005,$B73)&gt;0,1,0))</f>
        <v/>
      </c>
      <c r="M73" s="54">
        <f>N(M72)+$L73</f>
        <v/>
      </c>
      <c r="N73" s="54">
        <f>IF($B73="",0,COUNTIFS('①在庫を貼る'!$V$6:$V$10005,'設定'!$C$4,'①在庫を貼る'!$W$6:$W$10005,$B73))</f>
        <v/>
      </c>
    </row>
    <row r="74" ht="18" customHeight="1">
      <c r="B74" s="76" t="inlineStr">
        <is>
          <t>1812000011066</t>
        </is>
      </c>
      <c r="C74" s="77" t="inlineStr">
        <is>
          <t>ケチャップソース３００Ｇ</t>
        </is>
      </c>
      <c r="D74" s="77" t="inlineStr">
        <is>
          <t>フード調味料</t>
        </is>
      </c>
      <c r="E74" s="77" t="inlineStr">
        <is>
          <t>オザックス株式会社</t>
        </is>
      </c>
      <c r="F74" s="78" t="n">
        <v>1</v>
      </c>
      <c r="G74" s="79" t="n">
        <v>371</v>
      </c>
      <c r="H74" s="69" t="n"/>
      <c r="I74" s="44">
        <f>IF(OR($B74="",$H74=""),"",$H74*MAX(1,N($F74)))</f>
        <v/>
      </c>
      <c r="J74" s="80" t="n"/>
      <c r="K74" s="77" t="n"/>
      <c r="L74" s="54">
        <f>IF($B74="",0,IF(COUNTIFS('①在庫を貼る'!$V$6:$V$10005,'設定'!$C$4,'①在庫を貼る'!$W$6:$W$10005,$B74)+COUNTIFS('月1回_1ヶ月前の在庫'!$V$6:$V$10005,'設定'!$C$4,'月1回_1ヶ月前の在庫'!$W$6:$W$10005,$B74)+COUNTIFS('月1回_2ヶ月前の在庫'!$V$6:$V$10005,'設定'!$C$4,'月1回_2ヶ月前の在庫'!$W$6:$W$10005,$B74)&gt;0,1,0))</f>
        <v/>
      </c>
      <c r="M74" s="54">
        <f>N(M73)+$L74</f>
        <v/>
      </c>
      <c r="N74" s="54">
        <f>IF($B74="",0,COUNTIFS('①在庫を貼る'!$V$6:$V$10005,'設定'!$C$4,'①在庫を貼る'!$W$6:$W$10005,$B74))</f>
        <v/>
      </c>
    </row>
    <row r="75" ht="18" customHeight="1">
      <c r="B75" s="76" t="inlineStr">
        <is>
          <t>1812000011721</t>
        </is>
      </c>
      <c r="C75" s="77" t="inlineStr">
        <is>
          <t>ＴＨ　４種のチーズソース</t>
        </is>
      </c>
      <c r="D75" s="77" t="inlineStr">
        <is>
          <t>フード調味料</t>
        </is>
      </c>
      <c r="E75" s="77" t="inlineStr">
        <is>
          <t>オザックス株式会社</t>
        </is>
      </c>
      <c r="F75" s="78" t="n">
        <v>1</v>
      </c>
      <c r="G75" s="79" t="n">
        <v>822</v>
      </c>
      <c r="H75" s="69" t="n"/>
      <c r="I75" s="44">
        <f>IF(OR($B75="",$H75=""),"",$H75*MAX(1,N($F75)))</f>
        <v/>
      </c>
      <c r="J75" s="80" t="n"/>
      <c r="K75" s="77" t="n"/>
      <c r="L75" s="54">
        <f>IF($B75="",0,IF(COUNTIFS('①在庫を貼る'!$V$6:$V$10005,'設定'!$C$4,'①在庫を貼る'!$W$6:$W$10005,$B75)+COUNTIFS('月1回_1ヶ月前の在庫'!$V$6:$V$10005,'設定'!$C$4,'月1回_1ヶ月前の在庫'!$W$6:$W$10005,$B75)+COUNTIFS('月1回_2ヶ月前の在庫'!$V$6:$V$10005,'設定'!$C$4,'月1回_2ヶ月前の在庫'!$W$6:$W$10005,$B75)&gt;0,1,0))</f>
        <v/>
      </c>
      <c r="M75" s="54">
        <f>N(M74)+$L75</f>
        <v/>
      </c>
      <c r="N75" s="54">
        <f>IF($B75="",0,COUNTIFS('①在庫を貼る'!$V$6:$V$10005,'設定'!$C$4,'①在庫を貼る'!$W$6:$W$10005,$B75))</f>
        <v/>
      </c>
    </row>
    <row r="76" ht="18" customHeight="1">
      <c r="B76" s="76" t="inlineStr">
        <is>
          <t>1812000013312</t>
        </is>
      </c>
      <c r="C76" s="77" t="inlineStr">
        <is>
          <t>ビーバー　ドリンクカップ　仕入</t>
        </is>
      </c>
      <c r="D76" s="77" t="inlineStr">
        <is>
          <t>ＳＥＴ作品コンボ</t>
        </is>
      </c>
      <c r="E76" s="77" t="inlineStr">
        <is>
          <t>オザックス株式会社</t>
        </is>
      </c>
      <c r="F76" s="78" t="n">
        <v>50</v>
      </c>
      <c r="G76" s="79" t="n">
        <v>274</v>
      </c>
      <c r="H76" s="69" t="n"/>
      <c r="I76" s="44">
        <f>IF(OR($B76="",$H76=""),"",$H76*MAX(1,N($F76)))</f>
        <v/>
      </c>
      <c r="J76" s="80" t="n"/>
      <c r="K76" s="77" t="n"/>
      <c r="L76" s="54">
        <f>IF($B76="",0,IF(COUNTIFS('①在庫を貼る'!$V$6:$V$10005,'設定'!$C$4,'①在庫を貼る'!$W$6:$W$10005,$B76)+COUNTIFS('月1回_1ヶ月前の在庫'!$V$6:$V$10005,'設定'!$C$4,'月1回_1ヶ月前の在庫'!$W$6:$W$10005,$B76)+COUNTIFS('月1回_2ヶ月前の在庫'!$V$6:$V$10005,'設定'!$C$4,'月1回_2ヶ月前の在庫'!$W$6:$W$10005,$B76)&gt;0,1,0))</f>
        <v/>
      </c>
      <c r="M76" s="54">
        <f>N(M75)+$L76</f>
        <v/>
      </c>
      <c r="N76" s="54">
        <f>IF($B76="",0,COUNTIFS('①在庫を貼る'!$V$6:$V$10005,'設定'!$C$4,'①在庫を貼る'!$W$6:$W$10005,$B76))</f>
        <v/>
      </c>
    </row>
    <row r="77" ht="18" customHeight="1">
      <c r="B77" s="76" t="inlineStr">
        <is>
          <t>1812000013329</t>
        </is>
      </c>
      <c r="C77" s="77" t="inlineStr">
        <is>
          <t>ビーバー　トッパー　仕入</t>
        </is>
      </c>
      <c r="D77" s="77" t="inlineStr">
        <is>
          <t>ＳＥＴ作品コンボ</t>
        </is>
      </c>
      <c r="E77" s="77" t="inlineStr">
        <is>
          <t>オザックス株式会社</t>
        </is>
      </c>
      <c r="F77" s="78" t="n">
        <v>50</v>
      </c>
      <c r="G77" s="79" t="n">
        <v>393</v>
      </c>
      <c r="H77" s="69" t="n"/>
      <c r="I77" s="44">
        <f>IF(OR($B77="",$H77=""),"",$H77*MAX(1,N($F77)))</f>
        <v/>
      </c>
      <c r="J77" s="80" t="n"/>
      <c r="K77" s="77" t="n"/>
      <c r="L77" s="54">
        <f>IF($B77="",0,IF(COUNTIFS('①在庫を貼る'!$V$6:$V$10005,'設定'!$C$4,'①在庫を貼る'!$W$6:$W$10005,$B77)+COUNTIFS('月1回_1ヶ月前の在庫'!$V$6:$V$10005,'設定'!$C$4,'月1回_1ヶ月前の在庫'!$W$6:$W$10005,$B77)+COUNTIFS('月1回_2ヶ月前の在庫'!$V$6:$V$10005,'設定'!$C$4,'月1回_2ヶ月前の在庫'!$W$6:$W$10005,$B77)&gt;0,1,0))</f>
        <v/>
      </c>
      <c r="M77" s="54">
        <f>N(M76)+$L77</f>
        <v/>
      </c>
      <c r="N77" s="54">
        <f>IF($B77="",0,COUNTIFS('①在庫を貼る'!$V$6:$V$10005,'設定'!$C$4,'①在庫を貼る'!$W$6:$W$10005,$B77))</f>
        <v/>
      </c>
    </row>
    <row r="78" ht="18" customHeight="1">
      <c r="B78" s="76" t="inlineStr">
        <is>
          <t>1812000010083</t>
        </is>
      </c>
      <c r="C78" s="77" t="inlineStr">
        <is>
          <t>（コスタ）１２ｏｚプラカップ</t>
        </is>
      </c>
      <c r="D78" s="77" t="inlineStr">
        <is>
          <t>コンセ包材</t>
        </is>
      </c>
      <c r="E78" s="77" t="inlineStr">
        <is>
          <t>オザックス株式会社</t>
        </is>
      </c>
      <c r="F78" s="78" t="n">
        <v>1000</v>
      </c>
      <c r="G78" s="79" t="n">
        <v>9</v>
      </c>
      <c r="H78" s="69" t="n"/>
      <c r="I78" s="44">
        <f>IF(OR($B78="",$H78=""),"",$H78*MAX(1,N($F78)))</f>
        <v/>
      </c>
      <c r="J78" s="80" t="n"/>
      <c r="K78" s="77" t="n"/>
      <c r="L78" s="54">
        <f>IF($B78="",0,IF(COUNTIFS('①在庫を貼る'!$V$6:$V$10005,'設定'!$C$4,'①在庫を貼る'!$W$6:$W$10005,$B78)+COUNTIFS('月1回_1ヶ月前の在庫'!$V$6:$V$10005,'設定'!$C$4,'月1回_1ヶ月前の在庫'!$W$6:$W$10005,$B78)+COUNTIFS('月1回_2ヶ月前の在庫'!$V$6:$V$10005,'設定'!$C$4,'月1回_2ヶ月前の在庫'!$W$6:$W$10005,$B78)&gt;0,1,0))</f>
        <v/>
      </c>
      <c r="M78" s="54">
        <f>N(M77)+$L78</f>
        <v/>
      </c>
      <c r="N78" s="54">
        <f>IF($B78="",0,COUNTIFS('①在庫を貼る'!$V$6:$V$10005,'設定'!$C$4,'①在庫を貼る'!$W$6:$W$10005,$B78))</f>
        <v/>
      </c>
    </row>
    <row r="79" ht="18" customHeight="1">
      <c r="B79" s="76" t="inlineStr">
        <is>
          <t>1812000010090</t>
        </is>
      </c>
      <c r="C79" s="77" t="inlineStr">
        <is>
          <t>（コスタ）１２ｏｚプラリッド</t>
        </is>
      </c>
      <c r="D79" s="77" t="inlineStr">
        <is>
          <t>コンセ包材</t>
        </is>
      </c>
      <c r="E79" s="77" t="inlineStr">
        <is>
          <t>オザックス株式会社</t>
        </is>
      </c>
      <c r="F79" s="78" t="n">
        <v>2000</v>
      </c>
      <c r="G79" s="79" t="n">
        <v>5.6</v>
      </c>
      <c r="H79" s="69" t="n"/>
      <c r="I79" s="44">
        <f>IF(OR($B79="",$H79=""),"",$H79*MAX(1,N($F79)))</f>
        <v/>
      </c>
      <c r="J79" s="80" t="n"/>
      <c r="K79" s="77" t="n"/>
      <c r="L79" s="54">
        <f>IF($B79="",0,IF(COUNTIFS('①在庫を貼る'!$V$6:$V$10005,'設定'!$C$4,'①在庫を貼る'!$W$6:$W$10005,$B79)+COUNTIFS('月1回_1ヶ月前の在庫'!$V$6:$V$10005,'設定'!$C$4,'月1回_1ヶ月前の在庫'!$W$6:$W$10005,$B79)+COUNTIFS('月1回_2ヶ月前の在庫'!$V$6:$V$10005,'設定'!$C$4,'月1回_2ヶ月前の在庫'!$W$6:$W$10005,$B79)&gt;0,1,0))</f>
        <v/>
      </c>
      <c r="M79" s="54">
        <f>N(M78)+$L79</f>
        <v/>
      </c>
      <c r="N79" s="54">
        <f>IF($B79="",0,COUNTIFS('①在庫を貼る'!$V$6:$V$10005,'設定'!$C$4,'①在庫を貼る'!$W$6:$W$10005,$B79))</f>
        <v/>
      </c>
    </row>
    <row r="80" ht="18" customHeight="1">
      <c r="B80" s="76" t="inlineStr">
        <is>
          <t>1812000010120</t>
        </is>
      </c>
      <c r="C80" s="77" t="inlineStr">
        <is>
          <t>（コスタ）新９ｏｚホットカップ</t>
        </is>
      </c>
      <c r="D80" s="77" t="inlineStr">
        <is>
          <t>コンセ包材</t>
        </is>
      </c>
      <c r="E80" s="77" t="inlineStr">
        <is>
          <t>オザックス株式会社</t>
        </is>
      </c>
      <c r="F80" s="78" t="n">
        <v>1500</v>
      </c>
      <c r="G80" s="79" t="n">
        <v>9</v>
      </c>
      <c r="H80" s="69" t="n"/>
      <c r="I80" s="44">
        <f>IF(OR($B80="",$H80=""),"",$H80*MAX(1,N($F80)))</f>
        <v/>
      </c>
      <c r="J80" s="80" t="n"/>
      <c r="K80" s="77" t="n"/>
      <c r="L80" s="54">
        <f>IF($B80="",0,IF(COUNTIFS('①在庫を貼る'!$V$6:$V$10005,'設定'!$C$4,'①在庫を貼る'!$W$6:$W$10005,$B80)+COUNTIFS('月1回_1ヶ月前の在庫'!$V$6:$V$10005,'設定'!$C$4,'月1回_1ヶ月前の在庫'!$W$6:$W$10005,$B80)+COUNTIFS('月1回_2ヶ月前の在庫'!$V$6:$V$10005,'設定'!$C$4,'月1回_2ヶ月前の在庫'!$W$6:$W$10005,$B80)&gt;0,1,0))</f>
        <v/>
      </c>
      <c r="M80" s="54">
        <f>N(M79)+$L80</f>
        <v/>
      </c>
      <c r="N80" s="54">
        <f>IF($B80="",0,COUNTIFS('①在庫を貼る'!$V$6:$V$10005,'設定'!$C$4,'①在庫を貼る'!$W$6:$W$10005,$B80))</f>
        <v/>
      </c>
    </row>
    <row r="81" ht="18" customHeight="1">
      <c r="B81" s="76" t="inlineStr">
        <is>
          <t>1812000010168</t>
        </is>
      </c>
      <c r="C81" s="77" t="inlineStr">
        <is>
          <t>（コスタ）新９ｏｚホットリッド</t>
        </is>
      </c>
      <c r="D81" s="77" t="inlineStr">
        <is>
          <t>コンセ包材</t>
        </is>
      </c>
      <c r="E81" s="77" t="inlineStr">
        <is>
          <t>オザックス株式会社</t>
        </is>
      </c>
      <c r="F81" s="78" t="n">
        <v>3000</v>
      </c>
      <c r="G81" s="79" t="n">
        <v>3.26</v>
      </c>
      <c r="H81" s="69" t="n"/>
      <c r="I81" s="44">
        <f>IF(OR($B81="",$H81=""),"",$H81*MAX(1,N($F81)))</f>
        <v/>
      </c>
      <c r="J81" s="80" t="n"/>
      <c r="K81" s="77" t="n"/>
      <c r="L81" s="54">
        <f>IF($B81="",0,IF(COUNTIFS('①在庫を貼る'!$V$6:$V$10005,'設定'!$C$4,'①在庫を貼る'!$W$6:$W$10005,$B81)+COUNTIFS('月1回_1ヶ月前の在庫'!$V$6:$V$10005,'設定'!$C$4,'月1回_1ヶ月前の在庫'!$W$6:$W$10005,$B81)+COUNTIFS('月1回_2ヶ月前の在庫'!$V$6:$V$10005,'設定'!$C$4,'月1回_2ヶ月前の在庫'!$W$6:$W$10005,$B81)&gt;0,1,0))</f>
        <v/>
      </c>
      <c r="M81" s="54">
        <f>N(M80)+$L81</f>
        <v/>
      </c>
      <c r="N81" s="54">
        <f>IF($B81="",0,COUNTIFS('①在庫を貼る'!$V$6:$V$10005,'設定'!$C$4,'①在庫を貼る'!$W$6:$W$10005,$B81))</f>
        <v/>
      </c>
    </row>
    <row r="82" ht="18" customHeight="1">
      <c r="B82" s="76" t="inlineStr">
        <is>
          <t>1812000010243</t>
        </is>
      </c>
      <c r="C82" s="77" t="inlineStr">
        <is>
          <t>バイオマスストロー　（裸）　緑</t>
        </is>
      </c>
      <c r="D82" s="77" t="inlineStr">
        <is>
          <t>コンセ包材</t>
        </is>
      </c>
      <c r="E82" s="77" t="inlineStr">
        <is>
          <t>オザックス株式会社</t>
        </is>
      </c>
      <c r="F82" s="78" t="n">
        <v>10000</v>
      </c>
      <c r="G82" s="79" t="n">
        <v>1.05</v>
      </c>
      <c r="H82" s="69" t="n"/>
      <c r="I82" s="44">
        <f>IF(OR($B82="",$H82=""),"",$H82*MAX(1,N($F82)))</f>
        <v/>
      </c>
      <c r="J82" s="80" t="n"/>
      <c r="K82" s="77" t="n"/>
      <c r="L82" s="54">
        <f>IF($B82="",0,IF(COUNTIFS('①在庫を貼る'!$V$6:$V$10005,'設定'!$C$4,'①在庫を貼る'!$W$6:$W$10005,$B82)+COUNTIFS('月1回_1ヶ月前の在庫'!$V$6:$V$10005,'設定'!$C$4,'月1回_1ヶ月前の在庫'!$W$6:$W$10005,$B82)+COUNTIFS('月1回_2ヶ月前の在庫'!$V$6:$V$10005,'設定'!$C$4,'月1回_2ヶ月前の在庫'!$W$6:$W$10005,$B82)&gt;0,1,0))</f>
        <v/>
      </c>
      <c r="M82" s="54">
        <f>N(M81)+$L82</f>
        <v/>
      </c>
      <c r="N82" s="54">
        <f>IF($B82="",0,COUNTIFS('①在庫を貼る'!$V$6:$V$10005,'設定'!$C$4,'①在庫を貼る'!$W$6:$W$10005,$B82))</f>
        <v/>
      </c>
    </row>
    <row r="83" ht="18" customHeight="1">
      <c r="B83" s="76" t="inlineStr">
        <is>
          <t>1812000010250</t>
        </is>
      </c>
      <c r="C83" s="77" t="inlineStr">
        <is>
          <t>バイオマスストロー　（裸）　赤</t>
        </is>
      </c>
      <c r="D83" s="77" t="inlineStr">
        <is>
          <t>コンセ包材</t>
        </is>
      </c>
      <c r="E83" s="77" t="inlineStr">
        <is>
          <t>オザックス株式会社</t>
        </is>
      </c>
      <c r="F83" s="78" t="n">
        <v>10000</v>
      </c>
      <c r="G83" s="79" t="n">
        <v>1.05</v>
      </c>
      <c r="H83" s="69" t="n"/>
      <c r="I83" s="44">
        <f>IF(OR($B83="",$H83=""),"",$H83*MAX(1,N($F83)))</f>
        <v/>
      </c>
      <c r="J83" s="80" t="n"/>
      <c r="K83" s="77" t="n"/>
      <c r="L83" s="54">
        <f>IF($B83="",0,IF(COUNTIFS('①在庫を貼る'!$V$6:$V$10005,'設定'!$C$4,'①在庫を貼る'!$W$6:$W$10005,$B83)+COUNTIFS('月1回_1ヶ月前の在庫'!$V$6:$V$10005,'設定'!$C$4,'月1回_1ヶ月前の在庫'!$W$6:$W$10005,$B83)+COUNTIFS('月1回_2ヶ月前の在庫'!$V$6:$V$10005,'設定'!$C$4,'月1回_2ヶ月前の在庫'!$W$6:$W$10005,$B83)&gt;0,1,0))</f>
        <v/>
      </c>
      <c r="M83" s="54">
        <f>N(M82)+$L83</f>
        <v/>
      </c>
      <c r="N83" s="54">
        <f>IF($B83="",0,COUNTIFS('①在庫を貼る'!$V$6:$V$10005,'設定'!$C$4,'①在庫を貼る'!$W$6:$W$10005,$B83))</f>
        <v/>
      </c>
    </row>
    <row r="84" ht="18" customHeight="1">
      <c r="B84" s="76" t="inlineStr">
        <is>
          <t>1812000010267</t>
        </is>
      </c>
      <c r="C84" s="77" t="inlineStr">
        <is>
          <t>バイオマスストロー（裸）タピオカ</t>
        </is>
      </c>
      <c r="D84" s="77" t="inlineStr">
        <is>
          <t>コンセ包材</t>
        </is>
      </c>
      <c r="E84" s="77" t="inlineStr">
        <is>
          <t>オザックス株式会社</t>
        </is>
      </c>
      <c r="F84" s="78" t="n">
        <v>200</v>
      </c>
      <c r="G84" s="79" t="n">
        <v>5.03</v>
      </c>
      <c r="H84" s="69" t="n"/>
      <c r="I84" s="44">
        <f>IF(OR($B84="",$H84=""),"",$H84*MAX(1,N($F84)))</f>
        <v/>
      </c>
      <c r="J84" s="80" t="n"/>
      <c r="K84" s="77" t="n"/>
      <c r="L84" s="54">
        <f>IF($B84="",0,IF(COUNTIFS('①在庫を貼る'!$V$6:$V$10005,'設定'!$C$4,'①在庫を貼る'!$W$6:$W$10005,$B84)+COUNTIFS('月1回_1ヶ月前の在庫'!$V$6:$V$10005,'設定'!$C$4,'月1回_1ヶ月前の在庫'!$W$6:$W$10005,$B84)+COUNTIFS('月1回_2ヶ月前の在庫'!$V$6:$V$10005,'設定'!$C$4,'月1回_2ヶ月前の在庫'!$W$6:$W$10005,$B84)&gt;0,1,0))</f>
        <v/>
      </c>
      <c r="M84" s="54">
        <f>N(M83)+$L84</f>
        <v/>
      </c>
      <c r="N84" s="54">
        <f>IF($B84="",0,COUNTIFS('①在庫を貼る'!$V$6:$V$10005,'設定'!$C$4,'①在庫を貼る'!$W$6:$W$10005,$B84))</f>
        <v/>
      </c>
    </row>
    <row r="85" ht="18" customHeight="1">
      <c r="B85" s="76" t="inlineStr">
        <is>
          <t>1812000010649</t>
        </is>
      </c>
      <c r="C85" s="77" t="inlineStr">
        <is>
          <t>ＴＨ（ＦＳ）新チュリトス袋</t>
        </is>
      </c>
      <c r="D85" s="77" t="inlineStr">
        <is>
          <t>コンセ包材</t>
        </is>
      </c>
      <c r="E85" s="77" t="inlineStr">
        <is>
          <t>オザックス株式会社</t>
        </is>
      </c>
      <c r="F85" s="78" t="n">
        <v>1000</v>
      </c>
      <c r="G85" s="79" t="n">
        <v>4.56</v>
      </c>
      <c r="H85" s="69" t="n"/>
      <c r="I85" s="44">
        <f>IF(OR($B85="",$H85=""),"",$H85*MAX(1,N($F85)))</f>
        <v/>
      </c>
      <c r="J85" s="80" t="n"/>
      <c r="K85" s="77" t="n"/>
      <c r="L85" s="54">
        <f>IF($B85="",0,IF(COUNTIFS('①在庫を貼る'!$V$6:$V$10005,'設定'!$C$4,'①在庫を貼る'!$W$6:$W$10005,$B85)+COUNTIFS('月1回_1ヶ月前の在庫'!$V$6:$V$10005,'設定'!$C$4,'月1回_1ヶ月前の在庫'!$W$6:$W$10005,$B85)+COUNTIFS('月1回_2ヶ月前の在庫'!$V$6:$V$10005,'設定'!$C$4,'月1回_2ヶ月前の在庫'!$W$6:$W$10005,$B85)&gt;0,1,0))</f>
        <v/>
      </c>
      <c r="M85" s="54">
        <f>N(M84)+$L85</f>
        <v/>
      </c>
      <c r="N85" s="54">
        <f>IF($B85="",0,COUNTIFS('①在庫を貼る'!$V$6:$V$10005,'設定'!$C$4,'①在庫を貼る'!$W$6:$W$10005,$B85))</f>
        <v/>
      </c>
    </row>
    <row r="86" ht="18" customHeight="1">
      <c r="B86" s="76" t="inlineStr">
        <is>
          <t>1812000010724</t>
        </is>
      </c>
      <c r="C86" s="77" t="inlineStr">
        <is>
          <t>レッドカップＰＣカップＳ（ＦＳ）</t>
        </is>
      </c>
      <c r="D86" s="77" t="inlineStr">
        <is>
          <t>コンセ包材</t>
        </is>
      </c>
      <c r="E86" s="77" t="inlineStr">
        <is>
          <t>オザックス株式会社</t>
        </is>
      </c>
      <c r="F86" s="78" t="n">
        <v>600</v>
      </c>
      <c r="G86" s="79" t="n">
        <v>8.93</v>
      </c>
      <c r="H86" s="69" t="n"/>
      <c r="I86" s="44">
        <f>IF(OR($B86="",$H86=""),"",$H86*MAX(1,N($F86)))</f>
        <v/>
      </c>
      <c r="J86" s="80" t="n"/>
      <c r="K86" s="77" t="n"/>
      <c r="L86" s="54">
        <f>IF($B86="",0,IF(COUNTIFS('①在庫を貼る'!$V$6:$V$10005,'設定'!$C$4,'①在庫を貼る'!$W$6:$W$10005,$B86)+COUNTIFS('月1回_1ヶ月前の在庫'!$V$6:$V$10005,'設定'!$C$4,'月1回_1ヶ月前の在庫'!$W$6:$W$10005,$B86)+COUNTIFS('月1回_2ヶ月前の在庫'!$V$6:$V$10005,'設定'!$C$4,'月1回_2ヶ月前の在庫'!$W$6:$W$10005,$B86)&gt;0,1,0))</f>
        <v/>
      </c>
      <c r="M86" s="54">
        <f>N(M85)+$L86</f>
        <v/>
      </c>
      <c r="N86" s="54">
        <f>IF($B86="",0,COUNTIFS('①在庫を貼る'!$V$6:$V$10005,'設定'!$C$4,'①在庫を貼る'!$W$6:$W$10005,$B86))</f>
        <v/>
      </c>
    </row>
    <row r="87" ht="18" customHeight="1">
      <c r="B87" s="76" t="inlineStr">
        <is>
          <t>1812000010731</t>
        </is>
      </c>
      <c r="C87" s="77" t="inlineStr">
        <is>
          <t>レッドカップＰＣカップＭ（ＦＳ）</t>
        </is>
      </c>
      <c r="D87" s="77" t="inlineStr">
        <is>
          <t>コンセ包材</t>
        </is>
      </c>
      <c r="E87" s="77" t="inlineStr">
        <is>
          <t>オザックス株式会社</t>
        </is>
      </c>
      <c r="F87" s="78" t="n">
        <v>300</v>
      </c>
      <c r="G87" s="79" t="n">
        <v>15.66</v>
      </c>
      <c r="H87" s="69" t="n"/>
      <c r="I87" s="44">
        <f>IF(OR($B87="",$H87=""),"",$H87*MAX(1,N($F87)))</f>
        <v/>
      </c>
      <c r="J87" s="80" t="n"/>
      <c r="K87" s="77" t="n"/>
      <c r="L87" s="54">
        <f>IF($B87="",0,IF(COUNTIFS('①在庫を貼る'!$V$6:$V$10005,'設定'!$C$4,'①在庫を貼る'!$W$6:$W$10005,$B87)+COUNTIFS('月1回_1ヶ月前の在庫'!$V$6:$V$10005,'設定'!$C$4,'月1回_1ヶ月前の在庫'!$W$6:$W$10005,$B87)+COUNTIFS('月1回_2ヶ月前の在庫'!$V$6:$V$10005,'設定'!$C$4,'月1回_2ヶ月前の在庫'!$W$6:$W$10005,$B87)&gt;0,1,0))</f>
        <v/>
      </c>
      <c r="M87" s="54">
        <f>N(M86)+$L87</f>
        <v/>
      </c>
      <c r="N87" s="54">
        <f>IF($B87="",0,COUNTIFS('①在庫を貼る'!$V$6:$V$10005,'設定'!$C$4,'①在庫を貼る'!$W$6:$W$10005,$B87))</f>
        <v/>
      </c>
    </row>
    <row r="88" ht="18" customHeight="1">
      <c r="B88" s="76" t="inlineStr">
        <is>
          <t>1812000010748</t>
        </is>
      </c>
      <c r="C88" s="77" t="inlineStr">
        <is>
          <t>レッドカップＰＣカップＬ（ＦＳ）</t>
        </is>
      </c>
      <c r="D88" s="77" t="inlineStr">
        <is>
          <t>コンセ包材</t>
        </is>
      </c>
      <c r="E88" s="77" t="inlineStr">
        <is>
          <t>オザックス株式会社</t>
        </is>
      </c>
      <c r="F88" s="78" t="n">
        <v>300</v>
      </c>
      <c r="G88" s="79" t="n">
        <v>18.55</v>
      </c>
      <c r="H88" s="69" t="n"/>
      <c r="I88" s="44">
        <f>IF(OR($B88="",$H88=""),"",$H88*MAX(1,N($F88)))</f>
        <v/>
      </c>
      <c r="J88" s="80" t="n"/>
      <c r="K88" s="77" t="n"/>
      <c r="L88" s="54">
        <f>IF($B88="",0,IF(COUNTIFS('①在庫を貼る'!$V$6:$V$10005,'設定'!$C$4,'①在庫を貼る'!$W$6:$W$10005,$B88)+COUNTIFS('月1回_1ヶ月前の在庫'!$V$6:$V$10005,'設定'!$C$4,'月1回_1ヶ月前の在庫'!$W$6:$W$10005,$B88)+COUNTIFS('月1回_2ヶ月前の在庫'!$V$6:$V$10005,'設定'!$C$4,'月1回_2ヶ月前の在庫'!$W$6:$W$10005,$B88)&gt;0,1,0))</f>
        <v/>
      </c>
      <c r="M88" s="54">
        <f>N(M87)+$L88</f>
        <v/>
      </c>
      <c r="N88" s="54">
        <f>IF($B88="",0,COUNTIFS('①在庫を貼る'!$V$6:$V$10005,'設定'!$C$4,'①在庫を貼る'!$W$6:$W$10005,$B88))</f>
        <v/>
      </c>
    </row>
    <row r="89" ht="18" customHeight="1">
      <c r="B89" s="76" t="inlineStr">
        <is>
          <t>1812000010878</t>
        </is>
      </c>
      <c r="C89" s="77" t="inlineStr">
        <is>
          <t>ワインカップ２２０ｃｃ</t>
        </is>
      </c>
      <c r="D89" s="77" t="inlineStr">
        <is>
          <t>コンセ包材</t>
        </is>
      </c>
      <c r="E89" s="77" t="inlineStr">
        <is>
          <t>オザックス株式会社</t>
        </is>
      </c>
      <c r="F89" s="78" t="n">
        <v>240</v>
      </c>
      <c r="G89" s="79" t="n">
        <v>57.35</v>
      </c>
      <c r="H89" s="69" t="n"/>
      <c r="I89" s="44">
        <f>IF(OR($B89="",$H89=""),"",$H89*MAX(1,N($F89)))</f>
        <v/>
      </c>
      <c r="J89" s="80" t="n"/>
      <c r="K89" s="77" t="n"/>
      <c r="L89" s="54">
        <f>IF($B89="",0,IF(COUNTIFS('①在庫を貼る'!$V$6:$V$10005,'設定'!$C$4,'①在庫を貼る'!$W$6:$W$10005,$B89)+COUNTIFS('月1回_1ヶ月前の在庫'!$V$6:$V$10005,'設定'!$C$4,'月1回_1ヶ月前の在庫'!$W$6:$W$10005,$B89)+COUNTIFS('月1回_2ヶ月前の在庫'!$V$6:$V$10005,'設定'!$C$4,'月1回_2ヶ月前の在庫'!$W$6:$W$10005,$B89)&gt;0,1,0))</f>
        <v/>
      </c>
      <c r="M89" s="54">
        <f>N(M88)+$L89</f>
        <v/>
      </c>
      <c r="N89" s="54">
        <f>IF($B89="",0,COUNTIFS('①在庫を貼る'!$V$6:$V$10005,'設定'!$C$4,'①在庫を貼る'!$W$6:$W$10005,$B89))</f>
        <v/>
      </c>
    </row>
    <row r="90" ht="18" customHeight="1">
      <c r="B90" s="76" t="inlineStr">
        <is>
          <t>1812000010885</t>
        </is>
      </c>
      <c r="C90" s="77" t="inlineStr">
        <is>
          <t>新ワインカップ用蓋</t>
        </is>
      </c>
      <c r="D90" s="77" t="inlineStr">
        <is>
          <t>コンセ包材</t>
        </is>
      </c>
      <c r="E90" s="77" t="inlineStr">
        <is>
          <t>オザックス株式会社</t>
        </is>
      </c>
      <c r="F90" s="78" t="n">
        <v>100</v>
      </c>
      <c r="G90" s="79" t="n">
        <v>6.67</v>
      </c>
      <c r="H90" s="69" t="n"/>
      <c r="I90" s="44">
        <f>IF(OR($B90="",$H90=""),"",$H90*MAX(1,N($F90)))</f>
        <v/>
      </c>
      <c r="J90" s="80" t="n"/>
      <c r="K90" s="77" t="n"/>
      <c r="L90" s="54">
        <f>IF($B90="",0,IF(COUNTIFS('①在庫を貼る'!$V$6:$V$10005,'設定'!$C$4,'①在庫を貼る'!$W$6:$W$10005,$B90)+COUNTIFS('月1回_1ヶ月前の在庫'!$V$6:$V$10005,'設定'!$C$4,'月1回_1ヶ月前の在庫'!$W$6:$W$10005,$B90)+COUNTIFS('月1回_2ヶ月前の在庫'!$V$6:$V$10005,'設定'!$C$4,'月1回_2ヶ月前の在庫'!$W$6:$W$10005,$B90)&gt;0,1,0))</f>
        <v/>
      </c>
      <c r="M90" s="54">
        <f>N(M89)+$L90</f>
        <v/>
      </c>
      <c r="N90" s="54">
        <f>IF($B90="",0,COUNTIFS('①在庫を貼る'!$V$6:$V$10005,'設定'!$C$4,'①在庫を貼る'!$W$6:$W$10005,$B90))</f>
        <v/>
      </c>
    </row>
    <row r="91" ht="18" customHeight="1">
      <c r="B91" s="76" t="inlineStr">
        <is>
          <t>1812000011110</t>
        </is>
      </c>
      <c r="C91" s="77" t="inlineStr">
        <is>
          <t>ホットＳカップ　ＳＭＰ―２６０</t>
        </is>
      </c>
      <c r="D91" s="77" t="inlineStr">
        <is>
          <t>コンセ包材</t>
        </is>
      </c>
      <c r="E91" s="77" t="inlineStr">
        <is>
          <t>オザックス株式会社</t>
        </is>
      </c>
      <c r="F91" s="78" t="n">
        <v>1500</v>
      </c>
      <c r="G91" s="79" t="n">
        <v>5.71</v>
      </c>
      <c r="H91" s="69" t="n"/>
      <c r="I91" s="44">
        <f>IF(OR($B91="",$H91=""),"",$H91*MAX(1,N($F91)))</f>
        <v/>
      </c>
      <c r="J91" s="80" t="n"/>
      <c r="K91" s="77" t="n"/>
      <c r="L91" s="54">
        <f>IF($B91="",0,IF(COUNTIFS('①在庫を貼る'!$V$6:$V$10005,'設定'!$C$4,'①在庫を貼る'!$W$6:$W$10005,$B91)+COUNTIFS('月1回_1ヶ月前の在庫'!$V$6:$V$10005,'設定'!$C$4,'月1回_1ヶ月前の在庫'!$W$6:$W$10005,$B91)+COUNTIFS('月1回_2ヶ月前の在庫'!$V$6:$V$10005,'設定'!$C$4,'月1回_2ヶ月前の在庫'!$W$6:$W$10005,$B91)&gt;0,1,0))</f>
        <v/>
      </c>
      <c r="M91" s="54">
        <f>N(M90)+$L91</f>
        <v/>
      </c>
      <c r="N91" s="54">
        <f>IF($B91="",0,COUNTIFS('①在庫を貼る'!$V$6:$V$10005,'設定'!$C$4,'①在庫を貼る'!$W$6:$W$10005,$B91))</f>
        <v/>
      </c>
    </row>
    <row r="92" ht="18" customHeight="1">
      <c r="B92" s="76" t="inlineStr">
        <is>
          <t>1812000011301</t>
        </is>
      </c>
      <c r="C92" s="77" t="inlineStr">
        <is>
          <t>ＴＨ　ドームリッド　Ｌ－９６ＦＳ</t>
        </is>
      </c>
      <c r="D92" s="77" t="inlineStr">
        <is>
          <t>コンセ包材</t>
        </is>
      </c>
      <c r="E92" s="77" t="inlineStr">
        <is>
          <t>オザックス株式会社</t>
        </is>
      </c>
      <c r="F92" s="78" t="n">
        <v>2000</v>
      </c>
      <c r="G92" s="79" t="n">
        <v>8.26</v>
      </c>
      <c r="H92" s="69" t="n"/>
      <c r="I92" s="44">
        <f>IF(OR($B92="",$H92=""),"",$H92*MAX(1,N($F92)))</f>
        <v/>
      </c>
      <c r="J92" s="80" t="n"/>
      <c r="K92" s="77" t="n"/>
      <c r="L92" s="54">
        <f>IF($B92="",0,IF(COUNTIFS('①在庫を貼る'!$V$6:$V$10005,'設定'!$C$4,'①在庫を貼る'!$W$6:$W$10005,$B92)+COUNTIFS('月1回_1ヶ月前の在庫'!$V$6:$V$10005,'設定'!$C$4,'月1回_1ヶ月前の在庫'!$W$6:$W$10005,$B92)+COUNTIFS('月1回_2ヶ月前の在庫'!$V$6:$V$10005,'設定'!$C$4,'月1回_2ヶ月前の在庫'!$W$6:$W$10005,$B92)&gt;0,1,0))</f>
        <v/>
      </c>
      <c r="M92" s="54">
        <f>N(M91)+$L92</f>
        <v/>
      </c>
      <c r="N92" s="54">
        <f>IF($B92="",0,COUNTIFS('①在庫を貼る'!$V$6:$V$10005,'設定'!$C$4,'①在庫を貼る'!$W$6:$W$10005,$B92))</f>
        <v/>
      </c>
    </row>
    <row r="93" ht="18" customHeight="1">
      <c r="B93" s="76" t="inlineStr">
        <is>
          <t>1812000011318</t>
        </is>
      </c>
      <c r="C93" s="77" t="inlineStr">
        <is>
          <t>サッポロポテトバーベＱ　Ｐカップ</t>
        </is>
      </c>
      <c r="D93" s="77" t="inlineStr">
        <is>
          <t>コンセ包材</t>
        </is>
      </c>
      <c r="E93" s="77" t="inlineStr">
        <is>
          <t>オザックス株式会社</t>
        </is>
      </c>
      <c r="F93" s="78" t="n">
        <v>300</v>
      </c>
      <c r="G93" s="79" t="n">
        <v>23.2</v>
      </c>
      <c r="H93" s="69" t="n"/>
      <c r="I93" s="44">
        <f>IF(OR($B93="",$H93=""),"",$H93*MAX(1,N($F93)))</f>
        <v/>
      </c>
      <c r="J93" s="80" t="n"/>
      <c r="K93" s="77" t="n"/>
      <c r="L93" s="54">
        <f>IF($B93="",0,IF(COUNTIFS('①在庫を貼る'!$V$6:$V$10005,'設定'!$C$4,'①在庫を貼る'!$W$6:$W$10005,$B93)+COUNTIFS('月1回_1ヶ月前の在庫'!$V$6:$V$10005,'設定'!$C$4,'月1回_1ヶ月前の在庫'!$W$6:$W$10005,$B93)+COUNTIFS('月1回_2ヶ月前の在庫'!$V$6:$V$10005,'設定'!$C$4,'月1回_2ヶ月前の在庫'!$W$6:$W$10005,$B93)&gt;0,1,0))</f>
        <v/>
      </c>
      <c r="M93" s="54">
        <f>N(M92)+$L93</f>
        <v/>
      </c>
      <c r="N93" s="54">
        <f>IF($B93="",0,COUNTIFS('①在庫を貼る'!$V$6:$V$10005,'設定'!$C$4,'①在庫を貼る'!$W$6:$W$10005,$B93))</f>
        <v/>
      </c>
    </row>
    <row r="94" ht="18" customHeight="1">
      <c r="B94" s="76" t="inlineStr">
        <is>
          <t>1812000011325</t>
        </is>
      </c>
      <c r="C94" s="77" t="inlineStr">
        <is>
          <t>ＴＨ（ＦＳ）新チュリトス袋２</t>
        </is>
      </c>
      <c r="D94" s="77" t="inlineStr">
        <is>
          <t>コンセ包材</t>
        </is>
      </c>
      <c r="E94" s="77" t="inlineStr">
        <is>
          <t>オザックス株式会社</t>
        </is>
      </c>
      <c r="F94" s="78" t="n">
        <v>2000</v>
      </c>
      <c r="G94" s="79" t="n">
        <v>4.41</v>
      </c>
      <c r="H94" s="69" t="n"/>
      <c r="I94" s="44">
        <f>IF(OR($B94="",$H94=""),"",$H94*MAX(1,N($F94)))</f>
        <v/>
      </c>
      <c r="J94" s="80" t="n"/>
      <c r="K94" s="77" t="n"/>
      <c r="L94" s="54">
        <f>IF($B94="",0,IF(COUNTIFS('①在庫を貼る'!$V$6:$V$10005,'設定'!$C$4,'①在庫を貼る'!$W$6:$W$10005,$B94)+COUNTIFS('月1回_1ヶ月前の在庫'!$V$6:$V$10005,'設定'!$C$4,'月1回_1ヶ月前の在庫'!$W$6:$W$10005,$B94)+COUNTIFS('月1回_2ヶ月前の在庫'!$V$6:$V$10005,'設定'!$C$4,'月1回_2ヶ月前の在庫'!$W$6:$W$10005,$B94)&gt;0,1,0))</f>
        <v/>
      </c>
      <c r="M94" s="54">
        <f>N(M93)+$L94</f>
        <v/>
      </c>
      <c r="N94" s="54">
        <f>IF($B94="",0,COUNTIFS('①在庫を貼る'!$V$6:$V$10005,'設定'!$C$4,'①在庫を貼る'!$W$6:$W$10005,$B94))</f>
        <v/>
      </c>
    </row>
    <row r="95" ht="18" customHeight="1">
      <c r="B95" s="76" t="inlineStr">
        <is>
          <t>1812000011813</t>
        </is>
      </c>
      <c r="C95" s="77" t="inlineStr">
        <is>
          <t>ＩＣＥＥ　ドリンクカップ２１０Ｚ</t>
        </is>
      </c>
      <c r="D95" s="77" t="inlineStr">
        <is>
          <t>コンセ包材</t>
        </is>
      </c>
      <c r="E95" s="77" t="inlineStr">
        <is>
          <t>オザックス株式会社</t>
        </is>
      </c>
      <c r="F95" s="78" t="n">
        <v>1000</v>
      </c>
      <c r="G95" s="79" t="n">
        <v>19.69</v>
      </c>
      <c r="H95" s="69" t="n"/>
      <c r="I95" s="44">
        <f>IF(OR($B95="",$H95=""),"",$H95*MAX(1,N($F95)))</f>
        <v/>
      </c>
      <c r="J95" s="80" t="n"/>
      <c r="K95" s="77" t="n"/>
      <c r="L95" s="54">
        <f>IF($B95="",0,IF(COUNTIFS('①在庫を貼る'!$V$6:$V$10005,'設定'!$C$4,'①在庫を貼る'!$W$6:$W$10005,$B95)+COUNTIFS('月1回_1ヶ月前の在庫'!$V$6:$V$10005,'設定'!$C$4,'月1回_1ヶ月前の在庫'!$W$6:$W$10005,$B95)+COUNTIFS('月1回_2ヶ月前の在庫'!$V$6:$V$10005,'設定'!$C$4,'月1回_2ヶ月前の在庫'!$W$6:$W$10005,$B95)&gt;0,1,0))</f>
        <v/>
      </c>
      <c r="M95" s="54">
        <f>N(M94)+$L95</f>
        <v/>
      </c>
      <c r="N95" s="54">
        <f>IF($B95="",0,COUNTIFS('①在庫を貼る'!$V$6:$V$10005,'設定'!$C$4,'①在庫を貼る'!$W$6:$W$10005,$B95))</f>
        <v/>
      </c>
    </row>
    <row r="96" ht="18" customHeight="1">
      <c r="B96" s="76" t="inlineStr">
        <is>
          <t>1812000011820</t>
        </is>
      </c>
      <c r="C96" s="77" t="inlineStr">
        <is>
          <t>ＩＣＥＥ　ドームリッド</t>
        </is>
      </c>
      <c r="D96" s="77" t="inlineStr">
        <is>
          <t>コンセ包材</t>
        </is>
      </c>
      <c r="E96" s="77" t="inlineStr">
        <is>
          <t>オザックス株式会社</t>
        </is>
      </c>
      <c r="F96" s="78" t="n">
        <v>1000</v>
      </c>
      <c r="G96" s="79" t="n">
        <v>10.58</v>
      </c>
      <c r="H96" s="69" t="n"/>
      <c r="I96" s="44">
        <f>IF(OR($B96="",$H96=""),"",$H96*MAX(1,N($F96)))</f>
        <v/>
      </c>
      <c r="J96" s="80" t="n"/>
      <c r="K96" s="77" t="n"/>
      <c r="L96" s="54">
        <f>IF($B96="",0,IF(COUNTIFS('①在庫を貼る'!$V$6:$V$10005,'設定'!$C$4,'①在庫を貼る'!$W$6:$W$10005,$B96)+COUNTIFS('月1回_1ヶ月前の在庫'!$V$6:$V$10005,'設定'!$C$4,'月1回_1ヶ月前の在庫'!$W$6:$W$10005,$B96)+COUNTIFS('月1回_2ヶ月前の在庫'!$V$6:$V$10005,'設定'!$C$4,'月1回_2ヶ月前の在庫'!$W$6:$W$10005,$B96)&gt;0,1,0))</f>
        <v/>
      </c>
      <c r="M96" s="54">
        <f>N(M95)+$L96</f>
        <v/>
      </c>
      <c r="N96" s="54">
        <f>IF($B96="",0,COUNTIFS('①在庫を貼る'!$V$6:$V$10005,'設定'!$C$4,'①在庫を貼る'!$W$6:$W$10005,$B96))</f>
        <v/>
      </c>
    </row>
    <row r="97" ht="18" customHeight="1">
      <c r="B97" s="76" t="inlineStr">
        <is>
          <t>1812000011837</t>
        </is>
      </c>
      <c r="C97" s="77" t="inlineStr">
        <is>
          <t>ＩＣＥＥ　ストロー　裸・赤</t>
        </is>
      </c>
      <c r="D97" s="77" t="inlineStr">
        <is>
          <t>コンセ包材</t>
        </is>
      </c>
      <c r="E97" s="77" t="inlineStr">
        <is>
          <t>オザックス株式会社</t>
        </is>
      </c>
      <c r="F97" s="78" t="n">
        <v>5000</v>
      </c>
      <c r="G97" s="79" t="n">
        <v>5.39</v>
      </c>
      <c r="H97" s="69" t="n"/>
      <c r="I97" s="44">
        <f>IF(OR($B97="",$H97=""),"",$H97*MAX(1,N($F97)))</f>
        <v/>
      </c>
      <c r="J97" s="80" t="n"/>
      <c r="K97" s="77" t="n"/>
      <c r="L97" s="54">
        <f>IF($B97="",0,IF(COUNTIFS('①在庫を貼る'!$V$6:$V$10005,'設定'!$C$4,'①在庫を貼る'!$W$6:$W$10005,$B97)+COUNTIFS('月1回_1ヶ月前の在庫'!$V$6:$V$10005,'設定'!$C$4,'月1回_1ヶ月前の在庫'!$W$6:$W$10005,$B97)+COUNTIFS('月1回_2ヶ月前の在庫'!$V$6:$V$10005,'設定'!$C$4,'月1回_2ヶ月前の在庫'!$W$6:$W$10005,$B97)&gt;0,1,0))</f>
        <v/>
      </c>
      <c r="M97" s="54">
        <f>N(M96)+$L97</f>
        <v/>
      </c>
      <c r="N97" s="54">
        <f>IF($B97="",0,COUNTIFS('①在庫を貼る'!$V$6:$V$10005,'設定'!$C$4,'①在庫を貼る'!$W$6:$W$10005,$B97))</f>
        <v/>
      </c>
    </row>
    <row r="98" ht="18" customHeight="1">
      <c r="B98" s="76" t="inlineStr">
        <is>
          <t>1812000011936</t>
        </is>
      </c>
      <c r="C98" s="77" t="inlineStr">
        <is>
          <t>新パーティーポップ袋</t>
        </is>
      </c>
      <c r="D98" s="77" t="inlineStr">
        <is>
          <t>コンセ包材</t>
        </is>
      </c>
      <c r="E98" s="77" t="inlineStr">
        <is>
          <t>オザックス株式会社</t>
        </is>
      </c>
      <c r="F98" s="78" t="n">
        <v>400</v>
      </c>
      <c r="G98" s="79" t="n">
        <v>52.02</v>
      </c>
      <c r="H98" s="69" t="n"/>
      <c r="I98" s="44">
        <f>IF(OR($B98="",$H98=""),"",$H98*MAX(1,N($F98)))</f>
        <v/>
      </c>
      <c r="J98" s="80" t="n"/>
      <c r="K98" s="77" t="n"/>
      <c r="L98" s="54">
        <f>IF($B98="",0,IF(COUNTIFS('①在庫を貼る'!$V$6:$V$10005,'設定'!$C$4,'①在庫を貼る'!$W$6:$W$10005,$B98)+COUNTIFS('月1回_1ヶ月前の在庫'!$V$6:$V$10005,'設定'!$C$4,'月1回_1ヶ月前の在庫'!$W$6:$W$10005,$B98)+COUNTIFS('月1回_2ヶ月前の在庫'!$V$6:$V$10005,'設定'!$C$4,'月1回_2ヶ月前の在庫'!$W$6:$W$10005,$B98)&gt;0,1,0))</f>
        <v/>
      </c>
      <c r="M98" s="54">
        <f>N(M97)+$L98</f>
        <v/>
      </c>
      <c r="N98" s="54">
        <f>IF($B98="",0,COUNTIFS('①在庫を貼る'!$V$6:$V$10005,'設定'!$C$4,'①在庫を貼る'!$W$6:$W$10005,$B98))</f>
        <v/>
      </c>
    </row>
    <row r="99" ht="18" customHeight="1">
      <c r="B99" s="76" t="inlineStr">
        <is>
          <t>1812000012438</t>
        </is>
      </c>
      <c r="C99" s="77" t="inlineStr">
        <is>
          <t>パーティーポップＷ　袋</t>
        </is>
      </c>
      <c r="D99" s="77" t="inlineStr">
        <is>
          <t>コンセ包材</t>
        </is>
      </c>
      <c r="E99" s="77" t="inlineStr">
        <is>
          <t>オザックス株式会社</t>
        </is>
      </c>
      <c r="F99" s="78" t="n">
        <v>300</v>
      </c>
      <c r="G99" s="79" t="n">
        <v>82.02</v>
      </c>
      <c r="H99" s="69" t="n"/>
      <c r="I99" s="44">
        <f>IF(OR($B99="",$H99=""),"",$H99*MAX(1,N($F99)))</f>
        <v/>
      </c>
      <c r="J99" s="80" t="n"/>
      <c r="K99" s="77" t="n"/>
      <c r="L99" s="54">
        <f>IF($B99="",0,IF(COUNTIFS('①在庫を貼る'!$V$6:$V$10005,'設定'!$C$4,'①在庫を貼る'!$W$6:$W$10005,$B99)+COUNTIFS('月1回_1ヶ月前の在庫'!$V$6:$V$10005,'設定'!$C$4,'月1回_1ヶ月前の在庫'!$W$6:$W$10005,$B99)+COUNTIFS('月1回_2ヶ月前の在庫'!$V$6:$V$10005,'設定'!$C$4,'月1回_2ヶ月前の在庫'!$W$6:$W$10005,$B99)&gt;0,1,0))</f>
        <v/>
      </c>
      <c r="M99" s="54">
        <f>N(M98)+$L99</f>
        <v/>
      </c>
      <c r="N99" s="54">
        <f>IF($B99="",0,COUNTIFS('①在庫を貼る'!$V$6:$V$10005,'設定'!$C$4,'①在庫を貼る'!$W$6:$W$10005,$B99))</f>
        <v/>
      </c>
    </row>
    <row r="100" ht="18" customHeight="1">
      <c r="B100" s="76" t="inlineStr">
        <is>
          <t>1812000012445</t>
        </is>
      </c>
      <c r="C100" s="77" t="inlineStr">
        <is>
          <t>パーティーポップＷ　オイル容器</t>
        </is>
      </c>
      <c r="D100" s="77" t="inlineStr">
        <is>
          <t>コンセ包材</t>
        </is>
      </c>
      <c r="E100" s="77" t="inlineStr">
        <is>
          <t>オザックス株式会社</t>
        </is>
      </c>
      <c r="F100" s="78" t="n">
        <v>50</v>
      </c>
      <c r="G100" s="79" t="n">
        <v>14.5</v>
      </c>
      <c r="H100" s="69" t="n"/>
      <c r="I100" s="44">
        <f>IF(OR($B100="",$H100=""),"",$H100*MAX(1,N($F100)))</f>
        <v/>
      </c>
      <c r="J100" s="80" t="n"/>
      <c r="K100" s="77" t="n"/>
      <c r="L100" s="54">
        <f>IF($B100="",0,IF(COUNTIFS('①在庫を貼る'!$V$6:$V$10005,'設定'!$C$4,'①在庫を貼る'!$W$6:$W$10005,$B100)+COUNTIFS('月1回_1ヶ月前の在庫'!$V$6:$V$10005,'設定'!$C$4,'月1回_1ヶ月前の在庫'!$W$6:$W$10005,$B100)+COUNTIFS('月1回_2ヶ月前の在庫'!$V$6:$V$10005,'設定'!$C$4,'月1回_2ヶ月前の在庫'!$W$6:$W$10005,$B100)&gt;0,1,0))</f>
        <v/>
      </c>
      <c r="M100" s="54">
        <f>N(M99)+$L100</f>
        <v/>
      </c>
      <c r="N100" s="54">
        <f>IF($B100="",0,COUNTIFS('①在庫を貼る'!$V$6:$V$10005,'設定'!$C$4,'①在庫を貼る'!$W$6:$W$10005,$B100))</f>
        <v/>
      </c>
    </row>
    <row r="101" ht="18" customHeight="1">
      <c r="B101" s="76" t="inlineStr">
        <is>
          <t>1812000012667</t>
        </is>
      </c>
      <c r="C101" s="77" t="inlineStr">
        <is>
          <t>プレゼント用ポップコーン袋</t>
        </is>
      </c>
      <c r="D101" s="77" t="inlineStr">
        <is>
          <t>コンセ包材</t>
        </is>
      </c>
      <c r="E101" s="77" t="inlineStr">
        <is>
          <t>オザックス株式会社</t>
        </is>
      </c>
      <c r="F101" s="78" t="n">
        <v>1000</v>
      </c>
      <c r="G101" s="79" t="n">
        <v>24.49</v>
      </c>
      <c r="H101" s="69" t="n"/>
      <c r="I101" s="44">
        <f>IF(OR($B101="",$H101=""),"",$H101*MAX(1,N($F101)))</f>
        <v/>
      </c>
      <c r="J101" s="80" t="n"/>
      <c r="K101" s="77" t="n"/>
      <c r="L101" s="54">
        <f>IF($B101="",0,IF(COUNTIFS('①在庫を貼る'!$V$6:$V$10005,'設定'!$C$4,'①在庫を貼る'!$W$6:$W$10005,$B101)+COUNTIFS('月1回_1ヶ月前の在庫'!$V$6:$V$10005,'設定'!$C$4,'月1回_1ヶ月前の在庫'!$W$6:$W$10005,$B101)+COUNTIFS('月1回_2ヶ月前の在庫'!$V$6:$V$10005,'設定'!$C$4,'月1回_2ヶ月前の在庫'!$W$6:$W$10005,$B101)&gt;0,1,0))</f>
        <v/>
      </c>
      <c r="M101" s="54">
        <f>N(M100)+$L101</f>
        <v/>
      </c>
      <c r="N101" s="54">
        <f>IF($B101="",0,COUNTIFS('①在庫を貼る'!$V$6:$V$10005,'設定'!$C$4,'①在庫を貼る'!$W$6:$W$10005,$B101))</f>
        <v/>
      </c>
    </row>
    <row r="102" ht="18" customHeight="1">
      <c r="B102" s="76" t="inlineStr">
        <is>
          <t>1812000012773</t>
        </is>
      </c>
      <c r="C102" s="77" t="inlineStr">
        <is>
          <t>ＩＣＥＥ　新ドリンクカップ２１０</t>
        </is>
      </c>
      <c r="D102" s="77" t="inlineStr">
        <is>
          <t>コンセ包材</t>
        </is>
      </c>
      <c r="E102" s="77" t="inlineStr">
        <is>
          <t>オザックス株式会社</t>
        </is>
      </c>
      <c r="F102" s="78" t="n">
        <v>1000</v>
      </c>
      <c r="G102" s="79" t="n">
        <v>18</v>
      </c>
      <c r="H102" s="69" t="n"/>
      <c r="I102" s="44">
        <f>IF(OR($B102="",$H102=""),"",$H102*MAX(1,N($F102)))</f>
        <v/>
      </c>
      <c r="J102" s="80" t="n"/>
      <c r="K102" s="77" t="n"/>
      <c r="L102" s="54">
        <f>IF($B102="",0,IF(COUNTIFS('①在庫を貼る'!$V$6:$V$10005,'設定'!$C$4,'①在庫を貼る'!$W$6:$W$10005,$B102)+COUNTIFS('月1回_1ヶ月前の在庫'!$V$6:$V$10005,'設定'!$C$4,'月1回_1ヶ月前の在庫'!$W$6:$W$10005,$B102)+COUNTIFS('月1回_2ヶ月前の在庫'!$V$6:$V$10005,'設定'!$C$4,'月1回_2ヶ月前の在庫'!$W$6:$W$10005,$B102)&gt;0,1,0))</f>
        <v/>
      </c>
      <c r="M102" s="54">
        <f>N(M101)+$L102</f>
        <v/>
      </c>
      <c r="N102" s="54">
        <f>IF($B102="",0,COUNTIFS('①在庫を貼る'!$V$6:$V$10005,'設定'!$C$4,'①在庫を貼る'!$W$6:$W$10005,$B102))</f>
        <v/>
      </c>
    </row>
    <row r="103" ht="18" customHeight="1">
      <c r="B103" s="76" t="inlineStr">
        <is>
          <t>1812000012957</t>
        </is>
      </c>
      <c r="C103" s="77" t="inlineStr">
        <is>
          <t>新　シネマイク蓋</t>
        </is>
      </c>
      <c r="D103" s="77" t="inlineStr">
        <is>
          <t>コンセ包材</t>
        </is>
      </c>
      <c r="E103" s="77" t="inlineStr">
        <is>
          <t>オザックス株式会社</t>
        </is>
      </c>
      <c r="F103" s="78" t="n">
        <v>1200</v>
      </c>
      <c r="G103" s="79" t="n">
        <v>5.63</v>
      </c>
      <c r="H103" s="69" t="n"/>
      <c r="I103" s="44">
        <f>IF(OR($B103="",$H103=""),"",$H103*MAX(1,N($F103)))</f>
        <v/>
      </c>
      <c r="J103" s="80" t="n"/>
      <c r="K103" s="77" t="n"/>
      <c r="L103" s="54">
        <f>IF($B103="",0,IF(COUNTIFS('①在庫を貼る'!$V$6:$V$10005,'設定'!$C$4,'①在庫を貼る'!$W$6:$W$10005,$B103)+COUNTIFS('月1回_1ヶ月前の在庫'!$V$6:$V$10005,'設定'!$C$4,'月1回_1ヶ月前の在庫'!$W$6:$W$10005,$B103)+COUNTIFS('月1回_2ヶ月前の在庫'!$V$6:$V$10005,'設定'!$C$4,'月1回_2ヶ月前の在庫'!$W$6:$W$10005,$B103)&gt;0,1,0))</f>
        <v/>
      </c>
      <c r="M103" s="54">
        <f>N(M102)+$L103</f>
        <v/>
      </c>
      <c r="N103" s="54">
        <f>IF($B103="",0,COUNTIFS('①在庫を貼る'!$V$6:$V$10005,'設定'!$C$4,'①在庫を貼る'!$W$6:$W$10005,$B103))</f>
        <v/>
      </c>
    </row>
    <row r="104" ht="18" customHeight="1">
      <c r="B104" s="76" t="inlineStr">
        <is>
          <t>1812000013121</t>
        </is>
      </c>
      <c r="C104" s="77" t="inlineStr">
        <is>
          <t>新ポップコーンＨ＆Ｈ仕切り</t>
        </is>
      </c>
      <c r="D104" s="77" t="inlineStr">
        <is>
          <t>コンセ包材</t>
        </is>
      </c>
      <c r="E104" s="77" t="inlineStr">
        <is>
          <t>オザックス株式会社</t>
        </is>
      </c>
      <c r="F104" s="78" t="n">
        <v>900</v>
      </c>
      <c r="G104" s="79" t="n">
        <v>5.07</v>
      </c>
      <c r="H104" s="69" t="n"/>
      <c r="I104" s="44">
        <f>IF(OR($B104="",$H104=""),"",$H104*MAX(1,N($F104)))</f>
        <v/>
      </c>
      <c r="J104" s="80" t="n"/>
      <c r="K104" s="77" t="n"/>
      <c r="L104" s="54">
        <f>IF($B104="",0,IF(COUNTIFS('①在庫を貼る'!$V$6:$V$10005,'設定'!$C$4,'①在庫を貼る'!$W$6:$W$10005,$B104)+COUNTIFS('月1回_1ヶ月前の在庫'!$V$6:$V$10005,'設定'!$C$4,'月1回_1ヶ月前の在庫'!$W$6:$W$10005,$B104)+COUNTIFS('月1回_2ヶ月前の在庫'!$V$6:$V$10005,'設定'!$C$4,'月1回_2ヶ月前の在庫'!$W$6:$W$10005,$B104)&gt;0,1,0))</f>
        <v/>
      </c>
      <c r="M104" s="54">
        <f>N(M103)+$L104</f>
        <v/>
      </c>
      <c r="N104" s="54">
        <f>IF($B104="",0,COUNTIFS('①在庫を貼る'!$V$6:$V$10005,'設定'!$C$4,'①在庫を貼る'!$W$6:$W$10005,$B104))</f>
        <v/>
      </c>
    </row>
    <row r="105" ht="18" customHeight="1">
      <c r="B105" s="76" t="inlineStr">
        <is>
          <t>1812000013213</t>
        </is>
      </c>
      <c r="C105" s="77" t="inlineStr">
        <is>
          <t>新シネマイクポップコーンカップ</t>
        </is>
      </c>
      <c r="D105" s="77" t="inlineStr">
        <is>
          <t>コンセ包材</t>
        </is>
      </c>
      <c r="E105" s="77" t="inlineStr">
        <is>
          <t>オザックス株式会社</t>
        </is>
      </c>
      <c r="F105" s="78" t="n">
        <v>300</v>
      </c>
      <c r="G105" s="79" t="n">
        <v>17.95</v>
      </c>
      <c r="H105" s="69" t="n"/>
      <c r="I105" s="44">
        <f>IF(OR($B105="",$H105=""),"",$H105*MAX(1,N($F105)))</f>
        <v/>
      </c>
      <c r="J105" s="80" t="n"/>
      <c r="K105" s="77" t="n"/>
      <c r="L105" s="54">
        <f>IF($B105="",0,IF(COUNTIFS('①在庫を貼る'!$V$6:$V$10005,'設定'!$C$4,'①在庫を貼る'!$W$6:$W$10005,$B105)+COUNTIFS('月1回_1ヶ月前の在庫'!$V$6:$V$10005,'設定'!$C$4,'月1回_1ヶ月前の在庫'!$W$6:$W$10005,$B105)+COUNTIFS('月1回_2ヶ月前の在庫'!$V$6:$V$10005,'設定'!$C$4,'月1回_2ヶ月前の在庫'!$W$6:$W$10005,$B105)&gt;0,1,0))</f>
        <v/>
      </c>
      <c r="M105" s="54">
        <f>N(M104)+$L105</f>
        <v/>
      </c>
      <c r="N105" s="54">
        <f>IF($B105="",0,COUNTIFS('①在庫を貼る'!$V$6:$V$10005,'設定'!$C$4,'①在庫を貼る'!$W$6:$W$10005,$B105))</f>
        <v/>
      </c>
    </row>
    <row r="106" ht="18" customHeight="1">
      <c r="B106" s="76" t="inlineStr">
        <is>
          <t>1812000013299</t>
        </is>
      </c>
      <c r="C106" s="77" t="inlineStr">
        <is>
          <t>バイオマスタピオカストロー　赤裸</t>
        </is>
      </c>
      <c r="D106" s="77" t="inlineStr">
        <is>
          <t>コンセ包材</t>
        </is>
      </c>
      <c r="E106" s="77" t="inlineStr">
        <is>
          <t>オザックス株式会社</t>
        </is>
      </c>
      <c r="F106" s="78" t="n">
        <v>200</v>
      </c>
      <c r="G106" s="79" t="n">
        <v>5.03</v>
      </c>
      <c r="H106" s="69" t="n"/>
      <c r="I106" s="44">
        <f>IF(OR($B106="",$H106=""),"",$H106*MAX(1,N($F106)))</f>
        <v/>
      </c>
      <c r="J106" s="80" t="n"/>
      <c r="K106" s="77" t="n"/>
      <c r="L106" s="54">
        <f>IF($B106="",0,IF(COUNTIFS('①在庫を貼る'!$V$6:$V$10005,'設定'!$C$4,'①在庫を貼る'!$W$6:$W$10005,$B106)+COUNTIFS('月1回_1ヶ月前の在庫'!$V$6:$V$10005,'設定'!$C$4,'月1回_1ヶ月前の在庫'!$W$6:$W$10005,$B106)+COUNTIFS('月1回_2ヶ月前の在庫'!$V$6:$V$10005,'設定'!$C$4,'月1回_2ヶ月前の在庫'!$W$6:$W$10005,$B106)&gt;0,1,0))</f>
        <v/>
      </c>
      <c r="M106" s="54">
        <f>N(M105)+$L106</f>
        <v/>
      </c>
      <c r="N106" s="54">
        <f>IF($B106="",0,COUNTIFS('①在庫を貼る'!$V$6:$V$10005,'設定'!$C$4,'①在庫を貼る'!$W$6:$W$10005,$B106))</f>
        <v/>
      </c>
    </row>
    <row r="107" ht="18" customHeight="1">
      <c r="B107" s="76" t="inlineStr">
        <is>
          <t>1812000013305</t>
        </is>
      </c>
      <c r="C107" s="77" t="inlineStr">
        <is>
          <t>ＩＣＥＥＰｌｕｓカップＢＩＰ６０</t>
        </is>
      </c>
      <c r="D107" s="77" t="inlineStr">
        <is>
          <t>コンセ包材</t>
        </is>
      </c>
      <c r="E107" s="77" t="inlineStr">
        <is>
          <t>オザックス株式会社</t>
        </is>
      </c>
      <c r="F107" s="78" t="n">
        <v>1000</v>
      </c>
      <c r="G107" s="79" t="n">
        <v>15.3</v>
      </c>
      <c r="H107" s="69" t="n"/>
      <c r="I107" s="44">
        <f>IF(OR($B107="",$H107=""),"",$H107*MAX(1,N($F107)))</f>
        <v/>
      </c>
      <c r="J107" s="80" t="n"/>
      <c r="K107" s="77" t="n"/>
      <c r="L107" s="54">
        <f>IF($B107="",0,IF(COUNTIFS('①在庫を貼る'!$V$6:$V$10005,'設定'!$C$4,'①在庫を貼る'!$W$6:$W$10005,$B107)+COUNTIFS('月1回_1ヶ月前の在庫'!$V$6:$V$10005,'設定'!$C$4,'月1回_1ヶ月前の在庫'!$W$6:$W$10005,$B107)+COUNTIFS('月1回_2ヶ月前の在庫'!$V$6:$V$10005,'設定'!$C$4,'月1回_2ヶ月前の在庫'!$W$6:$W$10005,$B107)&gt;0,1,0))</f>
        <v/>
      </c>
      <c r="M107" s="54">
        <f>N(M106)+$L107</f>
        <v/>
      </c>
      <c r="N107" s="54">
        <f>IF($B107="",0,COUNTIFS('①在庫を貼る'!$V$6:$V$10005,'設定'!$C$4,'①在庫を貼る'!$W$6:$W$10005,$B107))</f>
        <v/>
      </c>
    </row>
    <row r="108" ht="18" customHeight="1">
      <c r="B108" s="76" t="inlineStr">
        <is>
          <t>1814000001535</t>
        </is>
      </c>
      <c r="C108" s="77" t="inlineStr">
        <is>
          <t>ドリンクリッド共用５４５Ｆ</t>
        </is>
      </c>
      <c r="D108" s="77" t="inlineStr">
        <is>
          <t>コンセ包材</t>
        </is>
      </c>
      <c r="E108" s="77" t="inlineStr">
        <is>
          <t>オザックス株式会社</t>
        </is>
      </c>
      <c r="F108" s="78" t="n">
        <v>3000</v>
      </c>
      <c r="G108" s="79" t="n">
        <v>2.05</v>
      </c>
      <c r="H108" s="69" t="n"/>
      <c r="I108" s="44">
        <f>IF(OR($B108="",$H108=""),"",$H108*MAX(1,N($F108)))</f>
        <v/>
      </c>
      <c r="J108" s="80" t="n"/>
      <c r="K108" s="77" t="n"/>
      <c r="L108" s="54">
        <f>IF($B108="",0,IF(COUNTIFS('①在庫を貼る'!$V$6:$V$10005,'設定'!$C$4,'①在庫を貼る'!$W$6:$W$10005,$B108)+COUNTIFS('月1回_1ヶ月前の在庫'!$V$6:$V$10005,'設定'!$C$4,'月1回_1ヶ月前の在庫'!$W$6:$W$10005,$B108)+COUNTIFS('月1回_2ヶ月前の在庫'!$V$6:$V$10005,'設定'!$C$4,'月1回_2ヶ月前の在庫'!$W$6:$W$10005,$B108)&gt;0,1,0))</f>
        <v/>
      </c>
      <c r="M108" s="54">
        <f>N(M107)+$L108</f>
        <v/>
      </c>
      <c r="N108" s="54">
        <f>IF($B108="",0,COUNTIFS('①在庫を貼る'!$V$6:$V$10005,'設定'!$C$4,'①在庫を貼る'!$W$6:$W$10005,$B108))</f>
        <v/>
      </c>
    </row>
    <row r="109" ht="18" customHeight="1">
      <c r="B109" s="76" t="inlineStr">
        <is>
          <t>1814000001665</t>
        </is>
      </c>
      <c r="C109" s="77" t="inlineStr">
        <is>
          <t>ホットリッド８．５ＯＺ２５０ＤＦ</t>
        </is>
      </c>
      <c r="D109" s="77" t="inlineStr">
        <is>
          <t>コンセ包材</t>
        </is>
      </c>
      <c r="E109" s="77" t="inlineStr">
        <is>
          <t>オザックス株式会社</t>
        </is>
      </c>
      <c r="F109" s="78" t="n">
        <v>2000</v>
      </c>
      <c r="G109" s="79" t="n">
        <v>3.18</v>
      </c>
      <c r="H109" s="69" t="n"/>
      <c r="I109" s="44">
        <f>IF(OR($B109="",$H109=""),"",$H109*MAX(1,N($F109)))</f>
        <v/>
      </c>
      <c r="J109" s="80" t="n"/>
      <c r="K109" s="77" t="n"/>
      <c r="L109" s="54">
        <f>IF($B109="",0,IF(COUNTIFS('①在庫を貼る'!$V$6:$V$10005,'設定'!$C$4,'①在庫を貼る'!$W$6:$W$10005,$B109)+COUNTIFS('月1回_1ヶ月前の在庫'!$V$6:$V$10005,'設定'!$C$4,'月1回_1ヶ月前の在庫'!$W$6:$W$10005,$B109)+COUNTIFS('月1回_2ヶ月前の在庫'!$V$6:$V$10005,'設定'!$C$4,'月1回_2ヶ月前の在庫'!$W$6:$W$10005,$B109)&gt;0,1,0))</f>
        <v/>
      </c>
      <c r="M109" s="54">
        <f>N(M108)+$L109</f>
        <v/>
      </c>
      <c r="N109" s="54">
        <f>IF($B109="",0,COUNTIFS('①在庫を貼る'!$V$6:$V$10005,'設定'!$C$4,'①在庫を貼る'!$W$6:$W$10005,$B109))</f>
        <v/>
      </c>
    </row>
    <row r="110" ht="18" customHeight="1">
      <c r="B110" s="76" t="inlineStr">
        <is>
          <t>1814000001689</t>
        </is>
      </c>
      <c r="C110" s="77" t="inlineStr">
        <is>
          <t>ホットリッド１１ＯＺ　３４０ＥＦ</t>
        </is>
      </c>
      <c r="D110" s="77" t="inlineStr">
        <is>
          <t>コンセ包材</t>
        </is>
      </c>
      <c r="E110" s="77" t="inlineStr">
        <is>
          <t>オザックス株式会社</t>
        </is>
      </c>
      <c r="F110" s="78" t="n">
        <v>2500</v>
      </c>
      <c r="G110" s="79" t="n">
        <v>4.06</v>
      </c>
      <c r="H110" s="69" t="n"/>
      <c r="I110" s="44">
        <f>IF(OR($B110="",$H110=""),"",$H110*MAX(1,N($F110)))</f>
        <v/>
      </c>
      <c r="J110" s="80" t="n"/>
      <c r="K110" s="77" t="n"/>
      <c r="L110" s="54">
        <f>IF($B110="",0,IF(COUNTIFS('①在庫を貼る'!$V$6:$V$10005,'設定'!$C$4,'①在庫を貼る'!$W$6:$W$10005,$B110)+COUNTIFS('月1回_1ヶ月前の在庫'!$V$6:$V$10005,'設定'!$C$4,'月1回_1ヶ月前の在庫'!$W$6:$W$10005,$B110)+COUNTIFS('月1回_2ヶ月前の在庫'!$V$6:$V$10005,'設定'!$C$4,'月1回_2ヶ月前の在庫'!$W$6:$W$10005,$B110)&gt;0,1,0))</f>
        <v/>
      </c>
      <c r="M110" s="54">
        <f>N(M109)+$L110</f>
        <v/>
      </c>
      <c r="N110" s="54">
        <f>IF($B110="",0,COUNTIFS('①在庫を貼る'!$V$6:$V$10005,'設定'!$C$4,'①在庫を貼る'!$W$6:$W$10005,$B110))</f>
        <v/>
      </c>
    </row>
    <row r="111" ht="18" customHeight="1">
      <c r="B111" s="76" t="inlineStr">
        <is>
          <t>1814000001986</t>
        </is>
      </c>
      <c r="C111" s="77" t="inlineStr">
        <is>
          <t>ＦＳポップコーンＨ＆Ｈ仕切り</t>
        </is>
      </c>
      <c r="D111" s="77" t="inlineStr">
        <is>
          <t>コンセ包材</t>
        </is>
      </c>
      <c r="E111" s="77" t="inlineStr">
        <is>
          <t>オザックス株式会社</t>
        </is>
      </c>
      <c r="F111" s="78" t="n">
        <v>900</v>
      </c>
      <c r="G111" s="79" t="n">
        <v>4.84</v>
      </c>
      <c r="H111" s="69" t="n"/>
      <c r="I111" s="44">
        <f>IF(OR($B111="",$H111=""),"",$H111*MAX(1,N($F111)))</f>
        <v/>
      </c>
      <c r="J111" s="80" t="n"/>
      <c r="K111" s="77" t="n"/>
      <c r="L111" s="54">
        <f>IF($B111="",0,IF(COUNTIFS('①在庫を貼る'!$V$6:$V$10005,'設定'!$C$4,'①在庫を貼る'!$W$6:$W$10005,$B111)+COUNTIFS('月1回_1ヶ月前の在庫'!$V$6:$V$10005,'設定'!$C$4,'月1回_1ヶ月前の在庫'!$W$6:$W$10005,$B111)+COUNTIFS('月1回_2ヶ月前の在庫'!$V$6:$V$10005,'設定'!$C$4,'月1回_2ヶ月前の在庫'!$W$6:$W$10005,$B111)&gt;0,1,0))</f>
        <v/>
      </c>
      <c r="M111" s="54">
        <f>N(M110)+$L111</f>
        <v/>
      </c>
      <c r="N111" s="54">
        <f>IF($B111="",0,COUNTIFS('①在庫を貼る'!$V$6:$V$10005,'設定'!$C$4,'①在庫を貼る'!$W$6:$W$10005,$B111))</f>
        <v/>
      </c>
    </row>
    <row r="112" ht="18" customHeight="1">
      <c r="B112" s="76" t="inlineStr">
        <is>
          <t>1814000004239</t>
        </is>
      </c>
      <c r="C112" s="77" t="inlineStr">
        <is>
          <t>ビールカップ２０ＯＺ（プレモル</t>
        </is>
      </c>
      <c r="D112" s="77" t="inlineStr">
        <is>
          <t>コンセ包材</t>
        </is>
      </c>
      <c r="E112" s="77" t="inlineStr">
        <is>
          <t>オザックス株式会社</t>
        </is>
      </c>
      <c r="F112" s="78" t="n">
        <v>1000</v>
      </c>
      <c r="G112" s="79" t="n">
        <v>11.53</v>
      </c>
      <c r="H112" s="69" t="n"/>
      <c r="I112" s="44">
        <f>IF(OR($B112="",$H112=""),"",$H112*MAX(1,N($F112)))</f>
        <v/>
      </c>
      <c r="J112" s="80" t="n"/>
      <c r="K112" s="77" t="n"/>
      <c r="L112" s="54">
        <f>IF($B112="",0,IF(COUNTIFS('①在庫を貼る'!$V$6:$V$10005,'設定'!$C$4,'①在庫を貼る'!$W$6:$W$10005,$B112)+COUNTIFS('月1回_1ヶ月前の在庫'!$V$6:$V$10005,'設定'!$C$4,'月1回_1ヶ月前の在庫'!$W$6:$W$10005,$B112)+COUNTIFS('月1回_2ヶ月前の在庫'!$V$6:$V$10005,'設定'!$C$4,'月1回_2ヶ月前の在庫'!$W$6:$W$10005,$B112)&gt;0,1,0))</f>
        <v/>
      </c>
      <c r="M112" s="54">
        <f>N(M111)+$L112</f>
        <v/>
      </c>
      <c r="N112" s="54">
        <f>IF($B112="",0,COUNTIFS('①在庫を貼る'!$V$6:$V$10005,'設定'!$C$4,'①在庫を貼る'!$W$6:$W$10005,$B112))</f>
        <v/>
      </c>
    </row>
    <row r="113" ht="18" customHeight="1">
      <c r="B113" s="76" t="inlineStr">
        <is>
          <t>1814000004581</t>
        </is>
      </c>
      <c r="C113" s="77" t="inlineStr">
        <is>
          <t>新ＦドリンクカップＢＩＰ５１２Ｄ</t>
        </is>
      </c>
      <c r="D113" s="77" t="inlineStr">
        <is>
          <t>コンセ包材</t>
        </is>
      </c>
      <c r="E113" s="77" t="inlineStr">
        <is>
          <t>オザックス株式会社</t>
        </is>
      </c>
      <c r="F113" s="78" t="n">
        <v>1000</v>
      </c>
      <c r="G113" s="79" t="n">
        <v>8.73</v>
      </c>
      <c r="H113" s="69" t="n"/>
      <c r="I113" s="44">
        <f>IF(OR($B113="",$H113=""),"",$H113*MAX(1,N($F113)))</f>
        <v/>
      </c>
      <c r="J113" s="80" t="n"/>
      <c r="K113" s="77" t="n"/>
      <c r="L113" s="54">
        <f>IF($B113="",0,IF(COUNTIFS('①在庫を貼る'!$V$6:$V$10005,'設定'!$C$4,'①在庫を貼る'!$W$6:$W$10005,$B113)+COUNTIFS('月1回_1ヶ月前の在庫'!$V$6:$V$10005,'設定'!$C$4,'月1回_1ヶ月前の在庫'!$W$6:$W$10005,$B113)+COUNTIFS('月1回_2ヶ月前の在庫'!$V$6:$V$10005,'設定'!$C$4,'月1回_2ヶ月前の在庫'!$W$6:$W$10005,$B113)&gt;0,1,0))</f>
        <v/>
      </c>
      <c r="M113" s="54">
        <f>N(M112)+$L113</f>
        <v/>
      </c>
      <c r="N113" s="54">
        <f>IF($B113="",0,COUNTIFS('①在庫を貼る'!$V$6:$V$10005,'設定'!$C$4,'①在庫を貼る'!$W$6:$W$10005,$B113))</f>
        <v/>
      </c>
    </row>
    <row r="114" ht="18" customHeight="1">
      <c r="B114" s="76" t="inlineStr">
        <is>
          <t>1814000006110</t>
        </is>
      </c>
      <c r="C114" s="77" t="inlineStr">
        <is>
          <t>バイオマスストレートストロ赤袋入</t>
        </is>
      </c>
      <c r="D114" s="77" t="inlineStr">
        <is>
          <t>コンセ包材</t>
        </is>
      </c>
      <c r="E114" s="77" t="inlineStr">
        <is>
          <t>オザックス株式会社</t>
        </is>
      </c>
      <c r="F114" s="78" t="n">
        <v>10000</v>
      </c>
      <c r="G114" s="79" t="n">
        <v>1.17</v>
      </c>
      <c r="H114" s="69" t="n"/>
      <c r="I114" s="44">
        <f>IF(OR($B114="",$H114=""),"",$H114*MAX(1,N($F114)))</f>
        <v/>
      </c>
      <c r="J114" s="80" t="n"/>
      <c r="K114" s="77" t="n"/>
      <c r="L114" s="54">
        <f>IF($B114="",0,IF(COUNTIFS('①在庫を貼る'!$V$6:$V$10005,'設定'!$C$4,'①在庫を貼る'!$W$6:$W$10005,$B114)+COUNTIFS('月1回_1ヶ月前の在庫'!$V$6:$V$10005,'設定'!$C$4,'月1回_1ヶ月前の在庫'!$W$6:$W$10005,$B114)+COUNTIFS('月1回_2ヶ月前の在庫'!$V$6:$V$10005,'設定'!$C$4,'月1回_2ヶ月前の在庫'!$W$6:$W$10005,$B114)&gt;0,1,0))</f>
        <v/>
      </c>
      <c r="M114" s="54">
        <f>N(M113)+$L114</f>
        <v/>
      </c>
      <c r="N114" s="54">
        <f>IF($B114="",0,COUNTIFS('①在庫を貼る'!$V$6:$V$10005,'設定'!$C$4,'①在庫を貼る'!$W$6:$W$10005,$B114))</f>
        <v/>
      </c>
    </row>
    <row r="115" ht="18" customHeight="1">
      <c r="B115" s="76" t="inlineStr">
        <is>
          <t>1814000006271</t>
        </is>
      </c>
      <c r="C115" s="77" t="inlineStr">
        <is>
          <t>ＦＳドリンクカップ１６ＯＺ４８０</t>
        </is>
      </c>
      <c r="D115" s="77" t="inlineStr">
        <is>
          <t>コンセ包材</t>
        </is>
      </c>
      <c r="E115" s="77" t="inlineStr">
        <is>
          <t>オザックス株式会社</t>
        </is>
      </c>
      <c r="F115" s="78" t="n">
        <v>1000</v>
      </c>
      <c r="G115" s="79" t="n">
        <v>5.36</v>
      </c>
      <c r="H115" s="69" t="n"/>
      <c r="I115" s="44">
        <f>IF(OR($B115="",$H115=""),"",$H115*MAX(1,N($F115)))</f>
        <v/>
      </c>
      <c r="J115" s="80" t="n"/>
      <c r="K115" s="77" t="n"/>
      <c r="L115" s="54">
        <f>IF($B115="",0,IF(COUNTIFS('①在庫を貼る'!$V$6:$V$10005,'設定'!$C$4,'①在庫を貼る'!$W$6:$W$10005,$B115)+COUNTIFS('月1回_1ヶ月前の在庫'!$V$6:$V$10005,'設定'!$C$4,'月1回_1ヶ月前の在庫'!$W$6:$W$10005,$B115)+COUNTIFS('月1回_2ヶ月前の在庫'!$V$6:$V$10005,'設定'!$C$4,'月1回_2ヶ月前の在庫'!$W$6:$W$10005,$B115)&gt;0,1,0))</f>
        <v/>
      </c>
      <c r="M115" s="54">
        <f>N(M114)+$L115</f>
        <v/>
      </c>
      <c r="N115" s="54">
        <f>IF($B115="",0,COUNTIFS('①在庫を貼る'!$V$6:$V$10005,'設定'!$C$4,'①在庫を貼る'!$W$6:$W$10005,$B115))</f>
        <v/>
      </c>
    </row>
    <row r="116" ht="18" customHeight="1">
      <c r="B116" s="76" t="inlineStr">
        <is>
          <t>1814000006288</t>
        </is>
      </c>
      <c r="C116" s="77" t="inlineStr">
        <is>
          <t>ＦＳドリンクカップ２０ＯＺ６００</t>
        </is>
      </c>
      <c r="D116" s="77" t="inlineStr">
        <is>
          <t>コンセ包材</t>
        </is>
      </c>
      <c r="E116" s="77" t="inlineStr">
        <is>
          <t>オザックス株式会社</t>
        </is>
      </c>
      <c r="F116" s="78" t="n">
        <v>1000</v>
      </c>
      <c r="G116" s="79" t="n">
        <v>7.06</v>
      </c>
      <c r="H116" s="69" t="n"/>
      <c r="I116" s="44">
        <f>IF(OR($B116="",$H116=""),"",$H116*MAX(1,N($F116)))</f>
        <v/>
      </c>
      <c r="J116" s="80" t="n"/>
      <c r="K116" s="77" t="n"/>
      <c r="L116" s="54">
        <f>IF($B116="",0,IF(COUNTIFS('①在庫を貼る'!$V$6:$V$10005,'設定'!$C$4,'①在庫を貼る'!$W$6:$W$10005,$B116)+COUNTIFS('月1回_1ヶ月前の在庫'!$V$6:$V$10005,'設定'!$C$4,'月1回_1ヶ月前の在庫'!$W$6:$W$10005,$B116)+COUNTIFS('月1回_2ヶ月前の在庫'!$V$6:$V$10005,'設定'!$C$4,'月1回_2ヶ月前の在庫'!$W$6:$W$10005,$B116)&gt;0,1,0))</f>
        <v/>
      </c>
      <c r="M116" s="54">
        <f>N(M115)+$L116</f>
        <v/>
      </c>
      <c r="N116" s="54">
        <f>IF($B116="",0,COUNTIFS('①在庫を貼る'!$V$6:$V$10005,'設定'!$C$4,'①在庫を貼る'!$W$6:$W$10005,$B116))</f>
        <v/>
      </c>
    </row>
    <row r="117" ht="18" customHeight="1">
      <c r="B117" s="76" t="inlineStr">
        <is>
          <t>1814000006349</t>
        </is>
      </c>
      <c r="C117" s="77" t="inlineStr">
        <is>
          <t>Ｈカップ１１ＯＺ３４０Ｅ１２５０</t>
        </is>
      </c>
      <c r="D117" s="77" t="inlineStr">
        <is>
          <t>コンセ包材</t>
        </is>
      </c>
      <c r="E117" s="77" t="inlineStr">
        <is>
          <t>オザックス株式会社</t>
        </is>
      </c>
      <c r="F117" s="78" t="n">
        <v>1250</v>
      </c>
      <c r="G117" s="79" t="n">
        <v>8.220000000000001</v>
      </c>
      <c r="H117" s="69" t="n"/>
      <c r="I117" s="44">
        <f>IF(OR($B117="",$H117=""),"",$H117*MAX(1,N($F117)))</f>
        <v/>
      </c>
      <c r="J117" s="80" t="n"/>
      <c r="K117" s="77" t="n"/>
      <c r="L117" s="54">
        <f>IF($B117="",0,IF(COUNTIFS('①在庫を貼る'!$V$6:$V$10005,'設定'!$C$4,'①在庫を貼る'!$W$6:$W$10005,$B117)+COUNTIFS('月1回_1ヶ月前の在庫'!$V$6:$V$10005,'設定'!$C$4,'月1回_1ヶ月前の在庫'!$W$6:$W$10005,$B117)+COUNTIFS('月1回_2ヶ月前の在庫'!$V$6:$V$10005,'設定'!$C$4,'月1回_2ヶ月前の在庫'!$W$6:$W$10005,$B117)&gt;0,1,0))</f>
        <v/>
      </c>
      <c r="M117" s="54">
        <f>N(M116)+$L117</f>
        <v/>
      </c>
      <c r="N117" s="54">
        <f>IF($B117="",0,COUNTIFS('①在庫を貼る'!$V$6:$V$10005,'設定'!$C$4,'①在庫を貼る'!$W$6:$W$10005,$B117))</f>
        <v/>
      </c>
    </row>
    <row r="118" ht="18" customHeight="1">
      <c r="B118" s="76" t="inlineStr">
        <is>
          <t>1814000006356</t>
        </is>
      </c>
      <c r="C118" s="77" t="inlineStr">
        <is>
          <t>ＴＨ　シネマイクポップコーン箱</t>
        </is>
      </c>
      <c r="D118" s="77" t="inlineStr">
        <is>
          <t>コンセ包材</t>
        </is>
      </c>
      <c r="E118" s="77" t="inlineStr">
        <is>
          <t>オザックス株式会社</t>
        </is>
      </c>
      <c r="F118" s="78" t="n">
        <v>300</v>
      </c>
      <c r="G118" s="79" t="n">
        <v>17.84</v>
      </c>
      <c r="H118" s="69" t="n"/>
      <c r="I118" s="44">
        <f>IF(OR($B118="",$H118=""),"",$H118*MAX(1,N($F118)))</f>
        <v/>
      </c>
      <c r="J118" s="80" t="n"/>
      <c r="K118" s="77" t="n"/>
      <c r="L118" s="54">
        <f>IF($B118="",0,IF(COUNTIFS('①在庫を貼る'!$V$6:$V$10005,'設定'!$C$4,'①在庫を貼る'!$W$6:$W$10005,$B118)+COUNTIFS('月1回_1ヶ月前の在庫'!$V$6:$V$10005,'設定'!$C$4,'月1回_1ヶ月前の在庫'!$W$6:$W$10005,$B118)+COUNTIFS('月1回_2ヶ月前の在庫'!$V$6:$V$10005,'設定'!$C$4,'月1回_2ヶ月前の在庫'!$W$6:$W$10005,$B118)&gt;0,1,0))</f>
        <v/>
      </c>
      <c r="M118" s="54">
        <f>N(M117)+$L118</f>
        <v/>
      </c>
      <c r="N118" s="54">
        <f>IF($B118="",0,COUNTIFS('①在庫を貼る'!$V$6:$V$10005,'設定'!$C$4,'①在庫を貼る'!$W$6:$W$10005,$B118))</f>
        <v/>
      </c>
    </row>
    <row r="119" ht="18" customHeight="1">
      <c r="B119" s="76" t="inlineStr">
        <is>
          <t>1814000006363</t>
        </is>
      </c>
      <c r="C119" s="77" t="inlineStr">
        <is>
          <t>ＴＨ　シネマイクポップコーン蓋</t>
        </is>
      </c>
      <c r="D119" s="77" t="inlineStr">
        <is>
          <t>コンセ包材</t>
        </is>
      </c>
      <c r="E119" s="77" t="inlineStr">
        <is>
          <t>オザックス株式会社</t>
        </is>
      </c>
      <c r="F119" s="78" t="n">
        <v>1200</v>
      </c>
      <c r="G119" s="79" t="n">
        <v>5.05</v>
      </c>
      <c r="H119" s="69" t="n"/>
      <c r="I119" s="44">
        <f>IF(OR($B119="",$H119=""),"",$H119*MAX(1,N($F119)))</f>
        <v/>
      </c>
      <c r="J119" s="80" t="n"/>
      <c r="K119" s="77" t="n"/>
      <c r="L119" s="54">
        <f>IF($B119="",0,IF(COUNTIFS('①在庫を貼る'!$V$6:$V$10005,'設定'!$C$4,'①在庫を貼る'!$W$6:$W$10005,$B119)+COUNTIFS('月1回_1ヶ月前の在庫'!$V$6:$V$10005,'設定'!$C$4,'月1回_1ヶ月前の在庫'!$W$6:$W$10005,$B119)+COUNTIFS('月1回_2ヶ月前の在庫'!$V$6:$V$10005,'設定'!$C$4,'月1回_2ヶ月前の在庫'!$W$6:$W$10005,$B119)&gt;0,1,0))</f>
        <v/>
      </c>
      <c r="M119" s="54">
        <f>N(M118)+$L119</f>
        <v/>
      </c>
      <c r="N119" s="54">
        <f>IF($B119="",0,COUNTIFS('①在庫を貼る'!$V$6:$V$10005,'設定'!$C$4,'①在庫を貼る'!$W$6:$W$10005,$B119))</f>
        <v/>
      </c>
    </row>
    <row r="120" ht="18" customHeight="1">
      <c r="B120" s="76" t="inlineStr">
        <is>
          <t>1814000006387</t>
        </is>
      </c>
      <c r="C120" s="77" t="inlineStr">
        <is>
          <t>ＴＨ（ＦＳ）スカッシュ</t>
        </is>
      </c>
      <c r="D120" s="77" t="inlineStr">
        <is>
          <t>コンセ包材</t>
        </is>
      </c>
      <c r="E120" s="77" t="inlineStr">
        <is>
          <t>オザックス株式会社</t>
        </is>
      </c>
      <c r="F120" s="78" t="n">
        <v>1000</v>
      </c>
      <c r="G120" s="79" t="n">
        <v>7.6</v>
      </c>
      <c r="H120" s="69" t="n"/>
      <c r="I120" s="44">
        <f>IF(OR($B120="",$H120=""),"",$H120*MAX(1,N($F120)))</f>
        <v/>
      </c>
      <c r="J120" s="80" t="n"/>
      <c r="K120" s="77" t="n"/>
      <c r="L120" s="54">
        <f>IF($B120="",0,IF(COUNTIFS('①在庫を貼る'!$V$6:$V$10005,'設定'!$C$4,'①在庫を貼る'!$W$6:$W$10005,$B120)+COUNTIFS('月1回_1ヶ月前の在庫'!$V$6:$V$10005,'設定'!$C$4,'月1回_1ヶ月前の在庫'!$W$6:$W$10005,$B120)+COUNTIFS('月1回_2ヶ月前の在庫'!$V$6:$V$10005,'設定'!$C$4,'月1回_2ヶ月前の在庫'!$W$6:$W$10005,$B120)&gt;0,1,0))</f>
        <v/>
      </c>
      <c r="M120" s="54">
        <f>N(M119)+$L120</f>
        <v/>
      </c>
      <c r="N120" s="54">
        <f>IF($B120="",0,COUNTIFS('①在庫を貼る'!$V$6:$V$10005,'設定'!$C$4,'①在庫を貼る'!$W$6:$W$10005,$B120))</f>
        <v/>
      </c>
    </row>
    <row r="121" ht="18" customHeight="1">
      <c r="B121" s="76" t="inlineStr">
        <is>
          <t>1814000006394</t>
        </is>
      </c>
      <c r="C121" s="77" t="inlineStr">
        <is>
          <t>ＴＨ（ＦＣ）スナックじゃが容器</t>
        </is>
      </c>
      <c r="D121" s="77" t="inlineStr">
        <is>
          <t>コンセ包材</t>
        </is>
      </c>
      <c r="E121" s="77" t="inlineStr">
        <is>
          <t>オザックス株式会社</t>
        </is>
      </c>
      <c r="F121" s="78" t="n">
        <v>450</v>
      </c>
      <c r="G121" s="79" t="n">
        <v>15.46</v>
      </c>
      <c r="H121" s="69" t="n"/>
      <c r="I121" s="44">
        <f>IF(OR($B121="",$H121=""),"",$H121*MAX(1,N($F121)))</f>
        <v/>
      </c>
      <c r="J121" s="80" t="n"/>
      <c r="K121" s="77" t="n"/>
      <c r="L121" s="54">
        <f>IF($B121="",0,IF(COUNTIFS('①在庫を貼る'!$V$6:$V$10005,'設定'!$C$4,'①在庫を貼る'!$W$6:$W$10005,$B121)+COUNTIFS('月1回_1ヶ月前の在庫'!$V$6:$V$10005,'設定'!$C$4,'月1回_1ヶ月前の在庫'!$W$6:$W$10005,$B121)+COUNTIFS('月1回_2ヶ月前の在庫'!$V$6:$V$10005,'設定'!$C$4,'月1回_2ヶ月前の在庫'!$W$6:$W$10005,$B121)&gt;0,1,0))</f>
        <v/>
      </c>
      <c r="M121" s="54">
        <f>N(M120)+$L121</f>
        <v/>
      </c>
      <c r="N121" s="54">
        <f>IF($B121="",0,COUNTIFS('①在庫を貼る'!$V$6:$V$10005,'設定'!$C$4,'①在庫を貼る'!$W$6:$W$10005,$B121))</f>
        <v/>
      </c>
    </row>
    <row r="122" ht="18" customHeight="1">
      <c r="B122" s="76" t="inlineStr">
        <is>
          <t>1814000006400</t>
        </is>
      </c>
      <c r="C122" s="77" t="inlineStr">
        <is>
          <t>ＴＨ（ＦＣ）ちょびチキトレー</t>
        </is>
      </c>
      <c r="D122" s="77" t="inlineStr">
        <is>
          <t>コンセ包材</t>
        </is>
      </c>
      <c r="E122" s="77" t="inlineStr">
        <is>
          <t>オザックス株式会社</t>
        </is>
      </c>
      <c r="F122" s="78" t="n">
        <v>400</v>
      </c>
      <c r="G122" s="79" t="n">
        <v>13.41</v>
      </c>
      <c r="H122" s="69" t="n"/>
      <c r="I122" s="44">
        <f>IF(OR($B122="",$H122=""),"",$H122*MAX(1,N($F122)))</f>
        <v/>
      </c>
      <c r="J122" s="80" t="n"/>
      <c r="K122" s="77" t="n"/>
      <c r="L122" s="54">
        <f>IF($B122="",0,IF(COUNTIFS('①在庫を貼る'!$V$6:$V$10005,'設定'!$C$4,'①在庫を貼る'!$W$6:$W$10005,$B122)+COUNTIFS('月1回_1ヶ月前の在庫'!$V$6:$V$10005,'設定'!$C$4,'月1回_1ヶ月前の在庫'!$W$6:$W$10005,$B122)+COUNTIFS('月1回_2ヶ月前の在庫'!$V$6:$V$10005,'設定'!$C$4,'月1回_2ヶ月前の在庫'!$W$6:$W$10005,$B122)&gt;0,1,0))</f>
        <v/>
      </c>
      <c r="M122" s="54">
        <f>N(M121)+$L122</f>
        <v/>
      </c>
      <c r="N122" s="54">
        <f>IF($B122="",0,COUNTIFS('①在庫を貼る'!$V$6:$V$10005,'設定'!$C$4,'①在庫を貼る'!$W$6:$W$10005,$B122))</f>
        <v/>
      </c>
    </row>
    <row r="123" ht="18" customHeight="1">
      <c r="B123" s="76" t="inlineStr">
        <is>
          <t>1814000006417</t>
        </is>
      </c>
      <c r="C123" s="77" t="inlineStr">
        <is>
          <t>ＴＨ（ＦＳ）ホットドッグ　ＢＯＸ</t>
        </is>
      </c>
      <c r="D123" s="77" t="inlineStr">
        <is>
          <t>コンセ包材</t>
        </is>
      </c>
      <c r="E123" s="77" t="inlineStr">
        <is>
          <t>オザックス株式会社</t>
        </is>
      </c>
      <c r="F123" s="78" t="n">
        <v>600</v>
      </c>
      <c r="G123" s="79" t="n">
        <v>11.68</v>
      </c>
      <c r="H123" s="69" t="n"/>
      <c r="I123" s="44">
        <f>IF(OR($B123="",$H123=""),"",$H123*MAX(1,N($F123)))</f>
        <v/>
      </c>
      <c r="J123" s="80" t="n"/>
      <c r="K123" s="77" t="n"/>
      <c r="L123" s="54">
        <f>IF($B123="",0,IF(COUNTIFS('①在庫を貼る'!$V$6:$V$10005,'設定'!$C$4,'①在庫を貼る'!$W$6:$W$10005,$B123)+COUNTIFS('月1回_1ヶ月前の在庫'!$V$6:$V$10005,'設定'!$C$4,'月1回_1ヶ月前の在庫'!$W$6:$W$10005,$B123)+COUNTIFS('月1回_2ヶ月前の在庫'!$V$6:$V$10005,'設定'!$C$4,'月1回_2ヶ月前の在庫'!$W$6:$W$10005,$B123)&gt;0,1,0))</f>
        <v/>
      </c>
      <c r="M123" s="54">
        <f>N(M122)+$L123</f>
        <v/>
      </c>
      <c r="N123" s="54">
        <f>IF($B123="",0,COUNTIFS('①在庫を貼る'!$V$6:$V$10005,'設定'!$C$4,'①在庫を貼る'!$W$6:$W$10005,$B123))</f>
        <v/>
      </c>
    </row>
    <row r="124" ht="18" customHeight="1">
      <c r="B124" s="76" t="inlineStr">
        <is>
          <t>1814000006424</t>
        </is>
      </c>
      <c r="C124" s="77" t="inlineStr">
        <is>
          <t>ＴＨ（ＦＳ）Ｐポップコーン袋</t>
        </is>
      </c>
      <c r="D124" s="77" t="inlineStr">
        <is>
          <t>コンセ包材</t>
        </is>
      </c>
      <c r="E124" s="77" t="inlineStr">
        <is>
          <t>オザックス株式会社</t>
        </is>
      </c>
      <c r="F124" s="78" t="n">
        <v>500</v>
      </c>
      <c r="G124" s="79" t="n">
        <v>15.6</v>
      </c>
      <c r="H124" s="69" t="n"/>
      <c r="I124" s="44">
        <f>IF(OR($B124="",$H124=""),"",$H124*MAX(1,N($F124)))</f>
        <v/>
      </c>
      <c r="J124" s="80" t="n"/>
      <c r="K124" s="77" t="n"/>
      <c r="L124" s="54">
        <f>IF($B124="",0,IF(COUNTIFS('①在庫を貼る'!$V$6:$V$10005,'設定'!$C$4,'①在庫を貼る'!$W$6:$W$10005,$B124)+COUNTIFS('月1回_1ヶ月前の在庫'!$V$6:$V$10005,'設定'!$C$4,'月1回_1ヶ月前の在庫'!$W$6:$W$10005,$B124)+COUNTIFS('月1回_2ヶ月前の在庫'!$V$6:$V$10005,'設定'!$C$4,'月1回_2ヶ月前の在庫'!$W$6:$W$10005,$B124)&gt;0,1,0))</f>
        <v/>
      </c>
      <c r="M124" s="54">
        <f>N(M123)+$L124</f>
        <v/>
      </c>
      <c r="N124" s="54">
        <f>IF($B124="",0,COUNTIFS('①在庫を貼る'!$V$6:$V$10005,'設定'!$C$4,'①在庫を貼る'!$W$6:$W$10005,$B124))</f>
        <v/>
      </c>
    </row>
    <row r="125" ht="18" customHeight="1">
      <c r="B125" s="76" t="inlineStr">
        <is>
          <t>1814000006486</t>
        </is>
      </c>
      <c r="C125" s="77" t="inlineStr">
        <is>
          <t>ＴＨバイオマスフォーク１４０裸</t>
        </is>
      </c>
      <c r="D125" s="77" t="inlineStr">
        <is>
          <t>コンセ包材</t>
        </is>
      </c>
      <c r="E125" s="77" t="inlineStr">
        <is>
          <t>オザックス株式会社</t>
        </is>
      </c>
      <c r="F125" s="78" t="n">
        <v>500</v>
      </c>
      <c r="G125" s="79" t="n">
        <v>4.48</v>
      </c>
      <c r="H125" s="69" t="n"/>
      <c r="I125" s="44">
        <f>IF(OR($B125="",$H125=""),"",$H125*MAX(1,N($F125)))</f>
        <v/>
      </c>
      <c r="J125" s="80" t="n"/>
      <c r="K125" s="77" t="n"/>
      <c r="L125" s="54">
        <f>IF($B125="",0,IF(COUNTIFS('①在庫を貼る'!$V$6:$V$10005,'設定'!$C$4,'①在庫を貼る'!$W$6:$W$10005,$B125)+COUNTIFS('月1回_1ヶ月前の在庫'!$V$6:$V$10005,'設定'!$C$4,'月1回_1ヶ月前の在庫'!$W$6:$W$10005,$B125)+COUNTIFS('月1回_2ヶ月前の在庫'!$V$6:$V$10005,'設定'!$C$4,'月1回_2ヶ月前の在庫'!$W$6:$W$10005,$B125)&gt;0,1,0))</f>
        <v/>
      </c>
      <c r="M125" s="54">
        <f>N(M124)+$L125</f>
        <v/>
      </c>
      <c r="N125" s="54">
        <f>IF($B125="",0,COUNTIFS('①在庫を貼る'!$V$6:$V$10005,'設定'!$C$4,'①在庫を貼る'!$W$6:$W$10005,$B125))</f>
        <v/>
      </c>
    </row>
    <row r="126" ht="18" customHeight="1">
      <c r="B126" s="76" t="inlineStr">
        <is>
          <t>1814000006493</t>
        </is>
      </c>
      <c r="C126" s="77" t="inlineStr">
        <is>
          <t>ＴＨ木製マドラー１６．５ｃｍ</t>
        </is>
      </c>
      <c r="D126" s="77" t="inlineStr">
        <is>
          <t>コンセ包材</t>
        </is>
      </c>
      <c r="E126" s="77" t="inlineStr">
        <is>
          <t>オザックス株式会社</t>
        </is>
      </c>
      <c r="F126" s="78" t="n">
        <v>100</v>
      </c>
      <c r="G126" s="79" t="n">
        <v>2.44</v>
      </c>
      <c r="H126" s="69" t="n"/>
      <c r="I126" s="44">
        <f>IF(OR($B126="",$H126=""),"",$H126*MAX(1,N($F126)))</f>
        <v/>
      </c>
      <c r="J126" s="80" t="n"/>
      <c r="K126" s="77" t="n"/>
      <c r="L126" s="54">
        <f>IF($B126="",0,IF(COUNTIFS('①在庫を貼る'!$V$6:$V$10005,'設定'!$C$4,'①在庫を貼る'!$W$6:$W$10005,$B126)+COUNTIFS('月1回_1ヶ月前の在庫'!$V$6:$V$10005,'設定'!$C$4,'月1回_1ヶ月前の在庫'!$W$6:$W$10005,$B126)+COUNTIFS('月1回_2ヶ月前の在庫'!$V$6:$V$10005,'設定'!$C$4,'月1回_2ヶ月前の在庫'!$W$6:$W$10005,$B126)&gt;0,1,0))</f>
        <v/>
      </c>
      <c r="M126" s="54">
        <f>N(M125)+$L126</f>
        <v/>
      </c>
      <c r="N126" s="54">
        <f>IF($B126="",0,COUNTIFS('①在庫を貼る'!$V$6:$V$10005,'設定'!$C$4,'①在庫を貼る'!$W$6:$W$10005,$B126))</f>
        <v/>
      </c>
    </row>
    <row r="127" ht="18" customHeight="1">
      <c r="B127" s="76" t="inlineStr">
        <is>
          <t>1812000013190</t>
        </is>
      </c>
      <c r="C127" s="77" t="inlineStr">
        <is>
          <t>銀魂　ショッパー　仕入</t>
        </is>
      </c>
      <c r="D127" s="77" t="inlineStr">
        <is>
          <t>ＳＥＴ作品コンボ</t>
        </is>
      </c>
      <c r="E127" s="77" t="inlineStr">
        <is>
          <t>松竹株式会社（コンセ）</t>
        </is>
      </c>
      <c r="F127" s="78" t="n">
        <v>20</v>
      </c>
      <c r="G127" s="79" t="n">
        <v>591</v>
      </c>
      <c r="H127" s="69" t="n"/>
      <c r="I127" s="44">
        <f>IF(OR($B127="",$H127=""),"",$H127*MAX(1,N($F127)))</f>
        <v/>
      </c>
      <c r="J127" s="80" t="n"/>
      <c r="K127" s="77" t="n"/>
      <c r="L127" s="54">
        <f>IF($B127="",0,IF(COUNTIFS('①在庫を貼る'!$V$6:$V$10005,'設定'!$C$4,'①在庫を貼る'!$W$6:$W$10005,$B127)+COUNTIFS('月1回_1ヶ月前の在庫'!$V$6:$V$10005,'設定'!$C$4,'月1回_1ヶ月前の在庫'!$W$6:$W$10005,$B127)+COUNTIFS('月1回_2ヶ月前の在庫'!$V$6:$V$10005,'設定'!$C$4,'月1回_2ヶ月前の在庫'!$W$6:$W$10005,$B127)&gt;0,1,0))</f>
        <v/>
      </c>
      <c r="M127" s="54">
        <f>N(M126)+$L127</f>
        <v/>
      </c>
      <c r="N127" s="54">
        <f>IF($B127="",0,COUNTIFS('①在庫を貼る'!$V$6:$V$10005,'設定'!$C$4,'①在庫を貼る'!$W$6:$W$10005,$B127))</f>
        <v/>
      </c>
    </row>
    <row r="128" ht="18" customHeight="1">
      <c r="B128" s="76" t="inlineStr">
        <is>
          <t>1812000013411</t>
        </is>
      </c>
      <c r="C128" s="77" t="inlineStr">
        <is>
          <t>コナン２０２６　Ｄカップ　仕入</t>
        </is>
      </c>
      <c r="D128" s="77" t="inlineStr">
        <is>
          <t>ＳＥＴ作品コンボ</t>
        </is>
      </c>
      <c r="E128" s="77" t="inlineStr">
        <is>
          <t>株式会社ムービック【コンセ】</t>
        </is>
      </c>
      <c r="F128" s="78" t="n">
        <v>50</v>
      </c>
      <c r="G128" s="79" t="n">
        <v>750</v>
      </c>
      <c r="H128" s="69" t="n"/>
      <c r="I128" s="44">
        <f>IF(OR($B128="",$H128=""),"",$H128*MAX(1,N($F128)))</f>
        <v/>
      </c>
      <c r="J128" s="80" t="n"/>
      <c r="K128" s="77" t="n"/>
      <c r="L128" s="54">
        <f>IF($B128="",0,IF(COUNTIFS('①在庫を貼る'!$V$6:$V$10005,'設定'!$C$4,'①在庫を貼る'!$W$6:$W$10005,$B128)+COUNTIFS('月1回_1ヶ月前の在庫'!$V$6:$V$10005,'設定'!$C$4,'月1回_1ヶ月前の在庫'!$W$6:$W$10005,$B128)+COUNTIFS('月1回_2ヶ月前の在庫'!$V$6:$V$10005,'設定'!$C$4,'月1回_2ヶ月前の在庫'!$W$6:$W$10005,$B128)&gt;0,1,0))</f>
        <v/>
      </c>
      <c r="M128" s="54">
        <f>N(M127)+$L128</f>
        <v/>
      </c>
      <c r="N128" s="54">
        <f>IF($B128="",0,COUNTIFS('①在庫を貼る'!$V$6:$V$10005,'設定'!$C$4,'①在庫を貼る'!$W$6:$W$10005,$B128))</f>
        <v/>
      </c>
    </row>
    <row r="129" ht="18" customHeight="1">
      <c r="B129" s="76" t="inlineStr">
        <is>
          <t>1812000013206</t>
        </is>
      </c>
      <c r="C129" s="77" t="inlineStr">
        <is>
          <t>銀魂　エリザベスＤホルダー　仕入</t>
        </is>
      </c>
      <c r="D129" s="77" t="inlineStr">
        <is>
          <t>ＳＥＴ作品コンボ</t>
        </is>
      </c>
      <c r="E129" s="77" t="inlineStr">
        <is>
          <t>東映ジョイ（コンセ）</t>
        </is>
      </c>
      <c r="F129" s="78" t="n">
        <v>18</v>
      </c>
      <c r="G129" s="79" t="n">
        <v>1050</v>
      </c>
      <c r="H129" s="69" t="n"/>
      <c r="I129" s="44">
        <f>IF(OR($B129="",$H129=""),"",$H129*MAX(1,N($F129)))</f>
        <v/>
      </c>
      <c r="J129" s="80" t="n"/>
      <c r="K129" s="77" t="n"/>
      <c r="L129" s="54">
        <f>IF($B129="",0,IF(COUNTIFS('①在庫を貼る'!$V$6:$V$10005,'設定'!$C$4,'①在庫を貼る'!$W$6:$W$10005,$B129)+COUNTIFS('月1回_1ヶ月前の在庫'!$V$6:$V$10005,'設定'!$C$4,'月1回_1ヶ月前の在庫'!$W$6:$W$10005,$B129)+COUNTIFS('月1回_2ヶ月前の在庫'!$V$6:$V$10005,'設定'!$C$4,'月1回_2ヶ月前の在庫'!$W$6:$W$10005,$B129)&gt;0,1,0))</f>
        <v/>
      </c>
      <c r="M129" s="54">
        <f>N(M128)+$L129</f>
        <v/>
      </c>
      <c r="N129" s="54">
        <f>IF($B129="",0,COUNTIFS('①在庫を貼る'!$V$6:$V$10005,'設定'!$C$4,'①在庫を貼る'!$W$6:$W$10005,$B129))</f>
        <v/>
      </c>
    </row>
    <row r="130" ht="18" customHeight="1">
      <c r="B130" s="76" t="inlineStr">
        <is>
          <t>1812000013428</t>
        </is>
      </c>
      <c r="C130" s="77" t="inlineStr">
        <is>
          <t>コナン２０２６　Ｐボックス　仕入</t>
        </is>
      </c>
      <c r="D130" s="77" t="inlineStr">
        <is>
          <t>ＳＥＴ作品コンボ</t>
        </is>
      </c>
      <c r="E130" s="77" t="inlineStr">
        <is>
          <t>㈱トップス</t>
        </is>
      </c>
      <c r="F130" s="78" t="n">
        <v>18</v>
      </c>
      <c r="G130" s="79" t="n">
        <v>1800</v>
      </c>
      <c r="H130" s="69" t="n"/>
      <c r="I130" s="44">
        <f>IF(OR($B130="",$H130=""),"",$H130*MAX(1,N($F130)))</f>
        <v/>
      </c>
      <c r="J130" s="80" t="n"/>
      <c r="K130" s="77" t="n"/>
      <c r="L130" s="54">
        <f>IF($B130="",0,IF(COUNTIFS('①在庫を貼る'!$V$6:$V$10005,'設定'!$C$4,'①在庫を貼る'!$W$6:$W$10005,$B130)+COUNTIFS('月1回_1ヶ月前の在庫'!$V$6:$V$10005,'設定'!$C$4,'月1回_1ヶ月前の在庫'!$W$6:$W$10005,$B130)+COUNTIFS('月1回_2ヶ月前の在庫'!$V$6:$V$10005,'設定'!$C$4,'月1回_2ヶ月前の在庫'!$W$6:$W$10005,$B130)&gt;0,1,0))</f>
        <v/>
      </c>
      <c r="M130" s="54">
        <f>N(M129)+$L130</f>
        <v/>
      </c>
      <c r="N130" s="54">
        <f>IF($B130="",0,COUNTIFS('①在庫を貼る'!$V$6:$V$10005,'設定'!$C$4,'①在庫を貼る'!$W$6:$W$10005,$B130))</f>
        <v/>
      </c>
    </row>
    <row r="131" ht="18" customHeight="1">
      <c r="B131" s="76" t="inlineStr">
        <is>
          <t>1812000013237</t>
        </is>
      </c>
      <c r="C131" s="77" t="inlineStr">
        <is>
          <t>ドラえもん　Ｐボックス　仕入</t>
        </is>
      </c>
      <c r="D131" s="77" t="inlineStr">
        <is>
          <t>ＳＥＴ作品コンボ</t>
        </is>
      </c>
      <c r="E131" s="77" t="inlineStr">
        <is>
          <t>㈱そごう・西武</t>
        </is>
      </c>
      <c r="F131" s="78" t="n">
        <v>21</v>
      </c>
      <c r="G131" s="79" t="n">
        <v>680</v>
      </c>
      <c r="H131" s="69" t="n"/>
      <c r="I131" s="44">
        <f>IF(OR($B131="",$H131=""),"",$H131*MAX(1,N($F131)))</f>
        <v/>
      </c>
      <c r="J131" s="80" t="n"/>
      <c r="K131" s="77" t="n"/>
      <c r="L131" s="54">
        <f>IF($B131="",0,IF(COUNTIFS('①在庫を貼る'!$V$6:$V$10005,'設定'!$C$4,'①在庫を貼る'!$W$6:$W$10005,$B131)+COUNTIFS('月1回_1ヶ月前の在庫'!$V$6:$V$10005,'設定'!$C$4,'月1回_1ヶ月前の在庫'!$W$6:$W$10005,$B131)+COUNTIFS('月1回_2ヶ月前の在庫'!$V$6:$V$10005,'設定'!$C$4,'月1回_2ヶ月前の在庫'!$W$6:$W$10005,$B131)&gt;0,1,0))</f>
        <v/>
      </c>
      <c r="M131" s="54">
        <f>N(M130)+$L131</f>
        <v/>
      </c>
      <c r="N131" s="54">
        <f>IF($B131="",0,COUNTIFS('①在庫を貼る'!$V$6:$V$10005,'設定'!$C$4,'①在庫を貼る'!$W$6:$W$10005,$B131))</f>
        <v/>
      </c>
    </row>
    <row r="132" ht="18" customHeight="1">
      <c r="B132" s="76" t="inlineStr">
        <is>
          <t>1812000013268</t>
        </is>
      </c>
      <c r="C132" s="77" t="inlineStr">
        <is>
          <t>ウィキッド　悪い魔女　ＤＣ　仕入</t>
        </is>
      </c>
      <c r="D132" s="77" t="inlineStr">
        <is>
          <t>ＳＥＴ作品コンボ</t>
        </is>
      </c>
      <c r="E132" s="77" t="inlineStr">
        <is>
          <t>エパックス（株）</t>
        </is>
      </c>
      <c r="F132" s="78" t="n">
        <v>20</v>
      </c>
      <c r="G132" s="79" t="n">
        <v>650</v>
      </c>
      <c r="H132" s="69" t="n"/>
      <c r="I132" s="44">
        <f>IF(OR($B132="",$H132=""),"",$H132*MAX(1,N($F132)))</f>
        <v/>
      </c>
      <c r="J132" s="80" t="n"/>
      <c r="K132" s="77" t="n"/>
      <c r="L132" s="54">
        <f>IF($B132="",0,IF(COUNTIFS('①在庫を貼る'!$V$6:$V$10005,'設定'!$C$4,'①在庫を貼る'!$W$6:$W$10005,$B132)+COUNTIFS('月1回_1ヶ月前の在庫'!$V$6:$V$10005,'設定'!$C$4,'月1回_1ヶ月前の在庫'!$W$6:$W$10005,$B132)+COUNTIFS('月1回_2ヶ月前の在庫'!$V$6:$V$10005,'設定'!$C$4,'月1回_2ヶ月前の在庫'!$W$6:$W$10005,$B132)&gt;0,1,0))</f>
        <v/>
      </c>
      <c r="M132" s="54">
        <f>N(M131)+$L132</f>
        <v/>
      </c>
      <c r="N132" s="54">
        <f>IF($B132="",0,COUNTIFS('①在庫を貼る'!$V$6:$V$10005,'設定'!$C$4,'①在庫を貼る'!$W$6:$W$10005,$B132))</f>
        <v/>
      </c>
    </row>
    <row r="133" ht="18" customHeight="1">
      <c r="B133" s="76" t="inlineStr">
        <is>
          <t>1812000013466</t>
        </is>
      </c>
      <c r="C133" s="77" t="inlineStr">
        <is>
          <t>マリオ　Ｄカップ　マリオ　仕入</t>
        </is>
      </c>
      <c r="D133" s="77" t="inlineStr">
        <is>
          <t>ＳＥＴ作品コンボ</t>
        </is>
      </c>
      <c r="E133" s="77" t="inlineStr">
        <is>
          <t>エパックス（株）</t>
        </is>
      </c>
      <c r="F133" s="78" t="n">
        <v>30</v>
      </c>
      <c r="G133" s="79" t="n">
        <v>750</v>
      </c>
      <c r="H133" s="69" t="n"/>
      <c r="I133" s="44">
        <f>IF(OR($B133="",$H133=""),"",$H133*MAX(1,N($F133)))</f>
        <v/>
      </c>
      <c r="J133" s="80" t="n"/>
      <c r="K133" s="77" t="n"/>
      <c r="L133" s="54">
        <f>IF($B133="",0,IF(COUNTIFS('①在庫を貼る'!$V$6:$V$10005,'設定'!$C$4,'①在庫を貼る'!$W$6:$W$10005,$B133)+COUNTIFS('月1回_1ヶ月前の在庫'!$V$6:$V$10005,'設定'!$C$4,'月1回_1ヶ月前の在庫'!$W$6:$W$10005,$B133)+COUNTIFS('月1回_2ヶ月前の在庫'!$V$6:$V$10005,'設定'!$C$4,'月1回_2ヶ月前の在庫'!$W$6:$W$10005,$B133)&gt;0,1,0))</f>
        <v/>
      </c>
      <c r="M133" s="54">
        <f>N(M132)+$L133</f>
        <v/>
      </c>
      <c r="N133" s="54">
        <f>IF($B133="",0,COUNTIFS('①在庫を貼る'!$V$6:$V$10005,'設定'!$C$4,'①在庫を貼る'!$W$6:$W$10005,$B133))</f>
        <v/>
      </c>
    </row>
    <row r="134" ht="18" customHeight="1">
      <c r="B134" s="76" t="inlineStr">
        <is>
          <t>1812000013473</t>
        </is>
      </c>
      <c r="C134" s="77" t="inlineStr">
        <is>
          <t>マリオ　Ｄカップ　ルイージ　仕入</t>
        </is>
      </c>
      <c r="D134" s="77" t="inlineStr">
        <is>
          <t>ＳＥＴ作品コンボ</t>
        </is>
      </c>
      <c r="E134" s="77" t="inlineStr">
        <is>
          <t>エパックス（株）</t>
        </is>
      </c>
      <c r="F134" s="78" t="n">
        <v>10</v>
      </c>
      <c r="G134" s="79" t="n">
        <v>750</v>
      </c>
      <c r="H134" s="69" t="n"/>
      <c r="I134" s="44">
        <f>IF(OR($B134="",$H134=""),"",$H134*MAX(1,N($F134)))</f>
        <v/>
      </c>
      <c r="J134" s="80" t="n"/>
      <c r="K134" s="77" t="n"/>
      <c r="L134" s="54">
        <f>IF($B134="",0,IF(COUNTIFS('①在庫を貼る'!$V$6:$V$10005,'設定'!$C$4,'①在庫を貼る'!$W$6:$W$10005,$B134)+COUNTIFS('月1回_1ヶ月前の在庫'!$V$6:$V$10005,'設定'!$C$4,'月1回_1ヶ月前の在庫'!$W$6:$W$10005,$B134)+COUNTIFS('月1回_2ヶ月前の在庫'!$V$6:$V$10005,'設定'!$C$4,'月1回_2ヶ月前の在庫'!$W$6:$W$10005,$B134)&gt;0,1,0))</f>
        <v/>
      </c>
      <c r="M134" s="54">
        <f>N(M133)+$L134</f>
        <v/>
      </c>
      <c r="N134" s="54">
        <f>IF($B134="",0,COUNTIFS('①在庫を貼る'!$V$6:$V$10005,'設定'!$C$4,'①在庫を貼る'!$W$6:$W$10005,$B134))</f>
        <v/>
      </c>
    </row>
    <row r="135" ht="18" customHeight="1">
      <c r="B135" s="76" t="inlineStr">
        <is>
          <t>1812000013480</t>
        </is>
      </c>
      <c r="C135" s="77" t="inlineStr">
        <is>
          <t>マリオ　Ｄカップ　ヨッシー　仕入</t>
        </is>
      </c>
      <c r="D135" s="77" t="inlineStr">
        <is>
          <t>ＳＥＴ作品コンボ</t>
        </is>
      </c>
      <c r="E135" s="77" t="inlineStr">
        <is>
          <t>エパックス（株）</t>
        </is>
      </c>
      <c r="F135" s="78" t="n">
        <v>20</v>
      </c>
      <c r="G135" s="79" t="n">
        <v>750</v>
      </c>
      <c r="H135" s="69" t="n"/>
      <c r="I135" s="44">
        <f>IF(OR($B135="",$H135=""),"",$H135*MAX(1,N($F135)))</f>
        <v/>
      </c>
      <c r="J135" s="80" t="n"/>
      <c r="K135" s="77" t="n"/>
      <c r="L135" s="54">
        <f>IF($B135="",0,IF(COUNTIFS('①在庫を貼る'!$V$6:$V$10005,'設定'!$C$4,'①在庫を貼る'!$W$6:$W$10005,$B135)+COUNTIFS('月1回_1ヶ月前の在庫'!$V$6:$V$10005,'設定'!$C$4,'月1回_1ヶ月前の在庫'!$W$6:$W$10005,$B135)+COUNTIFS('月1回_2ヶ月前の在庫'!$V$6:$V$10005,'設定'!$C$4,'月1回_2ヶ月前の在庫'!$W$6:$W$10005,$B135)&gt;0,1,0))</f>
        <v/>
      </c>
      <c r="M135" s="54">
        <f>N(M134)+$L135</f>
        <v/>
      </c>
      <c r="N135" s="54">
        <f>IF($B135="",0,COUNTIFS('①在庫を貼る'!$V$6:$V$10005,'設定'!$C$4,'①在庫を貼る'!$W$6:$W$10005,$B135))</f>
        <v/>
      </c>
    </row>
    <row r="136" ht="18" customHeight="1">
      <c r="B136" s="76" t="inlineStr">
        <is>
          <t>1812000013497</t>
        </is>
      </c>
      <c r="C136" s="77" t="inlineStr">
        <is>
          <t>マリオ　ヨッシーＰボックス　仕入</t>
        </is>
      </c>
      <c r="D136" s="77" t="inlineStr">
        <is>
          <t>ＳＥＴ作品コンボ</t>
        </is>
      </c>
      <c r="E136" s="77" t="inlineStr">
        <is>
          <t>エパックス（株）</t>
        </is>
      </c>
      <c r="F136" s="78" t="n">
        <v>18</v>
      </c>
      <c r="G136" s="79" t="n">
        <v>2900</v>
      </c>
      <c r="H136" s="69" t="n"/>
      <c r="I136" s="44">
        <f>IF(OR($B136="",$H136=""),"",$H136*MAX(1,N($F136)))</f>
        <v/>
      </c>
      <c r="J136" s="80" t="n"/>
      <c r="K136" s="77" t="n"/>
      <c r="L136" s="54">
        <f>IF($B136="",0,IF(COUNTIFS('①在庫を貼る'!$V$6:$V$10005,'設定'!$C$4,'①在庫を貼る'!$W$6:$W$10005,$B136)+COUNTIFS('月1回_1ヶ月前の在庫'!$V$6:$V$10005,'設定'!$C$4,'月1回_1ヶ月前の在庫'!$W$6:$W$10005,$B136)+COUNTIFS('月1回_2ヶ月前の在庫'!$V$6:$V$10005,'設定'!$C$4,'月1回_2ヶ月前の在庫'!$W$6:$W$10005,$B136)&gt;0,1,0))</f>
        <v/>
      </c>
      <c r="M136" s="54">
        <f>N(M135)+$L136</f>
        <v/>
      </c>
      <c r="N136" s="54">
        <f>IF($B136="",0,COUNTIFS('①在庫を貼る'!$V$6:$V$10005,'設定'!$C$4,'①在庫を貼る'!$W$6:$W$10005,$B136))</f>
        <v/>
      </c>
    </row>
    <row r="137" ht="18" customHeight="1">
      <c r="B137" s="76" t="inlineStr">
        <is>
          <t>1812000008592</t>
        </is>
      </c>
      <c r="C137" s="77" t="inlineStr">
        <is>
          <t>プレミアムモルツ</t>
        </is>
      </c>
      <c r="D137" s="77" t="inlineStr">
        <is>
          <t>アルコール</t>
        </is>
      </c>
      <c r="E137" s="77" t="inlineStr">
        <is>
          <t>本社　番組編成部　マーケティング室</t>
        </is>
      </c>
      <c r="F137" s="78" t="n">
        <v>1</v>
      </c>
      <c r="G137" s="79" t="n">
        <v>219.44</v>
      </c>
      <c r="H137" s="69" t="n"/>
      <c r="I137" s="44">
        <f>IF(OR($B137="",$H137=""),"",$H137*MAX(1,N($F137)))</f>
        <v/>
      </c>
      <c r="J137" s="80" t="n"/>
      <c r="K137" s="77" t="n"/>
      <c r="L137" s="54">
        <f>IF($B137="",0,IF(COUNTIFS('①在庫を貼る'!$V$6:$V$10005,'設定'!$C$4,'①在庫を貼る'!$W$6:$W$10005,$B137)+COUNTIFS('月1回_1ヶ月前の在庫'!$V$6:$V$10005,'設定'!$C$4,'月1回_1ヶ月前の在庫'!$W$6:$W$10005,$B137)+COUNTIFS('月1回_2ヶ月前の在庫'!$V$6:$V$10005,'設定'!$C$4,'月1回_2ヶ月前の在庫'!$W$6:$W$10005,$B137)&gt;0,1,0))</f>
        <v/>
      </c>
      <c r="M137" s="54">
        <f>N(M136)+$L137</f>
        <v/>
      </c>
      <c r="N137" s="54">
        <f>IF($B137="",0,COUNTIFS('①在庫を貼る'!$V$6:$V$10005,'設定'!$C$4,'①在庫を貼る'!$W$6:$W$10005,$B137))</f>
        <v/>
      </c>
    </row>
    <row r="138" ht="18" customHeight="1">
      <c r="B138" s="76" t="n"/>
      <c r="C138" s="77" t="n"/>
      <c r="D138" s="77" t="n"/>
      <c r="E138" s="77" t="n"/>
      <c r="F138" s="78" t="n"/>
      <c r="G138" s="79" t="n"/>
      <c r="H138" s="69" t="n"/>
      <c r="I138" s="44">
        <f>IF(OR($B138="",$H138=""),"",$H138*MAX(1,N($F138)))</f>
        <v/>
      </c>
      <c r="J138" s="80" t="n"/>
      <c r="K138" s="77" t="n"/>
      <c r="L138" s="54">
        <f>IF($B138="",0,IF(COUNTIFS('①在庫を貼る'!$V$6:$V$10005,'設定'!$C$4,'①在庫を貼る'!$W$6:$W$10005,$B138)+COUNTIFS('月1回_1ヶ月前の在庫'!$V$6:$V$10005,'設定'!$C$4,'月1回_1ヶ月前の在庫'!$W$6:$W$10005,$B138)+COUNTIFS('月1回_2ヶ月前の在庫'!$V$6:$V$10005,'設定'!$C$4,'月1回_2ヶ月前の在庫'!$W$6:$W$10005,$B138)&gt;0,1,0))</f>
        <v/>
      </c>
      <c r="M138" s="54">
        <f>N(M137)+$L138</f>
        <v/>
      </c>
      <c r="N138" s="54">
        <f>IF($B138="",0,COUNTIFS('①在庫を貼る'!$V$6:$V$10005,'設定'!$C$4,'①在庫を貼る'!$W$6:$W$10005,$B138))</f>
        <v/>
      </c>
    </row>
    <row r="139" ht="18" customHeight="1">
      <c r="B139" s="76" t="n"/>
      <c r="C139" s="77" t="n"/>
      <c r="D139" s="77" t="n"/>
      <c r="E139" s="77" t="n"/>
      <c r="F139" s="78" t="n"/>
      <c r="G139" s="79" t="n"/>
      <c r="H139" s="69" t="n"/>
      <c r="I139" s="44">
        <f>IF(OR($B139="",$H139=""),"",$H139*MAX(1,N($F139)))</f>
        <v/>
      </c>
      <c r="J139" s="80" t="n"/>
      <c r="K139" s="77" t="n"/>
      <c r="L139" s="54">
        <f>IF($B139="",0,IF(COUNTIFS('①在庫を貼る'!$V$6:$V$10005,'設定'!$C$4,'①在庫を貼る'!$W$6:$W$10005,$B139)+COUNTIFS('月1回_1ヶ月前の在庫'!$V$6:$V$10005,'設定'!$C$4,'月1回_1ヶ月前の在庫'!$W$6:$W$10005,$B139)+COUNTIFS('月1回_2ヶ月前の在庫'!$V$6:$V$10005,'設定'!$C$4,'月1回_2ヶ月前の在庫'!$W$6:$W$10005,$B139)&gt;0,1,0))</f>
        <v/>
      </c>
      <c r="M139" s="54">
        <f>N(M138)+$L139</f>
        <v/>
      </c>
      <c r="N139" s="54">
        <f>IF($B139="",0,COUNTIFS('①在庫を貼る'!$V$6:$V$10005,'設定'!$C$4,'①在庫を貼る'!$W$6:$W$10005,$B139))</f>
        <v/>
      </c>
    </row>
    <row r="140" ht="18" customHeight="1">
      <c r="B140" s="76" t="n"/>
      <c r="C140" s="77" t="n"/>
      <c r="D140" s="77" t="n"/>
      <c r="E140" s="77" t="n"/>
      <c r="F140" s="78" t="n"/>
      <c r="G140" s="79" t="n"/>
      <c r="H140" s="69" t="n"/>
      <c r="I140" s="44">
        <f>IF(OR($B140="",$H140=""),"",$H140*MAX(1,N($F140)))</f>
        <v/>
      </c>
      <c r="J140" s="80" t="n"/>
      <c r="K140" s="77" t="n"/>
      <c r="L140" s="54">
        <f>IF($B140="",0,IF(COUNTIFS('①在庫を貼る'!$V$6:$V$10005,'設定'!$C$4,'①在庫を貼る'!$W$6:$W$10005,$B140)+COUNTIFS('月1回_1ヶ月前の在庫'!$V$6:$V$10005,'設定'!$C$4,'月1回_1ヶ月前の在庫'!$W$6:$W$10005,$B140)+COUNTIFS('月1回_2ヶ月前の在庫'!$V$6:$V$10005,'設定'!$C$4,'月1回_2ヶ月前の在庫'!$W$6:$W$10005,$B140)&gt;0,1,0))</f>
        <v/>
      </c>
      <c r="M140" s="54">
        <f>N(M139)+$L140</f>
        <v/>
      </c>
      <c r="N140" s="54">
        <f>IF($B140="",0,COUNTIFS('①在庫を貼る'!$V$6:$V$10005,'設定'!$C$4,'①在庫を貼る'!$W$6:$W$10005,$B140))</f>
        <v/>
      </c>
    </row>
    <row r="141" ht="18" customHeight="1">
      <c r="B141" s="76" t="n"/>
      <c r="C141" s="77" t="n"/>
      <c r="D141" s="77" t="n"/>
      <c r="E141" s="77" t="n"/>
      <c r="F141" s="78" t="n"/>
      <c r="G141" s="79" t="n"/>
      <c r="H141" s="69" t="n"/>
      <c r="I141" s="44">
        <f>IF(OR($B141="",$H141=""),"",$H141*MAX(1,N($F141)))</f>
        <v/>
      </c>
      <c r="J141" s="80" t="n"/>
      <c r="K141" s="77" t="n"/>
      <c r="L141" s="54">
        <f>IF($B141="",0,IF(COUNTIFS('①在庫を貼る'!$V$6:$V$10005,'設定'!$C$4,'①在庫を貼る'!$W$6:$W$10005,$B141)+COUNTIFS('月1回_1ヶ月前の在庫'!$V$6:$V$10005,'設定'!$C$4,'月1回_1ヶ月前の在庫'!$W$6:$W$10005,$B141)+COUNTIFS('月1回_2ヶ月前の在庫'!$V$6:$V$10005,'設定'!$C$4,'月1回_2ヶ月前の在庫'!$W$6:$W$10005,$B141)&gt;0,1,0))</f>
        <v/>
      </c>
      <c r="M141" s="54">
        <f>N(M140)+$L141</f>
        <v/>
      </c>
      <c r="N141" s="54">
        <f>IF($B141="",0,COUNTIFS('①在庫を貼る'!$V$6:$V$10005,'設定'!$C$4,'①在庫を貼る'!$W$6:$W$10005,$B141))</f>
        <v/>
      </c>
    </row>
    <row r="142" ht="18" customHeight="1">
      <c r="B142" s="76" t="n"/>
      <c r="C142" s="77" t="n"/>
      <c r="D142" s="77" t="n"/>
      <c r="E142" s="77" t="n"/>
      <c r="F142" s="78" t="n"/>
      <c r="G142" s="79" t="n"/>
      <c r="H142" s="69" t="n"/>
      <c r="I142" s="44">
        <f>IF(OR($B142="",$H142=""),"",$H142*MAX(1,N($F142)))</f>
        <v/>
      </c>
      <c r="J142" s="80" t="n"/>
      <c r="K142" s="77" t="n"/>
      <c r="L142" s="54">
        <f>IF($B142="",0,IF(COUNTIFS('①在庫を貼る'!$V$6:$V$10005,'設定'!$C$4,'①在庫を貼る'!$W$6:$W$10005,$B142)+COUNTIFS('月1回_1ヶ月前の在庫'!$V$6:$V$10005,'設定'!$C$4,'月1回_1ヶ月前の在庫'!$W$6:$W$10005,$B142)+COUNTIFS('月1回_2ヶ月前の在庫'!$V$6:$V$10005,'設定'!$C$4,'月1回_2ヶ月前の在庫'!$W$6:$W$10005,$B142)&gt;0,1,0))</f>
        <v/>
      </c>
      <c r="M142" s="54">
        <f>N(M141)+$L142</f>
        <v/>
      </c>
      <c r="N142" s="54">
        <f>IF($B142="",0,COUNTIFS('①在庫を貼る'!$V$6:$V$10005,'設定'!$C$4,'①在庫を貼る'!$W$6:$W$10005,$B142))</f>
        <v/>
      </c>
    </row>
    <row r="143" ht="18" customHeight="1">
      <c r="B143" s="76" t="n"/>
      <c r="C143" s="77" t="n"/>
      <c r="D143" s="77" t="n"/>
      <c r="E143" s="77" t="n"/>
      <c r="F143" s="78" t="n"/>
      <c r="G143" s="79" t="n"/>
      <c r="H143" s="69" t="n"/>
      <c r="I143" s="44">
        <f>IF(OR($B143="",$H143=""),"",$H143*MAX(1,N($F143)))</f>
        <v/>
      </c>
      <c r="J143" s="80" t="n"/>
      <c r="K143" s="77" t="n"/>
      <c r="L143" s="54">
        <f>IF($B143="",0,IF(COUNTIFS('①在庫を貼る'!$V$6:$V$10005,'設定'!$C$4,'①在庫を貼る'!$W$6:$W$10005,$B143)+COUNTIFS('月1回_1ヶ月前の在庫'!$V$6:$V$10005,'設定'!$C$4,'月1回_1ヶ月前の在庫'!$W$6:$W$10005,$B143)+COUNTIFS('月1回_2ヶ月前の在庫'!$V$6:$V$10005,'設定'!$C$4,'月1回_2ヶ月前の在庫'!$W$6:$W$10005,$B143)&gt;0,1,0))</f>
        <v/>
      </c>
      <c r="M143" s="54">
        <f>N(M142)+$L143</f>
        <v/>
      </c>
      <c r="N143" s="54">
        <f>IF($B143="",0,COUNTIFS('①在庫を貼る'!$V$6:$V$10005,'設定'!$C$4,'①在庫を貼る'!$W$6:$W$10005,$B143))</f>
        <v/>
      </c>
    </row>
    <row r="144" ht="18" customHeight="1">
      <c r="B144" s="76" t="n"/>
      <c r="C144" s="77" t="n"/>
      <c r="D144" s="77" t="n"/>
      <c r="E144" s="77" t="n"/>
      <c r="F144" s="78" t="n"/>
      <c r="G144" s="79" t="n"/>
      <c r="H144" s="69" t="n"/>
      <c r="I144" s="44">
        <f>IF(OR($B144="",$H144=""),"",$H144*MAX(1,N($F144)))</f>
        <v/>
      </c>
      <c r="J144" s="80" t="n"/>
      <c r="K144" s="77" t="n"/>
      <c r="L144" s="54">
        <f>IF($B144="",0,IF(COUNTIFS('①在庫を貼る'!$V$6:$V$10005,'設定'!$C$4,'①在庫を貼る'!$W$6:$W$10005,$B144)+COUNTIFS('月1回_1ヶ月前の在庫'!$V$6:$V$10005,'設定'!$C$4,'月1回_1ヶ月前の在庫'!$W$6:$W$10005,$B144)+COUNTIFS('月1回_2ヶ月前の在庫'!$V$6:$V$10005,'設定'!$C$4,'月1回_2ヶ月前の在庫'!$W$6:$W$10005,$B144)&gt;0,1,0))</f>
        <v/>
      </c>
      <c r="M144" s="54">
        <f>N(M143)+$L144</f>
        <v/>
      </c>
      <c r="N144" s="54">
        <f>IF($B144="",0,COUNTIFS('①在庫を貼る'!$V$6:$V$10005,'設定'!$C$4,'①在庫を貼る'!$W$6:$W$10005,$B144))</f>
        <v/>
      </c>
    </row>
    <row r="145" ht="18" customHeight="1">
      <c r="B145" s="76" t="n"/>
      <c r="C145" s="77" t="n"/>
      <c r="D145" s="77" t="n"/>
      <c r="E145" s="77" t="n"/>
      <c r="F145" s="78" t="n"/>
      <c r="G145" s="79" t="n"/>
      <c r="H145" s="69" t="n"/>
      <c r="I145" s="44">
        <f>IF(OR($B145="",$H145=""),"",$H145*MAX(1,N($F145)))</f>
        <v/>
      </c>
      <c r="J145" s="80" t="n"/>
      <c r="K145" s="77" t="n"/>
      <c r="L145" s="54">
        <f>IF($B145="",0,IF(COUNTIFS('①在庫を貼る'!$V$6:$V$10005,'設定'!$C$4,'①在庫を貼る'!$W$6:$W$10005,$B145)+COUNTIFS('月1回_1ヶ月前の在庫'!$V$6:$V$10005,'設定'!$C$4,'月1回_1ヶ月前の在庫'!$W$6:$W$10005,$B145)+COUNTIFS('月1回_2ヶ月前の在庫'!$V$6:$V$10005,'設定'!$C$4,'月1回_2ヶ月前の在庫'!$W$6:$W$10005,$B145)&gt;0,1,0))</f>
        <v/>
      </c>
      <c r="M145" s="54">
        <f>N(M144)+$L145</f>
        <v/>
      </c>
      <c r="N145" s="54">
        <f>IF($B145="",0,COUNTIFS('①在庫を貼る'!$V$6:$V$10005,'設定'!$C$4,'①在庫を貼る'!$W$6:$W$10005,$B145))</f>
        <v/>
      </c>
    </row>
    <row r="146" ht="18" customHeight="1">
      <c r="B146" s="76" t="n"/>
      <c r="C146" s="77" t="n"/>
      <c r="D146" s="77" t="n"/>
      <c r="E146" s="77" t="n"/>
      <c r="F146" s="78" t="n"/>
      <c r="G146" s="79" t="n"/>
      <c r="H146" s="69" t="n"/>
      <c r="I146" s="44">
        <f>IF(OR($B146="",$H146=""),"",$H146*MAX(1,N($F146)))</f>
        <v/>
      </c>
      <c r="J146" s="80" t="n"/>
      <c r="K146" s="77" t="n"/>
      <c r="L146" s="54">
        <f>IF($B146="",0,IF(COUNTIFS('①在庫を貼る'!$V$6:$V$10005,'設定'!$C$4,'①在庫を貼る'!$W$6:$W$10005,$B146)+COUNTIFS('月1回_1ヶ月前の在庫'!$V$6:$V$10005,'設定'!$C$4,'月1回_1ヶ月前の在庫'!$W$6:$W$10005,$B146)+COUNTIFS('月1回_2ヶ月前の在庫'!$V$6:$V$10005,'設定'!$C$4,'月1回_2ヶ月前の在庫'!$W$6:$W$10005,$B146)&gt;0,1,0))</f>
        <v/>
      </c>
      <c r="M146" s="54">
        <f>N(M145)+$L146</f>
        <v/>
      </c>
      <c r="N146" s="54">
        <f>IF($B146="",0,COUNTIFS('①在庫を貼る'!$V$6:$V$10005,'設定'!$C$4,'①在庫を貼る'!$W$6:$W$10005,$B146))</f>
        <v/>
      </c>
    </row>
    <row r="147" ht="18" customHeight="1">
      <c r="B147" s="76" t="n"/>
      <c r="C147" s="77" t="n"/>
      <c r="D147" s="77" t="n"/>
      <c r="E147" s="77" t="n"/>
      <c r="F147" s="78" t="n"/>
      <c r="G147" s="79" t="n"/>
      <c r="H147" s="69" t="n"/>
      <c r="I147" s="44">
        <f>IF(OR($B147="",$H147=""),"",$H147*MAX(1,N($F147)))</f>
        <v/>
      </c>
      <c r="J147" s="80" t="n"/>
      <c r="K147" s="77" t="n"/>
      <c r="L147" s="54">
        <f>IF($B147="",0,IF(COUNTIFS('①在庫を貼る'!$V$6:$V$10005,'設定'!$C$4,'①在庫を貼る'!$W$6:$W$10005,$B147)+COUNTIFS('月1回_1ヶ月前の在庫'!$V$6:$V$10005,'設定'!$C$4,'月1回_1ヶ月前の在庫'!$W$6:$W$10005,$B147)+COUNTIFS('月1回_2ヶ月前の在庫'!$V$6:$V$10005,'設定'!$C$4,'月1回_2ヶ月前の在庫'!$W$6:$W$10005,$B147)&gt;0,1,0))</f>
        <v/>
      </c>
      <c r="M147" s="54">
        <f>N(M146)+$L147</f>
        <v/>
      </c>
      <c r="N147" s="54">
        <f>IF($B147="",0,COUNTIFS('①在庫を貼る'!$V$6:$V$10005,'設定'!$C$4,'①在庫を貼る'!$W$6:$W$10005,$B147))</f>
        <v/>
      </c>
    </row>
    <row r="148" ht="18" customHeight="1">
      <c r="B148" s="76" t="n"/>
      <c r="C148" s="77" t="n"/>
      <c r="D148" s="77" t="n"/>
      <c r="E148" s="77" t="n"/>
      <c r="F148" s="78" t="n"/>
      <c r="G148" s="79" t="n"/>
      <c r="H148" s="69" t="n"/>
      <c r="I148" s="44">
        <f>IF(OR($B148="",$H148=""),"",$H148*MAX(1,N($F148)))</f>
        <v/>
      </c>
      <c r="J148" s="80" t="n"/>
      <c r="K148" s="77" t="n"/>
      <c r="L148" s="54">
        <f>IF($B148="",0,IF(COUNTIFS('①在庫を貼る'!$V$6:$V$10005,'設定'!$C$4,'①在庫を貼る'!$W$6:$W$10005,$B148)+COUNTIFS('月1回_1ヶ月前の在庫'!$V$6:$V$10005,'設定'!$C$4,'月1回_1ヶ月前の在庫'!$W$6:$W$10005,$B148)+COUNTIFS('月1回_2ヶ月前の在庫'!$V$6:$V$10005,'設定'!$C$4,'月1回_2ヶ月前の在庫'!$W$6:$W$10005,$B148)&gt;0,1,0))</f>
        <v/>
      </c>
      <c r="M148" s="54">
        <f>N(M147)+$L148</f>
        <v/>
      </c>
      <c r="N148" s="54">
        <f>IF($B148="",0,COUNTIFS('①在庫を貼る'!$V$6:$V$10005,'設定'!$C$4,'①在庫を貼る'!$W$6:$W$10005,$B148))</f>
        <v/>
      </c>
    </row>
    <row r="149" ht="18" customHeight="1">
      <c r="B149" s="76" t="n"/>
      <c r="C149" s="77" t="n"/>
      <c r="D149" s="77" t="n"/>
      <c r="E149" s="77" t="n"/>
      <c r="F149" s="78" t="n"/>
      <c r="G149" s="79" t="n"/>
      <c r="H149" s="69" t="n"/>
      <c r="I149" s="44">
        <f>IF(OR($B149="",$H149=""),"",$H149*MAX(1,N($F149)))</f>
        <v/>
      </c>
      <c r="J149" s="80" t="n"/>
      <c r="K149" s="77" t="n"/>
      <c r="L149" s="54">
        <f>IF($B149="",0,IF(COUNTIFS('①在庫を貼る'!$V$6:$V$10005,'設定'!$C$4,'①在庫を貼る'!$W$6:$W$10005,$B149)+COUNTIFS('月1回_1ヶ月前の在庫'!$V$6:$V$10005,'設定'!$C$4,'月1回_1ヶ月前の在庫'!$W$6:$W$10005,$B149)+COUNTIFS('月1回_2ヶ月前の在庫'!$V$6:$V$10005,'設定'!$C$4,'月1回_2ヶ月前の在庫'!$W$6:$W$10005,$B149)&gt;0,1,0))</f>
        <v/>
      </c>
      <c r="M149" s="54">
        <f>N(M148)+$L149</f>
        <v/>
      </c>
      <c r="N149" s="54">
        <f>IF($B149="",0,COUNTIFS('①在庫を貼る'!$V$6:$V$10005,'設定'!$C$4,'①在庫を貼る'!$W$6:$W$10005,$B149))</f>
        <v/>
      </c>
    </row>
    <row r="150" ht="18" customHeight="1">
      <c r="B150" s="76" t="n"/>
      <c r="C150" s="77" t="n"/>
      <c r="D150" s="77" t="n"/>
      <c r="E150" s="77" t="n"/>
      <c r="F150" s="78" t="n"/>
      <c r="G150" s="79" t="n"/>
      <c r="H150" s="69" t="n"/>
      <c r="I150" s="44">
        <f>IF(OR($B150="",$H150=""),"",$H150*MAX(1,N($F150)))</f>
        <v/>
      </c>
      <c r="J150" s="80" t="n"/>
      <c r="K150" s="77" t="n"/>
      <c r="L150" s="54">
        <f>IF($B150="",0,IF(COUNTIFS('①在庫を貼る'!$V$6:$V$10005,'設定'!$C$4,'①在庫を貼る'!$W$6:$W$10005,$B150)+COUNTIFS('月1回_1ヶ月前の在庫'!$V$6:$V$10005,'設定'!$C$4,'月1回_1ヶ月前の在庫'!$W$6:$W$10005,$B150)+COUNTIFS('月1回_2ヶ月前の在庫'!$V$6:$V$10005,'設定'!$C$4,'月1回_2ヶ月前の在庫'!$W$6:$W$10005,$B150)&gt;0,1,0))</f>
        <v/>
      </c>
      <c r="M150" s="54">
        <f>N(M149)+$L150</f>
        <v/>
      </c>
      <c r="N150" s="54">
        <f>IF($B150="",0,COUNTIFS('①在庫を貼る'!$V$6:$V$10005,'設定'!$C$4,'①在庫を貼る'!$W$6:$W$10005,$B150))</f>
        <v/>
      </c>
    </row>
    <row r="151" ht="18" customHeight="1">
      <c r="B151" s="76" t="n"/>
      <c r="C151" s="77" t="n"/>
      <c r="D151" s="77" t="n"/>
      <c r="E151" s="77" t="n"/>
      <c r="F151" s="78" t="n"/>
      <c r="G151" s="79" t="n"/>
      <c r="H151" s="69" t="n"/>
      <c r="I151" s="44">
        <f>IF(OR($B151="",$H151=""),"",$H151*MAX(1,N($F151)))</f>
        <v/>
      </c>
      <c r="J151" s="80" t="n"/>
      <c r="K151" s="77" t="n"/>
      <c r="L151" s="54">
        <f>IF($B151="",0,IF(COUNTIFS('①在庫を貼る'!$V$6:$V$10005,'設定'!$C$4,'①在庫を貼る'!$W$6:$W$10005,$B151)+COUNTIFS('月1回_1ヶ月前の在庫'!$V$6:$V$10005,'設定'!$C$4,'月1回_1ヶ月前の在庫'!$W$6:$W$10005,$B151)+COUNTIFS('月1回_2ヶ月前の在庫'!$V$6:$V$10005,'設定'!$C$4,'月1回_2ヶ月前の在庫'!$W$6:$W$10005,$B151)&gt;0,1,0))</f>
        <v/>
      </c>
      <c r="M151" s="54">
        <f>N(M150)+$L151</f>
        <v/>
      </c>
      <c r="N151" s="54">
        <f>IF($B151="",0,COUNTIFS('①在庫を貼る'!$V$6:$V$10005,'設定'!$C$4,'①在庫を貼る'!$W$6:$W$10005,$B151))</f>
        <v/>
      </c>
    </row>
    <row r="152" ht="18" customHeight="1">
      <c r="B152" s="76" t="n"/>
      <c r="C152" s="77" t="n"/>
      <c r="D152" s="77" t="n"/>
      <c r="E152" s="77" t="n"/>
      <c r="F152" s="78" t="n"/>
      <c r="G152" s="79" t="n"/>
      <c r="H152" s="69" t="n"/>
      <c r="I152" s="44">
        <f>IF(OR($B152="",$H152=""),"",$H152*MAX(1,N($F152)))</f>
        <v/>
      </c>
      <c r="J152" s="80" t="n"/>
      <c r="K152" s="77" t="n"/>
      <c r="L152" s="54">
        <f>IF($B152="",0,IF(COUNTIFS('①在庫を貼る'!$V$6:$V$10005,'設定'!$C$4,'①在庫を貼る'!$W$6:$W$10005,$B152)+COUNTIFS('月1回_1ヶ月前の在庫'!$V$6:$V$10005,'設定'!$C$4,'月1回_1ヶ月前の在庫'!$W$6:$W$10005,$B152)+COUNTIFS('月1回_2ヶ月前の在庫'!$V$6:$V$10005,'設定'!$C$4,'月1回_2ヶ月前の在庫'!$W$6:$W$10005,$B152)&gt;0,1,0))</f>
        <v/>
      </c>
      <c r="M152" s="54">
        <f>N(M151)+$L152</f>
        <v/>
      </c>
      <c r="N152" s="54">
        <f>IF($B152="",0,COUNTIFS('①在庫を貼る'!$V$6:$V$10005,'設定'!$C$4,'①在庫を貼る'!$W$6:$W$10005,$B152))</f>
        <v/>
      </c>
    </row>
    <row r="153" ht="18" customHeight="1">
      <c r="B153" s="76" t="n"/>
      <c r="C153" s="77" t="n"/>
      <c r="D153" s="77" t="n"/>
      <c r="E153" s="77" t="n"/>
      <c r="F153" s="78" t="n"/>
      <c r="G153" s="79" t="n"/>
      <c r="H153" s="69" t="n"/>
      <c r="I153" s="44">
        <f>IF(OR($B153="",$H153=""),"",$H153*MAX(1,N($F153)))</f>
        <v/>
      </c>
      <c r="J153" s="80" t="n"/>
      <c r="K153" s="77" t="n"/>
      <c r="L153" s="54">
        <f>IF($B153="",0,IF(COUNTIFS('①在庫を貼る'!$V$6:$V$10005,'設定'!$C$4,'①在庫を貼る'!$W$6:$W$10005,$B153)+COUNTIFS('月1回_1ヶ月前の在庫'!$V$6:$V$10005,'設定'!$C$4,'月1回_1ヶ月前の在庫'!$W$6:$W$10005,$B153)+COUNTIFS('月1回_2ヶ月前の在庫'!$V$6:$V$10005,'設定'!$C$4,'月1回_2ヶ月前の在庫'!$W$6:$W$10005,$B153)&gt;0,1,0))</f>
        <v/>
      </c>
      <c r="M153" s="54">
        <f>N(M152)+$L153</f>
        <v/>
      </c>
      <c r="N153" s="54">
        <f>IF($B153="",0,COUNTIFS('①在庫を貼る'!$V$6:$V$10005,'設定'!$C$4,'①在庫を貼る'!$W$6:$W$10005,$B153))</f>
        <v/>
      </c>
    </row>
    <row r="154" ht="18" customHeight="1">
      <c r="B154" s="76" t="n"/>
      <c r="C154" s="77" t="n"/>
      <c r="D154" s="77" t="n"/>
      <c r="E154" s="77" t="n"/>
      <c r="F154" s="78" t="n"/>
      <c r="G154" s="79" t="n"/>
      <c r="H154" s="69" t="n"/>
      <c r="I154" s="44">
        <f>IF(OR($B154="",$H154=""),"",$H154*MAX(1,N($F154)))</f>
        <v/>
      </c>
      <c r="J154" s="80" t="n"/>
      <c r="K154" s="77" t="n"/>
      <c r="L154" s="54">
        <f>IF($B154="",0,IF(COUNTIFS('①在庫を貼る'!$V$6:$V$10005,'設定'!$C$4,'①在庫を貼る'!$W$6:$W$10005,$B154)+COUNTIFS('月1回_1ヶ月前の在庫'!$V$6:$V$10005,'設定'!$C$4,'月1回_1ヶ月前の在庫'!$W$6:$W$10005,$B154)+COUNTIFS('月1回_2ヶ月前の在庫'!$V$6:$V$10005,'設定'!$C$4,'月1回_2ヶ月前の在庫'!$W$6:$W$10005,$B154)&gt;0,1,0))</f>
        <v/>
      </c>
      <c r="M154" s="54">
        <f>N(M153)+$L154</f>
        <v/>
      </c>
      <c r="N154" s="54">
        <f>IF($B154="",0,COUNTIFS('①在庫を貼る'!$V$6:$V$10005,'設定'!$C$4,'①在庫を貼る'!$W$6:$W$10005,$B154))</f>
        <v/>
      </c>
    </row>
    <row r="155" ht="18" customHeight="1">
      <c r="B155" s="76" t="n"/>
      <c r="C155" s="77" t="n"/>
      <c r="D155" s="77" t="n"/>
      <c r="E155" s="77" t="n"/>
      <c r="F155" s="78" t="n"/>
      <c r="G155" s="79" t="n"/>
      <c r="H155" s="69" t="n"/>
      <c r="I155" s="44">
        <f>IF(OR($B155="",$H155=""),"",$H155*MAX(1,N($F155)))</f>
        <v/>
      </c>
      <c r="J155" s="80" t="n"/>
      <c r="K155" s="77" t="n"/>
      <c r="L155" s="54">
        <f>IF($B155="",0,IF(COUNTIFS('①在庫を貼る'!$V$6:$V$10005,'設定'!$C$4,'①在庫を貼る'!$W$6:$W$10005,$B155)+COUNTIFS('月1回_1ヶ月前の在庫'!$V$6:$V$10005,'設定'!$C$4,'月1回_1ヶ月前の在庫'!$W$6:$W$10005,$B155)+COUNTIFS('月1回_2ヶ月前の在庫'!$V$6:$V$10005,'設定'!$C$4,'月1回_2ヶ月前の在庫'!$W$6:$W$10005,$B155)&gt;0,1,0))</f>
        <v/>
      </c>
      <c r="M155" s="54">
        <f>N(M154)+$L155</f>
        <v/>
      </c>
      <c r="N155" s="54">
        <f>IF($B155="",0,COUNTIFS('①在庫を貼る'!$V$6:$V$10005,'設定'!$C$4,'①在庫を貼る'!$W$6:$W$10005,$B155))</f>
        <v/>
      </c>
    </row>
    <row r="156" ht="18" customHeight="1">
      <c r="B156" s="76" t="n"/>
      <c r="C156" s="77" t="n"/>
      <c r="D156" s="77" t="n"/>
      <c r="E156" s="77" t="n"/>
      <c r="F156" s="78" t="n"/>
      <c r="G156" s="79" t="n"/>
      <c r="H156" s="69" t="n"/>
      <c r="I156" s="44">
        <f>IF(OR($B156="",$H156=""),"",$H156*MAX(1,N($F156)))</f>
        <v/>
      </c>
      <c r="J156" s="80" t="n"/>
      <c r="K156" s="77" t="n"/>
      <c r="L156" s="54">
        <f>IF($B156="",0,IF(COUNTIFS('①在庫を貼る'!$V$6:$V$10005,'設定'!$C$4,'①在庫を貼る'!$W$6:$W$10005,$B156)+COUNTIFS('月1回_1ヶ月前の在庫'!$V$6:$V$10005,'設定'!$C$4,'月1回_1ヶ月前の在庫'!$W$6:$W$10005,$B156)+COUNTIFS('月1回_2ヶ月前の在庫'!$V$6:$V$10005,'設定'!$C$4,'月1回_2ヶ月前の在庫'!$W$6:$W$10005,$B156)&gt;0,1,0))</f>
        <v/>
      </c>
      <c r="M156" s="54">
        <f>N(M155)+$L156</f>
        <v/>
      </c>
      <c r="N156" s="54">
        <f>IF($B156="",0,COUNTIFS('①在庫を貼る'!$V$6:$V$10005,'設定'!$C$4,'①在庫を貼る'!$W$6:$W$10005,$B156))</f>
        <v/>
      </c>
    </row>
    <row r="157" ht="18" customHeight="1">
      <c r="B157" s="76" t="n"/>
      <c r="C157" s="77" t="n"/>
      <c r="D157" s="77" t="n"/>
      <c r="E157" s="77" t="n"/>
      <c r="F157" s="78" t="n"/>
      <c r="G157" s="79" t="n"/>
      <c r="H157" s="69" t="n"/>
      <c r="I157" s="44">
        <f>IF(OR($B157="",$H157=""),"",$H157*MAX(1,N($F157)))</f>
        <v/>
      </c>
      <c r="J157" s="80" t="n"/>
      <c r="K157" s="77" t="n"/>
      <c r="L157" s="54">
        <f>IF($B157="",0,IF(COUNTIFS('①在庫を貼る'!$V$6:$V$10005,'設定'!$C$4,'①在庫を貼る'!$W$6:$W$10005,$B157)+COUNTIFS('月1回_1ヶ月前の在庫'!$V$6:$V$10005,'設定'!$C$4,'月1回_1ヶ月前の在庫'!$W$6:$W$10005,$B157)+COUNTIFS('月1回_2ヶ月前の在庫'!$V$6:$V$10005,'設定'!$C$4,'月1回_2ヶ月前の在庫'!$W$6:$W$10005,$B157)&gt;0,1,0))</f>
        <v/>
      </c>
      <c r="M157" s="54">
        <f>N(M156)+$L157</f>
        <v/>
      </c>
      <c r="N157" s="54">
        <f>IF($B157="",0,COUNTIFS('①在庫を貼る'!$V$6:$V$10005,'設定'!$C$4,'①在庫を貼る'!$W$6:$W$10005,$B157))</f>
        <v/>
      </c>
    </row>
    <row r="158" ht="18" customHeight="1">
      <c r="B158" s="76" t="n"/>
      <c r="C158" s="77" t="n"/>
      <c r="D158" s="77" t="n"/>
      <c r="E158" s="77" t="n"/>
      <c r="F158" s="78" t="n"/>
      <c r="G158" s="79" t="n"/>
      <c r="H158" s="69" t="n"/>
      <c r="I158" s="44">
        <f>IF(OR($B158="",$H158=""),"",$H158*MAX(1,N($F158)))</f>
        <v/>
      </c>
      <c r="J158" s="80" t="n"/>
      <c r="K158" s="77" t="n"/>
      <c r="L158" s="54">
        <f>IF($B158="",0,IF(COUNTIFS('①在庫を貼る'!$V$6:$V$10005,'設定'!$C$4,'①在庫を貼る'!$W$6:$W$10005,$B158)+COUNTIFS('月1回_1ヶ月前の在庫'!$V$6:$V$10005,'設定'!$C$4,'月1回_1ヶ月前の在庫'!$W$6:$W$10005,$B158)+COUNTIFS('月1回_2ヶ月前の在庫'!$V$6:$V$10005,'設定'!$C$4,'月1回_2ヶ月前の在庫'!$W$6:$W$10005,$B158)&gt;0,1,0))</f>
        <v/>
      </c>
      <c r="M158" s="54">
        <f>N(M157)+$L158</f>
        <v/>
      </c>
      <c r="N158" s="54">
        <f>IF($B158="",0,COUNTIFS('①在庫を貼る'!$V$6:$V$10005,'設定'!$C$4,'①在庫を貼る'!$W$6:$W$10005,$B158))</f>
        <v/>
      </c>
    </row>
    <row r="159" ht="18" customHeight="1">
      <c r="B159" s="76" t="n"/>
      <c r="C159" s="77" t="n"/>
      <c r="D159" s="77" t="n"/>
      <c r="E159" s="77" t="n"/>
      <c r="F159" s="78" t="n"/>
      <c r="G159" s="79" t="n"/>
      <c r="H159" s="69" t="n"/>
      <c r="I159" s="44">
        <f>IF(OR($B159="",$H159=""),"",$H159*MAX(1,N($F159)))</f>
        <v/>
      </c>
      <c r="J159" s="80" t="n"/>
      <c r="K159" s="77" t="n"/>
      <c r="L159" s="54">
        <f>IF($B159="",0,IF(COUNTIFS('①在庫を貼る'!$V$6:$V$10005,'設定'!$C$4,'①在庫を貼る'!$W$6:$W$10005,$B159)+COUNTIFS('月1回_1ヶ月前の在庫'!$V$6:$V$10005,'設定'!$C$4,'月1回_1ヶ月前の在庫'!$W$6:$W$10005,$B159)+COUNTIFS('月1回_2ヶ月前の在庫'!$V$6:$V$10005,'設定'!$C$4,'月1回_2ヶ月前の在庫'!$W$6:$W$10005,$B159)&gt;0,1,0))</f>
        <v/>
      </c>
      <c r="M159" s="54">
        <f>N(M158)+$L159</f>
        <v/>
      </c>
      <c r="N159" s="54">
        <f>IF($B159="",0,COUNTIFS('①在庫を貼る'!$V$6:$V$10005,'設定'!$C$4,'①在庫を貼る'!$W$6:$W$10005,$B159))</f>
        <v/>
      </c>
    </row>
    <row r="160" ht="18" customHeight="1">
      <c r="B160" s="76" t="n"/>
      <c r="C160" s="77" t="n"/>
      <c r="D160" s="77" t="n"/>
      <c r="E160" s="77" t="n"/>
      <c r="F160" s="78" t="n"/>
      <c r="G160" s="79" t="n"/>
      <c r="H160" s="69" t="n"/>
      <c r="I160" s="44">
        <f>IF(OR($B160="",$H160=""),"",$H160*MAX(1,N($F160)))</f>
        <v/>
      </c>
      <c r="J160" s="80" t="n"/>
      <c r="K160" s="77" t="n"/>
      <c r="L160" s="54">
        <f>IF($B160="",0,IF(COUNTIFS('①在庫を貼る'!$V$6:$V$10005,'設定'!$C$4,'①在庫を貼る'!$W$6:$W$10005,$B160)+COUNTIFS('月1回_1ヶ月前の在庫'!$V$6:$V$10005,'設定'!$C$4,'月1回_1ヶ月前の在庫'!$W$6:$W$10005,$B160)+COUNTIFS('月1回_2ヶ月前の在庫'!$V$6:$V$10005,'設定'!$C$4,'月1回_2ヶ月前の在庫'!$W$6:$W$10005,$B160)&gt;0,1,0))</f>
        <v/>
      </c>
      <c r="M160" s="54">
        <f>N(M159)+$L160</f>
        <v/>
      </c>
      <c r="N160" s="54">
        <f>IF($B160="",0,COUNTIFS('①在庫を貼る'!$V$6:$V$10005,'設定'!$C$4,'①在庫を貼る'!$W$6:$W$10005,$B160))</f>
        <v/>
      </c>
    </row>
    <row r="161" ht="18" customHeight="1">
      <c r="B161" s="76" t="n"/>
      <c r="C161" s="77" t="n"/>
      <c r="D161" s="77" t="n"/>
      <c r="E161" s="77" t="n"/>
      <c r="F161" s="78" t="n"/>
      <c r="G161" s="79" t="n"/>
      <c r="H161" s="69" t="n"/>
      <c r="I161" s="44">
        <f>IF(OR($B161="",$H161=""),"",$H161*MAX(1,N($F161)))</f>
        <v/>
      </c>
      <c r="J161" s="80" t="n"/>
      <c r="K161" s="77" t="n"/>
      <c r="L161" s="54">
        <f>IF($B161="",0,IF(COUNTIFS('①在庫を貼る'!$V$6:$V$10005,'設定'!$C$4,'①在庫を貼る'!$W$6:$W$10005,$B161)+COUNTIFS('月1回_1ヶ月前の在庫'!$V$6:$V$10005,'設定'!$C$4,'月1回_1ヶ月前の在庫'!$W$6:$W$10005,$B161)+COUNTIFS('月1回_2ヶ月前の在庫'!$V$6:$V$10005,'設定'!$C$4,'月1回_2ヶ月前の在庫'!$W$6:$W$10005,$B161)&gt;0,1,0))</f>
        <v/>
      </c>
      <c r="M161" s="54">
        <f>N(M160)+$L161</f>
        <v/>
      </c>
      <c r="N161" s="54">
        <f>IF($B161="",0,COUNTIFS('①在庫を貼る'!$V$6:$V$10005,'設定'!$C$4,'①在庫を貼る'!$W$6:$W$10005,$B161))</f>
        <v/>
      </c>
    </row>
    <row r="162" ht="18" customHeight="1">
      <c r="B162" s="76" t="n"/>
      <c r="C162" s="77" t="n"/>
      <c r="D162" s="77" t="n"/>
      <c r="E162" s="77" t="n"/>
      <c r="F162" s="78" t="n"/>
      <c r="G162" s="79" t="n"/>
      <c r="H162" s="69" t="n"/>
      <c r="I162" s="44">
        <f>IF(OR($B162="",$H162=""),"",$H162*MAX(1,N($F162)))</f>
        <v/>
      </c>
      <c r="J162" s="80" t="n"/>
      <c r="K162" s="77" t="n"/>
      <c r="L162" s="54">
        <f>IF($B162="",0,IF(COUNTIFS('①在庫を貼る'!$V$6:$V$10005,'設定'!$C$4,'①在庫を貼る'!$W$6:$W$10005,$B162)+COUNTIFS('月1回_1ヶ月前の在庫'!$V$6:$V$10005,'設定'!$C$4,'月1回_1ヶ月前の在庫'!$W$6:$W$10005,$B162)+COUNTIFS('月1回_2ヶ月前の在庫'!$V$6:$V$10005,'設定'!$C$4,'月1回_2ヶ月前の在庫'!$W$6:$W$10005,$B162)&gt;0,1,0))</f>
        <v/>
      </c>
      <c r="M162" s="54">
        <f>N(M161)+$L162</f>
        <v/>
      </c>
      <c r="N162" s="54">
        <f>IF($B162="",0,COUNTIFS('①在庫を貼る'!$V$6:$V$10005,'設定'!$C$4,'①在庫を貼る'!$W$6:$W$10005,$B162))</f>
        <v/>
      </c>
    </row>
    <row r="163" ht="18" customHeight="1">
      <c r="B163" s="76" t="n"/>
      <c r="C163" s="77" t="n"/>
      <c r="D163" s="77" t="n"/>
      <c r="E163" s="77" t="n"/>
      <c r="F163" s="78" t="n"/>
      <c r="G163" s="79" t="n"/>
      <c r="H163" s="69" t="n"/>
      <c r="I163" s="44">
        <f>IF(OR($B163="",$H163=""),"",$H163*MAX(1,N($F163)))</f>
        <v/>
      </c>
      <c r="J163" s="80" t="n"/>
      <c r="K163" s="77" t="n"/>
      <c r="L163" s="54">
        <f>IF($B163="",0,IF(COUNTIFS('①在庫を貼る'!$V$6:$V$10005,'設定'!$C$4,'①在庫を貼る'!$W$6:$W$10005,$B163)+COUNTIFS('月1回_1ヶ月前の在庫'!$V$6:$V$10005,'設定'!$C$4,'月1回_1ヶ月前の在庫'!$W$6:$W$10005,$B163)+COUNTIFS('月1回_2ヶ月前の在庫'!$V$6:$V$10005,'設定'!$C$4,'月1回_2ヶ月前の在庫'!$W$6:$W$10005,$B163)&gt;0,1,0))</f>
        <v/>
      </c>
      <c r="M163" s="54">
        <f>N(M162)+$L163</f>
        <v/>
      </c>
      <c r="N163" s="54">
        <f>IF($B163="",0,COUNTIFS('①在庫を貼る'!$V$6:$V$10005,'設定'!$C$4,'①在庫を貼る'!$W$6:$W$10005,$B163))</f>
        <v/>
      </c>
    </row>
    <row r="164" ht="18" customHeight="1">
      <c r="B164" s="76" t="n"/>
      <c r="C164" s="77" t="n"/>
      <c r="D164" s="77" t="n"/>
      <c r="E164" s="77" t="n"/>
      <c r="F164" s="78" t="n"/>
      <c r="G164" s="79" t="n"/>
      <c r="H164" s="69" t="n"/>
      <c r="I164" s="44">
        <f>IF(OR($B164="",$H164=""),"",$H164*MAX(1,N($F164)))</f>
        <v/>
      </c>
      <c r="J164" s="80" t="n"/>
      <c r="K164" s="77" t="n"/>
      <c r="L164" s="54">
        <f>IF($B164="",0,IF(COUNTIFS('①在庫を貼る'!$V$6:$V$10005,'設定'!$C$4,'①在庫を貼る'!$W$6:$W$10005,$B164)+COUNTIFS('月1回_1ヶ月前の在庫'!$V$6:$V$10005,'設定'!$C$4,'月1回_1ヶ月前の在庫'!$W$6:$W$10005,$B164)+COUNTIFS('月1回_2ヶ月前の在庫'!$V$6:$V$10005,'設定'!$C$4,'月1回_2ヶ月前の在庫'!$W$6:$W$10005,$B164)&gt;0,1,0))</f>
        <v/>
      </c>
      <c r="M164" s="54">
        <f>N(M163)+$L164</f>
        <v/>
      </c>
      <c r="N164" s="54">
        <f>IF($B164="",0,COUNTIFS('①在庫を貼る'!$V$6:$V$10005,'設定'!$C$4,'①在庫を貼る'!$W$6:$W$10005,$B164))</f>
        <v/>
      </c>
    </row>
    <row r="165" ht="18" customHeight="1">
      <c r="B165" s="76" t="n"/>
      <c r="C165" s="77" t="n"/>
      <c r="D165" s="77" t="n"/>
      <c r="E165" s="77" t="n"/>
      <c r="F165" s="78" t="n"/>
      <c r="G165" s="79" t="n"/>
      <c r="H165" s="69" t="n"/>
      <c r="I165" s="44">
        <f>IF(OR($B165="",$H165=""),"",$H165*MAX(1,N($F165)))</f>
        <v/>
      </c>
      <c r="J165" s="80" t="n"/>
      <c r="K165" s="77" t="n"/>
      <c r="L165" s="54">
        <f>IF($B165="",0,IF(COUNTIFS('①在庫を貼る'!$V$6:$V$10005,'設定'!$C$4,'①在庫を貼る'!$W$6:$W$10005,$B165)+COUNTIFS('月1回_1ヶ月前の在庫'!$V$6:$V$10005,'設定'!$C$4,'月1回_1ヶ月前の在庫'!$W$6:$W$10005,$B165)+COUNTIFS('月1回_2ヶ月前の在庫'!$V$6:$V$10005,'設定'!$C$4,'月1回_2ヶ月前の在庫'!$W$6:$W$10005,$B165)&gt;0,1,0))</f>
        <v/>
      </c>
      <c r="M165" s="54">
        <f>N(M164)+$L165</f>
        <v/>
      </c>
      <c r="N165" s="54">
        <f>IF($B165="",0,COUNTIFS('①在庫を貼る'!$V$6:$V$10005,'設定'!$C$4,'①在庫を貼る'!$W$6:$W$10005,$B165))</f>
        <v/>
      </c>
    </row>
    <row r="166" ht="18" customHeight="1">
      <c r="B166" s="76" t="n"/>
      <c r="C166" s="77" t="n"/>
      <c r="D166" s="77" t="n"/>
      <c r="E166" s="77" t="n"/>
      <c r="F166" s="78" t="n"/>
      <c r="G166" s="79" t="n"/>
      <c r="H166" s="69" t="n"/>
      <c r="I166" s="44">
        <f>IF(OR($B166="",$H166=""),"",$H166*MAX(1,N($F166)))</f>
        <v/>
      </c>
      <c r="J166" s="80" t="n"/>
      <c r="K166" s="77" t="n"/>
      <c r="L166" s="54">
        <f>IF($B166="",0,IF(COUNTIFS('①在庫を貼る'!$V$6:$V$10005,'設定'!$C$4,'①在庫を貼る'!$W$6:$W$10005,$B166)+COUNTIFS('月1回_1ヶ月前の在庫'!$V$6:$V$10005,'設定'!$C$4,'月1回_1ヶ月前の在庫'!$W$6:$W$10005,$B166)+COUNTIFS('月1回_2ヶ月前の在庫'!$V$6:$V$10005,'設定'!$C$4,'月1回_2ヶ月前の在庫'!$W$6:$W$10005,$B166)&gt;0,1,0))</f>
        <v/>
      </c>
      <c r="M166" s="54">
        <f>N(M165)+$L166</f>
        <v/>
      </c>
      <c r="N166" s="54">
        <f>IF($B166="",0,COUNTIFS('①在庫を貼る'!$V$6:$V$10005,'設定'!$C$4,'①在庫を貼る'!$W$6:$W$10005,$B166))</f>
        <v/>
      </c>
    </row>
    <row r="167" ht="18" customHeight="1">
      <c r="B167" s="76" t="n"/>
      <c r="C167" s="77" t="n"/>
      <c r="D167" s="77" t="n"/>
      <c r="E167" s="77" t="n"/>
      <c r="F167" s="78" t="n"/>
      <c r="G167" s="79" t="n"/>
      <c r="H167" s="69" t="n"/>
      <c r="I167" s="44">
        <f>IF(OR($B167="",$H167=""),"",$H167*MAX(1,N($F167)))</f>
        <v/>
      </c>
      <c r="J167" s="80" t="n"/>
      <c r="K167" s="77" t="n"/>
      <c r="L167" s="54">
        <f>IF($B167="",0,IF(COUNTIFS('①在庫を貼る'!$V$6:$V$10005,'設定'!$C$4,'①在庫を貼る'!$W$6:$W$10005,$B167)+COUNTIFS('月1回_1ヶ月前の在庫'!$V$6:$V$10005,'設定'!$C$4,'月1回_1ヶ月前の在庫'!$W$6:$W$10005,$B167)+COUNTIFS('月1回_2ヶ月前の在庫'!$V$6:$V$10005,'設定'!$C$4,'月1回_2ヶ月前の在庫'!$W$6:$W$10005,$B167)&gt;0,1,0))</f>
        <v/>
      </c>
      <c r="M167" s="54">
        <f>N(M166)+$L167</f>
        <v/>
      </c>
      <c r="N167" s="54">
        <f>IF($B167="",0,COUNTIFS('①在庫を貼る'!$V$6:$V$10005,'設定'!$C$4,'①在庫を貼る'!$W$6:$W$10005,$B167))</f>
        <v/>
      </c>
    </row>
    <row r="168" ht="18" customHeight="1">
      <c r="B168" s="76" t="n"/>
      <c r="C168" s="77" t="n"/>
      <c r="D168" s="77" t="n"/>
      <c r="E168" s="77" t="n"/>
      <c r="F168" s="78" t="n"/>
      <c r="G168" s="79" t="n"/>
      <c r="H168" s="69" t="n"/>
      <c r="I168" s="44">
        <f>IF(OR($B168="",$H168=""),"",$H168*MAX(1,N($F168)))</f>
        <v/>
      </c>
      <c r="J168" s="80" t="n"/>
      <c r="K168" s="77" t="n"/>
      <c r="L168" s="54">
        <f>IF($B168="",0,IF(COUNTIFS('①在庫を貼る'!$V$6:$V$10005,'設定'!$C$4,'①在庫を貼る'!$W$6:$W$10005,$B168)+COUNTIFS('月1回_1ヶ月前の在庫'!$V$6:$V$10005,'設定'!$C$4,'月1回_1ヶ月前の在庫'!$W$6:$W$10005,$B168)+COUNTIFS('月1回_2ヶ月前の在庫'!$V$6:$V$10005,'設定'!$C$4,'月1回_2ヶ月前の在庫'!$W$6:$W$10005,$B168)&gt;0,1,0))</f>
        <v/>
      </c>
      <c r="M168" s="54">
        <f>N(M167)+$L168</f>
        <v/>
      </c>
      <c r="N168" s="54">
        <f>IF($B168="",0,COUNTIFS('①在庫を貼る'!$V$6:$V$10005,'設定'!$C$4,'①在庫を貼る'!$W$6:$W$10005,$B168))</f>
        <v/>
      </c>
    </row>
    <row r="169" ht="18" customHeight="1">
      <c r="B169" s="76" t="n"/>
      <c r="C169" s="77" t="n"/>
      <c r="D169" s="77" t="n"/>
      <c r="E169" s="77" t="n"/>
      <c r="F169" s="78" t="n"/>
      <c r="G169" s="79" t="n"/>
      <c r="H169" s="69" t="n"/>
      <c r="I169" s="44">
        <f>IF(OR($B169="",$H169=""),"",$H169*MAX(1,N($F169)))</f>
        <v/>
      </c>
      <c r="J169" s="80" t="n"/>
      <c r="K169" s="77" t="n"/>
      <c r="L169" s="54">
        <f>IF($B169="",0,IF(COUNTIFS('①在庫を貼る'!$V$6:$V$10005,'設定'!$C$4,'①在庫を貼る'!$W$6:$W$10005,$B169)+COUNTIFS('月1回_1ヶ月前の在庫'!$V$6:$V$10005,'設定'!$C$4,'月1回_1ヶ月前の在庫'!$W$6:$W$10005,$B169)+COUNTIFS('月1回_2ヶ月前の在庫'!$V$6:$V$10005,'設定'!$C$4,'月1回_2ヶ月前の在庫'!$W$6:$W$10005,$B169)&gt;0,1,0))</f>
        <v/>
      </c>
      <c r="M169" s="54">
        <f>N(M168)+$L169</f>
        <v/>
      </c>
      <c r="N169" s="54">
        <f>IF($B169="",0,COUNTIFS('①在庫を貼る'!$V$6:$V$10005,'設定'!$C$4,'①在庫を貼る'!$W$6:$W$10005,$B169))</f>
        <v/>
      </c>
    </row>
    <row r="170" ht="18" customHeight="1">
      <c r="B170" s="76" t="n"/>
      <c r="C170" s="77" t="n"/>
      <c r="D170" s="77" t="n"/>
      <c r="E170" s="77" t="n"/>
      <c r="F170" s="78" t="n"/>
      <c r="G170" s="79" t="n"/>
      <c r="H170" s="69" t="n"/>
      <c r="I170" s="44">
        <f>IF(OR($B170="",$H170=""),"",$H170*MAX(1,N($F170)))</f>
        <v/>
      </c>
      <c r="J170" s="80" t="n"/>
      <c r="K170" s="77" t="n"/>
      <c r="L170" s="54">
        <f>IF($B170="",0,IF(COUNTIFS('①在庫を貼る'!$V$6:$V$10005,'設定'!$C$4,'①在庫を貼る'!$W$6:$W$10005,$B170)+COUNTIFS('月1回_1ヶ月前の在庫'!$V$6:$V$10005,'設定'!$C$4,'月1回_1ヶ月前の在庫'!$W$6:$W$10005,$B170)+COUNTIFS('月1回_2ヶ月前の在庫'!$V$6:$V$10005,'設定'!$C$4,'月1回_2ヶ月前の在庫'!$W$6:$W$10005,$B170)&gt;0,1,0))</f>
        <v/>
      </c>
      <c r="M170" s="54">
        <f>N(M169)+$L170</f>
        <v/>
      </c>
      <c r="N170" s="54">
        <f>IF($B170="",0,COUNTIFS('①在庫を貼る'!$V$6:$V$10005,'設定'!$C$4,'①在庫を貼る'!$W$6:$W$10005,$B170))</f>
        <v/>
      </c>
    </row>
    <row r="171" ht="18" customHeight="1">
      <c r="B171" s="76" t="n"/>
      <c r="C171" s="77" t="n"/>
      <c r="D171" s="77" t="n"/>
      <c r="E171" s="77" t="n"/>
      <c r="F171" s="78" t="n"/>
      <c r="G171" s="79" t="n"/>
      <c r="H171" s="69" t="n"/>
      <c r="I171" s="44">
        <f>IF(OR($B171="",$H171=""),"",$H171*MAX(1,N($F171)))</f>
        <v/>
      </c>
      <c r="J171" s="80" t="n"/>
      <c r="K171" s="77" t="n"/>
      <c r="L171" s="54">
        <f>IF($B171="",0,IF(COUNTIFS('①在庫を貼る'!$V$6:$V$10005,'設定'!$C$4,'①在庫を貼る'!$W$6:$W$10005,$B171)+COUNTIFS('月1回_1ヶ月前の在庫'!$V$6:$V$10005,'設定'!$C$4,'月1回_1ヶ月前の在庫'!$W$6:$W$10005,$B171)+COUNTIFS('月1回_2ヶ月前の在庫'!$V$6:$V$10005,'設定'!$C$4,'月1回_2ヶ月前の在庫'!$W$6:$W$10005,$B171)&gt;0,1,0))</f>
        <v/>
      </c>
      <c r="M171" s="54">
        <f>N(M170)+$L171</f>
        <v/>
      </c>
      <c r="N171" s="54">
        <f>IF($B171="",0,COUNTIFS('①在庫を貼る'!$V$6:$V$10005,'設定'!$C$4,'①在庫を貼る'!$W$6:$W$10005,$B171))</f>
        <v/>
      </c>
    </row>
    <row r="172" ht="18" customHeight="1">
      <c r="B172" s="76" t="n"/>
      <c r="C172" s="77" t="n"/>
      <c r="D172" s="77" t="n"/>
      <c r="E172" s="77" t="n"/>
      <c r="F172" s="78" t="n"/>
      <c r="G172" s="79" t="n"/>
      <c r="H172" s="69" t="n"/>
      <c r="I172" s="44">
        <f>IF(OR($B172="",$H172=""),"",$H172*MAX(1,N($F172)))</f>
        <v/>
      </c>
      <c r="J172" s="80" t="n"/>
      <c r="K172" s="77" t="n"/>
      <c r="L172" s="54">
        <f>IF($B172="",0,IF(COUNTIFS('①在庫を貼る'!$V$6:$V$10005,'設定'!$C$4,'①在庫を貼る'!$W$6:$W$10005,$B172)+COUNTIFS('月1回_1ヶ月前の在庫'!$V$6:$V$10005,'設定'!$C$4,'月1回_1ヶ月前の在庫'!$W$6:$W$10005,$B172)+COUNTIFS('月1回_2ヶ月前の在庫'!$V$6:$V$10005,'設定'!$C$4,'月1回_2ヶ月前の在庫'!$W$6:$W$10005,$B172)&gt;0,1,0))</f>
        <v/>
      </c>
      <c r="M172" s="54">
        <f>N(M171)+$L172</f>
        <v/>
      </c>
      <c r="N172" s="54">
        <f>IF($B172="",0,COUNTIFS('①在庫を貼る'!$V$6:$V$10005,'設定'!$C$4,'①在庫を貼る'!$W$6:$W$10005,$B172))</f>
        <v/>
      </c>
    </row>
    <row r="173" ht="18" customHeight="1">
      <c r="B173" s="76" t="n"/>
      <c r="C173" s="77" t="n"/>
      <c r="D173" s="77" t="n"/>
      <c r="E173" s="77" t="n"/>
      <c r="F173" s="78" t="n"/>
      <c r="G173" s="79" t="n"/>
      <c r="H173" s="69" t="n"/>
      <c r="I173" s="44">
        <f>IF(OR($B173="",$H173=""),"",$H173*MAX(1,N($F173)))</f>
        <v/>
      </c>
      <c r="J173" s="80" t="n"/>
      <c r="K173" s="77" t="n"/>
      <c r="L173" s="54">
        <f>IF($B173="",0,IF(COUNTIFS('①在庫を貼る'!$V$6:$V$10005,'設定'!$C$4,'①在庫を貼る'!$W$6:$W$10005,$B173)+COUNTIFS('月1回_1ヶ月前の在庫'!$V$6:$V$10005,'設定'!$C$4,'月1回_1ヶ月前の在庫'!$W$6:$W$10005,$B173)+COUNTIFS('月1回_2ヶ月前の在庫'!$V$6:$V$10005,'設定'!$C$4,'月1回_2ヶ月前の在庫'!$W$6:$W$10005,$B173)&gt;0,1,0))</f>
        <v/>
      </c>
      <c r="M173" s="54">
        <f>N(M172)+$L173</f>
        <v/>
      </c>
      <c r="N173" s="54">
        <f>IF($B173="",0,COUNTIFS('①在庫を貼る'!$V$6:$V$10005,'設定'!$C$4,'①在庫を貼る'!$W$6:$W$10005,$B173))</f>
        <v/>
      </c>
    </row>
    <row r="174" ht="18" customHeight="1">
      <c r="B174" s="76" t="n"/>
      <c r="C174" s="77" t="n"/>
      <c r="D174" s="77" t="n"/>
      <c r="E174" s="77" t="n"/>
      <c r="F174" s="78" t="n"/>
      <c r="G174" s="79" t="n"/>
      <c r="H174" s="69" t="n"/>
      <c r="I174" s="44">
        <f>IF(OR($B174="",$H174=""),"",$H174*MAX(1,N($F174)))</f>
        <v/>
      </c>
      <c r="J174" s="80" t="n"/>
      <c r="K174" s="77" t="n"/>
      <c r="L174" s="54">
        <f>IF($B174="",0,IF(COUNTIFS('①在庫を貼る'!$V$6:$V$10005,'設定'!$C$4,'①在庫を貼る'!$W$6:$W$10005,$B174)+COUNTIFS('月1回_1ヶ月前の在庫'!$V$6:$V$10005,'設定'!$C$4,'月1回_1ヶ月前の在庫'!$W$6:$W$10005,$B174)+COUNTIFS('月1回_2ヶ月前の在庫'!$V$6:$V$10005,'設定'!$C$4,'月1回_2ヶ月前の在庫'!$W$6:$W$10005,$B174)&gt;0,1,0))</f>
        <v/>
      </c>
      <c r="M174" s="54">
        <f>N(M173)+$L174</f>
        <v/>
      </c>
      <c r="N174" s="54">
        <f>IF($B174="",0,COUNTIFS('①在庫を貼る'!$V$6:$V$10005,'設定'!$C$4,'①在庫を貼る'!$W$6:$W$10005,$B174))</f>
        <v/>
      </c>
    </row>
    <row r="175" ht="18" customHeight="1">
      <c r="B175" s="76" t="n"/>
      <c r="C175" s="77" t="n"/>
      <c r="D175" s="77" t="n"/>
      <c r="E175" s="77" t="n"/>
      <c r="F175" s="78" t="n"/>
      <c r="G175" s="79" t="n"/>
      <c r="H175" s="69" t="n"/>
      <c r="I175" s="44">
        <f>IF(OR($B175="",$H175=""),"",$H175*MAX(1,N($F175)))</f>
        <v/>
      </c>
      <c r="J175" s="80" t="n"/>
      <c r="K175" s="77" t="n"/>
      <c r="L175" s="54">
        <f>IF($B175="",0,IF(COUNTIFS('①在庫を貼る'!$V$6:$V$10005,'設定'!$C$4,'①在庫を貼る'!$W$6:$W$10005,$B175)+COUNTIFS('月1回_1ヶ月前の在庫'!$V$6:$V$10005,'設定'!$C$4,'月1回_1ヶ月前の在庫'!$W$6:$W$10005,$B175)+COUNTIFS('月1回_2ヶ月前の在庫'!$V$6:$V$10005,'設定'!$C$4,'月1回_2ヶ月前の在庫'!$W$6:$W$10005,$B175)&gt;0,1,0))</f>
        <v/>
      </c>
      <c r="M175" s="54">
        <f>N(M174)+$L175</f>
        <v/>
      </c>
      <c r="N175" s="54">
        <f>IF($B175="",0,COUNTIFS('①在庫を貼る'!$V$6:$V$10005,'設定'!$C$4,'①在庫を貼る'!$W$6:$W$10005,$B175))</f>
        <v/>
      </c>
    </row>
    <row r="176" ht="18" customHeight="1">
      <c r="B176" s="76" t="n"/>
      <c r="C176" s="77" t="n"/>
      <c r="D176" s="77" t="n"/>
      <c r="E176" s="77" t="n"/>
      <c r="F176" s="78" t="n"/>
      <c r="G176" s="79" t="n"/>
      <c r="H176" s="69" t="n"/>
      <c r="I176" s="44">
        <f>IF(OR($B176="",$H176=""),"",$H176*MAX(1,N($F176)))</f>
        <v/>
      </c>
      <c r="J176" s="80" t="n"/>
      <c r="K176" s="77" t="n"/>
      <c r="L176" s="54">
        <f>IF($B176="",0,IF(COUNTIFS('①在庫を貼る'!$V$6:$V$10005,'設定'!$C$4,'①在庫を貼る'!$W$6:$W$10005,$B176)+COUNTIFS('月1回_1ヶ月前の在庫'!$V$6:$V$10005,'設定'!$C$4,'月1回_1ヶ月前の在庫'!$W$6:$W$10005,$B176)+COUNTIFS('月1回_2ヶ月前の在庫'!$V$6:$V$10005,'設定'!$C$4,'月1回_2ヶ月前の在庫'!$W$6:$W$10005,$B176)&gt;0,1,0))</f>
        <v/>
      </c>
      <c r="M176" s="54">
        <f>N(M175)+$L176</f>
        <v/>
      </c>
      <c r="N176" s="54">
        <f>IF($B176="",0,COUNTIFS('①在庫を貼る'!$V$6:$V$10005,'設定'!$C$4,'①在庫を貼る'!$W$6:$W$10005,$B176))</f>
        <v/>
      </c>
    </row>
    <row r="177" ht="18" customHeight="1">
      <c r="B177" s="76" t="n"/>
      <c r="C177" s="77" t="n"/>
      <c r="D177" s="77" t="n"/>
      <c r="E177" s="77" t="n"/>
      <c r="F177" s="78" t="n"/>
      <c r="G177" s="79" t="n"/>
      <c r="H177" s="69" t="n"/>
      <c r="I177" s="44">
        <f>IF(OR($B177="",$H177=""),"",$H177*MAX(1,N($F177)))</f>
        <v/>
      </c>
      <c r="J177" s="80" t="n"/>
      <c r="K177" s="77" t="n"/>
      <c r="L177" s="54">
        <f>IF($B177="",0,IF(COUNTIFS('①在庫を貼る'!$V$6:$V$10005,'設定'!$C$4,'①在庫を貼る'!$W$6:$W$10005,$B177)+COUNTIFS('月1回_1ヶ月前の在庫'!$V$6:$V$10005,'設定'!$C$4,'月1回_1ヶ月前の在庫'!$W$6:$W$10005,$B177)+COUNTIFS('月1回_2ヶ月前の在庫'!$V$6:$V$10005,'設定'!$C$4,'月1回_2ヶ月前の在庫'!$W$6:$W$10005,$B177)&gt;0,1,0))</f>
        <v/>
      </c>
      <c r="M177" s="54">
        <f>N(M176)+$L177</f>
        <v/>
      </c>
      <c r="N177" s="54">
        <f>IF($B177="",0,COUNTIFS('①在庫を貼る'!$V$6:$V$10005,'設定'!$C$4,'①在庫を貼る'!$W$6:$W$10005,$B177))</f>
        <v/>
      </c>
    </row>
    <row r="178" ht="18" customHeight="1">
      <c r="B178" s="76" t="n"/>
      <c r="C178" s="77" t="n"/>
      <c r="D178" s="77" t="n"/>
      <c r="E178" s="77" t="n"/>
      <c r="F178" s="78" t="n"/>
      <c r="G178" s="79" t="n"/>
      <c r="H178" s="69" t="n"/>
      <c r="I178" s="44">
        <f>IF(OR($B178="",$H178=""),"",$H178*MAX(1,N($F178)))</f>
        <v/>
      </c>
      <c r="J178" s="80" t="n"/>
      <c r="K178" s="77" t="n"/>
      <c r="L178" s="54">
        <f>IF($B178="",0,IF(COUNTIFS('①在庫を貼る'!$V$6:$V$10005,'設定'!$C$4,'①在庫を貼る'!$W$6:$W$10005,$B178)+COUNTIFS('月1回_1ヶ月前の在庫'!$V$6:$V$10005,'設定'!$C$4,'月1回_1ヶ月前の在庫'!$W$6:$W$10005,$B178)+COUNTIFS('月1回_2ヶ月前の在庫'!$V$6:$V$10005,'設定'!$C$4,'月1回_2ヶ月前の在庫'!$W$6:$W$10005,$B178)&gt;0,1,0))</f>
        <v/>
      </c>
      <c r="M178" s="54">
        <f>N(M177)+$L178</f>
        <v/>
      </c>
      <c r="N178" s="54">
        <f>IF($B178="",0,COUNTIFS('①在庫を貼る'!$V$6:$V$10005,'設定'!$C$4,'①在庫を貼る'!$W$6:$W$10005,$B178))</f>
        <v/>
      </c>
    </row>
    <row r="179" ht="18" customHeight="1">
      <c r="B179" s="76" t="n"/>
      <c r="C179" s="77" t="n"/>
      <c r="D179" s="77" t="n"/>
      <c r="E179" s="77" t="n"/>
      <c r="F179" s="78" t="n"/>
      <c r="G179" s="79" t="n"/>
      <c r="H179" s="69" t="n"/>
      <c r="I179" s="44">
        <f>IF(OR($B179="",$H179=""),"",$H179*MAX(1,N($F179)))</f>
        <v/>
      </c>
      <c r="J179" s="80" t="n"/>
      <c r="K179" s="77" t="n"/>
      <c r="L179" s="54">
        <f>IF($B179="",0,IF(COUNTIFS('①在庫を貼る'!$V$6:$V$10005,'設定'!$C$4,'①在庫を貼る'!$W$6:$W$10005,$B179)+COUNTIFS('月1回_1ヶ月前の在庫'!$V$6:$V$10005,'設定'!$C$4,'月1回_1ヶ月前の在庫'!$W$6:$W$10005,$B179)+COUNTIFS('月1回_2ヶ月前の在庫'!$V$6:$V$10005,'設定'!$C$4,'月1回_2ヶ月前の在庫'!$W$6:$W$10005,$B179)&gt;0,1,0))</f>
        <v/>
      </c>
      <c r="M179" s="54">
        <f>N(M178)+$L179</f>
        <v/>
      </c>
      <c r="N179" s="54">
        <f>IF($B179="",0,COUNTIFS('①在庫を貼る'!$V$6:$V$10005,'設定'!$C$4,'①在庫を貼る'!$W$6:$W$10005,$B179))</f>
        <v/>
      </c>
    </row>
    <row r="180" ht="18" customHeight="1">
      <c r="B180" s="76" t="n"/>
      <c r="C180" s="77" t="n"/>
      <c r="D180" s="77" t="n"/>
      <c r="E180" s="77" t="n"/>
      <c r="F180" s="78" t="n"/>
      <c r="G180" s="79" t="n"/>
      <c r="H180" s="69" t="n"/>
      <c r="I180" s="44">
        <f>IF(OR($B180="",$H180=""),"",$H180*MAX(1,N($F180)))</f>
        <v/>
      </c>
      <c r="J180" s="80" t="n"/>
      <c r="K180" s="77" t="n"/>
      <c r="L180" s="54">
        <f>IF($B180="",0,IF(COUNTIFS('①在庫を貼る'!$V$6:$V$10005,'設定'!$C$4,'①在庫を貼る'!$W$6:$W$10005,$B180)+COUNTIFS('月1回_1ヶ月前の在庫'!$V$6:$V$10005,'設定'!$C$4,'月1回_1ヶ月前の在庫'!$W$6:$W$10005,$B180)+COUNTIFS('月1回_2ヶ月前の在庫'!$V$6:$V$10005,'設定'!$C$4,'月1回_2ヶ月前の在庫'!$W$6:$W$10005,$B180)&gt;0,1,0))</f>
        <v/>
      </c>
      <c r="M180" s="54">
        <f>N(M179)+$L180</f>
        <v/>
      </c>
      <c r="N180" s="54">
        <f>IF($B180="",0,COUNTIFS('①在庫を貼る'!$V$6:$V$10005,'設定'!$C$4,'①在庫を貼る'!$W$6:$W$10005,$B180))</f>
        <v/>
      </c>
    </row>
    <row r="181" ht="18" customHeight="1">
      <c r="B181" s="76" t="n"/>
      <c r="C181" s="77" t="n"/>
      <c r="D181" s="77" t="n"/>
      <c r="E181" s="77" t="n"/>
      <c r="F181" s="78" t="n"/>
      <c r="G181" s="79" t="n"/>
      <c r="H181" s="69" t="n"/>
      <c r="I181" s="44">
        <f>IF(OR($B181="",$H181=""),"",$H181*MAX(1,N($F181)))</f>
        <v/>
      </c>
      <c r="J181" s="80" t="n"/>
      <c r="K181" s="77" t="n"/>
      <c r="L181" s="54">
        <f>IF($B181="",0,IF(COUNTIFS('①在庫を貼る'!$V$6:$V$10005,'設定'!$C$4,'①在庫を貼る'!$W$6:$W$10005,$B181)+COUNTIFS('月1回_1ヶ月前の在庫'!$V$6:$V$10005,'設定'!$C$4,'月1回_1ヶ月前の在庫'!$W$6:$W$10005,$B181)+COUNTIFS('月1回_2ヶ月前の在庫'!$V$6:$V$10005,'設定'!$C$4,'月1回_2ヶ月前の在庫'!$W$6:$W$10005,$B181)&gt;0,1,0))</f>
        <v/>
      </c>
      <c r="M181" s="54">
        <f>N(M180)+$L181</f>
        <v/>
      </c>
      <c r="N181" s="54">
        <f>IF($B181="",0,COUNTIFS('①在庫を貼る'!$V$6:$V$10005,'設定'!$C$4,'①在庫を貼る'!$W$6:$W$10005,$B181))</f>
        <v/>
      </c>
    </row>
    <row r="182" ht="18" customHeight="1">
      <c r="B182" s="76" t="n"/>
      <c r="C182" s="77" t="n"/>
      <c r="D182" s="77" t="n"/>
      <c r="E182" s="77" t="n"/>
      <c r="F182" s="78" t="n"/>
      <c r="G182" s="79" t="n"/>
      <c r="H182" s="69" t="n"/>
      <c r="I182" s="44">
        <f>IF(OR($B182="",$H182=""),"",$H182*MAX(1,N($F182)))</f>
        <v/>
      </c>
      <c r="J182" s="80" t="n"/>
      <c r="K182" s="77" t="n"/>
      <c r="L182" s="54">
        <f>IF($B182="",0,IF(COUNTIFS('①在庫を貼る'!$V$6:$V$10005,'設定'!$C$4,'①在庫を貼る'!$W$6:$W$10005,$B182)+COUNTIFS('月1回_1ヶ月前の在庫'!$V$6:$V$10005,'設定'!$C$4,'月1回_1ヶ月前の在庫'!$W$6:$W$10005,$B182)+COUNTIFS('月1回_2ヶ月前の在庫'!$V$6:$V$10005,'設定'!$C$4,'月1回_2ヶ月前の在庫'!$W$6:$W$10005,$B182)&gt;0,1,0))</f>
        <v/>
      </c>
      <c r="M182" s="54">
        <f>N(M181)+$L182</f>
        <v/>
      </c>
      <c r="N182" s="54">
        <f>IF($B182="",0,COUNTIFS('①在庫を貼る'!$V$6:$V$10005,'設定'!$C$4,'①在庫を貼る'!$W$6:$W$10005,$B182))</f>
        <v/>
      </c>
    </row>
    <row r="183" ht="18" customHeight="1">
      <c r="B183" s="76" t="n"/>
      <c r="C183" s="77" t="n"/>
      <c r="D183" s="77" t="n"/>
      <c r="E183" s="77" t="n"/>
      <c r="F183" s="78" t="n"/>
      <c r="G183" s="79" t="n"/>
      <c r="H183" s="69" t="n"/>
      <c r="I183" s="44">
        <f>IF(OR($B183="",$H183=""),"",$H183*MAX(1,N($F183)))</f>
        <v/>
      </c>
      <c r="J183" s="80" t="n"/>
      <c r="K183" s="77" t="n"/>
      <c r="L183" s="54">
        <f>IF($B183="",0,IF(COUNTIFS('①在庫を貼る'!$V$6:$V$10005,'設定'!$C$4,'①在庫を貼る'!$W$6:$W$10005,$B183)+COUNTIFS('月1回_1ヶ月前の在庫'!$V$6:$V$10005,'設定'!$C$4,'月1回_1ヶ月前の在庫'!$W$6:$W$10005,$B183)+COUNTIFS('月1回_2ヶ月前の在庫'!$V$6:$V$10005,'設定'!$C$4,'月1回_2ヶ月前の在庫'!$W$6:$W$10005,$B183)&gt;0,1,0))</f>
        <v/>
      </c>
      <c r="M183" s="54">
        <f>N(M182)+$L183</f>
        <v/>
      </c>
      <c r="N183" s="54">
        <f>IF($B183="",0,COUNTIFS('①在庫を貼る'!$V$6:$V$10005,'設定'!$C$4,'①在庫を貼る'!$W$6:$W$10005,$B183))</f>
        <v/>
      </c>
    </row>
    <row r="184" ht="18" customHeight="1">
      <c r="B184" s="76" t="n"/>
      <c r="C184" s="77" t="n"/>
      <c r="D184" s="77" t="n"/>
      <c r="E184" s="77" t="n"/>
      <c r="F184" s="78" t="n"/>
      <c r="G184" s="79" t="n"/>
      <c r="H184" s="69" t="n"/>
      <c r="I184" s="44">
        <f>IF(OR($B184="",$H184=""),"",$H184*MAX(1,N($F184)))</f>
        <v/>
      </c>
      <c r="J184" s="80" t="n"/>
      <c r="K184" s="77" t="n"/>
      <c r="L184" s="54">
        <f>IF($B184="",0,IF(COUNTIFS('①在庫を貼る'!$V$6:$V$10005,'設定'!$C$4,'①在庫を貼る'!$W$6:$W$10005,$B184)+COUNTIFS('月1回_1ヶ月前の在庫'!$V$6:$V$10005,'設定'!$C$4,'月1回_1ヶ月前の在庫'!$W$6:$W$10005,$B184)+COUNTIFS('月1回_2ヶ月前の在庫'!$V$6:$V$10005,'設定'!$C$4,'月1回_2ヶ月前の在庫'!$W$6:$W$10005,$B184)&gt;0,1,0))</f>
        <v/>
      </c>
      <c r="M184" s="54">
        <f>N(M183)+$L184</f>
        <v/>
      </c>
      <c r="N184" s="54">
        <f>IF($B184="",0,COUNTIFS('①在庫を貼る'!$V$6:$V$10005,'設定'!$C$4,'①在庫を貼る'!$W$6:$W$10005,$B184))</f>
        <v/>
      </c>
    </row>
    <row r="185" ht="18" customHeight="1">
      <c r="B185" s="76" t="n"/>
      <c r="C185" s="77" t="n"/>
      <c r="D185" s="77" t="n"/>
      <c r="E185" s="77" t="n"/>
      <c r="F185" s="78" t="n"/>
      <c r="G185" s="79" t="n"/>
      <c r="H185" s="69" t="n"/>
      <c r="I185" s="44">
        <f>IF(OR($B185="",$H185=""),"",$H185*MAX(1,N($F185)))</f>
        <v/>
      </c>
      <c r="J185" s="80" t="n"/>
      <c r="K185" s="77" t="n"/>
      <c r="L185" s="54">
        <f>IF($B185="",0,IF(COUNTIFS('①在庫を貼る'!$V$6:$V$10005,'設定'!$C$4,'①在庫を貼る'!$W$6:$W$10005,$B185)+COUNTIFS('月1回_1ヶ月前の在庫'!$V$6:$V$10005,'設定'!$C$4,'月1回_1ヶ月前の在庫'!$W$6:$W$10005,$B185)+COUNTIFS('月1回_2ヶ月前の在庫'!$V$6:$V$10005,'設定'!$C$4,'月1回_2ヶ月前の在庫'!$W$6:$W$10005,$B185)&gt;0,1,0))</f>
        <v/>
      </c>
      <c r="M185" s="54">
        <f>N(M184)+$L185</f>
        <v/>
      </c>
      <c r="N185" s="54">
        <f>IF($B185="",0,COUNTIFS('①在庫を貼る'!$V$6:$V$10005,'設定'!$C$4,'①在庫を貼る'!$W$6:$W$10005,$B185))</f>
        <v/>
      </c>
    </row>
    <row r="186" ht="18" customHeight="1">
      <c r="B186" s="76" t="n"/>
      <c r="C186" s="77" t="n"/>
      <c r="D186" s="77" t="n"/>
      <c r="E186" s="77" t="n"/>
      <c r="F186" s="78" t="n"/>
      <c r="G186" s="79" t="n"/>
      <c r="H186" s="69" t="n"/>
      <c r="I186" s="44">
        <f>IF(OR($B186="",$H186=""),"",$H186*MAX(1,N($F186)))</f>
        <v/>
      </c>
      <c r="J186" s="80" t="n"/>
      <c r="K186" s="77" t="n"/>
      <c r="L186" s="54">
        <f>IF($B186="",0,IF(COUNTIFS('①在庫を貼る'!$V$6:$V$10005,'設定'!$C$4,'①在庫を貼る'!$W$6:$W$10005,$B186)+COUNTIFS('月1回_1ヶ月前の在庫'!$V$6:$V$10005,'設定'!$C$4,'月1回_1ヶ月前の在庫'!$W$6:$W$10005,$B186)+COUNTIFS('月1回_2ヶ月前の在庫'!$V$6:$V$10005,'設定'!$C$4,'月1回_2ヶ月前の在庫'!$W$6:$W$10005,$B186)&gt;0,1,0))</f>
        <v/>
      </c>
      <c r="M186" s="54">
        <f>N(M185)+$L186</f>
        <v/>
      </c>
      <c r="N186" s="54">
        <f>IF($B186="",0,COUNTIFS('①在庫を貼る'!$V$6:$V$10005,'設定'!$C$4,'①在庫を貼る'!$W$6:$W$10005,$B186))</f>
        <v/>
      </c>
    </row>
    <row r="187" ht="18" customHeight="1">
      <c r="B187" s="76" t="n"/>
      <c r="C187" s="77" t="n"/>
      <c r="D187" s="77" t="n"/>
      <c r="E187" s="77" t="n"/>
      <c r="F187" s="78" t="n"/>
      <c r="G187" s="79" t="n"/>
      <c r="H187" s="69" t="n"/>
      <c r="I187" s="44">
        <f>IF(OR($B187="",$H187=""),"",$H187*MAX(1,N($F187)))</f>
        <v/>
      </c>
      <c r="J187" s="80" t="n"/>
      <c r="K187" s="77" t="n"/>
      <c r="L187" s="54">
        <f>IF($B187="",0,IF(COUNTIFS('①在庫を貼る'!$V$6:$V$10005,'設定'!$C$4,'①在庫を貼る'!$W$6:$W$10005,$B187)+COUNTIFS('月1回_1ヶ月前の在庫'!$V$6:$V$10005,'設定'!$C$4,'月1回_1ヶ月前の在庫'!$W$6:$W$10005,$B187)+COUNTIFS('月1回_2ヶ月前の在庫'!$V$6:$V$10005,'設定'!$C$4,'月1回_2ヶ月前の在庫'!$W$6:$W$10005,$B187)&gt;0,1,0))</f>
        <v/>
      </c>
      <c r="M187" s="54">
        <f>N(M186)+$L187</f>
        <v/>
      </c>
      <c r="N187" s="54">
        <f>IF($B187="",0,COUNTIFS('①在庫を貼る'!$V$6:$V$10005,'設定'!$C$4,'①在庫を貼る'!$W$6:$W$10005,$B187))</f>
        <v/>
      </c>
    </row>
    <row r="188" ht="18" customHeight="1">
      <c r="B188" s="76" t="n"/>
      <c r="C188" s="77" t="n"/>
      <c r="D188" s="77" t="n"/>
      <c r="E188" s="77" t="n"/>
      <c r="F188" s="78" t="n"/>
      <c r="G188" s="79" t="n"/>
      <c r="H188" s="69" t="n"/>
      <c r="I188" s="44">
        <f>IF(OR($B188="",$H188=""),"",$H188*MAX(1,N($F188)))</f>
        <v/>
      </c>
      <c r="J188" s="80" t="n"/>
      <c r="K188" s="77" t="n"/>
      <c r="L188" s="54">
        <f>IF($B188="",0,IF(COUNTIFS('①在庫を貼る'!$V$6:$V$10005,'設定'!$C$4,'①在庫を貼る'!$W$6:$W$10005,$B188)+COUNTIFS('月1回_1ヶ月前の在庫'!$V$6:$V$10005,'設定'!$C$4,'月1回_1ヶ月前の在庫'!$W$6:$W$10005,$B188)+COUNTIFS('月1回_2ヶ月前の在庫'!$V$6:$V$10005,'設定'!$C$4,'月1回_2ヶ月前の在庫'!$W$6:$W$10005,$B188)&gt;0,1,0))</f>
        <v/>
      </c>
      <c r="M188" s="54">
        <f>N(M187)+$L188</f>
        <v/>
      </c>
      <c r="N188" s="54">
        <f>IF($B188="",0,COUNTIFS('①在庫を貼る'!$V$6:$V$10005,'設定'!$C$4,'①在庫を貼る'!$W$6:$W$10005,$B188))</f>
        <v/>
      </c>
    </row>
    <row r="189" ht="18" customHeight="1">
      <c r="B189" s="76" t="n"/>
      <c r="C189" s="77" t="n"/>
      <c r="D189" s="77" t="n"/>
      <c r="E189" s="77" t="n"/>
      <c r="F189" s="78" t="n"/>
      <c r="G189" s="79" t="n"/>
      <c r="H189" s="69" t="n"/>
      <c r="I189" s="44">
        <f>IF(OR($B189="",$H189=""),"",$H189*MAX(1,N($F189)))</f>
        <v/>
      </c>
      <c r="J189" s="80" t="n"/>
      <c r="K189" s="77" t="n"/>
      <c r="L189" s="54">
        <f>IF($B189="",0,IF(COUNTIFS('①在庫を貼る'!$V$6:$V$10005,'設定'!$C$4,'①在庫を貼る'!$W$6:$W$10005,$B189)+COUNTIFS('月1回_1ヶ月前の在庫'!$V$6:$V$10005,'設定'!$C$4,'月1回_1ヶ月前の在庫'!$W$6:$W$10005,$B189)+COUNTIFS('月1回_2ヶ月前の在庫'!$V$6:$V$10005,'設定'!$C$4,'月1回_2ヶ月前の在庫'!$W$6:$W$10005,$B189)&gt;0,1,0))</f>
        <v/>
      </c>
      <c r="M189" s="54">
        <f>N(M188)+$L189</f>
        <v/>
      </c>
      <c r="N189" s="54">
        <f>IF($B189="",0,COUNTIFS('①在庫を貼る'!$V$6:$V$10005,'設定'!$C$4,'①在庫を貼る'!$W$6:$W$10005,$B189))</f>
        <v/>
      </c>
    </row>
    <row r="190" ht="18" customHeight="1">
      <c r="B190" s="76" t="n"/>
      <c r="C190" s="77" t="n"/>
      <c r="D190" s="77" t="n"/>
      <c r="E190" s="77" t="n"/>
      <c r="F190" s="78" t="n"/>
      <c r="G190" s="79" t="n"/>
      <c r="H190" s="69" t="n"/>
      <c r="I190" s="44">
        <f>IF(OR($B190="",$H190=""),"",$H190*MAX(1,N($F190)))</f>
        <v/>
      </c>
      <c r="J190" s="80" t="n"/>
      <c r="K190" s="77" t="n"/>
      <c r="L190" s="54">
        <f>IF($B190="",0,IF(COUNTIFS('①在庫を貼る'!$V$6:$V$10005,'設定'!$C$4,'①在庫を貼る'!$W$6:$W$10005,$B190)+COUNTIFS('月1回_1ヶ月前の在庫'!$V$6:$V$10005,'設定'!$C$4,'月1回_1ヶ月前の在庫'!$W$6:$W$10005,$B190)+COUNTIFS('月1回_2ヶ月前の在庫'!$V$6:$V$10005,'設定'!$C$4,'月1回_2ヶ月前の在庫'!$W$6:$W$10005,$B190)&gt;0,1,0))</f>
        <v/>
      </c>
      <c r="M190" s="54">
        <f>N(M189)+$L190</f>
        <v/>
      </c>
      <c r="N190" s="54">
        <f>IF($B190="",0,COUNTIFS('①在庫を貼る'!$V$6:$V$10005,'設定'!$C$4,'①在庫を貼る'!$W$6:$W$10005,$B190))</f>
        <v/>
      </c>
    </row>
    <row r="191" ht="18" customHeight="1">
      <c r="B191" s="76" t="n"/>
      <c r="C191" s="77" t="n"/>
      <c r="D191" s="77" t="n"/>
      <c r="E191" s="77" t="n"/>
      <c r="F191" s="78" t="n"/>
      <c r="G191" s="79" t="n"/>
      <c r="H191" s="69" t="n"/>
      <c r="I191" s="44">
        <f>IF(OR($B191="",$H191=""),"",$H191*MAX(1,N($F191)))</f>
        <v/>
      </c>
      <c r="J191" s="80" t="n"/>
      <c r="K191" s="77" t="n"/>
      <c r="L191" s="54">
        <f>IF($B191="",0,IF(COUNTIFS('①在庫を貼る'!$V$6:$V$10005,'設定'!$C$4,'①在庫を貼る'!$W$6:$W$10005,$B191)+COUNTIFS('月1回_1ヶ月前の在庫'!$V$6:$V$10005,'設定'!$C$4,'月1回_1ヶ月前の在庫'!$W$6:$W$10005,$B191)+COUNTIFS('月1回_2ヶ月前の在庫'!$V$6:$V$10005,'設定'!$C$4,'月1回_2ヶ月前の在庫'!$W$6:$W$10005,$B191)&gt;0,1,0))</f>
        <v/>
      </c>
      <c r="M191" s="54">
        <f>N(M190)+$L191</f>
        <v/>
      </c>
      <c r="N191" s="54">
        <f>IF($B191="",0,COUNTIFS('①在庫を貼る'!$V$6:$V$10005,'設定'!$C$4,'①在庫を貼る'!$W$6:$W$10005,$B191))</f>
        <v/>
      </c>
    </row>
    <row r="192" ht="18" customHeight="1">
      <c r="B192" s="76" t="n"/>
      <c r="C192" s="77" t="n"/>
      <c r="D192" s="77" t="n"/>
      <c r="E192" s="77" t="n"/>
      <c r="F192" s="78" t="n"/>
      <c r="G192" s="79" t="n"/>
      <c r="H192" s="69" t="n"/>
      <c r="I192" s="44">
        <f>IF(OR($B192="",$H192=""),"",$H192*MAX(1,N($F192)))</f>
        <v/>
      </c>
      <c r="J192" s="80" t="n"/>
      <c r="K192" s="77" t="n"/>
      <c r="L192" s="54">
        <f>IF($B192="",0,IF(COUNTIFS('①在庫を貼る'!$V$6:$V$10005,'設定'!$C$4,'①在庫を貼る'!$W$6:$W$10005,$B192)+COUNTIFS('月1回_1ヶ月前の在庫'!$V$6:$V$10005,'設定'!$C$4,'月1回_1ヶ月前の在庫'!$W$6:$W$10005,$B192)+COUNTIFS('月1回_2ヶ月前の在庫'!$V$6:$V$10005,'設定'!$C$4,'月1回_2ヶ月前の在庫'!$W$6:$W$10005,$B192)&gt;0,1,0))</f>
        <v/>
      </c>
      <c r="M192" s="54">
        <f>N(M191)+$L192</f>
        <v/>
      </c>
      <c r="N192" s="54">
        <f>IF($B192="",0,COUNTIFS('①在庫を貼る'!$V$6:$V$10005,'設定'!$C$4,'①在庫を貼る'!$W$6:$W$10005,$B192))</f>
        <v/>
      </c>
    </row>
    <row r="193" ht="18" customHeight="1">
      <c r="B193" s="76" t="n"/>
      <c r="C193" s="77" t="n"/>
      <c r="D193" s="77" t="n"/>
      <c r="E193" s="77" t="n"/>
      <c r="F193" s="78" t="n"/>
      <c r="G193" s="79" t="n"/>
      <c r="H193" s="69" t="n"/>
      <c r="I193" s="44">
        <f>IF(OR($B193="",$H193=""),"",$H193*MAX(1,N($F193)))</f>
        <v/>
      </c>
      <c r="J193" s="80" t="n"/>
      <c r="K193" s="77" t="n"/>
      <c r="L193" s="54">
        <f>IF($B193="",0,IF(COUNTIFS('①在庫を貼る'!$V$6:$V$10005,'設定'!$C$4,'①在庫を貼る'!$W$6:$W$10005,$B193)+COUNTIFS('月1回_1ヶ月前の在庫'!$V$6:$V$10005,'設定'!$C$4,'月1回_1ヶ月前の在庫'!$W$6:$W$10005,$B193)+COUNTIFS('月1回_2ヶ月前の在庫'!$V$6:$V$10005,'設定'!$C$4,'月1回_2ヶ月前の在庫'!$W$6:$W$10005,$B193)&gt;0,1,0))</f>
        <v/>
      </c>
      <c r="M193" s="54">
        <f>N(M192)+$L193</f>
        <v/>
      </c>
      <c r="N193" s="54">
        <f>IF($B193="",0,COUNTIFS('①在庫を貼る'!$V$6:$V$10005,'設定'!$C$4,'①在庫を貼る'!$W$6:$W$10005,$B193))</f>
        <v/>
      </c>
    </row>
    <row r="194" ht="18" customHeight="1">
      <c r="B194" s="76" t="n"/>
      <c r="C194" s="77" t="n"/>
      <c r="D194" s="77" t="n"/>
      <c r="E194" s="77" t="n"/>
      <c r="F194" s="78" t="n"/>
      <c r="G194" s="79" t="n"/>
      <c r="H194" s="69" t="n"/>
      <c r="I194" s="44">
        <f>IF(OR($B194="",$H194=""),"",$H194*MAX(1,N($F194)))</f>
        <v/>
      </c>
      <c r="J194" s="80" t="n"/>
      <c r="K194" s="77" t="n"/>
      <c r="L194" s="54">
        <f>IF($B194="",0,IF(COUNTIFS('①在庫を貼る'!$V$6:$V$10005,'設定'!$C$4,'①在庫を貼る'!$W$6:$W$10005,$B194)+COUNTIFS('月1回_1ヶ月前の在庫'!$V$6:$V$10005,'設定'!$C$4,'月1回_1ヶ月前の在庫'!$W$6:$W$10005,$B194)+COUNTIFS('月1回_2ヶ月前の在庫'!$V$6:$V$10005,'設定'!$C$4,'月1回_2ヶ月前の在庫'!$W$6:$W$10005,$B194)&gt;0,1,0))</f>
        <v/>
      </c>
      <c r="M194" s="54">
        <f>N(M193)+$L194</f>
        <v/>
      </c>
      <c r="N194" s="54">
        <f>IF($B194="",0,COUNTIFS('①在庫を貼る'!$V$6:$V$10005,'設定'!$C$4,'①在庫を貼る'!$W$6:$W$10005,$B194))</f>
        <v/>
      </c>
    </row>
    <row r="195" ht="18" customHeight="1">
      <c r="B195" s="76" t="n"/>
      <c r="C195" s="77" t="n"/>
      <c r="D195" s="77" t="n"/>
      <c r="E195" s="77" t="n"/>
      <c r="F195" s="78" t="n"/>
      <c r="G195" s="79" t="n"/>
      <c r="H195" s="69" t="n"/>
      <c r="I195" s="44">
        <f>IF(OR($B195="",$H195=""),"",$H195*MAX(1,N($F195)))</f>
        <v/>
      </c>
      <c r="J195" s="80" t="n"/>
      <c r="K195" s="77" t="n"/>
      <c r="L195" s="54">
        <f>IF($B195="",0,IF(COUNTIFS('①在庫を貼る'!$V$6:$V$10005,'設定'!$C$4,'①在庫を貼る'!$W$6:$W$10005,$B195)+COUNTIFS('月1回_1ヶ月前の在庫'!$V$6:$V$10005,'設定'!$C$4,'月1回_1ヶ月前の在庫'!$W$6:$W$10005,$B195)+COUNTIFS('月1回_2ヶ月前の在庫'!$V$6:$V$10005,'設定'!$C$4,'月1回_2ヶ月前の在庫'!$W$6:$W$10005,$B195)&gt;0,1,0))</f>
        <v/>
      </c>
      <c r="M195" s="54">
        <f>N(M194)+$L195</f>
        <v/>
      </c>
      <c r="N195" s="54">
        <f>IF($B195="",0,COUNTIFS('①在庫を貼る'!$V$6:$V$10005,'設定'!$C$4,'①在庫を貼る'!$W$6:$W$10005,$B195))</f>
        <v/>
      </c>
    </row>
    <row r="196" ht="18" customHeight="1">
      <c r="B196" s="76" t="n"/>
      <c r="C196" s="77" t="n"/>
      <c r="D196" s="77" t="n"/>
      <c r="E196" s="77" t="n"/>
      <c r="F196" s="78" t="n"/>
      <c r="G196" s="79" t="n"/>
      <c r="H196" s="69" t="n"/>
      <c r="I196" s="44">
        <f>IF(OR($B196="",$H196=""),"",$H196*MAX(1,N($F196)))</f>
        <v/>
      </c>
      <c r="J196" s="80" t="n"/>
      <c r="K196" s="77" t="n"/>
      <c r="L196" s="54">
        <f>IF($B196="",0,IF(COUNTIFS('①在庫を貼る'!$V$6:$V$10005,'設定'!$C$4,'①在庫を貼る'!$W$6:$W$10005,$B196)+COUNTIFS('月1回_1ヶ月前の在庫'!$V$6:$V$10005,'設定'!$C$4,'月1回_1ヶ月前の在庫'!$W$6:$W$10005,$B196)+COUNTIFS('月1回_2ヶ月前の在庫'!$V$6:$V$10005,'設定'!$C$4,'月1回_2ヶ月前の在庫'!$W$6:$W$10005,$B196)&gt;0,1,0))</f>
        <v/>
      </c>
      <c r="M196" s="54">
        <f>N(M195)+$L196</f>
        <v/>
      </c>
      <c r="N196" s="54">
        <f>IF($B196="",0,COUNTIFS('①在庫を貼る'!$V$6:$V$10005,'設定'!$C$4,'①在庫を貼る'!$W$6:$W$10005,$B196))</f>
        <v/>
      </c>
    </row>
    <row r="197" ht="18" customHeight="1">
      <c r="B197" s="76" t="n"/>
      <c r="C197" s="77" t="n"/>
      <c r="D197" s="77" t="n"/>
      <c r="E197" s="77" t="n"/>
      <c r="F197" s="78" t="n"/>
      <c r="G197" s="79" t="n"/>
      <c r="H197" s="69" t="n"/>
      <c r="I197" s="44">
        <f>IF(OR($B197="",$H197=""),"",$H197*MAX(1,N($F197)))</f>
        <v/>
      </c>
      <c r="J197" s="80" t="n"/>
      <c r="K197" s="77" t="n"/>
      <c r="L197" s="54">
        <f>IF($B197="",0,IF(COUNTIFS('①在庫を貼る'!$V$6:$V$10005,'設定'!$C$4,'①在庫を貼る'!$W$6:$W$10005,$B197)+COUNTIFS('月1回_1ヶ月前の在庫'!$V$6:$V$10005,'設定'!$C$4,'月1回_1ヶ月前の在庫'!$W$6:$W$10005,$B197)+COUNTIFS('月1回_2ヶ月前の在庫'!$V$6:$V$10005,'設定'!$C$4,'月1回_2ヶ月前の在庫'!$W$6:$W$10005,$B197)&gt;0,1,0))</f>
        <v/>
      </c>
      <c r="M197" s="54">
        <f>N(M196)+$L197</f>
        <v/>
      </c>
      <c r="N197" s="54">
        <f>IF($B197="",0,COUNTIFS('①在庫を貼る'!$V$6:$V$10005,'設定'!$C$4,'①在庫を貼る'!$W$6:$W$10005,$B197))</f>
        <v/>
      </c>
    </row>
    <row r="198" ht="18" customHeight="1">
      <c r="B198" s="76" t="n"/>
      <c r="C198" s="77" t="n"/>
      <c r="D198" s="77" t="n"/>
      <c r="E198" s="77" t="n"/>
      <c r="F198" s="78" t="n"/>
      <c r="G198" s="79" t="n"/>
      <c r="H198" s="69" t="n"/>
      <c r="I198" s="44">
        <f>IF(OR($B198="",$H198=""),"",$H198*MAX(1,N($F198)))</f>
        <v/>
      </c>
      <c r="J198" s="80" t="n"/>
      <c r="K198" s="77" t="n"/>
      <c r="L198" s="54">
        <f>IF($B198="",0,IF(COUNTIFS('①在庫を貼る'!$V$6:$V$10005,'設定'!$C$4,'①在庫を貼る'!$W$6:$W$10005,$B198)+COUNTIFS('月1回_1ヶ月前の在庫'!$V$6:$V$10005,'設定'!$C$4,'月1回_1ヶ月前の在庫'!$W$6:$W$10005,$B198)+COUNTIFS('月1回_2ヶ月前の在庫'!$V$6:$V$10005,'設定'!$C$4,'月1回_2ヶ月前の在庫'!$W$6:$W$10005,$B198)&gt;0,1,0))</f>
        <v/>
      </c>
      <c r="M198" s="54">
        <f>N(M197)+$L198</f>
        <v/>
      </c>
      <c r="N198" s="54">
        <f>IF($B198="",0,COUNTIFS('①在庫を貼る'!$V$6:$V$10005,'設定'!$C$4,'①在庫を貼る'!$W$6:$W$10005,$B198))</f>
        <v/>
      </c>
    </row>
    <row r="199" ht="18" customHeight="1">
      <c r="B199" s="76" t="n"/>
      <c r="C199" s="77" t="n"/>
      <c r="D199" s="77" t="n"/>
      <c r="E199" s="77" t="n"/>
      <c r="F199" s="78" t="n"/>
      <c r="G199" s="79" t="n"/>
      <c r="H199" s="69" t="n"/>
      <c r="I199" s="44">
        <f>IF(OR($B199="",$H199=""),"",$H199*MAX(1,N($F199)))</f>
        <v/>
      </c>
      <c r="J199" s="80" t="n"/>
      <c r="K199" s="77" t="n"/>
      <c r="L199" s="54">
        <f>IF($B199="",0,IF(COUNTIFS('①在庫を貼る'!$V$6:$V$10005,'設定'!$C$4,'①在庫を貼る'!$W$6:$W$10005,$B199)+COUNTIFS('月1回_1ヶ月前の在庫'!$V$6:$V$10005,'設定'!$C$4,'月1回_1ヶ月前の在庫'!$W$6:$W$10005,$B199)+COUNTIFS('月1回_2ヶ月前の在庫'!$V$6:$V$10005,'設定'!$C$4,'月1回_2ヶ月前の在庫'!$W$6:$W$10005,$B199)&gt;0,1,0))</f>
        <v/>
      </c>
      <c r="M199" s="54">
        <f>N(M198)+$L199</f>
        <v/>
      </c>
      <c r="N199" s="54">
        <f>IF($B199="",0,COUNTIFS('①在庫を貼る'!$V$6:$V$10005,'設定'!$C$4,'①在庫を貼る'!$W$6:$W$10005,$B199))</f>
        <v/>
      </c>
    </row>
    <row r="200" ht="18" customHeight="1">
      <c r="B200" s="76" t="n"/>
      <c r="C200" s="77" t="n"/>
      <c r="D200" s="77" t="n"/>
      <c r="E200" s="77" t="n"/>
      <c r="F200" s="78" t="n"/>
      <c r="G200" s="79" t="n"/>
      <c r="H200" s="69" t="n"/>
      <c r="I200" s="44">
        <f>IF(OR($B200="",$H200=""),"",$H200*MAX(1,N($F200)))</f>
        <v/>
      </c>
      <c r="J200" s="80" t="n"/>
      <c r="K200" s="77" t="n"/>
      <c r="L200" s="54">
        <f>IF($B200="",0,IF(COUNTIFS('①在庫を貼る'!$V$6:$V$10005,'設定'!$C$4,'①在庫を貼る'!$W$6:$W$10005,$B200)+COUNTIFS('月1回_1ヶ月前の在庫'!$V$6:$V$10005,'設定'!$C$4,'月1回_1ヶ月前の在庫'!$W$6:$W$10005,$B200)+COUNTIFS('月1回_2ヶ月前の在庫'!$V$6:$V$10005,'設定'!$C$4,'月1回_2ヶ月前の在庫'!$W$6:$W$10005,$B200)&gt;0,1,0))</f>
        <v/>
      </c>
      <c r="M200" s="54">
        <f>N(M199)+$L200</f>
        <v/>
      </c>
      <c r="N200" s="54">
        <f>IF($B200="",0,COUNTIFS('①在庫を貼る'!$V$6:$V$10005,'設定'!$C$4,'①在庫を貼る'!$W$6:$W$10005,$B200))</f>
        <v/>
      </c>
    </row>
    <row r="201" ht="18" customHeight="1">
      <c r="B201" s="76" t="n"/>
      <c r="C201" s="77" t="n"/>
      <c r="D201" s="77" t="n"/>
      <c r="E201" s="77" t="n"/>
      <c r="F201" s="78" t="n"/>
      <c r="G201" s="79" t="n"/>
      <c r="H201" s="69" t="n"/>
      <c r="I201" s="44">
        <f>IF(OR($B201="",$H201=""),"",$H201*MAX(1,N($F201)))</f>
        <v/>
      </c>
      <c r="J201" s="80" t="n"/>
      <c r="K201" s="77" t="n"/>
      <c r="L201" s="54">
        <f>IF($B201="",0,IF(COUNTIFS('①在庫を貼る'!$V$6:$V$10005,'設定'!$C$4,'①在庫を貼る'!$W$6:$W$10005,$B201)+COUNTIFS('月1回_1ヶ月前の在庫'!$V$6:$V$10005,'設定'!$C$4,'月1回_1ヶ月前の在庫'!$W$6:$W$10005,$B201)+COUNTIFS('月1回_2ヶ月前の在庫'!$V$6:$V$10005,'設定'!$C$4,'月1回_2ヶ月前の在庫'!$W$6:$W$10005,$B201)&gt;0,1,0))</f>
        <v/>
      </c>
      <c r="M201" s="54">
        <f>N(M200)+$L201</f>
        <v/>
      </c>
      <c r="N201" s="54">
        <f>IF($B201="",0,COUNTIFS('①在庫を貼る'!$V$6:$V$10005,'設定'!$C$4,'①在庫を貼る'!$W$6:$W$10005,$B201))</f>
        <v/>
      </c>
    </row>
    <row r="202" ht="18" customHeight="1">
      <c r="B202" s="76" t="n"/>
      <c r="C202" s="77" t="n"/>
      <c r="D202" s="77" t="n"/>
      <c r="E202" s="77" t="n"/>
      <c r="F202" s="78" t="n"/>
      <c r="G202" s="79" t="n"/>
      <c r="H202" s="69" t="n"/>
      <c r="I202" s="44">
        <f>IF(OR($B202="",$H202=""),"",$H202*MAX(1,N($F202)))</f>
        <v/>
      </c>
      <c r="J202" s="80" t="n"/>
      <c r="K202" s="77" t="n"/>
      <c r="L202" s="54">
        <f>IF($B202="",0,IF(COUNTIFS('①在庫を貼る'!$V$6:$V$10005,'設定'!$C$4,'①在庫を貼る'!$W$6:$W$10005,$B202)+COUNTIFS('月1回_1ヶ月前の在庫'!$V$6:$V$10005,'設定'!$C$4,'月1回_1ヶ月前の在庫'!$W$6:$W$10005,$B202)+COUNTIFS('月1回_2ヶ月前の在庫'!$V$6:$V$10005,'設定'!$C$4,'月1回_2ヶ月前の在庫'!$W$6:$W$10005,$B202)&gt;0,1,0))</f>
        <v/>
      </c>
      <c r="M202" s="54">
        <f>N(M201)+$L202</f>
        <v/>
      </c>
      <c r="N202" s="54">
        <f>IF($B202="",0,COUNTIFS('①在庫を貼る'!$V$6:$V$10005,'設定'!$C$4,'①在庫を貼る'!$W$6:$W$10005,$B202))</f>
        <v/>
      </c>
    </row>
    <row r="203" ht="18" customHeight="1">
      <c r="B203" s="76" t="n"/>
      <c r="C203" s="77" t="n"/>
      <c r="D203" s="77" t="n"/>
      <c r="E203" s="77" t="n"/>
      <c r="F203" s="78" t="n"/>
      <c r="G203" s="79" t="n"/>
      <c r="H203" s="69" t="n"/>
      <c r="I203" s="44">
        <f>IF(OR($B203="",$H203=""),"",$H203*MAX(1,N($F203)))</f>
        <v/>
      </c>
      <c r="J203" s="80" t="n"/>
      <c r="K203" s="77" t="n"/>
      <c r="L203" s="54">
        <f>IF($B203="",0,IF(COUNTIFS('①在庫を貼る'!$V$6:$V$10005,'設定'!$C$4,'①在庫を貼る'!$W$6:$W$10005,$B203)+COUNTIFS('月1回_1ヶ月前の在庫'!$V$6:$V$10005,'設定'!$C$4,'月1回_1ヶ月前の在庫'!$W$6:$W$10005,$B203)+COUNTIFS('月1回_2ヶ月前の在庫'!$V$6:$V$10005,'設定'!$C$4,'月1回_2ヶ月前の在庫'!$W$6:$W$10005,$B203)&gt;0,1,0))</f>
        <v/>
      </c>
      <c r="M203" s="54">
        <f>N(M202)+$L203</f>
        <v/>
      </c>
      <c r="N203" s="54">
        <f>IF($B203="",0,COUNTIFS('①在庫を貼る'!$V$6:$V$10005,'設定'!$C$4,'①在庫を貼る'!$W$6:$W$10005,$B203))</f>
        <v/>
      </c>
    </row>
    <row r="204" ht="18" customHeight="1">
      <c r="B204" s="76" t="n"/>
      <c r="C204" s="77" t="n"/>
      <c r="D204" s="77" t="n"/>
      <c r="E204" s="77" t="n"/>
      <c r="F204" s="78" t="n"/>
      <c r="G204" s="79" t="n"/>
      <c r="H204" s="69" t="n"/>
      <c r="I204" s="44">
        <f>IF(OR($B204="",$H204=""),"",$H204*MAX(1,N($F204)))</f>
        <v/>
      </c>
      <c r="J204" s="80" t="n"/>
      <c r="K204" s="77" t="n"/>
      <c r="L204" s="54">
        <f>IF($B204="",0,IF(COUNTIFS('①在庫を貼る'!$V$6:$V$10005,'設定'!$C$4,'①在庫を貼る'!$W$6:$W$10005,$B204)+COUNTIFS('月1回_1ヶ月前の在庫'!$V$6:$V$10005,'設定'!$C$4,'月1回_1ヶ月前の在庫'!$W$6:$W$10005,$B204)+COUNTIFS('月1回_2ヶ月前の在庫'!$V$6:$V$10005,'設定'!$C$4,'月1回_2ヶ月前の在庫'!$W$6:$W$10005,$B204)&gt;0,1,0))</f>
        <v/>
      </c>
      <c r="M204" s="54">
        <f>N(M203)+$L204</f>
        <v/>
      </c>
      <c r="N204" s="54">
        <f>IF($B204="",0,COUNTIFS('①在庫を貼る'!$V$6:$V$10005,'設定'!$C$4,'①在庫を貼る'!$W$6:$W$10005,$B204))</f>
        <v/>
      </c>
    </row>
    <row r="205" ht="18" customHeight="1">
      <c r="B205" s="76" t="n"/>
      <c r="C205" s="77" t="n"/>
      <c r="D205" s="77" t="n"/>
      <c r="E205" s="77" t="n"/>
      <c r="F205" s="78" t="n"/>
      <c r="G205" s="79" t="n"/>
      <c r="H205" s="69" t="n"/>
      <c r="I205" s="44">
        <f>IF(OR($B205="",$H205=""),"",$H205*MAX(1,N($F205)))</f>
        <v/>
      </c>
      <c r="J205" s="80" t="n"/>
      <c r="K205" s="77" t="n"/>
      <c r="L205" s="54">
        <f>IF($B205="",0,IF(COUNTIFS('①在庫を貼る'!$V$6:$V$10005,'設定'!$C$4,'①在庫を貼る'!$W$6:$W$10005,$B205)+COUNTIFS('月1回_1ヶ月前の在庫'!$V$6:$V$10005,'設定'!$C$4,'月1回_1ヶ月前の在庫'!$W$6:$W$10005,$B205)+COUNTIFS('月1回_2ヶ月前の在庫'!$V$6:$V$10005,'設定'!$C$4,'月1回_2ヶ月前の在庫'!$W$6:$W$10005,$B205)&gt;0,1,0))</f>
        <v/>
      </c>
      <c r="M205" s="54">
        <f>N(M204)+$L205</f>
        <v/>
      </c>
      <c r="N205" s="54">
        <f>IF($B205="",0,COUNTIFS('①在庫を貼る'!$V$6:$V$10005,'設定'!$C$4,'①在庫を貼る'!$W$6:$W$10005,$B205))</f>
        <v/>
      </c>
    </row>
    <row r="206" ht="18" customHeight="1">
      <c r="B206" s="76" t="n"/>
      <c r="C206" s="77" t="n"/>
      <c r="D206" s="77" t="n"/>
      <c r="E206" s="77" t="n"/>
      <c r="F206" s="78" t="n"/>
      <c r="G206" s="79" t="n"/>
      <c r="H206" s="69" t="n"/>
      <c r="I206" s="44">
        <f>IF(OR($B206="",$H206=""),"",$H206*MAX(1,N($F206)))</f>
        <v/>
      </c>
      <c r="J206" s="80" t="n"/>
      <c r="K206" s="77" t="n"/>
      <c r="L206" s="54">
        <f>IF($B206="",0,IF(COUNTIFS('①在庫を貼る'!$V$6:$V$10005,'設定'!$C$4,'①在庫を貼る'!$W$6:$W$10005,$B206)+COUNTIFS('月1回_1ヶ月前の在庫'!$V$6:$V$10005,'設定'!$C$4,'月1回_1ヶ月前の在庫'!$W$6:$W$10005,$B206)+COUNTIFS('月1回_2ヶ月前の在庫'!$V$6:$V$10005,'設定'!$C$4,'月1回_2ヶ月前の在庫'!$W$6:$W$10005,$B206)&gt;0,1,0))</f>
        <v/>
      </c>
      <c r="M206" s="54">
        <f>N(M205)+$L206</f>
        <v/>
      </c>
      <c r="N206" s="54">
        <f>IF($B206="",0,COUNTIFS('①在庫を貼る'!$V$6:$V$10005,'設定'!$C$4,'①在庫を貼る'!$W$6:$W$10005,$B206))</f>
        <v/>
      </c>
    </row>
    <row r="207" ht="18" customHeight="1">
      <c r="B207" s="76" t="n"/>
      <c r="C207" s="77" t="n"/>
      <c r="D207" s="77" t="n"/>
      <c r="E207" s="77" t="n"/>
      <c r="F207" s="78" t="n"/>
      <c r="G207" s="79" t="n"/>
      <c r="H207" s="69" t="n"/>
      <c r="I207" s="44">
        <f>IF(OR($B207="",$H207=""),"",$H207*MAX(1,N($F207)))</f>
        <v/>
      </c>
      <c r="J207" s="80" t="n"/>
      <c r="K207" s="77" t="n"/>
      <c r="L207" s="54">
        <f>IF($B207="",0,IF(COUNTIFS('①在庫を貼る'!$V$6:$V$10005,'設定'!$C$4,'①在庫を貼る'!$W$6:$W$10005,$B207)+COUNTIFS('月1回_1ヶ月前の在庫'!$V$6:$V$10005,'設定'!$C$4,'月1回_1ヶ月前の在庫'!$W$6:$W$10005,$B207)+COUNTIFS('月1回_2ヶ月前の在庫'!$V$6:$V$10005,'設定'!$C$4,'月1回_2ヶ月前の在庫'!$W$6:$W$10005,$B207)&gt;0,1,0))</f>
        <v/>
      </c>
      <c r="M207" s="54">
        <f>N(M206)+$L207</f>
        <v/>
      </c>
      <c r="N207" s="54">
        <f>IF($B207="",0,COUNTIFS('①在庫を貼る'!$V$6:$V$10005,'設定'!$C$4,'①在庫を貼る'!$W$6:$W$10005,$B207))</f>
        <v/>
      </c>
    </row>
    <row r="208" ht="18" customHeight="1">
      <c r="B208" s="76" t="n"/>
      <c r="C208" s="77" t="n"/>
      <c r="D208" s="77" t="n"/>
      <c r="E208" s="77" t="n"/>
      <c r="F208" s="78" t="n"/>
      <c r="G208" s="79" t="n"/>
      <c r="H208" s="69" t="n"/>
      <c r="I208" s="44">
        <f>IF(OR($B208="",$H208=""),"",$H208*MAX(1,N($F208)))</f>
        <v/>
      </c>
      <c r="J208" s="80" t="n"/>
      <c r="K208" s="77" t="n"/>
      <c r="L208" s="54">
        <f>IF($B208="",0,IF(COUNTIFS('①在庫を貼る'!$V$6:$V$10005,'設定'!$C$4,'①在庫を貼る'!$W$6:$W$10005,$B208)+COUNTIFS('月1回_1ヶ月前の在庫'!$V$6:$V$10005,'設定'!$C$4,'月1回_1ヶ月前の在庫'!$W$6:$W$10005,$B208)+COUNTIFS('月1回_2ヶ月前の在庫'!$V$6:$V$10005,'設定'!$C$4,'月1回_2ヶ月前の在庫'!$W$6:$W$10005,$B208)&gt;0,1,0))</f>
        <v/>
      </c>
      <c r="M208" s="54">
        <f>N(M207)+$L208</f>
        <v/>
      </c>
      <c r="N208" s="54">
        <f>IF($B208="",0,COUNTIFS('①在庫を貼る'!$V$6:$V$10005,'設定'!$C$4,'①在庫を貼る'!$W$6:$W$10005,$B208))</f>
        <v/>
      </c>
    </row>
    <row r="209" ht="18" customHeight="1">
      <c r="B209" s="76" t="n"/>
      <c r="C209" s="77" t="n"/>
      <c r="D209" s="77" t="n"/>
      <c r="E209" s="77" t="n"/>
      <c r="F209" s="78" t="n"/>
      <c r="G209" s="79" t="n"/>
      <c r="H209" s="69" t="n"/>
      <c r="I209" s="44">
        <f>IF(OR($B209="",$H209=""),"",$H209*MAX(1,N($F209)))</f>
        <v/>
      </c>
      <c r="J209" s="80" t="n"/>
      <c r="K209" s="77" t="n"/>
      <c r="L209" s="54">
        <f>IF($B209="",0,IF(COUNTIFS('①在庫を貼る'!$V$6:$V$10005,'設定'!$C$4,'①在庫を貼る'!$W$6:$W$10005,$B209)+COUNTIFS('月1回_1ヶ月前の在庫'!$V$6:$V$10005,'設定'!$C$4,'月1回_1ヶ月前の在庫'!$W$6:$W$10005,$B209)+COUNTIFS('月1回_2ヶ月前の在庫'!$V$6:$V$10005,'設定'!$C$4,'月1回_2ヶ月前の在庫'!$W$6:$W$10005,$B209)&gt;0,1,0))</f>
        <v/>
      </c>
      <c r="M209" s="54">
        <f>N(M208)+$L209</f>
        <v/>
      </c>
      <c r="N209" s="54">
        <f>IF($B209="",0,COUNTIFS('①在庫を貼る'!$V$6:$V$10005,'設定'!$C$4,'①在庫を貼る'!$W$6:$W$10005,$B209))</f>
        <v/>
      </c>
    </row>
    <row r="210" ht="18" customHeight="1">
      <c r="B210" s="76" t="n"/>
      <c r="C210" s="77" t="n"/>
      <c r="D210" s="77" t="n"/>
      <c r="E210" s="77" t="n"/>
      <c r="F210" s="78" t="n"/>
      <c r="G210" s="79" t="n"/>
      <c r="H210" s="69" t="n"/>
      <c r="I210" s="44">
        <f>IF(OR($B210="",$H210=""),"",$H210*MAX(1,N($F210)))</f>
        <v/>
      </c>
      <c r="J210" s="80" t="n"/>
      <c r="K210" s="77" t="n"/>
      <c r="L210" s="54">
        <f>IF($B210="",0,IF(COUNTIFS('①在庫を貼る'!$V$6:$V$10005,'設定'!$C$4,'①在庫を貼る'!$W$6:$W$10005,$B210)+COUNTIFS('月1回_1ヶ月前の在庫'!$V$6:$V$10005,'設定'!$C$4,'月1回_1ヶ月前の在庫'!$W$6:$W$10005,$B210)+COUNTIFS('月1回_2ヶ月前の在庫'!$V$6:$V$10005,'設定'!$C$4,'月1回_2ヶ月前の在庫'!$W$6:$W$10005,$B210)&gt;0,1,0))</f>
        <v/>
      </c>
      <c r="M210" s="54">
        <f>N(M209)+$L210</f>
        <v/>
      </c>
      <c r="N210" s="54">
        <f>IF($B210="",0,COUNTIFS('①在庫を貼る'!$V$6:$V$10005,'設定'!$C$4,'①在庫を貼る'!$W$6:$W$10005,$B210))</f>
        <v/>
      </c>
    </row>
    <row r="211" ht="18" customHeight="1">
      <c r="B211" s="76" t="n"/>
      <c r="C211" s="77" t="n"/>
      <c r="D211" s="77" t="n"/>
      <c r="E211" s="77" t="n"/>
      <c r="F211" s="78" t="n"/>
      <c r="G211" s="79" t="n"/>
      <c r="H211" s="69" t="n"/>
      <c r="I211" s="44">
        <f>IF(OR($B211="",$H211=""),"",$H211*MAX(1,N($F211)))</f>
        <v/>
      </c>
      <c r="J211" s="80" t="n"/>
      <c r="K211" s="77" t="n"/>
      <c r="L211" s="54">
        <f>IF($B211="",0,IF(COUNTIFS('①在庫を貼る'!$V$6:$V$10005,'設定'!$C$4,'①在庫を貼る'!$W$6:$W$10005,$B211)+COUNTIFS('月1回_1ヶ月前の在庫'!$V$6:$V$10005,'設定'!$C$4,'月1回_1ヶ月前の在庫'!$W$6:$W$10005,$B211)+COUNTIFS('月1回_2ヶ月前の在庫'!$V$6:$V$10005,'設定'!$C$4,'月1回_2ヶ月前の在庫'!$W$6:$W$10005,$B211)&gt;0,1,0))</f>
        <v/>
      </c>
      <c r="M211" s="54">
        <f>N(M210)+$L211</f>
        <v/>
      </c>
      <c r="N211" s="54">
        <f>IF($B211="",0,COUNTIFS('①在庫を貼る'!$V$6:$V$10005,'設定'!$C$4,'①在庫を貼る'!$W$6:$W$10005,$B211))</f>
        <v/>
      </c>
    </row>
    <row r="212" ht="18" customHeight="1">
      <c r="B212" s="76" t="n"/>
      <c r="C212" s="77" t="n"/>
      <c r="D212" s="77" t="n"/>
      <c r="E212" s="77" t="n"/>
      <c r="F212" s="78" t="n"/>
      <c r="G212" s="79" t="n"/>
      <c r="H212" s="69" t="n"/>
      <c r="I212" s="44">
        <f>IF(OR($B212="",$H212=""),"",$H212*MAX(1,N($F212)))</f>
        <v/>
      </c>
      <c r="J212" s="80" t="n"/>
      <c r="K212" s="77" t="n"/>
      <c r="L212" s="54">
        <f>IF($B212="",0,IF(COUNTIFS('①在庫を貼る'!$V$6:$V$10005,'設定'!$C$4,'①在庫を貼る'!$W$6:$W$10005,$B212)+COUNTIFS('月1回_1ヶ月前の在庫'!$V$6:$V$10005,'設定'!$C$4,'月1回_1ヶ月前の在庫'!$W$6:$W$10005,$B212)+COUNTIFS('月1回_2ヶ月前の在庫'!$V$6:$V$10005,'設定'!$C$4,'月1回_2ヶ月前の在庫'!$W$6:$W$10005,$B212)&gt;0,1,0))</f>
        <v/>
      </c>
      <c r="M212" s="54">
        <f>N(M211)+$L212</f>
        <v/>
      </c>
      <c r="N212" s="54">
        <f>IF($B212="",0,COUNTIFS('①在庫を貼る'!$V$6:$V$10005,'設定'!$C$4,'①在庫を貼る'!$W$6:$W$10005,$B212))</f>
        <v/>
      </c>
    </row>
    <row r="213" ht="18" customHeight="1">
      <c r="B213" s="76" t="n"/>
      <c r="C213" s="77" t="n"/>
      <c r="D213" s="77" t="n"/>
      <c r="E213" s="77" t="n"/>
      <c r="F213" s="78" t="n"/>
      <c r="G213" s="79" t="n"/>
      <c r="H213" s="69" t="n"/>
      <c r="I213" s="44">
        <f>IF(OR($B213="",$H213=""),"",$H213*MAX(1,N($F213)))</f>
        <v/>
      </c>
      <c r="J213" s="80" t="n"/>
      <c r="K213" s="77" t="n"/>
      <c r="L213" s="54">
        <f>IF($B213="",0,IF(COUNTIFS('①在庫を貼る'!$V$6:$V$10005,'設定'!$C$4,'①在庫を貼る'!$W$6:$W$10005,$B213)+COUNTIFS('月1回_1ヶ月前の在庫'!$V$6:$V$10005,'設定'!$C$4,'月1回_1ヶ月前の在庫'!$W$6:$W$10005,$B213)+COUNTIFS('月1回_2ヶ月前の在庫'!$V$6:$V$10005,'設定'!$C$4,'月1回_2ヶ月前の在庫'!$W$6:$W$10005,$B213)&gt;0,1,0))</f>
        <v/>
      </c>
      <c r="M213" s="54">
        <f>N(M212)+$L213</f>
        <v/>
      </c>
      <c r="N213" s="54">
        <f>IF($B213="",0,COUNTIFS('①在庫を貼る'!$V$6:$V$10005,'設定'!$C$4,'①在庫を貼る'!$W$6:$W$10005,$B213))</f>
        <v/>
      </c>
    </row>
    <row r="214" ht="18" customHeight="1">
      <c r="B214" s="76" t="n"/>
      <c r="C214" s="77" t="n"/>
      <c r="D214" s="77" t="n"/>
      <c r="E214" s="77" t="n"/>
      <c r="F214" s="78" t="n"/>
      <c r="G214" s="79" t="n"/>
      <c r="H214" s="69" t="n"/>
      <c r="I214" s="44">
        <f>IF(OR($B214="",$H214=""),"",$H214*MAX(1,N($F214)))</f>
        <v/>
      </c>
      <c r="J214" s="80" t="n"/>
      <c r="K214" s="77" t="n"/>
      <c r="L214" s="54">
        <f>IF($B214="",0,IF(COUNTIFS('①在庫を貼る'!$V$6:$V$10005,'設定'!$C$4,'①在庫を貼る'!$W$6:$W$10005,$B214)+COUNTIFS('月1回_1ヶ月前の在庫'!$V$6:$V$10005,'設定'!$C$4,'月1回_1ヶ月前の在庫'!$W$6:$W$10005,$B214)+COUNTIFS('月1回_2ヶ月前の在庫'!$V$6:$V$10005,'設定'!$C$4,'月1回_2ヶ月前の在庫'!$W$6:$W$10005,$B214)&gt;0,1,0))</f>
        <v/>
      </c>
      <c r="M214" s="54">
        <f>N(M213)+$L214</f>
        <v/>
      </c>
      <c r="N214" s="54">
        <f>IF($B214="",0,COUNTIFS('①在庫を貼る'!$V$6:$V$10005,'設定'!$C$4,'①在庫を貼る'!$W$6:$W$10005,$B214))</f>
        <v/>
      </c>
    </row>
    <row r="215" ht="18" customHeight="1">
      <c r="B215" s="76" t="n"/>
      <c r="C215" s="77" t="n"/>
      <c r="D215" s="77" t="n"/>
      <c r="E215" s="77" t="n"/>
      <c r="F215" s="78" t="n"/>
      <c r="G215" s="79" t="n"/>
      <c r="H215" s="69" t="n"/>
      <c r="I215" s="44">
        <f>IF(OR($B215="",$H215=""),"",$H215*MAX(1,N($F215)))</f>
        <v/>
      </c>
      <c r="J215" s="80" t="n"/>
      <c r="K215" s="77" t="n"/>
      <c r="L215" s="54">
        <f>IF($B215="",0,IF(COUNTIFS('①在庫を貼る'!$V$6:$V$10005,'設定'!$C$4,'①在庫を貼る'!$W$6:$W$10005,$B215)+COUNTIFS('月1回_1ヶ月前の在庫'!$V$6:$V$10005,'設定'!$C$4,'月1回_1ヶ月前の在庫'!$W$6:$W$10005,$B215)+COUNTIFS('月1回_2ヶ月前の在庫'!$V$6:$V$10005,'設定'!$C$4,'月1回_2ヶ月前の在庫'!$W$6:$W$10005,$B215)&gt;0,1,0))</f>
        <v/>
      </c>
      <c r="M215" s="54">
        <f>N(M214)+$L215</f>
        <v/>
      </c>
      <c r="N215" s="54">
        <f>IF($B215="",0,COUNTIFS('①在庫を貼る'!$V$6:$V$10005,'設定'!$C$4,'①在庫を貼る'!$W$6:$W$10005,$B215))</f>
        <v/>
      </c>
    </row>
    <row r="216" ht="18" customHeight="1">
      <c r="B216" s="76" t="n"/>
      <c r="C216" s="77" t="n"/>
      <c r="D216" s="77" t="n"/>
      <c r="E216" s="77" t="n"/>
      <c r="F216" s="78" t="n"/>
      <c r="G216" s="79" t="n"/>
      <c r="H216" s="69" t="n"/>
      <c r="I216" s="44">
        <f>IF(OR($B216="",$H216=""),"",$H216*MAX(1,N($F216)))</f>
        <v/>
      </c>
      <c r="J216" s="80" t="n"/>
      <c r="K216" s="77" t="n"/>
      <c r="L216" s="54">
        <f>IF($B216="",0,IF(COUNTIFS('①在庫を貼る'!$V$6:$V$10005,'設定'!$C$4,'①在庫を貼る'!$W$6:$W$10005,$B216)+COUNTIFS('月1回_1ヶ月前の在庫'!$V$6:$V$10005,'設定'!$C$4,'月1回_1ヶ月前の在庫'!$W$6:$W$10005,$B216)+COUNTIFS('月1回_2ヶ月前の在庫'!$V$6:$V$10005,'設定'!$C$4,'月1回_2ヶ月前の在庫'!$W$6:$W$10005,$B216)&gt;0,1,0))</f>
        <v/>
      </c>
      <c r="M216" s="54">
        <f>N(M215)+$L216</f>
        <v/>
      </c>
      <c r="N216" s="54">
        <f>IF($B216="",0,COUNTIFS('①在庫を貼る'!$V$6:$V$10005,'設定'!$C$4,'①在庫を貼る'!$W$6:$W$10005,$B216))</f>
        <v/>
      </c>
    </row>
    <row r="217" ht="18" customHeight="1">
      <c r="B217" s="76" t="n"/>
      <c r="C217" s="77" t="n"/>
      <c r="D217" s="77" t="n"/>
      <c r="E217" s="77" t="n"/>
      <c r="F217" s="78" t="n"/>
      <c r="G217" s="79" t="n"/>
      <c r="H217" s="69" t="n"/>
      <c r="I217" s="44">
        <f>IF(OR($B217="",$H217=""),"",$H217*MAX(1,N($F217)))</f>
        <v/>
      </c>
      <c r="J217" s="80" t="n"/>
      <c r="K217" s="77" t="n"/>
      <c r="L217" s="54">
        <f>IF($B217="",0,IF(COUNTIFS('①在庫を貼る'!$V$6:$V$10005,'設定'!$C$4,'①在庫を貼る'!$W$6:$W$10005,$B217)+COUNTIFS('月1回_1ヶ月前の在庫'!$V$6:$V$10005,'設定'!$C$4,'月1回_1ヶ月前の在庫'!$W$6:$W$10005,$B217)+COUNTIFS('月1回_2ヶ月前の在庫'!$V$6:$V$10005,'設定'!$C$4,'月1回_2ヶ月前の在庫'!$W$6:$W$10005,$B217)&gt;0,1,0))</f>
        <v/>
      </c>
      <c r="M217" s="54">
        <f>N(M216)+$L217</f>
        <v/>
      </c>
      <c r="N217" s="54">
        <f>IF($B217="",0,COUNTIFS('①在庫を貼る'!$V$6:$V$10005,'設定'!$C$4,'①在庫を貼る'!$W$6:$W$10005,$B217))</f>
        <v/>
      </c>
    </row>
    <row r="218" ht="18" customHeight="1">
      <c r="B218" s="76" t="n"/>
      <c r="C218" s="77" t="n"/>
      <c r="D218" s="77" t="n"/>
      <c r="E218" s="77" t="n"/>
      <c r="F218" s="78" t="n"/>
      <c r="G218" s="79" t="n"/>
      <c r="H218" s="69" t="n"/>
      <c r="I218" s="44">
        <f>IF(OR($B218="",$H218=""),"",$H218*MAX(1,N($F218)))</f>
        <v/>
      </c>
      <c r="J218" s="80" t="n"/>
      <c r="K218" s="77" t="n"/>
      <c r="L218" s="54">
        <f>IF($B218="",0,IF(COUNTIFS('①在庫を貼る'!$V$6:$V$10005,'設定'!$C$4,'①在庫を貼る'!$W$6:$W$10005,$B218)+COUNTIFS('月1回_1ヶ月前の在庫'!$V$6:$V$10005,'設定'!$C$4,'月1回_1ヶ月前の在庫'!$W$6:$W$10005,$B218)+COUNTIFS('月1回_2ヶ月前の在庫'!$V$6:$V$10005,'設定'!$C$4,'月1回_2ヶ月前の在庫'!$W$6:$W$10005,$B218)&gt;0,1,0))</f>
        <v/>
      </c>
      <c r="M218" s="54">
        <f>N(M217)+$L218</f>
        <v/>
      </c>
      <c r="N218" s="54">
        <f>IF($B218="",0,COUNTIFS('①在庫を貼る'!$V$6:$V$10005,'設定'!$C$4,'①在庫を貼る'!$W$6:$W$10005,$B218))</f>
        <v/>
      </c>
    </row>
    <row r="219" ht="18" customHeight="1">
      <c r="B219" s="76" t="n"/>
      <c r="C219" s="77" t="n"/>
      <c r="D219" s="77" t="n"/>
      <c r="E219" s="77" t="n"/>
      <c r="F219" s="78" t="n"/>
      <c r="G219" s="79" t="n"/>
      <c r="H219" s="69" t="n"/>
      <c r="I219" s="44">
        <f>IF(OR($B219="",$H219=""),"",$H219*MAX(1,N($F219)))</f>
        <v/>
      </c>
      <c r="J219" s="80" t="n"/>
      <c r="K219" s="77" t="n"/>
      <c r="L219" s="54">
        <f>IF($B219="",0,IF(COUNTIFS('①在庫を貼る'!$V$6:$V$10005,'設定'!$C$4,'①在庫を貼る'!$W$6:$W$10005,$B219)+COUNTIFS('月1回_1ヶ月前の在庫'!$V$6:$V$10005,'設定'!$C$4,'月1回_1ヶ月前の在庫'!$W$6:$W$10005,$B219)+COUNTIFS('月1回_2ヶ月前の在庫'!$V$6:$V$10005,'設定'!$C$4,'月1回_2ヶ月前の在庫'!$W$6:$W$10005,$B219)&gt;0,1,0))</f>
        <v/>
      </c>
      <c r="M219" s="54">
        <f>N(M218)+$L219</f>
        <v/>
      </c>
      <c r="N219" s="54">
        <f>IF($B219="",0,COUNTIFS('①在庫を貼る'!$V$6:$V$10005,'設定'!$C$4,'①在庫を貼る'!$W$6:$W$10005,$B219))</f>
        <v/>
      </c>
    </row>
    <row r="220" ht="18" customHeight="1">
      <c r="B220" s="76" t="n"/>
      <c r="C220" s="77" t="n"/>
      <c r="D220" s="77" t="n"/>
      <c r="E220" s="77" t="n"/>
      <c r="F220" s="78" t="n"/>
      <c r="G220" s="79" t="n"/>
      <c r="H220" s="69" t="n"/>
      <c r="I220" s="44">
        <f>IF(OR($B220="",$H220=""),"",$H220*MAX(1,N($F220)))</f>
        <v/>
      </c>
      <c r="J220" s="80" t="n"/>
      <c r="K220" s="77" t="n"/>
      <c r="L220" s="54">
        <f>IF($B220="",0,IF(COUNTIFS('①在庫を貼る'!$V$6:$V$10005,'設定'!$C$4,'①在庫を貼る'!$W$6:$W$10005,$B220)+COUNTIFS('月1回_1ヶ月前の在庫'!$V$6:$V$10005,'設定'!$C$4,'月1回_1ヶ月前の在庫'!$W$6:$W$10005,$B220)+COUNTIFS('月1回_2ヶ月前の在庫'!$V$6:$V$10005,'設定'!$C$4,'月1回_2ヶ月前の在庫'!$W$6:$W$10005,$B220)&gt;0,1,0))</f>
        <v/>
      </c>
      <c r="M220" s="54">
        <f>N(M219)+$L220</f>
        <v/>
      </c>
      <c r="N220" s="54">
        <f>IF($B220="",0,COUNTIFS('①在庫を貼る'!$V$6:$V$10005,'設定'!$C$4,'①在庫を貼る'!$W$6:$W$10005,$B220))</f>
        <v/>
      </c>
    </row>
    <row r="221" ht="18" customHeight="1">
      <c r="B221" s="76" t="n"/>
      <c r="C221" s="77" t="n"/>
      <c r="D221" s="77" t="n"/>
      <c r="E221" s="77" t="n"/>
      <c r="F221" s="78" t="n"/>
      <c r="G221" s="79" t="n"/>
      <c r="H221" s="69" t="n"/>
      <c r="I221" s="44">
        <f>IF(OR($B221="",$H221=""),"",$H221*MAX(1,N($F221)))</f>
        <v/>
      </c>
      <c r="J221" s="80" t="n"/>
      <c r="K221" s="77" t="n"/>
      <c r="L221" s="54">
        <f>IF($B221="",0,IF(COUNTIFS('①在庫を貼る'!$V$6:$V$10005,'設定'!$C$4,'①在庫を貼る'!$W$6:$W$10005,$B221)+COUNTIFS('月1回_1ヶ月前の在庫'!$V$6:$V$10005,'設定'!$C$4,'月1回_1ヶ月前の在庫'!$W$6:$W$10005,$B221)+COUNTIFS('月1回_2ヶ月前の在庫'!$V$6:$V$10005,'設定'!$C$4,'月1回_2ヶ月前の在庫'!$W$6:$W$10005,$B221)&gt;0,1,0))</f>
        <v/>
      </c>
      <c r="M221" s="54">
        <f>N(M220)+$L221</f>
        <v/>
      </c>
      <c r="N221" s="54">
        <f>IF($B221="",0,COUNTIFS('①在庫を貼る'!$V$6:$V$10005,'設定'!$C$4,'①在庫を貼る'!$W$6:$W$10005,$B221))</f>
        <v/>
      </c>
    </row>
    <row r="222" ht="18" customHeight="1">
      <c r="B222" s="76" t="n"/>
      <c r="C222" s="77" t="n"/>
      <c r="D222" s="77" t="n"/>
      <c r="E222" s="77" t="n"/>
      <c r="F222" s="78" t="n"/>
      <c r="G222" s="79" t="n"/>
      <c r="H222" s="69" t="n"/>
      <c r="I222" s="44">
        <f>IF(OR($B222="",$H222=""),"",$H222*MAX(1,N($F222)))</f>
        <v/>
      </c>
      <c r="J222" s="80" t="n"/>
      <c r="K222" s="77" t="n"/>
      <c r="L222" s="54">
        <f>IF($B222="",0,IF(COUNTIFS('①在庫を貼る'!$V$6:$V$10005,'設定'!$C$4,'①在庫を貼る'!$W$6:$W$10005,$B222)+COUNTIFS('月1回_1ヶ月前の在庫'!$V$6:$V$10005,'設定'!$C$4,'月1回_1ヶ月前の在庫'!$W$6:$W$10005,$B222)+COUNTIFS('月1回_2ヶ月前の在庫'!$V$6:$V$10005,'設定'!$C$4,'月1回_2ヶ月前の在庫'!$W$6:$W$10005,$B222)&gt;0,1,0))</f>
        <v/>
      </c>
      <c r="M222" s="54">
        <f>N(M221)+$L222</f>
        <v/>
      </c>
      <c r="N222" s="54">
        <f>IF($B222="",0,COUNTIFS('①在庫を貼る'!$V$6:$V$10005,'設定'!$C$4,'①在庫を貼る'!$W$6:$W$10005,$B222))</f>
        <v/>
      </c>
    </row>
    <row r="223" ht="18" customHeight="1">
      <c r="B223" s="76" t="n"/>
      <c r="C223" s="77" t="n"/>
      <c r="D223" s="77" t="n"/>
      <c r="E223" s="77" t="n"/>
      <c r="F223" s="78" t="n"/>
      <c r="G223" s="79" t="n"/>
      <c r="H223" s="69" t="n"/>
      <c r="I223" s="44">
        <f>IF(OR($B223="",$H223=""),"",$H223*MAX(1,N($F223)))</f>
        <v/>
      </c>
      <c r="J223" s="80" t="n"/>
      <c r="K223" s="77" t="n"/>
      <c r="L223" s="54">
        <f>IF($B223="",0,IF(COUNTIFS('①在庫を貼る'!$V$6:$V$10005,'設定'!$C$4,'①在庫を貼る'!$W$6:$W$10005,$B223)+COUNTIFS('月1回_1ヶ月前の在庫'!$V$6:$V$10005,'設定'!$C$4,'月1回_1ヶ月前の在庫'!$W$6:$W$10005,$B223)+COUNTIFS('月1回_2ヶ月前の在庫'!$V$6:$V$10005,'設定'!$C$4,'月1回_2ヶ月前の在庫'!$W$6:$W$10005,$B223)&gt;0,1,0))</f>
        <v/>
      </c>
      <c r="M223" s="54">
        <f>N(M222)+$L223</f>
        <v/>
      </c>
      <c r="N223" s="54">
        <f>IF($B223="",0,COUNTIFS('①在庫を貼る'!$V$6:$V$10005,'設定'!$C$4,'①在庫を貼る'!$W$6:$W$10005,$B223))</f>
        <v/>
      </c>
    </row>
    <row r="224" ht="18" customHeight="1">
      <c r="B224" s="76" t="n"/>
      <c r="C224" s="77" t="n"/>
      <c r="D224" s="77" t="n"/>
      <c r="E224" s="77" t="n"/>
      <c r="F224" s="78" t="n"/>
      <c r="G224" s="79" t="n"/>
      <c r="H224" s="69" t="n"/>
      <c r="I224" s="44">
        <f>IF(OR($B224="",$H224=""),"",$H224*MAX(1,N($F224)))</f>
        <v/>
      </c>
      <c r="J224" s="80" t="n"/>
      <c r="K224" s="77" t="n"/>
      <c r="L224" s="54">
        <f>IF($B224="",0,IF(COUNTIFS('①在庫を貼る'!$V$6:$V$10005,'設定'!$C$4,'①在庫を貼る'!$W$6:$W$10005,$B224)+COUNTIFS('月1回_1ヶ月前の在庫'!$V$6:$V$10005,'設定'!$C$4,'月1回_1ヶ月前の在庫'!$W$6:$W$10005,$B224)+COUNTIFS('月1回_2ヶ月前の在庫'!$V$6:$V$10005,'設定'!$C$4,'月1回_2ヶ月前の在庫'!$W$6:$W$10005,$B224)&gt;0,1,0))</f>
        <v/>
      </c>
      <c r="M224" s="54">
        <f>N(M223)+$L224</f>
        <v/>
      </c>
      <c r="N224" s="54">
        <f>IF($B224="",0,COUNTIFS('①在庫を貼る'!$V$6:$V$10005,'設定'!$C$4,'①在庫を貼る'!$W$6:$W$10005,$B224))</f>
        <v/>
      </c>
    </row>
    <row r="225" ht="18" customHeight="1">
      <c r="B225" s="76" t="n"/>
      <c r="C225" s="77" t="n"/>
      <c r="D225" s="77" t="n"/>
      <c r="E225" s="77" t="n"/>
      <c r="F225" s="78" t="n"/>
      <c r="G225" s="79" t="n"/>
      <c r="H225" s="69" t="n"/>
      <c r="I225" s="44">
        <f>IF(OR($B225="",$H225=""),"",$H225*MAX(1,N($F225)))</f>
        <v/>
      </c>
      <c r="J225" s="80" t="n"/>
      <c r="K225" s="77" t="n"/>
      <c r="L225" s="54">
        <f>IF($B225="",0,IF(COUNTIFS('①在庫を貼る'!$V$6:$V$10005,'設定'!$C$4,'①在庫を貼る'!$W$6:$W$10005,$B225)+COUNTIFS('月1回_1ヶ月前の在庫'!$V$6:$V$10005,'設定'!$C$4,'月1回_1ヶ月前の在庫'!$W$6:$W$10005,$B225)+COUNTIFS('月1回_2ヶ月前の在庫'!$V$6:$V$10005,'設定'!$C$4,'月1回_2ヶ月前の在庫'!$W$6:$W$10005,$B225)&gt;0,1,0))</f>
        <v/>
      </c>
      <c r="M225" s="54">
        <f>N(M224)+$L225</f>
        <v/>
      </c>
      <c r="N225" s="54">
        <f>IF($B225="",0,COUNTIFS('①在庫を貼る'!$V$6:$V$10005,'設定'!$C$4,'①在庫を貼る'!$W$6:$W$10005,$B225))</f>
        <v/>
      </c>
    </row>
    <row r="226" ht="18" customHeight="1">
      <c r="B226" s="76" t="n"/>
      <c r="C226" s="77" t="n"/>
      <c r="D226" s="77" t="n"/>
      <c r="E226" s="77" t="n"/>
      <c r="F226" s="78" t="n"/>
      <c r="G226" s="79" t="n"/>
      <c r="H226" s="69" t="n"/>
      <c r="I226" s="44">
        <f>IF(OR($B226="",$H226=""),"",$H226*MAX(1,N($F226)))</f>
        <v/>
      </c>
      <c r="J226" s="80" t="n"/>
      <c r="K226" s="77" t="n"/>
      <c r="L226" s="54">
        <f>IF($B226="",0,IF(COUNTIFS('①在庫を貼る'!$V$6:$V$10005,'設定'!$C$4,'①在庫を貼る'!$W$6:$W$10005,$B226)+COUNTIFS('月1回_1ヶ月前の在庫'!$V$6:$V$10005,'設定'!$C$4,'月1回_1ヶ月前の在庫'!$W$6:$W$10005,$B226)+COUNTIFS('月1回_2ヶ月前の在庫'!$V$6:$V$10005,'設定'!$C$4,'月1回_2ヶ月前の在庫'!$W$6:$W$10005,$B226)&gt;0,1,0))</f>
        <v/>
      </c>
      <c r="M226" s="54">
        <f>N(M225)+$L226</f>
        <v/>
      </c>
      <c r="N226" s="54">
        <f>IF($B226="",0,COUNTIFS('①在庫を貼る'!$V$6:$V$10005,'設定'!$C$4,'①在庫を貼る'!$W$6:$W$10005,$B226))</f>
        <v/>
      </c>
    </row>
    <row r="227" ht="18" customHeight="1">
      <c r="B227" s="76" t="n"/>
      <c r="C227" s="77" t="n"/>
      <c r="D227" s="77" t="n"/>
      <c r="E227" s="77" t="n"/>
      <c r="F227" s="78" t="n"/>
      <c r="G227" s="79" t="n"/>
      <c r="H227" s="69" t="n"/>
      <c r="I227" s="44">
        <f>IF(OR($B227="",$H227=""),"",$H227*MAX(1,N($F227)))</f>
        <v/>
      </c>
      <c r="J227" s="80" t="n"/>
      <c r="K227" s="77" t="n"/>
      <c r="L227" s="54">
        <f>IF($B227="",0,IF(COUNTIFS('①在庫を貼る'!$V$6:$V$10005,'設定'!$C$4,'①在庫を貼る'!$W$6:$W$10005,$B227)+COUNTIFS('月1回_1ヶ月前の在庫'!$V$6:$V$10005,'設定'!$C$4,'月1回_1ヶ月前の在庫'!$W$6:$W$10005,$B227)+COUNTIFS('月1回_2ヶ月前の在庫'!$V$6:$V$10005,'設定'!$C$4,'月1回_2ヶ月前の在庫'!$W$6:$W$10005,$B227)&gt;0,1,0))</f>
        <v/>
      </c>
      <c r="M227" s="54">
        <f>N(M226)+$L227</f>
        <v/>
      </c>
      <c r="N227" s="54">
        <f>IF($B227="",0,COUNTIFS('①在庫を貼る'!$V$6:$V$10005,'設定'!$C$4,'①在庫を貼る'!$W$6:$W$10005,$B227))</f>
        <v/>
      </c>
    </row>
    <row r="228" ht="18" customHeight="1">
      <c r="B228" s="76" t="n"/>
      <c r="C228" s="77" t="n"/>
      <c r="D228" s="77" t="n"/>
      <c r="E228" s="77" t="n"/>
      <c r="F228" s="78" t="n"/>
      <c r="G228" s="79" t="n"/>
      <c r="H228" s="69" t="n"/>
      <c r="I228" s="44">
        <f>IF(OR($B228="",$H228=""),"",$H228*MAX(1,N($F228)))</f>
        <v/>
      </c>
      <c r="J228" s="80" t="n"/>
      <c r="K228" s="77" t="n"/>
      <c r="L228" s="54">
        <f>IF($B228="",0,IF(COUNTIFS('①在庫を貼る'!$V$6:$V$10005,'設定'!$C$4,'①在庫を貼る'!$W$6:$W$10005,$B228)+COUNTIFS('月1回_1ヶ月前の在庫'!$V$6:$V$10005,'設定'!$C$4,'月1回_1ヶ月前の在庫'!$W$6:$W$10005,$B228)+COUNTIFS('月1回_2ヶ月前の在庫'!$V$6:$V$10005,'設定'!$C$4,'月1回_2ヶ月前の在庫'!$W$6:$W$10005,$B228)&gt;0,1,0))</f>
        <v/>
      </c>
      <c r="M228" s="54">
        <f>N(M227)+$L228</f>
        <v/>
      </c>
      <c r="N228" s="54">
        <f>IF($B228="",0,COUNTIFS('①在庫を貼る'!$V$6:$V$10005,'設定'!$C$4,'①在庫を貼る'!$W$6:$W$10005,$B228))</f>
        <v/>
      </c>
    </row>
    <row r="229" ht="18" customHeight="1">
      <c r="B229" s="76" t="n"/>
      <c r="C229" s="77" t="n"/>
      <c r="D229" s="77" t="n"/>
      <c r="E229" s="77" t="n"/>
      <c r="F229" s="78" t="n"/>
      <c r="G229" s="79" t="n"/>
      <c r="H229" s="69" t="n"/>
      <c r="I229" s="44">
        <f>IF(OR($B229="",$H229=""),"",$H229*MAX(1,N($F229)))</f>
        <v/>
      </c>
      <c r="J229" s="80" t="n"/>
      <c r="K229" s="77" t="n"/>
      <c r="L229" s="54">
        <f>IF($B229="",0,IF(COUNTIFS('①在庫を貼る'!$V$6:$V$10005,'設定'!$C$4,'①在庫を貼る'!$W$6:$W$10005,$B229)+COUNTIFS('月1回_1ヶ月前の在庫'!$V$6:$V$10005,'設定'!$C$4,'月1回_1ヶ月前の在庫'!$W$6:$W$10005,$B229)+COUNTIFS('月1回_2ヶ月前の在庫'!$V$6:$V$10005,'設定'!$C$4,'月1回_2ヶ月前の在庫'!$W$6:$W$10005,$B229)&gt;0,1,0))</f>
        <v/>
      </c>
      <c r="M229" s="54">
        <f>N(M228)+$L229</f>
        <v/>
      </c>
      <c r="N229" s="54">
        <f>IF($B229="",0,COUNTIFS('①在庫を貼る'!$V$6:$V$10005,'設定'!$C$4,'①在庫を貼る'!$W$6:$W$10005,$B229))</f>
        <v/>
      </c>
    </row>
    <row r="230" ht="18" customHeight="1">
      <c r="B230" s="76" t="n"/>
      <c r="C230" s="77" t="n"/>
      <c r="D230" s="77" t="n"/>
      <c r="E230" s="77" t="n"/>
      <c r="F230" s="78" t="n"/>
      <c r="G230" s="79" t="n"/>
      <c r="H230" s="69" t="n"/>
      <c r="I230" s="44">
        <f>IF(OR($B230="",$H230=""),"",$H230*MAX(1,N($F230)))</f>
        <v/>
      </c>
      <c r="J230" s="80" t="n"/>
      <c r="K230" s="77" t="n"/>
      <c r="L230" s="54">
        <f>IF($B230="",0,IF(COUNTIFS('①在庫を貼る'!$V$6:$V$10005,'設定'!$C$4,'①在庫を貼る'!$W$6:$W$10005,$B230)+COUNTIFS('月1回_1ヶ月前の在庫'!$V$6:$V$10005,'設定'!$C$4,'月1回_1ヶ月前の在庫'!$W$6:$W$10005,$B230)+COUNTIFS('月1回_2ヶ月前の在庫'!$V$6:$V$10005,'設定'!$C$4,'月1回_2ヶ月前の在庫'!$W$6:$W$10005,$B230)&gt;0,1,0))</f>
        <v/>
      </c>
      <c r="M230" s="54">
        <f>N(M229)+$L230</f>
        <v/>
      </c>
      <c r="N230" s="54">
        <f>IF($B230="",0,COUNTIFS('①在庫を貼る'!$V$6:$V$10005,'設定'!$C$4,'①在庫を貼る'!$W$6:$W$10005,$B230))</f>
        <v/>
      </c>
    </row>
    <row r="231" ht="18" customHeight="1">
      <c r="B231" s="76" t="n"/>
      <c r="C231" s="77" t="n"/>
      <c r="D231" s="77" t="n"/>
      <c r="E231" s="77" t="n"/>
      <c r="F231" s="78" t="n"/>
      <c r="G231" s="79" t="n"/>
      <c r="H231" s="69" t="n"/>
      <c r="I231" s="44">
        <f>IF(OR($B231="",$H231=""),"",$H231*MAX(1,N($F231)))</f>
        <v/>
      </c>
      <c r="J231" s="80" t="n"/>
      <c r="K231" s="77" t="n"/>
      <c r="L231" s="54">
        <f>IF($B231="",0,IF(COUNTIFS('①在庫を貼る'!$V$6:$V$10005,'設定'!$C$4,'①在庫を貼る'!$W$6:$W$10005,$B231)+COUNTIFS('月1回_1ヶ月前の在庫'!$V$6:$V$10005,'設定'!$C$4,'月1回_1ヶ月前の在庫'!$W$6:$W$10005,$B231)+COUNTIFS('月1回_2ヶ月前の在庫'!$V$6:$V$10005,'設定'!$C$4,'月1回_2ヶ月前の在庫'!$W$6:$W$10005,$B231)&gt;0,1,0))</f>
        <v/>
      </c>
      <c r="M231" s="54">
        <f>N(M230)+$L231</f>
        <v/>
      </c>
      <c r="N231" s="54">
        <f>IF($B231="",0,COUNTIFS('①在庫を貼る'!$V$6:$V$10005,'設定'!$C$4,'①在庫を貼る'!$W$6:$W$10005,$B231))</f>
        <v/>
      </c>
    </row>
    <row r="232" ht="18" customHeight="1">
      <c r="B232" s="76" t="n"/>
      <c r="C232" s="77" t="n"/>
      <c r="D232" s="77" t="n"/>
      <c r="E232" s="77" t="n"/>
      <c r="F232" s="78" t="n"/>
      <c r="G232" s="79" t="n"/>
      <c r="H232" s="69" t="n"/>
      <c r="I232" s="44">
        <f>IF(OR($B232="",$H232=""),"",$H232*MAX(1,N($F232)))</f>
        <v/>
      </c>
      <c r="J232" s="80" t="n"/>
      <c r="K232" s="77" t="n"/>
      <c r="L232" s="54">
        <f>IF($B232="",0,IF(COUNTIFS('①在庫を貼る'!$V$6:$V$10005,'設定'!$C$4,'①在庫を貼る'!$W$6:$W$10005,$B232)+COUNTIFS('月1回_1ヶ月前の在庫'!$V$6:$V$10005,'設定'!$C$4,'月1回_1ヶ月前の在庫'!$W$6:$W$10005,$B232)+COUNTIFS('月1回_2ヶ月前の在庫'!$V$6:$V$10005,'設定'!$C$4,'月1回_2ヶ月前の在庫'!$W$6:$W$10005,$B232)&gt;0,1,0))</f>
        <v/>
      </c>
      <c r="M232" s="54">
        <f>N(M231)+$L232</f>
        <v/>
      </c>
      <c r="N232" s="54">
        <f>IF($B232="",0,COUNTIFS('①在庫を貼る'!$V$6:$V$10005,'設定'!$C$4,'①在庫を貼る'!$W$6:$W$10005,$B232))</f>
        <v/>
      </c>
    </row>
    <row r="233" ht="18" customHeight="1">
      <c r="B233" s="76" t="n"/>
      <c r="C233" s="77" t="n"/>
      <c r="D233" s="77" t="n"/>
      <c r="E233" s="77" t="n"/>
      <c r="F233" s="78" t="n"/>
      <c r="G233" s="79" t="n"/>
      <c r="H233" s="69" t="n"/>
      <c r="I233" s="44">
        <f>IF(OR($B233="",$H233=""),"",$H233*MAX(1,N($F233)))</f>
        <v/>
      </c>
      <c r="J233" s="80" t="n"/>
      <c r="K233" s="77" t="n"/>
      <c r="L233" s="54">
        <f>IF($B233="",0,IF(COUNTIFS('①在庫を貼る'!$V$6:$V$10005,'設定'!$C$4,'①在庫を貼る'!$W$6:$W$10005,$B233)+COUNTIFS('月1回_1ヶ月前の在庫'!$V$6:$V$10005,'設定'!$C$4,'月1回_1ヶ月前の在庫'!$W$6:$W$10005,$B233)+COUNTIFS('月1回_2ヶ月前の在庫'!$V$6:$V$10005,'設定'!$C$4,'月1回_2ヶ月前の在庫'!$W$6:$W$10005,$B233)&gt;0,1,0))</f>
        <v/>
      </c>
      <c r="M233" s="54">
        <f>N(M232)+$L233</f>
        <v/>
      </c>
      <c r="N233" s="54">
        <f>IF($B233="",0,COUNTIFS('①在庫を貼る'!$V$6:$V$10005,'設定'!$C$4,'①在庫を貼る'!$W$6:$W$10005,$B233))</f>
        <v/>
      </c>
    </row>
    <row r="234" ht="18" customHeight="1">
      <c r="B234" s="76" t="n"/>
      <c r="C234" s="77" t="n"/>
      <c r="D234" s="77" t="n"/>
      <c r="E234" s="77" t="n"/>
      <c r="F234" s="78" t="n"/>
      <c r="G234" s="79" t="n"/>
      <c r="H234" s="69" t="n"/>
      <c r="I234" s="44">
        <f>IF(OR($B234="",$H234=""),"",$H234*MAX(1,N($F234)))</f>
        <v/>
      </c>
      <c r="J234" s="80" t="n"/>
      <c r="K234" s="77" t="n"/>
      <c r="L234" s="54">
        <f>IF($B234="",0,IF(COUNTIFS('①在庫を貼る'!$V$6:$V$10005,'設定'!$C$4,'①在庫を貼る'!$W$6:$W$10005,$B234)+COUNTIFS('月1回_1ヶ月前の在庫'!$V$6:$V$10005,'設定'!$C$4,'月1回_1ヶ月前の在庫'!$W$6:$W$10005,$B234)+COUNTIFS('月1回_2ヶ月前の在庫'!$V$6:$V$10005,'設定'!$C$4,'月1回_2ヶ月前の在庫'!$W$6:$W$10005,$B234)&gt;0,1,0))</f>
        <v/>
      </c>
      <c r="M234" s="54">
        <f>N(M233)+$L234</f>
        <v/>
      </c>
      <c r="N234" s="54">
        <f>IF($B234="",0,COUNTIFS('①在庫を貼る'!$V$6:$V$10005,'設定'!$C$4,'①在庫を貼る'!$W$6:$W$10005,$B234))</f>
        <v/>
      </c>
    </row>
    <row r="235" ht="18" customHeight="1">
      <c r="B235" s="76" t="n"/>
      <c r="C235" s="77" t="n"/>
      <c r="D235" s="77" t="n"/>
      <c r="E235" s="77" t="n"/>
      <c r="F235" s="78" t="n"/>
      <c r="G235" s="79" t="n"/>
      <c r="H235" s="69" t="n"/>
      <c r="I235" s="44">
        <f>IF(OR($B235="",$H235=""),"",$H235*MAX(1,N($F235)))</f>
        <v/>
      </c>
      <c r="J235" s="80" t="n"/>
      <c r="K235" s="77" t="n"/>
      <c r="L235" s="54">
        <f>IF($B235="",0,IF(COUNTIFS('①在庫を貼る'!$V$6:$V$10005,'設定'!$C$4,'①在庫を貼る'!$W$6:$W$10005,$B235)+COUNTIFS('月1回_1ヶ月前の在庫'!$V$6:$V$10005,'設定'!$C$4,'月1回_1ヶ月前の在庫'!$W$6:$W$10005,$B235)+COUNTIFS('月1回_2ヶ月前の在庫'!$V$6:$V$10005,'設定'!$C$4,'月1回_2ヶ月前の在庫'!$W$6:$W$10005,$B235)&gt;0,1,0))</f>
        <v/>
      </c>
      <c r="M235" s="54">
        <f>N(M234)+$L235</f>
        <v/>
      </c>
      <c r="N235" s="54">
        <f>IF($B235="",0,COUNTIFS('①在庫を貼る'!$V$6:$V$10005,'設定'!$C$4,'①在庫を貼る'!$W$6:$W$10005,$B235))</f>
        <v/>
      </c>
    </row>
    <row r="236" ht="18" customHeight="1">
      <c r="B236" s="76" t="n"/>
      <c r="C236" s="77" t="n"/>
      <c r="D236" s="77" t="n"/>
      <c r="E236" s="77" t="n"/>
      <c r="F236" s="78" t="n"/>
      <c r="G236" s="79" t="n"/>
      <c r="H236" s="69" t="n"/>
      <c r="I236" s="44">
        <f>IF(OR($B236="",$H236=""),"",$H236*MAX(1,N($F236)))</f>
        <v/>
      </c>
      <c r="J236" s="80" t="n"/>
      <c r="K236" s="77" t="n"/>
      <c r="L236" s="54">
        <f>IF($B236="",0,IF(COUNTIFS('①在庫を貼る'!$V$6:$V$10005,'設定'!$C$4,'①在庫を貼る'!$W$6:$W$10005,$B236)+COUNTIFS('月1回_1ヶ月前の在庫'!$V$6:$V$10005,'設定'!$C$4,'月1回_1ヶ月前の在庫'!$W$6:$W$10005,$B236)+COUNTIFS('月1回_2ヶ月前の在庫'!$V$6:$V$10005,'設定'!$C$4,'月1回_2ヶ月前の在庫'!$W$6:$W$10005,$B236)&gt;0,1,0))</f>
        <v/>
      </c>
      <c r="M236" s="54">
        <f>N(M235)+$L236</f>
        <v/>
      </c>
      <c r="N236" s="54">
        <f>IF($B236="",0,COUNTIFS('①在庫を貼る'!$V$6:$V$10005,'設定'!$C$4,'①在庫を貼る'!$W$6:$W$10005,$B236))</f>
        <v/>
      </c>
    </row>
    <row r="237" ht="18" customHeight="1">
      <c r="B237" s="76" t="n"/>
      <c r="C237" s="77" t="n"/>
      <c r="D237" s="77" t="n"/>
      <c r="E237" s="77" t="n"/>
      <c r="F237" s="78" t="n"/>
      <c r="G237" s="79" t="n"/>
      <c r="H237" s="69" t="n"/>
      <c r="I237" s="44">
        <f>IF(OR($B237="",$H237=""),"",$H237*MAX(1,N($F237)))</f>
        <v/>
      </c>
      <c r="J237" s="80" t="n"/>
      <c r="K237" s="77" t="n"/>
      <c r="L237" s="54">
        <f>IF($B237="",0,IF(COUNTIFS('①在庫を貼る'!$V$6:$V$10005,'設定'!$C$4,'①在庫を貼る'!$W$6:$W$10005,$B237)+COUNTIFS('月1回_1ヶ月前の在庫'!$V$6:$V$10005,'設定'!$C$4,'月1回_1ヶ月前の在庫'!$W$6:$W$10005,$B237)+COUNTIFS('月1回_2ヶ月前の在庫'!$V$6:$V$10005,'設定'!$C$4,'月1回_2ヶ月前の在庫'!$W$6:$W$10005,$B237)&gt;0,1,0))</f>
        <v/>
      </c>
      <c r="M237" s="54">
        <f>N(M236)+$L237</f>
        <v/>
      </c>
      <c r="N237" s="54">
        <f>IF($B237="",0,COUNTIFS('①在庫を貼る'!$V$6:$V$10005,'設定'!$C$4,'①在庫を貼る'!$W$6:$W$10005,$B237))</f>
        <v/>
      </c>
    </row>
    <row r="238" ht="18" customHeight="1">
      <c r="B238" s="76" t="n"/>
      <c r="C238" s="77" t="n"/>
      <c r="D238" s="77" t="n"/>
      <c r="E238" s="77" t="n"/>
      <c r="F238" s="78" t="n"/>
      <c r="G238" s="79" t="n"/>
      <c r="H238" s="69" t="n"/>
      <c r="I238" s="44">
        <f>IF(OR($B238="",$H238=""),"",$H238*MAX(1,N($F238)))</f>
        <v/>
      </c>
      <c r="J238" s="80" t="n"/>
      <c r="K238" s="77" t="n"/>
      <c r="L238" s="54">
        <f>IF($B238="",0,IF(COUNTIFS('①在庫を貼る'!$V$6:$V$10005,'設定'!$C$4,'①在庫を貼る'!$W$6:$W$10005,$B238)+COUNTIFS('月1回_1ヶ月前の在庫'!$V$6:$V$10005,'設定'!$C$4,'月1回_1ヶ月前の在庫'!$W$6:$W$10005,$B238)+COUNTIFS('月1回_2ヶ月前の在庫'!$V$6:$V$10005,'設定'!$C$4,'月1回_2ヶ月前の在庫'!$W$6:$W$10005,$B238)&gt;0,1,0))</f>
        <v/>
      </c>
      <c r="M238" s="54">
        <f>N(M237)+$L238</f>
        <v/>
      </c>
      <c r="N238" s="54">
        <f>IF($B238="",0,COUNTIFS('①在庫を貼る'!$V$6:$V$10005,'設定'!$C$4,'①在庫を貼る'!$W$6:$W$10005,$B238))</f>
        <v/>
      </c>
    </row>
    <row r="239" ht="18" customHeight="1">
      <c r="B239" s="76" t="n"/>
      <c r="C239" s="77" t="n"/>
      <c r="D239" s="77" t="n"/>
      <c r="E239" s="77" t="n"/>
      <c r="F239" s="78" t="n"/>
      <c r="G239" s="79" t="n"/>
      <c r="H239" s="69" t="n"/>
      <c r="I239" s="44">
        <f>IF(OR($B239="",$H239=""),"",$H239*MAX(1,N($F239)))</f>
        <v/>
      </c>
      <c r="J239" s="80" t="n"/>
      <c r="K239" s="77" t="n"/>
      <c r="L239" s="54">
        <f>IF($B239="",0,IF(COUNTIFS('①在庫を貼る'!$V$6:$V$10005,'設定'!$C$4,'①在庫を貼る'!$W$6:$W$10005,$B239)+COUNTIFS('月1回_1ヶ月前の在庫'!$V$6:$V$10005,'設定'!$C$4,'月1回_1ヶ月前の在庫'!$W$6:$W$10005,$B239)+COUNTIFS('月1回_2ヶ月前の在庫'!$V$6:$V$10005,'設定'!$C$4,'月1回_2ヶ月前の在庫'!$W$6:$W$10005,$B239)&gt;0,1,0))</f>
        <v/>
      </c>
      <c r="M239" s="54">
        <f>N(M238)+$L239</f>
        <v/>
      </c>
      <c r="N239" s="54">
        <f>IF($B239="",0,COUNTIFS('①在庫を貼る'!$V$6:$V$10005,'設定'!$C$4,'①在庫を貼る'!$W$6:$W$10005,$B239))</f>
        <v/>
      </c>
    </row>
    <row r="240" ht="18" customHeight="1">
      <c r="B240" s="76" t="n"/>
      <c r="C240" s="77" t="n"/>
      <c r="D240" s="77" t="n"/>
      <c r="E240" s="77" t="n"/>
      <c r="F240" s="78" t="n"/>
      <c r="G240" s="79" t="n"/>
      <c r="H240" s="69" t="n"/>
      <c r="I240" s="44">
        <f>IF(OR($B240="",$H240=""),"",$H240*MAX(1,N($F240)))</f>
        <v/>
      </c>
      <c r="J240" s="80" t="n"/>
      <c r="K240" s="77" t="n"/>
      <c r="L240" s="54">
        <f>IF($B240="",0,IF(COUNTIFS('①在庫を貼る'!$V$6:$V$10005,'設定'!$C$4,'①在庫を貼る'!$W$6:$W$10005,$B240)+COUNTIFS('月1回_1ヶ月前の在庫'!$V$6:$V$10005,'設定'!$C$4,'月1回_1ヶ月前の在庫'!$W$6:$W$10005,$B240)+COUNTIFS('月1回_2ヶ月前の在庫'!$V$6:$V$10005,'設定'!$C$4,'月1回_2ヶ月前の在庫'!$W$6:$W$10005,$B240)&gt;0,1,0))</f>
        <v/>
      </c>
      <c r="M240" s="54">
        <f>N(M239)+$L240</f>
        <v/>
      </c>
      <c r="N240" s="54">
        <f>IF($B240="",0,COUNTIFS('①在庫を貼る'!$V$6:$V$10005,'設定'!$C$4,'①在庫を貼る'!$W$6:$W$10005,$B240))</f>
        <v/>
      </c>
    </row>
    <row r="241" ht="18" customHeight="1">
      <c r="B241" s="76" t="n"/>
      <c r="C241" s="77" t="n"/>
      <c r="D241" s="77" t="n"/>
      <c r="E241" s="77" t="n"/>
      <c r="F241" s="78" t="n"/>
      <c r="G241" s="79" t="n"/>
      <c r="H241" s="69" t="n"/>
      <c r="I241" s="44">
        <f>IF(OR($B241="",$H241=""),"",$H241*MAX(1,N($F241)))</f>
        <v/>
      </c>
      <c r="J241" s="80" t="n"/>
      <c r="K241" s="77" t="n"/>
      <c r="L241" s="54">
        <f>IF($B241="",0,IF(COUNTIFS('①在庫を貼る'!$V$6:$V$10005,'設定'!$C$4,'①在庫を貼る'!$W$6:$W$10005,$B241)+COUNTIFS('月1回_1ヶ月前の在庫'!$V$6:$V$10005,'設定'!$C$4,'月1回_1ヶ月前の在庫'!$W$6:$W$10005,$B241)+COUNTIFS('月1回_2ヶ月前の在庫'!$V$6:$V$10005,'設定'!$C$4,'月1回_2ヶ月前の在庫'!$W$6:$W$10005,$B241)&gt;0,1,0))</f>
        <v/>
      </c>
      <c r="M241" s="54">
        <f>N(M240)+$L241</f>
        <v/>
      </c>
      <c r="N241" s="54">
        <f>IF($B241="",0,COUNTIFS('①在庫を貼る'!$V$6:$V$10005,'設定'!$C$4,'①在庫を貼る'!$W$6:$W$10005,$B241))</f>
        <v/>
      </c>
    </row>
    <row r="242" ht="18" customHeight="1">
      <c r="B242" s="76" t="n"/>
      <c r="C242" s="77" t="n"/>
      <c r="D242" s="77" t="n"/>
      <c r="E242" s="77" t="n"/>
      <c r="F242" s="78" t="n"/>
      <c r="G242" s="79" t="n"/>
      <c r="H242" s="69" t="n"/>
      <c r="I242" s="44">
        <f>IF(OR($B242="",$H242=""),"",$H242*MAX(1,N($F242)))</f>
        <v/>
      </c>
      <c r="J242" s="80" t="n"/>
      <c r="K242" s="77" t="n"/>
      <c r="L242" s="54">
        <f>IF($B242="",0,IF(COUNTIFS('①在庫を貼る'!$V$6:$V$10005,'設定'!$C$4,'①在庫を貼る'!$W$6:$W$10005,$B242)+COUNTIFS('月1回_1ヶ月前の在庫'!$V$6:$V$10005,'設定'!$C$4,'月1回_1ヶ月前の在庫'!$W$6:$W$10005,$B242)+COUNTIFS('月1回_2ヶ月前の在庫'!$V$6:$V$10005,'設定'!$C$4,'月1回_2ヶ月前の在庫'!$W$6:$W$10005,$B242)&gt;0,1,0))</f>
        <v/>
      </c>
      <c r="M242" s="54">
        <f>N(M241)+$L242</f>
        <v/>
      </c>
      <c r="N242" s="54">
        <f>IF($B242="",0,COUNTIFS('①在庫を貼る'!$V$6:$V$10005,'設定'!$C$4,'①在庫を貼る'!$W$6:$W$10005,$B242))</f>
        <v/>
      </c>
    </row>
    <row r="243" ht="18" customHeight="1">
      <c r="B243" s="76" t="n"/>
      <c r="C243" s="77" t="n"/>
      <c r="D243" s="77" t="n"/>
      <c r="E243" s="77" t="n"/>
      <c r="F243" s="78" t="n"/>
      <c r="G243" s="79" t="n"/>
      <c r="H243" s="69" t="n"/>
      <c r="I243" s="44">
        <f>IF(OR($B243="",$H243=""),"",$H243*MAX(1,N($F243)))</f>
        <v/>
      </c>
      <c r="J243" s="80" t="n"/>
      <c r="K243" s="77" t="n"/>
      <c r="L243" s="54">
        <f>IF($B243="",0,IF(COUNTIFS('①在庫を貼る'!$V$6:$V$10005,'設定'!$C$4,'①在庫を貼る'!$W$6:$W$10005,$B243)+COUNTIFS('月1回_1ヶ月前の在庫'!$V$6:$V$10005,'設定'!$C$4,'月1回_1ヶ月前の在庫'!$W$6:$W$10005,$B243)+COUNTIFS('月1回_2ヶ月前の在庫'!$V$6:$V$10005,'設定'!$C$4,'月1回_2ヶ月前の在庫'!$W$6:$W$10005,$B243)&gt;0,1,0))</f>
        <v/>
      </c>
      <c r="M243" s="54">
        <f>N(M242)+$L243</f>
        <v/>
      </c>
      <c r="N243" s="54">
        <f>IF($B243="",0,COUNTIFS('①在庫を貼る'!$V$6:$V$10005,'設定'!$C$4,'①在庫を貼る'!$W$6:$W$10005,$B243))</f>
        <v/>
      </c>
    </row>
    <row r="244" ht="18" customHeight="1">
      <c r="B244" s="76" t="n"/>
      <c r="C244" s="77" t="n"/>
      <c r="D244" s="77" t="n"/>
      <c r="E244" s="77" t="n"/>
      <c r="F244" s="78" t="n"/>
      <c r="G244" s="79" t="n"/>
      <c r="H244" s="69" t="n"/>
      <c r="I244" s="44">
        <f>IF(OR($B244="",$H244=""),"",$H244*MAX(1,N($F244)))</f>
        <v/>
      </c>
      <c r="J244" s="80" t="n"/>
      <c r="K244" s="77" t="n"/>
      <c r="L244" s="54">
        <f>IF($B244="",0,IF(COUNTIFS('①在庫を貼る'!$V$6:$V$10005,'設定'!$C$4,'①在庫を貼る'!$W$6:$W$10005,$B244)+COUNTIFS('月1回_1ヶ月前の在庫'!$V$6:$V$10005,'設定'!$C$4,'月1回_1ヶ月前の在庫'!$W$6:$W$10005,$B244)+COUNTIFS('月1回_2ヶ月前の在庫'!$V$6:$V$10005,'設定'!$C$4,'月1回_2ヶ月前の在庫'!$W$6:$W$10005,$B244)&gt;0,1,0))</f>
        <v/>
      </c>
      <c r="M244" s="54">
        <f>N(M243)+$L244</f>
        <v/>
      </c>
      <c r="N244" s="54">
        <f>IF($B244="",0,COUNTIFS('①在庫を貼る'!$V$6:$V$10005,'設定'!$C$4,'①在庫を貼る'!$W$6:$W$10005,$B244))</f>
        <v/>
      </c>
    </row>
    <row r="245" ht="18" customHeight="1">
      <c r="B245" s="76" t="n"/>
      <c r="C245" s="77" t="n"/>
      <c r="D245" s="77" t="n"/>
      <c r="E245" s="77" t="n"/>
      <c r="F245" s="78" t="n"/>
      <c r="G245" s="79" t="n"/>
      <c r="H245" s="69" t="n"/>
      <c r="I245" s="44">
        <f>IF(OR($B245="",$H245=""),"",$H245*MAX(1,N($F245)))</f>
        <v/>
      </c>
      <c r="J245" s="80" t="n"/>
      <c r="K245" s="77" t="n"/>
      <c r="L245" s="54">
        <f>IF($B245="",0,IF(COUNTIFS('①在庫を貼る'!$V$6:$V$10005,'設定'!$C$4,'①在庫を貼る'!$W$6:$W$10005,$B245)+COUNTIFS('月1回_1ヶ月前の在庫'!$V$6:$V$10005,'設定'!$C$4,'月1回_1ヶ月前の在庫'!$W$6:$W$10005,$B245)+COUNTIFS('月1回_2ヶ月前の在庫'!$V$6:$V$10005,'設定'!$C$4,'月1回_2ヶ月前の在庫'!$W$6:$W$10005,$B245)&gt;0,1,0))</f>
        <v/>
      </c>
      <c r="M245" s="54">
        <f>N(M244)+$L245</f>
        <v/>
      </c>
      <c r="N245" s="54">
        <f>IF($B245="",0,COUNTIFS('①在庫を貼る'!$V$6:$V$10005,'設定'!$C$4,'①在庫を貼る'!$W$6:$W$10005,$B245))</f>
        <v/>
      </c>
    </row>
    <row r="246" ht="18" customHeight="1">
      <c r="B246" s="76" t="n"/>
      <c r="C246" s="77" t="n"/>
      <c r="D246" s="77" t="n"/>
      <c r="E246" s="77" t="n"/>
      <c r="F246" s="78" t="n"/>
      <c r="G246" s="79" t="n"/>
      <c r="H246" s="69" t="n"/>
      <c r="I246" s="44">
        <f>IF(OR($B246="",$H246=""),"",$H246*MAX(1,N($F246)))</f>
        <v/>
      </c>
      <c r="J246" s="80" t="n"/>
      <c r="K246" s="77" t="n"/>
      <c r="L246" s="54">
        <f>IF($B246="",0,IF(COUNTIFS('①在庫を貼る'!$V$6:$V$10005,'設定'!$C$4,'①在庫を貼る'!$W$6:$W$10005,$B246)+COUNTIFS('月1回_1ヶ月前の在庫'!$V$6:$V$10005,'設定'!$C$4,'月1回_1ヶ月前の在庫'!$W$6:$W$10005,$B246)+COUNTIFS('月1回_2ヶ月前の在庫'!$V$6:$V$10005,'設定'!$C$4,'月1回_2ヶ月前の在庫'!$W$6:$W$10005,$B246)&gt;0,1,0))</f>
        <v/>
      </c>
      <c r="M246" s="54">
        <f>N(M245)+$L246</f>
        <v/>
      </c>
      <c r="N246" s="54">
        <f>IF($B246="",0,COUNTIFS('①在庫を貼る'!$V$6:$V$10005,'設定'!$C$4,'①在庫を貼る'!$W$6:$W$10005,$B246))</f>
        <v/>
      </c>
    </row>
    <row r="247" ht="18" customHeight="1">
      <c r="B247" s="76" t="n"/>
      <c r="C247" s="77" t="n"/>
      <c r="D247" s="77" t="n"/>
      <c r="E247" s="77" t="n"/>
      <c r="F247" s="78" t="n"/>
      <c r="G247" s="79" t="n"/>
      <c r="H247" s="69" t="n"/>
      <c r="I247" s="44">
        <f>IF(OR($B247="",$H247=""),"",$H247*MAX(1,N($F247)))</f>
        <v/>
      </c>
      <c r="J247" s="80" t="n"/>
      <c r="K247" s="77" t="n"/>
      <c r="L247" s="54">
        <f>IF($B247="",0,IF(COUNTIFS('①在庫を貼る'!$V$6:$V$10005,'設定'!$C$4,'①在庫を貼る'!$W$6:$W$10005,$B247)+COUNTIFS('月1回_1ヶ月前の在庫'!$V$6:$V$10005,'設定'!$C$4,'月1回_1ヶ月前の在庫'!$W$6:$W$10005,$B247)+COUNTIFS('月1回_2ヶ月前の在庫'!$V$6:$V$10005,'設定'!$C$4,'月1回_2ヶ月前の在庫'!$W$6:$W$10005,$B247)&gt;0,1,0))</f>
        <v/>
      </c>
      <c r="M247" s="54">
        <f>N(M246)+$L247</f>
        <v/>
      </c>
      <c r="N247" s="54">
        <f>IF($B247="",0,COUNTIFS('①在庫を貼る'!$V$6:$V$10005,'設定'!$C$4,'①在庫を貼る'!$W$6:$W$10005,$B247))</f>
        <v/>
      </c>
    </row>
    <row r="248" ht="18" customHeight="1">
      <c r="B248" s="76" t="n"/>
      <c r="C248" s="77" t="n"/>
      <c r="D248" s="77" t="n"/>
      <c r="E248" s="77" t="n"/>
      <c r="F248" s="78" t="n"/>
      <c r="G248" s="79" t="n"/>
      <c r="H248" s="69" t="n"/>
      <c r="I248" s="44">
        <f>IF(OR($B248="",$H248=""),"",$H248*MAX(1,N($F248)))</f>
        <v/>
      </c>
      <c r="J248" s="80" t="n"/>
      <c r="K248" s="77" t="n"/>
      <c r="L248" s="54">
        <f>IF($B248="",0,IF(COUNTIFS('①在庫を貼る'!$V$6:$V$10005,'設定'!$C$4,'①在庫を貼る'!$W$6:$W$10005,$B248)+COUNTIFS('月1回_1ヶ月前の在庫'!$V$6:$V$10005,'設定'!$C$4,'月1回_1ヶ月前の在庫'!$W$6:$W$10005,$B248)+COUNTIFS('月1回_2ヶ月前の在庫'!$V$6:$V$10005,'設定'!$C$4,'月1回_2ヶ月前の在庫'!$W$6:$W$10005,$B248)&gt;0,1,0))</f>
        <v/>
      </c>
      <c r="M248" s="54">
        <f>N(M247)+$L248</f>
        <v/>
      </c>
      <c r="N248" s="54">
        <f>IF($B248="",0,COUNTIFS('①在庫を貼る'!$V$6:$V$10005,'設定'!$C$4,'①在庫を貼る'!$W$6:$W$10005,$B248))</f>
        <v/>
      </c>
    </row>
    <row r="249" ht="18" customHeight="1">
      <c r="B249" s="76" t="n"/>
      <c r="C249" s="77" t="n"/>
      <c r="D249" s="77" t="n"/>
      <c r="E249" s="77" t="n"/>
      <c r="F249" s="78" t="n"/>
      <c r="G249" s="79" t="n"/>
      <c r="H249" s="69" t="n"/>
      <c r="I249" s="44">
        <f>IF(OR($B249="",$H249=""),"",$H249*MAX(1,N($F249)))</f>
        <v/>
      </c>
      <c r="J249" s="80" t="n"/>
      <c r="K249" s="77" t="n"/>
      <c r="L249" s="54">
        <f>IF($B249="",0,IF(COUNTIFS('①在庫を貼る'!$V$6:$V$10005,'設定'!$C$4,'①在庫を貼る'!$W$6:$W$10005,$B249)+COUNTIFS('月1回_1ヶ月前の在庫'!$V$6:$V$10005,'設定'!$C$4,'月1回_1ヶ月前の在庫'!$W$6:$W$10005,$B249)+COUNTIFS('月1回_2ヶ月前の在庫'!$V$6:$V$10005,'設定'!$C$4,'月1回_2ヶ月前の在庫'!$W$6:$W$10005,$B249)&gt;0,1,0))</f>
        <v/>
      </c>
      <c r="M249" s="54">
        <f>N(M248)+$L249</f>
        <v/>
      </c>
      <c r="N249" s="54">
        <f>IF($B249="",0,COUNTIFS('①在庫を貼る'!$V$6:$V$10005,'設定'!$C$4,'①在庫を貼る'!$W$6:$W$10005,$B249))</f>
        <v/>
      </c>
    </row>
    <row r="250" ht="18" customHeight="1">
      <c r="B250" s="76" t="n"/>
      <c r="C250" s="77" t="n"/>
      <c r="D250" s="77" t="n"/>
      <c r="E250" s="77" t="n"/>
      <c r="F250" s="78" t="n"/>
      <c r="G250" s="79" t="n"/>
      <c r="H250" s="69" t="n"/>
      <c r="I250" s="44">
        <f>IF(OR($B250="",$H250=""),"",$H250*MAX(1,N($F250)))</f>
        <v/>
      </c>
      <c r="J250" s="80" t="n"/>
      <c r="K250" s="77" t="n"/>
      <c r="L250" s="54">
        <f>IF($B250="",0,IF(COUNTIFS('①在庫を貼る'!$V$6:$V$10005,'設定'!$C$4,'①在庫を貼る'!$W$6:$W$10005,$B250)+COUNTIFS('月1回_1ヶ月前の在庫'!$V$6:$V$10005,'設定'!$C$4,'月1回_1ヶ月前の在庫'!$W$6:$W$10005,$B250)+COUNTIFS('月1回_2ヶ月前の在庫'!$V$6:$V$10005,'設定'!$C$4,'月1回_2ヶ月前の在庫'!$W$6:$W$10005,$B250)&gt;0,1,0))</f>
        <v/>
      </c>
      <c r="M250" s="54">
        <f>N(M249)+$L250</f>
        <v/>
      </c>
      <c r="N250" s="54">
        <f>IF($B250="",0,COUNTIFS('①在庫を貼る'!$V$6:$V$10005,'設定'!$C$4,'①在庫を貼る'!$W$6:$W$10005,$B250))</f>
        <v/>
      </c>
    </row>
    <row r="251" ht="18" customHeight="1">
      <c r="B251" s="76" t="n"/>
      <c r="C251" s="77" t="n"/>
      <c r="D251" s="77" t="n"/>
      <c r="E251" s="77" t="n"/>
      <c r="F251" s="78" t="n"/>
      <c r="G251" s="79" t="n"/>
      <c r="H251" s="69" t="n"/>
      <c r="I251" s="44">
        <f>IF(OR($B251="",$H251=""),"",$H251*MAX(1,N($F251)))</f>
        <v/>
      </c>
      <c r="J251" s="80" t="n"/>
      <c r="K251" s="77" t="n"/>
      <c r="L251" s="54">
        <f>IF($B251="",0,IF(COUNTIFS('①在庫を貼る'!$V$6:$V$10005,'設定'!$C$4,'①在庫を貼る'!$W$6:$W$10005,$B251)+COUNTIFS('月1回_1ヶ月前の在庫'!$V$6:$V$10005,'設定'!$C$4,'月1回_1ヶ月前の在庫'!$W$6:$W$10005,$B251)+COUNTIFS('月1回_2ヶ月前の在庫'!$V$6:$V$10005,'設定'!$C$4,'月1回_2ヶ月前の在庫'!$W$6:$W$10005,$B251)&gt;0,1,0))</f>
        <v/>
      </c>
      <c r="M251" s="54">
        <f>N(M250)+$L251</f>
        <v/>
      </c>
      <c r="N251" s="54">
        <f>IF($B251="",0,COUNTIFS('①在庫を貼る'!$V$6:$V$10005,'設定'!$C$4,'①在庫を貼る'!$W$6:$W$10005,$B251))</f>
        <v/>
      </c>
    </row>
    <row r="252" ht="18" customHeight="1">
      <c r="B252" s="76" t="n"/>
      <c r="C252" s="77" t="n"/>
      <c r="D252" s="77" t="n"/>
      <c r="E252" s="77" t="n"/>
      <c r="F252" s="78" t="n"/>
      <c r="G252" s="79" t="n"/>
      <c r="H252" s="69" t="n"/>
      <c r="I252" s="44">
        <f>IF(OR($B252="",$H252=""),"",$H252*MAX(1,N($F252)))</f>
        <v/>
      </c>
      <c r="J252" s="80" t="n"/>
      <c r="K252" s="77" t="n"/>
      <c r="L252" s="54">
        <f>IF($B252="",0,IF(COUNTIFS('①在庫を貼る'!$V$6:$V$10005,'設定'!$C$4,'①在庫を貼る'!$W$6:$W$10005,$B252)+COUNTIFS('月1回_1ヶ月前の在庫'!$V$6:$V$10005,'設定'!$C$4,'月1回_1ヶ月前の在庫'!$W$6:$W$10005,$B252)+COUNTIFS('月1回_2ヶ月前の在庫'!$V$6:$V$10005,'設定'!$C$4,'月1回_2ヶ月前の在庫'!$W$6:$W$10005,$B252)&gt;0,1,0))</f>
        <v/>
      </c>
      <c r="M252" s="54">
        <f>N(M251)+$L252</f>
        <v/>
      </c>
      <c r="N252" s="54">
        <f>IF($B252="",0,COUNTIFS('①在庫を貼る'!$V$6:$V$10005,'設定'!$C$4,'①在庫を貼る'!$W$6:$W$10005,$B252))</f>
        <v/>
      </c>
    </row>
    <row r="253" ht="18" customHeight="1">
      <c r="B253" s="76" t="n"/>
      <c r="C253" s="77" t="n"/>
      <c r="D253" s="77" t="n"/>
      <c r="E253" s="77" t="n"/>
      <c r="F253" s="78" t="n"/>
      <c r="G253" s="79" t="n"/>
      <c r="H253" s="69" t="n"/>
      <c r="I253" s="44">
        <f>IF(OR($B253="",$H253=""),"",$H253*MAX(1,N($F253)))</f>
        <v/>
      </c>
      <c r="J253" s="80" t="n"/>
      <c r="K253" s="77" t="n"/>
      <c r="L253" s="54">
        <f>IF($B253="",0,IF(COUNTIFS('①在庫を貼る'!$V$6:$V$10005,'設定'!$C$4,'①在庫を貼る'!$W$6:$W$10005,$B253)+COUNTIFS('月1回_1ヶ月前の在庫'!$V$6:$V$10005,'設定'!$C$4,'月1回_1ヶ月前の在庫'!$W$6:$W$10005,$B253)+COUNTIFS('月1回_2ヶ月前の在庫'!$V$6:$V$10005,'設定'!$C$4,'月1回_2ヶ月前の在庫'!$W$6:$W$10005,$B253)&gt;0,1,0))</f>
        <v/>
      </c>
      <c r="M253" s="54">
        <f>N(M252)+$L253</f>
        <v/>
      </c>
      <c r="N253" s="54">
        <f>IF($B253="",0,COUNTIFS('①在庫を貼る'!$V$6:$V$10005,'設定'!$C$4,'①在庫を貼る'!$W$6:$W$10005,$B253))</f>
        <v/>
      </c>
    </row>
    <row r="254" ht="18" customHeight="1">
      <c r="B254" s="76" t="n"/>
      <c r="C254" s="77" t="n"/>
      <c r="D254" s="77" t="n"/>
      <c r="E254" s="77" t="n"/>
      <c r="F254" s="78" t="n"/>
      <c r="G254" s="79" t="n"/>
      <c r="H254" s="69" t="n"/>
      <c r="I254" s="44">
        <f>IF(OR($B254="",$H254=""),"",$H254*MAX(1,N($F254)))</f>
        <v/>
      </c>
      <c r="J254" s="80" t="n"/>
      <c r="K254" s="77" t="n"/>
      <c r="L254" s="54">
        <f>IF($B254="",0,IF(COUNTIFS('①在庫を貼る'!$V$6:$V$10005,'設定'!$C$4,'①在庫を貼る'!$W$6:$W$10005,$B254)+COUNTIFS('月1回_1ヶ月前の在庫'!$V$6:$V$10005,'設定'!$C$4,'月1回_1ヶ月前の在庫'!$W$6:$W$10005,$B254)+COUNTIFS('月1回_2ヶ月前の在庫'!$V$6:$V$10005,'設定'!$C$4,'月1回_2ヶ月前の在庫'!$W$6:$W$10005,$B254)&gt;0,1,0))</f>
        <v/>
      </c>
      <c r="M254" s="54">
        <f>N(M253)+$L254</f>
        <v/>
      </c>
      <c r="N254" s="54">
        <f>IF($B254="",0,COUNTIFS('①在庫を貼る'!$V$6:$V$10005,'設定'!$C$4,'①在庫を貼る'!$W$6:$W$10005,$B254))</f>
        <v/>
      </c>
    </row>
    <row r="255" ht="18" customHeight="1">
      <c r="B255" s="76" t="n"/>
      <c r="C255" s="77" t="n"/>
      <c r="D255" s="77" t="n"/>
      <c r="E255" s="77" t="n"/>
      <c r="F255" s="78" t="n"/>
      <c r="G255" s="79" t="n"/>
      <c r="H255" s="69" t="n"/>
      <c r="I255" s="44">
        <f>IF(OR($B255="",$H255=""),"",$H255*MAX(1,N($F255)))</f>
        <v/>
      </c>
      <c r="J255" s="80" t="n"/>
      <c r="K255" s="77" t="n"/>
      <c r="L255" s="54">
        <f>IF($B255="",0,IF(COUNTIFS('①在庫を貼る'!$V$6:$V$10005,'設定'!$C$4,'①在庫を貼る'!$W$6:$W$10005,$B255)+COUNTIFS('月1回_1ヶ月前の在庫'!$V$6:$V$10005,'設定'!$C$4,'月1回_1ヶ月前の在庫'!$W$6:$W$10005,$B255)+COUNTIFS('月1回_2ヶ月前の在庫'!$V$6:$V$10005,'設定'!$C$4,'月1回_2ヶ月前の在庫'!$W$6:$W$10005,$B255)&gt;0,1,0))</f>
        <v/>
      </c>
      <c r="M255" s="54">
        <f>N(M254)+$L255</f>
        <v/>
      </c>
      <c r="N255" s="54">
        <f>IF($B255="",0,COUNTIFS('①在庫を貼る'!$V$6:$V$10005,'設定'!$C$4,'①在庫を貼る'!$W$6:$W$10005,$B255))</f>
        <v/>
      </c>
    </row>
    <row r="256" ht="18" customHeight="1">
      <c r="B256" s="76" t="n"/>
      <c r="C256" s="77" t="n"/>
      <c r="D256" s="77" t="n"/>
      <c r="E256" s="77" t="n"/>
      <c r="F256" s="78" t="n"/>
      <c r="G256" s="79" t="n"/>
      <c r="H256" s="69" t="n"/>
      <c r="I256" s="44">
        <f>IF(OR($B256="",$H256=""),"",$H256*MAX(1,N($F256)))</f>
        <v/>
      </c>
      <c r="J256" s="80" t="n"/>
      <c r="K256" s="77" t="n"/>
      <c r="L256" s="54">
        <f>IF($B256="",0,IF(COUNTIFS('①在庫を貼る'!$V$6:$V$10005,'設定'!$C$4,'①在庫を貼る'!$W$6:$W$10005,$B256)+COUNTIFS('月1回_1ヶ月前の在庫'!$V$6:$V$10005,'設定'!$C$4,'月1回_1ヶ月前の在庫'!$W$6:$W$10005,$B256)+COUNTIFS('月1回_2ヶ月前の在庫'!$V$6:$V$10005,'設定'!$C$4,'月1回_2ヶ月前の在庫'!$W$6:$W$10005,$B256)&gt;0,1,0))</f>
        <v/>
      </c>
      <c r="M256" s="54">
        <f>N(M255)+$L256</f>
        <v/>
      </c>
      <c r="N256" s="54">
        <f>IF($B256="",0,COUNTIFS('①在庫を貼る'!$V$6:$V$10005,'設定'!$C$4,'①在庫を貼る'!$W$6:$W$10005,$B256))</f>
        <v/>
      </c>
    </row>
    <row r="257" ht="18" customHeight="1">
      <c r="B257" s="76" t="n"/>
      <c r="C257" s="77" t="n"/>
      <c r="D257" s="77" t="n"/>
      <c r="E257" s="77" t="n"/>
      <c r="F257" s="78" t="n"/>
      <c r="G257" s="79" t="n"/>
      <c r="H257" s="69" t="n"/>
      <c r="I257" s="44">
        <f>IF(OR($B257="",$H257=""),"",$H257*MAX(1,N($F257)))</f>
        <v/>
      </c>
      <c r="J257" s="80" t="n"/>
      <c r="K257" s="77" t="n"/>
      <c r="L257" s="54">
        <f>IF($B257="",0,IF(COUNTIFS('①在庫を貼る'!$V$6:$V$10005,'設定'!$C$4,'①在庫を貼る'!$W$6:$W$10005,$B257)+COUNTIFS('月1回_1ヶ月前の在庫'!$V$6:$V$10005,'設定'!$C$4,'月1回_1ヶ月前の在庫'!$W$6:$W$10005,$B257)+COUNTIFS('月1回_2ヶ月前の在庫'!$V$6:$V$10005,'設定'!$C$4,'月1回_2ヶ月前の在庫'!$W$6:$W$10005,$B257)&gt;0,1,0))</f>
        <v/>
      </c>
      <c r="M257" s="54">
        <f>N(M256)+$L257</f>
        <v/>
      </c>
      <c r="N257" s="54">
        <f>IF($B257="",0,COUNTIFS('①在庫を貼る'!$V$6:$V$10005,'設定'!$C$4,'①在庫を貼る'!$W$6:$W$10005,$B257))</f>
        <v/>
      </c>
    </row>
    <row r="258" ht="18" customHeight="1">
      <c r="B258" s="76" t="n"/>
      <c r="C258" s="77" t="n"/>
      <c r="D258" s="77" t="n"/>
      <c r="E258" s="77" t="n"/>
      <c r="F258" s="78" t="n"/>
      <c r="G258" s="79" t="n"/>
      <c r="H258" s="69" t="n"/>
      <c r="I258" s="44">
        <f>IF(OR($B258="",$H258=""),"",$H258*MAX(1,N($F258)))</f>
        <v/>
      </c>
      <c r="J258" s="80" t="n"/>
      <c r="K258" s="77" t="n"/>
      <c r="L258" s="54">
        <f>IF($B258="",0,IF(COUNTIFS('①在庫を貼る'!$V$6:$V$10005,'設定'!$C$4,'①在庫を貼る'!$W$6:$W$10005,$B258)+COUNTIFS('月1回_1ヶ月前の在庫'!$V$6:$V$10005,'設定'!$C$4,'月1回_1ヶ月前の在庫'!$W$6:$W$10005,$B258)+COUNTIFS('月1回_2ヶ月前の在庫'!$V$6:$V$10005,'設定'!$C$4,'月1回_2ヶ月前の在庫'!$W$6:$W$10005,$B258)&gt;0,1,0))</f>
        <v/>
      </c>
      <c r="M258" s="54">
        <f>N(M257)+$L258</f>
        <v/>
      </c>
      <c r="N258" s="54">
        <f>IF($B258="",0,COUNTIFS('①在庫を貼る'!$V$6:$V$10005,'設定'!$C$4,'①在庫を貼る'!$W$6:$W$10005,$B258))</f>
        <v/>
      </c>
    </row>
    <row r="259" ht="18" customHeight="1">
      <c r="B259" s="76" t="n"/>
      <c r="C259" s="77" t="n"/>
      <c r="D259" s="77" t="n"/>
      <c r="E259" s="77" t="n"/>
      <c r="F259" s="78" t="n"/>
      <c r="G259" s="79" t="n"/>
      <c r="H259" s="69" t="n"/>
      <c r="I259" s="44">
        <f>IF(OR($B259="",$H259=""),"",$H259*MAX(1,N($F259)))</f>
        <v/>
      </c>
      <c r="J259" s="80" t="n"/>
      <c r="K259" s="77" t="n"/>
      <c r="L259" s="54">
        <f>IF($B259="",0,IF(COUNTIFS('①在庫を貼る'!$V$6:$V$10005,'設定'!$C$4,'①在庫を貼る'!$W$6:$W$10005,$B259)+COUNTIFS('月1回_1ヶ月前の在庫'!$V$6:$V$10005,'設定'!$C$4,'月1回_1ヶ月前の在庫'!$W$6:$W$10005,$B259)+COUNTIFS('月1回_2ヶ月前の在庫'!$V$6:$V$10005,'設定'!$C$4,'月1回_2ヶ月前の在庫'!$W$6:$W$10005,$B259)&gt;0,1,0))</f>
        <v/>
      </c>
      <c r="M259" s="54">
        <f>N(M258)+$L259</f>
        <v/>
      </c>
      <c r="N259" s="54">
        <f>IF($B259="",0,COUNTIFS('①在庫を貼る'!$V$6:$V$10005,'設定'!$C$4,'①在庫を貼る'!$W$6:$W$10005,$B259))</f>
        <v/>
      </c>
    </row>
    <row r="260" ht="18" customHeight="1">
      <c r="B260" s="76" t="n"/>
      <c r="C260" s="77" t="n"/>
      <c r="D260" s="77" t="n"/>
      <c r="E260" s="77" t="n"/>
      <c r="F260" s="78" t="n"/>
      <c r="G260" s="79" t="n"/>
      <c r="H260" s="69" t="n"/>
      <c r="I260" s="44">
        <f>IF(OR($B260="",$H260=""),"",$H260*MAX(1,N($F260)))</f>
        <v/>
      </c>
      <c r="J260" s="80" t="n"/>
      <c r="K260" s="77" t="n"/>
      <c r="L260" s="54">
        <f>IF($B260="",0,IF(COUNTIFS('①在庫を貼る'!$V$6:$V$10005,'設定'!$C$4,'①在庫を貼る'!$W$6:$W$10005,$B260)+COUNTIFS('月1回_1ヶ月前の在庫'!$V$6:$V$10005,'設定'!$C$4,'月1回_1ヶ月前の在庫'!$W$6:$W$10005,$B260)+COUNTIFS('月1回_2ヶ月前の在庫'!$V$6:$V$10005,'設定'!$C$4,'月1回_2ヶ月前の在庫'!$W$6:$W$10005,$B260)&gt;0,1,0))</f>
        <v/>
      </c>
      <c r="M260" s="54">
        <f>N(M259)+$L260</f>
        <v/>
      </c>
      <c r="N260" s="54">
        <f>IF($B260="",0,COUNTIFS('①在庫を貼る'!$V$6:$V$10005,'設定'!$C$4,'①在庫を貼る'!$W$6:$W$10005,$B260))</f>
        <v/>
      </c>
    </row>
    <row r="261" ht="18" customHeight="1">
      <c r="B261" s="76" t="n"/>
      <c r="C261" s="77" t="n"/>
      <c r="D261" s="77" t="n"/>
      <c r="E261" s="77" t="n"/>
      <c r="F261" s="78" t="n"/>
      <c r="G261" s="79" t="n"/>
      <c r="H261" s="69" t="n"/>
      <c r="I261" s="44">
        <f>IF(OR($B261="",$H261=""),"",$H261*MAX(1,N($F261)))</f>
        <v/>
      </c>
      <c r="J261" s="80" t="n"/>
      <c r="K261" s="77" t="n"/>
      <c r="L261" s="54">
        <f>IF($B261="",0,IF(COUNTIFS('①在庫を貼る'!$V$6:$V$10005,'設定'!$C$4,'①在庫を貼る'!$W$6:$W$10005,$B261)+COUNTIFS('月1回_1ヶ月前の在庫'!$V$6:$V$10005,'設定'!$C$4,'月1回_1ヶ月前の在庫'!$W$6:$W$10005,$B261)+COUNTIFS('月1回_2ヶ月前の在庫'!$V$6:$V$10005,'設定'!$C$4,'月1回_2ヶ月前の在庫'!$W$6:$W$10005,$B261)&gt;0,1,0))</f>
        <v/>
      </c>
      <c r="M261" s="54">
        <f>N(M260)+$L261</f>
        <v/>
      </c>
      <c r="N261" s="54">
        <f>IF($B261="",0,COUNTIFS('①在庫を貼る'!$V$6:$V$10005,'設定'!$C$4,'①在庫を貼る'!$W$6:$W$10005,$B261))</f>
        <v/>
      </c>
    </row>
    <row r="262" ht="18" customHeight="1">
      <c r="B262" s="76" t="n"/>
      <c r="C262" s="77" t="n"/>
      <c r="D262" s="77" t="n"/>
      <c r="E262" s="77" t="n"/>
      <c r="F262" s="78" t="n"/>
      <c r="G262" s="79" t="n"/>
      <c r="H262" s="69" t="n"/>
      <c r="I262" s="44">
        <f>IF(OR($B262="",$H262=""),"",$H262*MAX(1,N($F262)))</f>
        <v/>
      </c>
      <c r="J262" s="80" t="n"/>
      <c r="K262" s="77" t="n"/>
      <c r="L262" s="54">
        <f>IF($B262="",0,IF(COUNTIFS('①在庫を貼る'!$V$6:$V$10005,'設定'!$C$4,'①在庫を貼る'!$W$6:$W$10005,$B262)+COUNTIFS('月1回_1ヶ月前の在庫'!$V$6:$V$10005,'設定'!$C$4,'月1回_1ヶ月前の在庫'!$W$6:$W$10005,$B262)+COUNTIFS('月1回_2ヶ月前の在庫'!$V$6:$V$10005,'設定'!$C$4,'月1回_2ヶ月前の在庫'!$W$6:$W$10005,$B262)&gt;0,1,0))</f>
        <v/>
      </c>
      <c r="M262" s="54">
        <f>N(M261)+$L262</f>
        <v/>
      </c>
      <c r="N262" s="54">
        <f>IF($B262="",0,COUNTIFS('①在庫を貼る'!$V$6:$V$10005,'設定'!$C$4,'①在庫を貼る'!$W$6:$W$10005,$B262))</f>
        <v/>
      </c>
    </row>
    <row r="263" ht="18" customHeight="1">
      <c r="B263" s="76" t="n"/>
      <c r="C263" s="77" t="n"/>
      <c r="D263" s="77" t="n"/>
      <c r="E263" s="77" t="n"/>
      <c r="F263" s="78" t="n"/>
      <c r="G263" s="79" t="n"/>
      <c r="H263" s="69" t="n"/>
      <c r="I263" s="44">
        <f>IF(OR($B263="",$H263=""),"",$H263*MAX(1,N($F263)))</f>
        <v/>
      </c>
      <c r="J263" s="80" t="n"/>
      <c r="K263" s="77" t="n"/>
      <c r="L263" s="54">
        <f>IF($B263="",0,IF(COUNTIFS('①在庫を貼る'!$V$6:$V$10005,'設定'!$C$4,'①在庫を貼る'!$W$6:$W$10005,$B263)+COUNTIFS('月1回_1ヶ月前の在庫'!$V$6:$V$10005,'設定'!$C$4,'月1回_1ヶ月前の在庫'!$W$6:$W$10005,$B263)+COUNTIFS('月1回_2ヶ月前の在庫'!$V$6:$V$10005,'設定'!$C$4,'月1回_2ヶ月前の在庫'!$W$6:$W$10005,$B263)&gt;0,1,0))</f>
        <v/>
      </c>
      <c r="M263" s="54">
        <f>N(M262)+$L263</f>
        <v/>
      </c>
      <c r="N263" s="54">
        <f>IF($B263="",0,COUNTIFS('①在庫を貼る'!$V$6:$V$10005,'設定'!$C$4,'①在庫を貼る'!$W$6:$W$10005,$B263))</f>
        <v/>
      </c>
    </row>
    <row r="264" ht="18" customHeight="1">
      <c r="B264" s="76" t="n"/>
      <c r="C264" s="77" t="n"/>
      <c r="D264" s="77" t="n"/>
      <c r="E264" s="77" t="n"/>
      <c r="F264" s="78" t="n"/>
      <c r="G264" s="79" t="n"/>
      <c r="H264" s="69" t="n"/>
      <c r="I264" s="44">
        <f>IF(OR($B264="",$H264=""),"",$H264*MAX(1,N($F264)))</f>
        <v/>
      </c>
      <c r="J264" s="80" t="n"/>
      <c r="K264" s="77" t="n"/>
      <c r="L264" s="54">
        <f>IF($B264="",0,IF(COUNTIFS('①在庫を貼る'!$V$6:$V$10005,'設定'!$C$4,'①在庫を貼る'!$W$6:$W$10005,$B264)+COUNTIFS('月1回_1ヶ月前の在庫'!$V$6:$V$10005,'設定'!$C$4,'月1回_1ヶ月前の在庫'!$W$6:$W$10005,$B264)+COUNTIFS('月1回_2ヶ月前の在庫'!$V$6:$V$10005,'設定'!$C$4,'月1回_2ヶ月前の在庫'!$W$6:$W$10005,$B264)&gt;0,1,0))</f>
        <v/>
      </c>
      <c r="M264" s="54">
        <f>N(M263)+$L264</f>
        <v/>
      </c>
      <c r="N264" s="54">
        <f>IF($B264="",0,COUNTIFS('①在庫を貼る'!$V$6:$V$10005,'設定'!$C$4,'①在庫を貼る'!$W$6:$W$10005,$B264))</f>
        <v/>
      </c>
    </row>
    <row r="265" ht="18" customHeight="1">
      <c r="B265" s="76" t="n"/>
      <c r="C265" s="77" t="n"/>
      <c r="D265" s="77" t="n"/>
      <c r="E265" s="77" t="n"/>
      <c r="F265" s="78" t="n"/>
      <c r="G265" s="79" t="n"/>
      <c r="H265" s="69" t="n"/>
      <c r="I265" s="44">
        <f>IF(OR($B265="",$H265=""),"",$H265*MAX(1,N($F265)))</f>
        <v/>
      </c>
      <c r="J265" s="80" t="n"/>
      <c r="K265" s="77" t="n"/>
      <c r="L265" s="54">
        <f>IF($B265="",0,IF(COUNTIFS('①在庫を貼る'!$V$6:$V$10005,'設定'!$C$4,'①在庫を貼る'!$W$6:$W$10005,$B265)+COUNTIFS('月1回_1ヶ月前の在庫'!$V$6:$V$10005,'設定'!$C$4,'月1回_1ヶ月前の在庫'!$W$6:$W$10005,$B265)+COUNTIFS('月1回_2ヶ月前の在庫'!$V$6:$V$10005,'設定'!$C$4,'月1回_2ヶ月前の在庫'!$W$6:$W$10005,$B265)&gt;0,1,0))</f>
        <v/>
      </c>
      <c r="M265" s="54">
        <f>N(M264)+$L265</f>
        <v/>
      </c>
      <c r="N265" s="54">
        <f>IF($B265="",0,COUNTIFS('①在庫を貼る'!$V$6:$V$10005,'設定'!$C$4,'①在庫を貼る'!$W$6:$W$10005,$B265))</f>
        <v/>
      </c>
    </row>
    <row r="266" ht="18" customHeight="1">
      <c r="B266" s="76" t="n"/>
      <c r="C266" s="77" t="n"/>
      <c r="D266" s="77" t="n"/>
      <c r="E266" s="77" t="n"/>
      <c r="F266" s="78" t="n"/>
      <c r="G266" s="79" t="n"/>
      <c r="H266" s="69" t="n"/>
      <c r="I266" s="44">
        <f>IF(OR($B266="",$H266=""),"",$H266*MAX(1,N($F266)))</f>
        <v/>
      </c>
      <c r="J266" s="80" t="n"/>
      <c r="K266" s="77" t="n"/>
      <c r="L266" s="54">
        <f>IF($B266="",0,IF(COUNTIFS('①在庫を貼る'!$V$6:$V$10005,'設定'!$C$4,'①在庫を貼る'!$W$6:$W$10005,$B266)+COUNTIFS('月1回_1ヶ月前の在庫'!$V$6:$V$10005,'設定'!$C$4,'月1回_1ヶ月前の在庫'!$W$6:$W$10005,$B266)+COUNTIFS('月1回_2ヶ月前の在庫'!$V$6:$V$10005,'設定'!$C$4,'月1回_2ヶ月前の在庫'!$W$6:$W$10005,$B266)&gt;0,1,0))</f>
        <v/>
      </c>
      <c r="M266" s="54">
        <f>N(M265)+$L266</f>
        <v/>
      </c>
      <c r="N266" s="54">
        <f>IF($B266="",0,COUNTIFS('①在庫を貼る'!$V$6:$V$10005,'設定'!$C$4,'①在庫を貼る'!$W$6:$W$10005,$B266))</f>
        <v/>
      </c>
    </row>
    <row r="267" ht="18" customHeight="1">
      <c r="B267" s="76" t="n"/>
      <c r="C267" s="77" t="n"/>
      <c r="D267" s="77" t="n"/>
      <c r="E267" s="77" t="n"/>
      <c r="F267" s="78" t="n"/>
      <c r="G267" s="79" t="n"/>
      <c r="H267" s="69" t="n"/>
      <c r="I267" s="44">
        <f>IF(OR($B267="",$H267=""),"",$H267*MAX(1,N($F267)))</f>
        <v/>
      </c>
      <c r="J267" s="80" t="n"/>
      <c r="K267" s="77" t="n"/>
      <c r="L267" s="54">
        <f>IF($B267="",0,IF(COUNTIFS('①在庫を貼る'!$V$6:$V$10005,'設定'!$C$4,'①在庫を貼る'!$W$6:$W$10005,$B267)+COUNTIFS('月1回_1ヶ月前の在庫'!$V$6:$V$10005,'設定'!$C$4,'月1回_1ヶ月前の在庫'!$W$6:$W$10005,$B267)+COUNTIFS('月1回_2ヶ月前の在庫'!$V$6:$V$10005,'設定'!$C$4,'月1回_2ヶ月前の在庫'!$W$6:$W$10005,$B267)&gt;0,1,0))</f>
        <v/>
      </c>
      <c r="M267" s="54">
        <f>N(M266)+$L267</f>
        <v/>
      </c>
      <c r="N267" s="54">
        <f>IF($B267="",0,COUNTIFS('①在庫を貼る'!$V$6:$V$10005,'設定'!$C$4,'①在庫を貼る'!$W$6:$W$10005,$B267))</f>
        <v/>
      </c>
    </row>
    <row r="268" ht="18" customHeight="1">
      <c r="B268" s="76" t="n"/>
      <c r="C268" s="77" t="n"/>
      <c r="D268" s="77" t="n"/>
      <c r="E268" s="77" t="n"/>
      <c r="F268" s="78" t="n"/>
      <c r="G268" s="79" t="n"/>
      <c r="H268" s="69" t="n"/>
      <c r="I268" s="44">
        <f>IF(OR($B268="",$H268=""),"",$H268*MAX(1,N($F268)))</f>
        <v/>
      </c>
      <c r="J268" s="80" t="n"/>
      <c r="K268" s="77" t="n"/>
      <c r="L268" s="54">
        <f>IF($B268="",0,IF(COUNTIFS('①在庫を貼る'!$V$6:$V$10005,'設定'!$C$4,'①在庫を貼る'!$W$6:$W$10005,$B268)+COUNTIFS('月1回_1ヶ月前の在庫'!$V$6:$V$10005,'設定'!$C$4,'月1回_1ヶ月前の在庫'!$W$6:$W$10005,$B268)+COUNTIFS('月1回_2ヶ月前の在庫'!$V$6:$V$10005,'設定'!$C$4,'月1回_2ヶ月前の在庫'!$W$6:$W$10005,$B268)&gt;0,1,0))</f>
        <v/>
      </c>
      <c r="M268" s="54">
        <f>N(M267)+$L268</f>
        <v/>
      </c>
      <c r="N268" s="54">
        <f>IF($B268="",0,COUNTIFS('①在庫を貼る'!$V$6:$V$10005,'設定'!$C$4,'①在庫を貼る'!$W$6:$W$10005,$B268))</f>
        <v/>
      </c>
    </row>
    <row r="269" ht="18" customHeight="1">
      <c r="B269" s="76" t="n"/>
      <c r="C269" s="77" t="n"/>
      <c r="D269" s="77" t="n"/>
      <c r="E269" s="77" t="n"/>
      <c r="F269" s="78" t="n"/>
      <c r="G269" s="79" t="n"/>
      <c r="H269" s="69" t="n"/>
      <c r="I269" s="44">
        <f>IF(OR($B269="",$H269=""),"",$H269*MAX(1,N($F269)))</f>
        <v/>
      </c>
      <c r="J269" s="80" t="n"/>
      <c r="K269" s="77" t="n"/>
      <c r="L269" s="54">
        <f>IF($B269="",0,IF(COUNTIFS('①在庫を貼る'!$V$6:$V$10005,'設定'!$C$4,'①在庫を貼る'!$W$6:$W$10005,$B269)+COUNTIFS('月1回_1ヶ月前の在庫'!$V$6:$V$10005,'設定'!$C$4,'月1回_1ヶ月前の在庫'!$W$6:$W$10005,$B269)+COUNTIFS('月1回_2ヶ月前の在庫'!$V$6:$V$10005,'設定'!$C$4,'月1回_2ヶ月前の在庫'!$W$6:$W$10005,$B269)&gt;0,1,0))</f>
        <v/>
      </c>
      <c r="M269" s="54">
        <f>N(M268)+$L269</f>
        <v/>
      </c>
      <c r="N269" s="54">
        <f>IF($B269="",0,COUNTIFS('①在庫を貼る'!$V$6:$V$10005,'設定'!$C$4,'①在庫を貼る'!$W$6:$W$10005,$B269))</f>
        <v/>
      </c>
    </row>
    <row r="270" ht="18" customHeight="1">
      <c r="B270" s="76" t="n"/>
      <c r="C270" s="77" t="n"/>
      <c r="D270" s="77" t="n"/>
      <c r="E270" s="77" t="n"/>
      <c r="F270" s="78" t="n"/>
      <c r="G270" s="79" t="n"/>
      <c r="H270" s="69" t="n"/>
      <c r="I270" s="44">
        <f>IF(OR($B270="",$H270=""),"",$H270*MAX(1,N($F270)))</f>
        <v/>
      </c>
      <c r="J270" s="80" t="n"/>
      <c r="K270" s="77" t="n"/>
      <c r="L270" s="54">
        <f>IF($B270="",0,IF(COUNTIFS('①在庫を貼る'!$V$6:$V$10005,'設定'!$C$4,'①在庫を貼る'!$W$6:$W$10005,$B270)+COUNTIFS('月1回_1ヶ月前の在庫'!$V$6:$V$10005,'設定'!$C$4,'月1回_1ヶ月前の在庫'!$W$6:$W$10005,$B270)+COUNTIFS('月1回_2ヶ月前の在庫'!$V$6:$V$10005,'設定'!$C$4,'月1回_2ヶ月前の在庫'!$W$6:$W$10005,$B270)&gt;0,1,0))</f>
        <v/>
      </c>
      <c r="M270" s="54">
        <f>N(M269)+$L270</f>
        <v/>
      </c>
      <c r="N270" s="54">
        <f>IF($B270="",0,COUNTIFS('①在庫を貼る'!$V$6:$V$10005,'設定'!$C$4,'①在庫を貼る'!$W$6:$W$10005,$B270))</f>
        <v/>
      </c>
    </row>
    <row r="271" ht="18" customHeight="1">
      <c r="B271" s="76" t="n"/>
      <c r="C271" s="77" t="n"/>
      <c r="D271" s="77" t="n"/>
      <c r="E271" s="77" t="n"/>
      <c r="F271" s="78" t="n"/>
      <c r="G271" s="79" t="n"/>
      <c r="H271" s="69" t="n"/>
      <c r="I271" s="44">
        <f>IF(OR($B271="",$H271=""),"",$H271*MAX(1,N($F271)))</f>
        <v/>
      </c>
      <c r="J271" s="80" t="n"/>
      <c r="K271" s="77" t="n"/>
      <c r="L271" s="54">
        <f>IF($B271="",0,IF(COUNTIFS('①在庫を貼る'!$V$6:$V$10005,'設定'!$C$4,'①在庫を貼る'!$W$6:$W$10005,$B271)+COUNTIFS('月1回_1ヶ月前の在庫'!$V$6:$V$10005,'設定'!$C$4,'月1回_1ヶ月前の在庫'!$W$6:$W$10005,$B271)+COUNTIFS('月1回_2ヶ月前の在庫'!$V$6:$V$10005,'設定'!$C$4,'月1回_2ヶ月前の在庫'!$W$6:$W$10005,$B271)&gt;0,1,0))</f>
        <v/>
      </c>
      <c r="M271" s="54">
        <f>N(M270)+$L271</f>
        <v/>
      </c>
      <c r="N271" s="54">
        <f>IF($B271="",0,COUNTIFS('①在庫を貼る'!$V$6:$V$10005,'設定'!$C$4,'①在庫を貼る'!$W$6:$W$10005,$B271))</f>
        <v/>
      </c>
    </row>
    <row r="272" ht="18" customHeight="1">
      <c r="B272" s="76" t="n"/>
      <c r="C272" s="77" t="n"/>
      <c r="D272" s="77" t="n"/>
      <c r="E272" s="77" t="n"/>
      <c r="F272" s="78" t="n"/>
      <c r="G272" s="79" t="n"/>
      <c r="H272" s="69" t="n"/>
      <c r="I272" s="44">
        <f>IF(OR($B272="",$H272=""),"",$H272*MAX(1,N($F272)))</f>
        <v/>
      </c>
      <c r="J272" s="80" t="n"/>
      <c r="K272" s="77" t="n"/>
      <c r="L272" s="54">
        <f>IF($B272="",0,IF(COUNTIFS('①在庫を貼る'!$V$6:$V$10005,'設定'!$C$4,'①在庫を貼る'!$W$6:$W$10005,$B272)+COUNTIFS('月1回_1ヶ月前の在庫'!$V$6:$V$10005,'設定'!$C$4,'月1回_1ヶ月前の在庫'!$W$6:$W$10005,$B272)+COUNTIFS('月1回_2ヶ月前の在庫'!$V$6:$V$10005,'設定'!$C$4,'月1回_2ヶ月前の在庫'!$W$6:$W$10005,$B272)&gt;0,1,0))</f>
        <v/>
      </c>
      <c r="M272" s="54">
        <f>N(M271)+$L272</f>
        <v/>
      </c>
      <c r="N272" s="54">
        <f>IF($B272="",0,COUNTIFS('①在庫を貼る'!$V$6:$V$10005,'設定'!$C$4,'①在庫を貼る'!$W$6:$W$10005,$B272))</f>
        <v/>
      </c>
    </row>
    <row r="273" ht="18" customHeight="1">
      <c r="B273" s="76" t="n"/>
      <c r="C273" s="77" t="n"/>
      <c r="D273" s="77" t="n"/>
      <c r="E273" s="77" t="n"/>
      <c r="F273" s="78" t="n"/>
      <c r="G273" s="79" t="n"/>
      <c r="H273" s="69" t="n"/>
      <c r="I273" s="44">
        <f>IF(OR($B273="",$H273=""),"",$H273*MAX(1,N($F273)))</f>
        <v/>
      </c>
      <c r="J273" s="80" t="n"/>
      <c r="K273" s="77" t="n"/>
      <c r="L273" s="54">
        <f>IF($B273="",0,IF(COUNTIFS('①在庫を貼る'!$V$6:$V$10005,'設定'!$C$4,'①在庫を貼る'!$W$6:$W$10005,$B273)+COUNTIFS('月1回_1ヶ月前の在庫'!$V$6:$V$10005,'設定'!$C$4,'月1回_1ヶ月前の在庫'!$W$6:$W$10005,$B273)+COUNTIFS('月1回_2ヶ月前の在庫'!$V$6:$V$10005,'設定'!$C$4,'月1回_2ヶ月前の在庫'!$W$6:$W$10005,$B273)&gt;0,1,0))</f>
        <v/>
      </c>
      <c r="M273" s="54">
        <f>N(M272)+$L273</f>
        <v/>
      </c>
      <c r="N273" s="54">
        <f>IF($B273="",0,COUNTIFS('①在庫を貼る'!$V$6:$V$10005,'設定'!$C$4,'①在庫を貼る'!$W$6:$W$10005,$B273))</f>
        <v/>
      </c>
    </row>
    <row r="274" ht="18" customHeight="1">
      <c r="B274" s="76" t="n"/>
      <c r="C274" s="77" t="n"/>
      <c r="D274" s="77" t="n"/>
      <c r="E274" s="77" t="n"/>
      <c r="F274" s="78" t="n"/>
      <c r="G274" s="79" t="n"/>
      <c r="H274" s="69" t="n"/>
      <c r="I274" s="44">
        <f>IF(OR($B274="",$H274=""),"",$H274*MAX(1,N($F274)))</f>
        <v/>
      </c>
      <c r="J274" s="80" t="n"/>
      <c r="K274" s="77" t="n"/>
      <c r="L274" s="54">
        <f>IF($B274="",0,IF(COUNTIFS('①在庫を貼る'!$V$6:$V$10005,'設定'!$C$4,'①在庫を貼る'!$W$6:$W$10005,$B274)+COUNTIFS('月1回_1ヶ月前の在庫'!$V$6:$V$10005,'設定'!$C$4,'月1回_1ヶ月前の在庫'!$W$6:$W$10005,$B274)+COUNTIFS('月1回_2ヶ月前の在庫'!$V$6:$V$10005,'設定'!$C$4,'月1回_2ヶ月前の在庫'!$W$6:$W$10005,$B274)&gt;0,1,0))</f>
        <v/>
      </c>
      <c r="M274" s="54">
        <f>N(M273)+$L274</f>
        <v/>
      </c>
      <c r="N274" s="54">
        <f>IF($B274="",0,COUNTIFS('①在庫を貼る'!$V$6:$V$10005,'設定'!$C$4,'①在庫を貼る'!$W$6:$W$10005,$B274))</f>
        <v/>
      </c>
    </row>
    <row r="275" ht="18" customHeight="1">
      <c r="B275" s="76" t="n"/>
      <c r="C275" s="77" t="n"/>
      <c r="D275" s="77" t="n"/>
      <c r="E275" s="77" t="n"/>
      <c r="F275" s="78" t="n"/>
      <c r="G275" s="79" t="n"/>
      <c r="H275" s="69" t="n"/>
      <c r="I275" s="44">
        <f>IF(OR($B275="",$H275=""),"",$H275*MAX(1,N($F275)))</f>
        <v/>
      </c>
      <c r="J275" s="80" t="n"/>
      <c r="K275" s="77" t="n"/>
      <c r="L275" s="54">
        <f>IF($B275="",0,IF(COUNTIFS('①在庫を貼る'!$V$6:$V$10005,'設定'!$C$4,'①在庫を貼る'!$W$6:$W$10005,$B275)+COUNTIFS('月1回_1ヶ月前の在庫'!$V$6:$V$10005,'設定'!$C$4,'月1回_1ヶ月前の在庫'!$W$6:$W$10005,$B275)+COUNTIFS('月1回_2ヶ月前の在庫'!$V$6:$V$10005,'設定'!$C$4,'月1回_2ヶ月前の在庫'!$W$6:$W$10005,$B275)&gt;0,1,0))</f>
        <v/>
      </c>
      <c r="M275" s="54">
        <f>N(M274)+$L275</f>
        <v/>
      </c>
      <c r="N275" s="54">
        <f>IF($B275="",0,COUNTIFS('①在庫を貼る'!$V$6:$V$10005,'設定'!$C$4,'①在庫を貼る'!$W$6:$W$10005,$B275))</f>
        <v/>
      </c>
    </row>
    <row r="276" ht="18" customHeight="1">
      <c r="B276" s="76" t="n"/>
      <c r="C276" s="77" t="n"/>
      <c r="D276" s="77" t="n"/>
      <c r="E276" s="77" t="n"/>
      <c r="F276" s="78" t="n"/>
      <c r="G276" s="79" t="n"/>
      <c r="H276" s="69" t="n"/>
      <c r="I276" s="44">
        <f>IF(OR($B276="",$H276=""),"",$H276*MAX(1,N($F276)))</f>
        <v/>
      </c>
      <c r="J276" s="80" t="n"/>
      <c r="K276" s="77" t="n"/>
      <c r="L276" s="54">
        <f>IF($B276="",0,IF(COUNTIFS('①在庫を貼る'!$V$6:$V$10005,'設定'!$C$4,'①在庫を貼る'!$W$6:$W$10005,$B276)+COUNTIFS('月1回_1ヶ月前の在庫'!$V$6:$V$10005,'設定'!$C$4,'月1回_1ヶ月前の在庫'!$W$6:$W$10005,$B276)+COUNTIFS('月1回_2ヶ月前の在庫'!$V$6:$V$10005,'設定'!$C$4,'月1回_2ヶ月前の在庫'!$W$6:$W$10005,$B276)&gt;0,1,0))</f>
        <v/>
      </c>
      <c r="M276" s="54">
        <f>N(M275)+$L276</f>
        <v/>
      </c>
      <c r="N276" s="54">
        <f>IF($B276="",0,COUNTIFS('①在庫を貼る'!$V$6:$V$10005,'設定'!$C$4,'①在庫を貼る'!$W$6:$W$10005,$B276))</f>
        <v/>
      </c>
    </row>
    <row r="277" ht="18" customHeight="1">
      <c r="B277" s="76" t="n"/>
      <c r="C277" s="77" t="n"/>
      <c r="D277" s="77" t="n"/>
      <c r="E277" s="77" t="n"/>
      <c r="F277" s="78" t="n"/>
      <c r="G277" s="79" t="n"/>
      <c r="H277" s="69" t="n"/>
      <c r="I277" s="44">
        <f>IF(OR($B277="",$H277=""),"",$H277*MAX(1,N($F277)))</f>
        <v/>
      </c>
      <c r="J277" s="80" t="n"/>
      <c r="K277" s="77" t="n"/>
      <c r="L277" s="54">
        <f>IF($B277="",0,IF(COUNTIFS('①在庫を貼る'!$V$6:$V$10005,'設定'!$C$4,'①在庫を貼る'!$W$6:$W$10005,$B277)+COUNTIFS('月1回_1ヶ月前の在庫'!$V$6:$V$10005,'設定'!$C$4,'月1回_1ヶ月前の在庫'!$W$6:$W$10005,$B277)+COUNTIFS('月1回_2ヶ月前の在庫'!$V$6:$V$10005,'設定'!$C$4,'月1回_2ヶ月前の在庫'!$W$6:$W$10005,$B277)&gt;0,1,0))</f>
        <v/>
      </c>
      <c r="M277" s="54">
        <f>N(M276)+$L277</f>
        <v/>
      </c>
      <c r="N277" s="54">
        <f>IF($B277="",0,COUNTIFS('①在庫を貼る'!$V$6:$V$10005,'設定'!$C$4,'①在庫を貼る'!$W$6:$W$10005,$B277))</f>
        <v/>
      </c>
    </row>
    <row r="278" ht="18" customHeight="1">
      <c r="B278" s="76" t="n"/>
      <c r="C278" s="77" t="n"/>
      <c r="D278" s="77" t="n"/>
      <c r="E278" s="77" t="n"/>
      <c r="F278" s="78" t="n"/>
      <c r="G278" s="79" t="n"/>
      <c r="H278" s="69" t="n"/>
      <c r="I278" s="44">
        <f>IF(OR($B278="",$H278=""),"",$H278*MAX(1,N($F278)))</f>
        <v/>
      </c>
      <c r="J278" s="80" t="n"/>
      <c r="K278" s="77" t="n"/>
      <c r="L278" s="54">
        <f>IF($B278="",0,IF(COUNTIFS('①在庫を貼る'!$V$6:$V$10005,'設定'!$C$4,'①在庫を貼る'!$W$6:$W$10005,$B278)+COUNTIFS('月1回_1ヶ月前の在庫'!$V$6:$V$10005,'設定'!$C$4,'月1回_1ヶ月前の在庫'!$W$6:$W$10005,$B278)+COUNTIFS('月1回_2ヶ月前の在庫'!$V$6:$V$10005,'設定'!$C$4,'月1回_2ヶ月前の在庫'!$W$6:$W$10005,$B278)&gt;0,1,0))</f>
        <v/>
      </c>
      <c r="M278" s="54">
        <f>N(M277)+$L278</f>
        <v/>
      </c>
      <c r="N278" s="54">
        <f>IF($B278="",0,COUNTIFS('①在庫を貼る'!$V$6:$V$10005,'設定'!$C$4,'①在庫を貼る'!$W$6:$W$10005,$B278))</f>
        <v/>
      </c>
    </row>
    <row r="279" ht="18" customHeight="1">
      <c r="B279" s="76" t="n"/>
      <c r="C279" s="77" t="n"/>
      <c r="D279" s="77" t="n"/>
      <c r="E279" s="77" t="n"/>
      <c r="F279" s="78" t="n"/>
      <c r="G279" s="79" t="n"/>
      <c r="H279" s="69" t="n"/>
      <c r="I279" s="44">
        <f>IF(OR($B279="",$H279=""),"",$H279*MAX(1,N($F279)))</f>
        <v/>
      </c>
      <c r="J279" s="80" t="n"/>
      <c r="K279" s="77" t="n"/>
      <c r="L279" s="54">
        <f>IF($B279="",0,IF(COUNTIFS('①在庫を貼る'!$V$6:$V$10005,'設定'!$C$4,'①在庫を貼る'!$W$6:$W$10005,$B279)+COUNTIFS('月1回_1ヶ月前の在庫'!$V$6:$V$10005,'設定'!$C$4,'月1回_1ヶ月前の在庫'!$W$6:$W$10005,$B279)+COUNTIFS('月1回_2ヶ月前の在庫'!$V$6:$V$10005,'設定'!$C$4,'月1回_2ヶ月前の在庫'!$W$6:$W$10005,$B279)&gt;0,1,0))</f>
        <v/>
      </c>
      <c r="M279" s="54">
        <f>N(M278)+$L279</f>
        <v/>
      </c>
      <c r="N279" s="54">
        <f>IF($B279="",0,COUNTIFS('①在庫を貼る'!$V$6:$V$10005,'設定'!$C$4,'①在庫を貼る'!$W$6:$W$10005,$B279))</f>
        <v/>
      </c>
    </row>
    <row r="280" ht="18" customHeight="1">
      <c r="B280" s="76" t="n"/>
      <c r="C280" s="77" t="n"/>
      <c r="D280" s="77" t="n"/>
      <c r="E280" s="77" t="n"/>
      <c r="F280" s="78" t="n"/>
      <c r="G280" s="79" t="n"/>
      <c r="H280" s="69" t="n"/>
      <c r="I280" s="44">
        <f>IF(OR($B280="",$H280=""),"",$H280*MAX(1,N($F280)))</f>
        <v/>
      </c>
      <c r="J280" s="80" t="n"/>
      <c r="K280" s="77" t="n"/>
      <c r="L280" s="54">
        <f>IF($B280="",0,IF(COUNTIFS('①在庫を貼る'!$V$6:$V$10005,'設定'!$C$4,'①在庫を貼る'!$W$6:$W$10005,$B280)+COUNTIFS('月1回_1ヶ月前の在庫'!$V$6:$V$10005,'設定'!$C$4,'月1回_1ヶ月前の在庫'!$W$6:$W$10005,$B280)+COUNTIFS('月1回_2ヶ月前の在庫'!$V$6:$V$10005,'設定'!$C$4,'月1回_2ヶ月前の在庫'!$W$6:$W$10005,$B280)&gt;0,1,0))</f>
        <v/>
      </c>
      <c r="M280" s="54">
        <f>N(M279)+$L280</f>
        <v/>
      </c>
      <c r="N280" s="54">
        <f>IF($B280="",0,COUNTIFS('①在庫を貼る'!$V$6:$V$10005,'設定'!$C$4,'①在庫を貼る'!$W$6:$W$10005,$B280))</f>
        <v/>
      </c>
    </row>
    <row r="281" ht="18" customHeight="1">
      <c r="B281" s="76" t="n"/>
      <c r="C281" s="77" t="n"/>
      <c r="D281" s="77" t="n"/>
      <c r="E281" s="77" t="n"/>
      <c r="F281" s="78" t="n"/>
      <c r="G281" s="79" t="n"/>
      <c r="H281" s="69" t="n"/>
      <c r="I281" s="44">
        <f>IF(OR($B281="",$H281=""),"",$H281*MAX(1,N($F281)))</f>
        <v/>
      </c>
      <c r="J281" s="80" t="n"/>
      <c r="K281" s="77" t="n"/>
      <c r="L281" s="54">
        <f>IF($B281="",0,IF(COUNTIFS('①在庫を貼る'!$V$6:$V$10005,'設定'!$C$4,'①在庫を貼る'!$W$6:$W$10005,$B281)+COUNTIFS('月1回_1ヶ月前の在庫'!$V$6:$V$10005,'設定'!$C$4,'月1回_1ヶ月前の在庫'!$W$6:$W$10005,$B281)+COUNTIFS('月1回_2ヶ月前の在庫'!$V$6:$V$10005,'設定'!$C$4,'月1回_2ヶ月前の在庫'!$W$6:$W$10005,$B281)&gt;0,1,0))</f>
        <v/>
      </c>
      <c r="M281" s="54">
        <f>N(M280)+$L281</f>
        <v/>
      </c>
      <c r="N281" s="54">
        <f>IF($B281="",0,COUNTIFS('①在庫を貼る'!$V$6:$V$10005,'設定'!$C$4,'①在庫を貼る'!$W$6:$W$10005,$B281))</f>
        <v/>
      </c>
    </row>
    <row r="282" ht="18" customHeight="1">
      <c r="B282" s="76" t="n"/>
      <c r="C282" s="77" t="n"/>
      <c r="D282" s="77" t="n"/>
      <c r="E282" s="77" t="n"/>
      <c r="F282" s="78" t="n"/>
      <c r="G282" s="79" t="n"/>
      <c r="H282" s="69" t="n"/>
      <c r="I282" s="44">
        <f>IF(OR($B282="",$H282=""),"",$H282*MAX(1,N($F282)))</f>
        <v/>
      </c>
      <c r="J282" s="80" t="n"/>
      <c r="K282" s="77" t="n"/>
      <c r="L282" s="54">
        <f>IF($B282="",0,IF(COUNTIFS('①在庫を貼る'!$V$6:$V$10005,'設定'!$C$4,'①在庫を貼る'!$W$6:$W$10005,$B282)+COUNTIFS('月1回_1ヶ月前の在庫'!$V$6:$V$10005,'設定'!$C$4,'月1回_1ヶ月前の在庫'!$W$6:$W$10005,$B282)+COUNTIFS('月1回_2ヶ月前の在庫'!$V$6:$V$10005,'設定'!$C$4,'月1回_2ヶ月前の在庫'!$W$6:$W$10005,$B282)&gt;0,1,0))</f>
        <v/>
      </c>
      <c r="M282" s="54">
        <f>N(M281)+$L282</f>
        <v/>
      </c>
      <c r="N282" s="54">
        <f>IF($B282="",0,COUNTIFS('①在庫を貼る'!$V$6:$V$10005,'設定'!$C$4,'①在庫を貼る'!$W$6:$W$10005,$B282))</f>
        <v/>
      </c>
    </row>
    <row r="283" ht="18" customHeight="1">
      <c r="B283" s="76" t="n"/>
      <c r="C283" s="77" t="n"/>
      <c r="D283" s="77" t="n"/>
      <c r="E283" s="77" t="n"/>
      <c r="F283" s="78" t="n"/>
      <c r="G283" s="79" t="n"/>
      <c r="H283" s="69" t="n"/>
      <c r="I283" s="44">
        <f>IF(OR($B283="",$H283=""),"",$H283*MAX(1,N($F283)))</f>
        <v/>
      </c>
      <c r="J283" s="80" t="n"/>
      <c r="K283" s="77" t="n"/>
      <c r="L283" s="54">
        <f>IF($B283="",0,IF(COUNTIFS('①在庫を貼る'!$V$6:$V$10005,'設定'!$C$4,'①在庫を貼る'!$W$6:$W$10005,$B283)+COUNTIFS('月1回_1ヶ月前の在庫'!$V$6:$V$10005,'設定'!$C$4,'月1回_1ヶ月前の在庫'!$W$6:$W$10005,$B283)+COUNTIFS('月1回_2ヶ月前の在庫'!$V$6:$V$10005,'設定'!$C$4,'月1回_2ヶ月前の在庫'!$W$6:$W$10005,$B283)&gt;0,1,0))</f>
        <v/>
      </c>
      <c r="M283" s="54">
        <f>N(M282)+$L283</f>
        <v/>
      </c>
      <c r="N283" s="54">
        <f>IF($B283="",0,COUNTIFS('①在庫を貼る'!$V$6:$V$10005,'設定'!$C$4,'①在庫を貼る'!$W$6:$W$10005,$B283))</f>
        <v/>
      </c>
    </row>
    <row r="284" ht="18" customHeight="1">
      <c r="B284" s="76" t="n"/>
      <c r="C284" s="77" t="n"/>
      <c r="D284" s="77" t="n"/>
      <c r="E284" s="77" t="n"/>
      <c r="F284" s="78" t="n"/>
      <c r="G284" s="79" t="n"/>
      <c r="H284" s="69" t="n"/>
      <c r="I284" s="44">
        <f>IF(OR($B284="",$H284=""),"",$H284*MAX(1,N($F284)))</f>
        <v/>
      </c>
      <c r="J284" s="80" t="n"/>
      <c r="K284" s="77" t="n"/>
      <c r="L284" s="54">
        <f>IF($B284="",0,IF(COUNTIFS('①在庫を貼る'!$V$6:$V$10005,'設定'!$C$4,'①在庫を貼る'!$W$6:$W$10005,$B284)+COUNTIFS('月1回_1ヶ月前の在庫'!$V$6:$V$10005,'設定'!$C$4,'月1回_1ヶ月前の在庫'!$W$6:$W$10005,$B284)+COUNTIFS('月1回_2ヶ月前の在庫'!$V$6:$V$10005,'設定'!$C$4,'月1回_2ヶ月前の在庫'!$W$6:$W$10005,$B284)&gt;0,1,0))</f>
        <v/>
      </c>
      <c r="M284" s="54">
        <f>N(M283)+$L284</f>
        <v/>
      </c>
      <c r="N284" s="54">
        <f>IF($B284="",0,COUNTIFS('①在庫を貼る'!$V$6:$V$10005,'設定'!$C$4,'①在庫を貼る'!$W$6:$W$10005,$B284))</f>
        <v/>
      </c>
    </row>
    <row r="285" ht="18" customHeight="1">
      <c r="B285" s="76" t="n"/>
      <c r="C285" s="77" t="n"/>
      <c r="D285" s="77" t="n"/>
      <c r="E285" s="77" t="n"/>
      <c r="F285" s="78" t="n"/>
      <c r="G285" s="79" t="n"/>
      <c r="H285" s="69" t="n"/>
      <c r="I285" s="44">
        <f>IF(OR($B285="",$H285=""),"",$H285*MAX(1,N($F285)))</f>
        <v/>
      </c>
      <c r="J285" s="80" t="n"/>
      <c r="K285" s="77" t="n"/>
      <c r="L285" s="54">
        <f>IF($B285="",0,IF(COUNTIFS('①在庫を貼る'!$V$6:$V$10005,'設定'!$C$4,'①在庫を貼る'!$W$6:$W$10005,$B285)+COUNTIFS('月1回_1ヶ月前の在庫'!$V$6:$V$10005,'設定'!$C$4,'月1回_1ヶ月前の在庫'!$W$6:$W$10005,$B285)+COUNTIFS('月1回_2ヶ月前の在庫'!$V$6:$V$10005,'設定'!$C$4,'月1回_2ヶ月前の在庫'!$W$6:$W$10005,$B285)&gt;0,1,0))</f>
        <v/>
      </c>
      <c r="M285" s="54">
        <f>N(M284)+$L285</f>
        <v/>
      </c>
      <c r="N285" s="54">
        <f>IF($B285="",0,COUNTIFS('①在庫を貼る'!$V$6:$V$10005,'設定'!$C$4,'①在庫を貼る'!$W$6:$W$10005,$B285))</f>
        <v/>
      </c>
    </row>
    <row r="286" ht="18" customHeight="1">
      <c r="B286" s="76" t="n"/>
      <c r="C286" s="77" t="n"/>
      <c r="D286" s="77" t="n"/>
      <c r="E286" s="77" t="n"/>
      <c r="F286" s="78" t="n"/>
      <c r="G286" s="79" t="n"/>
      <c r="H286" s="69" t="n"/>
      <c r="I286" s="44">
        <f>IF(OR($B286="",$H286=""),"",$H286*MAX(1,N($F286)))</f>
        <v/>
      </c>
      <c r="J286" s="80" t="n"/>
      <c r="K286" s="77" t="n"/>
      <c r="L286" s="54">
        <f>IF($B286="",0,IF(COUNTIFS('①在庫を貼る'!$V$6:$V$10005,'設定'!$C$4,'①在庫を貼る'!$W$6:$W$10005,$B286)+COUNTIFS('月1回_1ヶ月前の在庫'!$V$6:$V$10005,'設定'!$C$4,'月1回_1ヶ月前の在庫'!$W$6:$W$10005,$B286)+COUNTIFS('月1回_2ヶ月前の在庫'!$V$6:$V$10005,'設定'!$C$4,'月1回_2ヶ月前の在庫'!$W$6:$W$10005,$B286)&gt;0,1,0))</f>
        <v/>
      </c>
      <c r="M286" s="54">
        <f>N(M285)+$L286</f>
        <v/>
      </c>
      <c r="N286" s="54">
        <f>IF($B286="",0,COUNTIFS('①在庫を貼る'!$V$6:$V$10005,'設定'!$C$4,'①在庫を貼る'!$W$6:$W$10005,$B286))</f>
        <v/>
      </c>
    </row>
    <row r="287" ht="18" customHeight="1">
      <c r="B287" s="76" t="n"/>
      <c r="C287" s="77" t="n"/>
      <c r="D287" s="77" t="n"/>
      <c r="E287" s="77" t="n"/>
      <c r="F287" s="78" t="n"/>
      <c r="G287" s="79" t="n"/>
      <c r="H287" s="69" t="n"/>
      <c r="I287" s="44">
        <f>IF(OR($B287="",$H287=""),"",$H287*MAX(1,N($F287)))</f>
        <v/>
      </c>
      <c r="J287" s="80" t="n"/>
      <c r="K287" s="77" t="n"/>
      <c r="L287" s="54">
        <f>IF($B287="",0,IF(COUNTIFS('①在庫を貼る'!$V$6:$V$10005,'設定'!$C$4,'①在庫を貼る'!$W$6:$W$10005,$B287)+COUNTIFS('月1回_1ヶ月前の在庫'!$V$6:$V$10005,'設定'!$C$4,'月1回_1ヶ月前の在庫'!$W$6:$W$10005,$B287)+COUNTIFS('月1回_2ヶ月前の在庫'!$V$6:$V$10005,'設定'!$C$4,'月1回_2ヶ月前の在庫'!$W$6:$W$10005,$B287)&gt;0,1,0))</f>
        <v/>
      </c>
      <c r="M287" s="54">
        <f>N(M286)+$L287</f>
        <v/>
      </c>
      <c r="N287" s="54">
        <f>IF($B287="",0,COUNTIFS('①在庫を貼る'!$V$6:$V$10005,'設定'!$C$4,'①在庫を貼る'!$W$6:$W$10005,$B287))</f>
        <v/>
      </c>
    </row>
    <row r="288" ht="18" customHeight="1">
      <c r="B288" s="76" t="n"/>
      <c r="C288" s="77" t="n"/>
      <c r="D288" s="77" t="n"/>
      <c r="E288" s="77" t="n"/>
      <c r="F288" s="78" t="n"/>
      <c r="G288" s="79" t="n"/>
      <c r="H288" s="69" t="n"/>
      <c r="I288" s="44">
        <f>IF(OR($B288="",$H288=""),"",$H288*MAX(1,N($F288)))</f>
        <v/>
      </c>
      <c r="J288" s="80" t="n"/>
      <c r="K288" s="77" t="n"/>
      <c r="L288" s="54">
        <f>IF($B288="",0,IF(COUNTIFS('①在庫を貼る'!$V$6:$V$10005,'設定'!$C$4,'①在庫を貼る'!$W$6:$W$10005,$B288)+COUNTIFS('月1回_1ヶ月前の在庫'!$V$6:$V$10005,'設定'!$C$4,'月1回_1ヶ月前の在庫'!$W$6:$W$10005,$B288)+COUNTIFS('月1回_2ヶ月前の在庫'!$V$6:$V$10005,'設定'!$C$4,'月1回_2ヶ月前の在庫'!$W$6:$W$10005,$B288)&gt;0,1,0))</f>
        <v/>
      </c>
      <c r="M288" s="54">
        <f>N(M287)+$L288</f>
        <v/>
      </c>
      <c r="N288" s="54">
        <f>IF($B288="",0,COUNTIFS('①在庫を貼る'!$V$6:$V$10005,'設定'!$C$4,'①在庫を貼る'!$W$6:$W$10005,$B288))</f>
        <v/>
      </c>
    </row>
    <row r="289" ht="18" customHeight="1">
      <c r="B289" s="76" t="n"/>
      <c r="C289" s="77" t="n"/>
      <c r="D289" s="77" t="n"/>
      <c r="E289" s="77" t="n"/>
      <c r="F289" s="78" t="n"/>
      <c r="G289" s="79" t="n"/>
      <c r="H289" s="69" t="n"/>
      <c r="I289" s="44">
        <f>IF(OR($B289="",$H289=""),"",$H289*MAX(1,N($F289)))</f>
        <v/>
      </c>
      <c r="J289" s="80" t="n"/>
      <c r="K289" s="77" t="n"/>
      <c r="L289" s="54">
        <f>IF($B289="",0,IF(COUNTIFS('①在庫を貼る'!$V$6:$V$10005,'設定'!$C$4,'①在庫を貼る'!$W$6:$W$10005,$B289)+COUNTIFS('月1回_1ヶ月前の在庫'!$V$6:$V$10005,'設定'!$C$4,'月1回_1ヶ月前の在庫'!$W$6:$W$10005,$B289)+COUNTIFS('月1回_2ヶ月前の在庫'!$V$6:$V$10005,'設定'!$C$4,'月1回_2ヶ月前の在庫'!$W$6:$W$10005,$B289)&gt;0,1,0))</f>
        <v/>
      </c>
      <c r="M289" s="54">
        <f>N(M288)+$L289</f>
        <v/>
      </c>
      <c r="N289" s="54">
        <f>IF($B289="",0,COUNTIFS('①在庫を貼る'!$V$6:$V$10005,'設定'!$C$4,'①在庫を貼る'!$W$6:$W$10005,$B289))</f>
        <v/>
      </c>
    </row>
    <row r="290" ht="18" customHeight="1">
      <c r="B290" s="76" t="n"/>
      <c r="C290" s="77" t="n"/>
      <c r="D290" s="77" t="n"/>
      <c r="E290" s="77" t="n"/>
      <c r="F290" s="78" t="n"/>
      <c r="G290" s="79" t="n"/>
      <c r="H290" s="69" t="n"/>
      <c r="I290" s="44">
        <f>IF(OR($B290="",$H290=""),"",$H290*MAX(1,N($F290)))</f>
        <v/>
      </c>
      <c r="J290" s="80" t="n"/>
      <c r="K290" s="77" t="n"/>
      <c r="L290" s="54">
        <f>IF($B290="",0,IF(COUNTIFS('①在庫を貼る'!$V$6:$V$10005,'設定'!$C$4,'①在庫を貼る'!$W$6:$W$10005,$B290)+COUNTIFS('月1回_1ヶ月前の在庫'!$V$6:$V$10005,'設定'!$C$4,'月1回_1ヶ月前の在庫'!$W$6:$W$10005,$B290)+COUNTIFS('月1回_2ヶ月前の在庫'!$V$6:$V$10005,'設定'!$C$4,'月1回_2ヶ月前の在庫'!$W$6:$W$10005,$B290)&gt;0,1,0))</f>
        <v/>
      </c>
      <c r="M290" s="54">
        <f>N(M289)+$L290</f>
        <v/>
      </c>
      <c r="N290" s="54">
        <f>IF($B290="",0,COUNTIFS('①在庫を貼る'!$V$6:$V$10005,'設定'!$C$4,'①在庫を貼る'!$W$6:$W$10005,$B290))</f>
        <v/>
      </c>
    </row>
    <row r="291" ht="18" customHeight="1">
      <c r="B291" s="76" t="n"/>
      <c r="C291" s="77" t="n"/>
      <c r="D291" s="77" t="n"/>
      <c r="E291" s="77" t="n"/>
      <c r="F291" s="78" t="n"/>
      <c r="G291" s="79" t="n"/>
      <c r="H291" s="69" t="n"/>
      <c r="I291" s="44">
        <f>IF(OR($B291="",$H291=""),"",$H291*MAX(1,N($F291)))</f>
        <v/>
      </c>
      <c r="J291" s="80" t="n"/>
      <c r="K291" s="77" t="n"/>
      <c r="L291" s="54">
        <f>IF($B291="",0,IF(COUNTIFS('①在庫を貼る'!$V$6:$V$10005,'設定'!$C$4,'①在庫を貼る'!$W$6:$W$10005,$B291)+COUNTIFS('月1回_1ヶ月前の在庫'!$V$6:$V$10005,'設定'!$C$4,'月1回_1ヶ月前の在庫'!$W$6:$W$10005,$B291)+COUNTIFS('月1回_2ヶ月前の在庫'!$V$6:$V$10005,'設定'!$C$4,'月1回_2ヶ月前の在庫'!$W$6:$W$10005,$B291)&gt;0,1,0))</f>
        <v/>
      </c>
      <c r="M291" s="54">
        <f>N(M290)+$L291</f>
        <v/>
      </c>
      <c r="N291" s="54">
        <f>IF($B291="",0,COUNTIFS('①在庫を貼る'!$V$6:$V$10005,'設定'!$C$4,'①在庫を貼る'!$W$6:$W$10005,$B291))</f>
        <v/>
      </c>
    </row>
    <row r="292" ht="18" customHeight="1">
      <c r="B292" s="76" t="n"/>
      <c r="C292" s="77" t="n"/>
      <c r="D292" s="77" t="n"/>
      <c r="E292" s="77" t="n"/>
      <c r="F292" s="78" t="n"/>
      <c r="G292" s="79" t="n"/>
      <c r="H292" s="69" t="n"/>
      <c r="I292" s="44">
        <f>IF(OR($B292="",$H292=""),"",$H292*MAX(1,N($F292)))</f>
        <v/>
      </c>
      <c r="J292" s="80" t="n"/>
      <c r="K292" s="77" t="n"/>
      <c r="L292" s="54">
        <f>IF($B292="",0,IF(COUNTIFS('①在庫を貼る'!$V$6:$V$10005,'設定'!$C$4,'①在庫を貼る'!$W$6:$W$10005,$B292)+COUNTIFS('月1回_1ヶ月前の在庫'!$V$6:$V$10005,'設定'!$C$4,'月1回_1ヶ月前の在庫'!$W$6:$W$10005,$B292)+COUNTIFS('月1回_2ヶ月前の在庫'!$V$6:$V$10005,'設定'!$C$4,'月1回_2ヶ月前の在庫'!$W$6:$W$10005,$B292)&gt;0,1,0))</f>
        <v/>
      </c>
      <c r="M292" s="54">
        <f>N(M291)+$L292</f>
        <v/>
      </c>
      <c r="N292" s="54">
        <f>IF($B292="",0,COUNTIFS('①在庫を貼る'!$V$6:$V$10005,'設定'!$C$4,'①在庫を貼る'!$W$6:$W$10005,$B292))</f>
        <v/>
      </c>
    </row>
    <row r="293" ht="18" customHeight="1">
      <c r="B293" s="76" t="n"/>
      <c r="C293" s="77" t="n"/>
      <c r="D293" s="77" t="n"/>
      <c r="E293" s="77" t="n"/>
      <c r="F293" s="78" t="n"/>
      <c r="G293" s="79" t="n"/>
      <c r="H293" s="69" t="n"/>
      <c r="I293" s="44">
        <f>IF(OR($B293="",$H293=""),"",$H293*MAX(1,N($F293)))</f>
        <v/>
      </c>
      <c r="J293" s="80" t="n"/>
      <c r="K293" s="77" t="n"/>
      <c r="L293" s="54">
        <f>IF($B293="",0,IF(COUNTIFS('①在庫を貼る'!$V$6:$V$10005,'設定'!$C$4,'①在庫を貼る'!$W$6:$W$10005,$B293)+COUNTIFS('月1回_1ヶ月前の在庫'!$V$6:$V$10005,'設定'!$C$4,'月1回_1ヶ月前の在庫'!$W$6:$W$10005,$B293)+COUNTIFS('月1回_2ヶ月前の在庫'!$V$6:$V$10005,'設定'!$C$4,'月1回_2ヶ月前の在庫'!$W$6:$W$10005,$B293)&gt;0,1,0))</f>
        <v/>
      </c>
      <c r="M293" s="54">
        <f>N(M292)+$L293</f>
        <v/>
      </c>
      <c r="N293" s="54">
        <f>IF($B293="",0,COUNTIFS('①在庫を貼る'!$V$6:$V$10005,'設定'!$C$4,'①在庫を貼る'!$W$6:$W$10005,$B293))</f>
        <v/>
      </c>
    </row>
    <row r="294" ht="18" customHeight="1">
      <c r="B294" s="76" t="n"/>
      <c r="C294" s="77" t="n"/>
      <c r="D294" s="77" t="n"/>
      <c r="E294" s="77" t="n"/>
      <c r="F294" s="78" t="n"/>
      <c r="G294" s="79" t="n"/>
      <c r="H294" s="69" t="n"/>
      <c r="I294" s="44">
        <f>IF(OR($B294="",$H294=""),"",$H294*MAX(1,N($F294)))</f>
        <v/>
      </c>
      <c r="J294" s="80" t="n"/>
      <c r="K294" s="77" t="n"/>
      <c r="L294" s="54">
        <f>IF($B294="",0,IF(COUNTIFS('①在庫を貼る'!$V$6:$V$10005,'設定'!$C$4,'①在庫を貼る'!$W$6:$W$10005,$B294)+COUNTIFS('月1回_1ヶ月前の在庫'!$V$6:$V$10005,'設定'!$C$4,'月1回_1ヶ月前の在庫'!$W$6:$W$10005,$B294)+COUNTIFS('月1回_2ヶ月前の在庫'!$V$6:$V$10005,'設定'!$C$4,'月1回_2ヶ月前の在庫'!$W$6:$W$10005,$B294)&gt;0,1,0))</f>
        <v/>
      </c>
      <c r="M294" s="54">
        <f>N(M293)+$L294</f>
        <v/>
      </c>
      <c r="N294" s="54">
        <f>IF($B294="",0,COUNTIFS('①在庫を貼る'!$V$6:$V$10005,'設定'!$C$4,'①在庫を貼る'!$W$6:$W$10005,$B294))</f>
        <v/>
      </c>
    </row>
    <row r="295" ht="18" customHeight="1">
      <c r="B295" s="76" t="n"/>
      <c r="C295" s="77" t="n"/>
      <c r="D295" s="77" t="n"/>
      <c r="E295" s="77" t="n"/>
      <c r="F295" s="78" t="n"/>
      <c r="G295" s="79" t="n"/>
      <c r="H295" s="69" t="n"/>
      <c r="I295" s="44">
        <f>IF(OR($B295="",$H295=""),"",$H295*MAX(1,N($F295)))</f>
        <v/>
      </c>
      <c r="J295" s="80" t="n"/>
      <c r="K295" s="77" t="n"/>
      <c r="L295" s="54">
        <f>IF($B295="",0,IF(COUNTIFS('①在庫を貼る'!$V$6:$V$10005,'設定'!$C$4,'①在庫を貼る'!$W$6:$W$10005,$B295)+COUNTIFS('月1回_1ヶ月前の在庫'!$V$6:$V$10005,'設定'!$C$4,'月1回_1ヶ月前の在庫'!$W$6:$W$10005,$B295)+COUNTIFS('月1回_2ヶ月前の在庫'!$V$6:$V$10005,'設定'!$C$4,'月1回_2ヶ月前の在庫'!$W$6:$W$10005,$B295)&gt;0,1,0))</f>
        <v/>
      </c>
      <c r="M295" s="54">
        <f>N(M294)+$L295</f>
        <v/>
      </c>
      <c r="N295" s="54">
        <f>IF($B295="",0,COUNTIFS('①在庫を貼る'!$V$6:$V$10005,'設定'!$C$4,'①在庫を貼る'!$W$6:$W$10005,$B295))</f>
        <v/>
      </c>
    </row>
    <row r="296" ht="18" customHeight="1">
      <c r="B296" s="76" t="n"/>
      <c r="C296" s="77" t="n"/>
      <c r="D296" s="77" t="n"/>
      <c r="E296" s="77" t="n"/>
      <c r="F296" s="78" t="n"/>
      <c r="G296" s="79" t="n"/>
      <c r="H296" s="69" t="n"/>
      <c r="I296" s="44">
        <f>IF(OR($B296="",$H296=""),"",$H296*MAX(1,N($F296)))</f>
        <v/>
      </c>
      <c r="J296" s="80" t="n"/>
      <c r="K296" s="77" t="n"/>
      <c r="L296" s="54">
        <f>IF($B296="",0,IF(COUNTIFS('①在庫を貼る'!$V$6:$V$10005,'設定'!$C$4,'①在庫を貼る'!$W$6:$W$10005,$B296)+COUNTIFS('月1回_1ヶ月前の在庫'!$V$6:$V$10005,'設定'!$C$4,'月1回_1ヶ月前の在庫'!$W$6:$W$10005,$B296)+COUNTIFS('月1回_2ヶ月前の在庫'!$V$6:$V$10005,'設定'!$C$4,'月1回_2ヶ月前の在庫'!$W$6:$W$10005,$B296)&gt;0,1,0))</f>
        <v/>
      </c>
      <c r="M296" s="54">
        <f>N(M295)+$L296</f>
        <v/>
      </c>
      <c r="N296" s="54">
        <f>IF($B296="",0,COUNTIFS('①在庫を貼る'!$V$6:$V$10005,'設定'!$C$4,'①在庫を貼る'!$W$6:$W$10005,$B296))</f>
        <v/>
      </c>
    </row>
    <row r="297" ht="18" customHeight="1">
      <c r="B297" s="76" t="n"/>
      <c r="C297" s="77" t="n"/>
      <c r="D297" s="77" t="n"/>
      <c r="E297" s="77" t="n"/>
      <c r="F297" s="78" t="n"/>
      <c r="G297" s="79" t="n"/>
      <c r="H297" s="69" t="n"/>
      <c r="I297" s="44">
        <f>IF(OR($B297="",$H297=""),"",$H297*MAX(1,N($F297)))</f>
        <v/>
      </c>
      <c r="J297" s="80" t="n"/>
      <c r="K297" s="77" t="n"/>
      <c r="L297" s="54">
        <f>IF($B297="",0,IF(COUNTIFS('①在庫を貼る'!$V$6:$V$10005,'設定'!$C$4,'①在庫を貼る'!$W$6:$W$10005,$B297)+COUNTIFS('月1回_1ヶ月前の在庫'!$V$6:$V$10005,'設定'!$C$4,'月1回_1ヶ月前の在庫'!$W$6:$W$10005,$B297)+COUNTIFS('月1回_2ヶ月前の在庫'!$V$6:$V$10005,'設定'!$C$4,'月1回_2ヶ月前の在庫'!$W$6:$W$10005,$B297)&gt;0,1,0))</f>
        <v/>
      </c>
      <c r="M297" s="54">
        <f>N(M296)+$L297</f>
        <v/>
      </c>
      <c r="N297" s="54">
        <f>IF($B297="",0,COUNTIFS('①在庫を貼る'!$V$6:$V$10005,'設定'!$C$4,'①在庫を貼る'!$W$6:$W$10005,$B297))</f>
        <v/>
      </c>
    </row>
    <row r="298" ht="18" customHeight="1">
      <c r="B298" s="76" t="n"/>
      <c r="C298" s="77" t="n"/>
      <c r="D298" s="77" t="n"/>
      <c r="E298" s="77" t="n"/>
      <c r="F298" s="78" t="n"/>
      <c r="G298" s="79" t="n"/>
      <c r="H298" s="69" t="n"/>
      <c r="I298" s="44">
        <f>IF(OR($B298="",$H298=""),"",$H298*MAX(1,N($F298)))</f>
        <v/>
      </c>
      <c r="J298" s="80" t="n"/>
      <c r="K298" s="77" t="n"/>
      <c r="L298" s="54">
        <f>IF($B298="",0,IF(COUNTIFS('①在庫を貼る'!$V$6:$V$10005,'設定'!$C$4,'①在庫を貼る'!$W$6:$W$10005,$B298)+COUNTIFS('月1回_1ヶ月前の在庫'!$V$6:$V$10005,'設定'!$C$4,'月1回_1ヶ月前の在庫'!$W$6:$W$10005,$B298)+COUNTIFS('月1回_2ヶ月前の在庫'!$V$6:$V$10005,'設定'!$C$4,'月1回_2ヶ月前の在庫'!$W$6:$W$10005,$B298)&gt;0,1,0))</f>
        <v/>
      </c>
      <c r="M298" s="54">
        <f>N(M297)+$L298</f>
        <v/>
      </c>
      <c r="N298" s="54">
        <f>IF($B298="",0,COUNTIFS('①在庫を貼る'!$V$6:$V$10005,'設定'!$C$4,'①在庫を貼る'!$W$6:$W$10005,$B298))</f>
        <v/>
      </c>
    </row>
    <row r="299" ht="18" customHeight="1">
      <c r="B299" s="76" t="n"/>
      <c r="C299" s="77" t="n"/>
      <c r="D299" s="77" t="n"/>
      <c r="E299" s="77" t="n"/>
      <c r="F299" s="78" t="n"/>
      <c r="G299" s="79" t="n"/>
      <c r="H299" s="69" t="n"/>
      <c r="I299" s="44">
        <f>IF(OR($B299="",$H299=""),"",$H299*MAX(1,N($F299)))</f>
        <v/>
      </c>
      <c r="J299" s="80" t="n"/>
      <c r="K299" s="77" t="n"/>
      <c r="L299" s="54">
        <f>IF($B299="",0,IF(COUNTIFS('①在庫を貼る'!$V$6:$V$10005,'設定'!$C$4,'①在庫を貼る'!$W$6:$W$10005,$B299)+COUNTIFS('月1回_1ヶ月前の在庫'!$V$6:$V$10005,'設定'!$C$4,'月1回_1ヶ月前の在庫'!$W$6:$W$10005,$B299)+COUNTIFS('月1回_2ヶ月前の在庫'!$V$6:$V$10005,'設定'!$C$4,'月1回_2ヶ月前の在庫'!$W$6:$W$10005,$B299)&gt;0,1,0))</f>
        <v/>
      </c>
      <c r="M299" s="54">
        <f>N(M298)+$L299</f>
        <v/>
      </c>
      <c r="N299" s="54">
        <f>IF($B299="",0,COUNTIFS('①在庫を貼る'!$V$6:$V$10005,'設定'!$C$4,'①在庫を貼る'!$W$6:$W$10005,$B299))</f>
        <v/>
      </c>
    </row>
    <row r="300" ht="18" customHeight="1">
      <c r="B300" s="76" t="n"/>
      <c r="C300" s="77" t="n"/>
      <c r="D300" s="77" t="n"/>
      <c r="E300" s="77" t="n"/>
      <c r="F300" s="78" t="n"/>
      <c r="G300" s="79" t="n"/>
      <c r="H300" s="69" t="n"/>
      <c r="I300" s="44">
        <f>IF(OR($B300="",$H300=""),"",$H300*MAX(1,N($F300)))</f>
        <v/>
      </c>
      <c r="J300" s="80" t="n"/>
      <c r="K300" s="77" t="n"/>
      <c r="L300" s="54">
        <f>IF($B300="",0,IF(COUNTIFS('①在庫を貼る'!$V$6:$V$10005,'設定'!$C$4,'①在庫を貼る'!$W$6:$W$10005,$B300)+COUNTIFS('月1回_1ヶ月前の在庫'!$V$6:$V$10005,'設定'!$C$4,'月1回_1ヶ月前の在庫'!$W$6:$W$10005,$B300)+COUNTIFS('月1回_2ヶ月前の在庫'!$V$6:$V$10005,'設定'!$C$4,'月1回_2ヶ月前の在庫'!$W$6:$W$10005,$B300)&gt;0,1,0))</f>
        <v/>
      </c>
      <c r="M300" s="54">
        <f>N(M299)+$L300</f>
        <v/>
      </c>
      <c r="N300" s="54">
        <f>IF($B300="",0,COUNTIFS('①在庫を貼る'!$V$6:$V$10005,'設定'!$C$4,'①在庫を貼る'!$W$6:$W$10005,$B300))</f>
        <v/>
      </c>
    </row>
    <row r="301" ht="18" customHeight="1">
      <c r="B301" s="76" t="n"/>
      <c r="C301" s="77" t="n"/>
      <c r="D301" s="77" t="n"/>
      <c r="E301" s="77" t="n"/>
      <c r="F301" s="78" t="n"/>
      <c r="G301" s="79" t="n"/>
      <c r="H301" s="69" t="n"/>
      <c r="I301" s="44">
        <f>IF(OR($B301="",$H301=""),"",$H301*MAX(1,N($F301)))</f>
        <v/>
      </c>
      <c r="J301" s="80" t="n"/>
      <c r="K301" s="77" t="n"/>
      <c r="L301" s="54">
        <f>IF($B301="",0,IF(COUNTIFS('①在庫を貼る'!$V$6:$V$10005,'設定'!$C$4,'①在庫を貼る'!$W$6:$W$10005,$B301)+COUNTIFS('月1回_1ヶ月前の在庫'!$V$6:$V$10005,'設定'!$C$4,'月1回_1ヶ月前の在庫'!$W$6:$W$10005,$B301)+COUNTIFS('月1回_2ヶ月前の在庫'!$V$6:$V$10005,'設定'!$C$4,'月1回_2ヶ月前の在庫'!$W$6:$W$10005,$B301)&gt;0,1,0))</f>
        <v/>
      </c>
      <c r="M301" s="54">
        <f>N(M300)+$L301</f>
        <v/>
      </c>
      <c r="N301" s="54">
        <f>IF($B301="",0,COUNTIFS('①在庫を貼る'!$V$6:$V$10005,'設定'!$C$4,'①在庫を貼る'!$W$6:$W$10005,$B301))</f>
        <v/>
      </c>
    </row>
    <row r="302" ht="18" customHeight="1">
      <c r="B302" s="76" t="n"/>
      <c r="C302" s="77" t="n"/>
      <c r="D302" s="77" t="n"/>
      <c r="E302" s="77" t="n"/>
      <c r="F302" s="78" t="n"/>
      <c r="G302" s="79" t="n"/>
      <c r="H302" s="69" t="n"/>
      <c r="I302" s="44">
        <f>IF(OR($B302="",$H302=""),"",$H302*MAX(1,N($F302)))</f>
        <v/>
      </c>
      <c r="J302" s="80" t="n"/>
      <c r="K302" s="77" t="n"/>
      <c r="L302" s="54">
        <f>IF($B302="",0,IF(COUNTIFS('①在庫を貼る'!$V$6:$V$10005,'設定'!$C$4,'①在庫を貼る'!$W$6:$W$10005,$B302)+COUNTIFS('月1回_1ヶ月前の在庫'!$V$6:$V$10005,'設定'!$C$4,'月1回_1ヶ月前の在庫'!$W$6:$W$10005,$B302)+COUNTIFS('月1回_2ヶ月前の在庫'!$V$6:$V$10005,'設定'!$C$4,'月1回_2ヶ月前の在庫'!$W$6:$W$10005,$B302)&gt;0,1,0))</f>
        <v/>
      </c>
      <c r="M302" s="54">
        <f>N(M301)+$L302</f>
        <v/>
      </c>
      <c r="N302" s="54">
        <f>IF($B302="",0,COUNTIFS('①在庫を貼る'!$V$6:$V$10005,'設定'!$C$4,'①在庫を貼る'!$W$6:$W$10005,$B302))</f>
        <v/>
      </c>
    </row>
    <row r="303" ht="18" customHeight="1">
      <c r="B303" s="76" t="n"/>
      <c r="C303" s="77" t="n"/>
      <c r="D303" s="77" t="n"/>
      <c r="E303" s="77" t="n"/>
      <c r="F303" s="78" t="n"/>
      <c r="G303" s="79" t="n"/>
      <c r="H303" s="69" t="n"/>
      <c r="I303" s="44">
        <f>IF(OR($B303="",$H303=""),"",$H303*MAX(1,N($F303)))</f>
        <v/>
      </c>
      <c r="J303" s="80" t="n"/>
      <c r="K303" s="77" t="n"/>
      <c r="L303" s="54">
        <f>IF($B303="",0,IF(COUNTIFS('①在庫を貼る'!$V$6:$V$10005,'設定'!$C$4,'①在庫を貼る'!$W$6:$W$10005,$B303)+COUNTIFS('月1回_1ヶ月前の在庫'!$V$6:$V$10005,'設定'!$C$4,'月1回_1ヶ月前の在庫'!$W$6:$W$10005,$B303)+COUNTIFS('月1回_2ヶ月前の在庫'!$V$6:$V$10005,'設定'!$C$4,'月1回_2ヶ月前の在庫'!$W$6:$W$10005,$B303)&gt;0,1,0))</f>
        <v/>
      </c>
      <c r="M303" s="54">
        <f>N(M302)+$L303</f>
        <v/>
      </c>
      <c r="N303" s="54">
        <f>IF($B303="",0,COUNTIFS('①在庫を貼る'!$V$6:$V$10005,'設定'!$C$4,'①在庫を貼る'!$W$6:$W$10005,$B303))</f>
        <v/>
      </c>
    </row>
    <row r="304" ht="18" customHeight="1">
      <c r="B304" s="76" t="n"/>
      <c r="C304" s="77" t="n"/>
      <c r="D304" s="77" t="n"/>
      <c r="E304" s="77" t="n"/>
      <c r="F304" s="78" t="n"/>
      <c r="G304" s="79" t="n"/>
      <c r="H304" s="69" t="n"/>
      <c r="I304" s="44">
        <f>IF(OR($B304="",$H304=""),"",$H304*MAX(1,N($F304)))</f>
        <v/>
      </c>
      <c r="J304" s="80" t="n"/>
      <c r="K304" s="77" t="n"/>
      <c r="L304" s="54">
        <f>IF($B304="",0,IF(COUNTIFS('①在庫を貼る'!$V$6:$V$10005,'設定'!$C$4,'①在庫を貼る'!$W$6:$W$10005,$B304)+COUNTIFS('月1回_1ヶ月前の在庫'!$V$6:$V$10005,'設定'!$C$4,'月1回_1ヶ月前の在庫'!$W$6:$W$10005,$B304)+COUNTIFS('月1回_2ヶ月前の在庫'!$V$6:$V$10005,'設定'!$C$4,'月1回_2ヶ月前の在庫'!$W$6:$W$10005,$B304)&gt;0,1,0))</f>
        <v/>
      </c>
      <c r="M304" s="54">
        <f>N(M303)+$L304</f>
        <v/>
      </c>
      <c r="N304" s="54">
        <f>IF($B304="",0,COUNTIFS('①在庫を貼る'!$V$6:$V$10005,'設定'!$C$4,'①在庫を貼る'!$W$6:$W$10005,$B304))</f>
        <v/>
      </c>
    </row>
    <row r="305" ht="18" customHeight="1">
      <c r="B305" s="76" t="n"/>
      <c r="C305" s="77" t="n"/>
      <c r="D305" s="77" t="n"/>
      <c r="E305" s="77" t="n"/>
      <c r="F305" s="78" t="n"/>
      <c r="G305" s="79" t="n"/>
      <c r="H305" s="69" t="n"/>
      <c r="I305" s="44">
        <f>IF(OR($B305="",$H305=""),"",$H305*MAX(1,N($F305)))</f>
        <v/>
      </c>
      <c r="J305" s="80" t="n"/>
      <c r="K305" s="77" t="n"/>
      <c r="L305" s="54">
        <f>IF($B305="",0,IF(COUNTIFS('①在庫を貼る'!$V$6:$V$10005,'設定'!$C$4,'①在庫を貼る'!$W$6:$W$10005,$B305)+COUNTIFS('月1回_1ヶ月前の在庫'!$V$6:$V$10005,'設定'!$C$4,'月1回_1ヶ月前の在庫'!$W$6:$W$10005,$B305)+COUNTIFS('月1回_2ヶ月前の在庫'!$V$6:$V$10005,'設定'!$C$4,'月1回_2ヶ月前の在庫'!$W$6:$W$10005,$B305)&gt;0,1,0))</f>
        <v/>
      </c>
      <c r="M305" s="54">
        <f>N(M304)+$L305</f>
        <v/>
      </c>
      <c r="N305" s="54">
        <f>IF($B305="",0,COUNTIFS('①在庫を貼る'!$V$6:$V$10005,'設定'!$C$4,'①在庫を貼る'!$W$6:$W$10005,$B305))</f>
        <v/>
      </c>
    </row>
    <row r="306" ht="18" customHeight="1">
      <c r="B306" s="76" t="n"/>
      <c r="C306" s="77" t="n"/>
      <c r="D306" s="77" t="n"/>
      <c r="E306" s="77" t="n"/>
      <c r="F306" s="78" t="n"/>
      <c r="G306" s="79" t="n"/>
      <c r="H306" s="69" t="n"/>
      <c r="I306" s="44">
        <f>IF(OR($B306="",$H306=""),"",$H306*MAX(1,N($F306)))</f>
        <v/>
      </c>
      <c r="J306" s="80" t="n"/>
      <c r="K306" s="77" t="n"/>
      <c r="L306" s="54">
        <f>IF($B306="",0,IF(COUNTIFS('①在庫を貼る'!$V$6:$V$10005,'設定'!$C$4,'①在庫を貼る'!$W$6:$W$10005,$B306)+COUNTIFS('月1回_1ヶ月前の在庫'!$V$6:$V$10005,'設定'!$C$4,'月1回_1ヶ月前の在庫'!$W$6:$W$10005,$B306)+COUNTIFS('月1回_2ヶ月前の在庫'!$V$6:$V$10005,'設定'!$C$4,'月1回_2ヶ月前の在庫'!$W$6:$W$10005,$B306)&gt;0,1,0))</f>
        <v/>
      </c>
      <c r="M306" s="54">
        <f>N(M305)+$L306</f>
        <v/>
      </c>
      <c r="N306" s="54">
        <f>IF($B306="",0,COUNTIFS('①在庫を貼る'!$V$6:$V$10005,'設定'!$C$4,'①在庫を貼る'!$W$6:$W$10005,$B306))</f>
        <v/>
      </c>
    </row>
    <row r="307" ht="18" customHeight="1">
      <c r="B307" s="76" t="n"/>
      <c r="C307" s="77" t="n"/>
      <c r="D307" s="77" t="n"/>
      <c r="E307" s="77" t="n"/>
      <c r="F307" s="78" t="n"/>
      <c r="G307" s="79" t="n"/>
      <c r="H307" s="69" t="n"/>
      <c r="I307" s="44">
        <f>IF(OR($B307="",$H307=""),"",$H307*MAX(1,N($F307)))</f>
        <v/>
      </c>
      <c r="J307" s="80" t="n"/>
      <c r="K307" s="77" t="n"/>
      <c r="L307" s="54">
        <f>IF($B307="",0,IF(COUNTIFS('①在庫を貼る'!$V$6:$V$10005,'設定'!$C$4,'①在庫を貼る'!$W$6:$W$10005,$B307)+COUNTIFS('月1回_1ヶ月前の在庫'!$V$6:$V$10005,'設定'!$C$4,'月1回_1ヶ月前の在庫'!$W$6:$W$10005,$B307)+COUNTIFS('月1回_2ヶ月前の在庫'!$V$6:$V$10005,'設定'!$C$4,'月1回_2ヶ月前の在庫'!$W$6:$W$10005,$B307)&gt;0,1,0))</f>
        <v/>
      </c>
      <c r="M307" s="54">
        <f>N(M306)+$L307</f>
        <v/>
      </c>
      <c r="N307" s="54">
        <f>IF($B307="",0,COUNTIFS('①在庫を貼る'!$V$6:$V$10005,'設定'!$C$4,'①在庫を貼る'!$W$6:$W$10005,$B307))</f>
        <v/>
      </c>
    </row>
    <row r="308" ht="18" customHeight="1">
      <c r="B308" s="76" t="n"/>
      <c r="C308" s="77" t="n"/>
      <c r="D308" s="77" t="n"/>
      <c r="E308" s="77" t="n"/>
      <c r="F308" s="78" t="n"/>
      <c r="G308" s="79" t="n"/>
      <c r="H308" s="69" t="n"/>
      <c r="I308" s="44">
        <f>IF(OR($B308="",$H308=""),"",$H308*MAX(1,N($F308)))</f>
        <v/>
      </c>
      <c r="J308" s="80" t="n"/>
      <c r="K308" s="77" t="n"/>
      <c r="L308" s="54">
        <f>IF($B308="",0,IF(COUNTIFS('①在庫を貼る'!$V$6:$V$10005,'設定'!$C$4,'①在庫を貼る'!$W$6:$W$10005,$B308)+COUNTIFS('月1回_1ヶ月前の在庫'!$V$6:$V$10005,'設定'!$C$4,'月1回_1ヶ月前の在庫'!$W$6:$W$10005,$B308)+COUNTIFS('月1回_2ヶ月前の在庫'!$V$6:$V$10005,'設定'!$C$4,'月1回_2ヶ月前の在庫'!$W$6:$W$10005,$B308)&gt;0,1,0))</f>
        <v/>
      </c>
      <c r="M308" s="54">
        <f>N(M307)+$L308</f>
        <v/>
      </c>
      <c r="N308" s="54">
        <f>IF($B308="",0,COUNTIFS('①在庫を貼る'!$V$6:$V$10005,'設定'!$C$4,'①在庫を貼る'!$W$6:$W$10005,$B308))</f>
        <v/>
      </c>
    </row>
    <row r="309" ht="18" customHeight="1">
      <c r="B309" s="76" t="n"/>
      <c r="C309" s="77" t="n"/>
      <c r="D309" s="77" t="n"/>
      <c r="E309" s="77" t="n"/>
      <c r="F309" s="78" t="n"/>
      <c r="G309" s="79" t="n"/>
      <c r="H309" s="69" t="n"/>
      <c r="I309" s="44">
        <f>IF(OR($B309="",$H309=""),"",$H309*MAX(1,N($F309)))</f>
        <v/>
      </c>
      <c r="J309" s="80" t="n"/>
      <c r="K309" s="77" t="n"/>
      <c r="L309" s="54">
        <f>IF($B309="",0,IF(COUNTIFS('①在庫を貼る'!$V$6:$V$10005,'設定'!$C$4,'①在庫を貼る'!$W$6:$W$10005,$B309)+COUNTIFS('月1回_1ヶ月前の在庫'!$V$6:$V$10005,'設定'!$C$4,'月1回_1ヶ月前の在庫'!$W$6:$W$10005,$B309)+COUNTIFS('月1回_2ヶ月前の在庫'!$V$6:$V$10005,'設定'!$C$4,'月1回_2ヶ月前の在庫'!$W$6:$W$10005,$B309)&gt;0,1,0))</f>
        <v/>
      </c>
      <c r="M309" s="54">
        <f>N(M308)+$L309</f>
        <v/>
      </c>
      <c r="N309" s="54">
        <f>IF($B309="",0,COUNTIFS('①在庫を貼る'!$V$6:$V$10005,'設定'!$C$4,'①在庫を貼る'!$W$6:$W$10005,$B309))</f>
        <v/>
      </c>
    </row>
    <row r="310" ht="18" customHeight="1">
      <c r="B310" s="76" t="n"/>
      <c r="C310" s="77" t="n"/>
      <c r="D310" s="77" t="n"/>
      <c r="E310" s="77" t="n"/>
      <c r="F310" s="78" t="n"/>
      <c r="G310" s="79" t="n"/>
      <c r="H310" s="69" t="n"/>
      <c r="I310" s="44">
        <f>IF(OR($B310="",$H310=""),"",$H310*MAX(1,N($F310)))</f>
        <v/>
      </c>
      <c r="J310" s="80" t="n"/>
      <c r="K310" s="77" t="n"/>
      <c r="L310" s="54">
        <f>IF($B310="",0,IF(COUNTIFS('①在庫を貼る'!$V$6:$V$10005,'設定'!$C$4,'①在庫を貼る'!$W$6:$W$10005,$B310)+COUNTIFS('月1回_1ヶ月前の在庫'!$V$6:$V$10005,'設定'!$C$4,'月1回_1ヶ月前の在庫'!$W$6:$W$10005,$B310)+COUNTIFS('月1回_2ヶ月前の在庫'!$V$6:$V$10005,'設定'!$C$4,'月1回_2ヶ月前の在庫'!$W$6:$W$10005,$B310)&gt;0,1,0))</f>
        <v/>
      </c>
      <c r="M310" s="54">
        <f>N(M309)+$L310</f>
        <v/>
      </c>
      <c r="N310" s="54">
        <f>IF($B310="",0,COUNTIFS('①在庫を貼る'!$V$6:$V$10005,'設定'!$C$4,'①在庫を貼る'!$W$6:$W$10005,$B310))</f>
        <v/>
      </c>
    </row>
    <row r="311" ht="18" customHeight="1">
      <c r="B311" s="76" t="n"/>
      <c r="C311" s="77" t="n"/>
      <c r="D311" s="77" t="n"/>
      <c r="E311" s="77" t="n"/>
      <c r="F311" s="78" t="n"/>
      <c r="G311" s="79" t="n"/>
      <c r="H311" s="69" t="n"/>
      <c r="I311" s="44">
        <f>IF(OR($B311="",$H311=""),"",$H311*MAX(1,N($F311)))</f>
        <v/>
      </c>
      <c r="J311" s="80" t="n"/>
      <c r="K311" s="77" t="n"/>
      <c r="L311" s="54">
        <f>IF($B311="",0,IF(COUNTIFS('①在庫を貼る'!$V$6:$V$10005,'設定'!$C$4,'①在庫を貼る'!$W$6:$W$10005,$B311)+COUNTIFS('月1回_1ヶ月前の在庫'!$V$6:$V$10005,'設定'!$C$4,'月1回_1ヶ月前の在庫'!$W$6:$W$10005,$B311)+COUNTIFS('月1回_2ヶ月前の在庫'!$V$6:$V$10005,'設定'!$C$4,'月1回_2ヶ月前の在庫'!$W$6:$W$10005,$B311)&gt;0,1,0))</f>
        <v/>
      </c>
      <c r="M311" s="54">
        <f>N(M310)+$L311</f>
        <v/>
      </c>
      <c r="N311" s="54">
        <f>IF($B311="",0,COUNTIFS('①在庫を貼る'!$V$6:$V$10005,'設定'!$C$4,'①在庫を貼る'!$W$6:$W$10005,$B311))</f>
        <v/>
      </c>
    </row>
    <row r="312" ht="18" customHeight="1">
      <c r="B312" s="76" t="n"/>
      <c r="C312" s="77" t="n"/>
      <c r="D312" s="77" t="n"/>
      <c r="E312" s="77" t="n"/>
      <c r="F312" s="78" t="n"/>
      <c r="G312" s="79" t="n"/>
      <c r="H312" s="69" t="n"/>
      <c r="I312" s="44">
        <f>IF(OR($B312="",$H312=""),"",$H312*MAX(1,N($F312)))</f>
        <v/>
      </c>
      <c r="J312" s="80" t="n"/>
      <c r="K312" s="77" t="n"/>
      <c r="L312" s="54">
        <f>IF($B312="",0,IF(COUNTIFS('①在庫を貼る'!$V$6:$V$10005,'設定'!$C$4,'①在庫を貼る'!$W$6:$W$10005,$B312)+COUNTIFS('月1回_1ヶ月前の在庫'!$V$6:$V$10005,'設定'!$C$4,'月1回_1ヶ月前の在庫'!$W$6:$W$10005,$B312)+COUNTIFS('月1回_2ヶ月前の在庫'!$V$6:$V$10005,'設定'!$C$4,'月1回_2ヶ月前の在庫'!$W$6:$W$10005,$B312)&gt;0,1,0))</f>
        <v/>
      </c>
      <c r="M312" s="54">
        <f>N(M311)+$L312</f>
        <v/>
      </c>
      <c r="N312" s="54">
        <f>IF($B312="",0,COUNTIFS('①在庫を貼る'!$V$6:$V$10005,'設定'!$C$4,'①在庫を貼る'!$W$6:$W$10005,$B312))</f>
        <v/>
      </c>
    </row>
    <row r="313" ht="18" customHeight="1">
      <c r="B313" s="76" t="n"/>
      <c r="C313" s="77" t="n"/>
      <c r="D313" s="77" t="n"/>
      <c r="E313" s="77" t="n"/>
      <c r="F313" s="78" t="n"/>
      <c r="G313" s="79" t="n"/>
      <c r="H313" s="69" t="n"/>
      <c r="I313" s="44">
        <f>IF(OR($B313="",$H313=""),"",$H313*MAX(1,N($F313)))</f>
        <v/>
      </c>
      <c r="J313" s="80" t="n"/>
      <c r="K313" s="77" t="n"/>
      <c r="L313" s="54">
        <f>IF($B313="",0,IF(COUNTIFS('①在庫を貼る'!$V$6:$V$10005,'設定'!$C$4,'①在庫を貼る'!$W$6:$W$10005,$B313)+COUNTIFS('月1回_1ヶ月前の在庫'!$V$6:$V$10005,'設定'!$C$4,'月1回_1ヶ月前の在庫'!$W$6:$W$10005,$B313)+COUNTIFS('月1回_2ヶ月前の在庫'!$V$6:$V$10005,'設定'!$C$4,'月1回_2ヶ月前の在庫'!$W$6:$W$10005,$B313)&gt;0,1,0))</f>
        <v/>
      </c>
      <c r="M313" s="54">
        <f>N(M312)+$L313</f>
        <v/>
      </c>
      <c r="N313" s="54">
        <f>IF($B313="",0,COUNTIFS('①在庫を貼る'!$V$6:$V$10005,'設定'!$C$4,'①在庫を貼る'!$W$6:$W$10005,$B313))</f>
        <v/>
      </c>
    </row>
    <row r="314" ht="18" customHeight="1">
      <c r="B314" s="76" t="n"/>
      <c r="C314" s="77" t="n"/>
      <c r="D314" s="77" t="n"/>
      <c r="E314" s="77" t="n"/>
      <c r="F314" s="78" t="n"/>
      <c r="G314" s="79" t="n"/>
      <c r="H314" s="69" t="n"/>
      <c r="I314" s="44">
        <f>IF(OR($B314="",$H314=""),"",$H314*MAX(1,N($F314)))</f>
        <v/>
      </c>
      <c r="J314" s="80" t="n"/>
      <c r="K314" s="77" t="n"/>
      <c r="L314" s="54">
        <f>IF($B314="",0,IF(COUNTIFS('①在庫を貼る'!$V$6:$V$10005,'設定'!$C$4,'①在庫を貼る'!$W$6:$W$10005,$B314)+COUNTIFS('月1回_1ヶ月前の在庫'!$V$6:$V$10005,'設定'!$C$4,'月1回_1ヶ月前の在庫'!$W$6:$W$10005,$B314)+COUNTIFS('月1回_2ヶ月前の在庫'!$V$6:$V$10005,'設定'!$C$4,'月1回_2ヶ月前の在庫'!$W$6:$W$10005,$B314)&gt;0,1,0))</f>
        <v/>
      </c>
      <c r="M314" s="54">
        <f>N(M313)+$L314</f>
        <v/>
      </c>
      <c r="N314" s="54">
        <f>IF($B314="",0,COUNTIFS('①在庫を貼る'!$V$6:$V$10005,'設定'!$C$4,'①在庫を貼る'!$W$6:$W$10005,$B314))</f>
        <v/>
      </c>
    </row>
    <row r="315" ht="18" customHeight="1">
      <c r="B315" s="76" t="n"/>
      <c r="C315" s="77" t="n"/>
      <c r="D315" s="77" t="n"/>
      <c r="E315" s="77" t="n"/>
      <c r="F315" s="78" t="n"/>
      <c r="G315" s="79" t="n"/>
      <c r="H315" s="69" t="n"/>
      <c r="I315" s="44">
        <f>IF(OR($B315="",$H315=""),"",$H315*MAX(1,N($F315)))</f>
        <v/>
      </c>
      <c r="J315" s="80" t="n"/>
      <c r="K315" s="77" t="n"/>
      <c r="L315" s="54">
        <f>IF($B315="",0,IF(COUNTIFS('①在庫を貼る'!$V$6:$V$10005,'設定'!$C$4,'①在庫を貼る'!$W$6:$W$10005,$B315)+COUNTIFS('月1回_1ヶ月前の在庫'!$V$6:$V$10005,'設定'!$C$4,'月1回_1ヶ月前の在庫'!$W$6:$W$10005,$B315)+COUNTIFS('月1回_2ヶ月前の在庫'!$V$6:$V$10005,'設定'!$C$4,'月1回_2ヶ月前の在庫'!$W$6:$W$10005,$B315)&gt;0,1,0))</f>
        <v/>
      </c>
      <c r="M315" s="54">
        <f>N(M314)+$L315</f>
        <v/>
      </c>
      <c r="N315" s="54">
        <f>IF($B315="",0,COUNTIFS('①在庫を貼る'!$V$6:$V$10005,'設定'!$C$4,'①在庫を貼る'!$W$6:$W$10005,$B315))</f>
        <v/>
      </c>
    </row>
    <row r="316" ht="18" customHeight="1">
      <c r="B316" s="76" t="n"/>
      <c r="C316" s="77" t="n"/>
      <c r="D316" s="77" t="n"/>
      <c r="E316" s="77" t="n"/>
      <c r="F316" s="78" t="n"/>
      <c r="G316" s="79" t="n"/>
      <c r="H316" s="69" t="n"/>
      <c r="I316" s="44">
        <f>IF(OR($B316="",$H316=""),"",$H316*MAX(1,N($F316)))</f>
        <v/>
      </c>
      <c r="J316" s="80" t="n"/>
      <c r="K316" s="77" t="n"/>
      <c r="L316" s="54">
        <f>IF($B316="",0,IF(COUNTIFS('①在庫を貼る'!$V$6:$V$10005,'設定'!$C$4,'①在庫を貼る'!$W$6:$W$10005,$B316)+COUNTIFS('月1回_1ヶ月前の在庫'!$V$6:$V$10005,'設定'!$C$4,'月1回_1ヶ月前の在庫'!$W$6:$W$10005,$B316)+COUNTIFS('月1回_2ヶ月前の在庫'!$V$6:$V$10005,'設定'!$C$4,'月1回_2ヶ月前の在庫'!$W$6:$W$10005,$B316)&gt;0,1,0))</f>
        <v/>
      </c>
      <c r="M316" s="54">
        <f>N(M315)+$L316</f>
        <v/>
      </c>
      <c r="N316" s="54">
        <f>IF($B316="",0,COUNTIFS('①在庫を貼る'!$V$6:$V$10005,'設定'!$C$4,'①在庫を貼る'!$W$6:$W$10005,$B316))</f>
        <v/>
      </c>
    </row>
    <row r="317" ht="18" customHeight="1">
      <c r="B317" s="76" t="n"/>
      <c r="C317" s="77" t="n"/>
      <c r="D317" s="77" t="n"/>
      <c r="E317" s="77" t="n"/>
      <c r="F317" s="78" t="n"/>
      <c r="G317" s="79" t="n"/>
      <c r="H317" s="69" t="n"/>
      <c r="I317" s="44">
        <f>IF(OR($B317="",$H317=""),"",$H317*MAX(1,N($F317)))</f>
        <v/>
      </c>
      <c r="J317" s="80" t="n"/>
      <c r="K317" s="77" t="n"/>
      <c r="L317" s="54">
        <f>IF($B317="",0,IF(COUNTIFS('①在庫を貼る'!$V$6:$V$10005,'設定'!$C$4,'①在庫を貼る'!$W$6:$W$10005,$B317)+COUNTIFS('月1回_1ヶ月前の在庫'!$V$6:$V$10005,'設定'!$C$4,'月1回_1ヶ月前の在庫'!$W$6:$W$10005,$B317)+COUNTIFS('月1回_2ヶ月前の在庫'!$V$6:$V$10005,'設定'!$C$4,'月1回_2ヶ月前の在庫'!$W$6:$W$10005,$B317)&gt;0,1,0))</f>
        <v/>
      </c>
      <c r="M317" s="54">
        <f>N(M316)+$L317</f>
        <v/>
      </c>
      <c r="N317" s="54">
        <f>IF($B317="",0,COUNTIFS('①在庫を貼る'!$V$6:$V$10005,'設定'!$C$4,'①在庫を貼る'!$W$6:$W$10005,$B317))</f>
        <v/>
      </c>
    </row>
    <row r="318" ht="18" customHeight="1">
      <c r="B318" s="76" t="n"/>
      <c r="C318" s="77" t="n"/>
      <c r="D318" s="77" t="n"/>
      <c r="E318" s="77" t="n"/>
      <c r="F318" s="78" t="n"/>
      <c r="G318" s="79" t="n"/>
      <c r="H318" s="69" t="n"/>
      <c r="I318" s="44">
        <f>IF(OR($B318="",$H318=""),"",$H318*MAX(1,N($F318)))</f>
        <v/>
      </c>
      <c r="J318" s="80" t="n"/>
      <c r="K318" s="77" t="n"/>
      <c r="L318" s="54">
        <f>IF($B318="",0,IF(COUNTIFS('①在庫を貼る'!$V$6:$V$10005,'設定'!$C$4,'①在庫を貼る'!$W$6:$W$10005,$B318)+COUNTIFS('月1回_1ヶ月前の在庫'!$V$6:$V$10005,'設定'!$C$4,'月1回_1ヶ月前の在庫'!$W$6:$W$10005,$B318)+COUNTIFS('月1回_2ヶ月前の在庫'!$V$6:$V$10005,'設定'!$C$4,'月1回_2ヶ月前の在庫'!$W$6:$W$10005,$B318)&gt;0,1,0))</f>
        <v/>
      </c>
      <c r="M318" s="54">
        <f>N(M317)+$L318</f>
        <v/>
      </c>
      <c r="N318" s="54">
        <f>IF($B318="",0,COUNTIFS('①在庫を貼る'!$V$6:$V$10005,'設定'!$C$4,'①在庫を貼る'!$W$6:$W$10005,$B318))</f>
        <v/>
      </c>
    </row>
    <row r="319" ht="18" customHeight="1">
      <c r="B319" s="76" t="n"/>
      <c r="C319" s="77" t="n"/>
      <c r="D319" s="77" t="n"/>
      <c r="E319" s="77" t="n"/>
      <c r="F319" s="78" t="n"/>
      <c r="G319" s="79" t="n"/>
      <c r="H319" s="69" t="n"/>
      <c r="I319" s="44">
        <f>IF(OR($B319="",$H319=""),"",$H319*MAX(1,N($F319)))</f>
        <v/>
      </c>
      <c r="J319" s="80" t="n"/>
      <c r="K319" s="77" t="n"/>
      <c r="L319" s="54">
        <f>IF($B319="",0,IF(COUNTIFS('①在庫を貼る'!$V$6:$V$10005,'設定'!$C$4,'①在庫を貼る'!$W$6:$W$10005,$B319)+COUNTIFS('月1回_1ヶ月前の在庫'!$V$6:$V$10005,'設定'!$C$4,'月1回_1ヶ月前の在庫'!$W$6:$W$10005,$B319)+COUNTIFS('月1回_2ヶ月前の在庫'!$V$6:$V$10005,'設定'!$C$4,'月1回_2ヶ月前の在庫'!$W$6:$W$10005,$B319)&gt;0,1,0))</f>
        <v/>
      </c>
      <c r="M319" s="54">
        <f>N(M318)+$L319</f>
        <v/>
      </c>
      <c r="N319" s="54">
        <f>IF($B319="",0,COUNTIFS('①在庫を貼る'!$V$6:$V$10005,'設定'!$C$4,'①在庫を貼る'!$W$6:$W$10005,$B319))</f>
        <v/>
      </c>
    </row>
    <row r="320" ht="18" customHeight="1">
      <c r="B320" s="76" t="n"/>
      <c r="C320" s="77" t="n"/>
      <c r="D320" s="77" t="n"/>
      <c r="E320" s="77" t="n"/>
      <c r="F320" s="78" t="n"/>
      <c r="G320" s="79" t="n"/>
      <c r="H320" s="69" t="n"/>
      <c r="I320" s="44">
        <f>IF(OR($B320="",$H320=""),"",$H320*MAX(1,N($F320)))</f>
        <v/>
      </c>
      <c r="J320" s="80" t="n"/>
      <c r="K320" s="77" t="n"/>
      <c r="L320" s="54">
        <f>IF($B320="",0,IF(COUNTIFS('①在庫を貼る'!$V$6:$V$10005,'設定'!$C$4,'①在庫を貼る'!$W$6:$W$10005,$B320)+COUNTIFS('月1回_1ヶ月前の在庫'!$V$6:$V$10005,'設定'!$C$4,'月1回_1ヶ月前の在庫'!$W$6:$W$10005,$B320)+COUNTIFS('月1回_2ヶ月前の在庫'!$V$6:$V$10005,'設定'!$C$4,'月1回_2ヶ月前の在庫'!$W$6:$W$10005,$B320)&gt;0,1,0))</f>
        <v/>
      </c>
      <c r="M320" s="54">
        <f>N(M319)+$L320</f>
        <v/>
      </c>
      <c r="N320" s="54">
        <f>IF($B320="",0,COUNTIFS('①在庫を貼る'!$V$6:$V$10005,'設定'!$C$4,'①在庫を貼る'!$W$6:$W$10005,$B320))</f>
        <v/>
      </c>
    </row>
    <row r="321" ht="18" customHeight="1">
      <c r="B321" s="76" t="n"/>
      <c r="C321" s="77" t="n"/>
      <c r="D321" s="77" t="n"/>
      <c r="E321" s="77" t="n"/>
      <c r="F321" s="78" t="n"/>
      <c r="G321" s="79" t="n"/>
      <c r="H321" s="69" t="n"/>
      <c r="I321" s="44">
        <f>IF(OR($B321="",$H321=""),"",$H321*MAX(1,N($F321)))</f>
        <v/>
      </c>
      <c r="J321" s="80" t="n"/>
      <c r="K321" s="77" t="n"/>
      <c r="L321" s="54">
        <f>IF($B321="",0,IF(COUNTIFS('①在庫を貼る'!$V$6:$V$10005,'設定'!$C$4,'①在庫を貼る'!$W$6:$W$10005,$B321)+COUNTIFS('月1回_1ヶ月前の在庫'!$V$6:$V$10005,'設定'!$C$4,'月1回_1ヶ月前の在庫'!$W$6:$W$10005,$B321)+COUNTIFS('月1回_2ヶ月前の在庫'!$V$6:$V$10005,'設定'!$C$4,'月1回_2ヶ月前の在庫'!$W$6:$W$10005,$B321)&gt;0,1,0))</f>
        <v/>
      </c>
      <c r="M321" s="54">
        <f>N(M320)+$L321</f>
        <v/>
      </c>
      <c r="N321" s="54">
        <f>IF($B321="",0,COUNTIFS('①在庫を貼る'!$V$6:$V$10005,'設定'!$C$4,'①在庫を貼る'!$W$6:$W$10005,$B321))</f>
        <v/>
      </c>
    </row>
    <row r="322" ht="18" customHeight="1">
      <c r="B322" s="76" t="n"/>
      <c r="C322" s="77" t="n"/>
      <c r="D322" s="77" t="n"/>
      <c r="E322" s="77" t="n"/>
      <c r="F322" s="78" t="n"/>
      <c r="G322" s="79" t="n"/>
      <c r="H322" s="69" t="n"/>
      <c r="I322" s="44">
        <f>IF(OR($B322="",$H322=""),"",$H322*MAX(1,N($F322)))</f>
        <v/>
      </c>
      <c r="J322" s="80" t="n"/>
      <c r="K322" s="77" t="n"/>
      <c r="L322" s="54">
        <f>IF($B322="",0,IF(COUNTIFS('①在庫を貼る'!$V$6:$V$10005,'設定'!$C$4,'①在庫を貼る'!$W$6:$W$10005,$B322)+COUNTIFS('月1回_1ヶ月前の在庫'!$V$6:$V$10005,'設定'!$C$4,'月1回_1ヶ月前の在庫'!$W$6:$W$10005,$B322)+COUNTIFS('月1回_2ヶ月前の在庫'!$V$6:$V$10005,'設定'!$C$4,'月1回_2ヶ月前の在庫'!$W$6:$W$10005,$B322)&gt;0,1,0))</f>
        <v/>
      </c>
      <c r="M322" s="54">
        <f>N(M321)+$L322</f>
        <v/>
      </c>
      <c r="N322" s="54">
        <f>IF($B322="",0,COUNTIFS('①在庫を貼る'!$V$6:$V$10005,'設定'!$C$4,'①在庫を貼る'!$W$6:$W$10005,$B322))</f>
        <v/>
      </c>
    </row>
    <row r="323" ht="18" customHeight="1">
      <c r="B323" s="76" t="n"/>
      <c r="C323" s="77" t="n"/>
      <c r="D323" s="77" t="n"/>
      <c r="E323" s="77" t="n"/>
      <c r="F323" s="78" t="n"/>
      <c r="G323" s="79" t="n"/>
      <c r="H323" s="69" t="n"/>
      <c r="I323" s="44">
        <f>IF(OR($B323="",$H323=""),"",$H323*MAX(1,N($F323)))</f>
        <v/>
      </c>
      <c r="J323" s="80" t="n"/>
      <c r="K323" s="77" t="n"/>
      <c r="L323" s="54">
        <f>IF($B323="",0,IF(COUNTIFS('①在庫を貼る'!$V$6:$V$10005,'設定'!$C$4,'①在庫を貼る'!$W$6:$W$10005,$B323)+COUNTIFS('月1回_1ヶ月前の在庫'!$V$6:$V$10005,'設定'!$C$4,'月1回_1ヶ月前の在庫'!$W$6:$W$10005,$B323)+COUNTIFS('月1回_2ヶ月前の在庫'!$V$6:$V$10005,'設定'!$C$4,'月1回_2ヶ月前の在庫'!$W$6:$W$10005,$B323)&gt;0,1,0))</f>
        <v/>
      </c>
      <c r="M323" s="54">
        <f>N(M322)+$L323</f>
        <v/>
      </c>
      <c r="N323" s="54">
        <f>IF($B323="",0,COUNTIFS('①在庫を貼る'!$V$6:$V$10005,'設定'!$C$4,'①在庫を貼る'!$W$6:$W$10005,$B323))</f>
        <v/>
      </c>
    </row>
    <row r="324" ht="18" customHeight="1">
      <c r="B324" s="76" t="n"/>
      <c r="C324" s="77" t="n"/>
      <c r="D324" s="77" t="n"/>
      <c r="E324" s="77" t="n"/>
      <c r="F324" s="78" t="n"/>
      <c r="G324" s="79" t="n"/>
      <c r="H324" s="69" t="n"/>
      <c r="I324" s="44">
        <f>IF(OR($B324="",$H324=""),"",$H324*MAX(1,N($F324)))</f>
        <v/>
      </c>
      <c r="J324" s="80" t="n"/>
      <c r="K324" s="77" t="n"/>
      <c r="L324" s="54">
        <f>IF($B324="",0,IF(COUNTIFS('①在庫を貼る'!$V$6:$V$10005,'設定'!$C$4,'①在庫を貼る'!$W$6:$W$10005,$B324)+COUNTIFS('月1回_1ヶ月前の在庫'!$V$6:$V$10005,'設定'!$C$4,'月1回_1ヶ月前の在庫'!$W$6:$W$10005,$B324)+COUNTIFS('月1回_2ヶ月前の在庫'!$V$6:$V$10005,'設定'!$C$4,'月1回_2ヶ月前の在庫'!$W$6:$W$10005,$B324)&gt;0,1,0))</f>
        <v/>
      </c>
      <c r="M324" s="54">
        <f>N(M323)+$L324</f>
        <v/>
      </c>
      <c r="N324" s="54">
        <f>IF($B324="",0,COUNTIFS('①在庫を貼る'!$V$6:$V$10005,'設定'!$C$4,'①在庫を貼る'!$W$6:$W$10005,$B324))</f>
        <v/>
      </c>
    </row>
    <row r="325" ht="18" customHeight="1">
      <c r="B325" s="76" t="n"/>
      <c r="C325" s="77" t="n"/>
      <c r="D325" s="77" t="n"/>
      <c r="E325" s="77" t="n"/>
      <c r="F325" s="78" t="n"/>
      <c r="G325" s="79" t="n"/>
      <c r="H325" s="69" t="n"/>
      <c r="I325" s="44">
        <f>IF(OR($B325="",$H325=""),"",$H325*MAX(1,N($F325)))</f>
        <v/>
      </c>
      <c r="J325" s="80" t="n"/>
      <c r="K325" s="77" t="n"/>
      <c r="L325" s="54">
        <f>IF($B325="",0,IF(COUNTIFS('①在庫を貼る'!$V$6:$V$10005,'設定'!$C$4,'①在庫を貼る'!$W$6:$W$10005,$B325)+COUNTIFS('月1回_1ヶ月前の在庫'!$V$6:$V$10005,'設定'!$C$4,'月1回_1ヶ月前の在庫'!$W$6:$W$10005,$B325)+COUNTIFS('月1回_2ヶ月前の在庫'!$V$6:$V$10005,'設定'!$C$4,'月1回_2ヶ月前の在庫'!$W$6:$W$10005,$B325)&gt;0,1,0))</f>
        <v/>
      </c>
      <c r="M325" s="54">
        <f>N(M324)+$L325</f>
        <v/>
      </c>
      <c r="N325" s="54">
        <f>IF($B325="",0,COUNTIFS('①在庫を貼る'!$V$6:$V$10005,'設定'!$C$4,'①在庫を貼る'!$W$6:$W$10005,$B325))</f>
        <v/>
      </c>
    </row>
    <row r="326" ht="18" customHeight="1">
      <c r="B326" s="76" t="n"/>
      <c r="C326" s="77" t="n"/>
      <c r="D326" s="77" t="n"/>
      <c r="E326" s="77" t="n"/>
      <c r="F326" s="78" t="n"/>
      <c r="G326" s="79" t="n"/>
      <c r="H326" s="69" t="n"/>
      <c r="I326" s="44">
        <f>IF(OR($B326="",$H326=""),"",$H326*MAX(1,N($F326)))</f>
        <v/>
      </c>
      <c r="J326" s="80" t="n"/>
      <c r="K326" s="77" t="n"/>
      <c r="L326" s="54">
        <f>IF($B326="",0,IF(COUNTIFS('①在庫を貼る'!$V$6:$V$10005,'設定'!$C$4,'①在庫を貼る'!$W$6:$W$10005,$B326)+COUNTIFS('月1回_1ヶ月前の在庫'!$V$6:$V$10005,'設定'!$C$4,'月1回_1ヶ月前の在庫'!$W$6:$W$10005,$B326)+COUNTIFS('月1回_2ヶ月前の在庫'!$V$6:$V$10005,'設定'!$C$4,'月1回_2ヶ月前の在庫'!$W$6:$W$10005,$B326)&gt;0,1,0))</f>
        <v/>
      </c>
      <c r="M326" s="54">
        <f>N(M325)+$L326</f>
        <v/>
      </c>
      <c r="N326" s="54">
        <f>IF($B326="",0,COUNTIFS('①在庫を貼る'!$V$6:$V$10005,'設定'!$C$4,'①在庫を貼る'!$W$6:$W$10005,$B326))</f>
        <v/>
      </c>
    </row>
    <row r="327" ht="18" customHeight="1">
      <c r="B327" s="76" t="n"/>
      <c r="C327" s="77" t="n"/>
      <c r="D327" s="77" t="n"/>
      <c r="E327" s="77" t="n"/>
      <c r="F327" s="78" t="n"/>
      <c r="G327" s="79" t="n"/>
      <c r="H327" s="69" t="n"/>
      <c r="I327" s="44">
        <f>IF(OR($B327="",$H327=""),"",$H327*MAX(1,N($F327)))</f>
        <v/>
      </c>
      <c r="J327" s="80" t="n"/>
      <c r="K327" s="77" t="n"/>
      <c r="L327" s="54">
        <f>IF($B327="",0,IF(COUNTIFS('①在庫を貼る'!$V$6:$V$10005,'設定'!$C$4,'①在庫を貼る'!$W$6:$W$10005,$B327)+COUNTIFS('月1回_1ヶ月前の在庫'!$V$6:$V$10005,'設定'!$C$4,'月1回_1ヶ月前の在庫'!$W$6:$W$10005,$B327)+COUNTIFS('月1回_2ヶ月前の在庫'!$V$6:$V$10005,'設定'!$C$4,'月1回_2ヶ月前の在庫'!$W$6:$W$10005,$B327)&gt;0,1,0))</f>
        <v/>
      </c>
      <c r="M327" s="54">
        <f>N(M326)+$L327</f>
        <v/>
      </c>
      <c r="N327" s="54">
        <f>IF($B327="",0,COUNTIFS('①在庫を貼る'!$V$6:$V$10005,'設定'!$C$4,'①在庫を貼る'!$W$6:$W$10005,$B327))</f>
        <v/>
      </c>
    </row>
    <row r="328" ht="18" customHeight="1">
      <c r="B328" s="76" t="n"/>
      <c r="C328" s="77" t="n"/>
      <c r="D328" s="77" t="n"/>
      <c r="E328" s="77" t="n"/>
      <c r="F328" s="78" t="n"/>
      <c r="G328" s="79" t="n"/>
      <c r="H328" s="69" t="n"/>
      <c r="I328" s="44">
        <f>IF(OR($B328="",$H328=""),"",$H328*MAX(1,N($F328)))</f>
        <v/>
      </c>
      <c r="J328" s="80" t="n"/>
      <c r="K328" s="77" t="n"/>
      <c r="L328" s="54">
        <f>IF($B328="",0,IF(COUNTIFS('①在庫を貼る'!$V$6:$V$10005,'設定'!$C$4,'①在庫を貼る'!$W$6:$W$10005,$B328)+COUNTIFS('月1回_1ヶ月前の在庫'!$V$6:$V$10005,'設定'!$C$4,'月1回_1ヶ月前の在庫'!$W$6:$W$10005,$B328)+COUNTIFS('月1回_2ヶ月前の在庫'!$V$6:$V$10005,'設定'!$C$4,'月1回_2ヶ月前の在庫'!$W$6:$W$10005,$B328)&gt;0,1,0))</f>
        <v/>
      </c>
      <c r="M328" s="54">
        <f>N(M327)+$L328</f>
        <v/>
      </c>
      <c r="N328" s="54">
        <f>IF($B328="",0,COUNTIFS('①在庫を貼る'!$V$6:$V$10005,'設定'!$C$4,'①在庫を貼る'!$W$6:$W$10005,$B328))</f>
        <v/>
      </c>
    </row>
    <row r="329" ht="18" customHeight="1">
      <c r="B329" s="76" t="n"/>
      <c r="C329" s="77" t="n"/>
      <c r="D329" s="77" t="n"/>
      <c r="E329" s="77" t="n"/>
      <c r="F329" s="78" t="n"/>
      <c r="G329" s="79" t="n"/>
      <c r="H329" s="69" t="n"/>
      <c r="I329" s="44">
        <f>IF(OR($B329="",$H329=""),"",$H329*MAX(1,N($F329)))</f>
        <v/>
      </c>
      <c r="J329" s="80" t="n"/>
      <c r="K329" s="77" t="n"/>
      <c r="L329" s="54">
        <f>IF($B329="",0,IF(COUNTIFS('①在庫を貼る'!$V$6:$V$10005,'設定'!$C$4,'①在庫を貼る'!$W$6:$W$10005,$B329)+COUNTIFS('月1回_1ヶ月前の在庫'!$V$6:$V$10005,'設定'!$C$4,'月1回_1ヶ月前の在庫'!$W$6:$W$10005,$B329)+COUNTIFS('月1回_2ヶ月前の在庫'!$V$6:$V$10005,'設定'!$C$4,'月1回_2ヶ月前の在庫'!$W$6:$W$10005,$B329)&gt;0,1,0))</f>
        <v/>
      </c>
      <c r="M329" s="54">
        <f>N(M328)+$L329</f>
        <v/>
      </c>
      <c r="N329" s="54">
        <f>IF($B329="",0,COUNTIFS('①在庫を貼る'!$V$6:$V$10005,'設定'!$C$4,'①在庫を貼る'!$W$6:$W$10005,$B329))</f>
        <v/>
      </c>
    </row>
    <row r="330" ht="18" customHeight="1">
      <c r="B330" s="76" t="n"/>
      <c r="C330" s="77" t="n"/>
      <c r="D330" s="77" t="n"/>
      <c r="E330" s="77" t="n"/>
      <c r="F330" s="78" t="n"/>
      <c r="G330" s="79" t="n"/>
      <c r="H330" s="69" t="n"/>
      <c r="I330" s="44">
        <f>IF(OR($B330="",$H330=""),"",$H330*MAX(1,N($F330)))</f>
        <v/>
      </c>
      <c r="J330" s="80" t="n"/>
      <c r="K330" s="77" t="n"/>
      <c r="L330" s="54">
        <f>IF($B330="",0,IF(COUNTIFS('①在庫を貼る'!$V$6:$V$10005,'設定'!$C$4,'①在庫を貼る'!$W$6:$W$10005,$B330)+COUNTIFS('月1回_1ヶ月前の在庫'!$V$6:$V$10005,'設定'!$C$4,'月1回_1ヶ月前の在庫'!$W$6:$W$10005,$B330)+COUNTIFS('月1回_2ヶ月前の在庫'!$V$6:$V$10005,'設定'!$C$4,'月1回_2ヶ月前の在庫'!$W$6:$W$10005,$B330)&gt;0,1,0))</f>
        <v/>
      </c>
      <c r="M330" s="54">
        <f>N(M329)+$L330</f>
        <v/>
      </c>
      <c r="N330" s="54">
        <f>IF($B330="",0,COUNTIFS('①在庫を貼る'!$V$6:$V$10005,'設定'!$C$4,'①在庫を貼る'!$W$6:$W$10005,$B330))</f>
        <v/>
      </c>
    </row>
    <row r="331" ht="18" customHeight="1">
      <c r="B331" s="76" t="n"/>
      <c r="C331" s="77" t="n"/>
      <c r="D331" s="77" t="n"/>
      <c r="E331" s="77" t="n"/>
      <c r="F331" s="78" t="n"/>
      <c r="G331" s="79" t="n"/>
      <c r="H331" s="69" t="n"/>
      <c r="I331" s="44">
        <f>IF(OR($B331="",$H331=""),"",$H331*MAX(1,N($F331)))</f>
        <v/>
      </c>
      <c r="J331" s="80" t="n"/>
      <c r="K331" s="77" t="n"/>
      <c r="L331" s="54">
        <f>IF($B331="",0,IF(COUNTIFS('①在庫を貼る'!$V$6:$V$10005,'設定'!$C$4,'①在庫を貼る'!$W$6:$W$10005,$B331)+COUNTIFS('月1回_1ヶ月前の在庫'!$V$6:$V$10005,'設定'!$C$4,'月1回_1ヶ月前の在庫'!$W$6:$W$10005,$B331)+COUNTIFS('月1回_2ヶ月前の在庫'!$V$6:$V$10005,'設定'!$C$4,'月1回_2ヶ月前の在庫'!$W$6:$W$10005,$B331)&gt;0,1,0))</f>
        <v/>
      </c>
      <c r="M331" s="54">
        <f>N(M330)+$L331</f>
        <v/>
      </c>
      <c r="N331" s="54">
        <f>IF($B331="",0,COUNTIFS('①在庫を貼る'!$V$6:$V$10005,'設定'!$C$4,'①在庫を貼る'!$W$6:$W$10005,$B331))</f>
        <v/>
      </c>
    </row>
    <row r="332" ht="18" customHeight="1">
      <c r="B332" s="76" t="n"/>
      <c r="C332" s="77" t="n"/>
      <c r="D332" s="77" t="n"/>
      <c r="E332" s="77" t="n"/>
      <c r="F332" s="78" t="n"/>
      <c r="G332" s="79" t="n"/>
      <c r="H332" s="69" t="n"/>
      <c r="I332" s="44">
        <f>IF(OR($B332="",$H332=""),"",$H332*MAX(1,N($F332)))</f>
        <v/>
      </c>
      <c r="J332" s="80" t="n"/>
      <c r="K332" s="77" t="n"/>
      <c r="L332" s="54">
        <f>IF($B332="",0,IF(COUNTIFS('①在庫を貼る'!$V$6:$V$10005,'設定'!$C$4,'①在庫を貼る'!$W$6:$W$10005,$B332)+COUNTIFS('月1回_1ヶ月前の在庫'!$V$6:$V$10005,'設定'!$C$4,'月1回_1ヶ月前の在庫'!$W$6:$W$10005,$B332)+COUNTIFS('月1回_2ヶ月前の在庫'!$V$6:$V$10005,'設定'!$C$4,'月1回_2ヶ月前の在庫'!$W$6:$W$10005,$B332)&gt;0,1,0))</f>
        <v/>
      </c>
      <c r="M332" s="54">
        <f>N(M331)+$L332</f>
        <v/>
      </c>
      <c r="N332" s="54">
        <f>IF($B332="",0,COUNTIFS('①在庫を貼る'!$V$6:$V$10005,'設定'!$C$4,'①在庫を貼る'!$W$6:$W$10005,$B332))</f>
        <v/>
      </c>
    </row>
    <row r="333" ht="18" customHeight="1">
      <c r="B333" s="76" t="n"/>
      <c r="C333" s="77" t="n"/>
      <c r="D333" s="77" t="n"/>
      <c r="E333" s="77" t="n"/>
      <c r="F333" s="78" t="n"/>
      <c r="G333" s="79" t="n"/>
      <c r="H333" s="69" t="n"/>
      <c r="I333" s="44">
        <f>IF(OR($B333="",$H333=""),"",$H333*MAX(1,N($F333)))</f>
        <v/>
      </c>
      <c r="J333" s="80" t="n"/>
      <c r="K333" s="77" t="n"/>
      <c r="L333" s="54">
        <f>IF($B333="",0,IF(COUNTIFS('①在庫を貼る'!$V$6:$V$10005,'設定'!$C$4,'①在庫を貼る'!$W$6:$W$10005,$B333)+COUNTIFS('月1回_1ヶ月前の在庫'!$V$6:$V$10005,'設定'!$C$4,'月1回_1ヶ月前の在庫'!$W$6:$W$10005,$B333)+COUNTIFS('月1回_2ヶ月前の在庫'!$V$6:$V$10005,'設定'!$C$4,'月1回_2ヶ月前の在庫'!$W$6:$W$10005,$B333)&gt;0,1,0))</f>
        <v/>
      </c>
      <c r="M333" s="54">
        <f>N(M332)+$L333</f>
        <v/>
      </c>
      <c r="N333" s="54">
        <f>IF($B333="",0,COUNTIFS('①在庫を貼る'!$V$6:$V$10005,'設定'!$C$4,'①在庫を貼る'!$W$6:$W$10005,$B333))</f>
        <v/>
      </c>
    </row>
    <row r="334" ht="18" customHeight="1">
      <c r="B334" s="76" t="n"/>
      <c r="C334" s="77" t="n"/>
      <c r="D334" s="77" t="n"/>
      <c r="E334" s="77" t="n"/>
      <c r="F334" s="78" t="n"/>
      <c r="G334" s="79" t="n"/>
      <c r="H334" s="69" t="n"/>
      <c r="I334" s="44">
        <f>IF(OR($B334="",$H334=""),"",$H334*MAX(1,N($F334)))</f>
        <v/>
      </c>
      <c r="J334" s="80" t="n"/>
      <c r="K334" s="77" t="n"/>
      <c r="L334" s="54">
        <f>IF($B334="",0,IF(COUNTIFS('①在庫を貼る'!$V$6:$V$10005,'設定'!$C$4,'①在庫を貼る'!$W$6:$W$10005,$B334)+COUNTIFS('月1回_1ヶ月前の在庫'!$V$6:$V$10005,'設定'!$C$4,'月1回_1ヶ月前の在庫'!$W$6:$W$10005,$B334)+COUNTIFS('月1回_2ヶ月前の在庫'!$V$6:$V$10005,'設定'!$C$4,'月1回_2ヶ月前の在庫'!$W$6:$W$10005,$B334)&gt;0,1,0))</f>
        <v/>
      </c>
      <c r="M334" s="54">
        <f>N(M333)+$L334</f>
        <v/>
      </c>
      <c r="N334" s="54">
        <f>IF($B334="",0,COUNTIFS('①在庫を貼る'!$V$6:$V$10005,'設定'!$C$4,'①在庫を貼る'!$W$6:$W$10005,$B334))</f>
        <v/>
      </c>
    </row>
    <row r="335" ht="18" customHeight="1">
      <c r="B335" s="76" t="n"/>
      <c r="C335" s="77" t="n"/>
      <c r="D335" s="77" t="n"/>
      <c r="E335" s="77" t="n"/>
      <c r="F335" s="78" t="n"/>
      <c r="G335" s="79" t="n"/>
      <c r="H335" s="69" t="n"/>
      <c r="I335" s="44">
        <f>IF(OR($B335="",$H335=""),"",$H335*MAX(1,N($F335)))</f>
        <v/>
      </c>
      <c r="J335" s="80" t="n"/>
      <c r="K335" s="77" t="n"/>
      <c r="L335" s="54">
        <f>IF($B335="",0,IF(COUNTIFS('①在庫を貼る'!$V$6:$V$10005,'設定'!$C$4,'①在庫を貼る'!$W$6:$W$10005,$B335)+COUNTIFS('月1回_1ヶ月前の在庫'!$V$6:$V$10005,'設定'!$C$4,'月1回_1ヶ月前の在庫'!$W$6:$W$10005,$B335)+COUNTIFS('月1回_2ヶ月前の在庫'!$V$6:$V$10005,'設定'!$C$4,'月1回_2ヶ月前の在庫'!$W$6:$W$10005,$B335)&gt;0,1,0))</f>
        <v/>
      </c>
      <c r="M335" s="54">
        <f>N(M334)+$L335</f>
        <v/>
      </c>
      <c r="N335" s="54">
        <f>IF($B335="",0,COUNTIFS('①在庫を貼る'!$V$6:$V$10005,'設定'!$C$4,'①在庫を貼る'!$W$6:$W$10005,$B335))</f>
        <v/>
      </c>
    </row>
    <row r="336" ht="18" customHeight="1">
      <c r="B336" s="76" t="n"/>
      <c r="C336" s="77" t="n"/>
      <c r="D336" s="77" t="n"/>
      <c r="E336" s="77" t="n"/>
      <c r="F336" s="78" t="n"/>
      <c r="G336" s="79" t="n"/>
      <c r="H336" s="69" t="n"/>
      <c r="I336" s="44">
        <f>IF(OR($B336="",$H336=""),"",$H336*MAX(1,N($F336)))</f>
        <v/>
      </c>
      <c r="J336" s="80" t="n"/>
      <c r="K336" s="77" t="n"/>
      <c r="L336" s="54">
        <f>IF($B336="",0,IF(COUNTIFS('①在庫を貼る'!$V$6:$V$10005,'設定'!$C$4,'①在庫を貼る'!$W$6:$W$10005,$B336)+COUNTIFS('月1回_1ヶ月前の在庫'!$V$6:$V$10005,'設定'!$C$4,'月1回_1ヶ月前の在庫'!$W$6:$W$10005,$B336)+COUNTIFS('月1回_2ヶ月前の在庫'!$V$6:$V$10005,'設定'!$C$4,'月1回_2ヶ月前の在庫'!$W$6:$W$10005,$B336)&gt;0,1,0))</f>
        <v/>
      </c>
      <c r="M336" s="54">
        <f>N(M335)+$L336</f>
        <v/>
      </c>
      <c r="N336" s="54">
        <f>IF($B336="",0,COUNTIFS('①在庫を貼る'!$V$6:$V$10005,'設定'!$C$4,'①在庫を貼る'!$W$6:$W$10005,$B336))</f>
        <v/>
      </c>
    </row>
    <row r="337" ht="18" customHeight="1">
      <c r="B337" s="76" t="n"/>
      <c r="C337" s="77" t="n"/>
      <c r="D337" s="77" t="n"/>
      <c r="E337" s="77" t="n"/>
      <c r="F337" s="78" t="n"/>
      <c r="G337" s="79" t="n"/>
      <c r="H337" s="69" t="n"/>
      <c r="I337" s="44">
        <f>IF(OR($B337="",$H337=""),"",$H337*MAX(1,N($F337)))</f>
        <v/>
      </c>
      <c r="J337" s="80" t="n"/>
      <c r="K337" s="77" t="n"/>
      <c r="L337" s="54">
        <f>IF($B337="",0,IF(COUNTIFS('①在庫を貼る'!$V$6:$V$10005,'設定'!$C$4,'①在庫を貼る'!$W$6:$W$10005,$B337)+COUNTIFS('月1回_1ヶ月前の在庫'!$V$6:$V$10005,'設定'!$C$4,'月1回_1ヶ月前の在庫'!$W$6:$W$10005,$B337)+COUNTIFS('月1回_2ヶ月前の在庫'!$V$6:$V$10005,'設定'!$C$4,'月1回_2ヶ月前の在庫'!$W$6:$W$10005,$B337)&gt;0,1,0))</f>
        <v/>
      </c>
      <c r="M337" s="54">
        <f>N(M336)+$L337</f>
        <v/>
      </c>
      <c r="N337" s="54">
        <f>IF($B337="",0,COUNTIFS('①在庫を貼る'!$V$6:$V$10005,'設定'!$C$4,'①在庫を貼る'!$W$6:$W$10005,$B337))</f>
        <v/>
      </c>
    </row>
    <row r="338" ht="18" customHeight="1">
      <c r="B338" s="76" t="n"/>
      <c r="C338" s="77" t="n"/>
      <c r="D338" s="77" t="n"/>
      <c r="E338" s="77" t="n"/>
      <c r="F338" s="78" t="n"/>
      <c r="G338" s="79" t="n"/>
      <c r="H338" s="69" t="n"/>
      <c r="I338" s="44">
        <f>IF(OR($B338="",$H338=""),"",$H338*MAX(1,N($F338)))</f>
        <v/>
      </c>
      <c r="J338" s="80" t="n"/>
      <c r="K338" s="77" t="n"/>
      <c r="L338" s="54">
        <f>IF($B338="",0,IF(COUNTIFS('①在庫を貼る'!$V$6:$V$10005,'設定'!$C$4,'①在庫を貼る'!$W$6:$W$10005,$B338)+COUNTIFS('月1回_1ヶ月前の在庫'!$V$6:$V$10005,'設定'!$C$4,'月1回_1ヶ月前の在庫'!$W$6:$W$10005,$B338)+COUNTIFS('月1回_2ヶ月前の在庫'!$V$6:$V$10005,'設定'!$C$4,'月1回_2ヶ月前の在庫'!$W$6:$W$10005,$B338)&gt;0,1,0))</f>
        <v/>
      </c>
      <c r="M338" s="54">
        <f>N(M337)+$L338</f>
        <v/>
      </c>
      <c r="N338" s="54">
        <f>IF($B338="",0,COUNTIFS('①在庫を貼る'!$V$6:$V$10005,'設定'!$C$4,'①在庫を貼る'!$W$6:$W$10005,$B338))</f>
        <v/>
      </c>
    </row>
    <row r="339" ht="18" customHeight="1">
      <c r="B339" s="76" t="n"/>
      <c r="C339" s="77" t="n"/>
      <c r="D339" s="77" t="n"/>
      <c r="E339" s="77" t="n"/>
      <c r="F339" s="78" t="n"/>
      <c r="G339" s="79" t="n"/>
      <c r="H339" s="69" t="n"/>
      <c r="I339" s="44">
        <f>IF(OR($B339="",$H339=""),"",$H339*MAX(1,N($F339)))</f>
        <v/>
      </c>
      <c r="J339" s="80" t="n"/>
      <c r="K339" s="77" t="n"/>
      <c r="L339" s="54">
        <f>IF($B339="",0,IF(COUNTIFS('①在庫を貼る'!$V$6:$V$10005,'設定'!$C$4,'①在庫を貼る'!$W$6:$W$10005,$B339)+COUNTIFS('月1回_1ヶ月前の在庫'!$V$6:$V$10005,'設定'!$C$4,'月1回_1ヶ月前の在庫'!$W$6:$W$10005,$B339)+COUNTIFS('月1回_2ヶ月前の在庫'!$V$6:$V$10005,'設定'!$C$4,'月1回_2ヶ月前の在庫'!$W$6:$W$10005,$B339)&gt;0,1,0))</f>
        <v/>
      </c>
      <c r="M339" s="54">
        <f>N(M338)+$L339</f>
        <v/>
      </c>
      <c r="N339" s="54">
        <f>IF($B339="",0,COUNTIFS('①在庫を貼る'!$V$6:$V$10005,'設定'!$C$4,'①在庫を貼る'!$W$6:$W$10005,$B339))</f>
        <v/>
      </c>
    </row>
    <row r="340" ht="18" customHeight="1">
      <c r="B340" s="76" t="n"/>
      <c r="C340" s="77" t="n"/>
      <c r="D340" s="77" t="n"/>
      <c r="E340" s="77" t="n"/>
      <c r="F340" s="78" t="n"/>
      <c r="G340" s="79" t="n"/>
      <c r="H340" s="69" t="n"/>
      <c r="I340" s="44">
        <f>IF(OR($B340="",$H340=""),"",$H340*MAX(1,N($F340)))</f>
        <v/>
      </c>
      <c r="J340" s="80" t="n"/>
      <c r="K340" s="77" t="n"/>
      <c r="L340" s="54">
        <f>IF($B340="",0,IF(COUNTIFS('①在庫を貼る'!$V$6:$V$10005,'設定'!$C$4,'①在庫を貼る'!$W$6:$W$10005,$B340)+COUNTIFS('月1回_1ヶ月前の在庫'!$V$6:$V$10005,'設定'!$C$4,'月1回_1ヶ月前の在庫'!$W$6:$W$10005,$B340)+COUNTIFS('月1回_2ヶ月前の在庫'!$V$6:$V$10005,'設定'!$C$4,'月1回_2ヶ月前の在庫'!$W$6:$W$10005,$B340)&gt;0,1,0))</f>
        <v/>
      </c>
      <c r="M340" s="54">
        <f>N(M339)+$L340</f>
        <v/>
      </c>
      <c r="N340" s="54">
        <f>IF($B340="",0,COUNTIFS('①在庫を貼る'!$V$6:$V$10005,'設定'!$C$4,'①在庫を貼る'!$W$6:$W$10005,$B340))</f>
        <v/>
      </c>
    </row>
    <row r="341" ht="18" customHeight="1">
      <c r="B341" s="76" t="n"/>
      <c r="C341" s="77" t="n"/>
      <c r="D341" s="77" t="n"/>
      <c r="E341" s="77" t="n"/>
      <c r="F341" s="78" t="n"/>
      <c r="G341" s="79" t="n"/>
      <c r="H341" s="69" t="n"/>
      <c r="I341" s="44">
        <f>IF(OR($B341="",$H341=""),"",$H341*MAX(1,N($F341)))</f>
        <v/>
      </c>
      <c r="J341" s="80" t="n"/>
      <c r="K341" s="77" t="n"/>
      <c r="L341" s="54">
        <f>IF($B341="",0,IF(COUNTIFS('①在庫を貼る'!$V$6:$V$10005,'設定'!$C$4,'①在庫を貼る'!$W$6:$W$10005,$B341)+COUNTIFS('月1回_1ヶ月前の在庫'!$V$6:$V$10005,'設定'!$C$4,'月1回_1ヶ月前の在庫'!$W$6:$W$10005,$B341)+COUNTIFS('月1回_2ヶ月前の在庫'!$V$6:$V$10005,'設定'!$C$4,'月1回_2ヶ月前の在庫'!$W$6:$W$10005,$B341)&gt;0,1,0))</f>
        <v/>
      </c>
      <c r="M341" s="54">
        <f>N(M340)+$L341</f>
        <v/>
      </c>
      <c r="N341" s="54">
        <f>IF($B341="",0,COUNTIFS('①在庫を貼る'!$V$6:$V$10005,'設定'!$C$4,'①在庫を貼る'!$W$6:$W$10005,$B341))</f>
        <v/>
      </c>
    </row>
    <row r="342" ht="18" customHeight="1">
      <c r="B342" s="76" t="n"/>
      <c r="C342" s="77" t="n"/>
      <c r="D342" s="77" t="n"/>
      <c r="E342" s="77" t="n"/>
      <c r="F342" s="78" t="n"/>
      <c r="G342" s="79" t="n"/>
      <c r="H342" s="69" t="n"/>
      <c r="I342" s="44">
        <f>IF(OR($B342="",$H342=""),"",$H342*MAX(1,N($F342)))</f>
        <v/>
      </c>
      <c r="J342" s="80" t="n"/>
      <c r="K342" s="77" t="n"/>
      <c r="L342" s="54">
        <f>IF($B342="",0,IF(COUNTIFS('①在庫を貼る'!$V$6:$V$10005,'設定'!$C$4,'①在庫を貼る'!$W$6:$W$10005,$B342)+COUNTIFS('月1回_1ヶ月前の在庫'!$V$6:$V$10005,'設定'!$C$4,'月1回_1ヶ月前の在庫'!$W$6:$W$10005,$B342)+COUNTIFS('月1回_2ヶ月前の在庫'!$V$6:$V$10005,'設定'!$C$4,'月1回_2ヶ月前の在庫'!$W$6:$W$10005,$B342)&gt;0,1,0))</f>
        <v/>
      </c>
      <c r="M342" s="54">
        <f>N(M341)+$L342</f>
        <v/>
      </c>
      <c r="N342" s="54">
        <f>IF($B342="",0,COUNTIFS('①在庫を貼る'!$V$6:$V$10005,'設定'!$C$4,'①在庫を貼る'!$W$6:$W$10005,$B342))</f>
        <v/>
      </c>
    </row>
    <row r="343" ht="18" customHeight="1">
      <c r="B343" s="76" t="n"/>
      <c r="C343" s="77" t="n"/>
      <c r="D343" s="77" t="n"/>
      <c r="E343" s="77" t="n"/>
      <c r="F343" s="78" t="n"/>
      <c r="G343" s="79" t="n"/>
      <c r="H343" s="69" t="n"/>
      <c r="I343" s="44">
        <f>IF(OR($B343="",$H343=""),"",$H343*MAX(1,N($F343)))</f>
        <v/>
      </c>
      <c r="J343" s="80" t="n"/>
      <c r="K343" s="77" t="n"/>
      <c r="L343" s="54">
        <f>IF($B343="",0,IF(COUNTIFS('①在庫を貼る'!$V$6:$V$10005,'設定'!$C$4,'①在庫を貼る'!$W$6:$W$10005,$B343)+COUNTIFS('月1回_1ヶ月前の在庫'!$V$6:$V$10005,'設定'!$C$4,'月1回_1ヶ月前の在庫'!$W$6:$W$10005,$B343)+COUNTIFS('月1回_2ヶ月前の在庫'!$V$6:$V$10005,'設定'!$C$4,'月1回_2ヶ月前の在庫'!$W$6:$W$10005,$B343)&gt;0,1,0))</f>
        <v/>
      </c>
      <c r="M343" s="54">
        <f>N(M342)+$L343</f>
        <v/>
      </c>
      <c r="N343" s="54">
        <f>IF($B343="",0,COUNTIFS('①在庫を貼る'!$V$6:$V$10005,'設定'!$C$4,'①在庫を貼る'!$W$6:$W$10005,$B343))</f>
        <v/>
      </c>
    </row>
    <row r="344" ht="18" customHeight="1">
      <c r="B344" s="76" t="n"/>
      <c r="C344" s="77" t="n"/>
      <c r="D344" s="77" t="n"/>
      <c r="E344" s="77" t="n"/>
      <c r="F344" s="78" t="n"/>
      <c r="G344" s="79" t="n"/>
      <c r="H344" s="69" t="n"/>
      <c r="I344" s="44">
        <f>IF(OR($B344="",$H344=""),"",$H344*MAX(1,N($F344)))</f>
        <v/>
      </c>
      <c r="J344" s="80" t="n"/>
      <c r="K344" s="77" t="n"/>
      <c r="L344" s="54">
        <f>IF($B344="",0,IF(COUNTIFS('①在庫を貼る'!$V$6:$V$10005,'設定'!$C$4,'①在庫を貼る'!$W$6:$W$10005,$B344)+COUNTIFS('月1回_1ヶ月前の在庫'!$V$6:$V$10005,'設定'!$C$4,'月1回_1ヶ月前の在庫'!$W$6:$W$10005,$B344)+COUNTIFS('月1回_2ヶ月前の在庫'!$V$6:$V$10005,'設定'!$C$4,'月1回_2ヶ月前の在庫'!$W$6:$W$10005,$B344)&gt;0,1,0))</f>
        <v/>
      </c>
      <c r="M344" s="54">
        <f>N(M343)+$L344</f>
        <v/>
      </c>
      <c r="N344" s="54">
        <f>IF($B344="",0,COUNTIFS('①在庫を貼る'!$V$6:$V$10005,'設定'!$C$4,'①在庫を貼る'!$W$6:$W$10005,$B344))</f>
        <v/>
      </c>
    </row>
    <row r="345" ht="18" customHeight="1">
      <c r="B345" s="76" t="n"/>
      <c r="C345" s="77" t="n"/>
      <c r="D345" s="77" t="n"/>
      <c r="E345" s="77" t="n"/>
      <c r="F345" s="78" t="n"/>
      <c r="G345" s="79" t="n"/>
      <c r="H345" s="69" t="n"/>
      <c r="I345" s="44">
        <f>IF(OR($B345="",$H345=""),"",$H345*MAX(1,N($F345)))</f>
        <v/>
      </c>
      <c r="J345" s="80" t="n"/>
      <c r="K345" s="77" t="n"/>
      <c r="L345" s="54">
        <f>IF($B345="",0,IF(COUNTIFS('①在庫を貼る'!$V$6:$V$10005,'設定'!$C$4,'①在庫を貼る'!$W$6:$W$10005,$B345)+COUNTIFS('月1回_1ヶ月前の在庫'!$V$6:$V$10005,'設定'!$C$4,'月1回_1ヶ月前の在庫'!$W$6:$W$10005,$B345)+COUNTIFS('月1回_2ヶ月前の在庫'!$V$6:$V$10005,'設定'!$C$4,'月1回_2ヶ月前の在庫'!$W$6:$W$10005,$B345)&gt;0,1,0))</f>
        <v/>
      </c>
      <c r="M345" s="54">
        <f>N(M344)+$L345</f>
        <v/>
      </c>
      <c r="N345" s="54">
        <f>IF($B345="",0,COUNTIFS('①在庫を貼る'!$V$6:$V$10005,'設定'!$C$4,'①在庫を貼る'!$W$6:$W$10005,$B345))</f>
        <v/>
      </c>
    </row>
    <row r="346" ht="18" customHeight="1">
      <c r="B346" s="76" t="n"/>
      <c r="C346" s="77" t="n"/>
      <c r="D346" s="77" t="n"/>
      <c r="E346" s="77" t="n"/>
      <c r="F346" s="78" t="n"/>
      <c r="G346" s="79" t="n"/>
      <c r="H346" s="69" t="n"/>
      <c r="I346" s="44">
        <f>IF(OR($B346="",$H346=""),"",$H346*MAX(1,N($F346)))</f>
        <v/>
      </c>
      <c r="J346" s="80" t="n"/>
      <c r="K346" s="77" t="n"/>
      <c r="L346" s="54">
        <f>IF($B346="",0,IF(COUNTIFS('①在庫を貼る'!$V$6:$V$10005,'設定'!$C$4,'①在庫を貼る'!$W$6:$W$10005,$B346)+COUNTIFS('月1回_1ヶ月前の在庫'!$V$6:$V$10005,'設定'!$C$4,'月1回_1ヶ月前の在庫'!$W$6:$W$10005,$B346)+COUNTIFS('月1回_2ヶ月前の在庫'!$V$6:$V$10005,'設定'!$C$4,'月1回_2ヶ月前の在庫'!$W$6:$W$10005,$B346)&gt;0,1,0))</f>
        <v/>
      </c>
      <c r="M346" s="54">
        <f>N(M345)+$L346</f>
        <v/>
      </c>
      <c r="N346" s="54">
        <f>IF($B346="",0,COUNTIFS('①在庫を貼る'!$V$6:$V$10005,'設定'!$C$4,'①在庫を貼る'!$W$6:$W$10005,$B346))</f>
        <v/>
      </c>
    </row>
    <row r="347" ht="18" customHeight="1">
      <c r="B347" s="76" t="n"/>
      <c r="C347" s="77" t="n"/>
      <c r="D347" s="77" t="n"/>
      <c r="E347" s="77" t="n"/>
      <c r="F347" s="78" t="n"/>
      <c r="G347" s="79" t="n"/>
      <c r="H347" s="69" t="n"/>
      <c r="I347" s="44">
        <f>IF(OR($B347="",$H347=""),"",$H347*MAX(1,N($F347)))</f>
        <v/>
      </c>
      <c r="J347" s="80" t="n"/>
      <c r="K347" s="77" t="n"/>
      <c r="L347" s="54">
        <f>IF($B347="",0,IF(COUNTIFS('①在庫を貼る'!$V$6:$V$10005,'設定'!$C$4,'①在庫を貼る'!$W$6:$W$10005,$B347)+COUNTIFS('月1回_1ヶ月前の在庫'!$V$6:$V$10005,'設定'!$C$4,'月1回_1ヶ月前の在庫'!$W$6:$W$10005,$B347)+COUNTIFS('月1回_2ヶ月前の在庫'!$V$6:$V$10005,'設定'!$C$4,'月1回_2ヶ月前の在庫'!$W$6:$W$10005,$B347)&gt;0,1,0))</f>
        <v/>
      </c>
      <c r="M347" s="54">
        <f>N(M346)+$L347</f>
        <v/>
      </c>
      <c r="N347" s="54">
        <f>IF($B347="",0,COUNTIFS('①在庫を貼る'!$V$6:$V$10005,'設定'!$C$4,'①在庫を貼る'!$W$6:$W$10005,$B347))</f>
        <v/>
      </c>
    </row>
    <row r="348" ht="18" customHeight="1">
      <c r="B348" s="76" t="n"/>
      <c r="C348" s="77" t="n"/>
      <c r="D348" s="77" t="n"/>
      <c r="E348" s="77" t="n"/>
      <c r="F348" s="78" t="n"/>
      <c r="G348" s="79" t="n"/>
      <c r="H348" s="69" t="n"/>
      <c r="I348" s="44">
        <f>IF(OR($B348="",$H348=""),"",$H348*MAX(1,N($F348)))</f>
        <v/>
      </c>
      <c r="J348" s="80" t="n"/>
      <c r="K348" s="77" t="n"/>
      <c r="L348" s="54">
        <f>IF($B348="",0,IF(COUNTIFS('①在庫を貼る'!$V$6:$V$10005,'設定'!$C$4,'①在庫を貼る'!$W$6:$W$10005,$B348)+COUNTIFS('月1回_1ヶ月前の在庫'!$V$6:$V$10005,'設定'!$C$4,'月1回_1ヶ月前の在庫'!$W$6:$W$10005,$B348)+COUNTIFS('月1回_2ヶ月前の在庫'!$V$6:$V$10005,'設定'!$C$4,'月1回_2ヶ月前の在庫'!$W$6:$W$10005,$B348)&gt;0,1,0))</f>
        <v/>
      </c>
      <c r="M348" s="54">
        <f>N(M347)+$L348</f>
        <v/>
      </c>
      <c r="N348" s="54">
        <f>IF($B348="",0,COUNTIFS('①在庫を貼る'!$V$6:$V$10005,'設定'!$C$4,'①在庫を貼る'!$W$6:$W$10005,$B348))</f>
        <v/>
      </c>
    </row>
    <row r="349" ht="18" customHeight="1">
      <c r="B349" s="76" t="n"/>
      <c r="C349" s="77" t="n"/>
      <c r="D349" s="77" t="n"/>
      <c r="E349" s="77" t="n"/>
      <c r="F349" s="78" t="n"/>
      <c r="G349" s="79" t="n"/>
      <c r="H349" s="69" t="n"/>
      <c r="I349" s="44">
        <f>IF(OR($B349="",$H349=""),"",$H349*MAX(1,N($F349)))</f>
        <v/>
      </c>
      <c r="J349" s="80" t="n"/>
      <c r="K349" s="77" t="n"/>
      <c r="L349" s="54">
        <f>IF($B349="",0,IF(COUNTIFS('①在庫を貼る'!$V$6:$V$10005,'設定'!$C$4,'①在庫を貼る'!$W$6:$W$10005,$B349)+COUNTIFS('月1回_1ヶ月前の在庫'!$V$6:$V$10005,'設定'!$C$4,'月1回_1ヶ月前の在庫'!$W$6:$W$10005,$B349)+COUNTIFS('月1回_2ヶ月前の在庫'!$V$6:$V$10005,'設定'!$C$4,'月1回_2ヶ月前の在庫'!$W$6:$W$10005,$B349)&gt;0,1,0))</f>
        <v/>
      </c>
      <c r="M349" s="54">
        <f>N(M348)+$L349</f>
        <v/>
      </c>
      <c r="N349" s="54">
        <f>IF($B349="",0,COUNTIFS('①在庫を貼る'!$V$6:$V$10005,'設定'!$C$4,'①在庫を貼る'!$W$6:$W$10005,$B349))</f>
        <v/>
      </c>
    </row>
    <row r="350" ht="18" customHeight="1">
      <c r="B350" s="76" t="n"/>
      <c r="C350" s="77" t="n"/>
      <c r="D350" s="77" t="n"/>
      <c r="E350" s="77" t="n"/>
      <c r="F350" s="78" t="n"/>
      <c r="G350" s="79" t="n"/>
      <c r="H350" s="69" t="n"/>
      <c r="I350" s="44">
        <f>IF(OR($B350="",$H350=""),"",$H350*MAX(1,N($F350)))</f>
        <v/>
      </c>
      <c r="J350" s="80" t="n"/>
      <c r="K350" s="77" t="n"/>
      <c r="L350" s="54">
        <f>IF($B350="",0,IF(COUNTIFS('①在庫を貼る'!$V$6:$V$10005,'設定'!$C$4,'①在庫を貼る'!$W$6:$W$10005,$B350)+COUNTIFS('月1回_1ヶ月前の在庫'!$V$6:$V$10005,'設定'!$C$4,'月1回_1ヶ月前の在庫'!$W$6:$W$10005,$B350)+COUNTIFS('月1回_2ヶ月前の在庫'!$V$6:$V$10005,'設定'!$C$4,'月1回_2ヶ月前の在庫'!$W$6:$W$10005,$B350)&gt;0,1,0))</f>
        <v/>
      </c>
      <c r="M350" s="54">
        <f>N(M349)+$L350</f>
        <v/>
      </c>
      <c r="N350" s="54">
        <f>IF($B350="",0,COUNTIFS('①在庫を貼る'!$V$6:$V$10005,'設定'!$C$4,'①在庫を貼る'!$W$6:$W$10005,$B350))</f>
        <v/>
      </c>
    </row>
    <row r="351" ht="18" customHeight="1">
      <c r="B351" s="76" t="n"/>
      <c r="C351" s="77" t="n"/>
      <c r="D351" s="77" t="n"/>
      <c r="E351" s="77" t="n"/>
      <c r="F351" s="78" t="n"/>
      <c r="G351" s="79" t="n"/>
      <c r="H351" s="69" t="n"/>
      <c r="I351" s="44">
        <f>IF(OR($B351="",$H351=""),"",$H351*MAX(1,N($F351)))</f>
        <v/>
      </c>
      <c r="J351" s="80" t="n"/>
      <c r="K351" s="77" t="n"/>
      <c r="L351" s="54">
        <f>IF($B351="",0,IF(COUNTIFS('①在庫を貼る'!$V$6:$V$10005,'設定'!$C$4,'①在庫を貼る'!$W$6:$W$10005,$B351)+COUNTIFS('月1回_1ヶ月前の在庫'!$V$6:$V$10005,'設定'!$C$4,'月1回_1ヶ月前の在庫'!$W$6:$W$10005,$B351)+COUNTIFS('月1回_2ヶ月前の在庫'!$V$6:$V$10005,'設定'!$C$4,'月1回_2ヶ月前の在庫'!$W$6:$W$10005,$B351)&gt;0,1,0))</f>
        <v/>
      </c>
      <c r="M351" s="54">
        <f>N(M350)+$L351</f>
        <v/>
      </c>
      <c r="N351" s="54">
        <f>IF($B351="",0,COUNTIFS('①在庫を貼る'!$V$6:$V$10005,'設定'!$C$4,'①在庫を貼る'!$W$6:$W$10005,$B351))</f>
        <v/>
      </c>
    </row>
    <row r="352" ht="18" customHeight="1">
      <c r="B352" s="76" t="n"/>
      <c r="C352" s="77" t="n"/>
      <c r="D352" s="77" t="n"/>
      <c r="E352" s="77" t="n"/>
      <c r="F352" s="78" t="n"/>
      <c r="G352" s="79" t="n"/>
      <c r="H352" s="69" t="n"/>
      <c r="I352" s="44">
        <f>IF(OR($B352="",$H352=""),"",$H352*MAX(1,N($F352)))</f>
        <v/>
      </c>
      <c r="J352" s="80" t="n"/>
      <c r="K352" s="77" t="n"/>
      <c r="L352" s="54">
        <f>IF($B352="",0,IF(COUNTIFS('①在庫を貼る'!$V$6:$V$10005,'設定'!$C$4,'①在庫を貼る'!$W$6:$W$10005,$B352)+COUNTIFS('月1回_1ヶ月前の在庫'!$V$6:$V$10005,'設定'!$C$4,'月1回_1ヶ月前の在庫'!$W$6:$W$10005,$B352)+COUNTIFS('月1回_2ヶ月前の在庫'!$V$6:$V$10005,'設定'!$C$4,'月1回_2ヶ月前の在庫'!$W$6:$W$10005,$B352)&gt;0,1,0))</f>
        <v/>
      </c>
      <c r="M352" s="54">
        <f>N(M351)+$L352</f>
        <v/>
      </c>
      <c r="N352" s="54">
        <f>IF($B352="",0,COUNTIFS('①在庫を貼る'!$V$6:$V$10005,'設定'!$C$4,'①在庫を貼る'!$W$6:$W$10005,$B352))</f>
        <v/>
      </c>
    </row>
    <row r="353" ht="18" customHeight="1">
      <c r="B353" s="76" t="n"/>
      <c r="C353" s="77" t="n"/>
      <c r="D353" s="77" t="n"/>
      <c r="E353" s="77" t="n"/>
      <c r="F353" s="78" t="n"/>
      <c r="G353" s="79" t="n"/>
      <c r="H353" s="69" t="n"/>
      <c r="I353" s="44">
        <f>IF(OR($B353="",$H353=""),"",$H353*MAX(1,N($F353)))</f>
        <v/>
      </c>
      <c r="J353" s="80" t="n"/>
      <c r="K353" s="77" t="n"/>
      <c r="L353" s="54">
        <f>IF($B353="",0,IF(COUNTIFS('①在庫を貼る'!$V$6:$V$10005,'設定'!$C$4,'①在庫を貼る'!$W$6:$W$10005,$B353)+COUNTIFS('月1回_1ヶ月前の在庫'!$V$6:$V$10005,'設定'!$C$4,'月1回_1ヶ月前の在庫'!$W$6:$W$10005,$B353)+COUNTIFS('月1回_2ヶ月前の在庫'!$V$6:$V$10005,'設定'!$C$4,'月1回_2ヶ月前の在庫'!$W$6:$W$10005,$B353)&gt;0,1,0))</f>
        <v/>
      </c>
      <c r="M353" s="54">
        <f>N(M352)+$L353</f>
        <v/>
      </c>
      <c r="N353" s="54">
        <f>IF($B353="",0,COUNTIFS('①在庫を貼る'!$V$6:$V$10005,'設定'!$C$4,'①在庫を貼る'!$W$6:$W$10005,$B353))</f>
        <v/>
      </c>
    </row>
    <row r="354" ht="18" customHeight="1">
      <c r="B354" s="76" t="n"/>
      <c r="C354" s="77" t="n"/>
      <c r="D354" s="77" t="n"/>
      <c r="E354" s="77" t="n"/>
      <c r="F354" s="78" t="n"/>
      <c r="G354" s="79" t="n"/>
      <c r="H354" s="69" t="n"/>
      <c r="I354" s="44">
        <f>IF(OR($B354="",$H354=""),"",$H354*MAX(1,N($F354)))</f>
        <v/>
      </c>
      <c r="J354" s="80" t="n"/>
      <c r="K354" s="77" t="n"/>
      <c r="L354" s="54">
        <f>IF($B354="",0,IF(COUNTIFS('①在庫を貼る'!$V$6:$V$10005,'設定'!$C$4,'①在庫を貼る'!$W$6:$W$10005,$B354)+COUNTIFS('月1回_1ヶ月前の在庫'!$V$6:$V$10005,'設定'!$C$4,'月1回_1ヶ月前の在庫'!$W$6:$W$10005,$B354)+COUNTIFS('月1回_2ヶ月前の在庫'!$V$6:$V$10005,'設定'!$C$4,'月1回_2ヶ月前の在庫'!$W$6:$W$10005,$B354)&gt;0,1,0))</f>
        <v/>
      </c>
      <c r="M354" s="54">
        <f>N(M353)+$L354</f>
        <v/>
      </c>
      <c r="N354" s="54">
        <f>IF($B354="",0,COUNTIFS('①在庫を貼る'!$V$6:$V$10005,'設定'!$C$4,'①在庫を貼る'!$W$6:$W$10005,$B354))</f>
        <v/>
      </c>
    </row>
    <row r="355" ht="18" customHeight="1">
      <c r="B355" s="76" t="n"/>
      <c r="C355" s="77" t="n"/>
      <c r="D355" s="77" t="n"/>
      <c r="E355" s="77" t="n"/>
      <c r="F355" s="78" t="n"/>
      <c r="G355" s="79" t="n"/>
      <c r="H355" s="69" t="n"/>
      <c r="I355" s="44">
        <f>IF(OR($B355="",$H355=""),"",$H355*MAX(1,N($F355)))</f>
        <v/>
      </c>
      <c r="J355" s="80" t="n"/>
      <c r="K355" s="77" t="n"/>
      <c r="L355" s="54">
        <f>IF($B355="",0,IF(COUNTIFS('①在庫を貼る'!$V$6:$V$10005,'設定'!$C$4,'①在庫を貼る'!$W$6:$W$10005,$B355)+COUNTIFS('月1回_1ヶ月前の在庫'!$V$6:$V$10005,'設定'!$C$4,'月1回_1ヶ月前の在庫'!$W$6:$W$10005,$B355)+COUNTIFS('月1回_2ヶ月前の在庫'!$V$6:$V$10005,'設定'!$C$4,'月1回_2ヶ月前の在庫'!$W$6:$W$10005,$B355)&gt;0,1,0))</f>
        <v/>
      </c>
      <c r="M355" s="54">
        <f>N(M354)+$L355</f>
        <v/>
      </c>
      <c r="N355" s="54">
        <f>IF($B355="",0,COUNTIFS('①在庫を貼る'!$V$6:$V$10005,'設定'!$C$4,'①在庫を貼る'!$W$6:$W$10005,$B355))</f>
        <v/>
      </c>
    </row>
    <row r="356" ht="18" customHeight="1">
      <c r="B356" s="76" t="n"/>
      <c r="C356" s="77" t="n"/>
      <c r="D356" s="77" t="n"/>
      <c r="E356" s="77" t="n"/>
      <c r="F356" s="78" t="n"/>
      <c r="G356" s="79" t="n"/>
      <c r="H356" s="69" t="n"/>
      <c r="I356" s="44">
        <f>IF(OR($B356="",$H356=""),"",$H356*MAX(1,N($F356)))</f>
        <v/>
      </c>
      <c r="J356" s="80" t="n"/>
      <c r="K356" s="77" t="n"/>
      <c r="L356" s="54">
        <f>IF($B356="",0,IF(COUNTIFS('①在庫を貼る'!$V$6:$V$10005,'設定'!$C$4,'①在庫を貼る'!$W$6:$W$10005,$B356)+COUNTIFS('月1回_1ヶ月前の在庫'!$V$6:$V$10005,'設定'!$C$4,'月1回_1ヶ月前の在庫'!$W$6:$W$10005,$B356)+COUNTIFS('月1回_2ヶ月前の在庫'!$V$6:$V$10005,'設定'!$C$4,'月1回_2ヶ月前の在庫'!$W$6:$W$10005,$B356)&gt;0,1,0))</f>
        <v/>
      </c>
      <c r="M356" s="54">
        <f>N(M355)+$L356</f>
        <v/>
      </c>
      <c r="N356" s="54">
        <f>IF($B356="",0,COUNTIFS('①在庫を貼る'!$V$6:$V$10005,'設定'!$C$4,'①在庫を貼る'!$W$6:$W$10005,$B356))</f>
        <v/>
      </c>
    </row>
    <row r="357" ht="18" customHeight="1">
      <c r="B357" s="76" t="n"/>
      <c r="C357" s="77" t="n"/>
      <c r="D357" s="77" t="n"/>
      <c r="E357" s="77" t="n"/>
      <c r="F357" s="78" t="n"/>
      <c r="G357" s="79" t="n"/>
      <c r="H357" s="69" t="n"/>
      <c r="I357" s="44">
        <f>IF(OR($B357="",$H357=""),"",$H357*MAX(1,N($F357)))</f>
        <v/>
      </c>
      <c r="J357" s="80" t="n"/>
      <c r="K357" s="77" t="n"/>
      <c r="L357" s="54">
        <f>IF($B357="",0,IF(COUNTIFS('①在庫を貼る'!$V$6:$V$10005,'設定'!$C$4,'①在庫を貼る'!$W$6:$W$10005,$B357)+COUNTIFS('月1回_1ヶ月前の在庫'!$V$6:$V$10005,'設定'!$C$4,'月1回_1ヶ月前の在庫'!$W$6:$W$10005,$B357)+COUNTIFS('月1回_2ヶ月前の在庫'!$V$6:$V$10005,'設定'!$C$4,'月1回_2ヶ月前の在庫'!$W$6:$W$10005,$B357)&gt;0,1,0))</f>
        <v/>
      </c>
      <c r="M357" s="54">
        <f>N(M356)+$L357</f>
        <v/>
      </c>
      <c r="N357" s="54">
        <f>IF($B357="",0,COUNTIFS('①在庫を貼る'!$V$6:$V$10005,'設定'!$C$4,'①在庫を貼る'!$W$6:$W$10005,$B357))</f>
        <v/>
      </c>
    </row>
    <row r="358" ht="18" customHeight="1">
      <c r="B358" s="76" t="n"/>
      <c r="C358" s="77" t="n"/>
      <c r="D358" s="77" t="n"/>
      <c r="E358" s="77" t="n"/>
      <c r="F358" s="78" t="n"/>
      <c r="G358" s="79" t="n"/>
      <c r="H358" s="69" t="n"/>
      <c r="I358" s="44">
        <f>IF(OR($B358="",$H358=""),"",$H358*MAX(1,N($F358)))</f>
        <v/>
      </c>
      <c r="J358" s="80" t="n"/>
      <c r="K358" s="77" t="n"/>
      <c r="L358" s="54">
        <f>IF($B358="",0,IF(COUNTIFS('①在庫を貼る'!$V$6:$V$10005,'設定'!$C$4,'①在庫を貼る'!$W$6:$W$10005,$B358)+COUNTIFS('月1回_1ヶ月前の在庫'!$V$6:$V$10005,'設定'!$C$4,'月1回_1ヶ月前の在庫'!$W$6:$W$10005,$B358)+COUNTIFS('月1回_2ヶ月前の在庫'!$V$6:$V$10005,'設定'!$C$4,'月1回_2ヶ月前の在庫'!$W$6:$W$10005,$B358)&gt;0,1,0))</f>
        <v/>
      </c>
      <c r="M358" s="54">
        <f>N(M357)+$L358</f>
        <v/>
      </c>
      <c r="N358" s="54">
        <f>IF($B358="",0,COUNTIFS('①在庫を貼る'!$V$6:$V$10005,'設定'!$C$4,'①在庫を貼る'!$W$6:$W$10005,$B358))</f>
        <v/>
      </c>
    </row>
    <row r="359" ht="18" customHeight="1">
      <c r="B359" s="76" t="n"/>
      <c r="C359" s="77" t="n"/>
      <c r="D359" s="77" t="n"/>
      <c r="E359" s="77" t="n"/>
      <c r="F359" s="78" t="n"/>
      <c r="G359" s="79" t="n"/>
      <c r="H359" s="69" t="n"/>
      <c r="I359" s="44">
        <f>IF(OR($B359="",$H359=""),"",$H359*MAX(1,N($F359)))</f>
        <v/>
      </c>
      <c r="J359" s="80" t="n"/>
      <c r="K359" s="77" t="n"/>
      <c r="L359" s="54">
        <f>IF($B359="",0,IF(COUNTIFS('①在庫を貼る'!$V$6:$V$10005,'設定'!$C$4,'①在庫を貼る'!$W$6:$W$10005,$B359)+COUNTIFS('月1回_1ヶ月前の在庫'!$V$6:$V$10005,'設定'!$C$4,'月1回_1ヶ月前の在庫'!$W$6:$W$10005,$B359)+COUNTIFS('月1回_2ヶ月前の在庫'!$V$6:$V$10005,'設定'!$C$4,'月1回_2ヶ月前の在庫'!$W$6:$W$10005,$B359)&gt;0,1,0))</f>
        <v/>
      </c>
      <c r="M359" s="54">
        <f>N(M358)+$L359</f>
        <v/>
      </c>
      <c r="N359" s="54">
        <f>IF($B359="",0,COUNTIFS('①在庫を貼る'!$V$6:$V$10005,'設定'!$C$4,'①在庫を貼る'!$W$6:$W$10005,$B359))</f>
        <v/>
      </c>
    </row>
    <row r="360" ht="18" customHeight="1">
      <c r="B360" s="76" t="n"/>
      <c r="C360" s="77" t="n"/>
      <c r="D360" s="77" t="n"/>
      <c r="E360" s="77" t="n"/>
      <c r="F360" s="78" t="n"/>
      <c r="G360" s="79" t="n"/>
      <c r="H360" s="69" t="n"/>
      <c r="I360" s="44">
        <f>IF(OR($B360="",$H360=""),"",$H360*MAX(1,N($F360)))</f>
        <v/>
      </c>
      <c r="J360" s="80" t="n"/>
      <c r="K360" s="77" t="n"/>
      <c r="L360" s="54">
        <f>IF($B360="",0,IF(COUNTIFS('①在庫を貼る'!$V$6:$V$10005,'設定'!$C$4,'①在庫を貼る'!$W$6:$W$10005,$B360)+COUNTIFS('月1回_1ヶ月前の在庫'!$V$6:$V$10005,'設定'!$C$4,'月1回_1ヶ月前の在庫'!$W$6:$W$10005,$B360)+COUNTIFS('月1回_2ヶ月前の在庫'!$V$6:$V$10005,'設定'!$C$4,'月1回_2ヶ月前の在庫'!$W$6:$W$10005,$B360)&gt;0,1,0))</f>
        <v/>
      </c>
      <c r="M360" s="54">
        <f>N(M359)+$L360</f>
        <v/>
      </c>
      <c r="N360" s="54">
        <f>IF($B360="",0,COUNTIFS('①在庫を貼る'!$V$6:$V$10005,'設定'!$C$4,'①在庫を貼る'!$W$6:$W$10005,$B360))</f>
        <v/>
      </c>
    </row>
    <row r="361" ht="18" customHeight="1">
      <c r="B361" s="76" t="n"/>
      <c r="C361" s="77" t="n"/>
      <c r="D361" s="77" t="n"/>
      <c r="E361" s="77" t="n"/>
      <c r="F361" s="78" t="n"/>
      <c r="G361" s="79" t="n"/>
      <c r="H361" s="69" t="n"/>
      <c r="I361" s="44">
        <f>IF(OR($B361="",$H361=""),"",$H361*MAX(1,N($F361)))</f>
        <v/>
      </c>
      <c r="J361" s="80" t="n"/>
      <c r="K361" s="77" t="n"/>
      <c r="L361" s="54">
        <f>IF($B361="",0,IF(COUNTIFS('①在庫を貼る'!$V$6:$V$10005,'設定'!$C$4,'①在庫を貼る'!$W$6:$W$10005,$B361)+COUNTIFS('月1回_1ヶ月前の在庫'!$V$6:$V$10005,'設定'!$C$4,'月1回_1ヶ月前の在庫'!$W$6:$W$10005,$B361)+COUNTIFS('月1回_2ヶ月前の在庫'!$V$6:$V$10005,'設定'!$C$4,'月1回_2ヶ月前の在庫'!$W$6:$W$10005,$B361)&gt;0,1,0))</f>
        <v/>
      </c>
      <c r="M361" s="54">
        <f>N(M360)+$L361</f>
        <v/>
      </c>
      <c r="N361" s="54">
        <f>IF($B361="",0,COUNTIFS('①在庫を貼る'!$V$6:$V$10005,'設定'!$C$4,'①在庫を貼る'!$W$6:$W$10005,$B361))</f>
        <v/>
      </c>
    </row>
    <row r="362" ht="18" customHeight="1">
      <c r="B362" s="76" t="n"/>
      <c r="C362" s="77" t="n"/>
      <c r="D362" s="77" t="n"/>
      <c r="E362" s="77" t="n"/>
      <c r="F362" s="78" t="n"/>
      <c r="G362" s="79" t="n"/>
      <c r="H362" s="69" t="n"/>
      <c r="I362" s="44">
        <f>IF(OR($B362="",$H362=""),"",$H362*MAX(1,N($F362)))</f>
        <v/>
      </c>
      <c r="J362" s="80" t="n"/>
      <c r="K362" s="77" t="n"/>
      <c r="L362" s="54">
        <f>IF($B362="",0,IF(COUNTIFS('①在庫を貼る'!$V$6:$V$10005,'設定'!$C$4,'①在庫を貼る'!$W$6:$W$10005,$B362)+COUNTIFS('月1回_1ヶ月前の在庫'!$V$6:$V$10005,'設定'!$C$4,'月1回_1ヶ月前の在庫'!$W$6:$W$10005,$B362)+COUNTIFS('月1回_2ヶ月前の在庫'!$V$6:$V$10005,'設定'!$C$4,'月1回_2ヶ月前の在庫'!$W$6:$W$10005,$B362)&gt;0,1,0))</f>
        <v/>
      </c>
      <c r="M362" s="54">
        <f>N(M361)+$L362</f>
        <v/>
      </c>
      <c r="N362" s="54">
        <f>IF($B362="",0,COUNTIFS('①在庫を貼る'!$V$6:$V$10005,'設定'!$C$4,'①在庫を貼る'!$W$6:$W$10005,$B362))</f>
        <v/>
      </c>
    </row>
    <row r="363" ht="18" customHeight="1">
      <c r="B363" s="76" t="n"/>
      <c r="C363" s="77" t="n"/>
      <c r="D363" s="77" t="n"/>
      <c r="E363" s="77" t="n"/>
      <c r="F363" s="78" t="n"/>
      <c r="G363" s="79" t="n"/>
      <c r="H363" s="69" t="n"/>
      <c r="I363" s="44">
        <f>IF(OR($B363="",$H363=""),"",$H363*MAX(1,N($F363)))</f>
        <v/>
      </c>
      <c r="J363" s="80" t="n"/>
      <c r="K363" s="77" t="n"/>
      <c r="L363" s="54">
        <f>IF($B363="",0,IF(COUNTIFS('①在庫を貼る'!$V$6:$V$10005,'設定'!$C$4,'①在庫を貼る'!$W$6:$W$10005,$B363)+COUNTIFS('月1回_1ヶ月前の在庫'!$V$6:$V$10005,'設定'!$C$4,'月1回_1ヶ月前の在庫'!$W$6:$W$10005,$B363)+COUNTIFS('月1回_2ヶ月前の在庫'!$V$6:$V$10005,'設定'!$C$4,'月1回_2ヶ月前の在庫'!$W$6:$W$10005,$B363)&gt;0,1,0))</f>
        <v/>
      </c>
      <c r="M363" s="54">
        <f>N(M362)+$L363</f>
        <v/>
      </c>
      <c r="N363" s="54">
        <f>IF($B363="",0,COUNTIFS('①在庫を貼る'!$V$6:$V$10005,'設定'!$C$4,'①在庫を貼る'!$W$6:$W$10005,$B363))</f>
        <v/>
      </c>
    </row>
    <row r="364" ht="18" customHeight="1">
      <c r="B364" s="76" t="n"/>
      <c r="C364" s="77" t="n"/>
      <c r="D364" s="77" t="n"/>
      <c r="E364" s="77" t="n"/>
      <c r="F364" s="78" t="n"/>
      <c r="G364" s="79" t="n"/>
      <c r="H364" s="69" t="n"/>
      <c r="I364" s="44">
        <f>IF(OR($B364="",$H364=""),"",$H364*MAX(1,N($F364)))</f>
        <v/>
      </c>
      <c r="J364" s="80" t="n"/>
      <c r="K364" s="77" t="n"/>
      <c r="L364" s="54">
        <f>IF($B364="",0,IF(COUNTIFS('①在庫を貼る'!$V$6:$V$10005,'設定'!$C$4,'①在庫を貼る'!$W$6:$W$10005,$B364)+COUNTIFS('月1回_1ヶ月前の在庫'!$V$6:$V$10005,'設定'!$C$4,'月1回_1ヶ月前の在庫'!$W$6:$W$10005,$B364)+COUNTIFS('月1回_2ヶ月前の在庫'!$V$6:$V$10005,'設定'!$C$4,'月1回_2ヶ月前の在庫'!$W$6:$W$10005,$B364)&gt;0,1,0))</f>
        <v/>
      </c>
      <c r="M364" s="54">
        <f>N(M363)+$L364</f>
        <v/>
      </c>
      <c r="N364" s="54">
        <f>IF($B364="",0,COUNTIFS('①在庫を貼る'!$V$6:$V$10005,'設定'!$C$4,'①在庫を貼る'!$W$6:$W$10005,$B364))</f>
        <v/>
      </c>
    </row>
    <row r="365" ht="18" customHeight="1">
      <c r="B365" s="76" t="n"/>
      <c r="C365" s="77" t="n"/>
      <c r="D365" s="77" t="n"/>
      <c r="E365" s="77" t="n"/>
      <c r="F365" s="78" t="n"/>
      <c r="G365" s="79" t="n"/>
      <c r="H365" s="69" t="n"/>
      <c r="I365" s="44">
        <f>IF(OR($B365="",$H365=""),"",$H365*MAX(1,N($F365)))</f>
        <v/>
      </c>
      <c r="J365" s="80" t="n"/>
      <c r="K365" s="77" t="n"/>
      <c r="L365" s="54">
        <f>IF($B365="",0,IF(COUNTIFS('①在庫を貼る'!$V$6:$V$10005,'設定'!$C$4,'①在庫を貼る'!$W$6:$W$10005,$B365)+COUNTIFS('月1回_1ヶ月前の在庫'!$V$6:$V$10005,'設定'!$C$4,'月1回_1ヶ月前の在庫'!$W$6:$W$10005,$B365)+COUNTIFS('月1回_2ヶ月前の在庫'!$V$6:$V$10005,'設定'!$C$4,'月1回_2ヶ月前の在庫'!$W$6:$W$10005,$B365)&gt;0,1,0))</f>
        <v/>
      </c>
      <c r="M365" s="54">
        <f>N(M364)+$L365</f>
        <v/>
      </c>
      <c r="N365" s="54">
        <f>IF($B365="",0,COUNTIFS('①在庫を貼る'!$V$6:$V$10005,'設定'!$C$4,'①在庫を貼る'!$W$6:$W$10005,$B365))</f>
        <v/>
      </c>
    </row>
    <row r="366" ht="18" customHeight="1">
      <c r="B366" s="76" t="n"/>
      <c r="C366" s="77" t="n"/>
      <c r="D366" s="77" t="n"/>
      <c r="E366" s="77" t="n"/>
      <c r="F366" s="78" t="n"/>
      <c r="G366" s="79" t="n"/>
      <c r="H366" s="69" t="n"/>
      <c r="I366" s="44">
        <f>IF(OR($B366="",$H366=""),"",$H366*MAX(1,N($F366)))</f>
        <v/>
      </c>
      <c r="J366" s="80" t="n"/>
      <c r="K366" s="77" t="n"/>
      <c r="L366" s="54">
        <f>IF($B366="",0,IF(COUNTIFS('①在庫を貼る'!$V$6:$V$10005,'設定'!$C$4,'①在庫を貼る'!$W$6:$W$10005,$B366)+COUNTIFS('月1回_1ヶ月前の在庫'!$V$6:$V$10005,'設定'!$C$4,'月1回_1ヶ月前の在庫'!$W$6:$W$10005,$B366)+COUNTIFS('月1回_2ヶ月前の在庫'!$V$6:$V$10005,'設定'!$C$4,'月1回_2ヶ月前の在庫'!$W$6:$W$10005,$B366)&gt;0,1,0))</f>
        <v/>
      </c>
      <c r="M366" s="54">
        <f>N(M365)+$L366</f>
        <v/>
      </c>
      <c r="N366" s="54">
        <f>IF($B366="",0,COUNTIFS('①在庫を貼る'!$V$6:$V$10005,'設定'!$C$4,'①在庫を貼る'!$W$6:$W$10005,$B366))</f>
        <v/>
      </c>
    </row>
    <row r="367" ht="18" customHeight="1">
      <c r="B367" s="76" t="n"/>
      <c r="C367" s="77" t="n"/>
      <c r="D367" s="77" t="n"/>
      <c r="E367" s="77" t="n"/>
      <c r="F367" s="78" t="n"/>
      <c r="G367" s="79" t="n"/>
      <c r="H367" s="69" t="n"/>
      <c r="I367" s="44">
        <f>IF(OR($B367="",$H367=""),"",$H367*MAX(1,N($F367)))</f>
        <v/>
      </c>
      <c r="J367" s="80" t="n"/>
      <c r="K367" s="77" t="n"/>
      <c r="L367" s="54">
        <f>IF($B367="",0,IF(COUNTIFS('①在庫を貼る'!$V$6:$V$10005,'設定'!$C$4,'①在庫を貼る'!$W$6:$W$10005,$B367)+COUNTIFS('月1回_1ヶ月前の在庫'!$V$6:$V$10005,'設定'!$C$4,'月1回_1ヶ月前の在庫'!$W$6:$W$10005,$B367)+COUNTIFS('月1回_2ヶ月前の在庫'!$V$6:$V$10005,'設定'!$C$4,'月1回_2ヶ月前の在庫'!$W$6:$W$10005,$B367)&gt;0,1,0))</f>
        <v/>
      </c>
      <c r="M367" s="54">
        <f>N(M366)+$L367</f>
        <v/>
      </c>
      <c r="N367" s="54">
        <f>IF($B367="",0,COUNTIFS('①在庫を貼る'!$V$6:$V$10005,'設定'!$C$4,'①在庫を貼る'!$W$6:$W$10005,$B367))</f>
        <v/>
      </c>
    </row>
    <row r="368" ht="18" customHeight="1">
      <c r="B368" s="76" t="n"/>
      <c r="C368" s="77" t="n"/>
      <c r="D368" s="77" t="n"/>
      <c r="E368" s="77" t="n"/>
      <c r="F368" s="78" t="n"/>
      <c r="G368" s="79" t="n"/>
      <c r="H368" s="69" t="n"/>
      <c r="I368" s="44">
        <f>IF(OR($B368="",$H368=""),"",$H368*MAX(1,N($F368)))</f>
        <v/>
      </c>
      <c r="J368" s="80" t="n"/>
      <c r="K368" s="77" t="n"/>
      <c r="L368" s="54">
        <f>IF($B368="",0,IF(COUNTIFS('①在庫を貼る'!$V$6:$V$10005,'設定'!$C$4,'①在庫を貼る'!$W$6:$W$10005,$B368)+COUNTIFS('月1回_1ヶ月前の在庫'!$V$6:$V$10005,'設定'!$C$4,'月1回_1ヶ月前の在庫'!$W$6:$W$10005,$B368)+COUNTIFS('月1回_2ヶ月前の在庫'!$V$6:$V$10005,'設定'!$C$4,'月1回_2ヶ月前の在庫'!$W$6:$W$10005,$B368)&gt;0,1,0))</f>
        <v/>
      </c>
      <c r="M368" s="54">
        <f>N(M367)+$L368</f>
        <v/>
      </c>
      <c r="N368" s="54">
        <f>IF($B368="",0,COUNTIFS('①在庫を貼る'!$V$6:$V$10005,'設定'!$C$4,'①在庫を貼る'!$W$6:$W$10005,$B368))</f>
        <v/>
      </c>
    </row>
    <row r="369" ht="18" customHeight="1">
      <c r="B369" s="76" t="n"/>
      <c r="C369" s="77" t="n"/>
      <c r="D369" s="77" t="n"/>
      <c r="E369" s="77" t="n"/>
      <c r="F369" s="78" t="n"/>
      <c r="G369" s="79" t="n"/>
      <c r="H369" s="69" t="n"/>
      <c r="I369" s="44">
        <f>IF(OR($B369="",$H369=""),"",$H369*MAX(1,N($F369)))</f>
        <v/>
      </c>
      <c r="J369" s="80" t="n"/>
      <c r="K369" s="77" t="n"/>
      <c r="L369" s="54">
        <f>IF($B369="",0,IF(COUNTIFS('①在庫を貼る'!$V$6:$V$10005,'設定'!$C$4,'①在庫を貼る'!$W$6:$W$10005,$B369)+COUNTIFS('月1回_1ヶ月前の在庫'!$V$6:$V$10005,'設定'!$C$4,'月1回_1ヶ月前の在庫'!$W$6:$W$10005,$B369)+COUNTIFS('月1回_2ヶ月前の在庫'!$V$6:$V$10005,'設定'!$C$4,'月1回_2ヶ月前の在庫'!$W$6:$W$10005,$B369)&gt;0,1,0))</f>
        <v/>
      </c>
      <c r="M369" s="54">
        <f>N(M368)+$L369</f>
        <v/>
      </c>
      <c r="N369" s="54">
        <f>IF($B369="",0,COUNTIFS('①在庫を貼る'!$V$6:$V$10005,'設定'!$C$4,'①在庫を貼る'!$W$6:$W$10005,$B369))</f>
        <v/>
      </c>
    </row>
    <row r="370" ht="18" customHeight="1">
      <c r="B370" s="76" t="n"/>
      <c r="C370" s="77" t="n"/>
      <c r="D370" s="77" t="n"/>
      <c r="E370" s="77" t="n"/>
      <c r="F370" s="78" t="n"/>
      <c r="G370" s="79" t="n"/>
      <c r="H370" s="69" t="n"/>
      <c r="I370" s="44">
        <f>IF(OR($B370="",$H370=""),"",$H370*MAX(1,N($F370)))</f>
        <v/>
      </c>
      <c r="J370" s="80" t="n"/>
      <c r="K370" s="77" t="n"/>
      <c r="L370" s="54">
        <f>IF($B370="",0,IF(COUNTIFS('①在庫を貼る'!$V$6:$V$10005,'設定'!$C$4,'①在庫を貼る'!$W$6:$W$10005,$B370)+COUNTIFS('月1回_1ヶ月前の在庫'!$V$6:$V$10005,'設定'!$C$4,'月1回_1ヶ月前の在庫'!$W$6:$W$10005,$B370)+COUNTIFS('月1回_2ヶ月前の在庫'!$V$6:$V$10005,'設定'!$C$4,'月1回_2ヶ月前の在庫'!$W$6:$W$10005,$B370)&gt;0,1,0))</f>
        <v/>
      </c>
      <c r="M370" s="54">
        <f>N(M369)+$L370</f>
        <v/>
      </c>
      <c r="N370" s="54">
        <f>IF($B370="",0,COUNTIFS('①在庫を貼る'!$V$6:$V$10005,'設定'!$C$4,'①在庫を貼る'!$W$6:$W$10005,$B370))</f>
        <v/>
      </c>
    </row>
    <row r="371" ht="18" customHeight="1">
      <c r="B371" s="76" t="n"/>
      <c r="C371" s="77" t="n"/>
      <c r="D371" s="77" t="n"/>
      <c r="E371" s="77" t="n"/>
      <c r="F371" s="78" t="n"/>
      <c r="G371" s="79" t="n"/>
      <c r="H371" s="69" t="n"/>
      <c r="I371" s="44">
        <f>IF(OR($B371="",$H371=""),"",$H371*MAX(1,N($F371)))</f>
        <v/>
      </c>
      <c r="J371" s="80" t="n"/>
      <c r="K371" s="77" t="n"/>
      <c r="L371" s="54">
        <f>IF($B371="",0,IF(COUNTIFS('①在庫を貼る'!$V$6:$V$10005,'設定'!$C$4,'①在庫を貼る'!$W$6:$W$10005,$B371)+COUNTIFS('月1回_1ヶ月前の在庫'!$V$6:$V$10005,'設定'!$C$4,'月1回_1ヶ月前の在庫'!$W$6:$W$10005,$B371)+COUNTIFS('月1回_2ヶ月前の在庫'!$V$6:$V$10005,'設定'!$C$4,'月1回_2ヶ月前の在庫'!$W$6:$W$10005,$B371)&gt;0,1,0))</f>
        <v/>
      </c>
      <c r="M371" s="54">
        <f>N(M370)+$L371</f>
        <v/>
      </c>
      <c r="N371" s="54">
        <f>IF($B371="",0,COUNTIFS('①在庫を貼る'!$V$6:$V$10005,'設定'!$C$4,'①在庫を貼る'!$W$6:$W$10005,$B371))</f>
        <v/>
      </c>
    </row>
    <row r="372" ht="18" customHeight="1">
      <c r="B372" s="76" t="n"/>
      <c r="C372" s="77" t="n"/>
      <c r="D372" s="77" t="n"/>
      <c r="E372" s="77" t="n"/>
      <c r="F372" s="78" t="n"/>
      <c r="G372" s="79" t="n"/>
      <c r="H372" s="69" t="n"/>
      <c r="I372" s="44">
        <f>IF(OR($B372="",$H372=""),"",$H372*MAX(1,N($F372)))</f>
        <v/>
      </c>
      <c r="J372" s="80" t="n"/>
      <c r="K372" s="77" t="n"/>
      <c r="L372" s="54">
        <f>IF($B372="",0,IF(COUNTIFS('①在庫を貼る'!$V$6:$V$10005,'設定'!$C$4,'①在庫を貼る'!$W$6:$W$10005,$B372)+COUNTIFS('月1回_1ヶ月前の在庫'!$V$6:$V$10005,'設定'!$C$4,'月1回_1ヶ月前の在庫'!$W$6:$W$10005,$B372)+COUNTIFS('月1回_2ヶ月前の在庫'!$V$6:$V$10005,'設定'!$C$4,'月1回_2ヶ月前の在庫'!$W$6:$W$10005,$B372)&gt;0,1,0))</f>
        <v/>
      </c>
      <c r="M372" s="54">
        <f>N(M371)+$L372</f>
        <v/>
      </c>
      <c r="N372" s="54">
        <f>IF($B372="",0,COUNTIFS('①在庫を貼る'!$V$6:$V$10005,'設定'!$C$4,'①在庫を貼る'!$W$6:$W$10005,$B372))</f>
        <v/>
      </c>
    </row>
    <row r="373" ht="18" customHeight="1">
      <c r="B373" s="76" t="n"/>
      <c r="C373" s="77" t="n"/>
      <c r="D373" s="77" t="n"/>
      <c r="E373" s="77" t="n"/>
      <c r="F373" s="78" t="n"/>
      <c r="G373" s="79" t="n"/>
      <c r="H373" s="69" t="n"/>
      <c r="I373" s="44">
        <f>IF(OR($B373="",$H373=""),"",$H373*MAX(1,N($F373)))</f>
        <v/>
      </c>
      <c r="J373" s="80" t="n"/>
      <c r="K373" s="77" t="n"/>
      <c r="L373" s="54">
        <f>IF($B373="",0,IF(COUNTIFS('①在庫を貼る'!$V$6:$V$10005,'設定'!$C$4,'①在庫を貼る'!$W$6:$W$10005,$B373)+COUNTIFS('月1回_1ヶ月前の在庫'!$V$6:$V$10005,'設定'!$C$4,'月1回_1ヶ月前の在庫'!$W$6:$W$10005,$B373)+COUNTIFS('月1回_2ヶ月前の在庫'!$V$6:$V$10005,'設定'!$C$4,'月1回_2ヶ月前の在庫'!$W$6:$W$10005,$B373)&gt;0,1,0))</f>
        <v/>
      </c>
      <c r="M373" s="54">
        <f>N(M372)+$L373</f>
        <v/>
      </c>
      <c r="N373" s="54">
        <f>IF($B373="",0,COUNTIFS('①在庫を貼る'!$V$6:$V$10005,'設定'!$C$4,'①在庫を貼る'!$W$6:$W$10005,$B373))</f>
        <v/>
      </c>
    </row>
    <row r="374" ht="18" customHeight="1">
      <c r="B374" s="76" t="n"/>
      <c r="C374" s="77" t="n"/>
      <c r="D374" s="77" t="n"/>
      <c r="E374" s="77" t="n"/>
      <c r="F374" s="78" t="n"/>
      <c r="G374" s="79" t="n"/>
      <c r="H374" s="69" t="n"/>
      <c r="I374" s="44">
        <f>IF(OR($B374="",$H374=""),"",$H374*MAX(1,N($F374)))</f>
        <v/>
      </c>
      <c r="J374" s="80" t="n"/>
      <c r="K374" s="77" t="n"/>
      <c r="L374" s="54">
        <f>IF($B374="",0,IF(COUNTIFS('①在庫を貼る'!$V$6:$V$10005,'設定'!$C$4,'①在庫を貼る'!$W$6:$W$10005,$B374)+COUNTIFS('月1回_1ヶ月前の在庫'!$V$6:$V$10005,'設定'!$C$4,'月1回_1ヶ月前の在庫'!$W$6:$W$10005,$B374)+COUNTIFS('月1回_2ヶ月前の在庫'!$V$6:$V$10005,'設定'!$C$4,'月1回_2ヶ月前の在庫'!$W$6:$W$10005,$B374)&gt;0,1,0))</f>
        <v/>
      </c>
      <c r="M374" s="54">
        <f>N(M373)+$L374</f>
        <v/>
      </c>
      <c r="N374" s="54">
        <f>IF($B374="",0,COUNTIFS('①在庫を貼る'!$V$6:$V$10005,'設定'!$C$4,'①在庫を貼る'!$W$6:$W$10005,$B374))</f>
        <v/>
      </c>
    </row>
    <row r="375" ht="18" customHeight="1">
      <c r="B375" s="76" t="n"/>
      <c r="C375" s="77" t="n"/>
      <c r="D375" s="77" t="n"/>
      <c r="E375" s="77" t="n"/>
      <c r="F375" s="78" t="n"/>
      <c r="G375" s="79" t="n"/>
      <c r="H375" s="69" t="n"/>
      <c r="I375" s="44">
        <f>IF(OR($B375="",$H375=""),"",$H375*MAX(1,N($F375)))</f>
        <v/>
      </c>
      <c r="J375" s="80" t="n"/>
      <c r="K375" s="77" t="n"/>
      <c r="L375" s="54">
        <f>IF($B375="",0,IF(COUNTIFS('①在庫を貼る'!$V$6:$V$10005,'設定'!$C$4,'①在庫を貼る'!$W$6:$W$10005,$B375)+COUNTIFS('月1回_1ヶ月前の在庫'!$V$6:$V$10005,'設定'!$C$4,'月1回_1ヶ月前の在庫'!$W$6:$W$10005,$B375)+COUNTIFS('月1回_2ヶ月前の在庫'!$V$6:$V$10005,'設定'!$C$4,'月1回_2ヶ月前の在庫'!$W$6:$W$10005,$B375)&gt;0,1,0))</f>
        <v/>
      </c>
      <c r="M375" s="54">
        <f>N(M374)+$L375</f>
        <v/>
      </c>
      <c r="N375" s="54">
        <f>IF($B375="",0,COUNTIFS('①在庫を貼る'!$V$6:$V$10005,'設定'!$C$4,'①在庫を貼る'!$W$6:$W$10005,$B375))</f>
        <v/>
      </c>
    </row>
    <row r="376" ht="18" customHeight="1">
      <c r="B376" s="76" t="n"/>
      <c r="C376" s="77" t="n"/>
      <c r="D376" s="77" t="n"/>
      <c r="E376" s="77" t="n"/>
      <c r="F376" s="78" t="n"/>
      <c r="G376" s="79" t="n"/>
      <c r="H376" s="69" t="n"/>
      <c r="I376" s="44">
        <f>IF(OR($B376="",$H376=""),"",$H376*MAX(1,N($F376)))</f>
        <v/>
      </c>
      <c r="J376" s="80" t="n"/>
      <c r="K376" s="77" t="n"/>
      <c r="L376" s="54">
        <f>IF($B376="",0,IF(COUNTIFS('①在庫を貼る'!$V$6:$V$10005,'設定'!$C$4,'①在庫を貼る'!$W$6:$W$10005,$B376)+COUNTIFS('月1回_1ヶ月前の在庫'!$V$6:$V$10005,'設定'!$C$4,'月1回_1ヶ月前の在庫'!$W$6:$W$10005,$B376)+COUNTIFS('月1回_2ヶ月前の在庫'!$V$6:$V$10005,'設定'!$C$4,'月1回_2ヶ月前の在庫'!$W$6:$W$10005,$B376)&gt;0,1,0))</f>
        <v/>
      </c>
      <c r="M376" s="54">
        <f>N(M375)+$L376</f>
        <v/>
      </c>
      <c r="N376" s="54">
        <f>IF($B376="",0,COUNTIFS('①在庫を貼る'!$V$6:$V$10005,'設定'!$C$4,'①在庫を貼る'!$W$6:$W$10005,$B376))</f>
        <v/>
      </c>
    </row>
    <row r="377" ht="18" customHeight="1">
      <c r="B377" s="76" t="n"/>
      <c r="C377" s="77" t="n"/>
      <c r="D377" s="77" t="n"/>
      <c r="E377" s="77" t="n"/>
      <c r="F377" s="78" t="n"/>
      <c r="G377" s="79" t="n"/>
      <c r="H377" s="69" t="n"/>
      <c r="I377" s="44">
        <f>IF(OR($B377="",$H377=""),"",$H377*MAX(1,N($F377)))</f>
        <v/>
      </c>
      <c r="J377" s="80" t="n"/>
      <c r="K377" s="77" t="n"/>
      <c r="L377" s="54">
        <f>IF($B377="",0,IF(COUNTIFS('①在庫を貼る'!$V$6:$V$10005,'設定'!$C$4,'①在庫を貼る'!$W$6:$W$10005,$B377)+COUNTIFS('月1回_1ヶ月前の在庫'!$V$6:$V$10005,'設定'!$C$4,'月1回_1ヶ月前の在庫'!$W$6:$W$10005,$B377)+COUNTIFS('月1回_2ヶ月前の在庫'!$V$6:$V$10005,'設定'!$C$4,'月1回_2ヶ月前の在庫'!$W$6:$W$10005,$B377)&gt;0,1,0))</f>
        <v/>
      </c>
      <c r="M377" s="54">
        <f>N(M376)+$L377</f>
        <v/>
      </c>
      <c r="N377" s="54">
        <f>IF($B377="",0,COUNTIFS('①在庫を貼る'!$V$6:$V$10005,'設定'!$C$4,'①在庫を貼る'!$W$6:$W$10005,$B377))</f>
        <v/>
      </c>
    </row>
    <row r="378" ht="18" customHeight="1">
      <c r="B378" s="76" t="n"/>
      <c r="C378" s="77" t="n"/>
      <c r="D378" s="77" t="n"/>
      <c r="E378" s="77" t="n"/>
      <c r="F378" s="78" t="n"/>
      <c r="G378" s="79" t="n"/>
      <c r="H378" s="69" t="n"/>
      <c r="I378" s="44">
        <f>IF(OR($B378="",$H378=""),"",$H378*MAX(1,N($F378)))</f>
        <v/>
      </c>
      <c r="J378" s="80" t="n"/>
      <c r="K378" s="77" t="n"/>
      <c r="L378" s="54">
        <f>IF($B378="",0,IF(COUNTIFS('①在庫を貼る'!$V$6:$V$10005,'設定'!$C$4,'①在庫を貼る'!$W$6:$W$10005,$B378)+COUNTIFS('月1回_1ヶ月前の在庫'!$V$6:$V$10005,'設定'!$C$4,'月1回_1ヶ月前の在庫'!$W$6:$W$10005,$B378)+COUNTIFS('月1回_2ヶ月前の在庫'!$V$6:$V$10005,'設定'!$C$4,'月1回_2ヶ月前の在庫'!$W$6:$W$10005,$B378)&gt;0,1,0))</f>
        <v/>
      </c>
      <c r="M378" s="54">
        <f>N(M377)+$L378</f>
        <v/>
      </c>
      <c r="N378" s="54">
        <f>IF($B378="",0,COUNTIFS('①在庫を貼る'!$V$6:$V$10005,'設定'!$C$4,'①在庫を貼る'!$W$6:$W$10005,$B378))</f>
        <v/>
      </c>
    </row>
    <row r="379" ht="18" customHeight="1">
      <c r="B379" s="76" t="n"/>
      <c r="C379" s="77" t="n"/>
      <c r="D379" s="77" t="n"/>
      <c r="E379" s="77" t="n"/>
      <c r="F379" s="78" t="n"/>
      <c r="G379" s="79" t="n"/>
      <c r="H379" s="69" t="n"/>
      <c r="I379" s="44">
        <f>IF(OR($B379="",$H379=""),"",$H379*MAX(1,N($F379)))</f>
        <v/>
      </c>
      <c r="J379" s="80" t="n"/>
      <c r="K379" s="77" t="n"/>
      <c r="L379" s="54">
        <f>IF($B379="",0,IF(COUNTIFS('①在庫を貼る'!$V$6:$V$10005,'設定'!$C$4,'①在庫を貼る'!$W$6:$W$10005,$B379)+COUNTIFS('月1回_1ヶ月前の在庫'!$V$6:$V$10005,'設定'!$C$4,'月1回_1ヶ月前の在庫'!$W$6:$W$10005,$B379)+COUNTIFS('月1回_2ヶ月前の在庫'!$V$6:$V$10005,'設定'!$C$4,'月1回_2ヶ月前の在庫'!$W$6:$W$10005,$B379)&gt;0,1,0))</f>
        <v/>
      </c>
      <c r="M379" s="54">
        <f>N(M378)+$L379</f>
        <v/>
      </c>
      <c r="N379" s="54">
        <f>IF($B379="",0,COUNTIFS('①在庫を貼る'!$V$6:$V$10005,'設定'!$C$4,'①在庫を貼る'!$W$6:$W$10005,$B379))</f>
        <v/>
      </c>
    </row>
    <row r="380" ht="18" customHeight="1">
      <c r="B380" s="76" t="n"/>
      <c r="C380" s="77" t="n"/>
      <c r="D380" s="77" t="n"/>
      <c r="E380" s="77" t="n"/>
      <c r="F380" s="78" t="n"/>
      <c r="G380" s="79" t="n"/>
      <c r="H380" s="69" t="n"/>
      <c r="I380" s="44">
        <f>IF(OR($B380="",$H380=""),"",$H380*MAX(1,N($F380)))</f>
        <v/>
      </c>
      <c r="J380" s="80" t="n"/>
      <c r="K380" s="77" t="n"/>
      <c r="L380" s="54">
        <f>IF($B380="",0,IF(COUNTIFS('①在庫を貼る'!$V$6:$V$10005,'設定'!$C$4,'①在庫を貼る'!$W$6:$W$10005,$B380)+COUNTIFS('月1回_1ヶ月前の在庫'!$V$6:$V$10005,'設定'!$C$4,'月1回_1ヶ月前の在庫'!$W$6:$W$10005,$B380)+COUNTIFS('月1回_2ヶ月前の在庫'!$V$6:$V$10005,'設定'!$C$4,'月1回_2ヶ月前の在庫'!$W$6:$W$10005,$B380)&gt;0,1,0))</f>
        <v/>
      </c>
      <c r="M380" s="54">
        <f>N(M379)+$L380</f>
        <v/>
      </c>
      <c r="N380" s="54">
        <f>IF($B380="",0,COUNTIFS('①在庫を貼る'!$V$6:$V$10005,'設定'!$C$4,'①在庫を貼る'!$W$6:$W$10005,$B380))</f>
        <v/>
      </c>
    </row>
    <row r="381" ht="18" customHeight="1">
      <c r="B381" s="76" t="n"/>
      <c r="C381" s="77" t="n"/>
      <c r="D381" s="77" t="n"/>
      <c r="E381" s="77" t="n"/>
      <c r="F381" s="78" t="n"/>
      <c r="G381" s="79" t="n"/>
      <c r="H381" s="69" t="n"/>
      <c r="I381" s="44">
        <f>IF(OR($B381="",$H381=""),"",$H381*MAX(1,N($F381)))</f>
        <v/>
      </c>
      <c r="J381" s="80" t="n"/>
      <c r="K381" s="77" t="n"/>
      <c r="L381" s="54">
        <f>IF($B381="",0,IF(COUNTIFS('①在庫を貼る'!$V$6:$V$10005,'設定'!$C$4,'①在庫を貼る'!$W$6:$W$10005,$B381)+COUNTIFS('月1回_1ヶ月前の在庫'!$V$6:$V$10005,'設定'!$C$4,'月1回_1ヶ月前の在庫'!$W$6:$W$10005,$B381)+COUNTIFS('月1回_2ヶ月前の在庫'!$V$6:$V$10005,'設定'!$C$4,'月1回_2ヶ月前の在庫'!$W$6:$W$10005,$B381)&gt;0,1,0))</f>
        <v/>
      </c>
      <c r="M381" s="54">
        <f>N(M380)+$L381</f>
        <v/>
      </c>
      <c r="N381" s="54">
        <f>IF($B381="",0,COUNTIFS('①在庫を貼る'!$V$6:$V$10005,'設定'!$C$4,'①在庫を貼る'!$W$6:$W$10005,$B381))</f>
        <v/>
      </c>
    </row>
    <row r="382" ht="18" customHeight="1">
      <c r="B382" s="76" t="n"/>
      <c r="C382" s="77" t="n"/>
      <c r="D382" s="77" t="n"/>
      <c r="E382" s="77" t="n"/>
      <c r="F382" s="78" t="n"/>
      <c r="G382" s="79" t="n"/>
      <c r="H382" s="69" t="n"/>
      <c r="I382" s="44">
        <f>IF(OR($B382="",$H382=""),"",$H382*MAX(1,N($F382)))</f>
        <v/>
      </c>
      <c r="J382" s="80" t="n"/>
      <c r="K382" s="77" t="n"/>
      <c r="L382" s="54">
        <f>IF($B382="",0,IF(COUNTIFS('①在庫を貼る'!$V$6:$V$10005,'設定'!$C$4,'①在庫を貼る'!$W$6:$W$10005,$B382)+COUNTIFS('月1回_1ヶ月前の在庫'!$V$6:$V$10005,'設定'!$C$4,'月1回_1ヶ月前の在庫'!$W$6:$W$10005,$B382)+COUNTIFS('月1回_2ヶ月前の在庫'!$V$6:$V$10005,'設定'!$C$4,'月1回_2ヶ月前の在庫'!$W$6:$W$10005,$B382)&gt;0,1,0))</f>
        <v/>
      </c>
      <c r="M382" s="54">
        <f>N(M381)+$L382</f>
        <v/>
      </c>
      <c r="N382" s="54">
        <f>IF($B382="",0,COUNTIFS('①在庫を貼る'!$V$6:$V$10005,'設定'!$C$4,'①在庫を貼る'!$W$6:$W$10005,$B382))</f>
        <v/>
      </c>
    </row>
    <row r="383" ht="18" customHeight="1">
      <c r="B383" s="76" t="n"/>
      <c r="C383" s="77" t="n"/>
      <c r="D383" s="77" t="n"/>
      <c r="E383" s="77" t="n"/>
      <c r="F383" s="78" t="n"/>
      <c r="G383" s="79" t="n"/>
      <c r="H383" s="69" t="n"/>
      <c r="I383" s="44">
        <f>IF(OR($B383="",$H383=""),"",$H383*MAX(1,N($F383)))</f>
        <v/>
      </c>
      <c r="J383" s="80" t="n"/>
      <c r="K383" s="77" t="n"/>
      <c r="L383" s="54">
        <f>IF($B383="",0,IF(COUNTIFS('①在庫を貼る'!$V$6:$V$10005,'設定'!$C$4,'①在庫を貼る'!$W$6:$W$10005,$B383)+COUNTIFS('月1回_1ヶ月前の在庫'!$V$6:$V$10005,'設定'!$C$4,'月1回_1ヶ月前の在庫'!$W$6:$W$10005,$B383)+COUNTIFS('月1回_2ヶ月前の在庫'!$V$6:$V$10005,'設定'!$C$4,'月1回_2ヶ月前の在庫'!$W$6:$W$10005,$B383)&gt;0,1,0))</f>
        <v/>
      </c>
      <c r="M383" s="54">
        <f>N(M382)+$L383</f>
        <v/>
      </c>
      <c r="N383" s="54">
        <f>IF($B383="",0,COUNTIFS('①在庫を貼る'!$V$6:$V$10005,'設定'!$C$4,'①在庫を貼る'!$W$6:$W$10005,$B383))</f>
        <v/>
      </c>
    </row>
    <row r="384" ht="18" customHeight="1">
      <c r="B384" s="76" t="n"/>
      <c r="C384" s="77" t="n"/>
      <c r="D384" s="77" t="n"/>
      <c r="E384" s="77" t="n"/>
      <c r="F384" s="78" t="n"/>
      <c r="G384" s="79" t="n"/>
      <c r="H384" s="69" t="n"/>
      <c r="I384" s="44">
        <f>IF(OR($B384="",$H384=""),"",$H384*MAX(1,N($F384)))</f>
        <v/>
      </c>
      <c r="J384" s="80" t="n"/>
      <c r="K384" s="77" t="n"/>
      <c r="L384" s="54">
        <f>IF($B384="",0,IF(COUNTIFS('①在庫を貼る'!$V$6:$V$10005,'設定'!$C$4,'①在庫を貼る'!$W$6:$W$10005,$B384)+COUNTIFS('月1回_1ヶ月前の在庫'!$V$6:$V$10005,'設定'!$C$4,'月1回_1ヶ月前の在庫'!$W$6:$W$10005,$B384)+COUNTIFS('月1回_2ヶ月前の在庫'!$V$6:$V$10005,'設定'!$C$4,'月1回_2ヶ月前の在庫'!$W$6:$W$10005,$B384)&gt;0,1,0))</f>
        <v/>
      </c>
      <c r="M384" s="54">
        <f>N(M383)+$L384</f>
        <v/>
      </c>
      <c r="N384" s="54">
        <f>IF($B384="",0,COUNTIFS('①在庫を貼る'!$V$6:$V$10005,'設定'!$C$4,'①在庫を貼る'!$W$6:$W$10005,$B384))</f>
        <v/>
      </c>
    </row>
    <row r="385" ht="18" customHeight="1">
      <c r="B385" s="76" t="n"/>
      <c r="C385" s="77" t="n"/>
      <c r="D385" s="77" t="n"/>
      <c r="E385" s="77" t="n"/>
      <c r="F385" s="78" t="n"/>
      <c r="G385" s="79" t="n"/>
      <c r="H385" s="69" t="n"/>
      <c r="I385" s="44">
        <f>IF(OR($B385="",$H385=""),"",$H385*MAX(1,N($F385)))</f>
        <v/>
      </c>
      <c r="J385" s="80" t="n"/>
      <c r="K385" s="77" t="n"/>
      <c r="L385" s="54">
        <f>IF($B385="",0,IF(COUNTIFS('①在庫を貼る'!$V$6:$V$10005,'設定'!$C$4,'①在庫を貼る'!$W$6:$W$10005,$B385)+COUNTIFS('月1回_1ヶ月前の在庫'!$V$6:$V$10005,'設定'!$C$4,'月1回_1ヶ月前の在庫'!$W$6:$W$10005,$B385)+COUNTIFS('月1回_2ヶ月前の在庫'!$V$6:$V$10005,'設定'!$C$4,'月1回_2ヶ月前の在庫'!$W$6:$W$10005,$B385)&gt;0,1,0))</f>
        <v/>
      </c>
      <c r="M385" s="54">
        <f>N(M384)+$L385</f>
        <v/>
      </c>
      <c r="N385" s="54">
        <f>IF($B385="",0,COUNTIFS('①在庫を貼る'!$V$6:$V$10005,'設定'!$C$4,'①在庫を貼る'!$W$6:$W$10005,$B385))</f>
        <v/>
      </c>
    </row>
    <row r="386" ht="18" customHeight="1">
      <c r="B386" s="76" t="n"/>
      <c r="C386" s="77" t="n"/>
      <c r="D386" s="77" t="n"/>
      <c r="E386" s="77" t="n"/>
      <c r="F386" s="78" t="n"/>
      <c r="G386" s="79" t="n"/>
      <c r="H386" s="69" t="n"/>
      <c r="I386" s="44">
        <f>IF(OR($B386="",$H386=""),"",$H386*MAX(1,N($F386)))</f>
        <v/>
      </c>
      <c r="J386" s="80" t="n"/>
      <c r="K386" s="77" t="n"/>
      <c r="L386" s="54">
        <f>IF($B386="",0,IF(COUNTIFS('①在庫を貼る'!$V$6:$V$10005,'設定'!$C$4,'①在庫を貼る'!$W$6:$W$10005,$B386)+COUNTIFS('月1回_1ヶ月前の在庫'!$V$6:$V$10005,'設定'!$C$4,'月1回_1ヶ月前の在庫'!$W$6:$W$10005,$B386)+COUNTIFS('月1回_2ヶ月前の在庫'!$V$6:$V$10005,'設定'!$C$4,'月1回_2ヶ月前の在庫'!$W$6:$W$10005,$B386)&gt;0,1,0))</f>
        <v/>
      </c>
      <c r="M386" s="54">
        <f>N(M385)+$L386</f>
        <v/>
      </c>
      <c r="N386" s="54">
        <f>IF($B386="",0,COUNTIFS('①在庫を貼る'!$V$6:$V$10005,'設定'!$C$4,'①在庫を貼る'!$W$6:$W$10005,$B386))</f>
        <v/>
      </c>
    </row>
    <row r="387" ht="18" customHeight="1">
      <c r="B387" s="76" t="n"/>
      <c r="C387" s="77" t="n"/>
      <c r="D387" s="77" t="n"/>
      <c r="E387" s="77" t="n"/>
      <c r="F387" s="78" t="n"/>
      <c r="G387" s="79" t="n"/>
      <c r="H387" s="69" t="n"/>
      <c r="I387" s="44">
        <f>IF(OR($B387="",$H387=""),"",$H387*MAX(1,N($F387)))</f>
        <v/>
      </c>
      <c r="J387" s="80" t="n"/>
      <c r="K387" s="77" t="n"/>
      <c r="L387" s="54">
        <f>IF($B387="",0,IF(COUNTIFS('①在庫を貼る'!$V$6:$V$10005,'設定'!$C$4,'①在庫を貼る'!$W$6:$W$10005,$B387)+COUNTIFS('月1回_1ヶ月前の在庫'!$V$6:$V$10005,'設定'!$C$4,'月1回_1ヶ月前の在庫'!$W$6:$W$10005,$B387)+COUNTIFS('月1回_2ヶ月前の在庫'!$V$6:$V$10005,'設定'!$C$4,'月1回_2ヶ月前の在庫'!$W$6:$W$10005,$B387)&gt;0,1,0))</f>
        <v/>
      </c>
      <c r="M387" s="54">
        <f>N(M386)+$L387</f>
        <v/>
      </c>
      <c r="N387" s="54">
        <f>IF($B387="",0,COUNTIFS('①在庫を貼る'!$V$6:$V$10005,'設定'!$C$4,'①在庫を貼る'!$W$6:$W$10005,$B387))</f>
        <v/>
      </c>
    </row>
    <row r="388" ht="18" customHeight="1">
      <c r="B388" s="76" t="n"/>
      <c r="C388" s="77" t="n"/>
      <c r="D388" s="77" t="n"/>
      <c r="E388" s="77" t="n"/>
      <c r="F388" s="78" t="n"/>
      <c r="G388" s="79" t="n"/>
      <c r="H388" s="69" t="n"/>
      <c r="I388" s="44">
        <f>IF(OR($B388="",$H388=""),"",$H388*MAX(1,N($F388)))</f>
        <v/>
      </c>
      <c r="J388" s="80" t="n"/>
      <c r="K388" s="77" t="n"/>
      <c r="L388" s="54">
        <f>IF($B388="",0,IF(COUNTIFS('①在庫を貼る'!$V$6:$V$10005,'設定'!$C$4,'①在庫を貼る'!$W$6:$W$10005,$B388)+COUNTIFS('月1回_1ヶ月前の在庫'!$V$6:$V$10005,'設定'!$C$4,'月1回_1ヶ月前の在庫'!$W$6:$W$10005,$B388)+COUNTIFS('月1回_2ヶ月前の在庫'!$V$6:$V$10005,'設定'!$C$4,'月1回_2ヶ月前の在庫'!$W$6:$W$10005,$B388)&gt;0,1,0))</f>
        <v/>
      </c>
      <c r="M388" s="54">
        <f>N(M387)+$L388</f>
        <v/>
      </c>
      <c r="N388" s="54">
        <f>IF($B388="",0,COUNTIFS('①在庫を貼る'!$V$6:$V$10005,'設定'!$C$4,'①在庫を貼る'!$W$6:$W$10005,$B388))</f>
        <v/>
      </c>
    </row>
    <row r="389" ht="18" customHeight="1">
      <c r="B389" s="76" t="n"/>
      <c r="C389" s="77" t="n"/>
      <c r="D389" s="77" t="n"/>
      <c r="E389" s="77" t="n"/>
      <c r="F389" s="78" t="n"/>
      <c r="G389" s="79" t="n"/>
      <c r="H389" s="69" t="n"/>
      <c r="I389" s="44">
        <f>IF(OR($B389="",$H389=""),"",$H389*MAX(1,N($F389)))</f>
        <v/>
      </c>
      <c r="J389" s="80" t="n"/>
      <c r="K389" s="77" t="n"/>
      <c r="L389" s="54">
        <f>IF($B389="",0,IF(COUNTIFS('①在庫を貼る'!$V$6:$V$10005,'設定'!$C$4,'①在庫を貼る'!$W$6:$W$10005,$B389)+COUNTIFS('月1回_1ヶ月前の在庫'!$V$6:$V$10005,'設定'!$C$4,'月1回_1ヶ月前の在庫'!$W$6:$W$10005,$B389)+COUNTIFS('月1回_2ヶ月前の在庫'!$V$6:$V$10005,'設定'!$C$4,'月1回_2ヶ月前の在庫'!$W$6:$W$10005,$B389)&gt;0,1,0))</f>
        <v/>
      </c>
      <c r="M389" s="54">
        <f>N(M388)+$L389</f>
        <v/>
      </c>
      <c r="N389" s="54">
        <f>IF($B389="",0,COUNTIFS('①在庫を貼る'!$V$6:$V$10005,'設定'!$C$4,'①在庫を貼る'!$W$6:$W$10005,$B389))</f>
        <v/>
      </c>
    </row>
    <row r="390" ht="18" customHeight="1">
      <c r="B390" s="76" t="n"/>
      <c r="C390" s="77" t="n"/>
      <c r="D390" s="77" t="n"/>
      <c r="E390" s="77" t="n"/>
      <c r="F390" s="78" t="n"/>
      <c r="G390" s="79" t="n"/>
      <c r="H390" s="69" t="n"/>
      <c r="I390" s="44">
        <f>IF(OR($B390="",$H390=""),"",$H390*MAX(1,N($F390)))</f>
        <v/>
      </c>
      <c r="J390" s="80" t="n"/>
      <c r="K390" s="77" t="n"/>
      <c r="L390" s="54">
        <f>IF($B390="",0,IF(COUNTIFS('①在庫を貼る'!$V$6:$V$10005,'設定'!$C$4,'①在庫を貼る'!$W$6:$W$10005,$B390)+COUNTIFS('月1回_1ヶ月前の在庫'!$V$6:$V$10005,'設定'!$C$4,'月1回_1ヶ月前の在庫'!$W$6:$W$10005,$B390)+COUNTIFS('月1回_2ヶ月前の在庫'!$V$6:$V$10005,'設定'!$C$4,'月1回_2ヶ月前の在庫'!$W$6:$W$10005,$B390)&gt;0,1,0))</f>
        <v/>
      </c>
      <c r="M390" s="54">
        <f>N(M389)+$L390</f>
        <v/>
      </c>
      <c r="N390" s="54">
        <f>IF($B390="",0,COUNTIFS('①在庫を貼る'!$V$6:$V$10005,'設定'!$C$4,'①在庫を貼る'!$W$6:$W$10005,$B390))</f>
        <v/>
      </c>
    </row>
    <row r="391" ht="18" customHeight="1">
      <c r="B391" s="76" t="n"/>
      <c r="C391" s="77" t="n"/>
      <c r="D391" s="77" t="n"/>
      <c r="E391" s="77" t="n"/>
      <c r="F391" s="78" t="n"/>
      <c r="G391" s="79" t="n"/>
      <c r="H391" s="69" t="n"/>
      <c r="I391" s="44">
        <f>IF(OR($B391="",$H391=""),"",$H391*MAX(1,N($F391)))</f>
        <v/>
      </c>
      <c r="J391" s="80" t="n"/>
      <c r="K391" s="77" t="n"/>
      <c r="L391" s="54">
        <f>IF($B391="",0,IF(COUNTIFS('①在庫を貼る'!$V$6:$V$10005,'設定'!$C$4,'①在庫を貼る'!$W$6:$W$10005,$B391)+COUNTIFS('月1回_1ヶ月前の在庫'!$V$6:$V$10005,'設定'!$C$4,'月1回_1ヶ月前の在庫'!$W$6:$W$10005,$B391)+COUNTIFS('月1回_2ヶ月前の在庫'!$V$6:$V$10005,'設定'!$C$4,'月1回_2ヶ月前の在庫'!$W$6:$W$10005,$B391)&gt;0,1,0))</f>
        <v/>
      </c>
      <c r="M391" s="54">
        <f>N(M390)+$L391</f>
        <v/>
      </c>
      <c r="N391" s="54">
        <f>IF($B391="",0,COUNTIFS('①在庫を貼る'!$V$6:$V$10005,'設定'!$C$4,'①在庫を貼る'!$W$6:$W$10005,$B391))</f>
        <v/>
      </c>
    </row>
    <row r="392" ht="18" customHeight="1">
      <c r="B392" s="76" t="n"/>
      <c r="C392" s="77" t="n"/>
      <c r="D392" s="77" t="n"/>
      <c r="E392" s="77" t="n"/>
      <c r="F392" s="78" t="n"/>
      <c r="G392" s="79" t="n"/>
      <c r="H392" s="69" t="n"/>
      <c r="I392" s="44">
        <f>IF(OR($B392="",$H392=""),"",$H392*MAX(1,N($F392)))</f>
        <v/>
      </c>
      <c r="J392" s="80" t="n"/>
      <c r="K392" s="77" t="n"/>
      <c r="L392" s="54">
        <f>IF($B392="",0,IF(COUNTIFS('①在庫を貼る'!$V$6:$V$10005,'設定'!$C$4,'①在庫を貼る'!$W$6:$W$10005,$B392)+COUNTIFS('月1回_1ヶ月前の在庫'!$V$6:$V$10005,'設定'!$C$4,'月1回_1ヶ月前の在庫'!$W$6:$W$10005,$B392)+COUNTIFS('月1回_2ヶ月前の在庫'!$V$6:$V$10005,'設定'!$C$4,'月1回_2ヶ月前の在庫'!$W$6:$W$10005,$B392)&gt;0,1,0))</f>
        <v/>
      </c>
      <c r="M392" s="54">
        <f>N(M391)+$L392</f>
        <v/>
      </c>
      <c r="N392" s="54">
        <f>IF($B392="",0,COUNTIFS('①在庫を貼る'!$V$6:$V$10005,'設定'!$C$4,'①在庫を貼る'!$W$6:$W$10005,$B392))</f>
        <v/>
      </c>
    </row>
    <row r="393" ht="18" customHeight="1">
      <c r="B393" s="76" t="n"/>
      <c r="C393" s="77" t="n"/>
      <c r="D393" s="77" t="n"/>
      <c r="E393" s="77" t="n"/>
      <c r="F393" s="78" t="n"/>
      <c r="G393" s="79" t="n"/>
      <c r="H393" s="69" t="n"/>
      <c r="I393" s="44">
        <f>IF(OR($B393="",$H393=""),"",$H393*MAX(1,N($F393)))</f>
        <v/>
      </c>
      <c r="J393" s="80" t="n"/>
      <c r="K393" s="77" t="n"/>
      <c r="L393" s="54">
        <f>IF($B393="",0,IF(COUNTIFS('①在庫を貼る'!$V$6:$V$10005,'設定'!$C$4,'①在庫を貼る'!$W$6:$W$10005,$B393)+COUNTIFS('月1回_1ヶ月前の在庫'!$V$6:$V$10005,'設定'!$C$4,'月1回_1ヶ月前の在庫'!$W$6:$W$10005,$B393)+COUNTIFS('月1回_2ヶ月前の在庫'!$V$6:$V$10005,'設定'!$C$4,'月1回_2ヶ月前の在庫'!$W$6:$W$10005,$B393)&gt;0,1,0))</f>
        <v/>
      </c>
      <c r="M393" s="54">
        <f>N(M392)+$L393</f>
        <v/>
      </c>
      <c r="N393" s="54">
        <f>IF($B393="",0,COUNTIFS('①在庫を貼る'!$V$6:$V$10005,'設定'!$C$4,'①在庫を貼る'!$W$6:$W$10005,$B393))</f>
        <v/>
      </c>
    </row>
    <row r="394" ht="18" customHeight="1">
      <c r="B394" s="76" t="n"/>
      <c r="C394" s="77" t="n"/>
      <c r="D394" s="77" t="n"/>
      <c r="E394" s="77" t="n"/>
      <c r="F394" s="78" t="n"/>
      <c r="G394" s="79" t="n"/>
      <c r="H394" s="69" t="n"/>
      <c r="I394" s="44">
        <f>IF(OR($B394="",$H394=""),"",$H394*MAX(1,N($F394)))</f>
        <v/>
      </c>
      <c r="J394" s="80" t="n"/>
      <c r="K394" s="77" t="n"/>
      <c r="L394" s="54">
        <f>IF($B394="",0,IF(COUNTIFS('①在庫を貼る'!$V$6:$V$10005,'設定'!$C$4,'①在庫を貼る'!$W$6:$W$10005,$B394)+COUNTIFS('月1回_1ヶ月前の在庫'!$V$6:$V$10005,'設定'!$C$4,'月1回_1ヶ月前の在庫'!$W$6:$W$10005,$B394)+COUNTIFS('月1回_2ヶ月前の在庫'!$V$6:$V$10005,'設定'!$C$4,'月1回_2ヶ月前の在庫'!$W$6:$W$10005,$B394)&gt;0,1,0))</f>
        <v/>
      </c>
      <c r="M394" s="54">
        <f>N(M393)+$L394</f>
        <v/>
      </c>
      <c r="N394" s="54">
        <f>IF($B394="",0,COUNTIFS('①在庫を貼る'!$V$6:$V$10005,'設定'!$C$4,'①在庫を貼る'!$W$6:$W$10005,$B394))</f>
        <v/>
      </c>
    </row>
    <row r="395" ht="18" customHeight="1">
      <c r="B395" s="76" t="n"/>
      <c r="C395" s="77" t="n"/>
      <c r="D395" s="77" t="n"/>
      <c r="E395" s="77" t="n"/>
      <c r="F395" s="78" t="n"/>
      <c r="G395" s="79" t="n"/>
      <c r="H395" s="69" t="n"/>
      <c r="I395" s="44">
        <f>IF(OR($B395="",$H395=""),"",$H395*MAX(1,N($F395)))</f>
        <v/>
      </c>
      <c r="J395" s="80" t="n"/>
      <c r="K395" s="77" t="n"/>
      <c r="L395" s="54">
        <f>IF($B395="",0,IF(COUNTIFS('①在庫を貼る'!$V$6:$V$10005,'設定'!$C$4,'①在庫を貼る'!$W$6:$W$10005,$B395)+COUNTIFS('月1回_1ヶ月前の在庫'!$V$6:$V$10005,'設定'!$C$4,'月1回_1ヶ月前の在庫'!$W$6:$W$10005,$B395)+COUNTIFS('月1回_2ヶ月前の在庫'!$V$6:$V$10005,'設定'!$C$4,'月1回_2ヶ月前の在庫'!$W$6:$W$10005,$B395)&gt;0,1,0))</f>
        <v/>
      </c>
      <c r="M395" s="54">
        <f>N(M394)+$L395</f>
        <v/>
      </c>
      <c r="N395" s="54">
        <f>IF($B395="",0,COUNTIFS('①在庫を貼る'!$V$6:$V$10005,'設定'!$C$4,'①在庫を貼る'!$W$6:$W$10005,$B395))</f>
        <v/>
      </c>
    </row>
    <row r="396" ht="18" customHeight="1">
      <c r="B396" s="76" t="n"/>
      <c r="C396" s="77" t="n"/>
      <c r="D396" s="77" t="n"/>
      <c r="E396" s="77" t="n"/>
      <c r="F396" s="78" t="n"/>
      <c r="G396" s="79" t="n"/>
      <c r="H396" s="69" t="n"/>
      <c r="I396" s="44">
        <f>IF(OR($B396="",$H396=""),"",$H396*MAX(1,N($F396)))</f>
        <v/>
      </c>
      <c r="J396" s="80" t="n"/>
      <c r="K396" s="77" t="n"/>
      <c r="L396" s="54">
        <f>IF($B396="",0,IF(COUNTIFS('①在庫を貼る'!$V$6:$V$10005,'設定'!$C$4,'①在庫を貼る'!$W$6:$W$10005,$B396)+COUNTIFS('月1回_1ヶ月前の在庫'!$V$6:$V$10005,'設定'!$C$4,'月1回_1ヶ月前の在庫'!$W$6:$W$10005,$B396)+COUNTIFS('月1回_2ヶ月前の在庫'!$V$6:$V$10005,'設定'!$C$4,'月1回_2ヶ月前の在庫'!$W$6:$W$10005,$B396)&gt;0,1,0))</f>
        <v/>
      </c>
      <c r="M396" s="54">
        <f>N(M395)+$L396</f>
        <v/>
      </c>
      <c r="N396" s="54">
        <f>IF($B396="",0,COUNTIFS('①在庫を貼る'!$V$6:$V$10005,'設定'!$C$4,'①在庫を貼る'!$W$6:$W$10005,$B396))</f>
        <v/>
      </c>
    </row>
    <row r="397" ht="18" customHeight="1">
      <c r="B397" s="76" t="n"/>
      <c r="C397" s="77" t="n"/>
      <c r="D397" s="77" t="n"/>
      <c r="E397" s="77" t="n"/>
      <c r="F397" s="78" t="n"/>
      <c r="G397" s="79" t="n"/>
      <c r="H397" s="69" t="n"/>
      <c r="I397" s="44">
        <f>IF(OR($B397="",$H397=""),"",$H397*MAX(1,N($F397)))</f>
        <v/>
      </c>
      <c r="J397" s="80" t="n"/>
      <c r="K397" s="77" t="n"/>
      <c r="L397" s="54">
        <f>IF($B397="",0,IF(COUNTIFS('①在庫を貼る'!$V$6:$V$10005,'設定'!$C$4,'①在庫を貼る'!$W$6:$W$10005,$B397)+COUNTIFS('月1回_1ヶ月前の在庫'!$V$6:$V$10005,'設定'!$C$4,'月1回_1ヶ月前の在庫'!$W$6:$W$10005,$B397)+COUNTIFS('月1回_2ヶ月前の在庫'!$V$6:$V$10005,'設定'!$C$4,'月1回_2ヶ月前の在庫'!$W$6:$W$10005,$B397)&gt;0,1,0))</f>
        <v/>
      </c>
      <c r="M397" s="54">
        <f>N(M396)+$L397</f>
        <v/>
      </c>
      <c r="N397" s="54">
        <f>IF($B397="",0,COUNTIFS('①在庫を貼る'!$V$6:$V$10005,'設定'!$C$4,'①在庫を貼る'!$W$6:$W$10005,$B397))</f>
        <v/>
      </c>
    </row>
    <row r="398" ht="18" customHeight="1">
      <c r="B398" s="76" t="n"/>
      <c r="C398" s="77" t="n"/>
      <c r="D398" s="77" t="n"/>
      <c r="E398" s="77" t="n"/>
      <c r="F398" s="78" t="n"/>
      <c r="G398" s="79" t="n"/>
      <c r="H398" s="69" t="n"/>
      <c r="I398" s="44">
        <f>IF(OR($B398="",$H398=""),"",$H398*MAX(1,N($F398)))</f>
        <v/>
      </c>
      <c r="J398" s="80" t="n"/>
      <c r="K398" s="77" t="n"/>
      <c r="L398" s="54">
        <f>IF($B398="",0,IF(COUNTIFS('①在庫を貼る'!$V$6:$V$10005,'設定'!$C$4,'①在庫を貼る'!$W$6:$W$10005,$B398)+COUNTIFS('月1回_1ヶ月前の在庫'!$V$6:$V$10005,'設定'!$C$4,'月1回_1ヶ月前の在庫'!$W$6:$W$10005,$B398)+COUNTIFS('月1回_2ヶ月前の在庫'!$V$6:$V$10005,'設定'!$C$4,'月1回_2ヶ月前の在庫'!$W$6:$W$10005,$B398)&gt;0,1,0))</f>
        <v/>
      </c>
      <c r="M398" s="54">
        <f>N(M397)+$L398</f>
        <v/>
      </c>
      <c r="N398" s="54">
        <f>IF($B398="",0,COUNTIFS('①在庫を貼る'!$V$6:$V$10005,'設定'!$C$4,'①在庫を貼る'!$W$6:$W$10005,$B398))</f>
        <v/>
      </c>
    </row>
    <row r="399" ht="18" customHeight="1">
      <c r="B399" s="76" t="n"/>
      <c r="C399" s="77" t="n"/>
      <c r="D399" s="77" t="n"/>
      <c r="E399" s="77" t="n"/>
      <c r="F399" s="78" t="n"/>
      <c r="G399" s="79" t="n"/>
      <c r="H399" s="69" t="n"/>
      <c r="I399" s="44">
        <f>IF(OR($B399="",$H399=""),"",$H399*MAX(1,N($F399)))</f>
        <v/>
      </c>
      <c r="J399" s="80" t="n"/>
      <c r="K399" s="77" t="n"/>
      <c r="L399" s="54">
        <f>IF($B399="",0,IF(COUNTIFS('①在庫を貼る'!$V$6:$V$10005,'設定'!$C$4,'①在庫を貼る'!$W$6:$W$10005,$B399)+COUNTIFS('月1回_1ヶ月前の在庫'!$V$6:$V$10005,'設定'!$C$4,'月1回_1ヶ月前の在庫'!$W$6:$W$10005,$B399)+COUNTIFS('月1回_2ヶ月前の在庫'!$V$6:$V$10005,'設定'!$C$4,'月1回_2ヶ月前の在庫'!$W$6:$W$10005,$B399)&gt;0,1,0))</f>
        <v/>
      </c>
      <c r="M399" s="54">
        <f>N(M398)+$L399</f>
        <v/>
      </c>
      <c r="N399" s="54">
        <f>IF($B399="",0,COUNTIFS('①在庫を貼る'!$V$6:$V$10005,'設定'!$C$4,'①在庫を貼る'!$W$6:$W$10005,$B399))</f>
        <v/>
      </c>
    </row>
    <row r="400" ht="18" customHeight="1">
      <c r="B400" s="76" t="n"/>
      <c r="C400" s="77" t="n"/>
      <c r="D400" s="77" t="n"/>
      <c r="E400" s="77" t="n"/>
      <c r="F400" s="78" t="n"/>
      <c r="G400" s="79" t="n"/>
      <c r="H400" s="69" t="n"/>
      <c r="I400" s="44">
        <f>IF(OR($B400="",$H400=""),"",$H400*MAX(1,N($F400)))</f>
        <v/>
      </c>
      <c r="J400" s="80" t="n"/>
      <c r="K400" s="77" t="n"/>
      <c r="L400" s="54">
        <f>IF($B400="",0,IF(COUNTIFS('①在庫を貼る'!$V$6:$V$10005,'設定'!$C$4,'①在庫を貼る'!$W$6:$W$10005,$B400)+COUNTIFS('月1回_1ヶ月前の在庫'!$V$6:$V$10005,'設定'!$C$4,'月1回_1ヶ月前の在庫'!$W$6:$W$10005,$B400)+COUNTIFS('月1回_2ヶ月前の在庫'!$V$6:$V$10005,'設定'!$C$4,'月1回_2ヶ月前の在庫'!$W$6:$W$10005,$B400)&gt;0,1,0))</f>
        <v/>
      </c>
      <c r="M400" s="54">
        <f>N(M399)+$L400</f>
        <v/>
      </c>
      <c r="N400" s="54">
        <f>IF($B400="",0,COUNTIFS('①在庫を貼る'!$V$6:$V$10005,'設定'!$C$4,'①在庫を貼る'!$W$6:$W$10005,$B400))</f>
        <v/>
      </c>
    </row>
    <row r="401" ht="18" customHeight="1">
      <c r="B401" s="76" t="n"/>
      <c r="C401" s="77" t="n"/>
      <c r="D401" s="77" t="n"/>
      <c r="E401" s="77" t="n"/>
      <c r="F401" s="78" t="n"/>
      <c r="G401" s="79" t="n"/>
      <c r="H401" s="69" t="n"/>
      <c r="I401" s="44">
        <f>IF(OR($B401="",$H401=""),"",$H401*MAX(1,N($F401)))</f>
        <v/>
      </c>
      <c r="J401" s="80" t="n"/>
      <c r="K401" s="77" t="n"/>
      <c r="L401" s="54">
        <f>IF($B401="",0,IF(COUNTIFS('①在庫を貼る'!$V$6:$V$10005,'設定'!$C$4,'①在庫を貼る'!$W$6:$W$10005,$B401)+COUNTIFS('月1回_1ヶ月前の在庫'!$V$6:$V$10005,'設定'!$C$4,'月1回_1ヶ月前の在庫'!$W$6:$W$10005,$B401)+COUNTIFS('月1回_2ヶ月前の在庫'!$V$6:$V$10005,'設定'!$C$4,'月1回_2ヶ月前の在庫'!$W$6:$W$10005,$B401)&gt;0,1,0))</f>
        <v/>
      </c>
      <c r="M401" s="54">
        <f>N(M400)+$L401</f>
        <v/>
      </c>
      <c r="N401" s="54">
        <f>IF($B401="",0,COUNTIFS('①在庫を貼る'!$V$6:$V$10005,'設定'!$C$4,'①在庫を貼る'!$W$6:$W$10005,$B401))</f>
        <v/>
      </c>
    </row>
    <row r="402" ht="18" customHeight="1">
      <c r="B402" s="76" t="n"/>
      <c r="C402" s="77" t="n"/>
      <c r="D402" s="77" t="n"/>
      <c r="E402" s="77" t="n"/>
      <c r="F402" s="78" t="n"/>
      <c r="G402" s="79" t="n"/>
      <c r="H402" s="69" t="n"/>
      <c r="I402" s="44">
        <f>IF(OR($B402="",$H402=""),"",$H402*MAX(1,N($F402)))</f>
        <v/>
      </c>
      <c r="J402" s="80" t="n"/>
      <c r="K402" s="77" t="n"/>
      <c r="L402" s="54">
        <f>IF($B402="",0,IF(COUNTIFS('①在庫を貼る'!$V$6:$V$10005,'設定'!$C$4,'①在庫を貼る'!$W$6:$W$10005,$B402)+COUNTIFS('月1回_1ヶ月前の在庫'!$V$6:$V$10005,'設定'!$C$4,'月1回_1ヶ月前の在庫'!$W$6:$W$10005,$B402)+COUNTIFS('月1回_2ヶ月前の在庫'!$V$6:$V$10005,'設定'!$C$4,'月1回_2ヶ月前の在庫'!$W$6:$W$10005,$B402)&gt;0,1,0))</f>
        <v/>
      </c>
      <c r="M402" s="54">
        <f>N(M401)+$L402</f>
        <v/>
      </c>
      <c r="N402" s="54">
        <f>IF($B402="",0,COUNTIFS('①在庫を貼る'!$V$6:$V$10005,'設定'!$C$4,'①在庫を貼る'!$W$6:$W$10005,$B402))</f>
        <v/>
      </c>
    </row>
    <row r="403" ht="18" customHeight="1">
      <c r="B403" s="76" t="n"/>
      <c r="C403" s="77" t="n"/>
      <c r="D403" s="77" t="n"/>
      <c r="E403" s="77" t="n"/>
      <c r="F403" s="78" t="n"/>
      <c r="G403" s="79" t="n"/>
      <c r="H403" s="69" t="n"/>
      <c r="I403" s="44">
        <f>IF(OR($B403="",$H403=""),"",$H403*MAX(1,N($F403)))</f>
        <v/>
      </c>
      <c r="J403" s="80" t="n"/>
      <c r="K403" s="77" t="n"/>
      <c r="L403" s="54">
        <f>IF($B403="",0,IF(COUNTIFS('①在庫を貼る'!$V$6:$V$10005,'設定'!$C$4,'①在庫を貼る'!$W$6:$W$10005,$B403)+COUNTIFS('月1回_1ヶ月前の在庫'!$V$6:$V$10005,'設定'!$C$4,'月1回_1ヶ月前の在庫'!$W$6:$W$10005,$B403)+COUNTIFS('月1回_2ヶ月前の在庫'!$V$6:$V$10005,'設定'!$C$4,'月1回_2ヶ月前の在庫'!$W$6:$W$10005,$B403)&gt;0,1,0))</f>
        <v/>
      </c>
      <c r="M403" s="54">
        <f>N(M402)+$L403</f>
        <v/>
      </c>
      <c r="N403" s="54">
        <f>IF($B403="",0,COUNTIFS('①在庫を貼る'!$V$6:$V$10005,'設定'!$C$4,'①在庫を貼る'!$W$6:$W$10005,$B403))</f>
        <v/>
      </c>
    </row>
    <row r="404" ht="18" customHeight="1">
      <c r="B404" s="76" t="n"/>
      <c r="C404" s="77" t="n"/>
      <c r="D404" s="77" t="n"/>
      <c r="E404" s="77" t="n"/>
      <c r="F404" s="78" t="n"/>
      <c r="G404" s="79" t="n"/>
      <c r="H404" s="69" t="n"/>
      <c r="I404" s="44">
        <f>IF(OR($B404="",$H404=""),"",$H404*MAX(1,N($F404)))</f>
        <v/>
      </c>
      <c r="J404" s="80" t="n"/>
      <c r="K404" s="77" t="n"/>
      <c r="L404" s="54">
        <f>IF($B404="",0,IF(COUNTIFS('①在庫を貼る'!$V$6:$V$10005,'設定'!$C$4,'①在庫を貼る'!$W$6:$W$10005,$B404)+COUNTIFS('月1回_1ヶ月前の在庫'!$V$6:$V$10005,'設定'!$C$4,'月1回_1ヶ月前の在庫'!$W$6:$W$10005,$B404)+COUNTIFS('月1回_2ヶ月前の在庫'!$V$6:$V$10005,'設定'!$C$4,'月1回_2ヶ月前の在庫'!$W$6:$W$10005,$B404)&gt;0,1,0))</f>
        <v/>
      </c>
      <c r="M404" s="54">
        <f>N(M403)+$L404</f>
        <v/>
      </c>
      <c r="N404" s="54">
        <f>IF($B404="",0,COUNTIFS('①在庫を貼る'!$V$6:$V$10005,'設定'!$C$4,'①在庫を貼る'!$W$6:$W$10005,$B404))</f>
        <v/>
      </c>
    </row>
    <row r="405" ht="18" customHeight="1">
      <c r="B405" s="76" t="n"/>
      <c r="C405" s="77" t="n"/>
      <c r="D405" s="77" t="n"/>
      <c r="E405" s="77" t="n"/>
      <c r="F405" s="78" t="n"/>
      <c r="G405" s="79" t="n"/>
      <c r="H405" s="69" t="n"/>
      <c r="I405" s="44">
        <f>IF(OR($B405="",$H405=""),"",$H405*MAX(1,N($F405)))</f>
        <v/>
      </c>
      <c r="J405" s="80" t="n"/>
      <c r="K405" s="77" t="n"/>
      <c r="L405" s="54">
        <f>IF($B405="",0,IF(COUNTIFS('①在庫を貼る'!$V$6:$V$10005,'設定'!$C$4,'①在庫を貼る'!$W$6:$W$10005,$B405)+COUNTIFS('月1回_1ヶ月前の在庫'!$V$6:$V$10005,'設定'!$C$4,'月1回_1ヶ月前の在庫'!$W$6:$W$10005,$B405)+COUNTIFS('月1回_2ヶ月前の在庫'!$V$6:$V$10005,'設定'!$C$4,'月1回_2ヶ月前の在庫'!$W$6:$W$10005,$B405)&gt;0,1,0))</f>
        <v/>
      </c>
      <c r="M405" s="54">
        <f>N(M404)+$L405</f>
        <v/>
      </c>
      <c r="N405" s="54">
        <f>IF($B405="",0,COUNTIFS('①在庫を貼る'!$V$6:$V$10005,'設定'!$C$4,'①在庫を貼る'!$W$6:$W$10005,$B405))</f>
        <v/>
      </c>
    </row>
    <row r="406" ht="18" customHeight="1">
      <c r="B406" s="76" t="n"/>
      <c r="C406" s="77" t="n"/>
      <c r="D406" s="77" t="n"/>
      <c r="E406" s="77" t="n"/>
      <c r="F406" s="78" t="n"/>
      <c r="G406" s="79" t="n"/>
      <c r="H406" s="69" t="n"/>
      <c r="I406" s="44">
        <f>IF(OR($B406="",$H406=""),"",$H406*MAX(1,N($F406)))</f>
        <v/>
      </c>
      <c r="J406" s="80" t="n"/>
      <c r="K406" s="77" t="n"/>
      <c r="L406" s="54">
        <f>IF($B406="",0,IF(COUNTIFS('①在庫を貼る'!$V$6:$V$10005,'設定'!$C$4,'①在庫を貼る'!$W$6:$W$10005,$B406)+COUNTIFS('月1回_1ヶ月前の在庫'!$V$6:$V$10005,'設定'!$C$4,'月1回_1ヶ月前の在庫'!$W$6:$W$10005,$B406)+COUNTIFS('月1回_2ヶ月前の在庫'!$V$6:$V$10005,'設定'!$C$4,'月1回_2ヶ月前の在庫'!$W$6:$W$10005,$B406)&gt;0,1,0))</f>
        <v/>
      </c>
      <c r="M406" s="54">
        <f>N(M405)+$L406</f>
        <v/>
      </c>
      <c r="N406" s="54">
        <f>IF($B406="",0,COUNTIFS('①在庫を貼る'!$V$6:$V$10005,'設定'!$C$4,'①在庫を貼る'!$W$6:$W$10005,$B406))</f>
        <v/>
      </c>
    </row>
    <row r="407" ht="18" customHeight="1">
      <c r="B407" s="76" t="n"/>
      <c r="C407" s="77" t="n"/>
      <c r="D407" s="77" t="n"/>
      <c r="E407" s="77" t="n"/>
      <c r="F407" s="78" t="n"/>
      <c r="G407" s="79" t="n"/>
      <c r="H407" s="69" t="n"/>
      <c r="I407" s="44">
        <f>IF(OR($B407="",$H407=""),"",$H407*MAX(1,N($F407)))</f>
        <v/>
      </c>
      <c r="J407" s="80" t="n"/>
      <c r="K407" s="77" t="n"/>
      <c r="L407" s="54">
        <f>IF($B407="",0,IF(COUNTIFS('①在庫を貼る'!$V$6:$V$10005,'設定'!$C$4,'①在庫を貼る'!$W$6:$W$10005,$B407)+COUNTIFS('月1回_1ヶ月前の在庫'!$V$6:$V$10005,'設定'!$C$4,'月1回_1ヶ月前の在庫'!$W$6:$W$10005,$B407)+COUNTIFS('月1回_2ヶ月前の在庫'!$V$6:$V$10005,'設定'!$C$4,'月1回_2ヶ月前の在庫'!$W$6:$W$10005,$B407)&gt;0,1,0))</f>
        <v/>
      </c>
      <c r="M407" s="54">
        <f>N(M406)+$L407</f>
        <v/>
      </c>
      <c r="N407" s="54">
        <f>IF($B407="",0,COUNTIFS('①在庫を貼る'!$V$6:$V$10005,'設定'!$C$4,'①在庫を貼る'!$W$6:$W$10005,$B407))</f>
        <v/>
      </c>
    </row>
    <row r="408" ht="18" customHeight="1">
      <c r="B408" s="76" t="n"/>
      <c r="C408" s="77" t="n"/>
      <c r="D408" s="77" t="n"/>
      <c r="E408" s="77" t="n"/>
      <c r="F408" s="78" t="n"/>
      <c r="G408" s="79" t="n"/>
      <c r="H408" s="69" t="n"/>
      <c r="I408" s="44">
        <f>IF(OR($B408="",$H408=""),"",$H408*MAX(1,N($F408)))</f>
        <v/>
      </c>
      <c r="J408" s="80" t="n"/>
      <c r="K408" s="77" t="n"/>
      <c r="L408" s="54">
        <f>IF($B408="",0,IF(COUNTIFS('①在庫を貼る'!$V$6:$V$10005,'設定'!$C$4,'①在庫を貼る'!$W$6:$W$10005,$B408)+COUNTIFS('月1回_1ヶ月前の在庫'!$V$6:$V$10005,'設定'!$C$4,'月1回_1ヶ月前の在庫'!$W$6:$W$10005,$B408)+COUNTIFS('月1回_2ヶ月前の在庫'!$V$6:$V$10005,'設定'!$C$4,'月1回_2ヶ月前の在庫'!$W$6:$W$10005,$B408)&gt;0,1,0))</f>
        <v/>
      </c>
      <c r="M408" s="54">
        <f>N(M407)+$L408</f>
        <v/>
      </c>
      <c r="N408" s="54">
        <f>IF($B408="",0,COUNTIFS('①在庫を貼る'!$V$6:$V$10005,'設定'!$C$4,'①在庫を貼る'!$W$6:$W$10005,$B408))</f>
        <v/>
      </c>
    </row>
    <row r="409" ht="18" customHeight="1">
      <c r="B409" s="76" t="n"/>
      <c r="C409" s="77" t="n"/>
      <c r="D409" s="77" t="n"/>
      <c r="E409" s="77" t="n"/>
      <c r="F409" s="78" t="n"/>
      <c r="G409" s="79" t="n"/>
      <c r="H409" s="69" t="n"/>
      <c r="I409" s="44">
        <f>IF(OR($B409="",$H409=""),"",$H409*MAX(1,N($F409)))</f>
        <v/>
      </c>
      <c r="J409" s="80" t="n"/>
      <c r="K409" s="77" t="n"/>
      <c r="L409" s="54">
        <f>IF($B409="",0,IF(COUNTIFS('①在庫を貼る'!$V$6:$V$10005,'設定'!$C$4,'①在庫を貼る'!$W$6:$W$10005,$B409)+COUNTIFS('月1回_1ヶ月前の在庫'!$V$6:$V$10005,'設定'!$C$4,'月1回_1ヶ月前の在庫'!$W$6:$W$10005,$B409)+COUNTIFS('月1回_2ヶ月前の在庫'!$V$6:$V$10005,'設定'!$C$4,'月1回_2ヶ月前の在庫'!$W$6:$W$10005,$B409)&gt;0,1,0))</f>
        <v/>
      </c>
      <c r="M409" s="54">
        <f>N(M408)+$L409</f>
        <v/>
      </c>
      <c r="N409" s="54">
        <f>IF($B409="",0,COUNTIFS('①在庫を貼る'!$V$6:$V$10005,'設定'!$C$4,'①在庫を貼る'!$W$6:$W$10005,$B409))</f>
        <v/>
      </c>
    </row>
    <row r="410" ht="18" customHeight="1">
      <c r="B410" s="76" t="n"/>
      <c r="C410" s="77" t="n"/>
      <c r="D410" s="77" t="n"/>
      <c r="E410" s="77" t="n"/>
      <c r="F410" s="78" t="n"/>
      <c r="G410" s="79" t="n"/>
      <c r="H410" s="69" t="n"/>
      <c r="I410" s="44">
        <f>IF(OR($B410="",$H410=""),"",$H410*MAX(1,N($F410)))</f>
        <v/>
      </c>
      <c r="J410" s="80" t="n"/>
      <c r="K410" s="77" t="n"/>
      <c r="L410" s="54">
        <f>IF($B410="",0,IF(COUNTIFS('①在庫を貼る'!$V$6:$V$10005,'設定'!$C$4,'①在庫を貼る'!$W$6:$W$10005,$B410)+COUNTIFS('月1回_1ヶ月前の在庫'!$V$6:$V$10005,'設定'!$C$4,'月1回_1ヶ月前の在庫'!$W$6:$W$10005,$B410)+COUNTIFS('月1回_2ヶ月前の在庫'!$V$6:$V$10005,'設定'!$C$4,'月1回_2ヶ月前の在庫'!$W$6:$W$10005,$B410)&gt;0,1,0))</f>
        <v/>
      </c>
      <c r="M410" s="54">
        <f>N(M409)+$L410</f>
        <v/>
      </c>
      <c r="N410" s="54">
        <f>IF($B410="",0,COUNTIFS('①在庫を貼る'!$V$6:$V$10005,'設定'!$C$4,'①在庫を貼る'!$W$6:$W$10005,$B410))</f>
        <v/>
      </c>
    </row>
    <row r="411" ht="18" customHeight="1">
      <c r="B411" s="76" t="n"/>
      <c r="C411" s="77" t="n"/>
      <c r="D411" s="77" t="n"/>
      <c r="E411" s="77" t="n"/>
      <c r="F411" s="78" t="n"/>
      <c r="G411" s="79" t="n"/>
      <c r="H411" s="69" t="n"/>
      <c r="I411" s="44">
        <f>IF(OR($B411="",$H411=""),"",$H411*MAX(1,N($F411)))</f>
        <v/>
      </c>
      <c r="J411" s="80" t="n"/>
      <c r="K411" s="77" t="n"/>
      <c r="L411" s="54">
        <f>IF($B411="",0,IF(COUNTIFS('①在庫を貼る'!$V$6:$V$10005,'設定'!$C$4,'①在庫を貼る'!$W$6:$W$10005,$B411)+COUNTIFS('月1回_1ヶ月前の在庫'!$V$6:$V$10005,'設定'!$C$4,'月1回_1ヶ月前の在庫'!$W$6:$W$10005,$B411)+COUNTIFS('月1回_2ヶ月前の在庫'!$V$6:$V$10005,'設定'!$C$4,'月1回_2ヶ月前の在庫'!$W$6:$W$10005,$B411)&gt;0,1,0))</f>
        <v/>
      </c>
      <c r="M411" s="54">
        <f>N(M410)+$L411</f>
        <v/>
      </c>
      <c r="N411" s="54">
        <f>IF($B411="",0,COUNTIFS('①在庫を貼る'!$V$6:$V$10005,'設定'!$C$4,'①在庫を貼る'!$W$6:$W$10005,$B411))</f>
        <v/>
      </c>
    </row>
    <row r="412" ht="18" customHeight="1">
      <c r="B412" s="76" t="n"/>
      <c r="C412" s="77" t="n"/>
      <c r="D412" s="77" t="n"/>
      <c r="E412" s="77" t="n"/>
      <c r="F412" s="78" t="n"/>
      <c r="G412" s="79" t="n"/>
      <c r="H412" s="69" t="n"/>
      <c r="I412" s="44">
        <f>IF(OR($B412="",$H412=""),"",$H412*MAX(1,N($F412)))</f>
        <v/>
      </c>
      <c r="J412" s="80" t="n"/>
      <c r="K412" s="77" t="n"/>
      <c r="L412" s="54">
        <f>IF($B412="",0,IF(COUNTIFS('①在庫を貼る'!$V$6:$V$10005,'設定'!$C$4,'①在庫を貼る'!$W$6:$W$10005,$B412)+COUNTIFS('月1回_1ヶ月前の在庫'!$V$6:$V$10005,'設定'!$C$4,'月1回_1ヶ月前の在庫'!$W$6:$W$10005,$B412)+COUNTIFS('月1回_2ヶ月前の在庫'!$V$6:$V$10005,'設定'!$C$4,'月1回_2ヶ月前の在庫'!$W$6:$W$10005,$B412)&gt;0,1,0))</f>
        <v/>
      </c>
      <c r="M412" s="54">
        <f>N(M411)+$L412</f>
        <v/>
      </c>
      <c r="N412" s="54">
        <f>IF($B412="",0,COUNTIFS('①在庫を貼る'!$V$6:$V$10005,'設定'!$C$4,'①在庫を貼る'!$W$6:$W$10005,$B412))</f>
        <v/>
      </c>
    </row>
    <row r="413" ht="18" customHeight="1">
      <c r="B413" s="76" t="n"/>
      <c r="C413" s="77" t="n"/>
      <c r="D413" s="77" t="n"/>
      <c r="E413" s="77" t="n"/>
      <c r="F413" s="78" t="n"/>
      <c r="G413" s="79" t="n"/>
      <c r="H413" s="69" t="n"/>
      <c r="I413" s="44">
        <f>IF(OR($B413="",$H413=""),"",$H413*MAX(1,N($F413)))</f>
        <v/>
      </c>
      <c r="J413" s="80" t="n"/>
      <c r="K413" s="77" t="n"/>
      <c r="L413" s="54">
        <f>IF($B413="",0,IF(COUNTIFS('①在庫を貼る'!$V$6:$V$10005,'設定'!$C$4,'①在庫を貼る'!$W$6:$W$10005,$B413)+COUNTIFS('月1回_1ヶ月前の在庫'!$V$6:$V$10005,'設定'!$C$4,'月1回_1ヶ月前の在庫'!$W$6:$W$10005,$B413)+COUNTIFS('月1回_2ヶ月前の在庫'!$V$6:$V$10005,'設定'!$C$4,'月1回_2ヶ月前の在庫'!$W$6:$W$10005,$B413)&gt;0,1,0))</f>
        <v/>
      </c>
      <c r="M413" s="54">
        <f>N(M412)+$L413</f>
        <v/>
      </c>
      <c r="N413" s="54">
        <f>IF($B413="",0,COUNTIFS('①在庫を貼る'!$V$6:$V$10005,'設定'!$C$4,'①在庫を貼る'!$W$6:$W$10005,$B413))</f>
        <v/>
      </c>
    </row>
    <row r="414" ht="18" customHeight="1">
      <c r="B414" s="76" t="n"/>
      <c r="C414" s="77" t="n"/>
      <c r="D414" s="77" t="n"/>
      <c r="E414" s="77" t="n"/>
      <c r="F414" s="78" t="n"/>
      <c r="G414" s="79" t="n"/>
      <c r="H414" s="69" t="n"/>
      <c r="I414" s="44">
        <f>IF(OR($B414="",$H414=""),"",$H414*MAX(1,N($F414)))</f>
        <v/>
      </c>
      <c r="J414" s="80" t="n"/>
      <c r="K414" s="77" t="n"/>
      <c r="L414" s="54">
        <f>IF($B414="",0,IF(COUNTIFS('①在庫を貼る'!$V$6:$V$10005,'設定'!$C$4,'①在庫を貼る'!$W$6:$W$10005,$B414)+COUNTIFS('月1回_1ヶ月前の在庫'!$V$6:$V$10005,'設定'!$C$4,'月1回_1ヶ月前の在庫'!$W$6:$W$10005,$B414)+COUNTIFS('月1回_2ヶ月前の在庫'!$V$6:$V$10005,'設定'!$C$4,'月1回_2ヶ月前の在庫'!$W$6:$W$10005,$B414)&gt;0,1,0))</f>
        <v/>
      </c>
      <c r="M414" s="54">
        <f>N(M413)+$L414</f>
        <v/>
      </c>
      <c r="N414" s="54">
        <f>IF($B414="",0,COUNTIFS('①在庫を貼る'!$V$6:$V$10005,'設定'!$C$4,'①在庫を貼る'!$W$6:$W$10005,$B414))</f>
        <v/>
      </c>
    </row>
    <row r="415" ht="18" customHeight="1">
      <c r="B415" s="76" t="n"/>
      <c r="C415" s="77" t="n"/>
      <c r="D415" s="77" t="n"/>
      <c r="E415" s="77" t="n"/>
      <c r="F415" s="78" t="n"/>
      <c r="G415" s="79" t="n"/>
      <c r="H415" s="69" t="n"/>
      <c r="I415" s="44">
        <f>IF(OR($B415="",$H415=""),"",$H415*MAX(1,N($F415)))</f>
        <v/>
      </c>
      <c r="J415" s="80" t="n"/>
      <c r="K415" s="77" t="n"/>
      <c r="L415" s="54">
        <f>IF($B415="",0,IF(COUNTIFS('①在庫を貼る'!$V$6:$V$10005,'設定'!$C$4,'①在庫を貼る'!$W$6:$W$10005,$B415)+COUNTIFS('月1回_1ヶ月前の在庫'!$V$6:$V$10005,'設定'!$C$4,'月1回_1ヶ月前の在庫'!$W$6:$W$10005,$B415)+COUNTIFS('月1回_2ヶ月前の在庫'!$V$6:$V$10005,'設定'!$C$4,'月1回_2ヶ月前の在庫'!$W$6:$W$10005,$B415)&gt;0,1,0))</f>
        <v/>
      </c>
      <c r="M415" s="54">
        <f>N(M414)+$L415</f>
        <v/>
      </c>
      <c r="N415" s="54">
        <f>IF($B415="",0,COUNTIFS('①在庫を貼る'!$V$6:$V$10005,'設定'!$C$4,'①在庫を貼る'!$W$6:$W$10005,$B415))</f>
        <v/>
      </c>
    </row>
    <row r="416" ht="18" customHeight="1">
      <c r="B416" s="76" t="n"/>
      <c r="C416" s="77" t="n"/>
      <c r="D416" s="77" t="n"/>
      <c r="E416" s="77" t="n"/>
      <c r="F416" s="78" t="n"/>
      <c r="G416" s="79" t="n"/>
      <c r="H416" s="69" t="n"/>
      <c r="I416" s="44">
        <f>IF(OR($B416="",$H416=""),"",$H416*MAX(1,N($F416)))</f>
        <v/>
      </c>
      <c r="J416" s="80" t="n"/>
      <c r="K416" s="77" t="n"/>
      <c r="L416" s="54">
        <f>IF($B416="",0,IF(COUNTIFS('①在庫を貼る'!$V$6:$V$10005,'設定'!$C$4,'①在庫を貼る'!$W$6:$W$10005,$B416)+COUNTIFS('月1回_1ヶ月前の在庫'!$V$6:$V$10005,'設定'!$C$4,'月1回_1ヶ月前の在庫'!$W$6:$W$10005,$B416)+COUNTIFS('月1回_2ヶ月前の在庫'!$V$6:$V$10005,'設定'!$C$4,'月1回_2ヶ月前の在庫'!$W$6:$W$10005,$B416)&gt;0,1,0))</f>
        <v/>
      </c>
      <c r="M416" s="54">
        <f>N(M415)+$L416</f>
        <v/>
      </c>
      <c r="N416" s="54">
        <f>IF($B416="",0,COUNTIFS('①在庫を貼る'!$V$6:$V$10005,'設定'!$C$4,'①在庫を貼る'!$W$6:$W$10005,$B416))</f>
        <v/>
      </c>
    </row>
    <row r="417" ht="18" customHeight="1">
      <c r="B417" s="76" t="n"/>
      <c r="C417" s="77" t="n"/>
      <c r="D417" s="77" t="n"/>
      <c r="E417" s="77" t="n"/>
      <c r="F417" s="78" t="n"/>
      <c r="G417" s="79" t="n"/>
      <c r="H417" s="69" t="n"/>
      <c r="I417" s="44">
        <f>IF(OR($B417="",$H417=""),"",$H417*MAX(1,N($F417)))</f>
        <v/>
      </c>
      <c r="J417" s="80" t="n"/>
      <c r="K417" s="77" t="n"/>
      <c r="L417" s="54">
        <f>IF($B417="",0,IF(COUNTIFS('①在庫を貼る'!$V$6:$V$10005,'設定'!$C$4,'①在庫を貼る'!$W$6:$W$10005,$B417)+COUNTIFS('月1回_1ヶ月前の在庫'!$V$6:$V$10005,'設定'!$C$4,'月1回_1ヶ月前の在庫'!$W$6:$W$10005,$B417)+COUNTIFS('月1回_2ヶ月前の在庫'!$V$6:$V$10005,'設定'!$C$4,'月1回_2ヶ月前の在庫'!$W$6:$W$10005,$B417)&gt;0,1,0))</f>
        <v/>
      </c>
      <c r="M417" s="54">
        <f>N(M416)+$L417</f>
        <v/>
      </c>
      <c r="N417" s="54">
        <f>IF($B417="",0,COUNTIFS('①在庫を貼る'!$V$6:$V$10005,'設定'!$C$4,'①在庫を貼る'!$W$6:$W$10005,$B417))</f>
        <v/>
      </c>
    </row>
    <row r="418" ht="18" customHeight="1">
      <c r="B418" s="76" t="n"/>
      <c r="C418" s="77" t="n"/>
      <c r="D418" s="77" t="n"/>
      <c r="E418" s="77" t="n"/>
      <c r="F418" s="78" t="n"/>
      <c r="G418" s="79" t="n"/>
      <c r="H418" s="69" t="n"/>
      <c r="I418" s="44">
        <f>IF(OR($B418="",$H418=""),"",$H418*MAX(1,N($F418)))</f>
        <v/>
      </c>
      <c r="J418" s="80" t="n"/>
      <c r="K418" s="77" t="n"/>
      <c r="L418" s="54">
        <f>IF($B418="",0,IF(COUNTIFS('①在庫を貼る'!$V$6:$V$10005,'設定'!$C$4,'①在庫を貼る'!$W$6:$W$10005,$B418)+COUNTIFS('月1回_1ヶ月前の在庫'!$V$6:$V$10005,'設定'!$C$4,'月1回_1ヶ月前の在庫'!$W$6:$W$10005,$B418)+COUNTIFS('月1回_2ヶ月前の在庫'!$V$6:$V$10005,'設定'!$C$4,'月1回_2ヶ月前の在庫'!$W$6:$W$10005,$B418)&gt;0,1,0))</f>
        <v/>
      </c>
      <c r="M418" s="54">
        <f>N(M417)+$L418</f>
        <v/>
      </c>
      <c r="N418" s="54">
        <f>IF($B418="",0,COUNTIFS('①在庫を貼る'!$V$6:$V$10005,'設定'!$C$4,'①在庫を貼る'!$W$6:$W$10005,$B418))</f>
        <v/>
      </c>
    </row>
    <row r="419" ht="18" customHeight="1">
      <c r="B419" s="76" t="n"/>
      <c r="C419" s="77" t="n"/>
      <c r="D419" s="77" t="n"/>
      <c r="E419" s="77" t="n"/>
      <c r="F419" s="78" t="n"/>
      <c r="G419" s="79" t="n"/>
      <c r="H419" s="69" t="n"/>
      <c r="I419" s="44">
        <f>IF(OR($B419="",$H419=""),"",$H419*MAX(1,N($F419)))</f>
        <v/>
      </c>
      <c r="J419" s="80" t="n"/>
      <c r="K419" s="77" t="n"/>
      <c r="L419" s="54">
        <f>IF($B419="",0,IF(COUNTIFS('①在庫を貼る'!$V$6:$V$10005,'設定'!$C$4,'①在庫を貼る'!$W$6:$W$10005,$B419)+COUNTIFS('月1回_1ヶ月前の在庫'!$V$6:$V$10005,'設定'!$C$4,'月1回_1ヶ月前の在庫'!$W$6:$W$10005,$B419)+COUNTIFS('月1回_2ヶ月前の在庫'!$V$6:$V$10005,'設定'!$C$4,'月1回_2ヶ月前の在庫'!$W$6:$W$10005,$B419)&gt;0,1,0))</f>
        <v/>
      </c>
      <c r="M419" s="54">
        <f>N(M418)+$L419</f>
        <v/>
      </c>
      <c r="N419" s="54">
        <f>IF($B419="",0,COUNTIFS('①在庫を貼る'!$V$6:$V$10005,'設定'!$C$4,'①在庫を貼る'!$W$6:$W$10005,$B419))</f>
        <v/>
      </c>
    </row>
    <row r="420" ht="18" customHeight="1">
      <c r="B420" s="76" t="n"/>
      <c r="C420" s="77" t="n"/>
      <c r="D420" s="77" t="n"/>
      <c r="E420" s="77" t="n"/>
      <c r="F420" s="78" t="n"/>
      <c r="G420" s="79" t="n"/>
      <c r="H420" s="69" t="n"/>
      <c r="I420" s="44">
        <f>IF(OR($B420="",$H420=""),"",$H420*MAX(1,N($F420)))</f>
        <v/>
      </c>
      <c r="J420" s="80" t="n"/>
      <c r="K420" s="77" t="n"/>
      <c r="L420" s="54">
        <f>IF($B420="",0,IF(COUNTIFS('①在庫を貼る'!$V$6:$V$10005,'設定'!$C$4,'①在庫を貼る'!$W$6:$W$10005,$B420)+COUNTIFS('月1回_1ヶ月前の在庫'!$V$6:$V$10005,'設定'!$C$4,'月1回_1ヶ月前の在庫'!$W$6:$W$10005,$B420)+COUNTIFS('月1回_2ヶ月前の在庫'!$V$6:$V$10005,'設定'!$C$4,'月1回_2ヶ月前の在庫'!$W$6:$W$10005,$B420)&gt;0,1,0))</f>
        <v/>
      </c>
      <c r="M420" s="54">
        <f>N(M419)+$L420</f>
        <v/>
      </c>
      <c r="N420" s="54">
        <f>IF($B420="",0,COUNTIFS('①在庫を貼る'!$V$6:$V$10005,'設定'!$C$4,'①在庫を貼る'!$W$6:$W$10005,$B420))</f>
        <v/>
      </c>
    </row>
    <row r="421" ht="18" customHeight="1">
      <c r="B421" s="76" t="n"/>
      <c r="C421" s="77" t="n"/>
      <c r="D421" s="77" t="n"/>
      <c r="E421" s="77" t="n"/>
      <c r="F421" s="78" t="n"/>
      <c r="G421" s="79" t="n"/>
      <c r="H421" s="69" t="n"/>
      <c r="I421" s="44">
        <f>IF(OR($B421="",$H421=""),"",$H421*MAX(1,N($F421)))</f>
        <v/>
      </c>
      <c r="J421" s="80" t="n"/>
      <c r="K421" s="77" t="n"/>
      <c r="L421" s="54">
        <f>IF($B421="",0,IF(COUNTIFS('①在庫を貼る'!$V$6:$V$10005,'設定'!$C$4,'①在庫を貼る'!$W$6:$W$10005,$B421)+COUNTIFS('月1回_1ヶ月前の在庫'!$V$6:$V$10005,'設定'!$C$4,'月1回_1ヶ月前の在庫'!$W$6:$W$10005,$B421)+COUNTIFS('月1回_2ヶ月前の在庫'!$V$6:$V$10005,'設定'!$C$4,'月1回_2ヶ月前の在庫'!$W$6:$W$10005,$B421)&gt;0,1,0))</f>
        <v/>
      </c>
      <c r="M421" s="54">
        <f>N(M420)+$L421</f>
        <v/>
      </c>
      <c r="N421" s="54">
        <f>IF($B421="",0,COUNTIFS('①在庫を貼る'!$V$6:$V$10005,'設定'!$C$4,'①在庫を貼る'!$W$6:$W$10005,$B421))</f>
        <v/>
      </c>
    </row>
    <row r="422" ht="18" customHeight="1">
      <c r="B422" s="76" t="n"/>
      <c r="C422" s="77" t="n"/>
      <c r="D422" s="77" t="n"/>
      <c r="E422" s="77" t="n"/>
      <c r="F422" s="78" t="n"/>
      <c r="G422" s="79" t="n"/>
      <c r="H422" s="69" t="n"/>
      <c r="I422" s="44">
        <f>IF(OR($B422="",$H422=""),"",$H422*MAX(1,N($F422)))</f>
        <v/>
      </c>
      <c r="J422" s="80" t="n"/>
      <c r="K422" s="77" t="n"/>
      <c r="L422" s="54">
        <f>IF($B422="",0,IF(COUNTIFS('①在庫を貼る'!$V$6:$V$10005,'設定'!$C$4,'①在庫を貼る'!$W$6:$W$10005,$B422)+COUNTIFS('月1回_1ヶ月前の在庫'!$V$6:$V$10005,'設定'!$C$4,'月1回_1ヶ月前の在庫'!$W$6:$W$10005,$B422)+COUNTIFS('月1回_2ヶ月前の在庫'!$V$6:$V$10005,'設定'!$C$4,'月1回_2ヶ月前の在庫'!$W$6:$W$10005,$B422)&gt;0,1,0))</f>
        <v/>
      </c>
      <c r="M422" s="54">
        <f>N(M421)+$L422</f>
        <v/>
      </c>
      <c r="N422" s="54">
        <f>IF($B422="",0,COUNTIFS('①在庫を貼る'!$V$6:$V$10005,'設定'!$C$4,'①在庫を貼る'!$W$6:$W$10005,$B422))</f>
        <v/>
      </c>
    </row>
    <row r="423" ht="18" customHeight="1">
      <c r="B423" s="76" t="n"/>
      <c r="C423" s="77" t="n"/>
      <c r="D423" s="77" t="n"/>
      <c r="E423" s="77" t="n"/>
      <c r="F423" s="78" t="n"/>
      <c r="G423" s="79" t="n"/>
      <c r="H423" s="69" t="n"/>
      <c r="I423" s="44">
        <f>IF(OR($B423="",$H423=""),"",$H423*MAX(1,N($F423)))</f>
        <v/>
      </c>
      <c r="J423" s="80" t="n"/>
      <c r="K423" s="77" t="n"/>
      <c r="L423" s="54">
        <f>IF($B423="",0,IF(COUNTIFS('①在庫を貼る'!$V$6:$V$10005,'設定'!$C$4,'①在庫を貼る'!$W$6:$W$10005,$B423)+COUNTIFS('月1回_1ヶ月前の在庫'!$V$6:$V$10005,'設定'!$C$4,'月1回_1ヶ月前の在庫'!$W$6:$W$10005,$B423)+COUNTIFS('月1回_2ヶ月前の在庫'!$V$6:$V$10005,'設定'!$C$4,'月1回_2ヶ月前の在庫'!$W$6:$W$10005,$B423)&gt;0,1,0))</f>
        <v/>
      </c>
      <c r="M423" s="54">
        <f>N(M422)+$L423</f>
        <v/>
      </c>
      <c r="N423" s="54">
        <f>IF($B423="",0,COUNTIFS('①在庫を貼る'!$V$6:$V$10005,'設定'!$C$4,'①在庫を貼る'!$W$6:$W$10005,$B423))</f>
        <v/>
      </c>
    </row>
    <row r="424" ht="18" customHeight="1">
      <c r="B424" s="76" t="n"/>
      <c r="C424" s="77" t="n"/>
      <c r="D424" s="77" t="n"/>
      <c r="E424" s="77" t="n"/>
      <c r="F424" s="78" t="n"/>
      <c r="G424" s="79" t="n"/>
      <c r="H424" s="69" t="n"/>
      <c r="I424" s="44">
        <f>IF(OR($B424="",$H424=""),"",$H424*MAX(1,N($F424)))</f>
        <v/>
      </c>
      <c r="J424" s="80" t="n"/>
      <c r="K424" s="77" t="n"/>
      <c r="L424" s="54">
        <f>IF($B424="",0,IF(COUNTIFS('①在庫を貼る'!$V$6:$V$10005,'設定'!$C$4,'①在庫を貼る'!$W$6:$W$10005,$B424)+COUNTIFS('月1回_1ヶ月前の在庫'!$V$6:$V$10005,'設定'!$C$4,'月1回_1ヶ月前の在庫'!$W$6:$W$10005,$B424)+COUNTIFS('月1回_2ヶ月前の在庫'!$V$6:$V$10005,'設定'!$C$4,'月1回_2ヶ月前の在庫'!$W$6:$W$10005,$B424)&gt;0,1,0))</f>
        <v/>
      </c>
      <c r="M424" s="54">
        <f>N(M423)+$L424</f>
        <v/>
      </c>
      <c r="N424" s="54">
        <f>IF($B424="",0,COUNTIFS('①在庫を貼る'!$V$6:$V$10005,'設定'!$C$4,'①在庫を貼る'!$W$6:$W$10005,$B424))</f>
        <v/>
      </c>
    </row>
    <row r="425" ht="18" customHeight="1">
      <c r="B425" s="76" t="n"/>
      <c r="C425" s="77" t="n"/>
      <c r="D425" s="77" t="n"/>
      <c r="E425" s="77" t="n"/>
      <c r="F425" s="78" t="n"/>
      <c r="G425" s="79" t="n"/>
      <c r="H425" s="69" t="n"/>
      <c r="I425" s="44">
        <f>IF(OR($B425="",$H425=""),"",$H425*MAX(1,N($F425)))</f>
        <v/>
      </c>
      <c r="J425" s="80" t="n"/>
      <c r="K425" s="77" t="n"/>
      <c r="L425" s="54">
        <f>IF($B425="",0,IF(COUNTIFS('①在庫を貼る'!$V$6:$V$10005,'設定'!$C$4,'①在庫を貼る'!$W$6:$W$10005,$B425)+COUNTIFS('月1回_1ヶ月前の在庫'!$V$6:$V$10005,'設定'!$C$4,'月1回_1ヶ月前の在庫'!$W$6:$W$10005,$B425)+COUNTIFS('月1回_2ヶ月前の在庫'!$V$6:$V$10005,'設定'!$C$4,'月1回_2ヶ月前の在庫'!$W$6:$W$10005,$B425)&gt;0,1,0))</f>
        <v/>
      </c>
      <c r="M425" s="54">
        <f>N(M424)+$L425</f>
        <v/>
      </c>
      <c r="N425" s="54">
        <f>IF($B425="",0,COUNTIFS('①在庫を貼る'!$V$6:$V$10005,'設定'!$C$4,'①在庫を貼る'!$W$6:$W$10005,$B425))</f>
        <v/>
      </c>
    </row>
    <row r="426" ht="18" customHeight="1">
      <c r="B426" s="76" t="n"/>
      <c r="C426" s="77" t="n"/>
      <c r="D426" s="77" t="n"/>
      <c r="E426" s="77" t="n"/>
      <c r="F426" s="78" t="n"/>
      <c r="G426" s="79" t="n"/>
      <c r="H426" s="69" t="n"/>
      <c r="I426" s="44">
        <f>IF(OR($B426="",$H426=""),"",$H426*MAX(1,N($F426)))</f>
        <v/>
      </c>
      <c r="J426" s="80" t="n"/>
      <c r="K426" s="77" t="n"/>
      <c r="L426" s="54">
        <f>IF($B426="",0,IF(COUNTIFS('①在庫を貼る'!$V$6:$V$10005,'設定'!$C$4,'①在庫を貼る'!$W$6:$W$10005,$B426)+COUNTIFS('月1回_1ヶ月前の在庫'!$V$6:$V$10005,'設定'!$C$4,'月1回_1ヶ月前の在庫'!$W$6:$W$10005,$B426)+COUNTIFS('月1回_2ヶ月前の在庫'!$V$6:$V$10005,'設定'!$C$4,'月1回_2ヶ月前の在庫'!$W$6:$W$10005,$B426)&gt;0,1,0))</f>
        <v/>
      </c>
      <c r="M426" s="54">
        <f>N(M425)+$L426</f>
        <v/>
      </c>
      <c r="N426" s="54">
        <f>IF($B426="",0,COUNTIFS('①在庫を貼る'!$V$6:$V$10005,'設定'!$C$4,'①在庫を貼る'!$W$6:$W$10005,$B426))</f>
        <v/>
      </c>
    </row>
    <row r="427" ht="18" customHeight="1">
      <c r="B427" s="76" t="n"/>
      <c r="C427" s="77" t="n"/>
      <c r="D427" s="77" t="n"/>
      <c r="E427" s="77" t="n"/>
      <c r="F427" s="78" t="n"/>
      <c r="G427" s="79" t="n"/>
      <c r="H427" s="69" t="n"/>
      <c r="I427" s="44">
        <f>IF(OR($B427="",$H427=""),"",$H427*MAX(1,N($F427)))</f>
        <v/>
      </c>
      <c r="J427" s="80" t="n"/>
      <c r="K427" s="77" t="n"/>
      <c r="L427" s="54">
        <f>IF($B427="",0,IF(COUNTIFS('①在庫を貼る'!$V$6:$V$10005,'設定'!$C$4,'①在庫を貼る'!$W$6:$W$10005,$B427)+COUNTIFS('月1回_1ヶ月前の在庫'!$V$6:$V$10005,'設定'!$C$4,'月1回_1ヶ月前の在庫'!$W$6:$W$10005,$B427)+COUNTIFS('月1回_2ヶ月前の在庫'!$V$6:$V$10005,'設定'!$C$4,'月1回_2ヶ月前の在庫'!$W$6:$W$10005,$B427)&gt;0,1,0))</f>
        <v/>
      </c>
      <c r="M427" s="54">
        <f>N(M426)+$L427</f>
        <v/>
      </c>
      <c r="N427" s="54">
        <f>IF($B427="",0,COUNTIFS('①在庫を貼る'!$V$6:$V$10005,'設定'!$C$4,'①在庫を貼る'!$W$6:$W$10005,$B427))</f>
        <v/>
      </c>
    </row>
    <row r="428" ht="18" customHeight="1">
      <c r="B428" s="76" t="n"/>
      <c r="C428" s="77" t="n"/>
      <c r="D428" s="77" t="n"/>
      <c r="E428" s="77" t="n"/>
      <c r="F428" s="78" t="n"/>
      <c r="G428" s="79" t="n"/>
      <c r="H428" s="69" t="n"/>
      <c r="I428" s="44">
        <f>IF(OR($B428="",$H428=""),"",$H428*MAX(1,N($F428)))</f>
        <v/>
      </c>
      <c r="J428" s="80" t="n"/>
      <c r="K428" s="77" t="n"/>
      <c r="L428" s="54">
        <f>IF($B428="",0,IF(COUNTIFS('①在庫を貼る'!$V$6:$V$10005,'設定'!$C$4,'①在庫を貼る'!$W$6:$W$10005,$B428)+COUNTIFS('月1回_1ヶ月前の在庫'!$V$6:$V$10005,'設定'!$C$4,'月1回_1ヶ月前の在庫'!$W$6:$W$10005,$B428)+COUNTIFS('月1回_2ヶ月前の在庫'!$V$6:$V$10005,'設定'!$C$4,'月1回_2ヶ月前の在庫'!$W$6:$W$10005,$B428)&gt;0,1,0))</f>
        <v/>
      </c>
      <c r="M428" s="54">
        <f>N(M427)+$L428</f>
        <v/>
      </c>
      <c r="N428" s="54">
        <f>IF($B428="",0,COUNTIFS('①在庫を貼る'!$V$6:$V$10005,'設定'!$C$4,'①在庫を貼る'!$W$6:$W$10005,$B428))</f>
        <v/>
      </c>
    </row>
    <row r="429" ht="18" customHeight="1">
      <c r="B429" s="76" t="n"/>
      <c r="C429" s="77" t="n"/>
      <c r="D429" s="77" t="n"/>
      <c r="E429" s="77" t="n"/>
      <c r="F429" s="78" t="n"/>
      <c r="G429" s="79" t="n"/>
      <c r="H429" s="69" t="n"/>
      <c r="I429" s="44">
        <f>IF(OR($B429="",$H429=""),"",$H429*MAX(1,N($F429)))</f>
        <v/>
      </c>
      <c r="J429" s="80" t="n"/>
      <c r="K429" s="77" t="n"/>
      <c r="L429" s="54">
        <f>IF($B429="",0,IF(COUNTIFS('①在庫を貼る'!$V$6:$V$10005,'設定'!$C$4,'①在庫を貼る'!$W$6:$W$10005,$B429)+COUNTIFS('月1回_1ヶ月前の在庫'!$V$6:$V$10005,'設定'!$C$4,'月1回_1ヶ月前の在庫'!$W$6:$W$10005,$B429)+COUNTIFS('月1回_2ヶ月前の在庫'!$V$6:$V$10005,'設定'!$C$4,'月1回_2ヶ月前の在庫'!$W$6:$W$10005,$B429)&gt;0,1,0))</f>
        <v/>
      </c>
      <c r="M429" s="54">
        <f>N(M428)+$L429</f>
        <v/>
      </c>
      <c r="N429" s="54">
        <f>IF($B429="",0,COUNTIFS('①在庫を貼る'!$V$6:$V$10005,'設定'!$C$4,'①在庫を貼る'!$W$6:$W$10005,$B429))</f>
        <v/>
      </c>
    </row>
    <row r="430" ht="18" customHeight="1">
      <c r="B430" s="76" t="n"/>
      <c r="C430" s="77" t="n"/>
      <c r="D430" s="77" t="n"/>
      <c r="E430" s="77" t="n"/>
      <c r="F430" s="78" t="n"/>
      <c r="G430" s="79" t="n"/>
      <c r="H430" s="69" t="n"/>
      <c r="I430" s="44">
        <f>IF(OR($B430="",$H430=""),"",$H430*MAX(1,N($F430)))</f>
        <v/>
      </c>
      <c r="J430" s="80" t="n"/>
      <c r="K430" s="77" t="n"/>
      <c r="L430" s="54">
        <f>IF($B430="",0,IF(COUNTIFS('①在庫を貼る'!$V$6:$V$10005,'設定'!$C$4,'①在庫を貼る'!$W$6:$W$10005,$B430)+COUNTIFS('月1回_1ヶ月前の在庫'!$V$6:$V$10005,'設定'!$C$4,'月1回_1ヶ月前の在庫'!$W$6:$W$10005,$B430)+COUNTIFS('月1回_2ヶ月前の在庫'!$V$6:$V$10005,'設定'!$C$4,'月1回_2ヶ月前の在庫'!$W$6:$W$10005,$B430)&gt;0,1,0))</f>
        <v/>
      </c>
      <c r="M430" s="54">
        <f>N(M429)+$L430</f>
        <v/>
      </c>
      <c r="N430" s="54">
        <f>IF($B430="",0,COUNTIFS('①在庫を貼る'!$V$6:$V$10005,'設定'!$C$4,'①在庫を貼る'!$W$6:$W$10005,$B430))</f>
        <v/>
      </c>
    </row>
    <row r="431" ht="18" customHeight="1">
      <c r="B431" s="76" t="n"/>
      <c r="C431" s="77" t="n"/>
      <c r="D431" s="77" t="n"/>
      <c r="E431" s="77" t="n"/>
      <c r="F431" s="78" t="n"/>
      <c r="G431" s="79" t="n"/>
      <c r="H431" s="69" t="n"/>
      <c r="I431" s="44">
        <f>IF(OR($B431="",$H431=""),"",$H431*MAX(1,N($F431)))</f>
        <v/>
      </c>
      <c r="J431" s="80" t="n"/>
      <c r="K431" s="77" t="n"/>
      <c r="L431" s="54">
        <f>IF($B431="",0,IF(COUNTIFS('①在庫を貼る'!$V$6:$V$10005,'設定'!$C$4,'①在庫を貼る'!$W$6:$W$10005,$B431)+COUNTIFS('月1回_1ヶ月前の在庫'!$V$6:$V$10005,'設定'!$C$4,'月1回_1ヶ月前の在庫'!$W$6:$W$10005,$B431)+COUNTIFS('月1回_2ヶ月前の在庫'!$V$6:$V$10005,'設定'!$C$4,'月1回_2ヶ月前の在庫'!$W$6:$W$10005,$B431)&gt;0,1,0))</f>
        <v/>
      </c>
      <c r="M431" s="54">
        <f>N(M430)+$L431</f>
        <v/>
      </c>
      <c r="N431" s="54">
        <f>IF($B431="",0,COUNTIFS('①在庫を貼る'!$V$6:$V$10005,'設定'!$C$4,'①在庫を貼る'!$W$6:$W$10005,$B431))</f>
        <v/>
      </c>
    </row>
    <row r="432" ht="18" customHeight="1">
      <c r="B432" s="76" t="n"/>
      <c r="C432" s="77" t="n"/>
      <c r="D432" s="77" t="n"/>
      <c r="E432" s="77" t="n"/>
      <c r="F432" s="78" t="n"/>
      <c r="G432" s="79" t="n"/>
      <c r="H432" s="69" t="n"/>
      <c r="I432" s="44">
        <f>IF(OR($B432="",$H432=""),"",$H432*MAX(1,N($F432)))</f>
        <v/>
      </c>
      <c r="J432" s="80" t="n"/>
      <c r="K432" s="77" t="n"/>
      <c r="L432" s="54">
        <f>IF($B432="",0,IF(COUNTIFS('①在庫を貼る'!$V$6:$V$10005,'設定'!$C$4,'①在庫を貼る'!$W$6:$W$10005,$B432)+COUNTIFS('月1回_1ヶ月前の在庫'!$V$6:$V$10005,'設定'!$C$4,'月1回_1ヶ月前の在庫'!$W$6:$W$10005,$B432)+COUNTIFS('月1回_2ヶ月前の在庫'!$V$6:$V$10005,'設定'!$C$4,'月1回_2ヶ月前の在庫'!$W$6:$W$10005,$B432)&gt;0,1,0))</f>
        <v/>
      </c>
      <c r="M432" s="54">
        <f>N(M431)+$L432</f>
        <v/>
      </c>
      <c r="N432" s="54">
        <f>IF($B432="",0,COUNTIFS('①在庫を貼る'!$V$6:$V$10005,'設定'!$C$4,'①在庫を貼る'!$W$6:$W$10005,$B432))</f>
        <v/>
      </c>
    </row>
    <row r="433" ht="18" customHeight="1">
      <c r="B433" s="76" t="n"/>
      <c r="C433" s="77" t="n"/>
      <c r="D433" s="77" t="n"/>
      <c r="E433" s="77" t="n"/>
      <c r="F433" s="78" t="n"/>
      <c r="G433" s="79" t="n"/>
      <c r="H433" s="69" t="n"/>
      <c r="I433" s="44">
        <f>IF(OR($B433="",$H433=""),"",$H433*MAX(1,N($F433)))</f>
        <v/>
      </c>
      <c r="J433" s="80" t="n"/>
      <c r="K433" s="77" t="n"/>
      <c r="L433" s="54">
        <f>IF($B433="",0,IF(COUNTIFS('①在庫を貼る'!$V$6:$V$10005,'設定'!$C$4,'①在庫を貼る'!$W$6:$W$10005,$B433)+COUNTIFS('月1回_1ヶ月前の在庫'!$V$6:$V$10005,'設定'!$C$4,'月1回_1ヶ月前の在庫'!$W$6:$W$10005,$B433)+COUNTIFS('月1回_2ヶ月前の在庫'!$V$6:$V$10005,'設定'!$C$4,'月1回_2ヶ月前の在庫'!$W$6:$W$10005,$B433)&gt;0,1,0))</f>
        <v/>
      </c>
      <c r="M433" s="54">
        <f>N(M432)+$L433</f>
        <v/>
      </c>
      <c r="N433" s="54">
        <f>IF($B433="",0,COUNTIFS('①在庫を貼る'!$V$6:$V$10005,'設定'!$C$4,'①在庫を貼る'!$W$6:$W$10005,$B433))</f>
        <v/>
      </c>
    </row>
    <row r="434" ht="18" customHeight="1">
      <c r="B434" s="76" t="n"/>
      <c r="C434" s="77" t="n"/>
      <c r="D434" s="77" t="n"/>
      <c r="E434" s="77" t="n"/>
      <c r="F434" s="78" t="n"/>
      <c r="G434" s="79" t="n"/>
      <c r="H434" s="69" t="n"/>
      <c r="I434" s="44">
        <f>IF(OR($B434="",$H434=""),"",$H434*MAX(1,N($F434)))</f>
        <v/>
      </c>
      <c r="J434" s="80" t="n"/>
      <c r="K434" s="77" t="n"/>
      <c r="L434" s="54">
        <f>IF($B434="",0,IF(COUNTIFS('①在庫を貼る'!$V$6:$V$10005,'設定'!$C$4,'①在庫を貼る'!$W$6:$W$10005,$B434)+COUNTIFS('月1回_1ヶ月前の在庫'!$V$6:$V$10005,'設定'!$C$4,'月1回_1ヶ月前の在庫'!$W$6:$W$10005,$B434)+COUNTIFS('月1回_2ヶ月前の在庫'!$V$6:$V$10005,'設定'!$C$4,'月1回_2ヶ月前の在庫'!$W$6:$W$10005,$B434)&gt;0,1,0))</f>
        <v/>
      </c>
      <c r="M434" s="54">
        <f>N(M433)+$L434</f>
        <v/>
      </c>
      <c r="N434" s="54">
        <f>IF($B434="",0,COUNTIFS('①在庫を貼る'!$V$6:$V$10005,'設定'!$C$4,'①在庫を貼る'!$W$6:$W$10005,$B434))</f>
        <v/>
      </c>
    </row>
    <row r="435" ht="18" customHeight="1">
      <c r="B435" s="76" t="n"/>
      <c r="C435" s="77" t="n"/>
      <c r="D435" s="77" t="n"/>
      <c r="E435" s="77" t="n"/>
      <c r="F435" s="78" t="n"/>
      <c r="G435" s="79" t="n"/>
      <c r="H435" s="69" t="n"/>
      <c r="I435" s="44">
        <f>IF(OR($B435="",$H435=""),"",$H435*MAX(1,N($F435)))</f>
        <v/>
      </c>
      <c r="J435" s="80" t="n"/>
      <c r="K435" s="77" t="n"/>
      <c r="L435" s="54">
        <f>IF($B435="",0,IF(COUNTIFS('①在庫を貼る'!$V$6:$V$10005,'設定'!$C$4,'①在庫を貼る'!$W$6:$W$10005,$B435)+COUNTIFS('月1回_1ヶ月前の在庫'!$V$6:$V$10005,'設定'!$C$4,'月1回_1ヶ月前の在庫'!$W$6:$W$10005,$B435)+COUNTIFS('月1回_2ヶ月前の在庫'!$V$6:$V$10005,'設定'!$C$4,'月1回_2ヶ月前の在庫'!$W$6:$W$10005,$B435)&gt;0,1,0))</f>
        <v/>
      </c>
      <c r="M435" s="54">
        <f>N(M434)+$L435</f>
        <v/>
      </c>
      <c r="N435" s="54">
        <f>IF($B435="",0,COUNTIFS('①在庫を貼る'!$V$6:$V$10005,'設定'!$C$4,'①在庫を貼る'!$W$6:$W$10005,$B435))</f>
        <v/>
      </c>
    </row>
    <row r="436" ht="18" customHeight="1">
      <c r="B436" s="76" t="n"/>
      <c r="C436" s="77" t="n"/>
      <c r="D436" s="77" t="n"/>
      <c r="E436" s="77" t="n"/>
      <c r="F436" s="78" t="n"/>
      <c r="G436" s="79" t="n"/>
      <c r="H436" s="69" t="n"/>
      <c r="I436" s="44">
        <f>IF(OR($B436="",$H436=""),"",$H436*MAX(1,N($F436)))</f>
        <v/>
      </c>
      <c r="J436" s="80" t="n"/>
      <c r="K436" s="77" t="n"/>
      <c r="L436" s="54">
        <f>IF($B436="",0,IF(COUNTIFS('①在庫を貼る'!$V$6:$V$10005,'設定'!$C$4,'①在庫を貼る'!$W$6:$W$10005,$B436)+COUNTIFS('月1回_1ヶ月前の在庫'!$V$6:$V$10005,'設定'!$C$4,'月1回_1ヶ月前の在庫'!$W$6:$W$10005,$B436)+COUNTIFS('月1回_2ヶ月前の在庫'!$V$6:$V$10005,'設定'!$C$4,'月1回_2ヶ月前の在庫'!$W$6:$W$10005,$B436)&gt;0,1,0))</f>
        <v/>
      </c>
      <c r="M436" s="54">
        <f>N(M435)+$L436</f>
        <v/>
      </c>
      <c r="N436" s="54">
        <f>IF($B436="",0,COUNTIFS('①在庫を貼る'!$V$6:$V$10005,'設定'!$C$4,'①在庫を貼る'!$W$6:$W$10005,$B436))</f>
        <v/>
      </c>
    </row>
    <row r="437" ht="18" customHeight="1">
      <c r="B437" s="76" t="n"/>
      <c r="C437" s="77" t="n"/>
      <c r="D437" s="77" t="n"/>
      <c r="E437" s="77" t="n"/>
      <c r="F437" s="78" t="n"/>
      <c r="G437" s="79" t="n"/>
      <c r="H437" s="69" t="n"/>
      <c r="I437" s="44">
        <f>IF(OR($B437="",$H437=""),"",$H437*MAX(1,N($F437)))</f>
        <v/>
      </c>
      <c r="J437" s="80" t="n"/>
      <c r="K437" s="77" t="n"/>
      <c r="L437" s="54">
        <f>IF($B437="",0,IF(COUNTIFS('①在庫を貼る'!$V$6:$V$10005,'設定'!$C$4,'①在庫を貼る'!$W$6:$W$10005,$B437)+COUNTIFS('月1回_1ヶ月前の在庫'!$V$6:$V$10005,'設定'!$C$4,'月1回_1ヶ月前の在庫'!$W$6:$W$10005,$B437)+COUNTIFS('月1回_2ヶ月前の在庫'!$V$6:$V$10005,'設定'!$C$4,'月1回_2ヶ月前の在庫'!$W$6:$W$10005,$B437)&gt;0,1,0))</f>
        <v/>
      </c>
      <c r="M437" s="54">
        <f>N(M436)+$L437</f>
        <v/>
      </c>
      <c r="N437" s="54">
        <f>IF($B437="",0,COUNTIFS('①在庫を貼る'!$V$6:$V$10005,'設定'!$C$4,'①在庫を貼る'!$W$6:$W$10005,$B437))</f>
        <v/>
      </c>
    </row>
    <row r="438" ht="18" customHeight="1">
      <c r="B438" s="76" t="n"/>
      <c r="C438" s="77" t="n"/>
      <c r="D438" s="77" t="n"/>
      <c r="E438" s="77" t="n"/>
      <c r="F438" s="78" t="n"/>
      <c r="G438" s="79" t="n"/>
      <c r="H438" s="69" t="n"/>
      <c r="I438" s="44">
        <f>IF(OR($B438="",$H438=""),"",$H438*MAX(1,N($F438)))</f>
        <v/>
      </c>
      <c r="J438" s="80" t="n"/>
      <c r="K438" s="77" t="n"/>
      <c r="L438" s="54">
        <f>IF($B438="",0,IF(COUNTIFS('①在庫を貼る'!$V$6:$V$10005,'設定'!$C$4,'①在庫を貼る'!$W$6:$W$10005,$B438)+COUNTIFS('月1回_1ヶ月前の在庫'!$V$6:$V$10005,'設定'!$C$4,'月1回_1ヶ月前の在庫'!$W$6:$W$10005,$B438)+COUNTIFS('月1回_2ヶ月前の在庫'!$V$6:$V$10005,'設定'!$C$4,'月1回_2ヶ月前の在庫'!$W$6:$W$10005,$B438)&gt;0,1,0))</f>
        <v/>
      </c>
      <c r="M438" s="54">
        <f>N(M437)+$L438</f>
        <v/>
      </c>
      <c r="N438" s="54">
        <f>IF($B438="",0,COUNTIFS('①在庫を貼る'!$V$6:$V$10005,'設定'!$C$4,'①在庫を貼る'!$W$6:$W$10005,$B438))</f>
        <v/>
      </c>
    </row>
    <row r="439" ht="18" customHeight="1">
      <c r="B439" s="76" t="n"/>
      <c r="C439" s="77" t="n"/>
      <c r="D439" s="77" t="n"/>
      <c r="E439" s="77" t="n"/>
      <c r="F439" s="78" t="n"/>
      <c r="G439" s="79" t="n"/>
      <c r="H439" s="69" t="n"/>
      <c r="I439" s="44">
        <f>IF(OR($B439="",$H439=""),"",$H439*MAX(1,N($F439)))</f>
        <v/>
      </c>
      <c r="J439" s="80" t="n"/>
      <c r="K439" s="77" t="n"/>
      <c r="L439" s="54">
        <f>IF($B439="",0,IF(COUNTIFS('①在庫を貼る'!$V$6:$V$10005,'設定'!$C$4,'①在庫を貼る'!$W$6:$W$10005,$B439)+COUNTIFS('月1回_1ヶ月前の在庫'!$V$6:$V$10005,'設定'!$C$4,'月1回_1ヶ月前の在庫'!$W$6:$W$10005,$B439)+COUNTIFS('月1回_2ヶ月前の在庫'!$V$6:$V$10005,'設定'!$C$4,'月1回_2ヶ月前の在庫'!$W$6:$W$10005,$B439)&gt;0,1,0))</f>
        <v/>
      </c>
      <c r="M439" s="54">
        <f>N(M438)+$L439</f>
        <v/>
      </c>
      <c r="N439" s="54">
        <f>IF($B439="",0,COUNTIFS('①在庫を貼る'!$V$6:$V$10005,'設定'!$C$4,'①在庫を貼る'!$W$6:$W$10005,$B439))</f>
        <v/>
      </c>
    </row>
    <row r="440" ht="18" customHeight="1">
      <c r="B440" s="76" t="n"/>
      <c r="C440" s="77" t="n"/>
      <c r="D440" s="77" t="n"/>
      <c r="E440" s="77" t="n"/>
      <c r="F440" s="78" t="n"/>
      <c r="G440" s="79" t="n"/>
      <c r="H440" s="69" t="n"/>
      <c r="I440" s="44">
        <f>IF(OR($B440="",$H440=""),"",$H440*MAX(1,N($F440)))</f>
        <v/>
      </c>
      <c r="J440" s="80" t="n"/>
      <c r="K440" s="77" t="n"/>
      <c r="L440" s="54">
        <f>IF($B440="",0,IF(COUNTIFS('①在庫を貼る'!$V$6:$V$10005,'設定'!$C$4,'①在庫を貼る'!$W$6:$W$10005,$B440)+COUNTIFS('月1回_1ヶ月前の在庫'!$V$6:$V$10005,'設定'!$C$4,'月1回_1ヶ月前の在庫'!$W$6:$W$10005,$B440)+COUNTIFS('月1回_2ヶ月前の在庫'!$V$6:$V$10005,'設定'!$C$4,'月1回_2ヶ月前の在庫'!$W$6:$W$10005,$B440)&gt;0,1,0))</f>
        <v/>
      </c>
      <c r="M440" s="54">
        <f>N(M439)+$L440</f>
        <v/>
      </c>
      <c r="N440" s="54">
        <f>IF($B440="",0,COUNTIFS('①在庫を貼る'!$V$6:$V$10005,'設定'!$C$4,'①在庫を貼る'!$W$6:$W$10005,$B440))</f>
        <v/>
      </c>
    </row>
    <row r="441" ht="18" customHeight="1">
      <c r="B441" s="76" t="n"/>
      <c r="C441" s="77" t="n"/>
      <c r="D441" s="77" t="n"/>
      <c r="E441" s="77" t="n"/>
      <c r="F441" s="78" t="n"/>
      <c r="G441" s="79" t="n"/>
      <c r="H441" s="69" t="n"/>
      <c r="I441" s="44">
        <f>IF(OR($B441="",$H441=""),"",$H441*MAX(1,N($F441)))</f>
        <v/>
      </c>
      <c r="J441" s="80" t="n"/>
      <c r="K441" s="77" t="n"/>
      <c r="L441" s="54">
        <f>IF($B441="",0,IF(COUNTIFS('①在庫を貼る'!$V$6:$V$10005,'設定'!$C$4,'①在庫を貼る'!$W$6:$W$10005,$B441)+COUNTIFS('月1回_1ヶ月前の在庫'!$V$6:$V$10005,'設定'!$C$4,'月1回_1ヶ月前の在庫'!$W$6:$W$10005,$B441)+COUNTIFS('月1回_2ヶ月前の在庫'!$V$6:$V$10005,'設定'!$C$4,'月1回_2ヶ月前の在庫'!$W$6:$W$10005,$B441)&gt;0,1,0))</f>
        <v/>
      </c>
      <c r="M441" s="54">
        <f>N(M440)+$L441</f>
        <v/>
      </c>
      <c r="N441" s="54">
        <f>IF($B441="",0,COUNTIFS('①在庫を貼る'!$V$6:$V$10005,'設定'!$C$4,'①在庫を貼る'!$W$6:$W$10005,$B441))</f>
        <v/>
      </c>
    </row>
    <row r="442" ht="18" customHeight="1">
      <c r="B442" s="76" t="n"/>
      <c r="C442" s="77" t="n"/>
      <c r="D442" s="77" t="n"/>
      <c r="E442" s="77" t="n"/>
      <c r="F442" s="78" t="n"/>
      <c r="G442" s="79" t="n"/>
      <c r="H442" s="69" t="n"/>
      <c r="I442" s="44">
        <f>IF(OR($B442="",$H442=""),"",$H442*MAX(1,N($F442)))</f>
        <v/>
      </c>
      <c r="J442" s="80" t="n"/>
      <c r="K442" s="77" t="n"/>
      <c r="L442" s="54">
        <f>IF($B442="",0,IF(COUNTIFS('①在庫を貼る'!$V$6:$V$10005,'設定'!$C$4,'①在庫を貼る'!$W$6:$W$10005,$B442)+COUNTIFS('月1回_1ヶ月前の在庫'!$V$6:$V$10005,'設定'!$C$4,'月1回_1ヶ月前の在庫'!$W$6:$W$10005,$B442)+COUNTIFS('月1回_2ヶ月前の在庫'!$V$6:$V$10005,'設定'!$C$4,'月1回_2ヶ月前の在庫'!$W$6:$W$10005,$B442)&gt;0,1,0))</f>
        <v/>
      </c>
      <c r="M442" s="54">
        <f>N(M441)+$L442</f>
        <v/>
      </c>
      <c r="N442" s="54">
        <f>IF($B442="",0,COUNTIFS('①在庫を貼る'!$V$6:$V$10005,'設定'!$C$4,'①在庫を貼る'!$W$6:$W$10005,$B442))</f>
        <v/>
      </c>
    </row>
    <row r="443" ht="18" customHeight="1">
      <c r="B443" s="76" t="n"/>
      <c r="C443" s="77" t="n"/>
      <c r="D443" s="77" t="n"/>
      <c r="E443" s="77" t="n"/>
      <c r="F443" s="78" t="n"/>
      <c r="G443" s="79" t="n"/>
      <c r="H443" s="69" t="n"/>
      <c r="I443" s="44">
        <f>IF(OR($B443="",$H443=""),"",$H443*MAX(1,N($F443)))</f>
        <v/>
      </c>
      <c r="J443" s="80" t="n"/>
      <c r="K443" s="77" t="n"/>
      <c r="L443" s="54">
        <f>IF($B443="",0,IF(COUNTIFS('①在庫を貼る'!$V$6:$V$10005,'設定'!$C$4,'①在庫を貼る'!$W$6:$W$10005,$B443)+COUNTIFS('月1回_1ヶ月前の在庫'!$V$6:$V$10005,'設定'!$C$4,'月1回_1ヶ月前の在庫'!$W$6:$W$10005,$B443)+COUNTIFS('月1回_2ヶ月前の在庫'!$V$6:$V$10005,'設定'!$C$4,'月1回_2ヶ月前の在庫'!$W$6:$W$10005,$B443)&gt;0,1,0))</f>
        <v/>
      </c>
      <c r="M443" s="54">
        <f>N(M442)+$L443</f>
        <v/>
      </c>
      <c r="N443" s="54">
        <f>IF($B443="",0,COUNTIFS('①在庫を貼る'!$V$6:$V$10005,'設定'!$C$4,'①在庫を貼る'!$W$6:$W$10005,$B443))</f>
        <v/>
      </c>
    </row>
    <row r="444" ht="18" customHeight="1">
      <c r="B444" s="76" t="n"/>
      <c r="C444" s="77" t="n"/>
      <c r="D444" s="77" t="n"/>
      <c r="E444" s="77" t="n"/>
      <c r="F444" s="78" t="n"/>
      <c r="G444" s="79" t="n"/>
      <c r="H444" s="69" t="n"/>
      <c r="I444" s="44">
        <f>IF(OR($B444="",$H444=""),"",$H444*MAX(1,N($F444)))</f>
        <v/>
      </c>
      <c r="J444" s="80" t="n"/>
      <c r="K444" s="77" t="n"/>
      <c r="L444" s="54">
        <f>IF($B444="",0,IF(COUNTIFS('①在庫を貼る'!$V$6:$V$10005,'設定'!$C$4,'①在庫を貼る'!$W$6:$W$10005,$B444)+COUNTIFS('月1回_1ヶ月前の在庫'!$V$6:$V$10005,'設定'!$C$4,'月1回_1ヶ月前の在庫'!$W$6:$W$10005,$B444)+COUNTIFS('月1回_2ヶ月前の在庫'!$V$6:$V$10005,'設定'!$C$4,'月1回_2ヶ月前の在庫'!$W$6:$W$10005,$B444)&gt;0,1,0))</f>
        <v/>
      </c>
      <c r="M444" s="54">
        <f>N(M443)+$L444</f>
        <v/>
      </c>
      <c r="N444" s="54">
        <f>IF($B444="",0,COUNTIFS('①在庫を貼る'!$V$6:$V$10005,'設定'!$C$4,'①在庫を貼る'!$W$6:$W$10005,$B444))</f>
        <v/>
      </c>
    </row>
    <row r="445" ht="18" customHeight="1">
      <c r="B445" s="76" t="n"/>
      <c r="C445" s="77" t="n"/>
      <c r="D445" s="77" t="n"/>
      <c r="E445" s="77" t="n"/>
      <c r="F445" s="78" t="n"/>
      <c r="G445" s="79" t="n"/>
      <c r="H445" s="69" t="n"/>
      <c r="I445" s="44">
        <f>IF(OR($B445="",$H445=""),"",$H445*MAX(1,N($F445)))</f>
        <v/>
      </c>
      <c r="J445" s="80" t="n"/>
      <c r="K445" s="77" t="n"/>
      <c r="L445" s="54">
        <f>IF($B445="",0,IF(COUNTIFS('①在庫を貼る'!$V$6:$V$10005,'設定'!$C$4,'①在庫を貼る'!$W$6:$W$10005,$B445)+COUNTIFS('月1回_1ヶ月前の在庫'!$V$6:$V$10005,'設定'!$C$4,'月1回_1ヶ月前の在庫'!$W$6:$W$10005,$B445)+COUNTIFS('月1回_2ヶ月前の在庫'!$V$6:$V$10005,'設定'!$C$4,'月1回_2ヶ月前の在庫'!$W$6:$W$10005,$B445)&gt;0,1,0))</f>
        <v/>
      </c>
      <c r="M445" s="54">
        <f>N(M444)+$L445</f>
        <v/>
      </c>
      <c r="N445" s="54">
        <f>IF($B445="",0,COUNTIFS('①在庫を貼る'!$V$6:$V$10005,'設定'!$C$4,'①在庫を貼る'!$W$6:$W$10005,$B445))</f>
        <v/>
      </c>
    </row>
    <row r="446" ht="18" customHeight="1">
      <c r="B446" s="76" t="n"/>
      <c r="C446" s="77" t="n"/>
      <c r="D446" s="77" t="n"/>
      <c r="E446" s="77" t="n"/>
      <c r="F446" s="78" t="n"/>
      <c r="G446" s="79" t="n"/>
      <c r="H446" s="69" t="n"/>
      <c r="I446" s="44">
        <f>IF(OR($B446="",$H446=""),"",$H446*MAX(1,N($F446)))</f>
        <v/>
      </c>
      <c r="J446" s="80" t="n"/>
      <c r="K446" s="77" t="n"/>
      <c r="L446" s="54">
        <f>IF($B446="",0,IF(COUNTIFS('①在庫を貼る'!$V$6:$V$10005,'設定'!$C$4,'①在庫を貼る'!$W$6:$W$10005,$B446)+COUNTIFS('月1回_1ヶ月前の在庫'!$V$6:$V$10005,'設定'!$C$4,'月1回_1ヶ月前の在庫'!$W$6:$W$10005,$B446)+COUNTIFS('月1回_2ヶ月前の在庫'!$V$6:$V$10005,'設定'!$C$4,'月1回_2ヶ月前の在庫'!$W$6:$W$10005,$B446)&gt;0,1,0))</f>
        <v/>
      </c>
      <c r="M446" s="54">
        <f>N(M445)+$L446</f>
        <v/>
      </c>
      <c r="N446" s="54">
        <f>IF($B446="",0,COUNTIFS('①在庫を貼る'!$V$6:$V$10005,'設定'!$C$4,'①在庫を貼る'!$W$6:$W$10005,$B446))</f>
        <v/>
      </c>
    </row>
    <row r="447" ht="18" customHeight="1">
      <c r="B447" s="76" t="n"/>
      <c r="C447" s="77" t="n"/>
      <c r="D447" s="77" t="n"/>
      <c r="E447" s="77" t="n"/>
      <c r="F447" s="78" t="n"/>
      <c r="G447" s="79" t="n"/>
      <c r="H447" s="69" t="n"/>
      <c r="I447" s="44">
        <f>IF(OR($B447="",$H447=""),"",$H447*MAX(1,N($F447)))</f>
        <v/>
      </c>
      <c r="J447" s="80" t="n"/>
      <c r="K447" s="77" t="n"/>
      <c r="L447" s="54">
        <f>IF($B447="",0,IF(COUNTIFS('①在庫を貼る'!$V$6:$V$10005,'設定'!$C$4,'①在庫を貼る'!$W$6:$W$10005,$B447)+COUNTIFS('月1回_1ヶ月前の在庫'!$V$6:$V$10005,'設定'!$C$4,'月1回_1ヶ月前の在庫'!$W$6:$W$10005,$B447)+COUNTIFS('月1回_2ヶ月前の在庫'!$V$6:$V$10005,'設定'!$C$4,'月1回_2ヶ月前の在庫'!$W$6:$W$10005,$B447)&gt;0,1,0))</f>
        <v/>
      </c>
      <c r="M447" s="54">
        <f>N(M446)+$L447</f>
        <v/>
      </c>
      <c r="N447" s="54">
        <f>IF($B447="",0,COUNTIFS('①在庫を貼る'!$V$6:$V$10005,'設定'!$C$4,'①在庫を貼る'!$W$6:$W$10005,$B447))</f>
        <v/>
      </c>
    </row>
    <row r="448" ht="18" customHeight="1">
      <c r="B448" s="76" t="n"/>
      <c r="C448" s="77" t="n"/>
      <c r="D448" s="77" t="n"/>
      <c r="E448" s="77" t="n"/>
      <c r="F448" s="78" t="n"/>
      <c r="G448" s="79" t="n"/>
      <c r="H448" s="69" t="n"/>
      <c r="I448" s="44">
        <f>IF(OR($B448="",$H448=""),"",$H448*MAX(1,N($F448)))</f>
        <v/>
      </c>
      <c r="J448" s="80" t="n"/>
      <c r="K448" s="77" t="n"/>
      <c r="L448" s="54">
        <f>IF($B448="",0,IF(COUNTIFS('①在庫を貼る'!$V$6:$V$10005,'設定'!$C$4,'①在庫を貼る'!$W$6:$W$10005,$B448)+COUNTIFS('月1回_1ヶ月前の在庫'!$V$6:$V$10005,'設定'!$C$4,'月1回_1ヶ月前の在庫'!$W$6:$W$10005,$B448)+COUNTIFS('月1回_2ヶ月前の在庫'!$V$6:$V$10005,'設定'!$C$4,'月1回_2ヶ月前の在庫'!$W$6:$W$10005,$B448)&gt;0,1,0))</f>
        <v/>
      </c>
      <c r="M448" s="54">
        <f>N(M447)+$L448</f>
        <v/>
      </c>
      <c r="N448" s="54">
        <f>IF($B448="",0,COUNTIFS('①在庫を貼る'!$V$6:$V$10005,'設定'!$C$4,'①在庫を貼る'!$W$6:$W$10005,$B448))</f>
        <v/>
      </c>
    </row>
    <row r="449" ht="18" customHeight="1">
      <c r="B449" s="76" t="n"/>
      <c r="C449" s="77" t="n"/>
      <c r="D449" s="77" t="n"/>
      <c r="E449" s="77" t="n"/>
      <c r="F449" s="78" t="n"/>
      <c r="G449" s="79" t="n"/>
      <c r="H449" s="69" t="n"/>
      <c r="I449" s="44">
        <f>IF(OR($B449="",$H449=""),"",$H449*MAX(1,N($F449)))</f>
        <v/>
      </c>
      <c r="J449" s="80" t="n"/>
      <c r="K449" s="77" t="n"/>
      <c r="L449" s="54">
        <f>IF($B449="",0,IF(COUNTIFS('①在庫を貼る'!$V$6:$V$10005,'設定'!$C$4,'①在庫を貼る'!$W$6:$W$10005,$B449)+COUNTIFS('月1回_1ヶ月前の在庫'!$V$6:$V$10005,'設定'!$C$4,'月1回_1ヶ月前の在庫'!$W$6:$W$10005,$B449)+COUNTIFS('月1回_2ヶ月前の在庫'!$V$6:$V$10005,'設定'!$C$4,'月1回_2ヶ月前の在庫'!$W$6:$W$10005,$B449)&gt;0,1,0))</f>
        <v/>
      </c>
      <c r="M449" s="54">
        <f>N(M448)+$L449</f>
        <v/>
      </c>
      <c r="N449" s="54">
        <f>IF($B449="",0,COUNTIFS('①在庫を貼る'!$V$6:$V$10005,'設定'!$C$4,'①在庫を貼る'!$W$6:$W$10005,$B449))</f>
        <v/>
      </c>
    </row>
    <row r="450" ht="18" customHeight="1">
      <c r="B450" s="76" t="n"/>
      <c r="C450" s="77" t="n"/>
      <c r="D450" s="77" t="n"/>
      <c r="E450" s="77" t="n"/>
      <c r="F450" s="78" t="n"/>
      <c r="G450" s="79" t="n"/>
      <c r="H450" s="69" t="n"/>
      <c r="I450" s="44">
        <f>IF(OR($B450="",$H450=""),"",$H450*MAX(1,N($F450)))</f>
        <v/>
      </c>
      <c r="J450" s="80" t="n"/>
      <c r="K450" s="77" t="n"/>
      <c r="L450" s="54">
        <f>IF($B450="",0,IF(COUNTIFS('①在庫を貼る'!$V$6:$V$10005,'設定'!$C$4,'①在庫を貼る'!$W$6:$W$10005,$B450)+COUNTIFS('月1回_1ヶ月前の在庫'!$V$6:$V$10005,'設定'!$C$4,'月1回_1ヶ月前の在庫'!$W$6:$W$10005,$B450)+COUNTIFS('月1回_2ヶ月前の在庫'!$V$6:$V$10005,'設定'!$C$4,'月1回_2ヶ月前の在庫'!$W$6:$W$10005,$B450)&gt;0,1,0))</f>
        <v/>
      </c>
      <c r="M450" s="54">
        <f>N(M449)+$L450</f>
        <v/>
      </c>
      <c r="N450" s="54">
        <f>IF($B450="",0,COUNTIFS('①在庫を貼る'!$V$6:$V$10005,'設定'!$C$4,'①在庫を貼る'!$W$6:$W$10005,$B450))</f>
        <v/>
      </c>
    </row>
    <row r="451" ht="18" customHeight="1">
      <c r="B451" s="76" t="n"/>
      <c r="C451" s="77" t="n"/>
      <c r="D451" s="77" t="n"/>
      <c r="E451" s="77" t="n"/>
      <c r="F451" s="78" t="n"/>
      <c r="G451" s="79" t="n"/>
      <c r="H451" s="69" t="n"/>
      <c r="I451" s="44">
        <f>IF(OR($B451="",$H451=""),"",$H451*MAX(1,N($F451)))</f>
        <v/>
      </c>
      <c r="J451" s="80" t="n"/>
      <c r="K451" s="77" t="n"/>
      <c r="L451" s="54">
        <f>IF($B451="",0,IF(COUNTIFS('①在庫を貼る'!$V$6:$V$10005,'設定'!$C$4,'①在庫を貼る'!$W$6:$W$10005,$B451)+COUNTIFS('月1回_1ヶ月前の在庫'!$V$6:$V$10005,'設定'!$C$4,'月1回_1ヶ月前の在庫'!$W$6:$W$10005,$B451)+COUNTIFS('月1回_2ヶ月前の在庫'!$V$6:$V$10005,'設定'!$C$4,'月1回_2ヶ月前の在庫'!$W$6:$W$10005,$B451)&gt;0,1,0))</f>
        <v/>
      </c>
      <c r="M451" s="54">
        <f>N(M450)+$L451</f>
        <v/>
      </c>
      <c r="N451" s="54">
        <f>IF($B451="",0,COUNTIFS('①在庫を貼る'!$V$6:$V$10005,'設定'!$C$4,'①在庫を貼る'!$W$6:$W$10005,$B451))</f>
        <v/>
      </c>
    </row>
    <row r="452" ht="18" customHeight="1">
      <c r="B452" s="76" t="n"/>
      <c r="C452" s="77" t="n"/>
      <c r="D452" s="77" t="n"/>
      <c r="E452" s="77" t="n"/>
      <c r="F452" s="78" t="n"/>
      <c r="G452" s="79" t="n"/>
      <c r="H452" s="69" t="n"/>
      <c r="I452" s="44">
        <f>IF(OR($B452="",$H452=""),"",$H452*MAX(1,N($F452)))</f>
        <v/>
      </c>
      <c r="J452" s="80" t="n"/>
      <c r="K452" s="77" t="n"/>
      <c r="L452" s="54">
        <f>IF($B452="",0,IF(COUNTIFS('①在庫を貼る'!$V$6:$V$10005,'設定'!$C$4,'①在庫を貼る'!$W$6:$W$10005,$B452)+COUNTIFS('月1回_1ヶ月前の在庫'!$V$6:$V$10005,'設定'!$C$4,'月1回_1ヶ月前の在庫'!$W$6:$W$10005,$B452)+COUNTIFS('月1回_2ヶ月前の在庫'!$V$6:$V$10005,'設定'!$C$4,'月1回_2ヶ月前の在庫'!$W$6:$W$10005,$B452)&gt;0,1,0))</f>
        <v/>
      </c>
      <c r="M452" s="54">
        <f>N(M451)+$L452</f>
        <v/>
      </c>
      <c r="N452" s="54">
        <f>IF($B452="",0,COUNTIFS('①在庫を貼る'!$V$6:$V$10005,'設定'!$C$4,'①在庫を貼る'!$W$6:$W$10005,$B452))</f>
        <v/>
      </c>
    </row>
    <row r="453" ht="18" customHeight="1">
      <c r="B453" s="76" t="n"/>
      <c r="C453" s="77" t="n"/>
      <c r="D453" s="77" t="n"/>
      <c r="E453" s="77" t="n"/>
      <c r="F453" s="78" t="n"/>
      <c r="G453" s="79" t="n"/>
      <c r="H453" s="69" t="n"/>
      <c r="I453" s="44">
        <f>IF(OR($B453="",$H453=""),"",$H453*MAX(1,N($F453)))</f>
        <v/>
      </c>
      <c r="J453" s="80" t="n"/>
      <c r="K453" s="77" t="n"/>
      <c r="L453" s="54">
        <f>IF($B453="",0,IF(COUNTIFS('①在庫を貼る'!$V$6:$V$10005,'設定'!$C$4,'①在庫を貼る'!$W$6:$W$10005,$B453)+COUNTIFS('月1回_1ヶ月前の在庫'!$V$6:$V$10005,'設定'!$C$4,'月1回_1ヶ月前の在庫'!$W$6:$W$10005,$B453)+COUNTIFS('月1回_2ヶ月前の在庫'!$V$6:$V$10005,'設定'!$C$4,'月1回_2ヶ月前の在庫'!$W$6:$W$10005,$B453)&gt;0,1,0))</f>
        <v/>
      </c>
      <c r="M453" s="54">
        <f>N(M452)+$L453</f>
        <v/>
      </c>
      <c r="N453" s="54">
        <f>IF($B453="",0,COUNTIFS('①在庫を貼る'!$V$6:$V$10005,'設定'!$C$4,'①在庫を貼る'!$W$6:$W$10005,$B453))</f>
        <v/>
      </c>
    </row>
    <row r="454" ht="18" customHeight="1">
      <c r="B454" s="76" t="n"/>
      <c r="C454" s="77" t="n"/>
      <c r="D454" s="77" t="n"/>
      <c r="E454" s="77" t="n"/>
      <c r="F454" s="78" t="n"/>
      <c r="G454" s="79" t="n"/>
      <c r="H454" s="69" t="n"/>
      <c r="I454" s="44">
        <f>IF(OR($B454="",$H454=""),"",$H454*MAX(1,N($F454)))</f>
        <v/>
      </c>
      <c r="J454" s="80" t="n"/>
      <c r="K454" s="77" t="n"/>
      <c r="L454" s="54">
        <f>IF($B454="",0,IF(COUNTIFS('①在庫を貼る'!$V$6:$V$10005,'設定'!$C$4,'①在庫を貼る'!$W$6:$W$10005,$B454)+COUNTIFS('月1回_1ヶ月前の在庫'!$V$6:$V$10005,'設定'!$C$4,'月1回_1ヶ月前の在庫'!$W$6:$W$10005,$B454)+COUNTIFS('月1回_2ヶ月前の在庫'!$V$6:$V$10005,'設定'!$C$4,'月1回_2ヶ月前の在庫'!$W$6:$W$10005,$B454)&gt;0,1,0))</f>
        <v/>
      </c>
      <c r="M454" s="54">
        <f>N(M453)+$L454</f>
        <v/>
      </c>
      <c r="N454" s="54">
        <f>IF($B454="",0,COUNTIFS('①在庫を貼る'!$V$6:$V$10005,'設定'!$C$4,'①在庫を貼る'!$W$6:$W$10005,$B454))</f>
        <v/>
      </c>
    </row>
    <row r="455" ht="18" customHeight="1">
      <c r="B455" s="76" t="n"/>
      <c r="C455" s="77" t="n"/>
      <c r="D455" s="77" t="n"/>
      <c r="E455" s="77" t="n"/>
      <c r="F455" s="78" t="n"/>
      <c r="G455" s="79" t="n"/>
      <c r="H455" s="69" t="n"/>
      <c r="I455" s="44">
        <f>IF(OR($B455="",$H455=""),"",$H455*MAX(1,N($F455)))</f>
        <v/>
      </c>
      <c r="J455" s="80" t="n"/>
      <c r="K455" s="77" t="n"/>
      <c r="L455" s="54">
        <f>IF($B455="",0,IF(COUNTIFS('①在庫を貼る'!$V$6:$V$10005,'設定'!$C$4,'①在庫を貼る'!$W$6:$W$10005,$B455)+COUNTIFS('月1回_1ヶ月前の在庫'!$V$6:$V$10005,'設定'!$C$4,'月1回_1ヶ月前の在庫'!$W$6:$W$10005,$B455)+COUNTIFS('月1回_2ヶ月前の在庫'!$V$6:$V$10005,'設定'!$C$4,'月1回_2ヶ月前の在庫'!$W$6:$W$10005,$B455)&gt;0,1,0))</f>
        <v/>
      </c>
      <c r="M455" s="54">
        <f>N(M454)+$L455</f>
        <v/>
      </c>
      <c r="N455" s="54">
        <f>IF($B455="",0,COUNTIFS('①在庫を貼る'!$V$6:$V$10005,'設定'!$C$4,'①在庫を貼る'!$W$6:$W$10005,$B455))</f>
        <v/>
      </c>
    </row>
    <row r="456" ht="18" customHeight="1">
      <c r="B456" s="76" t="n"/>
      <c r="C456" s="77" t="n"/>
      <c r="D456" s="77" t="n"/>
      <c r="E456" s="77" t="n"/>
      <c r="F456" s="78" t="n"/>
      <c r="G456" s="79" t="n"/>
      <c r="H456" s="69" t="n"/>
      <c r="I456" s="44">
        <f>IF(OR($B456="",$H456=""),"",$H456*MAX(1,N($F456)))</f>
        <v/>
      </c>
      <c r="J456" s="80" t="n"/>
      <c r="K456" s="77" t="n"/>
      <c r="L456" s="54">
        <f>IF($B456="",0,IF(COUNTIFS('①在庫を貼る'!$V$6:$V$10005,'設定'!$C$4,'①在庫を貼る'!$W$6:$W$10005,$B456)+COUNTIFS('月1回_1ヶ月前の在庫'!$V$6:$V$10005,'設定'!$C$4,'月1回_1ヶ月前の在庫'!$W$6:$W$10005,$B456)+COUNTIFS('月1回_2ヶ月前の在庫'!$V$6:$V$10005,'設定'!$C$4,'月1回_2ヶ月前の在庫'!$W$6:$W$10005,$B456)&gt;0,1,0))</f>
        <v/>
      </c>
      <c r="M456" s="54">
        <f>N(M455)+$L456</f>
        <v/>
      </c>
      <c r="N456" s="54">
        <f>IF($B456="",0,COUNTIFS('①在庫を貼る'!$V$6:$V$10005,'設定'!$C$4,'①在庫を貼る'!$W$6:$W$10005,$B456))</f>
        <v/>
      </c>
    </row>
    <row r="457" ht="18" customHeight="1">
      <c r="B457" s="76" t="n"/>
      <c r="C457" s="77" t="n"/>
      <c r="D457" s="77" t="n"/>
      <c r="E457" s="77" t="n"/>
      <c r="F457" s="78" t="n"/>
      <c r="G457" s="79" t="n"/>
      <c r="H457" s="69" t="n"/>
      <c r="I457" s="44">
        <f>IF(OR($B457="",$H457=""),"",$H457*MAX(1,N($F457)))</f>
        <v/>
      </c>
      <c r="J457" s="80" t="n"/>
      <c r="K457" s="77" t="n"/>
      <c r="L457" s="54">
        <f>IF($B457="",0,IF(COUNTIFS('①在庫を貼る'!$V$6:$V$10005,'設定'!$C$4,'①在庫を貼る'!$W$6:$W$10005,$B457)+COUNTIFS('月1回_1ヶ月前の在庫'!$V$6:$V$10005,'設定'!$C$4,'月1回_1ヶ月前の在庫'!$W$6:$W$10005,$B457)+COUNTIFS('月1回_2ヶ月前の在庫'!$V$6:$V$10005,'設定'!$C$4,'月1回_2ヶ月前の在庫'!$W$6:$W$10005,$B457)&gt;0,1,0))</f>
        <v/>
      </c>
      <c r="M457" s="54">
        <f>N(M456)+$L457</f>
        <v/>
      </c>
      <c r="N457" s="54">
        <f>IF($B457="",0,COUNTIFS('①在庫を貼る'!$V$6:$V$10005,'設定'!$C$4,'①在庫を貼る'!$W$6:$W$10005,$B457))</f>
        <v/>
      </c>
    </row>
    <row r="458" ht="18" customHeight="1">
      <c r="B458" s="76" t="n"/>
      <c r="C458" s="77" t="n"/>
      <c r="D458" s="77" t="n"/>
      <c r="E458" s="77" t="n"/>
      <c r="F458" s="78" t="n"/>
      <c r="G458" s="79" t="n"/>
      <c r="H458" s="69" t="n"/>
      <c r="I458" s="44">
        <f>IF(OR($B458="",$H458=""),"",$H458*MAX(1,N($F458)))</f>
        <v/>
      </c>
      <c r="J458" s="80" t="n"/>
      <c r="K458" s="77" t="n"/>
      <c r="L458" s="54">
        <f>IF($B458="",0,IF(COUNTIFS('①在庫を貼る'!$V$6:$V$10005,'設定'!$C$4,'①在庫を貼る'!$W$6:$W$10005,$B458)+COUNTIFS('月1回_1ヶ月前の在庫'!$V$6:$V$10005,'設定'!$C$4,'月1回_1ヶ月前の在庫'!$W$6:$W$10005,$B458)+COUNTIFS('月1回_2ヶ月前の在庫'!$V$6:$V$10005,'設定'!$C$4,'月1回_2ヶ月前の在庫'!$W$6:$W$10005,$B458)&gt;0,1,0))</f>
        <v/>
      </c>
      <c r="M458" s="54">
        <f>N(M457)+$L458</f>
        <v/>
      </c>
      <c r="N458" s="54">
        <f>IF($B458="",0,COUNTIFS('①在庫を貼る'!$V$6:$V$10005,'設定'!$C$4,'①在庫を貼る'!$W$6:$W$10005,$B458))</f>
        <v/>
      </c>
    </row>
    <row r="459" ht="18" customHeight="1">
      <c r="B459" s="76" t="n"/>
      <c r="C459" s="77" t="n"/>
      <c r="D459" s="77" t="n"/>
      <c r="E459" s="77" t="n"/>
      <c r="F459" s="78" t="n"/>
      <c r="G459" s="79" t="n"/>
      <c r="H459" s="69" t="n"/>
      <c r="I459" s="44">
        <f>IF(OR($B459="",$H459=""),"",$H459*MAX(1,N($F459)))</f>
        <v/>
      </c>
      <c r="J459" s="80" t="n"/>
      <c r="K459" s="77" t="n"/>
      <c r="L459" s="54">
        <f>IF($B459="",0,IF(COUNTIFS('①在庫を貼る'!$V$6:$V$10005,'設定'!$C$4,'①在庫を貼る'!$W$6:$W$10005,$B459)+COUNTIFS('月1回_1ヶ月前の在庫'!$V$6:$V$10005,'設定'!$C$4,'月1回_1ヶ月前の在庫'!$W$6:$W$10005,$B459)+COUNTIFS('月1回_2ヶ月前の在庫'!$V$6:$V$10005,'設定'!$C$4,'月1回_2ヶ月前の在庫'!$W$6:$W$10005,$B459)&gt;0,1,0))</f>
        <v/>
      </c>
      <c r="M459" s="54">
        <f>N(M458)+$L459</f>
        <v/>
      </c>
      <c r="N459" s="54">
        <f>IF($B459="",0,COUNTIFS('①在庫を貼る'!$V$6:$V$10005,'設定'!$C$4,'①在庫を貼る'!$W$6:$W$10005,$B459))</f>
        <v/>
      </c>
    </row>
    <row r="460" ht="18" customHeight="1">
      <c r="B460" s="76" t="n"/>
      <c r="C460" s="77" t="n"/>
      <c r="D460" s="77" t="n"/>
      <c r="E460" s="77" t="n"/>
      <c r="F460" s="78" t="n"/>
      <c r="G460" s="79" t="n"/>
      <c r="H460" s="69" t="n"/>
      <c r="I460" s="44">
        <f>IF(OR($B460="",$H460=""),"",$H460*MAX(1,N($F460)))</f>
        <v/>
      </c>
      <c r="J460" s="80" t="n"/>
      <c r="K460" s="77" t="n"/>
      <c r="L460" s="54">
        <f>IF($B460="",0,IF(COUNTIFS('①在庫を貼る'!$V$6:$V$10005,'設定'!$C$4,'①在庫を貼る'!$W$6:$W$10005,$B460)+COUNTIFS('月1回_1ヶ月前の在庫'!$V$6:$V$10005,'設定'!$C$4,'月1回_1ヶ月前の在庫'!$W$6:$W$10005,$B460)+COUNTIFS('月1回_2ヶ月前の在庫'!$V$6:$V$10005,'設定'!$C$4,'月1回_2ヶ月前の在庫'!$W$6:$W$10005,$B460)&gt;0,1,0))</f>
        <v/>
      </c>
      <c r="M460" s="54">
        <f>N(M459)+$L460</f>
        <v/>
      </c>
      <c r="N460" s="54">
        <f>IF($B460="",0,COUNTIFS('①在庫を貼る'!$V$6:$V$10005,'設定'!$C$4,'①在庫を貼る'!$W$6:$W$10005,$B460))</f>
        <v/>
      </c>
    </row>
    <row r="461" ht="18" customHeight="1">
      <c r="B461" s="76" t="n"/>
      <c r="C461" s="77" t="n"/>
      <c r="D461" s="77" t="n"/>
      <c r="E461" s="77" t="n"/>
      <c r="F461" s="78" t="n"/>
      <c r="G461" s="79" t="n"/>
      <c r="H461" s="69" t="n"/>
      <c r="I461" s="44">
        <f>IF(OR($B461="",$H461=""),"",$H461*MAX(1,N($F461)))</f>
        <v/>
      </c>
      <c r="J461" s="80" t="n"/>
      <c r="K461" s="77" t="n"/>
      <c r="L461" s="54">
        <f>IF($B461="",0,IF(COUNTIFS('①在庫を貼る'!$V$6:$V$10005,'設定'!$C$4,'①在庫を貼る'!$W$6:$W$10005,$B461)+COUNTIFS('月1回_1ヶ月前の在庫'!$V$6:$V$10005,'設定'!$C$4,'月1回_1ヶ月前の在庫'!$W$6:$W$10005,$B461)+COUNTIFS('月1回_2ヶ月前の在庫'!$V$6:$V$10005,'設定'!$C$4,'月1回_2ヶ月前の在庫'!$W$6:$W$10005,$B461)&gt;0,1,0))</f>
        <v/>
      </c>
      <c r="M461" s="54">
        <f>N(M460)+$L461</f>
        <v/>
      </c>
      <c r="N461" s="54">
        <f>IF($B461="",0,COUNTIFS('①在庫を貼る'!$V$6:$V$10005,'設定'!$C$4,'①在庫を貼る'!$W$6:$W$10005,$B461))</f>
        <v/>
      </c>
    </row>
    <row r="462" ht="18" customHeight="1">
      <c r="B462" s="76" t="n"/>
      <c r="C462" s="77" t="n"/>
      <c r="D462" s="77" t="n"/>
      <c r="E462" s="77" t="n"/>
      <c r="F462" s="78" t="n"/>
      <c r="G462" s="79" t="n"/>
      <c r="H462" s="69" t="n"/>
      <c r="I462" s="44">
        <f>IF(OR($B462="",$H462=""),"",$H462*MAX(1,N($F462)))</f>
        <v/>
      </c>
      <c r="J462" s="80" t="n"/>
      <c r="K462" s="77" t="n"/>
      <c r="L462" s="54">
        <f>IF($B462="",0,IF(COUNTIFS('①在庫を貼る'!$V$6:$V$10005,'設定'!$C$4,'①在庫を貼る'!$W$6:$W$10005,$B462)+COUNTIFS('月1回_1ヶ月前の在庫'!$V$6:$V$10005,'設定'!$C$4,'月1回_1ヶ月前の在庫'!$W$6:$W$10005,$B462)+COUNTIFS('月1回_2ヶ月前の在庫'!$V$6:$V$10005,'設定'!$C$4,'月1回_2ヶ月前の在庫'!$W$6:$W$10005,$B462)&gt;0,1,0))</f>
        <v/>
      </c>
      <c r="M462" s="54">
        <f>N(M461)+$L462</f>
        <v/>
      </c>
      <c r="N462" s="54">
        <f>IF($B462="",0,COUNTIFS('①在庫を貼る'!$V$6:$V$10005,'設定'!$C$4,'①在庫を貼る'!$W$6:$W$10005,$B462))</f>
        <v/>
      </c>
    </row>
    <row r="463" ht="18" customHeight="1">
      <c r="B463" s="76" t="n"/>
      <c r="C463" s="77" t="n"/>
      <c r="D463" s="77" t="n"/>
      <c r="E463" s="77" t="n"/>
      <c r="F463" s="78" t="n"/>
      <c r="G463" s="79" t="n"/>
      <c r="H463" s="69" t="n"/>
      <c r="I463" s="44">
        <f>IF(OR($B463="",$H463=""),"",$H463*MAX(1,N($F463)))</f>
        <v/>
      </c>
      <c r="J463" s="80" t="n"/>
      <c r="K463" s="77" t="n"/>
      <c r="L463" s="54">
        <f>IF($B463="",0,IF(COUNTIFS('①在庫を貼る'!$V$6:$V$10005,'設定'!$C$4,'①在庫を貼る'!$W$6:$W$10005,$B463)+COUNTIFS('月1回_1ヶ月前の在庫'!$V$6:$V$10005,'設定'!$C$4,'月1回_1ヶ月前の在庫'!$W$6:$W$10005,$B463)+COUNTIFS('月1回_2ヶ月前の在庫'!$V$6:$V$10005,'設定'!$C$4,'月1回_2ヶ月前の在庫'!$W$6:$W$10005,$B463)&gt;0,1,0))</f>
        <v/>
      </c>
      <c r="M463" s="54">
        <f>N(M462)+$L463</f>
        <v/>
      </c>
      <c r="N463" s="54">
        <f>IF($B463="",0,COUNTIFS('①在庫を貼る'!$V$6:$V$10005,'設定'!$C$4,'①在庫を貼る'!$W$6:$W$10005,$B463))</f>
        <v/>
      </c>
    </row>
    <row r="464" ht="18" customHeight="1">
      <c r="B464" s="76" t="n"/>
      <c r="C464" s="77" t="n"/>
      <c r="D464" s="77" t="n"/>
      <c r="E464" s="77" t="n"/>
      <c r="F464" s="78" t="n"/>
      <c r="G464" s="79" t="n"/>
      <c r="H464" s="69" t="n"/>
      <c r="I464" s="44">
        <f>IF(OR($B464="",$H464=""),"",$H464*MAX(1,N($F464)))</f>
        <v/>
      </c>
      <c r="J464" s="80" t="n"/>
      <c r="K464" s="77" t="n"/>
      <c r="L464" s="54">
        <f>IF($B464="",0,IF(COUNTIFS('①在庫を貼る'!$V$6:$V$10005,'設定'!$C$4,'①在庫を貼る'!$W$6:$W$10005,$B464)+COUNTIFS('月1回_1ヶ月前の在庫'!$V$6:$V$10005,'設定'!$C$4,'月1回_1ヶ月前の在庫'!$W$6:$W$10005,$B464)+COUNTIFS('月1回_2ヶ月前の在庫'!$V$6:$V$10005,'設定'!$C$4,'月1回_2ヶ月前の在庫'!$W$6:$W$10005,$B464)&gt;0,1,0))</f>
        <v/>
      </c>
      <c r="M464" s="54">
        <f>N(M463)+$L464</f>
        <v/>
      </c>
      <c r="N464" s="54">
        <f>IF($B464="",0,COUNTIFS('①在庫を貼る'!$V$6:$V$10005,'設定'!$C$4,'①在庫を貼る'!$W$6:$W$10005,$B464))</f>
        <v/>
      </c>
    </row>
    <row r="465" ht="18" customHeight="1">
      <c r="B465" s="76" t="n"/>
      <c r="C465" s="77" t="n"/>
      <c r="D465" s="77" t="n"/>
      <c r="E465" s="77" t="n"/>
      <c r="F465" s="78" t="n"/>
      <c r="G465" s="79" t="n"/>
      <c r="H465" s="69" t="n"/>
      <c r="I465" s="44">
        <f>IF(OR($B465="",$H465=""),"",$H465*MAX(1,N($F465)))</f>
        <v/>
      </c>
      <c r="J465" s="80" t="n"/>
      <c r="K465" s="77" t="n"/>
      <c r="L465" s="54">
        <f>IF($B465="",0,IF(COUNTIFS('①在庫を貼る'!$V$6:$V$10005,'設定'!$C$4,'①在庫を貼る'!$W$6:$W$10005,$B465)+COUNTIFS('月1回_1ヶ月前の在庫'!$V$6:$V$10005,'設定'!$C$4,'月1回_1ヶ月前の在庫'!$W$6:$W$10005,$B465)+COUNTIFS('月1回_2ヶ月前の在庫'!$V$6:$V$10005,'設定'!$C$4,'月1回_2ヶ月前の在庫'!$W$6:$W$10005,$B465)&gt;0,1,0))</f>
        <v/>
      </c>
      <c r="M465" s="54">
        <f>N(M464)+$L465</f>
        <v/>
      </c>
      <c r="N465" s="54">
        <f>IF($B465="",0,COUNTIFS('①在庫を貼る'!$V$6:$V$10005,'設定'!$C$4,'①在庫を貼る'!$W$6:$W$10005,$B465))</f>
        <v/>
      </c>
    </row>
    <row r="466" ht="18" customHeight="1">
      <c r="B466" s="76" t="n"/>
      <c r="C466" s="77" t="n"/>
      <c r="D466" s="77" t="n"/>
      <c r="E466" s="77" t="n"/>
      <c r="F466" s="78" t="n"/>
      <c r="G466" s="79" t="n"/>
      <c r="H466" s="69" t="n"/>
      <c r="I466" s="44">
        <f>IF(OR($B466="",$H466=""),"",$H466*MAX(1,N($F466)))</f>
        <v/>
      </c>
      <c r="J466" s="80" t="n"/>
      <c r="K466" s="77" t="n"/>
      <c r="L466" s="54">
        <f>IF($B466="",0,IF(COUNTIFS('①在庫を貼る'!$V$6:$V$10005,'設定'!$C$4,'①在庫を貼る'!$W$6:$W$10005,$B466)+COUNTIFS('月1回_1ヶ月前の在庫'!$V$6:$V$10005,'設定'!$C$4,'月1回_1ヶ月前の在庫'!$W$6:$W$10005,$B466)+COUNTIFS('月1回_2ヶ月前の在庫'!$V$6:$V$10005,'設定'!$C$4,'月1回_2ヶ月前の在庫'!$W$6:$W$10005,$B466)&gt;0,1,0))</f>
        <v/>
      </c>
      <c r="M466" s="54">
        <f>N(M465)+$L466</f>
        <v/>
      </c>
      <c r="N466" s="54">
        <f>IF($B466="",0,COUNTIFS('①在庫を貼る'!$V$6:$V$10005,'設定'!$C$4,'①在庫を貼る'!$W$6:$W$10005,$B466))</f>
        <v/>
      </c>
    </row>
    <row r="467" ht="18" customHeight="1">
      <c r="B467" s="76" t="n"/>
      <c r="C467" s="77" t="n"/>
      <c r="D467" s="77" t="n"/>
      <c r="E467" s="77" t="n"/>
      <c r="F467" s="78" t="n"/>
      <c r="G467" s="79" t="n"/>
      <c r="H467" s="69" t="n"/>
      <c r="I467" s="44">
        <f>IF(OR($B467="",$H467=""),"",$H467*MAX(1,N($F467)))</f>
        <v/>
      </c>
      <c r="J467" s="80" t="n"/>
      <c r="K467" s="77" t="n"/>
      <c r="L467" s="54">
        <f>IF($B467="",0,IF(COUNTIFS('①在庫を貼る'!$V$6:$V$10005,'設定'!$C$4,'①在庫を貼る'!$W$6:$W$10005,$B467)+COUNTIFS('月1回_1ヶ月前の在庫'!$V$6:$V$10005,'設定'!$C$4,'月1回_1ヶ月前の在庫'!$W$6:$W$10005,$B467)+COUNTIFS('月1回_2ヶ月前の在庫'!$V$6:$V$10005,'設定'!$C$4,'月1回_2ヶ月前の在庫'!$W$6:$W$10005,$B467)&gt;0,1,0))</f>
        <v/>
      </c>
      <c r="M467" s="54">
        <f>N(M466)+$L467</f>
        <v/>
      </c>
      <c r="N467" s="54">
        <f>IF($B467="",0,COUNTIFS('①在庫を貼る'!$V$6:$V$10005,'設定'!$C$4,'①在庫を貼る'!$W$6:$W$10005,$B467))</f>
        <v/>
      </c>
    </row>
    <row r="468" ht="18" customHeight="1">
      <c r="B468" s="76" t="n"/>
      <c r="C468" s="77" t="n"/>
      <c r="D468" s="77" t="n"/>
      <c r="E468" s="77" t="n"/>
      <c r="F468" s="78" t="n"/>
      <c r="G468" s="79" t="n"/>
      <c r="H468" s="69" t="n"/>
      <c r="I468" s="44">
        <f>IF(OR($B468="",$H468=""),"",$H468*MAX(1,N($F468)))</f>
        <v/>
      </c>
      <c r="J468" s="80" t="n"/>
      <c r="K468" s="77" t="n"/>
      <c r="L468" s="54">
        <f>IF($B468="",0,IF(COUNTIFS('①在庫を貼る'!$V$6:$V$10005,'設定'!$C$4,'①在庫を貼る'!$W$6:$W$10005,$B468)+COUNTIFS('月1回_1ヶ月前の在庫'!$V$6:$V$10005,'設定'!$C$4,'月1回_1ヶ月前の在庫'!$W$6:$W$10005,$B468)+COUNTIFS('月1回_2ヶ月前の在庫'!$V$6:$V$10005,'設定'!$C$4,'月1回_2ヶ月前の在庫'!$W$6:$W$10005,$B468)&gt;0,1,0))</f>
        <v/>
      </c>
      <c r="M468" s="54">
        <f>N(M467)+$L468</f>
        <v/>
      </c>
      <c r="N468" s="54">
        <f>IF($B468="",0,COUNTIFS('①在庫を貼る'!$V$6:$V$10005,'設定'!$C$4,'①在庫を貼る'!$W$6:$W$10005,$B468))</f>
        <v/>
      </c>
    </row>
    <row r="469" ht="18" customHeight="1">
      <c r="B469" s="76" t="n"/>
      <c r="C469" s="77" t="n"/>
      <c r="D469" s="77" t="n"/>
      <c r="E469" s="77" t="n"/>
      <c r="F469" s="78" t="n"/>
      <c r="G469" s="79" t="n"/>
      <c r="H469" s="69" t="n"/>
      <c r="I469" s="44">
        <f>IF(OR($B469="",$H469=""),"",$H469*MAX(1,N($F469)))</f>
        <v/>
      </c>
      <c r="J469" s="80" t="n"/>
      <c r="K469" s="77" t="n"/>
      <c r="L469" s="54">
        <f>IF($B469="",0,IF(COUNTIFS('①在庫を貼る'!$V$6:$V$10005,'設定'!$C$4,'①在庫を貼る'!$W$6:$W$10005,$B469)+COUNTIFS('月1回_1ヶ月前の在庫'!$V$6:$V$10005,'設定'!$C$4,'月1回_1ヶ月前の在庫'!$W$6:$W$10005,$B469)+COUNTIFS('月1回_2ヶ月前の在庫'!$V$6:$V$10005,'設定'!$C$4,'月1回_2ヶ月前の在庫'!$W$6:$W$10005,$B469)&gt;0,1,0))</f>
        <v/>
      </c>
      <c r="M469" s="54">
        <f>N(M468)+$L469</f>
        <v/>
      </c>
      <c r="N469" s="54">
        <f>IF($B469="",0,COUNTIFS('①在庫を貼る'!$V$6:$V$10005,'設定'!$C$4,'①在庫を貼る'!$W$6:$W$10005,$B469))</f>
        <v/>
      </c>
    </row>
    <row r="470" ht="18" customHeight="1">
      <c r="B470" s="76" t="n"/>
      <c r="C470" s="77" t="n"/>
      <c r="D470" s="77" t="n"/>
      <c r="E470" s="77" t="n"/>
      <c r="F470" s="78" t="n"/>
      <c r="G470" s="79" t="n"/>
      <c r="H470" s="69" t="n"/>
      <c r="I470" s="44">
        <f>IF(OR($B470="",$H470=""),"",$H470*MAX(1,N($F470)))</f>
        <v/>
      </c>
      <c r="J470" s="80" t="n"/>
      <c r="K470" s="77" t="n"/>
      <c r="L470" s="54">
        <f>IF($B470="",0,IF(COUNTIFS('①在庫を貼る'!$V$6:$V$10005,'設定'!$C$4,'①在庫を貼る'!$W$6:$W$10005,$B470)+COUNTIFS('月1回_1ヶ月前の在庫'!$V$6:$V$10005,'設定'!$C$4,'月1回_1ヶ月前の在庫'!$W$6:$W$10005,$B470)+COUNTIFS('月1回_2ヶ月前の在庫'!$V$6:$V$10005,'設定'!$C$4,'月1回_2ヶ月前の在庫'!$W$6:$W$10005,$B470)&gt;0,1,0))</f>
        <v/>
      </c>
      <c r="M470" s="54">
        <f>N(M469)+$L470</f>
        <v/>
      </c>
      <c r="N470" s="54">
        <f>IF($B470="",0,COUNTIFS('①在庫を貼る'!$V$6:$V$10005,'設定'!$C$4,'①在庫を貼る'!$W$6:$W$10005,$B470))</f>
        <v/>
      </c>
    </row>
    <row r="471" ht="18" customHeight="1">
      <c r="B471" s="76" t="n"/>
      <c r="C471" s="77" t="n"/>
      <c r="D471" s="77" t="n"/>
      <c r="E471" s="77" t="n"/>
      <c r="F471" s="78" t="n"/>
      <c r="G471" s="79" t="n"/>
      <c r="H471" s="69" t="n"/>
      <c r="I471" s="44">
        <f>IF(OR($B471="",$H471=""),"",$H471*MAX(1,N($F471)))</f>
        <v/>
      </c>
      <c r="J471" s="80" t="n"/>
      <c r="K471" s="77" t="n"/>
      <c r="L471" s="54">
        <f>IF($B471="",0,IF(COUNTIFS('①在庫を貼る'!$V$6:$V$10005,'設定'!$C$4,'①在庫を貼る'!$W$6:$W$10005,$B471)+COUNTIFS('月1回_1ヶ月前の在庫'!$V$6:$V$10005,'設定'!$C$4,'月1回_1ヶ月前の在庫'!$W$6:$W$10005,$B471)+COUNTIFS('月1回_2ヶ月前の在庫'!$V$6:$V$10005,'設定'!$C$4,'月1回_2ヶ月前の在庫'!$W$6:$W$10005,$B471)&gt;0,1,0))</f>
        <v/>
      </c>
      <c r="M471" s="54">
        <f>N(M470)+$L471</f>
        <v/>
      </c>
      <c r="N471" s="54">
        <f>IF($B471="",0,COUNTIFS('①在庫を貼る'!$V$6:$V$10005,'設定'!$C$4,'①在庫を貼る'!$W$6:$W$10005,$B471))</f>
        <v/>
      </c>
    </row>
    <row r="472" ht="18" customHeight="1">
      <c r="B472" s="76" t="n"/>
      <c r="C472" s="77" t="n"/>
      <c r="D472" s="77" t="n"/>
      <c r="E472" s="77" t="n"/>
      <c r="F472" s="78" t="n"/>
      <c r="G472" s="79" t="n"/>
      <c r="H472" s="69" t="n"/>
      <c r="I472" s="44">
        <f>IF(OR($B472="",$H472=""),"",$H472*MAX(1,N($F472)))</f>
        <v/>
      </c>
      <c r="J472" s="80" t="n"/>
      <c r="K472" s="77" t="n"/>
      <c r="L472" s="54">
        <f>IF($B472="",0,IF(COUNTIFS('①在庫を貼る'!$V$6:$V$10005,'設定'!$C$4,'①在庫を貼る'!$W$6:$W$10005,$B472)+COUNTIFS('月1回_1ヶ月前の在庫'!$V$6:$V$10005,'設定'!$C$4,'月1回_1ヶ月前の在庫'!$W$6:$W$10005,$B472)+COUNTIFS('月1回_2ヶ月前の在庫'!$V$6:$V$10005,'設定'!$C$4,'月1回_2ヶ月前の在庫'!$W$6:$W$10005,$B472)&gt;0,1,0))</f>
        <v/>
      </c>
      <c r="M472" s="54">
        <f>N(M471)+$L472</f>
        <v/>
      </c>
      <c r="N472" s="54">
        <f>IF($B472="",0,COUNTIFS('①在庫を貼る'!$V$6:$V$10005,'設定'!$C$4,'①在庫を貼る'!$W$6:$W$10005,$B472))</f>
        <v/>
      </c>
    </row>
    <row r="473" ht="18" customHeight="1">
      <c r="B473" s="76" t="n"/>
      <c r="C473" s="77" t="n"/>
      <c r="D473" s="77" t="n"/>
      <c r="E473" s="77" t="n"/>
      <c r="F473" s="78" t="n"/>
      <c r="G473" s="79" t="n"/>
      <c r="H473" s="69" t="n"/>
      <c r="I473" s="44">
        <f>IF(OR($B473="",$H473=""),"",$H473*MAX(1,N($F473)))</f>
        <v/>
      </c>
      <c r="J473" s="80" t="n"/>
      <c r="K473" s="77" t="n"/>
      <c r="L473" s="54">
        <f>IF($B473="",0,IF(COUNTIFS('①在庫を貼る'!$V$6:$V$10005,'設定'!$C$4,'①在庫を貼る'!$W$6:$W$10005,$B473)+COUNTIFS('月1回_1ヶ月前の在庫'!$V$6:$V$10005,'設定'!$C$4,'月1回_1ヶ月前の在庫'!$W$6:$W$10005,$B473)+COUNTIFS('月1回_2ヶ月前の在庫'!$V$6:$V$10005,'設定'!$C$4,'月1回_2ヶ月前の在庫'!$W$6:$W$10005,$B473)&gt;0,1,0))</f>
        <v/>
      </c>
      <c r="M473" s="54">
        <f>N(M472)+$L473</f>
        <v/>
      </c>
      <c r="N473" s="54">
        <f>IF($B473="",0,COUNTIFS('①在庫を貼る'!$V$6:$V$10005,'設定'!$C$4,'①在庫を貼る'!$W$6:$W$10005,$B473))</f>
        <v/>
      </c>
    </row>
    <row r="474" ht="18" customHeight="1">
      <c r="B474" s="76" t="n"/>
      <c r="C474" s="77" t="n"/>
      <c r="D474" s="77" t="n"/>
      <c r="E474" s="77" t="n"/>
      <c r="F474" s="78" t="n"/>
      <c r="G474" s="79" t="n"/>
      <c r="H474" s="69" t="n"/>
      <c r="I474" s="44">
        <f>IF(OR($B474="",$H474=""),"",$H474*MAX(1,N($F474)))</f>
        <v/>
      </c>
      <c r="J474" s="80" t="n"/>
      <c r="K474" s="77" t="n"/>
      <c r="L474" s="54">
        <f>IF($B474="",0,IF(COUNTIFS('①在庫を貼る'!$V$6:$V$10005,'設定'!$C$4,'①在庫を貼る'!$W$6:$W$10005,$B474)+COUNTIFS('月1回_1ヶ月前の在庫'!$V$6:$V$10005,'設定'!$C$4,'月1回_1ヶ月前の在庫'!$W$6:$W$10005,$B474)+COUNTIFS('月1回_2ヶ月前の在庫'!$V$6:$V$10005,'設定'!$C$4,'月1回_2ヶ月前の在庫'!$W$6:$W$10005,$B474)&gt;0,1,0))</f>
        <v/>
      </c>
      <c r="M474" s="54">
        <f>N(M473)+$L474</f>
        <v/>
      </c>
      <c r="N474" s="54">
        <f>IF($B474="",0,COUNTIFS('①在庫を貼る'!$V$6:$V$10005,'設定'!$C$4,'①在庫を貼る'!$W$6:$W$10005,$B474))</f>
        <v/>
      </c>
    </row>
    <row r="475" ht="18" customHeight="1">
      <c r="B475" s="76" t="n"/>
      <c r="C475" s="77" t="n"/>
      <c r="D475" s="77" t="n"/>
      <c r="E475" s="77" t="n"/>
      <c r="F475" s="78" t="n"/>
      <c r="G475" s="79" t="n"/>
      <c r="H475" s="69" t="n"/>
      <c r="I475" s="44">
        <f>IF(OR($B475="",$H475=""),"",$H475*MAX(1,N($F475)))</f>
        <v/>
      </c>
      <c r="J475" s="80" t="n"/>
      <c r="K475" s="77" t="n"/>
      <c r="L475" s="54">
        <f>IF($B475="",0,IF(COUNTIFS('①在庫を貼る'!$V$6:$V$10005,'設定'!$C$4,'①在庫を貼る'!$W$6:$W$10005,$B475)+COUNTIFS('月1回_1ヶ月前の在庫'!$V$6:$V$10005,'設定'!$C$4,'月1回_1ヶ月前の在庫'!$W$6:$W$10005,$B475)+COUNTIFS('月1回_2ヶ月前の在庫'!$V$6:$V$10005,'設定'!$C$4,'月1回_2ヶ月前の在庫'!$W$6:$W$10005,$B475)&gt;0,1,0))</f>
        <v/>
      </c>
      <c r="M475" s="54">
        <f>N(M474)+$L475</f>
        <v/>
      </c>
      <c r="N475" s="54">
        <f>IF($B475="",0,COUNTIFS('①在庫を貼る'!$V$6:$V$10005,'設定'!$C$4,'①在庫を貼る'!$W$6:$W$10005,$B475))</f>
        <v/>
      </c>
    </row>
    <row r="476" ht="18" customHeight="1">
      <c r="B476" s="76" t="n"/>
      <c r="C476" s="77" t="n"/>
      <c r="D476" s="77" t="n"/>
      <c r="E476" s="77" t="n"/>
      <c r="F476" s="78" t="n"/>
      <c r="G476" s="79" t="n"/>
      <c r="H476" s="69" t="n"/>
      <c r="I476" s="44">
        <f>IF(OR($B476="",$H476=""),"",$H476*MAX(1,N($F476)))</f>
        <v/>
      </c>
      <c r="J476" s="80" t="n"/>
      <c r="K476" s="77" t="n"/>
      <c r="L476" s="54">
        <f>IF($B476="",0,IF(COUNTIFS('①在庫を貼る'!$V$6:$V$10005,'設定'!$C$4,'①在庫を貼る'!$W$6:$W$10005,$B476)+COUNTIFS('月1回_1ヶ月前の在庫'!$V$6:$V$10005,'設定'!$C$4,'月1回_1ヶ月前の在庫'!$W$6:$W$10005,$B476)+COUNTIFS('月1回_2ヶ月前の在庫'!$V$6:$V$10005,'設定'!$C$4,'月1回_2ヶ月前の在庫'!$W$6:$W$10005,$B476)&gt;0,1,0))</f>
        <v/>
      </c>
      <c r="M476" s="54">
        <f>N(M475)+$L476</f>
        <v/>
      </c>
      <c r="N476" s="54">
        <f>IF($B476="",0,COUNTIFS('①在庫を貼る'!$V$6:$V$10005,'設定'!$C$4,'①在庫を貼る'!$W$6:$W$10005,$B476))</f>
        <v/>
      </c>
    </row>
    <row r="477" ht="18" customHeight="1">
      <c r="B477" s="76" t="n"/>
      <c r="C477" s="77" t="n"/>
      <c r="D477" s="77" t="n"/>
      <c r="E477" s="77" t="n"/>
      <c r="F477" s="78" t="n"/>
      <c r="G477" s="79" t="n"/>
      <c r="H477" s="69" t="n"/>
      <c r="I477" s="44">
        <f>IF(OR($B477="",$H477=""),"",$H477*MAX(1,N($F477)))</f>
        <v/>
      </c>
      <c r="J477" s="80" t="n"/>
      <c r="K477" s="77" t="n"/>
      <c r="L477" s="54">
        <f>IF($B477="",0,IF(COUNTIFS('①在庫を貼る'!$V$6:$V$10005,'設定'!$C$4,'①在庫を貼る'!$W$6:$W$10005,$B477)+COUNTIFS('月1回_1ヶ月前の在庫'!$V$6:$V$10005,'設定'!$C$4,'月1回_1ヶ月前の在庫'!$W$6:$W$10005,$B477)+COUNTIFS('月1回_2ヶ月前の在庫'!$V$6:$V$10005,'設定'!$C$4,'月1回_2ヶ月前の在庫'!$W$6:$W$10005,$B477)&gt;0,1,0))</f>
        <v/>
      </c>
      <c r="M477" s="54">
        <f>N(M476)+$L477</f>
        <v/>
      </c>
      <c r="N477" s="54">
        <f>IF($B477="",0,COUNTIFS('①在庫を貼る'!$V$6:$V$10005,'設定'!$C$4,'①在庫を貼る'!$W$6:$W$10005,$B477))</f>
        <v/>
      </c>
    </row>
    <row r="478" ht="18" customHeight="1">
      <c r="B478" s="76" t="n"/>
      <c r="C478" s="77" t="n"/>
      <c r="D478" s="77" t="n"/>
      <c r="E478" s="77" t="n"/>
      <c r="F478" s="78" t="n"/>
      <c r="G478" s="79" t="n"/>
      <c r="H478" s="69" t="n"/>
      <c r="I478" s="44">
        <f>IF(OR($B478="",$H478=""),"",$H478*MAX(1,N($F478)))</f>
        <v/>
      </c>
      <c r="J478" s="80" t="n"/>
      <c r="K478" s="77" t="n"/>
      <c r="L478" s="54">
        <f>IF($B478="",0,IF(COUNTIFS('①在庫を貼る'!$V$6:$V$10005,'設定'!$C$4,'①在庫を貼る'!$W$6:$W$10005,$B478)+COUNTIFS('月1回_1ヶ月前の在庫'!$V$6:$V$10005,'設定'!$C$4,'月1回_1ヶ月前の在庫'!$W$6:$W$10005,$B478)+COUNTIFS('月1回_2ヶ月前の在庫'!$V$6:$V$10005,'設定'!$C$4,'月1回_2ヶ月前の在庫'!$W$6:$W$10005,$B478)&gt;0,1,0))</f>
        <v/>
      </c>
      <c r="M478" s="54">
        <f>N(M477)+$L478</f>
        <v/>
      </c>
      <c r="N478" s="54">
        <f>IF($B478="",0,COUNTIFS('①在庫を貼る'!$V$6:$V$10005,'設定'!$C$4,'①在庫を貼る'!$W$6:$W$10005,$B478))</f>
        <v/>
      </c>
    </row>
    <row r="479" ht="18" customHeight="1">
      <c r="B479" s="76" t="n"/>
      <c r="C479" s="77" t="n"/>
      <c r="D479" s="77" t="n"/>
      <c r="E479" s="77" t="n"/>
      <c r="F479" s="78" t="n"/>
      <c r="G479" s="79" t="n"/>
      <c r="H479" s="69" t="n"/>
      <c r="I479" s="44">
        <f>IF(OR($B479="",$H479=""),"",$H479*MAX(1,N($F479)))</f>
        <v/>
      </c>
      <c r="J479" s="80" t="n"/>
      <c r="K479" s="77" t="n"/>
      <c r="L479" s="54">
        <f>IF($B479="",0,IF(COUNTIFS('①在庫を貼る'!$V$6:$V$10005,'設定'!$C$4,'①在庫を貼る'!$W$6:$W$10005,$B479)+COUNTIFS('月1回_1ヶ月前の在庫'!$V$6:$V$10005,'設定'!$C$4,'月1回_1ヶ月前の在庫'!$W$6:$W$10005,$B479)+COUNTIFS('月1回_2ヶ月前の在庫'!$V$6:$V$10005,'設定'!$C$4,'月1回_2ヶ月前の在庫'!$W$6:$W$10005,$B479)&gt;0,1,0))</f>
        <v/>
      </c>
      <c r="M479" s="54">
        <f>N(M478)+$L479</f>
        <v/>
      </c>
      <c r="N479" s="54">
        <f>IF($B479="",0,COUNTIFS('①在庫を貼る'!$V$6:$V$10005,'設定'!$C$4,'①在庫を貼る'!$W$6:$W$10005,$B479))</f>
        <v/>
      </c>
    </row>
    <row r="480" ht="18" customHeight="1">
      <c r="B480" s="76" t="n"/>
      <c r="C480" s="77" t="n"/>
      <c r="D480" s="77" t="n"/>
      <c r="E480" s="77" t="n"/>
      <c r="F480" s="78" t="n"/>
      <c r="G480" s="79" t="n"/>
      <c r="H480" s="69" t="n"/>
      <c r="I480" s="44">
        <f>IF(OR($B480="",$H480=""),"",$H480*MAX(1,N($F480)))</f>
        <v/>
      </c>
      <c r="J480" s="80" t="n"/>
      <c r="K480" s="77" t="n"/>
      <c r="L480" s="54">
        <f>IF($B480="",0,IF(COUNTIFS('①在庫を貼る'!$V$6:$V$10005,'設定'!$C$4,'①在庫を貼る'!$W$6:$W$10005,$B480)+COUNTIFS('月1回_1ヶ月前の在庫'!$V$6:$V$10005,'設定'!$C$4,'月1回_1ヶ月前の在庫'!$W$6:$W$10005,$B480)+COUNTIFS('月1回_2ヶ月前の在庫'!$V$6:$V$10005,'設定'!$C$4,'月1回_2ヶ月前の在庫'!$W$6:$W$10005,$B480)&gt;0,1,0))</f>
        <v/>
      </c>
      <c r="M480" s="54">
        <f>N(M479)+$L480</f>
        <v/>
      </c>
      <c r="N480" s="54">
        <f>IF($B480="",0,COUNTIFS('①在庫を貼る'!$V$6:$V$10005,'設定'!$C$4,'①在庫を貼る'!$W$6:$W$10005,$B480))</f>
        <v/>
      </c>
    </row>
    <row r="481" ht="18" customHeight="1">
      <c r="B481" s="76" t="n"/>
      <c r="C481" s="77" t="n"/>
      <c r="D481" s="77" t="n"/>
      <c r="E481" s="77" t="n"/>
      <c r="F481" s="78" t="n"/>
      <c r="G481" s="79" t="n"/>
      <c r="H481" s="69" t="n"/>
      <c r="I481" s="44">
        <f>IF(OR($B481="",$H481=""),"",$H481*MAX(1,N($F481)))</f>
        <v/>
      </c>
      <c r="J481" s="80" t="n"/>
      <c r="K481" s="77" t="n"/>
      <c r="L481" s="54">
        <f>IF($B481="",0,IF(COUNTIFS('①在庫を貼る'!$V$6:$V$10005,'設定'!$C$4,'①在庫を貼る'!$W$6:$W$10005,$B481)+COUNTIFS('月1回_1ヶ月前の在庫'!$V$6:$V$10005,'設定'!$C$4,'月1回_1ヶ月前の在庫'!$W$6:$W$10005,$B481)+COUNTIFS('月1回_2ヶ月前の在庫'!$V$6:$V$10005,'設定'!$C$4,'月1回_2ヶ月前の在庫'!$W$6:$W$10005,$B481)&gt;0,1,0))</f>
        <v/>
      </c>
      <c r="M481" s="54">
        <f>N(M480)+$L481</f>
        <v/>
      </c>
      <c r="N481" s="54">
        <f>IF($B481="",0,COUNTIFS('①在庫を貼る'!$V$6:$V$10005,'設定'!$C$4,'①在庫を貼る'!$W$6:$W$10005,$B481))</f>
        <v/>
      </c>
    </row>
    <row r="482" ht="18" customHeight="1">
      <c r="B482" s="76" t="n"/>
      <c r="C482" s="77" t="n"/>
      <c r="D482" s="77" t="n"/>
      <c r="E482" s="77" t="n"/>
      <c r="F482" s="78" t="n"/>
      <c r="G482" s="79" t="n"/>
      <c r="H482" s="69" t="n"/>
      <c r="I482" s="44">
        <f>IF(OR($B482="",$H482=""),"",$H482*MAX(1,N($F482)))</f>
        <v/>
      </c>
      <c r="J482" s="80" t="n"/>
      <c r="K482" s="77" t="n"/>
      <c r="L482" s="54">
        <f>IF($B482="",0,IF(COUNTIFS('①在庫を貼る'!$V$6:$V$10005,'設定'!$C$4,'①在庫を貼る'!$W$6:$W$10005,$B482)+COUNTIFS('月1回_1ヶ月前の在庫'!$V$6:$V$10005,'設定'!$C$4,'月1回_1ヶ月前の在庫'!$W$6:$W$10005,$B482)+COUNTIFS('月1回_2ヶ月前の在庫'!$V$6:$V$10005,'設定'!$C$4,'月1回_2ヶ月前の在庫'!$W$6:$W$10005,$B482)&gt;0,1,0))</f>
        <v/>
      </c>
      <c r="M482" s="54">
        <f>N(M481)+$L482</f>
        <v/>
      </c>
      <c r="N482" s="54">
        <f>IF($B482="",0,COUNTIFS('①在庫を貼る'!$V$6:$V$10005,'設定'!$C$4,'①在庫を貼る'!$W$6:$W$10005,$B482))</f>
        <v/>
      </c>
    </row>
    <row r="483" ht="18" customHeight="1">
      <c r="B483" s="76" t="n"/>
      <c r="C483" s="77" t="n"/>
      <c r="D483" s="77" t="n"/>
      <c r="E483" s="77" t="n"/>
      <c r="F483" s="78" t="n"/>
      <c r="G483" s="79" t="n"/>
      <c r="H483" s="69" t="n"/>
      <c r="I483" s="44">
        <f>IF(OR($B483="",$H483=""),"",$H483*MAX(1,N($F483)))</f>
        <v/>
      </c>
      <c r="J483" s="80" t="n"/>
      <c r="K483" s="77" t="n"/>
      <c r="L483" s="54">
        <f>IF($B483="",0,IF(COUNTIFS('①在庫を貼る'!$V$6:$V$10005,'設定'!$C$4,'①在庫を貼る'!$W$6:$W$10005,$B483)+COUNTIFS('月1回_1ヶ月前の在庫'!$V$6:$V$10005,'設定'!$C$4,'月1回_1ヶ月前の在庫'!$W$6:$W$10005,$B483)+COUNTIFS('月1回_2ヶ月前の在庫'!$V$6:$V$10005,'設定'!$C$4,'月1回_2ヶ月前の在庫'!$W$6:$W$10005,$B483)&gt;0,1,0))</f>
        <v/>
      </c>
      <c r="M483" s="54">
        <f>N(M482)+$L483</f>
        <v/>
      </c>
      <c r="N483" s="54">
        <f>IF($B483="",0,COUNTIFS('①在庫を貼る'!$V$6:$V$10005,'設定'!$C$4,'①在庫を貼る'!$W$6:$W$10005,$B483))</f>
        <v/>
      </c>
    </row>
    <row r="484" ht="18" customHeight="1">
      <c r="B484" s="76" t="n"/>
      <c r="C484" s="77" t="n"/>
      <c r="D484" s="77" t="n"/>
      <c r="E484" s="77" t="n"/>
      <c r="F484" s="78" t="n"/>
      <c r="G484" s="79" t="n"/>
      <c r="H484" s="69" t="n"/>
      <c r="I484" s="44">
        <f>IF(OR($B484="",$H484=""),"",$H484*MAX(1,N($F484)))</f>
        <v/>
      </c>
      <c r="J484" s="80" t="n"/>
      <c r="K484" s="77" t="n"/>
      <c r="L484" s="54">
        <f>IF($B484="",0,IF(COUNTIFS('①在庫を貼る'!$V$6:$V$10005,'設定'!$C$4,'①在庫を貼る'!$W$6:$W$10005,$B484)+COUNTIFS('月1回_1ヶ月前の在庫'!$V$6:$V$10005,'設定'!$C$4,'月1回_1ヶ月前の在庫'!$W$6:$W$10005,$B484)+COUNTIFS('月1回_2ヶ月前の在庫'!$V$6:$V$10005,'設定'!$C$4,'月1回_2ヶ月前の在庫'!$W$6:$W$10005,$B484)&gt;0,1,0))</f>
        <v/>
      </c>
      <c r="M484" s="54">
        <f>N(M483)+$L484</f>
        <v/>
      </c>
      <c r="N484" s="54">
        <f>IF($B484="",0,COUNTIFS('①在庫を貼る'!$V$6:$V$10005,'設定'!$C$4,'①在庫を貼る'!$W$6:$W$10005,$B484))</f>
        <v/>
      </c>
    </row>
    <row r="485" ht="18" customHeight="1">
      <c r="B485" s="76" t="n"/>
      <c r="C485" s="77" t="n"/>
      <c r="D485" s="77" t="n"/>
      <c r="E485" s="77" t="n"/>
      <c r="F485" s="78" t="n"/>
      <c r="G485" s="79" t="n"/>
      <c r="H485" s="69" t="n"/>
      <c r="I485" s="44">
        <f>IF(OR($B485="",$H485=""),"",$H485*MAX(1,N($F485)))</f>
        <v/>
      </c>
      <c r="J485" s="80" t="n"/>
      <c r="K485" s="77" t="n"/>
      <c r="L485" s="54">
        <f>IF($B485="",0,IF(COUNTIFS('①在庫を貼る'!$V$6:$V$10005,'設定'!$C$4,'①在庫を貼る'!$W$6:$W$10005,$B485)+COUNTIFS('月1回_1ヶ月前の在庫'!$V$6:$V$10005,'設定'!$C$4,'月1回_1ヶ月前の在庫'!$W$6:$W$10005,$B485)+COUNTIFS('月1回_2ヶ月前の在庫'!$V$6:$V$10005,'設定'!$C$4,'月1回_2ヶ月前の在庫'!$W$6:$W$10005,$B485)&gt;0,1,0))</f>
        <v/>
      </c>
      <c r="M485" s="54">
        <f>N(M484)+$L485</f>
        <v/>
      </c>
      <c r="N485" s="54">
        <f>IF($B485="",0,COUNTIFS('①在庫を貼る'!$V$6:$V$10005,'設定'!$C$4,'①在庫を貼る'!$W$6:$W$10005,$B485))</f>
        <v/>
      </c>
    </row>
    <row r="486" ht="18" customHeight="1">
      <c r="B486" s="76" t="n"/>
      <c r="C486" s="77" t="n"/>
      <c r="D486" s="77" t="n"/>
      <c r="E486" s="77" t="n"/>
      <c r="F486" s="78" t="n"/>
      <c r="G486" s="79" t="n"/>
      <c r="H486" s="69" t="n"/>
      <c r="I486" s="44">
        <f>IF(OR($B486="",$H486=""),"",$H486*MAX(1,N($F486)))</f>
        <v/>
      </c>
      <c r="J486" s="80" t="n"/>
      <c r="K486" s="77" t="n"/>
      <c r="L486" s="54">
        <f>IF($B486="",0,IF(COUNTIFS('①在庫を貼る'!$V$6:$V$10005,'設定'!$C$4,'①在庫を貼る'!$W$6:$W$10005,$B486)+COUNTIFS('月1回_1ヶ月前の在庫'!$V$6:$V$10005,'設定'!$C$4,'月1回_1ヶ月前の在庫'!$W$6:$W$10005,$B486)+COUNTIFS('月1回_2ヶ月前の在庫'!$V$6:$V$10005,'設定'!$C$4,'月1回_2ヶ月前の在庫'!$W$6:$W$10005,$B486)&gt;0,1,0))</f>
        <v/>
      </c>
      <c r="M486" s="54">
        <f>N(M485)+$L486</f>
        <v/>
      </c>
      <c r="N486" s="54">
        <f>IF($B486="",0,COUNTIFS('①在庫を貼る'!$V$6:$V$10005,'設定'!$C$4,'①在庫を貼る'!$W$6:$W$10005,$B486))</f>
        <v/>
      </c>
    </row>
    <row r="487" ht="18" customHeight="1">
      <c r="B487" s="76" t="n"/>
      <c r="C487" s="77" t="n"/>
      <c r="D487" s="77" t="n"/>
      <c r="E487" s="77" t="n"/>
      <c r="F487" s="78" t="n"/>
      <c r="G487" s="79" t="n"/>
      <c r="H487" s="69" t="n"/>
      <c r="I487" s="44">
        <f>IF(OR($B487="",$H487=""),"",$H487*MAX(1,N($F487)))</f>
        <v/>
      </c>
      <c r="J487" s="80" t="n"/>
      <c r="K487" s="77" t="n"/>
      <c r="L487" s="54">
        <f>IF($B487="",0,IF(COUNTIFS('①在庫を貼る'!$V$6:$V$10005,'設定'!$C$4,'①在庫を貼る'!$W$6:$W$10005,$B487)+COUNTIFS('月1回_1ヶ月前の在庫'!$V$6:$V$10005,'設定'!$C$4,'月1回_1ヶ月前の在庫'!$W$6:$W$10005,$B487)+COUNTIFS('月1回_2ヶ月前の在庫'!$V$6:$V$10005,'設定'!$C$4,'月1回_2ヶ月前の在庫'!$W$6:$W$10005,$B487)&gt;0,1,0))</f>
        <v/>
      </c>
      <c r="M487" s="54">
        <f>N(M486)+$L487</f>
        <v/>
      </c>
      <c r="N487" s="54">
        <f>IF($B487="",0,COUNTIFS('①在庫を貼る'!$V$6:$V$10005,'設定'!$C$4,'①在庫を貼る'!$W$6:$W$10005,$B487))</f>
        <v/>
      </c>
    </row>
    <row r="488" ht="18" customHeight="1">
      <c r="B488" s="76" t="n"/>
      <c r="C488" s="77" t="n"/>
      <c r="D488" s="77" t="n"/>
      <c r="E488" s="77" t="n"/>
      <c r="F488" s="78" t="n"/>
      <c r="G488" s="79" t="n"/>
      <c r="H488" s="69" t="n"/>
      <c r="I488" s="44">
        <f>IF(OR($B488="",$H488=""),"",$H488*MAX(1,N($F488)))</f>
        <v/>
      </c>
      <c r="J488" s="80" t="n"/>
      <c r="K488" s="77" t="n"/>
      <c r="L488" s="54">
        <f>IF($B488="",0,IF(COUNTIFS('①在庫を貼る'!$V$6:$V$10005,'設定'!$C$4,'①在庫を貼る'!$W$6:$W$10005,$B488)+COUNTIFS('月1回_1ヶ月前の在庫'!$V$6:$V$10005,'設定'!$C$4,'月1回_1ヶ月前の在庫'!$W$6:$W$10005,$B488)+COUNTIFS('月1回_2ヶ月前の在庫'!$V$6:$V$10005,'設定'!$C$4,'月1回_2ヶ月前の在庫'!$W$6:$W$10005,$B488)&gt;0,1,0))</f>
        <v/>
      </c>
      <c r="M488" s="54">
        <f>N(M487)+$L488</f>
        <v/>
      </c>
      <c r="N488" s="54">
        <f>IF($B488="",0,COUNTIFS('①在庫を貼る'!$V$6:$V$10005,'設定'!$C$4,'①在庫を貼る'!$W$6:$W$10005,$B488))</f>
        <v/>
      </c>
    </row>
    <row r="489" ht="18" customHeight="1">
      <c r="B489" s="76" t="n"/>
      <c r="C489" s="77" t="n"/>
      <c r="D489" s="77" t="n"/>
      <c r="E489" s="77" t="n"/>
      <c r="F489" s="78" t="n"/>
      <c r="G489" s="79" t="n"/>
      <c r="H489" s="69" t="n"/>
      <c r="I489" s="44">
        <f>IF(OR($B489="",$H489=""),"",$H489*MAX(1,N($F489)))</f>
        <v/>
      </c>
      <c r="J489" s="80" t="n"/>
      <c r="K489" s="77" t="n"/>
      <c r="L489" s="54">
        <f>IF($B489="",0,IF(COUNTIFS('①在庫を貼る'!$V$6:$V$10005,'設定'!$C$4,'①在庫を貼る'!$W$6:$W$10005,$B489)+COUNTIFS('月1回_1ヶ月前の在庫'!$V$6:$V$10005,'設定'!$C$4,'月1回_1ヶ月前の在庫'!$W$6:$W$10005,$B489)+COUNTIFS('月1回_2ヶ月前の在庫'!$V$6:$V$10005,'設定'!$C$4,'月1回_2ヶ月前の在庫'!$W$6:$W$10005,$B489)&gt;0,1,0))</f>
        <v/>
      </c>
      <c r="M489" s="54">
        <f>N(M488)+$L489</f>
        <v/>
      </c>
      <c r="N489" s="54">
        <f>IF($B489="",0,COUNTIFS('①在庫を貼る'!$V$6:$V$10005,'設定'!$C$4,'①在庫を貼る'!$W$6:$W$10005,$B489))</f>
        <v/>
      </c>
    </row>
    <row r="490" ht="18" customHeight="1">
      <c r="B490" s="76" t="n"/>
      <c r="C490" s="77" t="n"/>
      <c r="D490" s="77" t="n"/>
      <c r="E490" s="77" t="n"/>
      <c r="F490" s="78" t="n"/>
      <c r="G490" s="79" t="n"/>
      <c r="H490" s="69" t="n"/>
      <c r="I490" s="44">
        <f>IF(OR($B490="",$H490=""),"",$H490*MAX(1,N($F490)))</f>
        <v/>
      </c>
      <c r="J490" s="80" t="n"/>
      <c r="K490" s="77" t="n"/>
      <c r="L490" s="54">
        <f>IF($B490="",0,IF(COUNTIFS('①在庫を貼る'!$V$6:$V$10005,'設定'!$C$4,'①在庫を貼る'!$W$6:$W$10005,$B490)+COUNTIFS('月1回_1ヶ月前の在庫'!$V$6:$V$10005,'設定'!$C$4,'月1回_1ヶ月前の在庫'!$W$6:$W$10005,$B490)+COUNTIFS('月1回_2ヶ月前の在庫'!$V$6:$V$10005,'設定'!$C$4,'月1回_2ヶ月前の在庫'!$W$6:$W$10005,$B490)&gt;0,1,0))</f>
        <v/>
      </c>
      <c r="M490" s="54">
        <f>N(M489)+$L490</f>
        <v/>
      </c>
      <c r="N490" s="54">
        <f>IF($B490="",0,COUNTIFS('①在庫を貼る'!$V$6:$V$10005,'設定'!$C$4,'①在庫を貼る'!$W$6:$W$10005,$B490))</f>
        <v/>
      </c>
    </row>
    <row r="491" ht="18" customHeight="1">
      <c r="B491" s="76" t="n"/>
      <c r="C491" s="77" t="n"/>
      <c r="D491" s="77" t="n"/>
      <c r="E491" s="77" t="n"/>
      <c r="F491" s="78" t="n"/>
      <c r="G491" s="79" t="n"/>
      <c r="H491" s="69" t="n"/>
      <c r="I491" s="44">
        <f>IF(OR($B491="",$H491=""),"",$H491*MAX(1,N($F491)))</f>
        <v/>
      </c>
      <c r="J491" s="80" t="n"/>
      <c r="K491" s="77" t="n"/>
      <c r="L491" s="54">
        <f>IF($B491="",0,IF(COUNTIFS('①在庫を貼る'!$V$6:$V$10005,'設定'!$C$4,'①在庫を貼る'!$W$6:$W$10005,$B491)+COUNTIFS('月1回_1ヶ月前の在庫'!$V$6:$V$10005,'設定'!$C$4,'月1回_1ヶ月前の在庫'!$W$6:$W$10005,$B491)+COUNTIFS('月1回_2ヶ月前の在庫'!$V$6:$V$10005,'設定'!$C$4,'月1回_2ヶ月前の在庫'!$W$6:$W$10005,$B491)&gt;0,1,0))</f>
        <v/>
      </c>
      <c r="M491" s="54">
        <f>N(M490)+$L491</f>
        <v/>
      </c>
      <c r="N491" s="54">
        <f>IF($B491="",0,COUNTIFS('①在庫を貼る'!$V$6:$V$10005,'設定'!$C$4,'①在庫を貼る'!$W$6:$W$10005,$B491))</f>
        <v/>
      </c>
    </row>
    <row r="492" ht="18" customHeight="1">
      <c r="B492" s="76" t="n"/>
      <c r="C492" s="77" t="n"/>
      <c r="D492" s="77" t="n"/>
      <c r="E492" s="77" t="n"/>
      <c r="F492" s="78" t="n"/>
      <c r="G492" s="79" t="n"/>
      <c r="H492" s="69" t="n"/>
      <c r="I492" s="44">
        <f>IF(OR($B492="",$H492=""),"",$H492*MAX(1,N($F492)))</f>
        <v/>
      </c>
      <c r="J492" s="80" t="n"/>
      <c r="K492" s="77" t="n"/>
      <c r="L492" s="54">
        <f>IF($B492="",0,IF(COUNTIFS('①在庫を貼る'!$V$6:$V$10005,'設定'!$C$4,'①在庫を貼る'!$W$6:$W$10005,$B492)+COUNTIFS('月1回_1ヶ月前の在庫'!$V$6:$V$10005,'設定'!$C$4,'月1回_1ヶ月前の在庫'!$W$6:$W$10005,$B492)+COUNTIFS('月1回_2ヶ月前の在庫'!$V$6:$V$10005,'設定'!$C$4,'月1回_2ヶ月前の在庫'!$W$6:$W$10005,$B492)&gt;0,1,0))</f>
        <v/>
      </c>
      <c r="M492" s="54">
        <f>N(M491)+$L492</f>
        <v/>
      </c>
      <c r="N492" s="54">
        <f>IF($B492="",0,COUNTIFS('①在庫を貼る'!$V$6:$V$10005,'設定'!$C$4,'①在庫を貼る'!$W$6:$W$10005,$B492))</f>
        <v/>
      </c>
    </row>
    <row r="493" ht="18" customHeight="1">
      <c r="B493" s="76" t="n"/>
      <c r="C493" s="77" t="n"/>
      <c r="D493" s="77" t="n"/>
      <c r="E493" s="77" t="n"/>
      <c r="F493" s="78" t="n"/>
      <c r="G493" s="79" t="n"/>
      <c r="H493" s="69" t="n"/>
      <c r="I493" s="44">
        <f>IF(OR($B493="",$H493=""),"",$H493*MAX(1,N($F493)))</f>
        <v/>
      </c>
      <c r="J493" s="80" t="n"/>
      <c r="K493" s="77" t="n"/>
      <c r="L493" s="54">
        <f>IF($B493="",0,IF(COUNTIFS('①在庫を貼る'!$V$6:$V$10005,'設定'!$C$4,'①在庫を貼る'!$W$6:$W$10005,$B493)+COUNTIFS('月1回_1ヶ月前の在庫'!$V$6:$V$10005,'設定'!$C$4,'月1回_1ヶ月前の在庫'!$W$6:$W$10005,$B493)+COUNTIFS('月1回_2ヶ月前の在庫'!$V$6:$V$10005,'設定'!$C$4,'月1回_2ヶ月前の在庫'!$W$6:$W$10005,$B493)&gt;0,1,0))</f>
        <v/>
      </c>
      <c r="M493" s="54">
        <f>N(M492)+$L493</f>
        <v/>
      </c>
      <c r="N493" s="54">
        <f>IF($B493="",0,COUNTIFS('①在庫を貼る'!$V$6:$V$10005,'設定'!$C$4,'①在庫を貼る'!$W$6:$W$10005,$B493))</f>
        <v/>
      </c>
    </row>
    <row r="494" ht="18" customHeight="1">
      <c r="B494" s="76" t="n"/>
      <c r="C494" s="77" t="n"/>
      <c r="D494" s="77" t="n"/>
      <c r="E494" s="77" t="n"/>
      <c r="F494" s="78" t="n"/>
      <c r="G494" s="79" t="n"/>
      <c r="H494" s="69" t="n"/>
      <c r="I494" s="44">
        <f>IF(OR($B494="",$H494=""),"",$H494*MAX(1,N($F494)))</f>
        <v/>
      </c>
      <c r="J494" s="80" t="n"/>
      <c r="K494" s="77" t="n"/>
      <c r="L494" s="54">
        <f>IF($B494="",0,IF(COUNTIFS('①在庫を貼る'!$V$6:$V$10005,'設定'!$C$4,'①在庫を貼る'!$W$6:$W$10005,$B494)+COUNTIFS('月1回_1ヶ月前の在庫'!$V$6:$V$10005,'設定'!$C$4,'月1回_1ヶ月前の在庫'!$W$6:$W$10005,$B494)+COUNTIFS('月1回_2ヶ月前の在庫'!$V$6:$V$10005,'設定'!$C$4,'月1回_2ヶ月前の在庫'!$W$6:$W$10005,$B494)&gt;0,1,0))</f>
        <v/>
      </c>
      <c r="M494" s="54">
        <f>N(M493)+$L494</f>
        <v/>
      </c>
      <c r="N494" s="54">
        <f>IF($B494="",0,COUNTIFS('①在庫を貼る'!$V$6:$V$10005,'設定'!$C$4,'①在庫を貼る'!$W$6:$W$10005,$B494))</f>
        <v/>
      </c>
    </row>
    <row r="495" ht="18" customHeight="1">
      <c r="B495" s="76" t="n"/>
      <c r="C495" s="77" t="n"/>
      <c r="D495" s="77" t="n"/>
      <c r="E495" s="77" t="n"/>
      <c r="F495" s="78" t="n"/>
      <c r="G495" s="79" t="n"/>
      <c r="H495" s="69" t="n"/>
      <c r="I495" s="44">
        <f>IF(OR($B495="",$H495=""),"",$H495*MAX(1,N($F495)))</f>
        <v/>
      </c>
      <c r="J495" s="80" t="n"/>
      <c r="K495" s="77" t="n"/>
      <c r="L495" s="54">
        <f>IF($B495="",0,IF(COUNTIFS('①在庫を貼る'!$V$6:$V$10005,'設定'!$C$4,'①在庫を貼る'!$W$6:$W$10005,$B495)+COUNTIFS('月1回_1ヶ月前の在庫'!$V$6:$V$10005,'設定'!$C$4,'月1回_1ヶ月前の在庫'!$W$6:$W$10005,$B495)+COUNTIFS('月1回_2ヶ月前の在庫'!$V$6:$V$10005,'設定'!$C$4,'月1回_2ヶ月前の在庫'!$W$6:$W$10005,$B495)&gt;0,1,0))</f>
        <v/>
      </c>
      <c r="M495" s="54">
        <f>N(M494)+$L495</f>
        <v/>
      </c>
      <c r="N495" s="54">
        <f>IF($B495="",0,COUNTIFS('①在庫を貼る'!$V$6:$V$10005,'設定'!$C$4,'①在庫を貼る'!$W$6:$W$10005,$B495))</f>
        <v/>
      </c>
    </row>
    <row r="496" ht="18" customHeight="1">
      <c r="B496" s="76" t="n"/>
      <c r="C496" s="77" t="n"/>
      <c r="D496" s="77" t="n"/>
      <c r="E496" s="77" t="n"/>
      <c r="F496" s="78" t="n"/>
      <c r="G496" s="79" t="n"/>
      <c r="H496" s="69" t="n"/>
      <c r="I496" s="44">
        <f>IF(OR($B496="",$H496=""),"",$H496*MAX(1,N($F496)))</f>
        <v/>
      </c>
      <c r="J496" s="80" t="n"/>
      <c r="K496" s="77" t="n"/>
      <c r="L496" s="54">
        <f>IF($B496="",0,IF(COUNTIFS('①在庫を貼る'!$V$6:$V$10005,'設定'!$C$4,'①在庫を貼る'!$W$6:$W$10005,$B496)+COUNTIFS('月1回_1ヶ月前の在庫'!$V$6:$V$10005,'設定'!$C$4,'月1回_1ヶ月前の在庫'!$W$6:$W$10005,$B496)+COUNTIFS('月1回_2ヶ月前の在庫'!$V$6:$V$10005,'設定'!$C$4,'月1回_2ヶ月前の在庫'!$W$6:$W$10005,$B496)&gt;0,1,0))</f>
        <v/>
      </c>
      <c r="M496" s="54">
        <f>N(M495)+$L496</f>
        <v/>
      </c>
      <c r="N496" s="54">
        <f>IF($B496="",0,COUNTIFS('①在庫を貼る'!$V$6:$V$10005,'設定'!$C$4,'①在庫を貼る'!$W$6:$W$10005,$B496))</f>
        <v/>
      </c>
    </row>
    <row r="497" ht="18" customHeight="1">
      <c r="B497" s="76" t="n"/>
      <c r="C497" s="77" t="n"/>
      <c r="D497" s="77" t="n"/>
      <c r="E497" s="77" t="n"/>
      <c r="F497" s="78" t="n"/>
      <c r="G497" s="79" t="n"/>
      <c r="H497" s="69" t="n"/>
      <c r="I497" s="44">
        <f>IF(OR($B497="",$H497=""),"",$H497*MAX(1,N($F497)))</f>
        <v/>
      </c>
      <c r="J497" s="80" t="n"/>
      <c r="K497" s="77" t="n"/>
      <c r="L497" s="54">
        <f>IF($B497="",0,IF(COUNTIFS('①在庫を貼る'!$V$6:$V$10005,'設定'!$C$4,'①在庫を貼る'!$W$6:$W$10005,$B497)+COUNTIFS('月1回_1ヶ月前の在庫'!$V$6:$V$10005,'設定'!$C$4,'月1回_1ヶ月前の在庫'!$W$6:$W$10005,$B497)+COUNTIFS('月1回_2ヶ月前の在庫'!$V$6:$V$10005,'設定'!$C$4,'月1回_2ヶ月前の在庫'!$W$6:$W$10005,$B497)&gt;0,1,0))</f>
        <v/>
      </c>
      <c r="M497" s="54">
        <f>N(M496)+$L497</f>
        <v/>
      </c>
      <c r="N497" s="54">
        <f>IF($B497="",0,COUNTIFS('①在庫を貼る'!$V$6:$V$10005,'設定'!$C$4,'①在庫を貼る'!$W$6:$W$10005,$B497))</f>
        <v/>
      </c>
    </row>
    <row r="498" ht="18" customHeight="1">
      <c r="B498" s="76" t="n"/>
      <c r="C498" s="77" t="n"/>
      <c r="D498" s="77" t="n"/>
      <c r="E498" s="77" t="n"/>
      <c r="F498" s="78" t="n"/>
      <c r="G498" s="79" t="n"/>
      <c r="H498" s="69" t="n"/>
      <c r="I498" s="44">
        <f>IF(OR($B498="",$H498=""),"",$H498*MAX(1,N($F498)))</f>
        <v/>
      </c>
      <c r="J498" s="80" t="n"/>
      <c r="K498" s="77" t="n"/>
      <c r="L498" s="54">
        <f>IF($B498="",0,IF(COUNTIFS('①在庫を貼る'!$V$6:$V$10005,'設定'!$C$4,'①在庫を貼る'!$W$6:$W$10005,$B498)+COUNTIFS('月1回_1ヶ月前の在庫'!$V$6:$V$10005,'設定'!$C$4,'月1回_1ヶ月前の在庫'!$W$6:$W$10005,$B498)+COUNTIFS('月1回_2ヶ月前の在庫'!$V$6:$V$10005,'設定'!$C$4,'月1回_2ヶ月前の在庫'!$W$6:$W$10005,$B498)&gt;0,1,0))</f>
        <v/>
      </c>
      <c r="M498" s="54">
        <f>N(M497)+$L498</f>
        <v/>
      </c>
      <c r="N498" s="54">
        <f>IF($B498="",0,COUNTIFS('①在庫を貼る'!$V$6:$V$10005,'設定'!$C$4,'①在庫を貼る'!$W$6:$W$10005,$B498))</f>
        <v/>
      </c>
    </row>
    <row r="499" ht="18" customHeight="1">
      <c r="B499" s="76" t="n"/>
      <c r="C499" s="77" t="n"/>
      <c r="D499" s="77" t="n"/>
      <c r="E499" s="77" t="n"/>
      <c r="F499" s="78" t="n"/>
      <c r="G499" s="79" t="n"/>
      <c r="H499" s="69" t="n"/>
      <c r="I499" s="44">
        <f>IF(OR($B499="",$H499=""),"",$H499*MAX(1,N($F499)))</f>
        <v/>
      </c>
      <c r="J499" s="80" t="n"/>
      <c r="K499" s="77" t="n"/>
      <c r="L499" s="54">
        <f>IF($B499="",0,IF(COUNTIFS('①在庫を貼る'!$V$6:$V$10005,'設定'!$C$4,'①在庫を貼る'!$W$6:$W$10005,$B499)+COUNTIFS('月1回_1ヶ月前の在庫'!$V$6:$V$10005,'設定'!$C$4,'月1回_1ヶ月前の在庫'!$W$6:$W$10005,$B499)+COUNTIFS('月1回_2ヶ月前の在庫'!$V$6:$V$10005,'設定'!$C$4,'月1回_2ヶ月前の在庫'!$W$6:$W$10005,$B499)&gt;0,1,0))</f>
        <v/>
      </c>
      <c r="M499" s="54">
        <f>N(M498)+$L499</f>
        <v/>
      </c>
      <c r="N499" s="54">
        <f>IF($B499="",0,COUNTIFS('①在庫を貼る'!$V$6:$V$10005,'設定'!$C$4,'①在庫を貼る'!$W$6:$W$10005,$B499))</f>
        <v/>
      </c>
    </row>
    <row r="500" ht="18" customHeight="1">
      <c r="B500" s="76" t="n"/>
      <c r="C500" s="77" t="n"/>
      <c r="D500" s="77" t="n"/>
      <c r="E500" s="77" t="n"/>
      <c r="F500" s="78" t="n"/>
      <c r="G500" s="79" t="n"/>
      <c r="H500" s="69" t="n"/>
      <c r="I500" s="44">
        <f>IF(OR($B500="",$H500=""),"",$H500*MAX(1,N($F500)))</f>
        <v/>
      </c>
      <c r="J500" s="80" t="n"/>
      <c r="K500" s="77" t="n"/>
      <c r="L500" s="54">
        <f>IF($B500="",0,IF(COUNTIFS('①在庫を貼る'!$V$6:$V$10005,'設定'!$C$4,'①在庫を貼る'!$W$6:$W$10005,$B500)+COUNTIFS('月1回_1ヶ月前の在庫'!$V$6:$V$10005,'設定'!$C$4,'月1回_1ヶ月前の在庫'!$W$6:$W$10005,$B500)+COUNTIFS('月1回_2ヶ月前の在庫'!$V$6:$V$10005,'設定'!$C$4,'月1回_2ヶ月前の在庫'!$W$6:$W$10005,$B500)&gt;0,1,0))</f>
        <v/>
      </c>
      <c r="M500" s="54">
        <f>N(M499)+$L500</f>
        <v/>
      </c>
      <c r="N500" s="54">
        <f>IF($B500="",0,COUNTIFS('①在庫を貼る'!$V$6:$V$10005,'設定'!$C$4,'①在庫を貼る'!$W$6:$W$10005,$B500))</f>
        <v/>
      </c>
    </row>
    <row r="501" ht="18" customHeight="1">
      <c r="B501" s="76" t="n"/>
      <c r="C501" s="77" t="n"/>
      <c r="D501" s="77" t="n"/>
      <c r="E501" s="77" t="n"/>
      <c r="F501" s="78" t="n"/>
      <c r="G501" s="79" t="n"/>
      <c r="H501" s="69" t="n"/>
      <c r="I501" s="44">
        <f>IF(OR($B501="",$H501=""),"",$H501*MAX(1,N($F501)))</f>
        <v/>
      </c>
      <c r="J501" s="80" t="n"/>
      <c r="K501" s="77" t="n"/>
      <c r="L501" s="54">
        <f>IF($B501="",0,IF(COUNTIFS('①在庫を貼る'!$V$6:$V$10005,'設定'!$C$4,'①在庫を貼る'!$W$6:$W$10005,$B501)+COUNTIFS('月1回_1ヶ月前の在庫'!$V$6:$V$10005,'設定'!$C$4,'月1回_1ヶ月前の在庫'!$W$6:$W$10005,$B501)+COUNTIFS('月1回_2ヶ月前の在庫'!$V$6:$V$10005,'設定'!$C$4,'月1回_2ヶ月前の在庫'!$W$6:$W$10005,$B501)&gt;0,1,0))</f>
        <v/>
      </c>
      <c r="M501" s="54">
        <f>N(M500)+$L501</f>
        <v/>
      </c>
      <c r="N501" s="54">
        <f>IF($B501="",0,COUNTIFS('①在庫を貼る'!$V$6:$V$10005,'設定'!$C$4,'①在庫を貼る'!$W$6:$W$10005,$B501))</f>
        <v/>
      </c>
    </row>
    <row r="502" ht="18" customHeight="1">
      <c r="B502" s="76" t="n"/>
      <c r="C502" s="77" t="n"/>
      <c r="D502" s="77" t="n"/>
      <c r="E502" s="77" t="n"/>
      <c r="F502" s="78" t="n"/>
      <c r="G502" s="79" t="n"/>
      <c r="H502" s="69" t="n"/>
      <c r="I502" s="44">
        <f>IF(OR($B502="",$H502=""),"",$H502*MAX(1,N($F502)))</f>
        <v/>
      </c>
      <c r="J502" s="80" t="n"/>
      <c r="K502" s="77" t="n"/>
      <c r="L502" s="54">
        <f>IF($B502="",0,IF(COUNTIFS('①在庫を貼る'!$V$6:$V$10005,'設定'!$C$4,'①在庫を貼る'!$W$6:$W$10005,$B502)+COUNTIFS('月1回_1ヶ月前の在庫'!$V$6:$V$10005,'設定'!$C$4,'月1回_1ヶ月前の在庫'!$W$6:$W$10005,$B502)+COUNTIFS('月1回_2ヶ月前の在庫'!$V$6:$V$10005,'設定'!$C$4,'月1回_2ヶ月前の在庫'!$W$6:$W$10005,$B502)&gt;0,1,0))</f>
        <v/>
      </c>
      <c r="M502" s="54">
        <f>N(M501)+$L502</f>
        <v/>
      </c>
      <c r="N502" s="54">
        <f>IF($B502="",0,COUNTIFS('①在庫を貼る'!$V$6:$V$10005,'設定'!$C$4,'①在庫を貼る'!$W$6:$W$10005,$B502))</f>
        <v/>
      </c>
    </row>
    <row r="503" ht="18" customHeight="1">
      <c r="B503" s="76" t="n"/>
      <c r="C503" s="77" t="n"/>
      <c r="D503" s="77" t="n"/>
      <c r="E503" s="77" t="n"/>
      <c r="F503" s="78" t="n"/>
      <c r="G503" s="79" t="n"/>
      <c r="H503" s="69" t="n"/>
      <c r="I503" s="44">
        <f>IF(OR($B503="",$H503=""),"",$H503*MAX(1,N($F503)))</f>
        <v/>
      </c>
      <c r="J503" s="80" t="n"/>
      <c r="K503" s="77" t="n"/>
      <c r="L503" s="54">
        <f>IF($B503="",0,IF(COUNTIFS('①在庫を貼る'!$V$6:$V$10005,'設定'!$C$4,'①在庫を貼る'!$W$6:$W$10005,$B503)+COUNTIFS('月1回_1ヶ月前の在庫'!$V$6:$V$10005,'設定'!$C$4,'月1回_1ヶ月前の在庫'!$W$6:$W$10005,$B503)+COUNTIFS('月1回_2ヶ月前の在庫'!$V$6:$V$10005,'設定'!$C$4,'月1回_2ヶ月前の在庫'!$W$6:$W$10005,$B503)&gt;0,1,0))</f>
        <v/>
      </c>
      <c r="M503" s="54">
        <f>N(M502)+$L503</f>
        <v/>
      </c>
      <c r="N503" s="54">
        <f>IF($B503="",0,COUNTIFS('①在庫を貼る'!$V$6:$V$10005,'設定'!$C$4,'①在庫を貼る'!$W$6:$W$10005,$B503))</f>
        <v/>
      </c>
    </row>
    <row r="504" ht="18" customHeight="1">
      <c r="B504" s="76" t="n"/>
      <c r="C504" s="77" t="n"/>
      <c r="D504" s="77" t="n"/>
      <c r="E504" s="77" t="n"/>
      <c r="F504" s="78" t="n"/>
      <c r="G504" s="79" t="n"/>
      <c r="H504" s="69" t="n"/>
      <c r="I504" s="44">
        <f>IF(OR($B504="",$H504=""),"",$H504*MAX(1,N($F504)))</f>
        <v/>
      </c>
      <c r="J504" s="80" t="n"/>
      <c r="K504" s="77" t="n"/>
      <c r="L504" s="54">
        <f>IF($B504="",0,IF(COUNTIFS('①在庫を貼る'!$V$6:$V$10005,'設定'!$C$4,'①在庫を貼る'!$W$6:$W$10005,$B504)+COUNTIFS('月1回_1ヶ月前の在庫'!$V$6:$V$10005,'設定'!$C$4,'月1回_1ヶ月前の在庫'!$W$6:$W$10005,$B504)+COUNTIFS('月1回_2ヶ月前の在庫'!$V$6:$V$10005,'設定'!$C$4,'月1回_2ヶ月前の在庫'!$W$6:$W$10005,$B504)&gt;0,1,0))</f>
        <v/>
      </c>
      <c r="M504" s="54">
        <f>N(M503)+$L504</f>
        <v/>
      </c>
      <c r="N504" s="54">
        <f>IF($B504="",0,COUNTIFS('①在庫を貼る'!$V$6:$V$10005,'設定'!$C$4,'①在庫を貼る'!$W$6:$W$10005,$B504))</f>
        <v/>
      </c>
    </row>
    <row r="505" ht="18" customHeight="1">
      <c r="B505" s="76" t="n"/>
      <c r="C505" s="77" t="n"/>
      <c r="D505" s="77" t="n"/>
      <c r="E505" s="77" t="n"/>
      <c r="F505" s="78" t="n"/>
      <c r="G505" s="79" t="n"/>
      <c r="H505" s="69" t="n"/>
      <c r="I505" s="44">
        <f>IF(OR($B505="",$H505=""),"",$H505*MAX(1,N($F505)))</f>
        <v/>
      </c>
      <c r="J505" s="80" t="n"/>
      <c r="K505" s="77" t="n"/>
      <c r="L505" s="54">
        <f>IF($B505="",0,IF(COUNTIFS('①在庫を貼る'!$V$6:$V$10005,'設定'!$C$4,'①在庫を貼る'!$W$6:$W$10005,$B505)+COUNTIFS('月1回_1ヶ月前の在庫'!$V$6:$V$10005,'設定'!$C$4,'月1回_1ヶ月前の在庫'!$W$6:$W$10005,$B505)+COUNTIFS('月1回_2ヶ月前の在庫'!$V$6:$V$10005,'設定'!$C$4,'月1回_2ヶ月前の在庫'!$W$6:$W$10005,$B505)&gt;0,1,0))</f>
        <v/>
      </c>
      <c r="M505" s="54">
        <f>N(M504)+$L505</f>
        <v/>
      </c>
      <c r="N505" s="54">
        <f>IF($B505="",0,COUNTIFS('①在庫を貼る'!$V$6:$V$10005,'設定'!$C$4,'①在庫を貼る'!$W$6:$W$10005,$B505))</f>
        <v/>
      </c>
    </row>
    <row r="506" ht="18" customHeight="1">
      <c r="B506" s="76" t="n"/>
      <c r="C506" s="77" t="n"/>
      <c r="D506" s="77" t="n"/>
      <c r="E506" s="77" t="n"/>
      <c r="F506" s="78" t="n"/>
      <c r="G506" s="79" t="n"/>
      <c r="H506" s="69" t="n"/>
      <c r="I506" s="44">
        <f>IF(OR($B506="",$H506=""),"",$H506*MAX(1,N($F506)))</f>
        <v/>
      </c>
      <c r="J506" s="80" t="n"/>
      <c r="K506" s="77" t="n"/>
      <c r="L506" s="54">
        <f>IF($B506="",0,IF(COUNTIFS('①在庫を貼る'!$V$6:$V$10005,'設定'!$C$4,'①在庫を貼る'!$W$6:$W$10005,$B506)+COUNTIFS('月1回_1ヶ月前の在庫'!$V$6:$V$10005,'設定'!$C$4,'月1回_1ヶ月前の在庫'!$W$6:$W$10005,$B506)+COUNTIFS('月1回_2ヶ月前の在庫'!$V$6:$V$10005,'設定'!$C$4,'月1回_2ヶ月前の在庫'!$W$6:$W$10005,$B506)&gt;0,1,0))</f>
        <v/>
      </c>
      <c r="M506" s="54">
        <f>N(M505)+$L506</f>
        <v/>
      </c>
      <c r="N506" s="54">
        <f>IF($B506="",0,COUNTIFS('①在庫を貼る'!$V$6:$V$10005,'設定'!$C$4,'①在庫を貼る'!$W$6:$W$10005,$B506))</f>
        <v/>
      </c>
    </row>
    <row r="507" ht="18" customHeight="1">
      <c r="B507" s="76" t="n"/>
      <c r="C507" s="77" t="n"/>
      <c r="D507" s="77" t="n"/>
      <c r="E507" s="77" t="n"/>
      <c r="F507" s="78" t="n"/>
      <c r="G507" s="79" t="n"/>
      <c r="H507" s="69" t="n"/>
      <c r="I507" s="44">
        <f>IF(OR($B507="",$H507=""),"",$H507*MAX(1,N($F507)))</f>
        <v/>
      </c>
      <c r="J507" s="80" t="n"/>
      <c r="K507" s="77" t="n"/>
      <c r="L507" s="54">
        <f>IF($B507="",0,IF(COUNTIFS('①在庫を貼る'!$V$6:$V$10005,'設定'!$C$4,'①在庫を貼る'!$W$6:$W$10005,$B507)+COUNTIFS('月1回_1ヶ月前の在庫'!$V$6:$V$10005,'設定'!$C$4,'月1回_1ヶ月前の在庫'!$W$6:$W$10005,$B507)+COUNTIFS('月1回_2ヶ月前の在庫'!$V$6:$V$10005,'設定'!$C$4,'月1回_2ヶ月前の在庫'!$W$6:$W$10005,$B507)&gt;0,1,0))</f>
        <v/>
      </c>
      <c r="M507" s="54">
        <f>N(M506)+$L507</f>
        <v/>
      </c>
      <c r="N507" s="54">
        <f>IF($B507="",0,COUNTIFS('①在庫を貼る'!$V$6:$V$10005,'設定'!$C$4,'①在庫を貼る'!$W$6:$W$10005,$B507))</f>
        <v/>
      </c>
    </row>
    <row r="508" ht="18" customHeight="1">
      <c r="B508" s="76" t="n"/>
      <c r="C508" s="77" t="n"/>
      <c r="D508" s="77" t="n"/>
      <c r="E508" s="77" t="n"/>
      <c r="F508" s="78" t="n"/>
      <c r="G508" s="79" t="n"/>
      <c r="H508" s="69" t="n"/>
      <c r="I508" s="44">
        <f>IF(OR($B508="",$H508=""),"",$H508*MAX(1,N($F508)))</f>
        <v/>
      </c>
      <c r="J508" s="80" t="n"/>
      <c r="K508" s="77" t="n"/>
      <c r="L508" s="54">
        <f>IF($B508="",0,IF(COUNTIFS('①在庫を貼る'!$V$6:$V$10005,'設定'!$C$4,'①在庫を貼る'!$W$6:$W$10005,$B508)+COUNTIFS('月1回_1ヶ月前の在庫'!$V$6:$V$10005,'設定'!$C$4,'月1回_1ヶ月前の在庫'!$W$6:$W$10005,$B508)+COUNTIFS('月1回_2ヶ月前の在庫'!$V$6:$V$10005,'設定'!$C$4,'月1回_2ヶ月前の在庫'!$W$6:$W$10005,$B508)&gt;0,1,0))</f>
        <v/>
      </c>
      <c r="M508" s="54">
        <f>N(M507)+$L508</f>
        <v/>
      </c>
      <c r="N508" s="54">
        <f>IF($B508="",0,COUNTIFS('①在庫を貼る'!$V$6:$V$10005,'設定'!$C$4,'①在庫を貼る'!$W$6:$W$10005,$B508))</f>
        <v/>
      </c>
    </row>
    <row r="509" ht="18" customHeight="1">
      <c r="B509" s="76" t="n"/>
      <c r="C509" s="77" t="n"/>
      <c r="D509" s="77" t="n"/>
      <c r="E509" s="77" t="n"/>
      <c r="F509" s="78" t="n"/>
      <c r="G509" s="79" t="n"/>
      <c r="H509" s="69" t="n"/>
      <c r="I509" s="44">
        <f>IF(OR($B509="",$H509=""),"",$H509*MAX(1,N($F509)))</f>
        <v/>
      </c>
      <c r="J509" s="80" t="n"/>
      <c r="K509" s="77" t="n"/>
      <c r="L509" s="54">
        <f>IF($B509="",0,IF(COUNTIFS('①在庫を貼る'!$V$6:$V$10005,'設定'!$C$4,'①在庫を貼る'!$W$6:$W$10005,$B509)+COUNTIFS('月1回_1ヶ月前の在庫'!$V$6:$V$10005,'設定'!$C$4,'月1回_1ヶ月前の在庫'!$W$6:$W$10005,$B509)+COUNTIFS('月1回_2ヶ月前の在庫'!$V$6:$V$10005,'設定'!$C$4,'月1回_2ヶ月前の在庫'!$W$6:$W$10005,$B509)&gt;0,1,0))</f>
        <v/>
      </c>
      <c r="M509" s="54">
        <f>N(M508)+$L509</f>
        <v/>
      </c>
      <c r="N509" s="54">
        <f>IF($B509="",0,COUNTIFS('①在庫を貼る'!$V$6:$V$10005,'設定'!$C$4,'①在庫を貼る'!$W$6:$W$10005,$B509))</f>
        <v/>
      </c>
    </row>
    <row r="510" ht="18" customHeight="1">
      <c r="B510" s="76" t="n"/>
      <c r="C510" s="77" t="n"/>
      <c r="D510" s="77" t="n"/>
      <c r="E510" s="77" t="n"/>
      <c r="F510" s="78" t="n"/>
      <c r="G510" s="79" t="n"/>
      <c r="H510" s="69" t="n"/>
      <c r="I510" s="44">
        <f>IF(OR($B510="",$H510=""),"",$H510*MAX(1,N($F510)))</f>
        <v/>
      </c>
      <c r="J510" s="80" t="n"/>
      <c r="K510" s="77" t="n"/>
      <c r="L510" s="54">
        <f>IF($B510="",0,IF(COUNTIFS('①在庫を貼る'!$V$6:$V$10005,'設定'!$C$4,'①在庫を貼る'!$W$6:$W$10005,$B510)+COUNTIFS('月1回_1ヶ月前の在庫'!$V$6:$V$10005,'設定'!$C$4,'月1回_1ヶ月前の在庫'!$W$6:$W$10005,$B510)+COUNTIFS('月1回_2ヶ月前の在庫'!$V$6:$V$10005,'設定'!$C$4,'月1回_2ヶ月前の在庫'!$W$6:$W$10005,$B510)&gt;0,1,0))</f>
        <v/>
      </c>
      <c r="M510" s="54">
        <f>N(M509)+$L510</f>
        <v/>
      </c>
      <c r="N510" s="54">
        <f>IF($B510="",0,COUNTIFS('①在庫を貼る'!$V$6:$V$10005,'設定'!$C$4,'①在庫を貼る'!$W$6:$W$10005,$B510))</f>
        <v/>
      </c>
    </row>
    <row r="511" ht="18" customHeight="1">
      <c r="B511" s="76" t="n"/>
      <c r="C511" s="77" t="n"/>
      <c r="D511" s="77" t="n"/>
      <c r="E511" s="77" t="n"/>
      <c r="F511" s="78" t="n"/>
      <c r="G511" s="79" t="n"/>
      <c r="H511" s="69" t="n"/>
      <c r="I511" s="44">
        <f>IF(OR($B511="",$H511=""),"",$H511*MAX(1,N($F511)))</f>
        <v/>
      </c>
      <c r="J511" s="80" t="n"/>
      <c r="K511" s="77" t="n"/>
      <c r="L511" s="54">
        <f>IF($B511="",0,IF(COUNTIFS('①在庫を貼る'!$V$6:$V$10005,'設定'!$C$4,'①在庫を貼る'!$W$6:$W$10005,$B511)+COUNTIFS('月1回_1ヶ月前の在庫'!$V$6:$V$10005,'設定'!$C$4,'月1回_1ヶ月前の在庫'!$W$6:$W$10005,$B511)+COUNTIFS('月1回_2ヶ月前の在庫'!$V$6:$V$10005,'設定'!$C$4,'月1回_2ヶ月前の在庫'!$W$6:$W$10005,$B511)&gt;0,1,0))</f>
        <v/>
      </c>
      <c r="M511" s="54">
        <f>N(M510)+$L511</f>
        <v/>
      </c>
      <c r="N511" s="54">
        <f>IF($B511="",0,COUNTIFS('①在庫を貼る'!$V$6:$V$10005,'設定'!$C$4,'①在庫を貼る'!$W$6:$W$10005,$B511))</f>
        <v/>
      </c>
    </row>
    <row r="512" ht="18" customHeight="1">
      <c r="B512" s="76" t="n"/>
      <c r="C512" s="77" t="n"/>
      <c r="D512" s="77" t="n"/>
      <c r="E512" s="77" t="n"/>
      <c r="F512" s="78" t="n"/>
      <c r="G512" s="79" t="n"/>
      <c r="H512" s="69" t="n"/>
      <c r="I512" s="44">
        <f>IF(OR($B512="",$H512=""),"",$H512*MAX(1,N($F512)))</f>
        <v/>
      </c>
      <c r="J512" s="80" t="n"/>
      <c r="K512" s="77" t="n"/>
      <c r="L512" s="54">
        <f>IF($B512="",0,IF(COUNTIFS('①在庫を貼る'!$V$6:$V$10005,'設定'!$C$4,'①在庫を貼る'!$W$6:$W$10005,$B512)+COUNTIFS('月1回_1ヶ月前の在庫'!$V$6:$V$10005,'設定'!$C$4,'月1回_1ヶ月前の在庫'!$W$6:$W$10005,$B512)+COUNTIFS('月1回_2ヶ月前の在庫'!$V$6:$V$10005,'設定'!$C$4,'月1回_2ヶ月前の在庫'!$W$6:$W$10005,$B512)&gt;0,1,0))</f>
        <v/>
      </c>
      <c r="M512" s="54">
        <f>N(M511)+$L512</f>
        <v/>
      </c>
      <c r="N512" s="54">
        <f>IF($B512="",0,COUNTIFS('①在庫を貼る'!$V$6:$V$10005,'設定'!$C$4,'①在庫を貼る'!$W$6:$W$10005,$B512))</f>
        <v/>
      </c>
    </row>
    <row r="513" ht="18" customHeight="1">
      <c r="B513" s="76" t="n"/>
      <c r="C513" s="77" t="n"/>
      <c r="D513" s="77" t="n"/>
      <c r="E513" s="77" t="n"/>
      <c r="F513" s="78" t="n"/>
      <c r="G513" s="79" t="n"/>
      <c r="H513" s="69" t="n"/>
      <c r="I513" s="44">
        <f>IF(OR($B513="",$H513=""),"",$H513*MAX(1,N($F513)))</f>
        <v/>
      </c>
      <c r="J513" s="80" t="n"/>
      <c r="K513" s="77" t="n"/>
      <c r="L513" s="54">
        <f>IF($B513="",0,IF(COUNTIFS('①在庫を貼る'!$V$6:$V$10005,'設定'!$C$4,'①在庫を貼る'!$W$6:$W$10005,$B513)+COUNTIFS('月1回_1ヶ月前の在庫'!$V$6:$V$10005,'設定'!$C$4,'月1回_1ヶ月前の在庫'!$W$6:$W$10005,$B513)+COUNTIFS('月1回_2ヶ月前の在庫'!$V$6:$V$10005,'設定'!$C$4,'月1回_2ヶ月前の在庫'!$W$6:$W$10005,$B513)&gt;0,1,0))</f>
        <v/>
      </c>
      <c r="M513" s="54">
        <f>N(M512)+$L513</f>
        <v/>
      </c>
      <c r="N513" s="54">
        <f>IF($B513="",0,COUNTIFS('①在庫を貼る'!$V$6:$V$10005,'設定'!$C$4,'①在庫を貼る'!$W$6:$W$10005,$B513))</f>
        <v/>
      </c>
    </row>
    <row r="514" ht="18" customHeight="1">
      <c r="B514" s="76" t="n"/>
      <c r="C514" s="77" t="n"/>
      <c r="D514" s="77" t="n"/>
      <c r="E514" s="77" t="n"/>
      <c r="F514" s="78" t="n"/>
      <c r="G514" s="79" t="n"/>
      <c r="H514" s="69" t="n"/>
      <c r="I514" s="44">
        <f>IF(OR($B514="",$H514=""),"",$H514*MAX(1,N($F514)))</f>
        <v/>
      </c>
      <c r="J514" s="80" t="n"/>
      <c r="K514" s="77" t="n"/>
      <c r="L514" s="54">
        <f>IF($B514="",0,IF(COUNTIFS('①在庫を貼る'!$V$6:$V$10005,'設定'!$C$4,'①在庫を貼る'!$W$6:$W$10005,$B514)+COUNTIFS('月1回_1ヶ月前の在庫'!$V$6:$V$10005,'設定'!$C$4,'月1回_1ヶ月前の在庫'!$W$6:$W$10005,$B514)+COUNTIFS('月1回_2ヶ月前の在庫'!$V$6:$V$10005,'設定'!$C$4,'月1回_2ヶ月前の在庫'!$W$6:$W$10005,$B514)&gt;0,1,0))</f>
        <v/>
      </c>
      <c r="M514" s="54">
        <f>N(M513)+$L514</f>
        <v/>
      </c>
      <c r="N514" s="54">
        <f>IF($B514="",0,COUNTIFS('①在庫を貼る'!$V$6:$V$10005,'設定'!$C$4,'①在庫を貼る'!$W$6:$W$10005,$B514))</f>
        <v/>
      </c>
    </row>
    <row r="515" ht="18" customHeight="1">
      <c r="B515" s="76" t="n"/>
      <c r="C515" s="77" t="n"/>
      <c r="D515" s="77" t="n"/>
      <c r="E515" s="77" t="n"/>
      <c r="F515" s="78" t="n"/>
      <c r="G515" s="79" t="n"/>
      <c r="H515" s="69" t="n"/>
      <c r="I515" s="44">
        <f>IF(OR($B515="",$H515=""),"",$H515*MAX(1,N($F515)))</f>
        <v/>
      </c>
      <c r="J515" s="80" t="n"/>
      <c r="K515" s="77" t="n"/>
      <c r="L515" s="54">
        <f>IF($B515="",0,IF(COUNTIFS('①在庫を貼る'!$V$6:$V$10005,'設定'!$C$4,'①在庫を貼る'!$W$6:$W$10005,$B515)+COUNTIFS('月1回_1ヶ月前の在庫'!$V$6:$V$10005,'設定'!$C$4,'月1回_1ヶ月前の在庫'!$W$6:$W$10005,$B515)+COUNTIFS('月1回_2ヶ月前の在庫'!$V$6:$V$10005,'設定'!$C$4,'月1回_2ヶ月前の在庫'!$W$6:$W$10005,$B515)&gt;0,1,0))</f>
        <v/>
      </c>
      <c r="M515" s="54">
        <f>N(M514)+$L515</f>
        <v/>
      </c>
      <c r="N515" s="54">
        <f>IF($B515="",0,COUNTIFS('①在庫を貼る'!$V$6:$V$10005,'設定'!$C$4,'①在庫を貼る'!$W$6:$W$10005,$B515))</f>
        <v/>
      </c>
    </row>
    <row r="516" ht="18" customHeight="1">
      <c r="B516" s="76" t="n"/>
      <c r="C516" s="77" t="n"/>
      <c r="D516" s="77" t="n"/>
      <c r="E516" s="77" t="n"/>
      <c r="F516" s="78" t="n"/>
      <c r="G516" s="79" t="n"/>
      <c r="H516" s="69" t="n"/>
      <c r="I516" s="44">
        <f>IF(OR($B516="",$H516=""),"",$H516*MAX(1,N($F516)))</f>
        <v/>
      </c>
      <c r="J516" s="80" t="n"/>
      <c r="K516" s="77" t="n"/>
      <c r="L516" s="54">
        <f>IF($B516="",0,IF(COUNTIFS('①在庫を貼る'!$V$6:$V$10005,'設定'!$C$4,'①在庫を貼る'!$W$6:$W$10005,$B516)+COUNTIFS('月1回_1ヶ月前の在庫'!$V$6:$V$10005,'設定'!$C$4,'月1回_1ヶ月前の在庫'!$W$6:$W$10005,$B516)+COUNTIFS('月1回_2ヶ月前の在庫'!$V$6:$V$10005,'設定'!$C$4,'月1回_2ヶ月前の在庫'!$W$6:$W$10005,$B516)&gt;0,1,0))</f>
        <v/>
      </c>
      <c r="M516" s="54">
        <f>N(M515)+$L516</f>
        <v/>
      </c>
      <c r="N516" s="54">
        <f>IF($B516="",0,COUNTIFS('①在庫を貼る'!$V$6:$V$10005,'設定'!$C$4,'①在庫を貼る'!$W$6:$W$10005,$B516))</f>
        <v/>
      </c>
    </row>
    <row r="517" ht="18" customHeight="1">
      <c r="B517" s="76" t="n"/>
      <c r="C517" s="77" t="n"/>
      <c r="D517" s="77" t="n"/>
      <c r="E517" s="77" t="n"/>
      <c r="F517" s="78" t="n"/>
      <c r="G517" s="79" t="n"/>
      <c r="H517" s="69" t="n"/>
      <c r="I517" s="44">
        <f>IF(OR($B517="",$H517=""),"",$H517*MAX(1,N($F517)))</f>
        <v/>
      </c>
      <c r="J517" s="80" t="n"/>
      <c r="K517" s="77" t="n"/>
      <c r="L517" s="54">
        <f>IF($B517="",0,IF(COUNTIFS('①在庫を貼る'!$V$6:$V$10005,'設定'!$C$4,'①在庫を貼る'!$W$6:$W$10005,$B517)+COUNTIFS('月1回_1ヶ月前の在庫'!$V$6:$V$10005,'設定'!$C$4,'月1回_1ヶ月前の在庫'!$W$6:$W$10005,$B517)+COUNTIFS('月1回_2ヶ月前の在庫'!$V$6:$V$10005,'設定'!$C$4,'月1回_2ヶ月前の在庫'!$W$6:$W$10005,$B517)&gt;0,1,0))</f>
        <v/>
      </c>
      <c r="M517" s="54">
        <f>N(M516)+$L517</f>
        <v/>
      </c>
      <c r="N517" s="54">
        <f>IF($B517="",0,COUNTIFS('①在庫を貼る'!$V$6:$V$10005,'設定'!$C$4,'①在庫を貼る'!$W$6:$W$10005,$B517))</f>
        <v/>
      </c>
    </row>
    <row r="518" ht="18" customHeight="1">
      <c r="B518" s="76" t="n"/>
      <c r="C518" s="77" t="n"/>
      <c r="D518" s="77" t="n"/>
      <c r="E518" s="77" t="n"/>
      <c r="F518" s="78" t="n"/>
      <c r="G518" s="79" t="n"/>
      <c r="H518" s="69" t="n"/>
      <c r="I518" s="44">
        <f>IF(OR($B518="",$H518=""),"",$H518*MAX(1,N($F518)))</f>
        <v/>
      </c>
      <c r="J518" s="80" t="n"/>
      <c r="K518" s="77" t="n"/>
      <c r="L518" s="54">
        <f>IF($B518="",0,IF(COUNTIFS('①在庫を貼る'!$V$6:$V$10005,'設定'!$C$4,'①在庫を貼る'!$W$6:$W$10005,$B518)+COUNTIFS('月1回_1ヶ月前の在庫'!$V$6:$V$10005,'設定'!$C$4,'月1回_1ヶ月前の在庫'!$W$6:$W$10005,$B518)+COUNTIFS('月1回_2ヶ月前の在庫'!$V$6:$V$10005,'設定'!$C$4,'月1回_2ヶ月前の在庫'!$W$6:$W$10005,$B518)&gt;0,1,0))</f>
        <v/>
      </c>
      <c r="M518" s="54">
        <f>N(M517)+$L518</f>
        <v/>
      </c>
      <c r="N518" s="54">
        <f>IF($B518="",0,COUNTIFS('①在庫を貼る'!$V$6:$V$10005,'設定'!$C$4,'①在庫を貼る'!$W$6:$W$10005,$B518))</f>
        <v/>
      </c>
    </row>
    <row r="519" ht="18" customHeight="1">
      <c r="B519" s="76" t="n"/>
      <c r="C519" s="77" t="n"/>
      <c r="D519" s="77" t="n"/>
      <c r="E519" s="77" t="n"/>
      <c r="F519" s="78" t="n"/>
      <c r="G519" s="79" t="n"/>
      <c r="H519" s="69" t="n"/>
      <c r="I519" s="44">
        <f>IF(OR($B519="",$H519=""),"",$H519*MAX(1,N($F519)))</f>
        <v/>
      </c>
      <c r="J519" s="80" t="n"/>
      <c r="K519" s="77" t="n"/>
      <c r="L519" s="54">
        <f>IF($B519="",0,IF(COUNTIFS('①在庫を貼る'!$V$6:$V$10005,'設定'!$C$4,'①在庫を貼る'!$W$6:$W$10005,$B519)+COUNTIFS('月1回_1ヶ月前の在庫'!$V$6:$V$10005,'設定'!$C$4,'月1回_1ヶ月前の在庫'!$W$6:$W$10005,$B519)+COUNTIFS('月1回_2ヶ月前の在庫'!$V$6:$V$10005,'設定'!$C$4,'月1回_2ヶ月前の在庫'!$W$6:$W$10005,$B519)&gt;0,1,0))</f>
        <v/>
      </c>
      <c r="M519" s="54">
        <f>N(M518)+$L519</f>
        <v/>
      </c>
      <c r="N519" s="54">
        <f>IF($B519="",0,COUNTIFS('①在庫を貼る'!$V$6:$V$10005,'設定'!$C$4,'①在庫を貼る'!$W$6:$W$10005,$B519))</f>
        <v/>
      </c>
    </row>
    <row r="520" ht="18" customHeight="1">
      <c r="B520" s="76" t="n"/>
      <c r="C520" s="77" t="n"/>
      <c r="D520" s="77" t="n"/>
      <c r="E520" s="77" t="n"/>
      <c r="F520" s="78" t="n"/>
      <c r="G520" s="79" t="n"/>
      <c r="H520" s="69" t="n"/>
      <c r="I520" s="44">
        <f>IF(OR($B520="",$H520=""),"",$H520*MAX(1,N($F520)))</f>
        <v/>
      </c>
      <c r="J520" s="80" t="n"/>
      <c r="K520" s="77" t="n"/>
      <c r="L520" s="54">
        <f>IF($B520="",0,IF(COUNTIFS('①在庫を貼る'!$V$6:$V$10005,'設定'!$C$4,'①在庫を貼る'!$W$6:$W$10005,$B520)+COUNTIFS('月1回_1ヶ月前の在庫'!$V$6:$V$10005,'設定'!$C$4,'月1回_1ヶ月前の在庫'!$W$6:$W$10005,$B520)+COUNTIFS('月1回_2ヶ月前の在庫'!$V$6:$V$10005,'設定'!$C$4,'月1回_2ヶ月前の在庫'!$W$6:$W$10005,$B520)&gt;0,1,0))</f>
        <v/>
      </c>
      <c r="M520" s="54">
        <f>N(M519)+$L520</f>
        <v/>
      </c>
      <c r="N520" s="54">
        <f>IF($B520="",0,COUNTIFS('①在庫を貼る'!$V$6:$V$10005,'設定'!$C$4,'①在庫を貼る'!$W$6:$W$10005,$B520))</f>
        <v/>
      </c>
    </row>
    <row r="521" ht="18" customHeight="1">
      <c r="B521" s="76" t="n"/>
      <c r="C521" s="77" t="n"/>
      <c r="D521" s="77" t="n"/>
      <c r="E521" s="77" t="n"/>
      <c r="F521" s="78" t="n"/>
      <c r="G521" s="79" t="n"/>
      <c r="H521" s="69" t="n"/>
      <c r="I521" s="44">
        <f>IF(OR($B521="",$H521=""),"",$H521*MAX(1,N($F521)))</f>
        <v/>
      </c>
      <c r="J521" s="80" t="n"/>
      <c r="K521" s="77" t="n"/>
      <c r="L521" s="54">
        <f>IF($B521="",0,IF(COUNTIFS('①在庫を貼る'!$V$6:$V$10005,'設定'!$C$4,'①在庫を貼る'!$W$6:$W$10005,$B521)+COUNTIFS('月1回_1ヶ月前の在庫'!$V$6:$V$10005,'設定'!$C$4,'月1回_1ヶ月前の在庫'!$W$6:$W$10005,$B521)+COUNTIFS('月1回_2ヶ月前の在庫'!$V$6:$V$10005,'設定'!$C$4,'月1回_2ヶ月前の在庫'!$W$6:$W$10005,$B521)&gt;0,1,0))</f>
        <v/>
      </c>
      <c r="M521" s="54">
        <f>N(M520)+$L521</f>
        <v/>
      </c>
      <c r="N521" s="54">
        <f>IF($B521="",0,COUNTIFS('①在庫を貼る'!$V$6:$V$10005,'設定'!$C$4,'①在庫を貼る'!$W$6:$W$10005,$B521))</f>
        <v/>
      </c>
    </row>
    <row r="522" ht="18" customHeight="1">
      <c r="B522" s="76" t="n"/>
      <c r="C522" s="77" t="n"/>
      <c r="D522" s="77" t="n"/>
      <c r="E522" s="77" t="n"/>
      <c r="F522" s="78" t="n"/>
      <c r="G522" s="79" t="n"/>
      <c r="H522" s="69" t="n"/>
      <c r="I522" s="44">
        <f>IF(OR($B522="",$H522=""),"",$H522*MAX(1,N($F522)))</f>
        <v/>
      </c>
      <c r="J522" s="80" t="n"/>
      <c r="K522" s="77" t="n"/>
      <c r="L522" s="54">
        <f>IF($B522="",0,IF(COUNTIFS('①在庫を貼る'!$V$6:$V$10005,'設定'!$C$4,'①在庫を貼る'!$W$6:$W$10005,$B522)+COUNTIFS('月1回_1ヶ月前の在庫'!$V$6:$V$10005,'設定'!$C$4,'月1回_1ヶ月前の在庫'!$W$6:$W$10005,$B522)+COUNTIFS('月1回_2ヶ月前の在庫'!$V$6:$V$10005,'設定'!$C$4,'月1回_2ヶ月前の在庫'!$W$6:$W$10005,$B522)&gt;0,1,0))</f>
        <v/>
      </c>
      <c r="M522" s="54">
        <f>N(M521)+$L522</f>
        <v/>
      </c>
      <c r="N522" s="54">
        <f>IF($B522="",0,COUNTIFS('①在庫を貼る'!$V$6:$V$10005,'設定'!$C$4,'①在庫を貼る'!$W$6:$W$10005,$B522))</f>
        <v/>
      </c>
    </row>
    <row r="523" ht="18" customHeight="1">
      <c r="B523" s="76" t="n"/>
      <c r="C523" s="77" t="n"/>
      <c r="D523" s="77" t="n"/>
      <c r="E523" s="77" t="n"/>
      <c r="F523" s="78" t="n"/>
      <c r="G523" s="79" t="n"/>
      <c r="H523" s="69" t="n"/>
      <c r="I523" s="44">
        <f>IF(OR($B523="",$H523=""),"",$H523*MAX(1,N($F523)))</f>
        <v/>
      </c>
      <c r="J523" s="80" t="n"/>
      <c r="K523" s="77" t="n"/>
      <c r="L523" s="54">
        <f>IF($B523="",0,IF(COUNTIFS('①在庫を貼る'!$V$6:$V$10005,'設定'!$C$4,'①在庫を貼る'!$W$6:$W$10005,$B523)+COUNTIFS('月1回_1ヶ月前の在庫'!$V$6:$V$10005,'設定'!$C$4,'月1回_1ヶ月前の在庫'!$W$6:$W$10005,$B523)+COUNTIFS('月1回_2ヶ月前の在庫'!$V$6:$V$10005,'設定'!$C$4,'月1回_2ヶ月前の在庫'!$W$6:$W$10005,$B523)&gt;0,1,0))</f>
        <v/>
      </c>
      <c r="M523" s="54">
        <f>N(M522)+$L523</f>
        <v/>
      </c>
      <c r="N523" s="54">
        <f>IF($B523="",0,COUNTIFS('①在庫を貼る'!$V$6:$V$10005,'設定'!$C$4,'①在庫を貼る'!$W$6:$W$10005,$B523))</f>
        <v/>
      </c>
    </row>
    <row r="524" ht="18" customHeight="1">
      <c r="B524" s="76" t="n"/>
      <c r="C524" s="77" t="n"/>
      <c r="D524" s="77" t="n"/>
      <c r="E524" s="77" t="n"/>
      <c r="F524" s="78" t="n"/>
      <c r="G524" s="79" t="n"/>
      <c r="H524" s="69" t="n"/>
      <c r="I524" s="44">
        <f>IF(OR($B524="",$H524=""),"",$H524*MAX(1,N($F524)))</f>
        <v/>
      </c>
      <c r="J524" s="80" t="n"/>
      <c r="K524" s="77" t="n"/>
      <c r="L524" s="54">
        <f>IF($B524="",0,IF(COUNTIFS('①在庫を貼る'!$V$6:$V$10005,'設定'!$C$4,'①在庫を貼る'!$W$6:$W$10005,$B524)+COUNTIFS('月1回_1ヶ月前の在庫'!$V$6:$V$10005,'設定'!$C$4,'月1回_1ヶ月前の在庫'!$W$6:$W$10005,$B524)+COUNTIFS('月1回_2ヶ月前の在庫'!$V$6:$V$10005,'設定'!$C$4,'月1回_2ヶ月前の在庫'!$W$6:$W$10005,$B524)&gt;0,1,0))</f>
        <v/>
      </c>
      <c r="M524" s="54">
        <f>N(M523)+$L524</f>
        <v/>
      </c>
      <c r="N524" s="54">
        <f>IF($B524="",0,COUNTIFS('①在庫を貼る'!$V$6:$V$10005,'設定'!$C$4,'①在庫を貼る'!$W$6:$W$10005,$B524))</f>
        <v/>
      </c>
    </row>
    <row r="525" ht="18" customHeight="1">
      <c r="B525" s="76" t="n"/>
      <c r="C525" s="77" t="n"/>
      <c r="D525" s="77" t="n"/>
      <c r="E525" s="77" t="n"/>
      <c r="F525" s="78" t="n"/>
      <c r="G525" s="79" t="n"/>
      <c r="H525" s="69" t="n"/>
      <c r="I525" s="44">
        <f>IF(OR($B525="",$H525=""),"",$H525*MAX(1,N($F525)))</f>
        <v/>
      </c>
      <c r="J525" s="80" t="n"/>
      <c r="K525" s="77" t="n"/>
      <c r="L525" s="54">
        <f>IF($B525="",0,IF(COUNTIFS('①在庫を貼る'!$V$6:$V$10005,'設定'!$C$4,'①在庫を貼る'!$W$6:$W$10005,$B525)+COUNTIFS('月1回_1ヶ月前の在庫'!$V$6:$V$10005,'設定'!$C$4,'月1回_1ヶ月前の在庫'!$W$6:$W$10005,$B525)+COUNTIFS('月1回_2ヶ月前の在庫'!$V$6:$V$10005,'設定'!$C$4,'月1回_2ヶ月前の在庫'!$W$6:$W$10005,$B525)&gt;0,1,0))</f>
        <v/>
      </c>
      <c r="M525" s="54">
        <f>N(M524)+$L525</f>
        <v/>
      </c>
      <c r="N525" s="54">
        <f>IF($B525="",0,COUNTIFS('①在庫を貼る'!$V$6:$V$10005,'設定'!$C$4,'①在庫を貼る'!$W$6:$W$10005,$B525))</f>
        <v/>
      </c>
    </row>
    <row r="526" ht="18" customHeight="1">
      <c r="B526" s="76" t="n"/>
      <c r="C526" s="77" t="n"/>
      <c r="D526" s="77" t="n"/>
      <c r="E526" s="77" t="n"/>
      <c r="F526" s="78" t="n"/>
      <c r="G526" s="79" t="n"/>
      <c r="H526" s="69" t="n"/>
      <c r="I526" s="44">
        <f>IF(OR($B526="",$H526=""),"",$H526*MAX(1,N($F526)))</f>
        <v/>
      </c>
      <c r="J526" s="80" t="n"/>
      <c r="K526" s="77" t="n"/>
      <c r="L526" s="54">
        <f>IF($B526="",0,IF(COUNTIFS('①在庫を貼る'!$V$6:$V$10005,'設定'!$C$4,'①在庫を貼る'!$W$6:$W$10005,$B526)+COUNTIFS('月1回_1ヶ月前の在庫'!$V$6:$V$10005,'設定'!$C$4,'月1回_1ヶ月前の在庫'!$W$6:$W$10005,$B526)+COUNTIFS('月1回_2ヶ月前の在庫'!$V$6:$V$10005,'設定'!$C$4,'月1回_2ヶ月前の在庫'!$W$6:$W$10005,$B526)&gt;0,1,0))</f>
        <v/>
      </c>
      <c r="M526" s="54">
        <f>N(M525)+$L526</f>
        <v/>
      </c>
      <c r="N526" s="54">
        <f>IF($B526="",0,COUNTIFS('①在庫を貼る'!$V$6:$V$10005,'設定'!$C$4,'①在庫を貼る'!$W$6:$W$10005,$B526))</f>
        <v/>
      </c>
    </row>
    <row r="527" ht="18" customHeight="1">
      <c r="B527" s="76" t="n"/>
      <c r="C527" s="77" t="n"/>
      <c r="D527" s="77" t="n"/>
      <c r="E527" s="77" t="n"/>
      <c r="F527" s="78" t="n"/>
      <c r="G527" s="79" t="n"/>
      <c r="H527" s="69" t="n"/>
      <c r="I527" s="44">
        <f>IF(OR($B527="",$H527=""),"",$H527*MAX(1,N($F527)))</f>
        <v/>
      </c>
      <c r="J527" s="80" t="n"/>
      <c r="K527" s="77" t="n"/>
      <c r="L527" s="54">
        <f>IF($B527="",0,IF(COUNTIFS('①在庫を貼る'!$V$6:$V$10005,'設定'!$C$4,'①在庫を貼る'!$W$6:$W$10005,$B527)+COUNTIFS('月1回_1ヶ月前の在庫'!$V$6:$V$10005,'設定'!$C$4,'月1回_1ヶ月前の在庫'!$W$6:$W$10005,$B527)+COUNTIFS('月1回_2ヶ月前の在庫'!$V$6:$V$10005,'設定'!$C$4,'月1回_2ヶ月前の在庫'!$W$6:$W$10005,$B527)&gt;0,1,0))</f>
        <v/>
      </c>
      <c r="M527" s="54">
        <f>N(M526)+$L527</f>
        <v/>
      </c>
      <c r="N527" s="54">
        <f>IF($B527="",0,COUNTIFS('①在庫を貼る'!$V$6:$V$10005,'設定'!$C$4,'①在庫を貼る'!$W$6:$W$10005,$B527))</f>
        <v/>
      </c>
    </row>
    <row r="528" ht="18" customHeight="1">
      <c r="B528" s="76" t="n"/>
      <c r="C528" s="77" t="n"/>
      <c r="D528" s="77" t="n"/>
      <c r="E528" s="77" t="n"/>
      <c r="F528" s="78" t="n"/>
      <c r="G528" s="79" t="n"/>
      <c r="H528" s="69" t="n"/>
      <c r="I528" s="44">
        <f>IF(OR($B528="",$H528=""),"",$H528*MAX(1,N($F528)))</f>
        <v/>
      </c>
      <c r="J528" s="80" t="n"/>
      <c r="K528" s="77" t="n"/>
      <c r="L528" s="54">
        <f>IF($B528="",0,IF(COUNTIFS('①在庫を貼る'!$V$6:$V$10005,'設定'!$C$4,'①在庫を貼る'!$W$6:$W$10005,$B528)+COUNTIFS('月1回_1ヶ月前の在庫'!$V$6:$V$10005,'設定'!$C$4,'月1回_1ヶ月前の在庫'!$W$6:$W$10005,$B528)+COUNTIFS('月1回_2ヶ月前の在庫'!$V$6:$V$10005,'設定'!$C$4,'月1回_2ヶ月前の在庫'!$W$6:$W$10005,$B528)&gt;0,1,0))</f>
        <v/>
      </c>
      <c r="M528" s="54">
        <f>N(M527)+$L528</f>
        <v/>
      </c>
      <c r="N528" s="54">
        <f>IF($B528="",0,COUNTIFS('①在庫を貼る'!$V$6:$V$10005,'設定'!$C$4,'①在庫を貼る'!$W$6:$W$10005,$B528))</f>
        <v/>
      </c>
    </row>
    <row r="529" ht="18" customHeight="1">
      <c r="B529" s="76" t="n"/>
      <c r="C529" s="77" t="n"/>
      <c r="D529" s="77" t="n"/>
      <c r="E529" s="77" t="n"/>
      <c r="F529" s="78" t="n"/>
      <c r="G529" s="79" t="n"/>
      <c r="H529" s="69" t="n"/>
      <c r="I529" s="44">
        <f>IF(OR($B529="",$H529=""),"",$H529*MAX(1,N($F529)))</f>
        <v/>
      </c>
      <c r="J529" s="80" t="n"/>
      <c r="K529" s="77" t="n"/>
      <c r="L529" s="54">
        <f>IF($B529="",0,IF(COUNTIFS('①在庫を貼る'!$V$6:$V$10005,'設定'!$C$4,'①在庫を貼る'!$W$6:$W$10005,$B529)+COUNTIFS('月1回_1ヶ月前の在庫'!$V$6:$V$10005,'設定'!$C$4,'月1回_1ヶ月前の在庫'!$W$6:$W$10005,$B529)+COUNTIFS('月1回_2ヶ月前の在庫'!$V$6:$V$10005,'設定'!$C$4,'月1回_2ヶ月前の在庫'!$W$6:$W$10005,$B529)&gt;0,1,0))</f>
        <v/>
      </c>
      <c r="M529" s="54">
        <f>N(M528)+$L529</f>
        <v/>
      </c>
      <c r="N529" s="54">
        <f>IF($B529="",0,COUNTIFS('①在庫を貼る'!$V$6:$V$10005,'設定'!$C$4,'①在庫を貼る'!$W$6:$W$10005,$B529))</f>
        <v/>
      </c>
    </row>
    <row r="530" ht="18" customHeight="1">
      <c r="B530" s="76" t="n"/>
      <c r="C530" s="77" t="n"/>
      <c r="D530" s="77" t="n"/>
      <c r="E530" s="77" t="n"/>
      <c r="F530" s="78" t="n"/>
      <c r="G530" s="79" t="n"/>
      <c r="H530" s="69" t="n"/>
      <c r="I530" s="44">
        <f>IF(OR($B530="",$H530=""),"",$H530*MAX(1,N($F530)))</f>
        <v/>
      </c>
      <c r="J530" s="80" t="n"/>
      <c r="K530" s="77" t="n"/>
      <c r="L530" s="54">
        <f>IF($B530="",0,IF(COUNTIFS('①在庫を貼る'!$V$6:$V$10005,'設定'!$C$4,'①在庫を貼る'!$W$6:$W$10005,$B530)+COUNTIFS('月1回_1ヶ月前の在庫'!$V$6:$V$10005,'設定'!$C$4,'月1回_1ヶ月前の在庫'!$W$6:$W$10005,$B530)+COUNTIFS('月1回_2ヶ月前の在庫'!$V$6:$V$10005,'設定'!$C$4,'月1回_2ヶ月前の在庫'!$W$6:$W$10005,$B530)&gt;0,1,0))</f>
        <v/>
      </c>
      <c r="M530" s="54">
        <f>N(M529)+$L530</f>
        <v/>
      </c>
      <c r="N530" s="54">
        <f>IF($B530="",0,COUNTIFS('①在庫を貼る'!$V$6:$V$10005,'設定'!$C$4,'①在庫を貼る'!$W$6:$W$10005,$B530))</f>
        <v/>
      </c>
    </row>
    <row r="531" ht="18" customHeight="1">
      <c r="B531" s="76" t="n"/>
      <c r="C531" s="77" t="n"/>
      <c r="D531" s="77" t="n"/>
      <c r="E531" s="77" t="n"/>
      <c r="F531" s="78" t="n"/>
      <c r="G531" s="79" t="n"/>
      <c r="H531" s="69" t="n"/>
      <c r="I531" s="44">
        <f>IF(OR($B531="",$H531=""),"",$H531*MAX(1,N($F531)))</f>
        <v/>
      </c>
      <c r="J531" s="80" t="n"/>
      <c r="K531" s="77" t="n"/>
      <c r="L531" s="54">
        <f>IF($B531="",0,IF(COUNTIFS('①在庫を貼る'!$V$6:$V$10005,'設定'!$C$4,'①在庫を貼る'!$W$6:$W$10005,$B531)+COUNTIFS('月1回_1ヶ月前の在庫'!$V$6:$V$10005,'設定'!$C$4,'月1回_1ヶ月前の在庫'!$W$6:$W$10005,$B531)+COUNTIFS('月1回_2ヶ月前の在庫'!$V$6:$V$10005,'設定'!$C$4,'月1回_2ヶ月前の在庫'!$W$6:$W$10005,$B531)&gt;0,1,0))</f>
        <v/>
      </c>
      <c r="M531" s="54">
        <f>N(M530)+$L531</f>
        <v/>
      </c>
      <c r="N531" s="54">
        <f>IF($B531="",0,COUNTIFS('①在庫を貼る'!$V$6:$V$10005,'設定'!$C$4,'①在庫を貼る'!$W$6:$W$10005,$B531))</f>
        <v/>
      </c>
    </row>
    <row r="532" ht="18" customHeight="1">
      <c r="B532" s="76" t="n"/>
      <c r="C532" s="77" t="n"/>
      <c r="D532" s="77" t="n"/>
      <c r="E532" s="77" t="n"/>
      <c r="F532" s="78" t="n"/>
      <c r="G532" s="79" t="n"/>
      <c r="H532" s="69" t="n"/>
      <c r="I532" s="44">
        <f>IF(OR($B532="",$H532=""),"",$H532*MAX(1,N($F532)))</f>
        <v/>
      </c>
      <c r="J532" s="80" t="n"/>
      <c r="K532" s="77" t="n"/>
      <c r="L532" s="54">
        <f>IF($B532="",0,IF(COUNTIFS('①在庫を貼る'!$V$6:$V$10005,'設定'!$C$4,'①在庫を貼る'!$W$6:$W$10005,$B532)+COUNTIFS('月1回_1ヶ月前の在庫'!$V$6:$V$10005,'設定'!$C$4,'月1回_1ヶ月前の在庫'!$W$6:$W$10005,$B532)+COUNTIFS('月1回_2ヶ月前の在庫'!$V$6:$V$10005,'設定'!$C$4,'月1回_2ヶ月前の在庫'!$W$6:$W$10005,$B532)&gt;0,1,0))</f>
        <v/>
      </c>
      <c r="M532" s="54">
        <f>N(M531)+$L532</f>
        <v/>
      </c>
      <c r="N532" s="54">
        <f>IF($B532="",0,COUNTIFS('①在庫を貼る'!$V$6:$V$10005,'設定'!$C$4,'①在庫を貼る'!$W$6:$W$10005,$B532))</f>
        <v/>
      </c>
    </row>
    <row r="533" ht="18" customHeight="1">
      <c r="B533" s="76" t="n"/>
      <c r="C533" s="77" t="n"/>
      <c r="D533" s="77" t="n"/>
      <c r="E533" s="77" t="n"/>
      <c r="F533" s="78" t="n"/>
      <c r="G533" s="79" t="n"/>
      <c r="H533" s="69" t="n"/>
      <c r="I533" s="44">
        <f>IF(OR($B533="",$H533=""),"",$H533*MAX(1,N($F533)))</f>
        <v/>
      </c>
      <c r="J533" s="80" t="n"/>
      <c r="K533" s="77" t="n"/>
      <c r="L533" s="54">
        <f>IF($B533="",0,IF(COUNTIFS('①在庫を貼る'!$V$6:$V$10005,'設定'!$C$4,'①在庫を貼る'!$W$6:$W$10005,$B533)+COUNTIFS('月1回_1ヶ月前の在庫'!$V$6:$V$10005,'設定'!$C$4,'月1回_1ヶ月前の在庫'!$W$6:$W$10005,$B533)+COUNTIFS('月1回_2ヶ月前の在庫'!$V$6:$V$10005,'設定'!$C$4,'月1回_2ヶ月前の在庫'!$W$6:$W$10005,$B533)&gt;0,1,0))</f>
        <v/>
      </c>
      <c r="M533" s="54">
        <f>N(M532)+$L533</f>
        <v/>
      </c>
      <c r="N533" s="54">
        <f>IF($B533="",0,COUNTIFS('①在庫を貼る'!$V$6:$V$10005,'設定'!$C$4,'①在庫を貼る'!$W$6:$W$10005,$B533))</f>
        <v/>
      </c>
    </row>
    <row r="534" ht="18" customHeight="1">
      <c r="B534" s="76" t="n"/>
      <c r="C534" s="77" t="n"/>
      <c r="D534" s="77" t="n"/>
      <c r="E534" s="77" t="n"/>
      <c r="F534" s="78" t="n"/>
      <c r="G534" s="79" t="n"/>
      <c r="H534" s="69" t="n"/>
      <c r="I534" s="44">
        <f>IF(OR($B534="",$H534=""),"",$H534*MAX(1,N($F534)))</f>
        <v/>
      </c>
      <c r="J534" s="80" t="n"/>
      <c r="K534" s="77" t="n"/>
      <c r="L534" s="54">
        <f>IF($B534="",0,IF(COUNTIFS('①在庫を貼る'!$V$6:$V$10005,'設定'!$C$4,'①在庫を貼る'!$W$6:$W$10005,$B534)+COUNTIFS('月1回_1ヶ月前の在庫'!$V$6:$V$10005,'設定'!$C$4,'月1回_1ヶ月前の在庫'!$W$6:$W$10005,$B534)+COUNTIFS('月1回_2ヶ月前の在庫'!$V$6:$V$10005,'設定'!$C$4,'月1回_2ヶ月前の在庫'!$W$6:$W$10005,$B534)&gt;0,1,0))</f>
        <v/>
      </c>
      <c r="M534" s="54">
        <f>N(M533)+$L534</f>
        <v/>
      </c>
      <c r="N534" s="54">
        <f>IF($B534="",0,COUNTIFS('①在庫を貼る'!$V$6:$V$10005,'設定'!$C$4,'①在庫を貼る'!$W$6:$W$10005,$B534))</f>
        <v/>
      </c>
    </row>
    <row r="535" ht="18" customHeight="1">
      <c r="B535" s="76" t="n"/>
      <c r="C535" s="77" t="n"/>
      <c r="D535" s="77" t="n"/>
      <c r="E535" s="77" t="n"/>
      <c r="F535" s="78" t="n"/>
      <c r="G535" s="79" t="n"/>
      <c r="H535" s="69" t="n"/>
      <c r="I535" s="44">
        <f>IF(OR($B535="",$H535=""),"",$H535*MAX(1,N($F535)))</f>
        <v/>
      </c>
      <c r="J535" s="80" t="n"/>
      <c r="K535" s="77" t="n"/>
      <c r="L535" s="54">
        <f>IF($B535="",0,IF(COUNTIFS('①在庫を貼る'!$V$6:$V$10005,'設定'!$C$4,'①在庫を貼る'!$W$6:$W$10005,$B535)+COUNTIFS('月1回_1ヶ月前の在庫'!$V$6:$V$10005,'設定'!$C$4,'月1回_1ヶ月前の在庫'!$W$6:$W$10005,$B535)+COUNTIFS('月1回_2ヶ月前の在庫'!$V$6:$V$10005,'設定'!$C$4,'月1回_2ヶ月前の在庫'!$W$6:$W$10005,$B535)&gt;0,1,0))</f>
        <v/>
      </c>
      <c r="M535" s="54">
        <f>N(M534)+$L535</f>
        <v/>
      </c>
      <c r="N535" s="54">
        <f>IF($B535="",0,COUNTIFS('①在庫を貼る'!$V$6:$V$10005,'設定'!$C$4,'①在庫を貼る'!$W$6:$W$10005,$B535))</f>
        <v/>
      </c>
    </row>
    <row r="536" ht="18" customHeight="1">
      <c r="B536" s="76" t="n"/>
      <c r="C536" s="77" t="n"/>
      <c r="D536" s="77" t="n"/>
      <c r="E536" s="77" t="n"/>
      <c r="F536" s="78" t="n"/>
      <c r="G536" s="79" t="n"/>
      <c r="H536" s="69" t="n"/>
      <c r="I536" s="44">
        <f>IF(OR($B536="",$H536=""),"",$H536*MAX(1,N($F536)))</f>
        <v/>
      </c>
      <c r="J536" s="80" t="n"/>
      <c r="K536" s="77" t="n"/>
      <c r="L536" s="54">
        <f>IF($B536="",0,IF(COUNTIFS('①在庫を貼る'!$V$6:$V$10005,'設定'!$C$4,'①在庫を貼る'!$W$6:$W$10005,$B536)+COUNTIFS('月1回_1ヶ月前の在庫'!$V$6:$V$10005,'設定'!$C$4,'月1回_1ヶ月前の在庫'!$W$6:$W$10005,$B536)+COUNTIFS('月1回_2ヶ月前の在庫'!$V$6:$V$10005,'設定'!$C$4,'月1回_2ヶ月前の在庫'!$W$6:$W$10005,$B536)&gt;0,1,0))</f>
        <v/>
      </c>
      <c r="M536" s="54">
        <f>N(M535)+$L536</f>
        <v/>
      </c>
      <c r="N536" s="54">
        <f>IF($B536="",0,COUNTIFS('①在庫を貼る'!$V$6:$V$10005,'設定'!$C$4,'①在庫を貼る'!$W$6:$W$10005,$B536))</f>
        <v/>
      </c>
    </row>
    <row r="537" ht="18" customHeight="1">
      <c r="B537" s="76" t="n"/>
      <c r="C537" s="77" t="n"/>
      <c r="D537" s="77" t="n"/>
      <c r="E537" s="77" t="n"/>
      <c r="F537" s="78" t="n"/>
      <c r="G537" s="79" t="n"/>
      <c r="H537" s="69" t="n"/>
      <c r="I537" s="44">
        <f>IF(OR($B537="",$H537=""),"",$H537*MAX(1,N($F537)))</f>
        <v/>
      </c>
      <c r="J537" s="80" t="n"/>
      <c r="K537" s="77" t="n"/>
      <c r="L537" s="54">
        <f>IF($B537="",0,IF(COUNTIFS('①在庫を貼る'!$V$6:$V$10005,'設定'!$C$4,'①在庫を貼る'!$W$6:$W$10005,$B537)+COUNTIFS('月1回_1ヶ月前の在庫'!$V$6:$V$10005,'設定'!$C$4,'月1回_1ヶ月前の在庫'!$W$6:$W$10005,$B537)+COUNTIFS('月1回_2ヶ月前の在庫'!$V$6:$V$10005,'設定'!$C$4,'月1回_2ヶ月前の在庫'!$W$6:$W$10005,$B537)&gt;0,1,0))</f>
        <v/>
      </c>
      <c r="M537" s="54">
        <f>N(M536)+$L537</f>
        <v/>
      </c>
      <c r="N537" s="54">
        <f>IF($B537="",0,COUNTIFS('①在庫を貼る'!$V$6:$V$10005,'設定'!$C$4,'①在庫を貼る'!$W$6:$W$10005,$B537))</f>
        <v/>
      </c>
    </row>
    <row r="538" ht="18" customHeight="1">
      <c r="B538" s="76" t="n"/>
      <c r="C538" s="77" t="n"/>
      <c r="D538" s="77" t="n"/>
      <c r="E538" s="77" t="n"/>
      <c r="F538" s="78" t="n"/>
      <c r="G538" s="79" t="n"/>
      <c r="H538" s="69" t="n"/>
      <c r="I538" s="44">
        <f>IF(OR($B538="",$H538=""),"",$H538*MAX(1,N($F538)))</f>
        <v/>
      </c>
      <c r="J538" s="80" t="n"/>
      <c r="K538" s="77" t="n"/>
      <c r="L538" s="54">
        <f>IF($B538="",0,IF(COUNTIFS('①在庫を貼る'!$V$6:$V$10005,'設定'!$C$4,'①在庫を貼る'!$W$6:$W$10005,$B538)+COUNTIFS('月1回_1ヶ月前の在庫'!$V$6:$V$10005,'設定'!$C$4,'月1回_1ヶ月前の在庫'!$W$6:$W$10005,$B538)+COUNTIFS('月1回_2ヶ月前の在庫'!$V$6:$V$10005,'設定'!$C$4,'月1回_2ヶ月前の在庫'!$W$6:$W$10005,$B538)&gt;0,1,0))</f>
        <v/>
      </c>
      <c r="M538" s="54">
        <f>N(M537)+$L538</f>
        <v/>
      </c>
      <c r="N538" s="54">
        <f>IF($B538="",0,COUNTIFS('①在庫を貼る'!$V$6:$V$10005,'設定'!$C$4,'①在庫を貼る'!$W$6:$W$10005,$B538))</f>
        <v/>
      </c>
    </row>
    <row r="539" ht="18" customHeight="1">
      <c r="B539" s="76" t="n"/>
      <c r="C539" s="77" t="n"/>
      <c r="D539" s="77" t="n"/>
      <c r="E539" s="77" t="n"/>
      <c r="F539" s="78" t="n"/>
      <c r="G539" s="79" t="n"/>
      <c r="H539" s="69" t="n"/>
      <c r="I539" s="44">
        <f>IF(OR($B539="",$H539=""),"",$H539*MAX(1,N($F539)))</f>
        <v/>
      </c>
      <c r="J539" s="80" t="n"/>
      <c r="K539" s="77" t="n"/>
      <c r="L539" s="54">
        <f>IF($B539="",0,IF(COUNTIFS('①在庫を貼る'!$V$6:$V$10005,'設定'!$C$4,'①在庫を貼る'!$W$6:$W$10005,$B539)+COUNTIFS('月1回_1ヶ月前の在庫'!$V$6:$V$10005,'設定'!$C$4,'月1回_1ヶ月前の在庫'!$W$6:$W$10005,$B539)+COUNTIFS('月1回_2ヶ月前の在庫'!$V$6:$V$10005,'設定'!$C$4,'月1回_2ヶ月前の在庫'!$W$6:$W$10005,$B539)&gt;0,1,0))</f>
        <v/>
      </c>
      <c r="M539" s="54">
        <f>N(M538)+$L539</f>
        <v/>
      </c>
      <c r="N539" s="54">
        <f>IF($B539="",0,COUNTIFS('①在庫を貼る'!$V$6:$V$10005,'設定'!$C$4,'①在庫を貼る'!$W$6:$W$10005,$B539))</f>
        <v/>
      </c>
    </row>
    <row r="540" ht="18" customHeight="1">
      <c r="B540" s="76" t="n"/>
      <c r="C540" s="77" t="n"/>
      <c r="D540" s="77" t="n"/>
      <c r="E540" s="77" t="n"/>
      <c r="F540" s="78" t="n"/>
      <c r="G540" s="79" t="n"/>
      <c r="H540" s="69" t="n"/>
      <c r="I540" s="44">
        <f>IF(OR($B540="",$H540=""),"",$H540*MAX(1,N($F540)))</f>
        <v/>
      </c>
      <c r="J540" s="80" t="n"/>
      <c r="K540" s="77" t="n"/>
      <c r="L540" s="54">
        <f>IF($B540="",0,IF(COUNTIFS('①在庫を貼る'!$V$6:$V$10005,'設定'!$C$4,'①在庫を貼る'!$W$6:$W$10005,$B540)+COUNTIFS('月1回_1ヶ月前の在庫'!$V$6:$V$10005,'設定'!$C$4,'月1回_1ヶ月前の在庫'!$W$6:$W$10005,$B540)+COUNTIFS('月1回_2ヶ月前の在庫'!$V$6:$V$10005,'設定'!$C$4,'月1回_2ヶ月前の在庫'!$W$6:$W$10005,$B540)&gt;0,1,0))</f>
        <v/>
      </c>
      <c r="M540" s="54">
        <f>N(M539)+$L540</f>
        <v/>
      </c>
      <c r="N540" s="54">
        <f>IF($B540="",0,COUNTIFS('①在庫を貼る'!$V$6:$V$10005,'設定'!$C$4,'①在庫を貼る'!$W$6:$W$10005,$B540))</f>
        <v/>
      </c>
    </row>
    <row r="541" ht="18" customHeight="1">
      <c r="B541" s="76" t="n"/>
      <c r="C541" s="77" t="n"/>
      <c r="D541" s="77" t="n"/>
      <c r="E541" s="77" t="n"/>
      <c r="F541" s="78" t="n"/>
      <c r="G541" s="79" t="n"/>
      <c r="H541" s="69" t="n"/>
      <c r="I541" s="44">
        <f>IF(OR($B541="",$H541=""),"",$H541*MAX(1,N($F541)))</f>
        <v/>
      </c>
      <c r="J541" s="80" t="n"/>
      <c r="K541" s="77" t="n"/>
      <c r="L541" s="54">
        <f>IF($B541="",0,IF(COUNTIFS('①在庫を貼る'!$V$6:$V$10005,'設定'!$C$4,'①在庫を貼る'!$W$6:$W$10005,$B541)+COUNTIFS('月1回_1ヶ月前の在庫'!$V$6:$V$10005,'設定'!$C$4,'月1回_1ヶ月前の在庫'!$W$6:$W$10005,$B541)+COUNTIFS('月1回_2ヶ月前の在庫'!$V$6:$V$10005,'設定'!$C$4,'月1回_2ヶ月前の在庫'!$W$6:$W$10005,$B541)&gt;0,1,0))</f>
        <v/>
      </c>
      <c r="M541" s="54">
        <f>N(M540)+$L541</f>
        <v/>
      </c>
      <c r="N541" s="54">
        <f>IF($B541="",0,COUNTIFS('①在庫を貼る'!$V$6:$V$10005,'設定'!$C$4,'①在庫を貼る'!$W$6:$W$10005,$B541))</f>
        <v/>
      </c>
    </row>
    <row r="542" ht="18" customHeight="1">
      <c r="B542" s="76" t="n"/>
      <c r="C542" s="77" t="n"/>
      <c r="D542" s="77" t="n"/>
      <c r="E542" s="77" t="n"/>
      <c r="F542" s="78" t="n"/>
      <c r="G542" s="79" t="n"/>
      <c r="H542" s="69" t="n"/>
      <c r="I542" s="44">
        <f>IF(OR($B542="",$H542=""),"",$H542*MAX(1,N($F542)))</f>
        <v/>
      </c>
      <c r="J542" s="80" t="n"/>
      <c r="K542" s="77" t="n"/>
      <c r="L542" s="54">
        <f>IF($B542="",0,IF(COUNTIFS('①在庫を貼る'!$V$6:$V$10005,'設定'!$C$4,'①在庫を貼る'!$W$6:$W$10005,$B542)+COUNTIFS('月1回_1ヶ月前の在庫'!$V$6:$V$10005,'設定'!$C$4,'月1回_1ヶ月前の在庫'!$W$6:$W$10005,$B542)+COUNTIFS('月1回_2ヶ月前の在庫'!$V$6:$V$10005,'設定'!$C$4,'月1回_2ヶ月前の在庫'!$W$6:$W$10005,$B542)&gt;0,1,0))</f>
        <v/>
      </c>
      <c r="M542" s="54">
        <f>N(M541)+$L542</f>
        <v/>
      </c>
      <c r="N542" s="54">
        <f>IF($B542="",0,COUNTIFS('①在庫を貼る'!$V$6:$V$10005,'設定'!$C$4,'①在庫を貼る'!$W$6:$W$10005,$B542))</f>
        <v/>
      </c>
    </row>
    <row r="543" ht="18" customHeight="1">
      <c r="B543" s="76" t="n"/>
      <c r="C543" s="77" t="n"/>
      <c r="D543" s="77" t="n"/>
      <c r="E543" s="77" t="n"/>
      <c r="F543" s="78" t="n"/>
      <c r="G543" s="79" t="n"/>
      <c r="H543" s="69" t="n"/>
      <c r="I543" s="44">
        <f>IF(OR($B543="",$H543=""),"",$H543*MAX(1,N($F543)))</f>
        <v/>
      </c>
      <c r="J543" s="80" t="n"/>
      <c r="K543" s="77" t="n"/>
      <c r="L543" s="54">
        <f>IF($B543="",0,IF(COUNTIFS('①在庫を貼る'!$V$6:$V$10005,'設定'!$C$4,'①在庫を貼る'!$W$6:$W$10005,$B543)+COUNTIFS('月1回_1ヶ月前の在庫'!$V$6:$V$10005,'設定'!$C$4,'月1回_1ヶ月前の在庫'!$W$6:$W$10005,$B543)+COUNTIFS('月1回_2ヶ月前の在庫'!$V$6:$V$10005,'設定'!$C$4,'月1回_2ヶ月前の在庫'!$W$6:$W$10005,$B543)&gt;0,1,0))</f>
        <v/>
      </c>
      <c r="M543" s="54">
        <f>N(M542)+$L543</f>
        <v/>
      </c>
      <c r="N543" s="54">
        <f>IF($B543="",0,COUNTIFS('①在庫を貼る'!$V$6:$V$10005,'設定'!$C$4,'①在庫を貼る'!$W$6:$W$10005,$B543))</f>
        <v/>
      </c>
    </row>
    <row r="544" ht="18" customHeight="1">
      <c r="B544" s="76" t="n"/>
      <c r="C544" s="77" t="n"/>
      <c r="D544" s="77" t="n"/>
      <c r="E544" s="77" t="n"/>
      <c r="F544" s="78" t="n"/>
      <c r="G544" s="79" t="n"/>
      <c r="H544" s="69" t="n"/>
      <c r="I544" s="44">
        <f>IF(OR($B544="",$H544=""),"",$H544*MAX(1,N($F544)))</f>
        <v/>
      </c>
      <c r="J544" s="80" t="n"/>
      <c r="K544" s="77" t="n"/>
      <c r="L544" s="54">
        <f>IF($B544="",0,IF(COUNTIFS('①在庫を貼る'!$V$6:$V$10005,'設定'!$C$4,'①在庫を貼る'!$W$6:$W$10005,$B544)+COUNTIFS('月1回_1ヶ月前の在庫'!$V$6:$V$10005,'設定'!$C$4,'月1回_1ヶ月前の在庫'!$W$6:$W$10005,$B544)+COUNTIFS('月1回_2ヶ月前の在庫'!$V$6:$V$10005,'設定'!$C$4,'月1回_2ヶ月前の在庫'!$W$6:$W$10005,$B544)&gt;0,1,0))</f>
        <v/>
      </c>
      <c r="M544" s="54">
        <f>N(M543)+$L544</f>
        <v/>
      </c>
      <c r="N544" s="54">
        <f>IF($B544="",0,COUNTIFS('①在庫を貼る'!$V$6:$V$10005,'設定'!$C$4,'①在庫を貼る'!$W$6:$W$10005,$B544))</f>
        <v/>
      </c>
    </row>
    <row r="545" ht="18" customHeight="1">
      <c r="B545" s="76" t="n"/>
      <c r="C545" s="77" t="n"/>
      <c r="D545" s="77" t="n"/>
      <c r="E545" s="77" t="n"/>
      <c r="F545" s="78" t="n"/>
      <c r="G545" s="79" t="n"/>
      <c r="H545" s="69" t="n"/>
      <c r="I545" s="44">
        <f>IF(OR($B545="",$H545=""),"",$H545*MAX(1,N($F545)))</f>
        <v/>
      </c>
      <c r="J545" s="80" t="n"/>
      <c r="K545" s="77" t="n"/>
      <c r="L545" s="54">
        <f>IF($B545="",0,IF(COUNTIFS('①在庫を貼る'!$V$6:$V$10005,'設定'!$C$4,'①在庫を貼る'!$W$6:$W$10005,$B545)+COUNTIFS('月1回_1ヶ月前の在庫'!$V$6:$V$10005,'設定'!$C$4,'月1回_1ヶ月前の在庫'!$W$6:$W$10005,$B545)+COUNTIFS('月1回_2ヶ月前の在庫'!$V$6:$V$10005,'設定'!$C$4,'月1回_2ヶ月前の在庫'!$W$6:$W$10005,$B545)&gt;0,1,0))</f>
        <v/>
      </c>
      <c r="M545" s="54">
        <f>N(M544)+$L545</f>
        <v/>
      </c>
      <c r="N545" s="54">
        <f>IF($B545="",0,COUNTIFS('①在庫を貼る'!$V$6:$V$10005,'設定'!$C$4,'①在庫を貼る'!$W$6:$W$10005,$B545))</f>
        <v/>
      </c>
    </row>
    <row r="546" ht="18" customHeight="1">
      <c r="B546" s="76" t="n"/>
      <c r="C546" s="77" t="n"/>
      <c r="D546" s="77" t="n"/>
      <c r="E546" s="77" t="n"/>
      <c r="F546" s="78" t="n"/>
      <c r="G546" s="79" t="n"/>
      <c r="H546" s="69" t="n"/>
      <c r="I546" s="44">
        <f>IF(OR($B546="",$H546=""),"",$H546*MAX(1,N($F546)))</f>
        <v/>
      </c>
      <c r="J546" s="80" t="n"/>
      <c r="K546" s="77" t="n"/>
      <c r="L546" s="54">
        <f>IF($B546="",0,IF(COUNTIFS('①在庫を貼る'!$V$6:$V$10005,'設定'!$C$4,'①在庫を貼る'!$W$6:$W$10005,$B546)+COUNTIFS('月1回_1ヶ月前の在庫'!$V$6:$V$10005,'設定'!$C$4,'月1回_1ヶ月前の在庫'!$W$6:$W$10005,$B546)+COUNTIFS('月1回_2ヶ月前の在庫'!$V$6:$V$10005,'設定'!$C$4,'月1回_2ヶ月前の在庫'!$W$6:$W$10005,$B546)&gt;0,1,0))</f>
        <v/>
      </c>
      <c r="M546" s="54">
        <f>N(M545)+$L546</f>
        <v/>
      </c>
      <c r="N546" s="54">
        <f>IF($B546="",0,COUNTIFS('①在庫を貼る'!$V$6:$V$10005,'設定'!$C$4,'①在庫を貼る'!$W$6:$W$10005,$B546))</f>
        <v/>
      </c>
    </row>
    <row r="547" ht="18" customHeight="1">
      <c r="B547" s="76" t="n"/>
      <c r="C547" s="77" t="n"/>
      <c r="D547" s="77" t="n"/>
      <c r="E547" s="77" t="n"/>
      <c r="F547" s="78" t="n"/>
      <c r="G547" s="79" t="n"/>
      <c r="H547" s="69" t="n"/>
      <c r="I547" s="44">
        <f>IF(OR($B547="",$H547=""),"",$H547*MAX(1,N($F547)))</f>
        <v/>
      </c>
      <c r="J547" s="80" t="n"/>
      <c r="K547" s="77" t="n"/>
      <c r="L547" s="54">
        <f>IF($B547="",0,IF(COUNTIFS('①在庫を貼る'!$V$6:$V$10005,'設定'!$C$4,'①在庫を貼る'!$W$6:$W$10005,$B547)+COUNTIFS('月1回_1ヶ月前の在庫'!$V$6:$V$10005,'設定'!$C$4,'月1回_1ヶ月前の在庫'!$W$6:$W$10005,$B547)+COUNTIFS('月1回_2ヶ月前の在庫'!$V$6:$V$10005,'設定'!$C$4,'月1回_2ヶ月前の在庫'!$W$6:$W$10005,$B547)&gt;0,1,0))</f>
        <v/>
      </c>
      <c r="M547" s="54">
        <f>N(M546)+$L547</f>
        <v/>
      </c>
      <c r="N547" s="54">
        <f>IF($B547="",0,COUNTIFS('①在庫を貼る'!$V$6:$V$10005,'設定'!$C$4,'①在庫を貼る'!$W$6:$W$10005,$B547))</f>
        <v/>
      </c>
    </row>
    <row r="548" ht="18" customHeight="1">
      <c r="B548" s="76" t="n"/>
      <c r="C548" s="77" t="n"/>
      <c r="D548" s="77" t="n"/>
      <c r="E548" s="77" t="n"/>
      <c r="F548" s="78" t="n"/>
      <c r="G548" s="79" t="n"/>
      <c r="H548" s="69" t="n"/>
      <c r="I548" s="44">
        <f>IF(OR($B548="",$H548=""),"",$H548*MAX(1,N($F548)))</f>
        <v/>
      </c>
      <c r="J548" s="80" t="n"/>
      <c r="K548" s="77" t="n"/>
      <c r="L548" s="54">
        <f>IF($B548="",0,IF(COUNTIFS('①在庫を貼る'!$V$6:$V$10005,'設定'!$C$4,'①在庫を貼る'!$W$6:$W$10005,$B548)+COUNTIFS('月1回_1ヶ月前の在庫'!$V$6:$V$10005,'設定'!$C$4,'月1回_1ヶ月前の在庫'!$W$6:$W$10005,$B548)+COUNTIFS('月1回_2ヶ月前の在庫'!$V$6:$V$10005,'設定'!$C$4,'月1回_2ヶ月前の在庫'!$W$6:$W$10005,$B548)&gt;0,1,0))</f>
        <v/>
      </c>
      <c r="M548" s="54">
        <f>N(M547)+$L548</f>
        <v/>
      </c>
      <c r="N548" s="54">
        <f>IF($B548="",0,COUNTIFS('①在庫を貼る'!$V$6:$V$10005,'設定'!$C$4,'①在庫を貼る'!$W$6:$W$10005,$B548))</f>
        <v/>
      </c>
    </row>
    <row r="549" ht="18" customHeight="1">
      <c r="B549" s="76" t="n"/>
      <c r="C549" s="77" t="n"/>
      <c r="D549" s="77" t="n"/>
      <c r="E549" s="77" t="n"/>
      <c r="F549" s="78" t="n"/>
      <c r="G549" s="79" t="n"/>
      <c r="H549" s="69" t="n"/>
      <c r="I549" s="44">
        <f>IF(OR($B549="",$H549=""),"",$H549*MAX(1,N($F549)))</f>
        <v/>
      </c>
      <c r="J549" s="80" t="n"/>
      <c r="K549" s="77" t="n"/>
      <c r="L549" s="54">
        <f>IF($B549="",0,IF(COUNTIFS('①在庫を貼る'!$V$6:$V$10005,'設定'!$C$4,'①在庫を貼る'!$W$6:$W$10005,$B549)+COUNTIFS('月1回_1ヶ月前の在庫'!$V$6:$V$10005,'設定'!$C$4,'月1回_1ヶ月前の在庫'!$W$6:$W$10005,$B549)+COUNTIFS('月1回_2ヶ月前の在庫'!$V$6:$V$10005,'設定'!$C$4,'月1回_2ヶ月前の在庫'!$W$6:$W$10005,$B549)&gt;0,1,0))</f>
        <v/>
      </c>
      <c r="M549" s="54">
        <f>N(M548)+$L549</f>
        <v/>
      </c>
      <c r="N549" s="54">
        <f>IF($B549="",0,COUNTIFS('①在庫を貼る'!$V$6:$V$10005,'設定'!$C$4,'①在庫を貼る'!$W$6:$W$10005,$B549))</f>
        <v/>
      </c>
    </row>
    <row r="550" ht="18" customHeight="1">
      <c r="B550" s="76" t="n"/>
      <c r="C550" s="77" t="n"/>
      <c r="D550" s="77" t="n"/>
      <c r="E550" s="77" t="n"/>
      <c r="F550" s="78" t="n"/>
      <c r="G550" s="79" t="n"/>
      <c r="H550" s="69" t="n"/>
      <c r="I550" s="44">
        <f>IF(OR($B550="",$H550=""),"",$H550*MAX(1,N($F550)))</f>
        <v/>
      </c>
      <c r="J550" s="80" t="n"/>
      <c r="K550" s="77" t="n"/>
      <c r="L550" s="54">
        <f>IF($B550="",0,IF(COUNTIFS('①在庫を貼る'!$V$6:$V$10005,'設定'!$C$4,'①在庫を貼る'!$W$6:$W$10005,$B550)+COUNTIFS('月1回_1ヶ月前の在庫'!$V$6:$V$10005,'設定'!$C$4,'月1回_1ヶ月前の在庫'!$W$6:$W$10005,$B550)+COUNTIFS('月1回_2ヶ月前の在庫'!$V$6:$V$10005,'設定'!$C$4,'月1回_2ヶ月前の在庫'!$W$6:$W$10005,$B550)&gt;0,1,0))</f>
        <v/>
      </c>
      <c r="M550" s="54">
        <f>N(M549)+$L550</f>
        <v/>
      </c>
      <c r="N550" s="54">
        <f>IF($B550="",0,COUNTIFS('①在庫を貼る'!$V$6:$V$10005,'設定'!$C$4,'①在庫を貼る'!$W$6:$W$10005,$B550))</f>
        <v/>
      </c>
    </row>
    <row r="551" ht="18" customHeight="1">
      <c r="B551" s="76" t="n"/>
      <c r="C551" s="77" t="n"/>
      <c r="D551" s="77" t="n"/>
      <c r="E551" s="77" t="n"/>
      <c r="F551" s="78" t="n"/>
      <c r="G551" s="79" t="n"/>
      <c r="H551" s="69" t="n"/>
      <c r="I551" s="44">
        <f>IF(OR($B551="",$H551=""),"",$H551*MAX(1,N($F551)))</f>
        <v/>
      </c>
      <c r="J551" s="80" t="n"/>
      <c r="K551" s="77" t="n"/>
      <c r="L551" s="54">
        <f>IF($B551="",0,IF(COUNTIFS('①在庫を貼る'!$V$6:$V$10005,'設定'!$C$4,'①在庫を貼る'!$W$6:$W$10005,$B551)+COUNTIFS('月1回_1ヶ月前の在庫'!$V$6:$V$10005,'設定'!$C$4,'月1回_1ヶ月前の在庫'!$W$6:$W$10005,$B551)+COUNTIFS('月1回_2ヶ月前の在庫'!$V$6:$V$10005,'設定'!$C$4,'月1回_2ヶ月前の在庫'!$W$6:$W$10005,$B551)&gt;0,1,0))</f>
        <v/>
      </c>
      <c r="M551" s="54">
        <f>N(M550)+$L551</f>
        <v/>
      </c>
      <c r="N551" s="54">
        <f>IF($B551="",0,COUNTIFS('①在庫を貼る'!$V$6:$V$10005,'設定'!$C$4,'①在庫を貼る'!$W$6:$W$10005,$B551))</f>
        <v/>
      </c>
    </row>
    <row r="552" ht="18" customHeight="1">
      <c r="B552" s="76" t="n"/>
      <c r="C552" s="77" t="n"/>
      <c r="D552" s="77" t="n"/>
      <c r="E552" s="77" t="n"/>
      <c r="F552" s="78" t="n"/>
      <c r="G552" s="79" t="n"/>
      <c r="H552" s="69" t="n"/>
      <c r="I552" s="44">
        <f>IF(OR($B552="",$H552=""),"",$H552*MAX(1,N($F552)))</f>
        <v/>
      </c>
      <c r="J552" s="80" t="n"/>
      <c r="K552" s="77" t="n"/>
      <c r="L552" s="54">
        <f>IF($B552="",0,IF(COUNTIFS('①在庫を貼る'!$V$6:$V$10005,'設定'!$C$4,'①在庫を貼る'!$W$6:$W$10005,$B552)+COUNTIFS('月1回_1ヶ月前の在庫'!$V$6:$V$10005,'設定'!$C$4,'月1回_1ヶ月前の在庫'!$W$6:$W$10005,$B552)+COUNTIFS('月1回_2ヶ月前の在庫'!$V$6:$V$10005,'設定'!$C$4,'月1回_2ヶ月前の在庫'!$W$6:$W$10005,$B552)&gt;0,1,0))</f>
        <v/>
      </c>
      <c r="M552" s="54">
        <f>N(M551)+$L552</f>
        <v/>
      </c>
      <c r="N552" s="54">
        <f>IF($B552="",0,COUNTIFS('①在庫を貼る'!$V$6:$V$10005,'設定'!$C$4,'①在庫を貼る'!$W$6:$W$10005,$B552))</f>
        <v/>
      </c>
    </row>
    <row r="553" ht="18" customHeight="1">
      <c r="B553" s="76" t="n"/>
      <c r="C553" s="77" t="n"/>
      <c r="D553" s="77" t="n"/>
      <c r="E553" s="77" t="n"/>
      <c r="F553" s="78" t="n"/>
      <c r="G553" s="79" t="n"/>
      <c r="H553" s="69" t="n"/>
      <c r="I553" s="44">
        <f>IF(OR($B553="",$H553=""),"",$H553*MAX(1,N($F553)))</f>
        <v/>
      </c>
      <c r="J553" s="80" t="n"/>
      <c r="K553" s="77" t="n"/>
      <c r="L553" s="54">
        <f>IF($B553="",0,IF(COUNTIFS('①在庫を貼る'!$V$6:$V$10005,'設定'!$C$4,'①在庫を貼る'!$W$6:$W$10005,$B553)+COUNTIFS('月1回_1ヶ月前の在庫'!$V$6:$V$10005,'設定'!$C$4,'月1回_1ヶ月前の在庫'!$W$6:$W$10005,$B553)+COUNTIFS('月1回_2ヶ月前の在庫'!$V$6:$V$10005,'設定'!$C$4,'月1回_2ヶ月前の在庫'!$W$6:$W$10005,$B553)&gt;0,1,0))</f>
        <v/>
      </c>
      <c r="M553" s="54">
        <f>N(M552)+$L553</f>
        <v/>
      </c>
      <c r="N553" s="54">
        <f>IF($B553="",0,COUNTIFS('①在庫を貼る'!$V$6:$V$10005,'設定'!$C$4,'①在庫を貼る'!$W$6:$W$10005,$B553))</f>
        <v/>
      </c>
    </row>
    <row r="554" ht="18" customHeight="1">
      <c r="B554" s="76" t="n"/>
      <c r="C554" s="77" t="n"/>
      <c r="D554" s="77" t="n"/>
      <c r="E554" s="77" t="n"/>
      <c r="F554" s="78" t="n"/>
      <c r="G554" s="79" t="n"/>
      <c r="H554" s="69" t="n"/>
      <c r="I554" s="44">
        <f>IF(OR($B554="",$H554=""),"",$H554*MAX(1,N($F554)))</f>
        <v/>
      </c>
      <c r="J554" s="80" t="n"/>
      <c r="K554" s="77" t="n"/>
      <c r="L554" s="54">
        <f>IF($B554="",0,IF(COUNTIFS('①在庫を貼る'!$V$6:$V$10005,'設定'!$C$4,'①在庫を貼る'!$W$6:$W$10005,$B554)+COUNTIFS('月1回_1ヶ月前の在庫'!$V$6:$V$10005,'設定'!$C$4,'月1回_1ヶ月前の在庫'!$W$6:$W$10005,$B554)+COUNTIFS('月1回_2ヶ月前の在庫'!$V$6:$V$10005,'設定'!$C$4,'月1回_2ヶ月前の在庫'!$W$6:$W$10005,$B554)&gt;0,1,0))</f>
        <v/>
      </c>
      <c r="M554" s="54">
        <f>N(M553)+$L554</f>
        <v/>
      </c>
      <c r="N554" s="54">
        <f>IF($B554="",0,COUNTIFS('①在庫を貼る'!$V$6:$V$10005,'設定'!$C$4,'①在庫を貼る'!$W$6:$W$10005,$B554))</f>
        <v/>
      </c>
    </row>
    <row r="555" ht="18" customHeight="1">
      <c r="B555" s="76" t="n"/>
      <c r="C555" s="77" t="n"/>
      <c r="D555" s="77" t="n"/>
      <c r="E555" s="77" t="n"/>
      <c r="F555" s="78" t="n"/>
      <c r="G555" s="79" t="n"/>
      <c r="H555" s="69" t="n"/>
      <c r="I555" s="44">
        <f>IF(OR($B555="",$H555=""),"",$H555*MAX(1,N($F555)))</f>
        <v/>
      </c>
      <c r="J555" s="80" t="n"/>
      <c r="K555" s="77" t="n"/>
      <c r="L555" s="54">
        <f>IF($B555="",0,IF(COUNTIFS('①在庫を貼る'!$V$6:$V$10005,'設定'!$C$4,'①在庫を貼る'!$W$6:$W$10005,$B555)+COUNTIFS('月1回_1ヶ月前の在庫'!$V$6:$V$10005,'設定'!$C$4,'月1回_1ヶ月前の在庫'!$W$6:$W$10005,$B555)+COUNTIFS('月1回_2ヶ月前の在庫'!$V$6:$V$10005,'設定'!$C$4,'月1回_2ヶ月前の在庫'!$W$6:$W$10005,$B555)&gt;0,1,0))</f>
        <v/>
      </c>
      <c r="M555" s="54">
        <f>N(M554)+$L555</f>
        <v/>
      </c>
      <c r="N555" s="54">
        <f>IF($B555="",0,COUNTIFS('①在庫を貼る'!$V$6:$V$10005,'設定'!$C$4,'①在庫を貼る'!$W$6:$W$10005,$B555))</f>
        <v/>
      </c>
    </row>
    <row r="556" ht="18" customHeight="1">
      <c r="B556" s="76" t="n"/>
      <c r="C556" s="77" t="n"/>
      <c r="D556" s="77" t="n"/>
      <c r="E556" s="77" t="n"/>
      <c r="F556" s="78" t="n"/>
      <c r="G556" s="79" t="n"/>
      <c r="H556" s="69" t="n"/>
      <c r="I556" s="44">
        <f>IF(OR($B556="",$H556=""),"",$H556*MAX(1,N($F556)))</f>
        <v/>
      </c>
      <c r="J556" s="80" t="n"/>
      <c r="K556" s="77" t="n"/>
      <c r="L556" s="54">
        <f>IF($B556="",0,IF(COUNTIFS('①在庫を貼る'!$V$6:$V$10005,'設定'!$C$4,'①在庫を貼る'!$W$6:$W$10005,$B556)+COUNTIFS('月1回_1ヶ月前の在庫'!$V$6:$V$10005,'設定'!$C$4,'月1回_1ヶ月前の在庫'!$W$6:$W$10005,$B556)+COUNTIFS('月1回_2ヶ月前の在庫'!$V$6:$V$10005,'設定'!$C$4,'月1回_2ヶ月前の在庫'!$W$6:$W$10005,$B556)&gt;0,1,0))</f>
        <v/>
      </c>
      <c r="M556" s="54">
        <f>N(M555)+$L556</f>
        <v/>
      </c>
      <c r="N556" s="54">
        <f>IF($B556="",0,COUNTIFS('①在庫を貼る'!$V$6:$V$10005,'設定'!$C$4,'①在庫を貼る'!$W$6:$W$10005,$B556))</f>
        <v/>
      </c>
    </row>
    <row r="557" ht="18" customHeight="1">
      <c r="B557" s="76" t="n"/>
      <c r="C557" s="77" t="n"/>
      <c r="D557" s="77" t="n"/>
      <c r="E557" s="77" t="n"/>
      <c r="F557" s="78" t="n"/>
      <c r="G557" s="79" t="n"/>
      <c r="H557" s="69" t="n"/>
      <c r="I557" s="44">
        <f>IF(OR($B557="",$H557=""),"",$H557*MAX(1,N($F557)))</f>
        <v/>
      </c>
      <c r="J557" s="80" t="n"/>
      <c r="K557" s="77" t="n"/>
      <c r="L557" s="54">
        <f>IF($B557="",0,IF(COUNTIFS('①在庫を貼る'!$V$6:$V$10005,'設定'!$C$4,'①在庫を貼る'!$W$6:$W$10005,$B557)+COUNTIFS('月1回_1ヶ月前の在庫'!$V$6:$V$10005,'設定'!$C$4,'月1回_1ヶ月前の在庫'!$W$6:$W$10005,$B557)+COUNTIFS('月1回_2ヶ月前の在庫'!$V$6:$V$10005,'設定'!$C$4,'月1回_2ヶ月前の在庫'!$W$6:$W$10005,$B557)&gt;0,1,0))</f>
        <v/>
      </c>
      <c r="M557" s="54">
        <f>N(M556)+$L557</f>
        <v/>
      </c>
      <c r="N557" s="54">
        <f>IF($B557="",0,COUNTIFS('①在庫を貼る'!$V$6:$V$10005,'設定'!$C$4,'①在庫を貼る'!$W$6:$W$10005,$B557))</f>
        <v/>
      </c>
    </row>
    <row r="558" ht="18" customHeight="1">
      <c r="B558" s="76" t="n"/>
      <c r="C558" s="77" t="n"/>
      <c r="D558" s="77" t="n"/>
      <c r="E558" s="77" t="n"/>
      <c r="F558" s="78" t="n"/>
      <c r="G558" s="79" t="n"/>
      <c r="H558" s="69" t="n"/>
      <c r="I558" s="44">
        <f>IF(OR($B558="",$H558=""),"",$H558*MAX(1,N($F558)))</f>
        <v/>
      </c>
      <c r="J558" s="80" t="n"/>
      <c r="K558" s="77" t="n"/>
      <c r="L558" s="54">
        <f>IF($B558="",0,IF(COUNTIFS('①在庫を貼る'!$V$6:$V$10005,'設定'!$C$4,'①在庫を貼る'!$W$6:$W$10005,$B558)+COUNTIFS('月1回_1ヶ月前の在庫'!$V$6:$V$10005,'設定'!$C$4,'月1回_1ヶ月前の在庫'!$W$6:$W$10005,$B558)+COUNTIFS('月1回_2ヶ月前の在庫'!$V$6:$V$10005,'設定'!$C$4,'月1回_2ヶ月前の在庫'!$W$6:$W$10005,$B558)&gt;0,1,0))</f>
        <v/>
      </c>
      <c r="M558" s="54">
        <f>N(M557)+$L558</f>
        <v/>
      </c>
      <c r="N558" s="54">
        <f>IF($B558="",0,COUNTIFS('①在庫を貼る'!$V$6:$V$10005,'設定'!$C$4,'①在庫を貼る'!$W$6:$W$10005,$B558))</f>
        <v/>
      </c>
    </row>
    <row r="559" ht="18" customHeight="1">
      <c r="B559" s="76" t="n"/>
      <c r="C559" s="77" t="n"/>
      <c r="D559" s="77" t="n"/>
      <c r="E559" s="77" t="n"/>
      <c r="F559" s="78" t="n"/>
      <c r="G559" s="79" t="n"/>
      <c r="H559" s="69" t="n"/>
      <c r="I559" s="44">
        <f>IF(OR($B559="",$H559=""),"",$H559*MAX(1,N($F559)))</f>
        <v/>
      </c>
      <c r="J559" s="80" t="n"/>
      <c r="K559" s="77" t="n"/>
      <c r="L559" s="54">
        <f>IF($B559="",0,IF(COUNTIFS('①在庫を貼る'!$V$6:$V$10005,'設定'!$C$4,'①在庫を貼る'!$W$6:$W$10005,$B559)+COUNTIFS('月1回_1ヶ月前の在庫'!$V$6:$V$10005,'設定'!$C$4,'月1回_1ヶ月前の在庫'!$W$6:$W$10005,$B559)+COUNTIFS('月1回_2ヶ月前の在庫'!$V$6:$V$10005,'設定'!$C$4,'月1回_2ヶ月前の在庫'!$W$6:$W$10005,$B559)&gt;0,1,0))</f>
        <v/>
      </c>
      <c r="M559" s="54">
        <f>N(M558)+$L559</f>
        <v/>
      </c>
      <c r="N559" s="54">
        <f>IF($B559="",0,COUNTIFS('①在庫を貼る'!$V$6:$V$10005,'設定'!$C$4,'①在庫を貼る'!$W$6:$W$10005,$B559))</f>
        <v/>
      </c>
    </row>
    <row r="560" ht="18" customHeight="1">
      <c r="B560" s="76" t="n"/>
      <c r="C560" s="77" t="n"/>
      <c r="D560" s="77" t="n"/>
      <c r="E560" s="77" t="n"/>
      <c r="F560" s="78" t="n"/>
      <c r="G560" s="79" t="n"/>
      <c r="H560" s="69" t="n"/>
      <c r="I560" s="44">
        <f>IF(OR($B560="",$H560=""),"",$H560*MAX(1,N($F560)))</f>
        <v/>
      </c>
      <c r="J560" s="80" t="n"/>
      <c r="K560" s="77" t="n"/>
      <c r="L560" s="54">
        <f>IF($B560="",0,IF(COUNTIFS('①在庫を貼る'!$V$6:$V$10005,'設定'!$C$4,'①在庫を貼る'!$W$6:$W$10005,$B560)+COUNTIFS('月1回_1ヶ月前の在庫'!$V$6:$V$10005,'設定'!$C$4,'月1回_1ヶ月前の在庫'!$W$6:$W$10005,$B560)+COUNTIFS('月1回_2ヶ月前の在庫'!$V$6:$V$10005,'設定'!$C$4,'月1回_2ヶ月前の在庫'!$W$6:$W$10005,$B560)&gt;0,1,0))</f>
        <v/>
      </c>
      <c r="M560" s="54">
        <f>N(M559)+$L560</f>
        <v/>
      </c>
      <c r="N560" s="54">
        <f>IF($B560="",0,COUNTIFS('①在庫を貼る'!$V$6:$V$10005,'設定'!$C$4,'①在庫を貼る'!$W$6:$W$10005,$B560))</f>
        <v/>
      </c>
    </row>
    <row r="561" ht="18" customHeight="1">
      <c r="B561" s="76" t="n"/>
      <c r="C561" s="77" t="n"/>
      <c r="D561" s="77" t="n"/>
      <c r="E561" s="77" t="n"/>
      <c r="F561" s="78" t="n"/>
      <c r="G561" s="79" t="n"/>
      <c r="H561" s="69" t="n"/>
      <c r="I561" s="44">
        <f>IF(OR($B561="",$H561=""),"",$H561*MAX(1,N($F561)))</f>
        <v/>
      </c>
      <c r="J561" s="80" t="n"/>
      <c r="K561" s="77" t="n"/>
      <c r="L561" s="54">
        <f>IF($B561="",0,IF(COUNTIFS('①在庫を貼る'!$V$6:$V$10005,'設定'!$C$4,'①在庫を貼る'!$W$6:$W$10005,$B561)+COUNTIFS('月1回_1ヶ月前の在庫'!$V$6:$V$10005,'設定'!$C$4,'月1回_1ヶ月前の在庫'!$W$6:$W$10005,$B561)+COUNTIFS('月1回_2ヶ月前の在庫'!$V$6:$V$10005,'設定'!$C$4,'月1回_2ヶ月前の在庫'!$W$6:$W$10005,$B561)&gt;0,1,0))</f>
        <v/>
      </c>
      <c r="M561" s="54">
        <f>N(M560)+$L561</f>
        <v/>
      </c>
      <c r="N561" s="54">
        <f>IF($B561="",0,COUNTIFS('①在庫を貼る'!$V$6:$V$10005,'設定'!$C$4,'①在庫を貼る'!$W$6:$W$10005,$B561))</f>
        <v/>
      </c>
    </row>
    <row r="562" ht="18" customHeight="1">
      <c r="B562" s="76" t="n"/>
      <c r="C562" s="77" t="n"/>
      <c r="D562" s="77" t="n"/>
      <c r="E562" s="77" t="n"/>
      <c r="F562" s="78" t="n"/>
      <c r="G562" s="79" t="n"/>
      <c r="H562" s="69" t="n"/>
      <c r="I562" s="44">
        <f>IF(OR($B562="",$H562=""),"",$H562*MAX(1,N($F562)))</f>
        <v/>
      </c>
      <c r="J562" s="80" t="n"/>
      <c r="K562" s="77" t="n"/>
      <c r="L562" s="54">
        <f>IF($B562="",0,IF(COUNTIFS('①在庫を貼る'!$V$6:$V$10005,'設定'!$C$4,'①在庫を貼る'!$W$6:$W$10005,$B562)+COUNTIFS('月1回_1ヶ月前の在庫'!$V$6:$V$10005,'設定'!$C$4,'月1回_1ヶ月前の在庫'!$W$6:$W$10005,$B562)+COUNTIFS('月1回_2ヶ月前の在庫'!$V$6:$V$10005,'設定'!$C$4,'月1回_2ヶ月前の在庫'!$W$6:$W$10005,$B562)&gt;0,1,0))</f>
        <v/>
      </c>
      <c r="M562" s="54">
        <f>N(M561)+$L562</f>
        <v/>
      </c>
      <c r="N562" s="54">
        <f>IF($B562="",0,COUNTIFS('①在庫を貼る'!$V$6:$V$10005,'設定'!$C$4,'①在庫を貼る'!$W$6:$W$10005,$B562))</f>
        <v/>
      </c>
    </row>
    <row r="563" ht="18" customHeight="1">
      <c r="B563" s="76" t="n"/>
      <c r="C563" s="77" t="n"/>
      <c r="D563" s="77" t="n"/>
      <c r="E563" s="77" t="n"/>
      <c r="F563" s="78" t="n"/>
      <c r="G563" s="79" t="n"/>
      <c r="H563" s="69" t="n"/>
      <c r="I563" s="44">
        <f>IF(OR($B563="",$H563=""),"",$H563*MAX(1,N($F563)))</f>
        <v/>
      </c>
      <c r="J563" s="80" t="n"/>
      <c r="K563" s="77" t="n"/>
      <c r="L563" s="54">
        <f>IF($B563="",0,IF(COUNTIFS('①在庫を貼る'!$V$6:$V$10005,'設定'!$C$4,'①在庫を貼る'!$W$6:$W$10005,$B563)+COUNTIFS('月1回_1ヶ月前の在庫'!$V$6:$V$10005,'設定'!$C$4,'月1回_1ヶ月前の在庫'!$W$6:$W$10005,$B563)+COUNTIFS('月1回_2ヶ月前の在庫'!$V$6:$V$10005,'設定'!$C$4,'月1回_2ヶ月前の在庫'!$W$6:$W$10005,$B563)&gt;0,1,0))</f>
        <v/>
      </c>
      <c r="M563" s="54">
        <f>N(M562)+$L563</f>
        <v/>
      </c>
      <c r="N563" s="54">
        <f>IF($B563="",0,COUNTIFS('①在庫を貼る'!$V$6:$V$10005,'設定'!$C$4,'①在庫を貼る'!$W$6:$W$10005,$B563))</f>
        <v/>
      </c>
    </row>
    <row r="564" ht="18" customHeight="1">
      <c r="B564" s="76" t="n"/>
      <c r="C564" s="77" t="n"/>
      <c r="D564" s="77" t="n"/>
      <c r="E564" s="77" t="n"/>
      <c r="F564" s="78" t="n"/>
      <c r="G564" s="79" t="n"/>
      <c r="H564" s="69" t="n"/>
      <c r="I564" s="44">
        <f>IF(OR($B564="",$H564=""),"",$H564*MAX(1,N($F564)))</f>
        <v/>
      </c>
      <c r="J564" s="80" t="n"/>
      <c r="K564" s="77" t="n"/>
      <c r="L564" s="54">
        <f>IF($B564="",0,IF(COUNTIFS('①在庫を貼る'!$V$6:$V$10005,'設定'!$C$4,'①在庫を貼る'!$W$6:$W$10005,$B564)+COUNTIFS('月1回_1ヶ月前の在庫'!$V$6:$V$10005,'設定'!$C$4,'月1回_1ヶ月前の在庫'!$W$6:$W$10005,$B564)+COUNTIFS('月1回_2ヶ月前の在庫'!$V$6:$V$10005,'設定'!$C$4,'月1回_2ヶ月前の在庫'!$W$6:$W$10005,$B564)&gt;0,1,0))</f>
        <v/>
      </c>
      <c r="M564" s="54">
        <f>N(M563)+$L564</f>
        <v/>
      </c>
      <c r="N564" s="54">
        <f>IF($B564="",0,COUNTIFS('①在庫を貼る'!$V$6:$V$10005,'設定'!$C$4,'①在庫を貼る'!$W$6:$W$10005,$B564))</f>
        <v/>
      </c>
    </row>
    <row r="565" ht="18" customHeight="1">
      <c r="B565" s="76" t="n"/>
      <c r="C565" s="77" t="n"/>
      <c r="D565" s="77" t="n"/>
      <c r="E565" s="77" t="n"/>
      <c r="F565" s="78" t="n"/>
      <c r="G565" s="79" t="n"/>
      <c r="H565" s="69" t="n"/>
      <c r="I565" s="44">
        <f>IF(OR($B565="",$H565=""),"",$H565*MAX(1,N($F565)))</f>
        <v/>
      </c>
      <c r="J565" s="80" t="n"/>
      <c r="K565" s="77" t="n"/>
      <c r="L565" s="54">
        <f>IF($B565="",0,IF(COUNTIFS('①在庫を貼る'!$V$6:$V$10005,'設定'!$C$4,'①在庫を貼る'!$W$6:$W$10005,$B565)+COUNTIFS('月1回_1ヶ月前の在庫'!$V$6:$V$10005,'設定'!$C$4,'月1回_1ヶ月前の在庫'!$W$6:$W$10005,$B565)+COUNTIFS('月1回_2ヶ月前の在庫'!$V$6:$V$10005,'設定'!$C$4,'月1回_2ヶ月前の在庫'!$W$6:$W$10005,$B565)&gt;0,1,0))</f>
        <v/>
      </c>
      <c r="M565" s="54">
        <f>N(M564)+$L565</f>
        <v/>
      </c>
      <c r="N565" s="54">
        <f>IF($B565="",0,COUNTIFS('①在庫を貼る'!$V$6:$V$10005,'設定'!$C$4,'①在庫を貼る'!$W$6:$W$10005,$B565))</f>
        <v/>
      </c>
    </row>
    <row r="566" ht="18" customHeight="1">
      <c r="B566" s="76" t="n"/>
      <c r="C566" s="77" t="n"/>
      <c r="D566" s="77" t="n"/>
      <c r="E566" s="77" t="n"/>
      <c r="F566" s="78" t="n"/>
      <c r="G566" s="79" t="n"/>
      <c r="H566" s="69" t="n"/>
      <c r="I566" s="44">
        <f>IF(OR($B566="",$H566=""),"",$H566*MAX(1,N($F566)))</f>
        <v/>
      </c>
      <c r="J566" s="80" t="n"/>
      <c r="K566" s="77" t="n"/>
      <c r="L566" s="54">
        <f>IF($B566="",0,IF(COUNTIFS('①在庫を貼る'!$V$6:$V$10005,'設定'!$C$4,'①在庫を貼る'!$W$6:$W$10005,$B566)+COUNTIFS('月1回_1ヶ月前の在庫'!$V$6:$V$10005,'設定'!$C$4,'月1回_1ヶ月前の在庫'!$W$6:$W$10005,$B566)+COUNTIFS('月1回_2ヶ月前の在庫'!$V$6:$V$10005,'設定'!$C$4,'月1回_2ヶ月前の在庫'!$W$6:$W$10005,$B566)&gt;0,1,0))</f>
        <v/>
      </c>
      <c r="M566" s="54">
        <f>N(M565)+$L566</f>
        <v/>
      </c>
      <c r="N566" s="54">
        <f>IF($B566="",0,COUNTIFS('①在庫を貼る'!$V$6:$V$10005,'設定'!$C$4,'①在庫を貼る'!$W$6:$W$10005,$B566))</f>
        <v/>
      </c>
    </row>
    <row r="567" ht="18" customHeight="1">
      <c r="B567" s="76" t="n"/>
      <c r="C567" s="77" t="n"/>
      <c r="D567" s="77" t="n"/>
      <c r="E567" s="77" t="n"/>
      <c r="F567" s="78" t="n"/>
      <c r="G567" s="79" t="n"/>
      <c r="H567" s="69" t="n"/>
      <c r="I567" s="44">
        <f>IF(OR($B567="",$H567=""),"",$H567*MAX(1,N($F567)))</f>
        <v/>
      </c>
      <c r="J567" s="80" t="n"/>
      <c r="K567" s="77" t="n"/>
      <c r="L567" s="54">
        <f>IF($B567="",0,IF(COUNTIFS('①在庫を貼る'!$V$6:$V$10005,'設定'!$C$4,'①在庫を貼る'!$W$6:$W$10005,$B567)+COUNTIFS('月1回_1ヶ月前の在庫'!$V$6:$V$10005,'設定'!$C$4,'月1回_1ヶ月前の在庫'!$W$6:$W$10005,$B567)+COUNTIFS('月1回_2ヶ月前の在庫'!$V$6:$V$10005,'設定'!$C$4,'月1回_2ヶ月前の在庫'!$W$6:$W$10005,$B567)&gt;0,1,0))</f>
        <v/>
      </c>
      <c r="M567" s="54">
        <f>N(M566)+$L567</f>
        <v/>
      </c>
      <c r="N567" s="54">
        <f>IF($B567="",0,COUNTIFS('①在庫を貼る'!$V$6:$V$10005,'設定'!$C$4,'①在庫を貼る'!$W$6:$W$10005,$B567))</f>
        <v/>
      </c>
    </row>
    <row r="568" ht="18" customHeight="1">
      <c r="B568" s="76" t="n"/>
      <c r="C568" s="77" t="n"/>
      <c r="D568" s="77" t="n"/>
      <c r="E568" s="77" t="n"/>
      <c r="F568" s="78" t="n"/>
      <c r="G568" s="79" t="n"/>
      <c r="H568" s="69" t="n"/>
      <c r="I568" s="44">
        <f>IF(OR($B568="",$H568=""),"",$H568*MAX(1,N($F568)))</f>
        <v/>
      </c>
      <c r="J568" s="80" t="n"/>
      <c r="K568" s="77" t="n"/>
      <c r="L568" s="54">
        <f>IF($B568="",0,IF(COUNTIFS('①在庫を貼る'!$V$6:$V$10005,'設定'!$C$4,'①在庫を貼る'!$W$6:$W$10005,$B568)+COUNTIFS('月1回_1ヶ月前の在庫'!$V$6:$V$10005,'設定'!$C$4,'月1回_1ヶ月前の在庫'!$W$6:$W$10005,$B568)+COUNTIFS('月1回_2ヶ月前の在庫'!$V$6:$V$10005,'設定'!$C$4,'月1回_2ヶ月前の在庫'!$W$6:$W$10005,$B568)&gt;0,1,0))</f>
        <v/>
      </c>
      <c r="M568" s="54">
        <f>N(M567)+$L568</f>
        <v/>
      </c>
      <c r="N568" s="54">
        <f>IF($B568="",0,COUNTIFS('①在庫を貼る'!$V$6:$V$10005,'設定'!$C$4,'①在庫を貼る'!$W$6:$W$10005,$B568))</f>
        <v/>
      </c>
    </row>
    <row r="569" ht="18" customHeight="1">
      <c r="B569" s="76" t="n"/>
      <c r="C569" s="77" t="n"/>
      <c r="D569" s="77" t="n"/>
      <c r="E569" s="77" t="n"/>
      <c r="F569" s="78" t="n"/>
      <c r="G569" s="79" t="n"/>
      <c r="H569" s="69" t="n"/>
      <c r="I569" s="44">
        <f>IF(OR($B569="",$H569=""),"",$H569*MAX(1,N($F569)))</f>
        <v/>
      </c>
      <c r="J569" s="80" t="n"/>
      <c r="K569" s="77" t="n"/>
      <c r="L569" s="54">
        <f>IF($B569="",0,IF(COUNTIFS('①在庫を貼る'!$V$6:$V$10005,'設定'!$C$4,'①在庫を貼る'!$W$6:$W$10005,$B569)+COUNTIFS('月1回_1ヶ月前の在庫'!$V$6:$V$10005,'設定'!$C$4,'月1回_1ヶ月前の在庫'!$W$6:$W$10005,$B569)+COUNTIFS('月1回_2ヶ月前の在庫'!$V$6:$V$10005,'設定'!$C$4,'月1回_2ヶ月前の在庫'!$W$6:$W$10005,$B569)&gt;0,1,0))</f>
        <v/>
      </c>
      <c r="M569" s="54">
        <f>N(M568)+$L569</f>
        <v/>
      </c>
      <c r="N569" s="54">
        <f>IF($B569="",0,COUNTIFS('①在庫を貼る'!$V$6:$V$10005,'設定'!$C$4,'①在庫を貼る'!$W$6:$W$10005,$B569))</f>
        <v/>
      </c>
    </row>
    <row r="570" ht="18" customHeight="1">
      <c r="B570" s="76" t="n"/>
      <c r="C570" s="77" t="n"/>
      <c r="D570" s="77" t="n"/>
      <c r="E570" s="77" t="n"/>
      <c r="F570" s="78" t="n"/>
      <c r="G570" s="79" t="n"/>
      <c r="H570" s="69" t="n"/>
      <c r="I570" s="44">
        <f>IF(OR($B570="",$H570=""),"",$H570*MAX(1,N($F570)))</f>
        <v/>
      </c>
      <c r="J570" s="80" t="n"/>
      <c r="K570" s="77" t="n"/>
      <c r="L570" s="54">
        <f>IF($B570="",0,IF(COUNTIFS('①在庫を貼る'!$V$6:$V$10005,'設定'!$C$4,'①在庫を貼る'!$W$6:$W$10005,$B570)+COUNTIFS('月1回_1ヶ月前の在庫'!$V$6:$V$10005,'設定'!$C$4,'月1回_1ヶ月前の在庫'!$W$6:$W$10005,$B570)+COUNTIFS('月1回_2ヶ月前の在庫'!$V$6:$V$10005,'設定'!$C$4,'月1回_2ヶ月前の在庫'!$W$6:$W$10005,$B570)&gt;0,1,0))</f>
        <v/>
      </c>
      <c r="M570" s="54">
        <f>N(M569)+$L570</f>
        <v/>
      </c>
      <c r="N570" s="54">
        <f>IF($B570="",0,COUNTIFS('①在庫を貼る'!$V$6:$V$10005,'設定'!$C$4,'①在庫を貼る'!$W$6:$W$10005,$B570))</f>
        <v/>
      </c>
    </row>
    <row r="571" ht="18" customHeight="1">
      <c r="B571" s="76" t="n"/>
      <c r="C571" s="77" t="n"/>
      <c r="D571" s="77" t="n"/>
      <c r="E571" s="77" t="n"/>
      <c r="F571" s="78" t="n"/>
      <c r="G571" s="79" t="n"/>
      <c r="H571" s="69" t="n"/>
      <c r="I571" s="44">
        <f>IF(OR($B571="",$H571=""),"",$H571*MAX(1,N($F571)))</f>
        <v/>
      </c>
      <c r="J571" s="80" t="n"/>
      <c r="K571" s="77" t="n"/>
      <c r="L571" s="54">
        <f>IF($B571="",0,IF(COUNTIFS('①在庫を貼る'!$V$6:$V$10005,'設定'!$C$4,'①在庫を貼る'!$W$6:$W$10005,$B571)+COUNTIFS('月1回_1ヶ月前の在庫'!$V$6:$V$10005,'設定'!$C$4,'月1回_1ヶ月前の在庫'!$W$6:$W$10005,$B571)+COUNTIFS('月1回_2ヶ月前の在庫'!$V$6:$V$10005,'設定'!$C$4,'月1回_2ヶ月前の在庫'!$W$6:$W$10005,$B571)&gt;0,1,0))</f>
        <v/>
      </c>
      <c r="M571" s="54">
        <f>N(M570)+$L571</f>
        <v/>
      </c>
      <c r="N571" s="54">
        <f>IF($B571="",0,COUNTIFS('①在庫を貼る'!$V$6:$V$10005,'設定'!$C$4,'①在庫を貼る'!$W$6:$W$10005,$B571))</f>
        <v/>
      </c>
    </row>
    <row r="572" ht="18" customHeight="1">
      <c r="B572" s="76" t="n"/>
      <c r="C572" s="77" t="n"/>
      <c r="D572" s="77" t="n"/>
      <c r="E572" s="77" t="n"/>
      <c r="F572" s="78" t="n"/>
      <c r="G572" s="79" t="n"/>
      <c r="H572" s="69" t="n"/>
      <c r="I572" s="44">
        <f>IF(OR($B572="",$H572=""),"",$H572*MAX(1,N($F572)))</f>
        <v/>
      </c>
      <c r="J572" s="80" t="n"/>
      <c r="K572" s="77" t="n"/>
      <c r="L572" s="54">
        <f>IF($B572="",0,IF(COUNTIFS('①在庫を貼る'!$V$6:$V$10005,'設定'!$C$4,'①在庫を貼る'!$W$6:$W$10005,$B572)+COUNTIFS('月1回_1ヶ月前の在庫'!$V$6:$V$10005,'設定'!$C$4,'月1回_1ヶ月前の在庫'!$W$6:$W$10005,$B572)+COUNTIFS('月1回_2ヶ月前の在庫'!$V$6:$V$10005,'設定'!$C$4,'月1回_2ヶ月前の在庫'!$W$6:$W$10005,$B572)&gt;0,1,0))</f>
        <v/>
      </c>
      <c r="M572" s="54">
        <f>N(M571)+$L572</f>
        <v/>
      </c>
      <c r="N572" s="54">
        <f>IF($B572="",0,COUNTIFS('①在庫を貼る'!$V$6:$V$10005,'設定'!$C$4,'①在庫を貼る'!$W$6:$W$10005,$B572))</f>
        <v/>
      </c>
    </row>
    <row r="573" ht="18" customHeight="1">
      <c r="B573" s="76" t="n"/>
      <c r="C573" s="77" t="n"/>
      <c r="D573" s="77" t="n"/>
      <c r="E573" s="77" t="n"/>
      <c r="F573" s="78" t="n"/>
      <c r="G573" s="79" t="n"/>
      <c r="H573" s="69" t="n"/>
      <c r="I573" s="44">
        <f>IF(OR($B573="",$H573=""),"",$H573*MAX(1,N($F573)))</f>
        <v/>
      </c>
      <c r="J573" s="80" t="n"/>
      <c r="K573" s="77" t="n"/>
      <c r="L573" s="54">
        <f>IF($B573="",0,IF(COUNTIFS('①在庫を貼る'!$V$6:$V$10005,'設定'!$C$4,'①在庫を貼る'!$W$6:$W$10005,$B573)+COUNTIFS('月1回_1ヶ月前の在庫'!$V$6:$V$10005,'設定'!$C$4,'月1回_1ヶ月前の在庫'!$W$6:$W$10005,$B573)+COUNTIFS('月1回_2ヶ月前の在庫'!$V$6:$V$10005,'設定'!$C$4,'月1回_2ヶ月前の在庫'!$W$6:$W$10005,$B573)&gt;0,1,0))</f>
        <v/>
      </c>
      <c r="M573" s="54">
        <f>N(M572)+$L573</f>
        <v/>
      </c>
      <c r="N573" s="54">
        <f>IF($B573="",0,COUNTIFS('①在庫を貼る'!$V$6:$V$10005,'設定'!$C$4,'①在庫を貼る'!$W$6:$W$10005,$B573))</f>
        <v/>
      </c>
    </row>
    <row r="574" ht="18" customHeight="1">
      <c r="B574" s="76" t="n"/>
      <c r="C574" s="77" t="n"/>
      <c r="D574" s="77" t="n"/>
      <c r="E574" s="77" t="n"/>
      <c r="F574" s="78" t="n"/>
      <c r="G574" s="79" t="n"/>
      <c r="H574" s="69" t="n"/>
      <c r="I574" s="44">
        <f>IF(OR($B574="",$H574=""),"",$H574*MAX(1,N($F574)))</f>
        <v/>
      </c>
      <c r="J574" s="80" t="n"/>
      <c r="K574" s="77" t="n"/>
      <c r="L574" s="54">
        <f>IF($B574="",0,IF(COUNTIFS('①在庫を貼る'!$V$6:$V$10005,'設定'!$C$4,'①在庫を貼る'!$W$6:$W$10005,$B574)+COUNTIFS('月1回_1ヶ月前の在庫'!$V$6:$V$10005,'設定'!$C$4,'月1回_1ヶ月前の在庫'!$W$6:$W$10005,$B574)+COUNTIFS('月1回_2ヶ月前の在庫'!$V$6:$V$10005,'設定'!$C$4,'月1回_2ヶ月前の在庫'!$W$6:$W$10005,$B574)&gt;0,1,0))</f>
        <v/>
      </c>
      <c r="M574" s="54">
        <f>N(M573)+$L574</f>
        <v/>
      </c>
      <c r="N574" s="54">
        <f>IF($B574="",0,COUNTIFS('①在庫を貼る'!$V$6:$V$10005,'設定'!$C$4,'①在庫を貼る'!$W$6:$W$10005,$B574))</f>
        <v/>
      </c>
    </row>
    <row r="575" ht="18" customHeight="1">
      <c r="B575" s="76" t="n"/>
      <c r="C575" s="77" t="n"/>
      <c r="D575" s="77" t="n"/>
      <c r="E575" s="77" t="n"/>
      <c r="F575" s="78" t="n"/>
      <c r="G575" s="79" t="n"/>
      <c r="H575" s="69" t="n"/>
      <c r="I575" s="44">
        <f>IF(OR($B575="",$H575=""),"",$H575*MAX(1,N($F575)))</f>
        <v/>
      </c>
      <c r="J575" s="80" t="n"/>
      <c r="K575" s="77" t="n"/>
      <c r="L575" s="54">
        <f>IF($B575="",0,IF(COUNTIFS('①在庫を貼る'!$V$6:$V$10005,'設定'!$C$4,'①在庫を貼る'!$W$6:$W$10005,$B575)+COUNTIFS('月1回_1ヶ月前の在庫'!$V$6:$V$10005,'設定'!$C$4,'月1回_1ヶ月前の在庫'!$W$6:$W$10005,$B575)+COUNTIFS('月1回_2ヶ月前の在庫'!$V$6:$V$10005,'設定'!$C$4,'月1回_2ヶ月前の在庫'!$W$6:$W$10005,$B575)&gt;0,1,0))</f>
        <v/>
      </c>
      <c r="M575" s="54">
        <f>N(M574)+$L575</f>
        <v/>
      </c>
      <c r="N575" s="54">
        <f>IF($B575="",0,COUNTIFS('①在庫を貼る'!$V$6:$V$10005,'設定'!$C$4,'①在庫を貼る'!$W$6:$W$10005,$B575))</f>
        <v/>
      </c>
    </row>
    <row r="576" ht="18" customHeight="1">
      <c r="B576" s="76" t="n"/>
      <c r="C576" s="77" t="n"/>
      <c r="D576" s="77" t="n"/>
      <c r="E576" s="77" t="n"/>
      <c r="F576" s="78" t="n"/>
      <c r="G576" s="79" t="n"/>
      <c r="H576" s="69" t="n"/>
      <c r="I576" s="44">
        <f>IF(OR($B576="",$H576=""),"",$H576*MAX(1,N($F576)))</f>
        <v/>
      </c>
      <c r="J576" s="80" t="n"/>
      <c r="K576" s="77" t="n"/>
      <c r="L576" s="54">
        <f>IF($B576="",0,IF(COUNTIFS('①在庫を貼る'!$V$6:$V$10005,'設定'!$C$4,'①在庫を貼る'!$W$6:$W$10005,$B576)+COUNTIFS('月1回_1ヶ月前の在庫'!$V$6:$V$10005,'設定'!$C$4,'月1回_1ヶ月前の在庫'!$W$6:$W$10005,$B576)+COUNTIFS('月1回_2ヶ月前の在庫'!$V$6:$V$10005,'設定'!$C$4,'月1回_2ヶ月前の在庫'!$W$6:$W$10005,$B576)&gt;0,1,0))</f>
        <v/>
      </c>
      <c r="M576" s="54">
        <f>N(M575)+$L576</f>
        <v/>
      </c>
      <c r="N576" s="54">
        <f>IF($B576="",0,COUNTIFS('①在庫を貼る'!$V$6:$V$10005,'設定'!$C$4,'①在庫を貼る'!$W$6:$W$10005,$B576))</f>
        <v/>
      </c>
    </row>
    <row r="577" ht="18" customHeight="1">
      <c r="B577" s="76" t="n"/>
      <c r="C577" s="77" t="n"/>
      <c r="D577" s="77" t="n"/>
      <c r="E577" s="77" t="n"/>
      <c r="F577" s="78" t="n"/>
      <c r="G577" s="79" t="n"/>
      <c r="H577" s="69" t="n"/>
      <c r="I577" s="44">
        <f>IF(OR($B577="",$H577=""),"",$H577*MAX(1,N($F577)))</f>
        <v/>
      </c>
      <c r="J577" s="80" t="n"/>
      <c r="K577" s="77" t="n"/>
      <c r="L577" s="54">
        <f>IF($B577="",0,IF(COUNTIFS('①在庫を貼る'!$V$6:$V$10005,'設定'!$C$4,'①在庫を貼る'!$W$6:$W$10005,$B577)+COUNTIFS('月1回_1ヶ月前の在庫'!$V$6:$V$10005,'設定'!$C$4,'月1回_1ヶ月前の在庫'!$W$6:$W$10005,$B577)+COUNTIFS('月1回_2ヶ月前の在庫'!$V$6:$V$10005,'設定'!$C$4,'月1回_2ヶ月前の在庫'!$W$6:$W$10005,$B577)&gt;0,1,0))</f>
        <v/>
      </c>
      <c r="M577" s="54">
        <f>N(M576)+$L577</f>
        <v/>
      </c>
      <c r="N577" s="54">
        <f>IF($B577="",0,COUNTIFS('①在庫を貼る'!$V$6:$V$10005,'設定'!$C$4,'①在庫を貼る'!$W$6:$W$10005,$B577))</f>
        <v/>
      </c>
    </row>
    <row r="578" ht="18" customHeight="1">
      <c r="B578" s="76" t="n"/>
      <c r="C578" s="77" t="n"/>
      <c r="D578" s="77" t="n"/>
      <c r="E578" s="77" t="n"/>
      <c r="F578" s="78" t="n"/>
      <c r="G578" s="79" t="n"/>
      <c r="H578" s="69" t="n"/>
      <c r="I578" s="44">
        <f>IF(OR($B578="",$H578=""),"",$H578*MAX(1,N($F578)))</f>
        <v/>
      </c>
      <c r="J578" s="80" t="n"/>
      <c r="K578" s="77" t="n"/>
      <c r="L578" s="54">
        <f>IF($B578="",0,IF(COUNTIFS('①在庫を貼る'!$V$6:$V$10005,'設定'!$C$4,'①在庫を貼る'!$W$6:$W$10005,$B578)+COUNTIFS('月1回_1ヶ月前の在庫'!$V$6:$V$10005,'設定'!$C$4,'月1回_1ヶ月前の在庫'!$W$6:$W$10005,$B578)+COUNTIFS('月1回_2ヶ月前の在庫'!$V$6:$V$10005,'設定'!$C$4,'月1回_2ヶ月前の在庫'!$W$6:$W$10005,$B578)&gt;0,1,0))</f>
        <v/>
      </c>
      <c r="M578" s="54">
        <f>N(M577)+$L578</f>
        <v/>
      </c>
      <c r="N578" s="54">
        <f>IF($B578="",0,COUNTIFS('①在庫を貼る'!$V$6:$V$10005,'設定'!$C$4,'①在庫を貼る'!$W$6:$W$10005,$B578))</f>
        <v/>
      </c>
    </row>
    <row r="579" ht="18" customHeight="1">
      <c r="B579" s="76" t="n"/>
      <c r="C579" s="77" t="n"/>
      <c r="D579" s="77" t="n"/>
      <c r="E579" s="77" t="n"/>
      <c r="F579" s="78" t="n"/>
      <c r="G579" s="79" t="n"/>
      <c r="H579" s="69" t="n"/>
      <c r="I579" s="44">
        <f>IF(OR($B579="",$H579=""),"",$H579*MAX(1,N($F579)))</f>
        <v/>
      </c>
      <c r="J579" s="80" t="n"/>
      <c r="K579" s="77" t="n"/>
      <c r="L579" s="54">
        <f>IF($B579="",0,IF(COUNTIFS('①在庫を貼る'!$V$6:$V$10005,'設定'!$C$4,'①在庫を貼る'!$W$6:$W$10005,$B579)+COUNTIFS('月1回_1ヶ月前の在庫'!$V$6:$V$10005,'設定'!$C$4,'月1回_1ヶ月前の在庫'!$W$6:$W$10005,$B579)+COUNTIFS('月1回_2ヶ月前の在庫'!$V$6:$V$10005,'設定'!$C$4,'月1回_2ヶ月前の在庫'!$W$6:$W$10005,$B579)&gt;0,1,0))</f>
        <v/>
      </c>
      <c r="M579" s="54">
        <f>N(M578)+$L579</f>
        <v/>
      </c>
      <c r="N579" s="54">
        <f>IF($B579="",0,COUNTIFS('①在庫を貼る'!$V$6:$V$10005,'設定'!$C$4,'①在庫を貼る'!$W$6:$W$10005,$B579))</f>
        <v/>
      </c>
    </row>
    <row r="580" ht="18" customHeight="1">
      <c r="B580" s="76" t="n"/>
      <c r="C580" s="77" t="n"/>
      <c r="D580" s="77" t="n"/>
      <c r="E580" s="77" t="n"/>
      <c r="F580" s="78" t="n"/>
      <c r="G580" s="79" t="n"/>
      <c r="H580" s="69" t="n"/>
      <c r="I580" s="44">
        <f>IF(OR($B580="",$H580=""),"",$H580*MAX(1,N($F580)))</f>
        <v/>
      </c>
      <c r="J580" s="80" t="n"/>
      <c r="K580" s="77" t="n"/>
      <c r="L580" s="54">
        <f>IF($B580="",0,IF(COUNTIFS('①在庫を貼る'!$V$6:$V$10005,'設定'!$C$4,'①在庫を貼る'!$W$6:$W$10005,$B580)+COUNTIFS('月1回_1ヶ月前の在庫'!$V$6:$V$10005,'設定'!$C$4,'月1回_1ヶ月前の在庫'!$W$6:$W$10005,$B580)+COUNTIFS('月1回_2ヶ月前の在庫'!$V$6:$V$10005,'設定'!$C$4,'月1回_2ヶ月前の在庫'!$W$6:$W$10005,$B580)&gt;0,1,0))</f>
        <v/>
      </c>
      <c r="M580" s="54">
        <f>N(M579)+$L580</f>
        <v/>
      </c>
      <c r="N580" s="54">
        <f>IF($B580="",0,COUNTIFS('①在庫を貼る'!$V$6:$V$10005,'設定'!$C$4,'①在庫を貼る'!$W$6:$W$10005,$B580))</f>
        <v/>
      </c>
    </row>
    <row r="581" ht="18" customHeight="1">
      <c r="B581" s="76" t="n"/>
      <c r="C581" s="77" t="n"/>
      <c r="D581" s="77" t="n"/>
      <c r="E581" s="77" t="n"/>
      <c r="F581" s="78" t="n"/>
      <c r="G581" s="79" t="n"/>
      <c r="H581" s="69" t="n"/>
      <c r="I581" s="44">
        <f>IF(OR($B581="",$H581=""),"",$H581*MAX(1,N($F581)))</f>
        <v/>
      </c>
      <c r="J581" s="80" t="n"/>
      <c r="K581" s="77" t="n"/>
      <c r="L581" s="54">
        <f>IF($B581="",0,IF(COUNTIFS('①在庫を貼る'!$V$6:$V$10005,'設定'!$C$4,'①在庫を貼る'!$W$6:$W$10005,$B581)+COUNTIFS('月1回_1ヶ月前の在庫'!$V$6:$V$10005,'設定'!$C$4,'月1回_1ヶ月前の在庫'!$W$6:$W$10005,$B581)+COUNTIFS('月1回_2ヶ月前の在庫'!$V$6:$V$10005,'設定'!$C$4,'月1回_2ヶ月前の在庫'!$W$6:$W$10005,$B581)&gt;0,1,0))</f>
        <v/>
      </c>
      <c r="M581" s="54">
        <f>N(M580)+$L581</f>
        <v/>
      </c>
      <c r="N581" s="54">
        <f>IF($B581="",0,COUNTIFS('①在庫を貼る'!$V$6:$V$10005,'設定'!$C$4,'①在庫を貼る'!$W$6:$W$10005,$B581))</f>
        <v/>
      </c>
    </row>
    <row r="582" ht="18" customHeight="1">
      <c r="B582" s="76" t="n"/>
      <c r="C582" s="77" t="n"/>
      <c r="D582" s="77" t="n"/>
      <c r="E582" s="77" t="n"/>
      <c r="F582" s="78" t="n"/>
      <c r="G582" s="79" t="n"/>
      <c r="H582" s="69" t="n"/>
      <c r="I582" s="44">
        <f>IF(OR($B582="",$H582=""),"",$H582*MAX(1,N($F582)))</f>
        <v/>
      </c>
      <c r="J582" s="80" t="n"/>
      <c r="K582" s="77" t="n"/>
      <c r="L582" s="54">
        <f>IF($B582="",0,IF(COUNTIFS('①在庫を貼る'!$V$6:$V$10005,'設定'!$C$4,'①在庫を貼る'!$W$6:$W$10005,$B582)+COUNTIFS('月1回_1ヶ月前の在庫'!$V$6:$V$10005,'設定'!$C$4,'月1回_1ヶ月前の在庫'!$W$6:$W$10005,$B582)+COUNTIFS('月1回_2ヶ月前の在庫'!$V$6:$V$10005,'設定'!$C$4,'月1回_2ヶ月前の在庫'!$W$6:$W$10005,$B582)&gt;0,1,0))</f>
        <v/>
      </c>
      <c r="M582" s="54">
        <f>N(M581)+$L582</f>
        <v/>
      </c>
      <c r="N582" s="54">
        <f>IF($B582="",0,COUNTIFS('①在庫を貼る'!$V$6:$V$10005,'設定'!$C$4,'①在庫を貼る'!$W$6:$W$10005,$B582))</f>
        <v/>
      </c>
    </row>
    <row r="583" ht="18" customHeight="1">
      <c r="B583" s="76" t="n"/>
      <c r="C583" s="77" t="n"/>
      <c r="D583" s="77" t="n"/>
      <c r="E583" s="77" t="n"/>
      <c r="F583" s="78" t="n"/>
      <c r="G583" s="79" t="n"/>
      <c r="H583" s="69" t="n"/>
      <c r="I583" s="44">
        <f>IF(OR($B583="",$H583=""),"",$H583*MAX(1,N($F583)))</f>
        <v/>
      </c>
      <c r="J583" s="80" t="n"/>
      <c r="K583" s="77" t="n"/>
      <c r="L583" s="54">
        <f>IF($B583="",0,IF(COUNTIFS('①在庫を貼る'!$V$6:$V$10005,'設定'!$C$4,'①在庫を貼る'!$W$6:$W$10005,$B583)+COUNTIFS('月1回_1ヶ月前の在庫'!$V$6:$V$10005,'設定'!$C$4,'月1回_1ヶ月前の在庫'!$W$6:$W$10005,$B583)+COUNTIFS('月1回_2ヶ月前の在庫'!$V$6:$V$10005,'設定'!$C$4,'月1回_2ヶ月前の在庫'!$W$6:$W$10005,$B583)&gt;0,1,0))</f>
        <v/>
      </c>
      <c r="M583" s="54">
        <f>N(M582)+$L583</f>
        <v/>
      </c>
      <c r="N583" s="54">
        <f>IF($B583="",0,COUNTIFS('①在庫を貼る'!$V$6:$V$10005,'設定'!$C$4,'①在庫を貼る'!$W$6:$W$10005,$B583))</f>
        <v/>
      </c>
    </row>
    <row r="584" ht="18" customHeight="1">
      <c r="B584" s="76" t="n"/>
      <c r="C584" s="77" t="n"/>
      <c r="D584" s="77" t="n"/>
      <c r="E584" s="77" t="n"/>
      <c r="F584" s="78" t="n"/>
      <c r="G584" s="79" t="n"/>
      <c r="H584" s="69" t="n"/>
      <c r="I584" s="44">
        <f>IF(OR($B584="",$H584=""),"",$H584*MAX(1,N($F584)))</f>
        <v/>
      </c>
      <c r="J584" s="80" t="n"/>
      <c r="K584" s="77" t="n"/>
      <c r="L584" s="54">
        <f>IF($B584="",0,IF(COUNTIFS('①在庫を貼る'!$V$6:$V$10005,'設定'!$C$4,'①在庫を貼る'!$W$6:$W$10005,$B584)+COUNTIFS('月1回_1ヶ月前の在庫'!$V$6:$V$10005,'設定'!$C$4,'月1回_1ヶ月前の在庫'!$W$6:$W$10005,$B584)+COUNTIFS('月1回_2ヶ月前の在庫'!$V$6:$V$10005,'設定'!$C$4,'月1回_2ヶ月前の在庫'!$W$6:$W$10005,$B584)&gt;0,1,0))</f>
        <v/>
      </c>
      <c r="M584" s="54">
        <f>N(M583)+$L584</f>
        <v/>
      </c>
      <c r="N584" s="54">
        <f>IF($B584="",0,COUNTIFS('①在庫を貼る'!$V$6:$V$10005,'設定'!$C$4,'①在庫を貼る'!$W$6:$W$10005,$B584))</f>
        <v/>
      </c>
    </row>
    <row r="585" ht="18" customHeight="1">
      <c r="B585" s="76" t="n"/>
      <c r="C585" s="77" t="n"/>
      <c r="D585" s="77" t="n"/>
      <c r="E585" s="77" t="n"/>
      <c r="F585" s="78" t="n"/>
      <c r="G585" s="79" t="n"/>
      <c r="H585" s="69" t="n"/>
      <c r="I585" s="44">
        <f>IF(OR($B585="",$H585=""),"",$H585*MAX(1,N($F585)))</f>
        <v/>
      </c>
      <c r="J585" s="80" t="n"/>
      <c r="K585" s="77" t="n"/>
      <c r="L585" s="54">
        <f>IF($B585="",0,IF(COUNTIFS('①在庫を貼る'!$V$6:$V$10005,'設定'!$C$4,'①在庫を貼る'!$W$6:$W$10005,$B585)+COUNTIFS('月1回_1ヶ月前の在庫'!$V$6:$V$10005,'設定'!$C$4,'月1回_1ヶ月前の在庫'!$W$6:$W$10005,$B585)+COUNTIFS('月1回_2ヶ月前の在庫'!$V$6:$V$10005,'設定'!$C$4,'月1回_2ヶ月前の在庫'!$W$6:$W$10005,$B585)&gt;0,1,0))</f>
        <v/>
      </c>
      <c r="M585" s="54">
        <f>N(M584)+$L585</f>
        <v/>
      </c>
      <c r="N585" s="54">
        <f>IF($B585="",0,COUNTIFS('①在庫を貼る'!$V$6:$V$10005,'設定'!$C$4,'①在庫を貼る'!$W$6:$W$10005,$B585))</f>
        <v/>
      </c>
    </row>
    <row r="586" ht="18" customHeight="1">
      <c r="B586" s="76" t="n"/>
      <c r="C586" s="77" t="n"/>
      <c r="D586" s="77" t="n"/>
      <c r="E586" s="77" t="n"/>
      <c r="F586" s="78" t="n"/>
      <c r="G586" s="79" t="n"/>
      <c r="H586" s="69" t="n"/>
      <c r="I586" s="44">
        <f>IF(OR($B586="",$H586=""),"",$H586*MAX(1,N($F586)))</f>
        <v/>
      </c>
      <c r="J586" s="80" t="n"/>
      <c r="K586" s="77" t="n"/>
      <c r="L586" s="54">
        <f>IF($B586="",0,IF(COUNTIFS('①在庫を貼る'!$V$6:$V$10005,'設定'!$C$4,'①在庫を貼る'!$W$6:$W$10005,$B586)+COUNTIFS('月1回_1ヶ月前の在庫'!$V$6:$V$10005,'設定'!$C$4,'月1回_1ヶ月前の在庫'!$W$6:$W$10005,$B586)+COUNTIFS('月1回_2ヶ月前の在庫'!$V$6:$V$10005,'設定'!$C$4,'月1回_2ヶ月前の在庫'!$W$6:$W$10005,$B586)&gt;0,1,0))</f>
        <v/>
      </c>
      <c r="M586" s="54">
        <f>N(M585)+$L586</f>
        <v/>
      </c>
      <c r="N586" s="54">
        <f>IF($B586="",0,COUNTIFS('①在庫を貼る'!$V$6:$V$10005,'設定'!$C$4,'①在庫を貼る'!$W$6:$W$10005,$B586))</f>
        <v/>
      </c>
    </row>
    <row r="587" ht="18" customHeight="1">
      <c r="B587" s="76" t="n"/>
      <c r="C587" s="77" t="n"/>
      <c r="D587" s="77" t="n"/>
      <c r="E587" s="77" t="n"/>
      <c r="F587" s="78" t="n"/>
      <c r="G587" s="79" t="n"/>
      <c r="H587" s="69" t="n"/>
      <c r="I587" s="44">
        <f>IF(OR($B587="",$H587=""),"",$H587*MAX(1,N($F587)))</f>
        <v/>
      </c>
      <c r="J587" s="80" t="n"/>
      <c r="K587" s="77" t="n"/>
      <c r="L587" s="54">
        <f>IF($B587="",0,IF(COUNTIFS('①在庫を貼る'!$V$6:$V$10005,'設定'!$C$4,'①在庫を貼る'!$W$6:$W$10005,$B587)+COUNTIFS('月1回_1ヶ月前の在庫'!$V$6:$V$10005,'設定'!$C$4,'月1回_1ヶ月前の在庫'!$W$6:$W$10005,$B587)+COUNTIFS('月1回_2ヶ月前の在庫'!$V$6:$V$10005,'設定'!$C$4,'月1回_2ヶ月前の在庫'!$W$6:$W$10005,$B587)&gt;0,1,0))</f>
        <v/>
      </c>
      <c r="M587" s="54">
        <f>N(M586)+$L587</f>
        <v/>
      </c>
      <c r="N587" s="54">
        <f>IF($B587="",0,COUNTIFS('①在庫を貼る'!$V$6:$V$10005,'設定'!$C$4,'①在庫を貼る'!$W$6:$W$10005,$B587))</f>
        <v/>
      </c>
    </row>
    <row r="588" ht="18" customHeight="1">
      <c r="B588" s="76" t="n"/>
      <c r="C588" s="77" t="n"/>
      <c r="D588" s="77" t="n"/>
      <c r="E588" s="77" t="n"/>
      <c r="F588" s="78" t="n"/>
      <c r="G588" s="79" t="n"/>
      <c r="H588" s="69" t="n"/>
      <c r="I588" s="44">
        <f>IF(OR($B588="",$H588=""),"",$H588*MAX(1,N($F588)))</f>
        <v/>
      </c>
      <c r="J588" s="80" t="n"/>
      <c r="K588" s="77" t="n"/>
      <c r="L588" s="54">
        <f>IF($B588="",0,IF(COUNTIFS('①在庫を貼る'!$V$6:$V$10005,'設定'!$C$4,'①在庫を貼る'!$W$6:$W$10005,$B588)+COUNTIFS('月1回_1ヶ月前の在庫'!$V$6:$V$10005,'設定'!$C$4,'月1回_1ヶ月前の在庫'!$W$6:$W$10005,$B588)+COUNTIFS('月1回_2ヶ月前の在庫'!$V$6:$V$10005,'設定'!$C$4,'月1回_2ヶ月前の在庫'!$W$6:$W$10005,$B588)&gt;0,1,0))</f>
        <v/>
      </c>
      <c r="M588" s="54">
        <f>N(M587)+$L588</f>
        <v/>
      </c>
      <c r="N588" s="54">
        <f>IF($B588="",0,COUNTIFS('①在庫を貼る'!$V$6:$V$10005,'設定'!$C$4,'①在庫を貼る'!$W$6:$W$10005,$B588))</f>
        <v/>
      </c>
    </row>
    <row r="589" ht="18" customHeight="1">
      <c r="B589" s="76" t="n"/>
      <c r="C589" s="77" t="n"/>
      <c r="D589" s="77" t="n"/>
      <c r="E589" s="77" t="n"/>
      <c r="F589" s="78" t="n"/>
      <c r="G589" s="79" t="n"/>
      <c r="H589" s="69" t="n"/>
      <c r="I589" s="44">
        <f>IF(OR($B589="",$H589=""),"",$H589*MAX(1,N($F589)))</f>
        <v/>
      </c>
      <c r="J589" s="80" t="n"/>
      <c r="K589" s="77" t="n"/>
      <c r="L589" s="54">
        <f>IF($B589="",0,IF(COUNTIFS('①在庫を貼る'!$V$6:$V$10005,'設定'!$C$4,'①在庫を貼る'!$W$6:$W$10005,$B589)+COUNTIFS('月1回_1ヶ月前の在庫'!$V$6:$V$10005,'設定'!$C$4,'月1回_1ヶ月前の在庫'!$W$6:$W$10005,$B589)+COUNTIFS('月1回_2ヶ月前の在庫'!$V$6:$V$10005,'設定'!$C$4,'月1回_2ヶ月前の在庫'!$W$6:$W$10005,$B589)&gt;0,1,0))</f>
        <v/>
      </c>
      <c r="M589" s="54">
        <f>N(M588)+$L589</f>
        <v/>
      </c>
      <c r="N589" s="54">
        <f>IF($B589="",0,COUNTIFS('①在庫を貼る'!$V$6:$V$10005,'設定'!$C$4,'①在庫を貼る'!$W$6:$W$10005,$B589))</f>
        <v/>
      </c>
    </row>
    <row r="590" ht="18" customHeight="1">
      <c r="B590" s="76" t="n"/>
      <c r="C590" s="77" t="n"/>
      <c r="D590" s="77" t="n"/>
      <c r="E590" s="77" t="n"/>
      <c r="F590" s="78" t="n"/>
      <c r="G590" s="79" t="n"/>
      <c r="H590" s="69" t="n"/>
      <c r="I590" s="44">
        <f>IF(OR($B590="",$H590=""),"",$H590*MAX(1,N($F590)))</f>
        <v/>
      </c>
      <c r="J590" s="80" t="n"/>
      <c r="K590" s="77" t="n"/>
      <c r="L590" s="54">
        <f>IF($B590="",0,IF(COUNTIFS('①在庫を貼る'!$V$6:$V$10005,'設定'!$C$4,'①在庫を貼る'!$W$6:$W$10005,$B590)+COUNTIFS('月1回_1ヶ月前の在庫'!$V$6:$V$10005,'設定'!$C$4,'月1回_1ヶ月前の在庫'!$W$6:$W$10005,$B590)+COUNTIFS('月1回_2ヶ月前の在庫'!$V$6:$V$10005,'設定'!$C$4,'月1回_2ヶ月前の在庫'!$W$6:$W$10005,$B590)&gt;0,1,0))</f>
        <v/>
      </c>
      <c r="M590" s="54">
        <f>N(M589)+$L590</f>
        <v/>
      </c>
      <c r="N590" s="54">
        <f>IF($B590="",0,COUNTIFS('①在庫を貼る'!$V$6:$V$10005,'設定'!$C$4,'①在庫を貼る'!$W$6:$W$10005,$B590))</f>
        <v/>
      </c>
    </row>
    <row r="591" ht="18" customHeight="1">
      <c r="B591" s="76" t="n"/>
      <c r="C591" s="77" t="n"/>
      <c r="D591" s="77" t="n"/>
      <c r="E591" s="77" t="n"/>
      <c r="F591" s="78" t="n"/>
      <c r="G591" s="79" t="n"/>
      <c r="H591" s="69" t="n"/>
      <c r="I591" s="44">
        <f>IF(OR($B591="",$H591=""),"",$H591*MAX(1,N($F591)))</f>
        <v/>
      </c>
      <c r="J591" s="80" t="n"/>
      <c r="K591" s="77" t="n"/>
      <c r="L591" s="54">
        <f>IF($B591="",0,IF(COUNTIFS('①在庫を貼る'!$V$6:$V$10005,'設定'!$C$4,'①在庫を貼る'!$W$6:$W$10005,$B591)+COUNTIFS('月1回_1ヶ月前の在庫'!$V$6:$V$10005,'設定'!$C$4,'月1回_1ヶ月前の在庫'!$W$6:$W$10005,$B591)+COUNTIFS('月1回_2ヶ月前の在庫'!$V$6:$V$10005,'設定'!$C$4,'月1回_2ヶ月前の在庫'!$W$6:$W$10005,$B591)&gt;0,1,0))</f>
        <v/>
      </c>
      <c r="M591" s="54">
        <f>N(M590)+$L591</f>
        <v/>
      </c>
      <c r="N591" s="54">
        <f>IF($B591="",0,COUNTIFS('①在庫を貼る'!$V$6:$V$10005,'設定'!$C$4,'①在庫を貼る'!$W$6:$W$10005,$B591))</f>
        <v/>
      </c>
    </row>
    <row r="592" ht="18" customHeight="1">
      <c r="B592" s="76" t="n"/>
      <c r="C592" s="77" t="n"/>
      <c r="D592" s="77" t="n"/>
      <c r="E592" s="77" t="n"/>
      <c r="F592" s="78" t="n"/>
      <c r="G592" s="79" t="n"/>
      <c r="H592" s="69" t="n"/>
      <c r="I592" s="44">
        <f>IF(OR($B592="",$H592=""),"",$H592*MAX(1,N($F592)))</f>
        <v/>
      </c>
      <c r="J592" s="80" t="n"/>
      <c r="K592" s="77" t="n"/>
      <c r="L592" s="54">
        <f>IF($B592="",0,IF(COUNTIFS('①在庫を貼る'!$V$6:$V$10005,'設定'!$C$4,'①在庫を貼る'!$W$6:$W$10005,$B592)+COUNTIFS('月1回_1ヶ月前の在庫'!$V$6:$V$10005,'設定'!$C$4,'月1回_1ヶ月前の在庫'!$W$6:$W$10005,$B592)+COUNTIFS('月1回_2ヶ月前の在庫'!$V$6:$V$10005,'設定'!$C$4,'月1回_2ヶ月前の在庫'!$W$6:$W$10005,$B592)&gt;0,1,0))</f>
        <v/>
      </c>
      <c r="M592" s="54">
        <f>N(M591)+$L592</f>
        <v/>
      </c>
      <c r="N592" s="54">
        <f>IF($B592="",0,COUNTIFS('①在庫を貼る'!$V$6:$V$10005,'設定'!$C$4,'①在庫を貼る'!$W$6:$W$10005,$B592))</f>
        <v/>
      </c>
    </row>
    <row r="593" ht="18" customHeight="1">
      <c r="B593" s="76" t="n"/>
      <c r="C593" s="77" t="n"/>
      <c r="D593" s="77" t="n"/>
      <c r="E593" s="77" t="n"/>
      <c r="F593" s="78" t="n"/>
      <c r="G593" s="79" t="n"/>
      <c r="H593" s="69" t="n"/>
      <c r="I593" s="44">
        <f>IF(OR($B593="",$H593=""),"",$H593*MAX(1,N($F593)))</f>
        <v/>
      </c>
      <c r="J593" s="80" t="n"/>
      <c r="K593" s="77" t="n"/>
      <c r="L593" s="54">
        <f>IF($B593="",0,IF(COUNTIFS('①在庫を貼る'!$V$6:$V$10005,'設定'!$C$4,'①在庫を貼る'!$W$6:$W$10005,$B593)+COUNTIFS('月1回_1ヶ月前の在庫'!$V$6:$V$10005,'設定'!$C$4,'月1回_1ヶ月前の在庫'!$W$6:$W$10005,$B593)+COUNTIFS('月1回_2ヶ月前の在庫'!$V$6:$V$10005,'設定'!$C$4,'月1回_2ヶ月前の在庫'!$W$6:$W$10005,$B593)&gt;0,1,0))</f>
        <v/>
      </c>
      <c r="M593" s="54">
        <f>N(M592)+$L593</f>
        <v/>
      </c>
      <c r="N593" s="54">
        <f>IF($B593="",0,COUNTIFS('①在庫を貼る'!$V$6:$V$10005,'設定'!$C$4,'①在庫を貼る'!$W$6:$W$10005,$B593))</f>
        <v/>
      </c>
    </row>
    <row r="594" ht="18" customHeight="1">
      <c r="B594" s="76" t="n"/>
      <c r="C594" s="77" t="n"/>
      <c r="D594" s="77" t="n"/>
      <c r="E594" s="77" t="n"/>
      <c r="F594" s="78" t="n"/>
      <c r="G594" s="79" t="n"/>
      <c r="H594" s="69" t="n"/>
      <c r="I594" s="44">
        <f>IF(OR($B594="",$H594=""),"",$H594*MAX(1,N($F594)))</f>
        <v/>
      </c>
      <c r="J594" s="80" t="n"/>
      <c r="K594" s="77" t="n"/>
      <c r="L594" s="54">
        <f>IF($B594="",0,IF(COUNTIFS('①在庫を貼る'!$V$6:$V$10005,'設定'!$C$4,'①在庫を貼る'!$W$6:$W$10005,$B594)+COUNTIFS('月1回_1ヶ月前の在庫'!$V$6:$V$10005,'設定'!$C$4,'月1回_1ヶ月前の在庫'!$W$6:$W$10005,$B594)+COUNTIFS('月1回_2ヶ月前の在庫'!$V$6:$V$10005,'設定'!$C$4,'月1回_2ヶ月前の在庫'!$W$6:$W$10005,$B594)&gt;0,1,0))</f>
        <v/>
      </c>
      <c r="M594" s="54">
        <f>N(M593)+$L594</f>
        <v/>
      </c>
      <c r="N594" s="54">
        <f>IF($B594="",0,COUNTIFS('①在庫を貼る'!$V$6:$V$10005,'設定'!$C$4,'①在庫を貼る'!$W$6:$W$10005,$B594))</f>
        <v/>
      </c>
    </row>
    <row r="595" ht="18" customHeight="1">
      <c r="B595" s="76" t="n"/>
      <c r="C595" s="77" t="n"/>
      <c r="D595" s="77" t="n"/>
      <c r="E595" s="77" t="n"/>
      <c r="F595" s="78" t="n"/>
      <c r="G595" s="79" t="n"/>
      <c r="H595" s="69" t="n"/>
      <c r="I595" s="44">
        <f>IF(OR($B595="",$H595=""),"",$H595*MAX(1,N($F595)))</f>
        <v/>
      </c>
      <c r="J595" s="80" t="n"/>
      <c r="K595" s="77" t="n"/>
      <c r="L595" s="54">
        <f>IF($B595="",0,IF(COUNTIFS('①在庫を貼る'!$V$6:$V$10005,'設定'!$C$4,'①在庫を貼る'!$W$6:$W$10005,$B595)+COUNTIFS('月1回_1ヶ月前の在庫'!$V$6:$V$10005,'設定'!$C$4,'月1回_1ヶ月前の在庫'!$W$6:$W$10005,$B595)+COUNTIFS('月1回_2ヶ月前の在庫'!$V$6:$V$10005,'設定'!$C$4,'月1回_2ヶ月前の在庫'!$W$6:$W$10005,$B595)&gt;0,1,0))</f>
        <v/>
      </c>
      <c r="M595" s="54">
        <f>N(M594)+$L595</f>
        <v/>
      </c>
      <c r="N595" s="54">
        <f>IF($B595="",0,COUNTIFS('①在庫を貼る'!$V$6:$V$10005,'設定'!$C$4,'①在庫を貼る'!$W$6:$W$10005,$B595))</f>
        <v/>
      </c>
    </row>
    <row r="596" ht="18" customHeight="1">
      <c r="B596" s="76" t="n"/>
      <c r="C596" s="77" t="n"/>
      <c r="D596" s="77" t="n"/>
      <c r="E596" s="77" t="n"/>
      <c r="F596" s="78" t="n"/>
      <c r="G596" s="79" t="n"/>
      <c r="H596" s="69" t="n"/>
      <c r="I596" s="44">
        <f>IF(OR($B596="",$H596=""),"",$H596*MAX(1,N($F596)))</f>
        <v/>
      </c>
      <c r="J596" s="80" t="n"/>
      <c r="K596" s="77" t="n"/>
      <c r="L596" s="54">
        <f>IF($B596="",0,IF(COUNTIFS('①在庫を貼る'!$V$6:$V$10005,'設定'!$C$4,'①在庫を貼る'!$W$6:$W$10005,$B596)+COUNTIFS('月1回_1ヶ月前の在庫'!$V$6:$V$10005,'設定'!$C$4,'月1回_1ヶ月前の在庫'!$W$6:$W$10005,$B596)+COUNTIFS('月1回_2ヶ月前の在庫'!$V$6:$V$10005,'設定'!$C$4,'月1回_2ヶ月前の在庫'!$W$6:$W$10005,$B596)&gt;0,1,0))</f>
        <v/>
      </c>
      <c r="M596" s="54">
        <f>N(M595)+$L596</f>
        <v/>
      </c>
      <c r="N596" s="54">
        <f>IF($B596="",0,COUNTIFS('①在庫を貼る'!$V$6:$V$10005,'設定'!$C$4,'①在庫を貼る'!$W$6:$W$10005,$B596))</f>
        <v/>
      </c>
    </row>
    <row r="597" ht="18" customHeight="1">
      <c r="B597" s="76" t="n"/>
      <c r="C597" s="77" t="n"/>
      <c r="D597" s="77" t="n"/>
      <c r="E597" s="77" t="n"/>
      <c r="F597" s="78" t="n"/>
      <c r="G597" s="79" t="n"/>
      <c r="H597" s="69" t="n"/>
      <c r="I597" s="44">
        <f>IF(OR($B597="",$H597=""),"",$H597*MAX(1,N($F597)))</f>
        <v/>
      </c>
      <c r="J597" s="80" t="n"/>
      <c r="K597" s="77" t="n"/>
      <c r="L597" s="54">
        <f>IF($B597="",0,IF(COUNTIFS('①在庫を貼る'!$V$6:$V$10005,'設定'!$C$4,'①在庫を貼る'!$W$6:$W$10005,$B597)+COUNTIFS('月1回_1ヶ月前の在庫'!$V$6:$V$10005,'設定'!$C$4,'月1回_1ヶ月前の在庫'!$W$6:$W$10005,$B597)+COUNTIFS('月1回_2ヶ月前の在庫'!$V$6:$V$10005,'設定'!$C$4,'月1回_2ヶ月前の在庫'!$W$6:$W$10005,$B597)&gt;0,1,0))</f>
        <v/>
      </c>
      <c r="M597" s="54">
        <f>N(M596)+$L597</f>
        <v/>
      </c>
      <c r="N597" s="54">
        <f>IF($B597="",0,COUNTIFS('①在庫を貼る'!$V$6:$V$10005,'設定'!$C$4,'①在庫を貼る'!$W$6:$W$10005,$B597))</f>
        <v/>
      </c>
    </row>
    <row r="598" ht="18" customHeight="1">
      <c r="B598" s="76" t="n"/>
      <c r="C598" s="77" t="n"/>
      <c r="D598" s="77" t="n"/>
      <c r="E598" s="77" t="n"/>
      <c r="F598" s="78" t="n"/>
      <c r="G598" s="79" t="n"/>
      <c r="H598" s="69" t="n"/>
      <c r="I598" s="44">
        <f>IF(OR($B598="",$H598=""),"",$H598*MAX(1,N($F598)))</f>
        <v/>
      </c>
      <c r="J598" s="80" t="n"/>
      <c r="K598" s="77" t="n"/>
      <c r="L598" s="54">
        <f>IF($B598="",0,IF(COUNTIFS('①在庫を貼る'!$V$6:$V$10005,'設定'!$C$4,'①在庫を貼る'!$W$6:$W$10005,$B598)+COUNTIFS('月1回_1ヶ月前の在庫'!$V$6:$V$10005,'設定'!$C$4,'月1回_1ヶ月前の在庫'!$W$6:$W$10005,$B598)+COUNTIFS('月1回_2ヶ月前の在庫'!$V$6:$V$10005,'設定'!$C$4,'月1回_2ヶ月前の在庫'!$W$6:$W$10005,$B598)&gt;0,1,0))</f>
        <v/>
      </c>
      <c r="M598" s="54">
        <f>N(M597)+$L598</f>
        <v/>
      </c>
      <c r="N598" s="54">
        <f>IF($B598="",0,COUNTIFS('①在庫を貼る'!$V$6:$V$10005,'設定'!$C$4,'①在庫を貼る'!$W$6:$W$10005,$B598))</f>
        <v/>
      </c>
    </row>
    <row r="599" ht="18" customHeight="1">
      <c r="B599" s="76" t="n"/>
      <c r="C599" s="77" t="n"/>
      <c r="D599" s="77" t="n"/>
      <c r="E599" s="77" t="n"/>
      <c r="F599" s="78" t="n"/>
      <c r="G599" s="79" t="n"/>
      <c r="H599" s="69" t="n"/>
      <c r="I599" s="44">
        <f>IF(OR($B599="",$H599=""),"",$H599*MAX(1,N($F599)))</f>
        <v/>
      </c>
      <c r="J599" s="80" t="n"/>
      <c r="K599" s="77" t="n"/>
      <c r="L599" s="54">
        <f>IF($B599="",0,IF(COUNTIFS('①在庫を貼る'!$V$6:$V$10005,'設定'!$C$4,'①在庫を貼る'!$W$6:$W$10005,$B599)+COUNTIFS('月1回_1ヶ月前の在庫'!$V$6:$V$10005,'設定'!$C$4,'月1回_1ヶ月前の在庫'!$W$6:$W$10005,$B599)+COUNTIFS('月1回_2ヶ月前の在庫'!$V$6:$V$10005,'設定'!$C$4,'月1回_2ヶ月前の在庫'!$W$6:$W$10005,$B599)&gt;0,1,0))</f>
        <v/>
      </c>
      <c r="M599" s="54">
        <f>N(M598)+$L599</f>
        <v/>
      </c>
      <c r="N599" s="54">
        <f>IF($B599="",0,COUNTIFS('①在庫を貼る'!$V$6:$V$10005,'設定'!$C$4,'①在庫を貼る'!$W$6:$W$10005,$B599))</f>
        <v/>
      </c>
    </row>
    <row r="600" ht="18" customHeight="1">
      <c r="B600" s="76" t="n"/>
      <c r="C600" s="77" t="n"/>
      <c r="D600" s="77" t="n"/>
      <c r="E600" s="77" t="n"/>
      <c r="F600" s="78" t="n"/>
      <c r="G600" s="79" t="n"/>
      <c r="H600" s="69" t="n"/>
      <c r="I600" s="44">
        <f>IF(OR($B600="",$H600=""),"",$H600*MAX(1,N($F600)))</f>
        <v/>
      </c>
      <c r="J600" s="80" t="n"/>
      <c r="K600" s="77" t="n"/>
      <c r="L600" s="54">
        <f>IF($B600="",0,IF(COUNTIFS('①在庫を貼る'!$V$6:$V$10005,'設定'!$C$4,'①在庫を貼る'!$W$6:$W$10005,$B600)+COUNTIFS('月1回_1ヶ月前の在庫'!$V$6:$V$10005,'設定'!$C$4,'月1回_1ヶ月前の在庫'!$W$6:$W$10005,$B600)+COUNTIFS('月1回_2ヶ月前の在庫'!$V$6:$V$10005,'設定'!$C$4,'月1回_2ヶ月前の在庫'!$W$6:$W$10005,$B600)&gt;0,1,0))</f>
        <v/>
      </c>
      <c r="M600" s="54">
        <f>N(M599)+$L600</f>
        <v/>
      </c>
      <c r="N600" s="54">
        <f>IF($B600="",0,COUNTIFS('①在庫を貼る'!$V$6:$V$10005,'設定'!$C$4,'①在庫を貼る'!$W$6:$W$10005,$B600))</f>
        <v/>
      </c>
    </row>
    <row r="601" ht="18" customHeight="1">
      <c r="B601" s="76" t="n"/>
      <c r="C601" s="77" t="n"/>
      <c r="D601" s="77" t="n"/>
      <c r="E601" s="77" t="n"/>
      <c r="F601" s="78" t="n"/>
      <c r="G601" s="79" t="n"/>
      <c r="H601" s="69" t="n"/>
      <c r="I601" s="44">
        <f>IF(OR($B601="",$H601=""),"",$H601*MAX(1,N($F601)))</f>
        <v/>
      </c>
      <c r="J601" s="80" t="n"/>
      <c r="K601" s="77" t="n"/>
      <c r="L601" s="54">
        <f>IF($B601="",0,IF(COUNTIFS('①在庫を貼る'!$V$6:$V$10005,'設定'!$C$4,'①在庫を貼る'!$W$6:$W$10005,$B601)+COUNTIFS('月1回_1ヶ月前の在庫'!$V$6:$V$10005,'設定'!$C$4,'月1回_1ヶ月前の在庫'!$W$6:$W$10005,$B601)+COUNTIFS('月1回_2ヶ月前の在庫'!$V$6:$V$10005,'設定'!$C$4,'月1回_2ヶ月前の在庫'!$W$6:$W$10005,$B601)&gt;0,1,0))</f>
        <v/>
      </c>
      <c r="M601" s="54">
        <f>N(M600)+$L601</f>
        <v/>
      </c>
      <c r="N601" s="54">
        <f>IF($B601="",0,COUNTIFS('①在庫を貼る'!$V$6:$V$10005,'設定'!$C$4,'①在庫を貼る'!$W$6:$W$10005,$B601))</f>
        <v/>
      </c>
    </row>
    <row r="602" ht="18" customHeight="1">
      <c r="B602" s="76" t="n"/>
      <c r="C602" s="77" t="n"/>
      <c r="D602" s="77" t="n"/>
      <c r="E602" s="77" t="n"/>
      <c r="F602" s="78" t="n"/>
      <c r="G602" s="79" t="n"/>
      <c r="H602" s="69" t="n"/>
      <c r="I602" s="44">
        <f>IF(OR($B602="",$H602=""),"",$H602*MAX(1,N($F602)))</f>
        <v/>
      </c>
      <c r="J602" s="80" t="n"/>
      <c r="K602" s="77" t="n"/>
      <c r="L602" s="54">
        <f>IF($B602="",0,IF(COUNTIFS('①在庫を貼る'!$V$6:$V$10005,'設定'!$C$4,'①在庫を貼る'!$W$6:$W$10005,$B602)+COUNTIFS('月1回_1ヶ月前の在庫'!$V$6:$V$10005,'設定'!$C$4,'月1回_1ヶ月前の在庫'!$W$6:$W$10005,$B602)+COUNTIFS('月1回_2ヶ月前の在庫'!$V$6:$V$10005,'設定'!$C$4,'月1回_2ヶ月前の在庫'!$W$6:$W$10005,$B602)&gt;0,1,0))</f>
        <v/>
      </c>
      <c r="M602" s="54">
        <f>N(M601)+$L602</f>
        <v/>
      </c>
      <c r="N602" s="54">
        <f>IF($B602="",0,COUNTIFS('①在庫を貼る'!$V$6:$V$10005,'設定'!$C$4,'①在庫を貼る'!$W$6:$W$10005,$B602))</f>
        <v/>
      </c>
    </row>
    <row r="603" ht="18" customHeight="1">
      <c r="B603" s="76" t="n"/>
      <c r="C603" s="77" t="n"/>
      <c r="D603" s="77" t="n"/>
      <c r="E603" s="77" t="n"/>
      <c r="F603" s="78" t="n"/>
      <c r="G603" s="79" t="n"/>
      <c r="H603" s="69" t="n"/>
      <c r="I603" s="44">
        <f>IF(OR($B603="",$H603=""),"",$H603*MAX(1,N($F603)))</f>
        <v/>
      </c>
      <c r="J603" s="80" t="n"/>
      <c r="K603" s="77" t="n"/>
      <c r="L603" s="54">
        <f>IF($B603="",0,IF(COUNTIFS('①在庫を貼る'!$V$6:$V$10005,'設定'!$C$4,'①在庫を貼る'!$W$6:$W$10005,$B603)+COUNTIFS('月1回_1ヶ月前の在庫'!$V$6:$V$10005,'設定'!$C$4,'月1回_1ヶ月前の在庫'!$W$6:$W$10005,$B603)+COUNTIFS('月1回_2ヶ月前の在庫'!$V$6:$V$10005,'設定'!$C$4,'月1回_2ヶ月前の在庫'!$W$6:$W$10005,$B603)&gt;0,1,0))</f>
        <v/>
      </c>
      <c r="M603" s="54">
        <f>N(M602)+$L603</f>
        <v/>
      </c>
      <c r="N603" s="54">
        <f>IF($B603="",0,COUNTIFS('①在庫を貼る'!$V$6:$V$10005,'設定'!$C$4,'①在庫を貼る'!$W$6:$W$10005,$B603))</f>
        <v/>
      </c>
    </row>
    <row r="604" ht="18" customHeight="1">
      <c r="B604" s="76" t="n"/>
      <c r="C604" s="77" t="n"/>
      <c r="D604" s="77" t="n"/>
      <c r="E604" s="77" t="n"/>
      <c r="F604" s="78" t="n"/>
      <c r="G604" s="79" t="n"/>
      <c r="H604" s="69" t="n"/>
      <c r="I604" s="44">
        <f>IF(OR($B604="",$H604=""),"",$H604*MAX(1,N($F604)))</f>
        <v/>
      </c>
      <c r="J604" s="80" t="n"/>
      <c r="K604" s="77" t="n"/>
      <c r="L604" s="54">
        <f>IF($B604="",0,IF(COUNTIFS('①在庫を貼る'!$V$6:$V$10005,'設定'!$C$4,'①在庫を貼る'!$W$6:$W$10005,$B604)+COUNTIFS('月1回_1ヶ月前の在庫'!$V$6:$V$10005,'設定'!$C$4,'月1回_1ヶ月前の在庫'!$W$6:$W$10005,$B604)+COUNTIFS('月1回_2ヶ月前の在庫'!$V$6:$V$10005,'設定'!$C$4,'月1回_2ヶ月前の在庫'!$W$6:$W$10005,$B604)&gt;0,1,0))</f>
        <v/>
      </c>
      <c r="M604" s="54">
        <f>N(M603)+$L604</f>
        <v/>
      </c>
      <c r="N604" s="54">
        <f>IF($B604="",0,COUNTIFS('①在庫を貼る'!$V$6:$V$10005,'設定'!$C$4,'①在庫を貼る'!$W$6:$W$10005,$B604))</f>
        <v/>
      </c>
    </row>
    <row r="605" ht="18" customHeight="1">
      <c r="B605" s="76" t="n"/>
      <c r="C605" s="77" t="n"/>
      <c r="D605" s="77" t="n"/>
      <c r="E605" s="77" t="n"/>
      <c r="F605" s="78" t="n"/>
      <c r="G605" s="79" t="n"/>
      <c r="H605" s="69" t="n"/>
      <c r="I605" s="44">
        <f>IF(OR($B605="",$H605=""),"",$H605*MAX(1,N($F605)))</f>
        <v/>
      </c>
      <c r="J605" s="80" t="n"/>
      <c r="K605" s="77" t="n"/>
      <c r="L605" s="54">
        <f>IF($B605="",0,IF(COUNTIFS('①在庫を貼る'!$V$6:$V$10005,'設定'!$C$4,'①在庫を貼る'!$W$6:$W$10005,$B605)+COUNTIFS('月1回_1ヶ月前の在庫'!$V$6:$V$10005,'設定'!$C$4,'月1回_1ヶ月前の在庫'!$W$6:$W$10005,$B605)+COUNTIFS('月1回_2ヶ月前の在庫'!$V$6:$V$10005,'設定'!$C$4,'月1回_2ヶ月前の在庫'!$W$6:$W$10005,$B605)&gt;0,1,0))</f>
        <v/>
      </c>
      <c r="M605" s="54">
        <f>N(M604)+$L605</f>
        <v/>
      </c>
      <c r="N605" s="54">
        <f>IF($B605="",0,COUNTIFS('①在庫を貼る'!$V$6:$V$10005,'設定'!$C$4,'①在庫を貼る'!$W$6:$W$10005,$B605))</f>
        <v/>
      </c>
    </row>
    <row r="606" ht="18" customHeight="1">
      <c r="B606" s="76" t="n"/>
      <c r="C606" s="77" t="n"/>
      <c r="D606" s="77" t="n"/>
      <c r="E606" s="77" t="n"/>
      <c r="F606" s="78" t="n"/>
      <c r="G606" s="79" t="n"/>
      <c r="H606" s="69" t="n"/>
      <c r="I606" s="44">
        <f>IF(OR($B606="",$H606=""),"",$H606*MAX(1,N($F606)))</f>
        <v/>
      </c>
      <c r="J606" s="80" t="n"/>
      <c r="K606" s="77" t="n"/>
      <c r="L606" s="54">
        <f>IF($B606="",0,IF(COUNTIFS('①在庫を貼る'!$V$6:$V$10005,'設定'!$C$4,'①在庫を貼る'!$W$6:$W$10005,$B606)+COUNTIFS('月1回_1ヶ月前の在庫'!$V$6:$V$10005,'設定'!$C$4,'月1回_1ヶ月前の在庫'!$W$6:$W$10005,$B606)+COUNTIFS('月1回_2ヶ月前の在庫'!$V$6:$V$10005,'設定'!$C$4,'月1回_2ヶ月前の在庫'!$W$6:$W$10005,$B606)&gt;0,1,0))</f>
        <v/>
      </c>
      <c r="M606" s="54">
        <f>N(M605)+$L606</f>
        <v/>
      </c>
      <c r="N606" s="54">
        <f>IF($B606="",0,COUNTIFS('①在庫を貼る'!$V$6:$V$10005,'設定'!$C$4,'①在庫を貼る'!$W$6:$W$10005,$B606))</f>
        <v/>
      </c>
    </row>
    <row r="607" ht="18" customHeight="1">
      <c r="B607" s="76" t="n"/>
      <c r="C607" s="77" t="n"/>
      <c r="D607" s="77" t="n"/>
      <c r="E607" s="77" t="n"/>
      <c r="F607" s="78" t="n"/>
      <c r="G607" s="79" t="n"/>
      <c r="H607" s="69" t="n"/>
      <c r="I607" s="44">
        <f>IF(OR($B607="",$H607=""),"",$H607*MAX(1,N($F607)))</f>
        <v/>
      </c>
      <c r="J607" s="80" t="n"/>
      <c r="K607" s="77" t="n"/>
      <c r="L607" s="54">
        <f>IF($B607="",0,IF(COUNTIFS('①在庫を貼る'!$V$6:$V$10005,'設定'!$C$4,'①在庫を貼る'!$W$6:$W$10005,$B607)+COUNTIFS('月1回_1ヶ月前の在庫'!$V$6:$V$10005,'設定'!$C$4,'月1回_1ヶ月前の在庫'!$W$6:$W$10005,$B607)+COUNTIFS('月1回_2ヶ月前の在庫'!$V$6:$V$10005,'設定'!$C$4,'月1回_2ヶ月前の在庫'!$W$6:$W$10005,$B607)&gt;0,1,0))</f>
        <v/>
      </c>
      <c r="M607" s="54">
        <f>N(M606)+$L607</f>
        <v/>
      </c>
      <c r="N607" s="54">
        <f>IF($B607="",0,COUNTIFS('①在庫を貼る'!$V$6:$V$10005,'設定'!$C$4,'①在庫を貼る'!$W$6:$W$10005,$B607))</f>
        <v/>
      </c>
    </row>
    <row r="608" ht="18" customHeight="1">
      <c r="B608" s="76" t="n"/>
      <c r="C608" s="77" t="n"/>
      <c r="D608" s="77" t="n"/>
      <c r="E608" s="77" t="n"/>
      <c r="F608" s="78" t="n"/>
      <c r="G608" s="79" t="n"/>
      <c r="H608" s="69" t="n"/>
      <c r="I608" s="44">
        <f>IF(OR($B608="",$H608=""),"",$H608*MAX(1,N($F608)))</f>
        <v/>
      </c>
      <c r="J608" s="80" t="n"/>
      <c r="K608" s="77" t="n"/>
      <c r="L608" s="54">
        <f>IF($B608="",0,IF(COUNTIFS('①在庫を貼る'!$V$6:$V$10005,'設定'!$C$4,'①在庫を貼る'!$W$6:$W$10005,$B608)+COUNTIFS('月1回_1ヶ月前の在庫'!$V$6:$V$10005,'設定'!$C$4,'月1回_1ヶ月前の在庫'!$W$6:$W$10005,$B608)+COUNTIFS('月1回_2ヶ月前の在庫'!$V$6:$V$10005,'設定'!$C$4,'月1回_2ヶ月前の在庫'!$W$6:$W$10005,$B608)&gt;0,1,0))</f>
        <v/>
      </c>
      <c r="M608" s="54">
        <f>N(M607)+$L608</f>
        <v/>
      </c>
      <c r="N608" s="54">
        <f>IF($B608="",0,COUNTIFS('①在庫を貼る'!$V$6:$V$10005,'設定'!$C$4,'①在庫を貼る'!$W$6:$W$10005,$B608))</f>
        <v/>
      </c>
    </row>
    <row r="609" ht="18" customHeight="1">
      <c r="B609" s="76" t="n"/>
      <c r="C609" s="77" t="n"/>
      <c r="D609" s="77" t="n"/>
      <c r="E609" s="77" t="n"/>
      <c r="F609" s="78" t="n"/>
      <c r="G609" s="79" t="n"/>
      <c r="H609" s="69" t="n"/>
      <c r="I609" s="44">
        <f>IF(OR($B609="",$H609=""),"",$H609*MAX(1,N($F609)))</f>
        <v/>
      </c>
      <c r="J609" s="80" t="n"/>
      <c r="K609" s="77" t="n"/>
      <c r="L609" s="54">
        <f>IF($B609="",0,IF(COUNTIFS('①在庫を貼る'!$V$6:$V$10005,'設定'!$C$4,'①在庫を貼る'!$W$6:$W$10005,$B609)+COUNTIFS('月1回_1ヶ月前の在庫'!$V$6:$V$10005,'設定'!$C$4,'月1回_1ヶ月前の在庫'!$W$6:$W$10005,$B609)+COUNTIFS('月1回_2ヶ月前の在庫'!$V$6:$V$10005,'設定'!$C$4,'月1回_2ヶ月前の在庫'!$W$6:$W$10005,$B609)&gt;0,1,0))</f>
        <v/>
      </c>
      <c r="M609" s="54">
        <f>N(M608)+$L609</f>
        <v/>
      </c>
      <c r="N609" s="54">
        <f>IF($B609="",0,COUNTIFS('①在庫を貼る'!$V$6:$V$10005,'設定'!$C$4,'①在庫を貼る'!$W$6:$W$10005,$B609))</f>
        <v/>
      </c>
    </row>
    <row r="610" ht="18" customHeight="1">
      <c r="B610" s="76" t="n"/>
      <c r="C610" s="77" t="n"/>
      <c r="D610" s="77" t="n"/>
      <c r="E610" s="77" t="n"/>
      <c r="F610" s="78" t="n"/>
      <c r="G610" s="79" t="n"/>
      <c r="H610" s="69" t="n"/>
      <c r="I610" s="44">
        <f>IF(OR($B610="",$H610=""),"",$H610*MAX(1,N($F610)))</f>
        <v/>
      </c>
      <c r="J610" s="80" t="n"/>
      <c r="K610" s="77" t="n"/>
      <c r="L610" s="54">
        <f>IF($B610="",0,IF(COUNTIFS('①在庫を貼る'!$V$6:$V$10005,'設定'!$C$4,'①在庫を貼る'!$W$6:$W$10005,$B610)+COUNTIFS('月1回_1ヶ月前の在庫'!$V$6:$V$10005,'設定'!$C$4,'月1回_1ヶ月前の在庫'!$W$6:$W$10005,$B610)+COUNTIFS('月1回_2ヶ月前の在庫'!$V$6:$V$10005,'設定'!$C$4,'月1回_2ヶ月前の在庫'!$W$6:$W$10005,$B610)&gt;0,1,0))</f>
        <v/>
      </c>
      <c r="M610" s="54">
        <f>N(M609)+$L610</f>
        <v/>
      </c>
      <c r="N610" s="54">
        <f>IF($B610="",0,COUNTIFS('①在庫を貼る'!$V$6:$V$10005,'設定'!$C$4,'①在庫を貼る'!$W$6:$W$10005,$B610))</f>
        <v/>
      </c>
    </row>
    <row r="611" ht="18" customHeight="1">
      <c r="B611" s="76" t="n"/>
      <c r="C611" s="77" t="n"/>
      <c r="D611" s="77" t="n"/>
      <c r="E611" s="77" t="n"/>
      <c r="F611" s="78" t="n"/>
      <c r="G611" s="79" t="n"/>
      <c r="H611" s="69" t="n"/>
      <c r="I611" s="44">
        <f>IF(OR($B611="",$H611=""),"",$H611*MAX(1,N($F611)))</f>
        <v/>
      </c>
      <c r="J611" s="80" t="n"/>
      <c r="K611" s="77" t="n"/>
      <c r="L611" s="54">
        <f>IF($B611="",0,IF(COUNTIFS('①在庫を貼る'!$V$6:$V$10005,'設定'!$C$4,'①在庫を貼る'!$W$6:$W$10005,$B611)+COUNTIFS('月1回_1ヶ月前の在庫'!$V$6:$V$10005,'設定'!$C$4,'月1回_1ヶ月前の在庫'!$W$6:$W$10005,$B611)+COUNTIFS('月1回_2ヶ月前の在庫'!$V$6:$V$10005,'設定'!$C$4,'月1回_2ヶ月前の在庫'!$W$6:$W$10005,$B611)&gt;0,1,0))</f>
        <v/>
      </c>
      <c r="M611" s="54">
        <f>N(M610)+$L611</f>
        <v/>
      </c>
      <c r="N611" s="54">
        <f>IF($B611="",0,COUNTIFS('①在庫を貼る'!$V$6:$V$10005,'設定'!$C$4,'①在庫を貼る'!$W$6:$W$10005,$B611))</f>
        <v/>
      </c>
    </row>
    <row r="612" ht="18" customHeight="1">
      <c r="B612" s="76" t="n"/>
      <c r="C612" s="77" t="n"/>
      <c r="D612" s="77" t="n"/>
      <c r="E612" s="77" t="n"/>
      <c r="F612" s="78" t="n"/>
      <c r="G612" s="79" t="n"/>
      <c r="H612" s="69" t="n"/>
      <c r="I612" s="44">
        <f>IF(OR($B612="",$H612=""),"",$H612*MAX(1,N($F612)))</f>
        <v/>
      </c>
      <c r="J612" s="80" t="n"/>
      <c r="K612" s="77" t="n"/>
      <c r="L612" s="54">
        <f>IF($B612="",0,IF(COUNTIFS('①在庫を貼る'!$V$6:$V$10005,'設定'!$C$4,'①在庫を貼る'!$W$6:$W$10005,$B612)+COUNTIFS('月1回_1ヶ月前の在庫'!$V$6:$V$10005,'設定'!$C$4,'月1回_1ヶ月前の在庫'!$W$6:$W$10005,$B612)+COUNTIFS('月1回_2ヶ月前の在庫'!$V$6:$V$10005,'設定'!$C$4,'月1回_2ヶ月前の在庫'!$W$6:$W$10005,$B612)&gt;0,1,0))</f>
        <v/>
      </c>
      <c r="M612" s="54">
        <f>N(M611)+$L612</f>
        <v/>
      </c>
      <c r="N612" s="54">
        <f>IF($B612="",0,COUNTIFS('①在庫を貼る'!$V$6:$V$10005,'設定'!$C$4,'①在庫を貼る'!$W$6:$W$10005,$B612))</f>
        <v/>
      </c>
    </row>
    <row r="613" ht="18" customHeight="1">
      <c r="B613" s="76" t="n"/>
      <c r="C613" s="77" t="n"/>
      <c r="D613" s="77" t="n"/>
      <c r="E613" s="77" t="n"/>
      <c r="F613" s="78" t="n"/>
      <c r="G613" s="79" t="n"/>
      <c r="H613" s="69" t="n"/>
      <c r="I613" s="44">
        <f>IF(OR($B613="",$H613=""),"",$H613*MAX(1,N($F613)))</f>
        <v/>
      </c>
      <c r="J613" s="80" t="n"/>
      <c r="K613" s="77" t="n"/>
      <c r="L613" s="54">
        <f>IF($B613="",0,IF(COUNTIFS('①在庫を貼る'!$V$6:$V$10005,'設定'!$C$4,'①在庫を貼る'!$W$6:$W$10005,$B613)+COUNTIFS('月1回_1ヶ月前の在庫'!$V$6:$V$10005,'設定'!$C$4,'月1回_1ヶ月前の在庫'!$W$6:$W$10005,$B613)+COUNTIFS('月1回_2ヶ月前の在庫'!$V$6:$V$10005,'設定'!$C$4,'月1回_2ヶ月前の在庫'!$W$6:$W$10005,$B613)&gt;0,1,0))</f>
        <v/>
      </c>
      <c r="M613" s="54">
        <f>N(M612)+$L613</f>
        <v/>
      </c>
      <c r="N613" s="54">
        <f>IF($B613="",0,COUNTIFS('①在庫を貼る'!$V$6:$V$10005,'設定'!$C$4,'①在庫を貼る'!$W$6:$W$10005,$B613))</f>
        <v/>
      </c>
    </row>
    <row r="614" ht="18" customHeight="1">
      <c r="B614" s="76" t="n"/>
      <c r="C614" s="77" t="n"/>
      <c r="D614" s="77" t="n"/>
      <c r="E614" s="77" t="n"/>
      <c r="F614" s="78" t="n"/>
      <c r="G614" s="79" t="n"/>
      <c r="H614" s="69" t="n"/>
      <c r="I614" s="44">
        <f>IF(OR($B614="",$H614=""),"",$H614*MAX(1,N($F614)))</f>
        <v/>
      </c>
      <c r="J614" s="80" t="n"/>
      <c r="K614" s="77" t="n"/>
      <c r="L614" s="54">
        <f>IF($B614="",0,IF(COUNTIFS('①在庫を貼る'!$V$6:$V$10005,'設定'!$C$4,'①在庫を貼る'!$W$6:$W$10005,$B614)+COUNTIFS('月1回_1ヶ月前の在庫'!$V$6:$V$10005,'設定'!$C$4,'月1回_1ヶ月前の在庫'!$W$6:$W$10005,$B614)+COUNTIFS('月1回_2ヶ月前の在庫'!$V$6:$V$10005,'設定'!$C$4,'月1回_2ヶ月前の在庫'!$W$6:$W$10005,$B614)&gt;0,1,0))</f>
        <v/>
      </c>
      <c r="M614" s="54">
        <f>N(M613)+$L614</f>
        <v/>
      </c>
      <c r="N614" s="54">
        <f>IF($B614="",0,COUNTIFS('①在庫を貼る'!$V$6:$V$10005,'設定'!$C$4,'①在庫を貼る'!$W$6:$W$10005,$B614))</f>
        <v/>
      </c>
    </row>
    <row r="615" ht="18" customHeight="1">
      <c r="B615" s="76" t="n"/>
      <c r="C615" s="77" t="n"/>
      <c r="D615" s="77" t="n"/>
      <c r="E615" s="77" t="n"/>
      <c r="F615" s="78" t="n"/>
      <c r="G615" s="79" t="n"/>
      <c r="H615" s="69" t="n"/>
      <c r="I615" s="44">
        <f>IF(OR($B615="",$H615=""),"",$H615*MAX(1,N($F615)))</f>
        <v/>
      </c>
      <c r="J615" s="80" t="n"/>
      <c r="K615" s="77" t="n"/>
      <c r="L615" s="54">
        <f>IF($B615="",0,IF(COUNTIFS('①在庫を貼る'!$V$6:$V$10005,'設定'!$C$4,'①在庫を貼る'!$W$6:$W$10005,$B615)+COUNTIFS('月1回_1ヶ月前の在庫'!$V$6:$V$10005,'設定'!$C$4,'月1回_1ヶ月前の在庫'!$W$6:$W$10005,$B615)+COUNTIFS('月1回_2ヶ月前の在庫'!$V$6:$V$10005,'設定'!$C$4,'月1回_2ヶ月前の在庫'!$W$6:$W$10005,$B615)&gt;0,1,0))</f>
        <v/>
      </c>
      <c r="M615" s="54">
        <f>N(M614)+$L615</f>
        <v/>
      </c>
      <c r="N615" s="54">
        <f>IF($B615="",0,COUNTIFS('①在庫を貼る'!$V$6:$V$10005,'設定'!$C$4,'①在庫を貼る'!$W$6:$W$10005,$B615))</f>
        <v/>
      </c>
    </row>
    <row r="616" ht="18" customHeight="1">
      <c r="B616" s="76" t="n"/>
      <c r="C616" s="77" t="n"/>
      <c r="D616" s="77" t="n"/>
      <c r="E616" s="77" t="n"/>
      <c r="F616" s="78" t="n"/>
      <c r="G616" s="79" t="n"/>
      <c r="H616" s="69" t="n"/>
      <c r="I616" s="44">
        <f>IF(OR($B616="",$H616=""),"",$H616*MAX(1,N($F616)))</f>
        <v/>
      </c>
      <c r="J616" s="80" t="n"/>
      <c r="K616" s="77" t="n"/>
      <c r="L616" s="54">
        <f>IF($B616="",0,IF(COUNTIFS('①在庫を貼る'!$V$6:$V$10005,'設定'!$C$4,'①在庫を貼る'!$W$6:$W$10005,$B616)+COUNTIFS('月1回_1ヶ月前の在庫'!$V$6:$V$10005,'設定'!$C$4,'月1回_1ヶ月前の在庫'!$W$6:$W$10005,$B616)+COUNTIFS('月1回_2ヶ月前の在庫'!$V$6:$V$10005,'設定'!$C$4,'月1回_2ヶ月前の在庫'!$W$6:$W$10005,$B616)&gt;0,1,0))</f>
        <v/>
      </c>
      <c r="M616" s="54">
        <f>N(M615)+$L616</f>
        <v/>
      </c>
      <c r="N616" s="54">
        <f>IF($B616="",0,COUNTIFS('①在庫を貼る'!$V$6:$V$10005,'設定'!$C$4,'①在庫を貼る'!$W$6:$W$10005,$B616))</f>
        <v/>
      </c>
    </row>
    <row r="617" ht="18" customHeight="1">
      <c r="B617" s="76" t="n"/>
      <c r="C617" s="77" t="n"/>
      <c r="D617" s="77" t="n"/>
      <c r="E617" s="77" t="n"/>
      <c r="F617" s="78" t="n"/>
      <c r="G617" s="79" t="n"/>
      <c r="H617" s="69" t="n"/>
      <c r="I617" s="44">
        <f>IF(OR($B617="",$H617=""),"",$H617*MAX(1,N($F617)))</f>
        <v/>
      </c>
      <c r="J617" s="80" t="n"/>
      <c r="K617" s="77" t="n"/>
      <c r="L617" s="54">
        <f>IF($B617="",0,IF(COUNTIFS('①在庫を貼る'!$V$6:$V$10005,'設定'!$C$4,'①在庫を貼る'!$W$6:$W$10005,$B617)+COUNTIFS('月1回_1ヶ月前の在庫'!$V$6:$V$10005,'設定'!$C$4,'月1回_1ヶ月前の在庫'!$W$6:$W$10005,$B617)+COUNTIFS('月1回_2ヶ月前の在庫'!$V$6:$V$10005,'設定'!$C$4,'月1回_2ヶ月前の在庫'!$W$6:$W$10005,$B617)&gt;0,1,0))</f>
        <v/>
      </c>
      <c r="M617" s="54">
        <f>N(M616)+$L617</f>
        <v/>
      </c>
      <c r="N617" s="54">
        <f>IF($B617="",0,COUNTIFS('①在庫を貼る'!$V$6:$V$10005,'設定'!$C$4,'①在庫を貼る'!$W$6:$W$10005,$B617))</f>
        <v/>
      </c>
    </row>
    <row r="618" ht="18" customHeight="1">
      <c r="B618" s="76" t="n"/>
      <c r="C618" s="77" t="n"/>
      <c r="D618" s="77" t="n"/>
      <c r="E618" s="77" t="n"/>
      <c r="F618" s="78" t="n"/>
      <c r="G618" s="79" t="n"/>
      <c r="H618" s="69" t="n"/>
      <c r="I618" s="44">
        <f>IF(OR($B618="",$H618=""),"",$H618*MAX(1,N($F618)))</f>
        <v/>
      </c>
      <c r="J618" s="80" t="n"/>
      <c r="K618" s="77" t="n"/>
      <c r="L618" s="54">
        <f>IF($B618="",0,IF(COUNTIFS('①在庫を貼る'!$V$6:$V$10005,'設定'!$C$4,'①在庫を貼る'!$W$6:$W$10005,$B618)+COUNTIFS('月1回_1ヶ月前の在庫'!$V$6:$V$10005,'設定'!$C$4,'月1回_1ヶ月前の在庫'!$W$6:$W$10005,$B618)+COUNTIFS('月1回_2ヶ月前の在庫'!$V$6:$V$10005,'設定'!$C$4,'月1回_2ヶ月前の在庫'!$W$6:$W$10005,$B618)&gt;0,1,0))</f>
        <v/>
      </c>
      <c r="M618" s="54">
        <f>N(M617)+$L618</f>
        <v/>
      </c>
      <c r="N618" s="54">
        <f>IF($B618="",0,COUNTIFS('①在庫を貼る'!$V$6:$V$10005,'設定'!$C$4,'①在庫を貼る'!$W$6:$W$10005,$B618))</f>
        <v/>
      </c>
    </row>
    <row r="619" ht="18" customHeight="1">
      <c r="B619" s="76" t="n"/>
      <c r="C619" s="77" t="n"/>
      <c r="D619" s="77" t="n"/>
      <c r="E619" s="77" t="n"/>
      <c r="F619" s="78" t="n"/>
      <c r="G619" s="79" t="n"/>
      <c r="H619" s="69" t="n"/>
      <c r="I619" s="44">
        <f>IF(OR($B619="",$H619=""),"",$H619*MAX(1,N($F619)))</f>
        <v/>
      </c>
      <c r="J619" s="80" t="n"/>
      <c r="K619" s="77" t="n"/>
      <c r="L619" s="54">
        <f>IF($B619="",0,IF(COUNTIFS('①在庫を貼る'!$V$6:$V$10005,'設定'!$C$4,'①在庫を貼る'!$W$6:$W$10005,$B619)+COUNTIFS('月1回_1ヶ月前の在庫'!$V$6:$V$10005,'設定'!$C$4,'月1回_1ヶ月前の在庫'!$W$6:$W$10005,$B619)+COUNTIFS('月1回_2ヶ月前の在庫'!$V$6:$V$10005,'設定'!$C$4,'月1回_2ヶ月前の在庫'!$W$6:$W$10005,$B619)&gt;0,1,0))</f>
        <v/>
      </c>
      <c r="M619" s="54">
        <f>N(M618)+$L619</f>
        <v/>
      </c>
      <c r="N619" s="54">
        <f>IF($B619="",0,COUNTIFS('①在庫を貼る'!$V$6:$V$10005,'設定'!$C$4,'①在庫を貼る'!$W$6:$W$10005,$B619))</f>
        <v/>
      </c>
    </row>
    <row r="620" ht="18" customHeight="1">
      <c r="B620" s="76" t="n"/>
      <c r="C620" s="77" t="n"/>
      <c r="D620" s="77" t="n"/>
      <c r="E620" s="77" t="n"/>
      <c r="F620" s="78" t="n"/>
      <c r="G620" s="79" t="n"/>
      <c r="H620" s="69" t="n"/>
      <c r="I620" s="44">
        <f>IF(OR($B620="",$H620=""),"",$H620*MAX(1,N($F620)))</f>
        <v/>
      </c>
      <c r="J620" s="80" t="n"/>
      <c r="K620" s="77" t="n"/>
      <c r="L620" s="54">
        <f>IF($B620="",0,IF(COUNTIFS('①在庫を貼る'!$V$6:$V$10005,'設定'!$C$4,'①在庫を貼る'!$W$6:$W$10005,$B620)+COUNTIFS('月1回_1ヶ月前の在庫'!$V$6:$V$10005,'設定'!$C$4,'月1回_1ヶ月前の在庫'!$W$6:$W$10005,$B620)+COUNTIFS('月1回_2ヶ月前の在庫'!$V$6:$V$10005,'設定'!$C$4,'月1回_2ヶ月前の在庫'!$W$6:$W$10005,$B620)&gt;0,1,0))</f>
        <v/>
      </c>
      <c r="M620" s="54">
        <f>N(M619)+$L620</f>
        <v/>
      </c>
      <c r="N620" s="54">
        <f>IF($B620="",0,COUNTIFS('①在庫を貼る'!$V$6:$V$10005,'設定'!$C$4,'①在庫を貼る'!$W$6:$W$10005,$B620))</f>
        <v/>
      </c>
    </row>
    <row r="621" ht="18" customHeight="1">
      <c r="B621" s="76" t="n"/>
      <c r="C621" s="77" t="n"/>
      <c r="D621" s="77" t="n"/>
      <c r="E621" s="77" t="n"/>
      <c r="F621" s="78" t="n"/>
      <c r="G621" s="79" t="n"/>
      <c r="H621" s="69" t="n"/>
      <c r="I621" s="44">
        <f>IF(OR($B621="",$H621=""),"",$H621*MAX(1,N($F621)))</f>
        <v/>
      </c>
      <c r="J621" s="80" t="n"/>
      <c r="K621" s="77" t="n"/>
      <c r="L621" s="54">
        <f>IF($B621="",0,IF(COUNTIFS('①在庫を貼る'!$V$6:$V$10005,'設定'!$C$4,'①在庫を貼る'!$W$6:$W$10005,$B621)+COUNTIFS('月1回_1ヶ月前の在庫'!$V$6:$V$10005,'設定'!$C$4,'月1回_1ヶ月前の在庫'!$W$6:$W$10005,$B621)+COUNTIFS('月1回_2ヶ月前の在庫'!$V$6:$V$10005,'設定'!$C$4,'月1回_2ヶ月前の在庫'!$W$6:$W$10005,$B621)&gt;0,1,0))</f>
        <v/>
      </c>
      <c r="M621" s="54">
        <f>N(M620)+$L621</f>
        <v/>
      </c>
      <c r="N621" s="54">
        <f>IF($B621="",0,COUNTIFS('①在庫を貼る'!$V$6:$V$10005,'設定'!$C$4,'①在庫を貼る'!$W$6:$W$10005,$B621))</f>
        <v/>
      </c>
    </row>
    <row r="622" ht="18" customHeight="1">
      <c r="B622" s="76" t="n"/>
      <c r="C622" s="77" t="n"/>
      <c r="D622" s="77" t="n"/>
      <c r="E622" s="77" t="n"/>
      <c r="F622" s="78" t="n"/>
      <c r="G622" s="79" t="n"/>
      <c r="H622" s="69" t="n"/>
      <c r="I622" s="44">
        <f>IF(OR($B622="",$H622=""),"",$H622*MAX(1,N($F622)))</f>
        <v/>
      </c>
      <c r="J622" s="80" t="n"/>
      <c r="K622" s="77" t="n"/>
      <c r="L622" s="54">
        <f>IF($B622="",0,IF(COUNTIFS('①在庫を貼る'!$V$6:$V$10005,'設定'!$C$4,'①在庫を貼る'!$W$6:$W$10005,$B622)+COUNTIFS('月1回_1ヶ月前の在庫'!$V$6:$V$10005,'設定'!$C$4,'月1回_1ヶ月前の在庫'!$W$6:$W$10005,$B622)+COUNTIFS('月1回_2ヶ月前の在庫'!$V$6:$V$10005,'設定'!$C$4,'月1回_2ヶ月前の在庫'!$W$6:$W$10005,$B622)&gt;0,1,0))</f>
        <v/>
      </c>
      <c r="M622" s="54">
        <f>N(M621)+$L622</f>
        <v/>
      </c>
      <c r="N622" s="54">
        <f>IF($B622="",0,COUNTIFS('①在庫を貼る'!$V$6:$V$10005,'設定'!$C$4,'①在庫を貼る'!$W$6:$W$10005,$B622))</f>
        <v/>
      </c>
    </row>
    <row r="623" ht="18" customHeight="1">
      <c r="B623" s="76" t="n"/>
      <c r="C623" s="77" t="n"/>
      <c r="D623" s="77" t="n"/>
      <c r="E623" s="77" t="n"/>
      <c r="F623" s="78" t="n"/>
      <c r="G623" s="79" t="n"/>
      <c r="H623" s="69" t="n"/>
      <c r="I623" s="44">
        <f>IF(OR($B623="",$H623=""),"",$H623*MAX(1,N($F623)))</f>
        <v/>
      </c>
      <c r="J623" s="80" t="n"/>
      <c r="K623" s="77" t="n"/>
      <c r="L623" s="54">
        <f>IF($B623="",0,IF(COUNTIFS('①在庫を貼る'!$V$6:$V$10005,'設定'!$C$4,'①在庫を貼る'!$W$6:$W$10005,$B623)+COUNTIFS('月1回_1ヶ月前の在庫'!$V$6:$V$10005,'設定'!$C$4,'月1回_1ヶ月前の在庫'!$W$6:$W$10005,$B623)+COUNTIFS('月1回_2ヶ月前の在庫'!$V$6:$V$10005,'設定'!$C$4,'月1回_2ヶ月前の在庫'!$W$6:$W$10005,$B623)&gt;0,1,0))</f>
        <v/>
      </c>
      <c r="M623" s="54">
        <f>N(M622)+$L623</f>
        <v/>
      </c>
      <c r="N623" s="54">
        <f>IF($B623="",0,COUNTIFS('①在庫を貼る'!$V$6:$V$10005,'設定'!$C$4,'①在庫を貼る'!$W$6:$W$10005,$B623))</f>
        <v/>
      </c>
    </row>
    <row r="624" ht="18" customHeight="1">
      <c r="B624" s="76" t="n"/>
      <c r="C624" s="77" t="n"/>
      <c r="D624" s="77" t="n"/>
      <c r="E624" s="77" t="n"/>
      <c r="F624" s="78" t="n"/>
      <c r="G624" s="79" t="n"/>
      <c r="H624" s="69" t="n"/>
      <c r="I624" s="44">
        <f>IF(OR($B624="",$H624=""),"",$H624*MAX(1,N($F624)))</f>
        <v/>
      </c>
      <c r="J624" s="80" t="n"/>
      <c r="K624" s="77" t="n"/>
      <c r="L624" s="54">
        <f>IF($B624="",0,IF(COUNTIFS('①在庫を貼る'!$V$6:$V$10005,'設定'!$C$4,'①在庫を貼る'!$W$6:$W$10005,$B624)+COUNTIFS('月1回_1ヶ月前の在庫'!$V$6:$V$10005,'設定'!$C$4,'月1回_1ヶ月前の在庫'!$W$6:$W$10005,$B624)+COUNTIFS('月1回_2ヶ月前の在庫'!$V$6:$V$10005,'設定'!$C$4,'月1回_2ヶ月前の在庫'!$W$6:$W$10005,$B624)&gt;0,1,0))</f>
        <v/>
      </c>
      <c r="M624" s="54">
        <f>N(M623)+$L624</f>
        <v/>
      </c>
      <c r="N624" s="54">
        <f>IF($B624="",0,COUNTIFS('①在庫を貼る'!$V$6:$V$10005,'設定'!$C$4,'①在庫を貼る'!$W$6:$W$10005,$B624))</f>
        <v/>
      </c>
    </row>
    <row r="625" ht="18" customHeight="1">
      <c r="B625" s="76" t="n"/>
      <c r="C625" s="77" t="n"/>
      <c r="D625" s="77" t="n"/>
      <c r="E625" s="77" t="n"/>
      <c r="F625" s="78" t="n"/>
      <c r="G625" s="79" t="n"/>
      <c r="H625" s="69" t="n"/>
      <c r="I625" s="44">
        <f>IF(OR($B625="",$H625=""),"",$H625*MAX(1,N($F625)))</f>
        <v/>
      </c>
      <c r="J625" s="80" t="n"/>
      <c r="K625" s="77" t="n"/>
      <c r="L625" s="54">
        <f>IF($B625="",0,IF(COUNTIFS('①在庫を貼る'!$V$6:$V$10005,'設定'!$C$4,'①在庫を貼る'!$W$6:$W$10005,$B625)+COUNTIFS('月1回_1ヶ月前の在庫'!$V$6:$V$10005,'設定'!$C$4,'月1回_1ヶ月前の在庫'!$W$6:$W$10005,$B625)+COUNTIFS('月1回_2ヶ月前の在庫'!$V$6:$V$10005,'設定'!$C$4,'月1回_2ヶ月前の在庫'!$W$6:$W$10005,$B625)&gt;0,1,0))</f>
        <v/>
      </c>
      <c r="M625" s="54">
        <f>N(M624)+$L625</f>
        <v/>
      </c>
      <c r="N625" s="54">
        <f>IF($B625="",0,COUNTIFS('①在庫を貼る'!$V$6:$V$10005,'設定'!$C$4,'①在庫を貼る'!$W$6:$W$10005,$B625))</f>
        <v/>
      </c>
    </row>
    <row r="626" ht="18" customHeight="1">
      <c r="B626" s="76" t="n"/>
      <c r="C626" s="77" t="n"/>
      <c r="D626" s="77" t="n"/>
      <c r="E626" s="77" t="n"/>
      <c r="F626" s="78" t="n"/>
      <c r="G626" s="79" t="n"/>
      <c r="H626" s="69" t="n"/>
      <c r="I626" s="44">
        <f>IF(OR($B626="",$H626=""),"",$H626*MAX(1,N($F626)))</f>
        <v/>
      </c>
      <c r="J626" s="80" t="n"/>
      <c r="K626" s="77" t="n"/>
      <c r="L626" s="54">
        <f>IF($B626="",0,IF(COUNTIFS('①在庫を貼る'!$V$6:$V$10005,'設定'!$C$4,'①在庫を貼る'!$W$6:$W$10005,$B626)+COUNTIFS('月1回_1ヶ月前の在庫'!$V$6:$V$10005,'設定'!$C$4,'月1回_1ヶ月前の在庫'!$W$6:$W$10005,$B626)+COUNTIFS('月1回_2ヶ月前の在庫'!$V$6:$V$10005,'設定'!$C$4,'月1回_2ヶ月前の在庫'!$W$6:$W$10005,$B626)&gt;0,1,0))</f>
        <v/>
      </c>
      <c r="M626" s="54">
        <f>N(M625)+$L626</f>
        <v/>
      </c>
      <c r="N626" s="54">
        <f>IF($B626="",0,COUNTIFS('①在庫を貼る'!$V$6:$V$10005,'設定'!$C$4,'①在庫を貼る'!$W$6:$W$10005,$B626))</f>
        <v/>
      </c>
    </row>
    <row r="627" ht="18" customHeight="1">
      <c r="B627" s="76" t="n"/>
      <c r="C627" s="77" t="n"/>
      <c r="D627" s="77" t="n"/>
      <c r="E627" s="77" t="n"/>
      <c r="F627" s="78" t="n"/>
      <c r="G627" s="79" t="n"/>
      <c r="H627" s="69" t="n"/>
      <c r="I627" s="44">
        <f>IF(OR($B627="",$H627=""),"",$H627*MAX(1,N($F627)))</f>
        <v/>
      </c>
      <c r="J627" s="80" t="n"/>
      <c r="K627" s="77" t="n"/>
      <c r="L627" s="54">
        <f>IF($B627="",0,IF(COUNTIFS('①在庫を貼る'!$V$6:$V$10005,'設定'!$C$4,'①在庫を貼る'!$W$6:$W$10005,$B627)+COUNTIFS('月1回_1ヶ月前の在庫'!$V$6:$V$10005,'設定'!$C$4,'月1回_1ヶ月前の在庫'!$W$6:$W$10005,$B627)+COUNTIFS('月1回_2ヶ月前の在庫'!$V$6:$V$10005,'設定'!$C$4,'月1回_2ヶ月前の在庫'!$W$6:$W$10005,$B627)&gt;0,1,0))</f>
        <v/>
      </c>
      <c r="M627" s="54">
        <f>N(M626)+$L627</f>
        <v/>
      </c>
      <c r="N627" s="54">
        <f>IF($B627="",0,COUNTIFS('①在庫を貼る'!$V$6:$V$10005,'設定'!$C$4,'①在庫を貼る'!$W$6:$W$10005,$B627))</f>
        <v/>
      </c>
    </row>
    <row r="628" ht="18" customHeight="1">
      <c r="B628" s="76" t="n"/>
      <c r="C628" s="77" t="n"/>
      <c r="D628" s="77" t="n"/>
      <c r="E628" s="77" t="n"/>
      <c r="F628" s="78" t="n"/>
      <c r="G628" s="79" t="n"/>
      <c r="H628" s="69" t="n"/>
      <c r="I628" s="44">
        <f>IF(OR($B628="",$H628=""),"",$H628*MAX(1,N($F628)))</f>
        <v/>
      </c>
      <c r="J628" s="80" t="n"/>
      <c r="K628" s="77" t="n"/>
      <c r="L628" s="54">
        <f>IF($B628="",0,IF(COUNTIFS('①在庫を貼る'!$V$6:$V$10005,'設定'!$C$4,'①在庫を貼る'!$W$6:$W$10005,$B628)+COUNTIFS('月1回_1ヶ月前の在庫'!$V$6:$V$10005,'設定'!$C$4,'月1回_1ヶ月前の在庫'!$W$6:$W$10005,$B628)+COUNTIFS('月1回_2ヶ月前の在庫'!$V$6:$V$10005,'設定'!$C$4,'月1回_2ヶ月前の在庫'!$W$6:$W$10005,$B628)&gt;0,1,0))</f>
        <v/>
      </c>
      <c r="M628" s="54">
        <f>N(M627)+$L628</f>
        <v/>
      </c>
      <c r="N628" s="54">
        <f>IF($B628="",0,COUNTIFS('①在庫を貼る'!$V$6:$V$10005,'設定'!$C$4,'①在庫を貼る'!$W$6:$W$10005,$B628))</f>
        <v/>
      </c>
    </row>
    <row r="629" ht="18" customHeight="1">
      <c r="B629" s="76" t="n"/>
      <c r="C629" s="77" t="n"/>
      <c r="D629" s="77" t="n"/>
      <c r="E629" s="77" t="n"/>
      <c r="F629" s="78" t="n"/>
      <c r="G629" s="79" t="n"/>
      <c r="H629" s="69" t="n"/>
      <c r="I629" s="44">
        <f>IF(OR($B629="",$H629=""),"",$H629*MAX(1,N($F629)))</f>
        <v/>
      </c>
      <c r="J629" s="80" t="n"/>
      <c r="K629" s="77" t="n"/>
      <c r="L629" s="54">
        <f>IF($B629="",0,IF(COUNTIFS('①在庫を貼る'!$V$6:$V$10005,'設定'!$C$4,'①在庫を貼る'!$W$6:$W$10005,$B629)+COUNTIFS('月1回_1ヶ月前の在庫'!$V$6:$V$10005,'設定'!$C$4,'月1回_1ヶ月前の在庫'!$W$6:$W$10005,$B629)+COUNTIFS('月1回_2ヶ月前の在庫'!$V$6:$V$10005,'設定'!$C$4,'月1回_2ヶ月前の在庫'!$W$6:$W$10005,$B629)&gt;0,1,0))</f>
        <v/>
      </c>
      <c r="M629" s="54">
        <f>N(M628)+$L629</f>
        <v/>
      </c>
      <c r="N629" s="54">
        <f>IF($B629="",0,COUNTIFS('①在庫を貼る'!$V$6:$V$10005,'設定'!$C$4,'①在庫を貼る'!$W$6:$W$10005,$B629))</f>
        <v/>
      </c>
    </row>
    <row r="630" ht="18" customHeight="1">
      <c r="B630" s="76" t="n"/>
      <c r="C630" s="77" t="n"/>
      <c r="D630" s="77" t="n"/>
      <c r="E630" s="77" t="n"/>
      <c r="F630" s="78" t="n"/>
      <c r="G630" s="79" t="n"/>
      <c r="H630" s="69" t="n"/>
      <c r="I630" s="44">
        <f>IF(OR($B630="",$H630=""),"",$H630*MAX(1,N($F630)))</f>
        <v/>
      </c>
      <c r="J630" s="80" t="n"/>
      <c r="K630" s="77" t="n"/>
      <c r="L630" s="54">
        <f>IF($B630="",0,IF(COUNTIFS('①在庫を貼る'!$V$6:$V$10005,'設定'!$C$4,'①在庫を貼る'!$W$6:$W$10005,$B630)+COUNTIFS('月1回_1ヶ月前の在庫'!$V$6:$V$10005,'設定'!$C$4,'月1回_1ヶ月前の在庫'!$W$6:$W$10005,$B630)+COUNTIFS('月1回_2ヶ月前の在庫'!$V$6:$V$10005,'設定'!$C$4,'月1回_2ヶ月前の在庫'!$W$6:$W$10005,$B630)&gt;0,1,0))</f>
        <v/>
      </c>
      <c r="M630" s="54">
        <f>N(M629)+$L630</f>
        <v/>
      </c>
      <c r="N630" s="54">
        <f>IF($B630="",0,COUNTIFS('①在庫を貼る'!$V$6:$V$10005,'設定'!$C$4,'①在庫を貼る'!$W$6:$W$10005,$B630))</f>
        <v/>
      </c>
    </row>
    <row r="631" ht="18" customHeight="1">
      <c r="B631" s="76" t="n"/>
      <c r="C631" s="77" t="n"/>
      <c r="D631" s="77" t="n"/>
      <c r="E631" s="77" t="n"/>
      <c r="F631" s="78" t="n"/>
      <c r="G631" s="79" t="n"/>
      <c r="H631" s="69" t="n"/>
      <c r="I631" s="44">
        <f>IF(OR($B631="",$H631=""),"",$H631*MAX(1,N($F631)))</f>
        <v/>
      </c>
      <c r="J631" s="80" t="n"/>
      <c r="K631" s="77" t="n"/>
      <c r="L631" s="54">
        <f>IF($B631="",0,IF(COUNTIFS('①在庫を貼る'!$V$6:$V$10005,'設定'!$C$4,'①在庫を貼る'!$W$6:$W$10005,$B631)+COUNTIFS('月1回_1ヶ月前の在庫'!$V$6:$V$10005,'設定'!$C$4,'月1回_1ヶ月前の在庫'!$W$6:$W$10005,$B631)+COUNTIFS('月1回_2ヶ月前の在庫'!$V$6:$V$10005,'設定'!$C$4,'月1回_2ヶ月前の在庫'!$W$6:$W$10005,$B631)&gt;0,1,0))</f>
        <v/>
      </c>
      <c r="M631" s="54">
        <f>N(M630)+$L631</f>
        <v/>
      </c>
      <c r="N631" s="54">
        <f>IF($B631="",0,COUNTIFS('①在庫を貼る'!$V$6:$V$10005,'設定'!$C$4,'①在庫を貼る'!$W$6:$W$10005,$B631))</f>
        <v/>
      </c>
    </row>
    <row r="632" ht="18" customHeight="1">
      <c r="B632" s="76" t="n"/>
      <c r="C632" s="77" t="n"/>
      <c r="D632" s="77" t="n"/>
      <c r="E632" s="77" t="n"/>
      <c r="F632" s="78" t="n"/>
      <c r="G632" s="79" t="n"/>
      <c r="H632" s="69" t="n"/>
      <c r="I632" s="44">
        <f>IF(OR($B632="",$H632=""),"",$H632*MAX(1,N($F632)))</f>
        <v/>
      </c>
      <c r="J632" s="80" t="n"/>
      <c r="K632" s="77" t="n"/>
      <c r="L632" s="54">
        <f>IF($B632="",0,IF(COUNTIFS('①在庫を貼る'!$V$6:$V$10005,'設定'!$C$4,'①在庫を貼る'!$W$6:$W$10005,$B632)+COUNTIFS('月1回_1ヶ月前の在庫'!$V$6:$V$10005,'設定'!$C$4,'月1回_1ヶ月前の在庫'!$W$6:$W$10005,$B632)+COUNTIFS('月1回_2ヶ月前の在庫'!$V$6:$V$10005,'設定'!$C$4,'月1回_2ヶ月前の在庫'!$W$6:$W$10005,$B632)&gt;0,1,0))</f>
        <v/>
      </c>
      <c r="M632" s="54">
        <f>N(M631)+$L632</f>
        <v/>
      </c>
      <c r="N632" s="54">
        <f>IF($B632="",0,COUNTIFS('①在庫を貼る'!$V$6:$V$10005,'設定'!$C$4,'①在庫を貼る'!$W$6:$W$10005,$B632))</f>
        <v/>
      </c>
    </row>
    <row r="633" ht="18" customHeight="1">
      <c r="B633" s="76" t="n"/>
      <c r="C633" s="77" t="n"/>
      <c r="D633" s="77" t="n"/>
      <c r="E633" s="77" t="n"/>
      <c r="F633" s="78" t="n"/>
      <c r="G633" s="79" t="n"/>
      <c r="H633" s="69" t="n"/>
      <c r="I633" s="44">
        <f>IF(OR($B633="",$H633=""),"",$H633*MAX(1,N($F633)))</f>
        <v/>
      </c>
      <c r="J633" s="80" t="n"/>
      <c r="K633" s="77" t="n"/>
      <c r="L633" s="54">
        <f>IF($B633="",0,IF(COUNTIFS('①在庫を貼る'!$V$6:$V$10005,'設定'!$C$4,'①在庫を貼る'!$W$6:$W$10005,$B633)+COUNTIFS('月1回_1ヶ月前の在庫'!$V$6:$V$10005,'設定'!$C$4,'月1回_1ヶ月前の在庫'!$W$6:$W$10005,$B633)+COUNTIFS('月1回_2ヶ月前の在庫'!$V$6:$V$10005,'設定'!$C$4,'月1回_2ヶ月前の在庫'!$W$6:$W$10005,$B633)&gt;0,1,0))</f>
        <v/>
      </c>
      <c r="M633" s="54">
        <f>N(M632)+$L633</f>
        <v/>
      </c>
      <c r="N633" s="54">
        <f>IF($B633="",0,COUNTIFS('①在庫を貼る'!$V$6:$V$10005,'設定'!$C$4,'①在庫を貼る'!$W$6:$W$10005,$B633))</f>
        <v/>
      </c>
    </row>
    <row r="634" ht="18" customHeight="1">
      <c r="B634" s="76" t="n"/>
      <c r="C634" s="77" t="n"/>
      <c r="D634" s="77" t="n"/>
      <c r="E634" s="77" t="n"/>
      <c r="F634" s="78" t="n"/>
      <c r="G634" s="79" t="n"/>
      <c r="H634" s="69" t="n"/>
      <c r="I634" s="44">
        <f>IF(OR($B634="",$H634=""),"",$H634*MAX(1,N($F634)))</f>
        <v/>
      </c>
      <c r="J634" s="80" t="n"/>
      <c r="K634" s="77" t="n"/>
      <c r="L634" s="54">
        <f>IF($B634="",0,IF(COUNTIFS('①在庫を貼る'!$V$6:$V$10005,'設定'!$C$4,'①在庫を貼る'!$W$6:$W$10005,$B634)+COUNTIFS('月1回_1ヶ月前の在庫'!$V$6:$V$10005,'設定'!$C$4,'月1回_1ヶ月前の在庫'!$W$6:$W$10005,$B634)+COUNTIFS('月1回_2ヶ月前の在庫'!$V$6:$V$10005,'設定'!$C$4,'月1回_2ヶ月前の在庫'!$W$6:$W$10005,$B634)&gt;0,1,0))</f>
        <v/>
      </c>
      <c r="M634" s="54">
        <f>N(M633)+$L634</f>
        <v/>
      </c>
      <c r="N634" s="54">
        <f>IF($B634="",0,COUNTIFS('①在庫を貼る'!$V$6:$V$10005,'設定'!$C$4,'①在庫を貼る'!$W$6:$W$10005,$B634))</f>
        <v/>
      </c>
    </row>
    <row r="635" ht="18" customHeight="1">
      <c r="B635" s="76" t="n"/>
      <c r="C635" s="77" t="n"/>
      <c r="D635" s="77" t="n"/>
      <c r="E635" s="77" t="n"/>
      <c r="F635" s="78" t="n"/>
      <c r="G635" s="79" t="n"/>
      <c r="H635" s="69" t="n"/>
      <c r="I635" s="44">
        <f>IF(OR($B635="",$H635=""),"",$H635*MAX(1,N($F635)))</f>
        <v/>
      </c>
      <c r="J635" s="80" t="n"/>
      <c r="K635" s="77" t="n"/>
      <c r="L635" s="54">
        <f>IF($B635="",0,IF(COUNTIFS('①在庫を貼る'!$V$6:$V$10005,'設定'!$C$4,'①在庫を貼る'!$W$6:$W$10005,$B635)+COUNTIFS('月1回_1ヶ月前の在庫'!$V$6:$V$10005,'設定'!$C$4,'月1回_1ヶ月前の在庫'!$W$6:$W$10005,$B635)+COUNTIFS('月1回_2ヶ月前の在庫'!$V$6:$V$10005,'設定'!$C$4,'月1回_2ヶ月前の在庫'!$W$6:$W$10005,$B635)&gt;0,1,0))</f>
        <v/>
      </c>
      <c r="M635" s="54">
        <f>N(M634)+$L635</f>
        <v/>
      </c>
      <c r="N635" s="54">
        <f>IF($B635="",0,COUNTIFS('①在庫を貼る'!$V$6:$V$10005,'設定'!$C$4,'①在庫を貼る'!$W$6:$W$10005,$B635))</f>
        <v/>
      </c>
    </row>
    <row r="636" ht="18" customHeight="1">
      <c r="B636" s="76" t="n"/>
      <c r="C636" s="77" t="n"/>
      <c r="D636" s="77" t="n"/>
      <c r="E636" s="77" t="n"/>
      <c r="F636" s="78" t="n"/>
      <c r="G636" s="79" t="n"/>
      <c r="H636" s="69" t="n"/>
      <c r="I636" s="44">
        <f>IF(OR($B636="",$H636=""),"",$H636*MAX(1,N($F636)))</f>
        <v/>
      </c>
      <c r="J636" s="80" t="n"/>
      <c r="K636" s="77" t="n"/>
      <c r="L636" s="54">
        <f>IF($B636="",0,IF(COUNTIFS('①在庫を貼る'!$V$6:$V$10005,'設定'!$C$4,'①在庫を貼る'!$W$6:$W$10005,$B636)+COUNTIFS('月1回_1ヶ月前の在庫'!$V$6:$V$10005,'設定'!$C$4,'月1回_1ヶ月前の在庫'!$W$6:$W$10005,$B636)+COUNTIFS('月1回_2ヶ月前の在庫'!$V$6:$V$10005,'設定'!$C$4,'月1回_2ヶ月前の在庫'!$W$6:$W$10005,$B636)&gt;0,1,0))</f>
        <v/>
      </c>
      <c r="M636" s="54">
        <f>N(M635)+$L636</f>
        <v/>
      </c>
      <c r="N636" s="54">
        <f>IF($B636="",0,COUNTIFS('①在庫を貼る'!$V$6:$V$10005,'設定'!$C$4,'①在庫を貼る'!$W$6:$W$10005,$B636))</f>
        <v/>
      </c>
    </row>
    <row r="637" ht="18" customHeight="1">
      <c r="B637" s="76" t="n"/>
      <c r="C637" s="77" t="n"/>
      <c r="D637" s="77" t="n"/>
      <c r="E637" s="77" t="n"/>
      <c r="F637" s="78" t="n"/>
      <c r="G637" s="79" t="n"/>
      <c r="H637" s="69" t="n"/>
      <c r="I637" s="44">
        <f>IF(OR($B637="",$H637=""),"",$H637*MAX(1,N($F637)))</f>
        <v/>
      </c>
      <c r="J637" s="80" t="n"/>
      <c r="K637" s="77" t="n"/>
      <c r="L637" s="54">
        <f>IF($B637="",0,IF(COUNTIFS('①在庫を貼る'!$V$6:$V$10005,'設定'!$C$4,'①在庫を貼る'!$W$6:$W$10005,$B637)+COUNTIFS('月1回_1ヶ月前の在庫'!$V$6:$V$10005,'設定'!$C$4,'月1回_1ヶ月前の在庫'!$W$6:$W$10005,$B637)+COUNTIFS('月1回_2ヶ月前の在庫'!$V$6:$V$10005,'設定'!$C$4,'月1回_2ヶ月前の在庫'!$W$6:$W$10005,$B637)&gt;0,1,0))</f>
        <v/>
      </c>
      <c r="M637" s="54">
        <f>N(M636)+$L637</f>
        <v/>
      </c>
      <c r="N637" s="54">
        <f>IF($B637="",0,COUNTIFS('①在庫を貼る'!$V$6:$V$10005,'設定'!$C$4,'①在庫を貼る'!$W$6:$W$10005,$B637))</f>
        <v/>
      </c>
    </row>
    <row r="638" ht="18" customHeight="1">
      <c r="B638" s="76" t="n"/>
      <c r="C638" s="77" t="n"/>
      <c r="D638" s="77" t="n"/>
      <c r="E638" s="77" t="n"/>
      <c r="F638" s="78" t="n"/>
      <c r="G638" s="79" t="n"/>
      <c r="H638" s="69" t="n"/>
      <c r="I638" s="44">
        <f>IF(OR($B638="",$H638=""),"",$H638*MAX(1,N($F638)))</f>
        <v/>
      </c>
      <c r="J638" s="80" t="n"/>
      <c r="K638" s="77" t="n"/>
      <c r="L638" s="54">
        <f>IF($B638="",0,IF(COUNTIFS('①在庫を貼る'!$V$6:$V$10005,'設定'!$C$4,'①在庫を貼る'!$W$6:$W$10005,$B638)+COUNTIFS('月1回_1ヶ月前の在庫'!$V$6:$V$10005,'設定'!$C$4,'月1回_1ヶ月前の在庫'!$W$6:$W$10005,$B638)+COUNTIFS('月1回_2ヶ月前の在庫'!$V$6:$V$10005,'設定'!$C$4,'月1回_2ヶ月前の在庫'!$W$6:$W$10005,$B638)&gt;0,1,0))</f>
        <v/>
      </c>
      <c r="M638" s="54">
        <f>N(M637)+$L638</f>
        <v/>
      </c>
      <c r="N638" s="54">
        <f>IF($B638="",0,COUNTIFS('①在庫を貼る'!$V$6:$V$10005,'設定'!$C$4,'①在庫を貼る'!$W$6:$W$10005,$B638))</f>
        <v/>
      </c>
    </row>
    <row r="639" ht="18" customHeight="1">
      <c r="B639" s="76" t="n"/>
      <c r="C639" s="77" t="n"/>
      <c r="D639" s="77" t="n"/>
      <c r="E639" s="77" t="n"/>
      <c r="F639" s="78" t="n"/>
      <c r="G639" s="79" t="n"/>
      <c r="H639" s="69" t="n"/>
      <c r="I639" s="44">
        <f>IF(OR($B639="",$H639=""),"",$H639*MAX(1,N($F639)))</f>
        <v/>
      </c>
      <c r="J639" s="80" t="n"/>
      <c r="K639" s="77" t="n"/>
      <c r="L639" s="54">
        <f>IF($B639="",0,IF(COUNTIFS('①在庫を貼る'!$V$6:$V$10005,'設定'!$C$4,'①在庫を貼る'!$W$6:$W$10005,$B639)+COUNTIFS('月1回_1ヶ月前の在庫'!$V$6:$V$10005,'設定'!$C$4,'月1回_1ヶ月前の在庫'!$W$6:$W$10005,$B639)+COUNTIFS('月1回_2ヶ月前の在庫'!$V$6:$V$10005,'設定'!$C$4,'月1回_2ヶ月前の在庫'!$W$6:$W$10005,$B639)&gt;0,1,0))</f>
        <v/>
      </c>
      <c r="M639" s="54">
        <f>N(M638)+$L639</f>
        <v/>
      </c>
      <c r="N639" s="54">
        <f>IF($B639="",0,COUNTIFS('①在庫を貼る'!$V$6:$V$10005,'設定'!$C$4,'①在庫を貼る'!$W$6:$W$10005,$B639))</f>
        <v/>
      </c>
    </row>
    <row r="640" ht="18" customHeight="1">
      <c r="B640" s="76" t="n"/>
      <c r="C640" s="77" t="n"/>
      <c r="D640" s="77" t="n"/>
      <c r="E640" s="77" t="n"/>
      <c r="F640" s="78" t="n"/>
      <c r="G640" s="79" t="n"/>
      <c r="H640" s="69" t="n"/>
      <c r="I640" s="44">
        <f>IF(OR($B640="",$H640=""),"",$H640*MAX(1,N($F640)))</f>
        <v/>
      </c>
      <c r="J640" s="80" t="n"/>
      <c r="K640" s="77" t="n"/>
      <c r="L640" s="54">
        <f>IF($B640="",0,IF(COUNTIFS('①在庫を貼る'!$V$6:$V$10005,'設定'!$C$4,'①在庫を貼る'!$W$6:$W$10005,$B640)+COUNTIFS('月1回_1ヶ月前の在庫'!$V$6:$V$10005,'設定'!$C$4,'月1回_1ヶ月前の在庫'!$W$6:$W$10005,$B640)+COUNTIFS('月1回_2ヶ月前の在庫'!$V$6:$V$10005,'設定'!$C$4,'月1回_2ヶ月前の在庫'!$W$6:$W$10005,$B640)&gt;0,1,0))</f>
        <v/>
      </c>
      <c r="M640" s="54">
        <f>N(M639)+$L640</f>
        <v/>
      </c>
      <c r="N640" s="54">
        <f>IF($B640="",0,COUNTIFS('①在庫を貼る'!$V$6:$V$10005,'設定'!$C$4,'①在庫を貼る'!$W$6:$W$10005,$B640))</f>
        <v/>
      </c>
    </row>
    <row r="641" ht="18" customHeight="1">
      <c r="B641" s="76" t="n"/>
      <c r="C641" s="77" t="n"/>
      <c r="D641" s="77" t="n"/>
      <c r="E641" s="77" t="n"/>
      <c r="F641" s="78" t="n"/>
      <c r="G641" s="79" t="n"/>
      <c r="H641" s="69" t="n"/>
      <c r="I641" s="44">
        <f>IF(OR($B641="",$H641=""),"",$H641*MAX(1,N($F641)))</f>
        <v/>
      </c>
      <c r="J641" s="80" t="n"/>
      <c r="K641" s="77" t="n"/>
      <c r="L641" s="54">
        <f>IF($B641="",0,IF(COUNTIFS('①在庫を貼る'!$V$6:$V$10005,'設定'!$C$4,'①在庫を貼る'!$W$6:$W$10005,$B641)+COUNTIFS('月1回_1ヶ月前の在庫'!$V$6:$V$10005,'設定'!$C$4,'月1回_1ヶ月前の在庫'!$W$6:$W$10005,$B641)+COUNTIFS('月1回_2ヶ月前の在庫'!$V$6:$V$10005,'設定'!$C$4,'月1回_2ヶ月前の在庫'!$W$6:$W$10005,$B641)&gt;0,1,0))</f>
        <v/>
      </c>
      <c r="M641" s="54">
        <f>N(M640)+$L641</f>
        <v/>
      </c>
      <c r="N641" s="54">
        <f>IF($B641="",0,COUNTIFS('①在庫を貼る'!$V$6:$V$10005,'設定'!$C$4,'①在庫を貼る'!$W$6:$W$10005,$B641))</f>
        <v/>
      </c>
    </row>
    <row r="642" ht="18" customHeight="1">
      <c r="B642" s="76" t="n"/>
      <c r="C642" s="77" t="n"/>
      <c r="D642" s="77" t="n"/>
      <c r="E642" s="77" t="n"/>
      <c r="F642" s="78" t="n"/>
      <c r="G642" s="79" t="n"/>
      <c r="H642" s="69" t="n"/>
      <c r="I642" s="44">
        <f>IF(OR($B642="",$H642=""),"",$H642*MAX(1,N($F642)))</f>
        <v/>
      </c>
      <c r="J642" s="80" t="n"/>
      <c r="K642" s="77" t="n"/>
      <c r="L642" s="54">
        <f>IF($B642="",0,IF(COUNTIFS('①在庫を貼る'!$V$6:$V$10005,'設定'!$C$4,'①在庫を貼る'!$W$6:$W$10005,$B642)+COUNTIFS('月1回_1ヶ月前の在庫'!$V$6:$V$10005,'設定'!$C$4,'月1回_1ヶ月前の在庫'!$W$6:$W$10005,$B642)+COUNTIFS('月1回_2ヶ月前の在庫'!$V$6:$V$10005,'設定'!$C$4,'月1回_2ヶ月前の在庫'!$W$6:$W$10005,$B642)&gt;0,1,0))</f>
        <v/>
      </c>
      <c r="M642" s="54">
        <f>N(M641)+$L642</f>
        <v/>
      </c>
      <c r="N642" s="54">
        <f>IF($B642="",0,COUNTIFS('①在庫を貼る'!$V$6:$V$10005,'設定'!$C$4,'①在庫を貼る'!$W$6:$W$10005,$B642))</f>
        <v/>
      </c>
    </row>
    <row r="643" ht="18" customHeight="1">
      <c r="B643" s="76" t="n"/>
      <c r="C643" s="77" t="n"/>
      <c r="D643" s="77" t="n"/>
      <c r="E643" s="77" t="n"/>
      <c r="F643" s="78" t="n"/>
      <c r="G643" s="79" t="n"/>
      <c r="H643" s="69" t="n"/>
      <c r="I643" s="44">
        <f>IF(OR($B643="",$H643=""),"",$H643*MAX(1,N($F643)))</f>
        <v/>
      </c>
      <c r="J643" s="80" t="n"/>
      <c r="K643" s="77" t="n"/>
      <c r="L643" s="54">
        <f>IF($B643="",0,IF(COUNTIFS('①在庫を貼る'!$V$6:$V$10005,'設定'!$C$4,'①在庫を貼る'!$W$6:$W$10005,$B643)+COUNTIFS('月1回_1ヶ月前の在庫'!$V$6:$V$10005,'設定'!$C$4,'月1回_1ヶ月前の在庫'!$W$6:$W$10005,$B643)+COUNTIFS('月1回_2ヶ月前の在庫'!$V$6:$V$10005,'設定'!$C$4,'月1回_2ヶ月前の在庫'!$W$6:$W$10005,$B643)&gt;0,1,0))</f>
        <v/>
      </c>
      <c r="M643" s="54">
        <f>N(M642)+$L643</f>
        <v/>
      </c>
      <c r="N643" s="54">
        <f>IF($B643="",0,COUNTIFS('①在庫を貼る'!$V$6:$V$10005,'設定'!$C$4,'①在庫を貼る'!$W$6:$W$10005,$B643))</f>
        <v/>
      </c>
    </row>
    <row r="644" ht="18" customHeight="1">
      <c r="B644" s="76" t="n"/>
      <c r="C644" s="77" t="n"/>
      <c r="D644" s="77" t="n"/>
      <c r="E644" s="77" t="n"/>
      <c r="F644" s="78" t="n"/>
      <c r="G644" s="79" t="n"/>
      <c r="H644" s="69" t="n"/>
      <c r="I644" s="44">
        <f>IF(OR($B644="",$H644=""),"",$H644*MAX(1,N($F644)))</f>
        <v/>
      </c>
      <c r="J644" s="80" t="n"/>
      <c r="K644" s="77" t="n"/>
      <c r="L644" s="54">
        <f>IF($B644="",0,IF(COUNTIFS('①在庫を貼る'!$V$6:$V$10005,'設定'!$C$4,'①在庫を貼る'!$W$6:$W$10005,$B644)+COUNTIFS('月1回_1ヶ月前の在庫'!$V$6:$V$10005,'設定'!$C$4,'月1回_1ヶ月前の在庫'!$W$6:$W$10005,$B644)+COUNTIFS('月1回_2ヶ月前の在庫'!$V$6:$V$10005,'設定'!$C$4,'月1回_2ヶ月前の在庫'!$W$6:$W$10005,$B644)&gt;0,1,0))</f>
        <v/>
      </c>
      <c r="M644" s="54">
        <f>N(M643)+$L644</f>
        <v/>
      </c>
      <c r="N644" s="54">
        <f>IF($B644="",0,COUNTIFS('①在庫を貼る'!$V$6:$V$10005,'設定'!$C$4,'①在庫を貼る'!$W$6:$W$10005,$B644))</f>
        <v/>
      </c>
    </row>
    <row r="645" ht="18" customHeight="1">
      <c r="B645" s="76" t="n"/>
      <c r="C645" s="77" t="n"/>
      <c r="D645" s="77" t="n"/>
      <c r="E645" s="77" t="n"/>
      <c r="F645" s="78" t="n"/>
      <c r="G645" s="79" t="n"/>
      <c r="H645" s="69" t="n"/>
      <c r="I645" s="44">
        <f>IF(OR($B645="",$H645=""),"",$H645*MAX(1,N($F645)))</f>
        <v/>
      </c>
      <c r="J645" s="80" t="n"/>
      <c r="K645" s="77" t="n"/>
      <c r="L645" s="54">
        <f>IF($B645="",0,IF(COUNTIFS('①在庫を貼る'!$V$6:$V$10005,'設定'!$C$4,'①在庫を貼る'!$W$6:$W$10005,$B645)+COUNTIFS('月1回_1ヶ月前の在庫'!$V$6:$V$10005,'設定'!$C$4,'月1回_1ヶ月前の在庫'!$W$6:$W$10005,$B645)+COUNTIFS('月1回_2ヶ月前の在庫'!$V$6:$V$10005,'設定'!$C$4,'月1回_2ヶ月前の在庫'!$W$6:$W$10005,$B645)&gt;0,1,0))</f>
        <v/>
      </c>
      <c r="M645" s="54">
        <f>N(M644)+$L645</f>
        <v/>
      </c>
      <c r="N645" s="54">
        <f>IF($B645="",0,COUNTIFS('①在庫を貼る'!$V$6:$V$10005,'設定'!$C$4,'①在庫を貼る'!$W$6:$W$10005,$B645))</f>
        <v/>
      </c>
    </row>
    <row r="646" ht="18" customHeight="1">
      <c r="B646" s="76" t="n"/>
      <c r="C646" s="77" t="n"/>
      <c r="D646" s="77" t="n"/>
      <c r="E646" s="77" t="n"/>
      <c r="F646" s="78" t="n"/>
      <c r="G646" s="79" t="n"/>
      <c r="H646" s="69" t="n"/>
      <c r="I646" s="44">
        <f>IF(OR($B646="",$H646=""),"",$H646*MAX(1,N($F646)))</f>
        <v/>
      </c>
      <c r="J646" s="80" t="n"/>
      <c r="K646" s="77" t="n"/>
      <c r="L646" s="54">
        <f>IF($B646="",0,IF(COUNTIFS('①在庫を貼る'!$V$6:$V$10005,'設定'!$C$4,'①在庫を貼る'!$W$6:$W$10005,$B646)+COUNTIFS('月1回_1ヶ月前の在庫'!$V$6:$V$10005,'設定'!$C$4,'月1回_1ヶ月前の在庫'!$W$6:$W$10005,$B646)+COUNTIFS('月1回_2ヶ月前の在庫'!$V$6:$V$10005,'設定'!$C$4,'月1回_2ヶ月前の在庫'!$W$6:$W$10005,$B646)&gt;0,1,0))</f>
        <v/>
      </c>
      <c r="M646" s="54">
        <f>N(M645)+$L646</f>
        <v/>
      </c>
      <c r="N646" s="54">
        <f>IF($B646="",0,COUNTIFS('①在庫を貼る'!$V$6:$V$10005,'設定'!$C$4,'①在庫を貼る'!$W$6:$W$10005,$B646))</f>
        <v/>
      </c>
    </row>
    <row r="647" ht="18" customHeight="1">
      <c r="B647" s="76" t="n"/>
      <c r="C647" s="77" t="n"/>
      <c r="D647" s="77" t="n"/>
      <c r="E647" s="77" t="n"/>
      <c r="F647" s="78" t="n"/>
      <c r="G647" s="79" t="n"/>
      <c r="H647" s="69" t="n"/>
      <c r="I647" s="44">
        <f>IF(OR($B647="",$H647=""),"",$H647*MAX(1,N($F647)))</f>
        <v/>
      </c>
      <c r="J647" s="80" t="n"/>
      <c r="K647" s="77" t="n"/>
      <c r="L647" s="54">
        <f>IF($B647="",0,IF(COUNTIFS('①在庫を貼る'!$V$6:$V$10005,'設定'!$C$4,'①在庫を貼る'!$W$6:$W$10005,$B647)+COUNTIFS('月1回_1ヶ月前の在庫'!$V$6:$V$10005,'設定'!$C$4,'月1回_1ヶ月前の在庫'!$W$6:$W$10005,$B647)+COUNTIFS('月1回_2ヶ月前の在庫'!$V$6:$V$10005,'設定'!$C$4,'月1回_2ヶ月前の在庫'!$W$6:$W$10005,$B647)&gt;0,1,0))</f>
        <v/>
      </c>
      <c r="M647" s="54">
        <f>N(M646)+$L647</f>
        <v/>
      </c>
      <c r="N647" s="54">
        <f>IF($B647="",0,COUNTIFS('①在庫を貼る'!$V$6:$V$10005,'設定'!$C$4,'①在庫を貼る'!$W$6:$W$10005,$B647))</f>
        <v/>
      </c>
    </row>
    <row r="648" ht="18" customHeight="1">
      <c r="B648" s="76" t="n"/>
      <c r="C648" s="77" t="n"/>
      <c r="D648" s="77" t="n"/>
      <c r="E648" s="77" t="n"/>
      <c r="F648" s="78" t="n"/>
      <c r="G648" s="79" t="n"/>
      <c r="H648" s="69" t="n"/>
      <c r="I648" s="44">
        <f>IF(OR($B648="",$H648=""),"",$H648*MAX(1,N($F648)))</f>
        <v/>
      </c>
      <c r="J648" s="80" t="n"/>
      <c r="K648" s="77" t="n"/>
      <c r="L648" s="54">
        <f>IF($B648="",0,IF(COUNTIFS('①在庫を貼る'!$V$6:$V$10005,'設定'!$C$4,'①在庫を貼る'!$W$6:$W$10005,$B648)+COUNTIFS('月1回_1ヶ月前の在庫'!$V$6:$V$10005,'設定'!$C$4,'月1回_1ヶ月前の在庫'!$W$6:$W$10005,$B648)+COUNTIFS('月1回_2ヶ月前の在庫'!$V$6:$V$10005,'設定'!$C$4,'月1回_2ヶ月前の在庫'!$W$6:$W$10005,$B648)&gt;0,1,0))</f>
        <v/>
      </c>
      <c r="M648" s="54">
        <f>N(M647)+$L648</f>
        <v/>
      </c>
      <c r="N648" s="54">
        <f>IF($B648="",0,COUNTIFS('①在庫を貼る'!$V$6:$V$10005,'設定'!$C$4,'①在庫を貼る'!$W$6:$W$10005,$B648))</f>
        <v/>
      </c>
    </row>
    <row r="649" ht="18" customHeight="1">
      <c r="B649" s="76" t="n"/>
      <c r="C649" s="77" t="n"/>
      <c r="D649" s="77" t="n"/>
      <c r="E649" s="77" t="n"/>
      <c r="F649" s="78" t="n"/>
      <c r="G649" s="79" t="n"/>
      <c r="H649" s="69" t="n"/>
      <c r="I649" s="44">
        <f>IF(OR($B649="",$H649=""),"",$H649*MAX(1,N($F649)))</f>
        <v/>
      </c>
      <c r="J649" s="80" t="n"/>
      <c r="K649" s="77" t="n"/>
      <c r="L649" s="54">
        <f>IF($B649="",0,IF(COUNTIFS('①在庫を貼る'!$V$6:$V$10005,'設定'!$C$4,'①在庫を貼る'!$W$6:$W$10005,$B649)+COUNTIFS('月1回_1ヶ月前の在庫'!$V$6:$V$10005,'設定'!$C$4,'月1回_1ヶ月前の在庫'!$W$6:$W$10005,$B649)+COUNTIFS('月1回_2ヶ月前の在庫'!$V$6:$V$10005,'設定'!$C$4,'月1回_2ヶ月前の在庫'!$W$6:$W$10005,$B649)&gt;0,1,0))</f>
        <v/>
      </c>
      <c r="M649" s="54">
        <f>N(M648)+$L649</f>
        <v/>
      </c>
      <c r="N649" s="54">
        <f>IF($B649="",0,COUNTIFS('①在庫を貼る'!$V$6:$V$10005,'設定'!$C$4,'①在庫を貼る'!$W$6:$W$10005,$B649))</f>
        <v/>
      </c>
    </row>
    <row r="650" ht="18" customHeight="1">
      <c r="B650" s="76" t="n"/>
      <c r="C650" s="77" t="n"/>
      <c r="D650" s="77" t="n"/>
      <c r="E650" s="77" t="n"/>
      <c r="F650" s="78" t="n"/>
      <c r="G650" s="79" t="n"/>
      <c r="H650" s="69" t="n"/>
      <c r="I650" s="44">
        <f>IF(OR($B650="",$H650=""),"",$H650*MAX(1,N($F650)))</f>
        <v/>
      </c>
      <c r="J650" s="80" t="n"/>
      <c r="K650" s="77" t="n"/>
      <c r="L650" s="54">
        <f>IF($B650="",0,IF(COUNTIFS('①在庫を貼る'!$V$6:$V$10005,'設定'!$C$4,'①在庫を貼る'!$W$6:$W$10005,$B650)+COUNTIFS('月1回_1ヶ月前の在庫'!$V$6:$V$10005,'設定'!$C$4,'月1回_1ヶ月前の在庫'!$W$6:$W$10005,$B650)+COUNTIFS('月1回_2ヶ月前の在庫'!$V$6:$V$10005,'設定'!$C$4,'月1回_2ヶ月前の在庫'!$W$6:$W$10005,$B650)&gt;0,1,0))</f>
        <v/>
      </c>
      <c r="M650" s="54">
        <f>N(M649)+$L650</f>
        <v/>
      </c>
      <c r="N650" s="54">
        <f>IF($B650="",0,COUNTIFS('①在庫を貼る'!$V$6:$V$10005,'設定'!$C$4,'①在庫を貼る'!$W$6:$W$10005,$B650))</f>
        <v/>
      </c>
    </row>
    <row r="651" ht="18" customHeight="1">
      <c r="B651" s="76" t="n"/>
      <c r="C651" s="77" t="n"/>
      <c r="D651" s="77" t="n"/>
      <c r="E651" s="77" t="n"/>
      <c r="F651" s="78" t="n"/>
      <c r="G651" s="79" t="n"/>
      <c r="H651" s="69" t="n"/>
      <c r="I651" s="44">
        <f>IF(OR($B651="",$H651=""),"",$H651*MAX(1,N($F651)))</f>
        <v/>
      </c>
      <c r="J651" s="80" t="n"/>
      <c r="K651" s="77" t="n"/>
      <c r="L651" s="54">
        <f>IF($B651="",0,IF(COUNTIFS('①在庫を貼る'!$V$6:$V$10005,'設定'!$C$4,'①在庫を貼る'!$W$6:$W$10005,$B651)+COUNTIFS('月1回_1ヶ月前の在庫'!$V$6:$V$10005,'設定'!$C$4,'月1回_1ヶ月前の在庫'!$W$6:$W$10005,$B651)+COUNTIFS('月1回_2ヶ月前の在庫'!$V$6:$V$10005,'設定'!$C$4,'月1回_2ヶ月前の在庫'!$W$6:$W$10005,$B651)&gt;0,1,0))</f>
        <v/>
      </c>
      <c r="M651" s="54">
        <f>N(M650)+$L651</f>
        <v/>
      </c>
      <c r="N651" s="54">
        <f>IF($B651="",0,COUNTIFS('①在庫を貼る'!$V$6:$V$10005,'設定'!$C$4,'①在庫を貼る'!$W$6:$W$10005,$B651))</f>
        <v/>
      </c>
    </row>
    <row r="652" ht="18" customHeight="1">
      <c r="B652" s="76" t="n"/>
      <c r="C652" s="77" t="n"/>
      <c r="D652" s="77" t="n"/>
      <c r="E652" s="77" t="n"/>
      <c r="F652" s="78" t="n"/>
      <c r="G652" s="79" t="n"/>
      <c r="H652" s="69" t="n"/>
      <c r="I652" s="44">
        <f>IF(OR($B652="",$H652=""),"",$H652*MAX(1,N($F652)))</f>
        <v/>
      </c>
      <c r="J652" s="80" t="n"/>
      <c r="K652" s="77" t="n"/>
      <c r="L652" s="54">
        <f>IF($B652="",0,IF(COUNTIFS('①在庫を貼る'!$V$6:$V$10005,'設定'!$C$4,'①在庫を貼る'!$W$6:$W$10005,$B652)+COUNTIFS('月1回_1ヶ月前の在庫'!$V$6:$V$10005,'設定'!$C$4,'月1回_1ヶ月前の在庫'!$W$6:$W$10005,$B652)+COUNTIFS('月1回_2ヶ月前の在庫'!$V$6:$V$10005,'設定'!$C$4,'月1回_2ヶ月前の在庫'!$W$6:$W$10005,$B652)&gt;0,1,0))</f>
        <v/>
      </c>
      <c r="M652" s="54">
        <f>N(M651)+$L652</f>
        <v/>
      </c>
      <c r="N652" s="54">
        <f>IF($B652="",0,COUNTIFS('①在庫を貼る'!$V$6:$V$10005,'設定'!$C$4,'①在庫を貼る'!$W$6:$W$10005,$B652))</f>
        <v/>
      </c>
    </row>
    <row r="653" ht="18" customHeight="1">
      <c r="B653" s="76" t="n"/>
      <c r="C653" s="77" t="n"/>
      <c r="D653" s="77" t="n"/>
      <c r="E653" s="77" t="n"/>
      <c r="F653" s="78" t="n"/>
      <c r="G653" s="79" t="n"/>
      <c r="H653" s="69" t="n"/>
      <c r="I653" s="44">
        <f>IF(OR($B653="",$H653=""),"",$H653*MAX(1,N($F653)))</f>
        <v/>
      </c>
      <c r="J653" s="80" t="n"/>
      <c r="K653" s="77" t="n"/>
      <c r="L653" s="54">
        <f>IF($B653="",0,IF(COUNTIFS('①在庫を貼る'!$V$6:$V$10005,'設定'!$C$4,'①在庫を貼る'!$W$6:$W$10005,$B653)+COUNTIFS('月1回_1ヶ月前の在庫'!$V$6:$V$10005,'設定'!$C$4,'月1回_1ヶ月前の在庫'!$W$6:$W$10005,$B653)+COUNTIFS('月1回_2ヶ月前の在庫'!$V$6:$V$10005,'設定'!$C$4,'月1回_2ヶ月前の在庫'!$W$6:$W$10005,$B653)&gt;0,1,0))</f>
        <v/>
      </c>
      <c r="M653" s="54">
        <f>N(M652)+$L653</f>
        <v/>
      </c>
      <c r="N653" s="54">
        <f>IF($B653="",0,COUNTIFS('①在庫を貼る'!$V$6:$V$10005,'設定'!$C$4,'①在庫を貼る'!$W$6:$W$10005,$B653))</f>
        <v/>
      </c>
    </row>
    <row r="654" ht="18" customHeight="1">
      <c r="B654" s="76" t="n"/>
      <c r="C654" s="77" t="n"/>
      <c r="D654" s="77" t="n"/>
      <c r="E654" s="77" t="n"/>
      <c r="F654" s="78" t="n"/>
      <c r="G654" s="79" t="n"/>
      <c r="H654" s="69" t="n"/>
      <c r="I654" s="44">
        <f>IF(OR($B654="",$H654=""),"",$H654*MAX(1,N($F654)))</f>
        <v/>
      </c>
      <c r="J654" s="80" t="n"/>
      <c r="K654" s="77" t="n"/>
      <c r="L654" s="54">
        <f>IF($B654="",0,IF(COUNTIFS('①在庫を貼る'!$V$6:$V$10005,'設定'!$C$4,'①在庫を貼る'!$W$6:$W$10005,$B654)+COUNTIFS('月1回_1ヶ月前の在庫'!$V$6:$V$10005,'設定'!$C$4,'月1回_1ヶ月前の在庫'!$W$6:$W$10005,$B654)+COUNTIFS('月1回_2ヶ月前の在庫'!$V$6:$V$10005,'設定'!$C$4,'月1回_2ヶ月前の在庫'!$W$6:$W$10005,$B654)&gt;0,1,0))</f>
        <v/>
      </c>
      <c r="M654" s="54">
        <f>N(M653)+$L654</f>
        <v/>
      </c>
      <c r="N654" s="54">
        <f>IF($B654="",0,COUNTIFS('①在庫を貼る'!$V$6:$V$10005,'設定'!$C$4,'①在庫を貼る'!$W$6:$W$10005,$B654))</f>
        <v/>
      </c>
    </row>
    <row r="655" ht="18" customHeight="1">
      <c r="B655" s="76" t="n"/>
      <c r="C655" s="77" t="n"/>
      <c r="D655" s="77" t="n"/>
      <c r="E655" s="77" t="n"/>
      <c r="F655" s="78" t="n"/>
      <c r="G655" s="79" t="n"/>
      <c r="H655" s="69" t="n"/>
      <c r="I655" s="44">
        <f>IF(OR($B655="",$H655=""),"",$H655*MAX(1,N($F655)))</f>
        <v/>
      </c>
      <c r="J655" s="80" t="n"/>
      <c r="K655" s="77" t="n"/>
      <c r="L655" s="54">
        <f>IF($B655="",0,IF(COUNTIFS('①在庫を貼る'!$V$6:$V$10005,'設定'!$C$4,'①在庫を貼る'!$W$6:$W$10005,$B655)+COUNTIFS('月1回_1ヶ月前の在庫'!$V$6:$V$10005,'設定'!$C$4,'月1回_1ヶ月前の在庫'!$W$6:$W$10005,$B655)+COUNTIFS('月1回_2ヶ月前の在庫'!$V$6:$V$10005,'設定'!$C$4,'月1回_2ヶ月前の在庫'!$W$6:$W$10005,$B655)&gt;0,1,0))</f>
        <v/>
      </c>
      <c r="M655" s="54">
        <f>N(M654)+$L655</f>
        <v/>
      </c>
      <c r="N655" s="54">
        <f>IF($B655="",0,COUNTIFS('①在庫を貼る'!$V$6:$V$10005,'設定'!$C$4,'①在庫を貼る'!$W$6:$W$10005,$B655))</f>
        <v/>
      </c>
    </row>
    <row r="656" ht="18" customHeight="1">
      <c r="B656" s="76" t="n"/>
      <c r="C656" s="77" t="n"/>
      <c r="D656" s="77" t="n"/>
      <c r="E656" s="77" t="n"/>
      <c r="F656" s="78" t="n"/>
      <c r="G656" s="79" t="n"/>
      <c r="H656" s="69" t="n"/>
      <c r="I656" s="44">
        <f>IF(OR($B656="",$H656=""),"",$H656*MAX(1,N($F656)))</f>
        <v/>
      </c>
      <c r="J656" s="80" t="n"/>
      <c r="K656" s="77" t="n"/>
      <c r="L656" s="54">
        <f>IF($B656="",0,IF(COUNTIFS('①在庫を貼る'!$V$6:$V$10005,'設定'!$C$4,'①在庫を貼る'!$W$6:$W$10005,$B656)+COUNTIFS('月1回_1ヶ月前の在庫'!$V$6:$V$10005,'設定'!$C$4,'月1回_1ヶ月前の在庫'!$W$6:$W$10005,$B656)+COUNTIFS('月1回_2ヶ月前の在庫'!$V$6:$V$10005,'設定'!$C$4,'月1回_2ヶ月前の在庫'!$W$6:$W$10005,$B656)&gt;0,1,0))</f>
        <v/>
      </c>
      <c r="M656" s="54">
        <f>N(M655)+$L656</f>
        <v/>
      </c>
      <c r="N656" s="54">
        <f>IF($B656="",0,COUNTIFS('①在庫を貼る'!$V$6:$V$10005,'設定'!$C$4,'①在庫を貼る'!$W$6:$W$10005,$B656))</f>
        <v/>
      </c>
    </row>
    <row r="657" ht="18" customHeight="1">
      <c r="B657" s="76" t="n"/>
      <c r="C657" s="77" t="n"/>
      <c r="D657" s="77" t="n"/>
      <c r="E657" s="77" t="n"/>
      <c r="F657" s="78" t="n"/>
      <c r="G657" s="79" t="n"/>
      <c r="H657" s="69" t="n"/>
      <c r="I657" s="44">
        <f>IF(OR($B657="",$H657=""),"",$H657*MAX(1,N($F657)))</f>
        <v/>
      </c>
      <c r="J657" s="80" t="n"/>
      <c r="K657" s="77" t="n"/>
      <c r="L657" s="54">
        <f>IF($B657="",0,IF(COUNTIFS('①在庫を貼る'!$V$6:$V$10005,'設定'!$C$4,'①在庫を貼る'!$W$6:$W$10005,$B657)+COUNTIFS('月1回_1ヶ月前の在庫'!$V$6:$V$10005,'設定'!$C$4,'月1回_1ヶ月前の在庫'!$W$6:$W$10005,$B657)+COUNTIFS('月1回_2ヶ月前の在庫'!$V$6:$V$10005,'設定'!$C$4,'月1回_2ヶ月前の在庫'!$W$6:$W$10005,$B657)&gt;0,1,0))</f>
        <v/>
      </c>
      <c r="M657" s="54">
        <f>N(M656)+$L657</f>
        <v/>
      </c>
      <c r="N657" s="54">
        <f>IF($B657="",0,COUNTIFS('①在庫を貼る'!$V$6:$V$10005,'設定'!$C$4,'①在庫を貼る'!$W$6:$W$10005,$B657))</f>
        <v/>
      </c>
    </row>
    <row r="658" ht="18" customHeight="1">
      <c r="B658" s="76" t="n"/>
      <c r="C658" s="77" t="n"/>
      <c r="D658" s="77" t="n"/>
      <c r="E658" s="77" t="n"/>
      <c r="F658" s="78" t="n"/>
      <c r="G658" s="79" t="n"/>
      <c r="H658" s="69" t="n"/>
      <c r="I658" s="44">
        <f>IF(OR($B658="",$H658=""),"",$H658*MAX(1,N($F658)))</f>
        <v/>
      </c>
      <c r="J658" s="80" t="n"/>
      <c r="K658" s="77" t="n"/>
      <c r="L658" s="54">
        <f>IF($B658="",0,IF(COUNTIFS('①在庫を貼る'!$V$6:$V$10005,'設定'!$C$4,'①在庫を貼る'!$W$6:$W$10005,$B658)+COUNTIFS('月1回_1ヶ月前の在庫'!$V$6:$V$10005,'設定'!$C$4,'月1回_1ヶ月前の在庫'!$W$6:$W$10005,$B658)+COUNTIFS('月1回_2ヶ月前の在庫'!$V$6:$V$10005,'設定'!$C$4,'月1回_2ヶ月前の在庫'!$W$6:$W$10005,$B658)&gt;0,1,0))</f>
        <v/>
      </c>
      <c r="M658" s="54">
        <f>N(M657)+$L658</f>
        <v/>
      </c>
      <c r="N658" s="54">
        <f>IF($B658="",0,COUNTIFS('①在庫を貼る'!$V$6:$V$10005,'設定'!$C$4,'①在庫を貼る'!$W$6:$W$10005,$B658))</f>
        <v/>
      </c>
    </row>
    <row r="659" ht="18" customHeight="1">
      <c r="B659" s="76" t="n"/>
      <c r="C659" s="77" t="n"/>
      <c r="D659" s="77" t="n"/>
      <c r="E659" s="77" t="n"/>
      <c r="F659" s="78" t="n"/>
      <c r="G659" s="79" t="n"/>
      <c r="H659" s="69" t="n"/>
      <c r="I659" s="44">
        <f>IF(OR($B659="",$H659=""),"",$H659*MAX(1,N($F659)))</f>
        <v/>
      </c>
      <c r="J659" s="80" t="n"/>
      <c r="K659" s="77" t="n"/>
      <c r="L659" s="54">
        <f>IF($B659="",0,IF(COUNTIFS('①在庫を貼る'!$V$6:$V$10005,'設定'!$C$4,'①在庫を貼る'!$W$6:$W$10005,$B659)+COUNTIFS('月1回_1ヶ月前の在庫'!$V$6:$V$10005,'設定'!$C$4,'月1回_1ヶ月前の在庫'!$W$6:$W$10005,$B659)+COUNTIFS('月1回_2ヶ月前の在庫'!$V$6:$V$10005,'設定'!$C$4,'月1回_2ヶ月前の在庫'!$W$6:$W$10005,$B659)&gt;0,1,0))</f>
        <v/>
      </c>
      <c r="M659" s="54">
        <f>N(M658)+$L659</f>
        <v/>
      </c>
      <c r="N659" s="54">
        <f>IF($B659="",0,COUNTIFS('①在庫を貼る'!$V$6:$V$10005,'設定'!$C$4,'①在庫を貼る'!$W$6:$W$10005,$B659))</f>
        <v/>
      </c>
    </row>
    <row r="660" ht="18" customHeight="1">
      <c r="B660" s="76" t="n"/>
      <c r="C660" s="77" t="n"/>
      <c r="D660" s="77" t="n"/>
      <c r="E660" s="77" t="n"/>
      <c r="F660" s="78" t="n"/>
      <c r="G660" s="79" t="n"/>
      <c r="H660" s="69" t="n"/>
      <c r="I660" s="44">
        <f>IF(OR($B660="",$H660=""),"",$H660*MAX(1,N($F660)))</f>
        <v/>
      </c>
      <c r="J660" s="80" t="n"/>
      <c r="K660" s="77" t="n"/>
      <c r="L660" s="54">
        <f>IF($B660="",0,IF(COUNTIFS('①在庫を貼る'!$V$6:$V$10005,'設定'!$C$4,'①在庫を貼る'!$W$6:$W$10005,$B660)+COUNTIFS('月1回_1ヶ月前の在庫'!$V$6:$V$10005,'設定'!$C$4,'月1回_1ヶ月前の在庫'!$W$6:$W$10005,$B660)+COUNTIFS('月1回_2ヶ月前の在庫'!$V$6:$V$10005,'設定'!$C$4,'月1回_2ヶ月前の在庫'!$W$6:$W$10005,$B660)&gt;0,1,0))</f>
        <v/>
      </c>
      <c r="M660" s="54">
        <f>N(M659)+$L660</f>
        <v/>
      </c>
      <c r="N660" s="54">
        <f>IF($B660="",0,COUNTIFS('①在庫を貼る'!$V$6:$V$10005,'設定'!$C$4,'①在庫を貼る'!$W$6:$W$10005,$B660))</f>
        <v/>
      </c>
    </row>
    <row r="661" ht="18" customHeight="1">
      <c r="B661" s="76" t="n"/>
      <c r="C661" s="77" t="n"/>
      <c r="D661" s="77" t="n"/>
      <c r="E661" s="77" t="n"/>
      <c r="F661" s="78" t="n"/>
      <c r="G661" s="79" t="n"/>
      <c r="H661" s="69" t="n"/>
      <c r="I661" s="44">
        <f>IF(OR($B661="",$H661=""),"",$H661*MAX(1,N($F661)))</f>
        <v/>
      </c>
      <c r="J661" s="80" t="n"/>
      <c r="K661" s="77" t="n"/>
      <c r="L661" s="54">
        <f>IF($B661="",0,IF(COUNTIFS('①在庫を貼る'!$V$6:$V$10005,'設定'!$C$4,'①在庫を貼る'!$W$6:$W$10005,$B661)+COUNTIFS('月1回_1ヶ月前の在庫'!$V$6:$V$10005,'設定'!$C$4,'月1回_1ヶ月前の在庫'!$W$6:$W$10005,$B661)+COUNTIFS('月1回_2ヶ月前の在庫'!$V$6:$V$10005,'設定'!$C$4,'月1回_2ヶ月前の在庫'!$W$6:$W$10005,$B661)&gt;0,1,0))</f>
        <v/>
      </c>
      <c r="M661" s="54">
        <f>N(M660)+$L661</f>
        <v/>
      </c>
      <c r="N661" s="54">
        <f>IF($B661="",0,COUNTIFS('①在庫を貼る'!$V$6:$V$10005,'設定'!$C$4,'①在庫を貼る'!$W$6:$W$10005,$B661))</f>
        <v/>
      </c>
    </row>
    <row r="662" ht="18" customHeight="1">
      <c r="B662" s="76" t="n"/>
      <c r="C662" s="77" t="n"/>
      <c r="D662" s="77" t="n"/>
      <c r="E662" s="77" t="n"/>
      <c r="F662" s="78" t="n"/>
      <c r="G662" s="79" t="n"/>
      <c r="H662" s="69" t="n"/>
      <c r="I662" s="44">
        <f>IF(OR($B662="",$H662=""),"",$H662*MAX(1,N($F662)))</f>
        <v/>
      </c>
      <c r="J662" s="80" t="n"/>
      <c r="K662" s="77" t="n"/>
      <c r="L662" s="54">
        <f>IF($B662="",0,IF(COUNTIFS('①在庫を貼る'!$V$6:$V$10005,'設定'!$C$4,'①在庫を貼る'!$W$6:$W$10005,$B662)+COUNTIFS('月1回_1ヶ月前の在庫'!$V$6:$V$10005,'設定'!$C$4,'月1回_1ヶ月前の在庫'!$W$6:$W$10005,$B662)+COUNTIFS('月1回_2ヶ月前の在庫'!$V$6:$V$10005,'設定'!$C$4,'月1回_2ヶ月前の在庫'!$W$6:$W$10005,$B662)&gt;0,1,0))</f>
        <v/>
      </c>
      <c r="M662" s="54">
        <f>N(M661)+$L662</f>
        <v/>
      </c>
      <c r="N662" s="54">
        <f>IF($B662="",0,COUNTIFS('①在庫を貼る'!$V$6:$V$10005,'設定'!$C$4,'①在庫を貼る'!$W$6:$W$10005,$B662))</f>
        <v/>
      </c>
    </row>
    <row r="663" ht="18" customHeight="1">
      <c r="B663" s="76" t="n"/>
      <c r="C663" s="77" t="n"/>
      <c r="D663" s="77" t="n"/>
      <c r="E663" s="77" t="n"/>
      <c r="F663" s="78" t="n"/>
      <c r="G663" s="79" t="n"/>
      <c r="H663" s="69" t="n"/>
      <c r="I663" s="44">
        <f>IF(OR($B663="",$H663=""),"",$H663*MAX(1,N($F663)))</f>
        <v/>
      </c>
      <c r="J663" s="80" t="n"/>
      <c r="K663" s="77" t="n"/>
      <c r="L663" s="54">
        <f>IF($B663="",0,IF(COUNTIFS('①在庫を貼る'!$V$6:$V$10005,'設定'!$C$4,'①在庫を貼る'!$W$6:$W$10005,$B663)+COUNTIFS('月1回_1ヶ月前の在庫'!$V$6:$V$10005,'設定'!$C$4,'月1回_1ヶ月前の在庫'!$W$6:$W$10005,$B663)+COUNTIFS('月1回_2ヶ月前の在庫'!$V$6:$V$10005,'設定'!$C$4,'月1回_2ヶ月前の在庫'!$W$6:$W$10005,$B663)&gt;0,1,0))</f>
        <v/>
      </c>
      <c r="M663" s="54">
        <f>N(M662)+$L663</f>
        <v/>
      </c>
      <c r="N663" s="54">
        <f>IF($B663="",0,COUNTIFS('①在庫を貼る'!$V$6:$V$10005,'設定'!$C$4,'①在庫を貼る'!$W$6:$W$10005,$B663))</f>
        <v/>
      </c>
    </row>
    <row r="664" ht="18" customHeight="1">
      <c r="B664" s="76" t="n"/>
      <c r="C664" s="77" t="n"/>
      <c r="D664" s="77" t="n"/>
      <c r="E664" s="77" t="n"/>
      <c r="F664" s="78" t="n"/>
      <c r="G664" s="79" t="n"/>
      <c r="H664" s="69" t="n"/>
      <c r="I664" s="44">
        <f>IF(OR($B664="",$H664=""),"",$H664*MAX(1,N($F664)))</f>
        <v/>
      </c>
      <c r="J664" s="80" t="n"/>
      <c r="K664" s="77" t="n"/>
      <c r="L664" s="54">
        <f>IF($B664="",0,IF(COUNTIFS('①在庫を貼る'!$V$6:$V$10005,'設定'!$C$4,'①在庫を貼る'!$W$6:$W$10005,$B664)+COUNTIFS('月1回_1ヶ月前の在庫'!$V$6:$V$10005,'設定'!$C$4,'月1回_1ヶ月前の在庫'!$W$6:$W$10005,$B664)+COUNTIFS('月1回_2ヶ月前の在庫'!$V$6:$V$10005,'設定'!$C$4,'月1回_2ヶ月前の在庫'!$W$6:$W$10005,$B664)&gt;0,1,0))</f>
        <v/>
      </c>
      <c r="M664" s="54">
        <f>N(M663)+$L664</f>
        <v/>
      </c>
      <c r="N664" s="54">
        <f>IF($B664="",0,COUNTIFS('①在庫を貼る'!$V$6:$V$10005,'設定'!$C$4,'①在庫を貼る'!$W$6:$W$10005,$B664))</f>
        <v/>
      </c>
    </row>
    <row r="665" ht="18" customHeight="1">
      <c r="B665" s="76" t="n"/>
      <c r="C665" s="77" t="n"/>
      <c r="D665" s="77" t="n"/>
      <c r="E665" s="77" t="n"/>
      <c r="F665" s="78" t="n"/>
      <c r="G665" s="79" t="n"/>
      <c r="H665" s="69" t="n"/>
      <c r="I665" s="44">
        <f>IF(OR($B665="",$H665=""),"",$H665*MAX(1,N($F665)))</f>
        <v/>
      </c>
      <c r="J665" s="80" t="n"/>
      <c r="K665" s="77" t="n"/>
      <c r="L665" s="54">
        <f>IF($B665="",0,IF(COUNTIFS('①在庫を貼る'!$V$6:$V$10005,'設定'!$C$4,'①在庫を貼る'!$W$6:$W$10005,$B665)+COUNTIFS('月1回_1ヶ月前の在庫'!$V$6:$V$10005,'設定'!$C$4,'月1回_1ヶ月前の在庫'!$W$6:$W$10005,$B665)+COUNTIFS('月1回_2ヶ月前の在庫'!$V$6:$V$10005,'設定'!$C$4,'月1回_2ヶ月前の在庫'!$W$6:$W$10005,$B665)&gt;0,1,0))</f>
        <v/>
      </c>
      <c r="M665" s="54">
        <f>N(M664)+$L665</f>
        <v/>
      </c>
      <c r="N665" s="54">
        <f>IF($B665="",0,COUNTIFS('①在庫を貼る'!$V$6:$V$10005,'設定'!$C$4,'①在庫を貼る'!$W$6:$W$10005,$B665))</f>
        <v/>
      </c>
    </row>
    <row r="666" ht="18" customHeight="1">
      <c r="B666" s="76" t="n"/>
      <c r="C666" s="77" t="n"/>
      <c r="D666" s="77" t="n"/>
      <c r="E666" s="77" t="n"/>
      <c r="F666" s="78" t="n"/>
      <c r="G666" s="79" t="n"/>
      <c r="H666" s="69" t="n"/>
      <c r="I666" s="44">
        <f>IF(OR($B666="",$H666=""),"",$H666*MAX(1,N($F666)))</f>
        <v/>
      </c>
      <c r="J666" s="80" t="n"/>
      <c r="K666" s="77" t="n"/>
      <c r="L666" s="54">
        <f>IF($B666="",0,IF(COUNTIFS('①在庫を貼る'!$V$6:$V$10005,'設定'!$C$4,'①在庫を貼る'!$W$6:$W$10005,$B666)+COUNTIFS('月1回_1ヶ月前の在庫'!$V$6:$V$10005,'設定'!$C$4,'月1回_1ヶ月前の在庫'!$W$6:$W$10005,$B666)+COUNTIFS('月1回_2ヶ月前の在庫'!$V$6:$V$10005,'設定'!$C$4,'月1回_2ヶ月前の在庫'!$W$6:$W$10005,$B666)&gt;0,1,0))</f>
        <v/>
      </c>
      <c r="M666" s="54">
        <f>N(M665)+$L666</f>
        <v/>
      </c>
      <c r="N666" s="54">
        <f>IF($B666="",0,COUNTIFS('①在庫を貼る'!$V$6:$V$10005,'設定'!$C$4,'①在庫を貼る'!$W$6:$W$10005,$B666))</f>
        <v/>
      </c>
    </row>
    <row r="667" ht="18" customHeight="1">
      <c r="B667" s="76" t="n"/>
      <c r="C667" s="77" t="n"/>
      <c r="D667" s="77" t="n"/>
      <c r="E667" s="77" t="n"/>
      <c r="F667" s="78" t="n"/>
      <c r="G667" s="79" t="n"/>
      <c r="H667" s="69" t="n"/>
      <c r="I667" s="44">
        <f>IF(OR($B667="",$H667=""),"",$H667*MAX(1,N($F667)))</f>
        <v/>
      </c>
      <c r="J667" s="80" t="n"/>
      <c r="K667" s="77" t="n"/>
      <c r="L667" s="54">
        <f>IF($B667="",0,IF(COUNTIFS('①在庫を貼る'!$V$6:$V$10005,'設定'!$C$4,'①在庫を貼る'!$W$6:$W$10005,$B667)+COUNTIFS('月1回_1ヶ月前の在庫'!$V$6:$V$10005,'設定'!$C$4,'月1回_1ヶ月前の在庫'!$W$6:$W$10005,$B667)+COUNTIFS('月1回_2ヶ月前の在庫'!$V$6:$V$10005,'設定'!$C$4,'月1回_2ヶ月前の在庫'!$W$6:$W$10005,$B667)&gt;0,1,0))</f>
        <v/>
      </c>
      <c r="M667" s="54">
        <f>N(M666)+$L667</f>
        <v/>
      </c>
      <c r="N667" s="54">
        <f>IF($B667="",0,COUNTIFS('①在庫を貼る'!$V$6:$V$10005,'設定'!$C$4,'①在庫を貼る'!$W$6:$W$10005,$B667))</f>
        <v/>
      </c>
    </row>
    <row r="668" ht="18" customHeight="1">
      <c r="B668" s="76" t="n"/>
      <c r="C668" s="77" t="n"/>
      <c r="D668" s="77" t="n"/>
      <c r="E668" s="77" t="n"/>
      <c r="F668" s="78" t="n"/>
      <c r="G668" s="79" t="n"/>
      <c r="H668" s="69" t="n"/>
      <c r="I668" s="44">
        <f>IF(OR($B668="",$H668=""),"",$H668*MAX(1,N($F668)))</f>
        <v/>
      </c>
      <c r="J668" s="80" t="n"/>
      <c r="K668" s="77" t="n"/>
      <c r="L668" s="54">
        <f>IF($B668="",0,IF(COUNTIFS('①在庫を貼る'!$V$6:$V$10005,'設定'!$C$4,'①在庫を貼る'!$W$6:$W$10005,$B668)+COUNTIFS('月1回_1ヶ月前の在庫'!$V$6:$V$10005,'設定'!$C$4,'月1回_1ヶ月前の在庫'!$W$6:$W$10005,$B668)+COUNTIFS('月1回_2ヶ月前の在庫'!$V$6:$V$10005,'設定'!$C$4,'月1回_2ヶ月前の在庫'!$W$6:$W$10005,$B668)&gt;0,1,0))</f>
        <v/>
      </c>
      <c r="M668" s="54">
        <f>N(M667)+$L668</f>
        <v/>
      </c>
      <c r="N668" s="54">
        <f>IF($B668="",0,COUNTIFS('①在庫を貼る'!$V$6:$V$10005,'設定'!$C$4,'①在庫を貼る'!$W$6:$W$10005,$B668))</f>
        <v/>
      </c>
    </row>
    <row r="669" ht="18" customHeight="1">
      <c r="B669" s="76" t="n"/>
      <c r="C669" s="77" t="n"/>
      <c r="D669" s="77" t="n"/>
      <c r="E669" s="77" t="n"/>
      <c r="F669" s="78" t="n"/>
      <c r="G669" s="79" t="n"/>
      <c r="H669" s="69" t="n"/>
      <c r="I669" s="44">
        <f>IF(OR($B669="",$H669=""),"",$H669*MAX(1,N($F669)))</f>
        <v/>
      </c>
      <c r="J669" s="80" t="n"/>
      <c r="K669" s="77" t="n"/>
      <c r="L669" s="54">
        <f>IF($B669="",0,IF(COUNTIFS('①在庫を貼る'!$V$6:$V$10005,'設定'!$C$4,'①在庫を貼る'!$W$6:$W$10005,$B669)+COUNTIFS('月1回_1ヶ月前の在庫'!$V$6:$V$10005,'設定'!$C$4,'月1回_1ヶ月前の在庫'!$W$6:$W$10005,$B669)+COUNTIFS('月1回_2ヶ月前の在庫'!$V$6:$V$10005,'設定'!$C$4,'月1回_2ヶ月前の在庫'!$W$6:$W$10005,$B669)&gt;0,1,0))</f>
        <v/>
      </c>
      <c r="M669" s="54">
        <f>N(M668)+$L669</f>
        <v/>
      </c>
      <c r="N669" s="54">
        <f>IF($B669="",0,COUNTIFS('①在庫を貼る'!$V$6:$V$10005,'設定'!$C$4,'①在庫を貼る'!$W$6:$W$10005,$B669))</f>
        <v/>
      </c>
    </row>
    <row r="670" ht="18" customHeight="1">
      <c r="B670" s="76" t="n"/>
      <c r="C670" s="77" t="n"/>
      <c r="D670" s="77" t="n"/>
      <c r="E670" s="77" t="n"/>
      <c r="F670" s="78" t="n"/>
      <c r="G670" s="79" t="n"/>
      <c r="H670" s="69" t="n"/>
      <c r="I670" s="44">
        <f>IF(OR($B670="",$H670=""),"",$H670*MAX(1,N($F670)))</f>
        <v/>
      </c>
      <c r="J670" s="80" t="n"/>
      <c r="K670" s="77" t="n"/>
      <c r="L670" s="54">
        <f>IF($B670="",0,IF(COUNTIFS('①在庫を貼る'!$V$6:$V$10005,'設定'!$C$4,'①在庫を貼る'!$W$6:$W$10005,$B670)+COUNTIFS('月1回_1ヶ月前の在庫'!$V$6:$V$10005,'設定'!$C$4,'月1回_1ヶ月前の在庫'!$W$6:$W$10005,$B670)+COUNTIFS('月1回_2ヶ月前の在庫'!$V$6:$V$10005,'設定'!$C$4,'月1回_2ヶ月前の在庫'!$W$6:$W$10005,$B670)&gt;0,1,0))</f>
        <v/>
      </c>
      <c r="M670" s="54">
        <f>N(M669)+$L670</f>
        <v/>
      </c>
      <c r="N670" s="54">
        <f>IF($B670="",0,COUNTIFS('①在庫を貼る'!$V$6:$V$10005,'設定'!$C$4,'①在庫を貼る'!$W$6:$W$10005,$B670))</f>
        <v/>
      </c>
    </row>
    <row r="671" ht="18" customHeight="1">
      <c r="B671" s="76" t="n"/>
      <c r="C671" s="77" t="n"/>
      <c r="D671" s="77" t="n"/>
      <c r="E671" s="77" t="n"/>
      <c r="F671" s="78" t="n"/>
      <c r="G671" s="79" t="n"/>
      <c r="H671" s="69" t="n"/>
      <c r="I671" s="44">
        <f>IF(OR($B671="",$H671=""),"",$H671*MAX(1,N($F671)))</f>
        <v/>
      </c>
      <c r="J671" s="80" t="n"/>
      <c r="K671" s="77" t="n"/>
      <c r="L671" s="54">
        <f>IF($B671="",0,IF(COUNTIFS('①在庫を貼る'!$V$6:$V$10005,'設定'!$C$4,'①在庫を貼る'!$W$6:$W$10005,$B671)+COUNTIFS('月1回_1ヶ月前の在庫'!$V$6:$V$10005,'設定'!$C$4,'月1回_1ヶ月前の在庫'!$W$6:$W$10005,$B671)+COUNTIFS('月1回_2ヶ月前の在庫'!$V$6:$V$10005,'設定'!$C$4,'月1回_2ヶ月前の在庫'!$W$6:$W$10005,$B671)&gt;0,1,0))</f>
        <v/>
      </c>
      <c r="M671" s="54">
        <f>N(M670)+$L671</f>
        <v/>
      </c>
      <c r="N671" s="54">
        <f>IF($B671="",0,COUNTIFS('①在庫を貼る'!$V$6:$V$10005,'設定'!$C$4,'①在庫を貼る'!$W$6:$W$10005,$B671))</f>
        <v/>
      </c>
    </row>
    <row r="672" ht="18" customHeight="1">
      <c r="B672" s="76" t="n"/>
      <c r="C672" s="77" t="n"/>
      <c r="D672" s="77" t="n"/>
      <c r="E672" s="77" t="n"/>
      <c r="F672" s="78" t="n"/>
      <c r="G672" s="79" t="n"/>
      <c r="H672" s="69" t="n"/>
      <c r="I672" s="44">
        <f>IF(OR($B672="",$H672=""),"",$H672*MAX(1,N($F672)))</f>
        <v/>
      </c>
      <c r="J672" s="80" t="n"/>
      <c r="K672" s="77" t="n"/>
      <c r="L672" s="54">
        <f>IF($B672="",0,IF(COUNTIFS('①在庫を貼る'!$V$6:$V$10005,'設定'!$C$4,'①在庫を貼る'!$W$6:$W$10005,$B672)+COUNTIFS('月1回_1ヶ月前の在庫'!$V$6:$V$10005,'設定'!$C$4,'月1回_1ヶ月前の在庫'!$W$6:$W$10005,$B672)+COUNTIFS('月1回_2ヶ月前の在庫'!$V$6:$V$10005,'設定'!$C$4,'月1回_2ヶ月前の在庫'!$W$6:$W$10005,$B672)&gt;0,1,0))</f>
        <v/>
      </c>
      <c r="M672" s="54">
        <f>N(M671)+$L672</f>
        <v/>
      </c>
      <c r="N672" s="54">
        <f>IF($B672="",0,COUNTIFS('①在庫を貼る'!$V$6:$V$10005,'設定'!$C$4,'①在庫を貼る'!$W$6:$W$10005,$B672))</f>
        <v/>
      </c>
    </row>
    <row r="673" ht="18" customHeight="1">
      <c r="B673" s="76" t="n"/>
      <c r="C673" s="77" t="n"/>
      <c r="D673" s="77" t="n"/>
      <c r="E673" s="77" t="n"/>
      <c r="F673" s="78" t="n"/>
      <c r="G673" s="79" t="n"/>
      <c r="H673" s="69" t="n"/>
      <c r="I673" s="44">
        <f>IF(OR($B673="",$H673=""),"",$H673*MAX(1,N($F673)))</f>
        <v/>
      </c>
      <c r="J673" s="80" t="n"/>
      <c r="K673" s="77" t="n"/>
      <c r="L673" s="54">
        <f>IF($B673="",0,IF(COUNTIFS('①在庫を貼る'!$V$6:$V$10005,'設定'!$C$4,'①在庫を貼る'!$W$6:$W$10005,$B673)+COUNTIFS('月1回_1ヶ月前の在庫'!$V$6:$V$10005,'設定'!$C$4,'月1回_1ヶ月前の在庫'!$W$6:$W$10005,$B673)+COUNTIFS('月1回_2ヶ月前の在庫'!$V$6:$V$10005,'設定'!$C$4,'月1回_2ヶ月前の在庫'!$W$6:$W$10005,$B673)&gt;0,1,0))</f>
        <v/>
      </c>
      <c r="M673" s="54">
        <f>N(M672)+$L673</f>
        <v/>
      </c>
      <c r="N673" s="54">
        <f>IF($B673="",0,COUNTIFS('①在庫を貼る'!$V$6:$V$10005,'設定'!$C$4,'①在庫を貼る'!$W$6:$W$10005,$B673))</f>
        <v/>
      </c>
    </row>
    <row r="674" ht="18" customHeight="1">
      <c r="B674" s="76" t="n"/>
      <c r="C674" s="77" t="n"/>
      <c r="D674" s="77" t="n"/>
      <c r="E674" s="77" t="n"/>
      <c r="F674" s="78" t="n"/>
      <c r="G674" s="79" t="n"/>
      <c r="H674" s="69" t="n"/>
      <c r="I674" s="44">
        <f>IF(OR($B674="",$H674=""),"",$H674*MAX(1,N($F674)))</f>
        <v/>
      </c>
      <c r="J674" s="80" t="n"/>
      <c r="K674" s="77" t="n"/>
      <c r="L674" s="54">
        <f>IF($B674="",0,IF(COUNTIFS('①在庫を貼る'!$V$6:$V$10005,'設定'!$C$4,'①在庫を貼る'!$W$6:$W$10005,$B674)+COUNTIFS('月1回_1ヶ月前の在庫'!$V$6:$V$10005,'設定'!$C$4,'月1回_1ヶ月前の在庫'!$W$6:$W$10005,$B674)+COUNTIFS('月1回_2ヶ月前の在庫'!$V$6:$V$10005,'設定'!$C$4,'月1回_2ヶ月前の在庫'!$W$6:$W$10005,$B674)&gt;0,1,0))</f>
        <v/>
      </c>
      <c r="M674" s="54">
        <f>N(M673)+$L674</f>
        <v/>
      </c>
      <c r="N674" s="54">
        <f>IF($B674="",0,COUNTIFS('①在庫を貼る'!$V$6:$V$10005,'設定'!$C$4,'①在庫を貼る'!$W$6:$W$10005,$B674))</f>
        <v/>
      </c>
    </row>
    <row r="675" ht="18" customHeight="1">
      <c r="B675" s="76" t="n"/>
      <c r="C675" s="77" t="n"/>
      <c r="D675" s="77" t="n"/>
      <c r="E675" s="77" t="n"/>
      <c r="F675" s="78" t="n"/>
      <c r="G675" s="79" t="n"/>
      <c r="H675" s="69" t="n"/>
      <c r="I675" s="44">
        <f>IF(OR($B675="",$H675=""),"",$H675*MAX(1,N($F675)))</f>
        <v/>
      </c>
      <c r="J675" s="80" t="n"/>
      <c r="K675" s="77" t="n"/>
      <c r="L675" s="54">
        <f>IF($B675="",0,IF(COUNTIFS('①在庫を貼る'!$V$6:$V$10005,'設定'!$C$4,'①在庫を貼る'!$W$6:$W$10005,$B675)+COUNTIFS('月1回_1ヶ月前の在庫'!$V$6:$V$10005,'設定'!$C$4,'月1回_1ヶ月前の在庫'!$W$6:$W$10005,$B675)+COUNTIFS('月1回_2ヶ月前の在庫'!$V$6:$V$10005,'設定'!$C$4,'月1回_2ヶ月前の在庫'!$W$6:$W$10005,$B675)&gt;0,1,0))</f>
        <v/>
      </c>
      <c r="M675" s="54">
        <f>N(M674)+$L675</f>
        <v/>
      </c>
      <c r="N675" s="54">
        <f>IF($B675="",0,COUNTIFS('①在庫を貼る'!$V$6:$V$10005,'設定'!$C$4,'①在庫を貼る'!$W$6:$W$10005,$B675))</f>
        <v/>
      </c>
    </row>
    <row r="676" ht="18" customHeight="1">
      <c r="B676" s="76" t="n"/>
      <c r="C676" s="77" t="n"/>
      <c r="D676" s="77" t="n"/>
      <c r="E676" s="77" t="n"/>
      <c r="F676" s="78" t="n"/>
      <c r="G676" s="79" t="n"/>
      <c r="H676" s="69" t="n"/>
      <c r="I676" s="44">
        <f>IF(OR($B676="",$H676=""),"",$H676*MAX(1,N($F676)))</f>
        <v/>
      </c>
      <c r="J676" s="80" t="n"/>
      <c r="K676" s="77" t="n"/>
      <c r="L676" s="54">
        <f>IF($B676="",0,IF(COUNTIFS('①在庫を貼る'!$V$6:$V$10005,'設定'!$C$4,'①在庫を貼る'!$W$6:$W$10005,$B676)+COUNTIFS('月1回_1ヶ月前の在庫'!$V$6:$V$10005,'設定'!$C$4,'月1回_1ヶ月前の在庫'!$W$6:$W$10005,$B676)+COUNTIFS('月1回_2ヶ月前の在庫'!$V$6:$V$10005,'設定'!$C$4,'月1回_2ヶ月前の在庫'!$W$6:$W$10005,$B676)&gt;0,1,0))</f>
        <v/>
      </c>
      <c r="M676" s="54">
        <f>N(M675)+$L676</f>
        <v/>
      </c>
      <c r="N676" s="54">
        <f>IF($B676="",0,COUNTIFS('①在庫を貼る'!$V$6:$V$10005,'設定'!$C$4,'①在庫を貼る'!$W$6:$W$10005,$B676))</f>
        <v/>
      </c>
    </row>
    <row r="677" ht="18" customHeight="1">
      <c r="B677" s="76" t="n"/>
      <c r="C677" s="77" t="n"/>
      <c r="D677" s="77" t="n"/>
      <c r="E677" s="77" t="n"/>
      <c r="F677" s="78" t="n"/>
      <c r="G677" s="79" t="n"/>
      <c r="H677" s="69" t="n"/>
      <c r="I677" s="44">
        <f>IF(OR($B677="",$H677=""),"",$H677*MAX(1,N($F677)))</f>
        <v/>
      </c>
      <c r="J677" s="80" t="n"/>
      <c r="K677" s="77" t="n"/>
      <c r="L677" s="54">
        <f>IF($B677="",0,IF(COUNTIFS('①在庫を貼る'!$V$6:$V$10005,'設定'!$C$4,'①在庫を貼る'!$W$6:$W$10005,$B677)+COUNTIFS('月1回_1ヶ月前の在庫'!$V$6:$V$10005,'設定'!$C$4,'月1回_1ヶ月前の在庫'!$W$6:$W$10005,$B677)+COUNTIFS('月1回_2ヶ月前の在庫'!$V$6:$V$10005,'設定'!$C$4,'月1回_2ヶ月前の在庫'!$W$6:$W$10005,$B677)&gt;0,1,0))</f>
        <v/>
      </c>
      <c r="M677" s="54">
        <f>N(M676)+$L677</f>
        <v/>
      </c>
      <c r="N677" s="54">
        <f>IF($B677="",0,COUNTIFS('①在庫を貼る'!$V$6:$V$10005,'設定'!$C$4,'①在庫を貼る'!$W$6:$W$10005,$B677))</f>
        <v/>
      </c>
    </row>
    <row r="678" ht="18" customHeight="1">
      <c r="B678" s="76" t="n"/>
      <c r="C678" s="77" t="n"/>
      <c r="D678" s="77" t="n"/>
      <c r="E678" s="77" t="n"/>
      <c r="F678" s="78" t="n"/>
      <c r="G678" s="79" t="n"/>
      <c r="H678" s="69" t="n"/>
      <c r="I678" s="44">
        <f>IF(OR($B678="",$H678=""),"",$H678*MAX(1,N($F678)))</f>
        <v/>
      </c>
      <c r="J678" s="80" t="n"/>
      <c r="K678" s="77" t="n"/>
      <c r="L678" s="54">
        <f>IF($B678="",0,IF(COUNTIFS('①在庫を貼る'!$V$6:$V$10005,'設定'!$C$4,'①在庫を貼る'!$W$6:$W$10005,$B678)+COUNTIFS('月1回_1ヶ月前の在庫'!$V$6:$V$10005,'設定'!$C$4,'月1回_1ヶ月前の在庫'!$W$6:$W$10005,$B678)+COUNTIFS('月1回_2ヶ月前の在庫'!$V$6:$V$10005,'設定'!$C$4,'月1回_2ヶ月前の在庫'!$W$6:$W$10005,$B678)&gt;0,1,0))</f>
        <v/>
      </c>
      <c r="M678" s="54">
        <f>N(M677)+$L678</f>
        <v/>
      </c>
      <c r="N678" s="54">
        <f>IF($B678="",0,COUNTIFS('①在庫を貼る'!$V$6:$V$10005,'設定'!$C$4,'①在庫を貼る'!$W$6:$W$10005,$B678))</f>
        <v/>
      </c>
    </row>
    <row r="679" ht="18" customHeight="1">
      <c r="B679" s="76" t="n"/>
      <c r="C679" s="77" t="n"/>
      <c r="D679" s="77" t="n"/>
      <c r="E679" s="77" t="n"/>
      <c r="F679" s="78" t="n"/>
      <c r="G679" s="79" t="n"/>
      <c r="H679" s="69" t="n"/>
      <c r="I679" s="44">
        <f>IF(OR($B679="",$H679=""),"",$H679*MAX(1,N($F679)))</f>
        <v/>
      </c>
      <c r="J679" s="80" t="n"/>
      <c r="K679" s="77" t="n"/>
      <c r="L679" s="54">
        <f>IF($B679="",0,IF(COUNTIFS('①在庫を貼る'!$V$6:$V$10005,'設定'!$C$4,'①在庫を貼る'!$W$6:$W$10005,$B679)+COUNTIFS('月1回_1ヶ月前の在庫'!$V$6:$V$10005,'設定'!$C$4,'月1回_1ヶ月前の在庫'!$W$6:$W$10005,$B679)+COUNTIFS('月1回_2ヶ月前の在庫'!$V$6:$V$10005,'設定'!$C$4,'月1回_2ヶ月前の在庫'!$W$6:$W$10005,$B679)&gt;0,1,0))</f>
        <v/>
      </c>
      <c r="M679" s="54">
        <f>N(M678)+$L679</f>
        <v/>
      </c>
      <c r="N679" s="54">
        <f>IF($B679="",0,COUNTIFS('①在庫を貼る'!$V$6:$V$10005,'設定'!$C$4,'①在庫を貼る'!$W$6:$W$10005,$B679))</f>
        <v/>
      </c>
    </row>
    <row r="680" ht="18" customHeight="1">
      <c r="B680" s="76" t="n"/>
      <c r="C680" s="77" t="n"/>
      <c r="D680" s="77" t="n"/>
      <c r="E680" s="77" t="n"/>
      <c r="F680" s="78" t="n"/>
      <c r="G680" s="79" t="n"/>
      <c r="H680" s="69" t="n"/>
      <c r="I680" s="44">
        <f>IF(OR($B680="",$H680=""),"",$H680*MAX(1,N($F680)))</f>
        <v/>
      </c>
      <c r="J680" s="80" t="n"/>
      <c r="K680" s="77" t="n"/>
      <c r="L680" s="54">
        <f>IF($B680="",0,IF(COUNTIFS('①在庫を貼る'!$V$6:$V$10005,'設定'!$C$4,'①在庫を貼る'!$W$6:$W$10005,$B680)+COUNTIFS('月1回_1ヶ月前の在庫'!$V$6:$V$10005,'設定'!$C$4,'月1回_1ヶ月前の在庫'!$W$6:$W$10005,$B680)+COUNTIFS('月1回_2ヶ月前の在庫'!$V$6:$V$10005,'設定'!$C$4,'月1回_2ヶ月前の在庫'!$W$6:$W$10005,$B680)&gt;0,1,0))</f>
        <v/>
      </c>
      <c r="M680" s="54">
        <f>N(M679)+$L680</f>
        <v/>
      </c>
      <c r="N680" s="54">
        <f>IF($B680="",0,COUNTIFS('①在庫を貼る'!$V$6:$V$10005,'設定'!$C$4,'①在庫を貼る'!$W$6:$W$10005,$B680))</f>
        <v/>
      </c>
    </row>
    <row r="681" ht="18" customHeight="1">
      <c r="B681" s="76" t="n"/>
      <c r="C681" s="77" t="n"/>
      <c r="D681" s="77" t="n"/>
      <c r="E681" s="77" t="n"/>
      <c r="F681" s="78" t="n"/>
      <c r="G681" s="79" t="n"/>
      <c r="H681" s="69" t="n"/>
      <c r="I681" s="44">
        <f>IF(OR($B681="",$H681=""),"",$H681*MAX(1,N($F681)))</f>
        <v/>
      </c>
      <c r="J681" s="80" t="n"/>
      <c r="K681" s="77" t="n"/>
      <c r="L681" s="54">
        <f>IF($B681="",0,IF(COUNTIFS('①在庫を貼る'!$V$6:$V$10005,'設定'!$C$4,'①在庫を貼る'!$W$6:$W$10005,$B681)+COUNTIFS('月1回_1ヶ月前の在庫'!$V$6:$V$10005,'設定'!$C$4,'月1回_1ヶ月前の在庫'!$W$6:$W$10005,$B681)+COUNTIFS('月1回_2ヶ月前の在庫'!$V$6:$V$10005,'設定'!$C$4,'月1回_2ヶ月前の在庫'!$W$6:$W$10005,$B681)&gt;0,1,0))</f>
        <v/>
      </c>
      <c r="M681" s="54">
        <f>N(M680)+$L681</f>
        <v/>
      </c>
      <c r="N681" s="54">
        <f>IF($B681="",0,COUNTIFS('①在庫を貼る'!$V$6:$V$10005,'設定'!$C$4,'①在庫を貼る'!$W$6:$W$10005,$B681))</f>
        <v/>
      </c>
    </row>
    <row r="682" ht="18" customHeight="1">
      <c r="B682" s="76" t="n"/>
      <c r="C682" s="77" t="n"/>
      <c r="D682" s="77" t="n"/>
      <c r="E682" s="77" t="n"/>
      <c r="F682" s="78" t="n"/>
      <c r="G682" s="79" t="n"/>
      <c r="H682" s="69" t="n"/>
      <c r="I682" s="44">
        <f>IF(OR($B682="",$H682=""),"",$H682*MAX(1,N($F682)))</f>
        <v/>
      </c>
      <c r="J682" s="80" t="n"/>
      <c r="K682" s="77" t="n"/>
      <c r="L682" s="54">
        <f>IF($B682="",0,IF(COUNTIFS('①在庫を貼る'!$V$6:$V$10005,'設定'!$C$4,'①在庫を貼る'!$W$6:$W$10005,$B682)+COUNTIFS('月1回_1ヶ月前の在庫'!$V$6:$V$10005,'設定'!$C$4,'月1回_1ヶ月前の在庫'!$W$6:$W$10005,$B682)+COUNTIFS('月1回_2ヶ月前の在庫'!$V$6:$V$10005,'設定'!$C$4,'月1回_2ヶ月前の在庫'!$W$6:$W$10005,$B682)&gt;0,1,0))</f>
        <v/>
      </c>
      <c r="M682" s="54">
        <f>N(M681)+$L682</f>
        <v/>
      </c>
      <c r="N682" s="54">
        <f>IF($B682="",0,COUNTIFS('①在庫を貼る'!$V$6:$V$10005,'設定'!$C$4,'①在庫を貼る'!$W$6:$W$10005,$B682))</f>
        <v/>
      </c>
    </row>
    <row r="683" ht="18" customHeight="1">
      <c r="B683" s="76" t="n"/>
      <c r="C683" s="77" t="n"/>
      <c r="D683" s="77" t="n"/>
      <c r="E683" s="77" t="n"/>
      <c r="F683" s="78" t="n"/>
      <c r="G683" s="79" t="n"/>
      <c r="H683" s="69" t="n"/>
      <c r="I683" s="44">
        <f>IF(OR($B683="",$H683=""),"",$H683*MAX(1,N($F683)))</f>
        <v/>
      </c>
      <c r="J683" s="80" t="n"/>
      <c r="K683" s="77" t="n"/>
      <c r="L683" s="54">
        <f>IF($B683="",0,IF(COUNTIFS('①在庫を貼る'!$V$6:$V$10005,'設定'!$C$4,'①在庫を貼る'!$W$6:$W$10005,$B683)+COUNTIFS('月1回_1ヶ月前の在庫'!$V$6:$V$10005,'設定'!$C$4,'月1回_1ヶ月前の在庫'!$W$6:$W$10005,$B683)+COUNTIFS('月1回_2ヶ月前の在庫'!$V$6:$V$10005,'設定'!$C$4,'月1回_2ヶ月前の在庫'!$W$6:$W$10005,$B683)&gt;0,1,0))</f>
        <v/>
      </c>
      <c r="M683" s="54">
        <f>N(M682)+$L683</f>
        <v/>
      </c>
      <c r="N683" s="54">
        <f>IF($B683="",0,COUNTIFS('①在庫を貼る'!$V$6:$V$10005,'設定'!$C$4,'①在庫を貼る'!$W$6:$W$10005,$B683))</f>
        <v/>
      </c>
    </row>
    <row r="684" ht="18" customHeight="1">
      <c r="B684" s="76" t="n"/>
      <c r="C684" s="77" t="n"/>
      <c r="D684" s="77" t="n"/>
      <c r="E684" s="77" t="n"/>
      <c r="F684" s="78" t="n"/>
      <c r="G684" s="79" t="n"/>
      <c r="H684" s="69" t="n"/>
      <c r="I684" s="44">
        <f>IF(OR($B684="",$H684=""),"",$H684*MAX(1,N($F684)))</f>
        <v/>
      </c>
      <c r="J684" s="80" t="n"/>
      <c r="K684" s="77" t="n"/>
      <c r="L684" s="54">
        <f>IF($B684="",0,IF(COUNTIFS('①在庫を貼る'!$V$6:$V$10005,'設定'!$C$4,'①在庫を貼る'!$W$6:$W$10005,$B684)+COUNTIFS('月1回_1ヶ月前の在庫'!$V$6:$V$10005,'設定'!$C$4,'月1回_1ヶ月前の在庫'!$W$6:$W$10005,$B684)+COUNTIFS('月1回_2ヶ月前の在庫'!$V$6:$V$10005,'設定'!$C$4,'月1回_2ヶ月前の在庫'!$W$6:$W$10005,$B684)&gt;0,1,0))</f>
        <v/>
      </c>
      <c r="M684" s="54">
        <f>N(M683)+$L684</f>
        <v/>
      </c>
      <c r="N684" s="54">
        <f>IF($B684="",0,COUNTIFS('①在庫を貼る'!$V$6:$V$10005,'設定'!$C$4,'①在庫を貼る'!$W$6:$W$10005,$B684))</f>
        <v/>
      </c>
    </row>
    <row r="685" ht="18" customHeight="1">
      <c r="B685" s="76" t="n"/>
      <c r="C685" s="77" t="n"/>
      <c r="D685" s="77" t="n"/>
      <c r="E685" s="77" t="n"/>
      <c r="F685" s="78" t="n"/>
      <c r="G685" s="79" t="n"/>
      <c r="H685" s="69" t="n"/>
      <c r="I685" s="44">
        <f>IF(OR($B685="",$H685=""),"",$H685*MAX(1,N($F685)))</f>
        <v/>
      </c>
      <c r="J685" s="80" t="n"/>
      <c r="K685" s="77" t="n"/>
      <c r="L685" s="54">
        <f>IF($B685="",0,IF(COUNTIFS('①在庫を貼る'!$V$6:$V$10005,'設定'!$C$4,'①在庫を貼る'!$W$6:$W$10005,$B685)+COUNTIFS('月1回_1ヶ月前の在庫'!$V$6:$V$10005,'設定'!$C$4,'月1回_1ヶ月前の在庫'!$W$6:$W$10005,$B685)+COUNTIFS('月1回_2ヶ月前の在庫'!$V$6:$V$10005,'設定'!$C$4,'月1回_2ヶ月前の在庫'!$W$6:$W$10005,$B685)&gt;0,1,0))</f>
        <v/>
      </c>
      <c r="M685" s="54">
        <f>N(M684)+$L685</f>
        <v/>
      </c>
      <c r="N685" s="54">
        <f>IF($B685="",0,COUNTIFS('①在庫を貼る'!$V$6:$V$10005,'設定'!$C$4,'①在庫を貼る'!$W$6:$W$10005,$B685))</f>
        <v/>
      </c>
    </row>
    <row r="686" ht="18" customHeight="1">
      <c r="B686" s="76" t="n"/>
      <c r="C686" s="77" t="n"/>
      <c r="D686" s="77" t="n"/>
      <c r="E686" s="77" t="n"/>
      <c r="F686" s="78" t="n"/>
      <c r="G686" s="79" t="n"/>
      <c r="H686" s="69" t="n"/>
      <c r="I686" s="44">
        <f>IF(OR($B686="",$H686=""),"",$H686*MAX(1,N($F686)))</f>
        <v/>
      </c>
      <c r="J686" s="80" t="n"/>
      <c r="K686" s="77" t="n"/>
      <c r="L686" s="54">
        <f>IF($B686="",0,IF(COUNTIFS('①在庫を貼る'!$V$6:$V$10005,'設定'!$C$4,'①在庫を貼る'!$W$6:$W$10005,$B686)+COUNTIFS('月1回_1ヶ月前の在庫'!$V$6:$V$10005,'設定'!$C$4,'月1回_1ヶ月前の在庫'!$W$6:$W$10005,$B686)+COUNTIFS('月1回_2ヶ月前の在庫'!$V$6:$V$10005,'設定'!$C$4,'月1回_2ヶ月前の在庫'!$W$6:$W$10005,$B686)&gt;0,1,0))</f>
        <v/>
      </c>
      <c r="M686" s="54">
        <f>N(M685)+$L686</f>
        <v/>
      </c>
      <c r="N686" s="54">
        <f>IF($B686="",0,COUNTIFS('①在庫を貼る'!$V$6:$V$10005,'設定'!$C$4,'①在庫を貼る'!$W$6:$W$10005,$B686))</f>
        <v/>
      </c>
    </row>
    <row r="687" ht="18" customHeight="1">
      <c r="B687" s="76" t="n"/>
      <c r="C687" s="77" t="n"/>
      <c r="D687" s="77" t="n"/>
      <c r="E687" s="77" t="n"/>
      <c r="F687" s="78" t="n"/>
      <c r="G687" s="79" t="n"/>
      <c r="H687" s="69" t="n"/>
      <c r="I687" s="44">
        <f>IF(OR($B687="",$H687=""),"",$H687*MAX(1,N($F687)))</f>
        <v/>
      </c>
      <c r="J687" s="80" t="n"/>
      <c r="K687" s="77" t="n"/>
      <c r="L687" s="54">
        <f>IF($B687="",0,IF(COUNTIFS('①在庫を貼る'!$V$6:$V$10005,'設定'!$C$4,'①在庫を貼る'!$W$6:$W$10005,$B687)+COUNTIFS('月1回_1ヶ月前の在庫'!$V$6:$V$10005,'設定'!$C$4,'月1回_1ヶ月前の在庫'!$W$6:$W$10005,$B687)+COUNTIFS('月1回_2ヶ月前の在庫'!$V$6:$V$10005,'設定'!$C$4,'月1回_2ヶ月前の在庫'!$W$6:$W$10005,$B687)&gt;0,1,0))</f>
        <v/>
      </c>
      <c r="M687" s="54">
        <f>N(M686)+$L687</f>
        <v/>
      </c>
      <c r="N687" s="54">
        <f>IF($B687="",0,COUNTIFS('①在庫を貼る'!$V$6:$V$10005,'設定'!$C$4,'①在庫を貼る'!$W$6:$W$10005,$B687))</f>
        <v/>
      </c>
    </row>
    <row r="688" ht="18" customHeight="1">
      <c r="B688" s="76" t="n"/>
      <c r="C688" s="77" t="n"/>
      <c r="D688" s="77" t="n"/>
      <c r="E688" s="77" t="n"/>
      <c r="F688" s="78" t="n"/>
      <c r="G688" s="79" t="n"/>
      <c r="H688" s="69" t="n"/>
      <c r="I688" s="44">
        <f>IF(OR($B688="",$H688=""),"",$H688*MAX(1,N($F688)))</f>
        <v/>
      </c>
      <c r="J688" s="80" t="n"/>
      <c r="K688" s="77" t="n"/>
      <c r="L688" s="54">
        <f>IF($B688="",0,IF(COUNTIFS('①在庫を貼る'!$V$6:$V$10005,'設定'!$C$4,'①在庫を貼る'!$W$6:$W$10005,$B688)+COUNTIFS('月1回_1ヶ月前の在庫'!$V$6:$V$10005,'設定'!$C$4,'月1回_1ヶ月前の在庫'!$W$6:$W$10005,$B688)+COUNTIFS('月1回_2ヶ月前の在庫'!$V$6:$V$10005,'設定'!$C$4,'月1回_2ヶ月前の在庫'!$W$6:$W$10005,$B688)&gt;0,1,0))</f>
        <v/>
      </c>
      <c r="M688" s="54">
        <f>N(M687)+$L688</f>
        <v/>
      </c>
      <c r="N688" s="54">
        <f>IF($B688="",0,COUNTIFS('①在庫を貼る'!$V$6:$V$10005,'設定'!$C$4,'①在庫を貼る'!$W$6:$W$10005,$B688))</f>
        <v/>
      </c>
    </row>
    <row r="689" ht="18" customHeight="1">
      <c r="B689" s="76" t="n"/>
      <c r="C689" s="77" t="n"/>
      <c r="D689" s="77" t="n"/>
      <c r="E689" s="77" t="n"/>
      <c r="F689" s="78" t="n"/>
      <c r="G689" s="79" t="n"/>
      <c r="H689" s="69" t="n"/>
      <c r="I689" s="44">
        <f>IF(OR($B689="",$H689=""),"",$H689*MAX(1,N($F689)))</f>
        <v/>
      </c>
      <c r="J689" s="80" t="n"/>
      <c r="K689" s="77" t="n"/>
      <c r="L689" s="54">
        <f>IF($B689="",0,IF(COUNTIFS('①在庫を貼る'!$V$6:$V$10005,'設定'!$C$4,'①在庫を貼る'!$W$6:$W$10005,$B689)+COUNTIFS('月1回_1ヶ月前の在庫'!$V$6:$V$10005,'設定'!$C$4,'月1回_1ヶ月前の在庫'!$W$6:$W$10005,$B689)+COUNTIFS('月1回_2ヶ月前の在庫'!$V$6:$V$10005,'設定'!$C$4,'月1回_2ヶ月前の在庫'!$W$6:$W$10005,$B689)&gt;0,1,0))</f>
        <v/>
      </c>
      <c r="M689" s="54">
        <f>N(M688)+$L689</f>
        <v/>
      </c>
      <c r="N689" s="54">
        <f>IF($B689="",0,COUNTIFS('①在庫を貼る'!$V$6:$V$10005,'設定'!$C$4,'①在庫を貼る'!$W$6:$W$10005,$B689))</f>
        <v/>
      </c>
    </row>
    <row r="690" ht="18" customHeight="1">
      <c r="B690" s="76" t="n"/>
      <c r="C690" s="77" t="n"/>
      <c r="D690" s="77" t="n"/>
      <c r="E690" s="77" t="n"/>
      <c r="F690" s="78" t="n"/>
      <c r="G690" s="79" t="n"/>
      <c r="H690" s="69" t="n"/>
      <c r="I690" s="44">
        <f>IF(OR($B690="",$H690=""),"",$H690*MAX(1,N($F690)))</f>
        <v/>
      </c>
      <c r="J690" s="80" t="n"/>
      <c r="K690" s="77" t="n"/>
      <c r="L690" s="54">
        <f>IF($B690="",0,IF(COUNTIFS('①在庫を貼る'!$V$6:$V$10005,'設定'!$C$4,'①在庫を貼る'!$W$6:$W$10005,$B690)+COUNTIFS('月1回_1ヶ月前の在庫'!$V$6:$V$10005,'設定'!$C$4,'月1回_1ヶ月前の在庫'!$W$6:$W$10005,$B690)+COUNTIFS('月1回_2ヶ月前の在庫'!$V$6:$V$10005,'設定'!$C$4,'月1回_2ヶ月前の在庫'!$W$6:$W$10005,$B690)&gt;0,1,0))</f>
        <v/>
      </c>
      <c r="M690" s="54">
        <f>N(M689)+$L690</f>
        <v/>
      </c>
      <c r="N690" s="54">
        <f>IF($B690="",0,COUNTIFS('①在庫を貼る'!$V$6:$V$10005,'設定'!$C$4,'①在庫を貼る'!$W$6:$W$10005,$B690))</f>
        <v/>
      </c>
    </row>
    <row r="691" ht="18" customHeight="1">
      <c r="B691" s="76" t="n"/>
      <c r="C691" s="77" t="n"/>
      <c r="D691" s="77" t="n"/>
      <c r="E691" s="77" t="n"/>
      <c r="F691" s="78" t="n"/>
      <c r="G691" s="79" t="n"/>
      <c r="H691" s="69" t="n"/>
      <c r="I691" s="44">
        <f>IF(OR($B691="",$H691=""),"",$H691*MAX(1,N($F691)))</f>
        <v/>
      </c>
      <c r="J691" s="80" t="n"/>
      <c r="K691" s="77" t="n"/>
      <c r="L691" s="54">
        <f>IF($B691="",0,IF(COUNTIFS('①在庫を貼る'!$V$6:$V$10005,'設定'!$C$4,'①在庫を貼る'!$W$6:$W$10005,$B691)+COUNTIFS('月1回_1ヶ月前の在庫'!$V$6:$V$10005,'設定'!$C$4,'月1回_1ヶ月前の在庫'!$W$6:$W$10005,$B691)+COUNTIFS('月1回_2ヶ月前の在庫'!$V$6:$V$10005,'設定'!$C$4,'月1回_2ヶ月前の在庫'!$W$6:$W$10005,$B691)&gt;0,1,0))</f>
        <v/>
      </c>
      <c r="M691" s="54">
        <f>N(M690)+$L691</f>
        <v/>
      </c>
      <c r="N691" s="54">
        <f>IF($B691="",0,COUNTIFS('①在庫を貼る'!$V$6:$V$10005,'設定'!$C$4,'①在庫を貼る'!$W$6:$W$10005,$B691))</f>
        <v/>
      </c>
    </row>
    <row r="692" ht="18" customHeight="1">
      <c r="B692" s="76" t="n"/>
      <c r="C692" s="77" t="n"/>
      <c r="D692" s="77" t="n"/>
      <c r="E692" s="77" t="n"/>
      <c r="F692" s="78" t="n"/>
      <c r="G692" s="79" t="n"/>
      <c r="H692" s="69" t="n"/>
      <c r="I692" s="44">
        <f>IF(OR($B692="",$H692=""),"",$H692*MAX(1,N($F692)))</f>
        <v/>
      </c>
      <c r="J692" s="80" t="n"/>
      <c r="K692" s="77" t="n"/>
      <c r="L692" s="54">
        <f>IF($B692="",0,IF(COUNTIFS('①在庫を貼る'!$V$6:$V$10005,'設定'!$C$4,'①在庫を貼る'!$W$6:$W$10005,$B692)+COUNTIFS('月1回_1ヶ月前の在庫'!$V$6:$V$10005,'設定'!$C$4,'月1回_1ヶ月前の在庫'!$W$6:$W$10005,$B692)+COUNTIFS('月1回_2ヶ月前の在庫'!$V$6:$V$10005,'設定'!$C$4,'月1回_2ヶ月前の在庫'!$W$6:$W$10005,$B692)&gt;0,1,0))</f>
        <v/>
      </c>
      <c r="M692" s="54">
        <f>N(M691)+$L692</f>
        <v/>
      </c>
      <c r="N692" s="54">
        <f>IF($B692="",0,COUNTIFS('①在庫を貼る'!$V$6:$V$10005,'設定'!$C$4,'①在庫を貼る'!$W$6:$W$10005,$B692))</f>
        <v/>
      </c>
    </row>
    <row r="693" ht="18" customHeight="1">
      <c r="B693" s="76" t="n"/>
      <c r="C693" s="77" t="n"/>
      <c r="D693" s="77" t="n"/>
      <c r="E693" s="77" t="n"/>
      <c r="F693" s="78" t="n"/>
      <c r="G693" s="79" t="n"/>
      <c r="H693" s="69" t="n"/>
      <c r="I693" s="44">
        <f>IF(OR($B693="",$H693=""),"",$H693*MAX(1,N($F693)))</f>
        <v/>
      </c>
      <c r="J693" s="80" t="n"/>
      <c r="K693" s="77" t="n"/>
      <c r="L693" s="54">
        <f>IF($B693="",0,IF(COUNTIFS('①在庫を貼る'!$V$6:$V$10005,'設定'!$C$4,'①在庫を貼る'!$W$6:$W$10005,$B693)+COUNTIFS('月1回_1ヶ月前の在庫'!$V$6:$V$10005,'設定'!$C$4,'月1回_1ヶ月前の在庫'!$W$6:$W$10005,$B693)+COUNTIFS('月1回_2ヶ月前の在庫'!$V$6:$V$10005,'設定'!$C$4,'月1回_2ヶ月前の在庫'!$W$6:$W$10005,$B693)&gt;0,1,0))</f>
        <v/>
      </c>
      <c r="M693" s="54">
        <f>N(M692)+$L693</f>
        <v/>
      </c>
      <c r="N693" s="54">
        <f>IF($B693="",0,COUNTIFS('①在庫を貼る'!$V$6:$V$10005,'設定'!$C$4,'①在庫を貼る'!$W$6:$W$10005,$B693))</f>
        <v/>
      </c>
    </row>
    <row r="694" ht="18" customHeight="1">
      <c r="B694" s="76" t="n"/>
      <c r="C694" s="77" t="n"/>
      <c r="D694" s="77" t="n"/>
      <c r="E694" s="77" t="n"/>
      <c r="F694" s="78" t="n"/>
      <c r="G694" s="79" t="n"/>
      <c r="H694" s="69" t="n"/>
      <c r="I694" s="44">
        <f>IF(OR($B694="",$H694=""),"",$H694*MAX(1,N($F694)))</f>
        <v/>
      </c>
      <c r="J694" s="80" t="n"/>
      <c r="K694" s="77" t="n"/>
      <c r="L694" s="54">
        <f>IF($B694="",0,IF(COUNTIFS('①在庫を貼る'!$V$6:$V$10005,'設定'!$C$4,'①在庫を貼る'!$W$6:$W$10005,$B694)+COUNTIFS('月1回_1ヶ月前の在庫'!$V$6:$V$10005,'設定'!$C$4,'月1回_1ヶ月前の在庫'!$W$6:$W$10005,$B694)+COUNTIFS('月1回_2ヶ月前の在庫'!$V$6:$V$10005,'設定'!$C$4,'月1回_2ヶ月前の在庫'!$W$6:$W$10005,$B694)&gt;0,1,0))</f>
        <v/>
      </c>
      <c r="M694" s="54">
        <f>N(M693)+$L694</f>
        <v/>
      </c>
      <c r="N694" s="54">
        <f>IF($B694="",0,COUNTIFS('①在庫を貼る'!$V$6:$V$10005,'設定'!$C$4,'①在庫を貼る'!$W$6:$W$10005,$B694))</f>
        <v/>
      </c>
    </row>
    <row r="695" ht="18" customHeight="1">
      <c r="B695" s="76" t="n"/>
      <c r="C695" s="77" t="n"/>
      <c r="D695" s="77" t="n"/>
      <c r="E695" s="77" t="n"/>
      <c r="F695" s="78" t="n"/>
      <c r="G695" s="79" t="n"/>
      <c r="H695" s="69" t="n"/>
      <c r="I695" s="44">
        <f>IF(OR($B695="",$H695=""),"",$H695*MAX(1,N($F695)))</f>
        <v/>
      </c>
      <c r="J695" s="80" t="n"/>
      <c r="K695" s="77" t="n"/>
      <c r="L695" s="54">
        <f>IF($B695="",0,IF(COUNTIFS('①在庫を貼る'!$V$6:$V$10005,'設定'!$C$4,'①在庫を貼る'!$W$6:$W$10005,$B695)+COUNTIFS('月1回_1ヶ月前の在庫'!$V$6:$V$10005,'設定'!$C$4,'月1回_1ヶ月前の在庫'!$W$6:$W$10005,$B695)+COUNTIFS('月1回_2ヶ月前の在庫'!$V$6:$V$10005,'設定'!$C$4,'月1回_2ヶ月前の在庫'!$W$6:$W$10005,$B695)&gt;0,1,0))</f>
        <v/>
      </c>
      <c r="M695" s="54">
        <f>N(M694)+$L695</f>
        <v/>
      </c>
      <c r="N695" s="54">
        <f>IF($B695="",0,COUNTIFS('①在庫を貼る'!$V$6:$V$10005,'設定'!$C$4,'①在庫を貼る'!$W$6:$W$10005,$B695))</f>
        <v/>
      </c>
    </row>
    <row r="696" ht="18" customHeight="1">
      <c r="B696" s="76" t="n"/>
      <c r="C696" s="77" t="n"/>
      <c r="D696" s="77" t="n"/>
      <c r="E696" s="77" t="n"/>
      <c r="F696" s="78" t="n"/>
      <c r="G696" s="79" t="n"/>
      <c r="H696" s="69" t="n"/>
      <c r="I696" s="44">
        <f>IF(OR($B696="",$H696=""),"",$H696*MAX(1,N($F696)))</f>
        <v/>
      </c>
      <c r="J696" s="80" t="n"/>
      <c r="K696" s="77" t="n"/>
      <c r="L696" s="54">
        <f>IF($B696="",0,IF(COUNTIFS('①在庫を貼る'!$V$6:$V$10005,'設定'!$C$4,'①在庫を貼る'!$W$6:$W$10005,$B696)+COUNTIFS('月1回_1ヶ月前の在庫'!$V$6:$V$10005,'設定'!$C$4,'月1回_1ヶ月前の在庫'!$W$6:$W$10005,$B696)+COUNTIFS('月1回_2ヶ月前の在庫'!$V$6:$V$10005,'設定'!$C$4,'月1回_2ヶ月前の在庫'!$W$6:$W$10005,$B696)&gt;0,1,0))</f>
        <v/>
      </c>
      <c r="M696" s="54">
        <f>N(M695)+$L696</f>
        <v/>
      </c>
      <c r="N696" s="54">
        <f>IF($B696="",0,COUNTIFS('①在庫を貼る'!$V$6:$V$10005,'設定'!$C$4,'①在庫を貼る'!$W$6:$W$10005,$B696))</f>
        <v/>
      </c>
    </row>
    <row r="697" ht="18" customHeight="1">
      <c r="B697" s="76" t="n"/>
      <c r="C697" s="77" t="n"/>
      <c r="D697" s="77" t="n"/>
      <c r="E697" s="77" t="n"/>
      <c r="F697" s="78" t="n"/>
      <c r="G697" s="79" t="n"/>
      <c r="H697" s="69" t="n"/>
      <c r="I697" s="44">
        <f>IF(OR($B697="",$H697=""),"",$H697*MAX(1,N($F697)))</f>
        <v/>
      </c>
      <c r="J697" s="80" t="n"/>
      <c r="K697" s="77" t="n"/>
      <c r="L697" s="54">
        <f>IF($B697="",0,IF(COUNTIFS('①在庫を貼る'!$V$6:$V$10005,'設定'!$C$4,'①在庫を貼る'!$W$6:$W$10005,$B697)+COUNTIFS('月1回_1ヶ月前の在庫'!$V$6:$V$10005,'設定'!$C$4,'月1回_1ヶ月前の在庫'!$W$6:$W$10005,$B697)+COUNTIFS('月1回_2ヶ月前の在庫'!$V$6:$V$10005,'設定'!$C$4,'月1回_2ヶ月前の在庫'!$W$6:$W$10005,$B697)&gt;0,1,0))</f>
        <v/>
      </c>
      <c r="M697" s="54">
        <f>N(M696)+$L697</f>
        <v/>
      </c>
      <c r="N697" s="54">
        <f>IF($B697="",0,COUNTIFS('①在庫を貼る'!$V$6:$V$10005,'設定'!$C$4,'①在庫を貼る'!$W$6:$W$10005,$B697))</f>
        <v/>
      </c>
    </row>
    <row r="698" ht="18" customHeight="1">
      <c r="B698" s="76" t="n"/>
      <c r="C698" s="77" t="n"/>
      <c r="D698" s="77" t="n"/>
      <c r="E698" s="77" t="n"/>
      <c r="F698" s="78" t="n"/>
      <c r="G698" s="79" t="n"/>
      <c r="H698" s="69" t="n"/>
      <c r="I698" s="44">
        <f>IF(OR($B698="",$H698=""),"",$H698*MAX(1,N($F698)))</f>
        <v/>
      </c>
      <c r="J698" s="80" t="n"/>
      <c r="K698" s="77" t="n"/>
      <c r="L698" s="54">
        <f>IF($B698="",0,IF(COUNTIFS('①在庫を貼る'!$V$6:$V$10005,'設定'!$C$4,'①在庫を貼る'!$W$6:$W$10005,$B698)+COUNTIFS('月1回_1ヶ月前の在庫'!$V$6:$V$10005,'設定'!$C$4,'月1回_1ヶ月前の在庫'!$W$6:$W$10005,$B698)+COUNTIFS('月1回_2ヶ月前の在庫'!$V$6:$V$10005,'設定'!$C$4,'月1回_2ヶ月前の在庫'!$W$6:$W$10005,$B698)&gt;0,1,0))</f>
        <v/>
      </c>
      <c r="M698" s="54">
        <f>N(M697)+$L698</f>
        <v/>
      </c>
      <c r="N698" s="54">
        <f>IF($B698="",0,COUNTIFS('①在庫を貼る'!$V$6:$V$10005,'設定'!$C$4,'①在庫を貼る'!$W$6:$W$10005,$B698))</f>
        <v/>
      </c>
    </row>
    <row r="699" ht="18" customHeight="1">
      <c r="B699" s="76" t="n"/>
      <c r="C699" s="77" t="n"/>
      <c r="D699" s="77" t="n"/>
      <c r="E699" s="77" t="n"/>
      <c r="F699" s="78" t="n"/>
      <c r="G699" s="79" t="n"/>
      <c r="H699" s="69" t="n"/>
      <c r="I699" s="44">
        <f>IF(OR($B699="",$H699=""),"",$H699*MAX(1,N($F699)))</f>
        <v/>
      </c>
      <c r="J699" s="80" t="n"/>
      <c r="K699" s="77" t="n"/>
      <c r="L699" s="54">
        <f>IF($B699="",0,IF(COUNTIFS('①在庫を貼る'!$V$6:$V$10005,'設定'!$C$4,'①在庫を貼る'!$W$6:$W$10005,$B699)+COUNTIFS('月1回_1ヶ月前の在庫'!$V$6:$V$10005,'設定'!$C$4,'月1回_1ヶ月前の在庫'!$W$6:$W$10005,$B699)+COUNTIFS('月1回_2ヶ月前の在庫'!$V$6:$V$10005,'設定'!$C$4,'月1回_2ヶ月前の在庫'!$W$6:$W$10005,$B699)&gt;0,1,0))</f>
        <v/>
      </c>
      <c r="M699" s="54">
        <f>N(M698)+$L699</f>
        <v/>
      </c>
      <c r="N699" s="54">
        <f>IF($B699="",0,COUNTIFS('①在庫を貼る'!$V$6:$V$10005,'設定'!$C$4,'①在庫を貼る'!$W$6:$W$10005,$B699))</f>
        <v/>
      </c>
    </row>
    <row r="700" ht="18" customHeight="1">
      <c r="B700" s="76" t="n"/>
      <c r="C700" s="77" t="n"/>
      <c r="D700" s="77" t="n"/>
      <c r="E700" s="77" t="n"/>
      <c r="F700" s="78" t="n"/>
      <c r="G700" s="79" t="n"/>
      <c r="H700" s="69" t="n"/>
      <c r="I700" s="44">
        <f>IF(OR($B700="",$H700=""),"",$H700*MAX(1,N($F700)))</f>
        <v/>
      </c>
      <c r="J700" s="80" t="n"/>
      <c r="K700" s="77" t="n"/>
      <c r="L700" s="54">
        <f>IF($B700="",0,IF(COUNTIFS('①在庫を貼る'!$V$6:$V$10005,'設定'!$C$4,'①在庫を貼る'!$W$6:$W$10005,$B700)+COUNTIFS('月1回_1ヶ月前の在庫'!$V$6:$V$10005,'設定'!$C$4,'月1回_1ヶ月前の在庫'!$W$6:$W$10005,$B700)+COUNTIFS('月1回_2ヶ月前の在庫'!$V$6:$V$10005,'設定'!$C$4,'月1回_2ヶ月前の在庫'!$W$6:$W$10005,$B700)&gt;0,1,0))</f>
        <v/>
      </c>
      <c r="M700" s="54">
        <f>N(M699)+$L700</f>
        <v/>
      </c>
      <c r="N700" s="54">
        <f>IF($B700="",0,COUNTIFS('①在庫を貼る'!$V$6:$V$10005,'設定'!$C$4,'①在庫を貼る'!$W$6:$W$10005,$B700))</f>
        <v/>
      </c>
    </row>
    <row r="701" ht="18" customHeight="1">
      <c r="B701" s="76" t="n"/>
      <c r="C701" s="77" t="n"/>
      <c r="D701" s="77" t="n"/>
      <c r="E701" s="77" t="n"/>
      <c r="F701" s="78" t="n"/>
      <c r="G701" s="79" t="n"/>
      <c r="H701" s="69" t="n"/>
      <c r="I701" s="44">
        <f>IF(OR($B701="",$H701=""),"",$H701*MAX(1,N($F701)))</f>
        <v/>
      </c>
      <c r="J701" s="80" t="n"/>
      <c r="K701" s="77" t="n"/>
      <c r="L701" s="54">
        <f>IF($B701="",0,IF(COUNTIFS('①在庫を貼る'!$V$6:$V$10005,'設定'!$C$4,'①在庫を貼る'!$W$6:$W$10005,$B701)+COUNTIFS('月1回_1ヶ月前の在庫'!$V$6:$V$10005,'設定'!$C$4,'月1回_1ヶ月前の在庫'!$W$6:$W$10005,$B701)+COUNTIFS('月1回_2ヶ月前の在庫'!$V$6:$V$10005,'設定'!$C$4,'月1回_2ヶ月前の在庫'!$W$6:$W$10005,$B701)&gt;0,1,0))</f>
        <v/>
      </c>
      <c r="M701" s="54">
        <f>N(M700)+$L701</f>
        <v/>
      </c>
      <c r="N701" s="54">
        <f>IF($B701="",0,COUNTIFS('①在庫を貼る'!$V$6:$V$10005,'設定'!$C$4,'①在庫を貼る'!$W$6:$W$10005,$B701))</f>
        <v/>
      </c>
    </row>
    <row r="702" ht="18" customHeight="1">
      <c r="B702" s="76" t="n"/>
      <c r="C702" s="77" t="n"/>
      <c r="D702" s="77" t="n"/>
      <c r="E702" s="77" t="n"/>
      <c r="F702" s="78" t="n"/>
      <c r="G702" s="79" t="n"/>
      <c r="H702" s="69" t="n"/>
      <c r="I702" s="44">
        <f>IF(OR($B702="",$H702=""),"",$H702*MAX(1,N($F702)))</f>
        <v/>
      </c>
      <c r="J702" s="80" t="n"/>
      <c r="K702" s="77" t="n"/>
      <c r="L702" s="54">
        <f>IF($B702="",0,IF(COUNTIFS('①在庫を貼る'!$V$6:$V$10005,'設定'!$C$4,'①在庫を貼る'!$W$6:$W$10005,$B702)+COUNTIFS('月1回_1ヶ月前の在庫'!$V$6:$V$10005,'設定'!$C$4,'月1回_1ヶ月前の在庫'!$W$6:$W$10005,$B702)+COUNTIFS('月1回_2ヶ月前の在庫'!$V$6:$V$10005,'設定'!$C$4,'月1回_2ヶ月前の在庫'!$W$6:$W$10005,$B702)&gt;0,1,0))</f>
        <v/>
      </c>
      <c r="M702" s="54">
        <f>N(M701)+$L702</f>
        <v/>
      </c>
      <c r="N702" s="54">
        <f>IF($B702="",0,COUNTIFS('①在庫を貼る'!$V$6:$V$10005,'設定'!$C$4,'①在庫を貼る'!$W$6:$W$10005,$B702))</f>
        <v/>
      </c>
    </row>
    <row r="703" ht="18" customHeight="1">
      <c r="B703" s="76" t="n"/>
      <c r="C703" s="77" t="n"/>
      <c r="D703" s="77" t="n"/>
      <c r="E703" s="77" t="n"/>
      <c r="F703" s="78" t="n"/>
      <c r="G703" s="79" t="n"/>
      <c r="H703" s="69" t="n"/>
      <c r="I703" s="44">
        <f>IF(OR($B703="",$H703=""),"",$H703*MAX(1,N($F703)))</f>
        <v/>
      </c>
      <c r="J703" s="80" t="n"/>
      <c r="K703" s="77" t="n"/>
      <c r="L703" s="54">
        <f>IF($B703="",0,IF(COUNTIFS('①在庫を貼る'!$V$6:$V$10005,'設定'!$C$4,'①在庫を貼る'!$W$6:$W$10005,$B703)+COUNTIFS('月1回_1ヶ月前の在庫'!$V$6:$V$10005,'設定'!$C$4,'月1回_1ヶ月前の在庫'!$W$6:$W$10005,$B703)+COUNTIFS('月1回_2ヶ月前の在庫'!$V$6:$V$10005,'設定'!$C$4,'月1回_2ヶ月前の在庫'!$W$6:$W$10005,$B703)&gt;0,1,0))</f>
        <v/>
      </c>
      <c r="M703" s="54">
        <f>N(M702)+$L703</f>
        <v/>
      </c>
      <c r="N703" s="54">
        <f>IF($B703="",0,COUNTIFS('①在庫を貼る'!$V$6:$V$10005,'設定'!$C$4,'①在庫を貼る'!$W$6:$W$10005,$B703))</f>
        <v/>
      </c>
    </row>
    <row r="704" ht="18" customHeight="1">
      <c r="B704" s="76" t="n"/>
      <c r="C704" s="77" t="n"/>
      <c r="D704" s="77" t="n"/>
      <c r="E704" s="77" t="n"/>
      <c r="F704" s="78" t="n"/>
      <c r="G704" s="79" t="n"/>
      <c r="H704" s="69" t="n"/>
      <c r="I704" s="44">
        <f>IF(OR($B704="",$H704=""),"",$H704*MAX(1,N($F704)))</f>
        <v/>
      </c>
      <c r="J704" s="80" t="n"/>
      <c r="K704" s="77" t="n"/>
      <c r="L704" s="54">
        <f>IF($B704="",0,IF(COUNTIFS('①在庫を貼る'!$V$6:$V$10005,'設定'!$C$4,'①在庫を貼る'!$W$6:$W$10005,$B704)+COUNTIFS('月1回_1ヶ月前の在庫'!$V$6:$V$10005,'設定'!$C$4,'月1回_1ヶ月前の在庫'!$W$6:$W$10005,$B704)+COUNTIFS('月1回_2ヶ月前の在庫'!$V$6:$V$10005,'設定'!$C$4,'月1回_2ヶ月前の在庫'!$W$6:$W$10005,$B704)&gt;0,1,0))</f>
        <v/>
      </c>
      <c r="M704" s="54">
        <f>N(M703)+$L704</f>
        <v/>
      </c>
      <c r="N704" s="54">
        <f>IF($B704="",0,COUNTIFS('①在庫を貼る'!$V$6:$V$10005,'設定'!$C$4,'①在庫を貼る'!$W$6:$W$10005,$B704))</f>
        <v/>
      </c>
    </row>
    <row r="705" ht="18" customHeight="1">
      <c r="B705" s="76" t="n"/>
      <c r="C705" s="77" t="n"/>
      <c r="D705" s="77" t="n"/>
      <c r="E705" s="77" t="n"/>
      <c r="F705" s="78" t="n"/>
      <c r="G705" s="79" t="n"/>
      <c r="H705" s="69" t="n"/>
      <c r="I705" s="44">
        <f>IF(OR($B705="",$H705=""),"",$H705*MAX(1,N($F705)))</f>
        <v/>
      </c>
      <c r="J705" s="80" t="n"/>
      <c r="K705" s="77" t="n"/>
      <c r="L705" s="54">
        <f>IF($B705="",0,IF(COUNTIFS('①在庫を貼る'!$V$6:$V$10005,'設定'!$C$4,'①在庫を貼る'!$W$6:$W$10005,$B705)+COUNTIFS('月1回_1ヶ月前の在庫'!$V$6:$V$10005,'設定'!$C$4,'月1回_1ヶ月前の在庫'!$W$6:$W$10005,$B705)+COUNTIFS('月1回_2ヶ月前の在庫'!$V$6:$V$10005,'設定'!$C$4,'月1回_2ヶ月前の在庫'!$W$6:$W$10005,$B705)&gt;0,1,0))</f>
        <v/>
      </c>
      <c r="M705" s="54">
        <f>N(M704)+$L705</f>
        <v/>
      </c>
      <c r="N705" s="54">
        <f>IF($B705="",0,COUNTIFS('①在庫を貼る'!$V$6:$V$10005,'設定'!$C$4,'①在庫を貼る'!$W$6:$W$10005,$B705))</f>
        <v/>
      </c>
    </row>
    <row r="706" ht="18" customHeight="1">
      <c r="B706" s="76" t="n"/>
      <c r="C706" s="77" t="n"/>
      <c r="D706" s="77" t="n"/>
      <c r="E706" s="77" t="n"/>
      <c r="F706" s="78" t="n"/>
      <c r="G706" s="79" t="n"/>
      <c r="H706" s="69" t="n"/>
      <c r="I706" s="44">
        <f>IF(OR($B706="",$H706=""),"",$H706*MAX(1,N($F706)))</f>
        <v/>
      </c>
      <c r="J706" s="80" t="n"/>
      <c r="K706" s="77" t="n"/>
      <c r="L706" s="54">
        <f>IF($B706="",0,IF(COUNTIFS('①在庫を貼る'!$V$6:$V$10005,'設定'!$C$4,'①在庫を貼る'!$W$6:$W$10005,$B706)+COUNTIFS('月1回_1ヶ月前の在庫'!$V$6:$V$10005,'設定'!$C$4,'月1回_1ヶ月前の在庫'!$W$6:$W$10005,$B706)+COUNTIFS('月1回_2ヶ月前の在庫'!$V$6:$V$10005,'設定'!$C$4,'月1回_2ヶ月前の在庫'!$W$6:$W$10005,$B706)&gt;0,1,0))</f>
        <v/>
      </c>
      <c r="M706" s="54">
        <f>N(M705)+$L706</f>
        <v/>
      </c>
      <c r="N706" s="54">
        <f>IF($B706="",0,COUNTIFS('①在庫を貼る'!$V$6:$V$10005,'設定'!$C$4,'①在庫を貼る'!$W$6:$W$10005,$B706))</f>
        <v/>
      </c>
    </row>
    <row r="707" ht="18" customHeight="1">
      <c r="B707" s="76" t="n"/>
      <c r="C707" s="77" t="n"/>
      <c r="D707" s="77" t="n"/>
      <c r="E707" s="77" t="n"/>
      <c r="F707" s="78" t="n"/>
      <c r="G707" s="79" t="n"/>
      <c r="H707" s="69" t="n"/>
      <c r="I707" s="44">
        <f>IF(OR($B707="",$H707=""),"",$H707*MAX(1,N($F707)))</f>
        <v/>
      </c>
      <c r="J707" s="80" t="n"/>
      <c r="K707" s="77" t="n"/>
      <c r="L707" s="54">
        <f>IF($B707="",0,IF(COUNTIFS('①在庫を貼る'!$V$6:$V$10005,'設定'!$C$4,'①在庫を貼る'!$W$6:$W$10005,$B707)+COUNTIFS('月1回_1ヶ月前の在庫'!$V$6:$V$10005,'設定'!$C$4,'月1回_1ヶ月前の在庫'!$W$6:$W$10005,$B707)+COUNTIFS('月1回_2ヶ月前の在庫'!$V$6:$V$10005,'設定'!$C$4,'月1回_2ヶ月前の在庫'!$W$6:$W$10005,$B707)&gt;0,1,0))</f>
        <v/>
      </c>
      <c r="M707" s="54">
        <f>N(M706)+$L707</f>
        <v/>
      </c>
      <c r="N707" s="54">
        <f>IF($B707="",0,COUNTIFS('①在庫を貼る'!$V$6:$V$10005,'設定'!$C$4,'①在庫を貼る'!$W$6:$W$10005,$B707))</f>
        <v/>
      </c>
    </row>
    <row r="708" ht="18" customHeight="1">
      <c r="B708" s="76" t="n"/>
      <c r="C708" s="77" t="n"/>
      <c r="D708" s="77" t="n"/>
      <c r="E708" s="77" t="n"/>
      <c r="F708" s="78" t="n"/>
      <c r="G708" s="79" t="n"/>
      <c r="H708" s="69" t="n"/>
      <c r="I708" s="44">
        <f>IF(OR($B708="",$H708=""),"",$H708*MAX(1,N($F708)))</f>
        <v/>
      </c>
      <c r="J708" s="80" t="n"/>
      <c r="K708" s="77" t="n"/>
      <c r="L708" s="54">
        <f>IF($B708="",0,IF(COUNTIFS('①在庫を貼る'!$V$6:$V$10005,'設定'!$C$4,'①在庫を貼る'!$W$6:$W$10005,$B708)+COUNTIFS('月1回_1ヶ月前の在庫'!$V$6:$V$10005,'設定'!$C$4,'月1回_1ヶ月前の在庫'!$W$6:$W$10005,$B708)+COUNTIFS('月1回_2ヶ月前の在庫'!$V$6:$V$10005,'設定'!$C$4,'月1回_2ヶ月前の在庫'!$W$6:$W$10005,$B708)&gt;0,1,0))</f>
        <v/>
      </c>
      <c r="M708" s="54">
        <f>N(M707)+$L708</f>
        <v/>
      </c>
      <c r="N708" s="54">
        <f>IF($B708="",0,COUNTIFS('①在庫を貼る'!$V$6:$V$10005,'設定'!$C$4,'①在庫を貼る'!$W$6:$W$10005,$B708))</f>
        <v/>
      </c>
    </row>
    <row r="709" ht="18" customHeight="1">
      <c r="B709" s="76" t="n"/>
      <c r="C709" s="77" t="n"/>
      <c r="D709" s="77" t="n"/>
      <c r="E709" s="77" t="n"/>
      <c r="F709" s="78" t="n"/>
      <c r="G709" s="79" t="n"/>
      <c r="H709" s="69" t="n"/>
      <c r="I709" s="44">
        <f>IF(OR($B709="",$H709=""),"",$H709*MAX(1,N($F709)))</f>
        <v/>
      </c>
      <c r="J709" s="80" t="n"/>
      <c r="K709" s="77" t="n"/>
      <c r="L709" s="54">
        <f>IF($B709="",0,IF(COUNTIFS('①在庫を貼る'!$V$6:$V$10005,'設定'!$C$4,'①在庫を貼る'!$W$6:$W$10005,$B709)+COUNTIFS('月1回_1ヶ月前の在庫'!$V$6:$V$10005,'設定'!$C$4,'月1回_1ヶ月前の在庫'!$W$6:$W$10005,$B709)+COUNTIFS('月1回_2ヶ月前の在庫'!$V$6:$V$10005,'設定'!$C$4,'月1回_2ヶ月前の在庫'!$W$6:$W$10005,$B709)&gt;0,1,0))</f>
        <v/>
      </c>
      <c r="M709" s="54">
        <f>N(M708)+$L709</f>
        <v/>
      </c>
      <c r="N709" s="54">
        <f>IF($B709="",0,COUNTIFS('①在庫を貼る'!$V$6:$V$10005,'設定'!$C$4,'①在庫を貼る'!$W$6:$W$10005,$B709))</f>
        <v/>
      </c>
    </row>
    <row r="710" ht="18" customHeight="1">
      <c r="B710" s="76" t="n"/>
      <c r="C710" s="77" t="n"/>
      <c r="D710" s="77" t="n"/>
      <c r="E710" s="77" t="n"/>
      <c r="F710" s="78" t="n"/>
      <c r="G710" s="79" t="n"/>
      <c r="H710" s="69" t="n"/>
      <c r="I710" s="44">
        <f>IF(OR($B710="",$H710=""),"",$H710*MAX(1,N($F710)))</f>
        <v/>
      </c>
      <c r="J710" s="80" t="n"/>
      <c r="K710" s="77" t="n"/>
      <c r="L710" s="54">
        <f>IF($B710="",0,IF(COUNTIFS('①在庫を貼る'!$V$6:$V$10005,'設定'!$C$4,'①在庫を貼る'!$W$6:$W$10005,$B710)+COUNTIFS('月1回_1ヶ月前の在庫'!$V$6:$V$10005,'設定'!$C$4,'月1回_1ヶ月前の在庫'!$W$6:$W$10005,$B710)+COUNTIFS('月1回_2ヶ月前の在庫'!$V$6:$V$10005,'設定'!$C$4,'月1回_2ヶ月前の在庫'!$W$6:$W$10005,$B710)&gt;0,1,0))</f>
        <v/>
      </c>
      <c r="M710" s="54">
        <f>N(M709)+$L710</f>
        <v/>
      </c>
      <c r="N710" s="54">
        <f>IF($B710="",0,COUNTIFS('①在庫を貼る'!$V$6:$V$10005,'設定'!$C$4,'①在庫を貼る'!$W$6:$W$10005,$B710))</f>
        <v/>
      </c>
    </row>
    <row r="711" ht="18" customHeight="1">
      <c r="B711" s="76" t="n"/>
      <c r="C711" s="77" t="n"/>
      <c r="D711" s="77" t="n"/>
      <c r="E711" s="77" t="n"/>
      <c r="F711" s="78" t="n"/>
      <c r="G711" s="79" t="n"/>
      <c r="H711" s="69" t="n"/>
      <c r="I711" s="44">
        <f>IF(OR($B711="",$H711=""),"",$H711*MAX(1,N($F711)))</f>
        <v/>
      </c>
      <c r="J711" s="80" t="n"/>
      <c r="K711" s="77" t="n"/>
      <c r="L711" s="54">
        <f>IF($B711="",0,IF(COUNTIFS('①在庫を貼る'!$V$6:$V$10005,'設定'!$C$4,'①在庫を貼る'!$W$6:$W$10005,$B711)+COUNTIFS('月1回_1ヶ月前の在庫'!$V$6:$V$10005,'設定'!$C$4,'月1回_1ヶ月前の在庫'!$W$6:$W$10005,$B711)+COUNTIFS('月1回_2ヶ月前の在庫'!$V$6:$V$10005,'設定'!$C$4,'月1回_2ヶ月前の在庫'!$W$6:$W$10005,$B711)&gt;0,1,0))</f>
        <v/>
      </c>
      <c r="M711" s="54">
        <f>N(M710)+$L711</f>
        <v/>
      </c>
      <c r="N711" s="54">
        <f>IF($B711="",0,COUNTIFS('①在庫を貼る'!$V$6:$V$10005,'設定'!$C$4,'①在庫を貼る'!$W$6:$W$10005,$B711))</f>
        <v/>
      </c>
    </row>
    <row r="712" ht="18" customHeight="1">
      <c r="B712" s="76" t="n"/>
      <c r="C712" s="77" t="n"/>
      <c r="D712" s="77" t="n"/>
      <c r="E712" s="77" t="n"/>
      <c r="F712" s="78" t="n"/>
      <c r="G712" s="79" t="n"/>
      <c r="H712" s="69" t="n"/>
      <c r="I712" s="44">
        <f>IF(OR($B712="",$H712=""),"",$H712*MAX(1,N($F712)))</f>
        <v/>
      </c>
      <c r="J712" s="80" t="n"/>
      <c r="K712" s="77" t="n"/>
      <c r="L712" s="54">
        <f>IF($B712="",0,IF(COUNTIFS('①在庫を貼る'!$V$6:$V$10005,'設定'!$C$4,'①在庫を貼る'!$W$6:$W$10005,$B712)+COUNTIFS('月1回_1ヶ月前の在庫'!$V$6:$V$10005,'設定'!$C$4,'月1回_1ヶ月前の在庫'!$W$6:$W$10005,$B712)+COUNTIFS('月1回_2ヶ月前の在庫'!$V$6:$V$10005,'設定'!$C$4,'月1回_2ヶ月前の在庫'!$W$6:$W$10005,$B712)&gt;0,1,0))</f>
        <v/>
      </c>
      <c r="M712" s="54">
        <f>N(M711)+$L712</f>
        <v/>
      </c>
      <c r="N712" s="54">
        <f>IF($B712="",0,COUNTIFS('①在庫を貼る'!$V$6:$V$10005,'設定'!$C$4,'①在庫を貼る'!$W$6:$W$10005,$B712))</f>
        <v/>
      </c>
    </row>
    <row r="713" ht="18" customHeight="1">
      <c r="B713" s="76" t="n"/>
      <c r="C713" s="77" t="n"/>
      <c r="D713" s="77" t="n"/>
      <c r="E713" s="77" t="n"/>
      <c r="F713" s="78" t="n"/>
      <c r="G713" s="79" t="n"/>
      <c r="H713" s="69" t="n"/>
      <c r="I713" s="44">
        <f>IF(OR($B713="",$H713=""),"",$H713*MAX(1,N($F713)))</f>
        <v/>
      </c>
      <c r="J713" s="80" t="n"/>
      <c r="K713" s="77" t="n"/>
      <c r="L713" s="54">
        <f>IF($B713="",0,IF(COUNTIFS('①在庫を貼る'!$V$6:$V$10005,'設定'!$C$4,'①在庫を貼る'!$W$6:$W$10005,$B713)+COUNTIFS('月1回_1ヶ月前の在庫'!$V$6:$V$10005,'設定'!$C$4,'月1回_1ヶ月前の在庫'!$W$6:$W$10005,$B713)+COUNTIFS('月1回_2ヶ月前の在庫'!$V$6:$V$10005,'設定'!$C$4,'月1回_2ヶ月前の在庫'!$W$6:$W$10005,$B713)&gt;0,1,0))</f>
        <v/>
      </c>
      <c r="M713" s="54">
        <f>N(M712)+$L713</f>
        <v/>
      </c>
      <c r="N713" s="54">
        <f>IF($B713="",0,COUNTIFS('①在庫を貼る'!$V$6:$V$10005,'設定'!$C$4,'①在庫を貼る'!$W$6:$W$10005,$B713))</f>
        <v/>
      </c>
    </row>
    <row r="714" ht="18" customHeight="1">
      <c r="B714" s="76" t="n"/>
      <c r="C714" s="77" t="n"/>
      <c r="D714" s="77" t="n"/>
      <c r="E714" s="77" t="n"/>
      <c r="F714" s="78" t="n"/>
      <c r="G714" s="79" t="n"/>
      <c r="H714" s="69" t="n"/>
      <c r="I714" s="44">
        <f>IF(OR($B714="",$H714=""),"",$H714*MAX(1,N($F714)))</f>
        <v/>
      </c>
      <c r="J714" s="80" t="n"/>
      <c r="K714" s="77" t="n"/>
      <c r="L714" s="54">
        <f>IF($B714="",0,IF(COUNTIFS('①在庫を貼る'!$V$6:$V$10005,'設定'!$C$4,'①在庫を貼る'!$W$6:$W$10005,$B714)+COUNTIFS('月1回_1ヶ月前の在庫'!$V$6:$V$10005,'設定'!$C$4,'月1回_1ヶ月前の在庫'!$W$6:$W$10005,$B714)+COUNTIFS('月1回_2ヶ月前の在庫'!$V$6:$V$10005,'設定'!$C$4,'月1回_2ヶ月前の在庫'!$W$6:$W$10005,$B714)&gt;0,1,0))</f>
        <v/>
      </c>
      <c r="M714" s="54">
        <f>N(M713)+$L714</f>
        <v/>
      </c>
      <c r="N714" s="54">
        <f>IF($B714="",0,COUNTIFS('①在庫を貼る'!$V$6:$V$10005,'設定'!$C$4,'①在庫を貼る'!$W$6:$W$10005,$B714))</f>
        <v/>
      </c>
    </row>
    <row r="715" ht="18" customHeight="1">
      <c r="B715" s="76" t="n"/>
      <c r="C715" s="77" t="n"/>
      <c r="D715" s="77" t="n"/>
      <c r="E715" s="77" t="n"/>
      <c r="F715" s="78" t="n"/>
      <c r="G715" s="79" t="n"/>
      <c r="H715" s="69" t="n"/>
      <c r="I715" s="44">
        <f>IF(OR($B715="",$H715=""),"",$H715*MAX(1,N($F715)))</f>
        <v/>
      </c>
      <c r="J715" s="80" t="n"/>
      <c r="K715" s="77" t="n"/>
      <c r="L715" s="54">
        <f>IF($B715="",0,IF(COUNTIFS('①在庫を貼る'!$V$6:$V$10005,'設定'!$C$4,'①在庫を貼る'!$W$6:$W$10005,$B715)+COUNTIFS('月1回_1ヶ月前の在庫'!$V$6:$V$10005,'設定'!$C$4,'月1回_1ヶ月前の在庫'!$W$6:$W$10005,$B715)+COUNTIFS('月1回_2ヶ月前の在庫'!$V$6:$V$10005,'設定'!$C$4,'月1回_2ヶ月前の在庫'!$W$6:$W$10005,$B715)&gt;0,1,0))</f>
        <v/>
      </c>
      <c r="M715" s="54">
        <f>N(M714)+$L715</f>
        <v/>
      </c>
      <c r="N715" s="54">
        <f>IF($B715="",0,COUNTIFS('①在庫を貼る'!$V$6:$V$10005,'設定'!$C$4,'①在庫を貼る'!$W$6:$W$10005,$B715))</f>
        <v/>
      </c>
    </row>
    <row r="716" ht="18" customHeight="1">
      <c r="B716" s="76" t="n"/>
      <c r="C716" s="77" t="n"/>
      <c r="D716" s="77" t="n"/>
      <c r="E716" s="77" t="n"/>
      <c r="F716" s="78" t="n"/>
      <c r="G716" s="79" t="n"/>
      <c r="H716" s="69" t="n"/>
      <c r="I716" s="44">
        <f>IF(OR($B716="",$H716=""),"",$H716*MAX(1,N($F716)))</f>
        <v/>
      </c>
      <c r="J716" s="80" t="n"/>
      <c r="K716" s="77" t="n"/>
      <c r="L716" s="54">
        <f>IF($B716="",0,IF(COUNTIFS('①在庫を貼る'!$V$6:$V$10005,'設定'!$C$4,'①在庫を貼る'!$W$6:$W$10005,$B716)+COUNTIFS('月1回_1ヶ月前の在庫'!$V$6:$V$10005,'設定'!$C$4,'月1回_1ヶ月前の在庫'!$W$6:$W$10005,$B716)+COUNTIFS('月1回_2ヶ月前の在庫'!$V$6:$V$10005,'設定'!$C$4,'月1回_2ヶ月前の在庫'!$W$6:$W$10005,$B716)&gt;0,1,0))</f>
        <v/>
      </c>
      <c r="M716" s="54">
        <f>N(M715)+$L716</f>
        <v/>
      </c>
      <c r="N716" s="54">
        <f>IF($B716="",0,COUNTIFS('①在庫を貼る'!$V$6:$V$10005,'設定'!$C$4,'①在庫を貼る'!$W$6:$W$10005,$B716))</f>
        <v/>
      </c>
    </row>
    <row r="717" ht="18" customHeight="1">
      <c r="B717" s="76" t="n"/>
      <c r="C717" s="77" t="n"/>
      <c r="D717" s="77" t="n"/>
      <c r="E717" s="77" t="n"/>
      <c r="F717" s="78" t="n"/>
      <c r="G717" s="79" t="n"/>
      <c r="H717" s="69" t="n"/>
      <c r="I717" s="44">
        <f>IF(OR($B717="",$H717=""),"",$H717*MAX(1,N($F717)))</f>
        <v/>
      </c>
      <c r="J717" s="80" t="n"/>
      <c r="K717" s="77" t="n"/>
      <c r="L717" s="54">
        <f>IF($B717="",0,IF(COUNTIFS('①在庫を貼る'!$V$6:$V$10005,'設定'!$C$4,'①在庫を貼る'!$W$6:$W$10005,$B717)+COUNTIFS('月1回_1ヶ月前の在庫'!$V$6:$V$10005,'設定'!$C$4,'月1回_1ヶ月前の在庫'!$W$6:$W$10005,$B717)+COUNTIFS('月1回_2ヶ月前の在庫'!$V$6:$V$10005,'設定'!$C$4,'月1回_2ヶ月前の在庫'!$W$6:$W$10005,$B717)&gt;0,1,0))</f>
        <v/>
      </c>
      <c r="M717" s="54">
        <f>N(M716)+$L717</f>
        <v/>
      </c>
      <c r="N717" s="54">
        <f>IF($B717="",0,COUNTIFS('①在庫を貼る'!$V$6:$V$10005,'設定'!$C$4,'①在庫を貼る'!$W$6:$W$10005,$B717))</f>
        <v/>
      </c>
    </row>
    <row r="718" ht="18" customHeight="1">
      <c r="B718" s="76" t="n"/>
      <c r="C718" s="77" t="n"/>
      <c r="D718" s="77" t="n"/>
      <c r="E718" s="77" t="n"/>
      <c r="F718" s="78" t="n"/>
      <c r="G718" s="79" t="n"/>
      <c r="H718" s="69" t="n"/>
      <c r="I718" s="44">
        <f>IF(OR($B718="",$H718=""),"",$H718*MAX(1,N($F718)))</f>
        <v/>
      </c>
      <c r="J718" s="80" t="n"/>
      <c r="K718" s="77" t="n"/>
      <c r="L718" s="54">
        <f>IF($B718="",0,IF(COUNTIFS('①在庫を貼る'!$V$6:$V$10005,'設定'!$C$4,'①在庫を貼る'!$W$6:$W$10005,$B718)+COUNTIFS('月1回_1ヶ月前の在庫'!$V$6:$V$10005,'設定'!$C$4,'月1回_1ヶ月前の在庫'!$W$6:$W$10005,$B718)+COUNTIFS('月1回_2ヶ月前の在庫'!$V$6:$V$10005,'設定'!$C$4,'月1回_2ヶ月前の在庫'!$W$6:$W$10005,$B718)&gt;0,1,0))</f>
        <v/>
      </c>
      <c r="M718" s="54">
        <f>N(M717)+$L718</f>
        <v/>
      </c>
      <c r="N718" s="54">
        <f>IF($B718="",0,COUNTIFS('①在庫を貼る'!$V$6:$V$10005,'設定'!$C$4,'①在庫を貼る'!$W$6:$W$10005,$B718))</f>
        <v/>
      </c>
    </row>
    <row r="719" ht="18" customHeight="1">
      <c r="B719" s="76" t="n"/>
      <c r="C719" s="77" t="n"/>
      <c r="D719" s="77" t="n"/>
      <c r="E719" s="77" t="n"/>
      <c r="F719" s="78" t="n"/>
      <c r="G719" s="79" t="n"/>
      <c r="H719" s="69" t="n"/>
      <c r="I719" s="44">
        <f>IF(OR($B719="",$H719=""),"",$H719*MAX(1,N($F719)))</f>
        <v/>
      </c>
      <c r="J719" s="80" t="n"/>
      <c r="K719" s="77" t="n"/>
      <c r="L719" s="54">
        <f>IF($B719="",0,IF(COUNTIFS('①在庫を貼る'!$V$6:$V$10005,'設定'!$C$4,'①在庫を貼る'!$W$6:$W$10005,$B719)+COUNTIFS('月1回_1ヶ月前の在庫'!$V$6:$V$10005,'設定'!$C$4,'月1回_1ヶ月前の在庫'!$W$6:$W$10005,$B719)+COUNTIFS('月1回_2ヶ月前の在庫'!$V$6:$V$10005,'設定'!$C$4,'月1回_2ヶ月前の在庫'!$W$6:$W$10005,$B719)&gt;0,1,0))</f>
        <v/>
      </c>
      <c r="M719" s="54">
        <f>N(M718)+$L719</f>
        <v/>
      </c>
      <c r="N719" s="54">
        <f>IF($B719="",0,COUNTIFS('①在庫を貼る'!$V$6:$V$10005,'設定'!$C$4,'①在庫を貼る'!$W$6:$W$10005,$B719))</f>
        <v/>
      </c>
    </row>
    <row r="720" ht="18" customHeight="1">
      <c r="B720" s="76" t="n"/>
      <c r="C720" s="77" t="n"/>
      <c r="D720" s="77" t="n"/>
      <c r="E720" s="77" t="n"/>
      <c r="F720" s="78" t="n"/>
      <c r="G720" s="79" t="n"/>
      <c r="H720" s="69" t="n"/>
      <c r="I720" s="44">
        <f>IF(OR($B720="",$H720=""),"",$H720*MAX(1,N($F720)))</f>
        <v/>
      </c>
      <c r="J720" s="80" t="n"/>
      <c r="K720" s="77" t="n"/>
      <c r="L720" s="54">
        <f>IF($B720="",0,IF(COUNTIFS('①在庫を貼る'!$V$6:$V$10005,'設定'!$C$4,'①在庫を貼る'!$W$6:$W$10005,$B720)+COUNTIFS('月1回_1ヶ月前の在庫'!$V$6:$V$10005,'設定'!$C$4,'月1回_1ヶ月前の在庫'!$W$6:$W$10005,$B720)+COUNTIFS('月1回_2ヶ月前の在庫'!$V$6:$V$10005,'設定'!$C$4,'月1回_2ヶ月前の在庫'!$W$6:$W$10005,$B720)&gt;0,1,0))</f>
        <v/>
      </c>
      <c r="M720" s="54">
        <f>N(M719)+$L720</f>
        <v/>
      </c>
      <c r="N720" s="54">
        <f>IF($B720="",0,COUNTIFS('①在庫を貼る'!$V$6:$V$10005,'設定'!$C$4,'①在庫を貼る'!$W$6:$W$10005,$B720))</f>
        <v/>
      </c>
    </row>
    <row r="721" ht="18" customHeight="1">
      <c r="B721" s="76" t="n"/>
      <c r="C721" s="77" t="n"/>
      <c r="D721" s="77" t="n"/>
      <c r="E721" s="77" t="n"/>
      <c r="F721" s="78" t="n"/>
      <c r="G721" s="79" t="n"/>
      <c r="H721" s="69" t="n"/>
      <c r="I721" s="44">
        <f>IF(OR($B721="",$H721=""),"",$H721*MAX(1,N($F721)))</f>
        <v/>
      </c>
      <c r="J721" s="80" t="n"/>
      <c r="K721" s="77" t="n"/>
      <c r="L721" s="54">
        <f>IF($B721="",0,IF(COUNTIFS('①在庫を貼る'!$V$6:$V$10005,'設定'!$C$4,'①在庫を貼る'!$W$6:$W$10005,$B721)+COUNTIFS('月1回_1ヶ月前の在庫'!$V$6:$V$10005,'設定'!$C$4,'月1回_1ヶ月前の在庫'!$W$6:$W$10005,$B721)+COUNTIFS('月1回_2ヶ月前の在庫'!$V$6:$V$10005,'設定'!$C$4,'月1回_2ヶ月前の在庫'!$W$6:$W$10005,$B721)&gt;0,1,0))</f>
        <v/>
      </c>
      <c r="M721" s="54">
        <f>N(M720)+$L721</f>
        <v/>
      </c>
      <c r="N721" s="54">
        <f>IF($B721="",0,COUNTIFS('①在庫を貼る'!$V$6:$V$10005,'設定'!$C$4,'①在庫を貼る'!$W$6:$W$10005,$B721))</f>
        <v/>
      </c>
    </row>
    <row r="722" ht="18" customHeight="1">
      <c r="B722" s="76" t="n"/>
      <c r="C722" s="77" t="n"/>
      <c r="D722" s="77" t="n"/>
      <c r="E722" s="77" t="n"/>
      <c r="F722" s="78" t="n"/>
      <c r="G722" s="79" t="n"/>
      <c r="H722" s="69" t="n"/>
      <c r="I722" s="44">
        <f>IF(OR($B722="",$H722=""),"",$H722*MAX(1,N($F722)))</f>
        <v/>
      </c>
      <c r="J722" s="80" t="n"/>
      <c r="K722" s="77" t="n"/>
      <c r="L722" s="54">
        <f>IF($B722="",0,IF(COUNTIFS('①在庫を貼る'!$V$6:$V$10005,'設定'!$C$4,'①在庫を貼る'!$W$6:$W$10005,$B722)+COUNTIFS('月1回_1ヶ月前の在庫'!$V$6:$V$10005,'設定'!$C$4,'月1回_1ヶ月前の在庫'!$W$6:$W$10005,$B722)+COUNTIFS('月1回_2ヶ月前の在庫'!$V$6:$V$10005,'設定'!$C$4,'月1回_2ヶ月前の在庫'!$W$6:$W$10005,$B722)&gt;0,1,0))</f>
        <v/>
      </c>
      <c r="M722" s="54">
        <f>N(M721)+$L722</f>
        <v/>
      </c>
      <c r="N722" s="54">
        <f>IF($B722="",0,COUNTIFS('①在庫を貼る'!$V$6:$V$10005,'設定'!$C$4,'①在庫を貼る'!$W$6:$W$10005,$B722))</f>
        <v/>
      </c>
    </row>
    <row r="723" ht="18" customHeight="1">
      <c r="B723" s="76" t="n"/>
      <c r="C723" s="77" t="n"/>
      <c r="D723" s="77" t="n"/>
      <c r="E723" s="77" t="n"/>
      <c r="F723" s="78" t="n"/>
      <c r="G723" s="79" t="n"/>
      <c r="H723" s="69" t="n"/>
      <c r="I723" s="44">
        <f>IF(OR($B723="",$H723=""),"",$H723*MAX(1,N($F723)))</f>
        <v/>
      </c>
      <c r="J723" s="80" t="n"/>
      <c r="K723" s="77" t="n"/>
      <c r="L723" s="54">
        <f>IF($B723="",0,IF(COUNTIFS('①在庫を貼る'!$V$6:$V$10005,'設定'!$C$4,'①在庫を貼る'!$W$6:$W$10005,$B723)+COUNTIFS('月1回_1ヶ月前の在庫'!$V$6:$V$10005,'設定'!$C$4,'月1回_1ヶ月前の在庫'!$W$6:$W$10005,$B723)+COUNTIFS('月1回_2ヶ月前の在庫'!$V$6:$V$10005,'設定'!$C$4,'月1回_2ヶ月前の在庫'!$W$6:$W$10005,$B723)&gt;0,1,0))</f>
        <v/>
      </c>
      <c r="M723" s="54">
        <f>N(M722)+$L723</f>
        <v/>
      </c>
      <c r="N723" s="54">
        <f>IF($B723="",0,COUNTIFS('①在庫を貼る'!$V$6:$V$10005,'設定'!$C$4,'①在庫を貼る'!$W$6:$W$10005,$B723))</f>
        <v/>
      </c>
    </row>
    <row r="724" ht="18" customHeight="1">
      <c r="B724" s="76" t="n"/>
      <c r="C724" s="77" t="n"/>
      <c r="D724" s="77" t="n"/>
      <c r="E724" s="77" t="n"/>
      <c r="F724" s="78" t="n"/>
      <c r="G724" s="79" t="n"/>
      <c r="H724" s="69" t="n"/>
      <c r="I724" s="44">
        <f>IF(OR($B724="",$H724=""),"",$H724*MAX(1,N($F724)))</f>
        <v/>
      </c>
      <c r="J724" s="80" t="n"/>
      <c r="K724" s="77" t="n"/>
      <c r="L724" s="54">
        <f>IF($B724="",0,IF(COUNTIFS('①在庫を貼る'!$V$6:$V$10005,'設定'!$C$4,'①在庫を貼る'!$W$6:$W$10005,$B724)+COUNTIFS('月1回_1ヶ月前の在庫'!$V$6:$V$10005,'設定'!$C$4,'月1回_1ヶ月前の在庫'!$W$6:$W$10005,$B724)+COUNTIFS('月1回_2ヶ月前の在庫'!$V$6:$V$10005,'設定'!$C$4,'月1回_2ヶ月前の在庫'!$W$6:$W$10005,$B724)&gt;0,1,0))</f>
        <v/>
      </c>
      <c r="M724" s="54">
        <f>N(M723)+$L724</f>
        <v/>
      </c>
      <c r="N724" s="54">
        <f>IF($B724="",0,COUNTIFS('①在庫を貼る'!$V$6:$V$10005,'設定'!$C$4,'①在庫を貼る'!$W$6:$W$10005,$B724))</f>
        <v/>
      </c>
    </row>
    <row r="725" ht="18" customHeight="1">
      <c r="B725" s="76" t="n"/>
      <c r="C725" s="77" t="n"/>
      <c r="D725" s="77" t="n"/>
      <c r="E725" s="77" t="n"/>
      <c r="F725" s="78" t="n"/>
      <c r="G725" s="79" t="n"/>
      <c r="H725" s="69" t="n"/>
      <c r="I725" s="44">
        <f>IF(OR($B725="",$H725=""),"",$H725*MAX(1,N($F725)))</f>
        <v/>
      </c>
      <c r="J725" s="80" t="n"/>
      <c r="K725" s="77" t="n"/>
      <c r="L725" s="54">
        <f>IF($B725="",0,IF(COUNTIFS('①在庫を貼る'!$V$6:$V$10005,'設定'!$C$4,'①在庫を貼る'!$W$6:$W$10005,$B725)+COUNTIFS('月1回_1ヶ月前の在庫'!$V$6:$V$10005,'設定'!$C$4,'月1回_1ヶ月前の在庫'!$W$6:$W$10005,$B725)+COUNTIFS('月1回_2ヶ月前の在庫'!$V$6:$V$10005,'設定'!$C$4,'月1回_2ヶ月前の在庫'!$W$6:$W$10005,$B725)&gt;0,1,0))</f>
        <v/>
      </c>
      <c r="M725" s="54">
        <f>N(M724)+$L725</f>
        <v/>
      </c>
      <c r="N725" s="54">
        <f>IF($B725="",0,COUNTIFS('①在庫を貼る'!$V$6:$V$10005,'設定'!$C$4,'①在庫を貼る'!$W$6:$W$10005,$B725))</f>
        <v/>
      </c>
    </row>
    <row r="726" ht="18" customHeight="1">
      <c r="B726" s="76" t="n"/>
      <c r="C726" s="77" t="n"/>
      <c r="D726" s="77" t="n"/>
      <c r="E726" s="77" t="n"/>
      <c r="F726" s="78" t="n"/>
      <c r="G726" s="79" t="n"/>
      <c r="H726" s="69" t="n"/>
      <c r="I726" s="44">
        <f>IF(OR($B726="",$H726=""),"",$H726*MAX(1,N($F726)))</f>
        <v/>
      </c>
      <c r="J726" s="80" t="n"/>
      <c r="K726" s="77" t="n"/>
      <c r="L726" s="54">
        <f>IF($B726="",0,IF(COUNTIFS('①在庫を貼る'!$V$6:$V$10005,'設定'!$C$4,'①在庫を貼る'!$W$6:$W$10005,$B726)+COUNTIFS('月1回_1ヶ月前の在庫'!$V$6:$V$10005,'設定'!$C$4,'月1回_1ヶ月前の在庫'!$W$6:$W$10005,$B726)+COUNTIFS('月1回_2ヶ月前の在庫'!$V$6:$V$10005,'設定'!$C$4,'月1回_2ヶ月前の在庫'!$W$6:$W$10005,$B726)&gt;0,1,0))</f>
        <v/>
      </c>
      <c r="M726" s="54">
        <f>N(M725)+$L726</f>
        <v/>
      </c>
      <c r="N726" s="54">
        <f>IF($B726="",0,COUNTIFS('①在庫を貼る'!$V$6:$V$10005,'設定'!$C$4,'①在庫を貼る'!$W$6:$W$10005,$B726))</f>
        <v/>
      </c>
    </row>
    <row r="727" ht="18" customHeight="1">
      <c r="B727" s="76" t="n"/>
      <c r="C727" s="77" t="n"/>
      <c r="D727" s="77" t="n"/>
      <c r="E727" s="77" t="n"/>
      <c r="F727" s="78" t="n"/>
      <c r="G727" s="79" t="n"/>
      <c r="H727" s="69" t="n"/>
      <c r="I727" s="44">
        <f>IF(OR($B727="",$H727=""),"",$H727*MAX(1,N($F727)))</f>
        <v/>
      </c>
      <c r="J727" s="80" t="n"/>
      <c r="K727" s="77" t="n"/>
      <c r="L727" s="54">
        <f>IF($B727="",0,IF(COUNTIFS('①在庫を貼る'!$V$6:$V$10005,'設定'!$C$4,'①在庫を貼る'!$W$6:$W$10005,$B727)+COUNTIFS('月1回_1ヶ月前の在庫'!$V$6:$V$10005,'設定'!$C$4,'月1回_1ヶ月前の在庫'!$W$6:$W$10005,$B727)+COUNTIFS('月1回_2ヶ月前の在庫'!$V$6:$V$10005,'設定'!$C$4,'月1回_2ヶ月前の在庫'!$W$6:$W$10005,$B727)&gt;0,1,0))</f>
        <v/>
      </c>
      <c r="M727" s="54">
        <f>N(M726)+$L727</f>
        <v/>
      </c>
      <c r="N727" s="54">
        <f>IF($B727="",0,COUNTIFS('①在庫を貼る'!$V$6:$V$10005,'設定'!$C$4,'①在庫を貼る'!$W$6:$W$10005,$B727))</f>
        <v/>
      </c>
    </row>
    <row r="728" ht="18" customHeight="1">
      <c r="B728" s="76" t="n"/>
      <c r="C728" s="77" t="n"/>
      <c r="D728" s="77" t="n"/>
      <c r="E728" s="77" t="n"/>
      <c r="F728" s="78" t="n"/>
      <c r="G728" s="79" t="n"/>
      <c r="H728" s="69" t="n"/>
      <c r="I728" s="44">
        <f>IF(OR($B728="",$H728=""),"",$H728*MAX(1,N($F728)))</f>
        <v/>
      </c>
      <c r="J728" s="80" t="n"/>
      <c r="K728" s="77" t="n"/>
      <c r="L728" s="54">
        <f>IF($B728="",0,IF(COUNTIFS('①在庫を貼る'!$V$6:$V$10005,'設定'!$C$4,'①在庫を貼る'!$W$6:$W$10005,$B728)+COUNTIFS('月1回_1ヶ月前の在庫'!$V$6:$V$10005,'設定'!$C$4,'月1回_1ヶ月前の在庫'!$W$6:$W$10005,$B728)+COUNTIFS('月1回_2ヶ月前の在庫'!$V$6:$V$10005,'設定'!$C$4,'月1回_2ヶ月前の在庫'!$W$6:$W$10005,$B728)&gt;0,1,0))</f>
        <v/>
      </c>
      <c r="M728" s="54">
        <f>N(M727)+$L728</f>
        <v/>
      </c>
      <c r="N728" s="54">
        <f>IF($B728="",0,COUNTIFS('①在庫を貼る'!$V$6:$V$10005,'設定'!$C$4,'①在庫を貼る'!$W$6:$W$10005,$B728))</f>
        <v/>
      </c>
    </row>
    <row r="729" ht="18" customHeight="1">
      <c r="B729" s="76" t="n"/>
      <c r="C729" s="77" t="n"/>
      <c r="D729" s="77" t="n"/>
      <c r="E729" s="77" t="n"/>
      <c r="F729" s="78" t="n"/>
      <c r="G729" s="79" t="n"/>
      <c r="H729" s="69" t="n"/>
      <c r="I729" s="44">
        <f>IF(OR($B729="",$H729=""),"",$H729*MAX(1,N($F729)))</f>
        <v/>
      </c>
      <c r="J729" s="80" t="n"/>
      <c r="K729" s="77" t="n"/>
      <c r="L729" s="54">
        <f>IF($B729="",0,IF(COUNTIFS('①在庫を貼る'!$V$6:$V$10005,'設定'!$C$4,'①在庫を貼る'!$W$6:$W$10005,$B729)+COUNTIFS('月1回_1ヶ月前の在庫'!$V$6:$V$10005,'設定'!$C$4,'月1回_1ヶ月前の在庫'!$W$6:$W$10005,$B729)+COUNTIFS('月1回_2ヶ月前の在庫'!$V$6:$V$10005,'設定'!$C$4,'月1回_2ヶ月前の在庫'!$W$6:$W$10005,$B729)&gt;0,1,0))</f>
        <v/>
      </c>
      <c r="M729" s="54">
        <f>N(M728)+$L729</f>
        <v/>
      </c>
      <c r="N729" s="54">
        <f>IF($B729="",0,COUNTIFS('①在庫を貼る'!$V$6:$V$10005,'設定'!$C$4,'①在庫を貼る'!$W$6:$W$10005,$B729))</f>
        <v/>
      </c>
    </row>
    <row r="730" ht="18" customHeight="1">
      <c r="B730" s="76" t="n"/>
      <c r="C730" s="77" t="n"/>
      <c r="D730" s="77" t="n"/>
      <c r="E730" s="77" t="n"/>
      <c r="F730" s="78" t="n"/>
      <c r="G730" s="79" t="n"/>
      <c r="H730" s="69" t="n"/>
      <c r="I730" s="44">
        <f>IF(OR($B730="",$H730=""),"",$H730*MAX(1,N($F730)))</f>
        <v/>
      </c>
      <c r="J730" s="80" t="n"/>
      <c r="K730" s="77" t="n"/>
      <c r="L730" s="54">
        <f>IF($B730="",0,IF(COUNTIFS('①在庫を貼る'!$V$6:$V$10005,'設定'!$C$4,'①在庫を貼る'!$W$6:$W$10005,$B730)+COUNTIFS('月1回_1ヶ月前の在庫'!$V$6:$V$10005,'設定'!$C$4,'月1回_1ヶ月前の在庫'!$W$6:$W$10005,$B730)+COUNTIFS('月1回_2ヶ月前の在庫'!$V$6:$V$10005,'設定'!$C$4,'月1回_2ヶ月前の在庫'!$W$6:$W$10005,$B730)&gt;0,1,0))</f>
        <v/>
      </c>
      <c r="M730" s="54">
        <f>N(M729)+$L730</f>
        <v/>
      </c>
      <c r="N730" s="54">
        <f>IF($B730="",0,COUNTIFS('①在庫を貼る'!$V$6:$V$10005,'設定'!$C$4,'①在庫を貼る'!$W$6:$W$10005,$B730))</f>
        <v/>
      </c>
    </row>
    <row r="731" ht="18" customHeight="1">
      <c r="B731" s="76" t="n"/>
      <c r="C731" s="77" t="n"/>
      <c r="D731" s="77" t="n"/>
      <c r="E731" s="77" t="n"/>
      <c r="F731" s="78" t="n"/>
      <c r="G731" s="79" t="n"/>
      <c r="H731" s="69" t="n"/>
      <c r="I731" s="44">
        <f>IF(OR($B731="",$H731=""),"",$H731*MAX(1,N($F731)))</f>
        <v/>
      </c>
      <c r="J731" s="80" t="n"/>
      <c r="K731" s="77" t="n"/>
      <c r="L731" s="54">
        <f>IF($B731="",0,IF(COUNTIFS('①在庫を貼る'!$V$6:$V$10005,'設定'!$C$4,'①在庫を貼る'!$W$6:$W$10005,$B731)+COUNTIFS('月1回_1ヶ月前の在庫'!$V$6:$V$10005,'設定'!$C$4,'月1回_1ヶ月前の在庫'!$W$6:$W$10005,$B731)+COUNTIFS('月1回_2ヶ月前の在庫'!$V$6:$V$10005,'設定'!$C$4,'月1回_2ヶ月前の在庫'!$W$6:$W$10005,$B731)&gt;0,1,0))</f>
        <v/>
      </c>
      <c r="M731" s="54">
        <f>N(M730)+$L731</f>
        <v/>
      </c>
      <c r="N731" s="54">
        <f>IF($B731="",0,COUNTIFS('①在庫を貼る'!$V$6:$V$10005,'設定'!$C$4,'①在庫を貼る'!$W$6:$W$10005,$B731))</f>
        <v/>
      </c>
    </row>
    <row r="732" ht="18" customHeight="1">
      <c r="B732" s="76" t="n"/>
      <c r="C732" s="77" t="n"/>
      <c r="D732" s="77" t="n"/>
      <c r="E732" s="77" t="n"/>
      <c r="F732" s="78" t="n"/>
      <c r="G732" s="79" t="n"/>
      <c r="H732" s="69" t="n"/>
      <c r="I732" s="44">
        <f>IF(OR($B732="",$H732=""),"",$H732*MAX(1,N($F732)))</f>
        <v/>
      </c>
      <c r="J732" s="80" t="n"/>
      <c r="K732" s="77" t="n"/>
      <c r="L732" s="54">
        <f>IF($B732="",0,IF(COUNTIFS('①在庫を貼る'!$V$6:$V$10005,'設定'!$C$4,'①在庫を貼る'!$W$6:$W$10005,$B732)+COUNTIFS('月1回_1ヶ月前の在庫'!$V$6:$V$10005,'設定'!$C$4,'月1回_1ヶ月前の在庫'!$W$6:$W$10005,$B732)+COUNTIFS('月1回_2ヶ月前の在庫'!$V$6:$V$10005,'設定'!$C$4,'月1回_2ヶ月前の在庫'!$W$6:$W$10005,$B732)&gt;0,1,0))</f>
        <v/>
      </c>
      <c r="M732" s="54">
        <f>N(M731)+$L732</f>
        <v/>
      </c>
      <c r="N732" s="54">
        <f>IF($B732="",0,COUNTIFS('①在庫を貼る'!$V$6:$V$10005,'設定'!$C$4,'①在庫を貼る'!$W$6:$W$10005,$B732))</f>
        <v/>
      </c>
    </row>
    <row r="733" ht="18" customHeight="1">
      <c r="B733" s="76" t="n"/>
      <c r="C733" s="77" t="n"/>
      <c r="D733" s="77" t="n"/>
      <c r="E733" s="77" t="n"/>
      <c r="F733" s="78" t="n"/>
      <c r="G733" s="79" t="n"/>
      <c r="H733" s="69" t="n"/>
      <c r="I733" s="44">
        <f>IF(OR($B733="",$H733=""),"",$H733*MAX(1,N($F733)))</f>
        <v/>
      </c>
      <c r="J733" s="80" t="n"/>
      <c r="K733" s="77" t="n"/>
      <c r="L733" s="54">
        <f>IF($B733="",0,IF(COUNTIFS('①在庫を貼る'!$V$6:$V$10005,'設定'!$C$4,'①在庫を貼る'!$W$6:$W$10005,$B733)+COUNTIFS('月1回_1ヶ月前の在庫'!$V$6:$V$10005,'設定'!$C$4,'月1回_1ヶ月前の在庫'!$W$6:$W$10005,$B733)+COUNTIFS('月1回_2ヶ月前の在庫'!$V$6:$V$10005,'設定'!$C$4,'月1回_2ヶ月前の在庫'!$W$6:$W$10005,$B733)&gt;0,1,0))</f>
        <v/>
      </c>
      <c r="M733" s="54">
        <f>N(M732)+$L733</f>
        <v/>
      </c>
      <c r="N733" s="54">
        <f>IF($B733="",0,COUNTIFS('①在庫を貼る'!$V$6:$V$10005,'設定'!$C$4,'①在庫を貼る'!$W$6:$W$10005,$B733))</f>
        <v/>
      </c>
    </row>
    <row r="734" ht="18" customHeight="1">
      <c r="B734" s="76" t="n"/>
      <c r="C734" s="77" t="n"/>
      <c r="D734" s="77" t="n"/>
      <c r="E734" s="77" t="n"/>
      <c r="F734" s="78" t="n"/>
      <c r="G734" s="79" t="n"/>
      <c r="H734" s="69" t="n"/>
      <c r="I734" s="44">
        <f>IF(OR($B734="",$H734=""),"",$H734*MAX(1,N($F734)))</f>
        <v/>
      </c>
      <c r="J734" s="80" t="n"/>
      <c r="K734" s="77" t="n"/>
      <c r="L734" s="54">
        <f>IF($B734="",0,IF(COUNTIFS('①在庫を貼る'!$V$6:$V$10005,'設定'!$C$4,'①在庫を貼る'!$W$6:$W$10005,$B734)+COUNTIFS('月1回_1ヶ月前の在庫'!$V$6:$V$10005,'設定'!$C$4,'月1回_1ヶ月前の在庫'!$W$6:$W$10005,$B734)+COUNTIFS('月1回_2ヶ月前の在庫'!$V$6:$V$10005,'設定'!$C$4,'月1回_2ヶ月前の在庫'!$W$6:$W$10005,$B734)&gt;0,1,0))</f>
        <v/>
      </c>
      <c r="M734" s="54">
        <f>N(M733)+$L734</f>
        <v/>
      </c>
      <c r="N734" s="54">
        <f>IF($B734="",0,COUNTIFS('①在庫を貼る'!$V$6:$V$10005,'設定'!$C$4,'①在庫を貼る'!$W$6:$W$10005,$B734))</f>
        <v/>
      </c>
    </row>
    <row r="735" ht="18" customHeight="1">
      <c r="B735" s="76" t="n"/>
      <c r="C735" s="77" t="n"/>
      <c r="D735" s="77" t="n"/>
      <c r="E735" s="77" t="n"/>
      <c r="F735" s="78" t="n"/>
      <c r="G735" s="79" t="n"/>
      <c r="H735" s="69" t="n"/>
      <c r="I735" s="44">
        <f>IF(OR($B735="",$H735=""),"",$H735*MAX(1,N($F735)))</f>
        <v/>
      </c>
      <c r="J735" s="80" t="n"/>
      <c r="K735" s="77" t="n"/>
      <c r="L735" s="54">
        <f>IF($B735="",0,IF(COUNTIFS('①在庫を貼る'!$V$6:$V$10005,'設定'!$C$4,'①在庫を貼る'!$W$6:$W$10005,$B735)+COUNTIFS('月1回_1ヶ月前の在庫'!$V$6:$V$10005,'設定'!$C$4,'月1回_1ヶ月前の在庫'!$W$6:$W$10005,$B735)+COUNTIFS('月1回_2ヶ月前の在庫'!$V$6:$V$10005,'設定'!$C$4,'月1回_2ヶ月前の在庫'!$W$6:$W$10005,$B735)&gt;0,1,0))</f>
        <v/>
      </c>
      <c r="M735" s="54">
        <f>N(M734)+$L735</f>
        <v/>
      </c>
      <c r="N735" s="54">
        <f>IF($B735="",0,COUNTIFS('①在庫を貼る'!$V$6:$V$10005,'設定'!$C$4,'①在庫を貼る'!$W$6:$W$10005,$B735))</f>
        <v/>
      </c>
    </row>
    <row r="736" ht="18" customHeight="1">
      <c r="B736" s="76" t="n"/>
      <c r="C736" s="77" t="n"/>
      <c r="D736" s="77" t="n"/>
      <c r="E736" s="77" t="n"/>
      <c r="F736" s="78" t="n"/>
      <c r="G736" s="79" t="n"/>
      <c r="H736" s="69" t="n"/>
      <c r="I736" s="44">
        <f>IF(OR($B736="",$H736=""),"",$H736*MAX(1,N($F736)))</f>
        <v/>
      </c>
      <c r="J736" s="80" t="n"/>
      <c r="K736" s="77" t="n"/>
      <c r="L736" s="54">
        <f>IF($B736="",0,IF(COUNTIFS('①在庫を貼る'!$V$6:$V$10005,'設定'!$C$4,'①在庫を貼る'!$W$6:$W$10005,$B736)+COUNTIFS('月1回_1ヶ月前の在庫'!$V$6:$V$10005,'設定'!$C$4,'月1回_1ヶ月前の在庫'!$W$6:$W$10005,$B736)+COUNTIFS('月1回_2ヶ月前の在庫'!$V$6:$V$10005,'設定'!$C$4,'月1回_2ヶ月前の在庫'!$W$6:$W$10005,$B736)&gt;0,1,0))</f>
        <v/>
      </c>
      <c r="M736" s="54">
        <f>N(M735)+$L736</f>
        <v/>
      </c>
      <c r="N736" s="54">
        <f>IF($B736="",0,COUNTIFS('①在庫を貼る'!$V$6:$V$10005,'設定'!$C$4,'①在庫を貼る'!$W$6:$W$10005,$B736))</f>
        <v/>
      </c>
    </row>
    <row r="737" ht="18" customHeight="1">
      <c r="B737" s="76" t="n"/>
      <c r="C737" s="77" t="n"/>
      <c r="D737" s="77" t="n"/>
      <c r="E737" s="77" t="n"/>
      <c r="F737" s="78" t="n"/>
      <c r="G737" s="79" t="n"/>
      <c r="H737" s="69" t="n"/>
      <c r="I737" s="44">
        <f>IF(OR($B737="",$H737=""),"",$H737*MAX(1,N($F737)))</f>
        <v/>
      </c>
      <c r="J737" s="80" t="n"/>
      <c r="K737" s="77" t="n"/>
      <c r="L737" s="54">
        <f>IF($B737="",0,IF(COUNTIFS('①在庫を貼る'!$V$6:$V$10005,'設定'!$C$4,'①在庫を貼る'!$W$6:$W$10005,$B737)+COUNTIFS('月1回_1ヶ月前の在庫'!$V$6:$V$10005,'設定'!$C$4,'月1回_1ヶ月前の在庫'!$W$6:$W$10005,$B737)+COUNTIFS('月1回_2ヶ月前の在庫'!$V$6:$V$10005,'設定'!$C$4,'月1回_2ヶ月前の在庫'!$W$6:$W$10005,$B737)&gt;0,1,0))</f>
        <v/>
      </c>
      <c r="M737" s="54">
        <f>N(M736)+$L737</f>
        <v/>
      </c>
      <c r="N737" s="54">
        <f>IF($B737="",0,COUNTIFS('①在庫を貼る'!$V$6:$V$10005,'設定'!$C$4,'①在庫を貼る'!$W$6:$W$10005,$B737))</f>
        <v/>
      </c>
    </row>
    <row r="738" ht="18" customHeight="1">
      <c r="B738" s="76" t="n"/>
      <c r="C738" s="77" t="n"/>
      <c r="D738" s="77" t="n"/>
      <c r="E738" s="77" t="n"/>
      <c r="F738" s="78" t="n"/>
      <c r="G738" s="79" t="n"/>
      <c r="H738" s="69" t="n"/>
      <c r="I738" s="44">
        <f>IF(OR($B738="",$H738=""),"",$H738*MAX(1,N($F738)))</f>
        <v/>
      </c>
      <c r="J738" s="80" t="n"/>
      <c r="K738" s="77" t="n"/>
      <c r="L738" s="54">
        <f>IF($B738="",0,IF(COUNTIFS('①在庫を貼る'!$V$6:$V$10005,'設定'!$C$4,'①在庫を貼る'!$W$6:$W$10005,$B738)+COUNTIFS('月1回_1ヶ月前の在庫'!$V$6:$V$10005,'設定'!$C$4,'月1回_1ヶ月前の在庫'!$W$6:$W$10005,$B738)+COUNTIFS('月1回_2ヶ月前の在庫'!$V$6:$V$10005,'設定'!$C$4,'月1回_2ヶ月前の在庫'!$W$6:$W$10005,$B738)&gt;0,1,0))</f>
        <v/>
      </c>
      <c r="M738" s="54">
        <f>N(M737)+$L738</f>
        <v/>
      </c>
      <c r="N738" s="54">
        <f>IF($B738="",0,COUNTIFS('①在庫を貼る'!$V$6:$V$10005,'設定'!$C$4,'①在庫を貼る'!$W$6:$W$10005,$B738))</f>
        <v/>
      </c>
    </row>
    <row r="739" ht="18" customHeight="1">
      <c r="B739" s="76" t="n"/>
      <c r="C739" s="77" t="n"/>
      <c r="D739" s="77" t="n"/>
      <c r="E739" s="77" t="n"/>
      <c r="F739" s="78" t="n"/>
      <c r="G739" s="79" t="n"/>
      <c r="H739" s="69" t="n"/>
      <c r="I739" s="44">
        <f>IF(OR($B739="",$H739=""),"",$H739*MAX(1,N($F739)))</f>
        <v/>
      </c>
      <c r="J739" s="80" t="n"/>
      <c r="K739" s="77" t="n"/>
      <c r="L739" s="54">
        <f>IF($B739="",0,IF(COUNTIFS('①在庫を貼る'!$V$6:$V$10005,'設定'!$C$4,'①在庫を貼る'!$W$6:$W$10005,$B739)+COUNTIFS('月1回_1ヶ月前の在庫'!$V$6:$V$10005,'設定'!$C$4,'月1回_1ヶ月前の在庫'!$W$6:$W$10005,$B739)+COUNTIFS('月1回_2ヶ月前の在庫'!$V$6:$V$10005,'設定'!$C$4,'月1回_2ヶ月前の在庫'!$W$6:$W$10005,$B739)&gt;0,1,0))</f>
        <v/>
      </c>
      <c r="M739" s="54">
        <f>N(M738)+$L739</f>
        <v/>
      </c>
      <c r="N739" s="54">
        <f>IF($B739="",0,COUNTIFS('①在庫を貼る'!$V$6:$V$10005,'設定'!$C$4,'①在庫を貼る'!$W$6:$W$10005,$B739))</f>
        <v/>
      </c>
    </row>
    <row r="740" ht="18" customHeight="1">
      <c r="B740" s="76" t="n"/>
      <c r="C740" s="77" t="n"/>
      <c r="D740" s="77" t="n"/>
      <c r="E740" s="77" t="n"/>
      <c r="F740" s="78" t="n"/>
      <c r="G740" s="79" t="n"/>
      <c r="H740" s="69" t="n"/>
      <c r="I740" s="44">
        <f>IF(OR($B740="",$H740=""),"",$H740*MAX(1,N($F740)))</f>
        <v/>
      </c>
      <c r="J740" s="80" t="n"/>
      <c r="K740" s="77" t="n"/>
      <c r="L740" s="54">
        <f>IF($B740="",0,IF(COUNTIFS('①在庫を貼る'!$V$6:$V$10005,'設定'!$C$4,'①在庫を貼る'!$W$6:$W$10005,$B740)+COUNTIFS('月1回_1ヶ月前の在庫'!$V$6:$V$10005,'設定'!$C$4,'月1回_1ヶ月前の在庫'!$W$6:$W$10005,$B740)+COUNTIFS('月1回_2ヶ月前の在庫'!$V$6:$V$10005,'設定'!$C$4,'月1回_2ヶ月前の在庫'!$W$6:$W$10005,$B740)&gt;0,1,0))</f>
        <v/>
      </c>
      <c r="M740" s="54">
        <f>N(M739)+$L740</f>
        <v/>
      </c>
      <c r="N740" s="54">
        <f>IF($B740="",0,COUNTIFS('①在庫を貼る'!$V$6:$V$10005,'設定'!$C$4,'①在庫を貼る'!$W$6:$W$10005,$B740))</f>
        <v/>
      </c>
    </row>
    <row r="741" ht="18" customHeight="1">
      <c r="B741" s="76" t="n"/>
      <c r="C741" s="77" t="n"/>
      <c r="D741" s="77" t="n"/>
      <c r="E741" s="77" t="n"/>
      <c r="F741" s="78" t="n"/>
      <c r="G741" s="79" t="n"/>
      <c r="H741" s="69" t="n"/>
      <c r="I741" s="44">
        <f>IF(OR($B741="",$H741=""),"",$H741*MAX(1,N($F741)))</f>
        <v/>
      </c>
      <c r="J741" s="80" t="n"/>
      <c r="K741" s="77" t="n"/>
      <c r="L741" s="54">
        <f>IF($B741="",0,IF(COUNTIFS('①在庫を貼る'!$V$6:$V$10005,'設定'!$C$4,'①在庫を貼る'!$W$6:$W$10005,$B741)+COUNTIFS('月1回_1ヶ月前の在庫'!$V$6:$V$10005,'設定'!$C$4,'月1回_1ヶ月前の在庫'!$W$6:$W$10005,$B741)+COUNTIFS('月1回_2ヶ月前の在庫'!$V$6:$V$10005,'設定'!$C$4,'月1回_2ヶ月前の在庫'!$W$6:$W$10005,$B741)&gt;0,1,0))</f>
        <v/>
      </c>
      <c r="M741" s="54">
        <f>N(M740)+$L741</f>
        <v/>
      </c>
      <c r="N741" s="54">
        <f>IF($B741="",0,COUNTIFS('①在庫を貼る'!$V$6:$V$10005,'設定'!$C$4,'①在庫を貼る'!$W$6:$W$10005,$B741))</f>
        <v/>
      </c>
    </row>
    <row r="742" ht="18" customHeight="1">
      <c r="B742" s="76" t="n"/>
      <c r="C742" s="77" t="n"/>
      <c r="D742" s="77" t="n"/>
      <c r="E742" s="77" t="n"/>
      <c r="F742" s="78" t="n"/>
      <c r="G742" s="79" t="n"/>
      <c r="H742" s="69" t="n"/>
      <c r="I742" s="44">
        <f>IF(OR($B742="",$H742=""),"",$H742*MAX(1,N($F742)))</f>
        <v/>
      </c>
      <c r="J742" s="80" t="n"/>
      <c r="K742" s="77" t="n"/>
      <c r="L742" s="54">
        <f>IF($B742="",0,IF(COUNTIFS('①在庫を貼る'!$V$6:$V$10005,'設定'!$C$4,'①在庫を貼る'!$W$6:$W$10005,$B742)+COUNTIFS('月1回_1ヶ月前の在庫'!$V$6:$V$10005,'設定'!$C$4,'月1回_1ヶ月前の在庫'!$W$6:$W$10005,$B742)+COUNTIFS('月1回_2ヶ月前の在庫'!$V$6:$V$10005,'設定'!$C$4,'月1回_2ヶ月前の在庫'!$W$6:$W$10005,$B742)&gt;0,1,0))</f>
        <v/>
      </c>
      <c r="M742" s="54">
        <f>N(M741)+$L742</f>
        <v/>
      </c>
      <c r="N742" s="54">
        <f>IF($B742="",0,COUNTIFS('①在庫を貼る'!$V$6:$V$10005,'設定'!$C$4,'①在庫を貼る'!$W$6:$W$10005,$B742))</f>
        <v/>
      </c>
    </row>
    <row r="743" ht="18" customHeight="1">
      <c r="B743" s="76" t="n"/>
      <c r="C743" s="77" t="n"/>
      <c r="D743" s="77" t="n"/>
      <c r="E743" s="77" t="n"/>
      <c r="F743" s="78" t="n"/>
      <c r="G743" s="79" t="n"/>
      <c r="H743" s="69" t="n"/>
      <c r="I743" s="44">
        <f>IF(OR($B743="",$H743=""),"",$H743*MAX(1,N($F743)))</f>
        <v/>
      </c>
      <c r="J743" s="80" t="n"/>
      <c r="K743" s="77" t="n"/>
      <c r="L743" s="54">
        <f>IF($B743="",0,IF(COUNTIFS('①在庫を貼る'!$V$6:$V$10005,'設定'!$C$4,'①在庫を貼る'!$W$6:$W$10005,$B743)+COUNTIFS('月1回_1ヶ月前の在庫'!$V$6:$V$10005,'設定'!$C$4,'月1回_1ヶ月前の在庫'!$W$6:$W$10005,$B743)+COUNTIFS('月1回_2ヶ月前の在庫'!$V$6:$V$10005,'設定'!$C$4,'月1回_2ヶ月前の在庫'!$W$6:$W$10005,$B743)&gt;0,1,0))</f>
        <v/>
      </c>
      <c r="M743" s="54">
        <f>N(M742)+$L743</f>
        <v/>
      </c>
      <c r="N743" s="54">
        <f>IF($B743="",0,COUNTIFS('①在庫を貼る'!$V$6:$V$10005,'設定'!$C$4,'①在庫を貼る'!$W$6:$W$10005,$B743))</f>
        <v/>
      </c>
    </row>
    <row r="744" ht="18" customHeight="1">
      <c r="B744" s="76" t="n"/>
      <c r="C744" s="77" t="n"/>
      <c r="D744" s="77" t="n"/>
      <c r="E744" s="77" t="n"/>
      <c r="F744" s="78" t="n"/>
      <c r="G744" s="79" t="n"/>
      <c r="H744" s="69" t="n"/>
      <c r="I744" s="44">
        <f>IF(OR($B744="",$H744=""),"",$H744*MAX(1,N($F744)))</f>
        <v/>
      </c>
      <c r="J744" s="80" t="n"/>
      <c r="K744" s="77" t="n"/>
      <c r="L744" s="54">
        <f>IF($B744="",0,IF(COUNTIFS('①在庫を貼る'!$V$6:$V$10005,'設定'!$C$4,'①在庫を貼る'!$W$6:$W$10005,$B744)+COUNTIFS('月1回_1ヶ月前の在庫'!$V$6:$V$10005,'設定'!$C$4,'月1回_1ヶ月前の在庫'!$W$6:$W$10005,$B744)+COUNTIFS('月1回_2ヶ月前の在庫'!$V$6:$V$10005,'設定'!$C$4,'月1回_2ヶ月前の在庫'!$W$6:$W$10005,$B744)&gt;0,1,0))</f>
        <v/>
      </c>
      <c r="M744" s="54">
        <f>N(M743)+$L744</f>
        <v/>
      </c>
      <c r="N744" s="54">
        <f>IF($B744="",0,COUNTIFS('①在庫を貼る'!$V$6:$V$10005,'設定'!$C$4,'①在庫を貼る'!$W$6:$W$10005,$B744))</f>
        <v/>
      </c>
    </row>
    <row r="745" ht="18" customHeight="1">
      <c r="B745" s="76" t="n"/>
      <c r="C745" s="77" t="n"/>
      <c r="D745" s="77" t="n"/>
      <c r="E745" s="77" t="n"/>
      <c r="F745" s="78" t="n"/>
      <c r="G745" s="79" t="n"/>
      <c r="H745" s="69" t="n"/>
      <c r="I745" s="44">
        <f>IF(OR($B745="",$H745=""),"",$H745*MAX(1,N($F745)))</f>
        <v/>
      </c>
      <c r="J745" s="80" t="n"/>
      <c r="K745" s="77" t="n"/>
      <c r="L745" s="54">
        <f>IF($B745="",0,IF(COUNTIFS('①在庫を貼る'!$V$6:$V$10005,'設定'!$C$4,'①在庫を貼る'!$W$6:$W$10005,$B745)+COUNTIFS('月1回_1ヶ月前の在庫'!$V$6:$V$10005,'設定'!$C$4,'月1回_1ヶ月前の在庫'!$W$6:$W$10005,$B745)+COUNTIFS('月1回_2ヶ月前の在庫'!$V$6:$V$10005,'設定'!$C$4,'月1回_2ヶ月前の在庫'!$W$6:$W$10005,$B745)&gt;0,1,0))</f>
        <v/>
      </c>
      <c r="M745" s="54">
        <f>N(M744)+$L745</f>
        <v/>
      </c>
      <c r="N745" s="54">
        <f>IF($B745="",0,COUNTIFS('①在庫を貼る'!$V$6:$V$10005,'設定'!$C$4,'①在庫を貼る'!$W$6:$W$10005,$B745))</f>
        <v/>
      </c>
    </row>
    <row r="746" ht="18" customHeight="1">
      <c r="B746" s="76" t="n"/>
      <c r="C746" s="77" t="n"/>
      <c r="D746" s="77" t="n"/>
      <c r="E746" s="77" t="n"/>
      <c r="F746" s="78" t="n"/>
      <c r="G746" s="79" t="n"/>
      <c r="H746" s="69" t="n"/>
      <c r="I746" s="44">
        <f>IF(OR($B746="",$H746=""),"",$H746*MAX(1,N($F746)))</f>
        <v/>
      </c>
      <c r="J746" s="80" t="n"/>
      <c r="K746" s="77" t="n"/>
      <c r="L746" s="54">
        <f>IF($B746="",0,IF(COUNTIFS('①在庫を貼る'!$V$6:$V$10005,'設定'!$C$4,'①在庫を貼る'!$W$6:$W$10005,$B746)+COUNTIFS('月1回_1ヶ月前の在庫'!$V$6:$V$10005,'設定'!$C$4,'月1回_1ヶ月前の在庫'!$W$6:$W$10005,$B746)+COUNTIFS('月1回_2ヶ月前の在庫'!$V$6:$V$10005,'設定'!$C$4,'月1回_2ヶ月前の在庫'!$W$6:$W$10005,$B746)&gt;0,1,0))</f>
        <v/>
      </c>
      <c r="M746" s="54">
        <f>N(M745)+$L746</f>
        <v/>
      </c>
      <c r="N746" s="54">
        <f>IF($B746="",0,COUNTIFS('①在庫を貼る'!$V$6:$V$10005,'設定'!$C$4,'①在庫を貼る'!$W$6:$W$10005,$B746))</f>
        <v/>
      </c>
    </row>
    <row r="747" ht="18" customHeight="1">
      <c r="B747" s="76" t="n"/>
      <c r="C747" s="77" t="n"/>
      <c r="D747" s="77" t="n"/>
      <c r="E747" s="77" t="n"/>
      <c r="F747" s="78" t="n"/>
      <c r="G747" s="79" t="n"/>
      <c r="H747" s="69" t="n"/>
      <c r="I747" s="44">
        <f>IF(OR($B747="",$H747=""),"",$H747*MAX(1,N($F747)))</f>
        <v/>
      </c>
      <c r="J747" s="80" t="n"/>
      <c r="K747" s="77" t="n"/>
      <c r="L747" s="54">
        <f>IF($B747="",0,IF(COUNTIFS('①在庫を貼る'!$V$6:$V$10005,'設定'!$C$4,'①在庫を貼る'!$W$6:$W$10005,$B747)+COUNTIFS('月1回_1ヶ月前の在庫'!$V$6:$V$10005,'設定'!$C$4,'月1回_1ヶ月前の在庫'!$W$6:$W$10005,$B747)+COUNTIFS('月1回_2ヶ月前の在庫'!$V$6:$V$10005,'設定'!$C$4,'月1回_2ヶ月前の在庫'!$W$6:$W$10005,$B747)&gt;0,1,0))</f>
        <v/>
      </c>
      <c r="M747" s="54">
        <f>N(M746)+$L747</f>
        <v/>
      </c>
      <c r="N747" s="54">
        <f>IF($B747="",0,COUNTIFS('①在庫を貼る'!$V$6:$V$10005,'設定'!$C$4,'①在庫を貼る'!$W$6:$W$10005,$B747))</f>
        <v/>
      </c>
    </row>
    <row r="748" ht="18" customHeight="1">
      <c r="B748" s="76" t="n"/>
      <c r="C748" s="77" t="n"/>
      <c r="D748" s="77" t="n"/>
      <c r="E748" s="77" t="n"/>
      <c r="F748" s="78" t="n"/>
      <c r="G748" s="79" t="n"/>
      <c r="H748" s="69" t="n"/>
      <c r="I748" s="44">
        <f>IF(OR($B748="",$H748=""),"",$H748*MAX(1,N($F748)))</f>
        <v/>
      </c>
      <c r="J748" s="80" t="n"/>
      <c r="K748" s="77" t="n"/>
      <c r="L748" s="54">
        <f>IF($B748="",0,IF(COUNTIFS('①在庫を貼る'!$V$6:$V$10005,'設定'!$C$4,'①在庫を貼る'!$W$6:$W$10005,$B748)+COUNTIFS('月1回_1ヶ月前の在庫'!$V$6:$V$10005,'設定'!$C$4,'月1回_1ヶ月前の在庫'!$W$6:$W$10005,$B748)+COUNTIFS('月1回_2ヶ月前の在庫'!$V$6:$V$10005,'設定'!$C$4,'月1回_2ヶ月前の在庫'!$W$6:$W$10005,$B748)&gt;0,1,0))</f>
        <v/>
      </c>
      <c r="M748" s="54">
        <f>N(M747)+$L748</f>
        <v/>
      </c>
      <c r="N748" s="54">
        <f>IF($B748="",0,COUNTIFS('①在庫を貼る'!$V$6:$V$10005,'設定'!$C$4,'①在庫を貼る'!$W$6:$W$10005,$B748))</f>
        <v/>
      </c>
    </row>
    <row r="749" ht="18" customHeight="1">
      <c r="B749" s="76" t="n"/>
      <c r="C749" s="77" t="n"/>
      <c r="D749" s="77" t="n"/>
      <c r="E749" s="77" t="n"/>
      <c r="F749" s="78" t="n"/>
      <c r="G749" s="79" t="n"/>
      <c r="H749" s="69" t="n"/>
      <c r="I749" s="44">
        <f>IF(OR($B749="",$H749=""),"",$H749*MAX(1,N($F749)))</f>
        <v/>
      </c>
      <c r="J749" s="80" t="n"/>
      <c r="K749" s="77" t="n"/>
      <c r="L749" s="54">
        <f>IF($B749="",0,IF(COUNTIFS('①在庫を貼る'!$V$6:$V$10005,'設定'!$C$4,'①在庫を貼る'!$W$6:$W$10005,$B749)+COUNTIFS('月1回_1ヶ月前の在庫'!$V$6:$V$10005,'設定'!$C$4,'月1回_1ヶ月前の在庫'!$W$6:$W$10005,$B749)+COUNTIFS('月1回_2ヶ月前の在庫'!$V$6:$V$10005,'設定'!$C$4,'月1回_2ヶ月前の在庫'!$W$6:$W$10005,$B749)&gt;0,1,0))</f>
        <v/>
      </c>
      <c r="M749" s="54">
        <f>N(M748)+$L749</f>
        <v/>
      </c>
      <c r="N749" s="54">
        <f>IF($B749="",0,COUNTIFS('①在庫を貼る'!$V$6:$V$10005,'設定'!$C$4,'①在庫を貼る'!$W$6:$W$10005,$B749))</f>
        <v/>
      </c>
    </row>
    <row r="750" ht="18" customHeight="1">
      <c r="B750" s="76" t="n"/>
      <c r="C750" s="77" t="n"/>
      <c r="D750" s="77" t="n"/>
      <c r="E750" s="77" t="n"/>
      <c r="F750" s="78" t="n"/>
      <c r="G750" s="79" t="n"/>
      <c r="H750" s="69" t="n"/>
      <c r="I750" s="44">
        <f>IF(OR($B750="",$H750=""),"",$H750*MAX(1,N($F750)))</f>
        <v/>
      </c>
      <c r="J750" s="80" t="n"/>
      <c r="K750" s="77" t="n"/>
      <c r="L750" s="54">
        <f>IF($B750="",0,IF(COUNTIFS('①在庫を貼る'!$V$6:$V$10005,'設定'!$C$4,'①在庫を貼る'!$W$6:$W$10005,$B750)+COUNTIFS('月1回_1ヶ月前の在庫'!$V$6:$V$10005,'設定'!$C$4,'月1回_1ヶ月前の在庫'!$W$6:$W$10005,$B750)+COUNTIFS('月1回_2ヶ月前の在庫'!$V$6:$V$10005,'設定'!$C$4,'月1回_2ヶ月前の在庫'!$W$6:$W$10005,$B750)&gt;0,1,0))</f>
        <v/>
      </c>
      <c r="M750" s="54">
        <f>N(M749)+$L750</f>
        <v/>
      </c>
      <c r="N750" s="54">
        <f>IF($B750="",0,COUNTIFS('①在庫を貼る'!$V$6:$V$10005,'設定'!$C$4,'①在庫を貼る'!$W$6:$W$10005,$B750))</f>
        <v/>
      </c>
    </row>
    <row r="751" ht="18" customHeight="1">
      <c r="B751" s="76" t="n"/>
      <c r="C751" s="77" t="n"/>
      <c r="D751" s="77" t="n"/>
      <c r="E751" s="77" t="n"/>
      <c r="F751" s="78" t="n"/>
      <c r="G751" s="79" t="n"/>
      <c r="H751" s="69" t="n"/>
      <c r="I751" s="44">
        <f>IF(OR($B751="",$H751=""),"",$H751*MAX(1,N($F751)))</f>
        <v/>
      </c>
      <c r="J751" s="80" t="n"/>
      <c r="K751" s="77" t="n"/>
      <c r="L751" s="54">
        <f>IF($B751="",0,IF(COUNTIFS('①在庫を貼る'!$V$6:$V$10005,'設定'!$C$4,'①在庫を貼る'!$W$6:$W$10005,$B751)+COUNTIFS('月1回_1ヶ月前の在庫'!$V$6:$V$10005,'設定'!$C$4,'月1回_1ヶ月前の在庫'!$W$6:$W$10005,$B751)+COUNTIFS('月1回_2ヶ月前の在庫'!$V$6:$V$10005,'設定'!$C$4,'月1回_2ヶ月前の在庫'!$W$6:$W$10005,$B751)&gt;0,1,0))</f>
        <v/>
      </c>
      <c r="M751" s="54">
        <f>N(M750)+$L751</f>
        <v/>
      </c>
      <c r="N751" s="54">
        <f>IF($B751="",0,COUNTIFS('①在庫を貼る'!$V$6:$V$10005,'設定'!$C$4,'①在庫を貼る'!$W$6:$W$10005,$B751))</f>
        <v/>
      </c>
    </row>
    <row r="752" ht="18" customHeight="1">
      <c r="B752" s="76" t="n"/>
      <c r="C752" s="77" t="n"/>
      <c r="D752" s="77" t="n"/>
      <c r="E752" s="77" t="n"/>
      <c r="F752" s="78" t="n"/>
      <c r="G752" s="79" t="n"/>
      <c r="H752" s="69" t="n"/>
      <c r="I752" s="44">
        <f>IF(OR($B752="",$H752=""),"",$H752*MAX(1,N($F752)))</f>
        <v/>
      </c>
      <c r="J752" s="80" t="n"/>
      <c r="K752" s="77" t="n"/>
      <c r="L752" s="54">
        <f>IF($B752="",0,IF(COUNTIFS('①在庫を貼る'!$V$6:$V$10005,'設定'!$C$4,'①在庫を貼る'!$W$6:$W$10005,$B752)+COUNTIFS('月1回_1ヶ月前の在庫'!$V$6:$V$10005,'設定'!$C$4,'月1回_1ヶ月前の在庫'!$W$6:$W$10005,$B752)+COUNTIFS('月1回_2ヶ月前の在庫'!$V$6:$V$10005,'設定'!$C$4,'月1回_2ヶ月前の在庫'!$W$6:$W$10005,$B752)&gt;0,1,0))</f>
        <v/>
      </c>
      <c r="M752" s="54">
        <f>N(M751)+$L752</f>
        <v/>
      </c>
      <c r="N752" s="54">
        <f>IF($B752="",0,COUNTIFS('①在庫を貼る'!$V$6:$V$10005,'設定'!$C$4,'①在庫を貼る'!$W$6:$W$10005,$B752))</f>
        <v/>
      </c>
    </row>
    <row r="753" ht="18" customHeight="1">
      <c r="B753" s="76" t="n"/>
      <c r="C753" s="77" t="n"/>
      <c r="D753" s="77" t="n"/>
      <c r="E753" s="77" t="n"/>
      <c r="F753" s="78" t="n"/>
      <c r="G753" s="79" t="n"/>
      <c r="H753" s="69" t="n"/>
      <c r="I753" s="44">
        <f>IF(OR($B753="",$H753=""),"",$H753*MAX(1,N($F753)))</f>
        <v/>
      </c>
      <c r="J753" s="80" t="n"/>
      <c r="K753" s="77" t="n"/>
      <c r="L753" s="54">
        <f>IF($B753="",0,IF(COUNTIFS('①在庫を貼る'!$V$6:$V$10005,'設定'!$C$4,'①在庫を貼る'!$W$6:$W$10005,$B753)+COUNTIFS('月1回_1ヶ月前の在庫'!$V$6:$V$10005,'設定'!$C$4,'月1回_1ヶ月前の在庫'!$W$6:$W$10005,$B753)+COUNTIFS('月1回_2ヶ月前の在庫'!$V$6:$V$10005,'設定'!$C$4,'月1回_2ヶ月前の在庫'!$W$6:$W$10005,$B753)&gt;0,1,0))</f>
        <v/>
      </c>
      <c r="M753" s="54">
        <f>N(M752)+$L753</f>
        <v/>
      </c>
      <c r="N753" s="54">
        <f>IF($B753="",0,COUNTIFS('①在庫を貼る'!$V$6:$V$10005,'設定'!$C$4,'①在庫を貼る'!$W$6:$W$10005,$B753))</f>
        <v/>
      </c>
    </row>
    <row r="754" ht="18" customHeight="1">
      <c r="B754" s="76" t="n"/>
      <c r="C754" s="77" t="n"/>
      <c r="D754" s="77" t="n"/>
      <c r="E754" s="77" t="n"/>
      <c r="F754" s="78" t="n"/>
      <c r="G754" s="79" t="n"/>
      <c r="H754" s="69" t="n"/>
      <c r="I754" s="44">
        <f>IF(OR($B754="",$H754=""),"",$H754*MAX(1,N($F754)))</f>
        <v/>
      </c>
      <c r="J754" s="80" t="n"/>
      <c r="K754" s="77" t="n"/>
      <c r="L754" s="54">
        <f>IF($B754="",0,IF(COUNTIFS('①在庫を貼る'!$V$6:$V$10005,'設定'!$C$4,'①在庫を貼る'!$W$6:$W$10005,$B754)+COUNTIFS('月1回_1ヶ月前の在庫'!$V$6:$V$10005,'設定'!$C$4,'月1回_1ヶ月前の在庫'!$W$6:$W$10005,$B754)+COUNTIFS('月1回_2ヶ月前の在庫'!$V$6:$V$10005,'設定'!$C$4,'月1回_2ヶ月前の在庫'!$W$6:$W$10005,$B754)&gt;0,1,0))</f>
        <v/>
      </c>
      <c r="M754" s="54">
        <f>N(M753)+$L754</f>
        <v/>
      </c>
      <c r="N754" s="54">
        <f>IF($B754="",0,COUNTIFS('①在庫を貼る'!$V$6:$V$10005,'設定'!$C$4,'①在庫を貼る'!$W$6:$W$10005,$B754))</f>
        <v/>
      </c>
    </row>
    <row r="755" ht="18" customHeight="1">
      <c r="B755" s="76" t="n"/>
      <c r="C755" s="77" t="n"/>
      <c r="D755" s="77" t="n"/>
      <c r="E755" s="77" t="n"/>
      <c r="F755" s="78" t="n"/>
      <c r="G755" s="79" t="n"/>
      <c r="H755" s="69" t="n"/>
      <c r="I755" s="44">
        <f>IF(OR($B755="",$H755=""),"",$H755*MAX(1,N($F755)))</f>
        <v/>
      </c>
      <c r="J755" s="80" t="n"/>
      <c r="K755" s="77" t="n"/>
      <c r="L755" s="54">
        <f>IF($B755="",0,IF(COUNTIFS('①在庫を貼る'!$V$6:$V$10005,'設定'!$C$4,'①在庫を貼る'!$W$6:$W$10005,$B755)+COUNTIFS('月1回_1ヶ月前の在庫'!$V$6:$V$10005,'設定'!$C$4,'月1回_1ヶ月前の在庫'!$W$6:$W$10005,$B755)+COUNTIFS('月1回_2ヶ月前の在庫'!$V$6:$V$10005,'設定'!$C$4,'月1回_2ヶ月前の在庫'!$W$6:$W$10005,$B755)&gt;0,1,0))</f>
        <v/>
      </c>
      <c r="M755" s="54">
        <f>N(M754)+$L755</f>
        <v/>
      </c>
      <c r="N755" s="54">
        <f>IF($B755="",0,COUNTIFS('①在庫を貼る'!$V$6:$V$10005,'設定'!$C$4,'①在庫を貼る'!$W$6:$W$10005,$B755))</f>
        <v/>
      </c>
    </row>
    <row r="756" ht="18" customHeight="1">
      <c r="B756" s="76" t="n"/>
      <c r="C756" s="77" t="n"/>
      <c r="D756" s="77" t="n"/>
      <c r="E756" s="77" t="n"/>
      <c r="F756" s="78" t="n"/>
      <c r="G756" s="79" t="n"/>
      <c r="H756" s="69" t="n"/>
      <c r="I756" s="44">
        <f>IF(OR($B756="",$H756=""),"",$H756*MAX(1,N($F756)))</f>
        <v/>
      </c>
      <c r="J756" s="80" t="n"/>
      <c r="K756" s="77" t="n"/>
      <c r="L756" s="54">
        <f>IF($B756="",0,IF(COUNTIFS('①在庫を貼る'!$V$6:$V$10005,'設定'!$C$4,'①在庫を貼る'!$W$6:$W$10005,$B756)+COUNTIFS('月1回_1ヶ月前の在庫'!$V$6:$V$10005,'設定'!$C$4,'月1回_1ヶ月前の在庫'!$W$6:$W$10005,$B756)+COUNTIFS('月1回_2ヶ月前の在庫'!$V$6:$V$10005,'設定'!$C$4,'月1回_2ヶ月前の在庫'!$W$6:$W$10005,$B756)&gt;0,1,0))</f>
        <v/>
      </c>
      <c r="M756" s="54">
        <f>N(M755)+$L756</f>
        <v/>
      </c>
      <c r="N756" s="54">
        <f>IF($B756="",0,COUNTIFS('①在庫を貼る'!$V$6:$V$10005,'設定'!$C$4,'①在庫を貼る'!$W$6:$W$10005,$B756))</f>
        <v/>
      </c>
    </row>
    <row r="757" ht="18" customHeight="1">
      <c r="B757" s="76" t="n"/>
      <c r="C757" s="77" t="n"/>
      <c r="D757" s="77" t="n"/>
      <c r="E757" s="77" t="n"/>
      <c r="F757" s="78" t="n"/>
      <c r="G757" s="79" t="n"/>
      <c r="H757" s="69" t="n"/>
      <c r="I757" s="44">
        <f>IF(OR($B757="",$H757=""),"",$H757*MAX(1,N($F757)))</f>
        <v/>
      </c>
      <c r="J757" s="80" t="n"/>
      <c r="K757" s="77" t="n"/>
      <c r="L757" s="54">
        <f>IF($B757="",0,IF(COUNTIFS('①在庫を貼る'!$V$6:$V$10005,'設定'!$C$4,'①在庫を貼る'!$W$6:$W$10005,$B757)+COUNTIFS('月1回_1ヶ月前の在庫'!$V$6:$V$10005,'設定'!$C$4,'月1回_1ヶ月前の在庫'!$W$6:$W$10005,$B757)+COUNTIFS('月1回_2ヶ月前の在庫'!$V$6:$V$10005,'設定'!$C$4,'月1回_2ヶ月前の在庫'!$W$6:$W$10005,$B757)&gt;0,1,0))</f>
        <v/>
      </c>
      <c r="M757" s="54">
        <f>N(M756)+$L757</f>
        <v/>
      </c>
      <c r="N757" s="54">
        <f>IF($B757="",0,COUNTIFS('①在庫を貼る'!$V$6:$V$10005,'設定'!$C$4,'①在庫を貼る'!$W$6:$W$10005,$B757))</f>
        <v/>
      </c>
    </row>
    <row r="758" ht="18" customHeight="1">
      <c r="B758" s="76" t="n"/>
      <c r="C758" s="77" t="n"/>
      <c r="D758" s="77" t="n"/>
      <c r="E758" s="77" t="n"/>
      <c r="F758" s="78" t="n"/>
      <c r="G758" s="79" t="n"/>
      <c r="H758" s="69" t="n"/>
      <c r="I758" s="44">
        <f>IF(OR($B758="",$H758=""),"",$H758*MAX(1,N($F758)))</f>
        <v/>
      </c>
      <c r="J758" s="80" t="n"/>
      <c r="K758" s="77" t="n"/>
      <c r="L758" s="54">
        <f>IF($B758="",0,IF(COUNTIFS('①在庫を貼る'!$V$6:$V$10005,'設定'!$C$4,'①在庫を貼る'!$W$6:$W$10005,$B758)+COUNTIFS('月1回_1ヶ月前の在庫'!$V$6:$V$10005,'設定'!$C$4,'月1回_1ヶ月前の在庫'!$W$6:$W$10005,$B758)+COUNTIFS('月1回_2ヶ月前の在庫'!$V$6:$V$10005,'設定'!$C$4,'月1回_2ヶ月前の在庫'!$W$6:$W$10005,$B758)&gt;0,1,0))</f>
        <v/>
      </c>
      <c r="M758" s="54">
        <f>N(M757)+$L758</f>
        <v/>
      </c>
      <c r="N758" s="54">
        <f>IF($B758="",0,COUNTIFS('①在庫を貼る'!$V$6:$V$10005,'設定'!$C$4,'①在庫を貼る'!$W$6:$W$10005,$B758))</f>
        <v/>
      </c>
    </row>
    <row r="759" ht="18" customHeight="1">
      <c r="B759" s="76" t="n"/>
      <c r="C759" s="77" t="n"/>
      <c r="D759" s="77" t="n"/>
      <c r="E759" s="77" t="n"/>
      <c r="F759" s="78" t="n"/>
      <c r="G759" s="79" t="n"/>
      <c r="H759" s="69" t="n"/>
      <c r="I759" s="44">
        <f>IF(OR($B759="",$H759=""),"",$H759*MAX(1,N($F759)))</f>
        <v/>
      </c>
      <c r="J759" s="80" t="n"/>
      <c r="K759" s="77" t="n"/>
      <c r="L759" s="54">
        <f>IF($B759="",0,IF(COUNTIFS('①在庫を貼る'!$V$6:$V$10005,'設定'!$C$4,'①在庫を貼る'!$W$6:$W$10005,$B759)+COUNTIFS('月1回_1ヶ月前の在庫'!$V$6:$V$10005,'設定'!$C$4,'月1回_1ヶ月前の在庫'!$W$6:$W$10005,$B759)+COUNTIFS('月1回_2ヶ月前の在庫'!$V$6:$V$10005,'設定'!$C$4,'月1回_2ヶ月前の在庫'!$W$6:$W$10005,$B759)&gt;0,1,0))</f>
        <v/>
      </c>
      <c r="M759" s="54">
        <f>N(M758)+$L759</f>
        <v/>
      </c>
      <c r="N759" s="54">
        <f>IF($B759="",0,COUNTIFS('①在庫を貼る'!$V$6:$V$10005,'設定'!$C$4,'①在庫を貼る'!$W$6:$W$10005,$B759))</f>
        <v/>
      </c>
    </row>
    <row r="760" ht="18" customHeight="1">
      <c r="B760" s="76" t="n"/>
      <c r="C760" s="77" t="n"/>
      <c r="D760" s="77" t="n"/>
      <c r="E760" s="77" t="n"/>
      <c r="F760" s="78" t="n"/>
      <c r="G760" s="79" t="n"/>
      <c r="H760" s="69" t="n"/>
      <c r="I760" s="44">
        <f>IF(OR($B760="",$H760=""),"",$H760*MAX(1,N($F760)))</f>
        <v/>
      </c>
      <c r="J760" s="80" t="n"/>
      <c r="K760" s="77" t="n"/>
      <c r="L760" s="54">
        <f>IF($B760="",0,IF(COUNTIFS('①在庫を貼る'!$V$6:$V$10005,'設定'!$C$4,'①在庫を貼る'!$W$6:$W$10005,$B760)+COUNTIFS('月1回_1ヶ月前の在庫'!$V$6:$V$10005,'設定'!$C$4,'月1回_1ヶ月前の在庫'!$W$6:$W$10005,$B760)+COUNTIFS('月1回_2ヶ月前の在庫'!$V$6:$V$10005,'設定'!$C$4,'月1回_2ヶ月前の在庫'!$W$6:$W$10005,$B760)&gt;0,1,0))</f>
        <v/>
      </c>
      <c r="M760" s="54">
        <f>N(M759)+$L760</f>
        <v/>
      </c>
      <c r="N760" s="54">
        <f>IF($B760="",0,COUNTIFS('①在庫を貼る'!$V$6:$V$10005,'設定'!$C$4,'①在庫を貼る'!$W$6:$W$10005,$B760))</f>
        <v/>
      </c>
    </row>
    <row r="761" ht="18" customHeight="1">
      <c r="B761" s="76" t="n"/>
      <c r="C761" s="77" t="n"/>
      <c r="D761" s="77" t="n"/>
      <c r="E761" s="77" t="n"/>
      <c r="F761" s="78" t="n"/>
      <c r="G761" s="79" t="n"/>
      <c r="H761" s="69" t="n"/>
      <c r="I761" s="44">
        <f>IF(OR($B761="",$H761=""),"",$H761*MAX(1,N($F761)))</f>
        <v/>
      </c>
      <c r="J761" s="80" t="n"/>
      <c r="K761" s="77" t="n"/>
      <c r="L761" s="54">
        <f>IF($B761="",0,IF(COUNTIFS('①在庫を貼る'!$V$6:$V$10005,'設定'!$C$4,'①在庫を貼る'!$W$6:$W$10005,$B761)+COUNTIFS('月1回_1ヶ月前の在庫'!$V$6:$V$10005,'設定'!$C$4,'月1回_1ヶ月前の在庫'!$W$6:$W$10005,$B761)+COUNTIFS('月1回_2ヶ月前の在庫'!$V$6:$V$10005,'設定'!$C$4,'月1回_2ヶ月前の在庫'!$W$6:$W$10005,$B761)&gt;0,1,0))</f>
        <v/>
      </c>
      <c r="M761" s="54">
        <f>N(M760)+$L761</f>
        <v/>
      </c>
      <c r="N761" s="54">
        <f>IF($B761="",0,COUNTIFS('①在庫を貼る'!$V$6:$V$10005,'設定'!$C$4,'①在庫を貼る'!$W$6:$W$10005,$B761))</f>
        <v/>
      </c>
    </row>
    <row r="762" ht="18" customHeight="1">
      <c r="B762" s="76" t="n"/>
      <c r="C762" s="77" t="n"/>
      <c r="D762" s="77" t="n"/>
      <c r="E762" s="77" t="n"/>
      <c r="F762" s="78" t="n"/>
      <c r="G762" s="79" t="n"/>
      <c r="H762" s="69" t="n"/>
      <c r="I762" s="44">
        <f>IF(OR($B762="",$H762=""),"",$H762*MAX(1,N($F762)))</f>
        <v/>
      </c>
      <c r="J762" s="80" t="n"/>
      <c r="K762" s="77" t="n"/>
      <c r="L762" s="54">
        <f>IF($B762="",0,IF(COUNTIFS('①在庫を貼る'!$V$6:$V$10005,'設定'!$C$4,'①在庫を貼る'!$W$6:$W$10005,$B762)+COUNTIFS('月1回_1ヶ月前の在庫'!$V$6:$V$10005,'設定'!$C$4,'月1回_1ヶ月前の在庫'!$W$6:$W$10005,$B762)+COUNTIFS('月1回_2ヶ月前の在庫'!$V$6:$V$10005,'設定'!$C$4,'月1回_2ヶ月前の在庫'!$W$6:$W$10005,$B762)&gt;0,1,0))</f>
        <v/>
      </c>
      <c r="M762" s="54">
        <f>N(M761)+$L762</f>
        <v/>
      </c>
      <c r="N762" s="54">
        <f>IF($B762="",0,COUNTIFS('①在庫を貼る'!$V$6:$V$10005,'設定'!$C$4,'①在庫を貼る'!$W$6:$W$10005,$B762))</f>
        <v/>
      </c>
    </row>
    <row r="763" ht="18" customHeight="1">
      <c r="B763" s="76" t="n"/>
      <c r="C763" s="77" t="n"/>
      <c r="D763" s="77" t="n"/>
      <c r="E763" s="77" t="n"/>
      <c r="F763" s="78" t="n"/>
      <c r="G763" s="79" t="n"/>
      <c r="H763" s="69" t="n"/>
      <c r="I763" s="44">
        <f>IF(OR($B763="",$H763=""),"",$H763*MAX(1,N($F763)))</f>
        <v/>
      </c>
      <c r="J763" s="80" t="n"/>
      <c r="K763" s="77" t="n"/>
      <c r="L763" s="54">
        <f>IF($B763="",0,IF(COUNTIFS('①在庫を貼る'!$V$6:$V$10005,'設定'!$C$4,'①在庫を貼る'!$W$6:$W$10005,$B763)+COUNTIFS('月1回_1ヶ月前の在庫'!$V$6:$V$10005,'設定'!$C$4,'月1回_1ヶ月前の在庫'!$W$6:$W$10005,$B763)+COUNTIFS('月1回_2ヶ月前の在庫'!$V$6:$V$10005,'設定'!$C$4,'月1回_2ヶ月前の在庫'!$W$6:$W$10005,$B763)&gt;0,1,0))</f>
        <v/>
      </c>
      <c r="M763" s="54">
        <f>N(M762)+$L763</f>
        <v/>
      </c>
      <c r="N763" s="54">
        <f>IF($B763="",0,COUNTIFS('①在庫を貼る'!$V$6:$V$10005,'設定'!$C$4,'①在庫を貼る'!$W$6:$W$10005,$B763))</f>
        <v/>
      </c>
    </row>
    <row r="764" ht="18" customHeight="1">
      <c r="B764" s="76" t="n"/>
      <c r="C764" s="77" t="n"/>
      <c r="D764" s="77" t="n"/>
      <c r="E764" s="77" t="n"/>
      <c r="F764" s="78" t="n"/>
      <c r="G764" s="79" t="n"/>
      <c r="H764" s="69" t="n"/>
      <c r="I764" s="44">
        <f>IF(OR($B764="",$H764=""),"",$H764*MAX(1,N($F764)))</f>
        <v/>
      </c>
      <c r="J764" s="80" t="n"/>
      <c r="K764" s="77" t="n"/>
      <c r="L764" s="54">
        <f>IF($B764="",0,IF(COUNTIFS('①在庫を貼る'!$V$6:$V$10005,'設定'!$C$4,'①在庫を貼る'!$W$6:$W$10005,$B764)+COUNTIFS('月1回_1ヶ月前の在庫'!$V$6:$V$10005,'設定'!$C$4,'月1回_1ヶ月前の在庫'!$W$6:$W$10005,$B764)+COUNTIFS('月1回_2ヶ月前の在庫'!$V$6:$V$10005,'設定'!$C$4,'月1回_2ヶ月前の在庫'!$W$6:$W$10005,$B764)&gt;0,1,0))</f>
        <v/>
      </c>
      <c r="M764" s="54">
        <f>N(M763)+$L764</f>
        <v/>
      </c>
      <c r="N764" s="54">
        <f>IF($B764="",0,COUNTIFS('①在庫を貼る'!$V$6:$V$10005,'設定'!$C$4,'①在庫を貼る'!$W$6:$W$10005,$B764))</f>
        <v/>
      </c>
    </row>
    <row r="765" ht="18" customHeight="1">
      <c r="B765" s="76" t="n"/>
      <c r="C765" s="77" t="n"/>
      <c r="D765" s="77" t="n"/>
      <c r="E765" s="77" t="n"/>
      <c r="F765" s="78" t="n"/>
      <c r="G765" s="79" t="n"/>
      <c r="H765" s="69" t="n"/>
      <c r="I765" s="44">
        <f>IF(OR($B765="",$H765=""),"",$H765*MAX(1,N($F765)))</f>
        <v/>
      </c>
      <c r="J765" s="80" t="n"/>
      <c r="K765" s="77" t="n"/>
      <c r="L765" s="54">
        <f>IF($B765="",0,IF(COUNTIFS('①在庫を貼る'!$V$6:$V$10005,'設定'!$C$4,'①在庫を貼る'!$W$6:$W$10005,$B765)+COUNTIFS('月1回_1ヶ月前の在庫'!$V$6:$V$10005,'設定'!$C$4,'月1回_1ヶ月前の在庫'!$W$6:$W$10005,$B765)+COUNTIFS('月1回_2ヶ月前の在庫'!$V$6:$V$10005,'設定'!$C$4,'月1回_2ヶ月前の在庫'!$W$6:$W$10005,$B765)&gt;0,1,0))</f>
        <v/>
      </c>
      <c r="M765" s="54">
        <f>N(M764)+$L765</f>
        <v/>
      </c>
      <c r="N765" s="54">
        <f>IF($B765="",0,COUNTIFS('①在庫を貼る'!$V$6:$V$10005,'設定'!$C$4,'①在庫を貼る'!$W$6:$W$10005,$B765))</f>
        <v/>
      </c>
    </row>
    <row r="766" ht="18" customHeight="1">
      <c r="B766" s="76" t="n"/>
      <c r="C766" s="77" t="n"/>
      <c r="D766" s="77" t="n"/>
      <c r="E766" s="77" t="n"/>
      <c r="F766" s="78" t="n"/>
      <c r="G766" s="79" t="n"/>
      <c r="H766" s="69" t="n"/>
      <c r="I766" s="44">
        <f>IF(OR($B766="",$H766=""),"",$H766*MAX(1,N($F766)))</f>
        <v/>
      </c>
      <c r="J766" s="80" t="n"/>
      <c r="K766" s="77" t="n"/>
      <c r="L766" s="54">
        <f>IF($B766="",0,IF(COUNTIFS('①在庫を貼る'!$V$6:$V$10005,'設定'!$C$4,'①在庫を貼る'!$W$6:$W$10005,$B766)+COUNTIFS('月1回_1ヶ月前の在庫'!$V$6:$V$10005,'設定'!$C$4,'月1回_1ヶ月前の在庫'!$W$6:$W$10005,$B766)+COUNTIFS('月1回_2ヶ月前の在庫'!$V$6:$V$10005,'設定'!$C$4,'月1回_2ヶ月前の在庫'!$W$6:$W$10005,$B766)&gt;0,1,0))</f>
        <v/>
      </c>
      <c r="M766" s="54">
        <f>N(M765)+$L766</f>
        <v/>
      </c>
      <c r="N766" s="54">
        <f>IF($B766="",0,COUNTIFS('①在庫を貼る'!$V$6:$V$10005,'設定'!$C$4,'①在庫を貼る'!$W$6:$W$10005,$B766))</f>
        <v/>
      </c>
    </row>
    <row r="767" ht="18" customHeight="1">
      <c r="B767" s="76" t="n"/>
      <c r="C767" s="77" t="n"/>
      <c r="D767" s="77" t="n"/>
      <c r="E767" s="77" t="n"/>
      <c r="F767" s="78" t="n"/>
      <c r="G767" s="79" t="n"/>
      <c r="H767" s="69" t="n"/>
      <c r="I767" s="44">
        <f>IF(OR($B767="",$H767=""),"",$H767*MAX(1,N($F767)))</f>
        <v/>
      </c>
      <c r="J767" s="80" t="n"/>
      <c r="K767" s="77" t="n"/>
      <c r="L767" s="54">
        <f>IF($B767="",0,IF(COUNTIFS('①在庫を貼る'!$V$6:$V$10005,'設定'!$C$4,'①在庫を貼る'!$W$6:$W$10005,$B767)+COUNTIFS('月1回_1ヶ月前の在庫'!$V$6:$V$10005,'設定'!$C$4,'月1回_1ヶ月前の在庫'!$W$6:$W$10005,$B767)+COUNTIFS('月1回_2ヶ月前の在庫'!$V$6:$V$10005,'設定'!$C$4,'月1回_2ヶ月前の在庫'!$W$6:$W$10005,$B767)&gt;0,1,0))</f>
        <v/>
      </c>
      <c r="M767" s="54">
        <f>N(M766)+$L767</f>
        <v/>
      </c>
      <c r="N767" s="54">
        <f>IF($B767="",0,COUNTIFS('①在庫を貼る'!$V$6:$V$10005,'設定'!$C$4,'①在庫を貼る'!$W$6:$W$10005,$B767))</f>
        <v/>
      </c>
    </row>
    <row r="768" ht="18" customHeight="1">
      <c r="B768" s="76" t="n"/>
      <c r="C768" s="77" t="n"/>
      <c r="D768" s="77" t="n"/>
      <c r="E768" s="77" t="n"/>
      <c r="F768" s="78" t="n"/>
      <c r="G768" s="79" t="n"/>
      <c r="H768" s="69" t="n"/>
      <c r="I768" s="44">
        <f>IF(OR($B768="",$H768=""),"",$H768*MAX(1,N($F768)))</f>
        <v/>
      </c>
      <c r="J768" s="80" t="n"/>
      <c r="K768" s="77" t="n"/>
      <c r="L768" s="54">
        <f>IF($B768="",0,IF(COUNTIFS('①在庫を貼る'!$V$6:$V$10005,'設定'!$C$4,'①在庫を貼る'!$W$6:$W$10005,$B768)+COUNTIFS('月1回_1ヶ月前の在庫'!$V$6:$V$10005,'設定'!$C$4,'月1回_1ヶ月前の在庫'!$W$6:$W$10005,$B768)+COUNTIFS('月1回_2ヶ月前の在庫'!$V$6:$V$10005,'設定'!$C$4,'月1回_2ヶ月前の在庫'!$W$6:$W$10005,$B768)&gt;0,1,0))</f>
        <v/>
      </c>
      <c r="M768" s="54">
        <f>N(M767)+$L768</f>
        <v/>
      </c>
      <c r="N768" s="54">
        <f>IF($B768="",0,COUNTIFS('①在庫を貼る'!$V$6:$V$10005,'設定'!$C$4,'①在庫を貼る'!$W$6:$W$10005,$B768))</f>
        <v/>
      </c>
    </row>
    <row r="769" ht="18" customHeight="1">
      <c r="B769" s="76" t="n"/>
      <c r="C769" s="77" t="n"/>
      <c r="D769" s="77" t="n"/>
      <c r="E769" s="77" t="n"/>
      <c r="F769" s="78" t="n"/>
      <c r="G769" s="79" t="n"/>
      <c r="H769" s="69" t="n"/>
      <c r="I769" s="44">
        <f>IF(OR($B769="",$H769=""),"",$H769*MAX(1,N($F769)))</f>
        <v/>
      </c>
      <c r="J769" s="80" t="n"/>
      <c r="K769" s="77" t="n"/>
      <c r="L769" s="54">
        <f>IF($B769="",0,IF(COUNTIFS('①在庫を貼る'!$V$6:$V$10005,'設定'!$C$4,'①在庫を貼る'!$W$6:$W$10005,$B769)+COUNTIFS('月1回_1ヶ月前の在庫'!$V$6:$V$10005,'設定'!$C$4,'月1回_1ヶ月前の在庫'!$W$6:$W$10005,$B769)+COUNTIFS('月1回_2ヶ月前の在庫'!$V$6:$V$10005,'設定'!$C$4,'月1回_2ヶ月前の在庫'!$W$6:$W$10005,$B769)&gt;0,1,0))</f>
        <v/>
      </c>
      <c r="M769" s="54">
        <f>N(M768)+$L769</f>
        <v/>
      </c>
      <c r="N769" s="54">
        <f>IF($B769="",0,COUNTIFS('①在庫を貼る'!$V$6:$V$10005,'設定'!$C$4,'①在庫を貼る'!$W$6:$W$10005,$B769))</f>
        <v/>
      </c>
    </row>
    <row r="770" ht="18" customHeight="1">
      <c r="B770" s="76" t="n"/>
      <c r="C770" s="77" t="n"/>
      <c r="D770" s="77" t="n"/>
      <c r="E770" s="77" t="n"/>
      <c r="F770" s="78" t="n"/>
      <c r="G770" s="79" t="n"/>
      <c r="H770" s="69" t="n"/>
      <c r="I770" s="44">
        <f>IF(OR($B770="",$H770=""),"",$H770*MAX(1,N($F770)))</f>
        <v/>
      </c>
      <c r="J770" s="80" t="n"/>
      <c r="K770" s="77" t="n"/>
      <c r="L770" s="54">
        <f>IF($B770="",0,IF(COUNTIFS('①在庫を貼る'!$V$6:$V$10005,'設定'!$C$4,'①在庫を貼る'!$W$6:$W$10005,$B770)+COUNTIFS('月1回_1ヶ月前の在庫'!$V$6:$V$10005,'設定'!$C$4,'月1回_1ヶ月前の在庫'!$W$6:$W$10005,$B770)+COUNTIFS('月1回_2ヶ月前の在庫'!$V$6:$V$10005,'設定'!$C$4,'月1回_2ヶ月前の在庫'!$W$6:$W$10005,$B770)&gt;0,1,0))</f>
        <v/>
      </c>
      <c r="M770" s="54">
        <f>N(M769)+$L770</f>
        <v/>
      </c>
      <c r="N770" s="54">
        <f>IF($B770="",0,COUNTIFS('①在庫を貼る'!$V$6:$V$10005,'設定'!$C$4,'①在庫を貼る'!$W$6:$W$10005,$B770))</f>
        <v/>
      </c>
    </row>
    <row r="771" ht="18" customHeight="1">
      <c r="B771" s="76" t="n"/>
      <c r="C771" s="77" t="n"/>
      <c r="D771" s="77" t="n"/>
      <c r="E771" s="77" t="n"/>
      <c r="F771" s="78" t="n"/>
      <c r="G771" s="79" t="n"/>
      <c r="H771" s="69" t="n"/>
      <c r="I771" s="44">
        <f>IF(OR($B771="",$H771=""),"",$H771*MAX(1,N($F771)))</f>
        <v/>
      </c>
      <c r="J771" s="80" t="n"/>
      <c r="K771" s="77" t="n"/>
      <c r="L771" s="54">
        <f>IF($B771="",0,IF(COUNTIFS('①在庫を貼る'!$V$6:$V$10005,'設定'!$C$4,'①在庫を貼る'!$W$6:$W$10005,$B771)+COUNTIFS('月1回_1ヶ月前の在庫'!$V$6:$V$10005,'設定'!$C$4,'月1回_1ヶ月前の在庫'!$W$6:$W$10005,$B771)+COUNTIFS('月1回_2ヶ月前の在庫'!$V$6:$V$10005,'設定'!$C$4,'月1回_2ヶ月前の在庫'!$W$6:$W$10005,$B771)&gt;0,1,0))</f>
        <v/>
      </c>
      <c r="M771" s="54">
        <f>N(M770)+$L771</f>
        <v/>
      </c>
      <c r="N771" s="54">
        <f>IF($B771="",0,COUNTIFS('①在庫を貼る'!$V$6:$V$10005,'設定'!$C$4,'①在庫を貼る'!$W$6:$W$10005,$B771))</f>
        <v/>
      </c>
    </row>
    <row r="772" ht="18" customHeight="1">
      <c r="B772" s="76" t="n"/>
      <c r="C772" s="77" t="n"/>
      <c r="D772" s="77" t="n"/>
      <c r="E772" s="77" t="n"/>
      <c r="F772" s="78" t="n"/>
      <c r="G772" s="79" t="n"/>
      <c r="H772" s="69" t="n"/>
      <c r="I772" s="44">
        <f>IF(OR($B772="",$H772=""),"",$H772*MAX(1,N($F772)))</f>
        <v/>
      </c>
      <c r="J772" s="80" t="n"/>
      <c r="K772" s="77" t="n"/>
      <c r="L772" s="54">
        <f>IF($B772="",0,IF(COUNTIFS('①在庫を貼る'!$V$6:$V$10005,'設定'!$C$4,'①在庫を貼る'!$W$6:$W$10005,$B772)+COUNTIFS('月1回_1ヶ月前の在庫'!$V$6:$V$10005,'設定'!$C$4,'月1回_1ヶ月前の在庫'!$W$6:$W$10005,$B772)+COUNTIFS('月1回_2ヶ月前の在庫'!$V$6:$V$10005,'設定'!$C$4,'月1回_2ヶ月前の在庫'!$W$6:$W$10005,$B772)&gt;0,1,0))</f>
        <v/>
      </c>
      <c r="M772" s="54">
        <f>N(M771)+$L772</f>
        <v/>
      </c>
      <c r="N772" s="54">
        <f>IF($B772="",0,COUNTIFS('①在庫を貼る'!$V$6:$V$10005,'設定'!$C$4,'①在庫を貼る'!$W$6:$W$10005,$B772))</f>
        <v/>
      </c>
    </row>
    <row r="773" ht="18" customHeight="1">
      <c r="B773" s="76" t="n"/>
      <c r="C773" s="77" t="n"/>
      <c r="D773" s="77" t="n"/>
      <c r="E773" s="77" t="n"/>
      <c r="F773" s="78" t="n"/>
      <c r="G773" s="79" t="n"/>
      <c r="H773" s="69" t="n"/>
      <c r="I773" s="44">
        <f>IF(OR($B773="",$H773=""),"",$H773*MAX(1,N($F773)))</f>
        <v/>
      </c>
      <c r="J773" s="80" t="n"/>
      <c r="K773" s="77" t="n"/>
      <c r="L773" s="54">
        <f>IF($B773="",0,IF(COUNTIFS('①在庫を貼る'!$V$6:$V$10005,'設定'!$C$4,'①在庫を貼る'!$W$6:$W$10005,$B773)+COUNTIFS('月1回_1ヶ月前の在庫'!$V$6:$V$10005,'設定'!$C$4,'月1回_1ヶ月前の在庫'!$W$6:$W$10005,$B773)+COUNTIFS('月1回_2ヶ月前の在庫'!$V$6:$V$10005,'設定'!$C$4,'月1回_2ヶ月前の在庫'!$W$6:$W$10005,$B773)&gt;0,1,0))</f>
        <v/>
      </c>
      <c r="M773" s="54">
        <f>N(M772)+$L773</f>
        <v/>
      </c>
      <c r="N773" s="54">
        <f>IF($B773="",0,COUNTIFS('①在庫を貼る'!$V$6:$V$10005,'設定'!$C$4,'①在庫を貼る'!$W$6:$W$10005,$B773))</f>
        <v/>
      </c>
    </row>
    <row r="774" ht="18" customHeight="1">
      <c r="B774" s="76" t="n"/>
      <c r="C774" s="77" t="n"/>
      <c r="D774" s="77" t="n"/>
      <c r="E774" s="77" t="n"/>
      <c r="F774" s="78" t="n"/>
      <c r="G774" s="79" t="n"/>
      <c r="H774" s="69" t="n"/>
      <c r="I774" s="44">
        <f>IF(OR($B774="",$H774=""),"",$H774*MAX(1,N($F774)))</f>
        <v/>
      </c>
      <c r="J774" s="80" t="n"/>
      <c r="K774" s="77" t="n"/>
      <c r="L774" s="54">
        <f>IF($B774="",0,IF(COUNTIFS('①在庫を貼る'!$V$6:$V$10005,'設定'!$C$4,'①在庫を貼る'!$W$6:$W$10005,$B774)+COUNTIFS('月1回_1ヶ月前の在庫'!$V$6:$V$10005,'設定'!$C$4,'月1回_1ヶ月前の在庫'!$W$6:$W$10005,$B774)+COUNTIFS('月1回_2ヶ月前の在庫'!$V$6:$V$10005,'設定'!$C$4,'月1回_2ヶ月前の在庫'!$W$6:$W$10005,$B774)&gt;0,1,0))</f>
        <v/>
      </c>
      <c r="M774" s="54">
        <f>N(M773)+$L774</f>
        <v/>
      </c>
      <c r="N774" s="54">
        <f>IF($B774="",0,COUNTIFS('①在庫を貼る'!$V$6:$V$10005,'設定'!$C$4,'①在庫を貼る'!$W$6:$W$10005,$B774))</f>
        <v/>
      </c>
    </row>
    <row r="775" ht="18" customHeight="1">
      <c r="B775" s="76" t="n"/>
      <c r="C775" s="77" t="n"/>
      <c r="D775" s="77" t="n"/>
      <c r="E775" s="77" t="n"/>
      <c r="F775" s="78" t="n"/>
      <c r="G775" s="79" t="n"/>
      <c r="H775" s="69" t="n"/>
      <c r="I775" s="44">
        <f>IF(OR($B775="",$H775=""),"",$H775*MAX(1,N($F775)))</f>
        <v/>
      </c>
      <c r="J775" s="80" t="n"/>
      <c r="K775" s="77" t="n"/>
      <c r="L775" s="54">
        <f>IF($B775="",0,IF(COUNTIFS('①在庫を貼る'!$V$6:$V$10005,'設定'!$C$4,'①在庫を貼る'!$W$6:$W$10005,$B775)+COUNTIFS('月1回_1ヶ月前の在庫'!$V$6:$V$10005,'設定'!$C$4,'月1回_1ヶ月前の在庫'!$W$6:$W$10005,$B775)+COUNTIFS('月1回_2ヶ月前の在庫'!$V$6:$V$10005,'設定'!$C$4,'月1回_2ヶ月前の在庫'!$W$6:$W$10005,$B775)&gt;0,1,0))</f>
        <v/>
      </c>
      <c r="M775" s="54">
        <f>N(M774)+$L775</f>
        <v/>
      </c>
      <c r="N775" s="54">
        <f>IF($B775="",0,COUNTIFS('①在庫を貼る'!$V$6:$V$10005,'設定'!$C$4,'①在庫を貼る'!$W$6:$W$10005,$B775))</f>
        <v/>
      </c>
    </row>
    <row r="776" ht="18" customHeight="1">
      <c r="B776" s="76" t="n"/>
      <c r="C776" s="77" t="n"/>
      <c r="D776" s="77" t="n"/>
      <c r="E776" s="77" t="n"/>
      <c r="F776" s="78" t="n"/>
      <c r="G776" s="79" t="n"/>
      <c r="H776" s="69" t="n"/>
      <c r="I776" s="44">
        <f>IF(OR($B776="",$H776=""),"",$H776*MAX(1,N($F776)))</f>
        <v/>
      </c>
      <c r="J776" s="80" t="n"/>
      <c r="K776" s="77" t="n"/>
      <c r="L776" s="54">
        <f>IF($B776="",0,IF(COUNTIFS('①在庫を貼る'!$V$6:$V$10005,'設定'!$C$4,'①在庫を貼る'!$W$6:$W$10005,$B776)+COUNTIFS('月1回_1ヶ月前の在庫'!$V$6:$V$10005,'設定'!$C$4,'月1回_1ヶ月前の在庫'!$W$6:$W$10005,$B776)+COUNTIFS('月1回_2ヶ月前の在庫'!$V$6:$V$10005,'設定'!$C$4,'月1回_2ヶ月前の在庫'!$W$6:$W$10005,$B776)&gt;0,1,0))</f>
        <v/>
      </c>
      <c r="M776" s="54">
        <f>N(M775)+$L776</f>
        <v/>
      </c>
      <c r="N776" s="54">
        <f>IF($B776="",0,COUNTIFS('①在庫を貼る'!$V$6:$V$10005,'設定'!$C$4,'①在庫を貼る'!$W$6:$W$10005,$B776))</f>
        <v/>
      </c>
    </row>
    <row r="777" ht="18" customHeight="1">
      <c r="B777" s="76" t="n"/>
      <c r="C777" s="77" t="n"/>
      <c r="D777" s="77" t="n"/>
      <c r="E777" s="77" t="n"/>
      <c r="F777" s="78" t="n"/>
      <c r="G777" s="79" t="n"/>
      <c r="H777" s="69" t="n"/>
      <c r="I777" s="44">
        <f>IF(OR($B777="",$H777=""),"",$H777*MAX(1,N($F777)))</f>
        <v/>
      </c>
      <c r="J777" s="80" t="n"/>
      <c r="K777" s="77" t="n"/>
      <c r="L777" s="54">
        <f>IF($B777="",0,IF(COUNTIFS('①在庫を貼る'!$V$6:$V$10005,'設定'!$C$4,'①在庫を貼る'!$W$6:$W$10005,$B777)+COUNTIFS('月1回_1ヶ月前の在庫'!$V$6:$V$10005,'設定'!$C$4,'月1回_1ヶ月前の在庫'!$W$6:$W$10005,$B777)+COUNTIFS('月1回_2ヶ月前の在庫'!$V$6:$V$10005,'設定'!$C$4,'月1回_2ヶ月前の在庫'!$W$6:$W$10005,$B777)&gt;0,1,0))</f>
        <v/>
      </c>
      <c r="M777" s="54">
        <f>N(M776)+$L777</f>
        <v/>
      </c>
      <c r="N777" s="54">
        <f>IF($B777="",0,COUNTIFS('①在庫を貼る'!$V$6:$V$10005,'設定'!$C$4,'①在庫を貼る'!$W$6:$W$10005,$B777))</f>
        <v/>
      </c>
    </row>
    <row r="778" ht="18" customHeight="1">
      <c r="B778" s="76" t="n"/>
      <c r="C778" s="77" t="n"/>
      <c r="D778" s="77" t="n"/>
      <c r="E778" s="77" t="n"/>
      <c r="F778" s="78" t="n"/>
      <c r="G778" s="79" t="n"/>
      <c r="H778" s="69" t="n"/>
      <c r="I778" s="44">
        <f>IF(OR($B778="",$H778=""),"",$H778*MAX(1,N($F778)))</f>
        <v/>
      </c>
      <c r="J778" s="80" t="n"/>
      <c r="K778" s="77" t="n"/>
      <c r="L778" s="54">
        <f>IF($B778="",0,IF(COUNTIFS('①在庫を貼る'!$V$6:$V$10005,'設定'!$C$4,'①在庫を貼る'!$W$6:$W$10005,$B778)+COUNTIFS('月1回_1ヶ月前の在庫'!$V$6:$V$10005,'設定'!$C$4,'月1回_1ヶ月前の在庫'!$W$6:$W$10005,$B778)+COUNTIFS('月1回_2ヶ月前の在庫'!$V$6:$V$10005,'設定'!$C$4,'月1回_2ヶ月前の在庫'!$W$6:$W$10005,$B778)&gt;0,1,0))</f>
        <v/>
      </c>
      <c r="M778" s="54">
        <f>N(M777)+$L778</f>
        <v/>
      </c>
      <c r="N778" s="54">
        <f>IF($B778="",0,COUNTIFS('①在庫を貼る'!$V$6:$V$10005,'設定'!$C$4,'①在庫を貼る'!$W$6:$W$10005,$B778))</f>
        <v/>
      </c>
    </row>
    <row r="779" ht="18" customHeight="1">
      <c r="B779" s="76" t="n"/>
      <c r="C779" s="77" t="n"/>
      <c r="D779" s="77" t="n"/>
      <c r="E779" s="77" t="n"/>
      <c r="F779" s="78" t="n"/>
      <c r="G779" s="79" t="n"/>
      <c r="H779" s="69" t="n"/>
      <c r="I779" s="44">
        <f>IF(OR($B779="",$H779=""),"",$H779*MAX(1,N($F779)))</f>
        <v/>
      </c>
      <c r="J779" s="80" t="n"/>
      <c r="K779" s="77" t="n"/>
      <c r="L779" s="54">
        <f>IF($B779="",0,IF(COUNTIFS('①在庫を貼る'!$V$6:$V$10005,'設定'!$C$4,'①在庫を貼る'!$W$6:$W$10005,$B779)+COUNTIFS('月1回_1ヶ月前の在庫'!$V$6:$V$10005,'設定'!$C$4,'月1回_1ヶ月前の在庫'!$W$6:$W$10005,$B779)+COUNTIFS('月1回_2ヶ月前の在庫'!$V$6:$V$10005,'設定'!$C$4,'月1回_2ヶ月前の在庫'!$W$6:$W$10005,$B779)&gt;0,1,0))</f>
        <v/>
      </c>
      <c r="M779" s="54">
        <f>N(M778)+$L779</f>
        <v/>
      </c>
      <c r="N779" s="54">
        <f>IF($B779="",0,COUNTIFS('①在庫を貼る'!$V$6:$V$10005,'設定'!$C$4,'①在庫を貼る'!$W$6:$W$10005,$B779))</f>
        <v/>
      </c>
    </row>
    <row r="780" ht="18" customHeight="1">
      <c r="B780" s="76" t="n"/>
      <c r="C780" s="77" t="n"/>
      <c r="D780" s="77" t="n"/>
      <c r="E780" s="77" t="n"/>
      <c r="F780" s="78" t="n"/>
      <c r="G780" s="79" t="n"/>
      <c r="H780" s="69" t="n"/>
      <c r="I780" s="44">
        <f>IF(OR($B780="",$H780=""),"",$H780*MAX(1,N($F780)))</f>
        <v/>
      </c>
      <c r="J780" s="80" t="n"/>
      <c r="K780" s="77" t="n"/>
      <c r="L780" s="54">
        <f>IF($B780="",0,IF(COUNTIFS('①在庫を貼る'!$V$6:$V$10005,'設定'!$C$4,'①在庫を貼る'!$W$6:$W$10005,$B780)+COUNTIFS('月1回_1ヶ月前の在庫'!$V$6:$V$10005,'設定'!$C$4,'月1回_1ヶ月前の在庫'!$W$6:$W$10005,$B780)+COUNTIFS('月1回_2ヶ月前の在庫'!$V$6:$V$10005,'設定'!$C$4,'月1回_2ヶ月前の在庫'!$W$6:$W$10005,$B780)&gt;0,1,0))</f>
        <v/>
      </c>
      <c r="M780" s="54">
        <f>N(M779)+$L780</f>
        <v/>
      </c>
      <c r="N780" s="54">
        <f>IF($B780="",0,COUNTIFS('①在庫を貼る'!$V$6:$V$10005,'設定'!$C$4,'①在庫を貼る'!$W$6:$W$10005,$B780))</f>
        <v/>
      </c>
    </row>
    <row r="781" ht="18" customHeight="1">
      <c r="B781" s="76" t="n"/>
      <c r="C781" s="77" t="n"/>
      <c r="D781" s="77" t="n"/>
      <c r="E781" s="77" t="n"/>
      <c r="F781" s="78" t="n"/>
      <c r="G781" s="79" t="n"/>
      <c r="H781" s="69" t="n"/>
      <c r="I781" s="44">
        <f>IF(OR($B781="",$H781=""),"",$H781*MAX(1,N($F781)))</f>
        <v/>
      </c>
      <c r="J781" s="80" t="n"/>
      <c r="K781" s="77" t="n"/>
      <c r="L781" s="54">
        <f>IF($B781="",0,IF(COUNTIFS('①在庫を貼る'!$V$6:$V$10005,'設定'!$C$4,'①在庫を貼る'!$W$6:$W$10005,$B781)+COUNTIFS('月1回_1ヶ月前の在庫'!$V$6:$V$10005,'設定'!$C$4,'月1回_1ヶ月前の在庫'!$W$6:$W$10005,$B781)+COUNTIFS('月1回_2ヶ月前の在庫'!$V$6:$V$10005,'設定'!$C$4,'月1回_2ヶ月前の在庫'!$W$6:$W$10005,$B781)&gt;0,1,0))</f>
        <v/>
      </c>
      <c r="M781" s="54">
        <f>N(M780)+$L781</f>
        <v/>
      </c>
      <c r="N781" s="54">
        <f>IF($B781="",0,COUNTIFS('①在庫を貼る'!$V$6:$V$10005,'設定'!$C$4,'①在庫を貼る'!$W$6:$W$10005,$B781))</f>
        <v/>
      </c>
    </row>
    <row r="782" ht="18" customHeight="1">
      <c r="B782" s="76" t="n"/>
      <c r="C782" s="77" t="n"/>
      <c r="D782" s="77" t="n"/>
      <c r="E782" s="77" t="n"/>
      <c r="F782" s="78" t="n"/>
      <c r="G782" s="79" t="n"/>
      <c r="H782" s="69" t="n"/>
      <c r="I782" s="44">
        <f>IF(OR($B782="",$H782=""),"",$H782*MAX(1,N($F782)))</f>
        <v/>
      </c>
      <c r="J782" s="80" t="n"/>
      <c r="K782" s="77" t="n"/>
      <c r="L782" s="54">
        <f>IF($B782="",0,IF(COUNTIFS('①在庫を貼る'!$V$6:$V$10005,'設定'!$C$4,'①在庫を貼る'!$W$6:$W$10005,$B782)+COUNTIFS('月1回_1ヶ月前の在庫'!$V$6:$V$10005,'設定'!$C$4,'月1回_1ヶ月前の在庫'!$W$6:$W$10005,$B782)+COUNTIFS('月1回_2ヶ月前の在庫'!$V$6:$V$10005,'設定'!$C$4,'月1回_2ヶ月前の在庫'!$W$6:$W$10005,$B782)&gt;0,1,0))</f>
        <v/>
      </c>
      <c r="M782" s="54">
        <f>N(M781)+$L782</f>
        <v/>
      </c>
      <c r="N782" s="54">
        <f>IF($B782="",0,COUNTIFS('①在庫を貼る'!$V$6:$V$10005,'設定'!$C$4,'①在庫を貼る'!$W$6:$W$10005,$B782))</f>
        <v/>
      </c>
    </row>
    <row r="783" ht="18" customHeight="1">
      <c r="B783" s="76" t="n"/>
      <c r="C783" s="77" t="n"/>
      <c r="D783" s="77" t="n"/>
      <c r="E783" s="77" t="n"/>
      <c r="F783" s="78" t="n"/>
      <c r="G783" s="79" t="n"/>
      <c r="H783" s="69" t="n"/>
      <c r="I783" s="44">
        <f>IF(OR($B783="",$H783=""),"",$H783*MAX(1,N($F783)))</f>
        <v/>
      </c>
      <c r="J783" s="80" t="n"/>
      <c r="K783" s="77" t="n"/>
      <c r="L783" s="54">
        <f>IF($B783="",0,IF(COUNTIFS('①在庫を貼る'!$V$6:$V$10005,'設定'!$C$4,'①在庫を貼る'!$W$6:$W$10005,$B783)+COUNTIFS('月1回_1ヶ月前の在庫'!$V$6:$V$10005,'設定'!$C$4,'月1回_1ヶ月前の在庫'!$W$6:$W$10005,$B783)+COUNTIFS('月1回_2ヶ月前の在庫'!$V$6:$V$10005,'設定'!$C$4,'月1回_2ヶ月前の在庫'!$W$6:$W$10005,$B783)&gt;0,1,0))</f>
        <v/>
      </c>
      <c r="M783" s="54">
        <f>N(M782)+$L783</f>
        <v/>
      </c>
      <c r="N783" s="54">
        <f>IF($B783="",0,COUNTIFS('①在庫を貼る'!$V$6:$V$10005,'設定'!$C$4,'①在庫を貼る'!$W$6:$W$10005,$B783))</f>
        <v/>
      </c>
    </row>
    <row r="784" ht="18" customHeight="1">
      <c r="B784" s="76" t="n"/>
      <c r="C784" s="77" t="n"/>
      <c r="D784" s="77" t="n"/>
      <c r="E784" s="77" t="n"/>
      <c r="F784" s="78" t="n"/>
      <c r="G784" s="79" t="n"/>
      <c r="H784" s="69" t="n"/>
      <c r="I784" s="44">
        <f>IF(OR($B784="",$H784=""),"",$H784*MAX(1,N($F784)))</f>
        <v/>
      </c>
      <c r="J784" s="80" t="n"/>
      <c r="K784" s="77" t="n"/>
      <c r="L784" s="54">
        <f>IF($B784="",0,IF(COUNTIFS('①在庫を貼る'!$V$6:$V$10005,'設定'!$C$4,'①在庫を貼る'!$W$6:$W$10005,$B784)+COUNTIFS('月1回_1ヶ月前の在庫'!$V$6:$V$10005,'設定'!$C$4,'月1回_1ヶ月前の在庫'!$W$6:$W$10005,$B784)+COUNTIFS('月1回_2ヶ月前の在庫'!$V$6:$V$10005,'設定'!$C$4,'月1回_2ヶ月前の在庫'!$W$6:$W$10005,$B784)&gt;0,1,0))</f>
        <v/>
      </c>
      <c r="M784" s="54">
        <f>N(M783)+$L784</f>
        <v/>
      </c>
      <c r="N784" s="54">
        <f>IF($B784="",0,COUNTIFS('①在庫を貼る'!$V$6:$V$10005,'設定'!$C$4,'①在庫を貼る'!$W$6:$W$10005,$B784))</f>
        <v/>
      </c>
    </row>
    <row r="785" ht="18" customHeight="1">
      <c r="B785" s="76" t="n"/>
      <c r="C785" s="77" t="n"/>
      <c r="D785" s="77" t="n"/>
      <c r="E785" s="77" t="n"/>
      <c r="F785" s="78" t="n"/>
      <c r="G785" s="79" t="n"/>
      <c r="H785" s="69" t="n"/>
      <c r="I785" s="44">
        <f>IF(OR($B785="",$H785=""),"",$H785*MAX(1,N($F785)))</f>
        <v/>
      </c>
      <c r="J785" s="80" t="n"/>
      <c r="K785" s="77" t="n"/>
      <c r="L785" s="54">
        <f>IF($B785="",0,IF(COUNTIFS('①在庫を貼る'!$V$6:$V$10005,'設定'!$C$4,'①在庫を貼る'!$W$6:$W$10005,$B785)+COUNTIFS('月1回_1ヶ月前の在庫'!$V$6:$V$10005,'設定'!$C$4,'月1回_1ヶ月前の在庫'!$W$6:$W$10005,$B785)+COUNTIFS('月1回_2ヶ月前の在庫'!$V$6:$V$10005,'設定'!$C$4,'月1回_2ヶ月前の在庫'!$W$6:$W$10005,$B785)&gt;0,1,0))</f>
        <v/>
      </c>
      <c r="M785" s="54">
        <f>N(M784)+$L785</f>
        <v/>
      </c>
      <c r="N785" s="54">
        <f>IF($B785="",0,COUNTIFS('①在庫を貼る'!$V$6:$V$10005,'設定'!$C$4,'①在庫を貼る'!$W$6:$W$10005,$B785))</f>
        <v/>
      </c>
    </row>
    <row r="786" ht="18" customHeight="1">
      <c r="B786" s="76" t="n"/>
      <c r="C786" s="77" t="n"/>
      <c r="D786" s="77" t="n"/>
      <c r="E786" s="77" t="n"/>
      <c r="F786" s="78" t="n"/>
      <c r="G786" s="79" t="n"/>
      <c r="H786" s="69" t="n"/>
      <c r="I786" s="44">
        <f>IF(OR($B786="",$H786=""),"",$H786*MAX(1,N($F786)))</f>
        <v/>
      </c>
      <c r="J786" s="80" t="n"/>
      <c r="K786" s="77" t="n"/>
      <c r="L786" s="54">
        <f>IF($B786="",0,IF(COUNTIFS('①在庫を貼る'!$V$6:$V$10005,'設定'!$C$4,'①在庫を貼る'!$W$6:$W$10005,$B786)+COUNTIFS('月1回_1ヶ月前の在庫'!$V$6:$V$10005,'設定'!$C$4,'月1回_1ヶ月前の在庫'!$W$6:$W$10005,$B786)+COUNTIFS('月1回_2ヶ月前の在庫'!$V$6:$V$10005,'設定'!$C$4,'月1回_2ヶ月前の在庫'!$W$6:$W$10005,$B786)&gt;0,1,0))</f>
        <v/>
      </c>
      <c r="M786" s="54">
        <f>N(M785)+$L786</f>
        <v/>
      </c>
      <c r="N786" s="54">
        <f>IF($B786="",0,COUNTIFS('①在庫を貼る'!$V$6:$V$10005,'設定'!$C$4,'①在庫を貼る'!$W$6:$W$10005,$B786))</f>
        <v/>
      </c>
    </row>
    <row r="787" ht="18" customHeight="1">
      <c r="B787" s="76" t="n"/>
      <c r="C787" s="77" t="n"/>
      <c r="D787" s="77" t="n"/>
      <c r="E787" s="77" t="n"/>
      <c r="F787" s="78" t="n"/>
      <c r="G787" s="79" t="n"/>
      <c r="H787" s="69" t="n"/>
      <c r="I787" s="44">
        <f>IF(OR($B787="",$H787=""),"",$H787*MAX(1,N($F787)))</f>
        <v/>
      </c>
      <c r="J787" s="80" t="n"/>
      <c r="K787" s="77" t="n"/>
      <c r="L787" s="54">
        <f>IF($B787="",0,IF(COUNTIFS('①在庫を貼る'!$V$6:$V$10005,'設定'!$C$4,'①在庫を貼る'!$W$6:$W$10005,$B787)+COUNTIFS('月1回_1ヶ月前の在庫'!$V$6:$V$10005,'設定'!$C$4,'月1回_1ヶ月前の在庫'!$W$6:$W$10005,$B787)+COUNTIFS('月1回_2ヶ月前の在庫'!$V$6:$V$10005,'設定'!$C$4,'月1回_2ヶ月前の在庫'!$W$6:$W$10005,$B787)&gt;0,1,0))</f>
        <v/>
      </c>
      <c r="M787" s="54">
        <f>N(M786)+$L787</f>
        <v/>
      </c>
      <c r="N787" s="54">
        <f>IF($B787="",0,COUNTIFS('①在庫を貼る'!$V$6:$V$10005,'設定'!$C$4,'①在庫を貼る'!$W$6:$W$10005,$B787))</f>
        <v/>
      </c>
    </row>
    <row r="788" ht="18" customHeight="1">
      <c r="B788" s="76" t="n"/>
      <c r="C788" s="77" t="n"/>
      <c r="D788" s="77" t="n"/>
      <c r="E788" s="77" t="n"/>
      <c r="F788" s="78" t="n"/>
      <c r="G788" s="79" t="n"/>
      <c r="H788" s="69" t="n"/>
      <c r="I788" s="44">
        <f>IF(OR($B788="",$H788=""),"",$H788*MAX(1,N($F788)))</f>
        <v/>
      </c>
      <c r="J788" s="80" t="n"/>
      <c r="K788" s="77" t="n"/>
      <c r="L788" s="54">
        <f>IF($B788="",0,IF(COUNTIFS('①在庫を貼る'!$V$6:$V$10005,'設定'!$C$4,'①在庫を貼る'!$W$6:$W$10005,$B788)+COUNTIFS('月1回_1ヶ月前の在庫'!$V$6:$V$10005,'設定'!$C$4,'月1回_1ヶ月前の在庫'!$W$6:$W$10005,$B788)+COUNTIFS('月1回_2ヶ月前の在庫'!$V$6:$V$10005,'設定'!$C$4,'月1回_2ヶ月前の在庫'!$W$6:$W$10005,$B788)&gt;0,1,0))</f>
        <v/>
      </c>
      <c r="M788" s="54">
        <f>N(M787)+$L788</f>
        <v/>
      </c>
      <c r="N788" s="54">
        <f>IF($B788="",0,COUNTIFS('①在庫を貼る'!$V$6:$V$10005,'設定'!$C$4,'①在庫を貼る'!$W$6:$W$10005,$B788))</f>
        <v/>
      </c>
    </row>
    <row r="789" ht="18" customHeight="1">
      <c r="B789" s="76" t="n"/>
      <c r="C789" s="77" t="n"/>
      <c r="D789" s="77" t="n"/>
      <c r="E789" s="77" t="n"/>
      <c r="F789" s="78" t="n"/>
      <c r="G789" s="79" t="n"/>
      <c r="H789" s="69" t="n"/>
      <c r="I789" s="44">
        <f>IF(OR($B789="",$H789=""),"",$H789*MAX(1,N($F789)))</f>
        <v/>
      </c>
      <c r="J789" s="80" t="n"/>
      <c r="K789" s="77" t="n"/>
      <c r="L789" s="54">
        <f>IF($B789="",0,IF(COUNTIFS('①在庫を貼る'!$V$6:$V$10005,'設定'!$C$4,'①在庫を貼る'!$W$6:$W$10005,$B789)+COUNTIFS('月1回_1ヶ月前の在庫'!$V$6:$V$10005,'設定'!$C$4,'月1回_1ヶ月前の在庫'!$W$6:$W$10005,$B789)+COUNTIFS('月1回_2ヶ月前の在庫'!$V$6:$V$10005,'設定'!$C$4,'月1回_2ヶ月前の在庫'!$W$6:$W$10005,$B789)&gt;0,1,0))</f>
        <v/>
      </c>
      <c r="M789" s="54">
        <f>N(M788)+$L789</f>
        <v/>
      </c>
      <c r="N789" s="54">
        <f>IF($B789="",0,COUNTIFS('①在庫を貼る'!$V$6:$V$10005,'設定'!$C$4,'①在庫を貼る'!$W$6:$W$10005,$B789))</f>
        <v/>
      </c>
    </row>
    <row r="790" ht="18" customHeight="1">
      <c r="B790" s="76" t="n"/>
      <c r="C790" s="77" t="n"/>
      <c r="D790" s="77" t="n"/>
      <c r="E790" s="77" t="n"/>
      <c r="F790" s="78" t="n"/>
      <c r="G790" s="79" t="n"/>
      <c r="H790" s="69" t="n"/>
      <c r="I790" s="44">
        <f>IF(OR($B790="",$H790=""),"",$H790*MAX(1,N($F790)))</f>
        <v/>
      </c>
      <c r="J790" s="80" t="n"/>
      <c r="K790" s="77" t="n"/>
      <c r="L790" s="54">
        <f>IF($B790="",0,IF(COUNTIFS('①在庫を貼る'!$V$6:$V$10005,'設定'!$C$4,'①在庫を貼る'!$W$6:$W$10005,$B790)+COUNTIFS('月1回_1ヶ月前の在庫'!$V$6:$V$10005,'設定'!$C$4,'月1回_1ヶ月前の在庫'!$W$6:$W$10005,$B790)+COUNTIFS('月1回_2ヶ月前の在庫'!$V$6:$V$10005,'設定'!$C$4,'月1回_2ヶ月前の在庫'!$W$6:$W$10005,$B790)&gt;0,1,0))</f>
        <v/>
      </c>
      <c r="M790" s="54">
        <f>N(M789)+$L790</f>
        <v/>
      </c>
      <c r="N790" s="54">
        <f>IF($B790="",0,COUNTIFS('①在庫を貼る'!$V$6:$V$10005,'設定'!$C$4,'①在庫を貼る'!$W$6:$W$10005,$B790))</f>
        <v/>
      </c>
    </row>
    <row r="791" ht="18" customHeight="1">
      <c r="B791" s="76" t="n"/>
      <c r="C791" s="77" t="n"/>
      <c r="D791" s="77" t="n"/>
      <c r="E791" s="77" t="n"/>
      <c r="F791" s="78" t="n"/>
      <c r="G791" s="79" t="n"/>
      <c r="H791" s="69" t="n"/>
      <c r="I791" s="44">
        <f>IF(OR($B791="",$H791=""),"",$H791*MAX(1,N($F791)))</f>
        <v/>
      </c>
      <c r="J791" s="80" t="n"/>
      <c r="K791" s="77" t="n"/>
      <c r="L791" s="54">
        <f>IF($B791="",0,IF(COUNTIFS('①在庫を貼る'!$V$6:$V$10005,'設定'!$C$4,'①在庫を貼る'!$W$6:$W$10005,$B791)+COUNTIFS('月1回_1ヶ月前の在庫'!$V$6:$V$10005,'設定'!$C$4,'月1回_1ヶ月前の在庫'!$W$6:$W$10005,$B791)+COUNTIFS('月1回_2ヶ月前の在庫'!$V$6:$V$10005,'設定'!$C$4,'月1回_2ヶ月前の在庫'!$W$6:$W$10005,$B791)&gt;0,1,0))</f>
        <v/>
      </c>
      <c r="M791" s="54">
        <f>N(M790)+$L791</f>
        <v/>
      </c>
      <c r="N791" s="54">
        <f>IF($B791="",0,COUNTIFS('①在庫を貼る'!$V$6:$V$10005,'設定'!$C$4,'①在庫を貼る'!$W$6:$W$10005,$B791))</f>
        <v/>
      </c>
    </row>
    <row r="792" ht="18" customHeight="1">
      <c r="B792" s="76" t="n"/>
      <c r="C792" s="77" t="n"/>
      <c r="D792" s="77" t="n"/>
      <c r="E792" s="77" t="n"/>
      <c r="F792" s="78" t="n"/>
      <c r="G792" s="79" t="n"/>
      <c r="H792" s="69" t="n"/>
      <c r="I792" s="44">
        <f>IF(OR($B792="",$H792=""),"",$H792*MAX(1,N($F792)))</f>
        <v/>
      </c>
      <c r="J792" s="80" t="n"/>
      <c r="K792" s="77" t="n"/>
      <c r="L792" s="54">
        <f>IF($B792="",0,IF(COUNTIFS('①在庫を貼る'!$V$6:$V$10005,'設定'!$C$4,'①在庫を貼る'!$W$6:$W$10005,$B792)+COUNTIFS('月1回_1ヶ月前の在庫'!$V$6:$V$10005,'設定'!$C$4,'月1回_1ヶ月前の在庫'!$W$6:$W$10005,$B792)+COUNTIFS('月1回_2ヶ月前の在庫'!$V$6:$V$10005,'設定'!$C$4,'月1回_2ヶ月前の在庫'!$W$6:$W$10005,$B792)&gt;0,1,0))</f>
        <v/>
      </c>
      <c r="M792" s="54">
        <f>N(M791)+$L792</f>
        <v/>
      </c>
      <c r="N792" s="54">
        <f>IF($B792="",0,COUNTIFS('①在庫を貼る'!$V$6:$V$10005,'設定'!$C$4,'①在庫を貼る'!$W$6:$W$10005,$B792))</f>
        <v/>
      </c>
    </row>
    <row r="793" ht="18" customHeight="1">
      <c r="B793" s="76" t="n"/>
      <c r="C793" s="77" t="n"/>
      <c r="D793" s="77" t="n"/>
      <c r="E793" s="77" t="n"/>
      <c r="F793" s="78" t="n"/>
      <c r="G793" s="79" t="n"/>
      <c r="H793" s="69" t="n"/>
      <c r="I793" s="44">
        <f>IF(OR($B793="",$H793=""),"",$H793*MAX(1,N($F793)))</f>
        <v/>
      </c>
      <c r="J793" s="80" t="n"/>
      <c r="K793" s="77" t="n"/>
      <c r="L793" s="54">
        <f>IF($B793="",0,IF(COUNTIFS('①在庫を貼る'!$V$6:$V$10005,'設定'!$C$4,'①在庫を貼る'!$W$6:$W$10005,$B793)+COUNTIFS('月1回_1ヶ月前の在庫'!$V$6:$V$10005,'設定'!$C$4,'月1回_1ヶ月前の在庫'!$W$6:$W$10005,$B793)+COUNTIFS('月1回_2ヶ月前の在庫'!$V$6:$V$10005,'設定'!$C$4,'月1回_2ヶ月前の在庫'!$W$6:$W$10005,$B793)&gt;0,1,0))</f>
        <v/>
      </c>
      <c r="M793" s="54">
        <f>N(M792)+$L793</f>
        <v/>
      </c>
      <c r="N793" s="54">
        <f>IF($B793="",0,COUNTIFS('①在庫を貼る'!$V$6:$V$10005,'設定'!$C$4,'①在庫を貼る'!$W$6:$W$10005,$B793))</f>
        <v/>
      </c>
    </row>
    <row r="794" ht="18" customHeight="1">
      <c r="B794" s="76" t="n"/>
      <c r="C794" s="77" t="n"/>
      <c r="D794" s="77" t="n"/>
      <c r="E794" s="77" t="n"/>
      <c r="F794" s="78" t="n"/>
      <c r="G794" s="79" t="n"/>
      <c r="H794" s="69" t="n"/>
      <c r="I794" s="44">
        <f>IF(OR($B794="",$H794=""),"",$H794*MAX(1,N($F794)))</f>
        <v/>
      </c>
      <c r="J794" s="80" t="n"/>
      <c r="K794" s="77" t="n"/>
      <c r="L794" s="54">
        <f>IF($B794="",0,IF(COUNTIFS('①在庫を貼る'!$V$6:$V$10005,'設定'!$C$4,'①在庫を貼る'!$W$6:$W$10005,$B794)+COUNTIFS('月1回_1ヶ月前の在庫'!$V$6:$V$10005,'設定'!$C$4,'月1回_1ヶ月前の在庫'!$W$6:$W$10005,$B794)+COUNTIFS('月1回_2ヶ月前の在庫'!$V$6:$V$10005,'設定'!$C$4,'月1回_2ヶ月前の在庫'!$W$6:$W$10005,$B794)&gt;0,1,0))</f>
        <v/>
      </c>
      <c r="M794" s="54">
        <f>N(M793)+$L794</f>
        <v/>
      </c>
      <c r="N794" s="54">
        <f>IF($B794="",0,COUNTIFS('①在庫を貼る'!$V$6:$V$10005,'設定'!$C$4,'①在庫を貼る'!$W$6:$W$10005,$B794))</f>
        <v/>
      </c>
    </row>
    <row r="795" ht="18" customHeight="1">
      <c r="B795" s="76" t="n"/>
      <c r="C795" s="77" t="n"/>
      <c r="D795" s="77" t="n"/>
      <c r="E795" s="77" t="n"/>
      <c r="F795" s="78" t="n"/>
      <c r="G795" s="79" t="n"/>
      <c r="H795" s="69" t="n"/>
      <c r="I795" s="44">
        <f>IF(OR($B795="",$H795=""),"",$H795*MAX(1,N($F795)))</f>
        <v/>
      </c>
      <c r="J795" s="80" t="n"/>
      <c r="K795" s="77" t="n"/>
      <c r="L795" s="54">
        <f>IF($B795="",0,IF(COUNTIFS('①在庫を貼る'!$V$6:$V$10005,'設定'!$C$4,'①在庫を貼る'!$W$6:$W$10005,$B795)+COUNTIFS('月1回_1ヶ月前の在庫'!$V$6:$V$10005,'設定'!$C$4,'月1回_1ヶ月前の在庫'!$W$6:$W$10005,$B795)+COUNTIFS('月1回_2ヶ月前の在庫'!$V$6:$V$10005,'設定'!$C$4,'月1回_2ヶ月前の在庫'!$W$6:$W$10005,$B795)&gt;0,1,0))</f>
        <v/>
      </c>
      <c r="M795" s="54">
        <f>N(M794)+$L795</f>
        <v/>
      </c>
      <c r="N795" s="54">
        <f>IF($B795="",0,COUNTIFS('①在庫を貼る'!$V$6:$V$10005,'設定'!$C$4,'①在庫を貼る'!$W$6:$W$10005,$B795))</f>
        <v/>
      </c>
    </row>
    <row r="796" ht="18" customHeight="1">
      <c r="B796" s="76" t="n"/>
      <c r="C796" s="77" t="n"/>
      <c r="D796" s="77" t="n"/>
      <c r="E796" s="77" t="n"/>
      <c r="F796" s="78" t="n"/>
      <c r="G796" s="79" t="n"/>
      <c r="H796" s="69" t="n"/>
      <c r="I796" s="44">
        <f>IF(OR($B796="",$H796=""),"",$H796*MAX(1,N($F796)))</f>
        <v/>
      </c>
      <c r="J796" s="80" t="n"/>
      <c r="K796" s="77" t="n"/>
      <c r="L796" s="54">
        <f>IF($B796="",0,IF(COUNTIFS('①在庫を貼る'!$V$6:$V$10005,'設定'!$C$4,'①在庫を貼る'!$W$6:$W$10005,$B796)+COUNTIFS('月1回_1ヶ月前の在庫'!$V$6:$V$10005,'設定'!$C$4,'月1回_1ヶ月前の在庫'!$W$6:$W$10005,$B796)+COUNTIFS('月1回_2ヶ月前の在庫'!$V$6:$V$10005,'設定'!$C$4,'月1回_2ヶ月前の在庫'!$W$6:$W$10005,$B796)&gt;0,1,0))</f>
        <v/>
      </c>
      <c r="M796" s="54">
        <f>N(M795)+$L796</f>
        <v/>
      </c>
      <c r="N796" s="54">
        <f>IF($B796="",0,COUNTIFS('①在庫を貼る'!$V$6:$V$10005,'設定'!$C$4,'①在庫を貼る'!$W$6:$W$10005,$B796))</f>
        <v/>
      </c>
    </row>
    <row r="797" ht="18" customHeight="1">
      <c r="B797" s="76" t="n"/>
      <c r="C797" s="77" t="n"/>
      <c r="D797" s="77" t="n"/>
      <c r="E797" s="77" t="n"/>
      <c r="F797" s="78" t="n"/>
      <c r="G797" s="79" t="n"/>
      <c r="H797" s="69" t="n"/>
      <c r="I797" s="44">
        <f>IF(OR($B797="",$H797=""),"",$H797*MAX(1,N($F797)))</f>
        <v/>
      </c>
      <c r="J797" s="80" t="n"/>
      <c r="K797" s="77" t="n"/>
      <c r="L797" s="54">
        <f>IF($B797="",0,IF(COUNTIFS('①在庫を貼る'!$V$6:$V$10005,'設定'!$C$4,'①在庫を貼る'!$W$6:$W$10005,$B797)+COUNTIFS('月1回_1ヶ月前の在庫'!$V$6:$V$10005,'設定'!$C$4,'月1回_1ヶ月前の在庫'!$W$6:$W$10005,$B797)+COUNTIFS('月1回_2ヶ月前の在庫'!$V$6:$V$10005,'設定'!$C$4,'月1回_2ヶ月前の在庫'!$W$6:$W$10005,$B797)&gt;0,1,0))</f>
        <v/>
      </c>
      <c r="M797" s="54">
        <f>N(M796)+$L797</f>
        <v/>
      </c>
      <c r="N797" s="54">
        <f>IF($B797="",0,COUNTIFS('①在庫を貼る'!$V$6:$V$10005,'設定'!$C$4,'①在庫を貼る'!$W$6:$W$10005,$B797))</f>
        <v/>
      </c>
    </row>
    <row r="798" ht="18" customHeight="1">
      <c r="B798" s="76" t="n"/>
      <c r="C798" s="77" t="n"/>
      <c r="D798" s="77" t="n"/>
      <c r="E798" s="77" t="n"/>
      <c r="F798" s="78" t="n"/>
      <c r="G798" s="79" t="n"/>
      <c r="H798" s="69" t="n"/>
      <c r="I798" s="44">
        <f>IF(OR($B798="",$H798=""),"",$H798*MAX(1,N($F798)))</f>
        <v/>
      </c>
      <c r="J798" s="80" t="n"/>
      <c r="K798" s="77" t="n"/>
      <c r="L798" s="54">
        <f>IF($B798="",0,IF(COUNTIFS('①在庫を貼る'!$V$6:$V$10005,'設定'!$C$4,'①在庫を貼る'!$W$6:$W$10005,$B798)+COUNTIFS('月1回_1ヶ月前の在庫'!$V$6:$V$10005,'設定'!$C$4,'月1回_1ヶ月前の在庫'!$W$6:$W$10005,$B798)+COUNTIFS('月1回_2ヶ月前の在庫'!$V$6:$V$10005,'設定'!$C$4,'月1回_2ヶ月前の在庫'!$W$6:$W$10005,$B798)&gt;0,1,0))</f>
        <v/>
      </c>
      <c r="M798" s="54">
        <f>N(M797)+$L798</f>
        <v/>
      </c>
      <c r="N798" s="54">
        <f>IF($B798="",0,COUNTIFS('①在庫を貼る'!$V$6:$V$10005,'設定'!$C$4,'①在庫を貼る'!$W$6:$W$10005,$B798))</f>
        <v/>
      </c>
    </row>
    <row r="799" ht="18" customHeight="1">
      <c r="B799" s="76" t="n"/>
      <c r="C799" s="77" t="n"/>
      <c r="D799" s="77" t="n"/>
      <c r="E799" s="77" t="n"/>
      <c r="F799" s="78" t="n"/>
      <c r="G799" s="79" t="n"/>
      <c r="H799" s="69" t="n"/>
      <c r="I799" s="44">
        <f>IF(OR($B799="",$H799=""),"",$H799*MAX(1,N($F799)))</f>
        <v/>
      </c>
      <c r="J799" s="80" t="n"/>
      <c r="K799" s="77" t="n"/>
      <c r="L799" s="54">
        <f>IF($B799="",0,IF(COUNTIFS('①在庫を貼る'!$V$6:$V$10005,'設定'!$C$4,'①在庫を貼る'!$W$6:$W$10005,$B799)+COUNTIFS('月1回_1ヶ月前の在庫'!$V$6:$V$10005,'設定'!$C$4,'月1回_1ヶ月前の在庫'!$W$6:$W$10005,$B799)+COUNTIFS('月1回_2ヶ月前の在庫'!$V$6:$V$10005,'設定'!$C$4,'月1回_2ヶ月前の在庫'!$W$6:$W$10005,$B799)&gt;0,1,0))</f>
        <v/>
      </c>
      <c r="M799" s="54">
        <f>N(M798)+$L799</f>
        <v/>
      </c>
      <c r="N799" s="54">
        <f>IF($B799="",0,COUNTIFS('①在庫を貼る'!$V$6:$V$10005,'設定'!$C$4,'①在庫を貼る'!$W$6:$W$10005,$B799))</f>
        <v/>
      </c>
    </row>
    <row r="800" ht="18" customHeight="1">
      <c r="B800" s="76" t="n"/>
      <c r="C800" s="77" t="n"/>
      <c r="D800" s="77" t="n"/>
      <c r="E800" s="77" t="n"/>
      <c r="F800" s="78" t="n"/>
      <c r="G800" s="79" t="n"/>
      <c r="H800" s="69" t="n"/>
      <c r="I800" s="44">
        <f>IF(OR($B800="",$H800=""),"",$H800*MAX(1,N($F800)))</f>
        <v/>
      </c>
      <c r="J800" s="80" t="n"/>
      <c r="K800" s="77" t="n"/>
      <c r="L800" s="54">
        <f>IF($B800="",0,IF(COUNTIFS('①在庫を貼る'!$V$6:$V$10005,'設定'!$C$4,'①在庫を貼る'!$W$6:$W$10005,$B800)+COUNTIFS('月1回_1ヶ月前の在庫'!$V$6:$V$10005,'設定'!$C$4,'月1回_1ヶ月前の在庫'!$W$6:$W$10005,$B800)+COUNTIFS('月1回_2ヶ月前の在庫'!$V$6:$V$10005,'設定'!$C$4,'月1回_2ヶ月前の在庫'!$W$6:$W$10005,$B800)&gt;0,1,0))</f>
        <v/>
      </c>
      <c r="M800" s="54">
        <f>N(M799)+$L800</f>
        <v/>
      </c>
      <c r="N800" s="54">
        <f>IF($B800="",0,COUNTIFS('①在庫を貼る'!$V$6:$V$10005,'設定'!$C$4,'①在庫を貼る'!$W$6:$W$10005,$B800))</f>
        <v/>
      </c>
    </row>
    <row r="801" ht="18" customHeight="1">
      <c r="B801" s="76" t="n"/>
      <c r="C801" s="77" t="n"/>
      <c r="D801" s="77" t="n"/>
      <c r="E801" s="77" t="n"/>
      <c r="F801" s="78" t="n"/>
      <c r="G801" s="79" t="n"/>
      <c r="H801" s="69" t="n"/>
      <c r="I801" s="44">
        <f>IF(OR($B801="",$H801=""),"",$H801*MAX(1,N($F801)))</f>
        <v/>
      </c>
      <c r="J801" s="80" t="n"/>
      <c r="K801" s="77" t="n"/>
      <c r="L801" s="54">
        <f>IF($B801="",0,IF(COUNTIFS('①在庫を貼る'!$V$6:$V$10005,'設定'!$C$4,'①在庫を貼る'!$W$6:$W$10005,$B801)+COUNTIFS('月1回_1ヶ月前の在庫'!$V$6:$V$10005,'設定'!$C$4,'月1回_1ヶ月前の在庫'!$W$6:$W$10005,$B801)+COUNTIFS('月1回_2ヶ月前の在庫'!$V$6:$V$10005,'設定'!$C$4,'月1回_2ヶ月前の在庫'!$W$6:$W$10005,$B801)&gt;0,1,0))</f>
        <v/>
      </c>
      <c r="M801" s="54">
        <f>N(M800)+$L801</f>
        <v/>
      </c>
      <c r="N801" s="54">
        <f>IF($B801="",0,COUNTIFS('①在庫を貼る'!$V$6:$V$10005,'設定'!$C$4,'①在庫を貼る'!$W$6:$W$10005,$B801))</f>
        <v/>
      </c>
    </row>
    <row r="802" ht="18" customHeight="1">
      <c r="B802" s="76" t="n"/>
      <c r="C802" s="77" t="n"/>
      <c r="D802" s="77" t="n"/>
      <c r="E802" s="77" t="n"/>
      <c r="F802" s="78" t="n"/>
      <c r="G802" s="79" t="n"/>
      <c r="H802" s="69" t="n"/>
      <c r="I802" s="44">
        <f>IF(OR($B802="",$H802=""),"",$H802*MAX(1,N($F802)))</f>
        <v/>
      </c>
      <c r="J802" s="80" t="n"/>
      <c r="K802" s="77" t="n"/>
      <c r="L802" s="54">
        <f>IF($B802="",0,IF(COUNTIFS('①在庫を貼る'!$V$6:$V$10005,'設定'!$C$4,'①在庫を貼る'!$W$6:$W$10005,$B802)+COUNTIFS('月1回_1ヶ月前の在庫'!$V$6:$V$10005,'設定'!$C$4,'月1回_1ヶ月前の在庫'!$W$6:$W$10005,$B802)+COUNTIFS('月1回_2ヶ月前の在庫'!$V$6:$V$10005,'設定'!$C$4,'月1回_2ヶ月前の在庫'!$W$6:$W$10005,$B802)&gt;0,1,0))</f>
        <v/>
      </c>
      <c r="M802" s="54">
        <f>N(M801)+$L802</f>
        <v/>
      </c>
      <c r="N802" s="54">
        <f>IF($B802="",0,COUNTIFS('①在庫を貼る'!$V$6:$V$10005,'設定'!$C$4,'①在庫を貼る'!$W$6:$W$10005,$B802))</f>
        <v/>
      </c>
    </row>
    <row r="803" ht="18" customHeight="1">
      <c r="B803" s="76" t="n"/>
      <c r="C803" s="77" t="n"/>
      <c r="D803" s="77" t="n"/>
      <c r="E803" s="77" t="n"/>
      <c r="F803" s="78" t="n"/>
      <c r="G803" s="79" t="n"/>
      <c r="H803" s="69" t="n"/>
      <c r="I803" s="44">
        <f>IF(OR($B803="",$H803=""),"",$H803*MAX(1,N($F803)))</f>
        <v/>
      </c>
      <c r="J803" s="80" t="n"/>
      <c r="K803" s="77" t="n"/>
      <c r="L803" s="54">
        <f>IF($B803="",0,IF(COUNTIFS('①在庫を貼る'!$V$6:$V$10005,'設定'!$C$4,'①在庫を貼る'!$W$6:$W$10005,$B803)+COUNTIFS('月1回_1ヶ月前の在庫'!$V$6:$V$10005,'設定'!$C$4,'月1回_1ヶ月前の在庫'!$W$6:$W$10005,$B803)+COUNTIFS('月1回_2ヶ月前の在庫'!$V$6:$V$10005,'設定'!$C$4,'月1回_2ヶ月前の在庫'!$W$6:$W$10005,$B803)&gt;0,1,0))</f>
        <v/>
      </c>
      <c r="M803" s="54">
        <f>N(M802)+$L803</f>
        <v/>
      </c>
      <c r="N803" s="54">
        <f>IF($B803="",0,COUNTIFS('①在庫を貼る'!$V$6:$V$10005,'設定'!$C$4,'①在庫を貼る'!$W$6:$W$10005,$B803))</f>
        <v/>
      </c>
    </row>
    <row r="804" ht="18" customHeight="1">
      <c r="B804" s="76" t="n"/>
      <c r="C804" s="77" t="n"/>
      <c r="D804" s="77" t="n"/>
      <c r="E804" s="77" t="n"/>
      <c r="F804" s="78" t="n"/>
      <c r="G804" s="79" t="n"/>
      <c r="H804" s="69" t="n"/>
      <c r="I804" s="44">
        <f>IF(OR($B804="",$H804=""),"",$H804*MAX(1,N($F804)))</f>
        <v/>
      </c>
      <c r="J804" s="80" t="n"/>
      <c r="K804" s="77" t="n"/>
      <c r="L804" s="54">
        <f>IF($B804="",0,IF(COUNTIFS('①在庫を貼る'!$V$6:$V$10005,'設定'!$C$4,'①在庫を貼る'!$W$6:$W$10005,$B804)+COUNTIFS('月1回_1ヶ月前の在庫'!$V$6:$V$10005,'設定'!$C$4,'月1回_1ヶ月前の在庫'!$W$6:$W$10005,$B804)+COUNTIFS('月1回_2ヶ月前の在庫'!$V$6:$V$10005,'設定'!$C$4,'月1回_2ヶ月前の在庫'!$W$6:$W$10005,$B804)&gt;0,1,0))</f>
        <v/>
      </c>
      <c r="M804" s="54">
        <f>N(M803)+$L804</f>
        <v/>
      </c>
      <c r="N804" s="54">
        <f>IF($B804="",0,COUNTIFS('①在庫を貼る'!$V$6:$V$10005,'設定'!$C$4,'①在庫を貼る'!$W$6:$W$10005,$B804))</f>
        <v/>
      </c>
    </row>
    <row r="805" ht="18" customHeight="1">
      <c r="B805" s="76" t="n"/>
      <c r="C805" s="77" t="n"/>
      <c r="D805" s="77" t="n"/>
      <c r="E805" s="77" t="n"/>
      <c r="F805" s="78" t="n"/>
      <c r="G805" s="79" t="n"/>
      <c r="H805" s="69" t="n"/>
      <c r="I805" s="44">
        <f>IF(OR($B805="",$H805=""),"",$H805*MAX(1,N($F805)))</f>
        <v/>
      </c>
      <c r="J805" s="80" t="n"/>
      <c r="K805" s="77" t="n"/>
      <c r="L805" s="54">
        <f>IF($B805="",0,IF(COUNTIFS('①在庫を貼る'!$V$6:$V$10005,'設定'!$C$4,'①在庫を貼る'!$W$6:$W$10005,$B805)+COUNTIFS('月1回_1ヶ月前の在庫'!$V$6:$V$10005,'設定'!$C$4,'月1回_1ヶ月前の在庫'!$W$6:$W$10005,$B805)+COUNTIFS('月1回_2ヶ月前の在庫'!$V$6:$V$10005,'設定'!$C$4,'月1回_2ヶ月前の在庫'!$W$6:$W$10005,$B805)&gt;0,1,0))</f>
        <v/>
      </c>
      <c r="M805" s="54">
        <f>N(M804)+$L805</f>
        <v/>
      </c>
      <c r="N805" s="54">
        <f>IF($B805="",0,COUNTIFS('①在庫を貼る'!$V$6:$V$10005,'設定'!$C$4,'①在庫を貼る'!$W$6:$W$10005,$B805))</f>
        <v/>
      </c>
    </row>
    <row r="806" ht="18" customHeight="1">
      <c r="B806" s="76" t="n"/>
      <c r="C806" s="77" t="n"/>
      <c r="D806" s="77" t="n"/>
      <c r="E806" s="77" t="n"/>
      <c r="F806" s="78" t="n"/>
      <c r="G806" s="79" t="n"/>
      <c r="H806" s="69" t="n"/>
      <c r="I806" s="44">
        <f>IF(OR($B806="",$H806=""),"",$H806*MAX(1,N($F806)))</f>
        <v/>
      </c>
      <c r="J806" s="80" t="n"/>
      <c r="K806" s="77" t="n"/>
      <c r="L806" s="54">
        <f>IF($B806="",0,IF(COUNTIFS('①在庫を貼る'!$V$6:$V$10005,'設定'!$C$4,'①在庫を貼る'!$W$6:$W$10005,$B806)+COUNTIFS('月1回_1ヶ月前の在庫'!$V$6:$V$10005,'設定'!$C$4,'月1回_1ヶ月前の在庫'!$W$6:$W$10005,$B806)+COUNTIFS('月1回_2ヶ月前の在庫'!$V$6:$V$10005,'設定'!$C$4,'月1回_2ヶ月前の在庫'!$W$6:$W$10005,$B806)&gt;0,1,0))</f>
        <v/>
      </c>
      <c r="M806" s="54">
        <f>N(M805)+$L806</f>
        <v/>
      </c>
      <c r="N806" s="54">
        <f>IF($B806="",0,COUNTIFS('①在庫を貼る'!$V$6:$V$10005,'設定'!$C$4,'①在庫を貼る'!$W$6:$W$10005,$B806))</f>
        <v/>
      </c>
    </row>
    <row r="807" ht="18" customHeight="1">
      <c r="B807" s="76" t="n"/>
      <c r="C807" s="77" t="n"/>
      <c r="D807" s="77" t="n"/>
      <c r="E807" s="77" t="n"/>
      <c r="F807" s="78" t="n"/>
      <c r="G807" s="79" t="n"/>
      <c r="H807" s="69" t="n"/>
      <c r="I807" s="44">
        <f>IF(OR($B807="",$H807=""),"",$H807*MAX(1,N($F807)))</f>
        <v/>
      </c>
      <c r="J807" s="80" t="n"/>
      <c r="K807" s="77" t="n"/>
      <c r="L807" s="54">
        <f>IF($B807="",0,IF(COUNTIFS('①在庫を貼る'!$V$6:$V$10005,'設定'!$C$4,'①在庫を貼る'!$W$6:$W$10005,$B807)+COUNTIFS('月1回_1ヶ月前の在庫'!$V$6:$V$10005,'設定'!$C$4,'月1回_1ヶ月前の在庫'!$W$6:$W$10005,$B807)+COUNTIFS('月1回_2ヶ月前の在庫'!$V$6:$V$10005,'設定'!$C$4,'月1回_2ヶ月前の在庫'!$W$6:$W$10005,$B807)&gt;0,1,0))</f>
        <v/>
      </c>
      <c r="M807" s="54">
        <f>N(M806)+$L807</f>
        <v/>
      </c>
      <c r="N807" s="54">
        <f>IF($B807="",0,COUNTIFS('①在庫を貼る'!$V$6:$V$10005,'設定'!$C$4,'①在庫を貼る'!$W$6:$W$10005,$B807))</f>
        <v/>
      </c>
    </row>
    <row r="808" ht="18" customHeight="1">
      <c r="B808" s="76" t="n"/>
      <c r="C808" s="77" t="n"/>
      <c r="D808" s="77" t="n"/>
      <c r="E808" s="77" t="n"/>
      <c r="F808" s="78" t="n"/>
      <c r="G808" s="79" t="n"/>
      <c r="H808" s="69" t="n"/>
      <c r="I808" s="44">
        <f>IF(OR($B808="",$H808=""),"",$H808*MAX(1,N($F808)))</f>
        <v/>
      </c>
      <c r="J808" s="80" t="n"/>
      <c r="K808" s="77" t="n"/>
      <c r="L808" s="54">
        <f>IF($B808="",0,IF(COUNTIFS('①在庫を貼る'!$V$6:$V$10005,'設定'!$C$4,'①在庫を貼る'!$W$6:$W$10005,$B808)+COUNTIFS('月1回_1ヶ月前の在庫'!$V$6:$V$10005,'設定'!$C$4,'月1回_1ヶ月前の在庫'!$W$6:$W$10005,$B808)+COUNTIFS('月1回_2ヶ月前の在庫'!$V$6:$V$10005,'設定'!$C$4,'月1回_2ヶ月前の在庫'!$W$6:$W$10005,$B808)&gt;0,1,0))</f>
        <v/>
      </c>
      <c r="M808" s="54">
        <f>N(M807)+$L808</f>
        <v/>
      </c>
      <c r="N808" s="54">
        <f>IF($B808="",0,COUNTIFS('①在庫を貼る'!$V$6:$V$10005,'設定'!$C$4,'①在庫を貼る'!$W$6:$W$10005,$B808))</f>
        <v/>
      </c>
    </row>
    <row r="809" ht="18" customHeight="1">
      <c r="B809" s="76" t="n"/>
      <c r="C809" s="77" t="n"/>
      <c r="D809" s="77" t="n"/>
      <c r="E809" s="77" t="n"/>
      <c r="F809" s="78" t="n"/>
      <c r="G809" s="79" t="n"/>
      <c r="H809" s="69" t="n"/>
      <c r="I809" s="44">
        <f>IF(OR($B809="",$H809=""),"",$H809*MAX(1,N($F809)))</f>
        <v/>
      </c>
      <c r="J809" s="80" t="n"/>
      <c r="K809" s="77" t="n"/>
      <c r="L809" s="54">
        <f>IF($B809="",0,IF(COUNTIFS('①在庫を貼る'!$V$6:$V$10005,'設定'!$C$4,'①在庫を貼る'!$W$6:$W$10005,$B809)+COUNTIFS('月1回_1ヶ月前の在庫'!$V$6:$V$10005,'設定'!$C$4,'月1回_1ヶ月前の在庫'!$W$6:$W$10005,$B809)+COUNTIFS('月1回_2ヶ月前の在庫'!$V$6:$V$10005,'設定'!$C$4,'月1回_2ヶ月前の在庫'!$W$6:$W$10005,$B809)&gt;0,1,0))</f>
        <v/>
      </c>
      <c r="M809" s="54">
        <f>N(M808)+$L809</f>
        <v/>
      </c>
      <c r="N809" s="54">
        <f>IF($B809="",0,COUNTIFS('①在庫を貼る'!$V$6:$V$10005,'設定'!$C$4,'①在庫を貼る'!$W$6:$W$10005,$B809))</f>
        <v/>
      </c>
    </row>
    <row r="810" ht="18" customHeight="1">
      <c r="B810" s="76" t="n"/>
      <c r="C810" s="77" t="n"/>
      <c r="D810" s="77" t="n"/>
      <c r="E810" s="77" t="n"/>
      <c r="F810" s="78" t="n"/>
      <c r="G810" s="79" t="n"/>
      <c r="H810" s="69" t="n"/>
      <c r="I810" s="44">
        <f>IF(OR($B810="",$H810=""),"",$H810*MAX(1,N($F810)))</f>
        <v/>
      </c>
      <c r="J810" s="80" t="n"/>
      <c r="K810" s="77" t="n"/>
      <c r="L810" s="54">
        <f>IF($B810="",0,IF(COUNTIFS('①在庫を貼る'!$V$6:$V$10005,'設定'!$C$4,'①在庫を貼る'!$W$6:$W$10005,$B810)+COUNTIFS('月1回_1ヶ月前の在庫'!$V$6:$V$10005,'設定'!$C$4,'月1回_1ヶ月前の在庫'!$W$6:$W$10005,$B810)+COUNTIFS('月1回_2ヶ月前の在庫'!$V$6:$V$10005,'設定'!$C$4,'月1回_2ヶ月前の在庫'!$W$6:$W$10005,$B810)&gt;0,1,0))</f>
        <v/>
      </c>
      <c r="M810" s="54">
        <f>N(M809)+$L810</f>
        <v/>
      </c>
      <c r="N810" s="54">
        <f>IF($B810="",0,COUNTIFS('①在庫を貼る'!$V$6:$V$10005,'設定'!$C$4,'①在庫を貼る'!$W$6:$W$10005,$B810))</f>
        <v/>
      </c>
    </row>
    <row r="811" ht="18" customHeight="1">
      <c r="B811" s="76" t="n"/>
      <c r="C811" s="77" t="n"/>
      <c r="D811" s="77" t="n"/>
      <c r="E811" s="77" t="n"/>
      <c r="F811" s="78" t="n"/>
      <c r="G811" s="79" t="n"/>
      <c r="H811" s="69" t="n"/>
      <c r="I811" s="44">
        <f>IF(OR($B811="",$H811=""),"",$H811*MAX(1,N($F811)))</f>
        <v/>
      </c>
      <c r="J811" s="80" t="n"/>
      <c r="K811" s="77" t="n"/>
      <c r="L811" s="54">
        <f>IF($B811="",0,IF(COUNTIFS('①在庫を貼る'!$V$6:$V$10005,'設定'!$C$4,'①在庫を貼る'!$W$6:$W$10005,$B811)+COUNTIFS('月1回_1ヶ月前の在庫'!$V$6:$V$10005,'設定'!$C$4,'月1回_1ヶ月前の在庫'!$W$6:$W$10005,$B811)+COUNTIFS('月1回_2ヶ月前の在庫'!$V$6:$V$10005,'設定'!$C$4,'月1回_2ヶ月前の在庫'!$W$6:$W$10005,$B811)&gt;0,1,0))</f>
        <v/>
      </c>
      <c r="M811" s="54">
        <f>N(M810)+$L811</f>
        <v/>
      </c>
      <c r="N811" s="54">
        <f>IF($B811="",0,COUNTIFS('①在庫を貼る'!$V$6:$V$10005,'設定'!$C$4,'①在庫を貼る'!$W$6:$W$10005,$B811))</f>
        <v/>
      </c>
    </row>
    <row r="812" ht="18" customHeight="1">
      <c r="B812" s="76" t="n"/>
      <c r="C812" s="77" t="n"/>
      <c r="D812" s="77" t="n"/>
      <c r="E812" s="77" t="n"/>
      <c r="F812" s="78" t="n"/>
      <c r="G812" s="79" t="n"/>
      <c r="H812" s="69" t="n"/>
      <c r="I812" s="44">
        <f>IF(OR($B812="",$H812=""),"",$H812*MAX(1,N($F812)))</f>
        <v/>
      </c>
      <c r="J812" s="80" t="n"/>
      <c r="K812" s="77" t="n"/>
      <c r="L812" s="54">
        <f>IF($B812="",0,IF(COUNTIFS('①在庫を貼る'!$V$6:$V$10005,'設定'!$C$4,'①在庫を貼る'!$W$6:$W$10005,$B812)+COUNTIFS('月1回_1ヶ月前の在庫'!$V$6:$V$10005,'設定'!$C$4,'月1回_1ヶ月前の在庫'!$W$6:$W$10005,$B812)+COUNTIFS('月1回_2ヶ月前の在庫'!$V$6:$V$10005,'設定'!$C$4,'月1回_2ヶ月前の在庫'!$W$6:$W$10005,$B812)&gt;0,1,0))</f>
        <v/>
      </c>
      <c r="M812" s="54">
        <f>N(M811)+$L812</f>
        <v/>
      </c>
      <c r="N812" s="54">
        <f>IF($B812="",0,COUNTIFS('①在庫を貼る'!$V$6:$V$10005,'設定'!$C$4,'①在庫を貼る'!$W$6:$W$10005,$B812))</f>
        <v/>
      </c>
    </row>
    <row r="813" ht="18" customHeight="1">
      <c r="B813" s="76" t="n"/>
      <c r="C813" s="77" t="n"/>
      <c r="D813" s="77" t="n"/>
      <c r="E813" s="77" t="n"/>
      <c r="F813" s="78" t="n"/>
      <c r="G813" s="79" t="n"/>
      <c r="H813" s="69" t="n"/>
      <c r="I813" s="44">
        <f>IF(OR($B813="",$H813=""),"",$H813*MAX(1,N($F813)))</f>
        <v/>
      </c>
      <c r="J813" s="80" t="n"/>
      <c r="K813" s="77" t="n"/>
      <c r="L813" s="54">
        <f>IF($B813="",0,IF(COUNTIFS('①在庫を貼る'!$V$6:$V$10005,'設定'!$C$4,'①在庫を貼る'!$W$6:$W$10005,$B813)+COUNTIFS('月1回_1ヶ月前の在庫'!$V$6:$V$10005,'設定'!$C$4,'月1回_1ヶ月前の在庫'!$W$6:$W$10005,$B813)+COUNTIFS('月1回_2ヶ月前の在庫'!$V$6:$V$10005,'設定'!$C$4,'月1回_2ヶ月前の在庫'!$W$6:$W$10005,$B813)&gt;0,1,0))</f>
        <v/>
      </c>
      <c r="M813" s="54">
        <f>N(M812)+$L813</f>
        <v/>
      </c>
      <c r="N813" s="54">
        <f>IF($B813="",0,COUNTIFS('①在庫を貼る'!$V$6:$V$10005,'設定'!$C$4,'①在庫を貼る'!$W$6:$W$10005,$B813))</f>
        <v/>
      </c>
    </row>
    <row r="814" ht="18" customHeight="1">
      <c r="B814" s="76" t="n"/>
      <c r="C814" s="77" t="n"/>
      <c r="D814" s="77" t="n"/>
      <c r="E814" s="77" t="n"/>
      <c r="F814" s="78" t="n"/>
      <c r="G814" s="79" t="n"/>
      <c r="H814" s="69" t="n"/>
      <c r="I814" s="44">
        <f>IF(OR($B814="",$H814=""),"",$H814*MAX(1,N($F814)))</f>
        <v/>
      </c>
      <c r="J814" s="80" t="n"/>
      <c r="K814" s="77" t="n"/>
      <c r="L814" s="54">
        <f>IF($B814="",0,IF(COUNTIFS('①在庫を貼る'!$V$6:$V$10005,'設定'!$C$4,'①在庫を貼る'!$W$6:$W$10005,$B814)+COUNTIFS('月1回_1ヶ月前の在庫'!$V$6:$V$10005,'設定'!$C$4,'月1回_1ヶ月前の在庫'!$W$6:$W$10005,$B814)+COUNTIFS('月1回_2ヶ月前の在庫'!$V$6:$V$10005,'設定'!$C$4,'月1回_2ヶ月前の在庫'!$W$6:$W$10005,$B814)&gt;0,1,0))</f>
        <v/>
      </c>
      <c r="M814" s="54">
        <f>N(M813)+$L814</f>
        <v/>
      </c>
      <c r="N814" s="54">
        <f>IF($B814="",0,COUNTIFS('①在庫を貼る'!$V$6:$V$10005,'設定'!$C$4,'①在庫を貼る'!$W$6:$W$10005,$B814))</f>
        <v/>
      </c>
    </row>
    <row r="815" ht="18" customHeight="1">
      <c r="B815" s="76" t="n"/>
      <c r="C815" s="77" t="n"/>
      <c r="D815" s="77" t="n"/>
      <c r="E815" s="77" t="n"/>
      <c r="F815" s="78" t="n"/>
      <c r="G815" s="79" t="n"/>
      <c r="H815" s="69" t="n"/>
      <c r="I815" s="44">
        <f>IF(OR($B815="",$H815=""),"",$H815*MAX(1,N($F815)))</f>
        <v/>
      </c>
      <c r="J815" s="80" t="n"/>
      <c r="K815" s="77" t="n"/>
      <c r="L815" s="54">
        <f>IF($B815="",0,IF(COUNTIFS('①在庫を貼る'!$V$6:$V$10005,'設定'!$C$4,'①在庫を貼る'!$W$6:$W$10005,$B815)+COUNTIFS('月1回_1ヶ月前の在庫'!$V$6:$V$10005,'設定'!$C$4,'月1回_1ヶ月前の在庫'!$W$6:$W$10005,$B815)+COUNTIFS('月1回_2ヶ月前の在庫'!$V$6:$V$10005,'設定'!$C$4,'月1回_2ヶ月前の在庫'!$W$6:$W$10005,$B815)&gt;0,1,0))</f>
        <v/>
      </c>
      <c r="M815" s="54">
        <f>N(M814)+$L815</f>
        <v/>
      </c>
      <c r="N815" s="54">
        <f>IF($B815="",0,COUNTIFS('①在庫を貼る'!$V$6:$V$10005,'設定'!$C$4,'①在庫を貼る'!$W$6:$W$10005,$B815))</f>
        <v/>
      </c>
    </row>
    <row r="816" ht="18" customHeight="1">
      <c r="B816" s="76" t="n"/>
      <c r="C816" s="77" t="n"/>
      <c r="D816" s="77" t="n"/>
      <c r="E816" s="77" t="n"/>
      <c r="F816" s="78" t="n"/>
      <c r="G816" s="79" t="n"/>
      <c r="H816" s="69" t="n"/>
      <c r="I816" s="44">
        <f>IF(OR($B816="",$H816=""),"",$H816*MAX(1,N($F816)))</f>
        <v/>
      </c>
      <c r="J816" s="80" t="n"/>
      <c r="K816" s="77" t="n"/>
      <c r="L816" s="54">
        <f>IF($B816="",0,IF(COUNTIFS('①在庫を貼る'!$V$6:$V$10005,'設定'!$C$4,'①在庫を貼る'!$W$6:$W$10005,$B816)+COUNTIFS('月1回_1ヶ月前の在庫'!$V$6:$V$10005,'設定'!$C$4,'月1回_1ヶ月前の在庫'!$W$6:$W$10005,$B816)+COUNTIFS('月1回_2ヶ月前の在庫'!$V$6:$V$10005,'設定'!$C$4,'月1回_2ヶ月前の在庫'!$W$6:$W$10005,$B816)&gt;0,1,0))</f>
        <v/>
      </c>
      <c r="M816" s="54">
        <f>N(M815)+$L816</f>
        <v/>
      </c>
      <c r="N816" s="54">
        <f>IF($B816="",0,COUNTIFS('①在庫を貼る'!$V$6:$V$10005,'設定'!$C$4,'①在庫を貼る'!$W$6:$W$10005,$B816))</f>
        <v/>
      </c>
    </row>
    <row r="817" ht="18" customHeight="1">
      <c r="B817" s="76" t="n"/>
      <c r="C817" s="77" t="n"/>
      <c r="D817" s="77" t="n"/>
      <c r="E817" s="77" t="n"/>
      <c r="F817" s="78" t="n"/>
      <c r="G817" s="79" t="n"/>
      <c r="H817" s="69" t="n"/>
      <c r="I817" s="44">
        <f>IF(OR($B817="",$H817=""),"",$H817*MAX(1,N($F817)))</f>
        <v/>
      </c>
      <c r="J817" s="80" t="n"/>
      <c r="K817" s="77" t="n"/>
      <c r="L817" s="54">
        <f>IF($B817="",0,IF(COUNTIFS('①在庫を貼る'!$V$6:$V$10005,'設定'!$C$4,'①在庫を貼る'!$W$6:$W$10005,$B817)+COUNTIFS('月1回_1ヶ月前の在庫'!$V$6:$V$10005,'設定'!$C$4,'月1回_1ヶ月前の在庫'!$W$6:$W$10005,$B817)+COUNTIFS('月1回_2ヶ月前の在庫'!$V$6:$V$10005,'設定'!$C$4,'月1回_2ヶ月前の在庫'!$W$6:$W$10005,$B817)&gt;0,1,0))</f>
        <v/>
      </c>
      <c r="M817" s="54">
        <f>N(M816)+$L817</f>
        <v/>
      </c>
      <c r="N817" s="54">
        <f>IF($B817="",0,COUNTIFS('①在庫を貼る'!$V$6:$V$10005,'設定'!$C$4,'①在庫を貼る'!$W$6:$W$10005,$B817))</f>
        <v/>
      </c>
    </row>
    <row r="818" ht="18" customHeight="1">
      <c r="B818" s="76" t="n"/>
      <c r="C818" s="77" t="n"/>
      <c r="D818" s="77" t="n"/>
      <c r="E818" s="77" t="n"/>
      <c r="F818" s="78" t="n"/>
      <c r="G818" s="79" t="n"/>
      <c r="H818" s="69" t="n"/>
      <c r="I818" s="44">
        <f>IF(OR($B818="",$H818=""),"",$H818*MAX(1,N($F818)))</f>
        <v/>
      </c>
      <c r="J818" s="80" t="n"/>
      <c r="K818" s="77" t="n"/>
      <c r="L818" s="54">
        <f>IF($B818="",0,IF(COUNTIFS('①在庫を貼る'!$V$6:$V$10005,'設定'!$C$4,'①在庫を貼る'!$W$6:$W$10005,$B818)+COUNTIFS('月1回_1ヶ月前の在庫'!$V$6:$V$10005,'設定'!$C$4,'月1回_1ヶ月前の在庫'!$W$6:$W$10005,$B818)+COUNTIFS('月1回_2ヶ月前の在庫'!$V$6:$V$10005,'設定'!$C$4,'月1回_2ヶ月前の在庫'!$W$6:$W$10005,$B818)&gt;0,1,0))</f>
        <v/>
      </c>
      <c r="M818" s="54">
        <f>N(M817)+$L818</f>
        <v/>
      </c>
      <c r="N818" s="54">
        <f>IF($B818="",0,COUNTIFS('①在庫を貼る'!$V$6:$V$10005,'設定'!$C$4,'①在庫を貼る'!$W$6:$W$10005,$B818))</f>
        <v/>
      </c>
    </row>
    <row r="819" ht="18" customHeight="1">
      <c r="B819" s="76" t="n"/>
      <c r="C819" s="77" t="n"/>
      <c r="D819" s="77" t="n"/>
      <c r="E819" s="77" t="n"/>
      <c r="F819" s="78" t="n"/>
      <c r="G819" s="79" t="n"/>
      <c r="H819" s="69" t="n"/>
      <c r="I819" s="44">
        <f>IF(OR($B819="",$H819=""),"",$H819*MAX(1,N($F819)))</f>
        <v/>
      </c>
      <c r="J819" s="80" t="n"/>
      <c r="K819" s="77" t="n"/>
      <c r="L819" s="54">
        <f>IF($B819="",0,IF(COUNTIFS('①在庫を貼る'!$V$6:$V$10005,'設定'!$C$4,'①在庫を貼る'!$W$6:$W$10005,$B819)+COUNTIFS('月1回_1ヶ月前の在庫'!$V$6:$V$10005,'設定'!$C$4,'月1回_1ヶ月前の在庫'!$W$6:$W$10005,$B819)+COUNTIFS('月1回_2ヶ月前の在庫'!$V$6:$V$10005,'設定'!$C$4,'月1回_2ヶ月前の在庫'!$W$6:$W$10005,$B819)&gt;0,1,0))</f>
        <v/>
      </c>
      <c r="M819" s="54">
        <f>N(M818)+$L819</f>
        <v/>
      </c>
      <c r="N819" s="54">
        <f>IF($B819="",0,COUNTIFS('①在庫を貼る'!$V$6:$V$10005,'設定'!$C$4,'①在庫を貼る'!$W$6:$W$10005,$B819))</f>
        <v/>
      </c>
    </row>
    <row r="820" ht="18" customHeight="1">
      <c r="B820" s="76" t="n"/>
      <c r="C820" s="77" t="n"/>
      <c r="D820" s="77" t="n"/>
      <c r="E820" s="77" t="n"/>
      <c r="F820" s="78" t="n"/>
      <c r="G820" s="79" t="n"/>
      <c r="H820" s="69" t="n"/>
      <c r="I820" s="44">
        <f>IF(OR($B820="",$H820=""),"",$H820*MAX(1,N($F820)))</f>
        <v/>
      </c>
      <c r="J820" s="80" t="n"/>
      <c r="K820" s="77" t="n"/>
      <c r="L820" s="54">
        <f>IF($B820="",0,IF(COUNTIFS('①在庫を貼る'!$V$6:$V$10005,'設定'!$C$4,'①在庫を貼る'!$W$6:$W$10005,$B820)+COUNTIFS('月1回_1ヶ月前の在庫'!$V$6:$V$10005,'設定'!$C$4,'月1回_1ヶ月前の在庫'!$W$6:$W$10005,$B820)+COUNTIFS('月1回_2ヶ月前の在庫'!$V$6:$V$10005,'設定'!$C$4,'月1回_2ヶ月前の在庫'!$W$6:$W$10005,$B820)&gt;0,1,0))</f>
        <v/>
      </c>
      <c r="M820" s="54">
        <f>N(M819)+$L820</f>
        <v/>
      </c>
      <c r="N820" s="54">
        <f>IF($B820="",0,COUNTIFS('①在庫を貼る'!$V$6:$V$10005,'設定'!$C$4,'①在庫を貼る'!$W$6:$W$10005,$B820))</f>
        <v/>
      </c>
    </row>
    <row r="821" ht="18" customHeight="1">
      <c r="B821" s="76" t="n"/>
      <c r="C821" s="77" t="n"/>
      <c r="D821" s="77" t="n"/>
      <c r="E821" s="77" t="n"/>
      <c r="F821" s="78" t="n"/>
      <c r="G821" s="79" t="n"/>
      <c r="H821" s="69" t="n"/>
      <c r="I821" s="44">
        <f>IF(OR($B821="",$H821=""),"",$H821*MAX(1,N($F821)))</f>
        <v/>
      </c>
      <c r="J821" s="80" t="n"/>
      <c r="K821" s="77" t="n"/>
      <c r="L821" s="54">
        <f>IF($B821="",0,IF(COUNTIFS('①在庫を貼る'!$V$6:$V$10005,'設定'!$C$4,'①在庫を貼る'!$W$6:$W$10005,$B821)+COUNTIFS('月1回_1ヶ月前の在庫'!$V$6:$V$10005,'設定'!$C$4,'月1回_1ヶ月前の在庫'!$W$6:$W$10005,$B821)+COUNTIFS('月1回_2ヶ月前の在庫'!$V$6:$V$10005,'設定'!$C$4,'月1回_2ヶ月前の在庫'!$W$6:$W$10005,$B821)&gt;0,1,0))</f>
        <v/>
      </c>
      <c r="M821" s="54">
        <f>N(M820)+$L821</f>
        <v/>
      </c>
      <c r="N821" s="54">
        <f>IF($B821="",0,COUNTIFS('①在庫を貼る'!$V$6:$V$10005,'設定'!$C$4,'①在庫を貼る'!$W$6:$W$10005,$B821))</f>
        <v/>
      </c>
    </row>
    <row r="822" ht="18" customHeight="1">
      <c r="B822" s="76" t="n"/>
      <c r="C822" s="77" t="n"/>
      <c r="D822" s="77" t="n"/>
      <c r="E822" s="77" t="n"/>
      <c r="F822" s="78" t="n"/>
      <c r="G822" s="79" t="n"/>
      <c r="H822" s="69" t="n"/>
      <c r="I822" s="44">
        <f>IF(OR($B822="",$H822=""),"",$H822*MAX(1,N($F822)))</f>
        <v/>
      </c>
      <c r="J822" s="80" t="n"/>
      <c r="K822" s="77" t="n"/>
      <c r="L822" s="54">
        <f>IF($B822="",0,IF(COUNTIFS('①在庫を貼る'!$V$6:$V$10005,'設定'!$C$4,'①在庫を貼る'!$W$6:$W$10005,$B822)+COUNTIFS('月1回_1ヶ月前の在庫'!$V$6:$V$10005,'設定'!$C$4,'月1回_1ヶ月前の在庫'!$W$6:$W$10005,$B822)+COUNTIFS('月1回_2ヶ月前の在庫'!$V$6:$V$10005,'設定'!$C$4,'月1回_2ヶ月前の在庫'!$W$6:$W$10005,$B822)&gt;0,1,0))</f>
        <v/>
      </c>
      <c r="M822" s="54">
        <f>N(M821)+$L822</f>
        <v/>
      </c>
      <c r="N822" s="54">
        <f>IF($B822="",0,COUNTIFS('①在庫を貼る'!$V$6:$V$10005,'設定'!$C$4,'①在庫を貼る'!$W$6:$W$10005,$B822))</f>
        <v/>
      </c>
    </row>
    <row r="823" ht="18" customHeight="1">
      <c r="B823" s="76" t="n"/>
      <c r="C823" s="77" t="n"/>
      <c r="D823" s="77" t="n"/>
      <c r="E823" s="77" t="n"/>
      <c r="F823" s="78" t="n"/>
      <c r="G823" s="79" t="n"/>
      <c r="H823" s="69" t="n"/>
      <c r="I823" s="44">
        <f>IF(OR($B823="",$H823=""),"",$H823*MAX(1,N($F823)))</f>
        <v/>
      </c>
      <c r="J823" s="80" t="n"/>
      <c r="K823" s="77" t="n"/>
      <c r="L823" s="54">
        <f>IF($B823="",0,IF(COUNTIFS('①在庫を貼る'!$V$6:$V$10005,'設定'!$C$4,'①在庫を貼る'!$W$6:$W$10005,$B823)+COUNTIFS('月1回_1ヶ月前の在庫'!$V$6:$V$10005,'設定'!$C$4,'月1回_1ヶ月前の在庫'!$W$6:$W$10005,$B823)+COUNTIFS('月1回_2ヶ月前の在庫'!$V$6:$V$10005,'設定'!$C$4,'月1回_2ヶ月前の在庫'!$W$6:$W$10005,$B823)&gt;0,1,0))</f>
        <v/>
      </c>
      <c r="M823" s="54">
        <f>N(M822)+$L823</f>
        <v/>
      </c>
      <c r="N823" s="54">
        <f>IF($B823="",0,COUNTIFS('①在庫を貼る'!$V$6:$V$10005,'設定'!$C$4,'①在庫を貼る'!$W$6:$W$10005,$B823))</f>
        <v/>
      </c>
    </row>
    <row r="824" ht="18" customHeight="1">
      <c r="B824" s="76" t="n"/>
      <c r="C824" s="77" t="n"/>
      <c r="D824" s="77" t="n"/>
      <c r="E824" s="77" t="n"/>
      <c r="F824" s="78" t="n"/>
      <c r="G824" s="79" t="n"/>
      <c r="H824" s="69" t="n"/>
      <c r="I824" s="44">
        <f>IF(OR($B824="",$H824=""),"",$H824*MAX(1,N($F824)))</f>
        <v/>
      </c>
      <c r="J824" s="80" t="n"/>
      <c r="K824" s="77" t="n"/>
      <c r="L824" s="54">
        <f>IF($B824="",0,IF(COUNTIFS('①在庫を貼る'!$V$6:$V$10005,'設定'!$C$4,'①在庫を貼る'!$W$6:$W$10005,$B824)+COUNTIFS('月1回_1ヶ月前の在庫'!$V$6:$V$10005,'設定'!$C$4,'月1回_1ヶ月前の在庫'!$W$6:$W$10005,$B824)+COUNTIFS('月1回_2ヶ月前の在庫'!$V$6:$V$10005,'設定'!$C$4,'月1回_2ヶ月前の在庫'!$W$6:$W$10005,$B824)&gt;0,1,0))</f>
        <v/>
      </c>
      <c r="M824" s="54">
        <f>N(M823)+$L824</f>
        <v/>
      </c>
      <c r="N824" s="54">
        <f>IF($B824="",0,COUNTIFS('①在庫を貼る'!$V$6:$V$10005,'設定'!$C$4,'①在庫を貼る'!$W$6:$W$10005,$B824))</f>
        <v/>
      </c>
    </row>
    <row r="825" ht="18" customHeight="1">
      <c r="B825" s="76" t="n"/>
      <c r="C825" s="77" t="n"/>
      <c r="D825" s="77" t="n"/>
      <c r="E825" s="77" t="n"/>
      <c r="F825" s="78" t="n"/>
      <c r="G825" s="79" t="n"/>
      <c r="H825" s="69" t="n"/>
      <c r="I825" s="44">
        <f>IF(OR($B825="",$H825=""),"",$H825*MAX(1,N($F825)))</f>
        <v/>
      </c>
      <c r="J825" s="80" t="n"/>
      <c r="K825" s="77" t="n"/>
      <c r="L825" s="54">
        <f>IF($B825="",0,IF(COUNTIFS('①在庫を貼る'!$V$6:$V$10005,'設定'!$C$4,'①在庫を貼る'!$W$6:$W$10005,$B825)+COUNTIFS('月1回_1ヶ月前の在庫'!$V$6:$V$10005,'設定'!$C$4,'月1回_1ヶ月前の在庫'!$W$6:$W$10005,$B825)+COUNTIFS('月1回_2ヶ月前の在庫'!$V$6:$V$10005,'設定'!$C$4,'月1回_2ヶ月前の在庫'!$W$6:$W$10005,$B825)&gt;0,1,0))</f>
        <v/>
      </c>
      <c r="M825" s="54">
        <f>N(M824)+$L825</f>
        <v/>
      </c>
      <c r="N825" s="54">
        <f>IF($B825="",0,COUNTIFS('①在庫を貼る'!$V$6:$V$10005,'設定'!$C$4,'①在庫を貼る'!$W$6:$W$10005,$B825))</f>
        <v/>
      </c>
    </row>
    <row r="826" ht="18" customHeight="1">
      <c r="B826" s="76" t="n"/>
      <c r="C826" s="77" t="n"/>
      <c r="D826" s="77" t="n"/>
      <c r="E826" s="77" t="n"/>
      <c r="F826" s="78" t="n"/>
      <c r="G826" s="79" t="n"/>
      <c r="H826" s="69" t="n"/>
      <c r="I826" s="44">
        <f>IF(OR($B826="",$H826=""),"",$H826*MAX(1,N($F826)))</f>
        <v/>
      </c>
      <c r="J826" s="80" t="n"/>
      <c r="K826" s="77" t="n"/>
      <c r="L826" s="54">
        <f>IF($B826="",0,IF(COUNTIFS('①在庫を貼る'!$V$6:$V$10005,'設定'!$C$4,'①在庫を貼る'!$W$6:$W$10005,$B826)+COUNTIFS('月1回_1ヶ月前の在庫'!$V$6:$V$10005,'設定'!$C$4,'月1回_1ヶ月前の在庫'!$W$6:$W$10005,$B826)+COUNTIFS('月1回_2ヶ月前の在庫'!$V$6:$V$10005,'設定'!$C$4,'月1回_2ヶ月前の在庫'!$W$6:$W$10005,$B826)&gt;0,1,0))</f>
        <v/>
      </c>
      <c r="M826" s="54">
        <f>N(M825)+$L826</f>
        <v/>
      </c>
      <c r="N826" s="54">
        <f>IF($B826="",0,COUNTIFS('①在庫を貼る'!$V$6:$V$10005,'設定'!$C$4,'①在庫を貼る'!$W$6:$W$10005,$B826))</f>
        <v/>
      </c>
    </row>
    <row r="827" ht="18" customHeight="1">
      <c r="B827" s="76" t="n"/>
      <c r="C827" s="77" t="n"/>
      <c r="D827" s="77" t="n"/>
      <c r="E827" s="77" t="n"/>
      <c r="F827" s="78" t="n"/>
      <c r="G827" s="79" t="n"/>
      <c r="H827" s="69" t="n"/>
      <c r="I827" s="44">
        <f>IF(OR($B827="",$H827=""),"",$H827*MAX(1,N($F827)))</f>
        <v/>
      </c>
      <c r="J827" s="80" t="n"/>
      <c r="K827" s="77" t="n"/>
      <c r="L827" s="54">
        <f>IF($B827="",0,IF(COUNTIFS('①在庫を貼る'!$V$6:$V$10005,'設定'!$C$4,'①在庫を貼る'!$W$6:$W$10005,$B827)+COUNTIFS('月1回_1ヶ月前の在庫'!$V$6:$V$10005,'設定'!$C$4,'月1回_1ヶ月前の在庫'!$W$6:$W$10005,$B827)+COUNTIFS('月1回_2ヶ月前の在庫'!$V$6:$V$10005,'設定'!$C$4,'月1回_2ヶ月前の在庫'!$W$6:$W$10005,$B827)&gt;0,1,0))</f>
        <v/>
      </c>
      <c r="M827" s="54">
        <f>N(M826)+$L827</f>
        <v/>
      </c>
      <c r="N827" s="54">
        <f>IF($B827="",0,COUNTIFS('①在庫を貼る'!$V$6:$V$10005,'設定'!$C$4,'①在庫を貼る'!$W$6:$W$10005,$B827))</f>
        <v/>
      </c>
    </row>
    <row r="828" ht="18" customHeight="1">
      <c r="B828" s="76" t="n"/>
      <c r="C828" s="77" t="n"/>
      <c r="D828" s="77" t="n"/>
      <c r="E828" s="77" t="n"/>
      <c r="F828" s="78" t="n"/>
      <c r="G828" s="79" t="n"/>
      <c r="H828" s="69" t="n"/>
      <c r="I828" s="44">
        <f>IF(OR($B828="",$H828=""),"",$H828*MAX(1,N($F828)))</f>
        <v/>
      </c>
      <c r="J828" s="80" t="n"/>
      <c r="K828" s="77" t="n"/>
      <c r="L828" s="54">
        <f>IF($B828="",0,IF(COUNTIFS('①在庫を貼る'!$V$6:$V$10005,'設定'!$C$4,'①在庫を貼る'!$W$6:$W$10005,$B828)+COUNTIFS('月1回_1ヶ月前の在庫'!$V$6:$V$10005,'設定'!$C$4,'月1回_1ヶ月前の在庫'!$W$6:$W$10005,$B828)+COUNTIFS('月1回_2ヶ月前の在庫'!$V$6:$V$10005,'設定'!$C$4,'月1回_2ヶ月前の在庫'!$W$6:$W$10005,$B828)&gt;0,1,0))</f>
        <v/>
      </c>
      <c r="M828" s="54">
        <f>N(M827)+$L828</f>
        <v/>
      </c>
      <c r="N828" s="54">
        <f>IF($B828="",0,COUNTIFS('①在庫を貼る'!$V$6:$V$10005,'設定'!$C$4,'①在庫を貼る'!$W$6:$W$10005,$B828))</f>
        <v/>
      </c>
    </row>
    <row r="829" ht="18" customHeight="1">
      <c r="B829" s="76" t="n"/>
      <c r="C829" s="77" t="n"/>
      <c r="D829" s="77" t="n"/>
      <c r="E829" s="77" t="n"/>
      <c r="F829" s="78" t="n"/>
      <c r="G829" s="79" t="n"/>
      <c r="H829" s="69" t="n"/>
      <c r="I829" s="44">
        <f>IF(OR($B829="",$H829=""),"",$H829*MAX(1,N($F829)))</f>
        <v/>
      </c>
      <c r="J829" s="80" t="n"/>
      <c r="K829" s="77" t="n"/>
      <c r="L829" s="54">
        <f>IF($B829="",0,IF(COUNTIFS('①在庫を貼る'!$V$6:$V$10005,'設定'!$C$4,'①在庫を貼る'!$W$6:$W$10005,$B829)+COUNTIFS('月1回_1ヶ月前の在庫'!$V$6:$V$10005,'設定'!$C$4,'月1回_1ヶ月前の在庫'!$W$6:$W$10005,$B829)+COUNTIFS('月1回_2ヶ月前の在庫'!$V$6:$V$10005,'設定'!$C$4,'月1回_2ヶ月前の在庫'!$W$6:$W$10005,$B829)&gt;0,1,0))</f>
        <v/>
      </c>
      <c r="M829" s="54">
        <f>N(M828)+$L829</f>
        <v/>
      </c>
      <c r="N829" s="54">
        <f>IF($B829="",0,COUNTIFS('①在庫を貼る'!$V$6:$V$10005,'設定'!$C$4,'①在庫を貼る'!$W$6:$W$10005,$B829))</f>
        <v/>
      </c>
    </row>
    <row r="830" ht="18" customHeight="1">
      <c r="B830" s="76" t="n"/>
      <c r="C830" s="77" t="n"/>
      <c r="D830" s="77" t="n"/>
      <c r="E830" s="77" t="n"/>
      <c r="F830" s="78" t="n"/>
      <c r="G830" s="79" t="n"/>
      <c r="H830" s="69" t="n"/>
      <c r="I830" s="44">
        <f>IF(OR($B830="",$H830=""),"",$H830*MAX(1,N($F830)))</f>
        <v/>
      </c>
      <c r="J830" s="80" t="n"/>
      <c r="K830" s="77" t="n"/>
      <c r="L830" s="54">
        <f>IF($B830="",0,IF(COUNTIFS('①在庫を貼る'!$V$6:$V$10005,'設定'!$C$4,'①在庫を貼る'!$W$6:$W$10005,$B830)+COUNTIFS('月1回_1ヶ月前の在庫'!$V$6:$V$10005,'設定'!$C$4,'月1回_1ヶ月前の在庫'!$W$6:$W$10005,$B830)+COUNTIFS('月1回_2ヶ月前の在庫'!$V$6:$V$10005,'設定'!$C$4,'月1回_2ヶ月前の在庫'!$W$6:$W$10005,$B830)&gt;0,1,0))</f>
        <v/>
      </c>
      <c r="M830" s="54">
        <f>N(M829)+$L830</f>
        <v/>
      </c>
      <c r="N830" s="54">
        <f>IF($B830="",0,COUNTIFS('①在庫を貼る'!$V$6:$V$10005,'設定'!$C$4,'①在庫を貼る'!$W$6:$W$10005,$B830))</f>
        <v/>
      </c>
    </row>
    <row r="831" ht="18" customHeight="1">
      <c r="B831" s="76" t="n"/>
      <c r="C831" s="77" t="n"/>
      <c r="D831" s="77" t="n"/>
      <c r="E831" s="77" t="n"/>
      <c r="F831" s="78" t="n"/>
      <c r="G831" s="79" t="n"/>
      <c r="H831" s="69" t="n"/>
      <c r="I831" s="44">
        <f>IF(OR($B831="",$H831=""),"",$H831*MAX(1,N($F831)))</f>
        <v/>
      </c>
      <c r="J831" s="80" t="n"/>
      <c r="K831" s="77" t="n"/>
      <c r="L831" s="54">
        <f>IF($B831="",0,IF(COUNTIFS('①在庫を貼る'!$V$6:$V$10005,'設定'!$C$4,'①在庫を貼る'!$W$6:$W$10005,$B831)+COUNTIFS('月1回_1ヶ月前の在庫'!$V$6:$V$10005,'設定'!$C$4,'月1回_1ヶ月前の在庫'!$W$6:$W$10005,$B831)+COUNTIFS('月1回_2ヶ月前の在庫'!$V$6:$V$10005,'設定'!$C$4,'月1回_2ヶ月前の在庫'!$W$6:$W$10005,$B831)&gt;0,1,0))</f>
        <v/>
      </c>
      <c r="M831" s="54">
        <f>N(M830)+$L831</f>
        <v/>
      </c>
      <c r="N831" s="54">
        <f>IF($B831="",0,COUNTIFS('①在庫を貼る'!$V$6:$V$10005,'設定'!$C$4,'①在庫を貼る'!$W$6:$W$10005,$B831))</f>
        <v/>
      </c>
    </row>
    <row r="832" ht="18" customHeight="1">
      <c r="B832" s="76" t="n"/>
      <c r="C832" s="77" t="n"/>
      <c r="D832" s="77" t="n"/>
      <c r="E832" s="77" t="n"/>
      <c r="F832" s="78" t="n"/>
      <c r="G832" s="79" t="n"/>
      <c r="H832" s="69" t="n"/>
      <c r="I832" s="44">
        <f>IF(OR($B832="",$H832=""),"",$H832*MAX(1,N($F832)))</f>
        <v/>
      </c>
      <c r="J832" s="80" t="n"/>
      <c r="K832" s="77" t="n"/>
      <c r="L832" s="54">
        <f>IF($B832="",0,IF(COUNTIFS('①在庫を貼る'!$V$6:$V$10005,'設定'!$C$4,'①在庫を貼る'!$W$6:$W$10005,$B832)+COUNTIFS('月1回_1ヶ月前の在庫'!$V$6:$V$10005,'設定'!$C$4,'月1回_1ヶ月前の在庫'!$W$6:$W$10005,$B832)+COUNTIFS('月1回_2ヶ月前の在庫'!$V$6:$V$10005,'設定'!$C$4,'月1回_2ヶ月前の在庫'!$W$6:$W$10005,$B832)&gt;0,1,0))</f>
        <v/>
      </c>
      <c r="M832" s="54">
        <f>N(M831)+$L832</f>
        <v/>
      </c>
      <c r="N832" s="54">
        <f>IF($B832="",0,COUNTIFS('①在庫を貼る'!$V$6:$V$10005,'設定'!$C$4,'①在庫を貼る'!$W$6:$W$10005,$B832))</f>
        <v/>
      </c>
    </row>
    <row r="833" ht="18" customHeight="1">
      <c r="B833" s="76" t="n"/>
      <c r="C833" s="77" t="n"/>
      <c r="D833" s="77" t="n"/>
      <c r="E833" s="77" t="n"/>
      <c r="F833" s="78" t="n"/>
      <c r="G833" s="79" t="n"/>
      <c r="H833" s="69" t="n"/>
      <c r="I833" s="44">
        <f>IF(OR($B833="",$H833=""),"",$H833*MAX(1,N($F833)))</f>
        <v/>
      </c>
      <c r="J833" s="80" t="n"/>
      <c r="K833" s="77" t="n"/>
      <c r="L833" s="54">
        <f>IF($B833="",0,IF(COUNTIFS('①在庫を貼る'!$V$6:$V$10005,'設定'!$C$4,'①在庫を貼る'!$W$6:$W$10005,$B833)+COUNTIFS('月1回_1ヶ月前の在庫'!$V$6:$V$10005,'設定'!$C$4,'月1回_1ヶ月前の在庫'!$W$6:$W$10005,$B833)+COUNTIFS('月1回_2ヶ月前の在庫'!$V$6:$V$10005,'設定'!$C$4,'月1回_2ヶ月前の在庫'!$W$6:$W$10005,$B833)&gt;0,1,0))</f>
        <v/>
      </c>
      <c r="M833" s="54">
        <f>N(M832)+$L833</f>
        <v/>
      </c>
      <c r="N833" s="54">
        <f>IF($B833="",0,COUNTIFS('①在庫を貼る'!$V$6:$V$10005,'設定'!$C$4,'①在庫を貼る'!$W$6:$W$10005,$B833))</f>
        <v/>
      </c>
    </row>
    <row r="834" ht="18" customHeight="1">
      <c r="B834" s="76" t="n"/>
      <c r="C834" s="77" t="n"/>
      <c r="D834" s="77" t="n"/>
      <c r="E834" s="77" t="n"/>
      <c r="F834" s="78" t="n"/>
      <c r="G834" s="79" t="n"/>
      <c r="H834" s="69" t="n"/>
      <c r="I834" s="44">
        <f>IF(OR($B834="",$H834=""),"",$H834*MAX(1,N($F834)))</f>
        <v/>
      </c>
      <c r="J834" s="80" t="n"/>
      <c r="K834" s="77" t="n"/>
      <c r="L834" s="54">
        <f>IF($B834="",0,IF(COUNTIFS('①在庫を貼る'!$V$6:$V$10005,'設定'!$C$4,'①在庫を貼る'!$W$6:$W$10005,$B834)+COUNTIFS('月1回_1ヶ月前の在庫'!$V$6:$V$10005,'設定'!$C$4,'月1回_1ヶ月前の在庫'!$W$6:$W$10005,$B834)+COUNTIFS('月1回_2ヶ月前の在庫'!$V$6:$V$10005,'設定'!$C$4,'月1回_2ヶ月前の在庫'!$W$6:$W$10005,$B834)&gt;0,1,0))</f>
        <v/>
      </c>
      <c r="M834" s="54">
        <f>N(M833)+$L834</f>
        <v/>
      </c>
      <c r="N834" s="54">
        <f>IF($B834="",0,COUNTIFS('①在庫を貼る'!$V$6:$V$10005,'設定'!$C$4,'①在庫を貼る'!$W$6:$W$10005,$B834))</f>
        <v/>
      </c>
    </row>
    <row r="835" ht="18" customHeight="1">
      <c r="B835" s="76" t="n"/>
      <c r="C835" s="77" t="n"/>
      <c r="D835" s="77" t="n"/>
      <c r="E835" s="77" t="n"/>
      <c r="F835" s="78" t="n"/>
      <c r="G835" s="79" t="n"/>
      <c r="H835" s="69" t="n"/>
      <c r="I835" s="44">
        <f>IF(OR($B835="",$H835=""),"",$H835*MAX(1,N($F835)))</f>
        <v/>
      </c>
      <c r="J835" s="80" t="n"/>
      <c r="K835" s="77" t="n"/>
      <c r="L835" s="54">
        <f>IF($B835="",0,IF(COUNTIFS('①在庫を貼る'!$V$6:$V$10005,'設定'!$C$4,'①在庫を貼る'!$W$6:$W$10005,$B835)+COUNTIFS('月1回_1ヶ月前の在庫'!$V$6:$V$10005,'設定'!$C$4,'月1回_1ヶ月前の在庫'!$W$6:$W$10005,$B835)+COUNTIFS('月1回_2ヶ月前の在庫'!$V$6:$V$10005,'設定'!$C$4,'月1回_2ヶ月前の在庫'!$W$6:$W$10005,$B835)&gt;0,1,0))</f>
        <v/>
      </c>
      <c r="M835" s="54">
        <f>N(M834)+$L835</f>
        <v/>
      </c>
      <c r="N835" s="54">
        <f>IF($B835="",0,COUNTIFS('①在庫を貼る'!$V$6:$V$10005,'設定'!$C$4,'①在庫を貼る'!$W$6:$W$10005,$B835))</f>
        <v/>
      </c>
    </row>
    <row r="836" ht="18" customHeight="1">
      <c r="B836" s="76" t="n"/>
      <c r="C836" s="77" t="n"/>
      <c r="D836" s="77" t="n"/>
      <c r="E836" s="77" t="n"/>
      <c r="F836" s="78" t="n"/>
      <c r="G836" s="79" t="n"/>
      <c r="H836" s="69" t="n"/>
      <c r="I836" s="44">
        <f>IF(OR($B836="",$H836=""),"",$H836*MAX(1,N($F836)))</f>
        <v/>
      </c>
      <c r="J836" s="80" t="n"/>
      <c r="K836" s="77" t="n"/>
      <c r="L836" s="54">
        <f>IF($B836="",0,IF(COUNTIFS('①在庫を貼る'!$V$6:$V$10005,'設定'!$C$4,'①在庫を貼る'!$W$6:$W$10005,$B836)+COUNTIFS('月1回_1ヶ月前の在庫'!$V$6:$V$10005,'設定'!$C$4,'月1回_1ヶ月前の在庫'!$W$6:$W$10005,$B836)+COUNTIFS('月1回_2ヶ月前の在庫'!$V$6:$V$10005,'設定'!$C$4,'月1回_2ヶ月前の在庫'!$W$6:$W$10005,$B836)&gt;0,1,0))</f>
        <v/>
      </c>
      <c r="M836" s="54">
        <f>N(M835)+$L836</f>
        <v/>
      </c>
      <c r="N836" s="54">
        <f>IF($B836="",0,COUNTIFS('①在庫を貼る'!$V$6:$V$10005,'設定'!$C$4,'①在庫を貼る'!$W$6:$W$10005,$B836))</f>
        <v/>
      </c>
    </row>
    <row r="837" ht="18" customHeight="1">
      <c r="B837" s="76" t="n"/>
      <c r="C837" s="77" t="n"/>
      <c r="D837" s="77" t="n"/>
      <c r="E837" s="77" t="n"/>
      <c r="F837" s="78" t="n"/>
      <c r="G837" s="79" t="n"/>
      <c r="H837" s="69" t="n"/>
      <c r="I837" s="44">
        <f>IF(OR($B837="",$H837=""),"",$H837*MAX(1,N($F837)))</f>
        <v/>
      </c>
      <c r="J837" s="80" t="n"/>
      <c r="K837" s="77" t="n"/>
      <c r="L837" s="54">
        <f>IF($B837="",0,IF(COUNTIFS('①在庫を貼る'!$V$6:$V$10005,'設定'!$C$4,'①在庫を貼る'!$W$6:$W$10005,$B837)+COUNTIFS('月1回_1ヶ月前の在庫'!$V$6:$V$10005,'設定'!$C$4,'月1回_1ヶ月前の在庫'!$W$6:$W$10005,$B837)+COUNTIFS('月1回_2ヶ月前の在庫'!$V$6:$V$10005,'設定'!$C$4,'月1回_2ヶ月前の在庫'!$W$6:$W$10005,$B837)&gt;0,1,0))</f>
        <v/>
      </c>
      <c r="M837" s="54">
        <f>N(M836)+$L837</f>
        <v/>
      </c>
      <c r="N837" s="54">
        <f>IF($B837="",0,COUNTIFS('①在庫を貼る'!$V$6:$V$10005,'設定'!$C$4,'①在庫を貼る'!$W$6:$W$10005,$B837))</f>
        <v/>
      </c>
    </row>
    <row r="838" ht="18" customHeight="1">
      <c r="B838" s="76" t="n"/>
      <c r="C838" s="77" t="n"/>
      <c r="D838" s="77" t="n"/>
      <c r="E838" s="77" t="n"/>
      <c r="F838" s="78" t="n"/>
      <c r="G838" s="79" t="n"/>
      <c r="H838" s="69" t="n"/>
      <c r="I838" s="44">
        <f>IF(OR($B838="",$H838=""),"",$H838*MAX(1,N($F838)))</f>
        <v/>
      </c>
      <c r="J838" s="80" t="n"/>
      <c r="K838" s="77" t="n"/>
      <c r="L838" s="54">
        <f>IF($B838="",0,IF(COUNTIFS('①在庫を貼る'!$V$6:$V$10005,'設定'!$C$4,'①在庫を貼る'!$W$6:$W$10005,$B838)+COUNTIFS('月1回_1ヶ月前の在庫'!$V$6:$V$10005,'設定'!$C$4,'月1回_1ヶ月前の在庫'!$W$6:$W$10005,$B838)+COUNTIFS('月1回_2ヶ月前の在庫'!$V$6:$V$10005,'設定'!$C$4,'月1回_2ヶ月前の在庫'!$W$6:$W$10005,$B838)&gt;0,1,0))</f>
        <v/>
      </c>
      <c r="M838" s="54">
        <f>N(M837)+$L838</f>
        <v/>
      </c>
      <c r="N838" s="54">
        <f>IF($B838="",0,COUNTIFS('①在庫を貼る'!$V$6:$V$10005,'設定'!$C$4,'①在庫を貼る'!$W$6:$W$10005,$B838))</f>
        <v/>
      </c>
    </row>
    <row r="839" ht="18" customHeight="1">
      <c r="B839" s="76" t="n"/>
      <c r="C839" s="77" t="n"/>
      <c r="D839" s="77" t="n"/>
      <c r="E839" s="77" t="n"/>
      <c r="F839" s="78" t="n"/>
      <c r="G839" s="79" t="n"/>
      <c r="H839" s="69" t="n"/>
      <c r="I839" s="44">
        <f>IF(OR($B839="",$H839=""),"",$H839*MAX(1,N($F839)))</f>
        <v/>
      </c>
      <c r="J839" s="80" t="n"/>
      <c r="K839" s="77" t="n"/>
      <c r="L839" s="54">
        <f>IF($B839="",0,IF(COUNTIFS('①在庫を貼る'!$V$6:$V$10005,'設定'!$C$4,'①在庫を貼る'!$W$6:$W$10005,$B839)+COUNTIFS('月1回_1ヶ月前の在庫'!$V$6:$V$10005,'設定'!$C$4,'月1回_1ヶ月前の在庫'!$W$6:$W$10005,$B839)+COUNTIFS('月1回_2ヶ月前の在庫'!$V$6:$V$10005,'設定'!$C$4,'月1回_2ヶ月前の在庫'!$W$6:$W$10005,$B839)&gt;0,1,0))</f>
        <v/>
      </c>
      <c r="M839" s="54">
        <f>N(M838)+$L839</f>
        <v/>
      </c>
      <c r="N839" s="54">
        <f>IF($B839="",0,COUNTIFS('①在庫を貼る'!$V$6:$V$10005,'設定'!$C$4,'①在庫を貼る'!$W$6:$W$10005,$B839))</f>
        <v/>
      </c>
    </row>
    <row r="840" ht="18" customHeight="1">
      <c r="B840" s="76" t="n"/>
      <c r="C840" s="77" t="n"/>
      <c r="D840" s="77" t="n"/>
      <c r="E840" s="77" t="n"/>
      <c r="F840" s="78" t="n"/>
      <c r="G840" s="79" t="n"/>
      <c r="H840" s="69" t="n"/>
      <c r="I840" s="44">
        <f>IF(OR($B840="",$H840=""),"",$H840*MAX(1,N($F840)))</f>
        <v/>
      </c>
      <c r="J840" s="80" t="n"/>
      <c r="K840" s="77" t="n"/>
      <c r="L840" s="54">
        <f>IF($B840="",0,IF(COUNTIFS('①在庫を貼る'!$V$6:$V$10005,'設定'!$C$4,'①在庫を貼る'!$W$6:$W$10005,$B840)+COUNTIFS('月1回_1ヶ月前の在庫'!$V$6:$V$10005,'設定'!$C$4,'月1回_1ヶ月前の在庫'!$W$6:$W$10005,$B840)+COUNTIFS('月1回_2ヶ月前の在庫'!$V$6:$V$10005,'設定'!$C$4,'月1回_2ヶ月前の在庫'!$W$6:$W$10005,$B840)&gt;0,1,0))</f>
        <v/>
      </c>
      <c r="M840" s="54">
        <f>N(M839)+$L840</f>
        <v/>
      </c>
      <c r="N840" s="54">
        <f>IF($B840="",0,COUNTIFS('①在庫を貼る'!$V$6:$V$10005,'設定'!$C$4,'①在庫を貼る'!$W$6:$W$10005,$B840))</f>
        <v/>
      </c>
    </row>
    <row r="841" ht="18" customHeight="1">
      <c r="B841" s="76" t="n"/>
      <c r="C841" s="77" t="n"/>
      <c r="D841" s="77" t="n"/>
      <c r="E841" s="77" t="n"/>
      <c r="F841" s="78" t="n"/>
      <c r="G841" s="79" t="n"/>
      <c r="H841" s="69" t="n"/>
      <c r="I841" s="44">
        <f>IF(OR($B841="",$H841=""),"",$H841*MAX(1,N($F841)))</f>
        <v/>
      </c>
      <c r="J841" s="80" t="n"/>
      <c r="K841" s="77" t="n"/>
      <c r="L841" s="54">
        <f>IF($B841="",0,IF(COUNTIFS('①在庫を貼る'!$V$6:$V$10005,'設定'!$C$4,'①在庫を貼る'!$W$6:$W$10005,$B841)+COUNTIFS('月1回_1ヶ月前の在庫'!$V$6:$V$10005,'設定'!$C$4,'月1回_1ヶ月前の在庫'!$W$6:$W$10005,$B841)+COUNTIFS('月1回_2ヶ月前の在庫'!$V$6:$V$10005,'設定'!$C$4,'月1回_2ヶ月前の在庫'!$W$6:$W$10005,$B841)&gt;0,1,0))</f>
        <v/>
      </c>
      <c r="M841" s="54">
        <f>N(M840)+$L841</f>
        <v/>
      </c>
      <c r="N841" s="54">
        <f>IF($B841="",0,COUNTIFS('①在庫を貼る'!$V$6:$V$10005,'設定'!$C$4,'①在庫を貼る'!$W$6:$W$10005,$B841))</f>
        <v/>
      </c>
    </row>
    <row r="842" ht="18" customHeight="1">
      <c r="B842" s="76" t="n"/>
      <c r="C842" s="77" t="n"/>
      <c r="D842" s="77" t="n"/>
      <c r="E842" s="77" t="n"/>
      <c r="F842" s="78" t="n"/>
      <c r="G842" s="79" t="n"/>
      <c r="H842" s="69" t="n"/>
      <c r="I842" s="44">
        <f>IF(OR($B842="",$H842=""),"",$H842*MAX(1,N($F842)))</f>
        <v/>
      </c>
      <c r="J842" s="80" t="n"/>
      <c r="K842" s="77" t="n"/>
      <c r="L842" s="54">
        <f>IF($B842="",0,IF(COUNTIFS('①在庫を貼る'!$V$6:$V$10005,'設定'!$C$4,'①在庫を貼る'!$W$6:$W$10005,$B842)+COUNTIFS('月1回_1ヶ月前の在庫'!$V$6:$V$10005,'設定'!$C$4,'月1回_1ヶ月前の在庫'!$W$6:$W$10005,$B842)+COUNTIFS('月1回_2ヶ月前の在庫'!$V$6:$V$10005,'設定'!$C$4,'月1回_2ヶ月前の在庫'!$W$6:$W$10005,$B842)&gt;0,1,0))</f>
        <v/>
      </c>
      <c r="M842" s="54">
        <f>N(M841)+$L842</f>
        <v/>
      </c>
      <c r="N842" s="54">
        <f>IF($B842="",0,COUNTIFS('①在庫を貼る'!$V$6:$V$10005,'設定'!$C$4,'①在庫を貼る'!$W$6:$W$10005,$B842))</f>
        <v/>
      </c>
    </row>
    <row r="843" ht="18" customHeight="1">
      <c r="B843" s="76" t="n"/>
      <c r="C843" s="77" t="n"/>
      <c r="D843" s="77" t="n"/>
      <c r="E843" s="77" t="n"/>
      <c r="F843" s="78" t="n"/>
      <c r="G843" s="79" t="n"/>
      <c r="H843" s="69" t="n"/>
      <c r="I843" s="44">
        <f>IF(OR($B843="",$H843=""),"",$H843*MAX(1,N($F843)))</f>
        <v/>
      </c>
      <c r="J843" s="80" t="n"/>
      <c r="K843" s="77" t="n"/>
      <c r="L843" s="54">
        <f>IF($B843="",0,IF(COUNTIFS('①在庫を貼る'!$V$6:$V$10005,'設定'!$C$4,'①在庫を貼る'!$W$6:$W$10005,$B843)+COUNTIFS('月1回_1ヶ月前の在庫'!$V$6:$V$10005,'設定'!$C$4,'月1回_1ヶ月前の在庫'!$W$6:$W$10005,$B843)+COUNTIFS('月1回_2ヶ月前の在庫'!$V$6:$V$10005,'設定'!$C$4,'月1回_2ヶ月前の在庫'!$W$6:$W$10005,$B843)&gt;0,1,0))</f>
        <v/>
      </c>
      <c r="M843" s="54">
        <f>N(M842)+$L843</f>
        <v/>
      </c>
      <c r="N843" s="54">
        <f>IF($B843="",0,COUNTIFS('①在庫を貼る'!$V$6:$V$10005,'設定'!$C$4,'①在庫を貼る'!$W$6:$W$10005,$B843))</f>
        <v/>
      </c>
    </row>
    <row r="844" ht="18" customHeight="1">
      <c r="B844" s="76" t="n"/>
      <c r="C844" s="77" t="n"/>
      <c r="D844" s="77" t="n"/>
      <c r="E844" s="77" t="n"/>
      <c r="F844" s="78" t="n"/>
      <c r="G844" s="79" t="n"/>
      <c r="H844" s="69" t="n"/>
      <c r="I844" s="44">
        <f>IF(OR($B844="",$H844=""),"",$H844*MAX(1,N($F844)))</f>
        <v/>
      </c>
      <c r="J844" s="80" t="n"/>
      <c r="K844" s="77" t="n"/>
      <c r="L844" s="54">
        <f>IF($B844="",0,IF(COUNTIFS('①在庫を貼る'!$V$6:$V$10005,'設定'!$C$4,'①在庫を貼る'!$W$6:$W$10005,$B844)+COUNTIFS('月1回_1ヶ月前の在庫'!$V$6:$V$10005,'設定'!$C$4,'月1回_1ヶ月前の在庫'!$W$6:$W$10005,$B844)+COUNTIFS('月1回_2ヶ月前の在庫'!$V$6:$V$10005,'設定'!$C$4,'月1回_2ヶ月前の在庫'!$W$6:$W$10005,$B844)&gt;0,1,0))</f>
        <v/>
      </c>
      <c r="M844" s="54">
        <f>N(M843)+$L844</f>
        <v/>
      </c>
      <c r="N844" s="54">
        <f>IF($B844="",0,COUNTIFS('①在庫を貼る'!$V$6:$V$10005,'設定'!$C$4,'①在庫を貼る'!$W$6:$W$10005,$B844))</f>
        <v/>
      </c>
    </row>
    <row r="845" ht="18" customHeight="1">
      <c r="B845" s="76" t="n"/>
      <c r="C845" s="77" t="n"/>
      <c r="D845" s="77" t="n"/>
      <c r="E845" s="77" t="n"/>
      <c r="F845" s="78" t="n"/>
      <c r="G845" s="79" t="n"/>
      <c r="H845" s="69" t="n"/>
      <c r="I845" s="44">
        <f>IF(OR($B845="",$H845=""),"",$H845*MAX(1,N($F845)))</f>
        <v/>
      </c>
      <c r="J845" s="80" t="n"/>
      <c r="K845" s="77" t="n"/>
      <c r="L845" s="54">
        <f>IF($B845="",0,IF(COUNTIFS('①在庫を貼る'!$V$6:$V$10005,'設定'!$C$4,'①在庫を貼る'!$W$6:$W$10005,$B845)+COUNTIFS('月1回_1ヶ月前の在庫'!$V$6:$V$10005,'設定'!$C$4,'月1回_1ヶ月前の在庫'!$W$6:$W$10005,$B845)+COUNTIFS('月1回_2ヶ月前の在庫'!$V$6:$V$10005,'設定'!$C$4,'月1回_2ヶ月前の在庫'!$W$6:$W$10005,$B845)&gt;0,1,0))</f>
        <v/>
      </c>
      <c r="M845" s="54">
        <f>N(M844)+$L845</f>
        <v/>
      </c>
      <c r="N845" s="54">
        <f>IF($B845="",0,COUNTIFS('①在庫を貼る'!$V$6:$V$10005,'設定'!$C$4,'①在庫を貼る'!$W$6:$W$10005,$B845))</f>
        <v/>
      </c>
    </row>
    <row r="846" ht="18" customHeight="1">
      <c r="B846" s="76" t="n"/>
      <c r="C846" s="77" t="n"/>
      <c r="D846" s="77" t="n"/>
      <c r="E846" s="77" t="n"/>
      <c r="F846" s="78" t="n"/>
      <c r="G846" s="79" t="n"/>
      <c r="H846" s="69" t="n"/>
      <c r="I846" s="44">
        <f>IF(OR($B846="",$H846=""),"",$H846*MAX(1,N($F846)))</f>
        <v/>
      </c>
      <c r="J846" s="80" t="n"/>
      <c r="K846" s="77" t="n"/>
      <c r="L846" s="54">
        <f>IF($B846="",0,IF(COUNTIFS('①在庫を貼る'!$V$6:$V$10005,'設定'!$C$4,'①在庫を貼る'!$W$6:$W$10005,$B846)+COUNTIFS('月1回_1ヶ月前の在庫'!$V$6:$V$10005,'設定'!$C$4,'月1回_1ヶ月前の在庫'!$W$6:$W$10005,$B846)+COUNTIFS('月1回_2ヶ月前の在庫'!$V$6:$V$10005,'設定'!$C$4,'月1回_2ヶ月前の在庫'!$W$6:$W$10005,$B846)&gt;0,1,0))</f>
        <v/>
      </c>
      <c r="M846" s="54">
        <f>N(M845)+$L846</f>
        <v/>
      </c>
      <c r="N846" s="54">
        <f>IF($B846="",0,COUNTIFS('①在庫を貼る'!$V$6:$V$10005,'設定'!$C$4,'①在庫を貼る'!$W$6:$W$10005,$B846))</f>
        <v/>
      </c>
    </row>
    <row r="847" ht="18" customHeight="1">
      <c r="B847" s="76" t="n"/>
      <c r="C847" s="77" t="n"/>
      <c r="D847" s="77" t="n"/>
      <c r="E847" s="77" t="n"/>
      <c r="F847" s="78" t="n"/>
      <c r="G847" s="79" t="n"/>
      <c r="H847" s="69" t="n"/>
      <c r="I847" s="44">
        <f>IF(OR($B847="",$H847=""),"",$H847*MAX(1,N($F847)))</f>
        <v/>
      </c>
      <c r="J847" s="80" t="n"/>
      <c r="K847" s="77" t="n"/>
      <c r="L847" s="54">
        <f>IF($B847="",0,IF(COUNTIFS('①在庫を貼る'!$V$6:$V$10005,'設定'!$C$4,'①在庫を貼る'!$W$6:$W$10005,$B847)+COUNTIFS('月1回_1ヶ月前の在庫'!$V$6:$V$10005,'設定'!$C$4,'月1回_1ヶ月前の在庫'!$W$6:$W$10005,$B847)+COUNTIFS('月1回_2ヶ月前の在庫'!$V$6:$V$10005,'設定'!$C$4,'月1回_2ヶ月前の在庫'!$W$6:$W$10005,$B847)&gt;0,1,0))</f>
        <v/>
      </c>
      <c r="M847" s="54">
        <f>N(M846)+$L847</f>
        <v/>
      </c>
      <c r="N847" s="54">
        <f>IF($B847="",0,COUNTIFS('①在庫を貼る'!$V$6:$V$10005,'設定'!$C$4,'①在庫を貼る'!$W$6:$W$10005,$B847))</f>
        <v/>
      </c>
    </row>
    <row r="848" ht="18" customHeight="1">
      <c r="B848" s="76" t="n"/>
      <c r="C848" s="77" t="n"/>
      <c r="D848" s="77" t="n"/>
      <c r="E848" s="77" t="n"/>
      <c r="F848" s="78" t="n"/>
      <c r="G848" s="79" t="n"/>
      <c r="H848" s="69" t="n"/>
      <c r="I848" s="44">
        <f>IF(OR($B848="",$H848=""),"",$H848*MAX(1,N($F848)))</f>
        <v/>
      </c>
      <c r="J848" s="80" t="n"/>
      <c r="K848" s="77" t="n"/>
      <c r="L848" s="54">
        <f>IF($B848="",0,IF(COUNTIFS('①在庫を貼る'!$V$6:$V$10005,'設定'!$C$4,'①在庫を貼る'!$W$6:$W$10005,$B848)+COUNTIFS('月1回_1ヶ月前の在庫'!$V$6:$V$10005,'設定'!$C$4,'月1回_1ヶ月前の在庫'!$W$6:$W$10005,$B848)+COUNTIFS('月1回_2ヶ月前の在庫'!$V$6:$V$10005,'設定'!$C$4,'月1回_2ヶ月前の在庫'!$W$6:$W$10005,$B848)&gt;0,1,0))</f>
        <v/>
      </c>
      <c r="M848" s="54">
        <f>N(M847)+$L848</f>
        <v/>
      </c>
      <c r="N848" s="54">
        <f>IF($B848="",0,COUNTIFS('①在庫を貼る'!$V$6:$V$10005,'設定'!$C$4,'①在庫を貼る'!$W$6:$W$10005,$B848))</f>
        <v/>
      </c>
    </row>
    <row r="849" ht="18" customHeight="1">
      <c r="B849" s="76" t="n"/>
      <c r="C849" s="77" t="n"/>
      <c r="D849" s="77" t="n"/>
      <c r="E849" s="77" t="n"/>
      <c r="F849" s="78" t="n"/>
      <c r="G849" s="79" t="n"/>
      <c r="H849" s="69" t="n"/>
      <c r="I849" s="44">
        <f>IF(OR($B849="",$H849=""),"",$H849*MAX(1,N($F849)))</f>
        <v/>
      </c>
      <c r="J849" s="80" t="n"/>
      <c r="K849" s="77" t="n"/>
      <c r="L849" s="54">
        <f>IF($B849="",0,IF(COUNTIFS('①在庫を貼る'!$V$6:$V$10005,'設定'!$C$4,'①在庫を貼る'!$W$6:$W$10005,$B849)+COUNTIFS('月1回_1ヶ月前の在庫'!$V$6:$V$10005,'設定'!$C$4,'月1回_1ヶ月前の在庫'!$W$6:$W$10005,$B849)+COUNTIFS('月1回_2ヶ月前の在庫'!$V$6:$V$10005,'設定'!$C$4,'月1回_2ヶ月前の在庫'!$W$6:$W$10005,$B849)&gt;0,1,0))</f>
        <v/>
      </c>
      <c r="M849" s="54">
        <f>N(M848)+$L849</f>
        <v/>
      </c>
      <c r="N849" s="54">
        <f>IF($B849="",0,COUNTIFS('①在庫を貼る'!$V$6:$V$10005,'設定'!$C$4,'①在庫を貼る'!$W$6:$W$10005,$B849))</f>
        <v/>
      </c>
    </row>
    <row r="850" ht="18" customHeight="1">
      <c r="B850" s="76" t="n"/>
      <c r="C850" s="77" t="n"/>
      <c r="D850" s="77" t="n"/>
      <c r="E850" s="77" t="n"/>
      <c r="F850" s="78" t="n"/>
      <c r="G850" s="79" t="n"/>
      <c r="H850" s="69" t="n"/>
      <c r="I850" s="44">
        <f>IF(OR($B850="",$H850=""),"",$H850*MAX(1,N($F850)))</f>
        <v/>
      </c>
      <c r="J850" s="80" t="n"/>
      <c r="K850" s="77" t="n"/>
      <c r="L850" s="54">
        <f>IF($B850="",0,IF(COUNTIFS('①在庫を貼る'!$V$6:$V$10005,'設定'!$C$4,'①在庫を貼る'!$W$6:$W$10005,$B850)+COUNTIFS('月1回_1ヶ月前の在庫'!$V$6:$V$10005,'設定'!$C$4,'月1回_1ヶ月前の在庫'!$W$6:$W$10005,$B850)+COUNTIFS('月1回_2ヶ月前の在庫'!$V$6:$V$10005,'設定'!$C$4,'月1回_2ヶ月前の在庫'!$W$6:$W$10005,$B850)&gt;0,1,0))</f>
        <v/>
      </c>
      <c r="M850" s="54">
        <f>N(M849)+$L850</f>
        <v/>
      </c>
      <c r="N850" s="54">
        <f>IF($B850="",0,COUNTIFS('①在庫を貼る'!$V$6:$V$10005,'設定'!$C$4,'①在庫を貼る'!$W$6:$W$10005,$B850))</f>
        <v/>
      </c>
    </row>
    <row r="851" ht="18" customHeight="1">
      <c r="B851" s="76" t="n"/>
      <c r="C851" s="77" t="n"/>
      <c r="D851" s="77" t="n"/>
      <c r="E851" s="77" t="n"/>
      <c r="F851" s="78" t="n"/>
      <c r="G851" s="79" t="n"/>
      <c r="H851" s="69" t="n"/>
      <c r="I851" s="44">
        <f>IF(OR($B851="",$H851=""),"",$H851*MAX(1,N($F851)))</f>
        <v/>
      </c>
      <c r="J851" s="80" t="n"/>
      <c r="K851" s="77" t="n"/>
      <c r="L851" s="54">
        <f>IF($B851="",0,IF(COUNTIFS('①在庫を貼る'!$V$6:$V$10005,'設定'!$C$4,'①在庫を貼る'!$W$6:$W$10005,$B851)+COUNTIFS('月1回_1ヶ月前の在庫'!$V$6:$V$10005,'設定'!$C$4,'月1回_1ヶ月前の在庫'!$W$6:$W$10005,$B851)+COUNTIFS('月1回_2ヶ月前の在庫'!$V$6:$V$10005,'設定'!$C$4,'月1回_2ヶ月前の在庫'!$W$6:$W$10005,$B851)&gt;0,1,0))</f>
        <v/>
      </c>
      <c r="M851" s="54">
        <f>N(M850)+$L851</f>
        <v/>
      </c>
      <c r="N851" s="54">
        <f>IF($B851="",0,COUNTIFS('①在庫を貼る'!$V$6:$V$10005,'設定'!$C$4,'①在庫を貼る'!$W$6:$W$10005,$B851))</f>
        <v/>
      </c>
    </row>
    <row r="852" ht="18" customHeight="1">
      <c r="B852" s="76" t="n"/>
      <c r="C852" s="77" t="n"/>
      <c r="D852" s="77" t="n"/>
      <c r="E852" s="77" t="n"/>
      <c r="F852" s="78" t="n"/>
      <c r="G852" s="79" t="n"/>
      <c r="H852" s="69" t="n"/>
      <c r="I852" s="44">
        <f>IF(OR($B852="",$H852=""),"",$H852*MAX(1,N($F852)))</f>
        <v/>
      </c>
      <c r="J852" s="80" t="n"/>
      <c r="K852" s="77" t="n"/>
      <c r="L852" s="54">
        <f>IF($B852="",0,IF(COUNTIFS('①在庫を貼る'!$V$6:$V$10005,'設定'!$C$4,'①在庫を貼る'!$W$6:$W$10005,$B852)+COUNTIFS('月1回_1ヶ月前の在庫'!$V$6:$V$10005,'設定'!$C$4,'月1回_1ヶ月前の在庫'!$W$6:$W$10005,$B852)+COUNTIFS('月1回_2ヶ月前の在庫'!$V$6:$V$10005,'設定'!$C$4,'月1回_2ヶ月前の在庫'!$W$6:$W$10005,$B852)&gt;0,1,0))</f>
        <v/>
      </c>
      <c r="M852" s="54">
        <f>N(M851)+$L852</f>
        <v/>
      </c>
      <c r="N852" s="54">
        <f>IF($B852="",0,COUNTIFS('①在庫を貼る'!$V$6:$V$10005,'設定'!$C$4,'①在庫を貼る'!$W$6:$W$10005,$B852))</f>
        <v/>
      </c>
    </row>
    <row r="853" ht="18" customHeight="1">
      <c r="B853" s="76" t="n"/>
      <c r="C853" s="77" t="n"/>
      <c r="D853" s="77" t="n"/>
      <c r="E853" s="77" t="n"/>
      <c r="F853" s="78" t="n"/>
      <c r="G853" s="79" t="n"/>
      <c r="H853" s="69" t="n"/>
      <c r="I853" s="44">
        <f>IF(OR($B853="",$H853=""),"",$H853*MAX(1,N($F853)))</f>
        <v/>
      </c>
      <c r="J853" s="80" t="n"/>
      <c r="K853" s="77" t="n"/>
      <c r="L853" s="54">
        <f>IF($B853="",0,IF(COUNTIFS('①在庫を貼る'!$V$6:$V$10005,'設定'!$C$4,'①在庫を貼る'!$W$6:$W$10005,$B853)+COUNTIFS('月1回_1ヶ月前の在庫'!$V$6:$V$10005,'設定'!$C$4,'月1回_1ヶ月前の在庫'!$W$6:$W$10005,$B853)+COUNTIFS('月1回_2ヶ月前の在庫'!$V$6:$V$10005,'設定'!$C$4,'月1回_2ヶ月前の在庫'!$W$6:$W$10005,$B853)&gt;0,1,0))</f>
        <v/>
      </c>
      <c r="M853" s="54">
        <f>N(M852)+$L853</f>
        <v/>
      </c>
      <c r="N853" s="54">
        <f>IF($B853="",0,COUNTIFS('①在庫を貼る'!$V$6:$V$10005,'設定'!$C$4,'①在庫を貼る'!$W$6:$W$10005,$B853))</f>
        <v/>
      </c>
    </row>
    <row r="854" ht="18" customHeight="1">
      <c r="B854" s="76" t="n"/>
      <c r="C854" s="77" t="n"/>
      <c r="D854" s="77" t="n"/>
      <c r="E854" s="77" t="n"/>
      <c r="F854" s="78" t="n"/>
      <c r="G854" s="79" t="n"/>
      <c r="H854" s="69" t="n"/>
      <c r="I854" s="44">
        <f>IF(OR($B854="",$H854=""),"",$H854*MAX(1,N($F854)))</f>
        <v/>
      </c>
      <c r="J854" s="80" t="n"/>
      <c r="K854" s="77" t="n"/>
      <c r="L854" s="54">
        <f>IF($B854="",0,IF(COUNTIFS('①在庫を貼る'!$V$6:$V$10005,'設定'!$C$4,'①在庫を貼る'!$W$6:$W$10005,$B854)+COUNTIFS('月1回_1ヶ月前の在庫'!$V$6:$V$10005,'設定'!$C$4,'月1回_1ヶ月前の在庫'!$W$6:$W$10005,$B854)+COUNTIFS('月1回_2ヶ月前の在庫'!$V$6:$V$10005,'設定'!$C$4,'月1回_2ヶ月前の在庫'!$W$6:$W$10005,$B854)&gt;0,1,0))</f>
        <v/>
      </c>
      <c r="M854" s="54">
        <f>N(M853)+$L854</f>
        <v/>
      </c>
      <c r="N854" s="54">
        <f>IF($B854="",0,COUNTIFS('①在庫を貼る'!$V$6:$V$10005,'設定'!$C$4,'①在庫を貼る'!$W$6:$W$10005,$B854))</f>
        <v/>
      </c>
    </row>
    <row r="855" ht="18" customHeight="1">
      <c r="B855" s="76" t="n"/>
      <c r="C855" s="77" t="n"/>
      <c r="D855" s="77" t="n"/>
      <c r="E855" s="77" t="n"/>
      <c r="F855" s="78" t="n"/>
      <c r="G855" s="79" t="n"/>
      <c r="H855" s="69" t="n"/>
      <c r="I855" s="44">
        <f>IF(OR($B855="",$H855=""),"",$H855*MAX(1,N($F855)))</f>
        <v/>
      </c>
      <c r="J855" s="80" t="n"/>
      <c r="K855" s="77" t="n"/>
      <c r="L855" s="54">
        <f>IF($B855="",0,IF(COUNTIFS('①在庫を貼る'!$V$6:$V$10005,'設定'!$C$4,'①在庫を貼る'!$W$6:$W$10005,$B855)+COUNTIFS('月1回_1ヶ月前の在庫'!$V$6:$V$10005,'設定'!$C$4,'月1回_1ヶ月前の在庫'!$W$6:$W$10005,$B855)+COUNTIFS('月1回_2ヶ月前の在庫'!$V$6:$V$10005,'設定'!$C$4,'月1回_2ヶ月前の在庫'!$W$6:$W$10005,$B855)&gt;0,1,0))</f>
        <v/>
      </c>
      <c r="M855" s="54">
        <f>N(M854)+$L855</f>
        <v/>
      </c>
      <c r="N855" s="54">
        <f>IF($B855="",0,COUNTIFS('①在庫を貼る'!$V$6:$V$10005,'設定'!$C$4,'①在庫を貼る'!$W$6:$W$10005,$B855))</f>
        <v/>
      </c>
    </row>
    <row r="856" ht="18" customHeight="1">
      <c r="B856" s="76" t="n"/>
      <c r="C856" s="77" t="n"/>
      <c r="D856" s="77" t="n"/>
      <c r="E856" s="77" t="n"/>
      <c r="F856" s="78" t="n"/>
      <c r="G856" s="79" t="n"/>
      <c r="H856" s="69" t="n"/>
      <c r="I856" s="44">
        <f>IF(OR($B856="",$H856=""),"",$H856*MAX(1,N($F856)))</f>
        <v/>
      </c>
      <c r="J856" s="80" t="n"/>
      <c r="K856" s="77" t="n"/>
      <c r="L856" s="54">
        <f>IF($B856="",0,IF(COUNTIFS('①在庫を貼る'!$V$6:$V$10005,'設定'!$C$4,'①在庫を貼る'!$W$6:$W$10005,$B856)+COUNTIFS('月1回_1ヶ月前の在庫'!$V$6:$V$10005,'設定'!$C$4,'月1回_1ヶ月前の在庫'!$W$6:$W$10005,$B856)+COUNTIFS('月1回_2ヶ月前の在庫'!$V$6:$V$10005,'設定'!$C$4,'月1回_2ヶ月前の在庫'!$W$6:$W$10005,$B856)&gt;0,1,0))</f>
        <v/>
      </c>
      <c r="M856" s="54">
        <f>N(M855)+$L856</f>
        <v/>
      </c>
      <c r="N856" s="54">
        <f>IF($B856="",0,COUNTIFS('①在庫を貼る'!$V$6:$V$10005,'設定'!$C$4,'①在庫を貼る'!$W$6:$W$10005,$B856))</f>
        <v/>
      </c>
    </row>
    <row r="857" ht="18" customHeight="1">
      <c r="B857" s="76" t="n"/>
      <c r="C857" s="77" t="n"/>
      <c r="D857" s="77" t="n"/>
      <c r="E857" s="77" t="n"/>
      <c r="F857" s="78" t="n"/>
      <c r="G857" s="79" t="n"/>
      <c r="H857" s="69" t="n"/>
      <c r="I857" s="44">
        <f>IF(OR($B857="",$H857=""),"",$H857*MAX(1,N($F857)))</f>
        <v/>
      </c>
      <c r="J857" s="80" t="n"/>
      <c r="K857" s="77" t="n"/>
      <c r="L857" s="54">
        <f>IF($B857="",0,IF(COUNTIFS('①在庫を貼る'!$V$6:$V$10005,'設定'!$C$4,'①在庫を貼る'!$W$6:$W$10005,$B857)+COUNTIFS('月1回_1ヶ月前の在庫'!$V$6:$V$10005,'設定'!$C$4,'月1回_1ヶ月前の在庫'!$W$6:$W$10005,$B857)+COUNTIFS('月1回_2ヶ月前の在庫'!$V$6:$V$10005,'設定'!$C$4,'月1回_2ヶ月前の在庫'!$W$6:$W$10005,$B857)&gt;0,1,0))</f>
        <v/>
      </c>
      <c r="M857" s="54">
        <f>N(M856)+$L857</f>
        <v/>
      </c>
      <c r="N857" s="54">
        <f>IF($B857="",0,COUNTIFS('①在庫を貼る'!$V$6:$V$10005,'設定'!$C$4,'①在庫を貼る'!$W$6:$W$10005,$B857))</f>
        <v/>
      </c>
    </row>
    <row r="858" ht="18" customHeight="1">
      <c r="B858" s="76" t="n"/>
      <c r="C858" s="77" t="n"/>
      <c r="D858" s="77" t="n"/>
      <c r="E858" s="77" t="n"/>
      <c r="F858" s="78" t="n"/>
      <c r="G858" s="79" t="n"/>
      <c r="H858" s="69" t="n"/>
      <c r="I858" s="44">
        <f>IF(OR($B858="",$H858=""),"",$H858*MAX(1,N($F858)))</f>
        <v/>
      </c>
      <c r="J858" s="80" t="n"/>
      <c r="K858" s="77" t="n"/>
      <c r="L858" s="54">
        <f>IF($B858="",0,IF(COUNTIFS('①在庫を貼る'!$V$6:$V$10005,'設定'!$C$4,'①在庫を貼る'!$W$6:$W$10005,$B858)+COUNTIFS('月1回_1ヶ月前の在庫'!$V$6:$V$10005,'設定'!$C$4,'月1回_1ヶ月前の在庫'!$W$6:$W$10005,$B858)+COUNTIFS('月1回_2ヶ月前の在庫'!$V$6:$V$10005,'設定'!$C$4,'月1回_2ヶ月前の在庫'!$W$6:$W$10005,$B858)&gt;0,1,0))</f>
        <v/>
      </c>
      <c r="M858" s="54">
        <f>N(M857)+$L858</f>
        <v/>
      </c>
      <c r="N858" s="54">
        <f>IF($B858="",0,COUNTIFS('①在庫を貼る'!$V$6:$V$10005,'設定'!$C$4,'①在庫を貼る'!$W$6:$W$10005,$B858))</f>
        <v/>
      </c>
    </row>
    <row r="859" ht="18" customHeight="1">
      <c r="B859" s="76" t="n"/>
      <c r="C859" s="77" t="n"/>
      <c r="D859" s="77" t="n"/>
      <c r="E859" s="77" t="n"/>
      <c r="F859" s="78" t="n"/>
      <c r="G859" s="79" t="n"/>
      <c r="H859" s="69" t="n"/>
      <c r="I859" s="44">
        <f>IF(OR($B859="",$H859=""),"",$H859*MAX(1,N($F859)))</f>
        <v/>
      </c>
      <c r="J859" s="80" t="n"/>
      <c r="K859" s="77" t="n"/>
      <c r="L859" s="54">
        <f>IF($B859="",0,IF(COUNTIFS('①在庫を貼る'!$V$6:$V$10005,'設定'!$C$4,'①在庫を貼る'!$W$6:$W$10005,$B859)+COUNTIFS('月1回_1ヶ月前の在庫'!$V$6:$V$10005,'設定'!$C$4,'月1回_1ヶ月前の在庫'!$W$6:$W$10005,$B859)+COUNTIFS('月1回_2ヶ月前の在庫'!$V$6:$V$10005,'設定'!$C$4,'月1回_2ヶ月前の在庫'!$W$6:$W$10005,$B859)&gt;0,1,0))</f>
        <v/>
      </c>
      <c r="M859" s="54">
        <f>N(M858)+$L859</f>
        <v/>
      </c>
      <c r="N859" s="54">
        <f>IF($B859="",0,COUNTIFS('①在庫を貼る'!$V$6:$V$10005,'設定'!$C$4,'①在庫を貼る'!$W$6:$W$10005,$B859))</f>
        <v/>
      </c>
    </row>
    <row r="860" ht="18" customHeight="1">
      <c r="B860" s="76" t="n"/>
      <c r="C860" s="77" t="n"/>
      <c r="D860" s="77" t="n"/>
      <c r="E860" s="77" t="n"/>
      <c r="F860" s="78" t="n"/>
      <c r="G860" s="79" t="n"/>
      <c r="H860" s="69" t="n"/>
      <c r="I860" s="44">
        <f>IF(OR($B860="",$H860=""),"",$H860*MAX(1,N($F860)))</f>
        <v/>
      </c>
      <c r="J860" s="80" t="n"/>
      <c r="K860" s="77" t="n"/>
      <c r="L860" s="54">
        <f>IF($B860="",0,IF(COUNTIFS('①在庫を貼る'!$V$6:$V$10005,'設定'!$C$4,'①在庫を貼る'!$W$6:$W$10005,$B860)+COUNTIFS('月1回_1ヶ月前の在庫'!$V$6:$V$10005,'設定'!$C$4,'月1回_1ヶ月前の在庫'!$W$6:$W$10005,$B860)+COUNTIFS('月1回_2ヶ月前の在庫'!$V$6:$V$10005,'設定'!$C$4,'月1回_2ヶ月前の在庫'!$W$6:$W$10005,$B860)&gt;0,1,0))</f>
        <v/>
      </c>
      <c r="M860" s="54">
        <f>N(M859)+$L860</f>
        <v/>
      </c>
      <c r="N860" s="54">
        <f>IF($B860="",0,COUNTIFS('①在庫を貼る'!$V$6:$V$10005,'設定'!$C$4,'①在庫を貼る'!$W$6:$W$10005,$B860))</f>
        <v/>
      </c>
    </row>
    <row r="861" ht="18" customHeight="1">
      <c r="B861" s="76" t="n"/>
      <c r="C861" s="77" t="n"/>
      <c r="D861" s="77" t="n"/>
      <c r="E861" s="77" t="n"/>
      <c r="F861" s="78" t="n"/>
      <c r="G861" s="79" t="n"/>
      <c r="H861" s="69" t="n"/>
      <c r="I861" s="44">
        <f>IF(OR($B861="",$H861=""),"",$H861*MAX(1,N($F861)))</f>
        <v/>
      </c>
      <c r="J861" s="80" t="n"/>
      <c r="K861" s="77" t="n"/>
      <c r="L861" s="54">
        <f>IF($B861="",0,IF(COUNTIFS('①在庫を貼る'!$V$6:$V$10005,'設定'!$C$4,'①在庫を貼る'!$W$6:$W$10005,$B861)+COUNTIFS('月1回_1ヶ月前の在庫'!$V$6:$V$10005,'設定'!$C$4,'月1回_1ヶ月前の在庫'!$W$6:$W$10005,$B861)+COUNTIFS('月1回_2ヶ月前の在庫'!$V$6:$V$10005,'設定'!$C$4,'月1回_2ヶ月前の在庫'!$W$6:$W$10005,$B861)&gt;0,1,0))</f>
        <v/>
      </c>
      <c r="M861" s="54">
        <f>N(M860)+$L861</f>
        <v/>
      </c>
      <c r="N861" s="54">
        <f>IF($B861="",0,COUNTIFS('①在庫を貼る'!$V$6:$V$10005,'設定'!$C$4,'①在庫を貼る'!$W$6:$W$10005,$B861))</f>
        <v/>
      </c>
    </row>
    <row r="862" ht="18" customHeight="1">
      <c r="B862" s="76" t="n"/>
      <c r="C862" s="77" t="n"/>
      <c r="D862" s="77" t="n"/>
      <c r="E862" s="77" t="n"/>
      <c r="F862" s="78" t="n"/>
      <c r="G862" s="79" t="n"/>
      <c r="H862" s="69" t="n"/>
      <c r="I862" s="44">
        <f>IF(OR($B862="",$H862=""),"",$H862*MAX(1,N($F862)))</f>
        <v/>
      </c>
      <c r="J862" s="80" t="n"/>
      <c r="K862" s="77" t="n"/>
      <c r="L862" s="54">
        <f>IF($B862="",0,IF(COUNTIFS('①在庫を貼る'!$V$6:$V$10005,'設定'!$C$4,'①在庫を貼る'!$W$6:$W$10005,$B862)+COUNTIFS('月1回_1ヶ月前の在庫'!$V$6:$V$10005,'設定'!$C$4,'月1回_1ヶ月前の在庫'!$W$6:$W$10005,$B862)+COUNTIFS('月1回_2ヶ月前の在庫'!$V$6:$V$10005,'設定'!$C$4,'月1回_2ヶ月前の在庫'!$W$6:$W$10005,$B862)&gt;0,1,0))</f>
        <v/>
      </c>
      <c r="M862" s="54">
        <f>N(M861)+$L862</f>
        <v/>
      </c>
      <c r="N862" s="54">
        <f>IF($B862="",0,COUNTIFS('①在庫を貼る'!$V$6:$V$10005,'設定'!$C$4,'①在庫を貼る'!$W$6:$W$10005,$B862))</f>
        <v/>
      </c>
    </row>
    <row r="863" ht="18" customHeight="1">
      <c r="B863" s="76" t="n"/>
      <c r="C863" s="77" t="n"/>
      <c r="D863" s="77" t="n"/>
      <c r="E863" s="77" t="n"/>
      <c r="F863" s="78" t="n"/>
      <c r="G863" s="79" t="n"/>
      <c r="H863" s="69" t="n"/>
      <c r="I863" s="44">
        <f>IF(OR($B863="",$H863=""),"",$H863*MAX(1,N($F863)))</f>
        <v/>
      </c>
      <c r="J863" s="80" t="n"/>
      <c r="K863" s="77" t="n"/>
      <c r="L863" s="54">
        <f>IF($B863="",0,IF(COUNTIFS('①在庫を貼る'!$V$6:$V$10005,'設定'!$C$4,'①在庫を貼る'!$W$6:$W$10005,$B863)+COUNTIFS('月1回_1ヶ月前の在庫'!$V$6:$V$10005,'設定'!$C$4,'月1回_1ヶ月前の在庫'!$W$6:$W$10005,$B863)+COUNTIFS('月1回_2ヶ月前の在庫'!$V$6:$V$10005,'設定'!$C$4,'月1回_2ヶ月前の在庫'!$W$6:$W$10005,$B863)&gt;0,1,0))</f>
        <v/>
      </c>
      <c r="M863" s="54">
        <f>N(M862)+$L863</f>
        <v/>
      </c>
      <c r="N863" s="54">
        <f>IF($B863="",0,COUNTIFS('①在庫を貼る'!$V$6:$V$10005,'設定'!$C$4,'①在庫を貼る'!$W$6:$W$10005,$B863))</f>
        <v/>
      </c>
    </row>
    <row r="864" ht="18" customHeight="1">
      <c r="B864" s="76" t="n"/>
      <c r="C864" s="77" t="n"/>
      <c r="D864" s="77" t="n"/>
      <c r="E864" s="77" t="n"/>
      <c r="F864" s="78" t="n"/>
      <c r="G864" s="79" t="n"/>
      <c r="H864" s="69" t="n"/>
      <c r="I864" s="44">
        <f>IF(OR($B864="",$H864=""),"",$H864*MAX(1,N($F864)))</f>
        <v/>
      </c>
      <c r="J864" s="80" t="n"/>
      <c r="K864" s="77" t="n"/>
      <c r="L864" s="54">
        <f>IF($B864="",0,IF(COUNTIFS('①在庫を貼る'!$V$6:$V$10005,'設定'!$C$4,'①在庫を貼る'!$W$6:$W$10005,$B864)+COUNTIFS('月1回_1ヶ月前の在庫'!$V$6:$V$10005,'設定'!$C$4,'月1回_1ヶ月前の在庫'!$W$6:$W$10005,$B864)+COUNTIFS('月1回_2ヶ月前の在庫'!$V$6:$V$10005,'設定'!$C$4,'月1回_2ヶ月前の在庫'!$W$6:$W$10005,$B864)&gt;0,1,0))</f>
        <v/>
      </c>
      <c r="M864" s="54">
        <f>N(M863)+$L864</f>
        <v/>
      </c>
      <c r="N864" s="54">
        <f>IF($B864="",0,COUNTIFS('①在庫を貼る'!$V$6:$V$10005,'設定'!$C$4,'①在庫を貼る'!$W$6:$W$10005,$B864))</f>
        <v/>
      </c>
    </row>
    <row r="865" ht="18" customHeight="1">
      <c r="B865" s="76" t="n"/>
      <c r="C865" s="77" t="n"/>
      <c r="D865" s="77" t="n"/>
      <c r="E865" s="77" t="n"/>
      <c r="F865" s="78" t="n"/>
      <c r="G865" s="79" t="n"/>
      <c r="H865" s="69" t="n"/>
      <c r="I865" s="44">
        <f>IF(OR($B865="",$H865=""),"",$H865*MAX(1,N($F865)))</f>
        <v/>
      </c>
      <c r="J865" s="80" t="n"/>
      <c r="K865" s="77" t="n"/>
      <c r="L865" s="54">
        <f>IF($B865="",0,IF(COUNTIFS('①在庫を貼る'!$V$6:$V$10005,'設定'!$C$4,'①在庫を貼る'!$W$6:$W$10005,$B865)+COUNTIFS('月1回_1ヶ月前の在庫'!$V$6:$V$10005,'設定'!$C$4,'月1回_1ヶ月前の在庫'!$W$6:$W$10005,$B865)+COUNTIFS('月1回_2ヶ月前の在庫'!$V$6:$V$10005,'設定'!$C$4,'月1回_2ヶ月前の在庫'!$W$6:$W$10005,$B865)&gt;0,1,0))</f>
        <v/>
      </c>
      <c r="M865" s="54">
        <f>N(M864)+$L865</f>
        <v/>
      </c>
      <c r="N865" s="54">
        <f>IF($B865="",0,COUNTIFS('①在庫を貼る'!$V$6:$V$10005,'設定'!$C$4,'①在庫を貼る'!$W$6:$W$10005,$B865))</f>
        <v/>
      </c>
    </row>
    <row r="866" ht="18" customHeight="1">
      <c r="B866" s="76" t="n"/>
      <c r="C866" s="77" t="n"/>
      <c r="D866" s="77" t="n"/>
      <c r="E866" s="77" t="n"/>
      <c r="F866" s="78" t="n"/>
      <c r="G866" s="79" t="n"/>
      <c r="H866" s="69" t="n"/>
      <c r="I866" s="44">
        <f>IF(OR($B866="",$H866=""),"",$H866*MAX(1,N($F866)))</f>
        <v/>
      </c>
      <c r="J866" s="80" t="n"/>
      <c r="K866" s="77" t="n"/>
      <c r="L866" s="54">
        <f>IF($B866="",0,IF(COUNTIFS('①在庫を貼る'!$V$6:$V$10005,'設定'!$C$4,'①在庫を貼る'!$W$6:$W$10005,$B866)+COUNTIFS('月1回_1ヶ月前の在庫'!$V$6:$V$10005,'設定'!$C$4,'月1回_1ヶ月前の在庫'!$W$6:$W$10005,$B866)+COUNTIFS('月1回_2ヶ月前の在庫'!$V$6:$V$10005,'設定'!$C$4,'月1回_2ヶ月前の在庫'!$W$6:$W$10005,$B866)&gt;0,1,0))</f>
        <v/>
      </c>
      <c r="M866" s="54">
        <f>N(M865)+$L866</f>
        <v/>
      </c>
      <c r="N866" s="54">
        <f>IF($B866="",0,COUNTIFS('①在庫を貼る'!$V$6:$V$10005,'設定'!$C$4,'①在庫を貼る'!$W$6:$W$10005,$B866))</f>
        <v/>
      </c>
    </row>
    <row r="867" ht="18" customHeight="1">
      <c r="B867" s="76" t="n"/>
      <c r="C867" s="77" t="n"/>
      <c r="D867" s="77" t="n"/>
      <c r="E867" s="77" t="n"/>
      <c r="F867" s="78" t="n"/>
      <c r="G867" s="79" t="n"/>
      <c r="H867" s="69" t="n"/>
      <c r="I867" s="44">
        <f>IF(OR($B867="",$H867=""),"",$H867*MAX(1,N($F867)))</f>
        <v/>
      </c>
      <c r="J867" s="80" t="n"/>
      <c r="K867" s="77" t="n"/>
      <c r="L867" s="54">
        <f>IF($B867="",0,IF(COUNTIFS('①在庫を貼る'!$V$6:$V$10005,'設定'!$C$4,'①在庫を貼る'!$W$6:$W$10005,$B867)+COUNTIFS('月1回_1ヶ月前の在庫'!$V$6:$V$10005,'設定'!$C$4,'月1回_1ヶ月前の在庫'!$W$6:$W$10005,$B867)+COUNTIFS('月1回_2ヶ月前の在庫'!$V$6:$V$10005,'設定'!$C$4,'月1回_2ヶ月前の在庫'!$W$6:$W$10005,$B867)&gt;0,1,0))</f>
        <v/>
      </c>
      <c r="M867" s="54">
        <f>N(M866)+$L867</f>
        <v/>
      </c>
      <c r="N867" s="54">
        <f>IF($B867="",0,COUNTIFS('①在庫を貼る'!$V$6:$V$10005,'設定'!$C$4,'①在庫を貼る'!$W$6:$W$10005,$B867))</f>
        <v/>
      </c>
    </row>
    <row r="868" ht="18" customHeight="1">
      <c r="B868" s="76" t="n"/>
      <c r="C868" s="77" t="n"/>
      <c r="D868" s="77" t="n"/>
      <c r="E868" s="77" t="n"/>
      <c r="F868" s="78" t="n"/>
      <c r="G868" s="79" t="n"/>
      <c r="H868" s="69" t="n"/>
      <c r="I868" s="44">
        <f>IF(OR($B868="",$H868=""),"",$H868*MAX(1,N($F868)))</f>
        <v/>
      </c>
      <c r="J868" s="80" t="n"/>
      <c r="K868" s="77" t="n"/>
      <c r="L868" s="54">
        <f>IF($B868="",0,IF(COUNTIFS('①在庫を貼る'!$V$6:$V$10005,'設定'!$C$4,'①在庫を貼る'!$W$6:$W$10005,$B868)+COUNTIFS('月1回_1ヶ月前の在庫'!$V$6:$V$10005,'設定'!$C$4,'月1回_1ヶ月前の在庫'!$W$6:$W$10005,$B868)+COUNTIFS('月1回_2ヶ月前の在庫'!$V$6:$V$10005,'設定'!$C$4,'月1回_2ヶ月前の在庫'!$W$6:$W$10005,$B868)&gt;0,1,0))</f>
        <v/>
      </c>
      <c r="M868" s="54">
        <f>N(M867)+$L868</f>
        <v/>
      </c>
      <c r="N868" s="54">
        <f>IF($B868="",0,COUNTIFS('①在庫を貼る'!$V$6:$V$10005,'設定'!$C$4,'①在庫を貼る'!$W$6:$W$10005,$B868))</f>
        <v/>
      </c>
    </row>
    <row r="869" ht="18" customHeight="1">
      <c r="B869" s="76" t="n"/>
      <c r="C869" s="77" t="n"/>
      <c r="D869" s="77" t="n"/>
      <c r="E869" s="77" t="n"/>
      <c r="F869" s="78" t="n"/>
      <c r="G869" s="79" t="n"/>
      <c r="H869" s="69" t="n"/>
      <c r="I869" s="44">
        <f>IF(OR($B869="",$H869=""),"",$H869*MAX(1,N($F869)))</f>
        <v/>
      </c>
      <c r="J869" s="80" t="n"/>
      <c r="K869" s="77" t="n"/>
      <c r="L869" s="54">
        <f>IF($B869="",0,IF(COUNTIFS('①在庫を貼る'!$V$6:$V$10005,'設定'!$C$4,'①在庫を貼る'!$W$6:$W$10005,$B869)+COUNTIFS('月1回_1ヶ月前の在庫'!$V$6:$V$10005,'設定'!$C$4,'月1回_1ヶ月前の在庫'!$W$6:$W$10005,$B869)+COUNTIFS('月1回_2ヶ月前の在庫'!$V$6:$V$10005,'設定'!$C$4,'月1回_2ヶ月前の在庫'!$W$6:$W$10005,$B869)&gt;0,1,0))</f>
        <v/>
      </c>
      <c r="M869" s="54">
        <f>N(M868)+$L869</f>
        <v/>
      </c>
      <c r="N869" s="54">
        <f>IF($B869="",0,COUNTIFS('①在庫を貼る'!$V$6:$V$10005,'設定'!$C$4,'①在庫を貼る'!$W$6:$W$10005,$B869))</f>
        <v/>
      </c>
    </row>
    <row r="870" ht="18" customHeight="1">
      <c r="B870" s="76" t="n"/>
      <c r="C870" s="77" t="n"/>
      <c r="D870" s="77" t="n"/>
      <c r="E870" s="77" t="n"/>
      <c r="F870" s="78" t="n"/>
      <c r="G870" s="79" t="n"/>
      <c r="H870" s="69" t="n"/>
      <c r="I870" s="44">
        <f>IF(OR($B870="",$H870=""),"",$H870*MAX(1,N($F870)))</f>
        <v/>
      </c>
      <c r="J870" s="80" t="n"/>
      <c r="K870" s="77" t="n"/>
      <c r="L870" s="54">
        <f>IF($B870="",0,IF(COUNTIFS('①在庫を貼る'!$V$6:$V$10005,'設定'!$C$4,'①在庫を貼る'!$W$6:$W$10005,$B870)+COUNTIFS('月1回_1ヶ月前の在庫'!$V$6:$V$10005,'設定'!$C$4,'月1回_1ヶ月前の在庫'!$W$6:$W$10005,$B870)+COUNTIFS('月1回_2ヶ月前の在庫'!$V$6:$V$10005,'設定'!$C$4,'月1回_2ヶ月前の在庫'!$W$6:$W$10005,$B870)&gt;0,1,0))</f>
        <v/>
      </c>
      <c r="M870" s="54">
        <f>N(M869)+$L870</f>
        <v/>
      </c>
      <c r="N870" s="54">
        <f>IF($B870="",0,COUNTIFS('①在庫を貼る'!$V$6:$V$10005,'設定'!$C$4,'①在庫を貼る'!$W$6:$W$10005,$B870))</f>
        <v/>
      </c>
    </row>
    <row r="871" ht="18" customHeight="1">
      <c r="B871" s="76" t="n"/>
      <c r="C871" s="77" t="n"/>
      <c r="D871" s="77" t="n"/>
      <c r="E871" s="77" t="n"/>
      <c r="F871" s="78" t="n"/>
      <c r="G871" s="79" t="n"/>
      <c r="H871" s="69" t="n"/>
      <c r="I871" s="44">
        <f>IF(OR($B871="",$H871=""),"",$H871*MAX(1,N($F871)))</f>
        <v/>
      </c>
      <c r="J871" s="80" t="n"/>
      <c r="K871" s="77" t="n"/>
      <c r="L871" s="54">
        <f>IF($B871="",0,IF(COUNTIFS('①在庫を貼る'!$V$6:$V$10005,'設定'!$C$4,'①在庫を貼る'!$W$6:$W$10005,$B871)+COUNTIFS('月1回_1ヶ月前の在庫'!$V$6:$V$10005,'設定'!$C$4,'月1回_1ヶ月前の在庫'!$W$6:$W$10005,$B871)+COUNTIFS('月1回_2ヶ月前の在庫'!$V$6:$V$10005,'設定'!$C$4,'月1回_2ヶ月前の在庫'!$W$6:$W$10005,$B871)&gt;0,1,0))</f>
        <v/>
      </c>
      <c r="M871" s="54">
        <f>N(M870)+$L871</f>
        <v/>
      </c>
      <c r="N871" s="54">
        <f>IF($B871="",0,COUNTIFS('①在庫を貼る'!$V$6:$V$10005,'設定'!$C$4,'①在庫を貼る'!$W$6:$W$10005,$B871))</f>
        <v/>
      </c>
    </row>
    <row r="872" ht="18" customHeight="1">
      <c r="B872" s="76" t="n"/>
      <c r="C872" s="77" t="n"/>
      <c r="D872" s="77" t="n"/>
      <c r="E872" s="77" t="n"/>
      <c r="F872" s="78" t="n"/>
      <c r="G872" s="79" t="n"/>
      <c r="H872" s="69" t="n"/>
      <c r="I872" s="44">
        <f>IF(OR($B872="",$H872=""),"",$H872*MAX(1,N($F872)))</f>
        <v/>
      </c>
      <c r="J872" s="80" t="n"/>
      <c r="K872" s="77" t="n"/>
      <c r="L872" s="54">
        <f>IF($B872="",0,IF(COUNTIFS('①在庫を貼る'!$V$6:$V$10005,'設定'!$C$4,'①在庫を貼る'!$W$6:$W$10005,$B872)+COUNTIFS('月1回_1ヶ月前の在庫'!$V$6:$V$10005,'設定'!$C$4,'月1回_1ヶ月前の在庫'!$W$6:$W$10005,$B872)+COUNTIFS('月1回_2ヶ月前の在庫'!$V$6:$V$10005,'設定'!$C$4,'月1回_2ヶ月前の在庫'!$W$6:$W$10005,$B872)&gt;0,1,0))</f>
        <v/>
      </c>
      <c r="M872" s="54">
        <f>N(M871)+$L872</f>
        <v/>
      </c>
      <c r="N872" s="54">
        <f>IF($B872="",0,COUNTIFS('①在庫を貼る'!$V$6:$V$10005,'設定'!$C$4,'①在庫を貼る'!$W$6:$W$10005,$B872))</f>
        <v/>
      </c>
    </row>
    <row r="873" ht="18" customHeight="1">
      <c r="B873" s="76" t="n"/>
      <c r="C873" s="77" t="n"/>
      <c r="D873" s="77" t="n"/>
      <c r="E873" s="77" t="n"/>
      <c r="F873" s="78" t="n"/>
      <c r="G873" s="79" t="n"/>
      <c r="H873" s="69" t="n"/>
      <c r="I873" s="44">
        <f>IF(OR($B873="",$H873=""),"",$H873*MAX(1,N($F873)))</f>
        <v/>
      </c>
      <c r="J873" s="80" t="n"/>
      <c r="K873" s="77" t="n"/>
      <c r="L873" s="54">
        <f>IF($B873="",0,IF(COUNTIFS('①在庫を貼る'!$V$6:$V$10005,'設定'!$C$4,'①在庫を貼る'!$W$6:$W$10005,$B873)+COUNTIFS('月1回_1ヶ月前の在庫'!$V$6:$V$10005,'設定'!$C$4,'月1回_1ヶ月前の在庫'!$W$6:$W$10005,$B873)+COUNTIFS('月1回_2ヶ月前の在庫'!$V$6:$V$10005,'設定'!$C$4,'月1回_2ヶ月前の在庫'!$W$6:$W$10005,$B873)&gt;0,1,0))</f>
        <v/>
      </c>
      <c r="M873" s="54">
        <f>N(M872)+$L873</f>
        <v/>
      </c>
      <c r="N873" s="54">
        <f>IF($B873="",0,COUNTIFS('①在庫を貼る'!$V$6:$V$10005,'設定'!$C$4,'①在庫を貼る'!$W$6:$W$10005,$B873))</f>
        <v/>
      </c>
    </row>
    <row r="874" ht="18" customHeight="1">
      <c r="B874" s="76" t="n"/>
      <c r="C874" s="77" t="n"/>
      <c r="D874" s="77" t="n"/>
      <c r="E874" s="77" t="n"/>
      <c r="F874" s="78" t="n"/>
      <c r="G874" s="79" t="n"/>
      <c r="H874" s="69" t="n"/>
      <c r="I874" s="44">
        <f>IF(OR($B874="",$H874=""),"",$H874*MAX(1,N($F874)))</f>
        <v/>
      </c>
      <c r="J874" s="80" t="n"/>
      <c r="K874" s="77" t="n"/>
      <c r="L874" s="54">
        <f>IF($B874="",0,IF(COUNTIFS('①在庫を貼る'!$V$6:$V$10005,'設定'!$C$4,'①在庫を貼る'!$W$6:$W$10005,$B874)+COUNTIFS('月1回_1ヶ月前の在庫'!$V$6:$V$10005,'設定'!$C$4,'月1回_1ヶ月前の在庫'!$W$6:$W$10005,$B874)+COUNTIFS('月1回_2ヶ月前の在庫'!$V$6:$V$10005,'設定'!$C$4,'月1回_2ヶ月前の在庫'!$W$6:$W$10005,$B874)&gt;0,1,0))</f>
        <v/>
      </c>
      <c r="M874" s="54">
        <f>N(M873)+$L874</f>
        <v/>
      </c>
      <c r="N874" s="54">
        <f>IF($B874="",0,COUNTIFS('①在庫を貼る'!$V$6:$V$10005,'設定'!$C$4,'①在庫を貼る'!$W$6:$W$10005,$B874))</f>
        <v/>
      </c>
    </row>
    <row r="875" ht="18" customHeight="1">
      <c r="B875" s="76" t="n"/>
      <c r="C875" s="77" t="n"/>
      <c r="D875" s="77" t="n"/>
      <c r="E875" s="77" t="n"/>
      <c r="F875" s="78" t="n"/>
      <c r="G875" s="79" t="n"/>
      <c r="H875" s="69" t="n"/>
      <c r="I875" s="44">
        <f>IF(OR($B875="",$H875=""),"",$H875*MAX(1,N($F875)))</f>
        <v/>
      </c>
      <c r="J875" s="80" t="n"/>
      <c r="K875" s="77" t="n"/>
      <c r="L875" s="54">
        <f>IF($B875="",0,IF(COUNTIFS('①在庫を貼る'!$V$6:$V$10005,'設定'!$C$4,'①在庫を貼る'!$W$6:$W$10005,$B875)+COUNTIFS('月1回_1ヶ月前の在庫'!$V$6:$V$10005,'設定'!$C$4,'月1回_1ヶ月前の在庫'!$W$6:$W$10005,$B875)+COUNTIFS('月1回_2ヶ月前の在庫'!$V$6:$V$10005,'設定'!$C$4,'月1回_2ヶ月前の在庫'!$W$6:$W$10005,$B875)&gt;0,1,0))</f>
        <v/>
      </c>
      <c r="M875" s="54">
        <f>N(M874)+$L875</f>
        <v/>
      </c>
      <c r="N875" s="54">
        <f>IF($B875="",0,COUNTIFS('①在庫を貼る'!$V$6:$V$10005,'設定'!$C$4,'①在庫を貼る'!$W$6:$W$10005,$B875))</f>
        <v/>
      </c>
    </row>
    <row r="876" ht="18" customHeight="1">
      <c r="B876" s="76" t="n"/>
      <c r="C876" s="77" t="n"/>
      <c r="D876" s="77" t="n"/>
      <c r="E876" s="77" t="n"/>
      <c r="F876" s="78" t="n"/>
      <c r="G876" s="79" t="n"/>
      <c r="H876" s="69" t="n"/>
      <c r="I876" s="44">
        <f>IF(OR($B876="",$H876=""),"",$H876*MAX(1,N($F876)))</f>
        <v/>
      </c>
      <c r="J876" s="80" t="n"/>
      <c r="K876" s="77" t="n"/>
      <c r="L876" s="54">
        <f>IF($B876="",0,IF(COUNTIFS('①在庫を貼る'!$V$6:$V$10005,'設定'!$C$4,'①在庫を貼る'!$W$6:$W$10005,$B876)+COUNTIFS('月1回_1ヶ月前の在庫'!$V$6:$V$10005,'設定'!$C$4,'月1回_1ヶ月前の在庫'!$W$6:$W$10005,$B876)+COUNTIFS('月1回_2ヶ月前の在庫'!$V$6:$V$10005,'設定'!$C$4,'月1回_2ヶ月前の在庫'!$W$6:$W$10005,$B876)&gt;0,1,0))</f>
        <v/>
      </c>
      <c r="M876" s="54">
        <f>N(M875)+$L876</f>
        <v/>
      </c>
      <c r="N876" s="54">
        <f>IF($B876="",0,COUNTIFS('①在庫を貼る'!$V$6:$V$10005,'設定'!$C$4,'①在庫を貼る'!$W$6:$W$10005,$B876))</f>
        <v/>
      </c>
    </row>
    <row r="877" ht="18" customHeight="1">
      <c r="B877" s="76" t="n"/>
      <c r="C877" s="77" t="n"/>
      <c r="D877" s="77" t="n"/>
      <c r="E877" s="77" t="n"/>
      <c r="F877" s="78" t="n"/>
      <c r="G877" s="79" t="n"/>
      <c r="H877" s="69" t="n"/>
      <c r="I877" s="44">
        <f>IF(OR($B877="",$H877=""),"",$H877*MAX(1,N($F877)))</f>
        <v/>
      </c>
      <c r="J877" s="80" t="n"/>
      <c r="K877" s="77" t="n"/>
      <c r="L877" s="54">
        <f>IF($B877="",0,IF(COUNTIFS('①在庫を貼る'!$V$6:$V$10005,'設定'!$C$4,'①在庫を貼る'!$W$6:$W$10005,$B877)+COUNTIFS('月1回_1ヶ月前の在庫'!$V$6:$V$10005,'設定'!$C$4,'月1回_1ヶ月前の在庫'!$W$6:$W$10005,$B877)+COUNTIFS('月1回_2ヶ月前の在庫'!$V$6:$V$10005,'設定'!$C$4,'月1回_2ヶ月前の在庫'!$W$6:$W$10005,$B877)&gt;0,1,0))</f>
        <v/>
      </c>
      <c r="M877" s="54">
        <f>N(M876)+$L877</f>
        <v/>
      </c>
      <c r="N877" s="54">
        <f>IF($B877="",0,COUNTIFS('①在庫を貼る'!$V$6:$V$10005,'設定'!$C$4,'①在庫を貼る'!$W$6:$W$10005,$B877))</f>
        <v/>
      </c>
    </row>
    <row r="878" ht="18" customHeight="1">
      <c r="B878" s="76" t="n"/>
      <c r="C878" s="77" t="n"/>
      <c r="D878" s="77" t="n"/>
      <c r="E878" s="77" t="n"/>
      <c r="F878" s="78" t="n"/>
      <c r="G878" s="79" t="n"/>
      <c r="H878" s="69" t="n"/>
      <c r="I878" s="44">
        <f>IF(OR($B878="",$H878=""),"",$H878*MAX(1,N($F878)))</f>
        <v/>
      </c>
      <c r="J878" s="80" t="n"/>
      <c r="K878" s="77" t="n"/>
      <c r="L878" s="54">
        <f>IF($B878="",0,IF(COUNTIFS('①在庫を貼る'!$V$6:$V$10005,'設定'!$C$4,'①在庫を貼る'!$W$6:$W$10005,$B878)+COUNTIFS('月1回_1ヶ月前の在庫'!$V$6:$V$10005,'設定'!$C$4,'月1回_1ヶ月前の在庫'!$W$6:$W$10005,$B878)+COUNTIFS('月1回_2ヶ月前の在庫'!$V$6:$V$10005,'設定'!$C$4,'月1回_2ヶ月前の在庫'!$W$6:$W$10005,$B878)&gt;0,1,0))</f>
        <v/>
      </c>
      <c r="M878" s="54">
        <f>N(M877)+$L878</f>
        <v/>
      </c>
      <c r="N878" s="54">
        <f>IF($B878="",0,COUNTIFS('①在庫を貼る'!$V$6:$V$10005,'設定'!$C$4,'①在庫を貼る'!$W$6:$W$10005,$B878))</f>
        <v/>
      </c>
    </row>
    <row r="879" ht="18" customHeight="1">
      <c r="B879" s="76" t="n"/>
      <c r="C879" s="77" t="n"/>
      <c r="D879" s="77" t="n"/>
      <c r="E879" s="77" t="n"/>
      <c r="F879" s="78" t="n"/>
      <c r="G879" s="79" t="n"/>
      <c r="H879" s="69" t="n"/>
      <c r="I879" s="44">
        <f>IF(OR($B879="",$H879=""),"",$H879*MAX(1,N($F879)))</f>
        <v/>
      </c>
      <c r="J879" s="80" t="n"/>
      <c r="K879" s="77" t="n"/>
      <c r="L879" s="54">
        <f>IF($B879="",0,IF(COUNTIFS('①在庫を貼る'!$V$6:$V$10005,'設定'!$C$4,'①在庫を貼る'!$W$6:$W$10005,$B879)+COUNTIFS('月1回_1ヶ月前の在庫'!$V$6:$V$10005,'設定'!$C$4,'月1回_1ヶ月前の在庫'!$W$6:$W$10005,$B879)+COUNTIFS('月1回_2ヶ月前の在庫'!$V$6:$V$10005,'設定'!$C$4,'月1回_2ヶ月前の在庫'!$W$6:$W$10005,$B879)&gt;0,1,0))</f>
        <v/>
      </c>
      <c r="M879" s="54">
        <f>N(M878)+$L879</f>
        <v/>
      </c>
      <c r="N879" s="54">
        <f>IF($B879="",0,COUNTIFS('①在庫を貼る'!$V$6:$V$10005,'設定'!$C$4,'①在庫を貼る'!$W$6:$W$10005,$B879))</f>
        <v/>
      </c>
    </row>
    <row r="880" ht="18" customHeight="1">
      <c r="B880" s="76" t="n"/>
      <c r="C880" s="77" t="n"/>
      <c r="D880" s="77" t="n"/>
      <c r="E880" s="77" t="n"/>
      <c r="F880" s="78" t="n"/>
      <c r="G880" s="79" t="n"/>
      <c r="H880" s="69" t="n"/>
      <c r="I880" s="44">
        <f>IF(OR($B880="",$H880=""),"",$H880*MAX(1,N($F880)))</f>
        <v/>
      </c>
      <c r="J880" s="80" t="n"/>
      <c r="K880" s="77" t="n"/>
      <c r="L880" s="54">
        <f>IF($B880="",0,IF(COUNTIFS('①在庫を貼る'!$V$6:$V$10005,'設定'!$C$4,'①在庫を貼る'!$W$6:$W$10005,$B880)+COUNTIFS('月1回_1ヶ月前の在庫'!$V$6:$V$10005,'設定'!$C$4,'月1回_1ヶ月前の在庫'!$W$6:$W$10005,$B880)+COUNTIFS('月1回_2ヶ月前の在庫'!$V$6:$V$10005,'設定'!$C$4,'月1回_2ヶ月前の在庫'!$W$6:$W$10005,$B880)&gt;0,1,0))</f>
        <v/>
      </c>
      <c r="M880" s="54">
        <f>N(M879)+$L880</f>
        <v/>
      </c>
      <c r="N880" s="54">
        <f>IF($B880="",0,COUNTIFS('①在庫を貼る'!$V$6:$V$10005,'設定'!$C$4,'①在庫を貼る'!$W$6:$W$10005,$B880))</f>
        <v/>
      </c>
    </row>
    <row r="881" ht="18" customHeight="1">
      <c r="B881" s="76" t="n"/>
      <c r="C881" s="77" t="n"/>
      <c r="D881" s="77" t="n"/>
      <c r="E881" s="77" t="n"/>
      <c r="F881" s="78" t="n"/>
      <c r="G881" s="79" t="n"/>
      <c r="H881" s="69" t="n"/>
      <c r="I881" s="44">
        <f>IF(OR($B881="",$H881=""),"",$H881*MAX(1,N($F881)))</f>
        <v/>
      </c>
      <c r="J881" s="80" t="n"/>
      <c r="K881" s="77" t="n"/>
      <c r="L881" s="54">
        <f>IF($B881="",0,IF(COUNTIFS('①在庫を貼る'!$V$6:$V$10005,'設定'!$C$4,'①在庫を貼る'!$W$6:$W$10005,$B881)+COUNTIFS('月1回_1ヶ月前の在庫'!$V$6:$V$10005,'設定'!$C$4,'月1回_1ヶ月前の在庫'!$W$6:$W$10005,$B881)+COUNTIFS('月1回_2ヶ月前の在庫'!$V$6:$V$10005,'設定'!$C$4,'月1回_2ヶ月前の在庫'!$W$6:$W$10005,$B881)&gt;0,1,0))</f>
        <v/>
      </c>
      <c r="M881" s="54">
        <f>N(M880)+$L881</f>
        <v/>
      </c>
      <c r="N881" s="54">
        <f>IF($B881="",0,COUNTIFS('①在庫を貼る'!$V$6:$V$10005,'設定'!$C$4,'①在庫を貼る'!$W$6:$W$10005,$B881))</f>
        <v/>
      </c>
    </row>
    <row r="882" ht="18" customHeight="1">
      <c r="B882" s="76" t="n"/>
      <c r="C882" s="77" t="n"/>
      <c r="D882" s="77" t="n"/>
      <c r="E882" s="77" t="n"/>
      <c r="F882" s="78" t="n"/>
      <c r="G882" s="79" t="n"/>
      <c r="H882" s="69" t="n"/>
      <c r="I882" s="44">
        <f>IF(OR($B882="",$H882=""),"",$H882*MAX(1,N($F882)))</f>
        <v/>
      </c>
      <c r="J882" s="80" t="n"/>
      <c r="K882" s="77" t="n"/>
      <c r="L882" s="54">
        <f>IF($B882="",0,IF(COUNTIFS('①在庫を貼る'!$V$6:$V$10005,'設定'!$C$4,'①在庫を貼る'!$W$6:$W$10005,$B882)+COUNTIFS('月1回_1ヶ月前の在庫'!$V$6:$V$10005,'設定'!$C$4,'月1回_1ヶ月前の在庫'!$W$6:$W$10005,$B882)+COUNTIFS('月1回_2ヶ月前の在庫'!$V$6:$V$10005,'設定'!$C$4,'月1回_2ヶ月前の在庫'!$W$6:$W$10005,$B882)&gt;0,1,0))</f>
        <v/>
      </c>
      <c r="M882" s="54">
        <f>N(M881)+$L882</f>
        <v/>
      </c>
      <c r="N882" s="54">
        <f>IF($B882="",0,COUNTIFS('①在庫を貼る'!$V$6:$V$10005,'設定'!$C$4,'①在庫を貼る'!$W$6:$W$10005,$B882))</f>
        <v/>
      </c>
    </row>
    <row r="883" ht="18" customHeight="1">
      <c r="B883" s="76" t="n"/>
      <c r="C883" s="77" t="n"/>
      <c r="D883" s="77" t="n"/>
      <c r="E883" s="77" t="n"/>
      <c r="F883" s="78" t="n"/>
      <c r="G883" s="79" t="n"/>
      <c r="H883" s="69" t="n"/>
      <c r="I883" s="44">
        <f>IF(OR($B883="",$H883=""),"",$H883*MAX(1,N($F883)))</f>
        <v/>
      </c>
      <c r="J883" s="80" t="n"/>
      <c r="K883" s="77" t="n"/>
      <c r="L883" s="54">
        <f>IF($B883="",0,IF(COUNTIFS('①在庫を貼る'!$V$6:$V$10005,'設定'!$C$4,'①在庫を貼る'!$W$6:$W$10005,$B883)+COUNTIFS('月1回_1ヶ月前の在庫'!$V$6:$V$10005,'設定'!$C$4,'月1回_1ヶ月前の在庫'!$W$6:$W$10005,$B883)+COUNTIFS('月1回_2ヶ月前の在庫'!$V$6:$V$10005,'設定'!$C$4,'月1回_2ヶ月前の在庫'!$W$6:$W$10005,$B883)&gt;0,1,0))</f>
        <v/>
      </c>
      <c r="M883" s="54">
        <f>N(M882)+$L883</f>
        <v/>
      </c>
      <c r="N883" s="54">
        <f>IF($B883="",0,COUNTIFS('①在庫を貼る'!$V$6:$V$10005,'設定'!$C$4,'①在庫を貼る'!$W$6:$W$10005,$B883))</f>
        <v/>
      </c>
    </row>
    <row r="884" ht="18" customHeight="1">
      <c r="B884" s="76" t="n"/>
      <c r="C884" s="77" t="n"/>
      <c r="D884" s="77" t="n"/>
      <c r="E884" s="77" t="n"/>
      <c r="F884" s="78" t="n"/>
      <c r="G884" s="79" t="n"/>
      <c r="H884" s="69" t="n"/>
      <c r="I884" s="44">
        <f>IF(OR($B884="",$H884=""),"",$H884*MAX(1,N($F884)))</f>
        <v/>
      </c>
      <c r="J884" s="80" t="n"/>
      <c r="K884" s="77" t="n"/>
      <c r="L884" s="54">
        <f>IF($B884="",0,IF(COUNTIFS('①在庫を貼る'!$V$6:$V$10005,'設定'!$C$4,'①在庫を貼る'!$W$6:$W$10005,$B884)+COUNTIFS('月1回_1ヶ月前の在庫'!$V$6:$V$10005,'設定'!$C$4,'月1回_1ヶ月前の在庫'!$W$6:$W$10005,$B884)+COUNTIFS('月1回_2ヶ月前の在庫'!$V$6:$V$10005,'設定'!$C$4,'月1回_2ヶ月前の在庫'!$W$6:$W$10005,$B884)&gt;0,1,0))</f>
        <v/>
      </c>
      <c r="M884" s="54">
        <f>N(M883)+$L884</f>
        <v/>
      </c>
      <c r="N884" s="54">
        <f>IF($B884="",0,COUNTIFS('①在庫を貼る'!$V$6:$V$10005,'設定'!$C$4,'①在庫を貼る'!$W$6:$W$10005,$B884))</f>
        <v/>
      </c>
    </row>
    <row r="885" ht="18" customHeight="1">
      <c r="B885" s="76" t="n"/>
      <c r="C885" s="77" t="n"/>
      <c r="D885" s="77" t="n"/>
      <c r="E885" s="77" t="n"/>
      <c r="F885" s="78" t="n"/>
      <c r="G885" s="79" t="n"/>
      <c r="H885" s="69" t="n"/>
      <c r="I885" s="44">
        <f>IF(OR($B885="",$H885=""),"",$H885*MAX(1,N($F885)))</f>
        <v/>
      </c>
      <c r="J885" s="80" t="n"/>
      <c r="K885" s="77" t="n"/>
      <c r="L885" s="54">
        <f>IF($B885="",0,IF(COUNTIFS('①在庫を貼る'!$V$6:$V$10005,'設定'!$C$4,'①在庫を貼る'!$W$6:$W$10005,$B885)+COUNTIFS('月1回_1ヶ月前の在庫'!$V$6:$V$10005,'設定'!$C$4,'月1回_1ヶ月前の在庫'!$W$6:$W$10005,$B885)+COUNTIFS('月1回_2ヶ月前の在庫'!$V$6:$V$10005,'設定'!$C$4,'月1回_2ヶ月前の在庫'!$W$6:$W$10005,$B885)&gt;0,1,0))</f>
        <v/>
      </c>
      <c r="M885" s="54">
        <f>N(M884)+$L885</f>
        <v/>
      </c>
      <c r="N885" s="54">
        <f>IF($B885="",0,COUNTIFS('①在庫を貼る'!$V$6:$V$10005,'設定'!$C$4,'①在庫を貼る'!$W$6:$W$10005,$B885))</f>
        <v/>
      </c>
    </row>
    <row r="886" ht="18" customHeight="1">
      <c r="B886" s="76" t="n"/>
      <c r="C886" s="77" t="n"/>
      <c r="D886" s="77" t="n"/>
      <c r="E886" s="77" t="n"/>
      <c r="F886" s="78" t="n"/>
      <c r="G886" s="79" t="n"/>
      <c r="H886" s="69" t="n"/>
      <c r="I886" s="44">
        <f>IF(OR($B886="",$H886=""),"",$H886*MAX(1,N($F886)))</f>
        <v/>
      </c>
      <c r="J886" s="80" t="n"/>
      <c r="K886" s="77" t="n"/>
      <c r="L886" s="54">
        <f>IF($B886="",0,IF(COUNTIFS('①在庫を貼る'!$V$6:$V$10005,'設定'!$C$4,'①在庫を貼る'!$W$6:$W$10005,$B886)+COUNTIFS('月1回_1ヶ月前の在庫'!$V$6:$V$10005,'設定'!$C$4,'月1回_1ヶ月前の在庫'!$W$6:$W$10005,$B886)+COUNTIFS('月1回_2ヶ月前の在庫'!$V$6:$V$10005,'設定'!$C$4,'月1回_2ヶ月前の在庫'!$W$6:$W$10005,$B886)&gt;0,1,0))</f>
        <v/>
      </c>
      <c r="M886" s="54">
        <f>N(M885)+$L886</f>
        <v/>
      </c>
      <c r="N886" s="54">
        <f>IF($B886="",0,COUNTIFS('①在庫を貼る'!$V$6:$V$10005,'設定'!$C$4,'①在庫を貼る'!$W$6:$W$10005,$B886))</f>
        <v/>
      </c>
    </row>
    <row r="887" ht="18" customHeight="1">
      <c r="B887" s="76" t="n"/>
      <c r="C887" s="77" t="n"/>
      <c r="D887" s="77" t="n"/>
      <c r="E887" s="77" t="n"/>
      <c r="F887" s="78" t="n"/>
      <c r="G887" s="79" t="n"/>
      <c r="H887" s="69" t="n"/>
      <c r="I887" s="44">
        <f>IF(OR($B887="",$H887=""),"",$H887*MAX(1,N($F887)))</f>
        <v/>
      </c>
      <c r="J887" s="80" t="n"/>
      <c r="K887" s="77" t="n"/>
      <c r="L887" s="54">
        <f>IF($B887="",0,IF(COUNTIFS('①在庫を貼る'!$V$6:$V$10005,'設定'!$C$4,'①在庫を貼る'!$W$6:$W$10005,$B887)+COUNTIFS('月1回_1ヶ月前の在庫'!$V$6:$V$10005,'設定'!$C$4,'月1回_1ヶ月前の在庫'!$W$6:$W$10005,$B887)+COUNTIFS('月1回_2ヶ月前の在庫'!$V$6:$V$10005,'設定'!$C$4,'月1回_2ヶ月前の在庫'!$W$6:$W$10005,$B887)&gt;0,1,0))</f>
        <v/>
      </c>
      <c r="M887" s="54">
        <f>N(M886)+$L887</f>
        <v/>
      </c>
      <c r="N887" s="54">
        <f>IF($B887="",0,COUNTIFS('①在庫を貼る'!$V$6:$V$10005,'設定'!$C$4,'①在庫を貼る'!$W$6:$W$10005,$B887))</f>
        <v/>
      </c>
    </row>
    <row r="888" ht="18" customHeight="1">
      <c r="B888" s="76" t="n"/>
      <c r="C888" s="77" t="n"/>
      <c r="D888" s="77" t="n"/>
      <c r="E888" s="77" t="n"/>
      <c r="F888" s="78" t="n"/>
      <c r="G888" s="79" t="n"/>
      <c r="H888" s="69" t="n"/>
      <c r="I888" s="44">
        <f>IF(OR($B888="",$H888=""),"",$H888*MAX(1,N($F888)))</f>
        <v/>
      </c>
      <c r="J888" s="80" t="n"/>
      <c r="K888" s="77" t="n"/>
      <c r="L888" s="54">
        <f>IF($B888="",0,IF(COUNTIFS('①在庫を貼る'!$V$6:$V$10005,'設定'!$C$4,'①在庫を貼る'!$W$6:$W$10005,$B888)+COUNTIFS('月1回_1ヶ月前の在庫'!$V$6:$V$10005,'設定'!$C$4,'月1回_1ヶ月前の在庫'!$W$6:$W$10005,$B888)+COUNTIFS('月1回_2ヶ月前の在庫'!$V$6:$V$10005,'設定'!$C$4,'月1回_2ヶ月前の在庫'!$W$6:$W$10005,$B888)&gt;0,1,0))</f>
        <v/>
      </c>
      <c r="M888" s="54">
        <f>N(M887)+$L888</f>
        <v/>
      </c>
      <c r="N888" s="54">
        <f>IF($B888="",0,COUNTIFS('①在庫を貼る'!$V$6:$V$10005,'設定'!$C$4,'①在庫を貼る'!$W$6:$W$10005,$B888))</f>
        <v/>
      </c>
    </row>
    <row r="889" ht="18" customHeight="1">
      <c r="B889" s="76" t="n"/>
      <c r="C889" s="77" t="n"/>
      <c r="D889" s="77" t="n"/>
      <c r="E889" s="77" t="n"/>
      <c r="F889" s="78" t="n"/>
      <c r="G889" s="79" t="n"/>
      <c r="H889" s="69" t="n"/>
      <c r="I889" s="44">
        <f>IF(OR($B889="",$H889=""),"",$H889*MAX(1,N($F889)))</f>
        <v/>
      </c>
      <c r="J889" s="80" t="n"/>
      <c r="K889" s="77" t="n"/>
      <c r="L889" s="54">
        <f>IF($B889="",0,IF(COUNTIFS('①在庫を貼る'!$V$6:$V$10005,'設定'!$C$4,'①在庫を貼る'!$W$6:$W$10005,$B889)+COUNTIFS('月1回_1ヶ月前の在庫'!$V$6:$V$10005,'設定'!$C$4,'月1回_1ヶ月前の在庫'!$W$6:$W$10005,$B889)+COUNTIFS('月1回_2ヶ月前の在庫'!$V$6:$V$10005,'設定'!$C$4,'月1回_2ヶ月前の在庫'!$W$6:$W$10005,$B889)&gt;0,1,0))</f>
        <v/>
      </c>
      <c r="M889" s="54">
        <f>N(M888)+$L889</f>
        <v/>
      </c>
      <c r="N889" s="54">
        <f>IF($B889="",0,COUNTIFS('①在庫を貼る'!$V$6:$V$10005,'設定'!$C$4,'①在庫を貼る'!$W$6:$W$10005,$B889))</f>
        <v/>
      </c>
    </row>
    <row r="890" ht="18" customHeight="1">
      <c r="B890" s="76" t="n"/>
      <c r="C890" s="77" t="n"/>
      <c r="D890" s="77" t="n"/>
      <c r="E890" s="77" t="n"/>
      <c r="F890" s="78" t="n"/>
      <c r="G890" s="79" t="n"/>
      <c r="H890" s="69" t="n"/>
      <c r="I890" s="44">
        <f>IF(OR($B890="",$H890=""),"",$H890*MAX(1,N($F890)))</f>
        <v/>
      </c>
      <c r="J890" s="80" t="n"/>
      <c r="K890" s="77" t="n"/>
      <c r="L890" s="54">
        <f>IF($B890="",0,IF(COUNTIFS('①在庫を貼る'!$V$6:$V$10005,'設定'!$C$4,'①在庫を貼る'!$W$6:$W$10005,$B890)+COUNTIFS('月1回_1ヶ月前の在庫'!$V$6:$V$10005,'設定'!$C$4,'月1回_1ヶ月前の在庫'!$W$6:$W$10005,$B890)+COUNTIFS('月1回_2ヶ月前の在庫'!$V$6:$V$10005,'設定'!$C$4,'月1回_2ヶ月前の在庫'!$W$6:$W$10005,$B890)&gt;0,1,0))</f>
        <v/>
      </c>
      <c r="M890" s="54">
        <f>N(M889)+$L890</f>
        <v/>
      </c>
      <c r="N890" s="54">
        <f>IF($B890="",0,COUNTIFS('①在庫を貼る'!$V$6:$V$10005,'設定'!$C$4,'①在庫を貼る'!$W$6:$W$10005,$B890))</f>
        <v/>
      </c>
    </row>
    <row r="891" ht="18" customHeight="1">
      <c r="B891" s="76" t="n"/>
      <c r="C891" s="77" t="n"/>
      <c r="D891" s="77" t="n"/>
      <c r="E891" s="77" t="n"/>
      <c r="F891" s="78" t="n"/>
      <c r="G891" s="79" t="n"/>
      <c r="H891" s="69" t="n"/>
      <c r="I891" s="44">
        <f>IF(OR($B891="",$H891=""),"",$H891*MAX(1,N($F891)))</f>
        <v/>
      </c>
      <c r="J891" s="80" t="n"/>
      <c r="K891" s="77" t="n"/>
      <c r="L891" s="54">
        <f>IF($B891="",0,IF(COUNTIFS('①在庫を貼る'!$V$6:$V$10005,'設定'!$C$4,'①在庫を貼る'!$W$6:$W$10005,$B891)+COUNTIFS('月1回_1ヶ月前の在庫'!$V$6:$V$10005,'設定'!$C$4,'月1回_1ヶ月前の在庫'!$W$6:$W$10005,$B891)+COUNTIFS('月1回_2ヶ月前の在庫'!$V$6:$V$10005,'設定'!$C$4,'月1回_2ヶ月前の在庫'!$W$6:$W$10005,$B891)&gt;0,1,0))</f>
        <v/>
      </c>
      <c r="M891" s="54">
        <f>N(M890)+$L891</f>
        <v/>
      </c>
      <c r="N891" s="54">
        <f>IF($B891="",0,COUNTIFS('①在庫を貼る'!$V$6:$V$10005,'設定'!$C$4,'①在庫を貼る'!$W$6:$W$10005,$B891))</f>
        <v/>
      </c>
    </row>
    <row r="892" ht="18" customHeight="1">
      <c r="B892" s="76" t="n"/>
      <c r="C892" s="77" t="n"/>
      <c r="D892" s="77" t="n"/>
      <c r="E892" s="77" t="n"/>
      <c r="F892" s="78" t="n"/>
      <c r="G892" s="79" t="n"/>
      <c r="H892" s="69" t="n"/>
      <c r="I892" s="44">
        <f>IF(OR($B892="",$H892=""),"",$H892*MAX(1,N($F892)))</f>
        <v/>
      </c>
      <c r="J892" s="80" t="n"/>
      <c r="K892" s="77" t="n"/>
      <c r="L892" s="54">
        <f>IF($B892="",0,IF(COUNTIFS('①在庫を貼る'!$V$6:$V$10005,'設定'!$C$4,'①在庫を貼る'!$W$6:$W$10005,$B892)+COUNTIFS('月1回_1ヶ月前の在庫'!$V$6:$V$10005,'設定'!$C$4,'月1回_1ヶ月前の在庫'!$W$6:$W$10005,$B892)+COUNTIFS('月1回_2ヶ月前の在庫'!$V$6:$V$10005,'設定'!$C$4,'月1回_2ヶ月前の在庫'!$W$6:$W$10005,$B892)&gt;0,1,0))</f>
        <v/>
      </c>
      <c r="M892" s="54">
        <f>N(M891)+$L892</f>
        <v/>
      </c>
      <c r="N892" s="54">
        <f>IF($B892="",0,COUNTIFS('①在庫を貼る'!$V$6:$V$10005,'設定'!$C$4,'①在庫を貼る'!$W$6:$W$10005,$B892))</f>
        <v/>
      </c>
    </row>
    <row r="893" ht="18" customHeight="1">
      <c r="B893" s="76" t="n"/>
      <c r="C893" s="77" t="n"/>
      <c r="D893" s="77" t="n"/>
      <c r="E893" s="77" t="n"/>
      <c r="F893" s="78" t="n"/>
      <c r="G893" s="79" t="n"/>
      <c r="H893" s="69" t="n"/>
      <c r="I893" s="44">
        <f>IF(OR($B893="",$H893=""),"",$H893*MAX(1,N($F893)))</f>
        <v/>
      </c>
      <c r="J893" s="80" t="n"/>
      <c r="K893" s="77" t="n"/>
      <c r="L893" s="54">
        <f>IF($B893="",0,IF(COUNTIFS('①在庫を貼る'!$V$6:$V$10005,'設定'!$C$4,'①在庫を貼る'!$W$6:$W$10005,$B893)+COUNTIFS('月1回_1ヶ月前の在庫'!$V$6:$V$10005,'設定'!$C$4,'月1回_1ヶ月前の在庫'!$W$6:$W$10005,$B893)+COUNTIFS('月1回_2ヶ月前の在庫'!$V$6:$V$10005,'設定'!$C$4,'月1回_2ヶ月前の在庫'!$W$6:$W$10005,$B893)&gt;0,1,0))</f>
        <v/>
      </c>
      <c r="M893" s="54">
        <f>N(M892)+$L893</f>
        <v/>
      </c>
      <c r="N893" s="54">
        <f>IF($B893="",0,COUNTIFS('①在庫を貼る'!$V$6:$V$10005,'設定'!$C$4,'①在庫を貼る'!$W$6:$W$10005,$B893))</f>
        <v/>
      </c>
    </row>
    <row r="894" ht="18" customHeight="1">
      <c r="B894" s="76" t="n"/>
      <c r="C894" s="77" t="n"/>
      <c r="D894" s="77" t="n"/>
      <c r="E894" s="77" t="n"/>
      <c r="F894" s="78" t="n"/>
      <c r="G894" s="79" t="n"/>
      <c r="H894" s="69" t="n"/>
      <c r="I894" s="44">
        <f>IF(OR($B894="",$H894=""),"",$H894*MAX(1,N($F894)))</f>
        <v/>
      </c>
      <c r="J894" s="80" t="n"/>
      <c r="K894" s="77" t="n"/>
      <c r="L894" s="54">
        <f>IF($B894="",0,IF(COUNTIFS('①在庫を貼る'!$V$6:$V$10005,'設定'!$C$4,'①在庫を貼る'!$W$6:$W$10005,$B894)+COUNTIFS('月1回_1ヶ月前の在庫'!$V$6:$V$10005,'設定'!$C$4,'月1回_1ヶ月前の在庫'!$W$6:$W$10005,$B894)+COUNTIFS('月1回_2ヶ月前の在庫'!$V$6:$V$10005,'設定'!$C$4,'月1回_2ヶ月前の在庫'!$W$6:$W$10005,$B894)&gt;0,1,0))</f>
        <v/>
      </c>
      <c r="M894" s="54">
        <f>N(M893)+$L894</f>
        <v/>
      </c>
      <c r="N894" s="54">
        <f>IF($B894="",0,COUNTIFS('①在庫を貼る'!$V$6:$V$10005,'設定'!$C$4,'①在庫を貼る'!$W$6:$W$10005,$B894))</f>
        <v/>
      </c>
    </row>
    <row r="895" ht="18" customHeight="1">
      <c r="B895" s="76" t="n"/>
      <c r="C895" s="77" t="n"/>
      <c r="D895" s="77" t="n"/>
      <c r="E895" s="77" t="n"/>
      <c r="F895" s="78" t="n"/>
      <c r="G895" s="79" t="n"/>
      <c r="H895" s="69" t="n"/>
      <c r="I895" s="44">
        <f>IF(OR($B895="",$H895=""),"",$H895*MAX(1,N($F895)))</f>
        <v/>
      </c>
      <c r="J895" s="80" t="n"/>
      <c r="K895" s="77" t="n"/>
      <c r="L895" s="54">
        <f>IF($B895="",0,IF(COUNTIFS('①在庫を貼る'!$V$6:$V$10005,'設定'!$C$4,'①在庫を貼る'!$W$6:$W$10005,$B895)+COUNTIFS('月1回_1ヶ月前の在庫'!$V$6:$V$10005,'設定'!$C$4,'月1回_1ヶ月前の在庫'!$W$6:$W$10005,$B895)+COUNTIFS('月1回_2ヶ月前の在庫'!$V$6:$V$10005,'設定'!$C$4,'月1回_2ヶ月前の在庫'!$W$6:$W$10005,$B895)&gt;0,1,0))</f>
        <v/>
      </c>
      <c r="M895" s="54">
        <f>N(M894)+$L895</f>
        <v/>
      </c>
      <c r="N895" s="54">
        <f>IF($B895="",0,COUNTIFS('①在庫を貼る'!$V$6:$V$10005,'設定'!$C$4,'①在庫を貼る'!$W$6:$W$10005,$B895))</f>
        <v/>
      </c>
    </row>
    <row r="896" ht="18" customHeight="1">
      <c r="B896" s="76" t="n"/>
      <c r="C896" s="77" t="n"/>
      <c r="D896" s="77" t="n"/>
      <c r="E896" s="77" t="n"/>
      <c r="F896" s="78" t="n"/>
      <c r="G896" s="79" t="n"/>
      <c r="H896" s="69" t="n"/>
      <c r="I896" s="44">
        <f>IF(OR($B896="",$H896=""),"",$H896*MAX(1,N($F896)))</f>
        <v/>
      </c>
      <c r="J896" s="80" t="n"/>
      <c r="K896" s="77" t="n"/>
      <c r="L896" s="54">
        <f>IF($B896="",0,IF(COUNTIFS('①在庫を貼る'!$V$6:$V$10005,'設定'!$C$4,'①在庫を貼る'!$W$6:$W$10005,$B896)+COUNTIFS('月1回_1ヶ月前の在庫'!$V$6:$V$10005,'設定'!$C$4,'月1回_1ヶ月前の在庫'!$W$6:$W$10005,$B896)+COUNTIFS('月1回_2ヶ月前の在庫'!$V$6:$V$10005,'設定'!$C$4,'月1回_2ヶ月前の在庫'!$W$6:$W$10005,$B896)&gt;0,1,0))</f>
        <v/>
      </c>
      <c r="M896" s="54">
        <f>N(M895)+$L896</f>
        <v/>
      </c>
      <c r="N896" s="54">
        <f>IF($B896="",0,COUNTIFS('①在庫を貼る'!$V$6:$V$10005,'設定'!$C$4,'①在庫を貼る'!$W$6:$W$10005,$B896))</f>
        <v/>
      </c>
    </row>
    <row r="897" ht="18" customHeight="1">
      <c r="B897" s="76" t="n"/>
      <c r="C897" s="77" t="n"/>
      <c r="D897" s="77" t="n"/>
      <c r="E897" s="77" t="n"/>
      <c r="F897" s="78" t="n"/>
      <c r="G897" s="79" t="n"/>
      <c r="H897" s="69" t="n"/>
      <c r="I897" s="44">
        <f>IF(OR($B897="",$H897=""),"",$H897*MAX(1,N($F897)))</f>
        <v/>
      </c>
      <c r="J897" s="80" t="n"/>
      <c r="K897" s="77" t="n"/>
      <c r="L897" s="54">
        <f>IF($B897="",0,IF(COUNTIFS('①在庫を貼る'!$V$6:$V$10005,'設定'!$C$4,'①在庫を貼る'!$W$6:$W$10005,$B897)+COUNTIFS('月1回_1ヶ月前の在庫'!$V$6:$V$10005,'設定'!$C$4,'月1回_1ヶ月前の在庫'!$W$6:$W$10005,$B897)+COUNTIFS('月1回_2ヶ月前の在庫'!$V$6:$V$10005,'設定'!$C$4,'月1回_2ヶ月前の在庫'!$W$6:$W$10005,$B897)&gt;0,1,0))</f>
        <v/>
      </c>
      <c r="M897" s="54">
        <f>N(M896)+$L897</f>
        <v/>
      </c>
      <c r="N897" s="54">
        <f>IF($B897="",0,COUNTIFS('①在庫を貼る'!$V$6:$V$10005,'設定'!$C$4,'①在庫を貼る'!$W$6:$W$10005,$B897))</f>
        <v/>
      </c>
    </row>
    <row r="898" ht="18" customHeight="1">
      <c r="B898" s="76" t="n"/>
      <c r="C898" s="77" t="n"/>
      <c r="D898" s="77" t="n"/>
      <c r="E898" s="77" t="n"/>
      <c r="F898" s="78" t="n"/>
      <c r="G898" s="79" t="n"/>
      <c r="H898" s="69" t="n"/>
      <c r="I898" s="44">
        <f>IF(OR($B898="",$H898=""),"",$H898*MAX(1,N($F898)))</f>
        <v/>
      </c>
      <c r="J898" s="80" t="n"/>
      <c r="K898" s="77" t="n"/>
      <c r="L898" s="54">
        <f>IF($B898="",0,IF(COUNTIFS('①在庫を貼る'!$V$6:$V$10005,'設定'!$C$4,'①在庫を貼る'!$W$6:$W$10005,$B898)+COUNTIFS('月1回_1ヶ月前の在庫'!$V$6:$V$10005,'設定'!$C$4,'月1回_1ヶ月前の在庫'!$W$6:$W$10005,$B898)+COUNTIFS('月1回_2ヶ月前の在庫'!$V$6:$V$10005,'設定'!$C$4,'月1回_2ヶ月前の在庫'!$W$6:$W$10005,$B898)&gt;0,1,0))</f>
        <v/>
      </c>
      <c r="M898" s="54">
        <f>N(M897)+$L898</f>
        <v/>
      </c>
      <c r="N898" s="54">
        <f>IF($B898="",0,COUNTIFS('①在庫を貼る'!$V$6:$V$10005,'設定'!$C$4,'①在庫を貼る'!$W$6:$W$10005,$B898))</f>
        <v/>
      </c>
    </row>
    <row r="899" ht="18" customHeight="1">
      <c r="B899" s="76" t="n"/>
      <c r="C899" s="77" t="n"/>
      <c r="D899" s="77" t="n"/>
      <c r="E899" s="77" t="n"/>
      <c r="F899" s="78" t="n"/>
      <c r="G899" s="79" t="n"/>
      <c r="H899" s="69" t="n"/>
      <c r="I899" s="44">
        <f>IF(OR($B899="",$H899=""),"",$H899*MAX(1,N($F899)))</f>
        <v/>
      </c>
      <c r="J899" s="80" t="n"/>
      <c r="K899" s="77" t="n"/>
      <c r="L899" s="54">
        <f>IF($B899="",0,IF(COUNTIFS('①在庫を貼る'!$V$6:$V$10005,'設定'!$C$4,'①在庫を貼る'!$W$6:$W$10005,$B899)+COUNTIFS('月1回_1ヶ月前の在庫'!$V$6:$V$10005,'設定'!$C$4,'月1回_1ヶ月前の在庫'!$W$6:$W$10005,$B899)+COUNTIFS('月1回_2ヶ月前の在庫'!$V$6:$V$10005,'設定'!$C$4,'月1回_2ヶ月前の在庫'!$W$6:$W$10005,$B899)&gt;0,1,0))</f>
        <v/>
      </c>
      <c r="M899" s="54">
        <f>N(M898)+$L899</f>
        <v/>
      </c>
      <c r="N899" s="54">
        <f>IF($B899="",0,COUNTIFS('①在庫を貼る'!$V$6:$V$10005,'設定'!$C$4,'①在庫を貼る'!$W$6:$W$10005,$B899))</f>
        <v/>
      </c>
    </row>
    <row r="900" ht="18" customHeight="1">
      <c r="B900" s="76" t="n"/>
      <c r="C900" s="77" t="n"/>
      <c r="D900" s="77" t="n"/>
      <c r="E900" s="77" t="n"/>
      <c r="F900" s="78" t="n"/>
      <c r="G900" s="79" t="n"/>
      <c r="H900" s="69" t="n"/>
      <c r="I900" s="44">
        <f>IF(OR($B900="",$H900=""),"",$H900*MAX(1,N($F900)))</f>
        <v/>
      </c>
      <c r="J900" s="80" t="n"/>
      <c r="K900" s="77" t="n"/>
      <c r="L900" s="54">
        <f>IF($B900="",0,IF(COUNTIFS('①在庫を貼る'!$V$6:$V$10005,'設定'!$C$4,'①在庫を貼る'!$W$6:$W$10005,$B900)+COUNTIFS('月1回_1ヶ月前の在庫'!$V$6:$V$10005,'設定'!$C$4,'月1回_1ヶ月前の在庫'!$W$6:$W$10005,$B900)+COUNTIFS('月1回_2ヶ月前の在庫'!$V$6:$V$10005,'設定'!$C$4,'月1回_2ヶ月前の在庫'!$W$6:$W$10005,$B900)&gt;0,1,0))</f>
        <v/>
      </c>
      <c r="M900" s="54">
        <f>N(M899)+$L900</f>
        <v/>
      </c>
      <c r="N900" s="54">
        <f>IF($B900="",0,COUNTIFS('①在庫を貼る'!$V$6:$V$10005,'設定'!$C$4,'①在庫を貼る'!$W$6:$W$10005,$B900))</f>
        <v/>
      </c>
    </row>
    <row r="901" ht="18" customHeight="1">
      <c r="B901" s="76" t="n"/>
      <c r="C901" s="77" t="n"/>
      <c r="D901" s="77" t="n"/>
      <c r="E901" s="77" t="n"/>
      <c r="F901" s="78" t="n"/>
      <c r="G901" s="79" t="n"/>
      <c r="H901" s="69" t="n"/>
      <c r="I901" s="44">
        <f>IF(OR($B901="",$H901=""),"",$H901*MAX(1,N($F901)))</f>
        <v/>
      </c>
      <c r="J901" s="80" t="n"/>
      <c r="K901" s="77" t="n"/>
      <c r="L901" s="54">
        <f>IF($B901="",0,IF(COUNTIFS('①在庫を貼る'!$V$6:$V$10005,'設定'!$C$4,'①在庫を貼る'!$W$6:$W$10005,$B901)+COUNTIFS('月1回_1ヶ月前の在庫'!$V$6:$V$10005,'設定'!$C$4,'月1回_1ヶ月前の在庫'!$W$6:$W$10005,$B901)+COUNTIFS('月1回_2ヶ月前の在庫'!$V$6:$V$10005,'設定'!$C$4,'月1回_2ヶ月前の在庫'!$W$6:$W$10005,$B901)&gt;0,1,0))</f>
        <v/>
      </c>
      <c r="M901" s="54">
        <f>N(M900)+$L901</f>
        <v/>
      </c>
      <c r="N901" s="54">
        <f>IF($B901="",0,COUNTIFS('①在庫を貼る'!$V$6:$V$10005,'設定'!$C$4,'①在庫を貼る'!$W$6:$W$10005,$B901))</f>
        <v/>
      </c>
    </row>
    <row r="902" ht="18" customHeight="1">
      <c r="B902" s="76" t="n"/>
      <c r="C902" s="77" t="n"/>
      <c r="D902" s="77" t="n"/>
      <c r="E902" s="77" t="n"/>
      <c r="F902" s="78" t="n"/>
      <c r="G902" s="79" t="n"/>
      <c r="H902" s="69" t="n"/>
      <c r="I902" s="44">
        <f>IF(OR($B902="",$H902=""),"",$H902*MAX(1,N($F902)))</f>
        <v/>
      </c>
      <c r="J902" s="80" t="n"/>
      <c r="K902" s="77" t="n"/>
      <c r="L902" s="54">
        <f>IF($B902="",0,IF(COUNTIFS('①在庫を貼る'!$V$6:$V$10005,'設定'!$C$4,'①在庫を貼る'!$W$6:$W$10005,$B902)+COUNTIFS('月1回_1ヶ月前の在庫'!$V$6:$V$10005,'設定'!$C$4,'月1回_1ヶ月前の在庫'!$W$6:$W$10005,$B902)+COUNTIFS('月1回_2ヶ月前の在庫'!$V$6:$V$10005,'設定'!$C$4,'月1回_2ヶ月前の在庫'!$W$6:$W$10005,$B902)&gt;0,1,0))</f>
        <v/>
      </c>
      <c r="M902" s="54">
        <f>N(M901)+$L902</f>
        <v/>
      </c>
      <c r="N902" s="54">
        <f>IF($B902="",0,COUNTIFS('①在庫を貼る'!$V$6:$V$10005,'設定'!$C$4,'①在庫を貼る'!$W$6:$W$10005,$B902))</f>
        <v/>
      </c>
    </row>
    <row r="903" ht="18" customHeight="1">
      <c r="B903" s="76" t="n"/>
      <c r="C903" s="77" t="n"/>
      <c r="D903" s="77" t="n"/>
      <c r="E903" s="77" t="n"/>
      <c r="F903" s="78" t="n"/>
      <c r="G903" s="79" t="n"/>
      <c r="H903" s="69" t="n"/>
      <c r="I903" s="44">
        <f>IF(OR($B903="",$H903=""),"",$H903*MAX(1,N($F903)))</f>
        <v/>
      </c>
      <c r="J903" s="80" t="n"/>
      <c r="K903" s="77" t="n"/>
      <c r="L903" s="54">
        <f>IF($B903="",0,IF(COUNTIFS('①在庫を貼る'!$V$6:$V$10005,'設定'!$C$4,'①在庫を貼る'!$W$6:$W$10005,$B903)+COUNTIFS('月1回_1ヶ月前の在庫'!$V$6:$V$10005,'設定'!$C$4,'月1回_1ヶ月前の在庫'!$W$6:$W$10005,$B903)+COUNTIFS('月1回_2ヶ月前の在庫'!$V$6:$V$10005,'設定'!$C$4,'月1回_2ヶ月前の在庫'!$W$6:$W$10005,$B903)&gt;0,1,0))</f>
        <v/>
      </c>
      <c r="M903" s="54">
        <f>N(M902)+$L903</f>
        <v/>
      </c>
      <c r="N903" s="54">
        <f>IF($B903="",0,COUNTIFS('①在庫を貼る'!$V$6:$V$10005,'設定'!$C$4,'①在庫を貼る'!$W$6:$W$10005,$B903))</f>
        <v/>
      </c>
    </row>
    <row r="904" ht="18" customHeight="1">
      <c r="B904" s="76" t="n"/>
      <c r="C904" s="77" t="n"/>
      <c r="D904" s="77" t="n"/>
      <c r="E904" s="77" t="n"/>
      <c r="F904" s="78" t="n"/>
      <c r="G904" s="79" t="n"/>
      <c r="H904" s="69" t="n"/>
      <c r="I904" s="44">
        <f>IF(OR($B904="",$H904=""),"",$H904*MAX(1,N($F904)))</f>
        <v/>
      </c>
      <c r="J904" s="80" t="n"/>
      <c r="K904" s="77" t="n"/>
      <c r="L904" s="54">
        <f>IF($B904="",0,IF(COUNTIFS('①在庫を貼る'!$V$6:$V$10005,'設定'!$C$4,'①在庫を貼る'!$W$6:$W$10005,$B904)+COUNTIFS('月1回_1ヶ月前の在庫'!$V$6:$V$10005,'設定'!$C$4,'月1回_1ヶ月前の在庫'!$W$6:$W$10005,$B904)+COUNTIFS('月1回_2ヶ月前の在庫'!$V$6:$V$10005,'設定'!$C$4,'月1回_2ヶ月前の在庫'!$W$6:$W$10005,$B904)&gt;0,1,0))</f>
        <v/>
      </c>
      <c r="M904" s="54">
        <f>N(M903)+$L904</f>
        <v/>
      </c>
      <c r="N904" s="54">
        <f>IF($B904="",0,COUNTIFS('①在庫を貼る'!$V$6:$V$10005,'設定'!$C$4,'①在庫を貼る'!$W$6:$W$10005,$B904))</f>
        <v/>
      </c>
    </row>
    <row r="905" ht="18" customHeight="1">
      <c r="B905" s="76" t="n"/>
      <c r="C905" s="77" t="n"/>
      <c r="D905" s="77" t="n"/>
      <c r="E905" s="77" t="n"/>
      <c r="F905" s="78" t="n"/>
      <c r="G905" s="79" t="n"/>
      <c r="H905" s="69" t="n"/>
      <c r="I905" s="44">
        <f>IF(OR($B905="",$H905=""),"",$H905*MAX(1,N($F905)))</f>
        <v/>
      </c>
      <c r="J905" s="80" t="n"/>
      <c r="K905" s="77" t="n"/>
      <c r="L905" s="54">
        <f>IF($B905="",0,IF(COUNTIFS('①在庫を貼る'!$V$6:$V$10005,'設定'!$C$4,'①在庫を貼る'!$W$6:$W$10005,$B905)+COUNTIFS('月1回_1ヶ月前の在庫'!$V$6:$V$10005,'設定'!$C$4,'月1回_1ヶ月前の在庫'!$W$6:$W$10005,$B905)+COUNTIFS('月1回_2ヶ月前の在庫'!$V$6:$V$10005,'設定'!$C$4,'月1回_2ヶ月前の在庫'!$W$6:$W$10005,$B905)&gt;0,1,0))</f>
        <v/>
      </c>
      <c r="M905" s="54">
        <f>N(M904)+$L905</f>
        <v/>
      </c>
      <c r="N905" s="54">
        <f>IF($B905="",0,COUNTIFS('①在庫を貼る'!$V$6:$V$10005,'設定'!$C$4,'①在庫を貼る'!$W$6:$W$10005,$B905))</f>
        <v/>
      </c>
    </row>
    <row r="906" ht="18" customHeight="1">
      <c r="B906" s="76" t="n"/>
      <c r="C906" s="77" t="n"/>
      <c r="D906" s="77" t="n"/>
      <c r="E906" s="77" t="n"/>
      <c r="F906" s="78" t="n"/>
      <c r="G906" s="79" t="n"/>
      <c r="H906" s="69" t="n"/>
      <c r="I906" s="44">
        <f>IF(OR($B906="",$H906=""),"",$H906*MAX(1,N($F906)))</f>
        <v/>
      </c>
      <c r="J906" s="80" t="n"/>
      <c r="K906" s="77" t="n"/>
      <c r="L906" s="54">
        <f>IF($B906="",0,IF(COUNTIFS('①在庫を貼る'!$V$6:$V$10005,'設定'!$C$4,'①在庫を貼る'!$W$6:$W$10005,$B906)+COUNTIFS('月1回_1ヶ月前の在庫'!$V$6:$V$10005,'設定'!$C$4,'月1回_1ヶ月前の在庫'!$W$6:$W$10005,$B906)+COUNTIFS('月1回_2ヶ月前の在庫'!$V$6:$V$10005,'設定'!$C$4,'月1回_2ヶ月前の在庫'!$W$6:$W$10005,$B906)&gt;0,1,0))</f>
        <v/>
      </c>
      <c r="M906" s="54">
        <f>N(M905)+$L906</f>
        <v/>
      </c>
      <c r="N906" s="54">
        <f>IF($B906="",0,COUNTIFS('①在庫を貼る'!$V$6:$V$10005,'設定'!$C$4,'①在庫を貼る'!$W$6:$W$10005,$B906))</f>
        <v/>
      </c>
    </row>
    <row r="907" ht="18" customHeight="1">
      <c r="B907" s="76" t="n"/>
      <c r="C907" s="77" t="n"/>
      <c r="D907" s="77" t="n"/>
      <c r="E907" s="77" t="n"/>
      <c r="F907" s="78" t="n"/>
      <c r="G907" s="79" t="n"/>
      <c r="H907" s="69" t="n"/>
      <c r="I907" s="44">
        <f>IF(OR($B907="",$H907=""),"",$H907*MAX(1,N($F907)))</f>
        <v/>
      </c>
      <c r="J907" s="80" t="n"/>
      <c r="K907" s="77" t="n"/>
      <c r="L907" s="54">
        <f>IF($B907="",0,IF(COUNTIFS('①在庫を貼る'!$V$6:$V$10005,'設定'!$C$4,'①在庫を貼る'!$W$6:$W$10005,$B907)+COUNTIFS('月1回_1ヶ月前の在庫'!$V$6:$V$10005,'設定'!$C$4,'月1回_1ヶ月前の在庫'!$W$6:$W$10005,$B907)+COUNTIFS('月1回_2ヶ月前の在庫'!$V$6:$V$10005,'設定'!$C$4,'月1回_2ヶ月前の在庫'!$W$6:$W$10005,$B907)&gt;0,1,0))</f>
        <v/>
      </c>
      <c r="M907" s="54">
        <f>N(M906)+$L907</f>
        <v/>
      </c>
      <c r="N907" s="54">
        <f>IF($B907="",0,COUNTIFS('①在庫を貼る'!$V$6:$V$10005,'設定'!$C$4,'①在庫を貼る'!$W$6:$W$10005,$B907))</f>
        <v/>
      </c>
    </row>
    <row r="908" ht="18" customHeight="1">
      <c r="B908" s="76" t="n"/>
      <c r="C908" s="77" t="n"/>
      <c r="D908" s="77" t="n"/>
      <c r="E908" s="77" t="n"/>
      <c r="F908" s="78" t="n"/>
      <c r="G908" s="79" t="n"/>
      <c r="H908" s="69" t="n"/>
      <c r="I908" s="44">
        <f>IF(OR($B908="",$H908=""),"",$H908*MAX(1,N($F908)))</f>
        <v/>
      </c>
      <c r="J908" s="80" t="n"/>
      <c r="K908" s="77" t="n"/>
      <c r="L908" s="54">
        <f>IF($B908="",0,IF(COUNTIFS('①在庫を貼る'!$V$6:$V$10005,'設定'!$C$4,'①在庫を貼る'!$W$6:$W$10005,$B908)+COUNTIFS('月1回_1ヶ月前の在庫'!$V$6:$V$10005,'設定'!$C$4,'月1回_1ヶ月前の在庫'!$W$6:$W$10005,$B908)+COUNTIFS('月1回_2ヶ月前の在庫'!$V$6:$V$10005,'設定'!$C$4,'月1回_2ヶ月前の在庫'!$W$6:$W$10005,$B908)&gt;0,1,0))</f>
        <v/>
      </c>
      <c r="M908" s="54">
        <f>N(M907)+$L908</f>
        <v/>
      </c>
      <c r="N908" s="54">
        <f>IF($B908="",0,COUNTIFS('①在庫を貼る'!$V$6:$V$10005,'設定'!$C$4,'①在庫を貼る'!$W$6:$W$10005,$B908))</f>
        <v/>
      </c>
    </row>
    <row r="909" ht="18" customHeight="1">
      <c r="B909" s="76" t="n"/>
      <c r="C909" s="77" t="n"/>
      <c r="D909" s="77" t="n"/>
      <c r="E909" s="77" t="n"/>
      <c r="F909" s="78" t="n"/>
      <c r="G909" s="79" t="n"/>
      <c r="H909" s="69" t="n"/>
      <c r="I909" s="44">
        <f>IF(OR($B909="",$H909=""),"",$H909*MAX(1,N($F909)))</f>
        <v/>
      </c>
      <c r="J909" s="80" t="n"/>
      <c r="K909" s="77" t="n"/>
      <c r="L909" s="54">
        <f>IF($B909="",0,IF(COUNTIFS('①在庫を貼る'!$V$6:$V$10005,'設定'!$C$4,'①在庫を貼る'!$W$6:$W$10005,$B909)+COUNTIFS('月1回_1ヶ月前の在庫'!$V$6:$V$10005,'設定'!$C$4,'月1回_1ヶ月前の在庫'!$W$6:$W$10005,$B909)+COUNTIFS('月1回_2ヶ月前の在庫'!$V$6:$V$10005,'設定'!$C$4,'月1回_2ヶ月前の在庫'!$W$6:$W$10005,$B909)&gt;0,1,0))</f>
        <v/>
      </c>
      <c r="M909" s="54">
        <f>N(M908)+$L909</f>
        <v/>
      </c>
      <c r="N909" s="54">
        <f>IF($B909="",0,COUNTIFS('①在庫を貼る'!$V$6:$V$10005,'設定'!$C$4,'①在庫を貼る'!$W$6:$W$10005,$B909))</f>
        <v/>
      </c>
    </row>
    <row r="910" ht="18" customHeight="1">
      <c r="B910" s="76" t="n"/>
      <c r="C910" s="77" t="n"/>
      <c r="D910" s="77" t="n"/>
      <c r="E910" s="77" t="n"/>
      <c r="F910" s="78" t="n"/>
      <c r="G910" s="79" t="n"/>
      <c r="H910" s="69" t="n"/>
      <c r="I910" s="44">
        <f>IF(OR($B910="",$H910=""),"",$H910*MAX(1,N($F910)))</f>
        <v/>
      </c>
      <c r="J910" s="80" t="n"/>
      <c r="K910" s="77" t="n"/>
      <c r="L910" s="54">
        <f>IF($B910="",0,IF(COUNTIFS('①在庫を貼る'!$V$6:$V$10005,'設定'!$C$4,'①在庫を貼る'!$W$6:$W$10005,$B910)+COUNTIFS('月1回_1ヶ月前の在庫'!$V$6:$V$10005,'設定'!$C$4,'月1回_1ヶ月前の在庫'!$W$6:$W$10005,$B910)+COUNTIFS('月1回_2ヶ月前の在庫'!$V$6:$V$10005,'設定'!$C$4,'月1回_2ヶ月前の在庫'!$W$6:$W$10005,$B910)&gt;0,1,0))</f>
        <v/>
      </c>
      <c r="M910" s="54">
        <f>N(M909)+$L910</f>
        <v/>
      </c>
      <c r="N910" s="54">
        <f>IF($B910="",0,COUNTIFS('①在庫を貼る'!$V$6:$V$10005,'設定'!$C$4,'①在庫を貼る'!$W$6:$W$10005,$B910))</f>
        <v/>
      </c>
    </row>
    <row r="911" ht="18" customHeight="1">
      <c r="B911" s="76" t="n"/>
      <c r="C911" s="77" t="n"/>
      <c r="D911" s="77" t="n"/>
      <c r="E911" s="77" t="n"/>
      <c r="F911" s="78" t="n"/>
      <c r="G911" s="79" t="n"/>
      <c r="H911" s="69" t="n"/>
      <c r="I911" s="44">
        <f>IF(OR($B911="",$H911=""),"",$H911*MAX(1,N($F911)))</f>
        <v/>
      </c>
      <c r="J911" s="80" t="n"/>
      <c r="K911" s="77" t="n"/>
      <c r="L911" s="54">
        <f>IF($B911="",0,IF(COUNTIFS('①在庫を貼る'!$V$6:$V$10005,'設定'!$C$4,'①在庫を貼る'!$W$6:$W$10005,$B911)+COUNTIFS('月1回_1ヶ月前の在庫'!$V$6:$V$10005,'設定'!$C$4,'月1回_1ヶ月前の在庫'!$W$6:$W$10005,$B911)+COUNTIFS('月1回_2ヶ月前の在庫'!$V$6:$V$10005,'設定'!$C$4,'月1回_2ヶ月前の在庫'!$W$6:$W$10005,$B911)&gt;0,1,0))</f>
        <v/>
      </c>
      <c r="M911" s="54">
        <f>N(M910)+$L911</f>
        <v/>
      </c>
      <c r="N911" s="54">
        <f>IF($B911="",0,COUNTIFS('①在庫を貼る'!$V$6:$V$10005,'設定'!$C$4,'①在庫を貼る'!$W$6:$W$10005,$B911))</f>
        <v/>
      </c>
    </row>
    <row r="912" ht="18" customHeight="1">
      <c r="B912" s="76" t="n"/>
      <c r="C912" s="77" t="n"/>
      <c r="D912" s="77" t="n"/>
      <c r="E912" s="77" t="n"/>
      <c r="F912" s="78" t="n"/>
      <c r="G912" s="79" t="n"/>
      <c r="H912" s="69" t="n"/>
      <c r="I912" s="44">
        <f>IF(OR($B912="",$H912=""),"",$H912*MAX(1,N($F912)))</f>
        <v/>
      </c>
      <c r="J912" s="80" t="n"/>
      <c r="K912" s="77" t="n"/>
      <c r="L912" s="54">
        <f>IF($B912="",0,IF(COUNTIFS('①在庫を貼る'!$V$6:$V$10005,'設定'!$C$4,'①在庫を貼る'!$W$6:$W$10005,$B912)+COUNTIFS('月1回_1ヶ月前の在庫'!$V$6:$V$10005,'設定'!$C$4,'月1回_1ヶ月前の在庫'!$W$6:$W$10005,$B912)+COUNTIFS('月1回_2ヶ月前の在庫'!$V$6:$V$10005,'設定'!$C$4,'月1回_2ヶ月前の在庫'!$W$6:$W$10005,$B912)&gt;0,1,0))</f>
        <v/>
      </c>
      <c r="M912" s="54">
        <f>N(M911)+$L912</f>
        <v/>
      </c>
      <c r="N912" s="54">
        <f>IF($B912="",0,COUNTIFS('①在庫を貼る'!$V$6:$V$10005,'設定'!$C$4,'①在庫を貼る'!$W$6:$W$10005,$B912))</f>
        <v/>
      </c>
    </row>
    <row r="913" ht="18" customHeight="1">
      <c r="B913" s="76" t="n"/>
      <c r="C913" s="77" t="n"/>
      <c r="D913" s="77" t="n"/>
      <c r="E913" s="77" t="n"/>
      <c r="F913" s="78" t="n"/>
      <c r="G913" s="79" t="n"/>
      <c r="H913" s="69" t="n"/>
      <c r="I913" s="44">
        <f>IF(OR($B913="",$H913=""),"",$H913*MAX(1,N($F913)))</f>
        <v/>
      </c>
      <c r="J913" s="80" t="n"/>
      <c r="K913" s="77" t="n"/>
      <c r="L913" s="54">
        <f>IF($B913="",0,IF(COUNTIFS('①在庫を貼る'!$V$6:$V$10005,'設定'!$C$4,'①在庫を貼る'!$W$6:$W$10005,$B913)+COUNTIFS('月1回_1ヶ月前の在庫'!$V$6:$V$10005,'設定'!$C$4,'月1回_1ヶ月前の在庫'!$W$6:$W$10005,$B913)+COUNTIFS('月1回_2ヶ月前の在庫'!$V$6:$V$10005,'設定'!$C$4,'月1回_2ヶ月前の在庫'!$W$6:$W$10005,$B913)&gt;0,1,0))</f>
        <v/>
      </c>
      <c r="M913" s="54">
        <f>N(M912)+$L913</f>
        <v/>
      </c>
      <c r="N913" s="54">
        <f>IF($B913="",0,COUNTIFS('①在庫を貼る'!$V$6:$V$10005,'設定'!$C$4,'①在庫を貼る'!$W$6:$W$10005,$B913))</f>
        <v/>
      </c>
    </row>
    <row r="914" ht="18" customHeight="1">
      <c r="B914" s="76" t="n"/>
      <c r="C914" s="77" t="n"/>
      <c r="D914" s="77" t="n"/>
      <c r="E914" s="77" t="n"/>
      <c r="F914" s="78" t="n"/>
      <c r="G914" s="79" t="n"/>
      <c r="H914" s="69" t="n"/>
      <c r="I914" s="44">
        <f>IF(OR($B914="",$H914=""),"",$H914*MAX(1,N($F914)))</f>
        <v/>
      </c>
      <c r="J914" s="80" t="n"/>
      <c r="K914" s="77" t="n"/>
      <c r="L914" s="54">
        <f>IF($B914="",0,IF(COUNTIFS('①在庫を貼る'!$V$6:$V$10005,'設定'!$C$4,'①在庫を貼る'!$W$6:$W$10005,$B914)+COUNTIFS('月1回_1ヶ月前の在庫'!$V$6:$V$10005,'設定'!$C$4,'月1回_1ヶ月前の在庫'!$W$6:$W$10005,$B914)+COUNTIFS('月1回_2ヶ月前の在庫'!$V$6:$V$10005,'設定'!$C$4,'月1回_2ヶ月前の在庫'!$W$6:$W$10005,$B914)&gt;0,1,0))</f>
        <v/>
      </c>
      <c r="M914" s="54">
        <f>N(M913)+$L914</f>
        <v/>
      </c>
      <c r="N914" s="54">
        <f>IF($B914="",0,COUNTIFS('①在庫を貼る'!$V$6:$V$10005,'設定'!$C$4,'①在庫を貼る'!$W$6:$W$10005,$B914))</f>
        <v/>
      </c>
    </row>
    <row r="915" ht="18" customHeight="1">
      <c r="B915" s="76" t="n"/>
      <c r="C915" s="77" t="n"/>
      <c r="D915" s="77" t="n"/>
      <c r="E915" s="77" t="n"/>
      <c r="F915" s="78" t="n"/>
      <c r="G915" s="79" t="n"/>
      <c r="H915" s="69" t="n"/>
      <c r="I915" s="44">
        <f>IF(OR($B915="",$H915=""),"",$H915*MAX(1,N($F915)))</f>
        <v/>
      </c>
      <c r="J915" s="80" t="n"/>
      <c r="K915" s="77" t="n"/>
      <c r="L915" s="54">
        <f>IF($B915="",0,IF(COUNTIFS('①在庫を貼る'!$V$6:$V$10005,'設定'!$C$4,'①在庫を貼る'!$W$6:$W$10005,$B915)+COUNTIFS('月1回_1ヶ月前の在庫'!$V$6:$V$10005,'設定'!$C$4,'月1回_1ヶ月前の在庫'!$W$6:$W$10005,$B915)+COUNTIFS('月1回_2ヶ月前の在庫'!$V$6:$V$10005,'設定'!$C$4,'月1回_2ヶ月前の在庫'!$W$6:$W$10005,$B915)&gt;0,1,0))</f>
        <v/>
      </c>
      <c r="M915" s="54">
        <f>N(M914)+$L915</f>
        <v/>
      </c>
      <c r="N915" s="54">
        <f>IF($B915="",0,COUNTIFS('①在庫を貼る'!$V$6:$V$10005,'設定'!$C$4,'①在庫を貼る'!$W$6:$W$10005,$B915))</f>
        <v/>
      </c>
    </row>
    <row r="916" ht="18" customHeight="1">
      <c r="B916" s="76" t="n"/>
      <c r="C916" s="77" t="n"/>
      <c r="D916" s="77" t="n"/>
      <c r="E916" s="77" t="n"/>
      <c r="F916" s="78" t="n"/>
      <c r="G916" s="79" t="n"/>
      <c r="H916" s="69" t="n"/>
      <c r="I916" s="44">
        <f>IF(OR($B916="",$H916=""),"",$H916*MAX(1,N($F916)))</f>
        <v/>
      </c>
      <c r="J916" s="80" t="n"/>
      <c r="K916" s="77" t="n"/>
      <c r="L916" s="54">
        <f>IF($B916="",0,IF(COUNTIFS('①在庫を貼る'!$V$6:$V$10005,'設定'!$C$4,'①在庫を貼る'!$W$6:$W$10005,$B916)+COUNTIFS('月1回_1ヶ月前の在庫'!$V$6:$V$10005,'設定'!$C$4,'月1回_1ヶ月前の在庫'!$W$6:$W$10005,$B916)+COUNTIFS('月1回_2ヶ月前の在庫'!$V$6:$V$10005,'設定'!$C$4,'月1回_2ヶ月前の在庫'!$W$6:$W$10005,$B916)&gt;0,1,0))</f>
        <v/>
      </c>
      <c r="M916" s="54">
        <f>N(M915)+$L916</f>
        <v/>
      </c>
      <c r="N916" s="54">
        <f>IF($B916="",0,COUNTIFS('①在庫を貼る'!$V$6:$V$10005,'設定'!$C$4,'①在庫を貼る'!$W$6:$W$10005,$B916))</f>
        <v/>
      </c>
    </row>
    <row r="917" ht="18" customHeight="1">
      <c r="B917" s="76" t="n"/>
      <c r="C917" s="77" t="n"/>
      <c r="D917" s="77" t="n"/>
      <c r="E917" s="77" t="n"/>
      <c r="F917" s="78" t="n"/>
      <c r="G917" s="79" t="n"/>
      <c r="H917" s="69" t="n"/>
      <c r="I917" s="44">
        <f>IF(OR($B917="",$H917=""),"",$H917*MAX(1,N($F917)))</f>
        <v/>
      </c>
      <c r="J917" s="80" t="n"/>
      <c r="K917" s="77" t="n"/>
      <c r="L917" s="54">
        <f>IF($B917="",0,IF(COUNTIFS('①在庫を貼る'!$V$6:$V$10005,'設定'!$C$4,'①在庫を貼る'!$W$6:$W$10005,$B917)+COUNTIFS('月1回_1ヶ月前の在庫'!$V$6:$V$10005,'設定'!$C$4,'月1回_1ヶ月前の在庫'!$W$6:$W$10005,$B917)+COUNTIFS('月1回_2ヶ月前の在庫'!$V$6:$V$10005,'設定'!$C$4,'月1回_2ヶ月前の在庫'!$W$6:$W$10005,$B917)&gt;0,1,0))</f>
        <v/>
      </c>
      <c r="M917" s="54">
        <f>N(M916)+$L917</f>
        <v/>
      </c>
      <c r="N917" s="54">
        <f>IF($B917="",0,COUNTIFS('①在庫を貼る'!$V$6:$V$10005,'設定'!$C$4,'①在庫を貼る'!$W$6:$W$10005,$B917))</f>
        <v/>
      </c>
    </row>
    <row r="918" ht="18" customHeight="1">
      <c r="B918" s="76" t="n"/>
      <c r="C918" s="77" t="n"/>
      <c r="D918" s="77" t="n"/>
      <c r="E918" s="77" t="n"/>
      <c r="F918" s="78" t="n"/>
      <c r="G918" s="79" t="n"/>
      <c r="H918" s="69" t="n"/>
      <c r="I918" s="44">
        <f>IF(OR($B918="",$H918=""),"",$H918*MAX(1,N($F918)))</f>
        <v/>
      </c>
      <c r="J918" s="80" t="n"/>
      <c r="K918" s="77" t="n"/>
      <c r="L918" s="54">
        <f>IF($B918="",0,IF(COUNTIFS('①在庫を貼る'!$V$6:$V$10005,'設定'!$C$4,'①在庫を貼る'!$W$6:$W$10005,$B918)+COUNTIFS('月1回_1ヶ月前の在庫'!$V$6:$V$10005,'設定'!$C$4,'月1回_1ヶ月前の在庫'!$W$6:$W$10005,$B918)+COUNTIFS('月1回_2ヶ月前の在庫'!$V$6:$V$10005,'設定'!$C$4,'月1回_2ヶ月前の在庫'!$W$6:$W$10005,$B918)&gt;0,1,0))</f>
        <v/>
      </c>
      <c r="M918" s="54">
        <f>N(M917)+$L918</f>
        <v/>
      </c>
      <c r="N918" s="54">
        <f>IF($B918="",0,COUNTIFS('①在庫を貼る'!$V$6:$V$10005,'設定'!$C$4,'①在庫を貼る'!$W$6:$W$10005,$B918))</f>
        <v/>
      </c>
    </row>
    <row r="919" ht="18" customHeight="1">
      <c r="B919" s="76" t="n"/>
      <c r="C919" s="77" t="n"/>
      <c r="D919" s="77" t="n"/>
      <c r="E919" s="77" t="n"/>
      <c r="F919" s="78" t="n"/>
      <c r="G919" s="79" t="n"/>
      <c r="H919" s="69" t="n"/>
      <c r="I919" s="44">
        <f>IF(OR($B919="",$H919=""),"",$H919*MAX(1,N($F919)))</f>
        <v/>
      </c>
      <c r="J919" s="80" t="n"/>
      <c r="K919" s="77" t="n"/>
      <c r="L919" s="54">
        <f>IF($B919="",0,IF(COUNTIFS('①在庫を貼る'!$V$6:$V$10005,'設定'!$C$4,'①在庫を貼る'!$W$6:$W$10005,$B919)+COUNTIFS('月1回_1ヶ月前の在庫'!$V$6:$V$10005,'設定'!$C$4,'月1回_1ヶ月前の在庫'!$W$6:$W$10005,$B919)+COUNTIFS('月1回_2ヶ月前の在庫'!$V$6:$V$10005,'設定'!$C$4,'月1回_2ヶ月前の在庫'!$W$6:$W$10005,$B919)&gt;0,1,0))</f>
        <v/>
      </c>
      <c r="M919" s="54">
        <f>N(M918)+$L919</f>
        <v/>
      </c>
      <c r="N919" s="54">
        <f>IF($B919="",0,COUNTIFS('①在庫を貼る'!$V$6:$V$10005,'設定'!$C$4,'①在庫を貼る'!$W$6:$W$10005,$B919))</f>
        <v/>
      </c>
    </row>
    <row r="920" ht="18" customHeight="1">
      <c r="B920" s="76" t="n"/>
      <c r="C920" s="77" t="n"/>
      <c r="D920" s="77" t="n"/>
      <c r="E920" s="77" t="n"/>
      <c r="F920" s="78" t="n"/>
      <c r="G920" s="79" t="n"/>
      <c r="H920" s="69" t="n"/>
      <c r="I920" s="44">
        <f>IF(OR($B920="",$H920=""),"",$H920*MAX(1,N($F920)))</f>
        <v/>
      </c>
      <c r="J920" s="80" t="n"/>
      <c r="K920" s="77" t="n"/>
      <c r="L920" s="54">
        <f>IF($B920="",0,IF(COUNTIFS('①在庫を貼る'!$V$6:$V$10005,'設定'!$C$4,'①在庫を貼る'!$W$6:$W$10005,$B920)+COUNTIFS('月1回_1ヶ月前の在庫'!$V$6:$V$10005,'設定'!$C$4,'月1回_1ヶ月前の在庫'!$W$6:$W$10005,$B920)+COUNTIFS('月1回_2ヶ月前の在庫'!$V$6:$V$10005,'設定'!$C$4,'月1回_2ヶ月前の在庫'!$W$6:$W$10005,$B920)&gt;0,1,0))</f>
        <v/>
      </c>
      <c r="M920" s="54">
        <f>N(M919)+$L920</f>
        <v/>
      </c>
      <c r="N920" s="54">
        <f>IF($B920="",0,COUNTIFS('①在庫を貼る'!$V$6:$V$10005,'設定'!$C$4,'①在庫を貼る'!$W$6:$W$10005,$B920))</f>
        <v/>
      </c>
    </row>
    <row r="921" ht="18" customHeight="1">
      <c r="B921" s="76" t="n"/>
      <c r="C921" s="77" t="n"/>
      <c r="D921" s="77" t="n"/>
      <c r="E921" s="77" t="n"/>
      <c r="F921" s="78" t="n"/>
      <c r="G921" s="79" t="n"/>
      <c r="H921" s="69" t="n"/>
      <c r="I921" s="44">
        <f>IF(OR($B921="",$H921=""),"",$H921*MAX(1,N($F921)))</f>
        <v/>
      </c>
      <c r="J921" s="80" t="n"/>
      <c r="K921" s="77" t="n"/>
      <c r="L921" s="54">
        <f>IF($B921="",0,IF(COUNTIFS('①在庫を貼る'!$V$6:$V$10005,'設定'!$C$4,'①在庫を貼る'!$W$6:$W$10005,$B921)+COUNTIFS('月1回_1ヶ月前の在庫'!$V$6:$V$10005,'設定'!$C$4,'月1回_1ヶ月前の在庫'!$W$6:$W$10005,$B921)+COUNTIFS('月1回_2ヶ月前の在庫'!$V$6:$V$10005,'設定'!$C$4,'月1回_2ヶ月前の在庫'!$W$6:$W$10005,$B921)&gt;0,1,0))</f>
        <v/>
      </c>
      <c r="M921" s="54">
        <f>N(M920)+$L921</f>
        <v/>
      </c>
      <c r="N921" s="54">
        <f>IF($B921="",0,COUNTIFS('①在庫を貼る'!$V$6:$V$10005,'設定'!$C$4,'①在庫を貼る'!$W$6:$W$10005,$B921))</f>
        <v/>
      </c>
    </row>
    <row r="922" ht="18" customHeight="1">
      <c r="B922" s="76" t="n"/>
      <c r="C922" s="77" t="n"/>
      <c r="D922" s="77" t="n"/>
      <c r="E922" s="77" t="n"/>
      <c r="F922" s="78" t="n"/>
      <c r="G922" s="79" t="n"/>
      <c r="H922" s="69" t="n"/>
      <c r="I922" s="44">
        <f>IF(OR($B922="",$H922=""),"",$H922*MAX(1,N($F922)))</f>
        <v/>
      </c>
      <c r="J922" s="80" t="n"/>
      <c r="K922" s="77" t="n"/>
      <c r="L922" s="54">
        <f>IF($B922="",0,IF(COUNTIFS('①在庫を貼る'!$V$6:$V$10005,'設定'!$C$4,'①在庫を貼る'!$W$6:$W$10005,$B922)+COUNTIFS('月1回_1ヶ月前の在庫'!$V$6:$V$10005,'設定'!$C$4,'月1回_1ヶ月前の在庫'!$W$6:$W$10005,$B922)+COUNTIFS('月1回_2ヶ月前の在庫'!$V$6:$V$10005,'設定'!$C$4,'月1回_2ヶ月前の在庫'!$W$6:$W$10005,$B922)&gt;0,1,0))</f>
        <v/>
      </c>
      <c r="M922" s="54">
        <f>N(M921)+$L922</f>
        <v/>
      </c>
      <c r="N922" s="54">
        <f>IF($B922="",0,COUNTIFS('①在庫を貼る'!$V$6:$V$10005,'設定'!$C$4,'①在庫を貼る'!$W$6:$W$10005,$B922))</f>
        <v/>
      </c>
    </row>
    <row r="923" ht="18" customHeight="1">
      <c r="B923" s="76" t="n"/>
      <c r="C923" s="77" t="n"/>
      <c r="D923" s="77" t="n"/>
      <c r="E923" s="77" t="n"/>
      <c r="F923" s="78" t="n"/>
      <c r="G923" s="79" t="n"/>
      <c r="H923" s="69" t="n"/>
      <c r="I923" s="44">
        <f>IF(OR($B923="",$H923=""),"",$H923*MAX(1,N($F923)))</f>
        <v/>
      </c>
      <c r="J923" s="80" t="n"/>
      <c r="K923" s="77" t="n"/>
      <c r="L923" s="54">
        <f>IF($B923="",0,IF(COUNTIFS('①在庫を貼る'!$V$6:$V$10005,'設定'!$C$4,'①在庫を貼る'!$W$6:$W$10005,$B923)+COUNTIFS('月1回_1ヶ月前の在庫'!$V$6:$V$10005,'設定'!$C$4,'月1回_1ヶ月前の在庫'!$W$6:$W$10005,$B923)+COUNTIFS('月1回_2ヶ月前の在庫'!$V$6:$V$10005,'設定'!$C$4,'月1回_2ヶ月前の在庫'!$W$6:$W$10005,$B923)&gt;0,1,0))</f>
        <v/>
      </c>
      <c r="M923" s="54">
        <f>N(M922)+$L923</f>
        <v/>
      </c>
      <c r="N923" s="54">
        <f>IF($B923="",0,COUNTIFS('①在庫を貼る'!$V$6:$V$10005,'設定'!$C$4,'①在庫を貼る'!$W$6:$W$10005,$B923))</f>
        <v/>
      </c>
    </row>
    <row r="924" ht="18" customHeight="1">
      <c r="B924" s="76" t="n"/>
      <c r="C924" s="77" t="n"/>
      <c r="D924" s="77" t="n"/>
      <c r="E924" s="77" t="n"/>
      <c r="F924" s="78" t="n"/>
      <c r="G924" s="79" t="n"/>
      <c r="H924" s="69" t="n"/>
      <c r="I924" s="44">
        <f>IF(OR($B924="",$H924=""),"",$H924*MAX(1,N($F924)))</f>
        <v/>
      </c>
      <c r="J924" s="80" t="n"/>
      <c r="K924" s="77" t="n"/>
      <c r="L924" s="54">
        <f>IF($B924="",0,IF(COUNTIFS('①在庫を貼る'!$V$6:$V$10005,'設定'!$C$4,'①在庫を貼る'!$W$6:$W$10005,$B924)+COUNTIFS('月1回_1ヶ月前の在庫'!$V$6:$V$10005,'設定'!$C$4,'月1回_1ヶ月前の在庫'!$W$6:$W$10005,$B924)+COUNTIFS('月1回_2ヶ月前の在庫'!$V$6:$V$10005,'設定'!$C$4,'月1回_2ヶ月前の在庫'!$W$6:$W$10005,$B924)&gt;0,1,0))</f>
        <v/>
      </c>
      <c r="M924" s="54">
        <f>N(M923)+$L924</f>
        <v/>
      </c>
      <c r="N924" s="54">
        <f>IF($B924="",0,COUNTIFS('①在庫を貼る'!$V$6:$V$10005,'設定'!$C$4,'①在庫を貼る'!$W$6:$W$10005,$B924))</f>
        <v/>
      </c>
    </row>
    <row r="925" ht="18" customHeight="1">
      <c r="B925" s="76" t="n"/>
      <c r="C925" s="77" t="n"/>
      <c r="D925" s="77" t="n"/>
      <c r="E925" s="77" t="n"/>
      <c r="F925" s="78" t="n"/>
      <c r="G925" s="79" t="n"/>
      <c r="H925" s="69" t="n"/>
      <c r="I925" s="44">
        <f>IF(OR($B925="",$H925=""),"",$H925*MAX(1,N($F925)))</f>
        <v/>
      </c>
      <c r="J925" s="80" t="n"/>
      <c r="K925" s="77" t="n"/>
      <c r="L925" s="54">
        <f>IF($B925="",0,IF(COUNTIFS('①在庫を貼る'!$V$6:$V$10005,'設定'!$C$4,'①在庫を貼る'!$W$6:$W$10005,$B925)+COUNTIFS('月1回_1ヶ月前の在庫'!$V$6:$V$10005,'設定'!$C$4,'月1回_1ヶ月前の在庫'!$W$6:$W$10005,$B925)+COUNTIFS('月1回_2ヶ月前の在庫'!$V$6:$V$10005,'設定'!$C$4,'月1回_2ヶ月前の在庫'!$W$6:$W$10005,$B925)&gt;0,1,0))</f>
        <v/>
      </c>
      <c r="M925" s="54">
        <f>N(M924)+$L925</f>
        <v/>
      </c>
      <c r="N925" s="54">
        <f>IF($B925="",0,COUNTIFS('①在庫を貼る'!$V$6:$V$10005,'設定'!$C$4,'①在庫を貼る'!$W$6:$W$10005,$B925))</f>
        <v/>
      </c>
    </row>
    <row r="926" ht="18" customHeight="1">
      <c r="B926" s="76" t="n"/>
      <c r="C926" s="77" t="n"/>
      <c r="D926" s="77" t="n"/>
      <c r="E926" s="77" t="n"/>
      <c r="F926" s="78" t="n"/>
      <c r="G926" s="79" t="n"/>
      <c r="H926" s="69" t="n"/>
      <c r="I926" s="44">
        <f>IF(OR($B926="",$H926=""),"",$H926*MAX(1,N($F926)))</f>
        <v/>
      </c>
      <c r="J926" s="80" t="n"/>
      <c r="K926" s="77" t="n"/>
      <c r="L926" s="54">
        <f>IF($B926="",0,IF(COUNTIFS('①在庫を貼る'!$V$6:$V$10005,'設定'!$C$4,'①在庫を貼る'!$W$6:$W$10005,$B926)+COUNTIFS('月1回_1ヶ月前の在庫'!$V$6:$V$10005,'設定'!$C$4,'月1回_1ヶ月前の在庫'!$W$6:$W$10005,$B926)+COUNTIFS('月1回_2ヶ月前の在庫'!$V$6:$V$10005,'設定'!$C$4,'月1回_2ヶ月前の在庫'!$W$6:$W$10005,$B926)&gt;0,1,0))</f>
        <v/>
      </c>
      <c r="M926" s="54">
        <f>N(M925)+$L926</f>
        <v/>
      </c>
      <c r="N926" s="54">
        <f>IF($B926="",0,COUNTIFS('①在庫を貼る'!$V$6:$V$10005,'設定'!$C$4,'①在庫を貼る'!$W$6:$W$10005,$B926))</f>
        <v/>
      </c>
    </row>
    <row r="927" ht="18" customHeight="1">
      <c r="B927" s="76" t="n"/>
      <c r="C927" s="77" t="n"/>
      <c r="D927" s="77" t="n"/>
      <c r="E927" s="77" t="n"/>
      <c r="F927" s="78" t="n"/>
      <c r="G927" s="79" t="n"/>
      <c r="H927" s="69" t="n"/>
      <c r="I927" s="44">
        <f>IF(OR($B927="",$H927=""),"",$H927*MAX(1,N($F927)))</f>
        <v/>
      </c>
      <c r="J927" s="80" t="n"/>
      <c r="K927" s="77" t="n"/>
      <c r="L927" s="54">
        <f>IF($B927="",0,IF(COUNTIFS('①在庫を貼る'!$V$6:$V$10005,'設定'!$C$4,'①在庫を貼る'!$W$6:$W$10005,$B927)+COUNTIFS('月1回_1ヶ月前の在庫'!$V$6:$V$10005,'設定'!$C$4,'月1回_1ヶ月前の在庫'!$W$6:$W$10005,$B927)+COUNTIFS('月1回_2ヶ月前の在庫'!$V$6:$V$10005,'設定'!$C$4,'月1回_2ヶ月前の在庫'!$W$6:$W$10005,$B927)&gt;0,1,0))</f>
        <v/>
      </c>
      <c r="M927" s="54">
        <f>N(M926)+$L927</f>
        <v/>
      </c>
      <c r="N927" s="54">
        <f>IF($B927="",0,COUNTIFS('①在庫を貼る'!$V$6:$V$10005,'設定'!$C$4,'①在庫を貼る'!$W$6:$W$10005,$B927))</f>
        <v/>
      </c>
    </row>
    <row r="928" ht="18" customHeight="1">
      <c r="B928" s="76" t="n"/>
      <c r="C928" s="77" t="n"/>
      <c r="D928" s="77" t="n"/>
      <c r="E928" s="77" t="n"/>
      <c r="F928" s="78" t="n"/>
      <c r="G928" s="79" t="n"/>
      <c r="H928" s="69" t="n"/>
      <c r="I928" s="44">
        <f>IF(OR($B928="",$H928=""),"",$H928*MAX(1,N($F928)))</f>
        <v/>
      </c>
      <c r="J928" s="80" t="n"/>
      <c r="K928" s="77" t="n"/>
      <c r="L928" s="54">
        <f>IF($B928="",0,IF(COUNTIFS('①在庫を貼る'!$V$6:$V$10005,'設定'!$C$4,'①在庫を貼る'!$W$6:$W$10005,$B928)+COUNTIFS('月1回_1ヶ月前の在庫'!$V$6:$V$10005,'設定'!$C$4,'月1回_1ヶ月前の在庫'!$W$6:$W$10005,$B928)+COUNTIFS('月1回_2ヶ月前の在庫'!$V$6:$V$10005,'設定'!$C$4,'月1回_2ヶ月前の在庫'!$W$6:$W$10005,$B928)&gt;0,1,0))</f>
        <v/>
      </c>
      <c r="M928" s="54">
        <f>N(M927)+$L928</f>
        <v/>
      </c>
      <c r="N928" s="54">
        <f>IF($B928="",0,COUNTIFS('①在庫を貼る'!$V$6:$V$10005,'設定'!$C$4,'①在庫を貼る'!$W$6:$W$10005,$B928))</f>
        <v/>
      </c>
    </row>
    <row r="929" ht="18" customHeight="1">
      <c r="B929" s="76" t="n"/>
      <c r="C929" s="77" t="n"/>
      <c r="D929" s="77" t="n"/>
      <c r="E929" s="77" t="n"/>
      <c r="F929" s="78" t="n"/>
      <c r="G929" s="79" t="n"/>
      <c r="H929" s="69" t="n"/>
      <c r="I929" s="44">
        <f>IF(OR($B929="",$H929=""),"",$H929*MAX(1,N($F929)))</f>
        <v/>
      </c>
      <c r="J929" s="80" t="n"/>
      <c r="K929" s="77" t="n"/>
      <c r="L929" s="54">
        <f>IF($B929="",0,IF(COUNTIFS('①在庫を貼る'!$V$6:$V$10005,'設定'!$C$4,'①在庫を貼る'!$W$6:$W$10005,$B929)+COUNTIFS('月1回_1ヶ月前の在庫'!$V$6:$V$10005,'設定'!$C$4,'月1回_1ヶ月前の在庫'!$W$6:$W$10005,$B929)+COUNTIFS('月1回_2ヶ月前の在庫'!$V$6:$V$10005,'設定'!$C$4,'月1回_2ヶ月前の在庫'!$W$6:$W$10005,$B929)&gt;0,1,0))</f>
        <v/>
      </c>
      <c r="M929" s="54">
        <f>N(M928)+$L929</f>
        <v/>
      </c>
      <c r="N929" s="54">
        <f>IF($B929="",0,COUNTIFS('①在庫を貼る'!$V$6:$V$10005,'設定'!$C$4,'①在庫を貼る'!$W$6:$W$10005,$B929))</f>
        <v/>
      </c>
    </row>
    <row r="930" ht="18" customHeight="1">
      <c r="B930" s="76" t="n"/>
      <c r="C930" s="77" t="n"/>
      <c r="D930" s="77" t="n"/>
      <c r="E930" s="77" t="n"/>
      <c r="F930" s="78" t="n"/>
      <c r="G930" s="79" t="n"/>
      <c r="H930" s="69" t="n"/>
      <c r="I930" s="44">
        <f>IF(OR($B930="",$H930=""),"",$H930*MAX(1,N($F930)))</f>
        <v/>
      </c>
      <c r="J930" s="80" t="n"/>
      <c r="K930" s="77" t="n"/>
      <c r="L930" s="54">
        <f>IF($B930="",0,IF(COUNTIFS('①在庫を貼る'!$V$6:$V$10005,'設定'!$C$4,'①在庫を貼る'!$W$6:$W$10005,$B930)+COUNTIFS('月1回_1ヶ月前の在庫'!$V$6:$V$10005,'設定'!$C$4,'月1回_1ヶ月前の在庫'!$W$6:$W$10005,$B930)+COUNTIFS('月1回_2ヶ月前の在庫'!$V$6:$V$10005,'設定'!$C$4,'月1回_2ヶ月前の在庫'!$W$6:$W$10005,$B930)&gt;0,1,0))</f>
        <v/>
      </c>
      <c r="M930" s="54">
        <f>N(M929)+$L930</f>
        <v/>
      </c>
      <c r="N930" s="54">
        <f>IF($B930="",0,COUNTIFS('①在庫を貼る'!$V$6:$V$10005,'設定'!$C$4,'①在庫を貼る'!$W$6:$W$10005,$B930))</f>
        <v/>
      </c>
    </row>
    <row r="931" ht="18" customHeight="1">
      <c r="B931" s="76" t="n"/>
      <c r="C931" s="77" t="n"/>
      <c r="D931" s="77" t="n"/>
      <c r="E931" s="77" t="n"/>
      <c r="F931" s="78" t="n"/>
      <c r="G931" s="79" t="n"/>
      <c r="H931" s="69" t="n"/>
      <c r="I931" s="44">
        <f>IF(OR($B931="",$H931=""),"",$H931*MAX(1,N($F931)))</f>
        <v/>
      </c>
      <c r="J931" s="80" t="n"/>
      <c r="K931" s="77" t="n"/>
      <c r="L931" s="54">
        <f>IF($B931="",0,IF(COUNTIFS('①在庫を貼る'!$V$6:$V$10005,'設定'!$C$4,'①在庫を貼る'!$W$6:$W$10005,$B931)+COUNTIFS('月1回_1ヶ月前の在庫'!$V$6:$V$10005,'設定'!$C$4,'月1回_1ヶ月前の在庫'!$W$6:$W$10005,$B931)+COUNTIFS('月1回_2ヶ月前の在庫'!$V$6:$V$10005,'設定'!$C$4,'月1回_2ヶ月前の在庫'!$W$6:$W$10005,$B931)&gt;0,1,0))</f>
        <v/>
      </c>
      <c r="M931" s="54">
        <f>N(M930)+$L931</f>
        <v/>
      </c>
      <c r="N931" s="54">
        <f>IF($B931="",0,COUNTIFS('①在庫を貼る'!$V$6:$V$10005,'設定'!$C$4,'①在庫を貼る'!$W$6:$W$10005,$B931))</f>
        <v/>
      </c>
    </row>
    <row r="932" ht="18" customHeight="1">
      <c r="B932" s="76" t="n"/>
      <c r="C932" s="77" t="n"/>
      <c r="D932" s="77" t="n"/>
      <c r="E932" s="77" t="n"/>
      <c r="F932" s="78" t="n"/>
      <c r="G932" s="79" t="n"/>
      <c r="H932" s="69" t="n"/>
      <c r="I932" s="44">
        <f>IF(OR($B932="",$H932=""),"",$H932*MAX(1,N($F932)))</f>
        <v/>
      </c>
      <c r="J932" s="80" t="n"/>
      <c r="K932" s="77" t="n"/>
      <c r="L932" s="54">
        <f>IF($B932="",0,IF(COUNTIFS('①在庫を貼る'!$V$6:$V$10005,'設定'!$C$4,'①在庫を貼る'!$W$6:$W$10005,$B932)+COUNTIFS('月1回_1ヶ月前の在庫'!$V$6:$V$10005,'設定'!$C$4,'月1回_1ヶ月前の在庫'!$W$6:$W$10005,$B932)+COUNTIFS('月1回_2ヶ月前の在庫'!$V$6:$V$10005,'設定'!$C$4,'月1回_2ヶ月前の在庫'!$W$6:$W$10005,$B932)&gt;0,1,0))</f>
        <v/>
      </c>
      <c r="M932" s="54">
        <f>N(M931)+$L932</f>
        <v/>
      </c>
      <c r="N932" s="54">
        <f>IF($B932="",0,COUNTIFS('①在庫を貼る'!$V$6:$V$10005,'設定'!$C$4,'①在庫を貼る'!$W$6:$W$10005,$B932))</f>
        <v/>
      </c>
    </row>
    <row r="933" ht="18" customHeight="1">
      <c r="B933" s="76" t="n"/>
      <c r="C933" s="77" t="n"/>
      <c r="D933" s="77" t="n"/>
      <c r="E933" s="77" t="n"/>
      <c r="F933" s="78" t="n"/>
      <c r="G933" s="79" t="n"/>
      <c r="H933" s="69" t="n"/>
      <c r="I933" s="44">
        <f>IF(OR($B933="",$H933=""),"",$H933*MAX(1,N($F933)))</f>
        <v/>
      </c>
      <c r="J933" s="80" t="n"/>
      <c r="K933" s="77" t="n"/>
      <c r="L933" s="54">
        <f>IF($B933="",0,IF(COUNTIFS('①在庫を貼る'!$V$6:$V$10005,'設定'!$C$4,'①在庫を貼る'!$W$6:$W$10005,$B933)+COUNTIFS('月1回_1ヶ月前の在庫'!$V$6:$V$10005,'設定'!$C$4,'月1回_1ヶ月前の在庫'!$W$6:$W$10005,$B933)+COUNTIFS('月1回_2ヶ月前の在庫'!$V$6:$V$10005,'設定'!$C$4,'月1回_2ヶ月前の在庫'!$W$6:$W$10005,$B933)&gt;0,1,0))</f>
        <v/>
      </c>
      <c r="M933" s="54">
        <f>N(M932)+$L933</f>
        <v/>
      </c>
      <c r="N933" s="54">
        <f>IF($B933="",0,COUNTIFS('①在庫を貼る'!$V$6:$V$10005,'設定'!$C$4,'①在庫を貼る'!$W$6:$W$10005,$B933))</f>
        <v/>
      </c>
    </row>
    <row r="934" ht="18" customHeight="1">
      <c r="B934" s="76" t="n"/>
      <c r="C934" s="77" t="n"/>
      <c r="D934" s="77" t="n"/>
      <c r="E934" s="77" t="n"/>
      <c r="F934" s="78" t="n"/>
      <c r="G934" s="79" t="n"/>
      <c r="H934" s="69" t="n"/>
      <c r="I934" s="44">
        <f>IF(OR($B934="",$H934=""),"",$H934*MAX(1,N($F934)))</f>
        <v/>
      </c>
      <c r="J934" s="80" t="n"/>
      <c r="K934" s="77" t="n"/>
      <c r="L934" s="54">
        <f>IF($B934="",0,IF(COUNTIFS('①在庫を貼る'!$V$6:$V$10005,'設定'!$C$4,'①在庫を貼る'!$W$6:$W$10005,$B934)+COUNTIFS('月1回_1ヶ月前の在庫'!$V$6:$V$10005,'設定'!$C$4,'月1回_1ヶ月前の在庫'!$W$6:$W$10005,$B934)+COUNTIFS('月1回_2ヶ月前の在庫'!$V$6:$V$10005,'設定'!$C$4,'月1回_2ヶ月前の在庫'!$W$6:$W$10005,$B934)&gt;0,1,0))</f>
        <v/>
      </c>
      <c r="M934" s="54">
        <f>N(M933)+$L934</f>
        <v/>
      </c>
      <c r="N934" s="54">
        <f>IF($B934="",0,COUNTIFS('①在庫を貼る'!$V$6:$V$10005,'設定'!$C$4,'①在庫を貼る'!$W$6:$W$10005,$B934))</f>
        <v/>
      </c>
    </row>
    <row r="935" ht="18" customHeight="1">
      <c r="B935" s="76" t="n"/>
      <c r="C935" s="77" t="n"/>
      <c r="D935" s="77" t="n"/>
      <c r="E935" s="77" t="n"/>
      <c r="F935" s="78" t="n"/>
      <c r="G935" s="79" t="n"/>
      <c r="H935" s="69" t="n"/>
      <c r="I935" s="44">
        <f>IF(OR($B935="",$H935=""),"",$H935*MAX(1,N($F935)))</f>
        <v/>
      </c>
      <c r="J935" s="80" t="n"/>
      <c r="K935" s="77" t="n"/>
      <c r="L935" s="54">
        <f>IF($B935="",0,IF(COUNTIFS('①在庫を貼る'!$V$6:$V$10005,'設定'!$C$4,'①在庫を貼る'!$W$6:$W$10005,$B935)+COUNTIFS('月1回_1ヶ月前の在庫'!$V$6:$V$10005,'設定'!$C$4,'月1回_1ヶ月前の在庫'!$W$6:$W$10005,$B935)+COUNTIFS('月1回_2ヶ月前の在庫'!$V$6:$V$10005,'設定'!$C$4,'月1回_2ヶ月前の在庫'!$W$6:$W$10005,$B935)&gt;0,1,0))</f>
        <v/>
      </c>
      <c r="M935" s="54">
        <f>N(M934)+$L935</f>
        <v/>
      </c>
      <c r="N935" s="54">
        <f>IF($B935="",0,COUNTIFS('①在庫を貼る'!$V$6:$V$10005,'設定'!$C$4,'①在庫を貼る'!$W$6:$W$10005,$B935))</f>
        <v/>
      </c>
    </row>
    <row r="936" ht="18" customHeight="1">
      <c r="B936" s="76" t="n"/>
      <c r="C936" s="77" t="n"/>
      <c r="D936" s="77" t="n"/>
      <c r="E936" s="77" t="n"/>
      <c r="F936" s="78" t="n"/>
      <c r="G936" s="79" t="n"/>
      <c r="H936" s="69" t="n"/>
      <c r="I936" s="44">
        <f>IF(OR($B936="",$H936=""),"",$H936*MAX(1,N($F936)))</f>
        <v/>
      </c>
      <c r="J936" s="80" t="n"/>
      <c r="K936" s="77" t="n"/>
      <c r="L936" s="54">
        <f>IF($B936="",0,IF(COUNTIFS('①在庫を貼る'!$V$6:$V$10005,'設定'!$C$4,'①在庫を貼る'!$W$6:$W$10005,$B936)+COUNTIFS('月1回_1ヶ月前の在庫'!$V$6:$V$10005,'設定'!$C$4,'月1回_1ヶ月前の在庫'!$W$6:$W$10005,$B936)+COUNTIFS('月1回_2ヶ月前の在庫'!$V$6:$V$10005,'設定'!$C$4,'月1回_2ヶ月前の在庫'!$W$6:$W$10005,$B936)&gt;0,1,0))</f>
        <v/>
      </c>
      <c r="M936" s="54">
        <f>N(M935)+$L936</f>
        <v/>
      </c>
      <c r="N936" s="54">
        <f>IF($B936="",0,COUNTIFS('①在庫を貼る'!$V$6:$V$10005,'設定'!$C$4,'①在庫を貼る'!$W$6:$W$10005,$B936))</f>
        <v/>
      </c>
    </row>
    <row r="937" ht="18" customHeight="1">
      <c r="B937" s="76" t="n"/>
      <c r="C937" s="77" t="n"/>
      <c r="D937" s="77" t="n"/>
      <c r="E937" s="77" t="n"/>
      <c r="F937" s="78" t="n"/>
      <c r="G937" s="79" t="n"/>
      <c r="H937" s="69" t="n"/>
      <c r="I937" s="44">
        <f>IF(OR($B937="",$H937=""),"",$H937*MAX(1,N($F937)))</f>
        <v/>
      </c>
      <c r="J937" s="80" t="n"/>
      <c r="K937" s="77" t="n"/>
      <c r="L937" s="54">
        <f>IF($B937="",0,IF(COUNTIFS('①在庫を貼る'!$V$6:$V$10005,'設定'!$C$4,'①在庫を貼る'!$W$6:$W$10005,$B937)+COUNTIFS('月1回_1ヶ月前の在庫'!$V$6:$V$10005,'設定'!$C$4,'月1回_1ヶ月前の在庫'!$W$6:$W$10005,$B937)+COUNTIFS('月1回_2ヶ月前の在庫'!$V$6:$V$10005,'設定'!$C$4,'月1回_2ヶ月前の在庫'!$W$6:$W$10005,$B937)&gt;0,1,0))</f>
        <v/>
      </c>
      <c r="M937" s="54">
        <f>N(M936)+$L937</f>
        <v/>
      </c>
      <c r="N937" s="54">
        <f>IF($B937="",0,COUNTIFS('①在庫を貼る'!$V$6:$V$10005,'設定'!$C$4,'①在庫を貼る'!$W$6:$W$10005,$B937))</f>
        <v/>
      </c>
    </row>
    <row r="938" ht="18" customHeight="1">
      <c r="B938" s="76" t="n"/>
      <c r="C938" s="77" t="n"/>
      <c r="D938" s="77" t="n"/>
      <c r="E938" s="77" t="n"/>
      <c r="F938" s="78" t="n"/>
      <c r="G938" s="79" t="n"/>
      <c r="H938" s="69" t="n"/>
      <c r="I938" s="44">
        <f>IF(OR($B938="",$H938=""),"",$H938*MAX(1,N($F938)))</f>
        <v/>
      </c>
      <c r="J938" s="80" t="n"/>
      <c r="K938" s="77" t="n"/>
      <c r="L938" s="54">
        <f>IF($B938="",0,IF(COUNTIFS('①在庫を貼る'!$V$6:$V$10005,'設定'!$C$4,'①在庫を貼る'!$W$6:$W$10005,$B938)+COUNTIFS('月1回_1ヶ月前の在庫'!$V$6:$V$10005,'設定'!$C$4,'月1回_1ヶ月前の在庫'!$W$6:$W$10005,$B938)+COUNTIFS('月1回_2ヶ月前の在庫'!$V$6:$V$10005,'設定'!$C$4,'月1回_2ヶ月前の在庫'!$W$6:$W$10005,$B938)&gt;0,1,0))</f>
        <v/>
      </c>
      <c r="M938" s="54">
        <f>N(M937)+$L938</f>
        <v/>
      </c>
      <c r="N938" s="54">
        <f>IF($B938="",0,COUNTIFS('①在庫を貼る'!$V$6:$V$10005,'設定'!$C$4,'①在庫を貼る'!$W$6:$W$10005,$B938))</f>
        <v/>
      </c>
    </row>
    <row r="939" ht="18" customHeight="1">
      <c r="B939" s="76" t="n"/>
      <c r="C939" s="77" t="n"/>
      <c r="D939" s="77" t="n"/>
      <c r="E939" s="77" t="n"/>
      <c r="F939" s="78" t="n"/>
      <c r="G939" s="79" t="n"/>
      <c r="H939" s="69" t="n"/>
      <c r="I939" s="44">
        <f>IF(OR($B939="",$H939=""),"",$H939*MAX(1,N($F939)))</f>
        <v/>
      </c>
      <c r="J939" s="80" t="n"/>
      <c r="K939" s="77" t="n"/>
      <c r="L939" s="54">
        <f>IF($B939="",0,IF(COUNTIFS('①在庫を貼る'!$V$6:$V$10005,'設定'!$C$4,'①在庫を貼る'!$W$6:$W$10005,$B939)+COUNTIFS('月1回_1ヶ月前の在庫'!$V$6:$V$10005,'設定'!$C$4,'月1回_1ヶ月前の在庫'!$W$6:$W$10005,$B939)+COUNTIFS('月1回_2ヶ月前の在庫'!$V$6:$V$10005,'設定'!$C$4,'月1回_2ヶ月前の在庫'!$W$6:$W$10005,$B939)&gt;0,1,0))</f>
        <v/>
      </c>
      <c r="M939" s="54">
        <f>N(M938)+$L939</f>
        <v/>
      </c>
      <c r="N939" s="54">
        <f>IF($B939="",0,COUNTIFS('①在庫を貼る'!$V$6:$V$10005,'設定'!$C$4,'①在庫を貼る'!$W$6:$W$10005,$B939))</f>
        <v/>
      </c>
    </row>
    <row r="940" ht="18" customHeight="1">
      <c r="B940" s="76" t="n"/>
      <c r="C940" s="77" t="n"/>
      <c r="D940" s="77" t="n"/>
      <c r="E940" s="77" t="n"/>
      <c r="F940" s="78" t="n"/>
      <c r="G940" s="79" t="n"/>
      <c r="H940" s="69" t="n"/>
      <c r="I940" s="44">
        <f>IF(OR($B940="",$H940=""),"",$H940*MAX(1,N($F940)))</f>
        <v/>
      </c>
      <c r="J940" s="80" t="n"/>
      <c r="K940" s="77" t="n"/>
      <c r="L940" s="54">
        <f>IF($B940="",0,IF(COUNTIFS('①在庫を貼る'!$V$6:$V$10005,'設定'!$C$4,'①在庫を貼る'!$W$6:$W$10005,$B940)+COUNTIFS('月1回_1ヶ月前の在庫'!$V$6:$V$10005,'設定'!$C$4,'月1回_1ヶ月前の在庫'!$W$6:$W$10005,$B940)+COUNTIFS('月1回_2ヶ月前の在庫'!$V$6:$V$10005,'設定'!$C$4,'月1回_2ヶ月前の在庫'!$W$6:$W$10005,$B940)&gt;0,1,0))</f>
        <v/>
      </c>
      <c r="M940" s="54">
        <f>N(M939)+$L940</f>
        <v/>
      </c>
      <c r="N940" s="54">
        <f>IF($B940="",0,COUNTIFS('①在庫を貼る'!$V$6:$V$10005,'設定'!$C$4,'①在庫を貼る'!$W$6:$W$10005,$B940))</f>
        <v/>
      </c>
    </row>
    <row r="941" ht="18" customHeight="1">
      <c r="B941" s="76" t="n"/>
      <c r="C941" s="77" t="n"/>
      <c r="D941" s="77" t="n"/>
      <c r="E941" s="77" t="n"/>
      <c r="F941" s="78" t="n"/>
      <c r="G941" s="79" t="n"/>
      <c r="H941" s="69" t="n"/>
      <c r="I941" s="44">
        <f>IF(OR($B941="",$H941=""),"",$H941*MAX(1,N($F941)))</f>
        <v/>
      </c>
      <c r="J941" s="80" t="n"/>
      <c r="K941" s="77" t="n"/>
      <c r="L941" s="54">
        <f>IF($B941="",0,IF(COUNTIFS('①在庫を貼る'!$V$6:$V$10005,'設定'!$C$4,'①在庫を貼る'!$W$6:$W$10005,$B941)+COUNTIFS('月1回_1ヶ月前の在庫'!$V$6:$V$10005,'設定'!$C$4,'月1回_1ヶ月前の在庫'!$W$6:$W$10005,$B941)+COUNTIFS('月1回_2ヶ月前の在庫'!$V$6:$V$10005,'設定'!$C$4,'月1回_2ヶ月前の在庫'!$W$6:$W$10005,$B941)&gt;0,1,0))</f>
        <v/>
      </c>
      <c r="M941" s="54">
        <f>N(M940)+$L941</f>
        <v/>
      </c>
      <c r="N941" s="54">
        <f>IF($B941="",0,COUNTIFS('①在庫を貼る'!$V$6:$V$10005,'設定'!$C$4,'①在庫を貼る'!$W$6:$W$10005,$B941))</f>
        <v/>
      </c>
    </row>
    <row r="942" ht="18" customHeight="1">
      <c r="B942" s="76" t="n"/>
      <c r="C942" s="77" t="n"/>
      <c r="D942" s="77" t="n"/>
      <c r="E942" s="77" t="n"/>
      <c r="F942" s="78" t="n"/>
      <c r="G942" s="79" t="n"/>
      <c r="H942" s="69" t="n"/>
      <c r="I942" s="44">
        <f>IF(OR($B942="",$H942=""),"",$H942*MAX(1,N($F942)))</f>
        <v/>
      </c>
      <c r="J942" s="80" t="n"/>
      <c r="K942" s="77" t="n"/>
      <c r="L942" s="54">
        <f>IF($B942="",0,IF(COUNTIFS('①在庫を貼る'!$V$6:$V$10005,'設定'!$C$4,'①在庫を貼る'!$W$6:$W$10005,$B942)+COUNTIFS('月1回_1ヶ月前の在庫'!$V$6:$V$10005,'設定'!$C$4,'月1回_1ヶ月前の在庫'!$W$6:$W$10005,$B942)+COUNTIFS('月1回_2ヶ月前の在庫'!$V$6:$V$10005,'設定'!$C$4,'月1回_2ヶ月前の在庫'!$W$6:$W$10005,$B942)&gt;0,1,0))</f>
        <v/>
      </c>
      <c r="M942" s="54">
        <f>N(M941)+$L942</f>
        <v/>
      </c>
      <c r="N942" s="54">
        <f>IF($B942="",0,COUNTIFS('①在庫を貼る'!$V$6:$V$10005,'設定'!$C$4,'①在庫を貼る'!$W$6:$W$10005,$B942))</f>
        <v/>
      </c>
    </row>
    <row r="943" ht="18" customHeight="1">
      <c r="B943" s="76" t="n"/>
      <c r="C943" s="77" t="n"/>
      <c r="D943" s="77" t="n"/>
      <c r="E943" s="77" t="n"/>
      <c r="F943" s="78" t="n"/>
      <c r="G943" s="79" t="n"/>
      <c r="H943" s="69" t="n"/>
      <c r="I943" s="44">
        <f>IF(OR($B943="",$H943=""),"",$H943*MAX(1,N($F943)))</f>
        <v/>
      </c>
      <c r="J943" s="80" t="n"/>
      <c r="K943" s="77" t="n"/>
      <c r="L943" s="54">
        <f>IF($B943="",0,IF(COUNTIFS('①在庫を貼る'!$V$6:$V$10005,'設定'!$C$4,'①在庫を貼る'!$W$6:$W$10005,$B943)+COUNTIFS('月1回_1ヶ月前の在庫'!$V$6:$V$10005,'設定'!$C$4,'月1回_1ヶ月前の在庫'!$W$6:$W$10005,$B943)+COUNTIFS('月1回_2ヶ月前の在庫'!$V$6:$V$10005,'設定'!$C$4,'月1回_2ヶ月前の在庫'!$W$6:$W$10005,$B943)&gt;0,1,0))</f>
        <v/>
      </c>
      <c r="M943" s="54">
        <f>N(M942)+$L943</f>
        <v/>
      </c>
      <c r="N943" s="54">
        <f>IF($B943="",0,COUNTIFS('①在庫を貼る'!$V$6:$V$10005,'設定'!$C$4,'①在庫を貼る'!$W$6:$W$10005,$B943))</f>
        <v/>
      </c>
    </row>
    <row r="944" ht="18" customHeight="1">
      <c r="B944" s="76" t="n"/>
      <c r="C944" s="77" t="n"/>
      <c r="D944" s="77" t="n"/>
      <c r="E944" s="77" t="n"/>
      <c r="F944" s="78" t="n"/>
      <c r="G944" s="79" t="n"/>
      <c r="H944" s="69" t="n"/>
      <c r="I944" s="44">
        <f>IF(OR($B944="",$H944=""),"",$H944*MAX(1,N($F944)))</f>
        <v/>
      </c>
      <c r="J944" s="80" t="n"/>
      <c r="K944" s="77" t="n"/>
      <c r="L944" s="54">
        <f>IF($B944="",0,IF(COUNTIFS('①在庫を貼る'!$V$6:$V$10005,'設定'!$C$4,'①在庫を貼る'!$W$6:$W$10005,$B944)+COUNTIFS('月1回_1ヶ月前の在庫'!$V$6:$V$10005,'設定'!$C$4,'月1回_1ヶ月前の在庫'!$W$6:$W$10005,$B944)+COUNTIFS('月1回_2ヶ月前の在庫'!$V$6:$V$10005,'設定'!$C$4,'月1回_2ヶ月前の在庫'!$W$6:$W$10005,$B944)&gt;0,1,0))</f>
        <v/>
      </c>
      <c r="M944" s="54">
        <f>N(M943)+$L944</f>
        <v/>
      </c>
      <c r="N944" s="54">
        <f>IF($B944="",0,COUNTIFS('①在庫を貼る'!$V$6:$V$10005,'設定'!$C$4,'①在庫を貼る'!$W$6:$W$10005,$B944))</f>
        <v/>
      </c>
    </row>
    <row r="945" ht="18" customHeight="1">
      <c r="B945" s="76" t="n"/>
      <c r="C945" s="77" t="n"/>
      <c r="D945" s="77" t="n"/>
      <c r="E945" s="77" t="n"/>
      <c r="F945" s="78" t="n"/>
      <c r="G945" s="79" t="n"/>
      <c r="H945" s="69" t="n"/>
      <c r="I945" s="44">
        <f>IF(OR($B945="",$H945=""),"",$H945*MAX(1,N($F945)))</f>
        <v/>
      </c>
      <c r="J945" s="80" t="n"/>
      <c r="K945" s="77" t="n"/>
      <c r="L945" s="54">
        <f>IF($B945="",0,IF(COUNTIFS('①在庫を貼る'!$V$6:$V$10005,'設定'!$C$4,'①在庫を貼る'!$W$6:$W$10005,$B945)+COUNTIFS('月1回_1ヶ月前の在庫'!$V$6:$V$10005,'設定'!$C$4,'月1回_1ヶ月前の在庫'!$W$6:$W$10005,$B945)+COUNTIFS('月1回_2ヶ月前の在庫'!$V$6:$V$10005,'設定'!$C$4,'月1回_2ヶ月前の在庫'!$W$6:$W$10005,$B945)&gt;0,1,0))</f>
        <v/>
      </c>
      <c r="M945" s="54">
        <f>N(M944)+$L945</f>
        <v/>
      </c>
      <c r="N945" s="54">
        <f>IF($B945="",0,COUNTIFS('①在庫を貼る'!$V$6:$V$10005,'設定'!$C$4,'①在庫を貼る'!$W$6:$W$10005,$B945))</f>
        <v/>
      </c>
    </row>
    <row r="946" ht="18" customHeight="1">
      <c r="B946" s="76" t="n"/>
      <c r="C946" s="77" t="n"/>
      <c r="D946" s="77" t="n"/>
      <c r="E946" s="77" t="n"/>
      <c r="F946" s="78" t="n"/>
      <c r="G946" s="79" t="n"/>
      <c r="H946" s="69" t="n"/>
      <c r="I946" s="44">
        <f>IF(OR($B946="",$H946=""),"",$H946*MAX(1,N($F946)))</f>
        <v/>
      </c>
      <c r="J946" s="80" t="n"/>
      <c r="K946" s="77" t="n"/>
      <c r="L946" s="54">
        <f>IF($B946="",0,IF(COUNTIFS('①在庫を貼る'!$V$6:$V$10005,'設定'!$C$4,'①在庫を貼る'!$W$6:$W$10005,$B946)+COUNTIFS('月1回_1ヶ月前の在庫'!$V$6:$V$10005,'設定'!$C$4,'月1回_1ヶ月前の在庫'!$W$6:$W$10005,$B946)+COUNTIFS('月1回_2ヶ月前の在庫'!$V$6:$V$10005,'設定'!$C$4,'月1回_2ヶ月前の在庫'!$W$6:$W$10005,$B946)&gt;0,1,0))</f>
        <v/>
      </c>
      <c r="M946" s="54">
        <f>N(M945)+$L946</f>
        <v/>
      </c>
      <c r="N946" s="54">
        <f>IF($B946="",0,COUNTIFS('①在庫を貼る'!$V$6:$V$10005,'設定'!$C$4,'①在庫を貼る'!$W$6:$W$10005,$B946))</f>
        <v/>
      </c>
    </row>
    <row r="947" ht="18" customHeight="1">
      <c r="B947" s="76" t="n"/>
      <c r="C947" s="77" t="n"/>
      <c r="D947" s="77" t="n"/>
      <c r="E947" s="77" t="n"/>
      <c r="F947" s="78" t="n"/>
      <c r="G947" s="79" t="n"/>
      <c r="H947" s="69" t="n"/>
      <c r="I947" s="44">
        <f>IF(OR($B947="",$H947=""),"",$H947*MAX(1,N($F947)))</f>
        <v/>
      </c>
      <c r="J947" s="80" t="n"/>
      <c r="K947" s="77" t="n"/>
      <c r="L947" s="54">
        <f>IF($B947="",0,IF(COUNTIFS('①在庫を貼る'!$V$6:$V$10005,'設定'!$C$4,'①在庫を貼る'!$W$6:$W$10005,$B947)+COUNTIFS('月1回_1ヶ月前の在庫'!$V$6:$V$10005,'設定'!$C$4,'月1回_1ヶ月前の在庫'!$W$6:$W$10005,$B947)+COUNTIFS('月1回_2ヶ月前の在庫'!$V$6:$V$10005,'設定'!$C$4,'月1回_2ヶ月前の在庫'!$W$6:$W$10005,$B947)&gt;0,1,0))</f>
        <v/>
      </c>
      <c r="M947" s="54">
        <f>N(M946)+$L947</f>
        <v/>
      </c>
      <c r="N947" s="54">
        <f>IF($B947="",0,COUNTIFS('①在庫を貼る'!$V$6:$V$10005,'設定'!$C$4,'①在庫を貼る'!$W$6:$W$10005,$B947))</f>
        <v/>
      </c>
    </row>
    <row r="948" ht="18" customHeight="1">
      <c r="B948" s="76" t="n"/>
      <c r="C948" s="77" t="n"/>
      <c r="D948" s="77" t="n"/>
      <c r="E948" s="77" t="n"/>
      <c r="F948" s="78" t="n"/>
      <c r="G948" s="79" t="n"/>
      <c r="H948" s="69" t="n"/>
      <c r="I948" s="44">
        <f>IF(OR($B948="",$H948=""),"",$H948*MAX(1,N($F948)))</f>
        <v/>
      </c>
      <c r="J948" s="80" t="n"/>
      <c r="K948" s="77" t="n"/>
      <c r="L948" s="54">
        <f>IF($B948="",0,IF(COUNTIFS('①在庫を貼る'!$V$6:$V$10005,'設定'!$C$4,'①在庫を貼る'!$W$6:$W$10005,$B948)+COUNTIFS('月1回_1ヶ月前の在庫'!$V$6:$V$10005,'設定'!$C$4,'月1回_1ヶ月前の在庫'!$W$6:$W$10005,$B948)+COUNTIFS('月1回_2ヶ月前の在庫'!$V$6:$V$10005,'設定'!$C$4,'月1回_2ヶ月前の在庫'!$W$6:$W$10005,$B948)&gt;0,1,0))</f>
        <v/>
      </c>
      <c r="M948" s="54">
        <f>N(M947)+$L948</f>
        <v/>
      </c>
      <c r="N948" s="54">
        <f>IF($B948="",0,COUNTIFS('①在庫を貼る'!$V$6:$V$10005,'設定'!$C$4,'①在庫を貼る'!$W$6:$W$10005,$B948))</f>
        <v/>
      </c>
    </row>
    <row r="949" ht="18" customHeight="1">
      <c r="B949" s="76" t="n"/>
      <c r="C949" s="77" t="n"/>
      <c r="D949" s="77" t="n"/>
      <c r="E949" s="77" t="n"/>
      <c r="F949" s="78" t="n"/>
      <c r="G949" s="79" t="n"/>
      <c r="H949" s="69" t="n"/>
      <c r="I949" s="44">
        <f>IF(OR($B949="",$H949=""),"",$H949*MAX(1,N($F949)))</f>
        <v/>
      </c>
      <c r="J949" s="80" t="n"/>
      <c r="K949" s="77" t="n"/>
      <c r="L949" s="54">
        <f>IF($B949="",0,IF(COUNTIFS('①在庫を貼る'!$V$6:$V$10005,'設定'!$C$4,'①在庫を貼る'!$W$6:$W$10005,$B949)+COUNTIFS('月1回_1ヶ月前の在庫'!$V$6:$V$10005,'設定'!$C$4,'月1回_1ヶ月前の在庫'!$W$6:$W$10005,$B949)+COUNTIFS('月1回_2ヶ月前の在庫'!$V$6:$V$10005,'設定'!$C$4,'月1回_2ヶ月前の在庫'!$W$6:$W$10005,$B949)&gt;0,1,0))</f>
        <v/>
      </c>
      <c r="M949" s="54">
        <f>N(M948)+$L949</f>
        <v/>
      </c>
      <c r="N949" s="54">
        <f>IF($B949="",0,COUNTIFS('①在庫を貼る'!$V$6:$V$10005,'設定'!$C$4,'①在庫を貼る'!$W$6:$W$10005,$B949))</f>
        <v/>
      </c>
    </row>
    <row r="950" ht="18" customHeight="1">
      <c r="B950" s="76" t="n"/>
      <c r="C950" s="77" t="n"/>
      <c r="D950" s="77" t="n"/>
      <c r="E950" s="77" t="n"/>
      <c r="F950" s="78" t="n"/>
      <c r="G950" s="79" t="n"/>
      <c r="H950" s="69" t="n"/>
      <c r="I950" s="44">
        <f>IF(OR($B950="",$H950=""),"",$H950*MAX(1,N($F950)))</f>
        <v/>
      </c>
      <c r="J950" s="80" t="n"/>
      <c r="K950" s="77" t="n"/>
      <c r="L950" s="54">
        <f>IF($B950="",0,IF(COUNTIFS('①在庫を貼る'!$V$6:$V$10005,'設定'!$C$4,'①在庫を貼る'!$W$6:$W$10005,$B950)+COUNTIFS('月1回_1ヶ月前の在庫'!$V$6:$V$10005,'設定'!$C$4,'月1回_1ヶ月前の在庫'!$W$6:$W$10005,$B950)+COUNTIFS('月1回_2ヶ月前の在庫'!$V$6:$V$10005,'設定'!$C$4,'月1回_2ヶ月前の在庫'!$W$6:$W$10005,$B950)&gt;0,1,0))</f>
        <v/>
      </c>
      <c r="M950" s="54">
        <f>N(M949)+$L950</f>
        <v/>
      </c>
      <c r="N950" s="54">
        <f>IF($B950="",0,COUNTIFS('①在庫を貼る'!$V$6:$V$10005,'設定'!$C$4,'①在庫を貼る'!$W$6:$W$10005,$B950))</f>
        <v/>
      </c>
    </row>
    <row r="951" ht="18" customHeight="1">
      <c r="B951" s="76" t="n"/>
      <c r="C951" s="77" t="n"/>
      <c r="D951" s="77" t="n"/>
      <c r="E951" s="77" t="n"/>
      <c r="F951" s="78" t="n"/>
      <c r="G951" s="79" t="n"/>
      <c r="H951" s="69" t="n"/>
      <c r="I951" s="44">
        <f>IF(OR($B951="",$H951=""),"",$H951*MAX(1,N($F951)))</f>
        <v/>
      </c>
      <c r="J951" s="80" t="n"/>
      <c r="K951" s="77" t="n"/>
      <c r="L951" s="54">
        <f>IF($B951="",0,IF(COUNTIFS('①在庫を貼る'!$V$6:$V$10005,'設定'!$C$4,'①在庫を貼る'!$W$6:$W$10005,$B951)+COUNTIFS('月1回_1ヶ月前の在庫'!$V$6:$V$10005,'設定'!$C$4,'月1回_1ヶ月前の在庫'!$W$6:$W$10005,$B951)+COUNTIFS('月1回_2ヶ月前の在庫'!$V$6:$V$10005,'設定'!$C$4,'月1回_2ヶ月前の在庫'!$W$6:$W$10005,$B951)&gt;0,1,0))</f>
        <v/>
      </c>
      <c r="M951" s="54">
        <f>N(M950)+$L951</f>
        <v/>
      </c>
      <c r="N951" s="54">
        <f>IF($B951="",0,COUNTIFS('①在庫を貼る'!$V$6:$V$10005,'設定'!$C$4,'①在庫を貼る'!$W$6:$W$10005,$B951))</f>
        <v/>
      </c>
    </row>
    <row r="952" ht="18" customHeight="1">
      <c r="B952" s="76" t="n"/>
      <c r="C952" s="77" t="n"/>
      <c r="D952" s="77" t="n"/>
      <c r="E952" s="77" t="n"/>
      <c r="F952" s="78" t="n"/>
      <c r="G952" s="79" t="n"/>
      <c r="H952" s="69" t="n"/>
      <c r="I952" s="44">
        <f>IF(OR($B952="",$H952=""),"",$H952*MAX(1,N($F952)))</f>
        <v/>
      </c>
      <c r="J952" s="80" t="n"/>
      <c r="K952" s="77" t="n"/>
      <c r="L952" s="54">
        <f>IF($B952="",0,IF(COUNTIFS('①在庫を貼る'!$V$6:$V$10005,'設定'!$C$4,'①在庫を貼る'!$W$6:$W$10005,$B952)+COUNTIFS('月1回_1ヶ月前の在庫'!$V$6:$V$10005,'設定'!$C$4,'月1回_1ヶ月前の在庫'!$W$6:$W$10005,$B952)+COUNTIFS('月1回_2ヶ月前の在庫'!$V$6:$V$10005,'設定'!$C$4,'月1回_2ヶ月前の在庫'!$W$6:$W$10005,$B952)&gt;0,1,0))</f>
        <v/>
      </c>
      <c r="M952" s="54">
        <f>N(M951)+$L952</f>
        <v/>
      </c>
      <c r="N952" s="54">
        <f>IF($B952="",0,COUNTIFS('①在庫を貼る'!$V$6:$V$10005,'設定'!$C$4,'①在庫を貼る'!$W$6:$W$10005,$B952))</f>
        <v/>
      </c>
    </row>
    <row r="953" ht="18" customHeight="1">
      <c r="B953" s="76" t="n"/>
      <c r="C953" s="77" t="n"/>
      <c r="D953" s="77" t="n"/>
      <c r="E953" s="77" t="n"/>
      <c r="F953" s="78" t="n"/>
      <c r="G953" s="79" t="n"/>
      <c r="H953" s="69" t="n"/>
      <c r="I953" s="44">
        <f>IF(OR($B953="",$H953=""),"",$H953*MAX(1,N($F953)))</f>
        <v/>
      </c>
      <c r="J953" s="80" t="n"/>
      <c r="K953" s="77" t="n"/>
      <c r="L953" s="54">
        <f>IF($B953="",0,IF(COUNTIFS('①在庫を貼る'!$V$6:$V$10005,'設定'!$C$4,'①在庫を貼る'!$W$6:$W$10005,$B953)+COUNTIFS('月1回_1ヶ月前の在庫'!$V$6:$V$10005,'設定'!$C$4,'月1回_1ヶ月前の在庫'!$W$6:$W$10005,$B953)+COUNTIFS('月1回_2ヶ月前の在庫'!$V$6:$V$10005,'設定'!$C$4,'月1回_2ヶ月前の在庫'!$W$6:$W$10005,$B953)&gt;0,1,0))</f>
        <v/>
      </c>
      <c r="M953" s="54">
        <f>N(M952)+$L953</f>
        <v/>
      </c>
      <c r="N953" s="54">
        <f>IF($B953="",0,COUNTIFS('①在庫を貼る'!$V$6:$V$10005,'設定'!$C$4,'①在庫を貼る'!$W$6:$W$10005,$B953))</f>
        <v/>
      </c>
    </row>
    <row r="954" ht="18" customHeight="1">
      <c r="B954" s="76" t="n"/>
      <c r="C954" s="77" t="n"/>
      <c r="D954" s="77" t="n"/>
      <c r="E954" s="77" t="n"/>
      <c r="F954" s="78" t="n"/>
      <c r="G954" s="79" t="n"/>
      <c r="H954" s="69" t="n"/>
      <c r="I954" s="44">
        <f>IF(OR($B954="",$H954=""),"",$H954*MAX(1,N($F954)))</f>
        <v/>
      </c>
      <c r="J954" s="80" t="n"/>
      <c r="K954" s="77" t="n"/>
      <c r="L954" s="54">
        <f>IF($B954="",0,IF(COUNTIFS('①在庫を貼る'!$V$6:$V$10005,'設定'!$C$4,'①在庫を貼る'!$W$6:$W$10005,$B954)+COUNTIFS('月1回_1ヶ月前の在庫'!$V$6:$V$10005,'設定'!$C$4,'月1回_1ヶ月前の在庫'!$W$6:$W$10005,$B954)+COUNTIFS('月1回_2ヶ月前の在庫'!$V$6:$V$10005,'設定'!$C$4,'月1回_2ヶ月前の在庫'!$W$6:$W$10005,$B954)&gt;0,1,0))</f>
        <v/>
      </c>
      <c r="M954" s="54">
        <f>N(M953)+$L954</f>
        <v/>
      </c>
      <c r="N954" s="54">
        <f>IF($B954="",0,COUNTIFS('①在庫を貼る'!$V$6:$V$10005,'設定'!$C$4,'①在庫を貼る'!$W$6:$W$10005,$B954))</f>
        <v/>
      </c>
    </row>
    <row r="955" ht="18" customHeight="1">
      <c r="B955" s="76" t="n"/>
      <c r="C955" s="77" t="n"/>
      <c r="D955" s="77" t="n"/>
      <c r="E955" s="77" t="n"/>
      <c r="F955" s="78" t="n"/>
      <c r="G955" s="79" t="n"/>
      <c r="H955" s="69" t="n"/>
      <c r="I955" s="44">
        <f>IF(OR($B955="",$H955=""),"",$H955*MAX(1,N($F955)))</f>
        <v/>
      </c>
      <c r="J955" s="80" t="n"/>
      <c r="K955" s="77" t="n"/>
      <c r="L955" s="54">
        <f>IF($B955="",0,IF(COUNTIFS('①在庫を貼る'!$V$6:$V$10005,'設定'!$C$4,'①在庫を貼る'!$W$6:$W$10005,$B955)+COUNTIFS('月1回_1ヶ月前の在庫'!$V$6:$V$10005,'設定'!$C$4,'月1回_1ヶ月前の在庫'!$W$6:$W$10005,$B955)+COUNTIFS('月1回_2ヶ月前の在庫'!$V$6:$V$10005,'設定'!$C$4,'月1回_2ヶ月前の在庫'!$W$6:$W$10005,$B955)&gt;0,1,0))</f>
        <v/>
      </c>
      <c r="M955" s="54">
        <f>N(M954)+$L955</f>
        <v/>
      </c>
      <c r="N955" s="54">
        <f>IF($B955="",0,COUNTIFS('①在庫を貼る'!$V$6:$V$10005,'設定'!$C$4,'①在庫を貼る'!$W$6:$W$10005,$B955))</f>
        <v/>
      </c>
    </row>
    <row r="956" ht="18" customHeight="1">
      <c r="B956" s="76" t="n"/>
      <c r="C956" s="77" t="n"/>
      <c r="D956" s="77" t="n"/>
      <c r="E956" s="77" t="n"/>
      <c r="F956" s="78" t="n"/>
      <c r="G956" s="79" t="n"/>
      <c r="H956" s="69" t="n"/>
      <c r="I956" s="44">
        <f>IF(OR($B956="",$H956=""),"",$H956*MAX(1,N($F956)))</f>
        <v/>
      </c>
      <c r="J956" s="80" t="n"/>
      <c r="K956" s="77" t="n"/>
      <c r="L956" s="54">
        <f>IF($B956="",0,IF(COUNTIFS('①在庫を貼る'!$V$6:$V$10005,'設定'!$C$4,'①在庫を貼る'!$W$6:$W$10005,$B956)+COUNTIFS('月1回_1ヶ月前の在庫'!$V$6:$V$10005,'設定'!$C$4,'月1回_1ヶ月前の在庫'!$W$6:$W$10005,$B956)+COUNTIFS('月1回_2ヶ月前の在庫'!$V$6:$V$10005,'設定'!$C$4,'月1回_2ヶ月前の在庫'!$W$6:$W$10005,$B956)&gt;0,1,0))</f>
        <v/>
      </c>
      <c r="M956" s="54">
        <f>N(M955)+$L956</f>
        <v/>
      </c>
      <c r="N956" s="54">
        <f>IF($B956="",0,COUNTIFS('①在庫を貼る'!$V$6:$V$10005,'設定'!$C$4,'①在庫を貼る'!$W$6:$W$10005,$B956))</f>
        <v/>
      </c>
    </row>
    <row r="957" ht="18" customHeight="1">
      <c r="B957" s="76" t="n"/>
      <c r="C957" s="77" t="n"/>
      <c r="D957" s="77" t="n"/>
      <c r="E957" s="77" t="n"/>
      <c r="F957" s="78" t="n"/>
      <c r="G957" s="79" t="n"/>
      <c r="H957" s="69" t="n"/>
      <c r="I957" s="44">
        <f>IF(OR($B957="",$H957=""),"",$H957*MAX(1,N($F957)))</f>
        <v/>
      </c>
      <c r="J957" s="80" t="n"/>
      <c r="K957" s="77" t="n"/>
      <c r="L957" s="54">
        <f>IF($B957="",0,IF(COUNTIFS('①在庫を貼る'!$V$6:$V$10005,'設定'!$C$4,'①在庫を貼る'!$W$6:$W$10005,$B957)+COUNTIFS('月1回_1ヶ月前の在庫'!$V$6:$V$10005,'設定'!$C$4,'月1回_1ヶ月前の在庫'!$W$6:$W$10005,$B957)+COUNTIFS('月1回_2ヶ月前の在庫'!$V$6:$V$10005,'設定'!$C$4,'月1回_2ヶ月前の在庫'!$W$6:$W$10005,$B957)&gt;0,1,0))</f>
        <v/>
      </c>
      <c r="M957" s="54">
        <f>N(M956)+$L957</f>
        <v/>
      </c>
      <c r="N957" s="54">
        <f>IF($B957="",0,COUNTIFS('①在庫を貼る'!$V$6:$V$10005,'設定'!$C$4,'①在庫を貼る'!$W$6:$W$10005,$B957))</f>
        <v/>
      </c>
    </row>
    <row r="958" ht="18" customHeight="1">
      <c r="B958" s="76" t="n"/>
      <c r="C958" s="77" t="n"/>
      <c r="D958" s="77" t="n"/>
      <c r="E958" s="77" t="n"/>
      <c r="F958" s="78" t="n"/>
      <c r="G958" s="79" t="n"/>
      <c r="H958" s="69" t="n"/>
      <c r="I958" s="44">
        <f>IF(OR($B958="",$H958=""),"",$H958*MAX(1,N($F958)))</f>
        <v/>
      </c>
      <c r="J958" s="80" t="n"/>
      <c r="K958" s="77" t="n"/>
      <c r="L958" s="54">
        <f>IF($B958="",0,IF(COUNTIFS('①在庫を貼る'!$V$6:$V$10005,'設定'!$C$4,'①在庫を貼る'!$W$6:$W$10005,$B958)+COUNTIFS('月1回_1ヶ月前の在庫'!$V$6:$V$10005,'設定'!$C$4,'月1回_1ヶ月前の在庫'!$W$6:$W$10005,$B958)+COUNTIFS('月1回_2ヶ月前の在庫'!$V$6:$V$10005,'設定'!$C$4,'月1回_2ヶ月前の在庫'!$W$6:$W$10005,$B958)&gt;0,1,0))</f>
        <v/>
      </c>
      <c r="M958" s="54">
        <f>N(M957)+$L958</f>
        <v/>
      </c>
      <c r="N958" s="54">
        <f>IF($B958="",0,COUNTIFS('①在庫を貼る'!$V$6:$V$10005,'設定'!$C$4,'①在庫を貼る'!$W$6:$W$10005,$B958))</f>
        <v/>
      </c>
    </row>
    <row r="959" ht="18" customHeight="1">
      <c r="B959" s="76" t="n"/>
      <c r="C959" s="77" t="n"/>
      <c r="D959" s="77" t="n"/>
      <c r="E959" s="77" t="n"/>
      <c r="F959" s="78" t="n"/>
      <c r="G959" s="79" t="n"/>
      <c r="H959" s="69" t="n"/>
      <c r="I959" s="44">
        <f>IF(OR($B959="",$H959=""),"",$H959*MAX(1,N($F959)))</f>
        <v/>
      </c>
      <c r="J959" s="80" t="n"/>
      <c r="K959" s="77" t="n"/>
      <c r="L959" s="54">
        <f>IF($B959="",0,IF(COUNTIFS('①在庫を貼る'!$V$6:$V$10005,'設定'!$C$4,'①在庫を貼る'!$W$6:$W$10005,$B959)+COUNTIFS('月1回_1ヶ月前の在庫'!$V$6:$V$10005,'設定'!$C$4,'月1回_1ヶ月前の在庫'!$W$6:$W$10005,$B959)+COUNTIFS('月1回_2ヶ月前の在庫'!$V$6:$V$10005,'設定'!$C$4,'月1回_2ヶ月前の在庫'!$W$6:$W$10005,$B959)&gt;0,1,0))</f>
        <v/>
      </c>
      <c r="M959" s="54">
        <f>N(M958)+$L959</f>
        <v/>
      </c>
      <c r="N959" s="54">
        <f>IF($B959="",0,COUNTIFS('①在庫を貼る'!$V$6:$V$10005,'設定'!$C$4,'①在庫を貼る'!$W$6:$W$10005,$B959))</f>
        <v/>
      </c>
    </row>
    <row r="960" ht="18" customHeight="1">
      <c r="B960" s="76" t="n"/>
      <c r="C960" s="77" t="n"/>
      <c r="D960" s="77" t="n"/>
      <c r="E960" s="77" t="n"/>
      <c r="F960" s="78" t="n"/>
      <c r="G960" s="79" t="n"/>
      <c r="H960" s="69" t="n"/>
      <c r="I960" s="44">
        <f>IF(OR($B960="",$H960=""),"",$H960*MAX(1,N($F960)))</f>
        <v/>
      </c>
      <c r="J960" s="80" t="n"/>
      <c r="K960" s="77" t="n"/>
      <c r="L960" s="54">
        <f>IF($B960="",0,IF(COUNTIFS('①在庫を貼る'!$V$6:$V$10005,'設定'!$C$4,'①在庫を貼る'!$W$6:$W$10005,$B960)+COUNTIFS('月1回_1ヶ月前の在庫'!$V$6:$V$10005,'設定'!$C$4,'月1回_1ヶ月前の在庫'!$W$6:$W$10005,$B960)+COUNTIFS('月1回_2ヶ月前の在庫'!$V$6:$V$10005,'設定'!$C$4,'月1回_2ヶ月前の在庫'!$W$6:$W$10005,$B960)&gt;0,1,0))</f>
        <v/>
      </c>
      <c r="M960" s="54">
        <f>N(M959)+$L960</f>
        <v/>
      </c>
      <c r="N960" s="54">
        <f>IF($B960="",0,COUNTIFS('①在庫を貼る'!$V$6:$V$10005,'設定'!$C$4,'①在庫を貼る'!$W$6:$W$10005,$B960))</f>
        <v/>
      </c>
    </row>
    <row r="961" ht="18" customHeight="1">
      <c r="B961" s="76" t="n"/>
      <c r="C961" s="77" t="n"/>
      <c r="D961" s="77" t="n"/>
      <c r="E961" s="77" t="n"/>
      <c r="F961" s="78" t="n"/>
      <c r="G961" s="79" t="n"/>
      <c r="H961" s="69" t="n"/>
      <c r="I961" s="44">
        <f>IF(OR($B961="",$H961=""),"",$H961*MAX(1,N($F961)))</f>
        <v/>
      </c>
      <c r="J961" s="80" t="n"/>
      <c r="K961" s="77" t="n"/>
      <c r="L961" s="54">
        <f>IF($B961="",0,IF(COUNTIFS('①在庫を貼る'!$V$6:$V$10005,'設定'!$C$4,'①在庫を貼る'!$W$6:$W$10005,$B961)+COUNTIFS('月1回_1ヶ月前の在庫'!$V$6:$V$10005,'設定'!$C$4,'月1回_1ヶ月前の在庫'!$W$6:$W$10005,$B961)+COUNTIFS('月1回_2ヶ月前の在庫'!$V$6:$V$10005,'設定'!$C$4,'月1回_2ヶ月前の在庫'!$W$6:$W$10005,$B961)&gt;0,1,0))</f>
        <v/>
      </c>
      <c r="M961" s="54">
        <f>N(M960)+$L961</f>
        <v/>
      </c>
      <c r="N961" s="54">
        <f>IF($B961="",0,COUNTIFS('①在庫を貼る'!$V$6:$V$10005,'設定'!$C$4,'①在庫を貼る'!$W$6:$W$10005,$B961))</f>
        <v/>
      </c>
    </row>
    <row r="962" ht="18" customHeight="1">
      <c r="B962" s="76" t="n"/>
      <c r="C962" s="77" t="n"/>
      <c r="D962" s="77" t="n"/>
      <c r="E962" s="77" t="n"/>
      <c r="F962" s="78" t="n"/>
      <c r="G962" s="79" t="n"/>
      <c r="H962" s="69" t="n"/>
      <c r="I962" s="44">
        <f>IF(OR($B962="",$H962=""),"",$H962*MAX(1,N($F962)))</f>
        <v/>
      </c>
      <c r="J962" s="80" t="n"/>
      <c r="K962" s="77" t="n"/>
      <c r="L962" s="54">
        <f>IF($B962="",0,IF(COUNTIFS('①在庫を貼る'!$V$6:$V$10005,'設定'!$C$4,'①在庫を貼る'!$W$6:$W$10005,$B962)+COUNTIFS('月1回_1ヶ月前の在庫'!$V$6:$V$10005,'設定'!$C$4,'月1回_1ヶ月前の在庫'!$W$6:$W$10005,$B962)+COUNTIFS('月1回_2ヶ月前の在庫'!$V$6:$V$10005,'設定'!$C$4,'月1回_2ヶ月前の在庫'!$W$6:$W$10005,$B962)&gt;0,1,0))</f>
        <v/>
      </c>
      <c r="M962" s="54">
        <f>N(M961)+$L962</f>
        <v/>
      </c>
      <c r="N962" s="54">
        <f>IF($B962="",0,COUNTIFS('①在庫を貼る'!$V$6:$V$10005,'設定'!$C$4,'①在庫を貼る'!$W$6:$W$10005,$B962))</f>
        <v/>
      </c>
    </row>
    <row r="963" ht="18" customHeight="1">
      <c r="B963" s="76" t="n"/>
      <c r="C963" s="77" t="n"/>
      <c r="D963" s="77" t="n"/>
      <c r="E963" s="77" t="n"/>
      <c r="F963" s="78" t="n"/>
      <c r="G963" s="79" t="n"/>
      <c r="H963" s="69" t="n"/>
      <c r="I963" s="44">
        <f>IF(OR($B963="",$H963=""),"",$H963*MAX(1,N($F963)))</f>
        <v/>
      </c>
      <c r="J963" s="80" t="n"/>
      <c r="K963" s="77" t="n"/>
      <c r="L963" s="54">
        <f>IF($B963="",0,IF(COUNTIFS('①在庫を貼る'!$V$6:$V$10005,'設定'!$C$4,'①在庫を貼る'!$W$6:$W$10005,$B963)+COUNTIFS('月1回_1ヶ月前の在庫'!$V$6:$V$10005,'設定'!$C$4,'月1回_1ヶ月前の在庫'!$W$6:$W$10005,$B963)+COUNTIFS('月1回_2ヶ月前の在庫'!$V$6:$V$10005,'設定'!$C$4,'月1回_2ヶ月前の在庫'!$W$6:$W$10005,$B963)&gt;0,1,0))</f>
        <v/>
      </c>
      <c r="M963" s="54">
        <f>N(M962)+$L963</f>
        <v/>
      </c>
      <c r="N963" s="54">
        <f>IF($B963="",0,COUNTIFS('①在庫を貼る'!$V$6:$V$10005,'設定'!$C$4,'①在庫を貼る'!$W$6:$W$10005,$B963))</f>
        <v/>
      </c>
    </row>
    <row r="964" ht="18" customHeight="1">
      <c r="B964" s="76" t="n"/>
      <c r="C964" s="77" t="n"/>
      <c r="D964" s="77" t="n"/>
      <c r="E964" s="77" t="n"/>
      <c r="F964" s="78" t="n"/>
      <c r="G964" s="79" t="n"/>
      <c r="H964" s="69" t="n"/>
      <c r="I964" s="44">
        <f>IF(OR($B964="",$H964=""),"",$H964*MAX(1,N($F964)))</f>
        <v/>
      </c>
      <c r="J964" s="80" t="n"/>
      <c r="K964" s="77" t="n"/>
      <c r="L964" s="54">
        <f>IF($B964="",0,IF(COUNTIFS('①在庫を貼る'!$V$6:$V$10005,'設定'!$C$4,'①在庫を貼る'!$W$6:$W$10005,$B964)+COUNTIFS('月1回_1ヶ月前の在庫'!$V$6:$V$10005,'設定'!$C$4,'月1回_1ヶ月前の在庫'!$W$6:$W$10005,$B964)+COUNTIFS('月1回_2ヶ月前の在庫'!$V$6:$V$10005,'設定'!$C$4,'月1回_2ヶ月前の在庫'!$W$6:$W$10005,$B964)&gt;0,1,0))</f>
        <v/>
      </c>
      <c r="M964" s="54">
        <f>N(M963)+$L964</f>
        <v/>
      </c>
      <c r="N964" s="54">
        <f>IF($B964="",0,COUNTIFS('①在庫を貼る'!$V$6:$V$10005,'設定'!$C$4,'①在庫を貼る'!$W$6:$W$10005,$B964))</f>
        <v/>
      </c>
    </row>
    <row r="965" ht="18" customHeight="1">
      <c r="B965" s="76" t="n"/>
      <c r="C965" s="77" t="n"/>
      <c r="D965" s="77" t="n"/>
      <c r="E965" s="77" t="n"/>
      <c r="F965" s="78" t="n"/>
      <c r="G965" s="79" t="n"/>
      <c r="H965" s="69" t="n"/>
      <c r="I965" s="44">
        <f>IF(OR($B965="",$H965=""),"",$H965*MAX(1,N($F965)))</f>
        <v/>
      </c>
      <c r="J965" s="80" t="n"/>
      <c r="K965" s="77" t="n"/>
      <c r="L965" s="54">
        <f>IF($B965="",0,IF(COUNTIFS('①在庫を貼る'!$V$6:$V$10005,'設定'!$C$4,'①在庫を貼る'!$W$6:$W$10005,$B965)+COUNTIFS('月1回_1ヶ月前の在庫'!$V$6:$V$10005,'設定'!$C$4,'月1回_1ヶ月前の在庫'!$W$6:$W$10005,$B965)+COUNTIFS('月1回_2ヶ月前の在庫'!$V$6:$V$10005,'設定'!$C$4,'月1回_2ヶ月前の在庫'!$W$6:$W$10005,$B965)&gt;0,1,0))</f>
        <v/>
      </c>
      <c r="M965" s="54">
        <f>N(M964)+$L965</f>
        <v/>
      </c>
      <c r="N965" s="54">
        <f>IF($B965="",0,COUNTIFS('①在庫を貼る'!$V$6:$V$10005,'設定'!$C$4,'①在庫を貼る'!$W$6:$W$10005,$B965))</f>
        <v/>
      </c>
    </row>
    <row r="966" ht="18" customHeight="1">
      <c r="B966" s="76" t="n"/>
      <c r="C966" s="77" t="n"/>
      <c r="D966" s="77" t="n"/>
      <c r="E966" s="77" t="n"/>
      <c r="F966" s="78" t="n"/>
      <c r="G966" s="79" t="n"/>
      <c r="H966" s="69" t="n"/>
      <c r="I966" s="44">
        <f>IF(OR($B966="",$H966=""),"",$H966*MAX(1,N($F966)))</f>
        <v/>
      </c>
      <c r="J966" s="80" t="n"/>
      <c r="K966" s="77" t="n"/>
      <c r="L966" s="54">
        <f>IF($B966="",0,IF(COUNTIFS('①在庫を貼る'!$V$6:$V$10005,'設定'!$C$4,'①在庫を貼る'!$W$6:$W$10005,$B966)+COUNTIFS('月1回_1ヶ月前の在庫'!$V$6:$V$10005,'設定'!$C$4,'月1回_1ヶ月前の在庫'!$W$6:$W$10005,$B966)+COUNTIFS('月1回_2ヶ月前の在庫'!$V$6:$V$10005,'設定'!$C$4,'月1回_2ヶ月前の在庫'!$W$6:$W$10005,$B966)&gt;0,1,0))</f>
        <v/>
      </c>
      <c r="M966" s="54">
        <f>N(M965)+$L966</f>
        <v/>
      </c>
      <c r="N966" s="54">
        <f>IF($B966="",0,COUNTIFS('①在庫を貼る'!$V$6:$V$10005,'設定'!$C$4,'①在庫を貼る'!$W$6:$W$10005,$B966))</f>
        <v/>
      </c>
    </row>
    <row r="967" ht="18" customHeight="1">
      <c r="B967" s="76" t="n"/>
      <c r="C967" s="77" t="n"/>
      <c r="D967" s="77" t="n"/>
      <c r="E967" s="77" t="n"/>
      <c r="F967" s="78" t="n"/>
      <c r="G967" s="79" t="n"/>
      <c r="H967" s="69" t="n"/>
      <c r="I967" s="44">
        <f>IF(OR($B967="",$H967=""),"",$H967*MAX(1,N($F967)))</f>
        <v/>
      </c>
      <c r="J967" s="80" t="n"/>
      <c r="K967" s="77" t="n"/>
      <c r="L967" s="54">
        <f>IF($B967="",0,IF(COUNTIFS('①在庫を貼る'!$V$6:$V$10005,'設定'!$C$4,'①在庫を貼る'!$W$6:$W$10005,$B967)+COUNTIFS('月1回_1ヶ月前の在庫'!$V$6:$V$10005,'設定'!$C$4,'月1回_1ヶ月前の在庫'!$W$6:$W$10005,$B967)+COUNTIFS('月1回_2ヶ月前の在庫'!$V$6:$V$10005,'設定'!$C$4,'月1回_2ヶ月前の在庫'!$W$6:$W$10005,$B967)&gt;0,1,0))</f>
        <v/>
      </c>
      <c r="M967" s="54">
        <f>N(M966)+$L967</f>
        <v/>
      </c>
      <c r="N967" s="54">
        <f>IF($B967="",0,COUNTIFS('①在庫を貼る'!$V$6:$V$10005,'設定'!$C$4,'①在庫を貼る'!$W$6:$W$10005,$B967))</f>
        <v/>
      </c>
    </row>
    <row r="968" ht="18" customHeight="1">
      <c r="B968" s="76" t="n"/>
      <c r="C968" s="77" t="n"/>
      <c r="D968" s="77" t="n"/>
      <c r="E968" s="77" t="n"/>
      <c r="F968" s="78" t="n"/>
      <c r="G968" s="79" t="n"/>
      <c r="H968" s="69" t="n"/>
      <c r="I968" s="44">
        <f>IF(OR($B968="",$H968=""),"",$H968*MAX(1,N($F968)))</f>
        <v/>
      </c>
      <c r="J968" s="80" t="n"/>
      <c r="K968" s="77" t="n"/>
      <c r="L968" s="54">
        <f>IF($B968="",0,IF(COUNTIFS('①在庫を貼る'!$V$6:$V$10005,'設定'!$C$4,'①在庫を貼る'!$W$6:$W$10005,$B968)+COUNTIFS('月1回_1ヶ月前の在庫'!$V$6:$V$10005,'設定'!$C$4,'月1回_1ヶ月前の在庫'!$W$6:$W$10005,$B968)+COUNTIFS('月1回_2ヶ月前の在庫'!$V$6:$V$10005,'設定'!$C$4,'月1回_2ヶ月前の在庫'!$W$6:$W$10005,$B968)&gt;0,1,0))</f>
        <v/>
      </c>
      <c r="M968" s="54">
        <f>N(M967)+$L968</f>
        <v/>
      </c>
      <c r="N968" s="54">
        <f>IF($B968="",0,COUNTIFS('①在庫を貼る'!$V$6:$V$10005,'設定'!$C$4,'①在庫を貼る'!$W$6:$W$10005,$B968))</f>
        <v/>
      </c>
    </row>
    <row r="969" ht="18" customHeight="1">
      <c r="B969" s="76" t="n"/>
      <c r="C969" s="77" t="n"/>
      <c r="D969" s="77" t="n"/>
      <c r="E969" s="77" t="n"/>
      <c r="F969" s="78" t="n"/>
      <c r="G969" s="79" t="n"/>
      <c r="H969" s="69" t="n"/>
      <c r="I969" s="44">
        <f>IF(OR($B969="",$H969=""),"",$H969*MAX(1,N($F969)))</f>
        <v/>
      </c>
      <c r="J969" s="80" t="n"/>
      <c r="K969" s="77" t="n"/>
      <c r="L969" s="54">
        <f>IF($B969="",0,IF(COUNTIFS('①在庫を貼る'!$V$6:$V$10005,'設定'!$C$4,'①在庫を貼る'!$W$6:$W$10005,$B969)+COUNTIFS('月1回_1ヶ月前の在庫'!$V$6:$V$10005,'設定'!$C$4,'月1回_1ヶ月前の在庫'!$W$6:$W$10005,$B969)+COUNTIFS('月1回_2ヶ月前の在庫'!$V$6:$V$10005,'設定'!$C$4,'月1回_2ヶ月前の在庫'!$W$6:$W$10005,$B969)&gt;0,1,0))</f>
        <v/>
      </c>
      <c r="M969" s="54">
        <f>N(M968)+$L969</f>
        <v/>
      </c>
      <c r="N969" s="54">
        <f>IF($B969="",0,COUNTIFS('①在庫を貼る'!$V$6:$V$10005,'設定'!$C$4,'①在庫を貼る'!$W$6:$W$10005,$B969))</f>
        <v/>
      </c>
    </row>
    <row r="970" ht="18" customHeight="1">
      <c r="B970" s="76" t="n"/>
      <c r="C970" s="77" t="n"/>
      <c r="D970" s="77" t="n"/>
      <c r="E970" s="77" t="n"/>
      <c r="F970" s="78" t="n"/>
      <c r="G970" s="79" t="n"/>
      <c r="H970" s="69" t="n"/>
      <c r="I970" s="44">
        <f>IF(OR($B970="",$H970=""),"",$H970*MAX(1,N($F970)))</f>
        <v/>
      </c>
      <c r="J970" s="80" t="n"/>
      <c r="K970" s="77" t="n"/>
      <c r="L970" s="54">
        <f>IF($B970="",0,IF(COUNTIFS('①在庫を貼る'!$V$6:$V$10005,'設定'!$C$4,'①在庫を貼る'!$W$6:$W$10005,$B970)+COUNTIFS('月1回_1ヶ月前の在庫'!$V$6:$V$10005,'設定'!$C$4,'月1回_1ヶ月前の在庫'!$W$6:$W$10005,$B970)+COUNTIFS('月1回_2ヶ月前の在庫'!$V$6:$V$10005,'設定'!$C$4,'月1回_2ヶ月前の在庫'!$W$6:$W$10005,$B970)&gt;0,1,0))</f>
        <v/>
      </c>
      <c r="M970" s="54">
        <f>N(M969)+$L970</f>
        <v/>
      </c>
      <c r="N970" s="54">
        <f>IF($B970="",0,COUNTIFS('①在庫を貼る'!$V$6:$V$10005,'設定'!$C$4,'①在庫を貼る'!$W$6:$W$10005,$B970))</f>
        <v/>
      </c>
    </row>
    <row r="971" ht="18" customHeight="1">
      <c r="B971" s="76" t="n"/>
      <c r="C971" s="77" t="n"/>
      <c r="D971" s="77" t="n"/>
      <c r="E971" s="77" t="n"/>
      <c r="F971" s="78" t="n"/>
      <c r="G971" s="79" t="n"/>
      <c r="H971" s="69" t="n"/>
      <c r="I971" s="44">
        <f>IF(OR($B971="",$H971=""),"",$H971*MAX(1,N($F971)))</f>
        <v/>
      </c>
      <c r="J971" s="80" t="n"/>
      <c r="K971" s="77" t="n"/>
      <c r="L971" s="54">
        <f>IF($B971="",0,IF(COUNTIFS('①在庫を貼る'!$V$6:$V$10005,'設定'!$C$4,'①在庫を貼る'!$W$6:$W$10005,$B971)+COUNTIFS('月1回_1ヶ月前の在庫'!$V$6:$V$10005,'設定'!$C$4,'月1回_1ヶ月前の在庫'!$W$6:$W$10005,$B971)+COUNTIFS('月1回_2ヶ月前の在庫'!$V$6:$V$10005,'設定'!$C$4,'月1回_2ヶ月前の在庫'!$W$6:$W$10005,$B971)&gt;0,1,0))</f>
        <v/>
      </c>
      <c r="M971" s="54">
        <f>N(M970)+$L971</f>
        <v/>
      </c>
      <c r="N971" s="54">
        <f>IF($B971="",0,COUNTIFS('①在庫を貼る'!$V$6:$V$10005,'設定'!$C$4,'①在庫を貼る'!$W$6:$W$10005,$B971))</f>
        <v/>
      </c>
    </row>
    <row r="972" ht="18" customHeight="1">
      <c r="B972" s="76" t="n"/>
      <c r="C972" s="77" t="n"/>
      <c r="D972" s="77" t="n"/>
      <c r="E972" s="77" t="n"/>
      <c r="F972" s="78" t="n"/>
      <c r="G972" s="79" t="n"/>
      <c r="H972" s="69" t="n"/>
      <c r="I972" s="44">
        <f>IF(OR($B972="",$H972=""),"",$H972*MAX(1,N($F972)))</f>
        <v/>
      </c>
      <c r="J972" s="80" t="n"/>
      <c r="K972" s="77" t="n"/>
      <c r="L972" s="54">
        <f>IF($B972="",0,IF(COUNTIFS('①在庫を貼る'!$V$6:$V$10005,'設定'!$C$4,'①在庫を貼る'!$W$6:$W$10005,$B972)+COUNTIFS('月1回_1ヶ月前の在庫'!$V$6:$V$10005,'設定'!$C$4,'月1回_1ヶ月前の在庫'!$W$6:$W$10005,$B972)+COUNTIFS('月1回_2ヶ月前の在庫'!$V$6:$V$10005,'設定'!$C$4,'月1回_2ヶ月前の在庫'!$W$6:$W$10005,$B972)&gt;0,1,0))</f>
        <v/>
      </c>
      <c r="M972" s="54">
        <f>N(M971)+$L972</f>
        <v/>
      </c>
      <c r="N972" s="54">
        <f>IF($B972="",0,COUNTIFS('①在庫を貼る'!$V$6:$V$10005,'設定'!$C$4,'①在庫を貼る'!$W$6:$W$10005,$B972))</f>
        <v/>
      </c>
    </row>
    <row r="973" ht="18" customHeight="1">
      <c r="B973" s="76" t="n"/>
      <c r="C973" s="77" t="n"/>
      <c r="D973" s="77" t="n"/>
      <c r="E973" s="77" t="n"/>
      <c r="F973" s="78" t="n"/>
      <c r="G973" s="79" t="n"/>
      <c r="H973" s="69" t="n"/>
      <c r="I973" s="44">
        <f>IF(OR($B973="",$H973=""),"",$H973*MAX(1,N($F973)))</f>
        <v/>
      </c>
      <c r="J973" s="80" t="n"/>
      <c r="K973" s="77" t="n"/>
      <c r="L973" s="54">
        <f>IF($B973="",0,IF(COUNTIFS('①在庫を貼る'!$V$6:$V$10005,'設定'!$C$4,'①在庫を貼る'!$W$6:$W$10005,$B973)+COUNTIFS('月1回_1ヶ月前の在庫'!$V$6:$V$10005,'設定'!$C$4,'月1回_1ヶ月前の在庫'!$W$6:$W$10005,$B973)+COUNTIFS('月1回_2ヶ月前の在庫'!$V$6:$V$10005,'設定'!$C$4,'月1回_2ヶ月前の在庫'!$W$6:$W$10005,$B973)&gt;0,1,0))</f>
        <v/>
      </c>
      <c r="M973" s="54">
        <f>N(M972)+$L973</f>
        <v/>
      </c>
      <c r="N973" s="54">
        <f>IF($B973="",0,COUNTIFS('①在庫を貼る'!$V$6:$V$10005,'設定'!$C$4,'①在庫を貼る'!$W$6:$W$10005,$B973))</f>
        <v/>
      </c>
    </row>
    <row r="974" ht="18" customHeight="1">
      <c r="B974" s="76" t="n"/>
      <c r="C974" s="77" t="n"/>
      <c r="D974" s="77" t="n"/>
      <c r="E974" s="77" t="n"/>
      <c r="F974" s="78" t="n"/>
      <c r="G974" s="79" t="n"/>
      <c r="H974" s="69" t="n"/>
      <c r="I974" s="44">
        <f>IF(OR($B974="",$H974=""),"",$H974*MAX(1,N($F974)))</f>
        <v/>
      </c>
      <c r="J974" s="80" t="n"/>
      <c r="K974" s="77" t="n"/>
      <c r="L974" s="54">
        <f>IF($B974="",0,IF(COUNTIFS('①在庫を貼る'!$V$6:$V$10005,'設定'!$C$4,'①在庫を貼る'!$W$6:$W$10005,$B974)+COUNTIFS('月1回_1ヶ月前の在庫'!$V$6:$V$10005,'設定'!$C$4,'月1回_1ヶ月前の在庫'!$W$6:$W$10005,$B974)+COUNTIFS('月1回_2ヶ月前の在庫'!$V$6:$V$10005,'設定'!$C$4,'月1回_2ヶ月前の在庫'!$W$6:$W$10005,$B974)&gt;0,1,0))</f>
        <v/>
      </c>
      <c r="M974" s="54">
        <f>N(M973)+$L974</f>
        <v/>
      </c>
      <c r="N974" s="54">
        <f>IF($B974="",0,COUNTIFS('①在庫を貼る'!$V$6:$V$10005,'設定'!$C$4,'①在庫を貼る'!$W$6:$W$10005,$B974))</f>
        <v/>
      </c>
    </row>
    <row r="975" ht="18" customHeight="1">
      <c r="B975" s="76" t="n"/>
      <c r="C975" s="77" t="n"/>
      <c r="D975" s="77" t="n"/>
      <c r="E975" s="77" t="n"/>
      <c r="F975" s="78" t="n"/>
      <c r="G975" s="79" t="n"/>
      <c r="H975" s="69" t="n"/>
      <c r="I975" s="44">
        <f>IF(OR($B975="",$H975=""),"",$H975*MAX(1,N($F975)))</f>
        <v/>
      </c>
      <c r="J975" s="80" t="n"/>
      <c r="K975" s="77" t="n"/>
      <c r="L975" s="54">
        <f>IF($B975="",0,IF(COUNTIFS('①在庫を貼る'!$V$6:$V$10005,'設定'!$C$4,'①在庫を貼る'!$W$6:$W$10005,$B975)+COUNTIFS('月1回_1ヶ月前の在庫'!$V$6:$V$10005,'設定'!$C$4,'月1回_1ヶ月前の在庫'!$W$6:$W$10005,$B975)+COUNTIFS('月1回_2ヶ月前の在庫'!$V$6:$V$10005,'設定'!$C$4,'月1回_2ヶ月前の在庫'!$W$6:$W$10005,$B975)&gt;0,1,0))</f>
        <v/>
      </c>
      <c r="M975" s="54">
        <f>N(M974)+$L975</f>
        <v/>
      </c>
      <c r="N975" s="54">
        <f>IF($B975="",0,COUNTIFS('①在庫を貼る'!$V$6:$V$10005,'設定'!$C$4,'①在庫を貼る'!$W$6:$W$10005,$B975))</f>
        <v/>
      </c>
    </row>
    <row r="976" ht="18" customHeight="1">
      <c r="B976" s="76" t="n"/>
      <c r="C976" s="77" t="n"/>
      <c r="D976" s="77" t="n"/>
      <c r="E976" s="77" t="n"/>
      <c r="F976" s="78" t="n"/>
      <c r="G976" s="79" t="n"/>
      <c r="H976" s="69" t="n"/>
      <c r="I976" s="44">
        <f>IF(OR($B976="",$H976=""),"",$H976*MAX(1,N($F976)))</f>
        <v/>
      </c>
      <c r="J976" s="80" t="n"/>
      <c r="K976" s="77" t="n"/>
      <c r="L976" s="54">
        <f>IF($B976="",0,IF(COUNTIFS('①在庫を貼る'!$V$6:$V$10005,'設定'!$C$4,'①在庫を貼る'!$W$6:$W$10005,$B976)+COUNTIFS('月1回_1ヶ月前の在庫'!$V$6:$V$10005,'設定'!$C$4,'月1回_1ヶ月前の在庫'!$W$6:$W$10005,$B976)+COUNTIFS('月1回_2ヶ月前の在庫'!$V$6:$V$10005,'設定'!$C$4,'月1回_2ヶ月前の在庫'!$W$6:$W$10005,$B976)&gt;0,1,0))</f>
        <v/>
      </c>
      <c r="M976" s="54">
        <f>N(M975)+$L976</f>
        <v/>
      </c>
      <c r="N976" s="54">
        <f>IF($B976="",0,COUNTIFS('①在庫を貼る'!$V$6:$V$10005,'設定'!$C$4,'①在庫を貼る'!$W$6:$W$10005,$B976))</f>
        <v/>
      </c>
    </row>
    <row r="977" ht="18" customHeight="1">
      <c r="B977" s="76" t="n"/>
      <c r="C977" s="77" t="n"/>
      <c r="D977" s="77" t="n"/>
      <c r="E977" s="77" t="n"/>
      <c r="F977" s="78" t="n"/>
      <c r="G977" s="79" t="n"/>
      <c r="H977" s="69" t="n"/>
      <c r="I977" s="44">
        <f>IF(OR($B977="",$H977=""),"",$H977*MAX(1,N($F977)))</f>
        <v/>
      </c>
      <c r="J977" s="80" t="n"/>
      <c r="K977" s="77" t="n"/>
      <c r="L977" s="54">
        <f>IF($B977="",0,IF(COUNTIFS('①在庫を貼る'!$V$6:$V$10005,'設定'!$C$4,'①在庫を貼る'!$W$6:$W$10005,$B977)+COUNTIFS('月1回_1ヶ月前の在庫'!$V$6:$V$10005,'設定'!$C$4,'月1回_1ヶ月前の在庫'!$W$6:$W$10005,$B977)+COUNTIFS('月1回_2ヶ月前の在庫'!$V$6:$V$10005,'設定'!$C$4,'月1回_2ヶ月前の在庫'!$W$6:$W$10005,$B977)&gt;0,1,0))</f>
        <v/>
      </c>
      <c r="M977" s="54">
        <f>N(M976)+$L977</f>
        <v/>
      </c>
      <c r="N977" s="54">
        <f>IF($B977="",0,COUNTIFS('①在庫を貼る'!$V$6:$V$10005,'設定'!$C$4,'①在庫を貼る'!$W$6:$W$10005,$B977))</f>
        <v/>
      </c>
    </row>
    <row r="978" ht="18" customHeight="1">
      <c r="B978" s="76" t="n"/>
      <c r="C978" s="77" t="n"/>
      <c r="D978" s="77" t="n"/>
      <c r="E978" s="77" t="n"/>
      <c r="F978" s="78" t="n"/>
      <c r="G978" s="79" t="n"/>
      <c r="H978" s="69" t="n"/>
      <c r="I978" s="44">
        <f>IF(OR($B978="",$H978=""),"",$H978*MAX(1,N($F978)))</f>
        <v/>
      </c>
      <c r="J978" s="80" t="n"/>
      <c r="K978" s="77" t="n"/>
      <c r="L978" s="54">
        <f>IF($B978="",0,IF(COUNTIFS('①在庫を貼る'!$V$6:$V$10005,'設定'!$C$4,'①在庫を貼る'!$W$6:$W$10005,$B978)+COUNTIFS('月1回_1ヶ月前の在庫'!$V$6:$V$10005,'設定'!$C$4,'月1回_1ヶ月前の在庫'!$W$6:$W$10005,$B978)+COUNTIFS('月1回_2ヶ月前の在庫'!$V$6:$V$10005,'設定'!$C$4,'月1回_2ヶ月前の在庫'!$W$6:$W$10005,$B978)&gt;0,1,0))</f>
        <v/>
      </c>
      <c r="M978" s="54">
        <f>N(M977)+$L978</f>
        <v/>
      </c>
      <c r="N978" s="54">
        <f>IF($B978="",0,COUNTIFS('①在庫を貼る'!$V$6:$V$10005,'設定'!$C$4,'①在庫を貼る'!$W$6:$W$10005,$B978))</f>
        <v/>
      </c>
    </row>
    <row r="979" ht="18" customHeight="1">
      <c r="B979" s="76" t="n"/>
      <c r="C979" s="77" t="n"/>
      <c r="D979" s="77" t="n"/>
      <c r="E979" s="77" t="n"/>
      <c r="F979" s="78" t="n"/>
      <c r="G979" s="79" t="n"/>
      <c r="H979" s="69" t="n"/>
      <c r="I979" s="44">
        <f>IF(OR($B979="",$H979=""),"",$H979*MAX(1,N($F979)))</f>
        <v/>
      </c>
      <c r="J979" s="80" t="n"/>
      <c r="K979" s="77" t="n"/>
      <c r="L979" s="54">
        <f>IF($B979="",0,IF(COUNTIFS('①在庫を貼る'!$V$6:$V$10005,'設定'!$C$4,'①在庫を貼る'!$W$6:$W$10005,$B979)+COUNTIFS('月1回_1ヶ月前の在庫'!$V$6:$V$10005,'設定'!$C$4,'月1回_1ヶ月前の在庫'!$W$6:$W$10005,$B979)+COUNTIFS('月1回_2ヶ月前の在庫'!$V$6:$V$10005,'設定'!$C$4,'月1回_2ヶ月前の在庫'!$W$6:$W$10005,$B979)&gt;0,1,0))</f>
        <v/>
      </c>
      <c r="M979" s="54">
        <f>N(M978)+$L979</f>
        <v/>
      </c>
      <c r="N979" s="54">
        <f>IF($B979="",0,COUNTIFS('①在庫を貼る'!$V$6:$V$10005,'設定'!$C$4,'①在庫を貼る'!$W$6:$W$10005,$B979))</f>
        <v/>
      </c>
    </row>
    <row r="980" ht="18" customHeight="1">
      <c r="B980" s="76" t="n"/>
      <c r="C980" s="77" t="n"/>
      <c r="D980" s="77" t="n"/>
      <c r="E980" s="77" t="n"/>
      <c r="F980" s="78" t="n"/>
      <c r="G980" s="79" t="n"/>
      <c r="H980" s="69" t="n"/>
      <c r="I980" s="44">
        <f>IF(OR($B980="",$H980=""),"",$H980*MAX(1,N($F980)))</f>
        <v/>
      </c>
      <c r="J980" s="80" t="n"/>
      <c r="K980" s="77" t="n"/>
      <c r="L980" s="54">
        <f>IF($B980="",0,IF(COUNTIFS('①在庫を貼る'!$V$6:$V$10005,'設定'!$C$4,'①在庫を貼る'!$W$6:$W$10005,$B980)+COUNTIFS('月1回_1ヶ月前の在庫'!$V$6:$V$10005,'設定'!$C$4,'月1回_1ヶ月前の在庫'!$W$6:$W$10005,$B980)+COUNTIFS('月1回_2ヶ月前の在庫'!$V$6:$V$10005,'設定'!$C$4,'月1回_2ヶ月前の在庫'!$W$6:$W$10005,$B980)&gt;0,1,0))</f>
        <v/>
      </c>
      <c r="M980" s="54">
        <f>N(M979)+$L980</f>
        <v/>
      </c>
      <c r="N980" s="54">
        <f>IF($B980="",0,COUNTIFS('①在庫を貼る'!$V$6:$V$10005,'設定'!$C$4,'①在庫を貼る'!$W$6:$W$10005,$B980))</f>
        <v/>
      </c>
    </row>
    <row r="981" ht="18" customHeight="1">
      <c r="B981" s="76" t="n"/>
      <c r="C981" s="77" t="n"/>
      <c r="D981" s="77" t="n"/>
      <c r="E981" s="77" t="n"/>
      <c r="F981" s="78" t="n"/>
      <c r="G981" s="79" t="n"/>
      <c r="H981" s="69" t="n"/>
      <c r="I981" s="44">
        <f>IF(OR($B981="",$H981=""),"",$H981*MAX(1,N($F981)))</f>
        <v/>
      </c>
      <c r="J981" s="80" t="n"/>
      <c r="K981" s="77" t="n"/>
      <c r="L981" s="54">
        <f>IF($B981="",0,IF(COUNTIFS('①在庫を貼る'!$V$6:$V$10005,'設定'!$C$4,'①在庫を貼る'!$W$6:$W$10005,$B981)+COUNTIFS('月1回_1ヶ月前の在庫'!$V$6:$V$10005,'設定'!$C$4,'月1回_1ヶ月前の在庫'!$W$6:$W$10005,$B981)+COUNTIFS('月1回_2ヶ月前の在庫'!$V$6:$V$10005,'設定'!$C$4,'月1回_2ヶ月前の在庫'!$W$6:$W$10005,$B981)&gt;0,1,0))</f>
        <v/>
      </c>
      <c r="M981" s="54">
        <f>N(M980)+$L981</f>
        <v/>
      </c>
      <c r="N981" s="54">
        <f>IF($B981="",0,COUNTIFS('①在庫を貼る'!$V$6:$V$10005,'設定'!$C$4,'①在庫を貼る'!$W$6:$W$10005,$B981))</f>
        <v/>
      </c>
    </row>
    <row r="982" ht="18" customHeight="1">
      <c r="B982" s="76" t="n"/>
      <c r="C982" s="77" t="n"/>
      <c r="D982" s="77" t="n"/>
      <c r="E982" s="77" t="n"/>
      <c r="F982" s="78" t="n"/>
      <c r="G982" s="79" t="n"/>
      <c r="H982" s="69" t="n"/>
      <c r="I982" s="44">
        <f>IF(OR($B982="",$H982=""),"",$H982*MAX(1,N($F982)))</f>
        <v/>
      </c>
      <c r="J982" s="80" t="n"/>
      <c r="K982" s="77" t="n"/>
      <c r="L982" s="54">
        <f>IF($B982="",0,IF(COUNTIFS('①在庫を貼る'!$V$6:$V$10005,'設定'!$C$4,'①在庫を貼る'!$W$6:$W$10005,$B982)+COUNTIFS('月1回_1ヶ月前の在庫'!$V$6:$V$10005,'設定'!$C$4,'月1回_1ヶ月前の在庫'!$W$6:$W$10005,$B982)+COUNTIFS('月1回_2ヶ月前の在庫'!$V$6:$V$10005,'設定'!$C$4,'月1回_2ヶ月前の在庫'!$W$6:$W$10005,$B982)&gt;0,1,0))</f>
        <v/>
      </c>
      <c r="M982" s="54">
        <f>N(M981)+$L982</f>
        <v/>
      </c>
      <c r="N982" s="54">
        <f>IF($B982="",0,COUNTIFS('①在庫を貼る'!$V$6:$V$10005,'設定'!$C$4,'①在庫を貼る'!$W$6:$W$10005,$B982))</f>
        <v/>
      </c>
    </row>
    <row r="983" ht="18" customHeight="1">
      <c r="B983" s="76" t="n"/>
      <c r="C983" s="77" t="n"/>
      <c r="D983" s="77" t="n"/>
      <c r="E983" s="77" t="n"/>
      <c r="F983" s="78" t="n"/>
      <c r="G983" s="79" t="n"/>
      <c r="H983" s="69" t="n"/>
      <c r="I983" s="44">
        <f>IF(OR($B983="",$H983=""),"",$H983*MAX(1,N($F983)))</f>
        <v/>
      </c>
      <c r="J983" s="80" t="n"/>
      <c r="K983" s="77" t="n"/>
      <c r="L983" s="54">
        <f>IF($B983="",0,IF(COUNTIFS('①在庫を貼る'!$V$6:$V$10005,'設定'!$C$4,'①在庫を貼る'!$W$6:$W$10005,$B983)+COUNTIFS('月1回_1ヶ月前の在庫'!$V$6:$V$10005,'設定'!$C$4,'月1回_1ヶ月前の在庫'!$W$6:$W$10005,$B983)+COUNTIFS('月1回_2ヶ月前の在庫'!$V$6:$V$10005,'設定'!$C$4,'月1回_2ヶ月前の在庫'!$W$6:$W$10005,$B983)&gt;0,1,0))</f>
        <v/>
      </c>
      <c r="M983" s="54">
        <f>N(M982)+$L983</f>
        <v/>
      </c>
      <c r="N983" s="54">
        <f>IF($B983="",0,COUNTIFS('①在庫を貼る'!$V$6:$V$10005,'設定'!$C$4,'①在庫を貼る'!$W$6:$W$10005,$B983))</f>
        <v/>
      </c>
    </row>
    <row r="984" ht="18" customHeight="1">
      <c r="B984" s="76" t="n"/>
      <c r="C984" s="77" t="n"/>
      <c r="D984" s="77" t="n"/>
      <c r="E984" s="77" t="n"/>
      <c r="F984" s="78" t="n"/>
      <c r="G984" s="79" t="n"/>
      <c r="H984" s="69" t="n"/>
      <c r="I984" s="44">
        <f>IF(OR($B984="",$H984=""),"",$H984*MAX(1,N($F984)))</f>
        <v/>
      </c>
      <c r="J984" s="80" t="n"/>
      <c r="K984" s="77" t="n"/>
      <c r="L984" s="54">
        <f>IF($B984="",0,IF(COUNTIFS('①在庫を貼る'!$V$6:$V$10005,'設定'!$C$4,'①在庫を貼る'!$W$6:$W$10005,$B984)+COUNTIFS('月1回_1ヶ月前の在庫'!$V$6:$V$10005,'設定'!$C$4,'月1回_1ヶ月前の在庫'!$W$6:$W$10005,$B984)+COUNTIFS('月1回_2ヶ月前の在庫'!$V$6:$V$10005,'設定'!$C$4,'月1回_2ヶ月前の在庫'!$W$6:$W$10005,$B984)&gt;0,1,0))</f>
        <v/>
      </c>
      <c r="M984" s="54">
        <f>N(M983)+$L984</f>
        <v/>
      </c>
      <c r="N984" s="54">
        <f>IF($B984="",0,COUNTIFS('①在庫を貼る'!$V$6:$V$10005,'設定'!$C$4,'①在庫を貼る'!$W$6:$W$10005,$B984))</f>
        <v/>
      </c>
    </row>
    <row r="985" ht="18" customHeight="1">
      <c r="B985" s="76" t="n"/>
      <c r="C985" s="77" t="n"/>
      <c r="D985" s="77" t="n"/>
      <c r="E985" s="77" t="n"/>
      <c r="F985" s="78" t="n"/>
      <c r="G985" s="79" t="n"/>
      <c r="H985" s="69" t="n"/>
      <c r="I985" s="44">
        <f>IF(OR($B985="",$H985=""),"",$H985*MAX(1,N($F985)))</f>
        <v/>
      </c>
      <c r="J985" s="80" t="n"/>
      <c r="K985" s="77" t="n"/>
      <c r="L985" s="54">
        <f>IF($B985="",0,IF(COUNTIFS('①在庫を貼る'!$V$6:$V$10005,'設定'!$C$4,'①在庫を貼る'!$W$6:$W$10005,$B985)+COUNTIFS('月1回_1ヶ月前の在庫'!$V$6:$V$10005,'設定'!$C$4,'月1回_1ヶ月前の在庫'!$W$6:$W$10005,$B985)+COUNTIFS('月1回_2ヶ月前の在庫'!$V$6:$V$10005,'設定'!$C$4,'月1回_2ヶ月前の在庫'!$W$6:$W$10005,$B985)&gt;0,1,0))</f>
        <v/>
      </c>
      <c r="M985" s="54">
        <f>N(M984)+$L985</f>
        <v/>
      </c>
      <c r="N985" s="54">
        <f>IF($B985="",0,COUNTIFS('①在庫を貼る'!$V$6:$V$10005,'設定'!$C$4,'①在庫を貼る'!$W$6:$W$10005,$B985))</f>
        <v/>
      </c>
    </row>
    <row r="986" ht="18" customHeight="1">
      <c r="B986" s="76" t="n"/>
      <c r="C986" s="77" t="n"/>
      <c r="D986" s="77" t="n"/>
      <c r="E986" s="77" t="n"/>
      <c r="F986" s="78" t="n"/>
      <c r="G986" s="79" t="n"/>
      <c r="H986" s="69" t="n"/>
      <c r="I986" s="44">
        <f>IF(OR($B986="",$H986=""),"",$H986*MAX(1,N($F986)))</f>
        <v/>
      </c>
      <c r="J986" s="80" t="n"/>
      <c r="K986" s="77" t="n"/>
      <c r="L986" s="54">
        <f>IF($B986="",0,IF(COUNTIFS('①在庫を貼る'!$V$6:$V$10005,'設定'!$C$4,'①在庫を貼る'!$W$6:$W$10005,$B986)+COUNTIFS('月1回_1ヶ月前の在庫'!$V$6:$V$10005,'設定'!$C$4,'月1回_1ヶ月前の在庫'!$W$6:$W$10005,$B986)+COUNTIFS('月1回_2ヶ月前の在庫'!$V$6:$V$10005,'設定'!$C$4,'月1回_2ヶ月前の在庫'!$W$6:$W$10005,$B986)&gt;0,1,0))</f>
        <v/>
      </c>
      <c r="M986" s="54">
        <f>N(M985)+$L986</f>
        <v/>
      </c>
      <c r="N986" s="54">
        <f>IF($B986="",0,COUNTIFS('①在庫を貼る'!$V$6:$V$10005,'設定'!$C$4,'①在庫を貼る'!$W$6:$W$10005,$B986))</f>
        <v/>
      </c>
    </row>
    <row r="987" ht="18" customHeight="1">
      <c r="B987" s="76" t="n"/>
      <c r="C987" s="77" t="n"/>
      <c r="D987" s="77" t="n"/>
      <c r="E987" s="77" t="n"/>
      <c r="F987" s="78" t="n"/>
      <c r="G987" s="79" t="n"/>
      <c r="H987" s="69" t="n"/>
      <c r="I987" s="44">
        <f>IF(OR($B987="",$H987=""),"",$H987*MAX(1,N($F987)))</f>
        <v/>
      </c>
      <c r="J987" s="80" t="n"/>
      <c r="K987" s="77" t="n"/>
      <c r="L987" s="54">
        <f>IF($B987="",0,IF(COUNTIFS('①在庫を貼る'!$V$6:$V$10005,'設定'!$C$4,'①在庫を貼る'!$W$6:$W$10005,$B987)+COUNTIFS('月1回_1ヶ月前の在庫'!$V$6:$V$10005,'設定'!$C$4,'月1回_1ヶ月前の在庫'!$W$6:$W$10005,$B987)+COUNTIFS('月1回_2ヶ月前の在庫'!$V$6:$V$10005,'設定'!$C$4,'月1回_2ヶ月前の在庫'!$W$6:$W$10005,$B987)&gt;0,1,0))</f>
        <v/>
      </c>
      <c r="M987" s="54">
        <f>N(M986)+$L987</f>
        <v/>
      </c>
      <c r="N987" s="54">
        <f>IF($B987="",0,COUNTIFS('①在庫を貼る'!$V$6:$V$10005,'設定'!$C$4,'①在庫を貼る'!$W$6:$W$10005,$B987))</f>
        <v/>
      </c>
    </row>
    <row r="988" ht="18" customHeight="1">
      <c r="B988" s="76" t="n"/>
      <c r="C988" s="77" t="n"/>
      <c r="D988" s="77" t="n"/>
      <c r="E988" s="77" t="n"/>
      <c r="F988" s="78" t="n"/>
      <c r="G988" s="79" t="n"/>
      <c r="H988" s="69" t="n"/>
      <c r="I988" s="44">
        <f>IF(OR($B988="",$H988=""),"",$H988*MAX(1,N($F988)))</f>
        <v/>
      </c>
      <c r="J988" s="80" t="n"/>
      <c r="K988" s="77" t="n"/>
      <c r="L988" s="54">
        <f>IF($B988="",0,IF(COUNTIFS('①在庫を貼る'!$V$6:$V$10005,'設定'!$C$4,'①在庫を貼る'!$W$6:$W$10005,$B988)+COUNTIFS('月1回_1ヶ月前の在庫'!$V$6:$V$10005,'設定'!$C$4,'月1回_1ヶ月前の在庫'!$W$6:$W$10005,$B988)+COUNTIFS('月1回_2ヶ月前の在庫'!$V$6:$V$10005,'設定'!$C$4,'月1回_2ヶ月前の在庫'!$W$6:$W$10005,$B988)&gt;0,1,0))</f>
        <v/>
      </c>
      <c r="M988" s="54">
        <f>N(M987)+$L988</f>
        <v/>
      </c>
      <c r="N988" s="54">
        <f>IF($B988="",0,COUNTIFS('①在庫を貼る'!$V$6:$V$10005,'設定'!$C$4,'①在庫を貼る'!$W$6:$W$10005,$B988))</f>
        <v/>
      </c>
    </row>
    <row r="989" ht="18" customHeight="1">
      <c r="B989" s="76" t="n"/>
      <c r="C989" s="77" t="n"/>
      <c r="D989" s="77" t="n"/>
      <c r="E989" s="77" t="n"/>
      <c r="F989" s="78" t="n"/>
      <c r="G989" s="79" t="n"/>
      <c r="H989" s="69" t="n"/>
      <c r="I989" s="44">
        <f>IF(OR($B989="",$H989=""),"",$H989*MAX(1,N($F989)))</f>
        <v/>
      </c>
      <c r="J989" s="80" t="n"/>
      <c r="K989" s="77" t="n"/>
      <c r="L989" s="54">
        <f>IF($B989="",0,IF(COUNTIFS('①在庫を貼る'!$V$6:$V$10005,'設定'!$C$4,'①在庫を貼る'!$W$6:$W$10005,$B989)+COUNTIFS('月1回_1ヶ月前の在庫'!$V$6:$V$10005,'設定'!$C$4,'月1回_1ヶ月前の在庫'!$W$6:$W$10005,$B989)+COUNTIFS('月1回_2ヶ月前の在庫'!$V$6:$V$10005,'設定'!$C$4,'月1回_2ヶ月前の在庫'!$W$6:$W$10005,$B989)&gt;0,1,0))</f>
        <v/>
      </c>
      <c r="M989" s="54">
        <f>N(M988)+$L989</f>
        <v/>
      </c>
      <c r="N989" s="54">
        <f>IF($B989="",0,COUNTIFS('①在庫を貼る'!$V$6:$V$10005,'設定'!$C$4,'①在庫を貼る'!$W$6:$W$10005,$B989))</f>
        <v/>
      </c>
    </row>
    <row r="990" ht="18" customHeight="1">
      <c r="B990" s="76" t="n"/>
      <c r="C990" s="77" t="n"/>
      <c r="D990" s="77" t="n"/>
      <c r="E990" s="77" t="n"/>
      <c r="F990" s="78" t="n"/>
      <c r="G990" s="79" t="n"/>
      <c r="H990" s="69" t="n"/>
      <c r="I990" s="44">
        <f>IF(OR($B990="",$H990=""),"",$H990*MAX(1,N($F990)))</f>
        <v/>
      </c>
      <c r="J990" s="80" t="n"/>
      <c r="K990" s="77" t="n"/>
      <c r="L990" s="54">
        <f>IF($B990="",0,IF(COUNTIFS('①在庫を貼る'!$V$6:$V$10005,'設定'!$C$4,'①在庫を貼る'!$W$6:$W$10005,$B990)+COUNTIFS('月1回_1ヶ月前の在庫'!$V$6:$V$10005,'設定'!$C$4,'月1回_1ヶ月前の在庫'!$W$6:$W$10005,$B990)+COUNTIFS('月1回_2ヶ月前の在庫'!$V$6:$V$10005,'設定'!$C$4,'月1回_2ヶ月前の在庫'!$W$6:$W$10005,$B990)&gt;0,1,0))</f>
        <v/>
      </c>
      <c r="M990" s="54">
        <f>N(M989)+$L990</f>
        <v/>
      </c>
      <c r="N990" s="54">
        <f>IF($B990="",0,COUNTIFS('①在庫を貼る'!$V$6:$V$10005,'設定'!$C$4,'①在庫を貼る'!$W$6:$W$10005,$B990))</f>
        <v/>
      </c>
    </row>
    <row r="991" ht="18" customHeight="1">
      <c r="B991" s="76" t="n"/>
      <c r="C991" s="77" t="n"/>
      <c r="D991" s="77" t="n"/>
      <c r="E991" s="77" t="n"/>
      <c r="F991" s="78" t="n"/>
      <c r="G991" s="79" t="n"/>
      <c r="H991" s="69" t="n"/>
      <c r="I991" s="44">
        <f>IF(OR($B991="",$H991=""),"",$H991*MAX(1,N($F991)))</f>
        <v/>
      </c>
      <c r="J991" s="80" t="n"/>
      <c r="K991" s="77" t="n"/>
      <c r="L991" s="54">
        <f>IF($B991="",0,IF(COUNTIFS('①在庫を貼る'!$V$6:$V$10005,'設定'!$C$4,'①在庫を貼る'!$W$6:$W$10005,$B991)+COUNTIFS('月1回_1ヶ月前の在庫'!$V$6:$V$10005,'設定'!$C$4,'月1回_1ヶ月前の在庫'!$W$6:$W$10005,$B991)+COUNTIFS('月1回_2ヶ月前の在庫'!$V$6:$V$10005,'設定'!$C$4,'月1回_2ヶ月前の在庫'!$W$6:$W$10005,$B991)&gt;0,1,0))</f>
        <v/>
      </c>
      <c r="M991" s="54">
        <f>N(M990)+$L991</f>
        <v/>
      </c>
      <c r="N991" s="54">
        <f>IF($B991="",0,COUNTIFS('①在庫を貼る'!$V$6:$V$10005,'設定'!$C$4,'①在庫を貼る'!$W$6:$W$10005,$B991))</f>
        <v/>
      </c>
    </row>
    <row r="992" ht="18" customHeight="1">
      <c r="B992" s="76" t="n"/>
      <c r="C992" s="77" t="n"/>
      <c r="D992" s="77" t="n"/>
      <c r="E992" s="77" t="n"/>
      <c r="F992" s="78" t="n"/>
      <c r="G992" s="79" t="n"/>
      <c r="H992" s="69" t="n"/>
      <c r="I992" s="44">
        <f>IF(OR($B992="",$H992=""),"",$H992*MAX(1,N($F992)))</f>
        <v/>
      </c>
      <c r="J992" s="80" t="n"/>
      <c r="K992" s="77" t="n"/>
      <c r="L992" s="54">
        <f>IF($B992="",0,IF(COUNTIFS('①在庫を貼る'!$V$6:$V$10005,'設定'!$C$4,'①在庫を貼る'!$W$6:$W$10005,$B992)+COUNTIFS('月1回_1ヶ月前の在庫'!$V$6:$V$10005,'設定'!$C$4,'月1回_1ヶ月前の在庫'!$W$6:$W$10005,$B992)+COUNTIFS('月1回_2ヶ月前の在庫'!$V$6:$V$10005,'設定'!$C$4,'月1回_2ヶ月前の在庫'!$W$6:$W$10005,$B992)&gt;0,1,0))</f>
        <v/>
      </c>
      <c r="M992" s="54">
        <f>N(M991)+$L992</f>
        <v/>
      </c>
      <c r="N992" s="54">
        <f>IF($B992="",0,COUNTIFS('①在庫を貼る'!$V$6:$V$10005,'設定'!$C$4,'①在庫を貼る'!$W$6:$W$10005,$B992))</f>
        <v/>
      </c>
    </row>
    <row r="993" ht="18" customHeight="1">
      <c r="B993" s="76" t="n"/>
      <c r="C993" s="77" t="n"/>
      <c r="D993" s="77" t="n"/>
      <c r="E993" s="77" t="n"/>
      <c r="F993" s="78" t="n"/>
      <c r="G993" s="79" t="n"/>
      <c r="H993" s="69" t="n"/>
      <c r="I993" s="44">
        <f>IF(OR($B993="",$H993=""),"",$H993*MAX(1,N($F993)))</f>
        <v/>
      </c>
      <c r="J993" s="80" t="n"/>
      <c r="K993" s="77" t="n"/>
      <c r="L993" s="54">
        <f>IF($B993="",0,IF(COUNTIFS('①在庫を貼る'!$V$6:$V$10005,'設定'!$C$4,'①在庫を貼る'!$W$6:$W$10005,$B993)+COUNTIFS('月1回_1ヶ月前の在庫'!$V$6:$V$10005,'設定'!$C$4,'月1回_1ヶ月前の在庫'!$W$6:$W$10005,$B993)+COUNTIFS('月1回_2ヶ月前の在庫'!$V$6:$V$10005,'設定'!$C$4,'月1回_2ヶ月前の在庫'!$W$6:$W$10005,$B993)&gt;0,1,0))</f>
        <v/>
      </c>
      <c r="M993" s="54">
        <f>N(M992)+$L993</f>
        <v/>
      </c>
      <c r="N993" s="54">
        <f>IF($B993="",0,COUNTIFS('①在庫を貼る'!$V$6:$V$10005,'設定'!$C$4,'①在庫を貼る'!$W$6:$W$10005,$B993))</f>
        <v/>
      </c>
    </row>
    <row r="994" ht="18" customHeight="1">
      <c r="B994" s="76" t="n"/>
      <c r="C994" s="77" t="n"/>
      <c r="D994" s="77" t="n"/>
      <c r="E994" s="77" t="n"/>
      <c r="F994" s="78" t="n"/>
      <c r="G994" s="79" t="n"/>
      <c r="H994" s="69" t="n"/>
      <c r="I994" s="44">
        <f>IF(OR($B994="",$H994=""),"",$H994*MAX(1,N($F994)))</f>
        <v/>
      </c>
      <c r="J994" s="80" t="n"/>
      <c r="K994" s="77" t="n"/>
      <c r="L994" s="54">
        <f>IF($B994="",0,IF(COUNTIFS('①在庫を貼る'!$V$6:$V$10005,'設定'!$C$4,'①在庫を貼る'!$W$6:$W$10005,$B994)+COUNTIFS('月1回_1ヶ月前の在庫'!$V$6:$V$10005,'設定'!$C$4,'月1回_1ヶ月前の在庫'!$W$6:$W$10005,$B994)+COUNTIFS('月1回_2ヶ月前の在庫'!$V$6:$V$10005,'設定'!$C$4,'月1回_2ヶ月前の在庫'!$W$6:$W$10005,$B994)&gt;0,1,0))</f>
        <v/>
      </c>
      <c r="M994" s="54">
        <f>N(M993)+$L994</f>
        <v/>
      </c>
      <c r="N994" s="54">
        <f>IF($B994="",0,COUNTIFS('①在庫を貼る'!$V$6:$V$10005,'設定'!$C$4,'①在庫を貼る'!$W$6:$W$10005,$B994))</f>
        <v/>
      </c>
    </row>
    <row r="995" ht="18" customHeight="1">
      <c r="B995" s="76" t="n"/>
      <c r="C995" s="77" t="n"/>
      <c r="D995" s="77" t="n"/>
      <c r="E995" s="77" t="n"/>
      <c r="F995" s="78" t="n"/>
      <c r="G995" s="79" t="n"/>
      <c r="H995" s="69" t="n"/>
      <c r="I995" s="44">
        <f>IF(OR($B995="",$H995=""),"",$H995*MAX(1,N($F995)))</f>
        <v/>
      </c>
      <c r="J995" s="80" t="n"/>
      <c r="K995" s="77" t="n"/>
      <c r="L995" s="54">
        <f>IF($B995="",0,IF(COUNTIFS('①在庫を貼る'!$V$6:$V$10005,'設定'!$C$4,'①在庫を貼る'!$W$6:$W$10005,$B995)+COUNTIFS('月1回_1ヶ月前の在庫'!$V$6:$V$10005,'設定'!$C$4,'月1回_1ヶ月前の在庫'!$W$6:$W$10005,$B995)+COUNTIFS('月1回_2ヶ月前の在庫'!$V$6:$V$10005,'設定'!$C$4,'月1回_2ヶ月前の在庫'!$W$6:$W$10005,$B995)&gt;0,1,0))</f>
        <v/>
      </c>
      <c r="M995" s="54">
        <f>N(M994)+$L995</f>
        <v/>
      </c>
      <c r="N995" s="54">
        <f>IF($B995="",0,COUNTIFS('①在庫を貼る'!$V$6:$V$10005,'設定'!$C$4,'①在庫を貼る'!$W$6:$W$10005,$B995))</f>
        <v/>
      </c>
    </row>
    <row r="996" ht="18" customHeight="1">
      <c r="B996" s="76" t="n"/>
      <c r="C996" s="77" t="n"/>
      <c r="D996" s="77" t="n"/>
      <c r="E996" s="77" t="n"/>
      <c r="F996" s="78" t="n"/>
      <c r="G996" s="79" t="n"/>
      <c r="H996" s="69" t="n"/>
      <c r="I996" s="44">
        <f>IF(OR($B996="",$H996=""),"",$H996*MAX(1,N($F996)))</f>
        <v/>
      </c>
      <c r="J996" s="80" t="n"/>
      <c r="K996" s="77" t="n"/>
      <c r="L996" s="54">
        <f>IF($B996="",0,IF(COUNTIFS('①在庫を貼る'!$V$6:$V$10005,'設定'!$C$4,'①在庫を貼る'!$W$6:$W$10005,$B996)+COUNTIFS('月1回_1ヶ月前の在庫'!$V$6:$V$10005,'設定'!$C$4,'月1回_1ヶ月前の在庫'!$W$6:$W$10005,$B996)+COUNTIFS('月1回_2ヶ月前の在庫'!$V$6:$V$10005,'設定'!$C$4,'月1回_2ヶ月前の在庫'!$W$6:$W$10005,$B996)&gt;0,1,0))</f>
        <v/>
      </c>
      <c r="M996" s="54">
        <f>N(M995)+$L996</f>
        <v/>
      </c>
      <c r="N996" s="54">
        <f>IF($B996="",0,COUNTIFS('①在庫を貼る'!$V$6:$V$10005,'設定'!$C$4,'①在庫を貼る'!$W$6:$W$10005,$B996))</f>
        <v/>
      </c>
    </row>
    <row r="997" ht="18" customHeight="1">
      <c r="B997" s="76" t="n"/>
      <c r="C997" s="77" t="n"/>
      <c r="D997" s="77" t="n"/>
      <c r="E997" s="77" t="n"/>
      <c r="F997" s="78" t="n"/>
      <c r="G997" s="79" t="n"/>
      <c r="H997" s="69" t="n"/>
      <c r="I997" s="44">
        <f>IF(OR($B997="",$H997=""),"",$H997*MAX(1,N($F997)))</f>
        <v/>
      </c>
      <c r="J997" s="80" t="n"/>
      <c r="K997" s="77" t="n"/>
      <c r="L997" s="54">
        <f>IF($B997="",0,IF(COUNTIFS('①在庫を貼る'!$V$6:$V$10005,'設定'!$C$4,'①在庫を貼る'!$W$6:$W$10005,$B997)+COUNTIFS('月1回_1ヶ月前の在庫'!$V$6:$V$10005,'設定'!$C$4,'月1回_1ヶ月前の在庫'!$W$6:$W$10005,$B997)+COUNTIFS('月1回_2ヶ月前の在庫'!$V$6:$V$10005,'設定'!$C$4,'月1回_2ヶ月前の在庫'!$W$6:$W$10005,$B997)&gt;0,1,0))</f>
        <v/>
      </c>
      <c r="M997" s="54">
        <f>N(M996)+$L997</f>
        <v/>
      </c>
      <c r="N997" s="54">
        <f>IF($B997="",0,COUNTIFS('①在庫を貼る'!$V$6:$V$10005,'設定'!$C$4,'①在庫を貼る'!$W$6:$W$10005,$B997))</f>
        <v/>
      </c>
    </row>
    <row r="998" ht="18" customHeight="1">
      <c r="B998" s="76" t="n"/>
      <c r="C998" s="77" t="n"/>
      <c r="D998" s="77" t="n"/>
      <c r="E998" s="77" t="n"/>
      <c r="F998" s="78" t="n"/>
      <c r="G998" s="79" t="n"/>
      <c r="H998" s="69" t="n"/>
      <c r="I998" s="44">
        <f>IF(OR($B998="",$H998=""),"",$H998*MAX(1,N($F998)))</f>
        <v/>
      </c>
      <c r="J998" s="80" t="n"/>
      <c r="K998" s="77" t="n"/>
      <c r="L998" s="54">
        <f>IF($B998="",0,IF(COUNTIFS('①在庫を貼る'!$V$6:$V$10005,'設定'!$C$4,'①在庫を貼る'!$W$6:$W$10005,$B998)+COUNTIFS('月1回_1ヶ月前の在庫'!$V$6:$V$10005,'設定'!$C$4,'月1回_1ヶ月前の在庫'!$W$6:$W$10005,$B998)+COUNTIFS('月1回_2ヶ月前の在庫'!$V$6:$V$10005,'設定'!$C$4,'月1回_2ヶ月前の在庫'!$W$6:$W$10005,$B998)&gt;0,1,0))</f>
        <v/>
      </c>
      <c r="M998" s="54">
        <f>N(M997)+$L998</f>
        <v/>
      </c>
      <c r="N998" s="54">
        <f>IF($B998="",0,COUNTIFS('①在庫を貼る'!$V$6:$V$10005,'設定'!$C$4,'①在庫を貼る'!$W$6:$W$10005,$B998))</f>
        <v/>
      </c>
    </row>
    <row r="999" ht="18" customHeight="1">
      <c r="B999" s="76" t="n"/>
      <c r="C999" s="77" t="n"/>
      <c r="D999" s="77" t="n"/>
      <c r="E999" s="77" t="n"/>
      <c r="F999" s="78" t="n"/>
      <c r="G999" s="79" t="n"/>
      <c r="H999" s="69" t="n"/>
      <c r="I999" s="44">
        <f>IF(OR($B999="",$H999=""),"",$H999*MAX(1,N($F999)))</f>
        <v/>
      </c>
      <c r="J999" s="80" t="n"/>
      <c r="K999" s="77" t="n"/>
      <c r="L999" s="54">
        <f>IF($B999="",0,IF(COUNTIFS('①在庫を貼る'!$V$6:$V$10005,'設定'!$C$4,'①在庫を貼る'!$W$6:$W$10005,$B999)+COUNTIFS('月1回_1ヶ月前の在庫'!$V$6:$V$10005,'設定'!$C$4,'月1回_1ヶ月前の在庫'!$W$6:$W$10005,$B999)+COUNTIFS('月1回_2ヶ月前の在庫'!$V$6:$V$10005,'設定'!$C$4,'月1回_2ヶ月前の在庫'!$W$6:$W$10005,$B999)&gt;0,1,0))</f>
        <v/>
      </c>
      <c r="M999" s="54">
        <f>N(M998)+$L999</f>
        <v/>
      </c>
      <c r="N999" s="54">
        <f>IF($B999="",0,COUNTIFS('①在庫を貼る'!$V$6:$V$10005,'設定'!$C$4,'①在庫を貼る'!$W$6:$W$10005,$B999))</f>
        <v/>
      </c>
    </row>
    <row r="1000" ht="18" customHeight="1">
      <c r="B1000" s="76" t="n"/>
      <c r="C1000" s="77" t="n"/>
      <c r="D1000" s="77" t="n"/>
      <c r="E1000" s="77" t="n"/>
      <c r="F1000" s="78" t="n"/>
      <c r="G1000" s="79" t="n"/>
      <c r="H1000" s="69" t="n"/>
      <c r="I1000" s="44">
        <f>IF(OR($B1000="",$H1000=""),"",$H1000*MAX(1,N($F1000)))</f>
        <v/>
      </c>
      <c r="J1000" s="80" t="n"/>
      <c r="K1000" s="77" t="n"/>
      <c r="L1000" s="54">
        <f>IF($B1000="",0,IF(COUNTIFS('①在庫を貼る'!$V$6:$V$10005,'設定'!$C$4,'①在庫を貼る'!$W$6:$W$10005,$B1000)+COUNTIFS('月1回_1ヶ月前の在庫'!$V$6:$V$10005,'設定'!$C$4,'月1回_1ヶ月前の在庫'!$W$6:$W$10005,$B1000)+COUNTIFS('月1回_2ヶ月前の在庫'!$V$6:$V$10005,'設定'!$C$4,'月1回_2ヶ月前の在庫'!$W$6:$W$10005,$B1000)&gt;0,1,0))</f>
        <v/>
      </c>
      <c r="M1000" s="54">
        <f>N(M999)+$L1000</f>
        <v/>
      </c>
      <c r="N1000" s="54">
        <f>IF($B1000="",0,COUNTIFS('①在庫を貼る'!$V$6:$V$10005,'設定'!$C$4,'①在庫を貼る'!$W$6:$W$10005,$B1000))</f>
        <v/>
      </c>
    </row>
    <row r="1001" ht="18" customHeight="1">
      <c r="B1001" s="76" t="n"/>
      <c r="C1001" s="77" t="n"/>
      <c r="D1001" s="77" t="n"/>
      <c r="E1001" s="77" t="n"/>
      <c r="F1001" s="78" t="n"/>
      <c r="G1001" s="79" t="n"/>
      <c r="H1001" s="69" t="n"/>
      <c r="I1001" s="44">
        <f>IF(OR($B1001="",$H1001=""),"",$H1001*MAX(1,N($F1001)))</f>
        <v/>
      </c>
      <c r="J1001" s="80" t="n"/>
      <c r="K1001" s="77" t="n"/>
      <c r="L1001" s="54">
        <f>IF($B1001="",0,IF(COUNTIFS('①在庫を貼る'!$V$6:$V$10005,'設定'!$C$4,'①在庫を貼る'!$W$6:$W$10005,$B1001)+COUNTIFS('月1回_1ヶ月前の在庫'!$V$6:$V$10005,'設定'!$C$4,'月1回_1ヶ月前の在庫'!$W$6:$W$10005,$B1001)+COUNTIFS('月1回_2ヶ月前の在庫'!$V$6:$V$10005,'設定'!$C$4,'月1回_2ヶ月前の在庫'!$W$6:$W$10005,$B1001)&gt;0,1,0))</f>
        <v/>
      </c>
      <c r="M1001" s="54">
        <f>N(M1000)+$L1001</f>
        <v/>
      </c>
      <c r="N1001" s="54">
        <f>IF($B1001="",0,COUNTIFS('①在庫を貼る'!$V$6:$V$10005,'設定'!$C$4,'①在庫を貼る'!$W$6:$W$10005,$B1001))</f>
        <v/>
      </c>
    </row>
    <row r="1002" ht="18" customHeight="1">
      <c r="B1002" s="76" t="n"/>
      <c r="C1002" s="77" t="n"/>
      <c r="D1002" s="77" t="n"/>
      <c r="E1002" s="77" t="n"/>
      <c r="F1002" s="78" t="n"/>
      <c r="G1002" s="79" t="n"/>
      <c r="H1002" s="69" t="n"/>
      <c r="I1002" s="44">
        <f>IF(OR($B1002="",$H1002=""),"",$H1002*MAX(1,N($F1002)))</f>
        <v/>
      </c>
      <c r="J1002" s="80" t="n"/>
      <c r="K1002" s="77" t="n"/>
      <c r="L1002" s="54">
        <f>IF($B1002="",0,IF(COUNTIFS('①在庫を貼る'!$V$6:$V$10005,'設定'!$C$4,'①在庫を貼る'!$W$6:$W$10005,$B1002)+COUNTIFS('月1回_1ヶ月前の在庫'!$V$6:$V$10005,'設定'!$C$4,'月1回_1ヶ月前の在庫'!$W$6:$W$10005,$B1002)+COUNTIFS('月1回_2ヶ月前の在庫'!$V$6:$V$10005,'設定'!$C$4,'月1回_2ヶ月前の在庫'!$W$6:$W$10005,$B1002)&gt;0,1,0))</f>
        <v/>
      </c>
      <c r="M1002" s="54">
        <f>N(M1001)+$L1002</f>
        <v/>
      </c>
      <c r="N1002" s="54">
        <f>IF($B1002="",0,COUNTIFS('①在庫を貼る'!$V$6:$V$10005,'設定'!$C$4,'①在庫を貼る'!$W$6:$W$10005,$B1002))</f>
        <v/>
      </c>
    </row>
    <row r="1003" ht="18" customHeight="1">
      <c r="B1003" s="76" t="n"/>
      <c r="C1003" s="77" t="n"/>
      <c r="D1003" s="77" t="n"/>
      <c r="E1003" s="77" t="n"/>
      <c r="F1003" s="78" t="n"/>
      <c r="G1003" s="79" t="n"/>
      <c r="H1003" s="69" t="n"/>
      <c r="I1003" s="44">
        <f>IF(OR($B1003="",$H1003=""),"",$H1003*MAX(1,N($F1003)))</f>
        <v/>
      </c>
      <c r="J1003" s="80" t="n"/>
      <c r="K1003" s="77" t="n"/>
      <c r="L1003" s="54">
        <f>IF($B1003="",0,IF(COUNTIFS('①在庫を貼る'!$V$6:$V$10005,'設定'!$C$4,'①在庫を貼る'!$W$6:$W$10005,$B1003)+COUNTIFS('月1回_1ヶ月前の在庫'!$V$6:$V$10005,'設定'!$C$4,'月1回_1ヶ月前の在庫'!$W$6:$W$10005,$B1003)+COUNTIFS('月1回_2ヶ月前の在庫'!$V$6:$V$10005,'設定'!$C$4,'月1回_2ヶ月前の在庫'!$W$6:$W$10005,$B1003)&gt;0,1,0))</f>
        <v/>
      </c>
      <c r="M1003" s="54">
        <f>N(M1002)+$L1003</f>
        <v/>
      </c>
      <c r="N1003" s="54">
        <f>IF($B1003="",0,COUNTIFS('①在庫を貼る'!$V$6:$V$10005,'設定'!$C$4,'①在庫を貼る'!$W$6:$W$10005,$B1003))</f>
        <v/>
      </c>
    </row>
    <row r="1004" ht="18" customHeight="1">
      <c r="B1004" s="76" t="n"/>
      <c r="C1004" s="77" t="n"/>
      <c r="D1004" s="77" t="n"/>
      <c r="E1004" s="77" t="n"/>
      <c r="F1004" s="78" t="n"/>
      <c r="G1004" s="79" t="n"/>
      <c r="H1004" s="69" t="n"/>
      <c r="I1004" s="44">
        <f>IF(OR($B1004="",$H1004=""),"",$H1004*MAX(1,N($F1004)))</f>
        <v/>
      </c>
      <c r="J1004" s="80" t="n"/>
      <c r="K1004" s="77" t="n"/>
      <c r="L1004" s="54">
        <f>IF($B1004="",0,IF(COUNTIFS('①在庫を貼る'!$V$6:$V$10005,'設定'!$C$4,'①在庫を貼る'!$W$6:$W$10005,$B1004)+COUNTIFS('月1回_1ヶ月前の在庫'!$V$6:$V$10005,'設定'!$C$4,'月1回_1ヶ月前の在庫'!$W$6:$W$10005,$B1004)+COUNTIFS('月1回_2ヶ月前の在庫'!$V$6:$V$10005,'設定'!$C$4,'月1回_2ヶ月前の在庫'!$W$6:$W$10005,$B1004)&gt;0,1,0))</f>
        <v/>
      </c>
      <c r="M1004" s="54">
        <f>N(M1003)+$L1004</f>
        <v/>
      </c>
      <c r="N1004" s="54">
        <f>IF($B1004="",0,COUNTIFS('①在庫を貼る'!$V$6:$V$10005,'設定'!$C$4,'①在庫を貼る'!$W$6:$W$10005,$B1004))</f>
        <v/>
      </c>
    </row>
    <row r="1005" ht="18" customHeight="1">
      <c r="B1005" s="76" t="n"/>
      <c r="C1005" s="77" t="n"/>
      <c r="D1005" s="77" t="n"/>
      <c r="E1005" s="77" t="n"/>
      <c r="F1005" s="78" t="n"/>
      <c r="G1005" s="79" t="n"/>
      <c r="H1005" s="69" t="n"/>
      <c r="I1005" s="44">
        <f>IF(OR($B1005="",$H1005=""),"",$H1005*MAX(1,N($F1005)))</f>
        <v/>
      </c>
      <c r="J1005" s="80" t="n"/>
      <c r="K1005" s="77" t="n"/>
      <c r="L1005" s="54">
        <f>IF($B1005="",0,IF(COUNTIFS('①在庫を貼る'!$V$6:$V$10005,'設定'!$C$4,'①在庫を貼る'!$W$6:$W$10005,$B1005)+COUNTIFS('月1回_1ヶ月前の在庫'!$V$6:$V$10005,'設定'!$C$4,'月1回_1ヶ月前の在庫'!$W$6:$W$10005,$B1005)+COUNTIFS('月1回_2ヶ月前の在庫'!$V$6:$V$10005,'設定'!$C$4,'月1回_2ヶ月前の在庫'!$W$6:$W$10005,$B1005)&gt;0,1,0))</f>
        <v/>
      </c>
      <c r="M1005" s="54">
        <f>N(M1004)+$L1005</f>
        <v/>
      </c>
      <c r="N1005" s="54">
        <f>IF($B1005="",0,COUNTIFS('①在庫を貼る'!$V$6:$V$10005,'設定'!$C$4,'①在庫を貼る'!$W$6:$W$10005,$B1005))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B5:N1005"/>
  <mergeCells count="1">
    <mergeCell ref="B1:M1"/>
  </mergeCells>
  <conditionalFormatting sqref="J6:J1005">
    <cfRule type="expression" priority="1" dxfId="9">
      <formula>AND($J6&lt;&gt;"",$I6&lt;&gt;"",$J6*N('設定'!$C$8)/100&gt;$I6)</formula>
    </cfRule>
  </conditionalFormatting>
  <dataValidations count="2">
    <dataValidation sqref="H6:H1005" showDropDown="0" showInputMessage="0" showErrorMessage="1" allowBlank="0" errorTitle="定数" error="ケース数を 0 以上の数で入れてください。" promptTitle="定数" type="decimal" operator="between">
      <formula1>0</formula1>
      <formula2>9999</formula2>
    </dataValidation>
    <dataValidation sqref="J6:J1005" showDropDown="0" showInputMessage="0" showErrorMessage="1" allowBlank="0" errorTitle="減り数" error="来場者100人あたりの減り数を 0 より大きい数で入れてください（例 6.5）。" promptTitle="減り数" type="decimal" operator="between">
      <formula1>0</formula1>
      <formula2>9999</formula2>
    </dataValidation>
  </dataValidations>
  <hyperlinks>
    <hyperlink ref="N1" location="'ホーム'!A1" display="◀ ホーム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A8D9C"/>
    <outlinePr summaryBelow="1" summaryRight="1"/>
    <pageSetUpPr/>
  </sheetPr>
  <dimension ref="B1:H1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" customWidth="1" min="2" max="2"/>
    <col width="32.4" customWidth="1" min="3" max="3"/>
    <col width="10.8" customWidth="1" min="4" max="4"/>
    <col width="10.8" customWidth="1" min="5" max="5"/>
    <col width="32.4" customWidth="1" min="6" max="6"/>
    <col width="19.44" customWidth="1" min="7" max="7"/>
  </cols>
  <sheetData>
    <row r="1" ht="24" customHeight="1">
      <c r="B1" s="1" t="inlineStr">
        <is>
          <t xml:space="preserve">  劇場マスタ（社員）</t>
        </is>
      </c>
      <c r="C1" s="2" t="n"/>
      <c r="D1" s="2" t="n"/>
      <c r="E1" s="2" t="n"/>
      <c r="F1" s="2" t="n"/>
      <c r="G1" s="2" t="n"/>
      <c r="H1" s="20" t="inlineStr">
        <is>
          <t xml:space="preserve">◀ ホーム  </t>
        </is>
      </c>
    </row>
    <row r="2" ht="30" customHeight="1">
      <c r="B2" s="21" t="inlineStr">
        <is>
          <t>劇場マスタ</t>
        </is>
      </c>
    </row>
    <row r="3">
      <c r="B3" s="5" t="inlineStr">
        <is>
          <t>劇場コードは在庫CSVの4桁（例 0761）です。「CSV照合」が ✔ なら合っています。</t>
        </is>
      </c>
    </row>
    <row r="4">
      <c r="B4" s="39" t="inlineStr">
        <is>
          <t>入力</t>
        </is>
      </c>
      <c r="C4" s="39" t="inlineStr">
        <is>
          <t>入力</t>
        </is>
      </c>
      <c r="D4" s="39" t="inlineStr">
        <is>
          <t>入力</t>
        </is>
      </c>
      <c r="E4" s="39" t="inlineStr">
        <is>
          <t>選択</t>
        </is>
      </c>
      <c r="F4" s="39" t="inlineStr">
        <is>
          <t>入力</t>
        </is>
      </c>
      <c r="G4" s="39" t="inlineStr">
        <is>
          <t>自動</t>
        </is>
      </c>
    </row>
    <row r="5" ht="30" customHeight="1">
      <c r="B5" s="40" t="inlineStr">
        <is>
          <t>劇場コード</t>
        </is>
      </c>
      <c r="C5" s="40" t="inlineStr">
        <is>
          <t>劇場名</t>
        </is>
      </c>
      <c r="D5" s="40" t="inlineStr">
        <is>
          <t>都道府県</t>
        </is>
      </c>
      <c r="E5" s="40" t="inlineStr">
        <is>
          <t>規模</t>
        </is>
      </c>
      <c r="F5" s="40" t="inlineStr">
        <is>
          <t>備考</t>
        </is>
      </c>
      <c r="G5" s="40" t="inlineStr">
        <is>
          <t>CSV照合</t>
        </is>
      </c>
    </row>
    <row r="6" ht="18" customHeight="1">
      <c r="B6" s="76" t="inlineStr">
        <is>
          <t>0891</t>
        </is>
      </c>
      <c r="C6" s="77" t="inlineStr">
        <is>
          <t>すすきの</t>
        </is>
      </c>
      <c r="D6" s="77" t="inlineStr">
        <is>
          <t>北海道</t>
        </is>
      </c>
      <c r="E6" s="77" t="n"/>
      <c r="F6" s="77" t="n"/>
      <c r="G6" s="81">
        <f>IF($B6="","",IF(COUNTIF('①在庫を貼る'!$V$6:$V$10005,$B6)=0,"",IFERROR(IF(INDEX('①在庫を貼る'!$C$6:$C$10005,MATCH($B6,'①在庫を貼る'!$V$6:$V$10005,0))=$C6,"✔ 一致","△ CSVでは "&amp;INDEX('①在庫を貼る'!$C$6:$C$10005,MATCH($B6,'①在庫を貼る'!$V$6:$V$10005,0))),"")))</f>
        <v/>
      </c>
    </row>
    <row r="7" ht="18" customHeight="1">
      <c r="B7" s="76" t="inlineStr">
        <is>
          <t>0491</t>
        </is>
      </c>
      <c r="C7" s="77" t="inlineStr">
        <is>
          <t>おいらせ下田</t>
        </is>
      </c>
      <c r="D7" s="77" t="inlineStr">
        <is>
          <t>青森</t>
        </is>
      </c>
      <c r="E7" s="77" t="n"/>
      <c r="F7" s="77" t="n"/>
      <c r="G7" s="81">
        <f>IF($B7="","",IF(COUNTIF('①在庫を貼る'!$V$6:$V$10005,$B7)=0,"",IFERROR(IF(INDEX('①在庫を貼る'!$C$6:$C$10005,MATCH($B7,'①在庫を貼る'!$V$6:$V$10005,0))=$C7,"✔ 一致","△ CSVでは "&amp;INDEX('①在庫を貼る'!$C$6:$C$10005,MATCH($B7,'①在庫を貼る'!$V$6:$V$10005,0))),"")))</f>
        <v/>
      </c>
    </row>
    <row r="8" ht="18" customHeight="1">
      <c r="B8" s="76" t="inlineStr">
        <is>
          <t>0501</t>
        </is>
      </c>
      <c r="C8" s="77" t="inlineStr">
        <is>
          <t>秋田</t>
        </is>
      </c>
      <c r="D8" s="77" t="inlineStr">
        <is>
          <t>秋田</t>
        </is>
      </c>
      <c r="E8" s="77" t="n"/>
      <c r="F8" s="77" t="n"/>
      <c r="G8" s="81">
        <f>IF($B8="","",IF(COUNTIF('①在庫を貼る'!$V$6:$V$10005,$B8)=0,"",IFERROR(IF(INDEX('①在庫を貼る'!$C$6:$C$10005,MATCH($B8,'①在庫を貼る'!$V$6:$V$10005,0))=$C8,"✔ 一致","△ CSVでは "&amp;INDEX('①在庫を貼る'!$C$6:$C$10005,MATCH($B8,'①在庫を貼る'!$V$6:$V$10005,0))),"")))</f>
        <v/>
      </c>
    </row>
    <row r="9" ht="18" customHeight="1">
      <c r="B9" s="76" t="inlineStr">
        <is>
          <t>0781</t>
        </is>
      </c>
      <c r="C9" s="77" t="inlineStr">
        <is>
          <t>仙台</t>
        </is>
      </c>
      <c r="D9" s="77" t="inlineStr">
        <is>
          <t>宮城</t>
        </is>
      </c>
      <c r="E9" s="77" t="n"/>
      <c r="F9" s="77" t="n"/>
      <c r="G9" s="81">
        <f>IF($B9="","",IF(COUNTIF('①在庫を貼る'!$V$6:$V$10005,$B9)=0,"",IFERROR(IF(INDEX('①在庫を貼る'!$C$6:$C$10005,MATCH($B9,'①在庫を貼る'!$V$6:$V$10005,0))=$C9,"✔ 一致","△ CSVでは "&amp;INDEX('①在庫を貼る'!$C$6:$C$10005,MATCH($B9,'①在庫を貼る'!$V$6:$V$10005,0))),"")))</f>
        <v/>
      </c>
    </row>
    <row r="10" ht="18" customHeight="1">
      <c r="B10" s="76" t="inlineStr">
        <is>
          <t>0241</t>
        </is>
      </c>
      <c r="C10" s="77" t="inlineStr">
        <is>
          <t>ひたちなか</t>
        </is>
      </c>
      <c r="D10" s="77" t="inlineStr">
        <is>
          <t>茨城</t>
        </is>
      </c>
      <c r="E10" s="77" t="n"/>
      <c r="F10" s="77" t="n"/>
      <c r="G10" s="81">
        <f>IF($B10="","",IF(COUNTIF('①在庫を貼る'!$V$6:$V$10005,$B10)=0,"",IFERROR(IF(INDEX('①在庫を貼る'!$C$6:$C$10005,MATCH($B10,'①在庫を貼る'!$V$6:$V$10005,0))=$C10,"✔ 一致","△ CSVでは "&amp;INDEX('①在庫を貼る'!$C$6:$C$10005,MATCH($B10,'①在庫を貼る'!$V$6:$V$10005,0))),"")))</f>
        <v/>
      </c>
    </row>
    <row r="11" ht="18" customHeight="1">
      <c r="B11" s="76" t="inlineStr">
        <is>
          <t>0151</t>
        </is>
      </c>
      <c r="C11" s="77" t="inlineStr">
        <is>
          <t>宇都宮</t>
        </is>
      </c>
      <c r="D11" s="77" t="inlineStr">
        <is>
          <t>栃木</t>
        </is>
      </c>
      <c r="E11" s="77" t="n"/>
      <c r="F11" s="77" t="n"/>
      <c r="G11" s="81">
        <f>IF($B11="","",IF(COUNTIF('①在庫を貼る'!$V$6:$V$10005,$B11)=0,"",IFERROR(IF(INDEX('①在庫を貼る'!$C$6:$C$10005,MATCH($B11,'①在庫を貼る'!$V$6:$V$10005,0))=$C11,"✔ 一致","△ CSVでは "&amp;INDEX('①在庫を貼る'!$C$6:$C$10005,MATCH($B11,'①在庫を貼る'!$V$6:$V$10005,0))),"")))</f>
        <v/>
      </c>
    </row>
    <row r="12" ht="18" customHeight="1">
      <c r="B12" s="76" t="inlineStr">
        <is>
          <t>0751</t>
        </is>
      </c>
      <c r="C12" s="77" t="inlineStr">
        <is>
          <t>ららぽーと富士見</t>
        </is>
      </c>
      <c r="D12" s="77" t="inlineStr">
        <is>
          <t>埼玉</t>
        </is>
      </c>
      <c r="E12" s="77" t="n"/>
      <c r="F12" s="77" t="n"/>
      <c r="G12" s="81">
        <f>IF($B12="","",IF(COUNTIF('①在庫を貼る'!$V$6:$V$10005,$B12)=0,"",IFERROR(IF(INDEX('①在庫を貼る'!$C$6:$C$10005,MATCH($B12,'①在庫を貼る'!$V$6:$V$10005,0))=$C12,"✔ 一致","△ CSVでは "&amp;INDEX('①在庫を貼る'!$C$6:$C$10005,MATCH($B12,'①在庫を貼る'!$V$6:$V$10005,0))),"")))</f>
        <v/>
      </c>
    </row>
    <row r="13" ht="18" customHeight="1">
      <c r="B13" s="76" t="inlineStr">
        <is>
          <t>0031</t>
        </is>
      </c>
      <c r="C13" s="77" t="inlineStr">
        <is>
          <t>市川コルトンプラザ</t>
        </is>
      </c>
      <c r="D13" s="77" t="inlineStr">
        <is>
          <t>千葉</t>
        </is>
      </c>
      <c r="E13" s="77" t="n"/>
      <c r="F13" s="77" t="n"/>
      <c r="G13" s="81">
        <f>IF($B13="","",IF(COUNTIF('①在庫を貼る'!$V$6:$V$10005,$B13)=0,"",IFERROR(IF(INDEX('①在庫を貼る'!$C$6:$C$10005,MATCH($B13,'①在庫を貼る'!$V$6:$V$10005,0))=$C13,"✔ 一致","△ CSVでは "&amp;INDEX('①在庫を貼る'!$C$6:$C$10005,MATCH($B13,'①在庫を貼る'!$V$6:$V$10005,0))),"")))</f>
        <v/>
      </c>
    </row>
    <row r="14" ht="18" customHeight="1">
      <c r="B14" s="76" t="inlineStr">
        <is>
          <t>0181</t>
        </is>
      </c>
      <c r="C14" s="77" t="inlineStr">
        <is>
          <t>ららぽーと船橋</t>
        </is>
      </c>
      <c r="D14" s="77" t="inlineStr">
        <is>
          <t>千葉</t>
        </is>
      </c>
      <c r="E14" s="77" t="n"/>
      <c r="F14" s="77" t="n"/>
      <c r="G14" s="81">
        <f>IF($B14="","",IF(COUNTIF('①在庫を貼る'!$V$6:$V$10005,$B14)=0,"",IFERROR(IF(INDEX('①在庫を貼る'!$C$6:$C$10005,MATCH($B14,'①在庫を貼る'!$V$6:$V$10005,0))=$C14,"✔ 一致","△ CSVでは "&amp;INDEX('①在庫を貼る'!$C$6:$C$10005,MATCH($B14,'①在庫を貼る'!$V$6:$V$10005,0))),"")))</f>
        <v/>
      </c>
    </row>
    <row r="15" ht="18" customHeight="1">
      <c r="B15" s="76" t="inlineStr">
        <is>
          <t>0281</t>
        </is>
      </c>
      <c r="C15" s="77" t="inlineStr">
        <is>
          <t>八千代緑が丘</t>
        </is>
      </c>
      <c r="D15" s="77" t="inlineStr">
        <is>
          <t>千葉</t>
        </is>
      </c>
      <c r="E15" s="77" t="n"/>
      <c r="F15" s="77" t="n"/>
      <c r="G15" s="81">
        <f>IF($B15="","",IF(COUNTIF('①在庫を貼る'!$V$6:$V$10005,$B15)=0,"",IFERROR(IF(INDEX('①在庫を貼る'!$C$6:$C$10005,MATCH($B15,'①在庫を貼る'!$V$6:$V$10005,0))=$C15,"✔ 一致","△ CSVでは "&amp;INDEX('①在庫を貼る'!$C$6:$C$10005,MATCH($B15,'①在庫を貼る'!$V$6:$V$10005,0))),"")))</f>
        <v/>
      </c>
    </row>
    <row r="16" ht="18" customHeight="1">
      <c r="B16" s="76" t="inlineStr">
        <is>
          <t>0351</t>
        </is>
      </c>
      <c r="C16" s="77" t="inlineStr">
        <is>
          <t>流山おおたかの森</t>
        </is>
      </c>
      <c r="D16" s="77" t="inlineStr">
        <is>
          <t>千葉</t>
        </is>
      </c>
      <c r="E16" s="77" t="n"/>
      <c r="F16" s="77" t="n"/>
      <c r="G16" s="81">
        <f>IF($B16="","",IF(COUNTIF('①在庫を貼る'!$V$6:$V$10005,$B16)=0,"",IFERROR(IF(INDEX('①在庫を貼る'!$C$6:$C$10005,MATCH($B16,'①在庫を貼る'!$V$6:$V$10005,0))=$C16,"✔ 一致","△ CSVでは "&amp;INDEX('①在庫を貼る'!$C$6:$C$10005,MATCH($B16,'①在庫を貼る'!$V$6:$V$10005,0))),"")))</f>
        <v/>
      </c>
    </row>
    <row r="17" ht="18" customHeight="1">
      <c r="B17" s="76" t="inlineStr">
        <is>
          <t>0711</t>
        </is>
      </c>
      <c r="C17" s="77" t="inlineStr">
        <is>
          <t>市原</t>
        </is>
      </c>
      <c r="D17" s="77" t="inlineStr">
        <is>
          <t>千葉</t>
        </is>
      </c>
      <c r="E17" s="77" t="n"/>
      <c r="F17" s="77" t="n"/>
      <c r="G17" s="81">
        <f>IF($B17="","",IF(COUNTIF('①在庫を貼る'!$V$6:$V$10005,$B17)=0,"",IFERROR(IF(INDEX('①在庫を貼る'!$C$6:$C$10005,MATCH($B17,'①在庫を貼る'!$V$6:$V$10005,0))=$C17,"✔ 一致","△ CSVでは "&amp;INDEX('①在庫を貼る'!$C$6:$C$10005,MATCH($B17,'①在庫を貼る'!$V$6:$V$10005,0))),"")))</f>
        <v/>
      </c>
    </row>
    <row r="18" ht="18" customHeight="1">
      <c r="B18" s="76" t="inlineStr">
        <is>
          <t>0771</t>
        </is>
      </c>
      <c r="C18" s="77" t="inlineStr">
        <is>
          <t>柏</t>
        </is>
      </c>
      <c r="D18" s="77" t="inlineStr">
        <is>
          <t>千葉</t>
        </is>
      </c>
      <c r="E18" s="77" t="n"/>
      <c r="F18" s="77" t="n"/>
      <c r="G18" s="81">
        <f>IF($B18="","",IF(COUNTIF('①在庫を貼る'!$V$6:$V$10005,$B18)=0,"",IFERROR(IF(INDEX('①在庫を貼る'!$C$6:$C$10005,MATCH($B18,'①在庫を貼る'!$V$6:$V$10005,0))=$C18,"✔ 一致","△ CSVでは "&amp;INDEX('①在庫を貼る'!$C$6:$C$10005,MATCH($B18,'①在庫を貼る'!$V$6:$V$10005,0))),"")))</f>
        <v/>
      </c>
    </row>
    <row r="19" ht="18" customHeight="1">
      <c r="B19" s="76" t="inlineStr">
        <is>
          <t>0061</t>
        </is>
      </c>
      <c r="C19" s="77" t="inlineStr">
        <is>
          <t>南大沢</t>
        </is>
      </c>
      <c r="D19" s="77" t="inlineStr">
        <is>
          <t>東京</t>
        </is>
      </c>
      <c r="E19" s="77" t="n"/>
      <c r="F19" s="77" t="n"/>
      <c r="G19" s="81">
        <f>IF($B19="","",IF(COUNTIF('①在庫を貼る'!$V$6:$V$10005,$B19)=0,"",IFERROR(IF(INDEX('①在庫を貼る'!$C$6:$C$10005,MATCH($B19,'①在庫を貼る'!$V$6:$V$10005,0))=$C19,"✔ 一致","△ CSVでは "&amp;INDEX('①在庫を貼る'!$C$6:$C$10005,MATCH($B19,'①在庫を貼る'!$V$6:$V$10005,0))),"")))</f>
        <v/>
      </c>
    </row>
    <row r="20" ht="18" customHeight="1">
      <c r="B20" s="76" t="inlineStr">
        <is>
          <t>0091</t>
        </is>
      </c>
      <c r="C20" s="77" t="inlineStr">
        <is>
          <t>六本木ヒルズ</t>
        </is>
      </c>
      <c r="D20" s="77" t="inlineStr">
        <is>
          <t>東京</t>
        </is>
      </c>
      <c r="E20" s="77" t="n"/>
      <c r="F20" s="77" t="n"/>
      <c r="G20" s="81">
        <f>IF($B20="","",IF(COUNTIF('①在庫を貼る'!$V$6:$V$10005,$B20)=0,"",IFERROR(IF(INDEX('①在庫を貼る'!$C$6:$C$10005,MATCH($B20,'①在庫を貼る'!$V$6:$V$10005,0))=$C20,"✔ 一致","△ CSVでは "&amp;INDEX('①在庫を貼る'!$C$6:$C$10005,MATCH($B20,'①在庫を貼る'!$V$6:$V$10005,0))),"")))</f>
        <v/>
      </c>
    </row>
    <row r="21" ht="18" customHeight="1">
      <c r="B21" s="76" t="inlineStr">
        <is>
          <t>0121</t>
        </is>
      </c>
      <c r="C21" s="77" t="inlineStr">
        <is>
          <t>府中</t>
        </is>
      </c>
      <c r="D21" s="77" t="inlineStr">
        <is>
          <t>東京</t>
        </is>
      </c>
      <c r="E21" s="77" t="n"/>
      <c r="F21" s="77" t="n"/>
      <c r="G21" s="81">
        <f>IF($B21="","",IF(COUNTIF('①在庫を貼る'!$V$6:$V$10005,$B21)=0,"",IFERROR(IF(INDEX('①在庫を貼る'!$C$6:$C$10005,MATCH($B21,'①在庫を貼る'!$V$6:$V$10005,0))=$C21,"✔ 一致","△ CSVでは "&amp;INDEX('①在庫を貼る'!$C$6:$C$10005,MATCH($B21,'①在庫を貼る'!$V$6:$V$10005,0))),"")))</f>
        <v/>
      </c>
    </row>
    <row r="22" ht="18" customHeight="1">
      <c r="B22" s="76" t="inlineStr">
        <is>
          <t>0291</t>
        </is>
      </c>
      <c r="C22" s="77" t="inlineStr">
        <is>
          <t>錦糸町（楽天地・オリナス）</t>
        </is>
      </c>
      <c r="D22" s="77" t="inlineStr">
        <is>
          <t>東京</t>
        </is>
      </c>
      <c r="E22" s="77" t="n"/>
      <c r="F22" s="77" t="n"/>
      <c r="G22" s="81">
        <f>IF($B22="","",IF(COUNTIF('①在庫を貼る'!$V$6:$V$10005,$B22)=0,"",IFERROR(IF(INDEX('①在庫を貼る'!$C$6:$C$10005,MATCH($B22,'①在庫を貼る'!$V$6:$V$10005,0))=$C22,"✔ 一致","△ CSVでは "&amp;INDEX('①在庫を貼る'!$C$6:$C$10005,MATCH($B22,'①在庫を貼る'!$V$6:$V$10005,0))),"")))</f>
        <v/>
      </c>
    </row>
    <row r="23" ht="18" customHeight="1">
      <c r="B23" s="76" t="inlineStr">
        <is>
          <t>0401</t>
        </is>
      </c>
      <c r="C23" s="77" t="inlineStr">
        <is>
          <t>西新井</t>
        </is>
      </c>
      <c r="D23" s="77" t="inlineStr">
        <is>
          <t>東京</t>
        </is>
      </c>
      <c r="E23" s="77" t="n"/>
      <c r="F23" s="77" t="n"/>
      <c r="G23" s="81">
        <f>IF($B23="","",IF(COUNTIF('①在庫を貼る'!$V$6:$V$10005,$B23)=0,"",IFERROR(IF(INDEX('①在庫を貼る'!$C$6:$C$10005,MATCH($B23,'①在庫を貼る'!$V$6:$V$10005,0))=$C23,"✔ 一致","△ CSVでは "&amp;INDEX('①在庫を貼る'!$C$6:$C$10005,MATCH($B23,'①在庫を貼る'!$V$6:$V$10005,0))),"")))</f>
        <v/>
      </c>
    </row>
    <row r="24" ht="18" customHeight="1">
      <c r="B24" s="76" t="inlineStr">
        <is>
          <t>0441</t>
        </is>
      </c>
      <c r="C24" s="77" t="inlineStr">
        <is>
          <t>お台場（シネマメディアージュ）</t>
        </is>
      </c>
      <c r="D24" s="77" t="inlineStr">
        <is>
          <t>東京</t>
        </is>
      </c>
      <c r="E24" s="77" t="n"/>
      <c r="F24" s="77" t="n"/>
      <c r="G24" s="81">
        <f>IF($B24="","",IF(COUNTIF('①在庫を貼る'!$V$6:$V$10005,$B24)=0,"",IFERROR(IF(INDEX('①在庫を貼る'!$C$6:$C$10005,MATCH($B24,'①在庫を貼る'!$V$6:$V$10005,0))=$C24,"✔ 一致","△ CSVでは "&amp;INDEX('①在庫を貼る'!$C$6:$C$10005,MATCH($B24,'①在庫を貼る'!$V$6:$V$10005,0))),"")))</f>
        <v/>
      </c>
    </row>
    <row r="25" ht="18" customHeight="1">
      <c r="B25" s="76" t="inlineStr">
        <is>
          <t>0731</t>
        </is>
      </c>
      <c r="C25" s="77" t="inlineStr">
        <is>
          <t>日本橋</t>
        </is>
      </c>
      <c r="D25" s="77" t="inlineStr">
        <is>
          <t>東京</t>
        </is>
      </c>
      <c r="E25" s="77" t="n"/>
      <c r="F25" s="77" t="n"/>
      <c r="G25" s="81">
        <f>IF($B25="","",IF(COUNTIF('①在庫を貼る'!$V$6:$V$10005,$B25)=0,"",IFERROR(IF(INDEX('①在庫を貼る'!$C$6:$C$10005,MATCH($B25,'①在庫を貼る'!$V$6:$V$10005,0))=$C25,"✔ 一致","△ CSVでは "&amp;INDEX('①在庫を貼る'!$C$6:$C$10005,MATCH($B25,'①在庫を貼る'!$V$6:$V$10005,0))),"")))</f>
        <v/>
      </c>
    </row>
    <row r="26" ht="18" customHeight="1">
      <c r="B26" s="76" t="inlineStr">
        <is>
          <t>0761</t>
        </is>
      </c>
      <c r="C26" s="77" t="inlineStr">
        <is>
          <t>新宿</t>
        </is>
      </c>
      <c r="D26" s="77" t="inlineStr">
        <is>
          <t>東京</t>
        </is>
      </c>
      <c r="E26" s="77" t="n"/>
      <c r="F26" s="77" t="n"/>
      <c r="G26" s="81">
        <f>IF($B26="","",IF(COUNTIF('①在庫を貼る'!$V$6:$V$10005,$B26)=0,"",IFERROR(IF(INDEX('①在庫を貼る'!$C$6:$C$10005,MATCH($B26,'①在庫を貼る'!$V$6:$V$10005,0))=$C26,"✔ 一致","△ CSVでは "&amp;INDEX('①在庫を貼る'!$C$6:$C$10005,MATCH($B26,'①在庫を貼る'!$V$6:$V$10005,0))),"")))</f>
        <v/>
      </c>
    </row>
    <row r="27" ht="18" customHeight="1">
      <c r="B27" s="76" t="inlineStr">
        <is>
          <t>0801</t>
        </is>
      </c>
      <c r="C27" s="77" t="inlineStr">
        <is>
          <t>上野</t>
        </is>
      </c>
      <c r="D27" s="77" t="inlineStr">
        <is>
          <t>東京</t>
        </is>
      </c>
      <c r="E27" s="77" t="n"/>
      <c r="F27" s="77" t="n"/>
      <c r="G27" s="81">
        <f>IF($B27="","",IF(COUNTIF('①在庫を貼る'!$V$6:$V$10005,$B27)=0,"",IFERROR(IF(INDEX('①在庫を貼る'!$C$6:$C$10005,MATCH($B27,'①在庫を貼る'!$V$6:$V$10005,0))=$C27,"✔ 一致","△ CSVでは "&amp;INDEX('①在庫を貼る'!$C$6:$C$10005,MATCH($B27,'①在庫を貼る'!$V$6:$V$10005,0))),"")))</f>
        <v/>
      </c>
    </row>
    <row r="28" ht="18" customHeight="1">
      <c r="B28" s="76" t="inlineStr">
        <is>
          <t>0811</t>
        </is>
      </c>
      <c r="C28" s="77" t="inlineStr">
        <is>
          <t>日比谷／シャンテ</t>
        </is>
      </c>
      <c r="D28" s="77" t="inlineStr">
        <is>
          <t>東京</t>
        </is>
      </c>
      <c r="E28" s="77" t="n"/>
      <c r="F28" s="77" t="n"/>
      <c r="G28" s="81">
        <f>IF($B28="","",IF(COUNTIF('①在庫を貼る'!$V$6:$V$10005,$B28)=0,"",IFERROR(IF(INDEX('①在庫を貼る'!$C$6:$C$10005,MATCH($B28,'①在庫を貼る'!$V$6:$V$10005,0))=$C28,"✔ 一致","△ CSVでは "&amp;INDEX('①在庫を貼る'!$C$6:$C$10005,MATCH($B28,'①在庫を貼る'!$V$6:$V$10005,0))),"")))</f>
        <v/>
      </c>
    </row>
    <row r="29" ht="18" customHeight="1">
      <c r="B29" s="76" t="inlineStr">
        <is>
          <t>0841</t>
        </is>
      </c>
      <c r="C29" s="77" t="inlineStr">
        <is>
          <t>池袋</t>
        </is>
      </c>
      <c r="D29" s="77" t="inlineStr">
        <is>
          <t>東京</t>
        </is>
      </c>
      <c r="E29" s="77" t="n"/>
      <c r="F29" s="77" t="n"/>
      <c r="G29" s="81">
        <f>IF($B29="","",IF(COUNTIF('①在庫を貼る'!$V$6:$V$10005,$B29)=0,"",IFERROR(IF(INDEX('①在庫を貼る'!$C$6:$C$10005,MATCH($B29,'①在庫を貼る'!$V$6:$V$10005,0))=$C29,"✔ 一致","△ CSVでは "&amp;INDEX('①在庫を貼る'!$C$6:$C$10005,MATCH($B29,'①在庫を貼る'!$V$6:$V$10005,0))),"")))</f>
        <v/>
      </c>
    </row>
    <row r="30" ht="18" customHeight="1">
      <c r="B30" s="76" t="inlineStr">
        <is>
          <t>0851</t>
        </is>
      </c>
      <c r="C30" s="77" t="inlineStr">
        <is>
          <t>立川立飛</t>
        </is>
      </c>
      <c r="D30" s="77" t="inlineStr">
        <is>
          <t>東京</t>
        </is>
      </c>
      <c r="E30" s="77" t="n"/>
      <c r="F30" s="77" t="n"/>
      <c r="G30" s="81">
        <f>IF($B30="","",IF(COUNTIF('①在庫を貼る'!$V$6:$V$10005,$B30)=0,"",IFERROR(IF(INDEX('①在庫を貼る'!$C$6:$C$10005,MATCH($B30,'①在庫を貼る'!$V$6:$V$10005,0))=$C30,"✔ 一致","△ CSVでは "&amp;INDEX('①在庫を貼る'!$C$6:$C$10005,MATCH($B30,'①在庫を貼る'!$V$6:$V$10005,0))),"")))</f>
        <v/>
      </c>
    </row>
    <row r="31" ht="18" customHeight="1">
      <c r="B31" s="76" t="inlineStr">
        <is>
          <t>0071</t>
        </is>
      </c>
      <c r="C31" s="77" t="inlineStr">
        <is>
          <t>海老名</t>
        </is>
      </c>
      <c r="D31" s="77" t="inlineStr">
        <is>
          <t>神奈川</t>
        </is>
      </c>
      <c r="E31" s="77" t="n"/>
      <c r="F31" s="77" t="n"/>
      <c r="G31" s="81">
        <f>IF($B31="","",IF(COUNTIF('①在庫を貼る'!$V$6:$V$10005,$B31)=0,"",IFERROR(IF(INDEX('①在庫を貼る'!$C$6:$C$10005,MATCH($B31,'①在庫を貼る'!$V$6:$V$10005,0))=$C31,"✔ 一致","△ CSVでは "&amp;INDEX('①在庫を貼る'!$C$6:$C$10005,MATCH($B31,'①在庫を貼る'!$V$6:$V$10005,0))),"")))</f>
        <v/>
      </c>
    </row>
    <row r="32" ht="18" customHeight="1">
      <c r="B32" s="76" t="inlineStr">
        <is>
          <t>0081</t>
        </is>
      </c>
      <c r="C32" s="77" t="inlineStr">
        <is>
          <t>小田原</t>
        </is>
      </c>
      <c r="D32" s="77" t="inlineStr">
        <is>
          <t>神奈川</t>
        </is>
      </c>
      <c r="E32" s="77" t="n"/>
      <c r="F32" s="77" t="n"/>
      <c r="G32" s="81">
        <f>IF($B32="","",IF(COUNTIF('①在庫を貼る'!$V$6:$V$10005,$B32)=0,"",IFERROR(IF(INDEX('①在庫を貼る'!$C$6:$C$10005,MATCH($B32,'①在庫を貼る'!$V$6:$V$10005,0))=$C32,"✔ 一致","△ CSVでは "&amp;INDEX('①在庫を貼る'!$C$6:$C$10005,MATCH($B32,'①在庫を貼る'!$V$6:$V$10005,0))),"")))</f>
        <v/>
      </c>
    </row>
    <row r="33" ht="18" customHeight="1">
      <c r="B33" s="76" t="inlineStr">
        <is>
          <t>0101</t>
        </is>
      </c>
      <c r="C33" s="77" t="inlineStr">
        <is>
          <t>川崎</t>
        </is>
      </c>
      <c r="D33" s="77" t="inlineStr">
        <is>
          <t>神奈川</t>
        </is>
      </c>
      <c r="E33" s="77" t="n"/>
      <c r="F33" s="77" t="n"/>
      <c r="G33" s="81">
        <f>IF($B33="","",IF(COUNTIF('①在庫を貼る'!$V$6:$V$10005,$B33)=0,"",IFERROR(IF(INDEX('①在庫を貼る'!$C$6:$C$10005,MATCH($B33,'①在庫を貼る'!$V$6:$V$10005,0))=$C33,"✔ 一致","△ CSVでは "&amp;INDEX('①在庫を貼る'!$C$6:$C$10005,MATCH($B33,'①在庫を貼る'!$V$6:$V$10005,0))),"")))</f>
        <v/>
      </c>
    </row>
    <row r="34" ht="18" customHeight="1">
      <c r="B34" s="76" t="inlineStr">
        <is>
          <t>0361</t>
        </is>
      </c>
      <c r="C34" s="77" t="inlineStr">
        <is>
          <t>ららぽーと横浜</t>
        </is>
      </c>
      <c r="D34" s="77" t="inlineStr">
        <is>
          <t>神奈川</t>
        </is>
      </c>
      <c r="E34" s="77" t="n"/>
      <c r="F34" s="77" t="n"/>
      <c r="G34" s="81">
        <f>IF($B34="","",IF(COUNTIF('①在庫を貼る'!$V$6:$V$10005,$B34)=0,"",IFERROR(IF(INDEX('①在庫を貼る'!$C$6:$C$10005,MATCH($B34,'①在庫を貼る'!$V$6:$V$10005,0))=$C34,"✔ 一致","△ CSVでは "&amp;INDEX('①在庫を貼る'!$C$6:$C$10005,MATCH($B34,'①在庫を貼る'!$V$6:$V$10005,0))),"")))</f>
        <v/>
      </c>
    </row>
    <row r="35" ht="18" customHeight="1">
      <c r="B35" s="76" t="inlineStr">
        <is>
          <t>0671</t>
        </is>
      </c>
      <c r="C35" s="77" t="inlineStr">
        <is>
          <t>甲府</t>
        </is>
      </c>
      <c r="D35" s="77" t="inlineStr">
        <is>
          <t>山梨</t>
        </is>
      </c>
      <c r="E35" s="77" t="n"/>
      <c r="F35" s="77" t="n"/>
      <c r="G35" s="81">
        <f>IF($B35="","",IF(COUNTIF('①在庫を貼る'!$V$6:$V$10005,$B35)=0,"",IFERROR(IF(INDEX('①在庫を貼る'!$C$6:$C$10005,MATCH($B35,'①在庫を貼る'!$V$6:$V$10005,0))=$C35,"✔ 一致","△ CSVでは "&amp;INDEX('①在庫を貼る'!$C$6:$C$10005,MATCH($B35,'①在庫を貼る'!$V$6:$V$10005,0))),"")))</f>
        <v/>
      </c>
    </row>
    <row r="36" ht="18" customHeight="1">
      <c r="B36" s="76" t="inlineStr">
        <is>
          <t>0681</t>
        </is>
      </c>
      <c r="C36" s="77" t="inlineStr">
        <is>
          <t>上田</t>
        </is>
      </c>
      <c r="D36" s="77" t="inlineStr">
        <is>
          <t>長野</t>
        </is>
      </c>
      <c r="E36" s="77" t="n"/>
      <c r="F36" s="77" t="n"/>
      <c r="G36" s="81">
        <f>IF($B36="","",IF(COUNTIF('①在庫を貼る'!$V$6:$V$10005,$B36)=0,"",IFERROR(IF(INDEX('①在庫を貼る'!$C$6:$C$10005,MATCH($B36,'①在庫を貼る'!$V$6:$V$10005,0))=$C36,"✔ 一致","△ CSVでは "&amp;INDEX('①在庫を貼る'!$C$6:$C$10005,MATCH($B36,'①在庫を貼る'!$V$6:$V$10005,0))),"")))</f>
        <v/>
      </c>
    </row>
    <row r="37" ht="18" customHeight="1">
      <c r="B37" s="76" t="inlineStr">
        <is>
          <t>0531</t>
        </is>
      </c>
      <c r="C37" s="77" t="inlineStr">
        <is>
          <t>ファボーレ富山</t>
        </is>
      </c>
      <c r="D37" s="77" t="inlineStr">
        <is>
          <t>富山</t>
        </is>
      </c>
      <c r="E37" s="77" t="n"/>
      <c r="F37" s="77" t="n"/>
      <c r="G37" s="81">
        <f>IF($B37="","",IF(COUNTIF('①在庫を貼る'!$V$6:$V$10005,$B37)=0,"",IFERROR(IF(INDEX('①在庫を貼る'!$C$6:$C$10005,MATCH($B37,'①在庫を貼る'!$V$6:$V$10005,0))=$C37,"✔ 一致","△ CSVでは "&amp;INDEX('①在庫を貼る'!$C$6:$C$10005,MATCH($B37,'①在庫を貼る'!$V$6:$V$10005,0))),"")))</f>
        <v/>
      </c>
    </row>
    <row r="38" ht="18" customHeight="1">
      <c r="B38" s="76" t="inlineStr">
        <is>
          <t>0541</t>
        </is>
      </c>
      <c r="C38" s="77" t="inlineStr">
        <is>
          <t>高岡</t>
        </is>
      </c>
      <c r="D38" s="77" t="inlineStr">
        <is>
          <t>富山</t>
        </is>
      </c>
      <c r="E38" s="77" t="n"/>
      <c r="F38" s="77" t="n"/>
      <c r="G38" s="81">
        <f>IF($B38="","",IF(COUNTIF('①在庫を貼る'!$V$6:$V$10005,$B38)=0,"",IFERROR(IF(INDEX('①在庫を貼る'!$C$6:$C$10005,MATCH($B38,'①在庫を貼る'!$V$6:$V$10005,0))=$C38,"✔ 一致","△ CSVでは "&amp;INDEX('①在庫を貼る'!$C$6:$C$10005,MATCH($B38,'①在庫を貼る'!$V$6:$V$10005,0))),"")))</f>
        <v/>
      </c>
    </row>
    <row r="39" ht="18" customHeight="1">
      <c r="B39" s="76" t="inlineStr">
        <is>
          <t>0201</t>
        </is>
      </c>
      <c r="C39" s="77" t="inlineStr">
        <is>
          <t>岐阜</t>
        </is>
      </c>
      <c r="D39" s="77" t="inlineStr">
        <is>
          <t>岐阜</t>
        </is>
      </c>
      <c r="E39" s="77" t="n"/>
      <c r="F39" s="77" t="n"/>
      <c r="G39" s="81">
        <f>IF($B39="","",IF(COUNTIF('①在庫を貼る'!$V$6:$V$10005,$B39)=0,"",IFERROR(IF(INDEX('①在庫を貼る'!$C$6:$C$10005,MATCH($B39,'①在庫を貼る'!$V$6:$V$10005,0))=$C39,"✔ 一致","△ CSVでは "&amp;INDEX('①在庫を貼る'!$C$6:$C$10005,MATCH($B39,'①在庫を貼る'!$V$6:$V$10005,0))),"")))</f>
        <v/>
      </c>
    </row>
    <row r="40" ht="18" customHeight="1">
      <c r="B40" s="76" t="inlineStr">
        <is>
          <t>0301</t>
        </is>
      </c>
      <c r="C40" s="77" t="inlineStr">
        <is>
          <t>モレラ岐阜</t>
        </is>
      </c>
      <c r="D40" s="77" t="inlineStr">
        <is>
          <t>岐阜</t>
        </is>
      </c>
      <c r="E40" s="77" t="n"/>
      <c r="F40" s="77" t="n"/>
      <c r="G40" s="81">
        <f>IF($B40="","",IF(COUNTIF('①在庫を貼る'!$V$6:$V$10005,$B40)=0,"",IFERROR(IF(INDEX('①在庫を貼る'!$C$6:$C$10005,MATCH($B40,'①在庫を貼る'!$V$6:$V$10005,0))=$C40,"✔ 一致","△ CSVでは "&amp;INDEX('①在庫を貼る'!$C$6:$C$10005,MATCH($B40,'①在庫を貼る'!$V$6:$V$10005,0))),"")))</f>
        <v/>
      </c>
    </row>
    <row r="41" ht="18" customHeight="1">
      <c r="B41" s="76" t="inlineStr">
        <is>
          <t>0041</t>
        </is>
      </c>
      <c r="C41" s="77" t="inlineStr">
        <is>
          <t>浜松</t>
        </is>
      </c>
      <c r="D41" s="77" t="inlineStr">
        <is>
          <t>静岡</t>
        </is>
      </c>
      <c r="E41" s="77" t="n"/>
      <c r="F41" s="77" t="n"/>
      <c r="G41" s="81">
        <f>IF($B41="","",IF(COUNTIF('①在庫を貼る'!$V$6:$V$10005,$B41)=0,"",IFERROR(IF(INDEX('①在庫を貼る'!$C$6:$C$10005,MATCH($B41,'①在庫を貼る'!$V$6:$V$10005,0))=$C41,"✔ 一致","△ CSVでは "&amp;INDEX('①在庫を貼る'!$C$6:$C$10005,MATCH($B41,'①在庫を貼る'!$V$6:$V$10005,0))),"")))</f>
        <v/>
      </c>
    </row>
    <row r="42" ht="18" customHeight="1">
      <c r="B42" s="76" t="inlineStr">
        <is>
          <t>0161</t>
        </is>
      </c>
      <c r="C42" s="77" t="inlineStr">
        <is>
          <t>木曽川</t>
        </is>
      </c>
      <c r="D42" s="77" t="inlineStr">
        <is>
          <t>愛知</t>
        </is>
      </c>
      <c r="E42" s="77" t="n"/>
      <c r="F42" s="77" t="n"/>
      <c r="G42" s="81">
        <f>IF($B42="","",IF(COUNTIF('①在庫を貼る'!$V$6:$V$10005,$B42)=0,"",IFERROR(IF(INDEX('①在庫を貼る'!$C$6:$C$10005,MATCH($B42,'①在庫を貼る'!$V$6:$V$10005,0))=$C42,"✔ 一致","△ CSVでは "&amp;INDEX('①在庫を貼る'!$C$6:$C$10005,MATCH($B42,'①在庫を貼る'!$V$6:$V$10005,0))),"")))</f>
        <v/>
      </c>
    </row>
    <row r="43" ht="18" customHeight="1">
      <c r="B43" s="76" t="inlineStr">
        <is>
          <t>0211</t>
        </is>
      </c>
      <c r="C43" s="77" t="inlineStr">
        <is>
          <t>東浦</t>
        </is>
      </c>
      <c r="D43" s="77" t="inlineStr">
        <is>
          <t>愛知</t>
        </is>
      </c>
      <c r="E43" s="77" t="n"/>
      <c r="F43" s="77" t="n"/>
      <c r="G43" s="81">
        <f>IF($B43="","",IF(COUNTIF('①在庫を貼る'!$V$6:$V$10005,$B43)=0,"",IFERROR(IF(INDEX('①在庫を貼る'!$C$6:$C$10005,MATCH($B43,'①在庫を貼る'!$V$6:$V$10005,0))=$C43,"✔ 一致","△ CSVでは "&amp;INDEX('①在庫を貼る'!$C$6:$C$10005,MATCH($B43,'①在庫を貼る'!$V$6:$V$10005,0))),"")))</f>
        <v/>
      </c>
    </row>
    <row r="44" ht="18" customHeight="1">
      <c r="B44" s="76" t="inlineStr">
        <is>
          <t>0261</t>
        </is>
      </c>
      <c r="C44" s="77" t="inlineStr">
        <is>
          <t>津島</t>
        </is>
      </c>
      <c r="D44" s="77" t="inlineStr">
        <is>
          <t>愛知</t>
        </is>
      </c>
      <c r="E44" s="77" t="n"/>
      <c r="F44" s="77" t="n"/>
      <c r="G44" s="81">
        <f>IF($B44="","",IF(COUNTIF('①在庫を貼る'!$V$6:$V$10005,$B44)=0,"",IFERROR(IF(INDEX('①在庫を貼る'!$C$6:$C$10005,MATCH($B44,'①在庫を貼る'!$V$6:$V$10005,0))=$C44,"✔ 一致","△ CSVでは "&amp;INDEX('①在庫を貼る'!$C$6:$C$10005,MATCH($B44,'①在庫を貼る'!$V$6:$V$10005,0))),"")))</f>
        <v/>
      </c>
    </row>
    <row r="45" ht="18" customHeight="1">
      <c r="B45" s="76" t="inlineStr">
        <is>
          <t>0791</t>
        </is>
      </c>
      <c r="C45" s="77" t="inlineStr">
        <is>
          <t>赤池</t>
        </is>
      </c>
      <c r="D45" s="77" t="inlineStr">
        <is>
          <t>愛知</t>
        </is>
      </c>
      <c r="E45" s="77" t="n"/>
      <c r="F45" s="77" t="n"/>
      <c r="G45" s="81">
        <f>IF($B45="","",IF(COUNTIF('①在庫を貼る'!$V$6:$V$10005,$B45)=0,"",IFERROR(IF(INDEX('①在庫を貼る'!$C$6:$C$10005,MATCH($B45,'①在庫を貼る'!$V$6:$V$10005,0))=$C45,"✔ 一致","△ CSVでは "&amp;INDEX('①在庫を貼る'!$C$6:$C$10005,MATCH($B45,'①在庫を貼る'!$V$6:$V$10005,0))),"")))</f>
        <v/>
      </c>
    </row>
    <row r="46" ht="18" customHeight="1">
      <c r="B46" s="76" t="inlineStr">
        <is>
          <t>0231</t>
        </is>
      </c>
      <c r="C46" s="77" t="inlineStr">
        <is>
          <t>二条</t>
        </is>
      </c>
      <c r="D46" s="77" t="inlineStr">
        <is>
          <t>京都</t>
        </is>
      </c>
      <c r="E46" s="77" t="n"/>
      <c r="F46" s="77" t="n"/>
      <c r="G46" s="81">
        <f>IF($B46="","",IF(COUNTIF('①在庫を貼る'!$V$6:$V$10005,$B46)=0,"",IFERROR(IF(INDEX('①在庫を貼る'!$C$6:$C$10005,MATCH($B46,'①在庫を貼る'!$V$6:$V$10005,0))=$C46,"✔ 一致","△ CSVでは "&amp;INDEX('①在庫を貼る'!$C$6:$C$10005,MATCH($B46,'①在庫を貼る'!$V$6:$V$10005,0))),"")))</f>
        <v/>
      </c>
    </row>
    <row r="47" ht="18" customHeight="1">
      <c r="B47" s="76" t="inlineStr">
        <is>
          <t>0051</t>
        </is>
      </c>
      <c r="C47" s="77" t="inlineStr">
        <is>
          <t>泉北</t>
        </is>
      </c>
      <c r="D47" s="77" t="inlineStr">
        <is>
          <t>大阪</t>
        </is>
      </c>
      <c r="E47" s="77" t="n"/>
      <c r="F47" s="77" t="n"/>
      <c r="G47" s="81">
        <f>IF($B47="","",IF(COUNTIF('①在庫を貼る'!$V$6:$V$10005,$B47)=0,"",IFERROR(IF(INDEX('①在庫を貼る'!$C$6:$C$10005,MATCH($B47,'①在庫を貼る'!$V$6:$V$10005,0))=$C47,"✔ 一致","△ CSVでは "&amp;INDEX('①在庫を貼る'!$C$6:$C$10005,MATCH($B47,'①在庫を貼る'!$V$6:$V$10005,0))),"")))</f>
        <v/>
      </c>
    </row>
    <row r="48" ht="18" customHeight="1">
      <c r="B48" s="76" t="inlineStr">
        <is>
          <t>0321</t>
        </is>
      </c>
      <c r="C48" s="77" t="inlineStr">
        <is>
          <t>なんば</t>
        </is>
      </c>
      <c r="D48" s="77" t="inlineStr">
        <is>
          <t>大阪</t>
        </is>
      </c>
      <c r="E48" s="77" t="n"/>
      <c r="F48" s="77" t="n"/>
      <c r="G48" s="81">
        <f>IF($B48="","",IF(COUNTIF('①在庫を貼る'!$V$6:$V$10005,$B48)=0,"",IFERROR(IF(INDEX('①在庫を貼る'!$C$6:$C$10005,MATCH($B48,'①在庫を貼る'!$V$6:$V$10005,0))=$C48,"✔ 一致","△ CSVでは "&amp;INDEX('①在庫を貼る'!$C$6:$C$10005,MATCH($B48,'①在庫を貼る'!$V$6:$V$10005,0))),"")))</f>
        <v/>
      </c>
    </row>
    <row r="49" ht="18" customHeight="1">
      <c r="B49" s="76" t="inlineStr">
        <is>
          <t>0371</t>
        </is>
      </c>
      <c r="C49" s="77" t="inlineStr">
        <is>
          <t>梅田</t>
        </is>
      </c>
      <c r="D49" s="77" t="inlineStr">
        <is>
          <t>大阪</t>
        </is>
      </c>
      <c r="E49" s="77" t="n"/>
      <c r="F49" s="77" t="n"/>
      <c r="G49" s="81">
        <f>IF($B49="","",IF(COUNTIF('①在庫を貼る'!$V$6:$V$10005,$B49)=0,"",IFERROR(IF(INDEX('①在庫を貼る'!$C$6:$C$10005,MATCH($B49,'①在庫を貼る'!$V$6:$V$10005,0))=$C49,"✔ 一致","△ CSVでは "&amp;INDEX('①在庫を貼る'!$C$6:$C$10005,MATCH($B49,'①在庫を貼る'!$V$6:$V$10005,0))),"")))</f>
        <v/>
      </c>
    </row>
    <row r="50" ht="18" customHeight="1">
      <c r="B50" s="76" t="inlineStr">
        <is>
          <t>0451</t>
        </is>
      </c>
      <c r="C50" s="77" t="inlineStr">
        <is>
          <t>鳳</t>
        </is>
      </c>
      <c r="D50" s="77" t="inlineStr">
        <is>
          <t>大阪</t>
        </is>
      </c>
      <c r="E50" s="77" t="n"/>
      <c r="F50" s="77" t="n"/>
      <c r="G50" s="81">
        <f>IF($B50="","",IF(COUNTIF('①在庫を貼る'!$V$6:$V$10005,$B50)=0,"",IFERROR(IF(INDEX('①在庫を貼る'!$C$6:$C$10005,MATCH($B50,'①在庫を貼る'!$V$6:$V$10005,0))=$C50,"✔ 一致","△ CSVでは "&amp;INDEX('①在庫を貼る'!$C$6:$C$10005,MATCH($B50,'①在庫を貼る'!$V$6:$V$10005,0))),"")))</f>
        <v/>
      </c>
    </row>
    <row r="51" ht="18" customHeight="1">
      <c r="B51" s="76" t="inlineStr">
        <is>
          <t>0721</t>
        </is>
      </c>
      <c r="C51" s="77" t="inlineStr">
        <is>
          <t>くずはモール</t>
        </is>
      </c>
      <c r="D51" s="77" t="inlineStr">
        <is>
          <t>大阪</t>
        </is>
      </c>
      <c r="E51" s="77" t="n"/>
      <c r="F51" s="77" t="n"/>
      <c r="G51" s="81">
        <f>IF($B51="","",IF(COUNTIF('①在庫を貼る'!$V$6:$V$10005,$B51)=0,"",IFERROR(IF(INDEX('①在庫を貼る'!$C$6:$C$10005,MATCH($B51,'①在庫を貼る'!$V$6:$V$10005,0))=$C51,"✔ 一致","△ CSVでは "&amp;INDEX('①在庫を貼る'!$C$6:$C$10005,MATCH($B51,'①在庫を貼る'!$V$6:$V$10005,0))),"")))</f>
        <v/>
      </c>
    </row>
    <row r="52" ht="18" customHeight="1">
      <c r="B52" s="76" t="inlineStr">
        <is>
          <t>0881</t>
        </is>
      </c>
      <c r="C52" s="77" t="inlineStr">
        <is>
          <t>ららぽーと門真</t>
        </is>
      </c>
      <c r="D52" s="77" t="inlineStr">
        <is>
          <t>大阪</t>
        </is>
      </c>
      <c r="E52" s="77" t="n"/>
      <c r="F52" s="77" t="n"/>
      <c r="G52" s="81">
        <f>IF($B52="","",IF(COUNTIF('①在庫を貼る'!$V$6:$V$10005,$B52)=0,"",IFERROR(IF(INDEX('①在庫を貼る'!$C$6:$C$10005,MATCH($B52,'①在庫を貼る'!$V$6:$V$10005,0))=$C52,"✔ 一致","△ CSVでは "&amp;INDEX('①在庫を貼る'!$C$6:$C$10005,MATCH($B52,'①在庫を貼る'!$V$6:$V$10005,0))),"")))</f>
        <v/>
      </c>
    </row>
    <row r="53" ht="18" customHeight="1">
      <c r="B53" s="76" t="inlineStr">
        <is>
          <t>0381</t>
        </is>
      </c>
      <c r="C53" s="77" t="inlineStr">
        <is>
          <t>伊丹</t>
        </is>
      </c>
      <c r="D53" s="77" t="inlineStr">
        <is>
          <t>兵庫</t>
        </is>
      </c>
      <c r="E53" s="77" t="n"/>
      <c r="F53" s="77" t="n"/>
      <c r="G53" s="81">
        <f>IF($B53="","",IF(COUNTIF('①在庫を貼る'!$V$6:$V$10005,$B53)=0,"",IFERROR(IF(INDEX('①在庫を貼る'!$C$6:$C$10005,MATCH($B53,'①在庫を貼る'!$V$6:$V$10005,0))=$C53,"✔ 一致","△ CSVでは "&amp;INDEX('①在庫を貼る'!$C$6:$C$10005,MATCH($B53,'①在庫を貼る'!$V$6:$V$10005,0))),"")))</f>
        <v/>
      </c>
    </row>
    <row r="54" ht="18" customHeight="1">
      <c r="B54" s="76" t="inlineStr">
        <is>
          <t>0641</t>
        </is>
      </c>
      <c r="C54" s="77" t="inlineStr">
        <is>
          <t>西宮OS</t>
        </is>
      </c>
      <c r="D54" s="77" t="inlineStr">
        <is>
          <t>兵庫</t>
        </is>
      </c>
      <c r="E54" s="77" t="n"/>
      <c r="F54" s="77" t="n"/>
      <c r="G54" s="81">
        <f>IF($B54="","",IF(COUNTIF('①在庫を貼る'!$V$6:$V$10005,$B54)=0,"",IFERROR(IF(INDEX('①在庫を貼る'!$C$6:$C$10005,MATCH($B54,'①在庫を貼る'!$V$6:$V$10005,0))=$C54,"✔ 一致","△ CSVでは "&amp;INDEX('①在庫を貼る'!$C$6:$C$10005,MATCH($B54,'①在庫を貼る'!$V$6:$V$10005,0))),"")))</f>
        <v/>
      </c>
    </row>
    <row r="55" ht="18" customHeight="1">
      <c r="B55" s="76" t="inlineStr">
        <is>
          <t>0131</t>
        </is>
      </c>
      <c r="C55" s="77" t="inlineStr">
        <is>
          <t>橿原</t>
        </is>
      </c>
      <c r="D55" s="77" t="inlineStr">
        <is>
          <t>奈良</t>
        </is>
      </c>
      <c r="E55" s="77" t="n"/>
      <c r="F55" s="77" t="n"/>
      <c r="G55" s="81">
        <f>IF($B55="","",IF(COUNTIF('①在庫を貼る'!$V$6:$V$10005,$B55)=0,"",IFERROR(IF(INDEX('①在庫を貼る'!$C$6:$C$10005,MATCH($B55,'①在庫を貼る'!$V$6:$V$10005,0))=$C55,"✔ 一致","△ CSVでは "&amp;INDEX('①在庫を貼る'!$C$6:$C$10005,MATCH($B55,'①在庫を貼る'!$V$6:$V$10005,0))),"")))</f>
        <v/>
      </c>
    </row>
    <row r="56" ht="18" customHeight="1">
      <c r="B56" s="76" t="inlineStr">
        <is>
          <t>0311</t>
        </is>
      </c>
      <c r="C56" s="77" t="inlineStr">
        <is>
          <t>岡南</t>
        </is>
      </c>
      <c r="D56" s="77" t="inlineStr">
        <is>
          <t>岡山</t>
        </is>
      </c>
      <c r="E56" s="77" t="n"/>
      <c r="F56" s="77" t="n"/>
      <c r="G56" s="81">
        <f>IF($B56="","",IF(COUNTIF('①在庫を貼る'!$V$6:$V$10005,$B56)=0,"",IFERROR(IF(INDEX('①在庫を貼る'!$C$6:$C$10005,MATCH($B56,'①在庫を貼る'!$V$6:$V$10005,0))=$C56,"✔ 一致","△ CSVでは "&amp;INDEX('①在庫を貼る'!$C$6:$C$10005,MATCH($B56,'①在庫を貼る'!$V$6:$V$10005,0))),"")))</f>
        <v/>
      </c>
    </row>
    <row r="57" ht="18" customHeight="1">
      <c r="B57" s="76" t="inlineStr">
        <is>
          <t>0191</t>
        </is>
      </c>
      <c r="C57" s="77" t="inlineStr">
        <is>
          <t>緑井</t>
        </is>
      </c>
      <c r="D57" s="77" t="inlineStr">
        <is>
          <t>広島</t>
        </is>
      </c>
      <c r="E57" s="77" t="n"/>
      <c r="F57" s="77" t="n"/>
      <c r="G57" s="81">
        <f>IF($B57="","",IF(COUNTIF('①在庫を貼る'!$V$6:$V$10005,$B57)=0,"",IFERROR(IF(INDEX('①在庫を貼る'!$C$6:$C$10005,MATCH($B57,'①在庫を貼る'!$V$6:$V$10005,0))=$C57,"✔ 一致","△ CSVでは "&amp;INDEX('①在庫を貼る'!$C$6:$C$10005,MATCH($B57,'①在庫を貼る'!$V$6:$V$10005,0))),"")))</f>
        <v/>
      </c>
    </row>
    <row r="58" ht="18" customHeight="1">
      <c r="B58" s="76" t="inlineStr">
        <is>
          <t>0171</t>
        </is>
      </c>
      <c r="C58" s="77" t="inlineStr">
        <is>
          <t>高知</t>
        </is>
      </c>
      <c r="D58" s="77" t="inlineStr">
        <is>
          <t>高知</t>
        </is>
      </c>
      <c r="E58" s="77" t="n"/>
      <c r="F58" s="77" t="n"/>
      <c r="G58" s="81">
        <f>IF($B58="","",IF(COUNTIF('①在庫を貼る'!$V$6:$V$10005,$B58)=0,"",IFERROR(IF(INDEX('①在庫を貼る'!$C$6:$C$10005,MATCH($B58,'①在庫を貼る'!$V$6:$V$10005,0))=$C58,"✔ 一致","△ CSVでは "&amp;INDEX('①在庫を貼る'!$C$6:$C$10005,MATCH($B58,'①在庫を貼る'!$V$6:$V$10005,0))),"")))</f>
        <v/>
      </c>
    </row>
    <row r="59" ht="18" customHeight="1">
      <c r="B59" s="76" t="inlineStr">
        <is>
          <t>0221</t>
        </is>
      </c>
      <c r="C59" s="77" t="inlineStr">
        <is>
          <t>直方</t>
        </is>
      </c>
      <c r="D59" s="77" t="inlineStr">
        <is>
          <t>福岡</t>
        </is>
      </c>
      <c r="E59" s="77" t="n"/>
      <c r="F59" s="77" t="n"/>
      <c r="G59" s="81">
        <f>IF($B59="","",IF(COUNTIF('①在庫を貼る'!$V$6:$V$10005,$B59)=0,"",IFERROR(IF(INDEX('①在庫を貼る'!$C$6:$C$10005,MATCH($B59,'①在庫を貼る'!$V$6:$V$10005,0))=$C59,"✔ 一致","△ CSVでは "&amp;INDEX('①在庫を貼る'!$C$6:$C$10005,MATCH($B59,'①在庫を貼る'!$V$6:$V$10005,0))),"")))</f>
        <v/>
      </c>
    </row>
    <row r="60" ht="18" customHeight="1">
      <c r="B60" s="76" t="inlineStr">
        <is>
          <t>0561</t>
        </is>
      </c>
      <c r="C60" s="77" t="inlineStr">
        <is>
          <t>天神（ソラリア館）</t>
        </is>
      </c>
      <c r="D60" s="77" t="inlineStr">
        <is>
          <t>福岡</t>
        </is>
      </c>
      <c r="E60" s="77" t="n"/>
      <c r="F60" s="77" t="n"/>
      <c r="G60" s="81">
        <f>IF($B60="","",IF(COUNTIF('①在庫を貼る'!$V$6:$V$10005,$B60)=0,"",IFERROR(IF(INDEX('①在庫を貼る'!$C$6:$C$10005,MATCH($B60,'①在庫を貼る'!$V$6:$V$10005,0))=$C60,"✔ 一致","△ CSVでは "&amp;INDEX('①在庫を貼る'!$C$6:$C$10005,MATCH($B60,'①在庫を貼る'!$V$6:$V$10005,0))),"")))</f>
        <v/>
      </c>
    </row>
    <row r="61" ht="18" customHeight="1">
      <c r="B61" s="76" t="inlineStr">
        <is>
          <t>0871</t>
        </is>
      </c>
      <c r="C61" s="77" t="inlineStr">
        <is>
          <t>ららぽーと福岡</t>
        </is>
      </c>
      <c r="D61" s="77" t="inlineStr">
        <is>
          <t>福岡</t>
        </is>
      </c>
      <c r="E61" s="77" t="n"/>
      <c r="F61" s="77" t="n"/>
      <c r="G61" s="81">
        <f>IF($B61="","",IF(COUNTIF('①在庫を貼る'!$V$6:$V$10005,$B61)=0,"",IFERROR(IF(INDEX('①在庫を貼る'!$C$6:$C$10005,MATCH($B61,'①在庫を貼る'!$V$6:$V$10005,0))=$C61,"✔ 一致","△ CSVでは "&amp;INDEX('①在庫を貼る'!$C$6:$C$10005,MATCH($B61,'①在庫を貼る'!$V$6:$V$10005,0))),"")))</f>
        <v/>
      </c>
    </row>
    <row r="62" ht="18" customHeight="1">
      <c r="B62" s="76" t="inlineStr">
        <is>
          <t>0461</t>
        </is>
      </c>
      <c r="C62" s="77" t="inlineStr">
        <is>
          <t>長崎</t>
        </is>
      </c>
      <c r="D62" s="77" t="inlineStr">
        <is>
          <t>長崎</t>
        </is>
      </c>
      <c r="E62" s="77" t="n"/>
      <c r="F62" s="77" t="n"/>
      <c r="G62" s="81">
        <f>IF($B62="","",IF(COUNTIF('①在庫を貼る'!$V$6:$V$10005,$B62)=0,"",IFERROR(IF(INDEX('①在庫を貼る'!$C$6:$C$10005,MATCH($B62,'①在庫を貼る'!$V$6:$V$10005,0))=$C62,"✔ 一致","△ CSVでは "&amp;INDEX('①在庫を貼る'!$C$6:$C$10005,MATCH($B62,'①在庫を貼る'!$V$6:$V$10005,0))),"")))</f>
        <v/>
      </c>
    </row>
    <row r="63" ht="18" customHeight="1">
      <c r="B63" s="76" t="inlineStr">
        <is>
          <t>0141</t>
        </is>
      </c>
      <c r="C63" s="77" t="inlineStr">
        <is>
          <t>光の森</t>
        </is>
      </c>
      <c r="D63" s="77" t="inlineStr">
        <is>
          <t>熊本</t>
        </is>
      </c>
      <c r="E63" s="77" t="n"/>
      <c r="F63" s="77" t="n"/>
      <c r="G63" s="81">
        <f>IF($B63="","",IF(COUNTIF('①在庫を貼る'!$V$6:$V$10005,$B63)=0,"",IFERROR(IF(INDEX('①在庫を貼る'!$C$6:$C$10005,MATCH($B63,'①在庫を貼る'!$V$6:$V$10005,0))=$C63,"✔ 一致","△ CSVでは "&amp;INDEX('①在庫を貼る'!$C$6:$C$10005,MATCH($B63,'①在庫を貼る'!$V$6:$V$10005,0))),"")))</f>
        <v/>
      </c>
    </row>
    <row r="64" ht="18" customHeight="1">
      <c r="B64" s="76" t="inlineStr">
        <is>
          <t>0271</t>
        </is>
      </c>
      <c r="C64" s="77" t="inlineStr">
        <is>
          <t>はません</t>
        </is>
      </c>
      <c r="D64" s="77" t="inlineStr">
        <is>
          <t>熊本</t>
        </is>
      </c>
      <c r="E64" s="77" t="n"/>
      <c r="F64" s="77" t="n"/>
      <c r="G64" s="81">
        <f>IF($B64="","",IF(COUNTIF('①在庫を貼る'!$V$6:$V$10005,$B64)=0,"",IFERROR(IF(INDEX('①在庫を貼る'!$C$6:$C$10005,MATCH($B64,'①在庫を貼る'!$V$6:$V$10005,0))=$C64,"✔ 一致","△ CSVでは "&amp;INDEX('①在庫を貼る'!$C$6:$C$10005,MATCH($B64,'①在庫を貼る'!$V$6:$V$10005,0))),"")))</f>
        <v/>
      </c>
    </row>
    <row r="65" ht="18" customHeight="1">
      <c r="B65" s="76" t="inlineStr">
        <is>
          <t>0571</t>
        </is>
      </c>
      <c r="C65" s="77" t="inlineStr">
        <is>
          <t>宇城</t>
        </is>
      </c>
      <c r="D65" s="77" t="inlineStr">
        <is>
          <t>熊本</t>
        </is>
      </c>
      <c r="E65" s="77" t="n"/>
      <c r="F65" s="77" t="n"/>
      <c r="G65" s="81">
        <f>IF($B65="","",IF(COUNTIF('①在庫を貼る'!$V$6:$V$10005,$B65)=0,"",IFERROR(IF(INDEX('①在庫を貼る'!$C$6:$C$10005,MATCH($B65,'①在庫を貼る'!$V$6:$V$10005,0))=$C65,"✔ 一致","△ CSVでは "&amp;INDEX('①在庫を貼る'!$C$6:$C$10005,MATCH($B65,'①在庫を貼る'!$V$6:$V$10005,0))),"")))</f>
        <v/>
      </c>
    </row>
    <row r="66" ht="18" customHeight="1">
      <c r="B66" s="76" t="inlineStr">
        <is>
          <t>0831</t>
        </is>
      </c>
      <c r="C66" s="77" t="inlineStr">
        <is>
          <t>熊本サクラマチ</t>
        </is>
      </c>
      <c r="D66" s="77" t="inlineStr">
        <is>
          <t>熊本</t>
        </is>
      </c>
      <c r="E66" s="77" t="n"/>
      <c r="F66" s="77" t="n"/>
      <c r="G66" s="81">
        <f>IF($B66="","",IF(COUNTIF('①在庫を貼る'!$V$6:$V$10005,$B66)=0,"",IFERROR(IF(INDEX('①在庫を貼る'!$C$6:$C$10005,MATCH($B66,'①在庫を貼る'!$V$6:$V$10005,0))=$C66,"✔ 一致","△ CSVでは "&amp;INDEX('①在庫を貼る'!$C$6:$C$10005,MATCH($B66,'①在庫を貼る'!$V$6:$V$10005,0))),"")))</f>
        <v/>
      </c>
    </row>
    <row r="67" ht="18" customHeight="1">
      <c r="B67" s="76" t="inlineStr">
        <is>
          <t>0551</t>
        </is>
      </c>
      <c r="C67" s="77" t="inlineStr">
        <is>
          <t>大分わさだ</t>
        </is>
      </c>
      <c r="D67" s="77" t="inlineStr">
        <is>
          <t>大分</t>
        </is>
      </c>
      <c r="E67" s="77" t="n"/>
      <c r="F67" s="77" t="n"/>
      <c r="G67" s="81">
        <f>IF($B67="","",IF(COUNTIF('①在庫を貼る'!$V$6:$V$10005,$B67)=0,"",IFERROR(IF(INDEX('①在庫を貼る'!$C$6:$C$10005,MATCH($B67,'①在庫を貼る'!$V$6:$V$10005,0))=$C67,"✔ 一致","△ CSVでは "&amp;INDEX('①在庫を貼る'!$C$6:$C$10005,MATCH($B67,'①在庫を貼る'!$V$6:$V$10005,0))),"")))</f>
        <v/>
      </c>
    </row>
    <row r="68" ht="18" customHeight="1">
      <c r="B68" s="76" t="inlineStr">
        <is>
          <t>0741</t>
        </is>
      </c>
      <c r="C68" s="77" t="inlineStr">
        <is>
          <t>アミュプラザおおいた</t>
        </is>
      </c>
      <c r="D68" s="77" t="inlineStr">
        <is>
          <t>大分</t>
        </is>
      </c>
      <c r="E68" s="77" t="n"/>
      <c r="F68" s="77" t="n"/>
      <c r="G68" s="81">
        <f>IF($B68="","",IF(COUNTIF('①在庫を貼る'!$V$6:$V$10005,$B68)=0,"",IFERROR(IF(INDEX('①在庫を貼る'!$C$6:$C$10005,MATCH($B68,'①在庫を貼る'!$V$6:$V$10005,0))=$C68,"✔ 一致","△ CSVでは "&amp;INDEX('①在庫を貼る'!$C$6:$C$10005,MATCH($B68,'①在庫を貼る'!$V$6:$V$10005,0))),"")))</f>
        <v/>
      </c>
    </row>
    <row r="69" ht="18" customHeight="1">
      <c r="B69" s="76" t="inlineStr">
        <is>
          <t>0331</t>
        </is>
      </c>
      <c r="C69" s="77" t="inlineStr">
        <is>
          <t>与次郎</t>
        </is>
      </c>
      <c r="D69" s="77" t="inlineStr">
        <is>
          <t>鹿児島</t>
        </is>
      </c>
      <c r="E69" s="77" t="n"/>
      <c r="F69" s="77" t="n"/>
      <c r="G69" s="81">
        <f>IF($B69="","",IF(COUNTIF('①在庫を貼る'!$V$6:$V$10005,$B69)=0,"",IFERROR(IF(INDEX('①在庫を貼る'!$C$6:$C$10005,MATCH($B69,'①在庫を貼る'!$V$6:$V$10005,0))=$C69,"✔ 一致","△ CSVでは "&amp;INDEX('①在庫を貼る'!$C$6:$C$10005,MATCH($B69,'①在庫を貼る'!$V$6:$V$10005,0))),"")))</f>
        <v/>
      </c>
    </row>
    <row r="70" ht="18" customHeight="1">
      <c r="B70" s="76" t="n"/>
      <c r="C70" s="77" t="n"/>
      <c r="D70" s="77" t="n"/>
      <c r="E70" s="77" t="n"/>
      <c r="F70" s="77" t="n"/>
      <c r="G70" s="81">
        <f>IF($B70="","",IF(COUNTIF('①在庫を貼る'!$V$6:$V$10005,$B70)=0,"",IFERROR(IF(INDEX('①在庫を貼る'!$C$6:$C$10005,MATCH($B70,'①在庫を貼る'!$V$6:$V$10005,0))=$C70,"✔ 一致","△ CSVでは "&amp;INDEX('①在庫を貼る'!$C$6:$C$10005,MATCH($B70,'①在庫を貼る'!$V$6:$V$10005,0))),"")))</f>
        <v/>
      </c>
    </row>
    <row r="71" ht="18" customHeight="1">
      <c r="B71" s="76" t="n"/>
      <c r="C71" s="77" t="n"/>
      <c r="D71" s="77" t="n"/>
      <c r="E71" s="77" t="n"/>
      <c r="F71" s="77" t="n"/>
      <c r="G71" s="81">
        <f>IF($B71="","",IF(COUNTIF('①在庫を貼る'!$V$6:$V$10005,$B71)=0,"",IFERROR(IF(INDEX('①在庫を貼る'!$C$6:$C$10005,MATCH($B71,'①在庫を貼る'!$V$6:$V$10005,0))=$C71,"✔ 一致","△ CSVでは "&amp;INDEX('①在庫を貼る'!$C$6:$C$10005,MATCH($B71,'①在庫を貼る'!$V$6:$V$10005,0))),"")))</f>
        <v/>
      </c>
    </row>
    <row r="72" ht="18" customHeight="1">
      <c r="B72" s="76" t="n"/>
      <c r="C72" s="77" t="n"/>
      <c r="D72" s="77" t="n"/>
      <c r="E72" s="77" t="n"/>
      <c r="F72" s="77" t="n"/>
      <c r="G72" s="81">
        <f>IF($B72="","",IF(COUNTIF('①在庫を貼る'!$V$6:$V$10005,$B72)=0,"",IFERROR(IF(INDEX('①在庫を貼る'!$C$6:$C$10005,MATCH($B72,'①在庫を貼る'!$V$6:$V$10005,0))=$C72,"✔ 一致","△ CSVでは "&amp;INDEX('①在庫を貼る'!$C$6:$C$10005,MATCH($B72,'①在庫を貼る'!$V$6:$V$10005,0))),"")))</f>
        <v/>
      </c>
    </row>
    <row r="73" ht="18" customHeight="1">
      <c r="B73" s="76" t="n"/>
      <c r="C73" s="77" t="n"/>
      <c r="D73" s="77" t="n"/>
      <c r="E73" s="77" t="n"/>
      <c r="F73" s="77" t="n"/>
      <c r="G73" s="81">
        <f>IF($B73="","",IF(COUNTIF('①在庫を貼る'!$V$6:$V$10005,$B73)=0,"",IFERROR(IF(INDEX('①在庫を貼る'!$C$6:$C$10005,MATCH($B73,'①在庫を貼る'!$V$6:$V$10005,0))=$C73,"✔ 一致","△ CSVでは "&amp;INDEX('①在庫を貼る'!$C$6:$C$10005,MATCH($B73,'①在庫を貼る'!$V$6:$V$10005,0))),"")))</f>
        <v/>
      </c>
    </row>
    <row r="74" ht="18" customHeight="1">
      <c r="B74" s="76" t="n"/>
      <c r="C74" s="77" t="n"/>
      <c r="D74" s="77" t="n"/>
      <c r="E74" s="77" t="n"/>
      <c r="F74" s="77" t="n"/>
      <c r="G74" s="81">
        <f>IF($B74="","",IF(COUNTIF('①在庫を貼る'!$V$6:$V$10005,$B74)=0,"",IFERROR(IF(INDEX('①在庫を貼る'!$C$6:$C$10005,MATCH($B74,'①在庫を貼る'!$V$6:$V$10005,0))=$C74,"✔ 一致","△ CSVでは "&amp;INDEX('①在庫を貼る'!$C$6:$C$10005,MATCH($B74,'①在庫を貼る'!$V$6:$V$10005,0))),"")))</f>
        <v/>
      </c>
    </row>
    <row r="75" ht="18" customHeight="1">
      <c r="B75" s="76" t="n"/>
      <c r="C75" s="77" t="n"/>
      <c r="D75" s="77" t="n"/>
      <c r="E75" s="77" t="n"/>
      <c r="F75" s="77" t="n"/>
      <c r="G75" s="81">
        <f>IF($B75="","",IF(COUNTIF('①在庫を貼る'!$V$6:$V$10005,$B75)=0,"",IFERROR(IF(INDEX('①在庫を貼る'!$C$6:$C$10005,MATCH($B75,'①在庫を貼る'!$V$6:$V$10005,0))=$C75,"✔ 一致","△ CSVでは "&amp;INDEX('①在庫を貼る'!$C$6:$C$10005,MATCH($B75,'①在庫を貼る'!$V$6:$V$10005,0))),"")))</f>
        <v/>
      </c>
    </row>
    <row r="76" ht="18" customHeight="1">
      <c r="B76" s="76" t="n"/>
      <c r="C76" s="77" t="n"/>
      <c r="D76" s="77" t="n"/>
      <c r="E76" s="77" t="n"/>
      <c r="F76" s="77" t="n"/>
      <c r="G76" s="81">
        <f>IF($B76="","",IF(COUNTIF('①在庫を貼る'!$V$6:$V$10005,$B76)=0,"",IFERROR(IF(INDEX('①在庫を貼る'!$C$6:$C$10005,MATCH($B76,'①在庫を貼る'!$V$6:$V$10005,0))=$C76,"✔ 一致","△ CSVでは "&amp;INDEX('①在庫を貼る'!$C$6:$C$10005,MATCH($B76,'①在庫を貼る'!$V$6:$V$10005,0))),"")))</f>
        <v/>
      </c>
    </row>
    <row r="77" ht="18" customHeight="1">
      <c r="B77" s="76" t="n"/>
      <c r="C77" s="77" t="n"/>
      <c r="D77" s="77" t="n"/>
      <c r="E77" s="77" t="n"/>
      <c r="F77" s="77" t="n"/>
      <c r="G77" s="81">
        <f>IF($B77="","",IF(COUNTIF('①在庫を貼る'!$V$6:$V$10005,$B77)=0,"",IFERROR(IF(INDEX('①在庫を貼る'!$C$6:$C$10005,MATCH($B77,'①在庫を貼る'!$V$6:$V$10005,0))=$C77,"✔ 一致","△ CSVでは "&amp;INDEX('①在庫を貼る'!$C$6:$C$10005,MATCH($B77,'①在庫を貼る'!$V$6:$V$10005,0))),"")))</f>
        <v/>
      </c>
    </row>
    <row r="78" ht="18" customHeight="1">
      <c r="B78" s="76" t="n"/>
      <c r="C78" s="77" t="n"/>
      <c r="D78" s="77" t="n"/>
      <c r="E78" s="77" t="n"/>
      <c r="F78" s="77" t="n"/>
      <c r="G78" s="81">
        <f>IF($B78="","",IF(COUNTIF('①在庫を貼る'!$V$6:$V$10005,$B78)=0,"",IFERROR(IF(INDEX('①在庫を貼る'!$C$6:$C$10005,MATCH($B78,'①在庫を貼る'!$V$6:$V$10005,0))=$C78,"✔ 一致","△ CSVでは "&amp;INDEX('①在庫を貼る'!$C$6:$C$10005,MATCH($B78,'①在庫を貼る'!$V$6:$V$10005,0))),"")))</f>
        <v/>
      </c>
    </row>
    <row r="79" ht="18" customHeight="1">
      <c r="B79" s="76" t="n"/>
      <c r="C79" s="77" t="n"/>
      <c r="D79" s="77" t="n"/>
      <c r="E79" s="77" t="n"/>
      <c r="F79" s="77" t="n"/>
      <c r="G79" s="81">
        <f>IF($B79="","",IF(COUNTIF('①在庫を貼る'!$V$6:$V$10005,$B79)=0,"",IFERROR(IF(INDEX('①在庫を貼る'!$C$6:$C$10005,MATCH($B79,'①在庫を貼る'!$V$6:$V$10005,0))=$C79,"✔ 一致","△ CSVでは "&amp;INDEX('①在庫を貼る'!$C$6:$C$10005,MATCH($B79,'①在庫を貼る'!$V$6:$V$10005,0))),"")))</f>
        <v/>
      </c>
    </row>
    <row r="80" ht="18" customHeight="1">
      <c r="B80" s="76" t="n"/>
      <c r="C80" s="77" t="n"/>
      <c r="D80" s="77" t="n"/>
      <c r="E80" s="77" t="n"/>
      <c r="F80" s="77" t="n"/>
      <c r="G80" s="81">
        <f>IF($B80="","",IF(COUNTIF('①在庫を貼る'!$V$6:$V$10005,$B80)=0,"",IFERROR(IF(INDEX('①在庫を貼る'!$C$6:$C$10005,MATCH($B80,'①在庫を貼る'!$V$6:$V$10005,0))=$C80,"✔ 一致","△ CSVでは "&amp;INDEX('①在庫を貼る'!$C$6:$C$10005,MATCH($B80,'①在庫を貼る'!$V$6:$V$10005,0))),"")))</f>
        <v/>
      </c>
    </row>
    <row r="81" ht="18" customHeight="1">
      <c r="B81" s="76" t="n"/>
      <c r="C81" s="77" t="n"/>
      <c r="D81" s="77" t="n"/>
      <c r="E81" s="77" t="n"/>
      <c r="F81" s="77" t="n"/>
      <c r="G81" s="81">
        <f>IF($B81="","",IF(COUNTIF('①在庫を貼る'!$V$6:$V$10005,$B81)=0,"",IFERROR(IF(INDEX('①在庫を貼る'!$C$6:$C$10005,MATCH($B81,'①在庫を貼る'!$V$6:$V$10005,0))=$C81,"✔ 一致","△ CSVでは "&amp;INDEX('①在庫を貼る'!$C$6:$C$10005,MATCH($B81,'①在庫を貼る'!$V$6:$V$10005,0))),"")))</f>
        <v/>
      </c>
    </row>
    <row r="82" ht="18" customHeight="1">
      <c r="B82" s="76" t="n"/>
      <c r="C82" s="77" t="n"/>
      <c r="D82" s="77" t="n"/>
      <c r="E82" s="77" t="n"/>
      <c r="F82" s="77" t="n"/>
      <c r="G82" s="81">
        <f>IF($B82="","",IF(COUNTIF('①在庫を貼る'!$V$6:$V$10005,$B82)=0,"",IFERROR(IF(INDEX('①在庫を貼る'!$C$6:$C$10005,MATCH($B82,'①在庫を貼る'!$V$6:$V$10005,0))=$C82,"✔ 一致","△ CSVでは "&amp;INDEX('①在庫を貼る'!$C$6:$C$10005,MATCH($B82,'①在庫を貼る'!$V$6:$V$10005,0))),"")))</f>
        <v/>
      </c>
    </row>
    <row r="83" ht="18" customHeight="1">
      <c r="B83" s="76" t="n"/>
      <c r="C83" s="77" t="n"/>
      <c r="D83" s="77" t="n"/>
      <c r="E83" s="77" t="n"/>
      <c r="F83" s="77" t="n"/>
      <c r="G83" s="81">
        <f>IF($B83="","",IF(COUNTIF('①在庫を貼る'!$V$6:$V$10005,$B83)=0,"",IFERROR(IF(INDEX('①在庫を貼る'!$C$6:$C$10005,MATCH($B83,'①在庫を貼る'!$V$6:$V$10005,0))=$C83,"✔ 一致","△ CSVでは "&amp;INDEX('①在庫を貼る'!$C$6:$C$10005,MATCH($B83,'①在庫を貼る'!$V$6:$V$10005,0))),"")))</f>
        <v/>
      </c>
    </row>
    <row r="84" ht="18" customHeight="1">
      <c r="B84" s="76" t="n"/>
      <c r="C84" s="77" t="n"/>
      <c r="D84" s="77" t="n"/>
      <c r="E84" s="77" t="n"/>
      <c r="F84" s="77" t="n"/>
      <c r="G84" s="81">
        <f>IF($B84="","",IF(COUNTIF('①在庫を貼る'!$V$6:$V$10005,$B84)=0,"",IFERROR(IF(INDEX('①在庫を貼る'!$C$6:$C$10005,MATCH($B84,'①在庫を貼る'!$V$6:$V$10005,0))=$C84,"✔ 一致","△ CSVでは "&amp;INDEX('①在庫を貼る'!$C$6:$C$10005,MATCH($B84,'①在庫を貼る'!$V$6:$V$10005,0))),"")))</f>
        <v/>
      </c>
    </row>
    <row r="85" ht="18" customHeight="1">
      <c r="B85" s="76" t="n"/>
      <c r="C85" s="77" t="n"/>
      <c r="D85" s="77" t="n"/>
      <c r="E85" s="77" t="n"/>
      <c r="F85" s="77" t="n"/>
      <c r="G85" s="81">
        <f>IF($B85="","",IF(COUNTIF('①在庫を貼る'!$V$6:$V$10005,$B85)=0,"",IFERROR(IF(INDEX('①在庫を貼る'!$C$6:$C$10005,MATCH($B85,'①在庫を貼る'!$V$6:$V$10005,0))=$C85,"✔ 一致","△ CSVでは "&amp;INDEX('①在庫を貼る'!$C$6:$C$10005,MATCH($B85,'①在庫を貼る'!$V$6:$V$10005,0))),"")))</f>
        <v/>
      </c>
    </row>
    <row r="86" ht="18" customHeight="1">
      <c r="B86" s="76" t="n"/>
      <c r="C86" s="77" t="n"/>
      <c r="D86" s="77" t="n"/>
      <c r="E86" s="77" t="n"/>
      <c r="F86" s="77" t="n"/>
      <c r="G86" s="81">
        <f>IF($B86="","",IF(COUNTIF('①在庫を貼る'!$V$6:$V$10005,$B86)=0,"",IFERROR(IF(INDEX('①在庫を貼る'!$C$6:$C$10005,MATCH($B86,'①在庫を貼る'!$V$6:$V$10005,0))=$C86,"✔ 一致","△ CSVでは "&amp;INDEX('①在庫を貼る'!$C$6:$C$10005,MATCH($B86,'①在庫を貼る'!$V$6:$V$10005,0))),"")))</f>
        <v/>
      </c>
    </row>
    <row r="87" ht="18" customHeight="1">
      <c r="B87" s="76" t="n"/>
      <c r="C87" s="77" t="n"/>
      <c r="D87" s="77" t="n"/>
      <c r="E87" s="77" t="n"/>
      <c r="F87" s="77" t="n"/>
      <c r="G87" s="81">
        <f>IF($B87="","",IF(COUNTIF('①在庫を貼る'!$V$6:$V$10005,$B87)=0,"",IFERROR(IF(INDEX('①在庫を貼る'!$C$6:$C$10005,MATCH($B87,'①在庫を貼る'!$V$6:$V$10005,0))=$C87,"✔ 一致","△ CSVでは "&amp;INDEX('①在庫を貼る'!$C$6:$C$10005,MATCH($B87,'①在庫を貼る'!$V$6:$V$10005,0))),"")))</f>
        <v/>
      </c>
    </row>
    <row r="88" ht="18" customHeight="1">
      <c r="B88" s="76" t="n"/>
      <c r="C88" s="77" t="n"/>
      <c r="D88" s="77" t="n"/>
      <c r="E88" s="77" t="n"/>
      <c r="F88" s="77" t="n"/>
      <c r="G88" s="81">
        <f>IF($B88="","",IF(COUNTIF('①在庫を貼る'!$V$6:$V$10005,$B88)=0,"",IFERROR(IF(INDEX('①在庫を貼る'!$C$6:$C$10005,MATCH($B88,'①在庫を貼る'!$V$6:$V$10005,0))=$C88,"✔ 一致","△ CSVでは "&amp;INDEX('①在庫を貼る'!$C$6:$C$10005,MATCH($B88,'①在庫を貼る'!$V$6:$V$10005,0))),"")))</f>
        <v/>
      </c>
    </row>
    <row r="89" ht="18" customHeight="1">
      <c r="B89" s="76" t="n"/>
      <c r="C89" s="77" t="n"/>
      <c r="D89" s="77" t="n"/>
      <c r="E89" s="77" t="n"/>
      <c r="F89" s="77" t="n"/>
      <c r="G89" s="81">
        <f>IF($B89="","",IF(COUNTIF('①在庫を貼る'!$V$6:$V$10005,$B89)=0,"",IFERROR(IF(INDEX('①在庫を貼る'!$C$6:$C$10005,MATCH($B89,'①在庫を貼る'!$V$6:$V$10005,0))=$C89,"✔ 一致","△ CSVでは "&amp;INDEX('①在庫を貼る'!$C$6:$C$10005,MATCH($B89,'①在庫を貼る'!$V$6:$V$10005,0))),"")))</f>
        <v/>
      </c>
    </row>
    <row r="90" ht="18" customHeight="1">
      <c r="B90" s="76" t="n"/>
      <c r="C90" s="77" t="n"/>
      <c r="D90" s="77" t="n"/>
      <c r="E90" s="77" t="n"/>
      <c r="F90" s="77" t="n"/>
      <c r="G90" s="81">
        <f>IF($B90="","",IF(COUNTIF('①在庫を貼る'!$V$6:$V$10005,$B90)=0,"",IFERROR(IF(INDEX('①在庫を貼る'!$C$6:$C$10005,MATCH($B90,'①在庫を貼る'!$V$6:$V$10005,0))=$C90,"✔ 一致","△ CSVでは "&amp;INDEX('①在庫を貼る'!$C$6:$C$10005,MATCH($B90,'①在庫を貼る'!$V$6:$V$10005,0))),"")))</f>
        <v/>
      </c>
    </row>
    <row r="91" ht="18" customHeight="1">
      <c r="B91" s="76" t="n"/>
      <c r="C91" s="77" t="n"/>
      <c r="D91" s="77" t="n"/>
      <c r="E91" s="77" t="n"/>
      <c r="F91" s="77" t="n"/>
      <c r="G91" s="81">
        <f>IF($B91="","",IF(COUNTIF('①在庫を貼る'!$V$6:$V$10005,$B91)=0,"",IFERROR(IF(INDEX('①在庫を貼る'!$C$6:$C$10005,MATCH($B91,'①在庫を貼る'!$V$6:$V$10005,0))=$C91,"✔ 一致","△ CSVでは "&amp;INDEX('①在庫を貼る'!$C$6:$C$10005,MATCH($B91,'①在庫を貼る'!$V$6:$V$10005,0))),"")))</f>
        <v/>
      </c>
    </row>
    <row r="92" ht="18" customHeight="1">
      <c r="B92" s="76" t="n"/>
      <c r="C92" s="77" t="n"/>
      <c r="D92" s="77" t="n"/>
      <c r="E92" s="77" t="n"/>
      <c r="F92" s="77" t="n"/>
      <c r="G92" s="81">
        <f>IF($B92="","",IF(COUNTIF('①在庫を貼る'!$V$6:$V$10005,$B92)=0,"",IFERROR(IF(INDEX('①在庫を貼る'!$C$6:$C$10005,MATCH($B92,'①在庫を貼る'!$V$6:$V$10005,0))=$C92,"✔ 一致","△ CSVでは "&amp;INDEX('①在庫を貼る'!$C$6:$C$10005,MATCH($B92,'①在庫を貼る'!$V$6:$V$10005,0))),"")))</f>
        <v/>
      </c>
    </row>
    <row r="93" ht="18" customHeight="1">
      <c r="B93" s="76" t="n"/>
      <c r="C93" s="77" t="n"/>
      <c r="D93" s="77" t="n"/>
      <c r="E93" s="77" t="n"/>
      <c r="F93" s="77" t="n"/>
      <c r="G93" s="81">
        <f>IF($B93="","",IF(COUNTIF('①在庫を貼る'!$V$6:$V$10005,$B93)=0,"",IFERROR(IF(INDEX('①在庫を貼る'!$C$6:$C$10005,MATCH($B93,'①在庫を貼る'!$V$6:$V$10005,0))=$C93,"✔ 一致","△ CSVでは "&amp;INDEX('①在庫を貼る'!$C$6:$C$10005,MATCH($B93,'①在庫を貼る'!$V$6:$V$10005,0))),"")))</f>
        <v/>
      </c>
    </row>
    <row r="94" ht="18" customHeight="1">
      <c r="B94" s="76" t="n"/>
      <c r="C94" s="77" t="n"/>
      <c r="D94" s="77" t="n"/>
      <c r="E94" s="77" t="n"/>
      <c r="F94" s="77" t="n"/>
      <c r="G94" s="81">
        <f>IF($B94="","",IF(COUNTIF('①在庫を貼る'!$V$6:$V$10005,$B94)=0,"",IFERROR(IF(INDEX('①在庫を貼る'!$C$6:$C$10005,MATCH($B94,'①在庫を貼る'!$V$6:$V$10005,0))=$C94,"✔ 一致","△ CSVでは "&amp;INDEX('①在庫を貼る'!$C$6:$C$10005,MATCH($B94,'①在庫を貼る'!$V$6:$V$10005,0))),"")))</f>
        <v/>
      </c>
    </row>
    <row r="95" ht="18" customHeight="1">
      <c r="B95" s="76" t="n"/>
      <c r="C95" s="77" t="n"/>
      <c r="D95" s="77" t="n"/>
      <c r="E95" s="77" t="n"/>
      <c r="F95" s="77" t="n"/>
      <c r="G95" s="81">
        <f>IF($B95="","",IF(COUNTIF('①在庫を貼る'!$V$6:$V$10005,$B95)=0,"",IFERROR(IF(INDEX('①在庫を貼る'!$C$6:$C$10005,MATCH($B95,'①在庫を貼る'!$V$6:$V$10005,0))=$C95,"✔ 一致","△ CSVでは "&amp;INDEX('①在庫を貼る'!$C$6:$C$10005,MATCH($B95,'①在庫を貼る'!$V$6:$V$10005,0))),"")))</f>
        <v/>
      </c>
    </row>
    <row r="96" ht="18" customHeight="1">
      <c r="B96" s="76" t="n"/>
      <c r="C96" s="77" t="n"/>
      <c r="D96" s="77" t="n"/>
      <c r="E96" s="77" t="n"/>
      <c r="F96" s="77" t="n"/>
      <c r="G96" s="81">
        <f>IF($B96="","",IF(COUNTIF('①在庫を貼る'!$V$6:$V$10005,$B96)=0,"",IFERROR(IF(INDEX('①在庫を貼る'!$C$6:$C$10005,MATCH($B96,'①在庫を貼る'!$V$6:$V$10005,0))=$C96,"✔ 一致","△ CSVでは "&amp;INDEX('①在庫を貼る'!$C$6:$C$10005,MATCH($B96,'①在庫を貼る'!$V$6:$V$10005,0))),"")))</f>
        <v/>
      </c>
    </row>
    <row r="97" ht="18" customHeight="1">
      <c r="B97" s="76" t="n"/>
      <c r="C97" s="77" t="n"/>
      <c r="D97" s="77" t="n"/>
      <c r="E97" s="77" t="n"/>
      <c r="F97" s="77" t="n"/>
      <c r="G97" s="81">
        <f>IF($B97="","",IF(COUNTIF('①在庫を貼る'!$V$6:$V$10005,$B97)=0,"",IFERROR(IF(INDEX('①在庫を貼る'!$C$6:$C$10005,MATCH($B97,'①在庫を貼る'!$V$6:$V$10005,0))=$C97,"✔ 一致","△ CSVでは "&amp;INDEX('①在庫を貼る'!$C$6:$C$10005,MATCH($B97,'①在庫を貼る'!$V$6:$V$10005,0))),"")))</f>
        <v/>
      </c>
    </row>
    <row r="98" ht="18" customHeight="1">
      <c r="B98" s="76" t="n"/>
      <c r="C98" s="77" t="n"/>
      <c r="D98" s="77" t="n"/>
      <c r="E98" s="77" t="n"/>
      <c r="F98" s="77" t="n"/>
      <c r="G98" s="81">
        <f>IF($B98="","",IF(COUNTIF('①在庫を貼る'!$V$6:$V$10005,$B98)=0,"",IFERROR(IF(INDEX('①在庫を貼る'!$C$6:$C$10005,MATCH($B98,'①在庫を貼る'!$V$6:$V$10005,0))=$C98,"✔ 一致","△ CSVでは "&amp;INDEX('①在庫を貼る'!$C$6:$C$10005,MATCH($B98,'①在庫を貼る'!$V$6:$V$10005,0))),"")))</f>
        <v/>
      </c>
    </row>
    <row r="99" ht="18" customHeight="1">
      <c r="B99" s="76" t="n"/>
      <c r="C99" s="77" t="n"/>
      <c r="D99" s="77" t="n"/>
      <c r="E99" s="77" t="n"/>
      <c r="F99" s="77" t="n"/>
      <c r="G99" s="81">
        <f>IF($B99="","",IF(COUNTIF('①在庫を貼る'!$V$6:$V$10005,$B99)=0,"",IFERROR(IF(INDEX('①在庫を貼る'!$C$6:$C$10005,MATCH($B99,'①在庫を貼る'!$V$6:$V$10005,0))=$C99,"✔ 一致","△ CSVでは "&amp;INDEX('①在庫を貼る'!$C$6:$C$10005,MATCH($B99,'①在庫を貼る'!$V$6:$V$10005,0))),"")))</f>
        <v/>
      </c>
    </row>
    <row r="100" ht="18" customHeight="1">
      <c r="B100" s="76" t="n"/>
      <c r="C100" s="77" t="n"/>
      <c r="D100" s="77" t="n"/>
      <c r="E100" s="77" t="n"/>
      <c r="F100" s="77" t="n"/>
      <c r="G100" s="81">
        <f>IF($B100="","",IF(COUNTIF('①在庫を貼る'!$V$6:$V$10005,$B100)=0,"",IFERROR(IF(INDEX('①在庫を貼る'!$C$6:$C$10005,MATCH($B100,'①在庫を貼る'!$V$6:$V$10005,0))=$C100,"✔ 一致","△ CSVでは "&amp;INDEX('①在庫を貼る'!$C$6:$C$10005,MATCH($B100,'①在庫を貼る'!$V$6:$V$10005,0))),"")))</f>
        <v/>
      </c>
    </row>
    <row r="101" ht="18" customHeight="1">
      <c r="B101" s="76" t="n"/>
      <c r="C101" s="77" t="n"/>
      <c r="D101" s="77" t="n"/>
      <c r="E101" s="77" t="n"/>
      <c r="F101" s="77" t="n"/>
      <c r="G101" s="81">
        <f>IF($B101="","",IF(COUNTIF('①在庫を貼る'!$V$6:$V$10005,$B101)=0,"",IFERROR(IF(INDEX('①在庫を貼る'!$C$6:$C$10005,MATCH($B101,'①在庫を貼る'!$V$6:$V$10005,0))=$C101,"✔ 一致","△ CSVでは "&amp;INDEX('①在庫を貼る'!$C$6:$C$10005,MATCH($B101,'①在庫を貼る'!$V$6:$V$10005,0))),"")))</f>
        <v/>
      </c>
    </row>
    <row r="102" ht="18" customHeight="1">
      <c r="B102" s="76" t="n"/>
      <c r="C102" s="77" t="n"/>
      <c r="D102" s="77" t="n"/>
      <c r="E102" s="77" t="n"/>
      <c r="F102" s="77" t="n"/>
      <c r="G102" s="81">
        <f>IF($B102="","",IF(COUNTIF('①在庫を貼る'!$V$6:$V$10005,$B102)=0,"",IFERROR(IF(INDEX('①在庫を貼る'!$C$6:$C$10005,MATCH($B102,'①在庫を貼る'!$V$6:$V$10005,0))=$C102,"✔ 一致","△ CSVでは "&amp;INDEX('①在庫を貼る'!$C$6:$C$10005,MATCH($B102,'①在庫を貼る'!$V$6:$V$10005,0))),"")))</f>
        <v/>
      </c>
    </row>
    <row r="103" ht="18" customHeight="1">
      <c r="B103" s="76" t="n"/>
      <c r="C103" s="77" t="n"/>
      <c r="D103" s="77" t="n"/>
      <c r="E103" s="77" t="n"/>
      <c r="F103" s="77" t="n"/>
      <c r="G103" s="81">
        <f>IF($B103="","",IF(COUNTIF('①在庫を貼る'!$V$6:$V$10005,$B103)=0,"",IFERROR(IF(INDEX('①在庫を貼る'!$C$6:$C$10005,MATCH($B103,'①在庫を貼る'!$V$6:$V$10005,0))=$C103,"✔ 一致","△ CSVでは "&amp;INDEX('①在庫を貼る'!$C$6:$C$10005,MATCH($B103,'①在庫を貼る'!$V$6:$V$10005,0))),"")))</f>
        <v/>
      </c>
    </row>
    <row r="104" ht="18" customHeight="1">
      <c r="B104" s="76" t="n"/>
      <c r="C104" s="77" t="n"/>
      <c r="D104" s="77" t="n"/>
      <c r="E104" s="77" t="n"/>
      <c r="F104" s="77" t="n"/>
      <c r="G104" s="81">
        <f>IF($B104="","",IF(COUNTIF('①在庫を貼る'!$V$6:$V$10005,$B104)=0,"",IFERROR(IF(INDEX('①在庫を貼る'!$C$6:$C$10005,MATCH($B104,'①在庫を貼る'!$V$6:$V$10005,0))=$C104,"✔ 一致","△ CSVでは "&amp;INDEX('①在庫を貼る'!$C$6:$C$10005,MATCH($B104,'①在庫を貼る'!$V$6:$V$10005,0))),"")))</f>
        <v/>
      </c>
    </row>
    <row r="105" ht="18" customHeight="1">
      <c r="B105" s="76" t="n"/>
      <c r="C105" s="77" t="n"/>
      <c r="D105" s="77" t="n"/>
      <c r="E105" s="77" t="n"/>
      <c r="F105" s="77" t="n"/>
      <c r="G105" s="81">
        <f>IF($B105="","",IF(COUNTIF('①在庫を貼る'!$V$6:$V$10005,$B105)=0,"",IFERROR(IF(INDEX('①在庫を貼る'!$C$6:$C$10005,MATCH($B105,'①在庫を貼る'!$V$6:$V$10005,0))=$C105,"✔ 一致","△ CSVでは "&amp;INDEX('①在庫を貼る'!$C$6:$C$10005,MATCH($B105,'①在庫を貼る'!$V$6:$V$10005,0))),"")))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:G1"/>
  </mergeCells>
  <dataValidations count="1">
    <dataValidation sqref="E6:E105" showDropDown="0" showInputMessage="0" showErrorMessage="1" allowBlank="1" errorTitle="規模" error="大規模・中規模・小規模から選んでください。" type="list">
      <formula1>"大規模,中規模,小規模"</formula1>
    </dataValidation>
  </dataValidations>
  <hyperlinks>
    <hyperlink ref="H1" location="'ホーム'!A1" display="◀ ホーム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A8D9C"/>
    <outlinePr summaryBelow="1" summaryRight="1"/>
    <pageSetUpPr/>
  </sheetPr>
  <dimension ref="B1:H41"/>
  <sheetViews>
    <sheetView showGridLines="0" workbookViewId="0">
      <selection activeCell="A1" sqref="A1"/>
    </sheetView>
  </sheetViews>
  <sheetFormatPr baseColWidth="8" defaultRowHeight="15"/>
  <cols>
    <col width="34.56" customWidth="1" min="2" max="2"/>
    <col width="21.6" customWidth="1" min="3" max="3"/>
    <col width="69.12" customWidth="1" min="4" max="4"/>
    <col width="3.24" customWidth="1" min="5" max="5"/>
    <col width="32.4" customWidth="1" min="6" max="6"/>
  </cols>
  <sheetData>
    <row r="1" ht="24" customHeight="1">
      <c r="B1" s="1" t="inlineStr">
        <is>
          <t xml:space="preserve">  設定（社員）</t>
        </is>
      </c>
      <c r="C1" s="2" t="n"/>
      <c r="D1" s="2" t="n"/>
      <c r="E1" s="2" t="n"/>
      <c r="F1" s="2" t="n"/>
      <c r="G1" s="2" t="n"/>
      <c r="H1" s="20" t="inlineStr">
        <is>
          <t xml:space="preserve">◀ ホーム  </t>
        </is>
      </c>
    </row>
    <row r="2" ht="30" customHeight="1">
      <c r="B2" s="21" t="inlineStr">
        <is>
          <t>設定</t>
        </is>
      </c>
    </row>
    <row r="3">
      <c r="B3" s="5" t="inlineStr">
        <is>
          <t>黄色のセルだけ入力します。最初に1回、劇場コードを選んでください。</t>
        </is>
      </c>
      <c r="F3" s="6" t="inlineStr">
        <is>
          <t>仕入先の一覧（発注書の選択肢）</t>
        </is>
      </c>
    </row>
    <row r="4">
      <c r="B4" s="55" t="inlineStr">
        <is>
          <t>対象劇場コード</t>
        </is>
      </c>
      <c r="C4" s="82" t="inlineStr">
        <is>
          <t>0761</t>
        </is>
      </c>
      <c r="D4" s="19" t="inlineStr">
        <is>
          <t>劇場マスタから選びます。在庫CSVのこのコードの行だけを使います。</t>
        </is>
      </c>
      <c r="F4" s="83" t="inlineStr">
        <is>
          <t>すべて</t>
        </is>
      </c>
    </row>
    <row r="5">
      <c r="B5" s="55" t="inlineStr">
        <is>
          <t>劇場名</t>
        </is>
      </c>
      <c r="C5" s="84">
        <f>IFERROR(INDEX('劇場マスタ'!$C$6:$C$105,MATCH($C$4,'劇場マスタ'!$B$6:$B$105,0)),"")</f>
        <v/>
      </c>
      <c r="D5" s="19" t="inlineStr">
        <is>
          <t>劇場マスタから自動。</t>
        </is>
      </c>
      <c r="F5" s="70" t="inlineStr">
        <is>
          <t>オザックス株式会社</t>
        </is>
      </c>
    </row>
    <row r="6">
      <c r="B6" s="55" t="inlineStr">
        <is>
          <t>当日基準日</t>
        </is>
      </c>
      <c r="C6" s="85">
        <f>IFERROR(DATE(LEFT(TEXT(INDEX('①在庫を貼る'!$A$6:$A$10005,MATCH($C$4,'①在庫を貼る'!$V$6:$V$10005,0)),"00000000"),4),MID(TEXT(INDEX('①在庫を貼る'!$A$6:$A$10005,MATCH($C$4,'①在庫を貼る'!$V$6:$V$10005,0)),"00000000"),5,2),RIGHT(TEXT(INDEX('①在庫を貼る'!$A$6:$A$10005,MATCH($C$4,'①在庫を貼る'!$V$6:$V$10005,0)),"00000000"),2)),"")</f>
        <v/>
      </c>
      <c r="D6" s="19" t="inlineStr">
        <is>
          <t>①に貼った在庫CSVの日付から自動。発注画面の「今日」になります。</t>
        </is>
      </c>
      <c r="F6" s="70" t="inlineStr">
        <is>
          <t>株式会社　カクヤス</t>
        </is>
      </c>
    </row>
    <row r="7">
      <c r="B7" s="55" t="inlineStr">
        <is>
          <t>発注から入庫までの日数</t>
        </is>
      </c>
      <c r="C7" s="86" t="n">
        <v>3</v>
      </c>
      <c r="D7" s="19" t="inlineStr">
        <is>
          <t>今日発注すると何日後に入るか（0〜10）。「今日発注！」の判定に使います。</t>
        </is>
      </c>
      <c r="F7" s="70" t="inlineStr">
        <is>
          <t>エパックス（株）</t>
        </is>
      </c>
    </row>
    <row r="8">
      <c r="B8" s="55" t="inlineStr">
        <is>
          <t>標準の動員/日</t>
        </is>
      </c>
      <c r="C8" s="87" t="n">
        <v>1500</v>
      </c>
      <c r="D8" s="19" t="inlineStr">
        <is>
          <t>動員シートに予測も実績も無い日に使う来場者数。</t>
        </is>
      </c>
      <c r="F8" s="70" t="inlineStr">
        <is>
          <t>松竹株式会社（コンセ）</t>
        </is>
      </c>
    </row>
    <row r="9">
      <c r="B9" s="55" t="inlineStr">
        <is>
          <t>担当者</t>
        </is>
      </c>
      <c r="C9" s="88" t="n"/>
      <c r="D9" s="19" t="inlineStr">
        <is>
          <t>発注書に印字します。</t>
        </is>
      </c>
      <c r="F9" s="70" t="inlineStr">
        <is>
          <t>株式会社ムービック【コンセ】</t>
        </is>
      </c>
    </row>
    <row r="10">
      <c r="B10" s="55" t="inlineStr">
        <is>
          <t>当日CSVの該当行数</t>
        </is>
      </c>
      <c r="C10" s="89">
        <f>COUNTIF('①在庫を貼る'!$V$6:$V$10005,$C$4)</f>
        <v/>
      </c>
      <c r="D10" s="19" t="inlineStr">
        <is>
          <t>0なら劇場コードが一致していません。</t>
        </is>
      </c>
      <c r="F10" s="70" t="inlineStr">
        <is>
          <t>東映ジョイ（コンセ）</t>
        </is>
      </c>
    </row>
    <row r="11">
      <c r="B11" s="55" t="inlineStr">
        <is>
          <t>取扱商品数（②の行数）</t>
        </is>
      </c>
      <c r="C11" s="89">
        <f>$C$20+$C$17+$C$18+$C$19</f>
        <v/>
      </c>
      <c r="D11" s="19" t="inlineStr">
        <is>
          <t>マスタの取扱商品＋マスタに無い商品。計算できるのは 400 件まで。</t>
        </is>
      </c>
      <c r="F11" s="70" t="inlineStr">
        <is>
          <t>㈱トップス</t>
        </is>
      </c>
    </row>
    <row r="12">
      <c r="B12" s="55" t="inlineStr">
        <is>
          <t>1ヶ月前の基準日</t>
        </is>
      </c>
      <c r="C12" s="85">
        <f>IFERROR(DATE(LEFT(TEXT(INDEX('月1回_1ヶ月前の在庫'!$A$6:$A$10005,MATCH($C$4,'月1回_1ヶ月前の在庫'!$V$6:$V$10005,0)),"00000000"),4),MID(TEXT(INDEX('月1回_1ヶ月前の在庫'!$A$6:$A$10005,MATCH($C$4,'月1回_1ヶ月前の在庫'!$V$6:$V$10005,0)),"00000000"),5,2),RIGHT(TEXT(INDEX('月1回_1ヶ月前の在庫'!$A$6:$A$10005,MATCH($C$4,'月1回_1ヶ月前の在庫'!$V$6:$V$10005,0)),"00000000"),2)),"")</f>
        <v/>
      </c>
      <c r="D12" s="19" t="inlineStr">
        <is>
          <t>月1回_1ヶ月前の在庫 の日付から自動。</t>
        </is>
      </c>
      <c r="F12" s="70" t="inlineStr">
        <is>
          <t>㈱そごう・西武</t>
        </is>
      </c>
    </row>
    <row r="13">
      <c r="B13" s="55" t="inlineStr">
        <is>
          <t>2ヶ月前の基準日</t>
        </is>
      </c>
      <c r="C13" s="85">
        <f>IFERROR(DATE(LEFT(TEXT(INDEX('月1回_2ヶ月前の在庫'!$A$6:$A$10005,MATCH($C$4,'月1回_2ヶ月前の在庫'!$V$6:$V$10005,0)),"00000000"),4),MID(TEXT(INDEX('月1回_2ヶ月前の在庫'!$A$6:$A$10005,MATCH($C$4,'月1回_2ヶ月前の在庫'!$V$6:$V$10005,0)),"00000000"),5,2),RIGHT(TEXT(INDEX('月1回_2ヶ月前の在庫'!$A$6:$A$10005,MATCH($C$4,'月1回_2ヶ月前の在庫'!$V$6:$V$10005,0)),"00000000"),2)),"")</f>
        <v/>
      </c>
      <c r="D13" s="19" t="inlineStr">
        <is>
          <t>月1回_2ヶ月前の在庫 の日付から自動。</t>
        </is>
      </c>
      <c r="F13" s="70" t="inlineStr">
        <is>
          <t>本社　番組編成部　マーケティング室</t>
        </is>
      </c>
    </row>
    <row r="14">
      <c r="B14" s="55" t="inlineStr">
        <is>
          <t>減り数が設定済みの商品数</t>
        </is>
      </c>
      <c r="C14" s="89">
        <f>COUNTIF('計算'!$M$6:$M$405,"&gt;0")</f>
        <v/>
      </c>
      <c r="D14" s="19" t="inlineStr">
        <is>
          <t>商品マスタの「100人あたりの減り数」が入っている商品。</t>
        </is>
      </c>
      <c r="F14" s="70" t="n"/>
    </row>
    <row r="15">
      <c r="B15" s="55" t="inlineStr">
        <is>
          <t>定数が設定済みの商品数</t>
        </is>
      </c>
      <c r="C15" s="89">
        <f>COUNT('計算'!$O$6:$O$405)</f>
        <v/>
      </c>
      <c r="D15" s="19" t="inlineStr">
        <is>
          <t>商品マスタの「定数（ケース）」（無ければCSVの規定数）が入っている商品。</t>
        </is>
      </c>
      <c r="F15" s="70" t="n"/>
    </row>
    <row r="16">
      <c r="B16" s="55" t="inlineStr">
        <is>
          <t>これから14日の動員（平均）</t>
        </is>
      </c>
      <c r="C16" s="89">
        <f>IF('計算'!$B$3=0,0,ROUND('計算'!$B$3/14,0))</f>
        <v/>
      </c>
      <c r="D16" s="19" t="inlineStr">
        <is>
          <t>0なら減り数が計算できません。</t>
        </is>
      </c>
      <c r="F16" s="70" t="n"/>
    </row>
    <row r="17">
      <c r="B17" s="55" t="inlineStr">
        <is>
          <t>当日CSVにあってマスタに無い商品数</t>
        </is>
      </c>
      <c r="C17" s="89">
        <f>MAX('①在庫を貼る'!$U$6:$U$10005)</f>
        <v/>
      </c>
      <c r="D17" s="19" t="inlineStr">
        <is>
          <t>②の末尾に出ます。マスタに追加してください。</t>
        </is>
      </c>
      <c r="F17" s="70" t="n"/>
    </row>
    <row r="18">
      <c r="B18" s="55" t="inlineStr">
        <is>
          <t>1ヶ月前だけにあってマスタに無い商品数</t>
        </is>
      </c>
      <c r="C18" s="89">
        <f>MAX('月1回_1ヶ月前の在庫'!$U$6:$U$10005)</f>
        <v/>
      </c>
      <c r="D18" s="19" t="inlineStr"/>
      <c r="F18" s="70" t="n"/>
    </row>
    <row r="19">
      <c r="B19" s="55" t="inlineStr">
        <is>
          <t>2ヶ月前だけにあってマスタに無い商品数</t>
        </is>
      </c>
      <c r="C19" s="89">
        <f>MAX('月1回_2ヶ月前の在庫'!$U$6:$U$10005)</f>
        <v/>
      </c>
      <c r="D19" s="19" t="inlineStr"/>
      <c r="F19" s="70" t="n"/>
    </row>
    <row r="20">
      <c r="B20" s="55" t="inlineStr">
        <is>
          <t>マスタの取扱商品数</t>
        </is>
      </c>
      <c r="C20" s="89">
        <f>MAX('商品マスタ'!$M$6:$M$1005)</f>
        <v/>
      </c>
      <c r="D20" s="19" t="inlineStr">
        <is>
          <t>商品マスタのうち、3枚のCSVのどれかに載っている商品。</t>
        </is>
      </c>
      <c r="F20" s="70" t="n"/>
    </row>
    <row r="21">
      <c r="B21" s="55" t="inlineStr">
        <is>
          <t>当日CSVで同じ商品コードが重なる行数</t>
        </is>
      </c>
      <c r="C21" s="89">
        <f>$C$10-SUM('商品マスタ'!$N$6:$N$1005)+SUMPRODUCT(--('商品マスタ'!$N$6:$N$1005&gt;1))-$C$17</f>
        <v/>
      </c>
      <c r="D21" s="19" t="inlineStr">
        <is>
          <t>0以外なら、同じ商品が複数行あります（在庫は合算して1行で出します）。</t>
        </is>
      </c>
      <c r="F21" s="70" t="n"/>
    </row>
    <row r="22">
      <c r="F22" s="70" t="n"/>
    </row>
    <row r="23">
      <c r="F23" s="70" t="n"/>
    </row>
    <row r="24">
      <c r="F24" s="70" t="n"/>
    </row>
    <row r="25">
      <c r="F25" s="70" t="n"/>
    </row>
    <row r="26">
      <c r="F26" s="70" t="n"/>
    </row>
    <row r="27">
      <c r="F27" s="70" t="n"/>
    </row>
    <row r="28">
      <c r="F28" s="70" t="n"/>
    </row>
    <row r="29">
      <c r="F29" s="70" t="n"/>
    </row>
    <row r="30">
      <c r="F30" s="70" t="n"/>
    </row>
    <row r="31">
      <c r="F31" s="70" t="n"/>
    </row>
    <row r="32">
      <c r="F32" s="70" t="n"/>
    </row>
    <row r="33">
      <c r="F33" s="70" t="n"/>
    </row>
    <row r="34">
      <c r="F34" s="70" t="n"/>
    </row>
    <row r="35">
      <c r="F35" s="70" t="n"/>
    </row>
    <row r="36">
      <c r="F36" s="70" t="n"/>
    </row>
    <row r="37">
      <c r="F37" s="70" t="n"/>
    </row>
    <row r="38">
      <c r="F38" s="70" t="n"/>
    </row>
    <row r="39">
      <c r="F39" s="70" t="n"/>
    </row>
    <row r="40">
      <c r="F40" s="70" t="n"/>
    </row>
    <row r="41">
      <c r="F41" s="19" t="inlineStr">
        <is>
          <t>仕入先が増えたらここに足してください（商品マスタの支払先名と同じ文字で）。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:G1"/>
  </mergeCells>
  <dataValidations count="3">
    <dataValidation sqref="C4" showDropDown="0" showInputMessage="0" showErrorMessage="1" allowBlank="1" errorTitle="劇場コード" error="劇場マスタにある4桁のコードを選んでください。" type="list">
      <formula1>='劇場マスタ'!$B$6:$B$105</formula1>
    </dataValidation>
    <dataValidation sqref="C7" showDropDown="0" showInputMessage="0" showErrorMessage="1" allowBlank="0" errorTitle="日数" error="0〜10 の整数で入れてください。" promptTitle="日数" type="whole" operator="between">
      <formula1>0</formula1>
      <formula2>10</formula2>
    </dataValidation>
    <dataValidation sqref="C8" showDropDown="0" showInputMessage="0" showErrorMessage="1" allowBlank="0" errorTitle="動員" error="1日の来場者数を整数で入れてください。" promptTitle="動員" type="whole" operator="between">
      <formula1>0</formula1>
      <formula2>100000</formula2>
    </dataValidation>
  </dataValidations>
  <hyperlinks>
    <hyperlink ref="H1" location="'ホーム'!A1" display="◀ ホーム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A8D9C"/>
    <outlinePr summaryBelow="1" summaryRight="1"/>
    <pageSetUpPr/>
  </sheetPr>
  <dimension ref="A1:CY405"/>
  <sheetViews>
    <sheetView workbookViewId="0">
      <selection activeCell="A1" sqref="A1"/>
    </sheetView>
  </sheetViews>
  <sheetFormatPr baseColWidth="8" defaultRowHeight="15"/>
  <sheetData>
    <row r="1">
      <c r="B1" s="19" t="inlineStr">
        <is>
          <t>このシートは計算専用です。書き換えないでください。</t>
        </is>
      </c>
    </row>
    <row r="2">
      <c r="A2" t="inlineStr">
        <is>
          <t>動員の表の範囲外なら1</t>
        </is>
      </c>
      <c r="B2">
        <f>IF('設定'!$C$6="",0,IF(OR('設定'!$C$6&lt;N('動員を入れる'!$B$16),'設定'!$C$6+13&gt;N('動員を入れる'!$B$415)),1,0))</f>
        <v/>
      </c>
    </row>
    <row r="3">
      <c r="A3" t="inlineStr">
        <is>
          <t>動員合計</t>
        </is>
      </c>
      <c r="B3">
        <f>SUM(V4:AI4)</f>
        <v/>
      </c>
      <c r="V3" s="90">
        <f>IF('設定'!$C$6="","",'設定'!$C$6+0)</f>
        <v/>
      </c>
      <c r="W3" s="90">
        <f>IF('設定'!$C$6="","",'設定'!$C$6+1)</f>
        <v/>
      </c>
      <c r="X3" s="90">
        <f>IF('設定'!$C$6="","",'設定'!$C$6+2)</f>
        <v/>
      </c>
      <c r="Y3" s="90">
        <f>IF('設定'!$C$6="","",'設定'!$C$6+3)</f>
        <v/>
      </c>
      <c r="Z3" s="90">
        <f>IF('設定'!$C$6="","",'設定'!$C$6+4)</f>
        <v/>
      </c>
      <c r="AA3" s="90">
        <f>IF('設定'!$C$6="","",'設定'!$C$6+5)</f>
        <v/>
      </c>
      <c r="AB3" s="90">
        <f>IF('設定'!$C$6="","",'設定'!$C$6+6)</f>
        <v/>
      </c>
      <c r="AC3" s="90">
        <f>IF('設定'!$C$6="","",'設定'!$C$6+7)</f>
        <v/>
      </c>
      <c r="AD3" s="90">
        <f>IF('設定'!$C$6="","",'設定'!$C$6+8)</f>
        <v/>
      </c>
      <c r="AE3" s="90">
        <f>IF('設定'!$C$6="","",'設定'!$C$6+9)</f>
        <v/>
      </c>
      <c r="AF3" s="90">
        <f>IF('設定'!$C$6="","",'設定'!$C$6+10)</f>
        <v/>
      </c>
      <c r="AG3" s="90">
        <f>IF('設定'!$C$6="","",'設定'!$C$6+11)</f>
        <v/>
      </c>
      <c r="AH3" s="90">
        <f>IF('設定'!$C$6="","",'設定'!$C$6+12)</f>
        <v/>
      </c>
      <c r="AI3" s="90">
        <f>IF('設定'!$C$6="","",'設定'!$C$6+13)</f>
        <v/>
      </c>
    </row>
    <row r="4">
      <c r="A4" t="inlineStr">
        <is>
          <t>動員</t>
        </is>
      </c>
      <c r="V4">
        <f>IF(V3="",0,IFERROR(N(INDEX('動員を入れる'!$G$16:$G$415,MATCH(V3,'動員を入れる'!$B$16:$B$415,0))),N('設定'!$C$8)))</f>
        <v/>
      </c>
      <c r="W4">
        <f>IF(W3="",0,IFERROR(N(INDEX('動員を入れる'!$G$16:$G$415,MATCH(W3,'動員を入れる'!$B$16:$B$415,0))),N('設定'!$C$8)))</f>
        <v/>
      </c>
      <c r="X4">
        <f>IF(X3="",0,IFERROR(N(INDEX('動員を入れる'!$G$16:$G$415,MATCH(X3,'動員を入れる'!$B$16:$B$415,0))),N('設定'!$C$8)))</f>
        <v/>
      </c>
      <c r="Y4">
        <f>IF(Y3="",0,IFERROR(N(INDEX('動員を入れる'!$G$16:$G$415,MATCH(Y3,'動員を入れる'!$B$16:$B$415,0))),N('設定'!$C$8)))</f>
        <v/>
      </c>
      <c r="Z4">
        <f>IF(Z3="",0,IFERROR(N(INDEX('動員を入れる'!$G$16:$G$415,MATCH(Z3,'動員を入れる'!$B$16:$B$415,0))),N('設定'!$C$8)))</f>
        <v/>
      </c>
      <c r="AA4">
        <f>IF(AA3="",0,IFERROR(N(INDEX('動員を入れる'!$G$16:$G$415,MATCH(AA3,'動員を入れる'!$B$16:$B$415,0))),N('設定'!$C$8)))</f>
        <v/>
      </c>
      <c r="AB4">
        <f>IF(AB3="",0,IFERROR(N(INDEX('動員を入れる'!$G$16:$G$415,MATCH(AB3,'動員を入れる'!$B$16:$B$415,0))),N('設定'!$C$8)))</f>
        <v/>
      </c>
      <c r="AC4">
        <f>IF(AC3="",0,IFERROR(N(INDEX('動員を入れる'!$G$16:$G$415,MATCH(AC3,'動員を入れる'!$B$16:$B$415,0))),N('設定'!$C$8)))</f>
        <v/>
      </c>
      <c r="AD4">
        <f>IF(AD3="",0,IFERROR(N(INDEX('動員を入れる'!$G$16:$G$415,MATCH(AD3,'動員を入れる'!$B$16:$B$415,0))),N('設定'!$C$8)))</f>
        <v/>
      </c>
      <c r="AE4">
        <f>IF(AE3="",0,IFERROR(N(INDEX('動員を入れる'!$G$16:$G$415,MATCH(AE3,'動員を入れる'!$B$16:$B$415,0))),N('設定'!$C$8)))</f>
        <v/>
      </c>
      <c r="AF4">
        <f>IF(AF3="",0,IFERROR(N(INDEX('動員を入れる'!$G$16:$G$415,MATCH(AF3,'動員を入れる'!$B$16:$B$415,0))),N('設定'!$C$8)))</f>
        <v/>
      </c>
      <c r="AG4">
        <f>IF(AG3="",0,IFERROR(N(INDEX('動員を入れる'!$G$16:$G$415,MATCH(AG3,'動員を入れる'!$B$16:$B$415,0))),N('設定'!$C$8)))</f>
        <v/>
      </c>
      <c r="AH4">
        <f>IF(AH3="",0,IFERROR(N(INDEX('動員を入れる'!$G$16:$G$415,MATCH(AH3,'動員を入れる'!$B$16:$B$415,0))),N('設定'!$C$8)))</f>
        <v/>
      </c>
      <c r="AI4">
        <f>IF(AI3="",0,IFERROR(N(INDEX('動員を入れる'!$G$16:$G$415,MATCH(AI3,'動員を入れる'!$B$16:$B$415,0))),N('設定'!$C$8)))</f>
        <v/>
      </c>
    </row>
    <row r="5">
      <c r="B5" s="19" t="inlineStr">
        <is>
          <t>no</t>
        </is>
      </c>
      <c r="C5" s="19" t="inlineStr">
        <is>
          <t>code</t>
        </is>
      </c>
      <c r="D5" s="19" t="inlineStr">
        <is>
          <t>name</t>
        </is>
      </c>
      <c r="E5" s="19" t="inlineStr">
        <is>
          <t>cat</t>
        </is>
      </c>
      <c r="F5" s="19" t="inlineStr">
        <is>
          <t>vendor</t>
        </is>
      </c>
      <c r="G5" s="19" t="inlineStr">
        <is>
          <t>pack</t>
        </is>
      </c>
      <c r="H5" s="19" t="inlineStr">
        <is>
          <t>price</t>
        </is>
      </c>
      <c r="I5" s="19" t="inlineStr">
        <is>
          <t>csv_stock</t>
        </is>
      </c>
      <c r="J5" s="19" t="inlineStr">
        <is>
          <t>counted</t>
        </is>
      </c>
      <c r="K5" s="19" t="inlineStr">
        <is>
          <t>counted_date</t>
        </is>
      </c>
      <c r="L5" s="19" t="inlineStr">
        <is>
          <t>stock</t>
        </is>
      </c>
      <c r="M5" s="19" t="inlineStr">
        <is>
          <t>pi</t>
        </is>
      </c>
      <c r="N5" s="19" t="inlineStr">
        <is>
          <t>par_case</t>
        </is>
      </c>
      <c r="O5" s="19" t="inlineStr">
        <is>
          <t>par</t>
        </is>
      </c>
      <c r="P5" s="19" t="inlineStr">
        <is>
          <t>in_date</t>
        </is>
      </c>
      <c r="Q5" s="19" t="inlineStr">
        <is>
          <t>in_qty</t>
        </is>
      </c>
      <c r="R5" s="19" t="inlineStr">
        <is>
          <t>in_units</t>
        </is>
      </c>
      <c r="S5" s="19" t="inlineStr">
        <is>
          <t>in_date2</t>
        </is>
      </c>
      <c r="T5" s="19" t="inlineStr">
        <is>
          <t>in_qty2</t>
        </is>
      </c>
      <c r="U5" s="19" t="inlineStr">
        <is>
          <t>in_units2</t>
        </is>
      </c>
      <c r="V5" s="19" t="inlineStr">
        <is>
          <t>use0</t>
        </is>
      </c>
      <c r="W5" s="19" t="inlineStr">
        <is>
          <t>use1</t>
        </is>
      </c>
      <c r="X5" s="19" t="inlineStr">
        <is>
          <t>use2</t>
        </is>
      </c>
      <c r="Y5" s="19" t="inlineStr">
        <is>
          <t>use3</t>
        </is>
      </c>
      <c r="Z5" s="19" t="inlineStr">
        <is>
          <t>use4</t>
        </is>
      </c>
      <c r="AA5" s="19" t="inlineStr">
        <is>
          <t>use5</t>
        </is>
      </c>
      <c r="AB5" s="19" t="inlineStr">
        <is>
          <t>use6</t>
        </is>
      </c>
      <c r="AC5" s="19" t="inlineStr">
        <is>
          <t>use7</t>
        </is>
      </c>
      <c r="AD5" s="19" t="inlineStr">
        <is>
          <t>use8</t>
        </is>
      </c>
      <c r="AE5" s="19" t="inlineStr">
        <is>
          <t>use9</t>
        </is>
      </c>
      <c r="AF5" s="19" t="inlineStr">
        <is>
          <t>use10</t>
        </is>
      </c>
      <c r="AG5" s="19" t="inlineStr">
        <is>
          <t>use11</t>
        </is>
      </c>
      <c r="AH5" s="19" t="inlineStr">
        <is>
          <t>use12</t>
        </is>
      </c>
      <c r="AI5" s="19" t="inlineStr">
        <is>
          <t>use13</t>
        </is>
      </c>
      <c r="AJ5" s="19" t="inlineStr">
        <is>
          <t>b0</t>
        </is>
      </c>
      <c r="AK5" s="19" t="inlineStr">
        <is>
          <t>b1</t>
        </is>
      </c>
      <c r="AL5" s="19" t="inlineStr">
        <is>
          <t>b2</t>
        </is>
      </c>
      <c r="AM5" s="19" t="inlineStr">
        <is>
          <t>b3</t>
        </is>
      </c>
      <c r="AN5" s="19" t="inlineStr">
        <is>
          <t>b4</t>
        </is>
      </c>
      <c r="AO5" s="19" t="inlineStr">
        <is>
          <t>b5</t>
        </is>
      </c>
      <c r="AP5" s="19" t="inlineStr">
        <is>
          <t>b6</t>
        </is>
      </c>
      <c r="AQ5" s="19" t="inlineStr">
        <is>
          <t>b7</t>
        </is>
      </c>
      <c r="AR5" s="19" t="inlineStr">
        <is>
          <t>b8</t>
        </is>
      </c>
      <c r="AS5" s="19" t="inlineStr">
        <is>
          <t>b9</t>
        </is>
      </c>
      <c r="AT5" s="19" t="inlineStr">
        <is>
          <t>b10</t>
        </is>
      </c>
      <c r="AU5" s="19" t="inlineStr">
        <is>
          <t>b11</t>
        </is>
      </c>
      <c r="AV5" s="19" t="inlineStr">
        <is>
          <t>b12</t>
        </is>
      </c>
      <c r="AW5" s="19" t="inlineStr">
        <is>
          <t>b13</t>
        </is>
      </c>
      <c r="AX5" s="19" t="inlineStr">
        <is>
          <t>a0</t>
        </is>
      </c>
      <c r="AY5" s="19" t="inlineStr">
        <is>
          <t>a1</t>
        </is>
      </c>
      <c r="AZ5" s="19" t="inlineStr">
        <is>
          <t>a2</t>
        </is>
      </c>
      <c r="BA5" s="19" t="inlineStr">
        <is>
          <t>a3</t>
        </is>
      </c>
      <c r="BB5" s="19" t="inlineStr">
        <is>
          <t>a4</t>
        </is>
      </c>
      <c r="BC5" s="19" t="inlineStr">
        <is>
          <t>a5</t>
        </is>
      </c>
      <c r="BD5" s="19" t="inlineStr">
        <is>
          <t>a6</t>
        </is>
      </c>
      <c r="BE5" s="19" t="inlineStr">
        <is>
          <t>a7</t>
        </is>
      </c>
      <c r="BF5" s="19" t="inlineStr">
        <is>
          <t>a8</t>
        </is>
      </c>
      <c r="BG5" s="19" t="inlineStr">
        <is>
          <t>a9</t>
        </is>
      </c>
      <c r="BH5" s="19" t="inlineStr">
        <is>
          <t>a10</t>
        </is>
      </c>
      <c r="BI5" s="19" t="inlineStr">
        <is>
          <t>a11</t>
        </is>
      </c>
      <c r="BJ5" s="19" t="inlineStr">
        <is>
          <t>a12</t>
        </is>
      </c>
      <c r="BK5" s="19" t="inlineStr">
        <is>
          <t>a13</t>
        </is>
      </c>
      <c r="BL5" s="19" t="inlineStr">
        <is>
          <t>k0</t>
        </is>
      </c>
      <c r="BM5" s="19" t="inlineStr">
        <is>
          <t>k1</t>
        </is>
      </c>
      <c r="BN5" s="19" t="inlineStr">
        <is>
          <t>k2</t>
        </is>
      </c>
      <c r="BO5" s="19" t="inlineStr">
        <is>
          <t>k3</t>
        </is>
      </c>
      <c r="BP5" s="19" t="inlineStr">
        <is>
          <t>k4</t>
        </is>
      </c>
      <c r="BQ5" s="19" t="inlineStr">
        <is>
          <t>k5</t>
        </is>
      </c>
      <c r="BR5" s="19" t="inlineStr">
        <is>
          <t>k6</t>
        </is>
      </c>
      <c r="BS5" s="19" t="inlineStr">
        <is>
          <t>k7</t>
        </is>
      </c>
      <c r="BT5" s="19" t="inlineStr">
        <is>
          <t>k8</t>
        </is>
      </c>
      <c r="BU5" s="19" t="inlineStr">
        <is>
          <t>k9</t>
        </is>
      </c>
      <c r="BV5" s="19" t="inlineStr">
        <is>
          <t>k10</t>
        </is>
      </c>
      <c r="BW5" s="19" t="inlineStr">
        <is>
          <t>k11</t>
        </is>
      </c>
      <c r="BX5" s="19" t="inlineStr">
        <is>
          <t>k12</t>
        </is>
      </c>
      <c r="BY5" s="19" t="inlineStr">
        <is>
          <t>k13</t>
        </is>
      </c>
      <c r="BZ5" s="19" t="inlineStr">
        <is>
          <t>n_before</t>
        </is>
      </c>
      <c r="CA5" s="19" t="inlineStr">
        <is>
          <t>cut_before</t>
        </is>
      </c>
      <c r="CB5" s="19" t="inlineStr">
        <is>
          <t>n_post</t>
        </is>
      </c>
      <c r="CC5" s="19" t="inlineStr">
        <is>
          <t>cut_post</t>
        </is>
      </c>
      <c r="CD5" s="19" t="inlineStr">
        <is>
          <t>use_avg</t>
        </is>
      </c>
      <c r="CE5" s="19" t="inlineStr">
        <is>
          <t>prev1</t>
        </is>
      </c>
      <c r="CF5" s="19" t="inlineStr">
        <is>
          <t>guide</t>
        </is>
      </c>
      <c r="CG5" s="19" t="inlineStr">
        <is>
          <t>over1</t>
        </is>
      </c>
      <c r="CH5" s="19" t="inlineStr">
        <is>
          <t>over2</t>
        </is>
      </c>
      <c r="CI5" s="19" t="inlineStr">
        <is>
          <t>err1</t>
        </is>
      </c>
      <c r="CJ5" s="19" t="inlineStr">
        <is>
          <t>err2</t>
        </is>
      </c>
      <c r="CK5" s="19" t="inlineStr">
        <is>
          <t>valid1</t>
        </is>
      </c>
      <c r="CL5" s="19" t="inlineStr">
        <is>
          <t>valid2</t>
        </is>
      </c>
      <c r="CM5" s="19" t="inlineStr">
        <is>
          <t>ordered</t>
        </is>
      </c>
      <c r="CN5" s="19" t="inlineStr">
        <is>
          <t>in_amt</t>
        </is>
      </c>
      <c r="CO5" s="19" t="inlineStr">
        <is>
          <t>post</t>
        </is>
      </c>
      <c r="CP5" s="19" t="inlineStr">
        <is>
          <t>status</t>
        </is>
      </c>
      <c r="CQ5" s="19" t="inlineStr">
        <is>
          <t>after</t>
        </is>
      </c>
      <c r="CR5" s="19" t="inlineStr">
        <is>
          <t>unit</t>
        </is>
      </c>
      <c r="CS5" s="19" t="inlineStr">
        <is>
          <t>absent</t>
        </is>
      </c>
      <c r="CT5" s="19" t="inlineStr">
        <is>
          <t>pick1</t>
        </is>
      </c>
      <c r="CU5" s="19" t="inlineStr">
        <is>
          <t>pick2</t>
        </is>
      </c>
      <c r="CV5" s="19" t="inlineStr">
        <is>
          <t>in_cur</t>
        </is>
      </c>
      <c r="CW5" s="19" t="inlineStr">
        <is>
          <t>in_mid</t>
        </is>
      </c>
      <c r="CX5" s="19" t="inlineStr">
        <is>
          <t>in_prv</t>
        </is>
      </c>
      <c r="CY5" s="19" t="inlineStr">
        <is>
          <t>change</t>
        </is>
      </c>
    </row>
    <row r="6">
      <c r="B6">
        <f>IF(1&lt;='設定'!$C$11,1,"")</f>
        <v/>
      </c>
      <c r="C6">
        <f>IF($B6="","",IF($B6&lt;='設定'!$C$20,INDEX('商品マスタ'!$B$6:$B$1005,MATCH($B6,'商品マスタ'!$M$6:$M$1005,0)),IF($B6&lt;='設定'!$C$20+'設定'!$C$17,INDEX('①在庫を貼る'!$W$6:$W$10005,MATCH($B6-'設定'!$C$20,'①在庫を貼る'!$U$6:$U$10005,0)),IF($B6&lt;='設定'!$C$20+'設定'!$C$17+'設定'!$C$18,INDEX('月1回_1ヶ月前の在庫'!$W$6:$W$10005,MATCH($B6-'設定'!$C$20-'設定'!$C$17,'月1回_1ヶ月前の在庫'!$U$6:$U$10005,0)),INDEX('月1回_2ヶ月前の在庫'!$W$6:$W$10005,MATCH($B6-'設定'!$C$20-'設定'!$C$17-'設定'!$C$18,'月1回_2ヶ月前の在庫'!$U$6:$U$10005,0))))))</f>
        <v/>
      </c>
      <c r="D6">
        <f>IF($C6="","",IFERROR(IF(INDEX('商品マスタ'!$C$6:$C$1005,MATCH($C6,'商品マスタ'!$B$6:$B$1005,0))="",IFERROR(INDEX('①在庫を貼る'!$J$6:$J$10005,MATCH($C6,'①在庫を貼る'!$W$6:$W$10005,0)),IFERROR(INDEX('月1回_1ヶ月前の在庫'!$J$6:$J$10005,MATCH($C6,'月1回_1ヶ月前の在庫'!$W$6:$W$10005,0)),IFERROR(INDEX('月1回_2ヶ月前の在庫'!$J$6:$J$10005,MATCH($C6,'月1回_2ヶ月前の在庫'!$W$6:$W$10005,0)),""))),INDEX('商品マスタ'!$C$6:$C$1005,MATCH($C6,'商品マスタ'!$B$6:$B$1005,0))),IFERROR(INDEX('①在庫を貼る'!$J$6:$J$10005,MATCH($C6,'①在庫を貼る'!$W$6:$W$10005,0)),IFERROR(INDEX('月1回_1ヶ月前の在庫'!$J$6:$J$10005,MATCH($C6,'月1回_1ヶ月前の在庫'!$W$6:$W$10005,0)),IFERROR(INDEX('月1回_2ヶ月前の在庫'!$J$6:$J$10005,MATCH($C6,'月1回_2ヶ月前の在庫'!$W$6:$W$10005,0)),"")))))</f>
        <v/>
      </c>
      <c r="E6">
        <f>IF($C6="","",IFERROR(IF(INDEX('商品マスタ'!$D$6:$D$1005,MATCH($C6,'商品マスタ'!$B$6:$B$1005,0))="",IFERROR(INDEX('①在庫を貼る'!$H$6:$H$10005,MATCH($C6,'①在庫を貼る'!$W$6:$W$10005,0)),IFERROR(INDEX('月1回_1ヶ月前の在庫'!$H$6:$H$10005,MATCH($C6,'月1回_1ヶ月前の在庫'!$W$6:$W$10005,0)),IFERROR(INDEX('月1回_2ヶ月前の在庫'!$H$6:$H$10005,MATCH($C6,'月1回_2ヶ月前の在庫'!$W$6:$W$10005,0)),""))),INDEX('商品マスタ'!$D$6:$D$1005,MATCH($C6,'商品マスタ'!$B$6:$B$1005,0))),IFERROR(INDEX('①在庫を貼る'!$H$6:$H$10005,MATCH($C6,'①在庫を貼る'!$W$6:$W$10005,0)),IFERROR(INDEX('月1回_1ヶ月前の在庫'!$H$6:$H$10005,MATCH($C6,'月1回_1ヶ月前の在庫'!$W$6:$W$10005,0)),IFERROR(INDEX('月1回_2ヶ月前の在庫'!$H$6:$H$10005,MATCH($C6,'月1回_2ヶ月前の在庫'!$W$6:$W$10005,0)),"")))))</f>
        <v/>
      </c>
      <c r="F6">
        <f>IF($C6="","",IFERROR(IF(INDEX('商品マスタ'!$E$6:$E$1005,MATCH($C6,'商品マスタ'!$B$6:$B$1005,0))="",IFERROR(INDEX('①在庫を貼る'!$E$6:$E$10005,MATCH($C6,'①在庫を貼る'!$W$6:$W$10005,0)),IFERROR(INDEX('月1回_1ヶ月前の在庫'!$E$6:$E$10005,MATCH($C6,'月1回_1ヶ月前の在庫'!$W$6:$W$10005,0)),IFERROR(INDEX('月1回_2ヶ月前の在庫'!$E$6:$E$10005,MATCH($C6,'月1回_2ヶ月前の在庫'!$W$6:$W$10005,0)),""))),INDEX('商品マスタ'!$E$6:$E$1005,MATCH($C6,'商品マスタ'!$B$6:$B$1005,0))),IFERROR(INDEX('①在庫を貼る'!$E$6:$E$10005,MATCH($C6,'①在庫を貼る'!$W$6:$W$10005,0)),IFERROR(INDEX('月1回_1ヶ月前の在庫'!$E$6:$E$10005,MATCH($C6,'月1回_1ヶ月前の在庫'!$W$6:$W$10005,0)),IFERROR(INDEX('月1回_2ヶ月前の在庫'!$E$6:$E$10005,MATCH($C6,'月1回_2ヶ月前の在庫'!$W$6:$W$10005,0)),"")))))</f>
        <v/>
      </c>
      <c r="G6">
        <f>IF($C6="","",MAX(1,N(IFERROR(IF(INDEX('商品マスタ'!$F$6:$F$1005,MATCH($C6,'商品マスタ'!$B$6:$B$1005,0))="",IF(COUNTIFS('①在庫を貼る'!$V$6:$V$10005,'設定'!$C$4,'①在庫を貼る'!$W$6:$W$10005,$C6)&gt;0,SUMIFS('①在庫を貼る'!$K$6:$K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K$6:$K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K$6:$K$10005,'月1回_2ヶ月前の在庫'!$V$6:$V$10005,'設定'!$C$4,'月1回_2ヶ月前の在庫'!$W$6:$W$10005,$C6)/COUNTIFS('月1回_2ヶ月前の在庫'!$V$6:$V$10005,'設定'!$C$4,'月1回_2ヶ月前の在庫'!$W$6:$W$10005,$C6),0))),INDEX('商品マスタ'!$F$6:$F$1005,MATCH($C6,'商品マスタ'!$B$6:$B$1005,0))),IF(COUNTIFS('①在庫を貼る'!$V$6:$V$10005,'設定'!$C$4,'①在庫を貼る'!$W$6:$W$10005,$C6)&gt;0,SUMIFS('①在庫を貼る'!$K$6:$K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K$6:$K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K$6:$K$10005,'月1回_2ヶ月前の在庫'!$V$6:$V$10005,'設定'!$C$4,'月1回_2ヶ月前の在庫'!$W$6:$W$10005,$C6)/COUNTIFS('月1回_2ヶ月前の在庫'!$V$6:$V$10005,'設定'!$C$4,'月1回_2ヶ月前の在庫'!$W$6:$W$10005,$C6),0)))))))</f>
        <v/>
      </c>
      <c r="H6">
        <f>IF($C6="","",N(IFERROR(IF(INDEX('商品マスタ'!$G$6:$G$1005,MATCH($C6,'商品マスタ'!$B$6:$B$1005,0))="",IF(COUNTIFS('①在庫を貼る'!$V$6:$V$10005,'設定'!$C$4,'①在庫を貼る'!$W$6:$W$10005,$C6)&gt;0,SUMIFS('①在庫を貼る'!$Q$6:$Q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Q$6:$Q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Q$6:$Q$10005,'月1回_2ヶ月前の在庫'!$V$6:$V$10005,'設定'!$C$4,'月1回_2ヶ月前の在庫'!$W$6:$W$10005,$C6)/COUNTIFS('月1回_2ヶ月前の在庫'!$V$6:$V$10005,'設定'!$C$4,'月1回_2ヶ月前の在庫'!$W$6:$W$10005,$C6),0))),INDEX('商品マスタ'!$G$6:$G$1005,MATCH($C6,'商品マスタ'!$B$6:$B$1005,0))),IF(COUNTIFS('①在庫を貼る'!$V$6:$V$10005,'設定'!$C$4,'①在庫を貼る'!$W$6:$W$10005,$C6)&gt;0,SUMIFS('①在庫を貼る'!$Q$6:$Q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Q$6:$Q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Q$6:$Q$10005,'月1回_2ヶ月前の在庫'!$V$6:$V$10005,'設定'!$C$4,'月1回_2ヶ月前の在庫'!$W$6:$W$10005,$C6)/COUNTIFS('月1回_2ヶ月前の在庫'!$V$6:$V$10005,'設定'!$C$4,'月1回_2ヶ月前の在庫'!$W$6:$W$10005,$C6),0))))))</f>
        <v/>
      </c>
      <c r="I6">
        <f>IF($C6="","",IF(COUNTIFS('①在庫を貼る'!$V$6:$V$10005,'設定'!$C$4,'①在庫を貼る'!$W$6:$W$10005,$C6)=0,"",SUMIFS('①在庫を貼る'!$N$6:$N$10005,'①在庫を貼る'!$V$6:$V$10005,'設定'!$C$4,'①在庫を貼る'!$W$6:$W$10005,$C6)))</f>
        <v/>
      </c>
      <c r="J6">
        <f>IF($C6="","",IF('②発注する'!$AD10="","",'②発注する'!$AD10))</f>
        <v/>
      </c>
      <c r="K6" s="90">
        <f>IF($C6="","",IF('②発注する'!$AE10="","",'②発注する'!$AE10))</f>
        <v/>
      </c>
      <c r="L6">
        <f>IF($C6="","",IF(AND(ISNUMBER($J6),ISNUMBER($K6),$K6&gt;='設定'!$C$6),$J6,N($I6)))</f>
        <v/>
      </c>
      <c r="M6">
        <f>IF($C6="","",IFERROR(IF(N(INDEX('商品マスタ'!$J$6:$J$1005,MATCH($C6,'商品マスタ'!$B$6:$B$1005,0)))&gt;0,INDEX('商品マスタ'!$J$6:$J$1005,MATCH($C6,'商品マスタ'!$B$6:$B$1005,0)),""),""))</f>
        <v/>
      </c>
      <c r="N6">
        <f>IF($C6="","",IFERROR(IF(N(INDEX('商品マスタ'!$H$6:$H$1005,MATCH($C6,'商品マスタ'!$B$6:$B$1005,0)))&gt;0,INDEX('商品マスタ'!$H$6:$H$1005,MATCH($C6,'商品マスタ'!$B$6:$B$1005,0)),""),""))</f>
        <v/>
      </c>
      <c r="O6">
        <f>IF($C6="","",IF($N6&lt;&gt;"",$N6*$G6,IF(N(IF(COUNTIFS('①在庫を貼る'!$V$6:$V$10005,'設定'!$C$4,'①在庫を貼る'!$W$6:$W$10005,$C6)&gt;0,SUMIFS('①在庫を貼る'!$O$6:$O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O$6:$O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O$6:$O$10005,'月1回_2ヶ月前の在庫'!$V$6:$V$10005,'設定'!$C$4,'月1回_2ヶ月前の在庫'!$W$6:$W$10005,$C6)/COUNTIFS('月1回_2ヶ月前の在庫'!$V$6:$V$10005,'設定'!$C$4,'月1回_2ヶ月前の在庫'!$W$6:$W$10005,$C6),0))))&gt;0,N(IF(COUNTIFS('①在庫を貼る'!$V$6:$V$10005,'設定'!$C$4,'①在庫を貼る'!$W$6:$W$10005,$C6)&gt;0,SUMIFS('①在庫を貼る'!$O$6:$O$10005,'①在庫を貼る'!$V$6:$V$10005,'設定'!$C$4,'①在庫を貼る'!$W$6:$W$10005,$C6)/COUNTIFS('①在庫を貼る'!$V$6:$V$10005,'設定'!$C$4,'①在庫を貼る'!$W$6:$W$10005,$C6),IF(COUNTIFS('月1回_1ヶ月前の在庫'!$V$6:$V$10005,'設定'!$C$4,'月1回_1ヶ月前の在庫'!$W$6:$W$10005,$C6)&gt;0,SUMIFS('月1回_1ヶ月前の在庫'!$O$6:$O$10005,'月1回_1ヶ月前の在庫'!$V$6:$V$10005,'設定'!$C$4,'月1回_1ヶ月前の在庫'!$W$6:$W$10005,$C6)/COUNTIFS('月1回_1ヶ月前の在庫'!$V$6:$V$10005,'設定'!$C$4,'月1回_1ヶ月前の在庫'!$W$6:$W$10005,$C6),IF(COUNTIFS('月1回_2ヶ月前の在庫'!$V$6:$V$10005,'設定'!$C$4,'月1回_2ヶ月前の在庫'!$W$6:$W$10005,$C6)&gt;0,SUMIFS('月1回_2ヶ月前の在庫'!$O$6:$O$10005,'月1回_2ヶ月前の在庫'!$V$6:$V$10005,'設定'!$C$4,'月1回_2ヶ月前の在庫'!$W$6:$W$10005,$C6)/COUNTIFS('月1回_2ヶ月前の在庫'!$V$6:$V$10005,'設定'!$C$4,'月1回_2ヶ月前の在庫'!$W$6:$W$10005,$C6),0)))),"")))</f>
        <v/>
      </c>
      <c r="P6" s="90">
        <f>IF($C6="","",IF('②発注する'!$I10="","",'②発注する'!$I10))</f>
        <v/>
      </c>
      <c r="Q6">
        <f>IF($C6="","",IF('②発注する'!$J10="","",'②発注する'!$J10))</f>
        <v/>
      </c>
      <c r="R6">
        <f>IF($C6="",0,IF(AND(ISNUMBER($P6),ISNUMBER($Q6)),MAX(0,$Q6)*$G6,0))</f>
        <v/>
      </c>
      <c r="S6" s="90">
        <f>IF($C6="","",IF('②発注する'!$M10="","",'②発注する'!$M10))</f>
        <v/>
      </c>
      <c r="T6">
        <f>IF($C6="","",IF('②発注する'!$N10="","",'②発注する'!$N10))</f>
        <v/>
      </c>
      <c r="U6">
        <f>IF($C6="",0,IF(AND(ISNUMBER($S6),ISNUMBER($T6)),MAX(0,$T6)*$G6,0))</f>
        <v/>
      </c>
      <c r="V6">
        <f>IF($C6="",0,IF($M6="",0,MAX(0,$M6)*MAX(0,V$4)/100))</f>
        <v/>
      </c>
      <c r="W6">
        <f>IF($C6="",0,IF($M6="",0,MAX(0,$M6)*MAX(0,W$4)/100))</f>
        <v/>
      </c>
      <c r="X6">
        <f>IF($C6="",0,IF($M6="",0,MAX(0,$M6)*MAX(0,X$4)/100))</f>
        <v/>
      </c>
      <c r="Y6">
        <f>IF($C6="",0,IF($M6="",0,MAX(0,$M6)*MAX(0,Y$4)/100))</f>
        <v/>
      </c>
      <c r="Z6">
        <f>IF($C6="",0,IF($M6="",0,MAX(0,$M6)*MAX(0,Z$4)/100))</f>
        <v/>
      </c>
      <c r="AA6">
        <f>IF($C6="",0,IF($M6="",0,MAX(0,$M6)*MAX(0,AA$4)/100))</f>
        <v/>
      </c>
      <c r="AB6">
        <f>IF($C6="",0,IF($M6="",0,MAX(0,$M6)*MAX(0,AB$4)/100))</f>
        <v/>
      </c>
      <c r="AC6">
        <f>IF($C6="",0,IF($M6="",0,MAX(0,$M6)*MAX(0,AC$4)/100))</f>
        <v/>
      </c>
      <c r="AD6">
        <f>IF($C6="",0,IF($M6="",0,MAX(0,$M6)*MAX(0,AD$4)/100))</f>
        <v/>
      </c>
      <c r="AE6">
        <f>IF($C6="",0,IF($M6="",0,MAX(0,$M6)*MAX(0,AE$4)/100))</f>
        <v/>
      </c>
      <c r="AF6">
        <f>IF($C6="",0,IF($M6="",0,MAX(0,$M6)*MAX(0,AF$4)/100))</f>
        <v/>
      </c>
      <c r="AG6">
        <f>IF($C6="",0,IF($M6="",0,MAX(0,$M6)*MAX(0,AG$4)/100))</f>
        <v/>
      </c>
      <c r="AH6">
        <f>IF($C6="",0,IF($M6="",0,MAX(0,$M6)*MAX(0,AH$4)/100))</f>
        <v/>
      </c>
      <c r="AI6">
        <f>IF($C6="",0,IF($M6="",0,MAX(0,$M6)*MAX(0,AI$4)/100))</f>
        <v/>
      </c>
      <c r="AJ6">
        <f>IF($C6="",0,MAX(0,MAX(0,N($L6))-$V6))</f>
        <v/>
      </c>
      <c r="AK6">
        <f>IF($C6="",0,MAX(0,$AJ6-$W6))</f>
        <v/>
      </c>
      <c r="AL6">
        <f>IF($C6="",0,MAX(0,$AK6-$X6))</f>
        <v/>
      </c>
      <c r="AM6">
        <f>IF($C6="",0,MAX(0,$AL6-$Y6))</f>
        <v/>
      </c>
      <c r="AN6">
        <f>IF($C6="",0,MAX(0,$AM6-$Z6))</f>
        <v/>
      </c>
      <c r="AO6">
        <f>IF($C6="",0,MAX(0,$AN6-$AA6))</f>
        <v/>
      </c>
      <c r="AP6">
        <f>IF($C6="",0,MAX(0,$AO6-$AB6))</f>
        <v/>
      </c>
      <c r="AQ6">
        <f>IF($C6="",0,MAX(0,$AP6-$AC6))</f>
        <v/>
      </c>
      <c r="AR6">
        <f>IF($C6="",0,MAX(0,$AQ6-$AD6))</f>
        <v/>
      </c>
      <c r="AS6">
        <f>IF($C6="",0,MAX(0,$AR6-$AE6))</f>
        <v/>
      </c>
      <c r="AT6">
        <f>IF($C6="",0,MAX(0,$AS6-$AF6))</f>
        <v/>
      </c>
      <c r="AU6">
        <f>IF($C6="",0,MAX(0,$AT6-$AG6))</f>
        <v/>
      </c>
      <c r="AV6">
        <f>IF($C6="",0,MAX(0,$AU6-$AH6))</f>
        <v/>
      </c>
      <c r="AW6">
        <f>IF($C6="",0,MAX(0,$AV6-$AI6))</f>
        <v/>
      </c>
      <c r="AX6">
        <f>IF($C6="",0,MAX(0,MAX(0,N($L6))+IF($P6=V$3,$R6,0)+IF($S6=V$3,$U6,0)-$V6))</f>
        <v/>
      </c>
      <c r="AY6">
        <f>IF($C6="",0,MAX(0,$AX6+IF($P6=W$3,$R6,0)+IF($S6=W$3,$U6,0)-$W6))</f>
        <v/>
      </c>
      <c r="AZ6">
        <f>IF($C6="",0,MAX(0,$AY6+IF($P6=X$3,$R6,0)+IF($S6=X$3,$U6,0)-$X6))</f>
        <v/>
      </c>
      <c r="BA6">
        <f>IF($C6="",0,MAX(0,$AZ6+IF($P6=Y$3,$R6,0)+IF($S6=Y$3,$U6,0)-$Y6))</f>
        <v/>
      </c>
      <c r="BB6">
        <f>IF($C6="",0,MAX(0,$BA6+IF($P6=Z$3,$R6,0)+IF($S6=Z$3,$U6,0)-$Z6))</f>
        <v/>
      </c>
      <c r="BC6">
        <f>IF($C6="",0,MAX(0,$BB6+IF($P6=AA$3,$R6,0)+IF($S6=AA$3,$U6,0)-$AA6))</f>
        <v/>
      </c>
      <c r="BD6">
        <f>IF($C6="",0,MAX(0,$BC6+IF($P6=AB$3,$R6,0)+IF($S6=AB$3,$U6,0)-$AB6))</f>
        <v/>
      </c>
      <c r="BE6">
        <f>IF($C6="",0,MAX(0,$BD6+IF($P6=AC$3,$R6,0)+IF($S6=AC$3,$U6,0)-$AC6))</f>
        <v/>
      </c>
      <c r="BF6">
        <f>IF($C6="",0,MAX(0,$BE6+IF($P6=AD$3,$R6,0)+IF($S6=AD$3,$U6,0)-$AD6))</f>
        <v/>
      </c>
      <c r="BG6">
        <f>IF($C6="",0,MAX(0,$BF6+IF($P6=AE$3,$R6,0)+IF($S6=AE$3,$U6,0)-$AE6))</f>
        <v/>
      </c>
      <c r="BH6">
        <f>IF($C6="",0,MAX(0,$BG6+IF($P6=AF$3,$R6,0)+IF($S6=AF$3,$U6,0)-$AF6))</f>
        <v/>
      </c>
      <c r="BI6">
        <f>IF($C6="",0,MAX(0,$BH6+IF($P6=AG$3,$R6,0)+IF($S6=AG$3,$U6,0)-$AG6))</f>
        <v/>
      </c>
      <c r="BJ6">
        <f>IF($C6="",0,MAX(0,$BI6+IF($P6=AH$3,$R6,0)+IF($S6=AH$3,$U6,0)-$AH6))</f>
        <v/>
      </c>
      <c r="BK6">
        <f>IF($C6="",0,MAX(0,$BJ6+IF($P6=AI$3,$R6,0)+IF($S6=AI$3,$U6,0)-$AI6))</f>
        <v/>
      </c>
      <c r="BL6">
        <f>IF($C6="",99,IF(AND($AX6&lt;1,V$3&gt;=MAX(N($P6),N($S6))),0,99))</f>
        <v/>
      </c>
      <c r="BM6">
        <f>IF($C6="",99,IF(AND($AY6&lt;1,W$3&gt;=MAX(N($P6),N($S6))),1,99))</f>
        <v/>
      </c>
      <c r="BN6">
        <f>IF($C6="",99,IF(AND($AZ6&lt;1,X$3&gt;=MAX(N($P6),N($S6))),2,99))</f>
        <v/>
      </c>
      <c r="BO6">
        <f>IF($C6="",99,IF(AND($BA6&lt;1,Y$3&gt;=MAX(N($P6),N($S6))),3,99))</f>
        <v/>
      </c>
      <c r="BP6">
        <f>IF($C6="",99,IF(AND($BB6&lt;1,Z$3&gt;=MAX(N($P6),N($S6))),4,99))</f>
        <v/>
      </c>
      <c r="BQ6">
        <f>IF($C6="",99,IF(AND($BC6&lt;1,AA$3&gt;=MAX(N($P6),N($S6))),5,99))</f>
        <v/>
      </c>
      <c r="BR6">
        <f>IF($C6="",99,IF(AND($BD6&lt;1,AB$3&gt;=MAX(N($P6),N($S6))),6,99))</f>
        <v/>
      </c>
      <c r="BS6">
        <f>IF($C6="",99,IF(AND($BE6&lt;1,AC$3&gt;=MAX(N($P6),N($S6))),7,99))</f>
        <v/>
      </c>
      <c r="BT6">
        <f>IF($C6="",99,IF(AND($BF6&lt;1,AD$3&gt;=MAX(N($P6),N($S6))),8,99))</f>
        <v/>
      </c>
      <c r="BU6">
        <f>IF($C6="",99,IF(AND($BG6&lt;1,AE$3&gt;=MAX(N($P6),N($S6))),9,99))</f>
        <v/>
      </c>
      <c r="BV6">
        <f>IF($C6="",99,IF(AND($BH6&lt;1,AF$3&gt;=MAX(N($P6),N($S6))),10,99))</f>
        <v/>
      </c>
      <c r="BW6">
        <f>IF($C6="",99,IF(AND($BI6&lt;1,AG$3&gt;=MAX(N($P6),N($S6))),11,99))</f>
        <v/>
      </c>
      <c r="BX6">
        <f>IF($C6="",99,IF(AND($BJ6&lt;1,AH$3&gt;=MAX(N($P6),N($S6))),12,99))</f>
        <v/>
      </c>
      <c r="BY6">
        <f>IF($C6="",99,IF(AND($BK6&lt;1,AI$3&gt;=MAX(N($P6),N($S6))),13,99))</f>
        <v/>
      </c>
      <c r="BZ6">
        <f>IF(OR($C6="",$M6=""),"",COUNTIF($AJ6:$AW6,"&gt;=1"))</f>
        <v/>
      </c>
      <c r="CA6" s="90">
        <f>IF($BZ6="","",IF($BZ6&gt;=14,"",'設定'!$C$6+$BZ6))</f>
        <v/>
      </c>
      <c r="CB6">
        <f>IF(OR($C6="",$M6=""),"",MIN($BL6:$BY6))</f>
        <v/>
      </c>
      <c r="CC6" s="90">
        <f>IF($CB6="","",IF($CB6&gt;=99,"",'設定'!$C$6+$CB6))</f>
        <v/>
      </c>
      <c r="CD6">
        <f>IF(OR($C6="",$M6=""),"",AVERAGE($V6:$AI6))</f>
        <v/>
      </c>
      <c r="CE6">
        <f>IF($C6="","",IFERROR(IF(MATCH(IF(ISNUMBER($P6),$P6,'設定'!$C$6+N('設定'!$C$7)),$V$3:$AI$3,0)=1,MAX(0,N($L6)),INDEX($AJ6:$AW6,MATCH(IF(ISNUMBER($P6),$P6,'設定'!$C$6+N('設定'!$C$7)),$V$3:$AI$3,0)-1)),""))</f>
        <v/>
      </c>
      <c r="CF6">
        <f>IF(OR($C6="",$O6="",$CE6=""),"",IF($O6-$CE6&lt;=0,0,ROUNDUP(($O6-$CE6)/$G6,0)))</f>
        <v/>
      </c>
      <c r="CG6">
        <f>IF(OR($C6="",$CF6="",NOT(ISNUMBER($Q6))),0,MAX(0,$Q6-$CF6))</f>
        <v/>
      </c>
      <c r="CH6">
        <f>IF(OR($C6="",$O6="",$U6=0),0,IFERROR(ROUNDUP(MAX(0,IF(MATCH($S6,$V$3:$AI$3,0)=1,MAX(0,N($L6)),INDEX($AX6:$BK6,MATCH($S6,$V$3:$AI$3,0)-1))+$U6-$O6)/$G6,0),0))</f>
        <v/>
      </c>
      <c r="CI6">
        <f>IF($C6="","",IF(AND($P6="",$Q6=""),"",IF($P6="","⚠ 入庫日を ▼ から選んでください",IF(NOT(ISNUMBER($P6)),"⚠ 入庫日は ▼ から選んでください",IF($P6&lt;N('設定'!$C$6),"⚠ 入庫日が過去です（もう在庫に入っています）→ 消してください",IF($P6&gt;N('設定'!$C$6)+13,"⚠ 入庫日が14日より先です",IF(N($Q6)&lt;=0,"⚠ 入庫数を入れてください",IF($CG6&gt;0,"⚠ 目安より "&amp;$CG6&amp;" 多い（定数を超える）→ 減らす",""))))))))</f>
        <v/>
      </c>
      <c r="CJ6">
        <f>IF($C6="","",IF(AND($S6="",$T6=""),"",IF($S6="","⚠ 2便目：入庫日を ▼ から選んでください",IF(NOT(ISNUMBER($S6)),"⚠ 2便目：入庫日は ▼ から選んでください",IF($S6&lt;N('設定'!$C$6),"⚠ 2便目：入庫日が過去です（もう在庫に入っています）→ 消してください",IF($S6&gt;N('設定'!$C$6)+13,"⚠ 2便目：入庫日が14日より先です",IF(N($T6)&lt;=0,"⚠ 2便目：入庫数を入れてください",IF($CH6&gt;0,"⚠ 2便目：定数を "&amp;$CH6&amp;" ケース超える → 減らす",""))))))))</f>
        <v/>
      </c>
      <c r="CK6">
        <f>IF(AND($CI6="",N($Q6)&gt;0,ISNUMBER($P6)),1,0)</f>
        <v/>
      </c>
      <c r="CL6">
        <f>IF(AND($CJ6="",N($T6)&gt;0,ISNUMBER($S6)),1,0)</f>
        <v/>
      </c>
      <c r="CM6">
        <f>IF(OR($CK6=1,$CL6=1),1,0)</f>
        <v/>
      </c>
      <c r="CN6">
        <f>IF($C6="",0,($CK6*$R6+$CL6*$U6)*N($H6))</f>
        <v/>
      </c>
      <c r="CO6">
        <f>IF($C6="","",IF($CC6="","入庫後は 14日以上もつ",IF($CC6-N('設定'!$C$7)&lt;='設定'!$C$6,"入庫後も "&amp;TEXT($CC6,"m/d")&amp;"("&amp;CHOOSE(WEEKDAY($CC6),"日","月","火","水","木","金","土")&amp;")"&amp;" に切れる　もう1便を至急発注","入庫後も "&amp;TEXT($CC6,"m/d")&amp;"("&amp;CHOOSE(WEEKDAY($CC6),"日","月","火","水","木","金","土")&amp;")"&amp;" に切れる　"&amp;TEXT($CC6-N('設定'!$C$7),"m/d")&amp;"("&amp;CHOOSE(WEEKDAY($CC6-N('設定'!$C$7)),"日","月","火","水","木","金","土")&amp;")"&amp;" までに次を発注")))</f>
        <v/>
      </c>
      <c r="CP6">
        <f>IF($C6="","",IF('設定'!$C$6="","？ ①在庫を貼る に今日のCSVが貼られていない",IF($CS6=1,"－ 今日のCSVに無い（終売？）",IF($L6&lt;0,"● 在庫がマイナス　数えて「数えた在庫」に入れる",IF($L6=0,"● 在庫なし　至急発注",IF($M6="","？ 減り数が未設定（商品マスタ）",IF($B$3=0,"？ 動員が未入力（動員を入れる）",IF($CA6="","○ 14日以上もつ",IF($BZ6&lt;N('設定'!$C$7),"● "&amp;TEXT($CA6,"m/d")&amp;"("&amp;CHOOSE(WEEKDAY($CA6),"日","月","火","水","木","金","土")&amp;")"&amp;" に切れる　至急発注",IF($BZ6=N('設定'!$C$7),"● "&amp;TEXT($CA6,"m/d")&amp;"("&amp;CHOOSE(WEEKDAY($CA6),"日","月","火","水","木","金","土")&amp;")"&amp;" に切れる　今日発注","△ "&amp;TEXT($CA6,"m/d")&amp;"("&amp;CHOOSE(WEEKDAY($CA6),"日","月","火","水","木","金","土")&amp;")"&amp;" に切れる　"&amp;TEXT($CA6-N('設定'!$C$7),"m/d")&amp;"("&amp;CHOOSE(WEEKDAY($CA6-N('設定'!$C$7)),"日","月","火","水","木","金","土")&amp;")"&amp;" までに発注"))))))))))</f>
        <v/>
      </c>
      <c r="CQ6">
        <f>IF($C6="","",IF(AND($P6="",$Q6="",$S6="",$T6=""),"",IF(AND($P6="",$Q6=""),"⚠ 先に1便目（左の入庫日・入庫数）に入れてください",IF($CI6&lt;&gt;"",$CI6,IF($CJ6&lt;&gt;"",$CJ6,IF($M6="","？ 減り数が未設定（発注書には載ります）",IF($B$3=0,"？ 動員が未入力（発注書には載ります）",IF(AND($CA6&lt;&gt;"",$P6&gt;$CA6),IF($P6&gt;'設定'!$C$6+N('設定'!$C$7),"● "&amp;TEXT($P6,"m/d")&amp;"("&amp;CHOOSE(WEEKDAY($P6),"日","月","火","水","木","金","土")&amp;")"&amp;" の入庫では間に合わない（"&amp;TEXT($CA6,"m/d")&amp;"("&amp;CHOOSE(WEEKDAY($CA6),"日","月","火","水","木","金","土")&amp;")"&amp;" に切れる）　入庫日を早める","△ 欠品 "&amp;TEXT($CA6,"m/d")&amp;"("&amp;CHOOSE(WEEKDAY($CA6),"日","月","火","水","木","金","土")&amp;")"&amp;"〜"&amp;TEXT($P6-1,"m/d")&amp;"("&amp;CHOOSE(WEEKDAY($P6-1),"日","月","火","水","木","金","土")&amp;")"&amp;"　"&amp;$CO6),IF($CC6="","○ "&amp;TEXT($P6,"m/d")&amp;"("&amp;CHOOSE(WEEKDAY($P6),"日","月","火","水","木","金","土")&amp;")"&amp;" 入庫で 14日以上もつ",IF($CC6-N('設定'!$C$7)&lt;='設定'!$C$6,"● 入庫しても "&amp;TEXT($CC6,"m/d")&amp;"("&amp;CHOOSE(WEEKDAY($CC6),"日","月","火","水","木","金","土")&amp;")"&amp;" に切れる　もう1便を至急発注（2便目に入れる）","△ 入庫しても "&amp;TEXT($CC6,"m/d")&amp;"("&amp;CHOOSE(WEEKDAY($CC6),"日","月","火","水","木","金","土")&amp;")"&amp;" に切れる　"&amp;TEXT($CC6-N('設定'!$C$7),"m/d")&amp;"("&amp;CHOOSE(WEEKDAY($CC6-N('設定'!$C$7)),"日","月","火","水","木","金","土")&amp;")"&amp;" までに次を発注（2便目に入れる）"))))))))))</f>
        <v/>
      </c>
      <c r="CR6">
        <f>IF($C6="","",IF($G6&gt;1,"ｹｰｽ("&amp;$G6&amp;"入)","個"))</f>
        <v/>
      </c>
      <c r="CS6">
        <f>IF($C6="",0,IF(COUNTIFS('①在庫を貼る'!$V$6:$V$10005,'設定'!$C$4,'①在庫を貼る'!$W$6:$W$10005,$C6)=0,1,0))</f>
        <v/>
      </c>
      <c r="CT6">
        <f>IF(AND($CK6=1,OR('③発注書'!$C$4="すべて",'③発注書'!$C$4="",$F6='③発注書'!$C$4)),0+1,0)</f>
        <v/>
      </c>
      <c r="CU6">
        <f>IF(AND($CL6=1,OR('③発注書'!$C$4="すべて",'③発注書'!$C$4="",$F6='③発注書'!$C$4)),0+1,0)</f>
        <v/>
      </c>
      <c r="CV6">
        <f>IF($C6="",0,IF(COUNTIFS('①在庫を貼る'!$V$6:$V$10005,'設定'!$C$4,'①在庫を貼る'!$W$6:$W$10005,$C6)&gt;0,1,0))</f>
        <v/>
      </c>
      <c r="CW6">
        <f>IF($C6="",0,IF(COUNTIFS('月1回_1ヶ月前の在庫'!$V$6:$V$10005,'設定'!$C$4,'月1回_1ヶ月前の在庫'!$W$6:$W$10005,$C6)&gt;0,1,0))</f>
        <v/>
      </c>
      <c r="CX6">
        <f>IF($C6="",0,IF(COUNTIFS('月1回_2ヶ月前の在庫'!$V$6:$V$10005,'設定'!$C$4,'月1回_2ヶ月前の在庫'!$W$6:$W$10005,$C6)&gt;0,1,0))</f>
        <v/>
      </c>
      <c r="CY6">
        <f>IF(OR($C6="",'設定'!$C$12=""),"",IF('設定'!$C$13="",IF(AND($CV6=1,$CW6=0),"新商品（今月から）",IF(AND($CV6=0,$CW6=1),"終売（今月から）","")),IF(AND($CV6=1,$CW6=0,$CX6=0),"新商品（今月から）",IF(AND($CV6=1,$CW6=1,$CX6=0),"新商品（先月から）",IF(AND($CV6=0,$CW6=1,$CX6=1),"終売（今月から）",IF(AND($CV6=0,$CW6=0,$CX6=1),"終売（先月から）",IF(AND($CV6=1,$CW6=0,$CX6=1),"復活（先月は無し）","")))))))</f>
        <v/>
      </c>
    </row>
    <row r="7">
      <c r="B7">
        <f>IF(2&lt;='設定'!$C$11,2,"")</f>
        <v/>
      </c>
      <c r="C7">
        <f>IF($B7="","",IF($B7&lt;='設定'!$C$20,INDEX('商品マスタ'!$B$6:$B$1005,MATCH($B7,'商品マスタ'!$M$6:$M$1005,0)),IF($B7&lt;='設定'!$C$20+'設定'!$C$17,INDEX('①在庫を貼る'!$W$6:$W$10005,MATCH($B7-'設定'!$C$20,'①在庫を貼る'!$U$6:$U$10005,0)),IF($B7&lt;='設定'!$C$20+'設定'!$C$17+'設定'!$C$18,INDEX('月1回_1ヶ月前の在庫'!$W$6:$W$10005,MATCH($B7-'設定'!$C$20-'設定'!$C$17,'月1回_1ヶ月前の在庫'!$U$6:$U$10005,0)),INDEX('月1回_2ヶ月前の在庫'!$W$6:$W$10005,MATCH($B7-'設定'!$C$20-'設定'!$C$17-'設定'!$C$18,'月1回_2ヶ月前の在庫'!$U$6:$U$10005,0))))))</f>
        <v/>
      </c>
      <c r="D7">
        <f>IF($C7="","",IFERROR(IF(INDEX('商品マスタ'!$C$6:$C$1005,MATCH($C7,'商品マスタ'!$B$6:$B$1005,0))="",IFERROR(INDEX('①在庫を貼る'!$J$6:$J$10005,MATCH($C7,'①在庫を貼る'!$W$6:$W$10005,0)),IFERROR(INDEX('月1回_1ヶ月前の在庫'!$J$6:$J$10005,MATCH($C7,'月1回_1ヶ月前の在庫'!$W$6:$W$10005,0)),IFERROR(INDEX('月1回_2ヶ月前の在庫'!$J$6:$J$10005,MATCH($C7,'月1回_2ヶ月前の在庫'!$W$6:$W$10005,0)),""))),INDEX('商品マスタ'!$C$6:$C$1005,MATCH($C7,'商品マスタ'!$B$6:$B$1005,0))),IFERROR(INDEX('①在庫を貼る'!$J$6:$J$10005,MATCH($C7,'①在庫を貼る'!$W$6:$W$10005,0)),IFERROR(INDEX('月1回_1ヶ月前の在庫'!$J$6:$J$10005,MATCH($C7,'月1回_1ヶ月前の在庫'!$W$6:$W$10005,0)),IFERROR(INDEX('月1回_2ヶ月前の在庫'!$J$6:$J$10005,MATCH($C7,'月1回_2ヶ月前の在庫'!$W$6:$W$10005,0)),"")))))</f>
        <v/>
      </c>
      <c r="E7">
        <f>IF($C7="","",IFERROR(IF(INDEX('商品マスタ'!$D$6:$D$1005,MATCH($C7,'商品マスタ'!$B$6:$B$1005,0))="",IFERROR(INDEX('①在庫を貼る'!$H$6:$H$10005,MATCH($C7,'①在庫を貼る'!$W$6:$W$10005,0)),IFERROR(INDEX('月1回_1ヶ月前の在庫'!$H$6:$H$10005,MATCH($C7,'月1回_1ヶ月前の在庫'!$W$6:$W$10005,0)),IFERROR(INDEX('月1回_2ヶ月前の在庫'!$H$6:$H$10005,MATCH($C7,'月1回_2ヶ月前の在庫'!$W$6:$W$10005,0)),""))),INDEX('商品マスタ'!$D$6:$D$1005,MATCH($C7,'商品マスタ'!$B$6:$B$1005,0))),IFERROR(INDEX('①在庫を貼る'!$H$6:$H$10005,MATCH($C7,'①在庫を貼る'!$W$6:$W$10005,0)),IFERROR(INDEX('月1回_1ヶ月前の在庫'!$H$6:$H$10005,MATCH($C7,'月1回_1ヶ月前の在庫'!$W$6:$W$10005,0)),IFERROR(INDEX('月1回_2ヶ月前の在庫'!$H$6:$H$10005,MATCH($C7,'月1回_2ヶ月前の在庫'!$W$6:$W$10005,0)),"")))))</f>
        <v/>
      </c>
      <c r="F7">
        <f>IF($C7="","",IFERROR(IF(INDEX('商品マスタ'!$E$6:$E$1005,MATCH($C7,'商品マスタ'!$B$6:$B$1005,0))="",IFERROR(INDEX('①在庫を貼る'!$E$6:$E$10005,MATCH($C7,'①在庫を貼る'!$W$6:$W$10005,0)),IFERROR(INDEX('月1回_1ヶ月前の在庫'!$E$6:$E$10005,MATCH($C7,'月1回_1ヶ月前の在庫'!$W$6:$W$10005,0)),IFERROR(INDEX('月1回_2ヶ月前の在庫'!$E$6:$E$10005,MATCH($C7,'月1回_2ヶ月前の在庫'!$W$6:$W$10005,0)),""))),INDEX('商品マスタ'!$E$6:$E$1005,MATCH($C7,'商品マスタ'!$B$6:$B$1005,0))),IFERROR(INDEX('①在庫を貼る'!$E$6:$E$10005,MATCH($C7,'①在庫を貼る'!$W$6:$W$10005,0)),IFERROR(INDEX('月1回_1ヶ月前の在庫'!$E$6:$E$10005,MATCH($C7,'月1回_1ヶ月前の在庫'!$W$6:$W$10005,0)),IFERROR(INDEX('月1回_2ヶ月前の在庫'!$E$6:$E$10005,MATCH($C7,'月1回_2ヶ月前の在庫'!$W$6:$W$10005,0)),"")))))</f>
        <v/>
      </c>
      <c r="G7">
        <f>IF($C7="","",MAX(1,N(IFERROR(IF(INDEX('商品マスタ'!$F$6:$F$1005,MATCH($C7,'商品マスタ'!$B$6:$B$1005,0))="",IF(COUNTIFS('①在庫を貼る'!$V$6:$V$10005,'設定'!$C$4,'①在庫を貼る'!$W$6:$W$10005,$C7)&gt;0,SUMIFS('①在庫を貼る'!$K$6:$K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K$6:$K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K$6:$K$10005,'月1回_2ヶ月前の在庫'!$V$6:$V$10005,'設定'!$C$4,'月1回_2ヶ月前の在庫'!$W$6:$W$10005,$C7)/COUNTIFS('月1回_2ヶ月前の在庫'!$V$6:$V$10005,'設定'!$C$4,'月1回_2ヶ月前の在庫'!$W$6:$W$10005,$C7),0))),INDEX('商品マスタ'!$F$6:$F$1005,MATCH($C7,'商品マスタ'!$B$6:$B$1005,0))),IF(COUNTIFS('①在庫を貼る'!$V$6:$V$10005,'設定'!$C$4,'①在庫を貼る'!$W$6:$W$10005,$C7)&gt;0,SUMIFS('①在庫を貼る'!$K$6:$K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K$6:$K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K$6:$K$10005,'月1回_2ヶ月前の在庫'!$V$6:$V$10005,'設定'!$C$4,'月1回_2ヶ月前の在庫'!$W$6:$W$10005,$C7)/COUNTIFS('月1回_2ヶ月前の在庫'!$V$6:$V$10005,'設定'!$C$4,'月1回_2ヶ月前の在庫'!$W$6:$W$10005,$C7),0)))))))</f>
        <v/>
      </c>
      <c r="H7">
        <f>IF($C7="","",N(IFERROR(IF(INDEX('商品マスタ'!$G$6:$G$1005,MATCH($C7,'商品マスタ'!$B$6:$B$1005,0))="",IF(COUNTIFS('①在庫を貼る'!$V$6:$V$10005,'設定'!$C$4,'①在庫を貼る'!$W$6:$W$10005,$C7)&gt;0,SUMIFS('①在庫を貼る'!$Q$6:$Q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Q$6:$Q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Q$6:$Q$10005,'月1回_2ヶ月前の在庫'!$V$6:$V$10005,'設定'!$C$4,'月1回_2ヶ月前の在庫'!$W$6:$W$10005,$C7)/COUNTIFS('月1回_2ヶ月前の在庫'!$V$6:$V$10005,'設定'!$C$4,'月1回_2ヶ月前の在庫'!$W$6:$W$10005,$C7),0))),INDEX('商品マスタ'!$G$6:$G$1005,MATCH($C7,'商品マスタ'!$B$6:$B$1005,0))),IF(COUNTIFS('①在庫を貼る'!$V$6:$V$10005,'設定'!$C$4,'①在庫を貼る'!$W$6:$W$10005,$C7)&gt;0,SUMIFS('①在庫を貼る'!$Q$6:$Q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Q$6:$Q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Q$6:$Q$10005,'月1回_2ヶ月前の在庫'!$V$6:$V$10005,'設定'!$C$4,'月1回_2ヶ月前の在庫'!$W$6:$W$10005,$C7)/COUNTIFS('月1回_2ヶ月前の在庫'!$V$6:$V$10005,'設定'!$C$4,'月1回_2ヶ月前の在庫'!$W$6:$W$10005,$C7),0))))))</f>
        <v/>
      </c>
      <c r="I7">
        <f>IF($C7="","",IF(COUNTIFS('①在庫を貼る'!$V$6:$V$10005,'設定'!$C$4,'①在庫を貼る'!$W$6:$W$10005,$C7)=0,"",SUMIFS('①在庫を貼る'!$N$6:$N$10005,'①在庫を貼る'!$V$6:$V$10005,'設定'!$C$4,'①在庫を貼る'!$W$6:$W$10005,$C7)))</f>
        <v/>
      </c>
      <c r="J7">
        <f>IF($C7="","",IF('②発注する'!$AD11="","",'②発注する'!$AD11))</f>
        <v/>
      </c>
      <c r="K7" s="90">
        <f>IF($C7="","",IF('②発注する'!$AE11="","",'②発注する'!$AE11))</f>
        <v/>
      </c>
      <c r="L7">
        <f>IF($C7="","",IF(AND(ISNUMBER($J7),ISNUMBER($K7),$K7&gt;='設定'!$C$6),$J7,N($I7)))</f>
        <v/>
      </c>
      <c r="M7">
        <f>IF($C7="","",IFERROR(IF(N(INDEX('商品マスタ'!$J$6:$J$1005,MATCH($C7,'商品マスタ'!$B$6:$B$1005,0)))&gt;0,INDEX('商品マスタ'!$J$6:$J$1005,MATCH($C7,'商品マスタ'!$B$6:$B$1005,0)),""),""))</f>
        <v/>
      </c>
      <c r="N7">
        <f>IF($C7="","",IFERROR(IF(N(INDEX('商品マスタ'!$H$6:$H$1005,MATCH($C7,'商品マスタ'!$B$6:$B$1005,0)))&gt;0,INDEX('商品マスタ'!$H$6:$H$1005,MATCH($C7,'商品マスタ'!$B$6:$B$1005,0)),""),""))</f>
        <v/>
      </c>
      <c r="O7">
        <f>IF($C7="","",IF($N7&lt;&gt;"",$N7*$G7,IF(N(IF(COUNTIFS('①在庫を貼る'!$V$6:$V$10005,'設定'!$C$4,'①在庫を貼る'!$W$6:$W$10005,$C7)&gt;0,SUMIFS('①在庫を貼る'!$O$6:$O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O$6:$O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O$6:$O$10005,'月1回_2ヶ月前の在庫'!$V$6:$V$10005,'設定'!$C$4,'月1回_2ヶ月前の在庫'!$W$6:$W$10005,$C7)/COUNTIFS('月1回_2ヶ月前の在庫'!$V$6:$V$10005,'設定'!$C$4,'月1回_2ヶ月前の在庫'!$W$6:$W$10005,$C7),0))))&gt;0,N(IF(COUNTIFS('①在庫を貼る'!$V$6:$V$10005,'設定'!$C$4,'①在庫を貼る'!$W$6:$W$10005,$C7)&gt;0,SUMIFS('①在庫を貼る'!$O$6:$O$10005,'①在庫を貼る'!$V$6:$V$10005,'設定'!$C$4,'①在庫を貼る'!$W$6:$W$10005,$C7)/COUNTIFS('①在庫を貼る'!$V$6:$V$10005,'設定'!$C$4,'①在庫を貼る'!$W$6:$W$10005,$C7),IF(COUNTIFS('月1回_1ヶ月前の在庫'!$V$6:$V$10005,'設定'!$C$4,'月1回_1ヶ月前の在庫'!$W$6:$W$10005,$C7)&gt;0,SUMIFS('月1回_1ヶ月前の在庫'!$O$6:$O$10005,'月1回_1ヶ月前の在庫'!$V$6:$V$10005,'設定'!$C$4,'月1回_1ヶ月前の在庫'!$W$6:$W$10005,$C7)/COUNTIFS('月1回_1ヶ月前の在庫'!$V$6:$V$10005,'設定'!$C$4,'月1回_1ヶ月前の在庫'!$W$6:$W$10005,$C7),IF(COUNTIFS('月1回_2ヶ月前の在庫'!$V$6:$V$10005,'設定'!$C$4,'月1回_2ヶ月前の在庫'!$W$6:$W$10005,$C7)&gt;0,SUMIFS('月1回_2ヶ月前の在庫'!$O$6:$O$10005,'月1回_2ヶ月前の在庫'!$V$6:$V$10005,'設定'!$C$4,'月1回_2ヶ月前の在庫'!$W$6:$W$10005,$C7)/COUNTIFS('月1回_2ヶ月前の在庫'!$V$6:$V$10005,'設定'!$C$4,'月1回_2ヶ月前の在庫'!$W$6:$W$10005,$C7),0)))),"")))</f>
        <v/>
      </c>
      <c r="P7" s="90">
        <f>IF($C7="","",IF('②発注する'!$I11="","",'②発注する'!$I11))</f>
        <v/>
      </c>
      <c r="Q7">
        <f>IF($C7="","",IF('②発注する'!$J11="","",'②発注する'!$J11))</f>
        <v/>
      </c>
      <c r="R7">
        <f>IF($C7="",0,IF(AND(ISNUMBER($P7),ISNUMBER($Q7)),MAX(0,$Q7)*$G7,0))</f>
        <v/>
      </c>
      <c r="S7" s="90">
        <f>IF($C7="","",IF('②発注する'!$M11="","",'②発注する'!$M11))</f>
        <v/>
      </c>
      <c r="T7">
        <f>IF($C7="","",IF('②発注する'!$N11="","",'②発注する'!$N11))</f>
        <v/>
      </c>
      <c r="U7">
        <f>IF($C7="",0,IF(AND(ISNUMBER($S7),ISNUMBER($T7)),MAX(0,$T7)*$G7,0))</f>
        <v/>
      </c>
      <c r="V7">
        <f>IF($C7="",0,IF($M7="",0,MAX(0,$M7)*MAX(0,V$4)/100))</f>
        <v/>
      </c>
      <c r="W7">
        <f>IF($C7="",0,IF($M7="",0,MAX(0,$M7)*MAX(0,W$4)/100))</f>
        <v/>
      </c>
      <c r="X7">
        <f>IF($C7="",0,IF($M7="",0,MAX(0,$M7)*MAX(0,X$4)/100))</f>
        <v/>
      </c>
      <c r="Y7">
        <f>IF($C7="",0,IF($M7="",0,MAX(0,$M7)*MAX(0,Y$4)/100))</f>
        <v/>
      </c>
      <c r="Z7">
        <f>IF($C7="",0,IF($M7="",0,MAX(0,$M7)*MAX(0,Z$4)/100))</f>
        <v/>
      </c>
      <c r="AA7">
        <f>IF($C7="",0,IF($M7="",0,MAX(0,$M7)*MAX(0,AA$4)/100))</f>
        <v/>
      </c>
      <c r="AB7">
        <f>IF($C7="",0,IF($M7="",0,MAX(0,$M7)*MAX(0,AB$4)/100))</f>
        <v/>
      </c>
      <c r="AC7">
        <f>IF($C7="",0,IF($M7="",0,MAX(0,$M7)*MAX(0,AC$4)/100))</f>
        <v/>
      </c>
      <c r="AD7">
        <f>IF($C7="",0,IF($M7="",0,MAX(0,$M7)*MAX(0,AD$4)/100))</f>
        <v/>
      </c>
      <c r="AE7">
        <f>IF($C7="",0,IF($M7="",0,MAX(0,$M7)*MAX(0,AE$4)/100))</f>
        <v/>
      </c>
      <c r="AF7">
        <f>IF($C7="",0,IF($M7="",0,MAX(0,$M7)*MAX(0,AF$4)/100))</f>
        <v/>
      </c>
      <c r="AG7">
        <f>IF($C7="",0,IF($M7="",0,MAX(0,$M7)*MAX(0,AG$4)/100))</f>
        <v/>
      </c>
      <c r="AH7">
        <f>IF($C7="",0,IF($M7="",0,MAX(0,$M7)*MAX(0,AH$4)/100))</f>
        <v/>
      </c>
      <c r="AI7">
        <f>IF($C7="",0,IF($M7="",0,MAX(0,$M7)*MAX(0,AI$4)/100))</f>
        <v/>
      </c>
      <c r="AJ7">
        <f>IF($C7="",0,MAX(0,MAX(0,N($L7))-$V7))</f>
        <v/>
      </c>
      <c r="AK7">
        <f>IF($C7="",0,MAX(0,$AJ7-$W7))</f>
        <v/>
      </c>
      <c r="AL7">
        <f>IF($C7="",0,MAX(0,$AK7-$X7))</f>
        <v/>
      </c>
      <c r="AM7">
        <f>IF($C7="",0,MAX(0,$AL7-$Y7))</f>
        <v/>
      </c>
      <c r="AN7">
        <f>IF($C7="",0,MAX(0,$AM7-$Z7))</f>
        <v/>
      </c>
      <c r="AO7">
        <f>IF($C7="",0,MAX(0,$AN7-$AA7))</f>
        <v/>
      </c>
      <c r="AP7">
        <f>IF($C7="",0,MAX(0,$AO7-$AB7))</f>
        <v/>
      </c>
      <c r="AQ7">
        <f>IF($C7="",0,MAX(0,$AP7-$AC7))</f>
        <v/>
      </c>
      <c r="AR7">
        <f>IF($C7="",0,MAX(0,$AQ7-$AD7))</f>
        <v/>
      </c>
      <c r="AS7">
        <f>IF($C7="",0,MAX(0,$AR7-$AE7))</f>
        <v/>
      </c>
      <c r="AT7">
        <f>IF($C7="",0,MAX(0,$AS7-$AF7))</f>
        <v/>
      </c>
      <c r="AU7">
        <f>IF($C7="",0,MAX(0,$AT7-$AG7))</f>
        <v/>
      </c>
      <c r="AV7">
        <f>IF($C7="",0,MAX(0,$AU7-$AH7))</f>
        <v/>
      </c>
      <c r="AW7">
        <f>IF($C7="",0,MAX(0,$AV7-$AI7))</f>
        <v/>
      </c>
      <c r="AX7">
        <f>IF($C7="",0,MAX(0,MAX(0,N($L7))+IF($P7=V$3,$R7,0)+IF($S7=V$3,$U7,0)-$V7))</f>
        <v/>
      </c>
      <c r="AY7">
        <f>IF($C7="",0,MAX(0,$AX7+IF($P7=W$3,$R7,0)+IF($S7=W$3,$U7,0)-$W7))</f>
        <v/>
      </c>
      <c r="AZ7">
        <f>IF($C7="",0,MAX(0,$AY7+IF($P7=X$3,$R7,0)+IF($S7=X$3,$U7,0)-$X7))</f>
        <v/>
      </c>
      <c r="BA7">
        <f>IF($C7="",0,MAX(0,$AZ7+IF($P7=Y$3,$R7,0)+IF($S7=Y$3,$U7,0)-$Y7))</f>
        <v/>
      </c>
      <c r="BB7">
        <f>IF($C7="",0,MAX(0,$BA7+IF($P7=Z$3,$R7,0)+IF($S7=Z$3,$U7,0)-$Z7))</f>
        <v/>
      </c>
      <c r="BC7">
        <f>IF($C7="",0,MAX(0,$BB7+IF($P7=AA$3,$R7,0)+IF($S7=AA$3,$U7,0)-$AA7))</f>
        <v/>
      </c>
      <c r="BD7">
        <f>IF($C7="",0,MAX(0,$BC7+IF($P7=AB$3,$R7,0)+IF($S7=AB$3,$U7,0)-$AB7))</f>
        <v/>
      </c>
      <c r="BE7">
        <f>IF($C7="",0,MAX(0,$BD7+IF($P7=AC$3,$R7,0)+IF($S7=AC$3,$U7,0)-$AC7))</f>
        <v/>
      </c>
      <c r="BF7">
        <f>IF($C7="",0,MAX(0,$BE7+IF($P7=AD$3,$R7,0)+IF($S7=AD$3,$U7,0)-$AD7))</f>
        <v/>
      </c>
      <c r="BG7">
        <f>IF($C7="",0,MAX(0,$BF7+IF($P7=AE$3,$R7,0)+IF($S7=AE$3,$U7,0)-$AE7))</f>
        <v/>
      </c>
      <c r="BH7">
        <f>IF($C7="",0,MAX(0,$BG7+IF($P7=AF$3,$R7,0)+IF($S7=AF$3,$U7,0)-$AF7))</f>
        <v/>
      </c>
      <c r="BI7">
        <f>IF($C7="",0,MAX(0,$BH7+IF($P7=AG$3,$R7,0)+IF($S7=AG$3,$U7,0)-$AG7))</f>
        <v/>
      </c>
      <c r="BJ7">
        <f>IF($C7="",0,MAX(0,$BI7+IF($P7=AH$3,$R7,0)+IF($S7=AH$3,$U7,0)-$AH7))</f>
        <v/>
      </c>
      <c r="BK7">
        <f>IF($C7="",0,MAX(0,$BJ7+IF($P7=AI$3,$R7,0)+IF($S7=AI$3,$U7,0)-$AI7))</f>
        <v/>
      </c>
      <c r="BL7">
        <f>IF($C7="",99,IF(AND($AX7&lt;1,V$3&gt;=MAX(N($P7),N($S7))),0,99))</f>
        <v/>
      </c>
      <c r="BM7">
        <f>IF($C7="",99,IF(AND($AY7&lt;1,W$3&gt;=MAX(N($P7),N($S7))),1,99))</f>
        <v/>
      </c>
      <c r="BN7">
        <f>IF($C7="",99,IF(AND($AZ7&lt;1,X$3&gt;=MAX(N($P7),N($S7))),2,99))</f>
        <v/>
      </c>
      <c r="BO7">
        <f>IF($C7="",99,IF(AND($BA7&lt;1,Y$3&gt;=MAX(N($P7),N($S7))),3,99))</f>
        <v/>
      </c>
      <c r="BP7">
        <f>IF($C7="",99,IF(AND($BB7&lt;1,Z$3&gt;=MAX(N($P7),N($S7))),4,99))</f>
        <v/>
      </c>
      <c r="BQ7">
        <f>IF($C7="",99,IF(AND($BC7&lt;1,AA$3&gt;=MAX(N($P7),N($S7))),5,99))</f>
        <v/>
      </c>
      <c r="BR7">
        <f>IF($C7="",99,IF(AND($BD7&lt;1,AB$3&gt;=MAX(N($P7),N($S7))),6,99))</f>
        <v/>
      </c>
      <c r="BS7">
        <f>IF($C7="",99,IF(AND($BE7&lt;1,AC$3&gt;=MAX(N($P7),N($S7))),7,99))</f>
        <v/>
      </c>
      <c r="BT7">
        <f>IF($C7="",99,IF(AND($BF7&lt;1,AD$3&gt;=MAX(N($P7),N($S7))),8,99))</f>
        <v/>
      </c>
      <c r="BU7">
        <f>IF($C7="",99,IF(AND($BG7&lt;1,AE$3&gt;=MAX(N($P7),N($S7))),9,99))</f>
        <v/>
      </c>
      <c r="BV7">
        <f>IF($C7="",99,IF(AND($BH7&lt;1,AF$3&gt;=MAX(N($P7),N($S7))),10,99))</f>
        <v/>
      </c>
      <c r="BW7">
        <f>IF($C7="",99,IF(AND($BI7&lt;1,AG$3&gt;=MAX(N($P7),N($S7))),11,99))</f>
        <v/>
      </c>
      <c r="BX7">
        <f>IF($C7="",99,IF(AND($BJ7&lt;1,AH$3&gt;=MAX(N($P7),N($S7))),12,99))</f>
        <v/>
      </c>
      <c r="BY7">
        <f>IF($C7="",99,IF(AND($BK7&lt;1,AI$3&gt;=MAX(N($P7),N($S7))),13,99))</f>
        <v/>
      </c>
      <c r="BZ7">
        <f>IF(OR($C7="",$M7=""),"",COUNTIF($AJ7:$AW7,"&gt;=1"))</f>
        <v/>
      </c>
      <c r="CA7" s="90">
        <f>IF($BZ7="","",IF($BZ7&gt;=14,"",'設定'!$C$6+$BZ7))</f>
        <v/>
      </c>
      <c r="CB7">
        <f>IF(OR($C7="",$M7=""),"",MIN($BL7:$BY7))</f>
        <v/>
      </c>
      <c r="CC7" s="90">
        <f>IF($CB7="","",IF($CB7&gt;=99,"",'設定'!$C$6+$CB7))</f>
        <v/>
      </c>
      <c r="CD7">
        <f>IF(OR($C7="",$M7=""),"",AVERAGE($V7:$AI7))</f>
        <v/>
      </c>
      <c r="CE7">
        <f>IF($C7="","",IFERROR(IF(MATCH(IF(ISNUMBER($P7),$P7,'設定'!$C$6+N('設定'!$C$7)),$V$3:$AI$3,0)=1,MAX(0,N($L7)),INDEX($AJ7:$AW7,MATCH(IF(ISNUMBER($P7),$P7,'設定'!$C$6+N('設定'!$C$7)),$V$3:$AI$3,0)-1)),""))</f>
        <v/>
      </c>
      <c r="CF7">
        <f>IF(OR($C7="",$O7="",$CE7=""),"",IF($O7-$CE7&lt;=0,0,ROUNDUP(($O7-$CE7)/$G7,0)))</f>
        <v/>
      </c>
      <c r="CG7">
        <f>IF(OR($C7="",$CF7="",NOT(ISNUMBER($Q7))),0,MAX(0,$Q7-$CF7))</f>
        <v/>
      </c>
      <c r="CH7">
        <f>IF(OR($C7="",$O7="",$U7=0),0,IFERROR(ROUNDUP(MAX(0,IF(MATCH($S7,$V$3:$AI$3,0)=1,MAX(0,N($L7)),INDEX($AX7:$BK7,MATCH($S7,$V$3:$AI$3,0)-1))+$U7-$O7)/$G7,0),0))</f>
        <v/>
      </c>
      <c r="CI7">
        <f>IF($C7="","",IF(AND($P7="",$Q7=""),"",IF($P7="","⚠ 入庫日を ▼ から選んでください",IF(NOT(ISNUMBER($P7)),"⚠ 入庫日は ▼ から選んでください",IF($P7&lt;N('設定'!$C$6),"⚠ 入庫日が過去です（もう在庫に入っています）→ 消してください",IF($P7&gt;N('設定'!$C$6)+13,"⚠ 入庫日が14日より先です",IF(N($Q7)&lt;=0,"⚠ 入庫数を入れてください",IF($CG7&gt;0,"⚠ 目安より "&amp;$CG7&amp;" 多い（定数を超える）→ 減らす",""))))))))</f>
        <v/>
      </c>
      <c r="CJ7">
        <f>IF($C7="","",IF(AND($S7="",$T7=""),"",IF($S7="","⚠ 2便目：入庫日を ▼ から選んでください",IF(NOT(ISNUMBER($S7)),"⚠ 2便目：入庫日は ▼ から選んでください",IF($S7&lt;N('設定'!$C$6),"⚠ 2便目：入庫日が過去です（もう在庫に入っています）→ 消してください",IF($S7&gt;N('設定'!$C$6)+13,"⚠ 2便目：入庫日が14日より先です",IF(N($T7)&lt;=0,"⚠ 2便目：入庫数を入れてください",IF($CH7&gt;0,"⚠ 2便目：定数を "&amp;$CH7&amp;" ケース超える → 減らす",""))))))))</f>
        <v/>
      </c>
      <c r="CK7">
        <f>IF(AND($CI7="",N($Q7)&gt;0,ISNUMBER($P7)),1,0)</f>
        <v/>
      </c>
      <c r="CL7">
        <f>IF(AND($CJ7="",N($T7)&gt;0,ISNUMBER($S7)),1,0)</f>
        <v/>
      </c>
      <c r="CM7">
        <f>IF(OR($CK7=1,$CL7=1),1,0)</f>
        <v/>
      </c>
      <c r="CN7">
        <f>IF($C7="",0,($CK7*$R7+$CL7*$U7)*N($H7))</f>
        <v/>
      </c>
      <c r="CO7">
        <f>IF($C7="","",IF($CC7="","入庫後は 14日以上もつ",IF($CC7-N('設定'!$C$7)&lt;='設定'!$C$6,"入庫後も "&amp;TEXT($CC7,"m/d")&amp;"("&amp;CHOOSE(WEEKDAY($CC7),"日","月","火","水","木","金","土")&amp;")"&amp;" に切れる　もう1便を至急発注","入庫後も "&amp;TEXT($CC7,"m/d")&amp;"("&amp;CHOOSE(WEEKDAY($CC7),"日","月","火","水","木","金","土")&amp;")"&amp;" に切れる　"&amp;TEXT($CC7-N('設定'!$C$7),"m/d")&amp;"("&amp;CHOOSE(WEEKDAY($CC7-N('設定'!$C$7)),"日","月","火","水","木","金","土")&amp;")"&amp;" までに次を発注")))</f>
        <v/>
      </c>
      <c r="CP7">
        <f>IF($C7="","",IF('設定'!$C$6="","？ ①在庫を貼る に今日のCSVが貼られていない",IF($CS7=1,"－ 今日のCSVに無い（終売？）",IF($L7&lt;0,"● 在庫がマイナス　数えて「数えた在庫」に入れる",IF($L7=0,"● 在庫なし　至急発注",IF($M7="","？ 減り数が未設定（商品マスタ）",IF($B$3=0,"？ 動員が未入力（動員を入れる）",IF($CA7="","○ 14日以上もつ",IF($BZ7&lt;N('設定'!$C$7),"● "&amp;TEXT($CA7,"m/d")&amp;"("&amp;CHOOSE(WEEKDAY($CA7),"日","月","火","水","木","金","土")&amp;")"&amp;" に切れる　至急発注",IF($BZ7=N('設定'!$C$7),"● "&amp;TEXT($CA7,"m/d")&amp;"("&amp;CHOOSE(WEEKDAY($CA7),"日","月","火","水","木","金","土")&amp;")"&amp;" に切れる　今日発注","△ "&amp;TEXT($CA7,"m/d")&amp;"("&amp;CHOOSE(WEEKDAY($CA7),"日","月","火","水","木","金","土")&amp;")"&amp;" に切れる　"&amp;TEXT($CA7-N('設定'!$C$7),"m/d")&amp;"("&amp;CHOOSE(WEEKDAY($CA7-N('設定'!$C$7)),"日","月","火","水","木","金","土")&amp;")"&amp;" までに発注"))))))))))</f>
        <v/>
      </c>
      <c r="CQ7">
        <f>IF($C7="","",IF(AND($P7="",$Q7="",$S7="",$T7=""),"",IF(AND($P7="",$Q7=""),"⚠ 先に1便目（左の入庫日・入庫数）に入れてください",IF($CI7&lt;&gt;"",$CI7,IF($CJ7&lt;&gt;"",$CJ7,IF($M7="","？ 減り数が未設定（発注書には載ります）",IF($B$3=0,"？ 動員が未入力（発注書には載ります）",IF(AND($CA7&lt;&gt;"",$P7&gt;$CA7),IF($P7&gt;'設定'!$C$6+N('設定'!$C$7),"● "&amp;TEXT($P7,"m/d")&amp;"("&amp;CHOOSE(WEEKDAY($P7),"日","月","火","水","木","金","土")&amp;")"&amp;" の入庫では間に合わない（"&amp;TEXT($CA7,"m/d")&amp;"("&amp;CHOOSE(WEEKDAY($CA7),"日","月","火","水","木","金","土")&amp;")"&amp;" に切れる）　入庫日を早める","△ 欠品 "&amp;TEXT($CA7,"m/d")&amp;"("&amp;CHOOSE(WEEKDAY($CA7),"日","月","火","水","木","金","土")&amp;")"&amp;"〜"&amp;TEXT($P7-1,"m/d")&amp;"("&amp;CHOOSE(WEEKDAY($P7-1),"日","月","火","水","木","金","土")&amp;")"&amp;"　"&amp;$CO7),IF($CC7="","○ "&amp;TEXT($P7,"m/d")&amp;"("&amp;CHOOSE(WEEKDAY($P7),"日","月","火","水","木","金","土")&amp;")"&amp;" 入庫で 14日以上もつ",IF($CC7-N('設定'!$C$7)&lt;='設定'!$C$6,"● 入庫しても "&amp;TEXT($CC7,"m/d")&amp;"("&amp;CHOOSE(WEEKDAY($CC7),"日","月","火","水","木","金","土")&amp;")"&amp;" に切れる　もう1便を至急発注（2便目に入れる）","△ 入庫しても "&amp;TEXT($CC7,"m/d")&amp;"("&amp;CHOOSE(WEEKDAY($CC7),"日","月","火","水","木","金","土")&amp;")"&amp;" に切れる　"&amp;TEXT($CC7-N('設定'!$C$7),"m/d")&amp;"("&amp;CHOOSE(WEEKDAY($CC7-N('設定'!$C$7)),"日","月","火","水","木","金","土")&amp;")"&amp;" までに次を発注（2便目に入れる）"))))))))))</f>
        <v/>
      </c>
      <c r="CR7">
        <f>IF($C7="","",IF($G7&gt;1,"ｹｰｽ("&amp;$G7&amp;"入)","個"))</f>
        <v/>
      </c>
      <c r="CS7">
        <f>IF($C7="",0,IF(COUNTIFS('①在庫を貼る'!$V$6:$V$10005,'設定'!$C$4,'①在庫を貼る'!$W$6:$W$10005,$C7)=0,1,0))</f>
        <v/>
      </c>
      <c r="CT7">
        <f>IF(AND($CK7=1,OR('③発注書'!$C$4="すべて",'③発注書'!$C$4="",$F7='③発注書'!$C$4)),N($CT6)+1,N($CT6))</f>
        <v/>
      </c>
      <c r="CU7">
        <f>IF(AND($CL7=1,OR('③発注書'!$C$4="すべて",'③発注書'!$C$4="",$F7='③発注書'!$C$4)),N($CU6)+1,N($CU6))</f>
        <v/>
      </c>
      <c r="CV7">
        <f>IF($C7="",0,IF(COUNTIFS('①在庫を貼る'!$V$6:$V$10005,'設定'!$C$4,'①在庫を貼る'!$W$6:$W$10005,$C7)&gt;0,1,0))</f>
        <v/>
      </c>
      <c r="CW7">
        <f>IF($C7="",0,IF(COUNTIFS('月1回_1ヶ月前の在庫'!$V$6:$V$10005,'設定'!$C$4,'月1回_1ヶ月前の在庫'!$W$6:$W$10005,$C7)&gt;0,1,0))</f>
        <v/>
      </c>
      <c r="CX7">
        <f>IF($C7="",0,IF(COUNTIFS('月1回_2ヶ月前の在庫'!$V$6:$V$10005,'設定'!$C$4,'月1回_2ヶ月前の在庫'!$W$6:$W$10005,$C7)&gt;0,1,0))</f>
        <v/>
      </c>
      <c r="CY7">
        <f>IF(OR($C7="",'設定'!$C$12=""),"",IF('設定'!$C$13="",IF(AND($CV7=1,$CW7=0),"新商品（今月から）",IF(AND($CV7=0,$CW7=1),"終売（今月から）","")),IF(AND($CV7=1,$CW7=0,$CX7=0),"新商品（今月から）",IF(AND($CV7=1,$CW7=1,$CX7=0),"新商品（先月から）",IF(AND($CV7=0,$CW7=1,$CX7=1),"終売（今月から）",IF(AND($CV7=0,$CW7=0,$CX7=1),"終売（先月から）",IF(AND($CV7=1,$CW7=0,$CX7=1),"復活（先月は無し）","")))))))</f>
        <v/>
      </c>
    </row>
    <row r="8">
      <c r="B8">
        <f>IF(3&lt;='設定'!$C$11,3,"")</f>
        <v/>
      </c>
      <c r="C8">
        <f>IF($B8="","",IF($B8&lt;='設定'!$C$20,INDEX('商品マスタ'!$B$6:$B$1005,MATCH($B8,'商品マスタ'!$M$6:$M$1005,0)),IF($B8&lt;='設定'!$C$20+'設定'!$C$17,INDEX('①在庫を貼る'!$W$6:$W$10005,MATCH($B8-'設定'!$C$20,'①在庫を貼る'!$U$6:$U$10005,0)),IF($B8&lt;='設定'!$C$20+'設定'!$C$17+'設定'!$C$18,INDEX('月1回_1ヶ月前の在庫'!$W$6:$W$10005,MATCH($B8-'設定'!$C$20-'設定'!$C$17,'月1回_1ヶ月前の在庫'!$U$6:$U$10005,0)),INDEX('月1回_2ヶ月前の在庫'!$W$6:$W$10005,MATCH($B8-'設定'!$C$20-'設定'!$C$17-'設定'!$C$18,'月1回_2ヶ月前の在庫'!$U$6:$U$10005,0))))))</f>
        <v/>
      </c>
      <c r="D8">
        <f>IF($C8="","",IFERROR(IF(INDEX('商品マスタ'!$C$6:$C$1005,MATCH($C8,'商品マスタ'!$B$6:$B$1005,0))="",IFERROR(INDEX('①在庫を貼る'!$J$6:$J$10005,MATCH($C8,'①在庫を貼る'!$W$6:$W$10005,0)),IFERROR(INDEX('月1回_1ヶ月前の在庫'!$J$6:$J$10005,MATCH($C8,'月1回_1ヶ月前の在庫'!$W$6:$W$10005,0)),IFERROR(INDEX('月1回_2ヶ月前の在庫'!$J$6:$J$10005,MATCH($C8,'月1回_2ヶ月前の在庫'!$W$6:$W$10005,0)),""))),INDEX('商品マスタ'!$C$6:$C$1005,MATCH($C8,'商品マスタ'!$B$6:$B$1005,0))),IFERROR(INDEX('①在庫を貼る'!$J$6:$J$10005,MATCH($C8,'①在庫を貼る'!$W$6:$W$10005,0)),IFERROR(INDEX('月1回_1ヶ月前の在庫'!$J$6:$J$10005,MATCH($C8,'月1回_1ヶ月前の在庫'!$W$6:$W$10005,0)),IFERROR(INDEX('月1回_2ヶ月前の在庫'!$J$6:$J$10005,MATCH($C8,'月1回_2ヶ月前の在庫'!$W$6:$W$10005,0)),"")))))</f>
        <v/>
      </c>
      <c r="E8">
        <f>IF($C8="","",IFERROR(IF(INDEX('商品マスタ'!$D$6:$D$1005,MATCH($C8,'商品マスタ'!$B$6:$B$1005,0))="",IFERROR(INDEX('①在庫を貼る'!$H$6:$H$10005,MATCH($C8,'①在庫を貼る'!$W$6:$W$10005,0)),IFERROR(INDEX('月1回_1ヶ月前の在庫'!$H$6:$H$10005,MATCH($C8,'月1回_1ヶ月前の在庫'!$W$6:$W$10005,0)),IFERROR(INDEX('月1回_2ヶ月前の在庫'!$H$6:$H$10005,MATCH($C8,'月1回_2ヶ月前の在庫'!$W$6:$W$10005,0)),""))),INDEX('商品マスタ'!$D$6:$D$1005,MATCH($C8,'商品マスタ'!$B$6:$B$1005,0))),IFERROR(INDEX('①在庫を貼る'!$H$6:$H$10005,MATCH($C8,'①在庫を貼る'!$W$6:$W$10005,0)),IFERROR(INDEX('月1回_1ヶ月前の在庫'!$H$6:$H$10005,MATCH($C8,'月1回_1ヶ月前の在庫'!$W$6:$W$10005,0)),IFERROR(INDEX('月1回_2ヶ月前の在庫'!$H$6:$H$10005,MATCH($C8,'月1回_2ヶ月前の在庫'!$W$6:$W$10005,0)),"")))))</f>
        <v/>
      </c>
      <c r="F8">
        <f>IF($C8="","",IFERROR(IF(INDEX('商品マスタ'!$E$6:$E$1005,MATCH($C8,'商品マスタ'!$B$6:$B$1005,0))="",IFERROR(INDEX('①在庫を貼る'!$E$6:$E$10005,MATCH($C8,'①在庫を貼る'!$W$6:$W$10005,0)),IFERROR(INDEX('月1回_1ヶ月前の在庫'!$E$6:$E$10005,MATCH($C8,'月1回_1ヶ月前の在庫'!$W$6:$W$10005,0)),IFERROR(INDEX('月1回_2ヶ月前の在庫'!$E$6:$E$10005,MATCH($C8,'月1回_2ヶ月前の在庫'!$W$6:$W$10005,0)),""))),INDEX('商品マスタ'!$E$6:$E$1005,MATCH($C8,'商品マスタ'!$B$6:$B$1005,0))),IFERROR(INDEX('①在庫を貼る'!$E$6:$E$10005,MATCH($C8,'①在庫を貼る'!$W$6:$W$10005,0)),IFERROR(INDEX('月1回_1ヶ月前の在庫'!$E$6:$E$10005,MATCH($C8,'月1回_1ヶ月前の在庫'!$W$6:$W$10005,0)),IFERROR(INDEX('月1回_2ヶ月前の在庫'!$E$6:$E$10005,MATCH($C8,'月1回_2ヶ月前の在庫'!$W$6:$W$10005,0)),"")))))</f>
        <v/>
      </c>
      <c r="G8">
        <f>IF($C8="","",MAX(1,N(IFERROR(IF(INDEX('商品マスタ'!$F$6:$F$1005,MATCH($C8,'商品マスタ'!$B$6:$B$1005,0))="",IF(COUNTIFS('①在庫を貼る'!$V$6:$V$10005,'設定'!$C$4,'①在庫を貼る'!$W$6:$W$10005,$C8)&gt;0,SUMIFS('①在庫を貼る'!$K$6:$K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K$6:$K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K$6:$K$10005,'月1回_2ヶ月前の在庫'!$V$6:$V$10005,'設定'!$C$4,'月1回_2ヶ月前の在庫'!$W$6:$W$10005,$C8)/COUNTIFS('月1回_2ヶ月前の在庫'!$V$6:$V$10005,'設定'!$C$4,'月1回_2ヶ月前の在庫'!$W$6:$W$10005,$C8),0))),INDEX('商品マスタ'!$F$6:$F$1005,MATCH($C8,'商品マスタ'!$B$6:$B$1005,0))),IF(COUNTIFS('①在庫を貼る'!$V$6:$V$10005,'設定'!$C$4,'①在庫を貼る'!$W$6:$W$10005,$C8)&gt;0,SUMIFS('①在庫を貼る'!$K$6:$K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K$6:$K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K$6:$K$10005,'月1回_2ヶ月前の在庫'!$V$6:$V$10005,'設定'!$C$4,'月1回_2ヶ月前の在庫'!$W$6:$W$10005,$C8)/COUNTIFS('月1回_2ヶ月前の在庫'!$V$6:$V$10005,'設定'!$C$4,'月1回_2ヶ月前の在庫'!$W$6:$W$10005,$C8),0)))))))</f>
        <v/>
      </c>
      <c r="H8">
        <f>IF($C8="","",N(IFERROR(IF(INDEX('商品マスタ'!$G$6:$G$1005,MATCH($C8,'商品マスタ'!$B$6:$B$1005,0))="",IF(COUNTIFS('①在庫を貼る'!$V$6:$V$10005,'設定'!$C$4,'①在庫を貼る'!$W$6:$W$10005,$C8)&gt;0,SUMIFS('①在庫を貼る'!$Q$6:$Q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Q$6:$Q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Q$6:$Q$10005,'月1回_2ヶ月前の在庫'!$V$6:$V$10005,'設定'!$C$4,'月1回_2ヶ月前の在庫'!$W$6:$W$10005,$C8)/COUNTIFS('月1回_2ヶ月前の在庫'!$V$6:$V$10005,'設定'!$C$4,'月1回_2ヶ月前の在庫'!$W$6:$W$10005,$C8),0))),INDEX('商品マスタ'!$G$6:$G$1005,MATCH($C8,'商品マスタ'!$B$6:$B$1005,0))),IF(COUNTIFS('①在庫を貼る'!$V$6:$V$10005,'設定'!$C$4,'①在庫を貼る'!$W$6:$W$10005,$C8)&gt;0,SUMIFS('①在庫を貼る'!$Q$6:$Q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Q$6:$Q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Q$6:$Q$10005,'月1回_2ヶ月前の在庫'!$V$6:$V$10005,'設定'!$C$4,'月1回_2ヶ月前の在庫'!$W$6:$W$10005,$C8)/COUNTIFS('月1回_2ヶ月前の在庫'!$V$6:$V$10005,'設定'!$C$4,'月1回_2ヶ月前の在庫'!$W$6:$W$10005,$C8),0))))))</f>
        <v/>
      </c>
      <c r="I8">
        <f>IF($C8="","",IF(COUNTIFS('①在庫を貼る'!$V$6:$V$10005,'設定'!$C$4,'①在庫を貼る'!$W$6:$W$10005,$C8)=0,"",SUMIFS('①在庫を貼る'!$N$6:$N$10005,'①在庫を貼る'!$V$6:$V$10005,'設定'!$C$4,'①在庫を貼る'!$W$6:$W$10005,$C8)))</f>
        <v/>
      </c>
      <c r="J8">
        <f>IF($C8="","",IF('②発注する'!$AD12="","",'②発注する'!$AD12))</f>
        <v/>
      </c>
      <c r="K8" s="90">
        <f>IF($C8="","",IF('②発注する'!$AE12="","",'②発注する'!$AE12))</f>
        <v/>
      </c>
      <c r="L8">
        <f>IF($C8="","",IF(AND(ISNUMBER($J8),ISNUMBER($K8),$K8&gt;='設定'!$C$6),$J8,N($I8)))</f>
        <v/>
      </c>
      <c r="M8">
        <f>IF($C8="","",IFERROR(IF(N(INDEX('商品マスタ'!$J$6:$J$1005,MATCH($C8,'商品マスタ'!$B$6:$B$1005,0)))&gt;0,INDEX('商品マスタ'!$J$6:$J$1005,MATCH($C8,'商品マスタ'!$B$6:$B$1005,0)),""),""))</f>
        <v/>
      </c>
      <c r="N8">
        <f>IF($C8="","",IFERROR(IF(N(INDEX('商品マスタ'!$H$6:$H$1005,MATCH($C8,'商品マスタ'!$B$6:$B$1005,0)))&gt;0,INDEX('商品マスタ'!$H$6:$H$1005,MATCH($C8,'商品マスタ'!$B$6:$B$1005,0)),""),""))</f>
        <v/>
      </c>
      <c r="O8">
        <f>IF($C8="","",IF($N8&lt;&gt;"",$N8*$G8,IF(N(IF(COUNTIFS('①在庫を貼る'!$V$6:$V$10005,'設定'!$C$4,'①在庫を貼る'!$W$6:$W$10005,$C8)&gt;0,SUMIFS('①在庫を貼る'!$O$6:$O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O$6:$O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O$6:$O$10005,'月1回_2ヶ月前の在庫'!$V$6:$V$10005,'設定'!$C$4,'月1回_2ヶ月前の在庫'!$W$6:$W$10005,$C8)/COUNTIFS('月1回_2ヶ月前の在庫'!$V$6:$V$10005,'設定'!$C$4,'月1回_2ヶ月前の在庫'!$W$6:$W$10005,$C8),0))))&gt;0,N(IF(COUNTIFS('①在庫を貼る'!$V$6:$V$10005,'設定'!$C$4,'①在庫を貼る'!$W$6:$W$10005,$C8)&gt;0,SUMIFS('①在庫を貼る'!$O$6:$O$10005,'①在庫を貼る'!$V$6:$V$10005,'設定'!$C$4,'①在庫を貼る'!$W$6:$W$10005,$C8)/COUNTIFS('①在庫を貼る'!$V$6:$V$10005,'設定'!$C$4,'①在庫を貼る'!$W$6:$W$10005,$C8),IF(COUNTIFS('月1回_1ヶ月前の在庫'!$V$6:$V$10005,'設定'!$C$4,'月1回_1ヶ月前の在庫'!$W$6:$W$10005,$C8)&gt;0,SUMIFS('月1回_1ヶ月前の在庫'!$O$6:$O$10005,'月1回_1ヶ月前の在庫'!$V$6:$V$10005,'設定'!$C$4,'月1回_1ヶ月前の在庫'!$W$6:$W$10005,$C8)/COUNTIFS('月1回_1ヶ月前の在庫'!$V$6:$V$10005,'設定'!$C$4,'月1回_1ヶ月前の在庫'!$W$6:$W$10005,$C8),IF(COUNTIFS('月1回_2ヶ月前の在庫'!$V$6:$V$10005,'設定'!$C$4,'月1回_2ヶ月前の在庫'!$W$6:$W$10005,$C8)&gt;0,SUMIFS('月1回_2ヶ月前の在庫'!$O$6:$O$10005,'月1回_2ヶ月前の在庫'!$V$6:$V$10005,'設定'!$C$4,'月1回_2ヶ月前の在庫'!$W$6:$W$10005,$C8)/COUNTIFS('月1回_2ヶ月前の在庫'!$V$6:$V$10005,'設定'!$C$4,'月1回_2ヶ月前の在庫'!$W$6:$W$10005,$C8),0)))),"")))</f>
        <v/>
      </c>
      <c r="P8" s="90">
        <f>IF($C8="","",IF('②発注する'!$I12="","",'②発注する'!$I12))</f>
        <v/>
      </c>
      <c r="Q8">
        <f>IF($C8="","",IF('②発注する'!$J12="","",'②発注する'!$J12))</f>
        <v/>
      </c>
      <c r="R8">
        <f>IF($C8="",0,IF(AND(ISNUMBER($P8),ISNUMBER($Q8)),MAX(0,$Q8)*$G8,0))</f>
        <v/>
      </c>
      <c r="S8" s="90">
        <f>IF($C8="","",IF('②発注する'!$M12="","",'②発注する'!$M12))</f>
        <v/>
      </c>
      <c r="T8">
        <f>IF($C8="","",IF('②発注する'!$N12="","",'②発注する'!$N12))</f>
        <v/>
      </c>
      <c r="U8">
        <f>IF($C8="",0,IF(AND(ISNUMBER($S8),ISNUMBER($T8)),MAX(0,$T8)*$G8,0))</f>
        <v/>
      </c>
      <c r="V8">
        <f>IF($C8="",0,IF($M8="",0,MAX(0,$M8)*MAX(0,V$4)/100))</f>
        <v/>
      </c>
      <c r="W8">
        <f>IF($C8="",0,IF($M8="",0,MAX(0,$M8)*MAX(0,W$4)/100))</f>
        <v/>
      </c>
      <c r="X8">
        <f>IF($C8="",0,IF($M8="",0,MAX(0,$M8)*MAX(0,X$4)/100))</f>
        <v/>
      </c>
      <c r="Y8">
        <f>IF($C8="",0,IF($M8="",0,MAX(0,$M8)*MAX(0,Y$4)/100))</f>
        <v/>
      </c>
      <c r="Z8">
        <f>IF($C8="",0,IF($M8="",0,MAX(0,$M8)*MAX(0,Z$4)/100))</f>
        <v/>
      </c>
      <c r="AA8">
        <f>IF($C8="",0,IF($M8="",0,MAX(0,$M8)*MAX(0,AA$4)/100))</f>
        <v/>
      </c>
      <c r="AB8">
        <f>IF($C8="",0,IF($M8="",0,MAX(0,$M8)*MAX(0,AB$4)/100))</f>
        <v/>
      </c>
      <c r="AC8">
        <f>IF($C8="",0,IF($M8="",0,MAX(0,$M8)*MAX(0,AC$4)/100))</f>
        <v/>
      </c>
      <c r="AD8">
        <f>IF($C8="",0,IF($M8="",0,MAX(0,$M8)*MAX(0,AD$4)/100))</f>
        <v/>
      </c>
      <c r="AE8">
        <f>IF($C8="",0,IF($M8="",0,MAX(0,$M8)*MAX(0,AE$4)/100))</f>
        <v/>
      </c>
      <c r="AF8">
        <f>IF($C8="",0,IF($M8="",0,MAX(0,$M8)*MAX(0,AF$4)/100))</f>
        <v/>
      </c>
      <c r="AG8">
        <f>IF($C8="",0,IF($M8="",0,MAX(0,$M8)*MAX(0,AG$4)/100))</f>
        <v/>
      </c>
      <c r="AH8">
        <f>IF($C8="",0,IF($M8="",0,MAX(0,$M8)*MAX(0,AH$4)/100))</f>
        <v/>
      </c>
      <c r="AI8">
        <f>IF($C8="",0,IF($M8="",0,MAX(0,$M8)*MAX(0,AI$4)/100))</f>
        <v/>
      </c>
      <c r="AJ8">
        <f>IF($C8="",0,MAX(0,MAX(0,N($L8))-$V8))</f>
        <v/>
      </c>
      <c r="AK8">
        <f>IF($C8="",0,MAX(0,$AJ8-$W8))</f>
        <v/>
      </c>
      <c r="AL8">
        <f>IF($C8="",0,MAX(0,$AK8-$X8))</f>
        <v/>
      </c>
      <c r="AM8">
        <f>IF($C8="",0,MAX(0,$AL8-$Y8))</f>
        <v/>
      </c>
      <c r="AN8">
        <f>IF($C8="",0,MAX(0,$AM8-$Z8))</f>
        <v/>
      </c>
      <c r="AO8">
        <f>IF($C8="",0,MAX(0,$AN8-$AA8))</f>
        <v/>
      </c>
      <c r="AP8">
        <f>IF($C8="",0,MAX(0,$AO8-$AB8))</f>
        <v/>
      </c>
      <c r="AQ8">
        <f>IF($C8="",0,MAX(0,$AP8-$AC8))</f>
        <v/>
      </c>
      <c r="AR8">
        <f>IF($C8="",0,MAX(0,$AQ8-$AD8))</f>
        <v/>
      </c>
      <c r="AS8">
        <f>IF($C8="",0,MAX(0,$AR8-$AE8))</f>
        <v/>
      </c>
      <c r="AT8">
        <f>IF($C8="",0,MAX(0,$AS8-$AF8))</f>
        <v/>
      </c>
      <c r="AU8">
        <f>IF($C8="",0,MAX(0,$AT8-$AG8))</f>
        <v/>
      </c>
      <c r="AV8">
        <f>IF($C8="",0,MAX(0,$AU8-$AH8))</f>
        <v/>
      </c>
      <c r="AW8">
        <f>IF($C8="",0,MAX(0,$AV8-$AI8))</f>
        <v/>
      </c>
      <c r="AX8">
        <f>IF($C8="",0,MAX(0,MAX(0,N($L8))+IF($P8=V$3,$R8,0)+IF($S8=V$3,$U8,0)-$V8))</f>
        <v/>
      </c>
      <c r="AY8">
        <f>IF($C8="",0,MAX(0,$AX8+IF($P8=W$3,$R8,0)+IF($S8=W$3,$U8,0)-$W8))</f>
        <v/>
      </c>
      <c r="AZ8">
        <f>IF($C8="",0,MAX(0,$AY8+IF($P8=X$3,$R8,0)+IF($S8=X$3,$U8,0)-$X8))</f>
        <v/>
      </c>
      <c r="BA8">
        <f>IF($C8="",0,MAX(0,$AZ8+IF($P8=Y$3,$R8,0)+IF($S8=Y$3,$U8,0)-$Y8))</f>
        <v/>
      </c>
      <c r="BB8">
        <f>IF($C8="",0,MAX(0,$BA8+IF($P8=Z$3,$R8,0)+IF($S8=Z$3,$U8,0)-$Z8))</f>
        <v/>
      </c>
      <c r="BC8">
        <f>IF($C8="",0,MAX(0,$BB8+IF($P8=AA$3,$R8,0)+IF($S8=AA$3,$U8,0)-$AA8))</f>
        <v/>
      </c>
      <c r="BD8">
        <f>IF($C8="",0,MAX(0,$BC8+IF($P8=AB$3,$R8,0)+IF($S8=AB$3,$U8,0)-$AB8))</f>
        <v/>
      </c>
      <c r="BE8">
        <f>IF($C8="",0,MAX(0,$BD8+IF($P8=AC$3,$R8,0)+IF($S8=AC$3,$U8,0)-$AC8))</f>
        <v/>
      </c>
      <c r="BF8">
        <f>IF($C8="",0,MAX(0,$BE8+IF($P8=AD$3,$R8,0)+IF($S8=AD$3,$U8,0)-$AD8))</f>
        <v/>
      </c>
      <c r="BG8">
        <f>IF($C8="",0,MAX(0,$BF8+IF($P8=AE$3,$R8,0)+IF($S8=AE$3,$U8,0)-$AE8))</f>
        <v/>
      </c>
      <c r="BH8">
        <f>IF($C8="",0,MAX(0,$BG8+IF($P8=AF$3,$R8,0)+IF($S8=AF$3,$U8,0)-$AF8))</f>
        <v/>
      </c>
      <c r="BI8">
        <f>IF($C8="",0,MAX(0,$BH8+IF($P8=AG$3,$R8,0)+IF($S8=AG$3,$U8,0)-$AG8))</f>
        <v/>
      </c>
      <c r="BJ8">
        <f>IF($C8="",0,MAX(0,$BI8+IF($P8=AH$3,$R8,0)+IF($S8=AH$3,$U8,0)-$AH8))</f>
        <v/>
      </c>
      <c r="BK8">
        <f>IF($C8="",0,MAX(0,$BJ8+IF($P8=AI$3,$R8,0)+IF($S8=AI$3,$U8,0)-$AI8))</f>
        <v/>
      </c>
      <c r="BL8">
        <f>IF($C8="",99,IF(AND($AX8&lt;1,V$3&gt;=MAX(N($P8),N($S8))),0,99))</f>
        <v/>
      </c>
      <c r="BM8">
        <f>IF($C8="",99,IF(AND($AY8&lt;1,W$3&gt;=MAX(N($P8),N($S8))),1,99))</f>
        <v/>
      </c>
      <c r="BN8">
        <f>IF($C8="",99,IF(AND($AZ8&lt;1,X$3&gt;=MAX(N($P8),N($S8))),2,99))</f>
        <v/>
      </c>
      <c r="BO8">
        <f>IF($C8="",99,IF(AND($BA8&lt;1,Y$3&gt;=MAX(N($P8),N($S8))),3,99))</f>
        <v/>
      </c>
      <c r="BP8">
        <f>IF($C8="",99,IF(AND($BB8&lt;1,Z$3&gt;=MAX(N($P8),N($S8))),4,99))</f>
        <v/>
      </c>
      <c r="BQ8">
        <f>IF($C8="",99,IF(AND($BC8&lt;1,AA$3&gt;=MAX(N($P8),N($S8))),5,99))</f>
        <v/>
      </c>
      <c r="BR8">
        <f>IF($C8="",99,IF(AND($BD8&lt;1,AB$3&gt;=MAX(N($P8),N($S8))),6,99))</f>
        <v/>
      </c>
      <c r="BS8">
        <f>IF($C8="",99,IF(AND($BE8&lt;1,AC$3&gt;=MAX(N($P8),N($S8))),7,99))</f>
        <v/>
      </c>
      <c r="BT8">
        <f>IF($C8="",99,IF(AND($BF8&lt;1,AD$3&gt;=MAX(N($P8),N($S8))),8,99))</f>
        <v/>
      </c>
      <c r="BU8">
        <f>IF($C8="",99,IF(AND($BG8&lt;1,AE$3&gt;=MAX(N($P8),N($S8))),9,99))</f>
        <v/>
      </c>
      <c r="BV8">
        <f>IF($C8="",99,IF(AND($BH8&lt;1,AF$3&gt;=MAX(N($P8),N($S8))),10,99))</f>
        <v/>
      </c>
      <c r="BW8">
        <f>IF($C8="",99,IF(AND($BI8&lt;1,AG$3&gt;=MAX(N($P8),N($S8))),11,99))</f>
        <v/>
      </c>
      <c r="BX8">
        <f>IF($C8="",99,IF(AND($BJ8&lt;1,AH$3&gt;=MAX(N($P8),N($S8))),12,99))</f>
        <v/>
      </c>
      <c r="BY8">
        <f>IF($C8="",99,IF(AND($BK8&lt;1,AI$3&gt;=MAX(N($P8),N($S8))),13,99))</f>
        <v/>
      </c>
      <c r="BZ8">
        <f>IF(OR($C8="",$M8=""),"",COUNTIF($AJ8:$AW8,"&gt;=1"))</f>
        <v/>
      </c>
      <c r="CA8" s="90">
        <f>IF($BZ8="","",IF($BZ8&gt;=14,"",'設定'!$C$6+$BZ8))</f>
        <v/>
      </c>
      <c r="CB8">
        <f>IF(OR($C8="",$M8=""),"",MIN($BL8:$BY8))</f>
        <v/>
      </c>
      <c r="CC8" s="90">
        <f>IF($CB8="","",IF($CB8&gt;=99,"",'設定'!$C$6+$CB8))</f>
        <v/>
      </c>
      <c r="CD8">
        <f>IF(OR($C8="",$M8=""),"",AVERAGE($V8:$AI8))</f>
        <v/>
      </c>
      <c r="CE8">
        <f>IF($C8="","",IFERROR(IF(MATCH(IF(ISNUMBER($P8),$P8,'設定'!$C$6+N('設定'!$C$7)),$V$3:$AI$3,0)=1,MAX(0,N($L8)),INDEX($AJ8:$AW8,MATCH(IF(ISNUMBER($P8),$P8,'設定'!$C$6+N('設定'!$C$7)),$V$3:$AI$3,0)-1)),""))</f>
        <v/>
      </c>
      <c r="CF8">
        <f>IF(OR($C8="",$O8="",$CE8=""),"",IF($O8-$CE8&lt;=0,0,ROUNDUP(($O8-$CE8)/$G8,0)))</f>
        <v/>
      </c>
      <c r="CG8">
        <f>IF(OR($C8="",$CF8="",NOT(ISNUMBER($Q8))),0,MAX(0,$Q8-$CF8))</f>
        <v/>
      </c>
      <c r="CH8">
        <f>IF(OR($C8="",$O8="",$U8=0),0,IFERROR(ROUNDUP(MAX(0,IF(MATCH($S8,$V$3:$AI$3,0)=1,MAX(0,N($L8)),INDEX($AX8:$BK8,MATCH($S8,$V$3:$AI$3,0)-1))+$U8-$O8)/$G8,0),0))</f>
        <v/>
      </c>
      <c r="CI8">
        <f>IF($C8="","",IF(AND($P8="",$Q8=""),"",IF($P8="","⚠ 入庫日を ▼ から選んでください",IF(NOT(ISNUMBER($P8)),"⚠ 入庫日は ▼ から選んでください",IF($P8&lt;N('設定'!$C$6),"⚠ 入庫日が過去です（もう在庫に入っています）→ 消してください",IF($P8&gt;N('設定'!$C$6)+13,"⚠ 入庫日が14日より先です",IF(N($Q8)&lt;=0,"⚠ 入庫数を入れてください",IF($CG8&gt;0,"⚠ 目安より "&amp;$CG8&amp;" 多い（定数を超える）→ 減らす",""))))))))</f>
        <v/>
      </c>
      <c r="CJ8">
        <f>IF($C8="","",IF(AND($S8="",$T8=""),"",IF($S8="","⚠ 2便目：入庫日を ▼ から選んでください",IF(NOT(ISNUMBER($S8)),"⚠ 2便目：入庫日は ▼ から選んでください",IF($S8&lt;N('設定'!$C$6),"⚠ 2便目：入庫日が過去です（もう在庫に入っています）→ 消してください",IF($S8&gt;N('設定'!$C$6)+13,"⚠ 2便目：入庫日が14日より先です",IF(N($T8)&lt;=0,"⚠ 2便目：入庫数を入れてください",IF($CH8&gt;0,"⚠ 2便目：定数を "&amp;$CH8&amp;" ケース超える → 減らす",""))))))))</f>
        <v/>
      </c>
      <c r="CK8">
        <f>IF(AND($CI8="",N($Q8)&gt;0,ISNUMBER($P8)),1,0)</f>
        <v/>
      </c>
      <c r="CL8">
        <f>IF(AND($CJ8="",N($T8)&gt;0,ISNUMBER($S8)),1,0)</f>
        <v/>
      </c>
      <c r="CM8">
        <f>IF(OR($CK8=1,$CL8=1),1,0)</f>
        <v/>
      </c>
      <c r="CN8">
        <f>IF($C8="",0,($CK8*$R8+$CL8*$U8)*N($H8))</f>
        <v/>
      </c>
      <c r="CO8">
        <f>IF($C8="","",IF($CC8="","入庫後は 14日以上もつ",IF($CC8-N('設定'!$C$7)&lt;='設定'!$C$6,"入庫後も "&amp;TEXT($CC8,"m/d")&amp;"("&amp;CHOOSE(WEEKDAY($CC8),"日","月","火","水","木","金","土")&amp;")"&amp;" に切れる　もう1便を至急発注","入庫後も "&amp;TEXT($CC8,"m/d")&amp;"("&amp;CHOOSE(WEEKDAY($CC8),"日","月","火","水","木","金","土")&amp;")"&amp;" に切れる　"&amp;TEXT($CC8-N('設定'!$C$7),"m/d")&amp;"("&amp;CHOOSE(WEEKDAY($CC8-N('設定'!$C$7)),"日","月","火","水","木","金","土")&amp;")"&amp;" までに次を発注")))</f>
        <v/>
      </c>
      <c r="CP8">
        <f>IF($C8="","",IF('設定'!$C$6="","？ ①在庫を貼る に今日のCSVが貼られていない",IF($CS8=1,"－ 今日のCSVに無い（終売？）",IF($L8&lt;0,"● 在庫がマイナス　数えて「数えた在庫」に入れる",IF($L8=0,"● 在庫なし　至急発注",IF($M8="","？ 減り数が未設定（商品マスタ）",IF($B$3=0,"？ 動員が未入力（動員を入れる）",IF($CA8="","○ 14日以上もつ",IF($BZ8&lt;N('設定'!$C$7),"● "&amp;TEXT($CA8,"m/d")&amp;"("&amp;CHOOSE(WEEKDAY($CA8),"日","月","火","水","木","金","土")&amp;")"&amp;" に切れる　至急発注",IF($BZ8=N('設定'!$C$7),"● "&amp;TEXT($CA8,"m/d")&amp;"("&amp;CHOOSE(WEEKDAY($CA8),"日","月","火","水","木","金","土")&amp;")"&amp;" に切れる　今日発注","△ "&amp;TEXT($CA8,"m/d")&amp;"("&amp;CHOOSE(WEEKDAY($CA8),"日","月","火","水","木","金","土")&amp;")"&amp;" に切れる　"&amp;TEXT($CA8-N('設定'!$C$7),"m/d")&amp;"("&amp;CHOOSE(WEEKDAY($CA8-N('設定'!$C$7)),"日","月","火","水","木","金","土")&amp;")"&amp;" までに発注"))))))))))</f>
        <v/>
      </c>
      <c r="CQ8">
        <f>IF($C8="","",IF(AND($P8="",$Q8="",$S8="",$T8=""),"",IF(AND($P8="",$Q8=""),"⚠ 先に1便目（左の入庫日・入庫数）に入れてください",IF($CI8&lt;&gt;"",$CI8,IF($CJ8&lt;&gt;"",$CJ8,IF($M8="","？ 減り数が未設定（発注書には載ります）",IF($B$3=0,"？ 動員が未入力（発注書には載ります）",IF(AND($CA8&lt;&gt;"",$P8&gt;$CA8),IF($P8&gt;'設定'!$C$6+N('設定'!$C$7),"● "&amp;TEXT($P8,"m/d")&amp;"("&amp;CHOOSE(WEEKDAY($P8),"日","月","火","水","木","金","土")&amp;")"&amp;" の入庫では間に合わない（"&amp;TEXT($CA8,"m/d")&amp;"("&amp;CHOOSE(WEEKDAY($CA8),"日","月","火","水","木","金","土")&amp;")"&amp;" に切れる）　入庫日を早める","△ 欠品 "&amp;TEXT($CA8,"m/d")&amp;"("&amp;CHOOSE(WEEKDAY($CA8),"日","月","火","水","木","金","土")&amp;")"&amp;"〜"&amp;TEXT($P8-1,"m/d")&amp;"("&amp;CHOOSE(WEEKDAY($P8-1),"日","月","火","水","木","金","土")&amp;")"&amp;"　"&amp;$CO8),IF($CC8="","○ "&amp;TEXT($P8,"m/d")&amp;"("&amp;CHOOSE(WEEKDAY($P8),"日","月","火","水","木","金","土")&amp;")"&amp;" 入庫で 14日以上もつ",IF($CC8-N('設定'!$C$7)&lt;='設定'!$C$6,"● 入庫しても "&amp;TEXT($CC8,"m/d")&amp;"("&amp;CHOOSE(WEEKDAY($CC8),"日","月","火","水","木","金","土")&amp;")"&amp;" に切れる　もう1便を至急発注（2便目に入れる）","△ 入庫しても "&amp;TEXT($CC8,"m/d")&amp;"("&amp;CHOOSE(WEEKDAY($CC8),"日","月","火","水","木","金","土")&amp;")"&amp;" に切れる　"&amp;TEXT($CC8-N('設定'!$C$7),"m/d")&amp;"("&amp;CHOOSE(WEEKDAY($CC8-N('設定'!$C$7)),"日","月","火","水","木","金","土")&amp;")"&amp;" までに次を発注（2便目に入れる）"))))))))))</f>
        <v/>
      </c>
      <c r="CR8">
        <f>IF($C8="","",IF($G8&gt;1,"ｹｰｽ("&amp;$G8&amp;"入)","個"))</f>
        <v/>
      </c>
      <c r="CS8">
        <f>IF($C8="",0,IF(COUNTIFS('①在庫を貼る'!$V$6:$V$10005,'設定'!$C$4,'①在庫を貼る'!$W$6:$W$10005,$C8)=0,1,0))</f>
        <v/>
      </c>
      <c r="CT8">
        <f>IF(AND($CK8=1,OR('③発注書'!$C$4="すべて",'③発注書'!$C$4="",$F8='③発注書'!$C$4)),N($CT7)+1,N($CT7))</f>
        <v/>
      </c>
      <c r="CU8">
        <f>IF(AND($CL8=1,OR('③発注書'!$C$4="すべて",'③発注書'!$C$4="",$F8='③発注書'!$C$4)),N($CU7)+1,N($CU7))</f>
        <v/>
      </c>
      <c r="CV8">
        <f>IF($C8="",0,IF(COUNTIFS('①在庫を貼る'!$V$6:$V$10005,'設定'!$C$4,'①在庫を貼る'!$W$6:$W$10005,$C8)&gt;0,1,0))</f>
        <v/>
      </c>
      <c r="CW8">
        <f>IF($C8="",0,IF(COUNTIFS('月1回_1ヶ月前の在庫'!$V$6:$V$10005,'設定'!$C$4,'月1回_1ヶ月前の在庫'!$W$6:$W$10005,$C8)&gt;0,1,0))</f>
        <v/>
      </c>
      <c r="CX8">
        <f>IF($C8="",0,IF(COUNTIFS('月1回_2ヶ月前の在庫'!$V$6:$V$10005,'設定'!$C$4,'月1回_2ヶ月前の在庫'!$W$6:$W$10005,$C8)&gt;0,1,0))</f>
        <v/>
      </c>
      <c r="CY8">
        <f>IF(OR($C8="",'設定'!$C$12=""),"",IF('設定'!$C$13="",IF(AND($CV8=1,$CW8=0),"新商品（今月から）",IF(AND($CV8=0,$CW8=1),"終売（今月から）","")),IF(AND($CV8=1,$CW8=0,$CX8=0),"新商品（今月から）",IF(AND($CV8=1,$CW8=1,$CX8=0),"新商品（先月から）",IF(AND($CV8=0,$CW8=1,$CX8=1),"終売（今月から）",IF(AND($CV8=0,$CW8=0,$CX8=1),"終売（先月から）",IF(AND($CV8=1,$CW8=0,$CX8=1),"復活（先月は無し）","")))))))</f>
        <v/>
      </c>
    </row>
    <row r="9">
      <c r="B9">
        <f>IF(4&lt;='設定'!$C$11,4,"")</f>
        <v/>
      </c>
      <c r="C9">
        <f>IF($B9="","",IF($B9&lt;='設定'!$C$20,INDEX('商品マスタ'!$B$6:$B$1005,MATCH($B9,'商品マスタ'!$M$6:$M$1005,0)),IF($B9&lt;='設定'!$C$20+'設定'!$C$17,INDEX('①在庫を貼る'!$W$6:$W$10005,MATCH($B9-'設定'!$C$20,'①在庫を貼る'!$U$6:$U$10005,0)),IF($B9&lt;='設定'!$C$20+'設定'!$C$17+'設定'!$C$18,INDEX('月1回_1ヶ月前の在庫'!$W$6:$W$10005,MATCH($B9-'設定'!$C$20-'設定'!$C$17,'月1回_1ヶ月前の在庫'!$U$6:$U$10005,0)),INDEX('月1回_2ヶ月前の在庫'!$W$6:$W$10005,MATCH($B9-'設定'!$C$20-'設定'!$C$17-'設定'!$C$18,'月1回_2ヶ月前の在庫'!$U$6:$U$10005,0))))))</f>
        <v/>
      </c>
      <c r="D9">
        <f>IF($C9="","",IFERROR(IF(INDEX('商品マスタ'!$C$6:$C$1005,MATCH($C9,'商品マスタ'!$B$6:$B$1005,0))="",IFERROR(INDEX('①在庫を貼る'!$J$6:$J$10005,MATCH($C9,'①在庫を貼る'!$W$6:$W$10005,0)),IFERROR(INDEX('月1回_1ヶ月前の在庫'!$J$6:$J$10005,MATCH($C9,'月1回_1ヶ月前の在庫'!$W$6:$W$10005,0)),IFERROR(INDEX('月1回_2ヶ月前の在庫'!$J$6:$J$10005,MATCH($C9,'月1回_2ヶ月前の在庫'!$W$6:$W$10005,0)),""))),INDEX('商品マスタ'!$C$6:$C$1005,MATCH($C9,'商品マスタ'!$B$6:$B$1005,0))),IFERROR(INDEX('①在庫を貼る'!$J$6:$J$10005,MATCH($C9,'①在庫を貼る'!$W$6:$W$10005,0)),IFERROR(INDEX('月1回_1ヶ月前の在庫'!$J$6:$J$10005,MATCH($C9,'月1回_1ヶ月前の在庫'!$W$6:$W$10005,0)),IFERROR(INDEX('月1回_2ヶ月前の在庫'!$J$6:$J$10005,MATCH($C9,'月1回_2ヶ月前の在庫'!$W$6:$W$10005,0)),"")))))</f>
        <v/>
      </c>
      <c r="E9">
        <f>IF($C9="","",IFERROR(IF(INDEX('商品マスタ'!$D$6:$D$1005,MATCH($C9,'商品マスタ'!$B$6:$B$1005,0))="",IFERROR(INDEX('①在庫を貼る'!$H$6:$H$10005,MATCH($C9,'①在庫を貼る'!$W$6:$W$10005,0)),IFERROR(INDEX('月1回_1ヶ月前の在庫'!$H$6:$H$10005,MATCH($C9,'月1回_1ヶ月前の在庫'!$W$6:$W$10005,0)),IFERROR(INDEX('月1回_2ヶ月前の在庫'!$H$6:$H$10005,MATCH($C9,'月1回_2ヶ月前の在庫'!$W$6:$W$10005,0)),""))),INDEX('商品マスタ'!$D$6:$D$1005,MATCH($C9,'商品マスタ'!$B$6:$B$1005,0))),IFERROR(INDEX('①在庫を貼る'!$H$6:$H$10005,MATCH($C9,'①在庫を貼る'!$W$6:$W$10005,0)),IFERROR(INDEX('月1回_1ヶ月前の在庫'!$H$6:$H$10005,MATCH($C9,'月1回_1ヶ月前の在庫'!$W$6:$W$10005,0)),IFERROR(INDEX('月1回_2ヶ月前の在庫'!$H$6:$H$10005,MATCH($C9,'月1回_2ヶ月前の在庫'!$W$6:$W$10005,0)),"")))))</f>
        <v/>
      </c>
      <c r="F9">
        <f>IF($C9="","",IFERROR(IF(INDEX('商品マスタ'!$E$6:$E$1005,MATCH($C9,'商品マスタ'!$B$6:$B$1005,0))="",IFERROR(INDEX('①在庫を貼る'!$E$6:$E$10005,MATCH($C9,'①在庫を貼る'!$W$6:$W$10005,0)),IFERROR(INDEX('月1回_1ヶ月前の在庫'!$E$6:$E$10005,MATCH($C9,'月1回_1ヶ月前の在庫'!$W$6:$W$10005,0)),IFERROR(INDEX('月1回_2ヶ月前の在庫'!$E$6:$E$10005,MATCH($C9,'月1回_2ヶ月前の在庫'!$W$6:$W$10005,0)),""))),INDEX('商品マスタ'!$E$6:$E$1005,MATCH($C9,'商品マスタ'!$B$6:$B$1005,0))),IFERROR(INDEX('①在庫を貼る'!$E$6:$E$10005,MATCH($C9,'①在庫を貼る'!$W$6:$W$10005,0)),IFERROR(INDEX('月1回_1ヶ月前の在庫'!$E$6:$E$10005,MATCH($C9,'月1回_1ヶ月前の在庫'!$W$6:$W$10005,0)),IFERROR(INDEX('月1回_2ヶ月前の在庫'!$E$6:$E$10005,MATCH($C9,'月1回_2ヶ月前の在庫'!$W$6:$W$10005,0)),"")))))</f>
        <v/>
      </c>
      <c r="G9">
        <f>IF($C9="","",MAX(1,N(IFERROR(IF(INDEX('商品マスタ'!$F$6:$F$1005,MATCH($C9,'商品マスタ'!$B$6:$B$1005,0))="",IF(COUNTIFS('①在庫を貼る'!$V$6:$V$10005,'設定'!$C$4,'①在庫を貼る'!$W$6:$W$10005,$C9)&gt;0,SUMIFS('①在庫を貼る'!$K$6:$K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K$6:$K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K$6:$K$10005,'月1回_2ヶ月前の在庫'!$V$6:$V$10005,'設定'!$C$4,'月1回_2ヶ月前の在庫'!$W$6:$W$10005,$C9)/COUNTIFS('月1回_2ヶ月前の在庫'!$V$6:$V$10005,'設定'!$C$4,'月1回_2ヶ月前の在庫'!$W$6:$W$10005,$C9),0))),INDEX('商品マスタ'!$F$6:$F$1005,MATCH($C9,'商品マスタ'!$B$6:$B$1005,0))),IF(COUNTIFS('①在庫を貼る'!$V$6:$V$10005,'設定'!$C$4,'①在庫を貼る'!$W$6:$W$10005,$C9)&gt;0,SUMIFS('①在庫を貼る'!$K$6:$K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K$6:$K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K$6:$K$10005,'月1回_2ヶ月前の在庫'!$V$6:$V$10005,'設定'!$C$4,'月1回_2ヶ月前の在庫'!$W$6:$W$10005,$C9)/COUNTIFS('月1回_2ヶ月前の在庫'!$V$6:$V$10005,'設定'!$C$4,'月1回_2ヶ月前の在庫'!$W$6:$W$10005,$C9),0)))))))</f>
        <v/>
      </c>
      <c r="H9">
        <f>IF($C9="","",N(IFERROR(IF(INDEX('商品マスタ'!$G$6:$G$1005,MATCH($C9,'商品マスタ'!$B$6:$B$1005,0))="",IF(COUNTIFS('①在庫を貼る'!$V$6:$V$10005,'設定'!$C$4,'①在庫を貼る'!$W$6:$W$10005,$C9)&gt;0,SUMIFS('①在庫を貼る'!$Q$6:$Q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Q$6:$Q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Q$6:$Q$10005,'月1回_2ヶ月前の在庫'!$V$6:$V$10005,'設定'!$C$4,'月1回_2ヶ月前の在庫'!$W$6:$W$10005,$C9)/COUNTIFS('月1回_2ヶ月前の在庫'!$V$6:$V$10005,'設定'!$C$4,'月1回_2ヶ月前の在庫'!$W$6:$W$10005,$C9),0))),INDEX('商品マスタ'!$G$6:$G$1005,MATCH($C9,'商品マスタ'!$B$6:$B$1005,0))),IF(COUNTIFS('①在庫を貼る'!$V$6:$V$10005,'設定'!$C$4,'①在庫を貼る'!$W$6:$W$10005,$C9)&gt;0,SUMIFS('①在庫を貼る'!$Q$6:$Q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Q$6:$Q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Q$6:$Q$10005,'月1回_2ヶ月前の在庫'!$V$6:$V$10005,'設定'!$C$4,'月1回_2ヶ月前の在庫'!$W$6:$W$10005,$C9)/COUNTIFS('月1回_2ヶ月前の在庫'!$V$6:$V$10005,'設定'!$C$4,'月1回_2ヶ月前の在庫'!$W$6:$W$10005,$C9),0))))))</f>
        <v/>
      </c>
      <c r="I9">
        <f>IF($C9="","",IF(COUNTIFS('①在庫を貼る'!$V$6:$V$10005,'設定'!$C$4,'①在庫を貼る'!$W$6:$W$10005,$C9)=0,"",SUMIFS('①在庫を貼る'!$N$6:$N$10005,'①在庫を貼る'!$V$6:$V$10005,'設定'!$C$4,'①在庫を貼る'!$W$6:$W$10005,$C9)))</f>
        <v/>
      </c>
      <c r="J9">
        <f>IF($C9="","",IF('②発注する'!$AD13="","",'②発注する'!$AD13))</f>
        <v/>
      </c>
      <c r="K9" s="90">
        <f>IF($C9="","",IF('②発注する'!$AE13="","",'②発注する'!$AE13))</f>
        <v/>
      </c>
      <c r="L9">
        <f>IF($C9="","",IF(AND(ISNUMBER($J9),ISNUMBER($K9),$K9&gt;='設定'!$C$6),$J9,N($I9)))</f>
        <v/>
      </c>
      <c r="M9">
        <f>IF($C9="","",IFERROR(IF(N(INDEX('商品マスタ'!$J$6:$J$1005,MATCH($C9,'商品マスタ'!$B$6:$B$1005,0)))&gt;0,INDEX('商品マスタ'!$J$6:$J$1005,MATCH($C9,'商品マスタ'!$B$6:$B$1005,0)),""),""))</f>
        <v/>
      </c>
      <c r="N9">
        <f>IF($C9="","",IFERROR(IF(N(INDEX('商品マスタ'!$H$6:$H$1005,MATCH($C9,'商品マスタ'!$B$6:$B$1005,0)))&gt;0,INDEX('商品マスタ'!$H$6:$H$1005,MATCH($C9,'商品マスタ'!$B$6:$B$1005,0)),""),""))</f>
        <v/>
      </c>
      <c r="O9">
        <f>IF($C9="","",IF($N9&lt;&gt;"",$N9*$G9,IF(N(IF(COUNTIFS('①在庫を貼る'!$V$6:$V$10005,'設定'!$C$4,'①在庫を貼る'!$W$6:$W$10005,$C9)&gt;0,SUMIFS('①在庫を貼る'!$O$6:$O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O$6:$O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O$6:$O$10005,'月1回_2ヶ月前の在庫'!$V$6:$V$10005,'設定'!$C$4,'月1回_2ヶ月前の在庫'!$W$6:$W$10005,$C9)/COUNTIFS('月1回_2ヶ月前の在庫'!$V$6:$V$10005,'設定'!$C$4,'月1回_2ヶ月前の在庫'!$W$6:$W$10005,$C9),0))))&gt;0,N(IF(COUNTIFS('①在庫を貼る'!$V$6:$V$10005,'設定'!$C$4,'①在庫を貼る'!$W$6:$W$10005,$C9)&gt;0,SUMIFS('①在庫を貼る'!$O$6:$O$10005,'①在庫を貼る'!$V$6:$V$10005,'設定'!$C$4,'①在庫を貼る'!$W$6:$W$10005,$C9)/COUNTIFS('①在庫を貼る'!$V$6:$V$10005,'設定'!$C$4,'①在庫を貼る'!$W$6:$W$10005,$C9),IF(COUNTIFS('月1回_1ヶ月前の在庫'!$V$6:$V$10005,'設定'!$C$4,'月1回_1ヶ月前の在庫'!$W$6:$W$10005,$C9)&gt;0,SUMIFS('月1回_1ヶ月前の在庫'!$O$6:$O$10005,'月1回_1ヶ月前の在庫'!$V$6:$V$10005,'設定'!$C$4,'月1回_1ヶ月前の在庫'!$W$6:$W$10005,$C9)/COUNTIFS('月1回_1ヶ月前の在庫'!$V$6:$V$10005,'設定'!$C$4,'月1回_1ヶ月前の在庫'!$W$6:$W$10005,$C9),IF(COUNTIFS('月1回_2ヶ月前の在庫'!$V$6:$V$10005,'設定'!$C$4,'月1回_2ヶ月前の在庫'!$W$6:$W$10005,$C9)&gt;0,SUMIFS('月1回_2ヶ月前の在庫'!$O$6:$O$10005,'月1回_2ヶ月前の在庫'!$V$6:$V$10005,'設定'!$C$4,'月1回_2ヶ月前の在庫'!$W$6:$W$10005,$C9)/COUNTIFS('月1回_2ヶ月前の在庫'!$V$6:$V$10005,'設定'!$C$4,'月1回_2ヶ月前の在庫'!$W$6:$W$10005,$C9),0)))),"")))</f>
        <v/>
      </c>
      <c r="P9" s="90">
        <f>IF($C9="","",IF('②発注する'!$I13="","",'②発注する'!$I13))</f>
        <v/>
      </c>
      <c r="Q9">
        <f>IF($C9="","",IF('②発注する'!$J13="","",'②発注する'!$J13))</f>
        <v/>
      </c>
      <c r="R9">
        <f>IF($C9="",0,IF(AND(ISNUMBER($P9),ISNUMBER($Q9)),MAX(0,$Q9)*$G9,0))</f>
        <v/>
      </c>
      <c r="S9" s="90">
        <f>IF($C9="","",IF('②発注する'!$M13="","",'②発注する'!$M13))</f>
        <v/>
      </c>
      <c r="T9">
        <f>IF($C9="","",IF('②発注する'!$N13="","",'②発注する'!$N13))</f>
        <v/>
      </c>
      <c r="U9">
        <f>IF($C9="",0,IF(AND(ISNUMBER($S9),ISNUMBER($T9)),MAX(0,$T9)*$G9,0))</f>
        <v/>
      </c>
      <c r="V9">
        <f>IF($C9="",0,IF($M9="",0,MAX(0,$M9)*MAX(0,V$4)/100))</f>
        <v/>
      </c>
      <c r="W9">
        <f>IF($C9="",0,IF($M9="",0,MAX(0,$M9)*MAX(0,W$4)/100))</f>
        <v/>
      </c>
      <c r="X9">
        <f>IF($C9="",0,IF($M9="",0,MAX(0,$M9)*MAX(0,X$4)/100))</f>
        <v/>
      </c>
      <c r="Y9">
        <f>IF($C9="",0,IF($M9="",0,MAX(0,$M9)*MAX(0,Y$4)/100))</f>
        <v/>
      </c>
      <c r="Z9">
        <f>IF($C9="",0,IF($M9="",0,MAX(0,$M9)*MAX(0,Z$4)/100))</f>
        <v/>
      </c>
      <c r="AA9">
        <f>IF($C9="",0,IF($M9="",0,MAX(0,$M9)*MAX(0,AA$4)/100))</f>
        <v/>
      </c>
      <c r="AB9">
        <f>IF($C9="",0,IF($M9="",0,MAX(0,$M9)*MAX(0,AB$4)/100))</f>
        <v/>
      </c>
      <c r="AC9">
        <f>IF($C9="",0,IF($M9="",0,MAX(0,$M9)*MAX(0,AC$4)/100))</f>
        <v/>
      </c>
      <c r="AD9">
        <f>IF($C9="",0,IF($M9="",0,MAX(0,$M9)*MAX(0,AD$4)/100))</f>
        <v/>
      </c>
      <c r="AE9">
        <f>IF($C9="",0,IF($M9="",0,MAX(0,$M9)*MAX(0,AE$4)/100))</f>
        <v/>
      </c>
      <c r="AF9">
        <f>IF($C9="",0,IF($M9="",0,MAX(0,$M9)*MAX(0,AF$4)/100))</f>
        <v/>
      </c>
      <c r="AG9">
        <f>IF($C9="",0,IF($M9="",0,MAX(0,$M9)*MAX(0,AG$4)/100))</f>
        <v/>
      </c>
      <c r="AH9">
        <f>IF($C9="",0,IF($M9="",0,MAX(0,$M9)*MAX(0,AH$4)/100))</f>
        <v/>
      </c>
      <c r="AI9">
        <f>IF($C9="",0,IF($M9="",0,MAX(0,$M9)*MAX(0,AI$4)/100))</f>
        <v/>
      </c>
      <c r="AJ9">
        <f>IF($C9="",0,MAX(0,MAX(0,N($L9))-$V9))</f>
        <v/>
      </c>
      <c r="AK9">
        <f>IF($C9="",0,MAX(0,$AJ9-$W9))</f>
        <v/>
      </c>
      <c r="AL9">
        <f>IF($C9="",0,MAX(0,$AK9-$X9))</f>
        <v/>
      </c>
      <c r="AM9">
        <f>IF($C9="",0,MAX(0,$AL9-$Y9))</f>
        <v/>
      </c>
      <c r="AN9">
        <f>IF($C9="",0,MAX(0,$AM9-$Z9))</f>
        <v/>
      </c>
      <c r="AO9">
        <f>IF($C9="",0,MAX(0,$AN9-$AA9))</f>
        <v/>
      </c>
      <c r="AP9">
        <f>IF($C9="",0,MAX(0,$AO9-$AB9))</f>
        <v/>
      </c>
      <c r="AQ9">
        <f>IF($C9="",0,MAX(0,$AP9-$AC9))</f>
        <v/>
      </c>
      <c r="AR9">
        <f>IF($C9="",0,MAX(0,$AQ9-$AD9))</f>
        <v/>
      </c>
      <c r="AS9">
        <f>IF($C9="",0,MAX(0,$AR9-$AE9))</f>
        <v/>
      </c>
      <c r="AT9">
        <f>IF($C9="",0,MAX(0,$AS9-$AF9))</f>
        <v/>
      </c>
      <c r="AU9">
        <f>IF($C9="",0,MAX(0,$AT9-$AG9))</f>
        <v/>
      </c>
      <c r="AV9">
        <f>IF($C9="",0,MAX(0,$AU9-$AH9))</f>
        <v/>
      </c>
      <c r="AW9">
        <f>IF($C9="",0,MAX(0,$AV9-$AI9))</f>
        <v/>
      </c>
      <c r="AX9">
        <f>IF($C9="",0,MAX(0,MAX(0,N($L9))+IF($P9=V$3,$R9,0)+IF($S9=V$3,$U9,0)-$V9))</f>
        <v/>
      </c>
      <c r="AY9">
        <f>IF($C9="",0,MAX(0,$AX9+IF($P9=W$3,$R9,0)+IF($S9=W$3,$U9,0)-$W9))</f>
        <v/>
      </c>
      <c r="AZ9">
        <f>IF($C9="",0,MAX(0,$AY9+IF($P9=X$3,$R9,0)+IF($S9=X$3,$U9,0)-$X9))</f>
        <v/>
      </c>
      <c r="BA9">
        <f>IF($C9="",0,MAX(0,$AZ9+IF($P9=Y$3,$R9,0)+IF($S9=Y$3,$U9,0)-$Y9))</f>
        <v/>
      </c>
      <c r="BB9">
        <f>IF($C9="",0,MAX(0,$BA9+IF($P9=Z$3,$R9,0)+IF($S9=Z$3,$U9,0)-$Z9))</f>
        <v/>
      </c>
      <c r="BC9">
        <f>IF($C9="",0,MAX(0,$BB9+IF($P9=AA$3,$R9,0)+IF($S9=AA$3,$U9,0)-$AA9))</f>
        <v/>
      </c>
      <c r="BD9">
        <f>IF($C9="",0,MAX(0,$BC9+IF($P9=AB$3,$R9,0)+IF($S9=AB$3,$U9,0)-$AB9))</f>
        <v/>
      </c>
      <c r="BE9">
        <f>IF($C9="",0,MAX(0,$BD9+IF($P9=AC$3,$R9,0)+IF($S9=AC$3,$U9,0)-$AC9))</f>
        <v/>
      </c>
      <c r="BF9">
        <f>IF($C9="",0,MAX(0,$BE9+IF($P9=AD$3,$R9,0)+IF($S9=AD$3,$U9,0)-$AD9))</f>
        <v/>
      </c>
      <c r="BG9">
        <f>IF($C9="",0,MAX(0,$BF9+IF($P9=AE$3,$R9,0)+IF($S9=AE$3,$U9,0)-$AE9))</f>
        <v/>
      </c>
      <c r="BH9">
        <f>IF($C9="",0,MAX(0,$BG9+IF($P9=AF$3,$R9,0)+IF($S9=AF$3,$U9,0)-$AF9))</f>
        <v/>
      </c>
      <c r="BI9">
        <f>IF($C9="",0,MAX(0,$BH9+IF($P9=AG$3,$R9,0)+IF($S9=AG$3,$U9,0)-$AG9))</f>
        <v/>
      </c>
      <c r="BJ9">
        <f>IF($C9="",0,MAX(0,$BI9+IF($P9=AH$3,$R9,0)+IF($S9=AH$3,$U9,0)-$AH9))</f>
        <v/>
      </c>
      <c r="BK9">
        <f>IF($C9="",0,MAX(0,$BJ9+IF($P9=AI$3,$R9,0)+IF($S9=AI$3,$U9,0)-$AI9))</f>
        <v/>
      </c>
      <c r="BL9">
        <f>IF($C9="",99,IF(AND($AX9&lt;1,V$3&gt;=MAX(N($P9),N($S9))),0,99))</f>
        <v/>
      </c>
      <c r="BM9">
        <f>IF($C9="",99,IF(AND($AY9&lt;1,W$3&gt;=MAX(N($P9),N($S9))),1,99))</f>
        <v/>
      </c>
      <c r="BN9">
        <f>IF($C9="",99,IF(AND($AZ9&lt;1,X$3&gt;=MAX(N($P9),N($S9))),2,99))</f>
        <v/>
      </c>
      <c r="BO9">
        <f>IF($C9="",99,IF(AND($BA9&lt;1,Y$3&gt;=MAX(N($P9),N($S9))),3,99))</f>
        <v/>
      </c>
      <c r="BP9">
        <f>IF($C9="",99,IF(AND($BB9&lt;1,Z$3&gt;=MAX(N($P9),N($S9))),4,99))</f>
        <v/>
      </c>
      <c r="BQ9">
        <f>IF($C9="",99,IF(AND($BC9&lt;1,AA$3&gt;=MAX(N($P9),N($S9))),5,99))</f>
        <v/>
      </c>
      <c r="BR9">
        <f>IF($C9="",99,IF(AND($BD9&lt;1,AB$3&gt;=MAX(N($P9),N($S9))),6,99))</f>
        <v/>
      </c>
      <c r="BS9">
        <f>IF($C9="",99,IF(AND($BE9&lt;1,AC$3&gt;=MAX(N($P9),N($S9))),7,99))</f>
        <v/>
      </c>
      <c r="BT9">
        <f>IF($C9="",99,IF(AND($BF9&lt;1,AD$3&gt;=MAX(N($P9),N($S9))),8,99))</f>
        <v/>
      </c>
      <c r="BU9">
        <f>IF($C9="",99,IF(AND($BG9&lt;1,AE$3&gt;=MAX(N($P9),N($S9))),9,99))</f>
        <v/>
      </c>
      <c r="BV9">
        <f>IF($C9="",99,IF(AND($BH9&lt;1,AF$3&gt;=MAX(N($P9),N($S9))),10,99))</f>
        <v/>
      </c>
      <c r="BW9">
        <f>IF($C9="",99,IF(AND($BI9&lt;1,AG$3&gt;=MAX(N($P9),N($S9))),11,99))</f>
        <v/>
      </c>
      <c r="BX9">
        <f>IF($C9="",99,IF(AND($BJ9&lt;1,AH$3&gt;=MAX(N($P9),N($S9))),12,99))</f>
        <v/>
      </c>
      <c r="BY9">
        <f>IF($C9="",99,IF(AND($BK9&lt;1,AI$3&gt;=MAX(N($P9),N($S9))),13,99))</f>
        <v/>
      </c>
      <c r="BZ9">
        <f>IF(OR($C9="",$M9=""),"",COUNTIF($AJ9:$AW9,"&gt;=1"))</f>
        <v/>
      </c>
      <c r="CA9" s="90">
        <f>IF($BZ9="","",IF($BZ9&gt;=14,"",'設定'!$C$6+$BZ9))</f>
        <v/>
      </c>
      <c r="CB9">
        <f>IF(OR($C9="",$M9=""),"",MIN($BL9:$BY9))</f>
        <v/>
      </c>
      <c r="CC9" s="90">
        <f>IF($CB9="","",IF($CB9&gt;=99,"",'設定'!$C$6+$CB9))</f>
        <v/>
      </c>
      <c r="CD9">
        <f>IF(OR($C9="",$M9=""),"",AVERAGE($V9:$AI9))</f>
        <v/>
      </c>
      <c r="CE9">
        <f>IF($C9="","",IFERROR(IF(MATCH(IF(ISNUMBER($P9),$P9,'設定'!$C$6+N('設定'!$C$7)),$V$3:$AI$3,0)=1,MAX(0,N($L9)),INDEX($AJ9:$AW9,MATCH(IF(ISNUMBER($P9),$P9,'設定'!$C$6+N('設定'!$C$7)),$V$3:$AI$3,0)-1)),""))</f>
        <v/>
      </c>
      <c r="CF9">
        <f>IF(OR($C9="",$O9="",$CE9=""),"",IF($O9-$CE9&lt;=0,0,ROUNDUP(($O9-$CE9)/$G9,0)))</f>
        <v/>
      </c>
      <c r="CG9">
        <f>IF(OR($C9="",$CF9="",NOT(ISNUMBER($Q9))),0,MAX(0,$Q9-$CF9))</f>
        <v/>
      </c>
      <c r="CH9">
        <f>IF(OR($C9="",$O9="",$U9=0),0,IFERROR(ROUNDUP(MAX(0,IF(MATCH($S9,$V$3:$AI$3,0)=1,MAX(0,N($L9)),INDEX($AX9:$BK9,MATCH($S9,$V$3:$AI$3,0)-1))+$U9-$O9)/$G9,0),0))</f>
        <v/>
      </c>
      <c r="CI9">
        <f>IF($C9="","",IF(AND($P9="",$Q9=""),"",IF($P9="","⚠ 入庫日を ▼ から選んでください",IF(NOT(ISNUMBER($P9)),"⚠ 入庫日は ▼ から選んでください",IF($P9&lt;N('設定'!$C$6),"⚠ 入庫日が過去です（もう在庫に入っています）→ 消してください",IF($P9&gt;N('設定'!$C$6)+13,"⚠ 入庫日が14日より先です",IF(N($Q9)&lt;=0,"⚠ 入庫数を入れてください",IF($CG9&gt;0,"⚠ 目安より "&amp;$CG9&amp;" 多い（定数を超える）→ 減らす",""))))))))</f>
        <v/>
      </c>
      <c r="CJ9">
        <f>IF($C9="","",IF(AND($S9="",$T9=""),"",IF($S9="","⚠ 2便目：入庫日を ▼ から選んでください",IF(NOT(ISNUMBER($S9)),"⚠ 2便目：入庫日は ▼ から選んでください",IF($S9&lt;N('設定'!$C$6),"⚠ 2便目：入庫日が過去です（もう在庫に入っています）→ 消してください",IF($S9&gt;N('設定'!$C$6)+13,"⚠ 2便目：入庫日が14日より先です",IF(N($T9)&lt;=0,"⚠ 2便目：入庫数を入れてください",IF($CH9&gt;0,"⚠ 2便目：定数を "&amp;$CH9&amp;" ケース超える → 減らす",""))))))))</f>
        <v/>
      </c>
      <c r="CK9">
        <f>IF(AND($CI9="",N($Q9)&gt;0,ISNUMBER($P9)),1,0)</f>
        <v/>
      </c>
      <c r="CL9">
        <f>IF(AND($CJ9="",N($T9)&gt;0,ISNUMBER($S9)),1,0)</f>
        <v/>
      </c>
      <c r="CM9">
        <f>IF(OR($CK9=1,$CL9=1),1,0)</f>
        <v/>
      </c>
      <c r="CN9">
        <f>IF($C9="",0,($CK9*$R9+$CL9*$U9)*N($H9))</f>
        <v/>
      </c>
      <c r="CO9">
        <f>IF($C9="","",IF($CC9="","入庫後は 14日以上もつ",IF($CC9-N('設定'!$C$7)&lt;='設定'!$C$6,"入庫後も "&amp;TEXT($CC9,"m/d")&amp;"("&amp;CHOOSE(WEEKDAY($CC9),"日","月","火","水","木","金","土")&amp;")"&amp;" に切れる　もう1便を至急発注","入庫後も "&amp;TEXT($CC9,"m/d")&amp;"("&amp;CHOOSE(WEEKDAY($CC9),"日","月","火","水","木","金","土")&amp;")"&amp;" に切れる　"&amp;TEXT($CC9-N('設定'!$C$7),"m/d")&amp;"("&amp;CHOOSE(WEEKDAY($CC9-N('設定'!$C$7)),"日","月","火","水","木","金","土")&amp;")"&amp;" までに次を発注")))</f>
        <v/>
      </c>
      <c r="CP9">
        <f>IF($C9="","",IF('設定'!$C$6="","？ ①在庫を貼る に今日のCSVが貼られていない",IF($CS9=1,"－ 今日のCSVに無い（終売？）",IF($L9&lt;0,"● 在庫がマイナス　数えて「数えた在庫」に入れる",IF($L9=0,"● 在庫なし　至急発注",IF($M9="","？ 減り数が未設定（商品マスタ）",IF($B$3=0,"？ 動員が未入力（動員を入れる）",IF($CA9="","○ 14日以上もつ",IF($BZ9&lt;N('設定'!$C$7),"● "&amp;TEXT($CA9,"m/d")&amp;"("&amp;CHOOSE(WEEKDAY($CA9),"日","月","火","水","木","金","土")&amp;")"&amp;" に切れる　至急発注",IF($BZ9=N('設定'!$C$7),"● "&amp;TEXT($CA9,"m/d")&amp;"("&amp;CHOOSE(WEEKDAY($CA9),"日","月","火","水","木","金","土")&amp;")"&amp;" に切れる　今日発注","△ "&amp;TEXT($CA9,"m/d")&amp;"("&amp;CHOOSE(WEEKDAY($CA9),"日","月","火","水","木","金","土")&amp;")"&amp;" に切れる　"&amp;TEXT($CA9-N('設定'!$C$7),"m/d")&amp;"("&amp;CHOOSE(WEEKDAY($CA9-N('設定'!$C$7)),"日","月","火","水","木","金","土")&amp;")"&amp;" までに発注"))))))))))</f>
        <v/>
      </c>
      <c r="CQ9">
        <f>IF($C9="","",IF(AND($P9="",$Q9="",$S9="",$T9=""),"",IF(AND($P9="",$Q9=""),"⚠ 先に1便目（左の入庫日・入庫数）に入れてください",IF($CI9&lt;&gt;"",$CI9,IF($CJ9&lt;&gt;"",$CJ9,IF($M9="","？ 減り数が未設定（発注書には載ります）",IF($B$3=0,"？ 動員が未入力（発注書には載ります）",IF(AND($CA9&lt;&gt;"",$P9&gt;$CA9),IF($P9&gt;'設定'!$C$6+N('設定'!$C$7),"● "&amp;TEXT($P9,"m/d")&amp;"("&amp;CHOOSE(WEEKDAY($P9),"日","月","火","水","木","金","土")&amp;")"&amp;" の入庫では間に合わない（"&amp;TEXT($CA9,"m/d")&amp;"("&amp;CHOOSE(WEEKDAY($CA9),"日","月","火","水","木","金","土")&amp;")"&amp;" に切れる）　入庫日を早める","△ 欠品 "&amp;TEXT($CA9,"m/d")&amp;"("&amp;CHOOSE(WEEKDAY($CA9),"日","月","火","水","木","金","土")&amp;")"&amp;"〜"&amp;TEXT($P9-1,"m/d")&amp;"("&amp;CHOOSE(WEEKDAY($P9-1),"日","月","火","水","木","金","土")&amp;")"&amp;"　"&amp;$CO9),IF($CC9="","○ "&amp;TEXT($P9,"m/d")&amp;"("&amp;CHOOSE(WEEKDAY($P9),"日","月","火","水","木","金","土")&amp;")"&amp;" 入庫で 14日以上もつ",IF($CC9-N('設定'!$C$7)&lt;='設定'!$C$6,"● 入庫しても "&amp;TEXT($CC9,"m/d")&amp;"("&amp;CHOOSE(WEEKDAY($CC9),"日","月","火","水","木","金","土")&amp;")"&amp;" に切れる　もう1便を至急発注（2便目に入れる）","△ 入庫しても "&amp;TEXT($CC9,"m/d")&amp;"("&amp;CHOOSE(WEEKDAY($CC9),"日","月","火","水","木","金","土")&amp;")"&amp;" に切れる　"&amp;TEXT($CC9-N('設定'!$C$7),"m/d")&amp;"("&amp;CHOOSE(WEEKDAY($CC9-N('設定'!$C$7)),"日","月","火","水","木","金","土")&amp;")"&amp;" までに次を発注（2便目に入れる）"))))))))))</f>
        <v/>
      </c>
      <c r="CR9">
        <f>IF($C9="","",IF($G9&gt;1,"ｹｰｽ("&amp;$G9&amp;"入)","個"))</f>
        <v/>
      </c>
      <c r="CS9">
        <f>IF($C9="",0,IF(COUNTIFS('①在庫を貼る'!$V$6:$V$10005,'設定'!$C$4,'①在庫を貼る'!$W$6:$W$10005,$C9)=0,1,0))</f>
        <v/>
      </c>
      <c r="CT9">
        <f>IF(AND($CK9=1,OR('③発注書'!$C$4="すべて",'③発注書'!$C$4="",$F9='③発注書'!$C$4)),N($CT8)+1,N($CT8))</f>
        <v/>
      </c>
      <c r="CU9">
        <f>IF(AND($CL9=1,OR('③発注書'!$C$4="すべて",'③発注書'!$C$4="",$F9='③発注書'!$C$4)),N($CU8)+1,N($CU8))</f>
        <v/>
      </c>
      <c r="CV9">
        <f>IF($C9="",0,IF(COUNTIFS('①在庫を貼る'!$V$6:$V$10005,'設定'!$C$4,'①在庫を貼る'!$W$6:$W$10005,$C9)&gt;0,1,0))</f>
        <v/>
      </c>
      <c r="CW9">
        <f>IF($C9="",0,IF(COUNTIFS('月1回_1ヶ月前の在庫'!$V$6:$V$10005,'設定'!$C$4,'月1回_1ヶ月前の在庫'!$W$6:$W$10005,$C9)&gt;0,1,0))</f>
        <v/>
      </c>
      <c r="CX9">
        <f>IF($C9="",0,IF(COUNTIFS('月1回_2ヶ月前の在庫'!$V$6:$V$10005,'設定'!$C$4,'月1回_2ヶ月前の在庫'!$W$6:$W$10005,$C9)&gt;0,1,0))</f>
        <v/>
      </c>
      <c r="CY9">
        <f>IF(OR($C9="",'設定'!$C$12=""),"",IF('設定'!$C$13="",IF(AND($CV9=1,$CW9=0),"新商品（今月から）",IF(AND($CV9=0,$CW9=1),"終売（今月から）","")),IF(AND($CV9=1,$CW9=0,$CX9=0),"新商品（今月から）",IF(AND($CV9=1,$CW9=1,$CX9=0),"新商品（先月から）",IF(AND($CV9=0,$CW9=1,$CX9=1),"終売（今月から）",IF(AND($CV9=0,$CW9=0,$CX9=1),"終売（先月から）",IF(AND($CV9=1,$CW9=0,$CX9=1),"復活（先月は無し）","")))))))</f>
        <v/>
      </c>
    </row>
    <row r="10">
      <c r="B10">
        <f>IF(5&lt;='設定'!$C$11,5,"")</f>
        <v/>
      </c>
      <c r="C10">
        <f>IF($B10="","",IF($B10&lt;='設定'!$C$20,INDEX('商品マスタ'!$B$6:$B$1005,MATCH($B10,'商品マスタ'!$M$6:$M$1005,0)),IF($B10&lt;='設定'!$C$20+'設定'!$C$17,INDEX('①在庫を貼る'!$W$6:$W$10005,MATCH($B10-'設定'!$C$20,'①在庫を貼る'!$U$6:$U$10005,0)),IF($B10&lt;='設定'!$C$20+'設定'!$C$17+'設定'!$C$18,INDEX('月1回_1ヶ月前の在庫'!$W$6:$W$10005,MATCH($B10-'設定'!$C$20-'設定'!$C$17,'月1回_1ヶ月前の在庫'!$U$6:$U$10005,0)),INDEX('月1回_2ヶ月前の在庫'!$W$6:$W$10005,MATCH($B10-'設定'!$C$20-'設定'!$C$17-'設定'!$C$18,'月1回_2ヶ月前の在庫'!$U$6:$U$10005,0))))))</f>
        <v/>
      </c>
      <c r="D10">
        <f>IF($C10="","",IFERROR(IF(INDEX('商品マスタ'!$C$6:$C$1005,MATCH($C10,'商品マスタ'!$B$6:$B$1005,0))="",IFERROR(INDEX('①在庫を貼る'!$J$6:$J$10005,MATCH($C10,'①在庫を貼る'!$W$6:$W$10005,0)),IFERROR(INDEX('月1回_1ヶ月前の在庫'!$J$6:$J$10005,MATCH($C10,'月1回_1ヶ月前の在庫'!$W$6:$W$10005,0)),IFERROR(INDEX('月1回_2ヶ月前の在庫'!$J$6:$J$10005,MATCH($C10,'月1回_2ヶ月前の在庫'!$W$6:$W$10005,0)),""))),INDEX('商品マスタ'!$C$6:$C$1005,MATCH($C10,'商品マスタ'!$B$6:$B$1005,0))),IFERROR(INDEX('①在庫を貼る'!$J$6:$J$10005,MATCH($C10,'①在庫を貼る'!$W$6:$W$10005,0)),IFERROR(INDEX('月1回_1ヶ月前の在庫'!$J$6:$J$10005,MATCH($C10,'月1回_1ヶ月前の在庫'!$W$6:$W$10005,0)),IFERROR(INDEX('月1回_2ヶ月前の在庫'!$J$6:$J$10005,MATCH($C10,'月1回_2ヶ月前の在庫'!$W$6:$W$10005,0)),"")))))</f>
        <v/>
      </c>
      <c r="E10">
        <f>IF($C10="","",IFERROR(IF(INDEX('商品マスタ'!$D$6:$D$1005,MATCH($C10,'商品マスタ'!$B$6:$B$1005,0))="",IFERROR(INDEX('①在庫を貼る'!$H$6:$H$10005,MATCH($C10,'①在庫を貼る'!$W$6:$W$10005,0)),IFERROR(INDEX('月1回_1ヶ月前の在庫'!$H$6:$H$10005,MATCH($C10,'月1回_1ヶ月前の在庫'!$W$6:$W$10005,0)),IFERROR(INDEX('月1回_2ヶ月前の在庫'!$H$6:$H$10005,MATCH($C10,'月1回_2ヶ月前の在庫'!$W$6:$W$10005,0)),""))),INDEX('商品マスタ'!$D$6:$D$1005,MATCH($C10,'商品マスタ'!$B$6:$B$1005,0))),IFERROR(INDEX('①在庫を貼る'!$H$6:$H$10005,MATCH($C10,'①在庫を貼る'!$W$6:$W$10005,0)),IFERROR(INDEX('月1回_1ヶ月前の在庫'!$H$6:$H$10005,MATCH($C10,'月1回_1ヶ月前の在庫'!$W$6:$W$10005,0)),IFERROR(INDEX('月1回_2ヶ月前の在庫'!$H$6:$H$10005,MATCH($C10,'月1回_2ヶ月前の在庫'!$W$6:$W$10005,0)),"")))))</f>
        <v/>
      </c>
      <c r="F10">
        <f>IF($C10="","",IFERROR(IF(INDEX('商品マスタ'!$E$6:$E$1005,MATCH($C10,'商品マスタ'!$B$6:$B$1005,0))="",IFERROR(INDEX('①在庫を貼る'!$E$6:$E$10005,MATCH($C10,'①在庫を貼る'!$W$6:$W$10005,0)),IFERROR(INDEX('月1回_1ヶ月前の在庫'!$E$6:$E$10005,MATCH($C10,'月1回_1ヶ月前の在庫'!$W$6:$W$10005,0)),IFERROR(INDEX('月1回_2ヶ月前の在庫'!$E$6:$E$10005,MATCH($C10,'月1回_2ヶ月前の在庫'!$W$6:$W$10005,0)),""))),INDEX('商品マスタ'!$E$6:$E$1005,MATCH($C10,'商品マスタ'!$B$6:$B$1005,0))),IFERROR(INDEX('①在庫を貼る'!$E$6:$E$10005,MATCH($C10,'①在庫を貼る'!$W$6:$W$10005,0)),IFERROR(INDEX('月1回_1ヶ月前の在庫'!$E$6:$E$10005,MATCH($C10,'月1回_1ヶ月前の在庫'!$W$6:$W$10005,0)),IFERROR(INDEX('月1回_2ヶ月前の在庫'!$E$6:$E$10005,MATCH($C10,'月1回_2ヶ月前の在庫'!$W$6:$W$10005,0)),"")))))</f>
        <v/>
      </c>
      <c r="G10">
        <f>IF($C10="","",MAX(1,N(IFERROR(IF(INDEX('商品マスタ'!$F$6:$F$1005,MATCH($C10,'商品マスタ'!$B$6:$B$1005,0))="",IF(COUNTIFS('①在庫を貼る'!$V$6:$V$10005,'設定'!$C$4,'①在庫を貼る'!$W$6:$W$10005,$C10)&gt;0,SUMIFS('①在庫を貼る'!$K$6:$K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K$6:$K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K$6:$K$10005,'月1回_2ヶ月前の在庫'!$V$6:$V$10005,'設定'!$C$4,'月1回_2ヶ月前の在庫'!$W$6:$W$10005,$C10)/COUNTIFS('月1回_2ヶ月前の在庫'!$V$6:$V$10005,'設定'!$C$4,'月1回_2ヶ月前の在庫'!$W$6:$W$10005,$C10),0))),INDEX('商品マスタ'!$F$6:$F$1005,MATCH($C10,'商品マスタ'!$B$6:$B$1005,0))),IF(COUNTIFS('①在庫を貼る'!$V$6:$V$10005,'設定'!$C$4,'①在庫を貼る'!$W$6:$W$10005,$C10)&gt;0,SUMIFS('①在庫を貼る'!$K$6:$K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K$6:$K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K$6:$K$10005,'月1回_2ヶ月前の在庫'!$V$6:$V$10005,'設定'!$C$4,'月1回_2ヶ月前の在庫'!$W$6:$W$10005,$C10)/COUNTIFS('月1回_2ヶ月前の在庫'!$V$6:$V$10005,'設定'!$C$4,'月1回_2ヶ月前の在庫'!$W$6:$W$10005,$C10),0)))))))</f>
        <v/>
      </c>
      <c r="H10">
        <f>IF($C10="","",N(IFERROR(IF(INDEX('商品マスタ'!$G$6:$G$1005,MATCH($C10,'商品マスタ'!$B$6:$B$1005,0))="",IF(COUNTIFS('①在庫を貼る'!$V$6:$V$10005,'設定'!$C$4,'①在庫を貼る'!$W$6:$W$10005,$C10)&gt;0,SUMIFS('①在庫を貼る'!$Q$6:$Q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Q$6:$Q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Q$6:$Q$10005,'月1回_2ヶ月前の在庫'!$V$6:$V$10005,'設定'!$C$4,'月1回_2ヶ月前の在庫'!$W$6:$W$10005,$C10)/COUNTIFS('月1回_2ヶ月前の在庫'!$V$6:$V$10005,'設定'!$C$4,'月1回_2ヶ月前の在庫'!$W$6:$W$10005,$C10),0))),INDEX('商品マスタ'!$G$6:$G$1005,MATCH($C10,'商品マスタ'!$B$6:$B$1005,0))),IF(COUNTIFS('①在庫を貼る'!$V$6:$V$10005,'設定'!$C$4,'①在庫を貼る'!$W$6:$W$10005,$C10)&gt;0,SUMIFS('①在庫を貼る'!$Q$6:$Q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Q$6:$Q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Q$6:$Q$10005,'月1回_2ヶ月前の在庫'!$V$6:$V$10005,'設定'!$C$4,'月1回_2ヶ月前の在庫'!$W$6:$W$10005,$C10)/COUNTIFS('月1回_2ヶ月前の在庫'!$V$6:$V$10005,'設定'!$C$4,'月1回_2ヶ月前の在庫'!$W$6:$W$10005,$C10),0))))))</f>
        <v/>
      </c>
      <c r="I10">
        <f>IF($C10="","",IF(COUNTIFS('①在庫を貼る'!$V$6:$V$10005,'設定'!$C$4,'①在庫を貼る'!$W$6:$W$10005,$C10)=0,"",SUMIFS('①在庫を貼る'!$N$6:$N$10005,'①在庫を貼る'!$V$6:$V$10005,'設定'!$C$4,'①在庫を貼る'!$W$6:$W$10005,$C10)))</f>
        <v/>
      </c>
      <c r="J10">
        <f>IF($C10="","",IF('②発注する'!$AD14="","",'②発注する'!$AD14))</f>
        <v/>
      </c>
      <c r="K10" s="90">
        <f>IF($C10="","",IF('②発注する'!$AE14="","",'②発注する'!$AE14))</f>
        <v/>
      </c>
      <c r="L10">
        <f>IF($C10="","",IF(AND(ISNUMBER($J10),ISNUMBER($K10),$K10&gt;='設定'!$C$6),$J10,N($I10)))</f>
        <v/>
      </c>
      <c r="M10">
        <f>IF($C10="","",IFERROR(IF(N(INDEX('商品マスタ'!$J$6:$J$1005,MATCH($C10,'商品マスタ'!$B$6:$B$1005,0)))&gt;0,INDEX('商品マスタ'!$J$6:$J$1005,MATCH($C10,'商品マスタ'!$B$6:$B$1005,0)),""),""))</f>
        <v/>
      </c>
      <c r="N10">
        <f>IF($C10="","",IFERROR(IF(N(INDEX('商品マスタ'!$H$6:$H$1005,MATCH($C10,'商品マスタ'!$B$6:$B$1005,0)))&gt;0,INDEX('商品マスタ'!$H$6:$H$1005,MATCH($C10,'商品マスタ'!$B$6:$B$1005,0)),""),""))</f>
        <v/>
      </c>
      <c r="O10">
        <f>IF($C10="","",IF($N10&lt;&gt;"",$N10*$G10,IF(N(IF(COUNTIFS('①在庫を貼る'!$V$6:$V$10005,'設定'!$C$4,'①在庫を貼る'!$W$6:$W$10005,$C10)&gt;0,SUMIFS('①在庫を貼る'!$O$6:$O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O$6:$O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O$6:$O$10005,'月1回_2ヶ月前の在庫'!$V$6:$V$10005,'設定'!$C$4,'月1回_2ヶ月前の在庫'!$W$6:$W$10005,$C10)/COUNTIFS('月1回_2ヶ月前の在庫'!$V$6:$V$10005,'設定'!$C$4,'月1回_2ヶ月前の在庫'!$W$6:$W$10005,$C10),0))))&gt;0,N(IF(COUNTIFS('①在庫を貼る'!$V$6:$V$10005,'設定'!$C$4,'①在庫を貼る'!$W$6:$W$10005,$C10)&gt;0,SUMIFS('①在庫を貼る'!$O$6:$O$10005,'①在庫を貼る'!$V$6:$V$10005,'設定'!$C$4,'①在庫を貼る'!$W$6:$W$10005,$C10)/COUNTIFS('①在庫を貼る'!$V$6:$V$10005,'設定'!$C$4,'①在庫を貼る'!$W$6:$W$10005,$C10),IF(COUNTIFS('月1回_1ヶ月前の在庫'!$V$6:$V$10005,'設定'!$C$4,'月1回_1ヶ月前の在庫'!$W$6:$W$10005,$C10)&gt;0,SUMIFS('月1回_1ヶ月前の在庫'!$O$6:$O$10005,'月1回_1ヶ月前の在庫'!$V$6:$V$10005,'設定'!$C$4,'月1回_1ヶ月前の在庫'!$W$6:$W$10005,$C10)/COUNTIFS('月1回_1ヶ月前の在庫'!$V$6:$V$10005,'設定'!$C$4,'月1回_1ヶ月前の在庫'!$W$6:$W$10005,$C10),IF(COUNTIFS('月1回_2ヶ月前の在庫'!$V$6:$V$10005,'設定'!$C$4,'月1回_2ヶ月前の在庫'!$W$6:$W$10005,$C10)&gt;0,SUMIFS('月1回_2ヶ月前の在庫'!$O$6:$O$10005,'月1回_2ヶ月前の在庫'!$V$6:$V$10005,'設定'!$C$4,'月1回_2ヶ月前の在庫'!$W$6:$W$10005,$C10)/COUNTIFS('月1回_2ヶ月前の在庫'!$V$6:$V$10005,'設定'!$C$4,'月1回_2ヶ月前の在庫'!$W$6:$W$10005,$C10),0)))),"")))</f>
        <v/>
      </c>
      <c r="P10" s="90">
        <f>IF($C10="","",IF('②発注する'!$I14="","",'②発注する'!$I14))</f>
        <v/>
      </c>
      <c r="Q10">
        <f>IF($C10="","",IF('②発注する'!$J14="","",'②発注する'!$J14))</f>
        <v/>
      </c>
      <c r="R10">
        <f>IF($C10="",0,IF(AND(ISNUMBER($P10),ISNUMBER($Q10)),MAX(0,$Q10)*$G10,0))</f>
        <v/>
      </c>
      <c r="S10" s="90">
        <f>IF($C10="","",IF('②発注する'!$M14="","",'②発注する'!$M14))</f>
        <v/>
      </c>
      <c r="T10">
        <f>IF($C10="","",IF('②発注する'!$N14="","",'②発注する'!$N14))</f>
        <v/>
      </c>
      <c r="U10">
        <f>IF($C10="",0,IF(AND(ISNUMBER($S10),ISNUMBER($T10)),MAX(0,$T10)*$G10,0))</f>
        <v/>
      </c>
      <c r="V10">
        <f>IF($C10="",0,IF($M10="",0,MAX(0,$M10)*MAX(0,V$4)/100))</f>
        <v/>
      </c>
      <c r="W10">
        <f>IF($C10="",0,IF($M10="",0,MAX(0,$M10)*MAX(0,W$4)/100))</f>
        <v/>
      </c>
      <c r="X10">
        <f>IF($C10="",0,IF($M10="",0,MAX(0,$M10)*MAX(0,X$4)/100))</f>
        <v/>
      </c>
      <c r="Y10">
        <f>IF($C10="",0,IF($M10="",0,MAX(0,$M10)*MAX(0,Y$4)/100))</f>
        <v/>
      </c>
      <c r="Z10">
        <f>IF($C10="",0,IF($M10="",0,MAX(0,$M10)*MAX(0,Z$4)/100))</f>
        <v/>
      </c>
      <c r="AA10">
        <f>IF($C10="",0,IF($M10="",0,MAX(0,$M10)*MAX(0,AA$4)/100))</f>
        <v/>
      </c>
      <c r="AB10">
        <f>IF($C10="",0,IF($M10="",0,MAX(0,$M10)*MAX(0,AB$4)/100))</f>
        <v/>
      </c>
      <c r="AC10">
        <f>IF($C10="",0,IF($M10="",0,MAX(0,$M10)*MAX(0,AC$4)/100))</f>
        <v/>
      </c>
      <c r="AD10">
        <f>IF($C10="",0,IF($M10="",0,MAX(0,$M10)*MAX(0,AD$4)/100))</f>
        <v/>
      </c>
      <c r="AE10">
        <f>IF($C10="",0,IF($M10="",0,MAX(0,$M10)*MAX(0,AE$4)/100))</f>
        <v/>
      </c>
      <c r="AF10">
        <f>IF($C10="",0,IF($M10="",0,MAX(0,$M10)*MAX(0,AF$4)/100))</f>
        <v/>
      </c>
      <c r="AG10">
        <f>IF($C10="",0,IF($M10="",0,MAX(0,$M10)*MAX(0,AG$4)/100))</f>
        <v/>
      </c>
      <c r="AH10">
        <f>IF($C10="",0,IF($M10="",0,MAX(0,$M10)*MAX(0,AH$4)/100))</f>
        <v/>
      </c>
      <c r="AI10">
        <f>IF($C10="",0,IF($M10="",0,MAX(0,$M10)*MAX(0,AI$4)/100))</f>
        <v/>
      </c>
      <c r="AJ10">
        <f>IF($C10="",0,MAX(0,MAX(0,N($L10))-$V10))</f>
        <v/>
      </c>
      <c r="AK10">
        <f>IF($C10="",0,MAX(0,$AJ10-$W10))</f>
        <v/>
      </c>
      <c r="AL10">
        <f>IF($C10="",0,MAX(0,$AK10-$X10))</f>
        <v/>
      </c>
      <c r="AM10">
        <f>IF($C10="",0,MAX(0,$AL10-$Y10))</f>
        <v/>
      </c>
      <c r="AN10">
        <f>IF($C10="",0,MAX(0,$AM10-$Z10))</f>
        <v/>
      </c>
      <c r="AO10">
        <f>IF($C10="",0,MAX(0,$AN10-$AA10))</f>
        <v/>
      </c>
      <c r="AP10">
        <f>IF($C10="",0,MAX(0,$AO10-$AB10))</f>
        <v/>
      </c>
      <c r="AQ10">
        <f>IF($C10="",0,MAX(0,$AP10-$AC10))</f>
        <v/>
      </c>
      <c r="AR10">
        <f>IF($C10="",0,MAX(0,$AQ10-$AD10))</f>
        <v/>
      </c>
      <c r="AS10">
        <f>IF($C10="",0,MAX(0,$AR10-$AE10))</f>
        <v/>
      </c>
      <c r="AT10">
        <f>IF($C10="",0,MAX(0,$AS10-$AF10))</f>
        <v/>
      </c>
      <c r="AU10">
        <f>IF($C10="",0,MAX(0,$AT10-$AG10))</f>
        <v/>
      </c>
      <c r="AV10">
        <f>IF($C10="",0,MAX(0,$AU10-$AH10))</f>
        <v/>
      </c>
      <c r="AW10">
        <f>IF($C10="",0,MAX(0,$AV10-$AI10))</f>
        <v/>
      </c>
      <c r="AX10">
        <f>IF($C10="",0,MAX(0,MAX(0,N($L10))+IF($P10=V$3,$R10,0)+IF($S10=V$3,$U10,0)-$V10))</f>
        <v/>
      </c>
      <c r="AY10">
        <f>IF($C10="",0,MAX(0,$AX10+IF($P10=W$3,$R10,0)+IF($S10=W$3,$U10,0)-$W10))</f>
        <v/>
      </c>
      <c r="AZ10">
        <f>IF($C10="",0,MAX(0,$AY10+IF($P10=X$3,$R10,0)+IF($S10=X$3,$U10,0)-$X10))</f>
        <v/>
      </c>
      <c r="BA10">
        <f>IF($C10="",0,MAX(0,$AZ10+IF($P10=Y$3,$R10,0)+IF($S10=Y$3,$U10,0)-$Y10))</f>
        <v/>
      </c>
      <c r="BB10">
        <f>IF($C10="",0,MAX(0,$BA10+IF($P10=Z$3,$R10,0)+IF($S10=Z$3,$U10,0)-$Z10))</f>
        <v/>
      </c>
      <c r="BC10">
        <f>IF($C10="",0,MAX(0,$BB10+IF($P10=AA$3,$R10,0)+IF($S10=AA$3,$U10,0)-$AA10))</f>
        <v/>
      </c>
      <c r="BD10">
        <f>IF($C10="",0,MAX(0,$BC10+IF($P10=AB$3,$R10,0)+IF($S10=AB$3,$U10,0)-$AB10))</f>
        <v/>
      </c>
      <c r="BE10">
        <f>IF($C10="",0,MAX(0,$BD10+IF($P10=AC$3,$R10,0)+IF($S10=AC$3,$U10,0)-$AC10))</f>
        <v/>
      </c>
      <c r="BF10">
        <f>IF($C10="",0,MAX(0,$BE10+IF($P10=AD$3,$R10,0)+IF($S10=AD$3,$U10,0)-$AD10))</f>
        <v/>
      </c>
      <c r="BG10">
        <f>IF($C10="",0,MAX(0,$BF10+IF($P10=AE$3,$R10,0)+IF($S10=AE$3,$U10,0)-$AE10))</f>
        <v/>
      </c>
      <c r="BH10">
        <f>IF($C10="",0,MAX(0,$BG10+IF($P10=AF$3,$R10,0)+IF($S10=AF$3,$U10,0)-$AF10))</f>
        <v/>
      </c>
      <c r="BI10">
        <f>IF($C10="",0,MAX(0,$BH10+IF($P10=AG$3,$R10,0)+IF($S10=AG$3,$U10,0)-$AG10))</f>
        <v/>
      </c>
      <c r="BJ10">
        <f>IF($C10="",0,MAX(0,$BI10+IF($P10=AH$3,$R10,0)+IF($S10=AH$3,$U10,0)-$AH10))</f>
        <v/>
      </c>
      <c r="BK10">
        <f>IF($C10="",0,MAX(0,$BJ10+IF($P10=AI$3,$R10,0)+IF($S10=AI$3,$U10,0)-$AI10))</f>
        <v/>
      </c>
      <c r="BL10">
        <f>IF($C10="",99,IF(AND($AX10&lt;1,V$3&gt;=MAX(N($P10),N($S10))),0,99))</f>
        <v/>
      </c>
      <c r="BM10">
        <f>IF($C10="",99,IF(AND($AY10&lt;1,W$3&gt;=MAX(N($P10),N($S10))),1,99))</f>
        <v/>
      </c>
      <c r="BN10">
        <f>IF($C10="",99,IF(AND($AZ10&lt;1,X$3&gt;=MAX(N($P10),N($S10))),2,99))</f>
        <v/>
      </c>
      <c r="BO10">
        <f>IF($C10="",99,IF(AND($BA10&lt;1,Y$3&gt;=MAX(N($P10),N($S10))),3,99))</f>
        <v/>
      </c>
      <c r="BP10">
        <f>IF($C10="",99,IF(AND($BB10&lt;1,Z$3&gt;=MAX(N($P10),N($S10))),4,99))</f>
        <v/>
      </c>
      <c r="BQ10">
        <f>IF($C10="",99,IF(AND($BC10&lt;1,AA$3&gt;=MAX(N($P10),N($S10))),5,99))</f>
        <v/>
      </c>
      <c r="BR10">
        <f>IF($C10="",99,IF(AND($BD10&lt;1,AB$3&gt;=MAX(N($P10),N($S10))),6,99))</f>
        <v/>
      </c>
      <c r="BS10">
        <f>IF($C10="",99,IF(AND($BE10&lt;1,AC$3&gt;=MAX(N($P10),N($S10))),7,99))</f>
        <v/>
      </c>
      <c r="BT10">
        <f>IF($C10="",99,IF(AND($BF10&lt;1,AD$3&gt;=MAX(N($P10),N($S10))),8,99))</f>
        <v/>
      </c>
      <c r="BU10">
        <f>IF($C10="",99,IF(AND($BG10&lt;1,AE$3&gt;=MAX(N($P10),N($S10))),9,99))</f>
        <v/>
      </c>
      <c r="BV10">
        <f>IF($C10="",99,IF(AND($BH10&lt;1,AF$3&gt;=MAX(N($P10),N($S10))),10,99))</f>
        <v/>
      </c>
      <c r="BW10">
        <f>IF($C10="",99,IF(AND($BI10&lt;1,AG$3&gt;=MAX(N($P10),N($S10))),11,99))</f>
        <v/>
      </c>
      <c r="BX10">
        <f>IF($C10="",99,IF(AND($BJ10&lt;1,AH$3&gt;=MAX(N($P10),N($S10))),12,99))</f>
        <v/>
      </c>
      <c r="BY10">
        <f>IF($C10="",99,IF(AND($BK10&lt;1,AI$3&gt;=MAX(N($P10),N($S10))),13,99))</f>
        <v/>
      </c>
      <c r="BZ10">
        <f>IF(OR($C10="",$M10=""),"",COUNTIF($AJ10:$AW10,"&gt;=1"))</f>
        <v/>
      </c>
      <c r="CA10" s="90">
        <f>IF($BZ10="","",IF($BZ10&gt;=14,"",'設定'!$C$6+$BZ10))</f>
        <v/>
      </c>
      <c r="CB10">
        <f>IF(OR($C10="",$M10=""),"",MIN($BL10:$BY10))</f>
        <v/>
      </c>
      <c r="CC10" s="90">
        <f>IF($CB10="","",IF($CB10&gt;=99,"",'設定'!$C$6+$CB10))</f>
        <v/>
      </c>
      <c r="CD10">
        <f>IF(OR($C10="",$M10=""),"",AVERAGE($V10:$AI10))</f>
        <v/>
      </c>
      <c r="CE10">
        <f>IF($C10="","",IFERROR(IF(MATCH(IF(ISNUMBER($P10),$P10,'設定'!$C$6+N('設定'!$C$7)),$V$3:$AI$3,0)=1,MAX(0,N($L10)),INDEX($AJ10:$AW10,MATCH(IF(ISNUMBER($P10),$P10,'設定'!$C$6+N('設定'!$C$7)),$V$3:$AI$3,0)-1)),""))</f>
        <v/>
      </c>
      <c r="CF10">
        <f>IF(OR($C10="",$O10="",$CE10=""),"",IF($O10-$CE10&lt;=0,0,ROUNDUP(($O10-$CE10)/$G10,0)))</f>
        <v/>
      </c>
      <c r="CG10">
        <f>IF(OR($C10="",$CF10="",NOT(ISNUMBER($Q10))),0,MAX(0,$Q10-$CF10))</f>
        <v/>
      </c>
      <c r="CH10">
        <f>IF(OR($C10="",$O10="",$U10=0),0,IFERROR(ROUNDUP(MAX(0,IF(MATCH($S10,$V$3:$AI$3,0)=1,MAX(0,N($L10)),INDEX($AX10:$BK10,MATCH($S10,$V$3:$AI$3,0)-1))+$U10-$O10)/$G10,0),0))</f>
        <v/>
      </c>
      <c r="CI10">
        <f>IF($C10="","",IF(AND($P10="",$Q10=""),"",IF($P10="","⚠ 入庫日を ▼ から選んでください",IF(NOT(ISNUMBER($P10)),"⚠ 入庫日は ▼ から選んでください",IF($P10&lt;N('設定'!$C$6),"⚠ 入庫日が過去です（もう在庫に入っています）→ 消してください",IF($P10&gt;N('設定'!$C$6)+13,"⚠ 入庫日が14日より先です",IF(N($Q10)&lt;=0,"⚠ 入庫数を入れてください",IF($CG10&gt;0,"⚠ 目安より "&amp;$CG10&amp;" 多い（定数を超える）→ 減らす",""))))))))</f>
        <v/>
      </c>
      <c r="CJ10">
        <f>IF($C10="","",IF(AND($S10="",$T10=""),"",IF($S10="","⚠ 2便目：入庫日を ▼ から選んでください",IF(NOT(ISNUMBER($S10)),"⚠ 2便目：入庫日は ▼ から選んでください",IF($S10&lt;N('設定'!$C$6),"⚠ 2便目：入庫日が過去です（もう在庫に入っています）→ 消してください",IF($S10&gt;N('設定'!$C$6)+13,"⚠ 2便目：入庫日が14日より先です",IF(N($T10)&lt;=0,"⚠ 2便目：入庫数を入れてください",IF($CH10&gt;0,"⚠ 2便目：定数を "&amp;$CH10&amp;" ケース超える → 減らす",""))))))))</f>
        <v/>
      </c>
      <c r="CK10">
        <f>IF(AND($CI10="",N($Q10)&gt;0,ISNUMBER($P10)),1,0)</f>
        <v/>
      </c>
      <c r="CL10">
        <f>IF(AND($CJ10="",N($T10)&gt;0,ISNUMBER($S10)),1,0)</f>
        <v/>
      </c>
      <c r="CM10">
        <f>IF(OR($CK10=1,$CL10=1),1,0)</f>
        <v/>
      </c>
      <c r="CN10">
        <f>IF($C10="",0,($CK10*$R10+$CL10*$U10)*N($H10))</f>
        <v/>
      </c>
      <c r="CO10">
        <f>IF($C10="","",IF($CC10="","入庫後は 14日以上もつ",IF($CC10-N('設定'!$C$7)&lt;='設定'!$C$6,"入庫後も "&amp;TEXT($CC10,"m/d")&amp;"("&amp;CHOOSE(WEEKDAY($CC10),"日","月","火","水","木","金","土")&amp;")"&amp;" に切れる　もう1便を至急発注","入庫後も "&amp;TEXT($CC10,"m/d")&amp;"("&amp;CHOOSE(WEEKDAY($CC10),"日","月","火","水","木","金","土")&amp;")"&amp;" に切れる　"&amp;TEXT($CC10-N('設定'!$C$7),"m/d")&amp;"("&amp;CHOOSE(WEEKDAY($CC10-N('設定'!$C$7)),"日","月","火","水","木","金","土")&amp;")"&amp;" までに次を発注")))</f>
        <v/>
      </c>
      <c r="CP10">
        <f>IF($C10="","",IF('設定'!$C$6="","？ ①在庫を貼る に今日のCSVが貼られていない",IF($CS10=1,"－ 今日のCSVに無い（終売？）",IF($L10&lt;0,"● 在庫がマイナス　数えて「数えた在庫」に入れる",IF($L10=0,"● 在庫なし　至急発注",IF($M10="","？ 減り数が未設定（商品マスタ）",IF($B$3=0,"？ 動員が未入力（動員を入れる）",IF($CA10="","○ 14日以上もつ",IF($BZ10&lt;N('設定'!$C$7),"● "&amp;TEXT($CA10,"m/d")&amp;"("&amp;CHOOSE(WEEKDAY($CA10),"日","月","火","水","木","金","土")&amp;")"&amp;" に切れる　至急発注",IF($BZ10=N('設定'!$C$7),"● "&amp;TEXT($CA10,"m/d")&amp;"("&amp;CHOOSE(WEEKDAY($CA10),"日","月","火","水","木","金","土")&amp;")"&amp;" に切れる　今日発注","△ "&amp;TEXT($CA10,"m/d")&amp;"("&amp;CHOOSE(WEEKDAY($CA10),"日","月","火","水","木","金","土")&amp;")"&amp;" に切れる　"&amp;TEXT($CA10-N('設定'!$C$7),"m/d")&amp;"("&amp;CHOOSE(WEEKDAY($CA10-N('設定'!$C$7)),"日","月","火","水","木","金","土")&amp;")"&amp;" までに発注"))))))))))</f>
        <v/>
      </c>
      <c r="CQ10">
        <f>IF($C10="","",IF(AND($P10="",$Q10="",$S10="",$T10=""),"",IF(AND($P10="",$Q10=""),"⚠ 先に1便目（左の入庫日・入庫数）に入れてください",IF($CI10&lt;&gt;"",$CI10,IF($CJ10&lt;&gt;"",$CJ10,IF($M10="","？ 減り数が未設定（発注書には載ります）",IF($B$3=0,"？ 動員が未入力（発注書には載ります）",IF(AND($CA10&lt;&gt;"",$P10&gt;$CA10),IF($P10&gt;'設定'!$C$6+N('設定'!$C$7),"● "&amp;TEXT($P10,"m/d")&amp;"("&amp;CHOOSE(WEEKDAY($P10),"日","月","火","水","木","金","土")&amp;")"&amp;" の入庫では間に合わない（"&amp;TEXT($CA10,"m/d")&amp;"("&amp;CHOOSE(WEEKDAY($CA10),"日","月","火","水","木","金","土")&amp;")"&amp;" に切れる）　入庫日を早める","△ 欠品 "&amp;TEXT($CA10,"m/d")&amp;"("&amp;CHOOSE(WEEKDAY($CA10),"日","月","火","水","木","金","土")&amp;")"&amp;"〜"&amp;TEXT($P10-1,"m/d")&amp;"("&amp;CHOOSE(WEEKDAY($P10-1),"日","月","火","水","木","金","土")&amp;")"&amp;"　"&amp;$CO10),IF($CC10="","○ "&amp;TEXT($P10,"m/d")&amp;"("&amp;CHOOSE(WEEKDAY($P10),"日","月","火","水","木","金","土")&amp;")"&amp;" 入庫で 14日以上もつ",IF($CC10-N('設定'!$C$7)&lt;='設定'!$C$6,"● 入庫しても "&amp;TEXT($CC10,"m/d")&amp;"("&amp;CHOOSE(WEEKDAY($CC10),"日","月","火","水","木","金","土")&amp;")"&amp;" に切れる　もう1便を至急発注（2便目に入れる）","△ 入庫しても "&amp;TEXT($CC10,"m/d")&amp;"("&amp;CHOOSE(WEEKDAY($CC10),"日","月","火","水","木","金","土")&amp;")"&amp;" に切れる　"&amp;TEXT($CC10-N('設定'!$C$7),"m/d")&amp;"("&amp;CHOOSE(WEEKDAY($CC10-N('設定'!$C$7)),"日","月","火","水","木","金","土")&amp;")"&amp;" までに次を発注（2便目に入れる）"))))))))))</f>
        <v/>
      </c>
      <c r="CR10">
        <f>IF($C10="","",IF($G10&gt;1,"ｹｰｽ("&amp;$G10&amp;"入)","個"))</f>
        <v/>
      </c>
      <c r="CS10">
        <f>IF($C10="",0,IF(COUNTIFS('①在庫を貼る'!$V$6:$V$10005,'設定'!$C$4,'①在庫を貼る'!$W$6:$W$10005,$C10)=0,1,0))</f>
        <v/>
      </c>
      <c r="CT10">
        <f>IF(AND($CK10=1,OR('③発注書'!$C$4="すべて",'③発注書'!$C$4="",$F10='③発注書'!$C$4)),N($CT9)+1,N($CT9))</f>
        <v/>
      </c>
      <c r="CU10">
        <f>IF(AND($CL10=1,OR('③発注書'!$C$4="すべて",'③発注書'!$C$4="",$F10='③発注書'!$C$4)),N($CU9)+1,N($CU9))</f>
        <v/>
      </c>
      <c r="CV10">
        <f>IF($C10="",0,IF(COUNTIFS('①在庫を貼る'!$V$6:$V$10005,'設定'!$C$4,'①在庫を貼る'!$W$6:$W$10005,$C10)&gt;0,1,0))</f>
        <v/>
      </c>
      <c r="CW10">
        <f>IF($C10="",0,IF(COUNTIFS('月1回_1ヶ月前の在庫'!$V$6:$V$10005,'設定'!$C$4,'月1回_1ヶ月前の在庫'!$W$6:$W$10005,$C10)&gt;0,1,0))</f>
        <v/>
      </c>
      <c r="CX10">
        <f>IF($C10="",0,IF(COUNTIFS('月1回_2ヶ月前の在庫'!$V$6:$V$10005,'設定'!$C$4,'月1回_2ヶ月前の在庫'!$W$6:$W$10005,$C10)&gt;0,1,0))</f>
        <v/>
      </c>
      <c r="CY10">
        <f>IF(OR($C10="",'設定'!$C$12=""),"",IF('設定'!$C$13="",IF(AND($CV10=1,$CW10=0),"新商品（今月から）",IF(AND($CV10=0,$CW10=1),"終売（今月から）","")),IF(AND($CV10=1,$CW10=0,$CX10=0),"新商品（今月から）",IF(AND($CV10=1,$CW10=1,$CX10=0),"新商品（先月から）",IF(AND($CV10=0,$CW10=1,$CX10=1),"終売（今月から）",IF(AND($CV10=0,$CW10=0,$CX10=1),"終売（先月から）",IF(AND($CV10=1,$CW10=0,$CX10=1),"復活（先月は無し）","")))))))</f>
        <v/>
      </c>
    </row>
    <row r="11">
      <c r="B11">
        <f>IF(6&lt;='設定'!$C$11,6,"")</f>
        <v/>
      </c>
      <c r="C11">
        <f>IF($B11="","",IF($B11&lt;='設定'!$C$20,INDEX('商品マスタ'!$B$6:$B$1005,MATCH($B11,'商品マスタ'!$M$6:$M$1005,0)),IF($B11&lt;='設定'!$C$20+'設定'!$C$17,INDEX('①在庫を貼る'!$W$6:$W$10005,MATCH($B11-'設定'!$C$20,'①在庫を貼る'!$U$6:$U$10005,0)),IF($B11&lt;='設定'!$C$20+'設定'!$C$17+'設定'!$C$18,INDEX('月1回_1ヶ月前の在庫'!$W$6:$W$10005,MATCH($B11-'設定'!$C$20-'設定'!$C$17,'月1回_1ヶ月前の在庫'!$U$6:$U$10005,0)),INDEX('月1回_2ヶ月前の在庫'!$W$6:$W$10005,MATCH($B11-'設定'!$C$20-'設定'!$C$17-'設定'!$C$18,'月1回_2ヶ月前の在庫'!$U$6:$U$10005,0))))))</f>
        <v/>
      </c>
      <c r="D11">
        <f>IF($C11="","",IFERROR(IF(INDEX('商品マスタ'!$C$6:$C$1005,MATCH($C11,'商品マスタ'!$B$6:$B$1005,0))="",IFERROR(INDEX('①在庫を貼る'!$J$6:$J$10005,MATCH($C11,'①在庫を貼る'!$W$6:$W$10005,0)),IFERROR(INDEX('月1回_1ヶ月前の在庫'!$J$6:$J$10005,MATCH($C11,'月1回_1ヶ月前の在庫'!$W$6:$W$10005,0)),IFERROR(INDEX('月1回_2ヶ月前の在庫'!$J$6:$J$10005,MATCH($C11,'月1回_2ヶ月前の在庫'!$W$6:$W$10005,0)),""))),INDEX('商品マスタ'!$C$6:$C$1005,MATCH($C11,'商品マスタ'!$B$6:$B$1005,0))),IFERROR(INDEX('①在庫を貼る'!$J$6:$J$10005,MATCH($C11,'①在庫を貼る'!$W$6:$W$10005,0)),IFERROR(INDEX('月1回_1ヶ月前の在庫'!$J$6:$J$10005,MATCH($C11,'月1回_1ヶ月前の在庫'!$W$6:$W$10005,0)),IFERROR(INDEX('月1回_2ヶ月前の在庫'!$J$6:$J$10005,MATCH($C11,'月1回_2ヶ月前の在庫'!$W$6:$W$10005,0)),"")))))</f>
        <v/>
      </c>
      <c r="E11">
        <f>IF($C11="","",IFERROR(IF(INDEX('商品マスタ'!$D$6:$D$1005,MATCH($C11,'商品マスタ'!$B$6:$B$1005,0))="",IFERROR(INDEX('①在庫を貼る'!$H$6:$H$10005,MATCH($C11,'①在庫を貼る'!$W$6:$W$10005,0)),IFERROR(INDEX('月1回_1ヶ月前の在庫'!$H$6:$H$10005,MATCH($C11,'月1回_1ヶ月前の在庫'!$W$6:$W$10005,0)),IFERROR(INDEX('月1回_2ヶ月前の在庫'!$H$6:$H$10005,MATCH($C11,'月1回_2ヶ月前の在庫'!$W$6:$W$10005,0)),""))),INDEX('商品マスタ'!$D$6:$D$1005,MATCH($C11,'商品マスタ'!$B$6:$B$1005,0))),IFERROR(INDEX('①在庫を貼る'!$H$6:$H$10005,MATCH($C11,'①在庫を貼る'!$W$6:$W$10005,0)),IFERROR(INDEX('月1回_1ヶ月前の在庫'!$H$6:$H$10005,MATCH($C11,'月1回_1ヶ月前の在庫'!$W$6:$W$10005,0)),IFERROR(INDEX('月1回_2ヶ月前の在庫'!$H$6:$H$10005,MATCH($C11,'月1回_2ヶ月前の在庫'!$W$6:$W$10005,0)),"")))))</f>
        <v/>
      </c>
      <c r="F11">
        <f>IF($C11="","",IFERROR(IF(INDEX('商品マスタ'!$E$6:$E$1005,MATCH($C11,'商品マスタ'!$B$6:$B$1005,0))="",IFERROR(INDEX('①在庫を貼る'!$E$6:$E$10005,MATCH($C11,'①在庫を貼る'!$W$6:$W$10005,0)),IFERROR(INDEX('月1回_1ヶ月前の在庫'!$E$6:$E$10005,MATCH($C11,'月1回_1ヶ月前の在庫'!$W$6:$W$10005,0)),IFERROR(INDEX('月1回_2ヶ月前の在庫'!$E$6:$E$10005,MATCH($C11,'月1回_2ヶ月前の在庫'!$W$6:$W$10005,0)),""))),INDEX('商品マスタ'!$E$6:$E$1005,MATCH($C11,'商品マスタ'!$B$6:$B$1005,0))),IFERROR(INDEX('①在庫を貼る'!$E$6:$E$10005,MATCH($C11,'①在庫を貼る'!$W$6:$W$10005,0)),IFERROR(INDEX('月1回_1ヶ月前の在庫'!$E$6:$E$10005,MATCH($C11,'月1回_1ヶ月前の在庫'!$W$6:$W$10005,0)),IFERROR(INDEX('月1回_2ヶ月前の在庫'!$E$6:$E$10005,MATCH($C11,'月1回_2ヶ月前の在庫'!$W$6:$W$10005,0)),"")))))</f>
        <v/>
      </c>
      <c r="G11">
        <f>IF($C11="","",MAX(1,N(IFERROR(IF(INDEX('商品マスタ'!$F$6:$F$1005,MATCH($C11,'商品マスタ'!$B$6:$B$1005,0))="",IF(COUNTIFS('①在庫を貼る'!$V$6:$V$10005,'設定'!$C$4,'①在庫を貼る'!$W$6:$W$10005,$C11)&gt;0,SUMIFS('①在庫を貼る'!$K$6:$K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K$6:$K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K$6:$K$10005,'月1回_2ヶ月前の在庫'!$V$6:$V$10005,'設定'!$C$4,'月1回_2ヶ月前の在庫'!$W$6:$W$10005,$C11)/COUNTIFS('月1回_2ヶ月前の在庫'!$V$6:$V$10005,'設定'!$C$4,'月1回_2ヶ月前の在庫'!$W$6:$W$10005,$C11),0))),INDEX('商品マスタ'!$F$6:$F$1005,MATCH($C11,'商品マスタ'!$B$6:$B$1005,0))),IF(COUNTIFS('①在庫を貼る'!$V$6:$V$10005,'設定'!$C$4,'①在庫を貼る'!$W$6:$W$10005,$C11)&gt;0,SUMIFS('①在庫を貼る'!$K$6:$K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K$6:$K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K$6:$K$10005,'月1回_2ヶ月前の在庫'!$V$6:$V$10005,'設定'!$C$4,'月1回_2ヶ月前の在庫'!$W$6:$W$10005,$C11)/COUNTIFS('月1回_2ヶ月前の在庫'!$V$6:$V$10005,'設定'!$C$4,'月1回_2ヶ月前の在庫'!$W$6:$W$10005,$C11),0)))))))</f>
        <v/>
      </c>
      <c r="H11">
        <f>IF($C11="","",N(IFERROR(IF(INDEX('商品マスタ'!$G$6:$G$1005,MATCH($C11,'商品マスタ'!$B$6:$B$1005,0))="",IF(COUNTIFS('①在庫を貼る'!$V$6:$V$10005,'設定'!$C$4,'①在庫を貼る'!$W$6:$W$10005,$C11)&gt;0,SUMIFS('①在庫を貼る'!$Q$6:$Q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Q$6:$Q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Q$6:$Q$10005,'月1回_2ヶ月前の在庫'!$V$6:$V$10005,'設定'!$C$4,'月1回_2ヶ月前の在庫'!$W$6:$W$10005,$C11)/COUNTIFS('月1回_2ヶ月前の在庫'!$V$6:$V$10005,'設定'!$C$4,'月1回_2ヶ月前の在庫'!$W$6:$W$10005,$C11),0))),INDEX('商品マスタ'!$G$6:$G$1005,MATCH($C11,'商品マスタ'!$B$6:$B$1005,0))),IF(COUNTIFS('①在庫を貼る'!$V$6:$V$10005,'設定'!$C$4,'①在庫を貼る'!$W$6:$W$10005,$C11)&gt;0,SUMIFS('①在庫を貼る'!$Q$6:$Q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Q$6:$Q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Q$6:$Q$10005,'月1回_2ヶ月前の在庫'!$V$6:$V$10005,'設定'!$C$4,'月1回_2ヶ月前の在庫'!$W$6:$W$10005,$C11)/COUNTIFS('月1回_2ヶ月前の在庫'!$V$6:$V$10005,'設定'!$C$4,'月1回_2ヶ月前の在庫'!$W$6:$W$10005,$C11),0))))))</f>
        <v/>
      </c>
      <c r="I11">
        <f>IF($C11="","",IF(COUNTIFS('①在庫を貼る'!$V$6:$V$10005,'設定'!$C$4,'①在庫を貼る'!$W$6:$W$10005,$C11)=0,"",SUMIFS('①在庫を貼る'!$N$6:$N$10005,'①在庫を貼る'!$V$6:$V$10005,'設定'!$C$4,'①在庫を貼る'!$W$6:$W$10005,$C11)))</f>
        <v/>
      </c>
      <c r="J11">
        <f>IF($C11="","",IF('②発注する'!$AD15="","",'②発注する'!$AD15))</f>
        <v/>
      </c>
      <c r="K11" s="90">
        <f>IF($C11="","",IF('②発注する'!$AE15="","",'②発注する'!$AE15))</f>
        <v/>
      </c>
      <c r="L11">
        <f>IF($C11="","",IF(AND(ISNUMBER($J11),ISNUMBER($K11),$K11&gt;='設定'!$C$6),$J11,N($I11)))</f>
        <v/>
      </c>
      <c r="M11">
        <f>IF($C11="","",IFERROR(IF(N(INDEX('商品マスタ'!$J$6:$J$1005,MATCH($C11,'商品マスタ'!$B$6:$B$1005,0)))&gt;0,INDEX('商品マスタ'!$J$6:$J$1005,MATCH($C11,'商品マスタ'!$B$6:$B$1005,0)),""),""))</f>
        <v/>
      </c>
      <c r="N11">
        <f>IF($C11="","",IFERROR(IF(N(INDEX('商品マスタ'!$H$6:$H$1005,MATCH($C11,'商品マスタ'!$B$6:$B$1005,0)))&gt;0,INDEX('商品マスタ'!$H$6:$H$1005,MATCH($C11,'商品マスタ'!$B$6:$B$1005,0)),""),""))</f>
        <v/>
      </c>
      <c r="O11">
        <f>IF($C11="","",IF($N11&lt;&gt;"",$N11*$G11,IF(N(IF(COUNTIFS('①在庫を貼る'!$V$6:$V$10005,'設定'!$C$4,'①在庫を貼る'!$W$6:$W$10005,$C11)&gt;0,SUMIFS('①在庫を貼る'!$O$6:$O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O$6:$O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O$6:$O$10005,'月1回_2ヶ月前の在庫'!$V$6:$V$10005,'設定'!$C$4,'月1回_2ヶ月前の在庫'!$W$6:$W$10005,$C11)/COUNTIFS('月1回_2ヶ月前の在庫'!$V$6:$V$10005,'設定'!$C$4,'月1回_2ヶ月前の在庫'!$W$6:$W$10005,$C11),0))))&gt;0,N(IF(COUNTIFS('①在庫を貼る'!$V$6:$V$10005,'設定'!$C$4,'①在庫を貼る'!$W$6:$W$10005,$C11)&gt;0,SUMIFS('①在庫を貼る'!$O$6:$O$10005,'①在庫を貼る'!$V$6:$V$10005,'設定'!$C$4,'①在庫を貼る'!$W$6:$W$10005,$C11)/COUNTIFS('①在庫を貼る'!$V$6:$V$10005,'設定'!$C$4,'①在庫を貼る'!$W$6:$W$10005,$C11),IF(COUNTIFS('月1回_1ヶ月前の在庫'!$V$6:$V$10005,'設定'!$C$4,'月1回_1ヶ月前の在庫'!$W$6:$W$10005,$C11)&gt;0,SUMIFS('月1回_1ヶ月前の在庫'!$O$6:$O$10005,'月1回_1ヶ月前の在庫'!$V$6:$V$10005,'設定'!$C$4,'月1回_1ヶ月前の在庫'!$W$6:$W$10005,$C11)/COUNTIFS('月1回_1ヶ月前の在庫'!$V$6:$V$10005,'設定'!$C$4,'月1回_1ヶ月前の在庫'!$W$6:$W$10005,$C11),IF(COUNTIFS('月1回_2ヶ月前の在庫'!$V$6:$V$10005,'設定'!$C$4,'月1回_2ヶ月前の在庫'!$W$6:$W$10005,$C11)&gt;0,SUMIFS('月1回_2ヶ月前の在庫'!$O$6:$O$10005,'月1回_2ヶ月前の在庫'!$V$6:$V$10005,'設定'!$C$4,'月1回_2ヶ月前の在庫'!$W$6:$W$10005,$C11)/COUNTIFS('月1回_2ヶ月前の在庫'!$V$6:$V$10005,'設定'!$C$4,'月1回_2ヶ月前の在庫'!$W$6:$W$10005,$C11),0)))),"")))</f>
        <v/>
      </c>
      <c r="P11" s="90">
        <f>IF($C11="","",IF('②発注する'!$I15="","",'②発注する'!$I15))</f>
        <v/>
      </c>
      <c r="Q11">
        <f>IF($C11="","",IF('②発注する'!$J15="","",'②発注する'!$J15))</f>
        <v/>
      </c>
      <c r="R11">
        <f>IF($C11="",0,IF(AND(ISNUMBER($P11),ISNUMBER($Q11)),MAX(0,$Q11)*$G11,0))</f>
        <v/>
      </c>
      <c r="S11" s="90">
        <f>IF($C11="","",IF('②発注する'!$M15="","",'②発注する'!$M15))</f>
        <v/>
      </c>
      <c r="T11">
        <f>IF($C11="","",IF('②発注する'!$N15="","",'②発注する'!$N15))</f>
        <v/>
      </c>
      <c r="U11">
        <f>IF($C11="",0,IF(AND(ISNUMBER($S11),ISNUMBER($T11)),MAX(0,$T11)*$G11,0))</f>
        <v/>
      </c>
      <c r="V11">
        <f>IF($C11="",0,IF($M11="",0,MAX(0,$M11)*MAX(0,V$4)/100))</f>
        <v/>
      </c>
      <c r="W11">
        <f>IF($C11="",0,IF($M11="",0,MAX(0,$M11)*MAX(0,W$4)/100))</f>
        <v/>
      </c>
      <c r="X11">
        <f>IF($C11="",0,IF($M11="",0,MAX(0,$M11)*MAX(0,X$4)/100))</f>
        <v/>
      </c>
      <c r="Y11">
        <f>IF($C11="",0,IF($M11="",0,MAX(0,$M11)*MAX(0,Y$4)/100))</f>
        <v/>
      </c>
      <c r="Z11">
        <f>IF($C11="",0,IF($M11="",0,MAX(0,$M11)*MAX(0,Z$4)/100))</f>
        <v/>
      </c>
      <c r="AA11">
        <f>IF($C11="",0,IF($M11="",0,MAX(0,$M11)*MAX(0,AA$4)/100))</f>
        <v/>
      </c>
      <c r="AB11">
        <f>IF($C11="",0,IF($M11="",0,MAX(0,$M11)*MAX(0,AB$4)/100))</f>
        <v/>
      </c>
      <c r="AC11">
        <f>IF($C11="",0,IF($M11="",0,MAX(0,$M11)*MAX(0,AC$4)/100))</f>
        <v/>
      </c>
      <c r="AD11">
        <f>IF($C11="",0,IF($M11="",0,MAX(0,$M11)*MAX(0,AD$4)/100))</f>
        <v/>
      </c>
      <c r="AE11">
        <f>IF($C11="",0,IF($M11="",0,MAX(0,$M11)*MAX(0,AE$4)/100))</f>
        <v/>
      </c>
      <c r="AF11">
        <f>IF($C11="",0,IF($M11="",0,MAX(0,$M11)*MAX(0,AF$4)/100))</f>
        <v/>
      </c>
      <c r="AG11">
        <f>IF($C11="",0,IF($M11="",0,MAX(0,$M11)*MAX(0,AG$4)/100))</f>
        <v/>
      </c>
      <c r="AH11">
        <f>IF($C11="",0,IF($M11="",0,MAX(0,$M11)*MAX(0,AH$4)/100))</f>
        <v/>
      </c>
      <c r="AI11">
        <f>IF($C11="",0,IF($M11="",0,MAX(0,$M11)*MAX(0,AI$4)/100))</f>
        <v/>
      </c>
      <c r="AJ11">
        <f>IF($C11="",0,MAX(0,MAX(0,N($L11))-$V11))</f>
        <v/>
      </c>
      <c r="AK11">
        <f>IF($C11="",0,MAX(0,$AJ11-$W11))</f>
        <v/>
      </c>
      <c r="AL11">
        <f>IF($C11="",0,MAX(0,$AK11-$X11))</f>
        <v/>
      </c>
      <c r="AM11">
        <f>IF($C11="",0,MAX(0,$AL11-$Y11))</f>
        <v/>
      </c>
      <c r="AN11">
        <f>IF($C11="",0,MAX(0,$AM11-$Z11))</f>
        <v/>
      </c>
      <c r="AO11">
        <f>IF($C11="",0,MAX(0,$AN11-$AA11))</f>
        <v/>
      </c>
      <c r="AP11">
        <f>IF($C11="",0,MAX(0,$AO11-$AB11))</f>
        <v/>
      </c>
      <c r="AQ11">
        <f>IF($C11="",0,MAX(0,$AP11-$AC11))</f>
        <v/>
      </c>
      <c r="AR11">
        <f>IF($C11="",0,MAX(0,$AQ11-$AD11))</f>
        <v/>
      </c>
      <c r="AS11">
        <f>IF($C11="",0,MAX(0,$AR11-$AE11))</f>
        <v/>
      </c>
      <c r="AT11">
        <f>IF($C11="",0,MAX(0,$AS11-$AF11))</f>
        <v/>
      </c>
      <c r="AU11">
        <f>IF($C11="",0,MAX(0,$AT11-$AG11))</f>
        <v/>
      </c>
      <c r="AV11">
        <f>IF($C11="",0,MAX(0,$AU11-$AH11))</f>
        <v/>
      </c>
      <c r="AW11">
        <f>IF($C11="",0,MAX(0,$AV11-$AI11))</f>
        <v/>
      </c>
      <c r="AX11">
        <f>IF($C11="",0,MAX(0,MAX(0,N($L11))+IF($P11=V$3,$R11,0)+IF($S11=V$3,$U11,0)-$V11))</f>
        <v/>
      </c>
      <c r="AY11">
        <f>IF($C11="",0,MAX(0,$AX11+IF($P11=W$3,$R11,0)+IF($S11=W$3,$U11,0)-$W11))</f>
        <v/>
      </c>
      <c r="AZ11">
        <f>IF($C11="",0,MAX(0,$AY11+IF($P11=X$3,$R11,0)+IF($S11=X$3,$U11,0)-$X11))</f>
        <v/>
      </c>
      <c r="BA11">
        <f>IF($C11="",0,MAX(0,$AZ11+IF($P11=Y$3,$R11,0)+IF($S11=Y$3,$U11,0)-$Y11))</f>
        <v/>
      </c>
      <c r="BB11">
        <f>IF($C11="",0,MAX(0,$BA11+IF($P11=Z$3,$R11,0)+IF($S11=Z$3,$U11,0)-$Z11))</f>
        <v/>
      </c>
      <c r="BC11">
        <f>IF($C11="",0,MAX(0,$BB11+IF($P11=AA$3,$R11,0)+IF($S11=AA$3,$U11,0)-$AA11))</f>
        <v/>
      </c>
      <c r="BD11">
        <f>IF($C11="",0,MAX(0,$BC11+IF($P11=AB$3,$R11,0)+IF($S11=AB$3,$U11,0)-$AB11))</f>
        <v/>
      </c>
      <c r="BE11">
        <f>IF($C11="",0,MAX(0,$BD11+IF($P11=AC$3,$R11,0)+IF($S11=AC$3,$U11,0)-$AC11))</f>
        <v/>
      </c>
      <c r="BF11">
        <f>IF($C11="",0,MAX(0,$BE11+IF($P11=AD$3,$R11,0)+IF($S11=AD$3,$U11,0)-$AD11))</f>
        <v/>
      </c>
      <c r="BG11">
        <f>IF($C11="",0,MAX(0,$BF11+IF($P11=AE$3,$R11,0)+IF($S11=AE$3,$U11,0)-$AE11))</f>
        <v/>
      </c>
      <c r="BH11">
        <f>IF($C11="",0,MAX(0,$BG11+IF($P11=AF$3,$R11,0)+IF($S11=AF$3,$U11,0)-$AF11))</f>
        <v/>
      </c>
      <c r="BI11">
        <f>IF($C11="",0,MAX(0,$BH11+IF($P11=AG$3,$R11,0)+IF($S11=AG$3,$U11,0)-$AG11))</f>
        <v/>
      </c>
      <c r="BJ11">
        <f>IF($C11="",0,MAX(0,$BI11+IF($P11=AH$3,$R11,0)+IF($S11=AH$3,$U11,0)-$AH11))</f>
        <v/>
      </c>
      <c r="BK11">
        <f>IF($C11="",0,MAX(0,$BJ11+IF($P11=AI$3,$R11,0)+IF($S11=AI$3,$U11,0)-$AI11))</f>
        <v/>
      </c>
      <c r="BL11">
        <f>IF($C11="",99,IF(AND($AX11&lt;1,V$3&gt;=MAX(N($P11),N($S11))),0,99))</f>
        <v/>
      </c>
      <c r="BM11">
        <f>IF($C11="",99,IF(AND($AY11&lt;1,W$3&gt;=MAX(N($P11),N($S11))),1,99))</f>
        <v/>
      </c>
      <c r="BN11">
        <f>IF($C11="",99,IF(AND($AZ11&lt;1,X$3&gt;=MAX(N($P11),N($S11))),2,99))</f>
        <v/>
      </c>
      <c r="BO11">
        <f>IF($C11="",99,IF(AND($BA11&lt;1,Y$3&gt;=MAX(N($P11),N($S11))),3,99))</f>
        <v/>
      </c>
      <c r="BP11">
        <f>IF($C11="",99,IF(AND($BB11&lt;1,Z$3&gt;=MAX(N($P11),N($S11))),4,99))</f>
        <v/>
      </c>
      <c r="BQ11">
        <f>IF($C11="",99,IF(AND($BC11&lt;1,AA$3&gt;=MAX(N($P11),N($S11))),5,99))</f>
        <v/>
      </c>
      <c r="BR11">
        <f>IF($C11="",99,IF(AND($BD11&lt;1,AB$3&gt;=MAX(N($P11),N($S11))),6,99))</f>
        <v/>
      </c>
      <c r="BS11">
        <f>IF($C11="",99,IF(AND($BE11&lt;1,AC$3&gt;=MAX(N($P11),N($S11))),7,99))</f>
        <v/>
      </c>
      <c r="BT11">
        <f>IF($C11="",99,IF(AND($BF11&lt;1,AD$3&gt;=MAX(N($P11),N($S11))),8,99))</f>
        <v/>
      </c>
      <c r="BU11">
        <f>IF($C11="",99,IF(AND($BG11&lt;1,AE$3&gt;=MAX(N($P11),N($S11))),9,99))</f>
        <v/>
      </c>
      <c r="BV11">
        <f>IF($C11="",99,IF(AND($BH11&lt;1,AF$3&gt;=MAX(N($P11),N($S11))),10,99))</f>
        <v/>
      </c>
      <c r="BW11">
        <f>IF($C11="",99,IF(AND($BI11&lt;1,AG$3&gt;=MAX(N($P11),N($S11))),11,99))</f>
        <v/>
      </c>
      <c r="BX11">
        <f>IF($C11="",99,IF(AND($BJ11&lt;1,AH$3&gt;=MAX(N($P11),N($S11))),12,99))</f>
        <v/>
      </c>
      <c r="BY11">
        <f>IF($C11="",99,IF(AND($BK11&lt;1,AI$3&gt;=MAX(N($P11),N($S11))),13,99))</f>
        <v/>
      </c>
      <c r="BZ11">
        <f>IF(OR($C11="",$M11=""),"",COUNTIF($AJ11:$AW11,"&gt;=1"))</f>
        <v/>
      </c>
      <c r="CA11" s="90">
        <f>IF($BZ11="","",IF($BZ11&gt;=14,"",'設定'!$C$6+$BZ11))</f>
        <v/>
      </c>
      <c r="CB11">
        <f>IF(OR($C11="",$M11=""),"",MIN($BL11:$BY11))</f>
        <v/>
      </c>
      <c r="CC11" s="90">
        <f>IF($CB11="","",IF($CB11&gt;=99,"",'設定'!$C$6+$CB11))</f>
        <v/>
      </c>
      <c r="CD11">
        <f>IF(OR($C11="",$M11=""),"",AVERAGE($V11:$AI11))</f>
        <v/>
      </c>
      <c r="CE11">
        <f>IF($C11="","",IFERROR(IF(MATCH(IF(ISNUMBER($P11),$P11,'設定'!$C$6+N('設定'!$C$7)),$V$3:$AI$3,0)=1,MAX(0,N($L11)),INDEX($AJ11:$AW11,MATCH(IF(ISNUMBER($P11),$P11,'設定'!$C$6+N('設定'!$C$7)),$V$3:$AI$3,0)-1)),""))</f>
        <v/>
      </c>
      <c r="CF11">
        <f>IF(OR($C11="",$O11="",$CE11=""),"",IF($O11-$CE11&lt;=0,0,ROUNDUP(($O11-$CE11)/$G11,0)))</f>
        <v/>
      </c>
      <c r="CG11">
        <f>IF(OR($C11="",$CF11="",NOT(ISNUMBER($Q11))),0,MAX(0,$Q11-$CF11))</f>
        <v/>
      </c>
      <c r="CH11">
        <f>IF(OR($C11="",$O11="",$U11=0),0,IFERROR(ROUNDUP(MAX(0,IF(MATCH($S11,$V$3:$AI$3,0)=1,MAX(0,N($L11)),INDEX($AX11:$BK11,MATCH($S11,$V$3:$AI$3,0)-1))+$U11-$O11)/$G11,0),0))</f>
        <v/>
      </c>
      <c r="CI11">
        <f>IF($C11="","",IF(AND($P11="",$Q11=""),"",IF($P11="","⚠ 入庫日を ▼ から選んでください",IF(NOT(ISNUMBER($P11)),"⚠ 入庫日は ▼ から選んでください",IF($P11&lt;N('設定'!$C$6),"⚠ 入庫日が過去です（もう在庫に入っています）→ 消してください",IF($P11&gt;N('設定'!$C$6)+13,"⚠ 入庫日が14日より先です",IF(N($Q11)&lt;=0,"⚠ 入庫数を入れてください",IF($CG11&gt;0,"⚠ 目安より "&amp;$CG11&amp;" 多い（定数を超える）→ 減らす",""))))))))</f>
        <v/>
      </c>
      <c r="CJ11">
        <f>IF($C11="","",IF(AND($S11="",$T11=""),"",IF($S11="","⚠ 2便目：入庫日を ▼ から選んでください",IF(NOT(ISNUMBER($S11)),"⚠ 2便目：入庫日は ▼ から選んでください",IF($S11&lt;N('設定'!$C$6),"⚠ 2便目：入庫日が過去です（もう在庫に入っています）→ 消してください",IF($S11&gt;N('設定'!$C$6)+13,"⚠ 2便目：入庫日が14日より先です",IF(N($T11)&lt;=0,"⚠ 2便目：入庫数を入れてください",IF($CH11&gt;0,"⚠ 2便目：定数を "&amp;$CH11&amp;" ケース超える → 減らす",""))))))))</f>
        <v/>
      </c>
      <c r="CK11">
        <f>IF(AND($CI11="",N($Q11)&gt;0,ISNUMBER($P11)),1,0)</f>
        <v/>
      </c>
      <c r="CL11">
        <f>IF(AND($CJ11="",N($T11)&gt;0,ISNUMBER($S11)),1,0)</f>
        <v/>
      </c>
      <c r="CM11">
        <f>IF(OR($CK11=1,$CL11=1),1,0)</f>
        <v/>
      </c>
      <c r="CN11">
        <f>IF($C11="",0,($CK11*$R11+$CL11*$U11)*N($H11))</f>
        <v/>
      </c>
      <c r="CO11">
        <f>IF($C11="","",IF($CC11="","入庫後は 14日以上もつ",IF($CC11-N('設定'!$C$7)&lt;='設定'!$C$6,"入庫後も "&amp;TEXT($CC11,"m/d")&amp;"("&amp;CHOOSE(WEEKDAY($CC11),"日","月","火","水","木","金","土")&amp;")"&amp;" に切れる　もう1便を至急発注","入庫後も "&amp;TEXT($CC11,"m/d")&amp;"("&amp;CHOOSE(WEEKDAY($CC11),"日","月","火","水","木","金","土")&amp;")"&amp;" に切れる　"&amp;TEXT($CC11-N('設定'!$C$7),"m/d")&amp;"("&amp;CHOOSE(WEEKDAY($CC11-N('設定'!$C$7)),"日","月","火","水","木","金","土")&amp;")"&amp;" までに次を発注")))</f>
        <v/>
      </c>
      <c r="CP11">
        <f>IF($C11="","",IF('設定'!$C$6="","？ ①在庫を貼る に今日のCSVが貼られていない",IF($CS11=1,"－ 今日のCSVに無い（終売？）",IF($L11&lt;0,"● 在庫がマイナス　数えて「数えた在庫」に入れる",IF($L11=0,"● 在庫なし　至急発注",IF($M11="","？ 減り数が未設定（商品マスタ）",IF($B$3=0,"？ 動員が未入力（動員を入れる）",IF($CA11="","○ 14日以上もつ",IF($BZ11&lt;N('設定'!$C$7),"● "&amp;TEXT($CA11,"m/d")&amp;"("&amp;CHOOSE(WEEKDAY($CA11),"日","月","火","水","木","金","土")&amp;")"&amp;" に切れる　至急発注",IF($BZ11=N('設定'!$C$7),"● "&amp;TEXT($CA11,"m/d")&amp;"("&amp;CHOOSE(WEEKDAY($CA11),"日","月","火","水","木","金","土")&amp;")"&amp;" に切れる　今日発注","△ "&amp;TEXT($CA11,"m/d")&amp;"("&amp;CHOOSE(WEEKDAY($CA11),"日","月","火","水","木","金","土")&amp;")"&amp;" に切れる　"&amp;TEXT($CA11-N('設定'!$C$7),"m/d")&amp;"("&amp;CHOOSE(WEEKDAY($CA11-N('設定'!$C$7)),"日","月","火","水","木","金","土")&amp;")"&amp;" までに発注"))))))))))</f>
        <v/>
      </c>
      <c r="CQ11">
        <f>IF($C11="","",IF(AND($P11="",$Q11="",$S11="",$T11=""),"",IF(AND($P11="",$Q11=""),"⚠ 先に1便目（左の入庫日・入庫数）に入れてください",IF($CI11&lt;&gt;"",$CI11,IF($CJ11&lt;&gt;"",$CJ11,IF($M11="","？ 減り数が未設定（発注書には載ります）",IF($B$3=0,"？ 動員が未入力（発注書には載ります）",IF(AND($CA11&lt;&gt;"",$P11&gt;$CA11),IF($P11&gt;'設定'!$C$6+N('設定'!$C$7),"● "&amp;TEXT($P11,"m/d")&amp;"("&amp;CHOOSE(WEEKDAY($P11),"日","月","火","水","木","金","土")&amp;")"&amp;" の入庫では間に合わない（"&amp;TEXT($CA11,"m/d")&amp;"("&amp;CHOOSE(WEEKDAY($CA11),"日","月","火","水","木","金","土")&amp;")"&amp;" に切れる）　入庫日を早める","△ 欠品 "&amp;TEXT($CA11,"m/d")&amp;"("&amp;CHOOSE(WEEKDAY($CA11),"日","月","火","水","木","金","土")&amp;")"&amp;"〜"&amp;TEXT($P11-1,"m/d")&amp;"("&amp;CHOOSE(WEEKDAY($P11-1),"日","月","火","水","木","金","土")&amp;")"&amp;"　"&amp;$CO11),IF($CC11="","○ "&amp;TEXT($P11,"m/d")&amp;"("&amp;CHOOSE(WEEKDAY($P11),"日","月","火","水","木","金","土")&amp;")"&amp;" 入庫で 14日以上もつ",IF($CC11-N('設定'!$C$7)&lt;='設定'!$C$6,"● 入庫しても "&amp;TEXT($CC11,"m/d")&amp;"("&amp;CHOOSE(WEEKDAY($CC11),"日","月","火","水","木","金","土")&amp;")"&amp;" に切れる　もう1便を至急発注（2便目に入れる）","△ 入庫しても "&amp;TEXT($CC11,"m/d")&amp;"("&amp;CHOOSE(WEEKDAY($CC11),"日","月","火","水","木","金","土")&amp;")"&amp;" に切れる　"&amp;TEXT($CC11-N('設定'!$C$7),"m/d")&amp;"("&amp;CHOOSE(WEEKDAY($CC11-N('設定'!$C$7)),"日","月","火","水","木","金","土")&amp;")"&amp;" までに次を発注（2便目に入れる）"))))))))))</f>
        <v/>
      </c>
      <c r="CR11">
        <f>IF($C11="","",IF($G11&gt;1,"ｹｰｽ("&amp;$G11&amp;"入)","個"))</f>
        <v/>
      </c>
      <c r="CS11">
        <f>IF($C11="",0,IF(COUNTIFS('①在庫を貼る'!$V$6:$V$10005,'設定'!$C$4,'①在庫を貼る'!$W$6:$W$10005,$C11)=0,1,0))</f>
        <v/>
      </c>
      <c r="CT11">
        <f>IF(AND($CK11=1,OR('③発注書'!$C$4="すべて",'③発注書'!$C$4="",$F11='③発注書'!$C$4)),N($CT10)+1,N($CT10))</f>
        <v/>
      </c>
      <c r="CU11">
        <f>IF(AND($CL11=1,OR('③発注書'!$C$4="すべて",'③発注書'!$C$4="",$F11='③発注書'!$C$4)),N($CU10)+1,N($CU10))</f>
        <v/>
      </c>
      <c r="CV11">
        <f>IF($C11="",0,IF(COUNTIFS('①在庫を貼る'!$V$6:$V$10005,'設定'!$C$4,'①在庫を貼る'!$W$6:$W$10005,$C11)&gt;0,1,0))</f>
        <v/>
      </c>
      <c r="CW11">
        <f>IF($C11="",0,IF(COUNTIFS('月1回_1ヶ月前の在庫'!$V$6:$V$10005,'設定'!$C$4,'月1回_1ヶ月前の在庫'!$W$6:$W$10005,$C11)&gt;0,1,0))</f>
        <v/>
      </c>
      <c r="CX11">
        <f>IF($C11="",0,IF(COUNTIFS('月1回_2ヶ月前の在庫'!$V$6:$V$10005,'設定'!$C$4,'月1回_2ヶ月前の在庫'!$W$6:$W$10005,$C11)&gt;0,1,0))</f>
        <v/>
      </c>
      <c r="CY11">
        <f>IF(OR($C11="",'設定'!$C$12=""),"",IF('設定'!$C$13="",IF(AND($CV11=1,$CW11=0),"新商品（今月から）",IF(AND($CV11=0,$CW11=1),"終売（今月から）","")),IF(AND($CV11=1,$CW11=0,$CX11=0),"新商品（今月から）",IF(AND($CV11=1,$CW11=1,$CX11=0),"新商品（先月から）",IF(AND($CV11=0,$CW11=1,$CX11=1),"終売（今月から）",IF(AND($CV11=0,$CW11=0,$CX11=1),"終売（先月から）",IF(AND($CV11=1,$CW11=0,$CX11=1),"復活（先月は無し）","")))))))</f>
        <v/>
      </c>
    </row>
    <row r="12">
      <c r="B12">
        <f>IF(7&lt;='設定'!$C$11,7,"")</f>
        <v/>
      </c>
      <c r="C12">
        <f>IF($B12="","",IF($B12&lt;='設定'!$C$20,INDEX('商品マスタ'!$B$6:$B$1005,MATCH($B12,'商品マスタ'!$M$6:$M$1005,0)),IF($B12&lt;='設定'!$C$20+'設定'!$C$17,INDEX('①在庫を貼る'!$W$6:$W$10005,MATCH($B12-'設定'!$C$20,'①在庫を貼る'!$U$6:$U$10005,0)),IF($B12&lt;='設定'!$C$20+'設定'!$C$17+'設定'!$C$18,INDEX('月1回_1ヶ月前の在庫'!$W$6:$W$10005,MATCH($B12-'設定'!$C$20-'設定'!$C$17,'月1回_1ヶ月前の在庫'!$U$6:$U$10005,0)),INDEX('月1回_2ヶ月前の在庫'!$W$6:$W$10005,MATCH($B12-'設定'!$C$20-'設定'!$C$17-'設定'!$C$18,'月1回_2ヶ月前の在庫'!$U$6:$U$10005,0))))))</f>
        <v/>
      </c>
      <c r="D12">
        <f>IF($C12="","",IFERROR(IF(INDEX('商品マスタ'!$C$6:$C$1005,MATCH($C12,'商品マスタ'!$B$6:$B$1005,0))="",IFERROR(INDEX('①在庫を貼る'!$J$6:$J$10005,MATCH($C12,'①在庫を貼る'!$W$6:$W$10005,0)),IFERROR(INDEX('月1回_1ヶ月前の在庫'!$J$6:$J$10005,MATCH($C12,'月1回_1ヶ月前の在庫'!$W$6:$W$10005,0)),IFERROR(INDEX('月1回_2ヶ月前の在庫'!$J$6:$J$10005,MATCH($C12,'月1回_2ヶ月前の在庫'!$W$6:$W$10005,0)),""))),INDEX('商品マスタ'!$C$6:$C$1005,MATCH($C12,'商品マスタ'!$B$6:$B$1005,0))),IFERROR(INDEX('①在庫を貼る'!$J$6:$J$10005,MATCH($C12,'①在庫を貼る'!$W$6:$W$10005,0)),IFERROR(INDEX('月1回_1ヶ月前の在庫'!$J$6:$J$10005,MATCH($C12,'月1回_1ヶ月前の在庫'!$W$6:$W$10005,0)),IFERROR(INDEX('月1回_2ヶ月前の在庫'!$J$6:$J$10005,MATCH($C12,'月1回_2ヶ月前の在庫'!$W$6:$W$10005,0)),"")))))</f>
        <v/>
      </c>
      <c r="E12">
        <f>IF($C12="","",IFERROR(IF(INDEX('商品マスタ'!$D$6:$D$1005,MATCH($C12,'商品マスタ'!$B$6:$B$1005,0))="",IFERROR(INDEX('①在庫を貼る'!$H$6:$H$10005,MATCH($C12,'①在庫を貼る'!$W$6:$W$10005,0)),IFERROR(INDEX('月1回_1ヶ月前の在庫'!$H$6:$H$10005,MATCH($C12,'月1回_1ヶ月前の在庫'!$W$6:$W$10005,0)),IFERROR(INDEX('月1回_2ヶ月前の在庫'!$H$6:$H$10005,MATCH($C12,'月1回_2ヶ月前の在庫'!$W$6:$W$10005,0)),""))),INDEX('商品マスタ'!$D$6:$D$1005,MATCH($C12,'商品マスタ'!$B$6:$B$1005,0))),IFERROR(INDEX('①在庫を貼る'!$H$6:$H$10005,MATCH($C12,'①在庫を貼る'!$W$6:$W$10005,0)),IFERROR(INDEX('月1回_1ヶ月前の在庫'!$H$6:$H$10005,MATCH($C12,'月1回_1ヶ月前の在庫'!$W$6:$W$10005,0)),IFERROR(INDEX('月1回_2ヶ月前の在庫'!$H$6:$H$10005,MATCH($C12,'月1回_2ヶ月前の在庫'!$W$6:$W$10005,0)),"")))))</f>
        <v/>
      </c>
      <c r="F12">
        <f>IF($C12="","",IFERROR(IF(INDEX('商品マスタ'!$E$6:$E$1005,MATCH($C12,'商品マスタ'!$B$6:$B$1005,0))="",IFERROR(INDEX('①在庫を貼る'!$E$6:$E$10005,MATCH($C12,'①在庫を貼る'!$W$6:$W$10005,0)),IFERROR(INDEX('月1回_1ヶ月前の在庫'!$E$6:$E$10005,MATCH($C12,'月1回_1ヶ月前の在庫'!$W$6:$W$10005,0)),IFERROR(INDEX('月1回_2ヶ月前の在庫'!$E$6:$E$10005,MATCH($C12,'月1回_2ヶ月前の在庫'!$W$6:$W$10005,0)),""))),INDEX('商品マスタ'!$E$6:$E$1005,MATCH($C12,'商品マスタ'!$B$6:$B$1005,0))),IFERROR(INDEX('①在庫を貼る'!$E$6:$E$10005,MATCH($C12,'①在庫を貼る'!$W$6:$W$10005,0)),IFERROR(INDEX('月1回_1ヶ月前の在庫'!$E$6:$E$10005,MATCH($C12,'月1回_1ヶ月前の在庫'!$W$6:$W$10005,0)),IFERROR(INDEX('月1回_2ヶ月前の在庫'!$E$6:$E$10005,MATCH($C12,'月1回_2ヶ月前の在庫'!$W$6:$W$10005,0)),"")))))</f>
        <v/>
      </c>
      <c r="G12">
        <f>IF($C12="","",MAX(1,N(IFERROR(IF(INDEX('商品マスタ'!$F$6:$F$1005,MATCH($C12,'商品マスタ'!$B$6:$B$1005,0))="",IF(COUNTIFS('①在庫を貼る'!$V$6:$V$10005,'設定'!$C$4,'①在庫を貼る'!$W$6:$W$10005,$C12)&gt;0,SUMIFS('①在庫を貼る'!$K$6:$K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K$6:$K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K$6:$K$10005,'月1回_2ヶ月前の在庫'!$V$6:$V$10005,'設定'!$C$4,'月1回_2ヶ月前の在庫'!$W$6:$W$10005,$C12)/COUNTIFS('月1回_2ヶ月前の在庫'!$V$6:$V$10005,'設定'!$C$4,'月1回_2ヶ月前の在庫'!$W$6:$W$10005,$C12),0))),INDEX('商品マスタ'!$F$6:$F$1005,MATCH($C12,'商品マスタ'!$B$6:$B$1005,0))),IF(COUNTIFS('①在庫を貼る'!$V$6:$V$10005,'設定'!$C$4,'①在庫を貼る'!$W$6:$W$10005,$C12)&gt;0,SUMIFS('①在庫を貼る'!$K$6:$K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K$6:$K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K$6:$K$10005,'月1回_2ヶ月前の在庫'!$V$6:$V$10005,'設定'!$C$4,'月1回_2ヶ月前の在庫'!$W$6:$W$10005,$C12)/COUNTIFS('月1回_2ヶ月前の在庫'!$V$6:$V$10005,'設定'!$C$4,'月1回_2ヶ月前の在庫'!$W$6:$W$10005,$C12),0)))))))</f>
        <v/>
      </c>
      <c r="H12">
        <f>IF($C12="","",N(IFERROR(IF(INDEX('商品マスタ'!$G$6:$G$1005,MATCH($C12,'商品マスタ'!$B$6:$B$1005,0))="",IF(COUNTIFS('①在庫を貼る'!$V$6:$V$10005,'設定'!$C$4,'①在庫を貼る'!$W$6:$W$10005,$C12)&gt;0,SUMIFS('①在庫を貼る'!$Q$6:$Q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Q$6:$Q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Q$6:$Q$10005,'月1回_2ヶ月前の在庫'!$V$6:$V$10005,'設定'!$C$4,'月1回_2ヶ月前の在庫'!$W$6:$W$10005,$C12)/COUNTIFS('月1回_2ヶ月前の在庫'!$V$6:$V$10005,'設定'!$C$4,'月1回_2ヶ月前の在庫'!$W$6:$W$10005,$C12),0))),INDEX('商品マスタ'!$G$6:$G$1005,MATCH($C12,'商品マスタ'!$B$6:$B$1005,0))),IF(COUNTIFS('①在庫を貼る'!$V$6:$V$10005,'設定'!$C$4,'①在庫を貼る'!$W$6:$W$10005,$C12)&gt;0,SUMIFS('①在庫を貼る'!$Q$6:$Q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Q$6:$Q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Q$6:$Q$10005,'月1回_2ヶ月前の在庫'!$V$6:$V$10005,'設定'!$C$4,'月1回_2ヶ月前の在庫'!$W$6:$W$10005,$C12)/COUNTIFS('月1回_2ヶ月前の在庫'!$V$6:$V$10005,'設定'!$C$4,'月1回_2ヶ月前の在庫'!$W$6:$W$10005,$C12),0))))))</f>
        <v/>
      </c>
      <c r="I12">
        <f>IF($C12="","",IF(COUNTIFS('①在庫を貼る'!$V$6:$V$10005,'設定'!$C$4,'①在庫を貼る'!$W$6:$W$10005,$C12)=0,"",SUMIFS('①在庫を貼る'!$N$6:$N$10005,'①在庫を貼る'!$V$6:$V$10005,'設定'!$C$4,'①在庫を貼る'!$W$6:$W$10005,$C12)))</f>
        <v/>
      </c>
      <c r="J12">
        <f>IF($C12="","",IF('②発注する'!$AD16="","",'②発注する'!$AD16))</f>
        <v/>
      </c>
      <c r="K12" s="90">
        <f>IF($C12="","",IF('②発注する'!$AE16="","",'②発注する'!$AE16))</f>
        <v/>
      </c>
      <c r="L12">
        <f>IF($C12="","",IF(AND(ISNUMBER($J12),ISNUMBER($K12),$K12&gt;='設定'!$C$6),$J12,N($I12)))</f>
        <v/>
      </c>
      <c r="M12">
        <f>IF($C12="","",IFERROR(IF(N(INDEX('商品マスタ'!$J$6:$J$1005,MATCH($C12,'商品マスタ'!$B$6:$B$1005,0)))&gt;0,INDEX('商品マスタ'!$J$6:$J$1005,MATCH($C12,'商品マスタ'!$B$6:$B$1005,0)),""),""))</f>
        <v/>
      </c>
      <c r="N12">
        <f>IF($C12="","",IFERROR(IF(N(INDEX('商品マスタ'!$H$6:$H$1005,MATCH($C12,'商品マスタ'!$B$6:$B$1005,0)))&gt;0,INDEX('商品マスタ'!$H$6:$H$1005,MATCH($C12,'商品マスタ'!$B$6:$B$1005,0)),""),""))</f>
        <v/>
      </c>
      <c r="O12">
        <f>IF($C12="","",IF($N12&lt;&gt;"",$N12*$G12,IF(N(IF(COUNTIFS('①在庫を貼る'!$V$6:$V$10005,'設定'!$C$4,'①在庫を貼る'!$W$6:$W$10005,$C12)&gt;0,SUMIFS('①在庫を貼る'!$O$6:$O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O$6:$O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O$6:$O$10005,'月1回_2ヶ月前の在庫'!$V$6:$V$10005,'設定'!$C$4,'月1回_2ヶ月前の在庫'!$W$6:$W$10005,$C12)/COUNTIFS('月1回_2ヶ月前の在庫'!$V$6:$V$10005,'設定'!$C$4,'月1回_2ヶ月前の在庫'!$W$6:$W$10005,$C12),0))))&gt;0,N(IF(COUNTIFS('①在庫を貼る'!$V$6:$V$10005,'設定'!$C$4,'①在庫を貼る'!$W$6:$W$10005,$C12)&gt;0,SUMIFS('①在庫を貼る'!$O$6:$O$10005,'①在庫を貼る'!$V$6:$V$10005,'設定'!$C$4,'①在庫を貼る'!$W$6:$W$10005,$C12)/COUNTIFS('①在庫を貼る'!$V$6:$V$10005,'設定'!$C$4,'①在庫を貼る'!$W$6:$W$10005,$C12),IF(COUNTIFS('月1回_1ヶ月前の在庫'!$V$6:$V$10005,'設定'!$C$4,'月1回_1ヶ月前の在庫'!$W$6:$W$10005,$C12)&gt;0,SUMIFS('月1回_1ヶ月前の在庫'!$O$6:$O$10005,'月1回_1ヶ月前の在庫'!$V$6:$V$10005,'設定'!$C$4,'月1回_1ヶ月前の在庫'!$W$6:$W$10005,$C12)/COUNTIFS('月1回_1ヶ月前の在庫'!$V$6:$V$10005,'設定'!$C$4,'月1回_1ヶ月前の在庫'!$W$6:$W$10005,$C12),IF(COUNTIFS('月1回_2ヶ月前の在庫'!$V$6:$V$10005,'設定'!$C$4,'月1回_2ヶ月前の在庫'!$W$6:$W$10005,$C12)&gt;0,SUMIFS('月1回_2ヶ月前の在庫'!$O$6:$O$10005,'月1回_2ヶ月前の在庫'!$V$6:$V$10005,'設定'!$C$4,'月1回_2ヶ月前の在庫'!$W$6:$W$10005,$C12)/COUNTIFS('月1回_2ヶ月前の在庫'!$V$6:$V$10005,'設定'!$C$4,'月1回_2ヶ月前の在庫'!$W$6:$W$10005,$C12),0)))),"")))</f>
        <v/>
      </c>
      <c r="P12" s="90">
        <f>IF($C12="","",IF('②発注する'!$I16="","",'②発注する'!$I16))</f>
        <v/>
      </c>
      <c r="Q12">
        <f>IF($C12="","",IF('②発注する'!$J16="","",'②発注する'!$J16))</f>
        <v/>
      </c>
      <c r="R12">
        <f>IF($C12="",0,IF(AND(ISNUMBER($P12),ISNUMBER($Q12)),MAX(0,$Q12)*$G12,0))</f>
        <v/>
      </c>
      <c r="S12" s="90">
        <f>IF($C12="","",IF('②発注する'!$M16="","",'②発注する'!$M16))</f>
        <v/>
      </c>
      <c r="T12">
        <f>IF($C12="","",IF('②発注する'!$N16="","",'②発注する'!$N16))</f>
        <v/>
      </c>
      <c r="U12">
        <f>IF($C12="",0,IF(AND(ISNUMBER($S12),ISNUMBER($T12)),MAX(0,$T12)*$G12,0))</f>
        <v/>
      </c>
      <c r="V12">
        <f>IF($C12="",0,IF($M12="",0,MAX(0,$M12)*MAX(0,V$4)/100))</f>
        <v/>
      </c>
      <c r="W12">
        <f>IF($C12="",0,IF($M12="",0,MAX(0,$M12)*MAX(0,W$4)/100))</f>
        <v/>
      </c>
      <c r="X12">
        <f>IF($C12="",0,IF($M12="",0,MAX(0,$M12)*MAX(0,X$4)/100))</f>
        <v/>
      </c>
      <c r="Y12">
        <f>IF($C12="",0,IF($M12="",0,MAX(0,$M12)*MAX(0,Y$4)/100))</f>
        <v/>
      </c>
      <c r="Z12">
        <f>IF($C12="",0,IF($M12="",0,MAX(0,$M12)*MAX(0,Z$4)/100))</f>
        <v/>
      </c>
      <c r="AA12">
        <f>IF($C12="",0,IF($M12="",0,MAX(0,$M12)*MAX(0,AA$4)/100))</f>
        <v/>
      </c>
      <c r="AB12">
        <f>IF($C12="",0,IF($M12="",0,MAX(0,$M12)*MAX(0,AB$4)/100))</f>
        <v/>
      </c>
      <c r="AC12">
        <f>IF($C12="",0,IF($M12="",0,MAX(0,$M12)*MAX(0,AC$4)/100))</f>
        <v/>
      </c>
      <c r="AD12">
        <f>IF($C12="",0,IF($M12="",0,MAX(0,$M12)*MAX(0,AD$4)/100))</f>
        <v/>
      </c>
      <c r="AE12">
        <f>IF($C12="",0,IF($M12="",0,MAX(0,$M12)*MAX(0,AE$4)/100))</f>
        <v/>
      </c>
      <c r="AF12">
        <f>IF($C12="",0,IF($M12="",0,MAX(0,$M12)*MAX(0,AF$4)/100))</f>
        <v/>
      </c>
      <c r="AG12">
        <f>IF($C12="",0,IF($M12="",0,MAX(0,$M12)*MAX(0,AG$4)/100))</f>
        <v/>
      </c>
      <c r="AH12">
        <f>IF($C12="",0,IF($M12="",0,MAX(0,$M12)*MAX(0,AH$4)/100))</f>
        <v/>
      </c>
      <c r="AI12">
        <f>IF($C12="",0,IF($M12="",0,MAX(0,$M12)*MAX(0,AI$4)/100))</f>
        <v/>
      </c>
      <c r="AJ12">
        <f>IF($C12="",0,MAX(0,MAX(0,N($L12))-$V12))</f>
        <v/>
      </c>
      <c r="AK12">
        <f>IF($C12="",0,MAX(0,$AJ12-$W12))</f>
        <v/>
      </c>
      <c r="AL12">
        <f>IF($C12="",0,MAX(0,$AK12-$X12))</f>
        <v/>
      </c>
      <c r="AM12">
        <f>IF($C12="",0,MAX(0,$AL12-$Y12))</f>
        <v/>
      </c>
      <c r="AN12">
        <f>IF($C12="",0,MAX(0,$AM12-$Z12))</f>
        <v/>
      </c>
      <c r="AO12">
        <f>IF($C12="",0,MAX(0,$AN12-$AA12))</f>
        <v/>
      </c>
      <c r="AP12">
        <f>IF($C12="",0,MAX(0,$AO12-$AB12))</f>
        <v/>
      </c>
      <c r="AQ12">
        <f>IF($C12="",0,MAX(0,$AP12-$AC12))</f>
        <v/>
      </c>
      <c r="AR12">
        <f>IF($C12="",0,MAX(0,$AQ12-$AD12))</f>
        <v/>
      </c>
      <c r="AS12">
        <f>IF($C12="",0,MAX(0,$AR12-$AE12))</f>
        <v/>
      </c>
      <c r="AT12">
        <f>IF($C12="",0,MAX(0,$AS12-$AF12))</f>
        <v/>
      </c>
      <c r="AU12">
        <f>IF($C12="",0,MAX(0,$AT12-$AG12))</f>
        <v/>
      </c>
      <c r="AV12">
        <f>IF($C12="",0,MAX(0,$AU12-$AH12))</f>
        <v/>
      </c>
      <c r="AW12">
        <f>IF($C12="",0,MAX(0,$AV12-$AI12))</f>
        <v/>
      </c>
      <c r="AX12">
        <f>IF($C12="",0,MAX(0,MAX(0,N($L12))+IF($P12=V$3,$R12,0)+IF($S12=V$3,$U12,0)-$V12))</f>
        <v/>
      </c>
      <c r="AY12">
        <f>IF($C12="",0,MAX(0,$AX12+IF($P12=W$3,$R12,0)+IF($S12=W$3,$U12,0)-$W12))</f>
        <v/>
      </c>
      <c r="AZ12">
        <f>IF($C12="",0,MAX(0,$AY12+IF($P12=X$3,$R12,0)+IF($S12=X$3,$U12,0)-$X12))</f>
        <v/>
      </c>
      <c r="BA12">
        <f>IF($C12="",0,MAX(0,$AZ12+IF($P12=Y$3,$R12,0)+IF($S12=Y$3,$U12,0)-$Y12))</f>
        <v/>
      </c>
      <c r="BB12">
        <f>IF($C12="",0,MAX(0,$BA12+IF($P12=Z$3,$R12,0)+IF($S12=Z$3,$U12,0)-$Z12))</f>
        <v/>
      </c>
      <c r="BC12">
        <f>IF($C12="",0,MAX(0,$BB12+IF($P12=AA$3,$R12,0)+IF($S12=AA$3,$U12,0)-$AA12))</f>
        <v/>
      </c>
      <c r="BD12">
        <f>IF($C12="",0,MAX(0,$BC12+IF($P12=AB$3,$R12,0)+IF($S12=AB$3,$U12,0)-$AB12))</f>
        <v/>
      </c>
      <c r="BE12">
        <f>IF($C12="",0,MAX(0,$BD12+IF($P12=AC$3,$R12,0)+IF($S12=AC$3,$U12,0)-$AC12))</f>
        <v/>
      </c>
      <c r="BF12">
        <f>IF($C12="",0,MAX(0,$BE12+IF($P12=AD$3,$R12,0)+IF($S12=AD$3,$U12,0)-$AD12))</f>
        <v/>
      </c>
      <c r="BG12">
        <f>IF($C12="",0,MAX(0,$BF12+IF($P12=AE$3,$R12,0)+IF($S12=AE$3,$U12,0)-$AE12))</f>
        <v/>
      </c>
      <c r="BH12">
        <f>IF($C12="",0,MAX(0,$BG12+IF($P12=AF$3,$R12,0)+IF($S12=AF$3,$U12,0)-$AF12))</f>
        <v/>
      </c>
      <c r="BI12">
        <f>IF($C12="",0,MAX(0,$BH12+IF($P12=AG$3,$R12,0)+IF($S12=AG$3,$U12,0)-$AG12))</f>
        <v/>
      </c>
      <c r="BJ12">
        <f>IF($C12="",0,MAX(0,$BI12+IF($P12=AH$3,$R12,0)+IF($S12=AH$3,$U12,0)-$AH12))</f>
        <v/>
      </c>
      <c r="BK12">
        <f>IF($C12="",0,MAX(0,$BJ12+IF($P12=AI$3,$R12,0)+IF($S12=AI$3,$U12,0)-$AI12))</f>
        <v/>
      </c>
      <c r="BL12">
        <f>IF($C12="",99,IF(AND($AX12&lt;1,V$3&gt;=MAX(N($P12),N($S12))),0,99))</f>
        <v/>
      </c>
      <c r="BM12">
        <f>IF($C12="",99,IF(AND($AY12&lt;1,W$3&gt;=MAX(N($P12),N($S12))),1,99))</f>
        <v/>
      </c>
      <c r="BN12">
        <f>IF($C12="",99,IF(AND($AZ12&lt;1,X$3&gt;=MAX(N($P12),N($S12))),2,99))</f>
        <v/>
      </c>
      <c r="BO12">
        <f>IF($C12="",99,IF(AND($BA12&lt;1,Y$3&gt;=MAX(N($P12),N($S12))),3,99))</f>
        <v/>
      </c>
      <c r="BP12">
        <f>IF($C12="",99,IF(AND($BB12&lt;1,Z$3&gt;=MAX(N($P12),N($S12))),4,99))</f>
        <v/>
      </c>
      <c r="BQ12">
        <f>IF($C12="",99,IF(AND($BC12&lt;1,AA$3&gt;=MAX(N($P12),N($S12))),5,99))</f>
        <v/>
      </c>
      <c r="BR12">
        <f>IF($C12="",99,IF(AND($BD12&lt;1,AB$3&gt;=MAX(N($P12),N($S12))),6,99))</f>
        <v/>
      </c>
      <c r="BS12">
        <f>IF($C12="",99,IF(AND($BE12&lt;1,AC$3&gt;=MAX(N($P12),N($S12))),7,99))</f>
        <v/>
      </c>
      <c r="BT12">
        <f>IF($C12="",99,IF(AND($BF12&lt;1,AD$3&gt;=MAX(N($P12),N($S12))),8,99))</f>
        <v/>
      </c>
      <c r="BU12">
        <f>IF($C12="",99,IF(AND($BG12&lt;1,AE$3&gt;=MAX(N($P12),N($S12))),9,99))</f>
        <v/>
      </c>
      <c r="BV12">
        <f>IF($C12="",99,IF(AND($BH12&lt;1,AF$3&gt;=MAX(N($P12),N($S12))),10,99))</f>
        <v/>
      </c>
      <c r="BW12">
        <f>IF($C12="",99,IF(AND($BI12&lt;1,AG$3&gt;=MAX(N($P12),N($S12))),11,99))</f>
        <v/>
      </c>
      <c r="BX12">
        <f>IF($C12="",99,IF(AND($BJ12&lt;1,AH$3&gt;=MAX(N($P12),N($S12))),12,99))</f>
        <v/>
      </c>
      <c r="BY12">
        <f>IF($C12="",99,IF(AND($BK12&lt;1,AI$3&gt;=MAX(N($P12),N($S12))),13,99))</f>
        <v/>
      </c>
      <c r="BZ12">
        <f>IF(OR($C12="",$M12=""),"",COUNTIF($AJ12:$AW12,"&gt;=1"))</f>
        <v/>
      </c>
      <c r="CA12" s="90">
        <f>IF($BZ12="","",IF($BZ12&gt;=14,"",'設定'!$C$6+$BZ12))</f>
        <v/>
      </c>
      <c r="CB12">
        <f>IF(OR($C12="",$M12=""),"",MIN($BL12:$BY12))</f>
        <v/>
      </c>
      <c r="CC12" s="90">
        <f>IF($CB12="","",IF($CB12&gt;=99,"",'設定'!$C$6+$CB12))</f>
        <v/>
      </c>
      <c r="CD12">
        <f>IF(OR($C12="",$M12=""),"",AVERAGE($V12:$AI12))</f>
        <v/>
      </c>
      <c r="CE12">
        <f>IF($C12="","",IFERROR(IF(MATCH(IF(ISNUMBER($P12),$P12,'設定'!$C$6+N('設定'!$C$7)),$V$3:$AI$3,0)=1,MAX(0,N($L12)),INDEX($AJ12:$AW12,MATCH(IF(ISNUMBER($P12),$P12,'設定'!$C$6+N('設定'!$C$7)),$V$3:$AI$3,0)-1)),""))</f>
        <v/>
      </c>
      <c r="CF12">
        <f>IF(OR($C12="",$O12="",$CE12=""),"",IF($O12-$CE12&lt;=0,0,ROUNDUP(($O12-$CE12)/$G12,0)))</f>
        <v/>
      </c>
      <c r="CG12">
        <f>IF(OR($C12="",$CF12="",NOT(ISNUMBER($Q12))),0,MAX(0,$Q12-$CF12))</f>
        <v/>
      </c>
      <c r="CH12">
        <f>IF(OR($C12="",$O12="",$U12=0),0,IFERROR(ROUNDUP(MAX(0,IF(MATCH($S12,$V$3:$AI$3,0)=1,MAX(0,N($L12)),INDEX($AX12:$BK12,MATCH($S12,$V$3:$AI$3,0)-1))+$U12-$O12)/$G12,0),0))</f>
        <v/>
      </c>
      <c r="CI12">
        <f>IF($C12="","",IF(AND($P12="",$Q12=""),"",IF($P12="","⚠ 入庫日を ▼ から選んでください",IF(NOT(ISNUMBER($P12)),"⚠ 入庫日は ▼ から選んでください",IF($P12&lt;N('設定'!$C$6),"⚠ 入庫日が過去です（もう在庫に入っています）→ 消してください",IF($P12&gt;N('設定'!$C$6)+13,"⚠ 入庫日が14日より先です",IF(N($Q12)&lt;=0,"⚠ 入庫数を入れてください",IF($CG12&gt;0,"⚠ 目安より "&amp;$CG12&amp;" 多い（定数を超える）→ 減らす",""))))))))</f>
        <v/>
      </c>
      <c r="CJ12">
        <f>IF($C12="","",IF(AND($S12="",$T12=""),"",IF($S12="","⚠ 2便目：入庫日を ▼ から選んでください",IF(NOT(ISNUMBER($S12)),"⚠ 2便目：入庫日は ▼ から選んでください",IF($S12&lt;N('設定'!$C$6),"⚠ 2便目：入庫日が過去です（もう在庫に入っています）→ 消してください",IF($S12&gt;N('設定'!$C$6)+13,"⚠ 2便目：入庫日が14日より先です",IF(N($T12)&lt;=0,"⚠ 2便目：入庫数を入れてください",IF($CH12&gt;0,"⚠ 2便目：定数を "&amp;$CH12&amp;" ケース超える → 減らす",""))))))))</f>
        <v/>
      </c>
      <c r="CK12">
        <f>IF(AND($CI12="",N($Q12)&gt;0,ISNUMBER($P12)),1,0)</f>
        <v/>
      </c>
      <c r="CL12">
        <f>IF(AND($CJ12="",N($T12)&gt;0,ISNUMBER($S12)),1,0)</f>
        <v/>
      </c>
      <c r="CM12">
        <f>IF(OR($CK12=1,$CL12=1),1,0)</f>
        <v/>
      </c>
      <c r="CN12">
        <f>IF($C12="",0,($CK12*$R12+$CL12*$U12)*N($H12))</f>
        <v/>
      </c>
      <c r="CO12">
        <f>IF($C12="","",IF($CC12="","入庫後は 14日以上もつ",IF($CC12-N('設定'!$C$7)&lt;='設定'!$C$6,"入庫後も "&amp;TEXT($CC12,"m/d")&amp;"("&amp;CHOOSE(WEEKDAY($CC12),"日","月","火","水","木","金","土")&amp;")"&amp;" に切れる　もう1便を至急発注","入庫後も "&amp;TEXT($CC12,"m/d")&amp;"("&amp;CHOOSE(WEEKDAY($CC12),"日","月","火","水","木","金","土")&amp;")"&amp;" に切れる　"&amp;TEXT($CC12-N('設定'!$C$7),"m/d")&amp;"("&amp;CHOOSE(WEEKDAY($CC12-N('設定'!$C$7)),"日","月","火","水","木","金","土")&amp;")"&amp;" までに次を発注")))</f>
        <v/>
      </c>
      <c r="CP12">
        <f>IF($C12="","",IF('設定'!$C$6="","？ ①在庫を貼る に今日のCSVが貼られていない",IF($CS12=1,"－ 今日のCSVに無い（終売？）",IF($L12&lt;0,"● 在庫がマイナス　数えて「数えた在庫」に入れる",IF($L12=0,"● 在庫なし　至急発注",IF($M12="","？ 減り数が未設定（商品マスタ）",IF($B$3=0,"？ 動員が未入力（動員を入れる）",IF($CA12="","○ 14日以上もつ",IF($BZ12&lt;N('設定'!$C$7),"● "&amp;TEXT($CA12,"m/d")&amp;"("&amp;CHOOSE(WEEKDAY($CA12),"日","月","火","水","木","金","土")&amp;")"&amp;" に切れる　至急発注",IF($BZ12=N('設定'!$C$7),"● "&amp;TEXT($CA12,"m/d")&amp;"("&amp;CHOOSE(WEEKDAY($CA12),"日","月","火","水","木","金","土")&amp;")"&amp;" に切れる　今日発注","△ "&amp;TEXT($CA12,"m/d")&amp;"("&amp;CHOOSE(WEEKDAY($CA12),"日","月","火","水","木","金","土")&amp;")"&amp;" に切れる　"&amp;TEXT($CA12-N('設定'!$C$7),"m/d")&amp;"("&amp;CHOOSE(WEEKDAY($CA12-N('設定'!$C$7)),"日","月","火","水","木","金","土")&amp;")"&amp;" までに発注"))))))))))</f>
        <v/>
      </c>
      <c r="CQ12">
        <f>IF($C12="","",IF(AND($P12="",$Q12="",$S12="",$T12=""),"",IF(AND($P12="",$Q12=""),"⚠ 先に1便目（左の入庫日・入庫数）に入れてください",IF($CI12&lt;&gt;"",$CI12,IF($CJ12&lt;&gt;"",$CJ12,IF($M12="","？ 減り数が未設定（発注書には載ります）",IF($B$3=0,"？ 動員が未入力（発注書には載ります）",IF(AND($CA12&lt;&gt;"",$P12&gt;$CA12),IF($P12&gt;'設定'!$C$6+N('設定'!$C$7),"● "&amp;TEXT($P12,"m/d")&amp;"("&amp;CHOOSE(WEEKDAY($P12),"日","月","火","水","木","金","土")&amp;")"&amp;" の入庫では間に合わない（"&amp;TEXT($CA12,"m/d")&amp;"("&amp;CHOOSE(WEEKDAY($CA12),"日","月","火","水","木","金","土")&amp;")"&amp;" に切れる）　入庫日を早める","△ 欠品 "&amp;TEXT($CA12,"m/d")&amp;"("&amp;CHOOSE(WEEKDAY($CA12),"日","月","火","水","木","金","土")&amp;")"&amp;"〜"&amp;TEXT($P12-1,"m/d")&amp;"("&amp;CHOOSE(WEEKDAY($P12-1),"日","月","火","水","木","金","土")&amp;")"&amp;"　"&amp;$CO12),IF($CC12="","○ "&amp;TEXT($P12,"m/d")&amp;"("&amp;CHOOSE(WEEKDAY($P12),"日","月","火","水","木","金","土")&amp;")"&amp;" 入庫で 14日以上もつ",IF($CC12-N('設定'!$C$7)&lt;='設定'!$C$6,"● 入庫しても "&amp;TEXT($CC12,"m/d")&amp;"("&amp;CHOOSE(WEEKDAY($CC12),"日","月","火","水","木","金","土")&amp;")"&amp;" に切れる　もう1便を至急発注（2便目に入れる）","△ 入庫しても "&amp;TEXT($CC12,"m/d")&amp;"("&amp;CHOOSE(WEEKDAY($CC12),"日","月","火","水","木","金","土")&amp;")"&amp;" に切れる　"&amp;TEXT($CC12-N('設定'!$C$7),"m/d")&amp;"("&amp;CHOOSE(WEEKDAY($CC12-N('設定'!$C$7)),"日","月","火","水","木","金","土")&amp;")"&amp;" までに次を発注（2便目に入れる）"))))))))))</f>
        <v/>
      </c>
      <c r="CR12">
        <f>IF($C12="","",IF($G12&gt;1,"ｹｰｽ("&amp;$G12&amp;"入)","個"))</f>
        <v/>
      </c>
      <c r="CS12">
        <f>IF($C12="",0,IF(COUNTIFS('①在庫を貼る'!$V$6:$V$10005,'設定'!$C$4,'①在庫を貼る'!$W$6:$W$10005,$C12)=0,1,0))</f>
        <v/>
      </c>
      <c r="CT12">
        <f>IF(AND($CK12=1,OR('③発注書'!$C$4="すべて",'③発注書'!$C$4="",$F12='③発注書'!$C$4)),N($CT11)+1,N($CT11))</f>
        <v/>
      </c>
      <c r="CU12">
        <f>IF(AND($CL12=1,OR('③発注書'!$C$4="すべて",'③発注書'!$C$4="",$F12='③発注書'!$C$4)),N($CU11)+1,N($CU11))</f>
        <v/>
      </c>
      <c r="CV12">
        <f>IF($C12="",0,IF(COUNTIFS('①在庫を貼る'!$V$6:$V$10005,'設定'!$C$4,'①在庫を貼る'!$W$6:$W$10005,$C12)&gt;0,1,0))</f>
        <v/>
      </c>
      <c r="CW12">
        <f>IF($C12="",0,IF(COUNTIFS('月1回_1ヶ月前の在庫'!$V$6:$V$10005,'設定'!$C$4,'月1回_1ヶ月前の在庫'!$W$6:$W$10005,$C12)&gt;0,1,0))</f>
        <v/>
      </c>
      <c r="CX12">
        <f>IF($C12="",0,IF(COUNTIFS('月1回_2ヶ月前の在庫'!$V$6:$V$10005,'設定'!$C$4,'月1回_2ヶ月前の在庫'!$W$6:$W$10005,$C12)&gt;0,1,0))</f>
        <v/>
      </c>
      <c r="CY12">
        <f>IF(OR($C12="",'設定'!$C$12=""),"",IF('設定'!$C$13="",IF(AND($CV12=1,$CW12=0),"新商品（今月から）",IF(AND($CV12=0,$CW12=1),"終売（今月から）","")),IF(AND($CV12=1,$CW12=0,$CX12=0),"新商品（今月から）",IF(AND($CV12=1,$CW12=1,$CX12=0),"新商品（先月から）",IF(AND($CV12=0,$CW12=1,$CX12=1),"終売（今月から）",IF(AND($CV12=0,$CW12=0,$CX12=1),"終売（先月から）",IF(AND($CV12=1,$CW12=0,$CX12=1),"復活（先月は無し）","")))))))</f>
        <v/>
      </c>
    </row>
    <row r="13">
      <c r="B13">
        <f>IF(8&lt;='設定'!$C$11,8,"")</f>
        <v/>
      </c>
      <c r="C13">
        <f>IF($B13="","",IF($B13&lt;='設定'!$C$20,INDEX('商品マスタ'!$B$6:$B$1005,MATCH($B13,'商品マスタ'!$M$6:$M$1005,0)),IF($B13&lt;='設定'!$C$20+'設定'!$C$17,INDEX('①在庫を貼る'!$W$6:$W$10005,MATCH($B13-'設定'!$C$20,'①在庫を貼る'!$U$6:$U$10005,0)),IF($B13&lt;='設定'!$C$20+'設定'!$C$17+'設定'!$C$18,INDEX('月1回_1ヶ月前の在庫'!$W$6:$W$10005,MATCH($B13-'設定'!$C$20-'設定'!$C$17,'月1回_1ヶ月前の在庫'!$U$6:$U$10005,0)),INDEX('月1回_2ヶ月前の在庫'!$W$6:$W$10005,MATCH($B13-'設定'!$C$20-'設定'!$C$17-'設定'!$C$18,'月1回_2ヶ月前の在庫'!$U$6:$U$10005,0))))))</f>
        <v/>
      </c>
      <c r="D13">
        <f>IF($C13="","",IFERROR(IF(INDEX('商品マスタ'!$C$6:$C$1005,MATCH($C13,'商品マスタ'!$B$6:$B$1005,0))="",IFERROR(INDEX('①在庫を貼る'!$J$6:$J$10005,MATCH($C13,'①在庫を貼る'!$W$6:$W$10005,0)),IFERROR(INDEX('月1回_1ヶ月前の在庫'!$J$6:$J$10005,MATCH($C13,'月1回_1ヶ月前の在庫'!$W$6:$W$10005,0)),IFERROR(INDEX('月1回_2ヶ月前の在庫'!$J$6:$J$10005,MATCH($C13,'月1回_2ヶ月前の在庫'!$W$6:$W$10005,0)),""))),INDEX('商品マスタ'!$C$6:$C$1005,MATCH($C13,'商品マスタ'!$B$6:$B$1005,0))),IFERROR(INDEX('①在庫を貼る'!$J$6:$J$10005,MATCH($C13,'①在庫を貼る'!$W$6:$W$10005,0)),IFERROR(INDEX('月1回_1ヶ月前の在庫'!$J$6:$J$10005,MATCH($C13,'月1回_1ヶ月前の在庫'!$W$6:$W$10005,0)),IFERROR(INDEX('月1回_2ヶ月前の在庫'!$J$6:$J$10005,MATCH($C13,'月1回_2ヶ月前の在庫'!$W$6:$W$10005,0)),"")))))</f>
        <v/>
      </c>
      <c r="E13">
        <f>IF($C13="","",IFERROR(IF(INDEX('商品マスタ'!$D$6:$D$1005,MATCH($C13,'商品マスタ'!$B$6:$B$1005,0))="",IFERROR(INDEX('①在庫を貼る'!$H$6:$H$10005,MATCH($C13,'①在庫を貼る'!$W$6:$W$10005,0)),IFERROR(INDEX('月1回_1ヶ月前の在庫'!$H$6:$H$10005,MATCH($C13,'月1回_1ヶ月前の在庫'!$W$6:$W$10005,0)),IFERROR(INDEX('月1回_2ヶ月前の在庫'!$H$6:$H$10005,MATCH($C13,'月1回_2ヶ月前の在庫'!$W$6:$W$10005,0)),""))),INDEX('商品マスタ'!$D$6:$D$1005,MATCH($C13,'商品マスタ'!$B$6:$B$1005,0))),IFERROR(INDEX('①在庫を貼る'!$H$6:$H$10005,MATCH($C13,'①在庫を貼る'!$W$6:$W$10005,0)),IFERROR(INDEX('月1回_1ヶ月前の在庫'!$H$6:$H$10005,MATCH($C13,'月1回_1ヶ月前の在庫'!$W$6:$W$10005,0)),IFERROR(INDEX('月1回_2ヶ月前の在庫'!$H$6:$H$10005,MATCH($C13,'月1回_2ヶ月前の在庫'!$W$6:$W$10005,0)),"")))))</f>
        <v/>
      </c>
      <c r="F13">
        <f>IF($C13="","",IFERROR(IF(INDEX('商品マスタ'!$E$6:$E$1005,MATCH($C13,'商品マスタ'!$B$6:$B$1005,0))="",IFERROR(INDEX('①在庫を貼る'!$E$6:$E$10005,MATCH($C13,'①在庫を貼る'!$W$6:$W$10005,0)),IFERROR(INDEX('月1回_1ヶ月前の在庫'!$E$6:$E$10005,MATCH($C13,'月1回_1ヶ月前の在庫'!$W$6:$W$10005,0)),IFERROR(INDEX('月1回_2ヶ月前の在庫'!$E$6:$E$10005,MATCH($C13,'月1回_2ヶ月前の在庫'!$W$6:$W$10005,0)),""))),INDEX('商品マスタ'!$E$6:$E$1005,MATCH($C13,'商品マスタ'!$B$6:$B$1005,0))),IFERROR(INDEX('①在庫を貼る'!$E$6:$E$10005,MATCH($C13,'①在庫を貼る'!$W$6:$W$10005,0)),IFERROR(INDEX('月1回_1ヶ月前の在庫'!$E$6:$E$10005,MATCH($C13,'月1回_1ヶ月前の在庫'!$W$6:$W$10005,0)),IFERROR(INDEX('月1回_2ヶ月前の在庫'!$E$6:$E$10005,MATCH($C13,'月1回_2ヶ月前の在庫'!$W$6:$W$10005,0)),"")))))</f>
        <v/>
      </c>
      <c r="G13">
        <f>IF($C13="","",MAX(1,N(IFERROR(IF(INDEX('商品マスタ'!$F$6:$F$1005,MATCH($C13,'商品マスタ'!$B$6:$B$1005,0))="",IF(COUNTIFS('①在庫を貼る'!$V$6:$V$10005,'設定'!$C$4,'①在庫を貼る'!$W$6:$W$10005,$C13)&gt;0,SUMIFS('①在庫を貼る'!$K$6:$K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K$6:$K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K$6:$K$10005,'月1回_2ヶ月前の在庫'!$V$6:$V$10005,'設定'!$C$4,'月1回_2ヶ月前の在庫'!$W$6:$W$10005,$C13)/COUNTIFS('月1回_2ヶ月前の在庫'!$V$6:$V$10005,'設定'!$C$4,'月1回_2ヶ月前の在庫'!$W$6:$W$10005,$C13),0))),INDEX('商品マスタ'!$F$6:$F$1005,MATCH($C13,'商品マスタ'!$B$6:$B$1005,0))),IF(COUNTIFS('①在庫を貼る'!$V$6:$V$10005,'設定'!$C$4,'①在庫を貼る'!$W$6:$W$10005,$C13)&gt;0,SUMIFS('①在庫を貼る'!$K$6:$K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K$6:$K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K$6:$K$10005,'月1回_2ヶ月前の在庫'!$V$6:$V$10005,'設定'!$C$4,'月1回_2ヶ月前の在庫'!$W$6:$W$10005,$C13)/COUNTIFS('月1回_2ヶ月前の在庫'!$V$6:$V$10005,'設定'!$C$4,'月1回_2ヶ月前の在庫'!$W$6:$W$10005,$C13),0)))))))</f>
        <v/>
      </c>
      <c r="H13">
        <f>IF($C13="","",N(IFERROR(IF(INDEX('商品マスタ'!$G$6:$G$1005,MATCH($C13,'商品マスタ'!$B$6:$B$1005,0))="",IF(COUNTIFS('①在庫を貼る'!$V$6:$V$10005,'設定'!$C$4,'①在庫を貼る'!$W$6:$W$10005,$C13)&gt;0,SUMIFS('①在庫を貼る'!$Q$6:$Q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Q$6:$Q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Q$6:$Q$10005,'月1回_2ヶ月前の在庫'!$V$6:$V$10005,'設定'!$C$4,'月1回_2ヶ月前の在庫'!$W$6:$W$10005,$C13)/COUNTIFS('月1回_2ヶ月前の在庫'!$V$6:$V$10005,'設定'!$C$4,'月1回_2ヶ月前の在庫'!$W$6:$W$10005,$C13),0))),INDEX('商品マスタ'!$G$6:$G$1005,MATCH($C13,'商品マスタ'!$B$6:$B$1005,0))),IF(COUNTIFS('①在庫を貼る'!$V$6:$V$10005,'設定'!$C$4,'①在庫を貼る'!$W$6:$W$10005,$C13)&gt;0,SUMIFS('①在庫を貼る'!$Q$6:$Q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Q$6:$Q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Q$6:$Q$10005,'月1回_2ヶ月前の在庫'!$V$6:$V$10005,'設定'!$C$4,'月1回_2ヶ月前の在庫'!$W$6:$W$10005,$C13)/COUNTIFS('月1回_2ヶ月前の在庫'!$V$6:$V$10005,'設定'!$C$4,'月1回_2ヶ月前の在庫'!$W$6:$W$10005,$C13),0))))))</f>
        <v/>
      </c>
      <c r="I13">
        <f>IF($C13="","",IF(COUNTIFS('①在庫を貼る'!$V$6:$V$10005,'設定'!$C$4,'①在庫を貼る'!$W$6:$W$10005,$C13)=0,"",SUMIFS('①在庫を貼る'!$N$6:$N$10005,'①在庫を貼る'!$V$6:$V$10005,'設定'!$C$4,'①在庫を貼る'!$W$6:$W$10005,$C13)))</f>
        <v/>
      </c>
      <c r="J13">
        <f>IF($C13="","",IF('②発注する'!$AD17="","",'②発注する'!$AD17))</f>
        <v/>
      </c>
      <c r="K13" s="90">
        <f>IF($C13="","",IF('②発注する'!$AE17="","",'②発注する'!$AE17))</f>
        <v/>
      </c>
      <c r="L13">
        <f>IF($C13="","",IF(AND(ISNUMBER($J13),ISNUMBER($K13),$K13&gt;='設定'!$C$6),$J13,N($I13)))</f>
        <v/>
      </c>
      <c r="M13">
        <f>IF($C13="","",IFERROR(IF(N(INDEX('商品マスタ'!$J$6:$J$1005,MATCH($C13,'商品マスタ'!$B$6:$B$1005,0)))&gt;0,INDEX('商品マスタ'!$J$6:$J$1005,MATCH($C13,'商品マスタ'!$B$6:$B$1005,0)),""),""))</f>
        <v/>
      </c>
      <c r="N13">
        <f>IF($C13="","",IFERROR(IF(N(INDEX('商品マスタ'!$H$6:$H$1005,MATCH($C13,'商品マスタ'!$B$6:$B$1005,0)))&gt;0,INDEX('商品マスタ'!$H$6:$H$1005,MATCH($C13,'商品マスタ'!$B$6:$B$1005,0)),""),""))</f>
        <v/>
      </c>
      <c r="O13">
        <f>IF($C13="","",IF($N13&lt;&gt;"",$N13*$G13,IF(N(IF(COUNTIFS('①在庫を貼る'!$V$6:$V$10005,'設定'!$C$4,'①在庫を貼る'!$W$6:$W$10005,$C13)&gt;0,SUMIFS('①在庫を貼る'!$O$6:$O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O$6:$O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O$6:$O$10005,'月1回_2ヶ月前の在庫'!$V$6:$V$10005,'設定'!$C$4,'月1回_2ヶ月前の在庫'!$W$6:$W$10005,$C13)/COUNTIFS('月1回_2ヶ月前の在庫'!$V$6:$V$10005,'設定'!$C$4,'月1回_2ヶ月前の在庫'!$W$6:$W$10005,$C13),0))))&gt;0,N(IF(COUNTIFS('①在庫を貼る'!$V$6:$V$10005,'設定'!$C$4,'①在庫を貼る'!$W$6:$W$10005,$C13)&gt;0,SUMIFS('①在庫を貼る'!$O$6:$O$10005,'①在庫を貼る'!$V$6:$V$10005,'設定'!$C$4,'①在庫を貼る'!$W$6:$W$10005,$C13)/COUNTIFS('①在庫を貼る'!$V$6:$V$10005,'設定'!$C$4,'①在庫を貼る'!$W$6:$W$10005,$C13),IF(COUNTIFS('月1回_1ヶ月前の在庫'!$V$6:$V$10005,'設定'!$C$4,'月1回_1ヶ月前の在庫'!$W$6:$W$10005,$C13)&gt;0,SUMIFS('月1回_1ヶ月前の在庫'!$O$6:$O$10005,'月1回_1ヶ月前の在庫'!$V$6:$V$10005,'設定'!$C$4,'月1回_1ヶ月前の在庫'!$W$6:$W$10005,$C13)/COUNTIFS('月1回_1ヶ月前の在庫'!$V$6:$V$10005,'設定'!$C$4,'月1回_1ヶ月前の在庫'!$W$6:$W$10005,$C13),IF(COUNTIFS('月1回_2ヶ月前の在庫'!$V$6:$V$10005,'設定'!$C$4,'月1回_2ヶ月前の在庫'!$W$6:$W$10005,$C13)&gt;0,SUMIFS('月1回_2ヶ月前の在庫'!$O$6:$O$10005,'月1回_2ヶ月前の在庫'!$V$6:$V$10005,'設定'!$C$4,'月1回_2ヶ月前の在庫'!$W$6:$W$10005,$C13)/COUNTIFS('月1回_2ヶ月前の在庫'!$V$6:$V$10005,'設定'!$C$4,'月1回_2ヶ月前の在庫'!$W$6:$W$10005,$C13),0)))),"")))</f>
        <v/>
      </c>
      <c r="P13" s="90">
        <f>IF($C13="","",IF('②発注する'!$I17="","",'②発注する'!$I17))</f>
        <v/>
      </c>
      <c r="Q13">
        <f>IF($C13="","",IF('②発注する'!$J17="","",'②発注する'!$J17))</f>
        <v/>
      </c>
      <c r="R13">
        <f>IF($C13="",0,IF(AND(ISNUMBER($P13),ISNUMBER($Q13)),MAX(0,$Q13)*$G13,0))</f>
        <v/>
      </c>
      <c r="S13" s="90">
        <f>IF($C13="","",IF('②発注する'!$M17="","",'②発注する'!$M17))</f>
        <v/>
      </c>
      <c r="T13">
        <f>IF($C13="","",IF('②発注する'!$N17="","",'②発注する'!$N17))</f>
        <v/>
      </c>
      <c r="U13">
        <f>IF($C13="",0,IF(AND(ISNUMBER($S13),ISNUMBER($T13)),MAX(0,$T13)*$G13,0))</f>
        <v/>
      </c>
      <c r="V13">
        <f>IF($C13="",0,IF($M13="",0,MAX(0,$M13)*MAX(0,V$4)/100))</f>
        <v/>
      </c>
      <c r="W13">
        <f>IF($C13="",0,IF($M13="",0,MAX(0,$M13)*MAX(0,W$4)/100))</f>
        <v/>
      </c>
      <c r="X13">
        <f>IF($C13="",0,IF($M13="",0,MAX(0,$M13)*MAX(0,X$4)/100))</f>
        <v/>
      </c>
      <c r="Y13">
        <f>IF($C13="",0,IF($M13="",0,MAX(0,$M13)*MAX(0,Y$4)/100))</f>
        <v/>
      </c>
      <c r="Z13">
        <f>IF($C13="",0,IF($M13="",0,MAX(0,$M13)*MAX(0,Z$4)/100))</f>
        <v/>
      </c>
      <c r="AA13">
        <f>IF($C13="",0,IF($M13="",0,MAX(0,$M13)*MAX(0,AA$4)/100))</f>
        <v/>
      </c>
      <c r="AB13">
        <f>IF($C13="",0,IF($M13="",0,MAX(0,$M13)*MAX(0,AB$4)/100))</f>
        <v/>
      </c>
      <c r="AC13">
        <f>IF($C13="",0,IF($M13="",0,MAX(0,$M13)*MAX(0,AC$4)/100))</f>
        <v/>
      </c>
      <c r="AD13">
        <f>IF($C13="",0,IF($M13="",0,MAX(0,$M13)*MAX(0,AD$4)/100))</f>
        <v/>
      </c>
      <c r="AE13">
        <f>IF($C13="",0,IF($M13="",0,MAX(0,$M13)*MAX(0,AE$4)/100))</f>
        <v/>
      </c>
      <c r="AF13">
        <f>IF($C13="",0,IF($M13="",0,MAX(0,$M13)*MAX(0,AF$4)/100))</f>
        <v/>
      </c>
      <c r="AG13">
        <f>IF($C13="",0,IF($M13="",0,MAX(0,$M13)*MAX(0,AG$4)/100))</f>
        <v/>
      </c>
      <c r="AH13">
        <f>IF($C13="",0,IF($M13="",0,MAX(0,$M13)*MAX(0,AH$4)/100))</f>
        <v/>
      </c>
      <c r="AI13">
        <f>IF($C13="",0,IF($M13="",0,MAX(0,$M13)*MAX(0,AI$4)/100))</f>
        <v/>
      </c>
      <c r="AJ13">
        <f>IF($C13="",0,MAX(0,MAX(0,N($L13))-$V13))</f>
        <v/>
      </c>
      <c r="AK13">
        <f>IF($C13="",0,MAX(0,$AJ13-$W13))</f>
        <v/>
      </c>
      <c r="AL13">
        <f>IF($C13="",0,MAX(0,$AK13-$X13))</f>
        <v/>
      </c>
      <c r="AM13">
        <f>IF($C13="",0,MAX(0,$AL13-$Y13))</f>
        <v/>
      </c>
      <c r="AN13">
        <f>IF($C13="",0,MAX(0,$AM13-$Z13))</f>
        <v/>
      </c>
      <c r="AO13">
        <f>IF($C13="",0,MAX(0,$AN13-$AA13))</f>
        <v/>
      </c>
      <c r="AP13">
        <f>IF($C13="",0,MAX(0,$AO13-$AB13))</f>
        <v/>
      </c>
      <c r="AQ13">
        <f>IF($C13="",0,MAX(0,$AP13-$AC13))</f>
        <v/>
      </c>
      <c r="AR13">
        <f>IF($C13="",0,MAX(0,$AQ13-$AD13))</f>
        <v/>
      </c>
      <c r="AS13">
        <f>IF($C13="",0,MAX(0,$AR13-$AE13))</f>
        <v/>
      </c>
      <c r="AT13">
        <f>IF($C13="",0,MAX(0,$AS13-$AF13))</f>
        <v/>
      </c>
      <c r="AU13">
        <f>IF($C13="",0,MAX(0,$AT13-$AG13))</f>
        <v/>
      </c>
      <c r="AV13">
        <f>IF($C13="",0,MAX(0,$AU13-$AH13))</f>
        <v/>
      </c>
      <c r="AW13">
        <f>IF($C13="",0,MAX(0,$AV13-$AI13))</f>
        <v/>
      </c>
      <c r="AX13">
        <f>IF($C13="",0,MAX(0,MAX(0,N($L13))+IF($P13=V$3,$R13,0)+IF($S13=V$3,$U13,0)-$V13))</f>
        <v/>
      </c>
      <c r="AY13">
        <f>IF($C13="",0,MAX(0,$AX13+IF($P13=W$3,$R13,0)+IF($S13=W$3,$U13,0)-$W13))</f>
        <v/>
      </c>
      <c r="AZ13">
        <f>IF($C13="",0,MAX(0,$AY13+IF($P13=X$3,$R13,0)+IF($S13=X$3,$U13,0)-$X13))</f>
        <v/>
      </c>
      <c r="BA13">
        <f>IF($C13="",0,MAX(0,$AZ13+IF($P13=Y$3,$R13,0)+IF($S13=Y$3,$U13,0)-$Y13))</f>
        <v/>
      </c>
      <c r="BB13">
        <f>IF($C13="",0,MAX(0,$BA13+IF($P13=Z$3,$R13,0)+IF($S13=Z$3,$U13,0)-$Z13))</f>
        <v/>
      </c>
      <c r="BC13">
        <f>IF($C13="",0,MAX(0,$BB13+IF($P13=AA$3,$R13,0)+IF($S13=AA$3,$U13,0)-$AA13))</f>
        <v/>
      </c>
      <c r="BD13">
        <f>IF($C13="",0,MAX(0,$BC13+IF($P13=AB$3,$R13,0)+IF($S13=AB$3,$U13,0)-$AB13))</f>
        <v/>
      </c>
      <c r="BE13">
        <f>IF($C13="",0,MAX(0,$BD13+IF($P13=AC$3,$R13,0)+IF($S13=AC$3,$U13,0)-$AC13))</f>
        <v/>
      </c>
      <c r="BF13">
        <f>IF($C13="",0,MAX(0,$BE13+IF($P13=AD$3,$R13,0)+IF($S13=AD$3,$U13,0)-$AD13))</f>
        <v/>
      </c>
      <c r="BG13">
        <f>IF($C13="",0,MAX(0,$BF13+IF($P13=AE$3,$R13,0)+IF($S13=AE$3,$U13,0)-$AE13))</f>
        <v/>
      </c>
      <c r="BH13">
        <f>IF($C13="",0,MAX(0,$BG13+IF($P13=AF$3,$R13,0)+IF($S13=AF$3,$U13,0)-$AF13))</f>
        <v/>
      </c>
      <c r="BI13">
        <f>IF($C13="",0,MAX(0,$BH13+IF($P13=AG$3,$R13,0)+IF($S13=AG$3,$U13,0)-$AG13))</f>
        <v/>
      </c>
      <c r="BJ13">
        <f>IF($C13="",0,MAX(0,$BI13+IF($P13=AH$3,$R13,0)+IF($S13=AH$3,$U13,0)-$AH13))</f>
        <v/>
      </c>
      <c r="BK13">
        <f>IF($C13="",0,MAX(0,$BJ13+IF($P13=AI$3,$R13,0)+IF($S13=AI$3,$U13,0)-$AI13))</f>
        <v/>
      </c>
      <c r="BL13">
        <f>IF($C13="",99,IF(AND($AX13&lt;1,V$3&gt;=MAX(N($P13),N($S13))),0,99))</f>
        <v/>
      </c>
      <c r="BM13">
        <f>IF($C13="",99,IF(AND($AY13&lt;1,W$3&gt;=MAX(N($P13),N($S13))),1,99))</f>
        <v/>
      </c>
      <c r="BN13">
        <f>IF($C13="",99,IF(AND($AZ13&lt;1,X$3&gt;=MAX(N($P13),N($S13))),2,99))</f>
        <v/>
      </c>
      <c r="BO13">
        <f>IF($C13="",99,IF(AND($BA13&lt;1,Y$3&gt;=MAX(N($P13),N($S13))),3,99))</f>
        <v/>
      </c>
      <c r="BP13">
        <f>IF($C13="",99,IF(AND($BB13&lt;1,Z$3&gt;=MAX(N($P13),N($S13))),4,99))</f>
        <v/>
      </c>
      <c r="BQ13">
        <f>IF($C13="",99,IF(AND($BC13&lt;1,AA$3&gt;=MAX(N($P13),N($S13))),5,99))</f>
        <v/>
      </c>
      <c r="BR13">
        <f>IF($C13="",99,IF(AND($BD13&lt;1,AB$3&gt;=MAX(N($P13),N($S13))),6,99))</f>
        <v/>
      </c>
      <c r="BS13">
        <f>IF($C13="",99,IF(AND($BE13&lt;1,AC$3&gt;=MAX(N($P13),N($S13))),7,99))</f>
        <v/>
      </c>
      <c r="BT13">
        <f>IF($C13="",99,IF(AND($BF13&lt;1,AD$3&gt;=MAX(N($P13),N($S13))),8,99))</f>
        <v/>
      </c>
      <c r="BU13">
        <f>IF($C13="",99,IF(AND($BG13&lt;1,AE$3&gt;=MAX(N($P13),N($S13))),9,99))</f>
        <v/>
      </c>
      <c r="BV13">
        <f>IF($C13="",99,IF(AND($BH13&lt;1,AF$3&gt;=MAX(N($P13),N($S13))),10,99))</f>
        <v/>
      </c>
      <c r="BW13">
        <f>IF($C13="",99,IF(AND($BI13&lt;1,AG$3&gt;=MAX(N($P13),N($S13))),11,99))</f>
        <v/>
      </c>
      <c r="BX13">
        <f>IF($C13="",99,IF(AND($BJ13&lt;1,AH$3&gt;=MAX(N($P13),N($S13))),12,99))</f>
        <v/>
      </c>
      <c r="BY13">
        <f>IF($C13="",99,IF(AND($BK13&lt;1,AI$3&gt;=MAX(N($P13),N($S13))),13,99))</f>
        <v/>
      </c>
      <c r="BZ13">
        <f>IF(OR($C13="",$M13=""),"",COUNTIF($AJ13:$AW13,"&gt;=1"))</f>
        <v/>
      </c>
      <c r="CA13" s="90">
        <f>IF($BZ13="","",IF($BZ13&gt;=14,"",'設定'!$C$6+$BZ13))</f>
        <v/>
      </c>
      <c r="CB13">
        <f>IF(OR($C13="",$M13=""),"",MIN($BL13:$BY13))</f>
        <v/>
      </c>
      <c r="CC13" s="90">
        <f>IF($CB13="","",IF($CB13&gt;=99,"",'設定'!$C$6+$CB13))</f>
        <v/>
      </c>
      <c r="CD13">
        <f>IF(OR($C13="",$M13=""),"",AVERAGE($V13:$AI13))</f>
        <v/>
      </c>
      <c r="CE13">
        <f>IF($C13="","",IFERROR(IF(MATCH(IF(ISNUMBER($P13),$P13,'設定'!$C$6+N('設定'!$C$7)),$V$3:$AI$3,0)=1,MAX(0,N($L13)),INDEX($AJ13:$AW13,MATCH(IF(ISNUMBER($P13),$P13,'設定'!$C$6+N('設定'!$C$7)),$V$3:$AI$3,0)-1)),""))</f>
        <v/>
      </c>
      <c r="CF13">
        <f>IF(OR($C13="",$O13="",$CE13=""),"",IF($O13-$CE13&lt;=0,0,ROUNDUP(($O13-$CE13)/$G13,0)))</f>
        <v/>
      </c>
      <c r="CG13">
        <f>IF(OR($C13="",$CF13="",NOT(ISNUMBER($Q13))),0,MAX(0,$Q13-$CF13))</f>
        <v/>
      </c>
      <c r="CH13">
        <f>IF(OR($C13="",$O13="",$U13=0),0,IFERROR(ROUNDUP(MAX(0,IF(MATCH($S13,$V$3:$AI$3,0)=1,MAX(0,N($L13)),INDEX($AX13:$BK13,MATCH($S13,$V$3:$AI$3,0)-1))+$U13-$O13)/$G13,0),0))</f>
        <v/>
      </c>
      <c r="CI13">
        <f>IF($C13="","",IF(AND($P13="",$Q13=""),"",IF($P13="","⚠ 入庫日を ▼ から選んでください",IF(NOT(ISNUMBER($P13)),"⚠ 入庫日は ▼ から選んでください",IF($P13&lt;N('設定'!$C$6),"⚠ 入庫日が過去です（もう在庫に入っています）→ 消してください",IF($P13&gt;N('設定'!$C$6)+13,"⚠ 入庫日が14日より先です",IF(N($Q13)&lt;=0,"⚠ 入庫数を入れてください",IF($CG13&gt;0,"⚠ 目安より "&amp;$CG13&amp;" 多い（定数を超える）→ 減らす",""))))))))</f>
        <v/>
      </c>
      <c r="CJ13">
        <f>IF($C13="","",IF(AND($S13="",$T13=""),"",IF($S13="","⚠ 2便目：入庫日を ▼ から選んでください",IF(NOT(ISNUMBER($S13)),"⚠ 2便目：入庫日は ▼ から選んでください",IF($S13&lt;N('設定'!$C$6),"⚠ 2便目：入庫日が過去です（もう在庫に入っています）→ 消してください",IF($S13&gt;N('設定'!$C$6)+13,"⚠ 2便目：入庫日が14日より先です",IF(N($T13)&lt;=0,"⚠ 2便目：入庫数を入れてください",IF($CH13&gt;0,"⚠ 2便目：定数を "&amp;$CH13&amp;" ケース超える → 減らす",""))))))))</f>
        <v/>
      </c>
      <c r="CK13">
        <f>IF(AND($CI13="",N($Q13)&gt;0,ISNUMBER($P13)),1,0)</f>
        <v/>
      </c>
      <c r="CL13">
        <f>IF(AND($CJ13="",N($T13)&gt;0,ISNUMBER($S13)),1,0)</f>
        <v/>
      </c>
      <c r="CM13">
        <f>IF(OR($CK13=1,$CL13=1),1,0)</f>
        <v/>
      </c>
      <c r="CN13">
        <f>IF($C13="",0,($CK13*$R13+$CL13*$U13)*N($H13))</f>
        <v/>
      </c>
      <c r="CO13">
        <f>IF($C13="","",IF($CC13="","入庫後は 14日以上もつ",IF($CC13-N('設定'!$C$7)&lt;='設定'!$C$6,"入庫後も "&amp;TEXT($CC13,"m/d")&amp;"("&amp;CHOOSE(WEEKDAY($CC13),"日","月","火","水","木","金","土")&amp;")"&amp;" に切れる　もう1便を至急発注","入庫後も "&amp;TEXT($CC13,"m/d")&amp;"("&amp;CHOOSE(WEEKDAY($CC13),"日","月","火","水","木","金","土")&amp;")"&amp;" に切れる　"&amp;TEXT($CC13-N('設定'!$C$7),"m/d")&amp;"("&amp;CHOOSE(WEEKDAY($CC13-N('設定'!$C$7)),"日","月","火","水","木","金","土")&amp;")"&amp;" までに次を発注")))</f>
        <v/>
      </c>
      <c r="CP13">
        <f>IF($C13="","",IF('設定'!$C$6="","？ ①在庫を貼る に今日のCSVが貼られていない",IF($CS13=1,"－ 今日のCSVに無い（終売？）",IF($L13&lt;0,"● 在庫がマイナス　数えて「数えた在庫」に入れる",IF($L13=0,"● 在庫なし　至急発注",IF($M13="","？ 減り数が未設定（商品マスタ）",IF($B$3=0,"？ 動員が未入力（動員を入れる）",IF($CA13="","○ 14日以上もつ",IF($BZ13&lt;N('設定'!$C$7),"● "&amp;TEXT($CA13,"m/d")&amp;"("&amp;CHOOSE(WEEKDAY($CA13),"日","月","火","水","木","金","土")&amp;")"&amp;" に切れる　至急発注",IF($BZ13=N('設定'!$C$7),"● "&amp;TEXT($CA13,"m/d")&amp;"("&amp;CHOOSE(WEEKDAY($CA13),"日","月","火","水","木","金","土")&amp;")"&amp;" に切れる　今日発注","△ "&amp;TEXT($CA13,"m/d")&amp;"("&amp;CHOOSE(WEEKDAY($CA13),"日","月","火","水","木","金","土")&amp;")"&amp;" に切れる　"&amp;TEXT($CA13-N('設定'!$C$7),"m/d")&amp;"("&amp;CHOOSE(WEEKDAY($CA13-N('設定'!$C$7)),"日","月","火","水","木","金","土")&amp;")"&amp;" までに発注"))))))))))</f>
        <v/>
      </c>
      <c r="CQ13">
        <f>IF($C13="","",IF(AND($P13="",$Q13="",$S13="",$T13=""),"",IF(AND($P13="",$Q13=""),"⚠ 先に1便目（左の入庫日・入庫数）に入れてください",IF($CI13&lt;&gt;"",$CI13,IF($CJ13&lt;&gt;"",$CJ13,IF($M13="","？ 減り数が未設定（発注書には載ります）",IF($B$3=0,"？ 動員が未入力（発注書には載ります）",IF(AND($CA13&lt;&gt;"",$P13&gt;$CA13),IF($P13&gt;'設定'!$C$6+N('設定'!$C$7),"● "&amp;TEXT($P13,"m/d")&amp;"("&amp;CHOOSE(WEEKDAY($P13),"日","月","火","水","木","金","土")&amp;")"&amp;" の入庫では間に合わない（"&amp;TEXT($CA13,"m/d")&amp;"("&amp;CHOOSE(WEEKDAY($CA13),"日","月","火","水","木","金","土")&amp;")"&amp;" に切れる）　入庫日を早める","△ 欠品 "&amp;TEXT($CA13,"m/d")&amp;"("&amp;CHOOSE(WEEKDAY($CA13),"日","月","火","水","木","金","土")&amp;")"&amp;"〜"&amp;TEXT($P13-1,"m/d")&amp;"("&amp;CHOOSE(WEEKDAY($P13-1),"日","月","火","水","木","金","土")&amp;")"&amp;"　"&amp;$CO13),IF($CC13="","○ "&amp;TEXT($P13,"m/d")&amp;"("&amp;CHOOSE(WEEKDAY($P13),"日","月","火","水","木","金","土")&amp;")"&amp;" 入庫で 14日以上もつ",IF($CC13-N('設定'!$C$7)&lt;='設定'!$C$6,"● 入庫しても "&amp;TEXT($CC13,"m/d")&amp;"("&amp;CHOOSE(WEEKDAY($CC13),"日","月","火","水","木","金","土")&amp;")"&amp;" に切れる　もう1便を至急発注（2便目に入れる）","△ 入庫しても "&amp;TEXT($CC13,"m/d")&amp;"("&amp;CHOOSE(WEEKDAY($CC13),"日","月","火","水","木","金","土")&amp;")"&amp;" に切れる　"&amp;TEXT($CC13-N('設定'!$C$7),"m/d")&amp;"("&amp;CHOOSE(WEEKDAY($CC13-N('設定'!$C$7)),"日","月","火","水","木","金","土")&amp;")"&amp;" までに次を発注（2便目に入れる）"))))))))))</f>
        <v/>
      </c>
      <c r="CR13">
        <f>IF($C13="","",IF($G13&gt;1,"ｹｰｽ("&amp;$G13&amp;"入)","個"))</f>
        <v/>
      </c>
      <c r="CS13">
        <f>IF($C13="",0,IF(COUNTIFS('①在庫を貼る'!$V$6:$V$10005,'設定'!$C$4,'①在庫を貼る'!$W$6:$W$10005,$C13)=0,1,0))</f>
        <v/>
      </c>
      <c r="CT13">
        <f>IF(AND($CK13=1,OR('③発注書'!$C$4="すべて",'③発注書'!$C$4="",$F13='③発注書'!$C$4)),N($CT12)+1,N($CT12))</f>
        <v/>
      </c>
      <c r="CU13">
        <f>IF(AND($CL13=1,OR('③発注書'!$C$4="すべて",'③発注書'!$C$4="",$F13='③発注書'!$C$4)),N($CU12)+1,N($CU12))</f>
        <v/>
      </c>
      <c r="CV13">
        <f>IF($C13="",0,IF(COUNTIFS('①在庫を貼る'!$V$6:$V$10005,'設定'!$C$4,'①在庫を貼る'!$W$6:$W$10005,$C13)&gt;0,1,0))</f>
        <v/>
      </c>
      <c r="CW13">
        <f>IF($C13="",0,IF(COUNTIFS('月1回_1ヶ月前の在庫'!$V$6:$V$10005,'設定'!$C$4,'月1回_1ヶ月前の在庫'!$W$6:$W$10005,$C13)&gt;0,1,0))</f>
        <v/>
      </c>
      <c r="CX13">
        <f>IF($C13="",0,IF(COUNTIFS('月1回_2ヶ月前の在庫'!$V$6:$V$10005,'設定'!$C$4,'月1回_2ヶ月前の在庫'!$W$6:$W$10005,$C13)&gt;0,1,0))</f>
        <v/>
      </c>
      <c r="CY13">
        <f>IF(OR($C13="",'設定'!$C$12=""),"",IF('設定'!$C$13="",IF(AND($CV13=1,$CW13=0),"新商品（今月から）",IF(AND($CV13=0,$CW13=1),"終売（今月から）","")),IF(AND($CV13=1,$CW13=0,$CX13=0),"新商品（今月から）",IF(AND($CV13=1,$CW13=1,$CX13=0),"新商品（先月から）",IF(AND($CV13=0,$CW13=1,$CX13=1),"終売（今月から）",IF(AND($CV13=0,$CW13=0,$CX13=1),"終売（先月から）",IF(AND($CV13=1,$CW13=0,$CX13=1),"復活（先月は無し）","")))))))</f>
        <v/>
      </c>
    </row>
    <row r="14">
      <c r="B14">
        <f>IF(9&lt;='設定'!$C$11,9,"")</f>
        <v/>
      </c>
      <c r="C14">
        <f>IF($B14="","",IF($B14&lt;='設定'!$C$20,INDEX('商品マスタ'!$B$6:$B$1005,MATCH($B14,'商品マスタ'!$M$6:$M$1005,0)),IF($B14&lt;='設定'!$C$20+'設定'!$C$17,INDEX('①在庫を貼る'!$W$6:$W$10005,MATCH($B14-'設定'!$C$20,'①在庫を貼る'!$U$6:$U$10005,0)),IF($B14&lt;='設定'!$C$20+'設定'!$C$17+'設定'!$C$18,INDEX('月1回_1ヶ月前の在庫'!$W$6:$W$10005,MATCH($B14-'設定'!$C$20-'設定'!$C$17,'月1回_1ヶ月前の在庫'!$U$6:$U$10005,0)),INDEX('月1回_2ヶ月前の在庫'!$W$6:$W$10005,MATCH($B14-'設定'!$C$20-'設定'!$C$17-'設定'!$C$18,'月1回_2ヶ月前の在庫'!$U$6:$U$10005,0))))))</f>
        <v/>
      </c>
      <c r="D14">
        <f>IF($C14="","",IFERROR(IF(INDEX('商品マスタ'!$C$6:$C$1005,MATCH($C14,'商品マスタ'!$B$6:$B$1005,0))="",IFERROR(INDEX('①在庫を貼る'!$J$6:$J$10005,MATCH($C14,'①在庫を貼る'!$W$6:$W$10005,0)),IFERROR(INDEX('月1回_1ヶ月前の在庫'!$J$6:$J$10005,MATCH($C14,'月1回_1ヶ月前の在庫'!$W$6:$W$10005,0)),IFERROR(INDEX('月1回_2ヶ月前の在庫'!$J$6:$J$10005,MATCH($C14,'月1回_2ヶ月前の在庫'!$W$6:$W$10005,0)),""))),INDEX('商品マスタ'!$C$6:$C$1005,MATCH($C14,'商品マスタ'!$B$6:$B$1005,0))),IFERROR(INDEX('①在庫を貼る'!$J$6:$J$10005,MATCH($C14,'①在庫を貼る'!$W$6:$W$10005,0)),IFERROR(INDEX('月1回_1ヶ月前の在庫'!$J$6:$J$10005,MATCH($C14,'月1回_1ヶ月前の在庫'!$W$6:$W$10005,0)),IFERROR(INDEX('月1回_2ヶ月前の在庫'!$J$6:$J$10005,MATCH($C14,'月1回_2ヶ月前の在庫'!$W$6:$W$10005,0)),"")))))</f>
        <v/>
      </c>
      <c r="E14">
        <f>IF($C14="","",IFERROR(IF(INDEX('商品マスタ'!$D$6:$D$1005,MATCH($C14,'商品マスタ'!$B$6:$B$1005,0))="",IFERROR(INDEX('①在庫を貼る'!$H$6:$H$10005,MATCH($C14,'①在庫を貼る'!$W$6:$W$10005,0)),IFERROR(INDEX('月1回_1ヶ月前の在庫'!$H$6:$H$10005,MATCH($C14,'月1回_1ヶ月前の在庫'!$W$6:$W$10005,0)),IFERROR(INDEX('月1回_2ヶ月前の在庫'!$H$6:$H$10005,MATCH($C14,'月1回_2ヶ月前の在庫'!$W$6:$W$10005,0)),""))),INDEX('商品マスタ'!$D$6:$D$1005,MATCH($C14,'商品マスタ'!$B$6:$B$1005,0))),IFERROR(INDEX('①在庫を貼る'!$H$6:$H$10005,MATCH($C14,'①在庫を貼る'!$W$6:$W$10005,0)),IFERROR(INDEX('月1回_1ヶ月前の在庫'!$H$6:$H$10005,MATCH($C14,'月1回_1ヶ月前の在庫'!$W$6:$W$10005,0)),IFERROR(INDEX('月1回_2ヶ月前の在庫'!$H$6:$H$10005,MATCH($C14,'月1回_2ヶ月前の在庫'!$W$6:$W$10005,0)),"")))))</f>
        <v/>
      </c>
      <c r="F14">
        <f>IF($C14="","",IFERROR(IF(INDEX('商品マスタ'!$E$6:$E$1005,MATCH($C14,'商品マスタ'!$B$6:$B$1005,0))="",IFERROR(INDEX('①在庫を貼る'!$E$6:$E$10005,MATCH($C14,'①在庫を貼る'!$W$6:$W$10005,0)),IFERROR(INDEX('月1回_1ヶ月前の在庫'!$E$6:$E$10005,MATCH($C14,'月1回_1ヶ月前の在庫'!$W$6:$W$10005,0)),IFERROR(INDEX('月1回_2ヶ月前の在庫'!$E$6:$E$10005,MATCH($C14,'月1回_2ヶ月前の在庫'!$W$6:$W$10005,0)),""))),INDEX('商品マスタ'!$E$6:$E$1005,MATCH($C14,'商品マスタ'!$B$6:$B$1005,0))),IFERROR(INDEX('①在庫を貼る'!$E$6:$E$10005,MATCH($C14,'①在庫を貼る'!$W$6:$W$10005,0)),IFERROR(INDEX('月1回_1ヶ月前の在庫'!$E$6:$E$10005,MATCH($C14,'月1回_1ヶ月前の在庫'!$W$6:$W$10005,0)),IFERROR(INDEX('月1回_2ヶ月前の在庫'!$E$6:$E$10005,MATCH($C14,'月1回_2ヶ月前の在庫'!$W$6:$W$10005,0)),"")))))</f>
        <v/>
      </c>
      <c r="G14">
        <f>IF($C14="","",MAX(1,N(IFERROR(IF(INDEX('商品マスタ'!$F$6:$F$1005,MATCH($C14,'商品マスタ'!$B$6:$B$1005,0))="",IF(COUNTIFS('①在庫を貼る'!$V$6:$V$10005,'設定'!$C$4,'①在庫を貼る'!$W$6:$W$10005,$C14)&gt;0,SUMIFS('①在庫を貼る'!$K$6:$K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K$6:$K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K$6:$K$10005,'月1回_2ヶ月前の在庫'!$V$6:$V$10005,'設定'!$C$4,'月1回_2ヶ月前の在庫'!$W$6:$W$10005,$C14)/COUNTIFS('月1回_2ヶ月前の在庫'!$V$6:$V$10005,'設定'!$C$4,'月1回_2ヶ月前の在庫'!$W$6:$W$10005,$C14),0))),INDEX('商品マスタ'!$F$6:$F$1005,MATCH($C14,'商品マスタ'!$B$6:$B$1005,0))),IF(COUNTIFS('①在庫を貼る'!$V$6:$V$10005,'設定'!$C$4,'①在庫を貼る'!$W$6:$W$10005,$C14)&gt;0,SUMIFS('①在庫を貼る'!$K$6:$K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K$6:$K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K$6:$K$10005,'月1回_2ヶ月前の在庫'!$V$6:$V$10005,'設定'!$C$4,'月1回_2ヶ月前の在庫'!$W$6:$W$10005,$C14)/COUNTIFS('月1回_2ヶ月前の在庫'!$V$6:$V$10005,'設定'!$C$4,'月1回_2ヶ月前の在庫'!$W$6:$W$10005,$C14),0)))))))</f>
        <v/>
      </c>
      <c r="H14">
        <f>IF($C14="","",N(IFERROR(IF(INDEX('商品マスタ'!$G$6:$G$1005,MATCH($C14,'商品マスタ'!$B$6:$B$1005,0))="",IF(COUNTIFS('①在庫を貼る'!$V$6:$V$10005,'設定'!$C$4,'①在庫を貼る'!$W$6:$W$10005,$C14)&gt;0,SUMIFS('①在庫を貼る'!$Q$6:$Q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Q$6:$Q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Q$6:$Q$10005,'月1回_2ヶ月前の在庫'!$V$6:$V$10005,'設定'!$C$4,'月1回_2ヶ月前の在庫'!$W$6:$W$10005,$C14)/COUNTIFS('月1回_2ヶ月前の在庫'!$V$6:$V$10005,'設定'!$C$4,'月1回_2ヶ月前の在庫'!$W$6:$W$10005,$C14),0))),INDEX('商品マスタ'!$G$6:$G$1005,MATCH($C14,'商品マスタ'!$B$6:$B$1005,0))),IF(COUNTIFS('①在庫を貼る'!$V$6:$V$10005,'設定'!$C$4,'①在庫を貼る'!$W$6:$W$10005,$C14)&gt;0,SUMIFS('①在庫を貼る'!$Q$6:$Q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Q$6:$Q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Q$6:$Q$10005,'月1回_2ヶ月前の在庫'!$V$6:$V$10005,'設定'!$C$4,'月1回_2ヶ月前の在庫'!$W$6:$W$10005,$C14)/COUNTIFS('月1回_2ヶ月前の在庫'!$V$6:$V$10005,'設定'!$C$4,'月1回_2ヶ月前の在庫'!$W$6:$W$10005,$C14),0))))))</f>
        <v/>
      </c>
      <c r="I14">
        <f>IF($C14="","",IF(COUNTIFS('①在庫を貼る'!$V$6:$V$10005,'設定'!$C$4,'①在庫を貼る'!$W$6:$W$10005,$C14)=0,"",SUMIFS('①在庫を貼る'!$N$6:$N$10005,'①在庫を貼る'!$V$6:$V$10005,'設定'!$C$4,'①在庫を貼る'!$W$6:$W$10005,$C14)))</f>
        <v/>
      </c>
      <c r="J14">
        <f>IF($C14="","",IF('②発注する'!$AD18="","",'②発注する'!$AD18))</f>
        <v/>
      </c>
      <c r="K14" s="90">
        <f>IF($C14="","",IF('②発注する'!$AE18="","",'②発注する'!$AE18))</f>
        <v/>
      </c>
      <c r="L14">
        <f>IF($C14="","",IF(AND(ISNUMBER($J14),ISNUMBER($K14),$K14&gt;='設定'!$C$6),$J14,N($I14)))</f>
        <v/>
      </c>
      <c r="M14">
        <f>IF($C14="","",IFERROR(IF(N(INDEX('商品マスタ'!$J$6:$J$1005,MATCH($C14,'商品マスタ'!$B$6:$B$1005,0)))&gt;0,INDEX('商品マスタ'!$J$6:$J$1005,MATCH($C14,'商品マスタ'!$B$6:$B$1005,0)),""),""))</f>
        <v/>
      </c>
      <c r="N14">
        <f>IF($C14="","",IFERROR(IF(N(INDEX('商品マスタ'!$H$6:$H$1005,MATCH($C14,'商品マスタ'!$B$6:$B$1005,0)))&gt;0,INDEX('商品マスタ'!$H$6:$H$1005,MATCH($C14,'商品マスタ'!$B$6:$B$1005,0)),""),""))</f>
        <v/>
      </c>
      <c r="O14">
        <f>IF($C14="","",IF($N14&lt;&gt;"",$N14*$G14,IF(N(IF(COUNTIFS('①在庫を貼る'!$V$6:$V$10005,'設定'!$C$4,'①在庫を貼る'!$W$6:$W$10005,$C14)&gt;0,SUMIFS('①在庫を貼る'!$O$6:$O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O$6:$O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O$6:$O$10005,'月1回_2ヶ月前の在庫'!$V$6:$V$10005,'設定'!$C$4,'月1回_2ヶ月前の在庫'!$W$6:$W$10005,$C14)/COUNTIFS('月1回_2ヶ月前の在庫'!$V$6:$V$10005,'設定'!$C$4,'月1回_2ヶ月前の在庫'!$W$6:$W$10005,$C14),0))))&gt;0,N(IF(COUNTIFS('①在庫を貼る'!$V$6:$V$10005,'設定'!$C$4,'①在庫を貼る'!$W$6:$W$10005,$C14)&gt;0,SUMIFS('①在庫を貼る'!$O$6:$O$10005,'①在庫を貼る'!$V$6:$V$10005,'設定'!$C$4,'①在庫を貼る'!$W$6:$W$10005,$C14)/COUNTIFS('①在庫を貼る'!$V$6:$V$10005,'設定'!$C$4,'①在庫を貼る'!$W$6:$W$10005,$C14),IF(COUNTIFS('月1回_1ヶ月前の在庫'!$V$6:$V$10005,'設定'!$C$4,'月1回_1ヶ月前の在庫'!$W$6:$W$10005,$C14)&gt;0,SUMIFS('月1回_1ヶ月前の在庫'!$O$6:$O$10005,'月1回_1ヶ月前の在庫'!$V$6:$V$10005,'設定'!$C$4,'月1回_1ヶ月前の在庫'!$W$6:$W$10005,$C14)/COUNTIFS('月1回_1ヶ月前の在庫'!$V$6:$V$10005,'設定'!$C$4,'月1回_1ヶ月前の在庫'!$W$6:$W$10005,$C14),IF(COUNTIFS('月1回_2ヶ月前の在庫'!$V$6:$V$10005,'設定'!$C$4,'月1回_2ヶ月前の在庫'!$W$6:$W$10005,$C14)&gt;0,SUMIFS('月1回_2ヶ月前の在庫'!$O$6:$O$10005,'月1回_2ヶ月前の在庫'!$V$6:$V$10005,'設定'!$C$4,'月1回_2ヶ月前の在庫'!$W$6:$W$10005,$C14)/COUNTIFS('月1回_2ヶ月前の在庫'!$V$6:$V$10005,'設定'!$C$4,'月1回_2ヶ月前の在庫'!$W$6:$W$10005,$C14),0)))),"")))</f>
        <v/>
      </c>
      <c r="P14" s="90">
        <f>IF($C14="","",IF('②発注する'!$I18="","",'②発注する'!$I18))</f>
        <v/>
      </c>
      <c r="Q14">
        <f>IF($C14="","",IF('②発注する'!$J18="","",'②発注する'!$J18))</f>
        <v/>
      </c>
      <c r="R14">
        <f>IF($C14="",0,IF(AND(ISNUMBER($P14),ISNUMBER($Q14)),MAX(0,$Q14)*$G14,0))</f>
        <v/>
      </c>
      <c r="S14" s="90">
        <f>IF($C14="","",IF('②発注する'!$M18="","",'②発注する'!$M18))</f>
        <v/>
      </c>
      <c r="T14">
        <f>IF($C14="","",IF('②発注する'!$N18="","",'②発注する'!$N18))</f>
        <v/>
      </c>
      <c r="U14">
        <f>IF($C14="",0,IF(AND(ISNUMBER($S14),ISNUMBER($T14)),MAX(0,$T14)*$G14,0))</f>
        <v/>
      </c>
      <c r="V14">
        <f>IF($C14="",0,IF($M14="",0,MAX(0,$M14)*MAX(0,V$4)/100))</f>
        <v/>
      </c>
      <c r="W14">
        <f>IF($C14="",0,IF($M14="",0,MAX(0,$M14)*MAX(0,W$4)/100))</f>
        <v/>
      </c>
      <c r="X14">
        <f>IF($C14="",0,IF($M14="",0,MAX(0,$M14)*MAX(0,X$4)/100))</f>
        <v/>
      </c>
      <c r="Y14">
        <f>IF($C14="",0,IF($M14="",0,MAX(0,$M14)*MAX(0,Y$4)/100))</f>
        <v/>
      </c>
      <c r="Z14">
        <f>IF($C14="",0,IF($M14="",0,MAX(0,$M14)*MAX(0,Z$4)/100))</f>
        <v/>
      </c>
      <c r="AA14">
        <f>IF($C14="",0,IF($M14="",0,MAX(0,$M14)*MAX(0,AA$4)/100))</f>
        <v/>
      </c>
      <c r="AB14">
        <f>IF($C14="",0,IF($M14="",0,MAX(0,$M14)*MAX(0,AB$4)/100))</f>
        <v/>
      </c>
      <c r="AC14">
        <f>IF($C14="",0,IF($M14="",0,MAX(0,$M14)*MAX(0,AC$4)/100))</f>
        <v/>
      </c>
      <c r="AD14">
        <f>IF($C14="",0,IF($M14="",0,MAX(0,$M14)*MAX(0,AD$4)/100))</f>
        <v/>
      </c>
      <c r="AE14">
        <f>IF($C14="",0,IF($M14="",0,MAX(0,$M14)*MAX(0,AE$4)/100))</f>
        <v/>
      </c>
      <c r="AF14">
        <f>IF($C14="",0,IF($M14="",0,MAX(0,$M14)*MAX(0,AF$4)/100))</f>
        <v/>
      </c>
      <c r="AG14">
        <f>IF($C14="",0,IF($M14="",0,MAX(0,$M14)*MAX(0,AG$4)/100))</f>
        <v/>
      </c>
      <c r="AH14">
        <f>IF($C14="",0,IF($M14="",0,MAX(0,$M14)*MAX(0,AH$4)/100))</f>
        <v/>
      </c>
      <c r="AI14">
        <f>IF($C14="",0,IF($M14="",0,MAX(0,$M14)*MAX(0,AI$4)/100))</f>
        <v/>
      </c>
      <c r="AJ14">
        <f>IF($C14="",0,MAX(0,MAX(0,N($L14))-$V14))</f>
        <v/>
      </c>
      <c r="AK14">
        <f>IF($C14="",0,MAX(0,$AJ14-$W14))</f>
        <v/>
      </c>
      <c r="AL14">
        <f>IF($C14="",0,MAX(0,$AK14-$X14))</f>
        <v/>
      </c>
      <c r="AM14">
        <f>IF($C14="",0,MAX(0,$AL14-$Y14))</f>
        <v/>
      </c>
      <c r="AN14">
        <f>IF($C14="",0,MAX(0,$AM14-$Z14))</f>
        <v/>
      </c>
      <c r="AO14">
        <f>IF($C14="",0,MAX(0,$AN14-$AA14))</f>
        <v/>
      </c>
      <c r="AP14">
        <f>IF($C14="",0,MAX(0,$AO14-$AB14))</f>
        <v/>
      </c>
      <c r="AQ14">
        <f>IF($C14="",0,MAX(0,$AP14-$AC14))</f>
        <v/>
      </c>
      <c r="AR14">
        <f>IF($C14="",0,MAX(0,$AQ14-$AD14))</f>
        <v/>
      </c>
      <c r="AS14">
        <f>IF($C14="",0,MAX(0,$AR14-$AE14))</f>
        <v/>
      </c>
      <c r="AT14">
        <f>IF($C14="",0,MAX(0,$AS14-$AF14))</f>
        <v/>
      </c>
      <c r="AU14">
        <f>IF($C14="",0,MAX(0,$AT14-$AG14))</f>
        <v/>
      </c>
      <c r="AV14">
        <f>IF($C14="",0,MAX(0,$AU14-$AH14))</f>
        <v/>
      </c>
      <c r="AW14">
        <f>IF($C14="",0,MAX(0,$AV14-$AI14))</f>
        <v/>
      </c>
      <c r="AX14">
        <f>IF($C14="",0,MAX(0,MAX(0,N($L14))+IF($P14=V$3,$R14,0)+IF($S14=V$3,$U14,0)-$V14))</f>
        <v/>
      </c>
      <c r="AY14">
        <f>IF($C14="",0,MAX(0,$AX14+IF($P14=W$3,$R14,0)+IF($S14=W$3,$U14,0)-$W14))</f>
        <v/>
      </c>
      <c r="AZ14">
        <f>IF($C14="",0,MAX(0,$AY14+IF($P14=X$3,$R14,0)+IF($S14=X$3,$U14,0)-$X14))</f>
        <v/>
      </c>
      <c r="BA14">
        <f>IF($C14="",0,MAX(0,$AZ14+IF($P14=Y$3,$R14,0)+IF($S14=Y$3,$U14,0)-$Y14))</f>
        <v/>
      </c>
      <c r="BB14">
        <f>IF($C14="",0,MAX(0,$BA14+IF($P14=Z$3,$R14,0)+IF($S14=Z$3,$U14,0)-$Z14))</f>
        <v/>
      </c>
      <c r="BC14">
        <f>IF($C14="",0,MAX(0,$BB14+IF($P14=AA$3,$R14,0)+IF($S14=AA$3,$U14,0)-$AA14))</f>
        <v/>
      </c>
      <c r="BD14">
        <f>IF($C14="",0,MAX(0,$BC14+IF($P14=AB$3,$R14,0)+IF($S14=AB$3,$U14,0)-$AB14))</f>
        <v/>
      </c>
      <c r="BE14">
        <f>IF($C14="",0,MAX(0,$BD14+IF($P14=AC$3,$R14,0)+IF($S14=AC$3,$U14,0)-$AC14))</f>
        <v/>
      </c>
      <c r="BF14">
        <f>IF($C14="",0,MAX(0,$BE14+IF($P14=AD$3,$R14,0)+IF($S14=AD$3,$U14,0)-$AD14))</f>
        <v/>
      </c>
      <c r="BG14">
        <f>IF($C14="",0,MAX(0,$BF14+IF($P14=AE$3,$R14,0)+IF($S14=AE$3,$U14,0)-$AE14))</f>
        <v/>
      </c>
      <c r="BH14">
        <f>IF($C14="",0,MAX(0,$BG14+IF($P14=AF$3,$R14,0)+IF($S14=AF$3,$U14,0)-$AF14))</f>
        <v/>
      </c>
      <c r="BI14">
        <f>IF($C14="",0,MAX(0,$BH14+IF($P14=AG$3,$R14,0)+IF($S14=AG$3,$U14,0)-$AG14))</f>
        <v/>
      </c>
      <c r="BJ14">
        <f>IF($C14="",0,MAX(0,$BI14+IF($P14=AH$3,$R14,0)+IF($S14=AH$3,$U14,0)-$AH14))</f>
        <v/>
      </c>
      <c r="BK14">
        <f>IF($C14="",0,MAX(0,$BJ14+IF($P14=AI$3,$R14,0)+IF($S14=AI$3,$U14,0)-$AI14))</f>
        <v/>
      </c>
      <c r="BL14">
        <f>IF($C14="",99,IF(AND($AX14&lt;1,V$3&gt;=MAX(N($P14),N($S14))),0,99))</f>
        <v/>
      </c>
      <c r="BM14">
        <f>IF($C14="",99,IF(AND($AY14&lt;1,W$3&gt;=MAX(N($P14),N($S14))),1,99))</f>
        <v/>
      </c>
      <c r="BN14">
        <f>IF($C14="",99,IF(AND($AZ14&lt;1,X$3&gt;=MAX(N($P14),N($S14))),2,99))</f>
        <v/>
      </c>
      <c r="BO14">
        <f>IF($C14="",99,IF(AND($BA14&lt;1,Y$3&gt;=MAX(N($P14),N($S14))),3,99))</f>
        <v/>
      </c>
      <c r="BP14">
        <f>IF($C14="",99,IF(AND($BB14&lt;1,Z$3&gt;=MAX(N($P14),N($S14))),4,99))</f>
        <v/>
      </c>
      <c r="BQ14">
        <f>IF($C14="",99,IF(AND($BC14&lt;1,AA$3&gt;=MAX(N($P14),N($S14))),5,99))</f>
        <v/>
      </c>
      <c r="BR14">
        <f>IF($C14="",99,IF(AND($BD14&lt;1,AB$3&gt;=MAX(N($P14),N($S14))),6,99))</f>
        <v/>
      </c>
      <c r="BS14">
        <f>IF($C14="",99,IF(AND($BE14&lt;1,AC$3&gt;=MAX(N($P14),N($S14))),7,99))</f>
        <v/>
      </c>
      <c r="BT14">
        <f>IF($C14="",99,IF(AND($BF14&lt;1,AD$3&gt;=MAX(N($P14),N($S14))),8,99))</f>
        <v/>
      </c>
      <c r="BU14">
        <f>IF($C14="",99,IF(AND($BG14&lt;1,AE$3&gt;=MAX(N($P14),N($S14))),9,99))</f>
        <v/>
      </c>
      <c r="BV14">
        <f>IF($C14="",99,IF(AND($BH14&lt;1,AF$3&gt;=MAX(N($P14),N($S14))),10,99))</f>
        <v/>
      </c>
      <c r="BW14">
        <f>IF($C14="",99,IF(AND($BI14&lt;1,AG$3&gt;=MAX(N($P14),N($S14))),11,99))</f>
        <v/>
      </c>
      <c r="BX14">
        <f>IF($C14="",99,IF(AND($BJ14&lt;1,AH$3&gt;=MAX(N($P14),N($S14))),12,99))</f>
        <v/>
      </c>
      <c r="BY14">
        <f>IF($C14="",99,IF(AND($BK14&lt;1,AI$3&gt;=MAX(N($P14),N($S14))),13,99))</f>
        <v/>
      </c>
      <c r="BZ14">
        <f>IF(OR($C14="",$M14=""),"",COUNTIF($AJ14:$AW14,"&gt;=1"))</f>
        <v/>
      </c>
      <c r="CA14" s="90">
        <f>IF($BZ14="","",IF($BZ14&gt;=14,"",'設定'!$C$6+$BZ14))</f>
        <v/>
      </c>
      <c r="CB14">
        <f>IF(OR($C14="",$M14=""),"",MIN($BL14:$BY14))</f>
        <v/>
      </c>
      <c r="CC14" s="90">
        <f>IF($CB14="","",IF($CB14&gt;=99,"",'設定'!$C$6+$CB14))</f>
        <v/>
      </c>
      <c r="CD14">
        <f>IF(OR($C14="",$M14=""),"",AVERAGE($V14:$AI14))</f>
        <v/>
      </c>
      <c r="CE14">
        <f>IF($C14="","",IFERROR(IF(MATCH(IF(ISNUMBER($P14),$P14,'設定'!$C$6+N('設定'!$C$7)),$V$3:$AI$3,0)=1,MAX(0,N($L14)),INDEX($AJ14:$AW14,MATCH(IF(ISNUMBER($P14),$P14,'設定'!$C$6+N('設定'!$C$7)),$V$3:$AI$3,0)-1)),""))</f>
        <v/>
      </c>
      <c r="CF14">
        <f>IF(OR($C14="",$O14="",$CE14=""),"",IF($O14-$CE14&lt;=0,0,ROUNDUP(($O14-$CE14)/$G14,0)))</f>
        <v/>
      </c>
      <c r="CG14">
        <f>IF(OR($C14="",$CF14="",NOT(ISNUMBER($Q14))),0,MAX(0,$Q14-$CF14))</f>
        <v/>
      </c>
      <c r="CH14">
        <f>IF(OR($C14="",$O14="",$U14=0),0,IFERROR(ROUNDUP(MAX(0,IF(MATCH($S14,$V$3:$AI$3,0)=1,MAX(0,N($L14)),INDEX($AX14:$BK14,MATCH($S14,$V$3:$AI$3,0)-1))+$U14-$O14)/$G14,0),0))</f>
        <v/>
      </c>
      <c r="CI14">
        <f>IF($C14="","",IF(AND($P14="",$Q14=""),"",IF($P14="","⚠ 入庫日を ▼ から選んでください",IF(NOT(ISNUMBER($P14)),"⚠ 入庫日は ▼ から選んでください",IF($P14&lt;N('設定'!$C$6),"⚠ 入庫日が過去です（もう在庫に入っています）→ 消してください",IF($P14&gt;N('設定'!$C$6)+13,"⚠ 入庫日が14日より先です",IF(N($Q14)&lt;=0,"⚠ 入庫数を入れてください",IF($CG14&gt;0,"⚠ 目安より "&amp;$CG14&amp;" 多い（定数を超える）→ 減らす",""))))))))</f>
        <v/>
      </c>
      <c r="CJ14">
        <f>IF($C14="","",IF(AND($S14="",$T14=""),"",IF($S14="","⚠ 2便目：入庫日を ▼ から選んでください",IF(NOT(ISNUMBER($S14)),"⚠ 2便目：入庫日は ▼ から選んでください",IF($S14&lt;N('設定'!$C$6),"⚠ 2便目：入庫日が過去です（もう在庫に入っています）→ 消してください",IF($S14&gt;N('設定'!$C$6)+13,"⚠ 2便目：入庫日が14日より先です",IF(N($T14)&lt;=0,"⚠ 2便目：入庫数を入れてください",IF($CH14&gt;0,"⚠ 2便目：定数を "&amp;$CH14&amp;" ケース超える → 減らす",""))))))))</f>
        <v/>
      </c>
      <c r="CK14">
        <f>IF(AND($CI14="",N($Q14)&gt;0,ISNUMBER($P14)),1,0)</f>
        <v/>
      </c>
      <c r="CL14">
        <f>IF(AND($CJ14="",N($T14)&gt;0,ISNUMBER($S14)),1,0)</f>
        <v/>
      </c>
      <c r="CM14">
        <f>IF(OR($CK14=1,$CL14=1),1,0)</f>
        <v/>
      </c>
      <c r="CN14">
        <f>IF($C14="",0,($CK14*$R14+$CL14*$U14)*N($H14))</f>
        <v/>
      </c>
      <c r="CO14">
        <f>IF($C14="","",IF($CC14="","入庫後は 14日以上もつ",IF($CC14-N('設定'!$C$7)&lt;='設定'!$C$6,"入庫後も "&amp;TEXT($CC14,"m/d")&amp;"("&amp;CHOOSE(WEEKDAY($CC14),"日","月","火","水","木","金","土")&amp;")"&amp;" に切れる　もう1便を至急発注","入庫後も "&amp;TEXT($CC14,"m/d")&amp;"("&amp;CHOOSE(WEEKDAY($CC14),"日","月","火","水","木","金","土")&amp;")"&amp;" に切れる　"&amp;TEXT($CC14-N('設定'!$C$7),"m/d")&amp;"("&amp;CHOOSE(WEEKDAY($CC14-N('設定'!$C$7)),"日","月","火","水","木","金","土")&amp;")"&amp;" までに次を発注")))</f>
        <v/>
      </c>
      <c r="CP14">
        <f>IF($C14="","",IF('設定'!$C$6="","？ ①在庫を貼る に今日のCSVが貼られていない",IF($CS14=1,"－ 今日のCSVに無い（終売？）",IF($L14&lt;0,"● 在庫がマイナス　数えて「数えた在庫」に入れる",IF($L14=0,"● 在庫なし　至急発注",IF($M14="","？ 減り数が未設定（商品マスタ）",IF($B$3=0,"？ 動員が未入力（動員を入れる）",IF($CA14="","○ 14日以上もつ",IF($BZ14&lt;N('設定'!$C$7),"● "&amp;TEXT($CA14,"m/d")&amp;"("&amp;CHOOSE(WEEKDAY($CA14),"日","月","火","水","木","金","土")&amp;")"&amp;" に切れる　至急発注",IF($BZ14=N('設定'!$C$7),"● "&amp;TEXT($CA14,"m/d")&amp;"("&amp;CHOOSE(WEEKDAY($CA14),"日","月","火","水","木","金","土")&amp;")"&amp;" に切れる　今日発注","△ "&amp;TEXT($CA14,"m/d")&amp;"("&amp;CHOOSE(WEEKDAY($CA14),"日","月","火","水","木","金","土")&amp;")"&amp;" に切れる　"&amp;TEXT($CA14-N('設定'!$C$7),"m/d")&amp;"("&amp;CHOOSE(WEEKDAY($CA14-N('設定'!$C$7)),"日","月","火","水","木","金","土")&amp;")"&amp;" までに発注"))))))))))</f>
        <v/>
      </c>
      <c r="CQ14">
        <f>IF($C14="","",IF(AND($P14="",$Q14="",$S14="",$T14=""),"",IF(AND($P14="",$Q14=""),"⚠ 先に1便目（左の入庫日・入庫数）に入れてください",IF($CI14&lt;&gt;"",$CI14,IF($CJ14&lt;&gt;"",$CJ14,IF($M14="","？ 減り数が未設定（発注書には載ります）",IF($B$3=0,"？ 動員が未入力（発注書には載ります）",IF(AND($CA14&lt;&gt;"",$P14&gt;$CA14),IF($P14&gt;'設定'!$C$6+N('設定'!$C$7),"● "&amp;TEXT($P14,"m/d")&amp;"("&amp;CHOOSE(WEEKDAY($P14),"日","月","火","水","木","金","土")&amp;")"&amp;" の入庫では間に合わない（"&amp;TEXT($CA14,"m/d")&amp;"("&amp;CHOOSE(WEEKDAY($CA14),"日","月","火","水","木","金","土")&amp;")"&amp;" に切れる）　入庫日を早める","△ 欠品 "&amp;TEXT($CA14,"m/d")&amp;"("&amp;CHOOSE(WEEKDAY($CA14),"日","月","火","水","木","金","土")&amp;")"&amp;"〜"&amp;TEXT($P14-1,"m/d")&amp;"("&amp;CHOOSE(WEEKDAY($P14-1),"日","月","火","水","木","金","土")&amp;")"&amp;"　"&amp;$CO14),IF($CC14="","○ "&amp;TEXT($P14,"m/d")&amp;"("&amp;CHOOSE(WEEKDAY($P14),"日","月","火","水","木","金","土")&amp;")"&amp;" 入庫で 14日以上もつ",IF($CC14-N('設定'!$C$7)&lt;='設定'!$C$6,"● 入庫しても "&amp;TEXT($CC14,"m/d")&amp;"("&amp;CHOOSE(WEEKDAY($CC14),"日","月","火","水","木","金","土")&amp;")"&amp;" に切れる　もう1便を至急発注（2便目に入れる）","△ 入庫しても "&amp;TEXT($CC14,"m/d")&amp;"("&amp;CHOOSE(WEEKDAY($CC14),"日","月","火","水","木","金","土")&amp;")"&amp;" に切れる　"&amp;TEXT($CC14-N('設定'!$C$7),"m/d")&amp;"("&amp;CHOOSE(WEEKDAY($CC14-N('設定'!$C$7)),"日","月","火","水","木","金","土")&amp;")"&amp;" までに次を発注（2便目に入れる）"))))))))))</f>
        <v/>
      </c>
      <c r="CR14">
        <f>IF($C14="","",IF($G14&gt;1,"ｹｰｽ("&amp;$G14&amp;"入)","個"))</f>
        <v/>
      </c>
      <c r="CS14">
        <f>IF($C14="",0,IF(COUNTIFS('①在庫を貼る'!$V$6:$V$10005,'設定'!$C$4,'①在庫を貼る'!$W$6:$W$10005,$C14)=0,1,0))</f>
        <v/>
      </c>
      <c r="CT14">
        <f>IF(AND($CK14=1,OR('③発注書'!$C$4="すべて",'③発注書'!$C$4="",$F14='③発注書'!$C$4)),N($CT13)+1,N($CT13))</f>
        <v/>
      </c>
      <c r="CU14">
        <f>IF(AND($CL14=1,OR('③発注書'!$C$4="すべて",'③発注書'!$C$4="",$F14='③発注書'!$C$4)),N($CU13)+1,N($CU13))</f>
        <v/>
      </c>
      <c r="CV14">
        <f>IF($C14="",0,IF(COUNTIFS('①在庫を貼る'!$V$6:$V$10005,'設定'!$C$4,'①在庫を貼る'!$W$6:$W$10005,$C14)&gt;0,1,0))</f>
        <v/>
      </c>
      <c r="CW14">
        <f>IF($C14="",0,IF(COUNTIFS('月1回_1ヶ月前の在庫'!$V$6:$V$10005,'設定'!$C$4,'月1回_1ヶ月前の在庫'!$W$6:$W$10005,$C14)&gt;0,1,0))</f>
        <v/>
      </c>
      <c r="CX14">
        <f>IF($C14="",0,IF(COUNTIFS('月1回_2ヶ月前の在庫'!$V$6:$V$10005,'設定'!$C$4,'月1回_2ヶ月前の在庫'!$W$6:$W$10005,$C14)&gt;0,1,0))</f>
        <v/>
      </c>
      <c r="CY14">
        <f>IF(OR($C14="",'設定'!$C$12=""),"",IF('設定'!$C$13="",IF(AND($CV14=1,$CW14=0),"新商品（今月から）",IF(AND($CV14=0,$CW14=1),"終売（今月から）","")),IF(AND($CV14=1,$CW14=0,$CX14=0),"新商品（今月から）",IF(AND($CV14=1,$CW14=1,$CX14=0),"新商品（先月から）",IF(AND($CV14=0,$CW14=1,$CX14=1),"終売（今月から）",IF(AND($CV14=0,$CW14=0,$CX14=1),"終売（先月から）",IF(AND($CV14=1,$CW14=0,$CX14=1),"復活（先月は無し）","")))))))</f>
        <v/>
      </c>
    </row>
    <row r="15">
      <c r="B15">
        <f>IF(10&lt;='設定'!$C$11,10,"")</f>
        <v/>
      </c>
      <c r="C15">
        <f>IF($B15="","",IF($B15&lt;='設定'!$C$20,INDEX('商品マスタ'!$B$6:$B$1005,MATCH($B15,'商品マスタ'!$M$6:$M$1005,0)),IF($B15&lt;='設定'!$C$20+'設定'!$C$17,INDEX('①在庫を貼る'!$W$6:$W$10005,MATCH($B15-'設定'!$C$20,'①在庫を貼る'!$U$6:$U$10005,0)),IF($B15&lt;='設定'!$C$20+'設定'!$C$17+'設定'!$C$18,INDEX('月1回_1ヶ月前の在庫'!$W$6:$W$10005,MATCH($B15-'設定'!$C$20-'設定'!$C$17,'月1回_1ヶ月前の在庫'!$U$6:$U$10005,0)),INDEX('月1回_2ヶ月前の在庫'!$W$6:$W$10005,MATCH($B15-'設定'!$C$20-'設定'!$C$17-'設定'!$C$18,'月1回_2ヶ月前の在庫'!$U$6:$U$10005,0))))))</f>
        <v/>
      </c>
      <c r="D15">
        <f>IF($C15="","",IFERROR(IF(INDEX('商品マスタ'!$C$6:$C$1005,MATCH($C15,'商品マスタ'!$B$6:$B$1005,0))="",IFERROR(INDEX('①在庫を貼る'!$J$6:$J$10005,MATCH($C15,'①在庫を貼る'!$W$6:$W$10005,0)),IFERROR(INDEX('月1回_1ヶ月前の在庫'!$J$6:$J$10005,MATCH($C15,'月1回_1ヶ月前の在庫'!$W$6:$W$10005,0)),IFERROR(INDEX('月1回_2ヶ月前の在庫'!$J$6:$J$10005,MATCH($C15,'月1回_2ヶ月前の在庫'!$W$6:$W$10005,0)),""))),INDEX('商品マスタ'!$C$6:$C$1005,MATCH($C15,'商品マスタ'!$B$6:$B$1005,0))),IFERROR(INDEX('①在庫を貼る'!$J$6:$J$10005,MATCH($C15,'①在庫を貼る'!$W$6:$W$10005,0)),IFERROR(INDEX('月1回_1ヶ月前の在庫'!$J$6:$J$10005,MATCH($C15,'月1回_1ヶ月前の在庫'!$W$6:$W$10005,0)),IFERROR(INDEX('月1回_2ヶ月前の在庫'!$J$6:$J$10005,MATCH($C15,'月1回_2ヶ月前の在庫'!$W$6:$W$10005,0)),"")))))</f>
        <v/>
      </c>
      <c r="E15">
        <f>IF($C15="","",IFERROR(IF(INDEX('商品マスタ'!$D$6:$D$1005,MATCH($C15,'商品マスタ'!$B$6:$B$1005,0))="",IFERROR(INDEX('①在庫を貼る'!$H$6:$H$10005,MATCH($C15,'①在庫を貼る'!$W$6:$W$10005,0)),IFERROR(INDEX('月1回_1ヶ月前の在庫'!$H$6:$H$10005,MATCH($C15,'月1回_1ヶ月前の在庫'!$W$6:$W$10005,0)),IFERROR(INDEX('月1回_2ヶ月前の在庫'!$H$6:$H$10005,MATCH($C15,'月1回_2ヶ月前の在庫'!$W$6:$W$10005,0)),""))),INDEX('商品マスタ'!$D$6:$D$1005,MATCH($C15,'商品マスタ'!$B$6:$B$1005,0))),IFERROR(INDEX('①在庫を貼る'!$H$6:$H$10005,MATCH($C15,'①在庫を貼る'!$W$6:$W$10005,0)),IFERROR(INDEX('月1回_1ヶ月前の在庫'!$H$6:$H$10005,MATCH($C15,'月1回_1ヶ月前の在庫'!$W$6:$W$10005,0)),IFERROR(INDEX('月1回_2ヶ月前の在庫'!$H$6:$H$10005,MATCH($C15,'月1回_2ヶ月前の在庫'!$W$6:$W$10005,0)),"")))))</f>
        <v/>
      </c>
      <c r="F15">
        <f>IF($C15="","",IFERROR(IF(INDEX('商品マスタ'!$E$6:$E$1005,MATCH($C15,'商品マスタ'!$B$6:$B$1005,0))="",IFERROR(INDEX('①在庫を貼る'!$E$6:$E$10005,MATCH($C15,'①在庫を貼る'!$W$6:$W$10005,0)),IFERROR(INDEX('月1回_1ヶ月前の在庫'!$E$6:$E$10005,MATCH($C15,'月1回_1ヶ月前の在庫'!$W$6:$W$10005,0)),IFERROR(INDEX('月1回_2ヶ月前の在庫'!$E$6:$E$10005,MATCH($C15,'月1回_2ヶ月前の在庫'!$W$6:$W$10005,0)),""))),INDEX('商品マスタ'!$E$6:$E$1005,MATCH($C15,'商品マスタ'!$B$6:$B$1005,0))),IFERROR(INDEX('①在庫を貼る'!$E$6:$E$10005,MATCH($C15,'①在庫を貼る'!$W$6:$W$10005,0)),IFERROR(INDEX('月1回_1ヶ月前の在庫'!$E$6:$E$10005,MATCH($C15,'月1回_1ヶ月前の在庫'!$W$6:$W$10005,0)),IFERROR(INDEX('月1回_2ヶ月前の在庫'!$E$6:$E$10005,MATCH($C15,'月1回_2ヶ月前の在庫'!$W$6:$W$10005,0)),"")))))</f>
        <v/>
      </c>
      <c r="G15">
        <f>IF($C15="","",MAX(1,N(IFERROR(IF(INDEX('商品マスタ'!$F$6:$F$1005,MATCH($C15,'商品マスタ'!$B$6:$B$1005,0))="",IF(COUNTIFS('①在庫を貼る'!$V$6:$V$10005,'設定'!$C$4,'①在庫を貼る'!$W$6:$W$10005,$C15)&gt;0,SUMIFS('①在庫を貼る'!$K$6:$K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K$6:$K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K$6:$K$10005,'月1回_2ヶ月前の在庫'!$V$6:$V$10005,'設定'!$C$4,'月1回_2ヶ月前の在庫'!$W$6:$W$10005,$C15)/COUNTIFS('月1回_2ヶ月前の在庫'!$V$6:$V$10005,'設定'!$C$4,'月1回_2ヶ月前の在庫'!$W$6:$W$10005,$C15),0))),INDEX('商品マスタ'!$F$6:$F$1005,MATCH($C15,'商品マスタ'!$B$6:$B$1005,0))),IF(COUNTIFS('①在庫を貼る'!$V$6:$V$10005,'設定'!$C$4,'①在庫を貼る'!$W$6:$W$10005,$C15)&gt;0,SUMIFS('①在庫を貼る'!$K$6:$K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K$6:$K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K$6:$K$10005,'月1回_2ヶ月前の在庫'!$V$6:$V$10005,'設定'!$C$4,'月1回_2ヶ月前の在庫'!$W$6:$W$10005,$C15)/COUNTIFS('月1回_2ヶ月前の在庫'!$V$6:$V$10005,'設定'!$C$4,'月1回_2ヶ月前の在庫'!$W$6:$W$10005,$C15),0)))))))</f>
        <v/>
      </c>
      <c r="H15">
        <f>IF($C15="","",N(IFERROR(IF(INDEX('商品マスタ'!$G$6:$G$1005,MATCH($C15,'商品マスタ'!$B$6:$B$1005,0))="",IF(COUNTIFS('①在庫を貼る'!$V$6:$V$10005,'設定'!$C$4,'①在庫を貼る'!$W$6:$W$10005,$C15)&gt;0,SUMIFS('①在庫を貼る'!$Q$6:$Q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Q$6:$Q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Q$6:$Q$10005,'月1回_2ヶ月前の在庫'!$V$6:$V$10005,'設定'!$C$4,'月1回_2ヶ月前の在庫'!$W$6:$W$10005,$C15)/COUNTIFS('月1回_2ヶ月前の在庫'!$V$6:$V$10005,'設定'!$C$4,'月1回_2ヶ月前の在庫'!$W$6:$W$10005,$C15),0))),INDEX('商品マスタ'!$G$6:$G$1005,MATCH($C15,'商品マスタ'!$B$6:$B$1005,0))),IF(COUNTIFS('①在庫を貼る'!$V$6:$V$10005,'設定'!$C$4,'①在庫を貼る'!$W$6:$W$10005,$C15)&gt;0,SUMIFS('①在庫を貼る'!$Q$6:$Q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Q$6:$Q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Q$6:$Q$10005,'月1回_2ヶ月前の在庫'!$V$6:$V$10005,'設定'!$C$4,'月1回_2ヶ月前の在庫'!$W$6:$W$10005,$C15)/COUNTIFS('月1回_2ヶ月前の在庫'!$V$6:$V$10005,'設定'!$C$4,'月1回_2ヶ月前の在庫'!$W$6:$W$10005,$C15),0))))))</f>
        <v/>
      </c>
      <c r="I15">
        <f>IF($C15="","",IF(COUNTIFS('①在庫を貼る'!$V$6:$V$10005,'設定'!$C$4,'①在庫を貼る'!$W$6:$W$10005,$C15)=0,"",SUMIFS('①在庫を貼る'!$N$6:$N$10005,'①在庫を貼る'!$V$6:$V$10005,'設定'!$C$4,'①在庫を貼る'!$W$6:$W$10005,$C15)))</f>
        <v/>
      </c>
      <c r="J15">
        <f>IF($C15="","",IF('②発注する'!$AD19="","",'②発注する'!$AD19))</f>
        <v/>
      </c>
      <c r="K15" s="90">
        <f>IF($C15="","",IF('②発注する'!$AE19="","",'②発注する'!$AE19))</f>
        <v/>
      </c>
      <c r="L15">
        <f>IF($C15="","",IF(AND(ISNUMBER($J15),ISNUMBER($K15),$K15&gt;='設定'!$C$6),$J15,N($I15)))</f>
        <v/>
      </c>
      <c r="M15">
        <f>IF($C15="","",IFERROR(IF(N(INDEX('商品マスタ'!$J$6:$J$1005,MATCH($C15,'商品マスタ'!$B$6:$B$1005,0)))&gt;0,INDEX('商品マスタ'!$J$6:$J$1005,MATCH($C15,'商品マスタ'!$B$6:$B$1005,0)),""),""))</f>
        <v/>
      </c>
      <c r="N15">
        <f>IF($C15="","",IFERROR(IF(N(INDEX('商品マスタ'!$H$6:$H$1005,MATCH($C15,'商品マスタ'!$B$6:$B$1005,0)))&gt;0,INDEX('商品マスタ'!$H$6:$H$1005,MATCH($C15,'商品マスタ'!$B$6:$B$1005,0)),""),""))</f>
        <v/>
      </c>
      <c r="O15">
        <f>IF($C15="","",IF($N15&lt;&gt;"",$N15*$G15,IF(N(IF(COUNTIFS('①在庫を貼る'!$V$6:$V$10005,'設定'!$C$4,'①在庫を貼る'!$W$6:$W$10005,$C15)&gt;0,SUMIFS('①在庫を貼る'!$O$6:$O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O$6:$O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O$6:$O$10005,'月1回_2ヶ月前の在庫'!$V$6:$V$10005,'設定'!$C$4,'月1回_2ヶ月前の在庫'!$W$6:$W$10005,$C15)/COUNTIFS('月1回_2ヶ月前の在庫'!$V$6:$V$10005,'設定'!$C$4,'月1回_2ヶ月前の在庫'!$W$6:$W$10005,$C15),0))))&gt;0,N(IF(COUNTIFS('①在庫を貼る'!$V$6:$V$10005,'設定'!$C$4,'①在庫を貼る'!$W$6:$W$10005,$C15)&gt;0,SUMIFS('①在庫を貼る'!$O$6:$O$10005,'①在庫を貼る'!$V$6:$V$10005,'設定'!$C$4,'①在庫を貼る'!$W$6:$W$10005,$C15)/COUNTIFS('①在庫を貼る'!$V$6:$V$10005,'設定'!$C$4,'①在庫を貼る'!$W$6:$W$10005,$C15),IF(COUNTIFS('月1回_1ヶ月前の在庫'!$V$6:$V$10005,'設定'!$C$4,'月1回_1ヶ月前の在庫'!$W$6:$W$10005,$C15)&gt;0,SUMIFS('月1回_1ヶ月前の在庫'!$O$6:$O$10005,'月1回_1ヶ月前の在庫'!$V$6:$V$10005,'設定'!$C$4,'月1回_1ヶ月前の在庫'!$W$6:$W$10005,$C15)/COUNTIFS('月1回_1ヶ月前の在庫'!$V$6:$V$10005,'設定'!$C$4,'月1回_1ヶ月前の在庫'!$W$6:$W$10005,$C15),IF(COUNTIFS('月1回_2ヶ月前の在庫'!$V$6:$V$10005,'設定'!$C$4,'月1回_2ヶ月前の在庫'!$W$6:$W$10005,$C15)&gt;0,SUMIFS('月1回_2ヶ月前の在庫'!$O$6:$O$10005,'月1回_2ヶ月前の在庫'!$V$6:$V$10005,'設定'!$C$4,'月1回_2ヶ月前の在庫'!$W$6:$W$10005,$C15)/COUNTIFS('月1回_2ヶ月前の在庫'!$V$6:$V$10005,'設定'!$C$4,'月1回_2ヶ月前の在庫'!$W$6:$W$10005,$C15),0)))),"")))</f>
        <v/>
      </c>
      <c r="P15" s="90">
        <f>IF($C15="","",IF('②発注する'!$I19="","",'②発注する'!$I19))</f>
        <v/>
      </c>
      <c r="Q15">
        <f>IF($C15="","",IF('②発注する'!$J19="","",'②発注する'!$J19))</f>
        <v/>
      </c>
      <c r="R15">
        <f>IF($C15="",0,IF(AND(ISNUMBER($P15),ISNUMBER($Q15)),MAX(0,$Q15)*$G15,0))</f>
        <v/>
      </c>
      <c r="S15" s="90">
        <f>IF($C15="","",IF('②発注する'!$M19="","",'②発注する'!$M19))</f>
        <v/>
      </c>
      <c r="T15">
        <f>IF($C15="","",IF('②発注する'!$N19="","",'②発注する'!$N19))</f>
        <v/>
      </c>
      <c r="U15">
        <f>IF($C15="",0,IF(AND(ISNUMBER($S15),ISNUMBER($T15)),MAX(0,$T15)*$G15,0))</f>
        <v/>
      </c>
      <c r="V15">
        <f>IF($C15="",0,IF($M15="",0,MAX(0,$M15)*MAX(0,V$4)/100))</f>
        <v/>
      </c>
      <c r="W15">
        <f>IF($C15="",0,IF($M15="",0,MAX(0,$M15)*MAX(0,W$4)/100))</f>
        <v/>
      </c>
      <c r="X15">
        <f>IF($C15="",0,IF($M15="",0,MAX(0,$M15)*MAX(0,X$4)/100))</f>
        <v/>
      </c>
      <c r="Y15">
        <f>IF($C15="",0,IF($M15="",0,MAX(0,$M15)*MAX(0,Y$4)/100))</f>
        <v/>
      </c>
      <c r="Z15">
        <f>IF($C15="",0,IF($M15="",0,MAX(0,$M15)*MAX(0,Z$4)/100))</f>
        <v/>
      </c>
      <c r="AA15">
        <f>IF($C15="",0,IF($M15="",0,MAX(0,$M15)*MAX(0,AA$4)/100))</f>
        <v/>
      </c>
      <c r="AB15">
        <f>IF($C15="",0,IF($M15="",0,MAX(0,$M15)*MAX(0,AB$4)/100))</f>
        <v/>
      </c>
      <c r="AC15">
        <f>IF($C15="",0,IF($M15="",0,MAX(0,$M15)*MAX(0,AC$4)/100))</f>
        <v/>
      </c>
      <c r="AD15">
        <f>IF($C15="",0,IF($M15="",0,MAX(0,$M15)*MAX(0,AD$4)/100))</f>
        <v/>
      </c>
      <c r="AE15">
        <f>IF($C15="",0,IF($M15="",0,MAX(0,$M15)*MAX(0,AE$4)/100))</f>
        <v/>
      </c>
      <c r="AF15">
        <f>IF($C15="",0,IF($M15="",0,MAX(0,$M15)*MAX(0,AF$4)/100))</f>
        <v/>
      </c>
      <c r="AG15">
        <f>IF($C15="",0,IF($M15="",0,MAX(0,$M15)*MAX(0,AG$4)/100))</f>
        <v/>
      </c>
      <c r="AH15">
        <f>IF($C15="",0,IF($M15="",0,MAX(0,$M15)*MAX(0,AH$4)/100))</f>
        <v/>
      </c>
      <c r="AI15">
        <f>IF($C15="",0,IF($M15="",0,MAX(0,$M15)*MAX(0,AI$4)/100))</f>
        <v/>
      </c>
      <c r="AJ15">
        <f>IF($C15="",0,MAX(0,MAX(0,N($L15))-$V15))</f>
        <v/>
      </c>
      <c r="AK15">
        <f>IF($C15="",0,MAX(0,$AJ15-$W15))</f>
        <v/>
      </c>
      <c r="AL15">
        <f>IF($C15="",0,MAX(0,$AK15-$X15))</f>
        <v/>
      </c>
      <c r="AM15">
        <f>IF($C15="",0,MAX(0,$AL15-$Y15))</f>
        <v/>
      </c>
      <c r="AN15">
        <f>IF($C15="",0,MAX(0,$AM15-$Z15))</f>
        <v/>
      </c>
      <c r="AO15">
        <f>IF($C15="",0,MAX(0,$AN15-$AA15))</f>
        <v/>
      </c>
      <c r="AP15">
        <f>IF($C15="",0,MAX(0,$AO15-$AB15))</f>
        <v/>
      </c>
      <c r="AQ15">
        <f>IF($C15="",0,MAX(0,$AP15-$AC15))</f>
        <v/>
      </c>
      <c r="AR15">
        <f>IF($C15="",0,MAX(0,$AQ15-$AD15))</f>
        <v/>
      </c>
      <c r="AS15">
        <f>IF($C15="",0,MAX(0,$AR15-$AE15))</f>
        <v/>
      </c>
      <c r="AT15">
        <f>IF($C15="",0,MAX(0,$AS15-$AF15))</f>
        <v/>
      </c>
      <c r="AU15">
        <f>IF($C15="",0,MAX(0,$AT15-$AG15))</f>
        <v/>
      </c>
      <c r="AV15">
        <f>IF($C15="",0,MAX(0,$AU15-$AH15))</f>
        <v/>
      </c>
      <c r="AW15">
        <f>IF($C15="",0,MAX(0,$AV15-$AI15))</f>
        <v/>
      </c>
      <c r="AX15">
        <f>IF($C15="",0,MAX(0,MAX(0,N($L15))+IF($P15=V$3,$R15,0)+IF($S15=V$3,$U15,0)-$V15))</f>
        <v/>
      </c>
      <c r="AY15">
        <f>IF($C15="",0,MAX(0,$AX15+IF($P15=W$3,$R15,0)+IF($S15=W$3,$U15,0)-$W15))</f>
        <v/>
      </c>
      <c r="AZ15">
        <f>IF($C15="",0,MAX(0,$AY15+IF($P15=X$3,$R15,0)+IF($S15=X$3,$U15,0)-$X15))</f>
        <v/>
      </c>
      <c r="BA15">
        <f>IF($C15="",0,MAX(0,$AZ15+IF($P15=Y$3,$R15,0)+IF($S15=Y$3,$U15,0)-$Y15))</f>
        <v/>
      </c>
      <c r="BB15">
        <f>IF($C15="",0,MAX(0,$BA15+IF($P15=Z$3,$R15,0)+IF($S15=Z$3,$U15,0)-$Z15))</f>
        <v/>
      </c>
      <c r="BC15">
        <f>IF($C15="",0,MAX(0,$BB15+IF($P15=AA$3,$R15,0)+IF($S15=AA$3,$U15,0)-$AA15))</f>
        <v/>
      </c>
      <c r="BD15">
        <f>IF($C15="",0,MAX(0,$BC15+IF($P15=AB$3,$R15,0)+IF($S15=AB$3,$U15,0)-$AB15))</f>
        <v/>
      </c>
      <c r="BE15">
        <f>IF($C15="",0,MAX(0,$BD15+IF($P15=AC$3,$R15,0)+IF($S15=AC$3,$U15,0)-$AC15))</f>
        <v/>
      </c>
      <c r="BF15">
        <f>IF($C15="",0,MAX(0,$BE15+IF($P15=AD$3,$R15,0)+IF($S15=AD$3,$U15,0)-$AD15))</f>
        <v/>
      </c>
      <c r="BG15">
        <f>IF($C15="",0,MAX(0,$BF15+IF($P15=AE$3,$R15,0)+IF($S15=AE$3,$U15,0)-$AE15))</f>
        <v/>
      </c>
      <c r="BH15">
        <f>IF($C15="",0,MAX(0,$BG15+IF($P15=AF$3,$R15,0)+IF($S15=AF$3,$U15,0)-$AF15))</f>
        <v/>
      </c>
      <c r="BI15">
        <f>IF($C15="",0,MAX(0,$BH15+IF($P15=AG$3,$R15,0)+IF($S15=AG$3,$U15,0)-$AG15))</f>
        <v/>
      </c>
      <c r="BJ15">
        <f>IF($C15="",0,MAX(0,$BI15+IF($P15=AH$3,$R15,0)+IF($S15=AH$3,$U15,0)-$AH15))</f>
        <v/>
      </c>
      <c r="BK15">
        <f>IF($C15="",0,MAX(0,$BJ15+IF($P15=AI$3,$R15,0)+IF($S15=AI$3,$U15,0)-$AI15))</f>
        <v/>
      </c>
      <c r="BL15">
        <f>IF($C15="",99,IF(AND($AX15&lt;1,V$3&gt;=MAX(N($P15),N($S15))),0,99))</f>
        <v/>
      </c>
      <c r="BM15">
        <f>IF($C15="",99,IF(AND($AY15&lt;1,W$3&gt;=MAX(N($P15),N($S15))),1,99))</f>
        <v/>
      </c>
      <c r="BN15">
        <f>IF($C15="",99,IF(AND($AZ15&lt;1,X$3&gt;=MAX(N($P15),N($S15))),2,99))</f>
        <v/>
      </c>
      <c r="BO15">
        <f>IF($C15="",99,IF(AND($BA15&lt;1,Y$3&gt;=MAX(N($P15),N($S15))),3,99))</f>
        <v/>
      </c>
      <c r="BP15">
        <f>IF($C15="",99,IF(AND($BB15&lt;1,Z$3&gt;=MAX(N($P15),N($S15))),4,99))</f>
        <v/>
      </c>
      <c r="BQ15">
        <f>IF($C15="",99,IF(AND($BC15&lt;1,AA$3&gt;=MAX(N($P15),N($S15))),5,99))</f>
        <v/>
      </c>
      <c r="BR15">
        <f>IF($C15="",99,IF(AND($BD15&lt;1,AB$3&gt;=MAX(N($P15),N($S15))),6,99))</f>
        <v/>
      </c>
      <c r="BS15">
        <f>IF($C15="",99,IF(AND($BE15&lt;1,AC$3&gt;=MAX(N($P15),N($S15))),7,99))</f>
        <v/>
      </c>
      <c r="BT15">
        <f>IF($C15="",99,IF(AND($BF15&lt;1,AD$3&gt;=MAX(N($P15),N($S15))),8,99))</f>
        <v/>
      </c>
      <c r="BU15">
        <f>IF($C15="",99,IF(AND($BG15&lt;1,AE$3&gt;=MAX(N($P15),N($S15))),9,99))</f>
        <v/>
      </c>
      <c r="BV15">
        <f>IF($C15="",99,IF(AND($BH15&lt;1,AF$3&gt;=MAX(N($P15),N($S15))),10,99))</f>
        <v/>
      </c>
      <c r="BW15">
        <f>IF($C15="",99,IF(AND($BI15&lt;1,AG$3&gt;=MAX(N($P15),N($S15))),11,99))</f>
        <v/>
      </c>
      <c r="BX15">
        <f>IF($C15="",99,IF(AND($BJ15&lt;1,AH$3&gt;=MAX(N($P15),N($S15))),12,99))</f>
        <v/>
      </c>
      <c r="BY15">
        <f>IF($C15="",99,IF(AND($BK15&lt;1,AI$3&gt;=MAX(N($P15),N($S15))),13,99))</f>
        <v/>
      </c>
      <c r="BZ15">
        <f>IF(OR($C15="",$M15=""),"",COUNTIF($AJ15:$AW15,"&gt;=1"))</f>
        <v/>
      </c>
      <c r="CA15" s="90">
        <f>IF($BZ15="","",IF($BZ15&gt;=14,"",'設定'!$C$6+$BZ15))</f>
        <v/>
      </c>
      <c r="CB15">
        <f>IF(OR($C15="",$M15=""),"",MIN($BL15:$BY15))</f>
        <v/>
      </c>
      <c r="CC15" s="90">
        <f>IF($CB15="","",IF($CB15&gt;=99,"",'設定'!$C$6+$CB15))</f>
        <v/>
      </c>
      <c r="CD15">
        <f>IF(OR($C15="",$M15=""),"",AVERAGE($V15:$AI15))</f>
        <v/>
      </c>
      <c r="CE15">
        <f>IF($C15="","",IFERROR(IF(MATCH(IF(ISNUMBER($P15),$P15,'設定'!$C$6+N('設定'!$C$7)),$V$3:$AI$3,0)=1,MAX(0,N($L15)),INDEX($AJ15:$AW15,MATCH(IF(ISNUMBER($P15),$P15,'設定'!$C$6+N('設定'!$C$7)),$V$3:$AI$3,0)-1)),""))</f>
        <v/>
      </c>
      <c r="CF15">
        <f>IF(OR($C15="",$O15="",$CE15=""),"",IF($O15-$CE15&lt;=0,0,ROUNDUP(($O15-$CE15)/$G15,0)))</f>
        <v/>
      </c>
      <c r="CG15">
        <f>IF(OR($C15="",$CF15="",NOT(ISNUMBER($Q15))),0,MAX(0,$Q15-$CF15))</f>
        <v/>
      </c>
      <c r="CH15">
        <f>IF(OR($C15="",$O15="",$U15=0),0,IFERROR(ROUNDUP(MAX(0,IF(MATCH($S15,$V$3:$AI$3,0)=1,MAX(0,N($L15)),INDEX($AX15:$BK15,MATCH($S15,$V$3:$AI$3,0)-1))+$U15-$O15)/$G15,0),0))</f>
        <v/>
      </c>
      <c r="CI15">
        <f>IF($C15="","",IF(AND($P15="",$Q15=""),"",IF($P15="","⚠ 入庫日を ▼ から選んでください",IF(NOT(ISNUMBER($P15)),"⚠ 入庫日は ▼ から選んでください",IF($P15&lt;N('設定'!$C$6),"⚠ 入庫日が過去です（もう在庫に入っています）→ 消してください",IF($P15&gt;N('設定'!$C$6)+13,"⚠ 入庫日が14日より先です",IF(N($Q15)&lt;=0,"⚠ 入庫数を入れてください",IF($CG15&gt;0,"⚠ 目安より "&amp;$CG15&amp;" 多い（定数を超える）→ 減らす",""))))))))</f>
        <v/>
      </c>
      <c r="CJ15">
        <f>IF($C15="","",IF(AND($S15="",$T15=""),"",IF($S15="","⚠ 2便目：入庫日を ▼ から選んでください",IF(NOT(ISNUMBER($S15)),"⚠ 2便目：入庫日は ▼ から選んでください",IF($S15&lt;N('設定'!$C$6),"⚠ 2便目：入庫日が過去です（もう在庫に入っています）→ 消してください",IF($S15&gt;N('設定'!$C$6)+13,"⚠ 2便目：入庫日が14日より先です",IF(N($T15)&lt;=0,"⚠ 2便目：入庫数を入れてください",IF($CH15&gt;0,"⚠ 2便目：定数を "&amp;$CH15&amp;" ケース超える → 減らす",""))))))))</f>
        <v/>
      </c>
      <c r="CK15">
        <f>IF(AND($CI15="",N($Q15)&gt;0,ISNUMBER($P15)),1,0)</f>
        <v/>
      </c>
      <c r="CL15">
        <f>IF(AND($CJ15="",N($T15)&gt;0,ISNUMBER($S15)),1,0)</f>
        <v/>
      </c>
      <c r="CM15">
        <f>IF(OR($CK15=1,$CL15=1),1,0)</f>
        <v/>
      </c>
      <c r="CN15">
        <f>IF($C15="",0,($CK15*$R15+$CL15*$U15)*N($H15))</f>
        <v/>
      </c>
      <c r="CO15">
        <f>IF($C15="","",IF($CC15="","入庫後は 14日以上もつ",IF($CC15-N('設定'!$C$7)&lt;='設定'!$C$6,"入庫後も "&amp;TEXT($CC15,"m/d")&amp;"("&amp;CHOOSE(WEEKDAY($CC15),"日","月","火","水","木","金","土")&amp;")"&amp;" に切れる　もう1便を至急発注","入庫後も "&amp;TEXT($CC15,"m/d")&amp;"("&amp;CHOOSE(WEEKDAY($CC15),"日","月","火","水","木","金","土")&amp;")"&amp;" に切れる　"&amp;TEXT($CC15-N('設定'!$C$7),"m/d")&amp;"("&amp;CHOOSE(WEEKDAY($CC15-N('設定'!$C$7)),"日","月","火","水","木","金","土")&amp;")"&amp;" までに次を発注")))</f>
        <v/>
      </c>
      <c r="CP15">
        <f>IF($C15="","",IF('設定'!$C$6="","？ ①在庫を貼る に今日のCSVが貼られていない",IF($CS15=1,"－ 今日のCSVに無い（終売？）",IF($L15&lt;0,"● 在庫がマイナス　数えて「数えた在庫」に入れる",IF($L15=0,"● 在庫なし　至急発注",IF($M15="","？ 減り数が未設定（商品マスタ）",IF($B$3=0,"？ 動員が未入力（動員を入れる）",IF($CA15="","○ 14日以上もつ",IF($BZ15&lt;N('設定'!$C$7),"● "&amp;TEXT($CA15,"m/d")&amp;"("&amp;CHOOSE(WEEKDAY($CA15),"日","月","火","水","木","金","土")&amp;")"&amp;" に切れる　至急発注",IF($BZ15=N('設定'!$C$7),"● "&amp;TEXT($CA15,"m/d")&amp;"("&amp;CHOOSE(WEEKDAY($CA15),"日","月","火","水","木","金","土")&amp;")"&amp;" に切れる　今日発注","△ "&amp;TEXT($CA15,"m/d")&amp;"("&amp;CHOOSE(WEEKDAY($CA15),"日","月","火","水","木","金","土")&amp;")"&amp;" に切れる　"&amp;TEXT($CA15-N('設定'!$C$7),"m/d")&amp;"("&amp;CHOOSE(WEEKDAY($CA15-N('設定'!$C$7)),"日","月","火","水","木","金","土")&amp;")"&amp;" までに発注"))))))))))</f>
        <v/>
      </c>
      <c r="CQ15">
        <f>IF($C15="","",IF(AND($P15="",$Q15="",$S15="",$T15=""),"",IF(AND($P15="",$Q15=""),"⚠ 先に1便目（左の入庫日・入庫数）に入れてください",IF($CI15&lt;&gt;"",$CI15,IF($CJ15&lt;&gt;"",$CJ15,IF($M15="","？ 減り数が未設定（発注書には載ります）",IF($B$3=0,"？ 動員が未入力（発注書には載ります）",IF(AND($CA15&lt;&gt;"",$P15&gt;$CA15),IF($P15&gt;'設定'!$C$6+N('設定'!$C$7),"● "&amp;TEXT($P15,"m/d")&amp;"("&amp;CHOOSE(WEEKDAY($P15),"日","月","火","水","木","金","土")&amp;")"&amp;" の入庫では間に合わない（"&amp;TEXT($CA15,"m/d")&amp;"("&amp;CHOOSE(WEEKDAY($CA15),"日","月","火","水","木","金","土")&amp;")"&amp;" に切れる）　入庫日を早める","△ 欠品 "&amp;TEXT($CA15,"m/d")&amp;"("&amp;CHOOSE(WEEKDAY($CA15),"日","月","火","水","木","金","土")&amp;")"&amp;"〜"&amp;TEXT($P15-1,"m/d")&amp;"("&amp;CHOOSE(WEEKDAY($P15-1),"日","月","火","水","木","金","土")&amp;")"&amp;"　"&amp;$CO15),IF($CC15="","○ "&amp;TEXT($P15,"m/d")&amp;"("&amp;CHOOSE(WEEKDAY($P15),"日","月","火","水","木","金","土")&amp;")"&amp;" 入庫で 14日以上もつ",IF($CC15-N('設定'!$C$7)&lt;='設定'!$C$6,"● 入庫しても "&amp;TEXT($CC15,"m/d")&amp;"("&amp;CHOOSE(WEEKDAY($CC15),"日","月","火","水","木","金","土")&amp;")"&amp;" に切れる　もう1便を至急発注（2便目に入れる）","△ 入庫しても "&amp;TEXT($CC15,"m/d")&amp;"("&amp;CHOOSE(WEEKDAY($CC15),"日","月","火","水","木","金","土")&amp;")"&amp;" に切れる　"&amp;TEXT($CC15-N('設定'!$C$7),"m/d")&amp;"("&amp;CHOOSE(WEEKDAY($CC15-N('設定'!$C$7)),"日","月","火","水","木","金","土")&amp;")"&amp;" までに次を発注（2便目に入れる）"))))))))))</f>
        <v/>
      </c>
      <c r="CR15">
        <f>IF($C15="","",IF($G15&gt;1,"ｹｰｽ("&amp;$G15&amp;"入)","個"))</f>
        <v/>
      </c>
      <c r="CS15">
        <f>IF($C15="",0,IF(COUNTIFS('①在庫を貼る'!$V$6:$V$10005,'設定'!$C$4,'①在庫を貼る'!$W$6:$W$10005,$C15)=0,1,0))</f>
        <v/>
      </c>
      <c r="CT15">
        <f>IF(AND($CK15=1,OR('③発注書'!$C$4="すべて",'③発注書'!$C$4="",$F15='③発注書'!$C$4)),N($CT14)+1,N($CT14))</f>
        <v/>
      </c>
      <c r="CU15">
        <f>IF(AND($CL15=1,OR('③発注書'!$C$4="すべて",'③発注書'!$C$4="",$F15='③発注書'!$C$4)),N($CU14)+1,N($CU14))</f>
        <v/>
      </c>
      <c r="CV15">
        <f>IF($C15="",0,IF(COUNTIFS('①在庫を貼る'!$V$6:$V$10005,'設定'!$C$4,'①在庫を貼る'!$W$6:$W$10005,$C15)&gt;0,1,0))</f>
        <v/>
      </c>
      <c r="CW15">
        <f>IF($C15="",0,IF(COUNTIFS('月1回_1ヶ月前の在庫'!$V$6:$V$10005,'設定'!$C$4,'月1回_1ヶ月前の在庫'!$W$6:$W$10005,$C15)&gt;0,1,0))</f>
        <v/>
      </c>
      <c r="CX15">
        <f>IF($C15="",0,IF(COUNTIFS('月1回_2ヶ月前の在庫'!$V$6:$V$10005,'設定'!$C$4,'月1回_2ヶ月前の在庫'!$W$6:$W$10005,$C15)&gt;0,1,0))</f>
        <v/>
      </c>
      <c r="CY15">
        <f>IF(OR($C15="",'設定'!$C$12=""),"",IF('設定'!$C$13="",IF(AND($CV15=1,$CW15=0),"新商品（今月から）",IF(AND($CV15=0,$CW15=1),"終売（今月から）","")),IF(AND($CV15=1,$CW15=0,$CX15=0),"新商品（今月から）",IF(AND($CV15=1,$CW15=1,$CX15=0),"新商品（先月から）",IF(AND($CV15=0,$CW15=1,$CX15=1),"終売（今月から）",IF(AND($CV15=0,$CW15=0,$CX15=1),"終売（先月から）",IF(AND($CV15=1,$CW15=0,$CX15=1),"復活（先月は無し）","")))))))</f>
        <v/>
      </c>
    </row>
    <row r="16">
      <c r="B16">
        <f>IF(11&lt;='設定'!$C$11,11,"")</f>
        <v/>
      </c>
      <c r="C16">
        <f>IF($B16="","",IF($B16&lt;='設定'!$C$20,INDEX('商品マスタ'!$B$6:$B$1005,MATCH($B16,'商品マスタ'!$M$6:$M$1005,0)),IF($B16&lt;='設定'!$C$20+'設定'!$C$17,INDEX('①在庫を貼る'!$W$6:$W$10005,MATCH($B16-'設定'!$C$20,'①在庫を貼る'!$U$6:$U$10005,0)),IF($B16&lt;='設定'!$C$20+'設定'!$C$17+'設定'!$C$18,INDEX('月1回_1ヶ月前の在庫'!$W$6:$W$10005,MATCH($B16-'設定'!$C$20-'設定'!$C$17,'月1回_1ヶ月前の在庫'!$U$6:$U$10005,0)),INDEX('月1回_2ヶ月前の在庫'!$W$6:$W$10005,MATCH($B16-'設定'!$C$20-'設定'!$C$17-'設定'!$C$18,'月1回_2ヶ月前の在庫'!$U$6:$U$10005,0))))))</f>
        <v/>
      </c>
      <c r="D16">
        <f>IF($C16="","",IFERROR(IF(INDEX('商品マスタ'!$C$6:$C$1005,MATCH($C16,'商品マスタ'!$B$6:$B$1005,0))="",IFERROR(INDEX('①在庫を貼る'!$J$6:$J$10005,MATCH($C16,'①在庫を貼る'!$W$6:$W$10005,0)),IFERROR(INDEX('月1回_1ヶ月前の在庫'!$J$6:$J$10005,MATCH($C16,'月1回_1ヶ月前の在庫'!$W$6:$W$10005,0)),IFERROR(INDEX('月1回_2ヶ月前の在庫'!$J$6:$J$10005,MATCH($C16,'月1回_2ヶ月前の在庫'!$W$6:$W$10005,0)),""))),INDEX('商品マスタ'!$C$6:$C$1005,MATCH($C16,'商品マスタ'!$B$6:$B$1005,0))),IFERROR(INDEX('①在庫を貼る'!$J$6:$J$10005,MATCH($C16,'①在庫を貼る'!$W$6:$W$10005,0)),IFERROR(INDEX('月1回_1ヶ月前の在庫'!$J$6:$J$10005,MATCH($C16,'月1回_1ヶ月前の在庫'!$W$6:$W$10005,0)),IFERROR(INDEX('月1回_2ヶ月前の在庫'!$J$6:$J$10005,MATCH($C16,'月1回_2ヶ月前の在庫'!$W$6:$W$10005,0)),"")))))</f>
        <v/>
      </c>
      <c r="E16">
        <f>IF($C16="","",IFERROR(IF(INDEX('商品マスタ'!$D$6:$D$1005,MATCH($C16,'商品マスタ'!$B$6:$B$1005,0))="",IFERROR(INDEX('①在庫を貼る'!$H$6:$H$10005,MATCH($C16,'①在庫を貼る'!$W$6:$W$10005,0)),IFERROR(INDEX('月1回_1ヶ月前の在庫'!$H$6:$H$10005,MATCH($C16,'月1回_1ヶ月前の在庫'!$W$6:$W$10005,0)),IFERROR(INDEX('月1回_2ヶ月前の在庫'!$H$6:$H$10005,MATCH($C16,'月1回_2ヶ月前の在庫'!$W$6:$W$10005,0)),""))),INDEX('商品マスタ'!$D$6:$D$1005,MATCH($C16,'商品マスタ'!$B$6:$B$1005,0))),IFERROR(INDEX('①在庫を貼る'!$H$6:$H$10005,MATCH($C16,'①在庫を貼る'!$W$6:$W$10005,0)),IFERROR(INDEX('月1回_1ヶ月前の在庫'!$H$6:$H$10005,MATCH($C16,'月1回_1ヶ月前の在庫'!$W$6:$W$10005,0)),IFERROR(INDEX('月1回_2ヶ月前の在庫'!$H$6:$H$10005,MATCH($C16,'月1回_2ヶ月前の在庫'!$W$6:$W$10005,0)),"")))))</f>
        <v/>
      </c>
      <c r="F16">
        <f>IF($C16="","",IFERROR(IF(INDEX('商品マスタ'!$E$6:$E$1005,MATCH($C16,'商品マスタ'!$B$6:$B$1005,0))="",IFERROR(INDEX('①在庫を貼る'!$E$6:$E$10005,MATCH($C16,'①在庫を貼る'!$W$6:$W$10005,0)),IFERROR(INDEX('月1回_1ヶ月前の在庫'!$E$6:$E$10005,MATCH($C16,'月1回_1ヶ月前の在庫'!$W$6:$W$10005,0)),IFERROR(INDEX('月1回_2ヶ月前の在庫'!$E$6:$E$10005,MATCH($C16,'月1回_2ヶ月前の在庫'!$W$6:$W$10005,0)),""))),INDEX('商品マスタ'!$E$6:$E$1005,MATCH($C16,'商品マスタ'!$B$6:$B$1005,0))),IFERROR(INDEX('①在庫を貼る'!$E$6:$E$10005,MATCH($C16,'①在庫を貼る'!$W$6:$W$10005,0)),IFERROR(INDEX('月1回_1ヶ月前の在庫'!$E$6:$E$10005,MATCH($C16,'月1回_1ヶ月前の在庫'!$W$6:$W$10005,0)),IFERROR(INDEX('月1回_2ヶ月前の在庫'!$E$6:$E$10005,MATCH($C16,'月1回_2ヶ月前の在庫'!$W$6:$W$10005,0)),"")))))</f>
        <v/>
      </c>
      <c r="G16">
        <f>IF($C16="","",MAX(1,N(IFERROR(IF(INDEX('商品マスタ'!$F$6:$F$1005,MATCH($C16,'商品マスタ'!$B$6:$B$1005,0))="",IF(COUNTIFS('①在庫を貼る'!$V$6:$V$10005,'設定'!$C$4,'①在庫を貼る'!$W$6:$W$10005,$C16)&gt;0,SUMIFS('①在庫を貼る'!$K$6:$K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K$6:$K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K$6:$K$10005,'月1回_2ヶ月前の在庫'!$V$6:$V$10005,'設定'!$C$4,'月1回_2ヶ月前の在庫'!$W$6:$W$10005,$C16)/COUNTIFS('月1回_2ヶ月前の在庫'!$V$6:$V$10005,'設定'!$C$4,'月1回_2ヶ月前の在庫'!$W$6:$W$10005,$C16),0))),INDEX('商品マスタ'!$F$6:$F$1005,MATCH($C16,'商品マスタ'!$B$6:$B$1005,0))),IF(COUNTIFS('①在庫を貼る'!$V$6:$V$10005,'設定'!$C$4,'①在庫を貼る'!$W$6:$W$10005,$C16)&gt;0,SUMIFS('①在庫を貼る'!$K$6:$K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K$6:$K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K$6:$K$10005,'月1回_2ヶ月前の在庫'!$V$6:$V$10005,'設定'!$C$4,'月1回_2ヶ月前の在庫'!$W$6:$W$10005,$C16)/COUNTIFS('月1回_2ヶ月前の在庫'!$V$6:$V$10005,'設定'!$C$4,'月1回_2ヶ月前の在庫'!$W$6:$W$10005,$C16),0)))))))</f>
        <v/>
      </c>
      <c r="H16">
        <f>IF($C16="","",N(IFERROR(IF(INDEX('商品マスタ'!$G$6:$G$1005,MATCH($C16,'商品マスタ'!$B$6:$B$1005,0))="",IF(COUNTIFS('①在庫を貼る'!$V$6:$V$10005,'設定'!$C$4,'①在庫を貼る'!$W$6:$W$10005,$C16)&gt;0,SUMIFS('①在庫を貼る'!$Q$6:$Q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Q$6:$Q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Q$6:$Q$10005,'月1回_2ヶ月前の在庫'!$V$6:$V$10005,'設定'!$C$4,'月1回_2ヶ月前の在庫'!$W$6:$W$10005,$C16)/COUNTIFS('月1回_2ヶ月前の在庫'!$V$6:$V$10005,'設定'!$C$4,'月1回_2ヶ月前の在庫'!$W$6:$W$10005,$C16),0))),INDEX('商品マスタ'!$G$6:$G$1005,MATCH($C16,'商品マスタ'!$B$6:$B$1005,0))),IF(COUNTIFS('①在庫を貼る'!$V$6:$V$10005,'設定'!$C$4,'①在庫を貼る'!$W$6:$W$10005,$C16)&gt;0,SUMIFS('①在庫を貼る'!$Q$6:$Q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Q$6:$Q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Q$6:$Q$10005,'月1回_2ヶ月前の在庫'!$V$6:$V$10005,'設定'!$C$4,'月1回_2ヶ月前の在庫'!$W$6:$W$10005,$C16)/COUNTIFS('月1回_2ヶ月前の在庫'!$V$6:$V$10005,'設定'!$C$4,'月1回_2ヶ月前の在庫'!$W$6:$W$10005,$C16),0))))))</f>
        <v/>
      </c>
      <c r="I16">
        <f>IF($C16="","",IF(COUNTIFS('①在庫を貼る'!$V$6:$V$10005,'設定'!$C$4,'①在庫を貼る'!$W$6:$W$10005,$C16)=0,"",SUMIFS('①在庫を貼る'!$N$6:$N$10005,'①在庫を貼る'!$V$6:$V$10005,'設定'!$C$4,'①在庫を貼る'!$W$6:$W$10005,$C16)))</f>
        <v/>
      </c>
      <c r="J16">
        <f>IF($C16="","",IF('②発注する'!$AD20="","",'②発注する'!$AD20))</f>
        <v/>
      </c>
      <c r="K16" s="90">
        <f>IF($C16="","",IF('②発注する'!$AE20="","",'②発注する'!$AE20))</f>
        <v/>
      </c>
      <c r="L16">
        <f>IF($C16="","",IF(AND(ISNUMBER($J16),ISNUMBER($K16),$K16&gt;='設定'!$C$6),$J16,N($I16)))</f>
        <v/>
      </c>
      <c r="M16">
        <f>IF($C16="","",IFERROR(IF(N(INDEX('商品マスタ'!$J$6:$J$1005,MATCH($C16,'商品マスタ'!$B$6:$B$1005,0)))&gt;0,INDEX('商品マスタ'!$J$6:$J$1005,MATCH($C16,'商品マスタ'!$B$6:$B$1005,0)),""),""))</f>
        <v/>
      </c>
      <c r="N16">
        <f>IF($C16="","",IFERROR(IF(N(INDEX('商品マスタ'!$H$6:$H$1005,MATCH($C16,'商品マスタ'!$B$6:$B$1005,0)))&gt;0,INDEX('商品マスタ'!$H$6:$H$1005,MATCH($C16,'商品マスタ'!$B$6:$B$1005,0)),""),""))</f>
        <v/>
      </c>
      <c r="O16">
        <f>IF($C16="","",IF($N16&lt;&gt;"",$N16*$G16,IF(N(IF(COUNTIFS('①在庫を貼る'!$V$6:$V$10005,'設定'!$C$4,'①在庫を貼る'!$W$6:$W$10005,$C16)&gt;0,SUMIFS('①在庫を貼る'!$O$6:$O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O$6:$O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O$6:$O$10005,'月1回_2ヶ月前の在庫'!$V$6:$V$10005,'設定'!$C$4,'月1回_2ヶ月前の在庫'!$W$6:$W$10005,$C16)/COUNTIFS('月1回_2ヶ月前の在庫'!$V$6:$V$10005,'設定'!$C$4,'月1回_2ヶ月前の在庫'!$W$6:$W$10005,$C16),0))))&gt;0,N(IF(COUNTIFS('①在庫を貼る'!$V$6:$V$10005,'設定'!$C$4,'①在庫を貼る'!$W$6:$W$10005,$C16)&gt;0,SUMIFS('①在庫を貼る'!$O$6:$O$10005,'①在庫を貼る'!$V$6:$V$10005,'設定'!$C$4,'①在庫を貼る'!$W$6:$W$10005,$C16)/COUNTIFS('①在庫を貼る'!$V$6:$V$10005,'設定'!$C$4,'①在庫を貼る'!$W$6:$W$10005,$C16),IF(COUNTIFS('月1回_1ヶ月前の在庫'!$V$6:$V$10005,'設定'!$C$4,'月1回_1ヶ月前の在庫'!$W$6:$W$10005,$C16)&gt;0,SUMIFS('月1回_1ヶ月前の在庫'!$O$6:$O$10005,'月1回_1ヶ月前の在庫'!$V$6:$V$10005,'設定'!$C$4,'月1回_1ヶ月前の在庫'!$W$6:$W$10005,$C16)/COUNTIFS('月1回_1ヶ月前の在庫'!$V$6:$V$10005,'設定'!$C$4,'月1回_1ヶ月前の在庫'!$W$6:$W$10005,$C16),IF(COUNTIFS('月1回_2ヶ月前の在庫'!$V$6:$V$10005,'設定'!$C$4,'月1回_2ヶ月前の在庫'!$W$6:$W$10005,$C16)&gt;0,SUMIFS('月1回_2ヶ月前の在庫'!$O$6:$O$10005,'月1回_2ヶ月前の在庫'!$V$6:$V$10005,'設定'!$C$4,'月1回_2ヶ月前の在庫'!$W$6:$W$10005,$C16)/COUNTIFS('月1回_2ヶ月前の在庫'!$V$6:$V$10005,'設定'!$C$4,'月1回_2ヶ月前の在庫'!$W$6:$W$10005,$C16),0)))),"")))</f>
        <v/>
      </c>
      <c r="P16" s="90">
        <f>IF($C16="","",IF('②発注する'!$I20="","",'②発注する'!$I20))</f>
        <v/>
      </c>
      <c r="Q16">
        <f>IF($C16="","",IF('②発注する'!$J20="","",'②発注する'!$J20))</f>
        <v/>
      </c>
      <c r="R16">
        <f>IF($C16="",0,IF(AND(ISNUMBER($P16),ISNUMBER($Q16)),MAX(0,$Q16)*$G16,0))</f>
        <v/>
      </c>
      <c r="S16" s="90">
        <f>IF($C16="","",IF('②発注する'!$M20="","",'②発注する'!$M20))</f>
        <v/>
      </c>
      <c r="T16">
        <f>IF($C16="","",IF('②発注する'!$N20="","",'②発注する'!$N20))</f>
        <v/>
      </c>
      <c r="U16">
        <f>IF($C16="",0,IF(AND(ISNUMBER($S16),ISNUMBER($T16)),MAX(0,$T16)*$G16,0))</f>
        <v/>
      </c>
      <c r="V16">
        <f>IF($C16="",0,IF($M16="",0,MAX(0,$M16)*MAX(0,V$4)/100))</f>
        <v/>
      </c>
      <c r="W16">
        <f>IF($C16="",0,IF($M16="",0,MAX(0,$M16)*MAX(0,W$4)/100))</f>
        <v/>
      </c>
      <c r="X16">
        <f>IF($C16="",0,IF($M16="",0,MAX(0,$M16)*MAX(0,X$4)/100))</f>
        <v/>
      </c>
      <c r="Y16">
        <f>IF($C16="",0,IF($M16="",0,MAX(0,$M16)*MAX(0,Y$4)/100))</f>
        <v/>
      </c>
      <c r="Z16">
        <f>IF($C16="",0,IF($M16="",0,MAX(0,$M16)*MAX(0,Z$4)/100))</f>
        <v/>
      </c>
      <c r="AA16">
        <f>IF($C16="",0,IF($M16="",0,MAX(0,$M16)*MAX(0,AA$4)/100))</f>
        <v/>
      </c>
      <c r="AB16">
        <f>IF($C16="",0,IF($M16="",0,MAX(0,$M16)*MAX(0,AB$4)/100))</f>
        <v/>
      </c>
      <c r="AC16">
        <f>IF($C16="",0,IF($M16="",0,MAX(0,$M16)*MAX(0,AC$4)/100))</f>
        <v/>
      </c>
      <c r="AD16">
        <f>IF($C16="",0,IF($M16="",0,MAX(0,$M16)*MAX(0,AD$4)/100))</f>
        <v/>
      </c>
      <c r="AE16">
        <f>IF($C16="",0,IF($M16="",0,MAX(0,$M16)*MAX(0,AE$4)/100))</f>
        <v/>
      </c>
      <c r="AF16">
        <f>IF($C16="",0,IF($M16="",0,MAX(0,$M16)*MAX(0,AF$4)/100))</f>
        <v/>
      </c>
      <c r="AG16">
        <f>IF($C16="",0,IF($M16="",0,MAX(0,$M16)*MAX(0,AG$4)/100))</f>
        <v/>
      </c>
      <c r="AH16">
        <f>IF($C16="",0,IF($M16="",0,MAX(0,$M16)*MAX(0,AH$4)/100))</f>
        <v/>
      </c>
      <c r="AI16">
        <f>IF($C16="",0,IF($M16="",0,MAX(0,$M16)*MAX(0,AI$4)/100))</f>
        <v/>
      </c>
      <c r="AJ16">
        <f>IF($C16="",0,MAX(0,MAX(0,N($L16))-$V16))</f>
        <v/>
      </c>
      <c r="AK16">
        <f>IF($C16="",0,MAX(0,$AJ16-$W16))</f>
        <v/>
      </c>
      <c r="AL16">
        <f>IF($C16="",0,MAX(0,$AK16-$X16))</f>
        <v/>
      </c>
      <c r="AM16">
        <f>IF($C16="",0,MAX(0,$AL16-$Y16))</f>
        <v/>
      </c>
      <c r="AN16">
        <f>IF($C16="",0,MAX(0,$AM16-$Z16))</f>
        <v/>
      </c>
      <c r="AO16">
        <f>IF($C16="",0,MAX(0,$AN16-$AA16))</f>
        <v/>
      </c>
      <c r="AP16">
        <f>IF($C16="",0,MAX(0,$AO16-$AB16))</f>
        <v/>
      </c>
      <c r="AQ16">
        <f>IF($C16="",0,MAX(0,$AP16-$AC16))</f>
        <v/>
      </c>
      <c r="AR16">
        <f>IF($C16="",0,MAX(0,$AQ16-$AD16))</f>
        <v/>
      </c>
      <c r="AS16">
        <f>IF($C16="",0,MAX(0,$AR16-$AE16))</f>
        <v/>
      </c>
      <c r="AT16">
        <f>IF($C16="",0,MAX(0,$AS16-$AF16))</f>
        <v/>
      </c>
      <c r="AU16">
        <f>IF($C16="",0,MAX(0,$AT16-$AG16))</f>
        <v/>
      </c>
      <c r="AV16">
        <f>IF($C16="",0,MAX(0,$AU16-$AH16))</f>
        <v/>
      </c>
      <c r="AW16">
        <f>IF($C16="",0,MAX(0,$AV16-$AI16))</f>
        <v/>
      </c>
      <c r="AX16">
        <f>IF($C16="",0,MAX(0,MAX(0,N($L16))+IF($P16=V$3,$R16,0)+IF($S16=V$3,$U16,0)-$V16))</f>
        <v/>
      </c>
      <c r="AY16">
        <f>IF($C16="",0,MAX(0,$AX16+IF($P16=W$3,$R16,0)+IF($S16=W$3,$U16,0)-$W16))</f>
        <v/>
      </c>
      <c r="AZ16">
        <f>IF($C16="",0,MAX(0,$AY16+IF($P16=X$3,$R16,0)+IF($S16=X$3,$U16,0)-$X16))</f>
        <v/>
      </c>
      <c r="BA16">
        <f>IF($C16="",0,MAX(0,$AZ16+IF($P16=Y$3,$R16,0)+IF($S16=Y$3,$U16,0)-$Y16))</f>
        <v/>
      </c>
      <c r="BB16">
        <f>IF($C16="",0,MAX(0,$BA16+IF($P16=Z$3,$R16,0)+IF($S16=Z$3,$U16,0)-$Z16))</f>
        <v/>
      </c>
      <c r="BC16">
        <f>IF($C16="",0,MAX(0,$BB16+IF($P16=AA$3,$R16,0)+IF($S16=AA$3,$U16,0)-$AA16))</f>
        <v/>
      </c>
      <c r="BD16">
        <f>IF($C16="",0,MAX(0,$BC16+IF($P16=AB$3,$R16,0)+IF($S16=AB$3,$U16,0)-$AB16))</f>
        <v/>
      </c>
      <c r="BE16">
        <f>IF($C16="",0,MAX(0,$BD16+IF($P16=AC$3,$R16,0)+IF($S16=AC$3,$U16,0)-$AC16))</f>
        <v/>
      </c>
      <c r="BF16">
        <f>IF($C16="",0,MAX(0,$BE16+IF($P16=AD$3,$R16,0)+IF($S16=AD$3,$U16,0)-$AD16))</f>
        <v/>
      </c>
      <c r="BG16">
        <f>IF($C16="",0,MAX(0,$BF16+IF($P16=AE$3,$R16,0)+IF($S16=AE$3,$U16,0)-$AE16))</f>
        <v/>
      </c>
      <c r="BH16">
        <f>IF($C16="",0,MAX(0,$BG16+IF($P16=AF$3,$R16,0)+IF($S16=AF$3,$U16,0)-$AF16))</f>
        <v/>
      </c>
      <c r="BI16">
        <f>IF($C16="",0,MAX(0,$BH16+IF($P16=AG$3,$R16,0)+IF($S16=AG$3,$U16,0)-$AG16))</f>
        <v/>
      </c>
      <c r="BJ16">
        <f>IF($C16="",0,MAX(0,$BI16+IF($P16=AH$3,$R16,0)+IF($S16=AH$3,$U16,0)-$AH16))</f>
        <v/>
      </c>
      <c r="BK16">
        <f>IF($C16="",0,MAX(0,$BJ16+IF($P16=AI$3,$R16,0)+IF($S16=AI$3,$U16,0)-$AI16))</f>
        <v/>
      </c>
      <c r="BL16">
        <f>IF($C16="",99,IF(AND($AX16&lt;1,V$3&gt;=MAX(N($P16),N($S16))),0,99))</f>
        <v/>
      </c>
      <c r="BM16">
        <f>IF($C16="",99,IF(AND($AY16&lt;1,W$3&gt;=MAX(N($P16),N($S16))),1,99))</f>
        <v/>
      </c>
      <c r="BN16">
        <f>IF($C16="",99,IF(AND($AZ16&lt;1,X$3&gt;=MAX(N($P16),N($S16))),2,99))</f>
        <v/>
      </c>
      <c r="BO16">
        <f>IF($C16="",99,IF(AND($BA16&lt;1,Y$3&gt;=MAX(N($P16),N($S16))),3,99))</f>
        <v/>
      </c>
      <c r="BP16">
        <f>IF($C16="",99,IF(AND($BB16&lt;1,Z$3&gt;=MAX(N($P16),N($S16))),4,99))</f>
        <v/>
      </c>
      <c r="BQ16">
        <f>IF($C16="",99,IF(AND($BC16&lt;1,AA$3&gt;=MAX(N($P16),N($S16))),5,99))</f>
        <v/>
      </c>
      <c r="BR16">
        <f>IF($C16="",99,IF(AND($BD16&lt;1,AB$3&gt;=MAX(N($P16),N($S16))),6,99))</f>
        <v/>
      </c>
      <c r="BS16">
        <f>IF($C16="",99,IF(AND($BE16&lt;1,AC$3&gt;=MAX(N($P16),N($S16))),7,99))</f>
        <v/>
      </c>
      <c r="BT16">
        <f>IF($C16="",99,IF(AND($BF16&lt;1,AD$3&gt;=MAX(N($P16),N($S16))),8,99))</f>
        <v/>
      </c>
      <c r="BU16">
        <f>IF($C16="",99,IF(AND($BG16&lt;1,AE$3&gt;=MAX(N($P16),N($S16))),9,99))</f>
        <v/>
      </c>
      <c r="BV16">
        <f>IF($C16="",99,IF(AND($BH16&lt;1,AF$3&gt;=MAX(N($P16),N($S16))),10,99))</f>
        <v/>
      </c>
      <c r="BW16">
        <f>IF($C16="",99,IF(AND($BI16&lt;1,AG$3&gt;=MAX(N($P16),N($S16))),11,99))</f>
        <v/>
      </c>
      <c r="BX16">
        <f>IF($C16="",99,IF(AND($BJ16&lt;1,AH$3&gt;=MAX(N($P16),N($S16))),12,99))</f>
        <v/>
      </c>
      <c r="BY16">
        <f>IF($C16="",99,IF(AND($BK16&lt;1,AI$3&gt;=MAX(N($P16),N($S16))),13,99))</f>
        <v/>
      </c>
      <c r="BZ16">
        <f>IF(OR($C16="",$M16=""),"",COUNTIF($AJ16:$AW16,"&gt;=1"))</f>
        <v/>
      </c>
      <c r="CA16" s="90">
        <f>IF($BZ16="","",IF($BZ16&gt;=14,"",'設定'!$C$6+$BZ16))</f>
        <v/>
      </c>
      <c r="CB16">
        <f>IF(OR($C16="",$M16=""),"",MIN($BL16:$BY16))</f>
        <v/>
      </c>
      <c r="CC16" s="90">
        <f>IF($CB16="","",IF($CB16&gt;=99,"",'設定'!$C$6+$CB16))</f>
        <v/>
      </c>
      <c r="CD16">
        <f>IF(OR($C16="",$M16=""),"",AVERAGE($V16:$AI16))</f>
        <v/>
      </c>
      <c r="CE16">
        <f>IF($C16="","",IFERROR(IF(MATCH(IF(ISNUMBER($P16),$P16,'設定'!$C$6+N('設定'!$C$7)),$V$3:$AI$3,0)=1,MAX(0,N($L16)),INDEX($AJ16:$AW16,MATCH(IF(ISNUMBER($P16),$P16,'設定'!$C$6+N('設定'!$C$7)),$V$3:$AI$3,0)-1)),""))</f>
        <v/>
      </c>
      <c r="CF16">
        <f>IF(OR($C16="",$O16="",$CE16=""),"",IF($O16-$CE16&lt;=0,0,ROUNDUP(($O16-$CE16)/$G16,0)))</f>
        <v/>
      </c>
      <c r="CG16">
        <f>IF(OR($C16="",$CF16="",NOT(ISNUMBER($Q16))),0,MAX(0,$Q16-$CF16))</f>
        <v/>
      </c>
      <c r="CH16">
        <f>IF(OR($C16="",$O16="",$U16=0),0,IFERROR(ROUNDUP(MAX(0,IF(MATCH($S16,$V$3:$AI$3,0)=1,MAX(0,N($L16)),INDEX($AX16:$BK16,MATCH($S16,$V$3:$AI$3,0)-1))+$U16-$O16)/$G16,0),0))</f>
        <v/>
      </c>
      <c r="CI16">
        <f>IF($C16="","",IF(AND($P16="",$Q16=""),"",IF($P16="","⚠ 入庫日を ▼ から選んでください",IF(NOT(ISNUMBER($P16)),"⚠ 入庫日は ▼ から選んでください",IF($P16&lt;N('設定'!$C$6),"⚠ 入庫日が過去です（もう在庫に入っています）→ 消してください",IF($P16&gt;N('設定'!$C$6)+13,"⚠ 入庫日が14日より先です",IF(N($Q16)&lt;=0,"⚠ 入庫数を入れてください",IF($CG16&gt;0,"⚠ 目安より "&amp;$CG16&amp;" 多い（定数を超える）→ 減らす",""))))))))</f>
        <v/>
      </c>
      <c r="CJ16">
        <f>IF($C16="","",IF(AND($S16="",$T16=""),"",IF($S16="","⚠ 2便目：入庫日を ▼ から選んでください",IF(NOT(ISNUMBER($S16)),"⚠ 2便目：入庫日は ▼ から選んでください",IF($S16&lt;N('設定'!$C$6),"⚠ 2便目：入庫日が過去です（もう在庫に入っています）→ 消してください",IF($S16&gt;N('設定'!$C$6)+13,"⚠ 2便目：入庫日が14日より先です",IF(N($T16)&lt;=0,"⚠ 2便目：入庫数を入れてください",IF($CH16&gt;0,"⚠ 2便目：定数を "&amp;$CH16&amp;" ケース超える → 減らす",""))))))))</f>
        <v/>
      </c>
      <c r="CK16">
        <f>IF(AND($CI16="",N($Q16)&gt;0,ISNUMBER($P16)),1,0)</f>
        <v/>
      </c>
      <c r="CL16">
        <f>IF(AND($CJ16="",N($T16)&gt;0,ISNUMBER($S16)),1,0)</f>
        <v/>
      </c>
      <c r="CM16">
        <f>IF(OR($CK16=1,$CL16=1),1,0)</f>
        <v/>
      </c>
      <c r="CN16">
        <f>IF($C16="",0,($CK16*$R16+$CL16*$U16)*N($H16))</f>
        <v/>
      </c>
      <c r="CO16">
        <f>IF($C16="","",IF($CC16="","入庫後は 14日以上もつ",IF($CC16-N('設定'!$C$7)&lt;='設定'!$C$6,"入庫後も "&amp;TEXT($CC16,"m/d")&amp;"("&amp;CHOOSE(WEEKDAY($CC16),"日","月","火","水","木","金","土")&amp;")"&amp;" に切れる　もう1便を至急発注","入庫後も "&amp;TEXT($CC16,"m/d")&amp;"("&amp;CHOOSE(WEEKDAY($CC16),"日","月","火","水","木","金","土")&amp;")"&amp;" に切れる　"&amp;TEXT($CC16-N('設定'!$C$7),"m/d")&amp;"("&amp;CHOOSE(WEEKDAY($CC16-N('設定'!$C$7)),"日","月","火","水","木","金","土")&amp;")"&amp;" までに次を発注")))</f>
        <v/>
      </c>
      <c r="CP16">
        <f>IF($C16="","",IF('設定'!$C$6="","？ ①在庫を貼る に今日のCSVが貼られていない",IF($CS16=1,"－ 今日のCSVに無い（終売？）",IF($L16&lt;0,"● 在庫がマイナス　数えて「数えた在庫」に入れる",IF($L16=0,"● 在庫なし　至急発注",IF($M16="","？ 減り数が未設定（商品マスタ）",IF($B$3=0,"？ 動員が未入力（動員を入れる）",IF($CA16="","○ 14日以上もつ",IF($BZ16&lt;N('設定'!$C$7),"● "&amp;TEXT($CA16,"m/d")&amp;"("&amp;CHOOSE(WEEKDAY($CA16),"日","月","火","水","木","金","土")&amp;")"&amp;" に切れる　至急発注",IF($BZ16=N('設定'!$C$7),"● "&amp;TEXT($CA16,"m/d")&amp;"("&amp;CHOOSE(WEEKDAY($CA16),"日","月","火","水","木","金","土")&amp;")"&amp;" に切れる　今日発注","△ "&amp;TEXT($CA16,"m/d")&amp;"("&amp;CHOOSE(WEEKDAY($CA16),"日","月","火","水","木","金","土")&amp;")"&amp;" に切れる　"&amp;TEXT($CA16-N('設定'!$C$7),"m/d")&amp;"("&amp;CHOOSE(WEEKDAY($CA16-N('設定'!$C$7)),"日","月","火","水","木","金","土")&amp;")"&amp;" までに発注"))))))))))</f>
        <v/>
      </c>
      <c r="CQ16">
        <f>IF($C16="","",IF(AND($P16="",$Q16="",$S16="",$T16=""),"",IF(AND($P16="",$Q16=""),"⚠ 先に1便目（左の入庫日・入庫数）に入れてください",IF($CI16&lt;&gt;"",$CI16,IF($CJ16&lt;&gt;"",$CJ16,IF($M16="","？ 減り数が未設定（発注書には載ります）",IF($B$3=0,"？ 動員が未入力（発注書には載ります）",IF(AND($CA16&lt;&gt;"",$P16&gt;$CA16),IF($P16&gt;'設定'!$C$6+N('設定'!$C$7),"● "&amp;TEXT($P16,"m/d")&amp;"("&amp;CHOOSE(WEEKDAY($P16),"日","月","火","水","木","金","土")&amp;")"&amp;" の入庫では間に合わない（"&amp;TEXT($CA16,"m/d")&amp;"("&amp;CHOOSE(WEEKDAY($CA16),"日","月","火","水","木","金","土")&amp;")"&amp;" に切れる）　入庫日を早める","△ 欠品 "&amp;TEXT($CA16,"m/d")&amp;"("&amp;CHOOSE(WEEKDAY($CA16),"日","月","火","水","木","金","土")&amp;")"&amp;"〜"&amp;TEXT($P16-1,"m/d")&amp;"("&amp;CHOOSE(WEEKDAY($P16-1),"日","月","火","水","木","金","土")&amp;")"&amp;"　"&amp;$CO16),IF($CC16="","○ "&amp;TEXT($P16,"m/d")&amp;"("&amp;CHOOSE(WEEKDAY($P16),"日","月","火","水","木","金","土")&amp;")"&amp;" 入庫で 14日以上もつ",IF($CC16-N('設定'!$C$7)&lt;='設定'!$C$6,"● 入庫しても "&amp;TEXT($CC16,"m/d")&amp;"("&amp;CHOOSE(WEEKDAY($CC16),"日","月","火","水","木","金","土")&amp;")"&amp;" に切れる　もう1便を至急発注（2便目に入れる）","△ 入庫しても "&amp;TEXT($CC16,"m/d")&amp;"("&amp;CHOOSE(WEEKDAY($CC16),"日","月","火","水","木","金","土")&amp;")"&amp;" に切れる　"&amp;TEXT($CC16-N('設定'!$C$7),"m/d")&amp;"("&amp;CHOOSE(WEEKDAY($CC16-N('設定'!$C$7)),"日","月","火","水","木","金","土")&amp;")"&amp;" までに次を発注（2便目に入れる）"))))))))))</f>
        <v/>
      </c>
      <c r="CR16">
        <f>IF($C16="","",IF($G16&gt;1,"ｹｰｽ("&amp;$G16&amp;"入)","個"))</f>
        <v/>
      </c>
      <c r="CS16">
        <f>IF($C16="",0,IF(COUNTIFS('①在庫を貼る'!$V$6:$V$10005,'設定'!$C$4,'①在庫を貼る'!$W$6:$W$10005,$C16)=0,1,0))</f>
        <v/>
      </c>
      <c r="CT16">
        <f>IF(AND($CK16=1,OR('③発注書'!$C$4="すべて",'③発注書'!$C$4="",$F16='③発注書'!$C$4)),N($CT15)+1,N($CT15))</f>
        <v/>
      </c>
      <c r="CU16">
        <f>IF(AND($CL16=1,OR('③発注書'!$C$4="すべて",'③発注書'!$C$4="",$F16='③発注書'!$C$4)),N($CU15)+1,N($CU15))</f>
        <v/>
      </c>
      <c r="CV16">
        <f>IF($C16="",0,IF(COUNTIFS('①在庫を貼る'!$V$6:$V$10005,'設定'!$C$4,'①在庫を貼る'!$W$6:$W$10005,$C16)&gt;0,1,0))</f>
        <v/>
      </c>
      <c r="CW16">
        <f>IF($C16="",0,IF(COUNTIFS('月1回_1ヶ月前の在庫'!$V$6:$V$10005,'設定'!$C$4,'月1回_1ヶ月前の在庫'!$W$6:$W$10005,$C16)&gt;0,1,0))</f>
        <v/>
      </c>
      <c r="CX16">
        <f>IF($C16="",0,IF(COUNTIFS('月1回_2ヶ月前の在庫'!$V$6:$V$10005,'設定'!$C$4,'月1回_2ヶ月前の在庫'!$W$6:$W$10005,$C16)&gt;0,1,0))</f>
        <v/>
      </c>
      <c r="CY16">
        <f>IF(OR($C16="",'設定'!$C$12=""),"",IF('設定'!$C$13="",IF(AND($CV16=1,$CW16=0),"新商品（今月から）",IF(AND($CV16=0,$CW16=1),"終売（今月から）","")),IF(AND($CV16=1,$CW16=0,$CX16=0),"新商品（今月から）",IF(AND($CV16=1,$CW16=1,$CX16=0),"新商品（先月から）",IF(AND($CV16=0,$CW16=1,$CX16=1),"終売（今月から）",IF(AND($CV16=0,$CW16=0,$CX16=1),"終売（先月から）",IF(AND($CV16=1,$CW16=0,$CX16=1),"復活（先月は無し）","")))))))</f>
        <v/>
      </c>
    </row>
    <row r="17">
      <c r="B17">
        <f>IF(12&lt;='設定'!$C$11,12,"")</f>
        <v/>
      </c>
      <c r="C17">
        <f>IF($B17="","",IF($B17&lt;='設定'!$C$20,INDEX('商品マスタ'!$B$6:$B$1005,MATCH($B17,'商品マスタ'!$M$6:$M$1005,0)),IF($B17&lt;='設定'!$C$20+'設定'!$C$17,INDEX('①在庫を貼る'!$W$6:$W$10005,MATCH($B17-'設定'!$C$20,'①在庫を貼る'!$U$6:$U$10005,0)),IF($B17&lt;='設定'!$C$20+'設定'!$C$17+'設定'!$C$18,INDEX('月1回_1ヶ月前の在庫'!$W$6:$W$10005,MATCH($B17-'設定'!$C$20-'設定'!$C$17,'月1回_1ヶ月前の在庫'!$U$6:$U$10005,0)),INDEX('月1回_2ヶ月前の在庫'!$W$6:$W$10005,MATCH($B17-'設定'!$C$20-'設定'!$C$17-'設定'!$C$18,'月1回_2ヶ月前の在庫'!$U$6:$U$10005,0))))))</f>
        <v/>
      </c>
      <c r="D17">
        <f>IF($C17="","",IFERROR(IF(INDEX('商品マスタ'!$C$6:$C$1005,MATCH($C17,'商品マスタ'!$B$6:$B$1005,0))="",IFERROR(INDEX('①在庫を貼る'!$J$6:$J$10005,MATCH($C17,'①在庫を貼る'!$W$6:$W$10005,0)),IFERROR(INDEX('月1回_1ヶ月前の在庫'!$J$6:$J$10005,MATCH($C17,'月1回_1ヶ月前の在庫'!$W$6:$W$10005,0)),IFERROR(INDEX('月1回_2ヶ月前の在庫'!$J$6:$J$10005,MATCH($C17,'月1回_2ヶ月前の在庫'!$W$6:$W$10005,0)),""))),INDEX('商品マスタ'!$C$6:$C$1005,MATCH($C17,'商品マスタ'!$B$6:$B$1005,0))),IFERROR(INDEX('①在庫を貼る'!$J$6:$J$10005,MATCH($C17,'①在庫を貼る'!$W$6:$W$10005,0)),IFERROR(INDEX('月1回_1ヶ月前の在庫'!$J$6:$J$10005,MATCH($C17,'月1回_1ヶ月前の在庫'!$W$6:$W$10005,0)),IFERROR(INDEX('月1回_2ヶ月前の在庫'!$J$6:$J$10005,MATCH($C17,'月1回_2ヶ月前の在庫'!$W$6:$W$10005,0)),"")))))</f>
        <v/>
      </c>
      <c r="E17">
        <f>IF($C17="","",IFERROR(IF(INDEX('商品マスタ'!$D$6:$D$1005,MATCH($C17,'商品マスタ'!$B$6:$B$1005,0))="",IFERROR(INDEX('①在庫を貼る'!$H$6:$H$10005,MATCH($C17,'①在庫を貼る'!$W$6:$W$10005,0)),IFERROR(INDEX('月1回_1ヶ月前の在庫'!$H$6:$H$10005,MATCH($C17,'月1回_1ヶ月前の在庫'!$W$6:$W$10005,0)),IFERROR(INDEX('月1回_2ヶ月前の在庫'!$H$6:$H$10005,MATCH($C17,'月1回_2ヶ月前の在庫'!$W$6:$W$10005,0)),""))),INDEX('商品マスタ'!$D$6:$D$1005,MATCH($C17,'商品マスタ'!$B$6:$B$1005,0))),IFERROR(INDEX('①在庫を貼る'!$H$6:$H$10005,MATCH($C17,'①在庫を貼る'!$W$6:$W$10005,0)),IFERROR(INDEX('月1回_1ヶ月前の在庫'!$H$6:$H$10005,MATCH($C17,'月1回_1ヶ月前の在庫'!$W$6:$W$10005,0)),IFERROR(INDEX('月1回_2ヶ月前の在庫'!$H$6:$H$10005,MATCH($C17,'月1回_2ヶ月前の在庫'!$W$6:$W$10005,0)),"")))))</f>
        <v/>
      </c>
      <c r="F17">
        <f>IF($C17="","",IFERROR(IF(INDEX('商品マスタ'!$E$6:$E$1005,MATCH($C17,'商品マスタ'!$B$6:$B$1005,0))="",IFERROR(INDEX('①在庫を貼る'!$E$6:$E$10005,MATCH($C17,'①在庫を貼る'!$W$6:$W$10005,0)),IFERROR(INDEX('月1回_1ヶ月前の在庫'!$E$6:$E$10005,MATCH($C17,'月1回_1ヶ月前の在庫'!$W$6:$W$10005,0)),IFERROR(INDEX('月1回_2ヶ月前の在庫'!$E$6:$E$10005,MATCH($C17,'月1回_2ヶ月前の在庫'!$W$6:$W$10005,0)),""))),INDEX('商品マスタ'!$E$6:$E$1005,MATCH($C17,'商品マスタ'!$B$6:$B$1005,0))),IFERROR(INDEX('①在庫を貼る'!$E$6:$E$10005,MATCH($C17,'①在庫を貼る'!$W$6:$W$10005,0)),IFERROR(INDEX('月1回_1ヶ月前の在庫'!$E$6:$E$10005,MATCH($C17,'月1回_1ヶ月前の在庫'!$W$6:$W$10005,0)),IFERROR(INDEX('月1回_2ヶ月前の在庫'!$E$6:$E$10005,MATCH($C17,'月1回_2ヶ月前の在庫'!$W$6:$W$10005,0)),"")))))</f>
        <v/>
      </c>
      <c r="G17">
        <f>IF($C17="","",MAX(1,N(IFERROR(IF(INDEX('商品マスタ'!$F$6:$F$1005,MATCH($C17,'商品マスタ'!$B$6:$B$1005,0))="",IF(COUNTIFS('①在庫を貼る'!$V$6:$V$10005,'設定'!$C$4,'①在庫を貼る'!$W$6:$W$10005,$C17)&gt;0,SUMIFS('①在庫を貼る'!$K$6:$K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K$6:$K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K$6:$K$10005,'月1回_2ヶ月前の在庫'!$V$6:$V$10005,'設定'!$C$4,'月1回_2ヶ月前の在庫'!$W$6:$W$10005,$C17)/COUNTIFS('月1回_2ヶ月前の在庫'!$V$6:$V$10005,'設定'!$C$4,'月1回_2ヶ月前の在庫'!$W$6:$W$10005,$C17),0))),INDEX('商品マスタ'!$F$6:$F$1005,MATCH($C17,'商品マスタ'!$B$6:$B$1005,0))),IF(COUNTIFS('①在庫を貼る'!$V$6:$V$10005,'設定'!$C$4,'①在庫を貼る'!$W$6:$W$10005,$C17)&gt;0,SUMIFS('①在庫を貼る'!$K$6:$K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K$6:$K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K$6:$K$10005,'月1回_2ヶ月前の在庫'!$V$6:$V$10005,'設定'!$C$4,'月1回_2ヶ月前の在庫'!$W$6:$W$10005,$C17)/COUNTIFS('月1回_2ヶ月前の在庫'!$V$6:$V$10005,'設定'!$C$4,'月1回_2ヶ月前の在庫'!$W$6:$W$10005,$C17),0)))))))</f>
        <v/>
      </c>
      <c r="H17">
        <f>IF($C17="","",N(IFERROR(IF(INDEX('商品マスタ'!$G$6:$G$1005,MATCH($C17,'商品マスタ'!$B$6:$B$1005,0))="",IF(COUNTIFS('①在庫を貼る'!$V$6:$V$10005,'設定'!$C$4,'①在庫を貼る'!$W$6:$W$10005,$C17)&gt;0,SUMIFS('①在庫を貼る'!$Q$6:$Q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Q$6:$Q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Q$6:$Q$10005,'月1回_2ヶ月前の在庫'!$V$6:$V$10005,'設定'!$C$4,'月1回_2ヶ月前の在庫'!$W$6:$W$10005,$C17)/COUNTIFS('月1回_2ヶ月前の在庫'!$V$6:$V$10005,'設定'!$C$4,'月1回_2ヶ月前の在庫'!$W$6:$W$10005,$C17),0))),INDEX('商品マスタ'!$G$6:$G$1005,MATCH($C17,'商品マスタ'!$B$6:$B$1005,0))),IF(COUNTIFS('①在庫を貼る'!$V$6:$V$10005,'設定'!$C$4,'①在庫を貼る'!$W$6:$W$10005,$C17)&gt;0,SUMIFS('①在庫を貼る'!$Q$6:$Q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Q$6:$Q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Q$6:$Q$10005,'月1回_2ヶ月前の在庫'!$V$6:$V$10005,'設定'!$C$4,'月1回_2ヶ月前の在庫'!$W$6:$W$10005,$C17)/COUNTIFS('月1回_2ヶ月前の在庫'!$V$6:$V$10005,'設定'!$C$4,'月1回_2ヶ月前の在庫'!$W$6:$W$10005,$C17),0))))))</f>
        <v/>
      </c>
      <c r="I17">
        <f>IF($C17="","",IF(COUNTIFS('①在庫を貼る'!$V$6:$V$10005,'設定'!$C$4,'①在庫を貼る'!$W$6:$W$10005,$C17)=0,"",SUMIFS('①在庫を貼る'!$N$6:$N$10005,'①在庫を貼る'!$V$6:$V$10005,'設定'!$C$4,'①在庫を貼る'!$W$6:$W$10005,$C17)))</f>
        <v/>
      </c>
      <c r="J17">
        <f>IF($C17="","",IF('②発注する'!$AD21="","",'②発注する'!$AD21))</f>
        <v/>
      </c>
      <c r="K17" s="90">
        <f>IF($C17="","",IF('②発注する'!$AE21="","",'②発注する'!$AE21))</f>
        <v/>
      </c>
      <c r="L17">
        <f>IF($C17="","",IF(AND(ISNUMBER($J17),ISNUMBER($K17),$K17&gt;='設定'!$C$6),$J17,N($I17)))</f>
        <v/>
      </c>
      <c r="M17">
        <f>IF($C17="","",IFERROR(IF(N(INDEX('商品マスタ'!$J$6:$J$1005,MATCH($C17,'商品マスタ'!$B$6:$B$1005,0)))&gt;0,INDEX('商品マスタ'!$J$6:$J$1005,MATCH($C17,'商品マスタ'!$B$6:$B$1005,0)),""),""))</f>
        <v/>
      </c>
      <c r="N17">
        <f>IF($C17="","",IFERROR(IF(N(INDEX('商品マスタ'!$H$6:$H$1005,MATCH($C17,'商品マスタ'!$B$6:$B$1005,0)))&gt;0,INDEX('商品マスタ'!$H$6:$H$1005,MATCH($C17,'商品マスタ'!$B$6:$B$1005,0)),""),""))</f>
        <v/>
      </c>
      <c r="O17">
        <f>IF($C17="","",IF($N17&lt;&gt;"",$N17*$G17,IF(N(IF(COUNTIFS('①在庫を貼る'!$V$6:$V$10005,'設定'!$C$4,'①在庫を貼る'!$W$6:$W$10005,$C17)&gt;0,SUMIFS('①在庫を貼る'!$O$6:$O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O$6:$O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O$6:$O$10005,'月1回_2ヶ月前の在庫'!$V$6:$V$10005,'設定'!$C$4,'月1回_2ヶ月前の在庫'!$W$6:$W$10005,$C17)/COUNTIFS('月1回_2ヶ月前の在庫'!$V$6:$V$10005,'設定'!$C$4,'月1回_2ヶ月前の在庫'!$W$6:$W$10005,$C17),0))))&gt;0,N(IF(COUNTIFS('①在庫を貼る'!$V$6:$V$10005,'設定'!$C$4,'①在庫を貼る'!$W$6:$W$10005,$C17)&gt;0,SUMIFS('①在庫を貼る'!$O$6:$O$10005,'①在庫を貼る'!$V$6:$V$10005,'設定'!$C$4,'①在庫を貼る'!$W$6:$W$10005,$C17)/COUNTIFS('①在庫を貼る'!$V$6:$V$10005,'設定'!$C$4,'①在庫を貼る'!$W$6:$W$10005,$C17),IF(COUNTIFS('月1回_1ヶ月前の在庫'!$V$6:$V$10005,'設定'!$C$4,'月1回_1ヶ月前の在庫'!$W$6:$W$10005,$C17)&gt;0,SUMIFS('月1回_1ヶ月前の在庫'!$O$6:$O$10005,'月1回_1ヶ月前の在庫'!$V$6:$V$10005,'設定'!$C$4,'月1回_1ヶ月前の在庫'!$W$6:$W$10005,$C17)/COUNTIFS('月1回_1ヶ月前の在庫'!$V$6:$V$10005,'設定'!$C$4,'月1回_1ヶ月前の在庫'!$W$6:$W$10005,$C17),IF(COUNTIFS('月1回_2ヶ月前の在庫'!$V$6:$V$10005,'設定'!$C$4,'月1回_2ヶ月前の在庫'!$W$6:$W$10005,$C17)&gt;0,SUMIFS('月1回_2ヶ月前の在庫'!$O$6:$O$10005,'月1回_2ヶ月前の在庫'!$V$6:$V$10005,'設定'!$C$4,'月1回_2ヶ月前の在庫'!$W$6:$W$10005,$C17)/COUNTIFS('月1回_2ヶ月前の在庫'!$V$6:$V$10005,'設定'!$C$4,'月1回_2ヶ月前の在庫'!$W$6:$W$10005,$C17),0)))),"")))</f>
        <v/>
      </c>
      <c r="P17" s="90">
        <f>IF($C17="","",IF('②発注する'!$I21="","",'②発注する'!$I21))</f>
        <v/>
      </c>
      <c r="Q17">
        <f>IF($C17="","",IF('②発注する'!$J21="","",'②発注する'!$J21))</f>
        <v/>
      </c>
      <c r="R17">
        <f>IF($C17="",0,IF(AND(ISNUMBER($P17),ISNUMBER($Q17)),MAX(0,$Q17)*$G17,0))</f>
        <v/>
      </c>
      <c r="S17" s="90">
        <f>IF($C17="","",IF('②発注する'!$M21="","",'②発注する'!$M21))</f>
        <v/>
      </c>
      <c r="T17">
        <f>IF($C17="","",IF('②発注する'!$N21="","",'②発注する'!$N21))</f>
        <v/>
      </c>
      <c r="U17">
        <f>IF($C17="",0,IF(AND(ISNUMBER($S17),ISNUMBER($T17)),MAX(0,$T17)*$G17,0))</f>
        <v/>
      </c>
      <c r="V17">
        <f>IF($C17="",0,IF($M17="",0,MAX(0,$M17)*MAX(0,V$4)/100))</f>
        <v/>
      </c>
      <c r="W17">
        <f>IF($C17="",0,IF($M17="",0,MAX(0,$M17)*MAX(0,W$4)/100))</f>
        <v/>
      </c>
      <c r="X17">
        <f>IF($C17="",0,IF($M17="",0,MAX(0,$M17)*MAX(0,X$4)/100))</f>
        <v/>
      </c>
      <c r="Y17">
        <f>IF($C17="",0,IF($M17="",0,MAX(0,$M17)*MAX(0,Y$4)/100))</f>
        <v/>
      </c>
      <c r="Z17">
        <f>IF($C17="",0,IF($M17="",0,MAX(0,$M17)*MAX(0,Z$4)/100))</f>
        <v/>
      </c>
      <c r="AA17">
        <f>IF($C17="",0,IF($M17="",0,MAX(0,$M17)*MAX(0,AA$4)/100))</f>
        <v/>
      </c>
      <c r="AB17">
        <f>IF($C17="",0,IF($M17="",0,MAX(0,$M17)*MAX(0,AB$4)/100))</f>
        <v/>
      </c>
      <c r="AC17">
        <f>IF($C17="",0,IF($M17="",0,MAX(0,$M17)*MAX(0,AC$4)/100))</f>
        <v/>
      </c>
      <c r="AD17">
        <f>IF($C17="",0,IF($M17="",0,MAX(0,$M17)*MAX(0,AD$4)/100))</f>
        <v/>
      </c>
      <c r="AE17">
        <f>IF($C17="",0,IF($M17="",0,MAX(0,$M17)*MAX(0,AE$4)/100))</f>
        <v/>
      </c>
      <c r="AF17">
        <f>IF($C17="",0,IF($M17="",0,MAX(0,$M17)*MAX(0,AF$4)/100))</f>
        <v/>
      </c>
      <c r="AG17">
        <f>IF($C17="",0,IF($M17="",0,MAX(0,$M17)*MAX(0,AG$4)/100))</f>
        <v/>
      </c>
      <c r="AH17">
        <f>IF($C17="",0,IF($M17="",0,MAX(0,$M17)*MAX(0,AH$4)/100))</f>
        <v/>
      </c>
      <c r="AI17">
        <f>IF($C17="",0,IF($M17="",0,MAX(0,$M17)*MAX(0,AI$4)/100))</f>
        <v/>
      </c>
      <c r="AJ17">
        <f>IF($C17="",0,MAX(0,MAX(0,N($L17))-$V17))</f>
        <v/>
      </c>
      <c r="AK17">
        <f>IF($C17="",0,MAX(0,$AJ17-$W17))</f>
        <v/>
      </c>
      <c r="AL17">
        <f>IF($C17="",0,MAX(0,$AK17-$X17))</f>
        <v/>
      </c>
      <c r="AM17">
        <f>IF($C17="",0,MAX(0,$AL17-$Y17))</f>
        <v/>
      </c>
      <c r="AN17">
        <f>IF($C17="",0,MAX(0,$AM17-$Z17))</f>
        <v/>
      </c>
      <c r="AO17">
        <f>IF($C17="",0,MAX(0,$AN17-$AA17))</f>
        <v/>
      </c>
      <c r="AP17">
        <f>IF($C17="",0,MAX(0,$AO17-$AB17))</f>
        <v/>
      </c>
      <c r="AQ17">
        <f>IF($C17="",0,MAX(0,$AP17-$AC17))</f>
        <v/>
      </c>
      <c r="AR17">
        <f>IF($C17="",0,MAX(0,$AQ17-$AD17))</f>
        <v/>
      </c>
      <c r="AS17">
        <f>IF($C17="",0,MAX(0,$AR17-$AE17))</f>
        <v/>
      </c>
      <c r="AT17">
        <f>IF($C17="",0,MAX(0,$AS17-$AF17))</f>
        <v/>
      </c>
      <c r="AU17">
        <f>IF($C17="",0,MAX(0,$AT17-$AG17))</f>
        <v/>
      </c>
      <c r="AV17">
        <f>IF($C17="",0,MAX(0,$AU17-$AH17))</f>
        <v/>
      </c>
      <c r="AW17">
        <f>IF($C17="",0,MAX(0,$AV17-$AI17))</f>
        <v/>
      </c>
      <c r="AX17">
        <f>IF($C17="",0,MAX(0,MAX(0,N($L17))+IF($P17=V$3,$R17,0)+IF($S17=V$3,$U17,0)-$V17))</f>
        <v/>
      </c>
      <c r="AY17">
        <f>IF($C17="",0,MAX(0,$AX17+IF($P17=W$3,$R17,0)+IF($S17=W$3,$U17,0)-$W17))</f>
        <v/>
      </c>
      <c r="AZ17">
        <f>IF($C17="",0,MAX(0,$AY17+IF($P17=X$3,$R17,0)+IF($S17=X$3,$U17,0)-$X17))</f>
        <v/>
      </c>
      <c r="BA17">
        <f>IF($C17="",0,MAX(0,$AZ17+IF($P17=Y$3,$R17,0)+IF($S17=Y$3,$U17,0)-$Y17))</f>
        <v/>
      </c>
      <c r="BB17">
        <f>IF($C17="",0,MAX(0,$BA17+IF($P17=Z$3,$R17,0)+IF($S17=Z$3,$U17,0)-$Z17))</f>
        <v/>
      </c>
      <c r="BC17">
        <f>IF($C17="",0,MAX(0,$BB17+IF($P17=AA$3,$R17,0)+IF($S17=AA$3,$U17,0)-$AA17))</f>
        <v/>
      </c>
      <c r="BD17">
        <f>IF($C17="",0,MAX(0,$BC17+IF($P17=AB$3,$R17,0)+IF($S17=AB$3,$U17,0)-$AB17))</f>
        <v/>
      </c>
      <c r="BE17">
        <f>IF($C17="",0,MAX(0,$BD17+IF($P17=AC$3,$R17,0)+IF($S17=AC$3,$U17,0)-$AC17))</f>
        <v/>
      </c>
      <c r="BF17">
        <f>IF($C17="",0,MAX(0,$BE17+IF($P17=AD$3,$R17,0)+IF($S17=AD$3,$U17,0)-$AD17))</f>
        <v/>
      </c>
      <c r="BG17">
        <f>IF($C17="",0,MAX(0,$BF17+IF($P17=AE$3,$R17,0)+IF($S17=AE$3,$U17,0)-$AE17))</f>
        <v/>
      </c>
      <c r="BH17">
        <f>IF($C17="",0,MAX(0,$BG17+IF($P17=AF$3,$R17,0)+IF($S17=AF$3,$U17,0)-$AF17))</f>
        <v/>
      </c>
      <c r="BI17">
        <f>IF($C17="",0,MAX(0,$BH17+IF($P17=AG$3,$R17,0)+IF($S17=AG$3,$U17,0)-$AG17))</f>
        <v/>
      </c>
      <c r="BJ17">
        <f>IF($C17="",0,MAX(0,$BI17+IF($P17=AH$3,$R17,0)+IF($S17=AH$3,$U17,0)-$AH17))</f>
        <v/>
      </c>
      <c r="BK17">
        <f>IF($C17="",0,MAX(0,$BJ17+IF($P17=AI$3,$R17,0)+IF($S17=AI$3,$U17,0)-$AI17))</f>
        <v/>
      </c>
      <c r="BL17">
        <f>IF($C17="",99,IF(AND($AX17&lt;1,V$3&gt;=MAX(N($P17),N($S17))),0,99))</f>
        <v/>
      </c>
      <c r="BM17">
        <f>IF($C17="",99,IF(AND($AY17&lt;1,W$3&gt;=MAX(N($P17),N($S17))),1,99))</f>
        <v/>
      </c>
      <c r="BN17">
        <f>IF($C17="",99,IF(AND($AZ17&lt;1,X$3&gt;=MAX(N($P17),N($S17))),2,99))</f>
        <v/>
      </c>
      <c r="BO17">
        <f>IF($C17="",99,IF(AND($BA17&lt;1,Y$3&gt;=MAX(N($P17),N($S17))),3,99))</f>
        <v/>
      </c>
      <c r="BP17">
        <f>IF($C17="",99,IF(AND($BB17&lt;1,Z$3&gt;=MAX(N($P17),N($S17))),4,99))</f>
        <v/>
      </c>
      <c r="BQ17">
        <f>IF($C17="",99,IF(AND($BC17&lt;1,AA$3&gt;=MAX(N($P17),N($S17))),5,99))</f>
        <v/>
      </c>
      <c r="BR17">
        <f>IF($C17="",99,IF(AND($BD17&lt;1,AB$3&gt;=MAX(N($P17),N($S17))),6,99))</f>
        <v/>
      </c>
      <c r="BS17">
        <f>IF($C17="",99,IF(AND($BE17&lt;1,AC$3&gt;=MAX(N($P17),N($S17))),7,99))</f>
        <v/>
      </c>
      <c r="BT17">
        <f>IF($C17="",99,IF(AND($BF17&lt;1,AD$3&gt;=MAX(N($P17),N($S17))),8,99))</f>
        <v/>
      </c>
      <c r="BU17">
        <f>IF($C17="",99,IF(AND($BG17&lt;1,AE$3&gt;=MAX(N($P17),N($S17))),9,99))</f>
        <v/>
      </c>
      <c r="BV17">
        <f>IF($C17="",99,IF(AND($BH17&lt;1,AF$3&gt;=MAX(N($P17),N($S17))),10,99))</f>
        <v/>
      </c>
      <c r="BW17">
        <f>IF($C17="",99,IF(AND($BI17&lt;1,AG$3&gt;=MAX(N($P17),N($S17))),11,99))</f>
        <v/>
      </c>
      <c r="BX17">
        <f>IF($C17="",99,IF(AND($BJ17&lt;1,AH$3&gt;=MAX(N($P17),N($S17))),12,99))</f>
        <v/>
      </c>
      <c r="BY17">
        <f>IF($C17="",99,IF(AND($BK17&lt;1,AI$3&gt;=MAX(N($P17),N($S17))),13,99))</f>
        <v/>
      </c>
      <c r="BZ17">
        <f>IF(OR($C17="",$M17=""),"",COUNTIF($AJ17:$AW17,"&gt;=1"))</f>
        <v/>
      </c>
      <c r="CA17" s="90">
        <f>IF($BZ17="","",IF($BZ17&gt;=14,"",'設定'!$C$6+$BZ17))</f>
        <v/>
      </c>
      <c r="CB17">
        <f>IF(OR($C17="",$M17=""),"",MIN($BL17:$BY17))</f>
        <v/>
      </c>
      <c r="CC17" s="90">
        <f>IF($CB17="","",IF($CB17&gt;=99,"",'設定'!$C$6+$CB17))</f>
        <v/>
      </c>
      <c r="CD17">
        <f>IF(OR($C17="",$M17=""),"",AVERAGE($V17:$AI17))</f>
        <v/>
      </c>
      <c r="CE17">
        <f>IF($C17="","",IFERROR(IF(MATCH(IF(ISNUMBER($P17),$P17,'設定'!$C$6+N('設定'!$C$7)),$V$3:$AI$3,0)=1,MAX(0,N($L17)),INDEX($AJ17:$AW17,MATCH(IF(ISNUMBER($P17),$P17,'設定'!$C$6+N('設定'!$C$7)),$V$3:$AI$3,0)-1)),""))</f>
        <v/>
      </c>
      <c r="CF17">
        <f>IF(OR($C17="",$O17="",$CE17=""),"",IF($O17-$CE17&lt;=0,0,ROUNDUP(($O17-$CE17)/$G17,0)))</f>
        <v/>
      </c>
      <c r="CG17">
        <f>IF(OR($C17="",$CF17="",NOT(ISNUMBER($Q17))),0,MAX(0,$Q17-$CF17))</f>
        <v/>
      </c>
      <c r="CH17">
        <f>IF(OR($C17="",$O17="",$U17=0),0,IFERROR(ROUNDUP(MAX(0,IF(MATCH($S17,$V$3:$AI$3,0)=1,MAX(0,N($L17)),INDEX($AX17:$BK17,MATCH($S17,$V$3:$AI$3,0)-1))+$U17-$O17)/$G17,0),0))</f>
        <v/>
      </c>
      <c r="CI17">
        <f>IF($C17="","",IF(AND($P17="",$Q17=""),"",IF($P17="","⚠ 入庫日を ▼ から選んでください",IF(NOT(ISNUMBER($P17)),"⚠ 入庫日は ▼ から選んでください",IF($P17&lt;N('設定'!$C$6),"⚠ 入庫日が過去です（もう在庫に入っています）→ 消してください",IF($P17&gt;N('設定'!$C$6)+13,"⚠ 入庫日が14日より先です",IF(N($Q17)&lt;=0,"⚠ 入庫数を入れてください",IF($CG17&gt;0,"⚠ 目安より "&amp;$CG17&amp;" 多い（定数を超える）→ 減らす",""))))))))</f>
        <v/>
      </c>
      <c r="CJ17">
        <f>IF($C17="","",IF(AND($S17="",$T17=""),"",IF($S17="","⚠ 2便目：入庫日を ▼ から選んでください",IF(NOT(ISNUMBER($S17)),"⚠ 2便目：入庫日は ▼ から選んでください",IF($S17&lt;N('設定'!$C$6),"⚠ 2便目：入庫日が過去です（もう在庫に入っています）→ 消してください",IF($S17&gt;N('設定'!$C$6)+13,"⚠ 2便目：入庫日が14日より先です",IF(N($T17)&lt;=0,"⚠ 2便目：入庫数を入れてください",IF($CH17&gt;0,"⚠ 2便目：定数を "&amp;$CH17&amp;" ケース超える → 減らす",""))))))))</f>
        <v/>
      </c>
      <c r="CK17">
        <f>IF(AND($CI17="",N($Q17)&gt;0,ISNUMBER($P17)),1,0)</f>
        <v/>
      </c>
      <c r="CL17">
        <f>IF(AND($CJ17="",N($T17)&gt;0,ISNUMBER($S17)),1,0)</f>
        <v/>
      </c>
      <c r="CM17">
        <f>IF(OR($CK17=1,$CL17=1),1,0)</f>
        <v/>
      </c>
      <c r="CN17">
        <f>IF($C17="",0,($CK17*$R17+$CL17*$U17)*N($H17))</f>
        <v/>
      </c>
      <c r="CO17">
        <f>IF($C17="","",IF($CC17="","入庫後は 14日以上もつ",IF($CC17-N('設定'!$C$7)&lt;='設定'!$C$6,"入庫後も "&amp;TEXT($CC17,"m/d")&amp;"("&amp;CHOOSE(WEEKDAY($CC17),"日","月","火","水","木","金","土")&amp;")"&amp;" に切れる　もう1便を至急発注","入庫後も "&amp;TEXT($CC17,"m/d")&amp;"("&amp;CHOOSE(WEEKDAY($CC17),"日","月","火","水","木","金","土")&amp;")"&amp;" に切れる　"&amp;TEXT($CC17-N('設定'!$C$7),"m/d")&amp;"("&amp;CHOOSE(WEEKDAY($CC17-N('設定'!$C$7)),"日","月","火","水","木","金","土")&amp;")"&amp;" までに次を発注")))</f>
        <v/>
      </c>
      <c r="CP17">
        <f>IF($C17="","",IF('設定'!$C$6="","？ ①在庫を貼る に今日のCSVが貼られていない",IF($CS17=1,"－ 今日のCSVに無い（終売？）",IF($L17&lt;0,"● 在庫がマイナス　数えて「数えた在庫」に入れる",IF($L17=0,"● 在庫なし　至急発注",IF($M17="","？ 減り数が未設定（商品マスタ）",IF($B$3=0,"？ 動員が未入力（動員を入れる）",IF($CA17="","○ 14日以上もつ",IF($BZ17&lt;N('設定'!$C$7),"● "&amp;TEXT($CA17,"m/d")&amp;"("&amp;CHOOSE(WEEKDAY($CA17),"日","月","火","水","木","金","土")&amp;")"&amp;" に切れる　至急発注",IF($BZ17=N('設定'!$C$7),"● "&amp;TEXT($CA17,"m/d")&amp;"("&amp;CHOOSE(WEEKDAY($CA17),"日","月","火","水","木","金","土")&amp;")"&amp;" に切れる　今日発注","△ "&amp;TEXT($CA17,"m/d")&amp;"("&amp;CHOOSE(WEEKDAY($CA17),"日","月","火","水","木","金","土")&amp;")"&amp;" に切れる　"&amp;TEXT($CA17-N('設定'!$C$7),"m/d")&amp;"("&amp;CHOOSE(WEEKDAY($CA17-N('設定'!$C$7)),"日","月","火","水","木","金","土")&amp;")"&amp;" までに発注"))))))))))</f>
        <v/>
      </c>
      <c r="CQ17">
        <f>IF($C17="","",IF(AND($P17="",$Q17="",$S17="",$T17=""),"",IF(AND($P17="",$Q17=""),"⚠ 先に1便目（左の入庫日・入庫数）に入れてください",IF($CI17&lt;&gt;"",$CI17,IF($CJ17&lt;&gt;"",$CJ17,IF($M17="","？ 減り数が未設定（発注書には載ります）",IF($B$3=0,"？ 動員が未入力（発注書には載ります）",IF(AND($CA17&lt;&gt;"",$P17&gt;$CA17),IF($P17&gt;'設定'!$C$6+N('設定'!$C$7),"● "&amp;TEXT($P17,"m/d")&amp;"("&amp;CHOOSE(WEEKDAY($P17),"日","月","火","水","木","金","土")&amp;")"&amp;" の入庫では間に合わない（"&amp;TEXT($CA17,"m/d")&amp;"("&amp;CHOOSE(WEEKDAY($CA17),"日","月","火","水","木","金","土")&amp;")"&amp;" に切れる）　入庫日を早める","△ 欠品 "&amp;TEXT($CA17,"m/d")&amp;"("&amp;CHOOSE(WEEKDAY($CA17),"日","月","火","水","木","金","土")&amp;")"&amp;"〜"&amp;TEXT($P17-1,"m/d")&amp;"("&amp;CHOOSE(WEEKDAY($P17-1),"日","月","火","水","木","金","土")&amp;")"&amp;"　"&amp;$CO17),IF($CC17="","○ "&amp;TEXT($P17,"m/d")&amp;"("&amp;CHOOSE(WEEKDAY($P17),"日","月","火","水","木","金","土")&amp;")"&amp;" 入庫で 14日以上もつ",IF($CC17-N('設定'!$C$7)&lt;='設定'!$C$6,"● 入庫しても "&amp;TEXT($CC17,"m/d")&amp;"("&amp;CHOOSE(WEEKDAY($CC17),"日","月","火","水","木","金","土")&amp;")"&amp;" に切れる　もう1便を至急発注（2便目に入れる）","△ 入庫しても "&amp;TEXT($CC17,"m/d")&amp;"("&amp;CHOOSE(WEEKDAY($CC17),"日","月","火","水","木","金","土")&amp;")"&amp;" に切れる　"&amp;TEXT($CC17-N('設定'!$C$7),"m/d")&amp;"("&amp;CHOOSE(WEEKDAY($CC17-N('設定'!$C$7)),"日","月","火","水","木","金","土")&amp;")"&amp;" までに次を発注（2便目に入れる）"))))))))))</f>
        <v/>
      </c>
      <c r="CR17">
        <f>IF($C17="","",IF($G17&gt;1,"ｹｰｽ("&amp;$G17&amp;"入)","個"))</f>
        <v/>
      </c>
      <c r="CS17">
        <f>IF($C17="",0,IF(COUNTIFS('①在庫を貼る'!$V$6:$V$10005,'設定'!$C$4,'①在庫を貼る'!$W$6:$W$10005,$C17)=0,1,0))</f>
        <v/>
      </c>
      <c r="CT17">
        <f>IF(AND($CK17=1,OR('③発注書'!$C$4="すべて",'③発注書'!$C$4="",$F17='③発注書'!$C$4)),N($CT16)+1,N($CT16))</f>
        <v/>
      </c>
      <c r="CU17">
        <f>IF(AND($CL17=1,OR('③発注書'!$C$4="すべて",'③発注書'!$C$4="",$F17='③発注書'!$C$4)),N($CU16)+1,N($CU16))</f>
        <v/>
      </c>
      <c r="CV17">
        <f>IF($C17="",0,IF(COUNTIFS('①在庫を貼る'!$V$6:$V$10005,'設定'!$C$4,'①在庫を貼る'!$W$6:$W$10005,$C17)&gt;0,1,0))</f>
        <v/>
      </c>
      <c r="CW17">
        <f>IF($C17="",0,IF(COUNTIFS('月1回_1ヶ月前の在庫'!$V$6:$V$10005,'設定'!$C$4,'月1回_1ヶ月前の在庫'!$W$6:$W$10005,$C17)&gt;0,1,0))</f>
        <v/>
      </c>
      <c r="CX17">
        <f>IF($C17="",0,IF(COUNTIFS('月1回_2ヶ月前の在庫'!$V$6:$V$10005,'設定'!$C$4,'月1回_2ヶ月前の在庫'!$W$6:$W$10005,$C17)&gt;0,1,0))</f>
        <v/>
      </c>
      <c r="CY17">
        <f>IF(OR($C17="",'設定'!$C$12=""),"",IF('設定'!$C$13="",IF(AND($CV17=1,$CW17=0),"新商品（今月から）",IF(AND($CV17=0,$CW17=1),"終売（今月から）","")),IF(AND($CV17=1,$CW17=0,$CX17=0),"新商品（今月から）",IF(AND($CV17=1,$CW17=1,$CX17=0),"新商品（先月から）",IF(AND($CV17=0,$CW17=1,$CX17=1),"終売（今月から）",IF(AND($CV17=0,$CW17=0,$CX17=1),"終売（先月から）",IF(AND($CV17=1,$CW17=0,$CX17=1),"復活（先月は無し）","")))))))</f>
        <v/>
      </c>
    </row>
    <row r="18">
      <c r="B18">
        <f>IF(13&lt;='設定'!$C$11,13,"")</f>
        <v/>
      </c>
      <c r="C18">
        <f>IF($B18="","",IF($B18&lt;='設定'!$C$20,INDEX('商品マスタ'!$B$6:$B$1005,MATCH($B18,'商品マスタ'!$M$6:$M$1005,0)),IF($B18&lt;='設定'!$C$20+'設定'!$C$17,INDEX('①在庫を貼る'!$W$6:$W$10005,MATCH($B18-'設定'!$C$20,'①在庫を貼る'!$U$6:$U$10005,0)),IF($B18&lt;='設定'!$C$20+'設定'!$C$17+'設定'!$C$18,INDEX('月1回_1ヶ月前の在庫'!$W$6:$W$10005,MATCH($B18-'設定'!$C$20-'設定'!$C$17,'月1回_1ヶ月前の在庫'!$U$6:$U$10005,0)),INDEX('月1回_2ヶ月前の在庫'!$W$6:$W$10005,MATCH($B18-'設定'!$C$20-'設定'!$C$17-'設定'!$C$18,'月1回_2ヶ月前の在庫'!$U$6:$U$10005,0))))))</f>
        <v/>
      </c>
      <c r="D18">
        <f>IF($C18="","",IFERROR(IF(INDEX('商品マスタ'!$C$6:$C$1005,MATCH($C18,'商品マスタ'!$B$6:$B$1005,0))="",IFERROR(INDEX('①在庫を貼る'!$J$6:$J$10005,MATCH($C18,'①在庫を貼る'!$W$6:$W$10005,0)),IFERROR(INDEX('月1回_1ヶ月前の在庫'!$J$6:$J$10005,MATCH($C18,'月1回_1ヶ月前の在庫'!$W$6:$W$10005,0)),IFERROR(INDEX('月1回_2ヶ月前の在庫'!$J$6:$J$10005,MATCH($C18,'月1回_2ヶ月前の在庫'!$W$6:$W$10005,0)),""))),INDEX('商品マスタ'!$C$6:$C$1005,MATCH($C18,'商品マスタ'!$B$6:$B$1005,0))),IFERROR(INDEX('①在庫を貼る'!$J$6:$J$10005,MATCH($C18,'①在庫を貼る'!$W$6:$W$10005,0)),IFERROR(INDEX('月1回_1ヶ月前の在庫'!$J$6:$J$10005,MATCH($C18,'月1回_1ヶ月前の在庫'!$W$6:$W$10005,0)),IFERROR(INDEX('月1回_2ヶ月前の在庫'!$J$6:$J$10005,MATCH($C18,'月1回_2ヶ月前の在庫'!$W$6:$W$10005,0)),"")))))</f>
        <v/>
      </c>
      <c r="E18">
        <f>IF($C18="","",IFERROR(IF(INDEX('商品マスタ'!$D$6:$D$1005,MATCH($C18,'商品マスタ'!$B$6:$B$1005,0))="",IFERROR(INDEX('①在庫を貼る'!$H$6:$H$10005,MATCH($C18,'①在庫を貼る'!$W$6:$W$10005,0)),IFERROR(INDEX('月1回_1ヶ月前の在庫'!$H$6:$H$10005,MATCH($C18,'月1回_1ヶ月前の在庫'!$W$6:$W$10005,0)),IFERROR(INDEX('月1回_2ヶ月前の在庫'!$H$6:$H$10005,MATCH($C18,'月1回_2ヶ月前の在庫'!$W$6:$W$10005,0)),""))),INDEX('商品マスタ'!$D$6:$D$1005,MATCH($C18,'商品マスタ'!$B$6:$B$1005,0))),IFERROR(INDEX('①在庫を貼る'!$H$6:$H$10005,MATCH($C18,'①在庫を貼る'!$W$6:$W$10005,0)),IFERROR(INDEX('月1回_1ヶ月前の在庫'!$H$6:$H$10005,MATCH($C18,'月1回_1ヶ月前の在庫'!$W$6:$W$10005,0)),IFERROR(INDEX('月1回_2ヶ月前の在庫'!$H$6:$H$10005,MATCH($C18,'月1回_2ヶ月前の在庫'!$W$6:$W$10005,0)),"")))))</f>
        <v/>
      </c>
      <c r="F18">
        <f>IF($C18="","",IFERROR(IF(INDEX('商品マスタ'!$E$6:$E$1005,MATCH($C18,'商品マスタ'!$B$6:$B$1005,0))="",IFERROR(INDEX('①在庫を貼る'!$E$6:$E$10005,MATCH($C18,'①在庫を貼る'!$W$6:$W$10005,0)),IFERROR(INDEX('月1回_1ヶ月前の在庫'!$E$6:$E$10005,MATCH($C18,'月1回_1ヶ月前の在庫'!$W$6:$W$10005,0)),IFERROR(INDEX('月1回_2ヶ月前の在庫'!$E$6:$E$10005,MATCH($C18,'月1回_2ヶ月前の在庫'!$W$6:$W$10005,0)),""))),INDEX('商品マスタ'!$E$6:$E$1005,MATCH($C18,'商品マスタ'!$B$6:$B$1005,0))),IFERROR(INDEX('①在庫を貼る'!$E$6:$E$10005,MATCH($C18,'①在庫を貼る'!$W$6:$W$10005,0)),IFERROR(INDEX('月1回_1ヶ月前の在庫'!$E$6:$E$10005,MATCH($C18,'月1回_1ヶ月前の在庫'!$W$6:$W$10005,0)),IFERROR(INDEX('月1回_2ヶ月前の在庫'!$E$6:$E$10005,MATCH($C18,'月1回_2ヶ月前の在庫'!$W$6:$W$10005,0)),"")))))</f>
        <v/>
      </c>
      <c r="G18">
        <f>IF($C18="","",MAX(1,N(IFERROR(IF(INDEX('商品マスタ'!$F$6:$F$1005,MATCH($C18,'商品マスタ'!$B$6:$B$1005,0))="",IF(COUNTIFS('①在庫を貼る'!$V$6:$V$10005,'設定'!$C$4,'①在庫を貼る'!$W$6:$W$10005,$C18)&gt;0,SUMIFS('①在庫を貼る'!$K$6:$K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K$6:$K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K$6:$K$10005,'月1回_2ヶ月前の在庫'!$V$6:$V$10005,'設定'!$C$4,'月1回_2ヶ月前の在庫'!$W$6:$W$10005,$C18)/COUNTIFS('月1回_2ヶ月前の在庫'!$V$6:$V$10005,'設定'!$C$4,'月1回_2ヶ月前の在庫'!$W$6:$W$10005,$C18),0))),INDEX('商品マスタ'!$F$6:$F$1005,MATCH($C18,'商品マスタ'!$B$6:$B$1005,0))),IF(COUNTIFS('①在庫を貼る'!$V$6:$V$10005,'設定'!$C$4,'①在庫を貼る'!$W$6:$W$10005,$C18)&gt;0,SUMIFS('①在庫を貼る'!$K$6:$K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K$6:$K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K$6:$K$10005,'月1回_2ヶ月前の在庫'!$V$6:$V$10005,'設定'!$C$4,'月1回_2ヶ月前の在庫'!$W$6:$W$10005,$C18)/COUNTIFS('月1回_2ヶ月前の在庫'!$V$6:$V$10005,'設定'!$C$4,'月1回_2ヶ月前の在庫'!$W$6:$W$10005,$C18),0)))))))</f>
        <v/>
      </c>
      <c r="H18">
        <f>IF($C18="","",N(IFERROR(IF(INDEX('商品マスタ'!$G$6:$G$1005,MATCH($C18,'商品マスタ'!$B$6:$B$1005,0))="",IF(COUNTIFS('①在庫を貼る'!$V$6:$V$10005,'設定'!$C$4,'①在庫を貼る'!$W$6:$W$10005,$C18)&gt;0,SUMIFS('①在庫を貼る'!$Q$6:$Q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Q$6:$Q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Q$6:$Q$10005,'月1回_2ヶ月前の在庫'!$V$6:$V$10005,'設定'!$C$4,'月1回_2ヶ月前の在庫'!$W$6:$W$10005,$C18)/COUNTIFS('月1回_2ヶ月前の在庫'!$V$6:$V$10005,'設定'!$C$4,'月1回_2ヶ月前の在庫'!$W$6:$W$10005,$C18),0))),INDEX('商品マスタ'!$G$6:$G$1005,MATCH($C18,'商品マスタ'!$B$6:$B$1005,0))),IF(COUNTIFS('①在庫を貼る'!$V$6:$V$10005,'設定'!$C$4,'①在庫を貼る'!$W$6:$W$10005,$C18)&gt;0,SUMIFS('①在庫を貼る'!$Q$6:$Q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Q$6:$Q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Q$6:$Q$10005,'月1回_2ヶ月前の在庫'!$V$6:$V$10005,'設定'!$C$4,'月1回_2ヶ月前の在庫'!$W$6:$W$10005,$C18)/COUNTIFS('月1回_2ヶ月前の在庫'!$V$6:$V$10005,'設定'!$C$4,'月1回_2ヶ月前の在庫'!$W$6:$W$10005,$C18),0))))))</f>
        <v/>
      </c>
      <c r="I18">
        <f>IF($C18="","",IF(COUNTIFS('①在庫を貼る'!$V$6:$V$10005,'設定'!$C$4,'①在庫を貼る'!$W$6:$W$10005,$C18)=0,"",SUMIFS('①在庫を貼る'!$N$6:$N$10005,'①在庫を貼る'!$V$6:$V$10005,'設定'!$C$4,'①在庫を貼る'!$W$6:$W$10005,$C18)))</f>
        <v/>
      </c>
      <c r="J18">
        <f>IF($C18="","",IF('②発注する'!$AD22="","",'②発注する'!$AD22))</f>
        <v/>
      </c>
      <c r="K18" s="90">
        <f>IF($C18="","",IF('②発注する'!$AE22="","",'②発注する'!$AE22))</f>
        <v/>
      </c>
      <c r="L18">
        <f>IF($C18="","",IF(AND(ISNUMBER($J18),ISNUMBER($K18),$K18&gt;='設定'!$C$6),$J18,N($I18)))</f>
        <v/>
      </c>
      <c r="M18">
        <f>IF($C18="","",IFERROR(IF(N(INDEX('商品マスタ'!$J$6:$J$1005,MATCH($C18,'商品マスタ'!$B$6:$B$1005,0)))&gt;0,INDEX('商品マスタ'!$J$6:$J$1005,MATCH($C18,'商品マスタ'!$B$6:$B$1005,0)),""),""))</f>
        <v/>
      </c>
      <c r="N18">
        <f>IF($C18="","",IFERROR(IF(N(INDEX('商品マスタ'!$H$6:$H$1005,MATCH($C18,'商品マスタ'!$B$6:$B$1005,0)))&gt;0,INDEX('商品マスタ'!$H$6:$H$1005,MATCH($C18,'商品マスタ'!$B$6:$B$1005,0)),""),""))</f>
        <v/>
      </c>
      <c r="O18">
        <f>IF($C18="","",IF($N18&lt;&gt;"",$N18*$G18,IF(N(IF(COUNTIFS('①在庫を貼る'!$V$6:$V$10005,'設定'!$C$4,'①在庫を貼る'!$W$6:$W$10005,$C18)&gt;0,SUMIFS('①在庫を貼る'!$O$6:$O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O$6:$O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O$6:$O$10005,'月1回_2ヶ月前の在庫'!$V$6:$V$10005,'設定'!$C$4,'月1回_2ヶ月前の在庫'!$W$6:$W$10005,$C18)/COUNTIFS('月1回_2ヶ月前の在庫'!$V$6:$V$10005,'設定'!$C$4,'月1回_2ヶ月前の在庫'!$W$6:$W$10005,$C18),0))))&gt;0,N(IF(COUNTIFS('①在庫を貼る'!$V$6:$V$10005,'設定'!$C$4,'①在庫を貼る'!$W$6:$W$10005,$C18)&gt;0,SUMIFS('①在庫を貼る'!$O$6:$O$10005,'①在庫を貼る'!$V$6:$V$10005,'設定'!$C$4,'①在庫を貼る'!$W$6:$W$10005,$C18)/COUNTIFS('①在庫を貼る'!$V$6:$V$10005,'設定'!$C$4,'①在庫を貼る'!$W$6:$W$10005,$C18),IF(COUNTIFS('月1回_1ヶ月前の在庫'!$V$6:$V$10005,'設定'!$C$4,'月1回_1ヶ月前の在庫'!$W$6:$W$10005,$C18)&gt;0,SUMIFS('月1回_1ヶ月前の在庫'!$O$6:$O$10005,'月1回_1ヶ月前の在庫'!$V$6:$V$10005,'設定'!$C$4,'月1回_1ヶ月前の在庫'!$W$6:$W$10005,$C18)/COUNTIFS('月1回_1ヶ月前の在庫'!$V$6:$V$10005,'設定'!$C$4,'月1回_1ヶ月前の在庫'!$W$6:$W$10005,$C18),IF(COUNTIFS('月1回_2ヶ月前の在庫'!$V$6:$V$10005,'設定'!$C$4,'月1回_2ヶ月前の在庫'!$W$6:$W$10005,$C18)&gt;0,SUMIFS('月1回_2ヶ月前の在庫'!$O$6:$O$10005,'月1回_2ヶ月前の在庫'!$V$6:$V$10005,'設定'!$C$4,'月1回_2ヶ月前の在庫'!$W$6:$W$10005,$C18)/COUNTIFS('月1回_2ヶ月前の在庫'!$V$6:$V$10005,'設定'!$C$4,'月1回_2ヶ月前の在庫'!$W$6:$W$10005,$C18),0)))),"")))</f>
        <v/>
      </c>
      <c r="P18" s="90">
        <f>IF($C18="","",IF('②発注する'!$I22="","",'②発注する'!$I22))</f>
        <v/>
      </c>
      <c r="Q18">
        <f>IF($C18="","",IF('②発注する'!$J22="","",'②発注する'!$J22))</f>
        <v/>
      </c>
      <c r="R18">
        <f>IF($C18="",0,IF(AND(ISNUMBER($P18),ISNUMBER($Q18)),MAX(0,$Q18)*$G18,0))</f>
        <v/>
      </c>
      <c r="S18" s="90">
        <f>IF($C18="","",IF('②発注する'!$M22="","",'②発注する'!$M22))</f>
        <v/>
      </c>
      <c r="T18">
        <f>IF($C18="","",IF('②発注する'!$N22="","",'②発注する'!$N22))</f>
        <v/>
      </c>
      <c r="U18">
        <f>IF($C18="",0,IF(AND(ISNUMBER($S18),ISNUMBER($T18)),MAX(0,$T18)*$G18,0))</f>
        <v/>
      </c>
      <c r="V18">
        <f>IF($C18="",0,IF($M18="",0,MAX(0,$M18)*MAX(0,V$4)/100))</f>
        <v/>
      </c>
      <c r="W18">
        <f>IF($C18="",0,IF($M18="",0,MAX(0,$M18)*MAX(0,W$4)/100))</f>
        <v/>
      </c>
      <c r="X18">
        <f>IF($C18="",0,IF($M18="",0,MAX(0,$M18)*MAX(0,X$4)/100))</f>
        <v/>
      </c>
      <c r="Y18">
        <f>IF($C18="",0,IF($M18="",0,MAX(0,$M18)*MAX(0,Y$4)/100))</f>
        <v/>
      </c>
      <c r="Z18">
        <f>IF($C18="",0,IF($M18="",0,MAX(0,$M18)*MAX(0,Z$4)/100))</f>
        <v/>
      </c>
      <c r="AA18">
        <f>IF($C18="",0,IF($M18="",0,MAX(0,$M18)*MAX(0,AA$4)/100))</f>
        <v/>
      </c>
      <c r="AB18">
        <f>IF($C18="",0,IF($M18="",0,MAX(0,$M18)*MAX(0,AB$4)/100))</f>
        <v/>
      </c>
      <c r="AC18">
        <f>IF($C18="",0,IF($M18="",0,MAX(0,$M18)*MAX(0,AC$4)/100))</f>
        <v/>
      </c>
      <c r="AD18">
        <f>IF($C18="",0,IF($M18="",0,MAX(0,$M18)*MAX(0,AD$4)/100))</f>
        <v/>
      </c>
      <c r="AE18">
        <f>IF($C18="",0,IF($M18="",0,MAX(0,$M18)*MAX(0,AE$4)/100))</f>
        <v/>
      </c>
      <c r="AF18">
        <f>IF($C18="",0,IF($M18="",0,MAX(0,$M18)*MAX(0,AF$4)/100))</f>
        <v/>
      </c>
      <c r="AG18">
        <f>IF($C18="",0,IF($M18="",0,MAX(0,$M18)*MAX(0,AG$4)/100))</f>
        <v/>
      </c>
      <c r="AH18">
        <f>IF($C18="",0,IF($M18="",0,MAX(0,$M18)*MAX(0,AH$4)/100))</f>
        <v/>
      </c>
      <c r="AI18">
        <f>IF($C18="",0,IF($M18="",0,MAX(0,$M18)*MAX(0,AI$4)/100))</f>
        <v/>
      </c>
      <c r="AJ18">
        <f>IF($C18="",0,MAX(0,MAX(0,N($L18))-$V18))</f>
        <v/>
      </c>
      <c r="AK18">
        <f>IF($C18="",0,MAX(0,$AJ18-$W18))</f>
        <v/>
      </c>
      <c r="AL18">
        <f>IF($C18="",0,MAX(0,$AK18-$X18))</f>
        <v/>
      </c>
      <c r="AM18">
        <f>IF($C18="",0,MAX(0,$AL18-$Y18))</f>
        <v/>
      </c>
      <c r="AN18">
        <f>IF($C18="",0,MAX(0,$AM18-$Z18))</f>
        <v/>
      </c>
      <c r="AO18">
        <f>IF($C18="",0,MAX(0,$AN18-$AA18))</f>
        <v/>
      </c>
      <c r="AP18">
        <f>IF($C18="",0,MAX(0,$AO18-$AB18))</f>
        <v/>
      </c>
      <c r="AQ18">
        <f>IF($C18="",0,MAX(0,$AP18-$AC18))</f>
        <v/>
      </c>
      <c r="AR18">
        <f>IF($C18="",0,MAX(0,$AQ18-$AD18))</f>
        <v/>
      </c>
      <c r="AS18">
        <f>IF($C18="",0,MAX(0,$AR18-$AE18))</f>
        <v/>
      </c>
      <c r="AT18">
        <f>IF($C18="",0,MAX(0,$AS18-$AF18))</f>
        <v/>
      </c>
      <c r="AU18">
        <f>IF($C18="",0,MAX(0,$AT18-$AG18))</f>
        <v/>
      </c>
      <c r="AV18">
        <f>IF($C18="",0,MAX(0,$AU18-$AH18))</f>
        <v/>
      </c>
      <c r="AW18">
        <f>IF($C18="",0,MAX(0,$AV18-$AI18))</f>
        <v/>
      </c>
      <c r="AX18">
        <f>IF($C18="",0,MAX(0,MAX(0,N($L18))+IF($P18=V$3,$R18,0)+IF($S18=V$3,$U18,0)-$V18))</f>
        <v/>
      </c>
      <c r="AY18">
        <f>IF($C18="",0,MAX(0,$AX18+IF($P18=W$3,$R18,0)+IF($S18=W$3,$U18,0)-$W18))</f>
        <v/>
      </c>
      <c r="AZ18">
        <f>IF($C18="",0,MAX(0,$AY18+IF($P18=X$3,$R18,0)+IF($S18=X$3,$U18,0)-$X18))</f>
        <v/>
      </c>
      <c r="BA18">
        <f>IF($C18="",0,MAX(0,$AZ18+IF($P18=Y$3,$R18,0)+IF($S18=Y$3,$U18,0)-$Y18))</f>
        <v/>
      </c>
      <c r="BB18">
        <f>IF($C18="",0,MAX(0,$BA18+IF($P18=Z$3,$R18,0)+IF($S18=Z$3,$U18,0)-$Z18))</f>
        <v/>
      </c>
      <c r="BC18">
        <f>IF($C18="",0,MAX(0,$BB18+IF($P18=AA$3,$R18,0)+IF($S18=AA$3,$U18,0)-$AA18))</f>
        <v/>
      </c>
      <c r="BD18">
        <f>IF($C18="",0,MAX(0,$BC18+IF($P18=AB$3,$R18,0)+IF($S18=AB$3,$U18,0)-$AB18))</f>
        <v/>
      </c>
      <c r="BE18">
        <f>IF($C18="",0,MAX(0,$BD18+IF($P18=AC$3,$R18,0)+IF($S18=AC$3,$U18,0)-$AC18))</f>
        <v/>
      </c>
      <c r="BF18">
        <f>IF($C18="",0,MAX(0,$BE18+IF($P18=AD$3,$R18,0)+IF($S18=AD$3,$U18,0)-$AD18))</f>
        <v/>
      </c>
      <c r="BG18">
        <f>IF($C18="",0,MAX(0,$BF18+IF($P18=AE$3,$R18,0)+IF($S18=AE$3,$U18,0)-$AE18))</f>
        <v/>
      </c>
      <c r="BH18">
        <f>IF($C18="",0,MAX(0,$BG18+IF($P18=AF$3,$R18,0)+IF($S18=AF$3,$U18,0)-$AF18))</f>
        <v/>
      </c>
      <c r="BI18">
        <f>IF($C18="",0,MAX(0,$BH18+IF($P18=AG$3,$R18,0)+IF($S18=AG$3,$U18,0)-$AG18))</f>
        <v/>
      </c>
      <c r="BJ18">
        <f>IF($C18="",0,MAX(0,$BI18+IF($P18=AH$3,$R18,0)+IF($S18=AH$3,$U18,0)-$AH18))</f>
        <v/>
      </c>
      <c r="BK18">
        <f>IF($C18="",0,MAX(0,$BJ18+IF($P18=AI$3,$R18,0)+IF($S18=AI$3,$U18,0)-$AI18))</f>
        <v/>
      </c>
      <c r="BL18">
        <f>IF($C18="",99,IF(AND($AX18&lt;1,V$3&gt;=MAX(N($P18),N($S18))),0,99))</f>
        <v/>
      </c>
      <c r="BM18">
        <f>IF($C18="",99,IF(AND($AY18&lt;1,W$3&gt;=MAX(N($P18),N($S18))),1,99))</f>
        <v/>
      </c>
      <c r="BN18">
        <f>IF($C18="",99,IF(AND($AZ18&lt;1,X$3&gt;=MAX(N($P18),N($S18))),2,99))</f>
        <v/>
      </c>
      <c r="BO18">
        <f>IF($C18="",99,IF(AND($BA18&lt;1,Y$3&gt;=MAX(N($P18),N($S18))),3,99))</f>
        <v/>
      </c>
      <c r="BP18">
        <f>IF($C18="",99,IF(AND($BB18&lt;1,Z$3&gt;=MAX(N($P18),N($S18))),4,99))</f>
        <v/>
      </c>
      <c r="BQ18">
        <f>IF($C18="",99,IF(AND($BC18&lt;1,AA$3&gt;=MAX(N($P18),N($S18))),5,99))</f>
        <v/>
      </c>
      <c r="BR18">
        <f>IF($C18="",99,IF(AND($BD18&lt;1,AB$3&gt;=MAX(N($P18),N($S18))),6,99))</f>
        <v/>
      </c>
      <c r="BS18">
        <f>IF($C18="",99,IF(AND($BE18&lt;1,AC$3&gt;=MAX(N($P18),N($S18))),7,99))</f>
        <v/>
      </c>
      <c r="BT18">
        <f>IF($C18="",99,IF(AND($BF18&lt;1,AD$3&gt;=MAX(N($P18),N($S18))),8,99))</f>
        <v/>
      </c>
      <c r="BU18">
        <f>IF($C18="",99,IF(AND($BG18&lt;1,AE$3&gt;=MAX(N($P18),N($S18))),9,99))</f>
        <v/>
      </c>
      <c r="BV18">
        <f>IF($C18="",99,IF(AND($BH18&lt;1,AF$3&gt;=MAX(N($P18),N($S18))),10,99))</f>
        <v/>
      </c>
      <c r="BW18">
        <f>IF($C18="",99,IF(AND($BI18&lt;1,AG$3&gt;=MAX(N($P18),N($S18))),11,99))</f>
        <v/>
      </c>
      <c r="BX18">
        <f>IF($C18="",99,IF(AND($BJ18&lt;1,AH$3&gt;=MAX(N($P18),N($S18))),12,99))</f>
        <v/>
      </c>
      <c r="BY18">
        <f>IF($C18="",99,IF(AND($BK18&lt;1,AI$3&gt;=MAX(N($P18),N($S18))),13,99))</f>
        <v/>
      </c>
      <c r="BZ18">
        <f>IF(OR($C18="",$M18=""),"",COUNTIF($AJ18:$AW18,"&gt;=1"))</f>
        <v/>
      </c>
      <c r="CA18" s="90">
        <f>IF($BZ18="","",IF($BZ18&gt;=14,"",'設定'!$C$6+$BZ18))</f>
        <v/>
      </c>
      <c r="CB18">
        <f>IF(OR($C18="",$M18=""),"",MIN($BL18:$BY18))</f>
        <v/>
      </c>
      <c r="CC18" s="90">
        <f>IF($CB18="","",IF($CB18&gt;=99,"",'設定'!$C$6+$CB18))</f>
        <v/>
      </c>
      <c r="CD18">
        <f>IF(OR($C18="",$M18=""),"",AVERAGE($V18:$AI18))</f>
        <v/>
      </c>
      <c r="CE18">
        <f>IF($C18="","",IFERROR(IF(MATCH(IF(ISNUMBER($P18),$P18,'設定'!$C$6+N('設定'!$C$7)),$V$3:$AI$3,0)=1,MAX(0,N($L18)),INDEX($AJ18:$AW18,MATCH(IF(ISNUMBER($P18),$P18,'設定'!$C$6+N('設定'!$C$7)),$V$3:$AI$3,0)-1)),""))</f>
        <v/>
      </c>
      <c r="CF18">
        <f>IF(OR($C18="",$O18="",$CE18=""),"",IF($O18-$CE18&lt;=0,0,ROUNDUP(($O18-$CE18)/$G18,0)))</f>
        <v/>
      </c>
      <c r="CG18">
        <f>IF(OR($C18="",$CF18="",NOT(ISNUMBER($Q18))),0,MAX(0,$Q18-$CF18))</f>
        <v/>
      </c>
      <c r="CH18">
        <f>IF(OR($C18="",$O18="",$U18=0),0,IFERROR(ROUNDUP(MAX(0,IF(MATCH($S18,$V$3:$AI$3,0)=1,MAX(0,N($L18)),INDEX($AX18:$BK18,MATCH($S18,$V$3:$AI$3,0)-1))+$U18-$O18)/$G18,0),0))</f>
        <v/>
      </c>
      <c r="CI18">
        <f>IF($C18="","",IF(AND($P18="",$Q18=""),"",IF($P18="","⚠ 入庫日を ▼ から選んでください",IF(NOT(ISNUMBER($P18)),"⚠ 入庫日は ▼ から選んでください",IF($P18&lt;N('設定'!$C$6),"⚠ 入庫日が過去です（もう在庫に入っています）→ 消してください",IF($P18&gt;N('設定'!$C$6)+13,"⚠ 入庫日が14日より先です",IF(N($Q18)&lt;=0,"⚠ 入庫数を入れてください",IF($CG18&gt;0,"⚠ 目安より "&amp;$CG18&amp;" 多い（定数を超える）→ 減らす",""))))))))</f>
        <v/>
      </c>
      <c r="CJ18">
        <f>IF($C18="","",IF(AND($S18="",$T18=""),"",IF($S18="","⚠ 2便目：入庫日を ▼ から選んでください",IF(NOT(ISNUMBER($S18)),"⚠ 2便目：入庫日は ▼ から選んでください",IF($S18&lt;N('設定'!$C$6),"⚠ 2便目：入庫日が過去です（もう在庫に入っています）→ 消してください",IF($S18&gt;N('設定'!$C$6)+13,"⚠ 2便目：入庫日が14日より先です",IF(N($T18)&lt;=0,"⚠ 2便目：入庫数を入れてください",IF($CH18&gt;0,"⚠ 2便目：定数を "&amp;$CH18&amp;" ケース超える → 減らす",""))))))))</f>
        <v/>
      </c>
      <c r="CK18">
        <f>IF(AND($CI18="",N($Q18)&gt;0,ISNUMBER($P18)),1,0)</f>
        <v/>
      </c>
      <c r="CL18">
        <f>IF(AND($CJ18="",N($T18)&gt;0,ISNUMBER($S18)),1,0)</f>
        <v/>
      </c>
      <c r="CM18">
        <f>IF(OR($CK18=1,$CL18=1),1,0)</f>
        <v/>
      </c>
      <c r="CN18">
        <f>IF($C18="",0,($CK18*$R18+$CL18*$U18)*N($H18))</f>
        <v/>
      </c>
      <c r="CO18">
        <f>IF($C18="","",IF($CC18="","入庫後は 14日以上もつ",IF($CC18-N('設定'!$C$7)&lt;='設定'!$C$6,"入庫後も "&amp;TEXT($CC18,"m/d")&amp;"("&amp;CHOOSE(WEEKDAY($CC18),"日","月","火","水","木","金","土")&amp;")"&amp;" に切れる　もう1便を至急発注","入庫後も "&amp;TEXT($CC18,"m/d")&amp;"("&amp;CHOOSE(WEEKDAY($CC18),"日","月","火","水","木","金","土")&amp;")"&amp;" に切れる　"&amp;TEXT($CC18-N('設定'!$C$7),"m/d")&amp;"("&amp;CHOOSE(WEEKDAY($CC18-N('設定'!$C$7)),"日","月","火","水","木","金","土")&amp;")"&amp;" までに次を発注")))</f>
        <v/>
      </c>
      <c r="CP18">
        <f>IF($C18="","",IF('設定'!$C$6="","？ ①在庫を貼る に今日のCSVが貼られていない",IF($CS18=1,"－ 今日のCSVに無い（終売？）",IF($L18&lt;0,"● 在庫がマイナス　数えて「数えた在庫」に入れる",IF($L18=0,"● 在庫なし　至急発注",IF($M18="","？ 減り数が未設定（商品マスタ）",IF($B$3=0,"？ 動員が未入力（動員を入れる）",IF($CA18="","○ 14日以上もつ",IF($BZ18&lt;N('設定'!$C$7),"● "&amp;TEXT($CA18,"m/d")&amp;"("&amp;CHOOSE(WEEKDAY($CA18),"日","月","火","水","木","金","土")&amp;")"&amp;" に切れる　至急発注",IF($BZ18=N('設定'!$C$7),"● "&amp;TEXT($CA18,"m/d")&amp;"("&amp;CHOOSE(WEEKDAY($CA18),"日","月","火","水","木","金","土")&amp;")"&amp;" に切れる　今日発注","△ "&amp;TEXT($CA18,"m/d")&amp;"("&amp;CHOOSE(WEEKDAY($CA18),"日","月","火","水","木","金","土")&amp;")"&amp;" に切れる　"&amp;TEXT($CA18-N('設定'!$C$7),"m/d")&amp;"("&amp;CHOOSE(WEEKDAY($CA18-N('設定'!$C$7)),"日","月","火","水","木","金","土")&amp;")"&amp;" までに発注"))))))))))</f>
        <v/>
      </c>
      <c r="CQ18">
        <f>IF($C18="","",IF(AND($P18="",$Q18="",$S18="",$T18=""),"",IF(AND($P18="",$Q18=""),"⚠ 先に1便目（左の入庫日・入庫数）に入れてください",IF($CI18&lt;&gt;"",$CI18,IF($CJ18&lt;&gt;"",$CJ18,IF($M18="","？ 減り数が未設定（発注書には載ります）",IF($B$3=0,"？ 動員が未入力（発注書には載ります）",IF(AND($CA18&lt;&gt;"",$P18&gt;$CA18),IF($P18&gt;'設定'!$C$6+N('設定'!$C$7),"● "&amp;TEXT($P18,"m/d")&amp;"("&amp;CHOOSE(WEEKDAY($P18),"日","月","火","水","木","金","土")&amp;")"&amp;" の入庫では間に合わない（"&amp;TEXT($CA18,"m/d")&amp;"("&amp;CHOOSE(WEEKDAY($CA18),"日","月","火","水","木","金","土")&amp;")"&amp;" に切れる）　入庫日を早める","△ 欠品 "&amp;TEXT($CA18,"m/d")&amp;"("&amp;CHOOSE(WEEKDAY($CA18),"日","月","火","水","木","金","土")&amp;")"&amp;"〜"&amp;TEXT($P18-1,"m/d")&amp;"("&amp;CHOOSE(WEEKDAY($P18-1),"日","月","火","水","木","金","土")&amp;")"&amp;"　"&amp;$CO18),IF($CC18="","○ "&amp;TEXT($P18,"m/d")&amp;"("&amp;CHOOSE(WEEKDAY($P18),"日","月","火","水","木","金","土")&amp;")"&amp;" 入庫で 14日以上もつ",IF($CC18-N('設定'!$C$7)&lt;='設定'!$C$6,"● 入庫しても "&amp;TEXT($CC18,"m/d")&amp;"("&amp;CHOOSE(WEEKDAY($CC18),"日","月","火","水","木","金","土")&amp;")"&amp;" に切れる　もう1便を至急発注（2便目に入れる）","△ 入庫しても "&amp;TEXT($CC18,"m/d")&amp;"("&amp;CHOOSE(WEEKDAY($CC18),"日","月","火","水","木","金","土")&amp;")"&amp;" に切れる　"&amp;TEXT($CC18-N('設定'!$C$7),"m/d")&amp;"("&amp;CHOOSE(WEEKDAY($CC18-N('設定'!$C$7)),"日","月","火","水","木","金","土")&amp;")"&amp;" までに次を発注（2便目に入れる）"))))))))))</f>
        <v/>
      </c>
      <c r="CR18">
        <f>IF($C18="","",IF($G18&gt;1,"ｹｰｽ("&amp;$G18&amp;"入)","個"))</f>
        <v/>
      </c>
      <c r="CS18">
        <f>IF($C18="",0,IF(COUNTIFS('①在庫を貼る'!$V$6:$V$10005,'設定'!$C$4,'①在庫を貼る'!$W$6:$W$10005,$C18)=0,1,0))</f>
        <v/>
      </c>
      <c r="CT18">
        <f>IF(AND($CK18=1,OR('③発注書'!$C$4="すべて",'③発注書'!$C$4="",$F18='③発注書'!$C$4)),N($CT17)+1,N($CT17))</f>
        <v/>
      </c>
      <c r="CU18">
        <f>IF(AND($CL18=1,OR('③発注書'!$C$4="すべて",'③発注書'!$C$4="",$F18='③発注書'!$C$4)),N($CU17)+1,N($CU17))</f>
        <v/>
      </c>
      <c r="CV18">
        <f>IF($C18="",0,IF(COUNTIFS('①在庫を貼る'!$V$6:$V$10005,'設定'!$C$4,'①在庫を貼る'!$W$6:$W$10005,$C18)&gt;0,1,0))</f>
        <v/>
      </c>
      <c r="CW18">
        <f>IF($C18="",0,IF(COUNTIFS('月1回_1ヶ月前の在庫'!$V$6:$V$10005,'設定'!$C$4,'月1回_1ヶ月前の在庫'!$W$6:$W$10005,$C18)&gt;0,1,0))</f>
        <v/>
      </c>
      <c r="CX18">
        <f>IF($C18="",0,IF(COUNTIFS('月1回_2ヶ月前の在庫'!$V$6:$V$10005,'設定'!$C$4,'月1回_2ヶ月前の在庫'!$W$6:$W$10005,$C18)&gt;0,1,0))</f>
        <v/>
      </c>
      <c r="CY18">
        <f>IF(OR($C18="",'設定'!$C$12=""),"",IF('設定'!$C$13="",IF(AND($CV18=1,$CW18=0),"新商品（今月から）",IF(AND($CV18=0,$CW18=1),"終売（今月から）","")),IF(AND($CV18=1,$CW18=0,$CX18=0),"新商品（今月から）",IF(AND($CV18=1,$CW18=1,$CX18=0),"新商品（先月から）",IF(AND($CV18=0,$CW18=1,$CX18=1),"終売（今月から）",IF(AND($CV18=0,$CW18=0,$CX18=1),"終売（先月から）",IF(AND($CV18=1,$CW18=0,$CX18=1),"復活（先月は無し）","")))))))</f>
        <v/>
      </c>
    </row>
    <row r="19">
      <c r="B19">
        <f>IF(14&lt;='設定'!$C$11,14,"")</f>
        <v/>
      </c>
      <c r="C19">
        <f>IF($B19="","",IF($B19&lt;='設定'!$C$20,INDEX('商品マスタ'!$B$6:$B$1005,MATCH($B19,'商品マスタ'!$M$6:$M$1005,0)),IF($B19&lt;='設定'!$C$20+'設定'!$C$17,INDEX('①在庫を貼る'!$W$6:$W$10005,MATCH($B19-'設定'!$C$20,'①在庫を貼る'!$U$6:$U$10005,0)),IF($B19&lt;='設定'!$C$20+'設定'!$C$17+'設定'!$C$18,INDEX('月1回_1ヶ月前の在庫'!$W$6:$W$10005,MATCH($B19-'設定'!$C$20-'設定'!$C$17,'月1回_1ヶ月前の在庫'!$U$6:$U$10005,0)),INDEX('月1回_2ヶ月前の在庫'!$W$6:$W$10005,MATCH($B19-'設定'!$C$20-'設定'!$C$17-'設定'!$C$18,'月1回_2ヶ月前の在庫'!$U$6:$U$10005,0))))))</f>
        <v/>
      </c>
      <c r="D19">
        <f>IF($C19="","",IFERROR(IF(INDEX('商品マスタ'!$C$6:$C$1005,MATCH($C19,'商品マスタ'!$B$6:$B$1005,0))="",IFERROR(INDEX('①在庫を貼る'!$J$6:$J$10005,MATCH($C19,'①在庫を貼る'!$W$6:$W$10005,0)),IFERROR(INDEX('月1回_1ヶ月前の在庫'!$J$6:$J$10005,MATCH($C19,'月1回_1ヶ月前の在庫'!$W$6:$W$10005,0)),IFERROR(INDEX('月1回_2ヶ月前の在庫'!$J$6:$J$10005,MATCH($C19,'月1回_2ヶ月前の在庫'!$W$6:$W$10005,0)),""))),INDEX('商品マスタ'!$C$6:$C$1005,MATCH($C19,'商品マスタ'!$B$6:$B$1005,0))),IFERROR(INDEX('①在庫を貼る'!$J$6:$J$10005,MATCH($C19,'①在庫を貼る'!$W$6:$W$10005,0)),IFERROR(INDEX('月1回_1ヶ月前の在庫'!$J$6:$J$10005,MATCH($C19,'月1回_1ヶ月前の在庫'!$W$6:$W$10005,0)),IFERROR(INDEX('月1回_2ヶ月前の在庫'!$J$6:$J$10005,MATCH($C19,'月1回_2ヶ月前の在庫'!$W$6:$W$10005,0)),"")))))</f>
        <v/>
      </c>
      <c r="E19">
        <f>IF($C19="","",IFERROR(IF(INDEX('商品マスタ'!$D$6:$D$1005,MATCH($C19,'商品マスタ'!$B$6:$B$1005,0))="",IFERROR(INDEX('①在庫を貼る'!$H$6:$H$10005,MATCH($C19,'①在庫を貼る'!$W$6:$W$10005,0)),IFERROR(INDEX('月1回_1ヶ月前の在庫'!$H$6:$H$10005,MATCH($C19,'月1回_1ヶ月前の在庫'!$W$6:$W$10005,0)),IFERROR(INDEX('月1回_2ヶ月前の在庫'!$H$6:$H$10005,MATCH($C19,'月1回_2ヶ月前の在庫'!$W$6:$W$10005,0)),""))),INDEX('商品マスタ'!$D$6:$D$1005,MATCH($C19,'商品マスタ'!$B$6:$B$1005,0))),IFERROR(INDEX('①在庫を貼る'!$H$6:$H$10005,MATCH($C19,'①在庫を貼る'!$W$6:$W$10005,0)),IFERROR(INDEX('月1回_1ヶ月前の在庫'!$H$6:$H$10005,MATCH($C19,'月1回_1ヶ月前の在庫'!$W$6:$W$10005,0)),IFERROR(INDEX('月1回_2ヶ月前の在庫'!$H$6:$H$10005,MATCH($C19,'月1回_2ヶ月前の在庫'!$W$6:$W$10005,0)),"")))))</f>
        <v/>
      </c>
      <c r="F19">
        <f>IF($C19="","",IFERROR(IF(INDEX('商品マスタ'!$E$6:$E$1005,MATCH($C19,'商品マスタ'!$B$6:$B$1005,0))="",IFERROR(INDEX('①在庫を貼る'!$E$6:$E$10005,MATCH($C19,'①在庫を貼る'!$W$6:$W$10005,0)),IFERROR(INDEX('月1回_1ヶ月前の在庫'!$E$6:$E$10005,MATCH($C19,'月1回_1ヶ月前の在庫'!$W$6:$W$10005,0)),IFERROR(INDEX('月1回_2ヶ月前の在庫'!$E$6:$E$10005,MATCH($C19,'月1回_2ヶ月前の在庫'!$W$6:$W$10005,0)),""))),INDEX('商品マスタ'!$E$6:$E$1005,MATCH($C19,'商品マスタ'!$B$6:$B$1005,0))),IFERROR(INDEX('①在庫を貼る'!$E$6:$E$10005,MATCH($C19,'①在庫を貼る'!$W$6:$W$10005,0)),IFERROR(INDEX('月1回_1ヶ月前の在庫'!$E$6:$E$10005,MATCH($C19,'月1回_1ヶ月前の在庫'!$W$6:$W$10005,0)),IFERROR(INDEX('月1回_2ヶ月前の在庫'!$E$6:$E$10005,MATCH($C19,'月1回_2ヶ月前の在庫'!$W$6:$W$10005,0)),"")))))</f>
        <v/>
      </c>
      <c r="G19">
        <f>IF($C19="","",MAX(1,N(IFERROR(IF(INDEX('商品マスタ'!$F$6:$F$1005,MATCH($C19,'商品マスタ'!$B$6:$B$1005,0))="",IF(COUNTIFS('①在庫を貼る'!$V$6:$V$10005,'設定'!$C$4,'①在庫を貼る'!$W$6:$W$10005,$C19)&gt;0,SUMIFS('①在庫を貼る'!$K$6:$K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K$6:$K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K$6:$K$10005,'月1回_2ヶ月前の在庫'!$V$6:$V$10005,'設定'!$C$4,'月1回_2ヶ月前の在庫'!$W$6:$W$10005,$C19)/COUNTIFS('月1回_2ヶ月前の在庫'!$V$6:$V$10005,'設定'!$C$4,'月1回_2ヶ月前の在庫'!$W$6:$W$10005,$C19),0))),INDEX('商品マスタ'!$F$6:$F$1005,MATCH($C19,'商品マスタ'!$B$6:$B$1005,0))),IF(COUNTIFS('①在庫を貼る'!$V$6:$V$10005,'設定'!$C$4,'①在庫を貼る'!$W$6:$W$10005,$C19)&gt;0,SUMIFS('①在庫を貼る'!$K$6:$K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K$6:$K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K$6:$K$10005,'月1回_2ヶ月前の在庫'!$V$6:$V$10005,'設定'!$C$4,'月1回_2ヶ月前の在庫'!$W$6:$W$10005,$C19)/COUNTIFS('月1回_2ヶ月前の在庫'!$V$6:$V$10005,'設定'!$C$4,'月1回_2ヶ月前の在庫'!$W$6:$W$10005,$C19),0)))))))</f>
        <v/>
      </c>
      <c r="H19">
        <f>IF($C19="","",N(IFERROR(IF(INDEX('商品マスタ'!$G$6:$G$1005,MATCH($C19,'商品マスタ'!$B$6:$B$1005,0))="",IF(COUNTIFS('①在庫を貼る'!$V$6:$V$10005,'設定'!$C$4,'①在庫を貼る'!$W$6:$W$10005,$C19)&gt;0,SUMIFS('①在庫を貼る'!$Q$6:$Q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Q$6:$Q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Q$6:$Q$10005,'月1回_2ヶ月前の在庫'!$V$6:$V$10005,'設定'!$C$4,'月1回_2ヶ月前の在庫'!$W$6:$W$10005,$C19)/COUNTIFS('月1回_2ヶ月前の在庫'!$V$6:$V$10005,'設定'!$C$4,'月1回_2ヶ月前の在庫'!$W$6:$W$10005,$C19),0))),INDEX('商品マスタ'!$G$6:$G$1005,MATCH($C19,'商品マスタ'!$B$6:$B$1005,0))),IF(COUNTIFS('①在庫を貼る'!$V$6:$V$10005,'設定'!$C$4,'①在庫を貼る'!$W$6:$W$10005,$C19)&gt;0,SUMIFS('①在庫を貼る'!$Q$6:$Q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Q$6:$Q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Q$6:$Q$10005,'月1回_2ヶ月前の在庫'!$V$6:$V$10005,'設定'!$C$4,'月1回_2ヶ月前の在庫'!$W$6:$W$10005,$C19)/COUNTIFS('月1回_2ヶ月前の在庫'!$V$6:$V$10005,'設定'!$C$4,'月1回_2ヶ月前の在庫'!$W$6:$W$10005,$C19),0))))))</f>
        <v/>
      </c>
      <c r="I19">
        <f>IF($C19="","",IF(COUNTIFS('①在庫を貼る'!$V$6:$V$10005,'設定'!$C$4,'①在庫を貼る'!$W$6:$W$10005,$C19)=0,"",SUMIFS('①在庫を貼る'!$N$6:$N$10005,'①在庫を貼る'!$V$6:$V$10005,'設定'!$C$4,'①在庫を貼る'!$W$6:$W$10005,$C19)))</f>
        <v/>
      </c>
      <c r="J19">
        <f>IF($C19="","",IF('②発注する'!$AD23="","",'②発注する'!$AD23))</f>
        <v/>
      </c>
      <c r="K19" s="90">
        <f>IF($C19="","",IF('②発注する'!$AE23="","",'②発注する'!$AE23))</f>
        <v/>
      </c>
      <c r="L19">
        <f>IF($C19="","",IF(AND(ISNUMBER($J19),ISNUMBER($K19),$K19&gt;='設定'!$C$6),$J19,N($I19)))</f>
        <v/>
      </c>
      <c r="M19">
        <f>IF($C19="","",IFERROR(IF(N(INDEX('商品マスタ'!$J$6:$J$1005,MATCH($C19,'商品マスタ'!$B$6:$B$1005,0)))&gt;0,INDEX('商品マスタ'!$J$6:$J$1005,MATCH($C19,'商品マスタ'!$B$6:$B$1005,0)),""),""))</f>
        <v/>
      </c>
      <c r="N19">
        <f>IF($C19="","",IFERROR(IF(N(INDEX('商品マスタ'!$H$6:$H$1005,MATCH($C19,'商品マスタ'!$B$6:$B$1005,0)))&gt;0,INDEX('商品マスタ'!$H$6:$H$1005,MATCH($C19,'商品マスタ'!$B$6:$B$1005,0)),""),""))</f>
        <v/>
      </c>
      <c r="O19">
        <f>IF($C19="","",IF($N19&lt;&gt;"",$N19*$G19,IF(N(IF(COUNTIFS('①在庫を貼る'!$V$6:$V$10005,'設定'!$C$4,'①在庫を貼る'!$W$6:$W$10005,$C19)&gt;0,SUMIFS('①在庫を貼る'!$O$6:$O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O$6:$O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O$6:$O$10005,'月1回_2ヶ月前の在庫'!$V$6:$V$10005,'設定'!$C$4,'月1回_2ヶ月前の在庫'!$W$6:$W$10005,$C19)/COUNTIFS('月1回_2ヶ月前の在庫'!$V$6:$V$10005,'設定'!$C$4,'月1回_2ヶ月前の在庫'!$W$6:$W$10005,$C19),0))))&gt;0,N(IF(COUNTIFS('①在庫を貼る'!$V$6:$V$10005,'設定'!$C$4,'①在庫を貼る'!$W$6:$W$10005,$C19)&gt;0,SUMIFS('①在庫を貼る'!$O$6:$O$10005,'①在庫を貼る'!$V$6:$V$10005,'設定'!$C$4,'①在庫を貼る'!$W$6:$W$10005,$C19)/COUNTIFS('①在庫を貼る'!$V$6:$V$10005,'設定'!$C$4,'①在庫を貼る'!$W$6:$W$10005,$C19),IF(COUNTIFS('月1回_1ヶ月前の在庫'!$V$6:$V$10005,'設定'!$C$4,'月1回_1ヶ月前の在庫'!$W$6:$W$10005,$C19)&gt;0,SUMIFS('月1回_1ヶ月前の在庫'!$O$6:$O$10005,'月1回_1ヶ月前の在庫'!$V$6:$V$10005,'設定'!$C$4,'月1回_1ヶ月前の在庫'!$W$6:$W$10005,$C19)/COUNTIFS('月1回_1ヶ月前の在庫'!$V$6:$V$10005,'設定'!$C$4,'月1回_1ヶ月前の在庫'!$W$6:$W$10005,$C19),IF(COUNTIFS('月1回_2ヶ月前の在庫'!$V$6:$V$10005,'設定'!$C$4,'月1回_2ヶ月前の在庫'!$W$6:$W$10005,$C19)&gt;0,SUMIFS('月1回_2ヶ月前の在庫'!$O$6:$O$10005,'月1回_2ヶ月前の在庫'!$V$6:$V$10005,'設定'!$C$4,'月1回_2ヶ月前の在庫'!$W$6:$W$10005,$C19)/COUNTIFS('月1回_2ヶ月前の在庫'!$V$6:$V$10005,'設定'!$C$4,'月1回_2ヶ月前の在庫'!$W$6:$W$10005,$C19),0)))),"")))</f>
        <v/>
      </c>
      <c r="P19" s="90">
        <f>IF($C19="","",IF('②発注する'!$I23="","",'②発注する'!$I23))</f>
        <v/>
      </c>
      <c r="Q19">
        <f>IF($C19="","",IF('②発注する'!$J23="","",'②発注する'!$J23))</f>
        <v/>
      </c>
      <c r="R19">
        <f>IF($C19="",0,IF(AND(ISNUMBER($P19),ISNUMBER($Q19)),MAX(0,$Q19)*$G19,0))</f>
        <v/>
      </c>
      <c r="S19" s="90">
        <f>IF($C19="","",IF('②発注する'!$M23="","",'②発注する'!$M23))</f>
        <v/>
      </c>
      <c r="T19">
        <f>IF($C19="","",IF('②発注する'!$N23="","",'②発注する'!$N23))</f>
        <v/>
      </c>
      <c r="U19">
        <f>IF($C19="",0,IF(AND(ISNUMBER($S19),ISNUMBER($T19)),MAX(0,$T19)*$G19,0))</f>
        <v/>
      </c>
      <c r="V19">
        <f>IF($C19="",0,IF($M19="",0,MAX(0,$M19)*MAX(0,V$4)/100))</f>
        <v/>
      </c>
      <c r="W19">
        <f>IF($C19="",0,IF($M19="",0,MAX(0,$M19)*MAX(0,W$4)/100))</f>
        <v/>
      </c>
      <c r="X19">
        <f>IF($C19="",0,IF($M19="",0,MAX(0,$M19)*MAX(0,X$4)/100))</f>
        <v/>
      </c>
      <c r="Y19">
        <f>IF($C19="",0,IF($M19="",0,MAX(0,$M19)*MAX(0,Y$4)/100))</f>
        <v/>
      </c>
      <c r="Z19">
        <f>IF($C19="",0,IF($M19="",0,MAX(0,$M19)*MAX(0,Z$4)/100))</f>
        <v/>
      </c>
      <c r="AA19">
        <f>IF($C19="",0,IF($M19="",0,MAX(0,$M19)*MAX(0,AA$4)/100))</f>
        <v/>
      </c>
      <c r="AB19">
        <f>IF($C19="",0,IF($M19="",0,MAX(0,$M19)*MAX(0,AB$4)/100))</f>
        <v/>
      </c>
      <c r="AC19">
        <f>IF($C19="",0,IF($M19="",0,MAX(0,$M19)*MAX(0,AC$4)/100))</f>
        <v/>
      </c>
      <c r="AD19">
        <f>IF($C19="",0,IF($M19="",0,MAX(0,$M19)*MAX(0,AD$4)/100))</f>
        <v/>
      </c>
      <c r="AE19">
        <f>IF($C19="",0,IF($M19="",0,MAX(0,$M19)*MAX(0,AE$4)/100))</f>
        <v/>
      </c>
      <c r="AF19">
        <f>IF($C19="",0,IF($M19="",0,MAX(0,$M19)*MAX(0,AF$4)/100))</f>
        <v/>
      </c>
      <c r="AG19">
        <f>IF($C19="",0,IF($M19="",0,MAX(0,$M19)*MAX(0,AG$4)/100))</f>
        <v/>
      </c>
      <c r="AH19">
        <f>IF($C19="",0,IF($M19="",0,MAX(0,$M19)*MAX(0,AH$4)/100))</f>
        <v/>
      </c>
      <c r="AI19">
        <f>IF($C19="",0,IF($M19="",0,MAX(0,$M19)*MAX(0,AI$4)/100))</f>
        <v/>
      </c>
      <c r="AJ19">
        <f>IF($C19="",0,MAX(0,MAX(0,N($L19))-$V19))</f>
        <v/>
      </c>
      <c r="AK19">
        <f>IF($C19="",0,MAX(0,$AJ19-$W19))</f>
        <v/>
      </c>
      <c r="AL19">
        <f>IF($C19="",0,MAX(0,$AK19-$X19))</f>
        <v/>
      </c>
      <c r="AM19">
        <f>IF($C19="",0,MAX(0,$AL19-$Y19))</f>
        <v/>
      </c>
      <c r="AN19">
        <f>IF($C19="",0,MAX(0,$AM19-$Z19))</f>
        <v/>
      </c>
      <c r="AO19">
        <f>IF($C19="",0,MAX(0,$AN19-$AA19))</f>
        <v/>
      </c>
      <c r="AP19">
        <f>IF($C19="",0,MAX(0,$AO19-$AB19))</f>
        <v/>
      </c>
      <c r="AQ19">
        <f>IF($C19="",0,MAX(0,$AP19-$AC19))</f>
        <v/>
      </c>
      <c r="AR19">
        <f>IF($C19="",0,MAX(0,$AQ19-$AD19))</f>
        <v/>
      </c>
      <c r="AS19">
        <f>IF($C19="",0,MAX(0,$AR19-$AE19))</f>
        <v/>
      </c>
      <c r="AT19">
        <f>IF($C19="",0,MAX(0,$AS19-$AF19))</f>
        <v/>
      </c>
      <c r="AU19">
        <f>IF($C19="",0,MAX(0,$AT19-$AG19))</f>
        <v/>
      </c>
      <c r="AV19">
        <f>IF($C19="",0,MAX(0,$AU19-$AH19))</f>
        <v/>
      </c>
      <c r="AW19">
        <f>IF($C19="",0,MAX(0,$AV19-$AI19))</f>
        <v/>
      </c>
      <c r="AX19">
        <f>IF($C19="",0,MAX(0,MAX(0,N($L19))+IF($P19=V$3,$R19,0)+IF($S19=V$3,$U19,0)-$V19))</f>
        <v/>
      </c>
      <c r="AY19">
        <f>IF($C19="",0,MAX(0,$AX19+IF($P19=W$3,$R19,0)+IF($S19=W$3,$U19,0)-$W19))</f>
        <v/>
      </c>
      <c r="AZ19">
        <f>IF($C19="",0,MAX(0,$AY19+IF($P19=X$3,$R19,0)+IF($S19=X$3,$U19,0)-$X19))</f>
        <v/>
      </c>
      <c r="BA19">
        <f>IF($C19="",0,MAX(0,$AZ19+IF($P19=Y$3,$R19,0)+IF($S19=Y$3,$U19,0)-$Y19))</f>
        <v/>
      </c>
      <c r="BB19">
        <f>IF($C19="",0,MAX(0,$BA19+IF($P19=Z$3,$R19,0)+IF($S19=Z$3,$U19,0)-$Z19))</f>
        <v/>
      </c>
      <c r="BC19">
        <f>IF($C19="",0,MAX(0,$BB19+IF($P19=AA$3,$R19,0)+IF($S19=AA$3,$U19,0)-$AA19))</f>
        <v/>
      </c>
      <c r="BD19">
        <f>IF($C19="",0,MAX(0,$BC19+IF($P19=AB$3,$R19,0)+IF($S19=AB$3,$U19,0)-$AB19))</f>
        <v/>
      </c>
      <c r="BE19">
        <f>IF($C19="",0,MAX(0,$BD19+IF($P19=AC$3,$R19,0)+IF($S19=AC$3,$U19,0)-$AC19))</f>
        <v/>
      </c>
      <c r="BF19">
        <f>IF($C19="",0,MAX(0,$BE19+IF($P19=AD$3,$R19,0)+IF($S19=AD$3,$U19,0)-$AD19))</f>
        <v/>
      </c>
      <c r="BG19">
        <f>IF($C19="",0,MAX(0,$BF19+IF($P19=AE$3,$R19,0)+IF($S19=AE$3,$U19,0)-$AE19))</f>
        <v/>
      </c>
      <c r="BH19">
        <f>IF($C19="",0,MAX(0,$BG19+IF($P19=AF$3,$R19,0)+IF($S19=AF$3,$U19,0)-$AF19))</f>
        <v/>
      </c>
      <c r="BI19">
        <f>IF($C19="",0,MAX(0,$BH19+IF($P19=AG$3,$R19,0)+IF($S19=AG$3,$U19,0)-$AG19))</f>
        <v/>
      </c>
      <c r="BJ19">
        <f>IF($C19="",0,MAX(0,$BI19+IF($P19=AH$3,$R19,0)+IF($S19=AH$3,$U19,0)-$AH19))</f>
        <v/>
      </c>
      <c r="BK19">
        <f>IF($C19="",0,MAX(0,$BJ19+IF($P19=AI$3,$R19,0)+IF($S19=AI$3,$U19,0)-$AI19))</f>
        <v/>
      </c>
      <c r="BL19">
        <f>IF($C19="",99,IF(AND($AX19&lt;1,V$3&gt;=MAX(N($P19),N($S19))),0,99))</f>
        <v/>
      </c>
      <c r="BM19">
        <f>IF($C19="",99,IF(AND($AY19&lt;1,W$3&gt;=MAX(N($P19),N($S19))),1,99))</f>
        <v/>
      </c>
      <c r="BN19">
        <f>IF($C19="",99,IF(AND($AZ19&lt;1,X$3&gt;=MAX(N($P19),N($S19))),2,99))</f>
        <v/>
      </c>
      <c r="BO19">
        <f>IF($C19="",99,IF(AND($BA19&lt;1,Y$3&gt;=MAX(N($P19),N($S19))),3,99))</f>
        <v/>
      </c>
      <c r="BP19">
        <f>IF($C19="",99,IF(AND($BB19&lt;1,Z$3&gt;=MAX(N($P19),N($S19))),4,99))</f>
        <v/>
      </c>
      <c r="BQ19">
        <f>IF($C19="",99,IF(AND($BC19&lt;1,AA$3&gt;=MAX(N($P19),N($S19))),5,99))</f>
        <v/>
      </c>
      <c r="BR19">
        <f>IF($C19="",99,IF(AND($BD19&lt;1,AB$3&gt;=MAX(N($P19),N($S19))),6,99))</f>
        <v/>
      </c>
      <c r="BS19">
        <f>IF($C19="",99,IF(AND($BE19&lt;1,AC$3&gt;=MAX(N($P19),N($S19))),7,99))</f>
        <v/>
      </c>
      <c r="BT19">
        <f>IF($C19="",99,IF(AND($BF19&lt;1,AD$3&gt;=MAX(N($P19),N($S19))),8,99))</f>
        <v/>
      </c>
      <c r="BU19">
        <f>IF($C19="",99,IF(AND($BG19&lt;1,AE$3&gt;=MAX(N($P19),N($S19))),9,99))</f>
        <v/>
      </c>
      <c r="BV19">
        <f>IF($C19="",99,IF(AND($BH19&lt;1,AF$3&gt;=MAX(N($P19),N($S19))),10,99))</f>
        <v/>
      </c>
      <c r="BW19">
        <f>IF($C19="",99,IF(AND($BI19&lt;1,AG$3&gt;=MAX(N($P19),N($S19))),11,99))</f>
        <v/>
      </c>
      <c r="BX19">
        <f>IF($C19="",99,IF(AND($BJ19&lt;1,AH$3&gt;=MAX(N($P19),N($S19))),12,99))</f>
        <v/>
      </c>
      <c r="BY19">
        <f>IF($C19="",99,IF(AND($BK19&lt;1,AI$3&gt;=MAX(N($P19),N($S19))),13,99))</f>
        <v/>
      </c>
      <c r="BZ19">
        <f>IF(OR($C19="",$M19=""),"",COUNTIF($AJ19:$AW19,"&gt;=1"))</f>
        <v/>
      </c>
      <c r="CA19" s="90">
        <f>IF($BZ19="","",IF($BZ19&gt;=14,"",'設定'!$C$6+$BZ19))</f>
        <v/>
      </c>
      <c r="CB19">
        <f>IF(OR($C19="",$M19=""),"",MIN($BL19:$BY19))</f>
        <v/>
      </c>
      <c r="CC19" s="90">
        <f>IF($CB19="","",IF($CB19&gt;=99,"",'設定'!$C$6+$CB19))</f>
        <v/>
      </c>
      <c r="CD19">
        <f>IF(OR($C19="",$M19=""),"",AVERAGE($V19:$AI19))</f>
        <v/>
      </c>
      <c r="CE19">
        <f>IF($C19="","",IFERROR(IF(MATCH(IF(ISNUMBER($P19),$P19,'設定'!$C$6+N('設定'!$C$7)),$V$3:$AI$3,0)=1,MAX(0,N($L19)),INDEX($AJ19:$AW19,MATCH(IF(ISNUMBER($P19),$P19,'設定'!$C$6+N('設定'!$C$7)),$V$3:$AI$3,0)-1)),""))</f>
        <v/>
      </c>
      <c r="CF19">
        <f>IF(OR($C19="",$O19="",$CE19=""),"",IF($O19-$CE19&lt;=0,0,ROUNDUP(($O19-$CE19)/$G19,0)))</f>
        <v/>
      </c>
      <c r="CG19">
        <f>IF(OR($C19="",$CF19="",NOT(ISNUMBER($Q19))),0,MAX(0,$Q19-$CF19))</f>
        <v/>
      </c>
      <c r="CH19">
        <f>IF(OR($C19="",$O19="",$U19=0),0,IFERROR(ROUNDUP(MAX(0,IF(MATCH($S19,$V$3:$AI$3,0)=1,MAX(0,N($L19)),INDEX($AX19:$BK19,MATCH($S19,$V$3:$AI$3,0)-1))+$U19-$O19)/$G19,0),0))</f>
        <v/>
      </c>
      <c r="CI19">
        <f>IF($C19="","",IF(AND($P19="",$Q19=""),"",IF($P19="","⚠ 入庫日を ▼ から選んでください",IF(NOT(ISNUMBER($P19)),"⚠ 入庫日は ▼ から選んでください",IF($P19&lt;N('設定'!$C$6),"⚠ 入庫日が過去です（もう在庫に入っています）→ 消してください",IF($P19&gt;N('設定'!$C$6)+13,"⚠ 入庫日が14日より先です",IF(N($Q19)&lt;=0,"⚠ 入庫数を入れてください",IF($CG19&gt;0,"⚠ 目安より "&amp;$CG19&amp;" 多い（定数を超える）→ 減らす",""))))))))</f>
        <v/>
      </c>
      <c r="CJ19">
        <f>IF($C19="","",IF(AND($S19="",$T19=""),"",IF($S19="","⚠ 2便目：入庫日を ▼ から選んでください",IF(NOT(ISNUMBER($S19)),"⚠ 2便目：入庫日は ▼ から選んでください",IF($S19&lt;N('設定'!$C$6),"⚠ 2便目：入庫日が過去です（もう在庫に入っています）→ 消してください",IF($S19&gt;N('設定'!$C$6)+13,"⚠ 2便目：入庫日が14日より先です",IF(N($T19)&lt;=0,"⚠ 2便目：入庫数を入れてください",IF($CH19&gt;0,"⚠ 2便目：定数を "&amp;$CH19&amp;" ケース超える → 減らす",""))))))))</f>
        <v/>
      </c>
      <c r="CK19">
        <f>IF(AND($CI19="",N($Q19)&gt;0,ISNUMBER($P19)),1,0)</f>
        <v/>
      </c>
      <c r="CL19">
        <f>IF(AND($CJ19="",N($T19)&gt;0,ISNUMBER($S19)),1,0)</f>
        <v/>
      </c>
      <c r="CM19">
        <f>IF(OR($CK19=1,$CL19=1),1,0)</f>
        <v/>
      </c>
      <c r="CN19">
        <f>IF($C19="",0,($CK19*$R19+$CL19*$U19)*N($H19))</f>
        <v/>
      </c>
      <c r="CO19">
        <f>IF($C19="","",IF($CC19="","入庫後は 14日以上もつ",IF($CC19-N('設定'!$C$7)&lt;='設定'!$C$6,"入庫後も "&amp;TEXT($CC19,"m/d")&amp;"("&amp;CHOOSE(WEEKDAY($CC19),"日","月","火","水","木","金","土")&amp;")"&amp;" に切れる　もう1便を至急発注","入庫後も "&amp;TEXT($CC19,"m/d")&amp;"("&amp;CHOOSE(WEEKDAY($CC19),"日","月","火","水","木","金","土")&amp;")"&amp;" に切れる　"&amp;TEXT($CC19-N('設定'!$C$7),"m/d")&amp;"("&amp;CHOOSE(WEEKDAY($CC19-N('設定'!$C$7)),"日","月","火","水","木","金","土")&amp;")"&amp;" までに次を発注")))</f>
        <v/>
      </c>
      <c r="CP19">
        <f>IF($C19="","",IF('設定'!$C$6="","？ ①在庫を貼る に今日のCSVが貼られていない",IF($CS19=1,"－ 今日のCSVに無い（終売？）",IF($L19&lt;0,"● 在庫がマイナス　数えて「数えた在庫」に入れる",IF($L19=0,"● 在庫なし　至急発注",IF($M19="","？ 減り数が未設定（商品マスタ）",IF($B$3=0,"？ 動員が未入力（動員を入れる）",IF($CA19="","○ 14日以上もつ",IF($BZ19&lt;N('設定'!$C$7),"● "&amp;TEXT($CA19,"m/d")&amp;"("&amp;CHOOSE(WEEKDAY($CA19),"日","月","火","水","木","金","土")&amp;")"&amp;" に切れる　至急発注",IF($BZ19=N('設定'!$C$7),"● "&amp;TEXT($CA19,"m/d")&amp;"("&amp;CHOOSE(WEEKDAY($CA19),"日","月","火","水","木","金","土")&amp;")"&amp;" に切れる　今日発注","△ "&amp;TEXT($CA19,"m/d")&amp;"("&amp;CHOOSE(WEEKDAY($CA19),"日","月","火","水","木","金","土")&amp;")"&amp;" に切れる　"&amp;TEXT($CA19-N('設定'!$C$7),"m/d")&amp;"("&amp;CHOOSE(WEEKDAY($CA19-N('設定'!$C$7)),"日","月","火","水","木","金","土")&amp;")"&amp;" までに発注"))))))))))</f>
        <v/>
      </c>
      <c r="CQ19">
        <f>IF($C19="","",IF(AND($P19="",$Q19="",$S19="",$T19=""),"",IF(AND($P19="",$Q19=""),"⚠ 先に1便目（左の入庫日・入庫数）に入れてください",IF($CI19&lt;&gt;"",$CI19,IF($CJ19&lt;&gt;"",$CJ19,IF($M19="","？ 減り数が未設定（発注書には載ります）",IF($B$3=0,"？ 動員が未入力（発注書には載ります）",IF(AND($CA19&lt;&gt;"",$P19&gt;$CA19),IF($P19&gt;'設定'!$C$6+N('設定'!$C$7),"● "&amp;TEXT($P19,"m/d")&amp;"("&amp;CHOOSE(WEEKDAY($P19),"日","月","火","水","木","金","土")&amp;")"&amp;" の入庫では間に合わない（"&amp;TEXT($CA19,"m/d")&amp;"("&amp;CHOOSE(WEEKDAY($CA19),"日","月","火","水","木","金","土")&amp;")"&amp;" に切れる）　入庫日を早める","△ 欠品 "&amp;TEXT($CA19,"m/d")&amp;"("&amp;CHOOSE(WEEKDAY($CA19),"日","月","火","水","木","金","土")&amp;")"&amp;"〜"&amp;TEXT($P19-1,"m/d")&amp;"("&amp;CHOOSE(WEEKDAY($P19-1),"日","月","火","水","木","金","土")&amp;")"&amp;"　"&amp;$CO19),IF($CC19="","○ "&amp;TEXT($P19,"m/d")&amp;"("&amp;CHOOSE(WEEKDAY($P19),"日","月","火","水","木","金","土")&amp;")"&amp;" 入庫で 14日以上もつ",IF($CC19-N('設定'!$C$7)&lt;='設定'!$C$6,"● 入庫しても "&amp;TEXT($CC19,"m/d")&amp;"("&amp;CHOOSE(WEEKDAY($CC19),"日","月","火","水","木","金","土")&amp;")"&amp;" に切れる　もう1便を至急発注（2便目に入れる）","△ 入庫しても "&amp;TEXT($CC19,"m/d")&amp;"("&amp;CHOOSE(WEEKDAY($CC19),"日","月","火","水","木","金","土")&amp;")"&amp;" に切れる　"&amp;TEXT($CC19-N('設定'!$C$7),"m/d")&amp;"("&amp;CHOOSE(WEEKDAY($CC19-N('設定'!$C$7)),"日","月","火","水","木","金","土")&amp;")"&amp;" までに次を発注（2便目に入れる）"))))))))))</f>
        <v/>
      </c>
      <c r="CR19">
        <f>IF($C19="","",IF($G19&gt;1,"ｹｰｽ("&amp;$G19&amp;"入)","個"))</f>
        <v/>
      </c>
      <c r="CS19">
        <f>IF($C19="",0,IF(COUNTIFS('①在庫を貼る'!$V$6:$V$10005,'設定'!$C$4,'①在庫を貼る'!$W$6:$W$10005,$C19)=0,1,0))</f>
        <v/>
      </c>
      <c r="CT19">
        <f>IF(AND($CK19=1,OR('③発注書'!$C$4="すべて",'③発注書'!$C$4="",$F19='③発注書'!$C$4)),N($CT18)+1,N($CT18))</f>
        <v/>
      </c>
      <c r="CU19">
        <f>IF(AND($CL19=1,OR('③発注書'!$C$4="すべて",'③発注書'!$C$4="",$F19='③発注書'!$C$4)),N($CU18)+1,N($CU18))</f>
        <v/>
      </c>
      <c r="CV19">
        <f>IF($C19="",0,IF(COUNTIFS('①在庫を貼る'!$V$6:$V$10005,'設定'!$C$4,'①在庫を貼る'!$W$6:$W$10005,$C19)&gt;0,1,0))</f>
        <v/>
      </c>
      <c r="CW19">
        <f>IF($C19="",0,IF(COUNTIFS('月1回_1ヶ月前の在庫'!$V$6:$V$10005,'設定'!$C$4,'月1回_1ヶ月前の在庫'!$W$6:$W$10005,$C19)&gt;0,1,0))</f>
        <v/>
      </c>
      <c r="CX19">
        <f>IF($C19="",0,IF(COUNTIFS('月1回_2ヶ月前の在庫'!$V$6:$V$10005,'設定'!$C$4,'月1回_2ヶ月前の在庫'!$W$6:$W$10005,$C19)&gt;0,1,0))</f>
        <v/>
      </c>
      <c r="CY19">
        <f>IF(OR($C19="",'設定'!$C$12=""),"",IF('設定'!$C$13="",IF(AND($CV19=1,$CW19=0),"新商品（今月から）",IF(AND($CV19=0,$CW19=1),"終売（今月から）","")),IF(AND($CV19=1,$CW19=0,$CX19=0),"新商品（今月から）",IF(AND($CV19=1,$CW19=1,$CX19=0),"新商品（先月から）",IF(AND($CV19=0,$CW19=1,$CX19=1),"終売（今月から）",IF(AND($CV19=0,$CW19=0,$CX19=1),"終売（先月から）",IF(AND($CV19=1,$CW19=0,$CX19=1),"復活（先月は無し）","")))))))</f>
        <v/>
      </c>
    </row>
    <row r="20">
      <c r="B20">
        <f>IF(15&lt;='設定'!$C$11,15,"")</f>
        <v/>
      </c>
      <c r="C20">
        <f>IF($B20="","",IF($B20&lt;='設定'!$C$20,INDEX('商品マスタ'!$B$6:$B$1005,MATCH($B20,'商品マスタ'!$M$6:$M$1005,0)),IF($B20&lt;='設定'!$C$20+'設定'!$C$17,INDEX('①在庫を貼る'!$W$6:$W$10005,MATCH($B20-'設定'!$C$20,'①在庫を貼る'!$U$6:$U$10005,0)),IF($B20&lt;='設定'!$C$20+'設定'!$C$17+'設定'!$C$18,INDEX('月1回_1ヶ月前の在庫'!$W$6:$W$10005,MATCH($B20-'設定'!$C$20-'設定'!$C$17,'月1回_1ヶ月前の在庫'!$U$6:$U$10005,0)),INDEX('月1回_2ヶ月前の在庫'!$W$6:$W$10005,MATCH($B20-'設定'!$C$20-'設定'!$C$17-'設定'!$C$18,'月1回_2ヶ月前の在庫'!$U$6:$U$10005,0))))))</f>
        <v/>
      </c>
      <c r="D20">
        <f>IF($C20="","",IFERROR(IF(INDEX('商品マスタ'!$C$6:$C$1005,MATCH($C20,'商品マスタ'!$B$6:$B$1005,0))="",IFERROR(INDEX('①在庫を貼る'!$J$6:$J$10005,MATCH($C20,'①在庫を貼る'!$W$6:$W$10005,0)),IFERROR(INDEX('月1回_1ヶ月前の在庫'!$J$6:$J$10005,MATCH($C20,'月1回_1ヶ月前の在庫'!$W$6:$W$10005,0)),IFERROR(INDEX('月1回_2ヶ月前の在庫'!$J$6:$J$10005,MATCH($C20,'月1回_2ヶ月前の在庫'!$W$6:$W$10005,0)),""))),INDEX('商品マスタ'!$C$6:$C$1005,MATCH($C20,'商品マスタ'!$B$6:$B$1005,0))),IFERROR(INDEX('①在庫を貼る'!$J$6:$J$10005,MATCH($C20,'①在庫を貼る'!$W$6:$W$10005,0)),IFERROR(INDEX('月1回_1ヶ月前の在庫'!$J$6:$J$10005,MATCH($C20,'月1回_1ヶ月前の在庫'!$W$6:$W$10005,0)),IFERROR(INDEX('月1回_2ヶ月前の在庫'!$J$6:$J$10005,MATCH($C20,'月1回_2ヶ月前の在庫'!$W$6:$W$10005,0)),"")))))</f>
        <v/>
      </c>
      <c r="E20">
        <f>IF($C20="","",IFERROR(IF(INDEX('商品マスタ'!$D$6:$D$1005,MATCH($C20,'商品マスタ'!$B$6:$B$1005,0))="",IFERROR(INDEX('①在庫を貼る'!$H$6:$H$10005,MATCH($C20,'①在庫を貼る'!$W$6:$W$10005,0)),IFERROR(INDEX('月1回_1ヶ月前の在庫'!$H$6:$H$10005,MATCH($C20,'月1回_1ヶ月前の在庫'!$W$6:$W$10005,0)),IFERROR(INDEX('月1回_2ヶ月前の在庫'!$H$6:$H$10005,MATCH($C20,'月1回_2ヶ月前の在庫'!$W$6:$W$10005,0)),""))),INDEX('商品マスタ'!$D$6:$D$1005,MATCH($C20,'商品マスタ'!$B$6:$B$1005,0))),IFERROR(INDEX('①在庫を貼る'!$H$6:$H$10005,MATCH($C20,'①在庫を貼る'!$W$6:$W$10005,0)),IFERROR(INDEX('月1回_1ヶ月前の在庫'!$H$6:$H$10005,MATCH($C20,'月1回_1ヶ月前の在庫'!$W$6:$W$10005,0)),IFERROR(INDEX('月1回_2ヶ月前の在庫'!$H$6:$H$10005,MATCH($C20,'月1回_2ヶ月前の在庫'!$W$6:$W$10005,0)),"")))))</f>
        <v/>
      </c>
      <c r="F20">
        <f>IF($C20="","",IFERROR(IF(INDEX('商品マスタ'!$E$6:$E$1005,MATCH($C20,'商品マスタ'!$B$6:$B$1005,0))="",IFERROR(INDEX('①在庫を貼る'!$E$6:$E$10005,MATCH($C20,'①在庫を貼る'!$W$6:$W$10005,0)),IFERROR(INDEX('月1回_1ヶ月前の在庫'!$E$6:$E$10005,MATCH($C20,'月1回_1ヶ月前の在庫'!$W$6:$W$10005,0)),IFERROR(INDEX('月1回_2ヶ月前の在庫'!$E$6:$E$10005,MATCH($C20,'月1回_2ヶ月前の在庫'!$W$6:$W$10005,0)),""))),INDEX('商品マスタ'!$E$6:$E$1005,MATCH($C20,'商品マスタ'!$B$6:$B$1005,0))),IFERROR(INDEX('①在庫を貼る'!$E$6:$E$10005,MATCH($C20,'①在庫を貼る'!$W$6:$W$10005,0)),IFERROR(INDEX('月1回_1ヶ月前の在庫'!$E$6:$E$10005,MATCH($C20,'月1回_1ヶ月前の在庫'!$W$6:$W$10005,0)),IFERROR(INDEX('月1回_2ヶ月前の在庫'!$E$6:$E$10005,MATCH($C20,'月1回_2ヶ月前の在庫'!$W$6:$W$10005,0)),"")))))</f>
        <v/>
      </c>
      <c r="G20">
        <f>IF($C20="","",MAX(1,N(IFERROR(IF(INDEX('商品マスタ'!$F$6:$F$1005,MATCH($C20,'商品マスタ'!$B$6:$B$1005,0))="",IF(COUNTIFS('①在庫を貼る'!$V$6:$V$10005,'設定'!$C$4,'①在庫を貼る'!$W$6:$W$10005,$C20)&gt;0,SUMIFS('①在庫を貼る'!$K$6:$K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K$6:$K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K$6:$K$10005,'月1回_2ヶ月前の在庫'!$V$6:$V$10005,'設定'!$C$4,'月1回_2ヶ月前の在庫'!$W$6:$W$10005,$C20)/COUNTIFS('月1回_2ヶ月前の在庫'!$V$6:$V$10005,'設定'!$C$4,'月1回_2ヶ月前の在庫'!$W$6:$W$10005,$C20),0))),INDEX('商品マスタ'!$F$6:$F$1005,MATCH($C20,'商品マスタ'!$B$6:$B$1005,0))),IF(COUNTIFS('①在庫を貼る'!$V$6:$V$10005,'設定'!$C$4,'①在庫を貼る'!$W$6:$W$10005,$C20)&gt;0,SUMIFS('①在庫を貼る'!$K$6:$K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K$6:$K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K$6:$K$10005,'月1回_2ヶ月前の在庫'!$V$6:$V$10005,'設定'!$C$4,'月1回_2ヶ月前の在庫'!$W$6:$W$10005,$C20)/COUNTIFS('月1回_2ヶ月前の在庫'!$V$6:$V$10005,'設定'!$C$4,'月1回_2ヶ月前の在庫'!$W$6:$W$10005,$C20),0)))))))</f>
        <v/>
      </c>
      <c r="H20">
        <f>IF($C20="","",N(IFERROR(IF(INDEX('商品マスタ'!$G$6:$G$1005,MATCH($C20,'商品マスタ'!$B$6:$B$1005,0))="",IF(COUNTIFS('①在庫を貼る'!$V$6:$V$10005,'設定'!$C$4,'①在庫を貼る'!$W$6:$W$10005,$C20)&gt;0,SUMIFS('①在庫を貼る'!$Q$6:$Q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Q$6:$Q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Q$6:$Q$10005,'月1回_2ヶ月前の在庫'!$V$6:$V$10005,'設定'!$C$4,'月1回_2ヶ月前の在庫'!$W$6:$W$10005,$C20)/COUNTIFS('月1回_2ヶ月前の在庫'!$V$6:$V$10005,'設定'!$C$4,'月1回_2ヶ月前の在庫'!$W$6:$W$10005,$C20),0))),INDEX('商品マスタ'!$G$6:$G$1005,MATCH($C20,'商品マスタ'!$B$6:$B$1005,0))),IF(COUNTIFS('①在庫を貼る'!$V$6:$V$10005,'設定'!$C$4,'①在庫を貼る'!$W$6:$W$10005,$C20)&gt;0,SUMIFS('①在庫を貼る'!$Q$6:$Q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Q$6:$Q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Q$6:$Q$10005,'月1回_2ヶ月前の在庫'!$V$6:$V$10005,'設定'!$C$4,'月1回_2ヶ月前の在庫'!$W$6:$W$10005,$C20)/COUNTIFS('月1回_2ヶ月前の在庫'!$V$6:$V$10005,'設定'!$C$4,'月1回_2ヶ月前の在庫'!$W$6:$W$10005,$C20),0))))))</f>
        <v/>
      </c>
      <c r="I20">
        <f>IF($C20="","",IF(COUNTIFS('①在庫を貼る'!$V$6:$V$10005,'設定'!$C$4,'①在庫を貼る'!$W$6:$W$10005,$C20)=0,"",SUMIFS('①在庫を貼る'!$N$6:$N$10005,'①在庫を貼る'!$V$6:$V$10005,'設定'!$C$4,'①在庫を貼る'!$W$6:$W$10005,$C20)))</f>
        <v/>
      </c>
      <c r="J20">
        <f>IF($C20="","",IF('②発注する'!$AD24="","",'②発注する'!$AD24))</f>
        <v/>
      </c>
      <c r="K20" s="90">
        <f>IF($C20="","",IF('②発注する'!$AE24="","",'②発注する'!$AE24))</f>
        <v/>
      </c>
      <c r="L20">
        <f>IF($C20="","",IF(AND(ISNUMBER($J20),ISNUMBER($K20),$K20&gt;='設定'!$C$6),$J20,N($I20)))</f>
        <v/>
      </c>
      <c r="M20">
        <f>IF($C20="","",IFERROR(IF(N(INDEX('商品マスタ'!$J$6:$J$1005,MATCH($C20,'商品マスタ'!$B$6:$B$1005,0)))&gt;0,INDEX('商品マスタ'!$J$6:$J$1005,MATCH($C20,'商品マスタ'!$B$6:$B$1005,0)),""),""))</f>
        <v/>
      </c>
      <c r="N20">
        <f>IF($C20="","",IFERROR(IF(N(INDEX('商品マスタ'!$H$6:$H$1005,MATCH($C20,'商品マスタ'!$B$6:$B$1005,0)))&gt;0,INDEX('商品マスタ'!$H$6:$H$1005,MATCH($C20,'商品マスタ'!$B$6:$B$1005,0)),""),""))</f>
        <v/>
      </c>
      <c r="O20">
        <f>IF($C20="","",IF($N20&lt;&gt;"",$N20*$G20,IF(N(IF(COUNTIFS('①在庫を貼る'!$V$6:$V$10005,'設定'!$C$4,'①在庫を貼る'!$W$6:$W$10005,$C20)&gt;0,SUMIFS('①在庫を貼る'!$O$6:$O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O$6:$O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O$6:$O$10005,'月1回_2ヶ月前の在庫'!$V$6:$V$10005,'設定'!$C$4,'月1回_2ヶ月前の在庫'!$W$6:$W$10005,$C20)/COUNTIFS('月1回_2ヶ月前の在庫'!$V$6:$V$10005,'設定'!$C$4,'月1回_2ヶ月前の在庫'!$W$6:$W$10005,$C20),0))))&gt;0,N(IF(COUNTIFS('①在庫を貼る'!$V$6:$V$10005,'設定'!$C$4,'①在庫を貼る'!$W$6:$W$10005,$C20)&gt;0,SUMIFS('①在庫を貼る'!$O$6:$O$10005,'①在庫を貼る'!$V$6:$V$10005,'設定'!$C$4,'①在庫を貼る'!$W$6:$W$10005,$C20)/COUNTIFS('①在庫を貼る'!$V$6:$V$10005,'設定'!$C$4,'①在庫を貼る'!$W$6:$W$10005,$C20),IF(COUNTIFS('月1回_1ヶ月前の在庫'!$V$6:$V$10005,'設定'!$C$4,'月1回_1ヶ月前の在庫'!$W$6:$W$10005,$C20)&gt;0,SUMIFS('月1回_1ヶ月前の在庫'!$O$6:$O$10005,'月1回_1ヶ月前の在庫'!$V$6:$V$10005,'設定'!$C$4,'月1回_1ヶ月前の在庫'!$W$6:$W$10005,$C20)/COUNTIFS('月1回_1ヶ月前の在庫'!$V$6:$V$10005,'設定'!$C$4,'月1回_1ヶ月前の在庫'!$W$6:$W$10005,$C20),IF(COUNTIFS('月1回_2ヶ月前の在庫'!$V$6:$V$10005,'設定'!$C$4,'月1回_2ヶ月前の在庫'!$W$6:$W$10005,$C20)&gt;0,SUMIFS('月1回_2ヶ月前の在庫'!$O$6:$O$10005,'月1回_2ヶ月前の在庫'!$V$6:$V$10005,'設定'!$C$4,'月1回_2ヶ月前の在庫'!$W$6:$W$10005,$C20)/COUNTIFS('月1回_2ヶ月前の在庫'!$V$6:$V$10005,'設定'!$C$4,'月1回_2ヶ月前の在庫'!$W$6:$W$10005,$C20),0)))),"")))</f>
        <v/>
      </c>
      <c r="P20" s="90">
        <f>IF($C20="","",IF('②発注する'!$I24="","",'②発注する'!$I24))</f>
        <v/>
      </c>
      <c r="Q20">
        <f>IF($C20="","",IF('②発注する'!$J24="","",'②発注する'!$J24))</f>
        <v/>
      </c>
      <c r="R20">
        <f>IF($C20="",0,IF(AND(ISNUMBER($P20),ISNUMBER($Q20)),MAX(0,$Q20)*$G20,0))</f>
        <v/>
      </c>
      <c r="S20" s="90">
        <f>IF($C20="","",IF('②発注する'!$M24="","",'②発注する'!$M24))</f>
        <v/>
      </c>
      <c r="T20">
        <f>IF($C20="","",IF('②発注する'!$N24="","",'②発注する'!$N24))</f>
        <v/>
      </c>
      <c r="U20">
        <f>IF($C20="",0,IF(AND(ISNUMBER($S20),ISNUMBER($T20)),MAX(0,$T20)*$G20,0))</f>
        <v/>
      </c>
      <c r="V20">
        <f>IF($C20="",0,IF($M20="",0,MAX(0,$M20)*MAX(0,V$4)/100))</f>
        <v/>
      </c>
      <c r="W20">
        <f>IF($C20="",0,IF($M20="",0,MAX(0,$M20)*MAX(0,W$4)/100))</f>
        <v/>
      </c>
      <c r="X20">
        <f>IF($C20="",0,IF($M20="",0,MAX(0,$M20)*MAX(0,X$4)/100))</f>
        <v/>
      </c>
      <c r="Y20">
        <f>IF($C20="",0,IF($M20="",0,MAX(0,$M20)*MAX(0,Y$4)/100))</f>
        <v/>
      </c>
      <c r="Z20">
        <f>IF($C20="",0,IF($M20="",0,MAX(0,$M20)*MAX(0,Z$4)/100))</f>
        <v/>
      </c>
      <c r="AA20">
        <f>IF($C20="",0,IF($M20="",0,MAX(0,$M20)*MAX(0,AA$4)/100))</f>
        <v/>
      </c>
      <c r="AB20">
        <f>IF($C20="",0,IF($M20="",0,MAX(0,$M20)*MAX(0,AB$4)/100))</f>
        <v/>
      </c>
      <c r="AC20">
        <f>IF($C20="",0,IF($M20="",0,MAX(0,$M20)*MAX(0,AC$4)/100))</f>
        <v/>
      </c>
      <c r="AD20">
        <f>IF($C20="",0,IF($M20="",0,MAX(0,$M20)*MAX(0,AD$4)/100))</f>
        <v/>
      </c>
      <c r="AE20">
        <f>IF($C20="",0,IF($M20="",0,MAX(0,$M20)*MAX(0,AE$4)/100))</f>
        <v/>
      </c>
      <c r="AF20">
        <f>IF($C20="",0,IF($M20="",0,MAX(0,$M20)*MAX(0,AF$4)/100))</f>
        <v/>
      </c>
      <c r="AG20">
        <f>IF($C20="",0,IF($M20="",0,MAX(0,$M20)*MAX(0,AG$4)/100))</f>
        <v/>
      </c>
      <c r="AH20">
        <f>IF($C20="",0,IF($M20="",0,MAX(0,$M20)*MAX(0,AH$4)/100))</f>
        <v/>
      </c>
      <c r="AI20">
        <f>IF($C20="",0,IF($M20="",0,MAX(0,$M20)*MAX(0,AI$4)/100))</f>
        <v/>
      </c>
      <c r="AJ20">
        <f>IF($C20="",0,MAX(0,MAX(0,N($L20))-$V20))</f>
        <v/>
      </c>
      <c r="AK20">
        <f>IF($C20="",0,MAX(0,$AJ20-$W20))</f>
        <v/>
      </c>
      <c r="AL20">
        <f>IF($C20="",0,MAX(0,$AK20-$X20))</f>
        <v/>
      </c>
      <c r="AM20">
        <f>IF($C20="",0,MAX(0,$AL20-$Y20))</f>
        <v/>
      </c>
      <c r="AN20">
        <f>IF($C20="",0,MAX(0,$AM20-$Z20))</f>
        <v/>
      </c>
      <c r="AO20">
        <f>IF($C20="",0,MAX(0,$AN20-$AA20))</f>
        <v/>
      </c>
      <c r="AP20">
        <f>IF($C20="",0,MAX(0,$AO20-$AB20))</f>
        <v/>
      </c>
      <c r="AQ20">
        <f>IF($C20="",0,MAX(0,$AP20-$AC20))</f>
        <v/>
      </c>
      <c r="AR20">
        <f>IF($C20="",0,MAX(0,$AQ20-$AD20))</f>
        <v/>
      </c>
      <c r="AS20">
        <f>IF($C20="",0,MAX(0,$AR20-$AE20))</f>
        <v/>
      </c>
      <c r="AT20">
        <f>IF($C20="",0,MAX(0,$AS20-$AF20))</f>
        <v/>
      </c>
      <c r="AU20">
        <f>IF($C20="",0,MAX(0,$AT20-$AG20))</f>
        <v/>
      </c>
      <c r="AV20">
        <f>IF($C20="",0,MAX(0,$AU20-$AH20))</f>
        <v/>
      </c>
      <c r="AW20">
        <f>IF($C20="",0,MAX(0,$AV20-$AI20))</f>
        <v/>
      </c>
      <c r="AX20">
        <f>IF($C20="",0,MAX(0,MAX(0,N($L20))+IF($P20=V$3,$R20,0)+IF($S20=V$3,$U20,0)-$V20))</f>
        <v/>
      </c>
      <c r="AY20">
        <f>IF($C20="",0,MAX(0,$AX20+IF($P20=W$3,$R20,0)+IF($S20=W$3,$U20,0)-$W20))</f>
        <v/>
      </c>
      <c r="AZ20">
        <f>IF($C20="",0,MAX(0,$AY20+IF($P20=X$3,$R20,0)+IF($S20=X$3,$U20,0)-$X20))</f>
        <v/>
      </c>
      <c r="BA20">
        <f>IF($C20="",0,MAX(0,$AZ20+IF($P20=Y$3,$R20,0)+IF($S20=Y$3,$U20,0)-$Y20))</f>
        <v/>
      </c>
      <c r="BB20">
        <f>IF($C20="",0,MAX(0,$BA20+IF($P20=Z$3,$R20,0)+IF($S20=Z$3,$U20,0)-$Z20))</f>
        <v/>
      </c>
      <c r="BC20">
        <f>IF($C20="",0,MAX(0,$BB20+IF($P20=AA$3,$R20,0)+IF($S20=AA$3,$U20,0)-$AA20))</f>
        <v/>
      </c>
      <c r="BD20">
        <f>IF($C20="",0,MAX(0,$BC20+IF($P20=AB$3,$R20,0)+IF($S20=AB$3,$U20,0)-$AB20))</f>
        <v/>
      </c>
      <c r="BE20">
        <f>IF($C20="",0,MAX(0,$BD20+IF($P20=AC$3,$R20,0)+IF($S20=AC$3,$U20,0)-$AC20))</f>
        <v/>
      </c>
      <c r="BF20">
        <f>IF($C20="",0,MAX(0,$BE20+IF($P20=AD$3,$R20,0)+IF($S20=AD$3,$U20,0)-$AD20))</f>
        <v/>
      </c>
      <c r="BG20">
        <f>IF($C20="",0,MAX(0,$BF20+IF($P20=AE$3,$R20,0)+IF($S20=AE$3,$U20,0)-$AE20))</f>
        <v/>
      </c>
      <c r="BH20">
        <f>IF($C20="",0,MAX(0,$BG20+IF($P20=AF$3,$R20,0)+IF($S20=AF$3,$U20,0)-$AF20))</f>
        <v/>
      </c>
      <c r="BI20">
        <f>IF($C20="",0,MAX(0,$BH20+IF($P20=AG$3,$R20,0)+IF($S20=AG$3,$U20,0)-$AG20))</f>
        <v/>
      </c>
      <c r="BJ20">
        <f>IF($C20="",0,MAX(0,$BI20+IF($P20=AH$3,$R20,0)+IF($S20=AH$3,$U20,0)-$AH20))</f>
        <v/>
      </c>
      <c r="BK20">
        <f>IF($C20="",0,MAX(0,$BJ20+IF($P20=AI$3,$R20,0)+IF($S20=AI$3,$U20,0)-$AI20))</f>
        <v/>
      </c>
      <c r="BL20">
        <f>IF($C20="",99,IF(AND($AX20&lt;1,V$3&gt;=MAX(N($P20),N($S20))),0,99))</f>
        <v/>
      </c>
      <c r="BM20">
        <f>IF($C20="",99,IF(AND($AY20&lt;1,W$3&gt;=MAX(N($P20),N($S20))),1,99))</f>
        <v/>
      </c>
      <c r="BN20">
        <f>IF($C20="",99,IF(AND($AZ20&lt;1,X$3&gt;=MAX(N($P20),N($S20))),2,99))</f>
        <v/>
      </c>
      <c r="BO20">
        <f>IF($C20="",99,IF(AND($BA20&lt;1,Y$3&gt;=MAX(N($P20),N($S20))),3,99))</f>
        <v/>
      </c>
      <c r="BP20">
        <f>IF($C20="",99,IF(AND($BB20&lt;1,Z$3&gt;=MAX(N($P20),N($S20))),4,99))</f>
        <v/>
      </c>
      <c r="BQ20">
        <f>IF($C20="",99,IF(AND($BC20&lt;1,AA$3&gt;=MAX(N($P20),N($S20))),5,99))</f>
        <v/>
      </c>
      <c r="BR20">
        <f>IF($C20="",99,IF(AND($BD20&lt;1,AB$3&gt;=MAX(N($P20),N($S20))),6,99))</f>
        <v/>
      </c>
      <c r="BS20">
        <f>IF($C20="",99,IF(AND($BE20&lt;1,AC$3&gt;=MAX(N($P20),N($S20))),7,99))</f>
        <v/>
      </c>
      <c r="BT20">
        <f>IF($C20="",99,IF(AND($BF20&lt;1,AD$3&gt;=MAX(N($P20),N($S20))),8,99))</f>
        <v/>
      </c>
      <c r="BU20">
        <f>IF($C20="",99,IF(AND($BG20&lt;1,AE$3&gt;=MAX(N($P20),N($S20))),9,99))</f>
        <v/>
      </c>
      <c r="BV20">
        <f>IF($C20="",99,IF(AND($BH20&lt;1,AF$3&gt;=MAX(N($P20),N($S20))),10,99))</f>
        <v/>
      </c>
      <c r="BW20">
        <f>IF($C20="",99,IF(AND($BI20&lt;1,AG$3&gt;=MAX(N($P20),N($S20))),11,99))</f>
        <v/>
      </c>
      <c r="BX20">
        <f>IF($C20="",99,IF(AND($BJ20&lt;1,AH$3&gt;=MAX(N($P20),N($S20))),12,99))</f>
        <v/>
      </c>
      <c r="BY20">
        <f>IF($C20="",99,IF(AND($BK20&lt;1,AI$3&gt;=MAX(N($P20),N($S20))),13,99))</f>
        <v/>
      </c>
      <c r="BZ20">
        <f>IF(OR($C20="",$M20=""),"",COUNTIF($AJ20:$AW20,"&gt;=1"))</f>
        <v/>
      </c>
      <c r="CA20" s="90">
        <f>IF($BZ20="","",IF($BZ20&gt;=14,"",'設定'!$C$6+$BZ20))</f>
        <v/>
      </c>
      <c r="CB20">
        <f>IF(OR($C20="",$M20=""),"",MIN($BL20:$BY20))</f>
        <v/>
      </c>
      <c r="CC20" s="90">
        <f>IF($CB20="","",IF($CB20&gt;=99,"",'設定'!$C$6+$CB20))</f>
        <v/>
      </c>
      <c r="CD20">
        <f>IF(OR($C20="",$M20=""),"",AVERAGE($V20:$AI20))</f>
        <v/>
      </c>
      <c r="CE20">
        <f>IF($C20="","",IFERROR(IF(MATCH(IF(ISNUMBER($P20),$P20,'設定'!$C$6+N('設定'!$C$7)),$V$3:$AI$3,0)=1,MAX(0,N($L20)),INDEX($AJ20:$AW20,MATCH(IF(ISNUMBER($P20),$P20,'設定'!$C$6+N('設定'!$C$7)),$V$3:$AI$3,0)-1)),""))</f>
        <v/>
      </c>
      <c r="CF20">
        <f>IF(OR($C20="",$O20="",$CE20=""),"",IF($O20-$CE20&lt;=0,0,ROUNDUP(($O20-$CE20)/$G20,0)))</f>
        <v/>
      </c>
      <c r="CG20">
        <f>IF(OR($C20="",$CF20="",NOT(ISNUMBER($Q20))),0,MAX(0,$Q20-$CF20))</f>
        <v/>
      </c>
      <c r="CH20">
        <f>IF(OR($C20="",$O20="",$U20=0),0,IFERROR(ROUNDUP(MAX(0,IF(MATCH($S20,$V$3:$AI$3,0)=1,MAX(0,N($L20)),INDEX($AX20:$BK20,MATCH($S20,$V$3:$AI$3,0)-1))+$U20-$O20)/$G20,0),0))</f>
        <v/>
      </c>
      <c r="CI20">
        <f>IF($C20="","",IF(AND($P20="",$Q20=""),"",IF($P20="","⚠ 入庫日を ▼ から選んでください",IF(NOT(ISNUMBER($P20)),"⚠ 入庫日は ▼ から選んでください",IF($P20&lt;N('設定'!$C$6),"⚠ 入庫日が過去です（もう在庫に入っています）→ 消してください",IF($P20&gt;N('設定'!$C$6)+13,"⚠ 入庫日が14日より先です",IF(N($Q20)&lt;=0,"⚠ 入庫数を入れてください",IF($CG20&gt;0,"⚠ 目安より "&amp;$CG20&amp;" 多い（定数を超える）→ 減らす",""))))))))</f>
        <v/>
      </c>
      <c r="CJ20">
        <f>IF($C20="","",IF(AND($S20="",$T20=""),"",IF($S20="","⚠ 2便目：入庫日を ▼ から選んでください",IF(NOT(ISNUMBER($S20)),"⚠ 2便目：入庫日は ▼ から選んでください",IF($S20&lt;N('設定'!$C$6),"⚠ 2便目：入庫日が過去です（もう在庫に入っています）→ 消してください",IF($S20&gt;N('設定'!$C$6)+13,"⚠ 2便目：入庫日が14日より先です",IF(N($T20)&lt;=0,"⚠ 2便目：入庫数を入れてください",IF($CH20&gt;0,"⚠ 2便目：定数を "&amp;$CH20&amp;" ケース超える → 減らす",""))))))))</f>
        <v/>
      </c>
      <c r="CK20">
        <f>IF(AND($CI20="",N($Q20)&gt;0,ISNUMBER($P20)),1,0)</f>
        <v/>
      </c>
      <c r="CL20">
        <f>IF(AND($CJ20="",N($T20)&gt;0,ISNUMBER($S20)),1,0)</f>
        <v/>
      </c>
      <c r="CM20">
        <f>IF(OR($CK20=1,$CL20=1),1,0)</f>
        <v/>
      </c>
      <c r="CN20">
        <f>IF($C20="",0,($CK20*$R20+$CL20*$U20)*N($H20))</f>
        <v/>
      </c>
      <c r="CO20">
        <f>IF($C20="","",IF($CC20="","入庫後は 14日以上もつ",IF($CC20-N('設定'!$C$7)&lt;='設定'!$C$6,"入庫後も "&amp;TEXT($CC20,"m/d")&amp;"("&amp;CHOOSE(WEEKDAY($CC20),"日","月","火","水","木","金","土")&amp;")"&amp;" に切れる　もう1便を至急発注","入庫後も "&amp;TEXT($CC20,"m/d")&amp;"("&amp;CHOOSE(WEEKDAY($CC20),"日","月","火","水","木","金","土")&amp;")"&amp;" に切れる　"&amp;TEXT($CC20-N('設定'!$C$7),"m/d")&amp;"("&amp;CHOOSE(WEEKDAY($CC20-N('設定'!$C$7)),"日","月","火","水","木","金","土")&amp;")"&amp;" までに次を発注")))</f>
        <v/>
      </c>
      <c r="CP20">
        <f>IF($C20="","",IF('設定'!$C$6="","？ ①在庫を貼る に今日のCSVが貼られていない",IF($CS20=1,"－ 今日のCSVに無い（終売？）",IF($L20&lt;0,"● 在庫がマイナス　数えて「数えた在庫」に入れる",IF($L20=0,"● 在庫なし　至急発注",IF($M20="","？ 減り数が未設定（商品マスタ）",IF($B$3=0,"？ 動員が未入力（動員を入れる）",IF($CA20="","○ 14日以上もつ",IF($BZ20&lt;N('設定'!$C$7),"● "&amp;TEXT($CA20,"m/d")&amp;"("&amp;CHOOSE(WEEKDAY($CA20),"日","月","火","水","木","金","土")&amp;")"&amp;" に切れる　至急発注",IF($BZ20=N('設定'!$C$7),"● "&amp;TEXT($CA20,"m/d")&amp;"("&amp;CHOOSE(WEEKDAY($CA20),"日","月","火","水","木","金","土")&amp;")"&amp;" に切れる　今日発注","△ "&amp;TEXT($CA20,"m/d")&amp;"("&amp;CHOOSE(WEEKDAY($CA20),"日","月","火","水","木","金","土")&amp;")"&amp;" に切れる　"&amp;TEXT($CA20-N('設定'!$C$7),"m/d")&amp;"("&amp;CHOOSE(WEEKDAY($CA20-N('設定'!$C$7)),"日","月","火","水","木","金","土")&amp;")"&amp;" までに発注"))))))))))</f>
        <v/>
      </c>
      <c r="CQ20">
        <f>IF($C20="","",IF(AND($P20="",$Q20="",$S20="",$T20=""),"",IF(AND($P20="",$Q20=""),"⚠ 先に1便目（左の入庫日・入庫数）に入れてください",IF($CI20&lt;&gt;"",$CI20,IF($CJ20&lt;&gt;"",$CJ20,IF($M20="","？ 減り数が未設定（発注書には載ります）",IF($B$3=0,"？ 動員が未入力（発注書には載ります）",IF(AND($CA20&lt;&gt;"",$P20&gt;$CA20),IF($P20&gt;'設定'!$C$6+N('設定'!$C$7),"● "&amp;TEXT($P20,"m/d")&amp;"("&amp;CHOOSE(WEEKDAY($P20),"日","月","火","水","木","金","土")&amp;")"&amp;" の入庫では間に合わない（"&amp;TEXT($CA20,"m/d")&amp;"("&amp;CHOOSE(WEEKDAY($CA20),"日","月","火","水","木","金","土")&amp;")"&amp;" に切れる）　入庫日を早める","△ 欠品 "&amp;TEXT($CA20,"m/d")&amp;"("&amp;CHOOSE(WEEKDAY($CA20),"日","月","火","水","木","金","土")&amp;")"&amp;"〜"&amp;TEXT($P20-1,"m/d")&amp;"("&amp;CHOOSE(WEEKDAY($P20-1),"日","月","火","水","木","金","土")&amp;")"&amp;"　"&amp;$CO20),IF($CC20="","○ "&amp;TEXT($P20,"m/d")&amp;"("&amp;CHOOSE(WEEKDAY($P20),"日","月","火","水","木","金","土")&amp;")"&amp;" 入庫で 14日以上もつ",IF($CC20-N('設定'!$C$7)&lt;='設定'!$C$6,"● 入庫しても "&amp;TEXT($CC20,"m/d")&amp;"("&amp;CHOOSE(WEEKDAY($CC20),"日","月","火","水","木","金","土")&amp;")"&amp;" に切れる　もう1便を至急発注（2便目に入れる）","△ 入庫しても "&amp;TEXT($CC20,"m/d")&amp;"("&amp;CHOOSE(WEEKDAY($CC20),"日","月","火","水","木","金","土")&amp;")"&amp;" に切れる　"&amp;TEXT($CC20-N('設定'!$C$7),"m/d")&amp;"("&amp;CHOOSE(WEEKDAY($CC20-N('設定'!$C$7)),"日","月","火","水","木","金","土")&amp;")"&amp;" までに次を発注（2便目に入れる）"))))))))))</f>
        <v/>
      </c>
      <c r="CR20">
        <f>IF($C20="","",IF($G20&gt;1,"ｹｰｽ("&amp;$G20&amp;"入)","個"))</f>
        <v/>
      </c>
      <c r="CS20">
        <f>IF($C20="",0,IF(COUNTIFS('①在庫を貼る'!$V$6:$V$10005,'設定'!$C$4,'①在庫を貼る'!$W$6:$W$10005,$C20)=0,1,0))</f>
        <v/>
      </c>
      <c r="CT20">
        <f>IF(AND($CK20=1,OR('③発注書'!$C$4="すべて",'③発注書'!$C$4="",$F20='③発注書'!$C$4)),N($CT19)+1,N($CT19))</f>
        <v/>
      </c>
      <c r="CU20">
        <f>IF(AND($CL20=1,OR('③発注書'!$C$4="すべて",'③発注書'!$C$4="",$F20='③発注書'!$C$4)),N($CU19)+1,N($CU19))</f>
        <v/>
      </c>
      <c r="CV20">
        <f>IF($C20="",0,IF(COUNTIFS('①在庫を貼る'!$V$6:$V$10005,'設定'!$C$4,'①在庫を貼る'!$W$6:$W$10005,$C20)&gt;0,1,0))</f>
        <v/>
      </c>
      <c r="CW20">
        <f>IF($C20="",0,IF(COUNTIFS('月1回_1ヶ月前の在庫'!$V$6:$V$10005,'設定'!$C$4,'月1回_1ヶ月前の在庫'!$W$6:$W$10005,$C20)&gt;0,1,0))</f>
        <v/>
      </c>
      <c r="CX20">
        <f>IF($C20="",0,IF(COUNTIFS('月1回_2ヶ月前の在庫'!$V$6:$V$10005,'設定'!$C$4,'月1回_2ヶ月前の在庫'!$W$6:$W$10005,$C20)&gt;0,1,0))</f>
        <v/>
      </c>
      <c r="CY20">
        <f>IF(OR($C20="",'設定'!$C$12=""),"",IF('設定'!$C$13="",IF(AND($CV20=1,$CW20=0),"新商品（今月から）",IF(AND($CV20=0,$CW20=1),"終売（今月から）","")),IF(AND($CV20=1,$CW20=0,$CX20=0),"新商品（今月から）",IF(AND($CV20=1,$CW20=1,$CX20=0),"新商品（先月から）",IF(AND($CV20=0,$CW20=1,$CX20=1),"終売（今月から）",IF(AND($CV20=0,$CW20=0,$CX20=1),"終売（先月から）",IF(AND($CV20=1,$CW20=0,$CX20=1),"復活（先月は無し）","")))))))</f>
        <v/>
      </c>
    </row>
    <row r="21">
      <c r="B21">
        <f>IF(16&lt;='設定'!$C$11,16,"")</f>
        <v/>
      </c>
      <c r="C21">
        <f>IF($B21="","",IF($B21&lt;='設定'!$C$20,INDEX('商品マスタ'!$B$6:$B$1005,MATCH($B21,'商品マスタ'!$M$6:$M$1005,0)),IF($B21&lt;='設定'!$C$20+'設定'!$C$17,INDEX('①在庫を貼る'!$W$6:$W$10005,MATCH($B21-'設定'!$C$20,'①在庫を貼る'!$U$6:$U$10005,0)),IF($B21&lt;='設定'!$C$20+'設定'!$C$17+'設定'!$C$18,INDEX('月1回_1ヶ月前の在庫'!$W$6:$W$10005,MATCH($B21-'設定'!$C$20-'設定'!$C$17,'月1回_1ヶ月前の在庫'!$U$6:$U$10005,0)),INDEX('月1回_2ヶ月前の在庫'!$W$6:$W$10005,MATCH($B21-'設定'!$C$20-'設定'!$C$17-'設定'!$C$18,'月1回_2ヶ月前の在庫'!$U$6:$U$10005,0))))))</f>
        <v/>
      </c>
      <c r="D21">
        <f>IF($C21="","",IFERROR(IF(INDEX('商品マスタ'!$C$6:$C$1005,MATCH($C21,'商品マスタ'!$B$6:$B$1005,0))="",IFERROR(INDEX('①在庫を貼る'!$J$6:$J$10005,MATCH($C21,'①在庫を貼る'!$W$6:$W$10005,0)),IFERROR(INDEX('月1回_1ヶ月前の在庫'!$J$6:$J$10005,MATCH($C21,'月1回_1ヶ月前の在庫'!$W$6:$W$10005,0)),IFERROR(INDEX('月1回_2ヶ月前の在庫'!$J$6:$J$10005,MATCH($C21,'月1回_2ヶ月前の在庫'!$W$6:$W$10005,0)),""))),INDEX('商品マスタ'!$C$6:$C$1005,MATCH($C21,'商品マスタ'!$B$6:$B$1005,0))),IFERROR(INDEX('①在庫を貼る'!$J$6:$J$10005,MATCH($C21,'①在庫を貼る'!$W$6:$W$10005,0)),IFERROR(INDEX('月1回_1ヶ月前の在庫'!$J$6:$J$10005,MATCH($C21,'月1回_1ヶ月前の在庫'!$W$6:$W$10005,0)),IFERROR(INDEX('月1回_2ヶ月前の在庫'!$J$6:$J$10005,MATCH($C21,'月1回_2ヶ月前の在庫'!$W$6:$W$10005,0)),"")))))</f>
        <v/>
      </c>
      <c r="E21">
        <f>IF($C21="","",IFERROR(IF(INDEX('商品マスタ'!$D$6:$D$1005,MATCH($C21,'商品マスタ'!$B$6:$B$1005,0))="",IFERROR(INDEX('①在庫を貼る'!$H$6:$H$10005,MATCH($C21,'①在庫を貼る'!$W$6:$W$10005,0)),IFERROR(INDEX('月1回_1ヶ月前の在庫'!$H$6:$H$10005,MATCH($C21,'月1回_1ヶ月前の在庫'!$W$6:$W$10005,0)),IFERROR(INDEX('月1回_2ヶ月前の在庫'!$H$6:$H$10005,MATCH($C21,'月1回_2ヶ月前の在庫'!$W$6:$W$10005,0)),""))),INDEX('商品マスタ'!$D$6:$D$1005,MATCH($C21,'商品マスタ'!$B$6:$B$1005,0))),IFERROR(INDEX('①在庫を貼る'!$H$6:$H$10005,MATCH($C21,'①在庫を貼る'!$W$6:$W$10005,0)),IFERROR(INDEX('月1回_1ヶ月前の在庫'!$H$6:$H$10005,MATCH($C21,'月1回_1ヶ月前の在庫'!$W$6:$W$10005,0)),IFERROR(INDEX('月1回_2ヶ月前の在庫'!$H$6:$H$10005,MATCH($C21,'月1回_2ヶ月前の在庫'!$W$6:$W$10005,0)),"")))))</f>
        <v/>
      </c>
      <c r="F21">
        <f>IF($C21="","",IFERROR(IF(INDEX('商品マスタ'!$E$6:$E$1005,MATCH($C21,'商品マスタ'!$B$6:$B$1005,0))="",IFERROR(INDEX('①在庫を貼る'!$E$6:$E$10005,MATCH($C21,'①在庫を貼る'!$W$6:$W$10005,0)),IFERROR(INDEX('月1回_1ヶ月前の在庫'!$E$6:$E$10005,MATCH($C21,'月1回_1ヶ月前の在庫'!$W$6:$W$10005,0)),IFERROR(INDEX('月1回_2ヶ月前の在庫'!$E$6:$E$10005,MATCH($C21,'月1回_2ヶ月前の在庫'!$W$6:$W$10005,0)),""))),INDEX('商品マスタ'!$E$6:$E$1005,MATCH($C21,'商品マスタ'!$B$6:$B$1005,0))),IFERROR(INDEX('①在庫を貼る'!$E$6:$E$10005,MATCH($C21,'①在庫を貼る'!$W$6:$W$10005,0)),IFERROR(INDEX('月1回_1ヶ月前の在庫'!$E$6:$E$10005,MATCH($C21,'月1回_1ヶ月前の在庫'!$W$6:$W$10005,0)),IFERROR(INDEX('月1回_2ヶ月前の在庫'!$E$6:$E$10005,MATCH($C21,'月1回_2ヶ月前の在庫'!$W$6:$W$10005,0)),"")))))</f>
        <v/>
      </c>
      <c r="G21">
        <f>IF($C21="","",MAX(1,N(IFERROR(IF(INDEX('商品マスタ'!$F$6:$F$1005,MATCH($C21,'商品マスタ'!$B$6:$B$1005,0))="",IF(COUNTIFS('①在庫を貼る'!$V$6:$V$10005,'設定'!$C$4,'①在庫を貼る'!$W$6:$W$10005,$C21)&gt;0,SUMIFS('①在庫を貼る'!$K$6:$K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K$6:$K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K$6:$K$10005,'月1回_2ヶ月前の在庫'!$V$6:$V$10005,'設定'!$C$4,'月1回_2ヶ月前の在庫'!$W$6:$W$10005,$C21)/COUNTIFS('月1回_2ヶ月前の在庫'!$V$6:$V$10005,'設定'!$C$4,'月1回_2ヶ月前の在庫'!$W$6:$W$10005,$C21),0))),INDEX('商品マスタ'!$F$6:$F$1005,MATCH($C21,'商品マスタ'!$B$6:$B$1005,0))),IF(COUNTIFS('①在庫を貼る'!$V$6:$V$10005,'設定'!$C$4,'①在庫を貼る'!$W$6:$W$10005,$C21)&gt;0,SUMIFS('①在庫を貼る'!$K$6:$K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K$6:$K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K$6:$K$10005,'月1回_2ヶ月前の在庫'!$V$6:$V$10005,'設定'!$C$4,'月1回_2ヶ月前の在庫'!$W$6:$W$10005,$C21)/COUNTIFS('月1回_2ヶ月前の在庫'!$V$6:$V$10005,'設定'!$C$4,'月1回_2ヶ月前の在庫'!$W$6:$W$10005,$C21),0)))))))</f>
        <v/>
      </c>
      <c r="H21">
        <f>IF($C21="","",N(IFERROR(IF(INDEX('商品マスタ'!$G$6:$G$1005,MATCH($C21,'商品マスタ'!$B$6:$B$1005,0))="",IF(COUNTIFS('①在庫を貼る'!$V$6:$V$10005,'設定'!$C$4,'①在庫を貼る'!$W$6:$W$10005,$C21)&gt;0,SUMIFS('①在庫を貼る'!$Q$6:$Q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Q$6:$Q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Q$6:$Q$10005,'月1回_2ヶ月前の在庫'!$V$6:$V$10005,'設定'!$C$4,'月1回_2ヶ月前の在庫'!$W$6:$W$10005,$C21)/COUNTIFS('月1回_2ヶ月前の在庫'!$V$6:$V$10005,'設定'!$C$4,'月1回_2ヶ月前の在庫'!$W$6:$W$10005,$C21),0))),INDEX('商品マスタ'!$G$6:$G$1005,MATCH($C21,'商品マスタ'!$B$6:$B$1005,0))),IF(COUNTIFS('①在庫を貼る'!$V$6:$V$10005,'設定'!$C$4,'①在庫を貼る'!$W$6:$W$10005,$C21)&gt;0,SUMIFS('①在庫を貼る'!$Q$6:$Q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Q$6:$Q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Q$6:$Q$10005,'月1回_2ヶ月前の在庫'!$V$6:$V$10005,'設定'!$C$4,'月1回_2ヶ月前の在庫'!$W$6:$W$10005,$C21)/COUNTIFS('月1回_2ヶ月前の在庫'!$V$6:$V$10005,'設定'!$C$4,'月1回_2ヶ月前の在庫'!$W$6:$W$10005,$C21),0))))))</f>
        <v/>
      </c>
      <c r="I21">
        <f>IF($C21="","",IF(COUNTIFS('①在庫を貼る'!$V$6:$V$10005,'設定'!$C$4,'①在庫を貼る'!$W$6:$W$10005,$C21)=0,"",SUMIFS('①在庫を貼る'!$N$6:$N$10005,'①在庫を貼る'!$V$6:$V$10005,'設定'!$C$4,'①在庫を貼る'!$W$6:$W$10005,$C21)))</f>
        <v/>
      </c>
      <c r="J21">
        <f>IF($C21="","",IF('②発注する'!$AD25="","",'②発注する'!$AD25))</f>
        <v/>
      </c>
      <c r="K21" s="90">
        <f>IF($C21="","",IF('②発注する'!$AE25="","",'②発注する'!$AE25))</f>
        <v/>
      </c>
      <c r="L21">
        <f>IF($C21="","",IF(AND(ISNUMBER($J21),ISNUMBER($K21),$K21&gt;='設定'!$C$6),$J21,N($I21)))</f>
        <v/>
      </c>
      <c r="M21">
        <f>IF($C21="","",IFERROR(IF(N(INDEX('商品マスタ'!$J$6:$J$1005,MATCH($C21,'商品マスタ'!$B$6:$B$1005,0)))&gt;0,INDEX('商品マスタ'!$J$6:$J$1005,MATCH($C21,'商品マスタ'!$B$6:$B$1005,0)),""),""))</f>
        <v/>
      </c>
      <c r="N21">
        <f>IF($C21="","",IFERROR(IF(N(INDEX('商品マスタ'!$H$6:$H$1005,MATCH($C21,'商品マスタ'!$B$6:$B$1005,0)))&gt;0,INDEX('商品マスタ'!$H$6:$H$1005,MATCH($C21,'商品マスタ'!$B$6:$B$1005,0)),""),""))</f>
        <v/>
      </c>
      <c r="O21">
        <f>IF($C21="","",IF($N21&lt;&gt;"",$N21*$G21,IF(N(IF(COUNTIFS('①在庫を貼る'!$V$6:$V$10005,'設定'!$C$4,'①在庫を貼る'!$W$6:$W$10005,$C21)&gt;0,SUMIFS('①在庫を貼る'!$O$6:$O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O$6:$O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O$6:$O$10005,'月1回_2ヶ月前の在庫'!$V$6:$V$10005,'設定'!$C$4,'月1回_2ヶ月前の在庫'!$W$6:$W$10005,$C21)/COUNTIFS('月1回_2ヶ月前の在庫'!$V$6:$V$10005,'設定'!$C$4,'月1回_2ヶ月前の在庫'!$W$6:$W$10005,$C21),0))))&gt;0,N(IF(COUNTIFS('①在庫を貼る'!$V$6:$V$10005,'設定'!$C$4,'①在庫を貼る'!$W$6:$W$10005,$C21)&gt;0,SUMIFS('①在庫を貼る'!$O$6:$O$10005,'①在庫を貼る'!$V$6:$V$10005,'設定'!$C$4,'①在庫を貼る'!$W$6:$W$10005,$C21)/COUNTIFS('①在庫を貼る'!$V$6:$V$10005,'設定'!$C$4,'①在庫を貼る'!$W$6:$W$10005,$C21),IF(COUNTIFS('月1回_1ヶ月前の在庫'!$V$6:$V$10005,'設定'!$C$4,'月1回_1ヶ月前の在庫'!$W$6:$W$10005,$C21)&gt;0,SUMIFS('月1回_1ヶ月前の在庫'!$O$6:$O$10005,'月1回_1ヶ月前の在庫'!$V$6:$V$10005,'設定'!$C$4,'月1回_1ヶ月前の在庫'!$W$6:$W$10005,$C21)/COUNTIFS('月1回_1ヶ月前の在庫'!$V$6:$V$10005,'設定'!$C$4,'月1回_1ヶ月前の在庫'!$W$6:$W$10005,$C21),IF(COUNTIFS('月1回_2ヶ月前の在庫'!$V$6:$V$10005,'設定'!$C$4,'月1回_2ヶ月前の在庫'!$W$6:$W$10005,$C21)&gt;0,SUMIFS('月1回_2ヶ月前の在庫'!$O$6:$O$10005,'月1回_2ヶ月前の在庫'!$V$6:$V$10005,'設定'!$C$4,'月1回_2ヶ月前の在庫'!$W$6:$W$10005,$C21)/COUNTIFS('月1回_2ヶ月前の在庫'!$V$6:$V$10005,'設定'!$C$4,'月1回_2ヶ月前の在庫'!$W$6:$W$10005,$C21),0)))),"")))</f>
        <v/>
      </c>
      <c r="P21" s="90">
        <f>IF($C21="","",IF('②発注する'!$I25="","",'②発注する'!$I25))</f>
        <v/>
      </c>
      <c r="Q21">
        <f>IF($C21="","",IF('②発注する'!$J25="","",'②発注する'!$J25))</f>
        <v/>
      </c>
      <c r="R21">
        <f>IF($C21="",0,IF(AND(ISNUMBER($P21),ISNUMBER($Q21)),MAX(0,$Q21)*$G21,0))</f>
        <v/>
      </c>
      <c r="S21" s="90">
        <f>IF($C21="","",IF('②発注する'!$M25="","",'②発注する'!$M25))</f>
        <v/>
      </c>
      <c r="T21">
        <f>IF($C21="","",IF('②発注する'!$N25="","",'②発注する'!$N25))</f>
        <v/>
      </c>
      <c r="U21">
        <f>IF($C21="",0,IF(AND(ISNUMBER($S21),ISNUMBER($T21)),MAX(0,$T21)*$G21,0))</f>
        <v/>
      </c>
      <c r="V21">
        <f>IF($C21="",0,IF($M21="",0,MAX(0,$M21)*MAX(0,V$4)/100))</f>
        <v/>
      </c>
      <c r="W21">
        <f>IF($C21="",0,IF($M21="",0,MAX(0,$M21)*MAX(0,W$4)/100))</f>
        <v/>
      </c>
      <c r="X21">
        <f>IF($C21="",0,IF($M21="",0,MAX(0,$M21)*MAX(0,X$4)/100))</f>
        <v/>
      </c>
      <c r="Y21">
        <f>IF($C21="",0,IF($M21="",0,MAX(0,$M21)*MAX(0,Y$4)/100))</f>
        <v/>
      </c>
      <c r="Z21">
        <f>IF($C21="",0,IF($M21="",0,MAX(0,$M21)*MAX(0,Z$4)/100))</f>
        <v/>
      </c>
      <c r="AA21">
        <f>IF($C21="",0,IF($M21="",0,MAX(0,$M21)*MAX(0,AA$4)/100))</f>
        <v/>
      </c>
      <c r="AB21">
        <f>IF($C21="",0,IF($M21="",0,MAX(0,$M21)*MAX(0,AB$4)/100))</f>
        <v/>
      </c>
      <c r="AC21">
        <f>IF($C21="",0,IF($M21="",0,MAX(0,$M21)*MAX(0,AC$4)/100))</f>
        <v/>
      </c>
      <c r="AD21">
        <f>IF($C21="",0,IF($M21="",0,MAX(0,$M21)*MAX(0,AD$4)/100))</f>
        <v/>
      </c>
      <c r="AE21">
        <f>IF($C21="",0,IF($M21="",0,MAX(0,$M21)*MAX(0,AE$4)/100))</f>
        <v/>
      </c>
      <c r="AF21">
        <f>IF($C21="",0,IF($M21="",0,MAX(0,$M21)*MAX(0,AF$4)/100))</f>
        <v/>
      </c>
      <c r="AG21">
        <f>IF($C21="",0,IF($M21="",0,MAX(0,$M21)*MAX(0,AG$4)/100))</f>
        <v/>
      </c>
      <c r="AH21">
        <f>IF($C21="",0,IF($M21="",0,MAX(0,$M21)*MAX(0,AH$4)/100))</f>
        <v/>
      </c>
      <c r="AI21">
        <f>IF($C21="",0,IF($M21="",0,MAX(0,$M21)*MAX(0,AI$4)/100))</f>
        <v/>
      </c>
      <c r="AJ21">
        <f>IF($C21="",0,MAX(0,MAX(0,N($L21))-$V21))</f>
        <v/>
      </c>
      <c r="AK21">
        <f>IF($C21="",0,MAX(0,$AJ21-$W21))</f>
        <v/>
      </c>
      <c r="AL21">
        <f>IF($C21="",0,MAX(0,$AK21-$X21))</f>
        <v/>
      </c>
      <c r="AM21">
        <f>IF($C21="",0,MAX(0,$AL21-$Y21))</f>
        <v/>
      </c>
      <c r="AN21">
        <f>IF($C21="",0,MAX(0,$AM21-$Z21))</f>
        <v/>
      </c>
      <c r="AO21">
        <f>IF($C21="",0,MAX(0,$AN21-$AA21))</f>
        <v/>
      </c>
      <c r="AP21">
        <f>IF($C21="",0,MAX(0,$AO21-$AB21))</f>
        <v/>
      </c>
      <c r="AQ21">
        <f>IF($C21="",0,MAX(0,$AP21-$AC21))</f>
        <v/>
      </c>
      <c r="AR21">
        <f>IF($C21="",0,MAX(0,$AQ21-$AD21))</f>
        <v/>
      </c>
      <c r="AS21">
        <f>IF($C21="",0,MAX(0,$AR21-$AE21))</f>
        <v/>
      </c>
      <c r="AT21">
        <f>IF($C21="",0,MAX(0,$AS21-$AF21))</f>
        <v/>
      </c>
      <c r="AU21">
        <f>IF($C21="",0,MAX(0,$AT21-$AG21))</f>
        <v/>
      </c>
      <c r="AV21">
        <f>IF($C21="",0,MAX(0,$AU21-$AH21))</f>
        <v/>
      </c>
      <c r="AW21">
        <f>IF($C21="",0,MAX(0,$AV21-$AI21))</f>
        <v/>
      </c>
      <c r="AX21">
        <f>IF($C21="",0,MAX(0,MAX(0,N($L21))+IF($P21=V$3,$R21,0)+IF($S21=V$3,$U21,0)-$V21))</f>
        <v/>
      </c>
      <c r="AY21">
        <f>IF($C21="",0,MAX(0,$AX21+IF($P21=W$3,$R21,0)+IF($S21=W$3,$U21,0)-$W21))</f>
        <v/>
      </c>
      <c r="AZ21">
        <f>IF($C21="",0,MAX(0,$AY21+IF($P21=X$3,$R21,0)+IF($S21=X$3,$U21,0)-$X21))</f>
        <v/>
      </c>
      <c r="BA21">
        <f>IF($C21="",0,MAX(0,$AZ21+IF($P21=Y$3,$R21,0)+IF($S21=Y$3,$U21,0)-$Y21))</f>
        <v/>
      </c>
      <c r="BB21">
        <f>IF($C21="",0,MAX(0,$BA21+IF($P21=Z$3,$R21,0)+IF($S21=Z$3,$U21,0)-$Z21))</f>
        <v/>
      </c>
      <c r="BC21">
        <f>IF($C21="",0,MAX(0,$BB21+IF($P21=AA$3,$R21,0)+IF($S21=AA$3,$U21,0)-$AA21))</f>
        <v/>
      </c>
      <c r="BD21">
        <f>IF($C21="",0,MAX(0,$BC21+IF($P21=AB$3,$R21,0)+IF($S21=AB$3,$U21,0)-$AB21))</f>
        <v/>
      </c>
      <c r="BE21">
        <f>IF($C21="",0,MAX(0,$BD21+IF($P21=AC$3,$R21,0)+IF($S21=AC$3,$U21,0)-$AC21))</f>
        <v/>
      </c>
      <c r="BF21">
        <f>IF($C21="",0,MAX(0,$BE21+IF($P21=AD$3,$R21,0)+IF($S21=AD$3,$U21,0)-$AD21))</f>
        <v/>
      </c>
      <c r="BG21">
        <f>IF($C21="",0,MAX(0,$BF21+IF($P21=AE$3,$R21,0)+IF($S21=AE$3,$U21,0)-$AE21))</f>
        <v/>
      </c>
      <c r="BH21">
        <f>IF($C21="",0,MAX(0,$BG21+IF($P21=AF$3,$R21,0)+IF($S21=AF$3,$U21,0)-$AF21))</f>
        <v/>
      </c>
      <c r="BI21">
        <f>IF($C21="",0,MAX(0,$BH21+IF($P21=AG$3,$R21,0)+IF($S21=AG$3,$U21,0)-$AG21))</f>
        <v/>
      </c>
      <c r="BJ21">
        <f>IF($C21="",0,MAX(0,$BI21+IF($P21=AH$3,$R21,0)+IF($S21=AH$3,$U21,0)-$AH21))</f>
        <v/>
      </c>
      <c r="BK21">
        <f>IF($C21="",0,MAX(0,$BJ21+IF($P21=AI$3,$R21,0)+IF($S21=AI$3,$U21,0)-$AI21))</f>
        <v/>
      </c>
      <c r="BL21">
        <f>IF($C21="",99,IF(AND($AX21&lt;1,V$3&gt;=MAX(N($P21),N($S21))),0,99))</f>
        <v/>
      </c>
      <c r="BM21">
        <f>IF($C21="",99,IF(AND($AY21&lt;1,W$3&gt;=MAX(N($P21),N($S21))),1,99))</f>
        <v/>
      </c>
      <c r="BN21">
        <f>IF($C21="",99,IF(AND($AZ21&lt;1,X$3&gt;=MAX(N($P21),N($S21))),2,99))</f>
        <v/>
      </c>
      <c r="BO21">
        <f>IF($C21="",99,IF(AND($BA21&lt;1,Y$3&gt;=MAX(N($P21),N($S21))),3,99))</f>
        <v/>
      </c>
      <c r="BP21">
        <f>IF($C21="",99,IF(AND($BB21&lt;1,Z$3&gt;=MAX(N($P21),N($S21))),4,99))</f>
        <v/>
      </c>
      <c r="BQ21">
        <f>IF($C21="",99,IF(AND($BC21&lt;1,AA$3&gt;=MAX(N($P21),N($S21))),5,99))</f>
        <v/>
      </c>
      <c r="BR21">
        <f>IF($C21="",99,IF(AND($BD21&lt;1,AB$3&gt;=MAX(N($P21),N($S21))),6,99))</f>
        <v/>
      </c>
      <c r="BS21">
        <f>IF($C21="",99,IF(AND($BE21&lt;1,AC$3&gt;=MAX(N($P21),N($S21))),7,99))</f>
        <v/>
      </c>
      <c r="BT21">
        <f>IF($C21="",99,IF(AND($BF21&lt;1,AD$3&gt;=MAX(N($P21),N($S21))),8,99))</f>
        <v/>
      </c>
      <c r="BU21">
        <f>IF($C21="",99,IF(AND($BG21&lt;1,AE$3&gt;=MAX(N($P21),N($S21))),9,99))</f>
        <v/>
      </c>
      <c r="BV21">
        <f>IF($C21="",99,IF(AND($BH21&lt;1,AF$3&gt;=MAX(N($P21),N($S21))),10,99))</f>
        <v/>
      </c>
      <c r="BW21">
        <f>IF($C21="",99,IF(AND($BI21&lt;1,AG$3&gt;=MAX(N($P21),N($S21))),11,99))</f>
        <v/>
      </c>
      <c r="BX21">
        <f>IF($C21="",99,IF(AND($BJ21&lt;1,AH$3&gt;=MAX(N($P21),N($S21))),12,99))</f>
        <v/>
      </c>
      <c r="BY21">
        <f>IF($C21="",99,IF(AND($BK21&lt;1,AI$3&gt;=MAX(N($P21),N($S21))),13,99))</f>
        <v/>
      </c>
      <c r="BZ21">
        <f>IF(OR($C21="",$M21=""),"",COUNTIF($AJ21:$AW21,"&gt;=1"))</f>
        <v/>
      </c>
      <c r="CA21" s="90">
        <f>IF($BZ21="","",IF($BZ21&gt;=14,"",'設定'!$C$6+$BZ21))</f>
        <v/>
      </c>
      <c r="CB21">
        <f>IF(OR($C21="",$M21=""),"",MIN($BL21:$BY21))</f>
        <v/>
      </c>
      <c r="CC21" s="90">
        <f>IF($CB21="","",IF($CB21&gt;=99,"",'設定'!$C$6+$CB21))</f>
        <v/>
      </c>
      <c r="CD21">
        <f>IF(OR($C21="",$M21=""),"",AVERAGE($V21:$AI21))</f>
        <v/>
      </c>
      <c r="CE21">
        <f>IF($C21="","",IFERROR(IF(MATCH(IF(ISNUMBER($P21),$P21,'設定'!$C$6+N('設定'!$C$7)),$V$3:$AI$3,0)=1,MAX(0,N($L21)),INDEX($AJ21:$AW21,MATCH(IF(ISNUMBER($P21),$P21,'設定'!$C$6+N('設定'!$C$7)),$V$3:$AI$3,0)-1)),""))</f>
        <v/>
      </c>
      <c r="CF21">
        <f>IF(OR($C21="",$O21="",$CE21=""),"",IF($O21-$CE21&lt;=0,0,ROUNDUP(($O21-$CE21)/$G21,0)))</f>
        <v/>
      </c>
      <c r="CG21">
        <f>IF(OR($C21="",$CF21="",NOT(ISNUMBER($Q21))),0,MAX(0,$Q21-$CF21))</f>
        <v/>
      </c>
      <c r="CH21">
        <f>IF(OR($C21="",$O21="",$U21=0),0,IFERROR(ROUNDUP(MAX(0,IF(MATCH($S21,$V$3:$AI$3,0)=1,MAX(0,N($L21)),INDEX($AX21:$BK21,MATCH($S21,$V$3:$AI$3,0)-1))+$U21-$O21)/$G21,0),0))</f>
        <v/>
      </c>
      <c r="CI21">
        <f>IF($C21="","",IF(AND($P21="",$Q21=""),"",IF($P21="","⚠ 入庫日を ▼ から選んでください",IF(NOT(ISNUMBER($P21)),"⚠ 入庫日は ▼ から選んでください",IF($P21&lt;N('設定'!$C$6),"⚠ 入庫日が過去です（もう在庫に入っています）→ 消してください",IF($P21&gt;N('設定'!$C$6)+13,"⚠ 入庫日が14日より先です",IF(N($Q21)&lt;=0,"⚠ 入庫数を入れてください",IF($CG21&gt;0,"⚠ 目安より "&amp;$CG21&amp;" 多い（定数を超える）→ 減らす",""))))))))</f>
        <v/>
      </c>
      <c r="CJ21">
        <f>IF($C21="","",IF(AND($S21="",$T21=""),"",IF($S21="","⚠ 2便目：入庫日を ▼ から選んでください",IF(NOT(ISNUMBER($S21)),"⚠ 2便目：入庫日は ▼ から選んでください",IF($S21&lt;N('設定'!$C$6),"⚠ 2便目：入庫日が過去です（もう在庫に入っています）→ 消してください",IF($S21&gt;N('設定'!$C$6)+13,"⚠ 2便目：入庫日が14日より先です",IF(N($T21)&lt;=0,"⚠ 2便目：入庫数を入れてください",IF($CH21&gt;0,"⚠ 2便目：定数を "&amp;$CH21&amp;" ケース超える → 減らす",""))))))))</f>
        <v/>
      </c>
      <c r="CK21">
        <f>IF(AND($CI21="",N($Q21)&gt;0,ISNUMBER($P21)),1,0)</f>
        <v/>
      </c>
      <c r="CL21">
        <f>IF(AND($CJ21="",N($T21)&gt;0,ISNUMBER($S21)),1,0)</f>
        <v/>
      </c>
      <c r="CM21">
        <f>IF(OR($CK21=1,$CL21=1),1,0)</f>
        <v/>
      </c>
      <c r="CN21">
        <f>IF($C21="",0,($CK21*$R21+$CL21*$U21)*N($H21))</f>
        <v/>
      </c>
      <c r="CO21">
        <f>IF($C21="","",IF($CC21="","入庫後は 14日以上もつ",IF($CC21-N('設定'!$C$7)&lt;='設定'!$C$6,"入庫後も "&amp;TEXT($CC21,"m/d")&amp;"("&amp;CHOOSE(WEEKDAY($CC21),"日","月","火","水","木","金","土")&amp;")"&amp;" に切れる　もう1便を至急発注","入庫後も "&amp;TEXT($CC21,"m/d")&amp;"("&amp;CHOOSE(WEEKDAY($CC21),"日","月","火","水","木","金","土")&amp;")"&amp;" に切れる　"&amp;TEXT($CC21-N('設定'!$C$7),"m/d")&amp;"("&amp;CHOOSE(WEEKDAY($CC21-N('設定'!$C$7)),"日","月","火","水","木","金","土")&amp;")"&amp;" までに次を発注")))</f>
        <v/>
      </c>
      <c r="CP21">
        <f>IF($C21="","",IF('設定'!$C$6="","？ ①在庫を貼る に今日のCSVが貼られていない",IF($CS21=1,"－ 今日のCSVに無い（終売？）",IF($L21&lt;0,"● 在庫がマイナス　数えて「数えた在庫」に入れる",IF($L21=0,"● 在庫なし　至急発注",IF($M21="","？ 減り数が未設定（商品マスタ）",IF($B$3=0,"？ 動員が未入力（動員を入れる）",IF($CA21="","○ 14日以上もつ",IF($BZ21&lt;N('設定'!$C$7),"● "&amp;TEXT($CA21,"m/d")&amp;"("&amp;CHOOSE(WEEKDAY($CA21),"日","月","火","水","木","金","土")&amp;")"&amp;" に切れる　至急発注",IF($BZ21=N('設定'!$C$7),"● "&amp;TEXT($CA21,"m/d")&amp;"("&amp;CHOOSE(WEEKDAY($CA21),"日","月","火","水","木","金","土")&amp;")"&amp;" に切れる　今日発注","△ "&amp;TEXT($CA21,"m/d")&amp;"("&amp;CHOOSE(WEEKDAY($CA21),"日","月","火","水","木","金","土")&amp;")"&amp;" に切れる　"&amp;TEXT($CA21-N('設定'!$C$7),"m/d")&amp;"("&amp;CHOOSE(WEEKDAY($CA21-N('設定'!$C$7)),"日","月","火","水","木","金","土")&amp;")"&amp;" までに発注"))))))))))</f>
        <v/>
      </c>
      <c r="CQ21">
        <f>IF($C21="","",IF(AND($P21="",$Q21="",$S21="",$T21=""),"",IF(AND($P21="",$Q21=""),"⚠ 先に1便目（左の入庫日・入庫数）に入れてください",IF($CI21&lt;&gt;"",$CI21,IF($CJ21&lt;&gt;"",$CJ21,IF($M21="","？ 減り数が未設定（発注書には載ります）",IF($B$3=0,"？ 動員が未入力（発注書には載ります）",IF(AND($CA21&lt;&gt;"",$P21&gt;$CA21),IF($P21&gt;'設定'!$C$6+N('設定'!$C$7),"● "&amp;TEXT($P21,"m/d")&amp;"("&amp;CHOOSE(WEEKDAY($P21),"日","月","火","水","木","金","土")&amp;")"&amp;" の入庫では間に合わない（"&amp;TEXT($CA21,"m/d")&amp;"("&amp;CHOOSE(WEEKDAY($CA21),"日","月","火","水","木","金","土")&amp;")"&amp;" に切れる）　入庫日を早める","△ 欠品 "&amp;TEXT($CA21,"m/d")&amp;"("&amp;CHOOSE(WEEKDAY($CA21),"日","月","火","水","木","金","土")&amp;")"&amp;"〜"&amp;TEXT($P21-1,"m/d")&amp;"("&amp;CHOOSE(WEEKDAY($P21-1),"日","月","火","水","木","金","土")&amp;")"&amp;"　"&amp;$CO21),IF($CC21="","○ "&amp;TEXT($P21,"m/d")&amp;"("&amp;CHOOSE(WEEKDAY($P21),"日","月","火","水","木","金","土")&amp;")"&amp;" 入庫で 14日以上もつ",IF($CC21-N('設定'!$C$7)&lt;='設定'!$C$6,"● 入庫しても "&amp;TEXT($CC21,"m/d")&amp;"("&amp;CHOOSE(WEEKDAY($CC21),"日","月","火","水","木","金","土")&amp;")"&amp;" に切れる　もう1便を至急発注（2便目に入れる）","△ 入庫しても "&amp;TEXT($CC21,"m/d")&amp;"("&amp;CHOOSE(WEEKDAY($CC21),"日","月","火","水","木","金","土")&amp;")"&amp;" に切れる　"&amp;TEXT($CC21-N('設定'!$C$7),"m/d")&amp;"("&amp;CHOOSE(WEEKDAY($CC21-N('設定'!$C$7)),"日","月","火","水","木","金","土")&amp;")"&amp;" までに次を発注（2便目に入れる）"))))))))))</f>
        <v/>
      </c>
      <c r="CR21">
        <f>IF($C21="","",IF($G21&gt;1,"ｹｰｽ("&amp;$G21&amp;"入)","個"))</f>
        <v/>
      </c>
      <c r="CS21">
        <f>IF($C21="",0,IF(COUNTIFS('①在庫を貼る'!$V$6:$V$10005,'設定'!$C$4,'①在庫を貼る'!$W$6:$W$10005,$C21)=0,1,0))</f>
        <v/>
      </c>
      <c r="CT21">
        <f>IF(AND($CK21=1,OR('③発注書'!$C$4="すべて",'③発注書'!$C$4="",$F21='③発注書'!$C$4)),N($CT20)+1,N($CT20))</f>
        <v/>
      </c>
      <c r="CU21">
        <f>IF(AND($CL21=1,OR('③発注書'!$C$4="すべて",'③発注書'!$C$4="",$F21='③発注書'!$C$4)),N($CU20)+1,N($CU20))</f>
        <v/>
      </c>
      <c r="CV21">
        <f>IF($C21="",0,IF(COUNTIFS('①在庫を貼る'!$V$6:$V$10005,'設定'!$C$4,'①在庫を貼る'!$W$6:$W$10005,$C21)&gt;0,1,0))</f>
        <v/>
      </c>
      <c r="CW21">
        <f>IF($C21="",0,IF(COUNTIFS('月1回_1ヶ月前の在庫'!$V$6:$V$10005,'設定'!$C$4,'月1回_1ヶ月前の在庫'!$W$6:$W$10005,$C21)&gt;0,1,0))</f>
        <v/>
      </c>
      <c r="CX21">
        <f>IF($C21="",0,IF(COUNTIFS('月1回_2ヶ月前の在庫'!$V$6:$V$10005,'設定'!$C$4,'月1回_2ヶ月前の在庫'!$W$6:$W$10005,$C21)&gt;0,1,0))</f>
        <v/>
      </c>
      <c r="CY21">
        <f>IF(OR($C21="",'設定'!$C$12=""),"",IF('設定'!$C$13="",IF(AND($CV21=1,$CW21=0),"新商品（今月から）",IF(AND($CV21=0,$CW21=1),"終売（今月から）","")),IF(AND($CV21=1,$CW21=0,$CX21=0),"新商品（今月から）",IF(AND($CV21=1,$CW21=1,$CX21=0),"新商品（先月から）",IF(AND($CV21=0,$CW21=1,$CX21=1),"終売（今月から）",IF(AND($CV21=0,$CW21=0,$CX21=1),"終売（先月から）",IF(AND($CV21=1,$CW21=0,$CX21=1),"復活（先月は無し）","")))))))</f>
        <v/>
      </c>
    </row>
    <row r="22">
      <c r="B22">
        <f>IF(17&lt;='設定'!$C$11,17,"")</f>
        <v/>
      </c>
      <c r="C22">
        <f>IF($B22="","",IF($B22&lt;='設定'!$C$20,INDEX('商品マスタ'!$B$6:$B$1005,MATCH($B22,'商品マスタ'!$M$6:$M$1005,0)),IF($B22&lt;='設定'!$C$20+'設定'!$C$17,INDEX('①在庫を貼る'!$W$6:$W$10005,MATCH($B22-'設定'!$C$20,'①在庫を貼る'!$U$6:$U$10005,0)),IF($B22&lt;='設定'!$C$20+'設定'!$C$17+'設定'!$C$18,INDEX('月1回_1ヶ月前の在庫'!$W$6:$W$10005,MATCH($B22-'設定'!$C$20-'設定'!$C$17,'月1回_1ヶ月前の在庫'!$U$6:$U$10005,0)),INDEX('月1回_2ヶ月前の在庫'!$W$6:$W$10005,MATCH($B22-'設定'!$C$20-'設定'!$C$17-'設定'!$C$18,'月1回_2ヶ月前の在庫'!$U$6:$U$10005,0))))))</f>
        <v/>
      </c>
      <c r="D22">
        <f>IF($C22="","",IFERROR(IF(INDEX('商品マスタ'!$C$6:$C$1005,MATCH($C22,'商品マスタ'!$B$6:$B$1005,0))="",IFERROR(INDEX('①在庫を貼る'!$J$6:$J$10005,MATCH($C22,'①在庫を貼る'!$W$6:$W$10005,0)),IFERROR(INDEX('月1回_1ヶ月前の在庫'!$J$6:$J$10005,MATCH($C22,'月1回_1ヶ月前の在庫'!$W$6:$W$10005,0)),IFERROR(INDEX('月1回_2ヶ月前の在庫'!$J$6:$J$10005,MATCH($C22,'月1回_2ヶ月前の在庫'!$W$6:$W$10005,0)),""))),INDEX('商品マスタ'!$C$6:$C$1005,MATCH($C22,'商品マスタ'!$B$6:$B$1005,0))),IFERROR(INDEX('①在庫を貼る'!$J$6:$J$10005,MATCH($C22,'①在庫を貼る'!$W$6:$W$10005,0)),IFERROR(INDEX('月1回_1ヶ月前の在庫'!$J$6:$J$10005,MATCH($C22,'月1回_1ヶ月前の在庫'!$W$6:$W$10005,0)),IFERROR(INDEX('月1回_2ヶ月前の在庫'!$J$6:$J$10005,MATCH($C22,'月1回_2ヶ月前の在庫'!$W$6:$W$10005,0)),"")))))</f>
        <v/>
      </c>
      <c r="E22">
        <f>IF($C22="","",IFERROR(IF(INDEX('商品マスタ'!$D$6:$D$1005,MATCH($C22,'商品マスタ'!$B$6:$B$1005,0))="",IFERROR(INDEX('①在庫を貼る'!$H$6:$H$10005,MATCH($C22,'①在庫を貼る'!$W$6:$W$10005,0)),IFERROR(INDEX('月1回_1ヶ月前の在庫'!$H$6:$H$10005,MATCH($C22,'月1回_1ヶ月前の在庫'!$W$6:$W$10005,0)),IFERROR(INDEX('月1回_2ヶ月前の在庫'!$H$6:$H$10005,MATCH($C22,'月1回_2ヶ月前の在庫'!$W$6:$W$10005,0)),""))),INDEX('商品マスタ'!$D$6:$D$1005,MATCH($C22,'商品マスタ'!$B$6:$B$1005,0))),IFERROR(INDEX('①在庫を貼る'!$H$6:$H$10005,MATCH($C22,'①在庫を貼る'!$W$6:$W$10005,0)),IFERROR(INDEX('月1回_1ヶ月前の在庫'!$H$6:$H$10005,MATCH($C22,'月1回_1ヶ月前の在庫'!$W$6:$W$10005,0)),IFERROR(INDEX('月1回_2ヶ月前の在庫'!$H$6:$H$10005,MATCH($C22,'月1回_2ヶ月前の在庫'!$W$6:$W$10005,0)),"")))))</f>
        <v/>
      </c>
      <c r="F22">
        <f>IF($C22="","",IFERROR(IF(INDEX('商品マスタ'!$E$6:$E$1005,MATCH($C22,'商品マスタ'!$B$6:$B$1005,0))="",IFERROR(INDEX('①在庫を貼る'!$E$6:$E$10005,MATCH($C22,'①在庫を貼る'!$W$6:$W$10005,0)),IFERROR(INDEX('月1回_1ヶ月前の在庫'!$E$6:$E$10005,MATCH($C22,'月1回_1ヶ月前の在庫'!$W$6:$W$10005,0)),IFERROR(INDEX('月1回_2ヶ月前の在庫'!$E$6:$E$10005,MATCH($C22,'月1回_2ヶ月前の在庫'!$W$6:$W$10005,0)),""))),INDEX('商品マスタ'!$E$6:$E$1005,MATCH($C22,'商品マスタ'!$B$6:$B$1005,0))),IFERROR(INDEX('①在庫を貼る'!$E$6:$E$10005,MATCH($C22,'①在庫を貼る'!$W$6:$W$10005,0)),IFERROR(INDEX('月1回_1ヶ月前の在庫'!$E$6:$E$10005,MATCH($C22,'月1回_1ヶ月前の在庫'!$W$6:$W$10005,0)),IFERROR(INDEX('月1回_2ヶ月前の在庫'!$E$6:$E$10005,MATCH($C22,'月1回_2ヶ月前の在庫'!$W$6:$W$10005,0)),"")))))</f>
        <v/>
      </c>
      <c r="G22">
        <f>IF($C22="","",MAX(1,N(IFERROR(IF(INDEX('商品マスタ'!$F$6:$F$1005,MATCH($C22,'商品マスタ'!$B$6:$B$1005,0))="",IF(COUNTIFS('①在庫を貼る'!$V$6:$V$10005,'設定'!$C$4,'①在庫を貼る'!$W$6:$W$10005,$C22)&gt;0,SUMIFS('①在庫を貼る'!$K$6:$K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K$6:$K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K$6:$K$10005,'月1回_2ヶ月前の在庫'!$V$6:$V$10005,'設定'!$C$4,'月1回_2ヶ月前の在庫'!$W$6:$W$10005,$C22)/COUNTIFS('月1回_2ヶ月前の在庫'!$V$6:$V$10005,'設定'!$C$4,'月1回_2ヶ月前の在庫'!$W$6:$W$10005,$C22),0))),INDEX('商品マスタ'!$F$6:$F$1005,MATCH($C22,'商品マスタ'!$B$6:$B$1005,0))),IF(COUNTIFS('①在庫を貼る'!$V$6:$V$10005,'設定'!$C$4,'①在庫を貼る'!$W$6:$W$10005,$C22)&gt;0,SUMIFS('①在庫を貼る'!$K$6:$K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K$6:$K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K$6:$K$10005,'月1回_2ヶ月前の在庫'!$V$6:$V$10005,'設定'!$C$4,'月1回_2ヶ月前の在庫'!$W$6:$W$10005,$C22)/COUNTIFS('月1回_2ヶ月前の在庫'!$V$6:$V$10005,'設定'!$C$4,'月1回_2ヶ月前の在庫'!$W$6:$W$10005,$C22),0)))))))</f>
        <v/>
      </c>
      <c r="H22">
        <f>IF($C22="","",N(IFERROR(IF(INDEX('商品マスタ'!$G$6:$G$1005,MATCH($C22,'商品マスタ'!$B$6:$B$1005,0))="",IF(COUNTIFS('①在庫を貼る'!$V$6:$V$10005,'設定'!$C$4,'①在庫を貼る'!$W$6:$W$10005,$C22)&gt;0,SUMIFS('①在庫を貼る'!$Q$6:$Q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Q$6:$Q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Q$6:$Q$10005,'月1回_2ヶ月前の在庫'!$V$6:$V$10005,'設定'!$C$4,'月1回_2ヶ月前の在庫'!$W$6:$W$10005,$C22)/COUNTIFS('月1回_2ヶ月前の在庫'!$V$6:$V$10005,'設定'!$C$4,'月1回_2ヶ月前の在庫'!$W$6:$W$10005,$C22),0))),INDEX('商品マスタ'!$G$6:$G$1005,MATCH($C22,'商品マスタ'!$B$6:$B$1005,0))),IF(COUNTIFS('①在庫を貼る'!$V$6:$V$10005,'設定'!$C$4,'①在庫を貼る'!$W$6:$W$10005,$C22)&gt;0,SUMIFS('①在庫を貼る'!$Q$6:$Q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Q$6:$Q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Q$6:$Q$10005,'月1回_2ヶ月前の在庫'!$V$6:$V$10005,'設定'!$C$4,'月1回_2ヶ月前の在庫'!$W$6:$W$10005,$C22)/COUNTIFS('月1回_2ヶ月前の在庫'!$V$6:$V$10005,'設定'!$C$4,'月1回_2ヶ月前の在庫'!$W$6:$W$10005,$C22),0))))))</f>
        <v/>
      </c>
      <c r="I22">
        <f>IF($C22="","",IF(COUNTIFS('①在庫を貼る'!$V$6:$V$10005,'設定'!$C$4,'①在庫を貼る'!$W$6:$W$10005,$C22)=0,"",SUMIFS('①在庫を貼る'!$N$6:$N$10005,'①在庫を貼る'!$V$6:$V$10005,'設定'!$C$4,'①在庫を貼る'!$W$6:$W$10005,$C22)))</f>
        <v/>
      </c>
      <c r="J22">
        <f>IF($C22="","",IF('②発注する'!$AD26="","",'②発注する'!$AD26))</f>
        <v/>
      </c>
      <c r="K22" s="90">
        <f>IF($C22="","",IF('②発注する'!$AE26="","",'②発注する'!$AE26))</f>
        <v/>
      </c>
      <c r="L22">
        <f>IF($C22="","",IF(AND(ISNUMBER($J22),ISNUMBER($K22),$K22&gt;='設定'!$C$6),$J22,N($I22)))</f>
        <v/>
      </c>
      <c r="M22">
        <f>IF($C22="","",IFERROR(IF(N(INDEX('商品マスタ'!$J$6:$J$1005,MATCH($C22,'商品マスタ'!$B$6:$B$1005,0)))&gt;0,INDEX('商品マスタ'!$J$6:$J$1005,MATCH($C22,'商品マスタ'!$B$6:$B$1005,0)),""),""))</f>
        <v/>
      </c>
      <c r="N22">
        <f>IF($C22="","",IFERROR(IF(N(INDEX('商品マスタ'!$H$6:$H$1005,MATCH($C22,'商品マスタ'!$B$6:$B$1005,0)))&gt;0,INDEX('商品マスタ'!$H$6:$H$1005,MATCH($C22,'商品マスタ'!$B$6:$B$1005,0)),""),""))</f>
        <v/>
      </c>
      <c r="O22">
        <f>IF($C22="","",IF($N22&lt;&gt;"",$N22*$G22,IF(N(IF(COUNTIFS('①在庫を貼る'!$V$6:$V$10005,'設定'!$C$4,'①在庫を貼る'!$W$6:$W$10005,$C22)&gt;0,SUMIFS('①在庫を貼る'!$O$6:$O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O$6:$O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O$6:$O$10005,'月1回_2ヶ月前の在庫'!$V$6:$V$10005,'設定'!$C$4,'月1回_2ヶ月前の在庫'!$W$6:$W$10005,$C22)/COUNTIFS('月1回_2ヶ月前の在庫'!$V$6:$V$10005,'設定'!$C$4,'月1回_2ヶ月前の在庫'!$W$6:$W$10005,$C22),0))))&gt;0,N(IF(COUNTIFS('①在庫を貼る'!$V$6:$V$10005,'設定'!$C$4,'①在庫を貼る'!$W$6:$W$10005,$C22)&gt;0,SUMIFS('①在庫を貼る'!$O$6:$O$10005,'①在庫を貼る'!$V$6:$V$10005,'設定'!$C$4,'①在庫を貼る'!$W$6:$W$10005,$C22)/COUNTIFS('①在庫を貼る'!$V$6:$V$10005,'設定'!$C$4,'①在庫を貼る'!$W$6:$W$10005,$C22),IF(COUNTIFS('月1回_1ヶ月前の在庫'!$V$6:$V$10005,'設定'!$C$4,'月1回_1ヶ月前の在庫'!$W$6:$W$10005,$C22)&gt;0,SUMIFS('月1回_1ヶ月前の在庫'!$O$6:$O$10005,'月1回_1ヶ月前の在庫'!$V$6:$V$10005,'設定'!$C$4,'月1回_1ヶ月前の在庫'!$W$6:$W$10005,$C22)/COUNTIFS('月1回_1ヶ月前の在庫'!$V$6:$V$10005,'設定'!$C$4,'月1回_1ヶ月前の在庫'!$W$6:$W$10005,$C22),IF(COUNTIFS('月1回_2ヶ月前の在庫'!$V$6:$V$10005,'設定'!$C$4,'月1回_2ヶ月前の在庫'!$W$6:$W$10005,$C22)&gt;0,SUMIFS('月1回_2ヶ月前の在庫'!$O$6:$O$10005,'月1回_2ヶ月前の在庫'!$V$6:$V$10005,'設定'!$C$4,'月1回_2ヶ月前の在庫'!$W$6:$W$10005,$C22)/COUNTIFS('月1回_2ヶ月前の在庫'!$V$6:$V$10005,'設定'!$C$4,'月1回_2ヶ月前の在庫'!$W$6:$W$10005,$C22),0)))),"")))</f>
        <v/>
      </c>
      <c r="P22" s="90">
        <f>IF($C22="","",IF('②発注する'!$I26="","",'②発注する'!$I26))</f>
        <v/>
      </c>
      <c r="Q22">
        <f>IF($C22="","",IF('②発注する'!$J26="","",'②発注する'!$J26))</f>
        <v/>
      </c>
      <c r="R22">
        <f>IF($C22="",0,IF(AND(ISNUMBER($P22),ISNUMBER($Q22)),MAX(0,$Q22)*$G22,0))</f>
        <v/>
      </c>
      <c r="S22" s="90">
        <f>IF($C22="","",IF('②発注する'!$M26="","",'②発注する'!$M26))</f>
        <v/>
      </c>
      <c r="T22">
        <f>IF($C22="","",IF('②発注する'!$N26="","",'②発注する'!$N26))</f>
        <v/>
      </c>
      <c r="U22">
        <f>IF($C22="",0,IF(AND(ISNUMBER($S22),ISNUMBER($T22)),MAX(0,$T22)*$G22,0))</f>
        <v/>
      </c>
      <c r="V22">
        <f>IF($C22="",0,IF($M22="",0,MAX(0,$M22)*MAX(0,V$4)/100))</f>
        <v/>
      </c>
      <c r="W22">
        <f>IF($C22="",0,IF($M22="",0,MAX(0,$M22)*MAX(0,W$4)/100))</f>
        <v/>
      </c>
      <c r="X22">
        <f>IF($C22="",0,IF($M22="",0,MAX(0,$M22)*MAX(0,X$4)/100))</f>
        <v/>
      </c>
      <c r="Y22">
        <f>IF($C22="",0,IF($M22="",0,MAX(0,$M22)*MAX(0,Y$4)/100))</f>
        <v/>
      </c>
      <c r="Z22">
        <f>IF($C22="",0,IF($M22="",0,MAX(0,$M22)*MAX(0,Z$4)/100))</f>
        <v/>
      </c>
      <c r="AA22">
        <f>IF($C22="",0,IF($M22="",0,MAX(0,$M22)*MAX(0,AA$4)/100))</f>
        <v/>
      </c>
      <c r="AB22">
        <f>IF($C22="",0,IF($M22="",0,MAX(0,$M22)*MAX(0,AB$4)/100))</f>
        <v/>
      </c>
      <c r="AC22">
        <f>IF($C22="",0,IF($M22="",0,MAX(0,$M22)*MAX(0,AC$4)/100))</f>
        <v/>
      </c>
      <c r="AD22">
        <f>IF($C22="",0,IF($M22="",0,MAX(0,$M22)*MAX(0,AD$4)/100))</f>
        <v/>
      </c>
      <c r="AE22">
        <f>IF($C22="",0,IF($M22="",0,MAX(0,$M22)*MAX(0,AE$4)/100))</f>
        <v/>
      </c>
      <c r="AF22">
        <f>IF($C22="",0,IF($M22="",0,MAX(0,$M22)*MAX(0,AF$4)/100))</f>
        <v/>
      </c>
      <c r="AG22">
        <f>IF($C22="",0,IF($M22="",0,MAX(0,$M22)*MAX(0,AG$4)/100))</f>
        <v/>
      </c>
      <c r="AH22">
        <f>IF($C22="",0,IF($M22="",0,MAX(0,$M22)*MAX(0,AH$4)/100))</f>
        <v/>
      </c>
      <c r="AI22">
        <f>IF($C22="",0,IF($M22="",0,MAX(0,$M22)*MAX(0,AI$4)/100))</f>
        <v/>
      </c>
      <c r="AJ22">
        <f>IF($C22="",0,MAX(0,MAX(0,N($L22))-$V22))</f>
        <v/>
      </c>
      <c r="AK22">
        <f>IF($C22="",0,MAX(0,$AJ22-$W22))</f>
        <v/>
      </c>
      <c r="AL22">
        <f>IF($C22="",0,MAX(0,$AK22-$X22))</f>
        <v/>
      </c>
      <c r="AM22">
        <f>IF($C22="",0,MAX(0,$AL22-$Y22))</f>
        <v/>
      </c>
      <c r="AN22">
        <f>IF($C22="",0,MAX(0,$AM22-$Z22))</f>
        <v/>
      </c>
      <c r="AO22">
        <f>IF($C22="",0,MAX(0,$AN22-$AA22))</f>
        <v/>
      </c>
      <c r="AP22">
        <f>IF($C22="",0,MAX(0,$AO22-$AB22))</f>
        <v/>
      </c>
      <c r="AQ22">
        <f>IF($C22="",0,MAX(0,$AP22-$AC22))</f>
        <v/>
      </c>
      <c r="AR22">
        <f>IF($C22="",0,MAX(0,$AQ22-$AD22))</f>
        <v/>
      </c>
      <c r="AS22">
        <f>IF($C22="",0,MAX(0,$AR22-$AE22))</f>
        <v/>
      </c>
      <c r="AT22">
        <f>IF($C22="",0,MAX(0,$AS22-$AF22))</f>
        <v/>
      </c>
      <c r="AU22">
        <f>IF($C22="",0,MAX(0,$AT22-$AG22))</f>
        <v/>
      </c>
      <c r="AV22">
        <f>IF($C22="",0,MAX(0,$AU22-$AH22))</f>
        <v/>
      </c>
      <c r="AW22">
        <f>IF($C22="",0,MAX(0,$AV22-$AI22))</f>
        <v/>
      </c>
      <c r="AX22">
        <f>IF($C22="",0,MAX(0,MAX(0,N($L22))+IF($P22=V$3,$R22,0)+IF($S22=V$3,$U22,0)-$V22))</f>
        <v/>
      </c>
      <c r="AY22">
        <f>IF($C22="",0,MAX(0,$AX22+IF($P22=W$3,$R22,0)+IF($S22=W$3,$U22,0)-$W22))</f>
        <v/>
      </c>
      <c r="AZ22">
        <f>IF($C22="",0,MAX(0,$AY22+IF($P22=X$3,$R22,0)+IF($S22=X$3,$U22,0)-$X22))</f>
        <v/>
      </c>
      <c r="BA22">
        <f>IF($C22="",0,MAX(0,$AZ22+IF($P22=Y$3,$R22,0)+IF($S22=Y$3,$U22,0)-$Y22))</f>
        <v/>
      </c>
      <c r="BB22">
        <f>IF($C22="",0,MAX(0,$BA22+IF($P22=Z$3,$R22,0)+IF($S22=Z$3,$U22,0)-$Z22))</f>
        <v/>
      </c>
      <c r="BC22">
        <f>IF($C22="",0,MAX(0,$BB22+IF($P22=AA$3,$R22,0)+IF($S22=AA$3,$U22,0)-$AA22))</f>
        <v/>
      </c>
      <c r="BD22">
        <f>IF($C22="",0,MAX(0,$BC22+IF($P22=AB$3,$R22,0)+IF($S22=AB$3,$U22,0)-$AB22))</f>
        <v/>
      </c>
      <c r="BE22">
        <f>IF($C22="",0,MAX(0,$BD22+IF($P22=AC$3,$R22,0)+IF($S22=AC$3,$U22,0)-$AC22))</f>
        <v/>
      </c>
      <c r="BF22">
        <f>IF($C22="",0,MAX(0,$BE22+IF($P22=AD$3,$R22,0)+IF($S22=AD$3,$U22,0)-$AD22))</f>
        <v/>
      </c>
      <c r="BG22">
        <f>IF($C22="",0,MAX(0,$BF22+IF($P22=AE$3,$R22,0)+IF($S22=AE$3,$U22,0)-$AE22))</f>
        <v/>
      </c>
      <c r="BH22">
        <f>IF($C22="",0,MAX(0,$BG22+IF($P22=AF$3,$R22,0)+IF($S22=AF$3,$U22,0)-$AF22))</f>
        <v/>
      </c>
      <c r="BI22">
        <f>IF($C22="",0,MAX(0,$BH22+IF($P22=AG$3,$R22,0)+IF($S22=AG$3,$U22,0)-$AG22))</f>
        <v/>
      </c>
      <c r="BJ22">
        <f>IF($C22="",0,MAX(0,$BI22+IF($P22=AH$3,$R22,0)+IF($S22=AH$3,$U22,0)-$AH22))</f>
        <v/>
      </c>
      <c r="BK22">
        <f>IF($C22="",0,MAX(0,$BJ22+IF($P22=AI$3,$R22,0)+IF($S22=AI$3,$U22,0)-$AI22))</f>
        <v/>
      </c>
      <c r="BL22">
        <f>IF($C22="",99,IF(AND($AX22&lt;1,V$3&gt;=MAX(N($P22),N($S22))),0,99))</f>
        <v/>
      </c>
      <c r="BM22">
        <f>IF($C22="",99,IF(AND($AY22&lt;1,W$3&gt;=MAX(N($P22),N($S22))),1,99))</f>
        <v/>
      </c>
      <c r="BN22">
        <f>IF($C22="",99,IF(AND($AZ22&lt;1,X$3&gt;=MAX(N($P22),N($S22))),2,99))</f>
        <v/>
      </c>
      <c r="BO22">
        <f>IF($C22="",99,IF(AND($BA22&lt;1,Y$3&gt;=MAX(N($P22),N($S22))),3,99))</f>
        <v/>
      </c>
      <c r="BP22">
        <f>IF($C22="",99,IF(AND($BB22&lt;1,Z$3&gt;=MAX(N($P22),N($S22))),4,99))</f>
        <v/>
      </c>
      <c r="BQ22">
        <f>IF($C22="",99,IF(AND($BC22&lt;1,AA$3&gt;=MAX(N($P22),N($S22))),5,99))</f>
        <v/>
      </c>
      <c r="BR22">
        <f>IF($C22="",99,IF(AND($BD22&lt;1,AB$3&gt;=MAX(N($P22),N($S22))),6,99))</f>
        <v/>
      </c>
      <c r="BS22">
        <f>IF($C22="",99,IF(AND($BE22&lt;1,AC$3&gt;=MAX(N($P22),N($S22))),7,99))</f>
        <v/>
      </c>
      <c r="BT22">
        <f>IF($C22="",99,IF(AND($BF22&lt;1,AD$3&gt;=MAX(N($P22),N($S22))),8,99))</f>
        <v/>
      </c>
      <c r="BU22">
        <f>IF($C22="",99,IF(AND($BG22&lt;1,AE$3&gt;=MAX(N($P22),N($S22))),9,99))</f>
        <v/>
      </c>
      <c r="BV22">
        <f>IF($C22="",99,IF(AND($BH22&lt;1,AF$3&gt;=MAX(N($P22),N($S22))),10,99))</f>
        <v/>
      </c>
      <c r="BW22">
        <f>IF($C22="",99,IF(AND($BI22&lt;1,AG$3&gt;=MAX(N($P22),N($S22))),11,99))</f>
        <v/>
      </c>
      <c r="BX22">
        <f>IF($C22="",99,IF(AND($BJ22&lt;1,AH$3&gt;=MAX(N($P22),N($S22))),12,99))</f>
        <v/>
      </c>
      <c r="BY22">
        <f>IF($C22="",99,IF(AND($BK22&lt;1,AI$3&gt;=MAX(N($P22),N($S22))),13,99))</f>
        <v/>
      </c>
      <c r="BZ22">
        <f>IF(OR($C22="",$M22=""),"",COUNTIF($AJ22:$AW22,"&gt;=1"))</f>
        <v/>
      </c>
      <c r="CA22" s="90">
        <f>IF($BZ22="","",IF($BZ22&gt;=14,"",'設定'!$C$6+$BZ22))</f>
        <v/>
      </c>
      <c r="CB22">
        <f>IF(OR($C22="",$M22=""),"",MIN($BL22:$BY22))</f>
        <v/>
      </c>
      <c r="CC22" s="90">
        <f>IF($CB22="","",IF($CB22&gt;=99,"",'設定'!$C$6+$CB22))</f>
        <v/>
      </c>
      <c r="CD22">
        <f>IF(OR($C22="",$M22=""),"",AVERAGE($V22:$AI22))</f>
        <v/>
      </c>
      <c r="CE22">
        <f>IF($C22="","",IFERROR(IF(MATCH(IF(ISNUMBER($P22),$P22,'設定'!$C$6+N('設定'!$C$7)),$V$3:$AI$3,0)=1,MAX(0,N($L22)),INDEX($AJ22:$AW22,MATCH(IF(ISNUMBER($P22),$P22,'設定'!$C$6+N('設定'!$C$7)),$V$3:$AI$3,0)-1)),""))</f>
        <v/>
      </c>
      <c r="CF22">
        <f>IF(OR($C22="",$O22="",$CE22=""),"",IF($O22-$CE22&lt;=0,0,ROUNDUP(($O22-$CE22)/$G22,0)))</f>
        <v/>
      </c>
      <c r="CG22">
        <f>IF(OR($C22="",$CF22="",NOT(ISNUMBER($Q22))),0,MAX(0,$Q22-$CF22))</f>
        <v/>
      </c>
      <c r="CH22">
        <f>IF(OR($C22="",$O22="",$U22=0),0,IFERROR(ROUNDUP(MAX(0,IF(MATCH($S22,$V$3:$AI$3,0)=1,MAX(0,N($L22)),INDEX($AX22:$BK22,MATCH($S22,$V$3:$AI$3,0)-1))+$U22-$O22)/$G22,0),0))</f>
        <v/>
      </c>
      <c r="CI22">
        <f>IF($C22="","",IF(AND($P22="",$Q22=""),"",IF($P22="","⚠ 入庫日を ▼ から選んでください",IF(NOT(ISNUMBER($P22)),"⚠ 入庫日は ▼ から選んでください",IF($P22&lt;N('設定'!$C$6),"⚠ 入庫日が過去です（もう在庫に入っています）→ 消してください",IF($P22&gt;N('設定'!$C$6)+13,"⚠ 入庫日が14日より先です",IF(N($Q22)&lt;=0,"⚠ 入庫数を入れてください",IF($CG22&gt;0,"⚠ 目安より "&amp;$CG22&amp;" 多い（定数を超える）→ 減らす",""))))))))</f>
        <v/>
      </c>
      <c r="CJ22">
        <f>IF($C22="","",IF(AND($S22="",$T22=""),"",IF($S22="","⚠ 2便目：入庫日を ▼ から選んでください",IF(NOT(ISNUMBER($S22)),"⚠ 2便目：入庫日は ▼ から選んでください",IF($S22&lt;N('設定'!$C$6),"⚠ 2便目：入庫日が過去です（もう在庫に入っています）→ 消してください",IF($S22&gt;N('設定'!$C$6)+13,"⚠ 2便目：入庫日が14日より先です",IF(N($T22)&lt;=0,"⚠ 2便目：入庫数を入れてください",IF($CH22&gt;0,"⚠ 2便目：定数を "&amp;$CH22&amp;" ケース超える → 減らす",""))))))))</f>
        <v/>
      </c>
      <c r="CK22">
        <f>IF(AND($CI22="",N($Q22)&gt;0,ISNUMBER($P22)),1,0)</f>
        <v/>
      </c>
      <c r="CL22">
        <f>IF(AND($CJ22="",N($T22)&gt;0,ISNUMBER($S22)),1,0)</f>
        <v/>
      </c>
      <c r="CM22">
        <f>IF(OR($CK22=1,$CL22=1),1,0)</f>
        <v/>
      </c>
      <c r="CN22">
        <f>IF($C22="",0,($CK22*$R22+$CL22*$U22)*N($H22))</f>
        <v/>
      </c>
      <c r="CO22">
        <f>IF($C22="","",IF($CC22="","入庫後は 14日以上もつ",IF($CC22-N('設定'!$C$7)&lt;='設定'!$C$6,"入庫後も "&amp;TEXT($CC22,"m/d")&amp;"("&amp;CHOOSE(WEEKDAY($CC22),"日","月","火","水","木","金","土")&amp;")"&amp;" に切れる　もう1便を至急発注","入庫後も "&amp;TEXT($CC22,"m/d")&amp;"("&amp;CHOOSE(WEEKDAY($CC22),"日","月","火","水","木","金","土")&amp;")"&amp;" に切れる　"&amp;TEXT($CC22-N('設定'!$C$7),"m/d")&amp;"("&amp;CHOOSE(WEEKDAY($CC22-N('設定'!$C$7)),"日","月","火","水","木","金","土")&amp;")"&amp;" までに次を発注")))</f>
        <v/>
      </c>
      <c r="CP22">
        <f>IF($C22="","",IF('設定'!$C$6="","？ ①在庫を貼る に今日のCSVが貼られていない",IF($CS22=1,"－ 今日のCSVに無い（終売？）",IF($L22&lt;0,"● 在庫がマイナス　数えて「数えた在庫」に入れる",IF($L22=0,"● 在庫なし　至急発注",IF($M22="","？ 減り数が未設定（商品マスタ）",IF($B$3=0,"？ 動員が未入力（動員を入れる）",IF($CA22="","○ 14日以上もつ",IF($BZ22&lt;N('設定'!$C$7),"● "&amp;TEXT($CA22,"m/d")&amp;"("&amp;CHOOSE(WEEKDAY($CA22),"日","月","火","水","木","金","土")&amp;")"&amp;" に切れる　至急発注",IF($BZ22=N('設定'!$C$7),"● "&amp;TEXT($CA22,"m/d")&amp;"("&amp;CHOOSE(WEEKDAY($CA22),"日","月","火","水","木","金","土")&amp;")"&amp;" に切れる　今日発注","△ "&amp;TEXT($CA22,"m/d")&amp;"("&amp;CHOOSE(WEEKDAY($CA22),"日","月","火","水","木","金","土")&amp;")"&amp;" に切れる　"&amp;TEXT($CA22-N('設定'!$C$7),"m/d")&amp;"("&amp;CHOOSE(WEEKDAY($CA22-N('設定'!$C$7)),"日","月","火","水","木","金","土")&amp;")"&amp;" までに発注"))))))))))</f>
        <v/>
      </c>
      <c r="CQ22">
        <f>IF($C22="","",IF(AND($P22="",$Q22="",$S22="",$T22=""),"",IF(AND($P22="",$Q22=""),"⚠ 先に1便目（左の入庫日・入庫数）に入れてください",IF($CI22&lt;&gt;"",$CI22,IF($CJ22&lt;&gt;"",$CJ22,IF($M22="","？ 減り数が未設定（発注書には載ります）",IF($B$3=0,"？ 動員が未入力（発注書には載ります）",IF(AND($CA22&lt;&gt;"",$P22&gt;$CA22),IF($P22&gt;'設定'!$C$6+N('設定'!$C$7),"● "&amp;TEXT($P22,"m/d")&amp;"("&amp;CHOOSE(WEEKDAY($P22),"日","月","火","水","木","金","土")&amp;")"&amp;" の入庫では間に合わない（"&amp;TEXT($CA22,"m/d")&amp;"("&amp;CHOOSE(WEEKDAY($CA22),"日","月","火","水","木","金","土")&amp;")"&amp;" に切れる）　入庫日を早める","△ 欠品 "&amp;TEXT($CA22,"m/d")&amp;"("&amp;CHOOSE(WEEKDAY($CA22),"日","月","火","水","木","金","土")&amp;")"&amp;"〜"&amp;TEXT($P22-1,"m/d")&amp;"("&amp;CHOOSE(WEEKDAY($P22-1),"日","月","火","水","木","金","土")&amp;")"&amp;"　"&amp;$CO22),IF($CC22="","○ "&amp;TEXT($P22,"m/d")&amp;"("&amp;CHOOSE(WEEKDAY($P22),"日","月","火","水","木","金","土")&amp;")"&amp;" 入庫で 14日以上もつ",IF($CC22-N('設定'!$C$7)&lt;='設定'!$C$6,"● 入庫しても "&amp;TEXT($CC22,"m/d")&amp;"("&amp;CHOOSE(WEEKDAY($CC22),"日","月","火","水","木","金","土")&amp;")"&amp;" に切れる　もう1便を至急発注（2便目に入れる）","△ 入庫しても "&amp;TEXT($CC22,"m/d")&amp;"("&amp;CHOOSE(WEEKDAY($CC22),"日","月","火","水","木","金","土")&amp;")"&amp;" に切れる　"&amp;TEXT($CC22-N('設定'!$C$7),"m/d")&amp;"("&amp;CHOOSE(WEEKDAY($CC22-N('設定'!$C$7)),"日","月","火","水","木","金","土")&amp;")"&amp;" までに次を発注（2便目に入れる）"))))))))))</f>
        <v/>
      </c>
      <c r="CR22">
        <f>IF($C22="","",IF($G22&gt;1,"ｹｰｽ("&amp;$G22&amp;"入)","個"))</f>
        <v/>
      </c>
      <c r="CS22">
        <f>IF($C22="",0,IF(COUNTIFS('①在庫を貼る'!$V$6:$V$10005,'設定'!$C$4,'①在庫を貼る'!$W$6:$W$10005,$C22)=0,1,0))</f>
        <v/>
      </c>
      <c r="CT22">
        <f>IF(AND($CK22=1,OR('③発注書'!$C$4="すべて",'③発注書'!$C$4="",$F22='③発注書'!$C$4)),N($CT21)+1,N($CT21))</f>
        <v/>
      </c>
      <c r="CU22">
        <f>IF(AND($CL22=1,OR('③発注書'!$C$4="すべて",'③発注書'!$C$4="",$F22='③発注書'!$C$4)),N($CU21)+1,N($CU21))</f>
        <v/>
      </c>
      <c r="CV22">
        <f>IF($C22="",0,IF(COUNTIFS('①在庫を貼る'!$V$6:$V$10005,'設定'!$C$4,'①在庫を貼る'!$W$6:$W$10005,$C22)&gt;0,1,0))</f>
        <v/>
      </c>
      <c r="CW22">
        <f>IF($C22="",0,IF(COUNTIFS('月1回_1ヶ月前の在庫'!$V$6:$V$10005,'設定'!$C$4,'月1回_1ヶ月前の在庫'!$W$6:$W$10005,$C22)&gt;0,1,0))</f>
        <v/>
      </c>
      <c r="CX22">
        <f>IF($C22="",0,IF(COUNTIFS('月1回_2ヶ月前の在庫'!$V$6:$V$10005,'設定'!$C$4,'月1回_2ヶ月前の在庫'!$W$6:$W$10005,$C22)&gt;0,1,0))</f>
        <v/>
      </c>
      <c r="CY22">
        <f>IF(OR($C22="",'設定'!$C$12=""),"",IF('設定'!$C$13="",IF(AND($CV22=1,$CW22=0),"新商品（今月から）",IF(AND($CV22=0,$CW22=1),"終売（今月から）","")),IF(AND($CV22=1,$CW22=0,$CX22=0),"新商品（今月から）",IF(AND($CV22=1,$CW22=1,$CX22=0),"新商品（先月から）",IF(AND($CV22=0,$CW22=1,$CX22=1),"終売（今月から）",IF(AND($CV22=0,$CW22=0,$CX22=1),"終売（先月から）",IF(AND($CV22=1,$CW22=0,$CX22=1),"復活（先月は無し）","")))))))</f>
        <v/>
      </c>
    </row>
    <row r="23">
      <c r="B23">
        <f>IF(18&lt;='設定'!$C$11,18,"")</f>
        <v/>
      </c>
      <c r="C23">
        <f>IF($B23="","",IF($B23&lt;='設定'!$C$20,INDEX('商品マスタ'!$B$6:$B$1005,MATCH($B23,'商品マスタ'!$M$6:$M$1005,0)),IF($B23&lt;='設定'!$C$20+'設定'!$C$17,INDEX('①在庫を貼る'!$W$6:$W$10005,MATCH($B23-'設定'!$C$20,'①在庫を貼る'!$U$6:$U$10005,0)),IF($B23&lt;='設定'!$C$20+'設定'!$C$17+'設定'!$C$18,INDEX('月1回_1ヶ月前の在庫'!$W$6:$W$10005,MATCH($B23-'設定'!$C$20-'設定'!$C$17,'月1回_1ヶ月前の在庫'!$U$6:$U$10005,0)),INDEX('月1回_2ヶ月前の在庫'!$W$6:$W$10005,MATCH($B23-'設定'!$C$20-'設定'!$C$17-'設定'!$C$18,'月1回_2ヶ月前の在庫'!$U$6:$U$10005,0))))))</f>
        <v/>
      </c>
      <c r="D23">
        <f>IF($C23="","",IFERROR(IF(INDEX('商品マスタ'!$C$6:$C$1005,MATCH($C23,'商品マスタ'!$B$6:$B$1005,0))="",IFERROR(INDEX('①在庫を貼る'!$J$6:$J$10005,MATCH($C23,'①在庫を貼る'!$W$6:$W$10005,0)),IFERROR(INDEX('月1回_1ヶ月前の在庫'!$J$6:$J$10005,MATCH($C23,'月1回_1ヶ月前の在庫'!$W$6:$W$10005,0)),IFERROR(INDEX('月1回_2ヶ月前の在庫'!$J$6:$J$10005,MATCH($C23,'月1回_2ヶ月前の在庫'!$W$6:$W$10005,0)),""))),INDEX('商品マスタ'!$C$6:$C$1005,MATCH($C23,'商品マスタ'!$B$6:$B$1005,0))),IFERROR(INDEX('①在庫を貼る'!$J$6:$J$10005,MATCH($C23,'①在庫を貼る'!$W$6:$W$10005,0)),IFERROR(INDEX('月1回_1ヶ月前の在庫'!$J$6:$J$10005,MATCH($C23,'月1回_1ヶ月前の在庫'!$W$6:$W$10005,0)),IFERROR(INDEX('月1回_2ヶ月前の在庫'!$J$6:$J$10005,MATCH($C23,'月1回_2ヶ月前の在庫'!$W$6:$W$10005,0)),"")))))</f>
        <v/>
      </c>
      <c r="E23">
        <f>IF($C23="","",IFERROR(IF(INDEX('商品マスタ'!$D$6:$D$1005,MATCH($C23,'商品マスタ'!$B$6:$B$1005,0))="",IFERROR(INDEX('①在庫を貼る'!$H$6:$H$10005,MATCH($C23,'①在庫を貼る'!$W$6:$W$10005,0)),IFERROR(INDEX('月1回_1ヶ月前の在庫'!$H$6:$H$10005,MATCH($C23,'月1回_1ヶ月前の在庫'!$W$6:$W$10005,0)),IFERROR(INDEX('月1回_2ヶ月前の在庫'!$H$6:$H$10005,MATCH($C23,'月1回_2ヶ月前の在庫'!$W$6:$W$10005,0)),""))),INDEX('商品マスタ'!$D$6:$D$1005,MATCH($C23,'商品マスタ'!$B$6:$B$1005,0))),IFERROR(INDEX('①在庫を貼る'!$H$6:$H$10005,MATCH($C23,'①在庫を貼る'!$W$6:$W$10005,0)),IFERROR(INDEX('月1回_1ヶ月前の在庫'!$H$6:$H$10005,MATCH($C23,'月1回_1ヶ月前の在庫'!$W$6:$W$10005,0)),IFERROR(INDEX('月1回_2ヶ月前の在庫'!$H$6:$H$10005,MATCH($C23,'月1回_2ヶ月前の在庫'!$W$6:$W$10005,0)),"")))))</f>
        <v/>
      </c>
      <c r="F23">
        <f>IF($C23="","",IFERROR(IF(INDEX('商品マスタ'!$E$6:$E$1005,MATCH($C23,'商品マスタ'!$B$6:$B$1005,0))="",IFERROR(INDEX('①在庫を貼る'!$E$6:$E$10005,MATCH($C23,'①在庫を貼る'!$W$6:$W$10005,0)),IFERROR(INDEX('月1回_1ヶ月前の在庫'!$E$6:$E$10005,MATCH($C23,'月1回_1ヶ月前の在庫'!$W$6:$W$10005,0)),IFERROR(INDEX('月1回_2ヶ月前の在庫'!$E$6:$E$10005,MATCH($C23,'月1回_2ヶ月前の在庫'!$W$6:$W$10005,0)),""))),INDEX('商品マスタ'!$E$6:$E$1005,MATCH($C23,'商品マスタ'!$B$6:$B$1005,0))),IFERROR(INDEX('①在庫を貼る'!$E$6:$E$10005,MATCH($C23,'①在庫を貼る'!$W$6:$W$10005,0)),IFERROR(INDEX('月1回_1ヶ月前の在庫'!$E$6:$E$10005,MATCH($C23,'月1回_1ヶ月前の在庫'!$W$6:$W$10005,0)),IFERROR(INDEX('月1回_2ヶ月前の在庫'!$E$6:$E$10005,MATCH($C23,'月1回_2ヶ月前の在庫'!$W$6:$W$10005,0)),"")))))</f>
        <v/>
      </c>
      <c r="G23">
        <f>IF($C23="","",MAX(1,N(IFERROR(IF(INDEX('商品マスタ'!$F$6:$F$1005,MATCH($C23,'商品マスタ'!$B$6:$B$1005,0))="",IF(COUNTIFS('①在庫を貼る'!$V$6:$V$10005,'設定'!$C$4,'①在庫を貼る'!$W$6:$W$10005,$C23)&gt;0,SUMIFS('①在庫を貼る'!$K$6:$K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K$6:$K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K$6:$K$10005,'月1回_2ヶ月前の在庫'!$V$6:$V$10005,'設定'!$C$4,'月1回_2ヶ月前の在庫'!$W$6:$W$10005,$C23)/COUNTIFS('月1回_2ヶ月前の在庫'!$V$6:$V$10005,'設定'!$C$4,'月1回_2ヶ月前の在庫'!$W$6:$W$10005,$C23),0))),INDEX('商品マスタ'!$F$6:$F$1005,MATCH($C23,'商品マスタ'!$B$6:$B$1005,0))),IF(COUNTIFS('①在庫を貼る'!$V$6:$V$10005,'設定'!$C$4,'①在庫を貼る'!$W$6:$W$10005,$C23)&gt;0,SUMIFS('①在庫を貼る'!$K$6:$K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K$6:$K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K$6:$K$10005,'月1回_2ヶ月前の在庫'!$V$6:$V$10005,'設定'!$C$4,'月1回_2ヶ月前の在庫'!$W$6:$W$10005,$C23)/COUNTIFS('月1回_2ヶ月前の在庫'!$V$6:$V$10005,'設定'!$C$4,'月1回_2ヶ月前の在庫'!$W$6:$W$10005,$C23),0)))))))</f>
        <v/>
      </c>
      <c r="H23">
        <f>IF($C23="","",N(IFERROR(IF(INDEX('商品マスタ'!$G$6:$G$1005,MATCH($C23,'商品マスタ'!$B$6:$B$1005,0))="",IF(COUNTIFS('①在庫を貼る'!$V$6:$V$10005,'設定'!$C$4,'①在庫を貼る'!$W$6:$W$10005,$C23)&gt;0,SUMIFS('①在庫を貼る'!$Q$6:$Q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Q$6:$Q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Q$6:$Q$10005,'月1回_2ヶ月前の在庫'!$V$6:$V$10005,'設定'!$C$4,'月1回_2ヶ月前の在庫'!$W$6:$W$10005,$C23)/COUNTIFS('月1回_2ヶ月前の在庫'!$V$6:$V$10005,'設定'!$C$4,'月1回_2ヶ月前の在庫'!$W$6:$W$10005,$C23),0))),INDEX('商品マスタ'!$G$6:$G$1005,MATCH($C23,'商品マスタ'!$B$6:$B$1005,0))),IF(COUNTIFS('①在庫を貼る'!$V$6:$V$10005,'設定'!$C$4,'①在庫を貼る'!$W$6:$W$10005,$C23)&gt;0,SUMIFS('①在庫を貼る'!$Q$6:$Q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Q$6:$Q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Q$6:$Q$10005,'月1回_2ヶ月前の在庫'!$V$6:$V$10005,'設定'!$C$4,'月1回_2ヶ月前の在庫'!$W$6:$W$10005,$C23)/COUNTIFS('月1回_2ヶ月前の在庫'!$V$6:$V$10005,'設定'!$C$4,'月1回_2ヶ月前の在庫'!$W$6:$W$10005,$C23),0))))))</f>
        <v/>
      </c>
      <c r="I23">
        <f>IF($C23="","",IF(COUNTIFS('①在庫を貼る'!$V$6:$V$10005,'設定'!$C$4,'①在庫を貼る'!$W$6:$W$10005,$C23)=0,"",SUMIFS('①在庫を貼る'!$N$6:$N$10005,'①在庫を貼る'!$V$6:$V$10005,'設定'!$C$4,'①在庫を貼る'!$W$6:$W$10005,$C23)))</f>
        <v/>
      </c>
      <c r="J23">
        <f>IF($C23="","",IF('②発注する'!$AD27="","",'②発注する'!$AD27))</f>
        <v/>
      </c>
      <c r="K23" s="90">
        <f>IF($C23="","",IF('②発注する'!$AE27="","",'②発注する'!$AE27))</f>
        <v/>
      </c>
      <c r="L23">
        <f>IF($C23="","",IF(AND(ISNUMBER($J23),ISNUMBER($K23),$K23&gt;='設定'!$C$6),$J23,N($I23)))</f>
        <v/>
      </c>
      <c r="M23">
        <f>IF($C23="","",IFERROR(IF(N(INDEX('商品マスタ'!$J$6:$J$1005,MATCH($C23,'商品マスタ'!$B$6:$B$1005,0)))&gt;0,INDEX('商品マスタ'!$J$6:$J$1005,MATCH($C23,'商品マスタ'!$B$6:$B$1005,0)),""),""))</f>
        <v/>
      </c>
      <c r="N23">
        <f>IF($C23="","",IFERROR(IF(N(INDEX('商品マスタ'!$H$6:$H$1005,MATCH($C23,'商品マスタ'!$B$6:$B$1005,0)))&gt;0,INDEX('商品マスタ'!$H$6:$H$1005,MATCH($C23,'商品マスタ'!$B$6:$B$1005,0)),""),""))</f>
        <v/>
      </c>
      <c r="O23">
        <f>IF($C23="","",IF($N23&lt;&gt;"",$N23*$G23,IF(N(IF(COUNTIFS('①在庫を貼る'!$V$6:$V$10005,'設定'!$C$4,'①在庫を貼る'!$W$6:$W$10005,$C23)&gt;0,SUMIFS('①在庫を貼る'!$O$6:$O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O$6:$O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O$6:$O$10005,'月1回_2ヶ月前の在庫'!$V$6:$V$10005,'設定'!$C$4,'月1回_2ヶ月前の在庫'!$W$6:$W$10005,$C23)/COUNTIFS('月1回_2ヶ月前の在庫'!$V$6:$V$10005,'設定'!$C$4,'月1回_2ヶ月前の在庫'!$W$6:$W$10005,$C23),0))))&gt;0,N(IF(COUNTIFS('①在庫を貼る'!$V$6:$V$10005,'設定'!$C$4,'①在庫を貼る'!$W$6:$W$10005,$C23)&gt;0,SUMIFS('①在庫を貼る'!$O$6:$O$10005,'①在庫を貼る'!$V$6:$V$10005,'設定'!$C$4,'①在庫を貼る'!$W$6:$W$10005,$C23)/COUNTIFS('①在庫を貼る'!$V$6:$V$10005,'設定'!$C$4,'①在庫を貼る'!$W$6:$W$10005,$C23),IF(COUNTIFS('月1回_1ヶ月前の在庫'!$V$6:$V$10005,'設定'!$C$4,'月1回_1ヶ月前の在庫'!$W$6:$W$10005,$C23)&gt;0,SUMIFS('月1回_1ヶ月前の在庫'!$O$6:$O$10005,'月1回_1ヶ月前の在庫'!$V$6:$V$10005,'設定'!$C$4,'月1回_1ヶ月前の在庫'!$W$6:$W$10005,$C23)/COUNTIFS('月1回_1ヶ月前の在庫'!$V$6:$V$10005,'設定'!$C$4,'月1回_1ヶ月前の在庫'!$W$6:$W$10005,$C23),IF(COUNTIFS('月1回_2ヶ月前の在庫'!$V$6:$V$10005,'設定'!$C$4,'月1回_2ヶ月前の在庫'!$W$6:$W$10005,$C23)&gt;0,SUMIFS('月1回_2ヶ月前の在庫'!$O$6:$O$10005,'月1回_2ヶ月前の在庫'!$V$6:$V$10005,'設定'!$C$4,'月1回_2ヶ月前の在庫'!$W$6:$W$10005,$C23)/COUNTIFS('月1回_2ヶ月前の在庫'!$V$6:$V$10005,'設定'!$C$4,'月1回_2ヶ月前の在庫'!$W$6:$W$10005,$C23),0)))),"")))</f>
        <v/>
      </c>
      <c r="P23" s="90">
        <f>IF($C23="","",IF('②発注する'!$I27="","",'②発注する'!$I27))</f>
        <v/>
      </c>
      <c r="Q23">
        <f>IF($C23="","",IF('②発注する'!$J27="","",'②発注する'!$J27))</f>
        <v/>
      </c>
      <c r="R23">
        <f>IF($C23="",0,IF(AND(ISNUMBER($P23),ISNUMBER($Q23)),MAX(0,$Q23)*$G23,0))</f>
        <v/>
      </c>
      <c r="S23" s="90">
        <f>IF($C23="","",IF('②発注する'!$M27="","",'②発注する'!$M27))</f>
        <v/>
      </c>
      <c r="T23">
        <f>IF($C23="","",IF('②発注する'!$N27="","",'②発注する'!$N27))</f>
        <v/>
      </c>
      <c r="U23">
        <f>IF($C23="",0,IF(AND(ISNUMBER($S23),ISNUMBER($T23)),MAX(0,$T23)*$G23,0))</f>
        <v/>
      </c>
      <c r="V23">
        <f>IF($C23="",0,IF($M23="",0,MAX(0,$M23)*MAX(0,V$4)/100))</f>
        <v/>
      </c>
      <c r="W23">
        <f>IF($C23="",0,IF($M23="",0,MAX(0,$M23)*MAX(0,W$4)/100))</f>
        <v/>
      </c>
      <c r="X23">
        <f>IF($C23="",0,IF($M23="",0,MAX(0,$M23)*MAX(0,X$4)/100))</f>
        <v/>
      </c>
      <c r="Y23">
        <f>IF($C23="",0,IF($M23="",0,MAX(0,$M23)*MAX(0,Y$4)/100))</f>
        <v/>
      </c>
      <c r="Z23">
        <f>IF($C23="",0,IF($M23="",0,MAX(0,$M23)*MAX(0,Z$4)/100))</f>
        <v/>
      </c>
      <c r="AA23">
        <f>IF($C23="",0,IF($M23="",0,MAX(0,$M23)*MAX(0,AA$4)/100))</f>
        <v/>
      </c>
      <c r="AB23">
        <f>IF($C23="",0,IF($M23="",0,MAX(0,$M23)*MAX(0,AB$4)/100))</f>
        <v/>
      </c>
      <c r="AC23">
        <f>IF($C23="",0,IF($M23="",0,MAX(0,$M23)*MAX(0,AC$4)/100))</f>
        <v/>
      </c>
      <c r="AD23">
        <f>IF($C23="",0,IF($M23="",0,MAX(0,$M23)*MAX(0,AD$4)/100))</f>
        <v/>
      </c>
      <c r="AE23">
        <f>IF($C23="",0,IF($M23="",0,MAX(0,$M23)*MAX(0,AE$4)/100))</f>
        <v/>
      </c>
      <c r="AF23">
        <f>IF($C23="",0,IF($M23="",0,MAX(0,$M23)*MAX(0,AF$4)/100))</f>
        <v/>
      </c>
      <c r="AG23">
        <f>IF($C23="",0,IF($M23="",0,MAX(0,$M23)*MAX(0,AG$4)/100))</f>
        <v/>
      </c>
      <c r="AH23">
        <f>IF($C23="",0,IF($M23="",0,MAX(0,$M23)*MAX(0,AH$4)/100))</f>
        <v/>
      </c>
      <c r="AI23">
        <f>IF($C23="",0,IF($M23="",0,MAX(0,$M23)*MAX(0,AI$4)/100))</f>
        <v/>
      </c>
      <c r="AJ23">
        <f>IF($C23="",0,MAX(0,MAX(0,N($L23))-$V23))</f>
        <v/>
      </c>
      <c r="AK23">
        <f>IF($C23="",0,MAX(0,$AJ23-$W23))</f>
        <v/>
      </c>
      <c r="AL23">
        <f>IF($C23="",0,MAX(0,$AK23-$X23))</f>
        <v/>
      </c>
      <c r="AM23">
        <f>IF($C23="",0,MAX(0,$AL23-$Y23))</f>
        <v/>
      </c>
      <c r="AN23">
        <f>IF($C23="",0,MAX(0,$AM23-$Z23))</f>
        <v/>
      </c>
      <c r="AO23">
        <f>IF($C23="",0,MAX(0,$AN23-$AA23))</f>
        <v/>
      </c>
      <c r="AP23">
        <f>IF($C23="",0,MAX(0,$AO23-$AB23))</f>
        <v/>
      </c>
      <c r="AQ23">
        <f>IF($C23="",0,MAX(0,$AP23-$AC23))</f>
        <v/>
      </c>
      <c r="AR23">
        <f>IF($C23="",0,MAX(0,$AQ23-$AD23))</f>
        <v/>
      </c>
      <c r="AS23">
        <f>IF($C23="",0,MAX(0,$AR23-$AE23))</f>
        <v/>
      </c>
      <c r="AT23">
        <f>IF($C23="",0,MAX(0,$AS23-$AF23))</f>
        <v/>
      </c>
      <c r="AU23">
        <f>IF($C23="",0,MAX(0,$AT23-$AG23))</f>
        <v/>
      </c>
      <c r="AV23">
        <f>IF($C23="",0,MAX(0,$AU23-$AH23))</f>
        <v/>
      </c>
      <c r="AW23">
        <f>IF($C23="",0,MAX(0,$AV23-$AI23))</f>
        <v/>
      </c>
      <c r="AX23">
        <f>IF($C23="",0,MAX(0,MAX(0,N($L23))+IF($P23=V$3,$R23,0)+IF($S23=V$3,$U23,0)-$V23))</f>
        <v/>
      </c>
      <c r="AY23">
        <f>IF($C23="",0,MAX(0,$AX23+IF($P23=W$3,$R23,0)+IF($S23=W$3,$U23,0)-$W23))</f>
        <v/>
      </c>
      <c r="AZ23">
        <f>IF($C23="",0,MAX(0,$AY23+IF($P23=X$3,$R23,0)+IF($S23=X$3,$U23,0)-$X23))</f>
        <v/>
      </c>
      <c r="BA23">
        <f>IF($C23="",0,MAX(0,$AZ23+IF($P23=Y$3,$R23,0)+IF($S23=Y$3,$U23,0)-$Y23))</f>
        <v/>
      </c>
      <c r="BB23">
        <f>IF($C23="",0,MAX(0,$BA23+IF($P23=Z$3,$R23,0)+IF($S23=Z$3,$U23,0)-$Z23))</f>
        <v/>
      </c>
      <c r="BC23">
        <f>IF($C23="",0,MAX(0,$BB23+IF($P23=AA$3,$R23,0)+IF($S23=AA$3,$U23,0)-$AA23))</f>
        <v/>
      </c>
      <c r="BD23">
        <f>IF($C23="",0,MAX(0,$BC23+IF($P23=AB$3,$R23,0)+IF($S23=AB$3,$U23,0)-$AB23))</f>
        <v/>
      </c>
      <c r="BE23">
        <f>IF($C23="",0,MAX(0,$BD23+IF($P23=AC$3,$R23,0)+IF($S23=AC$3,$U23,0)-$AC23))</f>
        <v/>
      </c>
      <c r="BF23">
        <f>IF($C23="",0,MAX(0,$BE23+IF($P23=AD$3,$R23,0)+IF($S23=AD$3,$U23,0)-$AD23))</f>
        <v/>
      </c>
      <c r="BG23">
        <f>IF($C23="",0,MAX(0,$BF23+IF($P23=AE$3,$R23,0)+IF($S23=AE$3,$U23,0)-$AE23))</f>
        <v/>
      </c>
      <c r="BH23">
        <f>IF($C23="",0,MAX(0,$BG23+IF($P23=AF$3,$R23,0)+IF($S23=AF$3,$U23,0)-$AF23))</f>
        <v/>
      </c>
      <c r="BI23">
        <f>IF($C23="",0,MAX(0,$BH23+IF($P23=AG$3,$R23,0)+IF($S23=AG$3,$U23,0)-$AG23))</f>
        <v/>
      </c>
      <c r="BJ23">
        <f>IF($C23="",0,MAX(0,$BI23+IF($P23=AH$3,$R23,0)+IF($S23=AH$3,$U23,0)-$AH23))</f>
        <v/>
      </c>
      <c r="BK23">
        <f>IF($C23="",0,MAX(0,$BJ23+IF($P23=AI$3,$R23,0)+IF($S23=AI$3,$U23,0)-$AI23))</f>
        <v/>
      </c>
      <c r="BL23">
        <f>IF($C23="",99,IF(AND($AX23&lt;1,V$3&gt;=MAX(N($P23),N($S23))),0,99))</f>
        <v/>
      </c>
      <c r="BM23">
        <f>IF($C23="",99,IF(AND($AY23&lt;1,W$3&gt;=MAX(N($P23),N($S23))),1,99))</f>
        <v/>
      </c>
      <c r="BN23">
        <f>IF($C23="",99,IF(AND($AZ23&lt;1,X$3&gt;=MAX(N($P23),N($S23))),2,99))</f>
        <v/>
      </c>
      <c r="BO23">
        <f>IF($C23="",99,IF(AND($BA23&lt;1,Y$3&gt;=MAX(N($P23),N($S23))),3,99))</f>
        <v/>
      </c>
      <c r="BP23">
        <f>IF($C23="",99,IF(AND($BB23&lt;1,Z$3&gt;=MAX(N($P23),N($S23))),4,99))</f>
        <v/>
      </c>
      <c r="BQ23">
        <f>IF($C23="",99,IF(AND($BC23&lt;1,AA$3&gt;=MAX(N($P23),N($S23))),5,99))</f>
        <v/>
      </c>
      <c r="BR23">
        <f>IF($C23="",99,IF(AND($BD23&lt;1,AB$3&gt;=MAX(N($P23),N($S23))),6,99))</f>
        <v/>
      </c>
      <c r="BS23">
        <f>IF($C23="",99,IF(AND($BE23&lt;1,AC$3&gt;=MAX(N($P23),N($S23))),7,99))</f>
        <v/>
      </c>
      <c r="BT23">
        <f>IF($C23="",99,IF(AND($BF23&lt;1,AD$3&gt;=MAX(N($P23),N($S23))),8,99))</f>
        <v/>
      </c>
      <c r="BU23">
        <f>IF($C23="",99,IF(AND($BG23&lt;1,AE$3&gt;=MAX(N($P23),N($S23))),9,99))</f>
        <v/>
      </c>
      <c r="BV23">
        <f>IF($C23="",99,IF(AND($BH23&lt;1,AF$3&gt;=MAX(N($P23),N($S23))),10,99))</f>
        <v/>
      </c>
      <c r="BW23">
        <f>IF($C23="",99,IF(AND($BI23&lt;1,AG$3&gt;=MAX(N($P23),N($S23))),11,99))</f>
        <v/>
      </c>
      <c r="BX23">
        <f>IF($C23="",99,IF(AND($BJ23&lt;1,AH$3&gt;=MAX(N($P23),N($S23))),12,99))</f>
        <v/>
      </c>
      <c r="BY23">
        <f>IF($C23="",99,IF(AND($BK23&lt;1,AI$3&gt;=MAX(N($P23),N($S23))),13,99))</f>
        <v/>
      </c>
      <c r="BZ23">
        <f>IF(OR($C23="",$M23=""),"",COUNTIF($AJ23:$AW23,"&gt;=1"))</f>
        <v/>
      </c>
      <c r="CA23" s="90">
        <f>IF($BZ23="","",IF($BZ23&gt;=14,"",'設定'!$C$6+$BZ23))</f>
        <v/>
      </c>
      <c r="CB23">
        <f>IF(OR($C23="",$M23=""),"",MIN($BL23:$BY23))</f>
        <v/>
      </c>
      <c r="CC23" s="90">
        <f>IF($CB23="","",IF($CB23&gt;=99,"",'設定'!$C$6+$CB23))</f>
        <v/>
      </c>
      <c r="CD23">
        <f>IF(OR($C23="",$M23=""),"",AVERAGE($V23:$AI23))</f>
        <v/>
      </c>
      <c r="CE23">
        <f>IF($C23="","",IFERROR(IF(MATCH(IF(ISNUMBER($P23),$P23,'設定'!$C$6+N('設定'!$C$7)),$V$3:$AI$3,0)=1,MAX(0,N($L23)),INDEX($AJ23:$AW23,MATCH(IF(ISNUMBER($P23),$P23,'設定'!$C$6+N('設定'!$C$7)),$V$3:$AI$3,0)-1)),""))</f>
        <v/>
      </c>
      <c r="CF23">
        <f>IF(OR($C23="",$O23="",$CE23=""),"",IF($O23-$CE23&lt;=0,0,ROUNDUP(($O23-$CE23)/$G23,0)))</f>
        <v/>
      </c>
      <c r="CG23">
        <f>IF(OR($C23="",$CF23="",NOT(ISNUMBER($Q23))),0,MAX(0,$Q23-$CF23))</f>
        <v/>
      </c>
      <c r="CH23">
        <f>IF(OR($C23="",$O23="",$U23=0),0,IFERROR(ROUNDUP(MAX(0,IF(MATCH($S23,$V$3:$AI$3,0)=1,MAX(0,N($L23)),INDEX($AX23:$BK23,MATCH($S23,$V$3:$AI$3,0)-1))+$U23-$O23)/$G23,0),0))</f>
        <v/>
      </c>
      <c r="CI23">
        <f>IF($C23="","",IF(AND($P23="",$Q23=""),"",IF($P23="","⚠ 入庫日を ▼ から選んでください",IF(NOT(ISNUMBER($P23)),"⚠ 入庫日は ▼ から選んでください",IF($P23&lt;N('設定'!$C$6),"⚠ 入庫日が過去です（もう在庫に入っています）→ 消してください",IF($P23&gt;N('設定'!$C$6)+13,"⚠ 入庫日が14日より先です",IF(N($Q23)&lt;=0,"⚠ 入庫数を入れてください",IF($CG23&gt;0,"⚠ 目安より "&amp;$CG23&amp;" 多い（定数を超える）→ 減らす",""))))))))</f>
        <v/>
      </c>
      <c r="CJ23">
        <f>IF($C23="","",IF(AND($S23="",$T23=""),"",IF($S23="","⚠ 2便目：入庫日を ▼ から選んでください",IF(NOT(ISNUMBER($S23)),"⚠ 2便目：入庫日は ▼ から選んでください",IF($S23&lt;N('設定'!$C$6),"⚠ 2便目：入庫日が過去です（もう在庫に入っています）→ 消してください",IF($S23&gt;N('設定'!$C$6)+13,"⚠ 2便目：入庫日が14日より先です",IF(N($T23)&lt;=0,"⚠ 2便目：入庫数を入れてください",IF($CH23&gt;0,"⚠ 2便目：定数を "&amp;$CH23&amp;" ケース超える → 減らす",""))))))))</f>
        <v/>
      </c>
      <c r="CK23">
        <f>IF(AND($CI23="",N($Q23)&gt;0,ISNUMBER($P23)),1,0)</f>
        <v/>
      </c>
      <c r="CL23">
        <f>IF(AND($CJ23="",N($T23)&gt;0,ISNUMBER($S23)),1,0)</f>
        <v/>
      </c>
      <c r="CM23">
        <f>IF(OR($CK23=1,$CL23=1),1,0)</f>
        <v/>
      </c>
      <c r="CN23">
        <f>IF($C23="",0,($CK23*$R23+$CL23*$U23)*N($H23))</f>
        <v/>
      </c>
      <c r="CO23">
        <f>IF($C23="","",IF($CC23="","入庫後は 14日以上もつ",IF($CC23-N('設定'!$C$7)&lt;='設定'!$C$6,"入庫後も "&amp;TEXT($CC23,"m/d")&amp;"("&amp;CHOOSE(WEEKDAY($CC23),"日","月","火","水","木","金","土")&amp;")"&amp;" に切れる　もう1便を至急発注","入庫後も "&amp;TEXT($CC23,"m/d")&amp;"("&amp;CHOOSE(WEEKDAY($CC23),"日","月","火","水","木","金","土")&amp;")"&amp;" に切れる　"&amp;TEXT($CC23-N('設定'!$C$7),"m/d")&amp;"("&amp;CHOOSE(WEEKDAY($CC23-N('設定'!$C$7)),"日","月","火","水","木","金","土")&amp;")"&amp;" までに次を発注")))</f>
        <v/>
      </c>
      <c r="CP23">
        <f>IF($C23="","",IF('設定'!$C$6="","？ ①在庫を貼る に今日のCSVが貼られていない",IF($CS23=1,"－ 今日のCSVに無い（終売？）",IF($L23&lt;0,"● 在庫がマイナス　数えて「数えた在庫」に入れる",IF($L23=0,"● 在庫なし　至急発注",IF($M23="","？ 減り数が未設定（商品マスタ）",IF($B$3=0,"？ 動員が未入力（動員を入れる）",IF($CA23="","○ 14日以上もつ",IF($BZ23&lt;N('設定'!$C$7),"● "&amp;TEXT($CA23,"m/d")&amp;"("&amp;CHOOSE(WEEKDAY($CA23),"日","月","火","水","木","金","土")&amp;")"&amp;" に切れる　至急発注",IF($BZ23=N('設定'!$C$7),"● "&amp;TEXT($CA23,"m/d")&amp;"("&amp;CHOOSE(WEEKDAY($CA23),"日","月","火","水","木","金","土")&amp;")"&amp;" に切れる　今日発注","△ "&amp;TEXT($CA23,"m/d")&amp;"("&amp;CHOOSE(WEEKDAY($CA23),"日","月","火","水","木","金","土")&amp;")"&amp;" に切れる　"&amp;TEXT($CA23-N('設定'!$C$7),"m/d")&amp;"("&amp;CHOOSE(WEEKDAY($CA23-N('設定'!$C$7)),"日","月","火","水","木","金","土")&amp;")"&amp;" までに発注"))))))))))</f>
        <v/>
      </c>
      <c r="CQ23">
        <f>IF($C23="","",IF(AND($P23="",$Q23="",$S23="",$T23=""),"",IF(AND($P23="",$Q23=""),"⚠ 先に1便目（左の入庫日・入庫数）に入れてください",IF($CI23&lt;&gt;"",$CI23,IF($CJ23&lt;&gt;"",$CJ23,IF($M23="","？ 減り数が未設定（発注書には載ります）",IF($B$3=0,"？ 動員が未入力（発注書には載ります）",IF(AND($CA23&lt;&gt;"",$P23&gt;$CA23),IF($P23&gt;'設定'!$C$6+N('設定'!$C$7),"● "&amp;TEXT($P23,"m/d")&amp;"("&amp;CHOOSE(WEEKDAY($P23),"日","月","火","水","木","金","土")&amp;")"&amp;" の入庫では間に合わない（"&amp;TEXT($CA23,"m/d")&amp;"("&amp;CHOOSE(WEEKDAY($CA23),"日","月","火","水","木","金","土")&amp;")"&amp;" に切れる）　入庫日を早める","△ 欠品 "&amp;TEXT($CA23,"m/d")&amp;"("&amp;CHOOSE(WEEKDAY($CA23),"日","月","火","水","木","金","土")&amp;")"&amp;"〜"&amp;TEXT($P23-1,"m/d")&amp;"("&amp;CHOOSE(WEEKDAY($P23-1),"日","月","火","水","木","金","土")&amp;")"&amp;"　"&amp;$CO23),IF($CC23="","○ "&amp;TEXT($P23,"m/d")&amp;"("&amp;CHOOSE(WEEKDAY($P23),"日","月","火","水","木","金","土")&amp;")"&amp;" 入庫で 14日以上もつ",IF($CC23-N('設定'!$C$7)&lt;='設定'!$C$6,"● 入庫しても "&amp;TEXT($CC23,"m/d")&amp;"("&amp;CHOOSE(WEEKDAY($CC23),"日","月","火","水","木","金","土")&amp;")"&amp;" に切れる　もう1便を至急発注（2便目に入れる）","△ 入庫しても "&amp;TEXT($CC23,"m/d")&amp;"("&amp;CHOOSE(WEEKDAY($CC23),"日","月","火","水","木","金","土")&amp;")"&amp;" に切れる　"&amp;TEXT($CC23-N('設定'!$C$7),"m/d")&amp;"("&amp;CHOOSE(WEEKDAY($CC23-N('設定'!$C$7)),"日","月","火","水","木","金","土")&amp;")"&amp;" までに次を発注（2便目に入れる）"))))))))))</f>
        <v/>
      </c>
      <c r="CR23">
        <f>IF($C23="","",IF($G23&gt;1,"ｹｰｽ("&amp;$G23&amp;"入)","個"))</f>
        <v/>
      </c>
      <c r="CS23">
        <f>IF($C23="",0,IF(COUNTIFS('①在庫を貼る'!$V$6:$V$10005,'設定'!$C$4,'①在庫を貼る'!$W$6:$W$10005,$C23)=0,1,0))</f>
        <v/>
      </c>
      <c r="CT23">
        <f>IF(AND($CK23=1,OR('③発注書'!$C$4="すべて",'③発注書'!$C$4="",$F23='③発注書'!$C$4)),N($CT22)+1,N($CT22))</f>
        <v/>
      </c>
      <c r="CU23">
        <f>IF(AND($CL23=1,OR('③発注書'!$C$4="すべて",'③発注書'!$C$4="",$F23='③発注書'!$C$4)),N($CU22)+1,N($CU22))</f>
        <v/>
      </c>
      <c r="CV23">
        <f>IF($C23="",0,IF(COUNTIFS('①在庫を貼る'!$V$6:$V$10005,'設定'!$C$4,'①在庫を貼る'!$W$6:$W$10005,$C23)&gt;0,1,0))</f>
        <v/>
      </c>
      <c r="CW23">
        <f>IF($C23="",0,IF(COUNTIFS('月1回_1ヶ月前の在庫'!$V$6:$V$10005,'設定'!$C$4,'月1回_1ヶ月前の在庫'!$W$6:$W$10005,$C23)&gt;0,1,0))</f>
        <v/>
      </c>
      <c r="CX23">
        <f>IF($C23="",0,IF(COUNTIFS('月1回_2ヶ月前の在庫'!$V$6:$V$10005,'設定'!$C$4,'月1回_2ヶ月前の在庫'!$W$6:$W$10005,$C23)&gt;0,1,0))</f>
        <v/>
      </c>
      <c r="CY23">
        <f>IF(OR($C23="",'設定'!$C$12=""),"",IF('設定'!$C$13="",IF(AND($CV23=1,$CW23=0),"新商品（今月から）",IF(AND($CV23=0,$CW23=1),"終売（今月から）","")),IF(AND($CV23=1,$CW23=0,$CX23=0),"新商品（今月から）",IF(AND($CV23=1,$CW23=1,$CX23=0),"新商品（先月から）",IF(AND($CV23=0,$CW23=1,$CX23=1),"終売（今月から）",IF(AND($CV23=0,$CW23=0,$CX23=1),"終売（先月から）",IF(AND($CV23=1,$CW23=0,$CX23=1),"復活（先月は無し）","")))))))</f>
        <v/>
      </c>
    </row>
    <row r="24">
      <c r="B24">
        <f>IF(19&lt;='設定'!$C$11,19,"")</f>
        <v/>
      </c>
      <c r="C24">
        <f>IF($B24="","",IF($B24&lt;='設定'!$C$20,INDEX('商品マスタ'!$B$6:$B$1005,MATCH($B24,'商品マスタ'!$M$6:$M$1005,0)),IF($B24&lt;='設定'!$C$20+'設定'!$C$17,INDEX('①在庫を貼る'!$W$6:$W$10005,MATCH($B24-'設定'!$C$20,'①在庫を貼る'!$U$6:$U$10005,0)),IF($B24&lt;='設定'!$C$20+'設定'!$C$17+'設定'!$C$18,INDEX('月1回_1ヶ月前の在庫'!$W$6:$W$10005,MATCH($B24-'設定'!$C$20-'設定'!$C$17,'月1回_1ヶ月前の在庫'!$U$6:$U$10005,0)),INDEX('月1回_2ヶ月前の在庫'!$W$6:$W$10005,MATCH($B24-'設定'!$C$20-'設定'!$C$17-'設定'!$C$18,'月1回_2ヶ月前の在庫'!$U$6:$U$10005,0))))))</f>
        <v/>
      </c>
      <c r="D24">
        <f>IF($C24="","",IFERROR(IF(INDEX('商品マスタ'!$C$6:$C$1005,MATCH($C24,'商品マスタ'!$B$6:$B$1005,0))="",IFERROR(INDEX('①在庫を貼る'!$J$6:$J$10005,MATCH($C24,'①在庫を貼る'!$W$6:$W$10005,0)),IFERROR(INDEX('月1回_1ヶ月前の在庫'!$J$6:$J$10005,MATCH($C24,'月1回_1ヶ月前の在庫'!$W$6:$W$10005,0)),IFERROR(INDEX('月1回_2ヶ月前の在庫'!$J$6:$J$10005,MATCH($C24,'月1回_2ヶ月前の在庫'!$W$6:$W$10005,0)),""))),INDEX('商品マスタ'!$C$6:$C$1005,MATCH($C24,'商品マスタ'!$B$6:$B$1005,0))),IFERROR(INDEX('①在庫を貼る'!$J$6:$J$10005,MATCH($C24,'①在庫を貼る'!$W$6:$W$10005,0)),IFERROR(INDEX('月1回_1ヶ月前の在庫'!$J$6:$J$10005,MATCH($C24,'月1回_1ヶ月前の在庫'!$W$6:$W$10005,0)),IFERROR(INDEX('月1回_2ヶ月前の在庫'!$J$6:$J$10005,MATCH($C24,'月1回_2ヶ月前の在庫'!$W$6:$W$10005,0)),"")))))</f>
        <v/>
      </c>
      <c r="E24">
        <f>IF($C24="","",IFERROR(IF(INDEX('商品マスタ'!$D$6:$D$1005,MATCH($C24,'商品マスタ'!$B$6:$B$1005,0))="",IFERROR(INDEX('①在庫を貼る'!$H$6:$H$10005,MATCH($C24,'①在庫を貼る'!$W$6:$W$10005,0)),IFERROR(INDEX('月1回_1ヶ月前の在庫'!$H$6:$H$10005,MATCH($C24,'月1回_1ヶ月前の在庫'!$W$6:$W$10005,0)),IFERROR(INDEX('月1回_2ヶ月前の在庫'!$H$6:$H$10005,MATCH($C24,'月1回_2ヶ月前の在庫'!$W$6:$W$10005,0)),""))),INDEX('商品マスタ'!$D$6:$D$1005,MATCH($C24,'商品マスタ'!$B$6:$B$1005,0))),IFERROR(INDEX('①在庫を貼る'!$H$6:$H$10005,MATCH($C24,'①在庫を貼る'!$W$6:$W$10005,0)),IFERROR(INDEX('月1回_1ヶ月前の在庫'!$H$6:$H$10005,MATCH($C24,'月1回_1ヶ月前の在庫'!$W$6:$W$10005,0)),IFERROR(INDEX('月1回_2ヶ月前の在庫'!$H$6:$H$10005,MATCH($C24,'月1回_2ヶ月前の在庫'!$W$6:$W$10005,0)),"")))))</f>
        <v/>
      </c>
      <c r="F24">
        <f>IF($C24="","",IFERROR(IF(INDEX('商品マスタ'!$E$6:$E$1005,MATCH($C24,'商品マスタ'!$B$6:$B$1005,0))="",IFERROR(INDEX('①在庫を貼る'!$E$6:$E$10005,MATCH($C24,'①在庫を貼る'!$W$6:$W$10005,0)),IFERROR(INDEX('月1回_1ヶ月前の在庫'!$E$6:$E$10005,MATCH($C24,'月1回_1ヶ月前の在庫'!$W$6:$W$10005,0)),IFERROR(INDEX('月1回_2ヶ月前の在庫'!$E$6:$E$10005,MATCH($C24,'月1回_2ヶ月前の在庫'!$W$6:$W$10005,0)),""))),INDEX('商品マスタ'!$E$6:$E$1005,MATCH($C24,'商品マスタ'!$B$6:$B$1005,0))),IFERROR(INDEX('①在庫を貼る'!$E$6:$E$10005,MATCH($C24,'①在庫を貼る'!$W$6:$W$10005,0)),IFERROR(INDEX('月1回_1ヶ月前の在庫'!$E$6:$E$10005,MATCH($C24,'月1回_1ヶ月前の在庫'!$W$6:$W$10005,0)),IFERROR(INDEX('月1回_2ヶ月前の在庫'!$E$6:$E$10005,MATCH($C24,'月1回_2ヶ月前の在庫'!$W$6:$W$10005,0)),"")))))</f>
        <v/>
      </c>
      <c r="G24">
        <f>IF($C24="","",MAX(1,N(IFERROR(IF(INDEX('商品マスタ'!$F$6:$F$1005,MATCH($C24,'商品マスタ'!$B$6:$B$1005,0))="",IF(COUNTIFS('①在庫を貼る'!$V$6:$V$10005,'設定'!$C$4,'①在庫を貼る'!$W$6:$W$10005,$C24)&gt;0,SUMIFS('①在庫を貼る'!$K$6:$K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K$6:$K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K$6:$K$10005,'月1回_2ヶ月前の在庫'!$V$6:$V$10005,'設定'!$C$4,'月1回_2ヶ月前の在庫'!$W$6:$W$10005,$C24)/COUNTIFS('月1回_2ヶ月前の在庫'!$V$6:$V$10005,'設定'!$C$4,'月1回_2ヶ月前の在庫'!$W$6:$W$10005,$C24),0))),INDEX('商品マスタ'!$F$6:$F$1005,MATCH($C24,'商品マスタ'!$B$6:$B$1005,0))),IF(COUNTIFS('①在庫を貼る'!$V$6:$V$10005,'設定'!$C$4,'①在庫を貼る'!$W$6:$W$10005,$C24)&gt;0,SUMIFS('①在庫を貼る'!$K$6:$K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K$6:$K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K$6:$K$10005,'月1回_2ヶ月前の在庫'!$V$6:$V$10005,'設定'!$C$4,'月1回_2ヶ月前の在庫'!$W$6:$W$10005,$C24)/COUNTIFS('月1回_2ヶ月前の在庫'!$V$6:$V$10005,'設定'!$C$4,'月1回_2ヶ月前の在庫'!$W$6:$W$10005,$C24),0)))))))</f>
        <v/>
      </c>
      <c r="H24">
        <f>IF($C24="","",N(IFERROR(IF(INDEX('商品マスタ'!$G$6:$G$1005,MATCH($C24,'商品マスタ'!$B$6:$B$1005,0))="",IF(COUNTIFS('①在庫を貼る'!$V$6:$V$10005,'設定'!$C$4,'①在庫を貼る'!$W$6:$W$10005,$C24)&gt;0,SUMIFS('①在庫を貼る'!$Q$6:$Q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Q$6:$Q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Q$6:$Q$10005,'月1回_2ヶ月前の在庫'!$V$6:$V$10005,'設定'!$C$4,'月1回_2ヶ月前の在庫'!$W$6:$W$10005,$C24)/COUNTIFS('月1回_2ヶ月前の在庫'!$V$6:$V$10005,'設定'!$C$4,'月1回_2ヶ月前の在庫'!$W$6:$W$10005,$C24),0))),INDEX('商品マスタ'!$G$6:$G$1005,MATCH($C24,'商品マスタ'!$B$6:$B$1005,0))),IF(COUNTIFS('①在庫を貼る'!$V$6:$V$10005,'設定'!$C$4,'①在庫を貼る'!$W$6:$W$10005,$C24)&gt;0,SUMIFS('①在庫を貼る'!$Q$6:$Q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Q$6:$Q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Q$6:$Q$10005,'月1回_2ヶ月前の在庫'!$V$6:$V$10005,'設定'!$C$4,'月1回_2ヶ月前の在庫'!$W$6:$W$10005,$C24)/COUNTIFS('月1回_2ヶ月前の在庫'!$V$6:$V$10005,'設定'!$C$4,'月1回_2ヶ月前の在庫'!$W$6:$W$10005,$C24),0))))))</f>
        <v/>
      </c>
      <c r="I24">
        <f>IF($C24="","",IF(COUNTIFS('①在庫を貼る'!$V$6:$V$10005,'設定'!$C$4,'①在庫を貼る'!$W$6:$W$10005,$C24)=0,"",SUMIFS('①在庫を貼る'!$N$6:$N$10005,'①在庫を貼る'!$V$6:$V$10005,'設定'!$C$4,'①在庫を貼る'!$W$6:$W$10005,$C24)))</f>
        <v/>
      </c>
      <c r="J24">
        <f>IF($C24="","",IF('②発注する'!$AD28="","",'②発注する'!$AD28))</f>
        <v/>
      </c>
      <c r="K24" s="90">
        <f>IF($C24="","",IF('②発注する'!$AE28="","",'②発注する'!$AE28))</f>
        <v/>
      </c>
      <c r="L24">
        <f>IF($C24="","",IF(AND(ISNUMBER($J24),ISNUMBER($K24),$K24&gt;='設定'!$C$6),$J24,N($I24)))</f>
        <v/>
      </c>
      <c r="M24">
        <f>IF($C24="","",IFERROR(IF(N(INDEX('商品マスタ'!$J$6:$J$1005,MATCH($C24,'商品マスタ'!$B$6:$B$1005,0)))&gt;0,INDEX('商品マスタ'!$J$6:$J$1005,MATCH($C24,'商品マスタ'!$B$6:$B$1005,0)),""),""))</f>
        <v/>
      </c>
      <c r="N24">
        <f>IF($C24="","",IFERROR(IF(N(INDEX('商品マスタ'!$H$6:$H$1005,MATCH($C24,'商品マスタ'!$B$6:$B$1005,0)))&gt;0,INDEX('商品マスタ'!$H$6:$H$1005,MATCH($C24,'商品マスタ'!$B$6:$B$1005,0)),""),""))</f>
        <v/>
      </c>
      <c r="O24">
        <f>IF($C24="","",IF($N24&lt;&gt;"",$N24*$G24,IF(N(IF(COUNTIFS('①在庫を貼る'!$V$6:$V$10005,'設定'!$C$4,'①在庫を貼る'!$W$6:$W$10005,$C24)&gt;0,SUMIFS('①在庫を貼る'!$O$6:$O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O$6:$O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O$6:$O$10005,'月1回_2ヶ月前の在庫'!$V$6:$V$10005,'設定'!$C$4,'月1回_2ヶ月前の在庫'!$W$6:$W$10005,$C24)/COUNTIFS('月1回_2ヶ月前の在庫'!$V$6:$V$10005,'設定'!$C$4,'月1回_2ヶ月前の在庫'!$W$6:$W$10005,$C24),0))))&gt;0,N(IF(COUNTIFS('①在庫を貼る'!$V$6:$V$10005,'設定'!$C$4,'①在庫を貼る'!$W$6:$W$10005,$C24)&gt;0,SUMIFS('①在庫を貼る'!$O$6:$O$10005,'①在庫を貼る'!$V$6:$V$10005,'設定'!$C$4,'①在庫を貼る'!$W$6:$W$10005,$C24)/COUNTIFS('①在庫を貼る'!$V$6:$V$10005,'設定'!$C$4,'①在庫を貼る'!$W$6:$W$10005,$C24),IF(COUNTIFS('月1回_1ヶ月前の在庫'!$V$6:$V$10005,'設定'!$C$4,'月1回_1ヶ月前の在庫'!$W$6:$W$10005,$C24)&gt;0,SUMIFS('月1回_1ヶ月前の在庫'!$O$6:$O$10005,'月1回_1ヶ月前の在庫'!$V$6:$V$10005,'設定'!$C$4,'月1回_1ヶ月前の在庫'!$W$6:$W$10005,$C24)/COUNTIFS('月1回_1ヶ月前の在庫'!$V$6:$V$10005,'設定'!$C$4,'月1回_1ヶ月前の在庫'!$W$6:$W$10005,$C24),IF(COUNTIFS('月1回_2ヶ月前の在庫'!$V$6:$V$10005,'設定'!$C$4,'月1回_2ヶ月前の在庫'!$W$6:$W$10005,$C24)&gt;0,SUMIFS('月1回_2ヶ月前の在庫'!$O$6:$O$10005,'月1回_2ヶ月前の在庫'!$V$6:$V$10005,'設定'!$C$4,'月1回_2ヶ月前の在庫'!$W$6:$W$10005,$C24)/COUNTIFS('月1回_2ヶ月前の在庫'!$V$6:$V$10005,'設定'!$C$4,'月1回_2ヶ月前の在庫'!$W$6:$W$10005,$C24),0)))),"")))</f>
        <v/>
      </c>
      <c r="P24" s="90">
        <f>IF($C24="","",IF('②発注する'!$I28="","",'②発注する'!$I28))</f>
        <v/>
      </c>
      <c r="Q24">
        <f>IF($C24="","",IF('②発注する'!$J28="","",'②発注する'!$J28))</f>
        <v/>
      </c>
      <c r="R24">
        <f>IF($C24="",0,IF(AND(ISNUMBER($P24),ISNUMBER($Q24)),MAX(0,$Q24)*$G24,0))</f>
        <v/>
      </c>
      <c r="S24" s="90">
        <f>IF($C24="","",IF('②発注する'!$M28="","",'②発注する'!$M28))</f>
        <v/>
      </c>
      <c r="T24">
        <f>IF($C24="","",IF('②発注する'!$N28="","",'②発注する'!$N28))</f>
        <v/>
      </c>
      <c r="U24">
        <f>IF($C24="",0,IF(AND(ISNUMBER($S24),ISNUMBER($T24)),MAX(0,$T24)*$G24,0))</f>
        <v/>
      </c>
      <c r="V24">
        <f>IF($C24="",0,IF($M24="",0,MAX(0,$M24)*MAX(0,V$4)/100))</f>
        <v/>
      </c>
      <c r="W24">
        <f>IF($C24="",0,IF($M24="",0,MAX(0,$M24)*MAX(0,W$4)/100))</f>
        <v/>
      </c>
      <c r="X24">
        <f>IF($C24="",0,IF($M24="",0,MAX(0,$M24)*MAX(0,X$4)/100))</f>
        <v/>
      </c>
      <c r="Y24">
        <f>IF($C24="",0,IF($M24="",0,MAX(0,$M24)*MAX(0,Y$4)/100))</f>
        <v/>
      </c>
      <c r="Z24">
        <f>IF($C24="",0,IF($M24="",0,MAX(0,$M24)*MAX(0,Z$4)/100))</f>
        <v/>
      </c>
      <c r="AA24">
        <f>IF($C24="",0,IF($M24="",0,MAX(0,$M24)*MAX(0,AA$4)/100))</f>
        <v/>
      </c>
      <c r="AB24">
        <f>IF($C24="",0,IF($M24="",0,MAX(0,$M24)*MAX(0,AB$4)/100))</f>
        <v/>
      </c>
      <c r="AC24">
        <f>IF($C24="",0,IF($M24="",0,MAX(0,$M24)*MAX(0,AC$4)/100))</f>
        <v/>
      </c>
      <c r="AD24">
        <f>IF($C24="",0,IF($M24="",0,MAX(0,$M24)*MAX(0,AD$4)/100))</f>
        <v/>
      </c>
      <c r="AE24">
        <f>IF($C24="",0,IF($M24="",0,MAX(0,$M24)*MAX(0,AE$4)/100))</f>
        <v/>
      </c>
      <c r="AF24">
        <f>IF($C24="",0,IF($M24="",0,MAX(0,$M24)*MAX(0,AF$4)/100))</f>
        <v/>
      </c>
      <c r="AG24">
        <f>IF($C24="",0,IF($M24="",0,MAX(0,$M24)*MAX(0,AG$4)/100))</f>
        <v/>
      </c>
      <c r="AH24">
        <f>IF($C24="",0,IF($M24="",0,MAX(0,$M24)*MAX(0,AH$4)/100))</f>
        <v/>
      </c>
      <c r="AI24">
        <f>IF($C24="",0,IF($M24="",0,MAX(0,$M24)*MAX(0,AI$4)/100))</f>
        <v/>
      </c>
      <c r="AJ24">
        <f>IF($C24="",0,MAX(0,MAX(0,N($L24))-$V24))</f>
        <v/>
      </c>
      <c r="AK24">
        <f>IF($C24="",0,MAX(0,$AJ24-$W24))</f>
        <v/>
      </c>
      <c r="AL24">
        <f>IF($C24="",0,MAX(0,$AK24-$X24))</f>
        <v/>
      </c>
      <c r="AM24">
        <f>IF($C24="",0,MAX(0,$AL24-$Y24))</f>
        <v/>
      </c>
      <c r="AN24">
        <f>IF($C24="",0,MAX(0,$AM24-$Z24))</f>
        <v/>
      </c>
      <c r="AO24">
        <f>IF($C24="",0,MAX(0,$AN24-$AA24))</f>
        <v/>
      </c>
      <c r="AP24">
        <f>IF($C24="",0,MAX(0,$AO24-$AB24))</f>
        <v/>
      </c>
      <c r="AQ24">
        <f>IF($C24="",0,MAX(0,$AP24-$AC24))</f>
        <v/>
      </c>
      <c r="AR24">
        <f>IF($C24="",0,MAX(0,$AQ24-$AD24))</f>
        <v/>
      </c>
      <c r="AS24">
        <f>IF($C24="",0,MAX(0,$AR24-$AE24))</f>
        <v/>
      </c>
      <c r="AT24">
        <f>IF($C24="",0,MAX(0,$AS24-$AF24))</f>
        <v/>
      </c>
      <c r="AU24">
        <f>IF($C24="",0,MAX(0,$AT24-$AG24))</f>
        <v/>
      </c>
      <c r="AV24">
        <f>IF($C24="",0,MAX(0,$AU24-$AH24))</f>
        <v/>
      </c>
      <c r="AW24">
        <f>IF($C24="",0,MAX(0,$AV24-$AI24))</f>
        <v/>
      </c>
      <c r="AX24">
        <f>IF($C24="",0,MAX(0,MAX(0,N($L24))+IF($P24=V$3,$R24,0)+IF($S24=V$3,$U24,0)-$V24))</f>
        <v/>
      </c>
      <c r="AY24">
        <f>IF($C24="",0,MAX(0,$AX24+IF($P24=W$3,$R24,0)+IF($S24=W$3,$U24,0)-$W24))</f>
        <v/>
      </c>
      <c r="AZ24">
        <f>IF($C24="",0,MAX(0,$AY24+IF($P24=X$3,$R24,0)+IF($S24=X$3,$U24,0)-$X24))</f>
        <v/>
      </c>
      <c r="BA24">
        <f>IF($C24="",0,MAX(0,$AZ24+IF($P24=Y$3,$R24,0)+IF($S24=Y$3,$U24,0)-$Y24))</f>
        <v/>
      </c>
      <c r="BB24">
        <f>IF($C24="",0,MAX(0,$BA24+IF($P24=Z$3,$R24,0)+IF($S24=Z$3,$U24,0)-$Z24))</f>
        <v/>
      </c>
      <c r="BC24">
        <f>IF($C24="",0,MAX(0,$BB24+IF($P24=AA$3,$R24,0)+IF($S24=AA$3,$U24,0)-$AA24))</f>
        <v/>
      </c>
      <c r="BD24">
        <f>IF($C24="",0,MAX(0,$BC24+IF($P24=AB$3,$R24,0)+IF($S24=AB$3,$U24,0)-$AB24))</f>
        <v/>
      </c>
      <c r="BE24">
        <f>IF($C24="",0,MAX(0,$BD24+IF($P24=AC$3,$R24,0)+IF($S24=AC$3,$U24,0)-$AC24))</f>
        <v/>
      </c>
      <c r="BF24">
        <f>IF($C24="",0,MAX(0,$BE24+IF($P24=AD$3,$R24,0)+IF($S24=AD$3,$U24,0)-$AD24))</f>
        <v/>
      </c>
      <c r="BG24">
        <f>IF($C24="",0,MAX(0,$BF24+IF($P24=AE$3,$R24,0)+IF($S24=AE$3,$U24,0)-$AE24))</f>
        <v/>
      </c>
      <c r="BH24">
        <f>IF($C24="",0,MAX(0,$BG24+IF($P24=AF$3,$R24,0)+IF($S24=AF$3,$U24,0)-$AF24))</f>
        <v/>
      </c>
      <c r="BI24">
        <f>IF($C24="",0,MAX(0,$BH24+IF($P24=AG$3,$R24,0)+IF($S24=AG$3,$U24,0)-$AG24))</f>
        <v/>
      </c>
      <c r="BJ24">
        <f>IF($C24="",0,MAX(0,$BI24+IF($P24=AH$3,$R24,0)+IF($S24=AH$3,$U24,0)-$AH24))</f>
        <v/>
      </c>
      <c r="BK24">
        <f>IF($C24="",0,MAX(0,$BJ24+IF($P24=AI$3,$R24,0)+IF($S24=AI$3,$U24,0)-$AI24))</f>
        <v/>
      </c>
      <c r="BL24">
        <f>IF($C24="",99,IF(AND($AX24&lt;1,V$3&gt;=MAX(N($P24),N($S24))),0,99))</f>
        <v/>
      </c>
      <c r="BM24">
        <f>IF($C24="",99,IF(AND($AY24&lt;1,W$3&gt;=MAX(N($P24),N($S24))),1,99))</f>
        <v/>
      </c>
      <c r="BN24">
        <f>IF($C24="",99,IF(AND($AZ24&lt;1,X$3&gt;=MAX(N($P24),N($S24))),2,99))</f>
        <v/>
      </c>
      <c r="BO24">
        <f>IF($C24="",99,IF(AND($BA24&lt;1,Y$3&gt;=MAX(N($P24),N($S24))),3,99))</f>
        <v/>
      </c>
      <c r="BP24">
        <f>IF($C24="",99,IF(AND($BB24&lt;1,Z$3&gt;=MAX(N($P24),N($S24))),4,99))</f>
        <v/>
      </c>
      <c r="BQ24">
        <f>IF($C24="",99,IF(AND($BC24&lt;1,AA$3&gt;=MAX(N($P24),N($S24))),5,99))</f>
        <v/>
      </c>
      <c r="BR24">
        <f>IF($C24="",99,IF(AND($BD24&lt;1,AB$3&gt;=MAX(N($P24),N($S24))),6,99))</f>
        <v/>
      </c>
      <c r="BS24">
        <f>IF($C24="",99,IF(AND($BE24&lt;1,AC$3&gt;=MAX(N($P24),N($S24))),7,99))</f>
        <v/>
      </c>
      <c r="BT24">
        <f>IF($C24="",99,IF(AND($BF24&lt;1,AD$3&gt;=MAX(N($P24),N($S24))),8,99))</f>
        <v/>
      </c>
      <c r="BU24">
        <f>IF($C24="",99,IF(AND($BG24&lt;1,AE$3&gt;=MAX(N($P24),N($S24))),9,99))</f>
        <v/>
      </c>
      <c r="BV24">
        <f>IF($C24="",99,IF(AND($BH24&lt;1,AF$3&gt;=MAX(N($P24),N($S24))),10,99))</f>
        <v/>
      </c>
      <c r="BW24">
        <f>IF($C24="",99,IF(AND($BI24&lt;1,AG$3&gt;=MAX(N($P24),N($S24))),11,99))</f>
        <v/>
      </c>
      <c r="BX24">
        <f>IF($C24="",99,IF(AND($BJ24&lt;1,AH$3&gt;=MAX(N($P24),N($S24))),12,99))</f>
        <v/>
      </c>
      <c r="BY24">
        <f>IF($C24="",99,IF(AND($BK24&lt;1,AI$3&gt;=MAX(N($P24),N($S24))),13,99))</f>
        <v/>
      </c>
      <c r="BZ24">
        <f>IF(OR($C24="",$M24=""),"",COUNTIF($AJ24:$AW24,"&gt;=1"))</f>
        <v/>
      </c>
      <c r="CA24" s="90">
        <f>IF($BZ24="","",IF($BZ24&gt;=14,"",'設定'!$C$6+$BZ24))</f>
        <v/>
      </c>
      <c r="CB24">
        <f>IF(OR($C24="",$M24=""),"",MIN($BL24:$BY24))</f>
        <v/>
      </c>
      <c r="CC24" s="90">
        <f>IF($CB24="","",IF($CB24&gt;=99,"",'設定'!$C$6+$CB24))</f>
        <v/>
      </c>
      <c r="CD24">
        <f>IF(OR($C24="",$M24=""),"",AVERAGE($V24:$AI24))</f>
        <v/>
      </c>
      <c r="CE24">
        <f>IF($C24="","",IFERROR(IF(MATCH(IF(ISNUMBER($P24),$P24,'設定'!$C$6+N('設定'!$C$7)),$V$3:$AI$3,0)=1,MAX(0,N($L24)),INDEX($AJ24:$AW24,MATCH(IF(ISNUMBER($P24),$P24,'設定'!$C$6+N('設定'!$C$7)),$V$3:$AI$3,0)-1)),""))</f>
        <v/>
      </c>
      <c r="CF24">
        <f>IF(OR($C24="",$O24="",$CE24=""),"",IF($O24-$CE24&lt;=0,0,ROUNDUP(($O24-$CE24)/$G24,0)))</f>
        <v/>
      </c>
      <c r="CG24">
        <f>IF(OR($C24="",$CF24="",NOT(ISNUMBER($Q24))),0,MAX(0,$Q24-$CF24))</f>
        <v/>
      </c>
      <c r="CH24">
        <f>IF(OR($C24="",$O24="",$U24=0),0,IFERROR(ROUNDUP(MAX(0,IF(MATCH($S24,$V$3:$AI$3,0)=1,MAX(0,N($L24)),INDEX($AX24:$BK24,MATCH($S24,$V$3:$AI$3,0)-1))+$U24-$O24)/$G24,0),0))</f>
        <v/>
      </c>
      <c r="CI24">
        <f>IF($C24="","",IF(AND($P24="",$Q24=""),"",IF($P24="","⚠ 入庫日を ▼ から選んでください",IF(NOT(ISNUMBER($P24)),"⚠ 入庫日は ▼ から選んでください",IF($P24&lt;N('設定'!$C$6),"⚠ 入庫日が過去です（もう在庫に入っています）→ 消してください",IF($P24&gt;N('設定'!$C$6)+13,"⚠ 入庫日が14日より先です",IF(N($Q24)&lt;=0,"⚠ 入庫数を入れてください",IF($CG24&gt;0,"⚠ 目安より "&amp;$CG24&amp;" 多い（定数を超える）→ 減らす",""))))))))</f>
        <v/>
      </c>
      <c r="CJ24">
        <f>IF($C24="","",IF(AND($S24="",$T24=""),"",IF($S24="","⚠ 2便目：入庫日を ▼ から選んでください",IF(NOT(ISNUMBER($S24)),"⚠ 2便目：入庫日は ▼ から選んでください",IF($S24&lt;N('設定'!$C$6),"⚠ 2便目：入庫日が過去です（もう在庫に入っています）→ 消してください",IF($S24&gt;N('設定'!$C$6)+13,"⚠ 2便目：入庫日が14日より先です",IF(N($T24)&lt;=0,"⚠ 2便目：入庫数を入れてください",IF($CH24&gt;0,"⚠ 2便目：定数を "&amp;$CH24&amp;" ケース超える → 減らす",""))))))))</f>
        <v/>
      </c>
      <c r="CK24">
        <f>IF(AND($CI24="",N($Q24)&gt;0,ISNUMBER($P24)),1,0)</f>
        <v/>
      </c>
      <c r="CL24">
        <f>IF(AND($CJ24="",N($T24)&gt;0,ISNUMBER($S24)),1,0)</f>
        <v/>
      </c>
      <c r="CM24">
        <f>IF(OR($CK24=1,$CL24=1),1,0)</f>
        <v/>
      </c>
      <c r="CN24">
        <f>IF($C24="",0,($CK24*$R24+$CL24*$U24)*N($H24))</f>
        <v/>
      </c>
      <c r="CO24">
        <f>IF($C24="","",IF($CC24="","入庫後は 14日以上もつ",IF($CC24-N('設定'!$C$7)&lt;='設定'!$C$6,"入庫後も "&amp;TEXT($CC24,"m/d")&amp;"("&amp;CHOOSE(WEEKDAY($CC24),"日","月","火","水","木","金","土")&amp;")"&amp;" に切れる　もう1便を至急発注","入庫後も "&amp;TEXT($CC24,"m/d")&amp;"("&amp;CHOOSE(WEEKDAY($CC24),"日","月","火","水","木","金","土")&amp;")"&amp;" に切れる　"&amp;TEXT($CC24-N('設定'!$C$7),"m/d")&amp;"("&amp;CHOOSE(WEEKDAY($CC24-N('設定'!$C$7)),"日","月","火","水","木","金","土")&amp;")"&amp;" までに次を発注")))</f>
        <v/>
      </c>
      <c r="CP24">
        <f>IF($C24="","",IF('設定'!$C$6="","？ ①在庫を貼る に今日のCSVが貼られていない",IF($CS24=1,"－ 今日のCSVに無い（終売？）",IF($L24&lt;0,"● 在庫がマイナス　数えて「数えた在庫」に入れる",IF($L24=0,"● 在庫なし　至急発注",IF($M24="","？ 減り数が未設定（商品マスタ）",IF($B$3=0,"？ 動員が未入力（動員を入れる）",IF($CA24="","○ 14日以上もつ",IF($BZ24&lt;N('設定'!$C$7),"● "&amp;TEXT($CA24,"m/d")&amp;"("&amp;CHOOSE(WEEKDAY($CA24),"日","月","火","水","木","金","土")&amp;")"&amp;" に切れる　至急発注",IF($BZ24=N('設定'!$C$7),"● "&amp;TEXT($CA24,"m/d")&amp;"("&amp;CHOOSE(WEEKDAY($CA24),"日","月","火","水","木","金","土")&amp;")"&amp;" に切れる　今日発注","△ "&amp;TEXT($CA24,"m/d")&amp;"("&amp;CHOOSE(WEEKDAY($CA24),"日","月","火","水","木","金","土")&amp;")"&amp;" に切れる　"&amp;TEXT($CA24-N('設定'!$C$7),"m/d")&amp;"("&amp;CHOOSE(WEEKDAY($CA24-N('設定'!$C$7)),"日","月","火","水","木","金","土")&amp;")"&amp;" までに発注"))))))))))</f>
        <v/>
      </c>
      <c r="CQ24">
        <f>IF($C24="","",IF(AND($P24="",$Q24="",$S24="",$T24=""),"",IF(AND($P24="",$Q24=""),"⚠ 先に1便目（左の入庫日・入庫数）に入れてください",IF($CI24&lt;&gt;"",$CI24,IF($CJ24&lt;&gt;"",$CJ24,IF($M24="","？ 減り数が未設定（発注書には載ります）",IF($B$3=0,"？ 動員が未入力（発注書には載ります）",IF(AND($CA24&lt;&gt;"",$P24&gt;$CA24),IF($P24&gt;'設定'!$C$6+N('設定'!$C$7),"● "&amp;TEXT($P24,"m/d")&amp;"("&amp;CHOOSE(WEEKDAY($P24),"日","月","火","水","木","金","土")&amp;")"&amp;" の入庫では間に合わない（"&amp;TEXT($CA24,"m/d")&amp;"("&amp;CHOOSE(WEEKDAY($CA24),"日","月","火","水","木","金","土")&amp;")"&amp;" に切れる）　入庫日を早める","△ 欠品 "&amp;TEXT($CA24,"m/d")&amp;"("&amp;CHOOSE(WEEKDAY($CA24),"日","月","火","水","木","金","土")&amp;")"&amp;"〜"&amp;TEXT($P24-1,"m/d")&amp;"("&amp;CHOOSE(WEEKDAY($P24-1),"日","月","火","水","木","金","土")&amp;")"&amp;"　"&amp;$CO24),IF($CC24="","○ "&amp;TEXT($P24,"m/d")&amp;"("&amp;CHOOSE(WEEKDAY($P24),"日","月","火","水","木","金","土")&amp;")"&amp;" 入庫で 14日以上もつ",IF($CC24-N('設定'!$C$7)&lt;='設定'!$C$6,"● 入庫しても "&amp;TEXT($CC24,"m/d")&amp;"("&amp;CHOOSE(WEEKDAY($CC24),"日","月","火","水","木","金","土")&amp;")"&amp;" に切れる　もう1便を至急発注（2便目に入れる）","△ 入庫しても "&amp;TEXT($CC24,"m/d")&amp;"("&amp;CHOOSE(WEEKDAY($CC24),"日","月","火","水","木","金","土")&amp;")"&amp;" に切れる　"&amp;TEXT($CC24-N('設定'!$C$7),"m/d")&amp;"("&amp;CHOOSE(WEEKDAY($CC24-N('設定'!$C$7)),"日","月","火","水","木","金","土")&amp;")"&amp;" までに次を発注（2便目に入れる）"))))))))))</f>
        <v/>
      </c>
      <c r="CR24">
        <f>IF($C24="","",IF($G24&gt;1,"ｹｰｽ("&amp;$G24&amp;"入)","個"))</f>
        <v/>
      </c>
      <c r="CS24">
        <f>IF($C24="",0,IF(COUNTIFS('①在庫を貼る'!$V$6:$V$10005,'設定'!$C$4,'①在庫を貼る'!$W$6:$W$10005,$C24)=0,1,0))</f>
        <v/>
      </c>
      <c r="CT24">
        <f>IF(AND($CK24=1,OR('③発注書'!$C$4="すべて",'③発注書'!$C$4="",$F24='③発注書'!$C$4)),N($CT23)+1,N($CT23))</f>
        <v/>
      </c>
      <c r="CU24">
        <f>IF(AND($CL24=1,OR('③発注書'!$C$4="すべて",'③発注書'!$C$4="",$F24='③発注書'!$C$4)),N($CU23)+1,N($CU23))</f>
        <v/>
      </c>
      <c r="CV24">
        <f>IF($C24="",0,IF(COUNTIFS('①在庫を貼る'!$V$6:$V$10005,'設定'!$C$4,'①在庫を貼る'!$W$6:$W$10005,$C24)&gt;0,1,0))</f>
        <v/>
      </c>
      <c r="CW24">
        <f>IF($C24="",0,IF(COUNTIFS('月1回_1ヶ月前の在庫'!$V$6:$V$10005,'設定'!$C$4,'月1回_1ヶ月前の在庫'!$W$6:$W$10005,$C24)&gt;0,1,0))</f>
        <v/>
      </c>
      <c r="CX24">
        <f>IF($C24="",0,IF(COUNTIFS('月1回_2ヶ月前の在庫'!$V$6:$V$10005,'設定'!$C$4,'月1回_2ヶ月前の在庫'!$W$6:$W$10005,$C24)&gt;0,1,0))</f>
        <v/>
      </c>
      <c r="CY24">
        <f>IF(OR($C24="",'設定'!$C$12=""),"",IF('設定'!$C$13="",IF(AND($CV24=1,$CW24=0),"新商品（今月から）",IF(AND($CV24=0,$CW24=1),"終売（今月から）","")),IF(AND($CV24=1,$CW24=0,$CX24=0),"新商品（今月から）",IF(AND($CV24=1,$CW24=1,$CX24=0),"新商品（先月から）",IF(AND($CV24=0,$CW24=1,$CX24=1),"終売（今月から）",IF(AND($CV24=0,$CW24=0,$CX24=1),"終売（先月から）",IF(AND($CV24=1,$CW24=0,$CX24=1),"復活（先月は無し）","")))))))</f>
        <v/>
      </c>
    </row>
    <row r="25">
      <c r="B25">
        <f>IF(20&lt;='設定'!$C$11,20,"")</f>
        <v/>
      </c>
      <c r="C25">
        <f>IF($B25="","",IF($B25&lt;='設定'!$C$20,INDEX('商品マスタ'!$B$6:$B$1005,MATCH($B25,'商品マスタ'!$M$6:$M$1005,0)),IF($B25&lt;='設定'!$C$20+'設定'!$C$17,INDEX('①在庫を貼る'!$W$6:$W$10005,MATCH($B25-'設定'!$C$20,'①在庫を貼る'!$U$6:$U$10005,0)),IF($B25&lt;='設定'!$C$20+'設定'!$C$17+'設定'!$C$18,INDEX('月1回_1ヶ月前の在庫'!$W$6:$W$10005,MATCH($B25-'設定'!$C$20-'設定'!$C$17,'月1回_1ヶ月前の在庫'!$U$6:$U$10005,0)),INDEX('月1回_2ヶ月前の在庫'!$W$6:$W$10005,MATCH($B25-'設定'!$C$20-'設定'!$C$17-'設定'!$C$18,'月1回_2ヶ月前の在庫'!$U$6:$U$10005,0))))))</f>
        <v/>
      </c>
      <c r="D25">
        <f>IF($C25="","",IFERROR(IF(INDEX('商品マスタ'!$C$6:$C$1005,MATCH($C25,'商品マスタ'!$B$6:$B$1005,0))="",IFERROR(INDEX('①在庫を貼る'!$J$6:$J$10005,MATCH($C25,'①在庫を貼る'!$W$6:$W$10005,0)),IFERROR(INDEX('月1回_1ヶ月前の在庫'!$J$6:$J$10005,MATCH($C25,'月1回_1ヶ月前の在庫'!$W$6:$W$10005,0)),IFERROR(INDEX('月1回_2ヶ月前の在庫'!$J$6:$J$10005,MATCH($C25,'月1回_2ヶ月前の在庫'!$W$6:$W$10005,0)),""))),INDEX('商品マスタ'!$C$6:$C$1005,MATCH($C25,'商品マスタ'!$B$6:$B$1005,0))),IFERROR(INDEX('①在庫を貼る'!$J$6:$J$10005,MATCH($C25,'①在庫を貼る'!$W$6:$W$10005,0)),IFERROR(INDEX('月1回_1ヶ月前の在庫'!$J$6:$J$10005,MATCH($C25,'月1回_1ヶ月前の在庫'!$W$6:$W$10005,0)),IFERROR(INDEX('月1回_2ヶ月前の在庫'!$J$6:$J$10005,MATCH($C25,'月1回_2ヶ月前の在庫'!$W$6:$W$10005,0)),"")))))</f>
        <v/>
      </c>
      <c r="E25">
        <f>IF($C25="","",IFERROR(IF(INDEX('商品マスタ'!$D$6:$D$1005,MATCH($C25,'商品マスタ'!$B$6:$B$1005,0))="",IFERROR(INDEX('①在庫を貼る'!$H$6:$H$10005,MATCH($C25,'①在庫を貼る'!$W$6:$W$10005,0)),IFERROR(INDEX('月1回_1ヶ月前の在庫'!$H$6:$H$10005,MATCH($C25,'月1回_1ヶ月前の在庫'!$W$6:$W$10005,0)),IFERROR(INDEX('月1回_2ヶ月前の在庫'!$H$6:$H$10005,MATCH($C25,'月1回_2ヶ月前の在庫'!$W$6:$W$10005,0)),""))),INDEX('商品マスタ'!$D$6:$D$1005,MATCH($C25,'商品マスタ'!$B$6:$B$1005,0))),IFERROR(INDEX('①在庫を貼る'!$H$6:$H$10005,MATCH($C25,'①在庫を貼る'!$W$6:$W$10005,0)),IFERROR(INDEX('月1回_1ヶ月前の在庫'!$H$6:$H$10005,MATCH($C25,'月1回_1ヶ月前の在庫'!$W$6:$W$10005,0)),IFERROR(INDEX('月1回_2ヶ月前の在庫'!$H$6:$H$10005,MATCH($C25,'月1回_2ヶ月前の在庫'!$W$6:$W$10005,0)),"")))))</f>
        <v/>
      </c>
      <c r="F25">
        <f>IF($C25="","",IFERROR(IF(INDEX('商品マスタ'!$E$6:$E$1005,MATCH($C25,'商品マスタ'!$B$6:$B$1005,0))="",IFERROR(INDEX('①在庫を貼る'!$E$6:$E$10005,MATCH($C25,'①在庫を貼る'!$W$6:$W$10005,0)),IFERROR(INDEX('月1回_1ヶ月前の在庫'!$E$6:$E$10005,MATCH($C25,'月1回_1ヶ月前の在庫'!$W$6:$W$10005,0)),IFERROR(INDEX('月1回_2ヶ月前の在庫'!$E$6:$E$10005,MATCH($C25,'月1回_2ヶ月前の在庫'!$W$6:$W$10005,0)),""))),INDEX('商品マスタ'!$E$6:$E$1005,MATCH($C25,'商品マスタ'!$B$6:$B$1005,0))),IFERROR(INDEX('①在庫を貼る'!$E$6:$E$10005,MATCH($C25,'①在庫を貼る'!$W$6:$W$10005,0)),IFERROR(INDEX('月1回_1ヶ月前の在庫'!$E$6:$E$10005,MATCH($C25,'月1回_1ヶ月前の在庫'!$W$6:$W$10005,0)),IFERROR(INDEX('月1回_2ヶ月前の在庫'!$E$6:$E$10005,MATCH($C25,'月1回_2ヶ月前の在庫'!$W$6:$W$10005,0)),"")))))</f>
        <v/>
      </c>
      <c r="G25">
        <f>IF($C25="","",MAX(1,N(IFERROR(IF(INDEX('商品マスタ'!$F$6:$F$1005,MATCH($C25,'商品マスタ'!$B$6:$B$1005,0))="",IF(COUNTIFS('①在庫を貼る'!$V$6:$V$10005,'設定'!$C$4,'①在庫を貼る'!$W$6:$W$10005,$C25)&gt;0,SUMIFS('①在庫を貼る'!$K$6:$K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K$6:$K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K$6:$K$10005,'月1回_2ヶ月前の在庫'!$V$6:$V$10005,'設定'!$C$4,'月1回_2ヶ月前の在庫'!$W$6:$W$10005,$C25)/COUNTIFS('月1回_2ヶ月前の在庫'!$V$6:$V$10005,'設定'!$C$4,'月1回_2ヶ月前の在庫'!$W$6:$W$10005,$C25),0))),INDEX('商品マスタ'!$F$6:$F$1005,MATCH($C25,'商品マスタ'!$B$6:$B$1005,0))),IF(COUNTIFS('①在庫を貼る'!$V$6:$V$10005,'設定'!$C$4,'①在庫を貼る'!$W$6:$W$10005,$C25)&gt;0,SUMIFS('①在庫を貼る'!$K$6:$K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K$6:$K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K$6:$K$10005,'月1回_2ヶ月前の在庫'!$V$6:$V$10005,'設定'!$C$4,'月1回_2ヶ月前の在庫'!$W$6:$W$10005,$C25)/COUNTIFS('月1回_2ヶ月前の在庫'!$V$6:$V$10005,'設定'!$C$4,'月1回_2ヶ月前の在庫'!$W$6:$W$10005,$C25),0)))))))</f>
        <v/>
      </c>
      <c r="H25">
        <f>IF($C25="","",N(IFERROR(IF(INDEX('商品マスタ'!$G$6:$G$1005,MATCH($C25,'商品マスタ'!$B$6:$B$1005,0))="",IF(COUNTIFS('①在庫を貼る'!$V$6:$V$10005,'設定'!$C$4,'①在庫を貼る'!$W$6:$W$10005,$C25)&gt;0,SUMIFS('①在庫を貼る'!$Q$6:$Q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Q$6:$Q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Q$6:$Q$10005,'月1回_2ヶ月前の在庫'!$V$6:$V$10005,'設定'!$C$4,'月1回_2ヶ月前の在庫'!$W$6:$W$10005,$C25)/COUNTIFS('月1回_2ヶ月前の在庫'!$V$6:$V$10005,'設定'!$C$4,'月1回_2ヶ月前の在庫'!$W$6:$W$10005,$C25),0))),INDEX('商品マスタ'!$G$6:$G$1005,MATCH($C25,'商品マスタ'!$B$6:$B$1005,0))),IF(COUNTIFS('①在庫を貼る'!$V$6:$V$10005,'設定'!$C$4,'①在庫を貼る'!$W$6:$W$10005,$C25)&gt;0,SUMIFS('①在庫を貼る'!$Q$6:$Q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Q$6:$Q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Q$6:$Q$10005,'月1回_2ヶ月前の在庫'!$V$6:$V$10005,'設定'!$C$4,'月1回_2ヶ月前の在庫'!$W$6:$W$10005,$C25)/COUNTIFS('月1回_2ヶ月前の在庫'!$V$6:$V$10005,'設定'!$C$4,'月1回_2ヶ月前の在庫'!$W$6:$W$10005,$C25),0))))))</f>
        <v/>
      </c>
      <c r="I25">
        <f>IF($C25="","",IF(COUNTIFS('①在庫を貼る'!$V$6:$V$10005,'設定'!$C$4,'①在庫を貼る'!$W$6:$W$10005,$C25)=0,"",SUMIFS('①在庫を貼る'!$N$6:$N$10005,'①在庫を貼る'!$V$6:$V$10005,'設定'!$C$4,'①在庫を貼る'!$W$6:$W$10005,$C25)))</f>
        <v/>
      </c>
      <c r="J25">
        <f>IF($C25="","",IF('②発注する'!$AD29="","",'②発注する'!$AD29))</f>
        <v/>
      </c>
      <c r="K25" s="90">
        <f>IF($C25="","",IF('②発注する'!$AE29="","",'②発注する'!$AE29))</f>
        <v/>
      </c>
      <c r="L25">
        <f>IF($C25="","",IF(AND(ISNUMBER($J25),ISNUMBER($K25),$K25&gt;='設定'!$C$6),$J25,N($I25)))</f>
        <v/>
      </c>
      <c r="M25">
        <f>IF($C25="","",IFERROR(IF(N(INDEX('商品マスタ'!$J$6:$J$1005,MATCH($C25,'商品マスタ'!$B$6:$B$1005,0)))&gt;0,INDEX('商品マスタ'!$J$6:$J$1005,MATCH($C25,'商品マスタ'!$B$6:$B$1005,0)),""),""))</f>
        <v/>
      </c>
      <c r="N25">
        <f>IF($C25="","",IFERROR(IF(N(INDEX('商品マスタ'!$H$6:$H$1005,MATCH($C25,'商品マスタ'!$B$6:$B$1005,0)))&gt;0,INDEX('商品マスタ'!$H$6:$H$1005,MATCH($C25,'商品マスタ'!$B$6:$B$1005,0)),""),""))</f>
        <v/>
      </c>
      <c r="O25">
        <f>IF($C25="","",IF($N25&lt;&gt;"",$N25*$G25,IF(N(IF(COUNTIFS('①在庫を貼る'!$V$6:$V$10005,'設定'!$C$4,'①在庫を貼る'!$W$6:$W$10005,$C25)&gt;0,SUMIFS('①在庫を貼る'!$O$6:$O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O$6:$O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O$6:$O$10005,'月1回_2ヶ月前の在庫'!$V$6:$V$10005,'設定'!$C$4,'月1回_2ヶ月前の在庫'!$W$6:$W$10005,$C25)/COUNTIFS('月1回_2ヶ月前の在庫'!$V$6:$V$10005,'設定'!$C$4,'月1回_2ヶ月前の在庫'!$W$6:$W$10005,$C25),0))))&gt;0,N(IF(COUNTIFS('①在庫を貼る'!$V$6:$V$10005,'設定'!$C$4,'①在庫を貼る'!$W$6:$W$10005,$C25)&gt;0,SUMIFS('①在庫を貼る'!$O$6:$O$10005,'①在庫を貼る'!$V$6:$V$10005,'設定'!$C$4,'①在庫を貼る'!$W$6:$W$10005,$C25)/COUNTIFS('①在庫を貼る'!$V$6:$V$10005,'設定'!$C$4,'①在庫を貼る'!$W$6:$W$10005,$C25),IF(COUNTIFS('月1回_1ヶ月前の在庫'!$V$6:$V$10005,'設定'!$C$4,'月1回_1ヶ月前の在庫'!$W$6:$W$10005,$C25)&gt;0,SUMIFS('月1回_1ヶ月前の在庫'!$O$6:$O$10005,'月1回_1ヶ月前の在庫'!$V$6:$V$10005,'設定'!$C$4,'月1回_1ヶ月前の在庫'!$W$6:$W$10005,$C25)/COUNTIFS('月1回_1ヶ月前の在庫'!$V$6:$V$10005,'設定'!$C$4,'月1回_1ヶ月前の在庫'!$W$6:$W$10005,$C25),IF(COUNTIFS('月1回_2ヶ月前の在庫'!$V$6:$V$10005,'設定'!$C$4,'月1回_2ヶ月前の在庫'!$W$6:$W$10005,$C25)&gt;0,SUMIFS('月1回_2ヶ月前の在庫'!$O$6:$O$10005,'月1回_2ヶ月前の在庫'!$V$6:$V$10005,'設定'!$C$4,'月1回_2ヶ月前の在庫'!$W$6:$W$10005,$C25)/COUNTIFS('月1回_2ヶ月前の在庫'!$V$6:$V$10005,'設定'!$C$4,'月1回_2ヶ月前の在庫'!$W$6:$W$10005,$C25),0)))),"")))</f>
        <v/>
      </c>
      <c r="P25" s="90">
        <f>IF($C25="","",IF('②発注する'!$I29="","",'②発注する'!$I29))</f>
        <v/>
      </c>
      <c r="Q25">
        <f>IF($C25="","",IF('②発注する'!$J29="","",'②発注する'!$J29))</f>
        <v/>
      </c>
      <c r="R25">
        <f>IF($C25="",0,IF(AND(ISNUMBER($P25),ISNUMBER($Q25)),MAX(0,$Q25)*$G25,0))</f>
        <v/>
      </c>
      <c r="S25" s="90">
        <f>IF($C25="","",IF('②発注する'!$M29="","",'②発注する'!$M29))</f>
        <v/>
      </c>
      <c r="T25">
        <f>IF($C25="","",IF('②発注する'!$N29="","",'②発注する'!$N29))</f>
        <v/>
      </c>
      <c r="U25">
        <f>IF($C25="",0,IF(AND(ISNUMBER($S25),ISNUMBER($T25)),MAX(0,$T25)*$G25,0))</f>
        <v/>
      </c>
      <c r="V25">
        <f>IF($C25="",0,IF($M25="",0,MAX(0,$M25)*MAX(0,V$4)/100))</f>
        <v/>
      </c>
      <c r="W25">
        <f>IF($C25="",0,IF($M25="",0,MAX(0,$M25)*MAX(0,W$4)/100))</f>
        <v/>
      </c>
      <c r="X25">
        <f>IF($C25="",0,IF($M25="",0,MAX(0,$M25)*MAX(0,X$4)/100))</f>
        <v/>
      </c>
      <c r="Y25">
        <f>IF($C25="",0,IF($M25="",0,MAX(0,$M25)*MAX(0,Y$4)/100))</f>
        <v/>
      </c>
      <c r="Z25">
        <f>IF($C25="",0,IF($M25="",0,MAX(0,$M25)*MAX(0,Z$4)/100))</f>
        <v/>
      </c>
      <c r="AA25">
        <f>IF($C25="",0,IF($M25="",0,MAX(0,$M25)*MAX(0,AA$4)/100))</f>
        <v/>
      </c>
      <c r="AB25">
        <f>IF($C25="",0,IF($M25="",0,MAX(0,$M25)*MAX(0,AB$4)/100))</f>
        <v/>
      </c>
      <c r="AC25">
        <f>IF($C25="",0,IF($M25="",0,MAX(0,$M25)*MAX(0,AC$4)/100))</f>
        <v/>
      </c>
      <c r="AD25">
        <f>IF($C25="",0,IF($M25="",0,MAX(0,$M25)*MAX(0,AD$4)/100))</f>
        <v/>
      </c>
      <c r="AE25">
        <f>IF($C25="",0,IF($M25="",0,MAX(0,$M25)*MAX(0,AE$4)/100))</f>
        <v/>
      </c>
      <c r="AF25">
        <f>IF($C25="",0,IF($M25="",0,MAX(0,$M25)*MAX(0,AF$4)/100))</f>
        <v/>
      </c>
      <c r="AG25">
        <f>IF($C25="",0,IF($M25="",0,MAX(0,$M25)*MAX(0,AG$4)/100))</f>
        <v/>
      </c>
      <c r="AH25">
        <f>IF($C25="",0,IF($M25="",0,MAX(0,$M25)*MAX(0,AH$4)/100))</f>
        <v/>
      </c>
      <c r="AI25">
        <f>IF($C25="",0,IF($M25="",0,MAX(0,$M25)*MAX(0,AI$4)/100))</f>
        <v/>
      </c>
      <c r="AJ25">
        <f>IF($C25="",0,MAX(0,MAX(0,N($L25))-$V25))</f>
        <v/>
      </c>
      <c r="AK25">
        <f>IF($C25="",0,MAX(0,$AJ25-$W25))</f>
        <v/>
      </c>
      <c r="AL25">
        <f>IF($C25="",0,MAX(0,$AK25-$X25))</f>
        <v/>
      </c>
      <c r="AM25">
        <f>IF($C25="",0,MAX(0,$AL25-$Y25))</f>
        <v/>
      </c>
      <c r="AN25">
        <f>IF($C25="",0,MAX(0,$AM25-$Z25))</f>
        <v/>
      </c>
      <c r="AO25">
        <f>IF($C25="",0,MAX(0,$AN25-$AA25))</f>
        <v/>
      </c>
      <c r="AP25">
        <f>IF($C25="",0,MAX(0,$AO25-$AB25))</f>
        <v/>
      </c>
      <c r="AQ25">
        <f>IF($C25="",0,MAX(0,$AP25-$AC25))</f>
        <v/>
      </c>
      <c r="AR25">
        <f>IF($C25="",0,MAX(0,$AQ25-$AD25))</f>
        <v/>
      </c>
      <c r="AS25">
        <f>IF($C25="",0,MAX(0,$AR25-$AE25))</f>
        <v/>
      </c>
      <c r="AT25">
        <f>IF($C25="",0,MAX(0,$AS25-$AF25))</f>
        <v/>
      </c>
      <c r="AU25">
        <f>IF($C25="",0,MAX(0,$AT25-$AG25))</f>
        <v/>
      </c>
      <c r="AV25">
        <f>IF($C25="",0,MAX(0,$AU25-$AH25))</f>
        <v/>
      </c>
      <c r="AW25">
        <f>IF($C25="",0,MAX(0,$AV25-$AI25))</f>
        <v/>
      </c>
      <c r="AX25">
        <f>IF($C25="",0,MAX(0,MAX(0,N($L25))+IF($P25=V$3,$R25,0)+IF($S25=V$3,$U25,0)-$V25))</f>
        <v/>
      </c>
      <c r="AY25">
        <f>IF($C25="",0,MAX(0,$AX25+IF($P25=W$3,$R25,0)+IF($S25=W$3,$U25,0)-$W25))</f>
        <v/>
      </c>
      <c r="AZ25">
        <f>IF($C25="",0,MAX(0,$AY25+IF($P25=X$3,$R25,0)+IF($S25=X$3,$U25,0)-$X25))</f>
        <v/>
      </c>
      <c r="BA25">
        <f>IF($C25="",0,MAX(0,$AZ25+IF($P25=Y$3,$R25,0)+IF($S25=Y$3,$U25,0)-$Y25))</f>
        <v/>
      </c>
      <c r="BB25">
        <f>IF($C25="",0,MAX(0,$BA25+IF($P25=Z$3,$R25,0)+IF($S25=Z$3,$U25,0)-$Z25))</f>
        <v/>
      </c>
      <c r="BC25">
        <f>IF($C25="",0,MAX(0,$BB25+IF($P25=AA$3,$R25,0)+IF($S25=AA$3,$U25,0)-$AA25))</f>
        <v/>
      </c>
      <c r="BD25">
        <f>IF($C25="",0,MAX(0,$BC25+IF($P25=AB$3,$R25,0)+IF($S25=AB$3,$U25,0)-$AB25))</f>
        <v/>
      </c>
      <c r="BE25">
        <f>IF($C25="",0,MAX(0,$BD25+IF($P25=AC$3,$R25,0)+IF($S25=AC$3,$U25,0)-$AC25))</f>
        <v/>
      </c>
      <c r="BF25">
        <f>IF($C25="",0,MAX(0,$BE25+IF($P25=AD$3,$R25,0)+IF($S25=AD$3,$U25,0)-$AD25))</f>
        <v/>
      </c>
      <c r="BG25">
        <f>IF($C25="",0,MAX(0,$BF25+IF($P25=AE$3,$R25,0)+IF($S25=AE$3,$U25,0)-$AE25))</f>
        <v/>
      </c>
      <c r="BH25">
        <f>IF($C25="",0,MAX(0,$BG25+IF($P25=AF$3,$R25,0)+IF($S25=AF$3,$U25,0)-$AF25))</f>
        <v/>
      </c>
      <c r="BI25">
        <f>IF($C25="",0,MAX(0,$BH25+IF($P25=AG$3,$R25,0)+IF($S25=AG$3,$U25,0)-$AG25))</f>
        <v/>
      </c>
      <c r="BJ25">
        <f>IF($C25="",0,MAX(0,$BI25+IF($P25=AH$3,$R25,0)+IF($S25=AH$3,$U25,0)-$AH25))</f>
        <v/>
      </c>
      <c r="BK25">
        <f>IF($C25="",0,MAX(0,$BJ25+IF($P25=AI$3,$R25,0)+IF($S25=AI$3,$U25,0)-$AI25))</f>
        <v/>
      </c>
      <c r="BL25">
        <f>IF($C25="",99,IF(AND($AX25&lt;1,V$3&gt;=MAX(N($P25),N($S25))),0,99))</f>
        <v/>
      </c>
      <c r="BM25">
        <f>IF($C25="",99,IF(AND($AY25&lt;1,W$3&gt;=MAX(N($P25),N($S25))),1,99))</f>
        <v/>
      </c>
      <c r="BN25">
        <f>IF($C25="",99,IF(AND($AZ25&lt;1,X$3&gt;=MAX(N($P25),N($S25))),2,99))</f>
        <v/>
      </c>
      <c r="BO25">
        <f>IF($C25="",99,IF(AND($BA25&lt;1,Y$3&gt;=MAX(N($P25),N($S25))),3,99))</f>
        <v/>
      </c>
      <c r="BP25">
        <f>IF($C25="",99,IF(AND($BB25&lt;1,Z$3&gt;=MAX(N($P25),N($S25))),4,99))</f>
        <v/>
      </c>
      <c r="BQ25">
        <f>IF($C25="",99,IF(AND($BC25&lt;1,AA$3&gt;=MAX(N($P25),N($S25))),5,99))</f>
        <v/>
      </c>
      <c r="BR25">
        <f>IF($C25="",99,IF(AND($BD25&lt;1,AB$3&gt;=MAX(N($P25),N($S25))),6,99))</f>
        <v/>
      </c>
      <c r="BS25">
        <f>IF($C25="",99,IF(AND($BE25&lt;1,AC$3&gt;=MAX(N($P25),N($S25))),7,99))</f>
        <v/>
      </c>
      <c r="BT25">
        <f>IF($C25="",99,IF(AND($BF25&lt;1,AD$3&gt;=MAX(N($P25),N($S25))),8,99))</f>
        <v/>
      </c>
      <c r="BU25">
        <f>IF($C25="",99,IF(AND($BG25&lt;1,AE$3&gt;=MAX(N($P25),N($S25))),9,99))</f>
        <v/>
      </c>
      <c r="BV25">
        <f>IF($C25="",99,IF(AND($BH25&lt;1,AF$3&gt;=MAX(N($P25),N($S25))),10,99))</f>
        <v/>
      </c>
      <c r="BW25">
        <f>IF($C25="",99,IF(AND($BI25&lt;1,AG$3&gt;=MAX(N($P25),N($S25))),11,99))</f>
        <v/>
      </c>
      <c r="BX25">
        <f>IF($C25="",99,IF(AND($BJ25&lt;1,AH$3&gt;=MAX(N($P25),N($S25))),12,99))</f>
        <v/>
      </c>
      <c r="BY25">
        <f>IF($C25="",99,IF(AND($BK25&lt;1,AI$3&gt;=MAX(N($P25),N($S25))),13,99))</f>
        <v/>
      </c>
      <c r="BZ25">
        <f>IF(OR($C25="",$M25=""),"",COUNTIF($AJ25:$AW25,"&gt;=1"))</f>
        <v/>
      </c>
      <c r="CA25" s="90">
        <f>IF($BZ25="","",IF($BZ25&gt;=14,"",'設定'!$C$6+$BZ25))</f>
        <v/>
      </c>
      <c r="CB25">
        <f>IF(OR($C25="",$M25=""),"",MIN($BL25:$BY25))</f>
        <v/>
      </c>
      <c r="CC25" s="90">
        <f>IF($CB25="","",IF($CB25&gt;=99,"",'設定'!$C$6+$CB25))</f>
        <v/>
      </c>
      <c r="CD25">
        <f>IF(OR($C25="",$M25=""),"",AVERAGE($V25:$AI25))</f>
        <v/>
      </c>
      <c r="CE25">
        <f>IF($C25="","",IFERROR(IF(MATCH(IF(ISNUMBER($P25),$P25,'設定'!$C$6+N('設定'!$C$7)),$V$3:$AI$3,0)=1,MAX(0,N($L25)),INDEX($AJ25:$AW25,MATCH(IF(ISNUMBER($P25),$P25,'設定'!$C$6+N('設定'!$C$7)),$V$3:$AI$3,0)-1)),""))</f>
        <v/>
      </c>
      <c r="CF25">
        <f>IF(OR($C25="",$O25="",$CE25=""),"",IF($O25-$CE25&lt;=0,0,ROUNDUP(($O25-$CE25)/$G25,0)))</f>
        <v/>
      </c>
      <c r="CG25">
        <f>IF(OR($C25="",$CF25="",NOT(ISNUMBER($Q25))),0,MAX(0,$Q25-$CF25))</f>
        <v/>
      </c>
      <c r="CH25">
        <f>IF(OR($C25="",$O25="",$U25=0),0,IFERROR(ROUNDUP(MAX(0,IF(MATCH($S25,$V$3:$AI$3,0)=1,MAX(0,N($L25)),INDEX($AX25:$BK25,MATCH($S25,$V$3:$AI$3,0)-1))+$U25-$O25)/$G25,0),0))</f>
        <v/>
      </c>
      <c r="CI25">
        <f>IF($C25="","",IF(AND($P25="",$Q25=""),"",IF($P25="","⚠ 入庫日を ▼ から選んでください",IF(NOT(ISNUMBER($P25)),"⚠ 入庫日は ▼ から選んでください",IF($P25&lt;N('設定'!$C$6),"⚠ 入庫日が過去です（もう在庫に入っています）→ 消してください",IF($P25&gt;N('設定'!$C$6)+13,"⚠ 入庫日が14日より先です",IF(N($Q25)&lt;=0,"⚠ 入庫数を入れてください",IF($CG25&gt;0,"⚠ 目安より "&amp;$CG25&amp;" 多い（定数を超える）→ 減らす",""))))))))</f>
        <v/>
      </c>
      <c r="CJ25">
        <f>IF($C25="","",IF(AND($S25="",$T25=""),"",IF($S25="","⚠ 2便目：入庫日を ▼ から選んでください",IF(NOT(ISNUMBER($S25)),"⚠ 2便目：入庫日は ▼ から選んでください",IF($S25&lt;N('設定'!$C$6),"⚠ 2便目：入庫日が過去です（もう在庫に入っています）→ 消してください",IF($S25&gt;N('設定'!$C$6)+13,"⚠ 2便目：入庫日が14日より先です",IF(N($T25)&lt;=0,"⚠ 2便目：入庫数を入れてください",IF($CH25&gt;0,"⚠ 2便目：定数を "&amp;$CH25&amp;" ケース超える → 減らす",""))))))))</f>
        <v/>
      </c>
      <c r="CK25">
        <f>IF(AND($CI25="",N($Q25)&gt;0,ISNUMBER($P25)),1,0)</f>
        <v/>
      </c>
      <c r="CL25">
        <f>IF(AND($CJ25="",N($T25)&gt;0,ISNUMBER($S25)),1,0)</f>
        <v/>
      </c>
      <c r="CM25">
        <f>IF(OR($CK25=1,$CL25=1),1,0)</f>
        <v/>
      </c>
      <c r="CN25">
        <f>IF($C25="",0,($CK25*$R25+$CL25*$U25)*N($H25))</f>
        <v/>
      </c>
      <c r="CO25">
        <f>IF($C25="","",IF($CC25="","入庫後は 14日以上もつ",IF($CC25-N('設定'!$C$7)&lt;='設定'!$C$6,"入庫後も "&amp;TEXT($CC25,"m/d")&amp;"("&amp;CHOOSE(WEEKDAY($CC25),"日","月","火","水","木","金","土")&amp;")"&amp;" に切れる　もう1便を至急発注","入庫後も "&amp;TEXT($CC25,"m/d")&amp;"("&amp;CHOOSE(WEEKDAY($CC25),"日","月","火","水","木","金","土")&amp;")"&amp;" に切れる　"&amp;TEXT($CC25-N('設定'!$C$7),"m/d")&amp;"("&amp;CHOOSE(WEEKDAY($CC25-N('設定'!$C$7)),"日","月","火","水","木","金","土")&amp;")"&amp;" までに次を発注")))</f>
        <v/>
      </c>
      <c r="CP25">
        <f>IF($C25="","",IF('設定'!$C$6="","？ ①在庫を貼る に今日のCSVが貼られていない",IF($CS25=1,"－ 今日のCSVに無い（終売？）",IF($L25&lt;0,"● 在庫がマイナス　数えて「数えた在庫」に入れる",IF($L25=0,"● 在庫なし　至急発注",IF($M25="","？ 減り数が未設定（商品マスタ）",IF($B$3=0,"？ 動員が未入力（動員を入れる）",IF($CA25="","○ 14日以上もつ",IF($BZ25&lt;N('設定'!$C$7),"● "&amp;TEXT($CA25,"m/d")&amp;"("&amp;CHOOSE(WEEKDAY($CA25),"日","月","火","水","木","金","土")&amp;")"&amp;" に切れる　至急発注",IF($BZ25=N('設定'!$C$7),"● "&amp;TEXT($CA25,"m/d")&amp;"("&amp;CHOOSE(WEEKDAY($CA25),"日","月","火","水","木","金","土")&amp;")"&amp;" に切れる　今日発注","△ "&amp;TEXT($CA25,"m/d")&amp;"("&amp;CHOOSE(WEEKDAY($CA25),"日","月","火","水","木","金","土")&amp;")"&amp;" に切れる　"&amp;TEXT($CA25-N('設定'!$C$7),"m/d")&amp;"("&amp;CHOOSE(WEEKDAY($CA25-N('設定'!$C$7)),"日","月","火","水","木","金","土")&amp;")"&amp;" までに発注"))))))))))</f>
        <v/>
      </c>
      <c r="CQ25">
        <f>IF($C25="","",IF(AND($P25="",$Q25="",$S25="",$T25=""),"",IF(AND($P25="",$Q25=""),"⚠ 先に1便目（左の入庫日・入庫数）に入れてください",IF($CI25&lt;&gt;"",$CI25,IF($CJ25&lt;&gt;"",$CJ25,IF($M25="","？ 減り数が未設定（発注書には載ります）",IF($B$3=0,"？ 動員が未入力（発注書には載ります）",IF(AND($CA25&lt;&gt;"",$P25&gt;$CA25),IF($P25&gt;'設定'!$C$6+N('設定'!$C$7),"● "&amp;TEXT($P25,"m/d")&amp;"("&amp;CHOOSE(WEEKDAY($P25),"日","月","火","水","木","金","土")&amp;")"&amp;" の入庫では間に合わない（"&amp;TEXT($CA25,"m/d")&amp;"("&amp;CHOOSE(WEEKDAY($CA25),"日","月","火","水","木","金","土")&amp;")"&amp;" に切れる）　入庫日を早める","△ 欠品 "&amp;TEXT($CA25,"m/d")&amp;"("&amp;CHOOSE(WEEKDAY($CA25),"日","月","火","水","木","金","土")&amp;")"&amp;"〜"&amp;TEXT($P25-1,"m/d")&amp;"("&amp;CHOOSE(WEEKDAY($P25-1),"日","月","火","水","木","金","土")&amp;")"&amp;"　"&amp;$CO25),IF($CC25="","○ "&amp;TEXT($P25,"m/d")&amp;"("&amp;CHOOSE(WEEKDAY($P25),"日","月","火","水","木","金","土")&amp;")"&amp;" 入庫で 14日以上もつ",IF($CC25-N('設定'!$C$7)&lt;='設定'!$C$6,"● 入庫しても "&amp;TEXT($CC25,"m/d")&amp;"("&amp;CHOOSE(WEEKDAY($CC25),"日","月","火","水","木","金","土")&amp;")"&amp;" に切れる　もう1便を至急発注（2便目に入れる）","△ 入庫しても "&amp;TEXT($CC25,"m/d")&amp;"("&amp;CHOOSE(WEEKDAY($CC25),"日","月","火","水","木","金","土")&amp;")"&amp;" に切れる　"&amp;TEXT($CC25-N('設定'!$C$7),"m/d")&amp;"("&amp;CHOOSE(WEEKDAY($CC25-N('設定'!$C$7)),"日","月","火","水","木","金","土")&amp;")"&amp;" までに次を発注（2便目に入れる）"))))))))))</f>
        <v/>
      </c>
      <c r="CR25">
        <f>IF($C25="","",IF($G25&gt;1,"ｹｰｽ("&amp;$G25&amp;"入)","個"))</f>
        <v/>
      </c>
      <c r="CS25">
        <f>IF($C25="",0,IF(COUNTIFS('①在庫を貼る'!$V$6:$V$10005,'設定'!$C$4,'①在庫を貼る'!$W$6:$W$10005,$C25)=0,1,0))</f>
        <v/>
      </c>
      <c r="CT25">
        <f>IF(AND($CK25=1,OR('③発注書'!$C$4="すべて",'③発注書'!$C$4="",$F25='③発注書'!$C$4)),N($CT24)+1,N($CT24))</f>
        <v/>
      </c>
      <c r="CU25">
        <f>IF(AND($CL25=1,OR('③発注書'!$C$4="すべて",'③発注書'!$C$4="",$F25='③発注書'!$C$4)),N($CU24)+1,N($CU24))</f>
        <v/>
      </c>
      <c r="CV25">
        <f>IF($C25="",0,IF(COUNTIFS('①在庫を貼る'!$V$6:$V$10005,'設定'!$C$4,'①在庫を貼る'!$W$6:$W$10005,$C25)&gt;0,1,0))</f>
        <v/>
      </c>
      <c r="CW25">
        <f>IF($C25="",0,IF(COUNTIFS('月1回_1ヶ月前の在庫'!$V$6:$V$10005,'設定'!$C$4,'月1回_1ヶ月前の在庫'!$W$6:$W$10005,$C25)&gt;0,1,0))</f>
        <v/>
      </c>
      <c r="CX25">
        <f>IF($C25="",0,IF(COUNTIFS('月1回_2ヶ月前の在庫'!$V$6:$V$10005,'設定'!$C$4,'月1回_2ヶ月前の在庫'!$W$6:$W$10005,$C25)&gt;0,1,0))</f>
        <v/>
      </c>
      <c r="CY25">
        <f>IF(OR($C25="",'設定'!$C$12=""),"",IF('設定'!$C$13="",IF(AND($CV25=1,$CW25=0),"新商品（今月から）",IF(AND($CV25=0,$CW25=1),"終売（今月から）","")),IF(AND($CV25=1,$CW25=0,$CX25=0),"新商品（今月から）",IF(AND($CV25=1,$CW25=1,$CX25=0),"新商品（先月から）",IF(AND($CV25=0,$CW25=1,$CX25=1),"終売（今月から）",IF(AND($CV25=0,$CW25=0,$CX25=1),"終売（先月から）",IF(AND($CV25=1,$CW25=0,$CX25=1),"復活（先月は無し）","")))))))</f>
        <v/>
      </c>
    </row>
    <row r="26">
      <c r="B26">
        <f>IF(21&lt;='設定'!$C$11,21,"")</f>
        <v/>
      </c>
      <c r="C26">
        <f>IF($B26="","",IF($B26&lt;='設定'!$C$20,INDEX('商品マスタ'!$B$6:$B$1005,MATCH($B26,'商品マスタ'!$M$6:$M$1005,0)),IF($B26&lt;='設定'!$C$20+'設定'!$C$17,INDEX('①在庫を貼る'!$W$6:$W$10005,MATCH($B26-'設定'!$C$20,'①在庫を貼る'!$U$6:$U$10005,0)),IF($B26&lt;='設定'!$C$20+'設定'!$C$17+'設定'!$C$18,INDEX('月1回_1ヶ月前の在庫'!$W$6:$W$10005,MATCH($B26-'設定'!$C$20-'設定'!$C$17,'月1回_1ヶ月前の在庫'!$U$6:$U$10005,0)),INDEX('月1回_2ヶ月前の在庫'!$W$6:$W$10005,MATCH($B26-'設定'!$C$20-'設定'!$C$17-'設定'!$C$18,'月1回_2ヶ月前の在庫'!$U$6:$U$10005,0))))))</f>
        <v/>
      </c>
      <c r="D26">
        <f>IF($C26="","",IFERROR(IF(INDEX('商品マスタ'!$C$6:$C$1005,MATCH($C26,'商品マスタ'!$B$6:$B$1005,0))="",IFERROR(INDEX('①在庫を貼る'!$J$6:$J$10005,MATCH($C26,'①在庫を貼る'!$W$6:$W$10005,0)),IFERROR(INDEX('月1回_1ヶ月前の在庫'!$J$6:$J$10005,MATCH($C26,'月1回_1ヶ月前の在庫'!$W$6:$W$10005,0)),IFERROR(INDEX('月1回_2ヶ月前の在庫'!$J$6:$J$10005,MATCH($C26,'月1回_2ヶ月前の在庫'!$W$6:$W$10005,0)),""))),INDEX('商品マスタ'!$C$6:$C$1005,MATCH($C26,'商品マスタ'!$B$6:$B$1005,0))),IFERROR(INDEX('①在庫を貼る'!$J$6:$J$10005,MATCH($C26,'①在庫を貼る'!$W$6:$W$10005,0)),IFERROR(INDEX('月1回_1ヶ月前の在庫'!$J$6:$J$10005,MATCH($C26,'月1回_1ヶ月前の在庫'!$W$6:$W$10005,0)),IFERROR(INDEX('月1回_2ヶ月前の在庫'!$J$6:$J$10005,MATCH($C26,'月1回_2ヶ月前の在庫'!$W$6:$W$10005,0)),"")))))</f>
        <v/>
      </c>
      <c r="E26">
        <f>IF($C26="","",IFERROR(IF(INDEX('商品マスタ'!$D$6:$D$1005,MATCH($C26,'商品マスタ'!$B$6:$B$1005,0))="",IFERROR(INDEX('①在庫を貼る'!$H$6:$H$10005,MATCH($C26,'①在庫を貼る'!$W$6:$W$10005,0)),IFERROR(INDEX('月1回_1ヶ月前の在庫'!$H$6:$H$10005,MATCH($C26,'月1回_1ヶ月前の在庫'!$W$6:$W$10005,0)),IFERROR(INDEX('月1回_2ヶ月前の在庫'!$H$6:$H$10005,MATCH($C26,'月1回_2ヶ月前の在庫'!$W$6:$W$10005,0)),""))),INDEX('商品マスタ'!$D$6:$D$1005,MATCH($C26,'商品マスタ'!$B$6:$B$1005,0))),IFERROR(INDEX('①在庫を貼る'!$H$6:$H$10005,MATCH($C26,'①在庫を貼る'!$W$6:$W$10005,0)),IFERROR(INDEX('月1回_1ヶ月前の在庫'!$H$6:$H$10005,MATCH($C26,'月1回_1ヶ月前の在庫'!$W$6:$W$10005,0)),IFERROR(INDEX('月1回_2ヶ月前の在庫'!$H$6:$H$10005,MATCH($C26,'月1回_2ヶ月前の在庫'!$W$6:$W$10005,0)),"")))))</f>
        <v/>
      </c>
      <c r="F26">
        <f>IF($C26="","",IFERROR(IF(INDEX('商品マスタ'!$E$6:$E$1005,MATCH($C26,'商品マスタ'!$B$6:$B$1005,0))="",IFERROR(INDEX('①在庫を貼る'!$E$6:$E$10005,MATCH($C26,'①在庫を貼る'!$W$6:$W$10005,0)),IFERROR(INDEX('月1回_1ヶ月前の在庫'!$E$6:$E$10005,MATCH($C26,'月1回_1ヶ月前の在庫'!$W$6:$W$10005,0)),IFERROR(INDEX('月1回_2ヶ月前の在庫'!$E$6:$E$10005,MATCH($C26,'月1回_2ヶ月前の在庫'!$W$6:$W$10005,0)),""))),INDEX('商品マスタ'!$E$6:$E$1005,MATCH($C26,'商品マスタ'!$B$6:$B$1005,0))),IFERROR(INDEX('①在庫を貼る'!$E$6:$E$10005,MATCH($C26,'①在庫を貼る'!$W$6:$W$10005,0)),IFERROR(INDEX('月1回_1ヶ月前の在庫'!$E$6:$E$10005,MATCH($C26,'月1回_1ヶ月前の在庫'!$W$6:$W$10005,0)),IFERROR(INDEX('月1回_2ヶ月前の在庫'!$E$6:$E$10005,MATCH($C26,'月1回_2ヶ月前の在庫'!$W$6:$W$10005,0)),"")))))</f>
        <v/>
      </c>
      <c r="G26">
        <f>IF($C26="","",MAX(1,N(IFERROR(IF(INDEX('商品マスタ'!$F$6:$F$1005,MATCH($C26,'商品マスタ'!$B$6:$B$1005,0))="",IF(COUNTIFS('①在庫を貼る'!$V$6:$V$10005,'設定'!$C$4,'①在庫を貼る'!$W$6:$W$10005,$C26)&gt;0,SUMIFS('①在庫を貼る'!$K$6:$K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K$6:$K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K$6:$K$10005,'月1回_2ヶ月前の在庫'!$V$6:$V$10005,'設定'!$C$4,'月1回_2ヶ月前の在庫'!$W$6:$W$10005,$C26)/COUNTIFS('月1回_2ヶ月前の在庫'!$V$6:$V$10005,'設定'!$C$4,'月1回_2ヶ月前の在庫'!$W$6:$W$10005,$C26),0))),INDEX('商品マスタ'!$F$6:$F$1005,MATCH($C26,'商品マスタ'!$B$6:$B$1005,0))),IF(COUNTIFS('①在庫を貼る'!$V$6:$V$10005,'設定'!$C$4,'①在庫を貼る'!$W$6:$W$10005,$C26)&gt;0,SUMIFS('①在庫を貼る'!$K$6:$K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K$6:$K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K$6:$K$10005,'月1回_2ヶ月前の在庫'!$V$6:$V$10005,'設定'!$C$4,'月1回_2ヶ月前の在庫'!$W$6:$W$10005,$C26)/COUNTIFS('月1回_2ヶ月前の在庫'!$V$6:$V$10005,'設定'!$C$4,'月1回_2ヶ月前の在庫'!$W$6:$W$10005,$C26),0)))))))</f>
        <v/>
      </c>
      <c r="H26">
        <f>IF($C26="","",N(IFERROR(IF(INDEX('商品マスタ'!$G$6:$G$1005,MATCH($C26,'商品マスタ'!$B$6:$B$1005,0))="",IF(COUNTIFS('①在庫を貼る'!$V$6:$V$10005,'設定'!$C$4,'①在庫を貼る'!$W$6:$W$10005,$C26)&gt;0,SUMIFS('①在庫を貼る'!$Q$6:$Q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Q$6:$Q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Q$6:$Q$10005,'月1回_2ヶ月前の在庫'!$V$6:$V$10005,'設定'!$C$4,'月1回_2ヶ月前の在庫'!$W$6:$W$10005,$C26)/COUNTIFS('月1回_2ヶ月前の在庫'!$V$6:$V$10005,'設定'!$C$4,'月1回_2ヶ月前の在庫'!$W$6:$W$10005,$C26),0))),INDEX('商品マスタ'!$G$6:$G$1005,MATCH($C26,'商品マスタ'!$B$6:$B$1005,0))),IF(COUNTIFS('①在庫を貼る'!$V$6:$V$10005,'設定'!$C$4,'①在庫を貼る'!$W$6:$W$10005,$C26)&gt;0,SUMIFS('①在庫を貼る'!$Q$6:$Q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Q$6:$Q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Q$6:$Q$10005,'月1回_2ヶ月前の在庫'!$V$6:$V$10005,'設定'!$C$4,'月1回_2ヶ月前の在庫'!$W$6:$W$10005,$C26)/COUNTIFS('月1回_2ヶ月前の在庫'!$V$6:$V$10005,'設定'!$C$4,'月1回_2ヶ月前の在庫'!$W$6:$W$10005,$C26),0))))))</f>
        <v/>
      </c>
      <c r="I26">
        <f>IF($C26="","",IF(COUNTIFS('①在庫を貼る'!$V$6:$V$10005,'設定'!$C$4,'①在庫を貼る'!$W$6:$W$10005,$C26)=0,"",SUMIFS('①在庫を貼る'!$N$6:$N$10005,'①在庫を貼る'!$V$6:$V$10005,'設定'!$C$4,'①在庫を貼る'!$W$6:$W$10005,$C26)))</f>
        <v/>
      </c>
      <c r="J26">
        <f>IF($C26="","",IF('②発注する'!$AD30="","",'②発注する'!$AD30))</f>
        <v/>
      </c>
      <c r="K26" s="90">
        <f>IF($C26="","",IF('②発注する'!$AE30="","",'②発注する'!$AE30))</f>
        <v/>
      </c>
      <c r="L26">
        <f>IF($C26="","",IF(AND(ISNUMBER($J26),ISNUMBER($K26),$K26&gt;='設定'!$C$6),$J26,N($I26)))</f>
        <v/>
      </c>
      <c r="M26">
        <f>IF($C26="","",IFERROR(IF(N(INDEX('商品マスタ'!$J$6:$J$1005,MATCH($C26,'商品マスタ'!$B$6:$B$1005,0)))&gt;0,INDEX('商品マスタ'!$J$6:$J$1005,MATCH($C26,'商品マスタ'!$B$6:$B$1005,0)),""),""))</f>
        <v/>
      </c>
      <c r="N26">
        <f>IF($C26="","",IFERROR(IF(N(INDEX('商品マスタ'!$H$6:$H$1005,MATCH($C26,'商品マスタ'!$B$6:$B$1005,0)))&gt;0,INDEX('商品マスタ'!$H$6:$H$1005,MATCH($C26,'商品マスタ'!$B$6:$B$1005,0)),""),""))</f>
        <v/>
      </c>
      <c r="O26">
        <f>IF($C26="","",IF($N26&lt;&gt;"",$N26*$G26,IF(N(IF(COUNTIFS('①在庫を貼る'!$V$6:$V$10005,'設定'!$C$4,'①在庫を貼る'!$W$6:$W$10005,$C26)&gt;0,SUMIFS('①在庫を貼る'!$O$6:$O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O$6:$O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O$6:$O$10005,'月1回_2ヶ月前の在庫'!$V$6:$V$10005,'設定'!$C$4,'月1回_2ヶ月前の在庫'!$W$6:$W$10005,$C26)/COUNTIFS('月1回_2ヶ月前の在庫'!$V$6:$V$10005,'設定'!$C$4,'月1回_2ヶ月前の在庫'!$W$6:$W$10005,$C26),0))))&gt;0,N(IF(COUNTIFS('①在庫を貼る'!$V$6:$V$10005,'設定'!$C$4,'①在庫を貼る'!$W$6:$W$10005,$C26)&gt;0,SUMIFS('①在庫を貼る'!$O$6:$O$10005,'①在庫を貼る'!$V$6:$V$10005,'設定'!$C$4,'①在庫を貼る'!$W$6:$W$10005,$C26)/COUNTIFS('①在庫を貼る'!$V$6:$V$10005,'設定'!$C$4,'①在庫を貼る'!$W$6:$W$10005,$C26),IF(COUNTIFS('月1回_1ヶ月前の在庫'!$V$6:$V$10005,'設定'!$C$4,'月1回_1ヶ月前の在庫'!$W$6:$W$10005,$C26)&gt;0,SUMIFS('月1回_1ヶ月前の在庫'!$O$6:$O$10005,'月1回_1ヶ月前の在庫'!$V$6:$V$10005,'設定'!$C$4,'月1回_1ヶ月前の在庫'!$W$6:$W$10005,$C26)/COUNTIFS('月1回_1ヶ月前の在庫'!$V$6:$V$10005,'設定'!$C$4,'月1回_1ヶ月前の在庫'!$W$6:$W$10005,$C26),IF(COUNTIFS('月1回_2ヶ月前の在庫'!$V$6:$V$10005,'設定'!$C$4,'月1回_2ヶ月前の在庫'!$W$6:$W$10005,$C26)&gt;0,SUMIFS('月1回_2ヶ月前の在庫'!$O$6:$O$10005,'月1回_2ヶ月前の在庫'!$V$6:$V$10005,'設定'!$C$4,'月1回_2ヶ月前の在庫'!$W$6:$W$10005,$C26)/COUNTIFS('月1回_2ヶ月前の在庫'!$V$6:$V$10005,'設定'!$C$4,'月1回_2ヶ月前の在庫'!$W$6:$W$10005,$C26),0)))),"")))</f>
        <v/>
      </c>
      <c r="P26" s="90">
        <f>IF($C26="","",IF('②発注する'!$I30="","",'②発注する'!$I30))</f>
        <v/>
      </c>
      <c r="Q26">
        <f>IF($C26="","",IF('②発注する'!$J30="","",'②発注する'!$J30))</f>
        <v/>
      </c>
      <c r="R26">
        <f>IF($C26="",0,IF(AND(ISNUMBER($P26),ISNUMBER($Q26)),MAX(0,$Q26)*$G26,0))</f>
        <v/>
      </c>
      <c r="S26" s="90">
        <f>IF($C26="","",IF('②発注する'!$M30="","",'②発注する'!$M30))</f>
        <v/>
      </c>
      <c r="T26">
        <f>IF($C26="","",IF('②発注する'!$N30="","",'②発注する'!$N30))</f>
        <v/>
      </c>
      <c r="U26">
        <f>IF($C26="",0,IF(AND(ISNUMBER($S26),ISNUMBER($T26)),MAX(0,$T26)*$G26,0))</f>
        <v/>
      </c>
      <c r="V26">
        <f>IF($C26="",0,IF($M26="",0,MAX(0,$M26)*MAX(0,V$4)/100))</f>
        <v/>
      </c>
      <c r="W26">
        <f>IF($C26="",0,IF($M26="",0,MAX(0,$M26)*MAX(0,W$4)/100))</f>
        <v/>
      </c>
      <c r="X26">
        <f>IF($C26="",0,IF($M26="",0,MAX(0,$M26)*MAX(0,X$4)/100))</f>
        <v/>
      </c>
      <c r="Y26">
        <f>IF($C26="",0,IF($M26="",0,MAX(0,$M26)*MAX(0,Y$4)/100))</f>
        <v/>
      </c>
      <c r="Z26">
        <f>IF($C26="",0,IF($M26="",0,MAX(0,$M26)*MAX(0,Z$4)/100))</f>
        <v/>
      </c>
      <c r="AA26">
        <f>IF($C26="",0,IF($M26="",0,MAX(0,$M26)*MAX(0,AA$4)/100))</f>
        <v/>
      </c>
      <c r="AB26">
        <f>IF($C26="",0,IF($M26="",0,MAX(0,$M26)*MAX(0,AB$4)/100))</f>
        <v/>
      </c>
      <c r="AC26">
        <f>IF($C26="",0,IF($M26="",0,MAX(0,$M26)*MAX(0,AC$4)/100))</f>
        <v/>
      </c>
      <c r="AD26">
        <f>IF($C26="",0,IF($M26="",0,MAX(0,$M26)*MAX(0,AD$4)/100))</f>
        <v/>
      </c>
      <c r="AE26">
        <f>IF($C26="",0,IF($M26="",0,MAX(0,$M26)*MAX(0,AE$4)/100))</f>
        <v/>
      </c>
      <c r="AF26">
        <f>IF($C26="",0,IF($M26="",0,MAX(0,$M26)*MAX(0,AF$4)/100))</f>
        <v/>
      </c>
      <c r="AG26">
        <f>IF($C26="",0,IF($M26="",0,MAX(0,$M26)*MAX(0,AG$4)/100))</f>
        <v/>
      </c>
      <c r="AH26">
        <f>IF($C26="",0,IF($M26="",0,MAX(0,$M26)*MAX(0,AH$4)/100))</f>
        <v/>
      </c>
      <c r="AI26">
        <f>IF($C26="",0,IF($M26="",0,MAX(0,$M26)*MAX(0,AI$4)/100))</f>
        <v/>
      </c>
      <c r="AJ26">
        <f>IF($C26="",0,MAX(0,MAX(0,N($L26))-$V26))</f>
        <v/>
      </c>
      <c r="AK26">
        <f>IF($C26="",0,MAX(0,$AJ26-$W26))</f>
        <v/>
      </c>
      <c r="AL26">
        <f>IF($C26="",0,MAX(0,$AK26-$X26))</f>
        <v/>
      </c>
      <c r="AM26">
        <f>IF($C26="",0,MAX(0,$AL26-$Y26))</f>
        <v/>
      </c>
      <c r="AN26">
        <f>IF($C26="",0,MAX(0,$AM26-$Z26))</f>
        <v/>
      </c>
      <c r="AO26">
        <f>IF($C26="",0,MAX(0,$AN26-$AA26))</f>
        <v/>
      </c>
      <c r="AP26">
        <f>IF($C26="",0,MAX(0,$AO26-$AB26))</f>
        <v/>
      </c>
      <c r="AQ26">
        <f>IF($C26="",0,MAX(0,$AP26-$AC26))</f>
        <v/>
      </c>
      <c r="AR26">
        <f>IF($C26="",0,MAX(0,$AQ26-$AD26))</f>
        <v/>
      </c>
      <c r="AS26">
        <f>IF($C26="",0,MAX(0,$AR26-$AE26))</f>
        <v/>
      </c>
      <c r="AT26">
        <f>IF($C26="",0,MAX(0,$AS26-$AF26))</f>
        <v/>
      </c>
      <c r="AU26">
        <f>IF($C26="",0,MAX(0,$AT26-$AG26))</f>
        <v/>
      </c>
      <c r="AV26">
        <f>IF($C26="",0,MAX(0,$AU26-$AH26))</f>
        <v/>
      </c>
      <c r="AW26">
        <f>IF($C26="",0,MAX(0,$AV26-$AI26))</f>
        <v/>
      </c>
      <c r="AX26">
        <f>IF($C26="",0,MAX(0,MAX(0,N($L26))+IF($P26=V$3,$R26,0)+IF($S26=V$3,$U26,0)-$V26))</f>
        <v/>
      </c>
      <c r="AY26">
        <f>IF($C26="",0,MAX(0,$AX26+IF($P26=W$3,$R26,0)+IF($S26=W$3,$U26,0)-$W26))</f>
        <v/>
      </c>
      <c r="AZ26">
        <f>IF($C26="",0,MAX(0,$AY26+IF($P26=X$3,$R26,0)+IF($S26=X$3,$U26,0)-$X26))</f>
        <v/>
      </c>
      <c r="BA26">
        <f>IF($C26="",0,MAX(0,$AZ26+IF($P26=Y$3,$R26,0)+IF($S26=Y$3,$U26,0)-$Y26))</f>
        <v/>
      </c>
      <c r="BB26">
        <f>IF($C26="",0,MAX(0,$BA26+IF($P26=Z$3,$R26,0)+IF($S26=Z$3,$U26,0)-$Z26))</f>
        <v/>
      </c>
      <c r="BC26">
        <f>IF($C26="",0,MAX(0,$BB26+IF($P26=AA$3,$R26,0)+IF($S26=AA$3,$U26,0)-$AA26))</f>
        <v/>
      </c>
      <c r="BD26">
        <f>IF($C26="",0,MAX(0,$BC26+IF($P26=AB$3,$R26,0)+IF($S26=AB$3,$U26,0)-$AB26))</f>
        <v/>
      </c>
      <c r="BE26">
        <f>IF($C26="",0,MAX(0,$BD26+IF($P26=AC$3,$R26,0)+IF($S26=AC$3,$U26,0)-$AC26))</f>
        <v/>
      </c>
      <c r="BF26">
        <f>IF($C26="",0,MAX(0,$BE26+IF($P26=AD$3,$R26,0)+IF($S26=AD$3,$U26,0)-$AD26))</f>
        <v/>
      </c>
      <c r="BG26">
        <f>IF($C26="",0,MAX(0,$BF26+IF($P26=AE$3,$R26,0)+IF($S26=AE$3,$U26,0)-$AE26))</f>
        <v/>
      </c>
      <c r="BH26">
        <f>IF($C26="",0,MAX(0,$BG26+IF($P26=AF$3,$R26,0)+IF($S26=AF$3,$U26,0)-$AF26))</f>
        <v/>
      </c>
      <c r="BI26">
        <f>IF($C26="",0,MAX(0,$BH26+IF($P26=AG$3,$R26,0)+IF($S26=AG$3,$U26,0)-$AG26))</f>
        <v/>
      </c>
      <c r="BJ26">
        <f>IF($C26="",0,MAX(0,$BI26+IF($P26=AH$3,$R26,0)+IF($S26=AH$3,$U26,0)-$AH26))</f>
        <v/>
      </c>
      <c r="BK26">
        <f>IF($C26="",0,MAX(0,$BJ26+IF($P26=AI$3,$R26,0)+IF($S26=AI$3,$U26,0)-$AI26))</f>
        <v/>
      </c>
      <c r="BL26">
        <f>IF($C26="",99,IF(AND($AX26&lt;1,V$3&gt;=MAX(N($P26),N($S26))),0,99))</f>
        <v/>
      </c>
      <c r="BM26">
        <f>IF($C26="",99,IF(AND($AY26&lt;1,W$3&gt;=MAX(N($P26),N($S26))),1,99))</f>
        <v/>
      </c>
      <c r="BN26">
        <f>IF($C26="",99,IF(AND($AZ26&lt;1,X$3&gt;=MAX(N($P26),N($S26))),2,99))</f>
        <v/>
      </c>
      <c r="BO26">
        <f>IF($C26="",99,IF(AND($BA26&lt;1,Y$3&gt;=MAX(N($P26),N($S26))),3,99))</f>
        <v/>
      </c>
      <c r="BP26">
        <f>IF($C26="",99,IF(AND($BB26&lt;1,Z$3&gt;=MAX(N($P26),N($S26))),4,99))</f>
        <v/>
      </c>
      <c r="BQ26">
        <f>IF($C26="",99,IF(AND($BC26&lt;1,AA$3&gt;=MAX(N($P26),N($S26))),5,99))</f>
        <v/>
      </c>
      <c r="BR26">
        <f>IF($C26="",99,IF(AND($BD26&lt;1,AB$3&gt;=MAX(N($P26),N($S26))),6,99))</f>
        <v/>
      </c>
      <c r="BS26">
        <f>IF($C26="",99,IF(AND($BE26&lt;1,AC$3&gt;=MAX(N($P26),N($S26))),7,99))</f>
        <v/>
      </c>
      <c r="BT26">
        <f>IF($C26="",99,IF(AND($BF26&lt;1,AD$3&gt;=MAX(N($P26),N($S26))),8,99))</f>
        <v/>
      </c>
      <c r="BU26">
        <f>IF($C26="",99,IF(AND($BG26&lt;1,AE$3&gt;=MAX(N($P26),N($S26))),9,99))</f>
        <v/>
      </c>
      <c r="BV26">
        <f>IF($C26="",99,IF(AND($BH26&lt;1,AF$3&gt;=MAX(N($P26),N($S26))),10,99))</f>
        <v/>
      </c>
      <c r="BW26">
        <f>IF($C26="",99,IF(AND($BI26&lt;1,AG$3&gt;=MAX(N($P26),N($S26))),11,99))</f>
        <v/>
      </c>
      <c r="BX26">
        <f>IF($C26="",99,IF(AND($BJ26&lt;1,AH$3&gt;=MAX(N($P26),N($S26))),12,99))</f>
        <v/>
      </c>
      <c r="BY26">
        <f>IF($C26="",99,IF(AND($BK26&lt;1,AI$3&gt;=MAX(N($P26),N($S26))),13,99))</f>
        <v/>
      </c>
      <c r="BZ26">
        <f>IF(OR($C26="",$M26=""),"",COUNTIF($AJ26:$AW26,"&gt;=1"))</f>
        <v/>
      </c>
      <c r="CA26" s="90">
        <f>IF($BZ26="","",IF($BZ26&gt;=14,"",'設定'!$C$6+$BZ26))</f>
        <v/>
      </c>
      <c r="CB26">
        <f>IF(OR($C26="",$M26=""),"",MIN($BL26:$BY26))</f>
        <v/>
      </c>
      <c r="CC26" s="90">
        <f>IF($CB26="","",IF($CB26&gt;=99,"",'設定'!$C$6+$CB26))</f>
        <v/>
      </c>
      <c r="CD26">
        <f>IF(OR($C26="",$M26=""),"",AVERAGE($V26:$AI26))</f>
        <v/>
      </c>
      <c r="CE26">
        <f>IF($C26="","",IFERROR(IF(MATCH(IF(ISNUMBER($P26),$P26,'設定'!$C$6+N('設定'!$C$7)),$V$3:$AI$3,0)=1,MAX(0,N($L26)),INDEX($AJ26:$AW26,MATCH(IF(ISNUMBER($P26),$P26,'設定'!$C$6+N('設定'!$C$7)),$V$3:$AI$3,0)-1)),""))</f>
        <v/>
      </c>
      <c r="CF26">
        <f>IF(OR($C26="",$O26="",$CE26=""),"",IF($O26-$CE26&lt;=0,0,ROUNDUP(($O26-$CE26)/$G26,0)))</f>
        <v/>
      </c>
      <c r="CG26">
        <f>IF(OR($C26="",$CF26="",NOT(ISNUMBER($Q26))),0,MAX(0,$Q26-$CF26))</f>
        <v/>
      </c>
      <c r="CH26">
        <f>IF(OR($C26="",$O26="",$U26=0),0,IFERROR(ROUNDUP(MAX(0,IF(MATCH($S26,$V$3:$AI$3,0)=1,MAX(0,N($L26)),INDEX($AX26:$BK26,MATCH($S26,$V$3:$AI$3,0)-1))+$U26-$O26)/$G26,0),0))</f>
        <v/>
      </c>
      <c r="CI26">
        <f>IF($C26="","",IF(AND($P26="",$Q26=""),"",IF($P26="","⚠ 入庫日を ▼ から選んでください",IF(NOT(ISNUMBER($P26)),"⚠ 入庫日は ▼ から選んでください",IF($P26&lt;N('設定'!$C$6),"⚠ 入庫日が過去です（もう在庫に入っています）→ 消してください",IF($P26&gt;N('設定'!$C$6)+13,"⚠ 入庫日が14日より先です",IF(N($Q26)&lt;=0,"⚠ 入庫数を入れてください",IF($CG26&gt;0,"⚠ 目安より "&amp;$CG26&amp;" 多い（定数を超える）→ 減らす",""))))))))</f>
        <v/>
      </c>
      <c r="CJ26">
        <f>IF($C26="","",IF(AND($S26="",$T26=""),"",IF($S26="","⚠ 2便目：入庫日を ▼ から選んでください",IF(NOT(ISNUMBER($S26)),"⚠ 2便目：入庫日は ▼ から選んでください",IF($S26&lt;N('設定'!$C$6),"⚠ 2便目：入庫日が過去です（もう在庫に入っています）→ 消してください",IF($S26&gt;N('設定'!$C$6)+13,"⚠ 2便目：入庫日が14日より先です",IF(N($T26)&lt;=0,"⚠ 2便目：入庫数を入れてください",IF($CH26&gt;0,"⚠ 2便目：定数を "&amp;$CH26&amp;" ケース超える → 減らす",""))))))))</f>
        <v/>
      </c>
      <c r="CK26">
        <f>IF(AND($CI26="",N($Q26)&gt;0,ISNUMBER($P26)),1,0)</f>
        <v/>
      </c>
      <c r="CL26">
        <f>IF(AND($CJ26="",N($T26)&gt;0,ISNUMBER($S26)),1,0)</f>
        <v/>
      </c>
      <c r="CM26">
        <f>IF(OR($CK26=1,$CL26=1),1,0)</f>
        <v/>
      </c>
      <c r="CN26">
        <f>IF($C26="",0,($CK26*$R26+$CL26*$U26)*N($H26))</f>
        <v/>
      </c>
      <c r="CO26">
        <f>IF($C26="","",IF($CC26="","入庫後は 14日以上もつ",IF($CC26-N('設定'!$C$7)&lt;='設定'!$C$6,"入庫後も "&amp;TEXT($CC26,"m/d")&amp;"("&amp;CHOOSE(WEEKDAY($CC26),"日","月","火","水","木","金","土")&amp;")"&amp;" に切れる　もう1便を至急発注","入庫後も "&amp;TEXT($CC26,"m/d")&amp;"("&amp;CHOOSE(WEEKDAY($CC26),"日","月","火","水","木","金","土")&amp;")"&amp;" に切れる　"&amp;TEXT($CC26-N('設定'!$C$7),"m/d")&amp;"("&amp;CHOOSE(WEEKDAY($CC26-N('設定'!$C$7)),"日","月","火","水","木","金","土")&amp;")"&amp;" までに次を発注")))</f>
        <v/>
      </c>
      <c r="CP26">
        <f>IF($C26="","",IF('設定'!$C$6="","？ ①在庫を貼る に今日のCSVが貼られていない",IF($CS26=1,"－ 今日のCSVに無い（終売？）",IF($L26&lt;0,"● 在庫がマイナス　数えて「数えた在庫」に入れる",IF($L26=0,"● 在庫なし　至急発注",IF($M26="","？ 減り数が未設定（商品マスタ）",IF($B$3=0,"？ 動員が未入力（動員を入れる）",IF($CA26="","○ 14日以上もつ",IF($BZ26&lt;N('設定'!$C$7),"● "&amp;TEXT($CA26,"m/d")&amp;"("&amp;CHOOSE(WEEKDAY($CA26),"日","月","火","水","木","金","土")&amp;")"&amp;" に切れる　至急発注",IF($BZ26=N('設定'!$C$7),"● "&amp;TEXT($CA26,"m/d")&amp;"("&amp;CHOOSE(WEEKDAY($CA26),"日","月","火","水","木","金","土")&amp;")"&amp;" に切れる　今日発注","△ "&amp;TEXT($CA26,"m/d")&amp;"("&amp;CHOOSE(WEEKDAY($CA26),"日","月","火","水","木","金","土")&amp;")"&amp;" に切れる　"&amp;TEXT($CA26-N('設定'!$C$7),"m/d")&amp;"("&amp;CHOOSE(WEEKDAY($CA26-N('設定'!$C$7)),"日","月","火","水","木","金","土")&amp;")"&amp;" までに発注"))))))))))</f>
        <v/>
      </c>
      <c r="CQ26">
        <f>IF($C26="","",IF(AND($P26="",$Q26="",$S26="",$T26=""),"",IF(AND($P26="",$Q26=""),"⚠ 先に1便目（左の入庫日・入庫数）に入れてください",IF($CI26&lt;&gt;"",$CI26,IF($CJ26&lt;&gt;"",$CJ26,IF($M26="","？ 減り数が未設定（発注書には載ります）",IF($B$3=0,"？ 動員が未入力（発注書には載ります）",IF(AND($CA26&lt;&gt;"",$P26&gt;$CA26),IF($P26&gt;'設定'!$C$6+N('設定'!$C$7),"● "&amp;TEXT($P26,"m/d")&amp;"("&amp;CHOOSE(WEEKDAY($P26),"日","月","火","水","木","金","土")&amp;")"&amp;" の入庫では間に合わない（"&amp;TEXT($CA26,"m/d")&amp;"("&amp;CHOOSE(WEEKDAY($CA26),"日","月","火","水","木","金","土")&amp;")"&amp;" に切れる）　入庫日を早める","△ 欠品 "&amp;TEXT($CA26,"m/d")&amp;"("&amp;CHOOSE(WEEKDAY($CA26),"日","月","火","水","木","金","土")&amp;")"&amp;"〜"&amp;TEXT($P26-1,"m/d")&amp;"("&amp;CHOOSE(WEEKDAY($P26-1),"日","月","火","水","木","金","土")&amp;")"&amp;"　"&amp;$CO26),IF($CC26="","○ "&amp;TEXT($P26,"m/d")&amp;"("&amp;CHOOSE(WEEKDAY($P26),"日","月","火","水","木","金","土")&amp;")"&amp;" 入庫で 14日以上もつ",IF($CC26-N('設定'!$C$7)&lt;='設定'!$C$6,"● 入庫しても "&amp;TEXT($CC26,"m/d")&amp;"("&amp;CHOOSE(WEEKDAY($CC26),"日","月","火","水","木","金","土")&amp;")"&amp;" に切れる　もう1便を至急発注（2便目に入れる）","△ 入庫しても "&amp;TEXT($CC26,"m/d")&amp;"("&amp;CHOOSE(WEEKDAY($CC26),"日","月","火","水","木","金","土")&amp;")"&amp;" に切れる　"&amp;TEXT($CC26-N('設定'!$C$7),"m/d")&amp;"("&amp;CHOOSE(WEEKDAY($CC26-N('設定'!$C$7)),"日","月","火","水","木","金","土")&amp;")"&amp;" までに次を発注（2便目に入れる）"))))))))))</f>
        <v/>
      </c>
      <c r="CR26">
        <f>IF($C26="","",IF($G26&gt;1,"ｹｰｽ("&amp;$G26&amp;"入)","個"))</f>
        <v/>
      </c>
      <c r="CS26">
        <f>IF($C26="",0,IF(COUNTIFS('①在庫を貼る'!$V$6:$V$10005,'設定'!$C$4,'①在庫を貼る'!$W$6:$W$10005,$C26)=0,1,0))</f>
        <v/>
      </c>
      <c r="CT26">
        <f>IF(AND($CK26=1,OR('③発注書'!$C$4="すべて",'③発注書'!$C$4="",$F26='③発注書'!$C$4)),N($CT25)+1,N($CT25))</f>
        <v/>
      </c>
      <c r="CU26">
        <f>IF(AND($CL26=1,OR('③発注書'!$C$4="すべて",'③発注書'!$C$4="",$F26='③発注書'!$C$4)),N($CU25)+1,N($CU25))</f>
        <v/>
      </c>
      <c r="CV26">
        <f>IF($C26="",0,IF(COUNTIFS('①在庫を貼る'!$V$6:$V$10005,'設定'!$C$4,'①在庫を貼る'!$W$6:$W$10005,$C26)&gt;0,1,0))</f>
        <v/>
      </c>
      <c r="CW26">
        <f>IF($C26="",0,IF(COUNTIFS('月1回_1ヶ月前の在庫'!$V$6:$V$10005,'設定'!$C$4,'月1回_1ヶ月前の在庫'!$W$6:$W$10005,$C26)&gt;0,1,0))</f>
        <v/>
      </c>
      <c r="CX26">
        <f>IF($C26="",0,IF(COUNTIFS('月1回_2ヶ月前の在庫'!$V$6:$V$10005,'設定'!$C$4,'月1回_2ヶ月前の在庫'!$W$6:$W$10005,$C26)&gt;0,1,0))</f>
        <v/>
      </c>
      <c r="CY26">
        <f>IF(OR($C26="",'設定'!$C$12=""),"",IF('設定'!$C$13="",IF(AND($CV26=1,$CW26=0),"新商品（今月から）",IF(AND($CV26=0,$CW26=1),"終売（今月から）","")),IF(AND($CV26=1,$CW26=0,$CX26=0),"新商品（今月から）",IF(AND($CV26=1,$CW26=1,$CX26=0),"新商品（先月から）",IF(AND($CV26=0,$CW26=1,$CX26=1),"終売（今月から）",IF(AND($CV26=0,$CW26=0,$CX26=1),"終売（先月から）",IF(AND($CV26=1,$CW26=0,$CX26=1),"復活（先月は無し）","")))))))</f>
        <v/>
      </c>
    </row>
    <row r="27">
      <c r="B27">
        <f>IF(22&lt;='設定'!$C$11,22,"")</f>
        <v/>
      </c>
      <c r="C27">
        <f>IF($B27="","",IF($B27&lt;='設定'!$C$20,INDEX('商品マスタ'!$B$6:$B$1005,MATCH($B27,'商品マスタ'!$M$6:$M$1005,0)),IF($B27&lt;='設定'!$C$20+'設定'!$C$17,INDEX('①在庫を貼る'!$W$6:$W$10005,MATCH($B27-'設定'!$C$20,'①在庫を貼る'!$U$6:$U$10005,0)),IF($B27&lt;='設定'!$C$20+'設定'!$C$17+'設定'!$C$18,INDEX('月1回_1ヶ月前の在庫'!$W$6:$W$10005,MATCH($B27-'設定'!$C$20-'設定'!$C$17,'月1回_1ヶ月前の在庫'!$U$6:$U$10005,0)),INDEX('月1回_2ヶ月前の在庫'!$W$6:$W$10005,MATCH($B27-'設定'!$C$20-'設定'!$C$17-'設定'!$C$18,'月1回_2ヶ月前の在庫'!$U$6:$U$10005,0))))))</f>
        <v/>
      </c>
      <c r="D27">
        <f>IF($C27="","",IFERROR(IF(INDEX('商品マスタ'!$C$6:$C$1005,MATCH($C27,'商品マスタ'!$B$6:$B$1005,0))="",IFERROR(INDEX('①在庫を貼る'!$J$6:$J$10005,MATCH($C27,'①在庫を貼る'!$W$6:$W$10005,0)),IFERROR(INDEX('月1回_1ヶ月前の在庫'!$J$6:$J$10005,MATCH($C27,'月1回_1ヶ月前の在庫'!$W$6:$W$10005,0)),IFERROR(INDEX('月1回_2ヶ月前の在庫'!$J$6:$J$10005,MATCH($C27,'月1回_2ヶ月前の在庫'!$W$6:$W$10005,0)),""))),INDEX('商品マスタ'!$C$6:$C$1005,MATCH($C27,'商品マスタ'!$B$6:$B$1005,0))),IFERROR(INDEX('①在庫を貼る'!$J$6:$J$10005,MATCH($C27,'①在庫を貼る'!$W$6:$W$10005,0)),IFERROR(INDEX('月1回_1ヶ月前の在庫'!$J$6:$J$10005,MATCH($C27,'月1回_1ヶ月前の在庫'!$W$6:$W$10005,0)),IFERROR(INDEX('月1回_2ヶ月前の在庫'!$J$6:$J$10005,MATCH($C27,'月1回_2ヶ月前の在庫'!$W$6:$W$10005,0)),"")))))</f>
        <v/>
      </c>
      <c r="E27">
        <f>IF($C27="","",IFERROR(IF(INDEX('商品マスタ'!$D$6:$D$1005,MATCH($C27,'商品マスタ'!$B$6:$B$1005,0))="",IFERROR(INDEX('①在庫を貼る'!$H$6:$H$10005,MATCH($C27,'①在庫を貼る'!$W$6:$W$10005,0)),IFERROR(INDEX('月1回_1ヶ月前の在庫'!$H$6:$H$10005,MATCH($C27,'月1回_1ヶ月前の在庫'!$W$6:$W$10005,0)),IFERROR(INDEX('月1回_2ヶ月前の在庫'!$H$6:$H$10005,MATCH($C27,'月1回_2ヶ月前の在庫'!$W$6:$W$10005,0)),""))),INDEX('商品マスタ'!$D$6:$D$1005,MATCH($C27,'商品マスタ'!$B$6:$B$1005,0))),IFERROR(INDEX('①在庫を貼る'!$H$6:$H$10005,MATCH($C27,'①在庫を貼る'!$W$6:$W$10005,0)),IFERROR(INDEX('月1回_1ヶ月前の在庫'!$H$6:$H$10005,MATCH($C27,'月1回_1ヶ月前の在庫'!$W$6:$W$10005,0)),IFERROR(INDEX('月1回_2ヶ月前の在庫'!$H$6:$H$10005,MATCH($C27,'月1回_2ヶ月前の在庫'!$W$6:$W$10005,0)),"")))))</f>
        <v/>
      </c>
      <c r="F27">
        <f>IF($C27="","",IFERROR(IF(INDEX('商品マスタ'!$E$6:$E$1005,MATCH($C27,'商品マスタ'!$B$6:$B$1005,0))="",IFERROR(INDEX('①在庫を貼る'!$E$6:$E$10005,MATCH($C27,'①在庫を貼る'!$W$6:$W$10005,0)),IFERROR(INDEX('月1回_1ヶ月前の在庫'!$E$6:$E$10005,MATCH($C27,'月1回_1ヶ月前の在庫'!$W$6:$W$10005,0)),IFERROR(INDEX('月1回_2ヶ月前の在庫'!$E$6:$E$10005,MATCH($C27,'月1回_2ヶ月前の在庫'!$W$6:$W$10005,0)),""))),INDEX('商品マスタ'!$E$6:$E$1005,MATCH($C27,'商品マスタ'!$B$6:$B$1005,0))),IFERROR(INDEX('①在庫を貼る'!$E$6:$E$10005,MATCH($C27,'①在庫を貼る'!$W$6:$W$10005,0)),IFERROR(INDEX('月1回_1ヶ月前の在庫'!$E$6:$E$10005,MATCH($C27,'月1回_1ヶ月前の在庫'!$W$6:$W$10005,0)),IFERROR(INDEX('月1回_2ヶ月前の在庫'!$E$6:$E$10005,MATCH($C27,'月1回_2ヶ月前の在庫'!$W$6:$W$10005,0)),"")))))</f>
        <v/>
      </c>
      <c r="G27">
        <f>IF($C27="","",MAX(1,N(IFERROR(IF(INDEX('商品マスタ'!$F$6:$F$1005,MATCH($C27,'商品マスタ'!$B$6:$B$1005,0))="",IF(COUNTIFS('①在庫を貼る'!$V$6:$V$10005,'設定'!$C$4,'①在庫を貼る'!$W$6:$W$10005,$C27)&gt;0,SUMIFS('①在庫を貼る'!$K$6:$K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K$6:$K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K$6:$K$10005,'月1回_2ヶ月前の在庫'!$V$6:$V$10005,'設定'!$C$4,'月1回_2ヶ月前の在庫'!$W$6:$W$10005,$C27)/COUNTIFS('月1回_2ヶ月前の在庫'!$V$6:$V$10005,'設定'!$C$4,'月1回_2ヶ月前の在庫'!$W$6:$W$10005,$C27),0))),INDEX('商品マスタ'!$F$6:$F$1005,MATCH($C27,'商品マスタ'!$B$6:$B$1005,0))),IF(COUNTIFS('①在庫を貼る'!$V$6:$V$10005,'設定'!$C$4,'①在庫を貼る'!$W$6:$W$10005,$C27)&gt;0,SUMIFS('①在庫を貼る'!$K$6:$K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K$6:$K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K$6:$K$10005,'月1回_2ヶ月前の在庫'!$V$6:$V$10005,'設定'!$C$4,'月1回_2ヶ月前の在庫'!$W$6:$W$10005,$C27)/COUNTIFS('月1回_2ヶ月前の在庫'!$V$6:$V$10005,'設定'!$C$4,'月1回_2ヶ月前の在庫'!$W$6:$W$10005,$C27),0)))))))</f>
        <v/>
      </c>
      <c r="H27">
        <f>IF($C27="","",N(IFERROR(IF(INDEX('商品マスタ'!$G$6:$G$1005,MATCH($C27,'商品マスタ'!$B$6:$B$1005,0))="",IF(COUNTIFS('①在庫を貼る'!$V$6:$V$10005,'設定'!$C$4,'①在庫を貼る'!$W$6:$W$10005,$C27)&gt;0,SUMIFS('①在庫を貼る'!$Q$6:$Q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Q$6:$Q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Q$6:$Q$10005,'月1回_2ヶ月前の在庫'!$V$6:$V$10005,'設定'!$C$4,'月1回_2ヶ月前の在庫'!$W$6:$W$10005,$C27)/COUNTIFS('月1回_2ヶ月前の在庫'!$V$6:$V$10005,'設定'!$C$4,'月1回_2ヶ月前の在庫'!$W$6:$W$10005,$C27),0))),INDEX('商品マスタ'!$G$6:$G$1005,MATCH($C27,'商品マスタ'!$B$6:$B$1005,0))),IF(COUNTIFS('①在庫を貼る'!$V$6:$V$10005,'設定'!$C$4,'①在庫を貼る'!$W$6:$W$10005,$C27)&gt;0,SUMIFS('①在庫を貼る'!$Q$6:$Q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Q$6:$Q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Q$6:$Q$10005,'月1回_2ヶ月前の在庫'!$V$6:$V$10005,'設定'!$C$4,'月1回_2ヶ月前の在庫'!$W$6:$W$10005,$C27)/COUNTIFS('月1回_2ヶ月前の在庫'!$V$6:$V$10005,'設定'!$C$4,'月1回_2ヶ月前の在庫'!$W$6:$W$10005,$C27),0))))))</f>
        <v/>
      </c>
      <c r="I27">
        <f>IF($C27="","",IF(COUNTIFS('①在庫を貼る'!$V$6:$V$10005,'設定'!$C$4,'①在庫を貼る'!$W$6:$W$10005,$C27)=0,"",SUMIFS('①在庫を貼る'!$N$6:$N$10005,'①在庫を貼る'!$V$6:$V$10005,'設定'!$C$4,'①在庫を貼る'!$W$6:$W$10005,$C27)))</f>
        <v/>
      </c>
      <c r="J27">
        <f>IF($C27="","",IF('②発注する'!$AD31="","",'②発注する'!$AD31))</f>
        <v/>
      </c>
      <c r="K27" s="90">
        <f>IF($C27="","",IF('②発注する'!$AE31="","",'②発注する'!$AE31))</f>
        <v/>
      </c>
      <c r="L27">
        <f>IF($C27="","",IF(AND(ISNUMBER($J27),ISNUMBER($K27),$K27&gt;='設定'!$C$6),$J27,N($I27)))</f>
        <v/>
      </c>
      <c r="M27">
        <f>IF($C27="","",IFERROR(IF(N(INDEX('商品マスタ'!$J$6:$J$1005,MATCH($C27,'商品マスタ'!$B$6:$B$1005,0)))&gt;0,INDEX('商品マスタ'!$J$6:$J$1005,MATCH($C27,'商品マスタ'!$B$6:$B$1005,0)),""),""))</f>
        <v/>
      </c>
      <c r="N27">
        <f>IF($C27="","",IFERROR(IF(N(INDEX('商品マスタ'!$H$6:$H$1005,MATCH($C27,'商品マスタ'!$B$6:$B$1005,0)))&gt;0,INDEX('商品マスタ'!$H$6:$H$1005,MATCH($C27,'商品マスタ'!$B$6:$B$1005,0)),""),""))</f>
        <v/>
      </c>
      <c r="O27">
        <f>IF($C27="","",IF($N27&lt;&gt;"",$N27*$G27,IF(N(IF(COUNTIFS('①在庫を貼る'!$V$6:$V$10005,'設定'!$C$4,'①在庫を貼る'!$W$6:$W$10005,$C27)&gt;0,SUMIFS('①在庫を貼る'!$O$6:$O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O$6:$O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O$6:$O$10005,'月1回_2ヶ月前の在庫'!$V$6:$V$10005,'設定'!$C$4,'月1回_2ヶ月前の在庫'!$W$6:$W$10005,$C27)/COUNTIFS('月1回_2ヶ月前の在庫'!$V$6:$V$10005,'設定'!$C$4,'月1回_2ヶ月前の在庫'!$W$6:$W$10005,$C27),0))))&gt;0,N(IF(COUNTIFS('①在庫を貼る'!$V$6:$V$10005,'設定'!$C$4,'①在庫を貼る'!$W$6:$W$10005,$C27)&gt;0,SUMIFS('①在庫を貼る'!$O$6:$O$10005,'①在庫を貼る'!$V$6:$V$10005,'設定'!$C$4,'①在庫を貼る'!$W$6:$W$10005,$C27)/COUNTIFS('①在庫を貼る'!$V$6:$V$10005,'設定'!$C$4,'①在庫を貼る'!$W$6:$W$10005,$C27),IF(COUNTIFS('月1回_1ヶ月前の在庫'!$V$6:$V$10005,'設定'!$C$4,'月1回_1ヶ月前の在庫'!$W$6:$W$10005,$C27)&gt;0,SUMIFS('月1回_1ヶ月前の在庫'!$O$6:$O$10005,'月1回_1ヶ月前の在庫'!$V$6:$V$10005,'設定'!$C$4,'月1回_1ヶ月前の在庫'!$W$6:$W$10005,$C27)/COUNTIFS('月1回_1ヶ月前の在庫'!$V$6:$V$10005,'設定'!$C$4,'月1回_1ヶ月前の在庫'!$W$6:$W$10005,$C27),IF(COUNTIFS('月1回_2ヶ月前の在庫'!$V$6:$V$10005,'設定'!$C$4,'月1回_2ヶ月前の在庫'!$W$6:$W$10005,$C27)&gt;0,SUMIFS('月1回_2ヶ月前の在庫'!$O$6:$O$10005,'月1回_2ヶ月前の在庫'!$V$6:$V$10005,'設定'!$C$4,'月1回_2ヶ月前の在庫'!$W$6:$W$10005,$C27)/COUNTIFS('月1回_2ヶ月前の在庫'!$V$6:$V$10005,'設定'!$C$4,'月1回_2ヶ月前の在庫'!$W$6:$W$10005,$C27),0)))),"")))</f>
        <v/>
      </c>
      <c r="P27" s="90">
        <f>IF($C27="","",IF('②発注する'!$I31="","",'②発注する'!$I31))</f>
        <v/>
      </c>
      <c r="Q27">
        <f>IF($C27="","",IF('②発注する'!$J31="","",'②発注する'!$J31))</f>
        <v/>
      </c>
      <c r="R27">
        <f>IF($C27="",0,IF(AND(ISNUMBER($P27),ISNUMBER($Q27)),MAX(0,$Q27)*$G27,0))</f>
        <v/>
      </c>
      <c r="S27" s="90">
        <f>IF($C27="","",IF('②発注する'!$M31="","",'②発注する'!$M31))</f>
        <v/>
      </c>
      <c r="T27">
        <f>IF($C27="","",IF('②発注する'!$N31="","",'②発注する'!$N31))</f>
        <v/>
      </c>
      <c r="U27">
        <f>IF($C27="",0,IF(AND(ISNUMBER($S27),ISNUMBER($T27)),MAX(0,$T27)*$G27,0))</f>
        <v/>
      </c>
      <c r="V27">
        <f>IF($C27="",0,IF($M27="",0,MAX(0,$M27)*MAX(0,V$4)/100))</f>
        <v/>
      </c>
      <c r="W27">
        <f>IF($C27="",0,IF($M27="",0,MAX(0,$M27)*MAX(0,W$4)/100))</f>
        <v/>
      </c>
      <c r="X27">
        <f>IF($C27="",0,IF($M27="",0,MAX(0,$M27)*MAX(0,X$4)/100))</f>
        <v/>
      </c>
      <c r="Y27">
        <f>IF($C27="",0,IF($M27="",0,MAX(0,$M27)*MAX(0,Y$4)/100))</f>
        <v/>
      </c>
      <c r="Z27">
        <f>IF($C27="",0,IF($M27="",0,MAX(0,$M27)*MAX(0,Z$4)/100))</f>
        <v/>
      </c>
      <c r="AA27">
        <f>IF($C27="",0,IF($M27="",0,MAX(0,$M27)*MAX(0,AA$4)/100))</f>
        <v/>
      </c>
      <c r="AB27">
        <f>IF($C27="",0,IF($M27="",0,MAX(0,$M27)*MAX(0,AB$4)/100))</f>
        <v/>
      </c>
      <c r="AC27">
        <f>IF($C27="",0,IF($M27="",0,MAX(0,$M27)*MAX(0,AC$4)/100))</f>
        <v/>
      </c>
      <c r="AD27">
        <f>IF($C27="",0,IF($M27="",0,MAX(0,$M27)*MAX(0,AD$4)/100))</f>
        <v/>
      </c>
      <c r="AE27">
        <f>IF($C27="",0,IF($M27="",0,MAX(0,$M27)*MAX(0,AE$4)/100))</f>
        <v/>
      </c>
      <c r="AF27">
        <f>IF($C27="",0,IF($M27="",0,MAX(0,$M27)*MAX(0,AF$4)/100))</f>
        <v/>
      </c>
      <c r="AG27">
        <f>IF($C27="",0,IF($M27="",0,MAX(0,$M27)*MAX(0,AG$4)/100))</f>
        <v/>
      </c>
      <c r="AH27">
        <f>IF($C27="",0,IF($M27="",0,MAX(0,$M27)*MAX(0,AH$4)/100))</f>
        <v/>
      </c>
      <c r="AI27">
        <f>IF($C27="",0,IF($M27="",0,MAX(0,$M27)*MAX(0,AI$4)/100))</f>
        <v/>
      </c>
      <c r="AJ27">
        <f>IF($C27="",0,MAX(0,MAX(0,N($L27))-$V27))</f>
        <v/>
      </c>
      <c r="AK27">
        <f>IF($C27="",0,MAX(0,$AJ27-$W27))</f>
        <v/>
      </c>
      <c r="AL27">
        <f>IF($C27="",0,MAX(0,$AK27-$X27))</f>
        <v/>
      </c>
      <c r="AM27">
        <f>IF($C27="",0,MAX(0,$AL27-$Y27))</f>
        <v/>
      </c>
      <c r="AN27">
        <f>IF($C27="",0,MAX(0,$AM27-$Z27))</f>
        <v/>
      </c>
      <c r="AO27">
        <f>IF($C27="",0,MAX(0,$AN27-$AA27))</f>
        <v/>
      </c>
      <c r="AP27">
        <f>IF($C27="",0,MAX(0,$AO27-$AB27))</f>
        <v/>
      </c>
      <c r="AQ27">
        <f>IF($C27="",0,MAX(0,$AP27-$AC27))</f>
        <v/>
      </c>
      <c r="AR27">
        <f>IF($C27="",0,MAX(0,$AQ27-$AD27))</f>
        <v/>
      </c>
      <c r="AS27">
        <f>IF($C27="",0,MAX(0,$AR27-$AE27))</f>
        <v/>
      </c>
      <c r="AT27">
        <f>IF($C27="",0,MAX(0,$AS27-$AF27))</f>
        <v/>
      </c>
      <c r="AU27">
        <f>IF($C27="",0,MAX(0,$AT27-$AG27))</f>
        <v/>
      </c>
      <c r="AV27">
        <f>IF($C27="",0,MAX(0,$AU27-$AH27))</f>
        <v/>
      </c>
      <c r="AW27">
        <f>IF($C27="",0,MAX(0,$AV27-$AI27))</f>
        <v/>
      </c>
      <c r="AX27">
        <f>IF($C27="",0,MAX(0,MAX(0,N($L27))+IF($P27=V$3,$R27,0)+IF($S27=V$3,$U27,0)-$V27))</f>
        <v/>
      </c>
      <c r="AY27">
        <f>IF($C27="",0,MAX(0,$AX27+IF($P27=W$3,$R27,0)+IF($S27=W$3,$U27,0)-$W27))</f>
        <v/>
      </c>
      <c r="AZ27">
        <f>IF($C27="",0,MAX(0,$AY27+IF($P27=X$3,$R27,0)+IF($S27=X$3,$U27,0)-$X27))</f>
        <v/>
      </c>
      <c r="BA27">
        <f>IF($C27="",0,MAX(0,$AZ27+IF($P27=Y$3,$R27,0)+IF($S27=Y$3,$U27,0)-$Y27))</f>
        <v/>
      </c>
      <c r="BB27">
        <f>IF($C27="",0,MAX(0,$BA27+IF($P27=Z$3,$R27,0)+IF($S27=Z$3,$U27,0)-$Z27))</f>
        <v/>
      </c>
      <c r="BC27">
        <f>IF($C27="",0,MAX(0,$BB27+IF($P27=AA$3,$R27,0)+IF($S27=AA$3,$U27,0)-$AA27))</f>
        <v/>
      </c>
      <c r="BD27">
        <f>IF($C27="",0,MAX(0,$BC27+IF($P27=AB$3,$R27,0)+IF($S27=AB$3,$U27,0)-$AB27))</f>
        <v/>
      </c>
      <c r="BE27">
        <f>IF($C27="",0,MAX(0,$BD27+IF($P27=AC$3,$R27,0)+IF($S27=AC$3,$U27,0)-$AC27))</f>
        <v/>
      </c>
      <c r="BF27">
        <f>IF($C27="",0,MAX(0,$BE27+IF($P27=AD$3,$R27,0)+IF($S27=AD$3,$U27,0)-$AD27))</f>
        <v/>
      </c>
      <c r="BG27">
        <f>IF($C27="",0,MAX(0,$BF27+IF($P27=AE$3,$R27,0)+IF($S27=AE$3,$U27,0)-$AE27))</f>
        <v/>
      </c>
      <c r="BH27">
        <f>IF($C27="",0,MAX(0,$BG27+IF($P27=AF$3,$R27,0)+IF($S27=AF$3,$U27,0)-$AF27))</f>
        <v/>
      </c>
      <c r="BI27">
        <f>IF($C27="",0,MAX(0,$BH27+IF($P27=AG$3,$R27,0)+IF($S27=AG$3,$U27,0)-$AG27))</f>
        <v/>
      </c>
      <c r="BJ27">
        <f>IF($C27="",0,MAX(0,$BI27+IF($P27=AH$3,$R27,0)+IF($S27=AH$3,$U27,0)-$AH27))</f>
        <v/>
      </c>
      <c r="BK27">
        <f>IF($C27="",0,MAX(0,$BJ27+IF($P27=AI$3,$R27,0)+IF($S27=AI$3,$U27,0)-$AI27))</f>
        <v/>
      </c>
      <c r="BL27">
        <f>IF($C27="",99,IF(AND($AX27&lt;1,V$3&gt;=MAX(N($P27),N($S27))),0,99))</f>
        <v/>
      </c>
      <c r="BM27">
        <f>IF($C27="",99,IF(AND($AY27&lt;1,W$3&gt;=MAX(N($P27),N($S27))),1,99))</f>
        <v/>
      </c>
      <c r="BN27">
        <f>IF($C27="",99,IF(AND($AZ27&lt;1,X$3&gt;=MAX(N($P27),N($S27))),2,99))</f>
        <v/>
      </c>
      <c r="BO27">
        <f>IF($C27="",99,IF(AND($BA27&lt;1,Y$3&gt;=MAX(N($P27),N($S27))),3,99))</f>
        <v/>
      </c>
      <c r="BP27">
        <f>IF($C27="",99,IF(AND($BB27&lt;1,Z$3&gt;=MAX(N($P27),N($S27))),4,99))</f>
        <v/>
      </c>
      <c r="BQ27">
        <f>IF($C27="",99,IF(AND($BC27&lt;1,AA$3&gt;=MAX(N($P27),N($S27))),5,99))</f>
        <v/>
      </c>
      <c r="BR27">
        <f>IF($C27="",99,IF(AND($BD27&lt;1,AB$3&gt;=MAX(N($P27),N($S27))),6,99))</f>
        <v/>
      </c>
      <c r="BS27">
        <f>IF($C27="",99,IF(AND($BE27&lt;1,AC$3&gt;=MAX(N($P27),N($S27))),7,99))</f>
        <v/>
      </c>
      <c r="BT27">
        <f>IF($C27="",99,IF(AND($BF27&lt;1,AD$3&gt;=MAX(N($P27),N($S27))),8,99))</f>
        <v/>
      </c>
      <c r="BU27">
        <f>IF($C27="",99,IF(AND($BG27&lt;1,AE$3&gt;=MAX(N($P27),N($S27))),9,99))</f>
        <v/>
      </c>
      <c r="BV27">
        <f>IF($C27="",99,IF(AND($BH27&lt;1,AF$3&gt;=MAX(N($P27),N($S27))),10,99))</f>
        <v/>
      </c>
      <c r="BW27">
        <f>IF($C27="",99,IF(AND($BI27&lt;1,AG$3&gt;=MAX(N($P27),N($S27))),11,99))</f>
        <v/>
      </c>
      <c r="BX27">
        <f>IF($C27="",99,IF(AND($BJ27&lt;1,AH$3&gt;=MAX(N($P27),N($S27))),12,99))</f>
        <v/>
      </c>
      <c r="BY27">
        <f>IF($C27="",99,IF(AND($BK27&lt;1,AI$3&gt;=MAX(N($P27),N($S27))),13,99))</f>
        <v/>
      </c>
      <c r="BZ27">
        <f>IF(OR($C27="",$M27=""),"",COUNTIF($AJ27:$AW27,"&gt;=1"))</f>
        <v/>
      </c>
      <c r="CA27" s="90">
        <f>IF($BZ27="","",IF($BZ27&gt;=14,"",'設定'!$C$6+$BZ27))</f>
        <v/>
      </c>
      <c r="CB27">
        <f>IF(OR($C27="",$M27=""),"",MIN($BL27:$BY27))</f>
        <v/>
      </c>
      <c r="CC27" s="90">
        <f>IF($CB27="","",IF($CB27&gt;=99,"",'設定'!$C$6+$CB27))</f>
        <v/>
      </c>
      <c r="CD27">
        <f>IF(OR($C27="",$M27=""),"",AVERAGE($V27:$AI27))</f>
        <v/>
      </c>
      <c r="CE27">
        <f>IF($C27="","",IFERROR(IF(MATCH(IF(ISNUMBER($P27),$P27,'設定'!$C$6+N('設定'!$C$7)),$V$3:$AI$3,0)=1,MAX(0,N($L27)),INDEX($AJ27:$AW27,MATCH(IF(ISNUMBER($P27),$P27,'設定'!$C$6+N('設定'!$C$7)),$V$3:$AI$3,0)-1)),""))</f>
        <v/>
      </c>
      <c r="CF27">
        <f>IF(OR($C27="",$O27="",$CE27=""),"",IF($O27-$CE27&lt;=0,0,ROUNDUP(($O27-$CE27)/$G27,0)))</f>
        <v/>
      </c>
      <c r="CG27">
        <f>IF(OR($C27="",$CF27="",NOT(ISNUMBER($Q27))),0,MAX(0,$Q27-$CF27))</f>
        <v/>
      </c>
      <c r="CH27">
        <f>IF(OR($C27="",$O27="",$U27=0),0,IFERROR(ROUNDUP(MAX(0,IF(MATCH($S27,$V$3:$AI$3,0)=1,MAX(0,N($L27)),INDEX($AX27:$BK27,MATCH($S27,$V$3:$AI$3,0)-1))+$U27-$O27)/$G27,0),0))</f>
        <v/>
      </c>
      <c r="CI27">
        <f>IF($C27="","",IF(AND($P27="",$Q27=""),"",IF($P27="","⚠ 入庫日を ▼ から選んでください",IF(NOT(ISNUMBER($P27)),"⚠ 入庫日は ▼ から選んでください",IF($P27&lt;N('設定'!$C$6),"⚠ 入庫日が過去です（もう在庫に入っています）→ 消してください",IF($P27&gt;N('設定'!$C$6)+13,"⚠ 入庫日が14日より先です",IF(N($Q27)&lt;=0,"⚠ 入庫数を入れてください",IF($CG27&gt;0,"⚠ 目安より "&amp;$CG27&amp;" 多い（定数を超える）→ 減らす",""))))))))</f>
        <v/>
      </c>
      <c r="CJ27">
        <f>IF($C27="","",IF(AND($S27="",$T27=""),"",IF($S27="","⚠ 2便目：入庫日を ▼ から選んでください",IF(NOT(ISNUMBER($S27)),"⚠ 2便目：入庫日は ▼ から選んでください",IF($S27&lt;N('設定'!$C$6),"⚠ 2便目：入庫日が過去です（もう在庫に入っています）→ 消してください",IF($S27&gt;N('設定'!$C$6)+13,"⚠ 2便目：入庫日が14日より先です",IF(N($T27)&lt;=0,"⚠ 2便目：入庫数を入れてください",IF($CH27&gt;0,"⚠ 2便目：定数を "&amp;$CH27&amp;" ケース超える → 減らす",""))))))))</f>
        <v/>
      </c>
      <c r="CK27">
        <f>IF(AND($CI27="",N($Q27)&gt;0,ISNUMBER($P27)),1,0)</f>
        <v/>
      </c>
      <c r="CL27">
        <f>IF(AND($CJ27="",N($T27)&gt;0,ISNUMBER($S27)),1,0)</f>
        <v/>
      </c>
      <c r="CM27">
        <f>IF(OR($CK27=1,$CL27=1),1,0)</f>
        <v/>
      </c>
      <c r="CN27">
        <f>IF($C27="",0,($CK27*$R27+$CL27*$U27)*N($H27))</f>
        <v/>
      </c>
      <c r="CO27">
        <f>IF($C27="","",IF($CC27="","入庫後は 14日以上もつ",IF($CC27-N('設定'!$C$7)&lt;='設定'!$C$6,"入庫後も "&amp;TEXT($CC27,"m/d")&amp;"("&amp;CHOOSE(WEEKDAY($CC27),"日","月","火","水","木","金","土")&amp;")"&amp;" に切れる　もう1便を至急発注","入庫後も "&amp;TEXT($CC27,"m/d")&amp;"("&amp;CHOOSE(WEEKDAY($CC27),"日","月","火","水","木","金","土")&amp;")"&amp;" に切れる　"&amp;TEXT($CC27-N('設定'!$C$7),"m/d")&amp;"("&amp;CHOOSE(WEEKDAY($CC27-N('設定'!$C$7)),"日","月","火","水","木","金","土")&amp;")"&amp;" までに次を発注")))</f>
        <v/>
      </c>
      <c r="CP27">
        <f>IF($C27="","",IF('設定'!$C$6="","？ ①在庫を貼る に今日のCSVが貼られていない",IF($CS27=1,"－ 今日のCSVに無い（終売？）",IF($L27&lt;0,"● 在庫がマイナス　数えて「数えた在庫」に入れる",IF($L27=0,"● 在庫なし　至急発注",IF($M27="","？ 減り数が未設定（商品マスタ）",IF($B$3=0,"？ 動員が未入力（動員を入れる）",IF($CA27="","○ 14日以上もつ",IF($BZ27&lt;N('設定'!$C$7),"● "&amp;TEXT($CA27,"m/d")&amp;"("&amp;CHOOSE(WEEKDAY($CA27),"日","月","火","水","木","金","土")&amp;")"&amp;" に切れる　至急発注",IF($BZ27=N('設定'!$C$7),"● "&amp;TEXT($CA27,"m/d")&amp;"("&amp;CHOOSE(WEEKDAY($CA27),"日","月","火","水","木","金","土")&amp;")"&amp;" に切れる　今日発注","△ "&amp;TEXT($CA27,"m/d")&amp;"("&amp;CHOOSE(WEEKDAY($CA27),"日","月","火","水","木","金","土")&amp;")"&amp;" に切れる　"&amp;TEXT($CA27-N('設定'!$C$7),"m/d")&amp;"("&amp;CHOOSE(WEEKDAY($CA27-N('設定'!$C$7)),"日","月","火","水","木","金","土")&amp;")"&amp;" までに発注"))))))))))</f>
        <v/>
      </c>
      <c r="CQ27">
        <f>IF($C27="","",IF(AND($P27="",$Q27="",$S27="",$T27=""),"",IF(AND($P27="",$Q27=""),"⚠ 先に1便目（左の入庫日・入庫数）に入れてください",IF($CI27&lt;&gt;"",$CI27,IF($CJ27&lt;&gt;"",$CJ27,IF($M27="","？ 減り数が未設定（発注書には載ります）",IF($B$3=0,"？ 動員が未入力（発注書には載ります）",IF(AND($CA27&lt;&gt;"",$P27&gt;$CA27),IF($P27&gt;'設定'!$C$6+N('設定'!$C$7),"● "&amp;TEXT($P27,"m/d")&amp;"("&amp;CHOOSE(WEEKDAY($P27),"日","月","火","水","木","金","土")&amp;")"&amp;" の入庫では間に合わない（"&amp;TEXT($CA27,"m/d")&amp;"("&amp;CHOOSE(WEEKDAY($CA27),"日","月","火","水","木","金","土")&amp;")"&amp;" に切れる）　入庫日を早める","△ 欠品 "&amp;TEXT($CA27,"m/d")&amp;"("&amp;CHOOSE(WEEKDAY($CA27),"日","月","火","水","木","金","土")&amp;")"&amp;"〜"&amp;TEXT($P27-1,"m/d")&amp;"("&amp;CHOOSE(WEEKDAY($P27-1),"日","月","火","水","木","金","土")&amp;")"&amp;"　"&amp;$CO27),IF($CC27="","○ "&amp;TEXT($P27,"m/d")&amp;"("&amp;CHOOSE(WEEKDAY($P27),"日","月","火","水","木","金","土")&amp;")"&amp;" 入庫で 14日以上もつ",IF($CC27-N('設定'!$C$7)&lt;='設定'!$C$6,"● 入庫しても "&amp;TEXT($CC27,"m/d")&amp;"("&amp;CHOOSE(WEEKDAY($CC27),"日","月","火","水","木","金","土")&amp;")"&amp;" に切れる　もう1便を至急発注（2便目に入れる）","△ 入庫しても "&amp;TEXT($CC27,"m/d")&amp;"("&amp;CHOOSE(WEEKDAY($CC27),"日","月","火","水","木","金","土")&amp;")"&amp;" に切れる　"&amp;TEXT($CC27-N('設定'!$C$7),"m/d")&amp;"("&amp;CHOOSE(WEEKDAY($CC27-N('設定'!$C$7)),"日","月","火","水","木","金","土")&amp;")"&amp;" までに次を発注（2便目に入れる）"))))))))))</f>
        <v/>
      </c>
      <c r="CR27">
        <f>IF($C27="","",IF($G27&gt;1,"ｹｰｽ("&amp;$G27&amp;"入)","個"))</f>
        <v/>
      </c>
      <c r="CS27">
        <f>IF($C27="",0,IF(COUNTIFS('①在庫を貼る'!$V$6:$V$10005,'設定'!$C$4,'①在庫を貼る'!$W$6:$W$10005,$C27)=0,1,0))</f>
        <v/>
      </c>
      <c r="CT27">
        <f>IF(AND($CK27=1,OR('③発注書'!$C$4="すべて",'③発注書'!$C$4="",$F27='③発注書'!$C$4)),N($CT26)+1,N($CT26))</f>
        <v/>
      </c>
      <c r="CU27">
        <f>IF(AND($CL27=1,OR('③発注書'!$C$4="すべて",'③発注書'!$C$4="",$F27='③発注書'!$C$4)),N($CU26)+1,N($CU26))</f>
        <v/>
      </c>
      <c r="CV27">
        <f>IF($C27="",0,IF(COUNTIFS('①在庫を貼る'!$V$6:$V$10005,'設定'!$C$4,'①在庫を貼る'!$W$6:$W$10005,$C27)&gt;0,1,0))</f>
        <v/>
      </c>
      <c r="CW27">
        <f>IF($C27="",0,IF(COUNTIFS('月1回_1ヶ月前の在庫'!$V$6:$V$10005,'設定'!$C$4,'月1回_1ヶ月前の在庫'!$W$6:$W$10005,$C27)&gt;0,1,0))</f>
        <v/>
      </c>
      <c r="CX27">
        <f>IF($C27="",0,IF(COUNTIFS('月1回_2ヶ月前の在庫'!$V$6:$V$10005,'設定'!$C$4,'月1回_2ヶ月前の在庫'!$W$6:$W$10005,$C27)&gt;0,1,0))</f>
        <v/>
      </c>
      <c r="CY27">
        <f>IF(OR($C27="",'設定'!$C$12=""),"",IF('設定'!$C$13="",IF(AND($CV27=1,$CW27=0),"新商品（今月から）",IF(AND($CV27=0,$CW27=1),"終売（今月から）","")),IF(AND($CV27=1,$CW27=0,$CX27=0),"新商品（今月から）",IF(AND($CV27=1,$CW27=1,$CX27=0),"新商品（先月から）",IF(AND($CV27=0,$CW27=1,$CX27=1),"終売（今月から）",IF(AND($CV27=0,$CW27=0,$CX27=1),"終売（先月から）",IF(AND($CV27=1,$CW27=0,$CX27=1),"復活（先月は無し）","")))))))</f>
        <v/>
      </c>
    </row>
    <row r="28">
      <c r="B28">
        <f>IF(23&lt;='設定'!$C$11,23,"")</f>
        <v/>
      </c>
      <c r="C28">
        <f>IF($B28="","",IF($B28&lt;='設定'!$C$20,INDEX('商品マスタ'!$B$6:$B$1005,MATCH($B28,'商品マスタ'!$M$6:$M$1005,0)),IF($B28&lt;='設定'!$C$20+'設定'!$C$17,INDEX('①在庫を貼る'!$W$6:$W$10005,MATCH($B28-'設定'!$C$20,'①在庫を貼る'!$U$6:$U$10005,0)),IF($B28&lt;='設定'!$C$20+'設定'!$C$17+'設定'!$C$18,INDEX('月1回_1ヶ月前の在庫'!$W$6:$W$10005,MATCH($B28-'設定'!$C$20-'設定'!$C$17,'月1回_1ヶ月前の在庫'!$U$6:$U$10005,0)),INDEX('月1回_2ヶ月前の在庫'!$W$6:$W$10005,MATCH($B28-'設定'!$C$20-'設定'!$C$17-'設定'!$C$18,'月1回_2ヶ月前の在庫'!$U$6:$U$10005,0))))))</f>
        <v/>
      </c>
      <c r="D28">
        <f>IF($C28="","",IFERROR(IF(INDEX('商品マスタ'!$C$6:$C$1005,MATCH($C28,'商品マスタ'!$B$6:$B$1005,0))="",IFERROR(INDEX('①在庫を貼る'!$J$6:$J$10005,MATCH($C28,'①在庫を貼る'!$W$6:$W$10005,0)),IFERROR(INDEX('月1回_1ヶ月前の在庫'!$J$6:$J$10005,MATCH($C28,'月1回_1ヶ月前の在庫'!$W$6:$W$10005,0)),IFERROR(INDEX('月1回_2ヶ月前の在庫'!$J$6:$J$10005,MATCH($C28,'月1回_2ヶ月前の在庫'!$W$6:$W$10005,0)),""))),INDEX('商品マスタ'!$C$6:$C$1005,MATCH($C28,'商品マスタ'!$B$6:$B$1005,0))),IFERROR(INDEX('①在庫を貼る'!$J$6:$J$10005,MATCH($C28,'①在庫を貼る'!$W$6:$W$10005,0)),IFERROR(INDEX('月1回_1ヶ月前の在庫'!$J$6:$J$10005,MATCH($C28,'月1回_1ヶ月前の在庫'!$W$6:$W$10005,0)),IFERROR(INDEX('月1回_2ヶ月前の在庫'!$J$6:$J$10005,MATCH($C28,'月1回_2ヶ月前の在庫'!$W$6:$W$10005,0)),"")))))</f>
        <v/>
      </c>
      <c r="E28">
        <f>IF($C28="","",IFERROR(IF(INDEX('商品マスタ'!$D$6:$D$1005,MATCH($C28,'商品マスタ'!$B$6:$B$1005,0))="",IFERROR(INDEX('①在庫を貼る'!$H$6:$H$10005,MATCH($C28,'①在庫を貼る'!$W$6:$W$10005,0)),IFERROR(INDEX('月1回_1ヶ月前の在庫'!$H$6:$H$10005,MATCH($C28,'月1回_1ヶ月前の在庫'!$W$6:$W$10005,0)),IFERROR(INDEX('月1回_2ヶ月前の在庫'!$H$6:$H$10005,MATCH($C28,'月1回_2ヶ月前の在庫'!$W$6:$W$10005,0)),""))),INDEX('商品マスタ'!$D$6:$D$1005,MATCH($C28,'商品マスタ'!$B$6:$B$1005,0))),IFERROR(INDEX('①在庫を貼る'!$H$6:$H$10005,MATCH($C28,'①在庫を貼る'!$W$6:$W$10005,0)),IFERROR(INDEX('月1回_1ヶ月前の在庫'!$H$6:$H$10005,MATCH($C28,'月1回_1ヶ月前の在庫'!$W$6:$W$10005,0)),IFERROR(INDEX('月1回_2ヶ月前の在庫'!$H$6:$H$10005,MATCH($C28,'月1回_2ヶ月前の在庫'!$W$6:$W$10005,0)),"")))))</f>
        <v/>
      </c>
      <c r="F28">
        <f>IF($C28="","",IFERROR(IF(INDEX('商品マスタ'!$E$6:$E$1005,MATCH($C28,'商品マスタ'!$B$6:$B$1005,0))="",IFERROR(INDEX('①在庫を貼る'!$E$6:$E$10005,MATCH($C28,'①在庫を貼る'!$W$6:$W$10005,0)),IFERROR(INDEX('月1回_1ヶ月前の在庫'!$E$6:$E$10005,MATCH($C28,'月1回_1ヶ月前の在庫'!$W$6:$W$10005,0)),IFERROR(INDEX('月1回_2ヶ月前の在庫'!$E$6:$E$10005,MATCH($C28,'月1回_2ヶ月前の在庫'!$W$6:$W$10005,0)),""))),INDEX('商品マスタ'!$E$6:$E$1005,MATCH($C28,'商品マスタ'!$B$6:$B$1005,0))),IFERROR(INDEX('①在庫を貼る'!$E$6:$E$10005,MATCH($C28,'①在庫を貼る'!$W$6:$W$10005,0)),IFERROR(INDEX('月1回_1ヶ月前の在庫'!$E$6:$E$10005,MATCH($C28,'月1回_1ヶ月前の在庫'!$W$6:$W$10005,0)),IFERROR(INDEX('月1回_2ヶ月前の在庫'!$E$6:$E$10005,MATCH($C28,'月1回_2ヶ月前の在庫'!$W$6:$W$10005,0)),"")))))</f>
        <v/>
      </c>
      <c r="G28">
        <f>IF($C28="","",MAX(1,N(IFERROR(IF(INDEX('商品マスタ'!$F$6:$F$1005,MATCH($C28,'商品マスタ'!$B$6:$B$1005,0))="",IF(COUNTIFS('①在庫を貼る'!$V$6:$V$10005,'設定'!$C$4,'①在庫を貼る'!$W$6:$W$10005,$C28)&gt;0,SUMIFS('①在庫を貼る'!$K$6:$K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K$6:$K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K$6:$K$10005,'月1回_2ヶ月前の在庫'!$V$6:$V$10005,'設定'!$C$4,'月1回_2ヶ月前の在庫'!$W$6:$W$10005,$C28)/COUNTIFS('月1回_2ヶ月前の在庫'!$V$6:$V$10005,'設定'!$C$4,'月1回_2ヶ月前の在庫'!$W$6:$W$10005,$C28),0))),INDEX('商品マスタ'!$F$6:$F$1005,MATCH($C28,'商品マスタ'!$B$6:$B$1005,0))),IF(COUNTIFS('①在庫を貼る'!$V$6:$V$10005,'設定'!$C$4,'①在庫を貼る'!$W$6:$W$10005,$C28)&gt;0,SUMIFS('①在庫を貼る'!$K$6:$K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K$6:$K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K$6:$K$10005,'月1回_2ヶ月前の在庫'!$V$6:$V$10005,'設定'!$C$4,'月1回_2ヶ月前の在庫'!$W$6:$W$10005,$C28)/COUNTIFS('月1回_2ヶ月前の在庫'!$V$6:$V$10005,'設定'!$C$4,'月1回_2ヶ月前の在庫'!$W$6:$W$10005,$C28),0)))))))</f>
        <v/>
      </c>
      <c r="H28">
        <f>IF($C28="","",N(IFERROR(IF(INDEX('商品マスタ'!$G$6:$G$1005,MATCH($C28,'商品マスタ'!$B$6:$B$1005,0))="",IF(COUNTIFS('①在庫を貼る'!$V$6:$V$10005,'設定'!$C$4,'①在庫を貼る'!$W$6:$W$10005,$C28)&gt;0,SUMIFS('①在庫を貼る'!$Q$6:$Q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Q$6:$Q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Q$6:$Q$10005,'月1回_2ヶ月前の在庫'!$V$6:$V$10005,'設定'!$C$4,'月1回_2ヶ月前の在庫'!$W$6:$W$10005,$C28)/COUNTIFS('月1回_2ヶ月前の在庫'!$V$6:$V$10005,'設定'!$C$4,'月1回_2ヶ月前の在庫'!$W$6:$W$10005,$C28),0))),INDEX('商品マスタ'!$G$6:$G$1005,MATCH($C28,'商品マスタ'!$B$6:$B$1005,0))),IF(COUNTIFS('①在庫を貼る'!$V$6:$V$10005,'設定'!$C$4,'①在庫を貼る'!$W$6:$W$10005,$C28)&gt;0,SUMIFS('①在庫を貼る'!$Q$6:$Q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Q$6:$Q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Q$6:$Q$10005,'月1回_2ヶ月前の在庫'!$V$6:$V$10005,'設定'!$C$4,'月1回_2ヶ月前の在庫'!$W$6:$W$10005,$C28)/COUNTIFS('月1回_2ヶ月前の在庫'!$V$6:$V$10005,'設定'!$C$4,'月1回_2ヶ月前の在庫'!$W$6:$W$10005,$C28),0))))))</f>
        <v/>
      </c>
      <c r="I28">
        <f>IF($C28="","",IF(COUNTIFS('①在庫を貼る'!$V$6:$V$10005,'設定'!$C$4,'①在庫を貼る'!$W$6:$W$10005,$C28)=0,"",SUMIFS('①在庫を貼る'!$N$6:$N$10005,'①在庫を貼る'!$V$6:$V$10005,'設定'!$C$4,'①在庫を貼る'!$W$6:$W$10005,$C28)))</f>
        <v/>
      </c>
      <c r="J28">
        <f>IF($C28="","",IF('②発注する'!$AD32="","",'②発注する'!$AD32))</f>
        <v/>
      </c>
      <c r="K28" s="90">
        <f>IF($C28="","",IF('②発注する'!$AE32="","",'②発注する'!$AE32))</f>
        <v/>
      </c>
      <c r="L28">
        <f>IF($C28="","",IF(AND(ISNUMBER($J28),ISNUMBER($K28),$K28&gt;='設定'!$C$6),$J28,N($I28)))</f>
        <v/>
      </c>
      <c r="M28">
        <f>IF($C28="","",IFERROR(IF(N(INDEX('商品マスタ'!$J$6:$J$1005,MATCH($C28,'商品マスタ'!$B$6:$B$1005,0)))&gt;0,INDEX('商品マスタ'!$J$6:$J$1005,MATCH($C28,'商品マスタ'!$B$6:$B$1005,0)),""),""))</f>
        <v/>
      </c>
      <c r="N28">
        <f>IF($C28="","",IFERROR(IF(N(INDEX('商品マスタ'!$H$6:$H$1005,MATCH($C28,'商品マスタ'!$B$6:$B$1005,0)))&gt;0,INDEX('商品マスタ'!$H$6:$H$1005,MATCH($C28,'商品マスタ'!$B$6:$B$1005,0)),""),""))</f>
        <v/>
      </c>
      <c r="O28">
        <f>IF($C28="","",IF($N28&lt;&gt;"",$N28*$G28,IF(N(IF(COUNTIFS('①在庫を貼る'!$V$6:$V$10005,'設定'!$C$4,'①在庫を貼る'!$W$6:$W$10005,$C28)&gt;0,SUMIFS('①在庫を貼る'!$O$6:$O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O$6:$O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O$6:$O$10005,'月1回_2ヶ月前の在庫'!$V$6:$V$10005,'設定'!$C$4,'月1回_2ヶ月前の在庫'!$W$6:$W$10005,$C28)/COUNTIFS('月1回_2ヶ月前の在庫'!$V$6:$V$10005,'設定'!$C$4,'月1回_2ヶ月前の在庫'!$W$6:$W$10005,$C28),0))))&gt;0,N(IF(COUNTIFS('①在庫を貼る'!$V$6:$V$10005,'設定'!$C$4,'①在庫を貼る'!$W$6:$W$10005,$C28)&gt;0,SUMIFS('①在庫を貼る'!$O$6:$O$10005,'①在庫を貼る'!$V$6:$V$10005,'設定'!$C$4,'①在庫を貼る'!$W$6:$W$10005,$C28)/COUNTIFS('①在庫を貼る'!$V$6:$V$10005,'設定'!$C$4,'①在庫を貼る'!$W$6:$W$10005,$C28),IF(COUNTIFS('月1回_1ヶ月前の在庫'!$V$6:$V$10005,'設定'!$C$4,'月1回_1ヶ月前の在庫'!$W$6:$W$10005,$C28)&gt;0,SUMIFS('月1回_1ヶ月前の在庫'!$O$6:$O$10005,'月1回_1ヶ月前の在庫'!$V$6:$V$10005,'設定'!$C$4,'月1回_1ヶ月前の在庫'!$W$6:$W$10005,$C28)/COUNTIFS('月1回_1ヶ月前の在庫'!$V$6:$V$10005,'設定'!$C$4,'月1回_1ヶ月前の在庫'!$W$6:$W$10005,$C28),IF(COUNTIFS('月1回_2ヶ月前の在庫'!$V$6:$V$10005,'設定'!$C$4,'月1回_2ヶ月前の在庫'!$W$6:$W$10005,$C28)&gt;0,SUMIFS('月1回_2ヶ月前の在庫'!$O$6:$O$10005,'月1回_2ヶ月前の在庫'!$V$6:$V$10005,'設定'!$C$4,'月1回_2ヶ月前の在庫'!$W$6:$W$10005,$C28)/COUNTIFS('月1回_2ヶ月前の在庫'!$V$6:$V$10005,'設定'!$C$4,'月1回_2ヶ月前の在庫'!$W$6:$W$10005,$C28),0)))),"")))</f>
        <v/>
      </c>
      <c r="P28" s="90">
        <f>IF($C28="","",IF('②発注する'!$I32="","",'②発注する'!$I32))</f>
        <v/>
      </c>
      <c r="Q28">
        <f>IF($C28="","",IF('②発注する'!$J32="","",'②発注する'!$J32))</f>
        <v/>
      </c>
      <c r="R28">
        <f>IF($C28="",0,IF(AND(ISNUMBER($P28),ISNUMBER($Q28)),MAX(0,$Q28)*$G28,0))</f>
        <v/>
      </c>
      <c r="S28" s="90">
        <f>IF($C28="","",IF('②発注する'!$M32="","",'②発注する'!$M32))</f>
        <v/>
      </c>
      <c r="T28">
        <f>IF($C28="","",IF('②発注する'!$N32="","",'②発注する'!$N32))</f>
        <v/>
      </c>
      <c r="U28">
        <f>IF($C28="",0,IF(AND(ISNUMBER($S28),ISNUMBER($T28)),MAX(0,$T28)*$G28,0))</f>
        <v/>
      </c>
      <c r="V28">
        <f>IF($C28="",0,IF($M28="",0,MAX(0,$M28)*MAX(0,V$4)/100))</f>
        <v/>
      </c>
      <c r="W28">
        <f>IF($C28="",0,IF($M28="",0,MAX(0,$M28)*MAX(0,W$4)/100))</f>
        <v/>
      </c>
      <c r="X28">
        <f>IF($C28="",0,IF($M28="",0,MAX(0,$M28)*MAX(0,X$4)/100))</f>
        <v/>
      </c>
      <c r="Y28">
        <f>IF($C28="",0,IF($M28="",0,MAX(0,$M28)*MAX(0,Y$4)/100))</f>
        <v/>
      </c>
      <c r="Z28">
        <f>IF($C28="",0,IF($M28="",0,MAX(0,$M28)*MAX(0,Z$4)/100))</f>
        <v/>
      </c>
      <c r="AA28">
        <f>IF($C28="",0,IF($M28="",0,MAX(0,$M28)*MAX(0,AA$4)/100))</f>
        <v/>
      </c>
      <c r="AB28">
        <f>IF($C28="",0,IF($M28="",0,MAX(0,$M28)*MAX(0,AB$4)/100))</f>
        <v/>
      </c>
      <c r="AC28">
        <f>IF($C28="",0,IF($M28="",0,MAX(0,$M28)*MAX(0,AC$4)/100))</f>
        <v/>
      </c>
      <c r="AD28">
        <f>IF($C28="",0,IF($M28="",0,MAX(0,$M28)*MAX(0,AD$4)/100))</f>
        <v/>
      </c>
      <c r="AE28">
        <f>IF($C28="",0,IF($M28="",0,MAX(0,$M28)*MAX(0,AE$4)/100))</f>
        <v/>
      </c>
      <c r="AF28">
        <f>IF($C28="",0,IF($M28="",0,MAX(0,$M28)*MAX(0,AF$4)/100))</f>
        <v/>
      </c>
      <c r="AG28">
        <f>IF($C28="",0,IF($M28="",0,MAX(0,$M28)*MAX(0,AG$4)/100))</f>
        <v/>
      </c>
      <c r="AH28">
        <f>IF($C28="",0,IF($M28="",0,MAX(0,$M28)*MAX(0,AH$4)/100))</f>
        <v/>
      </c>
      <c r="AI28">
        <f>IF($C28="",0,IF($M28="",0,MAX(0,$M28)*MAX(0,AI$4)/100))</f>
        <v/>
      </c>
      <c r="AJ28">
        <f>IF($C28="",0,MAX(0,MAX(0,N($L28))-$V28))</f>
        <v/>
      </c>
      <c r="AK28">
        <f>IF($C28="",0,MAX(0,$AJ28-$W28))</f>
        <v/>
      </c>
      <c r="AL28">
        <f>IF($C28="",0,MAX(0,$AK28-$X28))</f>
        <v/>
      </c>
      <c r="AM28">
        <f>IF($C28="",0,MAX(0,$AL28-$Y28))</f>
        <v/>
      </c>
      <c r="AN28">
        <f>IF($C28="",0,MAX(0,$AM28-$Z28))</f>
        <v/>
      </c>
      <c r="AO28">
        <f>IF($C28="",0,MAX(0,$AN28-$AA28))</f>
        <v/>
      </c>
      <c r="AP28">
        <f>IF($C28="",0,MAX(0,$AO28-$AB28))</f>
        <v/>
      </c>
      <c r="AQ28">
        <f>IF($C28="",0,MAX(0,$AP28-$AC28))</f>
        <v/>
      </c>
      <c r="AR28">
        <f>IF($C28="",0,MAX(0,$AQ28-$AD28))</f>
        <v/>
      </c>
      <c r="AS28">
        <f>IF($C28="",0,MAX(0,$AR28-$AE28))</f>
        <v/>
      </c>
      <c r="AT28">
        <f>IF($C28="",0,MAX(0,$AS28-$AF28))</f>
        <v/>
      </c>
      <c r="AU28">
        <f>IF($C28="",0,MAX(0,$AT28-$AG28))</f>
        <v/>
      </c>
      <c r="AV28">
        <f>IF($C28="",0,MAX(0,$AU28-$AH28))</f>
        <v/>
      </c>
      <c r="AW28">
        <f>IF($C28="",0,MAX(0,$AV28-$AI28))</f>
        <v/>
      </c>
      <c r="AX28">
        <f>IF($C28="",0,MAX(0,MAX(0,N($L28))+IF($P28=V$3,$R28,0)+IF($S28=V$3,$U28,0)-$V28))</f>
        <v/>
      </c>
      <c r="AY28">
        <f>IF($C28="",0,MAX(0,$AX28+IF($P28=W$3,$R28,0)+IF($S28=W$3,$U28,0)-$W28))</f>
        <v/>
      </c>
      <c r="AZ28">
        <f>IF($C28="",0,MAX(0,$AY28+IF($P28=X$3,$R28,0)+IF($S28=X$3,$U28,0)-$X28))</f>
        <v/>
      </c>
      <c r="BA28">
        <f>IF($C28="",0,MAX(0,$AZ28+IF($P28=Y$3,$R28,0)+IF($S28=Y$3,$U28,0)-$Y28))</f>
        <v/>
      </c>
      <c r="BB28">
        <f>IF($C28="",0,MAX(0,$BA28+IF($P28=Z$3,$R28,0)+IF($S28=Z$3,$U28,0)-$Z28))</f>
        <v/>
      </c>
      <c r="BC28">
        <f>IF($C28="",0,MAX(0,$BB28+IF($P28=AA$3,$R28,0)+IF($S28=AA$3,$U28,0)-$AA28))</f>
        <v/>
      </c>
      <c r="BD28">
        <f>IF($C28="",0,MAX(0,$BC28+IF($P28=AB$3,$R28,0)+IF($S28=AB$3,$U28,0)-$AB28))</f>
        <v/>
      </c>
      <c r="BE28">
        <f>IF($C28="",0,MAX(0,$BD28+IF($P28=AC$3,$R28,0)+IF($S28=AC$3,$U28,0)-$AC28))</f>
        <v/>
      </c>
      <c r="BF28">
        <f>IF($C28="",0,MAX(0,$BE28+IF($P28=AD$3,$R28,0)+IF($S28=AD$3,$U28,0)-$AD28))</f>
        <v/>
      </c>
      <c r="BG28">
        <f>IF($C28="",0,MAX(0,$BF28+IF($P28=AE$3,$R28,0)+IF($S28=AE$3,$U28,0)-$AE28))</f>
        <v/>
      </c>
      <c r="BH28">
        <f>IF($C28="",0,MAX(0,$BG28+IF($P28=AF$3,$R28,0)+IF($S28=AF$3,$U28,0)-$AF28))</f>
        <v/>
      </c>
      <c r="BI28">
        <f>IF($C28="",0,MAX(0,$BH28+IF($P28=AG$3,$R28,0)+IF($S28=AG$3,$U28,0)-$AG28))</f>
        <v/>
      </c>
      <c r="BJ28">
        <f>IF($C28="",0,MAX(0,$BI28+IF($P28=AH$3,$R28,0)+IF($S28=AH$3,$U28,0)-$AH28))</f>
        <v/>
      </c>
      <c r="BK28">
        <f>IF($C28="",0,MAX(0,$BJ28+IF($P28=AI$3,$R28,0)+IF($S28=AI$3,$U28,0)-$AI28))</f>
        <v/>
      </c>
      <c r="BL28">
        <f>IF($C28="",99,IF(AND($AX28&lt;1,V$3&gt;=MAX(N($P28),N($S28))),0,99))</f>
        <v/>
      </c>
      <c r="BM28">
        <f>IF($C28="",99,IF(AND($AY28&lt;1,W$3&gt;=MAX(N($P28),N($S28))),1,99))</f>
        <v/>
      </c>
      <c r="BN28">
        <f>IF($C28="",99,IF(AND($AZ28&lt;1,X$3&gt;=MAX(N($P28),N($S28))),2,99))</f>
        <v/>
      </c>
      <c r="BO28">
        <f>IF($C28="",99,IF(AND($BA28&lt;1,Y$3&gt;=MAX(N($P28),N($S28))),3,99))</f>
        <v/>
      </c>
      <c r="BP28">
        <f>IF($C28="",99,IF(AND($BB28&lt;1,Z$3&gt;=MAX(N($P28),N($S28))),4,99))</f>
        <v/>
      </c>
      <c r="BQ28">
        <f>IF($C28="",99,IF(AND($BC28&lt;1,AA$3&gt;=MAX(N($P28),N($S28))),5,99))</f>
        <v/>
      </c>
      <c r="BR28">
        <f>IF($C28="",99,IF(AND($BD28&lt;1,AB$3&gt;=MAX(N($P28),N($S28))),6,99))</f>
        <v/>
      </c>
      <c r="BS28">
        <f>IF($C28="",99,IF(AND($BE28&lt;1,AC$3&gt;=MAX(N($P28),N($S28))),7,99))</f>
        <v/>
      </c>
      <c r="BT28">
        <f>IF($C28="",99,IF(AND($BF28&lt;1,AD$3&gt;=MAX(N($P28),N($S28))),8,99))</f>
        <v/>
      </c>
      <c r="BU28">
        <f>IF($C28="",99,IF(AND($BG28&lt;1,AE$3&gt;=MAX(N($P28),N($S28))),9,99))</f>
        <v/>
      </c>
      <c r="BV28">
        <f>IF($C28="",99,IF(AND($BH28&lt;1,AF$3&gt;=MAX(N($P28),N($S28))),10,99))</f>
        <v/>
      </c>
      <c r="BW28">
        <f>IF($C28="",99,IF(AND($BI28&lt;1,AG$3&gt;=MAX(N($P28),N($S28))),11,99))</f>
        <v/>
      </c>
      <c r="BX28">
        <f>IF($C28="",99,IF(AND($BJ28&lt;1,AH$3&gt;=MAX(N($P28),N($S28))),12,99))</f>
        <v/>
      </c>
      <c r="BY28">
        <f>IF($C28="",99,IF(AND($BK28&lt;1,AI$3&gt;=MAX(N($P28),N($S28))),13,99))</f>
        <v/>
      </c>
      <c r="BZ28">
        <f>IF(OR($C28="",$M28=""),"",COUNTIF($AJ28:$AW28,"&gt;=1"))</f>
        <v/>
      </c>
      <c r="CA28" s="90">
        <f>IF($BZ28="","",IF($BZ28&gt;=14,"",'設定'!$C$6+$BZ28))</f>
        <v/>
      </c>
      <c r="CB28">
        <f>IF(OR($C28="",$M28=""),"",MIN($BL28:$BY28))</f>
        <v/>
      </c>
      <c r="CC28" s="90">
        <f>IF($CB28="","",IF($CB28&gt;=99,"",'設定'!$C$6+$CB28))</f>
        <v/>
      </c>
      <c r="CD28">
        <f>IF(OR($C28="",$M28=""),"",AVERAGE($V28:$AI28))</f>
        <v/>
      </c>
      <c r="CE28">
        <f>IF($C28="","",IFERROR(IF(MATCH(IF(ISNUMBER($P28),$P28,'設定'!$C$6+N('設定'!$C$7)),$V$3:$AI$3,0)=1,MAX(0,N($L28)),INDEX($AJ28:$AW28,MATCH(IF(ISNUMBER($P28),$P28,'設定'!$C$6+N('設定'!$C$7)),$V$3:$AI$3,0)-1)),""))</f>
        <v/>
      </c>
      <c r="CF28">
        <f>IF(OR($C28="",$O28="",$CE28=""),"",IF($O28-$CE28&lt;=0,0,ROUNDUP(($O28-$CE28)/$G28,0)))</f>
        <v/>
      </c>
      <c r="CG28">
        <f>IF(OR($C28="",$CF28="",NOT(ISNUMBER($Q28))),0,MAX(0,$Q28-$CF28))</f>
        <v/>
      </c>
      <c r="CH28">
        <f>IF(OR($C28="",$O28="",$U28=0),0,IFERROR(ROUNDUP(MAX(0,IF(MATCH($S28,$V$3:$AI$3,0)=1,MAX(0,N($L28)),INDEX($AX28:$BK28,MATCH($S28,$V$3:$AI$3,0)-1))+$U28-$O28)/$G28,0),0))</f>
        <v/>
      </c>
      <c r="CI28">
        <f>IF($C28="","",IF(AND($P28="",$Q28=""),"",IF($P28="","⚠ 入庫日を ▼ から選んでください",IF(NOT(ISNUMBER($P28)),"⚠ 入庫日は ▼ から選んでください",IF($P28&lt;N('設定'!$C$6),"⚠ 入庫日が過去です（もう在庫に入っています）→ 消してください",IF($P28&gt;N('設定'!$C$6)+13,"⚠ 入庫日が14日より先です",IF(N($Q28)&lt;=0,"⚠ 入庫数を入れてください",IF($CG28&gt;0,"⚠ 目安より "&amp;$CG28&amp;" 多い（定数を超える）→ 減らす",""))))))))</f>
        <v/>
      </c>
      <c r="CJ28">
        <f>IF($C28="","",IF(AND($S28="",$T28=""),"",IF($S28="","⚠ 2便目：入庫日を ▼ から選んでください",IF(NOT(ISNUMBER($S28)),"⚠ 2便目：入庫日は ▼ から選んでください",IF($S28&lt;N('設定'!$C$6),"⚠ 2便目：入庫日が過去です（もう在庫に入っています）→ 消してください",IF($S28&gt;N('設定'!$C$6)+13,"⚠ 2便目：入庫日が14日より先です",IF(N($T28)&lt;=0,"⚠ 2便目：入庫数を入れてください",IF($CH28&gt;0,"⚠ 2便目：定数を "&amp;$CH28&amp;" ケース超える → 減らす",""))))))))</f>
        <v/>
      </c>
      <c r="CK28">
        <f>IF(AND($CI28="",N($Q28)&gt;0,ISNUMBER($P28)),1,0)</f>
        <v/>
      </c>
      <c r="CL28">
        <f>IF(AND($CJ28="",N($T28)&gt;0,ISNUMBER($S28)),1,0)</f>
        <v/>
      </c>
      <c r="CM28">
        <f>IF(OR($CK28=1,$CL28=1),1,0)</f>
        <v/>
      </c>
      <c r="CN28">
        <f>IF($C28="",0,($CK28*$R28+$CL28*$U28)*N($H28))</f>
        <v/>
      </c>
      <c r="CO28">
        <f>IF($C28="","",IF($CC28="","入庫後は 14日以上もつ",IF($CC28-N('設定'!$C$7)&lt;='設定'!$C$6,"入庫後も "&amp;TEXT($CC28,"m/d")&amp;"("&amp;CHOOSE(WEEKDAY($CC28),"日","月","火","水","木","金","土")&amp;")"&amp;" に切れる　もう1便を至急発注","入庫後も "&amp;TEXT($CC28,"m/d")&amp;"("&amp;CHOOSE(WEEKDAY($CC28),"日","月","火","水","木","金","土")&amp;")"&amp;" に切れる　"&amp;TEXT($CC28-N('設定'!$C$7),"m/d")&amp;"("&amp;CHOOSE(WEEKDAY($CC28-N('設定'!$C$7)),"日","月","火","水","木","金","土")&amp;")"&amp;" までに次を発注")))</f>
        <v/>
      </c>
      <c r="CP28">
        <f>IF($C28="","",IF('設定'!$C$6="","？ ①在庫を貼る に今日のCSVが貼られていない",IF($CS28=1,"－ 今日のCSVに無い（終売？）",IF($L28&lt;0,"● 在庫がマイナス　数えて「数えた在庫」に入れる",IF($L28=0,"● 在庫なし　至急発注",IF($M28="","？ 減り数が未設定（商品マスタ）",IF($B$3=0,"？ 動員が未入力（動員を入れる）",IF($CA28="","○ 14日以上もつ",IF($BZ28&lt;N('設定'!$C$7),"● "&amp;TEXT($CA28,"m/d")&amp;"("&amp;CHOOSE(WEEKDAY($CA28),"日","月","火","水","木","金","土")&amp;")"&amp;" に切れる　至急発注",IF($BZ28=N('設定'!$C$7),"● "&amp;TEXT($CA28,"m/d")&amp;"("&amp;CHOOSE(WEEKDAY($CA28),"日","月","火","水","木","金","土")&amp;")"&amp;" に切れる　今日発注","△ "&amp;TEXT($CA28,"m/d")&amp;"("&amp;CHOOSE(WEEKDAY($CA28),"日","月","火","水","木","金","土")&amp;")"&amp;" に切れる　"&amp;TEXT($CA28-N('設定'!$C$7),"m/d")&amp;"("&amp;CHOOSE(WEEKDAY($CA28-N('設定'!$C$7)),"日","月","火","水","木","金","土")&amp;")"&amp;" までに発注"))))))))))</f>
        <v/>
      </c>
      <c r="CQ28">
        <f>IF($C28="","",IF(AND($P28="",$Q28="",$S28="",$T28=""),"",IF(AND($P28="",$Q28=""),"⚠ 先に1便目（左の入庫日・入庫数）に入れてください",IF($CI28&lt;&gt;"",$CI28,IF($CJ28&lt;&gt;"",$CJ28,IF($M28="","？ 減り数が未設定（発注書には載ります）",IF($B$3=0,"？ 動員が未入力（発注書には載ります）",IF(AND($CA28&lt;&gt;"",$P28&gt;$CA28),IF($P28&gt;'設定'!$C$6+N('設定'!$C$7),"● "&amp;TEXT($P28,"m/d")&amp;"("&amp;CHOOSE(WEEKDAY($P28),"日","月","火","水","木","金","土")&amp;")"&amp;" の入庫では間に合わない（"&amp;TEXT($CA28,"m/d")&amp;"("&amp;CHOOSE(WEEKDAY($CA28),"日","月","火","水","木","金","土")&amp;")"&amp;" に切れる）　入庫日を早める","△ 欠品 "&amp;TEXT($CA28,"m/d")&amp;"("&amp;CHOOSE(WEEKDAY($CA28),"日","月","火","水","木","金","土")&amp;")"&amp;"〜"&amp;TEXT($P28-1,"m/d")&amp;"("&amp;CHOOSE(WEEKDAY($P28-1),"日","月","火","水","木","金","土")&amp;")"&amp;"　"&amp;$CO28),IF($CC28="","○ "&amp;TEXT($P28,"m/d")&amp;"("&amp;CHOOSE(WEEKDAY($P28),"日","月","火","水","木","金","土")&amp;")"&amp;" 入庫で 14日以上もつ",IF($CC28-N('設定'!$C$7)&lt;='設定'!$C$6,"● 入庫しても "&amp;TEXT($CC28,"m/d")&amp;"("&amp;CHOOSE(WEEKDAY($CC28),"日","月","火","水","木","金","土")&amp;")"&amp;" に切れる　もう1便を至急発注（2便目に入れる）","△ 入庫しても "&amp;TEXT($CC28,"m/d")&amp;"("&amp;CHOOSE(WEEKDAY($CC28),"日","月","火","水","木","金","土")&amp;")"&amp;" に切れる　"&amp;TEXT($CC28-N('設定'!$C$7),"m/d")&amp;"("&amp;CHOOSE(WEEKDAY($CC28-N('設定'!$C$7)),"日","月","火","水","木","金","土")&amp;")"&amp;" までに次を発注（2便目に入れる）"))))))))))</f>
        <v/>
      </c>
      <c r="CR28">
        <f>IF($C28="","",IF($G28&gt;1,"ｹｰｽ("&amp;$G28&amp;"入)","個"))</f>
        <v/>
      </c>
      <c r="CS28">
        <f>IF($C28="",0,IF(COUNTIFS('①在庫を貼る'!$V$6:$V$10005,'設定'!$C$4,'①在庫を貼る'!$W$6:$W$10005,$C28)=0,1,0))</f>
        <v/>
      </c>
      <c r="CT28">
        <f>IF(AND($CK28=1,OR('③発注書'!$C$4="すべて",'③発注書'!$C$4="",$F28='③発注書'!$C$4)),N($CT27)+1,N($CT27))</f>
        <v/>
      </c>
      <c r="CU28">
        <f>IF(AND($CL28=1,OR('③発注書'!$C$4="すべて",'③発注書'!$C$4="",$F28='③発注書'!$C$4)),N($CU27)+1,N($CU27))</f>
        <v/>
      </c>
      <c r="CV28">
        <f>IF($C28="",0,IF(COUNTIFS('①在庫を貼る'!$V$6:$V$10005,'設定'!$C$4,'①在庫を貼る'!$W$6:$W$10005,$C28)&gt;0,1,0))</f>
        <v/>
      </c>
      <c r="CW28">
        <f>IF($C28="",0,IF(COUNTIFS('月1回_1ヶ月前の在庫'!$V$6:$V$10005,'設定'!$C$4,'月1回_1ヶ月前の在庫'!$W$6:$W$10005,$C28)&gt;0,1,0))</f>
        <v/>
      </c>
      <c r="CX28">
        <f>IF($C28="",0,IF(COUNTIFS('月1回_2ヶ月前の在庫'!$V$6:$V$10005,'設定'!$C$4,'月1回_2ヶ月前の在庫'!$W$6:$W$10005,$C28)&gt;0,1,0))</f>
        <v/>
      </c>
      <c r="CY28">
        <f>IF(OR($C28="",'設定'!$C$12=""),"",IF('設定'!$C$13="",IF(AND($CV28=1,$CW28=0),"新商品（今月から）",IF(AND($CV28=0,$CW28=1),"終売（今月から）","")),IF(AND($CV28=1,$CW28=0,$CX28=0),"新商品（今月から）",IF(AND($CV28=1,$CW28=1,$CX28=0),"新商品（先月から）",IF(AND($CV28=0,$CW28=1,$CX28=1),"終売（今月から）",IF(AND($CV28=0,$CW28=0,$CX28=1),"終売（先月から）",IF(AND($CV28=1,$CW28=0,$CX28=1),"復活（先月は無し）","")))))))</f>
        <v/>
      </c>
    </row>
    <row r="29">
      <c r="B29">
        <f>IF(24&lt;='設定'!$C$11,24,"")</f>
        <v/>
      </c>
      <c r="C29">
        <f>IF($B29="","",IF($B29&lt;='設定'!$C$20,INDEX('商品マスタ'!$B$6:$B$1005,MATCH($B29,'商品マスタ'!$M$6:$M$1005,0)),IF($B29&lt;='設定'!$C$20+'設定'!$C$17,INDEX('①在庫を貼る'!$W$6:$W$10005,MATCH($B29-'設定'!$C$20,'①在庫を貼る'!$U$6:$U$10005,0)),IF($B29&lt;='設定'!$C$20+'設定'!$C$17+'設定'!$C$18,INDEX('月1回_1ヶ月前の在庫'!$W$6:$W$10005,MATCH($B29-'設定'!$C$20-'設定'!$C$17,'月1回_1ヶ月前の在庫'!$U$6:$U$10005,0)),INDEX('月1回_2ヶ月前の在庫'!$W$6:$W$10005,MATCH($B29-'設定'!$C$20-'設定'!$C$17-'設定'!$C$18,'月1回_2ヶ月前の在庫'!$U$6:$U$10005,0))))))</f>
        <v/>
      </c>
      <c r="D29">
        <f>IF($C29="","",IFERROR(IF(INDEX('商品マスタ'!$C$6:$C$1005,MATCH($C29,'商品マスタ'!$B$6:$B$1005,0))="",IFERROR(INDEX('①在庫を貼る'!$J$6:$J$10005,MATCH($C29,'①在庫を貼る'!$W$6:$W$10005,0)),IFERROR(INDEX('月1回_1ヶ月前の在庫'!$J$6:$J$10005,MATCH($C29,'月1回_1ヶ月前の在庫'!$W$6:$W$10005,0)),IFERROR(INDEX('月1回_2ヶ月前の在庫'!$J$6:$J$10005,MATCH($C29,'月1回_2ヶ月前の在庫'!$W$6:$W$10005,0)),""))),INDEX('商品マスタ'!$C$6:$C$1005,MATCH($C29,'商品マスタ'!$B$6:$B$1005,0))),IFERROR(INDEX('①在庫を貼る'!$J$6:$J$10005,MATCH($C29,'①在庫を貼る'!$W$6:$W$10005,0)),IFERROR(INDEX('月1回_1ヶ月前の在庫'!$J$6:$J$10005,MATCH($C29,'月1回_1ヶ月前の在庫'!$W$6:$W$10005,0)),IFERROR(INDEX('月1回_2ヶ月前の在庫'!$J$6:$J$10005,MATCH($C29,'月1回_2ヶ月前の在庫'!$W$6:$W$10005,0)),"")))))</f>
        <v/>
      </c>
      <c r="E29">
        <f>IF($C29="","",IFERROR(IF(INDEX('商品マスタ'!$D$6:$D$1005,MATCH($C29,'商品マスタ'!$B$6:$B$1005,0))="",IFERROR(INDEX('①在庫を貼る'!$H$6:$H$10005,MATCH($C29,'①在庫を貼る'!$W$6:$W$10005,0)),IFERROR(INDEX('月1回_1ヶ月前の在庫'!$H$6:$H$10005,MATCH($C29,'月1回_1ヶ月前の在庫'!$W$6:$W$10005,0)),IFERROR(INDEX('月1回_2ヶ月前の在庫'!$H$6:$H$10005,MATCH($C29,'月1回_2ヶ月前の在庫'!$W$6:$W$10005,0)),""))),INDEX('商品マスタ'!$D$6:$D$1005,MATCH($C29,'商品マスタ'!$B$6:$B$1005,0))),IFERROR(INDEX('①在庫を貼る'!$H$6:$H$10005,MATCH($C29,'①在庫を貼る'!$W$6:$W$10005,0)),IFERROR(INDEX('月1回_1ヶ月前の在庫'!$H$6:$H$10005,MATCH($C29,'月1回_1ヶ月前の在庫'!$W$6:$W$10005,0)),IFERROR(INDEX('月1回_2ヶ月前の在庫'!$H$6:$H$10005,MATCH($C29,'月1回_2ヶ月前の在庫'!$W$6:$W$10005,0)),"")))))</f>
        <v/>
      </c>
      <c r="F29">
        <f>IF($C29="","",IFERROR(IF(INDEX('商品マスタ'!$E$6:$E$1005,MATCH($C29,'商品マスタ'!$B$6:$B$1005,0))="",IFERROR(INDEX('①在庫を貼る'!$E$6:$E$10005,MATCH($C29,'①在庫を貼る'!$W$6:$W$10005,0)),IFERROR(INDEX('月1回_1ヶ月前の在庫'!$E$6:$E$10005,MATCH($C29,'月1回_1ヶ月前の在庫'!$W$6:$W$10005,0)),IFERROR(INDEX('月1回_2ヶ月前の在庫'!$E$6:$E$10005,MATCH($C29,'月1回_2ヶ月前の在庫'!$W$6:$W$10005,0)),""))),INDEX('商品マスタ'!$E$6:$E$1005,MATCH($C29,'商品マスタ'!$B$6:$B$1005,0))),IFERROR(INDEX('①在庫を貼る'!$E$6:$E$10005,MATCH($C29,'①在庫を貼る'!$W$6:$W$10005,0)),IFERROR(INDEX('月1回_1ヶ月前の在庫'!$E$6:$E$10005,MATCH($C29,'月1回_1ヶ月前の在庫'!$W$6:$W$10005,0)),IFERROR(INDEX('月1回_2ヶ月前の在庫'!$E$6:$E$10005,MATCH($C29,'月1回_2ヶ月前の在庫'!$W$6:$W$10005,0)),"")))))</f>
        <v/>
      </c>
      <c r="G29">
        <f>IF($C29="","",MAX(1,N(IFERROR(IF(INDEX('商品マスタ'!$F$6:$F$1005,MATCH($C29,'商品マスタ'!$B$6:$B$1005,0))="",IF(COUNTIFS('①在庫を貼る'!$V$6:$V$10005,'設定'!$C$4,'①在庫を貼る'!$W$6:$W$10005,$C29)&gt;0,SUMIFS('①在庫を貼る'!$K$6:$K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K$6:$K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K$6:$K$10005,'月1回_2ヶ月前の在庫'!$V$6:$V$10005,'設定'!$C$4,'月1回_2ヶ月前の在庫'!$W$6:$W$10005,$C29)/COUNTIFS('月1回_2ヶ月前の在庫'!$V$6:$V$10005,'設定'!$C$4,'月1回_2ヶ月前の在庫'!$W$6:$W$10005,$C29),0))),INDEX('商品マスタ'!$F$6:$F$1005,MATCH($C29,'商品マスタ'!$B$6:$B$1005,0))),IF(COUNTIFS('①在庫を貼る'!$V$6:$V$10005,'設定'!$C$4,'①在庫を貼る'!$W$6:$W$10005,$C29)&gt;0,SUMIFS('①在庫を貼る'!$K$6:$K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K$6:$K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K$6:$K$10005,'月1回_2ヶ月前の在庫'!$V$6:$V$10005,'設定'!$C$4,'月1回_2ヶ月前の在庫'!$W$6:$W$10005,$C29)/COUNTIFS('月1回_2ヶ月前の在庫'!$V$6:$V$10005,'設定'!$C$4,'月1回_2ヶ月前の在庫'!$W$6:$W$10005,$C29),0)))))))</f>
        <v/>
      </c>
      <c r="H29">
        <f>IF($C29="","",N(IFERROR(IF(INDEX('商品マスタ'!$G$6:$G$1005,MATCH($C29,'商品マスタ'!$B$6:$B$1005,0))="",IF(COUNTIFS('①在庫を貼る'!$V$6:$V$10005,'設定'!$C$4,'①在庫を貼る'!$W$6:$W$10005,$C29)&gt;0,SUMIFS('①在庫を貼る'!$Q$6:$Q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Q$6:$Q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Q$6:$Q$10005,'月1回_2ヶ月前の在庫'!$V$6:$V$10005,'設定'!$C$4,'月1回_2ヶ月前の在庫'!$W$6:$W$10005,$C29)/COUNTIFS('月1回_2ヶ月前の在庫'!$V$6:$V$10005,'設定'!$C$4,'月1回_2ヶ月前の在庫'!$W$6:$W$10005,$C29),0))),INDEX('商品マスタ'!$G$6:$G$1005,MATCH($C29,'商品マスタ'!$B$6:$B$1005,0))),IF(COUNTIFS('①在庫を貼る'!$V$6:$V$10005,'設定'!$C$4,'①在庫を貼る'!$W$6:$W$10005,$C29)&gt;0,SUMIFS('①在庫を貼る'!$Q$6:$Q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Q$6:$Q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Q$6:$Q$10005,'月1回_2ヶ月前の在庫'!$V$6:$V$10005,'設定'!$C$4,'月1回_2ヶ月前の在庫'!$W$6:$W$10005,$C29)/COUNTIFS('月1回_2ヶ月前の在庫'!$V$6:$V$10005,'設定'!$C$4,'月1回_2ヶ月前の在庫'!$W$6:$W$10005,$C29),0))))))</f>
        <v/>
      </c>
      <c r="I29">
        <f>IF($C29="","",IF(COUNTIFS('①在庫を貼る'!$V$6:$V$10005,'設定'!$C$4,'①在庫を貼る'!$W$6:$W$10005,$C29)=0,"",SUMIFS('①在庫を貼る'!$N$6:$N$10005,'①在庫を貼る'!$V$6:$V$10005,'設定'!$C$4,'①在庫を貼る'!$W$6:$W$10005,$C29)))</f>
        <v/>
      </c>
      <c r="J29">
        <f>IF($C29="","",IF('②発注する'!$AD33="","",'②発注する'!$AD33))</f>
        <v/>
      </c>
      <c r="K29" s="90">
        <f>IF($C29="","",IF('②発注する'!$AE33="","",'②発注する'!$AE33))</f>
        <v/>
      </c>
      <c r="L29">
        <f>IF($C29="","",IF(AND(ISNUMBER($J29),ISNUMBER($K29),$K29&gt;='設定'!$C$6),$J29,N($I29)))</f>
        <v/>
      </c>
      <c r="M29">
        <f>IF($C29="","",IFERROR(IF(N(INDEX('商品マスタ'!$J$6:$J$1005,MATCH($C29,'商品マスタ'!$B$6:$B$1005,0)))&gt;0,INDEX('商品マスタ'!$J$6:$J$1005,MATCH($C29,'商品マスタ'!$B$6:$B$1005,0)),""),""))</f>
        <v/>
      </c>
      <c r="N29">
        <f>IF($C29="","",IFERROR(IF(N(INDEX('商品マスタ'!$H$6:$H$1005,MATCH($C29,'商品マスタ'!$B$6:$B$1005,0)))&gt;0,INDEX('商品マスタ'!$H$6:$H$1005,MATCH($C29,'商品マスタ'!$B$6:$B$1005,0)),""),""))</f>
        <v/>
      </c>
      <c r="O29">
        <f>IF($C29="","",IF($N29&lt;&gt;"",$N29*$G29,IF(N(IF(COUNTIFS('①在庫を貼る'!$V$6:$V$10005,'設定'!$C$4,'①在庫を貼る'!$W$6:$W$10005,$C29)&gt;0,SUMIFS('①在庫を貼る'!$O$6:$O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O$6:$O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O$6:$O$10005,'月1回_2ヶ月前の在庫'!$V$6:$V$10005,'設定'!$C$4,'月1回_2ヶ月前の在庫'!$W$6:$W$10005,$C29)/COUNTIFS('月1回_2ヶ月前の在庫'!$V$6:$V$10005,'設定'!$C$4,'月1回_2ヶ月前の在庫'!$W$6:$W$10005,$C29),0))))&gt;0,N(IF(COUNTIFS('①在庫を貼る'!$V$6:$V$10005,'設定'!$C$4,'①在庫を貼る'!$W$6:$W$10005,$C29)&gt;0,SUMIFS('①在庫を貼る'!$O$6:$O$10005,'①在庫を貼る'!$V$6:$V$10005,'設定'!$C$4,'①在庫を貼る'!$W$6:$W$10005,$C29)/COUNTIFS('①在庫を貼る'!$V$6:$V$10005,'設定'!$C$4,'①在庫を貼る'!$W$6:$W$10005,$C29),IF(COUNTIFS('月1回_1ヶ月前の在庫'!$V$6:$V$10005,'設定'!$C$4,'月1回_1ヶ月前の在庫'!$W$6:$W$10005,$C29)&gt;0,SUMIFS('月1回_1ヶ月前の在庫'!$O$6:$O$10005,'月1回_1ヶ月前の在庫'!$V$6:$V$10005,'設定'!$C$4,'月1回_1ヶ月前の在庫'!$W$6:$W$10005,$C29)/COUNTIFS('月1回_1ヶ月前の在庫'!$V$6:$V$10005,'設定'!$C$4,'月1回_1ヶ月前の在庫'!$W$6:$W$10005,$C29),IF(COUNTIFS('月1回_2ヶ月前の在庫'!$V$6:$V$10005,'設定'!$C$4,'月1回_2ヶ月前の在庫'!$W$6:$W$10005,$C29)&gt;0,SUMIFS('月1回_2ヶ月前の在庫'!$O$6:$O$10005,'月1回_2ヶ月前の在庫'!$V$6:$V$10005,'設定'!$C$4,'月1回_2ヶ月前の在庫'!$W$6:$W$10005,$C29)/COUNTIFS('月1回_2ヶ月前の在庫'!$V$6:$V$10005,'設定'!$C$4,'月1回_2ヶ月前の在庫'!$W$6:$W$10005,$C29),0)))),"")))</f>
        <v/>
      </c>
      <c r="P29" s="90">
        <f>IF($C29="","",IF('②発注する'!$I33="","",'②発注する'!$I33))</f>
        <v/>
      </c>
      <c r="Q29">
        <f>IF($C29="","",IF('②発注する'!$J33="","",'②発注する'!$J33))</f>
        <v/>
      </c>
      <c r="R29">
        <f>IF($C29="",0,IF(AND(ISNUMBER($P29),ISNUMBER($Q29)),MAX(0,$Q29)*$G29,0))</f>
        <v/>
      </c>
      <c r="S29" s="90">
        <f>IF($C29="","",IF('②発注する'!$M33="","",'②発注する'!$M33))</f>
        <v/>
      </c>
      <c r="T29">
        <f>IF($C29="","",IF('②発注する'!$N33="","",'②発注する'!$N33))</f>
        <v/>
      </c>
      <c r="U29">
        <f>IF($C29="",0,IF(AND(ISNUMBER($S29),ISNUMBER($T29)),MAX(0,$T29)*$G29,0))</f>
        <v/>
      </c>
      <c r="V29">
        <f>IF($C29="",0,IF($M29="",0,MAX(0,$M29)*MAX(0,V$4)/100))</f>
        <v/>
      </c>
      <c r="W29">
        <f>IF($C29="",0,IF($M29="",0,MAX(0,$M29)*MAX(0,W$4)/100))</f>
        <v/>
      </c>
      <c r="X29">
        <f>IF($C29="",0,IF($M29="",0,MAX(0,$M29)*MAX(0,X$4)/100))</f>
        <v/>
      </c>
      <c r="Y29">
        <f>IF($C29="",0,IF($M29="",0,MAX(0,$M29)*MAX(0,Y$4)/100))</f>
        <v/>
      </c>
      <c r="Z29">
        <f>IF($C29="",0,IF($M29="",0,MAX(0,$M29)*MAX(0,Z$4)/100))</f>
        <v/>
      </c>
      <c r="AA29">
        <f>IF($C29="",0,IF($M29="",0,MAX(0,$M29)*MAX(0,AA$4)/100))</f>
        <v/>
      </c>
      <c r="AB29">
        <f>IF($C29="",0,IF($M29="",0,MAX(0,$M29)*MAX(0,AB$4)/100))</f>
        <v/>
      </c>
      <c r="AC29">
        <f>IF($C29="",0,IF($M29="",0,MAX(0,$M29)*MAX(0,AC$4)/100))</f>
        <v/>
      </c>
      <c r="AD29">
        <f>IF($C29="",0,IF($M29="",0,MAX(0,$M29)*MAX(0,AD$4)/100))</f>
        <v/>
      </c>
      <c r="AE29">
        <f>IF($C29="",0,IF($M29="",0,MAX(0,$M29)*MAX(0,AE$4)/100))</f>
        <v/>
      </c>
      <c r="AF29">
        <f>IF($C29="",0,IF($M29="",0,MAX(0,$M29)*MAX(0,AF$4)/100))</f>
        <v/>
      </c>
      <c r="AG29">
        <f>IF($C29="",0,IF($M29="",0,MAX(0,$M29)*MAX(0,AG$4)/100))</f>
        <v/>
      </c>
      <c r="AH29">
        <f>IF($C29="",0,IF($M29="",0,MAX(0,$M29)*MAX(0,AH$4)/100))</f>
        <v/>
      </c>
      <c r="AI29">
        <f>IF($C29="",0,IF($M29="",0,MAX(0,$M29)*MAX(0,AI$4)/100))</f>
        <v/>
      </c>
      <c r="AJ29">
        <f>IF($C29="",0,MAX(0,MAX(0,N($L29))-$V29))</f>
        <v/>
      </c>
      <c r="AK29">
        <f>IF($C29="",0,MAX(0,$AJ29-$W29))</f>
        <v/>
      </c>
      <c r="AL29">
        <f>IF($C29="",0,MAX(0,$AK29-$X29))</f>
        <v/>
      </c>
      <c r="AM29">
        <f>IF($C29="",0,MAX(0,$AL29-$Y29))</f>
        <v/>
      </c>
      <c r="AN29">
        <f>IF($C29="",0,MAX(0,$AM29-$Z29))</f>
        <v/>
      </c>
      <c r="AO29">
        <f>IF($C29="",0,MAX(0,$AN29-$AA29))</f>
        <v/>
      </c>
      <c r="AP29">
        <f>IF($C29="",0,MAX(0,$AO29-$AB29))</f>
        <v/>
      </c>
      <c r="AQ29">
        <f>IF($C29="",0,MAX(0,$AP29-$AC29))</f>
        <v/>
      </c>
      <c r="AR29">
        <f>IF($C29="",0,MAX(0,$AQ29-$AD29))</f>
        <v/>
      </c>
      <c r="AS29">
        <f>IF($C29="",0,MAX(0,$AR29-$AE29))</f>
        <v/>
      </c>
      <c r="AT29">
        <f>IF($C29="",0,MAX(0,$AS29-$AF29))</f>
        <v/>
      </c>
      <c r="AU29">
        <f>IF($C29="",0,MAX(0,$AT29-$AG29))</f>
        <v/>
      </c>
      <c r="AV29">
        <f>IF($C29="",0,MAX(0,$AU29-$AH29))</f>
        <v/>
      </c>
      <c r="AW29">
        <f>IF($C29="",0,MAX(0,$AV29-$AI29))</f>
        <v/>
      </c>
      <c r="AX29">
        <f>IF($C29="",0,MAX(0,MAX(0,N($L29))+IF($P29=V$3,$R29,0)+IF($S29=V$3,$U29,0)-$V29))</f>
        <v/>
      </c>
      <c r="AY29">
        <f>IF($C29="",0,MAX(0,$AX29+IF($P29=W$3,$R29,0)+IF($S29=W$3,$U29,0)-$W29))</f>
        <v/>
      </c>
      <c r="AZ29">
        <f>IF($C29="",0,MAX(0,$AY29+IF($P29=X$3,$R29,0)+IF($S29=X$3,$U29,0)-$X29))</f>
        <v/>
      </c>
      <c r="BA29">
        <f>IF($C29="",0,MAX(0,$AZ29+IF($P29=Y$3,$R29,0)+IF($S29=Y$3,$U29,0)-$Y29))</f>
        <v/>
      </c>
      <c r="BB29">
        <f>IF($C29="",0,MAX(0,$BA29+IF($P29=Z$3,$R29,0)+IF($S29=Z$3,$U29,0)-$Z29))</f>
        <v/>
      </c>
      <c r="BC29">
        <f>IF($C29="",0,MAX(0,$BB29+IF($P29=AA$3,$R29,0)+IF($S29=AA$3,$U29,0)-$AA29))</f>
        <v/>
      </c>
      <c r="BD29">
        <f>IF($C29="",0,MAX(0,$BC29+IF($P29=AB$3,$R29,0)+IF($S29=AB$3,$U29,0)-$AB29))</f>
        <v/>
      </c>
      <c r="BE29">
        <f>IF($C29="",0,MAX(0,$BD29+IF($P29=AC$3,$R29,0)+IF($S29=AC$3,$U29,0)-$AC29))</f>
        <v/>
      </c>
      <c r="BF29">
        <f>IF($C29="",0,MAX(0,$BE29+IF($P29=AD$3,$R29,0)+IF($S29=AD$3,$U29,0)-$AD29))</f>
        <v/>
      </c>
      <c r="BG29">
        <f>IF($C29="",0,MAX(0,$BF29+IF($P29=AE$3,$R29,0)+IF($S29=AE$3,$U29,0)-$AE29))</f>
        <v/>
      </c>
      <c r="BH29">
        <f>IF($C29="",0,MAX(0,$BG29+IF($P29=AF$3,$R29,0)+IF($S29=AF$3,$U29,0)-$AF29))</f>
        <v/>
      </c>
      <c r="BI29">
        <f>IF($C29="",0,MAX(0,$BH29+IF($P29=AG$3,$R29,0)+IF($S29=AG$3,$U29,0)-$AG29))</f>
        <v/>
      </c>
      <c r="BJ29">
        <f>IF($C29="",0,MAX(0,$BI29+IF($P29=AH$3,$R29,0)+IF($S29=AH$3,$U29,0)-$AH29))</f>
        <v/>
      </c>
      <c r="BK29">
        <f>IF($C29="",0,MAX(0,$BJ29+IF($P29=AI$3,$R29,0)+IF($S29=AI$3,$U29,0)-$AI29))</f>
        <v/>
      </c>
      <c r="BL29">
        <f>IF($C29="",99,IF(AND($AX29&lt;1,V$3&gt;=MAX(N($P29),N($S29))),0,99))</f>
        <v/>
      </c>
      <c r="BM29">
        <f>IF($C29="",99,IF(AND($AY29&lt;1,W$3&gt;=MAX(N($P29),N($S29))),1,99))</f>
        <v/>
      </c>
      <c r="BN29">
        <f>IF($C29="",99,IF(AND($AZ29&lt;1,X$3&gt;=MAX(N($P29),N($S29))),2,99))</f>
        <v/>
      </c>
      <c r="BO29">
        <f>IF($C29="",99,IF(AND($BA29&lt;1,Y$3&gt;=MAX(N($P29),N($S29))),3,99))</f>
        <v/>
      </c>
      <c r="BP29">
        <f>IF($C29="",99,IF(AND($BB29&lt;1,Z$3&gt;=MAX(N($P29),N($S29))),4,99))</f>
        <v/>
      </c>
      <c r="BQ29">
        <f>IF($C29="",99,IF(AND($BC29&lt;1,AA$3&gt;=MAX(N($P29),N($S29))),5,99))</f>
        <v/>
      </c>
      <c r="BR29">
        <f>IF($C29="",99,IF(AND($BD29&lt;1,AB$3&gt;=MAX(N($P29),N($S29))),6,99))</f>
        <v/>
      </c>
      <c r="BS29">
        <f>IF($C29="",99,IF(AND($BE29&lt;1,AC$3&gt;=MAX(N($P29),N($S29))),7,99))</f>
        <v/>
      </c>
      <c r="BT29">
        <f>IF($C29="",99,IF(AND($BF29&lt;1,AD$3&gt;=MAX(N($P29),N($S29))),8,99))</f>
        <v/>
      </c>
      <c r="BU29">
        <f>IF($C29="",99,IF(AND($BG29&lt;1,AE$3&gt;=MAX(N($P29),N($S29))),9,99))</f>
        <v/>
      </c>
      <c r="BV29">
        <f>IF($C29="",99,IF(AND($BH29&lt;1,AF$3&gt;=MAX(N($P29),N($S29))),10,99))</f>
        <v/>
      </c>
      <c r="BW29">
        <f>IF($C29="",99,IF(AND($BI29&lt;1,AG$3&gt;=MAX(N($P29),N($S29))),11,99))</f>
        <v/>
      </c>
      <c r="BX29">
        <f>IF($C29="",99,IF(AND($BJ29&lt;1,AH$3&gt;=MAX(N($P29),N($S29))),12,99))</f>
        <v/>
      </c>
      <c r="BY29">
        <f>IF($C29="",99,IF(AND($BK29&lt;1,AI$3&gt;=MAX(N($P29),N($S29))),13,99))</f>
        <v/>
      </c>
      <c r="BZ29">
        <f>IF(OR($C29="",$M29=""),"",COUNTIF($AJ29:$AW29,"&gt;=1"))</f>
        <v/>
      </c>
      <c r="CA29" s="90">
        <f>IF($BZ29="","",IF($BZ29&gt;=14,"",'設定'!$C$6+$BZ29))</f>
        <v/>
      </c>
      <c r="CB29">
        <f>IF(OR($C29="",$M29=""),"",MIN($BL29:$BY29))</f>
        <v/>
      </c>
      <c r="CC29" s="90">
        <f>IF($CB29="","",IF($CB29&gt;=99,"",'設定'!$C$6+$CB29))</f>
        <v/>
      </c>
      <c r="CD29">
        <f>IF(OR($C29="",$M29=""),"",AVERAGE($V29:$AI29))</f>
        <v/>
      </c>
      <c r="CE29">
        <f>IF($C29="","",IFERROR(IF(MATCH(IF(ISNUMBER($P29),$P29,'設定'!$C$6+N('設定'!$C$7)),$V$3:$AI$3,0)=1,MAX(0,N($L29)),INDEX($AJ29:$AW29,MATCH(IF(ISNUMBER($P29),$P29,'設定'!$C$6+N('設定'!$C$7)),$V$3:$AI$3,0)-1)),""))</f>
        <v/>
      </c>
      <c r="CF29">
        <f>IF(OR($C29="",$O29="",$CE29=""),"",IF($O29-$CE29&lt;=0,0,ROUNDUP(($O29-$CE29)/$G29,0)))</f>
        <v/>
      </c>
      <c r="CG29">
        <f>IF(OR($C29="",$CF29="",NOT(ISNUMBER($Q29))),0,MAX(0,$Q29-$CF29))</f>
        <v/>
      </c>
      <c r="CH29">
        <f>IF(OR($C29="",$O29="",$U29=0),0,IFERROR(ROUNDUP(MAX(0,IF(MATCH($S29,$V$3:$AI$3,0)=1,MAX(0,N($L29)),INDEX($AX29:$BK29,MATCH($S29,$V$3:$AI$3,0)-1))+$U29-$O29)/$G29,0),0))</f>
        <v/>
      </c>
      <c r="CI29">
        <f>IF($C29="","",IF(AND($P29="",$Q29=""),"",IF($P29="","⚠ 入庫日を ▼ から選んでください",IF(NOT(ISNUMBER($P29)),"⚠ 入庫日は ▼ から選んでください",IF($P29&lt;N('設定'!$C$6),"⚠ 入庫日が過去です（もう在庫に入っています）→ 消してください",IF($P29&gt;N('設定'!$C$6)+13,"⚠ 入庫日が14日より先です",IF(N($Q29)&lt;=0,"⚠ 入庫数を入れてください",IF($CG29&gt;0,"⚠ 目安より "&amp;$CG29&amp;" 多い（定数を超える）→ 減らす",""))))))))</f>
        <v/>
      </c>
      <c r="CJ29">
        <f>IF($C29="","",IF(AND($S29="",$T29=""),"",IF($S29="","⚠ 2便目：入庫日を ▼ から選んでください",IF(NOT(ISNUMBER($S29)),"⚠ 2便目：入庫日は ▼ から選んでください",IF($S29&lt;N('設定'!$C$6),"⚠ 2便目：入庫日が過去です（もう在庫に入っています）→ 消してください",IF($S29&gt;N('設定'!$C$6)+13,"⚠ 2便目：入庫日が14日より先です",IF(N($T29)&lt;=0,"⚠ 2便目：入庫数を入れてください",IF($CH29&gt;0,"⚠ 2便目：定数を "&amp;$CH29&amp;" ケース超える → 減らす",""))))))))</f>
        <v/>
      </c>
      <c r="CK29">
        <f>IF(AND($CI29="",N($Q29)&gt;0,ISNUMBER($P29)),1,0)</f>
        <v/>
      </c>
      <c r="CL29">
        <f>IF(AND($CJ29="",N($T29)&gt;0,ISNUMBER($S29)),1,0)</f>
        <v/>
      </c>
      <c r="CM29">
        <f>IF(OR($CK29=1,$CL29=1),1,0)</f>
        <v/>
      </c>
      <c r="CN29">
        <f>IF($C29="",0,($CK29*$R29+$CL29*$U29)*N($H29))</f>
        <v/>
      </c>
      <c r="CO29">
        <f>IF($C29="","",IF($CC29="","入庫後は 14日以上もつ",IF($CC29-N('設定'!$C$7)&lt;='設定'!$C$6,"入庫後も "&amp;TEXT($CC29,"m/d")&amp;"("&amp;CHOOSE(WEEKDAY($CC29),"日","月","火","水","木","金","土")&amp;")"&amp;" に切れる　もう1便を至急発注","入庫後も "&amp;TEXT($CC29,"m/d")&amp;"("&amp;CHOOSE(WEEKDAY($CC29),"日","月","火","水","木","金","土")&amp;")"&amp;" に切れる　"&amp;TEXT($CC29-N('設定'!$C$7),"m/d")&amp;"("&amp;CHOOSE(WEEKDAY($CC29-N('設定'!$C$7)),"日","月","火","水","木","金","土")&amp;")"&amp;" までに次を発注")))</f>
        <v/>
      </c>
      <c r="CP29">
        <f>IF($C29="","",IF('設定'!$C$6="","？ ①在庫を貼る に今日のCSVが貼られていない",IF($CS29=1,"－ 今日のCSVに無い（終売？）",IF($L29&lt;0,"● 在庫がマイナス　数えて「数えた在庫」に入れる",IF($L29=0,"● 在庫なし　至急発注",IF($M29="","？ 減り数が未設定（商品マスタ）",IF($B$3=0,"？ 動員が未入力（動員を入れる）",IF($CA29="","○ 14日以上もつ",IF($BZ29&lt;N('設定'!$C$7),"● "&amp;TEXT($CA29,"m/d")&amp;"("&amp;CHOOSE(WEEKDAY($CA29),"日","月","火","水","木","金","土")&amp;")"&amp;" に切れる　至急発注",IF($BZ29=N('設定'!$C$7),"● "&amp;TEXT($CA29,"m/d")&amp;"("&amp;CHOOSE(WEEKDAY($CA29),"日","月","火","水","木","金","土")&amp;")"&amp;" に切れる　今日発注","△ "&amp;TEXT($CA29,"m/d")&amp;"("&amp;CHOOSE(WEEKDAY($CA29),"日","月","火","水","木","金","土")&amp;")"&amp;" に切れる　"&amp;TEXT($CA29-N('設定'!$C$7),"m/d")&amp;"("&amp;CHOOSE(WEEKDAY($CA29-N('設定'!$C$7)),"日","月","火","水","木","金","土")&amp;")"&amp;" までに発注"))))))))))</f>
        <v/>
      </c>
      <c r="CQ29">
        <f>IF($C29="","",IF(AND($P29="",$Q29="",$S29="",$T29=""),"",IF(AND($P29="",$Q29=""),"⚠ 先に1便目（左の入庫日・入庫数）に入れてください",IF($CI29&lt;&gt;"",$CI29,IF($CJ29&lt;&gt;"",$CJ29,IF($M29="","？ 減り数が未設定（発注書には載ります）",IF($B$3=0,"？ 動員が未入力（発注書には載ります）",IF(AND($CA29&lt;&gt;"",$P29&gt;$CA29),IF($P29&gt;'設定'!$C$6+N('設定'!$C$7),"● "&amp;TEXT($P29,"m/d")&amp;"("&amp;CHOOSE(WEEKDAY($P29),"日","月","火","水","木","金","土")&amp;")"&amp;" の入庫では間に合わない（"&amp;TEXT($CA29,"m/d")&amp;"("&amp;CHOOSE(WEEKDAY($CA29),"日","月","火","水","木","金","土")&amp;")"&amp;" に切れる）　入庫日を早める","△ 欠品 "&amp;TEXT($CA29,"m/d")&amp;"("&amp;CHOOSE(WEEKDAY($CA29),"日","月","火","水","木","金","土")&amp;")"&amp;"〜"&amp;TEXT($P29-1,"m/d")&amp;"("&amp;CHOOSE(WEEKDAY($P29-1),"日","月","火","水","木","金","土")&amp;")"&amp;"　"&amp;$CO29),IF($CC29="","○ "&amp;TEXT($P29,"m/d")&amp;"("&amp;CHOOSE(WEEKDAY($P29),"日","月","火","水","木","金","土")&amp;")"&amp;" 入庫で 14日以上もつ",IF($CC29-N('設定'!$C$7)&lt;='設定'!$C$6,"● 入庫しても "&amp;TEXT($CC29,"m/d")&amp;"("&amp;CHOOSE(WEEKDAY($CC29),"日","月","火","水","木","金","土")&amp;")"&amp;" に切れる　もう1便を至急発注（2便目に入れる）","△ 入庫しても "&amp;TEXT($CC29,"m/d")&amp;"("&amp;CHOOSE(WEEKDAY($CC29),"日","月","火","水","木","金","土")&amp;")"&amp;" に切れる　"&amp;TEXT($CC29-N('設定'!$C$7),"m/d")&amp;"("&amp;CHOOSE(WEEKDAY($CC29-N('設定'!$C$7)),"日","月","火","水","木","金","土")&amp;")"&amp;" までに次を発注（2便目に入れる）"))))))))))</f>
        <v/>
      </c>
      <c r="CR29">
        <f>IF($C29="","",IF($G29&gt;1,"ｹｰｽ("&amp;$G29&amp;"入)","個"))</f>
        <v/>
      </c>
      <c r="CS29">
        <f>IF($C29="",0,IF(COUNTIFS('①在庫を貼る'!$V$6:$V$10005,'設定'!$C$4,'①在庫を貼る'!$W$6:$W$10005,$C29)=0,1,0))</f>
        <v/>
      </c>
      <c r="CT29">
        <f>IF(AND($CK29=1,OR('③発注書'!$C$4="すべて",'③発注書'!$C$4="",$F29='③発注書'!$C$4)),N($CT28)+1,N($CT28))</f>
        <v/>
      </c>
      <c r="CU29">
        <f>IF(AND($CL29=1,OR('③発注書'!$C$4="すべて",'③発注書'!$C$4="",$F29='③発注書'!$C$4)),N($CU28)+1,N($CU28))</f>
        <v/>
      </c>
      <c r="CV29">
        <f>IF($C29="",0,IF(COUNTIFS('①在庫を貼る'!$V$6:$V$10005,'設定'!$C$4,'①在庫を貼る'!$W$6:$W$10005,$C29)&gt;0,1,0))</f>
        <v/>
      </c>
      <c r="CW29">
        <f>IF($C29="",0,IF(COUNTIFS('月1回_1ヶ月前の在庫'!$V$6:$V$10005,'設定'!$C$4,'月1回_1ヶ月前の在庫'!$W$6:$W$10005,$C29)&gt;0,1,0))</f>
        <v/>
      </c>
      <c r="CX29">
        <f>IF($C29="",0,IF(COUNTIFS('月1回_2ヶ月前の在庫'!$V$6:$V$10005,'設定'!$C$4,'月1回_2ヶ月前の在庫'!$W$6:$W$10005,$C29)&gt;0,1,0))</f>
        <v/>
      </c>
      <c r="CY29">
        <f>IF(OR($C29="",'設定'!$C$12=""),"",IF('設定'!$C$13="",IF(AND($CV29=1,$CW29=0),"新商品（今月から）",IF(AND($CV29=0,$CW29=1),"終売（今月から）","")),IF(AND($CV29=1,$CW29=0,$CX29=0),"新商品（今月から）",IF(AND($CV29=1,$CW29=1,$CX29=0),"新商品（先月から）",IF(AND($CV29=0,$CW29=1,$CX29=1),"終売（今月から）",IF(AND($CV29=0,$CW29=0,$CX29=1),"終売（先月から）",IF(AND($CV29=1,$CW29=0,$CX29=1),"復活（先月は無し）","")))))))</f>
        <v/>
      </c>
    </row>
    <row r="30">
      <c r="B30">
        <f>IF(25&lt;='設定'!$C$11,25,"")</f>
        <v/>
      </c>
      <c r="C30">
        <f>IF($B30="","",IF($B30&lt;='設定'!$C$20,INDEX('商品マスタ'!$B$6:$B$1005,MATCH($B30,'商品マスタ'!$M$6:$M$1005,0)),IF($B30&lt;='設定'!$C$20+'設定'!$C$17,INDEX('①在庫を貼る'!$W$6:$W$10005,MATCH($B30-'設定'!$C$20,'①在庫を貼る'!$U$6:$U$10005,0)),IF($B30&lt;='設定'!$C$20+'設定'!$C$17+'設定'!$C$18,INDEX('月1回_1ヶ月前の在庫'!$W$6:$W$10005,MATCH($B30-'設定'!$C$20-'設定'!$C$17,'月1回_1ヶ月前の在庫'!$U$6:$U$10005,0)),INDEX('月1回_2ヶ月前の在庫'!$W$6:$W$10005,MATCH($B30-'設定'!$C$20-'設定'!$C$17-'設定'!$C$18,'月1回_2ヶ月前の在庫'!$U$6:$U$10005,0))))))</f>
        <v/>
      </c>
      <c r="D30">
        <f>IF($C30="","",IFERROR(IF(INDEX('商品マスタ'!$C$6:$C$1005,MATCH($C30,'商品マスタ'!$B$6:$B$1005,0))="",IFERROR(INDEX('①在庫を貼る'!$J$6:$J$10005,MATCH($C30,'①在庫を貼る'!$W$6:$W$10005,0)),IFERROR(INDEX('月1回_1ヶ月前の在庫'!$J$6:$J$10005,MATCH($C30,'月1回_1ヶ月前の在庫'!$W$6:$W$10005,0)),IFERROR(INDEX('月1回_2ヶ月前の在庫'!$J$6:$J$10005,MATCH($C30,'月1回_2ヶ月前の在庫'!$W$6:$W$10005,0)),""))),INDEX('商品マスタ'!$C$6:$C$1005,MATCH($C30,'商品マスタ'!$B$6:$B$1005,0))),IFERROR(INDEX('①在庫を貼る'!$J$6:$J$10005,MATCH($C30,'①在庫を貼る'!$W$6:$W$10005,0)),IFERROR(INDEX('月1回_1ヶ月前の在庫'!$J$6:$J$10005,MATCH($C30,'月1回_1ヶ月前の在庫'!$W$6:$W$10005,0)),IFERROR(INDEX('月1回_2ヶ月前の在庫'!$J$6:$J$10005,MATCH($C30,'月1回_2ヶ月前の在庫'!$W$6:$W$10005,0)),"")))))</f>
        <v/>
      </c>
      <c r="E30">
        <f>IF($C30="","",IFERROR(IF(INDEX('商品マスタ'!$D$6:$D$1005,MATCH($C30,'商品マスタ'!$B$6:$B$1005,0))="",IFERROR(INDEX('①在庫を貼る'!$H$6:$H$10005,MATCH($C30,'①在庫を貼る'!$W$6:$W$10005,0)),IFERROR(INDEX('月1回_1ヶ月前の在庫'!$H$6:$H$10005,MATCH($C30,'月1回_1ヶ月前の在庫'!$W$6:$W$10005,0)),IFERROR(INDEX('月1回_2ヶ月前の在庫'!$H$6:$H$10005,MATCH($C30,'月1回_2ヶ月前の在庫'!$W$6:$W$10005,0)),""))),INDEX('商品マスタ'!$D$6:$D$1005,MATCH($C30,'商品マスタ'!$B$6:$B$1005,0))),IFERROR(INDEX('①在庫を貼る'!$H$6:$H$10005,MATCH($C30,'①在庫を貼る'!$W$6:$W$10005,0)),IFERROR(INDEX('月1回_1ヶ月前の在庫'!$H$6:$H$10005,MATCH($C30,'月1回_1ヶ月前の在庫'!$W$6:$W$10005,0)),IFERROR(INDEX('月1回_2ヶ月前の在庫'!$H$6:$H$10005,MATCH($C30,'月1回_2ヶ月前の在庫'!$W$6:$W$10005,0)),"")))))</f>
        <v/>
      </c>
      <c r="F30">
        <f>IF($C30="","",IFERROR(IF(INDEX('商品マスタ'!$E$6:$E$1005,MATCH($C30,'商品マスタ'!$B$6:$B$1005,0))="",IFERROR(INDEX('①在庫を貼る'!$E$6:$E$10005,MATCH($C30,'①在庫を貼る'!$W$6:$W$10005,0)),IFERROR(INDEX('月1回_1ヶ月前の在庫'!$E$6:$E$10005,MATCH($C30,'月1回_1ヶ月前の在庫'!$W$6:$W$10005,0)),IFERROR(INDEX('月1回_2ヶ月前の在庫'!$E$6:$E$10005,MATCH($C30,'月1回_2ヶ月前の在庫'!$W$6:$W$10005,0)),""))),INDEX('商品マスタ'!$E$6:$E$1005,MATCH($C30,'商品マスタ'!$B$6:$B$1005,0))),IFERROR(INDEX('①在庫を貼る'!$E$6:$E$10005,MATCH($C30,'①在庫を貼る'!$W$6:$W$10005,0)),IFERROR(INDEX('月1回_1ヶ月前の在庫'!$E$6:$E$10005,MATCH($C30,'月1回_1ヶ月前の在庫'!$W$6:$W$10005,0)),IFERROR(INDEX('月1回_2ヶ月前の在庫'!$E$6:$E$10005,MATCH($C30,'月1回_2ヶ月前の在庫'!$W$6:$W$10005,0)),"")))))</f>
        <v/>
      </c>
      <c r="G30">
        <f>IF($C30="","",MAX(1,N(IFERROR(IF(INDEX('商品マスタ'!$F$6:$F$1005,MATCH($C30,'商品マスタ'!$B$6:$B$1005,0))="",IF(COUNTIFS('①在庫を貼る'!$V$6:$V$10005,'設定'!$C$4,'①在庫を貼る'!$W$6:$W$10005,$C30)&gt;0,SUMIFS('①在庫を貼る'!$K$6:$K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K$6:$K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K$6:$K$10005,'月1回_2ヶ月前の在庫'!$V$6:$V$10005,'設定'!$C$4,'月1回_2ヶ月前の在庫'!$W$6:$W$10005,$C30)/COUNTIFS('月1回_2ヶ月前の在庫'!$V$6:$V$10005,'設定'!$C$4,'月1回_2ヶ月前の在庫'!$W$6:$W$10005,$C30),0))),INDEX('商品マスタ'!$F$6:$F$1005,MATCH($C30,'商品マスタ'!$B$6:$B$1005,0))),IF(COUNTIFS('①在庫を貼る'!$V$6:$V$10005,'設定'!$C$4,'①在庫を貼る'!$W$6:$W$10005,$C30)&gt;0,SUMIFS('①在庫を貼る'!$K$6:$K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K$6:$K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K$6:$K$10005,'月1回_2ヶ月前の在庫'!$V$6:$V$10005,'設定'!$C$4,'月1回_2ヶ月前の在庫'!$W$6:$W$10005,$C30)/COUNTIFS('月1回_2ヶ月前の在庫'!$V$6:$V$10005,'設定'!$C$4,'月1回_2ヶ月前の在庫'!$W$6:$W$10005,$C30),0)))))))</f>
        <v/>
      </c>
      <c r="H30">
        <f>IF($C30="","",N(IFERROR(IF(INDEX('商品マスタ'!$G$6:$G$1005,MATCH($C30,'商品マスタ'!$B$6:$B$1005,0))="",IF(COUNTIFS('①在庫を貼る'!$V$6:$V$10005,'設定'!$C$4,'①在庫を貼る'!$W$6:$W$10005,$C30)&gt;0,SUMIFS('①在庫を貼る'!$Q$6:$Q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Q$6:$Q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Q$6:$Q$10005,'月1回_2ヶ月前の在庫'!$V$6:$V$10005,'設定'!$C$4,'月1回_2ヶ月前の在庫'!$W$6:$W$10005,$C30)/COUNTIFS('月1回_2ヶ月前の在庫'!$V$6:$V$10005,'設定'!$C$4,'月1回_2ヶ月前の在庫'!$W$6:$W$10005,$C30),0))),INDEX('商品マスタ'!$G$6:$G$1005,MATCH($C30,'商品マスタ'!$B$6:$B$1005,0))),IF(COUNTIFS('①在庫を貼る'!$V$6:$V$10005,'設定'!$C$4,'①在庫を貼る'!$W$6:$W$10005,$C30)&gt;0,SUMIFS('①在庫を貼る'!$Q$6:$Q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Q$6:$Q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Q$6:$Q$10005,'月1回_2ヶ月前の在庫'!$V$6:$V$10005,'設定'!$C$4,'月1回_2ヶ月前の在庫'!$W$6:$W$10005,$C30)/COUNTIFS('月1回_2ヶ月前の在庫'!$V$6:$V$10005,'設定'!$C$4,'月1回_2ヶ月前の在庫'!$W$6:$W$10005,$C30),0))))))</f>
        <v/>
      </c>
      <c r="I30">
        <f>IF($C30="","",IF(COUNTIFS('①在庫を貼る'!$V$6:$V$10005,'設定'!$C$4,'①在庫を貼る'!$W$6:$W$10005,$C30)=0,"",SUMIFS('①在庫を貼る'!$N$6:$N$10005,'①在庫を貼る'!$V$6:$V$10005,'設定'!$C$4,'①在庫を貼る'!$W$6:$W$10005,$C30)))</f>
        <v/>
      </c>
      <c r="J30">
        <f>IF($C30="","",IF('②発注する'!$AD34="","",'②発注する'!$AD34))</f>
        <v/>
      </c>
      <c r="K30" s="90">
        <f>IF($C30="","",IF('②発注する'!$AE34="","",'②発注する'!$AE34))</f>
        <v/>
      </c>
      <c r="L30">
        <f>IF($C30="","",IF(AND(ISNUMBER($J30),ISNUMBER($K30),$K30&gt;='設定'!$C$6),$J30,N($I30)))</f>
        <v/>
      </c>
      <c r="M30">
        <f>IF($C30="","",IFERROR(IF(N(INDEX('商品マスタ'!$J$6:$J$1005,MATCH($C30,'商品マスタ'!$B$6:$B$1005,0)))&gt;0,INDEX('商品マスタ'!$J$6:$J$1005,MATCH($C30,'商品マスタ'!$B$6:$B$1005,0)),""),""))</f>
        <v/>
      </c>
      <c r="N30">
        <f>IF($C30="","",IFERROR(IF(N(INDEX('商品マスタ'!$H$6:$H$1005,MATCH($C30,'商品マスタ'!$B$6:$B$1005,0)))&gt;0,INDEX('商品マスタ'!$H$6:$H$1005,MATCH($C30,'商品マスタ'!$B$6:$B$1005,0)),""),""))</f>
        <v/>
      </c>
      <c r="O30">
        <f>IF($C30="","",IF($N30&lt;&gt;"",$N30*$G30,IF(N(IF(COUNTIFS('①在庫を貼る'!$V$6:$V$10005,'設定'!$C$4,'①在庫を貼る'!$W$6:$W$10005,$C30)&gt;0,SUMIFS('①在庫を貼る'!$O$6:$O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O$6:$O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O$6:$O$10005,'月1回_2ヶ月前の在庫'!$V$6:$V$10005,'設定'!$C$4,'月1回_2ヶ月前の在庫'!$W$6:$W$10005,$C30)/COUNTIFS('月1回_2ヶ月前の在庫'!$V$6:$V$10005,'設定'!$C$4,'月1回_2ヶ月前の在庫'!$W$6:$W$10005,$C30),0))))&gt;0,N(IF(COUNTIFS('①在庫を貼る'!$V$6:$V$10005,'設定'!$C$4,'①在庫を貼る'!$W$6:$W$10005,$C30)&gt;0,SUMIFS('①在庫を貼る'!$O$6:$O$10005,'①在庫を貼る'!$V$6:$V$10005,'設定'!$C$4,'①在庫を貼る'!$W$6:$W$10005,$C30)/COUNTIFS('①在庫を貼る'!$V$6:$V$10005,'設定'!$C$4,'①在庫を貼る'!$W$6:$W$10005,$C30),IF(COUNTIFS('月1回_1ヶ月前の在庫'!$V$6:$V$10005,'設定'!$C$4,'月1回_1ヶ月前の在庫'!$W$6:$W$10005,$C30)&gt;0,SUMIFS('月1回_1ヶ月前の在庫'!$O$6:$O$10005,'月1回_1ヶ月前の在庫'!$V$6:$V$10005,'設定'!$C$4,'月1回_1ヶ月前の在庫'!$W$6:$W$10005,$C30)/COUNTIFS('月1回_1ヶ月前の在庫'!$V$6:$V$10005,'設定'!$C$4,'月1回_1ヶ月前の在庫'!$W$6:$W$10005,$C30),IF(COUNTIFS('月1回_2ヶ月前の在庫'!$V$6:$V$10005,'設定'!$C$4,'月1回_2ヶ月前の在庫'!$W$6:$W$10005,$C30)&gt;0,SUMIFS('月1回_2ヶ月前の在庫'!$O$6:$O$10005,'月1回_2ヶ月前の在庫'!$V$6:$V$10005,'設定'!$C$4,'月1回_2ヶ月前の在庫'!$W$6:$W$10005,$C30)/COUNTIFS('月1回_2ヶ月前の在庫'!$V$6:$V$10005,'設定'!$C$4,'月1回_2ヶ月前の在庫'!$W$6:$W$10005,$C30),0)))),"")))</f>
        <v/>
      </c>
      <c r="P30" s="90">
        <f>IF($C30="","",IF('②発注する'!$I34="","",'②発注する'!$I34))</f>
        <v/>
      </c>
      <c r="Q30">
        <f>IF($C30="","",IF('②発注する'!$J34="","",'②発注する'!$J34))</f>
        <v/>
      </c>
      <c r="R30">
        <f>IF($C30="",0,IF(AND(ISNUMBER($P30),ISNUMBER($Q30)),MAX(0,$Q30)*$G30,0))</f>
        <v/>
      </c>
      <c r="S30" s="90">
        <f>IF($C30="","",IF('②発注する'!$M34="","",'②発注する'!$M34))</f>
        <v/>
      </c>
      <c r="T30">
        <f>IF($C30="","",IF('②発注する'!$N34="","",'②発注する'!$N34))</f>
        <v/>
      </c>
      <c r="U30">
        <f>IF($C30="",0,IF(AND(ISNUMBER($S30),ISNUMBER($T30)),MAX(0,$T30)*$G30,0))</f>
        <v/>
      </c>
      <c r="V30">
        <f>IF($C30="",0,IF($M30="",0,MAX(0,$M30)*MAX(0,V$4)/100))</f>
        <v/>
      </c>
      <c r="W30">
        <f>IF($C30="",0,IF($M30="",0,MAX(0,$M30)*MAX(0,W$4)/100))</f>
        <v/>
      </c>
      <c r="X30">
        <f>IF($C30="",0,IF($M30="",0,MAX(0,$M30)*MAX(0,X$4)/100))</f>
        <v/>
      </c>
      <c r="Y30">
        <f>IF($C30="",0,IF($M30="",0,MAX(0,$M30)*MAX(0,Y$4)/100))</f>
        <v/>
      </c>
      <c r="Z30">
        <f>IF($C30="",0,IF($M30="",0,MAX(0,$M30)*MAX(0,Z$4)/100))</f>
        <v/>
      </c>
      <c r="AA30">
        <f>IF($C30="",0,IF($M30="",0,MAX(0,$M30)*MAX(0,AA$4)/100))</f>
        <v/>
      </c>
      <c r="AB30">
        <f>IF($C30="",0,IF($M30="",0,MAX(0,$M30)*MAX(0,AB$4)/100))</f>
        <v/>
      </c>
      <c r="AC30">
        <f>IF($C30="",0,IF($M30="",0,MAX(0,$M30)*MAX(0,AC$4)/100))</f>
        <v/>
      </c>
      <c r="AD30">
        <f>IF($C30="",0,IF($M30="",0,MAX(0,$M30)*MAX(0,AD$4)/100))</f>
        <v/>
      </c>
      <c r="AE30">
        <f>IF($C30="",0,IF($M30="",0,MAX(0,$M30)*MAX(0,AE$4)/100))</f>
        <v/>
      </c>
      <c r="AF30">
        <f>IF($C30="",0,IF($M30="",0,MAX(0,$M30)*MAX(0,AF$4)/100))</f>
        <v/>
      </c>
      <c r="AG30">
        <f>IF($C30="",0,IF($M30="",0,MAX(0,$M30)*MAX(0,AG$4)/100))</f>
        <v/>
      </c>
      <c r="AH30">
        <f>IF($C30="",0,IF($M30="",0,MAX(0,$M30)*MAX(0,AH$4)/100))</f>
        <v/>
      </c>
      <c r="AI30">
        <f>IF($C30="",0,IF($M30="",0,MAX(0,$M30)*MAX(0,AI$4)/100))</f>
        <v/>
      </c>
      <c r="AJ30">
        <f>IF($C30="",0,MAX(0,MAX(0,N($L30))-$V30))</f>
        <v/>
      </c>
      <c r="AK30">
        <f>IF($C30="",0,MAX(0,$AJ30-$W30))</f>
        <v/>
      </c>
      <c r="AL30">
        <f>IF($C30="",0,MAX(0,$AK30-$X30))</f>
        <v/>
      </c>
      <c r="AM30">
        <f>IF($C30="",0,MAX(0,$AL30-$Y30))</f>
        <v/>
      </c>
      <c r="AN30">
        <f>IF($C30="",0,MAX(0,$AM30-$Z30))</f>
        <v/>
      </c>
      <c r="AO30">
        <f>IF($C30="",0,MAX(0,$AN30-$AA30))</f>
        <v/>
      </c>
      <c r="AP30">
        <f>IF($C30="",0,MAX(0,$AO30-$AB30))</f>
        <v/>
      </c>
      <c r="AQ30">
        <f>IF($C30="",0,MAX(0,$AP30-$AC30))</f>
        <v/>
      </c>
      <c r="AR30">
        <f>IF($C30="",0,MAX(0,$AQ30-$AD30))</f>
        <v/>
      </c>
      <c r="AS30">
        <f>IF($C30="",0,MAX(0,$AR30-$AE30))</f>
        <v/>
      </c>
      <c r="AT30">
        <f>IF($C30="",0,MAX(0,$AS30-$AF30))</f>
        <v/>
      </c>
      <c r="AU30">
        <f>IF($C30="",0,MAX(0,$AT30-$AG30))</f>
        <v/>
      </c>
      <c r="AV30">
        <f>IF($C30="",0,MAX(0,$AU30-$AH30))</f>
        <v/>
      </c>
      <c r="AW30">
        <f>IF($C30="",0,MAX(0,$AV30-$AI30))</f>
        <v/>
      </c>
      <c r="AX30">
        <f>IF($C30="",0,MAX(0,MAX(0,N($L30))+IF($P30=V$3,$R30,0)+IF($S30=V$3,$U30,0)-$V30))</f>
        <v/>
      </c>
      <c r="AY30">
        <f>IF($C30="",0,MAX(0,$AX30+IF($P30=W$3,$R30,0)+IF($S30=W$3,$U30,0)-$W30))</f>
        <v/>
      </c>
      <c r="AZ30">
        <f>IF($C30="",0,MAX(0,$AY30+IF($P30=X$3,$R30,0)+IF($S30=X$3,$U30,0)-$X30))</f>
        <v/>
      </c>
      <c r="BA30">
        <f>IF($C30="",0,MAX(0,$AZ30+IF($P30=Y$3,$R30,0)+IF($S30=Y$3,$U30,0)-$Y30))</f>
        <v/>
      </c>
      <c r="BB30">
        <f>IF($C30="",0,MAX(0,$BA30+IF($P30=Z$3,$R30,0)+IF($S30=Z$3,$U30,0)-$Z30))</f>
        <v/>
      </c>
      <c r="BC30">
        <f>IF($C30="",0,MAX(0,$BB30+IF($P30=AA$3,$R30,0)+IF($S30=AA$3,$U30,0)-$AA30))</f>
        <v/>
      </c>
      <c r="BD30">
        <f>IF($C30="",0,MAX(0,$BC30+IF($P30=AB$3,$R30,0)+IF($S30=AB$3,$U30,0)-$AB30))</f>
        <v/>
      </c>
      <c r="BE30">
        <f>IF($C30="",0,MAX(0,$BD30+IF($P30=AC$3,$R30,0)+IF($S30=AC$3,$U30,0)-$AC30))</f>
        <v/>
      </c>
      <c r="BF30">
        <f>IF($C30="",0,MAX(0,$BE30+IF($P30=AD$3,$R30,0)+IF($S30=AD$3,$U30,0)-$AD30))</f>
        <v/>
      </c>
      <c r="BG30">
        <f>IF($C30="",0,MAX(0,$BF30+IF($P30=AE$3,$R30,0)+IF($S30=AE$3,$U30,0)-$AE30))</f>
        <v/>
      </c>
      <c r="BH30">
        <f>IF($C30="",0,MAX(0,$BG30+IF($P30=AF$3,$R30,0)+IF($S30=AF$3,$U30,0)-$AF30))</f>
        <v/>
      </c>
      <c r="BI30">
        <f>IF($C30="",0,MAX(0,$BH30+IF($P30=AG$3,$R30,0)+IF($S30=AG$3,$U30,0)-$AG30))</f>
        <v/>
      </c>
      <c r="BJ30">
        <f>IF($C30="",0,MAX(0,$BI30+IF($P30=AH$3,$R30,0)+IF($S30=AH$3,$U30,0)-$AH30))</f>
        <v/>
      </c>
      <c r="BK30">
        <f>IF($C30="",0,MAX(0,$BJ30+IF($P30=AI$3,$R30,0)+IF($S30=AI$3,$U30,0)-$AI30))</f>
        <v/>
      </c>
      <c r="BL30">
        <f>IF($C30="",99,IF(AND($AX30&lt;1,V$3&gt;=MAX(N($P30),N($S30))),0,99))</f>
        <v/>
      </c>
      <c r="BM30">
        <f>IF($C30="",99,IF(AND($AY30&lt;1,W$3&gt;=MAX(N($P30),N($S30))),1,99))</f>
        <v/>
      </c>
      <c r="BN30">
        <f>IF($C30="",99,IF(AND($AZ30&lt;1,X$3&gt;=MAX(N($P30),N($S30))),2,99))</f>
        <v/>
      </c>
      <c r="BO30">
        <f>IF($C30="",99,IF(AND($BA30&lt;1,Y$3&gt;=MAX(N($P30),N($S30))),3,99))</f>
        <v/>
      </c>
      <c r="BP30">
        <f>IF($C30="",99,IF(AND($BB30&lt;1,Z$3&gt;=MAX(N($P30),N($S30))),4,99))</f>
        <v/>
      </c>
      <c r="BQ30">
        <f>IF($C30="",99,IF(AND($BC30&lt;1,AA$3&gt;=MAX(N($P30),N($S30))),5,99))</f>
        <v/>
      </c>
      <c r="BR30">
        <f>IF($C30="",99,IF(AND($BD30&lt;1,AB$3&gt;=MAX(N($P30),N($S30))),6,99))</f>
        <v/>
      </c>
      <c r="BS30">
        <f>IF($C30="",99,IF(AND($BE30&lt;1,AC$3&gt;=MAX(N($P30),N($S30))),7,99))</f>
        <v/>
      </c>
      <c r="BT30">
        <f>IF($C30="",99,IF(AND($BF30&lt;1,AD$3&gt;=MAX(N($P30),N($S30))),8,99))</f>
        <v/>
      </c>
      <c r="BU30">
        <f>IF($C30="",99,IF(AND($BG30&lt;1,AE$3&gt;=MAX(N($P30),N($S30))),9,99))</f>
        <v/>
      </c>
      <c r="BV30">
        <f>IF($C30="",99,IF(AND($BH30&lt;1,AF$3&gt;=MAX(N($P30),N($S30))),10,99))</f>
        <v/>
      </c>
      <c r="BW30">
        <f>IF($C30="",99,IF(AND($BI30&lt;1,AG$3&gt;=MAX(N($P30),N($S30))),11,99))</f>
        <v/>
      </c>
      <c r="BX30">
        <f>IF($C30="",99,IF(AND($BJ30&lt;1,AH$3&gt;=MAX(N($P30),N($S30))),12,99))</f>
        <v/>
      </c>
      <c r="BY30">
        <f>IF($C30="",99,IF(AND($BK30&lt;1,AI$3&gt;=MAX(N($P30),N($S30))),13,99))</f>
        <v/>
      </c>
      <c r="BZ30">
        <f>IF(OR($C30="",$M30=""),"",COUNTIF($AJ30:$AW30,"&gt;=1"))</f>
        <v/>
      </c>
      <c r="CA30" s="90">
        <f>IF($BZ30="","",IF($BZ30&gt;=14,"",'設定'!$C$6+$BZ30))</f>
        <v/>
      </c>
      <c r="CB30">
        <f>IF(OR($C30="",$M30=""),"",MIN($BL30:$BY30))</f>
        <v/>
      </c>
      <c r="CC30" s="90">
        <f>IF($CB30="","",IF($CB30&gt;=99,"",'設定'!$C$6+$CB30))</f>
        <v/>
      </c>
      <c r="CD30">
        <f>IF(OR($C30="",$M30=""),"",AVERAGE($V30:$AI30))</f>
        <v/>
      </c>
      <c r="CE30">
        <f>IF($C30="","",IFERROR(IF(MATCH(IF(ISNUMBER($P30),$P30,'設定'!$C$6+N('設定'!$C$7)),$V$3:$AI$3,0)=1,MAX(0,N($L30)),INDEX($AJ30:$AW30,MATCH(IF(ISNUMBER($P30),$P30,'設定'!$C$6+N('設定'!$C$7)),$V$3:$AI$3,0)-1)),""))</f>
        <v/>
      </c>
      <c r="CF30">
        <f>IF(OR($C30="",$O30="",$CE30=""),"",IF($O30-$CE30&lt;=0,0,ROUNDUP(($O30-$CE30)/$G30,0)))</f>
        <v/>
      </c>
      <c r="CG30">
        <f>IF(OR($C30="",$CF30="",NOT(ISNUMBER($Q30))),0,MAX(0,$Q30-$CF30))</f>
        <v/>
      </c>
      <c r="CH30">
        <f>IF(OR($C30="",$O30="",$U30=0),0,IFERROR(ROUNDUP(MAX(0,IF(MATCH($S30,$V$3:$AI$3,0)=1,MAX(0,N($L30)),INDEX($AX30:$BK30,MATCH($S30,$V$3:$AI$3,0)-1))+$U30-$O30)/$G30,0),0))</f>
        <v/>
      </c>
      <c r="CI30">
        <f>IF($C30="","",IF(AND($P30="",$Q30=""),"",IF($P30="","⚠ 入庫日を ▼ から選んでください",IF(NOT(ISNUMBER($P30)),"⚠ 入庫日は ▼ から選んでください",IF($P30&lt;N('設定'!$C$6),"⚠ 入庫日が過去です（もう在庫に入っています）→ 消してください",IF($P30&gt;N('設定'!$C$6)+13,"⚠ 入庫日が14日より先です",IF(N($Q30)&lt;=0,"⚠ 入庫数を入れてください",IF($CG30&gt;0,"⚠ 目安より "&amp;$CG30&amp;" 多い（定数を超える）→ 減らす",""))))))))</f>
        <v/>
      </c>
      <c r="CJ30">
        <f>IF($C30="","",IF(AND($S30="",$T30=""),"",IF($S30="","⚠ 2便目：入庫日を ▼ から選んでください",IF(NOT(ISNUMBER($S30)),"⚠ 2便目：入庫日は ▼ から選んでください",IF($S30&lt;N('設定'!$C$6),"⚠ 2便目：入庫日が過去です（もう在庫に入っています）→ 消してください",IF($S30&gt;N('設定'!$C$6)+13,"⚠ 2便目：入庫日が14日より先です",IF(N($T30)&lt;=0,"⚠ 2便目：入庫数を入れてください",IF($CH30&gt;0,"⚠ 2便目：定数を "&amp;$CH30&amp;" ケース超える → 減らす",""))))))))</f>
        <v/>
      </c>
      <c r="CK30">
        <f>IF(AND($CI30="",N($Q30)&gt;0,ISNUMBER($P30)),1,0)</f>
        <v/>
      </c>
      <c r="CL30">
        <f>IF(AND($CJ30="",N($T30)&gt;0,ISNUMBER($S30)),1,0)</f>
        <v/>
      </c>
      <c r="CM30">
        <f>IF(OR($CK30=1,$CL30=1),1,0)</f>
        <v/>
      </c>
      <c r="CN30">
        <f>IF($C30="",0,($CK30*$R30+$CL30*$U30)*N($H30))</f>
        <v/>
      </c>
      <c r="CO30">
        <f>IF($C30="","",IF($CC30="","入庫後は 14日以上もつ",IF($CC30-N('設定'!$C$7)&lt;='設定'!$C$6,"入庫後も "&amp;TEXT($CC30,"m/d")&amp;"("&amp;CHOOSE(WEEKDAY($CC30),"日","月","火","水","木","金","土")&amp;")"&amp;" に切れる　もう1便を至急発注","入庫後も "&amp;TEXT($CC30,"m/d")&amp;"("&amp;CHOOSE(WEEKDAY($CC30),"日","月","火","水","木","金","土")&amp;")"&amp;" に切れる　"&amp;TEXT($CC30-N('設定'!$C$7),"m/d")&amp;"("&amp;CHOOSE(WEEKDAY($CC30-N('設定'!$C$7)),"日","月","火","水","木","金","土")&amp;")"&amp;" までに次を発注")))</f>
        <v/>
      </c>
      <c r="CP30">
        <f>IF($C30="","",IF('設定'!$C$6="","？ ①在庫を貼る に今日のCSVが貼られていない",IF($CS30=1,"－ 今日のCSVに無い（終売？）",IF($L30&lt;0,"● 在庫がマイナス　数えて「数えた在庫」に入れる",IF($L30=0,"● 在庫なし　至急発注",IF($M30="","？ 減り数が未設定（商品マスタ）",IF($B$3=0,"？ 動員が未入力（動員を入れる）",IF($CA30="","○ 14日以上もつ",IF($BZ30&lt;N('設定'!$C$7),"● "&amp;TEXT($CA30,"m/d")&amp;"("&amp;CHOOSE(WEEKDAY($CA30),"日","月","火","水","木","金","土")&amp;")"&amp;" に切れる　至急発注",IF($BZ30=N('設定'!$C$7),"● "&amp;TEXT($CA30,"m/d")&amp;"("&amp;CHOOSE(WEEKDAY($CA30),"日","月","火","水","木","金","土")&amp;")"&amp;" に切れる　今日発注","△ "&amp;TEXT($CA30,"m/d")&amp;"("&amp;CHOOSE(WEEKDAY($CA30),"日","月","火","水","木","金","土")&amp;")"&amp;" に切れる　"&amp;TEXT($CA30-N('設定'!$C$7),"m/d")&amp;"("&amp;CHOOSE(WEEKDAY($CA30-N('設定'!$C$7)),"日","月","火","水","木","金","土")&amp;")"&amp;" までに発注"))))))))))</f>
        <v/>
      </c>
      <c r="CQ30">
        <f>IF($C30="","",IF(AND($P30="",$Q30="",$S30="",$T30=""),"",IF(AND($P30="",$Q30=""),"⚠ 先に1便目（左の入庫日・入庫数）に入れてください",IF($CI30&lt;&gt;"",$CI30,IF($CJ30&lt;&gt;"",$CJ30,IF($M30="","？ 減り数が未設定（発注書には載ります）",IF($B$3=0,"？ 動員が未入力（発注書には載ります）",IF(AND($CA30&lt;&gt;"",$P30&gt;$CA30),IF($P30&gt;'設定'!$C$6+N('設定'!$C$7),"● "&amp;TEXT($P30,"m/d")&amp;"("&amp;CHOOSE(WEEKDAY($P30),"日","月","火","水","木","金","土")&amp;")"&amp;" の入庫では間に合わない（"&amp;TEXT($CA30,"m/d")&amp;"("&amp;CHOOSE(WEEKDAY($CA30),"日","月","火","水","木","金","土")&amp;")"&amp;" に切れる）　入庫日を早める","△ 欠品 "&amp;TEXT($CA30,"m/d")&amp;"("&amp;CHOOSE(WEEKDAY($CA30),"日","月","火","水","木","金","土")&amp;")"&amp;"〜"&amp;TEXT($P30-1,"m/d")&amp;"("&amp;CHOOSE(WEEKDAY($P30-1),"日","月","火","水","木","金","土")&amp;")"&amp;"　"&amp;$CO30),IF($CC30="","○ "&amp;TEXT($P30,"m/d")&amp;"("&amp;CHOOSE(WEEKDAY($P30),"日","月","火","水","木","金","土")&amp;")"&amp;" 入庫で 14日以上もつ",IF($CC30-N('設定'!$C$7)&lt;='設定'!$C$6,"● 入庫しても "&amp;TEXT($CC30,"m/d")&amp;"("&amp;CHOOSE(WEEKDAY($CC30),"日","月","火","水","木","金","土")&amp;")"&amp;" に切れる　もう1便を至急発注（2便目に入れる）","△ 入庫しても "&amp;TEXT($CC30,"m/d")&amp;"("&amp;CHOOSE(WEEKDAY($CC30),"日","月","火","水","木","金","土")&amp;")"&amp;" に切れる　"&amp;TEXT($CC30-N('設定'!$C$7),"m/d")&amp;"("&amp;CHOOSE(WEEKDAY($CC30-N('設定'!$C$7)),"日","月","火","水","木","金","土")&amp;")"&amp;" までに次を発注（2便目に入れる）"))))))))))</f>
        <v/>
      </c>
      <c r="CR30">
        <f>IF($C30="","",IF($G30&gt;1,"ｹｰｽ("&amp;$G30&amp;"入)","個"))</f>
        <v/>
      </c>
      <c r="CS30">
        <f>IF($C30="",0,IF(COUNTIFS('①在庫を貼る'!$V$6:$V$10005,'設定'!$C$4,'①在庫を貼る'!$W$6:$W$10005,$C30)=0,1,0))</f>
        <v/>
      </c>
      <c r="CT30">
        <f>IF(AND($CK30=1,OR('③発注書'!$C$4="すべて",'③発注書'!$C$4="",$F30='③発注書'!$C$4)),N($CT29)+1,N($CT29))</f>
        <v/>
      </c>
      <c r="CU30">
        <f>IF(AND($CL30=1,OR('③発注書'!$C$4="すべて",'③発注書'!$C$4="",$F30='③発注書'!$C$4)),N($CU29)+1,N($CU29))</f>
        <v/>
      </c>
      <c r="CV30">
        <f>IF($C30="",0,IF(COUNTIFS('①在庫を貼る'!$V$6:$V$10005,'設定'!$C$4,'①在庫を貼る'!$W$6:$W$10005,$C30)&gt;0,1,0))</f>
        <v/>
      </c>
      <c r="CW30">
        <f>IF($C30="",0,IF(COUNTIFS('月1回_1ヶ月前の在庫'!$V$6:$V$10005,'設定'!$C$4,'月1回_1ヶ月前の在庫'!$W$6:$W$10005,$C30)&gt;0,1,0))</f>
        <v/>
      </c>
      <c r="CX30">
        <f>IF($C30="",0,IF(COUNTIFS('月1回_2ヶ月前の在庫'!$V$6:$V$10005,'設定'!$C$4,'月1回_2ヶ月前の在庫'!$W$6:$W$10005,$C30)&gt;0,1,0))</f>
        <v/>
      </c>
      <c r="CY30">
        <f>IF(OR($C30="",'設定'!$C$12=""),"",IF('設定'!$C$13="",IF(AND($CV30=1,$CW30=0),"新商品（今月から）",IF(AND($CV30=0,$CW30=1),"終売（今月から）","")),IF(AND($CV30=1,$CW30=0,$CX30=0),"新商品（今月から）",IF(AND($CV30=1,$CW30=1,$CX30=0),"新商品（先月から）",IF(AND($CV30=0,$CW30=1,$CX30=1),"終売（今月から）",IF(AND($CV30=0,$CW30=0,$CX30=1),"終売（先月から）",IF(AND($CV30=1,$CW30=0,$CX30=1),"復活（先月は無し）","")))))))</f>
        <v/>
      </c>
    </row>
    <row r="31">
      <c r="B31">
        <f>IF(26&lt;='設定'!$C$11,26,"")</f>
        <v/>
      </c>
      <c r="C31">
        <f>IF($B31="","",IF($B31&lt;='設定'!$C$20,INDEX('商品マスタ'!$B$6:$B$1005,MATCH($B31,'商品マスタ'!$M$6:$M$1005,0)),IF($B31&lt;='設定'!$C$20+'設定'!$C$17,INDEX('①在庫を貼る'!$W$6:$W$10005,MATCH($B31-'設定'!$C$20,'①在庫を貼る'!$U$6:$U$10005,0)),IF($B31&lt;='設定'!$C$20+'設定'!$C$17+'設定'!$C$18,INDEX('月1回_1ヶ月前の在庫'!$W$6:$W$10005,MATCH($B31-'設定'!$C$20-'設定'!$C$17,'月1回_1ヶ月前の在庫'!$U$6:$U$10005,0)),INDEX('月1回_2ヶ月前の在庫'!$W$6:$W$10005,MATCH($B31-'設定'!$C$20-'設定'!$C$17-'設定'!$C$18,'月1回_2ヶ月前の在庫'!$U$6:$U$10005,0))))))</f>
        <v/>
      </c>
      <c r="D31">
        <f>IF($C31="","",IFERROR(IF(INDEX('商品マスタ'!$C$6:$C$1005,MATCH($C31,'商品マスタ'!$B$6:$B$1005,0))="",IFERROR(INDEX('①在庫を貼る'!$J$6:$J$10005,MATCH($C31,'①在庫を貼る'!$W$6:$W$10005,0)),IFERROR(INDEX('月1回_1ヶ月前の在庫'!$J$6:$J$10005,MATCH($C31,'月1回_1ヶ月前の在庫'!$W$6:$W$10005,0)),IFERROR(INDEX('月1回_2ヶ月前の在庫'!$J$6:$J$10005,MATCH($C31,'月1回_2ヶ月前の在庫'!$W$6:$W$10005,0)),""))),INDEX('商品マスタ'!$C$6:$C$1005,MATCH($C31,'商品マスタ'!$B$6:$B$1005,0))),IFERROR(INDEX('①在庫を貼る'!$J$6:$J$10005,MATCH($C31,'①在庫を貼る'!$W$6:$W$10005,0)),IFERROR(INDEX('月1回_1ヶ月前の在庫'!$J$6:$J$10005,MATCH($C31,'月1回_1ヶ月前の在庫'!$W$6:$W$10005,0)),IFERROR(INDEX('月1回_2ヶ月前の在庫'!$J$6:$J$10005,MATCH($C31,'月1回_2ヶ月前の在庫'!$W$6:$W$10005,0)),"")))))</f>
        <v/>
      </c>
      <c r="E31">
        <f>IF($C31="","",IFERROR(IF(INDEX('商品マスタ'!$D$6:$D$1005,MATCH($C31,'商品マスタ'!$B$6:$B$1005,0))="",IFERROR(INDEX('①在庫を貼る'!$H$6:$H$10005,MATCH($C31,'①在庫を貼る'!$W$6:$W$10005,0)),IFERROR(INDEX('月1回_1ヶ月前の在庫'!$H$6:$H$10005,MATCH($C31,'月1回_1ヶ月前の在庫'!$W$6:$W$10005,0)),IFERROR(INDEX('月1回_2ヶ月前の在庫'!$H$6:$H$10005,MATCH($C31,'月1回_2ヶ月前の在庫'!$W$6:$W$10005,0)),""))),INDEX('商品マスタ'!$D$6:$D$1005,MATCH($C31,'商品マスタ'!$B$6:$B$1005,0))),IFERROR(INDEX('①在庫を貼る'!$H$6:$H$10005,MATCH($C31,'①在庫を貼る'!$W$6:$W$10005,0)),IFERROR(INDEX('月1回_1ヶ月前の在庫'!$H$6:$H$10005,MATCH($C31,'月1回_1ヶ月前の在庫'!$W$6:$W$10005,0)),IFERROR(INDEX('月1回_2ヶ月前の在庫'!$H$6:$H$10005,MATCH($C31,'月1回_2ヶ月前の在庫'!$W$6:$W$10005,0)),"")))))</f>
        <v/>
      </c>
      <c r="F31">
        <f>IF($C31="","",IFERROR(IF(INDEX('商品マスタ'!$E$6:$E$1005,MATCH($C31,'商品マスタ'!$B$6:$B$1005,0))="",IFERROR(INDEX('①在庫を貼る'!$E$6:$E$10005,MATCH($C31,'①在庫を貼る'!$W$6:$W$10005,0)),IFERROR(INDEX('月1回_1ヶ月前の在庫'!$E$6:$E$10005,MATCH($C31,'月1回_1ヶ月前の在庫'!$W$6:$W$10005,0)),IFERROR(INDEX('月1回_2ヶ月前の在庫'!$E$6:$E$10005,MATCH($C31,'月1回_2ヶ月前の在庫'!$W$6:$W$10005,0)),""))),INDEX('商品マスタ'!$E$6:$E$1005,MATCH($C31,'商品マスタ'!$B$6:$B$1005,0))),IFERROR(INDEX('①在庫を貼る'!$E$6:$E$10005,MATCH($C31,'①在庫を貼る'!$W$6:$W$10005,0)),IFERROR(INDEX('月1回_1ヶ月前の在庫'!$E$6:$E$10005,MATCH($C31,'月1回_1ヶ月前の在庫'!$W$6:$W$10005,0)),IFERROR(INDEX('月1回_2ヶ月前の在庫'!$E$6:$E$10005,MATCH($C31,'月1回_2ヶ月前の在庫'!$W$6:$W$10005,0)),"")))))</f>
        <v/>
      </c>
      <c r="G31">
        <f>IF($C31="","",MAX(1,N(IFERROR(IF(INDEX('商品マスタ'!$F$6:$F$1005,MATCH($C31,'商品マスタ'!$B$6:$B$1005,0))="",IF(COUNTIFS('①在庫を貼る'!$V$6:$V$10005,'設定'!$C$4,'①在庫を貼る'!$W$6:$W$10005,$C31)&gt;0,SUMIFS('①在庫を貼る'!$K$6:$K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K$6:$K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K$6:$K$10005,'月1回_2ヶ月前の在庫'!$V$6:$V$10005,'設定'!$C$4,'月1回_2ヶ月前の在庫'!$W$6:$W$10005,$C31)/COUNTIFS('月1回_2ヶ月前の在庫'!$V$6:$V$10005,'設定'!$C$4,'月1回_2ヶ月前の在庫'!$W$6:$W$10005,$C31),0))),INDEX('商品マスタ'!$F$6:$F$1005,MATCH($C31,'商品マスタ'!$B$6:$B$1005,0))),IF(COUNTIFS('①在庫を貼る'!$V$6:$V$10005,'設定'!$C$4,'①在庫を貼る'!$W$6:$W$10005,$C31)&gt;0,SUMIFS('①在庫を貼る'!$K$6:$K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K$6:$K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K$6:$K$10005,'月1回_2ヶ月前の在庫'!$V$6:$V$10005,'設定'!$C$4,'月1回_2ヶ月前の在庫'!$W$6:$W$10005,$C31)/COUNTIFS('月1回_2ヶ月前の在庫'!$V$6:$V$10005,'設定'!$C$4,'月1回_2ヶ月前の在庫'!$W$6:$W$10005,$C31),0)))))))</f>
        <v/>
      </c>
      <c r="H31">
        <f>IF($C31="","",N(IFERROR(IF(INDEX('商品マスタ'!$G$6:$G$1005,MATCH($C31,'商品マスタ'!$B$6:$B$1005,0))="",IF(COUNTIFS('①在庫を貼る'!$V$6:$V$10005,'設定'!$C$4,'①在庫を貼る'!$W$6:$W$10005,$C31)&gt;0,SUMIFS('①在庫を貼る'!$Q$6:$Q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Q$6:$Q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Q$6:$Q$10005,'月1回_2ヶ月前の在庫'!$V$6:$V$10005,'設定'!$C$4,'月1回_2ヶ月前の在庫'!$W$6:$W$10005,$C31)/COUNTIFS('月1回_2ヶ月前の在庫'!$V$6:$V$10005,'設定'!$C$4,'月1回_2ヶ月前の在庫'!$W$6:$W$10005,$C31),0))),INDEX('商品マスタ'!$G$6:$G$1005,MATCH($C31,'商品マスタ'!$B$6:$B$1005,0))),IF(COUNTIFS('①在庫を貼る'!$V$6:$V$10005,'設定'!$C$4,'①在庫を貼る'!$W$6:$W$10005,$C31)&gt;0,SUMIFS('①在庫を貼る'!$Q$6:$Q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Q$6:$Q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Q$6:$Q$10005,'月1回_2ヶ月前の在庫'!$V$6:$V$10005,'設定'!$C$4,'月1回_2ヶ月前の在庫'!$W$6:$W$10005,$C31)/COUNTIFS('月1回_2ヶ月前の在庫'!$V$6:$V$10005,'設定'!$C$4,'月1回_2ヶ月前の在庫'!$W$6:$W$10005,$C31),0))))))</f>
        <v/>
      </c>
      <c r="I31">
        <f>IF($C31="","",IF(COUNTIFS('①在庫を貼る'!$V$6:$V$10005,'設定'!$C$4,'①在庫を貼る'!$W$6:$W$10005,$C31)=0,"",SUMIFS('①在庫を貼る'!$N$6:$N$10005,'①在庫を貼る'!$V$6:$V$10005,'設定'!$C$4,'①在庫を貼る'!$W$6:$W$10005,$C31)))</f>
        <v/>
      </c>
      <c r="J31">
        <f>IF($C31="","",IF('②発注する'!$AD35="","",'②発注する'!$AD35))</f>
        <v/>
      </c>
      <c r="K31" s="90">
        <f>IF($C31="","",IF('②発注する'!$AE35="","",'②発注する'!$AE35))</f>
        <v/>
      </c>
      <c r="L31">
        <f>IF($C31="","",IF(AND(ISNUMBER($J31),ISNUMBER($K31),$K31&gt;='設定'!$C$6),$J31,N($I31)))</f>
        <v/>
      </c>
      <c r="M31">
        <f>IF($C31="","",IFERROR(IF(N(INDEX('商品マスタ'!$J$6:$J$1005,MATCH($C31,'商品マスタ'!$B$6:$B$1005,0)))&gt;0,INDEX('商品マスタ'!$J$6:$J$1005,MATCH($C31,'商品マスタ'!$B$6:$B$1005,0)),""),""))</f>
        <v/>
      </c>
      <c r="N31">
        <f>IF($C31="","",IFERROR(IF(N(INDEX('商品マスタ'!$H$6:$H$1005,MATCH($C31,'商品マスタ'!$B$6:$B$1005,0)))&gt;0,INDEX('商品マスタ'!$H$6:$H$1005,MATCH($C31,'商品マスタ'!$B$6:$B$1005,0)),""),""))</f>
        <v/>
      </c>
      <c r="O31">
        <f>IF($C31="","",IF($N31&lt;&gt;"",$N31*$G31,IF(N(IF(COUNTIFS('①在庫を貼る'!$V$6:$V$10005,'設定'!$C$4,'①在庫を貼る'!$W$6:$W$10005,$C31)&gt;0,SUMIFS('①在庫を貼る'!$O$6:$O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O$6:$O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O$6:$O$10005,'月1回_2ヶ月前の在庫'!$V$6:$V$10005,'設定'!$C$4,'月1回_2ヶ月前の在庫'!$W$6:$W$10005,$C31)/COUNTIFS('月1回_2ヶ月前の在庫'!$V$6:$V$10005,'設定'!$C$4,'月1回_2ヶ月前の在庫'!$W$6:$W$10005,$C31),0))))&gt;0,N(IF(COUNTIFS('①在庫を貼る'!$V$6:$V$10005,'設定'!$C$4,'①在庫を貼る'!$W$6:$W$10005,$C31)&gt;0,SUMIFS('①在庫を貼る'!$O$6:$O$10005,'①在庫を貼る'!$V$6:$V$10005,'設定'!$C$4,'①在庫を貼る'!$W$6:$W$10005,$C31)/COUNTIFS('①在庫を貼る'!$V$6:$V$10005,'設定'!$C$4,'①在庫を貼る'!$W$6:$W$10005,$C31),IF(COUNTIFS('月1回_1ヶ月前の在庫'!$V$6:$V$10005,'設定'!$C$4,'月1回_1ヶ月前の在庫'!$W$6:$W$10005,$C31)&gt;0,SUMIFS('月1回_1ヶ月前の在庫'!$O$6:$O$10005,'月1回_1ヶ月前の在庫'!$V$6:$V$10005,'設定'!$C$4,'月1回_1ヶ月前の在庫'!$W$6:$W$10005,$C31)/COUNTIFS('月1回_1ヶ月前の在庫'!$V$6:$V$10005,'設定'!$C$4,'月1回_1ヶ月前の在庫'!$W$6:$W$10005,$C31),IF(COUNTIFS('月1回_2ヶ月前の在庫'!$V$6:$V$10005,'設定'!$C$4,'月1回_2ヶ月前の在庫'!$W$6:$W$10005,$C31)&gt;0,SUMIFS('月1回_2ヶ月前の在庫'!$O$6:$O$10005,'月1回_2ヶ月前の在庫'!$V$6:$V$10005,'設定'!$C$4,'月1回_2ヶ月前の在庫'!$W$6:$W$10005,$C31)/COUNTIFS('月1回_2ヶ月前の在庫'!$V$6:$V$10005,'設定'!$C$4,'月1回_2ヶ月前の在庫'!$W$6:$W$10005,$C31),0)))),"")))</f>
        <v/>
      </c>
      <c r="P31" s="90">
        <f>IF($C31="","",IF('②発注する'!$I35="","",'②発注する'!$I35))</f>
        <v/>
      </c>
      <c r="Q31">
        <f>IF($C31="","",IF('②発注する'!$J35="","",'②発注する'!$J35))</f>
        <v/>
      </c>
      <c r="R31">
        <f>IF($C31="",0,IF(AND(ISNUMBER($P31),ISNUMBER($Q31)),MAX(0,$Q31)*$G31,0))</f>
        <v/>
      </c>
      <c r="S31" s="90">
        <f>IF($C31="","",IF('②発注する'!$M35="","",'②発注する'!$M35))</f>
        <v/>
      </c>
      <c r="T31">
        <f>IF($C31="","",IF('②発注する'!$N35="","",'②発注する'!$N35))</f>
        <v/>
      </c>
      <c r="U31">
        <f>IF($C31="",0,IF(AND(ISNUMBER($S31),ISNUMBER($T31)),MAX(0,$T31)*$G31,0))</f>
        <v/>
      </c>
      <c r="V31">
        <f>IF($C31="",0,IF($M31="",0,MAX(0,$M31)*MAX(0,V$4)/100))</f>
        <v/>
      </c>
      <c r="W31">
        <f>IF($C31="",0,IF($M31="",0,MAX(0,$M31)*MAX(0,W$4)/100))</f>
        <v/>
      </c>
      <c r="X31">
        <f>IF($C31="",0,IF($M31="",0,MAX(0,$M31)*MAX(0,X$4)/100))</f>
        <v/>
      </c>
      <c r="Y31">
        <f>IF($C31="",0,IF($M31="",0,MAX(0,$M31)*MAX(0,Y$4)/100))</f>
        <v/>
      </c>
      <c r="Z31">
        <f>IF($C31="",0,IF($M31="",0,MAX(0,$M31)*MAX(0,Z$4)/100))</f>
        <v/>
      </c>
      <c r="AA31">
        <f>IF($C31="",0,IF($M31="",0,MAX(0,$M31)*MAX(0,AA$4)/100))</f>
        <v/>
      </c>
      <c r="AB31">
        <f>IF($C31="",0,IF($M31="",0,MAX(0,$M31)*MAX(0,AB$4)/100))</f>
        <v/>
      </c>
      <c r="AC31">
        <f>IF($C31="",0,IF($M31="",0,MAX(0,$M31)*MAX(0,AC$4)/100))</f>
        <v/>
      </c>
      <c r="AD31">
        <f>IF($C31="",0,IF($M31="",0,MAX(0,$M31)*MAX(0,AD$4)/100))</f>
        <v/>
      </c>
      <c r="AE31">
        <f>IF($C31="",0,IF($M31="",0,MAX(0,$M31)*MAX(0,AE$4)/100))</f>
        <v/>
      </c>
      <c r="AF31">
        <f>IF($C31="",0,IF($M31="",0,MAX(0,$M31)*MAX(0,AF$4)/100))</f>
        <v/>
      </c>
      <c r="AG31">
        <f>IF($C31="",0,IF($M31="",0,MAX(0,$M31)*MAX(0,AG$4)/100))</f>
        <v/>
      </c>
      <c r="AH31">
        <f>IF($C31="",0,IF($M31="",0,MAX(0,$M31)*MAX(0,AH$4)/100))</f>
        <v/>
      </c>
      <c r="AI31">
        <f>IF($C31="",0,IF($M31="",0,MAX(0,$M31)*MAX(0,AI$4)/100))</f>
        <v/>
      </c>
      <c r="AJ31">
        <f>IF($C31="",0,MAX(0,MAX(0,N($L31))-$V31))</f>
        <v/>
      </c>
      <c r="AK31">
        <f>IF($C31="",0,MAX(0,$AJ31-$W31))</f>
        <v/>
      </c>
      <c r="AL31">
        <f>IF($C31="",0,MAX(0,$AK31-$X31))</f>
        <v/>
      </c>
      <c r="AM31">
        <f>IF($C31="",0,MAX(0,$AL31-$Y31))</f>
        <v/>
      </c>
      <c r="AN31">
        <f>IF($C31="",0,MAX(0,$AM31-$Z31))</f>
        <v/>
      </c>
      <c r="AO31">
        <f>IF($C31="",0,MAX(0,$AN31-$AA31))</f>
        <v/>
      </c>
      <c r="AP31">
        <f>IF($C31="",0,MAX(0,$AO31-$AB31))</f>
        <v/>
      </c>
      <c r="AQ31">
        <f>IF($C31="",0,MAX(0,$AP31-$AC31))</f>
        <v/>
      </c>
      <c r="AR31">
        <f>IF($C31="",0,MAX(0,$AQ31-$AD31))</f>
        <v/>
      </c>
      <c r="AS31">
        <f>IF($C31="",0,MAX(0,$AR31-$AE31))</f>
        <v/>
      </c>
      <c r="AT31">
        <f>IF($C31="",0,MAX(0,$AS31-$AF31))</f>
        <v/>
      </c>
      <c r="AU31">
        <f>IF($C31="",0,MAX(0,$AT31-$AG31))</f>
        <v/>
      </c>
      <c r="AV31">
        <f>IF($C31="",0,MAX(0,$AU31-$AH31))</f>
        <v/>
      </c>
      <c r="AW31">
        <f>IF($C31="",0,MAX(0,$AV31-$AI31))</f>
        <v/>
      </c>
      <c r="AX31">
        <f>IF($C31="",0,MAX(0,MAX(0,N($L31))+IF($P31=V$3,$R31,0)+IF($S31=V$3,$U31,0)-$V31))</f>
        <v/>
      </c>
      <c r="AY31">
        <f>IF($C31="",0,MAX(0,$AX31+IF($P31=W$3,$R31,0)+IF($S31=W$3,$U31,0)-$W31))</f>
        <v/>
      </c>
      <c r="AZ31">
        <f>IF($C31="",0,MAX(0,$AY31+IF($P31=X$3,$R31,0)+IF($S31=X$3,$U31,0)-$X31))</f>
        <v/>
      </c>
      <c r="BA31">
        <f>IF($C31="",0,MAX(0,$AZ31+IF($P31=Y$3,$R31,0)+IF($S31=Y$3,$U31,0)-$Y31))</f>
        <v/>
      </c>
      <c r="BB31">
        <f>IF($C31="",0,MAX(0,$BA31+IF($P31=Z$3,$R31,0)+IF($S31=Z$3,$U31,0)-$Z31))</f>
        <v/>
      </c>
      <c r="BC31">
        <f>IF($C31="",0,MAX(0,$BB31+IF($P31=AA$3,$R31,0)+IF($S31=AA$3,$U31,0)-$AA31))</f>
        <v/>
      </c>
      <c r="BD31">
        <f>IF($C31="",0,MAX(0,$BC31+IF($P31=AB$3,$R31,0)+IF($S31=AB$3,$U31,0)-$AB31))</f>
        <v/>
      </c>
      <c r="BE31">
        <f>IF($C31="",0,MAX(0,$BD31+IF($P31=AC$3,$R31,0)+IF($S31=AC$3,$U31,0)-$AC31))</f>
        <v/>
      </c>
      <c r="BF31">
        <f>IF($C31="",0,MAX(0,$BE31+IF($P31=AD$3,$R31,0)+IF($S31=AD$3,$U31,0)-$AD31))</f>
        <v/>
      </c>
      <c r="BG31">
        <f>IF($C31="",0,MAX(0,$BF31+IF($P31=AE$3,$R31,0)+IF($S31=AE$3,$U31,0)-$AE31))</f>
        <v/>
      </c>
      <c r="BH31">
        <f>IF($C31="",0,MAX(0,$BG31+IF($P31=AF$3,$R31,0)+IF($S31=AF$3,$U31,0)-$AF31))</f>
        <v/>
      </c>
      <c r="BI31">
        <f>IF($C31="",0,MAX(0,$BH31+IF($P31=AG$3,$R31,0)+IF($S31=AG$3,$U31,0)-$AG31))</f>
        <v/>
      </c>
      <c r="BJ31">
        <f>IF($C31="",0,MAX(0,$BI31+IF($P31=AH$3,$R31,0)+IF($S31=AH$3,$U31,0)-$AH31))</f>
        <v/>
      </c>
      <c r="BK31">
        <f>IF($C31="",0,MAX(0,$BJ31+IF($P31=AI$3,$R31,0)+IF($S31=AI$3,$U31,0)-$AI31))</f>
        <v/>
      </c>
      <c r="BL31">
        <f>IF($C31="",99,IF(AND($AX31&lt;1,V$3&gt;=MAX(N($P31),N($S31))),0,99))</f>
        <v/>
      </c>
      <c r="BM31">
        <f>IF($C31="",99,IF(AND($AY31&lt;1,W$3&gt;=MAX(N($P31),N($S31))),1,99))</f>
        <v/>
      </c>
      <c r="BN31">
        <f>IF($C31="",99,IF(AND($AZ31&lt;1,X$3&gt;=MAX(N($P31),N($S31))),2,99))</f>
        <v/>
      </c>
      <c r="BO31">
        <f>IF($C31="",99,IF(AND($BA31&lt;1,Y$3&gt;=MAX(N($P31),N($S31))),3,99))</f>
        <v/>
      </c>
      <c r="BP31">
        <f>IF($C31="",99,IF(AND($BB31&lt;1,Z$3&gt;=MAX(N($P31),N($S31))),4,99))</f>
        <v/>
      </c>
      <c r="BQ31">
        <f>IF($C31="",99,IF(AND($BC31&lt;1,AA$3&gt;=MAX(N($P31),N($S31))),5,99))</f>
        <v/>
      </c>
      <c r="BR31">
        <f>IF($C31="",99,IF(AND($BD31&lt;1,AB$3&gt;=MAX(N($P31),N($S31))),6,99))</f>
        <v/>
      </c>
      <c r="BS31">
        <f>IF($C31="",99,IF(AND($BE31&lt;1,AC$3&gt;=MAX(N($P31),N($S31))),7,99))</f>
        <v/>
      </c>
      <c r="BT31">
        <f>IF($C31="",99,IF(AND($BF31&lt;1,AD$3&gt;=MAX(N($P31),N($S31))),8,99))</f>
        <v/>
      </c>
      <c r="BU31">
        <f>IF($C31="",99,IF(AND($BG31&lt;1,AE$3&gt;=MAX(N($P31),N($S31))),9,99))</f>
        <v/>
      </c>
      <c r="BV31">
        <f>IF($C31="",99,IF(AND($BH31&lt;1,AF$3&gt;=MAX(N($P31),N($S31))),10,99))</f>
        <v/>
      </c>
      <c r="BW31">
        <f>IF($C31="",99,IF(AND($BI31&lt;1,AG$3&gt;=MAX(N($P31),N($S31))),11,99))</f>
        <v/>
      </c>
      <c r="BX31">
        <f>IF($C31="",99,IF(AND($BJ31&lt;1,AH$3&gt;=MAX(N($P31),N($S31))),12,99))</f>
        <v/>
      </c>
      <c r="BY31">
        <f>IF($C31="",99,IF(AND($BK31&lt;1,AI$3&gt;=MAX(N($P31),N($S31))),13,99))</f>
        <v/>
      </c>
      <c r="BZ31">
        <f>IF(OR($C31="",$M31=""),"",COUNTIF($AJ31:$AW31,"&gt;=1"))</f>
        <v/>
      </c>
      <c r="CA31" s="90">
        <f>IF($BZ31="","",IF($BZ31&gt;=14,"",'設定'!$C$6+$BZ31))</f>
        <v/>
      </c>
      <c r="CB31">
        <f>IF(OR($C31="",$M31=""),"",MIN($BL31:$BY31))</f>
        <v/>
      </c>
      <c r="CC31" s="90">
        <f>IF($CB31="","",IF($CB31&gt;=99,"",'設定'!$C$6+$CB31))</f>
        <v/>
      </c>
      <c r="CD31">
        <f>IF(OR($C31="",$M31=""),"",AVERAGE($V31:$AI31))</f>
        <v/>
      </c>
      <c r="CE31">
        <f>IF($C31="","",IFERROR(IF(MATCH(IF(ISNUMBER($P31),$P31,'設定'!$C$6+N('設定'!$C$7)),$V$3:$AI$3,0)=1,MAX(0,N($L31)),INDEX($AJ31:$AW31,MATCH(IF(ISNUMBER($P31),$P31,'設定'!$C$6+N('設定'!$C$7)),$V$3:$AI$3,0)-1)),""))</f>
        <v/>
      </c>
      <c r="CF31">
        <f>IF(OR($C31="",$O31="",$CE31=""),"",IF($O31-$CE31&lt;=0,0,ROUNDUP(($O31-$CE31)/$G31,0)))</f>
        <v/>
      </c>
      <c r="CG31">
        <f>IF(OR($C31="",$CF31="",NOT(ISNUMBER($Q31))),0,MAX(0,$Q31-$CF31))</f>
        <v/>
      </c>
      <c r="CH31">
        <f>IF(OR($C31="",$O31="",$U31=0),0,IFERROR(ROUNDUP(MAX(0,IF(MATCH($S31,$V$3:$AI$3,0)=1,MAX(0,N($L31)),INDEX($AX31:$BK31,MATCH($S31,$V$3:$AI$3,0)-1))+$U31-$O31)/$G31,0),0))</f>
        <v/>
      </c>
      <c r="CI31">
        <f>IF($C31="","",IF(AND($P31="",$Q31=""),"",IF($P31="","⚠ 入庫日を ▼ から選んでください",IF(NOT(ISNUMBER($P31)),"⚠ 入庫日は ▼ から選んでください",IF($P31&lt;N('設定'!$C$6),"⚠ 入庫日が過去です（もう在庫に入っています）→ 消してください",IF($P31&gt;N('設定'!$C$6)+13,"⚠ 入庫日が14日より先です",IF(N($Q31)&lt;=0,"⚠ 入庫数を入れてください",IF($CG31&gt;0,"⚠ 目安より "&amp;$CG31&amp;" 多い（定数を超える）→ 減らす",""))))))))</f>
        <v/>
      </c>
      <c r="CJ31">
        <f>IF($C31="","",IF(AND($S31="",$T31=""),"",IF($S31="","⚠ 2便目：入庫日を ▼ から選んでください",IF(NOT(ISNUMBER($S31)),"⚠ 2便目：入庫日は ▼ から選んでください",IF($S31&lt;N('設定'!$C$6),"⚠ 2便目：入庫日が過去です（もう在庫に入っています）→ 消してください",IF($S31&gt;N('設定'!$C$6)+13,"⚠ 2便目：入庫日が14日より先です",IF(N($T31)&lt;=0,"⚠ 2便目：入庫数を入れてください",IF($CH31&gt;0,"⚠ 2便目：定数を "&amp;$CH31&amp;" ケース超える → 減らす",""))))))))</f>
        <v/>
      </c>
      <c r="CK31">
        <f>IF(AND($CI31="",N($Q31)&gt;0,ISNUMBER($P31)),1,0)</f>
        <v/>
      </c>
      <c r="CL31">
        <f>IF(AND($CJ31="",N($T31)&gt;0,ISNUMBER($S31)),1,0)</f>
        <v/>
      </c>
      <c r="CM31">
        <f>IF(OR($CK31=1,$CL31=1),1,0)</f>
        <v/>
      </c>
      <c r="CN31">
        <f>IF($C31="",0,($CK31*$R31+$CL31*$U31)*N($H31))</f>
        <v/>
      </c>
      <c r="CO31">
        <f>IF($C31="","",IF($CC31="","入庫後は 14日以上もつ",IF($CC31-N('設定'!$C$7)&lt;='設定'!$C$6,"入庫後も "&amp;TEXT($CC31,"m/d")&amp;"("&amp;CHOOSE(WEEKDAY($CC31),"日","月","火","水","木","金","土")&amp;")"&amp;" に切れる　もう1便を至急発注","入庫後も "&amp;TEXT($CC31,"m/d")&amp;"("&amp;CHOOSE(WEEKDAY($CC31),"日","月","火","水","木","金","土")&amp;")"&amp;" に切れる　"&amp;TEXT($CC31-N('設定'!$C$7),"m/d")&amp;"("&amp;CHOOSE(WEEKDAY($CC31-N('設定'!$C$7)),"日","月","火","水","木","金","土")&amp;")"&amp;" までに次を発注")))</f>
        <v/>
      </c>
      <c r="CP31">
        <f>IF($C31="","",IF('設定'!$C$6="","？ ①在庫を貼る に今日のCSVが貼られていない",IF($CS31=1,"－ 今日のCSVに無い（終売？）",IF($L31&lt;0,"● 在庫がマイナス　数えて「数えた在庫」に入れる",IF($L31=0,"● 在庫なし　至急発注",IF($M31="","？ 減り数が未設定（商品マスタ）",IF($B$3=0,"？ 動員が未入力（動員を入れる）",IF($CA31="","○ 14日以上もつ",IF($BZ31&lt;N('設定'!$C$7),"● "&amp;TEXT($CA31,"m/d")&amp;"("&amp;CHOOSE(WEEKDAY($CA31),"日","月","火","水","木","金","土")&amp;")"&amp;" に切れる　至急発注",IF($BZ31=N('設定'!$C$7),"● "&amp;TEXT($CA31,"m/d")&amp;"("&amp;CHOOSE(WEEKDAY($CA31),"日","月","火","水","木","金","土")&amp;")"&amp;" に切れる　今日発注","△ "&amp;TEXT($CA31,"m/d")&amp;"("&amp;CHOOSE(WEEKDAY($CA31),"日","月","火","水","木","金","土")&amp;")"&amp;" に切れる　"&amp;TEXT($CA31-N('設定'!$C$7),"m/d")&amp;"("&amp;CHOOSE(WEEKDAY($CA31-N('設定'!$C$7)),"日","月","火","水","木","金","土")&amp;")"&amp;" までに発注"))))))))))</f>
        <v/>
      </c>
      <c r="CQ31">
        <f>IF($C31="","",IF(AND($P31="",$Q31="",$S31="",$T31=""),"",IF(AND($P31="",$Q31=""),"⚠ 先に1便目（左の入庫日・入庫数）に入れてください",IF($CI31&lt;&gt;"",$CI31,IF($CJ31&lt;&gt;"",$CJ31,IF($M31="","？ 減り数が未設定（発注書には載ります）",IF($B$3=0,"？ 動員が未入力（発注書には載ります）",IF(AND($CA31&lt;&gt;"",$P31&gt;$CA31),IF($P31&gt;'設定'!$C$6+N('設定'!$C$7),"● "&amp;TEXT($P31,"m/d")&amp;"("&amp;CHOOSE(WEEKDAY($P31),"日","月","火","水","木","金","土")&amp;")"&amp;" の入庫では間に合わない（"&amp;TEXT($CA31,"m/d")&amp;"("&amp;CHOOSE(WEEKDAY($CA31),"日","月","火","水","木","金","土")&amp;")"&amp;" に切れる）　入庫日を早める","△ 欠品 "&amp;TEXT($CA31,"m/d")&amp;"("&amp;CHOOSE(WEEKDAY($CA31),"日","月","火","水","木","金","土")&amp;")"&amp;"〜"&amp;TEXT($P31-1,"m/d")&amp;"("&amp;CHOOSE(WEEKDAY($P31-1),"日","月","火","水","木","金","土")&amp;")"&amp;"　"&amp;$CO31),IF($CC31="","○ "&amp;TEXT($P31,"m/d")&amp;"("&amp;CHOOSE(WEEKDAY($P31),"日","月","火","水","木","金","土")&amp;")"&amp;" 入庫で 14日以上もつ",IF($CC31-N('設定'!$C$7)&lt;='設定'!$C$6,"● 入庫しても "&amp;TEXT($CC31,"m/d")&amp;"("&amp;CHOOSE(WEEKDAY($CC31),"日","月","火","水","木","金","土")&amp;")"&amp;" に切れる　もう1便を至急発注（2便目に入れる）","△ 入庫しても "&amp;TEXT($CC31,"m/d")&amp;"("&amp;CHOOSE(WEEKDAY($CC31),"日","月","火","水","木","金","土")&amp;")"&amp;" に切れる　"&amp;TEXT($CC31-N('設定'!$C$7),"m/d")&amp;"("&amp;CHOOSE(WEEKDAY($CC31-N('設定'!$C$7)),"日","月","火","水","木","金","土")&amp;")"&amp;" までに次を発注（2便目に入れる）"))))))))))</f>
        <v/>
      </c>
      <c r="CR31">
        <f>IF($C31="","",IF($G31&gt;1,"ｹｰｽ("&amp;$G31&amp;"入)","個"))</f>
        <v/>
      </c>
      <c r="CS31">
        <f>IF($C31="",0,IF(COUNTIFS('①在庫を貼る'!$V$6:$V$10005,'設定'!$C$4,'①在庫を貼る'!$W$6:$W$10005,$C31)=0,1,0))</f>
        <v/>
      </c>
      <c r="CT31">
        <f>IF(AND($CK31=1,OR('③発注書'!$C$4="すべて",'③発注書'!$C$4="",$F31='③発注書'!$C$4)),N($CT30)+1,N($CT30))</f>
        <v/>
      </c>
      <c r="CU31">
        <f>IF(AND($CL31=1,OR('③発注書'!$C$4="すべて",'③発注書'!$C$4="",$F31='③発注書'!$C$4)),N($CU30)+1,N($CU30))</f>
        <v/>
      </c>
      <c r="CV31">
        <f>IF($C31="",0,IF(COUNTIFS('①在庫を貼る'!$V$6:$V$10005,'設定'!$C$4,'①在庫を貼る'!$W$6:$W$10005,$C31)&gt;0,1,0))</f>
        <v/>
      </c>
      <c r="CW31">
        <f>IF($C31="",0,IF(COUNTIFS('月1回_1ヶ月前の在庫'!$V$6:$V$10005,'設定'!$C$4,'月1回_1ヶ月前の在庫'!$W$6:$W$10005,$C31)&gt;0,1,0))</f>
        <v/>
      </c>
      <c r="CX31">
        <f>IF($C31="",0,IF(COUNTIFS('月1回_2ヶ月前の在庫'!$V$6:$V$10005,'設定'!$C$4,'月1回_2ヶ月前の在庫'!$W$6:$W$10005,$C31)&gt;0,1,0))</f>
        <v/>
      </c>
      <c r="CY31">
        <f>IF(OR($C31="",'設定'!$C$12=""),"",IF('設定'!$C$13="",IF(AND($CV31=1,$CW31=0),"新商品（今月から）",IF(AND($CV31=0,$CW31=1),"終売（今月から）","")),IF(AND($CV31=1,$CW31=0,$CX31=0),"新商品（今月から）",IF(AND($CV31=1,$CW31=1,$CX31=0),"新商品（先月から）",IF(AND($CV31=0,$CW31=1,$CX31=1),"終売（今月から）",IF(AND($CV31=0,$CW31=0,$CX31=1),"終売（先月から）",IF(AND($CV31=1,$CW31=0,$CX31=1),"復活（先月は無し）","")))))))</f>
        <v/>
      </c>
    </row>
    <row r="32">
      <c r="B32">
        <f>IF(27&lt;='設定'!$C$11,27,"")</f>
        <v/>
      </c>
      <c r="C32">
        <f>IF($B32="","",IF($B32&lt;='設定'!$C$20,INDEX('商品マスタ'!$B$6:$B$1005,MATCH($B32,'商品マスタ'!$M$6:$M$1005,0)),IF($B32&lt;='設定'!$C$20+'設定'!$C$17,INDEX('①在庫を貼る'!$W$6:$W$10005,MATCH($B32-'設定'!$C$20,'①在庫を貼る'!$U$6:$U$10005,0)),IF($B32&lt;='設定'!$C$20+'設定'!$C$17+'設定'!$C$18,INDEX('月1回_1ヶ月前の在庫'!$W$6:$W$10005,MATCH($B32-'設定'!$C$20-'設定'!$C$17,'月1回_1ヶ月前の在庫'!$U$6:$U$10005,0)),INDEX('月1回_2ヶ月前の在庫'!$W$6:$W$10005,MATCH($B32-'設定'!$C$20-'設定'!$C$17-'設定'!$C$18,'月1回_2ヶ月前の在庫'!$U$6:$U$10005,0))))))</f>
        <v/>
      </c>
      <c r="D32">
        <f>IF($C32="","",IFERROR(IF(INDEX('商品マスタ'!$C$6:$C$1005,MATCH($C32,'商品マスタ'!$B$6:$B$1005,0))="",IFERROR(INDEX('①在庫を貼る'!$J$6:$J$10005,MATCH($C32,'①在庫を貼る'!$W$6:$W$10005,0)),IFERROR(INDEX('月1回_1ヶ月前の在庫'!$J$6:$J$10005,MATCH($C32,'月1回_1ヶ月前の在庫'!$W$6:$W$10005,0)),IFERROR(INDEX('月1回_2ヶ月前の在庫'!$J$6:$J$10005,MATCH($C32,'月1回_2ヶ月前の在庫'!$W$6:$W$10005,0)),""))),INDEX('商品マスタ'!$C$6:$C$1005,MATCH($C32,'商品マスタ'!$B$6:$B$1005,0))),IFERROR(INDEX('①在庫を貼る'!$J$6:$J$10005,MATCH($C32,'①在庫を貼る'!$W$6:$W$10005,0)),IFERROR(INDEX('月1回_1ヶ月前の在庫'!$J$6:$J$10005,MATCH($C32,'月1回_1ヶ月前の在庫'!$W$6:$W$10005,0)),IFERROR(INDEX('月1回_2ヶ月前の在庫'!$J$6:$J$10005,MATCH($C32,'月1回_2ヶ月前の在庫'!$W$6:$W$10005,0)),"")))))</f>
        <v/>
      </c>
      <c r="E32">
        <f>IF($C32="","",IFERROR(IF(INDEX('商品マスタ'!$D$6:$D$1005,MATCH($C32,'商品マスタ'!$B$6:$B$1005,0))="",IFERROR(INDEX('①在庫を貼る'!$H$6:$H$10005,MATCH($C32,'①在庫を貼る'!$W$6:$W$10005,0)),IFERROR(INDEX('月1回_1ヶ月前の在庫'!$H$6:$H$10005,MATCH($C32,'月1回_1ヶ月前の在庫'!$W$6:$W$10005,0)),IFERROR(INDEX('月1回_2ヶ月前の在庫'!$H$6:$H$10005,MATCH($C32,'月1回_2ヶ月前の在庫'!$W$6:$W$10005,0)),""))),INDEX('商品マスタ'!$D$6:$D$1005,MATCH($C32,'商品マスタ'!$B$6:$B$1005,0))),IFERROR(INDEX('①在庫を貼る'!$H$6:$H$10005,MATCH($C32,'①在庫を貼る'!$W$6:$W$10005,0)),IFERROR(INDEX('月1回_1ヶ月前の在庫'!$H$6:$H$10005,MATCH($C32,'月1回_1ヶ月前の在庫'!$W$6:$W$10005,0)),IFERROR(INDEX('月1回_2ヶ月前の在庫'!$H$6:$H$10005,MATCH($C32,'月1回_2ヶ月前の在庫'!$W$6:$W$10005,0)),"")))))</f>
        <v/>
      </c>
      <c r="F32">
        <f>IF($C32="","",IFERROR(IF(INDEX('商品マスタ'!$E$6:$E$1005,MATCH($C32,'商品マスタ'!$B$6:$B$1005,0))="",IFERROR(INDEX('①在庫を貼る'!$E$6:$E$10005,MATCH($C32,'①在庫を貼る'!$W$6:$W$10005,0)),IFERROR(INDEX('月1回_1ヶ月前の在庫'!$E$6:$E$10005,MATCH($C32,'月1回_1ヶ月前の在庫'!$W$6:$W$10005,0)),IFERROR(INDEX('月1回_2ヶ月前の在庫'!$E$6:$E$10005,MATCH($C32,'月1回_2ヶ月前の在庫'!$W$6:$W$10005,0)),""))),INDEX('商品マスタ'!$E$6:$E$1005,MATCH($C32,'商品マスタ'!$B$6:$B$1005,0))),IFERROR(INDEX('①在庫を貼る'!$E$6:$E$10005,MATCH($C32,'①在庫を貼る'!$W$6:$W$10005,0)),IFERROR(INDEX('月1回_1ヶ月前の在庫'!$E$6:$E$10005,MATCH($C32,'月1回_1ヶ月前の在庫'!$W$6:$W$10005,0)),IFERROR(INDEX('月1回_2ヶ月前の在庫'!$E$6:$E$10005,MATCH($C32,'月1回_2ヶ月前の在庫'!$W$6:$W$10005,0)),"")))))</f>
        <v/>
      </c>
      <c r="G32">
        <f>IF($C32="","",MAX(1,N(IFERROR(IF(INDEX('商品マスタ'!$F$6:$F$1005,MATCH($C32,'商品マスタ'!$B$6:$B$1005,0))="",IF(COUNTIFS('①在庫を貼る'!$V$6:$V$10005,'設定'!$C$4,'①在庫を貼る'!$W$6:$W$10005,$C32)&gt;0,SUMIFS('①在庫を貼る'!$K$6:$K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K$6:$K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K$6:$K$10005,'月1回_2ヶ月前の在庫'!$V$6:$V$10005,'設定'!$C$4,'月1回_2ヶ月前の在庫'!$W$6:$W$10005,$C32)/COUNTIFS('月1回_2ヶ月前の在庫'!$V$6:$V$10005,'設定'!$C$4,'月1回_2ヶ月前の在庫'!$W$6:$W$10005,$C32),0))),INDEX('商品マスタ'!$F$6:$F$1005,MATCH($C32,'商品マスタ'!$B$6:$B$1005,0))),IF(COUNTIFS('①在庫を貼る'!$V$6:$V$10005,'設定'!$C$4,'①在庫を貼る'!$W$6:$W$10005,$C32)&gt;0,SUMIFS('①在庫を貼る'!$K$6:$K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K$6:$K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K$6:$K$10005,'月1回_2ヶ月前の在庫'!$V$6:$V$10005,'設定'!$C$4,'月1回_2ヶ月前の在庫'!$W$6:$W$10005,$C32)/COUNTIFS('月1回_2ヶ月前の在庫'!$V$6:$V$10005,'設定'!$C$4,'月1回_2ヶ月前の在庫'!$W$6:$W$10005,$C32),0)))))))</f>
        <v/>
      </c>
      <c r="H32">
        <f>IF($C32="","",N(IFERROR(IF(INDEX('商品マスタ'!$G$6:$G$1005,MATCH($C32,'商品マスタ'!$B$6:$B$1005,0))="",IF(COUNTIFS('①在庫を貼る'!$V$6:$V$10005,'設定'!$C$4,'①在庫を貼る'!$W$6:$W$10005,$C32)&gt;0,SUMIFS('①在庫を貼る'!$Q$6:$Q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Q$6:$Q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Q$6:$Q$10005,'月1回_2ヶ月前の在庫'!$V$6:$V$10005,'設定'!$C$4,'月1回_2ヶ月前の在庫'!$W$6:$W$10005,$C32)/COUNTIFS('月1回_2ヶ月前の在庫'!$V$6:$V$10005,'設定'!$C$4,'月1回_2ヶ月前の在庫'!$W$6:$W$10005,$C32),0))),INDEX('商品マスタ'!$G$6:$G$1005,MATCH($C32,'商品マスタ'!$B$6:$B$1005,0))),IF(COUNTIFS('①在庫を貼る'!$V$6:$V$10005,'設定'!$C$4,'①在庫を貼る'!$W$6:$W$10005,$C32)&gt;0,SUMIFS('①在庫を貼る'!$Q$6:$Q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Q$6:$Q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Q$6:$Q$10005,'月1回_2ヶ月前の在庫'!$V$6:$V$10005,'設定'!$C$4,'月1回_2ヶ月前の在庫'!$W$6:$W$10005,$C32)/COUNTIFS('月1回_2ヶ月前の在庫'!$V$6:$V$10005,'設定'!$C$4,'月1回_2ヶ月前の在庫'!$W$6:$W$10005,$C32),0))))))</f>
        <v/>
      </c>
      <c r="I32">
        <f>IF($C32="","",IF(COUNTIFS('①在庫を貼る'!$V$6:$V$10005,'設定'!$C$4,'①在庫を貼る'!$W$6:$W$10005,$C32)=0,"",SUMIFS('①在庫を貼る'!$N$6:$N$10005,'①在庫を貼る'!$V$6:$V$10005,'設定'!$C$4,'①在庫を貼る'!$W$6:$W$10005,$C32)))</f>
        <v/>
      </c>
      <c r="J32">
        <f>IF($C32="","",IF('②発注する'!$AD36="","",'②発注する'!$AD36))</f>
        <v/>
      </c>
      <c r="K32" s="90">
        <f>IF($C32="","",IF('②発注する'!$AE36="","",'②発注する'!$AE36))</f>
        <v/>
      </c>
      <c r="L32">
        <f>IF($C32="","",IF(AND(ISNUMBER($J32),ISNUMBER($K32),$K32&gt;='設定'!$C$6),$J32,N($I32)))</f>
        <v/>
      </c>
      <c r="M32">
        <f>IF($C32="","",IFERROR(IF(N(INDEX('商品マスタ'!$J$6:$J$1005,MATCH($C32,'商品マスタ'!$B$6:$B$1005,0)))&gt;0,INDEX('商品マスタ'!$J$6:$J$1005,MATCH($C32,'商品マスタ'!$B$6:$B$1005,0)),""),""))</f>
        <v/>
      </c>
      <c r="N32">
        <f>IF($C32="","",IFERROR(IF(N(INDEX('商品マスタ'!$H$6:$H$1005,MATCH($C32,'商品マスタ'!$B$6:$B$1005,0)))&gt;0,INDEX('商品マスタ'!$H$6:$H$1005,MATCH($C32,'商品マスタ'!$B$6:$B$1005,0)),""),""))</f>
        <v/>
      </c>
      <c r="O32">
        <f>IF($C32="","",IF($N32&lt;&gt;"",$N32*$G32,IF(N(IF(COUNTIFS('①在庫を貼る'!$V$6:$V$10005,'設定'!$C$4,'①在庫を貼る'!$W$6:$W$10005,$C32)&gt;0,SUMIFS('①在庫を貼る'!$O$6:$O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O$6:$O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O$6:$O$10005,'月1回_2ヶ月前の在庫'!$V$6:$V$10005,'設定'!$C$4,'月1回_2ヶ月前の在庫'!$W$6:$W$10005,$C32)/COUNTIFS('月1回_2ヶ月前の在庫'!$V$6:$V$10005,'設定'!$C$4,'月1回_2ヶ月前の在庫'!$W$6:$W$10005,$C32),0))))&gt;0,N(IF(COUNTIFS('①在庫を貼る'!$V$6:$V$10005,'設定'!$C$4,'①在庫を貼る'!$W$6:$W$10005,$C32)&gt;0,SUMIFS('①在庫を貼る'!$O$6:$O$10005,'①在庫を貼る'!$V$6:$V$10005,'設定'!$C$4,'①在庫を貼る'!$W$6:$W$10005,$C32)/COUNTIFS('①在庫を貼る'!$V$6:$V$10005,'設定'!$C$4,'①在庫を貼る'!$W$6:$W$10005,$C32),IF(COUNTIFS('月1回_1ヶ月前の在庫'!$V$6:$V$10005,'設定'!$C$4,'月1回_1ヶ月前の在庫'!$W$6:$W$10005,$C32)&gt;0,SUMIFS('月1回_1ヶ月前の在庫'!$O$6:$O$10005,'月1回_1ヶ月前の在庫'!$V$6:$V$10005,'設定'!$C$4,'月1回_1ヶ月前の在庫'!$W$6:$W$10005,$C32)/COUNTIFS('月1回_1ヶ月前の在庫'!$V$6:$V$10005,'設定'!$C$4,'月1回_1ヶ月前の在庫'!$W$6:$W$10005,$C32),IF(COUNTIFS('月1回_2ヶ月前の在庫'!$V$6:$V$10005,'設定'!$C$4,'月1回_2ヶ月前の在庫'!$W$6:$W$10005,$C32)&gt;0,SUMIFS('月1回_2ヶ月前の在庫'!$O$6:$O$10005,'月1回_2ヶ月前の在庫'!$V$6:$V$10005,'設定'!$C$4,'月1回_2ヶ月前の在庫'!$W$6:$W$10005,$C32)/COUNTIFS('月1回_2ヶ月前の在庫'!$V$6:$V$10005,'設定'!$C$4,'月1回_2ヶ月前の在庫'!$W$6:$W$10005,$C32),0)))),"")))</f>
        <v/>
      </c>
      <c r="P32" s="90">
        <f>IF($C32="","",IF('②発注する'!$I36="","",'②発注する'!$I36))</f>
        <v/>
      </c>
      <c r="Q32">
        <f>IF($C32="","",IF('②発注する'!$J36="","",'②発注する'!$J36))</f>
        <v/>
      </c>
      <c r="R32">
        <f>IF($C32="",0,IF(AND(ISNUMBER($P32),ISNUMBER($Q32)),MAX(0,$Q32)*$G32,0))</f>
        <v/>
      </c>
      <c r="S32" s="90">
        <f>IF($C32="","",IF('②発注する'!$M36="","",'②発注する'!$M36))</f>
        <v/>
      </c>
      <c r="T32">
        <f>IF($C32="","",IF('②発注する'!$N36="","",'②発注する'!$N36))</f>
        <v/>
      </c>
      <c r="U32">
        <f>IF($C32="",0,IF(AND(ISNUMBER($S32),ISNUMBER($T32)),MAX(0,$T32)*$G32,0))</f>
        <v/>
      </c>
      <c r="V32">
        <f>IF($C32="",0,IF($M32="",0,MAX(0,$M32)*MAX(0,V$4)/100))</f>
        <v/>
      </c>
      <c r="W32">
        <f>IF($C32="",0,IF($M32="",0,MAX(0,$M32)*MAX(0,W$4)/100))</f>
        <v/>
      </c>
      <c r="X32">
        <f>IF($C32="",0,IF($M32="",0,MAX(0,$M32)*MAX(0,X$4)/100))</f>
        <v/>
      </c>
      <c r="Y32">
        <f>IF($C32="",0,IF($M32="",0,MAX(0,$M32)*MAX(0,Y$4)/100))</f>
        <v/>
      </c>
      <c r="Z32">
        <f>IF($C32="",0,IF($M32="",0,MAX(0,$M32)*MAX(0,Z$4)/100))</f>
        <v/>
      </c>
      <c r="AA32">
        <f>IF($C32="",0,IF($M32="",0,MAX(0,$M32)*MAX(0,AA$4)/100))</f>
        <v/>
      </c>
      <c r="AB32">
        <f>IF($C32="",0,IF($M32="",0,MAX(0,$M32)*MAX(0,AB$4)/100))</f>
        <v/>
      </c>
      <c r="AC32">
        <f>IF($C32="",0,IF($M32="",0,MAX(0,$M32)*MAX(0,AC$4)/100))</f>
        <v/>
      </c>
      <c r="AD32">
        <f>IF($C32="",0,IF($M32="",0,MAX(0,$M32)*MAX(0,AD$4)/100))</f>
        <v/>
      </c>
      <c r="AE32">
        <f>IF($C32="",0,IF($M32="",0,MAX(0,$M32)*MAX(0,AE$4)/100))</f>
        <v/>
      </c>
      <c r="AF32">
        <f>IF($C32="",0,IF($M32="",0,MAX(0,$M32)*MAX(0,AF$4)/100))</f>
        <v/>
      </c>
      <c r="AG32">
        <f>IF($C32="",0,IF($M32="",0,MAX(0,$M32)*MAX(0,AG$4)/100))</f>
        <v/>
      </c>
      <c r="AH32">
        <f>IF($C32="",0,IF($M32="",0,MAX(0,$M32)*MAX(0,AH$4)/100))</f>
        <v/>
      </c>
      <c r="AI32">
        <f>IF($C32="",0,IF($M32="",0,MAX(0,$M32)*MAX(0,AI$4)/100))</f>
        <v/>
      </c>
      <c r="AJ32">
        <f>IF($C32="",0,MAX(0,MAX(0,N($L32))-$V32))</f>
        <v/>
      </c>
      <c r="AK32">
        <f>IF($C32="",0,MAX(0,$AJ32-$W32))</f>
        <v/>
      </c>
      <c r="AL32">
        <f>IF($C32="",0,MAX(0,$AK32-$X32))</f>
        <v/>
      </c>
      <c r="AM32">
        <f>IF($C32="",0,MAX(0,$AL32-$Y32))</f>
        <v/>
      </c>
      <c r="AN32">
        <f>IF($C32="",0,MAX(0,$AM32-$Z32))</f>
        <v/>
      </c>
      <c r="AO32">
        <f>IF($C32="",0,MAX(0,$AN32-$AA32))</f>
        <v/>
      </c>
      <c r="AP32">
        <f>IF($C32="",0,MAX(0,$AO32-$AB32))</f>
        <v/>
      </c>
      <c r="AQ32">
        <f>IF($C32="",0,MAX(0,$AP32-$AC32))</f>
        <v/>
      </c>
      <c r="AR32">
        <f>IF($C32="",0,MAX(0,$AQ32-$AD32))</f>
        <v/>
      </c>
      <c r="AS32">
        <f>IF($C32="",0,MAX(0,$AR32-$AE32))</f>
        <v/>
      </c>
      <c r="AT32">
        <f>IF($C32="",0,MAX(0,$AS32-$AF32))</f>
        <v/>
      </c>
      <c r="AU32">
        <f>IF($C32="",0,MAX(0,$AT32-$AG32))</f>
        <v/>
      </c>
      <c r="AV32">
        <f>IF($C32="",0,MAX(0,$AU32-$AH32))</f>
        <v/>
      </c>
      <c r="AW32">
        <f>IF($C32="",0,MAX(0,$AV32-$AI32))</f>
        <v/>
      </c>
      <c r="AX32">
        <f>IF($C32="",0,MAX(0,MAX(0,N($L32))+IF($P32=V$3,$R32,0)+IF($S32=V$3,$U32,0)-$V32))</f>
        <v/>
      </c>
      <c r="AY32">
        <f>IF($C32="",0,MAX(0,$AX32+IF($P32=W$3,$R32,0)+IF($S32=W$3,$U32,0)-$W32))</f>
        <v/>
      </c>
      <c r="AZ32">
        <f>IF($C32="",0,MAX(0,$AY32+IF($P32=X$3,$R32,0)+IF($S32=X$3,$U32,0)-$X32))</f>
        <v/>
      </c>
      <c r="BA32">
        <f>IF($C32="",0,MAX(0,$AZ32+IF($P32=Y$3,$R32,0)+IF($S32=Y$3,$U32,0)-$Y32))</f>
        <v/>
      </c>
      <c r="BB32">
        <f>IF($C32="",0,MAX(0,$BA32+IF($P32=Z$3,$R32,0)+IF($S32=Z$3,$U32,0)-$Z32))</f>
        <v/>
      </c>
      <c r="BC32">
        <f>IF($C32="",0,MAX(0,$BB32+IF($P32=AA$3,$R32,0)+IF($S32=AA$3,$U32,0)-$AA32))</f>
        <v/>
      </c>
      <c r="BD32">
        <f>IF($C32="",0,MAX(0,$BC32+IF($P32=AB$3,$R32,0)+IF($S32=AB$3,$U32,0)-$AB32))</f>
        <v/>
      </c>
      <c r="BE32">
        <f>IF($C32="",0,MAX(0,$BD32+IF($P32=AC$3,$R32,0)+IF($S32=AC$3,$U32,0)-$AC32))</f>
        <v/>
      </c>
      <c r="BF32">
        <f>IF($C32="",0,MAX(0,$BE32+IF($P32=AD$3,$R32,0)+IF($S32=AD$3,$U32,0)-$AD32))</f>
        <v/>
      </c>
      <c r="BG32">
        <f>IF($C32="",0,MAX(0,$BF32+IF($P32=AE$3,$R32,0)+IF($S32=AE$3,$U32,0)-$AE32))</f>
        <v/>
      </c>
      <c r="BH32">
        <f>IF($C32="",0,MAX(0,$BG32+IF($P32=AF$3,$R32,0)+IF($S32=AF$3,$U32,0)-$AF32))</f>
        <v/>
      </c>
      <c r="BI32">
        <f>IF($C32="",0,MAX(0,$BH32+IF($P32=AG$3,$R32,0)+IF($S32=AG$3,$U32,0)-$AG32))</f>
        <v/>
      </c>
      <c r="BJ32">
        <f>IF($C32="",0,MAX(0,$BI32+IF($P32=AH$3,$R32,0)+IF($S32=AH$3,$U32,0)-$AH32))</f>
        <v/>
      </c>
      <c r="BK32">
        <f>IF($C32="",0,MAX(0,$BJ32+IF($P32=AI$3,$R32,0)+IF($S32=AI$3,$U32,0)-$AI32))</f>
        <v/>
      </c>
      <c r="BL32">
        <f>IF($C32="",99,IF(AND($AX32&lt;1,V$3&gt;=MAX(N($P32),N($S32))),0,99))</f>
        <v/>
      </c>
      <c r="BM32">
        <f>IF($C32="",99,IF(AND($AY32&lt;1,W$3&gt;=MAX(N($P32),N($S32))),1,99))</f>
        <v/>
      </c>
      <c r="BN32">
        <f>IF($C32="",99,IF(AND($AZ32&lt;1,X$3&gt;=MAX(N($P32),N($S32))),2,99))</f>
        <v/>
      </c>
      <c r="BO32">
        <f>IF($C32="",99,IF(AND($BA32&lt;1,Y$3&gt;=MAX(N($P32),N($S32))),3,99))</f>
        <v/>
      </c>
      <c r="BP32">
        <f>IF($C32="",99,IF(AND($BB32&lt;1,Z$3&gt;=MAX(N($P32),N($S32))),4,99))</f>
        <v/>
      </c>
      <c r="BQ32">
        <f>IF($C32="",99,IF(AND($BC32&lt;1,AA$3&gt;=MAX(N($P32),N($S32))),5,99))</f>
        <v/>
      </c>
      <c r="BR32">
        <f>IF($C32="",99,IF(AND($BD32&lt;1,AB$3&gt;=MAX(N($P32),N($S32))),6,99))</f>
        <v/>
      </c>
      <c r="BS32">
        <f>IF($C32="",99,IF(AND($BE32&lt;1,AC$3&gt;=MAX(N($P32),N($S32))),7,99))</f>
        <v/>
      </c>
      <c r="BT32">
        <f>IF($C32="",99,IF(AND($BF32&lt;1,AD$3&gt;=MAX(N($P32),N($S32))),8,99))</f>
        <v/>
      </c>
      <c r="BU32">
        <f>IF($C32="",99,IF(AND($BG32&lt;1,AE$3&gt;=MAX(N($P32),N($S32))),9,99))</f>
        <v/>
      </c>
      <c r="BV32">
        <f>IF($C32="",99,IF(AND($BH32&lt;1,AF$3&gt;=MAX(N($P32),N($S32))),10,99))</f>
        <v/>
      </c>
      <c r="BW32">
        <f>IF($C32="",99,IF(AND($BI32&lt;1,AG$3&gt;=MAX(N($P32),N($S32))),11,99))</f>
        <v/>
      </c>
      <c r="BX32">
        <f>IF($C32="",99,IF(AND($BJ32&lt;1,AH$3&gt;=MAX(N($P32),N($S32))),12,99))</f>
        <v/>
      </c>
      <c r="BY32">
        <f>IF($C32="",99,IF(AND($BK32&lt;1,AI$3&gt;=MAX(N($P32),N($S32))),13,99))</f>
        <v/>
      </c>
      <c r="BZ32">
        <f>IF(OR($C32="",$M32=""),"",COUNTIF($AJ32:$AW32,"&gt;=1"))</f>
        <v/>
      </c>
      <c r="CA32" s="90">
        <f>IF($BZ32="","",IF($BZ32&gt;=14,"",'設定'!$C$6+$BZ32))</f>
        <v/>
      </c>
      <c r="CB32">
        <f>IF(OR($C32="",$M32=""),"",MIN($BL32:$BY32))</f>
        <v/>
      </c>
      <c r="CC32" s="90">
        <f>IF($CB32="","",IF($CB32&gt;=99,"",'設定'!$C$6+$CB32))</f>
        <v/>
      </c>
      <c r="CD32">
        <f>IF(OR($C32="",$M32=""),"",AVERAGE($V32:$AI32))</f>
        <v/>
      </c>
      <c r="CE32">
        <f>IF($C32="","",IFERROR(IF(MATCH(IF(ISNUMBER($P32),$P32,'設定'!$C$6+N('設定'!$C$7)),$V$3:$AI$3,0)=1,MAX(0,N($L32)),INDEX($AJ32:$AW32,MATCH(IF(ISNUMBER($P32),$P32,'設定'!$C$6+N('設定'!$C$7)),$V$3:$AI$3,0)-1)),""))</f>
        <v/>
      </c>
      <c r="CF32">
        <f>IF(OR($C32="",$O32="",$CE32=""),"",IF($O32-$CE32&lt;=0,0,ROUNDUP(($O32-$CE32)/$G32,0)))</f>
        <v/>
      </c>
      <c r="CG32">
        <f>IF(OR($C32="",$CF32="",NOT(ISNUMBER($Q32))),0,MAX(0,$Q32-$CF32))</f>
        <v/>
      </c>
      <c r="CH32">
        <f>IF(OR($C32="",$O32="",$U32=0),0,IFERROR(ROUNDUP(MAX(0,IF(MATCH($S32,$V$3:$AI$3,0)=1,MAX(0,N($L32)),INDEX($AX32:$BK32,MATCH($S32,$V$3:$AI$3,0)-1))+$U32-$O32)/$G32,0),0))</f>
        <v/>
      </c>
      <c r="CI32">
        <f>IF($C32="","",IF(AND($P32="",$Q32=""),"",IF($P32="","⚠ 入庫日を ▼ から選んでください",IF(NOT(ISNUMBER($P32)),"⚠ 入庫日は ▼ から選んでください",IF($P32&lt;N('設定'!$C$6),"⚠ 入庫日が過去です（もう在庫に入っています）→ 消してください",IF($P32&gt;N('設定'!$C$6)+13,"⚠ 入庫日が14日より先です",IF(N($Q32)&lt;=0,"⚠ 入庫数を入れてください",IF($CG32&gt;0,"⚠ 目安より "&amp;$CG32&amp;" 多い（定数を超える）→ 減らす",""))))))))</f>
        <v/>
      </c>
      <c r="CJ32">
        <f>IF($C32="","",IF(AND($S32="",$T32=""),"",IF($S32="","⚠ 2便目：入庫日を ▼ から選んでください",IF(NOT(ISNUMBER($S32)),"⚠ 2便目：入庫日は ▼ から選んでください",IF($S32&lt;N('設定'!$C$6),"⚠ 2便目：入庫日が過去です（もう在庫に入っています）→ 消してください",IF($S32&gt;N('設定'!$C$6)+13,"⚠ 2便目：入庫日が14日より先です",IF(N($T32)&lt;=0,"⚠ 2便目：入庫数を入れてください",IF($CH32&gt;0,"⚠ 2便目：定数を "&amp;$CH32&amp;" ケース超える → 減らす",""))))))))</f>
        <v/>
      </c>
      <c r="CK32">
        <f>IF(AND($CI32="",N($Q32)&gt;0,ISNUMBER($P32)),1,0)</f>
        <v/>
      </c>
      <c r="CL32">
        <f>IF(AND($CJ32="",N($T32)&gt;0,ISNUMBER($S32)),1,0)</f>
        <v/>
      </c>
      <c r="CM32">
        <f>IF(OR($CK32=1,$CL32=1),1,0)</f>
        <v/>
      </c>
      <c r="CN32">
        <f>IF($C32="",0,($CK32*$R32+$CL32*$U32)*N($H32))</f>
        <v/>
      </c>
      <c r="CO32">
        <f>IF($C32="","",IF($CC32="","入庫後は 14日以上もつ",IF($CC32-N('設定'!$C$7)&lt;='設定'!$C$6,"入庫後も "&amp;TEXT($CC32,"m/d")&amp;"("&amp;CHOOSE(WEEKDAY($CC32),"日","月","火","水","木","金","土")&amp;")"&amp;" に切れる　もう1便を至急発注","入庫後も "&amp;TEXT($CC32,"m/d")&amp;"("&amp;CHOOSE(WEEKDAY($CC32),"日","月","火","水","木","金","土")&amp;")"&amp;" に切れる　"&amp;TEXT($CC32-N('設定'!$C$7),"m/d")&amp;"("&amp;CHOOSE(WEEKDAY($CC32-N('設定'!$C$7)),"日","月","火","水","木","金","土")&amp;")"&amp;" までに次を発注")))</f>
        <v/>
      </c>
      <c r="CP32">
        <f>IF($C32="","",IF('設定'!$C$6="","？ ①在庫を貼る に今日のCSVが貼られていない",IF($CS32=1,"－ 今日のCSVに無い（終売？）",IF($L32&lt;0,"● 在庫がマイナス　数えて「数えた在庫」に入れる",IF($L32=0,"● 在庫なし　至急発注",IF($M32="","？ 減り数が未設定（商品マスタ）",IF($B$3=0,"？ 動員が未入力（動員を入れる）",IF($CA32="","○ 14日以上もつ",IF($BZ32&lt;N('設定'!$C$7),"● "&amp;TEXT($CA32,"m/d")&amp;"("&amp;CHOOSE(WEEKDAY($CA32),"日","月","火","水","木","金","土")&amp;")"&amp;" に切れる　至急発注",IF($BZ32=N('設定'!$C$7),"● "&amp;TEXT($CA32,"m/d")&amp;"("&amp;CHOOSE(WEEKDAY($CA32),"日","月","火","水","木","金","土")&amp;")"&amp;" に切れる　今日発注","△ "&amp;TEXT($CA32,"m/d")&amp;"("&amp;CHOOSE(WEEKDAY($CA32),"日","月","火","水","木","金","土")&amp;")"&amp;" に切れる　"&amp;TEXT($CA32-N('設定'!$C$7),"m/d")&amp;"("&amp;CHOOSE(WEEKDAY($CA32-N('設定'!$C$7)),"日","月","火","水","木","金","土")&amp;")"&amp;" までに発注"))))))))))</f>
        <v/>
      </c>
      <c r="CQ32">
        <f>IF($C32="","",IF(AND($P32="",$Q32="",$S32="",$T32=""),"",IF(AND($P32="",$Q32=""),"⚠ 先に1便目（左の入庫日・入庫数）に入れてください",IF($CI32&lt;&gt;"",$CI32,IF($CJ32&lt;&gt;"",$CJ32,IF($M32="","？ 減り数が未設定（発注書には載ります）",IF($B$3=0,"？ 動員が未入力（発注書には載ります）",IF(AND($CA32&lt;&gt;"",$P32&gt;$CA32),IF($P32&gt;'設定'!$C$6+N('設定'!$C$7),"● "&amp;TEXT($P32,"m/d")&amp;"("&amp;CHOOSE(WEEKDAY($P32),"日","月","火","水","木","金","土")&amp;")"&amp;" の入庫では間に合わない（"&amp;TEXT($CA32,"m/d")&amp;"("&amp;CHOOSE(WEEKDAY($CA32),"日","月","火","水","木","金","土")&amp;")"&amp;" に切れる）　入庫日を早める","△ 欠品 "&amp;TEXT($CA32,"m/d")&amp;"("&amp;CHOOSE(WEEKDAY($CA32),"日","月","火","水","木","金","土")&amp;")"&amp;"〜"&amp;TEXT($P32-1,"m/d")&amp;"("&amp;CHOOSE(WEEKDAY($P32-1),"日","月","火","水","木","金","土")&amp;")"&amp;"　"&amp;$CO32),IF($CC32="","○ "&amp;TEXT($P32,"m/d")&amp;"("&amp;CHOOSE(WEEKDAY($P32),"日","月","火","水","木","金","土")&amp;")"&amp;" 入庫で 14日以上もつ",IF($CC32-N('設定'!$C$7)&lt;='設定'!$C$6,"● 入庫しても "&amp;TEXT($CC32,"m/d")&amp;"("&amp;CHOOSE(WEEKDAY($CC32),"日","月","火","水","木","金","土")&amp;")"&amp;" に切れる　もう1便を至急発注（2便目に入れる）","△ 入庫しても "&amp;TEXT($CC32,"m/d")&amp;"("&amp;CHOOSE(WEEKDAY($CC32),"日","月","火","水","木","金","土")&amp;")"&amp;" に切れる　"&amp;TEXT($CC32-N('設定'!$C$7),"m/d")&amp;"("&amp;CHOOSE(WEEKDAY($CC32-N('設定'!$C$7)),"日","月","火","水","木","金","土")&amp;")"&amp;" までに次を発注（2便目に入れる）"))))))))))</f>
        <v/>
      </c>
      <c r="CR32">
        <f>IF($C32="","",IF($G32&gt;1,"ｹｰｽ("&amp;$G32&amp;"入)","個"))</f>
        <v/>
      </c>
      <c r="CS32">
        <f>IF($C32="",0,IF(COUNTIFS('①在庫を貼る'!$V$6:$V$10005,'設定'!$C$4,'①在庫を貼る'!$W$6:$W$10005,$C32)=0,1,0))</f>
        <v/>
      </c>
      <c r="CT32">
        <f>IF(AND($CK32=1,OR('③発注書'!$C$4="すべて",'③発注書'!$C$4="",$F32='③発注書'!$C$4)),N($CT31)+1,N($CT31))</f>
        <v/>
      </c>
      <c r="CU32">
        <f>IF(AND($CL32=1,OR('③発注書'!$C$4="すべて",'③発注書'!$C$4="",$F32='③発注書'!$C$4)),N($CU31)+1,N($CU31))</f>
        <v/>
      </c>
      <c r="CV32">
        <f>IF($C32="",0,IF(COUNTIFS('①在庫を貼る'!$V$6:$V$10005,'設定'!$C$4,'①在庫を貼る'!$W$6:$W$10005,$C32)&gt;0,1,0))</f>
        <v/>
      </c>
      <c r="CW32">
        <f>IF($C32="",0,IF(COUNTIFS('月1回_1ヶ月前の在庫'!$V$6:$V$10005,'設定'!$C$4,'月1回_1ヶ月前の在庫'!$W$6:$W$10005,$C32)&gt;0,1,0))</f>
        <v/>
      </c>
      <c r="CX32">
        <f>IF($C32="",0,IF(COUNTIFS('月1回_2ヶ月前の在庫'!$V$6:$V$10005,'設定'!$C$4,'月1回_2ヶ月前の在庫'!$W$6:$W$10005,$C32)&gt;0,1,0))</f>
        <v/>
      </c>
      <c r="CY32">
        <f>IF(OR($C32="",'設定'!$C$12=""),"",IF('設定'!$C$13="",IF(AND($CV32=1,$CW32=0),"新商品（今月から）",IF(AND($CV32=0,$CW32=1),"終売（今月から）","")),IF(AND($CV32=1,$CW32=0,$CX32=0),"新商品（今月から）",IF(AND($CV32=1,$CW32=1,$CX32=0),"新商品（先月から）",IF(AND($CV32=0,$CW32=1,$CX32=1),"終売（今月から）",IF(AND($CV32=0,$CW32=0,$CX32=1),"終売（先月から）",IF(AND($CV32=1,$CW32=0,$CX32=1),"復活（先月は無し）","")))))))</f>
        <v/>
      </c>
    </row>
    <row r="33">
      <c r="B33">
        <f>IF(28&lt;='設定'!$C$11,28,"")</f>
        <v/>
      </c>
      <c r="C33">
        <f>IF($B33="","",IF($B33&lt;='設定'!$C$20,INDEX('商品マスタ'!$B$6:$B$1005,MATCH($B33,'商品マスタ'!$M$6:$M$1005,0)),IF($B33&lt;='設定'!$C$20+'設定'!$C$17,INDEX('①在庫を貼る'!$W$6:$W$10005,MATCH($B33-'設定'!$C$20,'①在庫を貼る'!$U$6:$U$10005,0)),IF($B33&lt;='設定'!$C$20+'設定'!$C$17+'設定'!$C$18,INDEX('月1回_1ヶ月前の在庫'!$W$6:$W$10005,MATCH($B33-'設定'!$C$20-'設定'!$C$17,'月1回_1ヶ月前の在庫'!$U$6:$U$10005,0)),INDEX('月1回_2ヶ月前の在庫'!$W$6:$W$10005,MATCH($B33-'設定'!$C$20-'設定'!$C$17-'設定'!$C$18,'月1回_2ヶ月前の在庫'!$U$6:$U$10005,0))))))</f>
        <v/>
      </c>
      <c r="D33">
        <f>IF($C33="","",IFERROR(IF(INDEX('商品マスタ'!$C$6:$C$1005,MATCH($C33,'商品マスタ'!$B$6:$B$1005,0))="",IFERROR(INDEX('①在庫を貼る'!$J$6:$J$10005,MATCH($C33,'①在庫を貼る'!$W$6:$W$10005,0)),IFERROR(INDEX('月1回_1ヶ月前の在庫'!$J$6:$J$10005,MATCH($C33,'月1回_1ヶ月前の在庫'!$W$6:$W$10005,0)),IFERROR(INDEX('月1回_2ヶ月前の在庫'!$J$6:$J$10005,MATCH($C33,'月1回_2ヶ月前の在庫'!$W$6:$W$10005,0)),""))),INDEX('商品マスタ'!$C$6:$C$1005,MATCH($C33,'商品マスタ'!$B$6:$B$1005,0))),IFERROR(INDEX('①在庫を貼る'!$J$6:$J$10005,MATCH($C33,'①在庫を貼る'!$W$6:$W$10005,0)),IFERROR(INDEX('月1回_1ヶ月前の在庫'!$J$6:$J$10005,MATCH($C33,'月1回_1ヶ月前の在庫'!$W$6:$W$10005,0)),IFERROR(INDEX('月1回_2ヶ月前の在庫'!$J$6:$J$10005,MATCH($C33,'月1回_2ヶ月前の在庫'!$W$6:$W$10005,0)),"")))))</f>
        <v/>
      </c>
      <c r="E33">
        <f>IF($C33="","",IFERROR(IF(INDEX('商品マスタ'!$D$6:$D$1005,MATCH($C33,'商品マスタ'!$B$6:$B$1005,0))="",IFERROR(INDEX('①在庫を貼る'!$H$6:$H$10005,MATCH($C33,'①在庫を貼る'!$W$6:$W$10005,0)),IFERROR(INDEX('月1回_1ヶ月前の在庫'!$H$6:$H$10005,MATCH($C33,'月1回_1ヶ月前の在庫'!$W$6:$W$10005,0)),IFERROR(INDEX('月1回_2ヶ月前の在庫'!$H$6:$H$10005,MATCH($C33,'月1回_2ヶ月前の在庫'!$W$6:$W$10005,0)),""))),INDEX('商品マスタ'!$D$6:$D$1005,MATCH($C33,'商品マスタ'!$B$6:$B$1005,0))),IFERROR(INDEX('①在庫を貼る'!$H$6:$H$10005,MATCH($C33,'①在庫を貼る'!$W$6:$W$10005,0)),IFERROR(INDEX('月1回_1ヶ月前の在庫'!$H$6:$H$10005,MATCH($C33,'月1回_1ヶ月前の在庫'!$W$6:$W$10005,0)),IFERROR(INDEX('月1回_2ヶ月前の在庫'!$H$6:$H$10005,MATCH($C33,'月1回_2ヶ月前の在庫'!$W$6:$W$10005,0)),"")))))</f>
        <v/>
      </c>
      <c r="F33">
        <f>IF($C33="","",IFERROR(IF(INDEX('商品マスタ'!$E$6:$E$1005,MATCH($C33,'商品マスタ'!$B$6:$B$1005,0))="",IFERROR(INDEX('①在庫を貼る'!$E$6:$E$10005,MATCH($C33,'①在庫を貼る'!$W$6:$W$10005,0)),IFERROR(INDEX('月1回_1ヶ月前の在庫'!$E$6:$E$10005,MATCH($C33,'月1回_1ヶ月前の在庫'!$W$6:$W$10005,0)),IFERROR(INDEX('月1回_2ヶ月前の在庫'!$E$6:$E$10005,MATCH($C33,'月1回_2ヶ月前の在庫'!$W$6:$W$10005,0)),""))),INDEX('商品マスタ'!$E$6:$E$1005,MATCH($C33,'商品マスタ'!$B$6:$B$1005,0))),IFERROR(INDEX('①在庫を貼る'!$E$6:$E$10005,MATCH($C33,'①在庫を貼る'!$W$6:$W$10005,0)),IFERROR(INDEX('月1回_1ヶ月前の在庫'!$E$6:$E$10005,MATCH($C33,'月1回_1ヶ月前の在庫'!$W$6:$W$10005,0)),IFERROR(INDEX('月1回_2ヶ月前の在庫'!$E$6:$E$10005,MATCH($C33,'月1回_2ヶ月前の在庫'!$W$6:$W$10005,0)),"")))))</f>
        <v/>
      </c>
      <c r="G33">
        <f>IF($C33="","",MAX(1,N(IFERROR(IF(INDEX('商品マスタ'!$F$6:$F$1005,MATCH($C33,'商品マスタ'!$B$6:$B$1005,0))="",IF(COUNTIFS('①在庫を貼る'!$V$6:$V$10005,'設定'!$C$4,'①在庫を貼る'!$W$6:$W$10005,$C33)&gt;0,SUMIFS('①在庫を貼る'!$K$6:$K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K$6:$K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K$6:$K$10005,'月1回_2ヶ月前の在庫'!$V$6:$V$10005,'設定'!$C$4,'月1回_2ヶ月前の在庫'!$W$6:$W$10005,$C33)/COUNTIFS('月1回_2ヶ月前の在庫'!$V$6:$V$10005,'設定'!$C$4,'月1回_2ヶ月前の在庫'!$W$6:$W$10005,$C33),0))),INDEX('商品マスタ'!$F$6:$F$1005,MATCH($C33,'商品マスタ'!$B$6:$B$1005,0))),IF(COUNTIFS('①在庫を貼る'!$V$6:$V$10005,'設定'!$C$4,'①在庫を貼る'!$W$6:$W$10005,$C33)&gt;0,SUMIFS('①在庫を貼る'!$K$6:$K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K$6:$K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K$6:$K$10005,'月1回_2ヶ月前の在庫'!$V$6:$V$10005,'設定'!$C$4,'月1回_2ヶ月前の在庫'!$W$6:$W$10005,$C33)/COUNTIFS('月1回_2ヶ月前の在庫'!$V$6:$V$10005,'設定'!$C$4,'月1回_2ヶ月前の在庫'!$W$6:$W$10005,$C33),0)))))))</f>
        <v/>
      </c>
      <c r="H33">
        <f>IF($C33="","",N(IFERROR(IF(INDEX('商品マスタ'!$G$6:$G$1005,MATCH($C33,'商品マスタ'!$B$6:$B$1005,0))="",IF(COUNTIFS('①在庫を貼る'!$V$6:$V$10005,'設定'!$C$4,'①在庫を貼る'!$W$6:$W$10005,$C33)&gt;0,SUMIFS('①在庫を貼る'!$Q$6:$Q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Q$6:$Q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Q$6:$Q$10005,'月1回_2ヶ月前の在庫'!$V$6:$V$10005,'設定'!$C$4,'月1回_2ヶ月前の在庫'!$W$6:$W$10005,$C33)/COUNTIFS('月1回_2ヶ月前の在庫'!$V$6:$V$10005,'設定'!$C$4,'月1回_2ヶ月前の在庫'!$W$6:$W$10005,$C33),0))),INDEX('商品マスタ'!$G$6:$G$1005,MATCH($C33,'商品マスタ'!$B$6:$B$1005,0))),IF(COUNTIFS('①在庫を貼る'!$V$6:$V$10005,'設定'!$C$4,'①在庫を貼る'!$W$6:$W$10005,$C33)&gt;0,SUMIFS('①在庫を貼る'!$Q$6:$Q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Q$6:$Q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Q$6:$Q$10005,'月1回_2ヶ月前の在庫'!$V$6:$V$10005,'設定'!$C$4,'月1回_2ヶ月前の在庫'!$W$6:$W$10005,$C33)/COUNTIFS('月1回_2ヶ月前の在庫'!$V$6:$V$10005,'設定'!$C$4,'月1回_2ヶ月前の在庫'!$W$6:$W$10005,$C33),0))))))</f>
        <v/>
      </c>
      <c r="I33">
        <f>IF($C33="","",IF(COUNTIFS('①在庫を貼る'!$V$6:$V$10005,'設定'!$C$4,'①在庫を貼る'!$W$6:$W$10005,$C33)=0,"",SUMIFS('①在庫を貼る'!$N$6:$N$10005,'①在庫を貼る'!$V$6:$V$10005,'設定'!$C$4,'①在庫を貼る'!$W$6:$W$10005,$C33)))</f>
        <v/>
      </c>
      <c r="J33">
        <f>IF($C33="","",IF('②発注する'!$AD37="","",'②発注する'!$AD37))</f>
        <v/>
      </c>
      <c r="K33" s="90">
        <f>IF($C33="","",IF('②発注する'!$AE37="","",'②発注する'!$AE37))</f>
        <v/>
      </c>
      <c r="L33">
        <f>IF($C33="","",IF(AND(ISNUMBER($J33),ISNUMBER($K33),$K33&gt;='設定'!$C$6),$J33,N($I33)))</f>
        <v/>
      </c>
      <c r="M33">
        <f>IF($C33="","",IFERROR(IF(N(INDEX('商品マスタ'!$J$6:$J$1005,MATCH($C33,'商品マスタ'!$B$6:$B$1005,0)))&gt;0,INDEX('商品マスタ'!$J$6:$J$1005,MATCH($C33,'商品マスタ'!$B$6:$B$1005,0)),""),""))</f>
        <v/>
      </c>
      <c r="N33">
        <f>IF($C33="","",IFERROR(IF(N(INDEX('商品マスタ'!$H$6:$H$1005,MATCH($C33,'商品マスタ'!$B$6:$B$1005,0)))&gt;0,INDEX('商品マスタ'!$H$6:$H$1005,MATCH($C33,'商品マスタ'!$B$6:$B$1005,0)),""),""))</f>
        <v/>
      </c>
      <c r="O33">
        <f>IF($C33="","",IF($N33&lt;&gt;"",$N33*$G33,IF(N(IF(COUNTIFS('①在庫を貼る'!$V$6:$V$10005,'設定'!$C$4,'①在庫を貼る'!$W$6:$W$10005,$C33)&gt;0,SUMIFS('①在庫を貼る'!$O$6:$O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O$6:$O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O$6:$O$10005,'月1回_2ヶ月前の在庫'!$V$6:$V$10005,'設定'!$C$4,'月1回_2ヶ月前の在庫'!$W$6:$W$10005,$C33)/COUNTIFS('月1回_2ヶ月前の在庫'!$V$6:$V$10005,'設定'!$C$4,'月1回_2ヶ月前の在庫'!$W$6:$W$10005,$C33),0))))&gt;0,N(IF(COUNTIFS('①在庫を貼る'!$V$6:$V$10005,'設定'!$C$4,'①在庫を貼る'!$W$6:$W$10005,$C33)&gt;0,SUMIFS('①在庫を貼る'!$O$6:$O$10005,'①在庫を貼る'!$V$6:$V$10005,'設定'!$C$4,'①在庫を貼る'!$W$6:$W$10005,$C33)/COUNTIFS('①在庫を貼る'!$V$6:$V$10005,'設定'!$C$4,'①在庫を貼る'!$W$6:$W$10005,$C33),IF(COUNTIFS('月1回_1ヶ月前の在庫'!$V$6:$V$10005,'設定'!$C$4,'月1回_1ヶ月前の在庫'!$W$6:$W$10005,$C33)&gt;0,SUMIFS('月1回_1ヶ月前の在庫'!$O$6:$O$10005,'月1回_1ヶ月前の在庫'!$V$6:$V$10005,'設定'!$C$4,'月1回_1ヶ月前の在庫'!$W$6:$W$10005,$C33)/COUNTIFS('月1回_1ヶ月前の在庫'!$V$6:$V$10005,'設定'!$C$4,'月1回_1ヶ月前の在庫'!$W$6:$W$10005,$C33),IF(COUNTIFS('月1回_2ヶ月前の在庫'!$V$6:$V$10005,'設定'!$C$4,'月1回_2ヶ月前の在庫'!$W$6:$W$10005,$C33)&gt;0,SUMIFS('月1回_2ヶ月前の在庫'!$O$6:$O$10005,'月1回_2ヶ月前の在庫'!$V$6:$V$10005,'設定'!$C$4,'月1回_2ヶ月前の在庫'!$W$6:$W$10005,$C33)/COUNTIFS('月1回_2ヶ月前の在庫'!$V$6:$V$10005,'設定'!$C$4,'月1回_2ヶ月前の在庫'!$W$6:$W$10005,$C33),0)))),"")))</f>
        <v/>
      </c>
      <c r="P33" s="90">
        <f>IF($C33="","",IF('②発注する'!$I37="","",'②発注する'!$I37))</f>
        <v/>
      </c>
      <c r="Q33">
        <f>IF($C33="","",IF('②発注する'!$J37="","",'②発注する'!$J37))</f>
        <v/>
      </c>
      <c r="R33">
        <f>IF($C33="",0,IF(AND(ISNUMBER($P33),ISNUMBER($Q33)),MAX(0,$Q33)*$G33,0))</f>
        <v/>
      </c>
      <c r="S33" s="90">
        <f>IF($C33="","",IF('②発注する'!$M37="","",'②発注する'!$M37))</f>
        <v/>
      </c>
      <c r="T33">
        <f>IF($C33="","",IF('②発注する'!$N37="","",'②発注する'!$N37))</f>
        <v/>
      </c>
      <c r="U33">
        <f>IF($C33="",0,IF(AND(ISNUMBER($S33),ISNUMBER($T33)),MAX(0,$T33)*$G33,0))</f>
        <v/>
      </c>
      <c r="V33">
        <f>IF($C33="",0,IF($M33="",0,MAX(0,$M33)*MAX(0,V$4)/100))</f>
        <v/>
      </c>
      <c r="W33">
        <f>IF($C33="",0,IF($M33="",0,MAX(0,$M33)*MAX(0,W$4)/100))</f>
        <v/>
      </c>
      <c r="X33">
        <f>IF($C33="",0,IF($M33="",0,MAX(0,$M33)*MAX(0,X$4)/100))</f>
        <v/>
      </c>
      <c r="Y33">
        <f>IF($C33="",0,IF($M33="",0,MAX(0,$M33)*MAX(0,Y$4)/100))</f>
        <v/>
      </c>
      <c r="Z33">
        <f>IF($C33="",0,IF($M33="",0,MAX(0,$M33)*MAX(0,Z$4)/100))</f>
        <v/>
      </c>
      <c r="AA33">
        <f>IF($C33="",0,IF($M33="",0,MAX(0,$M33)*MAX(0,AA$4)/100))</f>
        <v/>
      </c>
      <c r="AB33">
        <f>IF($C33="",0,IF($M33="",0,MAX(0,$M33)*MAX(0,AB$4)/100))</f>
        <v/>
      </c>
      <c r="AC33">
        <f>IF($C33="",0,IF($M33="",0,MAX(0,$M33)*MAX(0,AC$4)/100))</f>
        <v/>
      </c>
      <c r="AD33">
        <f>IF($C33="",0,IF($M33="",0,MAX(0,$M33)*MAX(0,AD$4)/100))</f>
        <v/>
      </c>
      <c r="AE33">
        <f>IF($C33="",0,IF($M33="",0,MAX(0,$M33)*MAX(0,AE$4)/100))</f>
        <v/>
      </c>
      <c r="AF33">
        <f>IF($C33="",0,IF($M33="",0,MAX(0,$M33)*MAX(0,AF$4)/100))</f>
        <v/>
      </c>
      <c r="AG33">
        <f>IF($C33="",0,IF($M33="",0,MAX(0,$M33)*MAX(0,AG$4)/100))</f>
        <v/>
      </c>
      <c r="AH33">
        <f>IF($C33="",0,IF($M33="",0,MAX(0,$M33)*MAX(0,AH$4)/100))</f>
        <v/>
      </c>
      <c r="AI33">
        <f>IF($C33="",0,IF($M33="",0,MAX(0,$M33)*MAX(0,AI$4)/100))</f>
        <v/>
      </c>
      <c r="AJ33">
        <f>IF($C33="",0,MAX(0,MAX(0,N($L33))-$V33))</f>
        <v/>
      </c>
      <c r="AK33">
        <f>IF($C33="",0,MAX(0,$AJ33-$W33))</f>
        <v/>
      </c>
      <c r="AL33">
        <f>IF($C33="",0,MAX(0,$AK33-$X33))</f>
        <v/>
      </c>
      <c r="AM33">
        <f>IF($C33="",0,MAX(0,$AL33-$Y33))</f>
        <v/>
      </c>
      <c r="AN33">
        <f>IF($C33="",0,MAX(0,$AM33-$Z33))</f>
        <v/>
      </c>
      <c r="AO33">
        <f>IF($C33="",0,MAX(0,$AN33-$AA33))</f>
        <v/>
      </c>
      <c r="AP33">
        <f>IF($C33="",0,MAX(0,$AO33-$AB33))</f>
        <v/>
      </c>
      <c r="AQ33">
        <f>IF($C33="",0,MAX(0,$AP33-$AC33))</f>
        <v/>
      </c>
      <c r="AR33">
        <f>IF($C33="",0,MAX(0,$AQ33-$AD33))</f>
        <v/>
      </c>
      <c r="AS33">
        <f>IF($C33="",0,MAX(0,$AR33-$AE33))</f>
        <v/>
      </c>
      <c r="AT33">
        <f>IF($C33="",0,MAX(0,$AS33-$AF33))</f>
        <v/>
      </c>
      <c r="AU33">
        <f>IF($C33="",0,MAX(0,$AT33-$AG33))</f>
        <v/>
      </c>
      <c r="AV33">
        <f>IF($C33="",0,MAX(0,$AU33-$AH33))</f>
        <v/>
      </c>
      <c r="AW33">
        <f>IF($C33="",0,MAX(0,$AV33-$AI33))</f>
        <v/>
      </c>
      <c r="AX33">
        <f>IF($C33="",0,MAX(0,MAX(0,N($L33))+IF($P33=V$3,$R33,0)+IF($S33=V$3,$U33,0)-$V33))</f>
        <v/>
      </c>
      <c r="AY33">
        <f>IF($C33="",0,MAX(0,$AX33+IF($P33=W$3,$R33,0)+IF($S33=W$3,$U33,0)-$W33))</f>
        <v/>
      </c>
      <c r="AZ33">
        <f>IF($C33="",0,MAX(0,$AY33+IF($P33=X$3,$R33,0)+IF($S33=X$3,$U33,0)-$X33))</f>
        <v/>
      </c>
      <c r="BA33">
        <f>IF($C33="",0,MAX(0,$AZ33+IF($P33=Y$3,$R33,0)+IF($S33=Y$3,$U33,0)-$Y33))</f>
        <v/>
      </c>
      <c r="BB33">
        <f>IF($C33="",0,MAX(0,$BA33+IF($P33=Z$3,$R33,0)+IF($S33=Z$3,$U33,0)-$Z33))</f>
        <v/>
      </c>
      <c r="BC33">
        <f>IF($C33="",0,MAX(0,$BB33+IF($P33=AA$3,$R33,0)+IF($S33=AA$3,$U33,0)-$AA33))</f>
        <v/>
      </c>
      <c r="BD33">
        <f>IF($C33="",0,MAX(0,$BC33+IF($P33=AB$3,$R33,0)+IF($S33=AB$3,$U33,0)-$AB33))</f>
        <v/>
      </c>
      <c r="BE33">
        <f>IF($C33="",0,MAX(0,$BD33+IF($P33=AC$3,$R33,0)+IF($S33=AC$3,$U33,0)-$AC33))</f>
        <v/>
      </c>
      <c r="BF33">
        <f>IF($C33="",0,MAX(0,$BE33+IF($P33=AD$3,$R33,0)+IF($S33=AD$3,$U33,0)-$AD33))</f>
        <v/>
      </c>
      <c r="BG33">
        <f>IF($C33="",0,MAX(0,$BF33+IF($P33=AE$3,$R33,0)+IF($S33=AE$3,$U33,0)-$AE33))</f>
        <v/>
      </c>
      <c r="BH33">
        <f>IF($C33="",0,MAX(0,$BG33+IF($P33=AF$3,$R33,0)+IF($S33=AF$3,$U33,0)-$AF33))</f>
        <v/>
      </c>
      <c r="BI33">
        <f>IF($C33="",0,MAX(0,$BH33+IF($P33=AG$3,$R33,0)+IF($S33=AG$3,$U33,0)-$AG33))</f>
        <v/>
      </c>
      <c r="BJ33">
        <f>IF($C33="",0,MAX(0,$BI33+IF($P33=AH$3,$R33,0)+IF($S33=AH$3,$U33,0)-$AH33))</f>
        <v/>
      </c>
      <c r="BK33">
        <f>IF($C33="",0,MAX(0,$BJ33+IF($P33=AI$3,$R33,0)+IF($S33=AI$3,$U33,0)-$AI33))</f>
        <v/>
      </c>
      <c r="BL33">
        <f>IF($C33="",99,IF(AND($AX33&lt;1,V$3&gt;=MAX(N($P33),N($S33))),0,99))</f>
        <v/>
      </c>
      <c r="BM33">
        <f>IF($C33="",99,IF(AND($AY33&lt;1,W$3&gt;=MAX(N($P33),N($S33))),1,99))</f>
        <v/>
      </c>
      <c r="BN33">
        <f>IF($C33="",99,IF(AND($AZ33&lt;1,X$3&gt;=MAX(N($P33),N($S33))),2,99))</f>
        <v/>
      </c>
      <c r="BO33">
        <f>IF($C33="",99,IF(AND($BA33&lt;1,Y$3&gt;=MAX(N($P33),N($S33))),3,99))</f>
        <v/>
      </c>
      <c r="BP33">
        <f>IF($C33="",99,IF(AND($BB33&lt;1,Z$3&gt;=MAX(N($P33),N($S33))),4,99))</f>
        <v/>
      </c>
      <c r="BQ33">
        <f>IF($C33="",99,IF(AND($BC33&lt;1,AA$3&gt;=MAX(N($P33),N($S33))),5,99))</f>
        <v/>
      </c>
      <c r="BR33">
        <f>IF($C33="",99,IF(AND($BD33&lt;1,AB$3&gt;=MAX(N($P33),N($S33))),6,99))</f>
        <v/>
      </c>
      <c r="BS33">
        <f>IF($C33="",99,IF(AND($BE33&lt;1,AC$3&gt;=MAX(N($P33),N($S33))),7,99))</f>
        <v/>
      </c>
      <c r="BT33">
        <f>IF($C33="",99,IF(AND($BF33&lt;1,AD$3&gt;=MAX(N($P33),N($S33))),8,99))</f>
        <v/>
      </c>
      <c r="BU33">
        <f>IF($C33="",99,IF(AND($BG33&lt;1,AE$3&gt;=MAX(N($P33),N($S33))),9,99))</f>
        <v/>
      </c>
      <c r="BV33">
        <f>IF($C33="",99,IF(AND($BH33&lt;1,AF$3&gt;=MAX(N($P33),N($S33))),10,99))</f>
        <v/>
      </c>
      <c r="BW33">
        <f>IF($C33="",99,IF(AND($BI33&lt;1,AG$3&gt;=MAX(N($P33),N($S33))),11,99))</f>
        <v/>
      </c>
      <c r="BX33">
        <f>IF($C33="",99,IF(AND($BJ33&lt;1,AH$3&gt;=MAX(N($P33),N($S33))),12,99))</f>
        <v/>
      </c>
      <c r="BY33">
        <f>IF($C33="",99,IF(AND($BK33&lt;1,AI$3&gt;=MAX(N($P33),N($S33))),13,99))</f>
        <v/>
      </c>
      <c r="BZ33">
        <f>IF(OR($C33="",$M33=""),"",COUNTIF($AJ33:$AW33,"&gt;=1"))</f>
        <v/>
      </c>
      <c r="CA33" s="90">
        <f>IF($BZ33="","",IF($BZ33&gt;=14,"",'設定'!$C$6+$BZ33))</f>
        <v/>
      </c>
      <c r="CB33">
        <f>IF(OR($C33="",$M33=""),"",MIN($BL33:$BY33))</f>
        <v/>
      </c>
      <c r="CC33" s="90">
        <f>IF($CB33="","",IF($CB33&gt;=99,"",'設定'!$C$6+$CB33))</f>
        <v/>
      </c>
      <c r="CD33">
        <f>IF(OR($C33="",$M33=""),"",AVERAGE($V33:$AI33))</f>
        <v/>
      </c>
      <c r="CE33">
        <f>IF($C33="","",IFERROR(IF(MATCH(IF(ISNUMBER($P33),$P33,'設定'!$C$6+N('設定'!$C$7)),$V$3:$AI$3,0)=1,MAX(0,N($L33)),INDEX($AJ33:$AW33,MATCH(IF(ISNUMBER($P33),$P33,'設定'!$C$6+N('設定'!$C$7)),$V$3:$AI$3,0)-1)),""))</f>
        <v/>
      </c>
      <c r="CF33">
        <f>IF(OR($C33="",$O33="",$CE33=""),"",IF($O33-$CE33&lt;=0,0,ROUNDUP(($O33-$CE33)/$G33,0)))</f>
        <v/>
      </c>
      <c r="CG33">
        <f>IF(OR($C33="",$CF33="",NOT(ISNUMBER($Q33))),0,MAX(0,$Q33-$CF33))</f>
        <v/>
      </c>
      <c r="CH33">
        <f>IF(OR($C33="",$O33="",$U33=0),0,IFERROR(ROUNDUP(MAX(0,IF(MATCH($S33,$V$3:$AI$3,0)=1,MAX(0,N($L33)),INDEX($AX33:$BK33,MATCH($S33,$V$3:$AI$3,0)-1))+$U33-$O33)/$G33,0),0))</f>
        <v/>
      </c>
      <c r="CI33">
        <f>IF($C33="","",IF(AND($P33="",$Q33=""),"",IF($P33="","⚠ 入庫日を ▼ から選んでください",IF(NOT(ISNUMBER($P33)),"⚠ 入庫日は ▼ から選んでください",IF($P33&lt;N('設定'!$C$6),"⚠ 入庫日が過去です（もう在庫に入っています）→ 消してください",IF($P33&gt;N('設定'!$C$6)+13,"⚠ 入庫日が14日より先です",IF(N($Q33)&lt;=0,"⚠ 入庫数を入れてください",IF($CG33&gt;0,"⚠ 目安より "&amp;$CG33&amp;" 多い（定数を超える）→ 減らす",""))))))))</f>
        <v/>
      </c>
      <c r="CJ33">
        <f>IF($C33="","",IF(AND($S33="",$T33=""),"",IF($S33="","⚠ 2便目：入庫日を ▼ から選んでください",IF(NOT(ISNUMBER($S33)),"⚠ 2便目：入庫日は ▼ から選んでください",IF($S33&lt;N('設定'!$C$6),"⚠ 2便目：入庫日が過去です（もう在庫に入っています）→ 消してください",IF($S33&gt;N('設定'!$C$6)+13,"⚠ 2便目：入庫日が14日より先です",IF(N($T33)&lt;=0,"⚠ 2便目：入庫数を入れてください",IF($CH33&gt;0,"⚠ 2便目：定数を "&amp;$CH33&amp;" ケース超える → 減らす",""))))))))</f>
        <v/>
      </c>
      <c r="CK33">
        <f>IF(AND($CI33="",N($Q33)&gt;0,ISNUMBER($P33)),1,0)</f>
        <v/>
      </c>
      <c r="CL33">
        <f>IF(AND($CJ33="",N($T33)&gt;0,ISNUMBER($S33)),1,0)</f>
        <v/>
      </c>
      <c r="CM33">
        <f>IF(OR($CK33=1,$CL33=1),1,0)</f>
        <v/>
      </c>
      <c r="CN33">
        <f>IF($C33="",0,($CK33*$R33+$CL33*$U33)*N($H33))</f>
        <v/>
      </c>
      <c r="CO33">
        <f>IF($C33="","",IF($CC33="","入庫後は 14日以上もつ",IF($CC33-N('設定'!$C$7)&lt;='設定'!$C$6,"入庫後も "&amp;TEXT($CC33,"m/d")&amp;"("&amp;CHOOSE(WEEKDAY($CC33),"日","月","火","水","木","金","土")&amp;")"&amp;" に切れる　もう1便を至急発注","入庫後も "&amp;TEXT($CC33,"m/d")&amp;"("&amp;CHOOSE(WEEKDAY($CC33),"日","月","火","水","木","金","土")&amp;")"&amp;" に切れる　"&amp;TEXT($CC33-N('設定'!$C$7),"m/d")&amp;"("&amp;CHOOSE(WEEKDAY($CC33-N('設定'!$C$7)),"日","月","火","水","木","金","土")&amp;")"&amp;" までに次を発注")))</f>
        <v/>
      </c>
      <c r="CP33">
        <f>IF($C33="","",IF('設定'!$C$6="","？ ①在庫を貼る に今日のCSVが貼られていない",IF($CS33=1,"－ 今日のCSVに無い（終売？）",IF($L33&lt;0,"● 在庫がマイナス　数えて「数えた在庫」に入れる",IF($L33=0,"● 在庫なし　至急発注",IF($M33="","？ 減り数が未設定（商品マスタ）",IF($B$3=0,"？ 動員が未入力（動員を入れる）",IF($CA33="","○ 14日以上もつ",IF($BZ33&lt;N('設定'!$C$7),"● "&amp;TEXT($CA33,"m/d")&amp;"("&amp;CHOOSE(WEEKDAY($CA33),"日","月","火","水","木","金","土")&amp;")"&amp;" に切れる　至急発注",IF($BZ33=N('設定'!$C$7),"● "&amp;TEXT($CA33,"m/d")&amp;"("&amp;CHOOSE(WEEKDAY($CA33),"日","月","火","水","木","金","土")&amp;")"&amp;" に切れる　今日発注","△ "&amp;TEXT($CA33,"m/d")&amp;"("&amp;CHOOSE(WEEKDAY($CA33),"日","月","火","水","木","金","土")&amp;")"&amp;" に切れる　"&amp;TEXT($CA33-N('設定'!$C$7),"m/d")&amp;"("&amp;CHOOSE(WEEKDAY($CA33-N('設定'!$C$7)),"日","月","火","水","木","金","土")&amp;")"&amp;" までに発注"))))))))))</f>
        <v/>
      </c>
      <c r="CQ33">
        <f>IF($C33="","",IF(AND($P33="",$Q33="",$S33="",$T33=""),"",IF(AND($P33="",$Q33=""),"⚠ 先に1便目（左の入庫日・入庫数）に入れてください",IF($CI33&lt;&gt;"",$CI33,IF($CJ33&lt;&gt;"",$CJ33,IF($M33="","？ 減り数が未設定（発注書には載ります）",IF($B$3=0,"？ 動員が未入力（発注書には載ります）",IF(AND($CA33&lt;&gt;"",$P33&gt;$CA33),IF($P33&gt;'設定'!$C$6+N('設定'!$C$7),"● "&amp;TEXT($P33,"m/d")&amp;"("&amp;CHOOSE(WEEKDAY($P33),"日","月","火","水","木","金","土")&amp;")"&amp;" の入庫では間に合わない（"&amp;TEXT($CA33,"m/d")&amp;"("&amp;CHOOSE(WEEKDAY($CA33),"日","月","火","水","木","金","土")&amp;")"&amp;" に切れる）　入庫日を早める","△ 欠品 "&amp;TEXT($CA33,"m/d")&amp;"("&amp;CHOOSE(WEEKDAY($CA33),"日","月","火","水","木","金","土")&amp;")"&amp;"〜"&amp;TEXT($P33-1,"m/d")&amp;"("&amp;CHOOSE(WEEKDAY($P33-1),"日","月","火","水","木","金","土")&amp;")"&amp;"　"&amp;$CO33),IF($CC33="","○ "&amp;TEXT($P33,"m/d")&amp;"("&amp;CHOOSE(WEEKDAY($P33),"日","月","火","水","木","金","土")&amp;")"&amp;" 入庫で 14日以上もつ",IF($CC33-N('設定'!$C$7)&lt;='設定'!$C$6,"● 入庫しても "&amp;TEXT($CC33,"m/d")&amp;"("&amp;CHOOSE(WEEKDAY($CC33),"日","月","火","水","木","金","土")&amp;")"&amp;" に切れる　もう1便を至急発注（2便目に入れる）","△ 入庫しても "&amp;TEXT($CC33,"m/d")&amp;"("&amp;CHOOSE(WEEKDAY($CC33),"日","月","火","水","木","金","土")&amp;")"&amp;" に切れる　"&amp;TEXT($CC33-N('設定'!$C$7),"m/d")&amp;"("&amp;CHOOSE(WEEKDAY($CC33-N('設定'!$C$7)),"日","月","火","水","木","金","土")&amp;")"&amp;" までに次を発注（2便目に入れる）"))))))))))</f>
        <v/>
      </c>
      <c r="CR33">
        <f>IF($C33="","",IF($G33&gt;1,"ｹｰｽ("&amp;$G33&amp;"入)","個"))</f>
        <v/>
      </c>
      <c r="CS33">
        <f>IF($C33="",0,IF(COUNTIFS('①在庫を貼る'!$V$6:$V$10005,'設定'!$C$4,'①在庫を貼る'!$W$6:$W$10005,$C33)=0,1,0))</f>
        <v/>
      </c>
      <c r="CT33">
        <f>IF(AND($CK33=1,OR('③発注書'!$C$4="すべて",'③発注書'!$C$4="",$F33='③発注書'!$C$4)),N($CT32)+1,N($CT32))</f>
        <v/>
      </c>
      <c r="CU33">
        <f>IF(AND($CL33=1,OR('③発注書'!$C$4="すべて",'③発注書'!$C$4="",$F33='③発注書'!$C$4)),N($CU32)+1,N($CU32))</f>
        <v/>
      </c>
      <c r="CV33">
        <f>IF($C33="",0,IF(COUNTIFS('①在庫を貼る'!$V$6:$V$10005,'設定'!$C$4,'①在庫を貼る'!$W$6:$W$10005,$C33)&gt;0,1,0))</f>
        <v/>
      </c>
      <c r="CW33">
        <f>IF($C33="",0,IF(COUNTIFS('月1回_1ヶ月前の在庫'!$V$6:$V$10005,'設定'!$C$4,'月1回_1ヶ月前の在庫'!$W$6:$W$10005,$C33)&gt;0,1,0))</f>
        <v/>
      </c>
      <c r="CX33">
        <f>IF($C33="",0,IF(COUNTIFS('月1回_2ヶ月前の在庫'!$V$6:$V$10005,'設定'!$C$4,'月1回_2ヶ月前の在庫'!$W$6:$W$10005,$C33)&gt;0,1,0))</f>
        <v/>
      </c>
      <c r="CY33">
        <f>IF(OR($C33="",'設定'!$C$12=""),"",IF('設定'!$C$13="",IF(AND($CV33=1,$CW33=0),"新商品（今月から）",IF(AND($CV33=0,$CW33=1),"終売（今月から）","")),IF(AND($CV33=1,$CW33=0,$CX33=0),"新商品（今月から）",IF(AND($CV33=1,$CW33=1,$CX33=0),"新商品（先月から）",IF(AND($CV33=0,$CW33=1,$CX33=1),"終売（今月から）",IF(AND($CV33=0,$CW33=0,$CX33=1),"終売（先月から）",IF(AND($CV33=1,$CW33=0,$CX33=1),"復活（先月は無し）","")))))))</f>
        <v/>
      </c>
    </row>
    <row r="34">
      <c r="B34">
        <f>IF(29&lt;='設定'!$C$11,29,"")</f>
        <v/>
      </c>
      <c r="C34">
        <f>IF($B34="","",IF($B34&lt;='設定'!$C$20,INDEX('商品マスタ'!$B$6:$B$1005,MATCH($B34,'商品マスタ'!$M$6:$M$1005,0)),IF($B34&lt;='設定'!$C$20+'設定'!$C$17,INDEX('①在庫を貼る'!$W$6:$W$10005,MATCH($B34-'設定'!$C$20,'①在庫を貼る'!$U$6:$U$10005,0)),IF($B34&lt;='設定'!$C$20+'設定'!$C$17+'設定'!$C$18,INDEX('月1回_1ヶ月前の在庫'!$W$6:$W$10005,MATCH($B34-'設定'!$C$20-'設定'!$C$17,'月1回_1ヶ月前の在庫'!$U$6:$U$10005,0)),INDEX('月1回_2ヶ月前の在庫'!$W$6:$W$10005,MATCH($B34-'設定'!$C$20-'設定'!$C$17-'設定'!$C$18,'月1回_2ヶ月前の在庫'!$U$6:$U$10005,0))))))</f>
        <v/>
      </c>
      <c r="D34">
        <f>IF($C34="","",IFERROR(IF(INDEX('商品マスタ'!$C$6:$C$1005,MATCH($C34,'商品マスタ'!$B$6:$B$1005,0))="",IFERROR(INDEX('①在庫を貼る'!$J$6:$J$10005,MATCH($C34,'①在庫を貼る'!$W$6:$W$10005,0)),IFERROR(INDEX('月1回_1ヶ月前の在庫'!$J$6:$J$10005,MATCH($C34,'月1回_1ヶ月前の在庫'!$W$6:$W$10005,0)),IFERROR(INDEX('月1回_2ヶ月前の在庫'!$J$6:$J$10005,MATCH($C34,'月1回_2ヶ月前の在庫'!$W$6:$W$10005,0)),""))),INDEX('商品マスタ'!$C$6:$C$1005,MATCH($C34,'商品マスタ'!$B$6:$B$1005,0))),IFERROR(INDEX('①在庫を貼る'!$J$6:$J$10005,MATCH($C34,'①在庫を貼る'!$W$6:$W$10005,0)),IFERROR(INDEX('月1回_1ヶ月前の在庫'!$J$6:$J$10005,MATCH($C34,'月1回_1ヶ月前の在庫'!$W$6:$W$10005,0)),IFERROR(INDEX('月1回_2ヶ月前の在庫'!$J$6:$J$10005,MATCH($C34,'月1回_2ヶ月前の在庫'!$W$6:$W$10005,0)),"")))))</f>
        <v/>
      </c>
      <c r="E34">
        <f>IF($C34="","",IFERROR(IF(INDEX('商品マスタ'!$D$6:$D$1005,MATCH($C34,'商品マスタ'!$B$6:$B$1005,0))="",IFERROR(INDEX('①在庫を貼る'!$H$6:$H$10005,MATCH($C34,'①在庫を貼る'!$W$6:$W$10005,0)),IFERROR(INDEX('月1回_1ヶ月前の在庫'!$H$6:$H$10005,MATCH($C34,'月1回_1ヶ月前の在庫'!$W$6:$W$10005,0)),IFERROR(INDEX('月1回_2ヶ月前の在庫'!$H$6:$H$10005,MATCH($C34,'月1回_2ヶ月前の在庫'!$W$6:$W$10005,0)),""))),INDEX('商品マスタ'!$D$6:$D$1005,MATCH($C34,'商品マスタ'!$B$6:$B$1005,0))),IFERROR(INDEX('①在庫を貼る'!$H$6:$H$10005,MATCH($C34,'①在庫を貼る'!$W$6:$W$10005,0)),IFERROR(INDEX('月1回_1ヶ月前の在庫'!$H$6:$H$10005,MATCH($C34,'月1回_1ヶ月前の在庫'!$W$6:$W$10005,0)),IFERROR(INDEX('月1回_2ヶ月前の在庫'!$H$6:$H$10005,MATCH($C34,'月1回_2ヶ月前の在庫'!$W$6:$W$10005,0)),"")))))</f>
        <v/>
      </c>
      <c r="F34">
        <f>IF($C34="","",IFERROR(IF(INDEX('商品マスタ'!$E$6:$E$1005,MATCH($C34,'商品マスタ'!$B$6:$B$1005,0))="",IFERROR(INDEX('①在庫を貼る'!$E$6:$E$10005,MATCH($C34,'①在庫を貼る'!$W$6:$W$10005,0)),IFERROR(INDEX('月1回_1ヶ月前の在庫'!$E$6:$E$10005,MATCH($C34,'月1回_1ヶ月前の在庫'!$W$6:$W$10005,0)),IFERROR(INDEX('月1回_2ヶ月前の在庫'!$E$6:$E$10005,MATCH($C34,'月1回_2ヶ月前の在庫'!$W$6:$W$10005,0)),""))),INDEX('商品マスタ'!$E$6:$E$1005,MATCH($C34,'商品マスタ'!$B$6:$B$1005,0))),IFERROR(INDEX('①在庫を貼る'!$E$6:$E$10005,MATCH($C34,'①在庫を貼る'!$W$6:$W$10005,0)),IFERROR(INDEX('月1回_1ヶ月前の在庫'!$E$6:$E$10005,MATCH($C34,'月1回_1ヶ月前の在庫'!$W$6:$W$10005,0)),IFERROR(INDEX('月1回_2ヶ月前の在庫'!$E$6:$E$10005,MATCH($C34,'月1回_2ヶ月前の在庫'!$W$6:$W$10005,0)),"")))))</f>
        <v/>
      </c>
      <c r="G34">
        <f>IF($C34="","",MAX(1,N(IFERROR(IF(INDEX('商品マスタ'!$F$6:$F$1005,MATCH($C34,'商品マスタ'!$B$6:$B$1005,0))="",IF(COUNTIFS('①在庫を貼る'!$V$6:$V$10005,'設定'!$C$4,'①在庫を貼る'!$W$6:$W$10005,$C34)&gt;0,SUMIFS('①在庫を貼る'!$K$6:$K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K$6:$K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K$6:$K$10005,'月1回_2ヶ月前の在庫'!$V$6:$V$10005,'設定'!$C$4,'月1回_2ヶ月前の在庫'!$W$6:$W$10005,$C34)/COUNTIFS('月1回_2ヶ月前の在庫'!$V$6:$V$10005,'設定'!$C$4,'月1回_2ヶ月前の在庫'!$W$6:$W$10005,$C34),0))),INDEX('商品マスタ'!$F$6:$F$1005,MATCH($C34,'商品マスタ'!$B$6:$B$1005,0))),IF(COUNTIFS('①在庫を貼る'!$V$6:$V$10005,'設定'!$C$4,'①在庫を貼る'!$W$6:$W$10005,$C34)&gt;0,SUMIFS('①在庫を貼る'!$K$6:$K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K$6:$K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K$6:$K$10005,'月1回_2ヶ月前の在庫'!$V$6:$V$10005,'設定'!$C$4,'月1回_2ヶ月前の在庫'!$W$6:$W$10005,$C34)/COUNTIFS('月1回_2ヶ月前の在庫'!$V$6:$V$10005,'設定'!$C$4,'月1回_2ヶ月前の在庫'!$W$6:$W$10005,$C34),0)))))))</f>
        <v/>
      </c>
      <c r="H34">
        <f>IF($C34="","",N(IFERROR(IF(INDEX('商品マスタ'!$G$6:$G$1005,MATCH($C34,'商品マスタ'!$B$6:$B$1005,0))="",IF(COUNTIFS('①在庫を貼る'!$V$6:$V$10005,'設定'!$C$4,'①在庫を貼る'!$W$6:$W$10005,$C34)&gt;0,SUMIFS('①在庫を貼る'!$Q$6:$Q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Q$6:$Q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Q$6:$Q$10005,'月1回_2ヶ月前の在庫'!$V$6:$V$10005,'設定'!$C$4,'月1回_2ヶ月前の在庫'!$W$6:$W$10005,$C34)/COUNTIFS('月1回_2ヶ月前の在庫'!$V$6:$V$10005,'設定'!$C$4,'月1回_2ヶ月前の在庫'!$W$6:$W$10005,$C34),0))),INDEX('商品マスタ'!$G$6:$G$1005,MATCH($C34,'商品マスタ'!$B$6:$B$1005,0))),IF(COUNTIFS('①在庫を貼る'!$V$6:$V$10005,'設定'!$C$4,'①在庫を貼る'!$W$6:$W$10005,$C34)&gt;0,SUMIFS('①在庫を貼る'!$Q$6:$Q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Q$6:$Q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Q$6:$Q$10005,'月1回_2ヶ月前の在庫'!$V$6:$V$10005,'設定'!$C$4,'月1回_2ヶ月前の在庫'!$W$6:$W$10005,$C34)/COUNTIFS('月1回_2ヶ月前の在庫'!$V$6:$V$10005,'設定'!$C$4,'月1回_2ヶ月前の在庫'!$W$6:$W$10005,$C34),0))))))</f>
        <v/>
      </c>
      <c r="I34">
        <f>IF($C34="","",IF(COUNTIFS('①在庫を貼る'!$V$6:$V$10005,'設定'!$C$4,'①在庫を貼る'!$W$6:$W$10005,$C34)=0,"",SUMIFS('①在庫を貼る'!$N$6:$N$10005,'①在庫を貼る'!$V$6:$V$10005,'設定'!$C$4,'①在庫を貼る'!$W$6:$W$10005,$C34)))</f>
        <v/>
      </c>
      <c r="J34">
        <f>IF($C34="","",IF('②発注する'!$AD38="","",'②発注する'!$AD38))</f>
        <v/>
      </c>
      <c r="K34" s="90">
        <f>IF($C34="","",IF('②発注する'!$AE38="","",'②発注する'!$AE38))</f>
        <v/>
      </c>
      <c r="L34">
        <f>IF($C34="","",IF(AND(ISNUMBER($J34),ISNUMBER($K34),$K34&gt;='設定'!$C$6),$J34,N($I34)))</f>
        <v/>
      </c>
      <c r="M34">
        <f>IF($C34="","",IFERROR(IF(N(INDEX('商品マスタ'!$J$6:$J$1005,MATCH($C34,'商品マスタ'!$B$6:$B$1005,0)))&gt;0,INDEX('商品マスタ'!$J$6:$J$1005,MATCH($C34,'商品マスタ'!$B$6:$B$1005,0)),""),""))</f>
        <v/>
      </c>
      <c r="N34">
        <f>IF($C34="","",IFERROR(IF(N(INDEX('商品マスタ'!$H$6:$H$1005,MATCH($C34,'商品マスタ'!$B$6:$B$1005,0)))&gt;0,INDEX('商品マスタ'!$H$6:$H$1005,MATCH($C34,'商品マスタ'!$B$6:$B$1005,0)),""),""))</f>
        <v/>
      </c>
      <c r="O34">
        <f>IF($C34="","",IF($N34&lt;&gt;"",$N34*$G34,IF(N(IF(COUNTIFS('①在庫を貼る'!$V$6:$V$10005,'設定'!$C$4,'①在庫を貼る'!$W$6:$W$10005,$C34)&gt;0,SUMIFS('①在庫を貼る'!$O$6:$O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O$6:$O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O$6:$O$10005,'月1回_2ヶ月前の在庫'!$V$6:$V$10005,'設定'!$C$4,'月1回_2ヶ月前の在庫'!$W$6:$W$10005,$C34)/COUNTIFS('月1回_2ヶ月前の在庫'!$V$6:$V$10005,'設定'!$C$4,'月1回_2ヶ月前の在庫'!$W$6:$W$10005,$C34),0))))&gt;0,N(IF(COUNTIFS('①在庫を貼る'!$V$6:$V$10005,'設定'!$C$4,'①在庫を貼る'!$W$6:$W$10005,$C34)&gt;0,SUMIFS('①在庫を貼る'!$O$6:$O$10005,'①在庫を貼る'!$V$6:$V$10005,'設定'!$C$4,'①在庫を貼る'!$W$6:$W$10005,$C34)/COUNTIFS('①在庫を貼る'!$V$6:$V$10005,'設定'!$C$4,'①在庫を貼る'!$W$6:$W$10005,$C34),IF(COUNTIFS('月1回_1ヶ月前の在庫'!$V$6:$V$10005,'設定'!$C$4,'月1回_1ヶ月前の在庫'!$W$6:$W$10005,$C34)&gt;0,SUMIFS('月1回_1ヶ月前の在庫'!$O$6:$O$10005,'月1回_1ヶ月前の在庫'!$V$6:$V$10005,'設定'!$C$4,'月1回_1ヶ月前の在庫'!$W$6:$W$10005,$C34)/COUNTIFS('月1回_1ヶ月前の在庫'!$V$6:$V$10005,'設定'!$C$4,'月1回_1ヶ月前の在庫'!$W$6:$W$10005,$C34),IF(COUNTIFS('月1回_2ヶ月前の在庫'!$V$6:$V$10005,'設定'!$C$4,'月1回_2ヶ月前の在庫'!$W$6:$W$10005,$C34)&gt;0,SUMIFS('月1回_2ヶ月前の在庫'!$O$6:$O$10005,'月1回_2ヶ月前の在庫'!$V$6:$V$10005,'設定'!$C$4,'月1回_2ヶ月前の在庫'!$W$6:$W$10005,$C34)/COUNTIFS('月1回_2ヶ月前の在庫'!$V$6:$V$10005,'設定'!$C$4,'月1回_2ヶ月前の在庫'!$W$6:$W$10005,$C34),0)))),"")))</f>
        <v/>
      </c>
      <c r="P34" s="90">
        <f>IF($C34="","",IF('②発注する'!$I38="","",'②発注する'!$I38))</f>
        <v/>
      </c>
      <c r="Q34">
        <f>IF($C34="","",IF('②発注する'!$J38="","",'②発注する'!$J38))</f>
        <v/>
      </c>
      <c r="R34">
        <f>IF($C34="",0,IF(AND(ISNUMBER($P34),ISNUMBER($Q34)),MAX(0,$Q34)*$G34,0))</f>
        <v/>
      </c>
      <c r="S34" s="90">
        <f>IF($C34="","",IF('②発注する'!$M38="","",'②発注する'!$M38))</f>
        <v/>
      </c>
      <c r="T34">
        <f>IF($C34="","",IF('②発注する'!$N38="","",'②発注する'!$N38))</f>
        <v/>
      </c>
      <c r="U34">
        <f>IF($C34="",0,IF(AND(ISNUMBER($S34),ISNUMBER($T34)),MAX(0,$T34)*$G34,0))</f>
        <v/>
      </c>
      <c r="V34">
        <f>IF($C34="",0,IF($M34="",0,MAX(0,$M34)*MAX(0,V$4)/100))</f>
        <v/>
      </c>
      <c r="W34">
        <f>IF($C34="",0,IF($M34="",0,MAX(0,$M34)*MAX(0,W$4)/100))</f>
        <v/>
      </c>
      <c r="X34">
        <f>IF($C34="",0,IF($M34="",0,MAX(0,$M34)*MAX(0,X$4)/100))</f>
        <v/>
      </c>
      <c r="Y34">
        <f>IF($C34="",0,IF($M34="",0,MAX(0,$M34)*MAX(0,Y$4)/100))</f>
        <v/>
      </c>
      <c r="Z34">
        <f>IF($C34="",0,IF($M34="",0,MAX(0,$M34)*MAX(0,Z$4)/100))</f>
        <v/>
      </c>
      <c r="AA34">
        <f>IF($C34="",0,IF($M34="",0,MAX(0,$M34)*MAX(0,AA$4)/100))</f>
        <v/>
      </c>
      <c r="AB34">
        <f>IF($C34="",0,IF($M34="",0,MAX(0,$M34)*MAX(0,AB$4)/100))</f>
        <v/>
      </c>
      <c r="AC34">
        <f>IF($C34="",0,IF($M34="",0,MAX(0,$M34)*MAX(0,AC$4)/100))</f>
        <v/>
      </c>
      <c r="AD34">
        <f>IF($C34="",0,IF($M34="",0,MAX(0,$M34)*MAX(0,AD$4)/100))</f>
        <v/>
      </c>
      <c r="AE34">
        <f>IF($C34="",0,IF($M34="",0,MAX(0,$M34)*MAX(0,AE$4)/100))</f>
        <v/>
      </c>
      <c r="AF34">
        <f>IF($C34="",0,IF($M34="",0,MAX(0,$M34)*MAX(0,AF$4)/100))</f>
        <v/>
      </c>
      <c r="AG34">
        <f>IF($C34="",0,IF($M34="",0,MAX(0,$M34)*MAX(0,AG$4)/100))</f>
        <v/>
      </c>
      <c r="AH34">
        <f>IF($C34="",0,IF($M34="",0,MAX(0,$M34)*MAX(0,AH$4)/100))</f>
        <v/>
      </c>
      <c r="AI34">
        <f>IF($C34="",0,IF($M34="",0,MAX(0,$M34)*MAX(0,AI$4)/100))</f>
        <v/>
      </c>
      <c r="AJ34">
        <f>IF($C34="",0,MAX(0,MAX(0,N($L34))-$V34))</f>
        <v/>
      </c>
      <c r="AK34">
        <f>IF($C34="",0,MAX(0,$AJ34-$W34))</f>
        <v/>
      </c>
      <c r="AL34">
        <f>IF($C34="",0,MAX(0,$AK34-$X34))</f>
        <v/>
      </c>
      <c r="AM34">
        <f>IF($C34="",0,MAX(0,$AL34-$Y34))</f>
        <v/>
      </c>
      <c r="AN34">
        <f>IF($C34="",0,MAX(0,$AM34-$Z34))</f>
        <v/>
      </c>
      <c r="AO34">
        <f>IF($C34="",0,MAX(0,$AN34-$AA34))</f>
        <v/>
      </c>
      <c r="AP34">
        <f>IF($C34="",0,MAX(0,$AO34-$AB34))</f>
        <v/>
      </c>
      <c r="AQ34">
        <f>IF($C34="",0,MAX(0,$AP34-$AC34))</f>
        <v/>
      </c>
      <c r="AR34">
        <f>IF($C34="",0,MAX(0,$AQ34-$AD34))</f>
        <v/>
      </c>
      <c r="AS34">
        <f>IF($C34="",0,MAX(0,$AR34-$AE34))</f>
        <v/>
      </c>
      <c r="AT34">
        <f>IF($C34="",0,MAX(0,$AS34-$AF34))</f>
        <v/>
      </c>
      <c r="AU34">
        <f>IF($C34="",0,MAX(0,$AT34-$AG34))</f>
        <v/>
      </c>
      <c r="AV34">
        <f>IF($C34="",0,MAX(0,$AU34-$AH34))</f>
        <v/>
      </c>
      <c r="AW34">
        <f>IF($C34="",0,MAX(0,$AV34-$AI34))</f>
        <v/>
      </c>
      <c r="AX34">
        <f>IF($C34="",0,MAX(0,MAX(0,N($L34))+IF($P34=V$3,$R34,0)+IF($S34=V$3,$U34,0)-$V34))</f>
        <v/>
      </c>
      <c r="AY34">
        <f>IF($C34="",0,MAX(0,$AX34+IF($P34=W$3,$R34,0)+IF($S34=W$3,$U34,0)-$W34))</f>
        <v/>
      </c>
      <c r="AZ34">
        <f>IF($C34="",0,MAX(0,$AY34+IF($P34=X$3,$R34,0)+IF($S34=X$3,$U34,0)-$X34))</f>
        <v/>
      </c>
      <c r="BA34">
        <f>IF($C34="",0,MAX(0,$AZ34+IF($P34=Y$3,$R34,0)+IF($S34=Y$3,$U34,0)-$Y34))</f>
        <v/>
      </c>
      <c r="BB34">
        <f>IF($C34="",0,MAX(0,$BA34+IF($P34=Z$3,$R34,0)+IF($S34=Z$3,$U34,0)-$Z34))</f>
        <v/>
      </c>
      <c r="BC34">
        <f>IF($C34="",0,MAX(0,$BB34+IF($P34=AA$3,$R34,0)+IF($S34=AA$3,$U34,0)-$AA34))</f>
        <v/>
      </c>
      <c r="BD34">
        <f>IF($C34="",0,MAX(0,$BC34+IF($P34=AB$3,$R34,0)+IF($S34=AB$3,$U34,0)-$AB34))</f>
        <v/>
      </c>
      <c r="BE34">
        <f>IF($C34="",0,MAX(0,$BD34+IF($P34=AC$3,$R34,0)+IF($S34=AC$3,$U34,0)-$AC34))</f>
        <v/>
      </c>
      <c r="BF34">
        <f>IF($C34="",0,MAX(0,$BE34+IF($P34=AD$3,$R34,0)+IF($S34=AD$3,$U34,0)-$AD34))</f>
        <v/>
      </c>
      <c r="BG34">
        <f>IF($C34="",0,MAX(0,$BF34+IF($P34=AE$3,$R34,0)+IF($S34=AE$3,$U34,0)-$AE34))</f>
        <v/>
      </c>
      <c r="BH34">
        <f>IF($C34="",0,MAX(0,$BG34+IF($P34=AF$3,$R34,0)+IF($S34=AF$3,$U34,0)-$AF34))</f>
        <v/>
      </c>
      <c r="BI34">
        <f>IF($C34="",0,MAX(0,$BH34+IF($P34=AG$3,$R34,0)+IF($S34=AG$3,$U34,0)-$AG34))</f>
        <v/>
      </c>
      <c r="BJ34">
        <f>IF($C34="",0,MAX(0,$BI34+IF($P34=AH$3,$R34,0)+IF($S34=AH$3,$U34,0)-$AH34))</f>
        <v/>
      </c>
      <c r="BK34">
        <f>IF($C34="",0,MAX(0,$BJ34+IF($P34=AI$3,$R34,0)+IF($S34=AI$3,$U34,0)-$AI34))</f>
        <v/>
      </c>
      <c r="BL34">
        <f>IF($C34="",99,IF(AND($AX34&lt;1,V$3&gt;=MAX(N($P34),N($S34))),0,99))</f>
        <v/>
      </c>
      <c r="BM34">
        <f>IF($C34="",99,IF(AND($AY34&lt;1,W$3&gt;=MAX(N($P34),N($S34))),1,99))</f>
        <v/>
      </c>
      <c r="BN34">
        <f>IF($C34="",99,IF(AND($AZ34&lt;1,X$3&gt;=MAX(N($P34),N($S34))),2,99))</f>
        <v/>
      </c>
      <c r="BO34">
        <f>IF($C34="",99,IF(AND($BA34&lt;1,Y$3&gt;=MAX(N($P34),N($S34))),3,99))</f>
        <v/>
      </c>
      <c r="BP34">
        <f>IF($C34="",99,IF(AND($BB34&lt;1,Z$3&gt;=MAX(N($P34),N($S34))),4,99))</f>
        <v/>
      </c>
      <c r="BQ34">
        <f>IF($C34="",99,IF(AND($BC34&lt;1,AA$3&gt;=MAX(N($P34),N($S34))),5,99))</f>
        <v/>
      </c>
      <c r="BR34">
        <f>IF($C34="",99,IF(AND($BD34&lt;1,AB$3&gt;=MAX(N($P34),N($S34))),6,99))</f>
        <v/>
      </c>
      <c r="BS34">
        <f>IF($C34="",99,IF(AND($BE34&lt;1,AC$3&gt;=MAX(N($P34),N($S34))),7,99))</f>
        <v/>
      </c>
      <c r="BT34">
        <f>IF($C34="",99,IF(AND($BF34&lt;1,AD$3&gt;=MAX(N($P34),N($S34))),8,99))</f>
        <v/>
      </c>
      <c r="BU34">
        <f>IF($C34="",99,IF(AND($BG34&lt;1,AE$3&gt;=MAX(N($P34),N($S34))),9,99))</f>
        <v/>
      </c>
      <c r="BV34">
        <f>IF($C34="",99,IF(AND($BH34&lt;1,AF$3&gt;=MAX(N($P34),N($S34))),10,99))</f>
        <v/>
      </c>
      <c r="BW34">
        <f>IF($C34="",99,IF(AND($BI34&lt;1,AG$3&gt;=MAX(N($P34),N($S34))),11,99))</f>
        <v/>
      </c>
      <c r="BX34">
        <f>IF($C34="",99,IF(AND($BJ34&lt;1,AH$3&gt;=MAX(N($P34),N($S34))),12,99))</f>
        <v/>
      </c>
      <c r="BY34">
        <f>IF($C34="",99,IF(AND($BK34&lt;1,AI$3&gt;=MAX(N($P34),N($S34))),13,99))</f>
        <v/>
      </c>
      <c r="BZ34">
        <f>IF(OR($C34="",$M34=""),"",COUNTIF($AJ34:$AW34,"&gt;=1"))</f>
        <v/>
      </c>
      <c r="CA34" s="90">
        <f>IF($BZ34="","",IF($BZ34&gt;=14,"",'設定'!$C$6+$BZ34))</f>
        <v/>
      </c>
      <c r="CB34">
        <f>IF(OR($C34="",$M34=""),"",MIN($BL34:$BY34))</f>
        <v/>
      </c>
      <c r="CC34" s="90">
        <f>IF($CB34="","",IF($CB34&gt;=99,"",'設定'!$C$6+$CB34))</f>
        <v/>
      </c>
      <c r="CD34">
        <f>IF(OR($C34="",$M34=""),"",AVERAGE($V34:$AI34))</f>
        <v/>
      </c>
      <c r="CE34">
        <f>IF($C34="","",IFERROR(IF(MATCH(IF(ISNUMBER($P34),$P34,'設定'!$C$6+N('設定'!$C$7)),$V$3:$AI$3,0)=1,MAX(0,N($L34)),INDEX($AJ34:$AW34,MATCH(IF(ISNUMBER($P34),$P34,'設定'!$C$6+N('設定'!$C$7)),$V$3:$AI$3,0)-1)),""))</f>
        <v/>
      </c>
      <c r="CF34">
        <f>IF(OR($C34="",$O34="",$CE34=""),"",IF($O34-$CE34&lt;=0,0,ROUNDUP(($O34-$CE34)/$G34,0)))</f>
        <v/>
      </c>
      <c r="CG34">
        <f>IF(OR($C34="",$CF34="",NOT(ISNUMBER($Q34))),0,MAX(0,$Q34-$CF34))</f>
        <v/>
      </c>
      <c r="CH34">
        <f>IF(OR($C34="",$O34="",$U34=0),0,IFERROR(ROUNDUP(MAX(0,IF(MATCH($S34,$V$3:$AI$3,0)=1,MAX(0,N($L34)),INDEX($AX34:$BK34,MATCH($S34,$V$3:$AI$3,0)-1))+$U34-$O34)/$G34,0),0))</f>
        <v/>
      </c>
      <c r="CI34">
        <f>IF($C34="","",IF(AND($P34="",$Q34=""),"",IF($P34="","⚠ 入庫日を ▼ から選んでください",IF(NOT(ISNUMBER($P34)),"⚠ 入庫日は ▼ から選んでください",IF($P34&lt;N('設定'!$C$6),"⚠ 入庫日が過去です（もう在庫に入っています）→ 消してください",IF($P34&gt;N('設定'!$C$6)+13,"⚠ 入庫日が14日より先です",IF(N($Q34)&lt;=0,"⚠ 入庫数を入れてください",IF($CG34&gt;0,"⚠ 目安より "&amp;$CG34&amp;" 多い（定数を超える）→ 減らす",""))))))))</f>
        <v/>
      </c>
      <c r="CJ34">
        <f>IF($C34="","",IF(AND($S34="",$T34=""),"",IF($S34="","⚠ 2便目：入庫日を ▼ から選んでください",IF(NOT(ISNUMBER($S34)),"⚠ 2便目：入庫日は ▼ から選んでください",IF($S34&lt;N('設定'!$C$6),"⚠ 2便目：入庫日が過去です（もう在庫に入っています）→ 消してください",IF($S34&gt;N('設定'!$C$6)+13,"⚠ 2便目：入庫日が14日より先です",IF(N($T34)&lt;=0,"⚠ 2便目：入庫数を入れてください",IF($CH34&gt;0,"⚠ 2便目：定数を "&amp;$CH34&amp;" ケース超える → 減らす",""))))))))</f>
        <v/>
      </c>
      <c r="CK34">
        <f>IF(AND($CI34="",N($Q34)&gt;0,ISNUMBER($P34)),1,0)</f>
        <v/>
      </c>
      <c r="CL34">
        <f>IF(AND($CJ34="",N($T34)&gt;0,ISNUMBER($S34)),1,0)</f>
        <v/>
      </c>
      <c r="CM34">
        <f>IF(OR($CK34=1,$CL34=1),1,0)</f>
        <v/>
      </c>
      <c r="CN34">
        <f>IF($C34="",0,($CK34*$R34+$CL34*$U34)*N($H34))</f>
        <v/>
      </c>
      <c r="CO34">
        <f>IF($C34="","",IF($CC34="","入庫後は 14日以上もつ",IF($CC34-N('設定'!$C$7)&lt;='設定'!$C$6,"入庫後も "&amp;TEXT($CC34,"m/d")&amp;"("&amp;CHOOSE(WEEKDAY($CC34),"日","月","火","水","木","金","土")&amp;")"&amp;" に切れる　もう1便を至急発注","入庫後も "&amp;TEXT($CC34,"m/d")&amp;"("&amp;CHOOSE(WEEKDAY($CC34),"日","月","火","水","木","金","土")&amp;")"&amp;" に切れる　"&amp;TEXT($CC34-N('設定'!$C$7),"m/d")&amp;"("&amp;CHOOSE(WEEKDAY($CC34-N('設定'!$C$7)),"日","月","火","水","木","金","土")&amp;")"&amp;" までに次を発注")))</f>
        <v/>
      </c>
      <c r="CP34">
        <f>IF($C34="","",IF('設定'!$C$6="","？ ①在庫を貼る に今日のCSVが貼られていない",IF($CS34=1,"－ 今日のCSVに無い（終売？）",IF($L34&lt;0,"● 在庫がマイナス　数えて「数えた在庫」に入れる",IF($L34=0,"● 在庫なし　至急発注",IF($M34="","？ 減り数が未設定（商品マスタ）",IF($B$3=0,"？ 動員が未入力（動員を入れる）",IF($CA34="","○ 14日以上もつ",IF($BZ34&lt;N('設定'!$C$7),"● "&amp;TEXT($CA34,"m/d")&amp;"("&amp;CHOOSE(WEEKDAY($CA34),"日","月","火","水","木","金","土")&amp;")"&amp;" に切れる　至急発注",IF($BZ34=N('設定'!$C$7),"● "&amp;TEXT($CA34,"m/d")&amp;"("&amp;CHOOSE(WEEKDAY($CA34),"日","月","火","水","木","金","土")&amp;")"&amp;" に切れる　今日発注","△ "&amp;TEXT($CA34,"m/d")&amp;"("&amp;CHOOSE(WEEKDAY($CA34),"日","月","火","水","木","金","土")&amp;")"&amp;" に切れる　"&amp;TEXT($CA34-N('設定'!$C$7),"m/d")&amp;"("&amp;CHOOSE(WEEKDAY($CA34-N('設定'!$C$7)),"日","月","火","水","木","金","土")&amp;")"&amp;" までに発注"))))))))))</f>
        <v/>
      </c>
      <c r="CQ34">
        <f>IF($C34="","",IF(AND($P34="",$Q34="",$S34="",$T34=""),"",IF(AND($P34="",$Q34=""),"⚠ 先に1便目（左の入庫日・入庫数）に入れてください",IF($CI34&lt;&gt;"",$CI34,IF($CJ34&lt;&gt;"",$CJ34,IF($M34="","？ 減り数が未設定（発注書には載ります）",IF($B$3=0,"？ 動員が未入力（発注書には載ります）",IF(AND($CA34&lt;&gt;"",$P34&gt;$CA34),IF($P34&gt;'設定'!$C$6+N('設定'!$C$7),"● "&amp;TEXT($P34,"m/d")&amp;"("&amp;CHOOSE(WEEKDAY($P34),"日","月","火","水","木","金","土")&amp;")"&amp;" の入庫では間に合わない（"&amp;TEXT($CA34,"m/d")&amp;"("&amp;CHOOSE(WEEKDAY($CA34),"日","月","火","水","木","金","土")&amp;")"&amp;" に切れる）　入庫日を早める","△ 欠品 "&amp;TEXT($CA34,"m/d")&amp;"("&amp;CHOOSE(WEEKDAY($CA34),"日","月","火","水","木","金","土")&amp;")"&amp;"〜"&amp;TEXT($P34-1,"m/d")&amp;"("&amp;CHOOSE(WEEKDAY($P34-1),"日","月","火","水","木","金","土")&amp;")"&amp;"　"&amp;$CO34),IF($CC34="","○ "&amp;TEXT($P34,"m/d")&amp;"("&amp;CHOOSE(WEEKDAY($P34),"日","月","火","水","木","金","土")&amp;")"&amp;" 入庫で 14日以上もつ",IF($CC34-N('設定'!$C$7)&lt;='設定'!$C$6,"● 入庫しても "&amp;TEXT($CC34,"m/d")&amp;"("&amp;CHOOSE(WEEKDAY($CC34),"日","月","火","水","木","金","土")&amp;")"&amp;" に切れる　もう1便を至急発注（2便目に入れる）","△ 入庫しても "&amp;TEXT($CC34,"m/d")&amp;"("&amp;CHOOSE(WEEKDAY($CC34),"日","月","火","水","木","金","土")&amp;")"&amp;" に切れる　"&amp;TEXT($CC34-N('設定'!$C$7),"m/d")&amp;"("&amp;CHOOSE(WEEKDAY($CC34-N('設定'!$C$7)),"日","月","火","水","木","金","土")&amp;")"&amp;" までに次を発注（2便目に入れる）"))))))))))</f>
        <v/>
      </c>
      <c r="CR34">
        <f>IF($C34="","",IF($G34&gt;1,"ｹｰｽ("&amp;$G34&amp;"入)","個"))</f>
        <v/>
      </c>
      <c r="CS34">
        <f>IF($C34="",0,IF(COUNTIFS('①在庫を貼る'!$V$6:$V$10005,'設定'!$C$4,'①在庫を貼る'!$W$6:$W$10005,$C34)=0,1,0))</f>
        <v/>
      </c>
      <c r="CT34">
        <f>IF(AND($CK34=1,OR('③発注書'!$C$4="すべて",'③発注書'!$C$4="",$F34='③発注書'!$C$4)),N($CT33)+1,N($CT33))</f>
        <v/>
      </c>
      <c r="CU34">
        <f>IF(AND($CL34=1,OR('③発注書'!$C$4="すべて",'③発注書'!$C$4="",$F34='③発注書'!$C$4)),N($CU33)+1,N($CU33))</f>
        <v/>
      </c>
      <c r="CV34">
        <f>IF($C34="",0,IF(COUNTIFS('①在庫を貼る'!$V$6:$V$10005,'設定'!$C$4,'①在庫を貼る'!$W$6:$W$10005,$C34)&gt;0,1,0))</f>
        <v/>
      </c>
      <c r="CW34">
        <f>IF($C34="",0,IF(COUNTIFS('月1回_1ヶ月前の在庫'!$V$6:$V$10005,'設定'!$C$4,'月1回_1ヶ月前の在庫'!$W$6:$W$10005,$C34)&gt;0,1,0))</f>
        <v/>
      </c>
      <c r="CX34">
        <f>IF($C34="",0,IF(COUNTIFS('月1回_2ヶ月前の在庫'!$V$6:$V$10005,'設定'!$C$4,'月1回_2ヶ月前の在庫'!$W$6:$W$10005,$C34)&gt;0,1,0))</f>
        <v/>
      </c>
      <c r="CY34">
        <f>IF(OR($C34="",'設定'!$C$12=""),"",IF('設定'!$C$13="",IF(AND($CV34=1,$CW34=0),"新商品（今月から）",IF(AND($CV34=0,$CW34=1),"終売（今月から）","")),IF(AND($CV34=1,$CW34=0,$CX34=0),"新商品（今月から）",IF(AND($CV34=1,$CW34=1,$CX34=0),"新商品（先月から）",IF(AND($CV34=0,$CW34=1,$CX34=1),"終売（今月から）",IF(AND($CV34=0,$CW34=0,$CX34=1),"終売（先月から）",IF(AND($CV34=1,$CW34=0,$CX34=1),"復活（先月は無し）","")))))))</f>
        <v/>
      </c>
    </row>
    <row r="35">
      <c r="B35">
        <f>IF(30&lt;='設定'!$C$11,30,"")</f>
        <v/>
      </c>
      <c r="C35">
        <f>IF($B35="","",IF($B35&lt;='設定'!$C$20,INDEX('商品マスタ'!$B$6:$B$1005,MATCH($B35,'商品マスタ'!$M$6:$M$1005,0)),IF($B35&lt;='設定'!$C$20+'設定'!$C$17,INDEX('①在庫を貼る'!$W$6:$W$10005,MATCH($B35-'設定'!$C$20,'①在庫を貼る'!$U$6:$U$10005,0)),IF($B35&lt;='設定'!$C$20+'設定'!$C$17+'設定'!$C$18,INDEX('月1回_1ヶ月前の在庫'!$W$6:$W$10005,MATCH($B35-'設定'!$C$20-'設定'!$C$17,'月1回_1ヶ月前の在庫'!$U$6:$U$10005,0)),INDEX('月1回_2ヶ月前の在庫'!$W$6:$W$10005,MATCH($B35-'設定'!$C$20-'設定'!$C$17-'設定'!$C$18,'月1回_2ヶ月前の在庫'!$U$6:$U$10005,0))))))</f>
        <v/>
      </c>
      <c r="D35">
        <f>IF($C35="","",IFERROR(IF(INDEX('商品マスタ'!$C$6:$C$1005,MATCH($C35,'商品マスタ'!$B$6:$B$1005,0))="",IFERROR(INDEX('①在庫を貼る'!$J$6:$J$10005,MATCH($C35,'①在庫を貼る'!$W$6:$W$10005,0)),IFERROR(INDEX('月1回_1ヶ月前の在庫'!$J$6:$J$10005,MATCH($C35,'月1回_1ヶ月前の在庫'!$W$6:$W$10005,0)),IFERROR(INDEX('月1回_2ヶ月前の在庫'!$J$6:$J$10005,MATCH($C35,'月1回_2ヶ月前の在庫'!$W$6:$W$10005,0)),""))),INDEX('商品マスタ'!$C$6:$C$1005,MATCH($C35,'商品マスタ'!$B$6:$B$1005,0))),IFERROR(INDEX('①在庫を貼る'!$J$6:$J$10005,MATCH($C35,'①在庫を貼る'!$W$6:$W$10005,0)),IFERROR(INDEX('月1回_1ヶ月前の在庫'!$J$6:$J$10005,MATCH($C35,'月1回_1ヶ月前の在庫'!$W$6:$W$10005,0)),IFERROR(INDEX('月1回_2ヶ月前の在庫'!$J$6:$J$10005,MATCH($C35,'月1回_2ヶ月前の在庫'!$W$6:$W$10005,0)),"")))))</f>
        <v/>
      </c>
      <c r="E35">
        <f>IF($C35="","",IFERROR(IF(INDEX('商品マスタ'!$D$6:$D$1005,MATCH($C35,'商品マスタ'!$B$6:$B$1005,0))="",IFERROR(INDEX('①在庫を貼る'!$H$6:$H$10005,MATCH($C35,'①在庫を貼る'!$W$6:$W$10005,0)),IFERROR(INDEX('月1回_1ヶ月前の在庫'!$H$6:$H$10005,MATCH($C35,'月1回_1ヶ月前の在庫'!$W$6:$W$10005,0)),IFERROR(INDEX('月1回_2ヶ月前の在庫'!$H$6:$H$10005,MATCH($C35,'月1回_2ヶ月前の在庫'!$W$6:$W$10005,0)),""))),INDEX('商品マスタ'!$D$6:$D$1005,MATCH($C35,'商品マスタ'!$B$6:$B$1005,0))),IFERROR(INDEX('①在庫を貼る'!$H$6:$H$10005,MATCH($C35,'①在庫を貼る'!$W$6:$W$10005,0)),IFERROR(INDEX('月1回_1ヶ月前の在庫'!$H$6:$H$10005,MATCH($C35,'月1回_1ヶ月前の在庫'!$W$6:$W$10005,0)),IFERROR(INDEX('月1回_2ヶ月前の在庫'!$H$6:$H$10005,MATCH($C35,'月1回_2ヶ月前の在庫'!$W$6:$W$10005,0)),"")))))</f>
        <v/>
      </c>
      <c r="F35">
        <f>IF($C35="","",IFERROR(IF(INDEX('商品マスタ'!$E$6:$E$1005,MATCH($C35,'商品マスタ'!$B$6:$B$1005,0))="",IFERROR(INDEX('①在庫を貼る'!$E$6:$E$10005,MATCH($C35,'①在庫を貼る'!$W$6:$W$10005,0)),IFERROR(INDEX('月1回_1ヶ月前の在庫'!$E$6:$E$10005,MATCH($C35,'月1回_1ヶ月前の在庫'!$W$6:$W$10005,0)),IFERROR(INDEX('月1回_2ヶ月前の在庫'!$E$6:$E$10005,MATCH($C35,'月1回_2ヶ月前の在庫'!$W$6:$W$10005,0)),""))),INDEX('商品マスタ'!$E$6:$E$1005,MATCH($C35,'商品マスタ'!$B$6:$B$1005,0))),IFERROR(INDEX('①在庫を貼る'!$E$6:$E$10005,MATCH($C35,'①在庫を貼る'!$W$6:$W$10005,0)),IFERROR(INDEX('月1回_1ヶ月前の在庫'!$E$6:$E$10005,MATCH($C35,'月1回_1ヶ月前の在庫'!$W$6:$W$10005,0)),IFERROR(INDEX('月1回_2ヶ月前の在庫'!$E$6:$E$10005,MATCH($C35,'月1回_2ヶ月前の在庫'!$W$6:$W$10005,0)),"")))))</f>
        <v/>
      </c>
      <c r="G35">
        <f>IF($C35="","",MAX(1,N(IFERROR(IF(INDEX('商品マスタ'!$F$6:$F$1005,MATCH($C35,'商品マスタ'!$B$6:$B$1005,0))="",IF(COUNTIFS('①在庫を貼る'!$V$6:$V$10005,'設定'!$C$4,'①在庫を貼る'!$W$6:$W$10005,$C35)&gt;0,SUMIFS('①在庫を貼る'!$K$6:$K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K$6:$K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K$6:$K$10005,'月1回_2ヶ月前の在庫'!$V$6:$V$10005,'設定'!$C$4,'月1回_2ヶ月前の在庫'!$W$6:$W$10005,$C35)/COUNTIFS('月1回_2ヶ月前の在庫'!$V$6:$V$10005,'設定'!$C$4,'月1回_2ヶ月前の在庫'!$W$6:$W$10005,$C35),0))),INDEX('商品マスタ'!$F$6:$F$1005,MATCH($C35,'商品マスタ'!$B$6:$B$1005,0))),IF(COUNTIFS('①在庫を貼る'!$V$6:$V$10005,'設定'!$C$4,'①在庫を貼る'!$W$6:$W$10005,$C35)&gt;0,SUMIFS('①在庫を貼る'!$K$6:$K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K$6:$K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K$6:$K$10005,'月1回_2ヶ月前の在庫'!$V$6:$V$10005,'設定'!$C$4,'月1回_2ヶ月前の在庫'!$W$6:$W$10005,$C35)/COUNTIFS('月1回_2ヶ月前の在庫'!$V$6:$V$10005,'設定'!$C$4,'月1回_2ヶ月前の在庫'!$W$6:$W$10005,$C35),0)))))))</f>
        <v/>
      </c>
      <c r="H35">
        <f>IF($C35="","",N(IFERROR(IF(INDEX('商品マスタ'!$G$6:$G$1005,MATCH($C35,'商品マスタ'!$B$6:$B$1005,0))="",IF(COUNTIFS('①在庫を貼る'!$V$6:$V$10005,'設定'!$C$4,'①在庫を貼る'!$W$6:$W$10005,$C35)&gt;0,SUMIFS('①在庫を貼る'!$Q$6:$Q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Q$6:$Q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Q$6:$Q$10005,'月1回_2ヶ月前の在庫'!$V$6:$V$10005,'設定'!$C$4,'月1回_2ヶ月前の在庫'!$W$6:$W$10005,$C35)/COUNTIFS('月1回_2ヶ月前の在庫'!$V$6:$V$10005,'設定'!$C$4,'月1回_2ヶ月前の在庫'!$W$6:$W$10005,$C35),0))),INDEX('商品マスタ'!$G$6:$G$1005,MATCH($C35,'商品マスタ'!$B$6:$B$1005,0))),IF(COUNTIFS('①在庫を貼る'!$V$6:$V$10005,'設定'!$C$4,'①在庫を貼る'!$W$6:$W$10005,$C35)&gt;0,SUMIFS('①在庫を貼る'!$Q$6:$Q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Q$6:$Q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Q$6:$Q$10005,'月1回_2ヶ月前の在庫'!$V$6:$V$10005,'設定'!$C$4,'月1回_2ヶ月前の在庫'!$W$6:$W$10005,$C35)/COUNTIFS('月1回_2ヶ月前の在庫'!$V$6:$V$10005,'設定'!$C$4,'月1回_2ヶ月前の在庫'!$W$6:$W$10005,$C35),0))))))</f>
        <v/>
      </c>
      <c r="I35">
        <f>IF($C35="","",IF(COUNTIFS('①在庫を貼る'!$V$6:$V$10005,'設定'!$C$4,'①在庫を貼る'!$W$6:$W$10005,$C35)=0,"",SUMIFS('①在庫を貼る'!$N$6:$N$10005,'①在庫を貼る'!$V$6:$V$10005,'設定'!$C$4,'①在庫を貼る'!$W$6:$W$10005,$C35)))</f>
        <v/>
      </c>
      <c r="J35">
        <f>IF($C35="","",IF('②発注する'!$AD39="","",'②発注する'!$AD39))</f>
        <v/>
      </c>
      <c r="K35" s="90">
        <f>IF($C35="","",IF('②発注する'!$AE39="","",'②発注する'!$AE39))</f>
        <v/>
      </c>
      <c r="L35">
        <f>IF($C35="","",IF(AND(ISNUMBER($J35),ISNUMBER($K35),$K35&gt;='設定'!$C$6),$J35,N($I35)))</f>
        <v/>
      </c>
      <c r="M35">
        <f>IF($C35="","",IFERROR(IF(N(INDEX('商品マスタ'!$J$6:$J$1005,MATCH($C35,'商品マスタ'!$B$6:$B$1005,0)))&gt;0,INDEX('商品マスタ'!$J$6:$J$1005,MATCH($C35,'商品マスタ'!$B$6:$B$1005,0)),""),""))</f>
        <v/>
      </c>
      <c r="N35">
        <f>IF($C35="","",IFERROR(IF(N(INDEX('商品マスタ'!$H$6:$H$1005,MATCH($C35,'商品マスタ'!$B$6:$B$1005,0)))&gt;0,INDEX('商品マスタ'!$H$6:$H$1005,MATCH($C35,'商品マスタ'!$B$6:$B$1005,0)),""),""))</f>
        <v/>
      </c>
      <c r="O35">
        <f>IF($C35="","",IF($N35&lt;&gt;"",$N35*$G35,IF(N(IF(COUNTIFS('①在庫を貼る'!$V$6:$V$10005,'設定'!$C$4,'①在庫を貼る'!$W$6:$W$10005,$C35)&gt;0,SUMIFS('①在庫を貼る'!$O$6:$O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O$6:$O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O$6:$O$10005,'月1回_2ヶ月前の在庫'!$V$6:$V$10005,'設定'!$C$4,'月1回_2ヶ月前の在庫'!$W$6:$W$10005,$C35)/COUNTIFS('月1回_2ヶ月前の在庫'!$V$6:$V$10005,'設定'!$C$4,'月1回_2ヶ月前の在庫'!$W$6:$W$10005,$C35),0))))&gt;0,N(IF(COUNTIFS('①在庫を貼る'!$V$6:$V$10005,'設定'!$C$4,'①在庫を貼る'!$W$6:$W$10005,$C35)&gt;0,SUMIFS('①在庫を貼る'!$O$6:$O$10005,'①在庫を貼る'!$V$6:$V$10005,'設定'!$C$4,'①在庫を貼る'!$W$6:$W$10005,$C35)/COUNTIFS('①在庫を貼る'!$V$6:$V$10005,'設定'!$C$4,'①在庫を貼る'!$W$6:$W$10005,$C35),IF(COUNTIFS('月1回_1ヶ月前の在庫'!$V$6:$V$10005,'設定'!$C$4,'月1回_1ヶ月前の在庫'!$W$6:$W$10005,$C35)&gt;0,SUMIFS('月1回_1ヶ月前の在庫'!$O$6:$O$10005,'月1回_1ヶ月前の在庫'!$V$6:$V$10005,'設定'!$C$4,'月1回_1ヶ月前の在庫'!$W$6:$W$10005,$C35)/COUNTIFS('月1回_1ヶ月前の在庫'!$V$6:$V$10005,'設定'!$C$4,'月1回_1ヶ月前の在庫'!$W$6:$W$10005,$C35),IF(COUNTIFS('月1回_2ヶ月前の在庫'!$V$6:$V$10005,'設定'!$C$4,'月1回_2ヶ月前の在庫'!$W$6:$W$10005,$C35)&gt;0,SUMIFS('月1回_2ヶ月前の在庫'!$O$6:$O$10005,'月1回_2ヶ月前の在庫'!$V$6:$V$10005,'設定'!$C$4,'月1回_2ヶ月前の在庫'!$W$6:$W$10005,$C35)/COUNTIFS('月1回_2ヶ月前の在庫'!$V$6:$V$10005,'設定'!$C$4,'月1回_2ヶ月前の在庫'!$W$6:$W$10005,$C35),0)))),"")))</f>
        <v/>
      </c>
      <c r="P35" s="90">
        <f>IF($C35="","",IF('②発注する'!$I39="","",'②発注する'!$I39))</f>
        <v/>
      </c>
      <c r="Q35">
        <f>IF($C35="","",IF('②発注する'!$J39="","",'②発注する'!$J39))</f>
        <v/>
      </c>
      <c r="R35">
        <f>IF($C35="",0,IF(AND(ISNUMBER($P35),ISNUMBER($Q35)),MAX(0,$Q35)*$G35,0))</f>
        <v/>
      </c>
      <c r="S35" s="90">
        <f>IF($C35="","",IF('②発注する'!$M39="","",'②発注する'!$M39))</f>
        <v/>
      </c>
      <c r="T35">
        <f>IF($C35="","",IF('②発注する'!$N39="","",'②発注する'!$N39))</f>
        <v/>
      </c>
      <c r="U35">
        <f>IF($C35="",0,IF(AND(ISNUMBER($S35),ISNUMBER($T35)),MAX(0,$T35)*$G35,0))</f>
        <v/>
      </c>
      <c r="V35">
        <f>IF($C35="",0,IF($M35="",0,MAX(0,$M35)*MAX(0,V$4)/100))</f>
        <v/>
      </c>
      <c r="W35">
        <f>IF($C35="",0,IF($M35="",0,MAX(0,$M35)*MAX(0,W$4)/100))</f>
        <v/>
      </c>
      <c r="X35">
        <f>IF($C35="",0,IF($M35="",0,MAX(0,$M35)*MAX(0,X$4)/100))</f>
        <v/>
      </c>
      <c r="Y35">
        <f>IF($C35="",0,IF($M35="",0,MAX(0,$M35)*MAX(0,Y$4)/100))</f>
        <v/>
      </c>
      <c r="Z35">
        <f>IF($C35="",0,IF($M35="",0,MAX(0,$M35)*MAX(0,Z$4)/100))</f>
        <v/>
      </c>
      <c r="AA35">
        <f>IF($C35="",0,IF($M35="",0,MAX(0,$M35)*MAX(0,AA$4)/100))</f>
        <v/>
      </c>
      <c r="AB35">
        <f>IF($C35="",0,IF($M35="",0,MAX(0,$M35)*MAX(0,AB$4)/100))</f>
        <v/>
      </c>
      <c r="AC35">
        <f>IF($C35="",0,IF($M35="",0,MAX(0,$M35)*MAX(0,AC$4)/100))</f>
        <v/>
      </c>
      <c r="AD35">
        <f>IF($C35="",0,IF($M35="",0,MAX(0,$M35)*MAX(0,AD$4)/100))</f>
        <v/>
      </c>
      <c r="AE35">
        <f>IF($C35="",0,IF($M35="",0,MAX(0,$M35)*MAX(0,AE$4)/100))</f>
        <v/>
      </c>
      <c r="AF35">
        <f>IF($C35="",0,IF($M35="",0,MAX(0,$M35)*MAX(0,AF$4)/100))</f>
        <v/>
      </c>
      <c r="AG35">
        <f>IF($C35="",0,IF($M35="",0,MAX(0,$M35)*MAX(0,AG$4)/100))</f>
        <v/>
      </c>
      <c r="AH35">
        <f>IF($C35="",0,IF($M35="",0,MAX(0,$M35)*MAX(0,AH$4)/100))</f>
        <v/>
      </c>
      <c r="AI35">
        <f>IF($C35="",0,IF($M35="",0,MAX(0,$M35)*MAX(0,AI$4)/100))</f>
        <v/>
      </c>
      <c r="AJ35">
        <f>IF($C35="",0,MAX(0,MAX(0,N($L35))-$V35))</f>
        <v/>
      </c>
      <c r="AK35">
        <f>IF($C35="",0,MAX(0,$AJ35-$W35))</f>
        <v/>
      </c>
      <c r="AL35">
        <f>IF($C35="",0,MAX(0,$AK35-$X35))</f>
        <v/>
      </c>
      <c r="AM35">
        <f>IF($C35="",0,MAX(0,$AL35-$Y35))</f>
        <v/>
      </c>
      <c r="AN35">
        <f>IF($C35="",0,MAX(0,$AM35-$Z35))</f>
        <v/>
      </c>
      <c r="AO35">
        <f>IF($C35="",0,MAX(0,$AN35-$AA35))</f>
        <v/>
      </c>
      <c r="AP35">
        <f>IF($C35="",0,MAX(0,$AO35-$AB35))</f>
        <v/>
      </c>
      <c r="AQ35">
        <f>IF($C35="",0,MAX(0,$AP35-$AC35))</f>
        <v/>
      </c>
      <c r="AR35">
        <f>IF($C35="",0,MAX(0,$AQ35-$AD35))</f>
        <v/>
      </c>
      <c r="AS35">
        <f>IF($C35="",0,MAX(0,$AR35-$AE35))</f>
        <v/>
      </c>
      <c r="AT35">
        <f>IF($C35="",0,MAX(0,$AS35-$AF35))</f>
        <v/>
      </c>
      <c r="AU35">
        <f>IF($C35="",0,MAX(0,$AT35-$AG35))</f>
        <v/>
      </c>
      <c r="AV35">
        <f>IF($C35="",0,MAX(0,$AU35-$AH35))</f>
        <v/>
      </c>
      <c r="AW35">
        <f>IF($C35="",0,MAX(0,$AV35-$AI35))</f>
        <v/>
      </c>
      <c r="AX35">
        <f>IF($C35="",0,MAX(0,MAX(0,N($L35))+IF($P35=V$3,$R35,0)+IF($S35=V$3,$U35,0)-$V35))</f>
        <v/>
      </c>
      <c r="AY35">
        <f>IF($C35="",0,MAX(0,$AX35+IF($P35=W$3,$R35,0)+IF($S35=W$3,$U35,0)-$W35))</f>
        <v/>
      </c>
      <c r="AZ35">
        <f>IF($C35="",0,MAX(0,$AY35+IF($P35=X$3,$R35,0)+IF($S35=X$3,$U35,0)-$X35))</f>
        <v/>
      </c>
      <c r="BA35">
        <f>IF($C35="",0,MAX(0,$AZ35+IF($P35=Y$3,$R35,0)+IF($S35=Y$3,$U35,0)-$Y35))</f>
        <v/>
      </c>
      <c r="BB35">
        <f>IF($C35="",0,MAX(0,$BA35+IF($P35=Z$3,$R35,0)+IF($S35=Z$3,$U35,0)-$Z35))</f>
        <v/>
      </c>
      <c r="BC35">
        <f>IF($C35="",0,MAX(0,$BB35+IF($P35=AA$3,$R35,0)+IF($S35=AA$3,$U35,0)-$AA35))</f>
        <v/>
      </c>
      <c r="BD35">
        <f>IF($C35="",0,MAX(0,$BC35+IF($P35=AB$3,$R35,0)+IF($S35=AB$3,$U35,0)-$AB35))</f>
        <v/>
      </c>
      <c r="BE35">
        <f>IF($C35="",0,MAX(0,$BD35+IF($P35=AC$3,$R35,0)+IF($S35=AC$3,$U35,0)-$AC35))</f>
        <v/>
      </c>
      <c r="BF35">
        <f>IF($C35="",0,MAX(0,$BE35+IF($P35=AD$3,$R35,0)+IF($S35=AD$3,$U35,0)-$AD35))</f>
        <v/>
      </c>
      <c r="BG35">
        <f>IF($C35="",0,MAX(0,$BF35+IF($P35=AE$3,$R35,0)+IF($S35=AE$3,$U35,0)-$AE35))</f>
        <v/>
      </c>
      <c r="BH35">
        <f>IF($C35="",0,MAX(0,$BG35+IF($P35=AF$3,$R35,0)+IF($S35=AF$3,$U35,0)-$AF35))</f>
        <v/>
      </c>
      <c r="BI35">
        <f>IF($C35="",0,MAX(0,$BH35+IF($P35=AG$3,$R35,0)+IF($S35=AG$3,$U35,0)-$AG35))</f>
        <v/>
      </c>
      <c r="BJ35">
        <f>IF($C35="",0,MAX(0,$BI35+IF($P35=AH$3,$R35,0)+IF($S35=AH$3,$U35,0)-$AH35))</f>
        <v/>
      </c>
      <c r="BK35">
        <f>IF($C35="",0,MAX(0,$BJ35+IF($P35=AI$3,$R35,0)+IF($S35=AI$3,$U35,0)-$AI35))</f>
        <v/>
      </c>
      <c r="BL35">
        <f>IF($C35="",99,IF(AND($AX35&lt;1,V$3&gt;=MAX(N($P35),N($S35))),0,99))</f>
        <v/>
      </c>
      <c r="BM35">
        <f>IF($C35="",99,IF(AND($AY35&lt;1,W$3&gt;=MAX(N($P35),N($S35))),1,99))</f>
        <v/>
      </c>
      <c r="BN35">
        <f>IF($C35="",99,IF(AND($AZ35&lt;1,X$3&gt;=MAX(N($P35),N($S35))),2,99))</f>
        <v/>
      </c>
      <c r="BO35">
        <f>IF($C35="",99,IF(AND($BA35&lt;1,Y$3&gt;=MAX(N($P35),N($S35))),3,99))</f>
        <v/>
      </c>
      <c r="BP35">
        <f>IF($C35="",99,IF(AND($BB35&lt;1,Z$3&gt;=MAX(N($P35),N($S35))),4,99))</f>
        <v/>
      </c>
      <c r="BQ35">
        <f>IF($C35="",99,IF(AND($BC35&lt;1,AA$3&gt;=MAX(N($P35),N($S35))),5,99))</f>
        <v/>
      </c>
      <c r="BR35">
        <f>IF($C35="",99,IF(AND($BD35&lt;1,AB$3&gt;=MAX(N($P35),N($S35))),6,99))</f>
        <v/>
      </c>
      <c r="BS35">
        <f>IF($C35="",99,IF(AND($BE35&lt;1,AC$3&gt;=MAX(N($P35),N($S35))),7,99))</f>
        <v/>
      </c>
      <c r="BT35">
        <f>IF($C35="",99,IF(AND($BF35&lt;1,AD$3&gt;=MAX(N($P35),N($S35))),8,99))</f>
        <v/>
      </c>
      <c r="BU35">
        <f>IF($C35="",99,IF(AND($BG35&lt;1,AE$3&gt;=MAX(N($P35),N($S35))),9,99))</f>
        <v/>
      </c>
      <c r="BV35">
        <f>IF($C35="",99,IF(AND($BH35&lt;1,AF$3&gt;=MAX(N($P35),N($S35))),10,99))</f>
        <v/>
      </c>
      <c r="BW35">
        <f>IF($C35="",99,IF(AND($BI35&lt;1,AG$3&gt;=MAX(N($P35),N($S35))),11,99))</f>
        <v/>
      </c>
      <c r="BX35">
        <f>IF($C35="",99,IF(AND($BJ35&lt;1,AH$3&gt;=MAX(N($P35),N($S35))),12,99))</f>
        <v/>
      </c>
      <c r="BY35">
        <f>IF($C35="",99,IF(AND($BK35&lt;1,AI$3&gt;=MAX(N($P35),N($S35))),13,99))</f>
        <v/>
      </c>
      <c r="BZ35">
        <f>IF(OR($C35="",$M35=""),"",COUNTIF($AJ35:$AW35,"&gt;=1"))</f>
        <v/>
      </c>
      <c r="CA35" s="90">
        <f>IF($BZ35="","",IF($BZ35&gt;=14,"",'設定'!$C$6+$BZ35))</f>
        <v/>
      </c>
      <c r="CB35">
        <f>IF(OR($C35="",$M35=""),"",MIN($BL35:$BY35))</f>
        <v/>
      </c>
      <c r="CC35" s="90">
        <f>IF($CB35="","",IF($CB35&gt;=99,"",'設定'!$C$6+$CB35))</f>
        <v/>
      </c>
      <c r="CD35">
        <f>IF(OR($C35="",$M35=""),"",AVERAGE($V35:$AI35))</f>
        <v/>
      </c>
      <c r="CE35">
        <f>IF($C35="","",IFERROR(IF(MATCH(IF(ISNUMBER($P35),$P35,'設定'!$C$6+N('設定'!$C$7)),$V$3:$AI$3,0)=1,MAX(0,N($L35)),INDEX($AJ35:$AW35,MATCH(IF(ISNUMBER($P35),$P35,'設定'!$C$6+N('設定'!$C$7)),$V$3:$AI$3,0)-1)),""))</f>
        <v/>
      </c>
      <c r="CF35">
        <f>IF(OR($C35="",$O35="",$CE35=""),"",IF($O35-$CE35&lt;=0,0,ROUNDUP(($O35-$CE35)/$G35,0)))</f>
        <v/>
      </c>
      <c r="CG35">
        <f>IF(OR($C35="",$CF35="",NOT(ISNUMBER($Q35))),0,MAX(0,$Q35-$CF35))</f>
        <v/>
      </c>
      <c r="CH35">
        <f>IF(OR($C35="",$O35="",$U35=0),0,IFERROR(ROUNDUP(MAX(0,IF(MATCH($S35,$V$3:$AI$3,0)=1,MAX(0,N($L35)),INDEX($AX35:$BK35,MATCH($S35,$V$3:$AI$3,0)-1))+$U35-$O35)/$G35,0),0))</f>
        <v/>
      </c>
      <c r="CI35">
        <f>IF($C35="","",IF(AND($P35="",$Q35=""),"",IF($P35="","⚠ 入庫日を ▼ から選んでください",IF(NOT(ISNUMBER($P35)),"⚠ 入庫日は ▼ から選んでください",IF($P35&lt;N('設定'!$C$6),"⚠ 入庫日が過去です（もう在庫に入っています）→ 消してください",IF($P35&gt;N('設定'!$C$6)+13,"⚠ 入庫日が14日より先です",IF(N($Q35)&lt;=0,"⚠ 入庫数を入れてください",IF($CG35&gt;0,"⚠ 目安より "&amp;$CG35&amp;" 多い（定数を超える）→ 減らす",""))))))))</f>
        <v/>
      </c>
      <c r="CJ35">
        <f>IF($C35="","",IF(AND($S35="",$T35=""),"",IF($S35="","⚠ 2便目：入庫日を ▼ から選んでください",IF(NOT(ISNUMBER($S35)),"⚠ 2便目：入庫日は ▼ から選んでください",IF($S35&lt;N('設定'!$C$6),"⚠ 2便目：入庫日が過去です（もう在庫に入っています）→ 消してください",IF($S35&gt;N('設定'!$C$6)+13,"⚠ 2便目：入庫日が14日より先です",IF(N($T35)&lt;=0,"⚠ 2便目：入庫数を入れてください",IF($CH35&gt;0,"⚠ 2便目：定数を "&amp;$CH35&amp;" ケース超える → 減らす",""))))))))</f>
        <v/>
      </c>
      <c r="CK35">
        <f>IF(AND($CI35="",N($Q35)&gt;0,ISNUMBER($P35)),1,0)</f>
        <v/>
      </c>
      <c r="CL35">
        <f>IF(AND($CJ35="",N($T35)&gt;0,ISNUMBER($S35)),1,0)</f>
        <v/>
      </c>
      <c r="CM35">
        <f>IF(OR($CK35=1,$CL35=1),1,0)</f>
        <v/>
      </c>
      <c r="CN35">
        <f>IF($C35="",0,($CK35*$R35+$CL35*$U35)*N($H35))</f>
        <v/>
      </c>
      <c r="CO35">
        <f>IF($C35="","",IF($CC35="","入庫後は 14日以上もつ",IF($CC35-N('設定'!$C$7)&lt;='設定'!$C$6,"入庫後も "&amp;TEXT($CC35,"m/d")&amp;"("&amp;CHOOSE(WEEKDAY($CC35),"日","月","火","水","木","金","土")&amp;")"&amp;" に切れる　もう1便を至急発注","入庫後も "&amp;TEXT($CC35,"m/d")&amp;"("&amp;CHOOSE(WEEKDAY($CC35),"日","月","火","水","木","金","土")&amp;")"&amp;" に切れる　"&amp;TEXT($CC35-N('設定'!$C$7),"m/d")&amp;"("&amp;CHOOSE(WEEKDAY($CC35-N('設定'!$C$7)),"日","月","火","水","木","金","土")&amp;")"&amp;" までに次を発注")))</f>
        <v/>
      </c>
      <c r="CP35">
        <f>IF($C35="","",IF('設定'!$C$6="","？ ①在庫を貼る に今日のCSVが貼られていない",IF($CS35=1,"－ 今日のCSVに無い（終売？）",IF($L35&lt;0,"● 在庫がマイナス　数えて「数えた在庫」に入れる",IF($L35=0,"● 在庫なし　至急発注",IF($M35="","？ 減り数が未設定（商品マスタ）",IF($B$3=0,"？ 動員が未入力（動員を入れる）",IF($CA35="","○ 14日以上もつ",IF($BZ35&lt;N('設定'!$C$7),"● "&amp;TEXT($CA35,"m/d")&amp;"("&amp;CHOOSE(WEEKDAY($CA35),"日","月","火","水","木","金","土")&amp;")"&amp;" に切れる　至急発注",IF($BZ35=N('設定'!$C$7),"● "&amp;TEXT($CA35,"m/d")&amp;"("&amp;CHOOSE(WEEKDAY($CA35),"日","月","火","水","木","金","土")&amp;")"&amp;" に切れる　今日発注","△ "&amp;TEXT($CA35,"m/d")&amp;"("&amp;CHOOSE(WEEKDAY($CA35),"日","月","火","水","木","金","土")&amp;")"&amp;" に切れる　"&amp;TEXT($CA35-N('設定'!$C$7),"m/d")&amp;"("&amp;CHOOSE(WEEKDAY($CA35-N('設定'!$C$7)),"日","月","火","水","木","金","土")&amp;")"&amp;" までに発注"))))))))))</f>
        <v/>
      </c>
      <c r="CQ35">
        <f>IF($C35="","",IF(AND($P35="",$Q35="",$S35="",$T35=""),"",IF(AND($P35="",$Q35=""),"⚠ 先に1便目（左の入庫日・入庫数）に入れてください",IF($CI35&lt;&gt;"",$CI35,IF($CJ35&lt;&gt;"",$CJ35,IF($M35="","？ 減り数が未設定（発注書には載ります）",IF($B$3=0,"？ 動員が未入力（発注書には載ります）",IF(AND($CA35&lt;&gt;"",$P35&gt;$CA35),IF($P35&gt;'設定'!$C$6+N('設定'!$C$7),"● "&amp;TEXT($P35,"m/d")&amp;"("&amp;CHOOSE(WEEKDAY($P35),"日","月","火","水","木","金","土")&amp;")"&amp;" の入庫では間に合わない（"&amp;TEXT($CA35,"m/d")&amp;"("&amp;CHOOSE(WEEKDAY($CA35),"日","月","火","水","木","金","土")&amp;")"&amp;" に切れる）　入庫日を早める","△ 欠品 "&amp;TEXT($CA35,"m/d")&amp;"("&amp;CHOOSE(WEEKDAY($CA35),"日","月","火","水","木","金","土")&amp;")"&amp;"〜"&amp;TEXT($P35-1,"m/d")&amp;"("&amp;CHOOSE(WEEKDAY($P35-1),"日","月","火","水","木","金","土")&amp;")"&amp;"　"&amp;$CO35),IF($CC35="","○ "&amp;TEXT($P35,"m/d")&amp;"("&amp;CHOOSE(WEEKDAY($P35),"日","月","火","水","木","金","土")&amp;")"&amp;" 入庫で 14日以上もつ",IF($CC35-N('設定'!$C$7)&lt;='設定'!$C$6,"● 入庫しても "&amp;TEXT($CC35,"m/d")&amp;"("&amp;CHOOSE(WEEKDAY($CC35),"日","月","火","水","木","金","土")&amp;")"&amp;" に切れる　もう1便を至急発注（2便目に入れる）","△ 入庫しても "&amp;TEXT($CC35,"m/d")&amp;"("&amp;CHOOSE(WEEKDAY($CC35),"日","月","火","水","木","金","土")&amp;")"&amp;" に切れる　"&amp;TEXT($CC35-N('設定'!$C$7),"m/d")&amp;"("&amp;CHOOSE(WEEKDAY($CC35-N('設定'!$C$7)),"日","月","火","水","木","金","土")&amp;")"&amp;" までに次を発注（2便目に入れる）"))))))))))</f>
        <v/>
      </c>
      <c r="CR35">
        <f>IF($C35="","",IF($G35&gt;1,"ｹｰｽ("&amp;$G35&amp;"入)","個"))</f>
        <v/>
      </c>
      <c r="CS35">
        <f>IF($C35="",0,IF(COUNTIFS('①在庫を貼る'!$V$6:$V$10005,'設定'!$C$4,'①在庫を貼る'!$W$6:$W$10005,$C35)=0,1,0))</f>
        <v/>
      </c>
      <c r="CT35">
        <f>IF(AND($CK35=1,OR('③発注書'!$C$4="すべて",'③発注書'!$C$4="",$F35='③発注書'!$C$4)),N($CT34)+1,N($CT34))</f>
        <v/>
      </c>
      <c r="CU35">
        <f>IF(AND($CL35=1,OR('③発注書'!$C$4="すべて",'③発注書'!$C$4="",$F35='③発注書'!$C$4)),N($CU34)+1,N($CU34))</f>
        <v/>
      </c>
      <c r="CV35">
        <f>IF($C35="",0,IF(COUNTIFS('①在庫を貼る'!$V$6:$V$10005,'設定'!$C$4,'①在庫を貼る'!$W$6:$W$10005,$C35)&gt;0,1,0))</f>
        <v/>
      </c>
      <c r="CW35">
        <f>IF($C35="",0,IF(COUNTIFS('月1回_1ヶ月前の在庫'!$V$6:$V$10005,'設定'!$C$4,'月1回_1ヶ月前の在庫'!$W$6:$W$10005,$C35)&gt;0,1,0))</f>
        <v/>
      </c>
      <c r="CX35">
        <f>IF($C35="",0,IF(COUNTIFS('月1回_2ヶ月前の在庫'!$V$6:$V$10005,'設定'!$C$4,'月1回_2ヶ月前の在庫'!$W$6:$W$10005,$C35)&gt;0,1,0))</f>
        <v/>
      </c>
      <c r="CY35">
        <f>IF(OR($C35="",'設定'!$C$12=""),"",IF('設定'!$C$13="",IF(AND($CV35=1,$CW35=0),"新商品（今月から）",IF(AND($CV35=0,$CW35=1),"終売（今月から）","")),IF(AND($CV35=1,$CW35=0,$CX35=0),"新商品（今月から）",IF(AND($CV35=1,$CW35=1,$CX35=0),"新商品（先月から）",IF(AND($CV35=0,$CW35=1,$CX35=1),"終売（今月から）",IF(AND($CV35=0,$CW35=0,$CX35=1),"終売（先月から）",IF(AND($CV35=1,$CW35=0,$CX35=1),"復活（先月は無し）","")))))))</f>
        <v/>
      </c>
    </row>
    <row r="36">
      <c r="B36">
        <f>IF(31&lt;='設定'!$C$11,31,"")</f>
        <v/>
      </c>
      <c r="C36">
        <f>IF($B36="","",IF($B36&lt;='設定'!$C$20,INDEX('商品マスタ'!$B$6:$B$1005,MATCH($B36,'商品マスタ'!$M$6:$M$1005,0)),IF($B36&lt;='設定'!$C$20+'設定'!$C$17,INDEX('①在庫を貼る'!$W$6:$W$10005,MATCH($B36-'設定'!$C$20,'①在庫を貼る'!$U$6:$U$10005,0)),IF($B36&lt;='設定'!$C$20+'設定'!$C$17+'設定'!$C$18,INDEX('月1回_1ヶ月前の在庫'!$W$6:$W$10005,MATCH($B36-'設定'!$C$20-'設定'!$C$17,'月1回_1ヶ月前の在庫'!$U$6:$U$10005,0)),INDEX('月1回_2ヶ月前の在庫'!$W$6:$W$10005,MATCH($B36-'設定'!$C$20-'設定'!$C$17-'設定'!$C$18,'月1回_2ヶ月前の在庫'!$U$6:$U$10005,0))))))</f>
        <v/>
      </c>
      <c r="D36">
        <f>IF($C36="","",IFERROR(IF(INDEX('商品マスタ'!$C$6:$C$1005,MATCH($C36,'商品マスタ'!$B$6:$B$1005,0))="",IFERROR(INDEX('①在庫を貼る'!$J$6:$J$10005,MATCH($C36,'①在庫を貼る'!$W$6:$W$10005,0)),IFERROR(INDEX('月1回_1ヶ月前の在庫'!$J$6:$J$10005,MATCH($C36,'月1回_1ヶ月前の在庫'!$W$6:$W$10005,0)),IFERROR(INDEX('月1回_2ヶ月前の在庫'!$J$6:$J$10005,MATCH($C36,'月1回_2ヶ月前の在庫'!$W$6:$W$10005,0)),""))),INDEX('商品マスタ'!$C$6:$C$1005,MATCH($C36,'商品マスタ'!$B$6:$B$1005,0))),IFERROR(INDEX('①在庫を貼る'!$J$6:$J$10005,MATCH($C36,'①在庫を貼る'!$W$6:$W$10005,0)),IFERROR(INDEX('月1回_1ヶ月前の在庫'!$J$6:$J$10005,MATCH($C36,'月1回_1ヶ月前の在庫'!$W$6:$W$10005,0)),IFERROR(INDEX('月1回_2ヶ月前の在庫'!$J$6:$J$10005,MATCH($C36,'月1回_2ヶ月前の在庫'!$W$6:$W$10005,0)),"")))))</f>
        <v/>
      </c>
      <c r="E36">
        <f>IF($C36="","",IFERROR(IF(INDEX('商品マスタ'!$D$6:$D$1005,MATCH($C36,'商品マスタ'!$B$6:$B$1005,0))="",IFERROR(INDEX('①在庫を貼る'!$H$6:$H$10005,MATCH($C36,'①在庫を貼る'!$W$6:$W$10005,0)),IFERROR(INDEX('月1回_1ヶ月前の在庫'!$H$6:$H$10005,MATCH($C36,'月1回_1ヶ月前の在庫'!$W$6:$W$10005,0)),IFERROR(INDEX('月1回_2ヶ月前の在庫'!$H$6:$H$10005,MATCH($C36,'月1回_2ヶ月前の在庫'!$W$6:$W$10005,0)),""))),INDEX('商品マスタ'!$D$6:$D$1005,MATCH($C36,'商品マスタ'!$B$6:$B$1005,0))),IFERROR(INDEX('①在庫を貼る'!$H$6:$H$10005,MATCH($C36,'①在庫を貼る'!$W$6:$W$10005,0)),IFERROR(INDEX('月1回_1ヶ月前の在庫'!$H$6:$H$10005,MATCH($C36,'月1回_1ヶ月前の在庫'!$W$6:$W$10005,0)),IFERROR(INDEX('月1回_2ヶ月前の在庫'!$H$6:$H$10005,MATCH($C36,'月1回_2ヶ月前の在庫'!$W$6:$W$10005,0)),"")))))</f>
        <v/>
      </c>
      <c r="F36">
        <f>IF($C36="","",IFERROR(IF(INDEX('商品マスタ'!$E$6:$E$1005,MATCH($C36,'商品マスタ'!$B$6:$B$1005,0))="",IFERROR(INDEX('①在庫を貼る'!$E$6:$E$10005,MATCH($C36,'①在庫を貼る'!$W$6:$W$10005,0)),IFERROR(INDEX('月1回_1ヶ月前の在庫'!$E$6:$E$10005,MATCH($C36,'月1回_1ヶ月前の在庫'!$W$6:$W$10005,0)),IFERROR(INDEX('月1回_2ヶ月前の在庫'!$E$6:$E$10005,MATCH($C36,'月1回_2ヶ月前の在庫'!$W$6:$W$10005,0)),""))),INDEX('商品マスタ'!$E$6:$E$1005,MATCH($C36,'商品マスタ'!$B$6:$B$1005,0))),IFERROR(INDEX('①在庫を貼る'!$E$6:$E$10005,MATCH($C36,'①在庫を貼る'!$W$6:$W$10005,0)),IFERROR(INDEX('月1回_1ヶ月前の在庫'!$E$6:$E$10005,MATCH($C36,'月1回_1ヶ月前の在庫'!$W$6:$W$10005,0)),IFERROR(INDEX('月1回_2ヶ月前の在庫'!$E$6:$E$10005,MATCH($C36,'月1回_2ヶ月前の在庫'!$W$6:$W$10005,0)),"")))))</f>
        <v/>
      </c>
      <c r="G36">
        <f>IF($C36="","",MAX(1,N(IFERROR(IF(INDEX('商品マスタ'!$F$6:$F$1005,MATCH($C36,'商品マスタ'!$B$6:$B$1005,0))="",IF(COUNTIFS('①在庫を貼る'!$V$6:$V$10005,'設定'!$C$4,'①在庫を貼る'!$W$6:$W$10005,$C36)&gt;0,SUMIFS('①在庫を貼る'!$K$6:$K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K$6:$K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K$6:$K$10005,'月1回_2ヶ月前の在庫'!$V$6:$V$10005,'設定'!$C$4,'月1回_2ヶ月前の在庫'!$W$6:$W$10005,$C36)/COUNTIFS('月1回_2ヶ月前の在庫'!$V$6:$V$10005,'設定'!$C$4,'月1回_2ヶ月前の在庫'!$W$6:$W$10005,$C36),0))),INDEX('商品マスタ'!$F$6:$F$1005,MATCH($C36,'商品マスタ'!$B$6:$B$1005,0))),IF(COUNTIFS('①在庫を貼る'!$V$6:$V$10005,'設定'!$C$4,'①在庫を貼る'!$W$6:$W$10005,$C36)&gt;0,SUMIFS('①在庫を貼る'!$K$6:$K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K$6:$K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K$6:$K$10005,'月1回_2ヶ月前の在庫'!$V$6:$V$10005,'設定'!$C$4,'月1回_2ヶ月前の在庫'!$W$6:$W$10005,$C36)/COUNTIFS('月1回_2ヶ月前の在庫'!$V$6:$V$10005,'設定'!$C$4,'月1回_2ヶ月前の在庫'!$W$6:$W$10005,$C36),0)))))))</f>
        <v/>
      </c>
      <c r="H36">
        <f>IF($C36="","",N(IFERROR(IF(INDEX('商品マスタ'!$G$6:$G$1005,MATCH($C36,'商品マスタ'!$B$6:$B$1005,0))="",IF(COUNTIFS('①在庫を貼る'!$V$6:$V$10005,'設定'!$C$4,'①在庫を貼る'!$W$6:$W$10005,$C36)&gt;0,SUMIFS('①在庫を貼る'!$Q$6:$Q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Q$6:$Q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Q$6:$Q$10005,'月1回_2ヶ月前の在庫'!$V$6:$V$10005,'設定'!$C$4,'月1回_2ヶ月前の在庫'!$W$6:$W$10005,$C36)/COUNTIFS('月1回_2ヶ月前の在庫'!$V$6:$V$10005,'設定'!$C$4,'月1回_2ヶ月前の在庫'!$W$6:$W$10005,$C36),0))),INDEX('商品マスタ'!$G$6:$G$1005,MATCH($C36,'商品マスタ'!$B$6:$B$1005,0))),IF(COUNTIFS('①在庫を貼る'!$V$6:$V$10005,'設定'!$C$4,'①在庫を貼る'!$W$6:$W$10005,$C36)&gt;0,SUMIFS('①在庫を貼る'!$Q$6:$Q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Q$6:$Q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Q$6:$Q$10005,'月1回_2ヶ月前の在庫'!$V$6:$V$10005,'設定'!$C$4,'月1回_2ヶ月前の在庫'!$W$6:$W$10005,$C36)/COUNTIFS('月1回_2ヶ月前の在庫'!$V$6:$V$10005,'設定'!$C$4,'月1回_2ヶ月前の在庫'!$W$6:$W$10005,$C36),0))))))</f>
        <v/>
      </c>
      <c r="I36">
        <f>IF($C36="","",IF(COUNTIFS('①在庫を貼る'!$V$6:$V$10005,'設定'!$C$4,'①在庫を貼る'!$W$6:$W$10005,$C36)=0,"",SUMIFS('①在庫を貼る'!$N$6:$N$10005,'①在庫を貼る'!$V$6:$V$10005,'設定'!$C$4,'①在庫を貼る'!$W$6:$W$10005,$C36)))</f>
        <v/>
      </c>
      <c r="J36">
        <f>IF($C36="","",IF('②発注する'!$AD40="","",'②発注する'!$AD40))</f>
        <v/>
      </c>
      <c r="K36" s="90">
        <f>IF($C36="","",IF('②発注する'!$AE40="","",'②発注する'!$AE40))</f>
        <v/>
      </c>
      <c r="L36">
        <f>IF($C36="","",IF(AND(ISNUMBER($J36),ISNUMBER($K36),$K36&gt;='設定'!$C$6),$J36,N($I36)))</f>
        <v/>
      </c>
      <c r="M36">
        <f>IF($C36="","",IFERROR(IF(N(INDEX('商品マスタ'!$J$6:$J$1005,MATCH($C36,'商品マスタ'!$B$6:$B$1005,0)))&gt;0,INDEX('商品マスタ'!$J$6:$J$1005,MATCH($C36,'商品マスタ'!$B$6:$B$1005,0)),""),""))</f>
        <v/>
      </c>
      <c r="N36">
        <f>IF($C36="","",IFERROR(IF(N(INDEX('商品マスタ'!$H$6:$H$1005,MATCH($C36,'商品マスタ'!$B$6:$B$1005,0)))&gt;0,INDEX('商品マスタ'!$H$6:$H$1005,MATCH($C36,'商品マスタ'!$B$6:$B$1005,0)),""),""))</f>
        <v/>
      </c>
      <c r="O36">
        <f>IF($C36="","",IF($N36&lt;&gt;"",$N36*$G36,IF(N(IF(COUNTIFS('①在庫を貼る'!$V$6:$V$10005,'設定'!$C$4,'①在庫を貼る'!$W$6:$W$10005,$C36)&gt;0,SUMIFS('①在庫を貼る'!$O$6:$O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O$6:$O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O$6:$O$10005,'月1回_2ヶ月前の在庫'!$V$6:$V$10005,'設定'!$C$4,'月1回_2ヶ月前の在庫'!$W$6:$W$10005,$C36)/COUNTIFS('月1回_2ヶ月前の在庫'!$V$6:$V$10005,'設定'!$C$4,'月1回_2ヶ月前の在庫'!$W$6:$W$10005,$C36),0))))&gt;0,N(IF(COUNTIFS('①在庫を貼る'!$V$6:$V$10005,'設定'!$C$4,'①在庫を貼る'!$W$6:$W$10005,$C36)&gt;0,SUMIFS('①在庫を貼る'!$O$6:$O$10005,'①在庫を貼る'!$V$6:$V$10005,'設定'!$C$4,'①在庫を貼る'!$W$6:$W$10005,$C36)/COUNTIFS('①在庫を貼る'!$V$6:$V$10005,'設定'!$C$4,'①在庫を貼る'!$W$6:$W$10005,$C36),IF(COUNTIFS('月1回_1ヶ月前の在庫'!$V$6:$V$10005,'設定'!$C$4,'月1回_1ヶ月前の在庫'!$W$6:$W$10005,$C36)&gt;0,SUMIFS('月1回_1ヶ月前の在庫'!$O$6:$O$10005,'月1回_1ヶ月前の在庫'!$V$6:$V$10005,'設定'!$C$4,'月1回_1ヶ月前の在庫'!$W$6:$W$10005,$C36)/COUNTIFS('月1回_1ヶ月前の在庫'!$V$6:$V$10005,'設定'!$C$4,'月1回_1ヶ月前の在庫'!$W$6:$W$10005,$C36),IF(COUNTIFS('月1回_2ヶ月前の在庫'!$V$6:$V$10005,'設定'!$C$4,'月1回_2ヶ月前の在庫'!$W$6:$W$10005,$C36)&gt;0,SUMIFS('月1回_2ヶ月前の在庫'!$O$6:$O$10005,'月1回_2ヶ月前の在庫'!$V$6:$V$10005,'設定'!$C$4,'月1回_2ヶ月前の在庫'!$W$6:$W$10005,$C36)/COUNTIFS('月1回_2ヶ月前の在庫'!$V$6:$V$10005,'設定'!$C$4,'月1回_2ヶ月前の在庫'!$W$6:$W$10005,$C36),0)))),"")))</f>
        <v/>
      </c>
      <c r="P36" s="90">
        <f>IF($C36="","",IF('②発注する'!$I40="","",'②発注する'!$I40))</f>
        <v/>
      </c>
      <c r="Q36">
        <f>IF($C36="","",IF('②発注する'!$J40="","",'②発注する'!$J40))</f>
        <v/>
      </c>
      <c r="R36">
        <f>IF($C36="",0,IF(AND(ISNUMBER($P36),ISNUMBER($Q36)),MAX(0,$Q36)*$G36,0))</f>
        <v/>
      </c>
      <c r="S36" s="90">
        <f>IF($C36="","",IF('②発注する'!$M40="","",'②発注する'!$M40))</f>
        <v/>
      </c>
      <c r="T36">
        <f>IF($C36="","",IF('②発注する'!$N40="","",'②発注する'!$N40))</f>
        <v/>
      </c>
      <c r="U36">
        <f>IF($C36="",0,IF(AND(ISNUMBER($S36),ISNUMBER($T36)),MAX(0,$T36)*$G36,0))</f>
        <v/>
      </c>
      <c r="V36">
        <f>IF($C36="",0,IF($M36="",0,MAX(0,$M36)*MAX(0,V$4)/100))</f>
        <v/>
      </c>
      <c r="W36">
        <f>IF($C36="",0,IF($M36="",0,MAX(0,$M36)*MAX(0,W$4)/100))</f>
        <v/>
      </c>
      <c r="X36">
        <f>IF($C36="",0,IF($M36="",0,MAX(0,$M36)*MAX(0,X$4)/100))</f>
        <v/>
      </c>
      <c r="Y36">
        <f>IF($C36="",0,IF($M36="",0,MAX(0,$M36)*MAX(0,Y$4)/100))</f>
        <v/>
      </c>
      <c r="Z36">
        <f>IF($C36="",0,IF($M36="",0,MAX(0,$M36)*MAX(0,Z$4)/100))</f>
        <v/>
      </c>
      <c r="AA36">
        <f>IF($C36="",0,IF($M36="",0,MAX(0,$M36)*MAX(0,AA$4)/100))</f>
        <v/>
      </c>
      <c r="AB36">
        <f>IF($C36="",0,IF($M36="",0,MAX(0,$M36)*MAX(0,AB$4)/100))</f>
        <v/>
      </c>
      <c r="AC36">
        <f>IF($C36="",0,IF($M36="",0,MAX(0,$M36)*MAX(0,AC$4)/100))</f>
        <v/>
      </c>
      <c r="AD36">
        <f>IF($C36="",0,IF($M36="",0,MAX(0,$M36)*MAX(0,AD$4)/100))</f>
        <v/>
      </c>
      <c r="AE36">
        <f>IF($C36="",0,IF($M36="",0,MAX(0,$M36)*MAX(0,AE$4)/100))</f>
        <v/>
      </c>
      <c r="AF36">
        <f>IF($C36="",0,IF($M36="",0,MAX(0,$M36)*MAX(0,AF$4)/100))</f>
        <v/>
      </c>
      <c r="AG36">
        <f>IF($C36="",0,IF($M36="",0,MAX(0,$M36)*MAX(0,AG$4)/100))</f>
        <v/>
      </c>
      <c r="AH36">
        <f>IF($C36="",0,IF($M36="",0,MAX(0,$M36)*MAX(0,AH$4)/100))</f>
        <v/>
      </c>
      <c r="AI36">
        <f>IF($C36="",0,IF($M36="",0,MAX(0,$M36)*MAX(0,AI$4)/100))</f>
        <v/>
      </c>
      <c r="AJ36">
        <f>IF($C36="",0,MAX(0,MAX(0,N($L36))-$V36))</f>
        <v/>
      </c>
      <c r="AK36">
        <f>IF($C36="",0,MAX(0,$AJ36-$W36))</f>
        <v/>
      </c>
      <c r="AL36">
        <f>IF($C36="",0,MAX(0,$AK36-$X36))</f>
        <v/>
      </c>
      <c r="AM36">
        <f>IF($C36="",0,MAX(0,$AL36-$Y36))</f>
        <v/>
      </c>
      <c r="AN36">
        <f>IF($C36="",0,MAX(0,$AM36-$Z36))</f>
        <v/>
      </c>
      <c r="AO36">
        <f>IF($C36="",0,MAX(0,$AN36-$AA36))</f>
        <v/>
      </c>
      <c r="AP36">
        <f>IF($C36="",0,MAX(0,$AO36-$AB36))</f>
        <v/>
      </c>
      <c r="AQ36">
        <f>IF($C36="",0,MAX(0,$AP36-$AC36))</f>
        <v/>
      </c>
      <c r="AR36">
        <f>IF($C36="",0,MAX(0,$AQ36-$AD36))</f>
        <v/>
      </c>
      <c r="AS36">
        <f>IF($C36="",0,MAX(0,$AR36-$AE36))</f>
        <v/>
      </c>
      <c r="AT36">
        <f>IF($C36="",0,MAX(0,$AS36-$AF36))</f>
        <v/>
      </c>
      <c r="AU36">
        <f>IF($C36="",0,MAX(0,$AT36-$AG36))</f>
        <v/>
      </c>
      <c r="AV36">
        <f>IF($C36="",0,MAX(0,$AU36-$AH36))</f>
        <v/>
      </c>
      <c r="AW36">
        <f>IF($C36="",0,MAX(0,$AV36-$AI36))</f>
        <v/>
      </c>
      <c r="AX36">
        <f>IF($C36="",0,MAX(0,MAX(0,N($L36))+IF($P36=V$3,$R36,0)+IF($S36=V$3,$U36,0)-$V36))</f>
        <v/>
      </c>
      <c r="AY36">
        <f>IF($C36="",0,MAX(0,$AX36+IF($P36=W$3,$R36,0)+IF($S36=W$3,$U36,0)-$W36))</f>
        <v/>
      </c>
      <c r="AZ36">
        <f>IF($C36="",0,MAX(0,$AY36+IF($P36=X$3,$R36,0)+IF($S36=X$3,$U36,0)-$X36))</f>
        <v/>
      </c>
      <c r="BA36">
        <f>IF($C36="",0,MAX(0,$AZ36+IF($P36=Y$3,$R36,0)+IF($S36=Y$3,$U36,0)-$Y36))</f>
        <v/>
      </c>
      <c r="BB36">
        <f>IF($C36="",0,MAX(0,$BA36+IF($P36=Z$3,$R36,0)+IF($S36=Z$3,$U36,0)-$Z36))</f>
        <v/>
      </c>
      <c r="BC36">
        <f>IF($C36="",0,MAX(0,$BB36+IF($P36=AA$3,$R36,0)+IF($S36=AA$3,$U36,0)-$AA36))</f>
        <v/>
      </c>
      <c r="BD36">
        <f>IF($C36="",0,MAX(0,$BC36+IF($P36=AB$3,$R36,0)+IF($S36=AB$3,$U36,0)-$AB36))</f>
        <v/>
      </c>
      <c r="BE36">
        <f>IF($C36="",0,MAX(0,$BD36+IF($P36=AC$3,$R36,0)+IF($S36=AC$3,$U36,0)-$AC36))</f>
        <v/>
      </c>
      <c r="BF36">
        <f>IF($C36="",0,MAX(0,$BE36+IF($P36=AD$3,$R36,0)+IF($S36=AD$3,$U36,0)-$AD36))</f>
        <v/>
      </c>
      <c r="BG36">
        <f>IF($C36="",0,MAX(0,$BF36+IF($P36=AE$3,$R36,0)+IF($S36=AE$3,$U36,0)-$AE36))</f>
        <v/>
      </c>
      <c r="BH36">
        <f>IF($C36="",0,MAX(0,$BG36+IF($P36=AF$3,$R36,0)+IF($S36=AF$3,$U36,0)-$AF36))</f>
        <v/>
      </c>
      <c r="BI36">
        <f>IF($C36="",0,MAX(0,$BH36+IF($P36=AG$3,$R36,0)+IF($S36=AG$3,$U36,0)-$AG36))</f>
        <v/>
      </c>
      <c r="BJ36">
        <f>IF($C36="",0,MAX(0,$BI36+IF($P36=AH$3,$R36,0)+IF($S36=AH$3,$U36,0)-$AH36))</f>
        <v/>
      </c>
      <c r="BK36">
        <f>IF($C36="",0,MAX(0,$BJ36+IF($P36=AI$3,$R36,0)+IF($S36=AI$3,$U36,0)-$AI36))</f>
        <v/>
      </c>
      <c r="BL36">
        <f>IF($C36="",99,IF(AND($AX36&lt;1,V$3&gt;=MAX(N($P36),N($S36))),0,99))</f>
        <v/>
      </c>
      <c r="BM36">
        <f>IF($C36="",99,IF(AND($AY36&lt;1,W$3&gt;=MAX(N($P36),N($S36))),1,99))</f>
        <v/>
      </c>
      <c r="BN36">
        <f>IF($C36="",99,IF(AND($AZ36&lt;1,X$3&gt;=MAX(N($P36),N($S36))),2,99))</f>
        <v/>
      </c>
      <c r="BO36">
        <f>IF($C36="",99,IF(AND($BA36&lt;1,Y$3&gt;=MAX(N($P36),N($S36))),3,99))</f>
        <v/>
      </c>
      <c r="BP36">
        <f>IF($C36="",99,IF(AND($BB36&lt;1,Z$3&gt;=MAX(N($P36),N($S36))),4,99))</f>
        <v/>
      </c>
      <c r="BQ36">
        <f>IF($C36="",99,IF(AND($BC36&lt;1,AA$3&gt;=MAX(N($P36),N($S36))),5,99))</f>
        <v/>
      </c>
      <c r="BR36">
        <f>IF($C36="",99,IF(AND($BD36&lt;1,AB$3&gt;=MAX(N($P36),N($S36))),6,99))</f>
        <v/>
      </c>
      <c r="BS36">
        <f>IF($C36="",99,IF(AND($BE36&lt;1,AC$3&gt;=MAX(N($P36),N($S36))),7,99))</f>
        <v/>
      </c>
      <c r="BT36">
        <f>IF($C36="",99,IF(AND($BF36&lt;1,AD$3&gt;=MAX(N($P36),N($S36))),8,99))</f>
        <v/>
      </c>
      <c r="BU36">
        <f>IF($C36="",99,IF(AND($BG36&lt;1,AE$3&gt;=MAX(N($P36),N($S36))),9,99))</f>
        <v/>
      </c>
      <c r="BV36">
        <f>IF($C36="",99,IF(AND($BH36&lt;1,AF$3&gt;=MAX(N($P36),N($S36))),10,99))</f>
        <v/>
      </c>
      <c r="BW36">
        <f>IF($C36="",99,IF(AND($BI36&lt;1,AG$3&gt;=MAX(N($P36),N($S36))),11,99))</f>
        <v/>
      </c>
      <c r="BX36">
        <f>IF($C36="",99,IF(AND($BJ36&lt;1,AH$3&gt;=MAX(N($P36),N($S36))),12,99))</f>
        <v/>
      </c>
      <c r="BY36">
        <f>IF($C36="",99,IF(AND($BK36&lt;1,AI$3&gt;=MAX(N($P36),N($S36))),13,99))</f>
        <v/>
      </c>
      <c r="BZ36">
        <f>IF(OR($C36="",$M36=""),"",COUNTIF($AJ36:$AW36,"&gt;=1"))</f>
        <v/>
      </c>
      <c r="CA36" s="90">
        <f>IF($BZ36="","",IF($BZ36&gt;=14,"",'設定'!$C$6+$BZ36))</f>
        <v/>
      </c>
      <c r="CB36">
        <f>IF(OR($C36="",$M36=""),"",MIN($BL36:$BY36))</f>
        <v/>
      </c>
      <c r="CC36" s="90">
        <f>IF($CB36="","",IF($CB36&gt;=99,"",'設定'!$C$6+$CB36))</f>
        <v/>
      </c>
      <c r="CD36">
        <f>IF(OR($C36="",$M36=""),"",AVERAGE($V36:$AI36))</f>
        <v/>
      </c>
      <c r="CE36">
        <f>IF($C36="","",IFERROR(IF(MATCH(IF(ISNUMBER($P36),$P36,'設定'!$C$6+N('設定'!$C$7)),$V$3:$AI$3,0)=1,MAX(0,N($L36)),INDEX($AJ36:$AW36,MATCH(IF(ISNUMBER($P36),$P36,'設定'!$C$6+N('設定'!$C$7)),$V$3:$AI$3,0)-1)),""))</f>
        <v/>
      </c>
      <c r="CF36">
        <f>IF(OR($C36="",$O36="",$CE36=""),"",IF($O36-$CE36&lt;=0,0,ROUNDUP(($O36-$CE36)/$G36,0)))</f>
        <v/>
      </c>
      <c r="CG36">
        <f>IF(OR($C36="",$CF36="",NOT(ISNUMBER($Q36))),0,MAX(0,$Q36-$CF36))</f>
        <v/>
      </c>
      <c r="CH36">
        <f>IF(OR($C36="",$O36="",$U36=0),0,IFERROR(ROUNDUP(MAX(0,IF(MATCH($S36,$V$3:$AI$3,0)=1,MAX(0,N($L36)),INDEX($AX36:$BK36,MATCH($S36,$V$3:$AI$3,0)-1))+$U36-$O36)/$G36,0),0))</f>
        <v/>
      </c>
      <c r="CI36">
        <f>IF($C36="","",IF(AND($P36="",$Q36=""),"",IF($P36="","⚠ 入庫日を ▼ から選んでください",IF(NOT(ISNUMBER($P36)),"⚠ 入庫日は ▼ から選んでください",IF($P36&lt;N('設定'!$C$6),"⚠ 入庫日が過去です（もう在庫に入っています）→ 消してください",IF($P36&gt;N('設定'!$C$6)+13,"⚠ 入庫日が14日より先です",IF(N($Q36)&lt;=0,"⚠ 入庫数を入れてください",IF($CG36&gt;0,"⚠ 目安より "&amp;$CG36&amp;" 多い（定数を超える）→ 減らす",""))))))))</f>
        <v/>
      </c>
      <c r="CJ36">
        <f>IF($C36="","",IF(AND($S36="",$T36=""),"",IF($S36="","⚠ 2便目：入庫日を ▼ から選んでください",IF(NOT(ISNUMBER($S36)),"⚠ 2便目：入庫日は ▼ から選んでください",IF($S36&lt;N('設定'!$C$6),"⚠ 2便目：入庫日が過去です（もう在庫に入っています）→ 消してください",IF($S36&gt;N('設定'!$C$6)+13,"⚠ 2便目：入庫日が14日より先です",IF(N($T36)&lt;=0,"⚠ 2便目：入庫数を入れてください",IF($CH36&gt;0,"⚠ 2便目：定数を "&amp;$CH36&amp;" ケース超える → 減らす",""))))))))</f>
        <v/>
      </c>
      <c r="CK36">
        <f>IF(AND($CI36="",N($Q36)&gt;0,ISNUMBER($P36)),1,0)</f>
        <v/>
      </c>
      <c r="CL36">
        <f>IF(AND($CJ36="",N($T36)&gt;0,ISNUMBER($S36)),1,0)</f>
        <v/>
      </c>
      <c r="CM36">
        <f>IF(OR($CK36=1,$CL36=1),1,0)</f>
        <v/>
      </c>
      <c r="CN36">
        <f>IF($C36="",0,($CK36*$R36+$CL36*$U36)*N($H36))</f>
        <v/>
      </c>
      <c r="CO36">
        <f>IF($C36="","",IF($CC36="","入庫後は 14日以上もつ",IF($CC36-N('設定'!$C$7)&lt;='設定'!$C$6,"入庫後も "&amp;TEXT($CC36,"m/d")&amp;"("&amp;CHOOSE(WEEKDAY($CC36),"日","月","火","水","木","金","土")&amp;")"&amp;" に切れる　もう1便を至急発注","入庫後も "&amp;TEXT($CC36,"m/d")&amp;"("&amp;CHOOSE(WEEKDAY($CC36),"日","月","火","水","木","金","土")&amp;")"&amp;" に切れる　"&amp;TEXT($CC36-N('設定'!$C$7),"m/d")&amp;"("&amp;CHOOSE(WEEKDAY($CC36-N('設定'!$C$7)),"日","月","火","水","木","金","土")&amp;")"&amp;" までに次を発注")))</f>
        <v/>
      </c>
      <c r="CP36">
        <f>IF($C36="","",IF('設定'!$C$6="","？ ①在庫を貼る に今日のCSVが貼られていない",IF($CS36=1,"－ 今日のCSVに無い（終売？）",IF($L36&lt;0,"● 在庫がマイナス　数えて「数えた在庫」に入れる",IF($L36=0,"● 在庫なし　至急発注",IF($M36="","？ 減り数が未設定（商品マスタ）",IF($B$3=0,"？ 動員が未入力（動員を入れる）",IF($CA36="","○ 14日以上もつ",IF($BZ36&lt;N('設定'!$C$7),"● "&amp;TEXT($CA36,"m/d")&amp;"("&amp;CHOOSE(WEEKDAY($CA36),"日","月","火","水","木","金","土")&amp;")"&amp;" に切れる　至急発注",IF($BZ36=N('設定'!$C$7),"● "&amp;TEXT($CA36,"m/d")&amp;"("&amp;CHOOSE(WEEKDAY($CA36),"日","月","火","水","木","金","土")&amp;")"&amp;" に切れる　今日発注","△ "&amp;TEXT($CA36,"m/d")&amp;"("&amp;CHOOSE(WEEKDAY($CA36),"日","月","火","水","木","金","土")&amp;")"&amp;" に切れる　"&amp;TEXT($CA36-N('設定'!$C$7),"m/d")&amp;"("&amp;CHOOSE(WEEKDAY($CA36-N('設定'!$C$7)),"日","月","火","水","木","金","土")&amp;")"&amp;" までに発注"))))))))))</f>
        <v/>
      </c>
      <c r="CQ36">
        <f>IF($C36="","",IF(AND($P36="",$Q36="",$S36="",$T36=""),"",IF(AND($P36="",$Q36=""),"⚠ 先に1便目（左の入庫日・入庫数）に入れてください",IF($CI36&lt;&gt;"",$CI36,IF($CJ36&lt;&gt;"",$CJ36,IF($M36="","？ 減り数が未設定（発注書には載ります）",IF($B$3=0,"？ 動員が未入力（発注書には載ります）",IF(AND($CA36&lt;&gt;"",$P36&gt;$CA36),IF($P36&gt;'設定'!$C$6+N('設定'!$C$7),"● "&amp;TEXT($P36,"m/d")&amp;"("&amp;CHOOSE(WEEKDAY($P36),"日","月","火","水","木","金","土")&amp;")"&amp;" の入庫では間に合わない（"&amp;TEXT($CA36,"m/d")&amp;"("&amp;CHOOSE(WEEKDAY($CA36),"日","月","火","水","木","金","土")&amp;")"&amp;" に切れる）　入庫日を早める","△ 欠品 "&amp;TEXT($CA36,"m/d")&amp;"("&amp;CHOOSE(WEEKDAY($CA36),"日","月","火","水","木","金","土")&amp;")"&amp;"〜"&amp;TEXT($P36-1,"m/d")&amp;"("&amp;CHOOSE(WEEKDAY($P36-1),"日","月","火","水","木","金","土")&amp;")"&amp;"　"&amp;$CO36),IF($CC36="","○ "&amp;TEXT($P36,"m/d")&amp;"("&amp;CHOOSE(WEEKDAY($P36),"日","月","火","水","木","金","土")&amp;")"&amp;" 入庫で 14日以上もつ",IF($CC36-N('設定'!$C$7)&lt;='設定'!$C$6,"● 入庫しても "&amp;TEXT($CC36,"m/d")&amp;"("&amp;CHOOSE(WEEKDAY($CC36),"日","月","火","水","木","金","土")&amp;")"&amp;" に切れる　もう1便を至急発注（2便目に入れる）","△ 入庫しても "&amp;TEXT($CC36,"m/d")&amp;"("&amp;CHOOSE(WEEKDAY($CC36),"日","月","火","水","木","金","土")&amp;")"&amp;" に切れる　"&amp;TEXT($CC36-N('設定'!$C$7),"m/d")&amp;"("&amp;CHOOSE(WEEKDAY($CC36-N('設定'!$C$7)),"日","月","火","水","木","金","土")&amp;")"&amp;" までに次を発注（2便目に入れる）"))))))))))</f>
        <v/>
      </c>
      <c r="CR36">
        <f>IF($C36="","",IF($G36&gt;1,"ｹｰｽ("&amp;$G36&amp;"入)","個"))</f>
        <v/>
      </c>
      <c r="CS36">
        <f>IF($C36="",0,IF(COUNTIFS('①在庫を貼る'!$V$6:$V$10005,'設定'!$C$4,'①在庫を貼る'!$W$6:$W$10005,$C36)=0,1,0))</f>
        <v/>
      </c>
      <c r="CT36">
        <f>IF(AND($CK36=1,OR('③発注書'!$C$4="すべて",'③発注書'!$C$4="",$F36='③発注書'!$C$4)),N($CT35)+1,N($CT35))</f>
        <v/>
      </c>
      <c r="CU36">
        <f>IF(AND($CL36=1,OR('③発注書'!$C$4="すべて",'③発注書'!$C$4="",$F36='③発注書'!$C$4)),N($CU35)+1,N($CU35))</f>
        <v/>
      </c>
      <c r="CV36">
        <f>IF($C36="",0,IF(COUNTIFS('①在庫を貼る'!$V$6:$V$10005,'設定'!$C$4,'①在庫を貼る'!$W$6:$W$10005,$C36)&gt;0,1,0))</f>
        <v/>
      </c>
      <c r="CW36">
        <f>IF($C36="",0,IF(COUNTIFS('月1回_1ヶ月前の在庫'!$V$6:$V$10005,'設定'!$C$4,'月1回_1ヶ月前の在庫'!$W$6:$W$10005,$C36)&gt;0,1,0))</f>
        <v/>
      </c>
      <c r="CX36">
        <f>IF($C36="",0,IF(COUNTIFS('月1回_2ヶ月前の在庫'!$V$6:$V$10005,'設定'!$C$4,'月1回_2ヶ月前の在庫'!$W$6:$W$10005,$C36)&gt;0,1,0))</f>
        <v/>
      </c>
      <c r="CY36">
        <f>IF(OR($C36="",'設定'!$C$12=""),"",IF('設定'!$C$13="",IF(AND($CV36=1,$CW36=0),"新商品（今月から）",IF(AND($CV36=0,$CW36=1),"終売（今月から）","")),IF(AND($CV36=1,$CW36=0,$CX36=0),"新商品（今月から）",IF(AND($CV36=1,$CW36=1,$CX36=0),"新商品（先月から）",IF(AND($CV36=0,$CW36=1,$CX36=1),"終売（今月から）",IF(AND($CV36=0,$CW36=0,$CX36=1),"終売（先月から）",IF(AND($CV36=1,$CW36=0,$CX36=1),"復活（先月は無し）","")))))))</f>
        <v/>
      </c>
    </row>
    <row r="37">
      <c r="B37">
        <f>IF(32&lt;='設定'!$C$11,32,"")</f>
        <v/>
      </c>
      <c r="C37">
        <f>IF($B37="","",IF($B37&lt;='設定'!$C$20,INDEX('商品マスタ'!$B$6:$B$1005,MATCH($B37,'商品マスタ'!$M$6:$M$1005,0)),IF($B37&lt;='設定'!$C$20+'設定'!$C$17,INDEX('①在庫を貼る'!$W$6:$W$10005,MATCH($B37-'設定'!$C$20,'①在庫を貼る'!$U$6:$U$10005,0)),IF($B37&lt;='設定'!$C$20+'設定'!$C$17+'設定'!$C$18,INDEX('月1回_1ヶ月前の在庫'!$W$6:$W$10005,MATCH($B37-'設定'!$C$20-'設定'!$C$17,'月1回_1ヶ月前の在庫'!$U$6:$U$10005,0)),INDEX('月1回_2ヶ月前の在庫'!$W$6:$W$10005,MATCH($B37-'設定'!$C$20-'設定'!$C$17-'設定'!$C$18,'月1回_2ヶ月前の在庫'!$U$6:$U$10005,0))))))</f>
        <v/>
      </c>
      <c r="D37">
        <f>IF($C37="","",IFERROR(IF(INDEX('商品マスタ'!$C$6:$C$1005,MATCH($C37,'商品マスタ'!$B$6:$B$1005,0))="",IFERROR(INDEX('①在庫を貼る'!$J$6:$J$10005,MATCH($C37,'①在庫を貼る'!$W$6:$W$10005,0)),IFERROR(INDEX('月1回_1ヶ月前の在庫'!$J$6:$J$10005,MATCH($C37,'月1回_1ヶ月前の在庫'!$W$6:$W$10005,0)),IFERROR(INDEX('月1回_2ヶ月前の在庫'!$J$6:$J$10005,MATCH($C37,'月1回_2ヶ月前の在庫'!$W$6:$W$10005,0)),""))),INDEX('商品マスタ'!$C$6:$C$1005,MATCH($C37,'商品マスタ'!$B$6:$B$1005,0))),IFERROR(INDEX('①在庫を貼る'!$J$6:$J$10005,MATCH($C37,'①在庫を貼る'!$W$6:$W$10005,0)),IFERROR(INDEX('月1回_1ヶ月前の在庫'!$J$6:$J$10005,MATCH($C37,'月1回_1ヶ月前の在庫'!$W$6:$W$10005,0)),IFERROR(INDEX('月1回_2ヶ月前の在庫'!$J$6:$J$10005,MATCH($C37,'月1回_2ヶ月前の在庫'!$W$6:$W$10005,0)),"")))))</f>
        <v/>
      </c>
      <c r="E37">
        <f>IF($C37="","",IFERROR(IF(INDEX('商品マスタ'!$D$6:$D$1005,MATCH($C37,'商品マスタ'!$B$6:$B$1005,0))="",IFERROR(INDEX('①在庫を貼る'!$H$6:$H$10005,MATCH($C37,'①在庫を貼る'!$W$6:$W$10005,0)),IFERROR(INDEX('月1回_1ヶ月前の在庫'!$H$6:$H$10005,MATCH($C37,'月1回_1ヶ月前の在庫'!$W$6:$W$10005,0)),IFERROR(INDEX('月1回_2ヶ月前の在庫'!$H$6:$H$10005,MATCH($C37,'月1回_2ヶ月前の在庫'!$W$6:$W$10005,0)),""))),INDEX('商品マスタ'!$D$6:$D$1005,MATCH($C37,'商品マスタ'!$B$6:$B$1005,0))),IFERROR(INDEX('①在庫を貼る'!$H$6:$H$10005,MATCH($C37,'①在庫を貼る'!$W$6:$W$10005,0)),IFERROR(INDEX('月1回_1ヶ月前の在庫'!$H$6:$H$10005,MATCH($C37,'月1回_1ヶ月前の在庫'!$W$6:$W$10005,0)),IFERROR(INDEX('月1回_2ヶ月前の在庫'!$H$6:$H$10005,MATCH($C37,'月1回_2ヶ月前の在庫'!$W$6:$W$10005,0)),"")))))</f>
        <v/>
      </c>
      <c r="F37">
        <f>IF($C37="","",IFERROR(IF(INDEX('商品マスタ'!$E$6:$E$1005,MATCH($C37,'商品マスタ'!$B$6:$B$1005,0))="",IFERROR(INDEX('①在庫を貼る'!$E$6:$E$10005,MATCH($C37,'①在庫を貼る'!$W$6:$W$10005,0)),IFERROR(INDEX('月1回_1ヶ月前の在庫'!$E$6:$E$10005,MATCH($C37,'月1回_1ヶ月前の在庫'!$W$6:$W$10005,0)),IFERROR(INDEX('月1回_2ヶ月前の在庫'!$E$6:$E$10005,MATCH($C37,'月1回_2ヶ月前の在庫'!$W$6:$W$10005,0)),""))),INDEX('商品マスタ'!$E$6:$E$1005,MATCH($C37,'商品マスタ'!$B$6:$B$1005,0))),IFERROR(INDEX('①在庫を貼る'!$E$6:$E$10005,MATCH($C37,'①在庫を貼る'!$W$6:$W$10005,0)),IFERROR(INDEX('月1回_1ヶ月前の在庫'!$E$6:$E$10005,MATCH($C37,'月1回_1ヶ月前の在庫'!$W$6:$W$10005,0)),IFERROR(INDEX('月1回_2ヶ月前の在庫'!$E$6:$E$10005,MATCH($C37,'月1回_2ヶ月前の在庫'!$W$6:$W$10005,0)),"")))))</f>
        <v/>
      </c>
      <c r="G37">
        <f>IF($C37="","",MAX(1,N(IFERROR(IF(INDEX('商品マスタ'!$F$6:$F$1005,MATCH($C37,'商品マスタ'!$B$6:$B$1005,0))="",IF(COUNTIFS('①在庫を貼る'!$V$6:$V$10005,'設定'!$C$4,'①在庫を貼る'!$W$6:$W$10005,$C37)&gt;0,SUMIFS('①在庫を貼る'!$K$6:$K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K$6:$K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K$6:$K$10005,'月1回_2ヶ月前の在庫'!$V$6:$V$10005,'設定'!$C$4,'月1回_2ヶ月前の在庫'!$W$6:$W$10005,$C37)/COUNTIFS('月1回_2ヶ月前の在庫'!$V$6:$V$10005,'設定'!$C$4,'月1回_2ヶ月前の在庫'!$W$6:$W$10005,$C37),0))),INDEX('商品マスタ'!$F$6:$F$1005,MATCH($C37,'商品マスタ'!$B$6:$B$1005,0))),IF(COUNTIFS('①在庫を貼る'!$V$6:$V$10005,'設定'!$C$4,'①在庫を貼る'!$W$6:$W$10005,$C37)&gt;0,SUMIFS('①在庫を貼る'!$K$6:$K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K$6:$K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K$6:$K$10005,'月1回_2ヶ月前の在庫'!$V$6:$V$10005,'設定'!$C$4,'月1回_2ヶ月前の在庫'!$W$6:$W$10005,$C37)/COUNTIFS('月1回_2ヶ月前の在庫'!$V$6:$V$10005,'設定'!$C$4,'月1回_2ヶ月前の在庫'!$W$6:$W$10005,$C37),0)))))))</f>
        <v/>
      </c>
      <c r="H37">
        <f>IF($C37="","",N(IFERROR(IF(INDEX('商品マスタ'!$G$6:$G$1005,MATCH($C37,'商品マスタ'!$B$6:$B$1005,0))="",IF(COUNTIFS('①在庫を貼る'!$V$6:$V$10005,'設定'!$C$4,'①在庫を貼る'!$W$6:$W$10005,$C37)&gt;0,SUMIFS('①在庫を貼る'!$Q$6:$Q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Q$6:$Q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Q$6:$Q$10005,'月1回_2ヶ月前の在庫'!$V$6:$V$10005,'設定'!$C$4,'月1回_2ヶ月前の在庫'!$W$6:$W$10005,$C37)/COUNTIFS('月1回_2ヶ月前の在庫'!$V$6:$V$10005,'設定'!$C$4,'月1回_2ヶ月前の在庫'!$W$6:$W$10005,$C37),0))),INDEX('商品マスタ'!$G$6:$G$1005,MATCH($C37,'商品マスタ'!$B$6:$B$1005,0))),IF(COUNTIFS('①在庫を貼る'!$V$6:$V$10005,'設定'!$C$4,'①在庫を貼る'!$W$6:$W$10005,$C37)&gt;0,SUMIFS('①在庫を貼る'!$Q$6:$Q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Q$6:$Q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Q$6:$Q$10005,'月1回_2ヶ月前の在庫'!$V$6:$V$10005,'設定'!$C$4,'月1回_2ヶ月前の在庫'!$W$6:$W$10005,$C37)/COUNTIFS('月1回_2ヶ月前の在庫'!$V$6:$V$10005,'設定'!$C$4,'月1回_2ヶ月前の在庫'!$W$6:$W$10005,$C37),0))))))</f>
        <v/>
      </c>
      <c r="I37">
        <f>IF($C37="","",IF(COUNTIFS('①在庫を貼る'!$V$6:$V$10005,'設定'!$C$4,'①在庫を貼る'!$W$6:$W$10005,$C37)=0,"",SUMIFS('①在庫を貼る'!$N$6:$N$10005,'①在庫を貼る'!$V$6:$V$10005,'設定'!$C$4,'①在庫を貼る'!$W$6:$W$10005,$C37)))</f>
        <v/>
      </c>
      <c r="J37">
        <f>IF($C37="","",IF('②発注する'!$AD41="","",'②発注する'!$AD41))</f>
        <v/>
      </c>
      <c r="K37" s="90">
        <f>IF($C37="","",IF('②発注する'!$AE41="","",'②発注する'!$AE41))</f>
        <v/>
      </c>
      <c r="L37">
        <f>IF($C37="","",IF(AND(ISNUMBER($J37),ISNUMBER($K37),$K37&gt;='設定'!$C$6),$J37,N($I37)))</f>
        <v/>
      </c>
      <c r="M37">
        <f>IF($C37="","",IFERROR(IF(N(INDEX('商品マスタ'!$J$6:$J$1005,MATCH($C37,'商品マスタ'!$B$6:$B$1005,0)))&gt;0,INDEX('商品マスタ'!$J$6:$J$1005,MATCH($C37,'商品マスタ'!$B$6:$B$1005,0)),""),""))</f>
        <v/>
      </c>
      <c r="N37">
        <f>IF($C37="","",IFERROR(IF(N(INDEX('商品マスタ'!$H$6:$H$1005,MATCH($C37,'商品マスタ'!$B$6:$B$1005,0)))&gt;0,INDEX('商品マスタ'!$H$6:$H$1005,MATCH($C37,'商品マスタ'!$B$6:$B$1005,0)),""),""))</f>
        <v/>
      </c>
      <c r="O37">
        <f>IF($C37="","",IF($N37&lt;&gt;"",$N37*$G37,IF(N(IF(COUNTIFS('①在庫を貼る'!$V$6:$V$10005,'設定'!$C$4,'①在庫を貼る'!$W$6:$W$10005,$C37)&gt;0,SUMIFS('①在庫を貼る'!$O$6:$O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O$6:$O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O$6:$O$10005,'月1回_2ヶ月前の在庫'!$V$6:$V$10005,'設定'!$C$4,'月1回_2ヶ月前の在庫'!$W$6:$W$10005,$C37)/COUNTIFS('月1回_2ヶ月前の在庫'!$V$6:$V$10005,'設定'!$C$4,'月1回_2ヶ月前の在庫'!$W$6:$W$10005,$C37),0))))&gt;0,N(IF(COUNTIFS('①在庫を貼る'!$V$6:$V$10005,'設定'!$C$4,'①在庫を貼る'!$W$6:$W$10005,$C37)&gt;0,SUMIFS('①在庫を貼る'!$O$6:$O$10005,'①在庫を貼る'!$V$6:$V$10005,'設定'!$C$4,'①在庫を貼る'!$W$6:$W$10005,$C37)/COUNTIFS('①在庫を貼る'!$V$6:$V$10005,'設定'!$C$4,'①在庫を貼る'!$W$6:$W$10005,$C37),IF(COUNTIFS('月1回_1ヶ月前の在庫'!$V$6:$V$10005,'設定'!$C$4,'月1回_1ヶ月前の在庫'!$W$6:$W$10005,$C37)&gt;0,SUMIFS('月1回_1ヶ月前の在庫'!$O$6:$O$10005,'月1回_1ヶ月前の在庫'!$V$6:$V$10005,'設定'!$C$4,'月1回_1ヶ月前の在庫'!$W$6:$W$10005,$C37)/COUNTIFS('月1回_1ヶ月前の在庫'!$V$6:$V$10005,'設定'!$C$4,'月1回_1ヶ月前の在庫'!$W$6:$W$10005,$C37),IF(COUNTIFS('月1回_2ヶ月前の在庫'!$V$6:$V$10005,'設定'!$C$4,'月1回_2ヶ月前の在庫'!$W$6:$W$10005,$C37)&gt;0,SUMIFS('月1回_2ヶ月前の在庫'!$O$6:$O$10005,'月1回_2ヶ月前の在庫'!$V$6:$V$10005,'設定'!$C$4,'月1回_2ヶ月前の在庫'!$W$6:$W$10005,$C37)/COUNTIFS('月1回_2ヶ月前の在庫'!$V$6:$V$10005,'設定'!$C$4,'月1回_2ヶ月前の在庫'!$W$6:$W$10005,$C37),0)))),"")))</f>
        <v/>
      </c>
      <c r="P37" s="90">
        <f>IF($C37="","",IF('②発注する'!$I41="","",'②発注する'!$I41))</f>
        <v/>
      </c>
      <c r="Q37">
        <f>IF($C37="","",IF('②発注する'!$J41="","",'②発注する'!$J41))</f>
        <v/>
      </c>
      <c r="R37">
        <f>IF($C37="",0,IF(AND(ISNUMBER($P37),ISNUMBER($Q37)),MAX(0,$Q37)*$G37,0))</f>
        <v/>
      </c>
      <c r="S37" s="90">
        <f>IF($C37="","",IF('②発注する'!$M41="","",'②発注する'!$M41))</f>
        <v/>
      </c>
      <c r="T37">
        <f>IF($C37="","",IF('②発注する'!$N41="","",'②発注する'!$N41))</f>
        <v/>
      </c>
      <c r="U37">
        <f>IF($C37="",0,IF(AND(ISNUMBER($S37),ISNUMBER($T37)),MAX(0,$T37)*$G37,0))</f>
        <v/>
      </c>
      <c r="V37">
        <f>IF($C37="",0,IF($M37="",0,MAX(0,$M37)*MAX(0,V$4)/100))</f>
        <v/>
      </c>
      <c r="W37">
        <f>IF($C37="",0,IF($M37="",0,MAX(0,$M37)*MAX(0,W$4)/100))</f>
        <v/>
      </c>
      <c r="X37">
        <f>IF($C37="",0,IF($M37="",0,MAX(0,$M37)*MAX(0,X$4)/100))</f>
        <v/>
      </c>
      <c r="Y37">
        <f>IF($C37="",0,IF($M37="",0,MAX(0,$M37)*MAX(0,Y$4)/100))</f>
        <v/>
      </c>
      <c r="Z37">
        <f>IF($C37="",0,IF($M37="",0,MAX(0,$M37)*MAX(0,Z$4)/100))</f>
        <v/>
      </c>
      <c r="AA37">
        <f>IF($C37="",0,IF($M37="",0,MAX(0,$M37)*MAX(0,AA$4)/100))</f>
        <v/>
      </c>
      <c r="AB37">
        <f>IF($C37="",0,IF($M37="",0,MAX(0,$M37)*MAX(0,AB$4)/100))</f>
        <v/>
      </c>
      <c r="AC37">
        <f>IF($C37="",0,IF($M37="",0,MAX(0,$M37)*MAX(0,AC$4)/100))</f>
        <v/>
      </c>
      <c r="AD37">
        <f>IF($C37="",0,IF($M37="",0,MAX(0,$M37)*MAX(0,AD$4)/100))</f>
        <v/>
      </c>
      <c r="AE37">
        <f>IF($C37="",0,IF($M37="",0,MAX(0,$M37)*MAX(0,AE$4)/100))</f>
        <v/>
      </c>
      <c r="AF37">
        <f>IF($C37="",0,IF($M37="",0,MAX(0,$M37)*MAX(0,AF$4)/100))</f>
        <v/>
      </c>
      <c r="AG37">
        <f>IF($C37="",0,IF($M37="",0,MAX(0,$M37)*MAX(0,AG$4)/100))</f>
        <v/>
      </c>
      <c r="AH37">
        <f>IF($C37="",0,IF($M37="",0,MAX(0,$M37)*MAX(0,AH$4)/100))</f>
        <v/>
      </c>
      <c r="AI37">
        <f>IF($C37="",0,IF($M37="",0,MAX(0,$M37)*MAX(0,AI$4)/100))</f>
        <v/>
      </c>
      <c r="AJ37">
        <f>IF($C37="",0,MAX(0,MAX(0,N($L37))-$V37))</f>
        <v/>
      </c>
      <c r="AK37">
        <f>IF($C37="",0,MAX(0,$AJ37-$W37))</f>
        <v/>
      </c>
      <c r="AL37">
        <f>IF($C37="",0,MAX(0,$AK37-$X37))</f>
        <v/>
      </c>
      <c r="AM37">
        <f>IF($C37="",0,MAX(0,$AL37-$Y37))</f>
        <v/>
      </c>
      <c r="AN37">
        <f>IF($C37="",0,MAX(0,$AM37-$Z37))</f>
        <v/>
      </c>
      <c r="AO37">
        <f>IF($C37="",0,MAX(0,$AN37-$AA37))</f>
        <v/>
      </c>
      <c r="AP37">
        <f>IF($C37="",0,MAX(0,$AO37-$AB37))</f>
        <v/>
      </c>
      <c r="AQ37">
        <f>IF($C37="",0,MAX(0,$AP37-$AC37))</f>
        <v/>
      </c>
      <c r="AR37">
        <f>IF($C37="",0,MAX(0,$AQ37-$AD37))</f>
        <v/>
      </c>
      <c r="AS37">
        <f>IF($C37="",0,MAX(0,$AR37-$AE37))</f>
        <v/>
      </c>
      <c r="AT37">
        <f>IF($C37="",0,MAX(0,$AS37-$AF37))</f>
        <v/>
      </c>
      <c r="AU37">
        <f>IF($C37="",0,MAX(0,$AT37-$AG37))</f>
        <v/>
      </c>
      <c r="AV37">
        <f>IF($C37="",0,MAX(0,$AU37-$AH37))</f>
        <v/>
      </c>
      <c r="AW37">
        <f>IF($C37="",0,MAX(0,$AV37-$AI37))</f>
        <v/>
      </c>
      <c r="AX37">
        <f>IF($C37="",0,MAX(0,MAX(0,N($L37))+IF($P37=V$3,$R37,0)+IF($S37=V$3,$U37,0)-$V37))</f>
        <v/>
      </c>
      <c r="AY37">
        <f>IF($C37="",0,MAX(0,$AX37+IF($P37=W$3,$R37,0)+IF($S37=W$3,$U37,0)-$W37))</f>
        <v/>
      </c>
      <c r="AZ37">
        <f>IF($C37="",0,MAX(0,$AY37+IF($P37=X$3,$R37,0)+IF($S37=X$3,$U37,0)-$X37))</f>
        <v/>
      </c>
      <c r="BA37">
        <f>IF($C37="",0,MAX(0,$AZ37+IF($P37=Y$3,$R37,0)+IF($S37=Y$3,$U37,0)-$Y37))</f>
        <v/>
      </c>
      <c r="BB37">
        <f>IF($C37="",0,MAX(0,$BA37+IF($P37=Z$3,$R37,0)+IF($S37=Z$3,$U37,0)-$Z37))</f>
        <v/>
      </c>
      <c r="BC37">
        <f>IF($C37="",0,MAX(0,$BB37+IF($P37=AA$3,$R37,0)+IF($S37=AA$3,$U37,0)-$AA37))</f>
        <v/>
      </c>
      <c r="BD37">
        <f>IF($C37="",0,MAX(0,$BC37+IF($P37=AB$3,$R37,0)+IF($S37=AB$3,$U37,0)-$AB37))</f>
        <v/>
      </c>
      <c r="BE37">
        <f>IF($C37="",0,MAX(0,$BD37+IF($P37=AC$3,$R37,0)+IF($S37=AC$3,$U37,0)-$AC37))</f>
        <v/>
      </c>
      <c r="BF37">
        <f>IF($C37="",0,MAX(0,$BE37+IF($P37=AD$3,$R37,0)+IF($S37=AD$3,$U37,0)-$AD37))</f>
        <v/>
      </c>
      <c r="BG37">
        <f>IF($C37="",0,MAX(0,$BF37+IF($P37=AE$3,$R37,0)+IF($S37=AE$3,$U37,0)-$AE37))</f>
        <v/>
      </c>
      <c r="BH37">
        <f>IF($C37="",0,MAX(0,$BG37+IF($P37=AF$3,$R37,0)+IF($S37=AF$3,$U37,0)-$AF37))</f>
        <v/>
      </c>
      <c r="BI37">
        <f>IF($C37="",0,MAX(0,$BH37+IF($P37=AG$3,$R37,0)+IF($S37=AG$3,$U37,0)-$AG37))</f>
        <v/>
      </c>
      <c r="BJ37">
        <f>IF($C37="",0,MAX(0,$BI37+IF($P37=AH$3,$R37,0)+IF($S37=AH$3,$U37,0)-$AH37))</f>
        <v/>
      </c>
      <c r="BK37">
        <f>IF($C37="",0,MAX(0,$BJ37+IF($P37=AI$3,$R37,0)+IF($S37=AI$3,$U37,0)-$AI37))</f>
        <v/>
      </c>
      <c r="BL37">
        <f>IF($C37="",99,IF(AND($AX37&lt;1,V$3&gt;=MAX(N($P37),N($S37))),0,99))</f>
        <v/>
      </c>
      <c r="BM37">
        <f>IF($C37="",99,IF(AND($AY37&lt;1,W$3&gt;=MAX(N($P37),N($S37))),1,99))</f>
        <v/>
      </c>
      <c r="BN37">
        <f>IF($C37="",99,IF(AND($AZ37&lt;1,X$3&gt;=MAX(N($P37),N($S37))),2,99))</f>
        <v/>
      </c>
      <c r="BO37">
        <f>IF($C37="",99,IF(AND($BA37&lt;1,Y$3&gt;=MAX(N($P37),N($S37))),3,99))</f>
        <v/>
      </c>
      <c r="BP37">
        <f>IF($C37="",99,IF(AND($BB37&lt;1,Z$3&gt;=MAX(N($P37),N($S37))),4,99))</f>
        <v/>
      </c>
      <c r="BQ37">
        <f>IF($C37="",99,IF(AND($BC37&lt;1,AA$3&gt;=MAX(N($P37),N($S37))),5,99))</f>
        <v/>
      </c>
      <c r="BR37">
        <f>IF($C37="",99,IF(AND($BD37&lt;1,AB$3&gt;=MAX(N($P37),N($S37))),6,99))</f>
        <v/>
      </c>
      <c r="BS37">
        <f>IF($C37="",99,IF(AND($BE37&lt;1,AC$3&gt;=MAX(N($P37),N($S37))),7,99))</f>
        <v/>
      </c>
      <c r="BT37">
        <f>IF($C37="",99,IF(AND($BF37&lt;1,AD$3&gt;=MAX(N($P37),N($S37))),8,99))</f>
        <v/>
      </c>
      <c r="BU37">
        <f>IF($C37="",99,IF(AND($BG37&lt;1,AE$3&gt;=MAX(N($P37),N($S37))),9,99))</f>
        <v/>
      </c>
      <c r="BV37">
        <f>IF($C37="",99,IF(AND($BH37&lt;1,AF$3&gt;=MAX(N($P37),N($S37))),10,99))</f>
        <v/>
      </c>
      <c r="BW37">
        <f>IF($C37="",99,IF(AND($BI37&lt;1,AG$3&gt;=MAX(N($P37),N($S37))),11,99))</f>
        <v/>
      </c>
      <c r="BX37">
        <f>IF($C37="",99,IF(AND($BJ37&lt;1,AH$3&gt;=MAX(N($P37),N($S37))),12,99))</f>
        <v/>
      </c>
      <c r="BY37">
        <f>IF($C37="",99,IF(AND($BK37&lt;1,AI$3&gt;=MAX(N($P37),N($S37))),13,99))</f>
        <v/>
      </c>
      <c r="BZ37">
        <f>IF(OR($C37="",$M37=""),"",COUNTIF($AJ37:$AW37,"&gt;=1"))</f>
        <v/>
      </c>
      <c r="CA37" s="90">
        <f>IF($BZ37="","",IF($BZ37&gt;=14,"",'設定'!$C$6+$BZ37))</f>
        <v/>
      </c>
      <c r="CB37">
        <f>IF(OR($C37="",$M37=""),"",MIN($BL37:$BY37))</f>
        <v/>
      </c>
      <c r="CC37" s="90">
        <f>IF($CB37="","",IF($CB37&gt;=99,"",'設定'!$C$6+$CB37))</f>
        <v/>
      </c>
      <c r="CD37">
        <f>IF(OR($C37="",$M37=""),"",AVERAGE($V37:$AI37))</f>
        <v/>
      </c>
      <c r="CE37">
        <f>IF($C37="","",IFERROR(IF(MATCH(IF(ISNUMBER($P37),$P37,'設定'!$C$6+N('設定'!$C$7)),$V$3:$AI$3,0)=1,MAX(0,N($L37)),INDEX($AJ37:$AW37,MATCH(IF(ISNUMBER($P37),$P37,'設定'!$C$6+N('設定'!$C$7)),$V$3:$AI$3,0)-1)),""))</f>
        <v/>
      </c>
      <c r="CF37">
        <f>IF(OR($C37="",$O37="",$CE37=""),"",IF($O37-$CE37&lt;=0,0,ROUNDUP(($O37-$CE37)/$G37,0)))</f>
        <v/>
      </c>
      <c r="CG37">
        <f>IF(OR($C37="",$CF37="",NOT(ISNUMBER($Q37))),0,MAX(0,$Q37-$CF37))</f>
        <v/>
      </c>
      <c r="CH37">
        <f>IF(OR($C37="",$O37="",$U37=0),0,IFERROR(ROUNDUP(MAX(0,IF(MATCH($S37,$V$3:$AI$3,0)=1,MAX(0,N($L37)),INDEX($AX37:$BK37,MATCH($S37,$V$3:$AI$3,0)-1))+$U37-$O37)/$G37,0),0))</f>
        <v/>
      </c>
      <c r="CI37">
        <f>IF($C37="","",IF(AND($P37="",$Q37=""),"",IF($P37="","⚠ 入庫日を ▼ から選んでください",IF(NOT(ISNUMBER($P37)),"⚠ 入庫日は ▼ から選んでください",IF($P37&lt;N('設定'!$C$6),"⚠ 入庫日が過去です（もう在庫に入っています）→ 消してください",IF($P37&gt;N('設定'!$C$6)+13,"⚠ 入庫日が14日より先です",IF(N($Q37)&lt;=0,"⚠ 入庫数を入れてください",IF($CG37&gt;0,"⚠ 目安より "&amp;$CG37&amp;" 多い（定数を超える）→ 減らす",""))))))))</f>
        <v/>
      </c>
      <c r="CJ37">
        <f>IF($C37="","",IF(AND($S37="",$T37=""),"",IF($S37="","⚠ 2便目：入庫日を ▼ から選んでください",IF(NOT(ISNUMBER($S37)),"⚠ 2便目：入庫日は ▼ から選んでください",IF($S37&lt;N('設定'!$C$6),"⚠ 2便目：入庫日が過去です（もう在庫に入っています）→ 消してください",IF($S37&gt;N('設定'!$C$6)+13,"⚠ 2便目：入庫日が14日より先です",IF(N($T37)&lt;=0,"⚠ 2便目：入庫数を入れてください",IF($CH37&gt;0,"⚠ 2便目：定数を "&amp;$CH37&amp;" ケース超える → 減らす",""))))))))</f>
        <v/>
      </c>
      <c r="CK37">
        <f>IF(AND($CI37="",N($Q37)&gt;0,ISNUMBER($P37)),1,0)</f>
        <v/>
      </c>
      <c r="CL37">
        <f>IF(AND($CJ37="",N($T37)&gt;0,ISNUMBER($S37)),1,0)</f>
        <v/>
      </c>
      <c r="CM37">
        <f>IF(OR($CK37=1,$CL37=1),1,0)</f>
        <v/>
      </c>
      <c r="CN37">
        <f>IF($C37="",0,($CK37*$R37+$CL37*$U37)*N($H37))</f>
        <v/>
      </c>
      <c r="CO37">
        <f>IF($C37="","",IF($CC37="","入庫後は 14日以上もつ",IF($CC37-N('設定'!$C$7)&lt;='設定'!$C$6,"入庫後も "&amp;TEXT($CC37,"m/d")&amp;"("&amp;CHOOSE(WEEKDAY($CC37),"日","月","火","水","木","金","土")&amp;")"&amp;" に切れる　もう1便を至急発注","入庫後も "&amp;TEXT($CC37,"m/d")&amp;"("&amp;CHOOSE(WEEKDAY($CC37),"日","月","火","水","木","金","土")&amp;")"&amp;" に切れる　"&amp;TEXT($CC37-N('設定'!$C$7),"m/d")&amp;"("&amp;CHOOSE(WEEKDAY($CC37-N('設定'!$C$7)),"日","月","火","水","木","金","土")&amp;")"&amp;" までに次を発注")))</f>
        <v/>
      </c>
      <c r="CP37">
        <f>IF($C37="","",IF('設定'!$C$6="","？ ①在庫を貼る に今日のCSVが貼られていない",IF($CS37=1,"－ 今日のCSVに無い（終売？）",IF($L37&lt;0,"● 在庫がマイナス　数えて「数えた在庫」に入れる",IF($L37=0,"● 在庫なし　至急発注",IF($M37="","？ 減り数が未設定（商品マスタ）",IF($B$3=0,"？ 動員が未入力（動員を入れる）",IF($CA37="","○ 14日以上もつ",IF($BZ37&lt;N('設定'!$C$7),"● "&amp;TEXT($CA37,"m/d")&amp;"("&amp;CHOOSE(WEEKDAY($CA37),"日","月","火","水","木","金","土")&amp;")"&amp;" に切れる　至急発注",IF($BZ37=N('設定'!$C$7),"● "&amp;TEXT($CA37,"m/d")&amp;"("&amp;CHOOSE(WEEKDAY($CA37),"日","月","火","水","木","金","土")&amp;")"&amp;" に切れる　今日発注","△ "&amp;TEXT($CA37,"m/d")&amp;"("&amp;CHOOSE(WEEKDAY($CA37),"日","月","火","水","木","金","土")&amp;")"&amp;" に切れる　"&amp;TEXT($CA37-N('設定'!$C$7),"m/d")&amp;"("&amp;CHOOSE(WEEKDAY($CA37-N('設定'!$C$7)),"日","月","火","水","木","金","土")&amp;")"&amp;" までに発注"))))))))))</f>
        <v/>
      </c>
      <c r="CQ37">
        <f>IF($C37="","",IF(AND($P37="",$Q37="",$S37="",$T37=""),"",IF(AND($P37="",$Q37=""),"⚠ 先に1便目（左の入庫日・入庫数）に入れてください",IF($CI37&lt;&gt;"",$CI37,IF($CJ37&lt;&gt;"",$CJ37,IF($M37="","？ 減り数が未設定（発注書には載ります）",IF($B$3=0,"？ 動員が未入力（発注書には載ります）",IF(AND($CA37&lt;&gt;"",$P37&gt;$CA37),IF($P37&gt;'設定'!$C$6+N('設定'!$C$7),"● "&amp;TEXT($P37,"m/d")&amp;"("&amp;CHOOSE(WEEKDAY($P37),"日","月","火","水","木","金","土")&amp;")"&amp;" の入庫では間に合わない（"&amp;TEXT($CA37,"m/d")&amp;"("&amp;CHOOSE(WEEKDAY($CA37),"日","月","火","水","木","金","土")&amp;")"&amp;" に切れる）　入庫日を早める","△ 欠品 "&amp;TEXT($CA37,"m/d")&amp;"("&amp;CHOOSE(WEEKDAY($CA37),"日","月","火","水","木","金","土")&amp;")"&amp;"〜"&amp;TEXT($P37-1,"m/d")&amp;"("&amp;CHOOSE(WEEKDAY($P37-1),"日","月","火","水","木","金","土")&amp;")"&amp;"　"&amp;$CO37),IF($CC37="","○ "&amp;TEXT($P37,"m/d")&amp;"("&amp;CHOOSE(WEEKDAY($P37),"日","月","火","水","木","金","土")&amp;")"&amp;" 入庫で 14日以上もつ",IF($CC37-N('設定'!$C$7)&lt;='設定'!$C$6,"● 入庫しても "&amp;TEXT($CC37,"m/d")&amp;"("&amp;CHOOSE(WEEKDAY($CC37),"日","月","火","水","木","金","土")&amp;")"&amp;" に切れる　もう1便を至急発注（2便目に入れる）","△ 入庫しても "&amp;TEXT($CC37,"m/d")&amp;"("&amp;CHOOSE(WEEKDAY($CC37),"日","月","火","水","木","金","土")&amp;")"&amp;" に切れる　"&amp;TEXT($CC37-N('設定'!$C$7),"m/d")&amp;"("&amp;CHOOSE(WEEKDAY($CC37-N('設定'!$C$7)),"日","月","火","水","木","金","土")&amp;")"&amp;" までに次を発注（2便目に入れる）"))))))))))</f>
        <v/>
      </c>
      <c r="CR37">
        <f>IF($C37="","",IF($G37&gt;1,"ｹｰｽ("&amp;$G37&amp;"入)","個"))</f>
        <v/>
      </c>
      <c r="CS37">
        <f>IF($C37="",0,IF(COUNTIFS('①在庫を貼る'!$V$6:$V$10005,'設定'!$C$4,'①在庫を貼る'!$W$6:$W$10005,$C37)=0,1,0))</f>
        <v/>
      </c>
      <c r="CT37">
        <f>IF(AND($CK37=1,OR('③発注書'!$C$4="すべて",'③発注書'!$C$4="",$F37='③発注書'!$C$4)),N($CT36)+1,N($CT36))</f>
        <v/>
      </c>
      <c r="CU37">
        <f>IF(AND($CL37=1,OR('③発注書'!$C$4="すべて",'③発注書'!$C$4="",$F37='③発注書'!$C$4)),N($CU36)+1,N($CU36))</f>
        <v/>
      </c>
      <c r="CV37">
        <f>IF($C37="",0,IF(COUNTIFS('①在庫を貼る'!$V$6:$V$10005,'設定'!$C$4,'①在庫を貼る'!$W$6:$W$10005,$C37)&gt;0,1,0))</f>
        <v/>
      </c>
      <c r="CW37">
        <f>IF($C37="",0,IF(COUNTIFS('月1回_1ヶ月前の在庫'!$V$6:$V$10005,'設定'!$C$4,'月1回_1ヶ月前の在庫'!$W$6:$W$10005,$C37)&gt;0,1,0))</f>
        <v/>
      </c>
      <c r="CX37">
        <f>IF($C37="",0,IF(COUNTIFS('月1回_2ヶ月前の在庫'!$V$6:$V$10005,'設定'!$C$4,'月1回_2ヶ月前の在庫'!$W$6:$W$10005,$C37)&gt;0,1,0))</f>
        <v/>
      </c>
      <c r="CY37">
        <f>IF(OR($C37="",'設定'!$C$12=""),"",IF('設定'!$C$13="",IF(AND($CV37=1,$CW37=0),"新商品（今月から）",IF(AND($CV37=0,$CW37=1),"終売（今月から）","")),IF(AND($CV37=1,$CW37=0,$CX37=0),"新商品（今月から）",IF(AND($CV37=1,$CW37=1,$CX37=0),"新商品（先月から）",IF(AND($CV37=0,$CW37=1,$CX37=1),"終売（今月から）",IF(AND($CV37=0,$CW37=0,$CX37=1),"終売（先月から）",IF(AND($CV37=1,$CW37=0,$CX37=1),"復活（先月は無し）","")))))))</f>
        <v/>
      </c>
    </row>
    <row r="38">
      <c r="B38">
        <f>IF(33&lt;='設定'!$C$11,33,"")</f>
        <v/>
      </c>
      <c r="C38">
        <f>IF($B38="","",IF($B38&lt;='設定'!$C$20,INDEX('商品マスタ'!$B$6:$B$1005,MATCH($B38,'商品マスタ'!$M$6:$M$1005,0)),IF($B38&lt;='設定'!$C$20+'設定'!$C$17,INDEX('①在庫を貼る'!$W$6:$W$10005,MATCH($B38-'設定'!$C$20,'①在庫を貼る'!$U$6:$U$10005,0)),IF($B38&lt;='設定'!$C$20+'設定'!$C$17+'設定'!$C$18,INDEX('月1回_1ヶ月前の在庫'!$W$6:$W$10005,MATCH($B38-'設定'!$C$20-'設定'!$C$17,'月1回_1ヶ月前の在庫'!$U$6:$U$10005,0)),INDEX('月1回_2ヶ月前の在庫'!$W$6:$W$10005,MATCH($B38-'設定'!$C$20-'設定'!$C$17-'設定'!$C$18,'月1回_2ヶ月前の在庫'!$U$6:$U$10005,0))))))</f>
        <v/>
      </c>
      <c r="D38">
        <f>IF($C38="","",IFERROR(IF(INDEX('商品マスタ'!$C$6:$C$1005,MATCH($C38,'商品マスタ'!$B$6:$B$1005,0))="",IFERROR(INDEX('①在庫を貼る'!$J$6:$J$10005,MATCH($C38,'①在庫を貼る'!$W$6:$W$10005,0)),IFERROR(INDEX('月1回_1ヶ月前の在庫'!$J$6:$J$10005,MATCH($C38,'月1回_1ヶ月前の在庫'!$W$6:$W$10005,0)),IFERROR(INDEX('月1回_2ヶ月前の在庫'!$J$6:$J$10005,MATCH($C38,'月1回_2ヶ月前の在庫'!$W$6:$W$10005,0)),""))),INDEX('商品マスタ'!$C$6:$C$1005,MATCH($C38,'商品マスタ'!$B$6:$B$1005,0))),IFERROR(INDEX('①在庫を貼る'!$J$6:$J$10005,MATCH($C38,'①在庫を貼る'!$W$6:$W$10005,0)),IFERROR(INDEX('月1回_1ヶ月前の在庫'!$J$6:$J$10005,MATCH($C38,'月1回_1ヶ月前の在庫'!$W$6:$W$10005,0)),IFERROR(INDEX('月1回_2ヶ月前の在庫'!$J$6:$J$10005,MATCH($C38,'月1回_2ヶ月前の在庫'!$W$6:$W$10005,0)),"")))))</f>
        <v/>
      </c>
      <c r="E38">
        <f>IF($C38="","",IFERROR(IF(INDEX('商品マスタ'!$D$6:$D$1005,MATCH($C38,'商品マスタ'!$B$6:$B$1005,0))="",IFERROR(INDEX('①在庫を貼る'!$H$6:$H$10005,MATCH($C38,'①在庫を貼る'!$W$6:$W$10005,0)),IFERROR(INDEX('月1回_1ヶ月前の在庫'!$H$6:$H$10005,MATCH($C38,'月1回_1ヶ月前の在庫'!$W$6:$W$10005,0)),IFERROR(INDEX('月1回_2ヶ月前の在庫'!$H$6:$H$10005,MATCH($C38,'月1回_2ヶ月前の在庫'!$W$6:$W$10005,0)),""))),INDEX('商品マスタ'!$D$6:$D$1005,MATCH($C38,'商品マスタ'!$B$6:$B$1005,0))),IFERROR(INDEX('①在庫を貼る'!$H$6:$H$10005,MATCH($C38,'①在庫を貼る'!$W$6:$W$10005,0)),IFERROR(INDEX('月1回_1ヶ月前の在庫'!$H$6:$H$10005,MATCH($C38,'月1回_1ヶ月前の在庫'!$W$6:$W$10005,0)),IFERROR(INDEX('月1回_2ヶ月前の在庫'!$H$6:$H$10005,MATCH($C38,'月1回_2ヶ月前の在庫'!$W$6:$W$10005,0)),"")))))</f>
        <v/>
      </c>
      <c r="F38">
        <f>IF($C38="","",IFERROR(IF(INDEX('商品マスタ'!$E$6:$E$1005,MATCH($C38,'商品マスタ'!$B$6:$B$1005,0))="",IFERROR(INDEX('①在庫を貼る'!$E$6:$E$10005,MATCH($C38,'①在庫を貼る'!$W$6:$W$10005,0)),IFERROR(INDEX('月1回_1ヶ月前の在庫'!$E$6:$E$10005,MATCH($C38,'月1回_1ヶ月前の在庫'!$W$6:$W$10005,0)),IFERROR(INDEX('月1回_2ヶ月前の在庫'!$E$6:$E$10005,MATCH($C38,'月1回_2ヶ月前の在庫'!$W$6:$W$10005,0)),""))),INDEX('商品マスタ'!$E$6:$E$1005,MATCH($C38,'商品マスタ'!$B$6:$B$1005,0))),IFERROR(INDEX('①在庫を貼る'!$E$6:$E$10005,MATCH($C38,'①在庫を貼る'!$W$6:$W$10005,0)),IFERROR(INDEX('月1回_1ヶ月前の在庫'!$E$6:$E$10005,MATCH($C38,'月1回_1ヶ月前の在庫'!$W$6:$W$10005,0)),IFERROR(INDEX('月1回_2ヶ月前の在庫'!$E$6:$E$10005,MATCH($C38,'月1回_2ヶ月前の在庫'!$W$6:$W$10005,0)),"")))))</f>
        <v/>
      </c>
      <c r="G38">
        <f>IF($C38="","",MAX(1,N(IFERROR(IF(INDEX('商品マスタ'!$F$6:$F$1005,MATCH($C38,'商品マスタ'!$B$6:$B$1005,0))="",IF(COUNTIFS('①在庫を貼る'!$V$6:$V$10005,'設定'!$C$4,'①在庫を貼る'!$W$6:$W$10005,$C38)&gt;0,SUMIFS('①在庫を貼る'!$K$6:$K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K$6:$K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K$6:$K$10005,'月1回_2ヶ月前の在庫'!$V$6:$V$10005,'設定'!$C$4,'月1回_2ヶ月前の在庫'!$W$6:$W$10005,$C38)/COUNTIFS('月1回_2ヶ月前の在庫'!$V$6:$V$10005,'設定'!$C$4,'月1回_2ヶ月前の在庫'!$W$6:$W$10005,$C38),0))),INDEX('商品マスタ'!$F$6:$F$1005,MATCH($C38,'商品マスタ'!$B$6:$B$1005,0))),IF(COUNTIFS('①在庫を貼る'!$V$6:$V$10005,'設定'!$C$4,'①在庫を貼る'!$W$6:$W$10005,$C38)&gt;0,SUMIFS('①在庫を貼る'!$K$6:$K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K$6:$K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K$6:$K$10005,'月1回_2ヶ月前の在庫'!$V$6:$V$10005,'設定'!$C$4,'月1回_2ヶ月前の在庫'!$W$6:$W$10005,$C38)/COUNTIFS('月1回_2ヶ月前の在庫'!$V$6:$V$10005,'設定'!$C$4,'月1回_2ヶ月前の在庫'!$W$6:$W$10005,$C38),0)))))))</f>
        <v/>
      </c>
      <c r="H38">
        <f>IF($C38="","",N(IFERROR(IF(INDEX('商品マスタ'!$G$6:$G$1005,MATCH($C38,'商品マスタ'!$B$6:$B$1005,0))="",IF(COUNTIFS('①在庫を貼る'!$V$6:$V$10005,'設定'!$C$4,'①在庫を貼る'!$W$6:$W$10005,$C38)&gt;0,SUMIFS('①在庫を貼る'!$Q$6:$Q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Q$6:$Q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Q$6:$Q$10005,'月1回_2ヶ月前の在庫'!$V$6:$V$10005,'設定'!$C$4,'月1回_2ヶ月前の在庫'!$W$6:$W$10005,$C38)/COUNTIFS('月1回_2ヶ月前の在庫'!$V$6:$V$10005,'設定'!$C$4,'月1回_2ヶ月前の在庫'!$W$6:$W$10005,$C38),0))),INDEX('商品マスタ'!$G$6:$G$1005,MATCH($C38,'商品マスタ'!$B$6:$B$1005,0))),IF(COUNTIFS('①在庫を貼る'!$V$6:$V$10005,'設定'!$C$4,'①在庫を貼る'!$W$6:$W$10005,$C38)&gt;0,SUMIFS('①在庫を貼る'!$Q$6:$Q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Q$6:$Q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Q$6:$Q$10005,'月1回_2ヶ月前の在庫'!$V$6:$V$10005,'設定'!$C$4,'月1回_2ヶ月前の在庫'!$W$6:$W$10005,$C38)/COUNTIFS('月1回_2ヶ月前の在庫'!$V$6:$V$10005,'設定'!$C$4,'月1回_2ヶ月前の在庫'!$W$6:$W$10005,$C38),0))))))</f>
        <v/>
      </c>
      <c r="I38">
        <f>IF($C38="","",IF(COUNTIFS('①在庫を貼る'!$V$6:$V$10005,'設定'!$C$4,'①在庫を貼る'!$W$6:$W$10005,$C38)=0,"",SUMIFS('①在庫を貼る'!$N$6:$N$10005,'①在庫を貼る'!$V$6:$V$10005,'設定'!$C$4,'①在庫を貼る'!$W$6:$W$10005,$C38)))</f>
        <v/>
      </c>
      <c r="J38">
        <f>IF($C38="","",IF('②発注する'!$AD42="","",'②発注する'!$AD42))</f>
        <v/>
      </c>
      <c r="K38" s="90">
        <f>IF($C38="","",IF('②発注する'!$AE42="","",'②発注する'!$AE42))</f>
        <v/>
      </c>
      <c r="L38">
        <f>IF($C38="","",IF(AND(ISNUMBER($J38),ISNUMBER($K38),$K38&gt;='設定'!$C$6),$J38,N($I38)))</f>
        <v/>
      </c>
      <c r="M38">
        <f>IF($C38="","",IFERROR(IF(N(INDEX('商品マスタ'!$J$6:$J$1005,MATCH($C38,'商品マスタ'!$B$6:$B$1005,0)))&gt;0,INDEX('商品マスタ'!$J$6:$J$1005,MATCH($C38,'商品マスタ'!$B$6:$B$1005,0)),""),""))</f>
        <v/>
      </c>
      <c r="N38">
        <f>IF($C38="","",IFERROR(IF(N(INDEX('商品マスタ'!$H$6:$H$1005,MATCH($C38,'商品マスタ'!$B$6:$B$1005,0)))&gt;0,INDEX('商品マスタ'!$H$6:$H$1005,MATCH($C38,'商品マスタ'!$B$6:$B$1005,0)),""),""))</f>
        <v/>
      </c>
      <c r="O38">
        <f>IF($C38="","",IF($N38&lt;&gt;"",$N38*$G38,IF(N(IF(COUNTIFS('①在庫を貼る'!$V$6:$V$10005,'設定'!$C$4,'①在庫を貼る'!$W$6:$W$10005,$C38)&gt;0,SUMIFS('①在庫を貼る'!$O$6:$O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O$6:$O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O$6:$O$10005,'月1回_2ヶ月前の在庫'!$V$6:$V$10005,'設定'!$C$4,'月1回_2ヶ月前の在庫'!$W$6:$W$10005,$C38)/COUNTIFS('月1回_2ヶ月前の在庫'!$V$6:$V$10005,'設定'!$C$4,'月1回_2ヶ月前の在庫'!$W$6:$W$10005,$C38),0))))&gt;0,N(IF(COUNTIFS('①在庫を貼る'!$V$6:$V$10005,'設定'!$C$4,'①在庫を貼る'!$W$6:$W$10005,$C38)&gt;0,SUMIFS('①在庫を貼る'!$O$6:$O$10005,'①在庫を貼る'!$V$6:$V$10005,'設定'!$C$4,'①在庫を貼る'!$W$6:$W$10005,$C38)/COUNTIFS('①在庫を貼る'!$V$6:$V$10005,'設定'!$C$4,'①在庫を貼る'!$W$6:$W$10005,$C38),IF(COUNTIFS('月1回_1ヶ月前の在庫'!$V$6:$V$10005,'設定'!$C$4,'月1回_1ヶ月前の在庫'!$W$6:$W$10005,$C38)&gt;0,SUMIFS('月1回_1ヶ月前の在庫'!$O$6:$O$10005,'月1回_1ヶ月前の在庫'!$V$6:$V$10005,'設定'!$C$4,'月1回_1ヶ月前の在庫'!$W$6:$W$10005,$C38)/COUNTIFS('月1回_1ヶ月前の在庫'!$V$6:$V$10005,'設定'!$C$4,'月1回_1ヶ月前の在庫'!$W$6:$W$10005,$C38),IF(COUNTIFS('月1回_2ヶ月前の在庫'!$V$6:$V$10005,'設定'!$C$4,'月1回_2ヶ月前の在庫'!$W$6:$W$10005,$C38)&gt;0,SUMIFS('月1回_2ヶ月前の在庫'!$O$6:$O$10005,'月1回_2ヶ月前の在庫'!$V$6:$V$10005,'設定'!$C$4,'月1回_2ヶ月前の在庫'!$W$6:$W$10005,$C38)/COUNTIFS('月1回_2ヶ月前の在庫'!$V$6:$V$10005,'設定'!$C$4,'月1回_2ヶ月前の在庫'!$W$6:$W$10005,$C38),0)))),"")))</f>
        <v/>
      </c>
      <c r="P38" s="90">
        <f>IF($C38="","",IF('②発注する'!$I42="","",'②発注する'!$I42))</f>
        <v/>
      </c>
      <c r="Q38">
        <f>IF($C38="","",IF('②発注する'!$J42="","",'②発注する'!$J42))</f>
        <v/>
      </c>
      <c r="R38">
        <f>IF($C38="",0,IF(AND(ISNUMBER($P38),ISNUMBER($Q38)),MAX(0,$Q38)*$G38,0))</f>
        <v/>
      </c>
      <c r="S38" s="90">
        <f>IF($C38="","",IF('②発注する'!$M42="","",'②発注する'!$M42))</f>
        <v/>
      </c>
      <c r="T38">
        <f>IF($C38="","",IF('②発注する'!$N42="","",'②発注する'!$N42))</f>
        <v/>
      </c>
      <c r="U38">
        <f>IF($C38="",0,IF(AND(ISNUMBER($S38),ISNUMBER($T38)),MAX(0,$T38)*$G38,0))</f>
        <v/>
      </c>
      <c r="V38">
        <f>IF($C38="",0,IF($M38="",0,MAX(0,$M38)*MAX(0,V$4)/100))</f>
        <v/>
      </c>
      <c r="W38">
        <f>IF($C38="",0,IF($M38="",0,MAX(0,$M38)*MAX(0,W$4)/100))</f>
        <v/>
      </c>
      <c r="X38">
        <f>IF($C38="",0,IF($M38="",0,MAX(0,$M38)*MAX(0,X$4)/100))</f>
        <v/>
      </c>
      <c r="Y38">
        <f>IF($C38="",0,IF($M38="",0,MAX(0,$M38)*MAX(0,Y$4)/100))</f>
        <v/>
      </c>
      <c r="Z38">
        <f>IF($C38="",0,IF($M38="",0,MAX(0,$M38)*MAX(0,Z$4)/100))</f>
        <v/>
      </c>
      <c r="AA38">
        <f>IF($C38="",0,IF($M38="",0,MAX(0,$M38)*MAX(0,AA$4)/100))</f>
        <v/>
      </c>
      <c r="AB38">
        <f>IF($C38="",0,IF($M38="",0,MAX(0,$M38)*MAX(0,AB$4)/100))</f>
        <v/>
      </c>
      <c r="AC38">
        <f>IF($C38="",0,IF($M38="",0,MAX(0,$M38)*MAX(0,AC$4)/100))</f>
        <v/>
      </c>
      <c r="AD38">
        <f>IF($C38="",0,IF($M38="",0,MAX(0,$M38)*MAX(0,AD$4)/100))</f>
        <v/>
      </c>
      <c r="AE38">
        <f>IF($C38="",0,IF($M38="",0,MAX(0,$M38)*MAX(0,AE$4)/100))</f>
        <v/>
      </c>
      <c r="AF38">
        <f>IF($C38="",0,IF($M38="",0,MAX(0,$M38)*MAX(0,AF$4)/100))</f>
        <v/>
      </c>
      <c r="AG38">
        <f>IF($C38="",0,IF($M38="",0,MAX(0,$M38)*MAX(0,AG$4)/100))</f>
        <v/>
      </c>
      <c r="AH38">
        <f>IF($C38="",0,IF($M38="",0,MAX(0,$M38)*MAX(0,AH$4)/100))</f>
        <v/>
      </c>
      <c r="AI38">
        <f>IF($C38="",0,IF($M38="",0,MAX(0,$M38)*MAX(0,AI$4)/100))</f>
        <v/>
      </c>
      <c r="AJ38">
        <f>IF($C38="",0,MAX(0,MAX(0,N($L38))-$V38))</f>
        <v/>
      </c>
      <c r="AK38">
        <f>IF($C38="",0,MAX(0,$AJ38-$W38))</f>
        <v/>
      </c>
      <c r="AL38">
        <f>IF($C38="",0,MAX(0,$AK38-$X38))</f>
        <v/>
      </c>
      <c r="AM38">
        <f>IF($C38="",0,MAX(0,$AL38-$Y38))</f>
        <v/>
      </c>
      <c r="AN38">
        <f>IF($C38="",0,MAX(0,$AM38-$Z38))</f>
        <v/>
      </c>
      <c r="AO38">
        <f>IF($C38="",0,MAX(0,$AN38-$AA38))</f>
        <v/>
      </c>
      <c r="AP38">
        <f>IF($C38="",0,MAX(0,$AO38-$AB38))</f>
        <v/>
      </c>
      <c r="AQ38">
        <f>IF($C38="",0,MAX(0,$AP38-$AC38))</f>
        <v/>
      </c>
      <c r="AR38">
        <f>IF($C38="",0,MAX(0,$AQ38-$AD38))</f>
        <v/>
      </c>
      <c r="AS38">
        <f>IF($C38="",0,MAX(0,$AR38-$AE38))</f>
        <v/>
      </c>
      <c r="AT38">
        <f>IF($C38="",0,MAX(0,$AS38-$AF38))</f>
        <v/>
      </c>
      <c r="AU38">
        <f>IF($C38="",0,MAX(0,$AT38-$AG38))</f>
        <v/>
      </c>
      <c r="AV38">
        <f>IF($C38="",0,MAX(0,$AU38-$AH38))</f>
        <v/>
      </c>
      <c r="AW38">
        <f>IF($C38="",0,MAX(0,$AV38-$AI38))</f>
        <v/>
      </c>
      <c r="AX38">
        <f>IF($C38="",0,MAX(0,MAX(0,N($L38))+IF($P38=V$3,$R38,0)+IF($S38=V$3,$U38,0)-$V38))</f>
        <v/>
      </c>
      <c r="AY38">
        <f>IF($C38="",0,MAX(0,$AX38+IF($P38=W$3,$R38,0)+IF($S38=W$3,$U38,0)-$W38))</f>
        <v/>
      </c>
      <c r="AZ38">
        <f>IF($C38="",0,MAX(0,$AY38+IF($P38=X$3,$R38,0)+IF($S38=X$3,$U38,0)-$X38))</f>
        <v/>
      </c>
      <c r="BA38">
        <f>IF($C38="",0,MAX(0,$AZ38+IF($P38=Y$3,$R38,0)+IF($S38=Y$3,$U38,0)-$Y38))</f>
        <v/>
      </c>
      <c r="BB38">
        <f>IF($C38="",0,MAX(0,$BA38+IF($P38=Z$3,$R38,0)+IF($S38=Z$3,$U38,0)-$Z38))</f>
        <v/>
      </c>
      <c r="BC38">
        <f>IF($C38="",0,MAX(0,$BB38+IF($P38=AA$3,$R38,0)+IF($S38=AA$3,$U38,0)-$AA38))</f>
        <v/>
      </c>
      <c r="BD38">
        <f>IF($C38="",0,MAX(0,$BC38+IF($P38=AB$3,$R38,0)+IF($S38=AB$3,$U38,0)-$AB38))</f>
        <v/>
      </c>
      <c r="BE38">
        <f>IF($C38="",0,MAX(0,$BD38+IF($P38=AC$3,$R38,0)+IF($S38=AC$3,$U38,0)-$AC38))</f>
        <v/>
      </c>
      <c r="BF38">
        <f>IF($C38="",0,MAX(0,$BE38+IF($P38=AD$3,$R38,0)+IF($S38=AD$3,$U38,0)-$AD38))</f>
        <v/>
      </c>
      <c r="BG38">
        <f>IF($C38="",0,MAX(0,$BF38+IF($P38=AE$3,$R38,0)+IF($S38=AE$3,$U38,0)-$AE38))</f>
        <v/>
      </c>
      <c r="BH38">
        <f>IF($C38="",0,MAX(0,$BG38+IF($P38=AF$3,$R38,0)+IF($S38=AF$3,$U38,0)-$AF38))</f>
        <v/>
      </c>
      <c r="BI38">
        <f>IF($C38="",0,MAX(0,$BH38+IF($P38=AG$3,$R38,0)+IF($S38=AG$3,$U38,0)-$AG38))</f>
        <v/>
      </c>
      <c r="BJ38">
        <f>IF($C38="",0,MAX(0,$BI38+IF($P38=AH$3,$R38,0)+IF($S38=AH$3,$U38,0)-$AH38))</f>
        <v/>
      </c>
      <c r="BK38">
        <f>IF($C38="",0,MAX(0,$BJ38+IF($P38=AI$3,$R38,0)+IF($S38=AI$3,$U38,0)-$AI38))</f>
        <v/>
      </c>
      <c r="BL38">
        <f>IF($C38="",99,IF(AND($AX38&lt;1,V$3&gt;=MAX(N($P38),N($S38))),0,99))</f>
        <v/>
      </c>
      <c r="BM38">
        <f>IF($C38="",99,IF(AND($AY38&lt;1,W$3&gt;=MAX(N($P38),N($S38))),1,99))</f>
        <v/>
      </c>
      <c r="BN38">
        <f>IF($C38="",99,IF(AND($AZ38&lt;1,X$3&gt;=MAX(N($P38),N($S38))),2,99))</f>
        <v/>
      </c>
      <c r="BO38">
        <f>IF($C38="",99,IF(AND($BA38&lt;1,Y$3&gt;=MAX(N($P38),N($S38))),3,99))</f>
        <v/>
      </c>
      <c r="BP38">
        <f>IF($C38="",99,IF(AND($BB38&lt;1,Z$3&gt;=MAX(N($P38),N($S38))),4,99))</f>
        <v/>
      </c>
      <c r="BQ38">
        <f>IF($C38="",99,IF(AND($BC38&lt;1,AA$3&gt;=MAX(N($P38),N($S38))),5,99))</f>
        <v/>
      </c>
      <c r="BR38">
        <f>IF($C38="",99,IF(AND($BD38&lt;1,AB$3&gt;=MAX(N($P38),N($S38))),6,99))</f>
        <v/>
      </c>
      <c r="BS38">
        <f>IF($C38="",99,IF(AND($BE38&lt;1,AC$3&gt;=MAX(N($P38),N($S38))),7,99))</f>
        <v/>
      </c>
      <c r="BT38">
        <f>IF($C38="",99,IF(AND($BF38&lt;1,AD$3&gt;=MAX(N($P38),N($S38))),8,99))</f>
        <v/>
      </c>
      <c r="BU38">
        <f>IF($C38="",99,IF(AND($BG38&lt;1,AE$3&gt;=MAX(N($P38),N($S38))),9,99))</f>
        <v/>
      </c>
      <c r="BV38">
        <f>IF($C38="",99,IF(AND($BH38&lt;1,AF$3&gt;=MAX(N($P38),N($S38))),10,99))</f>
        <v/>
      </c>
      <c r="BW38">
        <f>IF($C38="",99,IF(AND($BI38&lt;1,AG$3&gt;=MAX(N($P38),N($S38))),11,99))</f>
        <v/>
      </c>
      <c r="BX38">
        <f>IF($C38="",99,IF(AND($BJ38&lt;1,AH$3&gt;=MAX(N($P38),N($S38))),12,99))</f>
        <v/>
      </c>
      <c r="BY38">
        <f>IF($C38="",99,IF(AND($BK38&lt;1,AI$3&gt;=MAX(N($P38),N($S38))),13,99))</f>
        <v/>
      </c>
      <c r="BZ38">
        <f>IF(OR($C38="",$M38=""),"",COUNTIF($AJ38:$AW38,"&gt;=1"))</f>
        <v/>
      </c>
      <c r="CA38" s="90">
        <f>IF($BZ38="","",IF($BZ38&gt;=14,"",'設定'!$C$6+$BZ38))</f>
        <v/>
      </c>
      <c r="CB38">
        <f>IF(OR($C38="",$M38=""),"",MIN($BL38:$BY38))</f>
        <v/>
      </c>
      <c r="CC38" s="90">
        <f>IF($CB38="","",IF($CB38&gt;=99,"",'設定'!$C$6+$CB38))</f>
        <v/>
      </c>
      <c r="CD38">
        <f>IF(OR($C38="",$M38=""),"",AVERAGE($V38:$AI38))</f>
        <v/>
      </c>
      <c r="CE38">
        <f>IF($C38="","",IFERROR(IF(MATCH(IF(ISNUMBER($P38),$P38,'設定'!$C$6+N('設定'!$C$7)),$V$3:$AI$3,0)=1,MAX(0,N($L38)),INDEX($AJ38:$AW38,MATCH(IF(ISNUMBER($P38),$P38,'設定'!$C$6+N('設定'!$C$7)),$V$3:$AI$3,0)-1)),""))</f>
        <v/>
      </c>
      <c r="CF38">
        <f>IF(OR($C38="",$O38="",$CE38=""),"",IF($O38-$CE38&lt;=0,0,ROUNDUP(($O38-$CE38)/$G38,0)))</f>
        <v/>
      </c>
      <c r="CG38">
        <f>IF(OR($C38="",$CF38="",NOT(ISNUMBER($Q38))),0,MAX(0,$Q38-$CF38))</f>
        <v/>
      </c>
      <c r="CH38">
        <f>IF(OR($C38="",$O38="",$U38=0),0,IFERROR(ROUNDUP(MAX(0,IF(MATCH($S38,$V$3:$AI$3,0)=1,MAX(0,N($L38)),INDEX($AX38:$BK38,MATCH($S38,$V$3:$AI$3,0)-1))+$U38-$O38)/$G38,0),0))</f>
        <v/>
      </c>
      <c r="CI38">
        <f>IF($C38="","",IF(AND($P38="",$Q38=""),"",IF($P38="","⚠ 入庫日を ▼ から選んでください",IF(NOT(ISNUMBER($P38)),"⚠ 入庫日は ▼ から選んでください",IF($P38&lt;N('設定'!$C$6),"⚠ 入庫日が過去です（もう在庫に入っています）→ 消してください",IF($P38&gt;N('設定'!$C$6)+13,"⚠ 入庫日が14日より先です",IF(N($Q38)&lt;=0,"⚠ 入庫数を入れてください",IF($CG38&gt;0,"⚠ 目安より "&amp;$CG38&amp;" 多い（定数を超える）→ 減らす",""))))))))</f>
        <v/>
      </c>
      <c r="CJ38">
        <f>IF($C38="","",IF(AND($S38="",$T38=""),"",IF($S38="","⚠ 2便目：入庫日を ▼ から選んでください",IF(NOT(ISNUMBER($S38)),"⚠ 2便目：入庫日は ▼ から選んでください",IF($S38&lt;N('設定'!$C$6),"⚠ 2便目：入庫日が過去です（もう在庫に入っています）→ 消してください",IF($S38&gt;N('設定'!$C$6)+13,"⚠ 2便目：入庫日が14日より先です",IF(N($T38)&lt;=0,"⚠ 2便目：入庫数を入れてください",IF($CH38&gt;0,"⚠ 2便目：定数を "&amp;$CH38&amp;" ケース超える → 減らす",""))))))))</f>
        <v/>
      </c>
      <c r="CK38">
        <f>IF(AND($CI38="",N($Q38)&gt;0,ISNUMBER($P38)),1,0)</f>
        <v/>
      </c>
      <c r="CL38">
        <f>IF(AND($CJ38="",N($T38)&gt;0,ISNUMBER($S38)),1,0)</f>
        <v/>
      </c>
      <c r="CM38">
        <f>IF(OR($CK38=1,$CL38=1),1,0)</f>
        <v/>
      </c>
      <c r="CN38">
        <f>IF($C38="",0,($CK38*$R38+$CL38*$U38)*N($H38))</f>
        <v/>
      </c>
      <c r="CO38">
        <f>IF($C38="","",IF($CC38="","入庫後は 14日以上もつ",IF($CC38-N('設定'!$C$7)&lt;='設定'!$C$6,"入庫後も "&amp;TEXT($CC38,"m/d")&amp;"("&amp;CHOOSE(WEEKDAY($CC38),"日","月","火","水","木","金","土")&amp;")"&amp;" に切れる　もう1便を至急発注","入庫後も "&amp;TEXT($CC38,"m/d")&amp;"("&amp;CHOOSE(WEEKDAY($CC38),"日","月","火","水","木","金","土")&amp;")"&amp;" に切れる　"&amp;TEXT($CC38-N('設定'!$C$7),"m/d")&amp;"("&amp;CHOOSE(WEEKDAY($CC38-N('設定'!$C$7)),"日","月","火","水","木","金","土")&amp;")"&amp;" までに次を発注")))</f>
        <v/>
      </c>
      <c r="CP38">
        <f>IF($C38="","",IF('設定'!$C$6="","？ ①在庫を貼る に今日のCSVが貼られていない",IF($CS38=1,"－ 今日のCSVに無い（終売？）",IF($L38&lt;0,"● 在庫がマイナス　数えて「数えた在庫」に入れる",IF($L38=0,"● 在庫なし　至急発注",IF($M38="","？ 減り数が未設定（商品マスタ）",IF($B$3=0,"？ 動員が未入力（動員を入れる）",IF($CA38="","○ 14日以上もつ",IF($BZ38&lt;N('設定'!$C$7),"● "&amp;TEXT($CA38,"m/d")&amp;"("&amp;CHOOSE(WEEKDAY($CA38),"日","月","火","水","木","金","土")&amp;")"&amp;" に切れる　至急発注",IF($BZ38=N('設定'!$C$7),"● "&amp;TEXT($CA38,"m/d")&amp;"("&amp;CHOOSE(WEEKDAY($CA38),"日","月","火","水","木","金","土")&amp;")"&amp;" に切れる　今日発注","△ "&amp;TEXT($CA38,"m/d")&amp;"("&amp;CHOOSE(WEEKDAY($CA38),"日","月","火","水","木","金","土")&amp;")"&amp;" に切れる　"&amp;TEXT($CA38-N('設定'!$C$7),"m/d")&amp;"("&amp;CHOOSE(WEEKDAY($CA38-N('設定'!$C$7)),"日","月","火","水","木","金","土")&amp;")"&amp;" までに発注"))))))))))</f>
        <v/>
      </c>
      <c r="CQ38">
        <f>IF($C38="","",IF(AND($P38="",$Q38="",$S38="",$T38=""),"",IF(AND($P38="",$Q38=""),"⚠ 先に1便目（左の入庫日・入庫数）に入れてください",IF($CI38&lt;&gt;"",$CI38,IF($CJ38&lt;&gt;"",$CJ38,IF($M38="","？ 減り数が未設定（発注書には載ります）",IF($B$3=0,"？ 動員が未入力（発注書には載ります）",IF(AND($CA38&lt;&gt;"",$P38&gt;$CA38),IF($P38&gt;'設定'!$C$6+N('設定'!$C$7),"● "&amp;TEXT($P38,"m/d")&amp;"("&amp;CHOOSE(WEEKDAY($P38),"日","月","火","水","木","金","土")&amp;")"&amp;" の入庫では間に合わない（"&amp;TEXT($CA38,"m/d")&amp;"("&amp;CHOOSE(WEEKDAY($CA38),"日","月","火","水","木","金","土")&amp;")"&amp;" に切れる）　入庫日を早める","△ 欠品 "&amp;TEXT($CA38,"m/d")&amp;"("&amp;CHOOSE(WEEKDAY($CA38),"日","月","火","水","木","金","土")&amp;")"&amp;"〜"&amp;TEXT($P38-1,"m/d")&amp;"("&amp;CHOOSE(WEEKDAY($P38-1),"日","月","火","水","木","金","土")&amp;")"&amp;"　"&amp;$CO38),IF($CC38="","○ "&amp;TEXT($P38,"m/d")&amp;"("&amp;CHOOSE(WEEKDAY($P38),"日","月","火","水","木","金","土")&amp;")"&amp;" 入庫で 14日以上もつ",IF($CC38-N('設定'!$C$7)&lt;='設定'!$C$6,"● 入庫しても "&amp;TEXT($CC38,"m/d")&amp;"("&amp;CHOOSE(WEEKDAY($CC38),"日","月","火","水","木","金","土")&amp;")"&amp;" に切れる　もう1便を至急発注（2便目に入れる）","△ 入庫しても "&amp;TEXT($CC38,"m/d")&amp;"("&amp;CHOOSE(WEEKDAY($CC38),"日","月","火","水","木","金","土")&amp;")"&amp;" に切れる　"&amp;TEXT($CC38-N('設定'!$C$7),"m/d")&amp;"("&amp;CHOOSE(WEEKDAY($CC38-N('設定'!$C$7)),"日","月","火","水","木","金","土")&amp;")"&amp;" までに次を発注（2便目に入れる）"))))))))))</f>
        <v/>
      </c>
      <c r="CR38">
        <f>IF($C38="","",IF($G38&gt;1,"ｹｰｽ("&amp;$G38&amp;"入)","個"))</f>
        <v/>
      </c>
      <c r="CS38">
        <f>IF($C38="",0,IF(COUNTIFS('①在庫を貼る'!$V$6:$V$10005,'設定'!$C$4,'①在庫を貼る'!$W$6:$W$10005,$C38)=0,1,0))</f>
        <v/>
      </c>
      <c r="CT38">
        <f>IF(AND($CK38=1,OR('③発注書'!$C$4="すべて",'③発注書'!$C$4="",$F38='③発注書'!$C$4)),N($CT37)+1,N($CT37))</f>
        <v/>
      </c>
      <c r="CU38">
        <f>IF(AND($CL38=1,OR('③発注書'!$C$4="すべて",'③発注書'!$C$4="",$F38='③発注書'!$C$4)),N($CU37)+1,N($CU37))</f>
        <v/>
      </c>
      <c r="CV38">
        <f>IF($C38="",0,IF(COUNTIFS('①在庫を貼る'!$V$6:$V$10005,'設定'!$C$4,'①在庫を貼る'!$W$6:$W$10005,$C38)&gt;0,1,0))</f>
        <v/>
      </c>
      <c r="CW38">
        <f>IF($C38="",0,IF(COUNTIFS('月1回_1ヶ月前の在庫'!$V$6:$V$10005,'設定'!$C$4,'月1回_1ヶ月前の在庫'!$W$6:$W$10005,$C38)&gt;0,1,0))</f>
        <v/>
      </c>
      <c r="CX38">
        <f>IF($C38="",0,IF(COUNTIFS('月1回_2ヶ月前の在庫'!$V$6:$V$10005,'設定'!$C$4,'月1回_2ヶ月前の在庫'!$W$6:$W$10005,$C38)&gt;0,1,0))</f>
        <v/>
      </c>
      <c r="CY38">
        <f>IF(OR($C38="",'設定'!$C$12=""),"",IF('設定'!$C$13="",IF(AND($CV38=1,$CW38=0),"新商品（今月から）",IF(AND($CV38=0,$CW38=1),"終売（今月から）","")),IF(AND($CV38=1,$CW38=0,$CX38=0),"新商品（今月から）",IF(AND($CV38=1,$CW38=1,$CX38=0),"新商品（先月から）",IF(AND($CV38=0,$CW38=1,$CX38=1),"終売（今月から）",IF(AND($CV38=0,$CW38=0,$CX38=1),"終売（先月から）",IF(AND($CV38=1,$CW38=0,$CX38=1),"復活（先月は無し）","")))))))</f>
        <v/>
      </c>
    </row>
    <row r="39">
      <c r="B39">
        <f>IF(34&lt;='設定'!$C$11,34,"")</f>
        <v/>
      </c>
      <c r="C39">
        <f>IF($B39="","",IF($B39&lt;='設定'!$C$20,INDEX('商品マスタ'!$B$6:$B$1005,MATCH($B39,'商品マスタ'!$M$6:$M$1005,0)),IF($B39&lt;='設定'!$C$20+'設定'!$C$17,INDEX('①在庫を貼る'!$W$6:$W$10005,MATCH($B39-'設定'!$C$20,'①在庫を貼る'!$U$6:$U$10005,0)),IF($B39&lt;='設定'!$C$20+'設定'!$C$17+'設定'!$C$18,INDEX('月1回_1ヶ月前の在庫'!$W$6:$W$10005,MATCH($B39-'設定'!$C$20-'設定'!$C$17,'月1回_1ヶ月前の在庫'!$U$6:$U$10005,0)),INDEX('月1回_2ヶ月前の在庫'!$W$6:$W$10005,MATCH($B39-'設定'!$C$20-'設定'!$C$17-'設定'!$C$18,'月1回_2ヶ月前の在庫'!$U$6:$U$10005,0))))))</f>
        <v/>
      </c>
      <c r="D39">
        <f>IF($C39="","",IFERROR(IF(INDEX('商品マスタ'!$C$6:$C$1005,MATCH($C39,'商品マスタ'!$B$6:$B$1005,0))="",IFERROR(INDEX('①在庫を貼る'!$J$6:$J$10005,MATCH($C39,'①在庫を貼る'!$W$6:$W$10005,0)),IFERROR(INDEX('月1回_1ヶ月前の在庫'!$J$6:$J$10005,MATCH($C39,'月1回_1ヶ月前の在庫'!$W$6:$W$10005,0)),IFERROR(INDEX('月1回_2ヶ月前の在庫'!$J$6:$J$10005,MATCH($C39,'月1回_2ヶ月前の在庫'!$W$6:$W$10005,0)),""))),INDEX('商品マスタ'!$C$6:$C$1005,MATCH($C39,'商品マスタ'!$B$6:$B$1005,0))),IFERROR(INDEX('①在庫を貼る'!$J$6:$J$10005,MATCH($C39,'①在庫を貼る'!$W$6:$W$10005,0)),IFERROR(INDEX('月1回_1ヶ月前の在庫'!$J$6:$J$10005,MATCH($C39,'月1回_1ヶ月前の在庫'!$W$6:$W$10005,0)),IFERROR(INDEX('月1回_2ヶ月前の在庫'!$J$6:$J$10005,MATCH($C39,'月1回_2ヶ月前の在庫'!$W$6:$W$10005,0)),"")))))</f>
        <v/>
      </c>
      <c r="E39">
        <f>IF($C39="","",IFERROR(IF(INDEX('商品マスタ'!$D$6:$D$1005,MATCH($C39,'商品マスタ'!$B$6:$B$1005,0))="",IFERROR(INDEX('①在庫を貼る'!$H$6:$H$10005,MATCH($C39,'①在庫を貼る'!$W$6:$W$10005,0)),IFERROR(INDEX('月1回_1ヶ月前の在庫'!$H$6:$H$10005,MATCH($C39,'月1回_1ヶ月前の在庫'!$W$6:$W$10005,0)),IFERROR(INDEX('月1回_2ヶ月前の在庫'!$H$6:$H$10005,MATCH($C39,'月1回_2ヶ月前の在庫'!$W$6:$W$10005,0)),""))),INDEX('商品マスタ'!$D$6:$D$1005,MATCH($C39,'商品マスタ'!$B$6:$B$1005,0))),IFERROR(INDEX('①在庫を貼る'!$H$6:$H$10005,MATCH($C39,'①在庫を貼る'!$W$6:$W$10005,0)),IFERROR(INDEX('月1回_1ヶ月前の在庫'!$H$6:$H$10005,MATCH($C39,'月1回_1ヶ月前の在庫'!$W$6:$W$10005,0)),IFERROR(INDEX('月1回_2ヶ月前の在庫'!$H$6:$H$10005,MATCH($C39,'月1回_2ヶ月前の在庫'!$W$6:$W$10005,0)),"")))))</f>
        <v/>
      </c>
      <c r="F39">
        <f>IF($C39="","",IFERROR(IF(INDEX('商品マスタ'!$E$6:$E$1005,MATCH($C39,'商品マスタ'!$B$6:$B$1005,0))="",IFERROR(INDEX('①在庫を貼る'!$E$6:$E$10005,MATCH($C39,'①在庫を貼る'!$W$6:$W$10005,0)),IFERROR(INDEX('月1回_1ヶ月前の在庫'!$E$6:$E$10005,MATCH($C39,'月1回_1ヶ月前の在庫'!$W$6:$W$10005,0)),IFERROR(INDEX('月1回_2ヶ月前の在庫'!$E$6:$E$10005,MATCH($C39,'月1回_2ヶ月前の在庫'!$W$6:$W$10005,0)),""))),INDEX('商品マスタ'!$E$6:$E$1005,MATCH($C39,'商品マスタ'!$B$6:$B$1005,0))),IFERROR(INDEX('①在庫を貼る'!$E$6:$E$10005,MATCH($C39,'①在庫を貼る'!$W$6:$W$10005,0)),IFERROR(INDEX('月1回_1ヶ月前の在庫'!$E$6:$E$10005,MATCH($C39,'月1回_1ヶ月前の在庫'!$W$6:$W$10005,0)),IFERROR(INDEX('月1回_2ヶ月前の在庫'!$E$6:$E$10005,MATCH($C39,'月1回_2ヶ月前の在庫'!$W$6:$W$10005,0)),"")))))</f>
        <v/>
      </c>
      <c r="G39">
        <f>IF($C39="","",MAX(1,N(IFERROR(IF(INDEX('商品マスタ'!$F$6:$F$1005,MATCH($C39,'商品マスタ'!$B$6:$B$1005,0))="",IF(COUNTIFS('①在庫を貼る'!$V$6:$V$10005,'設定'!$C$4,'①在庫を貼る'!$W$6:$W$10005,$C39)&gt;0,SUMIFS('①在庫を貼る'!$K$6:$K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K$6:$K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K$6:$K$10005,'月1回_2ヶ月前の在庫'!$V$6:$V$10005,'設定'!$C$4,'月1回_2ヶ月前の在庫'!$W$6:$W$10005,$C39)/COUNTIFS('月1回_2ヶ月前の在庫'!$V$6:$V$10005,'設定'!$C$4,'月1回_2ヶ月前の在庫'!$W$6:$W$10005,$C39),0))),INDEX('商品マスタ'!$F$6:$F$1005,MATCH($C39,'商品マスタ'!$B$6:$B$1005,0))),IF(COUNTIFS('①在庫を貼る'!$V$6:$V$10005,'設定'!$C$4,'①在庫を貼る'!$W$6:$W$10005,$C39)&gt;0,SUMIFS('①在庫を貼る'!$K$6:$K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K$6:$K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K$6:$K$10005,'月1回_2ヶ月前の在庫'!$V$6:$V$10005,'設定'!$C$4,'月1回_2ヶ月前の在庫'!$W$6:$W$10005,$C39)/COUNTIFS('月1回_2ヶ月前の在庫'!$V$6:$V$10005,'設定'!$C$4,'月1回_2ヶ月前の在庫'!$W$6:$W$10005,$C39),0)))))))</f>
        <v/>
      </c>
      <c r="H39">
        <f>IF($C39="","",N(IFERROR(IF(INDEX('商品マスタ'!$G$6:$G$1005,MATCH($C39,'商品マスタ'!$B$6:$B$1005,0))="",IF(COUNTIFS('①在庫を貼る'!$V$6:$V$10005,'設定'!$C$4,'①在庫を貼る'!$W$6:$W$10005,$C39)&gt;0,SUMIFS('①在庫を貼る'!$Q$6:$Q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Q$6:$Q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Q$6:$Q$10005,'月1回_2ヶ月前の在庫'!$V$6:$V$10005,'設定'!$C$4,'月1回_2ヶ月前の在庫'!$W$6:$W$10005,$C39)/COUNTIFS('月1回_2ヶ月前の在庫'!$V$6:$V$10005,'設定'!$C$4,'月1回_2ヶ月前の在庫'!$W$6:$W$10005,$C39),0))),INDEX('商品マスタ'!$G$6:$G$1005,MATCH($C39,'商品マスタ'!$B$6:$B$1005,0))),IF(COUNTIFS('①在庫を貼る'!$V$6:$V$10005,'設定'!$C$4,'①在庫を貼る'!$W$6:$W$10005,$C39)&gt;0,SUMIFS('①在庫を貼る'!$Q$6:$Q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Q$6:$Q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Q$6:$Q$10005,'月1回_2ヶ月前の在庫'!$V$6:$V$10005,'設定'!$C$4,'月1回_2ヶ月前の在庫'!$W$6:$W$10005,$C39)/COUNTIFS('月1回_2ヶ月前の在庫'!$V$6:$V$10005,'設定'!$C$4,'月1回_2ヶ月前の在庫'!$W$6:$W$10005,$C39),0))))))</f>
        <v/>
      </c>
      <c r="I39">
        <f>IF($C39="","",IF(COUNTIFS('①在庫を貼る'!$V$6:$V$10005,'設定'!$C$4,'①在庫を貼る'!$W$6:$W$10005,$C39)=0,"",SUMIFS('①在庫を貼る'!$N$6:$N$10005,'①在庫を貼る'!$V$6:$V$10005,'設定'!$C$4,'①在庫を貼る'!$W$6:$W$10005,$C39)))</f>
        <v/>
      </c>
      <c r="J39">
        <f>IF($C39="","",IF('②発注する'!$AD43="","",'②発注する'!$AD43))</f>
        <v/>
      </c>
      <c r="K39" s="90">
        <f>IF($C39="","",IF('②発注する'!$AE43="","",'②発注する'!$AE43))</f>
        <v/>
      </c>
      <c r="L39">
        <f>IF($C39="","",IF(AND(ISNUMBER($J39),ISNUMBER($K39),$K39&gt;='設定'!$C$6),$J39,N($I39)))</f>
        <v/>
      </c>
      <c r="M39">
        <f>IF($C39="","",IFERROR(IF(N(INDEX('商品マスタ'!$J$6:$J$1005,MATCH($C39,'商品マスタ'!$B$6:$B$1005,0)))&gt;0,INDEX('商品マスタ'!$J$6:$J$1005,MATCH($C39,'商品マスタ'!$B$6:$B$1005,0)),""),""))</f>
        <v/>
      </c>
      <c r="N39">
        <f>IF($C39="","",IFERROR(IF(N(INDEX('商品マスタ'!$H$6:$H$1005,MATCH($C39,'商品マスタ'!$B$6:$B$1005,0)))&gt;0,INDEX('商品マスタ'!$H$6:$H$1005,MATCH($C39,'商品マスタ'!$B$6:$B$1005,0)),""),""))</f>
        <v/>
      </c>
      <c r="O39">
        <f>IF($C39="","",IF($N39&lt;&gt;"",$N39*$G39,IF(N(IF(COUNTIFS('①在庫を貼る'!$V$6:$V$10005,'設定'!$C$4,'①在庫を貼る'!$W$6:$W$10005,$C39)&gt;0,SUMIFS('①在庫を貼る'!$O$6:$O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O$6:$O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O$6:$O$10005,'月1回_2ヶ月前の在庫'!$V$6:$V$10005,'設定'!$C$4,'月1回_2ヶ月前の在庫'!$W$6:$W$10005,$C39)/COUNTIFS('月1回_2ヶ月前の在庫'!$V$6:$V$10005,'設定'!$C$4,'月1回_2ヶ月前の在庫'!$W$6:$W$10005,$C39),0))))&gt;0,N(IF(COUNTIFS('①在庫を貼る'!$V$6:$V$10005,'設定'!$C$4,'①在庫を貼る'!$W$6:$W$10005,$C39)&gt;0,SUMIFS('①在庫を貼る'!$O$6:$O$10005,'①在庫を貼る'!$V$6:$V$10005,'設定'!$C$4,'①在庫を貼る'!$W$6:$W$10005,$C39)/COUNTIFS('①在庫を貼る'!$V$6:$V$10005,'設定'!$C$4,'①在庫を貼る'!$W$6:$W$10005,$C39),IF(COUNTIFS('月1回_1ヶ月前の在庫'!$V$6:$V$10005,'設定'!$C$4,'月1回_1ヶ月前の在庫'!$W$6:$W$10005,$C39)&gt;0,SUMIFS('月1回_1ヶ月前の在庫'!$O$6:$O$10005,'月1回_1ヶ月前の在庫'!$V$6:$V$10005,'設定'!$C$4,'月1回_1ヶ月前の在庫'!$W$6:$W$10005,$C39)/COUNTIFS('月1回_1ヶ月前の在庫'!$V$6:$V$10005,'設定'!$C$4,'月1回_1ヶ月前の在庫'!$W$6:$W$10005,$C39),IF(COUNTIFS('月1回_2ヶ月前の在庫'!$V$6:$V$10005,'設定'!$C$4,'月1回_2ヶ月前の在庫'!$W$6:$W$10005,$C39)&gt;0,SUMIFS('月1回_2ヶ月前の在庫'!$O$6:$O$10005,'月1回_2ヶ月前の在庫'!$V$6:$V$10005,'設定'!$C$4,'月1回_2ヶ月前の在庫'!$W$6:$W$10005,$C39)/COUNTIFS('月1回_2ヶ月前の在庫'!$V$6:$V$10005,'設定'!$C$4,'月1回_2ヶ月前の在庫'!$W$6:$W$10005,$C39),0)))),"")))</f>
        <v/>
      </c>
      <c r="P39" s="90">
        <f>IF($C39="","",IF('②発注する'!$I43="","",'②発注する'!$I43))</f>
        <v/>
      </c>
      <c r="Q39">
        <f>IF($C39="","",IF('②発注する'!$J43="","",'②発注する'!$J43))</f>
        <v/>
      </c>
      <c r="R39">
        <f>IF($C39="",0,IF(AND(ISNUMBER($P39),ISNUMBER($Q39)),MAX(0,$Q39)*$G39,0))</f>
        <v/>
      </c>
      <c r="S39" s="90">
        <f>IF($C39="","",IF('②発注する'!$M43="","",'②発注する'!$M43))</f>
        <v/>
      </c>
      <c r="T39">
        <f>IF($C39="","",IF('②発注する'!$N43="","",'②発注する'!$N43))</f>
        <v/>
      </c>
      <c r="U39">
        <f>IF($C39="",0,IF(AND(ISNUMBER($S39),ISNUMBER($T39)),MAX(0,$T39)*$G39,0))</f>
        <v/>
      </c>
      <c r="V39">
        <f>IF($C39="",0,IF($M39="",0,MAX(0,$M39)*MAX(0,V$4)/100))</f>
        <v/>
      </c>
      <c r="W39">
        <f>IF($C39="",0,IF($M39="",0,MAX(0,$M39)*MAX(0,W$4)/100))</f>
        <v/>
      </c>
      <c r="X39">
        <f>IF($C39="",0,IF($M39="",0,MAX(0,$M39)*MAX(0,X$4)/100))</f>
        <v/>
      </c>
      <c r="Y39">
        <f>IF($C39="",0,IF($M39="",0,MAX(0,$M39)*MAX(0,Y$4)/100))</f>
        <v/>
      </c>
      <c r="Z39">
        <f>IF($C39="",0,IF($M39="",0,MAX(0,$M39)*MAX(0,Z$4)/100))</f>
        <v/>
      </c>
      <c r="AA39">
        <f>IF($C39="",0,IF($M39="",0,MAX(0,$M39)*MAX(0,AA$4)/100))</f>
        <v/>
      </c>
      <c r="AB39">
        <f>IF($C39="",0,IF($M39="",0,MAX(0,$M39)*MAX(0,AB$4)/100))</f>
        <v/>
      </c>
      <c r="AC39">
        <f>IF($C39="",0,IF($M39="",0,MAX(0,$M39)*MAX(0,AC$4)/100))</f>
        <v/>
      </c>
      <c r="AD39">
        <f>IF($C39="",0,IF($M39="",0,MAX(0,$M39)*MAX(0,AD$4)/100))</f>
        <v/>
      </c>
      <c r="AE39">
        <f>IF($C39="",0,IF($M39="",0,MAX(0,$M39)*MAX(0,AE$4)/100))</f>
        <v/>
      </c>
      <c r="AF39">
        <f>IF($C39="",0,IF($M39="",0,MAX(0,$M39)*MAX(0,AF$4)/100))</f>
        <v/>
      </c>
      <c r="AG39">
        <f>IF($C39="",0,IF($M39="",0,MAX(0,$M39)*MAX(0,AG$4)/100))</f>
        <v/>
      </c>
      <c r="AH39">
        <f>IF($C39="",0,IF($M39="",0,MAX(0,$M39)*MAX(0,AH$4)/100))</f>
        <v/>
      </c>
      <c r="AI39">
        <f>IF($C39="",0,IF($M39="",0,MAX(0,$M39)*MAX(0,AI$4)/100))</f>
        <v/>
      </c>
      <c r="AJ39">
        <f>IF($C39="",0,MAX(0,MAX(0,N($L39))-$V39))</f>
        <v/>
      </c>
      <c r="AK39">
        <f>IF($C39="",0,MAX(0,$AJ39-$W39))</f>
        <v/>
      </c>
      <c r="AL39">
        <f>IF($C39="",0,MAX(0,$AK39-$X39))</f>
        <v/>
      </c>
      <c r="AM39">
        <f>IF($C39="",0,MAX(0,$AL39-$Y39))</f>
        <v/>
      </c>
      <c r="AN39">
        <f>IF($C39="",0,MAX(0,$AM39-$Z39))</f>
        <v/>
      </c>
      <c r="AO39">
        <f>IF($C39="",0,MAX(0,$AN39-$AA39))</f>
        <v/>
      </c>
      <c r="AP39">
        <f>IF($C39="",0,MAX(0,$AO39-$AB39))</f>
        <v/>
      </c>
      <c r="AQ39">
        <f>IF($C39="",0,MAX(0,$AP39-$AC39))</f>
        <v/>
      </c>
      <c r="AR39">
        <f>IF($C39="",0,MAX(0,$AQ39-$AD39))</f>
        <v/>
      </c>
      <c r="AS39">
        <f>IF($C39="",0,MAX(0,$AR39-$AE39))</f>
        <v/>
      </c>
      <c r="AT39">
        <f>IF($C39="",0,MAX(0,$AS39-$AF39))</f>
        <v/>
      </c>
      <c r="AU39">
        <f>IF($C39="",0,MAX(0,$AT39-$AG39))</f>
        <v/>
      </c>
      <c r="AV39">
        <f>IF($C39="",0,MAX(0,$AU39-$AH39))</f>
        <v/>
      </c>
      <c r="AW39">
        <f>IF($C39="",0,MAX(0,$AV39-$AI39))</f>
        <v/>
      </c>
      <c r="AX39">
        <f>IF($C39="",0,MAX(0,MAX(0,N($L39))+IF($P39=V$3,$R39,0)+IF($S39=V$3,$U39,0)-$V39))</f>
        <v/>
      </c>
      <c r="AY39">
        <f>IF($C39="",0,MAX(0,$AX39+IF($P39=W$3,$R39,0)+IF($S39=W$3,$U39,0)-$W39))</f>
        <v/>
      </c>
      <c r="AZ39">
        <f>IF($C39="",0,MAX(0,$AY39+IF($P39=X$3,$R39,0)+IF($S39=X$3,$U39,0)-$X39))</f>
        <v/>
      </c>
      <c r="BA39">
        <f>IF($C39="",0,MAX(0,$AZ39+IF($P39=Y$3,$R39,0)+IF($S39=Y$3,$U39,0)-$Y39))</f>
        <v/>
      </c>
      <c r="BB39">
        <f>IF($C39="",0,MAX(0,$BA39+IF($P39=Z$3,$R39,0)+IF($S39=Z$3,$U39,0)-$Z39))</f>
        <v/>
      </c>
      <c r="BC39">
        <f>IF($C39="",0,MAX(0,$BB39+IF($P39=AA$3,$R39,0)+IF($S39=AA$3,$U39,0)-$AA39))</f>
        <v/>
      </c>
      <c r="BD39">
        <f>IF($C39="",0,MAX(0,$BC39+IF($P39=AB$3,$R39,0)+IF($S39=AB$3,$U39,0)-$AB39))</f>
        <v/>
      </c>
      <c r="BE39">
        <f>IF($C39="",0,MAX(0,$BD39+IF($P39=AC$3,$R39,0)+IF($S39=AC$3,$U39,0)-$AC39))</f>
        <v/>
      </c>
      <c r="BF39">
        <f>IF($C39="",0,MAX(0,$BE39+IF($P39=AD$3,$R39,0)+IF($S39=AD$3,$U39,0)-$AD39))</f>
        <v/>
      </c>
      <c r="BG39">
        <f>IF($C39="",0,MAX(0,$BF39+IF($P39=AE$3,$R39,0)+IF($S39=AE$3,$U39,0)-$AE39))</f>
        <v/>
      </c>
      <c r="BH39">
        <f>IF($C39="",0,MAX(0,$BG39+IF($P39=AF$3,$R39,0)+IF($S39=AF$3,$U39,0)-$AF39))</f>
        <v/>
      </c>
      <c r="BI39">
        <f>IF($C39="",0,MAX(0,$BH39+IF($P39=AG$3,$R39,0)+IF($S39=AG$3,$U39,0)-$AG39))</f>
        <v/>
      </c>
      <c r="BJ39">
        <f>IF($C39="",0,MAX(0,$BI39+IF($P39=AH$3,$R39,0)+IF($S39=AH$3,$U39,0)-$AH39))</f>
        <v/>
      </c>
      <c r="BK39">
        <f>IF($C39="",0,MAX(0,$BJ39+IF($P39=AI$3,$R39,0)+IF($S39=AI$3,$U39,0)-$AI39))</f>
        <v/>
      </c>
      <c r="BL39">
        <f>IF($C39="",99,IF(AND($AX39&lt;1,V$3&gt;=MAX(N($P39),N($S39))),0,99))</f>
        <v/>
      </c>
      <c r="BM39">
        <f>IF($C39="",99,IF(AND($AY39&lt;1,W$3&gt;=MAX(N($P39),N($S39))),1,99))</f>
        <v/>
      </c>
      <c r="BN39">
        <f>IF($C39="",99,IF(AND($AZ39&lt;1,X$3&gt;=MAX(N($P39),N($S39))),2,99))</f>
        <v/>
      </c>
      <c r="BO39">
        <f>IF($C39="",99,IF(AND($BA39&lt;1,Y$3&gt;=MAX(N($P39),N($S39))),3,99))</f>
        <v/>
      </c>
      <c r="BP39">
        <f>IF($C39="",99,IF(AND($BB39&lt;1,Z$3&gt;=MAX(N($P39),N($S39))),4,99))</f>
        <v/>
      </c>
      <c r="BQ39">
        <f>IF($C39="",99,IF(AND($BC39&lt;1,AA$3&gt;=MAX(N($P39),N($S39))),5,99))</f>
        <v/>
      </c>
      <c r="BR39">
        <f>IF($C39="",99,IF(AND($BD39&lt;1,AB$3&gt;=MAX(N($P39),N($S39))),6,99))</f>
        <v/>
      </c>
      <c r="BS39">
        <f>IF($C39="",99,IF(AND($BE39&lt;1,AC$3&gt;=MAX(N($P39),N($S39))),7,99))</f>
        <v/>
      </c>
      <c r="BT39">
        <f>IF($C39="",99,IF(AND($BF39&lt;1,AD$3&gt;=MAX(N($P39),N($S39))),8,99))</f>
        <v/>
      </c>
      <c r="BU39">
        <f>IF($C39="",99,IF(AND($BG39&lt;1,AE$3&gt;=MAX(N($P39),N($S39))),9,99))</f>
        <v/>
      </c>
      <c r="BV39">
        <f>IF($C39="",99,IF(AND($BH39&lt;1,AF$3&gt;=MAX(N($P39),N($S39))),10,99))</f>
        <v/>
      </c>
      <c r="BW39">
        <f>IF($C39="",99,IF(AND($BI39&lt;1,AG$3&gt;=MAX(N($P39),N($S39))),11,99))</f>
        <v/>
      </c>
      <c r="BX39">
        <f>IF($C39="",99,IF(AND($BJ39&lt;1,AH$3&gt;=MAX(N($P39),N($S39))),12,99))</f>
        <v/>
      </c>
      <c r="BY39">
        <f>IF($C39="",99,IF(AND($BK39&lt;1,AI$3&gt;=MAX(N($P39),N($S39))),13,99))</f>
        <v/>
      </c>
      <c r="BZ39">
        <f>IF(OR($C39="",$M39=""),"",COUNTIF($AJ39:$AW39,"&gt;=1"))</f>
        <v/>
      </c>
      <c r="CA39" s="90">
        <f>IF($BZ39="","",IF($BZ39&gt;=14,"",'設定'!$C$6+$BZ39))</f>
        <v/>
      </c>
      <c r="CB39">
        <f>IF(OR($C39="",$M39=""),"",MIN($BL39:$BY39))</f>
        <v/>
      </c>
      <c r="CC39" s="90">
        <f>IF($CB39="","",IF($CB39&gt;=99,"",'設定'!$C$6+$CB39))</f>
        <v/>
      </c>
      <c r="CD39">
        <f>IF(OR($C39="",$M39=""),"",AVERAGE($V39:$AI39))</f>
        <v/>
      </c>
      <c r="CE39">
        <f>IF($C39="","",IFERROR(IF(MATCH(IF(ISNUMBER($P39),$P39,'設定'!$C$6+N('設定'!$C$7)),$V$3:$AI$3,0)=1,MAX(0,N($L39)),INDEX($AJ39:$AW39,MATCH(IF(ISNUMBER($P39),$P39,'設定'!$C$6+N('設定'!$C$7)),$V$3:$AI$3,0)-1)),""))</f>
        <v/>
      </c>
      <c r="CF39">
        <f>IF(OR($C39="",$O39="",$CE39=""),"",IF($O39-$CE39&lt;=0,0,ROUNDUP(($O39-$CE39)/$G39,0)))</f>
        <v/>
      </c>
      <c r="CG39">
        <f>IF(OR($C39="",$CF39="",NOT(ISNUMBER($Q39))),0,MAX(0,$Q39-$CF39))</f>
        <v/>
      </c>
      <c r="CH39">
        <f>IF(OR($C39="",$O39="",$U39=0),0,IFERROR(ROUNDUP(MAX(0,IF(MATCH($S39,$V$3:$AI$3,0)=1,MAX(0,N($L39)),INDEX($AX39:$BK39,MATCH($S39,$V$3:$AI$3,0)-1))+$U39-$O39)/$G39,0),0))</f>
        <v/>
      </c>
      <c r="CI39">
        <f>IF($C39="","",IF(AND($P39="",$Q39=""),"",IF($P39="","⚠ 入庫日を ▼ から選んでください",IF(NOT(ISNUMBER($P39)),"⚠ 入庫日は ▼ から選んでください",IF($P39&lt;N('設定'!$C$6),"⚠ 入庫日が過去です（もう在庫に入っています）→ 消してください",IF($P39&gt;N('設定'!$C$6)+13,"⚠ 入庫日が14日より先です",IF(N($Q39)&lt;=0,"⚠ 入庫数を入れてください",IF($CG39&gt;0,"⚠ 目安より "&amp;$CG39&amp;" 多い（定数を超える）→ 減らす",""))))))))</f>
        <v/>
      </c>
      <c r="CJ39">
        <f>IF($C39="","",IF(AND($S39="",$T39=""),"",IF($S39="","⚠ 2便目：入庫日を ▼ から選んでください",IF(NOT(ISNUMBER($S39)),"⚠ 2便目：入庫日は ▼ から選んでください",IF($S39&lt;N('設定'!$C$6),"⚠ 2便目：入庫日が過去です（もう在庫に入っています）→ 消してください",IF($S39&gt;N('設定'!$C$6)+13,"⚠ 2便目：入庫日が14日より先です",IF(N($T39)&lt;=0,"⚠ 2便目：入庫数を入れてください",IF($CH39&gt;0,"⚠ 2便目：定数を "&amp;$CH39&amp;" ケース超える → 減らす",""))))))))</f>
        <v/>
      </c>
      <c r="CK39">
        <f>IF(AND($CI39="",N($Q39)&gt;0,ISNUMBER($P39)),1,0)</f>
        <v/>
      </c>
      <c r="CL39">
        <f>IF(AND($CJ39="",N($T39)&gt;0,ISNUMBER($S39)),1,0)</f>
        <v/>
      </c>
      <c r="CM39">
        <f>IF(OR($CK39=1,$CL39=1),1,0)</f>
        <v/>
      </c>
      <c r="CN39">
        <f>IF($C39="",0,($CK39*$R39+$CL39*$U39)*N($H39))</f>
        <v/>
      </c>
      <c r="CO39">
        <f>IF($C39="","",IF($CC39="","入庫後は 14日以上もつ",IF($CC39-N('設定'!$C$7)&lt;='設定'!$C$6,"入庫後も "&amp;TEXT($CC39,"m/d")&amp;"("&amp;CHOOSE(WEEKDAY($CC39),"日","月","火","水","木","金","土")&amp;")"&amp;" に切れる　もう1便を至急発注","入庫後も "&amp;TEXT($CC39,"m/d")&amp;"("&amp;CHOOSE(WEEKDAY($CC39),"日","月","火","水","木","金","土")&amp;")"&amp;" に切れる　"&amp;TEXT($CC39-N('設定'!$C$7),"m/d")&amp;"("&amp;CHOOSE(WEEKDAY($CC39-N('設定'!$C$7)),"日","月","火","水","木","金","土")&amp;")"&amp;" までに次を発注")))</f>
        <v/>
      </c>
      <c r="CP39">
        <f>IF($C39="","",IF('設定'!$C$6="","？ ①在庫を貼る に今日のCSVが貼られていない",IF($CS39=1,"－ 今日のCSVに無い（終売？）",IF($L39&lt;0,"● 在庫がマイナス　数えて「数えた在庫」に入れる",IF($L39=0,"● 在庫なし　至急発注",IF($M39="","？ 減り数が未設定（商品マスタ）",IF($B$3=0,"？ 動員が未入力（動員を入れる）",IF($CA39="","○ 14日以上もつ",IF($BZ39&lt;N('設定'!$C$7),"● "&amp;TEXT($CA39,"m/d")&amp;"("&amp;CHOOSE(WEEKDAY($CA39),"日","月","火","水","木","金","土")&amp;")"&amp;" に切れる　至急発注",IF($BZ39=N('設定'!$C$7),"● "&amp;TEXT($CA39,"m/d")&amp;"("&amp;CHOOSE(WEEKDAY($CA39),"日","月","火","水","木","金","土")&amp;")"&amp;" に切れる　今日発注","△ "&amp;TEXT($CA39,"m/d")&amp;"("&amp;CHOOSE(WEEKDAY($CA39),"日","月","火","水","木","金","土")&amp;")"&amp;" に切れる　"&amp;TEXT($CA39-N('設定'!$C$7),"m/d")&amp;"("&amp;CHOOSE(WEEKDAY($CA39-N('設定'!$C$7)),"日","月","火","水","木","金","土")&amp;")"&amp;" までに発注"))))))))))</f>
        <v/>
      </c>
      <c r="CQ39">
        <f>IF($C39="","",IF(AND($P39="",$Q39="",$S39="",$T39=""),"",IF(AND($P39="",$Q39=""),"⚠ 先に1便目（左の入庫日・入庫数）に入れてください",IF($CI39&lt;&gt;"",$CI39,IF($CJ39&lt;&gt;"",$CJ39,IF($M39="","？ 減り数が未設定（発注書には載ります）",IF($B$3=0,"？ 動員が未入力（発注書には載ります）",IF(AND($CA39&lt;&gt;"",$P39&gt;$CA39),IF($P39&gt;'設定'!$C$6+N('設定'!$C$7),"● "&amp;TEXT($P39,"m/d")&amp;"("&amp;CHOOSE(WEEKDAY($P39),"日","月","火","水","木","金","土")&amp;")"&amp;" の入庫では間に合わない（"&amp;TEXT($CA39,"m/d")&amp;"("&amp;CHOOSE(WEEKDAY($CA39),"日","月","火","水","木","金","土")&amp;")"&amp;" に切れる）　入庫日を早める","△ 欠品 "&amp;TEXT($CA39,"m/d")&amp;"("&amp;CHOOSE(WEEKDAY($CA39),"日","月","火","水","木","金","土")&amp;")"&amp;"〜"&amp;TEXT($P39-1,"m/d")&amp;"("&amp;CHOOSE(WEEKDAY($P39-1),"日","月","火","水","木","金","土")&amp;")"&amp;"　"&amp;$CO39),IF($CC39="","○ "&amp;TEXT($P39,"m/d")&amp;"("&amp;CHOOSE(WEEKDAY($P39),"日","月","火","水","木","金","土")&amp;")"&amp;" 入庫で 14日以上もつ",IF($CC39-N('設定'!$C$7)&lt;='設定'!$C$6,"● 入庫しても "&amp;TEXT($CC39,"m/d")&amp;"("&amp;CHOOSE(WEEKDAY($CC39),"日","月","火","水","木","金","土")&amp;")"&amp;" に切れる　もう1便を至急発注（2便目に入れる）","△ 入庫しても "&amp;TEXT($CC39,"m/d")&amp;"("&amp;CHOOSE(WEEKDAY($CC39),"日","月","火","水","木","金","土")&amp;")"&amp;" に切れる　"&amp;TEXT($CC39-N('設定'!$C$7),"m/d")&amp;"("&amp;CHOOSE(WEEKDAY($CC39-N('設定'!$C$7)),"日","月","火","水","木","金","土")&amp;")"&amp;" までに次を発注（2便目に入れる）"))))))))))</f>
        <v/>
      </c>
      <c r="CR39">
        <f>IF($C39="","",IF($G39&gt;1,"ｹｰｽ("&amp;$G39&amp;"入)","個"))</f>
        <v/>
      </c>
      <c r="CS39">
        <f>IF($C39="",0,IF(COUNTIFS('①在庫を貼る'!$V$6:$V$10005,'設定'!$C$4,'①在庫を貼る'!$W$6:$W$10005,$C39)=0,1,0))</f>
        <v/>
      </c>
      <c r="CT39">
        <f>IF(AND($CK39=1,OR('③発注書'!$C$4="すべて",'③発注書'!$C$4="",$F39='③発注書'!$C$4)),N($CT38)+1,N($CT38))</f>
        <v/>
      </c>
      <c r="CU39">
        <f>IF(AND($CL39=1,OR('③発注書'!$C$4="すべて",'③発注書'!$C$4="",$F39='③発注書'!$C$4)),N($CU38)+1,N($CU38))</f>
        <v/>
      </c>
      <c r="CV39">
        <f>IF($C39="",0,IF(COUNTIFS('①在庫を貼る'!$V$6:$V$10005,'設定'!$C$4,'①在庫を貼る'!$W$6:$W$10005,$C39)&gt;0,1,0))</f>
        <v/>
      </c>
      <c r="CW39">
        <f>IF($C39="",0,IF(COUNTIFS('月1回_1ヶ月前の在庫'!$V$6:$V$10005,'設定'!$C$4,'月1回_1ヶ月前の在庫'!$W$6:$W$10005,$C39)&gt;0,1,0))</f>
        <v/>
      </c>
      <c r="CX39">
        <f>IF($C39="",0,IF(COUNTIFS('月1回_2ヶ月前の在庫'!$V$6:$V$10005,'設定'!$C$4,'月1回_2ヶ月前の在庫'!$W$6:$W$10005,$C39)&gt;0,1,0))</f>
        <v/>
      </c>
      <c r="CY39">
        <f>IF(OR($C39="",'設定'!$C$12=""),"",IF('設定'!$C$13="",IF(AND($CV39=1,$CW39=0),"新商品（今月から）",IF(AND($CV39=0,$CW39=1),"終売（今月から）","")),IF(AND($CV39=1,$CW39=0,$CX39=0),"新商品（今月から）",IF(AND($CV39=1,$CW39=1,$CX39=0),"新商品（先月から）",IF(AND($CV39=0,$CW39=1,$CX39=1),"終売（今月から）",IF(AND($CV39=0,$CW39=0,$CX39=1),"終売（先月から）",IF(AND($CV39=1,$CW39=0,$CX39=1),"復活（先月は無し）","")))))))</f>
        <v/>
      </c>
    </row>
    <row r="40">
      <c r="B40">
        <f>IF(35&lt;='設定'!$C$11,35,"")</f>
        <v/>
      </c>
      <c r="C40">
        <f>IF($B40="","",IF($B40&lt;='設定'!$C$20,INDEX('商品マスタ'!$B$6:$B$1005,MATCH($B40,'商品マスタ'!$M$6:$M$1005,0)),IF($B40&lt;='設定'!$C$20+'設定'!$C$17,INDEX('①在庫を貼る'!$W$6:$W$10005,MATCH($B40-'設定'!$C$20,'①在庫を貼る'!$U$6:$U$10005,0)),IF($B40&lt;='設定'!$C$20+'設定'!$C$17+'設定'!$C$18,INDEX('月1回_1ヶ月前の在庫'!$W$6:$W$10005,MATCH($B40-'設定'!$C$20-'設定'!$C$17,'月1回_1ヶ月前の在庫'!$U$6:$U$10005,0)),INDEX('月1回_2ヶ月前の在庫'!$W$6:$W$10005,MATCH($B40-'設定'!$C$20-'設定'!$C$17-'設定'!$C$18,'月1回_2ヶ月前の在庫'!$U$6:$U$10005,0))))))</f>
        <v/>
      </c>
      <c r="D40">
        <f>IF($C40="","",IFERROR(IF(INDEX('商品マスタ'!$C$6:$C$1005,MATCH($C40,'商品マスタ'!$B$6:$B$1005,0))="",IFERROR(INDEX('①在庫を貼る'!$J$6:$J$10005,MATCH($C40,'①在庫を貼る'!$W$6:$W$10005,0)),IFERROR(INDEX('月1回_1ヶ月前の在庫'!$J$6:$J$10005,MATCH($C40,'月1回_1ヶ月前の在庫'!$W$6:$W$10005,0)),IFERROR(INDEX('月1回_2ヶ月前の在庫'!$J$6:$J$10005,MATCH($C40,'月1回_2ヶ月前の在庫'!$W$6:$W$10005,0)),""))),INDEX('商品マスタ'!$C$6:$C$1005,MATCH($C40,'商品マスタ'!$B$6:$B$1005,0))),IFERROR(INDEX('①在庫を貼る'!$J$6:$J$10005,MATCH($C40,'①在庫を貼る'!$W$6:$W$10005,0)),IFERROR(INDEX('月1回_1ヶ月前の在庫'!$J$6:$J$10005,MATCH($C40,'月1回_1ヶ月前の在庫'!$W$6:$W$10005,0)),IFERROR(INDEX('月1回_2ヶ月前の在庫'!$J$6:$J$10005,MATCH($C40,'月1回_2ヶ月前の在庫'!$W$6:$W$10005,0)),"")))))</f>
        <v/>
      </c>
      <c r="E40">
        <f>IF($C40="","",IFERROR(IF(INDEX('商品マスタ'!$D$6:$D$1005,MATCH($C40,'商品マスタ'!$B$6:$B$1005,0))="",IFERROR(INDEX('①在庫を貼る'!$H$6:$H$10005,MATCH($C40,'①在庫を貼る'!$W$6:$W$10005,0)),IFERROR(INDEX('月1回_1ヶ月前の在庫'!$H$6:$H$10005,MATCH($C40,'月1回_1ヶ月前の在庫'!$W$6:$W$10005,0)),IFERROR(INDEX('月1回_2ヶ月前の在庫'!$H$6:$H$10005,MATCH($C40,'月1回_2ヶ月前の在庫'!$W$6:$W$10005,0)),""))),INDEX('商品マスタ'!$D$6:$D$1005,MATCH($C40,'商品マスタ'!$B$6:$B$1005,0))),IFERROR(INDEX('①在庫を貼る'!$H$6:$H$10005,MATCH($C40,'①在庫を貼る'!$W$6:$W$10005,0)),IFERROR(INDEX('月1回_1ヶ月前の在庫'!$H$6:$H$10005,MATCH($C40,'月1回_1ヶ月前の在庫'!$W$6:$W$10005,0)),IFERROR(INDEX('月1回_2ヶ月前の在庫'!$H$6:$H$10005,MATCH($C40,'月1回_2ヶ月前の在庫'!$W$6:$W$10005,0)),"")))))</f>
        <v/>
      </c>
      <c r="F40">
        <f>IF($C40="","",IFERROR(IF(INDEX('商品マスタ'!$E$6:$E$1005,MATCH($C40,'商品マスタ'!$B$6:$B$1005,0))="",IFERROR(INDEX('①在庫を貼る'!$E$6:$E$10005,MATCH($C40,'①在庫を貼る'!$W$6:$W$10005,0)),IFERROR(INDEX('月1回_1ヶ月前の在庫'!$E$6:$E$10005,MATCH($C40,'月1回_1ヶ月前の在庫'!$W$6:$W$10005,0)),IFERROR(INDEX('月1回_2ヶ月前の在庫'!$E$6:$E$10005,MATCH($C40,'月1回_2ヶ月前の在庫'!$W$6:$W$10005,0)),""))),INDEX('商品マスタ'!$E$6:$E$1005,MATCH($C40,'商品マスタ'!$B$6:$B$1005,0))),IFERROR(INDEX('①在庫を貼る'!$E$6:$E$10005,MATCH($C40,'①在庫を貼る'!$W$6:$W$10005,0)),IFERROR(INDEX('月1回_1ヶ月前の在庫'!$E$6:$E$10005,MATCH($C40,'月1回_1ヶ月前の在庫'!$W$6:$W$10005,0)),IFERROR(INDEX('月1回_2ヶ月前の在庫'!$E$6:$E$10005,MATCH($C40,'月1回_2ヶ月前の在庫'!$W$6:$W$10005,0)),"")))))</f>
        <v/>
      </c>
      <c r="G40">
        <f>IF($C40="","",MAX(1,N(IFERROR(IF(INDEX('商品マスタ'!$F$6:$F$1005,MATCH($C40,'商品マスタ'!$B$6:$B$1005,0))="",IF(COUNTIFS('①在庫を貼る'!$V$6:$V$10005,'設定'!$C$4,'①在庫を貼る'!$W$6:$W$10005,$C40)&gt;0,SUMIFS('①在庫を貼る'!$K$6:$K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K$6:$K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K$6:$K$10005,'月1回_2ヶ月前の在庫'!$V$6:$V$10005,'設定'!$C$4,'月1回_2ヶ月前の在庫'!$W$6:$W$10005,$C40)/COUNTIFS('月1回_2ヶ月前の在庫'!$V$6:$V$10005,'設定'!$C$4,'月1回_2ヶ月前の在庫'!$W$6:$W$10005,$C40),0))),INDEX('商品マスタ'!$F$6:$F$1005,MATCH($C40,'商品マスタ'!$B$6:$B$1005,0))),IF(COUNTIFS('①在庫を貼る'!$V$6:$V$10005,'設定'!$C$4,'①在庫を貼る'!$W$6:$W$10005,$C40)&gt;0,SUMIFS('①在庫を貼る'!$K$6:$K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K$6:$K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K$6:$K$10005,'月1回_2ヶ月前の在庫'!$V$6:$V$10005,'設定'!$C$4,'月1回_2ヶ月前の在庫'!$W$6:$W$10005,$C40)/COUNTIFS('月1回_2ヶ月前の在庫'!$V$6:$V$10005,'設定'!$C$4,'月1回_2ヶ月前の在庫'!$W$6:$W$10005,$C40),0)))))))</f>
        <v/>
      </c>
      <c r="H40">
        <f>IF($C40="","",N(IFERROR(IF(INDEX('商品マスタ'!$G$6:$G$1005,MATCH($C40,'商品マスタ'!$B$6:$B$1005,0))="",IF(COUNTIFS('①在庫を貼る'!$V$6:$V$10005,'設定'!$C$4,'①在庫を貼る'!$W$6:$W$10005,$C40)&gt;0,SUMIFS('①在庫を貼る'!$Q$6:$Q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Q$6:$Q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Q$6:$Q$10005,'月1回_2ヶ月前の在庫'!$V$6:$V$10005,'設定'!$C$4,'月1回_2ヶ月前の在庫'!$W$6:$W$10005,$C40)/COUNTIFS('月1回_2ヶ月前の在庫'!$V$6:$V$10005,'設定'!$C$4,'月1回_2ヶ月前の在庫'!$W$6:$W$10005,$C40),0))),INDEX('商品マスタ'!$G$6:$G$1005,MATCH($C40,'商品マスタ'!$B$6:$B$1005,0))),IF(COUNTIFS('①在庫を貼る'!$V$6:$V$10005,'設定'!$C$4,'①在庫を貼る'!$W$6:$W$10005,$C40)&gt;0,SUMIFS('①在庫を貼る'!$Q$6:$Q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Q$6:$Q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Q$6:$Q$10005,'月1回_2ヶ月前の在庫'!$V$6:$V$10005,'設定'!$C$4,'月1回_2ヶ月前の在庫'!$W$6:$W$10005,$C40)/COUNTIFS('月1回_2ヶ月前の在庫'!$V$6:$V$10005,'設定'!$C$4,'月1回_2ヶ月前の在庫'!$W$6:$W$10005,$C40),0))))))</f>
        <v/>
      </c>
      <c r="I40">
        <f>IF($C40="","",IF(COUNTIFS('①在庫を貼る'!$V$6:$V$10005,'設定'!$C$4,'①在庫を貼る'!$W$6:$W$10005,$C40)=0,"",SUMIFS('①在庫を貼る'!$N$6:$N$10005,'①在庫を貼る'!$V$6:$V$10005,'設定'!$C$4,'①在庫を貼る'!$W$6:$W$10005,$C40)))</f>
        <v/>
      </c>
      <c r="J40">
        <f>IF($C40="","",IF('②発注する'!$AD44="","",'②発注する'!$AD44))</f>
        <v/>
      </c>
      <c r="K40" s="90">
        <f>IF($C40="","",IF('②発注する'!$AE44="","",'②発注する'!$AE44))</f>
        <v/>
      </c>
      <c r="L40">
        <f>IF($C40="","",IF(AND(ISNUMBER($J40),ISNUMBER($K40),$K40&gt;='設定'!$C$6),$J40,N($I40)))</f>
        <v/>
      </c>
      <c r="M40">
        <f>IF($C40="","",IFERROR(IF(N(INDEX('商品マスタ'!$J$6:$J$1005,MATCH($C40,'商品マスタ'!$B$6:$B$1005,0)))&gt;0,INDEX('商品マスタ'!$J$6:$J$1005,MATCH($C40,'商品マスタ'!$B$6:$B$1005,0)),""),""))</f>
        <v/>
      </c>
      <c r="N40">
        <f>IF($C40="","",IFERROR(IF(N(INDEX('商品マスタ'!$H$6:$H$1005,MATCH($C40,'商品マスタ'!$B$6:$B$1005,0)))&gt;0,INDEX('商品マスタ'!$H$6:$H$1005,MATCH($C40,'商品マスタ'!$B$6:$B$1005,0)),""),""))</f>
        <v/>
      </c>
      <c r="O40">
        <f>IF($C40="","",IF($N40&lt;&gt;"",$N40*$G40,IF(N(IF(COUNTIFS('①在庫を貼る'!$V$6:$V$10005,'設定'!$C$4,'①在庫を貼る'!$W$6:$W$10005,$C40)&gt;0,SUMIFS('①在庫を貼る'!$O$6:$O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O$6:$O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O$6:$O$10005,'月1回_2ヶ月前の在庫'!$V$6:$V$10005,'設定'!$C$4,'月1回_2ヶ月前の在庫'!$W$6:$W$10005,$C40)/COUNTIFS('月1回_2ヶ月前の在庫'!$V$6:$V$10005,'設定'!$C$4,'月1回_2ヶ月前の在庫'!$W$6:$W$10005,$C40),0))))&gt;0,N(IF(COUNTIFS('①在庫を貼る'!$V$6:$V$10005,'設定'!$C$4,'①在庫を貼る'!$W$6:$W$10005,$C40)&gt;0,SUMIFS('①在庫を貼る'!$O$6:$O$10005,'①在庫を貼る'!$V$6:$V$10005,'設定'!$C$4,'①在庫を貼る'!$W$6:$W$10005,$C40)/COUNTIFS('①在庫を貼る'!$V$6:$V$10005,'設定'!$C$4,'①在庫を貼る'!$W$6:$W$10005,$C40),IF(COUNTIFS('月1回_1ヶ月前の在庫'!$V$6:$V$10005,'設定'!$C$4,'月1回_1ヶ月前の在庫'!$W$6:$W$10005,$C40)&gt;0,SUMIFS('月1回_1ヶ月前の在庫'!$O$6:$O$10005,'月1回_1ヶ月前の在庫'!$V$6:$V$10005,'設定'!$C$4,'月1回_1ヶ月前の在庫'!$W$6:$W$10005,$C40)/COUNTIFS('月1回_1ヶ月前の在庫'!$V$6:$V$10005,'設定'!$C$4,'月1回_1ヶ月前の在庫'!$W$6:$W$10005,$C40),IF(COUNTIFS('月1回_2ヶ月前の在庫'!$V$6:$V$10005,'設定'!$C$4,'月1回_2ヶ月前の在庫'!$W$6:$W$10005,$C40)&gt;0,SUMIFS('月1回_2ヶ月前の在庫'!$O$6:$O$10005,'月1回_2ヶ月前の在庫'!$V$6:$V$10005,'設定'!$C$4,'月1回_2ヶ月前の在庫'!$W$6:$W$10005,$C40)/COUNTIFS('月1回_2ヶ月前の在庫'!$V$6:$V$10005,'設定'!$C$4,'月1回_2ヶ月前の在庫'!$W$6:$W$10005,$C40),0)))),"")))</f>
        <v/>
      </c>
      <c r="P40" s="90">
        <f>IF($C40="","",IF('②発注する'!$I44="","",'②発注する'!$I44))</f>
        <v/>
      </c>
      <c r="Q40">
        <f>IF($C40="","",IF('②発注する'!$J44="","",'②発注する'!$J44))</f>
        <v/>
      </c>
      <c r="R40">
        <f>IF($C40="",0,IF(AND(ISNUMBER($P40),ISNUMBER($Q40)),MAX(0,$Q40)*$G40,0))</f>
        <v/>
      </c>
      <c r="S40" s="90">
        <f>IF($C40="","",IF('②発注する'!$M44="","",'②発注する'!$M44))</f>
        <v/>
      </c>
      <c r="T40">
        <f>IF($C40="","",IF('②発注する'!$N44="","",'②発注する'!$N44))</f>
        <v/>
      </c>
      <c r="U40">
        <f>IF($C40="",0,IF(AND(ISNUMBER($S40),ISNUMBER($T40)),MAX(0,$T40)*$G40,0))</f>
        <v/>
      </c>
      <c r="V40">
        <f>IF($C40="",0,IF($M40="",0,MAX(0,$M40)*MAX(0,V$4)/100))</f>
        <v/>
      </c>
      <c r="W40">
        <f>IF($C40="",0,IF($M40="",0,MAX(0,$M40)*MAX(0,W$4)/100))</f>
        <v/>
      </c>
      <c r="X40">
        <f>IF($C40="",0,IF($M40="",0,MAX(0,$M40)*MAX(0,X$4)/100))</f>
        <v/>
      </c>
      <c r="Y40">
        <f>IF($C40="",0,IF($M40="",0,MAX(0,$M40)*MAX(0,Y$4)/100))</f>
        <v/>
      </c>
      <c r="Z40">
        <f>IF($C40="",0,IF($M40="",0,MAX(0,$M40)*MAX(0,Z$4)/100))</f>
        <v/>
      </c>
      <c r="AA40">
        <f>IF($C40="",0,IF($M40="",0,MAX(0,$M40)*MAX(0,AA$4)/100))</f>
        <v/>
      </c>
      <c r="AB40">
        <f>IF($C40="",0,IF($M40="",0,MAX(0,$M40)*MAX(0,AB$4)/100))</f>
        <v/>
      </c>
      <c r="AC40">
        <f>IF($C40="",0,IF($M40="",0,MAX(0,$M40)*MAX(0,AC$4)/100))</f>
        <v/>
      </c>
      <c r="AD40">
        <f>IF($C40="",0,IF($M40="",0,MAX(0,$M40)*MAX(0,AD$4)/100))</f>
        <v/>
      </c>
      <c r="AE40">
        <f>IF($C40="",0,IF($M40="",0,MAX(0,$M40)*MAX(0,AE$4)/100))</f>
        <v/>
      </c>
      <c r="AF40">
        <f>IF($C40="",0,IF($M40="",0,MAX(0,$M40)*MAX(0,AF$4)/100))</f>
        <v/>
      </c>
      <c r="AG40">
        <f>IF($C40="",0,IF($M40="",0,MAX(0,$M40)*MAX(0,AG$4)/100))</f>
        <v/>
      </c>
      <c r="AH40">
        <f>IF($C40="",0,IF($M40="",0,MAX(0,$M40)*MAX(0,AH$4)/100))</f>
        <v/>
      </c>
      <c r="AI40">
        <f>IF($C40="",0,IF($M40="",0,MAX(0,$M40)*MAX(0,AI$4)/100))</f>
        <v/>
      </c>
      <c r="AJ40">
        <f>IF($C40="",0,MAX(0,MAX(0,N($L40))-$V40))</f>
        <v/>
      </c>
      <c r="AK40">
        <f>IF($C40="",0,MAX(0,$AJ40-$W40))</f>
        <v/>
      </c>
      <c r="AL40">
        <f>IF($C40="",0,MAX(0,$AK40-$X40))</f>
        <v/>
      </c>
      <c r="AM40">
        <f>IF($C40="",0,MAX(0,$AL40-$Y40))</f>
        <v/>
      </c>
      <c r="AN40">
        <f>IF($C40="",0,MAX(0,$AM40-$Z40))</f>
        <v/>
      </c>
      <c r="AO40">
        <f>IF($C40="",0,MAX(0,$AN40-$AA40))</f>
        <v/>
      </c>
      <c r="AP40">
        <f>IF($C40="",0,MAX(0,$AO40-$AB40))</f>
        <v/>
      </c>
      <c r="AQ40">
        <f>IF($C40="",0,MAX(0,$AP40-$AC40))</f>
        <v/>
      </c>
      <c r="AR40">
        <f>IF($C40="",0,MAX(0,$AQ40-$AD40))</f>
        <v/>
      </c>
      <c r="AS40">
        <f>IF($C40="",0,MAX(0,$AR40-$AE40))</f>
        <v/>
      </c>
      <c r="AT40">
        <f>IF($C40="",0,MAX(0,$AS40-$AF40))</f>
        <v/>
      </c>
      <c r="AU40">
        <f>IF($C40="",0,MAX(0,$AT40-$AG40))</f>
        <v/>
      </c>
      <c r="AV40">
        <f>IF($C40="",0,MAX(0,$AU40-$AH40))</f>
        <v/>
      </c>
      <c r="AW40">
        <f>IF($C40="",0,MAX(0,$AV40-$AI40))</f>
        <v/>
      </c>
      <c r="AX40">
        <f>IF($C40="",0,MAX(0,MAX(0,N($L40))+IF($P40=V$3,$R40,0)+IF($S40=V$3,$U40,0)-$V40))</f>
        <v/>
      </c>
      <c r="AY40">
        <f>IF($C40="",0,MAX(0,$AX40+IF($P40=W$3,$R40,0)+IF($S40=W$3,$U40,0)-$W40))</f>
        <v/>
      </c>
      <c r="AZ40">
        <f>IF($C40="",0,MAX(0,$AY40+IF($P40=X$3,$R40,0)+IF($S40=X$3,$U40,0)-$X40))</f>
        <v/>
      </c>
      <c r="BA40">
        <f>IF($C40="",0,MAX(0,$AZ40+IF($P40=Y$3,$R40,0)+IF($S40=Y$3,$U40,0)-$Y40))</f>
        <v/>
      </c>
      <c r="BB40">
        <f>IF($C40="",0,MAX(0,$BA40+IF($P40=Z$3,$R40,0)+IF($S40=Z$3,$U40,0)-$Z40))</f>
        <v/>
      </c>
      <c r="BC40">
        <f>IF($C40="",0,MAX(0,$BB40+IF($P40=AA$3,$R40,0)+IF($S40=AA$3,$U40,0)-$AA40))</f>
        <v/>
      </c>
      <c r="BD40">
        <f>IF($C40="",0,MAX(0,$BC40+IF($P40=AB$3,$R40,0)+IF($S40=AB$3,$U40,0)-$AB40))</f>
        <v/>
      </c>
      <c r="BE40">
        <f>IF($C40="",0,MAX(0,$BD40+IF($P40=AC$3,$R40,0)+IF($S40=AC$3,$U40,0)-$AC40))</f>
        <v/>
      </c>
      <c r="BF40">
        <f>IF($C40="",0,MAX(0,$BE40+IF($P40=AD$3,$R40,0)+IF($S40=AD$3,$U40,0)-$AD40))</f>
        <v/>
      </c>
      <c r="BG40">
        <f>IF($C40="",0,MAX(0,$BF40+IF($P40=AE$3,$R40,0)+IF($S40=AE$3,$U40,0)-$AE40))</f>
        <v/>
      </c>
      <c r="BH40">
        <f>IF($C40="",0,MAX(0,$BG40+IF($P40=AF$3,$R40,0)+IF($S40=AF$3,$U40,0)-$AF40))</f>
        <v/>
      </c>
      <c r="BI40">
        <f>IF($C40="",0,MAX(0,$BH40+IF($P40=AG$3,$R40,0)+IF($S40=AG$3,$U40,0)-$AG40))</f>
        <v/>
      </c>
      <c r="BJ40">
        <f>IF($C40="",0,MAX(0,$BI40+IF($P40=AH$3,$R40,0)+IF($S40=AH$3,$U40,0)-$AH40))</f>
        <v/>
      </c>
      <c r="BK40">
        <f>IF($C40="",0,MAX(0,$BJ40+IF($P40=AI$3,$R40,0)+IF($S40=AI$3,$U40,0)-$AI40))</f>
        <v/>
      </c>
      <c r="BL40">
        <f>IF($C40="",99,IF(AND($AX40&lt;1,V$3&gt;=MAX(N($P40),N($S40))),0,99))</f>
        <v/>
      </c>
      <c r="BM40">
        <f>IF($C40="",99,IF(AND($AY40&lt;1,W$3&gt;=MAX(N($P40),N($S40))),1,99))</f>
        <v/>
      </c>
      <c r="BN40">
        <f>IF($C40="",99,IF(AND($AZ40&lt;1,X$3&gt;=MAX(N($P40),N($S40))),2,99))</f>
        <v/>
      </c>
      <c r="BO40">
        <f>IF($C40="",99,IF(AND($BA40&lt;1,Y$3&gt;=MAX(N($P40),N($S40))),3,99))</f>
        <v/>
      </c>
      <c r="BP40">
        <f>IF($C40="",99,IF(AND($BB40&lt;1,Z$3&gt;=MAX(N($P40),N($S40))),4,99))</f>
        <v/>
      </c>
      <c r="BQ40">
        <f>IF($C40="",99,IF(AND($BC40&lt;1,AA$3&gt;=MAX(N($P40),N($S40))),5,99))</f>
        <v/>
      </c>
      <c r="BR40">
        <f>IF($C40="",99,IF(AND($BD40&lt;1,AB$3&gt;=MAX(N($P40),N($S40))),6,99))</f>
        <v/>
      </c>
      <c r="BS40">
        <f>IF($C40="",99,IF(AND($BE40&lt;1,AC$3&gt;=MAX(N($P40),N($S40))),7,99))</f>
        <v/>
      </c>
      <c r="BT40">
        <f>IF($C40="",99,IF(AND($BF40&lt;1,AD$3&gt;=MAX(N($P40),N($S40))),8,99))</f>
        <v/>
      </c>
      <c r="BU40">
        <f>IF($C40="",99,IF(AND($BG40&lt;1,AE$3&gt;=MAX(N($P40),N($S40))),9,99))</f>
        <v/>
      </c>
      <c r="BV40">
        <f>IF($C40="",99,IF(AND($BH40&lt;1,AF$3&gt;=MAX(N($P40),N($S40))),10,99))</f>
        <v/>
      </c>
      <c r="BW40">
        <f>IF($C40="",99,IF(AND($BI40&lt;1,AG$3&gt;=MAX(N($P40),N($S40))),11,99))</f>
        <v/>
      </c>
      <c r="BX40">
        <f>IF($C40="",99,IF(AND($BJ40&lt;1,AH$3&gt;=MAX(N($P40),N($S40))),12,99))</f>
        <v/>
      </c>
      <c r="BY40">
        <f>IF($C40="",99,IF(AND($BK40&lt;1,AI$3&gt;=MAX(N($P40),N($S40))),13,99))</f>
        <v/>
      </c>
      <c r="BZ40">
        <f>IF(OR($C40="",$M40=""),"",COUNTIF($AJ40:$AW40,"&gt;=1"))</f>
        <v/>
      </c>
      <c r="CA40" s="90">
        <f>IF($BZ40="","",IF($BZ40&gt;=14,"",'設定'!$C$6+$BZ40))</f>
        <v/>
      </c>
      <c r="CB40">
        <f>IF(OR($C40="",$M40=""),"",MIN($BL40:$BY40))</f>
        <v/>
      </c>
      <c r="CC40" s="90">
        <f>IF($CB40="","",IF($CB40&gt;=99,"",'設定'!$C$6+$CB40))</f>
        <v/>
      </c>
      <c r="CD40">
        <f>IF(OR($C40="",$M40=""),"",AVERAGE($V40:$AI40))</f>
        <v/>
      </c>
      <c r="CE40">
        <f>IF($C40="","",IFERROR(IF(MATCH(IF(ISNUMBER($P40),$P40,'設定'!$C$6+N('設定'!$C$7)),$V$3:$AI$3,0)=1,MAX(0,N($L40)),INDEX($AJ40:$AW40,MATCH(IF(ISNUMBER($P40),$P40,'設定'!$C$6+N('設定'!$C$7)),$V$3:$AI$3,0)-1)),""))</f>
        <v/>
      </c>
      <c r="CF40">
        <f>IF(OR($C40="",$O40="",$CE40=""),"",IF($O40-$CE40&lt;=0,0,ROUNDUP(($O40-$CE40)/$G40,0)))</f>
        <v/>
      </c>
      <c r="CG40">
        <f>IF(OR($C40="",$CF40="",NOT(ISNUMBER($Q40))),0,MAX(0,$Q40-$CF40))</f>
        <v/>
      </c>
      <c r="CH40">
        <f>IF(OR($C40="",$O40="",$U40=0),0,IFERROR(ROUNDUP(MAX(0,IF(MATCH($S40,$V$3:$AI$3,0)=1,MAX(0,N($L40)),INDEX($AX40:$BK40,MATCH($S40,$V$3:$AI$3,0)-1))+$U40-$O40)/$G40,0),0))</f>
        <v/>
      </c>
      <c r="CI40">
        <f>IF($C40="","",IF(AND($P40="",$Q40=""),"",IF($P40="","⚠ 入庫日を ▼ から選んでください",IF(NOT(ISNUMBER($P40)),"⚠ 入庫日は ▼ から選んでください",IF($P40&lt;N('設定'!$C$6),"⚠ 入庫日が過去です（もう在庫に入っています）→ 消してください",IF($P40&gt;N('設定'!$C$6)+13,"⚠ 入庫日が14日より先です",IF(N($Q40)&lt;=0,"⚠ 入庫数を入れてください",IF($CG40&gt;0,"⚠ 目安より "&amp;$CG40&amp;" 多い（定数を超える）→ 減らす",""))))))))</f>
        <v/>
      </c>
      <c r="CJ40">
        <f>IF($C40="","",IF(AND($S40="",$T40=""),"",IF($S40="","⚠ 2便目：入庫日を ▼ から選んでください",IF(NOT(ISNUMBER($S40)),"⚠ 2便目：入庫日は ▼ から選んでください",IF($S40&lt;N('設定'!$C$6),"⚠ 2便目：入庫日が過去です（もう在庫に入っています）→ 消してください",IF($S40&gt;N('設定'!$C$6)+13,"⚠ 2便目：入庫日が14日より先です",IF(N($T40)&lt;=0,"⚠ 2便目：入庫数を入れてください",IF($CH40&gt;0,"⚠ 2便目：定数を "&amp;$CH40&amp;" ケース超える → 減らす",""))))))))</f>
        <v/>
      </c>
      <c r="CK40">
        <f>IF(AND($CI40="",N($Q40)&gt;0,ISNUMBER($P40)),1,0)</f>
        <v/>
      </c>
      <c r="CL40">
        <f>IF(AND($CJ40="",N($T40)&gt;0,ISNUMBER($S40)),1,0)</f>
        <v/>
      </c>
      <c r="CM40">
        <f>IF(OR($CK40=1,$CL40=1),1,0)</f>
        <v/>
      </c>
      <c r="CN40">
        <f>IF($C40="",0,($CK40*$R40+$CL40*$U40)*N($H40))</f>
        <v/>
      </c>
      <c r="CO40">
        <f>IF($C40="","",IF($CC40="","入庫後は 14日以上もつ",IF($CC40-N('設定'!$C$7)&lt;='設定'!$C$6,"入庫後も "&amp;TEXT($CC40,"m/d")&amp;"("&amp;CHOOSE(WEEKDAY($CC40),"日","月","火","水","木","金","土")&amp;")"&amp;" に切れる　もう1便を至急発注","入庫後も "&amp;TEXT($CC40,"m/d")&amp;"("&amp;CHOOSE(WEEKDAY($CC40),"日","月","火","水","木","金","土")&amp;")"&amp;" に切れる　"&amp;TEXT($CC40-N('設定'!$C$7),"m/d")&amp;"("&amp;CHOOSE(WEEKDAY($CC40-N('設定'!$C$7)),"日","月","火","水","木","金","土")&amp;")"&amp;" までに次を発注")))</f>
        <v/>
      </c>
      <c r="CP40">
        <f>IF($C40="","",IF('設定'!$C$6="","？ ①在庫を貼る に今日のCSVが貼られていない",IF($CS40=1,"－ 今日のCSVに無い（終売？）",IF($L40&lt;0,"● 在庫がマイナス　数えて「数えた在庫」に入れる",IF($L40=0,"● 在庫なし　至急発注",IF($M40="","？ 減り数が未設定（商品マスタ）",IF($B$3=0,"？ 動員が未入力（動員を入れる）",IF($CA40="","○ 14日以上もつ",IF($BZ40&lt;N('設定'!$C$7),"● "&amp;TEXT($CA40,"m/d")&amp;"("&amp;CHOOSE(WEEKDAY($CA40),"日","月","火","水","木","金","土")&amp;")"&amp;" に切れる　至急発注",IF($BZ40=N('設定'!$C$7),"● "&amp;TEXT($CA40,"m/d")&amp;"("&amp;CHOOSE(WEEKDAY($CA40),"日","月","火","水","木","金","土")&amp;")"&amp;" に切れる　今日発注","△ "&amp;TEXT($CA40,"m/d")&amp;"("&amp;CHOOSE(WEEKDAY($CA40),"日","月","火","水","木","金","土")&amp;")"&amp;" に切れる　"&amp;TEXT($CA40-N('設定'!$C$7),"m/d")&amp;"("&amp;CHOOSE(WEEKDAY($CA40-N('設定'!$C$7)),"日","月","火","水","木","金","土")&amp;")"&amp;" までに発注"))))))))))</f>
        <v/>
      </c>
      <c r="CQ40">
        <f>IF($C40="","",IF(AND($P40="",$Q40="",$S40="",$T40=""),"",IF(AND($P40="",$Q40=""),"⚠ 先に1便目（左の入庫日・入庫数）に入れてください",IF($CI40&lt;&gt;"",$CI40,IF($CJ40&lt;&gt;"",$CJ40,IF($M40="","？ 減り数が未設定（発注書には載ります）",IF($B$3=0,"？ 動員が未入力（発注書には載ります）",IF(AND($CA40&lt;&gt;"",$P40&gt;$CA40),IF($P40&gt;'設定'!$C$6+N('設定'!$C$7),"● "&amp;TEXT($P40,"m/d")&amp;"("&amp;CHOOSE(WEEKDAY($P40),"日","月","火","水","木","金","土")&amp;")"&amp;" の入庫では間に合わない（"&amp;TEXT($CA40,"m/d")&amp;"("&amp;CHOOSE(WEEKDAY($CA40),"日","月","火","水","木","金","土")&amp;")"&amp;" に切れる）　入庫日を早める","△ 欠品 "&amp;TEXT($CA40,"m/d")&amp;"("&amp;CHOOSE(WEEKDAY($CA40),"日","月","火","水","木","金","土")&amp;")"&amp;"〜"&amp;TEXT($P40-1,"m/d")&amp;"("&amp;CHOOSE(WEEKDAY($P40-1),"日","月","火","水","木","金","土")&amp;")"&amp;"　"&amp;$CO40),IF($CC40="","○ "&amp;TEXT($P40,"m/d")&amp;"("&amp;CHOOSE(WEEKDAY($P40),"日","月","火","水","木","金","土")&amp;")"&amp;" 入庫で 14日以上もつ",IF($CC40-N('設定'!$C$7)&lt;='設定'!$C$6,"● 入庫しても "&amp;TEXT($CC40,"m/d")&amp;"("&amp;CHOOSE(WEEKDAY($CC40),"日","月","火","水","木","金","土")&amp;")"&amp;" に切れる　もう1便を至急発注（2便目に入れる）","△ 入庫しても "&amp;TEXT($CC40,"m/d")&amp;"("&amp;CHOOSE(WEEKDAY($CC40),"日","月","火","水","木","金","土")&amp;")"&amp;" に切れる　"&amp;TEXT($CC40-N('設定'!$C$7),"m/d")&amp;"("&amp;CHOOSE(WEEKDAY($CC40-N('設定'!$C$7)),"日","月","火","水","木","金","土")&amp;")"&amp;" までに次を発注（2便目に入れる）"))))))))))</f>
        <v/>
      </c>
      <c r="CR40">
        <f>IF($C40="","",IF($G40&gt;1,"ｹｰｽ("&amp;$G40&amp;"入)","個"))</f>
        <v/>
      </c>
      <c r="CS40">
        <f>IF($C40="",0,IF(COUNTIFS('①在庫を貼る'!$V$6:$V$10005,'設定'!$C$4,'①在庫を貼る'!$W$6:$W$10005,$C40)=0,1,0))</f>
        <v/>
      </c>
      <c r="CT40">
        <f>IF(AND($CK40=1,OR('③発注書'!$C$4="すべて",'③発注書'!$C$4="",$F40='③発注書'!$C$4)),N($CT39)+1,N($CT39))</f>
        <v/>
      </c>
      <c r="CU40">
        <f>IF(AND($CL40=1,OR('③発注書'!$C$4="すべて",'③発注書'!$C$4="",$F40='③発注書'!$C$4)),N($CU39)+1,N($CU39))</f>
        <v/>
      </c>
      <c r="CV40">
        <f>IF($C40="",0,IF(COUNTIFS('①在庫を貼る'!$V$6:$V$10005,'設定'!$C$4,'①在庫を貼る'!$W$6:$W$10005,$C40)&gt;0,1,0))</f>
        <v/>
      </c>
      <c r="CW40">
        <f>IF($C40="",0,IF(COUNTIFS('月1回_1ヶ月前の在庫'!$V$6:$V$10005,'設定'!$C$4,'月1回_1ヶ月前の在庫'!$W$6:$W$10005,$C40)&gt;0,1,0))</f>
        <v/>
      </c>
      <c r="CX40">
        <f>IF($C40="",0,IF(COUNTIFS('月1回_2ヶ月前の在庫'!$V$6:$V$10005,'設定'!$C$4,'月1回_2ヶ月前の在庫'!$W$6:$W$10005,$C40)&gt;0,1,0))</f>
        <v/>
      </c>
      <c r="CY40">
        <f>IF(OR($C40="",'設定'!$C$12=""),"",IF('設定'!$C$13="",IF(AND($CV40=1,$CW40=0),"新商品（今月から）",IF(AND($CV40=0,$CW40=1),"終売（今月から）","")),IF(AND($CV40=1,$CW40=0,$CX40=0),"新商品（今月から）",IF(AND($CV40=1,$CW40=1,$CX40=0),"新商品（先月から）",IF(AND($CV40=0,$CW40=1,$CX40=1),"終売（今月から）",IF(AND($CV40=0,$CW40=0,$CX40=1),"終売（先月から）",IF(AND($CV40=1,$CW40=0,$CX40=1),"復活（先月は無し）","")))))))</f>
        <v/>
      </c>
    </row>
    <row r="41">
      <c r="B41">
        <f>IF(36&lt;='設定'!$C$11,36,"")</f>
        <v/>
      </c>
      <c r="C41">
        <f>IF($B41="","",IF($B41&lt;='設定'!$C$20,INDEX('商品マスタ'!$B$6:$B$1005,MATCH($B41,'商品マスタ'!$M$6:$M$1005,0)),IF($B41&lt;='設定'!$C$20+'設定'!$C$17,INDEX('①在庫を貼る'!$W$6:$W$10005,MATCH($B41-'設定'!$C$20,'①在庫を貼る'!$U$6:$U$10005,0)),IF($B41&lt;='設定'!$C$20+'設定'!$C$17+'設定'!$C$18,INDEX('月1回_1ヶ月前の在庫'!$W$6:$W$10005,MATCH($B41-'設定'!$C$20-'設定'!$C$17,'月1回_1ヶ月前の在庫'!$U$6:$U$10005,0)),INDEX('月1回_2ヶ月前の在庫'!$W$6:$W$10005,MATCH($B41-'設定'!$C$20-'設定'!$C$17-'設定'!$C$18,'月1回_2ヶ月前の在庫'!$U$6:$U$10005,0))))))</f>
        <v/>
      </c>
      <c r="D41">
        <f>IF($C41="","",IFERROR(IF(INDEX('商品マスタ'!$C$6:$C$1005,MATCH($C41,'商品マスタ'!$B$6:$B$1005,0))="",IFERROR(INDEX('①在庫を貼る'!$J$6:$J$10005,MATCH($C41,'①在庫を貼る'!$W$6:$W$10005,0)),IFERROR(INDEX('月1回_1ヶ月前の在庫'!$J$6:$J$10005,MATCH($C41,'月1回_1ヶ月前の在庫'!$W$6:$W$10005,0)),IFERROR(INDEX('月1回_2ヶ月前の在庫'!$J$6:$J$10005,MATCH($C41,'月1回_2ヶ月前の在庫'!$W$6:$W$10005,0)),""))),INDEX('商品マスタ'!$C$6:$C$1005,MATCH($C41,'商品マスタ'!$B$6:$B$1005,0))),IFERROR(INDEX('①在庫を貼る'!$J$6:$J$10005,MATCH($C41,'①在庫を貼る'!$W$6:$W$10005,0)),IFERROR(INDEX('月1回_1ヶ月前の在庫'!$J$6:$J$10005,MATCH($C41,'月1回_1ヶ月前の在庫'!$W$6:$W$10005,0)),IFERROR(INDEX('月1回_2ヶ月前の在庫'!$J$6:$J$10005,MATCH($C41,'月1回_2ヶ月前の在庫'!$W$6:$W$10005,0)),"")))))</f>
        <v/>
      </c>
      <c r="E41">
        <f>IF($C41="","",IFERROR(IF(INDEX('商品マスタ'!$D$6:$D$1005,MATCH($C41,'商品マスタ'!$B$6:$B$1005,0))="",IFERROR(INDEX('①在庫を貼る'!$H$6:$H$10005,MATCH($C41,'①在庫を貼る'!$W$6:$W$10005,0)),IFERROR(INDEX('月1回_1ヶ月前の在庫'!$H$6:$H$10005,MATCH($C41,'月1回_1ヶ月前の在庫'!$W$6:$W$10005,0)),IFERROR(INDEX('月1回_2ヶ月前の在庫'!$H$6:$H$10005,MATCH($C41,'月1回_2ヶ月前の在庫'!$W$6:$W$10005,0)),""))),INDEX('商品マスタ'!$D$6:$D$1005,MATCH($C41,'商品マスタ'!$B$6:$B$1005,0))),IFERROR(INDEX('①在庫を貼る'!$H$6:$H$10005,MATCH($C41,'①在庫を貼る'!$W$6:$W$10005,0)),IFERROR(INDEX('月1回_1ヶ月前の在庫'!$H$6:$H$10005,MATCH($C41,'月1回_1ヶ月前の在庫'!$W$6:$W$10005,0)),IFERROR(INDEX('月1回_2ヶ月前の在庫'!$H$6:$H$10005,MATCH($C41,'月1回_2ヶ月前の在庫'!$W$6:$W$10005,0)),"")))))</f>
        <v/>
      </c>
      <c r="F41">
        <f>IF($C41="","",IFERROR(IF(INDEX('商品マスタ'!$E$6:$E$1005,MATCH($C41,'商品マスタ'!$B$6:$B$1005,0))="",IFERROR(INDEX('①在庫を貼る'!$E$6:$E$10005,MATCH($C41,'①在庫を貼る'!$W$6:$W$10005,0)),IFERROR(INDEX('月1回_1ヶ月前の在庫'!$E$6:$E$10005,MATCH($C41,'月1回_1ヶ月前の在庫'!$W$6:$W$10005,0)),IFERROR(INDEX('月1回_2ヶ月前の在庫'!$E$6:$E$10005,MATCH($C41,'月1回_2ヶ月前の在庫'!$W$6:$W$10005,0)),""))),INDEX('商品マスタ'!$E$6:$E$1005,MATCH($C41,'商品マスタ'!$B$6:$B$1005,0))),IFERROR(INDEX('①在庫を貼る'!$E$6:$E$10005,MATCH($C41,'①在庫を貼る'!$W$6:$W$10005,0)),IFERROR(INDEX('月1回_1ヶ月前の在庫'!$E$6:$E$10005,MATCH($C41,'月1回_1ヶ月前の在庫'!$W$6:$W$10005,0)),IFERROR(INDEX('月1回_2ヶ月前の在庫'!$E$6:$E$10005,MATCH($C41,'月1回_2ヶ月前の在庫'!$W$6:$W$10005,0)),"")))))</f>
        <v/>
      </c>
      <c r="G41">
        <f>IF($C41="","",MAX(1,N(IFERROR(IF(INDEX('商品マスタ'!$F$6:$F$1005,MATCH($C41,'商品マスタ'!$B$6:$B$1005,0))="",IF(COUNTIFS('①在庫を貼る'!$V$6:$V$10005,'設定'!$C$4,'①在庫を貼る'!$W$6:$W$10005,$C41)&gt;0,SUMIFS('①在庫を貼る'!$K$6:$K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K$6:$K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K$6:$K$10005,'月1回_2ヶ月前の在庫'!$V$6:$V$10005,'設定'!$C$4,'月1回_2ヶ月前の在庫'!$W$6:$W$10005,$C41)/COUNTIFS('月1回_2ヶ月前の在庫'!$V$6:$V$10005,'設定'!$C$4,'月1回_2ヶ月前の在庫'!$W$6:$W$10005,$C41),0))),INDEX('商品マスタ'!$F$6:$F$1005,MATCH($C41,'商品マスタ'!$B$6:$B$1005,0))),IF(COUNTIFS('①在庫を貼る'!$V$6:$V$10005,'設定'!$C$4,'①在庫を貼る'!$W$6:$W$10005,$C41)&gt;0,SUMIFS('①在庫を貼る'!$K$6:$K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K$6:$K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K$6:$K$10005,'月1回_2ヶ月前の在庫'!$V$6:$V$10005,'設定'!$C$4,'月1回_2ヶ月前の在庫'!$W$6:$W$10005,$C41)/COUNTIFS('月1回_2ヶ月前の在庫'!$V$6:$V$10005,'設定'!$C$4,'月1回_2ヶ月前の在庫'!$W$6:$W$10005,$C41),0)))))))</f>
        <v/>
      </c>
      <c r="H41">
        <f>IF($C41="","",N(IFERROR(IF(INDEX('商品マスタ'!$G$6:$G$1005,MATCH($C41,'商品マスタ'!$B$6:$B$1005,0))="",IF(COUNTIFS('①在庫を貼る'!$V$6:$V$10005,'設定'!$C$4,'①在庫を貼る'!$W$6:$W$10005,$C41)&gt;0,SUMIFS('①在庫を貼る'!$Q$6:$Q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Q$6:$Q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Q$6:$Q$10005,'月1回_2ヶ月前の在庫'!$V$6:$V$10005,'設定'!$C$4,'月1回_2ヶ月前の在庫'!$W$6:$W$10005,$C41)/COUNTIFS('月1回_2ヶ月前の在庫'!$V$6:$V$10005,'設定'!$C$4,'月1回_2ヶ月前の在庫'!$W$6:$W$10005,$C41),0))),INDEX('商品マスタ'!$G$6:$G$1005,MATCH($C41,'商品マスタ'!$B$6:$B$1005,0))),IF(COUNTIFS('①在庫を貼る'!$V$6:$V$10005,'設定'!$C$4,'①在庫を貼る'!$W$6:$W$10005,$C41)&gt;0,SUMIFS('①在庫を貼る'!$Q$6:$Q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Q$6:$Q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Q$6:$Q$10005,'月1回_2ヶ月前の在庫'!$V$6:$V$10005,'設定'!$C$4,'月1回_2ヶ月前の在庫'!$W$6:$W$10005,$C41)/COUNTIFS('月1回_2ヶ月前の在庫'!$V$6:$V$10005,'設定'!$C$4,'月1回_2ヶ月前の在庫'!$W$6:$W$10005,$C41),0))))))</f>
        <v/>
      </c>
      <c r="I41">
        <f>IF($C41="","",IF(COUNTIFS('①在庫を貼る'!$V$6:$V$10005,'設定'!$C$4,'①在庫を貼る'!$W$6:$W$10005,$C41)=0,"",SUMIFS('①在庫を貼る'!$N$6:$N$10005,'①在庫を貼る'!$V$6:$V$10005,'設定'!$C$4,'①在庫を貼る'!$W$6:$W$10005,$C41)))</f>
        <v/>
      </c>
      <c r="J41">
        <f>IF($C41="","",IF('②発注する'!$AD45="","",'②発注する'!$AD45))</f>
        <v/>
      </c>
      <c r="K41" s="90">
        <f>IF($C41="","",IF('②発注する'!$AE45="","",'②発注する'!$AE45))</f>
        <v/>
      </c>
      <c r="L41">
        <f>IF($C41="","",IF(AND(ISNUMBER($J41),ISNUMBER($K41),$K41&gt;='設定'!$C$6),$J41,N($I41)))</f>
        <v/>
      </c>
      <c r="M41">
        <f>IF($C41="","",IFERROR(IF(N(INDEX('商品マスタ'!$J$6:$J$1005,MATCH($C41,'商品マスタ'!$B$6:$B$1005,0)))&gt;0,INDEX('商品マスタ'!$J$6:$J$1005,MATCH($C41,'商品マスタ'!$B$6:$B$1005,0)),""),""))</f>
        <v/>
      </c>
      <c r="N41">
        <f>IF($C41="","",IFERROR(IF(N(INDEX('商品マスタ'!$H$6:$H$1005,MATCH($C41,'商品マスタ'!$B$6:$B$1005,0)))&gt;0,INDEX('商品マスタ'!$H$6:$H$1005,MATCH($C41,'商品マスタ'!$B$6:$B$1005,0)),""),""))</f>
        <v/>
      </c>
      <c r="O41">
        <f>IF($C41="","",IF($N41&lt;&gt;"",$N41*$G41,IF(N(IF(COUNTIFS('①在庫を貼る'!$V$6:$V$10005,'設定'!$C$4,'①在庫を貼る'!$W$6:$W$10005,$C41)&gt;0,SUMIFS('①在庫を貼る'!$O$6:$O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O$6:$O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O$6:$O$10005,'月1回_2ヶ月前の在庫'!$V$6:$V$10005,'設定'!$C$4,'月1回_2ヶ月前の在庫'!$W$6:$W$10005,$C41)/COUNTIFS('月1回_2ヶ月前の在庫'!$V$6:$V$10005,'設定'!$C$4,'月1回_2ヶ月前の在庫'!$W$6:$W$10005,$C41),0))))&gt;0,N(IF(COUNTIFS('①在庫を貼る'!$V$6:$V$10005,'設定'!$C$4,'①在庫を貼る'!$W$6:$W$10005,$C41)&gt;0,SUMIFS('①在庫を貼る'!$O$6:$O$10005,'①在庫を貼る'!$V$6:$V$10005,'設定'!$C$4,'①在庫を貼る'!$W$6:$W$10005,$C41)/COUNTIFS('①在庫を貼る'!$V$6:$V$10005,'設定'!$C$4,'①在庫を貼る'!$W$6:$W$10005,$C41),IF(COUNTIFS('月1回_1ヶ月前の在庫'!$V$6:$V$10005,'設定'!$C$4,'月1回_1ヶ月前の在庫'!$W$6:$W$10005,$C41)&gt;0,SUMIFS('月1回_1ヶ月前の在庫'!$O$6:$O$10005,'月1回_1ヶ月前の在庫'!$V$6:$V$10005,'設定'!$C$4,'月1回_1ヶ月前の在庫'!$W$6:$W$10005,$C41)/COUNTIFS('月1回_1ヶ月前の在庫'!$V$6:$V$10005,'設定'!$C$4,'月1回_1ヶ月前の在庫'!$W$6:$W$10005,$C41),IF(COUNTIFS('月1回_2ヶ月前の在庫'!$V$6:$V$10005,'設定'!$C$4,'月1回_2ヶ月前の在庫'!$W$6:$W$10005,$C41)&gt;0,SUMIFS('月1回_2ヶ月前の在庫'!$O$6:$O$10005,'月1回_2ヶ月前の在庫'!$V$6:$V$10005,'設定'!$C$4,'月1回_2ヶ月前の在庫'!$W$6:$W$10005,$C41)/COUNTIFS('月1回_2ヶ月前の在庫'!$V$6:$V$10005,'設定'!$C$4,'月1回_2ヶ月前の在庫'!$W$6:$W$10005,$C41),0)))),"")))</f>
        <v/>
      </c>
      <c r="P41" s="90">
        <f>IF($C41="","",IF('②発注する'!$I45="","",'②発注する'!$I45))</f>
        <v/>
      </c>
      <c r="Q41">
        <f>IF($C41="","",IF('②発注する'!$J45="","",'②発注する'!$J45))</f>
        <v/>
      </c>
      <c r="R41">
        <f>IF($C41="",0,IF(AND(ISNUMBER($P41),ISNUMBER($Q41)),MAX(0,$Q41)*$G41,0))</f>
        <v/>
      </c>
      <c r="S41" s="90">
        <f>IF($C41="","",IF('②発注する'!$M45="","",'②発注する'!$M45))</f>
        <v/>
      </c>
      <c r="T41">
        <f>IF($C41="","",IF('②発注する'!$N45="","",'②発注する'!$N45))</f>
        <v/>
      </c>
      <c r="U41">
        <f>IF($C41="",0,IF(AND(ISNUMBER($S41),ISNUMBER($T41)),MAX(0,$T41)*$G41,0))</f>
        <v/>
      </c>
      <c r="V41">
        <f>IF($C41="",0,IF($M41="",0,MAX(0,$M41)*MAX(0,V$4)/100))</f>
        <v/>
      </c>
      <c r="W41">
        <f>IF($C41="",0,IF($M41="",0,MAX(0,$M41)*MAX(0,W$4)/100))</f>
        <v/>
      </c>
      <c r="X41">
        <f>IF($C41="",0,IF($M41="",0,MAX(0,$M41)*MAX(0,X$4)/100))</f>
        <v/>
      </c>
      <c r="Y41">
        <f>IF($C41="",0,IF($M41="",0,MAX(0,$M41)*MAX(0,Y$4)/100))</f>
        <v/>
      </c>
      <c r="Z41">
        <f>IF($C41="",0,IF($M41="",0,MAX(0,$M41)*MAX(0,Z$4)/100))</f>
        <v/>
      </c>
      <c r="AA41">
        <f>IF($C41="",0,IF($M41="",0,MAX(0,$M41)*MAX(0,AA$4)/100))</f>
        <v/>
      </c>
      <c r="AB41">
        <f>IF($C41="",0,IF($M41="",0,MAX(0,$M41)*MAX(0,AB$4)/100))</f>
        <v/>
      </c>
      <c r="AC41">
        <f>IF($C41="",0,IF($M41="",0,MAX(0,$M41)*MAX(0,AC$4)/100))</f>
        <v/>
      </c>
      <c r="AD41">
        <f>IF($C41="",0,IF($M41="",0,MAX(0,$M41)*MAX(0,AD$4)/100))</f>
        <v/>
      </c>
      <c r="AE41">
        <f>IF($C41="",0,IF($M41="",0,MAX(0,$M41)*MAX(0,AE$4)/100))</f>
        <v/>
      </c>
      <c r="AF41">
        <f>IF($C41="",0,IF($M41="",0,MAX(0,$M41)*MAX(0,AF$4)/100))</f>
        <v/>
      </c>
      <c r="AG41">
        <f>IF($C41="",0,IF($M41="",0,MAX(0,$M41)*MAX(0,AG$4)/100))</f>
        <v/>
      </c>
      <c r="AH41">
        <f>IF($C41="",0,IF($M41="",0,MAX(0,$M41)*MAX(0,AH$4)/100))</f>
        <v/>
      </c>
      <c r="AI41">
        <f>IF($C41="",0,IF($M41="",0,MAX(0,$M41)*MAX(0,AI$4)/100))</f>
        <v/>
      </c>
      <c r="AJ41">
        <f>IF($C41="",0,MAX(0,MAX(0,N($L41))-$V41))</f>
        <v/>
      </c>
      <c r="AK41">
        <f>IF($C41="",0,MAX(0,$AJ41-$W41))</f>
        <v/>
      </c>
      <c r="AL41">
        <f>IF($C41="",0,MAX(0,$AK41-$X41))</f>
        <v/>
      </c>
      <c r="AM41">
        <f>IF($C41="",0,MAX(0,$AL41-$Y41))</f>
        <v/>
      </c>
      <c r="AN41">
        <f>IF($C41="",0,MAX(0,$AM41-$Z41))</f>
        <v/>
      </c>
      <c r="AO41">
        <f>IF($C41="",0,MAX(0,$AN41-$AA41))</f>
        <v/>
      </c>
      <c r="AP41">
        <f>IF($C41="",0,MAX(0,$AO41-$AB41))</f>
        <v/>
      </c>
      <c r="AQ41">
        <f>IF($C41="",0,MAX(0,$AP41-$AC41))</f>
        <v/>
      </c>
      <c r="AR41">
        <f>IF($C41="",0,MAX(0,$AQ41-$AD41))</f>
        <v/>
      </c>
      <c r="AS41">
        <f>IF($C41="",0,MAX(0,$AR41-$AE41))</f>
        <v/>
      </c>
      <c r="AT41">
        <f>IF($C41="",0,MAX(0,$AS41-$AF41))</f>
        <v/>
      </c>
      <c r="AU41">
        <f>IF($C41="",0,MAX(0,$AT41-$AG41))</f>
        <v/>
      </c>
      <c r="AV41">
        <f>IF($C41="",0,MAX(0,$AU41-$AH41))</f>
        <v/>
      </c>
      <c r="AW41">
        <f>IF($C41="",0,MAX(0,$AV41-$AI41))</f>
        <v/>
      </c>
      <c r="AX41">
        <f>IF($C41="",0,MAX(0,MAX(0,N($L41))+IF($P41=V$3,$R41,0)+IF($S41=V$3,$U41,0)-$V41))</f>
        <v/>
      </c>
      <c r="AY41">
        <f>IF($C41="",0,MAX(0,$AX41+IF($P41=W$3,$R41,0)+IF($S41=W$3,$U41,0)-$W41))</f>
        <v/>
      </c>
      <c r="AZ41">
        <f>IF($C41="",0,MAX(0,$AY41+IF($P41=X$3,$R41,0)+IF($S41=X$3,$U41,0)-$X41))</f>
        <v/>
      </c>
      <c r="BA41">
        <f>IF($C41="",0,MAX(0,$AZ41+IF($P41=Y$3,$R41,0)+IF($S41=Y$3,$U41,0)-$Y41))</f>
        <v/>
      </c>
      <c r="BB41">
        <f>IF($C41="",0,MAX(0,$BA41+IF($P41=Z$3,$R41,0)+IF($S41=Z$3,$U41,0)-$Z41))</f>
        <v/>
      </c>
      <c r="BC41">
        <f>IF($C41="",0,MAX(0,$BB41+IF($P41=AA$3,$R41,0)+IF($S41=AA$3,$U41,0)-$AA41))</f>
        <v/>
      </c>
      <c r="BD41">
        <f>IF($C41="",0,MAX(0,$BC41+IF($P41=AB$3,$R41,0)+IF($S41=AB$3,$U41,0)-$AB41))</f>
        <v/>
      </c>
      <c r="BE41">
        <f>IF($C41="",0,MAX(0,$BD41+IF($P41=AC$3,$R41,0)+IF($S41=AC$3,$U41,0)-$AC41))</f>
        <v/>
      </c>
      <c r="BF41">
        <f>IF($C41="",0,MAX(0,$BE41+IF($P41=AD$3,$R41,0)+IF($S41=AD$3,$U41,0)-$AD41))</f>
        <v/>
      </c>
      <c r="BG41">
        <f>IF($C41="",0,MAX(0,$BF41+IF($P41=AE$3,$R41,0)+IF($S41=AE$3,$U41,0)-$AE41))</f>
        <v/>
      </c>
      <c r="BH41">
        <f>IF($C41="",0,MAX(0,$BG41+IF($P41=AF$3,$R41,0)+IF($S41=AF$3,$U41,0)-$AF41))</f>
        <v/>
      </c>
      <c r="BI41">
        <f>IF($C41="",0,MAX(0,$BH41+IF($P41=AG$3,$R41,0)+IF($S41=AG$3,$U41,0)-$AG41))</f>
        <v/>
      </c>
      <c r="BJ41">
        <f>IF($C41="",0,MAX(0,$BI41+IF($P41=AH$3,$R41,0)+IF($S41=AH$3,$U41,0)-$AH41))</f>
        <v/>
      </c>
      <c r="BK41">
        <f>IF($C41="",0,MAX(0,$BJ41+IF($P41=AI$3,$R41,0)+IF($S41=AI$3,$U41,0)-$AI41))</f>
        <v/>
      </c>
      <c r="BL41">
        <f>IF($C41="",99,IF(AND($AX41&lt;1,V$3&gt;=MAX(N($P41),N($S41))),0,99))</f>
        <v/>
      </c>
      <c r="BM41">
        <f>IF($C41="",99,IF(AND($AY41&lt;1,W$3&gt;=MAX(N($P41),N($S41))),1,99))</f>
        <v/>
      </c>
      <c r="BN41">
        <f>IF($C41="",99,IF(AND($AZ41&lt;1,X$3&gt;=MAX(N($P41),N($S41))),2,99))</f>
        <v/>
      </c>
      <c r="BO41">
        <f>IF($C41="",99,IF(AND($BA41&lt;1,Y$3&gt;=MAX(N($P41),N($S41))),3,99))</f>
        <v/>
      </c>
      <c r="BP41">
        <f>IF($C41="",99,IF(AND($BB41&lt;1,Z$3&gt;=MAX(N($P41),N($S41))),4,99))</f>
        <v/>
      </c>
      <c r="BQ41">
        <f>IF($C41="",99,IF(AND($BC41&lt;1,AA$3&gt;=MAX(N($P41),N($S41))),5,99))</f>
        <v/>
      </c>
      <c r="BR41">
        <f>IF($C41="",99,IF(AND($BD41&lt;1,AB$3&gt;=MAX(N($P41),N($S41))),6,99))</f>
        <v/>
      </c>
      <c r="BS41">
        <f>IF($C41="",99,IF(AND($BE41&lt;1,AC$3&gt;=MAX(N($P41),N($S41))),7,99))</f>
        <v/>
      </c>
      <c r="BT41">
        <f>IF($C41="",99,IF(AND($BF41&lt;1,AD$3&gt;=MAX(N($P41),N($S41))),8,99))</f>
        <v/>
      </c>
      <c r="BU41">
        <f>IF($C41="",99,IF(AND($BG41&lt;1,AE$3&gt;=MAX(N($P41),N($S41))),9,99))</f>
        <v/>
      </c>
      <c r="BV41">
        <f>IF($C41="",99,IF(AND($BH41&lt;1,AF$3&gt;=MAX(N($P41),N($S41))),10,99))</f>
        <v/>
      </c>
      <c r="BW41">
        <f>IF($C41="",99,IF(AND($BI41&lt;1,AG$3&gt;=MAX(N($P41),N($S41))),11,99))</f>
        <v/>
      </c>
      <c r="BX41">
        <f>IF($C41="",99,IF(AND($BJ41&lt;1,AH$3&gt;=MAX(N($P41),N($S41))),12,99))</f>
        <v/>
      </c>
      <c r="BY41">
        <f>IF($C41="",99,IF(AND($BK41&lt;1,AI$3&gt;=MAX(N($P41),N($S41))),13,99))</f>
        <v/>
      </c>
      <c r="BZ41">
        <f>IF(OR($C41="",$M41=""),"",COUNTIF($AJ41:$AW41,"&gt;=1"))</f>
        <v/>
      </c>
      <c r="CA41" s="90">
        <f>IF($BZ41="","",IF($BZ41&gt;=14,"",'設定'!$C$6+$BZ41))</f>
        <v/>
      </c>
      <c r="CB41">
        <f>IF(OR($C41="",$M41=""),"",MIN($BL41:$BY41))</f>
        <v/>
      </c>
      <c r="CC41" s="90">
        <f>IF($CB41="","",IF($CB41&gt;=99,"",'設定'!$C$6+$CB41))</f>
        <v/>
      </c>
      <c r="CD41">
        <f>IF(OR($C41="",$M41=""),"",AVERAGE($V41:$AI41))</f>
        <v/>
      </c>
      <c r="CE41">
        <f>IF($C41="","",IFERROR(IF(MATCH(IF(ISNUMBER($P41),$P41,'設定'!$C$6+N('設定'!$C$7)),$V$3:$AI$3,0)=1,MAX(0,N($L41)),INDEX($AJ41:$AW41,MATCH(IF(ISNUMBER($P41),$P41,'設定'!$C$6+N('設定'!$C$7)),$V$3:$AI$3,0)-1)),""))</f>
        <v/>
      </c>
      <c r="CF41">
        <f>IF(OR($C41="",$O41="",$CE41=""),"",IF($O41-$CE41&lt;=0,0,ROUNDUP(($O41-$CE41)/$G41,0)))</f>
        <v/>
      </c>
      <c r="CG41">
        <f>IF(OR($C41="",$CF41="",NOT(ISNUMBER($Q41))),0,MAX(0,$Q41-$CF41))</f>
        <v/>
      </c>
      <c r="CH41">
        <f>IF(OR($C41="",$O41="",$U41=0),0,IFERROR(ROUNDUP(MAX(0,IF(MATCH($S41,$V$3:$AI$3,0)=1,MAX(0,N($L41)),INDEX($AX41:$BK41,MATCH($S41,$V$3:$AI$3,0)-1))+$U41-$O41)/$G41,0),0))</f>
        <v/>
      </c>
      <c r="CI41">
        <f>IF($C41="","",IF(AND($P41="",$Q41=""),"",IF($P41="","⚠ 入庫日を ▼ から選んでください",IF(NOT(ISNUMBER($P41)),"⚠ 入庫日は ▼ から選んでください",IF($P41&lt;N('設定'!$C$6),"⚠ 入庫日が過去です（もう在庫に入っています）→ 消してください",IF($P41&gt;N('設定'!$C$6)+13,"⚠ 入庫日が14日より先です",IF(N($Q41)&lt;=0,"⚠ 入庫数を入れてください",IF($CG41&gt;0,"⚠ 目安より "&amp;$CG41&amp;" 多い（定数を超える）→ 減らす",""))))))))</f>
        <v/>
      </c>
      <c r="CJ41">
        <f>IF($C41="","",IF(AND($S41="",$T41=""),"",IF($S41="","⚠ 2便目：入庫日を ▼ から選んでください",IF(NOT(ISNUMBER($S41)),"⚠ 2便目：入庫日は ▼ から選んでください",IF($S41&lt;N('設定'!$C$6),"⚠ 2便目：入庫日が過去です（もう在庫に入っています）→ 消してください",IF($S41&gt;N('設定'!$C$6)+13,"⚠ 2便目：入庫日が14日より先です",IF(N($T41)&lt;=0,"⚠ 2便目：入庫数を入れてください",IF($CH41&gt;0,"⚠ 2便目：定数を "&amp;$CH41&amp;" ケース超える → 減らす",""))))))))</f>
        <v/>
      </c>
      <c r="CK41">
        <f>IF(AND($CI41="",N($Q41)&gt;0,ISNUMBER($P41)),1,0)</f>
        <v/>
      </c>
      <c r="CL41">
        <f>IF(AND($CJ41="",N($T41)&gt;0,ISNUMBER($S41)),1,0)</f>
        <v/>
      </c>
      <c r="CM41">
        <f>IF(OR($CK41=1,$CL41=1),1,0)</f>
        <v/>
      </c>
      <c r="CN41">
        <f>IF($C41="",0,($CK41*$R41+$CL41*$U41)*N($H41))</f>
        <v/>
      </c>
      <c r="CO41">
        <f>IF($C41="","",IF($CC41="","入庫後は 14日以上もつ",IF($CC41-N('設定'!$C$7)&lt;='設定'!$C$6,"入庫後も "&amp;TEXT($CC41,"m/d")&amp;"("&amp;CHOOSE(WEEKDAY($CC41),"日","月","火","水","木","金","土")&amp;")"&amp;" に切れる　もう1便を至急発注","入庫後も "&amp;TEXT($CC41,"m/d")&amp;"("&amp;CHOOSE(WEEKDAY($CC41),"日","月","火","水","木","金","土")&amp;")"&amp;" に切れる　"&amp;TEXT($CC41-N('設定'!$C$7),"m/d")&amp;"("&amp;CHOOSE(WEEKDAY($CC41-N('設定'!$C$7)),"日","月","火","水","木","金","土")&amp;")"&amp;" までに次を発注")))</f>
        <v/>
      </c>
      <c r="CP41">
        <f>IF($C41="","",IF('設定'!$C$6="","？ ①在庫を貼る に今日のCSVが貼られていない",IF($CS41=1,"－ 今日のCSVに無い（終売？）",IF($L41&lt;0,"● 在庫がマイナス　数えて「数えた在庫」に入れる",IF($L41=0,"● 在庫なし　至急発注",IF($M41="","？ 減り数が未設定（商品マスタ）",IF($B$3=0,"？ 動員が未入力（動員を入れる）",IF($CA41="","○ 14日以上もつ",IF($BZ41&lt;N('設定'!$C$7),"● "&amp;TEXT($CA41,"m/d")&amp;"("&amp;CHOOSE(WEEKDAY($CA41),"日","月","火","水","木","金","土")&amp;")"&amp;" に切れる　至急発注",IF($BZ41=N('設定'!$C$7),"● "&amp;TEXT($CA41,"m/d")&amp;"("&amp;CHOOSE(WEEKDAY($CA41),"日","月","火","水","木","金","土")&amp;")"&amp;" に切れる　今日発注","△ "&amp;TEXT($CA41,"m/d")&amp;"("&amp;CHOOSE(WEEKDAY($CA41),"日","月","火","水","木","金","土")&amp;")"&amp;" に切れる　"&amp;TEXT($CA41-N('設定'!$C$7),"m/d")&amp;"("&amp;CHOOSE(WEEKDAY($CA41-N('設定'!$C$7)),"日","月","火","水","木","金","土")&amp;")"&amp;" までに発注"))))))))))</f>
        <v/>
      </c>
      <c r="CQ41">
        <f>IF($C41="","",IF(AND($P41="",$Q41="",$S41="",$T41=""),"",IF(AND($P41="",$Q41=""),"⚠ 先に1便目（左の入庫日・入庫数）に入れてください",IF($CI41&lt;&gt;"",$CI41,IF($CJ41&lt;&gt;"",$CJ41,IF($M41="","？ 減り数が未設定（発注書には載ります）",IF($B$3=0,"？ 動員が未入力（発注書には載ります）",IF(AND($CA41&lt;&gt;"",$P41&gt;$CA41),IF($P41&gt;'設定'!$C$6+N('設定'!$C$7),"● "&amp;TEXT($P41,"m/d")&amp;"("&amp;CHOOSE(WEEKDAY($P41),"日","月","火","水","木","金","土")&amp;")"&amp;" の入庫では間に合わない（"&amp;TEXT($CA41,"m/d")&amp;"("&amp;CHOOSE(WEEKDAY($CA41),"日","月","火","水","木","金","土")&amp;")"&amp;" に切れる）　入庫日を早める","△ 欠品 "&amp;TEXT($CA41,"m/d")&amp;"("&amp;CHOOSE(WEEKDAY($CA41),"日","月","火","水","木","金","土")&amp;")"&amp;"〜"&amp;TEXT($P41-1,"m/d")&amp;"("&amp;CHOOSE(WEEKDAY($P41-1),"日","月","火","水","木","金","土")&amp;")"&amp;"　"&amp;$CO41),IF($CC41="","○ "&amp;TEXT($P41,"m/d")&amp;"("&amp;CHOOSE(WEEKDAY($P41),"日","月","火","水","木","金","土")&amp;")"&amp;" 入庫で 14日以上もつ",IF($CC41-N('設定'!$C$7)&lt;='設定'!$C$6,"● 入庫しても "&amp;TEXT($CC41,"m/d")&amp;"("&amp;CHOOSE(WEEKDAY($CC41),"日","月","火","水","木","金","土")&amp;")"&amp;" に切れる　もう1便を至急発注（2便目に入れる）","△ 入庫しても "&amp;TEXT($CC41,"m/d")&amp;"("&amp;CHOOSE(WEEKDAY($CC41),"日","月","火","水","木","金","土")&amp;")"&amp;" に切れる　"&amp;TEXT($CC41-N('設定'!$C$7),"m/d")&amp;"("&amp;CHOOSE(WEEKDAY($CC41-N('設定'!$C$7)),"日","月","火","水","木","金","土")&amp;")"&amp;" までに次を発注（2便目に入れる）"))))))))))</f>
        <v/>
      </c>
      <c r="CR41">
        <f>IF($C41="","",IF($G41&gt;1,"ｹｰｽ("&amp;$G41&amp;"入)","個"))</f>
        <v/>
      </c>
      <c r="CS41">
        <f>IF($C41="",0,IF(COUNTIFS('①在庫を貼る'!$V$6:$V$10005,'設定'!$C$4,'①在庫を貼る'!$W$6:$W$10005,$C41)=0,1,0))</f>
        <v/>
      </c>
      <c r="CT41">
        <f>IF(AND($CK41=1,OR('③発注書'!$C$4="すべて",'③発注書'!$C$4="",$F41='③発注書'!$C$4)),N($CT40)+1,N($CT40))</f>
        <v/>
      </c>
      <c r="CU41">
        <f>IF(AND($CL41=1,OR('③発注書'!$C$4="すべて",'③発注書'!$C$4="",$F41='③発注書'!$C$4)),N($CU40)+1,N($CU40))</f>
        <v/>
      </c>
      <c r="CV41">
        <f>IF($C41="",0,IF(COUNTIFS('①在庫を貼る'!$V$6:$V$10005,'設定'!$C$4,'①在庫を貼る'!$W$6:$W$10005,$C41)&gt;0,1,0))</f>
        <v/>
      </c>
      <c r="CW41">
        <f>IF($C41="",0,IF(COUNTIFS('月1回_1ヶ月前の在庫'!$V$6:$V$10005,'設定'!$C$4,'月1回_1ヶ月前の在庫'!$W$6:$W$10005,$C41)&gt;0,1,0))</f>
        <v/>
      </c>
      <c r="CX41">
        <f>IF($C41="",0,IF(COUNTIFS('月1回_2ヶ月前の在庫'!$V$6:$V$10005,'設定'!$C$4,'月1回_2ヶ月前の在庫'!$W$6:$W$10005,$C41)&gt;0,1,0))</f>
        <v/>
      </c>
      <c r="CY41">
        <f>IF(OR($C41="",'設定'!$C$12=""),"",IF('設定'!$C$13="",IF(AND($CV41=1,$CW41=0),"新商品（今月から）",IF(AND($CV41=0,$CW41=1),"終売（今月から）","")),IF(AND($CV41=1,$CW41=0,$CX41=0),"新商品（今月から）",IF(AND($CV41=1,$CW41=1,$CX41=0),"新商品（先月から）",IF(AND($CV41=0,$CW41=1,$CX41=1),"終売（今月から）",IF(AND($CV41=0,$CW41=0,$CX41=1),"終売（先月から）",IF(AND($CV41=1,$CW41=0,$CX41=1),"復活（先月は無し）","")))))))</f>
        <v/>
      </c>
    </row>
    <row r="42">
      <c r="B42">
        <f>IF(37&lt;='設定'!$C$11,37,"")</f>
        <v/>
      </c>
      <c r="C42">
        <f>IF($B42="","",IF($B42&lt;='設定'!$C$20,INDEX('商品マスタ'!$B$6:$B$1005,MATCH($B42,'商品マスタ'!$M$6:$M$1005,0)),IF($B42&lt;='設定'!$C$20+'設定'!$C$17,INDEX('①在庫を貼る'!$W$6:$W$10005,MATCH($B42-'設定'!$C$20,'①在庫を貼る'!$U$6:$U$10005,0)),IF($B42&lt;='設定'!$C$20+'設定'!$C$17+'設定'!$C$18,INDEX('月1回_1ヶ月前の在庫'!$W$6:$W$10005,MATCH($B42-'設定'!$C$20-'設定'!$C$17,'月1回_1ヶ月前の在庫'!$U$6:$U$10005,0)),INDEX('月1回_2ヶ月前の在庫'!$W$6:$W$10005,MATCH($B42-'設定'!$C$20-'設定'!$C$17-'設定'!$C$18,'月1回_2ヶ月前の在庫'!$U$6:$U$10005,0))))))</f>
        <v/>
      </c>
      <c r="D42">
        <f>IF($C42="","",IFERROR(IF(INDEX('商品マスタ'!$C$6:$C$1005,MATCH($C42,'商品マスタ'!$B$6:$B$1005,0))="",IFERROR(INDEX('①在庫を貼る'!$J$6:$J$10005,MATCH($C42,'①在庫を貼る'!$W$6:$W$10005,0)),IFERROR(INDEX('月1回_1ヶ月前の在庫'!$J$6:$J$10005,MATCH($C42,'月1回_1ヶ月前の在庫'!$W$6:$W$10005,0)),IFERROR(INDEX('月1回_2ヶ月前の在庫'!$J$6:$J$10005,MATCH($C42,'月1回_2ヶ月前の在庫'!$W$6:$W$10005,0)),""))),INDEX('商品マスタ'!$C$6:$C$1005,MATCH($C42,'商品マスタ'!$B$6:$B$1005,0))),IFERROR(INDEX('①在庫を貼る'!$J$6:$J$10005,MATCH($C42,'①在庫を貼る'!$W$6:$W$10005,0)),IFERROR(INDEX('月1回_1ヶ月前の在庫'!$J$6:$J$10005,MATCH($C42,'月1回_1ヶ月前の在庫'!$W$6:$W$10005,0)),IFERROR(INDEX('月1回_2ヶ月前の在庫'!$J$6:$J$10005,MATCH($C42,'月1回_2ヶ月前の在庫'!$W$6:$W$10005,0)),"")))))</f>
        <v/>
      </c>
      <c r="E42">
        <f>IF($C42="","",IFERROR(IF(INDEX('商品マスタ'!$D$6:$D$1005,MATCH($C42,'商品マスタ'!$B$6:$B$1005,0))="",IFERROR(INDEX('①在庫を貼る'!$H$6:$H$10005,MATCH($C42,'①在庫を貼る'!$W$6:$W$10005,0)),IFERROR(INDEX('月1回_1ヶ月前の在庫'!$H$6:$H$10005,MATCH($C42,'月1回_1ヶ月前の在庫'!$W$6:$W$10005,0)),IFERROR(INDEX('月1回_2ヶ月前の在庫'!$H$6:$H$10005,MATCH($C42,'月1回_2ヶ月前の在庫'!$W$6:$W$10005,0)),""))),INDEX('商品マスタ'!$D$6:$D$1005,MATCH($C42,'商品マスタ'!$B$6:$B$1005,0))),IFERROR(INDEX('①在庫を貼る'!$H$6:$H$10005,MATCH($C42,'①在庫を貼る'!$W$6:$W$10005,0)),IFERROR(INDEX('月1回_1ヶ月前の在庫'!$H$6:$H$10005,MATCH($C42,'月1回_1ヶ月前の在庫'!$W$6:$W$10005,0)),IFERROR(INDEX('月1回_2ヶ月前の在庫'!$H$6:$H$10005,MATCH($C42,'月1回_2ヶ月前の在庫'!$W$6:$W$10005,0)),"")))))</f>
        <v/>
      </c>
      <c r="F42">
        <f>IF($C42="","",IFERROR(IF(INDEX('商品マスタ'!$E$6:$E$1005,MATCH($C42,'商品マスタ'!$B$6:$B$1005,0))="",IFERROR(INDEX('①在庫を貼る'!$E$6:$E$10005,MATCH($C42,'①在庫を貼る'!$W$6:$W$10005,0)),IFERROR(INDEX('月1回_1ヶ月前の在庫'!$E$6:$E$10005,MATCH($C42,'月1回_1ヶ月前の在庫'!$W$6:$W$10005,0)),IFERROR(INDEX('月1回_2ヶ月前の在庫'!$E$6:$E$10005,MATCH($C42,'月1回_2ヶ月前の在庫'!$W$6:$W$10005,0)),""))),INDEX('商品マスタ'!$E$6:$E$1005,MATCH($C42,'商品マスタ'!$B$6:$B$1005,0))),IFERROR(INDEX('①在庫を貼る'!$E$6:$E$10005,MATCH($C42,'①在庫を貼る'!$W$6:$W$10005,0)),IFERROR(INDEX('月1回_1ヶ月前の在庫'!$E$6:$E$10005,MATCH($C42,'月1回_1ヶ月前の在庫'!$W$6:$W$10005,0)),IFERROR(INDEX('月1回_2ヶ月前の在庫'!$E$6:$E$10005,MATCH($C42,'月1回_2ヶ月前の在庫'!$W$6:$W$10005,0)),"")))))</f>
        <v/>
      </c>
      <c r="G42">
        <f>IF($C42="","",MAX(1,N(IFERROR(IF(INDEX('商品マスタ'!$F$6:$F$1005,MATCH($C42,'商品マスタ'!$B$6:$B$1005,0))="",IF(COUNTIFS('①在庫を貼る'!$V$6:$V$10005,'設定'!$C$4,'①在庫を貼る'!$W$6:$W$10005,$C42)&gt;0,SUMIFS('①在庫を貼る'!$K$6:$K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K$6:$K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K$6:$K$10005,'月1回_2ヶ月前の在庫'!$V$6:$V$10005,'設定'!$C$4,'月1回_2ヶ月前の在庫'!$W$6:$W$10005,$C42)/COUNTIFS('月1回_2ヶ月前の在庫'!$V$6:$V$10005,'設定'!$C$4,'月1回_2ヶ月前の在庫'!$W$6:$W$10005,$C42),0))),INDEX('商品マスタ'!$F$6:$F$1005,MATCH($C42,'商品マスタ'!$B$6:$B$1005,0))),IF(COUNTIFS('①在庫を貼る'!$V$6:$V$10005,'設定'!$C$4,'①在庫を貼る'!$W$6:$W$10005,$C42)&gt;0,SUMIFS('①在庫を貼る'!$K$6:$K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K$6:$K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K$6:$K$10005,'月1回_2ヶ月前の在庫'!$V$6:$V$10005,'設定'!$C$4,'月1回_2ヶ月前の在庫'!$W$6:$W$10005,$C42)/COUNTIFS('月1回_2ヶ月前の在庫'!$V$6:$V$10005,'設定'!$C$4,'月1回_2ヶ月前の在庫'!$W$6:$W$10005,$C42),0)))))))</f>
        <v/>
      </c>
      <c r="H42">
        <f>IF($C42="","",N(IFERROR(IF(INDEX('商品マスタ'!$G$6:$G$1005,MATCH($C42,'商品マスタ'!$B$6:$B$1005,0))="",IF(COUNTIFS('①在庫を貼る'!$V$6:$V$10005,'設定'!$C$4,'①在庫を貼る'!$W$6:$W$10005,$C42)&gt;0,SUMIFS('①在庫を貼る'!$Q$6:$Q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Q$6:$Q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Q$6:$Q$10005,'月1回_2ヶ月前の在庫'!$V$6:$V$10005,'設定'!$C$4,'月1回_2ヶ月前の在庫'!$W$6:$W$10005,$C42)/COUNTIFS('月1回_2ヶ月前の在庫'!$V$6:$V$10005,'設定'!$C$4,'月1回_2ヶ月前の在庫'!$W$6:$W$10005,$C42),0))),INDEX('商品マスタ'!$G$6:$G$1005,MATCH($C42,'商品マスタ'!$B$6:$B$1005,0))),IF(COUNTIFS('①在庫を貼る'!$V$6:$V$10005,'設定'!$C$4,'①在庫を貼る'!$W$6:$W$10005,$C42)&gt;0,SUMIFS('①在庫を貼る'!$Q$6:$Q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Q$6:$Q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Q$6:$Q$10005,'月1回_2ヶ月前の在庫'!$V$6:$V$10005,'設定'!$C$4,'月1回_2ヶ月前の在庫'!$W$6:$W$10005,$C42)/COUNTIFS('月1回_2ヶ月前の在庫'!$V$6:$V$10005,'設定'!$C$4,'月1回_2ヶ月前の在庫'!$W$6:$W$10005,$C42),0))))))</f>
        <v/>
      </c>
      <c r="I42">
        <f>IF($C42="","",IF(COUNTIFS('①在庫を貼る'!$V$6:$V$10005,'設定'!$C$4,'①在庫を貼る'!$W$6:$W$10005,$C42)=0,"",SUMIFS('①在庫を貼る'!$N$6:$N$10005,'①在庫を貼る'!$V$6:$V$10005,'設定'!$C$4,'①在庫を貼る'!$W$6:$W$10005,$C42)))</f>
        <v/>
      </c>
      <c r="J42">
        <f>IF($C42="","",IF('②発注する'!$AD46="","",'②発注する'!$AD46))</f>
        <v/>
      </c>
      <c r="K42" s="90">
        <f>IF($C42="","",IF('②発注する'!$AE46="","",'②発注する'!$AE46))</f>
        <v/>
      </c>
      <c r="L42">
        <f>IF($C42="","",IF(AND(ISNUMBER($J42),ISNUMBER($K42),$K42&gt;='設定'!$C$6),$J42,N($I42)))</f>
        <v/>
      </c>
      <c r="M42">
        <f>IF($C42="","",IFERROR(IF(N(INDEX('商品マスタ'!$J$6:$J$1005,MATCH($C42,'商品マスタ'!$B$6:$B$1005,0)))&gt;0,INDEX('商品マスタ'!$J$6:$J$1005,MATCH($C42,'商品マスタ'!$B$6:$B$1005,0)),""),""))</f>
        <v/>
      </c>
      <c r="N42">
        <f>IF($C42="","",IFERROR(IF(N(INDEX('商品マスタ'!$H$6:$H$1005,MATCH($C42,'商品マスタ'!$B$6:$B$1005,0)))&gt;0,INDEX('商品マスタ'!$H$6:$H$1005,MATCH($C42,'商品マスタ'!$B$6:$B$1005,0)),""),""))</f>
        <v/>
      </c>
      <c r="O42">
        <f>IF($C42="","",IF($N42&lt;&gt;"",$N42*$G42,IF(N(IF(COUNTIFS('①在庫を貼る'!$V$6:$V$10005,'設定'!$C$4,'①在庫を貼る'!$W$6:$W$10005,$C42)&gt;0,SUMIFS('①在庫を貼る'!$O$6:$O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O$6:$O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O$6:$O$10005,'月1回_2ヶ月前の在庫'!$V$6:$V$10005,'設定'!$C$4,'月1回_2ヶ月前の在庫'!$W$6:$W$10005,$C42)/COUNTIFS('月1回_2ヶ月前の在庫'!$V$6:$V$10005,'設定'!$C$4,'月1回_2ヶ月前の在庫'!$W$6:$W$10005,$C42),0))))&gt;0,N(IF(COUNTIFS('①在庫を貼る'!$V$6:$V$10005,'設定'!$C$4,'①在庫を貼る'!$W$6:$W$10005,$C42)&gt;0,SUMIFS('①在庫を貼る'!$O$6:$O$10005,'①在庫を貼る'!$V$6:$V$10005,'設定'!$C$4,'①在庫を貼る'!$W$6:$W$10005,$C42)/COUNTIFS('①在庫を貼る'!$V$6:$V$10005,'設定'!$C$4,'①在庫を貼る'!$W$6:$W$10005,$C42),IF(COUNTIFS('月1回_1ヶ月前の在庫'!$V$6:$V$10005,'設定'!$C$4,'月1回_1ヶ月前の在庫'!$W$6:$W$10005,$C42)&gt;0,SUMIFS('月1回_1ヶ月前の在庫'!$O$6:$O$10005,'月1回_1ヶ月前の在庫'!$V$6:$V$10005,'設定'!$C$4,'月1回_1ヶ月前の在庫'!$W$6:$W$10005,$C42)/COUNTIFS('月1回_1ヶ月前の在庫'!$V$6:$V$10005,'設定'!$C$4,'月1回_1ヶ月前の在庫'!$W$6:$W$10005,$C42),IF(COUNTIFS('月1回_2ヶ月前の在庫'!$V$6:$V$10005,'設定'!$C$4,'月1回_2ヶ月前の在庫'!$W$6:$W$10005,$C42)&gt;0,SUMIFS('月1回_2ヶ月前の在庫'!$O$6:$O$10005,'月1回_2ヶ月前の在庫'!$V$6:$V$10005,'設定'!$C$4,'月1回_2ヶ月前の在庫'!$W$6:$W$10005,$C42)/COUNTIFS('月1回_2ヶ月前の在庫'!$V$6:$V$10005,'設定'!$C$4,'月1回_2ヶ月前の在庫'!$W$6:$W$10005,$C42),0)))),"")))</f>
        <v/>
      </c>
      <c r="P42" s="90">
        <f>IF($C42="","",IF('②発注する'!$I46="","",'②発注する'!$I46))</f>
        <v/>
      </c>
      <c r="Q42">
        <f>IF($C42="","",IF('②発注する'!$J46="","",'②発注する'!$J46))</f>
        <v/>
      </c>
      <c r="R42">
        <f>IF($C42="",0,IF(AND(ISNUMBER($P42),ISNUMBER($Q42)),MAX(0,$Q42)*$G42,0))</f>
        <v/>
      </c>
      <c r="S42" s="90">
        <f>IF($C42="","",IF('②発注する'!$M46="","",'②発注する'!$M46))</f>
        <v/>
      </c>
      <c r="T42">
        <f>IF($C42="","",IF('②発注する'!$N46="","",'②発注する'!$N46))</f>
        <v/>
      </c>
      <c r="U42">
        <f>IF($C42="",0,IF(AND(ISNUMBER($S42),ISNUMBER($T42)),MAX(0,$T42)*$G42,0))</f>
        <v/>
      </c>
      <c r="V42">
        <f>IF($C42="",0,IF($M42="",0,MAX(0,$M42)*MAX(0,V$4)/100))</f>
        <v/>
      </c>
      <c r="W42">
        <f>IF($C42="",0,IF($M42="",0,MAX(0,$M42)*MAX(0,W$4)/100))</f>
        <v/>
      </c>
      <c r="X42">
        <f>IF($C42="",0,IF($M42="",0,MAX(0,$M42)*MAX(0,X$4)/100))</f>
        <v/>
      </c>
      <c r="Y42">
        <f>IF($C42="",0,IF($M42="",0,MAX(0,$M42)*MAX(0,Y$4)/100))</f>
        <v/>
      </c>
      <c r="Z42">
        <f>IF($C42="",0,IF($M42="",0,MAX(0,$M42)*MAX(0,Z$4)/100))</f>
        <v/>
      </c>
      <c r="AA42">
        <f>IF($C42="",0,IF($M42="",0,MAX(0,$M42)*MAX(0,AA$4)/100))</f>
        <v/>
      </c>
      <c r="AB42">
        <f>IF($C42="",0,IF($M42="",0,MAX(0,$M42)*MAX(0,AB$4)/100))</f>
        <v/>
      </c>
      <c r="AC42">
        <f>IF($C42="",0,IF($M42="",0,MAX(0,$M42)*MAX(0,AC$4)/100))</f>
        <v/>
      </c>
      <c r="AD42">
        <f>IF($C42="",0,IF($M42="",0,MAX(0,$M42)*MAX(0,AD$4)/100))</f>
        <v/>
      </c>
      <c r="AE42">
        <f>IF($C42="",0,IF($M42="",0,MAX(0,$M42)*MAX(0,AE$4)/100))</f>
        <v/>
      </c>
      <c r="AF42">
        <f>IF($C42="",0,IF($M42="",0,MAX(0,$M42)*MAX(0,AF$4)/100))</f>
        <v/>
      </c>
      <c r="AG42">
        <f>IF($C42="",0,IF($M42="",0,MAX(0,$M42)*MAX(0,AG$4)/100))</f>
        <v/>
      </c>
      <c r="AH42">
        <f>IF($C42="",0,IF($M42="",0,MAX(0,$M42)*MAX(0,AH$4)/100))</f>
        <v/>
      </c>
      <c r="AI42">
        <f>IF($C42="",0,IF($M42="",0,MAX(0,$M42)*MAX(0,AI$4)/100))</f>
        <v/>
      </c>
      <c r="AJ42">
        <f>IF($C42="",0,MAX(0,MAX(0,N($L42))-$V42))</f>
        <v/>
      </c>
      <c r="AK42">
        <f>IF($C42="",0,MAX(0,$AJ42-$W42))</f>
        <v/>
      </c>
      <c r="AL42">
        <f>IF($C42="",0,MAX(0,$AK42-$X42))</f>
        <v/>
      </c>
      <c r="AM42">
        <f>IF($C42="",0,MAX(0,$AL42-$Y42))</f>
        <v/>
      </c>
      <c r="AN42">
        <f>IF($C42="",0,MAX(0,$AM42-$Z42))</f>
        <v/>
      </c>
      <c r="AO42">
        <f>IF($C42="",0,MAX(0,$AN42-$AA42))</f>
        <v/>
      </c>
      <c r="AP42">
        <f>IF($C42="",0,MAX(0,$AO42-$AB42))</f>
        <v/>
      </c>
      <c r="AQ42">
        <f>IF($C42="",0,MAX(0,$AP42-$AC42))</f>
        <v/>
      </c>
      <c r="AR42">
        <f>IF($C42="",0,MAX(0,$AQ42-$AD42))</f>
        <v/>
      </c>
      <c r="AS42">
        <f>IF($C42="",0,MAX(0,$AR42-$AE42))</f>
        <v/>
      </c>
      <c r="AT42">
        <f>IF($C42="",0,MAX(0,$AS42-$AF42))</f>
        <v/>
      </c>
      <c r="AU42">
        <f>IF($C42="",0,MAX(0,$AT42-$AG42))</f>
        <v/>
      </c>
      <c r="AV42">
        <f>IF($C42="",0,MAX(0,$AU42-$AH42))</f>
        <v/>
      </c>
      <c r="AW42">
        <f>IF($C42="",0,MAX(0,$AV42-$AI42))</f>
        <v/>
      </c>
      <c r="AX42">
        <f>IF($C42="",0,MAX(0,MAX(0,N($L42))+IF($P42=V$3,$R42,0)+IF($S42=V$3,$U42,0)-$V42))</f>
        <v/>
      </c>
      <c r="AY42">
        <f>IF($C42="",0,MAX(0,$AX42+IF($P42=W$3,$R42,0)+IF($S42=W$3,$U42,0)-$W42))</f>
        <v/>
      </c>
      <c r="AZ42">
        <f>IF($C42="",0,MAX(0,$AY42+IF($P42=X$3,$R42,0)+IF($S42=X$3,$U42,0)-$X42))</f>
        <v/>
      </c>
      <c r="BA42">
        <f>IF($C42="",0,MAX(0,$AZ42+IF($P42=Y$3,$R42,0)+IF($S42=Y$3,$U42,0)-$Y42))</f>
        <v/>
      </c>
      <c r="BB42">
        <f>IF($C42="",0,MAX(0,$BA42+IF($P42=Z$3,$R42,0)+IF($S42=Z$3,$U42,0)-$Z42))</f>
        <v/>
      </c>
      <c r="BC42">
        <f>IF($C42="",0,MAX(0,$BB42+IF($P42=AA$3,$R42,0)+IF($S42=AA$3,$U42,0)-$AA42))</f>
        <v/>
      </c>
      <c r="BD42">
        <f>IF($C42="",0,MAX(0,$BC42+IF($P42=AB$3,$R42,0)+IF($S42=AB$3,$U42,0)-$AB42))</f>
        <v/>
      </c>
      <c r="BE42">
        <f>IF($C42="",0,MAX(0,$BD42+IF($P42=AC$3,$R42,0)+IF($S42=AC$3,$U42,0)-$AC42))</f>
        <v/>
      </c>
      <c r="BF42">
        <f>IF($C42="",0,MAX(0,$BE42+IF($P42=AD$3,$R42,0)+IF($S42=AD$3,$U42,0)-$AD42))</f>
        <v/>
      </c>
      <c r="BG42">
        <f>IF($C42="",0,MAX(0,$BF42+IF($P42=AE$3,$R42,0)+IF($S42=AE$3,$U42,0)-$AE42))</f>
        <v/>
      </c>
      <c r="BH42">
        <f>IF($C42="",0,MAX(0,$BG42+IF($P42=AF$3,$R42,0)+IF($S42=AF$3,$U42,0)-$AF42))</f>
        <v/>
      </c>
      <c r="BI42">
        <f>IF($C42="",0,MAX(0,$BH42+IF($P42=AG$3,$R42,0)+IF($S42=AG$3,$U42,0)-$AG42))</f>
        <v/>
      </c>
      <c r="BJ42">
        <f>IF($C42="",0,MAX(0,$BI42+IF($P42=AH$3,$R42,0)+IF($S42=AH$3,$U42,0)-$AH42))</f>
        <v/>
      </c>
      <c r="BK42">
        <f>IF($C42="",0,MAX(0,$BJ42+IF($P42=AI$3,$R42,0)+IF($S42=AI$3,$U42,0)-$AI42))</f>
        <v/>
      </c>
      <c r="BL42">
        <f>IF($C42="",99,IF(AND($AX42&lt;1,V$3&gt;=MAX(N($P42),N($S42))),0,99))</f>
        <v/>
      </c>
      <c r="BM42">
        <f>IF($C42="",99,IF(AND($AY42&lt;1,W$3&gt;=MAX(N($P42),N($S42))),1,99))</f>
        <v/>
      </c>
      <c r="BN42">
        <f>IF($C42="",99,IF(AND($AZ42&lt;1,X$3&gt;=MAX(N($P42),N($S42))),2,99))</f>
        <v/>
      </c>
      <c r="BO42">
        <f>IF($C42="",99,IF(AND($BA42&lt;1,Y$3&gt;=MAX(N($P42),N($S42))),3,99))</f>
        <v/>
      </c>
      <c r="BP42">
        <f>IF($C42="",99,IF(AND($BB42&lt;1,Z$3&gt;=MAX(N($P42),N($S42))),4,99))</f>
        <v/>
      </c>
      <c r="BQ42">
        <f>IF($C42="",99,IF(AND($BC42&lt;1,AA$3&gt;=MAX(N($P42),N($S42))),5,99))</f>
        <v/>
      </c>
      <c r="BR42">
        <f>IF($C42="",99,IF(AND($BD42&lt;1,AB$3&gt;=MAX(N($P42),N($S42))),6,99))</f>
        <v/>
      </c>
      <c r="BS42">
        <f>IF($C42="",99,IF(AND($BE42&lt;1,AC$3&gt;=MAX(N($P42),N($S42))),7,99))</f>
        <v/>
      </c>
      <c r="BT42">
        <f>IF($C42="",99,IF(AND($BF42&lt;1,AD$3&gt;=MAX(N($P42),N($S42))),8,99))</f>
        <v/>
      </c>
      <c r="BU42">
        <f>IF($C42="",99,IF(AND($BG42&lt;1,AE$3&gt;=MAX(N($P42),N($S42))),9,99))</f>
        <v/>
      </c>
      <c r="BV42">
        <f>IF($C42="",99,IF(AND($BH42&lt;1,AF$3&gt;=MAX(N($P42),N($S42))),10,99))</f>
        <v/>
      </c>
      <c r="BW42">
        <f>IF($C42="",99,IF(AND($BI42&lt;1,AG$3&gt;=MAX(N($P42),N($S42))),11,99))</f>
        <v/>
      </c>
      <c r="BX42">
        <f>IF($C42="",99,IF(AND($BJ42&lt;1,AH$3&gt;=MAX(N($P42),N($S42))),12,99))</f>
        <v/>
      </c>
      <c r="BY42">
        <f>IF($C42="",99,IF(AND($BK42&lt;1,AI$3&gt;=MAX(N($P42),N($S42))),13,99))</f>
        <v/>
      </c>
      <c r="BZ42">
        <f>IF(OR($C42="",$M42=""),"",COUNTIF($AJ42:$AW42,"&gt;=1"))</f>
        <v/>
      </c>
      <c r="CA42" s="90">
        <f>IF($BZ42="","",IF($BZ42&gt;=14,"",'設定'!$C$6+$BZ42))</f>
        <v/>
      </c>
      <c r="CB42">
        <f>IF(OR($C42="",$M42=""),"",MIN($BL42:$BY42))</f>
        <v/>
      </c>
      <c r="CC42" s="90">
        <f>IF($CB42="","",IF($CB42&gt;=99,"",'設定'!$C$6+$CB42))</f>
        <v/>
      </c>
      <c r="CD42">
        <f>IF(OR($C42="",$M42=""),"",AVERAGE($V42:$AI42))</f>
        <v/>
      </c>
      <c r="CE42">
        <f>IF($C42="","",IFERROR(IF(MATCH(IF(ISNUMBER($P42),$P42,'設定'!$C$6+N('設定'!$C$7)),$V$3:$AI$3,0)=1,MAX(0,N($L42)),INDEX($AJ42:$AW42,MATCH(IF(ISNUMBER($P42),$P42,'設定'!$C$6+N('設定'!$C$7)),$V$3:$AI$3,0)-1)),""))</f>
        <v/>
      </c>
      <c r="CF42">
        <f>IF(OR($C42="",$O42="",$CE42=""),"",IF($O42-$CE42&lt;=0,0,ROUNDUP(($O42-$CE42)/$G42,0)))</f>
        <v/>
      </c>
      <c r="CG42">
        <f>IF(OR($C42="",$CF42="",NOT(ISNUMBER($Q42))),0,MAX(0,$Q42-$CF42))</f>
        <v/>
      </c>
      <c r="CH42">
        <f>IF(OR($C42="",$O42="",$U42=0),0,IFERROR(ROUNDUP(MAX(0,IF(MATCH($S42,$V$3:$AI$3,0)=1,MAX(0,N($L42)),INDEX($AX42:$BK42,MATCH($S42,$V$3:$AI$3,0)-1))+$U42-$O42)/$G42,0),0))</f>
        <v/>
      </c>
      <c r="CI42">
        <f>IF($C42="","",IF(AND($P42="",$Q42=""),"",IF($P42="","⚠ 入庫日を ▼ から選んでください",IF(NOT(ISNUMBER($P42)),"⚠ 入庫日は ▼ から選んでください",IF($P42&lt;N('設定'!$C$6),"⚠ 入庫日が過去です（もう在庫に入っています）→ 消してください",IF($P42&gt;N('設定'!$C$6)+13,"⚠ 入庫日が14日より先です",IF(N($Q42)&lt;=0,"⚠ 入庫数を入れてください",IF($CG42&gt;0,"⚠ 目安より "&amp;$CG42&amp;" 多い（定数を超える）→ 減らす",""))))))))</f>
        <v/>
      </c>
      <c r="CJ42">
        <f>IF($C42="","",IF(AND($S42="",$T42=""),"",IF($S42="","⚠ 2便目：入庫日を ▼ から選んでください",IF(NOT(ISNUMBER($S42)),"⚠ 2便目：入庫日は ▼ から選んでください",IF($S42&lt;N('設定'!$C$6),"⚠ 2便目：入庫日が過去です（もう在庫に入っています）→ 消してください",IF($S42&gt;N('設定'!$C$6)+13,"⚠ 2便目：入庫日が14日より先です",IF(N($T42)&lt;=0,"⚠ 2便目：入庫数を入れてください",IF($CH42&gt;0,"⚠ 2便目：定数を "&amp;$CH42&amp;" ケース超える → 減らす",""))))))))</f>
        <v/>
      </c>
      <c r="CK42">
        <f>IF(AND($CI42="",N($Q42)&gt;0,ISNUMBER($P42)),1,0)</f>
        <v/>
      </c>
      <c r="CL42">
        <f>IF(AND($CJ42="",N($T42)&gt;0,ISNUMBER($S42)),1,0)</f>
        <v/>
      </c>
      <c r="CM42">
        <f>IF(OR($CK42=1,$CL42=1),1,0)</f>
        <v/>
      </c>
      <c r="CN42">
        <f>IF($C42="",0,($CK42*$R42+$CL42*$U42)*N($H42))</f>
        <v/>
      </c>
      <c r="CO42">
        <f>IF($C42="","",IF($CC42="","入庫後は 14日以上もつ",IF($CC42-N('設定'!$C$7)&lt;='設定'!$C$6,"入庫後も "&amp;TEXT($CC42,"m/d")&amp;"("&amp;CHOOSE(WEEKDAY($CC42),"日","月","火","水","木","金","土")&amp;")"&amp;" に切れる　もう1便を至急発注","入庫後も "&amp;TEXT($CC42,"m/d")&amp;"("&amp;CHOOSE(WEEKDAY($CC42),"日","月","火","水","木","金","土")&amp;")"&amp;" に切れる　"&amp;TEXT($CC42-N('設定'!$C$7),"m/d")&amp;"("&amp;CHOOSE(WEEKDAY($CC42-N('設定'!$C$7)),"日","月","火","水","木","金","土")&amp;")"&amp;" までに次を発注")))</f>
        <v/>
      </c>
      <c r="CP42">
        <f>IF($C42="","",IF('設定'!$C$6="","？ ①在庫を貼る に今日のCSVが貼られていない",IF($CS42=1,"－ 今日のCSVに無い（終売？）",IF($L42&lt;0,"● 在庫がマイナス　数えて「数えた在庫」に入れる",IF($L42=0,"● 在庫なし　至急発注",IF($M42="","？ 減り数が未設定（商品マスタ）",IF($B$3=0,"？ 動員が未入力（動員を入れる）",IF($CA42="","○ 14日以上もつ",IF($BZ42&lt;N('設定'!$C$7),"● "&amp;TEXT($CA42,"m/d")&amp;"("&amp;CHOOSE(WEEKDAY($CA42),"日","月","火","水","木","金","土")&amp;")"&amp;" に切れる　至急発注",IF($BZ42=N('設定'!$C$7),"● "&amp;TEXT($CA42,"m/d")&amp;"("&amp;CHOOSE(WEEKDAY($CA42),"日","月","火","水","木","金","土")&amp;")"&amp;" に切れる　今日発注","△ "&amp;TEXT($CA42,"m/d")&amp;"("&amp;CHOOSE(WEEKDAY($CA42),"日","月","火","水","木","金","土")&amp;")"&amp;" に切れる　"&amp;TEXT($CA42-N('設定'!$C$7),"m/d")&amp;"("&amp;CHOOSE(WEEKDAY($CA42-N('設定'!$C$7)),"日","月","火","水","木","金","土")&amp;")"&amp;" までに発注"))))))))))</f>
        <v/>
      </c>
      <c r="CQ42">
        <f>IF($C42="","",IF(AND($P42="",$Q42="",$S42="",$T42=""),"",IF(AND($P42="",$Q42=""),"⚠ 先に1便目（左の入庫日・入庫数）に入れてください",IF($CI42&lt;&gt;"",$CI42,IF($CJ42&lt;&gt;"",$CJ42,IF($M42="","？ 減り数が未設定（発注書には載ります）",IF($B$3=0,"？ 動員が未入力（発注書には載ります）",IF(AND($CA42&lt;&gt;"",$P42&gt;$CA42),IF($P42&gt;'設定'!$C$6+N('設定'!$C$7),"● "&amp;TEXT($P42,"m/d")&amp;"("&amp;CHOOSE(WEEKDAY($P42),"日","月","火","水","木","金","土")&amp;")"&amp;" の入庫では間に合わない（"&amp;TEXT($CA42,"m/d")&amp;"("&amp;CHOOSE(WEEKDAY($CA42),"日","月","火","水","木","金","土")&amp;")"&amp;" に切れる）　入庫日を早める","△ 欠品 "&amp;TEXT($CA42,"m/d")&amp;"("&amp;CHOOSE(WEEKDAY($CA42),"日","月","火","水","木","金","土")&amp;")"&amp;"〜"&amp;TEXT($P42-1,"m/d")&amp;"("&amp;CHOOSE(WEEKDAY($P42-1),"日","月","火","水","木","金","土")&amp;")"&amp;"　"&amp;$CO42),IF($CC42="","○ "&amp;TEXT($P42,"m/d")&amp;"("&amp;CHOOSE(WEEKDAY($P42),"日","月","火","水","木","金","土")&amp;")"&amp;" 入庫で 14日以上もつ",IF($CC42-N('設定'!$C$7)&lt;='設定'!$C$6,"● 入庫しても "&amp;TEXT($CC42,"m/d")&amp;"("&amp;CHOOSE(WEEKDAY($CC42),"日","月","火","水","木","金","土")&amp;")"&amp;" に切れる　もう1便を至急発注（2便目に入れる）","△ 入庫しても "&amp;TEXT($CC42,"m/d")&amp;"("&amp;CHOOSE(WEEKDAY($CC42),"日","月","火","水","木","金","土")&amp;")"&amp;" に切れる　"&amp;TEXT($CC42-N('設定'!$C$7),"m/d")&amp;"("&amp;CHOOSE(WEEKDAY($CC42-N('設定'!$C$7)),"日","月","火","水","木","金","土")&amp;")"&amp;" までに次を発注（2便目に入れる）"))))))))))</f>
        <v/>
      </c>
      <c r="CR42">
        <f>IF($C42="","",IF($G42&gt;1,"ｹｰｽ("&amp;$G42&amp;"入)","個"))</f>
        <v/>
      </c>
      <c r="CS42">
        <f>IF($C42="",0,IF(COUNTIFS('①在庫を貼る'!$V$6:$V$10005,'設定'!$C$4,'①在庫を貼る'!$W$6:$W$10005,$C42)=0,1,0))</f>
        <v/>
      </c>
      <c r="CT42">
        <f>IF(AND($CK42=1,OR('③発注書'!$C$4="すべて",'③発注書'!$C$4="",$F42='③発注書'!$C$4)),N($CT41)+1,N($CT41))</f>
        <v/>
      </c>
      <c r="CU42">
        <f>IF(AND($CL42=1,OR('③発注書'!$C$4="すべて",'③発注書'!$C$4="",$F42='③発注書'!$C$4)),N($CU41)+1,N($CU41))</f>
        <v/>
      </c>
      <c r="CV42">
        <f>IF($C42="",0,IF(COUNTIFS('①在庫を貼る'!$V$6:$V$10005,'設定'!$C$4,'①在庫を貼る'!$W$6:$W$10005,$C42)&gt;0,1,0))</f>
        <v/>
      </c>
      <c r="CW42">
        <f>IF($C42="",0,IF(COUNTIFS('月1回_1ヶ月前の在庫'!$V$6:$V$10005,'設定'!$C$4,'月1回_1ヶ月前の在庫'!$W$6:$W$10005,$C42)&gt;0,1,0))</f>
        <v/>
      </c>
      <c r="CX42">
        <f>IF($C42="",0,IF(COUNTIFS('月1回_2ヶ月前の在庫'!$V$6:$V$10005,'設定'!$C$4,'月1回_2ヶ月前の在庫'!$W$6:$W$10005,$C42)&gt;0,1,0))</f>
        <v/>
      </c>
      <c r="CY42">
        <f>IF(OR($C42="",'設定'!$C$12=""),"",IF('設定'!$C$13="",IF(AND($CV42=1,$CW42=0),"新商品（今月から）",IF(AND($CV42=0,$CW42=1),"終売（今月から）","")),IF(AND($CV42=1,$CW42=0,$CX42=0),"新商品（今月から）",IF(AND($CV42=1,$CW42=1,$CX42=0),"新商品（先月から）",IF(AND($CV42=0,$CW42=1,$CX42=1),"終売（今月から）",IF(AND($CV42=0,$CW42=0,$CX42=1),"終売（先月から）",IF(AND($CV42=1,$CW42=0,$CX42=1),"復活（先月は無し）","")))))))</f>
        <v/>
      </c>
    </row>
    <row r="43">
      <c r="B43">
        <f>IF(38&lt;='設定'!$C$11,38,"")</f>
        <v/>
      </c>
      <c r="C43">
        <f>IF($B43="","",IF($B43&lt;='設定'!$C$20,INDEX('商品マスタ'!$B$6:$B$1005,MATCH($B43,'商品マスタ'!$M$6:$M$1005,0)),IF($B43&lt;='設定'!$C$20+'設定'!$C$17,INDEX('①在庫を貼る'!$W$6:$W$10005,MATCH($B43-'設定'!$C$20,'①在庫を貼る'!$U$6:$U$10005,0)),IF($B43&lt;='設定'!$C$20+'設定'!$C$17+'設定'!$C$18,INDEX('月1回_1ヶ月前の在庫'!$W$6:$W$10005,MATCH($B43-'設定'!$C$20-'設定'!$C$17,'月1回_1ヶ月前の在庫'!$U$6:$U$10005,0)),INDEX('月1回_2ヶ月前の在庫'!$W$6:$W$10005,MATCH($B43-'設定'!$C$20-'設定'!$C$17-'設定'!$C$18,'月1回_2ヶ月前の在庫'!$U$6:$U$10005,0))))))</f>
        <v/>
      </c>
      <c r="D43">
        <f>IF($C43="","",IFERROR(IF(INDEX('商品マスタ'!$C$6:$C$1005,MATCH($C43,'商品マスタ'!$B$6:$B$1005,0))="",IFERROR(INDEX('①在庫を貼る'!$J$6:$J$10005,MATCH($C43,'①在庫を貼る'!$W$6:$W$10005,0)),IFERROR(INDEX('月1回_1ヶ月前の在庫'!$J$6:$J$10005,MATCH($C43,'月1回_1ヶ月前の在庫'!$W$6:$W$10005,0)),IFERROR(INDEX('月1回_2ヶ月前の在庫'!$J$6:$J$10005,MATCH($C43,'月1回_2ヶ月前の在庫'!$W$6:$W$10005,0)),""))),INDEX('商品マスタ'!$C$6:$C$1005,MATCH($C43,'商品マスタ'!$B$6:$B$1005,0))),IFERROR(INDEX('①在庫を貼る'!$J$6:$J$10005,MATCH($C43,'①在庫を貼る'!$W$6:$W$10005,0)),IFERROR(INDEX('月1回_1ヶ月前の在庫'!$J$6:$J$10005,MATCH($C43,'月1回_1ヶ月前の在庫'!$W$6:$W$10005,0)),IFERROR(INDEX('月1回_2ヶ月前の在庫'!$J$6:$J$10005,MATCH($C43,'月1回_2ヶ月前の在庫'!$W$6:$W$10005,0)),"")))))</f>
        <v/>
      </c>
      <c r="E43">
        <f>IF($C43="","",IFERROR(IF(INDEX('商品マスタ'!$D$6:$D$1005,MATCH($C43,'商品マスタ'!$B$6:$B$1005,0))="",IFERROR(INDEX('①在庫を貼る'!$H$6:$H$10005,MATCH($C43,'①在庫を貼る'!$W$6:$W$10005,0)),IFERROR(INDEX('月1回_1ヶ月前の在庫'!$H$6:$H$10005,MATCH($C43,'月1回_1ヶ月前の在庫'!$W$6:$W$10005,0)),IFERROR(INDEX('月1回_2ヶ月前の在庫'!$H$6:$H$10005,MATCH($C43,'月1回_2ヶ月前の在庫'!$W$6:$W$10005,0)),""))),INDEX('商品マスタ'!$D$6:$D$1005,MATCH($C43,'商品マスタ'!$B$6:$B$1005,0))),IFERROR(INDEX('①在庫を貼る'!$H$6:$H$10005,MATCH($C43,'①在庫を貼る'!$W$6:$W$10005,0)),IFERROR(INDEX('月1回_1ヶ月前の在庫'!$H$6:$H$10005,MATCH($C43,'月1回_1ヶ月前の在庫'!$W$6:$W$10005,0)),IFERROR(INDEX('月1回_2ヶ月前の在庫'!$H$6:$H$10005,MATCH($C43,'月1回_2ヶ月前の在庫'!$W$6:$W$10005,0)),"")))))</f>
        <v/>
      </c>
      <c r="F43">
        <f>IF($C43="","",IFERROR(IF(INDEX('商品マスタ'!$E$6:$E$1005,MATCH($C43,'商品マスタ'!$B$6:$B$1005,0))="",IFERROR(INDEX('①在庫を貼る'!$E$6:$E$10005,MATCH($C43,'①在庫を貼る'!$W$6:$W$10005,0)),IFERROR(INDEX('月1回_1ヶ月前の在庫'!$E$6:$E$10005,MATCH($C43,'月1回_1ヶ月前の在庫'!$W$6:$W$10005,0)),IFERROR(INDEX('月1回_2ヶ月前の在庫'!$E$6:$E$10005,MATCH($C43,'月1回_2ヶ月前の在庫'!$W$6:$W$10005,0)),""))),INDEX('商品マスタ'!$E$6:$E$1005,MATCH($C43,'商品マスタ'!$B$6:$B$1005,0))),IFERROR(INDEX('①在庫を貼る'!$E$6:$E$10005,MATCH($C43,'①在庫を貼る'!$W$6:$W$10005,0)),IFERROR(INDEX('月1回_1ヶ月前の在庫'!$E$6:$E$10005,MATCH($C43,'月1回_1ヶ月前の在庫'!$W$6:$W$10005,0)),IFERROR(INDEX('月1回_2ヶ月前の在庫'!$E$6:$E$10005,MATCH($C43,'月1回_2ヶ月前の在庫'!$W$6:$W$10005,0)),"")))))</f>
        <v/>
      </c>
      <c r="G43">
        <f>IF($C43="","",MAX(1,N(IFERROR(IF(INDEX('商品マスタ'!$F$6:$F$1005,MATCH($C43,'商品マスタ'!$B$6:$B$1005,0))="",IF(COUNTIFS('①在庫を貼る'!$V$6:$V$10005,'設定'!$C$4,'①在庫を貼る'!$W$6:$W$10005,$C43)&gt;0,SUMIFS('①在庫を貼る'!$K$6:$K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K$6:$K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K$6:$K$10005,'月1回_2ヶ月前の在庫'!$V$6:$V$10005,'設定'!$C$4,'月1回_2ヶ月前の在庫'!$W$6:$W$10005,$C43)/COUNTIFS('月1回_2ヶ月前の在庫'!$V$6:$V$10005,'設定'!$C$4,'月1回_2ヶ月前の在庫'!$W$6:$W$10005,$C43),0))),INDEX('商品マスタ'!$F$6:$F$1005,MATCH($C43,'商品マスタ'!$B$6:$B$1005,0))),IF(COUNTIFS('①在庫を貼る'!$V$6:$V$10005,'設定'!$C$4,'①在庫を貼る'!$W$6:$W$10005,$C43)&gt;0,SUMIFS('①在庫を貼る'!$K$6:$K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K$6:$K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K$6:$K$10005,'月1回_2ヶ月前の在庫'!$V$6:$V$10005,'設定'!$C$4,'月1回_2ヶ月前の在庫'!$W$6:$W$10005,$C43)/COUNTIFS('月1回_2ヶ月前の在庫'!$V$6:$V$10005,'設定'!$C$4,'月1回_2ヶ月前の在庫'!$W$6:$W$10005,$C43),0)))))))</f>
        <v/>
      </c>
      <c r="H43">
        <f>IF($C43="","",N(IFERROR(IF(INDEX('商品マスタ'!$G$6:$G$1005,MATCH($C43,'商品マスタ'!$B$6:$B$1005,0))="",IF(COUNTIFS('①在庫を貼る'!$V$6:$V$10005,'設定'!$C$4,'①在庫を貼る'!$W$6:$W$10005,$C43)&gt;0,SUMIFS('①在庫を貼る'!$Q$6:$Q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Q$6:$Q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Q$6:$Q$10005,'月1回_2ヶ月前の在庫'!$V$6:$V$10005,'設定'!$C$4,'月1回_2ヶ月前の在庫'!$W$6:$W$10005,$C43)/COUNTIFS('月1回_2ヶ月前の在庫'!$V$6:$V$10005,'設定'!$C$4,'月1回_2ヶ月前の在庫'!$W$6:$W$10005,$C43),0))),INDEX('商品マスタ'!$G$6:$G$1005,MATCH($C43,'商品マスタ'!$B$6:$B$1005,0))),IF(COUNTIFS('①在庫を貼る'!$V$6:$V$10005,'設定'!$C$4,'①在庫を貼る'!$W$6:$W$10005,$C43)&gt;0,SUMIFS('①在庫を貼る'!$Q$6:$Q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Q$6:$Q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Q$6:$Q$10005,'月1回_2ヶ月前の在庫'!$V$6:$V$10005,'設定'!$C$4,'月1回_2ヶ月前の在庫'!$W$6:$W$10005,$C43)/COUNTIFS('月1回_2ヶ月前の在庫'!$V$6:$V$10005,'設定'!$C$4,'月1回_2ヶ月前の在庫'!$W$6:$W$10005,$C43),0))))))</f>
        <v/>
      </c>
      <c r="I43">
        <f>IF($C43="","",IF(COUNTIFS('①在庫を貼る'!$V$6:$V$10005,'設定'!$C$4,'①在庫を貼る'!$W$6:$W$10005,$C43)=0,"",SUMIFS('①在庫を貼る'!$N$6:$N$10005,'①在庫を貼る'!$V$6:$V$10005,'設定'!$C$4,'①在庫を貼る'!$W$6:$W$10005,$C43)))</f>
        <v/>
      </c>
      <c r="J43">
        <f>IF($C43="","",IF('②発注する'!$AD47="","",'②発注する'!$AD47))</f>
        <v/>
      </c>
      <c r="K43" s="90">
        <f>IF($C43="","",IF('②発注する'!$AE47="","",'②発注する'!$AE47))</f>
        <v/>
      </c>
      <c r="L43">
        <f>IF($C43="","",IF(AND(ISNUMBER($J43),ISNUMBER($K43),$K43&gt;='設定'!$C$6),$J43,N($I43)))</f>
        <v/>
      </c>
      <c r="M43">
        <f>IF($C43="","",IFERROR(IF(N(INDEX('商品マスタ'!$J$6:$J$1005,MATCH($C43,'商品マスタ'!$B$6:$B$1005,0)))&gt;0,INDEX('商品マスタ'!$J$6:$J$1005,MATCH($C43,'商品マスタ'!$B$6:$B$1005,0)),""),""))</f>
        <v/>
      </c>
      <c r="N43">
        <f>IF($C43="","",IFERROR(IF(N(INDEX('商品マスタ'!$H$6:$H$1005,MATCH($C43,'商品マスタ'!$B$6:$B$1005,0)))&gt;0,INDEX('商品マスタ'!$H$6:$H$1005,MATCH($C43,'商品マスタ'!$B$6:$B$1005,0)),""),""))</f>
        <v/>
      </c>
      <c r="O43">
        <f>IF($C43="","",IF($N43&lt;&gt;"",$N43*$G43,IF(N(IF(COUNTIFS('①在庫を貼る'!$V$6:$V$10005,'設定'!$C$4,'①在庫を貼る'!$W$6:$W$10005,$C43)&gt;0,SUMIFS('①在庫を貼る'!$O$6:$O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O$6:$O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O$6:$O$10005,'月1回_2ヶ月前の在庫'!$V$6:$V$10005,'設定'!$C$4,'月1回_2ヶ月前の在庫'!$W$6:$W$10005,$C43)/COUNTIFS('月1回_2ヶ月前の在庫'!$V$6:$V$10005,'設定'!$C$4,'月1回_2ヶ月前の在庫'!$W$6:$W$10005,$C43),0))))&gt;0,N(IF(COUNTIFS('①在庫を貼る'!$V$6:$V$10005,'設定'!$C$4,'①在庫を貼る'!$W$6:$W$10005,$C43)&gt;0,SUMIFS('①在庫を貼る'!$O$6:$O$10005,'①在庫を貼る'!$V$6:$V$10005,'設定'!$C$4,'①在庫を貼る'!$W$6:$W$10005,$C43)/COUNTIFS('①在庫を貼る'!$V$6:$V$10005,'設定'!$C$4,'①在庫を貼る'!$W$6:$W$10005,$C43),IF(COUNTIFS('月1回_1ヶ月前の在庫'!$V$6:$V$10005,'設定'!$C$4,'月1回_1ヶ月前の在庫'!$W$6:$W$10005,$C43)&gt;0,SUMIFS('月1回_1ヶ月前の在庫'!$O$6:$O$10005,'月1回_1ヶ月前の在庫'!$V$6:$V$10005,'設定'!$C$4,'月1回_1ヶ月前の在庫'!$W$6:$W$10005,$C43)/COUNTIFS('月1回_1ヶ月前の在庫'!$V$6:$V$10005,'設定'!$C$4,'月1回_1ヶ月前の在庫'!$W$6:$W$10005,$C43),IF(COUNTIFS('月1回_2ヶ月前の在庫'!$V$6:$V$10005,'設定'!$C$4,'月1回_2ヶ月前の在庫'!$W$6:$W$10005,$C43)&gt;0,SUMIFS('月1回_2ヶ月前の在庫'!$O$6:$O$10005,'月1回_2ヶ月前の在庫'!$V$6:$V$10005,'設定'!$C$4,'月1回_2ヶ月前の在庫'!$W$6:$W$10005,$C43)/COUNTIFS('月1回_2ヶ月前の在庫'!$V$6:$V$10005,'設定'!$C$4,'月1回_2ヶ月前の在庫'!$W$6:$W$10005,$C43),0)))),"")))</f>
        <v/>
      </c>
      <c r="P43" s="90">
        <f>IF($C43="","",IF('②発注する'!$I47="","",'②発注する'!$I47))</f>
        <v/>
      </c>
      <c r="Q43">
        <f>IF($C43="","",IF('②発注する'!$J47="","",'②発注する'!$J47))</f>
        <v/>
      </c>
      <c r="R43">
        <f>IF($C43="",0,IF(AND(ISNUMBER($P43),ISNUMBER($Q43)),MAX(0,$Q43)*$G43,0))</f>
        <v/>
      </c>
      <c r="S43" s="90">
        <f>IF($C43="","",IF('②発注する'!$M47="","",'②発注する'!$M47))</f>
        <v/>
      </c>
      <c r="T43">
        <f>IF($C43="","",IF('②発注する'!$N47="","",'②発注する'!$N47))</f>
        <v/>
      </c>
      <c r="U43">
        <f>IF($C43="",0,IF(AND(ISNUMBER($S43),ISNUMBER($T43)),MAX(0,$T43)*$G43,0))</f>
        <v/>
      </c>
      <c r="V43">
        <f>IF($C43="",0,IF($M43="",0,MAX(0,$M43)*MAX(0,V$4)/100))</f>
        <v/>
      </c>
      <c r="W43">
        <f>IF($C43="",0,IF($M43="",0,MAX(0,$M43)*MAX(0,W$4)/100))</f>
        <v/>
      </c>
      <c r="X43">
        <f>IF($C43="",0,IF($M43="",0,MAX(0,$M43)*MAX(0,X$4)/100))</f>
        <v/>
      </c>
      <c r="Y43">
        <f>IF($C43="",0,IF($M43="",0,MAX(0,$M43)*MAX(0,Y$4)/100))</f>
        <v/>
      </c>
      <c r="Z43">
        <f>IF($C43="",0,IF($M43="",0,MAX(0,$M43)*MAX(0,Z$4)/100))</f>
        <v/>
      </c>
      <c r="AA43">
        <f>IF($C43="",0,IF($M43="",0,MAX(0,$M43)*MAX(0,AA$4)/100))</f>
        <v/>
      </c>
      <c r="AB43">
        <f>IF($C43="",0,IF($M43="",0,MAX(0,$M43)*MAX(0,AB$4)/100))</f>
        <v/>
      </c>
      <c r="AC43">
        <f>IF($C43="",0,IF($M43="",0,MAX(0,$M43)*MAX(0,AC$4)/100))</f>
        <v/>
      </c>
      <c r="AD43">
        <f>IF($C43="",0,IF($M43="",0,MAX(0,$M43)*MAX(0,AD$4)/100))</f>
        <v/>
      </c>
      <c r="AE43">
        <f>IF($C43="",0,IF($M43="",0,MAX(0,$M43)*MAX(0,AE$4)/100))</f>
        <v/>
      </c>
      <c r="AF43">
        <f>IF($C43="",0,IF($M43="",0,MAX(0,$M43)*MAX(0,AF$4)/100))</f>
        <v/>
      </c>
      <c r="AG43">
        <f>IF($C43="",0,IF($M43="",0,MAX(0,$M43)*MAX(0,AG$4)/100))</f>
        <v/>
      </c>
      <c r="AH43">
        <f>IF($C43="",0,IF($M43="",0,MAX(0,$M43)*MAX(0,AH$4)/100))</f>
        <v/>
      </c>
      <c r="AI43">
        <f>IF($C43="",0,IF($M43="",0,MAX(0,$M43)*MAX(0,AI$4)/100))</f>
        <v/>
      </c>
      <c r="AJ43">
        <f>IF($C43="",0,MAX(0,MAX(0,N($L43))-$V43))</f>
        <v/>
      </c>
      <c r="AK43">
        <f>IF($C43="",0,MAX(0,$AJ43-$W43))</f>
        <v/>
      </c>
      <c r="AL43">
        <f>IF($C43="",0,MAX(0,$AK43-$X43))</f>
        <v/>
      </c>
      <c r="AM43">
        <f>IF($C43="",0,MAX(0,$AL43-$Y43))</f>
        <v/>
      </c>
      <c r="AN43">
        <f>IF($C43="",0,MAX(0,$AM43-$Z43))</f>
        <v/>
      </c>
      <c r="AO43">
        <f>IF($C43="",0,MAX(0,$AN43-$AA43))</f>
        <v/>
      </c>
      <c r="AP43">
        <f>IF($C43="",0,MAX(0,$AO43-$AB43))</f>
        <v/>
      </c>
      <c r="AQ43">
        <f>IF($C43="",0,MAX(0,$AP43-$AC43))</f>
        <v/>
      </c>
      <c r="AR43">
        <f>IF($C43="",0,MAX(0,$AQ43-$AD43))</f>
        <v/>
      </c>
      <c r="AS43">
        <f>IF($C43="",0,MAX(0,$AR43-$AE43))</f>
        <v/>
      </c>
      <c r="AT43">
        <f>IF($C43="",0,MAX(0,$AS43-$AF43))</f>
        <v/>
      </c>
      <c r="AU43">
        <f>IF($C43="",0,MAX(0,$AT43-$AG43))</f>
        <v/>
      </c>
      <c r="AV43">
        <f>IF($C43="",0,MAX(0,$AU43-$AH43))</f>
        <v/>
      </c>
      <c r="AW43">
        <f>IF($C43="",0,MAX(0,$AV43-$AI43))</f>
        <v/>
      </c>
      <c r="AX43">
        <f>IF($C43="",0,MAX(0,MAX(0,N($L43))+IF($P43=V$3,$R43,0)+IF($S43=V$3,$U43,0)-$V43))</f>
        <v/>
      </c>
      <c r="AY43">
        <f>IF($C43="",0,MAX(0,$AX43+IF($P43=W$3,$R43,0)+IF($S43=W$3,$U43,0)-$W43))</f>
        <v/>
      </c>
      <c r="AZ43">
        <f>IF($C43="",0,MAX(0,$AY43+IF($P43=X$3,$R43,0)+IF($S43=X$3,$U43,0)-$X43))</f>
        <v/>
      </c>
      <c r="BA43">
        <f>IF($C43="",0,MAX(0,$AZ43+IF($P43=Y$3,$R43,0)+IF($S43=Y$3,$U43,0)-$Y43))</f>
        <v/>
      </c>
      <c r="BB43">
        <f>IF($C43="",0,MAX(0,$BA43+IF($P43=Z$3,$R43,0)+IF($S43=Z$3,$U43,0)-$Z43))</f>
        <v/>
      </c>
      <c r="BC43">
        <f>IF($C43="",0,MAX(0,$BB43+IF($P43=AA$3,$R43,0)+IF($S43=AA$3,$U43,0)-$AA43))</f>
        <v/>
      </c>
      <c r="BD43">
        <f>IF($C43="",0,MAX(0,$BC43+IF($P43=AB$3,$R43,0)+IF($S43=AB$3,$U43,0)-$AB43))</f>
        <v/>
      </c>
      <c r="BE43">
        <f>IF($C43="",0,MAX(0,$BD43+IF($P43=AC$3,$R43,0)+IF($S43=AC$3,$U43,0)-$AC43))</f>
        <v/>
      </c>
      <c r="BF43">
        <f>IF($C43="",0,MAX(0,$BE43+IF($P43=AD$3,$R43,0)+IF($S43=AD$3,$U43,0)-$AD43))</f>
        <v/>
      </c>
      <c r="BG43">
        <f>IF($C43="",0,MAX(0,$BF43+IF($P43=AE$3,$R43,0)+IF($S43=AE$3,$U43,0)-$AE43))</f>
        <v/>
      </c>
      <c r="BH43">
        <f>IF($C43="",0,MAX(0,$BG43+IF($P43=AF$3,$R43,0)+IF($S43=AF$3,$U43,0)-$AF43))</f>
        <v/>
      </c>
      <c r="BI43">
        <f>IF($C43="",0,MAX(0,$BH43+IF($P43=AG$3,$R43,0)+IF($S43=AG$3,$U43,0)-$AG43))</f>
        <v/>
      </c>
      <c r="BJ43">
        <f>IF($C43="",0,MAX(0,$BI43+IF($P43=AH$3,$R43,0)+IF($S43=AH$3,$U43,0)-$AH43))</f>
        <v/>
      </c>
      <c r="BK43">
        <f>IF($C43="",0,MAX(0,$BJ43+IF($P43=AI$3,$R43,0)+IF($S43=AI$3,$U43,0)-$AI43))</f>
        <v/>
      </c>
      <c r="BL43">
        <f>IF($C43="",99,IF(AND($AX43&lt;1,V$3&gt;=MAX(N($P43),N($S43))),0,99))</f>
        <v/>
      </c>
      <c r="BM43">
        <f>IF($C43="",99,IF(AND($AY43&lt;1,W$3&gt;=MAX(N($P43),N($S43))),1,99))</f>
        <v/>
      </c>
      <c r="BN43">
        <f>IF($C43="",99,IF(AND($AZ43&lt;1,X$3&gt;=MAX(N($P43),N($S43))),2,99))</f>
        <v/>
      </c>
      <c r="BO43">
        <f>IF($C43="",99,IF(AND($BA43&lt;1,Y$3&gt;=MAX(N($P43),N($S43))),3,99))</f>
        <v/>
      </c>
      <c r="BP43">
        <f>IF($C43="",99,IF(AND($BB43&lt;1,Z$3&gt;=MAX(N($P43),N($S43))),4,99))</f>
        <v/>
      </c>
      <c r="BQ43">
        <f>IF($C43="",99,IF(AND($BC43&lt;1,AA$3&gt;=MAX(N($P43),N($S43))),5,99))</f>
        <v/>
      </c>
      <c r="BR43">
        <f>IF($C43="",99,IF(AND($BD43&lt;1,AB$3&gt;=MAX(N($P43),N($S43))),6,99))</f>
        <v/>
      </c>
      <c r="BS43">
        <f>IF($C43="",99,IF(AND($BE43&lt;1,AC$3&gt;=MAX(N($P43),N($S43))),7,99))</f>
        <v/>
      </c>
      <c r="BT43">
        <f>IF($C43="",99,IF(AND($BF43&lt;1,AD$3&gt;=MAX(N($P43),N($S43))),8,99))</f>
        <v/>
      </c>
      <c r="BU43">
        <f>IF($C43="",99,IF(AND($BG43&lt;1,AE$3&gt;=MAX(N($P43),N($S43))),9,99))</f>
        <v/>
      </c>
      <c r="BV43">
        <f>IF($C43="",99,IF(AND($BH43&lt;1,AF$3&gt;=MAX(N($P43),N($S43))),10,99))</f>
        <v/>
      </c>
      <c r="BW43">
        <f>IF($C43="",99,IF(AND($BI43&lt;1,AG$3&gt;=MAX(N($P43),N($S43))),11,99))</f>
        <v/>
      </c>
      <c r="BX43">
        <f>IF($C43="",99,IF(AND($BJ43&lt;1,AH$3&gt;=MAX(N($P43),N($S43))),12,99))</f>
        <v/>
      </c>
      <c r="BY43">
        <f>IF($C43="",99,IF(AND($BK43&lt;1,AI$3&gt;=MAX(N($P43),N($S43))),13,99))</f>
        <v/>
      </c>
      <c r="BZ43">
        <f>IF(OR($C43="",$M43=""),"",COUNTIF($AJ43:$AW43,"&gt;=1"))</f>
        <v/>
      </c>
      <c r="CA43" s="90">
        <f>IF($BZ43="","",IF($BZ43&gt;=14,"",'設定'!$C$6+$BZ43))</f>
        <v/>
      </c>
      <c r="CB43">
        <f>IF(OR($C43="",$M43=""),"",MIN($BL43:$BY43))</f>
        <v/>
      </c>
      <c r="CC43" s="90">
        <f>IF($CB43="","",IF($CB43&gt;=99,"",'設定'!$C$6+$CB43))</f>
        <v/>
      </c>
      <c r="CD43">
        <f>IF(OR($C43="",$M43=""),"",AVERAGE($V43:$AI43))</f>
        <v/>
      </c>
      <c r="CE43">
        <f>IF($C43="","",IFERROR(IF(MATCH(IF(ISNUMBER($P43),$P43,'設定'!$C$6+N('設定'!$C$7)),$V$3:$AI$3,0)=1,MAX(0,N($L43)),INDEX($AJ43:$AW43,MATCH(IF(ISNUMBER($P43),$P43,'設定'!$C$6+N('設定'!$C$7)),$V$3:$AI$3,0)-1)),""))</f>
        <v/>
      </c>
      <c r="CF43">
        <f>IF(OR($C43="",$O43="",$CE43=""),"",IF($O43-$CE43&lt;=0,0,ROUNDUP(($O43-$CE43)/$G43,0)))</f>
        <v/>
      </c>
      <c r="CG43">
        <f>IF(OR($C43="",$CF43="",NOT(ISNUMBER($Q43))),0,MAX(0,$Q43-$CF43))</f>
        <v/>
      </c>
      <c r="CH43">
        <f>IF(OR($C43="",$O43="",$U43=0),0,IFERROR(ROUNDUP(MAX(0,IF(MATCH($S43,$V$3:$AI$3,0)=1,MAX(0,N($L43)),INDEX($AX43:$BK43,MATCH($S43,$V$3:$AI$3,0)-1))+$U43-$O43)/$G43,0),0))</f>
        <v/>
      </c>
      <c r="CI43">
        <f>IF($C43="","",IF(AND($P43="",$Q43=""),"",IF($P43="","⚠ 入庫日を ▼ から選んでください",IF(NOT(ISNUMBER($P43)),"⚠ 入庫日は ▼ から選んでください",IF($P43&lt;N('設定'!$C$6),"⚠ 入庫日が過去です（もう在庫に入っています）→ 消してください",IF($P43&gt;N('設定'!$C$6)+13,"⚠ 入庫日が14日より先です",IF(N($Q43)&lt;=0,"⚠ 入庫数を入れてください",IF($CG43&gt;0,"⚠ 目安より "&amp;$CG43&amp;" 多い（定数を超える）→ 減らす",""))))))))</f>
        <v/>
      </c>
      <c r="CJ43">
        <f>IF($C43="","",IF(AND($S43="",$T43=""),"",IF($S43="","⚠ 2便目：入庫日を ▼ から選んでください",IF(NOT(ISNUMBER($S43)),"⚠ 2便目：入庫日は ▼ から選んでください",IF($S43&lt;N('設定'!$C$6),"⚠ 2便目：入庫日が過去です（もう在庫に入っています）→ 消してください",IF($S43&gt;N('設定'!$C$6)+13,"⚠ 2便目：入庫日が14日より先です",IF(N($T43)&lt;=0,"⚠ 2便目：入庫数を入れてください",IF($CH43&gt;0,"⚠ 2便目：定数を "&amp;$CH43&amp;" ケース超える → 減らす",""))))))))</f>
        <v/>
      </c>
      <c r="CK43">
        <f>IF(AND($CI43="",N($Q43)&gt;0,ISNUMBER($P43)),1,0)</f>
        <v/>
      </c>
      <c r="CL43">
        <f>IF(AND($CJ43="",N($T43)&gt;0,ISNUMBER($S43)),1,0)</f>
        <v/>
      </c>
      <c r="CM43">
        <f>IF(OR($CK43=1,$CL43=1),1,0)</f>
        <v/>
      </c>
      <c r="CN43">
        <f>IF($C43="",0,($CK43*$R43+$CL43*$U43)*N($H43))</f>
        <v/>
      </c>
      <c r="CO43">
        <f>IF($C43="","",IF($CC43="","入庫後は 14日以上もつ",IF($CC43-N('設定'!$C$7)&lt;='設定'!$C$6,"入庫後も "&amp;TEXT($CC43,"m/d")&amp;"("&amp;CHOOSE(WEEKDAY($CC43),"日","月","火","水","木","金","土")&amp;")"&amp;" に切れる　もう1便を至急発注","入庫後も "&amp;TEXT($CC43,"m/d")&amp;"("&amp;CHOOSE(WEEKDAY($CC43),"日","月","火","水","木","金","土")&amp;")"&amp;" に切れる　"&amp;TEXT($CC43-N('設定'!$C$7),"m/d")&amp;"("&amp;CHOOSE(WEEKDAY($CC43-N('設定'!$C$7)),"日","月","火","水","木","金","土")&amp;")"&amp;" までに次を発注")))</f>
        <v/>
      </c>
      <c r="CP43">
        <f>IF($C43="","",IF('設定'!$C$6="","？ ①在庫を貼る に今日のCSVが貼られていない",IF($CS43=1,"－ 今日のCSVに無い（終売？）",IF($L43&lt;0,"● 在庫がマイナス　数えて「数えた在庫」に入れる",IF($L43=0,"● 在庫なし　至急発注",IF($M43="","？ 減り数が未設定（商品マスタ）",IF($B$3=0,"？ 動員が未入力（動員を入れる）",IF($CA43="","○ 14日以上もつ",IF($BZ43&lt;N('設定'!$C$7),"● "&amp;TEXT($CA43,"m/d")&amp;"("&amp;CHOOSE(WEEKDAY($CA43),"日","月","火","水","木","金","土")&amp;")"&amp;" に切れる　至急発注",IF($BZ43=N('設定'!$C$7),"● "&amp;TEXT($CA43,"m/d")&amp;"("&amp;CHOOSE(WEEKDAY($CA43),"日","月","火","水","木","金","土")&amp;")"&amp;" に切れる　今日発注","△ "&amp;TEXT($CA43,"m/d")&amp;"("&amp;CHOOSE(WEEKDAY($CA43),"日","月","火","水","木","金","土")&amp;")"&amp;" に切れる　"&amp;TEXT($CA43-N('設定'!$C$7),"m/d")&amp;"("&amp;CHOOSE(WEEKDAY($CA43-N('設定'!$C$7)),"日","月","火","水","木","金","土")&amp;")"&amp;" までに発注"))))))))))</f>
        <v/>
      </c>
      <c r="CQ43">
        <f>IF($C43="","",IF(AND($P43="",$Q43="",$S43="",$T43=""),"",IF(AND($P43="",$Q43=""),"⚠ 先に1便目（左の入庫日・入庫数）に入れてください",IF($CI43&lt;&gt;"",$CI43,IF($CJ43&lt;&gt;"",$CJ43,IF($M43="","？ 減り数が未設定（発注書には載ります）",IF($B$3=0,"？ 動員が未入力（発注書には載ります）",IF(AND($CA43&lt;&gt;"",$P43&gt;$CA43),IF($P43&gt;'設定'!$C$6+N('設定'!$C$7),"● "&amp;TEXT($P43,"m/d")&amp;"("&amp;CHOOSE(WEEKDAY($P43),"日","月","火","水","木","金","土")&amp;")"&amp;" の入庫では間に合わない（"&amp;TEXT($CA43,"m/d")&amp;"("&amp;CHOOSE(WEEKDAY($CA43),"日","月","火","水","木","金","土")&amp;")"&amp;" に切れる）　入庫日を早める","△ 欠品 "&amp;TEXT($CA43,"m/d")&amp;"("&amp;CHOOSE(WEEKDAY($CA43),"日","月","火","水","木","金","土")&amp;")"&amp;"〜"&amp;TEXT($P43-1,"m/d")&amp;"("&amp;CHOOSE(WEEKDAY($P43-1),"日","月","火","水","木","金","土")&amp;")"&amp;"　"&amp;$CO43),IF($CC43="","○ "&amp;TEXT($P43,"m/d")&amp;"("&amp;CHOOSE(WEEKDAY($P43),"日","月","火","水","木","金","土")&amp;")"&amp;" 入庫で 14日以上もつ",IF($CC43-N('設定'!$C$7)&lt;='設定'!$C$6,"● 入庫しても "&amp;TEXT($CC43,"m/d")&amp;"("&amp;CHOOSE(WEEKDAY($CC43),"日","月","火","水","木","金","土")&amp;")"&amp;" に切れる　もう1便を至急発注（2便目に入れる）","△ 入庫しても "&amp;TEXT($CC43,"m/d")&amp;"("&amp;CHOOSE(WEEKDAY($CC43),"日","月","火","水","木","金","土")&amp;")"&amp;" に切れる　"&amp;TEXT($CC43-N('設定'!$C$7),"m/d")&amp;"("&amp;CHOOSE(WEEKDAY($CC43-N('設定'!$C$7)),"日","月","火","水","木","金","土")&amp;")"&amp;" までに次を発注（2便目に入れる）"))))))))))</f>
        <v/>
      </c>
      <c r="CR43">
        <f>IF($C43="","",IF($G43&gt;1,"ｹｰｽ("&amp;$G43&amp;"入)","個"))</f>
        <v/>
      </c>
      <c r="CS43">
        <f>IF($C43="",0,IF(COUNTIFS('①在庫を貼る'!$V$6:$V$10005,'設定'!$C$4,'①在庫を貼る'!$W$6:$W$10005,$C43)=0,1,0))</f>
        <v/>
      </c>
      <c r="CT43">
        <f>IF(AND($CK43=1,OR('③発注書'!$C$4="すべて",'③発注書'!$C$4="",$F43='③発注書'!$C$4)),N($CT42)+1,N($CT42))</f>
        <v/>
      </c>
      <c r="CU43">
        <f>IF(AND($CL43=1,OR('③発注書'!$C$4="すべて",'③発注書'!$C$4="",$F43='③発注書'!$C$4)),N($CU42)+1,N($CU42))</f>
        <v/>
      </c>
      <c r="CV43">
        <f>IF($C43="",0,IF(COUNTIFS('①在庫を貼る'!$V$6:$V$10005,'設定'!$C$4,'①在庫を貼る'!$W$6:$W$10005,$C43)&gt;0,1,0))</f>
        <v/>
      </c>
      <c r="CW43">
        <f>IF($C43="",0,IF(COUNTIFS('月1回_1ヶ月前の在庫'!$V$6:$V$10005,'設定'!$C$4,'月1回_1ヶ月前の在庫'!$W$6:$W$10005,$C43)&gt;0,1,0))</f>
        <v/>
      </c>
      <c r="CX43">
        <f>IF($C43="",0,IF(COUNTIFS('月1回_2ヶ月前の在庫'!$V$6:$V$10005,'設定'!$C$4,'月1回_2ヶ月前の在庫'!$W$6:$W$10005,$C43)&gt;0,1,0))</f>
        <v/>
      </c>
      <c r="CY43">
        <f>IF(OR($C43="",'設定'!$C$12=""),"",IF('設定'!$C$13="",IF(AND($CV43=1,$CW43=0),"新商品（今月から）",IF(AND($CV43=0,$CW43=1),"終売（今月から）","")),IF(AND($CV43=1,$CW43=0,$CX43=0),"新商品（今月から）",IF(AND($CV43=1,$CW43=1,$CX43=0),"新商品（先月から）",IF(AND($CV43=0,$CW43=1,$CX43=1),"終売（今月から）",IF(AND($CV43=0,$CW43=0,$CX43=1),"終売（先月から）",IF(AND($CV43=1,$CW43=0,$CX43=1),"復活（先月は無し）","")))))))</f>
        <v/>
      </c>
    </row>
    <row r="44">
      <c r="B44">
        <f>IF(39&lt;='設定'!$C$11,39,"")</f>
        <v/>
      </c>
      <c r="C44">
        <f>IF($B44="","",IF($B44&lt;='設定'!$C$20,INDEX('商品マスタ'!$B$6:$B$1005,MATCH($B44,'商品マスタ'!$M$6:$M$1005,0)),IF($B44&lt;='設定'!$C$20+'設定'!$C$17,INDEX('①在庫を貼る'!$W$6:$W$10005,MATCH($B44-'設定'!$C$20,'①在庫を貼る'!$U$6:$U$10005,0)),IF($B44&lt;='設定'!$C$20+'設定'!$C$17+'設定'!$C$18,INDEX('月1回_1ヶ月前の在庫'!$W$6:$W$10005,MATCH($B44-'設定'!$C$20-'設定'!$C$17,'月1回_1ヶ月前の在庫'!$U$6:$U$10005,0)),INDEX('月1回_2ヶ月前の在庫'!$W$6:$W$10005,MATCH($B44-'設定'!$C$20-'設定'!$C$17-'設定'!$C$18,'月1回_2ヶ月前の在庫'!$U$6:$U$10005,0))))))</f>
        <v/>
      </c>
      <c r="D44">
        <f>IF($C44="","",IFERROR(IF(INDEX('商品マスタ'!$C$6:$C$1005,MATCH($C44,'商品マスタ'!$B$6:$B$1005,0))="",IFERROR(INDEX('①在庫を貼る'!$J$6:$J$10005,MATCH($C44,'①在庫を貼る'!$W$6:$W$10005,0)),IFERROR(INDEX('月1回_1ヶ月前の在庫'!$J$6:$J$10005,MATCH($C44,'月1回_1ヶ月前の在庫'!$W$6:$W$10005,0)),IFERROR(INDEX('月1回_2ヶ月前の在庫'!$J$6:$J$10005,MATCH($C44,'月1回_2ヶ月前の在庫'!$W$6:$W$10005,0)),""))),INDEX('商品マスタ'!$C$6:$C$1005,MATCH($C44,'商品マスタ'!$B$6:$B$1005,0))),IFERROR(INDEX('①在庫を貼る'!$J$6:$J$10005,MATCH($C44,'①在庫を貼る'!$W$6:$W$10005,0)),IFERROR(INDEX('月1回_1ヶ月前の在庫'!$J$6:$J$10005,MATCH($C44,'月1回_1ヶ月前の在庫'!$W$6:$W$10005,0)),IFERROR(INDEX('月1回_2ヶ月前の在庫'!$J$6:$J$10005,MATCH($C44,'月1回_2ヶ月前の在庫'!$W$6:$W$10005,0)),"")))))</f>
        <v/>
      </c>
      <c r="E44">
        <f>IF($C44="","",IFERROR(IF(INDEX('商品マスタ'!$D$6:$D$1005,MATCH($C44,'商品マスタ'!$B$6:$B$1005,0))="",IFERROR(INDEX('①在庫を貼る'!$H$6:$H$10005,MATCH($C44,'①在庫を貼る'!$W$6:$W$10005,0)),IFERROR(INDEX('月1回_1ヶ月前の在庫'!$H$6:$H$10005,MATCH($C44,'月1回_1ヶ月前の在庫'!$W$6:$W$10005,0)),IFERROR(INDEX('月1回_2ヶ月前の在庫'!$H$6:$H$10005,MATCH($C44,'月1回_2ヶ月前の在庫'!$W$6:$W$10005,0)),""))),INDEX('商品マスタ'!$D$6:$D$1005,MATCH($C44,'商品マスタ'!$B$6:$B$1005,0))),IFERROR(INDEX('①在庫を貼る'!$H$6:$H$10005,MATCH($C44,'①在庫を貼る'!$W$6:$W$10005,0)),IFERROR(INDEX('月1回_1ヶ月前の在庫'!$H$6:$H$10005,MATCH($C44,'月1回_1ヶ月前の在庫'!$W$6:$W$10005,0)),IFERROR(INDEX('月1回_2ヶ月前の在庫'!$H$6:$H$10005,MATCH($C44,'月1回_2ヶ月前の在庫'!$W$6:$W$10005,0)),"")))))</f>
        <v/>
      </c>
      <c r="F44">
        <f>IF($C44="","",IFERROR(IF(INDEX('商品マスタ'!$E$6:$E$1005,MATCH($C44,'商品マスタ'!$B$6:$B$1005,0))="",IFERROR(INDEX('①在庫を貼る'!$E$6:$E$10005,MATCH($C44,'①在庫を貼る'!$W$6:$W$10005,0)),IFERROR(INDEX('月1回_1ヶ月前の在庫'!$E$6:$E$10005,MATCH($C44,'月1回_1ヶ月前の在庫'!$W$6:$W$10005,0)),IFERROR(INDEX('月1回_2ヶ月前の在庫'!$E$6:$E$10005,MATCH($C44,'月1回_2ヶ月前の在庫'!$W$6:$W$10005,0)),""))),INDEX('商品マスタ'!$E$6:$E$1005,MATCH($C44,'商品マスタ'!$B$6:$B$1005,0))),IFERROR(INDEX('①在庫を貼る'!$E$6:$E$10005,MATCH($C44,'①在庫を貼る'!$W$6:$W$10005,0)),IFERROR(INDEX('月1回_1ヶ月前の在庫'!$E$6:$E$10005,MATCH($C44,'月1回_1ヶ月前の在庫'!$W$6:$W$10005,0)),IFERROR(INDEX('月1回_2ヶ月前の在庫'!$E$6:$E$10005,MATCH($C44,'月1回_2ヶ月前の在庫'!$W$6:$W$10005,0)),"")))))</f>
        <v/>
      </c>
      <c r="G44">
        <f>IF($C44="","",MAX(1,N(IFERROR(IF(INDEX('商品マスタ'!$F$6:$F$1005,MATCH($C44,'商品マスタ'!$B$6:$B$1005,0))="",IF(COUNTIFS('①在庫を貼る'!$V$6:$V$10005,'設定'!$C$4,'①在庫を貼る'!$W$6:$W$10005,$C44)&gt;0,SUMIFS('①在庫を貼る'!$K$6:$K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K$6:$K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K$6:$K$10005,'月1回_2ヶ月前の在庫'!$V$6:$V$10005,'設定'!$C$4,'月1回_2ヶ月前の在庫'!$W$6:$W$10005,$C44)/COUNTIFS('月1回_2ヶ月前の在庫'!$V$6:$V$10005,'設定'!$C$4,'月1回_2ヶ月前の在庫'!$W$6:$W$10005,$C44),0))),INDEX('商品マスタ'!$F$6:$F$1005,MATCH($C44,'商品マスタ'!$B$6:$B$1005,0))),IF(COUNTIFS('①在庫を貼る'!$V$6:$V$10005,'設定'!$C$4,'①在庫を貼る'!$W$6:$W$10005,$C44)&gt;0,SUMIFS('①在庫を貼る'!$K$6:$K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K$6:$K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K$6:$K$10005,'月1回_2ヶ月前の在庫'!$V$6:$V$10005,'設定'!$C$4,'月1回_2ヶ月前の在庫'!$W$6:$W$10005,$C44)/COUNTIFS('月1回_2ヶ月前の在庫'!$V$6:$V$10005,'設定'!$C$4,'月1回_2ヶ月前の在庫'!$W$6:$W$10005,$C44),0)))))))</f>
        <v/>
      </c>
      <c r="H44">
        <f>IF($C44="","",N(IFERROR(IF(INDEX('商品マスタ'!$G$6:$G$1005,MATCH($C44,'商品マスタ'!$B$6:$B$1005,0))="",IF(COUNTIFS('①在庫を貼る'!$V$6:$V$10005,'設定'!$C$4,'①在庫を貼る'!$W$6:$W$10005,$C44)&gt;0,SUMIFS('①在庫を貼る'!$Q$6:$Q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Q$6:$Q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Q$6:$Q$10005,'月1回_2ヶ月前の在庫'!$V$6:$V$10005,'設定'!$C$4,'月1回_2ヶ月前の在庫'!$W$6:$W$10005,$C44)/COUNTIFS('月1回_2ヶ月前の在庫'!$V$6:$V$10005,'設定'!$C$4,'月1回_2ヶ月前の在庫'!$W$6:$W$10005,$C44),0))),INDEX('商品マスタ'!$G$6:$G$1005,MATCH($C44,'商品マスタ'!$B$6:$B$1005,0))),IF(COUNTIFS('①在庫を貼る'!$V$6:$V$10005,'設定'!$C$4,'①在庫を貼る'!$W$6:$W$10005,$C44)&gt;0,SUMIFS('①在庫を貼る'!$Q$6:$Q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Q$6:$Q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Q$6:$Q$10005,'月1回_2ヶ月前の在庫'!$V$6:$V$10005,'設定'!$C$4,'月1回_2ヶ月前の在庫'!$W$6:$W$10005,$C44)/COUNTIFS('月1回_2ヶ月前の在庫'!$V$6:$V$10005,'設定'!$C$4,'月1回_2ヶ月前の在庫'!$W$6:$W$10005,$C44),0))))))</f>
        <v/>
      </c>
      <c r="I44">
        <f>IF($C44="","",IF(COUNTIFS('①在庫を貼る'!$V$6:$V$10005,'設定'!$C$4,'①在庫を貼る'!$W$6:$W$10005,$C44)=0,"",SUMIFS('①在庫を貼る'!$N$6:$N$10005,'①在庫を貼る'!$V$6:$V$10005,'設定'!$C$4,'①在庫を貼る'!$W$6:$W$10005,$C44)))</f>
        <v/>
      </c>
      <c r="J44">
        <f>IF($C44="","",IF('②発注する'!$AD48="","",'②発注する'!$AD48))</f>
        <v/>
      </c>
      <c r="K44" s="90">
        <f>IF($C44="","",IF('②発注する'!$AE48="","",'②発注する'!$AE48))</f>
        <v/>
      </c>
      <c r="L44">
        <f>IF($C44="","",IF(AND(ISNUMBER($J44),ISNUMBER($K44),$K44&gt;='設定'!$C$6),$J44,N($I44)))</f>
        <v/>
      </c>
      <c r="M44">
        <f>IF($C44="","",IFERROR(IF(N(INDEX('商品マスタ'!$J$6:$J$1005,MATCH($C44,'商品マスタ'!$B$6:$B$1005,0)))&gt;0,INDEX('商品マスタ'!$J$6:$J$1005,MATCH($C44,'商品マスタ'!$B$6:$B$1005,0)),""),""))</f>
        <v/>
      </c>
      <c r="N44">
        <f>IF($C44="","",IFERROR(IF(N(INDEX('商品マスタ'!$H$6:$H$1005,MATCH($C44,'商品マスタ'!$B$6:$B$1005,0)))&gt;0,INDEX('商品マスタ'!$H$6:$H$1005,MATCH($C44,'商品マスタ'!$B$6:$B$1005,0)),""),""))</f>
        <v/>
      </c>
      <c r="O44">
        <f>IF($C44="","",IF($N44&lt;&gt;"",$N44*$G44,IF(N(IF(COUNTIFS('①在庫を貼る'!$V$6:$V$10005,'設定'!$C$4,'①在庫を貼る'!$W$6:$W$10005,$C44)&gt;0,SUMIFS('①在庫を貼る'!$O$6:$O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O$6:$O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O$6:$O$10005,'月1回_2ヶ月前の在庫'!$V$6:$V$10005,'設定'!$C$4,'月1回_2ヶ月前の在庫'!$W$6:$W$10005,$C44)/COUNTIFS('月1回_2ヶ月前の在庫'!$V$6:$V$10005,'設定'!$C$4,'月1回_2ヶ月前の在庫'!$W$6:$W$10005,$C44),0))))&gt;0,N(IF(COUNTIFS('①在庫を貼る'!$V$6:$V$10005,'設定'!$C$4,'①在庫を貼る'!$W$6:$W$10005,$C44)&gt;0,SUMIFS('①在庫を貼る'!$O$6:$O$10005,'①在庫を貼る'!$V$6:$V$10005,'設定'!$C$4,'①在庫を貼る'!$W$6:$W$10005,$C44)/COUNTIFS('①在庫を貼る'!$V$6:$V$10005,'設定'!$C$4,'①在庫を貼る'!$W$6:$W$10005,$C44),IF(COUNTIFS('月1回_1ヶ月前の在庫'!$V$6:$V$10005,'設定'!$C$4,'月1回_1ヶ月前の在庫'!$W$6:$W$10005,$C44)&gt;0,SUMIFS('月1回_1ヶ月前の在庫'!$O$6:$O$10005,'月1回_1ヶ月前の在庫'!$V$6:$V$10005,'設定'!$C$4,'月1回_1ヶ月前の在庫'!$W$6:$W$10005,$C44)/COUNTIFS('月1回_1ヶ月前の在庫'!$V$6:$V$10005,'設定'!$C$4,'月1回_1ヶ月前の在庫'!$W$6:$W$10005,$C44),IF(COUNTIFS('月1回_2ヶ月前の在庫'!$V$6:$V$10005,'設定'!$C$4,'月1回_2ヶ月前の在庫'!$W$6:$W$10005,$C44)&gt;0,SUMIFS('月1回_2ヶ月前の在庫'!$O$6:$O$10005,'月1回_2ヶ月前の在庫'!$V$6:$V$10005,'設定'!$C$4,'月1回_2ヶ月前の在庫'!$W$6:$W$10005,$C44)/COUNTIFS('月1回_2ヶ月前の在庫'!$V$6:$V$10005,'設定'!$C$4,'月1回_2ヶ月前の在庫'!$W$6:$W$10005,$C44),0)))),"")))</f>
        <v/>
      </c>
      <c r="P44" s="90">
        <f>IF($C44="","",IF('②発注する'!$I48="","",'②発注する'!$I48))</f>
        <v/>
      </c>
      <c r="Q44">
        <f>IF($C44="","",IF('②発注する'!$J48="","",'②発注する'!$J48))</f>
        <v/>
      </c>
      <c r="R44">
        <f>IF($C44="",0,IF(AND(ISNUMBER($P44),ISNUMBER($Q44)),MAX(0,$Q44)*$G44,0))</f>
        <v/>
      </c>
      <c r="S44" s="90">
        <f>IF($C44="","",IF('②発注する'!$M48="","",'②発注する'!$M48))</f>
        <v/>
      </c>
      <c r="T44">
        <f>IF($C44="","",IF('②発注する'!$N48="","",'②発注する'!$N48))</f>
        <v/>
      </c>
      <c r="U44">
        <f>IF($C44="",0,IF(AND(ISNUMBER($S44),ISNUMBER($T44)),MAX(0,$T44)*$G44,0))</f>
        <v/>
      </c>
      <c r="V44">
        <f>IF($C44="",0,IF($M44="",0,MAX(0,$M44)*MAX(0,V$4)/100))</f>
        <v/>
      </c>
      <c r="W44">
        <f>IF($C44="",0,IF($M44="",0,MAX(0,$M44)*MAX(0,W$4)/100))</f>
        <v/>
      </c>
      <c r="X44">
        <f>IF($C44="",0,IF($M44="",0,MAX(0,$M44)*MAX(0,X$4)/100))</f>
        <v/>
      </c>
      <c r="Y44">
        <f>IF($C44="",0,IF($M44="",0,MAX(0,$M44)*MAX(0,Y$4)/100))</f>
        <v/>
      </c>
      <c r="Z44">
        <f>IF($C44="",0,IF($M44="",0,MAX(0,$M44)*MAX(0,Z$4)/100))</f>
        <v/>
      </c>
      <c r="AA44">
        <f>IF($C44="",0,IF($M44="",0,MAX(0,$M44)*MAX(0,AA$4)/100))</f>
        <v/>
      </c>
      <c r="AB44">
        <f>IF($C44="",0,IF($M44="",0,MAX(0,$M44)*MAX(0,AB$4)/100))</f>
        <v/>
      </c>
      <c r="AC44">
        <f>IF($C44="",0,IF($M44="",0,MAX(0,$M44)*MAX(0,AC$4)/100))</f>
        <v/>
      </c>
      <c r="AD44">
        <f>IF($C44="",0,IF($M44="",0,MAX(0,$M44)*MAX(0,AD$4)/100))</f>
        <v/>
      </c>
      <c r="AE44">
        <f>IF($C44="",0,IF($M44="",0,MAX(0,$M44)*MAX(0,AE$4)/100))</f>
        <v/>
      </c>
      <c r="AF44">
        <f>IF($C44="",0,IF($M44="",0,MAX(0,$M44)*MAX(0,AF$4)/100))</f>
        <v/>
      </c>
      <c r="AG44">
        <f>IF($C44="",0,IF($M44="",0,MAX(0,$M44)*MAX(0,AG$4)/100))</f>
        <v/>
      </c>
      <c r="AH44">
        <f>IF($C44="",0,IF($M44="",0,MAX(0,$M44)*MAX(0,AH$4)/100))</f>
        <v/>
      </c>
      <c r="AI44">
        <f>IF($C44="",0,IF($M44="",0,MAX(0,$M44)*MAX(0,AI$4)/100))</f>
        <v/>
      </c>
      <c r="AJ44">
        <f>IF($C44="",0,MAX(0,MAX(0,N($L44))-$V44))</f>
        <v/>
      </c>
      <c r="AK44">
        <f>IF($C44="",0,MAX(0,$AJ44-$W44))</f>
        <v/>
      </c>
      <c r="AL44">
        <f>IF($C44="",0,MAX(0,$AK44-$X44))</f>
        <v/>
      </c>
      <c r="AM44">
        <f>IF($C44="",0,MAX(0,$AL44-$Y44))</f>
        <v/>
      </c>
      <c r="AN44">
        <f>IF($C44="",0,MAX(0,$AM44-$Z44))</f>
        <v/>
      </c>
      <c r="AO44">
        <f>IF($C44="",0,MAX(0,$AN44-$AA44))</f>
        <v/>
      </c>
      <c r="AP44">
        <f>IF($C44="",0,MAX(0,$AO44-$AB44))</f>
        <v/>
      </c>
      <c r="AQ44">
        <f>IF($C44="",0,MAX(0,$AP44-$AC44))</f>
        <v/>
      </c>
      <c r="AR44">
        <f>IF($C44="",0,MAX(0,$AQ44-$AD44))</f>
        <v/>
      </c>
      <c r="AS44">
        <f>IF($C44="",0,MAX(0,$AR44-$AE44))</f>
        <v/>
      </c>
      <c r="AT44">
        <f>IF($C44="",0,MAX(0,$AS44-$AF44))</f>
        <v/>
      </c>
      <c r="AU44">
        <f>IF($C44="",0,MAX(0,$AT44-$AG44))</f>
        <v/>
      </c>
      <c r="AV44">
        <f>IF($C44="",0,MAX(0,$AU44-$AH44))</f>
        <v/>
      </c>
      <c r="AW44">
        <f>IF($C44="",0,MAX(0,$AV44-$AI44))</f>
        <v/>
      </c>
      <c r="AX44">
        <f>IF($C44="",0,MAX(0,MAX(0,N($L44))+IF($P44=V$3,$R44,0)+IF($S44=V$3,$U44,0)-$V44))</f>
        <v/>
      </c>
      <c r="AY44">
        <f>IF($C44="",0,MAX(0,$AX44+IF($P44=W$3,$R44,0)+IF($S44=W$3,$U44,0)-$W44))</f>
        <v/>
      </c>
      <c r="AZ44">
        <f>IF($C44="",0,MAX(0,$AY44+IF($P44=X$3,$R44,0)+IF($S44=X$3,$U44,0)-$X44))</f>
        <v/>
      </c>
      <c r="BA44">
        <f>IF($C44="",0,MAX(0,$AZ44+IF($P44=Y$3,$R44,0)+IF($S44=Y$3,$U44,0)-$Y44))</f>
        <v/>
      </c>
      <c r="BB44">
        <f>IF($C44="",0,MAX(0,$BA44+IF($P44=Z$3,$R44,0)+IF($S44=Z$3,$U44,0)-$Z44))</f>
        <v/>
      </c>
      <c r="BC44">
        <f>IF($C44="",0,MAX(0,$BB44+IF($P44=AA$3,$R44,0)+IF($S44=AA$3,$U44,0)-$AA44))</f>
        <v/>
      </c>
      <c r="BD44">
        <f>IF($C44="",0,MAX(0,$BC44+IF($P44=AB$3,$R44,0)+IF($S44=AB$3,$U44,0)-$AB44))</f>
        <v/>
      </c>
      <c r="BE44">
        <f>IF($C44="",0,MAX(0,$BD44+IF($P44=AC$3,$R44,0)+IF($S44=AC$3,$U44,0)-$AC44))</f>
        <v/>
      </c>
      <c r="BF44">
        <f>IF($C44="",0,MAX(0,$BE44+IF($P44=AD$3,$R44,0)+IF($S44=AD$3,$U44,0)-$AD44))</f>
        <v/>
      </c>
      <c r="BG44">
        <f>IF($C44="",0,MAX(0,$BF44+IF($P44=AE$3,$R44,0)+IF($S44=AE$3,$U44,0)-$AE44))</f>
        <v/>
      </c>
      <c r="BH44">
        <f>IF($C44="",0,MAX(0,$BG44+IF($P44=AF$3,$R44,0)+IF($S44=AF$3,$U44,0)-$AF44))</f>
        <v/>
      </c>
      <c r="BI44">
        <f>IF($C44="",0,MAX(0,$BH44+IF($P44=AG$3,$R44,0)+IF($S44=AG$3,$U44,0)-$AG44))</f>
        <v/>
      </c>
      <c r="BJ44">
        <f>IF($C44="",0,MAX(0,$BI44+IF($P44=AH$3,$R44,0)+IF($S44=AH$3,$U44,0)-$AH44))</f>
        <v/>
      </c>
      <c r="BK44">
        <f>IF($C44="",0,MAX(0,$BJ44+IF($P44=AI$3,$R44,0)+IF($S44=AI$3,$U44,0)-$AI44))</f>
        <v/>
      </c>
      <c r="BL44">
        <f>IF($C44="",99,IF(AND($AX44&lt;1,V$3&gt;=MAX(N($P44),N($S44))),0,99))</f>
        <v/>
      </c>
      <c r="BM44">
        <f>IF($C44="",99,IF(AND($AY44&lt;1,W$3&gt;=MAX(N($P44),N($S44))),1,99))</f>
        <v/>
      </c>
      <c r="BN44">
        <f>IF($C44="",99,IF(AND($AZ44&lt;1,X$3&gt;=MAX(N($P44),N($S44))),2,99))</f>
        <v/>
      </c>
      <c r="BO44">
        <f>IF($C44="",99,IF(AND($BA44&lt;1,Y$3&gt;=MAX(N($P44),N($S44))),3,99))</f>
        <v/>
      </c>
      <c r="BP44">
        <f>IF($C44="",99,IF(AND($BB44&lt;1,Z$3&gt;=MAX(N($P44),N($S44))),4,99))</f>
        <v/>
      </c>
      <c r="BQ44">
        <f>IF($C44="",99,IF(AND($BC44&lt;1,AA$3&gt;=MAX(N($P44),N($S44))),5,99))</f>
        <v/>
      </c>
      <c r="BR44">
        <f>IF($C44="",99,IF(AND($BD44&lt;1,AB$3&gt;=MAX(N($P44),N($S44))),6,99))</f>
        <v/>
      </c>
      <c r="BS44">
        <f>IF($C44="",99,IF(AND($BE44&lt;1,AC$3&gt;=MAX(N($P44),N($S44))),7,99))</f>
        <v/>
      </c>
      <c r="BT44">
        <f>IF($C44="",99,IF(AND($BF44&lt;1,AD$3&gt;=MAX(N($P44),N($S44))),8,99))</f>
        <v/>
      </c>
      <c r="BU44">
        <f>IF($C44="",99,IF(AND($BG44&lt;1,AE$3&gt;=MAX(N($P44),N($S44))),9,99))</f>
        <v/>
      </c>
      <c r="BV44">
        <f>IF($C44="",99,IF(AND($BH44&lt;1,AF$3&gt;=MAX(N($P44),N($S44))),10,99))</f>
        <v/>
      </c>
      <c r="BW44">
        <f>IF($C44="",99,IF(AND($BI44&lt;1,AG$3&gt;=MAX(N($P44),N($S44))),11,99))</f>
        <v/>
      </c>
      <c r="BX44">
        <f>IF($C44="",99,IF(AND($BJ44&lt;1,AH$3&gt;=MAX(N($P44),N($S44))),12,99))</f>
        <v/>
      </c>
      <c r="BY44">
        <f>IF($C44="",99,IF(AND($BK44&lt;1,AI$3&gt;=MAX(N($P44),N($S44))),13,99))</f>
        <v/>
      </c>
      <c r="BZ44">
        <f>IF(OR($C44="",$M44=""),"",COUNTIF($AJ44:$AW44,"&gt;=1"))</f>
        <v/>
      </c>
      <c r="CA44" s="90">
        <f>IF($BZ44="","",IF($BZ44&gt;=14,"",'設定'!$C$6+$BZ44))</f>
        <v/>
      </c>
      <c r="CB44">
        <f>IF(OR($C44="",$M44=""),"",MIN($BL44:$BY44))</f>
        <v/>
      </c>
      <c r="CC44" s="90">
        <f>IF($CB44="","",IF($CB44&gt;=99,"",'設定'!$C$6+$CB44))</f>
        <v/>
      </c>
      <c r="CD44">
        <f>IF(OR($C44="",$M44=""),"",AVERAGE($V44:$AI44))</f>
        <v/>
      </c>
      <c r="CE44">
        <f>IF($C44="","",IFERROR(IF(MATCH(IF(ISNUMBER($P44),$P44,'設定'!$C$6+N('設定'!$C$7)),$V$3:$AI$3,0)=1,MAX(0,N($L44)),INDEX($AJ44:$AW44,MATCH(IF(ISNUMBER($P44),$P44,'設定'!$C$6+N('設定'!$C$7)),$V$3:$AI$3,0)-1)),""))</f>
        <v/>
      </c>
      <c r="CF44">
        <f>IF(OR($C44="",$O44="",$CE44=""),"",IF($O44-$CE44&lt;=0,0,ROUNDUP(($O44-$CE44)/$G44,0)))</f>
        <v/>
      </c>
      <c r="CG44">
        <f>IF(OR($C44="",$CF44="",NOT(ISNUMBER($Q44))),0,MAX(0,$Q44-$CF44))</f>
        <v/>
      </c>
      <c r="CH44">
        <f>IF(OR($C44="",$O44="",$U44=0),0,IFERROR(ROUNDUP(MAX(0,IF(MATCH($S44,$V$3:$AI$3,0)=1,MAX(0,N($L44)),INDEX($AX44:$BK44,MATCH($S44,$V$3:$AI$3,0)-1))+$U44-$O44)/$G44,0),0))</f>
        <v/>
      </c>
      <c r="CI44">
        <f>IF($C44="","",IF(AND($P44="",$Q44=""),"",IF($P44="","⚠ 入庫日を ▼ から選んでください",IF(NOT(ISNUMBER($P44)),"⚠ 入庫日は ▼ から選んでください",IF($P44&lt;N('設定'!$C$6),"⚠ 入庫日が過去です（もう在庫に入っています）→ 消してください",IF($P44&gt;N('設定'!$C$6)+13,"⚠ 入庫日が14日より先です",IF(N($Q44)&lt;=0,"⚠ 入庫数を入れてください",IF($CG44&gt;0,"⚠ 目安より "&amp;$CG44&amp;" 多い（定数を超える）→ 減らす",""))))))))</f>
        <v/>
      </c>
      <c r="CJ44">
        <f>IF($C44="","",IF(AND($S44="",$T44=""),"",IF($S44="","⚠ 2便目：入庫日を ▼ から選んでください",IF(NOT(ISNUMBER($S44)),"⚠ 2便目：入庫日は ▼ から選んでください",IF($S44&lt;N('設定'!$C$6),"⚠ 2便目：入庫日が過去です（もう在庫に入っています）→ 消してください",IF($S44&gt;N('設定'!$C$6)+13,"⚠ 2便目：入庫日が14日より先です",IF(N($T44)&lt;=0,"⚠ 2便目：入庫数を入れてください",IF($CH44&gt;0,"⚠ 2便目：定数を "&amp;$CH44&amp;" ケース超える → 減らす",""))))))))</f>
        <v/>
      </c>
      <c r="CK44">
        <f>IF(AND($CI44="",N($Q44)&gt;0,ISNUMBER($P44)),1,0)</f>
        <v/>
      </c>
      <c r="CL44">
        <f>IF(AND($CJ44="",N($T44)&gt;0,ISNUMBER($S44)),1,0)</f>
        <v/>
      </c>
      <c r="CM44">
        <f>IF(OR($CK44=1,$CL44=1),1,0)</f>
        <v/>
      </c>
      <c r="CN44">
        <f>IF($C44="",0,($CK44*$R44+$CL44*$U44)*N($H44))</f>
        <v/>
      </c>
      <c r="CO44">
        <f>IF($C44="","",IF($CC44="","入庫後は 14日以上もつ",IF($CC44-N('設定'!$C$7)&lt;='設定'!$C$6,"入庫後も "&amp;TEXT($CC44,"m/d")&amp;"("&amp;CHOOSE(WEEKDAY($CC44),"日","月","火","水","木","金","土")&amp;")"&amp;" に切れる　もう1便を至急発注","入庫後も "&amp;TEXT($CC44,"m/d")&amp;"("&amp;CHOOSE(WEEKDAY($CC44),"日","月","火","水","木","金","土")&amp;")"&amp;" に切れる　"&amp;TEXT($CC44-N('設定'!$C$7),"m/d")&amp;"("&amp;CHOOSE(WEEKDAY($CC44-N('設定'!$C$7)),"日","月","火","水","木","金","土")&amp;")"&amp;" までに次を発注")))</f>
        <v/>
      </c>
      <c r="CP44">
        <f>IF($C44="","",IF('設定'!$C$6="","？ ①在庫を貼る に今日のCSVが貼られていない",IF($CS44=1,"－ 今日のCSVに無い（終売？）",IF($L44&lt;0,"● 在庫がマイナス　数えて「数えた在庫」に入れる",IF($L44=0,"● 在庫なし　至急発注",IF($M44="","？ 減り数が未設定（商品マスタ）",IF($B$3=0,"？ 動員が未入力（動員を入れる）",IF($CA44="","○ 14日以上もつ",IF($BZ44&lt;N('設定'!$C$7),"● "&amp;TEXT($CA44,"m/d")&amp;"("&amp;CHOOSE(WEEKDAY($CA44),"日","月","火","水","木","金","土")&amp;")"&amp;" に切れる　至急発注",IF($BZ44=N('設定'!$C$7),"● "&amp;TEXT($CA44,"m/d")&amp;"("&amp;CHOOSE(WEEKDAY($CA44),"日","月","火","水","木","金","土")&amp;")"&amp;" に切れる　今日発注","△ "&amp;TEXT($CA44,"m/d")&amp;"("&amp;CHOOSE(WEEKDAY($CA44),"日","月","火","水","木","金","土")&amp;")"&amp;" に切れる　"&amp;TEXT($CA44-N('設定'!$C$7),"m/d")&amp;"("&amp;CHOOSE(WEEKDAY($CA44-N('設定'!$C$7)),"日","月","火","水","木","金","土")&amp;")"&amp;" までに発注"))))))))))</f>
        <v/>
      </c>
      <c r="CQ44">
        <f>IF($C44="","",IF(AND($P44="",$Q44="",$S44="",$T44=""),"",IF(AND($P44="",$Q44=""),"⚠ 先に1便目（左の入庫日・入庫数）に入れてください",IF($CI44&lt;&gt;"",$CI44,IF($CJ44&lt;&gt;"",$CJ44,IF($M44="","？ 減り数が未設定（発注書には載ります）",IF($B$3=0,"？ 動員が未入力（発注書には載ります）",IF(AND($CA44&lt;&gt;"",$P44&gt;$CA44),IF($P44&gt;'設定'!$C$6+N('設定'!$C$7),"● "&amp;TEXT($P44,"m/d")&amp;"("&amp;CHOOSE(WEEKDAY($P44),"日","月","火","水","木","金","土")&amp;")"&amp;" の入庫では間に合わない（"&amp;TEXT($CA44,"m/d")&amp;"("&amp;CHOOSE(WEEKDAY($CA44),"日","月","火","水","木","金","土")&amp;")"&amp;" に切れる）　入庫日を早める","△ 欠品 "&amp;TEXT($CA44,"m/d")&amp;"("&amp;CHOOSE(WEEKDAY($CA44),"日","月","火","水","木","金","土")&amp;")"&amp;"〜"&amp;TEXT($P44-1,"m/d")&amp;"("&amp;CHOOSE(WEEKDAY($P44-1),"日","月","火","水","木","金","土")&amp;")"&amp;"　"&amp;$CO44),IF($CC44="","○ "&amp;TEXT($P44,"m/d")&amp;"("&amp;CHOOSE(WEEKDAY($P44),"日","月","火","水","木","金","土")&amp;")"&amp;" 入庫で 14日以上もつ",IF($CC44-N('設定'!$C$7)&lt;='設定'!$C$6,"● 入庫しても "&amp;TEXT($CC44,"m/d")&amp;"("&amp;CHOOSE(WEEKDAY($CC44),"日","月","火","水","木","金","土")&amp;")"&amp;" に切れる　もう1便を至急発注（2便目に入れる）","△ 入庫しても "&amp;TEXT($CC44,"m/d")&amp;"("&amp;CHOOSE(WEEKDAY($CC44),"日","月","火","水","木","金","土")&amp;")"&amp;" に切れる　"&amp;TEXT($CC44-N('設定'!$C$7),"m/d")&amp;"("&amp;CHOOSE(WEEKDAY($CC44-N('設定'!$C$7)),"日","月","火","水","木","金","土")&amp;")"&amp;" までに次を発注（2便目に入れる）"))))))))))</f>
        <v/>
      </c>
      <c r="CR44">
        <f>IF($C44="","",IF($G44&gt;1,"ｹｰｽ("&amp;$G44&amp;"入)","個"))</f>
        <v/>
      </c>
      <c r="CS44">
        <f>IF($C44="",0,IF(COUNTIFS('①在庫を貼る'!$V$6:$V$10005,'設定'!$C$4,'①在庫を貼る'!$W$6:$W$10005,$C44)=0,1,0))</f>
        <v/>
      </c>
      <c r="CT44">
        <f>IF(AND($CK44=1,OR('③発注書'!$C$4="すべて",'③発注書'!$C$4="",$F44='③発注書'!$C$4)),N($CT43)+1,N($CT43))</f>
        <v/>
      </c>
      <c r="CU44">
        <f>IF(AND($CL44=1,OR('③発注書'!$C$4="すべて",'③発注書'!$C$4="",$F44='③発注書'!$C$4)),N($CU43)+1,N($CU43))</f>
        <v/>
      </c>
      <c r="CV44">
        <f>IF($C44="",0,IF(COUNTIFS('①在庫を貼る'!$V$6:$V$10005,'設定'!$C$4,'①在庫を貼る'!$W$6:$W$10005,$C44)&gt;0,1,0))</f>
        <v/>
      </c>
      <c r="CW44">
        <f>IF($C44="",0,IF(COUNTIFS('月1回_1ヶ月前の在庫'!$V$6:$V$10005,'設定'!$C$4,'月1回_1ヶ月前の在庫'!$W$6:$W$10005,$C44)&gt;0,1,0))</f>
        <v/>
      </c>
      <c r="CX44">
        <f>IF($C44="",0,IF(COUNTIFS('月1回_2ヶ月前の在庫'!$V$6:$V$10005,'設定'!$C$4,'月1回_2ヶ月前の在庫'!$W$6:$W$10005,$C44)&gt;0,1,0))</f>
        <v/>
      </c>
      <c r="CY44">
        <f>IF(OR($C44="",'設定'!$C$12=""),"",IF('設定'!$C$13="",IF(AND($CV44=1,$CW44=0),"新商品（今月から）",IF(AND($CV44=0,$CW44=1),"終売（今月から）","")),IF(AND($CV44=1,$CW44=0,$CX44=0),"新商品（今月から）",IF(AND($CV44=1,$CW44=1,$CX44=0),"新商品（先月から）",IF(AND($CV44=0,$CW44=1,$CX44=1),"終売（今月から）",IF(AND($CV44=0,$CW44=0,$CX44=1),"終売（先月から）",IF(AND($CV44=1,$CW44=0,$CX44=1),"復活（先月は無し）","")))))))</f>
        <v/>
      </c>
    </row>
    <row r="45">
      <c r="B45">
        <f>IF(40&lt;='設定'!$C$11,40,"")</f>
        <v/>
      </c>
      <c r="C45">
        <f>IF($B45="","",IF($B45&lt;='設定'!$C$20,INDEX('商品マスタ'!$B$6:$B$1005,MATCH($B45,'商品マスタ'!$M$6:$M$1005,0)),IF($B45&lt;='設定'!$C$20+'設定'!$C$17,INDEX('①在庫を貼る'!$W$6:$W$10005,MATCH($B45-'設定'!$C$20,'①在庫を貼る'!$U$6:$U$10005,0)),IF($B45&lt;='設定'!$C$20+'設定'!$C$17+'設定'!$C$18,INDEX('月1回_1ヶ月前の在庫'!$W$6:$W$10005,MATCH($B45-'設定'!$C$20-'設定'!$C$17,'月1回_1ヶ月前の在庫'!$U$6:$U$10005,0)),INDEX('月1回_2ヶ月前の在庫'!$W$6:$W$10005,MATCH($B45-'設定'!$C$20-'設定'!$C$17-'設定'!$C$18,'月1回_2ヶ月前の在庫'!$U$6:$U$10005,0))))))</f>
        <v/>
      </c>
      <c r="D45">
        <f>IF($C45="","",IFERROR(IF(INDEX('商品マスタ'!$C$6:$C$1005,MATCH($C45,'商品マスタ'!$B$6:$B$1005,0))="",IFERROR(INDEX('①在庫を貼る'!$J$6:$J$10005,MATCH($C45,'①在庫を貼る'!$W$6:$W$10005,0)),IFERROR(INDEX('月1回_1ヶ月前の在庫'!$J$6:$J$10005,MATCH($C45,'月1回_1ヶ月前の在庫'!$W$6:$W$10005,0)),IFERROR(INDEX('月1回_2ヶ月前の在庫'!$J$6:$J$10005,MATCH($C45,'月1回_2ヶ月前の在庫'!$W$6:$W$10005,0)),""))),INDEX('商品マスタ'!$C$6:$C$1005,MATCH($C45,'商品マスタ'!$B$6:$B$1005,0))),IFERROR(INDEX('①在庫を貼る'!$J$6:$J$10005,MATCH($C45,'①在庫を貼る'!$W$6:$W$10005,0)),IFERROR(INDEX('月1回_1ヶ月前の在庫'!$J$6:$J$10005,MATCH($C45,'月1回_1ヶ月前の在庫'!$W$6:$W$10005,0)),IFERROR(INDEX('月1回_2ヶ月前の在庫'!$J$6:$J$10005,MATCH($C45,'月1回_2ヶ月前の在庫'!$W$6:$W$10005,0)),"")))))</f>
        <v/>
      </c>
      <c r="E45">
        <f>IF($C45="","",IFERROR(IF(INDEX('商品マスタ'!$D$6:$D$1005,MATCH($C45,'商品マスタ'!$B$6:$B$1005,0))="",IFERROR(INDEX('①在庫を貼る'!$H$6:$H$10005,MATCH($C45,'①在庫を貼る'!$W$6:$W$10005,0)),IFERROR(INDEX('月1回_1ヶ月前の在庫'!$H$6:$H$10005,MATCH($C45,'月1回_1ヶ月前の在庫'!$W$6:$W$10005,0)),IFERROR(INDEX('月1回_2ヶ月前の在庫'!$H$6:$H$10005,MATCH($C45,'月1回_2ヶ月前の在庫'!$W$6:$W$10005,0)),""))),INDEX('商品マスタ'!$D$6:$D$1005,MATCH($C45,'商品マスタ'!$B$6:$B$1005,0))),IFERROR(INDEX('①在庫を貼る'!$H$6:$H$10005,MATCH($C45,'①在庫を貼る'!$W$6:$W$10005,0)),IFERROR(INDEX('月1回_1ヶ月前の在庫'!$H$6:$H$10005,MATCH($C45,'月1回_1ヶ月前の在庫'!$W$6:$W$10005,0)),IFERROR(INDEX('月1回_2ヶ月前の在庫'!$H$6:$H$10005,MATCH($C45,'月1回_2ヶ月前の在庫'!$W$6:$W$10005,0)),"")))))</f>
        <v/>
      </c>
      <c r="F45">
        <f>IF($C45="","",IFERROR(IF(INDEX('商品マスタ'!$E$6:$E$1005,MATCH($C45,'商品マスタ'!$B$6:$B$1005,0))="",IFERROR(INDEX('①在庫を貼る'!$E$6:$E$10005,MATCH($C45,'①在庫を貼る'!$W$6:$W$10005,0)),IFERROR(INDEX('月1回_1ヶ月前の在庫'!$E$6:$E$10005,MATCH($C45,'月1回_1ヶ月前の在庫'!$W$6:$W$10005,0)),IFERROR(INDEX('月1回_2ヶ月前の在庫'!$E$6:$E$10005,MATCH($C45,'月1回_2ヶ月前の在庫'!$W$6:$W$10005,0)),""))),INDEX('商品マスタ'!$E$6:$E$1005,MATCH($C45,'商品マスタ'!$B$6:$B$1005,0))),IFERROR(INDEX('①在庫を貼る'!$E$6:$E$10005,MATCH($C45,'①在庫を貼る'!$W$6:$W$10005,0)),IFERROR(INDEX('月1回_1ヶ月前の在庫'!$E$6:$E$10005,MATCH($C45,'月1回_1ヶ月前の在庫'!$W$6:$W$10005,0)),IFERROR(INDEX('月1回_2ヶ月前の在庫'!$E$6:$E$10005,MATCH($C45,'月1回_2ヶ月前の在庫'!$W$6:$W$10005,0)),"")))))</f>
        <v/>
      </c>
      <c r="G45">
        <f>IF($C45="","",MAX(1,N(IFERROR(IF(INDEX('商品マスタ'!$F$6:$F$1005,MATCH($C45,'商品マスタ'!$B$6:$B$1005,0))="",IF(COUNTIFS('①在庫を貼る'!$V$6:$V$10005,'設定'!$C$4,'①在庫を貼る'!$W$6:$W$10005,$C45)&gt;0,SUMIFS('①在庫を貼る'!$K$6:$K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K$6:$K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K$6:$K$10005,'月1回_2ヶ月前の在庫'!$V$6:$V$10005,'設定'!$C$4,'月1回_2ヶ月前の在庫'!$W$6:$W$10005,$C45)/COUNTIFS('月1回_2ヶ月前の在庫'!$V$6:$V$10005,'設定'!$C$4,'月1回_2ヶ月前の在庫'!$W$6:$W$10005,$C45),0))),INDEX('商品マスタ'!$F$6:$F$1005,MATCH($C45,'商品マスタ'!$B$6:$B$1005,0))),IF(COUNTIFS('①在庫を貼る'!$V$6:$V$10005,'設定'!$C$4,'①在庫を貼る'!$W$6:$W$10005,$C45)&gt;0,SUMIFS('①在庫を貼る'!$K$6:$K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K$6:$K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K$6:$K$10005,'月1回_2ヶ月前の在庫'!$V$6:$V$10005,'設定'!$C$4,'月1回_2ヶ月前の在庫'!$W$6:$W$10005,$C45)/COUNTIFS('月1回_2ヶ月前の在庫'!$V$6:$V$10005,'設定'!$C$4,'月1回_2ヶ月前の在庫'!$W$6:$W$10005,$C45),0)))))))</f>
        <v/>
      </c>
      <c r="H45">
        <f>IF($C45="","",N(IFERROR(IF(INDEX('商品マスタ'!$G$6:$G$1005,MATCH($C45,'商品マスタ'!$B$6:$B$1005,0))="",IF(COUNTIFS('①在庫を貼る'!$V$6:$V$10005,'設定'!$C$4,'①在庫を貼る'!$W$6:$W$10005,$C45)&gt;0,SUMIFS('①在庫を貼る'!$Q$6:$Q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Q$6:$Q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Q$6:$Q$10005,'月1回_2ヶ月前の在庫'!$V$6:$V$10005,'設定'!$C$4,'月1回_2ヶ月前の在庫'!$W$6:$W$10005,$C45)/COUNTIFS('月1回_2ヶ月前の在庫'!$V$6:$V$10005,'設定'!$C$4,'月1回_2ヶ月前の在庫'!$W$6:$W$10005,$C45),0))),INDEX('商品マスタ'!$G$6:$G$1005,MATCH($C45,'商品マスタ'!$B$6:$B$1005,0))),IF(COUNTIFS('①在庫を貼る'!$V$6:$V$10005,'設定'!$C$4,'①在庫を貼る'!$W$6:$W$10005,$C45)&gt;0,SUMIFS('①在庫を貼る'!$Q$6:$Q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Q$6:$Q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Q$6:$Q$10005,'月1回_2ヶ月前の在庫'!$V$6:$V$10005,'設定'!$C$4,'月1回_2ヶ月前の在庫'!$W$6:$W$10005,$C45)/COUNTIFS('月1回_2ヶ月前の在庫'!$V$6:$V$10005,'設定'!$C$4,'月1回_2ヶ月前の在庫'!$W$6:$W$10005,$C45),0))))))</f>
        <v/>
      </c>
      <c r="I45">
        <f>IF($C45="","",IF(COUNTIFS('①在庫を貼る'!$V$6:$V$10005,'設定'!$C$4,'①在庫を貼る'!$W$6:$W$10005,$C45)=0,"",SUMIFS('①在庫を貼る'!$N$6:$N$10005,'①在庫を貼る'!$V$6:$V$10005,'設定'!$C$4,'①在庫を貼る'!$W$6:$W$10005,$C45)))</f>
        <v/>
      </c>
      <c r="J45">
        <f>IF($C45="","",IF('②発注する'!$AD49="","",'②発注する'!$AD49))</f>
        <v/>
      </c>
      <c r="K45" s="90">
        <f>IF($C45="","",IF('②発注する'!$AE49="","",'②発注する'!$AE49))</f>
        <v/>
      </c>
      <c r="L45">
        <f>IF($C45="","",IF(AND(ISNUMBER($J45),ISNUMBER($K45),$K45&gt;='設定'!$C$6),$J45,N($I45)))</f>
        <v/>
      </c>
      <c r="M45">
        <f>IF($C45="","",IFERROR(IF(N(INDEX('商品マスタ'!$J$6:$J$1005,MATCH($C45,'商品マスタ'!$B$6:$B$1005,0)))&gt;0,INDEX('商品マスタ'!$J$6:$J$1005,MATCH($C45,'商品マスタ'!$B$6:$B$1005,0)),""),""))</f>
        <v/>
      </c>
      <c r="N45">
        <f>IF($C45="","",IFERROR(IF(N(INDEX('商品マスタ'!$H$6:$H$1005,MATCH($C45,'商品マスタ'!$B$6:$B$1005,0)))&gt;0,INDEX('商品マスタ'!$H$6:$H$1005,MATCH($C45,'商品マスタ'!$B$6:$B$1005,0)),""),""))</f>
        <v/>
      </c>
      <c r="O45">
        <f>IF($C45="","",IF($N45&lt;&gt;"",$N45*$G45,IF(N(IF(COUNTIFS('①在庫を貼る'!$V$6:$V$10005,'設定'!$C$4,'①在庫を貼る'!$W$6:$W$10005,$C45)&gt;0,SUMIFS('①在庫を貼る'!$O$6:$O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O$6:$O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O$6:$O$10005,'月1回_2ヶ月前の在庫'!$V$6:$V$10005,'設定'!$C$4,'月1回_2ヶ月前の在庫'!$W$6:$W$10005,$C45)/COUNTIFS('月1回_2ヶ月前の在庫'!$V$6:$V$10005,'設定'!$C$4,'月1回_2ヶ月前の在庫'!$W$6:$W$10005,$C45),0))))&gt;0,N(IF(COUNTIFS('①在庫を貼る'!$V$6:$V$10005,'設定'!$C$4,'①在庫を貼る'!$W$6:$W$10005,$C45)&gt;0,SUMIFS('①在庫を貼る'!$O$6:$O$10005,'①在庫を貼る'!$V$6:$V$10005,'設定'!$C$4,'①在庫を貼る'!$W$6:$W$10005,$C45)/COUNTIFS('①在庫を貼る'!$V$6:$V$10005,'設定'!$C$4,'①在庫を貼る'!$W$6:$W$10005,$C45),IF(COUNTIFS('月1回_1ヶ月前の在庫'!$V$6:$V$10005,'設定'!$C$4,'月1回_1ヶ月前の在庫'!$W$6:$W$10005,$C45)&gt;0,SUMIFS('月1回_1ヶ月前の在庫'!$O$6:$O$10005,'月1回_1ヶ月前の在庫'!$V$6:$V$10005,'設定'!$C$4,'月1回_1ヶ月前の在庫'!$W$6:$W$10005,$C45)/COUNTIFS('月1回_1ヶ月前の在庫'!$V$6:$V$10005,'設定'!$C$4,'月1回_1ヶ月前の在庫'!$W$6:$W$10005,$C45),IF(COUNTIFS('月1回_2ヶ月前の在庫'!$V$6:$V$10005,'設定'!$C$4,'月1回_2ヶ月前の在庫'!$W$6:$W$10005,$C45)&gt;0,SUMIFS('月1回_2ヶ月前の在庫'!$O$6:$O$10005,'月1回_2ヶ月前の在庫'!$V$6:$V$10005,'設定'!$C$4,'月1回_2ヶ月前の在庫'!$W$6:$W$10005,$C45)/COUNTIFS('月1回_2ヶ月前の在庫'!$V$6:$V$10005,'設定'!$C$4,'月1回_2ヶ月前の在庫'!$W$6:$W$10005,$C45),0)))),"")))</f>
        <v/>
      </c>
      <c r="P45" s="90">
        <f>IF($C45="","",IF('②発注する'!$I49="","",'②発注する'!$I49))</f>
        <v/>
      </c>
      <c r="Q45">
        <f>IF($C45="","",IF('②発注する'!$J49="","",'②発注する'!$J49))</f>
        <v/>
      </c>
      <c r="R45">
        <f>IF($C45="",0,IF(AND(ISNUMBER($P45),ISNUMBER($Q45)),MAX(0,$Q45)*$G45,0))</f>
        <v/>
      </c>
      <c r="S45" s="90">
        <f>IF($C45="","",IF('②発注する'!$M49="","",'②発注する'!$M49))</f>
        <v/>
      </c>
      <c r="T45">
        <f>IF($C45="","",IF('②発注する'!$N49="","",'②発注する'!$N49))</f>
        <v/>
      </c>
      <c r="U45">
        <f>IF($C45="",0,IF(AND(ISNUMBER($S45),ISNUMBER($T45)),MAX(0,$T45)*$G45,0))</f>
        <v/>
      </c>
      <c r="V45">
        <f>IF($C45="",0,IF($M45="",0,MAX(0,$M45)*MAX(0,V$4)/100))</f>
        <v/>
      </c>
      <c r="W45">
        <f>IF($C45="",0,IF($M45="",0,MAX(0,$M45)*MAX(0,W$4)/100))</f>
        <v/>
      </c>
      <c r="X45">
        <f>IF($C45="",0,IF($M45="",0,MAX(0,$M45)*MAX(0,X$4)/100))</f>
        <v/>
      </c>
      <c r="Y45">
        <f>IF($C45="",0,IF($M45="",0,MAX(0,$M45)*MAX(0,Y$4)/100))</f>
        <v/>
      </c>
      <c r="Z45">
        <f>IF($C45="",0,IF($M45="",0,MAX(0,$M45)*MAX(0,Z$4)/100))</f>
        <v/>
      </c>
      <c r="AA45">
        <f>IF($C45="",0,IF($M45="",0,MAX(0,$M45)*MAX(0,AA$4)/100))</f>
        <v/>
      </c>
      <c r="AB45">
        <f>IF($C45="",0,IF($M45="",0,MAX(0,$M45)*MAX(0,AB$4)/100))</f>
        <v/>
      </c>
      <c r="AC45">
        <f>IF($C45="",0,IF($M45="",0,MAX(0,$M45)*MAX(0,AC$4)/100))</f>
        <v/>
      </c>
      <c r="AD45">
        <f>IF($C45="",0,IF($M45="",0,MAX(0,$M45)*MAX(0,AD$4)/100))</f>
        <v/>
      </c>
      <c r="AE45">
        <f>IF($C45="",0,IF($M45="",0,MAX(0,$M45)*MAX(0,AE$4)/100))</f>
        <v/>
      </c>
      <c r="AF45">
        <f>IF($C45="",0,IF($M45="",0,MAX(0,$M45)*MAX(0,AF$4)/100))</f>
        <v/>
      </c>
      <c r="AG45">
        <f>IF($C45="",0,IF($M45="",0,MAX(0,$M45)*MAX(0,AG$4)/100))</f>
        <v/>
      </c>
      <c r="AH45">
        <f>IF($C45="",0,IF($M45="",0,MAX(0,$M45)*MAX(0,AH$4)/100))</f>
        <v/>
      </c>
      <c r="AI45">
        <f>IF($C45="",0,IF($M45="",0,MAX(0,$M45)*MAX(0,AI$4)/100))</f>
        <v/>
      </c>
      <c r="AJ45">
        <f>IF($C45="",0,MAX(0,MAX(0,N($L45))-$V45))</f>
        <v/>
      </c>
      <c r="AK45">
        <f>IF($C45="",0,MAX(0,$AJ45-$W45))</f>
        <v/>
      </c>
      <c r="AL45">
        <f>IF($C45="",0,MAX(0,$AK45-$X45))</f>
        <v/>
      </c>
      <c r="AM45">
        <f>IF($C45="",0,MAX(0,$AL45-$Y45))</f>
        <v/>
      </c>
      <c r="AN45">
        <f>IF($C45="",0,MAX(0,$AM45-$Z45))</f>
        <v/>
      </c>
      <c r="AO45">
        <f>IF($C45="",0,MAX(0,$AN45-$AA45))</f>
        <v/>
      </c>
      <c r="AP45">
        <f>IF($C45="",0,MAX(0,$AO45-$AB45))</f>
        <v/>
      </c>
      <c r="AQ45">
        <f>IF($C45="",0,MAX(0,$AP45-$AC45))</f>
        <v/>
      </c>
      <c r="AR45">
        <f>IF($C45="",0,MAX(0,$AQ45-$AD45))</f>
        <v/>
      </c>
      <c r="AS45">
        <f>IF($C45="",0,MAX(0,$AR45-$AE45))</f>
        <v/>
      </c>
      <c r="AT45">
        <f>IF($C45="",0,MAX(0,$AS45-$AF45))</f>
        <v/>
      </c>
      <c r="AU45">
        <f>IF($C45="",0,MAX(0,$AT45-$AG45))</f>
        <v/>
      </c>
      <c r="AV45">
        <f>IF($C45="",0,MAX(0,$AU45-$AH45))</f>
        <v/>
      </c>
      <c r="AW45">
        <f>IF($C45="",0,MAX(0,$AV45-$AI45))</f>
        <v/>
      </c>
      <c r="AX45">
        <f>IF($C45="",0,MAX(0,MAX(0,N($L45))+IF($P45=V$3,$R45,0)+IF($S45=V$3,$U45,0)-$V45))</f>
        <v/>
      </c>
      <c r="AY45">
        <f>IF($C45="",0,MAX(0,$AX45+IF($P45=W$3,$R45,0)+IF($S45=W$3,$U45,0)-$W45))</f>
        <v/>
      </c>
      <c r="AZ45">
        <f>IF($C45="",0,MAX(0,$AY45+IF($P45=X$3,$R45,0)+IF($S45=X$3,$U45,0)-$X45))</f>
        <v/>
      </c>
      <c r="BA45">
        <f>IF($C45="",0,MAX(0,$AZ45+IF($P45=Y$3,$R45,0)+IF($S45=Y$3,$U45,0)-$Y45))</f>
        <v/>
      </c>
      <c r="BB45">
        <f>IF($C45="",0,MAX(0,$BA45+IF($P45=Z$3,$R45,0)+IF($S45=Z$3,$U45,0)-$Z45))</f>
        <v/>
      </c>
      <c r="BC45">
        <f>IF($C45="",0,MAX(0,$BB45+IF($P45=AA$3,$R45,0)+IF($S45=AA$3,$U45,0)-$AA45))</f>
        <v/>
      </c>
      <c r="BD45">
        <f>IF($C45="",0,MAX(0,$BC45+IF($P45=AB$3,$R45,0)+IF($S45=AB$3,$U45,0)-$AB45))</f>
        <v/>
      </c>
      <c r="BE45">
        <f>IF($C45="",0,MAX(0,$BD45+IF($P45=AC$3,$R45,0)+IF($S45=AC$3,$U45,0)-$AC45))</f>
        <v/>
      </c>
      <c r="BF45">
        <f>IF($C45="",0,MAX(0,$BE45+IF($P45=AD$3,$R45,0)+IF($S45=AD$3,$U45,0)-$AD45))</f>
        <v/>
      </c>
      <c r="BG45">
        <f>IF($C45="",0,MAX(0,$BF45+IF($P45=AE$3,$R45,0)+IF($S45=AE$3,$U45,0)-$AE45))</f>
        <v/>
      </c>
      <c r="BH45">
        <f>IF($C45="",0,MAX(0,$BG45+IF($P45=AF$3,$R45,0)+IF($S45=AF$3,$U45,0)-$AF45))</f>
        <v/>
      </c>
      <c r="BI45">
        <f>IF($C45="",0,MAX(0,$BH45+IF($P45=AG$3,$R45,0)+IF($S45=AG$3,$U45,0)-$AG45))</f>
        <v/>
      </c>
      <c r="BJ45">
        <f>IF($C45="",0,MAX(0,$BI45+IF($P45=AH$3,$R45,0)+IF($S45=AH$3,$U45,0)-$AH45))</f>
        <v/>
      </c>
      <c r="BK45">
        <f>IF($C45="",0,MAX(0,$BJ45+IF($P45=AI$3,$R45,0)+IF($S45=AI$3,$U45,0)-$AI45))</f>
        <v/>
      </c>
      <c r="BL45">
        <f>IF($C45="",99,IF(AND($AX45&lt;1,V$3&gt;=MAX(N($P45),N($S45))),0,99))</f>
        <v/>
      </c>
      <c r="BM45">
        <f>IF($C45="",99,IF(AND($AY45&lt;1,W$3&gt;=MAX(N($P45),N($S45))),1,99))</f>
        <v/>
      </c>
      <c r="BN45">
        <f>IF($C45="",99,IF(AND($AZ45&lt;1,X$3&gt;=MAX(N($P45),N($S45))),2,99))</f>
        <v/>
      </c>
      <c r="BO45">
        <f>IF($C45="",99,IF(AND($BA45&lt;1,Y$3&gt;=MAX(N($P45),N($S45))),3,99))</f>
        <v/>
      </c>
      <c r="BP45">
        <f>IF($C45="",99,IF(AND($BB45&lt;1,Z$3&gt;=MAX(N($P45),N($S45))),4,99))</f>
        <v/>
      </c>
      <c r="BQ45">
        <f>IF($C45="",99,IF(AND($BC45&lt;1,AA$3&gt;=MAX(N($P45),N($S45))),5,99))</f>
        <v/>
      </c>
      <c r="BR45">
        <f>IF($C45="",99,IF(AND($BD45&lt;1,AB$3&gt;=MAX(N($P45),N($S45))),6,99))</f>
        <v/>
      </c>
      <c r="BS45">
        <f>IF($C45="",99,IF(AND($BE45&lt;1,AC$3&gt;=MAX(N($P45),N($S45))),7,99))</f>
        <v/>
      </c>
      <c r="BT45">
        <f>IF($C45="",99,IF(AND($BF45&lt;1,AD$3&gt;=MAX(N($P45),N($S45))),8,99))</f>
        <v/>
      </c>
      <c r="BU45">
        <f>IF($C45="",99,IF(AND($BG45&lt;1,AE$3&gt;=MAX(N($P45),N($S45))),9,99))</f>
        <v/>
      </c>
      <c r="BV45">
        <f>IF($C45="",99,IF(AND($BH45&lt;1,AF$3&gt;=MAX(N($P45),N($S45))),10,99))</f>
        <v/>
      </c>
      <c r="BW45">
        <f>IF($C45="",99,IF(AND($BI45&lt;1,AG$3&gt;=MAX(N($P45),N($S45))),11,99))</f>
        <v/>
      </c>
      <c r="BX45">
        <f>IF($C45="",99,IF(AND($BJ45&lt;1,AH$3&gt;=MAX(N($P45),N($S45))),12,99))</f>
        <v/>
      </c>
      <c r="BY45">
        <f>IF($C45="",99,IF(AND($BK45&lt;1,AI$3&gt;=MAX(N($P45),N($S45))),13,99))</f>
        <v/>
      </c>
      <c r="BZ45">
        <f>IF(OR($C45="",$M45=""),"",COUNTIF($AJ45:$AW45,"&gt;=1"))</f>
        <v/>
      </c>
      <c r="CA45" s="90">
        <f>IF($BZ45="","",IF($BZ45&gt;=14,"",'設定'!$C$6+$BZ45))</f>
        <v/>
      </c>
      <c r="CB45">
        <f>IF(OR($C45="",$M45=""),"",MIN($BL45:$BY45))</f>
        <v/>
      </c>
      <c r="CC45" s="90">
        <f>IF($CB45="","",IF($CB45&gt;=99,"",'設定'!$C$6+$CB45))</f>
        <v/>
      </c>
      <c r="CD45">
        <f>IF(OR($C45="",$M45=""),"",AVERAGE($V45:$AI45))</f>
        <v/>
      </c>
      <c r="CE45">
        <f>IF($C45="","",IFERROR(IF(MATCH(IF(ISNUMBER($P45),$P45,'設定'!$C$6+N('設定'!$C$7)),$V$3:$AI$3,0)=1,MAX(0,N($L45)),INDEX($AJ45:$AW45,MATCH(IF(ISNUMBER($P45),$P45,'設定'!$C$6+N('設定'!$C$7)),$V$3:$AI$3,0)-1)),""))</f>
        <v/>
      </c>
      <c r="CF45">
        <f>IF(OR($C45="",$O45="",$CE45=""),"",IF($O45-$CE45&lt;=0,0,ROUNDUP(($O45-$CE45)/$G45,0)))</f>
        <v/>
      </c>
      <c r="CG45">
        <f>IF(OR($C45="",$CF45="",NOT(ISNUMBER($Q45))),0,MAX(0,$Q45-$CF45))</f>
        <v/>
      </c>
      <c r="CH45">
        <f>IF(OR($C45="",$O45="",$U45=0),0,IFERROR(ROUNDUP(MAX(0,IF(MATCH($S45,$V$3:$AI$3,0)=1,MAX(0,N($L45)),INDEX($AX45:$BK45,MATCH($S45,$V$3:$AI$3,0)-1))+$U45-$O45)/$G45,0),0))</f>
        <v/>
      </c>
      <c r="CI45">
        <f>IF($C45="","",IF(AND($P45="",$Q45=""),"",IF($P45="","⚠ 入庫日を ▼ から選んでください",IF(NOT(ISNUMBER($P45)),"⚠ 入庫日は ▼ から選んでください",IF($P45&lt;N('設定'!$C$6),"⚠ 入庫日が過去です（もう在庫に入っています）→ 消してください",IF($P45&gt;N('設定'!$C$6)+13,"⚠ 入庫日が14日より先です",IF(N($Q45)&lt;=0,"⚠ 入庫数を入れてください",IF($CG45&gt;0,"⚠ 目安より "&amp;$CG45&amp;" 多い（定数を超える）→ 減らす",""))))))))</f>
        <v/>
      </c>
      <c r="CJ45">
        <f>IF($C45="","",IF(AND($S45="",$T45=""),"",IF($S45="","⚠ 2便目：入庫日を ▼ から選んでください",IF(NOT(ISNUMBER($S45)),"⚠ 2便目：入庫日は ▼ から選んでください",IF($S45&lt;N('設定'!$C$6),"⚠ 2便目：入庫日が過去です（もう在庫に入っています）→ 消してください",IF($S45&gt;N('設定'!$C$6)+13,"⚠ 2便目：入庫日が14日より先です",IF(N($T45)&lt;=0,"⚠ 2便目：入庫数を入れてください",IF($CH45&gt;0,"⚠ 2便目：定数を "&amp;$CH45&amp;" ケース超える → 減らす",""))))))))</f>
        <v/>
      </c>
      <c r="CK45">
        <f>IF(AND($CI45="",N($Q45)&gt;0,ISNUMBER($P45)),1,0)</f>
        <v/>
      </c>
      <c r="CL45">
        <f>IF(AND($CJ45="",N($T45)&gt;0,ISNUMBER($S45)),1,0)</f>
        <v/>
      </c>
      <c r="CM45">
        <f>IF(OR($CK45=1,$CL45=1),1,0)</f>
        <v/>
      </c>
      <c r="CN45">
        <f>IF($C45="",0,($CK45*$R45+$CL45*$U45)*N($H45))</f>
        <v/>
      </c>
      <c r="CO45">
        <f>IF($C45="","",IF($CC45="","入庫後は 14日以上もつ",IF($CC45-N('設定'!$C$7)&lt;='設定'!$C$6,"入庫後も "&amp;TEXT($CC45,"m/d")&amp;"("&amp;CHOOSE(WEEKDAY($CC45),"日","月","火","水","木","金","土")&amp;")"&amp;" に切れる　もう1便を至急発注","入庫後も "&amp;TEXT($CC45,"m/d")&amp;"("&amp;CHOOSE(WEEKDAY($CC45),"日","月","火","水","木","金","土")&amp;")"&amp;" に切れる　"&amp;TEXT($CC45-N('設定'!$C$7),"m/d")&amp;"("&amp;CHOOSE(WEEKDAY($CC45-N('設定'!$C$7)),"日","月","火","水","木","金","土")&amp;")"&amp;" までに次を発注")))</f>
        <v/>
      </c>
      <c r="CP45">
        <f>IF($C45="","",IF('設定'!$C$6="","？ ①在庫を貼る に今日のCSVが貼られていない",IF($CS45=1,"－ 今日のCSVに無い（終売？）",IF($L45&lt;0,"● 在庫がマイナス　数えて「数えた在庫」に入れる",IF($L45=0,"● 在庫なし　至急発注",IF($M45="","？ 減り数が未設定（商品マスタ）",IF($B$3=0,"？ 動員が未入力（動員を入れる）",IF($CA45="","○ 14日以上もつ",IF($BZ45&lt;N('設定'!$C$7),"● "&amp;TEXT($CA45,"m/d")&amp;"("&amp;CHOOSE(WEEKDAY($CA45),"日","月","火","水","木","金","土")&amp;")"&amp;" に切れる　至急発注",IF($BZ45=N('設定'!$C$7),"● "&amp;TEXT($CA45,"m/d")&amp;"("&amp;CHOOSE(WEEKDAY($CA45),"日","月","火","水","木","金","土")&amp;")"&amp;" に切れる　今日発注","△ "&amp;TEXT($CA45,"m/d")&amp;"("&amp;CHOOSE(WEEKDAY($CA45),"日","月","火","水","木","金","土")&amp;")"&amp;" に切れる　"&amp;TEXT($CA45-N('設定'!$C$7),"m/d")&amp;"("&amp;CHOOSE(WEEKDAY($CA45-N('設定'!$C$7)),"日","月","火","水","木","金","土")&amp;")"&amp;" までに発注"))))))))))</f>
        <v/>
      </c>
      <c r="CQ45">
        <f>IF($C45="","",IF(AND($P45="",$Q45="",$S45="",$T45=""),"",IF(AND($P45="",$Q45=""),"⚠ 先に1便目（左の入庫日・入庫数）に入れてください",IF($CI45&lt;&gt;"",$CI45,IF($CJ45&lt;&gt;"",$CJ45,IF($M45="","？ 減り数が未設定（発注書には載ります）",IF($B$3=0,"？ 動員が未入力（発注書には載ります）",IF(AND($CA45&lt;&gt;"",$P45&gt;$CA45),IF($P45&gt;'設定'!$C$6+N('設定'!$C$7),"● "&amp;TEXT($P45,"m/d")&amp;"("&amp;CHOOSE(WEEKDAY($P45),"日","月","火","水","木","金","土")&amp;")"&amp;" の入庫では間に合わない（"&amp;TEXT($CA45,"m/d")&amp;"("&amp;CHOOSE(WEEKDAY($CA45),"日","月","火","水","木","金","土")&amp;")"&amp;" に切れる）　入庫日を早める","△ 欠品 "&amp;TEXT($CA45,"m/d")&amp;"("&amp;CHOOSE(WEEKDAY($CA45),"日","月","火","水","木","金","土")&amp;")"&amp;"〜"&amp;TEXT($P45-1,"m/d")&amp;"("&amp;CHOOSE(WEEKDAY($P45-1),"日","月","火","水","木","金","土")&amp;")"&amp;"　"&amp;$CO45),IF($CC45="","○ "&amp;TEXT($P45,"m/d")&amp;"("&amp;CHOOSE(WEEKDAY($P45),"日","月","火","水","木","金","土")&amp;")"&amp;" 入庫で 14日以上もつ",IF($CC45-N('設定'!$C$7)&lt;='設定'!$C$6,"● 入庫しても "&amp;TEXT($CC45,"m/d")&amp;"("&amp;CHOOSE(WEEKDAY($CC45),"日","月","火","水","木","金","土")&amp;")"&amp;" に切れる　もう1便を至急発注（2便目に入れる）","△ 入庫しても "&amp;TEXT($CC45,"m/d")&amp;"("&amp;CHOOSE(WEEKDAY($CC45),"日","月","火","水","木","金","土")&amp;")"&amp;" に切れる　"&amp;TEXT($CC45-N('設定'!$C$7),"m/d")&amp;"("&amp;CHOOSE(WEEKDAY($CC45-N('設定'!$C$7)),"日","月","火","水","木","金","土")&amp;")"&amp;" までに次を発注（2便目に入れる）"))))))))))</f>
        <v/>
      </c>
      <c r="CR45">
        <f>IF($C45="","",IF($G45&gt;1,"ｹｰｽ("&amp;$G45&amp;"入)","個"))</f>
        <v/>
      </c>
      <c r="CS45">
        <f>IF($C45="",0,IF(COUNTIFS('①在庫を貼る'!$V$6:$V$10005,'設定'!$C$4,'①在庫を貼る'!$W$6:$W$10005,$C45)=0,1,0))</f>
        <v/>
      </c>
      <c r="CT45">
        <f>IF(AND($CK45=1,OR('③発注書'!$C$4="すべて",'③発注書'!$C$4="",$F45='③発注書'!$C$4)),N($CT44)+1,N($CT44))</f>
        <v/>
      </c>
      <c r="CU45">
        <f>IF(AND($CL45=1,OR('③発注書'!$C$4="すべて",'③発注書'!$C$4="",$F45='③発注書'!$C$4)),N($CU44)+1,N($CU44))</f>
        <v/>
      </c>
      <c r="CV45">
        <f>IF($C45="",0,IF(COUNTIFS('①在庫を貼る'!$V$6:$V$10005,'設定'!$C$4,'①在庫を貼る'!$W$6:$W$10005,$C45)&gt;0,1,0))</f>
        <v/>
      </c>
      <c r="CW45">
        <f>IF($C45="",0,IF(COUNTIFS('月1回_1ヶ月前の在庫'!$V$6:$V$10005,'設定'!$C$4,'月1回_1ヶ月前の在庫'!$W$6:$W$10005,$C45)&gt;0,1,0))</f>
        <v/>
      </c>
      <c r="CX45">
        <f>IF($C45="",0,IF(COUNTIFS('月1回_2ヶ月前の在庫'!$V$6:$V$10005,'設定'!$C$4,'月1回_2ヶ月前の在庫'!$W$6:$W$10005,$C45)&gt;0,1,0))</f>
        <v/>
      </c>
      <c r="CY45">
        <f>IF(OR($C45="",'設定'!$C$12=""),"",IF('設定'!$C$13="",IF(AND($CV45=1,$CW45=0),"新商品（今月から）",IF(AND($CV45=0,$CW45=1),"終売（今月から）","")),IF(AND($CV45=1,$CW45=0,$CX45=0),"新商品（今月から）",IF(AND($CV45=1,$CW45=1,$CX45=0),"新商品（先月から）",IF(AND($CV45=0,$CW45=1,$CX45=1),"終売（今月から）",IF(AND($CV45=0,$CW45=0,$CX45=1),"終売（先月から）",IF(AND($CV45=1,$CW45=0,$CX45=1),"復活（先月は無し）","")))))))</f>
        <v/>
      </c>
    </row>
    <row r="46">
      <c r="B46">
        <f>IF(41&lt;='設定'!$C$11,41,"")</f>
        <v/>
      </c>
      <c r="C46">
        <f>IF($B46="","",IF($B46&lt;='設定'!$C$20,INDEX('商品マスタ'!$B$6:$B$1005,MATCH($B46,'商品マスタ'!$M$6:$M$1005,0)),IF($B46&lt;='設定'!$C$20+'設定'!$C$17,INDEX('①在庫を貼る'!$W$6:$W$10005,MATCH($B46-'設定'!$C$20,'①在庫を貼る'!$U$6:$U$10005,0)),IF($B46&lt;='設定'!$C$20+'設定'!$C$17+'設定'!$C$18,INDEX('月1回_1ヶ月前の在庫'!$W$6:$W$10005,MATCH($B46-'設定'!$C$20-'設定'!$C$17,'月1回_1ヶ月前の在庫'!$U$6:$U$10005,0)),INDEX('月1回_2ヶ月前の在庫'!$W$6:$W$10005,MATCH($B46-'設定'!$C$20-'設定'!$C$17-'設定'!$C$18,'月1回_2ヶ月前の在庫'!$U$6:$U$10005,0))))))</f>
        <v/>
      </c>
      <c r="D46">
        <f>IF($C46="","",IFERROR(IF(INDEX('商品マスタ'!$C$6:$C$1005,MATCH($C46,'商品マスタ'!$B$6:$B$1005,0))="",IFERROR(INDEX('①在庫を貼る'!$J$6:$J$10005,MATCH($C46,'①在庫を貼る'!$W$6:$W$10005,0)),IFERROR(INDEX('月1回_1ヶ月前の在庫'!$J$6:$J$10005,MATCH($C46,'月1回_1ヶ月前の在庫'!$W$6:$W$10005,0)),IFERROR(INDEX('月1回_2ヶ月前の在庫'!$J$6:$J$10005,MATCH($C46,'月1回_2ヶ月前の在庫'!$W$6:$W$10005,0)),""))),INDEX('商品マスタ'!$C$6:$C$1005,MATCH($C46,'商品マスタ'!$B$6:$B$1005,0))),IFERROR(INDEX('①在庫を貼る'!$J$6:$J$10005,MATCH($C46,'①在庫を貼る'!$W$6:$W$10005,0)),IFERROR(INDEX('月1回_1ヶ月前の在庫'!$J$6:$J$10005,MATCH($C46,'月1回_1ヶ月前の在庫'!$W$6:$W$10005,0)),IFERROR(INDEX('月1回_2ヶ月前の在庫'!$J$6:$J$10005,MATCH($C46,'月1回_2ヶ月前の在庫'!$W$6:$W$10005,0)),"")))))</f>
        <v/>
      </c>
      <c r="E46">
        <f>IF($C46="","",IFERROR(IF(INDEX('商品マスタ'!$D$6:$D$1005,MATCH($C46,'商品マスタ'!$B$6:$B$1005,0))="",IFERROR(INDEX('①在庫を貼る'!$H$6:$H$10005,MATCH($C46,'①在庫を貼る'!$W$6:$W$10005,0)),IFERROR(INDEX('月1回_1ヶ月前の在庫'!$H$6:$H$10005,MATCH($C46,'月1回_1ヶ月前の在庫'!$W$6:$W$10005,0)),IFERROR(INDEX('月1回_2ヶ月前の在庫'!$H$6:$H$10005,MATCH($C46,'月1回_2ヶ月前の在庫'!$W$6:$W$10005,0)),""))),INDEX('商品マスタ'!$D$6:$D$1005,MATCH($C46,'商品マスタ'!$B$6:$B$1005,0))),IFERROR(INDEX('①在庫を貼る'!$H$6:$H$10005,MATCH($C46,'①在庫を貼る'!$W$6:$W$10005,0)),IFERROR(INDEX('月1回_1ヶ月前の在庫'!$H$6:$H$10005,MATCH($C46,'月1回_1ヶ月前の在庫'!$W$6:$W$10005,0)),IFERROR(INDEX('月1回_2ヶ月前の在庫'!$H$6:$H$10005,MATCH($C46,'月1回_2ヶ月前の在庫'!$W$6:$W$10005,0)),"")))))</f>
        <v/>
      </c>
      <c r="F46">
        <f>IF($C46="","",IFERROR(IF(INDEX('商品マスタ'!$E$6:$E$1005,MATCH($C46,'商品マスタ'!$B$6:$B$1005,0))="",IFERROR(INDEX('①在庫を貼る'!$E$6:$E$10005,MATCH($C46,'①在庫を貼る'!$W$6:$W$10005,0)),IFERROR(INDEX('月1回_1ヶ月前の在庫'!$E$6:$E$10005,MATCH($C46,'月1回_1ヶ月前の在庫'!$W$6:$W$10005,0)),IFERROR(INDEX('月1回_2ヶ月前の在庫'!$E$6:$E$10005,MATCH($C46,'月1回_2ヶ月前の在庫'!$W$6:$W$10005,0)),""))),INDEX('商品マスタ'!$E$6:$E$1005,MATCH($C46,'商品マスタ'!$B$6:$B$1005,0))),IFERROR(INDEX('①在庫を貼る'!$E$6:$E$10005,MATCH($C46,'①在庫を貼る'!$W$6:$W$10005,0)),IFERROR(INDEX('月1回_1ヶ月前の在庫'!$E$6:$E$10005,MATCH($C46,'月1回_1ヶ月前の在庫'!$W$6:$W$10005,0)),IFERROR(INDEX('月1回_2ヶ月前の在庫'!$E$6:$E$10005,MATCH($C46,'月1回_2ヶ月前の在庫'!$W$6:$W$10005,0)),"")))))</f>
        <v/>
      </c>
      <c r="G46">
        <f>IF($C46="","",MAX(1,N(IFERROR(IF(INDEX('商品マスタ'!$F$6:$F$1005,MATCH($C46,'商品マスタ'!$B$6:$B$1005,0))="",IF(COUNTIFS('①在庫を貼る'!$V$6:$V$10005,'設定'!$C$4,'①在庫を貼る'!$W$6:$W$10005,$C46)&gt;0,SUMIFS('①在庫を貼る'!$K$6:$K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K$6:$K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K$6:$K$10005,'月1回_2ヶ月前の在庫'!$V$6:$V$10005,'設定'!$C$4,'月1回_2ヶ月前の在庫'!$W$6:$W$10005,$C46)/COUNTIFS('月1回_2ヶ月前の在庫'!$V$6:$V$10005,'設定'!$C$4,'月1回_2ヶ月前の在庫'!$W$6:$W$10005,$C46),0))),INDEX('商品マスタ'!$F$6:$F$1005,MATCH($C46,'商品マスタ'!$B$6:$B$1005,0))),IF(COUNTIFS('①在庫を貼る'!$V$6:$V$10005,'設定'!$C$4,'①在庫を貼る'!$W$6:$W$10005,$C46)&gt;0,SUMIFS('①在庫を貼る'!$K$6:$K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K$6:$K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K$6:$K$10005,'月1回_2ヶ月前の在庫'!$V$6:$V$10005,'設定'!$C$4,'月1回_2ヶ月前の在庫'!$W$6:$W$10005,$C46)/COUNTIFS('月1回_2ヶ月前の在庫'!$V$6:$V$10005,'設定'!$C$4,'月1回_2ヶ月前の在庫'!$W$6:$W$10005,$C46),0)))))))</f>
        <v/>
      </c>
      <c r="H46">
        <f>IF($C46="","",N(IFERROR(IF(INDEX('商品マスタ'!$G$6:$G$1005,MATCH($C46,'商品マスタ'!$B$6:$B$1005,0))="",IF(COUNTIFS('①在庫を貼る'!$V$6:$V$10005,'設定'!$C$4,'①在庫を貼る'!$W$6:$W$10005,$C46)&gt;0,SUMIFS('①在庫を貼る'!$Q$6:$Q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Q$6:$Q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Q$6:$Q$10005,'月1回_2ヶ月前の在庫'!$V$6:$V$10005,'設定'!$C$4,'月1回_2ヶ月前の在庫'!$W$6:$W$10005,$C46)/COUNTIFS('月1回_2ヶ月前の在庫'!$V$6:$V$10005,'設定'!$C$4,'月1回_2ヶ月前の在庫'!$W$6:$W$10005,$C46),0))),INDEX('商品マスタ'!$G$6:$G$1005,MATCH($C46,'商品マスタ'!$B$6:$B$1005,0))),IF(COUNTIFS('①在庫を貼る'!$V$6:$V$10005,'設定'!$C$4,'①在庫を貼る'!$W$6:$W$10005,$C46)&gt;0,SUMIFS('①在庫を貼る'!$Q$6:$Q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Q$6:$Q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Q$6:$Q$10005,'月1回_2ヶ月前の在庫'!$V$6:$V$10005,'設定'!$C$4,'月1回_2ヶ月前の在庫'!$W$6:$W$10005,$C46)/COUNTIFS('月1回_2ヶ月前の在庫'!$V$6:$V$10005,'設定'!$C$4,'月1回_2ヶ月前の在庫'!$W$6:$W$10005,$C46),0))))))</f>
        <v/>
      </c>
      <c r="I46">
        <f>IF($C46="","",IF(COUNTIFS('①在庫を貼る'!$V$6:$V$10005,'設定'!$C$4,'①在庫を貼る'!$W$6:$W$10005,$C46)=0,"",SUMIFS('①在庫を貼る'!$N$6:$N$10005,'①在庫を貼る'!$V$6:$V$10005,'設定'!$C$4,'①在庫を貼る'!$W$6:$W$10005,$C46)))</f>
        <v/>
      </c>
      <c r="J46">
        <f>IF($C46="","",IF('②発注する'!$AD50="","",'②発注する'!$AD50))</f>
        <v/>
      </c>
      <c r="K46" s="90">
        <f>IF($C46="","",IF('②発注する'!$AE50="","",'②発注する'!$AE50))</f>
        <v/>
      </c>
      <c r="L46">
        <f>IF($C46="","",IF(AND(ISNUMBER($J46),ISNUMBER($K46),$K46&gt;='設定'!$C$6),$J46,N($I46)))</f>
        <v/>
      </c>
      <c r="M46">
        <f>IF($C46="","",IFERROR(IF(N(INDEX('商品マスタ'!$J$6:$J$1005,MATCH($C46,'商品マスタ'!$B$6:$B$1005,0)))&gt;0,INDEX('商品マスタ'!$J$6:$J$1005,MATCH($C46,'商品マスタ'!$B$6:$B$1005,0)),""),""))</f>
        <v/>
      </c>
      <c r="N46">
        <f>IF($C46="","",IFERROR(IF(N(INDEX('商品マスタ'!$H$6:$H$1005,MATCH($C46,'商品マスタ'!$B$6:$B$1005,0)))&gt;0,INDEX('商品マスタ'!$H$6:$H$1005,MATCH($C46,'商品マスタ'!$B$6:$B$1005,0)),""),""))</f>
        <v/>
      </c>
      <c r="O46">
        <f>IF($C46="","",IF($N46&lt;&gt;"",$N46*$G46,IF(N(IF(COUNTIFS('①在庫を貼る'!$V$6:$V$10005,'設定'!$C$4,'①在庫を貼る'!$W$6:$W$10005,$C46)&gt;0,SUMIFS('①在庫を貼る'!$O$6:$O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O$6:$O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O$6:$O$10005,'月1回_2ヶ月前の在庫'!$V$6:$V$10005,'設定'!$C$4,'月1回_2ヶ月前の在庫'!$W$6:$W$10005,$C46)/COUNTIFS('月1回_2ヶ月前の在庫'!$V$6:$V$10005,'設定'!$C$4,'月1回_2ヶ月前の在庫'!$W$6:$W$10005,$C46),0))))&gt;0,N(IF(COUNTIFS('①在庫を貼る'!$V$6:$V$10005,'設定'!$C$4,'①在庫を貼る'!$W$6:$W$10005,$C46)&gt;0,SUMIFS('①在庫を貼る'!$O$6:$O$10005,'①在庫を貼る'!$V$6:$V$10005,'設定'!$C$4,'①在庫を貼る'!$W$6:$W$10005,$C46)/COUNTIFS('①在庫を貼る'!$V$6:$V$10005,'設定'!$C$4,'①在庫を貼る'!$W$6:$W$10005,$C46),IF(COUNTIFS('月1回_1ヶ月前の在庫'!$V$6:$V$10005,'設定'!$C$4,'月1回_1ヶ月前の在庫'!$W$6:$W$10005,$C46)&gt;0,SUMIFS('月1回_1ヶ月前の在庫'!$O$6:$O$10005,'月1回_1ヶ月前の在庫'!$V$6:$V$10005,'設定'!$C$4,'月1回_1ヶ月前の在庫'!$W$6:$W$10005,$C46)/COUNTIFS('月1回_1ヶ月前の在庫'!$V$6:$V$10005,'設定'!$C$4,'月1回_1ヶ月前の在庫'!$W$6:$W$10005,$C46),IF(COUNTIFS('月1回_2ヶ月前の在庫'!$V$6:$V$10005,'設定'!$C$4,'月1回_2ヶ月前の在庫'!$W$6:$W$10005,$C46)&gt;0,SUMIFS('月1回_2ヶ月前の在庫'!$O$6:$O$10005,'月1回_2ヶ月前の在庫'!$V$6:$V$10005,'設定'!$C$4,'月1回_2ヶ月前の在庫'!$W$6:$W$10005,$C46)/COUNTIFS('月1回_2ヶ月前の在庫'!$V$6:$V$10005,'設定'!$C$4,'月1回_2ヶ月前の在庫'!$W$6:$W$10005,$C46),0)))),"")))</f>
        <v/>
      </c>
      <c r="P46" s="90">
        <f>IF($C46="","",IF('②発注する'!$I50="","",'②発注する'!$I50))</f>
        <v/>
      </c>
      <c r="Q46">
        <f>IF($C46="","",IF('②発注する'!$J50="","",'②発注する'!$J50))</f>
        <v/>
      </c>
      <c r="R46">
        <f>IF($C46="",0,IF(AND(ISNUMBER($P46),ISNUMBER($Q46)),MAX(0,$Q46)*$G46,0))</f>
        <v/>
      </c>
      <c r="S46" s="90">
        <f>IF($C46="","",IF('②発注する'!$M50="","",'②発注する'!$M50))</f>
        <v/>
      </c>
      <c r="T46">
        <f>IF($C46="","",IF('②発注する'!$N50="","",'②発注する'!$N50))</f>
        <v/>
      </c>
      <c r="U46">
        <f>IF($C46="",0,IF(AND(ISNUMBER($S46),ISNUMBER($T46)),MAX(0,$T46)*$G46,0))</f>
        <v/>
      </c>
      <c r="V46">
        <f>IF($C46="",0,IF($M46="",0,MAX(0,$M46)*MAX(0,V$4)/100))</f>
        <v/>
      </c>
      <c r="W46">
        <f>IF($C46="",0,IF($M46="",0,MAX(0,$M46)*MAX(0,W$4)/100))</f>
        <v/>
      </c>
      <c r="X46">
        <f>IF($C46="",0,IF($M46="",0,MAX(0,$M46)*MAX(0,X$4)/100))</f>
        <v/>
      </c>
      <c r="Y46">
        <f>IF($C46="",0,IF($M46="",0,MAX(0,$M46)*MAX(0,Y$4)/100))</f>
        <v/>
      </c>
      <c r="Z46">
        <f>IF($C46="",0,IF($M46="",0,MAX(0,$M46)*MAX(0,Z$4)/100))</f>
        <v/>
      </c>
      <c r="AA46">
        <f>IF($C46="",0,IF($M46="",0,MAX(0,$M46)*MAX(0,AA$4)/100))</f>
        <v/>
      </c>
      <c r="AB46">
        <f>IF($C46="",0,IF($M46="",0,MAX(0,$M46)*MAX(0,AB$4)/100))</f>
        <v/>
      </c>
      <c r="AC46">
        <f>IF($C46="",0,IF($M46="",0,MAX(0,$M46)*MAX(0,AC$4)/100))</f>
        <v/>
      </c>
      <c r="AD46">
        <f>IF($C46="",0,IF($M46="",0,MAX(0,$M46)*MAX(0,AD$4)/100))</f>
        <v/>
      </c>
      <c r="AE46">
        <f>IF($C46="",0,IF($M46="",0,MAX(0,$M46)*MAX(0,AE$4)/100))</f>
        <v/>
      </c>
      <c r="AF46">
        <f>IF($C46="",0,IF($M46="",0,MAX(0,$M46)*MAX(0,AF$4)/100))</f>
        <v/>
      </c>
      <c r="AG46">
        <f>IF($C46="",0,IF($M46="",0,MAX(0,$M46)*MAX(0,AG$4)/100))</f>
        <v/>
      </c>
      <c r="AH46">
        <f>IF($C46="",0,IF($M46="",0,MAX(0,$M46)*MAX(0,AH$4)/100))</f>
        <v/>
      </c>
      <c r="AI46">
        <f>IF($C46="",0,IF($M46="",0,MAX(0,$M46)*MAX(0,AI$4)/100))</f>
        <v/>
      </c>
      <c r="AJ46">
        <f>IF($C46="",0,MAX(0,MAX(0,N($L46))-$V46))</f>
        <v/>
      </c>
      <c r="AK46">
        <f>IF($C46="",0,MAX(0,$AJ46-$W46))</f>
        <v/>
      </c>
      <c r="AL46">
        <f>IF($C46="",0,MAX(0,$AK46-$X46))</f>
        <v/>
      </c>
      <c r="AM46">
        <f>IF($C46="",0,MAX(0,$AL46-$Y46))</f>
        <v/>
      </c>
      <c r="AN46">
        <f>IF($C46="",0,MAX(0,$AM46-$Z46))</f>
        <v/>
      </c>
      <c r="AO46">
        <f>IF($C46="",0,MAX(0,$AN46-$AA46))</f>
        <v/>
      </c>
      <c r="AP46">
        <f>IF($C46="",0,MAX(0,$AO46-$AB46))</f>
        <v/>
      </c>
      <c r="AQ46">
        <f>IF($C46="",0,MAX(0,$AP46-$AC46))</f>
        <v/>
      </c>
      <c r="AR46">
        <f>IF($C46="",0,MAX(0,$AQ46-$AD46))</f>
        <v/>
      </c>
      <c r="AS46">
        <f>IF($C46="",0,MAX(0,$AR46-$AE46))</f>
        <v/>
      </c>
      <c r="AT46">
        <f>IF($C46="",0,MAX(0,$AS46-$AF46))</f>
        <v/>
      </c>
      <c r="AU46">
        <f>IF($C46="",0,MAX(0,$AT46-$AG46))</f>
        <v/>
      </c>
      <c r="AV46">
        <f>IF($C46="",0,MAX(0,$AU46-$AH46))</f>
        <v/>
      </c>
      <c r="AW46">
        <f>IF($C46="",0,MAX(0,$AV46-$AI46))</f>
        <v/>
      </c>
      <c r="AX46">
        <f>IF($C46="",0,MAX(0,MAX(0,N($L46))+IF($P46=V$3,$R46,0)+IF($S46=V$3,$U46,0)-$V46))</f>
        <v/>
      </c>
      <c r="AY46">
        <f>IF($C46="",0,MAX(0,$AX46+IF($P46=W$3,$R46,0)+IF($S46=W$3,$U46,0)-$W46))</f>
        <v/>
      </c>
      <c r="AZ46">
        <f>IF($C46="",0,MAX(0,$AY46+IF($P46=X$3,$R46,0)+IF($S46=X$3,$U46,0)-$X46))</f>
        <v/>
      </c>
      <c r="BA46">
        <f>IF($C46="",0,MAX(0,$AZ46+IF($P46=Y$3,$R46,0)+IF($S46=Y$3,$U46,0)-$Y46))</f>
        <v/>
      </c>
      <c r="BB46">
        <f>IF($C46="",0,MAX(0,$BA46+IF($P46=Z$3,$R46,0)+IF($S46=Z$3,$U46,0)-$Z46))</f>
        <v/>
      </c>
      <c r="BC46">
        <f>IF($C46="",0,MAX(0,$BB46+IF($P46=AA$3,$R46,0)+IF($S46=AA$3,$U46,0)-$AA46))</f>
        <v/>
      </c>
      <c r="BD46">
        <f>IF($C46="",0,MAX(0,$BC46+IF($P46=AB$3,$R46,0)+IF($S46=AB$3,$U46,0)-$AB46))</f>
        <v/>
      </c>
      <c r="BE46">
        <f>IF($C46="",0,MAX(0,$BD46+IF($P46=AC$3,$R46,0)+IF($S46=AC$3,$U46,0)-$AC46))</f>
        <v/>
      </c>
      <c r="BF46">
        <f>IF($C46="",0,MAX(0,$BE46+IF($P46=AD$3,$R46,0)+IF($S46=AD$3,$U46,0)-$AD46))</f>
        <v/>
      </c>
      <c r="BG46">
        <f>IF($C46="",0,MAX(0,$BF46+IF($P46=AE$3,$R46,0)+IF($S46=AE$3,$U46,0)-$AE46))</f>
        <v/>
      </c>
      <c r="BH46">
        <f>IF($C46="",0,MAX(0,$BG46+IF($P46=AF$3,$R46,0)+IF($S46=AF$3,$U46,0)-$AF46))</f>
        <v/>
      </c>
      <c r="BI46">
        <f>IF($C46="",0,MAX(0,$BH46+IF($P46=AG$3,$R46,0)+IF($S46=AG$3,$U46,0)-$AG46))</f>
        <v/>
      </c>
      <c r="BJ46">
        <f>IF($C46="",0,MAX(0,$BI46+IF($P46=AH$3,$R46,0)+IF($S46=AH$3,$U46,0)-$AH46))</f>
        <v/>
      </c>
      <c r="BK46">
        <f>IF($C46="",0,MAX(0,$BJ46+IF($P46=AI$3,$R46,0)+IF($S46=AI$3,$U46,0)-$AI46))</f>
        <v/>
      </c>
      <c r="BL46">
        <f>IF($C46="",99,IF(AND($AX46&lt;1,V$3&gt;=MAX(N($P46),N($S46))),0,99))</f>
        <v/>
      </c>
      <c r="BM46">
        <f>IF($C46="",99,IF(AND($AY46&lt;1,W$3&gt;=MAX(N($P46),N($S46))),1,99))</f>
        <v/>
      </c>
      <c r="BN46">
        <f>IF($C46="",99,IF(AND($AZ46&lt;1,X$3&gt;=MAX(N($P46),N($S46))),2,99))</f>
        <v/>
      </c>
      <c r="BO46">
        <f>IF($C46="",99,IF(AND($BA46&lt;1,Y$3&gt;=MAX(N($P46),N($S46))),3,99))</f>
        <v/>
      </c>
      <c r="BP46">
        <f>IF($C46="",99,IF(AND($BB46&lt;1,Z$3&gt;=MAX(N($P46),N($S46))),4,99))</f>
        <v/>
      </c>
      <c r="BQ46">
        <f>IF($C46="",99,IF(AND($BC46&lt;1,AA$3&gt;=MAX(N($P46),N($S46))),5,99))</f>
        <v/>
      </c>
      <c r="BR46">
        <f>IF($C46="",99,IF(AND($BD46&lt;1,AB$3&gt;=MAX(N($P46),N($S46))),6,99))</f>
        <v/>
      </c>
      <c r="BS46">
        <f>IF($C46="",99,IF(AND($BE46&lt;1,AC$3&gt;=MAX(N($P46),N($S46))),7,99))</f>
        <v/>
      </c>
      <c r="BT46">
        <f>IF($C46="",99,IF(AND($BF46&lt;1,AD$3&gt;=MAX(N($P46),N($S46))),8,99))</f>
        <v/>
      </c>
      <c r="BU46">
        <f>IF($C46="",99,IF(AND($BG46&lt;1,AE$3&gt;=MAX(N($P46),N($S46))),9,99))</f>
        <v/>
      </c>
      <c r="BV46">
        <f>IF($C46="",99,IF(AND($BH46&lt;1,AF$3&gt;=MAX(N($P46),N($S46))),10,99))</f>
        <v/>
      </c>
      <c r="BW46">
        <f>IF($C46="",99,IF(AND($BI46&lt;1,AG$3&gt;=MAX(N($P46),N($S46))),11,99))</f>
        <v/>
      </c>
      <c r="BX46">
        <f>IF($C46="",99,IF(AND($BJ46&lt;1,AH$3&gt;=MAX(N($P46),N($S46))),12,99))</f>
        <v/>
      </c>
      <c r="BY46">
        <f>IF($C46="",99,IF(AND($BK46&lt;1,AI$3&gt;=MAX(N($P46),N($S46))),13,99))</f>
        <v/>
      </c>
      <c r="BZ46">
        <f>IF(OR($C46="",$M46=""),"",COUNTIF($AJ46:$AW46,"&gt;=1"))</f>
        <v/>
      </c>
      <c r="CA46" s="90">
        <f>IF($BZ46="","",IF($BZ46&gt;=14,"",'設定'!$C$6+$BZ46))</f>
        <v/>
      </c>
      <c r="CB46">
        <f>IF(OR($C46="",$M46=""),"",MIN($BL46:$BY46))</f>
        <v/>
      </c>
      <c r="CC46" s="90">
        <f>IF($CB46="","",IF($CB46&gt;=99,"",'設定'!$C$6+$CB46))</f>
        <v/>
      </c>
      <c r="CD46">
        <f>IF(OR($C46="",$M46=""),"",AVERAGE($V46:$AI46))</f>
        <v/>
      </c>
      <c r="CE46">
        <f>IF($C46="","",IFERROR(IF(MATCH(IF(ISNUMBER($P46),$P46,'設定'!$C$6+N('設定'!$C$7)),$V$3:$AI$3,0)=1,MAX(0,N($L46)),INDEX($AJ46:$AW46,MATCH(IF(ISNUMBER($P46),$P46,'設定'!$C$6+N('設定'!$C$7)),$V$3:$AI$3,0)-1)),""))</f>
        <v/>
      </c>
      <c r="CF46">
        <f>IF(OR($C46="",$O46="",$CE46=""),"",IF($O46-$CE46&lt;=0,0,ROUNDUP(($O46-$CE46)/$G46,0)))</f>
        <v/>
      </c>
      <c r="CG46">
        <f>IF(OR($C46="",$CF46="",NOT(ISNUMBER($Q46))),0,MAX(0,$Q46-$CF46))</f>
        <v/>
      </c>
      <c r="CH46">
        <f>IF(OR($C46="",$O46="",$U46=0),0,IFERROR(ROUNDUP(MAX(0,IF(MATCH($S46,$V$3:$AI$3,0)=1,MAX(0,N($L46)),INDEX($AX46:$BK46,MATCH($S46,$V$3:$AI$3,0)-1))+$U46-$O46)/$G46,0),0))</f>
        <v/>
      </c>
      <c r="CI46">
        <f>IF($C46="","",IF(AND($P46="",$Q46=""),"",IF($P46="","⚠ 入庫日を ▼ から選んでください",IF(NOT(ISNUMBER($P46)),"⚠ 入庫日は ▼ から選んでください",IF($P46&lt;N('設定'!$C$6),"⚠ 入庫日が過去です（もう在庫に入っています）→ 消してください",IF($P46&gt;N('設定'!$C$6)+13,"⚠ 入庫日が14日より先です",IF(N($Q46)&lt;=0,"⚠ 入庫数を入れてください",IF($CG46&gt;0,"⚠ 目安より "&amp;$CG46&amp;" 多い（定数を超える）→ 減らす",""))))))))</f>
        <v/>
      </c>
      <c r="CJ46">
        <f>IF($C46="","",IF(AND($S46="",$T46=""),"",IF($S46="","⚠ 2便目：入庫日を ▼ から選んでください",IF(NOT(ISNUMBER($S46)),"⚠ 2便目：入庫日は ▼ から選んでください",IF($S46&lt;N('設定'!$C$6),"⚠ 2便目：入庫日が過去です（もう在庫に入っています）→ 消してください",IF($S46&gt;N('設定'!$C$6)+13,"⚠ 2便目：入庫日が14日より先です",IF(N($T46)&lt;=0,"⚠ 2便目：入庫数を入れてください",IF($CH46&gt;0,"⚠ 2便目：定数を "&amp;$CH46&amp;" ケース超える → 減らす",""))))))))</f>
        <v/>
      </c>
      <c r="CK46">
        <f>IF(AND($CI46="",N($Q46)&gt;0,ISNUMBER($P46)),1,0)</f>
        <v/>
      </c>
      <c r="CL46">
        <f>IF(AND($CJ46="",N($T46)&gt;0,ISNUMBER($S46)),1,0)</f>
        <v/>
      </c>
      <c r="CM46">
        <f>IF(OR($CK46=1,$CL46=1),1,0)</f>
        <v/>
      </c>
      <c r="CN46">
        <f>IF($C46="",0,($CK46*$R46+$CL46*$U46)*N($H46))</f>
        <v/>
      </c>
      <c r="CO46">
        <f>IF($C46="","",IF($CC46="","入庫後は 14日以上もつ",IF($CC46-N('設定'!$C$7)&lt;='設定'!$C$6,"入庫後も "&amp;TEXT($CC46,"m/d")&amp;"("&amp;CHOOSE(WEEKDAY($CC46),"日","月","火","水","木","金","土")&amp;")"&amp;" に切れる　もう1便を至急発注","入庫後も "&amp;TEXT($CC46,"m/d")&amp;"("&amp;CHOOSE(WEEKDAY($CC46),"日","月","火","水","木","金","土")&amp;")"&amp;" に切れる　"&amp;TEXT($CC46-N('設定'!$C$7),"m/d")&amp;"("&amp;CHOOSE(WEEKDAY($CC46-N('設定'!$C$7)),"日","月","火","水","木","金","土")&amp;")"&amp;" までに次を発注")))</f>
        <v/>
      </c>
      <c r="CP46">
        <f>IF($C46="","",IF('設定'!$C$6="","？ ①在庫を貼る に今日のCSVが貼られていない",IF($CS46=1,"－ 今日のCSVに無い（終売？）",IF($L46&lt;0,"● 在庫がマイナス　数えて「数えた在庫」に入れる",IF($L46=0,"● 在庫なし　至急発注",IF($M46="","？ 減り数が未設定（商品マスタ）",IF($B$3=0,"？ 動員が未入力（動員を入れる）",IF($CA46="","○ 14日以上もつ",IF($BZ46&lt;N('設定'!$C$7),"● "&amp;TEXT($CA46,"m/d")&amp;"("&amp;CHOOSE(WEEKDAY($CA46),"日","月","火","水","木","金","土")&amp;")"&amp;" に切れる　至急発注",IF($BZ46=N('設定'!$C$7),"● "&amp;TEXT($CA46,"m/d")&amp;"("&amp;CHOOSE(WEEKDAY($CA46),"日","月","火","水","木","金","土")&amp;")"&amp;" に切れる　今日発注","△ "&amp;TEXT($CA46,"m/d")&amp;"("&amp;CHOOSE(WEEKDAY($CA46),"日","月","火","水","木","金","土")&amp;")"&amp;" に切れる　"&amp;TEXT($CA46-N('設定'!$C$7),"m/d")&amp;"("&amp;CHOOSE(WEEKDAY($CA46-N('設定'!$C$7)),"日","月","火","水","木","金","土")&amp;")"&amp;" までに発注"))))))))))</f>
        <v/>
      </c>
      <c r="CQ46">
        <f>IF($C46="","",IF(AND($P46="",$Q46="",$S46="",$T46=""),"",IF(AND($P46="",$Q46=""),"⚠ 先に1便目（左の入庫日・入庫数）に入れてください",IF($CI46&lt;&gt;"",$CI46,IF($CJ46&lt;&gt;"",$CJ46,IF($M46="","？ 減り数が未設定（発注書には載ります）",IF($B$3=0,"？ 動員が未入力（発注書には載ります）",IF(AND($CA46&lt;&gt;"",$P46&gt;$CA46),IF($P46&gt;'設定'!$C$6+N('設定'!$C$7),"● "&amp;TEXT($P46,"m/d")&amp;"("&amp;CHOOSE(WEEKDAY($P46),"日","月","火","水","木","金","土")&amp;")"&amp;" の入庫では間に合わない（"&amp;TEXT($CA46,"m/d")&amp;"("&amp;CHOOSE(WEEKDAY($CA46),"日","月","火","水","木","金","土")&amp;")"&amp;" に切れる）　入庫日を早める","△ 欠品 "&amp;TEXT($CA46,"m/d")&amp;"("&amp;CHOOSE(WEEKDAY($CA46),"日","月","火","水","木","金","土")&amp;")"&amp;"〜"&amp;TEXT($P46-1,"m/d")&amp;"("&amp;CHOOSE(WEEKDAY($P46-1),"日","月","火","水","木","金","土")&amp;")"&amp;"　"&amp;$CO46),IF($CC46="","○ "&amp;TEXT($P46,"m/d")&amp;"("&amp;CHOOSE(WEEKDAY($P46),"日","月","火","水","木","金","土")&amp;")"&amp;" 入庫で 14日以上もつ",IF($CC46-N('設定'!$C$7)&lt;='設定'!$C$6,"● 入庫しても "&amp;TEXT($CC46,"m/d")&amp;"("&amp;CHOOSE(WEEKDAY($CC46),"日","月","火","水","木","金","土")&amp;")"&amp;" に切れる　もう1便を至急発注（2便目に入れる）","△ 入庫しても "&amp;TEXT($CC46,"m/d")&amp;"("&amp;CHOOSE(WEEKDAY($CC46),"日","月","火","水","木","金","土")&amp;")"&amp;" に切れる　"&amp;TEXT($CC46-N('設定'!$C$7),"m/d")&amp;"("&amp;CHOOSE(WEEKDAY($CC46-N('設定'!$C$7)),"日","月","火","水","木","金","土")&amp;")"&amp;" までに次を発注（2便目に入れる）"))))))))))</f>
        <v/>
      </c>
      <c r="CR46">
        <f>IF($C46="","",IF($G46&gt;1,"ｹｰｽ("&amp;$G46&amp;"入)","個"))</f>
        <v/>
      </c>
      <c r="CS46">
        <f>IF($C46="",0,IF(COUNTIFS('①在庫を貼る'!$V$6:$V$10005,'設定'!$C$4,'①在庫を貼る'!$W$6:$W$10005,$C46)=0,1,0))</f>
        <v/>
      </c>
      <c r="CT46">
        <f>IF(AND($CK46=1,OR('③発注書'!$C$4="すべて",'③発注書'!$C$4="",$F46='③発注書'!$C$4)),N($CT45)+1,N($CT45))</f>
        <v/>
      </c>
      <c r="CU46">
        <f>IF(AND($CL46=1,OR('③発注書'!$C$4="すべて",'③発注書'!$C$4="",$F46='③発注書'!$C$4)),N($CU45)+1,N($CU45))</f>
        <v/>
      </c>
      <c r="CV46">
        <f>IF($C46="",0,IF(COUNTIFS('①在庫を貼る'!$V$6:$V$10005,'設定'!$C$4,'①在庫を貼る'!$W$6:$W$10005,$C46)&gt;0,1,0))</f>
        <v/>
      </c>
      <c r="CW46">
        <f>IF($C46="",0,IF(COUNTIFS('月1回_1ヶ月前の在庫'!$V$6:$V$10005,'設定'!$C$4,'月1回_1ヶ月前の在庫'!$W$6:$W$10005,$C46)&gt;0,1,0))</f>
        <v/>
      </c>
      <c r="CX46">
        <f>IF($C46="",0,IF(COUNTIFS('月1回_2ヶ月前の在庫'!$V$6:$V$10005,'設定'!$C$4,'月1回_2ヶ月前の在庫'!$W$6:$W$10005,$C46)&gt;0,1,0))</f>
        <v/>
      </c>
      <c r="CY46">
        <f>IF(OR($C46="",'設定'!$C$12=""),"",IF('設定'!$C$13="",IF(AND($CV46=1,$CW46=0),"新商品（今月から）",IF(AND($CV46=0,$CW46=1),"終売（今月から）","")),IF(AND($CV46=1,$CW46=0,$CX46=0),"新商品（今月から）",IF(AND($CV46=1,$CW46=1,$CX46=0),"新商品（先月から）",IF(AND($CV46=0,$CW46=1,$CX46=1),"終売（今月から）",IF(AND($CV46=0,$CW46=0,$CX46=1),"終売（先月から）",IF(AND($CV46=1,$CW46=0,$CX46=1),"復活（先月は無し）","")))))))</f>
        <v/>
      </c>
    </row>
    <row r="47">
      <c r="B47">
        <f>IF(42&lt;='設定'!$C$11,42,"")</f>
        <v/>
      </c>
      <c r="C47">
        <f>IF($B47="","",IF($B47&lt;='設定'!$C$20,INDEX('商品マスタ'!$B$6:$B$1005,MATCH($B47,'商品マスタ'!$M$6:$M$1005,0)),IF($B47&lt;='設定'!$C$20+'設定'!$C$17,INDEX('①在庫を貼る'!$W$6:$W$10005,MATCH($B47-'設定'!$C$20,'①在庫を貼る'!$U$6:$U$10005,0)),IF($B47&lt;='設定'!$C$20+'設定'!$C$17+'設定'!$C$18,INDEX('月1回_1ヶ月前の在庫'!$W$6:$W$10005,MATCH($B47-'設定'!$C$20-'設定'!$C$17,'月1回_1ヶ月前の在庫'!$U$6:$U$10005,0)),INDEX('月1回_2ヶ月前の在庫'!$W$6:$W$10005,MATCH($B47-'設定'!$C$20-'設定'!$C$17-'設定'!$C$18,'月1回_2ヶ月前の在庫'!$U$6:$U$10005,0))))))</f>
        <v/>
      </c>
      <c r="D47">
        <f>IF($C47="","",IFERROR(IF(INDEX('商品マスタ'!$C$6:$C$1005,MATCH($C47,'商品マスタ'!$B$6:$B$1005,0))="",IFERROR(INDEX('①在庫を貼る'!$J$6:$J$10005,MATCH($C47,'①在庫を貼る'!$W$6:$W$10005,0)),IFERROR(INDEX('月1回_1ヶ月前の在庫'!$J$6:$J$10005,MATCH($C47,'月1回_1ヶ月前の在庫'!$W$6:$W$10005,0)),IFERROR(INDEX('月1回_2ヶ月前の在庫'!$J$6:$J$10005,MATCH($C47,'月1回_2ヶ月前の在庫'!$W$6:$W$10005,0)),""))),INDEX('商品マスタ'!$C$6:$C$1005,MATCH($C47,'商品マスタ'!$B$6:$B$1005,0))),IFERROR(INDEX('①在庫を貼る'!$J$6:$J$10005,MATCH($C47,'①在庫を貼る'!$W$6:$W$10005,0)),IFERROR(INDEX('月1回_1ヶ月前の在庫'!$J$6:$J$10005,MATCH($C47,'月1回_1ヶ月前の在庫'!$W$6:$W$10005,0)),IFERROR(INDEX('月1回_2ヶ月前の在庫'!$J$6:$J$10005,MATCH($C47,'月1回_2ヶ月前の在庫'!$W$6:$W$10005,0)),"")))))</f>
        <v/>
      </c>
      <c r="E47">
        <f>IF($C47="","",IFERROR(IF(INDEX('商品マスタ'!$D$6:$D$1005,MATCH($C47,'商品マスタ'!$B$6:$B$1005,0))="",IFERROR(INDEX('①在庫を貼る'!$H$6:$H$10005,MATCH($C47,'①在庫を貼る'!$W$6:$W$10005,0)),IFERROR(INDEX('月1回_1ヶ月前の在庫'!$H$6:$H$10005,MATCH($C47,'月1回_1ヶ月前の在庫'!$W$6:$W$10005,0)),IFERROR(INDEX('月1回_2ヶ月前の在庫'!$H$6:$H$10005,MATCH($C47,'月1回_2ヶ月前の在庫'!$W$6:$W$10005,0)),""))),INDEX('商品マスタ'!$D$6:$D$1005,MATCH($C47,'商品マスタ'!$B$6:$B$1005,0))),IFERROR(INDEX('①在庫を貼る'!$H$6:$H$10005,MATCH($C47,'①在庫を貼る'!$W$6:$W$10005,0)),IFERROR(INDEX('月1回_1ヶ月前の在庫'!$H$6:$H$10005,MATCH($C47,'月1回_1ヶ月前の在庫'!$W$6:$W$10005,0)),IFERROR(INDEX('月1回_2ヶ月前の在庫'!$H$6:$H$10005,MATCH($C47,'月1回_2ヶ月前の在庫'!$W$6:$W$10005,0)),"")))))</f>
        <v/>
      </c>
      <c r="F47">
        <f>IF($C47="","",IFERROR(IF(INDEX('商品マスタ'!$E$6:$E$1005,MATCH($C47,'商品マスタ'!$B$6:$B$1005,0))="",IFERROR(INDEX('①在庫を貼る'!$E$6:$E$10005,MATCH($C47,'①在庫を貼る'!$W$6:$W$10005,0)),IFERROR(INDEX('月1回_1ヶ月前の在庫'!$E$6:$E$10005,MATCH($C47,'月1回_1ヶ月前の在庫'!$W$6:$W$10005,0)),IFERROR(INDEX('月1回_2ヶ月前の在庫'!$E$6:$E$10005,MATCH($C47,'月1回_2ヶ月前の在庫'!$W$6:$W$10005,0)),""))),INDEX('商品マスタ'!$E$6:$E$1005,MATCH($C47,'商品マスタ'!$B$6:$B$1005,0))),IFERROR(INDEX('①在庫を貼る'!$E$6:$E$10005,MATCH($C47,'①在庫を貼る'!$W$6:$W$10005,0)),IFERROR(INDEX('月1回_1ヶ月前の在庫'!$E$6:$E$10005,MATCH($C47,'月1回_1ヶ月前の在庫'!$W$6:$W$10005,0)),IFERROR(INDEX('月1回_2ヶ月前の在庫'!$E$6:$E$10005,MATCH($C47,'月1回_2ヶ月前の在庫'!$W$6:$W$10005,0)),"")))))</f>
        <v/>
      </c>
      <c r="G47">
        <f>IF($C47="","",MAX(1,N(IFERROR(IF(INDEX('商品マスタ'!$F$6:$F$1005,MATCH($C47,'商品マスタ'!$B$6:$B$1005,0))="",IF(COUNTIFS('①在庫を貼る'!$V$6:$V$10005,'設定'!$C$4,'①在庫を貼る'!$W$6:$W$10005,$C47)&gt;0,SUMIFS('①在庫を貼る'!$K$6:$K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K$6:$K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K$6:$K$10005,'月1回_2ヶ月前の在庫'!$V$6:$V$10005,'設定'!$C$4,'月1回_2ヶ月前の在庫'!$W$6:$W$10005,$C47)/COUNTIFS('月1回_2ヶ月前の在庫'!$V$6:$V$10005,'設定'!$C$4,'月1回_2ヶ月前の在庫'!$W$6:$W$10005,$C47),0))),INDEX('商品マスタ'!$F$6:$F$1005,MATCH($C47,'商品マスタ'!$B$6:$B$1005,0))),IF(COUNTIFS('①在庫を貼る'!$V$6:$V$10005,'設定'!$C$4,'①在庫を貼る'!$W$6:$W$10005,$C47)&gt;0,SUMIFS('①在庫を貼る'!$K$6:$K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K$6:$K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K$6:$K$10005,'月1回_2ヶ月前の在庫'!$V$6:$V$10005,'設定'!$C$4,'月1回_2ヶ月前の在庫'!$W$6:$W$10005,$C47)/COUNTIFS('月1回_2ヶ月前の在庫'!$V$6:$V$10005,'設定'!$C$4,'月1回_2ヶ月前の在庫'!$W$6:$W$10005,$C47),0)))))))</f>
        <v/>
      </c>
      <c r="H47">
        <f>IF($C47="","",N(IFERROR(IF(INDEX('商品マスタ'!$G$6:$G$1005,MATCH($C47,'商品マスタ'!$B$6:$B$1005,0))="",IF(COUNTIFS('①在庫を貼る'!$V$6:$V$10005,'設定'!$C$4,'①在庫を貼る'!$W$6:$W$10005,$C47)&gt;0,SUMIFS('①在庫を貼る'!$Q$6:$Q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Q$6:$Q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Q$6:$Q$10005,'月1回_2ヶ月前の在庫'!$V$6:$V$10005,'設定'!$C$4,'月1回_2ヶ月前の在庫'!$W$6:$W$10005,$C47)/COUNTIFS('月1回_2ヶ月前の在庫'!$V$6:$V$10005,'設定'!$C$4,'月1回_2ヶ月前の在庫'!$W$6:$W$10005,$C47),0))),INDEX('商品マスタ'!$G$6:$G$1005,MATCH($C47,'商品マスタ'!$B$6:$B$1005,0))),IF(COUNTIFS('①在庫を貼る'!$V$6:$V$10005,'設定'!$C$4,'①在庫を貼る'!$W$6:$W$10005,$C47)&gt;0,SUMIFS('①在庫を貼る'!$Q$6:$Q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Q$6:$Q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Q$6:$Q$10005,'月1回_2ヶ月前の在庫'!$V$6:$V$10005,'設定'!$C$4,'月1回_2ヶ月前の在庫'!$W$6:$W$10005,$C47)/COUNTIFS('月1回_2ヶ月前の在庫'!$V$6:$V$10005,'設定'!$C$4,'月1回_2ヶ月前の在庫'!$W$6:$W$10005,$C47),0))))))</f>
        <v/>
      </c>
      <c r="I47">
        <f>IF($C47="","",IF(COUNTIFS('①在庫を貼る'!$V$6:$V$10005,'設定'!$C$4,'①在庫を貼る'!$W$6:$W$10005,$C47)=0,"",SUMIFS('①在庫を貼る'!$N$6:$N$10005,'①在庫を貼る'!$V$6:$V$10005,'設定'!$C$4,'①在庫を貼る'!$W$6:$W$10005,$C47)))</f>
        <v/>
      </c>
      <c r="J47">
        <f>IF($C47="","",IF('②発注する'!$AD51="","",'②発注する'!$AD51))</f>
        <v/>
      </c>
      <c r="K47" s="90">
        <f>IF($C47="","",IF('②発注する'!$AE51="","",'②発注する'!$AE51))</f>
        <v/>
      </c>
      <c r="L47">
        <f>IF($C47="","",IF(AND(ISNUMBER($J47),ISNUMBER($K47),$K47&gt;='設定'!$C$6),$J47,N($I47)))</f>
        <v/>
      </c>
      <c r="M47">
        <f>IF($C47="","",IFERROR(IF(N(INDEX('商品マスタ'!$J$6:$J$1005,MATCH($C47,'商品マスタ'!$B$6:$B$1005,0)))&gt;0,INDEX('商品マスタ'!$J$6:$J$1005,MATCH($C47,'商品マスタ'!$B$6:$B$1005,0)),""),""))</f>
        <v/>
      </c>
      <c r="N47">
        <f>IF($C47="","",IFERROR(IF(N(INDEX('商品マスタ'!$H$6:$H$1005,MATCH($C47,'商品マスタ'!$B$6:$B$1005,0)))&gt;0,INDEX('商品マスタ'!$H$6:$H$1005,MATCH($C47,'商品マスタ'!$B$6:$B$1005,0)),""),""))</f>
        <v/>
      </c>
      <c r="O47">
        <f>IF($C47="","",IF($N47&lt;&gt;"",$N47*$G47,IF(N(IF(COUNTIFS('①在庫を貼る'!$V$6:$V$10005,'設定'!$C$4,'①在庫を貼る'!$W$6:$W$10005,$C47)&gt;0,SUMIFS('①在庫を貼る'!$O$6:$O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O$6:$O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O$6:$O$10005,'月1回_2ヶ月前の在庫'!$V$6:$V$10005,'設定'!$C$4,'月1回_2ヶ月前の在庫'!$W$6:$W$10005,$C47)/COUNTIFS('月1回_2ヶ月前の在庫'!$V$6:$V$10005,'設定'!$C$4,'月1回_2ヶ月前の在庫'!$W$6:$W$10005,$C47),0))))&gt;0,N(IF(COUNTIFS('①在庫を貼る'!$V$6:$V$10005,'設定'!$C$4,'①在庫を貼る'!$W$6:$W$10005,$C47)&gt;0,SUMIFS('①在庫を貼る'!$O$6:$O$10005,'①在庫を貼る'!$V$6:$V$10005,'設定'!$C$4,'①在庫を貼る'!$W$6:$W$10005,$C47)/COUNTIFS('①在庫を貼る'!$V$6:$V$10005,'設定'!$C$4,'①在庫を貼る'!$W$6:$W$10005,$C47),IF(COUNTIFS('月1回_1ヶ月前の在庫'!$V$6:$V$10005,'設定'!$C$4,'月1回_1ヶ月前の在庫'!$W$6:$W$10005,$C47)&gt;0,SUMIFS('月1回_1ヶ月前の在庫'!$O$6:$O$10005,'月1回_1ヶ月前の在庫'!$V$6:$V$10005,'設定'!$C$4,'月1回_1ヶ月前の在庫'!$W$6:$W$10005,$C47)/COUNTIFS('月1回_1ヶ月前の在庫'!$V$6:$V$10005,'設定'!$C$4,'月1回_1ヶ月前の在庫'!$W$6:$W$10005,$C47),IF(COUNTIFS('月1回_2ヶ月前の在庫'!$V$6:$V$10005,'設定'!$C$4,'月1回_2ヶ月前の在庫'!$W$6:$W$10005,$C47)&gt;0,SUMIFS('月1回_2ヶ月前の在庫'!$O$6:$O$10005,'月1回_2ヶ月前の在庫'!$V$6:$V$10005,'設定'!$C$4,'月1回_2ヶ月前の在庫'!$W$6:$W$10005,$C47)/COUNTIFS('月1回_2ヶ月前の在庫'!$V$6:$V$10005,'設定'!$C$4,'月1回_2ヶ月前の在庫'!$W$6:$W$10005,$C47),0)))),"")))</f>
        <v/>
      </c>
      <c r="P47" s="90">
        <f>IF($C47="","",IF('②発注する'!$I51="","",'②発注する'!$I51))</f>
        <v/>
      </c>
      <c r="Q47">
        <f>IF($C47="","",IF('②発注する'!$J51="","",'②発注する'!$J51))</f>
        <v/>
      </c>
      <c r="R47">
        <f>IF($C47="",0,IF(AND(ISNUMBER($P47),ISNUMBER($Q47)),MAX(0,$Q47)*$G47,0))</f>
        <v/>
      </c>
      <c r="S47" s="90">
        <f>IF($C47="","",IF('②発注する'!$M51="","",'②発注する'!$M51))</f>
        <v/>
      </c>
      <c r="T47">
        <f>IF($C47="","",IF('②発注する'!$N51="","",'②発注する'!$N51))</f>
        <v/>
      </c>
      <c r="U47">
        <f>IF($C47="",0,IF(AND(ISNUMBER($S47),ISNUMBER($T47)),MAX(0,$T47)*$G47,0))</f>
        <v/>
      </c>
      <c r="V47">
        <f>IF($C47="",0,IF($M47="",0,MAX(0,$M47)*MAX(0,V$4)/100))</f>
        <v/>
      </c>
      <c r="W47">
        <f>IF($C47="",0,IF($M47="",0,MAX(0,$M47)*MAX(0,W$4)/100))</f>
        <v/>
      </c>
      <c r="X47">
        <f>IF($C47="",0,IF($M47="",0,MAX(0,$M47)*MAX(0,X$4)/100))</f>
        <v/>
      </c>
      <c r="Y47">
        <f>IF($C47="",0,IF($M47="",0,MAX(0,$M47)*MAX(0,Y$4)/100))</f>
        <v/>
      </c>
      <c r="Z47">
        <f>IF($C47="",0,IF($M47="",0,MAX(0,$M47)*MAX(0,Z$4)/100))</f>
        <v/>
      </c>
      <c r="AA47">
        <f>IF($C47="",0,IF($M47="",0,MAX(0,$M47)*MAX(0,AA$4)/100))</f>
        <v/>
      </c>
      <c r="AB47">
        <f>IF($C47="",0,IF($M47="",0,MAX(0,$M47)*MAX(0,AB$4)/100))</f>
        <v/>
      </c>
      <c r="AC47">
        <f>IF($C47="",0,IF($M47="",0,MAX(0,$M47)*MAX(0,AC$4)/100))</f>
        <v/>
      </c>
      <c r="AD47">
        <f>IF($C47="",0,IF($M47="",0,MAX(0,$M47)*MAX(0,AD$4)/100))</f>
        <v/>
      </c>
      <c r="AE47">
        <f>IF($C47="",0,IF($M47="",0,MAX(0,$M47)*MAX(0,AE$4)/100))</f>
        <v/>
      </c>
      <c r="AF47">
        <f>IF($C47="",0,IF($M47="",0,MAX(0,$M47)*MAX(0,AF$4)/100))</f>
        <v/>
      </c>
      <c r="AG47">
        <f>IF($C47="",0,IF($M47="",0,MAX(0,$M47)*MAX(0,AG$4)/100))</f>
        <v/>
      </c>
      <c r="AH47">
        <f>IF($C47="",0,IF($M47="",0,MAX(0,$M47)*MAX(0,AH$4)/100))</f>
        <v/>
      </c>
      <c r="AI47">
        <f>IF($C47="",0,IF($M47="",0,MAX(0,$M47)*MAX(0,AI$4)/100))</f>
        <v/>
      </c>
      <c r="AJ47">
        <f>IF($C47="",0,MAX(0,MAX(0,N($L47))-$V47))</f>
        <v/>
      </c>
      <c r="AK47">
        <f>IF($C47="",0,MAX(0,$AJ47-$W47))</f>
        <v/>
      </c>
      <c r="AL47">
        <f>IF($C47="",0,MAX(0,$AK47-$X47))</f>
        <v/>
      </c>
      <c r="AM47">
        <f>IF($C47="",0,MAX(0,$AL47-$Y47))</f>
        <v/>
      </c>
      <c r="AN47">
        <f>IF($C47="",0,MAX(0,$AM47-$Z47))</f>
        <v/>
      </c>
      <c r="AO47">
        <f>IF($C47="",0,MAX(0,$AN47-$AA47))</f>
        <v/>
      </c>
      <c r="AP47">
        <f>IF($C47="",0,MAX(0,$AO47-$AB47))</f>
        <v/>
      </c>
      <c r="AQ47">
        <f>IF($C47="",0,MAX(0,$AP47-$AC47))</f>
        <v/>
      </c>
      <c r="AR47">
        <f>IF($C47="",0,MAX(0,$AQ47-$AD47))</f>
        <v/>
      </c>
      <c r="AS47">
        <f>IF($C47="",0,MAX(0,$AR47-$AE47))</f>
        <v/>
      </c>
      <c r="AT47">
        <f>IF($C47="",0,MAX(0,$AS47-$AF47))</f>
        <v/>
      </c>
      <c r="AU47">
        <f>IF($C47="",0,MAX(0,$AT47-$AG47))</f>
        <v/>
      </c>
      <c r="AV47">
        <f>IF($C47="",0,MAX(0,$AU47-$AH47))</f>
        <v/>
      </c>
      <c r="AW47">
        <f>IF($C47="",0,MAX(0,$AV47-$AI47))</f>
        <v/>
      </c>
      <c r="AX47">
        <f>IF($C47="",0,MAX(0,MAX(0,N($L47))+IF($P47=V$3,$R47,0)+IF($S47=V$3,$U47,0)-$V47))</f>
        <v/>
      </c>
      <c r="AY47">
        <f>IF($C47="",0,MAX(0,$AX47+IF($P47=W$3,$R47,0)+IF($S47=W$3,$U47,0)-$W47))</f>
        <v/>
      </c>
      <c r="AZ47">
        <f>IF($C47="",0,MAX(0,$AY47+IF($P47=X$3,$R47,0)+IF($S47=X$3,$U47,0)-$X47))</f>
        <v/>
      </c>
      <c r="BA47">
        <f>IF($C47="",0,MAX(0,$AZ47+IF($P47=Y$3,$R47,0)+IF($S47=Y$3,$U47,0)-$Y47))</f>
        <v/>
      </c>
      <c r="BB47">
        <f>IF($C47="",0,MAX(0,$BA47+IF($P47=Z$3,$R47,0)+IF($S47=Z$3,$U47,0)-$Z47))</f>
        <v/>
      </c>
      <c r="BC47">
        <f>IF($C47="",0,MAX(0,$BB47+IF($P47=AA$3,$R47,0)+IF($S47=AA$3,$U47,0)-$AA47))</f>
        <v/>
      </c>
      <c r="BD47">
        <f>IF($C47="",0,MAX(0,$BC47+IF($P47=AB$3,$R47,0)+IF($S47=AB$3,$U47,0)-$AB47))</f>
        <v/>
      </c>
      <c r="BE47">
        <f>IF($C47="",0,MAX(0,$BD47+IF($P47=AC$3,$R47,0)+IF($S47=AC$3,$U47,0)-$AC47))</f>
        <v/>
      </c>
      <c r="BF47">
        <f>IF($C47="",0,MAX(0,$BE47+IF($P47=AD$3,$R47,0)+IF($S47=AD$3,$U47,0)-$AD47))</f>
        <v/>
      </c>
      <c r="BG47">
        <f>IF($C47="",0,MAX(0,$BF47+IF($P47=AE$3,$R47,0)+IF($S47=AE$3,$U47,0)-$AE47))</f>
        <v/>
      </c>
      <c r="BH47">
        <f>IF($C47="",0,MAX(0,$BG47+IF($P47=AF$3,$R47,0)+IF($S47=AF$3,$U47,0)-$AF47))</f>
        <v/>
      </c>
      <c r="BI47">
        <f>IF($C47="",0,MAX(0,$BH47+IF($P47=AG$3,$R47,0)+IF($S47=AG$3,$U47,0)-$AG47))</f>
        <v/>
      </c>
      <c r="BJ47">
        <f>IF($C47="",0,MAX(0,$BI47+IF($P47=AH$3,$R47,0)+IF($S47=AH$3,$U47,0)-$AH47))</f>
        <v/>
      </c>
      <c r="BK47">
        <f>IF($C47="",0,MAX(0,$BJ47+IF($P47=AI$3,$R47,0)+IF($S47=AI$3,$U47,0)-$AI47))</f>
        <v/>
      </c>
      <c r="BL47">
        <f>IF($C47="",99,IF(AND($AX47&lt;1,V$3&gt;=MAX(N($P47),N($S47))),0,99))</f>
        <v/>
      </c>
      <c r="BM47">
        <f>IF($C47="",99,IF(AND($AY47&lt;1,W$3&gt;=MAX(N($P47),N($S47))),1,99))</f>
        <v/>
      </c>
      <c r="BN47">
        <f>IF($C47="",99,IF(AND($AZ47&lt;1,X$3&gt;=MAX(N($P47),N($S47))),2,99))</f>
        <v/>
      </c>
      <c r="BO47">
        <f>IF($C47="",99,IF(AND($BA47&lt;1,Y$3&gt;=MAX(N($P47),N($S47))),3,99))</f>
        <v/>
      </c>
      <c r="BP47">
        <f>IF($C47="",99,IF(AND($BB47&lt;1,Z$3&gt;=MAX(N($P47),N($S47))),4,99))</f>
        <v/>
      </c>
      <c r="BQ47">
        <f>IF($C47="",99,IF(AND($BC47&lt;1,AA$3&gt;=MAX(N($P47),N($S47))),5,99))</f>
        <v/>
      </c>
      <c r="BR47">
        <f>IF($C47="",99,IF(AND($BD47&lt;1,AB$3&gt;=MAX(N($P47),N($S47))),6,99))</f>
        <v/>
      </c>
      <c r="BS47">
        <f>IF($C47="",99,IF(AND($BE47&lt;1,AC$3&gt;=MAX(N($P47),N($S47))),7,99))</f>
        <v/>
      </c>
      <c r="BT47">
        <f>IF($C47="",99,IF(AND($BF47&lt;1,AD$3&gt;=MAX(N($P47),N($S47))),8,99))</f>
        <v/>
      </c>
      <c r="BU47">
        <f>IF($C47="",99,IF(AND($BG47&lt;1,AE$3&gt;=MAX(N($P47),N($S47))),9,99))</f>
        <v/>
      </c>
      <c r="BV47">
        <f>IF($C47="",99,IF(AND($BH47&lt;1,AF$3&gt;=MAX(N($P47),N($S47))),10,99))</f>
        <v/>
      </c>
      <c r="BW47">
        <f>IF($C47="",99,IF(AND($BI47&lt;1,AG$3&gt;=MAX(N($P47),N($S47))),11,99))</f>
        <v/>
      </c>
      <c r="BX47">
        <f>IF($C47="",99,IF(AND($BJ47&lt;1,AH$3&gt;=MAX(N($P47),N($S47))),12,99))</f>
        <v/>
      </c>
      <c r="BY47">
        <f>IF($C47="",99,IF(AND($BK47&lt;1,AI$3&gt;=MAX(N($P47),N($S47))),13,99))</f>
        <v/>
      </c>
      <c r="BZ47">
        <f>IF(OR($C47="",$M47=""),"",COUNTIF($AJ47:$AW47,"&gt;=1"))</f>
        <v/>
      </c>
      <c r="CA47" s="90">
        <f>IF($BZ47="","",IF($BZ47&gt;=14,"",'設定'!$C$6+$BZ47))</f>
        <v/>
      </c>
      <c r="CB47">
        <f>IF(OR($C47="",$M47=""),"",MIN($BL47:$BY47))</f>
        <v/>
      </c>
      <c r="CC47" s="90">
        <f>IF($CB47="","",IF($CB47&gt;=99,"",'設定'!$C$6+$CB47))</f>
        <v/>
      </c>
      <c r="CD47">
        <f>IF(OR($C47="",$M47=""),"",AVERAGE($V47:$AI47))</f>
        <v/>
      </c>
      <c r="CE47">
        <f>IF($C47="","",IFERROR(IF(MATCH(IF(ISNUMBER($P47),$P47,'設定'!$C$6+N('設定'!$C$7)),$V$3:$AI$3,0)=1,MAX(0,N($L47)),INDEX($AJ47:$AW47,MATCH(IF(ISNUMBER($P47),$P47,'設定'!$C$6+N('設定'!$C$7)),$V$3:$AI$3,0)-1)),""))</f>
        <v/>
      </c>
      <c r="CF47">
        <f>IF(OR($C47="",$O47="",$CE47=""),"",IF($O47-$CE47&lt;=0,0,ROUNDUP(($O47-$CE47)/$G47,0)))</f>
        <v/>
      </c>
      <c r="CG47">
        <f>IF(OR($C47="",$CF47="",NOT(ISNUMBER($Q47))),0,MAX(0,$Q47-$CF47))</f>
        <v/>
      </c>
      <c r="CH47">
        <f>IF(OR($C47="",$O47="",$U47=0),0,IFERROR(ROUNDUP(MAX(0,IF(MATCH($S47,$V$3:$AI$3,0)=1,MAX(0,N($L47)),INDEX($AX47:$BK47,MATCH($S47,$V$3:$AI$3,0)-1))+$U47-$O47)/$G47,0),0))</f>
        <v/>
      </c>
      <c r="CI47">
        <f>IF($C47="","",IF(AND($P47="",$Q47=""),"",IF($P47="","⚠ 入庫日を ▼ から選んでください",IF(NOT(ISNUMBER($P47)),"⚠ 入庫日は ▼ から選んでください",IF($P47&lt;N('設定'!$C$6),"⚠ 入庫日が過去です（もう在庫に入っています）→ 消してください",IF($P47&gt;N('設定'!$C$6)+13,"⚠ 入庫日が14日より先です",IF(N($Q47)&lt;=0,"⚠ 入庫数を入れてください",IF($CG47&gt;0,"⚠ 目安より "&amp;$CG47&amp;" 多い（定数を超える）→ 減らす",""))))))))</f>
        <v/>
      </c>
      <c r="CJ47">
        <f>IF($C47="","",IF(AND($S47="",$T47=""),"",IF($S47="","⚠ 2便目：入庫日を ▼ から選んでください",IF(NOT(ISNUMBER($S47)),"⚠ 2便目：入庫日は ▼ から選んでください",IF($S47&lt;N('設定'!$C$6),"⚠ 2便目：入庫日が過去です（もう在庫に入っています）→ 消してください",IF($S47&gt;N('設定'!$C$6)+13,"⚠ 2便目：入庫日が14日より先です",IF(N($T47)&lt;=0,"⚠ 2便目：入庫数を入れてください",IF($CH47&gt;0,"⚠ 2便目：定数を "&amp;$CH47&amp;" ケース超える → 減らす",""))))))))</f>
        <v/>
      </c>
      <c r="CK47">
        <f>IF(AND($CI47="",N($Q47)&gt;0,ISNUMBER($P47)),1,0)</f>
        <v/>
      </c>
      <c r="CL47">
        <f>IF(AND($CJ47="",N($T47)&gt;0,ISNUMBER($S47)),1,0)</f>
        <v/>
      </c>
      <c r="CM47">
        <f>IF(OR($CK47=1,$CL47=1),1,0)</f>
        <v/>
      </c>
      <c r="CN47">
        <f>IF($C47="",0,($CK47*$R47+$CL47*$U47)*N($H47))</f>
        <v/>
      </c>
      <c r="CO47">
        <f>IF($C47="","",IF($CC47="","入庫後は 14日以上もつ",IF($CC47-N('設定'!$C$7)&lt;='設定'!$C$6,"入庫後も "&amp;TEXT($CC47,"m/d")&amp;"("&amp;CHOOSE(WEEKDAY($CC47),"日","月","火","水","木","金","土")&amp;")"&amp;" に切れる　もう1便を至急発注","入庫後も "&amp;TEXT($CC47,"m/d")&amp;"("&amp;CHOOSE(WEEKDAY($CC47),"日","月","火","水","木","金","土")&amp;")"&amp;" に切れる　"&amp;TEXT($CC47-N('設定'!$C$7),"m/d")&amp;"("&amp;CHOOSE(WEEKDAY($CC47-N('設定'!$C$7)),"日","月","火","水","木","金","土")&amp;")"&amp;" までに次を発注")))</f>
        <v/>
      </c>
      <c r="CP47">
        <f>IF($C47="","",IF('設定'!$C$6="","？ ①在庫を貼る に今日のCSVが貼られていない",IF($CS47=1,"－ 今日のCSVに無い（終売？）",IF($L47&lt;0,"● 在庫がマイナス　数えて「数えた在庫」に入れる",IF($L47=0,"● 在庫なし　至急発注",IF($M47="","？ 減り数が未設定（商品マスタ）",IF($B$3=0,"？ 動員が未入力（動員を入れる）",IF($CA47="","○ 14日以上もつ",IF($BZ47&lt;N('設定'!$C$7),"● "&amp;TEXT($CA47,"m/d")&amp;"("&amp;CHOOSE(WEEKDAY($CA47),"日","月","火","水","木","金","土")&amp;")"&amp;" に切れる　至急発注",IF($BZ47=N('設定'!$C$7),"● "&amp;TEXT($CA47,"m/d")&amp;"("&amp;CHOOSE(WEEKDAY($CA47),"日","月","火","水","木","金","土")&amp;")"&amp;" に切れる　今日発注","△ "&amp;TEXT($CA47,"m/d")&amp;"("&amp;CHOOSE(WEEKDAY($CA47),"日","月","火","水","木","金","土")&amp;")"&amp;" に切れる　"&amp;TEXT($CA47-N('設定'!$C$7),"m/d")&amp;"("&amp;CHOOSE(WEEKDAY($CA47-N('設定'!$C$7)),"日","月","火","水","木","金","土")&amp;")"&amp;" までに発注"))))))))))</f>
        <v/>
      </c>
      <c r="CQ47">
        <f>IF($C47="","",IF(AND($P47="",$Q47="",$S47="",$T47=""),"",IF(AND($P47="",$Q47=""),"⚠ 先に1便目（左の入庫日・入庫数）に入れてください",IF($CI47&lt;&gt;"",$CI47,IF($CJ47&lt;&gt;"",$CJ47,IF($M47="","？ 減り数が未設定（発注書には載ります）",IF($B$3=0,"？ 動員が未入力（発注書には載ります）",IF(AND($CA47&lt;&gt;"",$P47&gt;$CA47),IF($P47&gt;'設定'!$C$6+N('設定'!$C$7),"● "&amp;TEXT($P47,"m/d")&amp;"("&amp;CHOOSE(WEEKDAY($P47),"日","月","火","水","木","金","土")&amp;")"&amp;" の入庫では間に合わない（"&amp;TEXT($CA47,"m/d")&amp;"("&amp;CHOOSE(WEEKDAY($CA47),"日","月","火","水","木","金","土")&amp;")"&amp;" に切れる）　入庫日を早める","△ 欠品 "&amp;TEXT($CA47,"m/d")&amp;"("&amp;CHOOSE(WEEKDAY($CA47),"日","月","火","水","木","金","土")&amp;")"&amp;"〜"&amp;TEXT($P47-1,"m/d")&amp;"("&amp;CHOOSE(WEEKDAY($P47-1),"日","月","火","水","木","金","土")&amp;")"&amp;"　"&amp;$CO47),IF($CC47="","○ "&amp;TEXT($P47,"m/d")&amp;"("&amp;CHOOSE(WEEKDAY($P47),"日","月","火","水","木","金","土")&amp;")"&amp;" 入庫で 14日以上もつ",IF($CC47-N('設定'!$C$7)&lt;='設定'!$C$6,"● 入庫しても "&amp;TEXT($CC47,"m/d")&amp;"("&amp;CHOOSE(WEEKDAY($CC47),"日","月","火","水","木","金","土")&amp;")"&amp;" に切れる　もう1便を至急発注（2便目に入れる）","△ 入庫しても "&amp;TEXT($CC47,"m/d")&amp;"("&amp;CHOOSE(WEEKDAY($CC47),"日","月","火","水","木","金","土")&amp;")"&amp;" に切れる　"&amp;TEXT($CC47-N('設定'!$C$7),"m/d")&amp;"("&amp;CHOOSE(WEEKDAY($CC47-N('設定'!$C$7)),"日","月","火","水","木","金","土")&amp;")"&amp;" までに次を発注（2便目に入れる）"))))))))))</f>
        <v/>
      </c>
      <c r="CR47">
        <f>IF($C47="","",IF($G47&gt;1,"ｹｰｽ("&amp;$G47&amp;"入)","個"))</f>
        <v/>
      </c>
      <c r="CS47">
        <f>IF($C47="",0,IF(COUNTIFS('①在庫を貼る'!$V$6:$V$10005,'設定'!$C$4,'①在庫を貼る'!$W$6:$W$10005,$C47)=0,1,0))</f>
        <v/>
      </c>
      <c r="CT47">
        <f>IF(AND($CK47=1,OR('③発注書'!$C$4="すべて",'③発注書'!$C$4="",$F47='③発注書'!$C$4)),N($CT46)+1,N($CT46))</f>
        <v/>
      </c>
      <c r="CU47">
        <f>IF(AND($CL47=1,OR('③発注書'!$C$4="すべて",'③発注書'!$C$4="",$F47='③発注書'!$C$4)),N($CU46)+1,N($CU46))</f>
        <v/>
      </c>
      <c r="CV47">
        <f>IF($C47="",0,IF(COUNTIFS('①在庫を貼る'!$V$6:$V$10005,'設定'!$C$4,'①在庫を貼る'!$W$6:$W$10005,$C47)&gt;0,1,0))</f>
        <v/>
      </c>
      <c r="CW47">
        <f>IF($C47="",0,IF(COUNTIFS('月1回_1ヶ月前の在庫'!$V$6:$V$10005,'設定'!$C$4,'月1回_1ヶ月前の在庫'!$W$6:$W$10005,$C47)&gt;0,1,0))</f>
        <v/>
      </c>
      <c r="CX47">
        <f>IF($C47="",0,IF(COUNTIFS('月1回_2ヶ月前の在庫'!$V$6:$V$10005,'設定'!$C$4,'月1回_2ヶ月前の在庫'!$W$6:$W$10005,$C47)&gt;0,1,0))</f>
        <v/>
      </c>
      <c r="CY47">
        <f>IF(OR($C47="",'設定'!$C$12=""),"",IF('設定'!$C$13="",IF(AND($CV47=1,$CW47=0),"新商品（今月から）",IF(AND($CV47=0,$CW47=1),"終売（今月から）","")),IF(AND($CV47=1,$CW47=0,$CX47=0),"新商品（今月から）",IF(AND($CV47=1,$CW47=1,$CX47=0),"新商品（先月から）",IF(AND($CV47=0,$CW47=1,$CX47=1),"終売（今月から）",IF(AND($CV47=0,$CW47=0,$CX47=1),"終売（先月から）",IF(AND($CV47=1,$CW47=0,$CX47=1),"復活（先月は無し）","")))))))</f>
        <v/>
      </c>
    </row>
    <row r="48">
      <c r="B48">
        <f>IF(43&lt;='設定'!$C$11,43,"")</f>
        <v/>
      </c>
      <c r="C48">
        <f>IF($B48="","",IF($B48&lt;='設定'!$C$20,INDEX('商品マスタ'!$B$6:$B$1005,MATCH($B48,'商品マスタ'!$M$6:$M$1005,0)),IF($B48&lt;='設定'!$C$20+'設定'!$C$17,INDEX('①在庫を貼る'!$W$6:$W$10005,MATCH($B48-'設定'!$C$20,'①在庫を貼る'!$U$6:$U$10005,0)),IF($B48&lt;='設定'!$C$20+'設定'!$C$17+'設定'!$C$18,INDEX('月1回_1ヶ月前の在庫'!$W$6:$W$10005,MATCH($B48-'設定'!$C$20-'設定'!$C$17,'月1回_1ヶ月前の在庫'!$U$6:$U$10005,0)),INDEX('月1回_2ヶ月前の在庫'!$W$6:$W$10005,MATCH($B48-'設定'!$C$20-'設定'!$C$17-'設定'!$C$18,'月1回_2ヶ月前の在庫'!$U$6:$U$10005,0))))))</f>
        <v/>
      </c>
      <c r="D48">
        <f>IF($C48="","",IFERROR(IF(INDEX('商品マスタ'!$C$6:$C$1005,MATCH($C48,'商品マスタ'!$B$6:$B$1005,0))="",IFERROR(INDEX('①在庫を貼る'!$J$6:$J$10005,MATCH($C48,'①在庫を貼る'!$W$6:$W$10005,0)),IFERROR(INDEX('月1回_1ヶ月前の在庫'!$J$6:$J$10005,MATCH($C48,'月1回_1ヶ月前の在庫'!$W$6:$W$10005,0)),IFERROR(INDEX('月1回_2ヶ月前の在庫'!$J$6:$J$10005,MATCH($C48,'月1回_2ヶ月前の在庫'!$W$6:$W$10005,0)),""))),INDEX('商品マスタ'!$C$6:$C$1005,MATCH($C48,'商品マスタ'!$B$6:$B$1005,0))),IFERROR(INDEX('①在庫を貼る'!$J$6:$J$10005,MATCH($C48,'①在庫を貼る'!$W$6:$W$10005,0)),IFERROR(INDEX('月1回_1ヶ月前の在庫'!$J$6:$J$10005,MATCH($C48,'月1回_1ヶ月前の在庫'!$W$6:$W$10005,0)),IFERROR(INDEX('月1回_2ヶ月前の在庫'!$J$6:$J$10005,MATCH($C48,'月1回_2ヶ月前の在庫'!$W$6:$W$10005,0)),"")))))</f>
        <v/>
      </c>
      <c r="E48">
        <f>IF($C48="","",IFERROR(IF(INDEX('商品マスタ'!$D$6:$D$1005,MATCH($C48,'商品マスタ'!$B$6:$B$1005,0))="",IFERROR(INDEX('①在庫を貼る'!$H$6:$H$10005,MATCH($C48,'①在庫を貼る'!$W$6:$W$10005,0)),IFERROR(INDEX('月1回_1ヶ月前の在庫'!$H$6:$H$10005,MATCH($C48,'月1回_1ヶ月前の在庫'!$W$6:$W$10005,0)),IFERROR(INDEX('月1回_2ヶ月前の在庫'!$H$6:$H$10005,MATCH($C48,'月1回_2ヶ月前の在庫'!$W$6:$W$10005,0)),""))),INDEX('商品マスタ'!$D$6:$D$1005,MATCH($C48,'商品マスタ'!$B$6:$B$1005,0))),IFERROR(INDEX('①在庫を貼る'!$H$6:$H$10005,MATCH($C48,'①在庫を貼る'!$W$6:$W$10005,0)),IFERROR(INDEX('月1回_1ヶ月前の在庫'!$H$6:$H$10005,MATCH($C48,'月1回_1ヶ月前の在庫'!$W$6:$W$10005,0)),IFERROR(INDEX('月1回_2ヶ月前の在庫'!$H$6:$H$10005,MATCH($C48,'月1回_2ヶ月前の在庫'!$W$6:$W$10005,0)),"")))))</f>
        <v/>
      </c>
      <c r="F48">
        <f>IF($C48="","",IFERROR(IF(INDEX('商品マスタ'!$E$6:$E$1005,MATCH($C48,'商品マスタ'!$B$6:$B$1005,0))="",IFERROR(INDEX('①在庫を貼る'!$E$6:$E$10005,MATCH($C48,'①在庫を貼る'!$W$6:$W$10005,0)),IFERROR(INDEX('月1回_1ヶ月前の在庫'!$E$6:$E$10005,MATCH($C48,'月1回_1ヶ月前の在庫'!$W$6:$W$10005,0)),IFERROR(INDEX('月1回_2ヶ月前の在庫'!$E$6:$E$10005,MATCH($C48,'月1回_2ヶ月前の在庫'!$W$6:$W$10005,0)),""))),INDEX('商品マスタ'!$E$6:$E$1005,MATCH($C48,'商品マスタ'!$B$6:$B$1005,0))),IFERROR(INDEX('①在庫を貼る'!$E$6:$E$10005,MATCH($C48,'①在庫を貼る'!$W$6:$W$10005,0)),IFERROR(INDEX('月1回_1ヶ月前の在庫'!$E$6:$E$10005,MATCH($C48,'月1回_1ヶ月前の在庫'!$W$6:$W$10005,0)),IFERROR(INDEX('月1回_2ヶ月前の在庫'!$E$6:$E$10005,MATCH($C48,'月1回_2ヶ月前の在庫'!$W$6:$W$10005,0)),"")))))</f>
        <v/>
      </c>
      <c r="G48">
        <f>IF($C48="","",MAX(1,N(IFERROR(IF(INDEX('商品マスタ'!$F$6:$F$1005,MATCH($C48,'商品マスタ'!$B$6:$B$1005,0))="",IF(COUNTIFS('①在庫を貼る'!$V$6:$V$10005,'設定'!$C$4,'①在庫を貼る'!$W$6:$W$10005,$C48)&gt;0,SUMIFS('①在庫を貼る'!$K$6:$K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K$6:$K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K$6:$K$10005,'月1回_2ヶ月前の在庫'!$V$6:$V$10005,'設定'!$C$4,'月1回_2ヶ月前の在庫'!$W$6:$W$10005,$C48)/COUNTIFS('月1回_2ヶ月前の在庫'!$V$6:$V$10005,'設定'!$C$4,'月1回_2ヶ月前の在庫'!$W$6:$W$10005,$C48),0))),INDEX('商品マスタ'!$F$6:$F$1005,MATCH($C48,'商品マスタ'!$B$6:$B$1005,0))),IF(COUNTIFS('①在庫を貼る'!$V$6:$V$10005,'設定'!$C$4,'①在庫を貼る'!$W$6:$W$10005,$C48)&gt;0,SUMIFS('①在庫を貼る'!$K$6:$K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K$6:$K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K$6:$K$10005,'月1回_2ヶ月前の在庫'!$V$6:$V$10005,'設定'!$C$4,'月1回_2ヶ月前の在庫'!$W$6:$W$10005,$C48)/COUNTIFS('月1回_2ヶ月前の在庫'!$V$6:$V$10005,'設定'!$C$4,'月1回_2ヶ月前の在庫'!$W$6:$W$10005,$C48),0)))))))</f>
        <v/>
      </c>
      <c r="H48">
        <f>IF($C48="","",N(IFERROR(IF(INDEX('商品マスタ'!$G$6:$G$1005,MATCH($C48,'商品マスタ'!$B$6:$B$1005,0))="",IF(COUNTIFS('①在庫を貼る'!$V$6:$V$10005,'設定'!$C$4,'①在庫を貼る'!$W$6:$W$10005,$C48)&gt;0,SUMIFS('①在庫を貼る'!$Q$6:$Q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Q$6:$Q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Q$6:$Q$10005,'月1回_2ヶ月前の在庫'!$V$6:$V$10005,'設定'!$C$4,'月1回_2ヶ月前の在庫'!$W$6:$W$10005,$C48)/COUNTIFS('月1回_2ヶ月前の在庫'!$V$6:$V$10005,'設定'!$C$4,'月1回_2ヶ月前の在庫'!$W$6:$W$10005,$C48),0))),INDEX('商品マスタ'!$G$6:$G$1005,MATCH($C48,'商品マスタ'!$B$6:$B$1005,0))),IF(COUNTIFS('①在庫を貼る'!$V$6:$V$10005,'設定'!$C$4,'①在庫を貼る'!$W$6:$W$10005,$C48)&gt;0,SUMIFS('①在庫を貼る'!$Q$6:$Q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Q$6:$Q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Q$6:$Q$10005,'月1回_2ヶ月前の在庫'!$V$6:$V$10005,'設定'!$C$4,'月1回_2ヶ月前の在庫'!$W$6:$W$10005,$C48)/COUNTIFS('月1回_2ヶ月前の在庫'!$V$6:$V$10005,'設定'!$C$4,'月1回_2ヶ月前の在庫'!$W$6:$W$10005,$C48),0))))))</f>
        <v/>
      </c>
      <c r="I48">
        <f>IF($C48="","",IF(COUNTIFS('①在庫を貼る'!$V$6:$V$10005,'設定'!$C$4,'①在庫を貼る'!$W$6:$W$10005,$C48)=0,"",SUMIFS('①在庫を貼る'!$N$6:$N$10005,'①在庫を貼る'!$V$6:$V$10005,'設定'!$C$4,'①在庫を貼る'!$W$6:$W$10005,$C48)))</f>
        <v/>
      </c>
      <c r="J48">
        <f>IF($C48="","",IF('②発注する'!$AD52="","",'②発注する'!$AD52))</f>
        <v/>
      </c>
      <c r="K48" s="90">
        <f>IF($C48="","",IF('②発注する'!$AE52="","",'②発注する'!$AE52))</f>
        <v/>
      </c>
      <c r="L48">
        <f>IF($C48="","",IF(AND(ISNUMBER($J48),ISNUMBER($K48),$K48&gt;='設定'!$C$6),$J48,N($I48)))</f>
        <v/>
      </c>
      <c r="M48">
        <f>IF($C48="","",IFERROR(IF(N(INDEX('商品マスタ'!$J$6:$J$1005,MATCH($C48,'商品マスタ'!$B$6:$B$1005,0)))&gt;0,INDEX('商品マスタ'!$J$6:$J$1005,MATCH($C48,'商品マスタ'!$B$6:$B$1005,0)),""),""))</f>
        <v/>
      </c>
      <c r="N48">
        <f>IF($C48="","",IFERROR(IF(N(INDEX('商品マスタ'!$H$6:$H$1005,MATCH($C48,'商品マスタ'!$B$6:$B$1005,0)))&gt;0,INDEX('商品マスタ'!$H$6:$H$1005,MATCH($C48,'商品マスタ'!$B$6:$B$1005,0)),""),""))</f>
        <v/>
      </c>
      <c r="O48">
        <f>IF($C48="","",IF($N48&lt;&gt;"",$N48*$G48,IF(N(IF(COUNTIFS('①在庫を貼る'!$V$6:$V$10005,'設定'!$C$4,'①在庫を貼る'!$W$6:$W$10005,$C48)&gt;0,SUMIFS('①在庫を貼る'!$O$6:$O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O$6:$O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O$6:$O$10005,'月1回_2ヶ月前の在庫'!$V$6:$V$10005,'設定'!$C$4,'月1回_2ヶ月前の在庫'!$W$6:$W$10005,$C48)/COUNTIFS('月1回_2ヶ月前の在庫'!$V$6:$V$10005,'設定'!$C$4,'月1回_2ヶ月前の在庫'!$W$6:$W$10005,$C48),0))))&gt;0,N(IF(COUNTIFS('①在庫を貼る'!$V$6:$V$10005,'設定'!$C$4,'①在庫を貼る'!$W$6:$W$10005,$C48)&gt;0,SUMIFS('①在庫を貼る'!$O$6:$O$10005,'①在庫を貼る'!$V$6:$V$10005,'設定'!$C$4,'①在庫を貼る'!$W$6:$W$10005,$C48)/COUNTIFS('①在庫を貼る'!$V$6:$V$10005,'設定'!$C$4,'①在庫を貼る'!$W$6:$W$10005,$C48),IF(COUNTIFS('月1回_1ヶ月前の在庫'!$V$6:$V$10005,'設定'!$C$4,'月1回_1ヶ月前の在庫'!$W$6:$W$10005,$C48)&gt;0,SUMIFS('月1回_1ヶ月前の在庫'!$O$6:$O$10005,'月1回_1ヶ月前の在庫'!$V$6:$V$10005,'設定'!$C$4,'月1回_1ヶ月前の在庫'!$W$6:$W$10005,$C48)/COUNTIFS('月1回_1ヶ月前の在庫'!$V$6:$V$10005,'設定'!$C$4,'月1回_1ヶ月前の在庫'!$W$6:$W$10005,$C48),IF(COUNTIFS('月1回_2ヶ月前の在庫'!$V$6:$V$10005,'設定'!$C$4,'月1回_2ヶ月前の在庫'!$W$6:$W$10005,$C48)&gt;0,SUMIFS('月1回_2ヶ月前の在庫'!$O$6:$O$10005,'月1回_2ヶ月前の在庫'!$V$6:$V$10005,'設定'!$C$4,'月1回_2ヶ月前の在庫'!$W$6:$W$10005,$C48)/COUNTIFS('月1回_2ヶ月前の在庫'!$V$6:$V$10005,'設定'!$C$4,'月1回_2ヶ月前の在庫'!$W$6:$W$10005,$C48),0)))),"")))</f>
        <v/>
      </c>
      <c r="P48" s="90">
        <f>IF($C48="","",IF('②発注する'!$I52="","",'②発注する'!$I52))</f>
        <v/>
      </c>
      <c r="Q48">
        <f>IF($C48="","",IF('②発注する'!$J52="","",'②発注する'!$J52))</f>
        <v/>
      </c>
      <c r="R48">
        <f>IF($C48="",0,IF(AND(ISNUMBER($P48),ISNUMBER($Q48)),MAX(0,$Q48)*$G48,0))</f>
        <v/>
      </c>
      <c r="S48" s="90">
        <f>IF($C48="","",IF('②発注する'!$M52="","",'②発注する'!$M52))</f>
        <v/>
      </c>
      <c r="T48">
        <f>IF($C48="","",IF('②発注する'!$N52="","",'②発注する'!$N52))</f>
        <v/>
      </c>
      <c r="U48">
        <f>IF($C48="",0,IF(AND(ISNUMBER($S48),ISNUMBER($T48)),MAX(0,$T48)*$G48,0))</f>
        <v/>
      </c>
      <c r="V48">
        <f>IF($C48="",0,IF($M48="",0,MAX(0,$M48)*MAX(0,V$4)/100))</f>
        <v/>
      </c>
      <c r="W48">
        <f>IF($C48="",0,IF($M48="",0,MAX(0,$M48)*MAX(0,W$4)/100))</f>
        <v/>
      </c>
      <c r="X48">
        <f>IF($C48="",0,IF($M48="",0,MAX(0,$M48)*MAX(0,X$4)/100))</f>
        <v/>
      </c>
      <c r="Y48">
        <f>IF($C48="",0,IF($M48="",0,MAX(0,$M48)*MAX(0,Y$4)/100))</f>
        <v/>
      </c>
      <c r="Z48">
        <f>IF($C48="",0,IF($M48="",0,MAX(0,$M48)*MAX(0,Z$4)/100))</f>
        <v/>
      </c>
      <c r="AA48">
        <f>IF($C48="",0,IF($M48="",0,MAX(0,$M48)*MAX(0,AA$4)/100))</f>
        <v/>
      </c>
      <c r="AB48">
        <f>IF($C48="",0,IF($M48="",0,MAX(0,$M48)*MAX(0,AB$4)/100))</f>
        <v/>
      </c>
      <c r="AC48">
        <f>IF($C48="",0,IF($M48="",0,MAX(0,$M48)*MAX(0,AC$4)/100))</f>
        <v/>
      </c>
      <c r="AD48">
        <f>IF($C48="",0,IF($M48="",0,MAX(0,$M48)*MAX(0,AD$4)/100))</f>
        <v/>
      </c>
      <c r="AE48">
        <f>IF($C48="",0,IF($M48="",0,MAX(0,$M48)*MAX(0,AE$4)/100))</f>
        <v/>
      </c>
      <c r="AF48">
        <f>IF($C48="",0,IF($M48="",0,MAX(0,$M48)*MAX(0,AF$4)/100))</f>
        <v/>
      </c>
      <c r="AG48">
        <f>IF($C48="",0,IF($M48="",0,MAX(0,$M48)*MAX(0,AG$4)/100))</f>
        <v/>
      </c>
      <c r="AH48">
        <f>IF($C48="",0,IF($M48="",0,MAX(0,$M48)*MAX(0,AH$4)/100))</f>
        <v/>
      </c>
      <c r="AI48">
        <f>IF($C48="",0,IF($M48="",0,MAX(0,$M48)*MAX(0,AI$4)/100))</f>
        <v/>
      </c>
      <c r="AJ48">
        <f>IF($C48="",0,MAX(0,MAX(0,N($L48))-$V48))</f>
        <v/>
      </c>
      <c r="AK48">
        <f>IF($C48="",0,MAX(0,$AJ48-$W48))</f>
        <v/>
      </c>
      <c r="AL48">
        <f>IF($C48="",0,MAX(0,$AK48-$X48))</f>
        <v/>
      </c>
      <c r="AM48">
        <f>IF($C48="",0,MAX(0,$AL48-$Y48))</f>
        <v/>
      </c>
      <c r="AN48">
        <f>IF($C48="",0,MAX(0,$AM48-$Z48))</f>
        <v/>
      </c>
      <c r="AO48">
        <f>IF($C48="",0,MAX(0,$AN48-$AA48))</f>
        <v/>
      </c>
      <c r="AP48">
        <f>IF($C48="",0,MAX(0,$AO48-$AB48))</f>
        <v/>
      </c>
      <c r="AQ48">
        <f>IF($C48="",0,MAX(0,$AP48-$AC48))</f>
        <v/>
      </c>
      <c r="AR48">
        <f>IF($C48="",0,MAX(0,$AQ48-$AD48))</f>
        <v/>
      </c>
      <c r="AS48">
        <f>IF($C48="",0,MAX(0,$AR48-$AE48))</f>
        <v/>
      </c>
      <c r="AT48">
        <f>IF($C48="",0,MAX(0,$AS48-$AF48))</f>
        <v/>
      </c>
      <c r="AU48">
        <f>IF($C48="",0,MAX(0,$AT48-$AG48))</f>
        <v/>
      </c>
      <c r="AV48">
        <f>IF($C48="",0,MAX(0,$AU48-$AH48))</f>
        <v/>
      </c>
      <c r="AW48">
        <f>IF($C48="",0,MAX(0,$AV48-$AI48))</f>
        <v/>
      </c>
      <c r="AX48">
        <f>IF($C48="",0,MAX(0,MAX(0,N($L48))+IF($P48=V$3,$R48,0)+IF($S48=V$3,$U48,0)-$V48))</f>
        <v/>
      </c>
      <c r="AY48">
        <f>IF($C48="",0,MAX(0,$AX48+IF($P48=W$3,$R48,0)+IF($S48=W$3,$U48,0)-$W48))</f>
        <v/>
      </c>
      <c r="AZ48">
        <f>IF($C48="",0,MAX(0,$AY48+IF($P48=X$3,$R48,0)+IF($S48=X$3,$U48,0)-$X48))</f>
        <v/>
      </c>
      <c r="BA48">
        <f>IF($C48="",0,MAX(0,$AZ48+IF($P48=Y$3,$R48,0)+IF($S48=Y$3,$U48,0)-$Y48))</f>
        <v/>
      </c>
      <c r="BB48">
        <f>IF($C48="",0,MAX(0,$BA48+IF($P48=Z$3,$R48,0)+IF($S48=Z$3,$U48,0)-$Z48))</f>
        <v/>
      </c>
      <c r="BC48">
        <f>IF($C48="",0,MAX(0,$BB48+IF($P48=AA$3,$R48,0)+IF($S48=AA$3,$U48,0)-$AA48))</f>
        <v/>
      </c>
      <c r="BD48">
        <f>IF($C48="",0,MAX(0,$BC48+IF($P48=AB$3,$R48,0)+IF($S48=AB$3,$U48,0)-$AB48))</f>
        <v/>
      </c>
      <c r="BE48">
        <f>IF($C48="",0,MAX(0,$BD48+IF($P48=AC$3,$R48,0)+IF($S48=AC$3,$U48,0)-$AC48))</f>
        <v/>
      </c>
      <c r="BF48">
        <f>IF($C48="",0,MAX(0,$BE48+IF($P48=AD$3,$R48,0)+IF($S48=AD$3,$U48,0)-$AD48))</f>
        <v/>
      </c>
      <c r="BG48">
        <f>IF($C48="",0,MAX(0,$BF48+IF($P48=AE$3,$R48,0)+IF($S48=AE$3,$U48,0)-$AE48))</f>
        <v/>
      </c>
      <c r="BH48">
        <f>IF($C48="",0,MAX(0,$BG48+IF($P48=AF$3,$R48,0)+IF($S48=AF$3,$U48,0)-$AF48))</f>
        <v/>
      </c>
      <c r="BI48">
        <f>IF($C48="",0,MAX(0,$BH48+IF($P48=AG$3,$R48,0)+IF($S48=AG$3,$U48,0)-$AG48))</f>
        <v/>
      </c>
      <c r="BJ48">
        <f>IF($C48="",0,MAX(0,$BI48+IF($P48=AH$3,$R48,0)+IF($S48=AH$3,$U48,0)-$AH48))</f>
        <v/>
      </c>
      <c r="BK48">
        <f>IF($C48="",0,MAX(0,$BJ48+IF($P48=AI$3,$R48,0)+IF($S48=AI$3,$U48,0)-$AI48))</f>
        <v/>
      </c>
      <c r="BL48">
        <f>IF($C48="",99,IF(AND($AX48&lt;1,V$3&gt;=MAX(N($P48),N($S48))),0,99))</f>
        <v/>
      </c>
      <c r="BM48">
        <f>IF($C48="",99,IF(AND($AY48&lt;1,W$3&gt;=MAX(N($P48),N($S48))),1,99))</f>
        <v/>
      </c>
      <c r="BN48">
        <f>IF($C48="",99,IF(AND($AZ48&lt;1,X$3&gt;=MAX(N($P48),N($S48))),2,99))</f>
        <v/>
      </c>
      <c r="BO48">
        <f>IF($C48="",99,IF(AND($BA48&lt;1,Y$3&gt;=MAX(N($P48),N($S48))),3,99))</f>
        <v/>
      </c>
      <c r="BP48">
        <f>IF($C48="",99,IF(AND($BB48&lt;1,Z$3&gt;=MAX(N($P48),N($S48))),4,99))</f>
        <v/>
      </c>
      <c r="BQ48">
        <f>IF($C48="",99,IF(AND($BC48&lt;1,AA$3&gt;=MAX(N($P48),N($S48))),5,99))</f>
        <v/>
      </c>
      <c r="BR48">
        <f>IF($C48="",99,IF(AND($BD48&lt;1,AB$3&gt;=MAX(N($P48),N($S48))),6,99))</f>
        <v/>
      </c>
      <c r="BS48">
        <f>IF($C48="",99,IF(AND($BE48&lt;1,AC$3&gt;=MAX(N($P48),N($S48))),7,99))</f>
        <v/>
      </c>
      <c r="BT48">
        <f>IF($C48="",99,IF(AND($BF48&lt;1,AD$3&gt;=MAX(N($P48),N($S48))),8,99))</f>
        <v/>
      </c>
      <c r="BU48">
        <f>IF($C48="",99,IF(AND($BG48&lt;1,AE$3&gt;=MAX(N($P48),N($S48))),9,99))</f>
        <v/>
      </c>
      <c r="BV48">
        <f>IF($C48="",99,IF(AND($BH48&lt;1,AF$3&gt;=MAX(N($P48),N($S48))),10,99))</f>
        <v/>
      </c>
      <c r="BW48">
        <f>IF($C48="",99,IF(AND($BI48&lt;1,AG$3&gt;=MAX(N($P48),N($S48))),11,99))</f>
        <v/>
      </c>
      <c r="BX48">
        <f>IF($C48="",99,IF(AND($BJ48&lt;1,AH$3&gt;=MAX(N($P48),N($S48))),12,99))</f>
        <v/>
      </c>
      <c r="BY48">
        <f>IF($C48="",99,IF(AND($BK48&lt;1,AI$3&gt;=MAX(N($P48),N($S48))),13,99))</f>
        <v/>
      </c>
      <c r="BZ48">
        <f>IF(OR($C48="",$M48=""),"",COUNTIF($AJ48:$AW48,"&gt;=1"))</f>
        <v/>
      </c>
      <c r="CA48" s="90">
        <f>IF($BZ48="","",IF($BZ48&gt;=14,"",'設定'!$C$6+$BZ48))</f>
        <v/>
      </c>
      <c r="CB48">
        <f>IF(OR($C48="",$M48=""),"",MIN($BL48:$BY48))</f>
        <v/>
      </c>
      <c r="CC48" s="90">
        <f>IF($CB48="","",IF($CB48&gt;=99,"",'設定'!$C$6+$CB48))</f>
        <v/>
      </c>
      <c r="CD48">
        <f>IF(OR($C48="",$M48=""),"",AVERAGE($V48:$AI48))</f>
        <v/>
      </c>
      <c r="CE48">
        <f>IF($C48="","",IFERROR(IF(MATCH(IF(ISNUMBER($P48),$P48,'設定'!$C$6+N('設定'!$C$7)),$V$3:$AI$3,0)=1,MAX(0,N($L48)),INDEX($AJ48:$AW48,MATCH(IF(ISNUMBER($P48),$P48,'設定'!$C$6+N('設定'!$C$7)),$V$3:$AI$3,0)-1)),""))</f>
        <v/>
      </c>
      <c r="CF48">
        <f>IF(OR($C48="",$O48="",$CE48=""),"",IF($O48-$CE48&lt;=0,0,ROUNDUP(($O48-$CE48)/$G48,0)))</f>
        <v/>
      </c>
      <c r="CG48">
        <f>IF(OR($C48="",$CF48="",NOT(ISNUMBER($Q48))),0,MAX(0,$Q48-$CF48))</f>
        <v/>
      </c>
      <c r="CH48">
        <f>IF(OR($C48="",$O48="",$U48=0),0,IFERROR(ROUNDUP(MAX(0,IF(MATCH($S48,$V$3:$AI$3,0)=1,MAX(0,N($L48)),INDEX($AX48:$BK48,MATCH($S48,$V$3:$AI$3,0)-1))+$U48-$O48)/$G48,0),0))</f>
        <v/>
      </c>
      <c r="CI48">
        <f>IF($C48="","",IF(AND($P48="",$Q48=""),"",IF($P48="","⚠ 入庫日を ▼ から選んでください",IF(NOT(ISNUMBER($P48)),"⚠ 入庫日は ▼ から選んでください",IF($P48&lt;N('設定'!$C$6),"⚠ 入庫日が過去です（もう在庫に入っています）→ 消してください",IF($P48&gt;N('設定'!$C$6)+13,"⚠ 入庫日が14日より先です",IF(N($Q48)&lt;=0,"⚠ 入庫数を入れてください",IF($CG48&gt;0,"⚠ 目安より "&amp;$CG48&amp;" 多い（定数を超える）→ 減らす",""))))))))</f>
        <v/>
      </c>
      <c r="CJ48">
        <f>IF($C48="","",IF(AND($S48="",$T48=""),"",IF($S48="","⚠ 2便目：入庫日を ▼ から選んでください",IF(NOT(ISNUMBER($S48)),"⚠ 2便目：入庫日は ▼ から選んでください",IF($S48&lt;N('設定'!$C$6),"⚠ 2便目：入庫日が過去です（もう在庫に入っています）→ 消してください",IF($S48&gt;N('設定'!$C$6)+13,"⚠ 2便目：入庫日が14日より先です",IF(N($T48)&lt;=0,"⚠ 2便目：入庫数を入れてください",IF($CH48&gt;0,"⚠ 2便目：定数を "&amp;$CH48&amp;" ケース超える → 減らす",""))))))))</f>
        <v/>
      </c>
      <c r="CK48">
        <f>IF(AND($CI48="",N($Q48)&gt;0,ISNUMBER($P48)),1,0)</f>
        <v/>
      </c>
      <c r="CL48">
        <f>IF(AND($CJ48="",N($T48)&gt;0,ISNUMBER($S48)),1,0)</f>
        <v/>
      </c>
      <c r="CM48">
        <f>IF(OR($CK48=1,$CL48=1),1,0)</f>
        <v/>
      </c>
      <c r="CN48">
        <f>IF($C48="",0,($CK48*$R48+$CL48*$U48)*N($H48))</f>
        <v/>
      </c>
      <c r="CO48">
        <f>IF($C48="","",IF($CC48="","入庫後は 14日以上もつ",IF($CC48-N('設定'!$C$7)&lt;='設定'!$C$6,"入庫後も "&amp;TEXT($CC48,"m/d")&amp;"("&amp;CHOOSE(WEEKDAY($CC48),"日","月","火","水","木","金","土")&amp;")"&amp;" に切れる　もう1便を至急発注","入庫後も "&amp;TEXT($CC48,"m/d")&amp;"("&amp;CHOOSE(WEEKDAY($CC48),"日","月","火","水","木","金","土")&amp;")"&amp;" に切れる　"&amp;TEXT($CC48-N('設定'!$C$7),"m/d")&amp;"("&amp;CHOOSE(WEEKDAY($CC48-N('設定'!$C$7)),"日","月","火","水","木","金","土")&amp;")"&amp;" までに次を発注")))</f>
        <v/>
      </c>
      <c r="CP48">
        <f>IF($C48="","",IF('設定'!$C$6="","？ ①在庫を貼る に今日のCSVが貼られていない",IF($CS48=1,"－ 今日のCSVに無い（終売？）",IF($L48&lt;0,"● 在庫がマイナス　数えて「数えた在庫」に入れる",IF($L48=0,"● 在庫なし　至急発注",IF($M48="","？ 減り数が未設定（商品マスタ）",IF($B$3=0,"？ 動員が未入力（動員を入れる）",IF($CA48="","○ 14日以上もつ",IF($BZ48&lt;N('設定'!$C$7),"● "&amp;TEXT($CA48,"m/d")&amp;"("&amp;CHOOSE(WEEKDAY($CA48),"日","月","火","水","木","金","土")&amp;")"&amp;" に切れる　至急発注",IF($BZ48=N('設定'!$C$7),"● "&amp;TEXT($CA48,"m/d")&amp;"("&amp;CHOOSE(WEEKDAY($CA48),"日","月","火","水","木","金","土")&amp;")"&amp;" に切れる　今日発注","△ "&amp;TEXT($CA48,"m/d")&amp;"("&amp;CHOOSE(WEEKDAY($CA48),"日","月","火","水","木","金","土")&amp;")"&amp;" に切れる　"&amp;TEXT($CA48-N('設定'!$C$7),"m/d")&amp;"("&amp;CHOOSE(WEEKDAY($CA48-N('設定'!$C$7)),"日","月","火","水","木","金","土")&amp;")"&amp;" までに発注"))))))))))</f>
        <v/>
      </c>
      <c r="CQ48">
        <f>IF($C48="","",IF(AND($P48="",$Q48="",$S48="",$T48=""),"",IF(AND($P48="",$Q48=""),"⚠ 先に1便目（左の入庫日・入庫数）に入れてください",IF($CI48&lt;&gt;"",$CI48,IF($CJ48&lt;&gt;"",$CJ48,IF($M48="","？ 減り数が未設定（発注書には載ります）",IF($B$3=0,"？ 動員が未入力（発注書には載ります）",IF(AND($CA48&lt;&gt;"",$P48&gt;$CA48),IF($P48&gt;'設定'!$C$6+N('設定'!$C$7),"● "&amp;TEXT($P48,"m/d")&amp;"("&amp;CHOOSE(WEEKDAY($P48),"日","月","火","水","木","金","土")&amp;")"&amp;" の入庫では間に合わない（"&amp;TEXT($CA48,"m/d")&amp;"("&amp;CHOOSE(WEEKDAY($CA48),"日","月","火","水","木","金","土")&amp;")"&amp;" に切れる）　入庫日を早める","△ 欠品 "&amp;TEXT($CA48,"m/d")&amp;"("&amp;CHOOSE(WEEKDAY($CA48),"日","月","火","水","木","金","土")&amp;")"&amp;"〜"&amp;TEXT($P48-1,"m/d")&amp;"("&amp;CHOOSE(WEEKDAY($P48-1),"日","月","火","水","木","金","土")&amp;")"&amp;"　"&amp;$CO48),IF($CC48="","○ "&amp;TEXT($P48,"m/d")&amp;"("&amp;CHOOSE(WEEKDAY($P48),"日","月","火","水","木","金","土")&amp;")"&amp;" 入庫で 14日以上もつ",IF($CC48-N('設定'!$C$7)&lt;='設定'!$C$6,"● 入庫しても "&amp;TEXT($CC48,"m/d")&amp;"("&amp;CHOOSE(WEEKDAY($CC48),"日","月","火","水","木","金","土")&amp;")"&amp;" に切れる　もう1便を至急発注（2便目に入れる）","△ 入庫しても "&amp;TEXT($CC48,"m/d")&amp;"("&amp;CHOOSE(WEEKDAY($CC48),"日","月","火","水","木","金","土")&amp;")"&amp;" に切れる　"&amp;TEXT($CC48-N('設定'!$C$7),"m/d")&amp;"("&amp;CHOOSE(WEEKDAY($CC48-N('設定'!$C$7)),"日","月","火","水","木","金","土")&amp;")"&amp;" までに次を発注（2便目に入れる）"))))))))))</f>
        <v/>
      </c>
      <c r="CR48">
        <f>IF($C48="","",IF($G48&gt;1,"ｹｰｽ("&amp;$G48&amp;"入)","個"))</f>
        <v/>
      </c>
      <c r="CS48">
        <f>IF($C48="",0,IF(COUNTIFS('①在庫を貼る'!$V$6:$V$10005,'設定'!$C$4,'①在庫を貼る'!$W$6:$W$10005,$C48)=0,1,0))</f>
        <v/>
      </c>
      <c r="CT48">
        <f>IF(AND($CK48=1,OR('③発注書'!$C$4="すべて",'③発注書'!$C$4="",$F48='③発注書'!$C$4)),N($CT47)+1,N($CT47))</f>
        <v/>
      </c>
      <c r="CU48">
        <f>IF(AND($CL48=1,OR('③発注書'!$C$4="すべて",'③発注書'!$C$4="",$F48='③発注書'!$C$4)),N($CU47)+1,N($CU47))</f>
        <v/>
      </c>
      <c r="CV48">
        <f>IF($C48="",0,IF(COUNTIFS('①在庫を貼る'!$V$6:$V$10005,'設定'!$C$4,'①在庫を貼る'!$W$6:$W$10005,$C48)&gt;0,1,0))</f>
        <v/>
      </c>
      <c r="CW48">
        <f>IF($C48="",0,IF(COUNTIFS('月1回_1ヶ月前の在庫'!$V$6:$V$10005,'設定'!$C$4,'月1回_1ヶ月前の在庫'!$W$6:$W$10005,$C48)&gt;0,1,0))</f>
        <v/>
      </c>
      <c r="CX48">
        <f>IF($C48="",0,IF(COUNTIFS('月1回_2ヶ月前の在庫'!$V$6:$V$10005,'設定'!$C$4,'月1回_2ヶ月前の在庫'!$W$6:$W$10005,$C48)&gt;0,1,0))</f>
        <v/>
      </c>
      <c r="CY48">
        <f>IF(OR($C48="",'設定'!$C$12=""),"",IF('設定'!$C$13="",IF(AND($CV48=1,$CW48=0),"新商品（今月から）",IF(AND($CV48=0,$CW48=1),"終売（今月から）","")),IF(AND($CV48=1,$CW48=0,$CX48=0),"新商品（今月から）",IF(AND($CV48=1,$CW48=1,$CX48=0),"新商品（先月から）",IF(AND($CV48=0,$CW48=1,$CX48=1),"終売（今月から）",IF(AND($CV48=0,$CW48=0,$CX48=1),"終売（先月から）",IF(AND($CV48=1,$CW48=0,$CX48=1),"復活（先月は無し）","")))))))</f>
        <v/>
      </c>
    </row>
    <row r="49">
      <c r="B49">
        <f>IF(44&lt;='設定'!$C$11,44,"")</f>
        <v/>
      </c>
      <c r="C49">
        <f>IF($B49="","",IF($B49&lt;='設定'!$C$20,INDEX('商品マスタ'!$B$6:$B$1005,MATCH($B49,'商品マスタ'!$M$6:$M$1005,0)),IF($B49&lt;='設定'!$C$20+'設定'!$C$17,INDEX('①在庫を貼る'!$W$6:$W$10005,MATCH($B49-'設定'!$C$20,'①在庫を貼る'!$U$6:$U$10005,0)),IF($B49&lt;='設定'!$C$20+'設定'!$C$17+'設定'!$C$18,INDEX('月1回_1ヶ月前の在庫'!$W$6:$W$10005,MATCH($B49-'設定'!$C$20-'設定'!$C$17,'月1回_1ヶ月前の在庫'!$U$6:$U$10005,0)),INDEX('月1回_2ヶ月前の在庫'!$W$6:$W$10005,MATCH($B49-'設定'!$C$20-'設定'!$C$17-'設定'!$C$18,'月1回_2ヶ月前の在庫'!$U$6:$U$10005,0))))))</f>
        <v/>
      </c>
      <c r="D49">
        <f>IF($C49="","",IFERROR(IF(INDEX('商品マスタ'!$C$6:$C$1005,MATCH($C49,'商品マスタ'!$B$6:$B$1005,0))="",IFERROR(INDEX('①在庫を貼る'!$J$6:$J$10005,MATCH($C49,'①在庫を貼る'!$W$6:$W$10005,0)),IFERROR(INDEX('月1回_1ヶ月前の在庫'!$J$6:$J$10005,MATCH($C49,'月1回_1ヶ月前の在庫'!$W$6:$W$10005,0)),IFERROR(INDEX('月1回_2ヶ月前の在庫'!$J$6:$J$10005,MATCH($C49,'月1回_2ヶ月前の在庫'!$W$6:$W$10005,0)),""))),INDEX('商品マスタ'!$C$6:$C$1005,MATCH($C49,'商品マスタ'!$B$6:$B$1005,0))),IFERROR(INDEX('①在庫を貼る'!$J$6:$J$10005,MATCH($C49,'①在庫を貼る'!$W$6:$W$10005,0)),IFERROR(INDEX('月1回_1ヶ月前の在庫'!$J$6:$J$10005,MATCH($C49,'月1回_1ヶ月前の在庫'!$W$6:$W$10005,0)),IFERROR(INDEX('月1回_2ヶ月前の在庫'!$J$6:$J$10005,MATCH($C49,'月1回_2ヶ月前の在庫'!$W$6:$W$10005,0)),"")))))</f>
        <v/>
      </c>
      <c r="E49">
        <f>IF($C49="","",IFERROR(IF(INDEX('商品マスタ'!$D$6:$D$1005,MATCH($C49,'商品マスタ'!$B$6:$B$1005,0))="",IFERROR(INDEX('①在庫を貼る'!$H$6:$H$10005,MATCH($C49,'①在庫を貼る'!$W$6:$W$10005,0)),IFERROR(INDEX('月1回_1ヶ月前の在庫'!$H$6:$H$10005,MATCH($C49,'月1回_1ヶ月前の在庫'!$W$6:$W$10005,0)),IFERROR(INDEX('月1回_2ヶ月前の在庫'!$H$6:$H$10005,MATCH($C49,'月1回_2ヶ月前の在庫'!$W$6:$W$10005,0)),""))),INDEX('商品マスタ'!$D$6:$D$1005,MATCH($C49,'商品マスタ'!$B$6:$B$1005,0))),IFERROR(INDEX('①在庫を貼る'!$H$6:$H$10005,MATCH($C49,'①在庫を貼る'!$W$6:$W$10005,0)),IFERROR(INDEX('月1回_1ヶ月前の在庫'!$H$6:$H$10005,MATCH($C49,'月1回_1ヶ月前の在庫'!$W$6:$W$10005,0)),IFERROR(INDEX('月1回_2ヶ月前の在庫'!$H$6:$H$10005,MATCH($C49,'月1回_2ヶ月前の在庫'!$W$6:$W$10005,0)),"")))))</f>
        <v/>
      </c>
      <c r="F49">
        <f>IF($C49="","",IFERROR(IF(INDEX('商品マスタ'!$E$6:$E$1005,MATCH($C49,'商品マスタ'!$B$6:$B$1005,0))="",IFERROR(INDEX('①在庫を貼る'!$E$6:$E$10005,MATCH($C49,'①在庫を貼る'!$W$6:$W$10005,0)),IFERROR(INDEX('月1回_1ヶ月前の在庫'!$E$6:$E$10005,MATCH($C49,'月1回_1ヶ月前の在庫'!$W$6:$W$10005,0)),IFERROR(INDEX('月1回_2ヶ月前の在庫'!$E$6:$E$10005,MATCH($C49,'月1回_2ヶ月前の在庫'!$W$6:$W$10005,0)),""))),INDEX('商品マスタ'!$E$6:$E$1005,MATCH($C49,'商品マスタ'!$B$6:$B$1005,0))),IFERROR(INDEX('①在庫を貼る'!$E$6:$E$10005,MATCH($C49,'①在庫を貼る'!$W$6:$W$10005,0)),IFERROR(INDEX('月1回_1ヶ月前の在庫'!$E$6:$E$10005,MATCH($C49,'月1回_1ヶ月前の在庫'!$W$6:$W$10005,0)),IFERROR(INDEX('月1回_2ヶ月前の在庫'!$E$6:$E$10005,MATCH($C49,'月1回_2ヶ月前の在庫'!$W$6:$W$10005,0)),"")))))</f>
        <v/>
      </c>
      <c r="G49">
        <f>IF($C49="","",MAX(1,N(IFERROR(IF(INDEX('商品マスタ'!$F$6:$F$1005,MATCH($C49,'商品マスタ'!$B$6:$B$1005,0))="",IF(COUNTIFS('①在庫を貼る'!$V$6:$V$10005,'設定'!$C$4,'①在庫を貼る'!$W$6:$W$10005,$C49)&gt;0,SUMIFS('①在庫を貼る'!$K$6:$K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K$6:$K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K$6:$K$10005,'月1回_2ヶ月前の在庫'!$V$6:$V$10005,'設定'!$C$4,'月1回_2ヶ月前の在庫'!$W$6:$W$10005,$C49)/COUNTIFS('月1回_2ヶ月前の在庫'!$V$6:$V$10005,'設定'!$C$4,'月1回_2ヶ月前の在庫'!$W$6:$W$10005,$C49),0))),INDEX('商品マスタ'!$F$6:$F$1005,MATCH($C49,'商品マスタ'!$B$6:$B$1005,0))),IF(COUNTIFS('①在庫を貼る'!$V$6:$V$10005,'設定'!$C$4,'①在庫を貼る'!$W$6:$W$10005,$C49)&gt;0,SUMIFS('①在庫を貼る'!$K$6:$K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K$6:$K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K$6:$K$10005,'月1回_2ヶ月前の在庫'!$V$6:$V$10005,'設定'!$C$4,'月1回_2ヶ月前の在庫'!$W$6:$W$10005,$C49)/COUNTIFS('月1回_2ヶ月前の在庫'!$V$6:$V$10005,'設定'!$C$4,'月1回_2ヶ月前の在庫'!$W$6:$W$10005,$C49),0)))))))</f>
        <v/>
      </c>
      <c r="H49">
        <f>IF($C49="","",N(IFERROR(IF(INDEX('商品マスタ'!$G$6:$G$1005,MATCH($C49,'商品マスタ'!$B$6:$B$1005,0))="",IF(COUNTIFS('①在庫を貼る'!$V$6:$V$10005,'設定'!$C$4,'①在庫を貼る'!$W$6:$W$10005,$C49)&gt;0,SUMIFS('①在庫を貼る'!$Q$6:$Q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Q$6:$Q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Q$6:$Q$10005,'月1回_2ヶ月前の在庫'!$V$6:$V$10005,'設定'!$C$4,'月1回_2ヶ月前の在庫'!$W$6:$W$10005,$C49)/COUNTIFS('月1回_2ヶ月前の在庫'!$V$6:$V$10005,'設定'!$C$4,'月1回_2ヶ月前の在庫'!$W$6:$W$10005,$C49),0))),INDEX('商品マスタ'!$G$6:$G$1005,MATCH($C49,'商品マスタ'!$B$6:$B$1005,0))),IF(COUNTIFS('①在庫を貼る'!$V$6:$V$10005,'設定'!$C$4,'①在庫を貼る'!$W$6:$W$10005,$C49)&gt;0,SUMIFS('①在庫を貼る'!$Q$6:$Q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Q$6:$Q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Q$6:$Q$10005,'月1回_2ヶ月前の在庫'!$V$6:$V$10005,'設定'!$C$4,'月1回_2ヶ月前の在庫'!$W$6:$W$10005,$C49)/COUNTIFS('月1回_2ヶ月前の在庫'!$V$6:$V$10005,'設定'!$C$4,'月1回_2ヶ月前の在庫'!$W$6:$W$10005,$C49),0))))))</f>
        <v/>
      </c>
      <c r="I49">
        <f>IF($C49="","",IF(COUNTIFS('①在庫を貼る'!$V$6:$V$10005,'設定'!$C$4,'①在庫を貼る'!$W$6:$W$10005,$C49)=0,"",SUMIFS('①在庫を貼る'!$N$6:$N$10005,'①在庫を貼る'!$V$6:$V$10005,'設定'!$C$4,'①在庫を貼る'!$W$6:$W$10005,$C49)))</f>
        <v/>
      </c>
      <c r="J49">
        <f>IF($C49="","",IF('②発注する'!$AD53="","",'②発注する'!$AD53))</f>
        <v/>
      </c>
      <c r="K49" s="90">
        <f>IF($C49="","",IF('②発注する'!$AE53="","",'②発注する'!$AE53))</f>
        <v/>
      </c>
      <c r="L49">
        <f>IF($C49="","",IF(AND(ISNUMBER($J49),ISNUMBER($K49),$K49&gt;='設定'!$C$6),$J49,N($I49)))</f>
        <v/>
      </c>
      <c r="M49">
        <f>IF($C49="","",IFERROR(IF(N(INDEX('商品マスタ'!$J$6:$J$1005,MATCH($C49,'商品マスタ'!$B$6:$B$1005,0)))&gt;0,INDEX('商品マスタ'!$J$6:$J$1005,MATCH($C49,'商品マスタ'!$B$6:$B$1005,0)),""),""))</f>
        <v/>
      </c>
      <c r="N49">
        <f>IF($C49="","",IFERROR(IF(N(INDEX('商品マスタ'!$H$6:$H$1005,MATCH($C49,'商品マスタ'!$B$6:$B$1005,0)))&gt;0,INDEX('商品マスタ'!$H$6:$H$1005,MATCH($C49,'商品マスタ'!$B$6:$B$1005,0)),""),""))</f>
        <v/>
      </c>
      <c r="O49">
        <f>IF($C49="","",IF($N49&lt;&gt;"",$N49*$G49,IF(N(IF(COUNTIFS('①在庫を貼る'!$V$6:$V$10005,'設定'!$C$4,'①在庫を貼る'!$W$6:$W$10005,$C49)&gt;0,SUMIFS('①在庫を貼る'!$O$6:$O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O$6:$O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O$6:$O$10005,'月1回_2ヶ月前の在庫'!$V$6:$V$10005,'設定'!$C$4,'月1回_2ヶ月前の在庫'!$W$6:$W$10005,$C49)/COUNTIFS('月1回_2ヶ月前の在庫'!$V$6:$V$10005,'設定'!$C$4,'月1回_2ヶ月前の在庫'!$W$6:$W$10005,$C49),0))))&gt;0,N(IF(COUNTIFS('①在庫を貼る'!$V$6:$V$10005,'設定'!$C$4,'①在庫を貼る'!$W$6:$W$10005,$C49)&gt;0,SUMIFS('①在庫を貼る'!$O$6:$O$10005,'①在庫を貼る'!$V$6:$V$10005,'設定'!$C$4,'①在庫を貼る'!$W$6:$W$10005,$C49)/COUNTIFS('①在庫を貼る'!$V$6:$V$10005,'設定'!$C$4,'①在庫を貼る'!$W$6:$W$10005,$C49),IF(COUNTIFS('月1回_1ヶ月前の在庫'!$V$6:$V$10005,'設定'!$C$4,'月1回_1ヶ月前の在庫'!$W$6:$W$10005,$C49)&gt;0,SUMIFS('月1回_1ヶ月前の在庫'!$O$6:$O$10005,'月1回_1ヶ月前の在庫'!$V$6:$V$10005,'設定'!$C$4,'月1回_1ヶ月前の在庫'!$W$6:$W$10005,$C49)/COUNTIFS('月1回_1ヶ月前の在庫'!$V$6:$V$10005,'設定'!$C$4,'月1回_1ヶ月前の在庫'!$W$6:$W$10005,$C49),IF(COUNTIFS('月1回_2ヶ月前の在庫'!$V$6:$V$10005,'設定'!$C$4,'月1回_2ヶ月前の在庫'!$W$6:$W$10005,$C49)&gt;0,SUMIFS('月1回_2ヶ月前の在庫'!$O$6:$O$10005,'月1回_2ヶ月前の在庫'!$V$6:$V$10005,'設定'!$C$4,'月1回_2ヶ月前の在庫'!$W$6:$W$10005,$C49)/COUNTIFS('月1回_2ヶ月前の在庫'!$V$6:$V$10005,'設定'!$C$4,'月1回_2ヶ月前の在庫'!$W$6:$W$10005,$C49),0)))),"")))</f>
        <v/>
      </c>
      <c r="P49" s="90">
        <f>IF($C49="","",IF('②発注する'!$I53="","",'②発注する'!$I53))</f>
        <v/>
      </c>
      <c r="Q49">
        <f>IF($C49="","",IF('②発注する'!$J53="","",'②発注する'!$J53))</f>
        <v/>
      </c>
      <c r="R49">
        <f>IF($C49="",0,IF(AND(ISNUMBER($P49),ISNUMBER($Q49)),MAX(0,$Q49)*$G49,0))</f>
        <v/>
      </c>
      <c r="S49" s="90">
        <f>IF($C49="","",IF('②発注する'!$M53="","",'②発注する'!$M53))</f>
        <v/>
      </c>
      <c r="T49">
        <f>IF($C49="","",IF('②発注する'!$N53="","",'②発注する'!$N53))</f>
        <v/>
      </c>
      <c r="U49">
        <f>IF($C49="",0,IF(AND(ISNUMBER($S49),ISNUMBER($T49)),MAX(0,$T49)*$G49,0))</f>
        <v/>
      </c>
      <c r="V49">
        <f>IF($C49="",0,IF($M49="",0,MAX(0,$M49)*MAX(0,V$4)/100))</f>
        <v/>
      </c>
      <c r="W49">
        <f>IF($C49="",0,IF($M49="",0,MAX(0,$M49)*MAX(0,W$4)/100))</f>
        <v/>
      </c>
      <c r="X49">
        <f>IF($C49="",0,IF($M49="",0,MAX(0,$M49)*MAX(0,X$4)/100))</f>
        <v/>
      </c>
      <c r="Y49">
        <f>IF($C49="",0,IF($M49="",0,MAX(0,$M49)*MAX(0,Y$4)/100))</f>
        <v/>
      </c>
      <c r="Z49">
        <f>IF($C49="",0,IF($M49="",0,MAX(0,$M49)*MAX(0,Z$4)/100))</f>
        <v/>
      </c>
      <c r="AA49">
        <f>IF($C49="",0,IF($M49="",0,MAX(0,$M49)*MAX(0,AA$4)/100))</f>
        <v/>
      </c>
      <c r="AB49">
        <f>IF($C49="",0,IF($M49="",0,MAX(0,$M49)*MAX(0,AB$4)/100))</f>
        <v/>
      </c>
      <c r="AC49">
        <f>IF($C49="",0,IF($M49="",0,MAX(0,$M49)*MAX(0,AC$4)/100))</f>
        <v/>
      </c>
      <c r="AD49">
        <f>IF($C49="",0,IF($M49="",0,MAX(0,$M49)*MAX(0,AD$4)/100))</f>
        <v/>
      </c>
      <c r="AE49">
        <f>IF($C49="",0,IF($M49="",0,MAX(0,$M49)*MAX(0,AE$4)/100))</f>
        <v/>
      </c>
      <c r="AF49">
        <f>IF($C49="",0,IF($M49="",0,MAX(0,$M49)*MAX(0,AF$4)/100))</f>
        <v/>
      </c>
      <c r="AG49">
        <f>IF($C49="",0,IF($M49="",0,MAX(0,$M49)*MAX(0,AG$4)/100))</f>
        <v/>
      </c>
      <c r="AH49">
        <f>IF($C49="",0,IF($M49="",0,MAX(0,$M49)*MAX(0,AH$4)/100))</f>
        <v/>
      </c>
      <c r="AI49">
        <f>IF($C49="",0,IF($M49="",0,MAX(0,$M49)*MAX(0,AI$4)/100))</f>
        <v/>
      </c>
      <c r="AJ49">
        <f>IF($C49="",0,MAX(0,MAX(0,N($L49))-$V49))</f>
        <v/>
      </c>
      <c r="AK49">
        <f>IF($C49="",0,MAX(0,$AJ49-$W49))</f>
        <v/>
      </c>
      <c r="AL49">
        <f>IF($C49="",0,MAX(0,$AK49-$X49))</f>
        <v/>
      </c>
      <c r="AM49">
        <f>IF($C49="",0,MAX(0,$AL49-$Y49))</f>
        <v/>
      </c>
      <c r="AN49">
        <f>IF($C49="",0,MAX(0,$AM49-$Z49))</f>
        <v/>
      </c>
      <c r="AO49">
        <f>IF($C49="",0,MAX(0,$AN49-$AA49))</f>
        <v/>
      </c>
      <c r="AP49">
        <f>IF($C49="",0,MAX(0,$AO49-$AB49))</f>
        <v/>
      </c>
      <c r="AQ49">
        <f>IF($C49="",0,MAX(0,$AP49-$AC49))</f>
        <v/>
      </c>
      <c r="AR49">
        <f>IF($C49="",0,MAX(0,$AQ49-$AD49))</f>
        <v/>
      </c>
      <c r="AS49">
        <f>IF($C49="",0,MAX(0,$AR49-$AE49))</f>
        <v/>
      </c>
      <c r="AT49">
        <f>IF($C49="",0,MAX(0,$AS49-$AF49))</f>
        <v/>
      </c>
      <c r="AU49">
        <f>IF($C49="",0,MAX(0,$AT49-$AG49))</f>
        <v/>
      </c>
      <c r="AV49">
        <f>IF($C49="",0,MAX(0,$AU49-$AH49))</f>
        <v/>
      </c>
      <c r="AW49">
        <f>IF($C49="",0,MAX(0,$AV49-$AI49))</f>
        <v/>
      </c>
      <c r="AX49">
        <f>IF($C49="",0,MAX(0,MAX(0,N($L49))+IF($P49=V$3,$R49,0)+IF($S49=V$3,$U49,0)-$V49))</f>
        <v/>
      </c>
      <c r="AY49">
        <f>IF($C49="",0,MAX(0,$AX49+IF($P49=W$3,$R49,0)+IF($S49=W$3,$U49,0)-$W49))</f>
        <v/>
      </c>
      <c r="AZ49">
        <f>IF($C49="",0,MAX(0,$AY49+IF($P49=X$3,$R49,0)+IF($S49=X$3,$U49,0)-$X49))</f>
        <v/>
      </c>
      <c r="BA49">
        <f>IF($C49="",0,MAX(0,$AZ49+IF($P49=Y$3,$R49,0)+IF($S49=Y$3,$U49,0)-$Y49))</f>
        <v/>
      </c>
      <c r="BB49">
        <f>IF($C49="",0,MAX(0,$BA49+IF($P49=Z$3,$R49,0)+IF($S49=Z$3,$U49,0)-$Z49))</f>
        <v/>
      </c>
      <c r="BC49">
        <f>IF($C49="",0,MAX(0,$BB49+IF($P49=AA$3,$R49,0)+IF($S49=AA$3,$U49,0)-$AA49))</f>
        <v/>
      </c>
      <c r="BD49">
        <f>IF($C49="",0,MAX(0,$BC49+IF($P49=AB$3,$R49,0)+IF($S49=AB$3,$U49,0)-$AB49))</f>
        <v/>
      </c>
      <c r="BE49">
        <f>IF($C49="",0,MAX(0,$BD49+IF($P49=AC$3,$R49,0)+IF($S49=AC$3,$U49,0)-$AC49))</f>
        <v/>
      </c>
      <c r="BF49">
        <f>IF($C49="",0,MAX(0,$BE49+IF($P49=AD$3,$R49,0)+IF($S49=AD$3,$U49,0)-$AD49))</f>
        <v/>
      </c>
      <c r="BG49">
        <f>IF($C49="",0,MAX(0,$BF49+IF($P49=AE$3,$R49,0)+IF($S49=AE$3,$U49,0)-$AE49))</f>
        <v/>
      </c>
      <c r="BH49">
        <f>IF($C49="",0,MAX(0,$BG49+IF($P49=AF$3,$R49,0)+IF($S49=AF$3,$U49,0)-$AF49))</f>
        <v/>
      </c>
      <c r="BI49">
        <f>IF($C49="",0,MAX(0,$BH49+IF($P49=AG$3,$R49,0)+IF($S49=AG$3,$U49,0)-$AG49))</f>
        <v/>
      </c>
      <c r="BJ49">
        <f>IF($C49="",0,MAX(0,$BI49+IF($P49=AH$3,$R49,0)+IF($S49=AH$3,$U49,0)-$AH49))</f>
        <v/>
      </c>
      <c r="BK49">
        <f>IF($C49="",0,MAX(0,$BJ49+IF($P49=AI$3,$R49,0)+IF($S49=AI$3,$U49,0)-$AI49))</f>
        <v/>
      </c>
      <c r="BL49">
        <f>IF($C49="",99,IF(AND($AX49&lt;1,V$3&gt;=MAX(N($P49),N($S49))),0,99))</f>
        <v/>
      </c>
      <c r="BM49">
        <f>IF($C49="",99,IF(AND($AY49&lt;1,W$3&gt;=MAX(N($P49),N($S49))),1,99))</f>
        <v/>
      </c>
      <c r="BN49">
        <f>IF($C49="",99,IF(AND($AZ49&lt;1,X$3&gt;=MAX(N($P49),N($S49))),2,99))</f>
        <v/>
      </c>
      <c r="BO49">
        <f>IF($C49="",99,IF(AND($BA49&lt;1,Y$3&gt;=MAX(N($P49),N($S49))),3,99))</f>
        <v/>
      </c>
      <c r="BP49">
        <f>IF($C49="",99,IF(AND($BB49&lt;1,Z$3&gt;=MAX(N($P49),N($S49))),4,99))</f>
        <v/>
      </c>
      <c r="BQ49">
        <f>IF($C49="",99,IF(AND($BC49&lt;1,AA$3&gt;=MAX(N($P49),N($S49))),5,99))</f>
        <v/>
      </c>
      <c r="BR49">
        <f>IF($C49="",99,IF(AND($BD49&lt;1,AB$3&gt;=MAX(N($P49),N($S49))),6,99))</f>
        <v/>
      </c>
      <c r="BS49">
        <f>IF($C49="",99,IF(AND($BE49&lt;1,AC$3&gt;=MAX(N($P49),N($S49))),7,99))</f>
        <v/>
      </c>
      <c r="BT49">
        <f>IF($C49="",99,IF(AND($BF49&lt;1,AD$3&gt;=MAX(N($P49),N($S49))),8,99))</f>
        <v/>
      </c>
      <c r="BU49">
        <f>IF($C49="",99,IF(AND($BG49&lt;1,AE$3&gt;=MAX(N($P49),N($S49))),9,99))</f>
        <v/>
      </c>
      <c r="BV49">
        <f>IF($C49="",99,IF(AND($BH49&lt;1,AF$3&gt;=MAX(N($P49),N($S49))),10,99))</f>
        <v/>
      </c>
      <c r="BW49">
        <f>IF($C49="",99,IF(AND($BI49&lt;1,AG$3&gt;=MAX(N($P49),N($S49))),11,99))</f>
        <v/>
      </c>
      <c r="BX49">
        <f>IF($C49="",99,IF(AND($BJ49&lt;1,AH$3&gt;=MAX(N($P49),N($S49))),12,99))</f>
        <v/>
      </c>
      <c r="BY49">
        <f>IF($C49="",99,IF(AND($BK49&lt;1,AI$3&gt;=MAX(N($P49),N($S49))),13,99))</f>
        <v/>
      </c>
      <c r="BZ49">
        <f>IF(OR($C49="",$M49=""),"",COUNTIF($AJ49:$AW49,"&gt;=1"))</f>
        <v/>
      </c>
      <c r="CA49" s="90">
        <f>IF($BZ49="","",IF($BZ49&gt;=14,"",'設定'!$C$6+$BZ49))</f>
        <v/>
      </c>
      <c r="CB49">
        <f>IF(OR($C49="",$M49=""),"",MIN($BL49:$BY49))</f>
        <v/>
      </c>
      <c r="CC49" s="90">
        <f>IF($CB49="","",IF($CB49&gt;=99,"",'設定'!$C$6+$CB49))</f>
        <v/>
      </c>
      <c r="CD49">
        <f>IF(OR($C49="",$M49=""),"",AVERAGE($V49:$AI49))</f>
        <v/>
      </c>
      <c r="CE49">
        <f>IF($C49="","",IFERROR(IF(MATCH(IF(ISNUMBER($P49),$P49,'設定'!$C$6+N('設定'!$C$7)),$V$3:$AI$3,0)=1,MAX(0,N($L49)),INDEX($AJ49:$AW49,MATCH(IF(ISNUMBER($P49),$P49,'設定'!$C$6+N('設定'!$C$7)),$V$3:$AI$3,0)-1)),""))</f>
        <v/>
      </c>
      <c r="CF49">
        <f>IF(OR($C49="",$O49="",$CE49=""),"",IF($O49-$CE49&lt;=0,0,ROUNDUP(($O49-$CE49)/$G49,0)))</f>
        <v/>
      </c>
      <c r="CG49">
        <f>IF(OR($C49="",$CF49="",NOT(ISNUMBER($Q49))),0,MAX(0,$Q49-$CF49))</f>
        <v/>
      </c>
      <c r="CH49">
        <f>IF(OR($C49="",$O49="",$U49=0),0,IFERROR(ROUNDUP(MAX(0,IF(MATCH($S49,$V$3:$AI$3,0)=1,MAX(0,N($L49)),INDEX($AX49:$BK49,MATCH($S49,$V$3:$AI$3,0)-1))+$U49-$O49)/$G49,0),0))</f>
        <v/>
      </c>
      <c r="CI49">
        <f>IF($C49="","",IF(AND($P49="",$Q49=""),"",IF($P49="","⚠ 入庫日を ▼ から選んでください",IF(NOT(ISNUMBER($P49)),"⚠ 入庫日は ▼ から選んでください",IF($P49&lt;N('設定'!$C$6),"⚠ 入庫日が過去です（もう在庫に入っています）→ 消してください",IF($P49&gt;N('設定'!$C$6)+13,"⚠ 入庫日が14日より先です",IF(N($Q49)&lt;=0,"⚠ 入庫数を入れてください",IF($CG49&gt;0,"⚠ 目安より "&amp;$CG49&amp;" 多い（定数を超える）→ 減らす",""))))))))</f>
        <v/>
      </c>
      <c r="CJ49">
        <f>IF($C49="","",IF(AND($S49="",$T49=""),"",IF($S49="","⚠ 2便目：入庫日を ▼ から選んでください",IF(NOT(ISNUMBER($S49)),"⚠ 2便目：入庫日は ▼ から選んでください",IF($S49&lt;N('設定'!$C$6),"⚠ 2便目：入庫日が過去です（もう在庫に入っています）→ 消してください",IF($S49&gt;N('設定'!$C$6)+13,"⚠ 2便目：入庫日が14日より先です",IF(N($T49)&lt;=0,"⚠ 2便目：入庫数を入れてください",IF($CH49&gt;0,"⚠ 2便目：定数を "&amp;$CH49&amp;" ケース超える → 減らす",""))))))))</f>
        <v/>
      </c>
      <c r="CK49">
        <f>IF(AND($CI49="",N($Q49)&gt;0,ISNUMBER($P49)),1,0)</f>
        <v/>
      </c>
      <c r="CL49">
        <f>IF(AND($CJ49="",N($T49)&gt;0,ISNUMBER($S49)),1,0)</f>
        <v/>
      </c>
      <c r="CM49">
        <f>IF(OR($CK49=1,$CL49=1),1,0)</f>
        <v/>
      </c>
      <c r="CN49">
        <f>IF($C49="",0,($CK49*$R49+$CL49*$U49)*N($H49))</f>
        <v/>
      </c>
      <c r="CO49">
        <f>IF($C49="","",IF($CC49="","入庫後は 14日以上もつ",IF($CC49-N('設定'!$C$7)&lt;='設定'!$C$6,"入庫後も "&amp;TEXT($CC49,"m/d")&amp;"("&amp;CHOOSE(WEEKDAY($CC49),"日","月","火","水","木","金","土")&amp;")"&amp;" に切れる　もう1便を至急発注","入庫後も "&amp;TEXT($CC49,"m/d")&amp;"("&amp;CHOOSE(WEEKDAY($CC49),"日","月","火","水","木","金","土")&amp;")"&amp;" に切れる　"&amp;TEXT($CC49-N('設定'!$C$7),"m/d")&amp;"("&amp;CHOOSE(WEEKDAY($CC49-N('設定'!$C$7)),"日","月","火","水","木","金","土")&amp;")"&amp;" までに次を発注")))</f>
        <v/>
      </c>
      <c r="CP49">
        <f>IF($C49="","",IF('設定'!$C$6="","？ ①在庫を貼る に今日のCSVが貼られていない",IF($CS49=1,"－ 今日のCSVに無い（終売？）",IF($L49&lt;0,"● 在庫がマイナス　数えて「数えた在庫」に入れる",IF($L49=0,"● 在庫なし　至急発注",IF($M49="","？ 減り数が未設定（商品マスタ）",IF($B$3=0,"？ 動員が未入力（動員を入れる）",IF($CA49="","○ 14日以上もつ",IF($BZ49&lt;N('設定'!$C$7),"● "&amp;TEXT($CA49,"m/d")&amp;"("&amp;CHOOSE(WEEKDAY($CA49),"日","月","火","水","木","金","土")&amp;")"&amp;" に切れる　至急発注",IF($BZ49=N('設定'!$C$7),"● "&amp;TEXT($CA49,"m/d")&amp;"("&amp;CHOOSE(WEEKDAY($CA49),"日","月","火","水","木","金","土")&amp;")"&amp;" に切れる　今日発注","△ "&amp;TEXT($CA49,"m/d")&amp;"("&amp;CHOOSE(WEEKDAY($CA49),"日","月","火","水","木","金","土")&amp;")"&amp;" に切れる　"&amp;TEXT($CA49-N('設定'!$C$7),"m/d")&amp;"("&amp;CHOOSE(WEEKDAY($CA49-N('設定'!$C$7)),"日","月","火","水","木","金","土")&amp;")"&amp;" までに発注"))))))))))</f>
        <v/>
      </c>
      <c r="CQ49">
        <f>IF($C49="","",IF(AND($P49="",$Q49="",$S49="",$T49=""),"",IF(AND($P49="",$Q49=""),"⚠ 先に1便目（左の入庫日・入庫数）に入れてください",IF($CI49&lt;&gt;"",$CI49,IF($CJ49&lt;&gt;"",$CJ49,IF($M49="","？ 減り数が未設定（発注書には載ります）",IF($B$3=0,"？ 動員が未入力（発注書には載ります）",IF(AND($CA49&lt;&gt;"",$P49&gt;$CA49),IF($P49&gt;'設定'!$C$6+N('設定'!$C$7),"● "&amp;TEXT($P49,"m/d")&amp;"("&amp;CHOOSE(WEEKDAY($P49),"日","月","火","水","木","金","土")&amp;")"&amp;" の入庫では間に合わない（"&amp;TEXT($CA49,"m/d")&amp;"("&amp;CHOOSE(WEEKDAY($CA49),"日","月","火","水","木","金","土")&amp;")"&amp;" に切れる）　入庫日を早める","△ 欠品 "&amp;TEXT($CA49,"m/d")&amp;"("&amp;CHOOSE(WEEKDAY($CA49),"日","月","火","水","木","金","土")&amp;")"&amp;"〜"&amp;TEXT($P49-1,"m/d")&amp;"("&amp;CHOOSE(WEEKDAY($P49-1),"日","月","火","水","木","金","土")&amp;")"&amp;"　"&amp;$CO49),IF($CC49="","○ "&amp;TEXT($P49,"m/d")&amp;"("&amp;CHOOSE(WEEKDAY($P49),"日","月","火","水","木","金","土")&amp;")"&amp;" 入庫で 14日以上もつ",IF($CC49-N('設定'!$C$7)&lt;='設定'!$C$6,"● 入庫しても "&amp;TEXT($CC49,"m/d")&amp;"("&amp;CHOOSE(WEEKDAY($CC49),"日","月","火","水","木","金","土")&amp;")"&amp;" に切れる　もう1便を至急発注（2便目に入れる）","△ 入庫しても "&amp;TEXT($CC49,"m/d")&amp;"("&amp;CHOOSE(WEEKDAY($CC49),"日","月","火","水","木","金","土")&amp;")"&amp;" に切れる　"&amp;TEXT($CC49-N('設定'!$C$7),"m/d")&amp;"("&amp;CHOOSE(WEEKDAY($CC49-N('設定'!$C$7)),"日","月","火","水","木","金","土")&amp;")"&amp;" までに次を発注（2便目に入れる）"))))))))))</f>
        <v/>
      </c>
      <c r="CR49">
        <f>IF($C49="","",IF($G49&gt;1,"ｹｰｽ("&amp;$G49&amp;"入)","個"))</f>
        <v/>
      </c>
      <c r="CS49">
        <f>IF($C49="",0,IF(COUNTIFS('①在庫を貼る'!$V$6:$V$10005,'設定'!$C$4,'①在庫を貼る'!$W$6:$W$10005,$C49)=0,1,0))</f>
        <v/>
      </c>
      <c r="CT49">
        <f>IF(AND($CK49=1,OR('③発注書'!$C$4="すべて",'③発注書'!$C$4="",$F49='③発注書'!$C$4)),N($CT48)+1,N($CT48))</f>
        <v/>
      </c>
      <c r="CU49">
        <f>IF(AND($CL49=1,OR('③発注書'!$C$4="すべて",'③発注書'!$C$4="",$F49='③発注書'!$C$4)),N($CU48)+1,N($CU48))</f>
        <v/>
      </c>
      <c r="CV49">
        <f>IF($C49="",0,IF(COUNTIFS('①在庫を貼る'!$V$6:$V$10005,'設定'!$C$4,'①在庫を貼る'!$W$6:$W$10005,$C49)&gt;0,1,0))</f>
        <v/>
      </c>
      <c r="CW49">
        <f>IF($C49="",0,IF(COUNTIFS('月1回_1ヶ月前の在庫'!$V$6:$V$10005,'設定'!$C$4,'月1回_1ヶ月前の在庫'!$W$6:$W$10005,$C49)&gt;0,1,0))</f>
        <v/>
      </c>
      <c r="CX49">
        <f>IF($C49="",0,IF(COUNTIFS('月1回_2ヶ月前の在庫'!$V$6:$V$10005,'設定'!$C$4,'月1回_2ヶ月前の在庫'!$W$6:$W$10005,$C49)&gt;0,1,0))</f>
        <v/>
      </c>
      <c r="CY49">
        <f>IF(OR($C49="",'設定'!$C$12=""),"",IF('設定'!$C$13="",IF(AND($CV49=1,$CW49=0),"新商品（今月から）",IF(AND($CV49=0,$CW49=1),"終売（今月から）","")),IF(AND($CV49=1,$CW49=0,$CX49=0),"新商品（今月から）",IF(AND($CV49=1,$CW49=1,$CX49=0),"新商品（先月から）",IF(AND($CV49=0,$CW49=1,$CX49=1),"終売（今月から）",IF(AND($CV49=0,$CW49=0,$CX49=1),"終売（先月から）",IF(AND($CV49=1,$CW49=0,$CX49=1),"復活（先月は無し）","")))))))</f>
        <v/>
      </c>
    </row>
    <row r="50">
      <c r="B50">
        <f>IF(45&lt;='設定'!$C$11,45,"")</f>
        <v/>
      </c>
      <c r="C50">
        <f>IF($B50="","",IF($B50&lt;='設定'!$C$20,INDEX('商品マスタ'!$B$6:$B$1005,MATCH($B50,'商品マスタ'!$M$6:$M$1005,0)),IF($B50&lt;='設定'!$C$20+'設定'!$C$17,INDEX('①在庫を貼る'!$W$6:$W$10005,MATCH($B50-'設定'!$C$20,'①在庫を貼る'!$U$6:$U$10005,0)),IF($B50&lt;='設定'!$C$20+'設定'!$C$17+'設定'!$C$18,INDEX('月1回_1ヶ月前の在庫'!$W$6:$W$10005,MATCH($B50-'設定'!$C$20-'設定'!$C$17,'月1回_1ヶ月前の在庫'!$U$6:$U$10005,0)),INDEX('月1回_2ヶ月前の在庫'!$W$6:$W$10005,MATCH($B50-'設定'!$C$20-'設定'!$C$17-'設定'!$C$18,'月1回_2ヶ月前の在庫'!$U$6:$U$10005,0))))))</f>
        <v/>
      </c>
      <c r="D50">
        <f>IF($C50="","",IFERROR(IF(INDEX('商品マスタ'!$C$6:$C$1005,MATCH($C50,'商品マスタ'!$B$6:$B$1005,0))="",IFERROR(INDEX('①在庫を貼る'!$J$6:$J$10005,MATCH($C50,'①在庫を貼る'!$W$6:$W$10005,0)),IFERROR(INDEX('月1回_1ヶ月前の在庫'!$J$6:$J$10005,MATCH($C50,'月1回_1ヶ月前の在庫'!$W$6:$W$10005,0)),IFERROR(INDEX('月1回_2ヶ月前の在庫'!$J$6:$J$10005,MATCH($C50,'月1回_2ヶ月前の在庫'!$W$6:$W$10005,0)),""))),INDEX('商品マスタ'!$C$6:$C$1005,MATCH($C50,'商品マスタ'!$B$6:$B$1005,0))),IFERROR(INDEX('①在庫を貼る'!$J$6:$J$10005,MATCH($C50,'①在庫を貼る'!$W$6:$W$10005,0)),IFERROR(INDEX('月1回_1ヶ月前の在庫'!$J$6:$J$10005,MATCH($C50,'月1回_1ヶ月前の在庫'!$W$6:$W$10005,0)),IFERROR(INDEX('月1回_2ヶ月前の在庫'!$J$6:$J$10005,MATCH($C50,'月1回_2ヶ月前の在庫'!$W$6:$W$10005,0)),"")))))</f>
        <v/>
      </c>
      <c r="E50">
        <f>IF($C50="","",IFERROR(IF(INDEX('商品マスタ'!$D$6:$D$1005,MATCH($C50,'商品マスタ'!$B$6:$B$1005,0))="",IFERROR(INDEX('①在庫を貼る'!$H$6:$H$10005,MATCH($C50,'①在庫を貼る'!$W$6:$W$10005,0)),IFERROR(INDEX('月1回_1ヶ月前の在庫'!$H$6:$H$10005,MATCH($C50,'月1回_1ヶ月前の在庫'!$W$6:$W$10005,0)),IFERROR(INDEX('月1回_2ヶ月前の在庫'!$H$6:$H$10005,MATCH($C50,'月1回_2ヶ月前の在庫'!$W$6:$W$10005,0)),""))),INDEX('商品マスタ'!$D$6:$D$1005,MATCH($C50,'商品マスタ'!$B$6:$B$1005,0))),IFERROR(INDEX('①在庫を貼る'!$H$6:$H$10005,MATCH($C50,'①在庫を貼る'!$W$6:$W$10005,0)),IFERROR(INDEX('月1回_1ヶ月前の在庫'!$H$6:$H$10005,MATCH($C50,'月1回_1ヶ月前の在庫'!$W$6:$W$10005,0)),IFERROR(INDEX('月1回_2ヶ月前の在庫'!$H$6:$H$10005,MATCH($C50,'月1回_2ヶ月前の在庫'!$W$6:$W$10005,0)),"")))))</f>
        <v/>
      </c>
      <c r="F50">
        <f>IF($C50="","",IFERROR(IF(INDEX('商品マスタ'!$E$6:$E$1005,MATCH($C50,'商品マスタ'!$B$6:$B$1005,0))="",IFERROR(INDEX('①在庫を貼る'!$E$6:$E$10005,MATCH($C50,'①在庫を貼る'!$W$6:$W$10005,0)),IFERROR(INDEX('月1回_1ヶ月前の在庫'!$E$6:$E$10005,MATCH($C50,'月1回_1ヶ月前の在庫'!$W$6:$W$10005,0)),IFERROR(INDEX('月1回_2ヶ月前の在庫'!$E$6:$E$10005,MATCH($C50,'月1回_2ヶ月前の在庫'!$W$6:$W$10005,0)),""))),INDEX('商品マスタ'!$E$6:$E$1005,MATCH($C50,'商品マスタ'!$B$6:$B$1005,0))),IFERROR(INDEX('①在庫を貼る'!$E$6:$E$10005,MATCH($C50,'①在庫を貼る'!$W$6:$W$10005,0)),IFERROR(INDEX('月1回_1ヶ月前の在庫'!$E$6:$E$10005,MATCH($C50,'月1回_1ヶ月前の在庫'!$W$6:$W$10005,0)),IFERROR(INDEX('月1回_2ヶ月前の在庫'!$E$6:$E$10005,MATCH($C50,'月1回_2ヶ月前の在庫'!$W$6:$W$10005,0)),"")))))</f>
        <v/>
      </c>
      <c r="G50">
        <f>IF($C50="","",MAX(1,N(IFERROR(IF(INDEX('商品マスタ'!$F$6:$F$1005,MATCH($C50,'商品マスタ'!$B$6:$B$1005,0))="",IF(COUNTIFS('①在庫を貼る'!$V$6:$V$10005,'設定'!$C$4,'①在庫を貼る'!$W$6:$W$10005,$C50)&gt;0,SUMIFS('①在庫を貼る'!$K$6:$K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K$6:$K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K$6:$K$10005,'月1回_2ヶ月前の在庫'!$V$6:$V$10005,'設定'!$C$4,'月1回_2ヶ月前の在庫'!$W$6:$W$10005,$C50)/COUNTIFS('月1回_2ヶ月前の在庫'!$V$6:$V$10005,'設定'!$C$4,'月1回_2ヶ月前の在庫'!$W$6:$W$10005,$C50),0))),INDEX('商品マスタ'!$F$6:$F$1005,MATCH($C50,'商品マスタ'!$B$6:$B$1005,0))),IF(COUNTIFS('①在庫を貼る'!$V$6:$V$10005,'設定'!$C$4,'①在庫を貼る'!$W$6:$W$10005,$C50)&gt;0,SUMIFS('①在庫を貼る'!$K$6:$K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K$6:$K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K$6:$K$10005,'月1回_2ヶ月前の在庫'!$V$6:$V$10005,'設定'!$C$4,'月1回_2ヶ月前の在庫'!$W$6:$W$10005,$C50)/COUNTIFS('月1回_2ヶ月前の在庫'!$V$6:$V$10005,'設定'!$C$4,'月1回_2ヶ月前の在庫'!$W$6:$W$10005,$C50),0)))))))</f>
        <v/>
      </c>
      <c r="H50">
        <f>IF($C50="","",N(IFERROR(IF(INDEX('商品マスタ'!$G$6:$G$1005,MATCH($C50,'商品マスタ'!$B$6:$B$1005,0))="",IF(COUNTIFS('①在庫を貼る'!$V$6:$V$10005,'設定'!$C$4,'①在庫を貼る'!$W$6:$W$10005,$C50)&gt;0,SUMIFS('①在庫を貼る'!$Q$6:$Q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Q$6:$Q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Q$6:$Q$10005,'月1回_2ヶ月前の在庫'!$V$6:$V$10005,'設定'!$C$4,'月1回_2ヶ月前の在庫'!$W$6:$W$10005,$C50)/COUNTIFS('月1回_2ヶ月前の在庫'!$V$6:$V$10005,'設定'!$C$4,'月1回_2ヶ月前の在庫'!$W$6:$W$10005,$C50),0))),INDEX('商品マスタ'!$G$6:$G$1005,MATCH($C50,'商品マスタ'!$B$6:$B$1005,0))),IF(COUNTIFS('①在庫を貼る'!$V$6:$V$10005,'設定'!$C$4,'①在庫を貼る'!$W$6:$W$10005,$C50)&gt;0,SUMIFS('①在庫を貼る'!$Q$6:$Q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Q$6:$Q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Q$6:$Q$10005,'月1回_2ヶ月前の在庫'!$V$6:$V$10005,'設定'!$C$4,'月1回_2ヶ月前の在庫'!$W$6:$W$10005,$C50)/COUNTIFS('月1回_2ヶ月前の在庫'!$V$6:$V$10005,'設定'!$C$4,'月1回_2ヶ月前の在庫'!$W$6:$W$10005,$C50),0))))))</f>
        <v/>
      </c>
      <c r="I50">
        <f>IF($C50="","",IF(COUNTIFS('①在庫を貼る'!$V$6:$V$10005,'設定'!$C$4,'①在庫を貼る'!$W$6:$W$10005,$C50)=0,"",SUMIFS('①在庫を貼る'!$N$6:$N$10005,'①在庫を貼る'!$V$6:$V$10005,'設定'!$C$4,'①在庫を貼る'!$W$6:$W$10005,$C50)))</f>
        <v/>
      </c>
      <c r="J50">
        <f>IF($C50="","",IF('②発注する'!$AD54="","",'②発注する'!$AD54))</f>
        <v/>
      </c>
      <c r="K50" s="90">
        <f>IF($C50="","",IF('②発注する'!$AE54="","",'②発注する'!$AE54))</f>
        <v/>
      </c>
      <c r="L50">
        <f>IF($C50="","",IF(AND(ISNUMBER($J50),ISNUMBER($K50),$K50&gt;='設定'!$C$6),$J50,N($I50)))</f>
        <v/>
      </c>
      <c r="M50">
        <f>IF($C50="","",IFERROR(IF(N(INDEX('商品マスタ'!$J$6:$J$1005,MATCH($C50,'商品マスタ'!$B$6:$B$1005,0)))&gt;0,INDEX('商品マスタ'!$J$6:$J$1005,MATCH($C50,'商品マスタ'!$B$6:$B$1005,0)),""),""))</f>
        <v/>
      </c>
      <c r="N50">
        <f>IF($C50="","",IFERROR(IF(N(INDEX('商品マスタ'!$H$6:$H$1005,MATCH($C50,'商品マスタ'!$B$6:$B$1005,0)))&gt;0,INDEX('商品マスタ'!$H$6:$H$1005,MATCH($C50,'商品マスタ'!$B$6:$B$1005,0)),""),""))</f>
        <v/>
      </c>
      <c r="O50">
        <f>IF($C50="","",IF($N50&lt;&gt;"",$N50*$G50,IF(N(IF(COUNTIFS('①在庫を貼る'!$V$6:$V$10005,'設定'!$C$4,'①在庫を貼る'!$W$6:$W$10005,$C50)&gt;0,SUMIFS('①在庫を貼る'!$O$6:$O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O$6:$O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O$6:$O$10005,'月1回_2ヶ月前の在庫'!$V$6:$V$10005,'設定'!$C$4,'月1回_2ヶ月前の在庫'!$W$6:$W$10005,$C50)/COUNTIFS('月1回_2ヶ月前の在庫'!$V$6:$V$10005,'設定'!$C$4,'月1回_2ヶ月前の在庫'!$W$6:$W$10005,$C50),0))))&gt;0,N(IF(COUNTIFS('①在庫を貼る'!$V$6:$V$10005,'設定'!$C$4,'①在庫を貼る'!$W$6:$W$10005,$C50)&gt;0,SUMIFS('①在庫を貼る'!$O$6:$O$10005,'①在庫を貼る'!$V$6:$V$10005,'設定'!$C$4,'①在庫を貼る'!$W$6:$W$10005,$C50)/COUNTIFS('①在庫を貼る'!$V$6:$V$10005,'設定'!$C$4,'①在庫を貼る'!$W$6:$W$10005,$C50),IF(COUNTIFS('月1回_1ヶ月前の在庫'!$V$6:$V$10005,'設定'!$C$4,'月1回_1ヶ月前の在庫'!$W$6:$W$10005,$C50)&gt;0,SUMIFS('月1回_1ヶ月前の在庫'!$O$6:$O$10005,'月1回_1ヶ月前の在庫'!$V$6:$V$10005,'設定'!$C$4,'月1回_1ヶ月前の在庫'!$W$6:$W$10005,$C50)/COUNTIFS('月1回_1ヶ月前の在庫'!$V$6:$V$10005,'設定'!$C$4,'月1回_1ヶ月前の在庫'!$W$6:$W$10005,$C50),IF(COUNTIFS('月1回_2ヶ月前の在庫'!$V$6:$V$10005,'設定'!$C$4,'月1回_2ヶ月前の在庫'!$W$6:$W$10005,$C50)&gt;0,SUMIFS('月1回_2ヶ月前の在庫'!$O$6:$O$10005,'月1回_2ヶ月前の在庫'!$V$6:$V$10005,'設定'!$C$4,'月1回_2ヶ月前の在庫'!$W$6:$W$10005,$C50)/COUNTIFS('月1回_2ヶ月前の在庫'!$V$6:$V$10005,'設定'!$C$4,'月1回_2ヶ月前の在庫'!$W$6:$W$10005,$C50),0)))),"")))</f>
        <v/>
      </c>
      <c r="P50" s="90">
        <f>IF($C50="","",IF('②発注する'!$I54="","",'②発注する'!$I54))</f>
        <v/>
      </c>
      <c r="Q50">
        <f>IF($C50="","",IF('②発注する'!$J54="","",'②発注する'!$J54))</f>
        <v/>
      </c>
      <c r="R50">
        <f>IF($C50="",0,IF(AND(ISNUMBER($P50),ISNUMBER($Q50)),MAX(0,$Q50)*$G50,0))</f>
        <v/>
      </c>
      <c r="S50" s="90">
        <f>IF($C50="","",IF('②発注する'!$M54="","",'②発注する'!$M54))</f>
        <v/>
      </c>
      <c r="T50">
        <f>IF($C50="","",IF('②発注する'!$N54="","",'②発注する'!$N54))</f>
        <v/>
      </c>
      <c r="U50">
        <f>IF($C50="",0,IF(AND(ISNUMBER($S50),ISNUMBER($T50)),MAX(0,$T50)*$G50,0))</f>
        <v/>
      </c>
      <c r="V50">
        <f>IF($C50="",0,IF($M50="",0,MAX(0,$M50)*MAX(0,V$4)/100))</f>
        <v/>
      </c>
      <c r="W50">
        <f>IF($C50="",0,IF($M50="",0,MAX(0,$M50)*MAX(0,W$4)/100))</f>
        <v/>
      </c>
      <c r="X50">
        <f>IF($C50="",0,IF($M50="",0,MAX(0,$M50)*MAX(0,X$4)/100))</f>
        <v/>
      </c>
      <c r="Y50">
        <f>IF($C50="",0,IF($M50="",0,MAX(0,$M50)*MAX(0,Y$4)/100))</f>
        <v/>
      </c>
      <c r="Z50">
        <f>IF($C50="",0,IF($M50="",0,MAX(0,$M50)*MAX(0,Z$4)/100))</f>
        <v/>
      </c>
      <c r="AA50">
        <f>IF($C50="",0,IF($M50="",0,MAX(0,$M50)*MAX(0,AA$4)/100))</f>
        <v/>
      </c>
      <c r="AB50">
        <f>IF($C50="",0,IF($M50="",0,MAX(0,$M50)*MAX(0,AB$4)/100))</f>
        <v/>
      </c>
      <c r="AC50">
        <f>IF($C50="",0,IF($M50="",0,MAX(0,$M50)*MAX(0,AC$4)/100))</f>
        <v/>
      </c>
      <c r="AD50">
        <f>IF($C50="",0,IF($M50="",0,MAX(0,$M50)*MAX(0,AD$4)/100))</f>
        <v/>
      </c>
      <c r="AE50">
        <f>IF($C50="",0,IF($M50="",0,MAX(0,$M50)*MAX(0,AE$4)/100))</f>
        <v/>
      </c>
      <c r="AF50">
        <f>IF($C50="",0,IF($M50="",0,MAX(0,$M50)*MAX(0,AF$4)/100))</f>
        <v/>
      </c>
      <c r="AG50">
        <f>IF($C50="",0,IF($M50="",0,MAX(0,$M50)*MAX(0,AG$4)/100))</f>
        <v/>
      </c>
      <c r="AH50">
        <f>IF($C50="",0,IF($M50="",0,MAX(0,$M50)*MAX(0,AH$4)/100))</f>
        <v/>
      </c>
      <c r="AI50">
        <f>IF($C50="",0,IF($M50="",0,MAX(0,$M50)*MAX(0,AI$4)/100))</f>
        <v/>
      </c>
      <c r="AJ50">
        <f>IF($C50="",0,MAX(0,MAX(0,N($L50))-$V50))</f>
        <v/>
      </c>
      <c r="AK50">
        <f>IF($C50="",0,MAX(0,$AJ50-$W50))</f>
        <v/>
      </c>
      <c r="AL50">
        <f>IF($C50="",0,MAX(0,$AK50-$X50))</f>
        <v/>
      </c>
      <c r="AM50">
        <f>IF($C50="",0,MAX(0,$AL50-$Y50))</f>
        <v/>
      </c>
      <c r="AN50">
        <f>IF($C50="",0,MAX(0,$AM50-$Z50))</f>
        <v/>
      </c>
      <c r="AO50">
        <f>IF($C50="",0,MAX(0,$AN50-$AA50))</f>
        <v/>
      </c>
      <c r="AP50">
        <f>IF($C50="",0,MAX(0,$AO50-$AB50))</f>
        <v/>
      </c>
      <c r="AQ50">
        <f>IF($C50="",0,MAX(0,$AP50-$AC50))</f>
        <v/>
      </c>
      <c r="AR50">
        <f>IF($C50="",0,MAX(0,$AQ50-$AD50))</f>
        <v/>
      </c>
      <c r="AS50">
        <f>IF($C50="",0,MAX(0,$AR50-$AE50))</f>
        <v/>
      </c>
      <c r="AT50">
        <f>IF($C50="",0,MAX(0,$AS50-$AF50))</f>
        <v/>
      </c>
      <c r="AU50">
        <f>IF($C50="",0,MAX(0,$AT50-$AG50))</f>
        <v/>
      </c>
      <c r="AV50">
        <f>IF($C50="",0,MAX(0,$AU50-$AH50))</f>
        <v/>
      </c>
      <c r="AW50">
        <f>IF($C50="",0,MAX(0,$AV50-$AI50))</f>
        <v/>
      </c>
      <c r="AX50">
        <f>IF($C50="",0,MAX(0,MAX(0,N($L50))+IF($P50=V$3,$R50,0)+IF($S50=V$3,$U50,0)-$V50))</f>
        <v/>
      </c>
      <c r="AY50">
        <f>IF($C50="",0,MAX(0,$AX50+IF($P50=W$3,$R50,0)+IF($S50=W$3,$U50,0)-$W50))</f>
        <v/>
      </c>
      <c r="AZ50">
        <f>IF($C50="",0,MAX(0,$AY50+IF($P50=X$3,$R50,0)+IF($S50=X$3,$U50,0)-$X50))</f>
        <v/>
      </c>
      <c r="BA50">
        <f>IF($C50="",0,MAX(0,$AZ50+IF($P50=Y$3,$R50,0)+IF($S50=Y$3,$U50,0)-$Y50))</f>
        <v/>
      </c>
      <c r="BB50">
        <f>IF($C50="",0,MAX(0,$BA50+IF($P50=Z$3,$R50,0)+IF($S50=Z$3,$U50,0)-$Z50))</f>
        <v/>
      </c>
      <c r="BC50">
        <f>IF($C50="",0,MAX(0,$BB50+IF($P50=AA$3,$R50,0)+IF($S50=AA$3,$U50,0)-$AA50))</f>
        <v/>
      </c>
      <c r="BD50">
        <f>IF($C50="",0,MAX(0,$BC50+IF($P50=AB$3,$R50,0)+IF($S50=AB$3,$U50,0)-$AB50))</f>
        <v/>
      </c>
      <c r="BE50">
        <f>IF($C50="",0,MAX(0,$BD50+IF($P50=AC$3,$R50,0)+IF($S50=AC$3,$U50,0)-$AC50))</f>
        <v/>
      </c>
      <c r="BF50">
        <f>IF($C50="",0,MAX(0,$BE50+IF($P50=AD$3,$R50,0)+IF($S50=AD$3,$U50,0)-$AD50))</f>
        <v/>
      </c>
      <c r="BG50">
        <f>IF($C50="",0,MAX(0,$BF50+IF($P50=AE$3,$R50,0)+IF($S50=AE$3,$U50,0)-$AE50))</f>
        <v/>
      </c>
      <c r="BH50">
        <f>IF($C50="",0,MAX(0,$BG50+IF($P50=AF$3,$R50,0)+IF($S50=AF$3,$U50,0)-$AF50))</f>
        <v/>
      </c>
      <c r="BI50">
        <f>IF($C50="",0,MAX(0,$BH50+IF($P50=AG$3,$R50,0)+IF($S50=AG$3,$U50,0)-$AG50))</f>
        <v/>
      </c>
      <c r="BJ50">
        <f>IF($C50="",0,MAX(0,$BI50+IF($P50=AH$3,$R50,0)+IF($S50=AH$3,$U50,0)-$AH50))</f>
        <v/>
      </c>
      <c r="BK50">
        <f>IF($C50="",0,MAX(0,$BJ50+IF($P50=AI$3,$R50,0)+IF($S50=AI$3,$U50,0)-$AI50))</f>
        <v/>
      </c>
      <c r="BL50">
        <f>IF($C50="",99,IF(AND($AX50&lt;1,V$3&gt;=MAX(N($P50),N($S50))),0,99))</f>
        <v/>
      </c>
      <c r="BM50">
        <f>IF($C50="",99,IF(AND($AY50&lt;1,W$3&gt;=MAX(N($P50),N($S50))),1,99))</f>
        <v/>
      </c>
      <c r="BN50">
        <f>IF($C50="",99,IF(AND($AZ50&lt;1,X$3&gt;=MAX(N($P50),N($S50))),2,99))</f>
        <v/>
      </c>
      <c r="BO50">
        <f>IF($C50="",99,IF(AND($BA50&lt;1,Y$3&gt;=MAX(N($P50),N($S50))),3,99))</f>
        <v/>
      </c>
      <c r="BP50">
        <f>IF($C50="",99,IF(AND($BB50&lt;1,Z$3&gt;=MAX(N($P50),N($S50))),4,99))</f>
        <v/>
      </c>
      <c r="BQ50">
        <f>IF($C50="",99,IF(AND($BC50&lt;1,AA$3&gt;=MAX(N($P50),N($S50))),5,99))</f>
        <v/>
      </c>
      <c r="BR50">
        <f>IF($C50="",99,IF(AND($BD50&lt;1,AB$3&gt;=MAX(N($P50),N($S50))),6,99))</f>
        <v/>
      </c>
      <c r="BS50">
        <f>IF($C50="",99,IF(AND($BE50&lt;1,AC$3&gt;=MAX(N($P50),N($S50))),7,99))</f>
        <v/>
      </c>
      <c r="BT50">
        <f>IF($C50="",99,IF(AND($BF50&lt;1,AD$3&gt;=MAX(N($P50),N($S50))),8,99))</f>
        <v/>
      </c>
      <c r="BU50">
        <f>IF($C50="",99,IF(AND($BG50&lt;1,AE$3&gt;=MAX(N($P50),N($S50))),9,99))</f>
        <v/>
      </c>
      <c r="BV50">
        <f>IF($C50="",99,IF(AND($BH50&lt;1,AF$3&gt;=MAX(N($P50),N($S50))),10,99))</f>
        <v/>
      </c>
      <c r="BW50">
        <f>IF($C50="",99,IF(AND($BI50&lt;1,AG$3&gt;=MAX(N($P50),N($S50))),11,99))</f>
        <v/>
      </c>
      <c r="BX50">
        <f>IF($C50="",99,IF(AND($BJ50&lt;1,AH$3&gt;=MAX(N($P50),N($S50))),12,99))</f>
        <v/>
      </c>
      <c r="BY50">
        <f>IF($C50="",99,IF(AND($BK50&lt;1,AI$3&gt;=MAX(N($P50),N($S50))),13,99))</f>
        <v/>
      </c>
      <c r="BZ50">
        <f>IF(OR($C50="",$M50=""),"",COUNTIF($AJ50:$AW50,"&gt;=1"))</f>
        <v/>
      </c>
      <c r="CA50" s="90">
        <f>IF($BZ50="","",IF($BZ50&gt;=14,"",'設定'!$C$6+$BZ50))</f>
        <v/>
      </c>
      <c r="CB50">
        <f>IF(OR($C50="",$M50=""),"",MIN($BL50:$BY50))</f>
        <v/>
      </c>
      <c r="CC50" s="90">
        <f>IF($CB50="","",IF($CB50&gt;=99,"",'設定'!$C$6+$CB50))</f>
        <v/>
      </c>
      <c r="CD50">
        <f>IF(OR($C50="",$M50=""),"",AVERAGE($V50:$AI50))</f>
        <v/>
      </c>
      <c r="CE50">
        <f>IF($C50="","",IFERROR(IF(MATCH(IF(ISNUMBER($P50),$P50,'設定'!$C$6+N('設定'!$C$7)),$V$3:$AI$3,0)=1,MAX(0,N($L50)),INDEX($AJ50:$AW50,MATCH(IF(ISNUMBER($P50),$P50,'設定'!$C$6+N('設定'!$C$7)),$V$3:$AI$3,0)-1)),""))</f>
        <v/>
      </c>
      <c r="CF50">
        <f>IF(OR($C50="",$O50="",$CE50=""),"",IF($O50-$CE50&lt;=0,0,ROUNDUP(($O50-$CE50)/$G50,0)))</f>
        <v/>
      </c>
      <c r="CG50">
        <f>IF(OR($C50="",$CF50="",NOT(ISNUMBER($Q50))),0,MAX(0,$Q50-$CF50))</f>
        <v/>
      </c>
      <c r="CH50">
        <f>IF(OR($C50="",$O50="",$U50=0),0,IFERROR(ROUNDUP(MAX(0,IF(MATCH($S50,$V$3:$AI$3,0)=1,MAX(0,N($L50)),INDEX($AX50:$BK50,MATCH($S50,$V$3:$AI$3,0)-1))+$U50-$O50)/$G50,0),0))</f>
        <v/>
      </c>
      <c r="CI50">
        <f>IF($C50="","",IF(AND($P50="",$Q50=""),"",IF($P50="","⚠ 入庫日を ▼ から選んでください",IF(NOT(ISNUMBER($P50)),"⚠ 入庫日は ▼ から選んでください",IF($P50&lt;N('設定'!$C$6),"⚠ 入庫日が過去です（もう在庫に入っています）→ 消してください",IF($P50&gt;N('設定'!$C$6)+13,"⚠ 入庫日が14日より先です",IF(N($Q50)&lt;=0,"⚠ 入庫数を入れてください",IF($CG50&gt;0,"⚠ 目安より "&amp;$CG50&amp;" 多い（定数を超える）→ 減らす",""))))))))</f>
        <v/>
      </c>
      <c r="CJ50">
        <f>IF($C50="","",IF(AND($S50="",$T50=""),"",IF($S50="","⚠ 2便目：入庫日を ▼ から選んでください",IF(NOT(ISNUMBER($S50)),"⚠ 2便目：入庫日は ▼ から選んでください",IF($S50&lt;N('設定'!$C$6),"⚠ 2便目：入庫日が過去です（もう在庫に入っています）→ 消してください",IF($S50&gt;N('設定'!$C$6)+13,"⚠ 2便目：入庫日が14日より先です",IF(N($T50)&lt;=0,"⚠ 2便目：入庫数を入れてください",IF($CH50&gt;0,"⚠ 2便目：定数を "&amp;$CH50&amp;" ケース超える → 減らす",""))))))))</f>
        <v/>
      </c>
      <c r="CK50">
        <f>IF(AND($CI50="",N($Q50)&gt;0,ISNUMBER($P50)),1,0)</f>
        <v/>
      </c>
      <c r="CL50">
        <f>IF(AND($CJ50="",N($T50)&gt;0,ISNUMBER($S50)),1,0)</f>
        <v/>
      </c>
      <c r="CM50">
        <f>IF(OR($CK50=1,$CL50=1),1,0)</f>
        <v/>
      </c>
      <c r="CN50">
        <f>IF($C50="",0,($CK50*$R50+$CL50*$U50)*N($H50))</f>
        <v/>
      </c>
      <c r="CO50">
        <f>IF($C50="","",IF($CC50="","入庫後は 14日以上もつ",IF($CC50-N('設定'!$C$7)&lt;='設定'!$C$6,"入庫後も "&amp;TEXT($CC50,"m/d")&amp;"("&amp;CHOOSE(WEEKDAY($CC50),"日","月","火","水","木","金","土")&amp;")"&amp;" に切れる　もう1便を至急発注","入庫後も "&amp;TEXT($CC50,"m/d")&amp;"("&amp;CHOOSE(WEEKDAY($CC50),"日","月","火","水","木","金","土")&amp;")"&amp;" に切れる　"&amp;TEXT($CC50-N('設定'!$C$7),"m/d")&amp;"("&amp;CHOOSE(WEEKDAY($CC50-N('設定'!$C$7)),"日","月","火","水","木","金","土")&amp;")"&amp;" までに次を発注")))</f>
        <v/>
      </c>
      <c r="CP50">
        <f>IF($C50="","",IF('設定'!$C$6="","？ ①在庫を貼る に今日のCSVが貼られていない",IF($CS50=1,"－ 今日のCSVに無い（終売？）",IF($L50&lt;0,"● 在庫がマイナス　数えて「数えた在庫」に入れる",IF($L50=0,"● 在庫なし　至急発注",IF($M50="","？ 減り数が未設定（商品マスタ）",IF($B$3=0,"？ 動員が未入力（動員を入れる）",IF($CA50="","○ 14日以上もつ",IF($BZ50&lt;N('設定'!$C$7),"● "&amp;TEXT($CA50,"m/d")&amp;"("&amp;CHOOSE(WEEKDAY($CA50),"日","月","火","水","木","金","土")&amp;")"&amp;" に切れる　至急発注",IF($BZ50=N('設定'!$C$7),"● "&amp;TEXT($CA50,"m/d")&amp;"("&amp;CHOOSE(WEEKDAY($CA50),"日","月","火","水","木","金","土")&amp;")"&amp;" に切れる　今日発注","△ "&amp;TEXT($CA50,"m/d")&amp;"("&amp;CHOOSE(WEEKDAY($CA50),"日","月","火","水","木","金","土")&amp;")"&amp;" に切れる　"&amp;TEXT($CA50-N('設定'!$C$7),"m/d")&amp;"("&amp;CHOOSE(WEEKDAY($CA50-N('設定'!$C$7)),"日","月","火","水","木","金","土")&amp;")"&amp;" までに発注"))))))))))</f>
        <v/>
      </c>
      <c r="CQ50">
        <f>IF($C50="","",IF(AND($P50="",$Q50="",$S50="",$T50=""),"",IF(AND($P50="",$Q50=""),"⚠ 先に1便目（左の入庫日・入庫数）に入れてください",IF($CI50&lt;&gt;"",$CI50,IF($CJ50&lt;&gt;"",$CJ50,IF($M50="","？ 減り数が未設定（発注書には載ります）",IF($B$3=0,"？ 動員が未入力（発注書には載ります）",IF(AND($CA50&lt;&gt;"",$P50&gt;$CA50),IF($P50&gt;'設定'!$C$6+N('設定'!$C$7),"● "&amp;TEXT($P50,"m/d")&amp;"("&amp;CHOOSE(WEEKDAY($P50),"日","月","火","水","木","金","土")&amp;")"&amp;" の入庫では間に合わない（"&amp;TEXT($CA50,"m/d")&amp;"("&amp;CHOOSE(WEEKDAY($CA50),"日","月","火","水","木","金","土")&amp;")"&amp;" に切れる）　入庫日を早める","△ 欠品 "&amp;TEXT($CA50,"m/d")&amp;"("&amp;CHOOSE(WEEKDAY($CA50),"日","月","火","水","木","金","土")&amp;")"&amp;"〜"&amp;TEXT($P50-1,"m/d")&amp;"("&amp;CHOOSE(WEEKDAY($P50-1),"日","月","火","水","木","金","土")&amp;")"&amp;"　"&amp;$CO50),IF($CC50="","○ "&amp;TEXT($P50,"m/d")&amp;"("&amp;CHOOSE(WEEKDAY($P50),"日","月","火","水","木","金","土")&amp;")"&amp;" 入庫で 14日以上もつ",IF($CC50-N('設定'!$C$7)&lt;='設定'!$C$6,"● 入庫しても "&amp;TEXT($CC50,"m/d")&amp;"("&amp;CHOOSE(WEEKDAY($CC50),"日","月","火","水","木","金","土")&amp;")"&amp;" に切れる　もう1便を至急発注（2便目に入れる）","△ 入庫しても "&amp;TEXT($CC50,"m/d")&amp;"("&amp;CHOOSE(WEEKDAY($CC50),"日","月","火","水","木","金","土")&amp;")"&amp;" に切れる　"&amp;TEXT($CC50-N('設定'!$C$7),"m/d")&amp;"("&amp;CHOOSE(WEEKDAY($CC50-N('設定'!$C$7)),"日","月","火","水","木","金","土")&amp;")"&amp;" までに次を発注（2便目に入れる）"))))))))))</f>
        <v/>
      </c>
      <c r="CR50">
        <f>IF($C50="","",IF($G50&gt;1,"ｹｰｽ("&amp;$G50&amp;"入)","個"))</f>
        <v/>
      </c>
      <c r="CS50">
        <f>IF($C50="",0,IF(COUNTIFS('①在庫を貼る'!$V$6:$V$10005,'設定'!$C$4,'①在庫を貼る'!$W$6:$W$10005,$C50)=0,1,0))</f>
        <v/>
      </c>
      <c r="CT50">
        <f>IF(AND($CK50=1,OR('③発注書'!$C$4="すべて",'③発注書'!$C$4="",$F50='③発注書'!$C$4)),N($CT49)+1,N($CT49))</f>
        <v/>
      </c>
      <c r="CU50">
        <f>IF(AND($CL50=1,OR('③発注書'!$C$4="すべて",'③発注書'!$C$4="",$F50='③発注書'!$C$4)),N($CU49)+1,N($CU49))</f>
        <v/>
      </c>
      <c r="CV50">
        <f>IF($C50="",0,IF(COUNTIFS('①在庫を貼る'!$V$6:$V$10005,'設定'!$C$4,'①在庫を貼る'!$W$6:$W$10005,$C50)&gt;0,1,0))</f>
        <v/>
      </c>
      <c r="CW50">
        <f>IF($C50="",0,IF(COUNTIFS('月1回_1ヶ月前の在庫'!$V$6:$V$10005,'設定'!$C$4,'月1回_1ヶ月前の在庫'!$W$6:$W$10005,$C50)&gt;0,1,0))</f>
        <v/>
      </c>
      <c r="CX50">
        <f>IF($C50="",0,IF(COUNTIFS('月1回_2ヶ月前の在庫'!$V$6:$V$10005,'設定'!$C$4,'月1回_2ヶ月前の在庫'!$W$6:$W$10005,$C50)&gt;0,1,0))</f>
        <v/>
      </c>
      <c r="CY50">
        <f>IF(OR($C50="",'設定'!$C$12=""),"",IF('設定'!$C$13="",IF(AND($CV50=1,$CW50=0),"新商品（今月から）",IF(AND($CV50=0,$CW50=1),"終売（今月から）","")),IF(AND($CV50=1,$CW50=0,$CX50=0),"新商品（今月から）",IF(AND($CV50=1,$CW50=1,$CX50=0),"新商品（先月から）",IF(AND($CV50=0,$CW50=1,$CX50=1),"終売（今月から）",IF(AND($CV50=0,$CW50=0,$CX50=1),"終売（先月から）",IF(AND($CV50=1,$CW50=0,$CX50=1),"復活（先月は無し）","")))))))</f>
        <v/>
      </c>
    </row>
    <row r="51">
      <c r="B51">
        <f>IF(46&lt;='設定'!$C$11,46,"")</f>
        <v/>
      </c>
      <c r="C51">
        <f>IF($B51="","",IF($B51&lt;='設定'!$C$20,INDEX('商品マスタ'!$B$6:$B$1005,MATCH($B51,'商品マスタ'!$M$6:$M$1005,0)),IF($B51&lt;='設定'!$C$20+'設定'!$C$17,INDEX('①在庫を貼る'!$W$6:$W$10005,MATCH($B51-'設定'!$C$20,'①在庫を貼る'!$U$6:$U$10005,0)),IF($B51&lt;='設定'!$C$20+'設定'!$C$17+'設定'!$C$18,INDEX('月1回_1ヶ月前の在庫'!$W$6:$W$10005,MATCH($B51-'設定'!$C$20-'設定'!$C$17,'月1回_1ヶ月前の在庫'!$U$6:$U$10005,0)),INDEX('月1回_2ヶ月前の在庫'!$W$6:$W$10005,MATCH($B51-'設定'!$C$20-'設定'!$C$17-'設定'!$C$18,'月1回_2ヶ月前の在庫'!$U$6:$U$10005,0))))))</f>
        <v/>
      </c>
      <c r="D51">
        <f>IF($C51="","",IFERROR(IF(INDEX('商品マスタ'!$C$6:$C$1005,MATCH($C51,'商品マスタ'!$B$6:$B$1005,0))="",IFERROR(INDEX('①在庫を貼る'!$J$6:$J$10005,MATCH($C51,'①在庫を貼る'!$W$6:$W$10005,0)),IFERROR(INDEX('月1回_1ヶ月前の在庫'!$J$6:$J$10005,MATCH($C51,'月1回_1ヶ月前の在庫'!$W$6:$W$10005,0)),IFERROR(INDEX('月1回_2ヶ月前の在庫'!$J$6:$J$10005,MATCH($C51,'月1回_2ヶ月前の在庫'!$W$6:$W$10005,0)),""))),INDEX('商品マスタ'!$C$6:$C$1005,MATCH($C51,'商品マスタ'!$B$6:$B$1005,0))),IFERROR(INDEX('①在庫を貼る'!$J$6:$J$10005,MATCH($C51,'①在庫を貼る'!$W$6:$W$10005,0)),IFERROR(INDEX('月1回_1ヶ月前の在庫'!$J$6:$J$10005,MATCH($C51,'月1回_1ヶ月前の在庫'!$W$6:$W$10005,0)),IFERROR(INDEX('月1回_2ヶ月前の在庫'!$J$6:$J$10005,MATCH($C51,'月1回_2ヶ月前の在庫'!$W$6:$W$10005,0)),"")))))</f>
        <v/>
      </c>
      <c r="E51">
        <f>IF($C51="","",IFERROR(IF(INDEX('商品マスタ'!$D$6:$D$1005,MATCH($C51,'商品マスタ'!$B$6:$B$1005,0))="",IFERROR(INDEX('①在庫を貼る'!$H$6:$H$10005,MATCH($C51,'①在庫を貼る'!$W$6:$W$10005,0)),IFERROR(INDEX('月1回_1ヶ月前の在庫'!$H$6:$H$10005,MATCH($C51,'月1回_1ヶ月前の在庫'!$W$6:$W$10005,0)),IFERROR(INDEX('月1回_2ヶ月前の在庫'!$H$6:$H$10005,MATCH($C51,'月1回_2ヶ月前の在庫'!$W$6:$W$10005,0)),""))),INDEX('商品マスタ'!$D$6:$D$1005,MATCH($C51,'商品マスタ'!$B$6:$B$1005,0))),IFERROR(INDEX('①在庫を貼る'!$H$6:$H$10005,MATCH($C51,'①在庫を貼る'!$W$6:$W$10005,0)),IFERROR(INDEX('月1回_1ヶ月前の在庫'!$H$6:$H$10005,MATCH($C51,'月1回_1ヶ月前の在庫'!$W$6:$W$10005,0)),IFERROR(INDEX('月1回_2ヶ月前の在庫'!$H$6:$H$10005,MATCH($C51,'月1回_2ヶ月前の在庫'!$W$6:$W$10005,0)),"")))))</f>
        <v/>
      </c>
      <c r="F51">
        <f>IF($C51="","",IFERROR(IF(INDEX('商品マスタ'!$E$6:$E$1005,MATCH($C51,'商品マスタ'!$B$6:$B$1005,0))="",IFERROR(INDEX('①在庫を貼る'!$E$6:$E$10005,MATCH($C51,'①在庫を貼る'!$W$6:$W$10005,0)),IFERROR(INDEX('月1回_1ヶ月前の在庫'!$E$6:$E$10005,MATCH($C51,'月1回_1ヶ月前の在庫'!$W$6:$W$10005,0)),IFERROR(INDEX('月1回_2ヶ月前の在庫'!$E$6:$E$10005,MATCH($C51,'月1回_2ヶ月前の在庫'!$W$6:$W$10005,0)),""))),INDEX('商品マスタ'!$E$6:$E$1005,MATCH($C51,'商品マスタ'!$B$6:$B$1005,0))),IFERROR(INDEX('①在庫を貼る'!$E$6:$E$10005,MATCH($C51,'①在庫を貼る'!$W$6:$W$10005,0)),IFERROR(INDEX('月1回_1ヶ月前の在庫'!$E$6:$E$10005,MATCH($C51,'月1回_1ヶ月前の在庫'!$W$6:$W$10005,0)),IFERROR(INDEX('月1回_2ヶ月前の在庫'!$E$6:$E$10005,MATCH($C51,'月1回_2ヶ月前の在庫'!$W$6:$W$10005,0)),"")))))</f>
        <v/>
      </c>
      <c r="G51">
        <f>IF($C51="","",MAX(1,N(IFERROR(IF(INDEX('商品マスタ'!$F$6:$F$1005,MATCH($C51,'商品マスタ'!$B$6:$B$1005,0))="",IF(COUNTIFS('①在庫を貼る'!$V$6:$V$10005,'設定'!$C$4,'①在庫を貼る'!$W$6:$W$10005,$C51)&gt;0,SUMIFS('①在庫を貼る'!$K$6:$K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K$6:$K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K$6:$K$10005,'月1回_2ヶ月前の在庫'!$V$6:$V$10005,'設定'!$C$4,'月1回_2ヶ月前の在庫'!$W$6:$W$10005,$C51)/COUNTIFS('月1回_2ヶ月前の在庫'!$V$6:$V$10005,'設定'!$C$4,'月1回_2ヶ月前の在庫'!$W$6:$W$10005,$C51),0))),INDEX('商品マスタ'!$F$6:$F$1005,MATCH($C51,'商品マスタ'!$B$6:$B$1005,0))),IF(COUNTIFS('①在庫を貼る'!$V$6:$V$10005,'設定'!$C$4,'①在庫を貼る'!$W$6:$W$10005,$C51)&gt;0,SUMIFS('①在庫を貼る'!$K$6:$K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K$6:$K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K$6:$K$10005,'月1回_2ヶ月前の在庫'!$V$6:$V$10005,'設定'!$C$4,'月1回_2ヶ月前の在庫'!$W$6:$W$10005,$C51)/COUNTIFS('月1回_2ヶ月前の在庫'!$V$6:$V$10005,'設定'!$C$4,'月1回_2ヶ月前の在庫'!$W$6:$W$10005,$C51),0)))))))</f>
        <v/>
      </c>
      <c r="H51">
        <f>IF($C51="","",N(IFERROR(IF(INDEX('商品マスタ'!$G$6:$G$1005,MATCH($C51,'商品マスタ'!$B$6:$B$1005,0))="",IF(COUNTIFS('①在庫を貼る'!$V$6:$V$10005,'設定'!$C$4,'①在庫を貼る'!$W$6:$W$10005,$C51)&gt;0,SUMIFS('①在庫を貼る'!$Q$6:$Q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Q$6:$Q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Q$6:$Q$10005,'月1回_2ヶ月前の在庫'!$V$6:$V$10005,'設定'!$C$4,'月1回_2ヶ月前の在庫'!$W$6:$W$10005,$C51)/COUNTIFS('月1回_2ヶ月前の在庫'!$V$6:$V$10005,'設定'!$C$4,'月1回_2ヶ月前の在庫'!$W$6:$W$10005,$C51),0))),INDEX('商品マスタ'!$G$6:$G$1005,MATCH($C51,'商品マスタ'!$B$6:$B$1005,0))),IF(COUNTIFS('①在庫を貼る'!$V$6:$V$10005,'設定'!$C$4,'①在庫を貼る'!$W$6:$W$10005,$C51)&gt;0,SUMIFS('①在庫を貼る'!$Q$6:$Q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Q$6:$Q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Q$6:$Q$10005,'月1回_2ヶ月前の在庫'!$V$6:$V$10005,'設定'!$C$4,'月1回_2ヶ月前の在庫'!$W$6:$W$10005,$C51)/COUNTIFS('月1回_2ヶ月前の在庫'!$V$6:$V$10005,'設定'!$C$4,'月1回_2ヶ月前の在庫'!$W$6:$W$10005,$C51),0))))))</f>
        <v/>
      </c>
      <c r="I51">
        <f>IF($C51="","",IF(COUNTIFS('①在庫を貼る'!$V$6:$V$10005,'設定'!$C$4,'①在庫を貼る'!$W$6:$W$10005,$C51)=0,"",SUMIFS('①在庫を貼る'!$N$6:$N$10005,'①在庫を貼る'!$V$6:$V$10005,'設定'!$C$4,'①在庫を貼る'!$W$6:$W$10005,$C51)))</f>
        <v/>
      </c>
      <c r="J51">
        <f>IF($C51="","",IF('②発注する'!$AD55="","",'②発注する'!$AD55))</f>
        <v/>
      </c>
      <c r="K51" s="90">
        <f>IF($C51="","",IF('②発注する'!$AE55="","",'②発注する'!$AE55))</f>
        <v/>
      </c>
      <c r="L51">
        <f>IF($C51="","",IF(AND(ISNUMBER($J51),ISNUMBER($K51),$K51&gt;='設定'!$C$6),$J51,N($I51)))</f>
        <v/>
      </c>
      <c r="M51">
        <f>IF($C51="","",IFERROR(IF(N(INDEX('商品マスタ'!$J$6:$J$1005,MATCH($C51,'商品マスタ'!$B$6:$B$1005,0)))&gt;0,INDEX('商品マスタ'!$J$6:$J$1005,MATCH($C51,'商品マスタ'!$B$6:$B$1005,0)),""),""))</f>
        <v/>
      </c>
      <c r="N51">
        <f>IF($C51="","",IFERROR(IF(N(INDEX('商品マスタ'!$H$6:$H$1005,MATCH($C51,'商品マスタ'!$B$6:$B$1005,0)))&gt;0,INDEX('商品マスタ'!$H$6:$H$1005,MATCH($C51,'商品マスタ'!$B$6:$B$1005,0)),""),""))</f>
        <v/>
      </c>
      <c r="O51">
        <f>IF($C51="","",IF($N51&lt;&gt;"",$N51*$G51,IF(N(IF(COUNTIFS('①在庫を貼る'!$V$6:$V$10005,'設定'!$C$4,'①在庫を貼る'!$W$6:$W$10005,$C51)&gt;0,SUMIFS('①在庫を貼る'!$O$6:$O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O$6:$O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O$6:$O$10005,'月1回_2ヶ月前の在庫'!$V$6:$V$10005,'設定'!$C$4,'月1回_2ヶ月前の在庫'!$W$6:$W$10005,$C51)/COUNTIFS('月1回_2ヶ月前の在庫'!$V$6:$V$10005,'設定'!$C$4,'月1回_2ヶ月前の在庫'!$W$6:$W$10005,$C51),0))))&gt;0,N(IF(COUNTIFS('①在庫を貼る'!$V$6:$V$10005,'設定'!$C$4,'①在庫を貼る'!$W$6:$W$10005,$C51)&gt;0,SUMIFS('①在庫を貼る'!$O$6:$O$10005,'①在庫を貼る'!$V$6:$V$10005,'設定'!$C$4,'①在庫を貼る'!$W$6:$W$10005,$C51)/COUNTIFS('①在庫を貼る'!$V$6:$V$10005,'設定'!$C$4,'①在庫を貼る'!$W$6:$W$10005,$C51),IF(COUNTIFS('月1回_1ヶ月前の在庫'!$V$6:$V$10005,'設定'!$C$4,'月1回_1ヶ月前の在庫'!$W$6:$W$10005,$C51)&gt;0,SUMIFS('月1回_1ヶ月前の在庫'!$O$6:$O$10005,'月1回_1ヶ月前の在庫'!$V$6:$V$10005,'設定'!$C$4,'月1回_1ヶ月前の在庫'!$W$6:$W$10005,$C51)/COUNTIFS('月1回_1ヶ月前の在庫'!$V$6:$V$10005,'設定'!$C$4,'月1回_1ヶ月前の在庫'!$W$6:$W$10005,$C51),IF(COUNTIFS('月1回_2ヶ月前の在庫'!$V$6:$V$10005,'設定'!$C$4,'月1回_2ヶ月前の在庫'!$W$6:$W$10005,$C51)&gt;0,SUMIFS('月1回_2ヶ月前の在庫'!$O$6:$O$10005,'月1回_2ヶ月前の在庫'!$V$6:$V$10005,'設定'!$C$4,'月1回_2ヶ月前の在庫'!$W$6:$W$10005,$C51)/COUNTIFS('月1回_2ヶ月前の在庫'!$V$6:$V$10005,'設定'!$C$4,'月1回_2ヶ月前の在庫'!$W$6:$W$10005,$C51),0)))),"")))</f>
        <v/>
      </c>
      <c r="P51" s="90">
        <f>IF($C51="","",IF('②発注する'!$I55="","",'②発注する'!$I55))</f>
        <v/>
      </c>
      <c r="Q51">
        <f>IF($C51="","",IF('②発注する'!$J55="","",'②発注する'!$J55))</f>
        <v/>
      </c>
      <c r="R51">
        <f>IF($C51="",0,IF(AND(ISNUMBER($P51),ISNUMBER($Q51)),MAX(0,$Q51)*$G51,0))</f>
        <v/>
      </c>
      <c r="S51" s="90">
        <f>IF($C51="","",IF('②発注する'!$M55="","",'②発注する'!$M55))</f>
        <v/>
      </c>
      <c r="T51">
        <f>IF($C51="","",IF('②発注する'!$N55="","",'②発注する'!$N55))</f>
        <v/>
      </c>
      <c r="U51">
        <f>IF($C51="",0,IF(AND(ISNUMBER($S51),ISNUMBER($T51)),MAX(0,$T51)*$G51,0))</f>
        <v/>
      </c>
      <c r="V51">
        <f>IF($C51="",0,IF($M51="",0,MAX(0,$M51)*MAX(0,V$4)/100))</f>
        <v/>
      </c>
      <c r="W51">
        <f>IF($C51="",0,IF($M51="",0,MAX(0,$M51)*MAX(0,W$4)/100))</f>
        <v/>
      </c>
      <c r="X51">
        <f>IF($C51="",0,IF($M51="",0,MAX(0,$M51)*MAX(0,X$4)/100))</f>
        <v/>
      </c>
      <c r="Y51">
        <f>IF($C51="",0,IF($M51="",0,MAX(0,$M51)*MAX(0,Y$4)/100))</f>
        <v/>
      </c>
      <c r="Z51">
        <f>IF($C51="",0,IF($M51="",0,MAX(0,$M51)*MAX(0,Z$4)/100))</f>
        <v/>
      </c>
      <c r="AA51">
        <f>IF($C51="",0,IF($M51="",0,MAX(0,$M51)*MAX(0,AA$4)/100))</f>
        <v/>
      </c>
      <c r="AB51">
        <f>IF($C51="",0,IF($M51="",0,MAX(0,$M51)*MAX(0,AB$4)/100))</f>
        <v/>
      </c>
      <c r="AC51">
        <f>IF($C51="",0,IF($M51="",0,MAX(0,$M51)*MAX(0,AC$4)/100))</f>
        <v/>
      </c>
      <c r="AD51">
        <f>IF($C51="",0,IF($M51="",0,MAX(0,$M51)*MAX(0,AD$4)/100))</f>
        <v/>
      </c>
      <c r="AE51">
        <f>IF($C51="",0,IF($M51="",0,MAX(0,$M51)*MAX(0,AE$4)/100))</f>
        <v/>
      </c>
      <c r="AF51">
        <f>IF($C51="",0,IF($M51="",0,MAX(0,$M51)*MAX(0,AF$4)/100))</f>
        <v/>
      </c>
      <c r="AG51">
        <f>IF($C51="",0,IF($M51="",0,MAX(0,$M51)*MAX(0,AG$4)/100))</f>
        <v/>
      </c>
      <c r="AH51">
        <f>IF($C51="",0,IF($M51="",0,MAX(0,$M51)*MAX(0,AH$4)/100))</f>
        <v/>
      </c>
      <c r="AI51">
        <f>IF($C51="",0,IF($M51="",0,MAX(0,$M51)*MAX(0,AI$4)/100))</f>
        <v/>
      </c>
      <c r="AJ51">
        <f>IF($C51="",0,MAX(0,MAX(0,N($L51))-$V51))</f>
        <v/>
      </c>
      <c r="AK51">
        <f>IF($C51="",0,MAX(0,$AJ51-$W51))</f>
        <v/>
      </c>
      <c r="AL51">
        <f>IF($C51="",0,MAX(0,$AK51-$X51))</f>
        <v/>
      </c>
      <c r="AM51">
        <f>IF($C51="",0,MAX(0,$AL51-$Y51))</f>
        <v/>
      </c>
      <c r="AN51">
        <f>IF($C51="",0,MAX(0,$AM51-$Z51))</f>
        <v/>
      </c>
      <c r="AO51">
        <f>IF($C51="",0,MAX(0,$AN51-$AA51))</f>
        <v/>
      </c>
      <c r="AP51">
        <f>IF($C51="",0,MAX(0,$AO51-$AB51))</f>
        <v/>
      </c>
      <c r="AQ51">
        <f>IF($C51="",0,MAX(0,$AP51-$AC51))</f>
        <v/>
      </c>
      <c r="AR51">
        <f>IF($C51="",0,MAX(0,$AQ51-$AD51))</f>
        <v/>
      </c>
      <c r="AS51">
        <f>IF($C51="",0,MAX(0,$AR51-$AE51))</f>
        <v/>
      </c>
      <c r="AT51">
        <f>IF($C51="",0,MAX(0,$AS51-$AF51))</f>
        <v/>
      </c>
      <c r="AU51">
        <f>IF($C51="",0,MAX(0,$AT51-$AG51))</f>
        <v/>
      </c>
      <c r="AV51">
        <f>IF($C51="",0,MAX(0,$AU51-$AH51))</f>
        <v/>
      </c>
      <c r="AW51">
        <f>IF($C51="",0,MAX(0,$AV51-$AI51))</f>
        <v/>
      </c>
      <c r="AX51">
        <f>IF($C51="",0,MAX(0,MAX(0,N($L51))+IF($P51=V$3,$R51,0)+IF($S51=V$3,$U51,0)-$V51))</f>
        <v/>
      </c>
      <c r="AY51">
        <f>IF($C51="",0,MAX(0,$AX51+IF($P51=W$3,$R51,0)+IF($S51=W$3,$U51,0)-$W51))</f>
        <v/>
      </c>
      <c r="AZ51">
        <f>IF($C51="",0,MAX(0,$AY51+IF($P51=X$3,$R51,0)+IF($S51=X$3,$U51,0)-$X51))</f>
        <v/>
      </c>
      <c r="BA51">
        <f>IF($C51="",0,MAX(0,$AZ51+IF($P51=Y$3,$R51,0)+IF($S51=Y$3,$U51,0)-$Y51))</f>
        <v/>
      </c>
      <c r="BB51">
        <f>IF($C51="",0,MAX(0,$BA51+IF($P51=Z$3,$R51,0)+IF($S51=Z$3,$U51,0)-$Z51))</f>
        <v/>
      </c>
      <c r="BC51">
        <f>IF($C51="",0,MAX(0,$BB51+IF($P51=AA$3,$R51,0)+IF($S51=AA$3,$U51,0)-$AA51))</f>
        <v/>
      </c>
      <c r="BD51">
        <f>IF($C51="",0,MAX(0,$BC51+IF($P51=AB$3,$R51,0)+IF($S51=AB$3,$U51,0)-$AB51))</f>
        <v/>
      </c>
      <c r="BE51">
        <f>IF($C51="",0,MAX(0,$BD51+IF($P51=AC$3,$R51,0)+IF($S51=AC$3,$U51,0)-$AC51))</f>
        <v/>
      </c>
      <c r="BF51">
        <f>IF($C51="",0,MAX(0,$BE51+IF($P51=AD$3,$R51,0)+IF($S51=AD$3,$U51,0)-$AD51))</f>
        <v/>
      </c>
      <c r="BG51">
        <f>IF($C51="",0,MAX(0,$BF51+IF($P51=AE$3,$R51,0)+IF($S51=AE$3,$U51,0)-$AE51))</f>
        <v/>
      </c>
      <c r="BH51">
        <f>IF($C51="",0,MAX(0,$BG51+IF($P51=AF$3,$R51,0)+IF($S51=AF$3,$U51,0)-$AF51))</f>
        <v/>
      </c>
      <c r="BI51">
        <f>IF($C51="",0,MAX(0,$BH51+IF($P51=AG$3,$R51,0)+IF($S51=AG$3,$U51,0)-$AG51))</f>
        <v/>
      </c>
      <c r="BJ51">
        <f>IF($C51="",0,MAX(0,$BI51+IF($P51=AH$3,$R51,0)+IF($S51=AH$3,$U51,0)-$AH51))</f>
        <v/>
      </c>
      <c r="BK51">
        <f>IF($C51="",0,MAX(0,$BJ51+IF($P51=AI$3,$R51,0)+IF($S51=AI$3,$U51,0)-$AI51))</f>
        <v/>
      </c>
      <c r="BL51">
        <f>IF($C51="",99,IF(AND($AX51&lt;1,V$3&gt;=MAX(N($P51),N($S51))),0,99))</f>
        <v/>
      </c>
      <c r="BM51">
        <f>IF($C51="",99,IF(AND($AY51&lt;1,W$3&gt;=MAX(N($P51),N($S51))),1,99))</f>
        <v/>
      </c>
      <c r="BN51">
        <f>IF($C51="",99,IF(AND($AZ51&lt;1,X$3&gt;=MAX(N($P51),N($S51))),2,99))</f>
        <v/>
      </c>
      <c r="BO51">
        <f>IF($C51="",99,IF(AND($BA51&lt;1,Y$3&gt;=MAX(N($P51),N($S51))),3,99))</f>
        <v/>
      </c>
      <c r="BP51">
        <f>IF($C51="",99,IF(AND($BB51&lt;1,Z$3&gt;=MAX(N($P51),N($S51))),4,99))</f>
        <v/>
      </c>
      <c r="BQ51">
        <f>IF($C51="",99,IF(AND($BC51&lt;1,AA$3&gt;=MAX(N($P51),N($S51))),5,99))</f>
        <v/>
      </c>
      <c r="BR51">
        <f>IF($C51="",99,IF(AND($BD51&lt;1,AB$3&gt;=MAX(N($P51),N($S51))),6,99))</f>
        <v/>
      </c>
      <c r="BS51">
        <f>IF($C51="",99,IF(AND($BE51&lt;1,AC$3&gt;=MAX(N($P51),N($S51))),7,99))</f>
        <v/>
      </c>
      <c r="BT51">
        <f>IF($C51="",99,IF(AND($BF51&lt;1,AD$3&gt;=MAX(N($P51),N($S51))),8,99))</f>
        <v/>
      </c>
      <c r="BU51">
        <f>IF($C51="",99,IF(AND($BG51&lt;1,AE$3&gt;=MAX(N($P51),N($S51))),9,99))</f>
        <v/>
      </c>
      <c r="BV51">
        <f>IF($C51="",99,IF(AND($BH51&lt;1,AF$3&gt;=MAX(N($P51),N($S51))),10,99))</f>
        <v/>
      </c>
      <c r="BW51">
        <f>IF($C51="",99,IF(AND($BI51&lt;1,AG$3&gt;=MAX(N($P51),N($S51))),11,99))</f>
        <v/>
      </c>
      <c r="BX51">
        <f>IF($C51="",99,IF(AND($BJ51&lt;1,AH$3&gt;=MAX(N($P51),N($S51))),12,99))</f>
        <v/>
      </c>
      <c r="BY51">
        <f>IF($C51="",99,IF(AND($BK51&lt;1,AI$3&gt;=MAX(N($P51),N($S51))),13,99))</f>
        <v/>
      </c>
      <c r="BZ51">
        <f>IF(OR($C51="",$M51=""),"",COUNTIF($AJ51:$AW51,"&gt;=1"))</f>
        <v/>
      </c>
      <c r="CA51" s="90">
        <f>IF($BZ51="","",IF($BZ51&gt;=14,"",'設定'!$C$6+$BZ51))</f>
        <v/>
      </c>
      <c r="CB51">
        <f>IF(OR($C51="",$M51=""),"",MIN($BL51:$BY51))</f>
        <v/>
      </c>
      <c r="CC51" s="90">
        <f>IF($CB51="","",IF($CB51&gt;=99,"",'設定'!$C$6+$CB51))</f>
        <v/>
      </c>
      <c r="CD51">
        <f>IF(OR($C51="",$M51=""),"",AVERAGE($V51:$AI51))</f>
        <v/>
      </c>
      <c r="CE51">
        <f>IF($C51="","",IFERROR(IF(MATCH(IF(ISNUMBER($P51),$P51,'設定'!$C$6+N('設定'!$C$7)),$V$3:$AI$3,0)=1,MAX(0,N($L51)),INDEX($AJ51:$AW51,MATCH(IF(ISNUMBER($P51),$P51,'設定'!$C$6+N('設定'!$C$7)),$V$3:$AI$3,0)-1)),""))</f>
        <v/>
      </c>
      <c r="CF51">
        <f>IF(OR($C51="",$O51="",$CE51=""),"",IF($O51-$CE51&lt;=0,0,ROUNDUP(($O51-$CE51)/$G51,0)))</f>
        <v/>
      </c>
      <c r="CG51">
        <f>IF(OR($C51="",$CF51="",NOT(ISNUMBER($Q51))),0,MAX(0,$Q51-$CF51))</f>
        <v/>
      </c>
      <c r="CH51">
        <f>IF(OR($C51="",$O51="",$U51=0),0,IFERROR(ROUNDUP(MAX(0,IF(MATCH($S51,$V$3:$AI$3,0)=1,MAX(0,N($L51)),INDEX($AX51:$BK51,MATCH($S51,$V$3:$AI$3,0)-1))+$U51-$O51)/$G51,0),0))</f>
        <v/>
      </c>
      <c r="CI51">
        <f>IF($C51="","",IF(AND($P51="",$Q51=""),"",IF($P51="","⚠ 入庫日を ▼ から選んでください",IF(NOT(ISNUMBER($P51)),"⚠ 入庫日は ▼ から選んでください",IF($P51&lt;N('設定'!$C$6),"⚠ 入庫日が過去です（もう在庫に入っています）→ 消してください",IF($P51&gt;N('設定'!$C$6)+13,"⚠ 入庫日が14日より先です",IF(N($Q51)&lt;=0,"⚠ 入庫数を入れてください",IF($CG51&gt;0,"⚠ 目安より "&amp;$CG51&amp;" 多い（定数を超える）→ 減らす",""))))))))</f>
        <v/>
      </c>
      <c r="CJ51">
        <f>IF($C51="","",IF(AND($S51="",$T51=""),"",IF($S51="","⚠ 2便目：入庫日を ▼ から選んでください",IF(NOT(ISNUMBER($S51)),"⚠ 2便目：入庫日は ▼ から選んでください",IF($S51&lt;N('設定'!$C$6),"⚠ 2便目：入庫日が過去です（もう在庫に入っています）→ 消してください",IF($S51&gt;N('設定'!$C$6)+13,"⚠ 2便目：入庫日が14日より先です",IF(N($T51)&lt;=0,"⚠ 2便目：入庫数を入れてください",IF($CH51&gt;0,"⚠ 2便目：定数を "&amp;$CH51&amp;" ケース超える → 減らす",""))))))))</f>
        <v/>
      </c>
      <c r="CK51">
        <f>IF(AND($CI51="",N($Q51)&gt;0,ISNUMBER($P51)),1,0)</f>
        <v/>
      </c>
      <c r="CL51">
        <f>IF(AND($CJ51="",N($T51)&gt;0,ISNUMBER($S51)),1,0)</f>
        <v/>
      </c>
      <c r="CM51">
        <f>IF(OR($CK51=1,$CL51=1),1,0)</f>
        <v/>
      </c>
      <c r="CN51">
        <f>IF($C51="",0,($CK51*$R51+$CL51*$U51)*N($H51))</f>
        <v/>
      </c>
      <c r="CO51">
        <f>IF($C51="","",IF($CC51="","入庫後は 14日以上もつ",IF($CC51-N('設定'!$C$7)&lt;='設定'!$C$6,"入庫後も "&amp;TEXT($CC51,"m/d")&amp;"("&amp;CHOOSE(WEEKDAY($CC51),"日","月","火","水","木","金","土")&amp;")"&amp;" に切れる　もう1便を至急発注","入庫後も "&amp;TEXT($CC51,"m/d")&amp;"("&amp;CHOOSE(WEEKDAY($CC51),"日","月","火","水","木","金","土")&amp;")"&amp;" に切れる　"&amp;TEXT($CC51-N('設定'!$C$7),"m/d")&amp;"("&amp;CHOOSE(WEEKDAY($CC51-N('設定'!$C$7)),"日","月","火","水","木","金","土")&amp;")"&amp;" までに次を発注")))</f>
        <v/>
      </c>
      <c r="CP51">
        <f>IF($C51="","",IF('設定'!$C$6="","？ ①在庫を貼る に今日のCSVが貼られていない",IF($CS51=1,"－ 今日のCSVに無い（終売？）",IF($L51&lt;0,"● 在庫がマイナス　数えて「数えた在庫」に入れる",IF($L51=0,"● 在庫なし　至急発注",IF($M51="","？ 減り数が未設定（商品マスタ）",IF($B$3=0,"？ 動員が未入力（動員を入れる）",IF($CA51="","○ 14日以上もつ",IF($BZ51&lt;N('設定'!$C$7),"● "&amp;TEXT($CA51,"m/d")&amp;"("&amp;CHOOSE(WEEKDAY($CA51),"日","月","火","水","木","金","土")&amp;")"&amp;" に切れる　至急発注",IF($BZ51=N('設定'!$C$7),"● "&amp;TEXT($CA51,"m/d")&amp;"("&amp;CHOOSE(WEEKDAY($CA51),"日","月","火","水","木","金","土")&amp;")"&amp;" に切れる　今日発注","△ "&amp;TEXT($CA51,"m/d")&amp;"("&amp;CHOOSE(WEEKDAY($CA51),"日","月","火","水","木","金","土")&amp;")"&amp;" に切れる　"&amp;TEXT($CA51-N('設定'!$C$7),"m/d")&amp;"("&amp;CHOOSE(WEEKDAY($CA51-N('設定'!$C$7)),"日","月","火","水","木","金","土")&amp;")"&amp;" までに発注"))))))))))</f>
        <v/>
      </c>
      <c r="CQ51">
        <f>IF($C51="","",IF(AND($P51="",$Q51="",$S51="",$T51=""),"",IF(AND($P51="",$Q51=""),"⚠ 先に1便目（左の入庫日・入庫数）に入れてください",IF($CI51&lt;&gt;"",$CI51,IF($CJ51&lt;&gt;"",$CJ51,IF($M51="","？ 減り数が未設定（発注書には載ります）",IF($B$3=0,"？ 動員が未入力（発注書には載ります）",IF(AND($CA51&lt;&gt;"",$P51&gt;$CA51),IF($P51&gt;'設定'!$C$6+N('設定'!$C$7),"● "&amp;TEXT($P51,"m/d")&amp;"("&amp;CHOOSE(WEEKDAY($P51),"日","月","火","水","木","金","土")&amp;")"&amp;" の入庫では間に合わない（"&amp;TEXT($CA51,"m/d")&amp;"("&amp;CHOOSE(WEEKDAY($CA51),"日","月","火","水","木","金","土")&amp;")"&amp;" に切れる）　入庫日を早める","△ 欠品 "&amp;TEXT($CA51,"m/d")&amp;"("&amp;CHOOSE(WEEKDAY($CA51),"日","月","火","水","木","金","土")&amp;")"&amp;"〜"&amp;TEXT($P51-1,"m/d")&amp;"("&amp;CHOOSE(WEEKDAY($P51-1),"日","月","火","水","木","金","土")&amp;")"&amp;"　"&amp;$CO51),IF($CC51="","○ "&amp;TEXT($P51,"m/d")&amp;"("&amp;CHOOSE(WEEKDAY($P51),"日","月","火","水","木","金","土")&amp;")"&amp;" 入庫で 14日以上もつ",IF($CC51-N('設定'!$C$7)&lt;='設定'!$C$6,"● 入庫しても "&amp;TEXT($CC51,"m/d")&amp;"("&amp;CHOOSE(WEEKDAY($CC51),"日","月","火","水","木","金","土")&amp;")"&amp;" に切れる　もう1便を至急発注（2便目に入れる）","△ 入庫しても "&amp;TEXT($CC51,"m/d")&amp;"("&amp;CHOOSE(WEEKDAY($CC51),"日","月","火","水","木","金","土")&amp;")"&amp;" に切れる　"&amp;TEXT($CC51-N('設定'!$C$7),"m/d")&amp;"("&amp;CHOOSE(WEEKDAY($CC51-N('設定'!$C$7)),"日","月","火","水","木","金","土")&amp;")"&amp;" までに次を発注（2便目に入れる）"))))))))))</f>
        <v/>
      </c>
      <c r="CR51">
        <f>IF($C51="","",IF($G51&gt;1,"ｹｰｽ("&amp;$G51&amp;"入)","個"))</f>
        <v/>
      </c>
      <c r="CS51">
        <f>IF($C51="",0,IF(COUNTIFS('①在庫を貼る'!$V$6:$V$10005,'設定'!$C$4,'①在庫を貼る'!$W$6:$W$10005,$C51)=0,1,0))</f>
        <v/>
      </c>
      <c r="CT51">
        <f>IF(AND($CK51=1,OR('③発注書'!$C$4="すべて",'③発注書'!$C$4="",$F51='③発注書'!$C$4)),N($CT50)+1,N($CT50))</f>
        <v/>
      </c>
      <c r="CU51">
        <f>IF(AND($CL51=1,OR('③発注書'!$C$4="すべて",'③発注書'!$C$4="",$F51='③発注書'!$C$4)),N($CU50)+1,N($CU50))</f>
        <v/>
      </c>
      <c r="CV51">
        <f>IF($C51="",0,IF(COUNTIFS('①在庫を貼る'!$V$6:$V$10005,'設定'!$C$4,'①在庫を貼る'!$W$6:$W$10005,$C51)&gt;0,1,0))</f>
        <v/>
      </c>
      <c r="CW51">
        <f>IF($C51="",0,IF(COUNTIFS('月1回_1ヶ月前の在庫'!$V$6:$V$10005,'設定'!$C$4,'月1回_1ヶ月前の在庫'!$W$6:$W$10005,$C51)&gt;0,1,0))</f>
        <v/>
      </c>
      <c r="CX51">
        <f>IF($C51="",0,IF(COUNTIFS('月1回_2ヶ月前の在庫'!$V$6:$V$10005,'設定'!$C$4,'月1回_2ヶ月前の在庫'!$W$6:$W$10005,$C51)&gt;0,1,0))</f>
        <v/>
      </c>
      <c r="CY51">
        <f>IF(OR($C51="",'設定'!$C$12=""),"",IF('設定'!$C$13="",IF(AND($CV51=1,$CW51=0),"新商品（今月から）",IF(AND($CV51=0,$CW51=1),"終売（今月から）","")),IF(AND($CV51=1,$CW51=0,$CX51=0),"新商品（今月から）",IF(AND($CV51=1,$CW51=1,$CX51=0),"新商品（先月から）",IF(AND($CV51=0,$CW51=1,$CX51=1),"終売（今月から）",IF(AND($CV51=0,$CW51=0,$CX51=1),"終売（先月から）",IF(AND($CV51=1,$CW51=0,$CX51=1),"復活（先月は無し）","")))))))</f>
        <v/>
      </c>
    </row>
    <row r="52">
      <c r="B52">
        <f>IF(47&lt;='設定'!$C$11,47,"")</f>
        <v/>
      </c>
      <c r="C52">
        <f>IF($B52="","",IF($B52&lt;='設定'!$C$20,INDEX('商品マスタ'!$B$6:$B$1005,MATCH($B52,'商品マスタ'!$M$6:$M$1005,0)),IF($B52&lt;='設定'!$C$20+'設定'!$C$17,INDEX('①在庫を貼る'!$W$6:$W$10005,MATCH($B52-'設定'!$C$20,'①在庫を貼る'!$U$6:$U$10005,0)),IF($B52&lt;='設定'!$C$20+'設定'!$C$17+'設定'!$C$18,INDEX('月1回_1ヶ月前の在庫'!$W$6:$W$10005,MATCH($B52-'設定'!$C$20-'設定'!$C$17,'月1回_1ヶ月前の在庫'!$U$6:$U$10005,0)),INDEX('月1回_2ヶ月前の在庫'!$W$6:$W$10005,MATCH($B52-'設定'!$C$20-'設定'!$C$17-'設定'!$C$18,'月1回_2ヶ月前の在庫'!$U$6:$U$10005,0))))))</f>
        <v/>
      </c>
      <c r="D52">
        <f>IF($C52="","",IFERROR(IF(INDEX('商品マスタ'!$C$6:$C$1005,MATCH($C52,'商品マスタ'!$B$6:$B$1005,0))="",IFERROR(INDEX('①在庫を貼る'!$J$6:$J$10005,MATCH($C52,'①在庫を貼る'!$W$6:$W$10005,0)),IFERROR(INDEX('月1回_1ヶ月前の在庫'!$J$6:$J$10005,MATCH($C52,'月1回_1ヶ月前の在庫'!$W$6:$W$10005,0)),IFERROR(INDEX('月1回_2ヶ月前の在庫'!$J$6:$J$10005,MATCH($C52,'月1回_2ヶ月前の在庫'!$W$6:$W$10005,0)),""))),INDEX('商品マスタ'!$C$6:$C$1005,MATCH($C52,'商品マスタ'!$B$6:$B$1005,0))),IFERROR(INDEX('①在庫を貼る'!$J$6:$J$10005,MATCH($C52,'①在庫を貼る'!$W$6:$W$10005,0)),IFERROR(INDEX('月1回_1ヶ月前の在庫'!$J$6:$J$10005,MATCH($C52,'月1回_1ヶ月前の在庫'!$W$6:$W$10005,0)),IFERROR(INDEX('月1回_2ヶ月前の在庫'!$J$6:$J$10005,MATCH($C52,'月1回_2ヶ月前の在庫'!$W$6:$W$10005,0)),"")))))</f>
        <v/>
      </c>
      <c r="E52">
        <f>IF($C52="","",IFERROR(IF(INDEX('商品マスタ'!$D$6:$D$1005,MATCH($C52,'商品マスタ'!$B$6:$B$1005,0))="",IFERROR(INDEX('①在庫を貼る'!$H$6:$H$10005,MATCH($C52,'①在庫を貼る'!$W$6:$W$10005,0)),IFERROR(INDEX('月1回_1ヶ月前の在庫'!$H$6:$H$10005,MATCH($C52,'月1回_1ヶ月前の在庫'!$W$6:$W$10005,0)),IFERROR(INDEX('月1回_2ヶ月前の在庫'!$H$6:$H$10005,MATCH($C52,'月1回_2ヶ月前の在庫'!$W$6:$W$10005,0)),""))),INDEX('商品マスタ'!$D$6:$D$1005,MATCH($C52,'商品マスタ'!$B$6:$B$1005,0))),IFERROR(INDEX('①在庫を貼る'!$H$6:$H$10005,MATCH($C52,'①在庫を貼る'!$W$6:$W$10005,0)),IFERROR(INDEX('月1回_1ヶ月前の在庫'!$H$6:$H$10005,MATCH($C52,'月1回_1ヶ月前の在庫'!$W$6:$W$10005,0)),IFERROR(INDEX('月1回_2ヶ月前の在庫'!$H$6:$H$10005,MATCH($C52,'月1回_2ヶ月前の在庫'!$W$6:$W$10005,0)),"")))))</f>
        <v/>
      </c>
      <c r="F52">
        <f>IF($C52="","",IFERROR(IF(INDEX('商品マスタ'!$E$6:$E$1005,MATCH($C52,'商品マスタ'!$B$6:$B$1005,0))="",IFERROR(INDEX('①在庫を貼る'!$E$6:$E$10005,MATCH($C52,'①在庫を貼る'!$W$6:$W$10005,0)),IFERROR(INDEX('月1回_1ヶ月前の在庫'!$E$6:$E$10005,MATCH($C52,'月1回_1ヶ月前の在庫'!$W$6:$W$10005,0)),IFERROR(INDEX('月1回_2ヶ月前の在庫'!$E$6:$E$10005,MATCH($C52,'月1回_2ヶ月前の在庫'!$W$6:$W$10005,0)),""))),INDEX('商品マスタ'!$E$6:$E$1005,MATCH($C52,'商品マスタ'!$B$6:$B$1005,0))),IFERROR(INDEX('①在庫を貼る'!$E$6:$E$10005,MATCH($C52,'①在庫を貼る'!$W$6:$W$10005,0)),IFERROR(INDEX('月1回_1ヶ月前の在庫'!$E$6:$E$10005,MATCH($C52,'月1回_1ヶ月前の在庫'!$W$6:$W$10005,0)),IFERROR(INDEX('月1回_2ヶ月前の在庫'!$E$6:$E$10005,MATCH($C52,'月1回_2ヶ月前の在庫'!$W$6:$W$10005,0)),"")))))</f>
        <v/>
      </c>
      <c r="G52">
        <f>IF($C52="","",MAX(1,N(IFERROR(IF(INDEX('商品マスタ'!$F$6:$F$1005,MATCH($C52,'商品マスタ'!$B$6:$B$1005,0))="",IF(COUNTIFS('①在庫を貼る'!$V$6:$V$10005,'設定'!$C$4,'①在庫を貼る'!$W$6:$W$10005,$C52)&gt;0,SUMIFS('①在庫を貼る'!$K$6:$K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K$6:$K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K$6:$K$10005,'月1回_2ヶ月前の在庫'!$V$6:$V$10005,'設定'!$C$4,'月1回_2ヶ月前の在庫'!$W$6:$W$10005,$C52)/COUNTIFS('月1回_2ヶ月前の在庫'!$V$6:$V$10005,'設定'!$C$4,'月1回_2ヶ月前の在庫'!$W$6:$W$10005,$C52),0))),INDEX('商品マスタ'!$F$6:$F$1005,MATCH($C52,'商品マスタ'!$B$6:$B$1005,0))),IF(COUNTIFS('①在庫を貼る'!$V$6:$V$10005,'設定'!$C$4,'①在庫を貼る'!$W$6:$W$10005,$C52)&gt;0,SUMIFS('①在庫を貼る'!$K$6:$K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K$6:$K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K$6:$K$10005,'月1回_2ヶ月前の在庫'!$V$6:$V$10005,'設定'!$C$4,'月1回_2ヶ月前の在庫'!$W$6:$W$10005,$C52)/COUNTIFS('月1回_2ヶ月前の在庫'!$V$6:$V$10005,'設定'!$C$4,'月1回_2ヶ月前の在庫'!$W$6:$W$10005,$C52),0)))))))</f>
        <v/>
      </c>
      <c r="H52">
        <f>IF($C52="","",N(IFERROR(IF(INDEX('商品マスタ'!$G$6:$G$1005,MATCH($C52,'商品マスタ'!$B$6:$B$1005,0))="",IF(COUNTIFS('①在庫を貼る'!$V$6:$V$10005,'設定'!$C$4,'①在庫を貼る'!$W$6:$W$10005,$C52)&gt;0,SUMIFS('①在庫を貼る'!$Q$6:$Q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Q$6:$Q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Q$6:$Q$10005,'月1回_2ヶ月前の在庫'!$V$6:$V$10005,'設定'!$C$4,'月1回_2ヶ月前の在庫'!$W$6:$W$10005,$C52)/COUNTIFS('月1回_2ヶ月前の在庫'!$V$6:$V$10005,'設定'!$C$4,'月1回_2ヶ月前の在庫'!$W$6:$W$10005,$C52),0))),INDEX('商品マスタ'!$G$6:$G$1005,MATCH($C52,'商品マスタ'!$B$6:$B$1005,0))),IF(COUNTIFS('①在庫を貼る'!$V$6:$V$10005,'設定'!$C$4,'①在庫を貼る'!$W$6:$W$10005,$C52)&gt;0,SUMIFS('①在庫を貼る'!$Q$6:$Q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Q$6:$Q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Q$6:$Q$10005,'月1回_2ヶ月前の在庫'!$V$6:$V$10005,'設定'!$C$4,'月1回_2ヶ月前の在庫'!$W$6:$W$10005,$C52)/COUNTIFS('月1回_2ヶ月前の在庫'!$V$6:$V$10005,'設定'!$C$4,'月1回_2ヶ月前の在庫'!$W$6:$W$10005,$C52),0))))))</f>
        <v/>
      </c>
      <c r="I52">
        <f>IF($C52="","",IF(COUNTIFS('①在庫を貼る'!$V$6:$V$10005,'設定'!$C$4,'①在庫を貼る'!$W$6:$W$10005,$C52)=0,"",SUMIFS('①在庫を貼る'!$N$6:$N$10005,'①在庫を貼る'!$V$6:$V$10005,'設定'!$C$4,'①在庫を貼る'!$W$6:$W$10005,$C52)))</f>
        <v/>
      </c>
      <c r="J52">
        <f>IF($C52="","",IF('②発注する'!$AD56="","",'②発注する'!$AD56))</f>
        <v/>
      </c>
      <c r="K52" s="90">
        <f>IF($C52="","",IF('②発注する'!$AE56="","",'②発注する'!$AE56))</f>
        <v/>
      </c>
      <c r="L52">
        <f>IF($C52="","",IF(AND(ISNUMBER($J52),ISNUMBER($K52),$K52&gt;='設定'!$C$6),$J52,N($I52)))</f>
        <v/>
      </c>
      <c r="M52">
        <f>IF($C52="","",IFERROR(IF(N(INDEX('商品マスタ'!$J$6:$J$1005,MATCH($C52,'商品マスタ'!$B$6:$B$1005,0)))&gt;0,INDEX('商品マスタ'!$J$6:$J$1005,MATCH($C52,'商品マスタ'!$B$6:$B$1005,0)),""),""))</f>
        <v/>
      </c>
      <c r="N52">
        <f>IF($C52="","",IFERROR(IF(N(INDEX('商品マスタ'!$H$6:$H$1005,MATCH($C52,'商品マスタ'!$B$6:$B$1005,0)))&gt;0,INDEX('商品マスタ'!$H$6:$H$1005,MATCH($C52,'商品マスタ'!$B$6:$B$1005,0)),""),""))</f>
        <v/>
      </c>
      <c r="O52">
        <f>IF($C52="","",IF($N52&lt;&gt;"",$N52*$G52,IF(N(IF(COUNTIFS('①在庫を貼る'!$V$6:$V$10005,'設定'!$C$4,'①在庫を貼る'!$W$6:$W$10005,$C52)&gt;0,SUMIFS('①在庫を貼る'!$O$6:$O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O$6:$O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O$6:$O$10005,'月1回_2ヶ月前の在庫'!$V$6:$V$10005,'設定'!$C$4,'月1回_2ヶ月前の在庫'!$W$6:$W$10005,$C52)/COUNTIFS('月1回_2ヶ月前の在庫'!$V$6:$V$10005,'設定'!$C$4,'月1回_2ヶ月前の在庫'!$W$6:$W$10005,$C52),0))))&gt;0,N(IF(COUNTIFS('①在庫を貼る'!$V$6:$V$10005,'設定'!$C$4,'①在庫を貼る'!$W$6:$W$10005,$C52)&gt;0,SUMIFS('①在庫を貼る'!$O$6:$O$10005,'①在庫を貼る'!$V$6:$V$10005,'設定'!$C$4,'①在庫を貼る'!$W$6:$W$10005,$C52)/COUNTIFS('①在庫を貼る'!$V$6:$V$10005,'設定'!$C$4,'①在庫を貼る'!$W$6:$W$10005,$C52),IF(COUNTIFS('月1回_1ヶ月前の在庫'!$V$6:$V$10005,'設定'!$C$4,'月1回_1ヶ月前の在庫'!$W$6:$W$10005,$C52)&gt;0,SUMIFS('月1回_1ヶ月前の在庫'!$O$6:$O$10005,'月1回_1ヶ月前の在庫'!$V$6:$V$10005,'設定'!$C$4,'月1回_1ヶ月前の在庫'!$W$6:$W$10005,$C52)/COUNTIFS('月1回_1ヶ月前の在庫'!$V$6:$V$10005,'設定'!$C$4,'月1回_1ヶ月前の在庫'!$W$6:$W$10005,$C52),IF(COUNTIFS('月1回_2ヶ月前の在庫'!$V$6:$V$10005,'設定'!$C$4,'月1回_2ヶ月前の在庫'!$W$6:$W$10005,$C52)&gt;0,SUMIFS('月1回_2ヶ月前の在庫'!$O$6:$O$10005,'月1回_2ヶ月前の在庫'!$V$6:$V$10005,'設定'!$C$4,'月1回_2ヶ月前の在庫'!$W$6:$W$10005,$C52)/COUNTIFS('月1回_2ヶ月前の在庫'!$V$6:$V$10005,'設定'!$C$4,'月1回_2ヶ月前の在庫'!$W$6:$W$10005,$C52),0)))),"")))</f>
        <v/>
      </c>
      <c r="P52" s="90">
        <f>IF($C52="","",IF('②発注する'!$I56="","",'②発注する'!$I56))</f>
        <v/>
      </c>
      <c r="Q52">
        <f>IF($C52="","",IF('②発注する'!$J56="","",'②発注する'!$J56))</f>
        <v/>
      </c>
      <c r="R52">
        <f>IF($C52="",0,IF(AND(ISNUMBER($P52),ISNUMBER($Q52)),MAX(0,$Q52)*$G52,0))</f>
        <v/>
      </c>
      <c r="S52" s="90">
        <f>IF($C52="","",IF('②発注する'!$M56="","",'②発注する'!$M56))</f>
        <v/>
      </c>
      <c r="T52">
        <f>IF($C52="","",IF('②発注する'!$N56="","",'②発注する'!$N56))</f>
        <v/>
      </c>
      <c r="U52">
        <f>IF($C52="",0,IF(AND(ISNUMBER($S52),ISNUMBER($T52)),MAX(0,$T52)*$G52,0))</f>
        <v/>
      </c>
      <c r="V52">
        <f>IF($C52="",0,IF($M52="",0,MAX(0,$M52)*MAX(0,V$4)/100))</f>
        <v/>
      </c>
      <c r="W52">
        <f>IF($C52="",0,IF($M52="",0,MAX(0,$M52)*MAX(0,W$4)/100))</f>
        <v/>
      </c>
      <c r="X52">
        <f>IF($C52="",0,IF($M52="",0,MAX(0,$M52)*MAX(0,X$4)/100))</f>
        <v/>
      </c>
      <c r="Y52">
        <f>IF($C52="",0,IF($M52="",0,MAX(0,$M52)*MAX(0,Y$4)/100))</f>
        <v/>
      </c>
      <c r="Z52">
        <f>IF($C52="",0,IF($M52="",0,MAX(0,$M52)*MAX(0,Z$4)/100))</f>
        <v/>
      </c>
      <c r="AA52">
        <f>IF($C52="",0,IF($M52="",0,MAX(0,$M52)*MAX(0,AA$4)/100))</f>
        <v/>
      </c>
      <c r="AB52">
        <f>IF($C52="",0,IF($M52="",0,MAX(0,$M52)*MAX(0,AB$4)/100))</f>
        <v/>
      </c>
      <c r="AC52">
        <f>IF($C52="",0,IF($M52="",0,MAX(0,$M52)*MAX(0,AC$4)/100))</f>
        <v/>
      </c>
      <c r="AD52">
        <f>IF($C52="",0,IF($M52="",0,MAX(0,$M52)*MAX(0,AD$4)/100))</f>
        <v/>
      </c>
      <c r="AE52">
        <f>IF($C52="",0,IF($M52="",0,MAX(0,$M52)*MAX(0,AE$4)/100))</f>
        <v/>
      </c>
      <c r="AF52">
        <f>IF($C52="",0,IF($M52="",0,MAX(0,$M52)*MAX(0,AF$4)/100))</f>
        <v/>
      </c>
      <c r="AG52">
        <f>IF($C52="",0,IF($M52="",0,MAX(0,$M52)*MAX(0,AG$4)/100))</f>
        <v/>
      </c>
      <c r="AH52">
        <f>IF($C52="",0,IF($M52="",0,MAX(0,$M52)*MAX(0,AH$4)/100))</f>
        <v/>
      </c>
      <c r="AI52">
        <f>IF($C52="",0,IF($M52="",0,MAX(0,$M52)*MAX(0,AI$4)/100))</f>
        <v/>
      </c>
      <c r="AJ52">
        <f>IF($C52="",0,MAX(0,MAX(0,N($L52))-$V52))</f>
        <v/>
      </c>
      <c r="AK52">
        <f>IF($C52="",0,MAX(0,$AJ52-$W52))</f>
        <v/>
      </c>
      <c r="AL52">
        <f>IF($C52="",0,MAX(0,$AK52-$X52))</f>
        <v/>
      </c>
      <c r="AM52">
        <f>IF($C52="",0,MAX(0,$AL52-$Y52))</f>
        <v/>
      </c>
      <c r="AN52">
        <f>IF($C52="",0,MAX(0,$AM52-$Z52))</f>
        <v/>
      </c>
      <c r="AO52">
        <f>IF($C52="",0,MAX(0,$AN52-$AA52))</f>
        <v/>
      </c>
      <c r="AP52">
        <f>IF($C52="",0,MAX(0,$AO52-$AB52))</f>
        <v/>
      </c>
      <c r="AQ52">
        <f>IF($C52="",0,MAX(0,$AP52-$AC52))</f>
        <v/>
      </c>
      <c r="AR52">
        <f>IF($C52="",0,MAX(0,$AQ52-$AD52))</f>
        <v/>
      </c>
      <c r="AS52">
        <f>IF($C52="",0,MAX(0,$AR52-$AE52))</f>
        <v/>
      </c>
      <c r="AT52">
        <f>IF($C52="",0,MAX(0,$AS52-$AF52))</f>
        <v/>
      </c>
      <c r="AU52">
        <f>IF($C52="",0,MAX(0,$AT52-$AG52))</f>
        <v/>
      </c>
      <c r="AV52">
        <f>IF($C52="",0,MAX(0,$AU52-$AH52))</f>
        <v/>
      </c>
      <c r="AW52">
        <f>IF($C52="",0,MAX(0,$AV52-$AI52))</f>
        <v/>
      </c>
      <c r="AX52">
        <f>IF($C52="",0,MAX(0,MAX(0,N($L52))+IF($P52=V$3,$R52,0)+IF($S52=V$3,$U52,0)-$V52))</f>
        <v/>
      </c>
      <c r="AY52">
        <f>IF($C52="",0,MAX(0,$AX52+IF($P52=W$3,$R52,0)+IF($S52=W$3,$U52,0)-$W52))</f>
        <v/>
      </c>
      <c r="AZ52">
        <f>IF($C52="",0,MAX(0,$AY52+IF($P52=X$3,$R52,0)+IF($S52=X$3,$U52,0)-$X52))</f>
        <v/>
      </c>
      <c r="BA52">
        <f>IF($C52="",0,MAX(0,$AZ52+IF($P52=Y$3,$R52,0)+IF($S52=Y$3,$U52,0)-$Y52))</f>
        <v/>
      </c>
      <c r="BB52">
        <f>IF($C52="",0,MAX(0,$BA52+IF($P52=Z$3,$R52,0)+IF($S52=Z$3,$U52,0)-$Z52))</f>
        <v/>
      </c>
      <c r="BC52">
        <f>IF($C52="",0,MAX(0,$BB52+IF($P52=AA$3,$R52,0)+IF($S52=AA$3,$U52,0)-$AA52))</f>
        <v/>
      </c>
      <c r="BD52">
        <f>IF($C52="",0,MAX(0,$BC52+IF($P52=AB$3,$R52,0)+IF($S52=AB$3,$U52,0)-$AB52))</f>
        <v/>
      </c>
      <c r="BE52">
        <f>IF($C52="",0,MAX(0,$BD52+IF($P52=AC$3,$R52,0)+IF($S52=AC$3,$U52,0)-$AC52))</f>
        <v/>
      </c>
      <c r="BF52">
        <f>IF($C52="",0,MAX(0,$BE52+IF($P52=AD$3,$R52,0)+IF($S52=AD$3,$U52,0)-$AD52))</f>
        <v/>
      </c>
      <c r="BG52">
        <f>IF($C52="",0,MAX(0,$BF52+IF($P52=AE$3,$R52,0)+IF($S52=AE$3,$U52,0)-$AE52))</f>
        <v/>
      </c>
      <c r="BH52">
        <f>IF($C52="",0,MAX(0,$BG52+IF($P52=AF$3,$R52,0)+IF($S52=AF$3,$U52,0)-$AF52))</f>
        <v/>
      </c>
      <c r="BI52">
        <f>IF($C52="",0,MAX(0,$BH52+IF($P52=AG$3,$R52,0)+IF($S52=AG$3,$U52,0)-$AG52))</f>
        <v/>
      </c>
      <c r="BJ52">
        <f>IF($C52="",0,MAX(0,$BI52+IF($P52=AH$3,$R52,0)+IF($S52=AH$3,$U52,0)-$AH52))</f>
        <v/>
      </c>
      <c r="BK52">
        <f>IF($C52="",0,MAX(0,$BJ52+IF($P52=AI$3,$R52,0)+IF($S52=AI$3,$U52,0)-$AI52))</f>
        <v/>
      </c>
      <c r="BL52">
        <f>IF($C52="",99,IF(AND($AX52&lt;1,V$3&gt;=MAX(N($P52),N($S52))),0,99))</f>
        <v/>
      </c>
      <c r="BM52">
        <f>IF($C52="",99,IF(AND($AY52&lt;1,W$3&gt;=MAX(N($P52),N($S52))),1,99))</f>
        <v/>
      </c>
      <c r="BN52">
        <f>IF($C52="",99,IF(AND($AZ52&lt;1,X$3&gt;=MAX(N($P52),N($S52))),2,99))</f>
        <v/>
      </c>
      <c r="BO52">
        <f>IF($C52="",99,IF(AND($BA52&lt;1,Y$3&gt;=MAX(N($P52),N($S52))),3,99))</f>
        <v/>
      </c>
      <c r="BP52">
        <f>IF($C52="",99,IF(AND($BB52&lt;1,Z$3&gt;=MAX(N($P52),N($S52))),4,99))</f>
        <v/>
      </c>
      <c r="BQ52">
        <f>IF($C52="",99,IF(AND($BC52&lt;1,AA$3&gt;=MAX(N($P52),N($S52))),5,99))</f>
        <v/>
      </c>
      <c r="BR52">
        <f>IF($C52="",99,IF(AND($BD52&lt;1,AB$3&gt;=MAX(N($P52),N($S52))),6,99))</f>
        <v/>
      </c>
      <c r="BS52">
        <f>IF($C52="",99,IF(AND($BE52&lt;1,AC$3&gt;=MAX(N($P52),N($S52))),7,99))</f>
        <v/>
      </c>
      <c r="BT52">
        <f>IF($C52="",99,IF(AND($BF52&lt;1,AD$3&gt;=MAX(N($P52),N($S52))),8,99))</f>
        <v/>
      </c>
      <c r="BU52">
        <f>IF($C52="",99,IF(AND($BG52&lt;1,AE$3&gt;=MAX(N($P52),N($S52))),9,99))</f>
        <v/>
      </c>
      <c r="BV52">
        <f>IF($C52="",99,IF(AND($BH52&lt;1,AF$3&gt;=MAX(N($P52),N($S52))),10,99))</f>
        <v/>
      </c>
      <c r="BW52">
        <f>IF($C52="",99,IF(AND($BI52&lt;1,AG$3&gt;=MAX(N($P52),N($S52))),11,99))</f>
        <v/>
      </c>
      <c r="BX52">
        <f>IF($C52="",99,IF(AND($BJ52&lt;1,AH$3&gt;=MAX(N($P52),N($S52))),12,99))</f>
        <v/>
      </c>
      <c r="BY52">
        <f>IF($C52="",99,IF(AND($BK52&lt;1,AI$3&gt;=MAX(N($P52),N($S52))),13,99))</f>
        <v/>
      </c>
      <c r="BZ52">
        <f>IF(OR($C52="",$M52=""),"",COUNTIF($AJ52:$AW52,"&gt;=1"))</f>
        <v/>
      </c>
      <c r="CA52" s="90">
        <f>IF($BZ52="","",IF($BZ52&gt;=14,"",'設定'!$C$6+$BZ52))</f>
        <v/>
      </c>
      <c r="CB52">
        <f>IF(OR($C52="",$M52=""),"",MIN($BL52:$BY52))</f>
        <v/>
      </c>
      <c r="CC52" s="90">
        <f>IF($CB52="","",IF($CB52&gt;=99,"",'設定'!$C$6+$CB52))</f>
        <v/>
      </c>
      <c r="CD52">
        <f>IF(OR($C52="",$M52=""),"",AVERAGE($V52:$AI52))</f>
        <v/>
      </c>
      <c r="CE52">
        <f>IF($C52="","",IFERROR(IF(MATCH(IF(ISNUMBER($P52),$P52,'設定'!$C$6+N('設定'!$C$7)),$V$3:$AI$3,0)=1,MAX(0,N($L52)),INDEX($AJ52:$AW52,MATCH(IF(ISNUMBER($P52),$P52,'設定'!$C$6+N('設定'!$C$7)),$V$3:$AI$3,0)-1)),""))</f>
        <v/>
      </c>
      <c r="CF52">
        <f>IF(OR($C52="",$O52="",$CE52=""),"",IF($O52-$CE52&lt;=0,0,ROUNDUP(($O52-$CE52)/$G52,0)))</f>
        <v/>
      </c>
      <c r="CG52">
        <f>IF(OR($C52="",$CF52="",NOT(ISNUMBER($Q52))),0,MAX(0,$Q52-$CF52))</f>
        <v/>
      </c>
      <c r="CH52">
        <f>IF(OR($C52="",$O52="",$U52=0),0,IFERROR(ROUNDUP(MAX(0,IF(MATCH($S52,$V$3:$AI$3,0)=1,MAX(0,N($L52)),INDEX($AX52:$BK52,MATCH($S52,$V$3:$AI$3,0)-1))+$U52-$O52)/$G52,0),0))</f>
        <v/>
      </c>
      <c r="CI52">
        <f>IF($C52="","",IF(AND($P52="",$Q52=""),"",IF($P52="","⚠ 入庫日を ▼ から選んでください",IF(NOT(ISNUMBER($P52)),"⚠ 入庫日は ▼ から選んでください",IF($P52&lt;N('設定'!$C$6),"⚠ 入庫日が過去です（もう在庫に入っています）→ 消してください",IF($P52&gt;N('設定'!$C$6)+13,"⚠ 入庫日が14日より先です",IF(N($Q52)&lt;=0,"⚠ 入庫数を入れてください",IF($CG52&gt;0,"⚠ 目安より "&amp;$CG52&amp;" 多い（定数を超える）→ 減らす",""))))))))</f>
        <v/>
      </c>
      <c r="CJ52">
        <f>IF($C52="","",IF(AND($S52="",$T52=""),"",IF($S52="","⚠ 2便目：入庫日を ▼ から選んでください",IF(NOT(ISNUMBER($S52)),"⚠ 2便目：入庫日は ▼ から選んでください",IF($S52&lt;N('設定'!$C$6),"⚠ 2便目：入庫日が過去です（もう在庫に入っています）→ 消してください",IF($S52&gt;N('設定'!$C$6)+13,"⚠ 2便目：入庫日が14日より先です",IF(N($T52)&lt;=0,"⚠ 2便目：入庫数を入れてください",IF($CH52&gt;0,"⚠ 2便目：定数を "&amp;$CH52&amp;" ケース超える → 減らす",""))))))))</f>
        <v/>
      </c>
      <c r="CK52">
        <f>IF(AND($CI52="",N($Q52)&gt;0,ISNUMBER($P52)),1,0)</f>
        <v/>
      </c>
      <c r="CL52">
        <f>IF(AND($CJ52="",N($T52)&gt;0,ISNUMBER($S52)),1,0)</f>
        <v/>
      </c>
      <c r="CM52">
        <f>IF(OR($CK52=1,$CL52=1),1,0)</f>
        <v/>
      </c>
      <c r="CN52">
        <f>IF($C52="",0,($CK52*$R52+$CL52*$U52)*N($H52))</f>
        <v/>
      </c>
      <c r="CO52">
        <f>IF($C52="","",IF($CC52="","入庫後は 14日以上もつ",IF($CC52-N('設定'!$C$7)&lt;='設定'!$C$6,"入庫後も "&amp;TEXT($CC52,"m/d")&amp;"("&amp;CHOOSE(WEEKDAY($CC52),"日","月","火","水","木","金","土")&amp;")"&amp;" に切れる　もう1便を至急発注","入庫後も "&amp;TEXT($CC52,"m/d")&amp;"("&amp;CHOOSE(WEEKDAY($CC52),"日","月","火","水","木","金","土")&amp;")"&amp;" に切れる　"&amp;TEXT($CC52-N('設定'!$C$7),"m/d")&amp;"("&amp;CHOOSE(WEEKDAY($CC52-N('設定'!$C$7)),"日","月","火","水","木","金","土")&amp;")"&amp;" までに次を発注")))</f>
        <v/>
      </c>
      <c r="CP52">
        <f>IF($C52="","",IF('設定'!$C$6="","？ ①在庫を貼る に今日のCSVが貼られていない",IF($CS52=1,"－ 今日のCSVに無い（終売？）",IF($L52&lt;0,"● 在庫がマイナス　数えて「数えた在庫」に入れる",IF($L52=0,"● 在庫なし　至急発注",IF($M52="","？ 減り数が未設定（商品マスタ）",IF($B$3=0,"？ 動員が未入力（動員を入れる）",IF($CA52="","○ 14日以上もつ",IF($BZ52&lt;N('設定'!$C$7),"● "&amp;TEXT($CA52,"m/d")&amp;"("&amp;CHOOSE(WEEKDAY($CA52),"日","月","火","水","木","金","土")&amp;")"&amp;" に切れる　至急発注",IF($BZ52=N('設定'!$C$7),"● "&amp;TEXT($CA52,"m/d")&amp;"("&amp;CHOOSE(WEEKDAY($CA52),"日","月","火","水","木","金","土")&amp;")"&amp;" に切れる　今日発注","△ "&amp;TEXT($CA52,"m/d")&amp;"("&amp;CHOOSE(WEEKDAY($CA52),"日","月","火","水","木","金","土")&amp;")"&amp;" に切れる　"&amp;TEXT($CA52-N('設定'!$C$7),"m/d")&amp;"("&amp;CHOOSE(WEEKDAY($CA52-N('設定'!$C$7)),"日","月","火","水","木","金","土")&amp;")"&amp;" までに発注"))))))))))</f>
        <v/>
      </c>
      <c r="CQ52">
        <f>IF($C52="","",IF(AND($P52="",$Q52="",$S52="",$T52=""),"",IF(AND($P52="",$Q52=""),"⚠ 先に1便目（左の入庫日・入庫数）に入れてください",IF($CI52&lt;&gt;"",$CI52,IF($CJ52&lt;&gt;"",$CJ52,IF($M52="","？ 減り数が未設定（発注書には載ります）",IF($B$3=0,"？ 動員が未入力（発注書には載ります）",IF(AND($CA52&lt;&gt;"",$P52&gt;$CA52),IF($P52&gt;'設定'!$C$6+N('設定'!$C$7),"● "&amp;TEXT($P52,"m/d")&amp;"("&amp;CHOOSE(WEEKDAY($P52),"日","月","火","水","木","金","土")&amp;")"&amp;" の入庫では間に合わない（"&amp;TEXT($CA52,"m/d")&amp;"("&amp;CHOOSE(WEEKDAY($CA52),"日","月","火","水","木","金","土")&amp;")"&amp;" に切れる）　入庫日を早める","△ 欠品 "&amp;TEXT($CA52,"m/d")&amp;"("&amp;CHOOSE(WEEKDAY($CA52),"日","月","火","水","木","金","土")&amp;")"&amp;"〜"&amp;TEXT($P52-1,"m/d")&amp;"("&amp;CHOOSE(WEEKDAY($P52-1),"日","月","火","水","木","金","土")&amp;")"&amp;"　"&amp;$CO52),IF($CC52="","○ "&amp;TEXT($P52,"m/d")&amp;"("&amp;CHOOSE(WEEKDAY($P52),"日","月","火","水","木","金","土")&amp;")"&amp;" 入庫で 14日以上もつ",IF($CC52-N('設定'!$C$7)&lt;='設定'!$C$6,"● 入庫しても "&amp;TEXT($CC52,"m/d")&amp;"("&amp;CHOOSE(WEEKDAY($CC52),"日","月","火","水","木","金","土")&amp;")"&amp;" に切れる　もう1便を至急発注（2便目に入れる）","△ 入庫しても "&amp;TEXT($CC52,"m/d")&amp;"("&amp;CHOOSE(WEEKDAY($CC52),"日","月","火","水","木","金","土")&amp;")"&amp;" に切れる　"&amp;TEXT($CC52-N('設定'!$C$7),"m/d")&amp;"("&amp;CHOOSE(WEEKDAY($CC52-N('設定'!$C$7)),"日","月","火","水","木","金","土")&amp;")"&amp;" までに次を発注（2便目に入れる）"))))))))))</f>
        <v/>
      </c>
      <c r="CR52">
        <f>IF($C52="","",IF($G52&gt;1,"ｹｰｽ("&amp;$G52&amp;"入)","個"))</f>
        <v/>
      </c>
      <c r="CS52">
        <f>IF($C52="",0,IF(COUNTIFS('①在庫を貼る'!$V$6:$V$10005,'設定'!$C$4,'①在庫を貼る'!$W$6:$W$10005,$C52)=0,1,0))</f>
        <v/>
      </c>
      <c r="CT52">
        <f>IF(AND($CK52=1,OR('③発注書'!$C$4="すべて",'③発注書'!$C$4="",$F52='③発注書'!$C$4)),N($CT51)+1,N($CT51))</f>
        <v/>
      </c>
      <c r="CU52">
        <f>IF(AND($CL52=1,OR('③発注書'!$C$4="すべて",'③発注書'!$C$4="",$F52='③発注書'!$C$4)),N($CU51)+1,N($CU51))</f>
        <v/>
      </c>
      <c r="CV52">
        <f>IF($C52="",0,IF(COUNTIFS('①在庫を貼る'!$V$6:$V$10005,'設定'!$C$4,'①在庫を貼る'!$W$6:$W$10005,$C52)&gt;0,1,0))</f>
        <v/>
      </c>
      <c r="CW52">
        <f>IF($C52="",0,IF(COUNTIFS('月1回_1ヶ月前の在庫'!$V$6:$V$10005,'設定'!$C$4,'月1回_1ヶ月前の在庫'!$W$6:$W$10005,$C52)&gt;0,1,0))</f>
        <v/>
      </c>
      <c r="CX52">
        <f>IF($C52="",0,IF(COUNTIFS('月1回_2ヶ月前の在庫'!$V$6:$V$10005,'設定'!$C$4,'月1回_2ヶ月前の在庫'!$W$6:$W$10005,$C52)&gt;0,1,0))</f>
        <v/>
      </c>
      <c r="CY52">
        <f>IF(OR($C52="",'設定'!$C$12=""),"",IF('設定'!$C$13="",IF(AND($CV52=1,$CW52=0),"新商品（今月から）",IF(AND($CV52=0,$CW52=1),"終売（今月から）","")),IF(AND($CV52=1,$CW52=0,$CX52=0),"新商品（今月から）",IF(AND($CV52=1,$CW52=1,$CX52=0),"新商品（先月から）",IF(AND($CV52=0,$CW52=1,$CX52=1),"終売（今月から）",IF(AND($CV52=0,$CW52=0,$CX52=1),"終売（先月から）",IF(AND($CV52=1,$CW52=0,$CX52=1),"復活（先月は無し）","")))))))</f>
        <v/>
      </c>
    </row>
    <row r="53">
      <c r="B53">
        <f>IF(48&lt;='設定'!$C$11,48,"")</f>
        <v/>
      </c>
      <c r="C53">
        <f>IF($B53="","",IF($B53&lt;='設定'!$C$20,INDEX('商品マスタ'!$B$6:$B$1005,MATCH($B53,'商品マスタ'!$M$6:$M$1005,0)),IF($B53&lt;='設定'!$C$20+'設定'!$C$17,INDEX('①在庫を貼る'!$W$6:$W$10005,MATCH($B53-'設定'!$C$20,'①在庫を貼る'!$U$6:$U$10005,0)),IF($B53&lt;='設定'!$C$20+'設定'!$C$17+'設定'!$C$18,INDEX('月1回_1ヶ月前の在庫'!$W$6:$W$10005,MATCH($B53-'設定'!$C$20-'設定'!$C$17,'月1回_1ヶ月前の在庫'!$U$6:$U$10005,0)),INDEX('月1回_2ヶ月前の在庫'!$W$6:$W$10005,MATCH($B53-'設定'!$C$20-'設定'!$C$17-'設定'!$C$18,'月1回_2ヶ月前の在庫'!$U$6:$U$10005,0))))))</f>
        <v/>
      </c>
      <c r="D53">
        <f>IF($C53="","",IFERROR(IF(INDEX('商品マスタ'!$C$6:$C$1005,MATCH($C53,'商品マスタ'!$B$6:$B$1005,0))="",IFERROR(INDEX('①在庫を貼る'!$J$6:$J$10005,MATCH($C53,'①在庫を貼る'!$W$6:$W$10005,0)),IFERROR(INDEX('月1回_1ヶ月前の在庫'!$J$6:$J$10005,MATCH($C53,'月1回_1ヶ月前の在庫'!$W$6:$W$10005,0)),IFERROR(INDEX('月1回_2ヶ月前の在庫'!$J$6:$J$10005,MATCH($C53,'月1回_2ヶ月前の在庫'!$W$6:$W$10005,0)),""))),INDEX('商品マスタ'!$C$6:$C$1005,MATCH($C53,'商品マスタ'!$B$6:$B$1005,0))),IFERROR(INDEX('①在庫を貼る'!$J$6:$J$10005,MATCH($C53,'①在庫を貼る'!$W$6:$W$10005,0)),IFERROR(INDEX('月1回_1ヶ月前の在庫'!$J$6:$J$10005,MATCH($C53,'月1回_1ヶ月前の在庫'!$W$6:$W$10005,0)),IFERROR(INDEX('月1回_2ヶ月前の在庫'!$J$6:$J$10005,MATCH($C53,'月1回_2ヶ月前の在庫'!$W$6:$W$10005,0)),"")))))</f>
        <v/>
      </c>
      <c r="E53">
        <f>IF($C53="","",IFERROR(IF(INDEX('商品マスタ'!$D$6:$D$1005,MATCH($C53,'商品マスタ'!$B$6:$B$1005,0))="",IFERROR(INDEX('①在庫を貼る'!$H$6:$H$10005,MATCH($C53,'①在庫を貼る'!$W$6:$W$10005,0)),IFERROR(INDEX('月1回_1ヶ月前の在庫'!$H$6:$H$10005,MATCH($C53,'月1回_1ヶ月前の在庫'!$W$6:$W$10005,0)),IFERROR(INDEX('月1回_2ヶ月前の在庫'!$H$6:$H$10005,MATCH($C53,'月1回_2ヶ月前の在庫'!$W$6:$W$10005,0)),""))),INDEX('商品マスタ'!$D$6:$D$1005,MATCH($C53,'商品マスタ'!$B$6:$B$1005,0))),IFERROR(INDEX('①在庫を貼る'!$H$6:$H$10005,MATCH($C53,'①在庫を貼る'!$W$6:$W$10005,0)),IFERROR(INDEX('月1回_1ヶ月前の在庫'!$H$6:$H$10005,MATCH($C53,'月1回_1ヶ月前の在庫'!$W$6:$W$10005,0)),IFERROR(INDEX('月1回_2ヶ月前の在庫'!$H$6:$H$10005,MATCH($C53,'月1回_2ヶ月前の在庫'!$W$6:$W$10005,0)),"")))))</f>
        <v/>
      </c>
      <c r="F53">
        <f>IF($C53="","",IFERROR(IF(INDEX('商品マスタ'!$E$6:$E$1005,MATCH($C53,'商品マスタ'!$B$6:$B$1005,0))="",IFERROR(INDEX('①在庫を貼る'!$E$6:$E$10005,MATCH($C53,'①在庫を貼る'!$W$6:$W$10005,0)),IFERROR(INDEX('月1回_1ヶ月前の在庫'!$E$6:$E$10005,MATCH($C53,'月1回_1ヶ月前の在庫'!$W$6:$W$10005,0)),IFERROR(INDEX('月1回_2ヶ月前の在庫'!$E$6:$E$10005,MATCH($C53,'月1回_2ヶ月前の在庫'!$W$6:$W$10005,0)),""))),INDEX('商品マスタ'!$E$6:$E$1005,MATCH($C53,'商品マスタ'!$B$6:$B$1005,0))),IFERROR(INDEX('①在庫を貼る'!$E$6:$E$10005,MATCH($C53,'①在庫を貼る'!$W$6:$W$10005,0)),IFERROR(INDEX('月1回_1ヶ月前の在庫'!$E$6:$E$10005,MATCH($C53,'月1回_1ヶ月前の在庫'!$W$6:$W$10005,0)),IFERROR(INDEX('月1回_2ヶ月前の在庫'!$E$6:$E$10005,MATCH($C53,'月1回_2ヶ月前の在庫'!$W$6:$W$10005,0)),"")))))</f>
        <v/>
      </c>
      <c r="G53">
        <f>IF($C53="","",MAX(1,N(IFERROR(IF(INDEX('商品マスタ'!$F$6:$F$1005,MATCH($C53,'商品マスタ'!$B$6:$B$1005,0))="",IF(COUNTIFS('①在庫を貼る'!$V$6:$V$10005,'設定'!$C$4,'①在庫を貼る'!$W$6:$W$10005,$C53)&gt;0,SUMIFS('①在庫を貼る'!$K$6:$K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K$6:$K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K$6:$K$10005,'月1回_2ヶ月前の在庫'!$V$6:$V$10005,'設定'!$C$4,'月1回_2ヶ月前の在庫'!$W$6:$W$10005,$C53)/COUNTIFS('月1回_2ヶ月前の在庫'!$V$6:$V$10005,'設定'!$C$4,'月1回_2ヶ月前の在庫'!$W$6:$W$10005,$C53),0))),INDEX('商品マスタ'!$F$6:$F$1005,MATCH($C53,'商品マスタ'!$B$6:$B$1005,0))),IF(COUNTIFS('①在庫を貼る'!$V$6:$V$10005,'設定'!$C$4,'①在庫を貼る'!$W$6:$W$10005,$C53)&gt;0,SUMIFS('①在庫を貼る'!$K$6:$K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K$6:$K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K$6:$K$10005,'月1回_2ヶ月前の在庫'!$V$6:$V$10005,'設定'!$C$4,'月1回_2ヶ月前の在庫'!$W$6:$W$10005,$C53)/COUNTIFS('月1回_2ヶ月前の在庫'!$V$6:$V$10005,'設定'!$C$4,'月1回_2ヶ月前の在庫'!$W$6:$W$10005,$C53),0)))))))</f>
        <v/>
      </c>
      <c r="H53">
        <f>IF($C53="","",N(IFERROR(IF(INDEX('商品マスタ'!$G$6:$G$1005,MATCH($C53,'商品マスタ'!$B$6:$B$1005,0))="",IF(COUNTIFS('①在庫を貼る'!$V$6:$V$10005,'設定'!$C$4,'①在庫を貼る'!$W$6:$W$10005,$C53)&gt;0,SUMIFS('①在庫を貼る'!$Q$6:$Q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Q$6:$Q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Q$6:$Q$10005,'月1回_2ヶ月前の在庫'!$V$6:$V$10005,'設定'!$C$4,'月1回_2ヶ月前の在庫'!$W$6:$W$10005,$C53)/COUNTIFS('月1回_2ヶ月前の在庫'!$V$6:$V$10005,'設定'!$C$4,'月1回_2ヶ月前の在庫'!$W$6:$W$10005,$C53),0))),INDEX('商品マスタ'!$G$6:$G$1005,MATCH($C53,'商品マスタ'!$B$6:$B$1005,0))),IF(COUNTIFS('①在庫を貼る'!$V$6:$V$10005,'設定'!$C$4,'①在庫を貼る'!$W$6:$W$10005,$C53)&gt;0,SUMIFS('①在庫を貼る'!$Q$6:$Q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Q$6:$Q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Q$6:$Q$10005,'月1回_2ヶ月前の在庫'!$V$6:$V$10005,'設定'!$C$4,'月1回_2ヶ月前の在庫'!$W$6:$W$10005,$C53)/COUNTIFS('月1回_2ヶ月前の在庫'!$V$6:$V$10005,'設定'!$C$4,'月1回_2ヶ月前の在庫'!$W$6:$W$10005,$C53),0))))))</f>
        <v/>
      </c>
      <c r="I53">
        <f>IF($C53="","",IF(COUNTIFS('①在庫を貼る'!$V$6:$V$10005,'設定'!$C$4,'①在庫を貼る'!$W$6:$W$10005,$C53)=0,"",SUMIFS('①在庫を貼る'!$N$6:$N$10005,'①在庫を貼る'!$V$6:$V$10005,'設定'!$C$4,'①在庫を貼る'!$W$6:$W$10005,$C53)))</f>
        <v/>
      </c>
      <c r="J53">
        <f>IF($C53="","",IF('②発注する'!$AD57="","",'②発注する'!$AD57))</f>
        <v/>
      </c>
      <c r="K53" s="90">
        <f>IF($C53="","",IF('②発注する'!$AE57="","",'②発注する'!$AE57))</f>
        <v/>
      </c>
      <c r="L53">
        <f>IF($C53="","",IF(AND(ISNUMBER($J53),ISNUMBER($K53),$K53&gt;='設定'!$C$6),$J53,N($I53)))</f>
        <v/>
      </c>
      <c r="M53">
        <f>IF($C53="","",IFERROR(IF(N(INDEX('商品マスタ'!$J$6:$J$1005,MATCH($C53,'商品マスタ'!$B$6:$B$1005,0)))&gt;0,INDEX('商品マスタ'!$J$6:$J$1005,MATCH($C53,'商品マスタ'!$B$6:$B$1005,0)),""),""))</f>
        <v/>
      </c>
      <c r="N53">
        <f>IF($C53="","",IFERROR(IF(N(INDEX('商品マスタ'!$H$6:$H$1005,MATCH($C53,'商品マスタ'!$B$6:$B$1005,0)))&gt;0,INDEX('商品マスタ'!$H$6:$H$1005,MATCH($C53,'商品マスタ'!$B$6:$B$1005,0)),""),""))</f>
        <v/>
      </c>
      <c r="O53">
        <f>IF($C53="","",IF($N53&lt;&gt;"",$N53*$G53,IF(N(IF(COUNTIFS('①在庫を貼る'!$V$6:$V$10005,'設定'!$C$4,'①在庫を貼る'!$W$6:$W$10005,$C53)&gt;0,SUMIFS('①在庫を貼る'!$O$6:$O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O$6:$O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O$6:$O$10005,'月1回_2ヶ月前の在庫'!$V$6:$V$10005,'設定'!$C$4,'月1回_2ヶ月前の在庫'!$W$6:$W$10005,$C53)/COUNTIFS('月1回_2ヶ月前の在庫'!$V$6:$V$10005,'設定'!$C$4,'月1回_2ヶ月前の在庫'!$W$6:$W$10005,$C53),0))))&gt;0,N(IF(COUNTIFS('①在庫を貼る'!$V$6:$V$10005,'設定'!$C$4,'①在庫を貼る'!$W$6:$W$10005,$C53)&gt;0,SUMIFS('①在庫を貼る'!$O$6:$O$10005,'①在庫を貼る'!$V$6:$V$10005,'設定'!$C$4,'①在庫を貼る'!$W$6:$W$10005,$C53)/COUNTIFS('①在庫を貼る'!$V$6:$V$10005,'設定'!$C$4,'①在庫を貼る'!$W$6:$W$10005,$C53),IF(COUNTIFS('月1回_1ヶ月前の在庫'!$V$6:$V$10005,'設定'!$C$4,'月1回_1ヶ月前の在庫'!$W$6:$W$10005,$C53)&gt;0,SUMIFS('月1回_1ヶ月前の在庫'!$O$6:$O$10005,'月1回_1ヶ月前の在庫'!$V$6:$V$10005,'設定'!$C$4,'月1回_1ヶ月前の在庫'!$W$6:$W$10005,$C53)/COUNTIFS('月1回_1ヶ月前の在庫'!$V$6:$V$10005,'設定'!$C$4,'月1回_1ヶ月前の在庫'!$W$6:$W$10005,$C53),IF(COUNTIFS('月1回_2ヶ月前の在庫'!$V$6:$V$10005,'設定'!$C$4,'月1回_2ヶ月前の在庫'!$W$6:$W$10005,$C53)&gt;0,SUMIFS('月1回_2ヶ月前の在庫'!$O$6:$O$10005,'月1回_2ヶ月前の在庫'!$V$6:$V$10005,'設定'!$C$4,'月1回_2ヶ月前の在庫'!$W$6:$W$10005,$C53)/COUNTIFS('月1回_2ヶ月前の在庫'!$V$6:$V$10005,'設定'!$C$4,'月1回_2ヶ月前の在庫'!$W$6:$W$10005,$C53),0)))),"")))</f>
        <v/>
      </c>
      <c r="P53" s="90">
        <f>IF($C53="","",IF('②発注する'!$I57="","",'②発注する'!$I57))</f>
        <v/>
      </c>
      <c r="Q53">
        <f>IF($C53="","",IF('②発注する'!$J57="","",'②発注する'!$J57))</f>
        <v/>
      </c>
      <c r="R53">
        <f>IF($C53="",0,IF(AND(ISNUMBER($P53),ISNUMBER($Q53)),MAX(0,$Q53)*$G53,0))</f>
        <v/>
      </c>
      <c r="S53" s="90">
        <f>IF($C53="","",IF('②発注する'!$M57="","",'②発注する'!$M57))</f>
        <v/>
      </c>
      <c r="T53">
        <f>IF($C53="","",IF('②発注する'!$N57="","",'②発注する'!$N57))</f>
        <v/>
      </c>
      <c r="U53">
        <f>IF($C53="",0,IF(AND(ISNUMBER($S53),ISNUMBER($T53)),MAX(0,$T53)*$G53,0))</f>
        <v/>
      </c>
      <c r="V53">
        <f>IF($C53="",0,IF($M53="",0,MAX(0,$M53)*MAX(0,V$4)/100))</f>
        <v/>
      </c>
      <c r="W53">
        <f>IF($C53="",0,IF($M53="",0,MAX(0,$M53)*MAX(0,W$4)/100))</f>
        <v/>
      </c>
      <c r="X53">
        <f>IF($C53="",0,IF($M53="",0,MAX(0,$M53)*MAX(0,X$4)/100))</f>
        <v/>
      </c>
      <c r="Y53">
        <f>IF($C53="",0,IF($M53="",0,MAX(0,$M53)*MAX(0,Y$4)/100))</f>
        <v/>
      </c>
      <c r="Z53">
        <f>IF($C53="",0,IF($M53="",0,MAX(0,$M53)*MAX(0,Z$4)/100))</f>
        <v/>
      </c>
      <c r="AA53">
        <f>IF($C53="",0,IF($M53="",0,MAX(0,$M53)*MAX(0,AA$4)/100))</f>
        <v/>
      </c>
      <c r="AB53">
        <f>IF($C53="",0,IF($M53="",0,MAX(0,$M53)*MAX(0,AB$4)/100))</f>
        <v/>
      </c>
      <c r="AC53">
        <f>IF($C53="",0,IF($M53="",0,MAX(0,$M53)*MAX(0,AC$4)/100))</f>
        <v/>
      </c>
      <c r="AD53">
        <f>IF($C53="",0,IF($M53="",0,MAX(0,$M53)*MAX(0,AD$4)/100))</f>
        <v/>
      </c>
      <c r="AE53">
        <f>IF($C53="",0,IF($M53="",0,MAX(0,$M53)*MAX(0,AE$4)/100))</f>
        <v/>
      </c>
      <c r="AF53">
        <f>IF($C53="",0,IF($M53="",0,MAX(0,$M53)*MAX(0,AF$4)/100))</f>
        <v/>
      </c>
      <c r="AG53">
        <f>IF($C53="",0,IF($M53="",0,MAX(0,$M53)*MAX(0,AG$4)/100))</f>
        <v/>
      </c>
      <c r="AH53">
        <f>IF($C53="",0,IF($M53="",0,MAX(0,$M53)*MAX(0,AH$4)/100))</f>
        <v/>
      </c>
      <c r="AI53">
        <f>IF($C53="",0,IF($M53="",0,MAX(0,$M53)*MAX(0,AI$4)/100))</f>
        <v/>
      </c>
      <c r="AJ53">
        <f>IF($C53="",0,MAX(0,MAX(0,N($L53))-$V53))</f>
        <v/>
      </c>
      <c r="AK53">
        <f>IF($C53="",0,MAX(0,$AJ53-$W53))</f>
        <v/>
      </c>
      <c r="AL53">
        <f>IF($C53="",0,MAX(0,$AK53-$X53))</f>
        <v/>
      </c>
      <c r="AM53">
        <f>IF($C53="",0,MAX(0,$AL53-$Y53))</f>
        <v/>
      </c>
      <c r="AN53">
        <f>IF($C53="",0,MAX(0,$AM53-$Z53))</f>
        <v/>
      </c>
      <c r="AO53">
        <f>IF($C53="",0,MAX(0,$AN53-$AA53))</f>
        <v/>
      </c>
      <c r="AP53">
        <f>IF($C53="",0,MAX(0,$AO53-$AB53))</f>
        <v/>
      </c>
      <c r="AQ53">
        <f>IF($C53="",0,MAX(0,$AP53-$AC53))</f>
        <v/>
      </c>
      <c r="AR53">
        <f>IF($C53="",0,MAX(0,$AQ53-$AD53))</f>
        <v/>
      </c>
      <c r="AS53">
        <f>IF($C53="",0,MAX(0,$AR53-$AE53))</f>
        <v/>
      </c>
      <c r="AT53">
        <f>IF($C53="",0,MAX(0,$AS53-$AF53))</f>
        <v/>
      </c>
      <c r="AU53">
        <f>IF($C53="",0,MAX(0,$AT53-$AG53))</f>
        <v/>
      </c>
      <c r="AV53">
        <f>IF($C53="",0,MAX(0,$AU53-$AH53))</f>
        <v/>
      </c>
      <c r="AW53">
        <f>IF($C53="",0,MAX(0,$AV53-$AI53))</f>
        <v/>
      </c>
      <c r="AX53">
        <f>IF($C53="",0,MAX(0,MAX(0,N($L53))+IF($P53=V$3,$R53,0)+IF($S53=V$3,$U53,0)-$V53))</f>
        <v/>
      </c>
      <c r="AY53">
        <f>IF($C53="",0,MAX(0,$AX53+IF($P53=W$3,$R53,0)+IF($S53=W$3,$U53,0)-$W53))</f>
        <v/>
      </c>
      <c r="AZ53">
        <f>IF($C53="",0,MAX(0,$AY53+IF($P53=X$3,$R53,0)+IF($S53=X$3,$U53,0)-$X53))</f>
        <v/>
      </c>
      <c r="BA53">
        <f>IF($C53="",0,MAX(0,$AZ53+IF($P53=Y$3,$R53,0)+IF($S53=Y$3,$U53,0)-$Y53))</f>
        <v/>
      </c>
      <c r="BB53">
        <f>IF($C53="",0,MAX(0,$BA53+IF($P53=Z$3,$R53,0)+IF($S53=Z$3,$U53,0)-$Z53))</f>
        <v/>
      </c>
      <c r="BC53">
        <f>IF($C53="",0,MAX(0,$BB53+IF($P53=AA$3,$R53,0)+IF($S53=AA$3,$U53,0)-$AA53))</f>
        <v/>
      </c>
      <c r="BD53">
        <f>IF($C53="",0,MAX(0,$BC53+IF($P53=AB$3,$R53,0)+IF($S53=AB$3,$U53,0)-$AB53))</f>
        <v/>
      </c>
      <c r="BE53">
        <f>IF($C53="",0,MAX(0,$BD53+IF($P53=AC$3,$R53,0)+IF($S53=AC$3,$U53,0)-$AC53))</f>
        <v/>
      </c>
      <c r="BF53">
        <f>IF($C53="",0,MAX(0,$BE53+IF($P53=AD$3,$R53,0)+IF($S53=AD$3,$U53,0)-$AD53))</f>
        <v/>
      </c>
      <c r="BG53">
        <f>IF($C53="",0,MAX(0,$BF53+IF($P53=AE$3,$R53,0)+IF($S53=AE$3,$U53,0)-$AE53))</f>
        <v/>
      </c>
      <c r="BH53">
        <f>IF($C53="",0,MAX(0,$BG53+IF($P53=AF$3,$R53,0)+IF($S53=AF$3,$U53,0)-$AF53))</f>
        <v/>
      </c>
      <c r="BI53">
        <f>IF($C53="",0,MAX(0,$BH53+IF($P53=AG$3,$R53,0)+IF($S53=AG$3,$U53,0)-$AG53))</f>
        <v/>
      </c>
      <c r="BJ53">
        <f>IF($C53="",0,MAX(0,$BI53+IF($P53=AH$3,$R53,0)+IF($S53=AH$3,$U53,0)-$AH53))</f>
        <v/>
      </c>
      <c r="BK53">
        <f>IF($C53="",0,MAX(0,$BJ53+IF($P53=AI$3,$R53,0)+IF($S53=AI$3,$U53,0)-$AI53))</f>
        <v/>
      </c>
      <c r="BL53">
        <f>IF($C53="",99,IF(AND($AX53&lt;1,V$3&gt;=MAX(N($P53),N($S53))),0,99))</f>
        <v/>
      </c>
      <c r="BM53">
        <f>IF($C53="",99,IF(AND($AY53&lt;1,W$3&gt;=MAX(N($P53),N($S53))),1,99))</f>
        <v/>
      </c>
      <c r="BN53">
        <f>IF($C53="",99,IF(AND($AZ53&lt;1,X$3&gt;=MAX(N($P53),N($S53))),2,99))</f>
        <v/>
      </c>
      <c r="BO53">
        <f>IF($C53="",99,IF(AND($BA53&lt;1,Y$3&gt;=MAX(N($P53),N($S53))),3,99))</f>
        <v/>
      </c>
      <c r="BP53">
        <f>IF($C53="",99,IF(AND($BB53&lt;1,Z$3&gt;=MAX(N($P53),N($S53))),4,99))</f>
        <v/>
      </c>
      <c r="BQ53">
        <f>IF($C53="",99,IF(AND($BC53&lt;1,AA$3&gt;=MAX(N($P53),N($S53))),5,99))</f>
        <v/>
      </c>
      <c r="BR53">
        <f>IF($C53="",99,IF(AND($BD53&lt;1,AB$3&gt;=MAX(N($P53),N($S53))),6,99))</f>
        <v/>
      </c>
      <c r="BS53">
        <f>IF($C53="",99,IF(AND($BE53&lt;1,AC$3&gt;=MAX(N($P53),N($S53))),7,99))</f>
        <v/>
      </c>
      <c r="BT53">
        <f>IF($C53="",99,IF(AND($BF53&lt;1,AD$3&gt;=MAX(N($P53),N($S53))),8,99))</f>
        <v/>
      </c>
      <c r="BU53">
        <f>IF($C53="",99,IF(AND($BG53&lt;1,AE$3&gt;=MAX(N($P53),N($S53))),9,99))</f>
        <v/>
      </c>
      <c r="BV53">
        <f>IF($C53="",99,IF(AND($BH53&lt;1,AF$3&gt;=MAX(N($P53),N($S53))),10,99))</f>
        <v/>
      </c>
      <c r="BW53">
        <f>IF($C53="",99,IF(AND($BI53&lt;1,AG$3&gt;=MAX(N($P53),N($S53))),11,99))</f>
        <v/>
      </c>
      <c r="BX53">
        <f>IF($C53="",99,IF(AND($BJ53&lt;1,AH$3&gt;=MAX(N($P53),N($S53))),12,99))</f>
        <v/>
      </c>
      <c r="BY53">
        <f>IF($C53="",99,IF(AND($BK53&lt;1,AI$3&gt;=MAX(N($P53),N($S53))),13,99))</f>
        <v/>
      </c>
      <c r="BZ53">
        <f>IF(OR($C53="",$M53=""),"",COUNTIF($AJ53:$AW53,"&gt;=1"))</f>
        <v/>
      </c>
      <c r="CA53" s="90">
        <f>IF($BZ53="","",IF($BZ53&gt;=14,"",'設定'!$C$6+$BZ53))</f>
        <v/>
      </c>
      <c r="CB53">
        <f>IF(OR($C53="",$M53=""),"",MIN($BL53:$BY53))</f>
        <v/>
      </c>
      <c r="CC53" s="90">
        <f>IF($CB53="","",IF($CB53&gt;=99,"",'設定'!$C$6+$CB53))</f>
        <v/>
      </c>
      <c r="CD53">
        <f>IF(OR($C53="",$M53=""),"",AVERAGE($V53:$AI53))</f>
        <v/>
      </c>
      <c r="CE53">
        <f>IF($C53="","",IFERROR(IF(MATCH(IF(ISNUMBER($P53),$P53,'設定'!$C$6+N('設定'!$C$7)),$V$3:$AI$3,0)=1,MAX(0,N($L53)),INDEX($AJ53:$AW53,MATCH(IF(ISNUMBER($P53),$P53,'設定'!$C$6+N('設定'!$C$7)),$V$3:$AI$3,0)-1)),""))</f>
        <v/>
      </c>
      <c r="CF53">
        <f>IF(OR($C53="",$O53="",$CE53=""),"",IF($O53-$CE53&lt;=0,0,ROUNDUP(($O53-$CE53)/$G53,0)))</f>
        <v/>
      </c>
      <c r="CG53">
        <f>IF(OR($C53="",$CF53="",NOT(ISNUMBER($Q53))),0,MAX(0,$Q53-$CF53))</f>
        <v/>
      </c>
      <c r="CH53">
        <f>IF(OR($C53="",$O53="",$U53=0),0,IFERROR(ROUNDUP(MAX(0,IF(MATCH($S53,$V$3:$AI$3,0)=1,MAX(0,N($L53)),INDEX($AX53:$BK53,MATCH($S53,$V$3:$AI$3,0)-1))+$U53-$O53)/$G53,0),0))</f>
        <v/>
      </c>
      <c r="CI53">
        <f>IF($C53="","",IF(AND($P53="",$Q53=""),"",IF($P53="","⚠ 入庫日を ▼ から選んでください",IF(NOT(ISNUMBER($P53)),"⚠ 入庫日は ▼ から選んでください",IF($P53&lt;N('設定'!$C$6),"⚠ 入庫日が過去です（もう在庫に入っています）→ 消してください",IF($P53&gt;N('設定'!$C$6)+13,"⚠ 入庫日が14日より先です",IF(N($Q53)&lt;=0,"⚠ 入庫数を入れてください",IF($CG53&gt;0,"⚠ 目安より "&amp;$CG53&amp;" 多い（定数を超える）→ 減らす",""))))))))</f>
        <v/>
      </c>
      <c r="CJ53">
        <f>IF($C53="","",IF(AND($S53="",$T53=""),"",IF($S53="","⚠ 2便目：入庫日を ▼ から選んでください",IF(NOT(ISNUMBER($S53)),"⚠ 2便目：入庫日は ▼ から選んでください",IF($S53&lt;N('設定'!$C$6),"⚠ 2便目：入庫日が過去です（もう在庫に入っています）→ 消してください",IF($S53&gt;N('設定'!$C$6)+13,"⚠ 2便目：入庫日が14日より先です",IF(N($T53)&lt;=0,"⚠ 2便目：入庫数を入れてください",IF($CH53&gt;0,"⚠ 2便目：定数を "&amp;$CH53&amp;" ケース超える → 減らす",""))))))))</f>
        <v/>
      </c>
      <c r="CK53">
        <f>IF(AND($CI53="",N($Q53)&gt;0,ISNUMBER($P53)),1,0)</f>
        <v/>
      </c>
      <c r="CL53">
        <f>IF(AND($CJ53="",N($T53)&gt;0,ISNUMBER($S53)),1,0)</f>
        <v/>
      </c>
      <c r="CM53">
        <f>IF(OR($CK53=1,$CL53=1),1,0)</f>
        <v/>
      </c>
      <c r="CN53">
        <f>IF($C53="",0,($CK53*$R53+$CL53*$U53)*N($H53))</f>
        <v/>
      </c>
      <c r="CO53">
        <f>IF($C53="","",IF($CC53="","入庫後は 14日以上もつ",IF($CC53-N('設定'!$C$7)&lt;='設定'!$C$6,"入庫後も "&amp;TEXT($CC53,"m/d")&amp;"("&amp;CHOOSE(WEEKDAY($CC53),"日","月","火","水","木","金","土")&amp;")"&amp;" に切れる　もう1便を至急発注","入庫後も "&amp;TEXT($CC53,"m/d")&amp;"("&amp;CHOOSE(WEEKDAY($CC53),"日","月","火","水","木","金","土")&amp;")"&amp;" に切れる　"&amp;TEXT($CC53-N('設定'!$C$7),"m/d")&amp;"("&amp;CHOOSE(WEEKDAY($CC53-N('設定'!$C$7)),"日","月","火","水","木","金","土")&amp;")"&amp;" までに次を発注")))</f>
        <v/>
      </c>
      <c r="CP53">
        <f>IF($C53="","",IF('設定'!$C$6="","？ ①在庫を貼る に今日のCSVが貼られていない",IF($CS53=1,"－ 今日のCSVに無い（終売？）",IF($L53&lt;0,"● 在庫がマイナス　数えて「数えた在庫」に入れる",IF($L53=0,"● 在庫なし　至急発注",IF($M53="","？ 減り数が未設定（商品マスタ）",IF($B$3=0,"？ 動員が未入力（動員を入れる）",IF($CA53="","○ 14日以上もつ",IF($BZ53&lt;N('設定'!$C$7),"● "&amp;TEXT($CA53,"m/d")&amp;"("&amp;CHOOSE(WEEKDAY($CA53),"日","月","火","水","木","金","土")&amp;")"&amp;" に切れる　至急発注",IF($BZ53=N('設定'!$C$7),"● "&amp;TEXT($CA53,"m/d")&amp;"("&amp;CHOOSE(WEEKDAY($CA53),"日","月","火","水","木","金","土")&amp;")"&amp;" に切れる　今日発注","△ "&amp;TEXT($CA53,"m/d")&amp;"("&amp;CHOOSE(WEEKDAY($CA53),"日","月","火","水","木","金","土")&amp;")"&amp;" に切れる　"&amp;TEXT($CA53-N('設定'!$C$7),"m/d")&amp;"("&amp;CHOOSE(WEEKDAY($CA53-N('設定'!$C$7)),"日","月","火","水","木","金","土")&amp;")"&amp;" までに発注"))))))))))</f>
        <v/>
      </c>
      <c r="CQ53">
        <f>IF($C53="","",IF(AND($P53="",$Q53="",$S53="",$T53=""),"",IF(AND($P53="",$Q53=""),"⚠ 先に1便目（左の入庫日・入庫数）に入れてください",IF($CI53&lt;&gt;"",$CI53,IF($CJ53&lt;&gt;"",$CJ53,IF($M53="","？ 減り数が未設定（発注書には載ります）",IF($B$3=0,"？ 動員が未入力（発注書には載ります）",IF(AND($CA53&lt;&gt;"",$P53&gt;$CA53),IF($P53&gt;'設定'!$C$6+N('設定'!$C$7),"● "&amp;TEXT($P53,"m/d")&amp;"("&amp;CHOOSE(WEEKDAY($P53),"日","月","火","水","木","金","土")&amp;")"&amp;" の入庫では間に合わない（"&amp;TEXT($CA53,"m/d")&amp;"("&amp;CHOOSE(WEEKDAY($CA53),"日","月","火","水","木","金","土")&amp;")"&amp;" に切れる）　入庫日を早める","△ 欠品 "&amp;TEXT($CA53,"m/d")&amp;"("&amp;CHOOSE(WEEKDAY($CA53),"日","月","火","水","木","金","土")&amp;")"&amp;"〜"&amp;TEXT($P53-1,"m/d")&amp;"("&amp;CHOOSE(WEEKDAY($P53-1),"日","月","火","水","木","金","土")&amp;")"&amp;"　"&amp;$CO53),IF($CC53="","○ "&amp;TEXT($P53,"m/d")&amp;"("&amp;CHOOSE(WEEKDAY($P53),"日","月","火","水","木","金","土")&amp;")"&amp;" 入庫で 14日以上もつ",IF($CC53-N('設定'!$C$7)&lt;='設定'!$C$6,"● 入庫しても "&amp;TEXT($CC53,"m/d")&amp;"("&amp;CHOOSE(WEEKDAY($CC53),"日","月","火","水","木","金","土")&amp;")"&amp;" に切れる　もう1便を至急発注（2便目に入れる）","△ 入庫しても "&amp;TEXT($CC53,"m/d")&amp;"("&amp;CHOOSE(WEEKDAY($CC53),"日","月","火","水","木","金","土")&amp;")"&amp;" に切れる　"&amp;TEXT($CC53-N('設定'!$C$7),"m/d")&amp;"("&amp;CHOOSE(WEEKDAY($CC53-N('設定'!$C$7)),"日","月","火","水","木","金","土")&amp;")"&amp;" までに次を発注（2便目に入れる）"))))))))))</f>
        <v/>
      </c>
      <c r="CR53">
        <f>IF($C53="","",IF($G53&gt;1,"ｹｰｽ("&amp;$G53&amp;"入)","個"))</f>
        <v/>
      </c>
      <c r="CS53">
        <f>IF($C53="",0,IF(COUNTIFS('①在庫を貼る'!$V$6:$V$10005,'設定'!$C$4,'①在庫を貼る'!$W$6:$W$10005,$C53)=0,1,0))</f>
        <v/>
      </c>
      <c r="CT53">
        <f>IF(AND($CK53=1,OR('③発注書'!$C$4="すべて",'③発注書'!$C$4="",$F53='③発注書'!$C$4)),N($CT52)+1,N($CT52))</f>
        <v/>
      </c>
      <c r="CU53">
        <f>IF(AND($CL53=1,OR('③発注書'!$C$4="すべて",'③発注書'!$C$4="",$F53='③発注書'!$C$4)),N($CU52)+1,N($CU52))</f>
        <v/>
      </c>
      <c r="CV53">
        <f>IF($C53="",0,IF(COUNTIFS('①在庫を貼る'!$V$6:$V$10005,'設定'!$C$4,'①在庫を貼る'!$W$6:$W$10005,$C53)&gt;0,1,0))</f>
        <v/>
      </c>
      <c r="CW53">
        <f>IF($C53="",0,IF(COUNTIFS('月1回_1ヶ月前の在庫'!$V$6:$V$10005,'設定'!$C$4,'月1回_1ヶ月前の在庫'!$W$6:$W$10005,$C53)&gt;0,1,0))</f>
        <v/>
      </c>
      <c r="CX53">
        <f>IF($C53="",0,IF(COUNTIFS('月1回_2ヶ月前の在庫'!$V$6:$V$10005,'設定'!$C$4,'月1回_2ヶ月前の在庫'!$W$6:$W$10005,$C53)&gt;0,1,0))</f>
        <v/>
      </c>
      <c r="CY53">
        <f>IF(OR($C53="",'設定'!$C$12=""),"",IF('設定'!$C$13="",IF(AND($CV53=1,$CW53=0),"新商品（今月から）",IF(AND($CV53=0,$CW53=1),"終売（今月から）","")),IF(AND($CV53=1,$CW53=0,$CX53=0),"新商品（今月から）",IF(AND($CV53=1,$CW53=1,$CX53=0),"新商品（先月から）",IF(AND($CV53=0,$CW53=1,$CX53=1),"終売（今月から）",IF(AND($CV53=0,$CW53=0,$CX53=1),"終売（先月から）",IF(AND($CV53=1,$CW53=0,$CX53=1),"復活（先月は無し）","")))))))</f>
        <v/>
      </c>
    </row>
    <row r="54">
      <c r="B54">
        <f>IF(49&lt;='設定'!$C$11,49,"")</f>
        <v/>
      </c>
      <c r="C54">
        <f>IF($B54="","",IF($B54&lt;='設定'!$C$20,INDEX('商品マスタ'!$B$6:$B$1005,MATCH($B54,'商品マスタ'!$M$6:$M$1005,0)),IF($B54&lt;='設定'!$C$20+'設定'!$C$17,INDEX('①在庫を貼る'!$W$6:$W$10005,MATCH($B54-'設定'!$C$20,'①在庫を貼る'!$U$6:$U$10005,0)),IF($B54&lt;='設定'!$C$20+'設定'!$C$17+'設定'!$C$18,INDEX('月1回_1ヶ月前の在庫'!$W$6:$W$10005,MATCH($B54-'設定'!$C$20-'設定'!$C$17,'月1回_1ヶ月前の在庫'!$U$6:$U$10005,0)),INDEX('月1回_2ヶ月前の在庫'!$W$6:$W$10005,MATCH($B54-'設定'!$C$20-'設定'!$C$17-'設定'!$C$18,'月1回_2ヶ月前の在庫'!$U$6:$U$10005,0))))))</f>
        <v/>
      </c>
      <c r="D54">
        <f>IF($C54="","",IFERROR(IF(INDEX('商品マスタ'!$C$6:$C$1005,MATCH($C54,'商品マスタ'!$B$6:$B$1005,0))="",IFERROR(INDEX('①在庫を貼る'!$J$6:$J$10005,MATCH($C54,'①在庫を貼る'!$W$6:$W$10005,0)),IFERROR(INDEX('月1回_1ヶ月前の在庫'!$J$6:$J$10005,MATCH($C54,'月1回_1ヶ月前の在庫'!$W$6:$W$10005,0)),IFERROR(INDEX('月1回_2ヶ月前の在庫'!$J$6:$J$10005,MATCH($C54,'月1回_2ヶ月前の在庫'!$W$6:$W$10005,0)),""))),INDEX('商品マスタ'!$C$6:$C$1005,MATCH($C54,'商品マスタ'!$B$6:$B$1005,0))),IFERROR(INDEX('①在庫を貼る'!$J$6:$J$10005,MATCH($C54,'①在庫を貼る'!$W$6:$W$10005,0)),IFERROR(INDEX('月1回_1ヶ月前の在庫'!$J$6:$J$10005,MATCH($C54,'月1回_1ヶ月前の在庫'!$W$6:$W$10005,0)),IFERROR(INDEX('月1回_2ヶ月前の在庫'!$J$6:$J$10005,MATCH($C54,'月1回_2ヶ月前の在庫'!$W$6:$W$10005,0)),"")))))</f>
        <v/>
      </c>
      <c r="E54">
        <f>IF($C54="","",IFERROR(IF(INDEX('商品マスタ'!$D$6:$D$1005,MATCH($C54,'商品マスタ'!$B$6:$B$1005,0))="",IFERROR(INDEX('①在庫を貼る'!$H$6:$H$10005,MATCH($C54,'①在庫を貼る'!$W$6:$W$10005,0)),IFERROR(INDEX('月1回_1ヶ月前の在庫'!$H$6:$H$10005,MATCH($C54,'月1回_1ヶ月前の在庫'!$W$6:$W$10005,0)),IFERROR(INDEX('月1回_2ヶ月前の在庫'!$H$6:$H$10005,MATCH($C54,'月1回_2ヶ月前の在庫'!$W$6:$W$10005,0)),""))),INDEX('商品マスタ'!$D$6:$D$1005,MATCH($C54,'商品マスタ'!$B$6:$B$1005,0))),IFERROR(INDEX('①在庫を貼る'!$H$6:$H$10005,MATCH($C54,'①在庫を貼る'!$W$6:$W$10005,0)),IFERROR(INDEX('月1回_1ヶ月前の在庫'!$H$6:$H$10005,MATCH($C54,'月1回_1ヶ月前の在庫'!$W$6:$W$10005,0)),IFERROR(INDEX('月1回_2ヶ月前の在庫'!$H$6:$H$10005,MATCH($C54,'月1回_2ヶ月前の在庫'!$W$6:$W$10005,0)),"")))))</f>
        <v/>
      </c>
      <c r="F54">
        <f>IF($C54="","",IFERROR(IF(INDEX('商品マスタ'!$E$6:$E$1005,MATCH($C54,'商品マスタ'!$B$6:$B$1005,0))="",IFERROR(INDEX('①在庫を貼る'!$E$6:$E$10005,MATCH($C54,'①在庫を貼る'!$W$6:$W$10005,0)),IFERROR(INDEX('月1回_1ヶ月前の在庫'!$E$6:$E$10005,MATCH($C54,'月1回_1ヶ月前の在庫'!$W$6:$W$10005,0)),IFERROR(INDEX('月1回_2ヶ月前の在庫'!$E$6:$E$10005,MATCH($C54,'月1回_2ヶ月前の在庫'!$W$6:$W$10005,0)),""))),INDEX('商品マスタ'!$E$6:$E$1005,MATCH($C54,'商品マスタ'!$B$6:$B$1005,0))),IFERROR(INDEX('①在庫を貼る'!$E$6:$E$10005,MATCH($C54,'①在庫を貼る'!$W$6:$W$10005,0)),IFERROR(INDEX('月1回_1ヶ月前の在庫'!$E$6:$E$10005,MATCH($C54,'月1回_1ヶ月前の在庫'!$W$6:$W$10005,0)),IFERROR(INDEX('月1回_2ヶ月前の在庫'!$E$6:$E$10005,MATCH($C54,'月1回_2ヶ月前の在庫'!$W$6:$W$10005,0)),"")))))</f>
        <v/>
      </c>
      <c r="G54">
        <f>IF($C54="","",MAX(1,N(IFERROR(IF(INDEX('商品マスタ'!$F$6:$F$1005,MATCH($C54,'商品マスタ'!$B$6:$B$1005,0))="",IF(COUNTIFS('①在庫を貼る'!$V$6:$V$10005,'設定'!$C$4,'①在庫を貼る'!$W$6:$W$10005,$C54)&gt;0,SUMIFS('①在庫を貼る'!$K$6:$K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K$6:$K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K$6:$K$10005,'月1回_2ヶ月前の在庫'!$V$6:$V$10005,'設定'!$C$4,'月1回_2ヶ月前の在庫'!$W$6:$W$10005,$C54)/COUNTIFS('月1回_2ヶ月前の在庫'!$V$6:$V$10005,'設定'!$C$4,'月1回_2ヶ月前の在庫'!$W$6:$W$10005,$C54),0))),INDEX('商品マスタ'!$F$6:$F$1005,MATCH($C54,'商品マスタ'!$B$6:$B$1005,0))),IF(COUNTIFS('①在庫を貼る'!$V$6:$V$10005,'設定'!$C$4,'①在庫を貼る'!$W$6:$W$10005,$C54)&gt;0,SUMIFS('①在庫を貼る'!$K$6:$K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K$6:$K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K$6:$K$10005,'月1回_2ヶ月前の在庫'!$V$6:$V$10005,'設定'!$C$4,'月1回_2ヶ月前の在庫'!$W$6:$W$10005,$C54)/COUNTIFS('月1回_2ヶ月前の在庫'!$V$6:$V$10005,'設定'!$C$4,'月1回_2ヶ月前の在庫'!$W$6:$W$10005,$C54),0)))))))</f>
        <v/>
      </c>
      <c r="H54">
        <f>IF($C54="","",N(IFERROR(IF(INDEX('商品マスタ'!$G$6:$G$1005,MATCH($C54,'商品マスタ'!$B$6:$B$1005,0))="",IF(COUNTIFS('①在庫を貼る'!$V$6:$V$10005,'設定'!$C$4,'①在庫を貼る'!$W$6:$W$10005,$C54)&gt;0,SUMIFS('①在庫を貼る'!$Q$6:$Q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Q$6:$Q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Q$6:$Q$10005,'月1回_2ヶ月前の在庫'!$V$6:$V$10005,'設定'!$C$4,'月1回_2ヶ月前の在庫'!$W$6:$W$10005,$C54)/COUNTIFS('月1回_2ヶ月前の在庫'!$V$6:$V$10005,'設定'!$C$4,'月1回_2ヶ月前の在庫'!$W$6:$W$10005,$C54),0))),INDEX('商品マスタ'!$G$6:$G$1005,MATCH($C54,'商品マスタ'!$B$6:$B$1005,0))),IF(COUNTIFS('①在庫を貼る'!$V$6:$V$10005,'設定'!$C$4,'①在庫を貼る'!$W$6:$W$10005,$C54)&gt;0,SUMIFS('①在庫を貼る'!$Q$6:$Q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Q$6:$Q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Q$6:$Q$10005,'月1回_2ヶ月前の在庫'!$V$6:$V$10005,'設定'!$C$4,'月1回_2ヶ月前の在庫'!$W$6:$W$10005,$C54)/COUNTIFS('月1回_2ヶ月前の在庫'!$V$6:$V$10005,'設定'!$C$4,'月1回_2ヶ月前の在庫'!$W$6:$W$10005,$C54),0))))))</f>
        <v/>
      </c>
      <c r="I54">
        <f>IF($C54="","",IF(COUNTIFS('①在庫を貼る'!$V$6:$V$10005,'設定'!$C$4,'①在庫を貼る'!$W$6:$W$10005,$C54)=0,"",SUMIFS('①在庫を貼る'!$N$6:$N$10005,'①在庫を貼る'!$V$6:$V$10005,'設定'!$C$4,'①在庫を貼る'!$W$6:$W$10005,$C54)))</f>
        <v/>
      </c>
      <c r="J54">
        <f>IF($C54="","",IF('②発注する'!$AD58="","",'②発注する'!$AD58))</f>
        <v/>
      </c>
      <c r="K54" s="90">
        <f>IF($C54="","",IF('②発注する'!$AE58="","",'②発注する'!$AE58))</f>
        <v/>
      </c>
      <c r="L54">
        <f>IF($C54="","",IF(AND(ISNUMBER($J54),ISNUMBER($K54),$K54&gt;='設定'!$C$6),$J54,N($I54)))</f>
        <v/>
      </c>
      <c r="M54">
        <f>IF($C54="","",IFERROR(IF(N(INDEX('商品マスタ'!$J$6:$J$1005,MATCH($C54,'商品マスタ'!$B$6:$B$1005,0)))&gt;0,INDEX('商品マスタ'!$J$6:$J$1005,MATCH($C54,'商品マスタ'!$B$6:$B$1005,0)),""),""))</f>
        <v/>
      </c>
      <c r="N54">
        <f>IF($C54="","",IFERROR(IF(N(INDEX('商品マスタ'!$H$6:$H$1005,MATCH($C54,'商品マスタ'!$B$6:$B$1005,0)))&gt;0,INDEX('商品マスタ'!$H$6:$H$1005,MATCH($C54,'商品マスタ'!$B$6:$B$1005,0)),""),""))</f>
        <v/>
      </c>
      <c r="O54">
        <f>IF($C54="","",IF($N54&lt;&gt;"",$N54*$G54,IF(N(IF(COUNTIFS('①在庫を貼る'!$V$6:$V$10005,'設定'!$C$4,'①在庫を貼る'!$W$6:$W$10005,$C54)&gt;0,SUMIFS('①在庫を貼る'!$O$6:$O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O$6:$O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O$6:$O$10005,'月1回_2ヶ月前の在庫'!$V$6:$V$10005,'設定'!$C$4,'月1回_2ヶ月前の在庫'!$W$6:$W$10005,$C54)/COUNTIFS('月1回_2ヶ月前の在庫'!$V$6:$V$10005,'設定'!$C$4,'月1回_2ヶ月前の在庫'!$W$6:$W$10005,$C54),0))))&gt;0,N(IF(COUNTIFS('①在庫を貼る'!$V$6:$V$10005,'設定'!$C$4,'①在庫を貼る'!$W$6:$W$10005,$C54)&gt;0,SUMIFS('①在庫を貼る'!$O$6:$O$10005,'①在庫を貼る'!$V$6:$V$10005,'設定'!$C$4,'①在庫を貼る'!$W$6:$W$10005,$C54)/COUNTIFS('①在庫を貼る'!$V$6:$V$10005,'設定'!$C$4,'①在庫を貼る'!$W$6:$W$10005,$C54),IF(COUNTIFS('月1回_1ヶ月前の在庫'!$V$6:$V$10005,'設定'!$C$4,'月1回_1ヶ月前の在庫'!$W$6:$W$10005,$C54)&gt;0,SUMIFS('月1回_1ヶ月前の在庫'!$O$6:$O$10005,'月1回_1ヶ月前の在庫'!$V$6:$V$10005,'設定'!$C$4,'月1回_1ヶ月前の在庫'!$W$6:$W$10005,$C54)/COUNTIFS('月1回_1ヶ月前の在庫'!$V$6:$V$10005,'設定'!$C$4,'月1回_1ヶ月前の在庫'!$W$6:$W$10005,$C54),IF(COUNTIFS('月1回_2ヶ月前の在庫'!$V$6:$V$10005,'設定'!$C$4,'月1回_2ヶ月前の在庫'!$W$6:$W$10005,$C54)&gt;0,SUMIFS('月1回_2ヶ月前の在庫'!$O$6:$O$10005,'月1回_2ヶ月前の在庫'!$V$6:$V$10005,'設定'!$C$4,'月1回_2ヶ月前の在庫'!$W$6:$W$10005,$C54)/COUNTIFS('月1回_2ヶ月前の在庫'!$V$6:$V$10005,'設定'!$C$4,'月1回_2ヶ月前の在庫'!$W$6:$W$10005,$C54),0)))),"")))</f>
        <v/>
      </c>
      <c r="P54" s="90">
        <f>IF($C54="","",IF('②発注する'!$I58="","",'②発注する'!$I58))</f>
        <v/>
      </c>
      <c r="Q54">
        <f>IF($C54="","",IF('②発注する'!$J58="","",'②発注する'!$J58))</f>
        <v/>
      </c>
      <c r="R54">
        <f>IF($C54="",0,IF(AND(ISNUMBER($P54),ISNUMBER($Q54)),MAX(0,$Q54)*$G54,0))</f>
        <v/>
      </c>
      <c r="S54" s="90">
        <f>IF($C54="","",IF('②発注する'!$M58="","",'②発注する'!$M58))</f>
        <v/>
      </c>
      <c r="T54">
        <f>IF($C54="","",IF('②発注する'!$N58="","",'②発注する'!$N58))</f>
        <v/>
      </c>
      <c r="U54">
        <f>IF($C54="",0,IF(AND(ISNUMBER($S54),ISNUMBER($T54)),MAX(0,$T54)*$G54,0))</f>
        <v/>
      </c>
      <c r="V54">
        <f>IF($C54="",0,IF($M54="",0,MAX(0,$M54)*MAX(0,V$4)/100))</f>
        <v/>
      </c>
      <c r="W54">
        <f>IF($C54="",0,IF($M54="",0,MAX(0,$M54)*MAX(0,W$4)/100))</f>
        <v/>
      </c>
      <c r="X54">
        <f>IF($C54="",0,IF($M54="",0,MAX(0,$M54)*MAX(0,X$4)/100))</f>
        <v/>
      </c>
      <c r="Y54">
        <f>IF($C54="",0,IF($M54="",0,MAX(0,$M54)*MAX(0,Y$4)/100))</f>
        <v/>
      </c>
      <c r="Z54">
        <f>IF($C54="",0,IF($M54="",0,MAX(0,$M54)*MAX(0,Z$4)/100))</f>
        <v/>
      </c>
      <c r="AA54">
        <f>IF($C54="",0,IF($M54="",0,MAX(0,$M54)*MAX(0,AA$4)/100))</f>
        <v/>
      </c>
      <c r="AB54">
        <f>IF($C54="",0,IF($M54="",0,MAX(0,$M54)*MAX(0,AB$4)/100))</f>
        <v/>
      </c>
      <c r="AC54">
        <f>IF($C54="",0,IF($M54="",0,MAX(0,$M54)*MAX(0,AC$4)/100))</f>
        <v/>
      </c>
      <c r="AD54">
        <f>IF($C54="",0,IF($M54="",0,MAX(0,$M54)*MAX(0,AD$4)/100))</f>
        <v/>
      </c>
      <c r="AE54">
        <f>IF($C54="",0,IF($M54="",0,MAX(0,$M54)*MAX(0,AE$4)/100))</f>
        <v/>
      </c>
      <c r="AF54">
        <f>IF($C54="",0,IF($M54="",0,MAX(0,$M54)*MAX(0,AF$4)/100))</f>
        <v/>
      </c>
      <c r="AG54">
        <f>IF($C54="",0,IF($M54="",0,MAX(0,$M54)*MAX(0,AG$4)/100))</f>
        <v/>
      </c>
      <c r="AH54">
        <f>IF($C54="",0,IF($M54="",0,MAX(0,$M54)*MAX(0,AH$4)/100))</f>
        <v/>
      </c>
      <c r="AI54">
        <f>IF($C54="",0,IF($M54="",0,MAX(0,$M54)*MAX(0,AI$4)/100))</f>
        <v/>
      </c>
      <c r="AJ54">
        <f>IF($C54="",0,MAX(0,MAX(0,N($L54))-$V54))</f>
        <v/>
      </c>
      <c r="AK54">
        <f>IF($C54="",0,MAX(0,$AJ54-$W54))</f>
        <v/>
      </c>
      <c r="AL54">
        <f>IF($C54="",0,MAX(0,$AK54-$X54))</f>
        <v/>
      </c>
      <c r="AM54">
        <f>IF($C54="",0,MAX(0,$AL54-$Y54))</f>
        <v/>
      </c>
      <c r="AN54">
        <f>IF($C54="",0,MAX(0,$AM54-$Z54))</f>
        <v/>
      </c>
      <c r="AO54">
        <f>IF($C54="",0,MAX(0,$AN54-$AA54))</f>
        <v/>
      </c>
      <c r="AP54">
        <f>IF($C54="",0,MAX(0,$AO54-$AB54))</f>
        <v/>
      </c>
      <c r="AQ54">
        <f>IF($C54="",0,MAX(0,$AP54-$AC54))</f>
        <v/>
      </c>
      <c r="AR54">
        <f>IF($C54="",0,MAX(0,$AQ54-$AD54))</f>
        <v/>
      </c>
      <c r="AS54">
        <f>IF($C54="",0,MAX(0,$AR54-$AE54))</f>
        <v/>
      </c>
      <c r="AT54">
        <f>IF($C54="",0,MAX(0,$AS54-$AF54))</f>
        <v/>
      </c>
      <c r="AU54">
        <f>IF($C54="",0,MAX(0,$AT54-$AG54))</f>
        <v/>
      </c>
      <c r="AV54">
        <f>IF($C54="",0,MAX(0,$AU54-$AH54))</f>
        <v/>
      </c>
      <c r="AW54">
        <f>IF($C54="",0,MAX(0,$AV54-$AI54))</f>
        <v/>
      </c>
      <c r="AX54">
        <f>IF($C54="",0,MAX(0,MAX(0,N($L54))+IF($P54=V$3,$R54,0)+IF($S54=V$3,$U54,0)-$V54))</f>
        <v/>
      </c>
      <c r="AY54">
        <f>IF($C54="",0,MAX(0,$AX54+IF($P54=W$3,$R54,0)+IF($S54=W$3,$U54,0)-$W54))</f>
        <v/>
      </c>
      <c r="AZ54">
        <f>IF($C54="",0,MAX(0,$AY54+IF($P54=X$3,$R54,0)+IF($S54=X$3,$U54,0)-$X54))</f>
        <v/>
      </c>
      <c r="BA54">
        <f>IF($C54="",0,MAX(0,$AZ54+IF($P54=Y$3,$R54,0)+IF($S54=Y$3,$U54,0)-$Y54))</f>
        <v/>
      </c>
      <c r="BB54">
        <f>IF($C54="",0,MAX(0,$BA54+IF($P54=Z$3,$R54,0)+IF($S54=Z$3,$U54,0)-$Z54))</f>
        <v/>
      </c>
      <c r="BC54">
        <f>IF($C54="",0,MAX(0,$BB54+IF($P54=AA$3,$R54,0)+IF($S54=AA$3,$U54,0)-$AA54))</f>
        <v/>
      </c>
      <c r="BD54">
        <f>IF($C54="",0,MAX(0,$BC54+IF($P54=AB$3,$R54,0)+IF($S54=AB$3,$U54,0)-$AB54))</f>
        <v/>
      </c>
      <c r="BE54">
        <f>IF($C54="",0,MAX(0,$BD54+IF($P54=AC$3,$R54,0)+IF($S54=AC$3,$U54,0)-$AC54))</f>
        <v/>
      </c>
      <c r="BF54">
        <f>IF($C54="",0,MAX(0,$BE54+IF($P54=AD$3,$R54,0)+IF($S54=AD$3,$U54,0)-$AD54))</f>
        <v/>
      </c>
      <c r="BG54">
        <f>IF($C54="",0,MAX(0,$BF54+IF($P54=AE$3,$R54,0)+IF($S54=AE$3,$U54,0)-$AE54))</f>
        <v/>
      </c>
      <c r="BH54">
        <f>IF($C54="",0,MAX(0,$BG54+IF($P54=AF$3,$R54,0)+IF($S54=AF$3,$U54,0)-$AF54))</f>
        <v/>
      </c>
      <c r="BI54">
        <f>IF($C54="",0,MAX(0,$BH54+IF($P54=AG$3,$R54,0)+IF($S54=AG$3,$U54,0)-$AG54))</f>
        <v/>
      </c>
      <c r="BJ54">
        <f>IF($C54="",0,MAX(0,$BI54+IF($P54=AH$3,$R54,0)+IF($S54=AH$3,$U54,0)-$AH54))</f>
        <v/>
      </c>
      <c r="BK54">
        <f>IF($C54="",0,MAX(0,$BJ54+IF($P54=AI$3,$R54,0)+IF($S54=AI$3,$U54,0)-$AI54))</f>
        <v/>
      </c>
      <c r="BL54">
        <f>IF($C54="",99,IF(AND($AX54&lt;1,V$3&gt;=MAX(N($P54),N($S54))),0,99))</f>
        <v/>
      </c>
      <c r="BM54">
        <f>IF($C54="",99,IF(AND($AY54&lt;1,W$3&gt;=MAX(N($P54),N($S54))),1,99))</f>
        <v/>
      </c>
      <c r="BN54">
        <f>IF($C54="",99,IF(AND($AZ54&lt;1,X$3&gt;=MAX(N($P54),N($S54))),2,99))</f>
        <v/>
      </c>
      <c r="BO54">
        <f>IF($C54="",99,IF(AND($BA54&lt;1,Y$3&gt;=MAX(N($P54),N($S54))),3,99))</f>
        <v/>
      </c>
      <c r="BP54">
        <f>IF($C54="",99,IF(AND($BB54&lt;1,Z$3&gt;=MAX(N($P54),N($S54))),4,99))</f>
        <v/>
      </c>
      <c r="BQ54">
        <f>IF($C54="",99,IF(AND($BC54&lt;1,AA$3&gt;=MAX(N($P54),N($S54))),5,99))</f>
        <v/>
      </c>
      <c r="BR54">
        <f>IF($C54="",99,IF(AND($BD54&lt;1,AB$3&gt;=MAX(N($P54),N($S54))),6,99))</f>
        <v/>
      </c>
      <c r="BS54">
        <f>IF($C54="",99,IF(AND($BE54&lt;1,AC$3&gt;=MAX(N($P54),N($S54))),7,99))</f>
        <v/>
      </c>
      <c r="BT54">
        <f>IF($C54="",99,IF(AND($BF54&lt;1,AD$3&gt;=MAX(N($P54),N($S54))),8,99))</f>
        <v/>
      </c>
      <c r="BU54">
        <f>IF($C54="",99,IF(AND($BG54&lt;1,AE$3&gt;=MAX(N($P54),N($S54))),9,99))</f>
        <v/>
      </c>
      <c r="BV54">
        <f>IF($C54="",99,IF(AND($BH54&lt;1,AF$3&gt;=MAX(N($P54),N($S54))),10,99))</f>
        <v/>
      </c>
      <c r="BW54">
        <f>IF($C54="",99,IF(AND($BI54&lt;1,AG$3&gt;=MAX(N($P54),N($S54))),11,99))</f>
        <v/>
      </c>
      <c r="BX54">
        <f>IF($C54="",99,IF(AND($BJ54&lt;1,AH$3&gt;=MAX(N($P54),N($S54))),12,99))</f>
        <v/>
      </c>
      <c r="BY54">
        <f>IF($C54="",99,IF(AND($BK54&lt;1,AI$3&gt;=MAX(N($P54),N($S54))),13,99))</f>
        <v/>
      </c>
      <c r="BZ54">
        <f>IF(OR($C54="",$M54=""),"",COUNTIF($AJ54:$AW54,"&gt;=1"))</f>
        <v/>
      </c>
      <c r="CA54" s="90">
        <f>IF($BZ54="","",IF($BZ54&gt;=14,"",'設定'!$C$6+$BZ54))</f>
        <v/>
      </c>
      <c r="CB54">
        <f>IF(OR($C54="",$M54=""),"",MIN($BL54:$BY54))</f>
        <v/>
      </c>
      <c r="CC54" s="90">
        <f>IF($CB54="","",IF($CB54&gt;=99,"",'設定'!$C$6+$CB54))</f>
        <v/>
      </c>
      <c r="CD54">
        <f>IF(OR($C54="",$M54=""),"",AVERAGE($V54:$AI54))</f>
        <v/>
      </c>
      <c r="CE54">
        <f>IF($C54="","",IFERROR(IF(MATCH(IF(ISNUMBER($P54),$P54,'設定'!$C$6+N('設定'!$C$7)),$V$3:$AI$3,0)=1,MAX(0,N($L54)),INDEX($AJ54:$AW54,MATCH(IF(ISNUMBER($P54),$P54,'設定'!$C$6+N('設定'!$C$7)),$V$3:$AI$3,0)-1)),""))</f>
        <v/>
      </c>
      <c r="CF54">
        <f>IF(OR($C54="",$O54="",$CE54=""),"",IF($O54-$CE54&lt;=0,0,ROUNDUP(($O54-$CE54)/$G54,0)))</f>
        <v/>
      </c>
      <c r="CG54">
        <f>IF(OR($C54="",$CF54="",NOT(ISNUMBER($Q54))),0,MAX(0,$Q54-$CF54))</f>
        <v/>
      </c>
      <c r="CH54">
        <f>IF(OR($C54="",$O54="",$U54=0),0,IFERROR(ROUNDUP(MAX(0,IF(MATCH($S54,$V$3:$AI$3,0)=1,MAX(0,N($L54)),INDEX($AX54:$BK54,MATCH($S54,$V$3:$AI$3,0)-1))+$U54-$O54)/$G54,0),0))</f>
        <v/>
      </c>
      <c r="CI54">
        <f>IF($C54="","",IF(AND($P54="",$Q54=""),"",IF($P54="","⚠ 入庫日を ▼ から選んでください",IF(NOT(ISNUMBER($P54)),"⚠ 入庫日は ▼ から選んでください",IF($P54&lt;N('設定'!$C$6),"⚠ 入庫日が過去です（もう在庫に入っています）→ 消してください",IF($P54&gt;N('設定'!$C$6)+13,"⚠ 入庫日が14日より先です",IF(N($Q54)&lt;=0,"⚠ 入庫数を入れてください",IF($CG54&gt;0,"⚠ 目安より "&amp;$CG54&amp;" 多い（定数を超える）→ 減らす",""))))))))</f>
        <v/>
      </c>
      <c r="CJ54">
        <f>IF($C54="","",IF(AND($S54="",$T54=""),"",IF($S54="","⚠ 2便目：入庫日を ▼ から選んでください",IF(NOT(ISNUMBER($S54)),"⚠ 2便目：入庫日は ▼ から選んでください",IF($S54&lt;N('設定'!$C$6),"⚠ 2便目：入庫日が過去です（もう在庫に入っています）→ 消してください",IF($S54&gt;N('設定'!$C$6)+13,"⚠ 2便目：入庫日が14日より先です",IF(N($T54)&lt;=0,"⚠ 2便目：入庫数を入れてください",IF($CH54&gt;0,"⚠ 2便目：定数を "&amp;$CH54&amp;" ケース超える → 減らす",""))))))))</f>
        <v/>
      </c>
      <c r="CK54">
        <f>IF(AND($CI54="",N($Q54)&gt;0,ISNUMBER($P54)),1,0)</f>
        <v/>
      </c>
      <c r="CL54">
        <f>IF(AND($CJ54="",N($T54)&gt;0,ISNUMBER($S54)),1,0)</f>
        <v/>
      </c>
      <c r="CM54">
        <f>IF(OR($CK54=1,$CL54=1),1,0)</f>
        <v/>
      </c>
      <c r="CN54">
        <f>IF($C54="",0,($CK54*$R54+$CL54*$U54)*N($H54))</f>
        <v/>
      </c>
      <c r="CO54">
        <f>IF($C54="","",IF($CC54="","入庫後は 14日以上もつ",IF($CC54-N('設定'!$C$7)&lt;='設定'!$C$6,"入庫後も "&amp;TEXT($CC54,"m/d")&amp;"("&amp;CHOOSE(WEEKDAY($CC54),"日","月","火","水","木","金","土")&amp;")"&amp;" に切れる　もう1便を至急発注","入庫後も "&amp;TEXT($CC54,"m/d")&amp;"("&amp;CHOOSE(WEEKDAY($CC54),"日","月","火","水","木","金","土")&amp;")"&amp;" に切れる　"&amp;TEXT($CC54-N('設定'!$C$7),"m/d")&amp;"("&amp;CHOOSE(WEEKDAY($CC54-N('設定'!$C$7)),"日","月","火","水","木","金","土")&amp;")"&amp;" までに次を発注")))</f>
        <v/>
      </c>
      <c r="CP54">
        <f>IF($C54="","",IF('設定'!$C$6="","？ ①在庫を貼る に今日のCSVが貼られていない",IF($CS54=1,"－ 今日のCSVに無い（終売？）",IF($L54&lt;0,"● 在庫がマイナス　数えて「数えた在庫」に入れる",IF($L54=0,"● 在庫なし　至急発注",IF($M54="","？ 減り数が未設定（商品マスタ）",IF($B$3=0,"？ 動員が未入力（動員を入れる）",IF($CA54="","○ 14日以上もつ",IF($BZ54&lt;N('設定'!$C$7),"● "&amp;TEXT($CA54,"m/d")&amp;"("&amp;CHOOSE(WEEKDAY($CA54),"日","月","火","水","木","金","土")&amp;")"&amp;" に切れる　至急発注",IF($BZ54=N('設定'!$C$7),"● "&amp;TEXT($CA54,"m/d")&amp;"("&amp;CHOOSE(WEEKDAY($CA54),"日","月","火","水","木","金","土")&amp;")"&amp;" に切れる　今日発注","△ "&amp;TEXT($CA54,"m/d")&amp;"("&amp;CHOOSE(WEEKDAY($CA54),"日","月","火","水","木","金","土")&amp;")"&amp;" に切れる　"&amp;TEXT($CA54-N('設定'!$C$7),"m/d")&amp;"("&amp;CHOOSE(WEEKDAY($CA54-N('設定'!$C$7)),"日","月","火","水","木","金","土")&amp;")"&amp;" までに発注"))))))))))</f>
        <v/>
      </c>
      <c r="CQ54">
        <f>IF($C54="","",IF(AND($P54="",$Q54="",$S54="",$T54=""),"",IF(AND($P54="",$Q54=""),"⚠ 先に1便目（左の入庫日・入庫数）に入れてください",IF($CI54&lt;&gt;"",$CI54,IF($CJ54&lt;&gt;"",$CJ54,IF($M54="","？ 減り数が未設定（発注書には載ります）",IF($B$3=0,"？ 動員が未入力（発注書には載ります）",IF(AND($CA54&lt;&gt;"",$P54&gt;$CA54),IF($P54&gt;'設定'!$C$6+N('設定'!$C$7),"● "&amp;TEXT($P54,"m/d")&amp;"("&amp;CHOOSE(WEEKDAY($P54),"日","月","火","水","木","金","土")&amp;")"&amp;" の入庫では間に合わない（"&amp;TEXT($CA54,"m/d")&amp;"("&amp;CHOOSE(WEEKDAY($CA54),"日","月","火","水","木","金","土")&amp;")"&amp;" に切れる）　入庫日を早める","△ 欠品 "&amp;TEXT($CA54,"m/d")&amp;"("&amp;CHOOSE(WEEKDAY($CA54),"日","月","火","水","木","金","土")&amp;")"&amp;"〜"&amp;TEXT($P54-1,"m/d")&amp;"("&amp;CHOOSE(WEEKDAY($P54-1),"日","月","火","水","木","金","土")&amp;")"&amp;"　"&amp;$CO54),IF($CC54="","○ "&amp;TEXT($P54,"m/d")&amp;"("&amp;CHOOSE(WEEKDAY($P54),"日","月","火","水","木","金","土")&amp;")"&amp;" 入庫で 14日以上もつ",IF($CC54-N('設定'!$C$7)&lt;='設定'!$C$6,"● 入庫しても "&amp;TEXT($CC54,"m/d")&amp;"("&amp;CHOOSE(WEEKDAY($CC54),"日","月","火","水","木","金","土")&amp;")"&amp;" に切れる　もう1便を至急発注（2便目に入れる）","△ 入庫しても "&amp;TEXT($CC54,"m/d")&amp;"("&amp;CHOOSE(WEEKDAY($CC54),"日","月","火","水","木","金","土")&amp;")"&amp;" に切れる　"&amp;TEXT($CC54-N('設定'!$C$7),"m/d")&amp;"("&amp;CHOOSE(WEEKDAY($CC54-N('設定'!$C$7)),"日","月","火","水","木","金","土")&amp;")"&amp;" までに次を発注（2便目に入れる）"))))))))))</f>
        <v/>
      </c>
      <c r="CR54">
        <f>IF($C54="","",IF($G54&gt;1,"ｹｰｽ("&amp;$G54&amp;"入)","個"))</f>
        <v/>
      </c>
      <c r="CS54">
        <f>IF($C54="",0,IF(COUNTIFS('①在庫を貼る'!$V$6:$V$10005,'設定'!$C$4,'①在庫を貼る'!$W$6:$W$10005,$C54)=0,1,0))</f>
        <v/>
      </c>
      <c r="CT54">
        <f>IF(AND($CK54=1,OR('③発注書'!$C$4="すべて",'③発注書'!$C$4="",$F54='③発注書'!$C$4)),N($CT53)+1,N($CT53))</f>
        <v/>
      </c>
      <c r="CU54">
        <f>IF(AND($CL54=1,OR('③発注書'!$C$4="すべて",'③発注書'!$C$4="",$F54='③発注書'!$C$4)),N($CU53)+1,N($CU53))</f>
        <v/>
      </c>
      <c r="CV54">
        <f>IF($C54="",0,IF(COUNTIFS('①在庫を貼る'!$V$6:$V$10005,'設定'!$C$4,'①在庫を貼る'!$W$6:$W$10005,$C54)&gt;0,1,0))</f>
        <v/>
      </c>
      <c r="CW54">
        <f>IF($C54="",0,IF(COUNTIFS('月1回_1ヶ月前の在庫'!$V$6:$V$10005,'設定'!$C$4,'月1回_1ヶ月前の在庫'!$W$6:$W$10005,$C54)&gt;0,1,0))</f>
        <v/>
      </c>
      <c r="CX54">
        <f>IF($C54="",0,IF(COUNTIFS('月1回_2ヶ月前の在庫'!$V$6:$V$10005,'設定'!$C$4,'月1回_2ヶ月前の在庫'!$W$6:$W$10005,$C54)&gt;0,1,0))</f>
        <v/>
      </c>
      <c r="CY54">
        <f>IF(OR($C54="",'設定'!$C$12=""),"",IF('設定'!$C$13="",IF(AND($CV54=1,$CW54=0),"新商品（今月から）",IF(AND($CV54=0,$CW54=1),"終売（今月から）","")),IF(AND($CV54=1,$CW54=0,$CX54=0),"新商品（今月から）",IF(AND($CV54=1,$CW54=1,$CX54=0),"新商品（先月から）",IF(AND($CV54=0,$CW54=1,$CX54=1),"終売（今月から）",IF(AND($CV54=0,$CW54=0,$CX54=1),"終売（先月から）",IF(AND($CV54=1,$CW54=0,$CX54=1),"復活（先月は無し）","")))))))</f>
        <v/>
      </c>
    </row>
    <row r="55">
      <c r="B55">
        <f>IF(50&lt;='設定'!$C$11,50,"")</f>
        <v/>
      </c>
      <c r="C55">
        <f>IF($B55="","",IF($B55&lt;='設定'!$C$20,INDEX('商品マスタ'!$B$6:$B$1005,MATCH($B55,'商品マスタ'!$M$6:$M$1005,0)),IF($B55&lt;='設定'!$C$20+'設定'!$C$17,INDEX('①在庫を貼る'!$W$6:$W$10005,MATCH($B55-'設定'!$C$20,'①在庫を貼る'!$U$6:$U$10005,0)),IF($B55&lt;='設定'!$C$20+'設定'!$C$17+'設定'!$C$18,INDEX('月1回_1ヶ月前の在庫'!$W$6:$W$10005,MATCH($B55-'設定'!$C$20-'設定'!$C$17,'月1回_1ヶ月前の在庫'!$U$6:$U$10005,0)),INDEX('月1回_2ヶ月前の在庫'!$W$6:$W$10005,MATCH($B55-'設定'!$C$20-'設定'!$C$17-'設定'!$C$18,'月1回_2ヶ月前の在庫'!$U$6:$U$10005,0))))))</f>
        <v/>
      </c>
      <c r="D55">
        <f>IF($C55="","",IFERROR(IF(INDEX('商品マスタ'!$C$6:$C$1005,MATCH($C55,'商品マスタ'!$B$6:$B$1005,0))="",IFERROR(INDEX('①在庫を貼る'!$J$6:$J$10005,MATCH($C55,'①在庫を貼る'!$W$6:$W$10005,0)),IFERROR(INDEX('月1回_1ヶ月前の在庫'!$J$6:$J$10005,MATCH($C55,'月1回_1ヶ月前の在庫'!$W$6:$W$10005,0)),IFERROR(INDEX('月1回_2ヶ月前の在庫'!$J$6:$J$10005,MATCH($C55,'月1回_2ヶ月前の在庫'!$W$6:$W$10005,0)),""))),INDEX('商品マスタ'!$C$6:$C$1005,MATCH($C55,'商品マスタ'!$B$6:$B$1005,0))),IFERROR(INDEX('①在庫を貼る'!$J$6:$J$10005,MATCH($C55,'①在庫を貼る'!$W$6:$W$10005,0)),IFERROR(INDEX('月1回_1ヶ月前の在庫'!$J$6:$J$10005,MATCH($C55,'月1回_1ヶ月前の在庫'!$W$6:$W$10005,0)),IFERROR(INDEX('月1回_2ヶ月前の在庫'!$J$6:$J$10005,MATCH($C55,'月1回_2ヶ月前の在庫'!$W$6:$W$10005,0)),"")))))</f>
        <v/>
      </c>
      <c r="E55">
        <f>IF($C55="","",IFERROR(IF(INDEX('商品マスタ'!$D$6:$D$1005,MATCH($C55,'商品マスタ'!$B$6:$B$1005,0))="",IFERROR(INDEX('①在庫を貼る'!$H$6:$H$10005,MATCH($C55,'①在庫を貼る'!$W$6:$W$10005,0)),IFERROR(INDEX('月1回_1ヶ月前の在庫'!$H$6:$H$10005,MATCH($C55,'月1回_1ヶ月前の在庫'!$W$6:$W$10005,0)),IFERROR(INDEX('月1回_2ヶ月前の在庫'!$H$6:$H$10005,MATCH($C55,'月1回_2ヶ月前の在庫'!$W$6:$W$10005,0)),""))),INDEX('商品マスタ'!$D$6:$D$1005,MATCH($C55,'商品マスタ'!$B$6:$B$1005,0))),IFERROR(INDEX('①在庫を貼る'!$H$6:$H$10005,MATCH($C55,'①在庫を貼る'!$W$6:$W$10005,0)),IFERROR(INDEX('月1回_1ヶ月前の在庫'!$H$6:$H$10005,MATCH($C55,'月1回_1ヶ月前の在庫'!$W$6:$W$10005,0)),IFERROR(INDEX('月1回_2ヶ月前の在庫'!$H$6:$H$10005,MATCH($C55,'月1回_2ヶ月前の在庫'!$W$6:$W$10005,0)),"")))))</f>
        <v/>
      </c>
      <c r="F55">
        <f>IF($C55="","",IFERROR(IF(INDEX('商品マスタ'!$E$6:$E$1005,MATCH($C55,'商品マスタ'!$B$6:$B$1005,0))="",IFERROR(INDEX('①在庫を貼る'!$E$6:$E$10005,MATCH($C55,'①在庫を貼る'!$W$6:$W$10005,0)),IFERROR(INDEX('月1回_1ヶ月前の在庫'!$E$6:$E$10005,MATCH($C55,'月1回_1ヶ月前の在庫'!$W$6:$W$10005,0)),IFERROR(INDEX('月1回_2ヶ月前の在庫'!$E$6:$E$10005,MATCH($C55,'月1回_2ヶ月前の在庫'!$W$6:$W$10005,0)),""))),INDEX('商品マスタ'!$E$6:$E$1005,MATCH($C55,'商品マスタ'!$B$6:$B$1005,0))),IFERROR(INDEX('①在庫を貼る'!$E$6:$E$10005,MATCH($C55,'①在庫を貼る'!$W$6:$W$10005,0)),IFERROR(INDEX('月1回_1ヶ月前の在庫'!$E$6:$E$10005,MATCH($C55,'月1回_1ヶ月前の在庫'!$W$6:$W$10005,0)),IFERROR(INDEX('月1回_2ヶ月前の在庫'!$E$6:$E$10005,MATCH($C55,'月1回_2ヶ月前の在庫'!$W$6:$W$10005,0)),"")))))</f>
        <v/>
      </c>
      <c r="G55">
        <f>IF($C55="","",MAX(1,N(IFERROR(IF(INDEX('商品マスタ'!$F$6:$F$1005,MATCH($C55,'商品マスタ'!$B$6:$B$1005,0))="",IF(COUNTIFS('①在庫を貼る'!$V$6:$V$10005,'設定'!$C$4,'①在庫を貼る'!$W$6:$W$10005,$C55)&gt;0,SUMIFS('①在庫を貼る'!$K$6:$K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K$6:$K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K$6:$K$10005,'月1回_2ヶ月前の在庫'!$V$6:$V$10005,'設定'!$C$4,'月1回_2ヶ月前の在庫'!$W$6:$W$10005,$C55)/COUNTIFS('月1回_2ヶ月前の在庫'!$V$6:$V$10005,'設定'!$C$4,'月1回_2ヶ月前の在庫'!$W$6:$W$10005,$C55),0))),INDEX('商品マスタ'!$F$6:$F$1005,MATCH($C55,'商品マスタ'!$B$6:$B$1005,0))),IF(COUNTIFS('①在庫を貼る'!$V$6:$V$10005,'設定'!$C$4,'①在庫を貼る'!$W$6:$W$10005,$C55)&gt;0,SUMIFS('①在庫を貼る'!$K$6:$K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K$6:$K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K$6:$K$10005,'月1回_2ヶ月前の在庫'!$V$6:$V$10005,'設定'!$C$4,'月1回_2ヶ月前の在庫'!$W$6:$W$10005,$C55)/COUNTIFS('月1回_2ヶ月前の在庫'!$V$6:$V$10005,'設定'!$C$4,'月1回_2ヶ月前の在庫'!$W$6:$W$10005,$C55),0)))))))</f>
        <v/>
      </c>
      <c r="H55">
        <f>IF($C55="","",N(IFERROR(IF(INDEX('商品マスタ'!$G$6:$G$1005,MATCH($C55,'商品マスタ'!$B$6:$B$1005,0))="",IF(COUNTIFS('①在庫を貼る'!$V$6:$V$10005,'設定'!$C$4,'①在庫を貼る'!$W$6:$W$10005,$C55)&gt;0,SUMIFS('①在庫を貼る'!$Q$6:$Q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Q$6:$Q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Q$6:$Q$10005,'月1回_2ヶ月前の在庫'!$V$6:$V$10005,'設定'!$C$4,'月1回_2ヶ月前の在庫'!$W$6:$W$10005,$C55)/COUNTIFS('月1回_2ヶ月前の在庫'!$V$6:$V$10005,'設定'!$C$4,'月1回_2ヶ月前の在庫'!$W$6:$W$10005,$C55),0))),INDEX('商品マスタ'!$G$6:$G$1005,MATCH($C55,'商品マスタ'!$B$6:$B$1005,0))),IF(COUNTIFS('①在庫を貼る'!$V$6:$V$10005,'設定'!$C$4,'①在庫を貼る'!$W$6:$W$10005,$C55)&gt;0,SUMIFS('①在庫を貼る'!$Q$6:$Q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Q$6:$Q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Q$6:$Q$10005,'月1回_2ヶ月前の在庫'!$V$6:$V$10005,'設定'!$C$4,'月1回_2ヶ月前の在庫'!$W$6:$W$10005,$C55)/COUNTIFS('月1回_2ヶ月前の在庫'!$V$6:$V$10005,'設定'!$C$4,'月1回_2ヶ月前の在庫'!$W$6:$W$10005,$C55),0))))))</f>
        <v/>
      </c>
      <c r="I55">
        <f>IF($C55="","",IF(COUNTIFS('①在庫を貼る'!$V$6:$V$10005,'設定'!$C$4,'①在庫を貼る'!$W$6:$W$10005,$C55)=0,"",SUMIFS('①在庫を貼る'!$N$6:$N$10005,'①在庫を貼る'!$V$6:$V$10005,'設定'!$C$4,'①在庫を貼る'!$W$6:$W$10005,$C55)))</f>
        <v/>
      </c>
      <c r="J55">
        <f>IF($C55="","",IF('②発注する'!$AD59="","",'②発注する'!$AD59))</f>
        <v/>
      </c>
      <c r="K55" s="90">
        <f>IF($C55="","",IF('②発注する'!$AE59="","",'②発注する'!$AE59))</f>
        <v/>
      </c>
      <c r="L55">
        <f>IF($C55="","",IF(AND(ISNUMBER($J55),ISNUMBER($K55),$K55&gt;='設定'!$C$6),$J55,N($I55)))</f>
        <v/>
      </c>
      <c r="M55">
        <f>IF($C55="","",IFERROR(IF(N(INDEX('商品マスタ'!$J$6:$J$1005,MATCH($C55,'商品マスタ'!$B$6:$B$1005,0)))&gt;0,INDEX('商品マスタ'!$J$6:$J$1005,MATCH($C55,'商品マスタ'!$B$6:$B$1005,0)),""),""))</f>
        <v/>
      </c>
      <c r="N55">
        <f>IF($C55="","",IFERROR(IF(N(INDEX('商品マスタ'!$H$6:$H$1005,MATCH($C55,'商品マスタ'!$B$6:$B$1005,0)))&gt;0,INDEX('商品マスタ'!$H$6:$H$1005,MATCH($C55,'商品マスタ'!$B$6:$B$1005,0)),""),""))</f>
        <v/>
      </c>
      <c r="O55">
        <f>IF($C55="","",IF($N55&lt;&gt;"",$N55*$G55,IF(N(IF(COUNTIFS('①在庫を貼る'!$V$6:$V$10005,'設定'!$C$4,'①在庫を貼る'!$W$6:$W$10005,$C55)&gt;0,SUMIFS('①在庫を貼る'!$O$6:$O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O$6:$O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O$6:$O$10005,'月1回_2ヶ月前の在庫'!$V$6:$V$10005,'設定'!$C$4,'月1回_2ヶ月前の在庫'!$W$6:$W$10005,$C55)/COUNTIFS('月1回_2ヶ月前の在庫'!$V$6:$V$10005,'設定'!$C$4,'月1回_2ヶ月前の在庫'!$W$6:$W$10005,$C55),0))))&gt;0,N(IF(COUNTIFS('①在庫を貼る'!$V$6:$V$10005,'設定'!$C$4,'①在庫を貼る'!$W$6:$W$10005,$C55)&gt;0,SUMIFS('①在庫を貼る'!$O$6:$O$10005,'①在庫を貼る'!$V$6:$V$10005,'設定'!$C$4,'①在庫を貼る'!$W$6:$W$10005,$C55)/COUNTIFS('①在庫を貼る'!$V$6:$V$10005,'設定'!$C$4,'①在庫を貼る'!$W$6:$W$10005,$C55),IF(COUNTIFS('月1回_1ヶ月前の在庫'!$V$6:$V$10005,'設定'!$C$4,'月1回_1ヶ月前の在庫'!$W$6:$W$10005,$C55)&gt;0,SUMIFS('月1回_1ヶ月前の在庫'!$O$6:$O$10005,'月1回_1ヶ月前の在庫'!$V$6:$V$10005,'設定'!$C$4,'月1回_1ヶ月前の在庫'!$W$6:$W$10005,$C55)/COUNTIFS('月1回_1ヶ月前の在庫'!$V$6:$V$10005,'設定'!$C$4,'月1回_1ヶ月前の在庫'!$W$6:$W$10005,$C55),IF(COUNTIFS('月1回_2ヶ月前の在庫'!$V$6:$V$10005,'設定'!$C$4,'月1回_2ヶ月前の在庫'!$W$6:$W$10005,$C55)&gt;0,SUMIFS('月1回_2ヶ月前の在庫'!$O$6:$O$10005,'月1回_2ヶ月前の在庫'!$V$6:$V$10005,'設定'!$C$4,'月1回_2ヶ月前の在庫'!$W$6:$W$10005,$C55)/COUNTIFS('月1回_2ヶ月前の在庫'!$V$6:$V$10005,'設定'!$C$4,'月1回_2ヶ月前の在庫'!$W$6:$W$10005,$C55),0)))),"")))</f>
        <v/>
      </c>
      <c r="P55" s="90">
        <f>IF($C55="","",IF('②発注する'!$I59="","",'②発注する'!$I59))</f>
        <v/>
      </c>
      <c r="Q55">
        <f>IF($C55="","",IF('②発注する'!$J59="","",'②発注する'!$J59))</f>
        <v/>
      </c>
      <c r="R55">
        <f>IF($C55="",0,IF(AND(ISNUMBER($P55),ISNUMBER($Q55)),MAX(0,$Q55)*$G55,0))</f>
        <v/>
      </c>
      <c r="S55" s="90">
        <f>IF($C55="","",IF('②発注する'!$M59="","",'②発注する'!$M59))</f>
        <v/>
      </c>
      <c r="T55">
        <f>IF($C55="","",IF('②発注する'!$N59="","",'②発注する'!$N59))</f>
        <v/>
      </c>
      <c r="U55">
        <f>IF($C55="",0,IF(AND(ISNUMBER($S55),ISNUMBER($T55)),MAX(0,$T55)*$G55,0))</f>
        <v/>
      </c>
      <c r="V55">
        <f>IF($C55="",0,IF($M55="",0,MAX(0,$M55)*MAX(0,V$4)/100))</f>
        <v/>
      </c>
      <c r="W55">
        <f>IF($C55="",0,IF($M55="",0,MAX(0,$M55)*MAX(0,W$4)/100))</f>
        <v/>
      </c>
      <c r="X55">
        <f>IF($C55="",0,IF($M55="",0,MAX(0,$M55)*MAX(0,X$4)/100))</f>
        <v/>
      </c>
      <c r="Y55">
        <f>IF($C55="",0,IF($M55="",0,MAX(0,$M55)*MAX(0,Y$4)/100))</f>
        <v/>
      </c>
      <c r="Z55">
        <f>IF($C55="",0,IF($M55="",0,MAX(0,$M55)*MAX(0,Z$4)/100))</f>
        <v/>
      </c>
      <c r="AA55">
        <f>IF($C55="",0,IF($M55="",0,MAX(0,$M55)*MAX(0,AA$4)/100))</f>
        <v/>
      </c>
      <c r="AB55">
        <f>IF($C55="",0,IF($M55="",0,MAX(0,$M55)*MAX(0,AB$4)/100))</f>
        <v/>
      </c>
      <c r="AC55">
        <f>IF($C55="",0,IF($M55="",0,MAX(0,$M55)*MAX(0,AC$4)/100))</f>
        <v/>
      </c>
      <c r="AD55">
        <f>IF($C55="",0,IF($M55="",0,MAX(0,$M55)*MAX(0,AD$4)/100))</f>
        <v/>
      </c>
      <c r="AE55">
        <f>IF($C55="",0,IF($M55="",0,MAX(0,$M55)*MAX(0,AE$4)/100))</f>
        <v/>
      </c>
      <c r="AF55">
        <f>IF($C55="",0,IF($M55="",0,MAX(0,$M55)*MAX(0,AF$4)/100))</f>
        <v/>
      </c>
      <c r="AG55">
        <f>IF($C55="",0,IF($M55="",0,MAX(0,$M55)*MAX(0,AG$4)/100))</f>
        <v/>
      </c>
      <c r="AH55">
        <f>IF($C55="",0,IF($M55="",0,MAX(0,$M55)*MAX(0,AH$4)/100))</f>
        <v/>
      </c>
      <c r="AI55">
        <f>IF($C55="",0,IF($M55="",0,MAX(0,$M55)*MAX(0,AI$4)/100))</f>
        <v/>
      </c>
      <c r="AJ55">
        <f>IF($C55="",0,MAX(0,MAX(0,N($L55))-$V55))</f>
        <v/>
      </c>
      <c r="AK55">
        <f>IF($C55="",0,MAX(0,$AJ55-$W55))</f>
        <v/>
      </c>
      <c r="AL55">
        <f>IF($C55="",0,MAX(0,$AK55-$X55))</f>
        <v/>
      </c>
      <c r="AM55">
        <f>IF($C55="",0,MAX(0,$AL55-$Y55))</f>
        <v/>
      </c>
      <c r="AN55">
        <f>IF($C55="",0,MAX(0,$AM55-$Z55))</f>
        <v/>
      </c>
      <c r="AO55">
        <f>IF($C55="",0,MAX(0,$AN55-$AA55))</f>
        <v/>
      </c>
      <c r="AP55">
        <f>IF($C55="",0,MAX(0,$AO55-$AB55))</f>
        <v/>
      </c>
      <c r="AQ55">
        <f>IF($C55="",0,MAX(0,$AP55-$AC55))</f>
        <v/>
      </c>
      <c r="AR55">
        <f>IF($C55="",0,MAX(0,$AQ55-$AD55))</f>
        <v/>
      </c>
      <c r="AS55">
        <f>IF($C55="",0,MAX(0,$AR55-$AE55))</f>
        <v/>
      </c>
      <c r="AT55">
        <f>IF($C55="",0,MAX(0,$AS55-$AF55))</f>
        <v/>
      </c>
      <c r="AU55">
        <f>IF($C55="",0,MAX(0,$AT55-$AG55))</f>
        <v/>
      </c>
      <c r="AV55">
        <f>IF($C55="",0,MAX(0,$AU55-$AH55))</f>
        <v/>
      </c>
      <c r="AW55">
        <f>IF($C55="",0,MAX(0,$AV55-$AI55))</f>
        <v/>
      </c>
      <c r="AX55">
        <f>IF($C55="",0,MAX(0,MAX(0,N($L55))+IF($P55=V$3,$R55,0)+IF($S55=V$3,$U55,0)-$V55))</f>
        <v/>
      </c>
      <c r="AY55">
        <f>IF($C55="",0,MAX(0,$AX55+IF($P55=W$3,$R55,0)+IF($S55=W$3,$U55,0)-$W55))</f>
        <v/>
      </c>
      <c r="AZ55">
        <f>IF($C55="",0,MAX(0,$AY55+IF($P55=X$3,$R55,0)+IF($S55=X$3,$U55,0)-$X55))</f>
        <v/>
      </c>
      <c r="BA55">
        <f>IF($C55="",0,MAX(0,$AZ55+IF($P55=Y$3,$R55,0)+IF($S55=Y$3,$U55,0)-$Y55))</f>
        <v/>
      </c>
      <c r="BB55">
        <f>IF($C55="",0,MAX(0,$BA55+IF($P55=Z$3,$R55,0)+IF($S55=Z$3,$U55,0)-$Z55))</f>
        <v/>
      </c>
      <c r="BC55">
        <f>IF($C55="",0,MAX(0,$BB55+IF($P55=AA$3,$R55,0)+IF($S55=AA$3,$U55,0)-$AA55))</f>
        <v/>
      </c>
      <c r="BD55">
        <f>IF($C55="",0,MAX(0,$BC55+IF($P55=AB$3,$R55,0)+IF($S55=AB$3,$U55,0)-$AB55))</f>
        <v/>
      </c>
      <c r="BE55">
        <f>IF($C55="",0,MAX(0,$BD55+IF($P55=AC$3,$R55,0)+IF($S55=AC$3,$U55,0)-$AC55))</f>
        <v/>
      </c>
      <c r="BF55">
        <f>IF($C55="",0,MAX(0,$BE55+IF($P55=AD$3,$R55,0)+IF($S55=AD$3,$U55,0)-$AD55))</f>
        <v/>
      </c>
      <c r="BG55">
        <f>IF($C55="",0,MAX(0,$BF55+IF($P55=AE$3,$R55,0)+IF($S55=AE$3,$U55,0)-$AE55))</f>
        <v/>
      </c>
      <c r="BH55">
        <f>IF($C55="",0,MAX(0,$BG55+IF($P55=AF$3,$R55,0)+IF($S55=AF$3,$U55,0)-$AF55))</f>
        <v/>
      </c>
      <c r="BI55">
        <f>IF($C55="",0,MAX(0,$BH55+IF($P55=AG$3,$R55,0)+IF($S55=AG$3,$U55,0)-$AG55))</f>
        <v/>
      </c>
      <c r="BJ55">
        <f>IF($C55="",0,MAX(0,$BI55+IF($P55=AH$3,$R55,0)+IF($S55=AH$3,$U55,0)-$AH55))</f>
        <v/>
      </c>
      <c r="BK55">
        <f>IF($C55="",0,MAX(0,$BJ55+IF($P55=AI$3,$R55,0)+IF($S55=AI$3,$U55,0)-$AI55))</f>
        <v/>
      </c>
      <c r="BL55">
        <f>IF($C55="",99,IF(AND($AX55&lt;1,V$3&gt;=MAX(N($P55),N($S55))),0,99))</f>
        <v/>
      </c>
      <c r="BM55">
        <f>IF($C55="",99,IF(AND($AY55&lt;1,W$3&gt;=MAX(N($P55),N($S55))),1,99))</f>
        <v/>
      </c>
      <c r="BN55">
        <f>IF($C55="",99,IF(AND($AZ55&lt;1,X$3&gt;=MAX(N($P55),N($S55))),2,99))</f>
        <v/>
      </c>
      <c r="BO55">
        <f>IF($C55="",99,IF(AND($BA55&lt;1,Y$3&gt;=MAX(N($P55),N($S55))),3,99))</f>
        <v/>
      </c>
      <c r="BP55">
        <f>IF($C55="",99,IF(AND($BB55&lt;1,Z$3&gt;=MAX(N($P55),N($S55))),4,99))</f>
        <v/>
      </c>
      <c r="BQ55">
        <f>IF($C55="",99,IF(AND($BC55&lt;1,AA$3&gt;=MAX(N($P55),N($S55))),5,99))</f>
        <v/>
      </c>
      <c r="BR55">
        <f>IF($C55="",99,IF(AND($BD55&lt;1,AB$3&gt;=MAX(N($P55),N($S55))),6,99))</f>
        <v/>
      </c>
      <c r="BS55">
        <f>IF($C55="",99,IF(AND($BE55&lt;1,AC$3&gt;=MAX(N($P55),N($S55))),7,99))</f>
        <v/>
      </c>
      <c r="BT55">
        <f>IF($C55="",99,IF(AND($BF55&lt;1,AD$3&gt;=MAX(N($P55),N($S55))),8,99))</f>
        <v/>
      </c>
      <c r="BU55">
        <f>IF($C55="",99,IF(AND($BG55&lt;1,AE$3&gt;=MAX(N($P55),N($S55))),9,99))</f>
        <v/>
      </c>
      <c r="BV55">
        <f>IF($C55="",99,IF(AND($BH55&lt;1,AF$3&gt;=MAX(N($P55),N($S55))),10,99))</f>
        <v/>
      </c>
      <c r="BW55">
        <f>IF($C55="",99,IF(AND($BI55&lt;1,AG$3&gt;=MAX(N($P55),N($S55))),11,99))</f>
        <v/>
      </c>
      <c r="BX55">
        <f>IF($C55="",99,IF(AND($BJ55&lt;1,AH$3&gt;=MAX(N($P55),N($S55))),12,99))</f>
        <v/>
      </c>
      <c r="BY55">
        <f>IF($C55="",99,IF(AND($BK55&lt;1,AI$3&gt;=MAX(N($P55),N($S55))),13,99))</f>
        <v/>
      </c>
      <c r="BZ55">
        <f>IF(OR($C55="",$M55=""),"",COUNTIF($AJ55:$AW55,"&gt;=1"))</f>
        <v/>
      </c>
      <c r="CA55" s="90">
        <f>IF($BZ55="","",IF($BZ55&gt;=14,"",'設定'!$C$6+$BZ55))</f>
        <v/>
      </c>
      <c r="CB55">
        <f>IF(OR($C55="",$M55=""),"",MIN($BL55:$BY55))</f>
        <v/>
      </c>
      <c r="CC55" s="90">
        <f>IF($CB55="","",IF($CB55&gt;=99,"",'設定'!$C$6+$CB55))</f>
        <v/>
      </c>
      <c r="CD55">
        <f>IF(OR($C55="",$M55=""),"",AVERAGE($V55:$AI55))</f>
        <v/>
      </c>
      <c r="CE55">
        <f>IF($C55="","",IFERROR(IF(MATCH(IF(ISNUMBER($P55),$P55,'設定'!$C$6+N('設定'!$C$7)),$V$3:$AI$3,0)=1,MAX(0,N($L55)),INDEX($AJ55:$AW55,MATCH(IF(ISNUMBER($P55),$P55,'設定'!$C$6+N('設定'!$C$7)),$V$3:$AI$3,0)-1)),""))</f>
        <v/>
      </c>
      <c r="CF55">
        <f>IF(OR($C55="",$O55="",$CE55=""),"",IF($O55-$CE55&lt;=0,0,ROUNDUP(($O55-$CE55)/$G55,0)))</f>
        <v/>
      </c>
      <c r="CG55">
        <f>IF(OR($C55="",$CF55="",NOT(ISNUMBER($Q55))),0,MAX(0,$Q55-$CF55))</f>
        <v/>
      </c>
      <c r="CH55">
        <f>IF(OR($C55="",$O55="",$U55=0),0,IFERROR(ROUNDUP(MAX(0,IF(MATCH($S55,$V$3:$AI$3,0)=1,MAX(0,N($L55)),INDEX($AX55:$BK55,MATCH($S55,$V$3:$AI$3,0)-1))+$U55-$O55)/$G55,0),0))</f>
        <v/>
      </c>
      <c r="CI55">
        <f>IF($C55="","",IF(AND($P55="",$Q55=""),"",IF($P55="","⚠ 入庫日を ▼ から選んでください",IF(NOT(ISNUMBER($P55)),"⚠ 入庫日は ▼ から選んでください",IF($P55&lt;N('設定'!$C$6),"⚠ 入庫日が過去です（もう在庫に入っています）→ 消してください",IF($P55&gt;N('設定'!$C$6)+13,"⚠ 入庫日が14日より先です",IF(N($Q55)&lt;=0,"⚠ 入庫数を入れてください",IF($CG55&gt;0,"⚠ 目安より "&amp;$CG55&amp;" 多い（定数を超える）→ 減らす",""))))))))</f>
        <v/>
      </c>
      <c r="CJ55">
        <f>IF($C55="","",IF(AND($S55="",$T55=""),"",IF($S55="","⚠ 2便目：入庫日を ▼ から選んでください",IF(NOT(ISNUMBER($S55)),"⚠ 2便目：入庫日は ▼ から選んでください",IF($S55&lt;N('設定'!$C$6),"⚠ 2便目：入庫日が過去です（もう在庫に入っています）→ 消してください",IF($S55&gt;N('設定'!$C$6)+13,"⚠ 2便目：入庫日が14日より先です",IF(N($T55)&lt;=0,"⚠ 2便目：入庫数を入れてください",IF($CH55&gt;0,"⚠ 2便目：定数を "&amp;$CH55&amp;" ケース超える → 減らす",""))))))))</f>
        <v/>
      </c>
      <c r="CK55">
        <f>IF(AND($CI55="",N($Q55)&gt;0,ISNUMBER($P55)),1,0)</f>
        <v/>
      </c>
      <c r="CL55">
        <f>IF(AND($CJ55="",N($T55)&gt;0,ISNUMBER($S55)),1,0)</f>
        <v/>
      </c>
      <c r="CM55">
        <f>IF(OR($CK55=1,$CL55=1),1,0)</f>
        <v/>
      </c>
      <c r="CN55">
        <f>IF($C55="",0,($CK55*$R55+$CL55*$U55)*N($H55))</f>
        <v/>
      </c>
      <c r="CO55">
        <f>IF($C55="","",IF($CC55="","入庫後は 14日以上もつ",IF($CC55-N('設定'!$C$7)&lt;='設定'!$C$6,"入庫後も "&amp;TEXT($CC55,"m/d")&amp;"("&amp;CHOOSE(WEEKDAY($CC55),"日","月","火","水","木","金","土")&amp;")"&amp;" に切れる　もう1便を至急発注","入庫後も "&amp;TEXT($CC55,"m/d")&amp;"("&amp;CHOOSE(WEEKDAY($CC55),"日","月","火","水","木","金","土")&amp;")"&amp;" に切れる　"&amp;TEXT($CC55-N('設定'!$C$7),"m/d")&amp;"("&amp;CHOOSE(WEEKDAY($CC55-N('設定'!$C$7)),"日","月","火","水","木","金","土")&amp;")"&amp;" までに次を発注")))</f>
        <v/>
      </c>
      <c r="CP55">
        <f>IF($C55="","",IF('設定'!$C$6="","？ ①在庫を貼る に今日のCSVが貼られていない",IF($CS55=1,"－ 今日のCSVに無い（終売？）",IF($L55&lt;0,"● 在庫がマイナス　数えて「数えた在庫」に入れる",IF($L55=0,"● 在庫なし　至急発注",IF($M55="","？ 減り数が未設定（商品マスタ）",IF($B$3=0,"？ 動員が未入力（動員を入れる）",IF($CA55="","○ 14日以上もつ",IF($BZ55&lt;N('設定'!$C$7),"● "&amp;TEXT($CA55,"m/d")&amp;"("&amp;CHOOSE(WEEKDAY($CA55),"日","月","火","水","木","金","土")&amp;")"&amp;" に切れる　至急発注",IF($BZ55=N('設定'!$C$7),"● "&amp;TEXT($CA55,"m/d")&amp;"("&amp;CHOOSE(WEEKDAY($CA55),"日","月","火","水","木","金","土")&amp;")"&amp;" に切れる　今日発注","△ "&amp;TEXT($CA55,"m/d")&amp;"("&amp;CHOOSE(WEEKDAY($CA55),"日","月","火","水","木","金","土")&amp;")"&amp;" に切れる　"&amp;TEXT($CA55-N('設定'!$C$7),"m/d")&amp;"("&amp;CHOOSE(WEEKDAY($CA55-N('設定'!$C$7)),"日","月","火","水","木","金","土")&amp;")"&amp;" までに発注"))))))))))</f>
        <v/>
      </c>
      <c r="CQ55">
        <f>IF($C55="","",IF(AND($P55="",$Q55="",$S55="",$T55=""),"",IF(AND($P55="",$Q55=""),"⚠ 先に1便目（左の入庫日・入庫数）に入れてください",IF($CI55&lt;&gt;"",$CI55,IF($CJ55&lt;&gt;"",$CJ55,IF($M55="","？ 減り数が未設定（発注書には載ります）",IF($B$3=0,"？ 動員が未入力（発注書には載ります）",IF(AND($CA55&lt;&gt;"",$P55&gt;$CA55),IF($P55&gt;'設定'!$C$6+N('設定'!$C$7),"● "&amp;TEXT($P55,"m/d")&amp;"("&amp;CHOOSE(WEEKDAY($P55),"日","月","火","水","木","金","土")&amp;")"&amp;" の入庫では間に合わない（"&amp;TEXT($CA55,"m/d")&amp;"("&amp;CHOOSE(WEEKDAY($CA55),"日","月","火","水","木","金","土")&amp;")"&amp;" に切れる）　入庫日を早める","△ 欠品 "&amp;TEXT($CA55,"m/d")&amp;"("&amp;CHOOSE(WEEKDAY($CA55),"日","月","火","水","木","金","土")&amp;")"&amp;"〜"&amp;TEXT($P55-1,"m/d")&amp;"("&amp;CHOOSE(WEEKDAY($P55-1),"日","月","火","水","木","金","土")&amp;")"&amp;"　"&amp;$CO55),IF($CC55="","○ "&amp;TEXT($P55,"m/d")&amp;"("&amp;CHOOSE(WEEKDAY($P55),"日","月","火","水","木","金","土")&amp;")"&amp;" 入庫で 14日以上もつ",IF($CC55-N('設定'!$C$7)&lt;='設定'!$C$6,"● 入庫しても "&amp;TEXT($CC55,"m/d")&amp;"("&amp;CHOOSE(WEEKDAY($CC55),"日","月","火","水","木","金","土")&amp;")"&amp;" に切れる　もう1便を至急発注（2便目に入れる）","△ 入庫しても "&amp;TEXT($CC55,"m/d")&amp;"("&amp;CHOOSE(WEEKDAY($CC55),"日","月","火","水","木","金","土")&amp;")"&amp;" に切れる　"&amp;TEXT($CC55-N('設定'!$C$7),"m/d")&amp;"("&amp;CHOOSE(WEEKDAY($CC55-N('設定'!$C$7)),"日","月","火","水","木","金","土")&amp;")"&amp;" までに次を発注（2便目に入れる）"))))))))))</f>
        <v/>
      </c>
      <c r="CR55">
        <f>IF($C55="","",IF($G55&gt;1,"ｹｰｽ("&amp;$G55&amp;"入)","個"))</f>
        <v/>
      </c>
      <c r="CS55">
        <f>IF($C55="",0,IF(COUNTIFS('①在庫を貼る'!$V$6:$V$10005,'設定'!$C$4,'①在庫を貼る'!$W$6:$W$10005,$C55)=0,1,0))</f>
        <v/>
      </c>
      <c r="CT55">
        <f>IF(AND($CK55=1,OR('③発注書'!$C$4="すべて",'③発注書'!$C$4="",$F55='③発注書'!$C$4)),N($CT54)+1,N($CT54))</f>
        <v/>
      </c>
      <c r="CU55">
        <f>IF(AND($CL55=1,OR('③発注書'!$C$4="すべて",'③発注書'!$C$4="",$F55='③発注書'!$C$4)),N($CU54)+1,N($CU54))</f>
        <v/>
      </c>
      <c r="CV55">
        <f>IF($C55="",0,IF(COUNTIFS('①在庫を貼る'!$V$6:$V$10005,'設定'!$C$4,'①在庫を貼る'!$W$6:$W$10005,$C55)&gt;0,1,0))</f>
        <v/>
      </c>
      <c r="CW55">
        <f>IF($C55="",0,IF(COUNTIFS('月1回_1ヶ月前の在庫'!$V$6:$V$10005,'設定'!$C$4,'月1回_1ヶ月前の在庫'!$W$6:$W$10005,$C55)&gt;0,1,0))</f>
        <v/>
      </c>
      <c r="CX55">
        <f>IF($C55="",0,IF(COUNTIFS('月1回_2ヶ月前の在庫'!$V$6:$V$10005,'設定'!$C$4,'月1回_2ヶ月前の在庫'!$W$6:$W$10005,$C55)&gt;0,1,0))</f>
        <v/>
      </c>
      <c r="CY55">
        <f>IF(OR($C55="",'設定'!$C$12=""),"",IF('設定'!$C$13="",IF(AND($CV55=1,$CW55=0),"新商品（今月から）",IF(AND($CV55=0,$CW55=1),"終売（今月から）","")),IF(AND($CV55=1,$CW55=0,$CX55=0),"新商品（今月から）",IF(AND($CV55=1,$CW55=1,$CX55=0),"新商品（先月から）",IF(AND($CV55=0,$CW55=1,$CX55=1),"終売（今月から）",IF(AND($CV55=0,$CW55=0,$CX55=1),"終売（先月から）",IF(AND($CV55=1,$CW55=0,$CX55=1),"復活（先月は無し）","")))))))</f>
        <v/>
      </c>
    </row>
    <row r="56">
      <c r="B56">
        <f>IF(51&lt;='設定'!$C$11,51,"")</f>
        <v/>
      </c>
      <c r="C56">
        <f>IF($B56="","",IF($B56&lt;='設定'!$C$20,INDEX('商品マスタ'!$B$6:$B$1005,MATCH($B56,'商品マスタ'!$M$6:$M$1005,0)),IF($B56&lt;='設定'!$C$20+'設定'!$C$17,INDEX('①在庫を貼る'!$W$6:$W$10005,MATCH($B56-'設定'!$C$20,'①在庫を貼る'!$U$6:$U$10005,0)),IF($B56&lt;='設定'!$C$20+'設定'!$C$17+'設定'!$C$18,INDEX('月1回_1ヶ月前の在庫'!$W$6:$W$10005,MATCH($B56-'設定'!$C$20-'設定'!$C$17,'月1回_1ヶ月前の在庫'!$U$6:$U$10005,0)),INDEX('月1回_2ヶ月前の在庫'!$W$6:$W$10005,MATCH($B56-'設定'!$C$20-'設定'!$C$17-'設定'!$C$18,'月1回_2ヶ月前の在庫'!$U$6:$U$10005,0))))))</f>
        <v/>
      </c>
      <c r="D56">
        <f>IF($C56="","",IFERROR(IF(INDEX('商品マスタ'!$C$6:$C$1005,MATCH($C56,'商品マスタ'!$B$6:$B$1005,0))="",IFERROR(INDEX('①在庫を貼る'!$J$6:$J$10005,MATCH($C56,'①在庫を貼る'!$W$6:$W$10005,0)),IFERROR(INDEX('月1回_1ヶ月前の在庫'!$J$6:$J$10005,MATCH($C56,'月1回_1ヶ月前の在庫'!$W$6:$W$10005,0)),IFERROR(INDEX('月1回_2ヶ月前の在庫'!$J$6:$J$10005,MATCH($C56,'月1回_2ヶ月前の在庫'!$W$6:$W$10005,0)),""))),INDEX('商品マスタ'!$C$6:$C$1005,MATCH($C56,'商品マスタ'!$B$6:$B$1005,0))),IFERROR(INDEX('①在庫を貼る'!$J$6:$J$10005,MATCH($C56,'①在庫を貼る'!$W$6:$W$10005,0)),IFERROR(INDEX('月1回_1ヶ月前の在庫'!$J$6:$J$10005,MATCH($C56,'月1回_1ヶ月前の在庫'!$W$6:$W$10005,0)),IFERROR(INDEX('月1回_2ヶ月前の在庫'!$J$6:$J$10005,MATCH($C56,'月1回_2ヶ月前の在庫'!$W$6:$W$10005,0)),"")))))</f>
        <v/>
      </c>
      <c r="E56">
        <f>IF($C56="","",IFERROR(IF(INDEX('商品マスタ'!$D$6:$D$1005,MATCH($C56,'商品マスタ'!$B$6:$B$1005,0))="",IFERROR(INDEX('①在庫を貼る'!$H$6:$H$10005,MATCH($C56,'①在庫を貼る'!$W$6:$W$10005,0)),IFERROR(INDEX('月1回_1ヶ月前の在庫'!$H$6:$H$10005,MATCH($C56,'月1回_1ヶ月前の在庫'!$W$6:$W$10005,0)),IFERROR(INDEX('月1回_2ヶ月前の在庫'!$H$6:$H$10005,MATCH($C56,'月1回_2ヶ月前の在庫'!$W$6:$W$10005,0)),""))),INDEX('商品マスタ'!$D$6:$D$1005,MATCH($C56,'商品マスタ'!$B$6:$B$1005,0))),IFERROR(INDEX('①在庫を貼る'!$H$6:$H$10005,MATCH($C56,'①在庫を貼る'!$W$6:$W$10005,0)),IFERROR(INDEX('月1回_1ヶ月前の在庫'!$H$6:$H$10005,MATCH($C56,'月1回_1ヶ月前の在庫'!$W$6:$W$10005,0)),IFERROR(INDEX('月1回_2ヶ月前の在庫'!$H$6:$H$10005,MATCH($C56,'月1回_2ヶ月前の在庫'!$W$6:$W$10005,0)),"")))))</f>
        <v/>
      </c>
      <c r="F56">
        <f>IF($C56="","",IFERROR(IF(INDEX('商品マスタ'!$E$6:$E$1005,MATCH($C56,'商品マスタ'!$B$6:$B$1005,0))="",IFERROR(INDEX('①在庫を貼る'!$E$6:$E$10005,MATCH($C56,'①在庫を貼る'!$W$6:$W$10005,0)),IFERROR(INDEX('月1回_1ヶ月前の在庫'!$E$6:$E$10005,MATCH($C56,'月1回_1ヶ月前の在庫'!$W$6:$W$10005,0)),IFERROR(INDEX('月1回_2ヶ月前の在庫'!$E$6:$E$10005,MATCH($C56,'月1回_2ヶ月前の在庫'!$W$6:$W$10005,0)),""))),INDEX('商品マスタ'!$E$6:$E$1005,MATCH($C56,'商品マスタ'!$B$6:$B$1005,0))),IFERROR(INDEX('①在庫を貼る'!$E$6:$E$10005,MATCH($C56,'①在庫を貼る'!$W$6:$W$10005,0)),IFERROR(INDEX('月1回_1ヶ月前の在庫'!$E$6:$E$10005,MATCH($C56,'月1回_1ヶ月前の在庫'!$W$6:$W$10005,0)),IFERROR(INDEX('月1回_2ヶ月前の在庫'!$E$6:$E$10005,MATCH($C56,'月1回_2ヶ月前の在庫'!$W$6:$W$10005,0)),"")))))</f>
        <v/>
      </c>
      <c r="G56">
        <f>IF($C56="","",MAX(1,N(IFERROR(IF(INDEX('商品マスタ'!$F$6:$F$1005,MATCH($C56,'商品マスタ'!$B$6:$B$1005,0))="",IF(COUNTIFS('①在庫を貼る'!$V$6:$V$10005,'設定'!$C$4,'①在庫を貼る'!$W$6:$W$10005,$C56)&gt;0,SUMIFS('①在庫を貼る'!$K$6:$K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K$6:$K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K$6:$K$10005,'月1回_2ヶ月前の在庫'!$V$6:$V$10005,'設定'!$C$4,'月1回_2ヶ月前の在庫'!$W$6:$W$10005,$C56)/COUNTIFS('月1回_2ヶ月前の在庫'!$V$6:$V$10005,'設定'!$C$4,'月1回_2ヶ月前の在庫'!$W$6:$W$10005,$C56),0))),INDEX('商品マスタ'!$F$6:$F$1005,MATCH($C56,'商品マスタ'!$B$6:$B$1005,0))),IF(COUNTIFS('①在庫を貼る'!$V$6:$V$10005,'設定'!$C$4,'①在庫を貼る'!$W$6:$W$10005,$C56)&gt;0,SUMIFS('①在庫を貼る'!$K$6:$K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K$6:$K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K$6:$K$10005,'月1回_2ヶ月前の在庫'!$V$6:$V$10005,'設定'!$C$4,'月1回_2ヶ月前の在庫'!$W$6:$W$10005,$C56)/COUNTIFS('月1回_2ヶ月前の在庫'!$V$6:$V$10005,'設定'!$C$4,'月1回_2ヶ月前の在庫'!$W$6:$W$10005,$C56),0)))))))</f>
        <v/>
      </c>
      <c r="H56">
        <f>IF($C56="","",N(IFERROR(IF(INDEX('商品マスタ'!$G$6:$G$1005,MATCH($C56,'商品マスタ'!$B$6:$B$1005,0))="",IF(COUNTIFS('①在庫を貼る'!$V$6:$V$10005,'設定'!$C$4,'①在庫を貼る'!$W$6:$W$10005,$C56)&gt;0,SUMIFS('①在庫を貼る'!$Q$6:$Q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Q$6:$Q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Q$6:$Q$10005,'月1回_2ヶ月前の在庫'!$V$6:$V$10005,'設定'!$C$4,'月1回_2ヶ月前の在庫'!$W$6:$W$10005,$C56)/COUNTIFS('月1回_2ヶ月前の在庫'!$V$6:$V$10005,'設定'!$C$4,'月1回_2ヶ月前の在庫'!$W$6:$W$10005,$C56),0))),INDEX('商品マスタ'!$G$6:$G$1005,MATCH($C56,'商品マスタ'!$B$6:$B$1005,0))),IF(COUNTIFS('①在庫を貼る'!$V$6:$V$10005,'設定'!$C$4,'①在庫を貼る'!$W$6:$W$10005,$C56)&gt;0,SUMIFS('①在庫を貼る'!$Q$6:$Q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Q$6:$Q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Q$6:$Q$10005,'月1回_2ヶ月前の在庫'!$V$6:$V$10005,'設定'!$C$4,'月1回_2ヶ月前の在庫'!$W$6:$W$10005,$C56)/COUNTIFS('月1回_2ヶ月前の在庫'!$V$6:$V$10005,'設定'!$C$4,'月1回_2ヶ月前の在庫'!$W$6:$W$10005,$C56),0))))))</f>
        <v/>
      </c>
      <c r="I56">
        <f>IF($C56="","",IF(COUNTIFS('①在庫を貼る'!$V$6:$V$10005,'設定'!$C$4,'①在庫を貼る'!$W$6:$W$10005,$C56)=0,"",SUMIFS('①在庫を貼る'!$N$6:$N$10005,'①在庫を貼る'!$V$6:$V$10005,'設定'!$C$4,'①在庫を貼る'!$W$6:$W$10005,$C56)))</f>
        <v/>
      </c>
      <c r="J56">
        <f>IF($C56="","",IF('②発注する'!$AD60="","",'②発注する'!$AD60))</f>
        <v/>
      </c>
      <c r="K56" s="90">
        <f>IF($C56="","",IF('②発注する'!$AE60="","",'②発注する'!$AE60))</f>
        <v/>
      </c>
      <c r="L56">
        <f>IF($C56="","",IF(AND(ISNUMBER($J56),ISNUMBER($K56),$K56&gt;='設定'!$C$6),$J56,N($I56)))</f>
        <v/>
      </c>
      <c r="M56">
        <f>IF($C56="","",IFERROR(IF(N(INDEX('商品マスタ'!$J$6:$J$1005,MATCH($C56,'商品マスタ'!$B$6:$B$1005,0)))&gt;0,INDEX('商品マスタ'!$J$6:$J$1005,MATCH($C56,'商品マスタ'!$B$6:$B$1005,0)),""),""))</f>
        <v/>
      </c>
      <c r="N56">
        <f>IF($C56="","",IFERROR(IF(N(INDEX('商品マスタ'!$H$6:$H$1005,MATCH($C56,'商品マスタ'!$B$6:$B$1005,0)))&gt;0,INDEX('商品マスタ'!$H$6:$H$1005,MATCH($C56,'商品マスタ'!$B$6:$B$1005,0)),""),""))</f>
        <v/>
      </c>
      <c r="O56">
        <f>IF($C56="","",IF($N56&lt;&gt;"",$N56*$G56,IF(N(IF(COUNTIFS('①在庫を貼る'!$V$6:$V$10005,'設定'!$C$4,'①在庫を貼る'!$W$6:$W$10005,$C56)&gt;0,SUMIFS('①在庫を貼る'!$O$6:$O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O$6:$O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O$6:$O$10005,'月1回_2ヶ月前の在庫'!$V$6:$V$10005,'設定'!$C$4,'月1回_2ヶ月前の在庫'!$W$6:$W$10005,$C56)/COUNTIFS('月1回_2ヶ月前の在庫'!$V$6:$V$10005,'設定'!$C$4,'月1回_2ヶ月前の在庫'!$W$6:$W$10005,$C56),0))))&gt;0,N(IF(COUNTIFS('①在庫を貼る'!$V$6:$V$10005,'設定'!$C$4,'①在庫を貼る'!$W$6:$W$10005,$C56)&gt;0,SUMIFS('①在庫を貼る'!$O$6:$O$10005,'①在庫を貼る'!$V$6:$V$10005,'設定'!$C$4,'①在庫を貼る'!$W$6:$W$10005,$C56)/COUNTIFS('①在庫を貼る'!$V$6:$V$10005,'設定'!$C$4,'①在庫を貼る'!$W$6:$W$10005,$C56),IF(COUNTIFS('月1回_1ヶ月前の在庫'!$V$6:$V$10005,'設定'!$C$4,'月1回_1ヶ月前の在庫'!$W$6:$W$10005,$C56)&gt;0,SUMIFS('月1回_1ヶ月前の在庫'!$O$6:$O$10005,'月1回_1ヶ月前の在庫'!$V$6:$V$10005,'設定'!$C$4,'月1回_1ヶ月前の在庫'!$W$6:$W$10005,$C56)/COUNTIFS('月1回_1ヶ月前の在庫'!$V$6:$V$10005,'設定'!$C$4,'月1回_1ヶ月前の在庫'!$W$6:$W$10005,$C56),IF(COUNTIFS('月1回_2ヶ月前の在庫'!$V$6:$V$10005,'設定'!$C$4,'月1回_2ヶ月前の在庫'!$W$6:$W$10005,$C56)&gt;0,SUMIFS('月1回_2ヶ月前の在庫'!$O$6:$O$10005,'月1回_2ヶ月前の在庫'!$V$6:$V$10005,'設定'!$C$4,'月1回_2ヶ月前の在庫'!$W$6:$W$10005,$C56)/COUNTIFS('月1回_2ヶ月前の在庫'!$V$6:$V$10005,'設定'!$C$4,'月1回_2ヶ月前の在庫'!$W$6:$W$10005,$C56),0)))),"")))</f>
        <v/>
      </c>
      <c r="P56" s="90">
        <f>IF($C56="","",IF('②発注する'!$I60="","",'②発注する'!$I60))</f>
        <v/>
      </c>
      <c r="Q56">
        <f>IF($C56="","",IF('②発注する'!$J60="","",'②発注する'!$J60))</f>
        <v/>
      </c>
      <c r="R56">
        <f>IF($C56="",0,IF(AND(ISNUMBER($P56),ISNUMBER($Q56)),MAX(0,$Q56)*$G56,0))</f>
        <v/>
      </c>
      <c r="S56" s="90">
        <f>IF($C56="","",IF('②発注する'!$M60="","",'②発注する'!$M60))</f>
        <v/>
      </c>
      <c r="T56">
        <f>IF($C56="","",IF('②発注する'!$N60="","",'②発注する'!$N60))</f>
        <v/>
      </c>
      <c r="U56">
        <f>IF($C56="",0,IF(AND(ISNUMBER($S56),ISNUMBER($T56)),MAX(0,$T56)*$G56,0))</f>
        <v/>
      </c>
      <c r="V56">
        <f>IF($C56="",0,IF($M56="",0,MAX(0,$M56)*MAX(0,V$4)/100))</f>
        <v/>
      </c>
      <c r="W56">
        <f>IF($C56="",0,IF($M56="",0,MAX(0,$M56)*MAX(0,W$4)/100))</f>
        <v/>
      </c>
      <c r="X56">
        <f>IF($C56="",0,IF($M56="",0,MAX(0,$M56)*MAX(0,X$4)/100))</f>
        <v/>
      </c>
      <c r="Y56">
        <f>IF($C56="",0,IF($M56="",0,MAX(0,$M56)*MAX(0,Y$4)/100))</f>
        <v/>
      </c>
      <c r="Z56">
        <f>IF($C56="",0,IF($M56="",0,MAX(0,$M56)*MAX(0,Z$4)/100))</f>
        <v/>
      </c>
      <c r="AA56">
        <f>IF($C56="",0,IF($M56="",0,MAX(0,$M56)*MAX(0,AA$4)/100))</f>
        <v/>
      </c>
      <c r="AB56">
        <f>IF($C56="",0,IF($M56="",0,MAX(0,$M56)*MAX(0,AB$4)/100))</f>
        <v/>
      </c>
      <c r="AC56">
        <f>IF($C56="",0,IF($M56="",0,MAX(0,$M56)*MAX(0,AC$4)/100))</f>
        <v/>
      </c>
      <c r="AD56">
        <f>IF($C56="",0,IF($M56="",0,MAX(0,$M56)*MAX(0,AD$4)/100))</f>
        <v/>
      </c>
      <c r="AE56">
        <f>IF($C56="",0,IF($M56="",0,MAX(0,$M56)*MAX(0,AE$4)/100))</f>
        <v/>
      </c>
      <c r="AF56">
        <f>IF($C56="",0,IF($M56="",0,MAX(0,$M56)*MAX(0,AF$4)/100))</f>
        <v/>
      </c>
      <c r="AG56">
        <f>IF($C56="",0,IF($M56="",0,MAX(0,$M56)*MAX(0,AG$4)/100))</f>
        <v/>
      </c>
      <c r="AH56">
        <f>IF($C56="",0,IF($M56="",0,MAX(0,$M56)*MAX(0,AH$4)/100))</f>
        <v/>
      </c>
      <c r="AI56">
        <f>IF($C56="",0,IF($M56="",0,MAX(0,$M56)*MAX(0,AI$4)/100))</f>
        <v/>
      </c>
      <c r="AJ56">
        <f>IF($C56="",0,MAX(0,MAX(0,N($L56))-$V56))</f>
        <v/>
      </c>
      <c r="AK56">
        <f>IF($C56="",0,MAX(0,$AJ56-$W56))</f>
        <v/>
      </c>
      <c r="AL56">
        <f>IF($C56="",0,MAX(0,$AK56-$X56))</f>
        <v/>
      </c>
      <c r="AM56">
        <f>IF($C56="",0,MAX(0,$AL56-$Y56))</f>
        <v/>
      </c>
      <c r="AN56">
        <f>IF($C56="",0,MAX(0,$AM56-$Z56))</f>
        <v/>
      </c>
      <c r="AO56">
        <f>IF($C56="",0,MAX(0,$AN56-$AA56))</f>
        <v/>
      </c>
      <c r="AP56">
        <f>IF($C56="",0,MAX(0,$AO56-$AB56))</f>
        <v/>
      </c>
      <c r="AQ56">
        <f>IF($C56="",0,MAX(0,$AP56-$AC56))</f>
        <v/>
      </c>
      <c r="AR56">
        <f>IF($C56="",0,MAX(0,$AQ56-$AD56))</f>
        <v/>
      </c>
      <c r="AS56">
        <f>IF($C56="",0,MAX(0,$AR56-$AE56))</f>
        <v/>
      </c>
      <c r="AT56">
        <f>IF($C56="",0,MAX(0,$AS56-$AF56))</f>
        <v/>
      </c>
      <c r="AU56">
        <f>IF($C56="",0,MAX(0,$AT56-$AG56))</f>
        <v/>
      </c>
      <c r="AV56">
        <f>IF($C56="",0,MAX(0,$AU56-$AH56))</f>
        <v/>
      </c>
      <c r="AW56">
        <f>IF($C56="",0,MAX(0,$AV56-$AI56))</f>
        <v/>
      </c>
      <c r="AX56">
        <f>IF($C56="",0,MAX(0,MAX(0,N($L56))+IF($P56=V$3,$R56,0)+IF($S56=V$3,$U56,0)-$V56))</f>
        <v/>
      </c>
      <c r="AY56">
        <f>IF($C56="",0,MAX(0,$AX56+IF($P56=W$3,$R56,0)+IF($S56=W$3,$U56,0)-$W56))</f>
        <v/>
      </c>
      <c r="AZ56">
        <f>IF($C56="",0,MAX(0,$AY56+IF($P56=X$3,$R56,0)+IF($S56=X$3,$U56,0)-$X56))</f>
        <v/>
      </c>
      <c r="BA56">
        <f>IF($C56="",0,MAX(0,$AZ56+IF($P56=Y$3,$R56,0)+IF($S56=Y$3,$U56,0)-$Y56))</f>
        <v/>
      </c>
      <c r="BB56">
        <f>IF($C56="",0,MAX(0,$BA56+IF($P56=Z$3,$R56,0)+IF($S56=Z$3,$U56,0)-$Z56))</f>
        <v/>
      </c>
      <c r="BC56">
        <f>IF($C56="",0,MAX(0,$BB56+IF($P56=AA$3,$R56,0)+IF($S56=AA$3,$U56,0)-$AA56))</f>
        <v/>
      </c>
      <c r="BD56">
        <f>IF($C56="",0,MAX(0,$BC56+IF($P56=AB$3,$R56,0)+IF($S56=AB$3,$U56,0)-$AB56))</f>
        <v/>
      </c>
      <c r="BE56">
        <f>IF($C56="",0,MAX(0,$BD56+IF($P56=AC$3,$R56,0)+IF($S56=AC$3,$U56,0)-$AC56))</f>
        <v/>
      </c>
      <c r="BF56">
        <f>IF($C56="",0,MAX(0,$BE56+IF($P56=AD$3,$R56,0)+IF($S56=AD$3,$U56,0)-$AD56))</f>
        <v/>
      </c>
      <c r="BG56">
        <f>IF($C56="",0,MAX(0,$BF56+IF($P56=AE$3,$R56,0)+IF($S56=AE$3,$U56,0)-$AE56))</f>
        <v/>
      </c>
      <c r="BH56">
        <f>IF($C56="",0,MAX(0,$BG56+IF($P56=AF$3,$R56,0)+IF($S56=AF$3,$U56,0)-$AF56))</f>
        <v/>
      </c>
      <c r="BI56">
        <f>IF($C56="",0,MAX(0,$BH56+IF($P56=AG$3,$R56,0)+IF($S56=AG$3,$U56,0)-$AG56))</f>
        <v/>
      </c>
      <c r="BJ56">
        <f>IF($C56="",0,MAX(0,$BI56+IF($P56=AH$3,$R56,0)+IF($S56=AH$3,$U56,0)-$AH56))</f>
        <v/>
      </c>
      <c r="BK56">
        <f>IF($C56="",0,MAX(0,$BJ56+IF($P56=AI$3,$R56,0)+IF($S56=AI$3,$U56,0)-$AI56))</f>
        <v/>
      </c>
      <c r="BL56">
        <f>IF($C56="",99,IF(AND($AX56&lt;1,V$3&gt;=MAX(N($P56),N($S56))),0,99))</f>
        <v/>
      </c>
      <c r="BM56">
        <f>IF($C56="",99,IF(AND($AY56&lt;1,W$3&gt;=MAX(N($P56),N($S56))),1,99))</f>
        <v/>
      </c>
      <c r="BN56">
        <f>IF($C56="",99,IF(AND($AZ56&lt;1,X$3&gt;=MAX(N($P56),N($S56))),2,99))</f>
        <v/>
      </c>
      <c r="BO56">
        <f>IF($C56="",99,IF(AND($BA56&lt;1,Y$3&gt;=MAX(N($P56),N($S56))),3,99))</f>
        <v/>
      </c>
      <c r="BP56">
        <f>IF($C56="",99,IF(AND($BB56&lt;1,Z$3&gt;=MAX(N($P56),N($S56))),4,99))</f>
        <v/>
      </c>
      <c r="BQ56">
        <f>IF($C56="",99,IF(AND($BC56&lt;1,AA$3&gt;=MAX(N($P56),N($S56))),5,99))</f>
        <v/>
      </c>
      <c r="BR56">
        <f>IF($C56="",99,IF(AND($BD56&lt;1,AB$3&gt;=MAX(N($P56),N($S56))),6,99))</f>
        <v/>
      </c>
      <c r="BS56">
        <f>IF($C56="",99,IF(AND($BE56&lt;1,AC$3&gt;=MAX(N($P56),N($S56))),7,99))</f>
        <v/>
      </c>
      <c r="BT56">
        <f>IF($C56="",99,IF(AND($BF56&lt;1,AD$3&gt;=MAX(N($P56),N($S56))),8,99))</f>
        <v/>
      </c>
      <c r="BU56">
        <f>IF($C56="",99,IF(AND($BG56&lt;1,AE$3&gt;=MAX(N($P56),N($S56))),9,99))</f>
        <v/>
      </c>
      <c r="BV56">
        <f>IF($C56="",99,IF(AND($BH56&lt;1,AF$3&gt;=MAX(N($P56),N($S56))),10,99))</f>
        <v/>
      </c>
      <c r="BW56">
        <f>IF($C56="",99,IF(AND($BI56&lt;1,AG$3&gt;=MAX(N($P56),N($S56))),11,99))</f>
        <v/>
      </c>
      <c r="BX56">
        <f>IF($C56="",99,IF(AND($BJ56&lt;1,AH$3&gt;=MAX(N($P56),N($S56))),12,99))</f>
        <v/>
      </c>
      <c r="BY56">
        <f>IF($C56="",99,IF(AND($BK56&lt;1,AI$3&gt;=MAX(N($P56),N($S56))),13,99))</f>
        <v/>
      </c>
      <c r="BZ56">
        <f>IF(OR($C56="",$M56=""),"",COUNTIF($AJ56:$AW56,"&gt;=1"))</f>
        <v/>
      </c>
      <c r="CA56" s="90">
        <f>IF($BZ56="","",IF($BZ56&gt;=14,"",'設定'!$C$6+$BZ56))</f>
        <v/>
      </c>
      <c r="CB56">
        <f>IF(OR($C56="",$M56=""),"",MIN($BL56:$BY56))</f>
        <v/>
      </c>
      <c r="CC56" s="90">
        <f>IF($CB56="","",IF($CB56&gt;=99,"",'設定'!$C$6+$CB56))</f>
        <v/>
      </c>
      <c r="CD56">
        <f>IF(OR($C56="",$M56=""),"",AVERAGE($V56:$AI56))</f>
        <v/>
      </c>
      <c r="CE56">
        <f>IF($C56="","",IFERROR(IF(MATCH(IF(ISNUMBER($P56),$P56,'設定'!$C$6+N('設定'!$C$7)),$V$3:$AI$3,0)=1,MAX(0,N($L56)),INDEX($AJ56:$AW56,MATCH(IF(ISNUMBER($P56),$P56,'設定'!$C$6+N('設定'!$C$7)),$V$3:$AI$3,0)-1)),""))</f>
        <v/>
      </c>
      <c r="CF56">
        <f>IF(OR($C56="",$O56="",$CE56=""),"",IF($O56-$CE56&lt;=0,0,ROUNDUP(($O56-$CE56)/$G56,0)))</f>
        <v/>
      </c>
      <c r="CG56">
        <f>IF(OR($C56="",$CF56="",NOT(ISNUMBER($Q56))),0,MAX(0,$Q56-$CF56))</f>
        <v/>
      </c>
      <c r="CH56">
        <f>IF(OR($C56="",$O56="",$U56=0),0,IFERROR(ROUNDUP(MAX(0,IF(MATCH($S56,$V$3:$AI$3,0)=1,MAX(0,N($L56)),INDEX($AX56:$BK56,MATCH($S56,$V$3:$AI$3,0)-1))+$U56-$O56)/$G56,0),0))</f>
        <v/>
      </c>
      <c r="CI56">
        <f>IF($C56="","",IF(AND($P56="",$Q56=""),"",IF($P56="","⚠ 入庫日を ▼ から選んでください",IF(NOT(ISNUMBER($P56)),"⚠ 入庫日は ▼ から選んでください",IF($P56&lt;N('設定'!$C$6),"⚠ 入庫日が過去です（もう在庫に入っています）→ 消してください",IF($P56&gt;N('設定'!$C$6)+13,"⚠ 入庫日が14日より先です",IF(N($Q56)&lt;=0,"⚠ 入庫数を入れてください",IF($CG56&gt;0,"⚠ 目安より "&amp;$CG56&amp;" 多い（定数を超える）→ 減らす",""))))))))</f>
        <v/>
      </c>
      <c r="CJ56">
        <f>IF($C56="","",IF(AND($S56="",$T56=""),"",IF($S56="","⚠ 2便目：入庫日を ▼ から選んでください",IF(NOT(ISNUMBER($S56)),"⚠ 2便目：入庫日は ▼ から選んでください",IF($S56&lt;N('設定'!$C$6),"⚠ 2便目：入庫日が過去です（もう在庫に入っています）→ 消してください",IF($S56&gt;N('設定'!$C$6)+13,"⚠ 2便目：入庫日が14日より先です",IF(N($T56)&lt;=0,"⚠ 2便目：入庫数を入れてください",IF($CH56&gt;0,"⚠ 2便目：定数を "&amp;$CH56&amp;" ケース超える → 減らす",""))))))))</f>
        <v/>
      </c>
      <c r="CK56">
        <f>IF(AND($CI56="",N($Q56)&gt;0,ISNUMBER($P56)),1,0)</f>
        <v/>
      </c>
      <c r="CL56">
        <f>IF(AND($CJ56="",N($T56)&gt;0,ISNUMBER($S56)),1,0)</f>
        <v/>
      </c>
      <c r="CM56">
        <f>IF(OR($CK56=1,$CL56=1),1,0)</f>
        <v/>
      </c>
      <c r="CN56">
        <f>IF($C56="",0,($CK56*$R56+$CL56*$U56)*N($H56))</f>
        <v/>
      </c>
      <c r="CO56">
        <f>IF($C56="","",IF($CC56="","入庫後は 14日以上もつ",IF($CC56-N('設定'!$C$7)&lt;='設定'!$C$6,"入庫後も "&amp;TEXT($CC56,"m/d")&amp;"("&amp;CHOOSE(WEEKDAY($CC56),"日","月","火","水","木","金","土")&amp;")"&amp;" に切れる　もう1便を至急発注","入庫後も "&amp;TEXT($CC56,"m/d")&amp;"("&amp;CHOOSE(WEEKDAY($CC56),"日","月","火","水","木","金","土")&amp;")"&amp;" に切れる　"&amp;TEXT($CC56-N('設定'!$C$7),"m/d")&amp;"("&amp;CHOOSE(WEEKDAY($CC56-N('設定'!$C$7)),"日","月","火","水","木","金","土")&amp;")"&amp;" までに次を発注")))</f>
        <v/>
      </c>
      <c r="CP56">
        <f>IF($C56="","",IF('設定'!$C$6="","？ ①在庫を貼る に今日のCSVが貼られていない",IF($CS56=1,"－ 今日のCSVに無い（終売？）",IF($L56&lt;0,"● 在庫がマイナス　数えて「数えた在庫」に入れる",IF($L56=0,"● 在庫なし　至急発注",IF($M56="","？ 減り数が未設定（商品マスタ）",IF($B$3=0,"？ 動員が未入力（動員を入れる）",IF($CA56="","○ 14日以上もつ",IF($BZ56&lt;N('設定'!$C$7),"● "&amp;TEXT($CA56,"m/d")&amp;"("&amp;CHOOSE(WEEKDAY($CA56),"日","月","火","水","木","金","土")&amp;")"&amp;" に切れる　至急発注",IF($BZ56=N('設定'!$C$7),"● "&amp;TEXT($CA56,"m/d")&amp;"("&amp;CHOOSE(WEEKDAY($CA56),"日","月","火","水","木","金","土")&amp;")"&amp;" に切れる　今日発注","△ "&amp;TEXT($CA56,"m/d")&amp;"("&amp;CHOOSE(WEEKDAY($CA56),"日","月","火","水","木","金","土")&amp;")"&amp;" に切れる　"&amp;TEXT($CA56-N('設定'!$C$7),"m/d")&amp;"("&amp;CHOOSE(WEEKDAY($CA56-N('設定'!$C$7)),"日","月","火","水","木","金","土")&amp;")"&amp;" までに発注"))))))))))</f>
        <v/>
      </c>
      <c r="CQ56">
        <f>IF($C56="","",IF(AND($P56="",$Q56="",$S56="",$T56=""),"",IF(AND($P56="",$Q56=""),"⚠ 先に1便目（左の入庫日・入庫数）に入れてください",IF($CI56&lt;&gt;"",$CI56,IF($CJ56&lt;&gt;"",$CJ56,IF($M56="","？ 減り数が未設定（発注書には載ります）",IF($B$3=0,"？ 動員が未入力（発注書には載ります）",IF(AND($CA56&lt;&gt;"",$P56&gt;$CA56),IF($P56&gt;'設定'!$C$6+N('設定'!$C$7),"● "&amp;TEXT($P56,"m/d")&amp;"("&amp;CHOOSE(WEEKDAY($P56),"日","月","火","水","木","金","土")&amp;")"&amp;" の入庫では間に合わない（"&amp;TEXT($CA56,"m/d")&amp;"("&amp;CHOOSE(WEEKDAY($CA56),"日","月","火","水","木","金","土")&amp;")"&amp;" に切れる）　入庫日を早める","△ 欠品 "&amp;TEXT($CA56,"m/d")&amp;"("&amp;CHOOSE(WEEKDAY($CA56),"日","月","火","水","木","金","土")&amp;")"&amp;"〜"&amp;TEXT($P56-1,"m/d")&amp;"("&amp;CHOOSE(WEEKDAY($P56-1),"日","月","火","水","木","金","土")&amp;")"&amp;"　"&amp;$CO56),IF($CC56="","○ "&amp;TEXT($P56,"m/d")&amp;"("&amp;CHOOSE(WEEKDAY($P56),"日","月","火","水","木","金","土")&amp;")"&amp;" 入庫で 14日以上もつ",IF($CC56-N('設定'!$C$7)&lt;='設定'!$C$6,"● 入庫しても "&amp;TEXT($CC56,"m/d")&amp;"("&amp;CHOOSE(WEEKDAY($CC56),"日","月","火","水","木","金","土")&amp;")"&amp;" に切れる　もう1便を至急発注（2便目に入れる）","△ 入庫しても "&amp;TEXT($CC56,"m/d")&amp;"("&amp;CHOOSE(WEEKDAY($CC56),"日","月","火","水","木","金","土")&amp;")"&amp;" に切れる　"&amp;TEXT($CC56-N('設定'!$C$7),"m/d")&amp;"("&amp;CHOOSE(WEEKDAY($CC56-N('設定'!$C$7)),"日","月","火","水","木","金","土")&amp;")"&amp;" までに次を発注（2便目に入れる）"))))))))))</f>
        <v/>
      </c>
      <c r="CR56">
        <f>IF($C56="","",IF($G56&gt;1,"ｹｰｽ("&amp;$G56&amp;"入)","個"))</f>
        <v/>
      </c>
      <c r="CS56">
        <f>IF($C56="",0,IF(COUNTIFS('①在庫を貼る'!$V$6:$V$10005,'設定'!$C$4,'①在庫を貼る'!$W$6:$W$10005,$C56)=0,1,0))</f>
        <v/>
      </c>
      <c r="CT56">
        <f>IF(AND($CK56=1,OR('③発注書'!$C$4="すべて",'③発注書'!$C$4="",$F56='③発注書'!$C$4)),N($CT55)+1,N($CT55))</f>
        <v/>
      </c>
      <c r="CU56">
        <f>IF(AND($CL56=1,OR('③発注書'!$C$4="すべて",'③発注書'!$C$4="",$F56='③発注書'!$C$4)),N($CU55)+1,N($CU55))</f>
        <v/>
      </c>
      <c r="CV56">
        <f>IF($C56="",0,IF(COUNTIFS('①在庫を貼る'!$V$6:$V$10005,'設定'!$C$4,'①在庫を貼る'!$W$6:$W$10005,$C56)&gt;0,1,0))</f>
        <v/>
      </c>
      <c r="CW56">
        <f>IF($C56="",0,IF(COUNTIFS('月1回_1ヶ月前の在庫'!$V$6:$V$10005,'設定'!$C$4,'月1回_1ヶ月前の在庫'!$W$6:$W$10005,$C56)&gt;0,1,0))</f>
        <v/>
      </c>
      <c r="CX56">
        <f>IF($C56="",0,IF(COUNTIFS('月1回_2ヶ月前の在庫'!$V$6:$V$10005,'設定'!$C$4,'月1回_2ヶ月前の在庫'!$W$6:$W$10005,$C56)&gt;0,1,0))</f>
        <v/>
      </c>
      <c r="CY56">
        <f>IF(OR($C56="",'設定'!$C$12=""),"",IF('設定'!$C$13="",IF(AND($CV56=1,$CW56=0),"新商品（今月から）",IF(AND($CV56=0,$CW56=1),"終売（今月から）","")),IF(AND($CV56=1,$CW56=0,$CX56=0),"新商品（今月から）",IF(AND($CV56=1,$CW56=1,$CX56=0),"新商品（先月から）",IF(AND($CV56=0,$CW56=1,$CX56=1),"終売（今月から）",IF(AND($CV56=0,$CW56=0,$CX56=1),"終売（先月から）",IF(AND($CV56=1,$CW56=0,$CX56=1),"復活（先月は無し）","")))))))</f>
        <v/>
      </c>
    </row>
    <row r="57">
      <c r="B57">
        <f>IF(52&lt;='設定'!$C$11,52,"")</f>
        <v/>
      </c>
      <c r="C57">
        <f>IF($B57="","",IF($B57&lt;='設定'!$C$20,INDEX('商品マスタ'!$B$6:$B$1005,MATCH($B57,'商品マスタ'!$M$6:$M$1005,0)),IF($B57&lt;='設定'!$C$20+'設定'!$C$17,INDEX('①在庫を貼る'!$W$6:$W$10005,MATCH($B57-'設定'!$C$20,'①在庫を貼る'!$U$6:$U$10005,0)),IF($B57&lt;='設定'!$C$20+'設定'!$C$17+'設定'!$C$18,INDEX('月1回_1ヶ月前の在庫'!$W$6:$W$10005,MATCH($B57-'設定'!$C$20-'設定'!$C$17,'月1回_1ヶ月前の在庫'!$U$6:$U$10005,0)),INDEX('月1回_2ヶ月前の在庫'!$W$6:$W$10005,MATCH($B57-'設定'!$C$20-'設定'!$C$17-'設定'!$C$18,'月1回_2ヶ月前の在庫'!$U$6:$U$10005,0))))))</f>
        <v/>
      </c>
      <c r="D57">
        <f>IF($C57="","",IFERROR(IF(INDEX('商品マスタ'!$C$6:$C$1005,MATCH($C57,'商品マスタ'!$B$6:$B$1005,0))="",IFERROR(INDEX('①在庫を貼る'!$J$6:$J$10005,MATCH($C57,'①在庫を貼る'!$W$6:$W$10005,0)),IFERROR(INDEX('月1回_1ヶ月前の在庫'!$J$6:$J$10005,MATCH($C57,'月1回_1ヶ月前の在庫'!$W$6:$W$10005,0)),IFERROR(INDEX('月1回_2ヶ月前の在庫'!$J$6:$J$10005,MATCH($C57,'月1回_2ヶ月前の在庫'!$W$6:$W$10005,0)),""))),INDEX('商品マスタ'!$C$6:$C$1005,MATCH($C57,'商品マスタ'!$B$6:$B$1005,0))),IFERROR(INDEX('①在庫を貼る'!$J$6:$J$10005,MATCH($C57,'①在庫を貼る'!$W$6:$W$10005,0)),IFERROR(INDEX('月1回_1ヶ月前の在庫'!$J$6:$J$10005,MATCH($C57,'月1回_1ヶ月前の在庫'!$W$6:$W$10005,0)),IFERROR(INDEX('月1回_2ヶ月前の在庫'!$J$6:$J$10005,MATCH($C57,'月1回_2ヶ月前の在庫'!$W$6:$W$10005,0)),"")))))</f>
        <v/>
      </c>
      <c r="E57">
        <f>IF($C57="","",IFERROR(IF(INDEX('商品マスタ'!$D$6:$D$1005,MATCH($C57,'商品マスタ'!$B$6:$B$1005,0))="",IFERROR(INDEX('①在庫を貼る'!$H$6:$H$10005,MATCH($C57,'①在庫を貼る'!$W$6:$W$10005,0)),IFERROR(INDEX('月1回_1ヶ月前の在庫'!$H$6:$H$10005,MATCH($C57,'月1回_1ヶ月前の在庫'!$W$6:$W$10005,0)),IFERROR(INDEX('月1回_2ヶ月前の在庫'!$H$6:$H$10005,MATCH($C57,'月1回_2ヶ月前の在庫'!$W$6:$W$10005,0)),""))),INDEX('商品マスタ'!$D$6:$D$1005,MATCH($C57,'商品マスタ'!$B$6:$B$1005,0))),IFERROR(INDEX('①在庫を貼る'!$H$6:$H$10005,MATCH($C57,'①在庫を貼る'!$W$6:$W$10005,0)),IFERROR(INDEX('月1回_1ヶ月前の在庫'!$H$6:$H$10005,MATCH($C57,'月1回_1ヶ月前の在庫'!$W$6:$W$10005,0)),IFERROR(INDEX('月1回_2ヶ月前の在庫'!$H$6:$H$10005,MATCH($C57,'月1回_2ヶ月前の在庫'!$W$6:$W$10005,0)),"")))))</f>
        <v/>
      </c>
      <c r="F57">
        <f>IF($C57="","",IFERROR(IF(INDEX('商品マスタ'!$E$6:$E$1005,MATCH($C57,'商品マスタ'!$B$6:$B$1005,0))="",IFERROR(INDEX('①在庫を貼る'!$E$6:$E$10005,MATCH($C57,'①在庫を貼る'!$W$6:$W$10005,0)),IFERROR(INDEX('月1回_1ヶ月前の在庫'!$E$6:$E$10005,MATCH($C57,'月1回_1ヶ月前の在庫'!$W$6:$W$10005,0)),IFERROR(INDEX('月1回_2ヶ月前の在庫'!$E$6:$E$10005,MATCH($C57,'月1回_2ヶ月前の在庫'!$W$6:$W$10005,0)),""))),INDEX('商品マスタ'!$E$6:$E$1005,MATCH($C57,'商品マスタ'!$B$6:$B$1005,0))),IFERROR(INDEX('①在庫を貼る'!$E$6:$E$10005,MATCH($C57,'①在庫を貼る'!$W$6:$W$10005,0)),IFERROR(INDEX('月1回_1ヶ月前の在庫'!$E$6:$E$10005,MATCH($C57,'月1回_1ヶ月前の在庫'!$W$6:$W$10005,0)),IFERROR(INDEX('月1回_2ヶ月前の在庫'!$E$6:$E$10005,MATCH($C57,'月1回_2ヶ月前の在庫'!$W$6:$W$10005,0)),"")))))</f>
        <v/>
      </c>
      <c r="G57">
        <f>IF($C57="","",MAX(1,N(IFERROR(IF(INDEX('商品マスタ'!$F$6:$F$1005,MATCH($C57,'商品マスタ'!$B$6:$B$1005,0))="",IF(COUNTIFS('①在庫を貼る'!$V$6:$V$10005,'設定'!$C$4,'①在庫を貼る'!$W$6:$W$10005,$C57)&gt;0,SUMIFS('①在庫を貼る'!$K$6:$K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K$6:$K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K$6:$K$10005,'月1回_2ヶ月前の在庫'!$V$6:$V$10005,'設定'!$C$4,'月1回_2ヶ月前の在庫'!$W$6:$W$10005,$C57)/COUNTIFS('月1回_2ヶ月前の在庫'!$V$6:$V$10005,'設定'!$C$4,'月1回_2ヶ月前の在庫'!$W$6:$W$10005,$C57),0))),INDEX('商品マスタ'!$F$6:$F$1005,MATCH($C57,'商品マスタ'!$B$6:$B$1005,0))),IF(COUNTIFS('①在庫を貼る'!$V$6:$V$10005,'設定'!$C$4,'①在庫を貼る'!$W$6:$W$10005,$C57)&gt;0,SUMIFS('①在庫を貼る'!$K$6:$K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K$6:$K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K$6:$K$10005,'月1回_2ヶ月前の在庫'!$V$6:$V$10005,'設定'!$C$4,'月1回_2ヶ月前の在庫'!$W$6:$W$10005,$C57)/COUNTIFS('月1回_2ヶ月前の在庫'!$V$6:$V$10005,'設定'!$C$4,'月1回_2ヶ月前の在庫'!$W$6:$W$10005,$C57),0)))))))</f>
        <v/>
      </c>
      <c r="H57">
        <f>IF($C57="","",N(IFERROR(IF(INDEX('商品マスタ'!$G$6:$G$1005,MATCH($C57,'商品マスタ'!$B$6:$B$1005,0))="",IF(COUNTIFS('①在庫を貼る'!$V$6:$V$10005,'設定'!$C$4,'①在庫を貼る'!$W$6:$W$10005,$C57)&gt;0,SUMIFS('①在庫を貼る'!$Q$6:$Q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Q$6:$Q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Q$6:$Q$10005,'月1回_2ヶ月前の在庫'!$V$6:$V$10005,'設定'!$C$4,'月1回_2ヶ月前の在庫'!$W$6:$W$10005,$C57)/COUNTIFS('月1回_2ヶ月前の在庫'!$V$6:$V$10005,'設定'!$C$4,'月1回_2ヶ月前の在庫'!$W$6:$W$10005,$C57),0))),INDEX('商品マスタ'!$G$6:$G$1005,MATCH($C57,'商品マスタ'!$B$6:$B$1005,0))),IF(COUNTIFS('①在庫を貼る'!$V$6:$V$10005,'設定'!$C$4,'①在庫を貼る'!$W$6:$W$10005,$C57)&gt;0,SUMIFS('①在庫を貼る'!$Q$6:$Q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Q$6:$Q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Q$6:$Q$10005,'月1回_2ヶ月前の在庫'!$V$6:$V$10005,'設定'!$C$4,'月1回_2ヶ月前の在庫'!$W$6:$W$10005,$C57)/COUNTIFS('月1回_2ヶ月前の在庫'!$V$6:$V$10005,'設定'!$C$4,'月1回_2ヶ月前の在庫'!$W$6:$W$10005,$C57),0))))))</f>
        <v/>
      </c>
      <c r="I57">
        <f>IF($C57="","",IF(COUNTIFS('①在庫を貼る'!$V$6:$V$10005,'設定'!$C$4,'①在庫を貼る'!$W$6:$W$10005,$C57)=0,"",SUMIFS('①在庫を貼る'!$N$6:$N$10005,'①在庫を貼る'!$V$6:$V$10005,'設定'!$C$4,'①在庫を貼る'!$W$6:$W$10005,$C57)))</f>
        <v/>
      </c>
      <c r="J57">
        <f>IF($C57="","",IF('②発注する'!$AD61="","",'②発注する'!$AD61))</f>
        <v/>
      </c>
      <c r="K57" s="90">
        <f>IF($C57="","",IF('②発注する'!$AE61="","",'②発注する'!$AE61))</f>
        <v/>
      </c>
      <c r="L57">
        <f>IF($C57="","",IF(AND(ISNUMBER($J57),ISNUMBER($K57),$K57&gt;='設定'!$C$6),$J57,N($I57)))</f>
        <v/>
      </c>
      <c r="M57">
        <f>IF($C57="","",IFERROR(IF(N(INDEX('商品マスタ'!$J$6:$J$1005,MATCH($C57,'商品マスタ'!$B$6:$B$1005,0)))&gt;0,INDEX('商品マスタ'!$J$6:$J$1005,MATCH($C57,'商品マスタ'!$B$6:$B$1005,0)),""),""))</f>
        <v/>
      </c>
      <c r="N57">
        <f>IF($C57="","",IFERROR(IF(N(INDEX('商品マスタ'!$H$6:$H$1005,MATCH($C57,'商品マスタ'!$B$6:$B$1005,0)))&gt;0,INDEX('商品マスタ'!$H$6:$H$1005,MATCH($C57,'商品マスタ'!$B$6:$B$1005,0)),""),""))</f>
        <v/>
      </c>
      <c r="O57">
        <f>IF($C57="","",IF($N57&lt;&gt;"",$N57*$G57,IF(N(IF(COUNTIFS('①在庫を貼る'!$V$6:$V$10005,'設定'!$C$4,'①在庫を貼る'!$W$6:$W$10005,$C57)&gt;0,SUMIFS('①在庫を貼る'!$O$6:$O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O$6:$O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O$6:$O$10005,'月1回_2ヶ月前の在庫'!$V$6:$V$10005,'設定'!$C$4,'月1回_2ヶ月前の在庫'!$W$6:$W$10005,$C57)/COUNTIFS('月1回_2ヶ月前の在庫'!$V$6:$V$10005,'設定'!$C$4,'月1回_2ヶ月前の在庫'!$W$6:$W$10005,$C57),0))))&gt;0,N(IF(COUNTIFS('①在庫を貼る'!$V$6:$V$10005,'設定'!$C$4,'①在庫を貼る'!$W$6:$W$10005,$C57)&gt;0,SUMIFS('①在庫を貼る'!$O$6:$O$10005,'①在庫を貼る'!$V$6:$V$10005,'設定'!$C$4,'①在庫を貼る'!$W$6:$W$10005,$C57)/COUNTIFS('①在庫を貼る'!$V$6:$V$10005,'設定'!$C$4,'①在庫を貼る'!$W$6:$W$10005,$C57),IF(COUNTIFS('月1回_1ヶ月前の在庫'!$V$6:$V$10005,'設定'!$C$4,'月1回_1ヶ月前の在庫'!$W$6:$W$10005,$C57)&gt;0,SUMIFS('月1回_1ヶ月前の在庫'!$O$6:$O$10005,'月1回_1ヶ月前の在庫'!$V$6:$V$10005,'設定'!$C$4,'月1回_1ヶ月前の在庫'!$W$6:$W$10005,$C57)/COUNTIFS('月1回_1ヶ月前の在庫'!$V$6:$V$10005,'設定'!$C$4,'月1回_1ヶ月前の在庫'!$W$6:$W$10005,$C57),IF(COUNTIFS('月1回_2ヶ月前の在庫'!$V$6:$V$10005,'設定'!$C$4,'月1回_2ヶ月前の在庫'!$W$6:$W$10005,$C57)&gt;0,SUMIFS('月1回_2ヶ月前の在庫'!$O$6:$O$10005,'月1回_2ヶ月前の在庫'!$V$6:$V$10005,'設定'!$C$4,'月1回_2ヶ月前の在庫'!$W$6:$W$10005,$C57)/COUNTIFS('月1回_2ヶ月前の在庫'!$V$6:$V$10005,'設定'!$C$4,'月1回_2ヶ月前の在庫'!$W$6:$W$10005,$C57),0)))),"")))</f>
        <v/>
      </c>
      <c r="P57" s="90">
        <f>IF($C57="","",IF('②発注する'!$I61="","",'②発注する'!$I61))</f>
        <v/>
      </c>
      <c r="Q57">
        <f>IF($C57="","",IF('②発注する'!$J61="","",'②発注する'!$J61))</f>
        <v/>
      </c>
      <c r="R57">
        <f>IF($C57="",0,IF(AND(ISNUMBER($P57),ISNUMBER($Q57)),MAX(0,$Q57)*$G57,0))</f>
        <v/>
      </c>
      <c r="S57" s="90">
        <f>IF($C57="","",IF('②発注する'!$M61="","",'②発注する'!$M61))</f>
        <v/>
      </c>
      <c r="T57">
        <f>IF($C57="","",IF('②発注する'!$N61="","",'②発注する'!$N61))</f>
        <v/>
      </c>
      <c r="U57">
        <f>IF($C57="",0,IF(AND(ISNUMBER($S57),ISNUMBER($T57)),MAX(0,$T57)*$G57,0))</f>
        <v/>
      </c>
      <c r="V57">
        <f>IF($C57="",0,IF($M57="",0,MAX(0,$M57)*MAX(0,V$4)/100))</f>
        <v/>
      </c>
      <c r="W57">
        <f>IF($C57="",0,IF($M57="",0,MAX(0,$M57)*MAX(0,W$4)/100))</f>
        <v/>
      </c>
      <c r="X57">
        <f>IF($C57="",0,IF($M57="",0,MAX(0,$M57)*MAX(0,X$4)/100))</f>
        <v/>
      </c>
      <c r="Y57">
        <f>IF($C57="",0,IF($M57="",0,MAX(0,$M57)*MAX(0,Y$4)/100))</f>
        <v/>
      </c>
      <c r="Z57">
        <f>IF($C57="",0,IF($M57="",0,MAX(0,$M57)*MAX(0,Z$4)/100))</f>
        <v/>
      </c>
      <c r="AA57">
        <f>IF($C57="",0,IF($M57="",0,MAX(0,$M57)*MAX(0,AA$4)/100))</f>
        <v/>
      </c>
      <c r="AB57">
        <f>IF($C57="",0,IF($M57="",0,MAX(0,$M57)*MAX(0,AB$4)/100))</f>
        <v/>
      </c>
      <c r="AC57">
        <f>IF($C57="",0,IF($M57="",0,MAX(0,$M57)*MAX(0,AC$4)/100))</f>
        <v/>
      </c>
      <c r="AD57">
        <f>IF($C57="",0,IF($M57="",0,MAX(0,$M57)*MAX(0,AD$4)/100))</f>
        <v/>
      </c>
      <c r="AE57">
        <f>IF($C57="",0,IF($M57="",0,MAX(0,$M57)*MAX(0,AE$4)/100))</f>
        <v/>
      </c>
      <c r="AF57">
        <f>IF($C57="",0,IF($M57="",0,MAX(0,$M57)*MAX(0,AF$4)/100))</f>
        <v/>
      </c>
      <c r="AG57">
        <f>IF($C57="",0,IF($M57="",0,MAX(0,$M57)*MAX(0,AG$4)/100))</f>
        <v/>
      </c>
      <c r="AH57">
        <f>IF($C57="",0,IF($M57="",0,MAX(0,$M57)*MAX(0,AH$4)/100))</f>
        <v/>
      </c>
      <c r="AI57">
        <f>IF($C57="",0,IF($M57="",0,MAX(0,$M57)*MAX(0,AI$4)/100))</f>
        <v/>
      </c>
      <c r="AJ57">
        <f>IF($C57="",0,MAX(0,MAX(0,N($L57))-$V57))</f>
        <v/>
      </c>
      <c r="AK57">
        <f>IF($C57="",0,MAX(0,$AJ57-$W57))</f>
        <v/>
      </c>
      <c r="AL57">
        <f>IF($C57="",0,MAX(0,$AK57-$X57))</f>
        <v/>
      </c>
      <c r="AM57">
        <f>IF($C57="",0,MAX(0,$AL57-$Y57))</f>
        <v/>
      </c>
      <c r="AN57">
        <f>IF($C57="",0,MAX(0,$AM57-$Z57))</f>
        <v/>
      </c>
      <c r="AO57">
        <f>IF($C57="",0,MAX(0,$AN57-$AA57))</f>
        <v/>
      </c>
      <c r="AP57">
        <f>IF($C57="",0,MAX(0,$AO57-$AB57))</f>
        <v/>
      </c>
      <c r="AQ57">
        <f>IF($C57="",0,MAX(0,$AP57-$AC57))</f>
        <v/>
      </c>
      <c r="AR57">
        <f>IF($C57="",0,MAX(0,$AQ57-$AD57))</f>
        <v/>
      </c>
      <c r="AS57">
        <f>IF($C57="",0,MAX(0,$AR57-$AE57))</f>
        <v/>
      </c>
      <c r="AT57">
        <f>IF($C57="",0,MAX(0,$AS57-$AF57))</f>
        <v/>
      </c>
      <c r="AU57">
        <f>IF($C57="",0,MAX(0,$AT57-$AG57))</f>
        <v/>
      </c>
      <c r="AV57">
        <f>IF($C57="",0,MAX(0,$AU57-$AH57))</f>
        <v/>
      </c>
      <c r="AW57">
        <f>IF($C57="",0,MAX(0,$AV57-$AI57))</f>
        <v/>
      </c>
      <c r="AX57">
        <f>IF($C57="",0,MAX(0,MAX(0,N($L57))+IF($P57=V$3,$R57,0)+IF($S57=V$3,$U57,0)-$V57))</f>
        <v/>
      </c>
      <c r="AY57">
        <f>IF($C57="",0,MAX(0,$AX57+IF($P57=W$3,$R57,0)+IF($S57=W$3,$U57,0)-$W57))</f>
        <v/>
      </c>
      <c r="AZ57">
        <f>IF($C57="",0,MAX(0,$AY57+IF($P57=X$3,$R57,0)+IF($S57=X$3,$U57,0)-$X57))</f>
        <v/>
      </c>
      <c r="BA57">
        <f>IF($C57="",0,MAX(0,$AZ57+IF($P57=Y$3,$R57,0)+IF($S57=Y$3,$U57,0)-$Y57))</f>
        <v/>
      </c>
      <c r="BB57">
        <f>IF($C57="",0,MAX(0,$BA57+IF($P57=Z$3,$R57,0)+IF($S57=Z$3,$U57,0)-$Z57))</f>
        <v/>
      </c>
      <c r="BC57">
        <f>IF($C57="",0,MAX(0,$BB57+IF($P57=AA$3,$R57,0)+IF($S57=AA$3,$U57,0)-$AA57))</f>
        <v/>
      </c>
      <c r="BD57">
        <f>IF($C57="",0,MAX(0,$BC57+IF($P57=AB$3,$R57,0)+IF($S57=AB$3,$U57,0)-$AB57))</f>
        <v/>
      </c>
      <c r="BE57">
        <f>IF($C57="",0,MAX(0,$BD57+IF($P57=AC$3,$R57,0)+IF($S57=AC$3,$U57,0)-$AC57))</f>
        <v/>
      </c>
      <c r="BF57">
        <f>IF($C57="",0,MAX(0,$BE57+IF($P57=AD$3,$R57,0)+IF($S57=AD$3,$U57,0)-$AD57))</f>
        <v/>
      </c>
      <c r="BG57">
        <f>IF($C57="",0,MAX(0,$BF57+IF($P57=AE$3,$R57,0)+IF($S57=AE$3,$U57,0)-$AE57))</f>
        <v/>
      </c>
      <c r="BH57">
        <f>IF($C57="",0,MAX(0,$BG57+IF($P57=AF$3,$R57,0)+IF($S57=AF$3,$U57,0)-$AF57))</f>
        <v/>
      </c>
      <c r="BI57">
        <f>IF($C57="",0,MAX(0,$BH57+IF($P57=AG$3,$R57,0)+IF($S57=AG$3,$U57,0)-$AG57))</f>
        <v/>
      </c>
      <c r="BJ57">
        <f>IF($C57="",0,MAX(0,$BI57+IF($P57=AH$3,$R57,0)+IF($S57=AH$3,$U57,0)-$AH57))</f>
        <v/>
      </c>
      <c r="BK57">
        <f>IF($C57="",0,MAX(0,$BJ57+IF($P57=AI$3,$R57,0)+IF($S57=AI$3,$U57,0)-$AI57))</f>
        <v/>
      </c>
      <c r="BL57">
        <f>IF($C57="",99,IF(AND($AX57&lt;1,V$3&gt;=MAX(N($P57),N($S57))),0,99))</f>
        <v/>
      </c>
      <c r="BM57">
        <f>IF($C57="",99,IF(AND($AY57&lt;1,W$3&gt;=MAX(N($P57),N($S57))),1,99))</f>
        <v/>
      </c>
      <c r="BN57">
        <f>IF($C57="",99,IF(AND($AZ57&lt;1,X$3&gt;=MAX(N($P57),N($S57))),2,99))</f>
        <v/>
      </c>
      <c r="BO57">
        <f>IF($C57="",99,IF(AND($BA57&lt;1,Y$3&gt;=MAX(N($P57),N($S57))),3,99))</f>
        <v/>
      </c>
      <c r="BP57">
        <f>IF($C57="",99,IF(AND($BB57&lt;1,Z$3&gt;=MAX(N($P57),N($S57))),4,99))</f>
        <v/>
      </c>
      <c r="BQ57">
        <f>IF($C57="",99,IF(AND($BC57&lt;1,AA$3&gt;=MAX(N($P57),N($S57))),5,99))</f>
        <v/>
      </c>
      <c r="BR57">
        <f>IF($C57="",99,IF(AND($BD57&lt;1,AB$3&gt;=MAX(N($P57),N($S57))),6,99))</f>
        <v/>
      </c>
      <c r="BS57">
        <f>IF($C57="",99,IF(AND($BE57&lt;1,AC$3&gt;=MAX(N($P57),N($S57))),7,99))</f>
        <v/>
      </c>
      <c r="BT57">
        <f>IF($C57="",99,IF(AND($BF57&lt;1,AD$3&gt;=MAX(N($P57),N($S57))),8,99))</f>
        <v/>
      </c>
      <c r="BU57">
        <f>IF($C57="",99,IF(AND($BG57&lt;1,AE$3&gt;=MAX(N($P57),N($S57))),9,99))</f>
        <v/>
      </c>
      <c r="BV57">
        <f>IF($C57="",99,IF(AND($BH57&lt;1,AF$3&gt;=MAX(N($P57),N($S57))),10,99))</f>
        <v/>
      </c>
      <c r="BW57">
        <f>IF($C57="",99,IF(AND($BI57&lt;1,AG$3&gt;=MAX(N($P57),N($S57))),11,99))</f>
        <v/>
      </c>
      <c r="BX57">
        <f>IF($C57="",99,IF(AND($BJ57&lt;1,AH$3&gt;=MAX(N($P57),N($S57))),12,99))</f>
        <v/>
      </c>
      <c r="BY57">
        <f>IF($C57="",99,IF(AND($BK57&lt;1,AI$3&gt;=MAX(N($P57),N($S57))),13,99))</f>
        <v/>
      </c>
      <c r="BZ57">
        <f>IF(OR($C57="",$M57=""),"",COUNTIF($AJ57:$AW57,"&gt;=1"))</f>
        <v/>
      </c>
      <c r="CA57" s="90">
        <f>IF($BZ57="","",IF($BZ57&gt;=14,"",'設定'!$C$6+$BZ57))</f>
        <v/>
      </c>
      <c r="CB57">
        <f>IF(OR($C57="",$M57=""),"",MIN($BL57:$BY57))</f>
        <v/>
      </c>
      <c r="CC57" s="90">
        <f>IF($CB57="","",IF($CB57&gt;=99,"",'設定'!$C$6+$CB57))</f>
        <v/>
      </c>
      <c r="CD57">
        <f>IF(OR($C57="",$M57=""),"",AVERAGE($V57:$AI57))</f>
        <v/>
      </c>
      <c r="CE57">
        <f>IF($C57="","",IFERROR(IF(MATCH(IF(ISNUMBER($P57),$P57,'設定'!$C$6+N('設定'!$C$7)),$V$3:$AI$3,0)=1,MAX(0,N($L57)),INDEX($AJ57:$AW57,MATCH(IF(ISNUMBER($P57),$P57,'設定'!$C$6+N('設定'!$C$7)),$V$3:$AI$3,0)-1)),""))</f>
        <v/>
      </c>
      <c r="CF57">
        <f>IF(OR($C57="",$O57="",$CE57=""),"",IF($O57-$CE57&lt;=0,0,ROUNDUP(($O57-$CE57)/$G57,0)))</f>
        <v/>
      </c>
      <c r="CG57">
        <f>IF(OR($C57="",$CF57="",NOT(ISNUMBER($Q57))),0,MAX(0,$Q57-$CF57))</f>
        <v/>
      </c>
      <c r="CH57">
        <f>IF(OR($C57="",$O57="",$U57=0),0,IFERROR(ROUNDUP(MAX(0,IF(MATCH($S57,$V$3:$AI$3,0)=1,MAX(0,N($L57)),INDEX($AX57:$BK57,MATCH($S57,$V$3:$AI$3,0)-1))+$U57-$O57)/$G57,0),0))</f>
        <v/>
      </c>
      <c r="CI57">
        <f>IF($C57="","",IF(AND($P57="",$Q57=""),"",IF($P57="","⚠ 入庫日を ▼ から選んでください",IF(NOT(ISNUMBER($P57)),"⚠ 入庫日は ▼ から選んでください",IF($P57&lt;N('設定'!$C$6),"⚠ 入庫日が過去です（もう在庫に入っています）→ 消してください",IF($P57&gt;N('設定'!$C$6)+13,"⚠ 入庫日が14日より先です",IF(N($Q57)&lt;=0,"⚠ 入庫数を入れてください",IF($CG57&gt;0,"⚠ 目安より "&amp;$CG57&amp;" 多い（定数を超える）→ 減らす",""))))))))</f>
        <v/>
      </c>
      <c r="CJ57">
        <f>IF($C57="","",IF(AND($S57="",$T57=""),"",IF($S57="","⚠ 2便目：入庫日を ▼ から選んでください",IF(NOT(ISNUMBER($S57)),"⚠ 2便目：入庫日は ▼ から選んでください",IF($S57&lt;N('設定'!$C$6),"⚠ 2便目：入庫日が過去です（もう在庫に入っています）→ 消してください",IF($S57&gt;N('設定'!$C$6)+13,"⚠ 2便目：入庫日が14日より先です",IF(N($T57)&lt;=0,"⚠ 2便目：入庫数を入れてください",IF($CH57&gt;0,"⚠ 2便目：定数を "&amp;$CH57&amp;" ケース超える → 減らす",""))))))))</f>
        <v/>
      </c>
      <c r="CK57">
        <f>IF(AND($CI57="",N($Q57)&gt;0,ISNUMBER($P57)),1,0)</f>
        <v/>
      </c>
      <c r="CL57">
        <f>IF(AND($CJ57="",N($T57)&gt;0,ISNUMBER($S57)),1,0)</f>
        <v/>
      </c>
      <c r="CM57">
        <f>IF(OR($CK57=1,$CL57=1),1,0)</f>
        <v/>
      </c>
      <c r="CN57">
        <f>IF($C57="",0,($CK57*$R57+$CL57*$U57)*N($H57))</f>
        <v/>
      </c>
      <c r="CO57">
        <f>IF($C57="","",IF($CC57="","入庫後は 14日以上もつ",IF($CC57-N('設定'!$C$7)&lt;='設定'!$C$6,"入庫後も "&amp;TEXT($CC57,"m/d")&amp;"("&amp;CHOOSE(WEEKDAY($CC57),"日","月","火","水","木","金","土")&amp;")"&amp;" に切れる　もう1便を至急発注","入庫後も "&amp;TEXT($CC57,"m/d")&amp;"("&amp;CHOOSE(WEEKDAY($CC57),"日","月","火","水","木","金","土")&amp;")"&amp;" に切れる　"&amp;TEXT($CC57-N('設定'!$C$7),"m/d")&amp;"("&amp;CHOOSE(WEEKDAY($CC57-N('設定'!$C$7)),"日","月","火","水","木","金","土")&amp;")"&amp;" までに次を発注")))</f>
        <v/>
      </c>
      <c r="CP57">
        <f>IF($C57="","",IF('設定'!$C$6="","？ ①在庫を貼る に今日のCSVが貼られていない",IF($CS57=1,"－ 今日のCSVに無い（終売？）",IF($L57&lt;0,"● 在庫がマイナス　数えて「数えた在庫」に入れる",IF($L57=0,"● 在庫なし　至急発注",IF($M57="","？ 減り数が未設定（商品マスタ）",IF($B$3=0,"？ 動員が未入力（動員を入れる）",IF($CA57="","○ 14日以上もつ",IF($BZ57&lt;N('設定'!$C$7),"● "&amp;TEXT($CA57,"m/d")&amp;"("&amp;CHOOSE(WEEKDAY($CA57),"日","月","火","水","木","金","土")&amp;")"&amp;" に切れる　至急発注",IF($BZ57=N('設定'!$C$7),"● "&amp;TEXT($CA57,"m/d")&amp;"("&amp;CHOOSE(WEEKDAY($CA57),"日","月","火","水","木","金","土")&amp;")"&amp;" に切れる　今日発注","△ "&amp;TEXT($CA57,"m/d")&amp;"("&amp;CHOOSE(WEEKDAY($CA57),"日","月","火","水","木","金","土")&amp;")"&amp;" に切れる　"&amp;TEXT($CA57-N('設定'!$C$7),"m/d")&amp;"("&amp;CHOOSE(WEEKDAY($CA57-N('設定'!$C$7)),"日","月","火","水","木","金","土")&amp;")"&amp;" までに発注"))))))))))</f>
        <v/>
      </c>
      <c r="CQ57">
        <f>IF($C57="","",IF(AND($P57="",$Q57="",$S57="",$T57=""),"",IF(AND($P57="",$Q57=""),"⚠ 先に1便目（左の入庫日・入庫数）に入れてください",IF($CI57&lt;&gt;"",$CI57,IF($CJ57&lt;&gt;"",$CJ57,IF($M57="","？ 減り数が未設定（発注書には載ります）",IF($B$3=0,"？ 動員が未入力（発注書には載ります）",IF(AND($CA57&lt;&gt;"",$P57&gt;$CA57),IF($P57&gt;'設定'!$C$6+N('設定'!$C$7),"● "&amp;TEXT($P57,"m/d")&amp;"("&amp;CHOOSE(WEEKDAY($P57),"日","月","火","水","木","金","土")&amp;")"&amp;" の入庫では間に合わない（"&amp;TEXT($CA57,"m/d")&amp;"("&amp;CHOOSE(WEEKDAY($CA57),"日","月","火","水","木","金","土")&amp;")"&amp;" に切れる）　入庫日を早める","△ 欠品 "&amp;TEXT($CA57,"m/d")&amp;"("&amp;CHOOSE(WEEKDAY($CA57),"日","月","火","水","木","金","土")&amp;")"&amp;"〜"&amp;TEXT($P57-1,"m/d")&amp;"("&amp;CHOOSE(WEEKDAY($P57-1),"日","月","火","水","木","金","土")&amp;")"&amp;"　"&amp;$CO57),IF($CC57="","○ "&amp;TEXT($P57,"m/d")&amp;"("&amp;CHOOSE(WEEKDAY($P57),"日","月","火","水","木","金","土")&amp;")"&amp;" 入庫で 14日以上もつ",IF($CC57-N('設定'!$C$7)&lt;='設定'!$C$6,"● 入庫しても "&amp;TEXT($CC57,"m/d")&amp;"("&amp;CHOOSE(WEEKDAY($CC57),"日","月","火","水","木","金","土")&amp;")"&amp;" に切れる　もう1便を至急発注（2便目に入れる）","△ 入庫しても "&amp;TEXT($CC57,"m/d")&amp;"("&amp;CHOOSE(WEEKDAY($CC57),"日","月","火","水","木","金","土")&amp;")"&amp;" に切れる　"&amp;TEXT($CC57-N('設定'!$C$7),"m/d")&amp;"("&amp;CHOOSE(WEEKDAY($CC57-N('設定'!$C$7)),"日","月","火","水","木","金","土")&amp;")"&amp;" までに次を発注（2便目に入れる）"))))))))))</f>
        <v/>
      </c>
      <c r="CR57">
        <f>IF($C57="","",IF($G57&gt;1,"ｹｰｽ("&amp;$G57&amp;"入)","個"))</f>
        <v/>
      </c>
      <c r="CS57">
        <f>IF($C57="",0,IF(COUNTIFS('①在庫を貼る'!$V$6:$V$10005,'設定'!$C$4,'①在庫を貼る'!$W$6:$W$10005,$C57)=0,1,0))</f>
        <v/>
      </c>
      <c r="CT57">
        <f>IF(AND($CK57=1,OR('③発注書'!$C$4="すべて",'③発注書'!$C$4="",$F57='③発注書'!$C$4)),N($CT56)+1,N($CT56))</f>
        <v/>
      </c>
      <c r="CU57">
        <f>IF(AND($CL57=1,OR('③発注書'!$C$4="すべて",'③発注書'!$C$4="",$F57='③発注書'!$C$4)),N($CU56)+1,N($CU56))</f>
        <v/>
      </c>
      <c r="CV57">
        <f>IF($C57="",0,IF(COUNTIFS('①在庫を貼る'!$V$6:$V$10005,'設定'!$C$4,'①在庫を貼る'!$W$6:$W$10005,$C57)&gt;0,1,0))</f>
        <v/>
      </c>
      <c r="CW57">
        <f>IF($C57="",0,IF(COUNTIFS('月1回_1ヶ月前の在庫'!$V$6:$V$10005,'設定'!$C$4,'月1回_1ヶ月前の在庫'!$W$6:$W$10005,$C57)&gt;0,1,0))</f>
        <v/>
      </c>
      <c r="CX57">
        <f>IF($C57="",0,IF(COUNTIFS('月1回_2ヶ月前の在庫'!$V$6:$V$10005,'設定'!$C$4,'月1回_2ヶ月前の在庫'!$W$6:$W$10005,$C57)&gt;0,1,0))</f>
        <v/>
      </c>
      <c r="CY57">
        <f>IF(OR($C57="",'設定'!$C$12=""),"",IF('設定'!$C$13="",IF(AND($CV57=1,$CW57=0),"新商品（今月から）",IF(AND($CV57=0,$CW57=1),"終売（今月から）","")),IF(AND($CV57=1,$CW57=0,$CX57=0),"新商品（今月から）",IF(AND($CV57=1,$CW57=1,$CX57=0),"新商品（先月から）",IF(AND($CV57=0,$CW57=1,$CX57=1),"終売（今月から）",IF(AND($CV57=0,$CW57=0,$CX57=1),"終売（先月から）",IF(AND($CV57=1,$CW57=0,$CX57=1),"復活（先月は無し）","")))))))</f>
        <v/>
      </c>
    </row>
    <row r="58">
      <c r="B58">
        <f>IF(53&lt;='設定'!$C$11,53,"")</f>
        <v/>
      </c>
      <c r="C58">
        <f>IF($B58="","",IF($B58&lt;='設定'!$C$20,INDEX('商品マスタ'!$B$6:$B$1005,MATCH($B58,'商品マスタ'!$M$6:$M$1005,0)),IF($B58&lt;='設定'!$C$20+'設定'!$C$17,INDEX('①在庫を貼る'!$W$6:$W$10005,MATCH($B58-'設定'!$C$20,'①在庫を貼る'!$U$6:$U$10005,0)),IF($B58&lt;='設定'!$C$20+'設定'!$C$17+'設定'!$C$18,INDEX('月1回_1ヶ月前の在庫'!$W$6:$W$10005,MATCH($B58-'設定'!$C$20-'設定'!$C$17,'月1回_1ヶ月前の在庫'!$U$6:$U$10005,0)),INDEX('月1回_2ヶ月前の在庫'!$W$6:$W$10005,MATCH($B58-'設定'!$C$20-'設定'!$C$17-'設定'!$C$18,'月1回_2ヶ月前の在庫'!$U$6:$U$10005,0))))))</f>
        <v/>
      </c>
      <c r="D58">
        <f>IF($C58="","",IFERROR(IF(INDEX('商品マスタ'!$C$6:$C$1005,MATCH($C58,'商品マスタ'!$B$6:$B$1005,0))="",IFERROR(INDEX('①在庫を貼る'!$J$6:$J$10005,MATCH($C58,'①在庫を貼る'!$W$6:$W$10005,0)),IFERROR(INDEX('月1回_1ヶ月前の在庫'!$J$6:$J$10005,MATCH($C58,'月1回_1ヶ月前の在庫'!$W$6:$W$10005,0)),IFERROR(INDEX('月1回_2ヶ月前の在庫'!$J$6:$J$10005,MATCH($C58,'月1回_2ヶ月前の在庫'!$W$6:$W$10005,0)),""))),INDEX('商品マスタ'!$C$6:$C$1005,MATCH($C58,'商品マスタ'!$B$6:$B$1005,0))),IFERROR(INDEX('①在庫を貼る'!$J$6:$J$10005,MATCH($C58,'①在庫を貼る'!$W$6:$W$10005,0)),IFERROR(INDEX('月1回_1ヶ月前の在庫'!$J$6:$J$10005,MATCH($C58,'月1回_1ヶ月前の在庫'!$W$6:$W$10005,0)),IFERROR(INDEX('月1回_2ヶ月前の在庫'!$J$6:$J$10005,MATCH($C58,'月1回_2ヶ月前の在庫'!$W$6:$W$10005,0)),"")))))</f>
        <v/>
      </c>
      <c r="E58">
        <f>IF($C58="","",IFERROR(IF(INDEX('商品マスタ'!$D$6:$D$1005,MATCH($C58,'商品マスタ'!$B$6:$B$1005,0))="",IFERROR(INDEX('①在庫を貼る'!$H$6:$H$10005,MATCH($C58,'①在庫を貼る'!$W$6:$W$10005,0)),IFERROR(INDEX('月1回_1ヶ月前の在庫'!$H$6:$H$10005,MATCH($C58,'月1回_1ヶ月前の在庫'!$W$6:$W$10005,0)),IFERROR(INDEX('月1回_2ヶ月前の在庫'!$H$6:$H$10005,MATCH($C58,'月1回_2ヶ月前の在庫'!$W$6:$W$10005,0)),""))),INDEX('商品マスタ'!$D$6:$D$1005,MATCH($C58,'商品マスタ'!$B$6:$B$1005,0))),IFERROR(INDEX('①在庫を貼る'!$H$6:$H$10005,MATCH($C58,'①在庫を貼る'!$W$6:$W$10005,0)),IFERROR(INDEX('月1回_1ヶ月前の在庫'!$H$6:$H$10005,MATCH($C58,'月1回_1ヶ月前の在庫'!$W$6:$W$10005,0)),IFERROR(INDEX('月1回_2ヶ月前の在庫'!$H$6:$H$10005,MATCH($C58,'月1回_2ヶ月前の在庫'!$W$6:$W$10005,0)),"")))))</f>
        <v/>
      </c>
      <c r="F58">
        <f>IF($C58="","",IFERROR(IF(INDEX('商品マスタ'!$E$6:$E$1005,MATCH($C58,'商品マスタ'!$B$6:$B$1005,0))="",IFERROR(INDEX('①在庫を貼る'!$E$6:$E$10005,MATCH($C58,'①在庫を貼る'!$W$6:$W$10005,0)),IFERROR(INDEX('月1回_1ヶ月前の在庫'!$E$6:$E$10005,MATCH($C58,'月1回_1ヶ月前の在庫'!$W$6:$W$10005,0)),IFERROR(INDEX('月1回_2ヶ月前の在庫'!$E$6:$E$10005,MATCH($C58,'月1回_2ヶ月前の在庫'!$W$6:$W$10005,0)),""))),INDEX('商品マスタ'!$E$6:$E$1005,MATCH($C58,'商品マスタ'!$B$6:$B$1005,0))),IFERROR(INDEX('①在庫を貼る'!$E$6:$E$10005,MATCH($C58,'①在庫を貼る'!$W$6:$W$10005,0)),IFERROR(INDEX('月1回_1ヶ月前の在庫'!$E$6:$E$10005,MATCH($C58,'月1回_1ヶ月前の在庫'!$W$6:$W$10005,0)),IFERROR(INDEX('月1回_2ヶ月前の在庫'!$E$6:$E$10005,MATCH($C58,'月1回_2ヶ月前の在庫'!$W$6:$W$10005,0)),"")))))</f>
        <v/>
      </c>
      <c r="G58">
        <f>IF($C58="","",MAX(1,N(IFERROR(IF(INDEX('商品マスタ'!$F$6:$F$1005,MATCH($C58,'商品マスタ'!$B$6:$B$1005,0))="",IF(COUNTIFS('①在庫を貼る'!$V$6:$V$10005,'設定'!$C$4,'①在庫を貼る'!$W$6:$W$10005,$C58)&gt;0,SUMIFS('①在庫を貼る'!$K$6:$K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K$6:$K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K$6:$K$10005,'月1回_2ヶ月前の在庫'!$V$6:$V$10005,'設定'!$C$4,'月1回_2ヶ月前の在庫'!$W$6:$W$10005,$C58)/COUNTIFS('月1回_2ヶ月前の在庫'!$V$6:$V$10005,'設定'!$C$4,'月1回_2ヶ月前の在庫'!$W$6:$W$10005,$C58),0))),INDEX('商品マスタ'!$F$6:$F$1005,MATCH($C58,'商品マスタ'!$B$6:$B$1005,0))),IF(COUNTIFS('①在庫を貼る'!$V$6:$V$10005,'設定'!$C$4,'①在庫を貼る'!$W$6:$W$10005,$C58)&gt;0,SUMIFS('①在庫を貼る'!$K$6:$K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K$6:$K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K$6:$K$10005,'月1回_2ヶ月前の在庫'!$V$6:$V$10005,'設定'!$C$4,'月1回_2ヶ月前の在庫'!$W$6:$W$10005,$C58)/COUNTIFS('月1回_2ヶ月前の在庫'!$V$6:$V$10005,'設定'!$C$4,'月1回_2ヶ月前の在庫'!$W$6:$W$10005,$C58),0)))))))</f>
        <v/>
      </c>
      <c r="H58">
        <f>IF($C58="","",N(IFERROR(IF(INDEX('商品マスタ'!$G$6:$G$1005,MATCH($C58,'商品マスタ'!$B$6:$B$1005,0))="",IF(COUNTIFS('①在庫を貼る'!$V$6:$V$10005,'設定'!$C$4,'①在庫を貼る'!$W$6:$W$10005,$C58)&gt;0,SUMIFS('①在庫を貼る'!$Q$6:$Q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Q$6:$Q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Q$6:$Q$10005,'月1回_2ヶ月前の在庫'!$V$6:$V$10005,'設定'!$C$4,'月1回_2ヶ月前の在庫'!$W$6:$W$10005,$C58)/COUNTIFS('月1回_2ヶ月前の在庫'!$V$6:$V$10005,'設定'!$C$4,'月1回_2ヶ月前の在庫'!$W$6:$W$10005,$C58),0))),INDEX('商品マスタ'!$G$6:$G$1005,MATCH($C58,'商品マスタ'!$B$6:$B$1005,0))),IF(COUNTIFS('①在庫を貼る'!$V$6:$V$10005,'設定'!$C$4,'①在庫を貼る'!$W$6:$W$10005,$C58)&gt;0,SUMIFS('①在庫を貼る'!$Q$6:$Q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Q$6:$Q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Q$6:$Q$10005,'月1回_2ヶ月前の在庫'!$V$6:$V$10005,'設定'!$C$4,'月1回_2ヶ月前の在庫'!$W$6:$W$10005,$C58)/COUNTIFS('月1回_2ヶ月前の在庫'!$V$6:$V$10005,'設定'!$C$4,'月1回_2ヶ月前の在庫'!$W$6:$W$10005,$C58),0))))))</f>
        <v/>
      </c>
      <c r="I58">
        <f>IF($C58="","",IF(COUNTIFS('①在庫を貼る'!$V$6:$V$10005,'設定'!$C$4,'①在庫を貼る'!$W$6:$W$10005,$C58)=0,"",SUMIFS('①在庫を貼る'!$N$6:$N$10005,'①在庫を貼る'!$V$6:$V$10005,'設定'!$C$4,'①在庫を貼る'!$W$6:$W$10005,$C58)))</f>
        <v/>
      </c>
      <c r="J58">
        <f>IF($C58="","",IF('②発注する'!$AD62="","",'②発注する'!$AD62))</f>
        <v/>
      </c>
      <c r="K58" s="90">
        <f>IF($C58="","",IF('②発注する'!$AE62="","",'②発注する'!$AE62))</f>
        <v/>
      </c>
      <c r="L58">
        <f>IF($C58="","",IF(AND(ISNUMBER($J58),ISNUMBER($K58),$K58&gt;='設定'!$C$6),$J58,N($I58)))</f>
        <v/>
      </c>
      <c r="M58">
        <f>IF($C58="","",IFERROR(IF(N(INDEX('商品マスタ'!$J$6:$J$1005,MATCH($C58,'商品マスタ'!$B$6:$B$1005,0)))&gt;0,INDEX('商品マスタ'!$J$6:$J$1005,MATCH($C58,'商品マスタ'!$B$6:$B$1005,0)),""),""))</f>
        <v/>
      </c>
      <c r="N58">
        <f>IF($C58="","",IFERROR(IF(N(INDEX('商品マスタ'!$H$6:$H$1005,MATCH($C58,'商品マスタ'!$B$6:$B$1005,0)))&gt;0,INDEX('商品マスタ'!$H$6:$H$1005,MATCH($C58,'商品マスタ'!$B$6:$B$1005,0)),""),""))</f>
        <v/>
      </c>
      <c r="O58">
        <f>IF($C58="","",IF($N58&lt;&gt;"",$N58*$G58,IF(N(IF(COUNTIFS('①在庫を貼る'!$V$6:$V$10005,'設定'!$C$4,'①在庫を貼る'!$W$6:$W$10005,$C58)&gt;0,SUMIFS('①在庫を貼る'!$O$6:$O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O$6:$O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O$6:$O$10005,'月1回_2ヶ月前の在庫'!$V$6:$V$10005,'設定'!$C$4,'月1回_2ヶ月前の在庫'!$W$6:$W$10005,$C58)/COUNTIFS('月1回_2ヶ月前の在庫'!$V$6:$V$10005,'設定'!$C$4,'月1回_2ヶ月前の在庫'!$W$6:$W$10005,$C58),0))))&gt;0,N(IF(COUNTIFS('①在庫を貼る'!$V$6:$V$10005,'設定'!$C$4,'①在庫を貼る'!$W$6:$W$10005,$C58)&gt;0,SUMIFS('①在庫を貼る'!$O$6:$O$10005,'①在庫を貼る'!$V$6:$V$10005,'設定'!$C$4,'①在庫を貼る'!$W$6:$W$10005,$C58)/COUNTIFS('①在庫を貼る'!$V$6:$V$10005,'設定'!$C$4,'①在庫を貼る'!$W$6:$W$10005,$C58),IF(COUNTIFS('月1回_1ヶ月前の在庫'!$V$6:$V$10005,'設定'!$C$4,'月1回_1ヶ月前の在庫'!$W$6:$W$10005,$C58)&gt;0,SUMIFS('月1回_1ヶ月前の在庫'!$O$6:$O$10005,'月1回_1ヶ月前の在庫'!$V$6:$V$10005,'設定'!$C$4,'月1回_1ヶ月前の在庫'!$W$6:$W$10005,$C58)/COUNTIFS('月1回_1ヶ月前の在庫'!$V$6:$V$10005,'設定'!$C$4,'月1回_1ヶ月前の在庫'!$W$6:$W$10005,$C58),IF(COUNTIFS('月1回_2ヶ月前の在庫'!$V$6:$V$10005,'設定'!$C$4,'月1回_2ヶ月前の在庫'!$W$6:$W$10005,$C58)&gt;0,SUMIFS('月1回_2ヶ月前の在庫'!$O$6:$O$10005,'月1回_2ヶ月前の在庫'!$V$6:$V$10005,'設定'!$C$4,'月1回_2ヶ月前の在庫'!$W$6:$W$10005,$C58)/COUNTIFS('月1回_2ヶ月前の在庫'!$V$6:$V$10005,'設定'!$C$4,'月1回_2ヶ月前の在庫'!$W$6:$W$10005,$C58),0)))),"")))</f>
        <v/>
      </c>
      <c r="P58" s="90">
        <f>IF($C58="","",IF('②発注する'!$I62="","",'②発注する'!$I62))</f>
        <v/>
      </c>
      <c r="Q58">
        <f>IF($C58="","",IF('②発注する'!$J62="","",'②発注する'!$J62))</f>
        <v/>
      </c>
      <c r="R58">
        <f>IF($C58="",0,IF(AND(ISNUMBER($P58),ISNUMBER($Q58)),MAX(0,$Q58)*$G58,0))</f>
        <v/>
      </c>
      <c r="S58" s="90">
        <f>IF($C58="","",IF('②発注する'!$M62="","",'②発注する'!$M62))</f>
        <v/>
      </c>
      <c r="T58">
        <f>IF($C58="","",IF('②発注する'!$N62="","",'②発注する'!$N62))</f>
        <v/>
      </c>
      <c r="U58">
        <f>IF($C58="",0,IF(AND(ISNUMBER($S58),ISNUMBER($T58)),MAX(0,$T58)*$G58,0))</f>
        <v/>
      </c>
      <c r="V58">
        <f>IF($C58="",0,IF($M58="",0,MAX(0,$M58)*MAX(0,V$4)/100))</f>
        <v/>
      </c>
      <c r="W58">
        <f>IF($C58="",0,IF($M58="",0,MAX(0,$M58)*MAX(0,W$4)/100))</f>
        <v/>
      </c>
      <c r="X58">
        <f>IF($C58="",0,IF($M58="",0,MAX(0,$M58)*MAX(0,X$4)/100))</f>
        <v/>
      </c>
      <c r="Y58">
        <f>IF($C58="",0,IF($M58="",0,MAX(0,$M58)*MAX(0,Y$4)/100))</f>
        <v/>
      </c>
      <c r="Z58">
        <f>IF($C58="",0,IF($M58="",0,MAX(0,$M58)*MAX(0,Z$4)/100))</f>
        <v/>
      </c>
      <c r="AA58">
        <f>IF($C58="",0,IF($M58="",0,MAX(0,$M58)*MAX(0,AA$4)/100))</f>
        <v/>
      </c>
      <c r="AB58">
        <f>IF($C58="",0,IF($M58="",0,MAX(0,$M58)*MAX(0,AB$4)/100))</f>
        <v/>
      </c>
      <c r="AC58">
        <f>IF($C58="",0,IF($M58="",0,MAX(0,$M58)*MAX(0,AC$4)/100))</f>
        <v/>
      </c>
      <c r="AD58">
        <f>IF($C58="",0,IF($M58="",0,MAX(0,$M58)*MAX(0,AD$4)/100))</f>
        <v/>
      </c>
      <c r="AE58">
        <f>IF($C58="",0,IF($M58="",0,MAX(0,$M58)*MAX(0,AE$4)/100))</f>
        <v/>
      </c>
      <c r="AF58">
        <f>IF($C58="",0,IF($M58="",0,MAX(0,$M58)*MAX(0,AF$4)/100))</f>
        <v/>
      </c>
      <c r="AG58">
        <f>IF($C58="",0,IF($M58="",0,MAX(0,$M58)*MAX(0,AG$4)/100))</f>
        <v/>
      </c>
      <c r="AH58">
        <f>IF($C58="",0,IF($M58="",0,MAX(0,$M58)*MAX(0,AH$4)/100))</f>
        <v/>
      </c>
      <c r="AI58">
        <f>IF($C58="",0,IF($M58="",0,MAX(0,$M58)*MAX(0,AI$4)/100))</f>
        <v/>
      </c>
      <c r="AJ58">
        <f>IF($C58="",0,MAX(0,MAX(0,N($L58))-$V58))</f>
        <v/>
      </c>
      <c r="AK58">
        <f>IF($C58="",0,MAX(0,$AJ58-$W58))</f>
        <v/>
      </c>
      <c r="AL58">
        <f>IF($C58="",0,MAX(0,$AK58-$X58))</f>
        <v/>
      </c>
      <c r="AM58">
        <f>IF($C58="",0,MAX(0,$AL58-$Y58))</f>
        <v/>
      </c>
      <c r="AN58">
        <f>IF($C58="",0,MAX(0,$AM58-$Z58))</f>
        <v/>
      </c>
      <c r="AO58">
        <f>IF($C58="",0,MAX(0,$AN58-$AA58))</f>
        <v/>
      </c>
      <c r="AP58">
        <f>IF($C58="",0,MAX(0,$AO58-$AB58))</f>
        <v/>
      </c>
      <c r="AQ58">
        <f>IF($C58="",0,MAX(0,$AP58-$AC58))</f>
        <v/>
      </c>
      <c r="AR58">
        <f>IF($C58="",0,MAX(0,$AQ58-$AD58))</f>
        <v/>
      </c>
      <c r="AS58">
        <f>IF($C58="",0,MAX(0,$AR58-$AE58))</f>
        <v/>
      </c>
      <c r="AT58">
        <f>IF($C58="",0,MAX(0,$AS58-$AF58))</f>
        <v/>
      </c>
      <c r="AU58">
        <f>IF($C58="",0,MAX(0,$AT58-$AG58))</f>
        <v/>
      </c>
      <c r="AV58">
        <f>IF($C58="",0,MAX(0,$AU58-$AH58))</f>
        <v/>
      </c>
      <c r="AW58">
        <f>IF($C58="",0,MAX(0,$AV58-$AI58))</f>
        <v/>
      </c>
      <c r="AX58">
        <f>IF($C58="",0,MAX(0,MAX(0,N($L58))+IF($P58=V$3,$R58,0)+IF($S58=V$3,$U58,0)-$V58))</f>
        <v/>
      </c>
      <c r="AY58">
        <f>IF($C58="",0,MAX(0,$AX58+IF($P58=W$3,$R58,0)+IF($S58=W$3,$U58,0)-$W58))</f>
        <v/>
      </c>
      <c r="AZ58">
        <f>IF($C58="",0,MAX(0,$AY58+IF($P58=X$3,$R58,0)+IF($S58=X$3,$U58,0)-$X58))</f>
        <v/>
      </c>
      <c r="BA58">
        <f>IF($C58="",0,MAX(0,$AZ58+IF($P58=Y$3,$R58,0)+IF($S58=Y$3,$U58,0)-$Y58))</f>
        <v/>
      </c>
      <c r="BB58">
        <f>IF($C58="",0,MAX(0,$BA58+IF($P58=Z$3,$R58,0)+IF($S58=Z$3,$U58,0)-$Z58))</f>
        <v/>
      </c>
      <c r="BC58">
        <f>IF($C58="",0,MAX(0,$BB58+IF($P58=AA$3,$R58,0)+IF($S58=AA$3,$U58,0)-$AA58))</f>
        <v/>
      </c>
      <c r="BD58">
        <f>IF($C58="",0,MAX(0,$BC58+IF($P58=AB$3,$R58,0)+IF($S58=AB$3,$U58,0)-$AB58))</f>
        <v/>
      </c>
      <c r="BE58">
        <f>IF($C58="",0,MAX(0,$BD58+IF($P58=AC$3,$R58,0)+IF($S58=AC$3,$U58,0)-$AC58))</f>
        <v/>
      </c>
      <c r="BF58">
        <f>IF($C58="",0,MAX(0,$BE58+IF($P58=AD$3,$R58,0)+IF($S58=AD$3,$U58,0)-$AD58))</f>
        <v/>
      </c>
      <c r="BG58">
        <f>IF($C58="",0,MAX(0,$BF58+IF($P58=AE$3,$R58,0)+IF($S58=AE$3,$U58,0)-$AE58))</f>
        <v/>
      </c>
      <c r="BH58">
        <f>IF($C58="",0,MAX(0,$BG58+IF($P58=AF$3,$R58,0)+IF($S58=AF$3,$U58,0)-$AF58))</f>
        <v/>
      </c>
      <c r="BI58">
        <f>IF($C58="",0,MAX(0,$BH58+IF($P58=AG$3,$R58,0)+IF($S58=AG$3,$U58,0)-$AG58))</f>
        <v/>
      </c>
      <c r="BJ58">
        <f>IF($C58="",0,MAX(0,$BI58+IF($P58=AH$3,$R58,0)+IF($S58=AH$3,$U58,0)-$AH58))</f>
        <v/>
      </c>
      <c r="BK58">
        <f>IF($C58="",0,MAX(0,$BJ58+IF($P58=AI$3,$R58,0)+IF($S58=AI$3,$U58,0)-$AI58))</f>
        <v/>
      </c>
      <c r="BL58">
        <f>IF($C58="",99,IF(AND($AX58&lt;1,V$3&gt;=MAX(N($P58),N($S58))),0,99))</f>
        <v/>
      </c>
      <c r="BM58">
        <f>IF($C58="",99,IF(AND($AY58&lt;1,W$3&gt;=MAX(N($P58),N($S58))),1,99))</f>
        <v/>
      </c>
      <c r="BN58">
        <f>IF($C58="",99,IF(AND($AZ58&lt;1,X$3&gt;=MAX(N($P58),N($S58))),2,99))</f>
        <v/>
      </c>
      <c r="BO58">
        <f>IF($C58="",99,IF(AND($BA58&lt;1,Y$3&gt;=MAX(N($P58),N($S58))),3,99))</f>
        <v/>
      </c>
      <c r="BP58">
        <f>IF($C58="",99,IF(AND($BB58&lt;1,Z$3&gt;=MAX(N($P58),N($S58))),4,99))</f>
        <v/>
      </c>
      <c r="BQ58">
        <f>IF($C58="",99,IF(AND($BC58&lt;1,AA$3&gt;=MAX(N($P58),N($S58))),5,99))</f>
        <v/>
      </c>
      <c r="BR58">
        <f>IF($C58="",99,IF(AND($BD58&lt;1,AB$3&gt;=MAX(N($P58),N($S58))),6,99))</f>
        <v/>
      </c>
      <c r="BS58">
        <f>IF($C58="",99,IF(AND($BE58&lt;1,AC$3&gt;=MAX(N($P58),N($S58))),7,99))</f>
        <v/>
      </c>
      <c r="BT58">
        <f>IF($C58="",99,IF(AND($BF58&lt;1,AD$3&gt;=MAX(N($P58),N($S58))),8,99))</f>
        <v/>
      </c>
      <c r="BU58">
        <f>IF($C58="",99,IF(AND($BG58&lt;1,AE$3&gt;=MAX(N($P58),N($S58))),9,99))</f>
        <v/>
      </c>
      <c r="BV58">
        <f>IF($C58="",99,IF(AND($BH58&lt;1,AF$3&gt;=MAX(N($P58),N($S58))),10,99))</f>
        <v/>
      </c>
      <c r="BW58">
        <f>IF($C58="",99,IF(AND($BI58&lt;1,AG$3&gt;=MAX(N($P58),N($S58))),11,99))</f>
        <v/>
      </c>
      <c r="BX58">
        <f>IF($C58="",99,IF(AND($BJ58&lt;1,AH$3&gt;=MAX(N($P58),N($S58))),12,99))</f>
        <v/>
      </c>
      <c r="BY58">
        <f>IF($C58="",99,IF(AND($BK58&lt;1,AI$3&gt;=MAX(N($P58),N($S58))),13,99))</f>
        <v/>
      </c>
      <c r="BZ58">
        <f>IF(OR($C58="",$M58=""),"",COUNTIF($AJ58:$AW58,"&gt;=1"))</f>
        <v/>
      </c>
      <c r="CA58" s="90">
        <f>IF($BZ58="","",IF($BZ58&gt;=14,"",'設定'!$C$6+$BZ58))</f>
        <v/>
      </c>
      <c r="CB58">
        <f>IF(OR($C58="",$M58=""),"",MIN($BL58:$BY58))</f>
        <v/>
      </c>
      <c r="CC58" s="90">
        <f>IF($CB58="","",IF($CB58&gt;=99,"",'設定'!$C$6+$CB58))</f>
        <v/>
      </c>
      <c r="CD58">
        <f>IF(OR($C58="",$M58=""),"",AVERAGE($V58:$AI58))</f>
        <v/>
      </c>
      <c r="CE58">
        <f>IF($C58="","",IFERROR(IF(MATCH(IF(ISNUMBER($P58),$P58,'設定'!$C$6+N('設定'!$C$7)),$V$3:$AI$3,0)=1,MAX(0,N($L58)),INDEX($AJ58:$AW58,MATCH(IF(ISNUMBER($P58),$P58,'設定'!$C$6+N('設定'!$C$7)),$V$3:$AI$3,0)-1)),""))</f>
        <v/>
      </c>
      <c r="CF58">
        <f>IF(OR($C58="",$O58="",$CE58=""),"",IF($O58-$CE58&lt;=0,0,ROUNDUP(($O58-$CE58)/$G58,0)))</f>
        <v/>
      </c>
      <c r="CG58">
        <f>IF(OR($C58="",$CF58="",NOT(ISNUMBER($Q58))),0,MAX(0,$Q58-$CF58))</f>
        <v/>
      </c>
      <c r="CH58">
        <f>IF(OR($C58="",$O58="",$U58=0),0,IFERROR(ROUNDUP(MAX(0,IF(MATCH($S58,$V$3:$AI$3,0)=1,MAX(0,N($L58)),INDEX($AX58:$BK58,MATCH($S58,$V$3:$AI$3,0)-1))+$U58-$O58)/$G58,0),0))</f>
        <v/>
      </c>
      <c r="CI58">
        <f>IF($C58="","",IF(AND($P58="",$Q58=""),"",IF($P58="","⚠ 入庫日を ▼ から選んでください",IF(NOT(ISNUMBER($P58)),"⚠ 入庫日は ▼ から選んでください",IF($P58&lt;N('設定'!$C$6),"⚠ 入庫日が過去です（もう在庫に入っています）→ 消してください",IF($P58&gt;N('設定'!$C$6)+13,"⚠ 入庫日が14日より先です",IF(N($Q58)&lt;=0,"⚠ 入庫数を入れてください",IF($CG58&gt;0,"⚠ 目安より "&amp;$CG58&amp;" 多い（定数を超える）→ 減らす",""))))))))</f>
        <v/>
      </c>
      <c r="CJ58">
        <f>IF($C58="","",IF(AND($S58="",$T58=""),"",IF($S58="","⚠ 2便目：入庫日を ▼ から選んでください",IF(NOT(ISNUMBER($S58)),"⚠ 2便目：入庫日は ▼ から選んでください",IF($S58&lt;N('設定'!$C$6),"⚠ 2便目：入庫日が過去です（もう在庫に入っています）→ 消してください",IF($S58&gt;N('設定'!$C$6)+13,"⚠ 2便目：入庫日が14日より先です",IF(N($T58)&lt;=0,"⚠ 2便目：入庫数を入れてください",IF($CH58&gt;0,"⚠ 2便目：定数を "&amp;$CH58&amp;" ケース超える → 減らす",""))))))))</f>
        <v/>
      </c>
      <c r="CK58">
        <f>IF(AND($CI58="",N($Q58)&gt;0,ISNUMBER($P58)),1,0)</f>
        <v/>
      </c>
      <c r="CL58">
        <f>IF(AND($CJ58="",N($T58)&gt;0,ISNUMBER($S58)),1,0)</f>
        <v/>
      </c>
      <c r="CM58">
        <f>IF(OR($CK58=1,$CL58=1),1,0)</f>
        <v/>
      </c>
      <c r="CN58">
        <f>IF($C58="",0,($CK58*$R58+$CL58*$U58)*N($H58))</f>
        <v/>
      </c>
      <c r="CO58">
        <f>IF($C58="","",IF($CC58="","入庫後は 14日以上もつ",IF($CC58-N('設定'!$C$7)&lt;='設定'!$C$6,"入庫後も "&amp;TEXT($CC58,"m/d")&amp;"("&amp;CHOOSE(WEEKDAY($CC58),"日","月","火","水","木","金","土")&amp;")"&amp;" に切れる　もう1便を至急発注","入庫後も "&amp;TEXT($CC58,"m/d")&amp;"("&amp;CHOOSE(WEEKDAY($CC58),"日","月","火","水","木","金","土")&amp;")"&amp;" に切れる　"&amp;TEXT($CC58-N('設定'!$C$7),"m/d")&amp;"("&amp;CHOOSE(WEEKDAY($CC58-N('設定'!$C$7)),"日","月","火","水","木","金","土")&amp;")"&amp;" までに次を発注")))</f>
        <v/>
      </c>
      <c r="CP58">
        <f>IF($C58="","",IF('設定'!$C$6="","？ ①在庫を貼る に今日のCSVが貼られていない",IF($CS58=1,"－ 今日のCSVに無い（終売？）",IF($L58&lt;0,"● 在庫がマイナス　数えて「数えた在庫」に入れる",IF($L58=0,"● 在庫なし　至急発注",IF($M58="","？ 減り数が未設定（商品マスタ）",IF($B$3=0,"？ 動員が未入力（動員を入れる）",IF($CA58="","○ 14日以上もつ",IF($BZ58&lt;N('設定'!$C$7),"● "&amp;TEXT($CA58,"m/d")&amp;"("&amp;CHOOSE(WEEKDAY($CA58),"日","月","火","水","木","金","土")&amp;")"&amp;" に切れる　至急発注",IF($BZ58=N('設定'!$C$7),"● "&amp;TEXT($CA58,"m/d")&amp;"("&amp;CHOOSE(WEEKDAY($CA58),"日","月","火","水","木","金","土")&amp;")"&amp;" に切れる　今日発注","△ "&amp;TEXT($CA58,"m/d")&amp;"("&amp;CHOOSE(WEEKDAY($CA58),"日","月","火","水","木","金","土")&amp;")"&amp;" に切れる　"&amp;TEXT($CA58-N('設定'!$C$7),"m/d")&amp;"("&amp;CHOOSE(WEEKDAY($CA58-N('設定'!$C$7)),"日","月","火","水","木","金","土")&amp;")"&amp;" までに発注"))))))))))</f>
        <v/>
      </c>
      <c r="CQ58">
        <f>IF($C58="","",IF(AND($P58="",$Q58="",$S58="",$T58=""),"",IF(AND($P58="",$Q58=""),"⚠ 先に1便目（左の入庫日・入庫数）に入れてください",IF($CI58&lt;&gt;"",$CI58,IF($CJ58&lt;&gt;"",$CJ58,IF($M58="","？ 減り数が未設定（発注書には載ります）",IF($B$3=0,"？ 動員が未入力（発注書には載ります）",IF(AND($CA58&lt;&gt;"",$P58&gt;$CA58),IF($P58&gt;'設定'!$C$6+N('設定'!$C$7),"● "&amp;TEXT($P58,"m/d")&amp;"("&amp;CHOOSE(WEEKDAY($P58),"日","月","火","水","木","金","土")&amp;")"&amp;" の入庫では間に合わない（"&amp;TEXT($CA58,"m/d")&amp;"("&amp;CHOOSE(WEEKDAY($CA58),"日","月","火","水","木","金","土")&amp;")"&amp;" に切れる）　入庫日を早める","△ 欠品 "&amp;TEXT($CA58,"m/d")&amp;"("&amp;CHOOSE(WEEKDAY($CA58),"日","月","火","水","木","金","土")&amp;")"&amp;"〜"&amp;TEXT($P58-1,"m/d")&amp;"("&amp;CHOOSE(WEEKDAY($P58-1),"日","月","火","水","木","金","土")&amp;")"&amp;"　"&amp;$CO58),IF($CC58="","○ "&amp;TEXT($P58,"m/d")&amp;"("&amp;CHOOSE(WEEKDAY($P58),"日","月","火","水","木","金","土")&amp;")"&amp;" 入庫で 14日以上もつ",IF($CC58-N('設定'!$C$7)&lt;='設定'!$C$6,"● 入庫しても "&amp;TEXT($CC58,"m/d")&amp;"("&amp;CHOOSE(WEEKDAY($CC58),"日","月","火","水","木","金","土")&amp;")"&amp;" に切れる　もう1便を至急発注（2便目に入れる）","△ 入庫しても "&amp;TEXT($CC58,"m/d")&amp;"("&amp;CHOOSE(WEEKDAY($CC58),"日","月","火","水","木","金","土")&amp;")"&amp;" に切れる　"&amp;TEXT($CC58-N('設定'!$C$7),"m/d")&amp;"("&amp;CHOOSE(WEEKDAY($CC58-N('設定'!$C$7)),"日","月","火","水","木","金","土")&amp;")"&amp;" までに次を発注（2便目に入れる）"))))))))))</f>
        <v/>
      </c>
      <c r="CR58">
        <f>IF($C58="","",IF($G58&gt;1,"ｹｰｽ("&amp;$G58&amp;"入)","個"))</f>
        <v/>
      </c>
      <c r="CS58">
        <f>IF($C58="",0,IF(COUNTIFS('①在庫を貼る'!$V$6:$V$10005,'設定'!$C$4,'①在庫を貼る'!$W$6:$W$10005,$C58)=0,1,0))</f>
        <v/>
      </c>
      <c r="CT58">
        <f>IF(AND($CK58=1,OR('③発注書'!$C$4="すべて",'③発注書'!$C$4="",$F58='③発注書'!$C$4)),N($CT57)+1,N($CT57))</f>
        <v/>
      </c>
      <c r="CU58">
        <f>IF(AND($CL58=1,OR('③発注書'!$C$4="すべて",'③発注書'!$C$4="",$F58='③発注書'!$C$4)),N($CU57)+1,N($CU57))</f>
        <v/>
      </c>
      <c r="CV58">
        <f>IF($C58="",0,IF(COUNTIFS('①在庫を貼る'!$V$6:$V$10005,'設定'!$C$4,'①在庫を貼る'!$W$6:$W$10005,$C58)&gt;0,1,0))</f>
        <v/>
      </c>
      <c r="CW58">
        <f>IF($C58="",0,IF(COUNTIFS('月1回_1ヶ月前の在庫'!$V$6:$V$10005,'設定'!$C$4,'月1回_1ヶ月前の在庫'!$W$6:$W$10005,$C58)&gt;0,1,0))</f>
        <v/>
      </c>
      <c r="CX58">
        <f>IF($C58="",0,IF(COUNTIFS('月1回_2ヶ月前の在庫'!$V$6:$V$10005,'設定'!$C$4,'月1回_2ヶ月前の在庫'!$W$6:$W$10005,$C58)&gt;0,1,0))</f>
        <v/>
      </c>
      <c r="CY58">
        <f>IF(OR($C58="",'設定'!$C$12=""),"",IF('設定'!$C$13="",IF(AND($CV58=1,$CW58=0),"新商品（今月から）",IF(AND($CV58=0,$CW58=1),"終売（今月から）","")),IF(AND($CV58=1,$CW58=0,$CX58=0),"新商品（今月から）",IF(AND($CV58=1,$CW58=1,$CX58=0),"新商品（先月から）",IF(AND($CV58=0,$CW58=1,$CX58=1),"終売（今月から）",IF(AND($CV58=0,$CW58=0,$CX58=1),"終売（先月から）",IF(AND($CV58=1,$CW58=0,$CX58=1),"復活（先月は無し）","")))))))</f>
        <v/>
      </c>
    </row>
    <row r="59">
      <c r="B59">
        <f>IF(54&lt;='設定'!$C$11,54,"")</f>
        <v/>
      </c>
      <c r="C59">
        <f>IF($B59="","",IF($B59&lt;='設定'!$C$20,INDEX('商品マスタ'!$B$6:$B$1005,MATCH($B59,'商品マスタ'!$M$6:$M$1005,0)),IF($B59&lt;='設定'!$C$20+'設定'!$C$17,INDEX('①在庫を貼る'!$W$6:$W$10005,MATCH($B59-'設定'!$C$20,'①在庫を貼る'!$U$6:$U$10005,0)),IF($B59&lt;='設定'!$C$20+'設定'!$C$17+'設定'!$C$18,INDEX('月1回_1ヶ月前の在庫'!$W$6:$W$10005,MATCH($B59-'設定'!$C$20-'設定'!$C$17,'月1回_1ヶ月前の在庫'!$U$6:$U$10005,0)),INDEX('月1回_2ヶ月前の在庫'!$W$6:$W$10005,MATCH($B59-'設定'!$C$20-'設定'!$C$17-'設定'!$C$18,'月1回_2ヶ月前の在庫'!$U$6:$U$10005,0))))))</f>
        <v/>
      </c>
      <c r="D59">
        <f>IF($C59="","",IFERROR(IF(INDEX('商品マスタ'!$C$6:$C$1005,MATCH($C59,'商品マスタ'!$B$6:$B$1005,0))="",IFERROR(INDEX('①在庫を貼る'!$J$6:$J$10005,MATCH($C59,'①在庫を貼る'!$W$6:$W$10005,0)),IFERROR(INDEX('月1回_1ヶ月前の在庫'!$J$6:$J$10005,MATCH($C59,'月1回_1ヶ月前の在庫'!$W$6:$W$10005,0)),IFERROR(INDEX('月1回_2ヶ月前の在庫'!$J$6:$J$10005,MATCH($C59,'月1回_2ヶ月前の在庫'!$W$6:$W$10005,0)),""))),INDEX('商品マスタ'!$C$6:$C$1005,MATCH($C59,'商品マスタ'!$B$6:$B$1005,0))),IFERROR(INDEX('①在庫を貼る'!$J$6:$J$10005,MATCH($C59,'①在庫を貼る'!$W$6:$W$10005,0)),IFERROR(INDEX('月1回_1ヶ月前の在庫'!$J$6:$J$10005,MATCH($C59,'月1回_1ヶ月前の在庫'!$W$6:$W$10005,0)),IFERROR(INDEX('月1回_2ヶ月前の在庫'!$J$6:$J$10005,MATCH($C59,'月1回_2ヶ月前の在庫'!$W$6:$W$10005,0)),"")))))</f>
        <v/>
      </c>
      <c r="E59">
        <f>IF($C59="","",IFERROR(IF(INDEX('商品マスタ'!$D$6:$D$1005,MATCH($C59,'商品マスタ'!$B$6:$B$1005,0))="",IFERROR(INDEX('①在庫を貼る'!$H$6:$H$10005,MATCH($C59,'①在庫を貼る'!$W$6:$W$10005,0)),IFERROR(INDEX('月1回_1ヶ月前の在庫'!$H$6:$H$10005,MATCH($C59,'月1回_1ヶ月前の在庫'!$W$6:$W$10005,0)),IFERROR(INDEX('月1回_2ヶ月前の在庫'!$H$6:$H$10005,MATCH($C59,'月1回_2ヶ月前の在庫'!$W$6:$W$10005,0)),""))),INDEX('商品マスタ'!$D$6:$D$1005,MATCH($C59,'商品マスタ'!$B$6:$B$1005,0))),IFERROR(INDEX('①在庫を貼る'!$H$6:$H$10005,MATCH($C59,'①在庫を貼る'!$W$6:$W$10005,0)),IFERROR(INDEX('月1回_1ヶ月前の在庫'!$H$6:$H$10005,MATCH($C59,'月1回_1ヶ月前の在庫'!$W$6:$W$10005,0)),IFERROR(INDEX('月1回_2ヶ月前の在庫'!$H$6:$H$10005,MATCH($C59,'月1回_2ヶ月前の在庫'!$W$6:$W$10005,0)),"")))))</f>
        <v/>
      </c>
      <c r="F59">
        <f>IF($C59="","",IFERROR(IF(INDEX('商品マスタ'!$E$6:$E$1005,MATCH($C59,'商品マスタ'!$B$6:$B$1005,0))="",IFERROR(INDEX('①在庫を貼る'!$E$6:$E$10005,MATCH($C59,'①在庫を貼る'!$W$6:$W$10005,0)),IFERROR(INDEX('月1回_1ヶ月前の在庫'!$E$6:$E$10005,MATCH($C59,'月1回_1ヶ月前の在庫'!$W$6:$W$10005,0)),IFERROR(INDEX('月1回_2ヶ月前の在庫'!$E$6:$E$10005,MATCH($C59,'月1回_2ヶ月前の在庫'!$W$6:$W$10005,0)),""))),INDEX('商品マスタ'!$E$6:$E$1005,MATCH($C59,'商品マスタ'!$B$6:$B$1005,0))),IFERROR(INDEX('①在庫を貼る'!$E$6:$E$10005,MATCH($C59,'①在庫を貼る'!$W$6:$W$10005,0)),IFERROR(INDEX('月1回_1ヶ月前の在庫'!$E$6:$E$10005,MATCH($C59,'月1回_1ヶ月前の在庫'!$W$6:$W$10005,0)),IFERROR(INDEX('月1回_2ヶ月前の在庫'!$E$6:$E$10005,MATCH($C59,'月1回_2ヶ月前の在庫'!$W$6:$W$10005,0)),"")))))</f>
        <v/>
      </c>
      <c r="G59">
        <f>IF($C59="","",MAX(1,N(IFERROR(IF(INDEX('商品マスタ'!$F$6:$F$1005,MATCH($C59,'商品マスタ'!$B$6:$B$1005,0))="",IF(COUNTIFS('①在庫を貼る'!$V$6:$V$10005,'設定'!$C$4,'①在庫を貼る'!$W$6:$W$10005,$C59)&gt;0,SUMIFS('①在庫を貼る'!$K$6:$K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K$6:$K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K$6:$K$10005,'月1回_2ヶ月前の在庫'!$V$6:$V$10005,'設定'!$C$4,'月1回_2ヶ月前の在庫'!$W$6:$W$10005,$C59)/COUNTIFS('月1回_2ヶ月前の在庫'!$V$6:$V$10005,'設定'!$C$4,'月1回_2ヶ月前の在庫'!$W$6:$W$10005,$C59),0))),INDEX('商品マスタ'!$F$6:$F$1005,MATCH($C59,'商品マスタ'!$B$6:$B$1005,0))),IF(COUNTIFS('①在庫を貼る'!$V$6:$V$10005,'設定'!$C$4,'①在庫を貼る'!$W$6:$W$10005,$C59)&gt;0,SUMIFS('①在庫を貼る'!$K$6:$K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K$6:$K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K$6:$K$10005,'月1回_2ヶ月前の在庫'!$V$6:$V$10005,'設定'!$C$4,'月1回_2ヶ月前の在庫'!$W$6:$W$10005,$C59)/COUNTIFS('月1回_2ヶ月前の在庫'!$V$6:$V$10005,'設定'!$C$4,'月1回_2ヶ月前の在庫'!$W$6:$W$10005,$C59),0)))))))</f>
        <v/>
      </c>
      <c r="H59">
        <f>IF($C59="","",N(IFERROR(IF(INDEX('商品マスタ'!$G$6:$G$1005,MATCH($C59,'商品マスタ'!$B$6:$B$1005,0))="",IF(COUNTIFS('①在庫を貼る'!$V$6:$V$10005,'設定'!$C$4,'①在庫を貼る'!$W$6:$W$10005,$C59)&gt;0,SUMIFS('①在庫を貼る'!$Q$6:$Q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Q$6:$Q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Q$6:$Q$10005,'月1回_2ヶ月前の在庫'!$V$6:$V$10005,'設定'!$C$4,'月1回_2ヶ月前の在庫'!$W$6:$W$10005,$C59)/COUNTIFS('月1回_2ヶ月前の在庫'!$V$6:$V$10005,'設定'!$C$4,'月1回_2ヶ月前の在庫'!$W$6:$W$10005,$C59),0))),INDEX('商品マスタ'!$G$6:$G$1005,MATCH($C59,'商品マスタ'!$B$6:$B$1005,0))),IF(COUNTIFS('①在庫を貼る'!$V$6:$V$10005,'設定'!$C$4,'①在庫を貼る'!$W$6:$W$10005,$C59)&gt;0,SUMIFS('①在庫を貼る'!$Q$6:$Q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Q$6:$Q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Q$6:$Q$10005,'月1回_2ヶ月前の在庫'!$V$6:$V$10005,'設定'!$C$4,'月1回_2ヶ月前の在庫'!$W$6:$W$10005,$C59)/COUNTIFS('月1回_2ヶ月前の在庫'!$V$6:$V$10005,'設定'!$C$4,'月1回_2ヶ月前の在庫'!$W$6:$W$10005,$C59),0))))))</f>
        <v/>
      </c>
      <c r="I59">
        <f>IF($C59="","",IF(COUNTIFS('①在庫を貼る'!$V$6:$V$10005,'設定'!$C$4,'①在庫を貼る'!$W$6:$W$10005,$C59)=0,"",SUMIFS('①在庫を貼る'!$N$6:$N$10005,'①在庫を貼る'!$V$6:$V$10005,'設定'!$C$4,'①在庫を貼る'!$W$6:$W$10005,$C59)))</f>
        <v/>
      </c>
      <c r="J59">
        <f>IF($C59="","",IF('②発注する'!$AD63="","",'②発注する'!$AD63))</f>
        <v/>
      </c>
      <c r="K59" s="90">
        <f>IF($C59="","",IF('②発注する'!$AE63="","",'②発注する'!$AE63))</f>
        <v/>
      </c>
      <c r="L59">
        <f>IF($C59="","",IF(AND(ISNUMBER($J59),ISNUMBER($K59),$K59&gt;='設定'!$C$6),$J59,N($I59)))</f>
        <v/>
      </c>
      <c r="M59">
        <f>IF($C59="","",IFERROR(IF(N(INDEX('商品マスタ'!$J$6:$J$1005,MATCH($C59,'商品マスタ'!$B$6:$B$1005,0)))&gt;0,INDEX('商品マスタ'!$J$6:$J$1005,MATCH($C59,'商品マスタ'!$B$6:$B$1005,0)),""),""))</f>
        <v/>
      </c>
      <c r="N59">
        <f>IF($C59="","",IFERROR(IF(N(INDEX('商品マスタ'!$H$6:$H$1005,MATCH($C59,'商品マスタ'!$B$6:$B$1005,0)))&gt;0,INDEX('商品マスタ'!$H$6:$H$1005,MATCH($C59,'商品マスタ'!$B$6:$B$1005,0)),""),""))</f>
        <v/>
      </c>
      <c r="O59">
        <f>IF($C59="","",IF($N59&lt;&gt;"",$N59*$G59,IF(N(IF(COUNTIFS('①在庫を貼る'!$V$6:$V$10005,'設定'!$C$4,'①在庫を貼る'!$W$6:$W$10005,$C59)&gt;0,SUMIFS('①在庫を貼る'!$O$6:$O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O$6:$O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O$6:$O$10005,'月1回_2ヶ月前の在庫'!$V$6:$V$10005,'設定'!$C$4,'月1回_2ヶ月前の在庫'!$W$6:$W$10005,$C59)/COUNTIFS('月1回_2ヶ月前の在庫'!$V$6:$V$10005,'設定'!$C$4,'月1回_2ヶ月前の在庫'!$W$6:$W$10005,$C59),0))))&gt;0,N(IF(COUNTIFS('①在庫を貼る'!$V$6:$V$10005,'設定'!$C$4,'①在庫を貼る'!$W$6:$W$10005,$C59)&gt;0,SUMIFS('①在庫を貼る'!$O$6:$O$10005,'①在庫を貼る'!$V$6:$V$10005,'設定'!$C$4,'①在庫を貼る'!$W$6:$W$10005,$C59)/COUNTIFS('①在庫を貼る'!$V$6:$V$10005,'設定'!$C$4,'①在庫を貼る'!$W$6:$W$10005,$C59),IF(COUNTIFS('月1回_1ヶ月前の在庫'!$V$6:$V$10005,'設定'!$C$4,'月1回_1ヶ月前の在庫'!$W$6:$W$10005,$C59)&gt;0,SUMIFS('月1回_1ヶ月前の在庫'!$O$6:$O$10005,'月1回_1ヶ月前の在庫'!$V$6:$V$10005,'設定'!$C$4,'月1回_1ヶ月前の在庫'!$W$6:$W$10005,$C59)/COUNTIFS('月1回_1ヶ月前の在庫'!$V$6:$V$10005,'設定'!$C$4,'月1回_1ヶ月前の在庫'!$W$6:$W$10005,$C59),IF(COUNTIFS('月1回_2ヶ月前の在庫'!$V$6:$V$10005,'設定'!$C$4,'月1回_2ヶ月前の在庫'!$W$6:$W$10005,$C59)&gt;0,SUMIFS('月1回_2ヶ月前の在庫'!$O$6:$O$10005,'月1回_2ヶ月前の在庫'!$V$6:$V$10005,'設定'!$C$4,'月1回_2ヶ月前の在庫'!$W$6:$W$10005,$C59)/COUNTIFS('月1回_2ヶ月前の在庫'!$V$6:$V$10005,'設定'!$C$4,'月1回_2ヶ月前の在庫'!$W$6:$W$10005,$C59),0)))),"")))</f>
        <v/>
      </c>
      <c r="P59" s="90">
        <f>IF($C59="","",IF('②発注する'!$I63="","",'②発注する'!$I63))</f>
        <v/>
      </c>
      <c r="Q59">
        <f>IF($C59="","",IF('②発注する'!$J63="","",'②発注する'!$J63))</f>
        <v/>
      </c>
      <c r="R59">
        <f>IF($C59="",0,IF(AND(ISNUMBER($P59),ISNUMBER($Q59)),MAX(0,$Q59)*$G59,0))</f>
        <v/>
      </c>
      <c r="S59" s="90">
        <f>IF($C59="","",IF('②発注する'!$M63="","",'②発注する'!$M63))</f>
        <v/>
      </c>
      <c r="T59">
        <f>IF($C59="","",IF('②発注する'!$N63="","",'②発注する'!$N63))</f>
        <v/>
      </c>
      <c r="U59">
        <f>IF($C59="",0,IF(AND(ISNUMBER($S59),ISNUMBER($T59)),MAX(0,$T59)*$G59,0))</f>
        <v/>
      </c>
      <c r="V59">
        <f>IF($C59="",0,IF($M59="",0,MAX(0,$M59)*MAX(0,V$4)/100))</f>
        <v/>
      </c>
      <c r="W59">
        <f>IF($C59="",0,IF($M59="",0,MAX(0,$M59)*MAX(0,W$4)/100))</f>
        <v/>
      </c>
      <c r="X59">
        <f>IF($C59="",0,IF($M59="",0,MAX(0,$M59)*MAX(0,X$4)/100))</f>
        <v/>
      </c>
      <c r="Y59">
        <f>IF($C59="",0,IF($M59="",0,MAX(0,$M59)*MAX(0,Y$4)/100))</f>
        <v/>
      </c>
      <c r="Z59">
        <f>IF($C59="",0,IF($M59="",0,MAX(0,$M59)*MAX(0,Z$4)/100))</f>
        <v/>
      </c>
      <c r="AA59">
        <f>IF($C59="",0,IF($M59="",0,MAX(0,$M59)*MAX(0,AA$4)/100))</f>
        <v/>
      </c>
      <c r="AB59">
        <f>IF($C59="",0,IF($M59="",0,MAX(0,$M59)*MAX(0,AB$4)/100))</f>
        <v/>
      </c>
      <c r="AC59">
        <f>IF($C59="",0,IF($M59="",0,MAX(0,$M59)*MAX(0,AC$4)/100))</f>
        <v/>
      </c>
      <c r="AD59">
        <f>IF($C59="",0,IF($M59="",0,MAX(0,$M59)*MAX(0,AD$4)/100))</f>
        <v/>
      </c>
      <c r="AE59">
        <f>IF($C59="",0,IF($M59="",0,MAX(0,$M59)*MAX(0,AE$4)/100))</f>
        <v/>
      </c>
      <c r="AF59">
        <f>IF($C59="",0,IF($M59="",0,MAX(0,$M59)*MAX(0,AF$4)/100))</f>
        <v/>
      </c>
      <c r="AG59">
        <f>IF($C59="",0,IF($M59="",0,MAX(0,$M59)*MAX(0,AG$4)/100))</f>
        <v/>
      </c>
      <c r="AH59">
        <f>IF($C59="",0,IF($M59="",0,MAX(0,$M59)*MAX(0,AH$4)/100))</f>
        <v/>
      </c>
      <c r="AI59">
        <f>IF($C59="",0,IF($M59="",0,MAX(0,$M59)*MAX(0,AI$4)/100))</f>
        <v/>
      </c>
      <c r="AJ59">
        <f>IF($C59="",0,MAX(0,MAX(0,N($L59))-$V59))</f>
        <v/>
      </c>
      <c r="AK59">
        <f>IF($C59="",0,MAX(0,$AJ59-$W59))</f>
        <v/>
      </c>
      <c r="AL59">
        <f>IF($C59="",0,MAX(0,$AK59-$X59))</f>
        <v/>
      </c>
      <c r="AM59">
        <f>IF($C59="",0,MAX(0,$AL59-$Y59))</f>
        <v/>
      </c>
      <c r="AN59">
        <f>IF($C59="",0,MAX(0,$AM59-$Z59))</f>
        <v/>
      </c>
      <c r="AO59">
        <f>IF($C59="",0,MAX(0,$AN59-$AA59))</f>
        <v/>
      </c>
      <c r="AP59">
        <f>IF($C59="",0,MAX(0,$AO59-$AB59))</f>
        <v/>
      </c>
      <c r="AQ59">
        <f>IF($C59="",0,MAX(0,$AP59-$AC59))</f>
        <v/>
      </c>
      <c r="AR59">
        <f>IF($C59="",0,MAX(0,$AQ59-$AD59))</f>
        <v/>
      </c>
      <c r="AS59">
        <f>IF($C59="",0,MAX(0,$AR59-$AE59))</f>
        <v/>
      </c>
      <c r="AT59">
        <f>IF($C59="",0,MAX(0,$AS59-$AF59))</f>
        <v/>
      </c>
      <c r="AU59">
        <f>IF($C59="",0,MAX(0,$AT59-$AG59))</f>
        <v/>
      </c>
      <c r="AV59">
        <f>IF($C59="",0,MAX(0,$AU59-$AH59))</f>
        <v/>
      </c>
      <c r="AW59">
        <f>IF($C59="",0,MAX(0,$AV59-$AI59))</f>
        <v/>
      </c>
      <c r="AX59">
        <f>IF($C59="",0,MAX(0,MAX(0,N($L59))+IF($P59=V$3,$R59,0)+IF($S59=V$3,$U59,0)-$V59))</f>
        <v/>
      </c>
      <c r="AY59">
        <f>IF($C59="",0,MAX(0,$AX59+IF($P59=W$3,$R59,0)+IF($S59=W$3,$U59,0)-$W59))</f>
        <v/>
      </c>
      <c r="AZ59">
        <f>IF($C59="",0,MAX(0,$AY59+IF($P59=X$3,$R59,0)+IF($S59=X$3,$U59,0)-$X59))</f>
        <v/>
      </c>
      <c r="BA59">
        <f>IF($C59="",0,MAX(0,$AZ59+IF($P59=Y$3,$R59,0)+IF($S59=Y$3,$U59,0)-$Y59))</f>
        <v/>
      </c>
      <c r="BB59">
        <f>IF($C59="",0,MAX(0,$BA59+IF($P59=Z$3,$R59,0)+IF($S59=Z$3,$U59,0)-$Z59))</f>
        <v/>
      </c>
      <c r="BC59">
        <f>IF($C59="",0,MAX(0,$BB59+IF($P59=AA$3,$R59,0)+IF($S59=AA$3,$U59,0)-$AA59))</f>
        <v/>
      </c>
      <c r="BD59">
        <f>IF($C59="",0,MAX(0,$BC59+IF($P59=AB$3,$R59,0)+IF($S59=AB$3,$U59,0)-$AB59))</f>
        <v/>
      </c>
      <c r="BE59">
        <f>IF($C59="",0,MAX(0,$BD59+IF($P59=AC$3,$R59,0)+IF($S59=AC$3,$U59,0)-$AC59))</f>
        <v/>
      </c>
      <c r="BF59">
        <f>IF($C59="",0,MAX(0,$BE59+IF($P59=AD$3,$R59,0)+IF($S59=AD$3,$U59,0)-$AD59))</f>
        <v/>
      </c>
      <c r="BG59">
        <f>IF($C59="",0,MAX(0,$BF59+IF($P59=AE$3,$R59,0)+IF($S59=AE$3,$U59,0)-$AE59))</f>
        <v/>
      </c>
      <c r="BH59">
        <f>IF($C59="",0,MAX(0,$BG59+IF($P59=AF$3,$R59,0)+IF($S59=AF$3,$U59,0)-$AF59))</f>
        <v/>
      </c>
      <c r="BI59">
        <f>IF($C59="",0,MAX(0,$BH59+IF($P59=AG$3,$R59,0)+IF($S59=AG$3,$U59,0)-$AG59))</f>
        <v/>
      </c>
      <c r="BJ59">
        <f>IF($C59="",0,MAX(0,$BI59+IF($P59=AH$3,$R59,0)+IF($S59=AH$3,$U59,0)-$AH59))</f>
        <v/>
      </c>
      <c r="BK59">
        <f>IF($C59="",0,MAX(0,$BJ59+IF($P59=AI$3,$R59,0)+IF($S59=AI$3,$U59,0)-$AI59))</f>
        <v/>
      </c>
      <c r="BL59">
        <f>IF($C59="",99,IF(AND($AX59&lt;1,V$3&gt;=MAX(N($P59),N($S59))),0,99))</f>
        <v/>
      </c>
      <c r="BM59">
        <f>IF($C59="",99,IF(AND($AY59&lt;1,W$3&gt;=MAX(N($P59),N($S59))),1,99))</f>
        <v/>
      </c>
      <c r="BN59">
        <f>IF($C59="",99,IF(AND($AZ59&lt;1,X$3&gt;=MAX(N($P59),N($S59))),2,99))</f>
        <v/>
      </c>
      <c r="BO59">
        <f>IF($C59="",99,IF(AND($BA59&lt;1,Y$3&gt;=MAX(N($P59),N($S59))),3,99))</f>
        <v/>
      </c>
      <c r="BP59">
        <f>IF($C59="",99,IF(AND($BB59&lt;1,Z$3&gt;=MAX(N($P59),N($S59))),4,99))</f>
        <v/>
      </c>
      <c r="BQ59">
        <f>IF($C59="",99,IF(AND($BC59&lt;1,AA$3&gt;=MAX(N($P59),N($S59))),5,99))</f>
        <v/>
      </c>
      <c r="BR59">
        <f>IF($C59="",99,IF(AND($BD59&lt;1,AB$3&gt;=MAX(N($P59),N($S59))),6,99))</f>
        <v/>
      </c>
      <c r="BS59">
        <f>IF($C59="",99,IF(AND($BE59&lt;1,AC$3&gt;=MAX(N($P59),N($S59))),7,99))</f>
        <v/>
      </c>
      <c r="BT59">
        <f>IF($C59="",99,IF(AND($BF59&lt;1,AD$3&gt;=MAX(N($P59),N($S59))),8,99))</f>
        <v/>
      </c>
      <c r="BU59">
        <f>IF($C59="",99,IF(AND($BG59&lt;1,AE$3&gt;=MAX(N($P59),N($S59))),9,99))</f>
        <v/>
      </c>
      <c r="BV59">
        <f>IF($C59="",99,IF(AND($BH59&lt;1,AF$3&gt;=MAX(N($P59),N($S59))),10,99))</f>
        <v/>
      </c>
      <c r="BW59">
        <f>IF($C59="",99,IF(AND($BI59&lt;1,AG$3&gt;=MAX(N($P59),N($S59))),11,99))</f>
        <v/>
      </c>
      <c r="BX59">
        <f>IF($C59="",99,IF(AND($BJ59&lt;1,AH$3&gt;=MAX(N($P59),N($S59))),12,99))</f>
        <v/>
      </c>
      <c r="BY59">
        <f>IF($C59="",99,IF(AND($BK59&lt;1,AI$3&gt;=MAX(N($P59),N($S59))),13,99))</f>
        <v/>
      </c>
      <c r="BZ59">
        <f>IF(OR($C59="",$M59=""),"",COUNTIF($AJ59:$AW59,"&gt;=1"))</f>
        <v/>
      </c>
      <c r="CA59" s="90">
        <f>IF($BZ59="","",IF($BZ59&gt;=14,"",'設定'!$C$6+$BZ59))</f>
        <v/>
      </c>
      <c r="CB59">
        <f>IF(OR($C59="",$M59=""),"",MIN($BL59:$BY59))</f>
        <v/>
      </c>
      <c r="CC59" s="90">
        <f>IF($CB59="","",IF($CB59&gt;=99,"",'設定'!$C$6+$CB59))</f>
        <v/>
      </c>
      <c r="CD59">
        <f>IF(OR($C59="",$M59=""),"",AVERAGE($V59:$AI59))</f>
        <v/>
      </c>
      <c r="CE59">
        <f>IF($C59="","",IFERROR(IF(MATCH(IF(ISNUMBER($P59),$P59,'設定'!$C$6+N('設定'!$C$7)),$V$3:$AI$3,0)=1,MAX(0,N($L59)),INDEX($AJ59:$AW59,MATCH(IF(ISNUMBER($P59),$P59,'設定'!$C$6+N('設定'!$C$7)),$V$3:$AI$3,0)-1)),""))</f>
        <v/>
      </c>
      <c r="CF59">
        <f>IF(OR($C59="",$O59="",$CE59=""),"",IF($O59-$CE59&lt;=0,0,ROUNDUP(($O59-$CE59)/$G59,0)))</f>
        <v/>
      </c>
      <c r="CG59">
        <f>IF(OR($C59="",$CF59="",NOT(ISNUMBER($Q59))),0,MAX(0,$Q59-$CF59))</f>
        <v/>
      </c>
      <c r="CH59">
        <f>IF(OR($C59="",$O59="",$U59=0),0,IFERROR(ROUNDUP(MAX(0,IF(MATCH($S59,$V$3:$AI$3,0)=1,MAX(0,N($L59)),INDEX($AX59:$BK59,MATCH($S59,$V$3:$AI$3,0)-1))+$U59-$O59)/$G59,0),0))</f>
        <v/>
      </c>
      <c r="CI59">
        <f>IF($C59="","",IF(AND($P59="",$Q59=""),"",IF($P59="","⚠ 入庫日を ▼ から選んでください",IF(NOT(ISNUMBER($P59)),"⚠ 入庫日は ▼ から選んでください",IF($P59&lt;N('設定'!$C$6),"⚠ 入庫日が過去です（もう在庫に入っています）→ 消してください",IF($P59&gt;N('設定'!$C$6)+13,"⚠ 入庫日が14日より先です",IF(N($Q59)&lt;=0,"⚠ 入庫数を入れてください",IF($CG59&gt;0,"⚠ 目安より "&amp;$CG59&amp;" 多い（定数を超える）→ 減らす",""))))))))</f>
        <v/>
      </c>
      <c r="CJ59">
        <f>IF($C59="","",IF(AND($S59="",$T59=""),"",IF($S59="","⚠ 2便目：入庫日を ▼ から選んでください",IF(NOT(ISNUMBER($S59)),"⚠ 2便目：入庫日は ▼ から選んでください",IF($S59&lt;N('設定'!$C$6),"⚠ 2便目：入庫日が過去です（もう在庫に入っています）→ 消してください",IF($S59&gt;N('設定'!$C$6)+13,"⚠ 2便目：入庫日が14日より先です",IF(N($T59)&lt;=0,"⚠ 2便目：入庫数を入れてください",IF($CH59&gt;0,"⚠ 2便目：定数を "&amp;$CH59&amp;" ケース超える → 減らす",""))))))))</f>
        <v/>
      </c>
      <c r="CK59">
        <f>IF(AND($CI59="",N($Q59)&gt;0,ISNUMBER($P59)),1,0)</f>
        <v/>
      </c>
      <c r="CL59">
        <f>IF(AND($CJ59="",N($T59)&gt;0,ISNUMBER($S59)),1,0)</f>
        <v/>
      </c>
      <c r="CM59">
        <f>IF(OR($CK59=1,$CL59=1),1,0)</f>
        <v/>
      </c>
      <c r="CN59">
        <f>IF($C59="",0,($CK59*$R59+$CL59*$U59)*N($H59))</f>
        <v/>
      </c>
      <c r="CO59">
        <f>IF($C59="","",IF($CC59="","入庫後は 14日以上もつ",IF($CC59-N('設定'!$C$7)&lt;='設定'!$C$6,"入庫後も "&amp;TEXT($CC59,"m/d")&amp;"("&amp;CHOOSE(WEEKDAY($CC59),"日","月","火","水","木","金","土")&amp;")"&amp;" に切れる　もう1便を至急発注","入庫後も "&amp;TEXT($CC59,"m/d")&amp;"("&amp;CHOOSE(WEEKDAY($CC59),"日","月","火","水","木","金","土")&amp;")"&amp;" に切れる　"&amp;TEXT($CC59-N('設定'!$C$7),"m/d")&amp;"("&amp;CHOOSE(WEEKDAY($CC59-N('設定'!$C$7)),"日","月","火","水","木","金","土")&amp;")"&amp;" までに次を発注")))</f>
        <v/>
      </c>
      <c r="CP59">
        <f>IF($C59="","",IF('設定'!$C$6="","？ ①在庫を貼る に今日のCSVが貼られていない",IF($CS59=1,"－ 今日のCSVに無い（終売？）",IF($L59&lt;0,"● 在庫がマイナス　数えて「数えた在庫」に入れる",IF($L59=0,"● 在庫なし　至急発注",IF($M59="","？ 減り数が未設定（商品マスタ）",IF($B$3=0,"？ 動員が未入力（動員を入れる）",IF($CA59="","○ 14日以上もつ",IF($BZ59&lt;N('設定'!$C$7),"● "&amp;TEXT($CA59,"m/d")&amp;"("&amp;CHOOSE(WEEKDAY($CA59),"日","月","火","水","木","金","土")&amp;")"&amp;" に切れる　至急発注",IF($BZ59=N('設定'!$C$7),"● "&amp;TEXT($CA59,"m/d")&amp;"("&amp;CHOOSE(WEEKDAY($CA59),"日","月","火","水","木","金","土")&amp;")"&amp;" に切れる　今日発注","△ "&amp;TEXT($CA59,"m/d")&amp;"("&amp;CHOOSE(WEEKDAY($CA59),"日","月","火","水","木","金","土")&amp;")"&amp;" に切れる　"&amp;TEXT($CA59-N('設定'!$C$7),"m/d")&amp;"("&amp;CHOOSE(WEEKDAY($CA59-N('設定'!$C$7)),"日","月","火","水","木","金","土")&amp;")"&amp;" までに発注"))))))))))</f>
        <v/>
      </c>
      <c r="CQ59">
        <f>IF($C59="","",IF(AND($P59="",$Q59="",$S59="",$T59=""),"",IF(AND($P59="",$Q59=""),"⚠ 先に1便目（左の入庫日・入庫数）に入れてください",IF($CI59&lt;&gt;"",$CI59,IF($CJ59&lt;&gt;"",$CJ59,IF($M59="","？ 減り数が未設定（発注書には載ります）",IF($B$3=0,"？ 動員が未入力（発注書には載ります）",IF(AND($CA59&lt;&gt;"",$P59&gt;$CA59),IF($P59&gt;'設定'!$C$6+N('設定'!$C$7),"● "&amp;TEXT($P59,"m/d")&amp;"("&amp;CHOOSE(WEEKDAY($P59),"日","月","火","水","木","金","土")&amp;")"&amp;" の入庫では間に合わない（"&amp;TEXT($CA59,"m/d")&amp;"("&amp;CHOOSE(WEEKDAY($CA59),"日","月","火","水","木","金","土")&amp;")"&amp;" に切れる）　入庫日を早める","△ 欠品 "&amp;TEXT($CA59,"m/d")&amp;"("&amp;CHOOSE(WEEKDAY($CA59),"日","月","火","水","木","金","土")&amp;")"&amp;"〜"&amp;TEXT($P59-1,"m/d")&amp;"("&amp;CHOOSE(WEEKDAY($P59-1),"日","月","火","水","木","金","土")&amp;")"&amp;"　"&amp;$CO59),IF($CC59="","○ "&amp;TEXT($P59,"m/d")&amp;"("&amp;CHOOSE(WEEKDAY($P59),"日","月","火","水","木","金","土")&amp;")"&amp;" 入庫で 14日以上もつ",IF($CC59-N('設定'!$C$7)&lt;='設定'!$C$6,"● 入庫しても "&amp;TEXT($CC59,"m/d")&amp;"("&amp;CHOOSE(WEEKDAY($CC59),"日","月","火","水","木","金","土")&amp;")"&amp;" に切れる　もう1便を至急発注（2便目に入れる）","△ 入庫しても "&amp;TEXT($CC59,"m/d")&amp;"("&amp;CHOOSE(WEEKDAY($CC59),"日","月","火","水","木","金","土")&amp;")"&amp;" に切れる　"&amp;TEXT($CC59-N('設定'!$C$7),"m/d")&amp;"("&amp;CHOOSE(WEEKDAY($CC59-N('設定'!$C$7)),"日","月","火","水","木","金","土")&amp;")"&amp;" までに次を発注（2便目に入れる）"))))))))))</f>
        <v/>
      </c>
      <c r="CR59">
        <f>IF($C59="","",IF($G59&gt;1,"ｹｰｽ("&amp;$G59&amp;"入)","個"))</f>
        <v/>
      </c>
      <c r="CS59">
        <f>IF($C59="",0,IF(COUNTIFS('①在庫を貼る'!$V$6:$V$10005,'設定'!$C$4,'①在庫を貼る'!$W$6:$W$10005,$C59)=0,1,0))</f>
        <v/>
      </c>
      <c r="CT59">
        <f>IF(AND($CK59=1,OR('③発注書'!$C$4="すべて",'③発注書'!$C$4="",$F59='③発注書'!$C$4)),N($CT58)+1,N($CT58))</f>
        <v/>
      </c>
      <c r="CU59">
        <f>IF(AND($CL59=1,OR('③発注書'!$C$4="すべて",'③発注書'!$C$4="",$F59='③発注書'!$C$4)),N($CU58)+1,N($CU58))</f>
        <v/>
      </c>
      <c r="CV59">
        <f>IF($C59="",0,IF(COUNTIFS('①在庫を貼る'!$V$6:$V$10005,'設定'!$C$4,'①在庫を貼る'!$W$6:$W$10005,$C59)&gt;0,1,0))</f>
        <v/>
      </c>
      <c r="CW59">
        <f>IF($C59="",0,IF(COUNTIFS('月1回_1ヶ月前の在庫'!$V$6:$V$10005,'設定'!$C$4,'月1回_1ヶ月前の在庫'!$W$6:$W$10005,$C59)&gt;0,1,0))</f>
        <v/>
      </c>
      <c r="CX59">
        <f>IF($C59="",0,IF(COUNTIFS('月1回_2ヶ月前の在庫'!$V$6:$V$10005,'設定'!$C$4,'月1回_2ヶ月前の在庫'!$W$6:$W$10005,$C59)&gt;0,1,0))</f>
        <v/>
      </c>
      <c r="CY59">
        <f>IF(OR($C59="",'設定'!$C$12=""),"",IF('設定'!$C$13="",IF(AND($CV59=1,$CW59=0),"新商品（今月から）",IF(AND($CV59=0,$CW59=1),"終売（今月から）","")),IF(AND($CV59=1,$CW59=0,$CX59=0),"新商品（今月から）",IF(AND($CV59=1,$CW59=1,$CX59=0),"新商品（先月から）",IF(AND($CV59=0,$CW59=1,$CX59=1),"終売（今月から）",IF(AND($CV59=0,$CW59=0,$CX59=1),"終売（先月から）",IF(AND($CV59=1,$CW59=0,$CX59=1),"復活（先月は無し）","")))))))</f>
        <v/>
      </c>
    </row>
    <row r="60">
      <c r="B60">
        <f>IF(55&lt;='設定'!$C$11,55,"")</f>
        <v/>
      </c>
      <c r="C60">
        <f>IF($B60="","",IF($B60&lt;='設定'!$C$20,INDEX('商品マスタ'!$B$6:$B$1005,MATCH($B60,'商品マスタ'!$M$6:$M$1005,0)),IF($B60&lt;='設定'!$C$20+'設定'!$C$17,INDEX('①在庫を貼る'!$W$6:$W$10005,MATCH($B60-'設定'!$C$20,'①在庫を貼る'!$U$6:$U$10005,0)),IF($B60&lt;='設定'!$C$20+'設定'!$C$17+'設定'!$C$18,INDEX('月1回_1ヶ月前の在庫'!$W$6:$W$10005,MATCH($B60-'設定'!$C$20-'設定'!$C$17,'月1回_1ヶ月前の在庫'!$U$6:$U$10005,0)),INDEX('月1回_2ヶ月前の在庫'!$W$6:$W$10005,MATCH($B60-'設定'!$C$20-'設定'!$C$17-'設定'!$C$18,'月1回_2ヶ月前の在庫'!$U$6:$U$10005,0))))))</f>
        <v/>
      </c>
      <c r="D60">
        <f>IF($C60="","",IFERROR(IF(INDEX('商品マスタ'!$C$6:$C$1005,MATCH($C60,'商品マスタ'!$B$6:$B$1005,0))="",IFERROR(INDEX('①在庫を貼る'!$J$6:$J$10005,MATCH($C60,'①在庫を貼る'!$W$6:$W$10005,0)),IFERROR(INDEX('月1回_1ヶ月前の在庫'!$J$6:$J$10005,MATCH($C60,'月1回_1ヶ月前の在庫'!$W$6:$W$10005,0)),IFERROR(INDEX('月1回_2ヶ月前の在庫'!$J$6:$J$10005,MATCH($C60,'月1回_2ヶ月前の在庫'!$W$6:$W$10005,0)),""))),INDEX('商品マスタ'!$C$6:$C$1005,MATCH($C60,'商品マスタ'!$B$6:$B$1005,0))),IFERROR(INDEX('①在庫を貼る'!$J$6:$J$10005,MATCH($C60,'①在庫を貼る'!$W$6:$W$10005,0)),IFERROR(INDEX('月1回_1ヶ月前の在庫'!$J$6:$J$10005,MATCH($C60,'月1回_1ヶ月前の在庫'!$W$6:$W$10005,0)),IFERROR(INDEX('月1回_2ヶ月前の在庫'!$J$6:$J$10005,MATCH($C60,'月1回_2ヶ月前の在庫'!$W$6:$W$10005,0)),"")))))</f>
        <v/>
      </c>
      <c r="E60">
        <f>IF($C60="","",IFERROR(IF(INDEX('商品マスタ'!$D$6:$D$1005,MATCH($C60,'商品マスタ'!$B$6:$B$1005,0))="",IFERROR(INDEX('①在庫を貼る'!$H$6:$H$10005,MATCH($C60,'①在庫を貼る'!$W$6:$W$10005,0)),IFERROR(INDEX('月1回_1ヶ月前の在庫'!$H$6:$H$10005,MATCH($C60,'月1回_1ヶ月前の在庫'!$W$6:$W$10005,0)),IFERROR(INDEX('月1回_2ヶ月前の在庫'!$H$6:$H$10005,MATCH($C60,'月1回_2ヶ月前の在庫'!$W$6:$W$10005,0)),""))),INDEX('商品マスタ'!$D$6:$D$1005,MATCH($C60,'商品マスタ'!$B$6:$B$1005,0))),IFERROR(INDEX('①在庫を貼る'!$H$6:$H$10005,MATCH($C60,'①在庫を貼る'!$W$6:$W$10005,0)),IFERROR(INDEX('月1回_1ヶ月前の在庫'!$H$6:$H$10005,MATCH($C60,'月1回_1ヶ月前の在庫'!$W$6:$W$10005,0)),IFERROR(INDEX('月1回_2ヶ月前の在庫'!$H$6:$H$10005,MATCH($C60,'月1回_2ヶ月前の在庫'!$W$6:$W$10005,0)),"")))))</f>
        <v/>
      </c>
      <c r="F60">
        <f>IF($C60="","",IFERROR(IF(INDEX('商品マスタ'!$E$6:$E$1005,MATCH($C60,'商品マスタ'!$B$6:$B$1005,0))="",IFERROR(INDEX('①在庫を貼る'!$E$6:$E$10005,MATCH($C60,'①在庫を貼る'!$W$6:$W$10005,0)),IFERROR(INDEX('月1回_1ヶ月前の在庫'!$E$6:$E$10005,MATCH($C60,'月1回_1ヶ月前の在庫'!$W$6:$W$10005,0)),IFERROR(INDEX('月1回_2ヶ月前の在庫'!$E$6:$E$10005,MATCH($C60,'月1回_2ヶ月前の在庫'!$W$6:$W$10005,0)),""))),INDEX('商品マスタ'!$E$6:$E$1005,MATCH($C60,'商品マスタ'!$B$6:$B$1005,0))),IFERROR(INDEX('①在庫を貼る'!$E$6:$E$10005,MATCH($C60,'①在庫を貼る'!$W$6:$W$10005,0)),IFERROR(INDEX('月1回_1ヶ月前の在庫'!$E$6:$E$10005,MATCH($C60,'月1回_1ヶ月前の在庫'!$W$6:$W$10005,0)),IFERROR(INDEX('月1回_2ヶ月前の在庫'!$E$6:$E$10005,MATCH($C60,'月1回_2ヶ月前の在庫'!$W$6:$W$10005,0)),"")))))</f>
        <v/>
      </c>
      <c r="G60">
        <f>IF($C60="","",MAX(1,N(IFERROR(IF(INDEX('商品マスタ'!$F$6:$F$1005,MATCH($C60,'商品マスタ'!$B$6:$B$1005,0))="",IF(COUNTIFS('①在庫を貼る'!$V$6:$V$10005,'設定'!$C$4,'①在庫を貼る'!$W$6:$W$10005,$C60)&gt;0,SUMIFS('①在庫を貼る'!$K$6:$K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K$6:$K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K$6:$K$10005,'月1回_2ヶ月前の在庫'!$V$6:$V$10005,'設定'!$C$4,'月1回_2ヶ月前の在庫'!$W$6:$W$10005,$C60)/COUNTIFS('月1回_2ヶ月前の在庫'!$V$6:$V$10005,'設定'!$C$4,'月1回_2ヶ月前の在庫'!$W$6:$W$10005,$C60),0))),INDEX('商品マスタ'!$F$6:$F$1005,MATCH($C60,'商品マスタ'!$B$6:$B$1005,0))),IF(COUNTIFS('①在庫を貼る'!$V$6:$V$10005,'設定'!$C$4,'①在庫を貼る'!$W$6:$W$10005,$C60)&gt;0,SUMIFS('①在庫を貼る'!$K$6:$K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K$6:$K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K$6:$K$10005,'月1回_2ヶ月前の在庫'!$V$6:$V$10005,'設定'!$C$4,'月1回_2ヶ月前の在庫'!$W$6:$W$10005,$C60)/COUNTIFS('月1回_2ヶ月前の在庫'!$V$6:$V$10005,'設定'!$C$4,'月1回_2ヶ月前の在庫'!$W$6:$W$10005,$C60),0)))))))</f>
        <v/>
      </c>
      <c r="H60">
        <f>IF($C60="","",N(IFERROR(IF(INDEX('商品マスタ'!$G$6:$G$1005,MATCH($C60,'商品マスタ'!$B$6:$B$1005,0))="",IF(COUNTIFS('①在庫を貼る'!$V$6:$V$10005,'設定'!$C$4,'①在庫を貼る'!$W$6:$W$10005,$C60)&gt;0,SUMIFS('①在庫を貼る'!$Q$6:$Q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Q$6:$Q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Q$6:$Q$10005,'月1回_2ヶ月前の在庫'!$V$6:$V$10005,'設定'!$C$4,'月1回_2ヶ月前の在庫'!$W$6:$W$10005,$C60)/COUNTIFS('月1回_2ヶ月前の在庫'!$V$6:$V$10005,'設定'!$C$4,'月1回_2ヶ月前の在庫'!$W$6:$W$10005,$C60),0))),INDEX('商品マスタ'!$G$6:$G$1005,MATCH($C60,'商品マスタ'!$B$6:$B$1005,0))),IF(COUNTIFS('①在庫を貼る'!$V$6:$V$10005,'設定'!$C$4,'①在庫を貼る'!$W$6:$W$10005,$C60)&gt;0,SUMIFS('①在庫を貼る'!$Q$6:$Q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Q$6:$Q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Q$6:$Q$10005,'月1回_2ヶ月前の在庫'!$V$6:$V$10005,'設定'!$C$4,'月1回_2ヶ月前の在庫'!$W$6:$W$10005,$C60)/COUNTIFS('月1回_2ヶ月前の在庫'!$V$6:$V$10005,'設定'!$C$4,'月1回_2ヶ月前の在庫'!$W$6:$W$10005,$C60),0))))))</f>
        <v/>
      </c>
      <c r="I60">
        <f>IF($C60="","",IF(COUNTIFS('①在庫を貼る'!$V$6:$V$10005,'設定'!$C$4,'①在庫を貼る'!$W$6:$W$10005,$C60)=0,"",SUMIFS('①在庫を貼る'!$N$6:$N$10005,'①在庫を貼る'!$V$6:$V$10005,'設定'!$C$4,'①在庫を貼る'!$W$6:$W$10005,$C60)))</f>
        <v/>
      </c>
      <c r="J60">
        <f>IF($C60="","",IF('②発注する'!$AD64="","",'②発注する'!$AD64))</f>
        <v/>
      </c>
      <c r="K60" s="90">
        <f>IF($C60="","",IF('②発注する'!$AE64="","",'②発注する'!$AE64))</f>
        <v/>
      </c>
      <c r="L60">
        <f>IF($C60="","",IF(AND(ISNUMBER($J60),ISNUMBER($K60),$K60&gt;='設定'!$C$6),$J60,N($I60)))</f>
        <v/>
      </c>
      <c r="M60">
        <f>IF($C60="","",IFERROR(IF(N(INDEX('商品マスタ'!$J$6:$J$1005,MATCH($C60,'商品マスタ'!$B$6:$B$1005,0)))&gt;0,INDEX('商品マスタ'!$J$6:$J$1005,MATCH($C60,'商品マスタ'!$B$6:$B$1005,0)),""),""))</f>
        <v/>
      </c>
      <c r="N60">
        <f>IF($C60="","",IFERROR(IF(N(INDEX('商品マスタ'!$H$6:$H$1005,MATCH($C60,'商品マスタ'!$B$6:$B$1005,0)))&gt;0,INDEX('商品マスタ'!$H$6:$H$1005,MATCH($C60,'商品マスタ'!$B$6:$B$1005,0)),""),""))</f>
        <v/>
      </c>
      <c r="O60">
        <f>IF($C60="","",IF($N60&lt;&gt;"",$N60*$G60,IF(N(IF(COUNTIFS('①在庫を貼る'!$V$6:$V$10005,'設定'!$C$4,'①在庫を貼る'!$W$6:$W$10005,$C60)&gt;0,SUMIFS('①在庫を貼る'!$O$6:$O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O$6:$O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O$6:$O$10005,'月1回_2ヶ月前の在庫'!$V$6:$V$10005,'設定'!$C$4,'月1回_2ヶ月前の在庫'!$W$6:$W$10005,$C60)/COUNTIFS('月1回_2ヶ月前の在庫'!$V$6:$V$10005,'設定'!$C$4,'月1回_2ヶ月前の在庫'!$W$6:$W$10005,$C60),0))))&gt;0,N(IF(COUNTIFS('①在庫を貼る'!$V$6:$V$10005,'設定'!$C$4,'①在庫を貼る'!$W$6:$W$10005,$C60)&gt;0,SUMIFS('①在庫を貼る'!$O$6:$O$10005,'①在庫を貼る'!$V$6:$V$10005,'設定'!$C$4,'①在庫を貼る'!$W$6:$W$10005,$C60)/COUNTIFS('①在庫を貼る'!$V$6:$V$10005,'設定'!$C$4,'①在庫を貼る'!$W$6:$W$10005,$C60),IF(COUNTIFS('月1回_1ヶ月前の在庫'!$V$6:$V$10005,'設定'!$C$4,'月1回_1ヶ月前の在庫'!$W$6:$W$10005,$C60)&gt;0,SUMIFS('月1回_1ヶ月前の在庫'!$O$6:$O$10005,'月1回_1ヶ月前の在庫'!$V$6:$V$10005,'設定'!$C$4,'月1回_1ヶ月前の在庫'!$W$6:$W$10005,$C60)/COUNTIFS('月1回_1ヶ月前の在庫'!$V$6:$V$10005,'設定'!$C$4,'月1回_1ヶ月前の在庫'!$W$6:$W$10005,$C60),IF(COUNTIFS('月1回_2ヶ月前の在庫'!$V$6:$V$10005,'設定'!$C$4,'月1回_2ヶ月前の在庫'!$W$6:$W$10005,$C60)&gt;0,SUMIFS('月1回_2ヶ月前の在庫'!$O$6:$O$10005,'月1回_2ヶ月前の在庫'!$V$6:$V$10005,'設定'!$C$4,'月1回_2ヶ月前の在庫'!$W$6:$W$10005,$C60)/COUNTIFS('月1回_2ヶ月前の在庫'!$V$6:$V$10005,'設定'!$C$4,'月1回_2ヶ月前の在庫'!$W$6:$W$10005,$C60),0)))),"")))</f>
        <v/>
      </c>
      <c r="P60" s="90">
        <f>IF($C60="","",IF('②発注する'!$I64="","",'②発注する'!$I64))</f>
        <v/>
      </c>
      <c r="Q60">
        <f>IF($C60="","",IF('②発注する'!$J64="","",'②発注する'!$J64))</f>
        <v/>
      </c>
      <c r="R60">
        <f>IF($C60="",0,IF(AND(ISNUMBER($P60),ISNUMBER($Q60)),MAX(0,$Q60)*$G60,0))</f>
        <v/>
      </c>
      <c r="S60" s="90">
        <f>IF($C60="","",IF('②発注する'!$M64="","",'②発注する'!$M64))</f>
        <v/>
      </c>
      <c r="T60">
        <f>IF($C60="","",IF('②発注する'!$N64="","",'②発注する'!$N64))</f>
        <v/>
      </c>
      <c r="U60">
        <f>IF($C60="",0,IF(AND(ISNUMBER($S60),ISNUMBER($T60)),MAX(0,$T60)*$G60,0))</f>
        <v/>
      </c>
      <c r="V60">
        <f>IF($C60="",0,IF($M60="",0,MAX(0,$M60)*MAX(0,V$4)/100))</f>
        <v/>
      </c>
      <c r="W60">
        <f>IF($C60="",0,IF($M60="",0,MAX(0,$M60)*MAX(0,W$4)/100))</f>
        <v/>
      </c>
      <c r="X60">
        <f>IF($C60="",0,IF($M60="",0,MAX(0,$M60)*MAX(0,X$4)/100))</f>
        <v/>
      </c>
      <c r="Y60">
        <f>IF($C60="",0,IF($M60="",0,MAX(0,$M60)*MAX(0,Y$4)/100))</f>
        <v/>
      </c>
      <c r="Z60">
        <f>IF($C60="",0,IF($M60="",0,MAX(0,$M60)*MAX(0,Z$4)/100))</f>
        <v/>
      </c>
      <c r="AA60">
        <f>IF($C60="",0,IF($M60="",0,MAX(0,$M60)*MAX(0,AA$4)/100))</f>
        <v/>
      </c>
      <c r="AB60">
        <f>IF($C60="",0,IF($M60="",0,MAX(0,$M60)*MAX(0,AB$4)/100))</f>
        <v/>
      </c>
      <c r="AC60">
        <f>IF($C60="",0,IF($M60="",0,MAX(0,$M60)*MAX(0,AC$4)/100))</f>
        <v/>
      </c>
      <c r="AD60">
        <f>IF($C60="",0,IF($M60="",0,MAX(0,$M60)*MAX(0,AD$4)/100))</f>
        <v/>
      </c>
      <c r="AE60">
        <f>IF($C60="",0,IF($M60="",0,MAX(0,$M60)*MAX(0,AE$4)/100))</f>
        <v/>
      </c>
      <c r="AF60">
        <f>IF($C60="",0,IF($M60="",0,MAX(0,$M60)*MAX(0,AF$4)/100))</f>
        <v/>
      </c>
      <c r="AG60">
        <f>IF($C60="",0,IF($M60="",0,MAX(0,$M60)*MAX(0,AG$4)/100))</f>
        <v/>
      </c>
      <c r="AH60">
        <f>IF($C60="",0,IF($M60="",0,MAX(0,$M60)*MAX(0,AH$4)/100))</f>
        <v/>
      </c>
      <c r="AI60">
        <f>IF($C60="",0,IF($M60="",0,MAX(0,$M60)*MAX(0,AI$4)/100))</f>
        <v/>
      </c>
      <c r="AJ60">
        <f>IF($C60="",0,MAX(0,MAX(0,N($L60))-$V60))</f>
        <v/>
      </c>
      <c r="AK60">
        <f>IF($C60="",0,MAX(0,$AJ60-$W60))</f>
        <v/>
      </c>
      <c r="AL60">
        <f>IF($C60="",0,MAX(0,$AK60-$X60))</f>
        <v/>
      </c>
      <c r="AM60">
        <f>IF($C60="",0,MAX(0,$AL60-$Y60))</f>
        <v/>
      </c>
      <c r="AN60">
        <f>IF($C60="",0,MAX(0,$AM60-$Z60))</f>
        <v/>
      </c>
      <c r="AO60">
        <f>IF($C60="",0,MAX(0,$AN60-$AA60))</f>
        <v/>
      </c>
      <c r="AP60">
        <f>IF($C60="",0,MAX(0,$AO60-$AB60))</f>
        <v/>
      </c>
      <c r="AQ60">
        <f>IF($C60="",0,MAX(0,$AP60-$AC60))</f>
        <v/>
      </c>
      <c r="AR60">
        <f>IF($C60="",0,MAX(0,$AQ60-$AD60))</f>
        <v/>
      </c>
      <c r="AS60">
        <f>IF($C60="",0,MAX(0,$AR60-$AE60))</f>
        <v/>
      </c>
      <c r="AT60">
        <f>IF($C60="",0,MAX(0,$AS60-$AF60))</f>
        <v/>
      </c>
      <c r="AU60">
        <f>IF($C60="",0,MAX(0,$AT60-$AG60))</f>
        <v/>
      </c>
      <c r="AV60">
        <f>IF($C60="",0,MAX(0,$AU60-$AH60))</f>
        <v/>
      </c>
      <c r="AW60">
        <f>IF($C60="",0,MAX(0,$AV60-$AI60))</f>
        <v/>
      </c>
      <c r="AX60">
        <f>IF($C60="",0,MAX(0,MAX(0,N($L60))+IF($P60=V$3,$R60,0)+IF($S60=V$3,$U60,0)-$V60))</f>
        <v/>
      </c>
      <c r="AY60">
        <f>IF($C60="",0,MAX(0,$AX60+IF($P60=W$3,$R60,0)+IF($S60=W$3,$U60,0)-$W60))</f>
        <v/>
      </c>
      <c r="AZ60">
        <f>IF($C60="",0,MAX(0,$AY60+IF($P60=X$3,$R60,0)+IF($S60=X$3,$U60,0)-$X60))</f>
        <v/>
      </c>
      <c r="BA60">
        <f>IF($C60="",0,MAX(0,$AZ60+IF($P60=Y$3,$R60,0)+IF($S60=Y$3,$U60,0)-$Y60))</f>
        <v/>
      </c>
      <c r="BB60">
        <f>IF($C60="",0,MAX(0,$BA60+IF($P60=Z$3,$R60,0)+IF($S60=Z$3,$U60,0)-$Z60))</f>
        <v/>
      </c>
      <c r="BC60">
        <f>IF($C60="",0,MAX(0,$BB60+IF($P60=AA$3,$R60,0)+IF($S60=AA$3,$U60,0)-$AA60))</f>
        <v/>
      </c>
      <c r="BD60">
        <f>IF($C60="",0,MAX(0,$BC60+IF($P60=AB$3,$R60,0)+IF($S60=AB$3,$U60,0)-$AB60))</f>
        <v/>
      </c>
      <c r="BE60">
        <f>IF($C60="",0,MAX(0,$BD60+IF($P60=AC$3,$R60,0)+IF($S60=AC$3,$U60,0)-$AC60))</f>
        <v/>
      </c>
      <c r="BF60">
        <f>IF($C60="",0,MAX(0,$BE60+IF($P60=AD$3,$R60,0)+IF($S60=AD$3,$U60,0)-$AD60))</f>
        <v/>
      </c>
      <c r="BG60">
        <f>IF($C60="",0,MAX(0,$BF60+IF($P60=AE$3,$R60,0)+IF($S60=AE$3,$U60,0)-$AE60))</f>
        <v/>
      </c>
      <c r="BH60">
        <f>IF($C60="",0,MAX(0,$BG60+IF($P60=AF$3,$R60,0)+IF($S60=AF$3,$U60,0)-$AF60))</f>
        <v/>
      </c>
      <c r="BI60">
        <f>IF($C60="",0,MAX(0,$BH60+IF($P60=AG$3,$R60,0)+IF($S60=AG$3,$U60,0)-$AG60))</f>
        <v/>
      </c>
      <c r="BJ60">
        <f>IF($C60="",0,MAX(0,$BI60+IF($P60=AH$3,$R60,0)+IF($S60=AH$3,$U60,0)-$AH60))</f>
        <v/>
      </c>
      <c r="BK60">
        <f>IF($C60="",0,MAX(0,$BJ60+IF($P60=AI$3,$R60,0)+IF($S60=AI$3,$U60,0)-$AI60))</f>
        <v/>
      </c>
      <c r="BL60">
        <f>IF($C60="",99,IF(AND($AX60&lt;1,V$3&gt;=MAX(N($P60),N($S60))),0,99))</f>
        <v/>
      </c>
      <c r="BM60">
        <f>IF($C60="",99,IF(AND($AY60&lt;1,W$3&gt;=MAX(N($P60),N($S60))),1,99))</f>
        <v/>
      </c>
      <c r="BN60">
        <f>IF($C60="",99,IF(AND($AZ60&lt;1,X$3&gt;=MAX(N($P60),N($S60))),2,99))</f>
        <v/>
      </c>
      <c r="BO60">
        <f>IF($C60="",99,IF(AND($BA60&lt;1,Y$3&gt;=MAX(N($P60),N($S60))),3,99))</f>
        <v/>
      </c>
      <c r="BP60">
        <f>IF($C60="",99,IF(AND($BB60&lt;1,Z$3&gt;=MAX(N($P60),N($S60))),4,99))</f>
        <v/>
      </c>
      <c r="BQ60">
        <f>IF($C60="",99,IF(AND($BC60&lt;1,AA$3&gt;=MAX(N($P60),N($S60))),5,99))</f>
        <v/>
      </c>
      <c r="BR60">
        <f>IF($C60="",99,IF(AND($BD60&lt;1,AB$3&gt;=MAX(N($P60),N($S60))),6,99))</f>
        <v/>
      </c>
      <c r="BS60">
        <f>IF($C60="",99,IF(AND($BE60&lt;1,AC$3&gt;=MAX(N($P60),N($S60))),7,99))</f>
        <v/>
      </c>
      <c r="BT60">
        <f>IF($C60="",99,IF(AND($BF60&lt;1,AD$3&gt;=MAX(N($P60),N($S60))),8,99))</f>
        <v/>
      </c>
      <c r="BU60">
        <f>IF($C60="",99,IF(AND($BG60&lt;1,AE$3&gt;=MAX(N($P60),N($S60))),9,99))</f>
        <v/>
      </c>
      <c r="BV60">
        <f>IF($C60="",99,IF(AND($BH60&lt;1,AF$3&gt;=MAX(N($P60),N($S60))),10,99))</f>
        <v/>
      </c>
      <c r="BW60">
        <f>IF($C60="",99,IF(AND($BI60&lt;1,AG$3&gt;=MAX(N($P60),N($S60))),11,99))</f>
        <v/>
      </c>
      <c r="BX60">
        <f>IF($C60="",99,IF(AND($BJ60&lt;1,AH$3&gt;=MAX(N($P60),N($S60))),12,99))</f>
        <v/>
      </c>
      <c r="BY60">
        <f>IF($C60="",99,IF(AND($BK60&lt;1,AI$3&gt;=MAX(N($P60),N($S60))),13,99))</f>
        <v/>
      </c>
      <c r="BZ60">
        <f>IF(OR($C60="",$M60=""),"",COUNTIF($AJ60:$AW60,"&gt;=1"))</f>
        <v/>
      </c>
      <c r="CA60" s="90">
        <f>IF($BZ60="","",IF($BZ60&gt;=14,"",'設定'!$C$6+$BZ60))</f>
        <v/>
      </c>
      <c r="CB60">
        <f>IF(OR($C60="",$M60=""),"",MIN($BL60:$BY60))</f>
        <v/>
      </c>
      <c r="CC60" s="90">
        <f>IF($CB60="","",IF($CB60&gt;=99,"",'設定'!$C$6+$CB60))</f>
        <v/>
      </c>
      <c r="CD60">
        <f>IF(OR($C60="",$M60=""),"",AVERAGE($V60:$AI60))</f>
        <v/>
      </c>
      <c r="CE60">
        <f>IF($C60="","",IFERROR(IF(MATCH(IF(ISNUMBER($P60),$P60,'設定'!$C$6+N('設定'!$C$7)),$V$3:$AI$3,0)=1,MAX(0,N($L60)),INDEX($AJ60:$AW60,MATCH(IF(ISNUMBER($P60),$P60,'設定'!$C$6+N('設定'!$C$7)),$V$3:$AI$3,0)-1)),""))</f>
        <v/>
      </c>
      <c r="CF60">
        <f>IF(OR($C60="",$O60="",$CE60=""),"",IF($O60-$CE60&lt;=0,0,ROUNDUP(($O60-$CE60)/$G60,0)))</f>
        <v/>
      </c>
      <c r="CG60">
        <f>IF(OR($C60="",$CF60="",NOT(ISNUMBER($Q60))),0,MAX(0,$Q60-$CF60))</f>
        <v/>
      </c>
      <c r="CH60">
        <f>IF(OR($C60="",$O60="",$U60=0),0,IFERROR(ROUNDUP(MAX(0,IF(MATCH($S60,$V$3:$AI$3,0)=1,MAX(0,N($L60)),INDEX($AX60:$BK60,MATCH($S60,$V$3:$AI$3,0)-1))+$U60-$O60)/$G60,0),0))</f>
        <v/>
      </c>
      <c r="CI60">
        <f>IF($C60="","",IF(AND($P60="",$Q60=""),"",IF($P60="","⚠ 入庫日を ▼ から選んでください",IF(NOT(ISNUMBER($P60)),"⚠ 入庫日は ▼ から選んでください",IF($P60&lt;N('設定'!$C$6),"⚠ 入庫日が過去です（もう在庫に入っています）→ 消してください",IF($P60&gt;N('設定'!$C$6)+13,"⚠ 入庫日が14日より先です",IF(N($Q60)&lt;=0,"⚠ 入庫数を入れてください",IF($CG60&gt;0,"⚠ 目安より "&amp;$CG60&amp;" 多い（定数を超える）→ 減らす",""))))))))</f>
        <v/>
      </c>
      <c r="CJ60">
        <f>IF($C60="","",IF(AND($S60="",$T60=""),"",IF($S60="","⚠ 2便目：入庫日を ▼ から選んでください",IF(NOT(ISNUMBER($S60)),"⚠ 2便目：入庫日は ▼ から選んでください",IF($S60&lt;N('設定'!$C$6),"⚠ 2便目：入庫日が過去です（もう在庫に入っています）→ 消してください",IF($S60&gt;N('設定'!$C$6)+13,"⚠ 2便目：入庫日が14日より先です",IF(N($T60)&lt;=0,"⚠ 2便目：入庫数を入れてください",IF($CH60&gt;0,"⚠ 2便目：定数を "&amp;$CH60&amp;" ケース超える → 減らす",""))))))))</f>
        <v/>
      </c>
      <c r="CK60">
        <f>IF(AND($CI60="",N($Q60)&gt;0,ISNUMBER($P60)),1,0)</f>
        <v/>
      </c>
      <c r="CL60">
        <f>IF(AND($CJ60="",N($T60)&gt;0,ISNUMBER($S60)),1,0)</f>
        <v/>
      </c>
      <c r="CM60">
        <f>IF(OR($CK60=1,$CL60=1),1,0)</f>
        <v/>
      </c>
      <c r="CN60">
        <f>IF($C60="",0,($CK60*$R60+$CL60*$U60)*N($H60))</f>
        <v/>
      </c>
      <c r="CO60">
        <f>IF($C60="","",IF($CC60="","入庫後は 14日以上もつ",IF($CC60-N('設定'!$C$7)&lt;='設定'!$C$6,"入庫後も "&amp;TEXT($CC60,"m/d")&amp;"("&amp;CHOOSE(WEEKDAY($CC60),"日","月","火","水","木","金","土")&amp;")"&amp;" に切れる　もう1便を至急発注","入庫後も "&amp;TEXT($CC60,"m/d")&amp;"("&amp;CHOOSE(WEEKDAY($CC60),"日","月","火","水","木","金","土")&amp;")"&amp;" に切れる　"&amp;TEXT($CC60-N('設定'!$C$7),"m/d")&amp;"("&amp;CHOOSE(WEEKDAY($CC60-N('設定'!$C$7)),"日","月","火","水","木","金","土")&amp;")"&amp;" までに次を発注")))</f>
        <v/>
      </c>
      <c r="CP60">
        <f>IF($C60="","",IF('設定'!$C$6="","？ ①在庫を貼る に今日のCSVが貼られていない",IF($CS60=1,"－ 今日のCSVに無い（終売？）",IF($L60&lt;0,"● 在庫がマイナス　数えて「数えた在庫」に入れる",IF($L60=0,"● 在庫なし　至急発注",IF($M60="","？ 減り数が未設定（商品マスタ）",IF($B$3=0,"？ 動員が未入力（動員を入れる）",IF($CA60="","○ 14日以上もつ",IF($BZ60&lt;N('設定'!$C$7),"● "&amp;TEXT($CA60,"m/d")&amp;"("&amp;CHOOSE(WEEKDAY($CA60),"日","月","火","水","木","金","土")&amp;")"&amp;" に切れる　至急発注",IF($BZ60=N('設定'!$C$7),"● "&amp;TEXT($CA60,"m/d")&amp;"("&amp;CHOOSE(WEEKDAY($CA60),"日","月","火","水","木","金","土")&amp;")"&amp;" に切れる　今日発注","△ "&amp;TEXT($CA60,"m/d")&amp;"("&amp;CHOOSE(WEEKDAY($CA60),"日","月","火","水","木","金","土")&amp;")"&amp;" に切れる　"&amp;TEXT($CA60-N('設定'!$C$7),"m/d")&amp;"("&amp;CHOOSE(WEEKDAY($CA60-N('設定'!$C$7)),"日","月","火","水","木","金","土")&amp;")"&amp;" までに発注"))))))))))</f>
        <v/>
      </c>
      <c r="CQ60">
        <f>IF($C60="","",IF(AND($P60="",$Q60="",$S60="",$T60=""),"",IF(AND($P60="",$Q60=""),"⚠ 先に1便目（左の入庫日・入庫数）に入れてください",IF($CI60&lt;&gt;"",$CI60,IF($CJ60&lt;&gt;"",$CJ60,IF($M60="","？ 減り数が未設定（発注書には載ります）",IF($B$3=0,"？ 動員が未入力（発注書には載ります）",IF(AND($CA60&lt;&gt;"",$P60&gt;$CA60),IF($P60&gt;'設定'!$C$6+N('設定'!$C$7),"● "&amp;TEXT($P60,"m/d")&amp;"("&amp;CHOOSE(WEEKDAY($P60),"日","月","火","水","木","金","土")&amp;")"&amp;" の入庫では間に合わない（"&amp;TEXT($CA60,"m/d")&amp;"("&amp;CHOOSE(WEEKDAY($CA60),"日","月","火","水","木","金","土")&amp;")"&amp;" に切れる）　入庫日を早める","△ 欠品 "&amp;TEXT($CA60,"m/d")&amp;"("&amp;CHOOSE(WEEKDAY($CA60),"日","月","火","水","木","金","土")&amp;")"&amp;"〜"&amp;TEXT($P60-1,"m/d")&amp;"("&amp;CHOOSE(WEEKDAY($P60-1),"日","月","火","水","木","金","土")&amp;")"&amp;"　"&amp;$CO60),IF($CC60="","○ "&amp;TEXT($P60,"m/d")&amp;"("&amp;CHOOSE(WEEKDAY($P60),"日","月","火","水","木","金","土")&amp;")"&amp;" 入庫で 14日以上もつ",IF($CC60-N('設定'!$C$7)&lt;='設定'!$C$6,"● 入庫しても "&amp;TEXT($CC60,"m/d")&amp;"("&amp;CHOOSE(WEEKDAY($CC60),"日","月","火","水","木","金","土")&amp;")"&amp;" に切れる　もう1便を至急発注（2便目に入れる）","△ 入庫しても "&amp;TEXT($CC60,"m/d")&amp;"("&amp;CHOOSE(WEEKDAY($CC60),"日","月","火","水","木","金","土")&amp;")"&amp;" に切れる　"&amp;TEXT($CC60-N('設定'!$C$7),"m/d")&amp;"("&amp;CHOOSE(WEEKDAY($CC60-N('設定'!$C$7)),"日","月","火","水","木","金","土")&amp;")"&amp;" までに次を発注（2便目に入れる）"))))))))))</f>
        <v/>
      </c>
      <c r="CR60">
        <f>IF($C60="","",IF($G60&gt;1,"ｹｰｽ("&amp;$G60&amp;"入)","個"))</f>
        <v/>
      </c>
      <c r="CS60">
        <f>IF($C60="",0,IF(COUNTIFS('①在庫を貼る'!$V$6:$V$10005,'設定'!$C$4,'①在庫を貼る'!$W$6:$W$10005,$C60)=0,1,0))</f>
        <v/>
      </c>
      <c r="CT60">
        <f>IF(AND($CK60=1,OR('③発注書'!$C$4="すべて",'③発注書'!$C$4="",$F60='③発注書'!$C$4)),N($CT59)+1,N($CT59))</f>
        <v/>
      </c>
      <c r="CU60">
        <f>IF(AND($CL60=1,OR('③発注書'!$C$4="すべて",'③発注書'!$C$4="",$F60='③発注書'!$C$4)),N($CU59)+1,N($CU59))</f>
        <v/>
      </c>
      <c r="CV60">
        <f>IF($C60="",0,IF(COUNTIFS('①在庫を貼る'!$V$6:$V$10005,'設定'!$C$4,'①在庫を貼る'!$W$6:$W$10005,$C60)&gt;0,1,0))</f>
        <v/>
      </c>
      <c r="CW60">
        <f>IF($C60="",0,IF(COUNTIFS('月1回_1ヶ月前の在庫'!$V$6:$V$10005,'設定'!$C$4,'月1回_1ヶ月前の在庫'!$W$6:$W$10005,$C60)&gt;0,1,0))</f>
        <v/>
      </c>
      <c r="CX60">
        <f>IF($C60="",0,IF(COUNTIFS('月1回_2ヶ月前の在庫'!$V$6:$V$10005,'設定'!$C$4,'月1回_2ヶ月前の在庫'!$W$6:$W$10005,$C60)&gt;0,1,0))</f>
        <v/>
      </c>
      <c r="CY60">
        <f>IF(OR($C60="",'設定'!$C$12=""),"",IF('設定'!$C$13="",IF(AND($CV60=1,$CW60=0),"新商品（今月から）",IF(AND($CV60=0,$CW60=1),"終売（今月から）","")),IF(AND($CV60=1,$CW60=0,$CX60=0),"新商品（今月から）",IF(AND($CV60=1,$CW60=1,$CX60=0),"新商品（先月から）",IF(AND($CV60=0,$CW60=1,$CX60=1),"終売（今月から）",IF(AND($CV60=0,$CW60=0,$CX60=1),"終売（先月から）",IF(AND($CV60=1,$CW60=0,$CX60=1),"復活（先月は無し）","")))))))</f>
        <v/>
      </c>
    </row>
    <row r="61">
      <c r="B61">
        <f>IF(56&lt;='設定'!$C$11,56,"")</f>
        <v/>
      </c>
      <c r="C61">
        <f>IF($B61="","",IF($B61&lt;='設定'!$C$20,INDEX('商品マスタ'!$B$6:$B$1005,MATCH($B61,'商品マスタ'!$M$6:$M$1005,0)),IF($B61&lt;='設定'!$C$20+'設定'!$C$17,INDEX('①在庫を貼る'!$W$6:$W$10005,MATCH($B61-'設定'!$C$20,'①在庫を貼る'!$U$6:$U$10005,0)),IF($B61&lt;='設定'!$C$20+'設定'!$C$17+'設定'!$C$18,INDEX('月1回_1ヶ月前の在庫'!$W$6:$W$10005,MATCH($B61-'設定'!$C$20-'設定'!$C$17,'月1回_1ヶ月前の在庫'!$U$6:$U$10005,0)),INDEX('月1回_2ヶ月前の在庫'!$W$6:$W$10005,MATCH($B61-'設定'!$C$20-'設定'!$C$17-'設定'!$C$18,'月1回_2ヶ月前の在庫'!$U$6:$U$10005,0))))))</f>
        <v/>
      </c>
      <c r="D61">
        <f>IF($C61="","",IFERROR(IF(INDEX('商品マスタ'!$C$6:$C$1005,MATCH($C61,'商品マスタ'!$B$6:$B$1005,0))="",IFERROR(INDEX('①在庫を貼る'!$J$6:$J$10005,MATCH($C61,'①在庫を貼る'!$W$6:$W$10005,0)),IFERROR(INDEX('月1回_1ヶ月前の在庫'!$J$6:$J$10005,MATCH($C61,'月1回_1ヶ月前の在庫'!$W$6:$W$10005,0)),IFERROR(INDEX('月1回_2ヶ月前の在庫'!$J$6:$J$10005,MATCH($C61,'月1回_2ヶ月前の在庫'!$W$6:$W$10005,0)),""))),INDEX('商品マスタ'!$C$6:$C$1005,MATCH($C61,'商品マスタ'!$B$6:$B$1005,0))),IFERROR(INDEX('①在庫を貼る'!$J$6:$J$10005,MATCH($C61,'①在庫を貼る'!$W$6:$W$10005,0)),IFERROR(INDEX('月1回_1ヶ月前の在庫'!$J$6:$J$10005,MATCH($C61,'月1回_1ヶ月前の在庫'!$W$6:$W$10005,0)),IFERROR(INDEX('月1回_2ヶ月前の在庫'!$J$6:$J$10005,MATCH($C61,'月1回_2ヶ月前の在庫'!$W$6:$W$10005,0)),"")))))</f>
        <v/>
      </c>
      <c r="E61">
        <f>IF($C61="","",IFERROR(IF(INDEX('商品マスタ'!$D$6:$D$1005,MATCH($C61,'商品マスタ'!$B$6:$B$1005,0))="",IFERROR(INDEX('①在庫を貼る'!$H$6:$H$10005,MATCH($C61,'①在庫を貼る'!$W$6:$W$10005,0)),IFERROR(INDEX('月1回_1ヶ月前の在庫'!$H$6:$H$10005,MATCH($C61,'月1回_1ヶ月前の在庫'!$W$6:$W$10005,0)),IFERROR(INDEX('月1回_2ヶ月前の在庫'!$H$6:$H$10005,MATCH($C61,'月1回_2ヶ月前の在庫'!$W$6:$W$10005,0)),""))),INDEX('商品マスタ'!$D$6:$D$1005,MATCH($C61,'商品マスタ'!$B$6:$B$1005,0))),IFERROR(INDEX('①在庫を貼る'!$H$6:$H$10005,MATCH($C61,'①在庫を貼る'!$W$6:$W$10005,0)),IFERROR(INDEX('月1回_1ヶ月前の在庫'!$H$6:$H$10005,MATCH($C61,'月1回_1ヶ月前の在庫'!$W$6:$W$10005,0)),IFERROR(INDEX('月1回_2ヶ月前の在庫'!$H$6:$H$10005,MATCH($C61,'月1回_2ヶ月前の在庫'!$W$6:$W$10005,0)),"")))))</f>
        <v/>
      </c>
      <c r="F61">
        <f>IF($C61="","",IFERROR(IF(INDEX('商品マスタ'!$E$6:$E$1005,MATCH($C61,'商品マスタ'!$B$6:$B$1005,0))="",IFERROR(INDEX('①在庫を貼る'!$E$6:$E$10005,MATCH($C61,'①在庫を貼る'!$W$6:$W$10005,0)),IFERROR(INDEX('月1回_1ヶ月前の在庫'!$E$6:$E$10005,MATCH($C61,'月1回_1ヶ月前の在庫'!$W$6:$W$10005,0)),IFERROR(INDEX('月1回_2ヶ月前の在庫'!$E$6:$E$10005,MATCH($C61,'月1回_2ヶ月前の在庫'!$W$6:$W$10005,0)),""))),INDEX('商品マスタ'!$E$6:$E$1005,MATCH($C61,'商品マスタ'!$B$6:$B$1005,0))),IFERROR(INDEX('①在庫を貼る'!$E$6:$E$10005,MATCH($C61,'①在庫を貼る'!$W$6:$W$10005,0)),IFERROR(INDEX('月1回_1ヶ月前の在庫'!$E$6:$E$10005,MATCH($C61,'月1回_1ヶ月前の在庫'!$W$6:$W$10005,0)),IFERROR(INDEX('月1回_2ヶ月前の在庫'!$E$6:$E$10005,MATCH($C61,'月1回_2ヶ月前の在庫'!$W$6:$W$10005,0)),"")))))</f>
        <v/>
      </c>
      <c r="G61">
        <f>IF($C61="","",MAX(1,N(IFERROR(IF(INDEX('商品マスタ'!$F$6:$F$1005,MATCH($C61,'商品マスタ'!$B$6:$B$1005,0))="",IF(COUNTIFS('①在庫を貼る'!$V$6:$V$10005,'設定'!$C$4,'①在庫を貼る'!$W$6:$W$10005,$C61)&gt;0,SUMIFS('①在庫を貼る'!$K$6:$K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K$6:$K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K$6:$K$10005,'月1回_2ヶ月前の在庫'!$V$6:$V$10005,'設定'!$C$4,'月1回_2ヶ月前の在庫'!$W$6:$W$10005,$C61)/COUNTIFS('月1回_2ヶ月前の在庫'!$V$6:$V$10005,'設定'!$C$4,'月1回_2ヶ月前の在庫'!$W$6:$W$10005,$C61),0))),INDEX('商品マスタ'!$F$6:$F$1005,MATCH($C61,'商品マスタ'!$B$6:$B$1005,0))),IF(COUNTIFS('①在庫を貼る'!$V$6:$V$10005,'設定'!$C$4,'①在庫を貼る'!$W$6:$W$10005,$C61)&gt;0,SUMIFS('①在庫を貼る'!$K$6:$K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K$6:$K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K$6:$K$10005,'月1回_2ヶ月前の在庫'!$V$6:$V$10005,'設定'!$C$4,'月1回_2ヶ月前の在庫'!$W$6:$W$10005,$C61)/COUNTIFS('月1回_2ヶ月前の在庫'!$V$6:$V$10005,'設定'!$C$4,'月1回_2ヶ月前の在庫'!$W$6:$W$10005,$C61),0)))))))</f>
        <v/>
      </c>
      <c r="H61">
        <f>IF($C61="","",N(IFERROR(IF(INDEX('商品マスタ'!$G$6:$G$1005,MATCH($C61,'商品マスタ'!$B$6:$B$1005,0))="",IF(COUNTIFS('①在庫を貼る'!$V$6:$V$10005,'設定'!$C$4,'①在庫を貼る'!$W$6:$W$10005,$C61)&gt;0,SUMIFS('①在庫を貼る'!$Q$6:$Q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Q$6:$Q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Q$6:$Q$10005,'月1回_2ヶ月前の在庫'!$V$6:$V$10005,'設定'!$C$4,'月1回_2ヶ月前の在庫'!$W$6:$W$10005,$C61)/COUNTIFS('月1回_2ヶ月前の在庫'!$V$6:$V$10005,'設定'!$C$4,'月1回_2ヶ月前の在庫'!$W$6:$W$10005,$C61),0))),INDEX('商品マスタ'!$G$6:$G$1005,MATCH($C61,'商品マスタ'!$B$6:$B$1005,0))),IF(COUNTIFS('①在庫を貼る'!$V$6:$V$10005,'設定'!$C$4,'①在庫を貼る'!$W$6:$W$10005,$C61)&gt;0,SUMIFS('①在庫を貼る'!$Q$6:$Q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Q$6:$Q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Q$6:$Q$10005,'月1回_2ヶ月前の在庫'!$V$6:$V$10005,'設定'!$C$4,'月1回_2ヶ月前の在庫'!$W$6:$W$10005,$C61)/COUNTIFS('月1回_2ヶ月前の在庫'!$V$6:$V$10005,'設定'!$C$4,'月1回_2ヶ月前の在庫'!$W$6:$W$10005,$C61),0))))))</f>
        <v/>
      </c>
      <c r="I61">
        <f>IF($C61="","",IF(COUNTIFS('①在庫を貼る'!$V$6:$V$10005,'設定'!$C$4,'①在庫を貼る'!$W$6:$W$10005,$C61)=0,"",SUMIFS('①在庫を貼る'!$N$6:$N$10005,'①在庫を貼る'!$V$6:$V$10005,'設定'!$C$4,'①在庫を貼る'!$W$6:$W$10005,$C61)))</f>
        <v/>
      </c>
      <c r="J61">
        <f>IF($C61="","",IF('②発注する'!$AD65="","",'②発注する'!$AD65))</f>
        <v/>
      </c>
      <c r="K61" s="90">
        <f>IF($C61="","",IF('②発注する'!$AE65="","",'②発注する'!$AE65))</f>
        <v/>
      </c>
      <c r="L61">
        <f>IF($C61="","",IF(AND(ISNUMBER($J61),ISNUMBER($K61),$K61&gt;='設定'!$C$6),$J61,N($I61)))</f>
        <v/>
      </c>
      <c r="M61">
        <f>IF($C61="","",IFERROR(IF(N(INDEX('商品マスタ'!$J$6:$J$1005,MATCH($C61,'商品マスタ'!$B$6:$B$1005,0)))&gt;0,INDEX('商品マスタ'!$J$6:$J$1005,MATCH($C61,'商品マスタ'!$B$6:$B$1005,0)),""),""))</f>
        <v/>
      </c>
      <c r="N61">
        <f>IF($C61="","",IFERROR(IF(N(INDEX('商品マスタ'!$H$6:$H$1005,MATCH($C61,'商品マスタ'!$B$6:$B$1005,0)))&gt;0,INDEX('商品マスタ'!$H$6:$H$1005,MATCH($C61,'商品マスタ'!$B$6:$B$1005,0)),""),""))</f>
        <v/>
      </c>
      <c r="O61">
        <f>IF($C61="","",IF($N61&lt;&gt;"",$N61*$G61,IF(N(IF(COUNTIFS('①在庫を貼る'!$V$6:$V$10005,'設定'!$C$4,'①在庫を貼る'!$W$6:$W$10005,$C61)&gt;0,SUMIFS('①在庫を貼る'!$O$6:$O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O$6:$O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O$6:$O$10005,'月1回_2ヶ月前の在庫'!$V$6:$V$10005,'設定'!$C$4,'月1回_2ヶ月前の在庫'!$W$6:$W$10005,$C61)/COUNTIFS('月1回_2ヶ月前の在庫'!$V$6:$V$10005,'設定'!$C$4,'月1回_2ヶ月前の在庫'!$W$6:$W$10005,$C61),0))))&gt;0,N(IF(COUNTIFS('①在庫を貼る'!$V$6:$V$10005,'設定'!$C$4,'①在庫を貼る'!$W$6:$W$10005,$C61)&gt;0,SUMIFS('①在庫を貼る'!$O$6:$O$10005,'①在庫を貼る'!$V$6:$V$10005,'設定'!$C$4,'①在庫を貼る'!$W$6:$W$10005,$C61)/COUNTIFS('①在庫を貼る'!$V$6:$V$10005,'設定'!$C$4,'①在庫を貼る'!$W$6:$W$10005,$C61),IF(COUNTIFS('月1回_1ヶ月前の在庫'!$V$6:$V$10005,'設定'!$C$4,'月1回_1ヶ月前の在庫'!$W$6:$W$10005,$C61)&gt;0,SUMIFS('月1回_1ヶ月前の在庫'!$O$6:$O$10005,'月1回_1ヶ月前の在庫'!$V$6:$V$10005,'設定'!$C$4,'月1回_1ヶ月前の在庫'!$W$6:$W$10005,$C61)/COUNTIFS('月1回_1ヶ月前の在庫'!$V$6:$V$10005,'設定'!$C$4,'月1回_1ヶ月前の在庫'!$W$6:$W$10005,$C61),IF(COUNTIFS('月1回_2ヶ月前の在庫'!$V$6:$V$10005,'設定'!$C$4,'月1回_2ヶ月前の在庫'!$W$6:$W$10005,$C61)&gt;0,SUMIFS('月1回_2ヶ月前の在庫'!$O$6:$O$10005,'月1回_2ヶ月前の在庫'!$V$6:$V$10005,'設定'!$C$4,'月1回_2ヶ月前の在庫'!$W$6:$W$10005,$C61)/COUNTIFS('月1回_2ヶ月前の在庫'!$V$6:$V$10005,'設定'!$C$4,'月1回_2ヶ月前の在庫'!$W$6:$W$10005,$C61),0)))),"")))</f>
        <v/>
      </c>
      <c r="P61" s="90">
        <f>IF($C61="","",IF('②発注する'!$I65="","",'②発注する'!$I65))</f>
        <v/>
      </c>
      <c r="Q61">
        <f>IF($C61="","",IF('②発注する'!$J65="","",'②発注する'!$J65))</f>
        <v/>
      </c>
      <c r="R61">
        <f>IF($C61="",0,IF(AND(ISNUMBER($P61),ISNUMBER($Q61)),MAX(0,$Q61)*$G61,0))</f>
        <v/>
      </c>
      <c r="S61" s="90">
        <f>IF($C61="","",IF('②発注する'!$M65="","",'②発注する'!$M65))</f>
        <v/>
      </c>
      <c r="T61">
        <f>IF($C61="","",IF('②発注する'!$N65="","",'②発注する'!$N65))</f>
        <v/>
      </c>
      <c r="U61">
        <f>IF($C61="",0,IF(AND(ISNUMBER($S61),ISNUMBER($T61)),MAX(0,$T61)*$G61,0))</f>
        <v/>
      </c>
      <c r="V61">
        <f>IF($C61="",0,IF($M61="",0,MAX(0,$M61)*MAX(0,V$4)/100))</f>
        <v/>
      </c>
      <c r="W61">
        <f>IF($C61="",0,IF($M61="",0,MAX(0,$M61)*MAX(0,W$4)/100))</f>
        <v/>
      </c>
      <c r="X61">
        <f>IF($C61="",0,IF($M61="",0,MAX(0,$M61)*MAX(0,X$4)/100))</f>
        <v/>
      </c>
      <c r="Y61">
        <f>IF($C61="",0,IF($M61="",0,MAX(0,$M61)*MAX(0,Y$4)/100))</f>
        <v/>
      </c>
      <c r="Z61">
        <f>IF($C61="",0,IF($M61="",0,MAX(0,$M61)*MAX(0,Z$4)/100))</f>
        <v/>
      </c>
      <c r="AA61">
        <f>IF($C61="",0,IF($M61="",0,MAX(0,$M61)*MAX(0,AA$4)/100))</f>
        <v/>
      </c>
      <c r="AB61">
        <f>IF($C61="",0,IF($M61="",0,MAX(0,$M61)*MAX(0,AB$4)/100))</f>
        <v/>
      </c>
      <c r="AC61">
        <f>IF($C61="",0,IF($M61="",0,MAX(0,$M61)*MAX(0,AC$4)/100))</f>
        <v/>
      </c>
      <c r="AD61">
        <f>IF($C61="",0,IF($M61="",0,MAX(0,$M61)*MAX(0,AD$4)/100))</f>
        <v/>
      </c>
      <c r="AE61">
        <f>IF($C61="",0,IF($M61="",0,MAX(0,$M61)*MAX(0,AE$4)/100))</f>
        <v/>
      </c>
      <c r="AF61">
        <f>IF($C61="",0,IF($M61="",0,MAX(0,$M61)*MAX(0,AF$4)/100))</f>
        <v/>
      </c>
      <c r="AG61">
        <f>IF($C61="",0,IF($M61="",0,MAX(0,$M61)*MAX(0,AG$4)/100))</f>
        <v/>
      </c>
      <c r="AH61">
        <f>IF($C61="",0,IF($M61="",0,MAX(0,$M61)*MAX(0,AH$4)/100))</f>
        <v/>
      </c>
      <c r="AI61">
        <f>IF($C61="",0,IF($M61="",0,MAX(0,$M61)*MAX(0,AI$4)/100))</f>
        <v/>
      </c>
      <c r="AJ61">
        <f>IF($C61="",0,MAX(0,MAX(0,N($L61))-$V61))</f>
        <v/>
      </c>
      <c r="AK61">
        <f>IF($C61="",0,MAX(0,$AJ61-$W61))</f>
        <v/>
      </c>
      <c r="AL61">
        <f>IF($C61="",0,MAX(0,$AK61-$X61))</f>
        <v/>
      </c>
      <c r="AM61">
        <f>IF($C61="",0,MAX(0,$AL61-$Y61))</f>
        <v/>
      </c>
      <c r="AN61">
        <f>IF($C61="",0,MAX(0,$AM61-$Z61))</f>
        <v/>
      </c>
      <c r="AO61">
        <f>IF($C61="",0,MAX(0,$AN61-$AA61))</f>
        <v/>
      </c>
      <c r="AP61">
        <f>IF($C61="",0,MAX(0,$AO61-$AB61))</f>
        <v/>
      </c>
      <c r="AQ61">
        <f>IF($C61="",0,MAX(0,$AP61-$AC61))</f>
        <v/>
      </c>
      <c r="AR61">
        <f>IF($C61="",0,MAX(0,$AQ61-$AD61))</f>
        <v/>
      </c>
      <c r="AS61">
        <f>IF($C61="",0,MAX(0,$AR61-$AE61))</f>
        <v/>
      </c>
      <c r="AT61">
        <f>IF($C61="",0,MAX(0,$AS61-$AF61))</f>
        <v/>
      </c>
      <c r="AU61">
        <f>IF($C61="",0,MAX(0,$AT61-$AG61))</f>
        <v/>
      </c>
      <c r="AV61">
        <f>IF($C61="",0,MAX(0,$AU61-$AH61))</f>
        <v/>
      </c>
      <c r="AW61">
        <f>IF($C61="",0,MAX(0,$AV61-$AI61))</f>
        <v/>
      </c>
      <c r="AX61">
        <f>IF($C61="",0,MAX(0,MAX(0,N($L61))+IF($P61=V$3,$R61,0)+IF($S61=V$3,$U61,0)-$V61))</f>
        <v/>
      </c>
      <c r="AY61">
        <f>IF($C61="",0,MAX(0,$AX61+IF($P61=W$3,$R61,0)+IF($S61=W$3,$U61,0)-$W61))</f>
        <v/>
      </c>
      <c r="AZ61">
        <f>IF($C61="",0,MAX(0,$AY61+IF($P61=X$3,$R61,0)+IF($S61=X$3,$U61,0)-$X61))</f>
        <v/>
      </c>
      <c r="BA61">
        <f>IF($C61="",0,MAX(0,$AZ61+IF($P61=Y$3,$R61,0)+IF($S61=Y$3,$U61,0)-$Y61))</f>
        <v/>
      </c>
      <c r="BB61">
        <f>IF($C61="",0,MAX(0,$BA61+IF($P61=Z$3,$R61,0)+IF($S61=Z$3,$U61,0)-$Z61))</f>
        <v/>
      </c>
      <c r="BC61">
        <f>IF($C61="",0,MAX(0,$BB61+IF($P61=AA$3,$R61,0)+IF($S61=AA$3,$U61,0)-$AA61))</f>
        <v/>
      </c>
      <c r="BD61">
        <f>IF($C61="",0,MAX(0,$BC61+IF($P61=AB$3,$R61,0)+IF($S61=AB$3,$U61,0)-$AB61))</f>
        <v/>
      </c>
      <c r="BE61">
        <f>IF($C61="",0,MAX(0,$BD61+IF($P61=AC$3,$R61,0)+IF($S61=AC$3,$U61,0)-$AC61))</f>
        <v/>
      </c>
      <c r="BF61">
        <f>IF($C61="",0,MAX(0,$BE61+IF($P61=AD$3,$R61,0)+IF($S61=AD$3,$U61,0)-$AD61))</f>
        <v/>
      </c>
      <c r="BG61">
        <f>IF($C61="",0,MAX(0,$BF61+IF($P61=AE$3,$R61,0)+IF($S61=AE$3,$U61,0)-$AE61))</f>
        <v/>
      </c>
      <c r="BH61">
        <f>IF($C61="",0,MAX(0,$BG61+IF($P61=AF$3,$R61,0)+IF($S61=AF$3,$U61,0)-$AF61))</f>
        <v/>
      </c>
      <c r="BI61">
        <f>IF($C61="",0,MAX(0,$BH61+IF($P61=AG$3,$R61,0)+IF($S61=AG$3,$U61,0)-$AG61))</f>
        <v/>
      </c>
      <c r="BJ61">
        <f>IF($C61="",0,MAX(0,$BI61+IF($P61=AH$3,$R61,0)+IF($S61=AH$3,$U61,0)-$AH61))</f>
        <v/>
      </c>
      <c r="BK61">
        <f>IF($C61="",0,MAX(0,$BJ61+IF($P61=AI$3,$R61,0)+IF($S61=AI$3,$U61,0)-$AI61))</f>
        <v/>
      </c>
      <c r="BL61">
        <f>IF($C61="",99,IF(AND($AX61&lt;1,V$3&gt;=MAX(N($P61),N($S61))),0,99))</f>
        <v/>
      </c>
      <c r="BM61">
        <f>IF($C61="",99,IF(AND($AY61&lt;1,W$3&gt;=MAX(N($P61),N($S61))),1,99))</f>
        <v/>
      </c>
      <c r="BN61">
        <f>IF($C61="",99,IF(AND($AZ61&lt;1,X$3&gt;=MAX(N($P61),N($S61))),2,99))</f>
        <v/>
      </c>
      <c r="BO61">
        <f>IF($C61="",99,IF(AND($BA61&lt;1,Y$3&gt;=MAX(N($P61),N($S61))),3,99))</f>
        <v/>
      </c>
      <c r="BP61">
        <f>IF($C61="",99,IF(AND($BB61&lt;1,Z$3&gt;=MAX(N($P61),N($S61))),4,99))</f>
        <v/>
      </c>
      <c r="BQ61">
        <f>IF($C61="",99,IF(AND($BC61&lt;1,AA$3&gt;=MAX(N($P61),N($S61))),5,99))</f>
        <v/>
      </c>
      <c r="BR61">
        <f>IF($C61="",99,IF(AND($BD61&lt;1,AB$3&gt;=MAX(N($P61),N($S61))),6,99))</f>
        <v/>
      </c>
      <c r="BS61">
        <f>IF($C61="",99,IF(AND($BE61&lt;1,AC$3&gt;=MAX(N($P61),N($S61))),7,99))</f>
        <v/>
      </c>
      <c r="BT61">
        <f>IF($C61="",99,IF(AND($BF61&lt;1,AD$3&gt;=MAX(N($P61),N($S61))),8,99))</f>
        <v/>
      </c>
      <c r="BU61">
        <f>IF($C61="",99,IF(AND($BG61&lt;1,AE$3&gt;=MAX(N($P61),N($S61))),9,99))</f>
        <v/>
      </c>
      <c r="BV61">
        <f>IF($C61="",99,IF(AND($BH61&lt;1,AF$3&gt;=MAX(N($P61),N($S61))),10,99))</f>
        <v/>
      </c>
      <c r="BW61">
        <f>IF($C61="",99,IF(AND($BI61&lt;1,AG$3&gt;=MAX(N($P61),N($S61))),11,99))</f>
        <v/>
      </c>
      <c r="BX61">
        <f>IF($C61="",99,IF(AND($BJ61&lt;1,AH$3&gt;=MAX(N($P61),N($S61))),12,99))</f>
        <v/>
      </c>
      <c r="BY61">
        <f>IF($C61="",99,IF(AND($BK61&lt;1,AI$3&gt;=MAX(N($P61),N($S61))),13,99))</f>
        <v/>
      </c>
      <c r="BZ61">
        <f>IF(OR($C61="",$M61=""),"",COUNTIF($AJ61:$AW61,"&gt;=1"))</f>
        <v/>
      </c>
      <c r="CA61" s="90">
        <f>IF($BZ61="","",IF($BZ61&gt;=14,"",'設定'!$C$6+$BZ61))</f>
        <v/>
      </c>
      <c r="CB61">
        <f>IF(OR($C61="",$M61=""),"",MIN($BL61:$BY61))</f>
        <v/>
      </c>
      <c r="CC61" s="90">
        <f>IF($CB61="","",IF($CB61&gt;=99,"",'設定'!$C$6+$CB61))</f>
        <v/>
      </c>
      <c r="CD61">
        <f>IF(OR($C61="",$M61=""),"",AVERAGE($V61:$AI61))</f>
        <v/>
      </c>
      <c r="CE61">
        <f>IF($C61="","",IFERROR(IF(MATCH(IF(ISNUMBER($P61),$P61,'設定'!$C$6+N('設定'!$C$7)),$V$3:$AI$3,0)=1,MAX(0,N($L61)),INDEX($AJ61:$AW61,MATCH(IF(ISNUMBER($P61),$P61,'設定'!$C$6+N('設定'!$C$7)),$V$3:$AI$3,0)-1)),""))</f>
        <v/>
      </c>
      <c r="CF61">
        <f>IF(OR($C61="",$O61="",$CE61=""),"",IF($O61-$CE61&lt;=0,0,ROUNDUP(($O61-$CE61)/$G61,0)))</f>
        <v/>
      </c>
      <c r="CG61">
        <f>IF(OR($C61="",$CF61="",NOT(ISNUMBER($Q61))),0,MAX(0,$Q61-$CF61))</f>
        <v/>
      </c>
      <c r="CH61">
        <f>IF(OR($C61="",$O61="",$U61=0),0,IFERROR(ROUNDUP(MAX(0,IF(MATCH($S61,$V$3:$AI$3,0)=1,MAX(0,N($L61)),INDEX($AX61:$BK61,MATCH($S61,$V$3:$AI$3,0)-1))+$U61-$O61)/$G61,0),0))</f>
        <v/>
      </c>
      <c r="CI61">
        <f>IF($C61="","",IF(AND($P61="",$Q61=""),"",IF($P61="","⚠ 入庫日を ▼ から選んでください",IF(NOT(ISNUMBER($P61)),"⚠ 入庫日は ▼ から選んでください",IF($P61&lt;N('設定'!$C$6),"⚠ 入庫日が過去です（もう在庫に入っています）→ 消してください",IF($P61&gt;N('設定'!$C$6)+13,"⚠ 入庫日が14日より先です",IF(N($Q61)&lt;=0,"⚠ 入庫数を入れてください",IF($CG61&gt;0,"⚠ 目安より "&amp;$CG61&amp;" 多い（定数を超える）→ 減らす",""))))))))</f>
        <v/>
      </c>
      <c r="CJ61">
        <f>IF($C61="","",IF(AND($S61="",$T61=""),"",IF($S61="","⚠ 2便目：入庫日を ▼ から選んでください",IF(NOT(ISNUMBER($S61)),"⚠ 2便目：入庫日は ▼ から選んでください",IF($S61&lt;N('設定'!$C$6),"⚠ 2便目：入庫日が過去です（もう在庫に入っています）→ 消してください",IF($S61&gt;N('設定'!$C$6)+13,"⚠ 2便目：入庫日が14日より先です",IF(N($T61)&lt;=0,"⚠ 2便目：入庫数を入れてください",IF($CH61&gt;0,"⚠ 2便目：定数を "&amp;$CH61&amp;" ケース超える → 減らす",""))))))))</f>
        <v/>
      </c>
      <c r="CK61">
        <f>IF(AND($CI61="",N($Q61)&gt;0,ISNUMBER($P61)),1,0)</f>
        <v/>
      </c>
      <c r="CL61">
        <f>IF(AND($CJ61="",N($T61)&gt;0,ISNUMBER($S61)),1,0)</f>
        <v/>
      </c>
      <c r="CM61">
        <f>IF(OR($CK61=1,$CL61=1),1,0)</f>
        <v/>
      </c>
      <c r="CN61">
        <f>IF($C61="",0,($CK61*$R61+$CL61*$U61)*N($H61))</f>
        <v/>
      </c>
      <c r="CO61">
        <f>IF($C61="","",IF($CC61="","入庫後は 14日以上もつ",IF($CC61-N('設定'!$C$7)&lt;='設定'!$C$6,"入庫後も "&amp;TEXT($CC61,"m/d")&amp;"("&amp;CHOOSE(WEEKDAY($CC61),"日","月","火","水","木","金","土")&amp;")"&amp;" に切れる　もう1便を至急発注","入庫後も "&amp;TEXT($CC61,"m/d")&amp;"("&amp;CHOOSE(WEEKDAY($CC61),"日","月","火","水","木","金","土")&amp;")"&amp;" に切れる　"&amp;TEXT($CC61-N('設定'!$C$7),"m/d")&amp;"("&amp;CHOOSE(WEEKDAY($CC61-N('設定'!$C$7)),"日","月","火","水","木","金","土")&amp;")"&amp;" までに次を発注")))</f>
        <v/>
      </c>
      <c r="CP61">
        <f>IF($C61="","",IF('設定'!$C$6="","？ ①在庫を貼る に今日のCSVが貼られていない",IF($CS61=1,"－ 今日のCSVに無い（終売？）",IF($L61&lt;0,"● 在庫がマイナス　数えて「数えた在庫」に入れる",IF($L61=0,"● 在庫なし　至急発注",IF($M61="","？ 減り数が未設定（商品マスタ）",IF($B$3=0,"？ 動員が未入力（動員を入れる）",IF($CA61="","○ 14日以上もつ",IF($BZ61&lt;N('設定'!$C$7),"● "&amp;TEXT($CA61,"m/d")&amp;"("&amp;CHOOSE(WEEKDAY($CA61),"日","月","火","水","木","金","土")&amp;")"&amp;" に切れる　至急発注",IF($BZ61=N('設定'!$C$7),"● "&amp;TEXT($CA61,"m/d")&amp;"("&amp;CHOOSE(WEEKDAY($CA61),"日","月","火","水","木","金","土")&amp;")"&amp;" に切れる　今日発注","△ "&amp;TEXT($CA61,"m/d")&amp;"("&amp;CHOOSE(WEEKDAY($CA61),"日","月","火","水","木","金","土")&amp;")"&amp;" に切れる　"&amp;TEXT($CA61-N('設定'!$C$7),"m/d")&amp;"("&amp;CHOOSE(WEEKDAY($CA61-N('設定'!$C$7)),"日","月","火","水","木","金","土")&amp;")"&amp;" までに発注"))))))))))</f>
        <v/>
      </c>
      <c r="CQ61">
        <f>IF($C61="","",IF(AND($P61="",$Q61="",$S61="",$T61=""),"",IF(AND($P61="",$Q61=""),"⚠ 先に1便目（左の入庫日・入庫数）に入れてください",IF($CI61&lt;&gt;"",$CI61,IF($CJ61&lt;&gt;"",$CJ61,IF($M61="","？ 減り数が未設定（発注書には載ります）",IF($B$3=0,"？ 動員が未入力（発注書には載ります）",IF(AND($CA61&lt;&gt;"",$P61&gt;$CA61),IF($P61&gt;'設定'!$C$6+N('設定'!$C$7),"● "&amp;TEXT($P61,"m/d")&amp;"("&amp;CHOOSE(WEEKDAY($P61),"日","月","火","水","木","金","土")&amp;")"&amp;" の入庫では間に合わない（"&amp;TEXT($CA61,"m/d")&amp;"("&amp;CHOOSE(WEEKDAY($CA61),"日","月","火","水","木","金","土")&amp;")"&amp;" に切れる）　入庫日を早める","△ 欠品 "&amp;TEXT($CA61,"m/d")&amp;"("&amp;CHOOSE(WEEKDAY($CA61),"日","月","火","水","木","金","土")&amp;")"&amp;"〜"&amp;TEXT($P61-1,"m/d")&amp;"("&amp;CHOOSE(WEEKDAY($P61-1),"日","月","火","水","木","金","土")&amp;")"&amp;"　"&amp;$CO61),IF($CC61="","○ "&amp;TEXT($P61,"m/d")&amp;"("&amp;CHOOSE(WEEKDAY($P61),"日","月","火","水","木","金","土")&amp;")"&amp;" 入庫で 14日以上もつ",IF($CC61-N('設定'!$C$7)&lt;='設定'!$C$6,"● 入庫しても "&amp;TEXT($CC61,"m/d")&amp;"("&amp;CHOOSE(WEEKDAY($CC61),"日","月","火","水","木","金","土")&amp;")"&amp;" に切れる　もう1便を至急発注（2便目に入れる）","△ 入庫しても "&amp;TEXT($CC61,"m/d")&amp;"("&amp;CHOOSE(WEEKDAY($CC61),"日","月","火","水","木","金","土")&amp;")"&amp;" に切れる　"&amp;TEXT($CC61-N('設定'!$C$7),"m/d")&amp;"("&amp;CHOOSE(WEEKDAY($CC61-N('設定'!$C$7)),"日","月","火","水","木","金","土")&amp;")"&amp;" までに次を発注（2便目に入れる）"))))))))))</f>
        <v/>
      </c>
      <c r="CR61">
        <f>IF($C61="","",IF($G61&gt;1,"ｹｰｽ("&amp;$G61&amp;"入)","個"))</f>
        <v/>
      </c>
      <c r="CS61">
        <f>IF($C61="",0,IF(COUNTIFS('①在庫を貼る'!$V$6:$V$10005,'設定'!$C$4,'①在庫を貼る'!$W$6:$W$10005,$C61)=0,1,0))</f>
        <v/>
      </c>
      <c r="CT61">
        <f>IF(AND($CK61=1,OR('③発注書'!$C$4="すべて",'③発注書'!$C$4="",$F61='③発注書'!$C$4)),N($CT60)+1,N($CT60))</f>
        <v/>
      </c>
      <c r="CU61">
        <f>IF(AND($CL61=1,OR('③発注書'!$C$4="すべて",'③発注書'!$C$4="",$F61='③発注書'!$C$4)),N($CU60)+1,N($CU60))</f>
        <v/>
      </c>
      <c r="CV61">
        <f>IF($C61="",0,IF(COUNTIFS('①在庫を貼る'!$V$6:$V$10005,'設定'!$C$4,'①在庫を貼る'!$W$6:$W$10005,$C61)&gt;0,1,0))</f>
        <v/>
      </c>
      <c r="CW61">
        <f>IF($C61="",0,IF(COUNTIFS('月1回_1ヶ月前の在庫'!$V$6:$V$10005,'設定'!$C$4,'月1回_1ヶ月前の在庫'!$W$6:$W$10005,$C61)&gt;0,1,0))</f>
        <v/>
      </c>
      <c r="CX61">
        <f>IF($C61="",0,IF(COUNTIFS('月1回_2ヶ月前の在庫'!$V$6:$V$10005,'設定'!$C$4,'月1回_2ヶ月前の在庫'!$W$6:$W$10005,$C61)&gt;0,1,0))</f>
        <v/>
      </c>
      <c r="CY61">
        <f>IF(OR($C61="",'設定'!$C$12=""),"",IF('設定'!$C$13="",IF(AND($CV61=1,$CW61=0),"新商品（今月から）",IF(AND($CV61=0,$CW61=1),"終売（今月から）","")),IF(AND($CV61=1,$CW61=0,$CX61=0),"新商品（今月から）",IF(AND($CV61=1,$CW61=1,$CX61=0),"新商品（先月から）",IF(AND($CV61=0,$CW61=1,$CX61=1),"終売（今月から）",IF(AND($CV61=0,$CW61=0,$CX61=1),"終売（先月から）",IF(AND($CV61=1,$CW61=0,$CX61=1),"復活（先月は無し）","")))))))</f>
        <v/>
      </c>
    </row>
    <row r="62">
      <c r="B62">
        <f>IF(57&lt;='設定'!$C$11,57,"")</f>
        <v/>
      </c>
      <c r="C62">
        <f>IF($B62="","",IF($B62&lt;='設定'!$C$20,INDEX('商品マスタ'!$B$6:$B$1005,MATCH($B62,'商品マスタ'!$M$6:$M$1005,0)),IF($B62&lt;='設定'!$C$20+'設定'!$C$17,INDEX('①在庫を貼る'!$W$6:$W$10005,MATCH($B62-'設定'!$C$20,'①在庫を貼る'!$U$6:$U$10005,0)),IF($B62&lt;='設定'!$C$20+'設定'!$C$17+'設定'!$C$18,INDEX('月1回_1ヶ月前の在庫'!$W$6:$W$10005,MATCH($B62-'設定'!$C$20-'設定'!$C$17,'月1回_1ヶ月前の在庫'!$U$6:$U$10005,0)),INDEX('月1回_2ヶ月前の在庫'!$W$6:$W$10005,MATCH($B62-'設定'!$C$20-'設定'!$C$17-'設定'!$C$18,'月1回_2ヶ月前の在庫'!$U$6:$U$10005,0))))))</f>
        <v/>
      </c>
      <c r="D62">
        <f>IF($C62="","",IFERROR(IF(INDEX('商品マスタ'!$C$6:$C$1005,MATCH($C62,'商品マスタ'!$B$6:$B$1005,0))="",IFERROR(INDEX('①在庫を貼る'!$J$6:$J$10005,MATCH($C62,'①在庫を貼る'!$W$6:$W$10005,0)),IFERROR(INDEX('月1回_1ヶ月前の在庫'!$J$6:$J$10005,MATCH($C62,'月1回_1ヶ月前の在庫'!$W$6:$W$10005,0)),IFERROR(INDEX('月1回_2ヶ月前の在庫'!$J$6:$J$10005,MATCH($C62,'月1回_2ヶ月前の在庫'!$W$6:$W$10005,0)),""))),INDEX('商品マスタ'!$C$6:$C$1005,MATCH($C62,'商品マスタ'!$B$6:$B$1005,0))),IFERROR(INDEX('①在庫を貼る'!$J$6:$J$10005,MATCH($C62,'①在庫を貼る'!$W$6:$W$10005,0)),IFERROR(INDEX('月1回_1ヶ月前の在庫'!$J$6:$J$10005,MATCH($C62,'月1回_1ヶ月前の在庫'!$W$6:$W$10005,0)),IFERROR(INDEX('月1回_2ヶ月前の在庫'!$J$6:$J$10005,MATCH($C62,'月1回_2ヶ月前の在庫'!$W$6:$W$10005,0)),"")))))</f>
        <v/>
      </c>
      <c r="E62">
        <f>IF($C62="","",IFERROR(IF(INDEX('商品マスタ'!$D$6:$D$1005,MATCH($C62,'商品マスタ'!$B$6:$B$1005,0))="",IFERROR(INDEX('①在庫を貼る'!$H$6:$H$10005,MATCH($C62,'①在庫を貼る'!$W$6:$W$10005,0)),IFERROR(INDEX('月1回_1ヶ月前の在庫'!$H$6:$H$10005,MATCH($C62,'月1回_1ヶ月前の在庫'!$W$6:$W$10005,0)),IFERROR(INDEX('月1回_2ヶ月前の在庫'!$H$6:$H$10005,MATCH($C62,'月1回_2ヶ月前の在庫'!$W$6:$W$10005,0)),""))),INDEX('商品マスタ'!$D$6:$D$1005,MATCH($C62,'商品マスタ'!$B$6:$B$1005,0))),IFERROR(INDEX('①在庫を貼る'!$H$6:$H$10005,MATCH($C62,'①在庫を貼る'!$W$6:$W$10005,0)),IFERROR(INDEX('月1回_1ヶ月前の在庫'!$H$6:$H$10005,MATCH($C62,'月1回_1ヶ月前の在庫'!$W$6:$W$10005,0)),IFERROR(INDEX('月1回_2ヶ月前の在庫'!$H$6:$H$10005,MATCH($C62,'月1回_2ヶ月前の在庫'!$W$6:$W$10005,0)),"")))))</f>
        <v/>
      </c>
      <c r="F62">
        <f>IF($C62="","",IFERROR(IF(INDEX('商品マスタ'!$E$6:$E$1005,MATCH($C62,'商品マスタ'!$B$6:$B$1005,0))="",IFERROR(INDEX('①在庫を貼る'!$E$6:$E$10005,MATCH($C62,'①在庫を貼る'!$W$6:$W$10005,0)),IFERROR(INDEX('月1回_1ヶ月前の在庫'!$E$6:$E$10005,MATCH($C62,'月1回_1ヶ月前の在庫'!$W$6:$W$10005,0)),IFERROR(INDEX('月1回_2ヶ月前の在庫'!$E$6:$E$10005,MATCH($C62,'月1回_2ヶ月前の在庫'!$W$6:$W$10005,0)),""))),INDEX('商品マスタ'!$E$6:$E$1005,MATCH($C62,'商品マスタ'!$B$6:$B$1005,0))),IFERROR(INDEX('①在庫を貼る'!$E$6:$E$10005,MATCH($C62,'①在庫を貼る'!$W$6:$W$10005,0)),IFERROR(INDEX('月1回_1ヶ月前の在庫'!$E$6:$E$10005,MATCH($C62,'月1回_1ヶ月前の在庫'!$W$6:$W$10005,0)),IFERROR(INDEX('月1回_2ヶ月前の在庫'!$E$6:$E$10005,MATCH($C62,'月1回_2ヶ月前の在庫'!$W$6:$W$10005,0)),"")))))</f>
        <v/>
      </c>
      <c r="G62">
        <f>IF($C62="","",MAX(1,N(IFERROR(IF(INDEX('商品マスタ'!$F$6:$F$1005,MATCH($C62,'商品マスタ'!$B$6:$B$1005,0))="",IF(COUNTIFS('①在庫を貼る'!$V$6:$V$10005,'設定'!$C$4,'①在庫を貼る'!$W$6:$W$10005,$C62)&gt;0,SUMIFS('①在庫を貼る'!$K$6:$K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K$6:$K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K$6:$K$10005,'月1回_2ヶ月前の在庫'!$V$6:$V$10005,'設定'!$C$4,'月1回_2ヶ月前の在庫'!$W$6:$W$10005,$C62)/COUNTIFS('月1回_2ヶ月前の在庫'!$V$6:$V$10005,'設定'!$C$4,'月1回_2ヶ月前の在庫'!$W$6:$W$10005,$C62),0))),INDEX('商品マスタ'!$F$6:$F$1005,MATCH($C62,'商品マスタ'!$B$6:$B$1005,0))),IF(COUNTIFS('①在庫を貼る'!$V$6:$V$10005,'設定'!$C$4,'①在庫を貼る'!$W$6:$W$10005,$C62)&gt;0,SUMIFS('①在庫を貼る'!$K$6:$K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K$6:$K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K$6:$K$10005,'月1回_2ヶ月前の在庫'!$V$6:$V$10005,'設定'!$C$4,'月1回_2ヶ月前の在庫'!$W$6:$W$10005,$C62)/COUNTIFS('月1回_2ヶ月前の在庫'!$V$6:$V$10005,'設定'!$C$4,'月1回_2ヶ月前の在庫'!$W$6:$W$10005,$C62),0)))))))</f>
        <v/>
      </c>
      <c r="H62">
        <f>IF($C62="","",N(IFERROR(IF(INDEX('商品マスタ'!$G$6:$G$1005,MATCH($C62,'商品マスタ'!$B$6:$B$1005,0))="",IF(COUNTIFS('①在庫を貼る'!$V$6:$V$10005,'設定'!$C$4,'①在庫を貼る'!$W$6:$W$10005,$C62)&gt;0,SUMIFS('①在庫を貼る'!$Q$6:$Q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Q$6:$Q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Q$6:$Q$10005,'月1回_2ヶ月前の在庫'!$V$6:$V$10005,'設定'!$C$4,'月1回_2ヶ月前の在庫'!$W$6:$W$10005,$C62)/COUNTIFS('月1回_2ヶ月前の在庫'!$V$6:$V$10005,'設定'!$C$4,'月1回_2ヶ月前の在庫'!$W$6:$W$10005,$C62),0))),INDEX('商品マスタ'!$G$6:$G$1005,MATCH($C62,'商品マスタ'!$B$6:$B$1005,0))),IF(COUNTIFS('①在庫を貼る'!$V$6:$V$10005,'設定'!$C$4,'①在庫を貼る'!$W$6:$W$10005,$C62)&gt;0,SUMIFS('①在庫を貼る'!$Q$6:$Q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Q$6:$Q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Q$6:$Q$10005,'月1回_2ヶ月前の在庫'!$V$6:$V$10005,'設定'!$C$4,'月1回_2ヶ月前の在庫'!$W$6:$W$10005,$C62)/COUNTIFS('月1回_2ヶ月前の在庫'!$V$6:$V$10005,'設定'!$C$4,'月1回_2ヶ月前の在庫'!$W$6:$W$10005,$C62),0))))))</f>
        <v/>
      </c>
      <c r="I62">
        <f>IF($C62="","",IF(COUNTIFS('①在庫を貼る'!$V$6:$V$10005,'設定'!$C$4,'①在庫を貼る'!$W$6:$W$10005,$C62)=0,"",SUMIFS('①在庫を貼る'!$N$6:$N$10005,'①在庫を貼る'!$V$6:$V$10005,'設定'!$C$4,'①在庫を貼る'!$W$6:$W$10005,$C62)))</f>
        <v/>
      </c>
      <c r="J62">
        <f>IF($C62="","",IF('②発注する'!$AD66="","",'②発注する'!$AD66))</f>
        <v/>
      </c>
      <c r="K62" s="90">
        <f>IF($C62="","",IF('②発注する'!$AE66="","",'②発注する'!$AE66))</f>
        <v/>
      </c>
      <c r="L62">
        <f>IF($C62="","",IF(AND(ISNUMBER($J62),ISNUMBER($K62),$K62&gt;='設定'!$C$6),$J62,N($I62)))</f>
        <v/>
      </c>
      <c r="M62">
        <f>IF($C62="","",IFERROR(IF(N(INDEX('商品マスタ'!$J$6:$J$1005,MATCH($C62,'商品マスタ'!$B$6:$B$1005,0)))&gt;0,INDEX('商品マスタ'!$J$6:$J$1005,MATCH($C62,'商品マスタ'!$B$6:$B$1005,0)),""),""))</f>
        <v/>
      </c>
      <c r="N62">
        <f>IF($C62="","",IFERROR(IF(N(INDEX('商品マスタ'!$H$6:$H$1005,MATCH($C62,'商品マスタ'!$B$6:$B$1005,0)))&gt;0,INDEX('商品マスタ'!$H$6:$H$1005,MATCH($C62,'商品マスタ'!$B$6:$B$1005,0)),""),""))</f>
        <v/>
      </c>
      <c r="O62">
        <f>IF($C62="","",IF($N62&lt;&gt;"",$N62*$G62,IF(N(IF(COUNTIFS('①在庫を貼る'!$V$6:$V$10005,'設定'!$C$4,'①在庫を貼る'!$W$6:$W$10005,$C62)&gt;0,SUMIFS('①在庫を貼る'!$O$6:$O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O$6:$O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O$6:$O$10005,'月1回_2ヶ月前の在庫'!$V$6:$V$10005,'設定'!$C$4,'月1回_2ヶ月前の在庫'!$W$6:$W$10005,$C62)/COUNTIFS('月1回_2ヶ月前の在庫'!$V$6:$V$10005,'設定'!$C$4,'月1回_2ヶ月前の在庫'!$W$6:$W$10005,$C62),0))))&gt;0,N(IF(COUNTIFS('①在庫を貼る'!$V$6:$V$10005,'設定'!$C$4,'①在庫を貼る'!$W$6:$W$10005,$C62)&gt;0,SUMIFS('①在庫を貼る'!$O$6:$O$10005,'①在庫を貼る'!$V$6:$V$10005,'設定'!$C$4,'①在庫を貼る'!$W$6:$W$10005,$C62)/COUNTIFS('①在庫を貼る'!$V$6:$V$10005,'設定'!$C$4,'①在庫を貼る'!$W$6:$W$10005,$C62),IF(COUNTIFS('月1回_1ヶ月前の在庫'!$V$6:$V$10005,'設定'!$C$4,'月1回_1ヶ月前の在庫'!$W$6:$W$10005,$C62)&gt;0,SUMIFS('月1回_1ヶ月前の在庫'!$O$6:$O$10005,'月1回_1ヶ月前の在庫'!$V$6:$V$10005,'設定'!$C$4,'月1回_1ヶ月前の在庫'!$W$6:$W$10005,$C62)/COUNTIFS('月1回_1ヶ月前の在庫'!$V$6:$V$10005,'設定'!$C$4,'月1回_1ヶ月前の在庫'!$W$6:$W$10005,$C62),IF(COUNTIFS('月1回_2ヶ月前の在庫'!$V$6:$V$10005,'設定'!$C$4,'月1回_2ヶ月前の在庫'!$W$6:$W$10005,$C62)&gt;0,SUMIFS('月1回_2ヶ月前の在庫'!$O$6:$O$10005,'月1回_2ヶ月前の在庫'!$V$6:$V$10005,'設定'!$C$4,'月1回_2ヶ月前の在庫'!$W$6:$W$10005,$C62)/COUNTIFS('月1回_2ヶ月前の在庫'!$V$6:$V$10005,'設定'!$C$4,'月1回_2ヶ月前の在庫'!$W$6:$W$10005,$C62),0)))),"")))</f>
        <v/>
      </c>
      <c r="P62" s="90">
        <f>IF($C62="","",IF('②発注する'!$I66="","",'②発注する'!$I66))</f>
        <v/>
      </c>
      <c r="Q62">
        <f>IF($C62="","",IF('②発注する'!$J66="","",'②発注する'!$J66))</f>
        <v/>
      </c>
      <c r="R62">
        <f>IF($C62="",0,IF(AND(ISNUMBER($P62),ISNUMBER($Q62)),MAX(0,$Q62)*$G62,0))</f>
        <v/>
      </c>
      <c r="S62" s="90">
        <f>IF($C62="","",IF('②発注する'!$M66="","",'②発注する'!$M66))</f>
        <v/>
      </c>
      <c r="T62">
        <f>IF($C62="","",IF('②発注する'!$N66="","",'②発注する'!$N66))</f>
        <v/>
      </c>
      <c r="U62">
        <f>IF($C62="",0,IF(AND(ISNUMBER($S62),ISNUMBER($T62)),MAX(0,$T62)*$G62,0))</f>
        <v/>
      </c>
      <c r="V62">
        <f>IF($C62="",0,IF($M62="",0,MAX(0,$M62)*MAX(0,V$4)/100))</f>
        <v/>
      </c>
      <c r="W62">
        <f>IF($C62="",0,IF($M62="",0,MAX(0,$M62)*MAX(0,W$4)/100))</f>
        <v/>
      </c>
      <c r="X62">
        <f>IF($C62="",0,IF($M62="",0,MAX(0,$M62)*MAX(0,X$4)/100))</f>
        <v/>
      </c>
      <c r="Y62">
        <f>IF($C62="",0,IF($M62="",0,MAX(0,$M62)*MAX(0,Y$4)/100))</f>
        <v/>
      </c>
      <c r="Z62">
        <f>IF($C62="",0,IF($M62="",0,MAX(0,$M62)*MAX(0,Z$4)/100))</f>
        <v/>
      </c>
      <c r="AA62">
        <f>IF($C62="",0,IF($M62="",0,MAX(0,$M62)*MAX(0,AA$4)/100))</f>
        <v/>
      </c>
      <c r="AB62">
        <f>IF($C62="",0,IF($M62="",0,MAX(0,$M62)*MAX(0,AB$4)/100))</f>
        <v/>
      </c>
      <c r="AC62">
        <f>IF($C62="",0,IF($M62="",0,MAX(0,$M62)*MAX(0,AC$4)/100))</f>
        <v/>
      </c>
      <c r="AD62">
        <f>IF($C62="",0,IF($M62="",0,MAX(0,$M62)*MAX(0,AD$4)/100))</f>
        <v/>
      </c>
      <c r="AE62">
        <f>IF($C62="",0,IF($M62="",0,MAX(0,$M62)*MAX(0,AE$4)/100))</f>
        <v/>
      </c>
      <c r="AF62">
        <f>IF($C62="",0,IF($M62="",0,MAX(0,$M62)*MAX(0,AF$4)/100))</f>
        <v/>
      </c>
      <c r="AG62">
        <f>IF($C62="",0,IF($M62="",0,MAX(0,$M62)*MAX(0,AG$4)/100))</f>
        <v/>
      </c>
      <c r="AH62">
        <f>IF($C62="",0,IF($M62="",0,MAX(0,$M62)*MAX(0,AH$4)/100))</f>
        <v/>
      </c>
      <c r="AI62">
        <f>IF($C62="",0,IF($M62="",0,MAX(0,$M62)*MAX(0,AI$4)/100))</f>
        <v/>
      </c>
      <c r="AJ62">
        <f>IF($C62="",0,MAX(0,MAX(0,N($L62))-$V62))</f>
        <v/>
      </c>
      <c r="AK62">
        <f>IF($C62="",0,MAX(0,$AJ62-$W62))</f>
        <v/>
      </c>
      <c r="AL62">
        <f>IF($C62="",0,MAX(0,$AK62-$X62))</f>
        <v/>
      </c>
      <c r="AM62">
        <f>IF($C62="",0,MAX(0,$AL62-$Y62))</f>
        <v/>
      </c>
      <c r="AN62">
        <f>IF($C62="",0,MAX(0,$AM62-$Z62))</f>
        <v/>
      </c>
      <c r="AO62">
        <f>IF($C62="",0,MAX(0,$AN62-$AA62))</f>
        <v/>
      </c>
      <c r="AP62">
        <f>IF($C62="",0,MAX(0,$AO62-$AB62))</f>
        <v/>
      </c>
      <c r="AQ62">
        <f>IF($C62="",0,MAX(0,$AP62-$AC62))</f>
        <v/>
      </c>
      <c r="AR62">
        <f>IF($C62="",0,MAX(0,$AQ62-$AD62))</f>
        <v/>
      </c>
      <c r="AS62">
        <f>IF($C62="",0,MAX(0,$AR62-$AE62))</f>
        <v/>
      </c>
      <c r="AT62">
        <f>IF($C62="",0,MAX(0,$AS62-$AF62))</f>
        <v/>
      </c>
      <c r="AU62">
        <f>IF($C62="",0,MAX(0,$AT62-$AG62))</f>
        <v/>
      </c>
      <c r="AV62">
        <f>IF($C62="",0,MAX(0,$AU62-$AH62))</f>
        <v/>
      </c>
      <c r="AW62">
        <f>IF($C62="",0,MAX(0,$AV62-$AI62))</f>
        <v/>
      </c>
      <c r="AX62">
        <f>IF($C62="",0,MAX(0,MAX(0,N($L62))+IF($P62=V$3,$R62,0)+IF($S62=V$3,$U62,0)-$V62))</f>
        <v/>
      </c>
      <c r="AY62">
        <f>IF($C62="",0,MAX(0,$AX62+IF($P62=W$3,$R62,0)+IF($S62=W$3,$U62,0)-$W62))</f>
        <v/>
      </c>
      <c r="AZ62">
        <f>IF($C62="",0,MAX(0,$AY62+IF($P62=X$3,$R62,0)+IF($S62=X$3,$U62,0)-$X62))</f>
        <v/>
      </c>
      <c r="BA62">
        <f>IF($C62="",0,MAX(0,$AZ62+IF($P62=Y$3,$R62,0)+IF($S62=Y$3,$U62,0)-$Y62))</f>
        <v/>
      </c>
      <c r="BB62">
        <f>IF($C62="",0,MAX(0,$BA62+IF($P62=Z$3,$R62,0)+IF($S62=Z$3,$U62,0)-$Z62))</f>
        <v/>
      </c>
      <c r="BC62">
        <f>IF($C62="",0,MAX(0,$BB62+IF($P62=AA$3,$R62,0)+IF($S62=AA$3,$U62,0)-$AA62))</f>
        <v/>
      </c>
      <c r="BD62">
        <f>IF($C62="",0,MAX(0,$BC62+IF($P62=AB$3,$R62,0)+IF($S62=AB$3,$U62,0)-$AB62))</f>
        <v/>
      </c>
      <c r="BE62">
        <f>IF($C62="",0,MAX(0,$BD62+IF($P62=AC$3,$R62,0)+IF($S62=AC$3,$U62,0)-$AC62))</f>
        <v/>
      </c>
      <c r="BF62">
        <f>IF($C62="",0,MAX(0,$BE62+IF($P62=AD$3,$R62,0)+IF($S62=AD$3,$U62,0)-$AD62))</f>
        <v/>
      </c>
      <c r="BG62">
        <f>IF($C62="",0,MAX(0,$BF62+IF($P62=AE$3,$R62,0)+IF($S62=AE$3,$U62,0)-$AE62))</f>
        <v/>
      </c>
      <c r="BH62">
        <f>IF($C62="",0,MAX(0,$BG62+IF($P62=AF$3,$R62,0)+IF($S62=AF$3,$U62,0)-$AF62))</f>
        <v/>
      </c>
      <c r="BI62">
        <f>IF($C62="",0,MAX(0,$BH62+IF($P62=AG$3,$R62,0)+IF($S62=AG$3,$U62,0)-$AG62))</f>
        <v/>
      </c>
      <c r="BJ62">
        <f>IF($C62="",0,MAX(0,$BI62+IF($P62=AH$3,$R62,0)+IF($S62=AH$3,$U62,0)-$AH62))</f>
        <v/>
      </c>
      <c r="BK62">
        <f>IF($C62="",0,MAX(0,$BJ62+IF($P62=AI$3,$R62,0)+IF($S62=AI$3,$U62,0)-$AI62))</f>
        <v/>
      </c>
      <c r="BL62">
        <f>IF($C62="",99,IF(AND($AX62&lt;1,V$3&gt;=MAX(N($P62),N($S62))),0,99))</f>
        <v/>
      </c>
      <c r="BM62">
        <f>IF($C62="",99,IF(AND($AY62&lt;1,W$3&gt;=MAX(N($P62),N($S62))),1,99))</f>
        <v/>
      </c>
      <c r="BN62">
        <f>IF($C62="",99,IF(AND($AZ62&lt;1,X$3&gt;=MAX(N($P62),N($S62))),2,99))</f>
        <v/>
      </c>
      <c r="BO62">
        <f>IF($C62="",99,IF(AND($BA62&lt;1,Y$3&gt;=MAX(N($P62),N($S62))),3,99))</f>
        <v/>
      </c>
      <c r="BP62">
        <f>IF($C62="",99,IF(AND($BB62&lt;1,Z$3&gt;=MAX(N($P62),N($S62))),4,99))</f>
        <v/>
      </c>
      <c r="BQ62">
        <f>IF($C62="",99,IF(AND($BC62&lt;1,AA$3&gt;=MAX(N($P62),N($S62))),5,99))</f>
        <v/>
      </c>
      <c r="BR62">
        <f>IF($C62="",99,IF(AND($BD62&lt;1,AB$3&gt;=MAX(N($P62),N($S62))),6,99))</f>
        <v/>
      </c>
      <c r="BS62">
        <f>IF($C62="",99,IF(AND($BE62&lt;1,AC$3&gt;=MAX(N($P62),N($S62))),7,99))</f>
        <v/>
      </c>
      <c r="BT62">
        <f>IF($C62="",99,IF(AND($BF62&lt;1,AD$3&gt;=MAX(N($P62),N($S62))),8,99))</f>
        <v/>
      </c>
      <c r="BU62">
        <f>IF($C62="",99,IF(AND($BG62&lt;1,AE$3&gt;=MAX(N($P62),N($S62))),9,99))</f>
        <v/>
      </c>
      <c r="BV62">
        <f>IF($C62="",99,IF(AND($BH62&lt;1,AF$3&gt;=MAX(N($P62),N($S62))),10,99))</f>
        <v/>
      </c>
      <c r="BW62">
        <f>IF($C62="",99,IF(AND($BI62&lt;1,AG$3&gt;=MAX(N($P62),N($S62))),11,99))</f>
        <v/>
      </c>
      <c r="BX62">
        <f>IF($C62="",99,IF(AND($BJ62&lt;1,AH$3&gt;=MAX(N($P62),N($S62))),12,99))</f>
        <v/>
      </c>
      <c r="BY62">
        <f>IF($C62="",99,IF(AND($BK62&lt;1,AI$3&gt;=MAX(N($P62),N($S62))),13,99))</f>
        <v/>
      </c>
      <c r="BZ62">
        <f>IF(OR($C62="",$M62=""),"",COUNTIF($AJ62:$AW62,"&gt;=1"))</f>
        <v/>
      </c>
      <c r="CA62" s="90">
        <f>IF($BZ62="","",IF($BZ62&gt;=14,"",'設定'!$C$6+$BZ62))</f>
        <v/>
      </c>
      <c r="CB62">
        <f>IF(OR($C62="",$M62=""),"",MIN($BL62:$BY62))</f>
        <v/>
      </c>
      <c r="CC62" s="90">
        <f>IF($CB62="","",IF($CB62&gt;=99,"",'設定'!$C$6+$CB62))</f>
        <v/>
      </c>
      <c r="CD62">
        <f>IF(OR($C62="",$M62=""),"",AVERAGE($V62:$AI62))</f>
        <v/>
      </c>
      <c r="CE62">
        <f>IF($C62="","",IFERROR(IF(MATCH(IF(ISNUMBER($P62),$P62,'設定'!$C$6+N('設定'!$C$7)),$V$3:$AI$3,0)=1,MAX(0,N($L62)),INDEX($AJ62:$AW62,MATCH(IF(ISNUMBER($P62),$P62,'設定'!$C$6+N('設定'!$C$7)),$V$3:$AI$3,0)-1)),""))</f>
        <v/>
      </c>
      <c r="CF62">
        <f>IF(OR($C62="",$O62="",$CE62=""),"",IF($O62-$CE62&lt;=0,0,ROUNDUP(($O62-$CE62)/$G62,0)))</f>
        <v/>
      </c>
      <c r="CG62">
        <f>IF(OR($C62="",$CF62="",NOT(ISNUMBER($Q62))),0,MAX(0,$Q62-$CF62))</f>
        <v/>
      </c>
      <c r="CH62">
        <f>IF(OR($C62="",$O62="",$U62=0),0,IFERROR(ROUNDUP(MAX(0,IF(MATCH($S62,$V$3:$AI$3,0)=1,MAX(0,N($L62)),INDEX($AX62:$BK62,MATCH($S62,$V$3:$AI$3,0)-1))+$U62-$O62)/$G62,0),0))</f>
        <v/>
      </c>
      <c r="CI62">
        <f>IF($C62="","",IF(AND($P62="",$Q62=""),"",IF($P62="","⚠ 入庫日を ▼ から選んでください",IF(NOT(ISNUMBER($P62)),"⚠ 入庫日は ▼ から選んでください",IF($P62&lt;N('設定'!$C$6),"⚠ 入庫日が過去です（もう在庫に入っています）→ 消してください",IF($P62&gt;N('設定'!$C$6)+13,"⚠ 入庫日が14日より先です",IF(N($Q62)&lt;=0,"⚠ 入庫数を入れてください",IF($CG62&gt;0,"⚠ 目安より "&amp;$CG62&amp;" 多い（定数を超える）→ 減らす",""))))))))</f>
        <v/>
      </c>
      <c r="CJ62">
        <f>IF($C62="","",IF(AND($S62="",$T62=""),"",IF($S62="","⚠ 2便目：入庫日を ▼ から選んでください",IF(NOT(ISNUMBER($S62)),"⚠ 2便目：入庫日は ▼ から選んでください",IF($S62&lt;N('設定'!$C$6),"⚠ 2便目：入庫日が過去です（もう在庫に入っています）→ 消してください",IF($S62&gt;N('設定'!$C$6)+13,"⚠ 2便目：入庫日が14日より先です",IF(N($T62)&lt;=0,"⚠ 2便目：入庫数を入れてください",IF($CH62&gt;0,"⚠ 2便目：定数を "&amp;$CH62&amp;" ケース超える → 減らす",""))))))))</f>
        <v/>
      </c>
      <c r="CK62">
        <f>IF(AND($CI62="",N($Q62)&gt;0,ISNUMBER($P62)),1,0)</f>
        <v/>
      </c>
      <c r="CL62">
        <f>IF(AND($CJ62="",N($T62)&gt;0,ISNUMBER($S62)),1,0)</f>
        <v/>
      </c>
      <c r="CM62">
        <f>IF(OR($CK62=1,$CL62=1),1,0)</f>
        <v/>
      </c>
      <c r="CN62">
        <f>IF($C62="",0,($CK62*$R62+$CL62*$U62)*N($H62))</f>
        <v/>
      </c>
      <c r="CO62">
        <f>IF($C62="","",IF($CC62="","入庫後は 14日以上もつ",IF($CC62-N('設定'!$C$7)&lt;='設定'!$C$6,"入庫後も "&amp;TEXT($CC62,"m/d")&amp;"("&amp;CHOOSE(WEEKDAY($CC62),"日","月","火","水","木","金","土")&amp;")"&amp;" に切れる　もう1便を至急発注","入庫後も "&amp;TEXT($CC62,"m/d")&amp;"("&amp;CHOOSE(WEEKDAY($CC62),"日","月","火","水","木","金","土")&amp;")"&amp;" に切れる　"&amp;TEXT($CC62-N('設定'!$C$7),"m/d")&amp;"("&amp;CHOOSE(WEEKDAY($CC62-N('設定'!$C$7)),"日","月","火","水","木","金","土")&amp;")"&amp;" までに次を発注")))</f>
        <v/>
      </c>
      <c r="CP62">
        <f>IF($C62="","",IF('設定'!$C$6="","？ ①在庫を貼る に今日のCSVが貼られていない",IF($CS62=1,"－ 今日のCSVに無い（終売？）",IF($L62&lt;0,"● 在庫がマイナス　数えて「数えた在庫」に入れる",IF($L62=0,"● 在庫なし　至急発注",IF($M62="","？ 減り数が未設定（商品マスタ）",IF($B$3=0,"？ 動員が未入力（動員を入れる）",IF($CA62="","○ 14日以上もつ",IF($BZ62&lt;N('設定'!$C$7),"● "&amp;TEXT($CA62,"m/d")&amp;"("&amp;CHOOSE(WEEKDAY($CA62),"日","月","火","水","木","金","土")&amp;")"&amp;" に切れる　至急発注",IF($BZ62=N('設定'!$C$7),"● "&amp;TEXT($CA62,"m/d")&amp;"("&amp;CHOOSE(WEEKDAY($CA62),"日","月","火","水","木","金","土")&amp;")"&amp;" に切れる　今日発注","△ "&amp;TEXT($CA62,"m/d")&amp;"("&amp;CHOOSE(WEEKDAY($CA62),"日","月","火","水","木","金","土")&amp;")"&amp;" に切れる　"&amp;TEXT($CA62-N('設定'!$C$7),"m/d")&amp;"("&amp;CHOOSE(WEEKDAY($CA62-N('設定'!$C$7)),"日","月","火","水","木","金","土")&amp;")"&amp;" までに発注"))))))))))</f>
        <v/>
      </c>
      <c r="CQ62">
        <f>IF($C62="","",IF(AND($P62="",$Q62="",$S62="",$T62=""),"",IF(AND($P62="",$Q62=""),"⚠ 先に1便目（左の入庫日・入庫数）に入れてください",IF($CI62&lt;&gt;"",$CI62,IF($CJ62&lt;&gt;"",$CJ62,IF($M62="","？ 減り数が未設定（発注書には載ります）",IF($B$3=0,"？ 動員が未入力（発注書には載ります）",IF(AND($CA62&lt;&gt;"",$P62&gt;$CA62),IF($P62&gt;'設定'!$C$6+N('設定'!$C$7),"● "&amp;TEXT($P62,"m/d")&amp;"("&amp;CHOOSE(WEEKDAY($P62),"日","月","火","水","木","金","土")&amp;")"&amp;" の入庫では間に合わない（"&amp;TEXT($CA62,"m/d")&amp;"("&amp;CHOOSE(WEEKDAY($CA62),"日","月","火","水","木","金","土")&amp;")"&amp;" に切れる）　入庫日を早める","△ 欠品 "&amp;TEXT($CA62,"m/d")&amp;"("&amp;CHOOSE(WEEKDAY($CA62),"日","月","火","水","木","金","土")&amp;")"&amp;"〜"&amp;TEXT($P62-1,"m/d")&amp;"("&amp;CHOOSE(WEEKDAY($P62-1),"日","月","火","水","木","金","土")&amp;")"&amp;"　"&amp;$CO62),IF($CC62="","○ "&amp;TEXT($P62,"m/d")&amp;"("&amp;CHOOSE(WEEKDAY($P62),"日","月","火","水","木","金","土")&amp;")"&amp;" 入庫で 14日以上もつ",IF($CC62-N('設定'!$C$7)&lt;='設定'!$C$6,"● 入庫しても "&amp;TEXT($CC62,"m/d")&amp;"("&amp;CHOOSE(WEEKDAY($CC62),"日","月","火","水","木","金","土")&amp;")"&amp;" に切れる　もう1便を至急発注（2便目に入れる）","△ 入庫しても "&amp;TEXT($CC62,"m/d")&amp;"("&amp;CHOOSE(WEEKDAY($CC62),"日","月","火","水","木","金","土")&amp;")"&amp;" に切れる　"&amp;TEXT($CC62-N('設定'!$C$7),"m/d")&amp;"("&amp;CHOOSE(WEEKDAY($CC62-N('設定'!$C$7)),"日","月","火","水","木","金","土")&amp;")"&amp;" までに次を発注（2便目に入れる）"))))))))))</f>
        <v/>
      </c>
      <c r="CR62">
        <f>IF($C62="","",IF($G62&gt;1,"ｹｰｽ("&amp;$G62&amp;"入)","個"))</f>
        <v/>
      </c>
      <c r="CS62">
        <f>IF($C62="",0,IF(COUNTIFS('①在庫を貼る'!$V$6:$V$10005,'設定'!$C$4,'①在庫を貼る'!$W$6:$W$10005,$C62)=0,1,0))</f>
        <v/>
      </c>
      <c r="CT62">
        <f>IF(AND($CK62=1,OR('③発注書'!$C$4="すべて",'③発注書'!$C$4="",$F62='③発注書'!$C$4)),N($CT61)+1,N($CT61))</f>
        <v/>
      </c>
      <c r="CU62">
        <f>IF(AND($CL62=1,OR('③発注書'!$C$4="すべて",'③発注書'!$C$4="",$F62='③発注書'!$C$4)),N($CU61)+1,N($CU61))</f>
        <v/>
      </c>
      <c r="CV62">
        <f>IF($C62="",0,IF(COUNTIFS('①在庫を貼る'!$V$6:$V$10005,'設定'!$C$4,'①在庫を貼る'!$W$6:$W$10005,$C62)&gt;0,1,0))</f>
        <v/>
      </c>
      <c r="CW62">
        <f>IF($C62="",0,IF(COUNTIFS('月1回_1ヶ月前の在庫'!$V$6:$V$10005,'設定'!$C$4,'月1回_1ヶ月前の在庫'!$W$6:$W$10005,$C62)&gt;0,1,0))</f>
        <v/>
      </c>
      <c r="CX62">
        <f>IF($C62="",0,IF(COUNTIFS('月1回_2ヶ月前の在庫'!$V$6:$V$10005,'設定'!$C$4,'月1回_2ヶ月前の在庫'!$W$6:$W$10005,$C62)&gt;0,1,0))</f>
        <v/>
      </c>
      <c r="CY62">
        <f>IF(OR($C62="",'設定'!$C$12=""),"",IF('設定'!$C$13="",IF(AND($CV62=1,$CW62=0),"新商品（今月から）",IF(AND($CV62=0,$CW62=1),"終売（今月から）","")),IF(AND($CV62=1,$CW62=0,$CX62=0),"新商品（今月から）",IF(AND($CV62=1,$CW62=1,$CX62=0),"新商品（先月から）",IF(AND($CV62=0,$CW62=1,$CX62=1),"終売（今月から）",IF(AND($CV62=0,$CW62=0,$CX62=1),"終売（先月から）",IF(AND($CV62=1,$CW62=0,$CX62=1),"復活（先月は無し）","")))))))</f>
        <v/>
      </c>
    </row>
    <row r="63">
      <c r="B63">
        <f>IF(58&lt;='設定'!$C$11,58,"")</f>
        <v/>
      </c>
      <c r="C63">
        <f>IF($B63="","",IF($B63&lt;='設定'!$C$20,INDEX('商品マスタ'!$B$6:$B$1005,MATCH($B63,'商品マスタ'!$M$6:$M$1005,0)),IF($B63&lt;='設定'!$C$20+'設定'!$C$17,INDEX('①在庫を貼る'!$W$6:$W$10005,MATCH($B63-'設定'!$C$20,'①在庫を貼る'!$U$6:$U$10005,0)),IF($B63&lt;='設定'!$C$20+'設定'!$C$17+'設定'!$C$18,INDEX('月1回_1ヶ月前の在庫'!$W$6:$W$10005,MATCH($B63-'設定'!$C$20-'設定'!$C$17,'月1回_1ヶ月前の在庫'!$U$6:$U$10005,0)),INDEX('月1回_2ヶ月前の在庫'!$W$6:$W$10005,MATCH($B63-'設定'!$C$20-'設定'!$C$17-'設定'!$C$18,'月1回_2ヶ月前の在庫'!$U$6:$U$10005,0))))))</f>
        <v/>
      </c>
      <c r="D63">
        <f>IF($C63="","",IFERROR(IF(INDEX('商品マスタ'!$C$6:$C$1005,MATCH($C63,'商品マスタ'!$B$6:$B$1005,0))="",IFERROR(INDEX('①在庫を貼る'!$J$6:$J$10005,MATCH($C63,'①在庫を貼る'!$W$6:$W$10005,0)),IFERROR(INDEX('月1回_1ヶ月前の在庫'!$J$6:$J$10005,MATCH($C63,'月1回_1ヶ月前の在庫'!$W$6:$W$10005,0)),IFERROR(INDEX('月1回_2ヶ月前の在庫'!$J$6:$J$10005,MATCH($C63,'月1回_2ヶ月前の在庫'!$W$6:$W$10005,0)),""))),INDEX('商品マスタ'!$C$6:$C$1005,MATCH($C63,'商品マスタ'!$B$6:$B$1005,0))),IFERROR(INDEX('①在庫を貼る'!$J$6:$J$10005,MATCH($C63,'①在庫を貼る'!$W$6:$W$10005,0)),IFERROR(INDEX('月1回_1ヶ月前の在庫'!$J$6:$J$10005,MATCH($C63,'月1回_1ヶ月前の在庫'!$W$6:$W$10005,0)),IFERROR(INDEX('月1回_2ヶ月前の在庫'!$J$6:$J$10005,MATCH($C63,'月1回_2ヶ月前の在庫'!$W$6:$W$10005,0)),"")))))</f>
        <v/>
      </c>
      <c r="E63">
        <f>IF($C63="","",IFERROR(IF(INDEX('商品マスタ'!$D$6:$D$1005,MATCH($C63,'商品マスタ'!$B$6:$B$1005,0))="",IFERROR(INDEX('①在庫を貼る'!$H$6:$H$10005,MATCH($C63,'①在庫を貼る'!$W$6:$W$10005,0)),IFERROR(INDEX('月1回_1ヶ月前の在庫'!$H$6:$H$10005,MATCH($C63,'月1回_1ヶ月前の在庫'!$W$6:$W$10005,0)),IFERROR(INDEX('月1回_2ヶ月前の在庫'!$H$6:$H$10005,MATCH($C63,'月1回_2ヶ月前の在庫'!$W$6:$W$10005,0)),""))),INDEX('商品マスタ'!$D$6:$D$1005,MATCH($C63,'商品マスタ'!$B$6:$B$1005,0))),IFERROR(INDEX('①在庫を貼る'!$H$6:$H$10005,MATCH($C63,'①在庫を貼る'!$W$6:$W$10005,0)),IFERROR(INDEX('月1回_1ヶ月前の在庫'!$H$6:$H$10005,MATCH($C63,'月1回_1ヶ月前の在庫'!$W$6:$W$10005,0)),IFERROR(INDEX('月1回_2ヶ月前の在庫'!$H$6:$H$10005,MATCH($C63,'月1回_2ヶ月前の在庫'!$W$6:$W$10005,0)),"")))))</f>
        <v/>
      </c>
      <c r="F63">
        <f>IF($C63="","",IFERROR(IF(INDEX('商品マスタ'!$E$6:$E$1005,MATCH($C63,'商品マスタ'!$B$6:$B$1005,0))="",IFERROR(INDEX('①在庫を貼る'!$E$6:$E$10005,MATCH($C63,'①在庫を貼る'!$W$6:$W$10005,0)),IFERROR(INDEX('月1回_1ヶ月前の在庫'!$E$6:$E$10005,MATCH($C63,'月1回_1ヶ月前の在庫'!$W$6:$W$10005,0)),IFERROR(INDEX('月1回_2ヶ月前の在庫'!$E$6:$E$10005,MATCH($C63,'月1回_2ヶ月前の在庫'!$W$6:$W$10005,0)),""))),INDEX('商品マスタ'!$E$6:$E$1005,MATCH($C63,'商品マスタ'!$B$6:$B$1005,0))),IFERROR(INDEX('①在庫を貼る'!$E$6:$E$10005,MATCH($C63,'①在庫を貼る'!$W$6:$W$10005,0)),IFERROR(INDEX('月1回_1ヶ月前の在庫'!$E$6:$E$10005,MATCH($C63,'月1回_1ヶ月前の在庫'!$W$6:$W$10005,0)),IFERROR(INDEX('月1回_2ヶ月前の在庫'!$E$6:$E$10005,MATCH($C63,'月1回_2ヶ月前の在庫'!$W$6:$W$10005,0)),"")))))</f>
        <v/>
      </c>
      <c r="G63">
        <f>IF($C63="","",MAX(1,N(IFERROR(IF(INDEX('商品マスタ'!$F$6:$F$1005,MATCH($C63,'商品マスタ'!$B$6:$B$1005,0))="",IF(COUNTIFS('①在庫を貼る'!$V$6:$V$10005,'設定'!$C$4,'①在庫を貼る'!$W$6:$W$10005,$C63)&gt;0,SUMIFS('①在庫を貼る'!$K$6:$K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K$6:$K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K$6:$K$10005,'月1回_2ヶ月前の在庫'!$V$6:$V$10005,'設定'!$C$4,'月1回_2ヶ月前の在庫'!$W$6:$W$10005,$C63)/COUNTIFS('月1回_2ヶ月前の在庫'!$V$6:$V$10005,'設定'!$C$4,'月1回_2ヶ月前の在庫'!$W$6:$W$10005,$C63),0))),INDEX('商品マスタ'!$F$6:$F$1005,MATCH($C63,'商品マスタ'!$B$6:$B$1005,0))),IF(COUNTIFS('①在庫を貼る'!$V$6:$V$10005,'設定'!$C$4,'①在庫を貼る'!$W$6:$W$10005,$C63)&gt;0,SUMIFS('①在庫を貼る'!$K$6:$K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K$6:$K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K$6:$K$10005,'月1回_2ヶ月前の在庫'!$V$6:$V$10005,'設定'!$C$4,'月1回_2ヶ月前の在庫'!$W$6:$W$10005,$C63)/COUNTIFS('月1回_2ヶ月前の在庫'!$V$6:$V$10005,'設定'!$C$4,'月1回_2ヶ月前の在庫'!$W$6:$W$10005,$C63),0)))))))</f>
        <v/>
      </c>
      <c r="H63">
        <f>IF($C63="","",N(IFERROR(IF(INDEX('商品マスタ'!$G$6:$G$1005,MATCH($C63,'商品マスタ'!$B$6:$B$1005,0))="",IF(COUNTIFS('①在庫を貼る'!$V$6:$V$10005,'設定'!$C$4,'①在庫を貼る'!$W$6:$W$10005,$C63)&gt;0,SUMIFS('①在庫を貼る'!$Q$6:$Q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Q$6:$Q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Q$6:$Q$10005,'月1回_2ヶ月前の在庫'!$V$6:$V$10005,'設定'!$C$4,'月1回_2ヶ月前の在庫'!$W$6:$W$10005,$C63)/COUNTIFS('月1回_2ヶ月前の在庫'!$V$6:$V$10005,'設定'!$C$4,'月1回_2ヶ月前の在庫'!$W$6:$W$10005,$C63),0))),INDEX('商品マスタ'!$G$6:$G$1005,MATCH($C63,'商品マスタ'!$B$6:$B$1005,0))),IF(COUNTIFS('①在庫を貼る'!$V$6:$V$10005,'設定'!$C$4,'①在庫を貼る'!$W$6:$W$10005,$C63)&gt;0,SUMIFS('①在庫を貼る'!$Q$6:$Q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Q$6:$Q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Q$6:$Q$10005,'月1回_2ヶ月前の在庫'!$V$6:$V$10005,'設定'!$C$4,'月1回_2ヶ月前の在庫'!$W$6:$W$10005,$C63)/COUNTIFS('月1回_2ヶ月前の在庫'!$V$6:$V$10005,'設定'!$C$4,'月1回_2ヶ月前の在庫'!$W$6:$W$10005,$C63),0))))))</f>
        <v/>
      </c>
      <c r="I63">
        <f>IF($C63="","",IF(COUNTIFS('①在庫を貼る'!$V$6:$V$10005,'設定'!$C$4,'①在庫を貼る'!$W$6:$W$10005,$C63)=0,"",SUMIFS('①在庫を貼る'!$N$6:$N$10005,'①在庫を貼る'!$V$6:$V$10005,'設定'!$C$4,'①在庫を貼る'!$W$6:$W$10005,$C63)))</f>
        <v/>
      </c>
      <c r="J63">
        <f>IF($C63="","",IF('②発注する'!$AD67="","",'②発注する'!$AD67))</f>
        <v/>
      </c>
      <c r="K63" s="90">
        <f>IF($C63="","",IF('②発注する'!$AE67="","",'②発注する'!$AE67))</f>
        <v/>
      </c>
      <c r="L63">
        <f>IF($C63="","",IF(AND(ISNUMBER($J63),ISNUMBER($K63),$K63&gt;='設定'!$C$6),$J63,N($I63)))</f>
        <v/>
      </c>
      <c r="M63">
        <f>IF($C63="","",IFERROR(IF(N(INDEX('商品マスタ'!$J$6:$J$1005,MATCH($C63,'商品マスタ'!$B$6:$B$1005,0)))&gt;0,INDEX('商品マスタ'!$J$6:$J$1005,MATCH($C63,'商品マスタ'!$B$6:$B$1005,0)),""),""))</f>
        <v/>
      </c>
      <c r="N63">
        <f>IF($C63="","",IFERROR(IF(N(INDEX('商品マスタ'!$H$6:$H$1005,MATCH($C63,'商品マスタ'!$B$6:$B$1005,0)))&gt;0,INDEX('商品マスタ'!$H$6:$H$1005,MATCH($C63,'商品マスタ'!$B$6:$B$1005,0)),""),""))</f>
        <v/>
      </c>
      <c r="O63">
        <f>IF($C63="","",IF($N63&lt;&gt;"",$N63*$G63,IF(N(IF(COUNTIFS('①在庫を貼る'!$V$6:$V$10005,'設定'!$C$4,'①在庫を貼る'!$W$6:$W$10005,$C63)&gt;0,SUMIFS('①在庫を貼る'!$O$6:$O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O$6:$O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O$6:$O$10005,'月1回_2ヶ月前の在庫'!$V$6:$V$10005,'設定'!$C$4,'月1回_2ヶ月前の在庫'!$W$6:$W$10005,$C63)/COUNTIFS('月1回_2ヶ月前の在庫'!$V$6:$V$10005,'設定'!$C$4,'月1回_2ヶ月前の在庫'!$W$6:$W$10005,$C63),0))))&gt;0,N(IF(COUNTIFS('①在庫を貼る'!$V$6:$V$10005,'設定'!$C$4,'①在庫を貼る'!$W$6:$W$10005,$C63)&gt;0,SUMIFS('①在庫を貼る'!$O$6:$O$10005,'①在庫を貼る'!$V$6:$V$10005,'設定'!$C$4,'①在庫を貼る'!$W$6:$W$10005,$C63)/COUNTIFS('①在庫を貼る'!$V$6:$V$10005,'設定'!$C$4,'①在庫を貼る'!$W$6:$W$10005,$C63),IF(COUNTIFS('月1回_1ヶ月前の在庫'!$V$6:$V$10005,'設定'!$C$4,'月1回_1ヶ月前の在庫'!$W$6:$W$10005,$C63)&gt;0,SUMIFS('月1回_1ヶ月前の在庫'!$O$6:$O$10005,'月1回_1ヶ月前の在庫'!$V$6:$V$10005,'設定'!$C$4,'月1回_1ヶ月前の在庫'!$W$6:$W$10005,$C63)/COUNTIFS('月1回_1ヶ月前の在庫'!$V$6:$V$10005,'設定'!$C$4,'月1回_1ヶ月前の在庫'!$W$6:$W$10005,$C63),IF(COUNTIFS('月1回_2ヶ月前の在庫'!$V$6:$V$10005,'設定'!$C$4,'月1回_2ヶ月前の在庫'!$W$6:$W$10005,$C63)&gt;0,SUMIFS('月1回_2ヶ月前の在庫'!$O$6:$O$10005,'月1回_2ヶ月前の在庫'!$V$6:$V$10005,'設定'!$C$4,'月1回_2ヶ月前の在庫'!$W$6:$W$10005,$C63)/COUNTIFS('月1回_2ヶ月前の在庫'!$V$6:$V$10005,'設定'!$C$4,'月1回_2ヶ月前の在庫'!$W$6:$W$10005,$C63),0)))),"")))</f>
        <v/>
      </c>
      <c r="P63" s="90">
        <f>IF($C63="","",IF('②発注する'!$I67="","",'②発注する'!$I67))</f>
        <v/>
      </c>
      <c r="Q63">
        <f>IF($C63="","",IF('②発注する'!$J67="","",'②発注する'!$J67))</f>
        <v/>
      </c>
      <c r="R63">
        <f>IF($C63="",0,IF(AND(ISNUMBER($P63),ISNUMBER($Q63)),MAX(0,$Q63)*$G63,0))</f>
        <v/>
      </c>
      <c r="S63" s="90">
        <f>IF($C63="","",IF('②発注する'!$M67="","",'②発注する'!$M67))</f>
        <v/>
      </c>
      <c r="T63">
        <f>IF($C63="","",IF('②発注する'!$N67="","",'②発注する'!$N67))</f>
        <v/>
      </c>
      <c r="U63">
        <f>IF($C63="",0,IF(AND(ISNUMBER($S63),ISNUMBER($T63)),MAX(0,$T63)*$G63,0))</f>
        <v/>
      </c>
      <c r="V63">
        <f>IF($C63="",0,IF($M63="",0,MAX(0,$M63)*MAX(0,V$4)/100))</f>
        <v/>
      </c>
      <c r="W63">
        <f>IF($C63="",0,IF($M63="",0,MAX(0,$M63)*MAX(0,W$4)/100))</f>
        <v/>
      </c>
      <c r="X63">
        <f>IF($C63="",0,IF($M63="",0,MAX(0,$M63)*MAX(0,X$4)/100))</f>
        <v/>
      </c>
      <c r="Y63">
        <f>IF($C63="",0,IF($M63="",0,MAX(0,$M63)*MAX(0,Y$4)/100))</f>
        <v/>
      </c>
      <c r="Z63">
        <f>IF($C63="",0,IF($M63="",0,MAX(0,$M63)*MAX(0,Z$4)/100))</f>
        <v/>
      </c>
      <c r="AA63">
        <f>IF($C63="",0,IF($M63="",0,MAX(0,$M63)*MAX(0,AA$4)/100))</f>
        <v/>
      </c>
      <c r="AB63">
        <f>IF($C63="",0,IF($M63="",0,MAX(0,$M63)*MAX(0,AB$4)/100))</f>
        <v/>
      </c>
      <c r="AC63">
        <f>IF($C63="",0,IF($M63="",0,MAX(0,$M63)*MAX(0,AC$4)/100))</f>
        <v/>
      </c>
      <c r="AD63">
        <f>IF($C63="",0,IF($M63="",0,MAX(0,$M63)*MAX(0,AD$4)/100))</f>
        <v/>
      </c>
      <c r="AE63">
        <f>IF($C63="",0,IF($M63="",0,MAX(0,$M63)*MAX(0,AE$4)/100))</f>
        <v/>
      </c>
      <c r="AF63">
        <f>IF($C63="",0,IF($M63="",0,MAX(0,$M63)*MAX(0,AF$4)/100))</f>
        <v/>
      </c>
      <c r="AG63">
        <f>IF($C63="",0,IF($M63="",0,MAX(0,$M63)*MAX(0,AG$4)/100))</f>
        <v/>
      </c>
      <c r="AH63">
        <f>IF($C63="",0,IF($M63="",0,MAX(0,$M63)*MAX(0,AH$4)/100))</f>
        <v/>
      </c>
      <c r="AI63">
        <f>IF($C63="",0,IF($M63="",0,MAX(0,$M63)*MAX(0,AI$4)/100))</f>
        <v/>
      </c>
      <c r="AJ63">
        <f>IF($C63="",0,MAX(0,MAX(0,N($L63))-$V63))</f>
        <v/>
      </c>
      <c r="AK63">
        <f>IF($C63="",0,MAX(0,$AJ63-$W63))</f>
        <v/>
      </c>
      <c r="AL63">
        <f>IF($C63="",0,MAX(0,$AK63-$X63))</f>
        <v/>
      </c>
      <c r="AM63">
        <f>IF($C63="",0,MAX(0,$AL63-$Y63))</f>
        <v/>
      </c>
      <c r="AN63">
        <f>IF($C63="",0,MAX(0,$AM63-$Z63))</f>
        <v/>
      </c>
      <c r="AO63">
        <f>IF($C63="",0,MAX(0,$AN63-$AA63))</f>
        <v/>
      </c>
      <c r="AP63">
        <f>IF($C63="",0,MAX(0,$AO63-$AB63))</f>
        <v/>
      </c>
      <c r="AQ63">
        <f>IF($C63="",0,MAX(0,$AP63-$AC63))</f>
        <v/>
      </c>
      <c r="AR63">
        <f>IF($C63="",0,MAX(0,$AQ63-$AD63))</f>
        <v/>
      </c>
      <c r="AS63">
        <f>IF($C63="",0,MAX(0,$AR63-$AE63))</f>
        <v/>
      </c>
      <c r="AT63">
        <f>IF($C63="",0,MAX(0,$AS63-$AF63))</f>
        <v/>
      </c>
      <c r="AU63">
        <f>IF($C63="",0,MAX(0,$AT63-$AG63))</f>
        <v/>
      </c>
      <c r="AV63">
        <f>IF($C63="",0,MAX(0,$AU63-$AH63))</f>
        <v/>
      </c>
      <c r="AW63">
        <f>IF($C63="",0,MAX(0,$AV63-$AI63))</f>
        <v/>
      </c>
      <c r="AX63">
        <f>IF($C63="",0,MAX(0,MAX(0,N($L63))+IF($P63=V$3,$R63,0)+IF($S63=V$3,$U63,0)-$V63))</f>
        <v/>
      </c>
      <c r="AY63">
        <f>IF($C63="",0,MAX(0,$AX63+IF($P63=W$3,$R63,0)+IF($S63=W$3,$U63,0)-$W63))</f>
        <v/>
      </c>
      <c r="AZ63">
        <f>IF($C63="",0,MAX(0,$AY63+IF($P63=X$3,$R63,0)+IF($S63=X$3,$U63,0)-$X63))</f>
        <v/>
      </c>
      <c r="BA63">
        <f>IF($C63="",0,MAX(0,$AZ63+IF($P63=Y$3,$R63,0)+IF($S63=Y$3,$U63,0)-$Y63))</f>
        <v/>
      </c>
      <c r="BB63">
        <f>IF($C63="",0,MAX(0,$BA63+IF($P63=Z$3,$R63,0)+IF($S63=Z$3,$U63,0)-$Z63))</f>
        <v/>
      </c>
      <c r="BC63">
        <f>IF($C63="",0,MAX(0,$BB63+IF($P63=AA$3,$R63,0)+IF($S63=AA$3,$U63,0)-$AA63))</f>
        <v/>
      </c>
      <c r="BD63">
        <f>IF($C63="",0,MAX(0,$BC63+IF($P63=AB$3,$R63,0)+IF($S63=AB$3,$U63,0)-$AB63))</f>
        <v/>
      </c>
      <c r="BE63">
        <f>IF($C63="",0,MAX(0,$BD63+IF($P63=AC$3,$R63,0)+IF($S63=AC$3,$U63,0)-$AC63))</f>
        <v/>
      </c>
      <c r="BF63">
        <f>IF($C63="",0,MAX(0,$BE63+IF($P63=AD$3,$R63,0)+IF($S63=AD$3,$U63,0)-$AD63))</f>
        <v/>
      </c>
      <c r="BG63">
        <f>IF($C63="",0,MAX(0,$BF63+IF($P63=AE$3,$R63,0)+IF($S63=AE$3,$U63,0)-$AE63))</f>
        <v/>
      </c>
      <c r="BH63">
        <f>IF($C63="",0,MAX(0,$BG63+IF($P63=AF$3,$R63,0)+IF($S63=AF$3,$U63,0)-$AF63))</f>
        <v/>
      </c>
      <c r="BI63">
        <f>IF($C63="",0,MAX(0,$BH63+IF($P63=AG$3,$R63,0)+IF($S63=AG$3,$U63,0)-$AG63))</f>
        <v/>
      </c>
      <c r="BJ63">
        <f>IF($C63="",0,MAX(0,$BI63+IF($P63=AH$3,$R63,0)+IF($S63=AH$3,$U63,0)-$AH63))</f>
        <v/>
      </c>
      <c r="BK63">
        <f>IF($C63="",0,MAX(0,$BJ63+IF($P63=AI$3,$R63,0)+IF($S63=AI$3,$U63,0)-$AI63))</f>
        <v/>
      </c>
      <c r="BL63">
        <f>IF($C63="",99,IF(AND($AX63&lt;1,V$3&gt;=MAX(N($P63),N($S63))),0,99))</f>
        <v/>
      </c>
      <c r="BM63">
        <f>IF($C63="",99,IF(AND($AY63&lt;1,W$3&gt;=MAX(N($P63),N($S63))),1,99))</f>
        <v/>
      </c>
      <c r="BN63">
        <f>IF($C63="",99,IF(AND($AZ63&lt;1,X$3&gt;=MAX(N($P63),N($S63))),2,99))</f>
        <v/>
      </c>
      <c r="BO63">
        <f>IF($C63="",99,IF(AND($BA63&lt;1,Y$3&gt;=MAX(N($P63),N($S63))),3,99))</f>
        <v/>
      </c>
      <c r="BP63">
        <f>IF($C63="",99,IF(AND($BB63&lt;1,Z$3&gt;=MAX(N($P63),N($S63))),4,99))</f>
        <v/>
      </c>
      <c r="BQ63">
        <f>IF($C63="",99,IF(AND($BC63&lt;1,AA$3&gt;=MAX(N($P63),N($S63))),5,99))</f>
        <v/>
      </c>
      <c r="BR63">
        <f>IF($C63="",99,IF(AND($BD63&lt;1,AB$3&gt;=MAX(N($P63),N($S63))),6,99))</f>
        <v/>
      </c>
      <c r="BS63">
        <f>IF($C63="",99,IF(AND($BE63&lt;1,AC$3&gt;=MAX(N($P63),N($S63))),7,99))</f>
        <v/>
      </c>
      <c r="BT63">
        <f>IF($C63="",99,IF(AND($BF63&lt;1,AD$3&gt;=MAX(N($P63),N($S63))),8,99))</f>
        <v/>
      </c>
      <c r="BU63">
        <f>IF($C63="",99,IF(AND($BG63&lt;1,AE$3&gt;=MAX(N($P63),N($S63))),9,99))</f>
        <v/>
      </c>
      <c r="BV63">
        <f>IF($C63="",99,IF(AND($BH63&lt;1,AF$3&gt;=MAX(N($P63),N($S63))),10,99))</f>
        <v/>
      </c>
      <c r="BW63">
        <f>IF($C63="",99,IF(AND($BI63&lt;1,AG$3&gt;=MAX(N($P63),N($S63))),11,99))</f>
        <v/>
      </c>
      <c r="BX63">
        <f>IF($C63="",99,IF(AND($BJ63&lt;1,AH$3&gt;=MAX(N($P63),N($S63))),12,99))</f>
        <v/>
      </c>
      <c r="BY63">
        <f>IF($C63="",99,IF(AND($BK63&lt;1,AI$3&gt;=MAX(N($P63),N($S63))),13,99))</f>
        <v/>
      </c>
      <c r="BZ63">
        <f>IF(OR($C63="",$M63=""),"",COUNTIF($AJ63:$AW63,"&gt;=1"))</f>
        <v/>
      </c>
      <c r="CA63" s="90">
        <f>IF($BZ63="","",IF($BZ63&gt;=14,"",'設定'!$C$6+$BZ63))</f>
        <v/>
      </c>
      <c r="CB63">
        <f>IF(OR($C63="",$M63=""),"",MIN($BL63:$BY63))</f>
        <v/>
      </c>
      <c r="CC63" s="90">
        <f>IF($CB63="","",IF($CB63&gt;=99,"",'設定'!$C$6+$CB63))</f>
        <v/>
      </c>
      <c r="CD63">
        <f>IF(OR($C63="",$M63=""),"",AVERAGE($V63:$AI63))</f>
        <v/>
      </c>
      <c r="CE63">
        <f>IF($C63="","",IFERROR(IF(MATCH(IF(ISNUMBER($P63),$P63,'設定'!$C$6+N('設定'!$C$7)),$V$3:$AI$3,0)=1,MAX(0,N($L63)),INDEX($AJ63:$AW63,MATCH(IF(ISNUMBER($P63),$P63,'設定'!$C$6+N('設定'!$C$7)),$V$3:$AI$3,0)-1)),""))</f>
        <v/>
      </c>
      <c r="CF63">
        <f>IF(OR($C63="",$O63="",$CE63=""),"",IF($O63-$CE63&lt;=0,0,ROUNDUP(($O63-$CE63)/$G63,0)))</f>
        <v/>
      </c>
      <c r="CG63">
        <f>IF(OR($C63="",$CF63="",NOT(ISNUMBER($Q63))),0,MAX(0,$Q63-$CF63))</f>
        <v/>
      </c>
      <c r="CH63">
        <f>IF(OR($C63="",$O63="",$U63=0),0,IFERROR(ROUNDUP(MAX(0,IF(MATCH($S63,$V$3:$AI$3,0)=1,MAX(0,N($L63)),INDEX($AX63:$BK63,MATCH($S63,$V$3:$AI$3,0)-1))+$U63-$O63)/$G63,0),0))</f>
        <v/>
      </c>
      <c r="CI63">
        <f>IF($C63="","",IF(AND($P63="",$Q63=""),"",IF($P63="","⚠ 入庫日を ▼ から選んでください",IF(NOT(ISNUMBER($P63)),"⚠ 入庫日は ▼ から選んでください",IF($P63&lt;N('設定'!$C$6),"⚠ 入庫日が過去です（もう在庫に入っています）→ 消してください",IF($P63&gt;N('設定'!$C$6)+13,"⚠ 入庫日が14日より先です",IF(N($Q63)&lt;=0,"⚠ 入庫数を入れてください",IF($CG63&gt;0,"⚠ 目安より "&amp;$CG63&amp;" 多い（定数を超える）→ 減らす",""))))))))</f>
        <v/>
      </c>
      <c r="CJ63">
        <f>IF($C63="","",IF(AND($S63="",$T63=""),"",IF($S63="","⚠ 2便目：入庫日を ▼ から選んでください",IF(NOT(ISNUMBER($S63)),"⚠ 2便目：入庫日は ▼ から選んでください",IF($S63&lt;N('設定'!$C$6),"⚠ 2便目：入庫日が過去です（もう在庫に入っています）→ 消してください",IF($S63&gt;N('設定'!$C$6)+13,"⚠ 2便目：入庫日が14日より先です",IF(N($T63)&lt;=0,"⚠ 2便目：入庫数を入れてください",IF($CH63&gt;0,"⚠ 2便目：定数を "&amp;$CH63&amp;" ケース超える → 減らす",""))))))))</f>
        <v/>
      </c>
      <c r="CK63">
        <f>IF(AND($CI63="",N($Q63)&gt;0,ISNUMBER($P63)),1,0)</f>
        <v/>
      </c>
      <c r="CL63">
        <f>IF(AND($CJ63="",N($T63)&gt;0,ISNUMBER($S63)),1,0)</f>
        <v/>
      </c>
      <c r="CM63">
        <f>IF(OR($CK63=1,$CL63=1),1,0)</f>
        <v/>
      </c>
      <c r="CN63">
        <f>IF($C63="",0,($CK63*$R63+$CL63*$U63)*N($H63))</f>
        <v/>
      </c>
      <c r="CO63">
        <f>IF($C63="","",IF($CC63="","入庫後は 14日以上もつ",IF($CC63-N('設定'!$C$7)&lt;='設定'!$C$6,"入庫後も "&amp;TEXT($CC63,"m/d")&amp;"("&amp;CHOOSE(WEEKDAY($CC63),"日","月","火","水","木","金","土")&amp;")"&amp;" に切れる　もう1便を至急発注","入庫後も "&amp;TEXT($CC63,"m/d")&amp;"("&amp;CHOOSE(WEEKDAY($CC63),"日","月","火","水","木","金","土")&amp;")"&amp;" に切れる　"&amp;TEXT($CC63-N('設定'!$C$7),"m/d")&amp;"("&amp;CHOOSE(WEEKDAY($CC63-N('設定'!$C$7)),"日","月","火","水","木","金","土")&amp;")"&amp;" までに次を発注")))</f>
        <v/>
      </c>
      <c r="CP63">
        <f>IF($C63="","",IF('設定'!$C$6="","？ ①在庫を貼る に今日のCSVが貼られていない",IF($CS63=1,"－ 今日のCSVに無い（終売？）",IF($L63&lt;0,"● 在庫がマイナス　数えて「数えた在庫」に入れる",IF($L63=0,"● 在庫なし　至急発注",IF($M63="","？ 減り数が未設定（商品マスタ）",IF($B$3=0,"？ 動員が未入力（動員を入れる）",IF($CA63="","○ 14日以上もつ",IF($BZ63&lt;N('設定'!$C$7),"● "&amp;TEXT($CA63,"m/d")&amp;"("&amp;CHOOSE(WEEKDAY($CA63),"日","月","火","水","木","金","土")&amp;")"&amp;" に切れる　至急発注",IF($BZ63=N('設定'!$C$7),"● "&amp;TEXT($CA63,"m/d")&amp;"("&amp;CHOOSE(WEEKDAY($CA63),"日","月","火","水","木","金","土")&amp;")"&amp;" に切れる　今日発注","△ "&amp;TEXT($CA63,"m/d")&amp;"("&amp;CHOOSE(WEEKDAY($CA63),"日","月","火","水","木","金","土")&amp;")"&amp;" に切れる　"&amp;TEXT($CA63-N('設定'!$C$7),"m/d")&amp;"("&amp;CHOOSE(WEEKDAY($CA63-N('設定'!$C$7)),"日","月","火","水","木","金","土")&amp;")"&amp;" までに発注"))))))))))</f>
        <v/>
      </c>
      <c r="CQ63">
        <f>IF($C63="","",IF(AND($P63="",$Q63="",$S63="",$T63=""),"",IF(AND($P63="",$Q63=""),"⚠ 先に1便目（左の入庫日・入庫数）に入れてください",IF($CI63&lt;&gt;"",$CI63,IF($CJ63&lt;&gt;"",$CJ63,IF($M63="","？ 減り数が未設定（発注書には載ります）",IF($B$3=0,"？ 動員が未入力（発注書には載ります）",IF(AND($CA63&lt;&gt;"",$P63&gt;$CA63),IF($P63&gt;'設定'!$C$6+N('設定'!$C$7),"● "&amp;TEXT($P63,"m/d")&amp;"("&amp;CHOOSE(WEEKDAY($P63),"日","月","火","水","木","金","土")&amp;")"&amp;" の入庫では間に合わない（"&amp;TEXT($CA63,"m/d")&amp;"("&amp;CHOOSE(WEEKDAY($CA63),"日","月","火","水","木","金","土")&amp;")"&amp;" に切れる）　入庫日を早める","△ 欠品 "&amp;TEXT($CA63,"m/d")&amp;"("&amp;CHOOSE(WEEKDAY($CA63),"日","月","火","水","木","金","土")&amp;")"&amp;"〜"&amp;TEXT($P63-1,"m/d")&amp;"("&amp;CHOOSE(WEEKDAY($P63-1),"日","月","火","水","木","金","土")&amp;")"&amp;"　"&amp;$CO63),IF($CC63="","○ "&amp;TEXT($P63,"m/d")&amp;"("&amp;CHOOSE(WEEKDAY($P63),"日","月","火","水","木","金","土")&amp;")"&amp;" 入庫で 14日以上もつ",IF($CC63-N('設定'!$C$7)&lt;='設定'!$C$6,"● 入庫しても "&amp;TEXT($CC63,"m/d")&amp;"("&amp;CHOOSE(WEEKDAY($CC63),"日","月","火","水","木","金","土")&amp;")"&amp;" に切れる　もう1便を至急発注（2便目に入れる）","△ 入庫しても "&amp;TEXT($CC63,"m/d")&amp;"("&amp;CHOOSE(WEEKDAY($CC63),"日","月","火","水","木","金","土")&amp;")"&amp;" に切れる　"&amp;TEXT($CC63-N('設定'!$C$7),"m/d")&amp;"("&amp;CHOOSE(WEEKDAY($CC63-N('設定'!$C$7)),"日","月","火","水","木","金","土")&amp;")"&amp;" までに次を発注（2便目に入れる）"))))))))))</f>
        <v/>
      </c>
      <c r="CR63">
        <f>IF($C63="","",IF($G63&gt;1,"ｹｰｽ("&amp;$G63&amp;"入)","個"))</f>
        <v/>
      </c>
      <c r="CS63">
        <f>IF($C63="",0,IF(COUNTIFS('①在庫を貼る'!$V$6:$V$10005,'設定'!$C$4,'①在庫を貼る'!$W$6:$W$10005,$C63)=0,1,0))</f>
        <v/>
      </c>
      <c r="CT63">
        <f>IF(AND($CK63=1,OR('③発注書'!$C$4="すべて",'③発注書'!$C$4="",$F63='③発注書'!$C$4)),N($CT62)+1,N($CT62))</f>
        <v/>
      </c>
      <c r="CU63">
        <f>IF(AND($CL63=1,OR('③発注書'!$C$4="すべて",'③発注書'!$C$4="",$F63='③発注書'!$C$4)),N($CU62)+1,N($CU62))</f>
        <v/>
      </c>
      <c r="CV63">
        <f>IF($C63="",0,IF(COUNTIFS('①在庫を貼る'!$V$6:$V$10005,'設定'!$C$4,'①在庫を貼る'!$W$6:$W$10005,$C63)&gt;0,1,0))</f>
        <v/>
      </c>
      <c r="CW63">
        <f>IF($C63="",0,IF(COUNTIFS('月1回_1ヶ月前の在庫'!$V$6:$V$10005,'設定'!$C$4,'月1回_1ヶ月前の在庫'!$W$6:$W$10005,$C63)&gt;0,1,0))</f>
        <v/>
      </c>
      <c r="CX63">
        <f>IF($C63="",0,IF(COUNTIFS('月1回_2ヶ月前の在庫'!$V$6:$V$10005,'設定'!$C$4,'月1回_2ヶ月前の在庫'!$W$6:$W$10005,$C63)&gt;0,1,0))</f>
        <v/>
      </c>
      <c r="CY63">
        <f>IF(OR($C63="",'設定'!$C$12=""),"",IF('設定'!$C$13="",IF(AND($CV63=1,$CW63=0),"新商品（今月から）",IF(AND($CV63=0,$CW63=1),"終売（今月から）","")),IF(AND($CV63=1,$CW63=0,$CX63=0),"新商品（今月から）",IF(AND($CV63=1,$CW63=1,$CX63=0),"新商品（先月から）",IF(AND($CV63=0,$CW63=1,$CX63=1),"終売（今月から）",IF(AND($CV63=0,$CW63=0,$CX63=1),"終売（先月から）",IF(AND($CV63=1,$CW63=0,$CX63=1),"復活（先月は無し）","")))))))</f>
        <v/>
      </c>
    </row>
    <row r="64">
      <c r="B64">
        <f>IF(59&lt;='設定'!$C$11,59,"")</f>
        <v/>
      </c>
      <c r="C64">
        <f>IF($B64="","",IF($B64&lt;='設定'!$C$20,INDEX('商品マスタ'!$B$6:$B$1005,MATCH($B64,'商品マスタ'!$M$6:$M$1005,0)),IF($B64&lt;='設定'!$C$20+'設定'!$C$17,INDEX('①在庫を貼る'!$W$6:$W$10005,MATCH($B64-'設定'!$C$20,'①在庫を貼る'!$U$6:$U$10005,0)),IF($B64&lt;='設定'!$C$20+'設定'!$C$17+'設定'!$C$18,INDEX('月1回_1ヶ月前の在庫'!$W$6:$W$10005,MATCH($B64-'設定'!$C$20-'設定'!$C$17,'月1回_1ヶ月前の在庫'!$U$6:$U$10005,0)),INDEX('月1回_2ヶ月前の在庫'!$W$6:$W$10005,MATCH($B64-'設定'!$C$20-'設定'!$C$17-'設定'!$C$18,'月1回_2ヶ月前の在庫'!$U$6:$U$10005,0))))))</f>
        <v/>
      </c>
      <c r="D64">
        <f>IF($C64="","",IFERROR(IF(INDEX('商品マスタ'!$C$6:$C$1005,MATCH($C64,'商品マスタ'!$B$6:$B$1005,0))="",IFERROR(INDEX('①在庫を貼る'!$J$6:$J$10005,MATCH($C64,'①在庫を貼る'!$W$6:$W$10005,0)),IFERROR(INDEX('月1回_1ヶ月前の在庫'!$J$6:$J$10005,MATCH($C64,'月1回_1ヶ月前の在庫'!$W$6:$W$10005,0)),IFERROR(INDEX('月1回_2ヶ月前の在庫'!$J$6:$J$10005,MATCH($C64,'月1回_2ヶ月前の在庫'!$W$6:$W$10005,0)),""))),INDEX('商品マスタ'!$C$6:$C$1005,MATCH($C64,'商品マスタ'!$B$6:$B$1005,0))),IFERROR(INDEX('①在庫を貼る'!$J$6:$J$10005,MATCH($C64,'①在庫を貼る'!$W$6:$W$10005,0)),IFERROR(INDEX('月1回_1ヶ月前の在庫'!$J$6:$J$10005,MATCH($C64,'月1回_1ヶ月前の在庫'!$W$6:$W$10005,0)),IFERROR(INDEX('月1回_2ヶ月前の在庫'!$J$6:$J$10005,MATCH($C64,'月1回_2ヶ月前の在庫'!$W$6:$W$10005,0)),"")))))</f>
        <v/>
      </c>
      <c r="E64">
        <f>IF($C64="","",IFERROR(IF(INDEX('商品マスタ'!$D$6:$D$1005,MATCH($C64,'商品マスタ'!$B$6:$B$1005,0))="",IFERROR(INDEX('①在庫を貼る'!$H$6:$H$10005,MATCH($C64,'①在庫を貼る'!$W$6:$W$10005,0)),IFERROR(INDEX('月1回_1ヶ月前の在庫'!$H$6:$H$10005,MATCH($C64,'月1回_1ヶ月前の在庫'!$W$6:$W$10005,0)),IFERROR(INDEX('月1回_2ヶ月前の在庫'!$H$6:$H$10005,MATCH($C64,'月1回_2ヶ月前の在庫'!$W$6:$W$10005,0)),""))),INDEX('商品マスタ'!$D$6:$D$1005,MATCH($C64,'商品マスタ'!$B$6:$B$1005,0))),IFERROR(INDEX('①在庫を貼る'!$H$6:$H$10005,MATCH($C64,'①在庫を貼る'!$W$6:$W$10005,0)),IFERROR(INDEX('月1回_1ヶ月前の在庫'!$H$6:$H$10005,MATCH($C64,'月1回_1ヶ月前の在庫'!$W$6:$W$10005,0)),IFERROR(INDEX('月1回_2ヶ月前の在庫'!$H$6:$H$10005,MATCH($C64,'月1回_2ヶ月前の在庫'!$W$6:$W$10005,0)),"")))))</f>
        <v/>
      </c>
      <c r="F64">
        <f>IF($C64="","",IFERROR(IF(INDEX('商品マスタ'!$E$6:$E$1005,MATCH($C64,'商品マスタ'!$B$6:$B$1005,0))="",IFERROR(INDEX('①在庫を貼る'!$E$6:$E$10005,MATCH($C64,'①在庫を貼る'!$W$6:$W$10005,0)),IFERROR(INDEX('月1回_1ヶ月前の在庫'!$E$6:$E$10005,MATCH($C64,'月1回_1ヶ月前の在庫'!$W$6:$W$10005,0)),IFERROR(INDEX('月1回_2ヶ月前の在庫'!$E$6:$E$10005,MATCH($C64,'月1回_2ヶ月前の在庫'!$W$6:$W$10005,0)),""))),INDEX('商品マスタ'!$E$6:$E$1005,MATCH($C64,'商品マスタ'!$B$6:$B$1005,0))),IFERROR(INDEX('①在庫を貼る'!$E$6:$E$10005,MATCH($C64,'①在庫を貼る'!$W$6:$W$10005,0)),IFERROR(INDEX('月1回_1ヶ月前の在庫'!$E$6:$E$10005,MATCH($C64,'月1回_1ヶ月前の在庫'!$W$6:$W$10005,0)),IFERROR(INDEX('月1回_2ヶ月前の在庫'!$E$6:$E$10005,MATCH($C64,'月1回_2ヶ月前の在庫'!$W$6:$W$10005,0)),"")))))</f>
        <v/>
      </c>
      <c r="G64">
        <f>IF($C64="","",MAX(1,N(IFERROR(IF(INDEX('商品マスタ'!$F$6:$F$1005,MATCH($C64,'商品マスタ'!$B$6:$B$1005,0))="",IF(COUNTIFS('①在庫を貼る'!$V$6:$V$10005,'設定'!$C$4,'①在庫を貼る'!$W$6:$W$10005,$C64)&gt;0,SUMIFS('①在庫を貼る'!$K$6:$K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K$6:$K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K$6:$K$10005,'月1回_2ヶ月前の在庫'!$V$6:$V$10005,'設定'!$C$4,'月1回_2ヶ月前の在庫'!$W$6:$W$10005,$C64)/COUNTIFS('月1回_2ヶ月前の在庫'!$V$6:$V$10005,'設定'!$C$4,'月1回_2ヶ月前の在庫'!$W$6:$W$10005,$C64),0))),INDEX('商品マスタ'!$F$6:$F$1005,MATCH($C64,'商品マスタ'!$B$6:$B$1005,0))),IF(COUNTIFS('①在庫を貼る'!$V$6:$V$10005,'設定'!$C$4,'①在庫を貼る'!$W$6:$W$10005,$C64)&gt;0,SUMIFS('①在庫を貼る'!$K$6:$K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K$6:$K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K$6:$K$10005,'月1回_2ヶ月前の在庫'!$V$6:$V$10005,'設定'!$C$4,'月1回_2ヶ月前の在庫'!$W$6:$W$10005,$C64)/COUNTIFS('月1回_2ヶ月前の在庫'!$V$6:$V$10005,'設定'!$C$4,'月1回_2ヶ月前の在庫'!$W$6:$W$10005,$C64),0)))))))</f>
        <v/>
      </c>
      <c r="H64">
        <f>IF($C64="","",N(IFERROR(IF(INDEX('商品マスタ'!$G$6:$G$1005,MATCH($C64,'商品マスタ'!$B$6:$B$1005,0))="",IF(COUNTIFS('①在庫を貼る'!$V$6:$V$10005,'設定'!$C$4,'①在庫を貼る'!$W$6:$W$10005,$C64)&gt;0,SUMIFS('①在庫を貼る'!$Q$6:$Q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Q$6:$Q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Q$6:$Q$10005,'月1回_2ヶ月前の在庫'!$V$6:$V$10005,'設定'!$C$4,'月1回_2ヶ月前の在庫'!$W$6:$W$10005,$C64)/COUNTIFS('月1回_2ヶ月前の在庫'!$V$6:$V$10005,'設定'!$C$4,'月1回_2ヶ月前の在庫'!$W$6:$W$10005,$C64),0))),INDEX('商品マスタ'!$G$6:$G$1005,MATCH($C64,'商品マスタ'!$B$6:$B$1005,0))),IF(COUNTIFS('①在庫を貼る'!$V$6:$V$10005,'設定'!$C$4,'①在庫を貼る'!$W$6:$W$10005,$C64)&gt;0,SUMIFS('①在庫を貼る'!$Q$6:$Q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Q$6:$Q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Q$6:$Q$10005,'月1回_2ヶ月前の在庫'!$V$6:$V$10005,'設定'!$C$4,'月1回_2ヶ月前の在庫'!$W$6:$W$10005,$C64)/COUNTIFS('月1回_2ヶ月前の在庫'!$V$6:$V$10005,'設定'!$C$4,'月1回_2ヶ月前の在庫'!$W$6:$W$10005,$C64),0))))))</f>
        <v/>
      </c>
      <c r="I64">
        <f>IF($C64="","",IF(COUNTIFS('①在庫を貼る'!$V$6:$V$10005,'設定'!$C$4,'①在庫を貼る'!$W$6:$W$10005,$C64)=0,"",SUMIFS('①在庫を貼る'!$N$6:$N$10005,'①在庫を貼る'!$V$6:$V$10005,'設定'!$C$4,'①在庫を貼る'!$W$6:$W$10005,$C64)))</f>
        <v/>
      </c>
      <c r="J64">
        <f>IF($C64="","",IF('②発注する'!$AD68="","",'②発注する'!$AD68))</f>
        <v/>
      </c>
      <c r="K64" s="90">
        <f>IF($C64="","",IF('②発注する'!$AE68="","",'②発注する'!$AE68))</f>
        <v/>
      </c>
      <c r="L64">
        <f>IF($C64="","",IF(AND(ISNUMBER($J64),ISNUMBER($K64),$K64&gt;='設定'!$C$6),$J64,N($I64)))</f>
        <v/>
      </c>
      <c r="M64">
        <f>IF($C64="","",IFERROR(IF(N(INDEX('商品マスタ'!$J$6:$J$1005,MATCH($C64,'商品マスタ'!$B$6:$B$1005,0)))&gt;0,INDEX('商品マスタ'!$J$6:$J$1005,MATCH($C64,'商品マスタ'!$B$6:$B$1005,0)),""),""))</f>
        <v/>
      </c>
      <c r="N64">
        <f>IF($C64="","",IFERROR(IF(N(INDEX('商品マスタ'!$H$6:$H$1005,MATCH($C64,'商品マスタ'!$B$6:$B$1005,0)))&gt;0,INDEX('商品マスタ'!$H$6:$H$1005,MATCH($C64,'商品マスタ'!$B$6:$B$1005,0)),""),""))</f>
        <v/>
      </c>
      <c r="O64">
        <f>IF($C64="","",IF($N64&lt;&gt;"",$N64*$G64,IF(N(IF(COUNTIFS('①在庫を貼る'!$V$6:$V$10005,'設定'!$C$4,'①在庫を貼る'!$W$6:$W$10005,$C64)&gt;0,SUMIFS('①在庫を貼る'!$O$6:$O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O$6:$O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O$6:$O$10005,'月1回_2ヶ月前の在庫'!$V$6:$V$10005,'設定'!$C$4,'月1回_2ヶ月前の在庫'!$W$6:$W$10005,$C64)/COUNTIFS('月1回_2ヶ月前の在庫'!$V$6:$V$10005,'設定'!$C$4,'月1回_2ヶ月前の在庫'!$W$6:$W$10005,$C64),0))))&gt;0,N(IF(COUNTIFS('①在庫を貼る'!$V$6:$V$10005,'設定'!$C$4,'①在庫を貼る'!$W$6:$W$10005,$C64)&gt;0,SUMIFS('①在庫を貼る'!$O$6:$O$10005,'①在庫を貼る'!$V$6:$V$10005,'設定'!$C$4,'①在庫を貼る'!$W$6:$W$10005,$C64)/COUNTIFS('①在庫を貼る'!$V$6:$V$10005,'設定'!$C$4,'①在庫を貼る'!$W$6:$W$10005,$C64),IF(COUNTIFS('月1回_1ヶ月前の在庫'!$V$6:$V$10005,'設定'!$C$4,'月1回_1ヶ月前の在庫'!$W$6:$W$10005,$C64)&gt;0,SUMIFS('月1回_1ヶ月前の在庫'!$O$6:$O$10005,'月1回_1ヶ月前の在庫'!$V$6:$V$10005,'設定'!$C$4,'月1回_1ヶ月前の在庫'!$W$6:$W$10005,$C64)/COUNTIFS('月1回_1ヶ月前の在庫'!$V$6:$V$10005,'設定'!$C$4,'月1回_1ヶ月前の在庫'!$W$6:$W$10005,$C64),IF(COUNTIFS('月1回_2ヶ月前の在庫'!$V$6:$V$10005,'設定'!$C$4,'月1回_2ヶ月前の在庫'!$W$6:$W$10005,$C64)&gt;0,SUMIFS('月1回_2ヶ月前の在庫'!$O$6:$O$10005,'月1回_2ヶ月前の在庫'!$V$6:$V$10005,'設定'!$C$4,'月1回_2ヶ月前の在庫'!$W$6:$W$10005,$C64)/COUNTIFS('月1回_2ヶ月前の在庫'!$V$6:$V$10005,'設定'!$C$4,'月1回_2ヶ月前の在庫'!$W$6:$W$10005,$C64),0)))),"")))</f>
        <v/>
      </c>
      <c r="P64" s="90">
        <f>IF($C64="","",IF('②発注する'!$I68="","",'②発注する'!$I68))</f>
        <v/>
      </c>
      <c r="Q64">
        <f>IF($C64="","",IF('②発注する'!$J68="","",'②発注する'!$J68))</f>
        <v/>
      </c>
      <c r="R64">
        <f>IF($C64="",0,IF(AND(ISNUMBER($P64),ISNUMBER($Q64)),MAX(0,$Q64)*$G64,0))</f>
        <v/>
      </c>
      <c r="S64" s="90">
        <f>IF($C64="","",IF('②発注する'!$M68="","",'②発注する'!$M68))</f>
        <v/>
      </c>
      <c r="T64">
        <f>IF($C64="","",IF('②発注する'!$N68="","",'②発注する'!$N68))</f>
        <v/>
      </c>
      <c r="U64">
        <f>IF($C64="",0,IF(AND(ISNUMBER($S64),ISNUMBER($T64)),MAX(0,$T64)*$G64,0))</f>
        <v/>
      </c>
      <c r="V64">
        <f>IF($C64="",0,IF($M64="",0,MAX(0,$M64)*MAX(0,V$4)/100))</f>
        <v/>
      </c>
      <c r="W64">
        <f>IF($C64="",0,IF($M64="",0,MAX(0,$M64)*MAX(0,W$4)/100))</f>
        <v/>
      </c>
      <c r="X64">
        <f>IF($C64="",0,IF($M64="",0,MAX(0,$M64)*MAX(0,X$4)/100))</f>
        <v/>
      </c>
      <c r="Y64">
        <f>IF($C64="",0,IF($M64="",0,MAX(0,$M64)*MAX(0,Y$4)/100))</f>
        <v/>
      </c>
      <c r="Z64">
        <f>IF($C64="",0,IF($M64="",0,MAX(0,$M64)*MAX(0,Z$4)/100))</f>
        <v/>
      </c>
      <c r="AA64">
        <f>IF($C64="",0,IF($M64="",0,MAX(0,$M64)*MAX(0,AA$4)/100))</f>
        <v/>
      </c>
      <c r="AB64">
        <f>IF($C64="",0,IF($M64="",0,MAX(0,$M64)*MAX(0,AB$4)/100))</f>
        <v/>
      </c>
      <c r="AC64">
        <f>IF($C64="",0,IF($M64="",0,MAX(0,$M64)*MAX(0,AC$4)/100))</f>
        <v/>
      </c>
      <c r="AD64">
        <f>IF($C64="",0,IF($M64="",0,MAX(0,$M64)*MAX(0,AD$4)/100))</f>
        <v/>
      </c>
      <c r="AE64">
        <f>IF($C64="",0,IF($M64="",0,MAX(0,$M64)*MAX(0,AE$4)/100))</f>
        <v/>
      </c>
      <c r="AF64">
        <f>IF($C64="",0,IF($M64="",0,MAX(0,$M64)*MAX(0,AF$4)/100))</f>
        <v/>
      </c>
      <c r="AG64">
        <f>IF($C64="",0,IF($M64="",0,MAX(0,$M64)*MAX(0,AG$4)/100))</f>
        <v/>
      </c>
      <c r="AH64">
        <f>IF($C64="",0,IF($M64="",0,MAX(0,$M64)*MAX(0,AH$4)/100))</f>
        <v/>
      </c>
      <c r="AI64">
        <f>IF($C64="",0,IF($M64="",0,MAX(0,$M64)*MAX(0,AI$4)/100))</f>
        <v/>
      </c>
      <c r="AJ64">
        <f>IF($C64="",0,MAX(0,MAX(0,N($L64))-$V64))</f>
        <v/>
      </c>
      <c r="AK64">
        <f>IF($C64="",0,MAX(0,$AJ64-$W64))</f>
        <v/>
      </c>
      <c r="AL64">
        <f>IF($C64="",0,MAX(0,$AK64-$X64))</f>
        <v/>
      </c>
      <c r="AM64">
        <f>IF($C64="",0,MAX(0,$AL64-$Y64))</f>
        <v/>
      </c>
      <c r="AN64">
        <f>IF($C64="",0,MAX(0,$AM64-$Z64))</f>
        <v/>
      </c>
      <c r="AO64">
        <f>IF($C64="",0,MAX(0,$AN64-$AA64))</f>
        <v/>
      </c>
      <c r="AP64">
        <f>IF($C64="",0,MAX(0,$AO64-$AB64))</f>
        <v/>
      </c>
      <c r="AQ64">
        <f>IF($C64="",0,MAX(0,$AP64-$AC64))</f>
        <v/>
      </c>
      <c r="AR64">
        <f>IF($C64="",0,MAX(0,$AQ64-$AD64))</f>
        <v/>
      </c>
      <c r="AS64">
        <f>IF($C64="",0,MAX(0,$AR64-$AE64))</f>
        <v/>
      </c>
      <c r="AT64">
        <f>IF($C64="",0,MAX(0,$AS64-$AF64))</f>
        <v/>
      </c>
      <c r="AU64">
        <f>IF($C64="",0,MAX(0,$AT64-$AG64))</f>
        <v/>
      </c>
      <c r="AV64">
        <f>IF($C64="",0,MAX(0,$AU64-$AH64))</f>
        <v/>
      </c>
      <c r="AW64">
        <f>IF($C64="",0,MAX(0,$AV64-$AI64))</f>
        <v/>
      </c>
      <c r="AX64">
        <f>IF($C64="",0,MAX(0,MAX(0,N($L64))+IF($P64=V$3,$R64,0)+IF($S64=V$3,$U64,0)-$V64))</f>
        <v/>
      </c>
      <c r="AY64">
        <f>IF($C64="",0,MAX(0,$AX64+IF($P64=W$3,$R64,0)+IF($S64=W$3,$U64,0)-$W64))</f>
        <v/>
      </c>
      <c r="AZ64">
        <f>IF($C64="",0,MAX(0,$AY64+IF($P64=X$3,$R64,0)+IF($S64=X$3,$U64,0)-$X64))</f>
        <v/>
      </c>
      <c r="BA64">
        <f>IF($C64="",0,MAX(0,$AZ64+IF($P64=Y$3,$R64,0)+IF($S64=Y$3,$U64,0)-$Y64))</f>
        <v/>
      </c>
      <c r="BB64">
        <f>IF($C64="",0,MAX(0,$BA64+IF($P64=Z$3,$R64,0)+IF($S64=Z$3,$U64,0)-$Z64))</f>
        <v/>
      </c>
      <c r="BC64">
        <f>IF($C64="",0,MAX(0,$BB64+IF($P64=AA$3,$R64,0)+IF($S64=AA$3,$U64,0)-$AA64))</f>
        <v/>
      </c>
      <c r="BD64">
        <f>IF($C64="",0,MAX(0,$BC64+IF($P64=AB$3,$R64,0)+IF($S64=AB$3,$U64,0)-$AB64))</f>
        <v/>
      </c>
      <c r="BE64">
        <f>IF($C64="",0,MAX(0,$BD64+IF($P64=AC$3,$R64,0)+IF($S64=AC$3,$U64,0)-$AC64))</f>
        <v/>
      </c>
      <c r="BF64">
        <f>IF($C64="",0,MAX(0,$BE64+IF($P64=AD$3,$R64,0)+IF($S64=AD$3,$U64,0)-$AD64))</f>
        <v/>
      </c>
      <c r="BG64">
        <f>IF($C64="",0,MAX(0,$BF64+IF($P64=AE$3,$R64,0)+IF($S64=AE$3,$U64,0)-$AE64))</f>
        <v/>
      </c>
      <c r="BH64">
        <f>IF($C64="",0,MAX(0,$BG64+IF($P64=AF$3,$R64,0)+IF($S64=AF$3,$U64,0)-$AF64))</f>
        <v/>
      </c>
      <c r="BI64">
        <f>IF($C64="",0,MAX(0,$BH64+IF($P64=AG$3,$R64,0)+IF($S64=AG$3,$U64,0)-$AG64))</f>
        <v/>
      </c>
      <c r="BJ64">
        <f>IF($C64="",0,MAX(0,$BI64+IF($P64=AH$3,$R64,0)+IF($S64=AH$3,$U64,0)-$AH64))</f>
        <v/>
      </c>
      <c r="BK64">
        <f>IF($C64="",0,MAX(0,$BJ64+IF($P64=AI$3,$R64,0)+IF($S64=AI$3,$U64,0)-$AI64))</f>
        <v/>
      </c>
      <c r="BL64">
        <f>IF($C64="",99,IF(AND($AX64&lt;1,V$3&gt;=MAX(N($P64),N($S64))),0,99))</f>
        <v/>
      </c>
      <c r="BM64">
        <f>IF($C64="",99,IF(AND($AY64&lt;1,W$3&gt;=MAX(N($P64),N($S64))),1,99))</f>
        <v/>
      </c>
      <c r="BN64">
        <f>IF($C64="",99,IF(AND($AZ64&lt;1,X$3&gt;=MAX(N($P64),N($S64))),2,99))</f>
        <v/>
      </c>
      <c r="BO64">
        <f>IF($C64="",99,IF(AND($BA64&lt;1,Y$3&gt;=MAX(N($P64),N($S64))),3,99))</f>
        <v/>
      </c>
      <c r="BP64">
        <f>IF($C64="",99,IF(AND($BB64&lt;1,Z$3&gt;=MAX(N($P64),N($S64))),4,99))</f>
        <v/>
      </c>
      <c r="BQ64">
        <f>IF($C64="",99,IF(AND($BC64&lt;1,AA$3&gt;=MAX(N($P64),N($S64))),5,99))</f>
        <v/>
      </c>
      <c r="BR64">
        <f>IF($C64="",99,IF(AND($BD64&lt;1,AB$3&gt;=MAX(N($P64),N($S64))),6,99))</f>
        <v/>
      </c>
      <c r="BS64">
        <f>IF($C64="",99,IF(AND($BE64&lt;1,AC$3&gt;=MAX(N($P64),N($S64))),7,99))</f>
        <v/>
      </c>
      <c r="BT64">
        <f>IF($C64="",99,IF(AND($BF64&lt;1,AD$3&gt;=MAX(N($P64),N($S64))),8,99))</f>
        <v/>
      </c>
      <c r="BU64">
        <f>IF($C64="",99,IF(AND($BG64&lt;1,AE$3&gt;=MAX(N($P64),N($S64))),9,99))</f>
        <v/>
      </c>
      <c r="BV64">
        <f>IF($C64="",99,IF(AND($BH64&lt;1,AF$3&gt;=MAX(N($P64),N($S64))),10,99))</f>
        <v/>
      </c>
      <c r="BW64">
        <f>IF($C64="",99,IF(AND($BI64&lt;1,AG$3&gt;=MAX(N($P64),N($S64))),11,99))</f>
        <v/>
      </c>
      <c r="BX64">
        <f>IF($C64="",99,IF(AND($BJ64&lt;1,AH$3&gt;=MAX(N($P64),N($S64))),12,99))</f>
        <v/>
      </c>
      <c r="BY64">
        <f>IF($C64="",99,IF(AND($BK64&lt;1,AI$3&gt;=MAX(N($P64),N($S64))),13,99))</f>
        <v/>
      </c>
      <c r="BZ64">
        <f>IF(OR($C64="",$M64=""),"",COUNTIF($AJ64:$AW64,"&gt;=1"))</f>
        <v/>
      </c>
      <c r="CA64" s="90">
        <f>IF($BZ64="","",IF($BZ64&gt;=14,"",'設定'!$C$6+$BZ64))</f>
        <v/>
      </c>
      <c r="CB64">
        <f>IF(OR($C64="",$M64=""),"",MIN($BL64:$BY64))</f>
        <v/>
      </c>
      <c r="CC64" s="90">
        <f>IF($CB64="","",IF($CB64&gt;=99,"",'設定'!$C$6+$CB64))</f>
        <v/>
      </c>
      <c r="CD64">
        <f>IF(OR($C64="",$M64=""),"",AVERAGE($V64:$AI64))</f>
        <v/>
      </c>
      <c r="CE64">
        <f>IF($C64="","",IFERROR(IF(MATCH(IF(ISNUMBER($P64),$P64,'設定'!$C$6+N('設定'!$C$7)),$V$3:$AI$3,0)=1,MAX(0,N($L64)),INDEX($AJ64:$AW64,MATCH(IF(ISNUMBER($P64),$P64,'設定'!$C$6+N('設定'!$C$7)),$V$3:$AI$3,0)-1)),""))</f>
        <v/>
      </c>
      <c r="CF64">
        <f>IF(OR($C64="",$O64="",$CE64=""),"",IF($O64-$CE64&lt;=0,0,ROUNDUP(($O64-$CE64)/$G64,0)))</f>
        <v/>
      </c>
      <c r="CG64">
        <f>IF(OR($C64="",$CF64="",NOT(ISNUMBER($Q64))),0,MAX(0,$Q64-$CF64))</f>
        <v/>
      </c>
      <c r="CH64">
        <f>IF(OR($C64="",$O64="",$U64=0),0,IFERROR(ROUNDUP(MAX(0,IF(MATCH($S64,$V$3:$AI$3,0)=1,MAX(0,N($L64)),INDEX($AX64:$BK64,MATCH($S64,$V$3:$AI$3,0)-1))+$U64-$O64)/$G64,0),0))</f>
        <v/>
      </c>
      <c r="CI64">
        <f>IF($C64="","",IF(AND($P64="",$Q64=""),"",IF($P64="","⚠ 入庫日を ▼ から選んでください",IF(NOT(ISNUMBER($P64)),"⚠ 入庫日は ▼ から選んでください",IF($P64&lt;N('設定'!$C$6),"⚠ 入庫日が過去です（もう在庫に入っています）→ 消してください",IF($P64&gt;N('設定'!$C$6)+13,"⚠ 入庫日が14日より先です",IF(N($Q64)&lt;=0,"⚠ 入庫数を入れてください",IF($CG64&gt;0,"⚠ 目安より "&amp;$CG64&amp;" 多い（定数を超える）→ 減らす",""))))))))</f>
        <v/>
      </c>
      <c r="CJ64">
        <f>IF($C64="","",IF(AND($S64="",$T64=""),"",IF($S64="","⚠ 2便目：入庫日を ▼ から選んでください",IF(NOT(ISNUMBER($S64)),"⚠ 2便目：入庫日は ▼ から選んでください",IF($S64&lt;N('設定'!$C$6),"⚠ 2便目：入庫日が過去です（もう在庫に入っています）→ 消してください",IF($S64&gt;N('設定'!$C$6)+13,"⚠ 2便目：入庫日が14日より先です",IF(N($T64)&lt;=0,"⚠ 2便目：入庫数を入れてください",IF($CH64&gt;0,"⚠ 2便目：定数を "&amp;$CH64&amp;" ケース超える → 減らす",""))))))))</f>
        <v/>
      </c>
      <c r="CK64">
        <f>IF(AND($CI64="",N($Q64)&gt;0,ISNUMBER($P64)),1,0)</f>
        <v/>
      </c>
      <c r="CL64">
        <f>IF(AND($CJ64="",N($T64)&gt;0,ISNUMBER($S64)),1,0)</f>
        <v/>
      </c>
      <c r="CM64">
        <f>IF(OR($CK64=1,$CL64=1),1,0)</f>
        <v/>
      </c>
      <c r="CN64">
        <f>IF($C64="",0,($CK64*$R64+$CL64*$U64)*N($H64))</f>
        <v/>
      </c>
      <c r="CO64">
        <f>IF($C64="","",IF($CC64="","入庫後は 14日以上もつ",IF($CC64-N('設定'!$C$7)&lt;='設定'!$C$6,"入庫後も "&amp;TEXT($CC64,"m/d")&amp;"("&amp;CHOOSE(WEEKDAY($CC64),"日","月","火","水","木","金","土")&amp;")"&amp;" に切れる　もう1便を至急発注","入庫後も "&amp;TEXT($CC64,"m/d")&amp;"("&amp;CHOOSE(WEEKDAY($CC64),"日","月","火","水","木","金","土")&amp;")"&amp;" に切れる　"&amp;TEXT($CC64-N('設定'!$C$7),"m/d")&amp;"("&amp;CHOOSE(WEEKDAY($CC64-N('設定'!$C$7)),"日","月","火","水","木","金","土")&amp;")"&amp;" までに次を発注")))</f>
        <v/>
      </c>
      <c r="CP64">
        <f>IF($C64="","",IF('設定'!$C$6="","？ ①在庫を貼る に今日のCSVが貼られていない",IF($CS64=1,"－ 今日のCSVに無い（終売？）",IF($L64&lt;0,"● 在庫がマイナス　数えて「数えた在庫」に入れる",IF($L64=0,"● 在庫なし　至急発注",IF($M64="","？ 減り数が未設定（商品マスタ）",IF($B$3=0,"？ 動員が未入力（動員を入れる）",IF($CA64="","○ 14日以上もつ",IF($BZ64&lt;N('設定'!$C$7),"● "&amp;TEXT($CA64,"m/d")&amp;"("&amp;CHOOSE(WEEKDAY($CA64),"日","月","火","水","木","金","土")&amp;")"&amp;" に切れる　至急発注",IF($BZ64=N('設定'!$C$7),"● "&amp;TEXT($CA64,"m/d")&amp;"("&amp;CHOOSE(WEEKDAY($CA64),"日","月","火","水","木","金","土")&amp;")"&amp;" に切れる　今日発注","△ "&amp;TEXT($CA64,"m/d")&amp;"("&amp;CHOOSE(WEEKDAY($CA64),"日","月","火","水","木","金","土")&amp;")"&amp;" に切れる　"&amp;TEXT($CA64-N('設定'!$C$7),"m/d")&amp;"("&amp;CHOOSE(WEEKDAY($CA64-N('設定'!$C$7)),"日","月","火","水","木","金","土")&amp;")"&amp;" までに発注"))))))))))</f>
        <v/>
      </c>
      <c r="CQ64">
        <f>IF($C64="","",IF(AND($P64="",$Q64="",$S64="",$T64=""),"",IF(AND($P64="",$Q64=""),"⚠ 先に1便目（左の入庫日・入庫数）に入れてください",IF($CI64&lt;&gt;"",$CI64,IF($CJ64&lt;&gt;"",$CJ64,IF($M64="","？ 減り数が未設定（発注書には載ります）",IF($B$3=0,"？ 動員が未入力（発注書には載ります）",IF(AND($CA64&lt;&gt;"",$P64&gt;$CA64),IF($P64&gt;'設定'!$C$6+N('設定'!$C$7),"● "&amp;TEXT($P64,"m/d")&amp;"("&amp;CHOOSE(WEEKDAY($P64),"日","月","火","水","木","金","土")&amp;")"&amp;" の入庫では間に合わない（"&amp;TEXT($CA64,"m/d")&amp;"("&amp;CHOOSE(WEEKDAY($CA64),"日","月","火","水","木","金","土")&amp;")"&amp;" に切れる）　入庫日を早める","△ 欠品 "&amp;TEXT($CA64,"m/d")&amp;"("&amp;CHOOSE(WEEKDAY($CA64),"日","月","火","水","木","金","土")&amp;")"&amp;"〜"&amp;TEXT($P64-1,"m/d")&amp;"("&amp;CHOOSE(WEEKDAY($P64-1),"日","月","火","水","木","金","土")&amp;")"&amp;"　"&amp;$CO64),IF($CC64="","○ "&amp;TEXT($P64,"m/d")&amp;"("&amp;CHOOSE(WEEKDAY($P64),"日","月","火","水","木","金","土")&amp;")"&amp;" 入庫で 14日以上もつ",IF($CC64-N('設定'!$C$7)&lt;='設定'!$C$6,"● 入庫しても "&amp;TEXT($CC64,"m/d")&amp;"("&amp;CHOOSE(WEEKDAY($CC64),"日","月","火","水","木","金","土")&amp;")"&amp;" に切れる　もう1便を至急発注（2便目に入れる）","△ 入庫しても "&amp;TEXT($CC64,"m/d")&amp;"("&amp;CHOOSE(WEEKDAY($CC64),"日","月","火","水","木","金","土")&amp;")"&amp;" に切れる　"&amp;TEXT($CC64-N('設定'!$C$7),"m/d")&amp;"("&amp;CHOOSE(WEEKDAY($CC64-N('設定'!$C$7)),"日","月","火","水","木","金","土")&amp;")"&amp;" までに次を発注（2便目に入れる）"))))))))))</f>
        <v/>
      </c>
      <c r="CR64">
        <f>IF($C64="","",IF($G64&gt;1,"ｹｰｽ("&amp;$G64&amp;"入)","個"))</f>
        <v/>
      </c>
      <c r="CS64">
        <f>IF($C64="",0,IF(COUNTIFS('①在庫を貼る'!$V$6:$V$10005,'設定'!$C$4,'①在庫を貼る'!$W$6:$W$10005,$C64)=0,1,0))</f>
        <v/>
      </c>
      <c r="CT64">
        <f>IF(AND($CK64=1,OR('③発注書'!$C$4="すべて",'③発注書'!$C$4="",$F64='③発注書'!$C$4)),N($CT63)+1,N($CT63))</f>
        <v/>
      </c>
      <c r="CU64">
        <f>IF(AND($CL64=1,OR('③発注書'!$C$4="すべて",'③発注書'!$C$4="",$F64='③発注書'!$C$4)),N($CU63)+1,N($CU63))</f>
        <v/>
      </c>
      <c r="CV64">
        <f>IF($C64="",0,IF(COUNTIFS('①在庫を貼る'!$V$6:$V$10005,'設定'!$C$4,'①在庫を貼る'!$W$6:$W$10005,$C64)&gt;0,1,0))</f>
        <v/>
      </c>
      <c r="CW64">
        <f>IF($C64="",0,IF(COUNTIFS('月1回_1ヶ月前の在庫'!$V$6:$V$10005,'設定'!$C$4,'月1回_1ヶ月前の在庫'!$W$6:$W$10005,$C64)&gt;0,1,0))</f>
        <v/>
      </c>
      <c r="CX64">
        <f>IF($C64="",0,IF(COUNTIFS('月1回_2ヶ月前の在庫'!$V$6:$V$10005,'設定'!$C$4,'月1回_2ヶ月前の在庫'!$W$6:$W$10005,$C64)&gt;0,1,0))</f>
        <v/>
      </c>
      <c r="CY64">
        <f>IF(OR($C64="",'設定'!$C$12=""),"",IF('設定'!$C$13="",IF(AND($CV64=1,$CW64=0),"新商品（今月から）",IF(AND($CV64=0,$CW64=1),"終売（今月から）","")),IF(AND($CV64=1,$CW64=0,$CX64=0),"新商品（今月から）",IF(AND($CV64=1,$CW64=1,$CX64=0),"新商品（先月から）",IF(AND($CV64=0,$CW64=1,$CX64=1),"終売（今月から）",IF(AND($CV64=0,$CW64=0,$CX64=1),"終売（先月から）",IF(AND($CV64=1,$CW64=0,$CX64=1),"復活（先月は無し）","")))))))</f>
        <v/>
      </c>
    </row>
    <row r="65">
      <c r="B65">
        <f>IF(60&lt;='設定'!$C$11,60,"")</f>
        <v/>
      </c>
      <c r="C65">
        <f>IF($B65="","",IF($B65&lt;='設定'!$C$20,INDEX('商品マスタ'!$B$6:$B$1005,MATCH($B65,'商品マスタ'!$M$6:$M$1005,0)),IF($B65&lt;='設定'!$C$20+'設定'!$C$17,INDEX('①在庫を貼る'!$W$6:$W$10005,MATCH($B65-'設定'!$C$20,'①在庫を貼る'!$U$6:$U$10005,0)),IF($B65&lt;='設定'!$C$20+'設定'!$C$17+'設定'!$C$18,INDEX('月1回_1ヶ月前の在庫'!$W$6:$W$10005,MATCH($B65-'設定'!$C$20-'設定'!$C$17,'月1回_1ヶ月前の在庫'!$U$6:$U$10005,0)),INDEX('月1回_2ヶ月前の在庫'!$W$6:$W$10005,MATCH($B65-'設定'!$C$20-'設定'!$C$17-'設定'!$C$18,'月1回_2ヶ月前の在庫'!$U$6:$U$10005,0))))))</f>
        <v/>
      </c>
      <c r="D65">
        <f>IF($C65="","",IFERROR(IF(INDEX('商品マスタ'!$C$6:$C$1005,MATCH($C65,'商品マスタ'!$B$6:$B$1005,0))="",IFERROR(INDEX('①在庫を貼る'!$J$6:$J$10005,MATCH($C65,'①在庫を貼る'!$W$6:$W$10005,0)),IFERROR(INDEX('月1回_1ヶ月前の在庫'!$J$6:$J$10005,MATCH($C65,'月1回_1ヶ月前の在庫'!$W$6:$W$10005,0)),IFERROR(INDEX('月1回_2ヶ月前の在庫'!$J$6:$J$10005,MATCH($C65,'月1回_2ヶ月前の在庫'!$W$6:$W$10005,0)),""))),INDEX('商品マスタ'!$C$6:$C$1005,MATCH($C65,'商品マスタ'!$B$6:$B$1005,0))),IFERROR(INDEX('①在庫を貼る'!$J$6:$J$10005,MATCH($C65,'①在庫を貼る'!$W$6:$W$10005,0)),IFERROR(INDEX('月1回_1ヶ月前の在庫'!$J$6:$J$10005,MATCH($C65,'月1回_1ヶ月前の在庫'!$W$6:$W$10005,0)),IFERROR(INDEX('月1回_2ヶ月前の在庫'!$J$6:$J$10005,MATCH($C65,'月1回_2ヶ月前の在庫'!$W$6:$W$10005,0)),"")))))</f>
        <v/>
      </c>
      <c r="E65">
        <f>IF($C65="","",IFERROR(IF(INDEX('商品マスタ'!$D$6:$D$1005,MATCH($C65,'商品マスタ'!$B$6:$B$1005,0))="",IFERROR(INDEX('①在庫を貼る'!$H$6:$H$10005,MATCH($C65,'①在庫を貼る'!$W$6:$W$10005,0)),IFERROR(INDEX('月1回_1ヶ月前の在庫'!$H$6:$H$10005,MATCH($C65,'月1回_1ヶ月前の在庫'!$W$6:$W$10005,0)),IFERROR(INDEX('月1回_2ヶ月前の在庫'!$H$6:$H$10005,MATCH($C65,'月1回_2ヶ月前の在庫'!$W$6:$W$10005,0)),""))),INDEX('商品マスタ'!$D$6:$D$1005,MATCH($C65,'商品マスタ'!$B$6:$B$1005,0))),IFERROR(INDEX('①在庫を貼る'!$H$6:$H$10005,MATCH($C65,'①在庫を貼る'!$W$6:$W$10005,0)),IFERROR(INDEX('月1回_1ヶ月前の在庫'!$H$6:$H$10005,MATCH($C65,'月1回_1ヶ月前の在庫'!$W$6:$W$10005,0)),IFERROR(INDEX('月1回_2ヶ月前の在庫'!$H$6:$H$10005,MATCH($C65,'月1回_2ヶ月前の在庫'!$W$6:$W$10005,0)),"")))))</f>
        <v/>
      </c>
      <c r="F65">
        <f>IF($C65="","",IFERROR(IF(INDEX('商品マスタ'!$E$6:$E$1005,MATCH($C65,'商品マスタ'!$B$6:$B$1005,0))="",IFERROR(INDEX('①在庫を貼る'!$E$6:$E$10005,MATCH($C65,'①在庫を貼る'!$W$6:$W$10005,0)),IFERROR(INDEX('月1回_1ヶ月前の在庫'!$E$6:$E$10005,MATCH($C65,'月1回_1ヶ月前の在庫'!$W$6:$W$10005,0)),IFERROR(INDEX('月1回_2ヶ月前の在庫'!$E$6:$E$10005,MATCH($C65,'月1回_2ヶ月前の在庫'!$W$6:$W$10005,0)),""))),INDEX('商品マスタ'!$E$6:$E$1005,MATCH($C65,'商品マスタ'!$B$6:$B$1005,0))),IFERROR(INDEX('①在庫を貼る'!$E$6:$E$10005,MATCH($C65,'①在庫を貼る'!$W$6:$W$10005,0)),IFERROR(INDEX('月1回_1ヶ月前の在庫'!$E$6:$E$10005,MATCH($C65,'月1回_1ヶ月前の在庫'!$W$6:$W$10005,0)),IFERROR(INDEX('月1回_2ヶ月前の在庫'!$E$6:$E$10005,MATCH($C65,'月1回_2ヶ月前の在庫'!$W$6:$W$10005,0)),"")))))</f>
        <v/>
      </c>
      <c r="G65">
        <f>IF($C65="","",MAX(1,N(IFERROR(IF(INDEX('商品マスタ'!$F$6:$F$1005,MATCH($C65,'商品マスタ'!$B$6:$B$1005,0))="",IF(COUNTIFS('①在庫を貼る'!$V$6:$V$10005,'設定'!$C$4,'①在庫を貼る'!$W$6:$W$10005,$C65)&gt;0,SUMIFS('①在庫を貼る'!$K$6:$K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K$6:$K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K$6:$K$10005,'月1回_2ヶ月前の在庫'!$V$6:$V$10005,'設定'!$C$4,'月1回_2ヶ月前の在庫'!$W$6:$W$10005,$C65)/COUNTIFS('月1回_2ヶ月前の在庫'!$V$6:$V$10005,'設定'!$C$4,'月1回_2ヶ月前の在庫'!$W$6:$W$10005,$C65),0))),INDEX('商品マスタ'!$F$6:$F$1005,MATCH($C65,'商品マスタ'!$B$6:$B$1005,0))),IF(COUNTIFS('①在庫を貼る'!$V$6:$V$10005,'設定'!$C$4,'①在庫を貼る'!$W$6:$W$10005,$C65)&gt;0,SUMIFS('①在庫を貼る'!$K$6:$K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K$6:$K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K$6:$K$10005,'月1回_2ヶ月前の在庫'!$V$6:$V$10005,'設定'!$C$4,'月1回_2ヶ月前の在庫'!$W$6:$W$10005,$C65)/COUNTIFS('月1回_2ヶ月前の在庫'!$V$6:$V$10005,'設定'!$C$4,'月1回_2ヶ月前の在庫'!$W$6:$W$10005,$C65),0)))))))</f>
        <v/>
      </c>
      <c r="H65">
        <f>IF($C65="","",N(IFERROR(IF(INDEX('商品マスタ'!$G$6:$G$1005,MATCH($C65,'商品マスタ'!$B$6:$B$1005,0))="",IF(COUNTIFS('①在庫を貼る'!$V$6:$V$10005,'設定'!$C$4,'①在庫を貼る'!$W$6:$W$10005,$C65)&gt;0,SUMIFS('①在庫を貼る'!$Q$6:$Q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Q$6:$Q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Q$6:$Q$10005,'月1回_2ヶ月前の在庫'!$V$6:$V$10005,'設定'!$C$4,'月1回_2ヶ月前の在庫'!$W$6:$W$10005,$C65)/COUNTIFS('月1回_2ヶ月前の在庫'!$V$6:$V$10005,'設定'!$C$4,'月1回_2ヶ月前の在庫'!$W$6:$W$10005,$C65),0))),INDEX('商品マスタ'!$G$6:$G$1005,MATCH($C65,'商品マスタ'!$B$6:$B$1005,0))),IF(COUNTIFS('①在庫を貼る'!$V$6:$V$10005,'設定'!$C$4,'①在庫を貼る'!$W$6:$W$10005,$C65)&gt;0,SUMIFS('①在庫を貼る'!$Q$6:$Q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Q$6:$Q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Q$6:$Q$10005,'月1回_2ヶ月前の在庫'!$V$6:$V$10005,'設定'!$C$4,'月1回_2ヶ月前の在庫'!$W$6:$W$10005,$C65)/COUNTIFS('月1回_2ヶ月前の在庫'!$V$6:$V$10005,'設定'!$C$4,'月1回_2ヶ月前の在庫'!$W$6:$W$10005,$C65),0))))))</f>
        <v/>
      </c>
      <c r="I65">
        <f>IF($C65="","",IF(COUNTIFS('①在庫を貼る'!$V$6:$V$10005,'設定'!$C$4,'①在庫を貼る'!$W$6:$W$10005,$C65)=0,"",SUMIFS('①在庫を貼る'!$N$6:$N$10005,'①在庫を貼る'!$V$6:$V$10005,'設定'!$C$4,'①在庫を貼る'!$W$6:$W$10005,$C65)))</f>
        <v/>
      </c>
      <c r="J65">
        <f>IF($C65="","",IF('②発注する'!$AD69="","",'②発注する'!$AD69))</f>
        <v/>
      </c>
      <c r="K65" s="90">
        <f>IF($C65="","",IF('②発注する'!$AE69="","",'②発注する'!$AE69))</f>
        <v/>
      </c>
      <c r="L65">
        <f>IF($C65="","",IF(AND(ISNUMBER($J65),ISNUMBER($K65),$K65&gt;='設定'!$C$6),$J65,N($I65)))</f>
        <v/>
      </c>
      <c r="M65">
        <f>IF($C65="","",IFERROR(IF(N(INDEX('商品マスタ'!$J$6:$J$1005,MATCH($C65,'商品マスタ'!$B$6:$B$1005,0)))&gt;0,INDEX('商品マスタ'!$J$6:$J$1005,MATCH($C65,'商品マスタ'!$B$6:$B$1005,0)),""),""))</f>
        <v/>
      </c>
      <c r="N65">
        <f>IF($C65="","",IFERROR(IF(N(INDEX('商品マスタ'!$H$6:$H$1005,MATCH($C65,'商品マスタ'!$B$6:$B$1005,0)))&gt;0,INDEX('商品マスタ'!$H$6:$H$1005,MATCH($C65,'商品マスタ'!$B$6:$B$1005,0)),""),""))</f>
        <v/>
      </c>
      <c r="O65">
        <f>IF($C65="","",IF($N65&lt;&gt;"",$N65*$G65,IF(N(IF(COUNTIFS('①在庫を貼る'!$V$6:$V$10005,'設定'!$C$4,'①在庫を貼る'!$W$6:$W$10005,$C65)&gt;0,SUMIFS('①在庫を貼る'!$O$6:$O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O$6:$O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O$6:$O$10005,'月1回_2ヶ月前の在庫'!$V$6:$V$10005,'設定'!$C$4,'月1回_2ヶ月前の在庫'!$W$6:$W$10005,$C65)/COUNTIFS('月1回_2ヶ月前の在庫'!$V$6:$V$10005,'設定'!$C$4,'月1回_2ヶ月前の在庫'!$W$6:$W$10005,$C65),0))))&gt;0,N(IF(COUNTIFS('①在庫を貼る'!$V$6:$V$10005,'設定'!$C$4,'①在庫を貼る'!$W$6:$W$10005,$C65)&gt;0,SUMIFS('①在庫を貼る'!$O$6:$O$10005,'①在庫を貼る'!$V$6:$V$10005,'設定'!$C$4,'①在庫を貼る'!$W$6:$W$10005,$C65)/COUNTIFS('①在庫を貼る'!$V$6:$V$10005,'設定'!$C$4,'①在庫を貼る'!$W$6:$W$10005,$C65),IF(COUNTIFS('月1回_1ヶ月前の在庫'!$V$6:$V$10005,'設定'!$C$4,'月1回_1ヶ月前の在庫'!$W$6:$W$10005,$C65)&gt;0,SUMIFS('月1回_1ヶ月前の在庫'!$O$6:$O$10005,'月1回_1ヶ月前の在庫'!$V$6:$V$10005,'設定'!$C$4,'月1回_1ヶ月前の在庫'!$W$6:$W$10005,$C65)/COUNTIFS('月1回_1ヶ月前の在庫'!$V$6:$V$10005,'設定'!$C$4,'月1回_1ヶ月前の在庫'!$W$6:$W$10005,$C65),IF(COUNTIFS('月1回_2ヶ月前の在庫'!$V$6:$V$10005,'設定'!$C$4,'月1回_2ヶ月前の在庫'!$W$6:$W$10005,$C65)&gt;0,SUMIFS('月1回_2ヶ月前の在庫'!$O$6:$O$10005,'月1回_2ヶ月前の在庫'!$V$6:$V$10005,'設定'!$C$4,'月1回_2ヶ月前の在庫'!$W$6:$W$10005,$C65)/COUNTIFS('月1回_2ヶ月前の在庫'!$V$6:$V$10005,'設定'!$C$4,'月1回_2ヶ月前の在庫'!$W$6:$W$10005,$C65),0)))),"")))</f>
        <v/>
      </c>
      <c r="P65" s="90">
        <f>IF($C65="","",IF('②発注する'!$I69="","",'②発注する'!$I69))</f>
        <v/>
      </c>
      <c r="Q65">
        <f>IF($C65="","",IF('②発注する'!$J69="","",'②発注する'!$J69))</f>
        <v/>
      </c>
      <c r="R65">
        <f>IF($C65="",0,IF(AND(ISNUMBER($P65),ISNUMBER($Q65)),MAX(0,$Q65)*$G65,0))</f>
        <v/>
      </c>
      <c r="S65" s="90">
        <f>IF($C65="","",IF('②発注する'!$M69="","",'②発注する'!$M69))</f>
        <v/>
      </c>
      <c r="T65">
        <f>IF($C65="","",IF('②発注する'!$N69="","",'②発注する'!$N69))</f>
        <v/>
      </c>
      <c r="U65">
        <f>IF($C65="",0,IF(AND(ISNUMBER($S65),ISNUMBER($T65)),MAX(0,$T65)*$G65,0))</f>
        <v/>
      </c>
      <c r="V65">
        <f>IF($C65="",0,IF($M65="",0,MAX(0,$M65)*MAX(0,V$4)/100))</f>
        <v/>
      </c>
      <c r="W65">
        <f>IF($C65="",0,IF($M65="",0,MAX(0,$M65)*MAX(0,W$4)/100))</f>
        <v/>
      </c>
      <c r="X65">
        <f>IF($C65="",0,IF($M65="",0,MAX(0,$M65)*MAX(0,X$4)/100))</f>
        <v/>
      </c>
      <c r="Y65">
        <f>IF($C65="",0,IF($M65="",0,MAX(0,$M65)*MAX(0,Y$4)/100))</f>
        <v/>
      </c>
      <c r="Z65">
        <f>IF($C65="",0,IF($M65="",0,MAX(0,$M65)*MAX(0,Z$4)/100))</f>
        <v/>
      </c>
      <c r="AA65">
        <f>IF($C65="",0,IF($M65="",0,MAX(0,$M65)*MAX(0,AA$4)/100))</f>
        <v/>
      </c>
      <c r="AB65">
        <f>IF($C65="",0,IF($M65="",0,MAX(0,$M65)*MAX(0,AB$4)/100))</f>
        <v/>
      </c>
      <c r="AC65">
        <f>IF($C65="",0,IF($M65="",0,MAX(0,$M65)*MAX(0,AC$4)/100))</f>
        <v/>
      </c>
      <c r="AD65">
        <f>IF($C65="",0,IF($M65="",0,MAX(0,$M65)*MAX(0,AD$4)/100))</f>
        <v/>
      </c>
      <c r="AE65">
        <f>IF($C65="",0,IF($M65="",0,MAX(0,$M65)*MAX(0,AE$4)/100))</f>
        <v/>
      </c>
      <c r="AF65">
        <f>IF($C65="",0,IF($M65="",0,MAX(0,$M65)*MAX(0,AF$4)/100))</f>
        <v/>
      </c>
      <c r="AG65">
        <f>IF($C65="",0,IF($M65="",0,MAX(0,$M65)*MAX(0,AG$4)/100))</f>
        <v/>
      </c>
      <c r="AH65">
        <f>IF($C65="",0,IF($M65="",0,MAX(0,$M65)*MAX(0,AH$4)/100))</f>
        <v/>
      </c>
      <c r="AI65">
        <f>IF($C65="",0,IF($M65="",0,MAX(0,$M65)*MAX(0,AI$4)/100))</f>
        <v/>
      </c>
      <c r="AJ65">
        <f>IF($C65="",0,MAX(0,MAX(0,N($L65))-$V65))</f>
        <v/>
      </c>
      <c r="AK65">
        <f>IF($C65="",0,MAX(0,$AJ65-$W65))</f>
        <v/>
      </c>
      <c r="AL65">
        <f>IF($C65="",0,MAX(0,$AK65-$X65))</f>
        <v/>
      </c>
      <c r="AM65">
        <f>IF($C65="",0,MAX(0,$AL65-$Y65))</f>
        <v/>
      </c>
      <c r="AN65">
        <f>IF($C65="",0,MAX(0,$AM65-$Z65))</f>
        <v/>
      </c>
      <c r="AO65">
        <f>IF($C65="",0,MAX(0,$AN65-$AA65))</f>
        <v/>
      </c>
      <c r="AP65">
        <f>IF($C65="",0,MAX(0,$AO65-$AB65))</f>
        <v/>
      </c>
      <c r="AQ65">
        <f>IF($C65="",0,MAX(0,$AP65-$AC65))</f>
        <v/>
      </c>
      <c r="AR65">
        <f>IF($C65="",0,MAX(0,$AQ65-$AD65))</f>
        <v/>
      </c>
      <c r="AS65">
        <f>IF($C65="",0,MAX(0,$AR65-$AE65))</f>
        <v/>
      </c>
      <c r="AT65">
        <f>IF($C65="",0,MAX(0,$AS65-$AF65))</f>
        <v/>
      </c>
      <c r="AU65">
        <f>IF($C65="",0,MAX(0,$AT65-$AG65))</f>
        <v/>
      </c>
      <c r="AV65">
        <f>IF($C65="",0,MAX(0,$AU65-$AH65))</f>
        <v/>
      </c>
      <c r="AW65">
        <f>IF($C65="",0,MAX(0,$AV65-$AI65))</f>
        <v/>
      </c>
      <c r="AX65">
        <f>IF($C65="",0,MAX(0,MAX(0,N($L65))+IF($P65=V$3,$R65,0)+IF($S65=V$3,$U65,0)-$V65))</f>
        <v/>
      </c>
      <c r="AY65">
        <f>IF($C65="",0,MAX(0,$AX65+IF($P65=W$3,$R65,0)+IF($S65=W$3,$U65,0)-$W65))</f>
        <v/>
      </c>
      <c r="AZ65">
        <f>IF($C65="",0,MAX(0,$AY65+IF($P65=X$3,$R65,0)+IF($S65=X$3,$U65,0)-$X65))</f>
        <v/>
      </c>
      <c r="BA65">
        <f>IF($C65="",0,MAX(0,$AZ65+IF($P65=Y$3,$R65,0)+IF($S65=Y$3,$U65,0)-$Y65))</f>
        <v/>
      </c>
      <c r="BB65">
        <f>IF($C65="",0,MAX(0,$BA65+IF($P65=Z$3,$R65,0)+IF($S65=Z$3,$U65,0)-$Z65))</f>
        <v/>
      </c>
      <c r="BC65">
        <f>IF($C65="",0,MAX(0,$BB65+IF($P65=AA$3,$R65,0)+IF($S65=AA$3,$U65,0)-$AA65))</f>
        <v/>
      </c>
      <c r="BD65">
        <f>IF($C65="",0,MAX(0,$BC65+IF($P65=AB$3,$R65,0)+IF($S65=AB$3,$U65,0)-$AB65))</f>
        <v/>
      </c>
      <c r="BE65">
        <f>IF($C65="",0,MAX(0,$BD65+IF($P65=AC$3,$R65,0)+IF($S65=AC$3,$U65,0)-$AC65))</f>
        <v/>
      </c>
      <c r="BF65">
        <f>IF($C65="",0,MAX(0,$BE65+IF($P65=AD$3,$R65,0)+IF($S65=AD$3,$U65,0)-$AD65))</f>
        <v/>
      </c>
      <c r="BG65">
        <f>IF($C65="",0,MAX(0,$BF65+IF($P65=AE$3,$R65,0)+IF($S65=AE$3,$U65,0)-$AE65))</f>
        <v/>
      </c>
      <c r="BH65">
        <f>IF($C65="",0,MAX(0,$BG65+IF($P65=AF$3,$R65,0)+IF($S65=AF$3,$U65,0)-$AF65))</f>
        <v/>
      </c>
      <c r="BI65">
        <f>IF($C65="",0,MAX(0,$BH65+IF($P65=AG$3,$R65,0)+IF($S65=AG$3,$U65,0)-$AG65))</f>
        <v/>
      </c>
      <c r="BJ65">
        <f>IF($C65="",0,MAX(0,$BI65+IF($P65=AH$3,$R65,0)+IF($S65=AH$3,$U65,0)-$AH65))</f>
        <v/>
      </c>
      <c r="BK65">
        <f>IF($C65="",0,MAX(0,$BJ65+IF($P65=AI$3,$R65,0)+IF($S65=AI$3,$U65,0)-$AI65))</f>
        <v/>
      </c>
      <c r="BL65">
        <f>IF($C65="",99,IF(AND($AX65&lt;1,V$3&gt;=MAX(N($P65),N($S65))),0,99))</f>
        <v/>
      </c>
      <c r="BM65">
        <f>IF($C65="",99,IF(AND($AY65&lt;1,W$3&gt;=MAX(N($P65),N($S65))),1,99))</f>
        <v/>
      </c>
      <c r="BN65">
        <f>IF($C65="",99,IF(AND($AZ65&lt;1,X$3&gt;=MAX(N($P65),N($S65))),2,99))</f>
        <v/>
      </c>
      <c r="BO65">
        <f>IF($C65="",99,IF(AND($BA65&lt;1,Y$3&gt;=MAX(N($P65),N($S65))),3,99))</f>
        <v/>
      </c>
      <c r="BP65">
        <f>IF($C65="",99,IF(AND($BB65&lt;1,Z$3&gt;=MAX(N($P65),N($S65))),4,99))</f>
        <v/>
      </c>
      <c r="BQ65">
        <f>IF($C65="",99,IF(AND($BC65&lt;1,AA$3&gt;=MAX(N($P65),N($S65))),5,99))</f>
        <v/>
      </c>
      <c r="BR65">
        <f>IF($C65="",99,IF(AND($BD65&lt;1,AB$3&gt;=MAX(N($P65),N($S65))),6,99))</f>
        <v/>
      </c>
      <c r="BS65">
        <f>IF($C65="",99,IF(AND($BE65&lt;1,AC$3&gt;=MAX(N($P65),N($S65))),7,99))</f>
        <v/>
      </c>
      <c r="BT65">
        <f>IF($C65="",99,IF(AND($BF65&lt;1,AD$3&gt;=MAX(N($P65),N($S65))),8,99))</f>
        <v/>
      </c>
      <c r="BU65">
        <f>IF($C65="",99,IF(AND($BG65&lt;1,AE$3&gt;=MAX(N($P65),N($S65))),9,99))</f>
        <v/>
      </c>
      <c r="BV65">
        <f>IF($C65="",99,IF(AND($BH65&lt;1,AF$3&gt;=MAX(N($P65),N($S65))),10,99))</f>
        <v/>
      </c>
      <c r="BW65">
        <f>IF($C65="",99,IF(AND($BI65&lt;1,AG$3&gt;=MAX(N($P65),N($S65))),11,99))</f>
        <v/>
      </c>
      <c r="BX65">
        <f>IF($C65="",99,IF(AND($BJ65&lt;1,AH$3&gt;=MAX(N($P65),N($S65))),12,99))</f>
        <v/>
      </c>
      <c r="BY65">
        <f>IF($C65="",99,IF(AND($BK65&lt;1,AI$3&gt;=MAX(N($P65),N($S65))),13,99))</f>
        <v/>
      </c>
      <c r="BZ65">
        <f>IF(OR($C65="",$M65=""),"",COUNTIF($AJ65:$AW65,"&gt;=1"))</f>
        <v/>
      </c>
      <c r="CA65" s="90">
        <f>IF($BZ65="","",IF($BZ65&gt;=14,"",'設定'!$C$6+$BZ65))</f>
        <v/>
      </c>
      <c r="CB65">
        <f>IF(OR($C65="",$M65=""),"",MIN($BL65:$BY65))</f>
        <v/>
      </c>
      <c r="CC65" s="90">
        <f>IF($CB65="","",IF($CB65&gt;=99,"",'設定'!$C$6+$CB65))</f>
        <v/>
      </c>
      <c r="CD65">
        <f>IF(OR($C65="",$M65=""),"",AVERAGE($V65:$AI65))</f>
        <v/>
      </c>
      <c r="CE65">
        <f>IF($C65="","",IFERROR(IF(MATCH(IF(ISNUMBER($P65),$P65,'設定'!$C$6+N('設定'!$C$7)),$V$3:$AI$3,0)=1,MAX(0,N($L65)),INDEX($AJ65:$AW65,MATCH(IF(ISNUMBER($P65),$P65,'設定'!$C$6+N('設定'!$C$7)),$V$3:$AI$3,0)-1)),""))</f>
        <v/>
      </c>
      <c r="CF65">
        <f>IF(OR($C65="",$O65="",$CE65=""),"",IF($O65-$CE65&lt;=0,0,ROUNDUP(($O65-$CE65)/$G65,0)))</f>
        <v/>
      </c>
      <c r="CG65">
        <f>IF(OR($C65="",$CF65="",NOT(ISNUMBER($Q65))),0,MAX(0,$Q65-$CF65))</f>
        <v/>
      </c>
      <c r="CH65">
        <f>IF(OR($C65="",$O65="",$U65=0),0,IFERROR(ROUNDUP(MAX(0,IF(MATCH($S65,$V$3:$AI$3,0)=1,MAX(0,N($L65)),INDEX($AX65:$BK65,MATCH($S65,$V$3:$AI$3,0)-1))+$U65-$O65)/$G65,0),0))</f>
        <v/>
      </c>
      <c r="CI65">
        <f>IF($C65="","",IF(AND($P65="",$Q65=""),"",IF($P65="","⚠ 入庫日を ▼ から選んでください",IF(NOT(ISNUMBER($P65)),"⚠ 入庫日は ▼ から選んでください",IF($P65&lt;N('設定'!$C$6),"⚠ 入庫日が過去です（もう在庫に入っています）→ 消してください",IF($P65&gt;N('設定'!$C$6)+13,"⚠ 入庫日が14日より先です",IF(N($Q65)&lt;=0,"⚠ 入庫数を入れてください",IF($CG65&gt;0,"⚠ 目安より "&amp;$CG65&amp;" 多い（定数を超える）→ 減らす",""))))))))</f>
        <v/>
      </c>
      <c r="CJ65">
        <f>IF($C65="","",IF(AND($S65="",$T65=""),"",IF($S65="","⚠ 2便目：入庫日を ▼ から選んでください",IF(NOT(ISNUMBER($S65)),"⚠ 2便目：入庫日は ▼ から選んでください",IF($S65&lt;N('設定'!$C$6),"⚠ 2便目：入庫日が過去です（もう在庫に入っています）→ 消してください",IF($S65&gt;N('設定'!$C$6)+13,"⚠ 2便目：入庫日が14日より先です",IF(N($T65)&lt;=0,"⚠ 2便目：入庫数を入れてください",IF($CH65&gt;0,"⚠ 2便目：定数を "&amp;$CH65&amp;" ケース超える → 減らす",""))))))))</f>
        <v/>
      </c>
      <c r="CK65">
        <f>IF(AND($CI65="",N($Q65)&gt;0,ISNUMBER($P65)),1,0)</f>
        <v/>
      </c>
      <c r="CL65">
        <f>IF(AND($CJ65="",N($T65)&gt;0,ISNUMBER($S65)),1,0)</f>
        <v/>
      </c>
      <c r="CM65">
        <f>IF(OR($CK65=1,$CL65=1),1,0)</f>
        <v/>
      </c>
      <c r="CN65">
        <f>IF($C65="",0,($CK65*$R65+$CL65*$U65)*N($H65))</f>
        <v/>
      </c>
      <c r="CO65">
        <f>IF($C65="","",IF($CC65="","入庫後は 14日以上もつ",IF($CC65-N('設定'!$C$7)&lt;='設定'!$C$6,"入庫後も "&amp;TEXT($CC65,"m/d")&amp;"("&amp;CHOOSE(WEEKDAY($CC65),"日","月","火","水","木","金","土")&amp;")"&amp;" に切れる　もう1便を至急発注","入庫後も "&amp;TEXT($CC65,"m/d")&amp;"("&amp;CHOOSE(WEEKDAY($CC65),"日","月","火","水","木","金","土")&amp;")"&amp;" に切れる　"&amp;TEXT($CC65-N('設定'!$C$7),"m/d")&amp;"("&amp;CHOOSE(WEEKDAY($CC65-N('設定'!$C$7)),"日","月","火","水","木","金","土")&amp;")"&amp;" までに次を発注")))</f>
        <v/>
      </c>
      <c r="CP65">
        <f>IF($C65="","",IF('設定'!$C$6="","？ ①在庫を貼る に今日のCSVが貼られていない",IF($CS65=1,"－ 今日のCSVに無い（終売？）",IF($L65&lt;0,"● 在庫がマイナス　数えて「数えた在庫」に入れる",IF($L65=0,"● 在庫なし　至急発注",IF($M65="","？ 減り数が未設定（商品マスタ）",IF($B$3=0,"？ 動員が未入力（動員を入れる）",IF($CA65="","○ 14日以上もつ",IF($BZ65&lt;N('設定'!$C$7),"● "&amp;TEXT($CA65,"m/d")&amp;"("&amp;CHOOSE(WEEKDAY($CA65),"日","月","火","水","木","金","土")&amp;")"&amp;" に切れる　至急発注",IF($BZ65=N('設定'!$C$7),"● "&amp;TEXT($CA65,"m/d")&amp;"("&amp;CHOOSE(WEEKDAY($CA65),"日","月","火","水","木","金","土")&amp;")"&amp;" に切れる　今日発注","△ "&amp;TEXT($CA65,"m/d")&amp;"("&amp;CHOOSE(WEEKDAY($CA65),"日","月","火","水","木","金","土")&amp;")"&amp;" に切れる　"&amp;TEXT($CA65-N('設定'!$C$7),"m/d")&amp;"("&amp;CHOOSE(WEEKDAY($CA65-N('設定'!$C$7)),"日","月","火","水","木","金","土")&amp;")"&amp;" までに発注"))))))))))</f>
        <v/>
      </c>
      <c r="CQ65">
        <f>IF($C65="","",IF(AND($P65="",$Q65="",$S65="",$T65=""),"",IF(AND($P65="",$Q65=""),"⚠ 先に1便目（左の入庫日・入庫数）に入れてください",IF($CI65&lt;&gt;"",$CI65,IF($CJ65&lt;&gt;"",$CJ65,IF($M65="","？ 減り数が未設定（発注書には載ります）",IF($B$3=0,"？ 動員が未入力（発注書には載ります）",IF(AND($CA65&lt;&gt;"",$P65&gt;$CA65),IF($P65&gt;'設定'!$C$6+N('設定'!$C$7),"● "&amp;TEXT($P65,"m/d")&amp;"("&amp;CHOOSE(WEEKDAY($P65),"日","月","火","水","木","金","土")&amp;")"&amp;" の入庫では間に合わない（"&amp;TEXT($CA65,"m/d")&amp;"("&amp;CHOOSE(WEEKDAY($CA65),"日","月","火","水","木","金","土")&amp;")"&amp;" に切れる）　入庫日を早める","△ 欠品 "&amp;TEXT($CA65,"m/d")&amp;"("&amp;CHOOSE(WEEKDAY($CA65),"日","月","火","水","木","金","土")&amp;")"&amp;"〜"&amp;TEXT($P65-1,"m/d")&amp;"("&amp;CHOOSE(WEEKDAY($P65-1),"日","月","火","水","木","金","土")&amp;")"&amp;"　"&amp;$CO65),IF($CC65="","○ "&amp;TEXT($P65,"m/d")&amp;"("&amp;CHOOSE(WEEKDAY($P65),"日","月","火","水","木","金","土")&amp;")"&amp;" 入庫で 14日以上もつ",IF($CC65-N('設定'!$C$7)&lt;='設定'!$C$6,"● 入庫しても "&amp;TEXT($CC65,"m/d")&amp;"("&amp;CHOOSE(WEEKDAY($CC65),"日","月","火","水","木","金","土")&amp;")"&amp;" に切れる　もう1便を至急発注（2便目に入れる）","△ 入庫しても "&amp;TEXT($CC65,"m/d")&amp;"("&amp;CHOOSE(WEEKDAY($CC65),"日","月","火","水","木","金","土")&amp;")"&amp;" に切れる　"&amp;TEXT($CC65-N('設定'!$C$7),"m/d")&amp;"("&amp;CHOOSE(WEEKDAY($CC65-N('設定'!$C$7)),"日","月","火","水","木","金","土")&amp;")"&amp;" までに次を発注（2便目に入れる）"))))))))))</f>
        <v/>
      </c>
      <c r="CR65">
        <f>IF($C65="","",IF($G65&gt;1,"ｹｰｽ("&amp;$G65&amp;"入)","個"))</f>
        <v/>
      </c>
      <c r="CS65">
        <f>IF($C65="",0,IF(COUNTIFS('①在庫を貼る'!$V$6:$V$10005,'設定'!$C$4,'①在庫を貼る'!$W$6:$W$10005,$C65)=0,1,0))</f>
        <v/>
      </c>
      <c r="CT65">
        <f>IF(AND($CK65=1,OR('③発注書'!$C$4="すべて",'③発注書'!$C$4="",$F65='③発注書'!$C$4)),N($CT64)+1,N($CT64))</f>
        <v/>
      </c>
      <c r="CU65">
        <f>IF(AND($CL65=1,OR('③発注書'!$C$4="すべて",'③発注書'!$C$4="",$F65='③発注書'!$C$4)),N($CU64)+1,N($CU64))</f>
        <v/>
      </c>
      <c r="CV65">
        <f>IF($C65="",0,IF(COUNTIFS('①在庫を貼る'!$V$6:$V$10005,'設定'!$C$4,'①在庫を貼る'!$W$6:$W$10005,$C65)&gt;0,1,0))</f>
        <v/>
      </c>
      <c r="CW65">
        <f>IF($C65="",0,IF(COUNTIFS('月1回_1ヶ月前の在庫'!$V$6:$V$10005,'設定'!$C$4,'月1回_1ヶ月前の在庫'!$W$6:$W$10005,$C65)&gt;0,1,0))</f>
        <v/>
      </c>
      <c r="CX65">
        <f>IF($C65="",0,IF(COUNTIFS('月1回_2ヶ月前の在庫'!$V$6:$V$10005,'設定'!$C$4,'月1回_2ヶ月前の在庫'!$W$6:$W$10005,$C65)&gt;0,1,0))</f>
        <v/>
      </c>
      <c r="CY65">
        <f>IF(OR($C65="",'設定'!$C$12=""),"",IF('設定'!$C$13="",IF(AND($CV65=1,$CW65=0),"新商品（今月から）",IF(AND($CV65=0,$CW65=1),"終売（今月から）","")),IF(AND($CV65=1,$CW65=0,$CX65=0),"新商品（今月から）",IF(AND($CV65=1,$CW65=1,$CX65=0),"新商品（先月から）",IF(AND($CV65=0,$CW65=1,$CX65=1),"終売（今月から）",IF(AND($CV65=0,$CW65=0,$CX65=1),"終売（先月から）",IF(AND($CV65=1,$CW65=0,$CX65=1),"復活（先月は無し）","")))))))</f>
        <v/>
      </c>
    </row>
    <row r="66">
      <c r="B66">
        <f>IF(61&lt;='設定'!$C$11,61,"")</f>
        <v/>
      </c>
      <c r="C66">
        <f>IF($B66="","",IF($B66&lt;='設定'!$C$20,INDEX('商品マスタ'!$B$6:$B$1005,MATCH($B66,'商品マスタ'!$M$6:$M$1005,0)),IF($B66&lt;='設定'!$C$20+'設定'!$C$17,INDEX('①在庫を貼る'!$W$6:$W$10005,MATCH($B66-'設定'!$C$20,'①在庫を貼る'!$U$6:$U$10005,0)),IF($B66&lt;='設定'!$C$20+'設定'!$C$17+'設定'!$C$18,INDEX('月1回_1ヶ月前の在庫'!$W$6:$W$10005,MATCH($B66-'設定'!$C$20-'設定'!$C$17,'月1回_1ヶ月前の在庫'!$U$6:$U$10005,0)),INDEX('月1回_2ヶ月前の在庫'!$W$6:$W$10005,MATCH($B66-'設定'!$C$20-'設定'!$C$17-'設定'!$C$18,'月1回_2ヶ月前の在庫'!$U$6:$U$10005,0))))))</f>
        <v/>
      </c>
      <c r="D66">
        <f>IF($C66="","",IFERROR(IF(INDEX('商品マスタ'!$C$6:$C$1005,MATCH($C66,'商品マスタ'!$B$6:$B$1005,0))="",IFERROR(INDEX('①在庫を貼る'!$J$6:$J$10005,MATCH($C66,'①在庫を貼る'!$W$6:$W$10005,0)),IFERROR(INDEX('月1回_1ヶ月前の在庫'!$J$6:$J$10005,MATCH($C66,'月1回_1ヶ月前の在庫'!$W$6:$W$10005,0)),IFERROR(INDEX('月1回_2ヶ月前の在庫'!$J$6:$J$10005,MATCH($C66,'月1回_2ヶ月前の在庫'!$W$6:$W$10005,0)),""))),INDEX('商品マスタ'!$C$6:$C$1005,MATCH($C66,'商品マスタ'!$B$6:$B$1005,0))),IFERROR(INDEX('①在庫を貼る'!$J$6:$J$10005,MATCH($C66,'①在庫を貼る'!$W$6:$W$10005,0)),IFERROR(INDEX('月1回_1ヶ月前の在庫'!$J$6:$J$10005,MATCH($C66,'月1回_1ヶ月前の在庫'!$W$6:$W$10005,0)),IFERROR(INDEX('月1回_2ヶ月前の在庫'!$J$6:$J$10005,MATCH($C66,'月1回_2ヶ月前の在庫'!$W$6:$W$10005,0)),"")))))</f>
        <v/>
      </c>
      <c r="E66">
        <f>IF($C66="","",IFERROR(IF(INDEX('商品マスタ'!$D$6:$D$1005,MATCH($C66,'商品マスタ'!$B$6:$B$1005,0))="",IFERROR(INDEX('①在庫を貼る'!$H$6:$H$10005,MATCH($C66,'①在庫を貼る'!$W$6:$W$10005,0)),IFERROR(INDEX('月1回_1ヶ月前の在庫'!$H$6:$H$10005,MATCH($C66,'月1回_1ヶ月前の在庫'!$W$6:$W$10005,0)),IFERROR(INDEX('月1回_2ヶ月前の在庫'!$H$6:$H$10005,MATCH($C66,'月1回_2ヶ月前の在庫'!$W$6:$W$10005,0)),""))),INDEX('商品マスタ'!$D$6:$D$1005,MATCH($C66,'商品マスタ'!$B$6:$B$1005,0))),IFERROR(INDEX('①在庫を貼る'!$H$6:$H$10005,MATCH($C66,'①在庫を貼る'!$W$6:$W$10005,0)),IFERROR(INDEX('月1回_1ヶ月前の在庫'!$H$6:$H$10005,MATCH($C66,'月1回_1ヶ月前の在庫'!$W$6:$W$10005,0)),IFERROR(INDEX('月1回_2ヶ月前の在庫'!$H$6:$H$10005,MATCH($C66,'月1回_2ヶ月前の在庫'!$W$6:$W$10005,0)),"")))))</f>
        <v/>
      </c>
      <c r="F66">
        <f>IF($C66="","",IFERROR(IF(INDEX('商品マスタ'!$E$6:$E$1005,MATCH($C66,'商品マスタ'!$B$6:$B$1005,0))="",IFERROR(INDEX('①在庫を貼る'!$E$6:$E$10005,MATCH($C66,'①在庫を貼る'!$W$6:$W$10005,0)),IFERROR(INDEX('月1回_1ヶ月前の在庫'!$E$6:$E$10005,MATCH($C66,'月1回_1ヶ月前の在庫'!$W$6:$W$10005,0)),IFERROR(INDEX('月1回_2ヶ月前の在庫'!$E$6:$E$10005,MATCH($C66,'月1回_2ヶ月前の在庫'!$W$6:$W$10005,0)),""))),INDEX('商品マスタ'!$E$6:$E$1005,MATCH($C66,'商品マスタ'!$B$6:$B$1005,0))),IFERROR(INDEX('①在庫を貼る'!$E$6:$E$10005,MATCH($C66,'①在庫を貼る'!$W$6:$W$10005,0)),IFERROR(INDEX('月1回_1ヶ月前の在庫'!$E$6:$E$10005,MATCH($C66,'月1回_1ヶ月前の在庫'!$W$6:$W$10005,0)),IFERROR(INDEX('月1回_2ヶ月前の在庫'!$E$6:$E$10005,MATCH($C66,'月1回_2ヶ月前の在庫'!$W$6:$W$10005,0)),"")))))</f>
        <v/>
      </c>
      <c r="G66">
        <f>IF($C66="","",MAX(1,N(IFERROR(IF(INDEX('商品マスタ'!$F$6:$F$1005,MATCH($C66,'商品マスタ'!$B$6:$B$1005,0))="",IF(COUNTIFS('①在庫を貼る'!$V$6:$V$10005,'設定'!$C$4,'①在庫を貼る'!$W$6:$W$10005,$C66)&gt;0,SUMIFS('①在庫を貼る'!$K$6:$K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K$6:$K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K$6:$K$10005,'月1回_2ヶ月前の在庫'!$V$6:$V$10005,'設定'!$C$4,'月1回_2ヶ月前の在庫'!$W$6:$W$10005,$C66)/COUNTIFS('月1回_2ヶ月前の在庫'!$V$6:$V$10005,'設定'!$C$4,'月1回_2ヶ月前の在庫'!$W$6:$W$10005,$C66),0))),INDEX('商品マスタ'!$F$6:$F$1005,MATCH($C66,'商品マスタ'!$B$6:$B$1005,0))),IF(COUNTIFS('①在庫を貼る'!$V$6:$V$10005,'設定'!$C$4,'①在庫を貼る'!$W$6:$W$10005,$C66)&gt;0,SUMIFS('①在庫を貼る'!$K$6:$K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K$6:$K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K$6:$K$10005,'月1回_2ヶ月前の在庫'!$V$6:$V$10005,'設定'!$C$4,'月1回_2ヶ月前の在庫'!$W$6:$W$10005,$C66)/COUNTIFS('月1回_2ヶ月前の在庫'!$V$6:$V$10005,'設定'!$C$4,'月1回_2ヶ月前の在庫'!$W$6:$W$10005,$C66),0)))))))</f>
        <v/>
      </c>
      <c r="H66">
        <f>IF($C66="","",N(IFERROR(IF(INDEX('商品マスタ'!$G$6:$G$1005,MATCH($C66,'商品マスタ'!$B$6:$B$1005,0))="",IF(COUNTIFS('①在庫を貼る'!$V$6:$V$10005,'設定'!$C$4,'①在庫を貼る'!$W$6:$W$10005,$C66)&gt;0,SUMIFS('①在庫を貼る'!$Q$6:$Q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Q$6:$Q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Q$6:$Q$10005,'月1回_2ヶ月前の在庫'!$V$6:$V$10005,'設定'!$C$4,'月1回_2ヶ月前の在庫'!$W$6:$W$10005,$C66)/COUNTIFS('月1回_2ヶ月前の在庫'!$V$6:$V$10005,'設定'!$C$4,'月1回_2ヶ月前の在庫'!$W$6:$W$10005,$C66),0))),INDEX('商品マスタ'!$G$6:$G$1005,MATCH($C66,'商品マスタ'!$B$6:$B$1005,0))),IF(COUNTIFS('①在庫を貼る'!$V$6:$V$10005,'設定'!$C$4,'①在庫を貼る'!$W$6:$W$10005,$C66)&gt;0,SUMIFS('①在庫を貼る'!$Q$6:$Q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Q$6:$Q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Q$6:$Q$10005,'月1回_2ヶ月前の在庫'!$V$6:$V$10005,'設定'!$C$4,'月1回_2ヶ月前の在庫'!$W$6:$W$10005,$C66)/COUNTIFS('月1回_2ヶ月前の在庫'!$V$6:$V$10005,'設定'!$C$4,'月1回_2ヶ月前の在庫'!$W$6:$W$10005,$C66),0))))))</f>
        <v/>
      </c>
      <c r="I66">
        <f>IF($C66="","",IF(COUNTIFS('①在庫を貼る'!$V$6:$V$10005,'設定'!$C$4,'①在庫を貼る'!$W$6:$W$10005,$C66)=0,"",SUMIFS('①在庫を貼る'!$N$6:$N$10005,'①在庫を貼る'!$V$6:$V$10005,'設定'!$C$4,'①在庫を貼る'!$W$6:$W$10005,$C66)))</f>
        <v/>
      </c>
      <c r="J66">
        <f>IF($C66="","",IF('②発注する'!$AD70="","",'②発注する'!$AD70))</f>
        <v/>
      </c>
      <c r="K66" s="90">
        <f>IF($C66="","",IF('②発注する'!$AE70="","",'②発注する'!$AE70))</f>
        <v/>
      </c>
      <c r="L66">
        <f>IF($C66="","",IF(AND(ISNUMBER($J66),ISNUMBER($K66),$K66&gt;='設定'!$C$6),$J66,N($I66)))</f>
        <v/>
      </c>
      <c r="M66">
        <f>IF($C66="","",IFERROR(IF(N(INDEX('商品マスタ'!$J$6:$J$1005,MATCH($C66,'商品マスタ'!$B$6:$B$1005,0)))&gt;0,INDEX('商品マスタ'!$J$6:$J$1005,MATCH($C66,'商品マスタ'!$B$6:$B$1005,0)),""),""))</f>
        <v/>
      </c>
      <c r="N66">
        <f>IF($C66="","",IFERROR(IF(N(INDEX('商品マスタ'!$H$6:$H$1005,MATCH($C66,'商品マスタ'!$B$6:$B$1005,0)))&gt;0,INDEX('商品マスタ'!$H$6:$H$1005,MATCH($C66,'商品マスタ'!$B$6:$B$1005,0)),""),""))</f>
        <v/>
      </c>
      <c r="O66">
        <f>IF($C66="","",IF($N66&lt;&gt;"",$N66*$G66,IF(N(IF(COUNTIFS('①在庫を貼る'!$V$6:$V$10005,'設定'!$C$4,'①在庫を貼る'!$W$6:$W$10005,$C66)&gt;0,SUMIFS('①在庫を貼る'!$O$6:$O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O$6:$O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O$6:$O$10005,'月1回_2ヶ月前の在庫'!$V$6:$V$10005,'設定'!$C$4,'月1回_2ヶ月前の在庫'!$W$6:$W$10005,$C66)/COUNTIFS('月1回_2ヶ月前の在庫'!$V$6:$V$10005,'設定'!$C$4,'月1回_2ヶ月前の在庫'!$W$6:$W$10005,$C66),0))))&gt;0,N(IF(COUNTIFS('①在庫を貼る'!$V$6:$V$10005,'設定'!$C$4,'①在庫を貼る'!$W$6:$W$10005,$C66)&gt;0,SUMIFS('①在庫を貼る'!$O$6:$O$10005,'①在庫を貼る'!$V$6:$V$10005,'設定'!$C$4,'①在庫を貼る'!$W$6:$W$10005,$C66)/COUNTIFS('①在庫を貼る'!$V$6:$V$10005,'設定'!$C$4,'①在庫を貼る'!$W$6:$W$10005,$C66),IF(COUNTIFS('月1回_1ヶ月前の在庫'!$V$6:$V$10005,'設定'!$C$4,'月1回_1ヶ月前の在庫'!$W$6:$W$10005,$C66)&gt;0,SUMIFS('月1回_1ヶ月前の在庫'!$O$6:$O$10005,'月1回_1ヶ月前の在庫'!$V$6:$V$10005,'設定'!$C$4,'月1回_1ヶ月前の在庫'!$W$6:$W$10005,$C66)/COUNTIFS('月1回_1ヶ月前の在庫'!$V$6:$V$10005,'設定'!$C$4,'月1回_1ヶ月前の在庫'!$W$6:$W$10005,$C66),IF(COUNTIFS('月1回_2ヶ月前の在庫'!$V$6:$V$10005,'設定'!$C$4,'月1回_2ヶ月前の在庫'!$W$6:$W$10005,$C66)&gt;0,SUMIFS('月1回_2ヶ月前の在庫'!$O$6:$O$10005,'月1回_2ヶ月前の在庫'!$V$6:$V$10005,'設定'!$C$4,'月1回_2ヶ月前の在庫'!$W$6:$W$10005,$C66)/COUNTIFS('月1回_2ヶ月前の在庫'!$V$6:$V$10005,'設定'!$C$4,'月1回_2ヶ月前の在庫'!$W$6:$W$10005,$C66),0)))),"")))</f>
        <v/>
      </c>
      <c r="P66" s="90">
        <f>IF($C66="","",IF('②発注する'!$I70="","",'②発注する'!$I70))</f>
        <v/>
      </c>
      <c r="Q66">
        <f>IF($C66="","",IF('②発注する'!$J70="","",'②発注する'!$J70))</f>
        <v/>
      </c>
      <c r="R66">
        <f>IF($C66="",0,IF(AND(ISNUMBER($P66),ISNUMBER($Q66)),MAX(0,$Q66)*$G66,0))</f>
        <v/>
      </c>
      <c r="S66" s="90">
        <f>IF($C66="","",IF('②発注する'!$M70="","",'②発注する'!$M70))</f>
        <v/>
      </c>
      <c r="T66">
        <f>IF($C66="","",IF('②発注する'!$N70="","",'②発注する'!$N70))</f>
        <v/>
      </c>
      <c r="U66">
        <f>IF($C66="",0,IF(AND(ISNUMBER($S66),ISNUMBER($T66)),MAX(0,$T66)*$G66,0))</f>
        <v/>
      </c>
      <c r="V66">
        <f>IF($C66="",0,IF($M66="",0,MAX(0,$M66)*MAX(0,V$4)/100))</f>
        <v/>
      </c>
      <c r="W66">
        <f>IF($C66="",0,IF($M66="",0,MAX(0,$M66)*MAX(0,W$4)/100))</f>
        <v/>
      </c>
      <c r="X66">
        <f>IF($C66="",0,IF($M66="",0,MAX(0,$M66)*MAX(0,X$4)/100))</f>
        <v/>
      </c>
      <c r="Y66">
        <f>IF($C66="",0,IF($M66="",0,MAX(0,$M66)*MAX(0,Y$4)/100))</f>
        <v/>
      </c>
      <c r="Z66">
        <f>IF($C66="",0,IF($M66="",0,MAX(0,$M66)*MAX(0,Z$4)/100))</f>
        <v/>
      </c>
      <c r="AA66">
        <f>IF($C66="",0,IF($M66="",0,MAX(0,$M66)*MAX(0,AA$4)/100))</f>
        <v/>
      </c>
      <c r="AB66">
        <f>IF($C66="",0,IF($M66="",0,MAX(0,$M66)*MAX(0,AB$4)/100))</f>
        <v/>
      </c>
      <c r="AC66">
        <f>IF($C66="",0,IF($M66="",0,MAX(0,$M66)*MAX(0,AC$4)/100))</f>
        <v/>
      </c>
      <c r="AD66">
        <f>IF($C66="",0,IF($M66="",0,MAX(0,$M66)*MAX(0,AD$4)/100))</f>
        <v/>
      </c>
      <c r="AE66">
        <f>IF($C66="",0,IF($M66="",0,MAX(0,$M66)*MAX(0,AE$4)/100))</f>
        <v/>
      </c>
      <c r="AF66">
        <f>IF($C66="",0,IF($M66="",0,MAX(0,$M66)*MAX(0,AF$4)/100))</f>
        <v/>
      </c>
      <c r="AG66">
        <f>IF($C66="",0,IF($M66="",0,MAX(0,$M66)*MAX(0,AG$4)/100))</f>
        <v/>
      </c>
      <c r="AH66">
        <f>IF($C66="",0,IF($M66="",0,MAX(0,$M66)*MAX(0,AH$4)/100))</f>
        <v/>
      </c>
      <c r="AI66">
        <f>IF($C66="",0,IF($M66="",0,MAX(0,$M66)*MAX(0,AI$4)/100))</f>
        <v/>
      </c>
      <c r="AJ66">
        <f>IF($C66="",0,MAX(0,MAX(0,N($L66))-$V66))</f>
        <v/>
      </c>
      <c r="AK66">
        <f>IF($C66="",0,MAX(0,$AJ66-$W66))</f>
        <v/>
      </c>
      <c r="AL66">
        <f>IF($C66="",0,MAX(0,$AK66-$X66))</f>
        <v/>
      </c>
      <c r="AM66">
        <f>IF($C66="",0,MAX(0,$AL66-$Y66))</f>
        <v/>
      </c>
      <c r="AN66">
        <f>IF($C66="",0,MAX(0,$AM66-$Z66))</f>
        <v/>
      </c>
      <c r="AO66">
        <f>IF($C66="",0,MAX(0,$AN66-$AA66))</f>
        <v/>
      </c>
      <c r="AP66">
        <f>IF($C66="",0,MAX(0,$AO66-$AB66))</f>
        <v/>
      </c>
      <c r="AQ66">
        <f>IF($C66="",0,MAX(0,$AP66-$AC66))</f>
        <v/>
      </c>
      <c r="AR66">
        <f>IF($C66="",0,MAX(0,$AQ66-$AD66))</f>
        <v/>
      </c>
      <c r="AS66">
        <f>IF($C66="",0,MAX(0,$AR66-$AE66))</f>
        <v/>
      </c>
      <c r="AT66">
        <f>IF($C66="",0,MAX(0,$AS66-$AF66))</f>
        <v/>
      </c>
      <c r="AU66">
        <f>IF($C66="",0,MAX(0,$AT66-$AG66))</f>
        <v/>
      </c>
      <c r="AV66">
        <f>IF($C66="",0,MAX(0,$AU66-$AH66))</f>
        <v/>
      </c>
      <c r="AW66">
        <f>IF($C66="",0,MAX(0,$AV66-$AI66))</f>
        <v/>
      </c>
      <c r="AX66">
        <f>IF($C66="",0,MAX(0,MAX(0,N($L66))+IF($P66=V$3,$R66,0)+IF($S66=V$3,$U66,0)-$V66))</f>
        <v/>
      </c>
      <c r="AY66">
        <f>IF($C66="",0,MAX(0,$AX66+IF($P66=W$3,$R66,0)+IF($S66=W$3,$U66,0)-$W66))</f>
        <v/>
      </c>
      <c r="AZ66">
        <f>IF($C66="",0,MAX(0,$AY66+IF($P66=X$3,$R66,0)+IF($S66=X$3,$U66,0)-$X66))</f>
        <v/>
      </c>
      <c r="BA66">
        <f>IF($C66="",0,MAX(0,$AZ66+IF($P66=Y$3,$R66,0)+IF($S66=Y$3,$U66,0)-$Y66))</f>
        <v/>
      </c>
      <c r="BB66">
        <f>IF($C66="",0,MAX(0,$BA66+IF($P66=Z$3,$R66,0)+IF($S66=Z$3,$U66,0)-$Z66))</f>
        <v/>
      </c>
      <c r="BC66">
        <f>IF($C66="",0,MAX(0,$BB66+IF($P66=AA$3,$R66,0)+IF($S66=AA$3,$U66,0)-$AA66))</f>
        <v/>
      </c>
      <c r="BD66">
        <f>IF($C66="",0,MAX(0,$BC66+IF($P66=AB$3,$R66,0)+IF($S66=AB$3,$U66,0)-$AB66))</f>
        <v/>
      </c>
      <c r="BE66">
        <f>IF($C66="",0,MAX(0,$BD66+IF($P66=AC$3,$R66,0)+IF($S66=AC$3,$U66,0)-$AC66))</f>
        <v/>
      </c>
      <c r="BF66">
        <f>IF($C66="",0,MAX(0,$BE66+IF($P66=AD$3,$R66,0)+IF($S66=AD$3,$U66,0)-$AD66))</f>
        <v/>
      </c>
      <c r="BG66">
        <f>IF($C66="",0,MAX(0,$BF66+IF($P66=AE$3,$R66,0)+IF($S66=AE$3,$U66,0)-$AE66))</f>
        <v/>
      </c>
      <c r="BH66">
        <f>IF($C66="",0,MAX(0,$BG66+IF($P66=AF$3,$R66,0)+IF($S66=AF$3,$U66,0)-$AF66))</f>
        <v/>
      </c>
      <c r="BI66">
        <f>IF($C66="",0,MAX(0,$BH66+IF($P66=AG$3,$R66,0)+IF($S66=AG$3,$U66,0)-$AG66))</f>
        <v/>
      </c>
      <c r="BJ66">
        <f>IF($C66="",0,MAX(0,$BI66+IF($P66=AH$3,$R66,0)+IF($S66=AH$3,$U66,0)-$AH66))</f>
        <v/>
      </c>
      <c r="BK66">
        <f>IF($C66="",0,MAX(0,$BJ66+IF($P66=AI$3,$R66,0)+IF($S66=AI$3,$U66,0)-$AI66))</f>
        <v/>
      </c>
      <c r="BL66">
        <f>IF($C66="",99,IF(AND($AX66&lt;1,V$3&gt;=MAX(N($P66),N($S66))),0,99))</f>
        <v/>
      </c>
      <c r="BM66">
        <f>IF($C66="",99,IF(AND($AY66&lt;1,W$3&gt;=MAX(N($P66),N($S66))),1,99))</f>
        <v/>
      </c>
      <c r="BN66">
        <f>IF($C66="",99,IF(AND($AZ66&lt;1,X$3&gt;=MAX(N($P66),N($S66))),2,99))</f>
        <v/>
      </c>
      <c r="BO66">
        <f>IF($C66="",99,IF(AND($BA66&lt;1,Y$3&gt;=MAX(N($P66),N($S66))),3,99))</f>
        <v/>
      </c>
      <c r="BP66">
        <f>IF($C66="",99,IF(AND($BB66&lt;1,Z$3&gt;=MAX(N($P66),N($S66))),4,99))</f>
        <v/>
      </c>
      <c r="BQ66">
        <f>IF($C66="",99,IF(AND($BC66&lt;1,AA$3&gt;=MAX(N($P66),N($S66))),5,99))</f>
        <v/>
      </c>
      <c r="BR66">
        <f>IF($C66="",99,IF(AND($BD66&lt;1,AB$3&gt;=MAX(N($P66),N($S66))),6,99))</f>
        <v/>
      </c>
      <c r="BS66">
        <f>IF($C66="",99,IF(AND($BE66&lt;1,AC$3&gt;=MAX(N($P66),N($S66))),7,99))</f>
        <v/>
      </c>
      <c r="BT66">
        <f>IF($C66="",99,IF(AND($BF66&lt;1,AD$3&gt;=MAX(N($P66),N($S66))),8,99))</f>
        <v/>
      </c>
      <c r="BU66">
        <f>IF($C66="",99,IF(AND($BG66&lt;1,AE$3&gt;=MAX(N($P66),N($S66))),9,99))</f>
        <v/>
      </c>
      <c r="BV66">
        <f>IF($C66="",99,IF(AND($BH66&lt;1,AF$3&gt;=MAX(N($P66),N($S66))),10,99))</f>
        <v/>
      </c>
      <c r="BW66">
        <f>IF($C66="",99,IF(AND($BI66&lt;1,AG$3&gt;=MAX(N($P66),N($S66))),11,99))</f>
        <v/>
      </c>
      <c r="BX66">
        <f>IF($C66="",99,IF(AND($BJ66&lt;1,AH$3&gt;=MAX(N($P66),N($S66))),12,99))</f>
        <v/>
      </c>
      <c r="BY66">
        <f>IF($C66="",99,IF(AND($BK66&lt;1,AI$3&gt;=MAX(N($P66),N($S66))),13,99))</f>
        <v/>
      </c>
      <c r="BZ66">
        <f>IF(OR($C66="",$M66=""),"",COUNTIF($AJ66:$AW66,"&gt;=1"))</f>
        <v/>
      </c>
      <c r="CA66" s="90">
        <f>IF($BZ66="","",IF($BZ66&gt;=14,"",'設定'!$C$6+$BZ66))</f>
        <v/>
      </c>
      <c r="CB66">
        <f>IF(OR($C66="",$M66=""),"",MIN($BL66:$BY66))</f>
        <v/>
      </c>
      <c r="CC66" s="90">
        <f>IF($CB66="","",IF($CB66&gt;=99,"",'設定'!$C$6+$CB66))</f>
        <v/>
      </c>
      <c r="CD66">
        <f>IF(OR($C66="",$M66=""),"",AVERAGE($V66:$AI66))</f>
        <v/>
      </c>
      <c r="CE66">
        <f>IF($C66="","",IFERROR(IF(MATCH(IF(ISNUMBER($P66),$P66,'設定'!$C$6+N('設定'!$C$7)),$V$3:$AI$3,0)=1,MAX(0,N($L66)),INDEX($AJ66:$AW66,MATCH(IF(ISNUMBER($P66),$P66,'設定'!$C$6+N('設定'!$C$7)),$V$3:$AI$3,0)-1)),""))</f>
        <v/>
      </c>
      <c r="CF66">
        <f>IF(OR($C66="",$O66="",$CE66=""),"",IF($O66-$CE66&lt;=0,0,ROUNDUP(($O66-$CE66)/$G66,0)))</f>
        <v/>
      </c>
      <c r="CG66">
        <f>IF(OR($C66="",$CF66="",NOT(ISNUMBER($Q66))),0,MAX(0,$Q66-$CF66))</f>
        <v/>
      </c>
      <c r="CH66">
        <f>IF(OR($C66="",$O66="",$U66=0),0,IFERROR(ROUNDUP(MAX(0,IF(MATCH($S66,$V$3:$AI$3,0)=1,MAX(0,N($L66)),INDEX($AX66:$BK66,MATCH($S66,$V$3:$AI$3,0)-1))+$U66-$O66)/$G66,0),0))</f>
        <v/>
      </c>
      <c r="CI66">
        <f>IF($C66="","",IF(AND($P66="",$Q66=""),"",IF($P66="","⚠ 入庫日を ▼ から選んでください",IF(NOT(ISNUMBER($P66)),"⚠ 入庫日は ▼ から選んでください",IF($P66&lt;N('設定'!$C$6),"⚠ 入庫日が過去です（もう在庫に入っています）→ 消してください",IF($P66&gt;N('設定'!$C$6)+13,"⚠ 入庫日が14日より先です",IF(N($Q66)&lt;=0,"⚠ 入庫数を入れてください",IF($CG66&gt;0,"⚠ 目安より "&amp;$CG66&amp;" 多い（定数を超える）→ 減らす",""))))))))</f>
        <v/>
      </c>
      <c r="CJ66">
        <f>IF($C66="","",IF(AND($S66="",$T66=""),"",IF($S66="","⚠ 2便目：入庫日を ▼ から選んでください",IF(NOT(ISNUMBER($S66)),"⚠ 2便目：入庫日は ▼ から選んでください",IF($S66&lt;N('設定'!$C$6),"⚠ 2便目：入庫日が過去です（もう在庫に入っています）→ 消してください",IF($S66&gt;N('設定'!$C$6)+13,"⚠ 2便目：入庫日が14日より先です",IF(N($T66)&lt;=0,"⚠ 2便目：入庫数を入れてください",IF($CH66&gt;0,"⚠ 2便目：定数を "&amp;$CH66&amp;" ケース超える → 減らす",""))))))))</f>
        <v/>
      </c>
      <c r="CK66">
        <f>IF(AND($CI66="",N($Q66)&gt;0,ISNUMBER($P66)),1,0)</f>
        <v/>
      </c>
      <c r="CL66">
        <f>IF(AND($CJ66="",N($T66)&gt;0,ISNUMBER($S66)),1,0)</f>
        <v/>
      </c>
      <c r="CM66">
        <f>IF(OR($CK66=1,$CL66=1),1,0)</f>
        <v/>
      </c>
      <c r="CN66">
        <f>IF($C66="",0,($CK66*$R66+$CL66*$U66)*N($H66))</f>
        <v/>
      </c>
      <c r="CO66">
        <f>IF($C66="","",IF($CC66="","入庫後は 14日以上もつ",IF($CC66-N('設定'!$C$7)&lt;='設定'!$C$6,"入庫後も "&amp;TEXT($CC66,"m/d")&amp;"("&amp;CHOOSE(WEEKDAY($CC66),"日","月","火","水","木","金","土")&amp;")"&amp;" に切れる　もう1便を至急発注","入庫後も "&amp;TEXT($CC66,"m/d")&amp;"("&amp;CHOOSE(WEEKDAY($CC66),"日","月","火","水","木","金","土")&amp;")"&amp;" に切れる　"&amp;TEXT($CC66-N('設定'!$C$7),"m/d")&amp;"("&amp;CHOOSE(WEEKDAY($CC66-N('設定'!$C$7)),"日","月","火","水","木","金","土")&amp;")"&amp;" までに次を発注")))</f>
        <v/>
      </c>
      <c r="CP66">
        <f>IF($C66="","",IF('設定'!$C$6="","？ ①在庫を貼る に今日のCSVが貼られていない",IF($CS66=1,"－ 今日のCSVに無い（終売？）",IF($L66&lt;0,"● 在庫がマイナス　数えて「数えた在庫」に入れる",IF($L66=0,"● 在庫なし　至急発注",IF($M66="","？ 減り数が未設定（商品マスタ）",IF($B$3=0,"？ 動員が未入力（動員を入れる）",IF($CA66="","○ 14日以上もつ",IF($BZ66&lt;N('設定'!$C$7),"● "&amp;TEXT($CA66,"m/d")&amp;"("&amp;CHOOSE(WEEKDAY($CA66),"日","月","火","水","木","金","土")&amp;")"&amp;" に切れる　至急発注",IF($BZ66=N('設定'!$C$7),"● "&amp;TEXT($CA66,"m/d")&amp;"("&amp;CHOOSE(WEEKDAY($CA66),"日","月","火","水","木","金","土")&amp;")"&amp;" に切れる　今日発注","△ "&amp;TEXT($CA66,"m/d")&amp;"("&amp;CHOOSE(WEEKDAY($CA66),"日","月","火","水","木","金","土")&amp;")"&amp;" に切れる　"&amp;TEXT($CA66-N('設定'!$C$7),"m/d")&amp;"("&amp;CHOOSE(WEEKDAY($CA66-N('設定'!$C$7)),"日","月","火","水","木","金","土")&amp;")"&amp;" までに発注"))))))))))</f>
        <v/>
      </c>
      <c r="CQ66">
        <f>IF($C66="","",IF(AND($P66="",$Q66="",$S66="",$T66=""),"",IF(AND($P66="",$Q66=""),"⚠ 先に1便目（左の入庫日・入庫数）に入れてください",IF($CI66&lt;&gt;"",$CI66,IF($CJ66&lt;&gt;"",$CJ66,IF($M66="","？ 減り数が未設定（発注書には載ります）",IF($B$3=0,"？ 動員が未入力（発注書には載ります）",IF(AND($CA66&lt;&gt;"",$P66&gt;$CA66),IF($P66&gt;'設定'!$C$6+N('設定'!$C$7),"● "&amp;TEXT($P66,"m/d")&amp;"("&amp;CHOOSE(WEEKDAY($P66),"日","月","火","水","木","金","土")&amp;")"&amp;" の入庫では間に合わない（"&amp;TEXT($CA66,"m/d")&amp;"("&amp;CHOOSE(WEEKDAY($CA66),"日","月","火","水","木","金","土")&amp;")"&amp;" に切れる）　入庫日を早める","△ 欠品 "&amp;TEXT($CA66,"m/d")&amp;"("&amp;CHOOSE(WEEKDAY($CA66),"日","月","火","水","木","金","土")&amp;")"&amp;"〜"&amp;TEXT($P66-1,"m/d")&amp;"("&amp;CHOOSE(WEEKDAY($P66-1),"日","月","火","水","木","金","土")&amp;")"&amp;"　"&amp;$CO66),IF($CC66="","○ "&amp;TEXT($P66,"m/d")&amp;"("&amp;CHOOSE(WEEKDAY($P66),"日","月","火","水","木","金","土")&amp;")"&amp;" 入庫で 14日以上もつ",IF($CC66-N('設定'!$C$7)&lt;='設定'!$C$6,"● 入庫しても "&amp;TEXT($CC66,"m/d")&amp;"("&amp;CHOOSE(WEEKDAY($CC66),"日","月","火","水","木","金","土")&amp;")"&amp;" に切れる　もう1便を至急発注（2便目に入れる）","△ 入庫しても "&amp;TEXT($CC66,"m/d")&amp;"("&amp;CHOOSE(WEEKDAY($CC66),"日","月","火","水","木","金","土")&amp;")"&amp;" に切れる　"&amp;TEXT($CC66-N('設定'!$C$7),"m/d")&amp;"("&amp;CHOOSE(WEEKDAY($CC66-N('設定'!$C$7)),"日","月","火","水","木","金","土")&amp;")"&amp;" までに次を発注（2便目に入れる）"))))))))))</f>
        <v/>
      </c>
      <c r="CR66">
        <f>IF($C66="","",IF($G66&gt;1,"ｹｰｽ("&amp;$G66&amp;"入)","個"))</f>
        <v/>
      </c>
      <c r="CS66">
        <f>IF($C66="",0,IF(COUNTIFS('①在庫を貼る'!$V$6:$V$10005,'設定'!$C$4,'①在庫を貼る'!$W$6:$W$10005,$C66)=0,1,0))</f>
        <v/>
      </c>
      <c r="CT66">
        <f>IF(AND($CK66=1,OR('③発注書'!$C$4="すべて",'③発注書'!$C$4="",$F66='③発注書'!$C$4)),N($CT65)+1,N($CT65))</f>
        <v/>
      </c>
      <c r="CU66">
        <f>IF(AND($CL66=1,OR('③発注書'!$C$4="すべて",'③発注書'!$C$4="",$F66='③発注書'!$C$4)),N($CU65)+1,N($CU65))</f>
        <v/>
      </c>
      <c r="CV66">
        <f>IF($C66="",0,IF(COUNTIFS('①在庫を貼る'!$V$6:$V$10005,'設定'!$C$4,'①在庫を貼る'!$W$6:$W$10005,$C66)&gt;0,1,0))</f>
        <v/>
      </c>
      <c r="CW66">
        <f>IF($C66="",0,IF(COUNTIFS('月1回_1ヶ月前の在庫'!$V$6:$V$10005,'設定'!$C$4,'月1回_1ヶ月前の在庫'!$W$6:$W$10005,$C66)&gt;0,1,0))</f>
        <v/>
      </c>
      <c r="CX66">
        <f>IF($C66="",0,IF(COUNTIFS('月1回_2ヶ月前の在庫'!$V$6:$V$10005,'設定'!$C$4,'月1回_2ヶ月前の在庫'!$W$6:$W$10005,$C66)&gt;0,1,0))</f>
        <v/>
      </c>
      <c r="CY66">
        <f>IF(OR($C66="",'設定'!$C$12=""),"",IF('設定'!$C$13="",IF(AND($CV66=1,$CW66=0),"新商品（今月から）",IF(AND($CV66=0,$CW66=1),"終売（今月から）","")),IF(AND($CV66=1,$CW66=0,$CX66=0),"新商品（今月から）",IF(AND($CV66=1,$CW66=1,$CX66=0),"新商品（先月から）",IF(AND($CV66=0,$CW66=1,$CX66=1),"終売（今月から）",IF(AND($CV66=0,$CW66=0,$CX66=1),"終売（先月から）",IF(AND($CV66=1,$CW66=0,$CX66=1),"復活（先月は無し）","")))))))</f>
        <v/>
      </c>
    </row>
    <row r="67">
      <c r="B67">
        <f>IF(62&lt;='設定'!$C$11,62,"")</f>
        <v/>
      </c>
      <c r="C67">
        <f>IF($B67="","",IF($B67&lt;='設定'!$C$20,INDEX('商品マスタ'!$B$6:$B$1005,MATCH($B67,'商品マスタ'!$M$6:$M$1005,0)),IF($B67&lt;='設定'!$C$20+'設定'!$C$17,INDEX('①在庫を貼る'!$W$6:$W$10005,MATCH($B67-'設定'!$C$20,'①在庫を貼る'!$U$6:$U$10005,0)),IF($B67&lt;='設定'!$C$20+'設定'!$C$17+'設定'!$C$18,INDEX('月1回_1ヶ月前の在庫'!$W$6:$W$10005,MATCH($B67-'設定'!$C$20-'設定'!$C$17,'月1回_1ヶ月前の在庫'!$U$6:$U$10005,0)),INDEX('月1回_2ヶ月前の在庫'!$W$6:$W$10005,MATCH($B67-'設定'!$C$20-'設定'!$C$17-'設定'!$C$18,'月1回_2ヶ月前の在庫'!$U$6:$U$10005,0))))))</f>
        <v/>
      </c>
      <c r="D67">
        <f>IF($C67="","",IFERROR(IF(INDEX('商品マスタ'!$C$6:$C$1005,MATCH($C67,'商品マスタ'!$B$6:$B$1005,0))="",IFERROR(INDEX('①在庫を貼る'!$J$6:$J$10005,MATCH($C67,'①在庫を貼る'!$W$6:$W$10005,0)),IFERROR(INDEX('月1回_1ヶ月前の在庫'!$J$6:$J$10005,MATCH($C67,'月1回_1ヶ月前の在庫'!$W$6:$W$10005,0)),IFERROR(INDEX('月1回_2ヶ月前の在庫'!$J$6:$J$10005,MATCH($C67,'月1回_2ヶ月前の在庫'!$W$6:$W$10005,0)),""))),INDEX('商品マスタ'!$C$6:$C$1005,MATCH($C67,'商品マスタ'!$B$6:$B$1005,0))),IFERROR(INDEX('①在庫を貼る'!$J$6:$J$10005,MATCH($C67,'①在庫を貼る'!$W$6:$W$10005,0)),IFERROR(INDEX('月1回_1ヶ月前の在庫'!$J$6:$J$10005,MATCH($C67,'月1回_1ヶ月前の在庫'!$W$6:$W$10005,0)),IFERROR(INDEX('月1回_2ヶ月前の在庫'!$J$6:$J$10005,MATCH($C67,'月1回_2ヶ月前の在庫'!$W$6:$W$10005,0)),"")))))</f>
        <v/>
      </c>
      <c r="E67">
        <f>IF($C67="","",IFERROR(IF(INDEX('商品マスタ'!$D$6:$D$1005,MATCH($C67,'商品マスタ'!$B$6:$B$1005,0))="",IFERROR(INDEX('①在庫を貼る'!$H$6:$H$10005,MATCH($C67,'①在庫を貼る'!$W$6:$W$10005,0)),IFERROR(INDEX('月1回_1ヶ月前の在庫'!$H$6:$H$10005,MATCH($C67,'月1回_1ヶ月前の在庫'!$W$6:$W$10005,0)),IFERROR(INDEX('月1回_2ヶ月前の在庫'!$H$6:$H$10005,MATCH($C67,'月1回_2ヶ月前の在庫'!$W$6:$W$10005,0)),""))),INDEX('商品マスタ'!$D$6:$D$1005,MATCH($C67,'商品マスタ'!$B$6:$B$1005,0))),IFERROR(INDEX('①在庫を貼る'!$H$6:$H$10005,MATCH($C67,'①在庫を貼る'!$W$6:$W$10005,0)),IFERROR(INDEX('月1回_1ヶ月前の在庫'!$H$6:$H$10005,MATCH($C67,'月1回_1ヶ月前の在庫'!$W$6:$W$10005,0)),IFERROR(INDEX('月1回_2ヶ月前の在庫'!$H$6:$H$10005,MATCH($C67,'月1回_2ヶ月前の在庫'!$W$6:$W$10005,0)),"")))))</f>
        <v/>
      </c>
      <c r="F67">
        <f>IF($C67="","",IFERROR(IF(INDEX('商品マスタ'!$E$6:$E$1005,MATCH($C67,'商品マスタ'!$B$6:$B$1005,0))="",IFERROR(INDEX('①在庫を貼る'!$E$6:$E$10005,MATCH($C67,'①在庫を貼る'!$W$6:$W$10005,0)),IFERROR(INDEX('月1回_1ヶ月前の在庫'!$E$6:$E$10005,MATCH($C67,'月1回_1ヶ月前の在庫'!$W$6:$W$10005,0)),IFERROR(INDEX('月1回_2ヶ月前の在庫'!$E$6:$E$10005,MATCH($C67,'月1回_2ヶ月前の在庫'!$W$6:$W$10005,0)),""))),INDEX('商品マスタ'!$E$6:$E$1005,MATCH($C67,'商品マスタ'!$B$6:$B$1005,0))),IFERROR(INDEX('①在庫を貼る'!$E$6:$E$10005,MATCH($C67,'①在庫を貼る'!$W$6:$W$10005,0)),IFERROR(INDEX('月1回_1ヶ月前の在庫'!$E$6:$E$10005,MATCH($C67,'月1回_1ヶ月前の在庫'!$W$6:$W$10005,0)),IFERROR(INDEX('月1回_2ヶ月前の在庫'!$E$6:$E$10005,MATCH($C67,'月1回_2ヶ月前の在庫'!$W$6:$W$10005,0)),"")))))</f>
        <v/>
      </c>
      <c r="G67">
        <f>IF($C67="","",MAX(1,N(IFERROR(IF(INDEX('商品マスタ'!$F$6:$F$1005,MATCH($C67,'商品マスタ'!$B$6:$B$1005,0))="",IF(COUNTIFS('①在庫を貼る'!$V$6:$V$10005,'設定'!$C$4,'①在庫を貼る'!$W$6:$W$10005,$C67)&gt;0,SUMIFS('①在庫を貼る'!$K$6:$K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K$6:$K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K$6:$K$10005,'月1回_2ヶ月前の在庫'!$V$6:$V$10005,'設定'!$C$4,'月1回_2ヶ月前の在庫'!$W$6:$W$10005,$C67)/COUNTIFS('月1回_2ヶ月前の在庫'!$V$6:$V$10005,'設定'!$C$4,'月1回_2ヶ月前の在庫'!$W$6:$W$10005,$C67),0))),INDEX('商品マスタ'!$F$6:$F$1005,MATCH($C67,'商品マスタ'!$B$6:$B$1005,0))),IF(COUNTIFS('①在庫を貼る'!$V$6:$V$10005,'設定'!$C$4,'①在庫を貼る'!$W$6:$W$10005,$C67)&gt;0,SUMIFS('①在庫を貼る'!$K$6:$K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K$6:$K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K$6:$K$10005,'月1回_2ヶ月前の在庫'!$V$6:$V$10005,'設定'!$C$4,'月1回_2ヶ月前の在庫'!$W$6:$W$10005,$C67)/COUNTIFS('月1回_2ヶ月前の在庫'!$V$6:$V$10005,'設定'!$C$4,'月1回_2ヶ月前の在庫'!$W$6:$W$10005,$C67),0)))))))</f>
        <v/>
      </c>
      <c r="H67">
        <f>IF($C67="","",N(IFERROR(IF(INDEX('商品マスタ'!$G$6:$G$1005,MATCH($C67,'商品マスタ'!$B$6:$B$1005,0))="",IF(COUNTIFS('①在庫を貼る'!$V$6:$V$10005,'設定'!$C$4,'①在庫を貼る'!$W$6:$W$10005,$C67)&gt;0,SUMIFS('①在庫を貼る'!$Q$6:$Q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Q$6:$Q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Q$6:$Q$10005,'月1回_2ヶ月前の在庫'!$V$6:$V$10005,'設定'!$C$4,'月1回_2ヶ月前の在庫'!$W$6:$W$10005,$C67)/COUNTIFS('月1回_2ヶ月前の在庫'!$V$6:$V$10005,'設定'!$C$4,'月1回_2ヶ月前の在庫'!$W$6:$W$10005,$C67),0))),INDEX('商品マスタ'!$G$6:$G$1005,MATCH($C67,'商品マスタ'!$B$6:$B$1005,0))),IF(COUNTIFS('①在庫を貼る'!$V$6:$V$10005,'設定'!$C$4,'①在庫を貼る'!$W$6:$W$10005,$C67)&gt;0,SUMIFS('①在庫を貼る'!$Q$6:$Q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Q$6:$Q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Q$6:$Q$10005,'月1回_2ヶ月前の在庫'!$V$6:$V$10005,'設定'!$C$4,'月1回_2ヶ月前の在庫'!$W$6:$W$10005,$C67)/COUNTIFS('月1回_2ヶ月前の在庫'!$V$6:$V$10005,'設定'!$C$4,'月1回_2ヶ月前の在庫'!$W$6:$W$10005,$C67),0))))))</f>
        <v/>
      </c>
      <c r="I67">
        <f>IF($C67="","",IF(COUNTIFS('①在庫を貼る'!$V$6:$V$10005,'設定'!$C$4,'①在庫を貼る'!$W$6:$W$10005,$C67)=0,"",SUMIFS('①在庫を貼る'!$N$6:$N$10005,'①在庫を貼る'!$V$6:$V$10005,'設定'!$C$4,'①在庫を貼る'!$W$6:$W$10005,$C67)))</f>
        <v/>
      </c>
      <c r="J67">
        <f>IF($C67="","",IF('②発注する'!$AD71="","",'②発注する'!$AD71))</f>
        <v/>
      </c>
      <c r="K67" s="90">
        <f>IF($C67="","",IF('②発注する'!$AE71="","",'②発注する'!$AE71))</f>
        <v/>
      </c>
      <c r="L67">
        <f>IF($C67="","",IF(AND(ISNUMBER($J67),ISNUMBER($K67),$K67&gt;='設定'!$C$6),$J67,N($I67)))</f>
        <v/>
      </c>
      <c r="M67">
        <f>IF($C67="","",IFERROR(IF(N(INDEX('商品マスタ'!$J$6:$J$1005,MATCH($C67,'商品マスタ'!$B$6:$B$1005,0)))&gt;0,INDEX('商品マスタ'!$J$6:$J$1005,MATCH($C67,'商品マスタ'!$B$6:$B$1005,0)),""),""))</f>
        <v/>
      </c>
      <c r="N67">
        <f>IF($C67="","",IFERROR(IF(N(INDEX('商品マスタ'!$H$6:$H$1005,MATCH($C67,'商品マスタ'!$B$6:$B$1005,0)))&gt;0,INDEX('商品マスタ'!$H$6:$H$1005,MATCH($C67,'商品マスタ'!$B$6:$B$1005,0)),""),""))</f>
        <v/>
      </c>
      <c r="O67">
        <f>IF($C67="","",IF($N67&lt;&gt;"",$N67*$G67,IF(N(IF(COUNTIFS('①在庫を貼る'!$V$6:$V$10005,'設定'!$C$4,'①在庫を貼る'!$W$6:$W$10005,$C67)&gt;0,SUMIFS('①在庫を貼る'!$O$6:$O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O$6:$O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O$6:$O$10005,'月1回_2ヶ月前の在庫'!$V$6:$V$10005,'設定'!$C$4,'月1回_2ヶ月前の在庫'!$W$6:$W$10005,$C67)/COUNTIFS('月1回_2ヶ月前の在庫'!$V$6:$V$10005,'設定'!$C$4,'月1回_2ヶ月前の在庫'!$W$6:$W$10005,$C67),0))))&gt;0,N(IF(COUNTIFS('①在庫を貼る'!$V$6:$V$10005,'設定'!$C$4,'①在庫を貼る'!$W$6:$W$10005,$C67)&gt;0,SUMIFS('①在庫を貼る'!$O$6:$O$10005,'①在庫を貼る'!$V$6:$V$10005,'設定'!$C$4,'①在庫を貼る'!$W$6:$W$10005,$C67)/COUNTIFS('①在庫を貼る'!$V$6:$V$10005,'設定'!$C$4,'①在庫を貼る'!$W$6:$W$10005,$C67),IF(COUNTIFS('月1回_1ヶ月前の在庫'!$V$6:$V$10005,'設定'!$C$4,'月1回_1ヶ月前の在庫'!$W$6:$W$10005,$C67)&gt;0,SUMIFS('月1回_1ヶ月前の在庫'!$O$6:$O$10005,'月1回_1ヶ月前の在庫'!$V$6:$V$10005,'設定'!$C$4,'月1回_1ヶ月前の在庫'!$W$6:$W$10005,$C67)/COUNTIFS('月1回_1ヶ月前の在庫'!$V$6:$V$10005,'設定'!$C$4,'月1回_1ヶ月前の在庫'!$W$6:$W$10005,$C67),IF(COUNTIFS('月1回_2ヶ月前の在庫'!$V$6:$V$10005,'設定'!$C$4,'月1回_2ヶ月前の在庫'!$W$6:$W$10005,$C67)&gt;0,SUMIFS('月1回_2ヶ月前の在庫'!$O$6:$O$10005,'月1回_2ヶ月前の在庫'!$V$6:$V$10005,'設定'!$C$4,'月1回_2ヶ月前の在庫'!$W$6:$W$10005,$C67)/COUNTIFS('月1回_2ヶ月前の在庫'!$V$6:$V$10005,'設定'!$C$4,'月1回_2ヶ月前の在庫'!$W$6:$W$10005,$C67),0)))),"")))</f>
        <v/>
      </c>
      <c r="P67" s="90">
        <f>IF($C67="","",IF('②発注する'!$I71="","",'②発注する'!$I71))</f>
        <v/>
      </c>
      <c r="Q67">
        <f>IF($C67="","",IF('②発注する'!$J71="","",'②発注する'!$J71))</f>
        <v/>
      </c>
      <c r="R67">
        <f>IF($C67="",0,IF(AND(ISNUMBER($P67),ISNUMBER($Q67)),MAX(0,$Q67)*$G67,0))</f>
        <v/>
      </c>
      <c r="S67" s="90">
        <f>IF($C67="","",IF('②発注する'!$M71="","",'②発注する'!$M71))</f>
        <v/>
      </c>
      <c r="T67">
        <f>IF($C67="","",IF('②発注する'!$N71="","",'②発注する'!$N71))</f>
        <v/>
      </c>
      <c r="U67">
        <f>IF($C67="",0,IF(AND(ISNUMBER($S67),ISNUMBER($T67)),MAX(0,$T67)*$G67,0))</f>
        <v/>
      </c>
      <c r="V67">
        <f>IF($C67="",0,IF($M67="",0,MAX(0,$M67)*MAX(0,V$4)/100))</f>
        <v/>
      </c>
      <c r="W67">
        <f>IF($C67="",0,IF($M67="",0,MAX(0,$M67)*MAX(0,W$4)/100))</f>
        <v/>
      </c>
      <c r="X67">
        <f>IF($C67="",0,IF($M67="",0,MAX(0,$M67)*MAX(0,X$4)/100))</f>
        <v/>
      </c>
      <c r="Y67">
        <f>IF($C67="",0,IF($M67="",0,MAX(0,$M67)*MAX(0,Y$4)/100))</f>
        <v/>
      </c>
      <c r="Z67">
        <f>IF($C67="",0,IF($M67="",0,MAX(0,$M67)*MAX(0,Z$4)/100))</f>
        <v/>
      </c>
      <c r="AA67">
        <f>IF($C67="",0,IF($M67="",0,MAX(0,$M67)*MAX(0,AA$4)/100))</f>
        <v/>
      </c>
      <c r="AB67">
        <f>IF($C67="",0,IF($M67="",0,MAX(0,$M67)*MAX(0,AB$4)/100))</f>
        <v/>
      </c>
      <c r="AC67">
        <f>IF($C67="",0,IF($M67="",0,MAX(0,$M67)*MAX(0,AC$4)/100))</f>
        <v/>
      </c>
      <c r="AD67">
        <f>IF($C67="",0,IF($M67="",0,MAX(0,$M67)*MAX(0,AD$4)/100))</f>
        <v/>
      </c>
      <c r="AE67">
        <f>IF($C67="",0,IF($M67="",0,MAX(0,$M67)*MAX(0,AE$4)/100))</f>
        <v/>
      </c>
      <c r="AF67">
        <f>IF($C67="",0,IF($M67="",0,MAX(0,$M67)*MAX(0,AF$4)/100))</f>
        <v/>
      </c>
      <c r="AG67">
        <f>IF($C67="",0,IF($M67="",0,MAX(0,$M67)*MAX(0,AG$4)/100))</f>
        <v/>
      </c>
      <c r="AH67">
        <f>IF($C67="",0,IF($M67="",0,MAX(0,$M67)*MAX(0,AH$4)/100))</f>
        <v/>
      </c>
      <c r="AI67">
        <f>IF($C67="",0,IF($M67="",0,MAX(0,$M67)*MAX(0,AI$4)/100))</f>
        <v/>
      </c>
      <c r="AJ67">
        <f>IF($C67="",0,MAX(0,MAX(0,N($L67))-$V67))</f>
        <v/>
      </c>
      <c r="AK67">
        <f>IF($C67="",0,MAX(0,$AJ67-$W67))</f>
        <v/>
      </c>
      <c r="AL67">
        <f>IF($C67="",0,MAX(0,$AK67-$X67))</f>
        <v/>
      </c>
      <c r="AM67">
        <f>IF($C67="",0,MAX(0,$AL67-$Y67))</f>
        <v/>
      </c>
      <c r="AN67">
        <f>IF($C67="",0,MAX(0,$AM67-$Z67))</f>
        <v/>
      </c>
      <c r="AO67">
        <f>IF($C67="",0,MAX(0,$AN67-$AA67))</f>
        <v/>
      </c>
      <c r="AP67">
        <f>IF($C67="",0,MAX(0,$AO67-$AB67))</f>
        <v/>
      </c>
      <c r="AQ67">
        <f>IF($C67="",0,MAX(0,$AP67-$AC67))</f>
        <v/>
      </c>
      <c r="AR67">
        <f>IF($C67="",0,MAX(0,$AQ67-$AD67))</f>
        <v/>
      </c>
      <c r="AS67">
        <f>IF($C67="",0,MAX(0,$AR67-$AE67))</f>
        <v/>
      </c>
      <c r="AT67">
        <f>IF($C67="",0,MAX(0,$AS67-$AF67))</f>
        <v/>
      </c>
      <c r="AU67">
        <f>IF($C67="",0,MAX(0,$AT67-$AG67))</f>
        <v/>
      </c>
      <c r="AV67">
        <f>IF($C67="",0,MAX(0,$AU67-$AH67))</f>
        <v/>
      </c>
      <c r="AW67">
        <f>IF($C67="",0,MAX(0,$AV67-$AI67))</f>
        <v/>
      </c>
      <c r="AX67">
        <f>IF($C67="",0,MAX(0,MAX(0,N($L67))+IF($P67=V$3,$R67,0)+IF($S67=V$3,$U67,0)-$V67))</f>
        <v/>
      </c>
      <c r="AY67">
        <f>IF($C67="",0,MAX(0,$AX67+IF($P67=W$3,$R67,0)+IF($S67=W$3,$U67,0)-$W67))</f>
        <v/>
      </c>
      <c r="AZ67">
        <f>IF($C67="",0,MAX(0,$AY67+IF($P67=X$3,$R67,0)+IF($S67=X$3,$U67,0)-$X67))</f>
        <v/>
      </c>
      <c r="BA67">
        <f>IF($C67="",0,MAX(0,$AZ67+IF($P67=Y$3,$R67,0)+IF($S67=Y$3,$U67,0)-$Y67))</f>
        <v/>
      </c>
      <c r="BB67">
        <f>IF($C67="",0,MAX(0,$BA67+IF($P67=Z$3,$R67,0)+IF($S67=Z$3,$U67,0)-$Z67))</f>
        <v/>
      </c>
      <c r="BC67">
        <f>IF($C67="",0,MAX(0,$BB67+IF($P67=AA$3,$R67,0)+IF($S67=AA$3,$U67,0)-$AA67))</f>
        <v/>
      </c>
      <c r="BD67">
        <f>IF($C67="",0,MAX(0,$BC67+IF($P67=AB$3,$R67,0)+IF($S67=AB$3,$U67,0)-$AB67))</f>
        <v/>
      </c>
      <c r="BE67">
        <f>IF($C67="",0,MAX(0,$BD67+IF($P67=AC$3,$R67,0)+IF($S67=AC$3,$U67,0)-$AC67))</f>
        <v/>
      </c>
      <c r="BF67">
        <f>IF($C67="",0,MAX(0,$BE67+IF($P67=AD$3,$R67,0)+IF($S67=AD$3,$U67,0)-$AD67))</f>
        <v/>
      </c>
      <c r="BG67">
        <f>IF($C67="",0,MAX(0,$BF67+IF($P67=AE$3,$R67,0)+IF($S67=AE$3,$U67,0)-$AE67))</f>
        <v/>
      </c>
      <c r="BH67">
        <f>IF($C67="",0,MAX(0,$BG67+IF($P67=AF$3,$R67,0)+IF($S67=AF$3,$U67,0)-$AF67))</f>
        <v/>
      </c>
      <c r="BI67">
        <f>IF($C67="",0,MAX(0,$BH67+IF($P67=AG$3,$R67,0)+IF($S67=AG$3,$U67,0)-$AG67))</f>
        <v/>
      </c>
      <c r="BJ67">
        <f>IF($C67="",0,MAX(0,$BI67+IF($P67=AH$3,$R67,0)+IF($S67=AH$3,$U67,0)-$AH67))</f>
        <v/>
      </c>
      <c r="BK67">
        <f>IF($C67="",0,MAX(0,$BJ67+IF($P67=AI$3,$R67,0)+IF($S67=AI$3,$U67,0)-$AI67))</f>
        <v/>
      </c>
      <c r="BL67">
        <f>IF($C67="",99,IF(AND($AX67&lt;1,V$3&gt;=MAX(N($P67),N($S67))),0,99))</f>
        <v/>
      </c>
      <c r="BM67">
        <f>IF($C67="",99,IF(AND($AY67&lt;1,W$3&gt;=MAX(N($P67),N($S67))),1,99))</f>
        <v/>
      </c>
      <c r="BN67">
        <f>IF($C67="",99,IF(AND($AZ67&lt;1,X$3&gt;=MAX(N($P67),N($S67))),2,99))</f>
        <v/>
      </c>
      <c r="BO67">
        <f>IF($C67="",99,IF(AND($BA67&lt;1,Y$3&gt;=MAX(N($P67),N($S67))),3,99))</f>
        <v/>
      </c>
      <c r="BP67">
        <f>IF($C67="",99,IF(AND($BB67&lt;1,Z$3&gt;=MAX(N($P67),N($S67))),4,99))</f>
        <v/>
      </c>
      <c r="BQ67">
        <f>IF($C67="",99,IF(AND($BC67&lt;1,AA$3&gt;=MAX(N($P67),N($S67))),5,99))</f>
        <v/>
      </c>
      <c r="BR67">
        <f>IF($C67="",99,IF(AND($BD67&lt;1,AB$3&gt;=MAX(N($P67),N($S67))),6,99))</f>
        <v/>
      </c>
      <c r="BS67">
        <f>IF($C67="",99,IF(AND($BE67&lt;1,AC$3&gt;=MAX(N($P67),N($S67))),7,99))</f>
        <v/>
      </c>
      <c r="BT67">
        <f>IF($C67="",99,IF(AND($BF67&lt;1,AD$3&gt;=MAX(N($P67),N($S67))),8,99))</f>
        <v/>
      </c>
      <c r="BU67">
        <f>IF($C67="",99,IF(AND($BG67&lt;1,AE$3&gt;=MAX(N($P67),N($S67))),9,99))</f>
        <v/>
      </c>
      <c r="BV67">
        <f>IF($C67="",99,IF(AND($BH67&lt;1,AF$3&gt;=MAX(N($P67),N($S67))),10,99))</f>
        <v/>
      </c>
      <c r="BW67">
        <f>IF($C67="",99,IF(AND($BI67&lt;1,AG$3&gt;=MAX(N($P67),N($S67))),11,99))</f>
        <v/>
      </c>
      <c r="BX67">
        <f>IF($C67="",99,IF(AND($BJ67&lt;1,AH$3&gt;=MAX(N($P67),N($S67))),12,99))</f>
        <v/>
      </c>
      <c r="BY67">
        <f>IF($C67="",99,IF(AND($BK67&lt;1,AI$3&gt;=MAX(N($P67),N($S67))),13,99))</f>
        <v/>
      </c>
      <c r="BZ67">
        <f>IF(OR($C67="",$M67=""),"",COUNTIF($AJ67:$AW67,"&gt;=1"))</f>
        <v/>
      </c>
      <c r="CA67" s="90">
        <f>IF($BZ67="","",IF($BZ67&gt;=14,"",'設定'!$C$6+$BZ67))</f>
        <v/>
      </c>
      <c r="CB67">
        <f>IF(OR($C67="",$M67=""),"",MIN($BL67:$BY67))</f>
        <v/>
      </c>
      <c r="CC67" s="90">
        <f>IF($CB67="","",IF($CB67&gt;=99,"",'設定'!$C$6+$CB67))</f>
        <v/>
      </c>
      <c r="CD67">
        <f>IF(OR($C67="",$M67=""),"",AVERAGE($V67:$AI67))</f>
        <v/>
      </c>
      <c r="CE67">
        <f>IF($C67="","",IFERROR(IF(MATCH(IF(ISNUMBER($P67),$P67,'設定'!$C$6+N('設定'!$C$7)),$V$3:$AI$3,0)=1,MAX(0,N($L67)),INDEX($AJ67:$AW67,MATCH(IF(ISNUMBER($P67),$P67,'設定'!$C$6+N('設定'!$C$7)),$V$3:$AI$3,0)-1)),""))</f>
        <v/>
      </c>
      <c r="CF67">
        <f>IF(OR($C67="",$O67="",$CE67=""),"",IF($O67-$CE67&lt;=0,0,ROUNDUP(($O67-$CE67)/$G67,0)))</f>
        <v/>
      </c>
      <c r="CG67">
        <f>IF(OR($C67="",$CF67="",NOT(ISNUMBER($Q67))),0,MAX(0,$Q67-$CF67))</f>
        <v/>
      </c>
      <c r="CH67">
        <f>IF(OR($C67="",$O67="",$U67=0),0,IFERROR(ROUNDUP(MAX(0,IF(MATCH($S67,$V$3:$AI$3,0)=1,MAX(0,N($L67)),INDEX($AX67:$BK67,MATCH($S67,$V$3:$AI$3,0)-1))+$U67-$O67)/$G67,0),0))</f>
        <v/>
      </c>
      <c r="CI67">
        <f>IF($C67="","",IF(AND($P67="",$Q67=""),"",IF($P67="","⚠ 入庫日を ▼ から選んでください",IF(NOT(ISNUMBER($P67)),"⚠ 入庫日は ▼ から選んでください",IF($P67&lt;N('設定'!$C$6),"⚠ 入庫日が過去です（もう在庫に入っています）→ 消してください",IF($P67&gt;N('設定'!$C$6)+13,"⚠ 入庫日が14日より先です",IF(N($Q67)&lt;=0,"⚠ 入庫数を入れてください",IF($CG67&gt;0,"⚠ 目安より "&amp;$CG67&amp;" 多い（定数を超える）→ 減らす",""))))))))</f>
        <v/>
      </c>
      <c r="CJ67">
        <f>IF($C67="","",IF(AND($S67="",$T67=""),"",IF($S67="","⚠ 2便目：入庫日を ▼ から選んでください",IF(NOT(ISNUMBER($S67)),"⚠ 2便目：入庫日は ▼ から選んでください",IF($S67&lt;N('設定'!$C$6),"⚠ 2便目：入庫日が過去です（もう在庫に入っています）→ 消してください",IF($S67&gt;N('設定'!$C$6)+13,"⚠ 2便目：入庫日が14日より先です",IF(N($T67)&lt;=0,"⚠ 2便目：入庫数を入れてください",IF($CH67&gt;0,"⚠ 2便目：定数を "&amp;$CH67&amp;" ケース超える → 減らす",""))))))))</f>
        <v/>
      </c>
      <c r="CK67">
        <f>IF(AND($CI67="",N($Q67)&gt;0,ISNUMBER($P67)),1,0)</f>
        <v/>
      </c>
      <c r="CL67">
        <f>IF(AND($CJ67="",N($T67)&gt;0,ISNUMBER($S67)),1,0)</f>
        <v/>
      </c>
      <c r="CM67">
        <f>IF(OR($CK67=1,$CL67=1),1,0)</f>
        <v/>
      </c>
      <c r="CN67">
        <f>IF($C67="",0,($CK67*$R67+$CL67*$U67)*N($H67))</f>
        <v/>
      </c>
      <c r="CO67">
        <f>IF($C67="","",IF($CC67="","入庫後は 14日以上もつ",IF($CC67-N('設定'!$C$7)&lt;='設定'!$C$6,"入庫後も "&amp;TEXT($CC67,"m/d")&amp;"("&amp;CHOOSE(WEEKDAY($CC67),"日","月","火","水","木","金","土")&amp;")"&amp;" に切れる　もう1便を至急発注","入庫後も "&amp;TEXT($CC67,"m/d")&amp;"("&amp;CHOOSE(WEEKDAY($CC67),"日","月","火","水","木","金","土")&amp;")"&amp;" に切れる　"&amp;TEXT($CC67-N('設定'!$C$7),"m/d")&amp;"("&amp;CHOOSE(WEEKDAY($CC67-N('設定'!$C$7)),"日","月","火","水","木","金","土")&amp;")"&amp;" までに次を発注")))</f>
        <v/>
      </c>
      <c r="CP67">
        <f>IF($C67="","",IF('設定'!$C$6="","？ ①在庫を貼る に今日のCSVが貼られていない",IF($CS67=1,"－ 今日のCSVに無い（終売？）",IF($L67&lt;0,"● 在庫がマイナス　数えて「数えた在庫」に入れる",IF($L67=0,"● 在庫なし　至急発注",IF($M67="","？ 減り数が未設定（商品マスタ）",IF($B$3=0,"？ 動員が未入力（動員を入れる）",IF($CA67="","○ 14日以上もつ",IF($BZ67&lt;N('設定'!$C$7),"● "&amp;TEXT($CA67,"m/d")&amp;"("&amp;CHOOSE(WEEKDAY($CA67),"日","月","火","水","木","金","土")&amp;")"&amp;" に切れる　至急発注",IF($BZ67=N('設定'!$C$7),"● "&amp;TEXT($CA67,"m/d")&amp;"("&amp;CHOOSE(WEEKDAY($CA67),"日","月","火","水","木","金","土")&amp;")"&amp;" に切れる　今日発注","△ "&amp;TEXT($CA67,"m/d")&amp;"("&amp;CHOOSE(WEEKDAY($CA67),"日","月","火","水","木","金","土")&amp;")"&amp;" に切れる　"&amp;TEXT($CA67-N('設定'!$C$7),"m/d")&amp;"("&amp;CHOOSE(WEEKDAY($CA67-N('設定'!$C$7)),"日","月","火","水","木","金","土")&amp;")"&amp;" までに発注"))))))))))</f>
        <v/>
      </c>
      <c r="CQ67">
        <f>IF($C67="","",IF(AND($P67="",$Q67="",$S67="",$T67=""),"",IF(AND($P67="",$Q67=""),"⚠ 先に1便目（左の入庫日・入庫数）に入れてください",IF($CI67&lt;&gt;"",$CI67,IF($CJ67&lt;&gt;"",$CJ67,IF($M67="","？ 減り数が未設定（発注書には載ります）",IF($B$3=0,"？ 動員が未入力（発注書には載ります）",IF(AND($CA67&lt;&gt;"",$P67&gt;$CA67),IF($P67&gt;'設定'!$C$6+N('設定'!$C$7),"● "&amp;TEXT($P67,"m/d")&amp;"("&amp;CHOOSE(WEEKDAY($P67),"日","月","火","水","木","金","土")&amp;")"&amp;" の入庫では間に合わない（"&amp;TEXT($CA67,"m/d")&amp;"("&amp;CHOOSE(WEEKDAY($CA67),"日","月","火","水","木","金","土")&amp;")"&amp;" に切れる）　入庫日を早める","△ 欠品 "&amp;TEXT($CA67,"m/d")&amp;"("&amp;CHOOSE(WEEKDAY($CA67),"日","月","火","水","木","金","土")&amp;")"&amp;"〜"&amp;TEXT($P67-1,"m/d")&amp;"("&amp;CHOOSE(WEEKDAY($P67-1),"日","月","火","水","木","金","土")&amp;")"&amp;"　"&amp;$CO67),IF($CC67="","○ "&amp;TEXT($P67,"m/d")&amp;"("&amp;CHOOSE(WEEKDAY($P67),"日","月","火","水","木","金","土")&amp;")"&amp;" 入庫で 14日以上もつ",IF($CC67-N('設定'!$C$7)&lt;='設定'!$C$6,"● 入庫しても "&amp;TEXT($CC67,"m/d")&amp;"("&amp;CHOOSE(WEEKDAY($CC67),"日","月","火","水","木","金","土")&amp;")"&amp;" に切れる　もう1便を至急発注（2便目に入れる）","△ 入庫しても "&amp;TEXT($CC67,"m/d")&amp;"("&amp;CHOOSE(WEEKDAY($CC67),"日","月","火","水","木","金","土")&amp;")"&amp;" に切れる　"&amp;TEXT($CC67-N('設定'!$C$7),"m/d")&amp;"("&amp;CHOOSE(WEEKDAY($CC67-N('設定'!$C$7)),"日","月","火","水","木","金","土")&amp;")"&amp;" までに次を発注（2便目に入れる）"))))))))))</f>
        <v/>
      </c>
      <c r="CR67">
        <f>IF($C67="","",IF($G67&gt;1,"ｹｰｽ("&amp;$G67&amp;"入)","個"))</f>
        <v/>
      </c>
      <c r="CS67">
        <f>IF($C67="",0,IF(COUNTIFS('①在庫を貼る'!$V$6:$V$10005,'設定'!$C$4,'①在庫を貼る'!$W$6:$W$10005,$C67)=0,1,0))</f>
        <v/>
      </c>
      <c r="CT67">
        <f>IF(AND($CK67=1,OR('③発注書'!$C$4="すべて",'③発注書'!$C$4="",$F67='③発注書'!$C$4)),N($CT66)+1,N($CT66))</f>
        <v/>
      </c>
      <c r="CU67">
        <f>IF(AND($CL67=1,OR('③発注書'!$C$4="すべて",'③発注書'!$C$4="",$F67='③発注書'!$C$4)),N($CU66)+1,N($CU66))</f>
        <v/>
      </c>
      <c r="CV67">
        <f>IF($C67="",0,IF(COUNTIFS('①在庫を貼る'!$V$6:$V$10005,'設定'!$C$4,'①在庫を貼る'!$W$6:$W$10005,$C67)&gt;0,1,0))</f>
        <v/>
      </c>
      <c r="CW67">
        <f>IF($C67="",0,IF(COUNTIFS('月1回_1ヶ月前の在庫'!$V$6:$V$10005,'設定'!$C$4,'月1回_1ヶ月前の在庫'!$W$6:$W$10005,$C67)&gt;0,1,0))</f>
        <v/>
      </c>
      <c r="CX67">
        <f>IF($C67="",0,IF(COUNTIFS('月1回_2ヶ月前の在庫'!$V$6:$V$10005,'設定'!$C$4,'月1回_2ヶ月前の在庫'!$W$6:$W$10005,$C67)&gt;0,1,0))</f>
        <v/>
      </c>
      <c r="CY67">
        <f>IF(OR($C67="",'設定'!$C$12=""),"",IF('設定'!$C$13="",IF(AND($CV67=1,$CW67=0),"新商品（今月から）",IF(AND($CV67=0,$CW67=1),"終売（今月から）","")),IF(AND($CV67=1,$CW67=0,$CX67=0),"新商品（今月から）",IF(AND($CV67=1,$CW67=1,$CX67=0),"新商品（先月から）",IF(AND($CV67=0,$CW67=1,$CX67=1),"終売（今月から）",IF(AND($CV67=0,$CW67=0,$CX67=1),"終売（先月から）",IF(AND($CV67=1,$CW67=0,$CX67=1),"復活（先月は無し）","")))))))</f>
        <v/>
      </c>
    </row>
    <row r="68">
      <c r="B68">
        <f>IF(63&lt;='設定'!$C$11,63,"")</f>
        <v/>
      </c>
      <c r="C68">
        <f>IF($B68="","",IF($B68&lt;='設定'!$C$20,INDEX('商品マスタ'!$B$6:$B$1005,MATCH($B68,'商品マスタ'!$M$6:$M$1005,0)),IF($B68&lt;='設定'!$C$20+'設定'!$C$17,INDEX('①在庫を貼る'!$W$6:$W$10005,MATCH($B68-'設定'!$C$20,'①在庫を貼る'!$U$6:$U$10005,0)),IF($B68&lt;='設定'!$C$20+'設定'!$C$17+'設定'!$C$18,INDEX('月1回_1ヶ月前の在庫'!$W$6:$W$10005,MATCH($B68-'設定'!$C$20-'設定'!$C$17,'月1回_1ヶ月前の在庫'!$U$6:$U$10005,0)),INDEX('月1回_2ヶ月前の在庫'!$W$6:$W$10005,MATCH($B68-'設定'!$C$20-'設定'!$C$17-'設定'!$C$18,'月1回_2ヶ月前の在庫'!$U$6:$U$10005,0))))))</f>
        <v/>
      </c>
      <c r="D68">
        <f>IF($C68="","",IFERROR(IF(INDEX('商品マスタ'!$C$6:$C$1005,MATCH($C68,'商品マスタ'!$B$6:$B$1005,0))="",IFERROR(INDEX('①在庫を貼る'!$J$6:$J$10005,MATCH($C68,'①在庫を貼る'!$W$6:$W$10005,0)),IFERROR(INDEX('月1回_1ヶ月前の在庫'!$J$6:$J$10005,MATCH($C68,'月1回_1ヶ月前の在庫'!$W$6:$W$10005,0)),IFERROR(INDEX('月1回_2ヶ月前の在庫'!$J$6:$J$10005,MATCH($C68,'月1回_2ヶ月前の在庫'!$W$6:$W$10005,0)),""))),INDEX('商品マスタ'!$C$6:$C$1005,MATCH($C68,'商品マスタ'!$B$6:$B$1005,0))),IFERROR(INDEX('①在庫を貼る'!$J$6:$J$10005,MATCH($C68,'①在庫を貼る'!$W$6:$W$10005,0)),IFERROR(INDEX('月1回_1ヶ月前の在庫'!$J$6:$J$10005,MATCH($C68,'月1回_1ヶ月前の在庫'!$W$6:$W$10005,0)),IFERROR(INDEX('月1回_2ヶ月前の在庫'!$J$6:$J$10005,MATCH($C68,'月1回_2ヶ月前の在庫'!$W$6:$W$10005,0)),"")))))</f>
        <v/>
      </c>
      <c r="E68">
        <f>IF($C68="","",IFERROR(IF(INDEX('商品マスタ'!$D$6:$D$1005,MATCH($C68,'商品マスタ'!$B$6:$B$1005,0))="",IFERROR(INDEX('①在庫を貼る'!$H$6:$H$10005,MATCH($C68,'①在庫を貼る'!$W$6:$W$10005,0)),IFERROR(INDEX('月1回_1ヶ月前の在庫'!$H$6:$H$10005,MATCH($C68,'月1回_1ヶ月前の在庫'!$W$6:$W$10005,0)),IFERROR(INDEX('月1回_2ヶ月前の在庫'!$H$6:$H$10005,MATCH($C68,'月1回_2ヶ月前の在庫'!$W$6:$W$10005,0)),""))),INDEX('商品マスタ'!$D$6:$D$1005,MATCH($C68,'商品マスタ'!$B$6:$B$1005,0))),IFERROR(INDEX('①在庫を貼る'!$H$6:$H$10005,MATCH($C68,'①在庫を貼る'!$W$6:$W$10005,0)),IFERROR(INDEX('月1回_1ヶ月前の在庫'!$H$6:$H$10005,MATCH($C68,'月1回_1ヶ月前の在庫'!$W$6:$W$10005,0)),IFERROR(INDEX('月1回_2ヶ月前の在庫'!$H$6:$H$10005,MATCH($C68,'月1回_2ヶ月前の在庫'!$W$6:$W$10005,0)),"")))))</f>
        <v/>
      </c>
      <c r="F68">
        <f>IF($C68="","",IFERROR(IF(INDEX('商品マスタ'!$E$6:$E$1005,MATCH($C68,'商品マスタ'!$B$6:$B$1005,0))="",IFERROR(INDEX('①在庫を貼る'!$E$6:$E$10005,MATCH($C68,'①在庫を貼る'!$W$6:$W$10005,0)),IFERROR(INDEX('月1回_1ヶ月前の在庫'!$E$6:$E$10005,MATCH($C68,'月1回_1ヶ月前の在庫'!$W$6:$W$10005,0)),IFERROR(INDEX('月1回_2ヶ月前の在庫'!$E$6:$E$10005,MATCH($C68,'月1回_2ヶ月前の在庫'!$W$6:$W$10005,0)),""))),INDEX('商品マスタ'!$E$6:$E$1005,MATCH($C68,'商品マスタ'!$B$6:$B$1005,0))),IFERROR(INDEX('①在庫を貼る'!$E$6:$E$10005,MATCH($C68,'①在庫を貼る'!$W$6:$W$10005,0)),IFERROR(INDEX('月1回_1ヶ月前の在庫'!$E$6:$E$10005,MATCH($C68,'月1回_1ヶ月前の在庫'!$W$6:$W$10005,0)),IFERROR(INDEX('月1回_2ヶ月前の在庫'!$E$6:$E$10005,MATCH($C68,'月1回_2ヶ月前の在庫'!$W$6:$W$10005,0)),"")))))</f>
        <v/>
      </c>
      <c r="G68">
        <f>IF($C68="","",MAX(1,N(IFERROR(IF(INDEX('商品マスタ'!$F$6:$F$1005,MATCH($C68,'商品マスタ'!$B$6:$B$1005,0))="",IF(COUNTIFS('①在庫を貼る'!$V$6:$V$10005,'設定'!$C$4,'①在庫を貼る'!$W$6:$W$10005,$C68)&gt;0,SUMIFS('①在庫を貼る'!$K$6:$K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K$6:$K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K$6:$K$10005,'月1回_2ヶ月前の在庫'!$V$6:$V$10005,'設定'!$C$4,'月1回_2ヶ月前の在庫'!$W$6:$W$10005,$C68)/COUNTIFS('月1回_2ヶ月前の在庫'!$V$6:$V$10005,'設定'!$C$4,'月1回_2ヶ月前の在庫'!$W$6:$W$10005,$C68),0))),INDEX('商品マスタ'!$F$6:$F$1005,MATCH($C68,'商品マスタ'!$B$6:$B$1005,0))),IF(COUNTIFS('①在庫を貼る'!$V$6:$V$10005,'設定'!$C$4,'①在庫を貼る'!$W$6:$W$10005,$C68)&gt;0,SUMIFS('①在庫を貼る'!$K$6:$K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K$6:$K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K$6:$K$10005,'月1回_2ヶ月前の在庫'!$V$6:$V$10005,'設定'!$C$4,'月1回_2ヶ月前の在庫'!$W$6:$W$10005,$C68)/COUNTIFS('月1回_2ヶ月前の在庫'!$V$6:$V$10005,'設定'!$C$4,'月1回_2ヶ月前の在庫'!$W$6:$W$10005,$C68),0)))))))</f>
        <v/>
      </c>
      <c r="H68">
        <f>IF($C68="","",N(IFERROR(IF(INDEX('商品マスタ'!$G$6:$G$1005,MATCH($C68,'商品マスタ'!$B$6:$B$1005,0))="",IF(COUNTIFS('①在庫を貼る'!$V$6:$V$10005,'設定'!$C$4,'①在庫を貼る'!$W$6:$W$10005,$C68)&gt;0,SUMIFS('①在庫を貼る'!$Q$6:$Q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Q$6:$Q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Q$6:$Q$10005,'月1回_2ヶ月前の在庫'!$V$6:$V$10005,'設定'!$C$4,'月1回_2ヶ月前の在庫'!$W$6:$W$10005,$C68)/COUNTIFS('月1回_2ヶ月前の在庫'!$V$6:$V$10005,'設定'!$C$4,'月1回_2ヶ月前の在庫'!$W$6:$W$10005,$C68),0))),INDEX('商品マスタ'!$G$6:$G$1005,MATCH($C68,'商品マスタ'!$B$6:$B$1005,0))),IF(COUNTIFS('①在庫を貼る'!$V$6:$V$10005,'設定'!$C$4,'①在庫を貼る'!$W$6:$W$10005,$C68)&gt;0,SUMIFS('①在庫を貼る'!$Q$6:$Q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Q$6:$Q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Q$6:$Q$10005,'月1回_2ヶ月前の在庫'!$V$6:$V$10005,'設定'!$C$4,'月1回_2ヶ月前の在庫'!$W$6:$W$10005,$C68)/COUNTIFS('月1回_2ヶ月前の在庫'!$V$6:$V$10005,'設定'!$C$4,'月1回_2ヶ月前の在庫'!$W$6:$W$10005,$C68),0))))))</f>
        <v/>
      </c>
      <c r="I68">
        <f>IF($C68="","",IF(COUNTIFS('①在庫を貼る'!$V$6:$V$10005,'設定'!$C$4,'①在庫を貼る'!$W$6:$W$10005,$C68)=0,"",SUMIFS('①在庫を貼る'!$N$6:$N$10005,'①在庫を貼る'!$V$6:$V$10005,'設定'!$C$4,'①在庫を貼る'!$W$6:$W$10005,$C68)))</f>
        <v/>
      </c>
      <c r="J68">
        <f>IF($C68="","",IF('②発注する'!$AD72="","",'②発注する'!$AD72))</f>
        <v/>
      </c>
      <c r="K68" s="90">
        <f>IF($C68="","",IF('②発注する'!$AE72="","",'②発注する'!$AE72))</f>
        <v/>
      </c>
      <c r="L68">
        <f>IF($C68="","",IF(AND(ISNUMBER($J68),ISNUMBER($K68),$K68&gt;='設定'!$C$6),$J68,N($I68)))</f>
        <v/>
      </c>
      <c r="M68">
        <f>IF($C68="","",IFERROR(IF(N(INDEX('商品マスタ'!$J$6:$J$1005,MATCH($C68,'商品マスタ'!$B$6:$B$1005,0)))&gt;0,INDEX('商品マスタ'!$J$6:$J$1005,MATCH($C68,'商品マスタ'!$B$6:$B$1005,0)),""),""))</f>
        <v/>
      </c>
      <c r="N68">
        <f>IF($C68="","",IFERROR(IF(N(INDEX('商品マスタ'!$H$6:$H$1005,MATCH($C68,'商品マスタ'!$B$6:$B$1005,0)))&gt;0,INDEX('商品マスタ'!$H$6:$H$1005,MATCH($C68,'商品マスタ'!$B$6:$B$1005,0)),""),""))</f>
        <v/>
      </c>
      <c r="O68">
        <f>IF($C68="","",IF($N68&lt;&gt;"",$N68*$G68,IF(N(IF(COUNTIFS('①在庫を貼る'!$V$6:$V$10005,'設定'!$C$4,'①在庫を貼る'!$W$6:$W$10005,$C68)&gt;0,SUMIFS('①在庫を貼る'!$O$6:$O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O$6:$O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O$6:$O$10005,'月1回_2ヶ月前の在庫'!$V$6:$V$10005,'設定'!$C$4,'月1回_2ヶ月前の在庫'!$W$6:$W$10005,$C68)/COUNTIFS('月1回_2ヶ月前の在庫'!$V$6:$V$10005,'設定'!$C$4,'月1回_2ヶ月前の在庫'!$W$6:$W$10005,$C68),0))))&gt;0,N(IF(COUNTIFS('①在庫を貼る'!$V$6:$V$10005,'設定'!$C$4,'①在庫を貼る'!$W$6:$W$10005,$C68)&gt;0,SUMIFS('①在庫を貼る'!$O$6:$O$10005,'①在庫を貼る'!$V$6:$V$10005,'設定'!$C$4,'①在庫を貼る'!$W$6:$W$10005,$C68)/COUNTIFS('①在庫を貼る'!$V$6:$V$10005,'設定'!$C$4,'①在庫を貼る'!$W$6:$W$10005,$C68),IF(COUNTIFS('月1回_1ヶ月前の在庫'!$V$6:$V$10005,'設定'!$C$4,'月1回_1ヶ月前の在庫'!$W$6:$W$10005,$C68)&gt;0,SUMIFS('月1回_1ヶ月前の在庫'!$O$6:$O$10005,'月1回_1ヶ月前の在庫'!$V$6:$V$10005,'設定'!$C$4,'月1回_1ヶ月前の在庫'!$W$6:$W$10005,$C68)/COUNTIFS('月1回_1ヶ月前の在庫'!$V$6:$V$10005,'設定'!$C$4,'月1回_1ヶ月前の在庫'!$W$6:$W$10005,$C68),IF(COUNTIFS('月1回_2ヶ月前の在庫'!$V$6:$V$10005,'設定'!$C$4,'月1回_2ヶ月前の在庫'!$W$6:$W$10005,$C68)&gt;0,SUMIFS('月1回_2ヶ月前の在庫'!$O$6:$O$10005,'月1回_2ヶ月前の在庫'!$V$6:$V$10005,'設定'!$C$4,'月1回_2ヶ月前の在庫'!$W$6:$W$10005,$C68)/COUNTIFS('月1回_2ヶ月前の在庫'!$V$6:$V$10005,'設定'!$C$4,'月1回_2ヶ月前の在庫'!$W$6:$W$10005,$C68),0)))),"")))</f>
        <v/>
      </c>
      <c r="P68" s="90">
        <f>IF($C68="","",IF('②発注する'!$I72="","",'②発注する'!$I72))</f>
        <v/>
      </c>
      <c r="Q68">
        <f>IF($C68="","",IF('②発注する'!$J72="","",'②発注する'!$J72))</f>
        <v/>
      </c>
      <c r="R68">
        <f>IF($C68="",0,IF(AND(ISNUMBER($P68),ISNUMBER($Q68)),MAX(0,$Q68)*$G68,0))</f>
        <v/>
      </c>
      <c r="S68" s="90">
        <f>IF($C68="","",IF('②発注する'!$M72="","",'②発注する'!$M72))</f>
        <v/>
      </c>
      <c r="T68">
        <f>IF($C68="","",IF('②発注する'!$N72="","",'②発注する'!$N72))</f>
        <v/>
      </c>
      <c r="U68">
        <f>IF($C68="",0,IF(AND(ISNUMBER($S68),ISNUMBER($T68)),MAX(0,$T68)*$G68,0))</f>
        <v/>
      </c>
      <c r="V68">
        <f>IF($C68="",0,IF($M68="",0,MAX(0,$M68)*MAX(0,V$4)/100))</f>
        <v/>
      </c>
      <c r="W68">
        <f>IF($C68="",0,IF($M68="",0,MAX(0,$M68)*MAX(0,W$4)/100))</f>
        <v/>
      </c>
      <c r="X68">
        <f>IF($C68="",0,IF($M68="",0,MAX(0,$M68)*MAX(0,X$4)/100))</f>
        <v/>
      </c>
      <c r="Y68">
        <f>IF($C68="",0,IF($M68="",0,MAX(0,$M68)*MAX(0,Y$4)/100))</f>
        <v/>
      </c>
      <c r="Z68">
        <f>IF($C68="",0,IF($M68="",0,MAX(0,$M68)*MAX(0,Z$4)/100))</f>
        <v/>
      </c>
      <c r="AA68">
        <f>IF($C68="",0,IF($M68="",0,MAX(0,$M68)*MAX(0,AA$4)/100))</f>
        <v/>
      </c>
      <c r="AB68">
        <f>IF($C68="",0,IF($M68="",0,MAX(0,$M68)*MAX(0,AB$4)/100))</f>
        <v/>
      </c>
      <c r="AC68">
        <f>IF($C68="",0,IF($M68="",0,MAX(0,$M68)*MAX(0,AC$4)/100))</f>
        <v/>
      </c>
      <c r="AD68">
        <f>IF($C68="",0,IF($M68="",0,MAX(0,$M68)*MAX(0,AD$4)/100))</f>
        <v/>
      </c>
      <c r="AE68">
        <f>IF($C68="",0,IF($M68="",0,MAX(0,$M68)*MAX(0,AE$4)/100))</f>
        <v/>
      </c>
      <c r="AF68">
        <f>IF($C68="",0,IF($M68="",0,MAX(0,$M68)*MAX(0,AF$4)/100))</f>
        <v/>
      </c>
      <c r="AG68">
        <f>IF($C68="",0,IF($M68="",0,MAX(0,$M68)*MAX(0,AG$4)/100))</f>
        <v/>
      </c>
      <c r="AH68">
        <f>IF($C68="",0,IF($M68="",0,MAX(0,$M68)*MAX(0,AH$4)/100))</f>
        <v/>
      </c>
      <c r="AI68">
        <f>IF($C68="",0,IF($M68="",0,MAX(0,$M68)*MAX(0,AI$4)/100))</f>
        <v/>
      </c>
      <c r="AJ68">
        <f>IF($C68="",0,MAX(0,MAX(0,N($L68))-$V68))</f>
        <v/>
      </c>
      <c r="AK68">
        <f>IF($C68="",0,MAX(0,$AJ68-$W68))</f>
        <v/>
      </c>
      <c r="AL68">
        <f>IF($C68="",0,MAX(0,$AK68-$X68))</f>
        <v/>
      </c>
      <c r="AM68">
        <f>IF($C68="",0,MAX(0,$AL68-$Y68))</f>
        <v/>
      </c>
      <c r="AN68">
        <f>IF($C68="",0,MAX(0,$AM68-$Z68))</f>
        <v/>
      </c>
      <c r="AO68">
        <f>IF($C68="",0,MAX(0,$AN68-$AA68))</f>
        <v/>
      </c>
      <c r="AP68">
        <f>IF($C68="",0,MAX(0,$AO68-$AB68))</f>
        <v/>
      </c>
      <c r="AQ68">
        <f>IF($C68="",0,MAX(0,$AP68-$AC68))</f>
        <v/>
      </c>
      <c r="AR68">
        <f>IF($C68="",0,MAX(0,$AQ68-$AD68))</f>
        <v/>
      </c>
      <c r="AS68">
        <f>IF($C68="",0,MAX(0,$AR68-$AE68))</f>
        <v/>
      </c>
      <c r="AT68">
        <f>IF($C68="",0,MAX(0,$AS68-$AF68))</f>
        <v/>
      </c>
      <c r="AU68">
        <f>IF($C68="",0,MAX(0,$AT68-$AG68))</f>
        <v/>
      </c>
      <c r="AV68">
        <f>IF($C68="",0,MAX(0,$AU68-$AH68))</f>
        <v/>
      </c>
      <c r="AW68">
        <f>IF($C68="",0,MAX(0,$AV68-$AI68))</f>
        <v/>
      </c>
      <c r="AX68">
        <f>IF($C68="",0,MAX(0,MAX(0,N($L68))+IF($P68=V$3,$R68,0)+IF($S68=V$3,$U68,0)-$V68))</f>
        <v/>
      </c>
      <c r="AY68">
        <f>IF($C68="",0,MAX(0,$AX68+IF($P68=W$3,$R68,0)+IF($S68=W$3,$U68,0)-$W68))</f>
        <v/>
      </c>
      <c r="AZ68">
        <f>IF($C68="",0,MAX(0,$AY68+IF($P68=X$3,$R68,0)+IF($S68=X$3,$U68,0)-$X68))</f>
        <v/>
      </c>
      <c r="BA68">
        <f>IF($C68="",0,MAX(0,$AZ68+IF($P68=Y$3,$R68,0)+IF($S68=Y$3,$U68,0)-$Y68))</f>
        <v/>
      </c>
      <c r="BB68">
        <f>IF($C68="",0,MAX(0,$BA68+IF($P68=Z$3,$R68,0)+IF($S68=Z$3,$U68,0)-$Z68))</f>
        <v/>
      </c>
      <c r="BC68">
        <f>IF($C68="",0,MAX(0,$BB68+IF($P68=AA$3,$R68,0)+IF($S68=AA$3,$U68,0)-$AA68))</f>
        <v/>
      </c>
      <c r="BD68">
        <f>IF($C68="",0,MAX(0,$BC68+IF($P68=AB$3,$R68,0)+IF($S68=AB$3,$U68,0)-$AB68))</f>
        <v/>
      </c>
      <c r="BE68">
        <f>IF($C68="",0,MAX(0,$BD68+IF($P68=AC$3,$R68,0)+IF($S68=AC$3,$U68,0)-$AC68))</f>
        <v/>
      </c>
      <c r="BF68">
        <f>IF($C68="",0,MAX(0,$BE68+IF($P68=AD$3,$R68,0)+IF($S68=AD$3,$U68,0)-$AD68))</f>
        <v/>
      </c>
      <c r="BG68">
        <f>IF($C68="",0,MAX(0,$BF68+IF($P68=AE$3,$R68,0)+IF($S68=AE$3,$U68,0)-$AE68))</f>
        <v/>
      </c>
      <c r="BH68">
        <f>IF($C68="",0,MAX(0,$BG68+IF($P68=AF$3,$R68,0)+IF($S68=AF$3,$U68,0)-$AF68))</f>
        <v/>
      </c>
      <c r="BI68">
        <f>IF($C68="",0,MAX(0,$BH68+IF($P68=AG$3,$R68,0)+IF($S68=AG$3,$U68,0)-$AG68))</f>
        <v/>
      </c>
      <c r="BJ68">
        <f>IF($C68="",0,MAX(0,$BI68+IF($P68=AH$3,$R68,0)+IF($S68=AH$3,$U68,0)-$AH68))</f>
        <v/>
      </c>
      <c r="BK68">
        <f>IF($C68="",0,MAX(0,$BJ68+IF($P68=AI$3,$R68,0)+IF($S68=AI$3,$U68,0)-$AI68))</f>
        <v/>
      </c>
      <c r="BL68">
        <f>IF($C68="",99,IF(AND($AX68&lt;1,V$3&gt;=MAX(N($P68),N($S68))),0,99))</f>
        <v/>
      </c>
      <c r="BM68">
        <f>IF($C68="",99,IF(AND($AY68&lt;1,W$3&gt;=MAX(N($P68),N($S68))),1,99))</f>
        <v/>
      </c>
      <c r="BN68">
        <f>IF($C68="",99,IF(AND($AZ68&lt;1,X$3&gt;=MAX(N($P68),N($S68))),2,99))</f>
        <v/>
      </c>
      <c r="BO68">
        <f>IF($C68="",99,IF(AND($BA68&lt;1,Y$3&gt;=MAX(N($P68),N($S68))),3,99))</f>
        <v/>
      </c>
      <c r="BP68">
        <f>IF($C68="",99,IF(AND($BB68&lt;1,Z$3&gt;=MAX(N($P68),N($S68))),4,99))</f>
        <v/>
      </c>
      <c r="BQ68">
        <f>IF($C68="",99,IF(AND($BC68&lt;1,AA$3&gt;=MAX(N($P68),N($S68))),5,99))</f>
        <v/>
      </c>
      <c r="BR68">
        <f>IF($C68="",99,IF(AND($BD68&lt;1,AB$3&gt;=MAX(N($P68),N($S68))),6,99))</f>
        <v/>
      </c>
      <c r="BS68">
        <f>IF($C68="",99,IF(AND($BE68&lt;1,AC$3&gt;=MAX(N($P68),N($S68))),7,99))</f>
        <v/>
      </c>
      <c r="BT68">
        <f>IF($C68="",99,IF(AND($BF68&lt;1,AD$3&gt;=MAX(N($P68),N($S68))),8,99))</f>
        <v/>
      </c>
      <c r="BU68">
        <f>IF($C68="",99,IF(AND($BG68&lt;1,AE$3&gt;=MAX(N($P68),N($S68))),9,99))</f>
        <v/>
      </c>
      <c r="BV68">
        <f>IF($C68="",99,IF(AND($BH68&lt;1,AF$3&gt;=MAX(N($P68),N($S68))),10,99))</f>
        <v/>
      </c>
      <c r="BW68">
        <f>IF($C68="",99,IF(AND($BI68&lt;1,AG$3&gt;=MAX(N($P68),N($S68))),11,99))</f>
        <v/>
      </c>
      <c r="BX68">
        <f>IF($C68="",99,IF(AND($BJ68&lt;1,AH$3&gt;=MAX(N($P68),N($S68))),12,99))</f>
        <v/>
      </c>
      <c r="BY68">
        <f>IF($C68="",99,IF(AND($BK68&lt;1,AI$3&gt;=MAX(N($P68),N($S68))),13,99))</f>
        <v/>
      </c>
      <c r="BZ68">
        <f>IF(OR($C68="",$M68=""),"",COUNTIF($AJ68:$AW68,"&gt;=1"))</f>
        <v/>
      </c>
      <c r="CA68" s="90">
        <f>IF($BZ68="","",IF($BZ68&gt;=14,"",'設定'!$C$6+$BZ68))</f>
        <v/>
      </c>
      <c r="CB68">
        <f>IF(OR($C68="",$M68=""),"",MIN($BL68:$BY68))</f>
        <v/>
      </c>
      <c r="CC68" s="90">
        <f>IF($CB68="","",IF($CB68&gt;=99,"",'設定'!$C$6+$CB68))</f>
        <v/>
      </c>
      <c r="CD68">
        <f>IF(OR($C68="",$M68=""),"",AVERAGE($V68:$AI68))</f>
        <v/>
      </c>
      <c r="CE68">
        <f>IF($C68="","",IFERROR(IF(MATCH(IF(ISNUMBER($P68),$P68,'設定'!$C$6+N('設定'!$C$7)),$V$3:$AI$3,0)=1,MAX(0,N($L68)),INDEX($AJ68:$AW68,MATCH(IF(ISNUMBER($P68),$P68,'設定'!$C$6+N('設定'!$C$7)),$V$3:$AI$3,0)-1)),""))</f>
        <v/>
      </c>
      <c r="CF68">
        <f>IF(OR($C68="",$O68="",$CE68=""),"",IF($O68-$CE68&lt;=0,0,ROUNDUP(($O68-$CE68)/$G68,0)))</f>
        <v/>
      </c>
      <c r="CG68">
        <f>IF(OR($C68="",$CF68="",NOT(ISNUMBER($Q68))),0,MAX(0,$Q68-$CF68))</f>
        <v/>
      </c>
      <c r="CH68">
        <f>IF(OR($C68="",$O68="",$U68=0),0,IFERROR(ROUNDUP(MAX(0,IF(MATCH($S68,$V$3:$AI$3,0)=1,MAX(0,N($L68)),INDEX($AX68:$BK68,MATCH($S68,$V$3:$AI$3,0)-1))+$U68-$O68)/$G68,0),0))</f>
        <v/>
      </c>
      <c r="CI68">
        <f>IF($C68="","",IF(AND($P68="",$Q68=""),"",IF($P68="","⚠ 入庫日を ▼ から選んでください",IF(NOT(ISNUMBER($P68)),"⚠ 入庫日は ▼ から選んでください",IF($P68&lt;N('設定'!$C$6),"⚠ 入庫日が過去です（もう在庫に入っています）→ 消してください",IF($P68&gt;N('設定'!$C$6)+13,"⚠ 入庫日が14日より先です",IF(N($Q68)&lt;=0,"⚠ 入庫数を入れてください",IF($CG68&gt;0,"⚠ 目安より "&amp;$CG68&amp;" 多い（定数を超える）→ 減らす",""))))))))</f>
        <v/>
      </c>
      <c r="CJ68">
        <f>IF($C68="","",IF(AND($S68="",$T68=""),"",IF($S68="","⚠ 2便目：入庫日を ▼ から選んでください",IF(NOT(ISNUMBER($S68)),"⚠ 2便目：入庫日は ▼ から選んでください",IF($S68&lt;N('設定'!$C$6),"⚠ 2便目：入庫日が過去です（もう在庫に入っています）→ 消してください",IF($S68&gt;N('設定'!$C$6)+13,"⚠ 2便目：入庫日が14日より先です",IF(N($T68)&lt;=0,"⚠ 2便目：入庫数を入れてください",IF($CH68&gt;0,"⚠ 2便目：定数を "&amp;$CH68&amp;" ケース超える → 減らす",""))))))))</f>
        <v/>
      </c>
      <c r="CK68">
        <f>IF(AND($CI68="",N($Q68)&gt;0,ISNUMBER($P68)),1,0)</f>
        <v/>
      </c>
      <c r="CL68">
        <f>IF(AND($CJ68="",N($T68)&gt;0,ISNUMBER($S68)),1,0)</f>
        <v/>
      </c>
      <c r="CM68">
        <f>IF(OR($CK68=1,$CL68=1),1,0)</f>
        <v/>
      </c>
      <c r="CN68">
        <f>IF($C68="",0,($CK68*$R68+$CL68*$U68)*N($H68))</f>
        <v/>
      </c>
      <c r="CO68">
        <f>IF($C68="","",IF($CC68="","入庫後は 14日以上もつ",IF($CC68-N('設定'!$C$7)&lt;='設定'!$C$6,"入庫後も "&amp;TEXT($CC68,"m/d")&amp;"("&amp;CHOOSE(WEEKDAY($CC68),"日","月","火","水","木","金","土")&amp;")"&amp;" に切れる　もう1便を至急発注","入庫後も "&amp;TEXT($CC68,"m/d")&amp;"("&amp;CHOOSE(WEEKDAY($CC68),"日","月","火","水","木","金","土")&amp;")"&amp;" に切れる　"&amp;TEXT($CC68-N('設定'!$C$7),"m/d")&amp;"("&amp;CHOOSE(WEEKDAY($CC68-N('設定'!$C$7)),"日","月","火","水","木","金","土")&amp;")"&amp;" までに次を発注")))</f>
        <v/>
      </c>
      <c r="CP68">
        <f>IF($C68="","",IF('設定'!$C$6="","？ ①在庫を貼る に今日のCSVが貼られていない",IF($CS68=1,"－ 今日のCSVに無い（終売？）",IF($L68&lt;0,"● 在庫がマイナス　数えて「数えた在庫」に入れる",IF($L68=0,"● 在庫なし　至急発注",IF($M68="","？ 減り数が未設定（商品マスタ）",IF($B$3=0,"？ 動員が未入力（動員を入れる）",IF($CA68="","○ 14日以上もつ",IF($BZ68&lt;N('設定'!$C$7),"● "&amp;TEXT($CA68,"m/d")&amp;"("&amp;CHOOSE(WEEKDAY($CA68),"日","月","火","水","木","金","土")&amp;")"&amp;" に切れる　至急発注",IF($BZ68=N('設定'!$C$7),"● "&amp;TEXT($CA68,"m/d")&amp;"("&amp;CHOOSE(WEEKDAY($CA68),"日","月","火","水","木","金","土")&amp;")"&amp;" に切れる　今日発注","△ "&amp;TEXT($CA68,"m/d")&amp;"("&amp;CHOOSE(WEEKDAY($CA68),"日","月","火","水","木","金","土")&amp;")"&amp;" に切れる　"&amp;TEXT($CA68-N('設定'!$C$7),"m/d")&amp;"("&amp;CHOOSE(WEEKDAY($CA68-N('設定'!$C$7)),"日","月","火","水","木","金","土")&amp;")"&amp;" までに発注"))))))))))</f>
        <v/>
      </c>
      <c r="CQ68">
        <f>IF($C68="","",IF(AND($P68="",$Q68="",$S68="",$T68=""),"",IF(AND($P68="",$Q68=""),"⚠ 先に1便目（左の入庫日・入庫数）に入れてください",IF($CI68&lt;&gt;"",$CI68,IF($CJ68&lt;&gt;"",$CJ68,IF($M68="","？ 減り数が未設定（発注書には載ります）",IF($B$3=0,"？ 動員が未入力（発注書には載ります）",IF(AND($CA68&lt;&gt;"",$P68&gt;$CA68),IF($P68&gt;'設定'!$C$6+N('設定'!$C$7),"● "&amp;TEXT($P68,"m/d")&amp;"("&amp;CHOOSE(WEEKDAY($P68),"日","月","火","水","木","金","土")&amp;")"&amp;" の入庫では間に合わない（"&amp;TEXT($CA68,"m/d")&amp;"("&amp;CHOOSE(WEEKDAY($CA68),"日","月","火","水","木","金","土")&amp;")"&amp;" に切れる）　入庫日を早める","△ 欠品 "&amp;TEXT($CA68,"m/d")&amp;"("&amp;CHOOSE(WEEKDAY($CA68),"日","月","火","水","木","金","土")&amp;")"&amp;"〜"&amp;TEXT($P68-1,"m/d")&amp;"("&amp;CHOOSE(WEEKDAY($P68-1),"日","月","火","水","木","金","土")&amp;")"&amp;"　"&amp;$CO68),IF($CC68="","○ "&amp;TEXT($P68,"m/d")&amp;"("&amp;CHOOSE(WEEKDAY($P68),"日","月","火","水","木","金","土")&amp;")"&amp;" 入庫で 14日以上もつ",IF($CC68-N('設定'!$C$7)&lt;='設定'!$C$6,"● 入庫しても "&amp;TEXT($CC68,"m/d")&amp;"("&amp;CHOOSE(WEEKDAY($CC68),"日","月","火","水","木","金","土")&amp;")"&amp;" に切れる　もう1便を至急発注（2便目に入れる）","△ 入庫しても "&amp;TEXT($CC68,"m/d")&amp;"("&amp;CHOOSE(WEEKDAY($CC68),"日","月","火","水","木","金","土")&amp;")"&amp;" に切れる　"&amp;TEXT($CC68-N('設定'!$C$7),"m/d")&amp;"("&amp;CHOOSE(WEEKDAY($CC68-N('設定'!$C$7)),"日","月","火","水","木","金","土")&amp;")"&amp;" までに次を発注（2便目に入れる）"))))))))))</f>
        <v/>
      </c>
      <c r="CR68">
        <f>IF($C68="","",IF($G68&gt;1,"ｹｰｽ("&amp;$G68&amp;"入)","個"))</f>
        <v/>
      </c>
      <c r="CS68">
        <f>IF($C68="",0,IF(COUNTIFS('①在庫を貼る'!$V$6:$V$10005,'設定'!$C$4,'①在庫を貼る'!$W$6:$W$10005,$C68)=0,1,0))</f>
        <v/>
      </c>
      <c r="CT68">
        <f>IF(AND($CK68=1,OR('③発注書'!$C$4="すべて",'③発注書'!$C$4="",$F68='③発注書'!$C$4)),N($CT67)+1,N($CT67))</f>
        <v/>
      </c>
      <c r="CU68">
        <f>IF(AND($CL68=1,OR('③発注書'!$C$4="すべて",'③発注書'!$C$4="",$F68='③発注書'!$C$4)),N($CU67)+1,N($CU67))</f>
        <v/>
      </c>
      <c r="CV68">
        <f>IF($C68="",0,IF(COUNTIFS('①在庫を貼る'!$V$6:$V$10005,'設定'!$C$4,'①在庫を貼る'!$W$6:$W$10005,$C68)&gt;0,1,0))</f>
        <v/>
      </c>
      <c r="CW68">
        <f>IF($C68="",0,IF(COUNTIFS('月1回_1ヶ月前の在庫'!$V$6:$V$10005,'設定'!$C$4,'月1回_1ヶ月前の在庫'!$W$6:$W$10005,$C68)&gt;0,1,0))</f>
        <v/>
      </c>
      <c r="CX68">
        <f>IF($C68="",0,IF(COUNTIFS('月1回_2ヶ月前の在庫'!$V$6:$V$10005,'設定'!$C$4,'月1回_2ヶ月前の在庫'!$W$6:$W$10005,$C68)&gt;0,1,0))</f>
        <v/>
      </c>
      <c r="CY68">
        <f>IF(OR($C68="",'設定'!$C$12=""),"",IF('設定'!$C$13="",IF(AND($CV68=1,$CW68=0),"新商品（今月から）",IF(AND($CV68=0,$CW68=1),"終売（今月から）","")),IF(AND($CV68=1,$CW68=0,$CX68=0),"新商品（今月から）",IF(AND($CV68=1,$CW68=1,$CX68=0),"新商品（先月から）",IF(AND($CV68=0,$CW68=1,$CX68=1),"終売（今月から）",IF(AND($CV68=0,$CW68=0,$CX68=1),"終売（先月から）",IF(AND($CV68=1,$CW68=0,$CX68=1),"復活（先月は無し）","")))))))</f>
        <v/>
      </c>
    </row>
    <row r="69">
      <c r="B69">
        <f>IF(64&lt;='設定'!$C$11,64,"")</f>
        <v/>
      </c>
      <c r="C69">
        <f>IF($B69="","",IF($B69&lt;='設定'!$C$20,INDEX('商品マスタ'!$B$6:$B$1005,MATCH($B69,'商品マスタ'!$M$6:$M$1005,0)),IF($B69&lt;='設定'!$C$20+'設定'!$C$17,INDEX('①在庫を貼る'!$W$6:$W$10005,MATCH($B69-'設定'!$C$20,'①在庫を貼る'!$U$6:$U$10005,0)),IF($B69&lt;='設定'!$C$20+'設定'!$C$17+'設定'!$C$18,INDEX('月1回_1ヶ月前の在庫'!$W$6:$W$10005,MATCH($B69-'設定'!$C$20-'設定'!$C$17,'月1回_1ヶ月前の在庫'!$U$6:$U$10005,0)),INDEX('月1回_2ヶ月前の在庫'!$W$6:$W$10005,MATCH($B69-'設定'!$C$20-'設定'!$C$17-'設定'!$C$18,'月1回_2ヶ月前の在庫'!$U$6:$U$10005,0))))))</f>
        <v/>
      </c>
      <c r="D69">
        <f>IF($C69="","",IFERROR(IF(INDEX('商品マスタ'!$C$6:$C$1005,MATCH($C69,'商品マスタ'!$B$6:$B$1005,0))="",IFERROR(INDEX('①在庫を貼る'!$J$6:$J$10005,MATCH($C69,'①在庫を貼る'!$W$6:$W$10005,0)),IFERROR(INDEX('月1回_1ヶ月前の在庫'!$J$6:$J$10005,MATCH($C69,'月1回_1ヶ月前の在庫'!$W$6:$W$10005,0)),IFERROR(INDEX('月1回_2ヶ月前の在庫'!$J$6:$J$10005,MATCH($C69,'月1回_2ヶ月前の在庫'!$W$6:$W$10005,0)),""))),INDEX('商品マスタ'!$C$6:$C$1005,MATCH($C69,'商品マスタ'!$B$6:$B$1005,0))),IFERROR(INDEX('①在庫を貼る'!$J$6:$J$10005,MATCH($C69,'①在庫を貼る'!$W$6:$W$10005,0)),IFERROR(INDEX('月1回_1ヶ月前の在庫'!$J$6:$J$10005,MATCH($C69,'月1回_1ヶ月前の在庫'!$W$6:$W$10005,0)),IFERROR(INDEX('月1回_2ヶ月前の在庫'!$J$6:$J$10005,MATCH($C69,'月1回_2ヶ月前の在庫'!$W$6:$W$10005,0)),"")))))</f>
        <v/>
      </c>
      <c r="E69">
        <f>IF($C69="","",IFERROR(IF(INDEX('商品マスタ'!$D$6:$D$1005,MATCH($C69,'商品マスタ'!$B$6:$B$1005,0))="",IFERROR(INDEX('①在庫を貼る'!$H$6:$H$10005,MATCH($C69,'①在庫を貼る'!$W$6:$W$10005,0)),IFERROR(INDEX('月1回_1ヶ月前の在庫'!$H$6:$H$10005,MATCH($C69,'月1回_1ヶ月前の在庫'!$W$6:$W$10005,0)),IFERROR(INDEX('月1回_2ヶ月前の在庫'!$H$6:$H$10005,MATCH($C69,'月1回_2ヶ月前の在庫'!$W$6:$W$10005,0)),""))),INDEX('商品マスタ'!$D$6:$D$1005,MATCH($C69,'商品マスタ'!$B$6:$B$1005,0))),IFERROR(INDEX('①在庫を貼る'!$H$6:$H$10005,MATCH($C69,'①在庫を貼る'!$W$6:$W$10005,0)),IFERROR(INDEX('月1回_1ヶ月前の在庫'!$H$6:$H$10005,MATCH($C69,'月1回_1ヶ月前の在庫'!$W$6:$W$10005,0)),IFERROR(INDEX('月1回_2ヶ月前の在庫'!$H$6:$H$10005,MATCH($C69,'月1回_2ヶ月前の在庫'!$W$6:$W$10005,0)),"")))))</f>
        <v/>
      </c>
      <c r="F69">
        <f>IF($C69="","",IFERROR(IF(INDEX('商品マスタ'!$E$6:$E$1005,MATCH($C69,'商品マスタ'!$B$6:$B$1005,0))="",IFERROR(INDEX('①在庫を貼る'!$E$6:$E$10005,MATCH($C69,'①在庫を貼る'!$W$6:$W$10005,0)),IFERROR(INDEX('月1回_1ヶ月前の在庫'!$E$6:$E$10005,MATCH($C69,'月1回_1ヶ月前の在庫'!$W$6:$W$10005,0)),IFERROR(INDEX('月1回_2ヶ月前の在庫'!$E$6:$E$10005,MATCH($C69,'月1回_2ヶ月前の在庫'!$W$6:$W$10005,0)),""))),INDEX('商品マスタ'!$E$6:$E$1005,MATCH($C69,'商品マスタ'!$B$6:$B$1005,0))),IFERROR(INDEX('①在庫を貼る'!$E$6:$E$10005,MATCH($C69,'①在庫を貼る'!$W$6:$W$10005,0)),IFERROR(INDEX('月1回_1ヶ月前の在庫'!$E$6:$E$10005,MATCH($C69,'月1回_1ヶ月前の在庫'!$W$6:$W$10005,0)),IFERROR(INDEX('月1回_2ヶ月前の在庫'!$E$6:$E$10005,MATCH($C69,'月1回_2ヶ月前の在庫'!$W$6:$W$10005,0)),"")))))</f>
        <v/>
      </c>
      <c r="G69">
        <f>IF($C69="","",MAX(1,N(IFERROR(IF(INDEX('商品マスタ'!$F$6:$F$1005,MATCH($C69,'商品マスタ'!$B$6:$B$1005,0))="",IF(COUNTIFS('①在庫を貼る'!$V$6:$V$10005,'設定'!$C$4,'①在庫を貼る'!$W$6:$W$10005,$C69)&gt;0,SUMIFS('①在庫を貼る'!$K$6:$K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K$6:$K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K$6:$K$10005,'月1回_2ヶ月前の在庫'!$V$6:$V$10005,'設定'!$C$4,'月1回_2ヶ月前の在庫'!$W$6:$W$10005,$C69)/COUNTIFS('月1回_2ヶ月前の在庫'!$V$6:$V$10005,'設定'!$C$4,'月1回_2ヶ月前の在庫'!$W$6:$W$10005,$C69),0))),INDEX('商品マスタ'!$F$6:$F$1005,MATCH($C69,'商品マスタ'!$B$6:$B$1005,0))),IF(COUNTIFS('①在庫を貼る'!$V$6:$V$10005,'設定'!$C$4,'①在庫を貼る'!$W$6:$W$10005,$C69)&gt;0,SUMIFS('①在庫を貼る'!$K$6:$K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K$6:$K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K$6:$K$10005,'月1回_2ヶ月前の在庫'!$V$6:$V$10005,'設定'!$C$4,'月1回_2ヶ月前の在庫'!$W$6:$W$10005,$C69)/COUNTIFS('月1回_2ヶ月前の在庫'!$V$6:$V$10005,'設定'!$C$4,'月1回_2ヶ月前の在庫'!$W$6:$W$10005,$C69),0)))))))</f>
        <v/>
      </c>
      <c r="H69">
        <f>IF($C69="","",N(IFERROR(IF(INDEX('商品マスタ'!$G$6:$G$1005,MATCH($C69,'商品マスタ'!$B$6:$B$1005,0))="",IF(COUNTIFS('①在庫を貼る'!$V$6:$V$10005,'設定'!$C$4,'①在庫を貼る'!$W$6:$W$10005,$C69)&gt;0,SUMIFS('①在庫を貼る'!$Q$6:$Q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Q$6:$Q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Q$6:$Q$10005,'月1回_2ヶ月前の在庫'!$V$6:$V$10005,'設定'!$C$4,'月1回_2ヶ月前の在庫'!$W$6:$W$10005,$C69)/COUNTIFS('月1回_2ヶ月前の在庫'!$V$6:$V$10005,'設定'!$C$4,'月1回_2ヶ月前の在庫'!$W$6:$W$10005,$C69),0))),INDEX('商品マスタ'!$G$6:$G$1005,MATCH($C69,'商品マスタ'!$B$6:$B$1005,0))),IF(COUNTIFS('①在庫を貼る'!$V$6:$V$10005,'設定'!$C$4,'①在庫を貼る'!$W$6:$W$10005,$C69)&gt;0,SUMIFS('①在庫を貼る'!$Q$6:$Q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Q$6:$Q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Q$6:$Q$10005,'月1回_2ヶ月前の在庫'!$V$6:$V$10005,'設定'!$C$4,'月1回_2ヶ月前の在庫'!$W$6:$W$10005,$C69)/COUNTIFS('月1回_2ヶ月前の在庫'!$V$6:$V$10005,'設定'!$C$4,'月1回_2ヶ月前の在庫'!$W$6:$W$10005,$C69),0))))))</f>
        <v/>
      </c>
      <c r="I69">
        <f>IF($C69="","",IF(COUNTIFS('①在庫を貼る'!$V$6:$V$10005,'設定'!$C$4,'①在庫を貼る'!$W$6:$W$10005,$C69)=0,"",SUMIFS('①在庫を貼る'!$N$6:$N$10005,'①在庫を貼る'!$V$6:$V$10005,'設定'!$C$4,'①在庫を貼る'!$W$6:$W$10005,$C69)))</f>
        <v/>
      </c>
      <c r="J69">
        <f>IF($C69="","",IF('②発注する'!$AD73="","",'②発注する'!$AD73))</f>
        <v/>
      </c>
      <c r="K69" s="90">
        <f>IF($C69="","",IF('②発注する'!$AE73="","",'②発注する'!$AE73))</f>
        <v/>
      </c>
      <c r="L69">
        <f>IF($C69="","",IF(AND(ISNUMBER($J69),ISNUMBER($K69),$K69&gt;='設定'!$C$6),$J69,N($I69)))</f>
        <v/>
      </c>
      <c r="M69">
        <f>IF($C69="","",IFERROR(IF(N(INDEX('商品マスタ'!$J$6:$J$1005,MATCH($C69,'商品マスタ'!$B$6:$B$1005,0)))&gt;0,INDEX('商品マスタ'!$J$6:$J$1005,MATCH($C69,'商品マスタ'!$B$6:$B$1005,0)),""),""))</f>
        <v/>
      </c>
      <c r="N69">
        <f>IF($C69="","",IFERROR(IF(N(INDEX('商品マスタ'!$H$6:$H$1005,MATCH($C69,'商品マスタ'!$B$6:$B$1005,0)))&gt;0,INDEX('商品マスタ'!$H$6:$H$1005,MATCH($C69,'商品マスタ'!$B$6:$B$1005,0)),""),""))</f>
        <v/>
      </c>
      <c r="O69">
        <f>IF($C69="","",IF($N69&lt;&gt;"",$N69*$G69,IF(N(IF(COUNTIFS('①在庫を貼る'!$V$6:$V$10005,'設定'!$C$4,'①在庫を貼る'!$W$6:$W$10005,$C69)&gt;0,SUMIFS('①在庫を貼る'!$O$6:$O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O$6:$O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O$6:$O$10005,'月1回_2ヶ月前の在庫'!$V$6:$V$10005,'設定'!$C$4,'月1回_2ヶ月前の在庫'!$W$6:$W$10005,$C69)/COUNTIFS('月1回_2ヶ月前の在庫'!$V$6:$V$10005,'設定'!$C$4,'月1回_2ヶ月前の在庫'!$W$6:$W$10005,$C69),0))))&gt;0,N(IF(COUNTIFS('①在庫を貼る'!$V$6:$V$10005,'設定'!$C$4,'①在庫を貼る'!$W$6:$W$10005,$C69)&gt;0,SUMIFS('①在庫を貼る'!$O$6:$O$10005,'①在庫を貼る'!$V$6:$V$10005,'設定'!$C$4,'①在庫を貼る'!$W$6:$W$10005,$C69)/COUNTIFS('①在庫を貼る'!$V$6:$V$10005,'設定'!$C$4,'①在庫を貼る'!$W$6:$W$10005,$C69),IF(COUNTIFS('月1回_1ヶ月前の在庫'!$V$6:$V$10005,'設定'!$C$4,'月1回_1ヶ月前の在庫'!$W$6:$W$10005,$C69)&gt;0,SUMIFS('月1回_1ヶ月前の在庫'!$O$6:$O$10005,'月1回_1ヶ月前の在庫'!$V$6:$V$10005,'設定'!$C$4,'月1回_1ヶ月前の在庫'!$W$6:$W$10005,$C69)/COUNTIFS('月1回_1ヶ月前の在庫'!$V$6:$V$10005,'設定'!$C$4,'月1回_1ヶ月前の在庫'!$W$6:$W$10005,$C69),IF(COUNTIFS('月1回_2ヶ月前の在庫'!$V$6:$V$10005,'設定'!$C$4,'月1回_2ヶ月前の在庫'!$W$6:$W$10005,$C69)&gt;0,SUMIFS('月1回_2ヶ月前の在庫'!$O$6:$O$10005,'月1回_2ヶ月前の在庫'!$V$6:$V$10005,'設定'!$C$4,'月1回_2ヶ月前の在庫'!$W$6:$W$10005,$C69)/COUNTIFS('月1回_2ヶ月前の在庫'!$V$6:$V$10005,'設定'!$C$4,'月1回_2ヶ月前の在庫'!$W$6:$W$10005,$C69),0)))),"")))</f>
        <v/>
      </c>
      <c r="P69" s="90">
        <f>IF($C69="","",IF('②発注する'!$I73="","",'②発注する'!$I73))</f>
        <v/>
      </c>
      <c r="Q69">
        <f>IF($C69="","",IF('②発注する'!$J73="","",'②発注する'!$J73))</f>
        <v/>
      </c>
      <c r="R69">
        <f>IF($C69="",0,IF(AND(ISNUMBER($P69),ISNUMBER($Q69)),MAX(0,$Q69)*$G69,0))</f>
        <v/>
      </c>
      <c r="S69" s="90">
        <f>IF($C69="","",IF('②発注する'!$M73="","",'②発注する'!$M73))</f>
        <v/>
      </c>
      <c r="T69">
        <f>IF($C69="","",IF('②発注する'!$N73="","",'②発注する'!$N73))</f>
        <v/>
      </c>
      <c r="U69">
        <f>IF($C69="",0,IF(AND(ISNUMBER($S69),ISNUMBER($T69)),MAX(0,$T69)*$G69,0))</f>
        <v/>
      </c>
      <c r="V69">
        <f>IF($C69="",0,IF($M69="",0,MAX(0,$M69)*MAX(0,V$4)/100))</f>
        <v/>
      </c>
      <c r="W69">
        <f>IF($C69="",0,IF($M69="",0,MAX(0,$M69)*MAX(0,W$4)/100))</f>
        <v/>
      </c>
      <c r="X69">
        <f>IF($C69="",0,IF($M69="",0,MAX(0,$M69)*MAX(0,X$4)/100))</f>
        <v/>
      </c>
      <c r="Y69">
        <f>IF($C69="",0,IF($M69="",0,MAX(0,$M69)*MAX(0,Y$4)/100))</f>
        <v/>
      </c>
      <c r="Z69">
        <f>IF($C69="",0,IF($M69="",0,MAX(0,$M69)*MAX(0,Z$4)/100))</f>
        <v/>
      </c>
      <c r="AA69">
        <f>IF($C69="",0,IF($M69="",0,MAX(0,$M69)*MAX(0,AA$4)/100))</f>
        <v/>
      </c>
      <c r="AB69">
        <f>IF($C69="",0,IF($M69="",0,MAX(0,$M69)*MAX(0,AB$4)/100))</f>
        <v/>
      </c>
      <c r="AC69">
        <f>IF($C69="",0,IF($M69="",0,MAX(0,$M69)*MAX(0,AC$4)/100))</f>
        <v/>
      </c>
      <c r="AD69">
        <f>IF($C69="",0,IF($M69="",0,MAX(0,$M69)*MAX(0,AD$4)/100))</f>
        <v/>
      </c>
      <c r="AE69">
        <f>IF($C69="",0,IF($M69="",0,MAX(0,$M69)*MAX(0,AE$4)/100))</f>
        <v/>
      </c>
      <c r="AF69">
        <f>IF($C69="",0,IF($M69="",0,MAX(0,$M69)*MAX(0,AF$4)/100))</f>
        <v/>
      </c>
      <c r="AG69">
        <f>IF($C69="",0,IF($M69="",0,MAX(0,$M69)*MAX(0,AG$4)/100))</f>
        <v/>
      </c>
      <c r="AH69">
        <f>IF($C69="",0,IF($M69="",0,MAX(0,$M69)*MAX(0,AH$4)/100))</f>
        <v/>
      </c>
      <c r="AI69">
        <f>IF($C69="",0,IF($M69="",0,MAX(0,$M69)*MAX(0,AI$4)/100))</f>
        <v/>
      </c>
      <c r="AJ69">
        <f>IF($C69="",0,MAX(0,MAX(0,N($L69))-$V69))</f>
        <v/>
      </c>
      <c r="AK69">
        <f>IF($C69="",0,MAX(0,$AJ69-$W69))</f>
        <v/>
      </c>
      <c r="AL69">
        <f>IF($C69="",0,MAX(0,$AK69-$X69))</f>
        <v/>
      </c>
      <c r="AM69">
        <f>IF($C69="",0,MAX(0,$AL69-$Y69))</f>
        <v/>
      </c>
      <c r="AN69">
        <f>IF($C69="",0,MAX(0,$AM69-$Z69))</f>
        <v/>
      </c>
      <c r="AO69">
        <f>IF($C69="",0,MAX(0,$AN69-$AA69))</f>
        <v/>
      </c>
      <c r="AP69">
        <f>IF($C69="",0,MAX(0,$AO69-$AB69))</f>
        <v/>
      </c>
      <c r="AQ69">
        <f>IF($C69="",0,MAX(0,$AP69-$AC69))</f>
        <v/>
      </c>
      <c r="AR69">
        <f>IF($C69="",0,MAX(0,$AQ69-$AD69))</f>
        <v/>
      </c>
      <c r="AS69">
        <f>IF($C69="",0,MAX(0,$AR69-$AE69))</f>
        <v/>
      </c>
      <c r="AT69">
        <f>IF($C69="",0,MAX(0,$AS69-$AF69))</f>
        <v/>
      </c>
      <c r="AU69">
        <f>IF($C69="",0,MAX(0,$AT69-$AG69))</f>
        <v/>
      </c>
      <c r="AV69">
        <f>IF($C69="",0,MAX(0,$AU69-$AH69))</f>
        <v/>
      </c>
      <c r="AW69">
        <f>IF($C69="",0,MAX(0,$AV69-$AI69))</f>
        <v/>
      </c>
      <c r="AX69">
        <f>IF($C69="",0,MAX(0,MAX(0,N($L69))+IF($P69=V$3,$R69,0)+IF($S69=V$3,$U69,0)-$V69))</f>
        <v/>
      </c>
      <c r="AY69">
        <f>IF($C69="",0,MAX(0,$AX69+IF($P69=W$3,$R69,0)+IF($S69=W$3,$U69,0)-$W69))</f>
        <v/>
      </c>
      <c r="AZ69">
        <f>IF($C69="",0,MAX(0,$AY69+IF($P69=X$3,$R69,0)+IF($S69=X$3,$U69,0)-$X69))</f>
        <v/>
      </c>
      <c r="BA69">
        <f>IF($C69="",0,MAX(0,$AZ69+IF($P69=Y$3,$R69,0)+IF($S69=Y$3,$U69,0)-$Y69))</f>
        <v/>
      </c>
      <c r="BB69">
        <f>IF($C69="",0,MAX(0,$BA69+IF($P69=Z$3,$R69,0)+IF($S69=Z$3,$U69,0)-$Z69))</f>
        <v/>
      </c>
      <c r="BC69">
        <f>IF($C69="",0,MAX(0,$BB69+IF($P69=AA$3,$R69,0)+IF($S69=AA$3,$U69,0)-$AA69))</f>
        <v/>
      </c>
      <c r="BD69">
        <f>IF($C69="",0,MAX(0,$BC69+IF($P69=AB$3,$R69,0)+IF($S69=AB$3,$U69,0)-$AB69))</f>
        <v/>
      </c>
      <c r="BE69">
        <f>IF($C69="",0,MAX(0,$BD69+IF($P69=AC$3,$R69,0)+IF($S69=AC$3,$U69,0)-$AC69))</f>
        <v/>
      </c>
      <c r="BF69">
        <f>IF($C69="",0,MAX(0,$BE69+IF($P69=AD$3,$R69,0)+IF($S69=AD$3,$U69,0)-$AD69))</f>
        <v/>
      </c>
      <c r="BG69">
        <f>IF($C69="",0,MAX(0,$BF69+IF($P69=AE$3,$R69,0)+IF($S69=AE$3,$U69,0)-$AE69))</f>
        <v/>
      </c>
      <c r="BH69">
        <f>IF($C69="",0,MAX(0,$BG69+IF($P69=AF$3,$R69,0)+IF($S69=AF$3,$U69,0)-$AF69))</f>
        <v/>
      </c>
      <c r="BI69">
        <f>IF($C69="",0,MAX(0,$BH69+IF($P69=AG$3,$R69,0)+IF($S69=AG$3,$U69,0)-$AG69))</f>
        <v/>
      </c>
      <c r="BJ69">
        <f>IF($C69="",0,MAX(0,$BI69+IF($P69=AH$3,$R69,0)+IF($S69=AH$3,$U69,0)-$AH69))</f>
        <v/>
      </c>
      <c r="BK69">
        <f>IF($C69="",0,MAX(0,$BJ69+IF($P69=AI$3,$R69,0)+IF($S69=AI$3,$U69,0)-$AI69))</f>
        <v/>
      </c>
      <c r="BL69">
        <f>IF($C69="",99,IF(AND($AX69&lt;1,V$3&gt;=MAX(N($P69),N($S69))),0,99))</f>
        <v/>
      </c>
      <c r="BM69">
        <f>IF($C69="",99,IF(AND($AY69&lt;1,W$3&gt;=MAX(N($P69),N($S69))),1,99))</f>
        <v/>
      </c>
      <c r="BN69">
        <f>IF($C69="",99,IF(AND($AZ69&lt;1,X$3&gt;=MAX(N($P69),N($S69))),2,99))</f>
        <v/>
      </c>
      <c r="BO69">
        <f>IF($C69="",99,IF(AND($BA69&lt;1,Y$3&gt;=MAX(N($P69),N($S69))),3,99))</f>
        <v/>
      </c>
      <c r="BP69">
        <f>IF($C69="",99,IF(AND($BB69&lt;1,Z$3&gt;=MAX(N($P69),N($S69))),4,99))</f>
        <v/>
      </c>
      <c r="BQ69">
        <f>IF($C69="",99,IF(AND($BC69&lt;1,AA$3&gt;=MAX(N($P69),N($S69))),5,99))</f>
        <v/>
      </c>
      <c r="BR69">
        <f>IF($C69="",99,IF(AND($BD69&lt;1,AB$3&gt;=MAX(N($P69),N($S69))),6,99))</f>
        <v/>
      </c>
      <c r="BS69">
        <f>IF($C69="",99,IF(AND($BE69&lt;1,AC$3&gt;=MAX(N($P69),N($S69))),7,99))</f>
        <v/>
      </c>
      <c r="BT69">
        <f>IF($C69="",99,IF(AND($BF69&lt;1,AD$3&gt;=MAX(N($P69),N($S69))),8,99))</f>
        <v/>
      </c>
      <c r="BU69">
        <f>IF($C69="",99,IF(AND($BG69&lt;1,AE$3&gt;=MAX(N($P69),N($S69))),9,99))</f>
        <v/>
      </c>
      <c r="BV69">
        <f>IF($C69="",99,IF(AND($BH69&lt;1,AF$3&gt;=MAX(N($P69),N($S69))),10,99))</f>
        <v/>
      </c>
      <c r="BW69">
        <f>IF($C69="",99,IF(AND($BI69&lt;1,AG$3&gt;=MAX(N($P69),N($S69))),11,99))</f>
        <v/>
      </c>
      <c r="BX69">
        <f>IF($C69="",99,IF(AND($BJ69&lt;1,AH$3&gt;=MAX(N($P69),N($S69))),12,99))</f>
        <v/>
      </c>
      <c r="BY69">
        <f>IF($C69="",99,IF(AND($BK69&lt;1,AI$3&gt;=MAX(N($P69),N($S69))),13,99))</f>
        <v/>
      </c>
      <c r="BZ69">
        <f>IF(OR($C69="",$M69=""),"",COUNTIF($AJ69:$AW69,"&gt;=1"))</f>
        <v/>
      </c>
      <c r="CA69" s="90">
        <f>IF($BZ69="","",IF($BZ69&gt;=14,"",'設定'!$C$6+$BZ69))</f>
        <v/>
      </c>
      <c r="CB69">
        <f>IF(OR($C69="",$M69=""),"",MIN($BL69:$BY69))</f>
        <v/>
      </c>
      <c r="CC69" s="90">
        <f>IF($CB69="","",IF($CB69&gt;=99,"",'設定'!$C$6+$CB69))</f>
        <v/>
      </c>
      <c r="CD69">
        <f>IF(OR($C69="",$M69=""),"",AVERAGE($V69:$AI69))</f>
        <v/>
      </c>
      <c r="CE69">
        <f>IF($C69="","",IFERROR(IF(MATCH(IF(ISNUMBER($P69),$P69,'設定'!$C$6+N('設定'!$C$7)),$V$3:$AI$3,0)=1,MAX(0,N($L69)),INDEX($AJ69:$AW69,MATCH(IF(ISNUMBER($P69),$P69,'設定'!$C$6+N('設定'!$C$7)),$V$3:$AI$3,0)-1)),""))</f>
        <v/>
      </c>
      <c r="CF69">
        <f>IF(OR($C69="",$O69="",$CE69=""),"",IF($O69-$CE69&lt;=0,0,ROUNDUP(($O69-$CE69)/$G69,0)))</f>
        <v/>
      </c>
      <c r="CG69">
        <f>IF(OR($C69="",$CF69="",NOT(ISNUMBER($Q69))),0,MAX(0,$Q69-$CF69))</f>
        <v/>
      </c>
      <c r="CH69">
        <f>IF(OR($C69="",$O69="",$U69=0),0,IFERROR(ROUNDUP(MAX(0,IF(MATCH($S69,$V$3:$AI$3,0)=1,MAX(0,N($L69)),INDEX($AX69:$BK69,MATCH($S69,$V$3:$AI$3,0)-1))+$U69-$O69)/$G69,0),0))</f>
        <v/>
      </c>
      <c r="CI69">
        <f>IF($C69="","",IF(AND($P69="",$Q69=""),"",IF($P69="","⚠ 入庫日を ▼ から選んでください",IF(NOT(ISNUMBER($P69)),"⚠ 入庫日は ▼ から選んでください",IF($P69&lt;N('設定'!$C$6),"⚠ 入庫日が過去です（もう在庫に入っています）→ 消してください",IF($P69&gt;N('設定'!$C$6)+13,"⚠ 入庫日が14日より先です",IF(N($Q69)&lt;=0,"⚠ 入庫数を入れてください",IF($CG69&gt;0,"⚠ 目安より "&amp;$CG69&amp;" 多い（定数を超える）→ 減らす",""))))))))</f>
        <v/>
      </c>
      <c r="CJ69">
        <f>IF($C69="","",IF(AND($S69="",$T69=""),"",IF($S69="","⚠ 2便目：入庫日を ▼ から選んでください",IF(NOT(ISNUMBER($S69)),"⚠ 2便目：入庫日は ▼ から選んでください",IF($S69&lt;N('設定'!$C$6),"⚠ 2便目：入庫日が過去です（もう在庫に入っています）→ 消してください",IF($S69&gt;N('設定'!$C$6)+13,"⚠ 2便目：入庫日が14日より先です",IF(N($T69)&lt;=0,"⚠ 2便目：入庫数を入れてください",IF($CH69&gt;0,"⚠ 2便目：定数を "&amp;$CH69&amp;" ケース超える → 減らす",""))))))))</f>
        <v/>
      </c>
      <c r="CK69">
        <f>IF(AND($CI69="",N($Q69)&gt;0,ISNUMBER($P69)),1,0)</f>
        <v/>
      </c>
      <c r="CL69">
        <f>IF(AND($CJ69="",N($T69)&gt;0,ISNUMBER($S69)),1,0)</f>
        <v/>
      </c>
      <c r="CM69">
        <f>IF(OR($CK69=1,$CL69=1),1,0)</f>
        <v/>
      </c>
      <c r="CN69">
        <f>IF($C69="",0,($CK69*$R69+$CL69*$U69)*N($H69))</f>
        <v/>
      </c>
      <c r="CO69">
        <f>IF($C69="","",IF($CC69="","入庫後は 14日以上もつ",IF($CC69-N('設定'!$C$7)&lt;='設定'!$C$6,"入庫後も "&amp;TEXT($CC69,"m/d")&amp;"("&amp;CHOOSE(WEEKDAY($CC69),"日","月","火","水","木","金","土")&amp;")"&amp;" に切れる　もう1便を至急発注","入庫後も "&amp;TEXT($CC69,"m/d")&amp;"("&amp;CHOOSE(WEEKDAY($CC69),"日","月","火","水","木","金","土")&amp;")"&amp;" に切れる　"&amp;TEXT($CC69-N('設定'!$C$7),"m/d")&amp;"("&amp;CHOOSE(WEEKDAY($CC69-N('設定'!$C$7)),"日","月","火","水","木","金","土")&amp;")"&amp;" までに次を発注")))</f>
        <v/>
      </c>
      <c r="CP69">
        <f>IF($C69="","",IF('設定'!$C$6="","？ ①在庫を貼る に今日のCSVが貼られていない",IF($CS69=1,"－ 今日のCSVに無い（終売？）",IF($L69&lt;0,"● 在庫がマイナス　数えて「数えた在庫」に入れる",IF($L69=0,"● 在庫なし　至急発注",IF($M69="","？ 減り数が未設定（商品マスタ）",IF($B$3=0,"？ 動員が未入力（動員を入れる）",IF($CA69="","○ 14日以上もつ",IF($BZ69&lt;N('設定'!$C$7),"● "&amp;TEXT($CA69,"m/d")&amp;"("&amp;CHOOSE(WEEKDAY($CA69),"日","月","火","水","木","金","土")&amp;")"&amp;" に切れる　至急発注",IF($BZ69=N('設定'!$C$7),"● "&amp;TEXT($CA69,"m/d")&amp;"("&amp;CHOOSE(WEEKDAY($CA69),"日","月","火","水","木","金","土")&amp;")"&amp;" に切れる　今日発注","△ "&amp;TEXT($CA69,"m/d")&amp;"("&amp;CHOOSE(WEEKDAY($CA69),"日","月","火","水","木","金","土")&amp;")"&amp;" に切れる　"&amp;TEXT($CA69-N('設定'!$C$7),"m/d")&amp;"("&amp;CHOOSE(WEEKDAY($CA69-N('設定'!$C$7)),"日","月","火","水","木","金","土")&amp;")"&amp;" までに発注"))))))))))</f>
        <v/>
      </c>
      <c r="CQ69">
        <f>IF($C69="","",IF(AND($P69="",$Q69="",$S69="",$T69=""),"",IF(AND($P69="",$Q69=""),"⚠ 先に1便目（左の入庫日・入庫数）に入れてください",IF($CI69&lt;&gt;"",$CI69,IF($CJ69&lt;&gt;"",$CJ69,IF($M69="","？ 減り数が未設定（発注書には載ります）",IF($B$3=0,"？ 動員が未入力（発注書には載ります）",IF(AND($CA69&lt;&gt;"",$P69&gt;$CA69),IF($P69&gt;'設定'!$C$6+N('設定'!$C$7),"● "&amp;TEXT($P69,"m/d")&amp;"("&amp;CHOOSE(WEEKDAY($P69),"日","月","火","水","木","金","土")&amp;")"&amp;" の入庫では間に合わない（"&amp;TEXT($CA69,"m/d")&amp;"("&amp;CHOOSE(WEEKDAY($CA69),"日","月","火","水","木","金","土")&amp;")"&amp;" に切れる）　入庫日を早める","△ 欠品 "&amp;TEXT($CA69,"m/d")&amp;"("&amp;CHOOSE(WEEKDAY($CA69),"日","月","火","水","木","金","土")&amp;")"&amp;"〜"&amp;TEXT($P69-1,"m/d")&amp;"("&amp;CHOOSE(WEEKDAY($P69-1),"日","月","火","水","木","金","土")&amp;")"&amp;"　"&amp;$CO69),IF($CC69="","○ "&amp;TEXT($P69,"m/d")&amp;"("&amp;CHOOSE(WEEKDAY($P69),"日","月","火","水","木","金","土")&amp;")"&amp;" 入庫で 14日以上もつ",IF($CC69-N('設定'!$C$7)&lt;='設定'!$C$6,"● 入庫しても "&amp;TEXT($CC69,"m/d")&amp;"("&amp;CHOOSE(WEEKDAY($CC69),"日","月","火","水","木","金","土")&amp;")"&amp;" に切れる　もう1便を至急発注（2便目に入れる）","△ 入庫しても "&amp;TEXT($CC69,"m/d")&amp;"("&amp;CHOOSE(WEEKDAY($CC69),"日","月","火","水","木","金","土")&amp;")"&amp;" に切れる　"&amp;TEXT($CC69-N('設定'!$C$7),"m/d")&amp;"("&amp;CHOOSE(WEEKDAY($CC69-N('設定'!$C$7)),"日","月","火","水","木","金","土")&amp;")"&amp;" までに次を発注（2便目に入れる）"))))))))))</f>
        <v/>
      </c>
      <c r="CR69">
        <f>IF($C69="","",IF($G69&gt;1,"ｹｰｽ("&amp;$G69&amp;"入)","個"))</f>
        <v/>
      </c>
      <c r="CS69">
        <f>IF($C69="",0,IF(COUNTIFS('①在庫を貼る'!$V$6:$V$10005,'設定'!$C$4,'①在庫を貼る'!$W$6:$W$10005,$C69)=0,1,0))</f>
        <v/>
      </c>
      <c r="CT69">
        <f>IF(AND($CK69=1,OR('③発注書'!$C$4="すべて",'③発注書'!$C$4="",$F69='③発注書'!$C$4)),N($CT68)+1,N($CT68))</f>
        <v/>
      </c>
      <c r="CU69">
        <f>IF(AND($CL69=1,OR('③発注書'!$C$4="すべて",'③発注書'!$C$4="",$F69='③発注書'!$C$4)),N($CU68)+1,N($CU68))</f>
        <v/>
      </c>
      <c r="CV69">
        <f>IF($C69="",0,IF(COUNTIFS('①在庫を貼る'!$V$6:$V$10005,'設定'!$C$4,'①在庫を貼る'!$W$6:$W$10005,$C69)&gt;0,1,0))</f>
        <v/>
      </c>
      <c r="CW69">
        <f>IF($C69="",0,IF(COUNTIFS('月1回_1ヶ月前の在庫'!$V$6:$V$10005,'設定'!$C$4,'月1回_1ヶ月前の在庫'!$W$6:$W$10005,$C69)&gt;0,1,0))</f>
        <v/>
      </c>
      <c r="CX69">
        <f>IF($C69="",0,IF(COUNTIFS('月1回_2ヶ月前の在庫'!$V$6:$V$10005,'設定'!$C$4,'月1回_2ヶ月前の在庫'!$W$6:$W$10005,$C69)&gt;0,1,0))</f>
        <v/>
      </c>
      <c r="CY69">
        <f>IF(OR($C69="",'設定'!$C$12=""),"",IF('設定'!$C$13="",IF(AND($CV69=1,$CW69=0),"新商品（今月から）",IF(AND($CV69=0,$CW69=1),"終売（今月から）","")),IF(AND($CV69=1,$CW69=0,$CX69=0),"新商品（今月から）",IF(AND($CV69=1,$CW69=1,$CX69=0),"新商品（先月から）",IF(AND($CV69=0,$CW69=1,$CX69=1),"終売（今月から）",IF(AND($CV69=0,$CW69=0,$CX69=1),"終売（先月から）",IF(AND($CV69=1,$CW69=0,$CX69=1),"復活（先月は無し）","")))))))</f>
        <v/>
      </c>
    </row>
    <row r="70">
      <c r="B70">
        <f>IF(65&lt;='設定'!$C$11,65,"")</f>
        <v/>
      </c>
      <c r="C70">
        <f>IF($B70="","",IF($B70&lt;='設定'!$C$20,INDEX('商品マスタ'!$B$6:$B$1005,MATCH($B70,'商品マスタ'!$M$6:$M$1005,0)),IF($B70&lt;='設定'!$C$20+'設定'!$C$17,INDEX('①在庫を貼る'!$W$6:$W$10005,MATCH($B70-'設定'!$C$20,'①在庫を貼る'!$U$6:$U$10005,0)),IF($B70&lt;='設定'!$C$20+'設定'!$C$17+'設定'!$C$18,INDEX('月1回_1ヶ月前の在庫'!$W$6:$W$10005,MATCH($B70-'設定'!$C$20-'設定'!$C$17,'月1回_1ヶ月前の在庫'!$U$6:$U$10005,0)),INDEX('月1回_2ヶ月前の在庫'!$W$6:$W$10005,MATCH($B70-'設定'!$C$20-'設定'!$C$17-'設定'!$C$18,'月1回_2ヶ月前の在庫'!$U$6:$U$10005,0))))))</f>
        <v/>
      </c>
      <c r="D70">
        <f>IF($C70="","",IFERROR(IF(INDEX('商品マスタ'!$C$6:$C$1005,MATCH($C70,'商品マスタ'!$B$6:$B$1005,0))="",IFERROR(INDEX('①在庫を貼る'!$J$6:$J$10005,MATCH($C70,'①在庫を貼る'!$W$6:$W$10005,0)),IFERROR(INDEX('月1回_1ヶ月前の在庫'!$J$6:$J$10005,MATCH($C70,'月1回_1ヶ月前の在庫'!$W$6:$W$10005,0)),IFERROR(INDEX('月1回_2ヶ月前の在庫'!$J$6:$J$10005,MATCH($C70,'月1回_2ヶ月前の在庫'!$W$6:$W$10005,0)),""))),INDEX('商品マスタ'!$C$6:$C$1005,MATCH($C70,'商品マスタ'!$B$6:$B$1005,0))),IFERROR(INDEX('①在庫を貼る'!$J$6:$J$10005,MATCH($C70,'①在庫を貼る'!$W$6:$W$10005,0)),IFERROR(INDEX('月1回_1ヶ月前の在庫'!$J$6:$J$10005,MATCH($C70,'月1回_1ヶ月前の在庫'!$W$6:$W$10005,0)),IFERROR(INDEX('月1回_2ヶ月前の在庫'!$J$6:$J$10005,MATCH($C70,'月1回_2ヶ月前の在庫'!$W$6:$W$10005,0)),"")))))</f>
        <v/>
      </c>
      <c r="E70">
        <f>IF($C70="","",IFERROR(IF(INDEX('商品マスタ'!$D$6:$D$1005,MATCH($C70,'商品マスタ'!$B$6:$B$1005,0))="",IFERROR(INDEX('①在庫を貼る'!$H$6:$H$10005,MATCH($C70,'①在庫を貼る'!$W$6:$W$10005,0)),IFERROR(INDEX('月1回_1ヶ月前の在庫'!$H$6:$H$10005,MATCH($C70,'月1回_1ヶ月前の在庫'!$W$6:$W$10005,0)),IFERROR(INDEX('月1回_2ヶ月前の在庫'!$H$6:$H$10005,MATCH($C70,'月1回_2ヶ月前の在庫'!$W$6:$W$10005,0)),""))),INDEX('商品マスタ'!$D$6:$D$1005,MATCH($C70,'商品マスタ'!$B$6:$B$1005,0))),IFERROR(INDEX('①在庫を貼る'!$H$6:$H$10005,MATCH($C70,'①在庫を貼る'!$W$6:$W$10005,0)),IFERROR(INDEX('月1回_1ヶ月前の在庫'!$H$6:$H$10005,MATCH($C70,'月1回_1ヶ月前の在庫'!$W$6:$W$10005,0)),IFERROR(INDEX('月1回_2ヶ月前の在庫'!$H$6:$H$10005,MATCH($C70,'月1回_2ヶ月前の在庫'!$W$6:$W$10005,0)),"")))))</f>
        <v/>
      </c>
      <c r="F70">
        <f>IF($C70="","",IFERROR(IF(INDEX('商品マスタ'!$E$6:$E$1005,MATCH($C70,'商品マスタ'!$B$6:$B$1005,0))="",IFERROR(INDEX('①在庫を貼る'!$E$6:$E$10005,MATCH($C70,'①在庫を貼る'!$W$6:$W$10005,0)),IFERROR(INDEX('月1回_1ヶ月前の在庫'!$E$6:$E$10005,MATCH($C70,'月1回_1ヶ月前の在庫'!$W$6:$W$10005,0)),IFERROR(INDEX('月1回_2ヶ月前の在庫'!$E$6:$E$10005,MATCH($C70,'月1回_2ヶ月前の在庫'!$W$6:$W$10005,0)),""))),INDEX('商品マスタ'!$E$6:$E$1005,MATCH($C70,'商品マスタ'!$B$6:$B$1005,0))),IFERROR(INDEX('①在庫を貼る'!$E$6:$E$10005,MATCH($C70,'①在庫を貼る'!$W$6:$W$10005,0)),IFERROR(INDEX('月1回_1ヶ月前の在庫'!$E$6:$E$10005,MATCH($C70,'月1回_1ヶ月前の在庫'!$W$6:$W$10005,0)),IFERROR(INDEX('月1回_2ヶ月前の在庫'!$E$6:$E$10005,MATCH($C70,'月1回_2ヶ月前の在庫'!$W$6:$W$10005,0)),"")))))</f>
        <v/>
      </c>
      <c r="G70">
        <f>IF($C70="","",MAX(1,N(IFERROR(IF(INDEX('商品マスタ'!$F$6:$F$1005,MATCH($C70,'商品マスタ'!$B$6:$B$1005,0))="",IF(COUNTIFS('①在庫を貼る'!$V$6:$V$10005,'設定'!$C$4,'①在庫を貼る'!$W$6:$W$10005,$C70)&gt;0,SUMIFS('①在庫を貼る'!$K$6:$K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K$6:$K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K$6:$K$10005,'月1回_2ヶ月前の在庫'!$V$6:$V$10005,'設定'!$C$4,'月1回_2ヶ月前の在庫'!$W$6:$W$10005,$C70)/COUNTIFS('月1回_2ヶ月前の在庫'!$V$6:$V$10005,'設定'!$C$4,'月1回_2ヶ月前の在庫'!$W$6:$W$10005,$C70),0))),INDEX('商品マスタ'!$F$6:$F$1005,MATCH($C70,'商品マスタ'!$B$6:$B$1005,0))),IF(COUNTIFS('①在庫を貼る'!$V$6:$V$10005,'設定'!$C$4,'①在庫を貼る'!$W$6:$W$10005,$C70)&gt;0,SUMIFS('①在庫を貼る'!$K$6:$K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K$6:$K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K$6:$K$10005,'月1回_2ヶ月前の在庫'!$V$6:$V$10005,'設定'!$C$4,'月1回_2ヶ月前の在庫'!$W$6:$W$10005,$C70)/COUNTIFS('月1回_2ヶ月前の在庫'!$V$6:$V$10005,'設定'!$C$4,'月1回_2ヶ月前の在庫'!$W$6:$W$10005,$C70),0)))))))</f>
        <v/>
      </c>
      <c r="H70">
        <f>IF($C70="","",N(IFERROR(IF(INDEX('商品マスタ'!$G$6:$G$1005,MATCH($C70,'商品マスタ'!$B$6:$B$1005,0))="",IF(COUNTIFS('①在庫を貼る'!$V$6:$V$10005,'設定'!$C$4,'①在庫を貼る'!$W$6:$W$10005,$C70)&gt;0,SUMIFS('①在庫を貼る'!$Q$6:$Q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Q$6:$Q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Q$6:$Q$10005,'月1回_2ヶ月前の在庫'!$V$6:$V$10005,'設定'!$C$4,'月1回_2ヶ月前の在庫'!$W$6:$W$10005,$C70)/COUNTIFS('月1回_2ヶ月前の在庫'!$V$6:$V$10005,'設定'!$C$4,'月1回_2ヶ月前の在庫'!$W$6:$W$10005,$C70),0))),INDEX('商品マスタ'!$G$6:$G$1005,MATCH($C70,'商品マスタ'!$B$6:$B$1005,0))),IF(COUNTIFS('①在庫を貼る'!$V$6:$V$10005,'設定'!$C$4,'①在庫を貼る'!$W$6:$W$10005,$C70)&gt;0,SUMIFS('①在庫を貼る'!$Q$6:$Q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Q$6:$Q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Q$6:$Q$10005,'月1回_2ヶ月前の在庫'!$V$6:$V$10005,'設定'!$C$4,'月1回_2ヶ月前の在庫'!$W$6:$W$10005,$C70)/COUNTIFS('月1回_2ヶ月前の在庫'!$V$6:$V$10005,'設定'!$C$4,'月1回_2ヶ月前の在庫'!$W$6:$W$10005,$C70),0))))))</f>
        <v/>
      </c>
      <c r="I70">
        <f>IF($C70="","",IF(COUNTIFS('①在庫を貼る'!$V$6:$V$10005,'設定'!$C$4,'①在庫を貼る'!$W$6:$W$10005,$C70)=0,"",SUMIFS('①在庫を貼る'!$N$6:$N$10005,'①在庫を貼る'!$V$6:$V$10005,'設定'!$C$4,'①在庫を貼る'!$W$6:$W$10005,$C70)))</f>
        <v/>
      </c>
      <c r="J70">
        <f>IF($C70="","",IF('②発注する'!$AD74="","",'②発注する'!$AD74))</f>
        <v/>
      </c>
      <c r="K70" s="90">
        <f>IF($C70="","",IF('②発注する'!$AE74="","",'②発注する'!$AE74))</f>
        <v/>
      </c>
      <c r="L70">
        <f>IF($C70="","",IF(AND(ISNUMBER($J70),ISNUMBER($K70),$K70&gt;='設定'!$C$6),$J70,N($I70)))</f>
        <v/>
      </c>
      <c r="M70">
        <f>IF($C70="","",IFERROR(IF(N(INDEX('商品マスタ'!$J$6:$J$1005,MATCH($C70,'商品マスタ'!$B$6:$B$1005,0)))&gt;0,INDEX('商品マスタ'!$J$6:$J$1005,MATCH($C70,'商品マスタ'!$B$6:$B$1005,0)),""),""))</f>
        <v/>
      </c>
      <c r="N70">
        <f>IF($C70="","",IFERROR(IF(N(INDEX('商品マスタ'!$H$6:$H$1005,MATCH($C70,'商品マスタ'!$B$6:$B$1005,0)))&gt;0,INDEX('商品マスタ'!$H$6:$H$1005,MATCH($C70,'商品マスタ'!$B$6:$B$1005,0)),""),""))</f>
        <v/>
      </c>
      <c r="O70">
        <f>IF($C70="","",IF($N70&lt;&gt;"",$N70*$G70,IF(N(IF(COUNTIFS('①在庫を貼る'!$V$6:$V$10005,'設定'!$C$4,'①在庫を貼る'!$W$6:$W$10005,$C70)&gt;0,SUMIFS('①在庫を貼る'!$O$6:$O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O$6:$O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O$6:$O$10005,'月1回_2ヶ月前の在庫'!$V$6:$V$10005,'設定'!$C$4,'月1回_2ヶ月前の在庫'!$W$6:$W$10005,$C70)/COUNTIFS('月1回_2ヶ月前の在庫'!$V$6:$V$10005,'設定'!$C$4,'月1回_2ヶ月前の在庫'!$W$6:$W$10005,$C70),0))))&gt;0,N(IF(COUNTIFS('①在庫を貼る'!$V$6:$V$10005,'設定'!$C$4,'①在庫を貼る'!$W$6:$W$10005,$C70)&gt;0,SUMIFS('①在庫を貼る'!$O$6:$O$10005,'①在庫を貼る'!$V$6:$V$10005,'設定'!$C$4,'①在庫を貼る'!$W$6:$W$10005,$C70)/COUNTIFS('①在庫を貼る'!$V$6:$V$10005,'設定'!$C$4,'①在庫を貼る'!$W$6:$W$10005,$C70),IF(COUNTIFS('月1回_1ヶ月前の在庫'!$V$6:$V$10005,'設定'!$C$4,'月1回_1ヶ月前の在庫'!$W$6:$W$10005,$C70)&gt;0,SUMIFS('月1回_1ヶ月前の在庫'!$O$6:$O$10005,'月1回_1ヶ月前の在庫'!$V$6:$V$10005,'設定'!$C$4,'月1回_1ヶ月前の在庫'!$W$6:$W$10005,$C70)/COUNTIFS('月1回_1ヶ月前の在庫'!$V$6:$V$10005,'設定'!$C$4,'月1回_1ヶ月前の在庫'!$W$6:$W$10005,$C70),IF(COUNTIFS('月1回_2ヶ月前の在庫'!$V$6:$V$10005,'設定'!$C$4,'月1回_2ヶ月前の在庫'!$W$6:$W$10005,$C70)&gt;0,SUMIFS('月1回_2ヶ月前の在庫'!$O$6:$O$10005,'月1回_2ヶ月前の在庫'!$V$6:$V$10005,'設定'!$C$4,'月1回_2ヶ月前の在庫'!$W$6:$W$10005,$C70)/COUNTIFS('月1回_2ヶ月前の在庫'!$V$6:$V$10005,'設定'!$C$4,'月1回_2ヶ月前の在庫'!$W$6:$W$10005,$C70),0)))),"")))</f>
        <v/>
      </c>
      <c r="P70" s="90">
        <f>IF($C70="","",IF('②発注する'!$I74="","",'②発注する'!$I74))</f>
        <v/>
      </c>
      <c r="Q70">
        <f>IF($C70="","",IF('②発注する'!$J74="","",'②発注する'!$J74))</f>
        <v/>
      </c>
      <c r="R70">
        <f>IF($C70="",0,IF(AND(ISNUMBER($P70),ISNUMBER($Q70)),MAX(0,$Q70)*$G70,0))</f>
        <v/>
      </c>
      <c r="S70" s="90">
        <f>IF($C70="","",IF('②発注する'!$M74="","",'②発注する'!$M74))</f>
        <v/>
      </c>
      <c r="T70">
        <f>IF($C70="","",IF('②発注する'!$N74="","",'②発注する'!$N74))</f>
        <v/>
      </c>
      <c r="U70">
        <f>IF($C70="",0,IF(AND(ISNUMBER($S70),ISNUMBER($T70)),MAX(0,$T70)*$G70,0))</f>
        <v/>
      </c>
      <c r="V70">
        <f>IF($C70="",0,IF($M70="",0,MAX(0,$M70)*MAX(0,V$4)/100))</f>
        <v/>
      </c>
      <c r="W70">
        <f>IF($C70="",0,IF($M70="",0,MAX(0,$M70)*MAX(0,W$4)/100))</f>
        <v/>
      </c>
      <c r="X70">
        <f>IF($C70="",0,IF($M70="",0,MAX(0,$M70)*MAX(0,X$4)/100))</f>
        <v/>
      </c>
      <c r="Y70">
        <f>IF($C70="",0,IF($M70="",0,MAX(0,$M70)*MAX(0,Y$4)/100))</f>
        <v/>
      </c>
      <c r="Z70">
        <f>IF($C70="",0,IF($M70="",0,MAX(0,$M70)*MAX(0,Z$4)/100))</f>
        <v/>
      </c>
      <c r="AA70">
        <f>IF($C70="",0,IF($M70="",0,MAX(0,$M70)*MAX(0,AA$4)/100))</f>
        <v/>
      </c>
      <c r="AB70">
        <f>IF($C70="",0,IF($M70="",0,MAX(0,$M70)*MAX(0,AB$4)/100))</f>
        <v/>
      </c>
      <c r="AC70">
        <f>IF($C70="",0,IF($M70="",0,MAX(0,$M70)*MAX(0,AC$4)/100))</f>
        <v/>
      </c>
      <c r="AD70">
        <f>IF($C70="",0,IF($M70="",0,MAX(0,$M70)*MAX(0,AD$4)/100))</f>
        <v/>
      </c>
      <c r="AE70">
        <f>IF($C70="",0,IF($M70="",0,MAX(0,$M70)*MAX(0,AE$4)/100))</f>
        <v/>
      </c>
      <c r="AF70">
        <f>IF($C70="",0,IF($M70="",0,MAX(0,$M70)*MAX(0,AF$4)/100))</f>
        <v/>
      </c>
      <c r="AG70">
        <f>IF($C70="",0,IF($M70="",0,MAX(0,$M70)*MAX(0,AG$4)/100))</f>
        <v/>
      </c>
      <c r="AH70">
        <f>IF($C70="",0,IF($M70="",0,MAX(0,$M70)*MAX(0,AH$4)/100))</f>
        <v/>
      </c>
      <c r="AI70">
        <f>IF($C70="",0,IF($M70="",0,MAX(0,$M70)*MAX(0,AI$4)/100))</f>
        <v/>
      </c>
      <c r="AJ70">
        <f>IF($C70="",0,MAX(0,MAX(0,N($L70))-$V70))</f>
        <v/>
      </c>
      <c r="AK70">
        <f>IF($C70="",0,MAX(0,$AJ70-$W70))</f>
        <v/>
      </c>
      <c r="AL70">
        <f>IF($C70="",0,MAX(0,$AK70-$X70))</f>
        <v/>
      </c>
      <c r="AM70">
        <f>IF($C70="",0,MAX(0,$AL70-$Y70))</f>
        <v/>
      </c>
      <c r="AN70">
        <f>IF($C70="",0,MAX(0,$AM70-$Z70))</f>
        <v/>
      </c>
      <c r="AO70">
        <f>IF($C70="",0,MAX(0,$AN70-$AA70))</f>
        <v/>
      </c>
      <c r="AP70">
        <f>IF($C70="",0,MAX(0,$AO70-$AB70))</f>
        <v/>
      </c>
      <c r="AQ70">
        <f>IF($C70="",0,MAX(0,$AP70-$AC70))</f>
        <v/>
      </c>
      <c r="AR70">
        <f>IF($C70="",0,MAX(0,$AQ70-$AD70))</f>
        <v/>
      </c>
      <c r="AS70">
        <f>IF($C70="",0,MAX(0,$AR70-$AE70))</f>
        <v/>
      </c>
      <c r="AT70">
        <f>IF($C70="",0,MAX(0,$AS70-$AF70))</f>
        <v/>
      </c>
      <c r="AU70">
        <f>IF($C70="",0,MAX(0,$AT70-$AG70))</f>
        <v/>
      </c>
      <c r="AV70">
        <f>IF($C70="",0,MAX(0,$AU70-$AH70))</f>
        <v/>
      </c>
      <c r="AW70">
        <f>IF($C70="",0,MAX(0,$AV70-$AI70))</f>
        <v/>
      </c>
      <c r="AX70">
        <f>IF($C70="",0,MAX(0,MAX(0,N($L70))+IF($P70=V$3,$R70,0)+IF($S70=V$3,$U70,0)-$V70))</f>
        <v/>
      </c>
      <c r="AY70">
        <f>IF($C70="",0,MAX(0,$AX70+IF($P70=W$3,$R70,0)+IF($S70=W$3,$U70,0)-$W70))</f>
        <v/>
      </c>
      <c r="AZ70">
        <f>IF($C70="",0,MAX(0,$AY70+IF($P70=X$3,$R70,0)+IF($S70=X$3,$U70,0)-$X70))</f>
        <v/>
      </c>
      <c r="BA70">
        <f>IF($C70="",0,MAX(0,$AZ70+IF($P70=Y$3,$R70,0)+IF($S70=Y$3,$U70,0)-$Y70))</f>
        <v/>
      </c>
      <c r="BB70">
        <f>IF($C70="",0,MAX(0,$BA70+IF($P70=Z$3,$R70,0)+IF($S70=Z$3,$U70,0)-$Z70))</f>
        <v/>
      </c>
      <c r="BC70">
        <f>IF($C70="",0,MAX(0,$BB70+IF($P70=AA$3,$R70,0)+IF($S70=AA$3,$U70,0)-$AA70))</f>
        <v/>
      </c>
      <c r="BD70">
        <f>IF($C70="",0,MAX(0,$BC70+IF($P70=AB$3,$R70,0)+IF($S70=AB$3,$U70,0)-$AB70))</f>
        <v/>
      </c>
      <c r="BE70">
        <f>IF($C70="",0,MAX(0,$BD70+IF($P70=AC$3,$R70,0)+IF($S70=AC$3,$U70,0)-$AC70))</f>
        <v/>
      </c>
      <c r="BF70">
        <f>IF($C70="",0,MAX(0,$BE70+IF($P70=AD$3,$R70,0)+IF($S70=AD$3,$U70,0)-$AD70))</f>
        <v/>
      </c>
      <c r="BG70">
        <f>IF($C70="",0,MAX(0,$BF70+IF($P70=AE$3,$R70,0)+IF($S70=AE$3,$U70,0)-$AE70))</f>
        <v/>
      </c>
      <c r="BH70">
        <f>IF($C70="",0,MAX(0,$BG70+IF($P70=AF$3,$R70,0)+IF($S70=AF$3,$U70,0)-$AF70))</f>
        <v/>
      </c>
      <c r="BI70">
        <f>IF($C70="",0,MAX(0,$BH70+IF($P70=AG$3,$R70,0)+IF($S70=AG$3,$U70,0)-$AG70))</f>
        <v/>
      </c>
      <c r="BJ70">
        <f>IF($C70="",0,MAX(0,$BI70+IF($P70=AH$3,$R70,0)+IF($S70=AH$3,$U70,0)-$AH70))</f>
        <v/>
      </c>
      <c r="BK70">
        <f>IF($C70="",0,MAX(0,$BJ70+IF($P70=AI$3,$R70,0)+IF($S70=AI$3,$U70,0)-$AI70))</f>
        <v/>
      </c>
      <c r="BL70">
        <f>IF($C70="",99,IF(AND($AX70&lt;1,V$3&gt;=MAX(N($P70),N($S70))),0,99))</f>
        <v/>
      </c>
      <c r="BM70">
        <f>IF($C70="",99,IF(AND($AY70&lt;1,W$3&gt;=MAX(N($P70),N($S70))),1,99))</f>
        <v/>
      </c>
      <c r="BN70">
        <f>IF($C70="",99,IF(AND($AZ70&lt;1,X$3&gt;=MAX(N($P70),N($S70))),2,99))</f>
        <v/>
      </c>
      <c r="BO70">
        <f>IF($C70="",99,IF(AND($BA70&lt;1,Y$3&gt;=MAX(N($P70),N($S70))),3,99))</f>
        <v/>
      </c>
      <c r="BP70">
        <f>IF($C70="",99,IF(AND($BB70&lt;1,Z$3&gt;=MAX(N($P70),N($S70))),4,99))</f>
        <v/>
      </c>
      <c r="BQ70">
        <f>IF($C70="",99,IF(AND($BC70&lt;1,AA$3&gt;=MAX(N($P70),N($S70))),5,99))</f>
        <v/>
      </c>
      <c r="BR70">
        <f>IF($C70="",99,IF(AND($BD70&lt;1,AB$3&gt;=MAX(N($P70),N($S70))),6,99))</f>
        <v/>
      </c>
      <c r="BS70">
        <f>IF($C70="",99,IF(AND($BE70&lt;1,AC$3&gt;=MAX(N($P70),N($S70))),7,99))</f>
        <v/>
      </c>
      <c r="BT70">
        <f>IF($C70="",99,IF(AND($BF70&lt;1,AD$3&gt;=MAX(N($P70),N($S70))),8,99))</f>
        <v/>
      </c>
      <c r="BU70">
        <f>IF($C70="",99,IF(AND($BG70&lt;1,AE$3&gt;=MAX(N($P70),N($S70))),9,99))</f>
        <v/>
      </c>
      <c r="BV70">
        <f>IF($C70="",99,IF(AND($BH70&lt;1,AF$3&gt;=MAX(N($P70),N($S70))),10,99))</f>
        <v/>
      </c>
      <c r="BW70">
        <f>IF($C70="",99,IF(AND($BI70&lt;1,AG$3&gt;=MAX(N($P70),N($S70))),11,99))</f>
        <v/>
      </c>
      <c r="BX70">
        <f>IF($C70="",99,IF(AND($BJ70&lt;1,AH$3&gt;=MAX(N($P70),N($S70))),12,99))</f>
        <v/>
      </c>
      <c r="BY70">
        <f>IF($C70="",99,IF(AND($BK70&lt;1,AI$3&gt;=MAX(N($P70),N($S70))),13,99))</f>
        <v/>
      </c>
      <c r="BZ70">
        <f>IF(OR($C70="",$M70=""),"",COUNTIF($AJ70:$AW70,"&gt;=1"))</f>
        <v/>
      </c>
      <c r="CA70" s="90">
        <f>IF($BZ70="","",IF($BZ70&gt;=14,"",'設定'!$C$6+$BZ70))</f>
        <v/>
      </c>
      <c r="CB70">
        <f>IF(OR($C70="",$M70=""),"",MIN($BL70:$BY70))</f>
        <v/>
      </c>
      <c r="CC70" s="90">
        <f>IF($CB70="","",IF($CB70&gt;=99,"",'設定'!$C$6+$CB70))</f>
        <v/>
      </c>
      <c r="CD70">
        <f>IF(OR($C70="",$M70=""),"",AVERAGE($V70:$AI70))</f>
        <v/>
      </c>
      <c r="CE70">
        <f>IF($C70="","",IFERROR(IF(MATCH(IF(ISNUMBER($P70),$P70,'設定'!$C$6+N('設定'!$C$7)),$V$3:$AI$3,0)=1,MAX(0,N($L70)),INDEX($AJ70:$AW70,MATCH(IF(ISNUMBER($P70),$P70,'設定'!$C$6+N('設定'!$C$7)),$V$3:$AI$3,0)-1)),""))</f>
        <v/>
      </c>
      <c r="CF70">
        <f>IF(OR($C70="",$O70="",$CE70=""),"",IF($O70-$CE70&lt;=0,0,ROUNDUP(($O70-$CE70)/$G70,0)))</f>
        <v/>
      </c>
      <c r="CG70">
        <f>IF(OR($C70="",$CF70="",NOT(ISNUMBER($Q70))),0,MAX(0,$Q70-$CF70))</f>
        <v/>
      </c>
      <c r="CH70">
        <f>IF(OR($C70="",$O70="",$U70=0),0,IFERROR(ROUNDUP(MAX(0,IF(MATCH($S70,$V$3:$AI$3,0)=1,MAX(0,N($L70)),INDEX($AX70:$BK70,MATCH($S70,$V$3:$AI$3,0)-1))+$U70-$O70)/$G70,0),0))</f>
        <v/>
      </c>
      <c r="CI70">
        <f>IF($C70="","",IF(AND($P70="",$Q70=""),"",IF($P70="","⚠ 入庫日を ▼ から選んでください",IF(NOT(ISNUMBER($P70)),"⚠ 入庫日は ▼ から選んでください",IF($P70&lt;N('設定'!$C$6),"⚠ 入庫日が過去です（もう在庫に入っています）→ 消してください",IF($P70&gt;N('設定'!$C$6)+13,"⚠ 入庫日が14日より先です",IF(N($Q70)&lt;=0,"⚠ 入庫数を入れてください",IF($CG70&gt;0,"⚠ 目安より "&amp;$CG70&amp;" 多い（定数を超える）→ 減らす",""))))))))</f>
        <v/>
      </c>
      <c r="CJ70">
        <f>IF($C70="","",IF(AND($S70="",$T70=""),"",IF($S70="","⚠ 2便目：入庫日を ▼ から選んでください",IF(NOT(ISNUMBER($S70)),"⚠ 2便目：入庫日は ▼ から選んでください",IF($S70&lt;N('設定'!$C$6),"⚠ 2便目：入庫日が過去です（もう在庫に入っています）→ 消してください",IF($S70&gt;N('設定'!$C$6)+13,"⚠ 2便目：入庫日が14日より先です",IF(N($T70)&lt;=0,"⚠ 2便目：入庫数を入れてください",IF($CH70&gt;0,"⚠ 2便目：定数を "&amp;$CH70&amp;" ケース超える → 減らす",""))))))))</f>
        <v/>
      </c>
      <c r="CK70">
        <f>IF(AND($CI70="",N($Q70)&gt;0,ISNUMBER($P70)),1,0)</f>
        <v/>
      </c>
      <c r="CL70">
        <f>IF(AND($CJ70="",N($T70)&gt;0,ISNUMBER($S70)),1,0)</f>
        <v/>
      </c>
      <c r="CM70">
        <f>IF(OR($CK70=1,$CL70=1),1,0)</f>
        <v/>
      </c>
      <c r="CN70">
        <f>IF($C70="",0,($CK70*$R70+$CL70*$U70)*N($H70))</f>
        <v/>
      </c>
      <c r="CO70">
        <f>IF($C70="","",IF($CC70="","入庫後は 14日以上もつ",IF($CC70-N('設定'!$C$7)&lt;='設定'!$C$6,"入庫後も "&amp;TEXT($CC70,"m/d")&amp;"("&amp;CHOOSE(WEEKDAY($CC70),"日","月","火","水","木","金","土")&amp;")"&amp;" に切れる　もう1便を至急発注","入庫後も "&amp;TEXT($CC70,"m/d")&amp;"("&amp;CHOOSE(WEEKDAY($CC70),"日","月","火","水","木","金","土")&amp;")"&amp;" に切れる　"&amp;TEXT($CC70-N('設定'!$C$7),"m/d")&amp;"("&amp;CHOOSE(WEEKDAY($CC70-N('設定'!$C$7)),"日","月","火","水","木","金","土")&amp;")"&amp;" までに次を発注")))</f>
        <v/>
      </c>
      <c r="CP70">
        <f>IF($C70="","",IF('設定'!$C$6="","？ ①在庫を貼る に今日のCSVが貼られていない",IF($CS70=1,"－ 今日のCSVに無い（終売？）",IF($L70&lt;0,"● 在庫がマイナス　数えて「数えた在庫」に入れる",IF($L70=0,"● 在庫なし　至急発注",IF($M70="","？ 減り数が未設定（商品マスタ）",IF($B$3=0,"？ 動員が未入力（動員を入れる）",IF($CA70="","○ 14日以上もつ",IF($BZ70&lt;N('設定'!$C$7),"● "&amp;TEXT($CA70,"m/d")&amp;"("&amp;CHOOSE(WEEKDAY($CA70),"日","月","火","水","木","金","土")&amp;")"&amp;" に切れる　至急発注",IF($BZ70=N('設定'!$C$7),"● "&amp;TEXT($CA70,"m/d")&amp;"("&amp;CHOOSE(WEEKDAY($CA70),"日","月","火","水","木","金","土")&amp;")"&amp;" に切れる　今日発注","△ "&amp;TEXT($CA70,"m/d")&amp;"("&amp;CHOOSE(WEEKDAY($CA70),"日","月","火","水","木","金","土")&amp;")"&amp;" に切れる　"&amp;TEXT($CA70-N('設定'!$C$7),"m/d")&amp;"("&amp;CHOOSE(WEEKDAY($CA70-N('設定'!$C$7)),"日","月","火","水","木","金","土")&amp;")"&amp;" までに発注"))))))))))</f>
        <v/>
      </c>
      <c r="CQ70">
        <f>IF($C70="","",IF(AND($P70="",$Q70="",$S70="",$T70=""),"",IF(AND($P70="",$Q70=""),"⚠ 先に1便目（左の入庫日・入庫数）に入れてください",IF($CI70&lt;&gt;"",$CI70,IF($CJ70&lt;&gt;"",$CJ70,IF($M70="","？ 減り数が未設定（発注書には載ります）",IF($B$3=0,"？ 動員が未入力（発注書には載ります）",IF(AND($CA70&lt;&gt;"",$P70&gt;$CA70),IF($P70&gt;'設定'!$C$6+N('設定'!$C$7),"● "&amp;TEXT($P70,"m/d")&amp;"("&amp;CHOOSE(WEEKDAY($P70),"日","月","火","水","木","金","土")&amp;")"&amp;" の入庫では間に合わない（"&amp;TEXT($CA70,"m/d")&amp;"("&amp;CHOOSE(WEEKDAY($CA70),"日","月","火","水","木","金","土")&amp;")"&amp;" に切れる）　入庫日を早める","△ 欠品 "&amp;TEXT($CA70,"m/d")&amp;"("&amp;CHOOSE(WEEKDAY($CA70),"日","月","火","水","木","金","土")&amp;")"&amp;"〜"&amp;TEXT($P70-1,"m/d")&amp;"("&amp;CHOOSE(WEEKDAY($P70-1),"日","月","火","水","木","金","土")&amp;")"&amp;"　"&amp;$CO70),IF($CC70="","○ "&amp;TEXT($P70,"m/d")&amp;"("&amp;CHOOSE(WEEKDAY($P70),"日","月","火","水","木","金","土")&amp;")"&amp;" 入庫で 14日以上もつ",IF($CC70-N('設定'!$C$7)&lt;='設定'!$C$6,"● 入庫しても "&amp;TEXT($CC70,"m/d")&amp;"("&amp;CHOOSE(WEEKDAY($CC70),"日","月","火","水","木","金","土")&amp;")"&amp;" に切れる　もう1便を至急発注（2便目に入れる）","△ 入庫しても "&amp;TEXT($CC70,"m/d")&amp;"("&amp;CHOOSE(WEEKDAY($CC70),"日","月","火","水","木","金","土")&amp;")"&amp;" に切れる　"&amp;TEXT($CC70-N('設定'!$C$7),"m/d")&amp;"("&amp;CHOOSE(WEEKDAY($CC70-N('設定'!$C$7)),"日","月","火","水","木","金","土")&amp;")"&amp;" までに次を発注（2便目に入れる）"))))))))))</f>
        <v/>
      </c>
      <c r="CR70">
        <f>IF($C70="","",IF($G70&gt;1,"ｹｰｽ("&amp;$G70&amp;"入)","個"))</f>
        <v/>
      </c>
      <c r="CS70">
        <f>IF($C70="",0,IF(COUNTIFS('①在庫を貼る'!$V$6:$V$10005,'設定'!$C$4,'①在庫を貼る'!$W$6:$W$10005,$C70)=0,1,0))</f>
        <v/>
      </c>
      <c r="CT70">
        <f>IF(AND($CK70=1,OR('③発注書'!$C$4="すべて",'③発注書'!$C$4="",$F70='③発注書'!$C$4)),N($CT69)+1,N($CT69))</f>
        <v/>
      </c>
      <c r="CU70">
        <f>IF(AND($CL70=1,OR('③発注書'!$C$4="すべて",'③発注書'!$C$4="",$F70='③発注書'!$C$4)),N($CU69)+1,N($CU69))</f>
        <v/>
      </c>
      <c r="CV70">
        <f>IF($C70="",0,IF(COUNTIFS('①在庫を貼る'!$V$6:$V$10005,'設定'!$C$4,'①在庫を貼る'!$W$6:$W$10005,$C70)&gt;0,1,0))</f>
        <v/>
      </c>
      <c r="CW70">
        <f>IF($C70="",0,IF(COUNTIFS('月1回_1ヶ月前の在庫'!$V$6:$V$10005,'設定'!$C$4,'月1回_1ヶ月前の在庫'!$W$6:$W$10005,$C70)&gt;0,1,0))</f>
        <v/>
      </c>
      <c r="CX70">
        <f>IF($C70="",0,IF(COUNTIFS('月1回_2ヶ月前の在庫'!$V$6:$V$10005,'設定'!$C$4,'月1回_2ヶ月前の在庫'!$W$6:$W$10005,$C70)&gt;0,1,0))</f>
        <v/>
      </c>
      <c r="CY70">
        <f>IF(OR($C70="",'設定'!$C$12=""),"",IF('設定'!$C$13="",IF(AND($CV70=1,$CW70=0),"新商品（今月から）",IF(AND($CV70=0,$CW70=1),"終売（今月から）","")),IF(AND($CV70=1,$CW70=0,$CX70=0),"新商品（今月から）",IF(AND($CV70=1,$CW70=1,$CX70=0),"新商品（先月から）",IF(AND($CV70=0,$CW70=1,$CX70=1),"終売（今月から）",IF(AND($CV70=0,$CW70=0,$CX70=1),"終売（先月から）",IF(AND($CV70=1,$CW70=0,$CX70=1),"復活（先月は無し）","")))))))</f>
        <v/>
      </c>
    </row>
    <row r="71">
      <c r="B71">
        <f>IF(66&lt;='設定'!$C$11,66,"")</f>
        <v/>
      </c>
      <c r="C71">
        <f>IF($B71="","",IF($B71&lt;='設定'!$C$20,INDEX('商品マスタ'!$B$6:$B$1005,MATCH($B71,'商品マスタ'!$M$6:$M$1005,0)),IF($B71&lt;='設定'!$C$20+'設定'!$C$17,INDEX('①在庫を貼る'!$W$6:$W$10005,MATCH($B71-'設定'!$C$20,'①在庫を貼る'!$U$6:$U$10005,0)),IF($B71&lt;='設定'!$C$20+'設定'!$C$17+'設定'!$C$18,INDEX('月1回_1ヶ月前の在庫'!$W$6:$W$10005,MATCH($B71-'設定'!$C$20-'設定'!$C$17,'月1回_1ヶ月前の在庫'!$U$6:$U$10005,0)),INDEX('月1回_2ヶ月前の在庫'!$W$6:$W$10005,MATCH($B71-'設定'!$C$20-'設定'!$C$17-'設定'!$C$18,'月1回_2ヶ月前の在庫'!$U$6:$U$10005,0))))))</f>
        <v/>
      </c>
      <c r="D71">
        <f>IF($C71="","",IFERROR(IF(INDEX('商品マスタ'!$C$6:$C$1005,MATCH($C71,'商品マスタ'!$B$6:$B$1005,0))="",IFERROR(INDEX('①在庫を貼る'!$J$6:$J$10005,MATCH($C71,'①在庫を貼る'!$W$6:$W$10005,0)),IFERROR(INDEX('月1回_1ヶ月前の在庫'!$J$6:$J$10005,MATCH($C71,'月1回_1ヶ月前の在庫'!$W$6:$W$10005,0)),IFERROR(INDEX('月1回_2ヶ月前の在庫'!$J$6:$J$10005,MATCH($C71,'月1回_2ヶ月前の在庫'!$W$6:$W$10005,0)),""))),INDEX('商品マスタ'!$C$6:$C$1005,MATCH($C71,'商品マスタ'!$B$6:$B$1005,0))),IFERROR(INDEX('①在庫を貼る'!$J$6:$J$10005,MATCH($C71,'①在庫を貼る'!$W$6:$W$10005,0)),IFERROR(INDEX('月1回_1ヶ月前の在庫'!$J$6:$J$10005,MATCH($C71,'月1回_1ヶ月前の在庫'!$W$6:$W$10005,0)),IFERROR(INDEX('月1回_2ヶ月前の在庫'!$J$6:$J$10005,MATCH($C71,'月1回_2ヶ月前の在庫'!$W$6:$W$10005,0)),"")))))</f>
        <v/>
      </c>
      <c r="E71">
        <f>IF($C71="","",IFERROR(IF(INDEX('商品マスタ'!$D$6:$D$1005,MATCH($C71,'商品マスタ'!$B$6:$B$1005,0))="",IFERROR(INDEX('①在庫を貼る'!$H$6:$H$10005,MATCH($C71,'①在庫を貼る'!$W$6:$W$10005,0)),IFERROR(INDEX('月1回_1ヶ月前の在庫'!$H$6:$H$10005,MATCH($C71,'月1回_1ヶ月前の在庫'!$W$6:$W$10005,0)),IFERROR(INDEX('月1回_2ヶ月前の在庫'!$H$6:$H$10005,MATCH($C71,'月1回_2ヶ月前の在庫'!$W$6:$W$10005,0)),""))),INDEX('商品マスタ'!$D$6:$D$1005,MATCH($C71,'商品マスタ'!$B$6:$B$1005,0))),IFERROR(INDEX('①在庫を貼る'!$H$6:$H$10005,MATCH($C71,'①在庫を貼る'!$W$6:$W$10005,0)),IFERROR(INDEX('月1回_1ヶ月前の在庫'!$H$6:$H$10005,MATCH($C71,'月1回_1ヶ月前の在庫'!$W$6:$W$10005,0)),IFERROR(INDEX('月1回_2ヶ月前の在庫'!$H$6:$H$10005,MATCH($C71,'月1回_2ヶ月前の在庫'!$W$6:$W$10005,0)),"")))))</f>
        <v/>
      </c>
      <c r="F71">
        <f>IF($C71="","",IFERROR(IF(INDEX('商品マスタ'!$E$6:$E$1005,MATCH($C71,'商品マスタ'!$B$6:$B$1005,0))="",IFERROR(INDEX('①在庫を貼る'!$E$6:$E$10005,MATCH($C71,'①在庫を貼る'!$W$6:$W$10005,0)),IFERROR(INDEX('月1回_1ヶ月前の在庫'!$E$6:$E$10005,MATCH($C71,'月1回_1ヶ月前の在庫'!$W$6:$W$10005,0)),IFERROR(INDEX('月1回_2ヶ月前の在庫'!$E$6:$E$10005,MATCH($C71,'月1回_2ヶ月前の在庫'!$W$6:$W$10005,0)),""))),INDEX('商品マスタ'!$E$6:$E$1005,MATCH($C71,'商品マスタ'!$B$6:$B$1005,0))),IFERROR(INDEX('①在庫を貼る'!$E$6:$E$10005,MATCH($C71,'①在庫を貼る'!$W$6:$W$10005,0)),IFERROR(INDEX('月1回_1ヶ月前の在庫'!$E$6:$E$10005,MATCH($C71,'月1回_1ヶ月前の在庫'!$W$6:$W$10005,0)),IFERROR(INDEX('月1回_2ヶ月前の在庫'!$E$6:$E$10005,MATCH($C71,'月1回_2ヶ月前の在庫'!$W$6:$W$10005,0)),"")))))</f>
        <v/>
      </c>
      <c r="G71">
        <f>IF($C71="","",MAX(1,N(IFERROR(IF(INDEX('商品マスタ'!$F$6:$F$1005,MATCH($C71,'商品マスタ'!$B$6:$B$1005,0))="",IF(COUNTIFS('①在庫を貼る'!$V$6:$V$10005,'設定'!$C$4,'①在庫を貼る'!$W$6:$W$10005,$C71)&gt;0,SUMIFS('①在庫を貼る'!$K$6:$K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K$6:$K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K$6:$K$10005,'月1回_2ヶ月前の在庫'!$V$6:$V$10005,'設定'!$C$4,'月1回_2ヶ月前の在庫'!$W$6:$W$10005,$C71)/COUNTIFS('月1回_2ヶ月前の在庫'!$V$6:$V$10005,'設定'!$C$4,'月1回_2ヶ月前の在庫'!$W$6:$W$10005,$C71),0))),INDEX('商品マスタ'!$F$6:$F$1005,MATCH($C71,'商品マスタ'!$B$6:$B$1005,0))),IF(COUNTIFS('①在庫を貼る'!$V$6:$V$10005,'設定'!$C$4,'①在庫を貼る'!$W$6:$W$10005,$C71)&gt;0,SUMIFS('①在庫を貼る'!$K$6:$K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K$6:$K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K$6:$K$10005,'月1回_2ヶ月前の在庫'!$V$6:$V$10005,'設定'!$C$4,'月1回_2ヶ月前の在庫'!$W$6:$W$10005,$C71)/COUNTIFS('月1回_2ヶ月前の在庫'!$V$6:$V$10005,'設定'!$C$4,'月1回_2ヶ月前の在庫'!$W$6:$W$10005,$C71),0)))))))</f>
        <v/>
      </c>
      <c r="H71">
        <f>IF($C71="","",N(IFERROR(IF(INDEX('商品マスタ'!$G$6:$G$1005,MATCH($C71,'商品マスタ'!$B$6:$B$1005,0))="",IF(COUNTIFS('①在庫を貼る'!$V$6:$V$10005,'設定'!$C$4,'①在庫を貼る'!$W$6:$W$10005,$C71)&gt;0,SUMIFS('①在庫を貼る'!$Q$6:$Q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Q$6:$Q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Q$6:$Q$10005,'月1回_2ヶ月前の在庫'!$V$6:$V$10005,'設定'!$C$4,'月1回_2ヶ月前の在庫'!$W$6:$W$10005,$C71)/COUNTIFS('月1回_2ヶ月前の在庫'!$V$6:$V$10005,'設定'!$C$4,'月1回_2ヶ月前の在庫'!$W$6:$W$10005,$C71),0))),INDEX('商品マスタ'!$G$6:$G$1005,MATCH($C71,'商品マスタ'!$B$6:$B$1005,0))),IF(COUNTIFS('①在庫を貼る'!$V$6:$V$10005,'設定'!$C$4,'①在庫を貼る'!$W$6:$W$10005,$C71)&gt;0,SUMIFS('①在庫を貼る'!$Q$6:$Q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Q$6:$Q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Q$6:$Q$10005,'月1回_2ヶ月前の在庫'!$V$6:$V$10005,'設定'!$C$4,'月1回_2ヶ月前の在庫'!$W$6:$W$10005,$C71)/COUNTIFS('月1回_2ヶ月前の在庫'!$V$6:$V$10005,'設定'!$C$4,'月1回_2ヶ月前の在庫'!$W$6:$W$10005,$C71),0))))))</f>
        <v/>
      </c>
      <c r="I71">
        <f>IF($C71="","",IF(COUNTIFS('①在庫を貼る'!$V$6:$V$10005,'設定'!$C$4,'①在庫を貼る'!$W$6:$W$10005,$C71)=0,"",SUMIFS('①在庫を貼る'!$N$6:$N$10005,'①在庫を貼る'!$V$6:$V$10005,'設定'!$C$4,'①在庫を貼る'!$W$6:$W$10005,$C71)))</f>
        <v/>
      </c>
      <c r="J71">
        <f>IF($C71="","",IF('②発注する'!$AD75="","",'②発注する'!$AD75))</f>
        <v/>
      </c>
      <c r="K71" s="90">
        <f>IF($C71="","",IF('②発注する'!$AE75="","",'②発注する'!$AE75))</f>
        <v/>
      </c>
      <c r="L71">
        <f>IF($C71="","",IF(AND(ISNUMBER($J71),ISNUMBER($K71),$K71&gt;='設定'!$C$6),$J71,N($I71)))</f>
        <v/>
      </c>
      <c r="M71">
        <f>IF($C71="","",IFERROR(IF(N(INDEX('商品マスタ'!$J$6:$J$1005,MATCH($C71,'商品マスタ'!$B$6:$B$1005,0)))&gt;0,INDEX('商品マスタ'!$J$6:$J$1005,MATCH($C71,'商品マスタ'!$B$6:$B$1005,0)),""),""))</f>
        <v/>
      </c>
      <c r="N71">
        <f>IF($C71="","",IFERROR(IF(N(INDEX('商品マスタ'!$H$6:$H$1005,MATCH($C71,'商品マスタ'!$B$6:$B$1005,0)))&gt;0,INDEX('商品マスタ'!$H$6:$H$1005,MATCH($C71,'商品マスタ'!$B$6:$B$1005,0)),""),""))</f>
        <v/>
      </c>
      <c r="O71">
        <f>IF($C71="","",IF($N71&lt;&gt;"",$N71*$G71,IF(N(IF(COUNTIFS('①在庫を貼る'!$V$6:$V$10005,'設定'!$C$4,'①在庫を貼る'!$W$6:$W$10005,$C71)&gt;0,SUMIFS('①在庫を貼る'!$O$6:$O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O$6:$O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O$6:$O$10005,'月1回_2ヶ月前の在庫'!$V$6:$V$10005,'設定'!$C$4,'月1回_2ヶ月前の在庫'!$W$6:$W$10005,$C71)/COUNTIFS('月1回_2ヶ月前の在庫'!$V$6:$V$10005,'設定'!$C$4,'月1回_2ヶ月前の在庫'!$W$6:$W$10005,$C71),0))))&gt;0,N(IF(COUNTIFS('①在庫を貼る'!$V$6:$V$10005,'設定'!$C$4,'①在庫を貼る'!$W$6:$W$10005,$C71)&gt;0,SUMIFS('①在庫を貼る'!$O$6:$O$10005,'①在庫を貼る'!$V$6:$V$10005,'設定'!$C$4,'①在庫を貼る'!$W$6:$W$10005,$C71)/COUNTIFS('①在庫を貼る'!$V$6:$V$10005,'設定'!$C$4,'①在庫を貼る'!$W$6:$W$10005,$C71),IF(COUNTIFS('月1回_1ヶ月前の在庫'!$V$6:$V$10005,'設定'!$C$4,'月1回_1ヶ月前の在庫'!$W$6:$W$10005,$C71)&gt;0,SUMIFS('月1回_1ヶ月前の在庫'!$O$6:$O$10005,'月1回_1ヶ月前の在庫'!$V$6:$V$10005,'設定'!$C$4,'月1回_1ヶ月前の在庫'!$W$6:$W$10005,$C71)/COUNTIFS('月1回_1ヶ月前の在庫'!$V$6:$V$10005,'設定'!$C$4,'月1回_1ヶ月前の在庫'!$W$6:$W$10005,$C71),IF(COUNTIFS('月1回_2ヶ月前の在庫'!$V$6:$V$10005,'設定'!$C$4,'月1回_2ヶ月前の在庫'!$W$6:$W$10005,$C71)&gt;0,SUMIFS('月1回_2ヶ月前の在庫'!$O$6:$O$10005,'月1回_2ヶ月前の在庫'!$V$6:$V$10005,'設定'!$C$4,'月1回_2ヶ月前の在庫'!$W$6:$W$10005,$C71)/COUNTIFS('月1回_2ヶ月前の在庫'!$V$6:$V$10005,'設定'!$C$4,'月1回_2ヶ月前の在庫'!$W$6:$W$10005,$C71),0)))),"")))</f>
        <v/>
      </c>
      <c r="P71" s="90">
        <f>IF($C71="","",IF('②発注する'!$I75="","",'②発注する'!$I75))</f>
        <v/>
      </c>
      <c r="Q71">
        <f>IF($C71="","",IF('②発注する'!$J75="","",'②発注する'!$J75))</f>
        <v/>
      </c>
      <c r="R71">
        <f>IF($C71="",0,IF(AND(ISNUMBER($P71),ISNUMBER($Q71)),MAX(0,$Q71)*$G71,0))</f>
        <v/>
      </c>
      <c r="S71" s="90">
        <f>IF($C71="","",IF('②発注する'!$M75="","",'②発注する'!$M75))</f>
        <v/>
      </c>
      <c r="T71">
        <f>IF($C71="","",IF('②発注する'!$N75="","",'②発注する'!$N75))</f>
        <v/>
      </c>
      <c r="U71">
        <f>IF($C71="",0,IF(AND(ISNUMBER($S71),ISNUMBER($T71)),MAX(0,$T71)*$G71,0))</f>
        <v/>
      </c>
      <c r="V71">
        <f>IF($C71="",0,IF($M71="",0,MAX(0,$M71)*MAX(0,V$4)/100))</f>
        <v/>
      </c>
      <c r="W71">
        <f>IF($C71="",0,IF($M71="",0,MAX(0,$M71)*MAX(0,W$4)/100))</f>
        <v/>
      </c>
      <c r="X71">
        <f>IF($C71="",0,IF($M71="",0,MAX(0,$M71)*MAX(0,X$4)/100))</f>
        <v/>
      </c>
      <c r="Y71">
        <f>IF($C71="",0,IF($M71="",0,MAX(0,$M71)*MAX(0,Y$4)/100))</f>
        <v/>
      </c>
      <c r="Z71">
        <f>IF($C71="",0,IF($M71="",0,MAX(0,$M71)*MAX(0,Z$4)/100))</f>
        <v/>
      </c>
      <c r="AA71">
        <f>IF($C71="",0,IF($M71="",0,MAX(0,$M71)*MAX(0,AA$4)/100))</f>
        <v/>
      </c>
      <c r="AB71">
        <f>IF($C71="",0,IF($M71="",0,MAX(0,$M71)*MAX(0,AB$4)/100))</f>
        <v/>
      </c>
      <c r="AC71">
        <f>IF($C71="",0,IF($M71="",0,MAX(0,$M71)*MAX(0,AC$4)/100))</f>
        <v/>
      </c>
      <c r="AD71">
        <f>IF($C71="",0,IF($M71="",0,MAX(0,$M71)*MAX(0,AD$4)/100))</f>
        <v/>
      </c>
      <c r="AE71">
        <f>IF($C71="",0,IF($M71="",0,MAX(0,$M71)*MAX(0,AE$4)/100))</f>
        <v/>
      </c>
      <c r="AF71">
        <f>IF($C71="",0,IF($M71="",0,MAX(0,$M71)*MAX(0,AF$4)/100))</f>
        <v/>
      </c>
      <c r="AG71">
        <f>IF($C71="",0,IF($M71="",0,MAX(0,$M71)*MAX(0,AG$4)/100))</f>
        <v/>
      </c>
      <c r="AH71">
        <f>IF($C71="",0,IF($M71="",0,MAX(0,$M71)*MAX(0,AH$4)/100))</f>
        <v/>
      </c>
      <c r="AI71">
        <f>IF($C71="",0,IF($M71="",0,MAX(0,$M71)*MAX(0,AI$4)/100))</f>
        <v/>
      </c>
      <c r="AJ71">
        <f>IF($C71="",0,MAX(0,MAX(0,N($L71))-$V71))</f>
        <v/>
      </c>
      <c r="AK71">
        <f>IF($C71="",0,MAX(0,$AJ71-$W71))</f>
        <v/>
      </c>
      <c r="AL71">
        <f>IF($C71="",0,MAX(0,$AK71-$X71))</f>
        <v/>
      </c>
      <c r="AM71">
        <f>IF($C71="",0,MAX(0,$AL71-$Y71))</f>
        <v/>
      </c>
      <c r="AN71">
        <f>IF($C71="",0,MAX(0,$AM71-$Z71))</f>
        <v/>
      </c>
      <c r="AO71">
        <f>IF($C71="",0,MAX(0,$AN71-$AA71))</f>
        <v/>
      </c>
      <c r="AP71">
        <f>IF($C71="",0,MAX(0,$AO71-$AB71))</f>
        <v/>
      </c>
      <c r="AQ71">
        <f>IF($C71="",0,MAX(0,$AP71-$AC71))</f>
        <v/>
      </c>
      <c r="AR71">
        <f>IF($C71="",0,MAX(0,$AQ71-$AD71))</f>
        <v/>
      </c>
      <c r="AS71">
        <f>IF($C71="",0,MAX(0,$AR71-$AE71))</f>
        <v/>
      </c>
      <c r="AT71">
        <f>IF($C71="",0,MAX(0,$AS71-$AF71))</f>
        <v/>
      </c>
      <c r="AU71">
        <f>IF($C71="",0,MAX(0,$AT71-$AG71))</f>
        <v/>
      </c>
      <c r="AV71">
        <f>IF($C71="",0,MAX(0,$AU71-$AH71))</f>
        <v/>
      </c>
      <c r="AW71">
        <f>IF($C71="",0,MAX(0,$AV71-$AI71))</f>
        <v/>
      </c>
      <c r="AX71">
        <f>IF($C71="",0,MAX(0,MAX(0,N($L71))+IF($P71=V$3,$R71,0)+IF($S71=V$3,$U71,0)-$V71))</f>
        <v/>
      </c>
      <c r="AY71">
        <f>IF($C71="",0,MAX(0,$AX71+IF($P71=W$3,$R71,0)+IF($S71=W$3,$U71,0)-$W71))</f>
        <v/>
      </c>
      <c r="AZ71">
        <f>IF($C71="",0,MAX(0,$AY71+IF($P71=X$3,$R71,0)+IF($S71=X$3,$U71,0)-$X71))</f>
        <v/>
      </c>
      <c r="BA71">
        <f>IF($C71="",0,MAX(0,$AZ71+IF($P71=Y$3,$R71,0)+IF($S71=Y$3,$U71,0)-$Y71))</f>
        <v/>
      </c>
      <c r="BB71">
        <f>IF($C71="",0,MAX(0,$BA71+IF($P71=Z$3,$R71,0)+IF($S71=Z$3,$U71,0)-$Z71))</f>
        <v/>
      </c>
      <c r="BC71">
        <f>IF($C71="",0,MAX(0,$BB71+IF($P71=AA$3,$R71,0)+IF($S71=AA$3,$U71,0)-$AA71))</f>
        <v/>
      </c>
      <c r="BD71">
        <f>IF($C71="",0,MAX(0,$BC71+IF($P71=AB$3,$R71,0)+IF($S71=AB$3,$U71,0)-$AB71))</f>
        <v/>
      </c>
      <c r="BE71">
        <f>IF($C71="",0,MAX(0,$BD71+IF($P71=AC$3,$R71,0)+IF($S71=AC$3,$U71,0)-$AC71))</f>
        <v/>
      </c>
      <c r="BF71">
        <f>IF($C71="",0,MAX(0,$BE71+IF($P71=AD$3,$R71,0)+IF($S71=AD$3,$U71,0)-$AD71))</f>
        <v/>
      </c>
      <c r="BG71">
        <f>IF($C71="",0,MAX(0,$BF71+IF($P71=AE$3,$R71,0)+IF($S71=AE$3,$U71,0)-$AE71))</f>
        <v/>
      </c>
      <c r="BH71">
        <f>IF($C71="",0,MAX(0,$BG71+IF($P71=AF$3,$R71,0)+IF($S71=AF$3,$U71,0)-$AF71))</f>
        <v/>
      </c>
      <c r="BI71">
        <f>IF($C71="",0,MAX(0,$BH71+IF($P71=AG$3,$R71,0)+IF($S71=AG$3,$U71,0)-$AG71))</f>
        <v/>
      </c>
      <c r="BJ71">
        <f>IF($C71="",0,MAX(0,$BI71+IF($P71=AH$3,$R71,0)+IF($S71=AH$3,$U71,0)-$AH71))</f>
        <v/>
      </c>
      <c r="BK71">
        <f>IF($C71="",0,MAX(0,$BJ71+IF($P71=AI$3,$R71,0)+IF($S71=AI$3,$U71,0)-$AI71))</f>
        <v/>
      </c>
      <c r="BL71">
        <f>IF($C71="",99,IF(AND($AX71&lt;1,V$3&gt;=MAX(N($P71),N($S71))),0,99))</f>
        <v/>
      </c>
      <c r="BM71">
        <f>IF($C71="",99,IF(AND($AY71&lt;1,W$3&gt;=MAX(N($P71),N($S71))),1,99))</f>
        <v/>
      </c>
      <c r="BN71">
        <f>IF($C71="",99,IF(AND($AZ71&lt;1,X$3&gt;=MAX(N($P71),N($S71))),2,99))</f>
        <v/>
      </c>
      <c r="BO71">
        <f>IF($C71="",99,IF(AND($BA71&lt;1,Y$3&gt;=MAX(N($P71),N($S71))),3,99))</f>
        <v/>
      </c>
      <c r="BP71">
        <f>IF($C71="",99,IF(AND($BB71&lt;1,Z$3&gt;=MAX(N($P71),N($S71))),4,99))</f>
        <v/>
      </c>
      <c r="BQ71">
        <f>IF($C71="",99,IF(AND($BC71&lt;1,AA$3&gt;=MAX(N($P71),N($S71))),5,99))</f>
        <v/>
      </c>
      <c r="BR71">
        <f>IF($C71="",99,IF(AND($BD71&lt;1,AB$3&gt;=MAX(N($P71),N($S71))),6,99))</f>
        <v/>
      </c>
      <c r="BS71">
        <f>IF($C71="",99,IF(AND($BE71&lt;1,AC$3&gt;=MAX(N($P71),N($S71))),7,99))</f>
        <v/>
      </c>
      <c r="BT71">
        <f>IF($C71="",99,IF(AND($BF71&lt;1,AD$3&gt;=MAX(N($P71),N($S71))),8,99))</f>
        <v/>
      </c>
      <c r="BU71">
        <f>IF($C71="",99,IF(AND($BG71&lt;1,AE$3&gt;=MAX(N($P71),N($S71))),9,99))</f>
        <v/>
      </c>
      <c r="BV71">
        <f>IF($C71="",99,IF(AND($BH71&lt;1,AF$3&gt;=MAX(N($P71),N($S71))),10,99))</f>
        <v/>
      </c>
      <c r="BW71">
        <f>IF($C71="",99,IF(AND($BI71&lt;1,AG$3&gt;=MAX(N($P71),N($S71))),11,99))</f>
        <v/>
      </c>
      <c r="BX71">
        <f>IF($C71="",99,IF(AND($BJ71&lt;1,AH$3&gt;=MAX(N($P71),N($S71))),12,99))</f>
        <v/>
      </c>
      <c r="BY71">
        <f>IF($C71="",99,IF(AND($BK71&lt;1,AI$3&gt;=MAX(N($P71),N($S71))),13,99))</f>
        <v/>
      </c>
      <c r="BZ71">
        <f>IF(OR($C71="",$M71=""),"",COUNTIF($AJ71:$AW71,"&gt;=1"))</f>
        <v/>
      </c>
      <c r="CA71" s="90">
        <f>IF($BZ71="","",IF($BZ71&gt;=14,"",'設定'!$C$6+$BZ71))</f>
        <v/>
      </c>
      <c r="CB71">
        <f>IF(OR($C71="",$M71=""),"",MIN($BL71:$BY71))</f>
        <v/>
      </c>
      <c r="CC71" s="90">
        <f>IF($CB71="","",IF($CB71&gt;=99,"",'設定'!$C$6+$CB71))</f>
        <v/>
      </c>
      <c r="CD71">
        <f>IF(OR($C71="",$M71=""),"",AVERAGE($V71:$AI71))</f>
        <v/>
      </c>
      <c r="CE71">
        <f>IF($C71="","",IFERROR(IF(MATCH(IF(ISNUMBER($P71),$P71,'設定'!$C$6+N('設定'!$C$7)),$V$3:$AI$3,0)=1,MAX(0,N($L71)),INDEX($AJ71:$AW71,MATCH(IF(ISNUMBER($P71),$P71,'設定'!$C$6+N('設定'!$C$7)),$V$3:$AI$3,0)-1)),""))</f>
        <v/>
      </c>
      <c r="CF71">
        <f>IF(OR($C71="",$O71="",$CE71=""),"",IF($O71-$CE71&lt;=0,0,ROUNDUP(($O71-$CE71)/$G71,0)))</f>
        <v/>
      </c>
      <c r="CG71">
        <f>IF(OR($C71="",$CF71="",NOT(ISNUMBER($Q71))),0,MAX(0,$Q71-$CF71))</f>
        <v/>
      </c>
      <c r="CH71">
        <f>IF(OR($C71="",$O71="",$U71=0),0,IFERROR(ROUNDUP(MAX(0,IF(MATCH($S71,$V$3:$AI$3,0)=1,MAX(0,N($L71)),INDEX($AX71:$BK71,MATCH($S71,$V$3:$AI$3,0)-1))+$U71-$O71)/$G71,0),0))</f>
        <v/>
      </c>
      <c r="CI71">
        <f>IF($C71="","",IF(AND($P71="",$Q71=""),"",IF($P71="","⚠ 入庫日を ▼ から選んでください",IF(NOT(ISNUMBER($P71)),"⚠ 入庫日は ▼ から選んでください",IF($P71&lt;N('設定'!$C$6),"⚠ 入庫日が過去です（もう在庫に入っています）→ 消してください",IF($P71&gt;N('設定'!$C$6)+13,"⚠ 入庫日が14日より先です",IF(N($Q71)&lt;=0,"⚠ 入庫数を入れてください",IF($CG71&gt;0,"⚠ 目安より "&amp;$CG71&amp;" 多い（定数を超える）→ 減らす",""))))))))</f>
        <v/>
      </c>
      <c r="CJ71">
        <f>IF($C71="","",IF(AND($S71="",$T71=""),"",IF($S71="","⚠ 2便目：入庫日を ▼ から選んでください",IF(NOT(ISNUMBER($S71)),"⚠ 2便目：入庫日は ▼ から選んでください",IF($S71&lt;N('設定'!$C$6),"⚠ 2便目：入庫日が過去です（もう在庫に入っています）→ 消してください",IF($S71&gt;N('設定'!$C$6)+13,"⚠ 2便目：入庫日が14日より先です",IF(N($T71)&lt;=0,"⚠ 2便目：入庫数を入れてください",IF($CH71&gt;0,"⚠ 2便目：定数を "&amp;$CH71&amp;" ケース超える → 減らす",""))))))))</f>
        <v/>
      </c>
      <c r="CK71">
        <f>IF(AND($CI71="",N($Q71)&gt;0,ISNUMBER($P71)),1,0)</f>
        <v/>
      </c>
      <c r="CL71">
        <f>IF(AND($CJ71="",N($T71)&gt;0,ISNUMBER($S71)),1,0)</f>
        <v/>
      </c>
      <c r="CM71">
        <f>IF(OR($CK71=1,$CL71=1),1,0)</f>
        <v/>
      </c>
      <c r="CN71">
        <f>IF($C71="",0,($CK71*$R71+$CL71*$U71)*N($H71))</f>
        <v/>
      </c>
      <c r="CO71">
        <f>IF($C71="","",IF($CC71="","入庫後は 14日以上もつ",IF($CC71-N('設定'!$C$7)&lt;='設定'!$C$6,"入庫後も "&amp;TEXT($CC71,"m/d")&amp;"("&amp;CHOOSE(WEEKDAY($CC71),"日","月","火","水","木","金","土")&amp;")"&amp;" に切れる　もう1便を至急発注","入庫後も "&amp;TEXT($CC71,"m/d")&amp;"("&amp;CHOOSE(WEEKDAY($CC71),"日","月","火","水","木","金","土")&amp;")"&amp;" に切れる　"&amp;TEXT($CC71-N('設定'!$C$7),"m/d")&amp;"("&amp;CHOOSE(WEEKDAY($CC71-N('設定'!$C$7)),"日","月","火","水","木","金","土")&amp;")"&amp;" までに次を発注")))</f>
        <v/>
      </c>
      <c r="CP71">
        <f>IF($C71="","",IF('設定'!$C$6="","？ ①在庫を貼る に今日のCSVが貼られていない",IF($CS71=1,"－ 今日のCSVに無い（終売？）",IF($L71&lt;0,"● 在庫がマイナス　数えて「数えた在庫」に入れる",IF($L71=0,"● 在庫なし　至急発注",IF($M71="","？ 減り数が未設定（商品マスタ）",IF($B$3=0,"？ 動員が未入力（動員を入れる）",IF($CA71="","○ 14日以上もつ",IF($BZ71&lt;N('設定'!$C$7),"● "&amp;TEXT($CA71,"m/d")&amp;"("&amp;CHOOSE(WEEKDAY($CA71),"日","月","火","水","木","金","土")&amp;")"&amp;" に切れる　至急発注",IF($BZ71=N('設定'!$C$7),"● "&amp;TEXT($CA71,"m/d")&amp;"("&amp;CHOOSE(WEEKDAY($CA71),"日","月","火","水","木","金","土")&amp;")"&amp;" に切れる　今日発注","△ "&amp;TEXT($CA71,"m/d")&amp;"("&amp;CHOOSE(WEEKDAY($CA71),"日","月","火","水","木","金","土")&amp;")"&amp;" に切れる　"&amp;TEXT($CA71-N('設定'!$C$7),"m/d")&amp;"("&amp;CHOOSE(WEEKDAY($CA71-N('設定'!$C$7)),"日","月","火","水","木","金","土")&amp;")"&amp;" までに発注"))))))))))</f>
        <v/>
      </c>
      <c r="CQ71">
        <f>IF($C71="","",IF(AND($P71="",$Q71="",$S71="",$T71=""),"",IF(AND($P71="",$Q71=""),"⚠ 先に1便目（左の入庫日・入庫数）に入れてください",IF($CI71&lt;&gt;"",$CI71,IF($CJ71&lt;&gt;"",$CJ71,IF($M71="","？ 減り数が未設定（発注書には載ります）",IF($B$3=0,"？ 動員が未入力（発注書には載ります）",IF(AND($CA71&lt;&gt;"",$P71&gt;$CA71),IF($P71&gt;'設定'!$C$6+N('設定'!$C$7),"● "&amp;TEXT($P71,"m/d")&amp;"("&amp;CHOOSE(WEEKDAY($P71),"日","月","火","水","木","金","土")&amp;")"&amp;" の入庫では間に合わない（"&amp;TEXT($CA71,"m/d")&amp;"("&amp;CHOOSE(WEEKDAY($CA71),"日","月","火","水","木","金","土")&amp;")"&amp;" に切れる）　入庫日を早める","△ 欠品 "&amp;TEXT($CA71,"m/d")&amp;"("&amp;CHOOSE(WEEKDAY($CA71),"日","月","火","水","木","金","土")&amp;")"&amp;"〜"&amp;TEXT($P71-1,"m/d")&amp;"("&amp;CHOOSE(WEEKDAY($P71-1),"日","月","火","水","木","金","土")&amp;")"&amp;"　"&amp;$CO71),IF($CC71="","○ "&amp;TEXT($P71,"m/d")&amp;"("&amp;CHOOSE(WEEKDAY($P71),"日","月","火","水","木","金","土")&amp;")"&amp;" 入庫で 14日以上もつ",IF($CC71-N('設定'!$C$7)&lt;='設定'!$C$6,"● 入庫しても "&amp;TEXT($CC71,"m/d")&amp;"("&amp;CHOOSE(WEEKDAY($CC71),"日","月","火","水","木","金","土")&amp;")"&amp;" に切れる　もう1便を至急発注（2便目に入れる）","△ 入庫しても "&amp;TEXT($CC71,"m/d")&amp;"("&amp;CHOOSE(WEEKDAY($CC71),"日","月","火","水","木","金","土")&amp;")"&amp;" に切れる　"&amp;TEXT($CC71-N('設定'!$C$7),"m/d")&amp;"("&amp;CHOOSE(WEEKDAY($CC71-N('設定'!$C$7)),"日","月","火","水","木","金","土")&amp;")"&amp;" までに次を発注（2便目に入れる）"))))))))))</f>
        <v/>
      </c>
      <c r="CR71">
        <f>IF($C71="","",IF($G71&gt;1,"ｹｰｽ("&amp;$G71&amp;"入)","個"))</f>
        <v/>
      </c>
      <c r="CS71">
        <f>IF($C71="",0,IF(COUNTIFS('①在庫を貼る'!$V$6:$V$10005,'設定'!$C$4,'①在庫を貼る'!$W$6:$W$10005,$C71)=0,1,0))</f>
        <v/>
      </c>
      <c r="CT71">
        <f>IF(AND($CK71=1,OR('③発注書'!$C$4="すべて",'③発注書'!$C$4="",$F71='③発注書'!$C$4)),N($CT70)+1,N($CT70))</f>
        <v/>
      </c>
      <c r="CU71">
        <f>IF(AND($CL71=1,OR('③発注書'!$C$4="すべて",'③発注書'!$C$4="",$F71='③発注書'!$C$4)),N($CU70)+1,N($CU70))</f>
        <v/>
      </c>
      <c r="CV71">
        <f>IF($C71="",0,IF(COUNTIFS('①在庫を貼る'!$V$6:$V$10005,'設定'!$C$4,'①在庫を貼る'!$W$6:$W$10005,$C71)&gt;0,1,0))</f>
        <v/>
      </c>
      <c r="CW71">
        <f>IF($C71="",0,IF(COUNTIFS('月1回_1ヶ月前の在庫'!$V$6:$V$10005,'設定'!$C$4,'月1回_1ヶ月前の在庫'!$W$6:$W$10005,$C71)&gt;0,1,0))</f>
        <v/>
      </c>
      <c r="CX71">
        <f>IF($C71="",0,IF(COUNTIFS('月1回_2ヶ月前の在庫'!$V$6:$V$10005,'設定'!$C$4,'月1回_2ヶ月前の在庫'!$W$6:$W$10005,$C71)&gt;0,1,0))</f>
        <v/>
      </c>
      <c r="CY71">
        <f>IF(OR($C71="",'設定'!$C$12=""),"",IF('設定'!$C$13="",IF(AND($CV71=1,$CW71=0),"新商品（今月から）",IF(AND($CV71=0,$CW71=1),"終売（今月から）","")),IF(AND($CV71=1,$CW71=0,$CX71=0),"新商品（今月から）",IF(AND($CV71=1,$CW71=1,$CX71=0),"新商品（先月から）",IF(AND($CV71=0,$CW71=1,$CX71=1),"終売（今月から）",IF(AND($CV71=0,$CW71=0,$CX71=1),"終売（先月から）",IF(AND($CV71=1,$CW71=0,$CX71=1),"復活（先月は無し）","")))))))</f>
        <v/>
      </c>
    </row>
    <row r="72">
      <c r="B72">
        <f>IF(67&lt;='設定'!$C$11,67,"")</f>
        <v/>
      </c>
      <c r="C72">
        <f>IF($B72="","",IF($B72&lt;='設定'!$C$20,INDEX('商品マスタ'!$B$6:$B$1005,MATCH($B72,'商品マスタ'!$M$6:$M$1005,0)),IF($B72&lt;='設定'!$C$20+'設定'!$C$17,INDEX('①在庫を貼る'!$W$6:$W$10005,MATCH($B72-'設定'!$C$20,'①在庫を貼る'!$U$6:$U$10005,0)),IF($B72&lt;='設定'!$C$20+'設定'!$C$17+'設定'!$C$18,INDEX('月1回_1ヶ月前の在庫'!$W$6:$W$10005,MATCH($B72-'設定'!$C$20-'設定'!$C$17,'月1回_1ヶ月前の在庫'!$U$6:$U$10005,0)),INDEX('月1回_2ヶ月前の在庫'!$W$6:$W$10005,MATCH($B72-'設定'!$C$20-'設定'!$C$17-'設定'!$C$18,'月1回_2ヶ月前の在庫'!$U$6:$U$10005,0))))))</f>
        <v/>
      </c>
      <c r="D72">
        <f>IF($C72="","",IFERROR(IF(INDEX('商品マスタ'!$C$6:$C$1005,MATCH($C72,'商品マスタ'!$B$6:$B$1005,0))="",IFERROR(INDEX('①在庫を貼る'!$J$6:$J$10005,MATCH($C72,'①在庫を貼る'!$W$6:$W$10005,0)),IFERROR(INDEX('月1回_1ヶ月前の在庫'!$J$6:$J$10005,MATCH($C72,'月1回_1ヶ月前の在庫'!$W$6:$W$10005,0)),IFERROR(INDEX('月1回_2ヶ月前の在庫'!$J$6:$J$10005,MATCH($C72,'月1回_2ヶ月前の在庫'!$W$6:$W$10005,0)),""))),INDEX('商品マスタ'!$C$6:$C$1005,MATCH($C72,'商品マスタ'!$B$6:$B$1005,0))),IFERROR(INDEX('①在庫を貼る'!$J$6:$J$10005,MATCH($C72,'①在庫を貼る'!$W$6:$W$10005,0)),IFERROR(INDEX('月1回_1ヶ月前の在庫'!$J$6:$J$10005,MATCH($C72,'月1回_1ヶ月前の在庫'!$W$6:$W$10005,0)),IFERROR(INDEX('月1回_2ヶ月前の在庫'!$J$6:$J$10005,MATCH($C72,'月1回_2ヶ月前の在庫'!$W$6:$W$10005,0)),"")))))</f>
        <v/>
      </c>
      <c r="E72">
        <f>IF($C72="","",IFERROR(IF(INDEX('商品マスタ'!$D$6:$D$1005,MATCH($C72,'商品マスタ'!$B$6:$B$1005,0))="",IFERROR(INDEX('①在庫を貼る'!$H$6:$H$10005,MATCH($C72,'①在庫を貼る'!$W$6:$W$10005,0)),IFERROR(INDEX('月1回_1ヶ月前の在庫'!$H$6:$H$10005,MATCH($C72,'月1回_1ヶ月前の在庫'!$W$6:$W$10005,0)),IFERROR(INDEX('月1回_2ヶ月前の在庫'!$H$6:$H$10005,MATCH($C72,'月1回_2ヶ月前の在庫'!$W$6:$W$10005,0)),""))),INDEX('商品マスタ'!$D$6:$D$1005,MATCH($C72,'商品マスタ'!$B$6:$B$1005,0))),IFERROR(INDEX('①在庫を貼る'!$H$6:$H$10005,MATCH($C72,'①在庫を貼る'!$W$6:$W$10005,0)),IFERROR(INDEX('月1回_1ヶ月前の在庫'!$H$6:$H$10005,MATCH($C72,'月1回_1ヶ月前の在庫'!$W$6:$W$10005,0)),IFERROR(INDEX('月1回_2ヶ月前の在庫'!$H$6:$H$10005,MATCH($C72,'月1回_2ヶ月前の在庫'!$W$6:$W$10005,0)),"")))))</f>
        <v/>
      </c>
      <c r="F72">
        <f>IF($C72="","",IFERROR(IF(INDEX('商品マスタ'!$E$6:$E$1005,MATCH($C72,'商品マスタ'!$B$6:$B$1005,0))="",IFERROR(INDEX('①在庫を貼る'!$E$6:$E$10005,MATCH($C72,'①在庫を貼る'!$W$6:$W$10005,0)),IFERROR(INDEX('月1回_1ヶ月前の在庫'!$E$6:$E$10005,MATCH($C72,'月1回_1ヶ月前の在庫'!$W$6:$W$10005,0)),IFERROR(INDEX('月1回_2ヶ月前の在庫'!$E$6:$E$10005,MATCH($C72,'月1回_2ヶ月前の在庫'!$W$6:$W$10005,0)),""))),INDEX('商品マスタ'!$E$6:$E$1005,MATCH($C72,'商品マスタ'!$B$6:$B$1005,0))),IFERROR(INDEX('①在庫を貼る'!$E$6:$E$10005,MATCH($C72,'①在庫を貼る'!$W$6:$W$10005,0)),IFERROR(INDEX('月1回_1ヶ月前の在庫'!$E$6:$E$10005,MATCH($C72,'月1回_1ヶ月前の在庫'!$W$6:$W$10005,0)),IFERROR(INDEX('月1回_2ヶ月前の在庫'!$E$6:$E$10005,MATCH($C72,'月1回_2ヶ月前の在庫'!$W$6:$W$10005,0)),"")))))</f>
        <v/>
      </c>
      <c r="G72">
        <f>IF($C72="","",MAX(1,N(IFERROR(IF(INDEX('商品マスタ'!$F$6:$F$1005,MATCH($C72,'商品マスタ'!$B$6:$B$1005,0))="",IF(COUNTIFS('①在庫を貼る'!$V$6:$V$10005,'設定'!$C$4,'①在庫を貼る'!$W$6:$W$10005,$C72)&gt;0,SUMIFS('①在庫を貼る'!$K$6:$K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K$6:$K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K$6:$K$10005,'月1回_2ヶ月前の在庫'!$V$6:$V$10005,'設定'!$C$4,'月1回_2ヶ月前の在庫'!$W$6:$W$10005,$C72)/COUNTIFS('月1回_2ヶ月前の在庫'!$V$6:$V$10005,'設定'!$C$4,'月1回_2ヶ月前の在庫'!$W$6:$W$10005,$C72),0))),INDEX('商品マスタ'!$F$6:$F$1005,MATCH($C72,'商品マスタ'!$B$6:$B$1005,0))),IF(COUNTIFS('①在庫を貼る'!$V$6:$V$10005,'設定'!$C$4,'①在庫を貼る'!$W$6:$W$10005,$C72)&gt;0,SUMIFS('①在庫を貼る'!$K$6:$K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K$6:$K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K$6:$K$10005,'月1回_2ヶ月前の在庫'!$V$6:$V$10005,'設定'!$C$4,'月1回_2ヶ月前の在庫'!$W$6:$W$10005,$C72)/COUNTIFS('月1回_2ヶ月前の在庫'!$V$6:$V$10005,'設定'!$C$4,'月1回_2ヶ月前の在庫'!$W$6:$W$10005,$C72),0)))))))</f>
        <v/>
      </c>
      <c r="H72">
        <f>IF($C72="","",N(IFERROR(IF(INDEX('商品マスタ'!$G$6:$G$1005,MATCH($C72,'商品マスタ'!$B$6:$B$1005,0))="",IF(COUNTIFS('①在庫を貼る'!$V$6:$V$10005,'設定'!$C$4,'①在庫を貼る'!$W$6:$W$10005,$C72)&gt;0,SUMIFS('①在庫を貼る'!$Q$6:$Q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Q$6:$Q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Q$6:$Q$10005,'月1回_2ヶ月前の在庫'!$V$6:$V$10005,'設定'!$C$4,'月1回_2ヶ月前の在庫'!$W$6:$W$10005,$C72)/COUNTIFS('月1回_2ヶ月前の在庫'!$V$6:$V$10005,'設定'!$C$4,'月1回_2ヶ月前の在庫'!$W$6:$W$10005,$C72),0))),INDEX('商品マスタ'!$G$6:$G$1005,MATCH($C72,'商品マスタ'!$B$6:$B$1005,0))),IF(COUNTIFS('①在庫を貼る'!$V$6:$V$10005,'設定'!$C$4,'①在庫を貼る'!$W$6:$W$10005,$C72)&gt;0,SUMIFS('①在庫を貼る'!$Q$6:$Q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Q$6:$Q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Q$6:$Q$10005,'月1回_2ヶ月前の在庫'!$V$6:$V$10005,'設定'!$C$4,'月1回_2ヶ月前の在庫'!$W$6:$W$10005,$C72)/COUNTIFS('月1回_2ヶ月前の在庫'!$V$6:$V$10005,'設定'!$C$4,'月1回_2ヶ月前の在庫'!$W$6:$W$10005,$C72),0))))))</f>
        <v/>
      </c>
      <c r="I72">
        <f>IF($C72="","",IF(COUNTIFS('①在庫を貼る'!$V$6:$V$10005,'設定'!$C$4,'①在庫を貼る'!$W$6:$W$10005,$C72)=0,"",SUMIFS('①在庫を貼る'!$N$6:$N$10005,'①在庫を貼る'!$V$6:$V$10005,'設定'!$C$4,'①在庫を貼る'!$W$6:$W$10005,$C72)))</f>
        <v/>
      </c>
      <c r="J72">
        <f>IF($C72="","",IF('②発注する'!$AD76="","",'②発注する'!$AD76))</f>
        <v/>
      </c>
      <c r="K72" s="90">
        <f>IF($C72="","",IF('②発注する'!$AE76="","",'②発注する'!$AE76))</f>
        <v/>
      </c>
      <c r="L72">
        <f>IF($C72="","",IF(AND(ISNUMBER($J72),ISNUMBER($K72),$K72&gt;='設定'!$C$6),$J72,N($I72)))</f>
        <v/>
      </c>
      <c r="M72">
        <f>IF($C72="","",IFERROR(IF(N(INDEX('商品マスタ'!$J$6:$J$1005,MATCH($C72,'商品マスタ'!$B$6:$B$1005,0)))&gt;0,INDEX('商品マスタ'!$J$6:$J$1005,MATCH($C72,'商品マスタ'!$B$6:$B$1005,0)),""),""))</f>
        <v/>
      </c>
      <c r="N72">
        <f>IF($C72="","",IFERROR(IF(N(INDEX('商品マスタ'!$H$6:$H$1005,MATCH($C72,'商品マスタ'!$B$6:$B$1005,0)))&gt;0,INDEX('商品マスタ'!$H$6:$H$1005,MATCH($C72,'商品マスタ'!$B$6:$B$1005,0)),""),""))</f>
        <v/>
      </c>
      <c r="O72">
        <f>IF($C72="","",IF($N72&lt;&gt;"",$N72*$G72,IF(N(IF(COUNTIFS('①在庫を貼る'!$V$6:$V$10005,'設定'!$C$4,'①在庫を貼る'!$W$6:$W$10005,$C72)&gt;0,SUMIFS('①在庫を貼る'!$O$6:$O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O$6:$O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O$6:$O$10005,'月1回_2ヶ月前の在庫'!$V$6:$V$10005,'設定'!$C$4,'月1回_2ヶ月前の在庫'!$W$6:$W$10005,$C72)/COUNTIFS('月1回_2ヶ月前の在庫'!$V$6:$V$10005,'設定'!$C$4,'月1回_2ヶ月前の在庫'!$W$6:$W$10005,$C72),0))))&gt;0,N(IF(COUNTIFS('①在庫を貼る'!$V$6:$V$10005,'設定'!$C$4,'①在庫を貼る'!$W$6:$W$10005,$C72)&gt;0,SUMIFS('①在庫を貼る'!$O$6:$O$10005,'①在庫を貼る'!$V$6:$V$10005,'設定'!$C$4,'①在庫を貼る'!$W$6:$W$10005,$C72)/COUNTIFS('①在庫を貼る'!$V$6:$V$10005,'設定'!$C$4,'①在庫を貼る'!$W$6:$W$10005,$C72),IF(COUNTIFS('月1回_1ヶ月前の在庫'!$V$6:$V$10005,'設定'!$C$4,'月1回_1ヶ月前の在庫'!$W$6:$W$10005,$C72)&gt;0,SUMIFS('月1回_1ヶ月前の在庫'!$O$6:$O$10005,'月1回_1ヶ月前の在庫'!$V$6:$V$10005,'設定'!$C$4,'月1回_1ヶ月前の在庫'!$W$6:$W$10005,$C72)/COUNTIFS('月1回_1ヶ月前の在庫'!$V$6:$V$10005,'設定'!$C$4,'月1回_1ヶ月前の在庫'!$W$6:$W$10005,$C72),IF(COUNTIFS('月1回_2ヶ月前の在庫'!$V$6:$V$10005,'設定'!$C$4,'月1回_2ヶ月前の在庫'!$W$6:$W$10005,$C72)&gt;0,SUMIFS('月1回_2ヶ月前の在庫'!$O$6:$O$10005,'月1回_2ヶ月前の在庫'!$V$6:$V$10005,'設定'!$C$4,'月1回_2ヶ月前の在庫'!$W$6:$W$10005,$C72)/COUNTIFS('月1回_2ヶ月前の在庫'!$V$6:$V$10005,'設定'!$C$4,'月1回_2ヶ月前の在庫'!$W$6:$W$10005,$C72),0)))),"")))</f>
        <v/>
      </c>
      <c r="P72" s="90">
        <f>IF($C72="","",IF('②発注する'!$I76="","",'②発注する'!$I76))</f>
        <v/>
      </c>
      <c r="Q72">
        <f>IF($C72="","",IF('②発注する'!$J76="","",'②発注する'!$J76))</f>
        <v/>
      </c>
      <c r="R72">
        <f>IF($C72="",0,IF(AND(ISNUMBER($P72),ISNUMBER($Q72)),MAX(0,$Q72)*$G72,0))</f>
        <v/>
      </c>
      <c r="S72" s="90">
        <f>IF($C72="","",IF('②発注する'!$M76="","",'②発注する'!$M76))</f>
        <v/>
      </c>
      <c r="T72">
        <f>IF($C72="","",IF('②発注する'!$N76="","",'②発注する'!$N76))</f>
        <v/>
      </c>
      <c r="U72">
        <f>IF($C72="",0,IF(AND(ISNUMBER($S72),ISNUMBER($T72)),MAX(0,$T72)*$G72,0))</f>
        <v/>
      </c>
      <c r="V72">
        <f>IF($C72="",0,IF($M72="",0,MAX(0,$M72)*MAX(0,V$4)/100))</f>
        <v/>
      </c>
      <c r="W72">
        <f>IF($C72="",0,IF($M72="",0,MAX(0,$M72)*MAX(0,W$4)/100))</f>
        <v/>
      </c>
      <c r="X72">
        <f>IF($C72="",0,IF($M72="",0,MAX(0,$M72)*MAX(0,X$4)/100))</f>
        <v/>
      </c>
      <c r="Y72">
        <f>IF($C72="",0,IF($M72="",0,MAX(0,$M72)*MAX(0,Y$4)/100))</f>
        <v/>
      </c>
      <c r="Z72">
        <f>IF($C72="",0,IF($M72="",0,MAX(0,$M72)*MAX(0,Z$4)/100))</f>
        <v/>
      </c>
      <c r="AA72">
        <f>IF($C72="",0,IF($M72="",0,MAX(0,$M72)*MAX(0,AA$4)/100))</f>
        <v/>
      </c>
      <c r="AB72">
        <f>IF($C72="",0,IF($M72="",0,MAX(0,$M72)*MAX(0,AB$4)/100))</f>
        <v/>
      </c>
      <c r="AC72">
        <f>IF($C72="",0,IF($M72="",0,MAX(0,$M72)*MAX(0,AC$4)/100))</f>
        <v/>
      </c>
      <c r="AD72">
        <f>IF($C72="",0,IF($M72="",0,MAX(0,$M72)*MAX(0,AD$4)/100))</f>
        <v/>
      </c>
      <c r="AE72">
        <f>IF($C72="",0,IF($M72="",0,MAX(0,$M72)*MAX(0,AE$4)/100))</f>
        <v/>
      </c>
      <c r="AF72">
        <f>IF($C72="",0,IF($M72="",0,MAX(0,$M72)*MAX(0,AF$4)/100))</f>
        <v/>
      </c>
      <c r="AG72">
        <f>IF($C72="",0,IF($M72="",0,MAX(0,$M72)*MAX(0,AG$4)/100))</f>
        <v/>
      </c>
      <c r="AH72">
        <f>IF($C72="",0,IF($M72="",0,MAX(0,$M72)*MAX(0,AH$4)/100))</f>
        <v/>
      </c>
      <c r="AI72">
        <f>IF($C72="",0,IF($M72="",0,MAX(0,$M72)*MAX(0,AI$4)/100))</f>
        <v/>
      </c>
      <c r="AJ72">
        <f>IF($C72="",0,MAX(0,MAX(0,N($L72))-$V72))</f>
        <v/>
      </c>
      <c r="AK72">
        <f>IF($C72="",0,MAX(0,$AJ72-$W72))</f>
        <v/>
      </c>
      <c r="AL72">
        <f>IF($C72="",0,MAX(0,$AK72-$X72))</f>
        <v/>
      </c>
      <c r="AM72">
        <f>IF($C72="",0,MAX(0,$AL72-$Y72))</f>
        <v/>
      </c>
      <c r="AN72">
        <f>IF($C72="",0,MAX(0,$AM72-$Z72))</f>
        <v/>
      </c>
      <c r="AO72">
        <f>IF($C72="",0,MAX(0,$AN72-$AA72))</f>
        <v/>
      </c>
      <c r="AP72">
        <f>IF($C72="",0,MAX(0,$AO72-$AB72))</f>
        <v/>
      </c>
      <c r="AQ72">
        <f>IF($C72="",0,MAX(0,$AP72-$AC72))</f>
        <v/>
      </c>
      <c r="AR72">
        <f>IF($C72="",0,MAX(0,$AQ72-$AD72))</f>
        <v/>
      </c>
      <c r="AS72">
        <f>IF($C72="",0,MAX(0,$AR72-$AE72))</f>
        <v/>
      </c>
      <c r="AT72">
        <f>IF($C72="",0,MAX(0,$AS72-$AF72))</f>
        <v/>
      </c>
      <c r="AU72">
        <f>IF($C72="",0,MAX(0,$AT72-$AG72))</f>
        <v/>
      </c>
      <c r="AV72">
        <f>IF($C72="",0,MAX(0,$AU72-$AH72))</f>
        <v/>
      </c>
      <c r="AW72">
        <f>IF($C72="",0,MAX(0,$AV72-$AI72))</f>
        <v/>
      </c>
      <c r="AX72">
        <f>IF($C72="",0,MAX(0,MAX(0,N($L72))+IF($P72=V$3,$R72,0)+IF($S72=V$3,$U72,0)-$V72))</f>
        <v/>
      </c>
      <c r="AY72">
        <f>IF($C72="",0,MAX(0,$AX72+IF($P72=W$3,$R72,0)+IF($S72=W$3,$U72,0)-$W72))</f>
        <v/>
      </c>
      <c r="AZ72">
        <f>IF($C72="",0,MAX(0,$AY72+IF($P72=X$3,$R72,0)+IF($S72=X$3,$U72,0)-$X72))</f>
        <v/>
      </c>
      <c r="BA72">
        <f>IF($C72="",0,MAX(0,$AZ72+IF($P72=Y$3,$R72,0)+IF($S72=Y$3,$U72,0)-$Y72))</f>
        <v/>
      </c>
      <c r="BB72">
        <f>IF($C72="",0,MAX(0,$BA72+IF($P72=Z$3,$R72,0)+IF($S72=Z$3,$U72,0)-$Z72))</f>
        <v/>
      </c>
      <c r="BC72">
        <f>IF($C72="",0,MAX(0,$BB72+IF($P72=AA$3,$R72,0)+IF($S72=AA$3,$U72,0)-$AA72))</f>
        <v/>
      </c>
      <c r="BD72">
        <f>IF($C72="",0,MAX(0,$BC72+IF($P72=AB$3,$R72,0)+IF($S72=AB$3,$U72,0)-$AB72))</f>
        <v/>
      </c>
      <c r="BE72">
        <f>IF($C72="",0,MAX(0,$BD72+IF($P72=AC$3,$R72,0)+IF($S72=AC$3,$U72,0)-$AC72))</f>
        <v/>
      </c>
      <c r="BF72">
        <f>IF($C72="",0,MAX(0,$BE72+IF($P72=AD$3,$R72,0)+IF($S72=AD$3,$U72,0)-$AD72))</f>
        <v/>
      </c>
      <c r="BG72">
        <f>IF($C72="",0,MAX(0,$BF72+IF($P72=AE$3,$R72,0)+IF($S72=AE$3,$U72,0)-$AE72))</f>
        <v/>
      </c>
      <c r="BH72">
        <f>IF($C72="",0,MAX(0,$BG72+IF($P72=AF$3,$R72,0)+IF($S72=AF$3,$U72,0)-$AF72))</f>
        <v/>
      </c>
      <c r="BI72">
        <f>IF($C72="",0,MAX(0,$BH72+IF($P72=AG$3,$R72,0)+IF($S72=AG$3,$U72,0)-$AG72))</f>
        <v/>
      </c>
      <c r="BJ72">
        <f>IF($C72="",0,MAX(0,$BI72+IF($P72=AH$3,$R72,0)+IF($S72=AH$3,$U72,0)-$AH72))</f>
        <v/>
      </c>
      <c r="BK72">
        <f>IF($C72="",0,MAX(0,$BJ72+IF($P72=AI$3,$R72,0)+IF($S72=AI$3,$U72,0)-$AI72))</f>
        <v/>
      </c>
      <c r="BL72">
        <f>IF($C72="",99,IF(AND($AX72&lt;1,V$3&gt;=MAX(N($P72),N($S72))),0,99))</f>
        <v/>
      </c>
      <c r="BM72">
        <f>IF($C72="",99,IF(AND($AY72&lt;1,W$3&gt;=MAX(N($P72),N($S72))),1,99))</f>
        <v/>
      </c>
      <c r="BN72">
        <f>IF($C72="",99,IF(AND($AZ72&lt;1,X$3&gt;=MAX(N($P72),N($S72))),2,99))</f>
        <v/>
      </c>
      <c r="BO72">
        <f>IF($C72="",99,IF(AND($BA72&lt;1,Y$3&gt;=MAX(N($P72),N($S72))),3,99))</f>
        <v/>
      </c>
      <c r="BP72">
        <f>IF($C72="",99,IF(AND($BB72&lt;1,Z$3&gt;=MAX(N($P72),N($S72))),4,99))</f>
        <v/>
      </c>
      <c r="BQ72">
        <f>IF($C72="",99,IF(AND($BC72&lt;1,AA$3&gt;=MAX(N($P72),N($S72))),5,99))</f>
        <v/>
      </c>
      <c r="BR72">
        <f>IF($C72="",99,IF(AND($BD72&lt;1,AB$3&gt;=MAX(N($P72),N($S72))),6,99))</f>
        <v/>
      </c>
      <c r="BS72">
        <f>IF($C72="",99,IF(AND($BE72&lt;1,AC$3&gt;=MAX(N($P72),N($S72))),7,99))</f>
        <v/>
      </c>
      <c r="BT72">
        <f>IF($C72="",99,IF(AND($BF72&lt;1,AD$3&gt;=MAX(N($P72),N($S72))),8,99))</f>
        <v/>
      </c>
      <c r="BU72">
        <f>IF($C72="",99,IF(AND($BG72&lt;1,AE$3&gt;=MAX(N($P72),N($S72))),9,99))</f>
        <v/>
      </c>
      <c r="BV72">
        <f>IF($C72="",99,IF(AND($BH72&lt;1,AF$3&gt;=MAX(N($P72),N($S72))),10,99))</f>
        <v/>
      </c>
      <c r="BW72">
        <f>IF($C72="",99,IF(AND($BI72&lt;1,AG$3&gt;=MAX(N($P72),N($S72))),11,99))</f>
        <v/>
      </c>
      <c r="BX72">
        <f>IF($C72="",99,IF(AND($BJ72&lt;1,AH$3&gt;=MAX(N($P72),N($S72))),12,99))</f>
        <v/>
      </c>
      <c r="BY72">
        <f>IF($C72="",99,IF(AND($BK72&lt;1,AI$3&gt;=MAX(N($P72),N($S72))),13,99))</f>
        <v/>
      </c>
      <c r="BZ72">
        <f>IF(OR($C72="",$M72=""),"",COUNTIF($AJ72:$AW72,"&gt;=1"))</f>
        <v/>
      </c>
      <c r="CA72" s="90">
        <f>IF($BZ72="","",IF($BZ72&gt;=14,"",'設定'!$C$6+$BZ72))</f>
        <v/>
      </c>
      <c r="CB72">
        <f>IF(OR($C72="",$M72=""),"",MIN($BL72:$BY72))</f>
        <v/>
      </c>
      <c r="CC72" s="90">
        <f>IF($CB72="","",IF($CB72&gt;=99,"",'設定'!$C$6+$CB72))</f>
        <v/>
      </c>
      <c r="CD72">
        <f>IF(OR($C72="",$M72=""),"",AVERAGE($V72:$AI72))</f>
        <v/>
      </c>
      <c r="CE72">
        <f>IF($C72="","",IFERROR(IF(MATCH(IF(ISNUMBER($P72),$P72,'設定'!$C$6+N('設定'!$C$7)),$V$3:$AI$3,0)=1,MAX(0,N($L72)),INDEX($AJ72:$AW72,MATCH(IF(ISNUMBER($P72),$P72,'設定'!$C$6+N('設定'!$C$7)),$V$3:$AI$3,0)-1)),""))</f>
        <v/>
      </c>
      <c r="CF72">
        <f>IF(OR($C72="",$O72="",$CE72=""),"",IF($O72-$CE72&lt;=0,0,ROUNDUP(($O72-$CE72)/$G72,0)))</f>
        <v/>
      </c>
      <c r="CG72">
        <f>IF(OR($C72="",$CF72="",NOT(ISNUMBER($Q72))),0,MAX(0,$Q72-$CF72))</f>
        <v/>
      </c>
      <c r="CH72">
        <f>IF(OR($C72="",$O72="",$U72=0),0,IFERROR(ROUNDUP(MAX(0,IF(MATCH($S72,$V$3:$AI$3,0)=1,MAX(0,N($L72)),INDEX($AX72:$BK72,MATCH($S72,$V$3:$AI$3,0)-1))+$U72-$O72)/$G72,0),0))</f>
        <v/>
      </c>
      <c r="CI72">
        <f>IF($C72="","",IF(AND($P72="",$Q72=""),"",IF($P72="","⚠ 入庫日を ▼ から選んでください",IF(NOT(ISNUMBER($P72)),"⚠ 入庫日は ▼ から選んでください",IF($P72&lt;N('設定'!$C$6),"⚠ 入庫日が過去です（もう在庫に入っています）→ 消してください",IF($P72&gt;N('設定'!$C$6)+13,"⚠ 入庫日が14日より先です",IF(N($Q72)&lt;=0,"⚠ 入庫数を入れてください",IF($CG72&gt;0,"⚠ 目安より "&amp;$CG72&amp;" 多い（定数を超える）→ 減らす",""))))))))</f>
        <v/>
      </c>
      <c r="CJ72">
        <f>IF($C72="","",IF(AND($S72="",$T72=""),"",IF($S72="","⚠ 2便目：入庫日を ▼ から選んでください",IF(NOT(ISNUMBER($S72)),"⚠ 2便目：入庫日は ▼ から選んでください",IF($S72&lt;N('設定'!$C$6),"⚠ 2便目：入庫日が過去です（もう在庫に入っています）→ 消してください",IF($S72&gt;N('設定'!$C$6)+13,"⚠ 2便目：入庫日が14日より先です",IF(N($T72)&lt;=0,"⚠ 2便目：入庫数を入れてください",IF($CH72&gt;0,"⚠ 2便目：定数を "&amp;$CH72&amp;" ケース超える → 減らす",""))))))))</f>
        <v/>
      </c>
      <c r="CK72">
        <f>IF(AND($CI72="",N($Q72)&gt;0,ISNUMBER($P72)),1,0)</f>
        <v/>
      </c>
      <c r="CL72">
        <f>IF(AND($CJ72="",N($T72)&gt;0,ISNUMBER($S72)),1,0)</f>
        <v/>
      </c>
      <c r="CM72">
        <f>IF(OR($CK72=1,$CL72=1),1,0)</f>
        <v/>
      </c>
      <c r="CN72">
        <f>IF($C72="",0,($CK72*$R72+$CL72*$U72)*N($H72))</f>
        <v/>
      </c>
      <c r="CO72">
        <f>IF($C72="","",IF($CC72="","入庫後は 14日以上もつ",IF($CC72-N('設定'!$C$7)&lt;='設定'!$C$6,"入庫後も "&amp;TEXT($CC72,"m/d")&amp;"("&amp;CHOOSE(WEEKDAY($CC72),"日","月","火","水","木","金","土")&amp;")"&amp;" に切れる　もう1便を至急発注","入庫後も "&amp;TEXT($CC72,"m/d")&amp;"("&amp;CHOOSE(WEEKDAY($CC72),"日","月","火","水","木","金","土")&amp;")"&amp;" に切れる　"&amp;TEXT($CC72-N('設定'!$C$7),"m/d")&amp;"("&amp;CHOOSE(WEEKDAY($CC72-N('設定'!$C$7)),"日","月","火","水","木","金","土")&amp;")"&amp;" までに次を発注")))</f>
        <v/>
      </c>
      <c r="CP72">
        <f>IF($C72="","",IF('設定'!$C$6="","？ ①在庫を貼る に今日のCSVが貼られていない",IF($CS72=1,"－ 今日のCSVに無い（終売？）",IF($L72&lt;0,"● 在庫がマイナス　数えて「数えた在庫」に入れる",IF($L72=0,"● 在庫なし　至急発注",IF($M72="","？ 減り数が未設定（商品マスタ）",IF($B$3=0,"？ 動員が未入力（動員を入れる）",IF($CA72="","○ 14日以上もつ",IF($BZ72&lt;N('設定'!$C$7),"● "&amp;TEXT($CA72,"m/d")&amp;"("&amp;CHOOSE(WEEKDAY($CA72),"日","月","火","水","木","金","土")&amp;")"&amp;" に切れる　至急発注",IF($BZ72=N('設定'!$C$7),"● "&amp;TEXT($CA72,"m/d")&amp;"("&amp;CHOOSE(WEEKDAY($CA72),"日","月","火","水","木","金","土")&amp;")"&amp;" に切れる　今日発注","△ "&amp;TEXT($CA72,"m/d")&amp;"("&amp;CHOOSE(WEEKDAY($CA72),"日","月","火","水","木","金","土")&amp;")"&amp;" に切れる　"&amp;TEXT($CA72-N('設定'!$C$7),"m/d")&amp;"("&amp;CHOOSE(WEEKDAY($CA72-N('設定'!$C$7)),"日","月","火","水","木","金","土")&amp;")"&amp;" までに発注"))))))))))</f>
        <v/>
      </c>
      <c r="CQ72">
        <f>IF($C72="","",IF(AND($P72="",$Q72="",$S72="",$T72=""),"",IF(AND($P72="",$Q72=""),"⚠ 先に1便目（左の入庫日・入庫数）に入れてください",IF($CI72&lt;&gt;"",$CI72,IF($CJ72&lt;&gt;"",$CJ72,IF($M72="","？ 減り数が未設定（発注書には載ります）",IF($B$3=0,"？ 動員が未入力（発注書には載ります）",IF(AND($CA72&lt;&gt;"",$P72&gt;$CA72),IF($P72&gt;'設定'!$C$6+N('設定'!$C$7),"● "&amp;TEXT($P72,"m/d")&amp;"("&amp;CHOOSE(WEEKDAY($P72),"日","月","火","水","木","金","土")&amp;")"&amp;" の入庫では間に合わない（"&amp;TEXT($CA72,"m/d")&amp;"("&amp;CHOOSE(WEEKDAY($CA72),"日","月","火","水","木","金","土")&amp;")"&amp;" に切れる）　入庫日を早める","△ 欠品 "&amp;TEXT($CA72,"m/d")&amp;"("&amp;CHOOSE(WEEKDAY($CA72),"日","月","火","水","木","金","土")&amp;")"&amp;"〜"&amp;TEXT($P72-1,"m/d")&amp;"("&amp;CHOOSE(WEEKDAY($P72-1),"日","月","火","水","木","金","土")&amp;")"&amp;"　"&amp;$CO72),IF($CC72="","○ "&amp;TEXT($P72,"m/d")&amp;"("&amp;CHOOSE(WEEKDAY($P72),"日","月","火","水","木","金","土")&amp;")"&amp;" 入庫で 14日以上もつ",IF($CC72-N('設定'!$C$7)&lt;='設定'!$C$6,"● 入庫しても "&amp;TEXT($CC72,"m/d")&amp;"("&amp;CHOOSE(WEEKDAY($CC72),"日","月","火","水","木","金","土")&amp;")"&amp;" に切れる　もう1便を至急発注（2便目に入れる）","△ 入庫しても "&amp;TEXT($CC72,"m/d")&amp;"("&amp;CHOOSE(WEEKDAY($CC72),"日","月","火","水","木","金","土")&amp;")"&amp;" に切れる　"&amp;TEXT($CC72-N('設定'!$C$7),"m/d")&amp;"("&amp;CHOOSE(WEEKDAY($CC72-N('設定'!$C$7)),"日","月","火","水","木","金","土")&amp;")"&amp;" までに次を発注（2便目に入れる）"))))))))))</f>
        <v/>
      </c>
      <c r="CR72">
        <f>IF($C72="","",IF($G72&gt;1,"ｹｰｽ("&amp;$G72&amp;"入)","個"))</f>
        <v/>
      </c>
      <c r="CS72">
        <f>IF($C72="",0,IF(COUNTIFS('①在庫を貼る'!$V$6:$V$10005,'設定'!$C$4,'①在庫を貼る'!$W$6:$W$10005,$C72)=0,1,0))</f>
        <v/>
      </c>
      <c r="CT72">
        <f>IF(AND($CK72=1,OR('③発注書'!$C$4="すべて",'③発注書'!$C$4="",$F72='③発注書'!$C$4)),N($CT71)+1,N($CT71))</f>
        <v/>
      </c>
      <c r="CU72">
        <f>IF(AND($CL72=1,OR('③発注書'!$C$4="すべて",'③発注書'!$C$4="",$F72='③発注書'!$C$4)),N($CU71)+1,N($CU71))</f>
        <v/>
      </c>
      <c r="CV72">
        <f>IF($C72="",0,IF(COUNTIFS('①在庫を貼る'!$V$6:$V$10005,'設定'!$C$4,'①在庫を貼る'!$W$6:$W$10005,$C72)&gt;0,1,0))</f>
        <v/>
      </c>
      <c r="CW72">
        <f>IF($C72="",0,IF(COUNTIFS('月1回_1ヶ月前の在庫'!$V$6:$V$10005,'設定'!$C$4,'月1回_1ヶ月前の在庫'!$W$6:$W$10005,$C72)&gt;0,1,0))</f>
        <v/>
      </c>
      <c r="CX72">
        <f>IF($C72="",0,IF(COUNTIFS('月1回_2ヶ月前の在庫'!$V$6:$V$10005,'設定'!$C$4,'月1回_2ヶ月前の在庫'!$W$6:$W$10005,$C72)&gt;0,1,0))</f>
        <v/>
      </c>
      <c r="CY72">
        <f>IF(OR($C72="",'設定'!$C$12=""),"",IF('設定'!$C$13="",IF(AND($CV72=1,$CW72=0),"新商品（今月から）",IF(AND($CV72=0,$CW72=1),"終売（今月から）","")),IF(AND($CV72=1,$CW72=0,$CX72=0),"新商品（今月から）",IF(AND($CV72=1,$CW72=1,$CX72=0),"新商品（先月から）",IF(AND($CV72=0,$CW72=1,$CX72=1),"終売（今月から）",IF(AND($CV72=0,$CW72=0,$CX72=1),"終売（先月から）",IF(AND($CV72=1,$CW72=0,$CX72=1),"復活（先月は無し）","")))))))</f>
        <v/>
      </c>
    </row>
    <row r="73">
      <c r="B73">
        <f>IF(68&lt;='設定'!$C$11,68,"")</f>
        <v/>
      </c>
      <c r="C73">
        <f>IF($B73="","",IF($B73&lt;='設定'!$C$20,INDEX('商品マスタ'!$B$6:$B$1005,MATCH($B73,'商品マスタ'!$M$6:$M$1005,0)),IF($B73&lt;='設定'!$C$20+'設定'!$C$17,INDEX('①在庫を貼る'!$W$6:$W$10005,MATCH($B73-'設定'!$C$20,'①在庫を貼る'!$U$6:$U$10005,0)),IF($B73&lt;='設定'!$C$20+'設定'!$C$17+'設定'!$C$18,INDEX('月1回_1ヶ月前の在庫'!$W$6:$W$10005,MATCH($B73-'設定'!$C$20-'設定'!$C$17,'月1回_1ヶ月前の在庫'!$U$6:$U$10005,0)),INDEX('月1回_2ヶ月前の在庫'!$W$6:$W$10005,MATCH($B73-'設定'!$C$20-'設定'!$C$17-'設定'!$C$18,'月1回_2ヶ月前の在庫'!$U$6:$U$10005,0))))))</f>
        <v/>
      </c>
      <c r="D73">
        <f>IF($C73="","",IFERROR(IF(INDEX('商品マスタ'!$C$6:$C$1005,MATCH($C73,'商品マスタ'!$B$6:$B$1005,0))="",IFERROR(INDEX('①在庫を貼る'!$J$6:$J$10005,MATCH($C73,'①在庫を貼る'!$W$6:$W$10005,0)),IFERROR(INDEX('月1回_1ヶ月前の在庫'!$J$6:$J$10005,MATCH($C73,'月1回_1ヶ月前の在庫'!$W$6:$W$10005,0)),IFERROR(INDEX('月1回_2ヶ月前の在庫'!$J$6:$J$10005,MATCH($C73,'月1回_2ヶ月前の在庫'!$W$6:$W$10005,0)),""))),INDEX('商品マスタ'!$C$6:$C$1005,MATCH($C73,'商品マスタ'!$B$6:$B$1005,0))),IFERROR(INDEX('①在庫を貼る'!$J$6:$J$10005,MATCH($C73,'①在庫を貼る'!$W$6:$W$10005,0)),IFERROR(INDEX('月1回_1ヶ月前の在庫'!$J$6:$J$10005,MATCH($C73,'月1回_1ヶ月前の在庫'!$W$6:$W$10005,0)),IFERROR(INDEX('月1回_2ヶ月前の在庫'!$J$6:$J$10005,MATCH($C73,'月1回_2ヶ月前の在庫'!$W$6:$W$10005,0)),"")))))</f>
        <v/>
      </c>
      <c r="E73">
        <f>IF($C73="","",IFERROR(IF(INDEX('商品マスタ'!$D$6:$D$1005,MATCH($C73,'商品マスタ'!$B$6:$B$1005,0))="",IFERROR(INDEX('①在庫を貼る'!$H$6:$H$10005,MATCH($C73,'①在庫を貼る'!$W$6:$W$10005,0)),IFERROR(INDEX('月1回_1ヶ月前の在庫'!$H$6:$H$10005,MATCH($C73,'月1回_1ヶ月前の在庫'!$W$6:$W$10005,0)),IFERROR(INDEX('月1回_2ヶ月前の在庫'!$H$6:$H$10005,MATCH($C73,'月1回_2ヶ月前の在庫'!$W$6:$W$10005,0)),""))),INDEX('商品マスタ'!$D$6:$D$1005,MATCH($C73,'商品マスタ'!$B$6:$B$1005,0))),IFERROR(INDEX('①在庫を貼る'!$H$6:$H$10005,MATCH($C73,'①在庫を貼る'!$W$6:$W$10005,0)),IFERROR(INDEX('月1回_1ヶ月前の在庫'!$H$6:$H$10005,MATCH($C73,'月1回_1ヶ月前の在庫'!$W$6:$W$10005,0)),IFERROR(INDEX('月1回_2ヶ月前の在庫'!$H$6:$H$10005,MATCH($C73,'月1回_2ヶ月前の在庫'!$W$6:$W$10005,0)),"")))))</f>
        <v/>
      </c>
      <c r="F73">
        <f>IF($C73="","",IFERROR(IF(INDEX('商品マスタ'!$E$6:$E$1005,MATCH($C73,'商品マスタ'!$B$6:$B$1005,0))="",IFERROR(INDEX('①在庫を貼る'!$E$6:$E$10005,MATCH($C73,'①在庫を貼る'!$W$6:$W$10005,0)),IFERROR(INDEX('月1回_1ヶ月前の在庫'!$E$6:$E$10005,MATCH($C73,'月1回_1ヶ月前の在庫'!$W$6:$W$10005,0)),IFERROR(INDEX('月1回_2ヶ月前の在庫'!$E$6:$E$10005,MATCH($C73,'月1回_2ヶ月前の在庫'!$W$6:$W$10005,0)),""))),INDEX('商品マスタ'!$E$6:$E$1005,MATCH($C73,'商品マスタ'!$B$6:$B$1005,0))),IFERROR(INDEX('①在庫を貼る'!$E$6:$E$10005,MATCH($C73,'①在庫を貼る'!$W$6:$W$10005,0)),IFERROR(INDEX('月1回_1ヶ月前の在庫'!$E$6:$E$10005,MATCH($C73,'月1回_1ヶ月前の在庫'!$W$6:$W$10005,0)),IFERROR(INDEX('月1回_2ヶ月前の在庫'!$E$6:$E$10005,MATCH($C73,'月1回_2ヶ月前の在庫'!$W$6:$W$10005,0)),"")))))</f>
        <v/>
      </c>
      <c r="G73">
        <f>IF($C73="","",MAX(1,N(IFERROR(IF(INDEX('商品マスタ'!$F$6:$F$1005,MATCH($C73,'商品マスタ'!$B$6:$B$1005,0))="",IF(COUNTIFS('①在庫を貼る'!$V$6:$V$10005,'設定'!$C$4,'①在庫を貼る'!$W$6:$W$10005,$C73)&gt;0,SUMIFS('①在庫を貼る'!$K$6:$K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K$6:$K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K$6:$K$10005,'月1回_2ヶ月前の在庫'!$V$6:$V$10005,'設定'!$C$4,'月1回_2ヶ月前の在庫'!$W$6:$W$10005,$C73)/COUNTIFS('月1回_2ヶ月前の在庫'!$V$6:$V$10005,'設定'!$C$4,'月1回_2ヶ月前の在庫'!$W$6:$W$10005,$C73),0))),INDEX('商品マスタ'!$F$6:$F$1005,MATCH($C73,'商品マスタ'!$B$6:$B$1005,0))),IF(COUNTIFS('①在庫を貼る'!$V$6:$V$10005,'設定'!$C$4,'①在庫を貼る'!$W$6:$W$10005,$C73)&gt;0,SUMIFS('①在庫を貼る'!$K$6:$K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K$6:$K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K$6:$K$10005,'月1回_2ヶ月前の在庫'!$V$6:$V$10005,'設定'!$C$4,'月1回_2ヶ月前の在庫'!$W$6:$W$10005,$C73)/COUNTIFS('月1回_2ヶ月前の在庫'!$V$6:$V$10005,'設定'!$C$4,'月1回_2ヶ月前の在庫'!$W$6:$W$10005,$C73),0)))))))</f>
        <v/>
      </c>
      <c r="H73">
        <f>IF($C73="","",N(IFERROR(IF(INDEX('商品マスタ'!$G$6:$G$1005,MATCH($C73,'商品マスタ'!$B$6:$B$1005,0))="",IF(COUNTIFS('①在庫を貼る'!$V$6:$V$10005,'設定'!$C$4,'①在庫を貼る'!$W$6:$W$10005,$C73)&gt;0,SUMIFS('①在庫を貼る'!$Q$6:$Q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Q$6:$Q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Q$6:$Q$10005,'月1回_2ヶ月前の在庫'!$V$6:$V$10005,'設定'!$C$4,'月1回_2ヶ月前の在庫'!$W$6:$W$10005,$C73)/COUNTIFS('月1回_2ヶ月前の在庫'!$V$6:$V$10005,'設定'!$C$4,'月1回_2ヶ月前の在庫'!$W$6:$W$10005,$C73),0))),INDEX('商品マスタ'!$G$6:$G$1005,MATCH($C73,'商品マスタ'!$B$6:$B$1005,0))),IF(COUNTIFS('①在庫を貼る'!$V$6:$V$10005,'設定'!$C$4,'①在庫を貼る'!$W$6:$W$10005,$C73)&gt;0,SUMIFS('①在庫を貼る'!$Q$6:$Q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Q$6:$Q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Q$6:$Q$10005,'月1回_2ヶ月前の在庫'!$V$6:$V$10005,'設定'!$C$4,'月1回_2ヶ月前の在庫'!$W$6:$W$10005,$C73)/COUNTIFS('月1回_2ヶ月前の在庫'!$V$6:$V$10005,'設定'!$C$4,'月1回_2ヶ月前の在庫'!$W$6:$W$10005,$C73),0))))))</f>
        <v/>
      </c>
      <c r="I73">
        <f>IF($C73="","",IF(COUNTIFS('①在庫を貼る'!$V$6:$V$10005,'設定'!$C$4,'①在庫を貼る'!$W$6:$W$10005,$C73)=0,"",SUMIFS('①在庫を貼る'!$N$6:$N$10005,'①在庫を貼る'!$V$6:$V$10005,'設定'!$C$4,'①在庫を貼る'!$W$6:$W$10005,$C73)))</f>
        <v/>
      </c>
      <c r="J73">
        <f>IF($C73="","",IF('②発注する'!$AD77="","",'②発注する'!$AD77))</f>
        <v/>
      </c>
      <c r="K73" s="90">
        <f>IF($C73="","",IF('②発注する'!$AE77="","",'②発注する'!$AE77))</f>
        <v/>
      </c>
      <c r="L73">
        <f>IF($C73="","",IF(AND(ISNUMBER($J73),ISNUMBER($K73),$K73&gt;='設定'!$C$6),$J73,N($I73)))</f>
        <v/>
      </c>
      <c r="M73">
        <f>IF($C73="","",IFERROR(IF(N(INDEX('商品マスタ'!$J$6:$J$1005,MATCH($C73,'商品マスタ'!$B$6:$B$1005,0)))&gt;0,INDEX('商品マスタ'!$J$6:$J$1005,MATCH($C73,'商品マスタ'!$B$6:$B$1005,0)),""),""))</f>
        <v/>
      </c>
      <c r="N73">
        <f>IF($C73="","",IFERROR(IF(N(INDEX('商品マスタ'!$H$6:$H$1005,MATCH($C73,'商品マスタ'!$B$6:$B$1005,0)))&gt;0,INDEX('商品マスタ'!$H$6:$H$1005,MATCH($C73,'商品マスタ'!$B$6:$B$1005,0)),""),""))</f>
        <v/>
      </c>
      <c r="O73">
        <f>IF($C73="","",IF($N73&lt;&gt;"",$N73*$G73,IF(N(IF(COUNTIFS('①在庫を貼る'!$V$6:$V$10005,'設定'!$C$4,'①在庫を貼る'!$W$6:$W$10005,$C73)&gt;0,SUMIFS('①在庫を貼る'!$O$6:$O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O$6:$O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O$6:$O$10005,'月1回_2ヶ月前の在庫'!$V$6:$V$10005,'設定'!$C$4,'月1回_2ヶ月前の在庫'!$W$6:$W$10005,$C73)/COUNTIFS('月1回_2ヶ月前の在庫'!$V$6:$V$10005,'設定'!$C$4,'月1回_2ヶ月前の在庫'!$W$6:$W$10005,$C73),0))))&gt;0,N(IF(COUNTIFS('①在庫を貼る'!$V$6:$V$10005,'設定'!$C$4,'①在庫を貼る'!$W$6:$W$10005,$C73)&gt;0,SUMIFS('①在庫を貼る'!$O$6:$O$10005,'①在庫を貼る'!$V$6:$V$10005,'設定'!$C$4,'①在庫を貼る'!$W$6:$W$10005,$C73)/COUNTIFS('①在庫を貼る'!$V$6:$V$10005,'設定'!$C$4,'①在庫を貼る'!$W$6:$W$10005,$C73),IF(COUNTIFS('月1回_1ヶ月前の在庫'!$V$6:$V$10005,'設定'!$C$4,'月1回_1ヶ月前の在庫'!$W$6:$W$10005,$C73)&gt;0,SUMIFS('月1回_1ヶ月前の在庫'!$O$6:$O$10005,'月1回_1ヶ月前の在庫'!$V$6:$V$10005,'設定'!$C$4,'月1回_1ヶ月前の在庫'!$W$6:$W$10005,$C73)/COUNTIFS('月1回_1ヶ月前の在庫'!$V$6:$V$10005,'設定'!$C$4,'月1回_1ヶ月前の在庫'!$W$6:$W$10005,$C73),IF(COUNTIFS('月1回_2ヶ月前の在庫'!$V$6:$V$10005,'設定'!$C$4,'月1回_2ヶ月前の在庫'!$W$6:$W$10005,$C73)&gt;0,SUMIFS('月1回_2ヶ月前の在庫'!$O$6:$O$10005,'月1回_2ヶ月前の在庫'!$V$6:$V$10005,'設定'!$C$4,'月1回_2ヶ月前の在庫'!$W$6:$W$10005,$C73)/COUNTIFS('月1回_2ヶ月前の在庫'!$V$6:$V$10005,'設定'!$C$4,'月1回_2ヶ月前の在庫'!$W$6:$W$10005,$C73),0)))),"")))</f>
        <v/>
      </c>
      <c r="P73" s="90">
        <f>IF($C73="","",IF('②発注する'!$I77="","",'②発注する'!$I77))</f>
        <v/>
      </c>
      <c r="Q73">
        <f>IF($C73="","",IF('②発注する'!$J77="","",'②発注する'!$J77))</f>
        <v/>
      </c>
      <c r="R73">
        <f>IF($C73="",0,IF(AND(ISNUMBER($P73),ISNUMBER($Q73)),MAX(0,$Q73)*$G73,0))</f>
        <v/>
      </c>
      <c r="S73" s="90">
        <f>IF($C73="","",IF('②発注する'!$M77="","",'②発注する'!$M77))</f>
        <v/>
      </c>
      <c r="T73">
        <f>IF($C73="","",IF('②発注する'!$N77="","",'②発注する'!$N77))</f>
        <v/>
      </c>
      <c r="U73">
        <f>IF($C73="",0,IF(AND(ISNUMBER($S73),ISNUMBER($T73)),MAX(0,$T73)*$G73,0))</f>
        <v/>
      </c>
      <c r="V73">
        <f>IF($C73="",0,IF($M73="",0,MAX(0,$M73)*MAX(0,V$4)/100))</f>
        <v/>
      </c>
      <c r="W73">
        <f>IF($C73="",0,IF($M73="",0,MAX(0,$M73)*MAX(0,W$4)/100))</f>
        <v/>
      </c>
      <c r="X73">
        <f>IF($C73="",0,IF($M73="",0,MAX(0,$M73)*MAX(0,X$4)/100))</f>
        <v/>
      </c>
      <c r="Y73">
        <f>IF($C73="",0,IF($M73="",0,MAX(0,$M73)*MAX(0,Y$4)/100))</f>
        <v/>
      </c>
      <c r="Z73">
        <f>IF($C73="",0,IF($M73="",0,MAX(0,$M73)*MAX(0,Z$4)/100))</f>
        <v/>
      </c>
      <c r="AA73">
        <f>IF($C73="",0,IF($M73="",0,MAX(0,$M73)*MAX(0,AA$4)/100))</f>
        <v/>
      </c>
      <c r="AB73">
        <f>IF($C73="",0,IF($M73="",0,MAX(0,$M73)*MAX(0,AB$4)/100))</f>
        <v/>
      </c>
      <c r="AC73">
        <f>IF($C73="",0,IF($M73="",0,MAX(0,$M73)*MAX(0,AC$4)/100))</f>
        <v/>
      </c>
      <c r="AD73">
        <f>IF($C73="",0,IF($M73="",0,MAX(0,$M73)*MAX(0,AD$4)/100))</f>
        <v/>
      </c>
      <c r="AE73">
        <f>IF($C73="",0,IF($M73="",0,MAX(0,$M73)*MAX(0,AE$4)/100))</f>
        <v/>
      </c>
      <c r="AF73">
        <f>IF($C73="",0,IF($M73="",0,MAX(0,$M73)*MAX(0,AF$4)/100))</f>
        <v/>
      </c>
      <c r="AG73">
        <f>IF($C73="",0,IF($M73="",0,MAX(0,$M73)*MAX(0,AG$4)/100))</f>
        <v/>
      </c>
      <c r="AH73">
        <f>IF($C73="",0,IF($M73="",0,MAX(0,$M73)*MAX(0,AH$4)/100))</f>
        <v/>
      </c>
      <c r="AI73">
        <f>IF($C73="",0,IF($M73="",0,MAX(0,$M73)*MAX(0,AI$4)/100))</f>
        <v/>
      </c>
      <c r="AJ73">
        <f>IF($C73="",0,MAX(0,MAX(0,N($L73))-$V73))</f>
        <v/>
      </c>
      <c r="AK73">
        <f>IF($C73="",0,MAX(0,$AJ73-$W73))</f>
        <v/>
      </c>
      <c r="AL73">
        <f>IF($C73="",0,MAX(0,$AK73-$X73))</f>
        <v/>
      </c>
      <c r="AM73">
        <f>IF($C73="",0,MAX(0,$AL73-$Y73))</f>
        <v/>
      </c>
      <c r="AN73">
        <f>IF($C73="",0,MAX(0,$AM73-$Z73))</f>
        <v/>
      </c>
      <c r="AO73">
        <f>IF($C73="",0,MAX(0,$AN73-$AA73))</f>
        <v/>
      </c>
      <c r="AP73">
        <f>IF($C73="",0,MAX(0,$AO73-$AB73))</f>
        <v/>
      </c>
      <c r="AQ73">
        <f>IF($C73="",0,MAX(0,$AP73-$AC73))</f>
        <v/>
      </c>
      <c r="AR73">
        <f>IF($C73="",0,MAX(0,$AQ73-$AD73))</f>
        <v/>
      </c>
      <c r="AS73">
        <f>IF($C73="",0,MAX(0,$AR73-$AE73))</f>
        <v/>
      </c>
      <c r="AT73">
        <f>IF($C73="",0,MAX(0,$AS73-$AF73))</f>
        <v/>
      </c>
      <c r="AU73">
        <f>IF($C73="",0,MAX(0,$AT73-$AG73))</f>
        <v/>
      </c>
      <c r="AV73">
        <f>IF($C73="",0,MAX(0,$AU73-$AH73))</f>
        <v/>
      </c>
      <c r="AW73">
        <f>IF($C73="",0,MAX(0,$AV73-$AI73))</f>
        <v/>
      </c>
      <c r="AX73">
        <f>IF($C73="",0,MAX(0,MAX(0,N($L73))+IF($P73=V$3,$R73,0)+IF($S73=V$3,$U73,0)-$V73))</f>
        <v/>
      </c>
      <c r="AY73">
        <f>IF($C73="",0,MAX(0,$AX73+IF($P73=W$3,$R73,0)+IF($S73=W$3,$U73,0)-$W73))</f>
        <v/>
      </c>
      <c r="AZ73">
        <f>IF($C73="",0,MAX(0,$AY73+IF($P73=X$3,$R73,0)+IF($S73=X$3,$U73,0)-$X73))</f>
        <v/>
      </c>
      <c r="BA73">
        <f>IF($C73="",0,MAX(0,$AZ73+IF($P73=Y$3,$R73,0)+IF($S73=Y$3,$U73,0)-$Y73))</f>
        <v/>
      </c>
      <c r="BB73">
        <f>IF($C73="",0,MAX(0,$BA73+IF($P73=Z$3,$R73,0)+IF($S73=Z$3,$U73,0)-$Z73))</f>
        <v/>
      </c>
      <c r="BC73">
        <f>IF($C73="",0,MAX(0,$BB73+IF($P73=AA$3,$R73,0)+IF($S73=AA$3,$U73,0)-$AA73))</f>
        <v/>
      </c>
      <c r="BD73">
        <f>IF($C73="",0,MAX(0,$BC73+IF($P73=AB$3,$R73,0)+IF($S73=AB$3,$U73,0)-$AB73))</f>
        <v/>
      </c>
      <c r="BE73">
        <f>IF($C73="",0,MAX(0,$BD73+IF($P73=AC$3,$R73,0)+IF($S73=AC$3,$U73,0)-$AC73))</f>
        <v/>
      </c>
      <c r="BF73">
        <f>IF($C73="",0,MAX(0,$BE73+IF($P73=AD$3,$R73,0)+IF($S73=AD$3,$U73,0)-$AD73))</f>
        <v/>
      </c>
      <c r="BG73">
        <f>IF($C73="",0,MAX(0,$BF73+IF($P73=AE$3,$R73,0)+IF($S73=AE$3,$U73,0)-$AE73))</f>
        <v/>
      </c>
      <c r="BH73">
        <f>IF($C73="",0,MAX(0,$BG73+IF($P73=AF$3,$R73,0)+IF($S73=AF$3,$U73,0)-$AF73))</f>
        <v/>
      </c>
      <c r="BI73">
        <f>IF($C73="",0,MAX(0,$BH73+IF($P73=AG$3,$R73,0)+IF($S73=AG$3,$U73,0)-$AG73))</f>
        <v/>
      </c>
      <c r="BJ73">
        <f>IF($C73="",0,MAX(0,$BI73+IF($P73=AH$3,$R73,0)+IF($S73=AH$3,$U73,0)-$AH73))</f>
        <v/>
      </c>
      <c r="BK73">
        <f>IF($C73="",0,MAX(0,$BJ73+IF($P73=AI$3,$R73,0)+IF($S73=AI$3,$U73,0)-$AI73))</f>
        <v/>
      </c>
      <c r="BL73">
        <f>IF($C73="",99,IF(AND($AX73&lt;1,V$3&gt;=MAX(N($P73),N($S73))),0,99))</f>
        <v/>
      </c>
      <c r="BM73">
        <f>IF($C73="",99,IF(AND($AY73&lt;1,W$3&gt;=MAX(N($P73),N($S73))),1,99))</f>
        <v/>
      </c>
      <c r="BN73">
        <f>IF($C73="",99,IF(AND($AZ73&lt;1,X$3&gt;=MAX(N($P73),N($S73))),2,99))</f>
        <v/>
      </c>
      <c r="BO73">
        <f>IF($C73="",99,IF(AND($BA73&lt;1,Y$3&gt;=MAX(N($P73),N($S73))),3,99))</f>
        <v/>
      </c>
      <c r="BP73">
        <f>IF($C73="",99,IF(AND($BB73&lt;1,Z$3&gt;=MAX(N($P73),N($S73))),4,99))</f>
        <v/>
      </c>
      <c r="BQ73">
        <f>IF($C73="",99,IF(AND($BC73&lt;1,AA$3&gt;=MAX(N($P73),N($S73))),5,99))</f>
        <v/>
      </c>
      <c r="BR73">
        <f>IF($C73="",99,IF(AND($BD73&lt;1,AB$3&gt;=MAX(N($P73),N($S73))),6,99))</f>
        <v/>
      </c>
      <c r="BS73">
        <f>IF($C73="",99,IF(AND($BE73&lt;1,AC$3&gt;=MAX(N($P73),N($S73))),7,99))</f>
        <v/>
      </c>
      <c r="BT73">
        <f>IF($C73="",99,IF(AND($BF73&lt;1,AD$3&gt;=MAX(N($P73),N($S73))),8,99))</f>
        <v/>
      </c>
      <c r="BU73">
        <f>IF($C73="",99,IF(AND($BG73&lt;1,AE$3&gt;=MAX(N($P73),N($S73))),9,99))</f>
        <v/>
      </c>
      <c r="BV73">
        <f>IF($C73="",99,IF(AND($BH73&lt;1,AF$3&gt;=MAX(N($P73),N($S73))),10,99))</f>
        <v/>
      </c>
      <c r="BW73">
        <f>IF($C73="",99,IF(AND($BI73&lt;1,AG$3&gt;=MAX(N($P73),N($S73))),11,99))</f>
        <v/>
      </c>
      <c r="BX73">
        <f>IF($C73="",99,IF(AND($BJ73&lt;1,AH$3&gt;=MAX(N($P73),N($S73))),12,99))</f>
        <v/>
      </c>
      <c r="BY73">
        <f>IF($C73="",99,IF(AND($BK73&lt;1,AI$3&gt;=MAX(N($P73),N($S73))),13,99))</f>
        <v/>
      </c>
      <c r="BZ73">
        <f>IF(OR($C73="",$M73=""),"",COUNTIF($AJ73:$AW73,"&gt;=1"))</f>
        <v/>
      </c>
      <c r="CA73" s="90">
        <f>IF($BZ73="","",IF($BZ73&gt;=14,"",'設定'!$C$6+$BZ73))</f>
        <v/>
      </c>
      <c r="CB73">
        <f>IF(OR($C73="",$M73=""),"",MIN($BL73:$BY73))</f>
        <v/>
      </c>
      <c r="CC73" s="90">
        <f>IF($CB73="","",IF($CB73&gt;=99,"",'設定'!$C$6+$CB73))</f>
        <v/>
      </c>
      <c r="CD73">
        <f>IF(OR($C73="",$M73=""),"",AVERAGE($V73:$AI73))</f>
        <v/>
      </c>
      <c r="CE73">
        <f>IF($C73="","",IFERROR(IF(MATCH(IF(ISNUMBER($P73),$P73,'設定'!$C$6+N('設定'!$C$7)),$V$3:$AI$3,0)=1,MAX(0,N($L73)),INDEX($AJ73:$AW73,MATCH(IF(ISNUMBER($P73),$P73,'設定'!$C$6+N('設定'!$C$7)),$V$3:$AI$3,0)-1)),""))</f>
        <v/>
      </c>
      <c r="CF73">
        <f>IF(OR($C73="",$O73="",$CE73=""),"",IF($O73-$CE73&lt;=0,0,ROUNDUP(($O73-$CE73)/$G73,0)))</f>
        <v/>
      </c>
      <c r="CG73">
        <f>IF(OR($C73="",$CF73="",NOT(ISNUMBER($Q73))),0,MAX(0,$Q73-$CF73))</f>
        <v/>
      </c>
      <c r="CH73">
        <f>IF(OR($C73="",$O73="",$U73=0),0,IFERROR(ROUNDUP(MAX(0,IF(MATCH($S73,$V$3:$AI$3,0)=1,MAX(0,N($L73)),INDEX($AX73:$BK73,MATCH($S73,$V$3:$AI$3,0)-1))+$U73-$O73)/$G73,0),0))</f>
        <v/>
      </c>
      <c r="CI73">
        <f>IF($C73="","",IF(AND($P73="",$Q73=""),"",IF($P73="","⚠ 入庫日を ▼ から選んでください",IF(NOT(ISNUMBER($P73)),"⚠ 入庫日は ▼ から選んでください",IF($P73&lt;N('設定'!$C$6),"⚠ 入庫日が過去です（もう在庫に入っています）→ 消してください",IF($P73&gt;N('設定'!$C$6)+13,"⚠ 入庫日が14日より先です",IF(N($Q73)&lt;=0,"⚠ 入庫数を入れてください",IF($CG73&gt;0,"⚠ 目安より "&amp;$CG73&amp;" 多い（定数を超える）→ 減らす",""))))))))</f>
        <v/>
      </c>
      <c r="CJ73">
        <f>IF($C73="","",IF(AND($S73="",$T73=""),"",IF($S73="","⚠ 2便目：入庫日を ▼ から選んでください",IF(NOT(ISNUMBER($S73)),"⚠ 2便目：入庫日は ▼ から選んでください",IF($S73&lt;N('設定'!$C$6),"⚠ 2便目：入庫日が過去です（もう在庫に入っています）→ 消してください",IF($S73&gt;N('設定'!$C$6)+13,"⚠ 2便目：入庫日が14日より先です",IF(N($T73)&lt;=0,"⚠ 2便目：入庫数を入れてください",IF($CH73&gt;0,"⚠ 2便目：定数を "&amp;$CH73&amp;" ケース超える → 減らす",""))))))))</f>
        <v/>
      </c>
      <c r="CK73">
        <f>IF(AND($CI73="",N($Q73)&gt;0,ISNUMBER($P73)),1,0)</f>
        <v/>
      </c>
      <c r="CL73">
        <f>IF(AND($CJ73="",N($T73)&gt;0,ISNUMBER($S73)),1,0)</f>
        <v/>
      </c>
      <c r="CM73">
        <f>IF(OR($CK73=1,$CL73=1),1,0)</f>
        <v/>
      </c>
      <c r="CN73">
        <f>IF($C73="",0,($CK73*$R73+$CL73*$U73)*N($H73))</f>
        <v/>
      </c>
      <c r="CO73">
        <f>IF($C73="","",IF($CC73="","入庫後は 14日以上もつ",IF($CC73-N('設定'!$C$7)&lt;='設定'!$C$6,"入庫後も "&amp;TEXT($CC73,"m/d")&amp;"("&amp;CHOOSE(WEEKDAY($CC73),"日","月","火","水","木","金","土")&amp;")"&amp;" に切れる　もう1便を至急発注","入庫後も "&amp;TEXT($CC73,"m/d")&amp;"("&amp;CHOOSE(WEEKDAY($CC73),"日","月","火","水","木","金","土")&amp;")"&amp;" に切れる　"&amp;TEXT($CC73-N('設定'!$C$7),"m/d")&amp;"("&amp;CHOOSE(WEEKDAY($CC73-N('設定'!$C$7)),"日","月","火","水","木","金","土")&amp;")"&amp;" までに次を発注")))</f>
        <v/>
      </c>
      <c r="CP73">
        <f>IF($C73="","",IF('設定'!$C$6="","？ ①在庫を貼る に今日のCSVが貼られていない",IF($CS73=1,"－ 今日のCSVに無い（終売？）",IF($L73&lt;0,"● 在庫がマイナス　数えて「数えた在庫」に入れる",IF($L73=0,"● 在庫なし　至急発注",IF($M73="","？ 減り数が未設定（商品マスタ）",IF($B$3=0,"？ 動員が未入力（動員を入れる）",IF($CA73="","○ 14日以上もつ",IF($BZ73&lt;N('設定'!$C$7),"● "&amp;TEXT($CA73,"m/d")&amp;"("&amp;CHOOSE(WEEKDAY($CA73),"日","月","火","水","木","金","土")&amp;")"&amp;" に切れる　至急発注",IF($BZ73=N('設定'!$C$7),"● "&amp;TEXT($CA73,"m/d")&amp;"("&amp;CHOOSE(WEEKDAY($CA73),"日","月","火","水","木","金","土")&amp;")"&amp;" に切れる　今日発注","△ "&amp;TEXT($CA73,"m/d")&amp;"("&amp;CHOOSE(WEEKDAY($CA73),"日","月","火","水","木","金","土")&amp;")"&amp;" に切れる　"&amp;TEXT($CA73-N('設定'!$C$7),"m/d")&amp;"("&amp;CHOOSE(WEEKDAY($CA73-N('設定'!$C$7)),"日","月","火","水","木","金","土")&amp;")"&amp;" までに発注"))))))))))</f>
        <v/>
      </c>
      <c r="CQ73">
        <f>IF($C73="","",IF(AND($P73="",$Q73="",$S73="",$T73=""),"",IF(AND($P73="",$Q73=""),"⚠ 先に1便目（左の入庫日・入庫数）に入れてください",IF($CI73&lt;&gt;"",$CI73,IF($CJ73&lt;&gt;"",$CJ73,IF($M73="","？ 減り数が未設定（発注書には載ります）",IF($B$3=0,"？ 動員が未入力（発注書には載ります）",IF(AND($CA73&lt;&gt;"",$P73&gt;$CA73),IF($P73&gt;'設定'!$C$6+N('設定'!$C$7),"● "&amp;TEXT($P73,"m/d")&amp;"("&amp;CHOOSE(WEEKDAY($P73),"日","月","火","水","木","金","土")&amp;")"&amp;" の入庫では間に合わない（"&amp;TEXT($CA73,"m/d")&amp;"("&amp;CHOOSE(WEEKDAY($CA73),"日","月","火","水","木","金","土")&amp;")"&amp;" に切れる）　入庫日を早める","△ 欠品 "&amp;TEXT($CA73,"m/d")&amp;"("&amp;CHOOSE(WEEKDAY($CA73),"日","月","火","水","木","金","土")&amp;")"&amp;"〜"&amp;TEXT($P73-1,"m/d")&amp;"("&amp;CHOOSE(WEEKDAY($P73-1),"日","月","火","水","木","金","土")&amp;")"&amp;"　"&amp;$CO73),IF($CC73="","○ "&amp;TEXT($P73,"m/d")&amp;"("&amp;CHOOSE(WEEKDAY($P73),"日","月","火","水","木","金","土")&amp;")"&amp;" 入庫で 14日以上もつ",IF($CC73-N('設定'!$C$7)&lt;='設定'!$C$6,"● 入庫しても "&amp;TEXT($CC73,"m/d")&amp;"("&amp;CHOOSE(WEEKDAY($CC73),"日","月","火","水","木","金","土")&amp;")"&amp;" に切れる　もう1便を至急発注（2便目に入れる）","△ 入庫しても "&amp;TEXT($CC73,"m/d")&amp;"("&amp;CHOOSE(WEEKDAY($CC73),"日","月","火","水","木","金","土")&amp;")"&amp;" に切れる　"&amp;TEXT($CC73-N('設定'!$C$7),"m/d")&amp;"("&amp;CHOOSE(WEEKDAY($CC73-N('設定'!$C$7)),"日","月","火","水","木","金","土")&amp;")"&amp;" までに次を発注（2便目に入れる）"))))))))))</f>
        <v/>
      </c>
      <c r="CR73">
        <f>IF($C73="","",IF($G73&gt;1,"ｹｰｽ("&amp;$G73&amp;"入)","個"))</f>
        <v/>
      </c>
      <c r="CS73">
        <f>IF($C73="",0,IF(COUNTIFS('①在庫を貼る'!$V$6:$V$10005,'設定'!$C$4,'①在庫を貼る'!$W$6:$W$10005,$C73)=0,1,0))</f>
        <v/>
      </c>
      <c r="CT73">
        <f>IF(AND($CK73=1,OR('③発注書'!$C$4="すべて",'③発注書'!$C$4="",$F73='③発注書'!$C$4)),N($CT72)+1,N($CT72))</f>
        <v/>
      </c>
      <c r="CU73">
        <f>IF(AND($CL73=1,OR('③発注書'!$C$4="すべて",'③発注書'!$C$4="",$F73='③発注書'!$C$4)),N($CU72)+1,N($CU72))</f>
        <v/>
      </c>
      <c r="CV73">
        <f>IF($C73="",0,IF(COUNTIFS('①在庫を貼る'!$V$6:$V$10005,'設定'!$C$4,'①在庫を貼る'!$W$6:$W$10005,$C73)&gt;0,1,0))</f>
        <v/>
      </c>
      <c r="CW73">
        <f>IF($C73="",0,IF(COUNTIFS('月1回_1ヶ月前の在庫'!$V$6:$V$10005,'設定'!$C$4,'月1回_1ヶ月前の在庫'!$W$6:$W$10005,$C73)&gt;0,1,0))</f>
        <v/>
      </c>
      <c r="CX73">
        <f>IF($C73="",0,IF(COUNTIFS('月1回_2ヶ月前の在庫'!$V$6:$V$10005,'設定'!$C$4,'月1回_2ヶ月前の在庫'!$W$6:$W$10005,$C73)&gt;0,1,0))</f>
        <v/>
      </c>
      <c r="CY73">
        <f>IF(OR($C73="",'設定'!$C$12=""),"",IF('設定'!$C$13="",IF(AND($CV73=1,$CW73=0),"新商品（今月から）",IF(AND($CV73=0,$CW73=1),"終売（今月から）","")),IF(AND($CV73=1,$CW73=0,$CX73=0),"新商品（今月から）",IF(AND($CV73=1,$CW73=1,$CX73=0),"新商品（先月から）",IF(AND($CV73=0,$CW73=1,$CX73=1),"終売（今月から）",IF(AND($CV73=0,$CW73=0,$CX73=1),"終売（先月から）",IF(AND($CV73=1,$CW73=0,$CX73=1),"復活（先月は無し）","")))))))</f>
        <v/>
      </c>
    </row>
    <row r="74">
      <c r="B74">
        <f>IF(69&lt;='設定'!$C$11,69,"")</f>
        <v/>
      </c>
      <c r="C74">
        <f>IF($B74="","",IF($B74&lt;='設定'!$C$20,INDEX('商品マスタ'!$B$6:$B$1005,MATCH($B74,'商品マスタ'!$M$6:$M$1005,0)),IF($B74&lt;='設定'!$C$20+'設定'!$C$17,INDEX('①在庫を貼る'!$W$6:$W$10005,MATCH($B74-'設定'!$C$20,'①在庫を貼る'!$U$6:$U$10005,0)),IF($B74&lt;='設定'!$C$20+'設定'!$C$17+'設定'!$C$18,INDEX('月1回_1ヶ月前の在庫'!$W$6:$W$10005,MATCH($B74-'設定'!$C$20-'設定'!$C$17,'月1回_1ヶ月前の在庫'!$U$6:$U$10005,0)),INDEX('月1回_2ヶ月前の在庫'!$W$6:$W$10005,MATCH($B74-'設定'!$C$20-'設定'!$C$17-'設定'!$C$18,'月1回_2ヶ月前の在庫'!$U$6:$U$10005,0))))))</f>
        <v/>
      </c>
      <c r="D74">
        <f>IF($C74="","",IFERROR(IF(INDEX('商品マスタ'!$C$6:$C$1005,MATCH($C74,'商品マスタ'!$B$6:$B$1005,0))="",IFERROR(INDEX('①在庫を貼る'!$J$6:$J$10005,MATCH($C74,'①在庫を貼る'!$W$6:$W$10005,0)),IFERROR(INDEX('月1回_1ヶ月前の在庫'!$J$6:$J$10005,MATCH($C74,'月1回_1ヶ月前の在庫'!$W$6:$W$10005,0)),IFERROR(INDEX('月1回_2ヶ月前の在庫'!$J$6:$J$10005,MATCH($C74,'月1回_2ヶ月前の在庫'!$W$6:$W$10005,0)),""))),INDEX('商品マスタ'!$C$6:$C$1005,MATCH($C74,'商品マスタ'!$B$6:$B$1005,0))),IFERROR(INDEX('①在庫を貼る'!$J$6:$J$10005,MATCH($C74,'①在庫を貼る'!$W$6:$W$10005,0)),IFERROR(INDEX('月1回_1ヶ月前の在庫'!$J$6:$J$10005,MATCH($C74,'月1回_1ヶ月前の在庫'!$W$6:$W$10005,0)),IFERROR(INDEX('月1回_2ヶ月前の在庫'!$J$6:$J$10005,MATCH($C74,'月1回_2ヶ月前の在庫'!$W$6:$W$10005,0)),"")))))</f>
        <v/>
      </c>
      <c r="E74">
        <f>IF($C74="","",IFERROR(IF(INDEX('商品マスタ'!$D$6:$D$1005,MATCH($C74,'商品マスタ'!$B$6:$B$1005,0))="",IFERROR(INDEX('①在庫を貼る'!$H$6:$H$10005,MATCH($C74,'①在庫を貼る'!$W$6:$W$10005,0)),IFERROR(INDEX('月1回_1ヶ月前の在庫'!$H$6:$H$10005,MATCH($C74,'月1回_1ヶ月前の在庫'!$W$6:$W$10005,0)),IFERROR(INDEX('月1回_2ヶ月前の在庫'!$H$6:$H$10005,MATCH($C74,'月1回_2ヶ月前の在庫'!$W$6:$W$10005,0)),""))),INDEX('商品マスタ'!$D$6:$D$1005,MATCH($C74,'商品マスタ'!$B$6:$B$1005,0))),IFERROR(INDEX('①在庫を貼る'!$H$6:$H$10005,MATCH($C74,'①在庫を貼る'!$W$6:$W$10005,0)),IFERROR(INDEX('月1回_1ヶ月前の在庫'!$H$6:$H$10005,MATCH($C74,'月1回_1ヶ月前の在庫'!$W$6:$W$10005,0)),IFERROR(INDEX('月1回_2ヶ月前の在庫'!$H$6:$H$10005,MATCH($C74,'月1回_2ヶ月前の在庫'!$W$6:$W$10005,0)),"")))))</f>
        <v/>
      </c>
      <c r="F74">
        <f>IF($C74="","",IFERROR(IF(INDEX('商品マスタ'!$E$6:$E$1005,MATCH($C74,'商品マスタ'!$B$6:$B$1005,0))="",IFERROR(INDEX('①在庫を貼る'!$E$6:$E$10005,MATCH($C74,'①在庫を貼る'!$W$6:$W$10005,0)),IFERROR(INDEX('月1回_1ヶ月前の在庫'!$E$6:$E$10005,MATCH($C74,'月1回_1ヶ月前の在庫'!$W$6:$W$10005,0)),IFERROR(INDEX('月1回_2ヶ月前の在庫'!$E$6:$E$10005,MATCH($C74,'月1回_2ヶ月前の在庫'!$W$6:$W$10005,0)),""))),INDEX('商品マスタ'!$E$6:$E$1005,MATCH($C74,'商品マスタ'!$B$6:$B$1005,0))),IFERROR(INDEX('①在庫を貼る'!$E$6:$E$10005,MATCH($C74,'①在庫を貼る'!$W$6:$W$10005,0)),IFERROR(INDEX('月1回_1ヶ月前の在庫'!$E$6:$E$10005,MATCH($C74,'月1回_1ヶ月前の在庫'!$W$6:$W$10005,0)),IFERROR(INDEX('月1回_2ヶ月前の在庫'!$E$6:$E$10005,MATCH($C74,'月1回_2ヶ月前の在庫'!$W$6:$W$10005,0)),"")))))</f>
        <v/>
      </c>
      <c r="G74">
        <f>IF($C74="","",MAX(1,N(IFERROR(IF(INDEX('商品マスタ'!$F$6:$F$1005,MATCH($C74,'商品マスタ'!$B$6:$B$1005,0))="",IF(COUNTIFS('①在庫を貼る'!$V$6:$V$10005,'設定'!$C$4,'①在庫を貼る'!$W$6:$W$10005,$C74)&gt;0,SUMIFS('①在庫を貼る'!$K$6:$K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K$6:$K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K$6:$K$10005,'月1回_2ヶ月前の在庫'!$V$6:$V$10005,'設定'!$C$4,'月1回_2ヶ月前の在庫'!$W$6:$W$10005,$C74)/COUNTIFS('月1回_2ヶ月前の在庫'!$V$6:$V$10005,'設定'!$C$4,'月1回_2ヶ月前の在庫'!$W$6:$W$10005,$C74),0))),INDEX('商品マスタ'!$F$6:$F$1005,MATCH($C74,'商品マスタ'!$B$6:$B$1005,0))),IF(COUNTIFS('①在庫を貼る'!$V$6:$V$10005,'設定'!$C$4,'①在庫を貼る'!$W$6:$W$10005,$C74)&gt;0,SUMIFS('①在庫を貼る'!$K$6:$K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K$6:$K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K$6:$K$10005,'月1回_2ヶ月前の在庫'!$V$6:$V$10005,'設定'!$C$4,'月1回_2ヶ月前の在庫'!$W$6:$W$10005,$C74)/COUNTIFS('月1回_2ヶ月前の在庫'!$V$6:$V$10005,'設定'!$C$4,'月1回_2ヶ月前の在庫'!$W$6:$W$10005,$C74),0)))))))</f>
        <v/>
      </c>
      <c r="H74">
        <f>IF($C74="","",N(IFERROR(IF(INDEX('商品マスタ'!$G$6:$G$1005,MATCH($C74,'商品マスタ'!$B$6:$B$1005,0))="",IF(COUNTIFS('①在庫を貼る'!$V$6:$V$10005,'設定'!$C$4,'①在庫を貼る'!$W$6:$W$10005,$C74)&gt;0,SUMIFS('①在庫を貼る'!$Q$6:$Q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Q$6:$Q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Q$6:$Q$10005,'月1回_2ヶ月前の在庫'!$V$6:$V$10005,'設定'!$C$4,'月1回_2ヶ月前の在庫'!$W$6:$W$10005,$C74)/COUNTIFS('月1回_2ヶ月前の在庫'!$V$6:$V$10005,'設定'!$C$4,'月1回_2ヶ月前の在庫'!$W$6:$W$10005,$C74),0))),INDEX('商品マスタ'!$G$6:$G$1005,MATCH($C74,'商品マスタ'!$B$6:$B$1005,0))),IF(COUNTIFS('①在庫を貼る'!$V$6:$V$10005,'設定'!$C$4,'①在庫を貼る'!$W$6:$W$10005,$C74)&gt;0,SUMIFS('①在庫を貼る'!$Q$6:$Q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Q$6:$Q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Q$6:$Q$10005,'月1回_2ヶ月前の在庫'!$V$6:$V$10005,'設定'!$C$4,'月1回_2ヶ月前の在庫'!$W$6:$W$10005,$C74)/COUNTIFS('月1回_2ヶ月前の在庫'!$V$6:$V$10005,'設定'!$C$4,'月1回_2ヶ月前の在庫'!$W$6:$W$10005,$C74),0))))))</f>
        <v/>
      </c>
      <c r="I74">
        <f>IF($C74="","",IF(COUNTIFS('①在庫を貼る'!$V$6:$V$10005,'設定'!$C$4,'①在庫を貼る'!$W$6:$W$10005,$C74)=0,"",SUMIFS('①在庫を貼る'!$N$6:$N$10005,'①在庫を貼る'!$V$6:$V$10005,'設定'!$C$4,'①在庫を貼る'!$W$6:$W$10005,$C74)))</f>
        <v/>
      </c>
      <c r="J74">
        <f>IF($C74="","",IF('②発注する'!$AD78="","",'②発注する'!$AD78))</f>
        <v/>
      </c>
      <c r="K74" s="90">
        <f>IF($C74="","",IF('②発注する'!$AE78="","",'②発注する'!$AE78))</f>
        <v/>
      </c>
      <c r="L74">
        <f>IF($C74="","",IF(AND(ISNUMBER($J74),ISNUMBER($K74),$K74&gt;='設定'!$C$6),$J74,N($I74)))</f>
        <v/>
      </c>
      <c r="M74">
        <f>IF($C74="","",IFERROR(IF(N(INDEX('商品マスタ'!$J$6:$J$1005,MATCH($C74,'商品マスタ'!$B$6:$B$1005,0)))&gt;0,INDEX('商品マスタ'!$J$6:$J$1005,MATCH($C74,'商品マスタ'!$B$6:$B$1005,0)),""),""))</f>
        <v/>
      </c>
      <c r="N74">
        <f>IF($C74="","",IFERROR(IF(N(INDEX('商品マスタ'!$H$6:$H$1005,MATCH($C74,'商品マスタ'!$B$6:$B$1005,0)))&gt;0,INDEX('商品マスタ'!$H$6:$H$1005,MATCH($C74,'商品マスタ'!$B$6:$B$1005,0)),""),""))</f>
        <v/>
      </c>
      <c r="O74">
        <f>IF($C74="","",IF($N74&lt;&gt;"",$N74*$G74,IF(N(IF(COUNTIFS('①在庫を貼る'!$V$6:$V$10005,'設定'!$C$4,'①在庫を貼る'!$W$6:$W$10005,$C74)&gt;0,SUMIFS('①在庫を貼る'!$O$6:$O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O$6:$O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O$6:$O$10005,'月1回_2ヶ月前の在庫'!$V$6:$V$10005,'設定'!$C$4,'月1回_2ヶ月前の在庫'!$W$6:$W$10005,$C74)/COUNTIFS('月1回_2ヶ月前の在庫'!$V$6:$V$10005,'設定'!$C$4,'月1回_2ヶ月前の在庫'!$W$6:$W$10005,$C74),0))))&gt;0,N(IF(COUNTIFS('①在庫を貼る'!$V$6:$V$10005,'設定'!$C$4,'①在庫を貼る'!$W$6:$W$10005,$C74)&gt;0,SUMIFS('①在庫を貼る'!$O$6:$O$10005,'①在庫を貼る'!$V$6:$V$10005,'設定'!$C$4,'①在庫を貼る'!$W$6:$W$10005,$C74)/COUNTIFS('①在庫を貼る'!$V$6:$V$10005,'設定'!$C$4,'①在庫を貼る'!$W$6:$W$10005,$C74),IF(COUNTIFS('月1回_1ヶ月前の在庫'!$V$6:$V$10005,'設定'!$C$4,'月1回_1ヶ月前の在庫'!$W$6:$W$10005,$C74)&gt;0,SUMIFS('月1回_1ヶ月前の在庫'!$O$6:$O$10005,'月1回_1ヶ月前の在庫'!$V$6:$V$10005,'設定'!$C$4,'月1回_1ヶ月前の在庫'!$W$6:$W$10005,$C74)/COUNTIFS('月1回_1ヶ月前の在庫'!$V$6:$V$10005,'設定'!$C$4,'月1回_1ヶ月前の在庫'!$W$6:$W$10005,$C74),IF(COUNTIFS('月1回_2ヶ月前の在庫'!$V$6:$V$10005,'設定'!$C$4,'月1回_2ヶ月前の在庫'!$W$6:$W$10005,$C74)&gt;0,SUMIFS('月1回_2ヶ月前の在庫'!$O$6:$O$10005,'月1回_2ヶ月前の在庫'!$V$6:$V$10005,'設定'!$C$4,'月1回_2ヶ月前の在庫'!$W$6:$W$10005,$C74)/COUNTIFS('月1回_2ヶ月前の在庫'!$V$6:$V$10005,'設定'!$C$4,'月1回_2ヶ月前の在庫'!$W$6:$W$10005,$C74),0)))),"")))</f>
        <v/>
      </c>
      <c r="P74" s="90">
        <f>IF($C74="","",IF('②発注する'!$I78="","",'②発注する'!$I78))</f>
        <v/>
      </c>
      <c r="Q74">
        <f>IF($C74="","",IF('②発注する'!$J78="","",'②発注する'!$J78))</f>
        <v/>
      </c>
      <c r="R74">
        <f>IF($C74="",0,IF(AND(ISNUMBER($P74),ISNUMBER($Q74)),MAX(0,$Q74)*$G74,0))</f>
        <v/>
      </c>
      <c r="S74" s="90">
        <f>IF($C74="","",IF('②発注する'!$M78="","",'②発注する'!$M78))</f>
        <v/>
      </c>
      <c r="T74">
        <f>IF($C74="","",IF('②発注する'!$N78="","",'②発注する'!$N78))</f>
        <v/>
      </c>
      <c r="U74">
        <f>IF($C74="",0,IF(AND(ISNUMBER($S74),ISNUMBER($T74)),MAX(0,$T74)*$G74,0))</f>
        <v/>
      </c>
      <c r="V74">
        <f>IF($C74="",0,IF($M74="",0,MAX(0,$M74)*MAX(0,V$4)/100))</f>
        <v/>
      </c>
      <c r="W74">
        <f>IF($C74="",0,IF($M74="",0,MAX(0,$M74)*MAX(0,W$4)/100))</f>
        <v/>
      </c>
      <c r="X74">
        <f>IF($C74="",0,IF($M74="",0,MAX(0,$M74)*MAX(0,X$4)/100))</f>
        <v/>
      </c>
      <c r="Y74">
        <f>IF($C74="",0,IF($M74="",0,MAX(0,$M74)*MAX(0,Y$4)/100))</f>
        <v/>
      </c>
      <c r="Z74">
        <f>IF($C74="",0,IF($M74="",0,MAX(0,$M74)*MAX(0,Z$4)/100))</f>
        <v/>
      </c>
      <c r="AA74">
        <f>IF($C74="",0,IF($M74="",0,MAX(0,$M74)*MAX(0,AA$4)/100))</f>
        <v/>
      </c>
      <c r="AB74">
        <f>IF($C74="",0,IF($M74="",0,MAX(0,$M74)*MAX(0,AB$4)/100))</f>
        <v/>
      </c>
      <c r="AC74">
        <f>IF($C74="",0,IF($M74="",0,MAX(0,$M74)*MAX(0,AC$4)/100))</f>
        <v/>
      </c>
      <c r="AD74">
        <f>IF($C74="",0,IF($M74="",0,MAX(0,$M74)*MAX(0,AD$4)/100))</f>
        <v/>
      </c>
      <c r="AE74">
        <f>IF($C74="",0,IF($M74="",0,MAX(0,$M74)*MAX(0,AE$4)/100))</f>
        <v/>
      </c>
      <c r="AF74">
        <f>IF($C74="",0,IF($M74="",0,MAX(0,$M74)*MAX(0,AF$4)/100))</f>
        <v/>
      </c>
      <c r="AG74">
        <f>IF($C74="",0,IF($M74="",0,MAX(0,$M74)*MAX(0,AG$4)/100))</f>
        <v/>
      </c>
      <c r="AH74">
        <f>IF($C74="",0,IF($M74="",0,MAX(0,$M74)*MAX(0,AH$4)/100))</f>
        <v/>
      </c>
      <c r="AI74">
        <f>IF($C74="",0,IF($M74="",0,MAX(0,$M74)*MAX(0,AI$4)/100))</f>
        <v/>
      </c>
      <c r="AJ74">
        <f>IF($C74="",0,MAX(0,MAX(0,N($L74))-$V74))</f>
        <v/>
      </c>
      <c r="AK74">
        <f>IF($C74="",0,MAX(0,$AJ74-$W74))</f>
        <v/>
      </c>
      <c r="AL74">
        <f>IF($C74="",0,MAX(0,$AK74-$X74))</f>
        <v/>
      </c>
      <c r="AM74">
        <f>IF($C74="",0,MAX(0,$AL74-$Y74))</f>
        <v/>
      </c>
      <c r="AN74">
        <f>IF($C74="",0,MAX(0,$AM74-$Z74))</f>
        <v/>
      </c>
      <c r="AO74">
        <f>IF($C74="",0,MAX(0,$AN74-$AA74))</f>
        <v/>
      </c>
      <c r="AP74">
        <f>IF($C74="",0,MAX(0,$AO74-$AB74))</f>
        <v/>
      </c>
      <c r="AQ74">
        <f>IF($C74="",0,MAX(0,$AP74-$AC74))</f>
        <v/>
      </c>
      <c r="AR74">
        <f>IF($C74="",0,MAX(0,$AQ74-$AD74))</f>
        <v/>
      </c>
      <c r="AS74">
        <f>IF($C74="",0,MAX(0,$AR74-$AE74))</f>
        <v/>
      </c>
      <c r="AT74">
        <f>IF($C74="",0,MAX(0,$AS74-$AF74))</f>
        <v/>
      </c>
      <c r="AU74">
        <f>IF($C74="",0,MAX(0,$AT74-$AG74))</f>
        <v/>
      </c>
      <c r="AV74">
        <f>IF($C74="",0,MAX(0,$AU74-$AH74))</f>
        <v/>
      </c>
      <c r="AW74">
        <f>IF($C74="",0,MAX(0,$AV74-$AI74))</f>
        <v/>
      </c>
      <c r="AX74">
        <f>IF($C74="",0,MAX(0,MAX(0,N($L74))+IF($P74=V$3,$R74,0)+IF($S74=V$3,$U74,0)-$V74))</f>
        <v/>
      </c>
      <c r="AY74">
        <f>IF($C74="",0,MAX(0,$AX74+IF($P74=W$3,$R74,0)+IF($S74=W$3,$U74,0)-$W74))</f>
        <v/>
      </c>
      <c r="AZ74">
        <f>IF($C74="",0,MAX(0,$AY74+IF($P74=X$3,$R74,0)+IF($S74=X$3,$U74,0)-$X74))</f>
        <v/>
      </c>
      <c r="BA74">
        <f>IF($C74="",0,MAX(0,$AZ74+IF($P74=Y$3,$R74,0)+IF($S74=Y$3,$U74,0)-$Y74))</f>
        <v/>
      </c>
      <c r="BB74">
        <f>IF($C74="",0,MAX(0,$BA74+IF($P74=Z$3,$R74,0)+IF($S74=Z$3,$U74,0)-$Z74))</f>
        <v/>
      </c>
      <c r="BC74">
        <f>IF($C74="",0,MAX(0,$BB74+IF($P74=AA$3,$R74,0)+IF($S74=AA$3,$U74,0)-$AA74))</f>
        <v/>
      </c>
      <c r="BD74">
        <f>IF($C74="",0,MAX(0,$BC74+IF($P74=AB$3,$R74,0)+IF($S74=AB$3,$U74,0)-$AB74))</f>
        <v/>
      </c>
      <c r="BE74">
        <f>IF($C74="",0,MAX(0,$BD74+IF($P74=AC$3,$R74,0)+IF($S74=AC$3,$U74,0)-$AC74))</f>
        <v/>
      </c>
      <c r="BF74">
        <f>IF($C74="",0,MAX(0,$BE74+IF($P74=AD$3,$R74,0)+IF($S74=AD$3,$U74,0)-$AD74))</f>
        <v/>
      </c>
      <c r="BG74">
        <f>IF($C74="",0,MAX(0,$BF74+IF($P74=AE$3,$R74,0)+IF($S74=AE$3,$U74,0)-$AE74))</f>
        <v/>
      </c>
      <c r="BH74">
        <f>IF($C74="",0,MAX(0,$BG74+IF($P74=AF$3,$R74,0)+IF($S74=AF$3,$U74,0)-$AF74))</f>
        <v/>
      </c>
      <c r="BI74">
        <f>IF($C74="",0,MAX(0,$BH74+IF($P74=AG$3,$R74,0)+IF($S74=AG$3,$U74,0)-$AG74))</f>
        <v/>
      </c>
      <c r="BJ74">
        <f>IF($C74="",0,MAX(0,$BI74+IF($P74=AH$3,$R74,0)+IF($S74=AH$3,$U74,0)-$AH74))</f>
        <v/>
      </c>
      <c r="BK74">
        <f>IF($C74="",0,MAX(0,$BJ74+IF($P74=AI$3,$R74,0)+IF($S74=AI$3,$U74,0)-$AI74))</f>
        <v/>
      </c>
      <c r="BL74">
        <f>IF($C74="",99,IF(AND($AX74&lt;1,V$3&gt;=MAX(N($P74),N($S74))),0,99))</f>
        <v/>
      </c>
      <c r="BM74">
        <f>IF($C74="",99,IF(AND($AY74&lt;1,W$3&gt;=MAX(N($P74),N($S74))),1,99))</f>
        <v/>
      </c>
      <c r="BN74">
        <f>IF($C74="",99,IF(AND($AZ74&lt;1,X$3&gt;=MAX(N($P74),N($S74))),2,99))</f>
        <v/>
      </c>
      <c r="BO74">
        <f>IF($C74="",99,IF(AND($BA74&lt;1,Y$3&gt;=MAX(N($P74),N($S74))),3,99))</f>
        <v/>
      </c>
      <c r="BP74">
        <f>IF($C74="",99,IF(AND($BB74&lt;1,Z$3&gt;=MAX(N($P74),N($S74))),4,99))</f>
        <v/>
      </c>
      <c r="BQ74">
        <f>IF($C74="",99,IF(AND($BC74&lt;1,AA$3&gt;=MAX(N($P74),N($S74))),5,99))</f>
        <v/>
      </c>
      <c r="BR74">
        <f>IF($C74="",99,IF(AND($BD74&lt;1,AB$3&gt;=MAX(N($P74),N($S74))),6,99))</f>
        <v/>
      </c>
      <c r="BS74">
        <f>IF($C74="",99,IF(AND($BE74&lt;1,AC$3&gt;=MAX(N($P74),N($S74))),7,99))</f>
        <v/>
      </c>
      <c r="BT74">
        <f>IF($C74="",99,IF(AND($BF74&lt;1,AD$3&gt;=MAX(N($P74),N($S74))),8,99))</f>
        <v/>
      </c>
      <c r="BU74">
        <f>IF($C74="",99,IF(AND($BG74&lt;1,AE$3&gt;=MAX(N($P74),N($S74))),9,99))</f>
        <v/>
      </c>
      <c r="BV74">
        <f>IF($C74="",99,IF(AND($BH74&lt;1,AF$3&gt;=MAX(N($P74),N($S74))),10,99))</f>
        <v/>
      </c>
      <c r="BW74">
        <f>IF($C74="",99,IF(AND($BI74&lt;1,AG$3&gt;=MAX(N($P74),N($S74))),11,99))</f>
        <v/>
      </c>
      <c r="BX74">
        <f>IF($C74="",99,IF(AND($BJ74&lt;1,AH$3&gt;=MAX(N($P74),N($S74))),12,99))</f>
        <v/>
      </c>
      <c r="BY74">
        <f>IF($C74="",99,IF(AND($BK74&lt;1,AI$3&gt;=MAX(N($P74),N($S74))),13,99))</f>
        <v/>
      </c>
      <c r="BZ74">
        <f>IF(OR($C74="",$M74=""),"",COUNTIF($AJ74:$AW74,"&gt;=1"))</f>
        <v/>
      </c>
      <c r="CA74" s="90">
        <f>IF($BZ74="","",IF($BZ74&gt;=14,"",'設定'!$C$6+$BZ74))</f>
        <v/>
      </c>
      <c r="CB74">
        <f>IF(OR($C74="",$M74=""),"",MIN($BL74:$BY74))</f>
        <v/>
      </c>
      <c r="CC74" s="90">
        <f>IF($CB74="","",IF($CB74&gt;=99,"",'設定'!$C$6+$CB74))</f>
        <v/>
      </c>
      <c r="CD74">
        <f>IF(OR($C74="",$M74=""),"",AVERAGE($V74:$AI74))</f>
        <v/>
      </c>
      <c r="CE74">
        <f>IF($C74="","",IFERROR(IF(MATCH(IF(ISNUMBER($P74),$P74,'設定'!$C$6+N('設定'!$C$7)),$V$3:$AI$3,0)=1,MAX(0,N($L74)),INDEX($AJ74:$AW74,MATCH(IF(ISNUMBER($P74),$P74,'設定'!$C$6+N('設定'!$C$7)),$V$3:$AI$3,0)-1)),""))</f>
        <v/>
      </c>
      <c r="CF74">
        <f>IF(OR($C74="",$O74="",$CE74=""),"",IF($O74-$CE74&lt;=0,0,ROUNDUP(($O74-$CE74)/$G74,0)))</f>
        <v/>
      </c>
      <c r="CG74">
        <f>IF(OR($C74="",$CF74="",NOT(ISNUMBER($Q74))),0,MAX(0,$Q74-$CF74))</f>
        <v/>
      </c>
      <c r="CH74">
        <f>IF(OR($C74="",$O74="",$U74=0),0,IFERROR(ROUNDUP(MAX(0,IF(MATCH($S74,$V$3:$AI$3,0)=1,MAX(0,N($L74)),INDEX($AX74:$BK74,MATCH($S74,$V$3:$AI$3,0)-1))+$U74-$O74)/$G74,0),0))</f>
        <v/>
      </c>
      <c r="CI74">
        <f>IF($C74="","",IF(AND($P74="",$Q74=""),"",IF($P74="","⚠ 入庫日を ▼ から選んでください",IF(NOT(ISNUMBER($P74)),"⚠ 入庫日は ▼ から選んでください",IF($P74&lt;N('設定'!$C$6),"⚠ 入庫日が過去です（もう在庫に入っています）→ 消してください",IF($P74&gt;N('設定'!$C$6)+13,"⚠ 入庫日が14日より先です",IF(N($Q74)&lt;=0,"⚠ 入庫数を入れてください",IF($CG74&gt;0,"⚠ 目安より "&amp;$CG74&amp;" 多い（定数を超える）→ 減らす",""))))))))</f>
        <v/>
      </c>
      <c r="CJ74">
        <f>IF($C74="","",IF(AND($S74="",$T74=""),"",IF($S74="","⚠ 2便目：入庫日を ▼ から選んでください",IF(NOT(ISNUMBER($S74)),"⚠ 2便目：入庫日は ▼ から選んでください",IF($S74&lt;N('設定'!$C$6),"⚠ 2便目：入庫日が過去です（もう在庫に入っています）→ 消してください",IF($S74&gt;N('設定'!$C$6)+13,"⚠ 2便目：入庫日が14日より先です",IF(N($T74)&lt;=0,"⚠ 2便目：入庫数を入れてください",IF($CH74&gt;0,"⚠ 2便目：定数を "&amp;$CH74&amp;" ケース超える → 減らす",""))))))))</f>
        <v/>
      </c>
      <c r="CK74">
        <f>IF(AND($CI74="",N($Q74)&gt;0,ISNUMBER($P74)),1,0)</f>
        <v/>
      </c>
      <c r="CL74">
        <f>IF(AND($CJ74="",N($T74)&gt;0,ISNUMBER($S74)),1,0)</f>
        <v/>
      </c>
      <c r="CM74">
        <f>IF(OR($CK74=1,$CL74=1),1,0)</f>
        <v/>
      </c>
      <c r="CN74">
        <f>IF($C74="",0,($CK74*$R74+$CL74*$U74)*N($H74))</f>
        <v/>
      </c>
      <c r="CO74">
        <f>IF($C74="","",IF($CC74="","入庫後は 14日以上もつ",IF($CC74-N('設定'!$C$7)&lt;='設定'!$C$6,"入庫後も "&amp;TEXT($CC74,"m/d")&amp;"("&amp;CHOOSE(WEEKDAY($CC74),"日","月","火","水","木","金","土")&amp;")"&amp;" に切れる　もう1便を至急発注","入庫後も "&amp;TEXT($CC74,"m/d")&amp;"("&amp;CHOOSE(WEEKDAY($CC74),"日","月","火","水","木","金","土")&amp;")"&amp;" に切れる　"&amp;TEXT($CC74-N('設定'!$C$7),"m/d")&amp;"("&amp;CHOOSE(WEEKDAY($CC74-N('設定'!$C$7)),"日","月","火","水","木","金","土")&amp;")"&amp;" までに次を発注")))</f>
        <v/>
      </c>
      <c r="CP74">
        <f>IF($C74="","",IF('設定'!$C$6="","？ ①在庫を貼る に今日のCSVが貼られていない",IF($CS74=1,"－ 今日のCSVに無い（終売？）",IF($L74&lt;0,"● 在庫がマイナス　数えて「数えた在庫」に入れる",IF($L74=0,"● 在庫なし　至急発注",IF($M74="","？ 減り数が未設定（商品マスタ）",IF($B$3=0,"？ 動員が未入力（動員を入れる）",IF($CA74="","○ 14日以上もつ",IF($BZ74&lt;N('設定'!$C$7),"● "&amp;TEXT($CA74,"m/d")&amp;"("&amp;CHOOSE(WEEKDAY($CA74),"日","月","火","水","木","金","土")&amp;")"&amp;" に切れる　至急発注",IF($BZ74=N('設定'!$C$7),"● "&amp;TEXT($CA74,"m/d")&amp;"("&amp;CHOOSE(WEEKDAY($CA74),"日","月","火","水","木","金","土")&amp;")"&amp;" に切れる　今日発注","△ "&amp;TEXT($CA74,"m/d")&amp;"("&amp;CHOOSE(WEEKDAY($CA74),"日","月","火","水","木","金","土")&amp;")"&amp;" に切れる　"&amp;TEXT($CA74-N('設定'!$C$7),"m/d")&amp;"("&amp;CHOOSE(WEEKDAY($CA74-N('設定'!$C$7)),"日","月","火","水","木","金","土")&amp;")"&amp;" までに発注"))))))))))</f>
        <v/>
      </c>
      <c r="CQ74">
        <f>IF($C74="","",IF(AND($P74="",$Q74="",$S74="",$T74=""),"",IF(AND($P74="",$Q74=""),"⚠ 先に1便目（左の入庫日・入庫数）に入れてください",IF($CI74&lt;&gt;"",$CI74,IF($CJ74&lt;&gt;"",$CJ74,IF($M74="","？ 減り数が未設定（発注書には載ります）",IF($B$3=0,"？ 動員が未入力（発注書には載ります）",IF(AND($CA74&lt;&gt;"",$P74&gt;$CA74),IF($P74&gt;'設定'!$C$6+N('設定'!$C$7),"● "&amp;TEXT($P74,"m/d")&amp;"("&amp;CHOOSE(WEEKDAY($P74),"日","月","火","水","木","金","土")&amp;")"&amp;" の入庫では間に合わない（"&amp;TEXT($CA74,"m/d")&amp;"("&amp;CHOOSE(WEEKDAY($CA74),"日","月","火","水","木","金","土")&amp;")"&amp;" に切れる）　入庫日を早める","△ 欠品 "&amp;TEXT($CA74,"m/d")&amp;"("&amp;CHOOSE(WEEKDAY($CA74),"日","月","火","水","木","金","土")&amp;")"&amp;"〜"&amp;TEXT($P74-1,"m/d")&amp;"("&amp;CHOOSE(WEEKDAY($P74-1),"日","月","火","水","木","金","土")&amp;")"&amp;"　"&amp;$CO74),IF($CC74="","○ "&amp;TEXT($P74,"m/d")&amp;"("&amp;CHOOSE(WEEKDAY($P74),"日","月","火","水","木","金","土")&amp;")"&amp;" 入庫で 14日以上もつ",IF($CC74-N('設定'!$C$7)&lt;='設定'!$C$6,"● 入庫しても "&amp;TEXT($CC74,"m/d")&amp;"("&amp;CHOOSE(WEEKDAY($CC74),"日","月","火","水","木","金","土")&amp;")"&amp;" に切れる　もう1便を至急発注（2便目に入れる）","△ 入庫しても "&amp;TEXT($CC74,"m/d")&amp;"("&amp;CHOOSE(WEEKDAY($CC74),"日","月","火","水","木","金","土")&amp;")"&amp;" に切れる　"&amp;TEXT($CC74-N('設定'!$C$7),"m/d")&amp;"("&amp;CHOOSE(WEEKDAY($CC74-N('設定'!$C$7)),"日","月","火","水","木","金","土")&amp;")"&amp;" までに次を発注（2便目に入れる）"))))))))))</f>
        <v/>
      </c>
      <c r="CR74">
        <f>IF($C74="","",IF($G74&gt;1,"ｹｰｽ("&amp;$G74&amp;"入)","個"))</f>
        <v/>
      </c>
      <c r="CS74">
        <f>IF($C74="",0,IF(COUNTIFS('①在庫を貼る'!$V$6:$V$10005,'設定'!$C$4,'①在庫を貼る'!$W$6:$W$10005,$C74)=0,1,0))</f>
        <v/>
      </c>
      <c r="CT74">
        <f>IF(AND($CK74=1,OR('③発注書'!$C$4="すべて",'③発注書'!$C$4="",$F74='③発注書'!$C$4)),N($CT73)+1,N($CT73))</f>
        <v/>
      </c>
      <c r="CU74">
        <f>IF(AND($CL74=1,OR('③発注書'!$C$4="すべて",'③発注書'!$C$4="",$F74='③発注書'!$C$4)),N($CU73)+1,N($CU73))</f>
        <v/>
      </c>
      <c r="CV74">
        <f>IF($C74="",0,IF(COUNTIFS('①在庫を貼る'!$V$6:$V$10005,'設定'!$C$4,'①在庫を貼る'!$W$6:$W$10005,$C74)&gt;0,1,0))</f>
        <v/>
      </c>
      <c r="CW74">
        <f>IF($C74="",0,IF(COUNTIFS('月1回_1ヶ月前の在庫'!$V$6:$V$10005,'設定'!$C$4,'月1回_1ヶ月前の在庫'!$W$6:$W$10005,$C74)&gt;0,1,0))</f>
        <v/>
      </c>
      <c r="CX74">
        <f>IF($C74="",0,IF(COUNTIFS('月1回_2ヶ月前の在庫'!$V$6:$V$10005,'設定'!$C$4,'月1回_2ヶ月前の在庫'!$W$6:$W$10005,$C74)&gt;0,1,0))</f>
        <v/>
      </c>
      <c r="CY74">
        <f>IF(OR($C74="",'設定'!$C$12=""),"",IF('設定'!$C$13="",IF(AND($CV74=1,$CW74=0),"新商品（今月から）",IF(AND($CV74=0,$CW74=1),"終売（今月から）","")),IF(AND($CV74=1,$CW74=0,$CX74=0),"新商品（今月から）",IF(AND($CV74=1,$CW74=1,$CX74=0),"新商品（先月から）",IF(AND($CV74=0,$CW74=1,$CX74=1),"終売（今月から）",IF(AND($CV74=0,$CW74=0,$CX74=1),"終売（先月から）",IF(AND($CV74=1,$CW74=0,$CX74=1),"復活（先月は無し）","")))))))</f>
        <v/>
      </c>
    </row>
    <row r="75">
      <c r="B75">
        <f>IF(70&lt;='設定'!$C$11,70,"")</f>
        <v/>
      </c>
      <c r="C75">
        <f>IF($B75="","",IF($B75&lt;='設定'!$C$20,INDEX('商品マスタ'!$B$6:$B$1005,MATCH($B75,'商品マスタ'!$M$6:$M$1005,0)),IF($B75&lt;='設定'!$C$20+'設定'!$C$17,INDEX('①在庫を貼る'!$W$6:$W$10005,MATCH($B75-'設定'!$C$20,'①在庫を貼る'!$U$6:$U$10005,0)),IF($B75&lt;='設定'!$C$20+'設定'!$C$17+'設定'!$C$18,INDEX('月1回_1ヶ月前の在庫'!$W$6:$W$10005,MATCH($B75-'設定'!$C$20-'設定'!$C$17,'月1回_1ヶ月前の在庫'!$U$6:$U$10005,0)),INDEX('月1回_2ヶ月前の在庫'!$W$6:$W$10005,MATCH($B75-'設定'!$C$20-'設定'!$C$17-'設定'!$C$18,'月1回_2ヶ月前の在庫'!$U$6:$U$10005,0))))))</f>
        <v/>
      </c>
      <c r="D75">
        <f>IF($C75="","",IFERROR(IF(INDEX('商品マスタ'!$C$6:$C$1005,MATCH($C75,'商品マスタ'!$B$6:$B$1005,0))="",IFERROR(INDEX('①在庫を貼る'!$J$6:$J$10005,MATCH($C75,'①在庫を貼る'!$W$6:$W$10005,0)),IFERROR(INDEX('月1回_1ヶ月前の在庫'!$J$6:$J$10005,MATCH($C75,'月1回_1ヶ月前の在庫'!$W$6:$W$10005,0)),IFERROR(INDEX('月1回_2ヶ月前の在庫'!$J$6:$J$10005,MATCH($C75,'月1回_2ヶ月前の在庫'!$W$6:$W$10005,0)),""))),INDEX('商品マスタ'!$C$6:$C$1005,MATCH($C75,'商品マスタ'!$B$6:$B$1005,0))),IFERROR(INDEX('①在庫を貼る'!$J$6:$J$10005,MATCH($C75,'①在庫を貼る'!$W$6:$W$10005,0)),IFERROR(INDEX('月1回_1ヶ月前の在庫'!$J$6:$J$10005,MATCH($C75,'月1回_1ヶ月前の在庫'!$W$6:$W$10005,0)),IFERROR(INDEX('月1回_2ヶ月前の在庫'!$J$6:$J$10005,MATCH($C75,'月1回_2ヶ月前の在庫'!$W$6:$W$10005,0)),"")))))</f>
        <v/>
      </c>
      <c r="E75">
        <f>IF($C75="","",IFERROR(IF(INDEX('商品マスタ'!$D$6:$D$1005,MATCH($C75,'商品マスタ'!$B$6:$B$1005,0))="",IFERROR(INDEX('①在庫を貼る'!$H$6:$H$10005,MATCH($C75,'①在庫を貼る'!$W$6:$W$10005,0)),IFERROR(INDEX('月1回_1ヶ月前の在庫'!$H$6:$H$10005,MATCH($C75,'月1回_1ヶ月前の在庫'!$W$6:$W$10005,0)),IFERROR(INDEX('月1回_2ヶ月前の在庫'!$H$6:$H$10005,MATCH($C75,'月1回_2ヶ月前の在庫'!$W$6:$W$10005,0)),""))),INDEX('商品マスタ'!$D$6:$D$1005,MATCH($C75,'商品マスタ'!$B$6:$B$1005,0))),IFERROR(INDEX('①在庫を貼る'!$H$6:$H$10005,MATCH($C75,'①在庫を貼る'!$W$6:$W$10005,0)),IFERROR(INDEX('月1回_1ヶ月前の在庫'!$H$6:$H$10005,MATCH($C75,'月1回_1ヶ月前の在庫'!$W$6:$W$10005,0)),IFERROR(INDEX('月1回_2ヶ月前の在庫'!$H$6:$H$10005,MATCH($C75,'月1回_2ヶ月前の在庫'!$W$6:$W$10005,0)),"")))))</f>
        <v/>
      </c>
      <c r="F75">
        <f>IF($C75="","",IFERROR(IF(INDEX('商品マスタ'!$E$6:$E$1005,MATCH($C75,'商品マスタ'!$B$6:$B$1005,0))="",IFERROR(INDEX('①在庫を貼る'!$E$6:$E$10005,MATCH($C75,'①在庫を貼る'!$W$6:$W$10005,0)),IFERROR(INDEX('月1回_1ヶ月前の在庫'!$E$6:$E$10005,MATCH($C75,'月1回_1ヶ月前の在庫'!$W$6:$W$10005,0)),IFERROR(INDEX('月1回_2ヶ月前の在庫'!$E$6:$E$10005,MATCH($C75,'月1回_2ヶ月前の在庫'!$W$6:$W$10005,0)),""))),INDEX('商品マスタ'!$E$6:$E$1005,MATCH($C75,'商品マスタ'!$B$6:$B$1005,0))),IFERROR(INDEX('①在庫を貼る'!$E$6:$E$10005,MATCH($C75,'①在庫を貼る'!$W$6:$W$10005,0)),IFERROR(INDEX('月1回_1ヶ月前の在庫'!$E$6:$E$10005,MATCH($C75,'月1回_1ヶ月前の在庫'!$W$6:$W$10005,0)),IFERROR(INDEX('月1回_2ヶ月前の在庫'!$E$6:$E$10005,MATCH($C75,'月1回_2ヶ月前の在庫'!$W$6:$W$10005,0)),"")))))</f>
        <v/>
      </c>
      <c r="G75">
        <f>IF($C75="","",MAX(1,N(IFERROR(IF(INDEX('商品マスタ'!$F$6:$F$1005,MATCH($C75,'商品マスタ'!$B$6:$B$1005,0))="",IF(COUNTIFS('①在庫を貼る'!$V$6:$V$10005,'設定'!$C$4,'①在庫を貼る'!$W$6:$W$10005,$C75)&gt;0,SUMIFS('①在庫を貼る'!$K$6:$K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K$6:$K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K$6:$K$10005,'月1回_2ヶ月前の在庫'!$V$6:$V$10005,'設定'!$C$4,'月1回_2ヶ月前の在庫'!$W$6:$W$10005,$C75)/COUNTIFS('月1回_2ヶ月前の在庫'!$V$6:$V$10005,'設定'!$C$4,'月1回_2ヶ月前の在庫'!$W$6:$W$10005,$C75),0))),INDEX('商品マスタ'!$F$6:$F$1005,MATCH($C75,'商品マスタ'!$B$6:$B$1005,0))),IF(COUNTIFS('①在庫を貼る'!$V$6:$V$10005,'設定'!$C$4,'①在庫を貼る'!$W$6:$W$10005,$C75)&gt;0,SUMIFS('①在庫を貼る'!$K$6:$K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K$6:$K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K$6:$K$10005,'月1回_2ヶ月前の在庫'!$V$6:$V$10005,'設定'!$C$4,'月1回_2ヶ月前の在庫'!$W$6:$W$10005,$C75)/COUNTIFS('月1回_2ヶ月前の在庫'!$V$6:$V$10005,'設定'!$C$4,'月1回_2ヶ月前の在庫'!$W$6:$W$10005,$C75),0)))))))</f>
        <v/>
      </c>
      <c r="H75">
        <f>IF($C75="","",N(IFERROR(IF(INDEX('商品マスタ'!$G$6:$G$1005,MATCH($C75,'商品マスタ'!$B$6:$B$1005,0))="",IF(COUNTIFS('①在庫を貼る'!$V$6:$V$10005,'設定'!$C$4,'①在庫を貼る'!$W$6:$W$10005,$C75)&gt;0,SUMIFS('①在庫を貼る'!$Q$6:$Q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Q$6:$Q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Q$6:$Q$10005,'月1回_2ヶ月前の在庫'!$V$6:$V$10005,'設定'!$C$4,'月1回_2ヶ月前の在庫'!$W$6:$W$10005,$C75)/COUNTIFS('月1回_2ヶ月前の在庫'!$V$6:$V$10005,'設定'!$C$4,'月1回_2ヶ月前の在庫'!$W$6:$W$10005,$C75),0))),INDEX('商品マスタ'!$G$6:$G$1005,MATCH($C75,'商品マスタ'!$B$6:$B$1005,0))),IF(COUNTIFS('①在庫を貼る'!$V$6:$V$10005,'設定'!$C$4,'①在庫を貼る'!$W$6:$W$10005,$C75)&gt;0,SUMIFS('①在庫を貼る'!$Q$6:$Q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Q$6:$Q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Q$6:$Q$10005,'月1回_2ヶ月前の在庫'!$V$6:$V$10005,'設定'!$C$4,'月1回_2ヶ月前の在庫'!$W$6:$W$10005,$C75)/COUNTIFS('月1回_2ヶ月前の在庫'!$V$6:$V$10005,'設定'!$C$4,'月1回_2ヶ月前の在庫'!$W$6:$W$10005,$C75),0))))))</f>
        <v/>
      </c>
      <c r="I75">
        <f>IF($C75="","",IF(COUNTIFS('①在庫を貼る'!$V$6:$V$10005,'設定'!$C$4,'①在庫を貼る'!$W$6:$W$10005,$C75)=0,"",SUMIFS('①在庫を貼る'!$N$6:$N$10005,'①在庫を貼る'!$V$6:$V$10005,'設定'!$C$4,'①在庫を貼る'!$W$6:$W$10005,$C75)))</f>
        <v/>
      </c>
      <c r="J75">
        <f>IF($C75="","",IF('②発注する'!$AD79="","",'②発注する'!$AD79))</f>
        <v/>
      </c>
      <c r="K75" s="90">
        <f>IF($C75="","",IF('②発注する'!$AE79="","",'②発注する'!$AE79))</f>
        <v/>
      </c>
      <c r="L75">
        <f>IF($C75="","",IF(AND(ISNUMBER($J75),ISNUMBER($K75),$K75&gt;='設定'!$C$6),$J75,N($I75)))</f>
        <v/>
      </c>
      <c r="M75">
        <f>IF($C75="","",IFERROR(IF(N(INDEX('商品マスタ'!$J$6:$J$1005,MATCH($C75,'商品マスタ'!$B$6:$B$1005,0)))&gt;0,INDEX('商品マスタ'!$J$6:$J$1005,MATCH($C75,'商品マスタ'!$B$6:$B$1005,0)),""),""))</f>
        <v/>
      </c>
      <c r="N75">
        <f>IF($C75="","",IFERROR(IF(N(INDEX('商品マスタ'!$H$6:$H$1005,MATCH($C75,'商品マスタ'!$B$6:$B$1005,0)))&gt;0,INDEX('商品マスタ'!$H$6:$H$1005,MATCH($C75,'商品マスタ'!$B$6:$B$1005,0)),""),""))</f>
        <v/>
      </c>
      <c r="O75">
        <f>IF($C75="","",IF($N75&lt;&gt;"",$N75*$G75,IF(N(IF(COUNTIFS('①在庫を貼る'!$V$6:$V$10005,'設定'!$C$4,'①在庫を貼る'!$W$6:$W$10005,$C75)&gt;0,SUMIFS('①在庫を貼る'!$O$6:$O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O$6:$O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O$6:$O$10005,'月1回_2ヶ月前の在庫'!$V$6:$V$10005,'設定'!$C$4,'月1回_2ヶ月前の在庫'!$W$6:$W$10005,$C75)/COUNTIFS('月1回_2ヶ月前の在庫'!$V$6:$V$10005,'設定'!$C$4,'月1回_2ヶ月前の在庫'!$W$6:$W$10005,$C75),0))))&gt;0,N(IF(COUNTIFS('①在庫を貼る'!$V$6:$V$10005,'設定'!$C$4,'①在庫を貼る'!$W$6:$W$10005,$C75)&gt;0,SUMIFS('①在庫を貼る'!$O$6:$O$10005,'①在庫を貼る'!$V$6:$V$10005,'設定'!$C$4,'①在庫を貼る'!$W$6:$W$10005,$C75)/COUNTIFS('①在庫を貼る'!$V$6:$V$10005,'設定'!$C$4,'①在庫を貼る'!$W$6:$W$10005,$C75),IF(COUNTIFS('月1回_1ヶ月前の在庫'!$V$6:$V$10005,'設定'!$C$4,'月1回_1ヶ月前の在庫'!$W$6:$W$10005,$C75)&gt;0,SUMIFS('月1回_1ヶ月前の在庫'!$O$6:$O$10005,'月1回_1ヶ月前の在庫'!$V$6:$V$10005,'設定'!$C$4,'月1回_1ヶ月前の在庫'!$W$6:$W$10005,$C75)/COUNTIFS('月1回_1ヶ月前の在庫'!$V$6:$V$10005,'設定'!$C$4,'月1回_1ヶ月前の在庫'!$W$6:$W$10005,$C75),IF(COUNTIFS('月1回_2ヶ月前の在庫'!$V$6:$V$10005,'設定'!$C$4,'月1回_2ヶ月前の在庫'!$W$6:$W$10005,$C75)&gt;0,SUMIFS('月1回_2ヶ月前の在庫'!$O$6:$O$10005,'月1回_2ヶ月前の在庫'!$V$6:$V$10005,'設定'!$C$4,'月1回_2ヶ月前の在庫'!$W$6:$W$10005,$C75)/COUNTIFS('月1回_2ヶ月前の在庫'!$V$6:$V$10005,'設定'!$C$4,'月1回_2ヶ月前の在庫'!$W$6:$W$10005,$C75),0)))),"")))</f>
        <v/>
      </c>
      <c r="P75" s="90">
        <f>IF($C75="","",IF('②発注する'!$I79="","",'②発注する'!$I79))</f>
        <v/>
      </c>
      <c r="Q75">
        <f>IF($C75="","",IF('②発注する'!$J79="","",'②発注する'!$J79))</f>
        <v/>
      </c>
      <c r="R75">
        <f>IF($C75="",0,IF(AND(ISNUMBER($P75),ISNUMBER($Q75)),MAX(0,$Q75)*$G75,0))</f>
        <v/>
      </c>
      <c r="S75" s="90">
        <f>IF($C75="","",IF('②発注する'!$M79="","",'②発注する'!$M79))</f>
        <v/>
      </c>
      <c r="T75">
        <f>IF($C75="","",IF('②発注する'!$N79="","",'②発注する'!$N79))</f>
        <v/>
      </c>
      <c r="U75">
        <f>IF($C75="",0,IF(AND(ISNUMBER($S75),ISNUMBER($T75)),MAX(0,$T75)*$G75,0))</f>
        <v/>
      </c>
      <c r="V75">
        <f>IF($C75="",0,IF($M75="",0,MAX(0,$M75)*MAX(0,V$4)/100))</f>
        <v/>
      </c>
      <c r="W75">
        <f>IF($C75="",0,IF($M75="",0,MAX(0,$M75)*MAX(0,W$4)/100))</f>
        <v/>
      </c>
      <c r="X75">
        <f>IF($C75="",0,IF($M75="",0,MAX(0,$M75)*MAX(0,X$4)/100))</f>
        <v/>
      </c>
      <c r="Y75">
        <f>IF($C75="",0,IF($M75="",0,MAX(0,$M75)*MAX(0,Y$4)/100))</f>
        <v/>
      </c>
      <c r="Z75">
        <f>IF($C75="",0,IF($M75="",0,MAX(0,$M75)*MAX(0,Z$4)/100))</f>
        <v/>
      </c>
      <c r="AA75">
        <f>IF($C75="",0,IF($M75="",0,MAX(0,$M75)*MAX(0,AA$4)/100))</f>
        <v/>
      </c>
      <c r="AB75">
        <f>IF($C75="",0,IF($M75="",0,MAX(0,$M75)*MAX(0,AB$4)/100))</f>
        <v/>
      </c>
      <c r="AC75">
        <f>IF($C75="",0,IF($M75="",0,MAX(0,$M75)*MAX(0,AC$4)/100))</f>
        <v/>
      </c>
      <c r="AD75">
        <f>IF($C75="",0,IF($M75="",0,MAX(0,$M75)*MAX(0,AD$4)/100))</f>
        <v/>
      </c>
      <c r="AE75">
        <f>IF($C75="",0,IF($M75="",0,MAX(0,$M75)*MAX(0,AE$4)/100))</f>
        <v/>
      </c>
      <c r="AF75">
        <f>IF($C75="",0,IF($M75="",0,MAX(0,$M75)*MAX(0,AF$4)/100))</f>
        <v/>
      </c>
      <c r="AG75">
        <f>IF($C75="",0,IF($M75="",0,MAX(0,$M75)*MAX(0,AG$4)/100))</f>
        <v/>
      </c>
      <c r="AH75">
        <f>IF($C75="",0,IF($M75="",0,MAX(0,$M75)*MAX(0,AH$4)/100))</f>
        <v/>
      </c>
      <c r="AI75">
        <f>IF($C75="",0,IF($M75="",0,MAX(0,$M75)*MAX(0,AI$4)/100))</f>
        <v/>
      </c>
      <c r="AJ75">
        <f>IF($C75="",0,MAX(0,MAX(0,N($L75))-$V75))</f>
        <v/>
      </c>
      <c r="AK75">
        <f>IF($C75="",0,MAX(0,$AJ75-$W75))</f>
        <v/>
      </c>
      <c r="AL75">
        <f>IF($C75="",0,MAX(0,$AK75-$X75))</f>
        <v/>
      </c>
      <c r="AM75">
        <f>IF($C75="",0,MAX(0,$AL75-$Y75))</f>
        <v/>
      </c>
      <c r="AN75">
        <f>IF($C75="",0,MAX(0,$AM75-$Z75))</f>
        <v/>
      </c>
      <c r="AO75">
        <f>IF($C75="",0,MAX(0,$AN75-$AA75))</f>
        <v/>
      </c>
      <c r="AP75">
        <f>IF($C75="",0,MAX(0,$AO75-$AB75))</f>
        <v/>
      </c>
      <c r="AQ75">
        <f>IF($C75="",0,MAX(0,$AP75-$AC75))</f>
        <v/>
      </c>
      <c r="AR75">
        <f>IF($C75="",0,MAX(0,$AQ75-$AD75))</f>
        <v/>
      </c>
      <c r="AS75">
        <f>IF($C75="",0,MAX(0,$AR75-$AE75))</f>
        <v/>
      </c>
      <c r="AT75">
        <f>IF($C75="",0,MAX(0,$AS75-$AF75))</f>
        <v/>
      </c>
      <c r="AU75">
        <f>IF($C75="",0,MAX(0,$AT75-$AG75))</f>
        <v/>
      </c>
      <c r="AV75">
        <f>IF($C75="",0,MAX(0,$AU75-$AH75))</f>
        <v/>
      </c>
      <c r="AW75">
        <f>IF($C75="",0,MAX(0,$AV75-$AI75))</f>
        <v/>
      </c>
      <c r="AX75">
        <f>IF($C75="",0,MAX(0,MAX(0,N($L75))+IF($P75=V$3,$R75,0)+IF($S75=V$3,$U75,0)-$V75))</f>
        <v/>
      </c>
      <c r="AY75">
        <f>IF($C75="",0,MAX(0,$AX75+IF($P75=W$3,$R75,0)+IF($S75=W$3,$U75,0)-$W75))</f>
        <v/>
      </c>
      <c r="AZ75">
        <f>IF($C75="",0,MAX(0,$AY75+IF($P75=X$3,$R75,0)+IF($S75=X$3,$U75,0)-$X75))</f>
        <v/>
      </c>
      <c r="BA75">
        <f>IF($C75="",0,MAX(0,$AZ75+IF($P75=Y$3,$R75,0)+IF($S75=Y$3,$U75,0)-$Y75))</f>
        <v/>
      </c>
      <c r="BB75">
        <f>IF($C75="",0,MAX(0,$BA75+IF($P75=Z$3,$R75,0)+IF($S75=Z$3,$U75,0)-$Z75))</f>
        <v/>
      </c>
      <c r="BC75">
        <f>IF($C75="",0,MAX(0,$BB75+IF($P75=AA$3,$R75,0)+IF($S75=AA$3,$U75,0)-$AA75))</f>
        <v/>
      </c>
      <c r="BD75">
        <f>IF($C75="",0,MAX(0,$BC75+IF($P75=AB$3,$R75,0)+IF($S75=AB$3,$U75,0)-$AB75))</f>
        <v/>
      </c>
      <c r="BE75">
        <f>IF($C75="",0,MAX(0,$BD75+IF($P75=AC$3,$R75,0)+IF($S75=AC$3,$U75,0)-$AC75))</f>
        <v/>
      </c>
      <c r="BF75">
        <f>IF($C75="",0,MAX(0,$BE75+IF($P75=AD$3,$R75,0)+IF($S75=AD$3,$U75,0)-$AD75))</f>
        <v/>
      </c>
      <c r="BG75">
        <f>IF($C75="",0,MAX(0,$BF75+IF($P75=AE$3,$R75,0)+IF($S75=AE$3,$U75,0)-$AE75))</f>
        <v/>
      </c>
      <c r="BH75">
        <f>IF($C75="",0,MAX(0,$BG75+IF($P75=AF$3,$R75,0)+IF($S75=AF$3,$U75,0)-$AF75))</f>
        <v/>
      </c>
      <c r="BI75">
        <f>IF($C75="",0,MAX(0,$BH75+IF($P75=AG$3,$R75,0)+IF($S75=AG$3,$U75,0)-$AG75))</f>
        <v/>
      </c>
      <c r="BJ75">
        <f>IF($C75="",0,MAX(0,$BI75+IF($P75=AH$3,$R75,0)+IF($S75=AH$3,$U75,0)-$AH75))</f>
        <v/>
      </c>
      <c r="BK75">
        <f>IF($C75="",0,MAX(0,$BJ75+IF($P75=AI$3,$R75,0)+IF($S75=AI$3,$U75,0)-$AI75))</f>
        <v/>
      </c>
      <c r="BL75">
        <f>IF($C75="",99,IF(AND($AX75&lt;1,V$3&gt;=MAX(N($P75),N($S75))),0,99))</f>
        <v/>
      </c>
      <c r="BM75">
        <f>IF($C75="",99,IF(AND($AY75&lt;1,W$3&gt;=MAX(N($P75),N($S75))),1,99))</f>
        <v/>
      </c>
      <c r="BN75">
        <f>IF($C75="",99,IF(AND($AZ75&lt;1,X$3&gt;=MAX(N($P75),N($S75))),2,99))</f>
        <v/>
      </c>
      <c r="BO75">
        <f>IF($C75="",99,IF(AND($BA75&lt;1,Y$3&gt;=MAX(N($P75),N($S75))),3,99))</f>
        <v/>
      </c>
      <c r="BP75">
        <f>IF($C75="",99,IF(AND($BB75&lt;1,Z$3&gt;=MAX(N($P75),N($S75))),4,99))</f>
        <v/>
      </c>
      <c r="BQ75">
        <f>IF($C75="",99,IF(AND($BC75&lt;1,AA$3&gt;=MAX(N($P75),N($S75))),5,99))</f>
        <v/>
      </c>
      <c r="BR75">
        <f>IF($C75="",99,IF(AND($BD75&lt;1,AB$3&gt;=MAX(N($P75),N($S75))),6,99))</f>
        <v/>
      </c>
      <c r="BS75">
        <f>IF($C75="",99,IF(AND($BE75&lt;1,AC$3&gt;=MAX(N($P75),N($S75))),7,99))</f>
        <v/>
      </c>
      <c r="BT75">
        <f>IF($C75="",99,IF(AND($BF75&lt;1,AD$3&gt;=MAX(N($P75),N($S75))),8,99))</f>
        <v/>
      </c>
      <c r="BU75">
        <f>IF($C75="",99,IF(AND($BG75&lt;1,AE$3&gt;=MAX(N($P75),N($S75))),9,99))</f>
        <v/>
      </c>
      <c r="BV75">
        <f>IF($C75="",99,IF(AND($BH75&lt;1,AF$3&gt;=MAX(N($P75),N($S75))),10,99))</f>
        <v/>
      </c>
      <c r="BW75">
        <f>IF($C75="",99,IF(AND($BI75&lt;1,AG$3&gt;=MAX(N($P75),N($S75))),11,99))</f>
        <v/>
      </c>
      <c r="BX75">
        <f>IF($C75="",99,IF(AND($BJ75&lt;1,AH$3&gt;=MAX(N($P75),N($S75))),12,99))</f>
        <v/>
      </c>
      <c r="BY75">
        <f>IF($C75="",99,IF(AND($BK75&lt;1,AI$3&gt;=MAX(N($P75),N($S75))),13,99))</f>
        <v/>
      </c>
      <c r="BZ75">
        <f>IF(OR($C75="",$M75=""),"",COUNTIF($AJ75:$AW75,"&gt;=1"))</f>
        <v/>
      </c>
      <c r="CA75" s="90">
        <f>IF($BZ75="","",IF($BZ75&gt;=14,"",'設定'!$C$6+$BZ75))</f>
        <v/>
      </c>
      <c r="CB75">
        <f>IF(OR($C75="",$M75=""),"",MIN($BL75:$BY75))</f>
        <v/>
      </c>
      <c r="CC75" s="90">
        <f>IF($CB75="","",IF($CB75&gt;=99,"",'設定'!$C$6+$CB75))</f>
        <v/>
      </c>
      <c r="CD75">
        <f>IF(OR($C75="",$M75=""),"",AVERAGE($V75:$AI75))</f>
        <v/>
      </c>
      <c r="CE75">
        <f>IF($C75="","",IFERROR(IF(MATCH(IF(ISNUMBER($P75),$P75,'設定'!$C$6+N('設定'!$C$7)),$V$3:$AI$3,0)=1,MAX(0,N($L75)),INDEX($AJ75:$AW75,MATCH(IF(ISNUMBER($P75),$P75,'設定'!$C$6+N('設定'!$C$7)),$V$3:$AI$3,0)-1)),""))</f>
        <v/>
      </c>
      <c r="CF75">
        <f>IF(OR($C75="",$O75="",$CE75=""),"",IF($O75-$CE75&lt;=0,0,ROUNDUP(($O75-$CE75)/$G75,0)))</f>
        <v/>
      </c>
      <c r="CG75">
        <f>IF(OR($C75="",$CF75="",NOT(ISNUMBER($Q75))),0,MAX(0,$Q75-$CF75))</f>
        <v/>
      </c>
      <c r="CH75">
        <f>IF(OR($C75="",$O75="",$U75=0),0,IFERROR(ROUNDUP(MAX(0,IF(MATCH($S75,$V$3:$AI$3,0)=1,MAX(0,N($L75)),INDEX($AX75:$BK75,MATCH($S75,$V$3:$AI$3,0)-1))+$U75-$O75)/$G75,0),0))</f>
        <v/>
      </c>
      <c r="CI75">
        <f>IF($C75="","",IF(AND($P75="",$Q75=""),"",IF($P75="","⚠ 入庫日を ▼ から選んでください",IF(NOT(ISNUMBER($P75)),"⚠ 入庫日は ▼ から選んでください",IF($P75&lt;N('設定'!$C$6),"⚠ 入庫日が過去です（もう在庫に入っています）→ 消してください",IF($P75&gt;N('設定'!$C$6)+13,"⚠ 入庫日が14日より先です",IF(N($Q75)&lt;=0,"⚠ 入庫数を入れてください",IF($CG75&gt;0,"⚠ 目安より "&amp;$CG75&amp;" 多い（定数を超える）→ 減らす",""))))))))</f>
        <v/>
      </c>
      <c r="CJ75">
        <f>IF($C75="","",IF(AND($S75="",$T75=""),"",IF($S75="","⚠ 2便目：入庫日を ▼ から選んでください",IF(NOT(ISNUMBER($S75)),"⚠ 2便目：入庫日は ▼ から選んでください",IF($S75&lt;N('設定'!$C$6),"⚠ 2便目：入庫日が過去です（もう在庫に入っています）→ 消してください",IF($S75&gt;N('設定'!$C$6)+13,"⚠ 2便目：入庫日が14日より先です",IF(N($T75)&lt;=0,"⚠ 2便目：入庫数を入れてください",IF($CH75&gt;0,"⚠ 2便目：定数を "&amp;$CH75&amp;" ケース超える → 減らす",""))))))))</f>
        <v/>
      </c>
      <c r="CK75">
        <f>IF(AND($CI75="",N($Q75)&gt;0,ISNUMBER($P75)),1,0)</f>
        <v/>
      </c>
      <c r="CL75">
        <f>IF(AND($CJ75="",N($T75)&gt;0,ISNUMBER($S75)),1,0)</f>
        <v/>
      </c>
      <c r="CM75">
        <f>IF(OR($CK75=1,$CL75=1),1,0)</f>
        <v/>
      </c>
      <c r="CN75">
        <f>IF($C75="",0,($CK75*$R75+$CL75*$U75)*N($H75))</f>
        <v/>
      </c>
      <c r="CO75">
        <f>IF($C75="","",IF($CC75="","入庫後は 14日以上もつ",IF($CC75-N('設定'!$C$7)&lt;='設定'!$C$6,"入庫後も "&amp;TEXT($CC75,"m/d")&amp;"("&amp;CHOOSE(WEEKDAY($CC75),"日","月","火","水","木","金","土")&amp;")"&amp;" に切れる　もう1便を至急発注","入庫後も "&amp;TEXT($CC75,"m/d")&amp;"("&amp;CHOOSE(WEEKDAY($CC75),"日","月","火","水","木","金","土")&amp;")"&amp;" に切れる　"&amp;TEXT($CC75-N('設定'!$C$7),"m/d")&amp;"("&amp;CHOOSE(WEEKDAY($CC75-N('設定'!$C$7)),"日","月","火","水","木","金","土")&amp;")"&amp;" までに次を発注")))</f>
        <v/>
      </c>
      <c r="CP75">
        <f>IF($C75="","",IF('設定'!$C$6="","？ ①在庫を貼る に今日のCSVが貼られていない",IF($CS75=1,"－ 今日のCSVに無い（終売？）",IF($L75&lt;0,"● 在庫がマイナス　数えて「数えた在庫」に入れる",IF($L75=0,"● 在庫なし　至急発注",IF($M75="","？ 減り数が未設定（商品マスタ）",IF($B$3=0,"？ 動員が未入力（動員を入れる）",IF($CA75="","○ 14日以上もつ",IF($BZ75&lt;N('設定'!$C$7),"● "&amp;TEXT($CA75,"m/d")&amp;"("&amp;CHOOSE(WEEKDAY($CA75),"日","月","火","水","木","金","土")&amp;")"&amp;" に切れる　至急発注",IF($BZ75=N('設定'!$C$7),"● "&amp;TEXT($CA75,"m/d")&amp;"("&amp;CHOOSE(WEEKDAY($CA75),"日","月","火","水","木","金","土")&amp;")"&amp;" に切れる　今日発注","△ "&amp;TEXT($CA75,"m/d")&amp;"("&amp;CHOOSE(WEEKDAY($CA75),"日","月","火","水","木","金","土")&amp;")"&amp;" に切れる　"&amp;TEXT($CA75-N('設定'!$C$7),"m/d")&amp;"("&amp;CHOOSE(WEEKDAY($CA75-N('設定'!$C$7)),"日","月","火","水","木","金","土")&amp;")"&amp;" までに発注"))))))))))</f>
        <v/>
      </c>
      <c r="CQ75">
        <f>IF($C75="","",IF(AND($P75="",$Q75="",$S75="",$T75=""),"",IF(AND($P75="",$Q75=""),"⚠ 先に1便目（左の入庫日・入庫数）に入れてください",IF($CI75&lt;&gt;"",$CI75,IF($CJ75&lt;&gt;"",$CJ75,IF($M75="","？ 減り数が未設定（発注書には載ります）",IF($B$3=0,"？ 動員が未入力（発注書には載ります）",IF(AND($CA75&lt;&gt;"",$P75&gt;$CA75),IF($P75&gt;'設定'!$C$6+N('設定'!$C$7),"● "&amp;TEXT($P75,"m/d")&amp;"("&amp;CHOOSE(WEEKDAY($P75),"日","月","火","水","木","金","土")&amp;")"&amp;" の入庫では間に合わない（"&amp;TEXT($CA75,"m/d")&amp;"("&amp;CHOOSE(WEEKDAY($CA75),"日","月","火","水","木","金","土")&amp;")"&amp;" に切れる）　入庫日を早める","△ 欠品 "&amp;TEXT($CA75,"m/d")&amp;"("&amp;CHOOSE(WEEKDAY($CA75),"日","月","火","水","木","金","土")&amp;")"&amp;"〜"&amp;TEXT($P75-1,"m/d")&amp;"("&amp;CHOOSE(WEEKDAY($P75-1),"日","月","火","水","木","金","土")&amp;")"&amp;"　"&amp;$CO75),IF($CC75="","○ "&amp;TEXT($P75,"m/d")&amp;"("&amp;CHOOSE(WEEKDAY($P75),"日","月","火","水","木","金","土")&amp;")"&amp;" 入庫で 14日以上もつ",IF($CC75-N('設定'!$C$7)&lt;='設定'!$C$6,"● 入庫しても "&amp;TEXT($CC75,"m/d")&amp;"("&amp;CHOOSE(WEEKDAY($CC75),"日","月","火","水","木","金","土")&amp;")"&amp;" に切れる　もう1便を至急発注（2便目に入れる）","△ 入庫しても "&amp;TEXT($CC75,"m/d")&amp;"("&amp;CHOOSE(WEEKDAY($CC75),"日","月","火","水","木","金","土")&amp;")"&amp;" に切れる　"&amp;TEXT($CC75-N('設定'!$C$7),"m/d")&amp;"("&amp;CHOOSE(WEEKDAY($CC75-N('設定'!$C$7)),"日","月","火","水","木","金","土")&amp;")"&amp;" までに次を発注（2便目に入れる）"))))))))))</f>
        <v/>
      </c>
      <c r="CR75">
        <f>IF($C75="","",IF($G75&gt;1,"ｹｰｽ("&amp;$G75&amp;"入)","個"))</f>
        <v/>
      </c>
      <c r="CS75">
        <f>IF($C75="",0,IF(COUNTIFS('①在庫を貼る'!$V$6:$V$10005,'設定'!$C$4,'①在庫を貼る'!$W$6:$W$10005,$C75)=0,1,0))</f>
        <v/>
      </c>
      <c r="CT75">
        <f>IF(AND($CK75=1,OR('③発注書'!$C$4="すべて",'③発注書'!$C$4="",$F75='③発注書'!$C$4)),N($CT74)+1,N($CT74))</f>
        <v/>
      </c>
      <c r="CU75">
        <f>IF(AND($CL75=1,OR('③発注書'!$C$4="すべて",'③発注書'!$C$4="",$F75='③発注書'!$C$4)),N($CU74)+1,N($CU74))</f>
        <v/>
      </c>
      <c r="CV75">
        <f>IF($C75="",0,IF(COUNTIFS('①在庫を貼る'!$V$6:$V$10005,'設定'!$C$4,'①在庫を貼る'!$W$6:$W$10005,$C75)&gt;0,1,0))</f>
        <v/>
      </c>
      <c r="CW75">
        <f>IF($C75="",0,IF(COUNTIFS('月1回_1ヶ月前の在庫'!$V$6:$V$10005,'設定'!$C$4,'月1回_1ヶ月前の在庫'!$W$6:$W$10005,$C75)&gt;0,1,0))</f>
        <v/>
      </c>
      <c r="CX75">
        <f>IF($C75="",0,IF(COUNTIFS('月1回_2ヶ月前の在庫'!$V$6:$V$10005,'設定'!$C$4,'月1回_2ヶ月前の在庫'!$W$6:$W$10005,$C75)&gt;0,1,0))</f>
        <v/>
      </c>
      <c r="CY75">
        <f>IF(OR($C75="",'設定'!$C$12=""),"",IF('設定'!$C$13="",IF(AND($CV75=1,$CW75=0),"新商品（今月から）",IF(AND($CV75=0,$CW75=1),"終売（今月から）","")),IF(AND($CV75=1,$CW75=0,$CX75=0),"新商品（今月から）",IF(AND($CV75=1,$CW75=1,$CX75=0),"新商品（先月から）",IF(AND($CV75=0,$CW75=1,$CX75=1),"終売（今月から）",IF(AND($CV75=0,$CW75=0,$CX75=1),"終売（先月から）",IF(AND($CV75=1,$CW75=0,$CX75=1),"復活（先月は無し）","")))))))</f>
        <v/>
      </c>
    </row>
    <row r="76">
      <c r="B76">
        <f>IF(71&lt;='設定'!$C$11,71,"")</f>
        <v/>
      </c>
      <c r="C76">
        <f>IF($B76="","",IF($B76&lt;='設定'!$C$20,INDEX('商品マスタ'!$B$6:$B$1005,MATCH($B76,'商品マスタ'!$M$6:$M$1005,0)),IF($B76&lt;='設定'!$C$20+'設定'!$C$17,INDEX('①在庫を貼る'!$W$6:$W$10005,MATCH($B76-'設定'!$C$20,'①在庫を貼る'!$U$6:$U$10005,0)),IF($B76&lt;='設定'!$C$20+'設定'!$C$17+'設定'!$C$18,INDEX('月1回_1ヶ月前の在庫'!$W$6:$W$10005,MATCH($B76-'設定'!$C$20-'設定'!$C$17,'月1回_1ヶ月前の在庫'!$U$6:$U$10005,0)),INDEX('月1回_2ヶ月前の在庫'!$W$6:$W$10005,MATCH($B76-'設定'!$C$20-'設定'!$C$17-'設定'!$C$18,'月1回_2ヶ月前の在庫'!$U$6:$U$10005,0))))))</f>
        <v/>
      </c>
      <c r="D76">
        <f>IF($C76="","",IFERROR(IF(INDEX('商品マスタ'!$C$6:$C$1005,MATCH($C76,'商品マスタ'!$B$6:$B$1005,0))="",IFERROR(INDEX('①在庫を貼る'!$J$6:$J$10005,MATCH($C76,'①在庫を貼る'!$W$6:$W$10005,0)),IFERROR(INDEX('月1回_1ヶ月前の在庫'!$J$6:$J$10005,MATCH($C76,'月1回_1ヶ月前の在庫'!$W$6:$W$10005,0)),IFERROR(INDEX('月1回_2ヶ月前の在庫'!$J$6:$J$10005,MATCH($C76,'月1回_2ヶ月前の在庫'!$W$6:$W$10005,0)),""))),INDEX('商品マスタ'!$C$6:$C$1005,MATCH($C76,'商品マスタ'!$B$6:$B$1005,0))),IFERROR(INDEX('①在庫を貼る'!$J$6:$J$10005,MATCH($C76,'①在庫を貼る'!$W$6:$W$10005,0)),IFERROR(INDEX('月1回_1ヶ月前の在庫'!$J$6:$J$10005,MATCH($C76,'月1回_1ヶ月前の在庫'!$W$6:$W$10005,0)),IFERROR(INDEX('月1回_2ヶ月前の在庫'!$J$6:$J$10005,MATCH($C76,'月1回_2ヶ月前の在庫'!$W$6:$W$10005,0)),"")))))</f>
        <v/>
      </c>
      <c r="E76">
        <f>IF($C76="","",IFERROR(IF(INDEX('商品マスタ'!$D$6:$D$1005,MATCH($C76,'商品マスタ'!$B$6:$B$1005,0))="",IFERROR(INDEX('①在庫を貼る'!$H$6:$H$10005,MATCH($C76,'①在庫を貼る'!$W$6:$W$10005,0)),IFERROR(INDEX('月1回_1ヶ月前の在庫'!$H$6:$H$10005,MATCH($C76,'月1回_1ヶ月前の在庫'!$W$6:$W$10005,0)),IFERROR(INDEX('月1回_2ヶ月前の在庫'!$H$6:$H$10005,MATCH($C76,'月1回_2ヶ月前の在庫'!$W$6:$W$10005,0)),""))),INDEX('商品マスタ'!$D$6:$D$1005,MATCH($C76,'商品マスタ'!$B$6:$B$1005,0))),IFERROR(INDEX('①在庫を貼る'!$H$6:$H$10005,MATCH($C76,'①在庫を貼る'!$W$6:$W$10005,0)),IFERROR(INDEX('月1回_1ヶ月前の在庫'!$H$6:$H$10005,MATCH($C76,'月1回_1ヶ月前の在庫'!$W$6:$W$10005,0)),IFERROR(INDEX('月1回_2ヶ月前の在庫'!$H$6:$H$10005,MATCH($C76,'月1回_2ヶ月前の在庫'!$W$6:$W$10005,0)),"")))))</f>
        <v/>
      </c>
      <c r="F76">
        <f>IF($C76="","",IFERROR(IF(INDEX('商品マスタ'!$E$6:$E$1005,MATCH($C76,'商品マスタ'!$B$6:$B$1005,0))="",IFERROR(INDEX('①在庫を貼る'!$E$6:$E$10005,MATCH($C76,'①在庫を貼る'!$W$6:$W$10005,0)),IFERROR(INDEX('月1回_1ヶ月前の在庫'!$E$6:$E$10005,MATCH($C76,'月1回_1ヶ月前の在庫'!$W$6:$W$10005,0)),IFERROR(INDEX('月1回_2ヶ月前の在庫'!$E$6:$E$10005,MATCH($C76,'月1回_2ヶ月前の在庫'!$W$6:$W$10005,0)),""))),INDEX('商品マスタ'!$E$6:$E$1005,MATCH($C76,'商品マスタ'!$B$6:$B$1005,0))),IFERROR(INDEX('①在庫を貼る'!$E$6:$E$10005,MATCH($C76,'①在庫を貼る'!$W$6:$W$10005,0)),IFERROR(INDEX('月1回_1ヶ月前の在庫'!$E$6:$E$10005,MATCH($C76,'月1回_1ヶ月前の在庫'!$W$6:$W$10005,0)),IFERROR(INDEX('月1回_2ヶ月前の在庫'!$E$6:$E$10005,MATCH($C76,'月1回_2ヶ月前の在庫'!$W$6:$W$10005,0)),"")))))</f>
        <v/>
      </c>
      <c r="G76">
        <f>IF($C76="","",MAX(1,N(IFERROR(IF(INDEX('商品マスタ'!$F$6:$F$1005,MATCH($C76,'商品マスタ'!$B$6:$B$1005,0))="",IF(COUNTIFS('①在庫を貼る'!$V$6:$V$10005,'設定'!$C$4,'①在庫を貼る'!$W$6:$W$10005,$C76)&gt;0,SUMIFS('①在庫を貼る'!$K$6:$K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K$6:$K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K$6:$K$10005,'月1回_2ヶ月前の在庫'!$V$6:$V$10005,'設定'!$C$4,'月1回_2ヶ月前の在庫'!$W$6:$W$10005,$C76)/COUNTIFS('月1回_2ヶ月前の在庫'!$V$6:$V$10005,'設定'!$C$4,'月1回_2ヶ月前の在庫'!$W$6:$W$10005,$C76),0))),INDEX('商品マスタ'!$F$6:$F$1005,MATCH($C76,'商品マスタ'!$B$6:$B$1005,0))),IF(COUNTIFS('①在庫を貼る'!$V$6:$V$10005,'設定'!$C$4,'①在庫を貼る'!$W$6:$W$10005,$C76)&gt;0,SUMIFS('①在庫を貼る'!$K$6:$K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K$6:$K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K$6:$K$10005,'月1回_2ヶ月前の在庫'!$V$6:$V$10005,'設定'!$C$4,'月1回_2ヶ月前の在庫'!$W$6:$W$10005,$C76)/COUNTIFS('月1回_2ヶ月前の在庫'!$V$6:$V$10005,'設定'!$C$4,'月1回_2ヶ月前の在庫'!$W$6:$W$10005,$C76),0)))))))</f>
        <v/>
      </c>
      <c r="H76">
        <f>IF($C76="","",N(IFERROR(IF(INDEX('商品マスタ'!$G$6:$G$1005,MATCH($C76,'商品マスタ'!$B$6:$B$1005,0))="",IF(COUNTIFS('①在庫を貼る'!$V$6:$V$10005,'設定'!$C$4,'①在庫を貼る'!$W$6:$W$10005,$C76)&gt;0,SUMIFS('①在庫を貼る'!$Q$6:$Q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Q$6:$Q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Q$6:$Q$10005,'月1回_2ヶ月前の在庫'!$V$6:$V$10005,'設定'!$C$4,'月1回_2ヶ月前の在庫'!$W$6:$W$10005,$C76)/COUNTIFS('月1回_2ヶ月前の在庫'!$V$6:$V$10005,'設定'!$C$4,'月1回_2ヶ月前の在庫'!$W$6:$W$10005,$C76),0))),INDEX('商品マスタ'!$G$6:$G$1005,MATCH($C76,'商品マスタ'!$B$6:$B$1005,0))),IF(COUNTIFS('①在庫を貼る'!$V$6:$V$10005,'設定'!$C$4,'①在庫を貼る'!$W$6:$W$10005,$C76)&gt;0,SUMIFS('①在庫を貼る'!$Q$6:$Q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Q$6:$Q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Q$6:$Q$10005,'月1回_2ヶ月前の在庫'!$V$6:$V$10005,'設定'!$C$4,'月1回_2ヶ月前の在庫'!$W$6:$W$10005,$C76)/COUNTIFS('月1回_2ヶ月前の在庫'!$V$6:$V$10005,'設定'!$C$4,'月1回_2ヶ月前の在庫'!$W$6:$W$10005,$C76),0))))))</f>
        <v/>
      </c>
      <c r="I76">
        <f>IF($C76="","",IF(COUNTIFS('①在庫を貼る'!$V$6:$V$10005,'設定'!$C$4,'①在庫を貼る'!$W$6:$W$10005,$C76)=0,"",SUMIFS('①在庫を貼る'!$N$6:$N$10005,'①在庫を貼る'!$V$6:$V$10005,'設定'!$C$4,'①在庫を貼る'!$W$6:$W$10005,$C76)))</f>
        <v/>
      </c>
      <c r="J76">
        <f>IF($C76="","",IF('②発注する'!$AD80="","",'②発注する'!$AD80))</f>
        <v/>
      </c>
      <c r="K76" s="90">
        <f>IF($C76="","",IF('②発注する'!$AE80="","",'②発注する'!$AE80))</f>
        <v/>
      </c>
      <c r="L76">
        <f>IF($C76="","",IF(AND(ISNUMBER($J76),ISNUMBER($K76),$K76&gt;='設定'!$C$6),$J76,N($I76)))</f>
        <v/>
      </c>
      <c r="M76">
        <f>IF($C76="","",IFERROR(IF(N(INDEX('商品マスタ'!$J$6:$J$1005,MATCH($C76,'商品マスタ'!$B$6:$B$1005,0)))&gt;0,INDEX('商品マスタ'!$J$6:$J$1005,MATCH($C76,'商品マスタ'!$B$6:$B$1005,0)),""),""))</f>
        <v/>
      </c>
      <c r="N76">
        <f>IF($C76="","",IFERROR(IF(N(INDEX('商品マスタ'!$H$6:$H$1005,MATCH($C76,'商品マスタ'!$B$6:$B$1005,0)))&gt;0,INDEX('商品マスタ'!$H$6:$H$1005,MATCH($C76,'商品マスタ'!$B$6:$B$1005,0)),""),""))</f>
        <v/>
      </c>
      <c r="O76">
        <f>IF($C76="","",IF($N76&lt;&gt;"",$N76*$G76,IF(N(IF(COUNTIFS('①在庫を貼る'!$V$6:$V$10005,'設定'!$C$4,'①在庫を貼る'!$W$6:$W$10005,$C76)&gt;0,SUMIFS('①在庫を貼る'!$O$6:$O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O$6:$O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O$6:$O$10005,'月1回_2ヶ月前の在庫'!$V$6:$V$10005,'設定'!$C$4,'月1回_2ヶ月前の在庫'!$W$6:$W$10005,$C76)/COUNTIFS('月1回_2ヶ月前の在庫'!$V$6:$V$10005,'設定'!$C$4,'月1回_2ヶ月前の在庫'!$W$6:$W$10005,$C76),0))))&gt;0,N(IF(COUNTIFS('①在庫を貼る'!$V$6:$V$10005,'設定'!$C$4,'①在庫を貼る'!$W$6:$W$10005,$C76)&gt;0,SUMIFS('①在庫を貼る'!$O$6:$O$10005,'①在庫を貼る'!$V$6:$V$10005,'設定'!$C$4,'①在庫を貼る'!$W$6:$W$10005,$C76)/COUNTIFS('①在庫を貼る'!$V$6:$V$10005,'設定'!$C$4,'①在庫を貼る'!$W$6:$W$10005,$C76),IF(COUNTIFS('月1回_1ヶ月前の在庫'!$V$6:$V$10005,'設定'!$C$4,'月1回_1ヶ月前の在庫'!$W$6:$W$10005,$C76)&gt;0,SUMIFS('月1回_1ヶ月前の在庫'!$O$6:$O$10005,'月1回_1ヶ月前の在庫'!$V$6:$V$10005,'設定'!$C$4,'月1回_1ヶ月前の在庫'!$W$6:$W$10005,$C76)/COUNTIFS('月1回_1ヶ月前の在庫'!$V$6:$V$10005,'設定'!$C$4,'月1回_1ヶ月前の在庫'!$W$6:$W$10005,$C76),IF(COUNTIFS('月1回_2ヶ月前の在庫'!$V$6:$V$10005,'設定'!$C$4,'月1回_2ヶ月前の在庫'!$W$6:$W$10005,$C76)&gt;0,SUMIFS('月1回_2ヶ月前の在庫'!$O$6:$O$10005,'月1回_2ヶ月前の在庫'!$V$6:$V$10005,'設定'!$C$4,'月1回_2ヶ月前の在庫'!$W$6:$W$10005,$C76)/COUNTIFS('月1回_2ヶ月前の在庫'!$V$6:$V$10005,'設定'!$C$4,'月1回_2ヶ月前の在庫'!$W$6:$W$10005,$C76),0)))),"")))</f>
        <v/>
      </c>
      <c r="P76" s="90">
        <f>IF($C76="","",IF('②発注する'!$I80="","",'②発注する'!$I80))</f>
        <v/>
      </c>
      <c r="Q76">
        <f>IF($C76="","",IF('②発注する'!$J80="","",'②発注する'!$J80))</f>
        <v/>
      </c>
      <c r="R76">
        <f>IF($C76="",0,IF(AND(ISNUMBER($P76),ISNUMBER($Q76)),MAX(0,$Q76)*$G76,0))</f>
        <v/>
      </c>
      <c r="S76" s="90">
        <f>IF($C76="","",IF('②発注する'!$M80="","",'②発注する'!$M80))</f>
        <v/>
      </c>
      <c r="T76">
        <f>IF($C76="","",IF('②発注する'!$N80="","",'②発注する'!$N80))</f>
        <v/>
      </c>
      <c r="U76">
        <f>IF($C76="",0,IF(AND(ISNUMBER($S76),ISNUMBER($T76)),MAX(0,$T76)*$G76,0))</f>
        <v/>
      </c>
      <c r="V76">
        <f>IF($C76="",0,IF($M76="",0,MAX(0,$M76)*MAX(0,V$4)/100))</f>
        <v/>
      </c>
      <c r="W76">
        <f>IF($C76="",0,IF($M76="",0,MAX(0,$M76)*MAX(0,W$4)/100))</f>
        <v/>
      </c>
      <c r="X76">
        <f>IF($C76="",0,IF($M76="",0,MAX(0,$M76)*MAX(0,X$4)/100))</f>
        <v/>
      </c>
      <c r="Y76">
        <f>IF($C76="",0,IF($M76="",0,MAX(0,$M76)*MAX(0,Y$4)/100))</f>
        <v/>
      </c>
      <c r="Z76">
        <f>IF($C76="",0,IF($M76="",0,MAX(0,$M76)*MAX(0,Z$4)/100))</f>
        <v/>
      </c>
      <c r="AA76">
        <f>IF($C76="",0,IF($M76="",0,MAX(0,$M76)*MAX(0,AA$4)/100))</f>
        <v/>
      </c>
      <c r="AB76">
        <f>IF($C76="",0,IF($M76="",0,MAX(0,$M76)*MAX(0,AB$4)/100))</f>
        <v/>
      </c>
      <c r="AC76">
        <f>IF($C76="",0,IF($M76="",0,MAX(0,$M76)*MAX(0,AC$4)/100))</f>
        <v/>
      </c>
      <c r="AD76">
        <f>IF($C76="",0,IF($M76="",0,MAX(0,$M76)*MAX(0,AD$4)/100))</f>
        <v/>
      </c>
      <c r="AE76">
        <f>IF($C76="",0,IF($M76="",0,MAX(0,$M76)*MAX(0,AE$4)/100))</f>
        <v/>
      </c>
      <c r="AF76">
        <f>IF($C76="",0,IF($M76="",0,MAX(0,$M76)*MAX(0,AF$4)/100))</f>
        <v/>
      </c>
      <c r="AG76">
        <f>IF($C76="",0,IF($M76="",0,MAX(0,$M76)*MAX(0,AG$4)/100))</f>
        <v/>
      </c>
      <c r="AH76">
        <f>IF($C76="",0,IF($M76="",0,MAX(0,$M76)*MAX(0,AH$4)/100))</f>
        <v/>
      </c>
      <c r="AI76">
        <f>IF($C76="",0,IF($M76="",0,MAX(0,$M76)*MAX(0,AI$4)/100))</f>
        <v/>
      </c>
      <c r="AJ76">
        <f>IF($C76="",0,MAX(0,MAX(0,N($L76))-$V76))</f>
        <v/>
      </c>
      <c r="AK76">
        <f>IF($C76="",0,MAX(0,$AJ76-$W76))</f>
        <v/>
      </c>
      <c r="AL76">
        <f>IF($C76="",0,MAX(0,$AK76-$X76))</f>
        <v/>
      </c>
      <c r="AM76">
        <f>IF($C76="",0,MAX(0,$AL76-$Y76))</f>
        <v/>
      </c>
      <c r="AN76">
        <f>IF($C76="",0,MAX(0,$AM76-$Z76))</f>
        <v/>
      </c>
      <c r="AO76">
        <f>IF($C76="",0,MAX(0,$AN76-$AA76))</f>
        <v/>
      </c>
      <c r="AP76">
        <f>IF($C76="",0,MAX(0,$AO76-$AB76))</f>
        <v/>
      </c>
      <c r="AQ76">
        <f>IF($C76="",0,MAX(0,$AP76-$AC76))</f>
        <v/>
      </c>
      <c r="AR76">
        <f>IF($C76="",0,MAX(0,$AQ76-$AD76))</f>
        <v/>
      </c>
      <c r="AS76">
        <f>IF($C76="",0,MAX(0,$AR76-$AE76))</f>
        <v/>
      </c>
      <c r="AT76">
        <f>IF($C76="",0,MAX(0,$AS76-$AF76))</f>
        <v/>
      </c>
      <c r="AU76">
        <f>IF($C76="",0,MAX(0,$AT76-$AG76))</f>
        <v/>
      </c>
      <c r="AV76">
        <f>IF($C76="",0,MAX(0,$AU76-$AH76))</f>
        <v/>
      </c>
      <c r="AW76">
        <f>IF($C76="",0,MAX(0,$AV76-$AI76))</f>
        <v/>
      </c>
      <c r="AX76">
        <f>IF($C76="",0,MAX(0,MAX(0,N($L76))+IF($P76=V$3,$R76,0)+IF($S76=V$3,$U76,0)-$V76))</f>
        <v/>
      </c>
      <c r="AY76">
        <f>IF($C76="",0,MAX(0,$AX76+IF($P76=W$3,$R76,0)+IF($S76=W$3,$U76,0)-$W76))</f>
        <v/>
      </c>
      <c r="AZ76">
        <f>IF($C76="",0,MAX(0,$AY76+IF($P76=X$3,$R76,0)+IF($S76=X$3,$U76,0)-$X76))</f>
        <v/>
      </c>
      <c r="BA76">
        <f>IF($C76="",0,MAX(0,$AZ76+IF($P76=Y$3,$R76,0)+IF($S76=Y$3,$U76,0)-$Y76))</f>
        <v/>
      </c>
      <c r="BB76">
        <f>IF($C76="",0,MAX(0,$BA76+IF($P76=Z$3,$R76,0)+IF($S76=Z$3,$U76,0)-$Z76))</f>
        <v/>
      </c>
      <c r="BC76">
        <f>IF($C76="",0,MAX(0,$BB76+IF($P76=AA$3,$R76,0)+IF($S76=AA$3,$U76,0)-$AA76))</f>
        <v/>
      </c>
      <c r="BD76">
        <f>IF($C76="",0,MAX(0,$BC76+IF($P76=AB$3,$R76,0)+IF($S76=AB$3,$U76,0)-$AB76))</f>
        <v/>
      </c>
      <c r="BE76">
        <f>IF($C76="",0,MAX(0,$BD76+IF($P76=AC$3,$R76,0)+IF($S76=AC$3,$U76,0)-$AC76))</f>
        <v/>
      </c>
      <c r="BF76">
        <f>IF($C76="",0,MAX(0,$BE76+IF($P76=AD$3,$R76,0)+IF($S76=AD$3,$U76,0)-$AD76))</f>
        <v/>
      </c>
      <c r="BG76">
        <f>IF($C76="",0,MAX(0,$BF76+IF($P76=AE$3,$R76,0)+IF($S76=AE$3,$U76,0)-$AE76))</f>
        <v/>
      </c>
      <c r="BH76">
        <f>IF($C76="",0,MAX(0,$BG76+IF($P76=AF$3,$R76,0)+IF($S76=AF$3,$U76,0)-$AF76))</f>
        <v/>
      </c>
      <c r="BI76">
        <f>IF($C76="",0,MAX(0,$BH76+IF($P76=AG$3,$R76,0)+IF($S76=AG$3,$U76,0)-$AG76))</f>
        <v/>
      </c>
      <c r="BJ76">
        <f>IF($C76="",0,MAX(0,$BI76+IF($P76=AH$3,$R76,0)+IF($S76=AH$3,$U76,0)-$AH76))</f>
        <v/>
      </c>
      <c r="BK76">
        <f>IF($C76="",0,MAX(0,$BJ76+IF($P76=AI$3,$R76,0)+IF($S76=AI$3,$U76,0)-$AI76))</f>
        <v/>
      </c>
      <c r="BL76">
        <f>IF($C76="",99,IF(AND($AX76&lt;1,V$3&gt;=MAX(N($P76),N($S76))),0,99))</f>
        <v/>
      </c>
      <c r="BM76">
        <f>IF($C76="",99,IF(AND($AY76&lt;1,W$3&gt;=MAX(N($P76),N($S76))),1,99))</f>
        <v/>
      </c>
      <c r="BN76">
        <f>IF($C76="",99,IF(AND($AZ76&lt;1,X$3&gt;=MAX(N($P76),N($S76))),2,99))</f>
        <v/>
      </c>
      <c r="BO76">
        <f>IF($C76="",99,IF(AND($BA76&lt;1,Y$3&gt;=MAX(N($P76),N($S76))),3,99))</f>
        <v/>
      </c>
      <c r="BP76">
        <f>IF($C76="",99,IF(AND($BB76&lt;1,Z$3&gt;=MAX(N($P76),N($S76))),4,99))</f>
        <v/>
      </c>
      <c r="BQ76">
        <f>IF($C76="",99,IF(AND($BC76&lt;1,AA$3&gt;=MAX(N($P76),N($S76))),5,99))</f>
        <v/>
      </c>
      <c r="BR76">
        <f>IF($C76="",99,IF(AND($BD76&lt;1,AB$3&gt;=MAX(N($P76),N($S76))),6,99))</f>
        <v/>
      </c>
      <c r="BS76">
        <f>IF($C76="",99,IF(AND($BE76&lt;1,AC$3&gt;=MAX(N($P76),N($S76))),7,99))</f>
        <v/>
      </c>
      <c r="BT76">
        <f>IF($C76="",99,IF(AND($BF76&lt;1,AD$3&gt;=MAX(N($P76),N($S76))),8,99))</f>
        <v/>
      </c>
      <c r="BU76">
        <f>IF($C76="",99,IF(AND($BG76&lt;1,AE$3&gt;=MAX(N($P76),N($S76))),9,99))</f>
        <v/>
      </c>
      <c r="BV76">
        <f>IF($C76="",99,IF(AND($BH76&lt;1,AF$3&gt;=MAX(N($P76),N($S76))),10,99))</f>
        <v/>
      </c>
      <c r="BW76">
        <f>IF($C76="",99,IF(AND($BI76&lt;1,AG$3&gt;=MAX(N($P76),N($S76))),11,99))</f>
        <v/>
      </c>
      <c r="BX76">
        <f>IF($C76="",99,IF(AND($BJ76&lt;1,AH$3&gt;=MAX(N($P76),N($S76))),12,99))</f>
        <v/>
      </c>
      <c r="BY76">
        <f>IF($C76="",99,IF(AND($BK76&lt;1,AI$3&gt;=MAX(N($P76),N($S76))),13,99))</f>
        <v/>
      </c>
      <c r="BZ76">
        <f>IF(OR($C76="",$M76=""),"",COUNTIF($AJ76:$AW76,"&gt;=1"))</f>
        <v/>
      </c>
      <c r="CA76" s="90">
        <f>IF($BZ76="","",IF($BZ76&gt;=14,"",'設定'!$C$6+$BZ76))</f>
        <v/>
      </c>
      <c r="CB76">
        <f>IF(OR($C76="",$M76=""),"",MIN($BL76:$BY76))</f>
        <v/>
      </c>
      <c r="CC76" s="90">
        <f>IF($CB76="","",IF($CB76&gt;=99,"",'設定'!$C$6+$CB76))</f>
        <v/>
      </c>
      <c r="CD76">
        <f>IF(OR($C76="",$M76=""),"",AVERAGE($V76:$AI76))</f>
        <v/>
      </c>
      <c r="CE76">
        <f>IF($C76="","",IFERROR(IF(MATCH(IF(ISNUMBER($P76),$P76,'設定'!$C$6+N('設定'!$C$7)),$V$3:$AI$3,0)=1,MAX(0,N($L76)),INDEX($AJ76:$AW76,MATCH(IF(ISNUMBER($P76),$P76,'設定'!$C$6+N('設定'!$C$7)),$V$3:$AI$3,0)-1)),""))</f>
        <v/>
      </c>
      <c r="CF76">
        <f>IF(OR($C76="",$O76="",$CE76=""),"",IF($O76-$CE76&lt;=0,0,ROUNDUP(($O76-$CE76)/$G76,0)))</f>
        <v/>
      </c>
      <c r="CG76">
        <f>IF(OR($C76="",$CF76="",NOT(ISNUMBER($Q76))),0,MAX(0,$Q76-$CF76))</f>
        <v/>
      </c>
      <c r="CH76">
        <f>IF(OR($C76="",$O76="",$U76=0),0,IFERROR(ROUNDUP(MAX(0,IF(MATCH($S76,$V$3:$AI$3,0)=1,MAX(0,N($L76)),INDEX($AX76:$BK76,MATCH($S76,$V$3:$AI$3,0)-1))+$U76-$O76)/$G76,0),0))</f>
        <v/>
      </c>
      <c r="CI76">
        <f>IF($C76="","",IF(AND($P76="",$Q76=""),"",IF($P76="","⚠ 入庫日を ▼ から選んでください",IF(NOT(ISNUMBER($P76)),"⚠ 入庫日は ▼ から選んでください",IF($P76&lt;N('設定'!$C$6),"⚠ 入庫日が過去です（もう在庫に入っています）→ 消してください",IF($P76&gt;N('設定'!$C$6)+13,"⚠ 入庫日が14日より先です",IF(N($Q76)&lt;=0,"⚠ 入庫数を入れてください",IF($CG76&gt;0,"⚠ 目安より "&amp;$CG76&amp;" 多い（定数を超える）→ 減らす",""))))))))</f>
        <v/>
      </c>
      <c r="CJ76">
        <f>IF($C76="","",IF(AND($S76="",$T76=""),"",IF($S76="","⚠ 2便目：入庫日を ▼ から選んでください",IF(NOT(ISNUMBER($S76)),"⚠ 2便目：入庫日は ▼ から選んでください",IF($S76&lt;N('設定'!$C$6),"⚠ 2便目：入庫日が過去です（もう在庫に入っています）→ 消してください",IF($S76&gt;N('設定'!$C$6)+13,"⚠ 2便目：入庫日が14日より先です",IF(N($T76)&lt;=0,"⚠ 2便目：入庫数を入れてください",IF($CH76&gt;0,"⚠ 2便目：定数を "&amp;$CH76&amp;" ケース超える → 減らす",""))))))))</f>
        <v/>
      </c>
      <c r="CK76">
        <f>IF(AND($CI76="",N($Q76)&gt;0,ISNUMBER($P76)),1,0)</f>
        <v/>
      </c>
      <c r="CL76">
        <f>IF(AND($CJ76="",N($T76)&gt;0,ISNUMBER($S76)),1,0)</f>
        <v/>
      </c>
      <c r="CM76">
        <f>IF(OR($CK76=1,$CL76=1),1,0)</f>
        <v/>
      </c>
      <c r="CN76">
        <f>IF($C76="",0,($CK76*$R76+$CL76*$U76)*N($H76))</f>
        <v/>
      </c>
      <c r="CO76">
        <f>IF($C76="","",IF($CC76="","入庫後は 14日以上もつ",IF($CC76-N('設定'!$C$7)&lt;='設定'!$C$6,"入庫後も "&amp;TEXT($CC76,"m/d")&amp;"("&amp;CHOOSE(WEEKDAY($CC76),"日","月","火","水","木","金","土")&amp;")"&amp;" に切れる　もう1便を至急発注","入庫後も "&amp;TEXT($CC76,"m/d")&amp;"("&amp;CHOOSE(WEEKDAY($CC76),"日","月","火","水","木","金","土")&amp;")"&amp;" に切れる　"&amp;TEXT($CC76-N('設定'!$C$7),"m/d")&amp;"("&amp;CHOOSE(WEEKDAY($CC76-N('設定'!$C$7)),"日","月","火","水","木","金","土")&amp;")"&amp;" までに次を発注")))</f>
        <v/>
      </c>
      <c r="CP76">
        <f>IF($C76="","",IF('設定'!$C$6="","？ ①在庫を貼る に今日のCSVが貼られていない",IF($CS76=1,"－ 今日のCSVに無い（終売？）",IF($L76&lt;0,"● 在庫がマイナス　数えて「数えた在庫」に入れる",IF($L76=0,"● 在庫なし　至急発注",IF($M76="","？ 減り数が未設定（商品マスタ）",IF($B$3=0,"？ 動員が未入力（動員を入れる）",IF($CA76="","○ 14日以上もつ",IF($BZ76&lt;N('設定'!$C$7),"● "&amp;TEXT($CA76,"m/d")&amp;"("&amp;CHOOSE(WEEKDAY($CA76),"日","月","火","水","木","金","土")&amp;")"&amp;" に切れる　至急発注",IF($BZ76=N('設定'!$C$7),"● "&amp;TEXT($CA76,"m/d")&amp;"("&amp;CHOOSE(WEEKDAY($CA76),"日","月","火","水","木","金","土")&amp;")"&amp;" に切れる　今日発注","△ "&amp;TEXT($CA76,"m/d")&amp;"("&amp;CHOOSE(WEEKDAY($CA76),"日","月","火","水","木","金","土")&amp;")"&amp;" に切れる　"&amp;TEXT($CA76-N('設定'!$C$7),"m/d")&amp;"("&amp;CHOOSE(WEEKDAY($CA76-N('設定'!$C$7)),"日","月","火","水","木","金","土")&amp;")"&amp;" までに発注"))))))))))</f>
        <v/>
      </c>
      <c r="CQ76">
        <f>IF($C76="","",IF(AND($P76="",$Q76="",$S76="",$T76=""),"",IF(AND($P76="",$Q76=""),"⚠ 先に1便目（左の入庫日・入庫数）に入れてください",IF($CI76&lt;&gt;"",$CI76,IF($CJ76&lt;&gt;"",$CJ76,IF($M76="","？ 減り数が未設定（発注書には載ります）",IF($B$3=0,"？ 動員が未入力（発注書には載ります）",IF(AND($CA76&lt;&gt;"",$P76&gt;$CA76),IF($P76&gt;'設定'!$C$6+N('設定'!$C$7),"● "&amp;TEXT($P76,"m/d")&amp;"("&amp;CHOOSE(WEEKDAY($P76),"日","月","火","水","木","金","土")&amp;")"&amp;" の入庫では間に合わない（"&amp;TEXT($CA76,"m/d")&amp;"("&amp;CHOOSE(WEEKDAY($CA76),"日","月","火","水","木","金","土")&amp;")"&amp;" に切れる）　入庫日を早める","△ 欠品 "&amp;TEXT($CA76,"m/d")&amp;"("&amp;CHOOSE(WEEKDAY($CA76),"日","月","火","水","木","金","土")&amp;")"&amp;"〜"&amp;TEXT($P76-1,"m/d")&amp;"("&amp;CHOOSE(WEEKDAY($P76-1),"日","月","火","水","木","金","土")&amp;")"&amp;"　"&amp;$CO76),IF($CC76="","○ "&amp;TEXT($P76,"m/d")&amp;"("&amp;CHOOSE(WEEKDAY($P76),"日","月","火","水","木","金","土")&amp;")"&amp;" 入庫で 14日以上もつ",IF($CC76-N('設定'!$C$7)&lt;='設定'!$C$6,"● 入庫しても "&amp;TEXT($CC76,"m/d")&amp;"("&amp;CHOOSE(WEEKDAY($CC76),"日","月","火","水","木","金","土")&amp;")"&amp;" に切れる　もう1便を至急発注（2便目に入れる）","△ 入庫しても "&amp;TEXT($CC76,"m/d")&amp;"("&amp;CHOOSE(WEEKDAY($CC76),"日","月","火","水","木","金","土")&amp;")"&amp;" に切れる　"&amp;TEXT($CC76-N('設定'!$C$7),"m/d")&amp;"("&amp;CHOOSE(WEEKDAY($CC76-N('設定'!$C$7)),"日","月","火","水","木","金","土")&amp;")"&amp;" までに次を発注（2便目に入れる）"))))))))))</f>
        <v/>
      </c>
      <c r="CR76">
        <f>IF($C76="","",IF($G76&gt;1,"ｹｰｽ("&amp;$G76&amp;"入)","個"))</f>
        <v/>
      </c>
      <c r="CS76">
        <f>IF($C76="",0,IF(COUNTIFS('①在庫を貼る'!$V$6:$V$10005,'設定'!$C$4,'①在庫を貼る'!$W$6:$W$10005,$C76)=0,1,0))</f>
        <v/>
      </c>
      <c r="CT76">
        <f>IF(AND($CK76=1,OR('③発注書'!$C$4="すべて",'③発注書'!$C$4="",$F76='③発注書'!$C$4)),N($CT75)+1,N($CT75))</f>
        <v/>
      </c>
      <c r="CU76">
        <f>IF(AND($CL76=1,OR('③発注書'!$C$4="すべて",'③発注書'!$C$4="",$F76='③発注書'!$C$4)),N($CU75)+1,N($CU75))</f>
        <v/>
      </c>
      <c r="CV76">
        <f>IF($C76="",0,IF(COUNTIFS('①在庫を貼る'!$V$6:$V$10005,'設定'!$C$4,'①在庫を貼る'!$W$6:$W$10005,$C76)&gt;0,1,0))</f>
        <v/>
      </c>
      <c r="CW76">
        <f>IF($C76="",0,IF(COUNTIFS('月1回_1ヶ月前の在庫'!$V$6:$V$10005,'設定'!$C$4,'月1回_1ヶ月前の在庫'!$W$6:$W$10005,$C76)&gt;0,1,0))</f>
        <v/>
      </c>
      <c r="CX76">
        <f>IF($C76="",0,IF(COUNTIFS('月1回_2ヶ月前の在庫'!$V$6:$V$10005,'設定'!$C$4,'月1回_2ヶ月前の在庫'!$W$6:$W$10005,$C76)&gt;0,1,0))</f>
        <v/>
      </c>
      <c r="CY76">
        <f>IF(OR($C76="",'設定'!$C$12=""),"",IF('設定'!$C$13="",IF(AND($CV76=1,$CW76=0),"新商品（今月から）",IF(AND($CV76=0,$CW76=1),"終売（今月から）","")),IF(AND($CV76=1,$CW76=0,$CX76=0),"新商品（今月から）",IF(AND($CV76=1,$CW76=1,$CX76=0),"新商品（先月から）",IF(AND($CV76=0,$CW76=1,$CX76=1),"終売（今月から）",IF(AND($CV76=0,$CW76=0,$CX76=1),"終売（先月から）",IF(AND($CV76=1,$CW76=0,$CX76=1),"復活（先月は無し）","")))))))</f>
        <v/>
      </c>
    </row>
    <row r="77">
      <c r="B77">
        <f>IF(72&lt;='設定'!$C$11,72,"")</f>
        <v/>
      </c>
      <c r="C77">
        <f>IF($B77="","",IF($B77&lt;='設定'!$C$20,INDEX('商品マスタ'!$B$6:$B$1005,MATCH($B77,'商品マスタ'!$M$6:$M$1005,0)),IF($B77&lt;='設定'!$C$20+'設定'!$C$17,INDEX('①在庫を貼る'!$W$6:$W$10005,MATCH($B77-'設定'!$C$20,'①在庫を貼る'!$U$6:$U$10005,0)),IF($B77&lt;='設定'!$C$20+'設定'!$C$17+'設定'!$C$18,INDEX('月1回_1ヶ月前の在庫'!$W$6:$W$10005,MATCH($B77-'設定'!$C$20-'設定'!$C$17,'月1回_1ヶ月前の在庫'!$U$6:$U$10005,0)),INDEX('月1回_2ヶ月前の在庫'!$W$6:$W$10005,MATCH($B77-'設定'!$C$20-'設定'!$C$17-'設定'!$C$18,'月1回_2ヶ月前の在庫'!$U$6:$U$10005,0))))))</f>
        <v/>
      </c>
      <c r="D77">
        <f>IF($C77="","",IFERROR(IF(INDEX('商品マスタ'!$C$6:$C$1005,MATCH($C77,'商品マスタ'!$B$6:$B$1005,0))="",IFERROR(INDEX('①在庫を貼る'!$J$6:$J$10005,MATCH($C77,'①在庫を貼る'!$W$6:$W$10005,0)),IFERROR(INDEX('月1回_1ヶ月前の在庫'!$J$6:$J$10005,MATCH($C77,'月1回_1ヶ月前の在庫'!$W$6:$W$10005,0)),IFERROR(INDEX('月1回_2ヶ月前の在庫'!$J$6:$J$10005,MATCH($C77,'月1回_2ヶ月前の在庫'!$W$6:$W$10005,0)),""))),INDEX('商品マスタ'!$C$6:$C$1005,MATCH($C77,'商品マスタ'!$B$6:$B$1005,0))),IFERROR(INDEX('①在庫を貼る'!$J$6:$J$10005,MATCH($C77,'①在庫を貼る'!$W$6:$W$10005,0)),IFERROR(INDEX('月1回_1ヶ月前の在庫'!$J$6:$J$10005,MATCH($C77,'月1回_1ヶ月前の在庫'!$W$6:$W$10005,0)),IFERROR(INDEX('月1回_2ヶ月前の在庫'!$J$6:$J$10005,MATCH($C77,'月1回_2ヶ月前の在庫'!$W$6:$W$10005,0)),"")))))</f>
        <v/>
      </c>
      <c r="E77">
        <f>IF($C77="","",IFERROR(IF(INDEX('商品マスタ'!$D$6:$D$1005,MATCH($C77,'商品マスタ'!$B$6:$B$1005,0))="",IFERROR(INDEX('①在庫を貼る'!$H$6:$H$10005,MATCH($C77,'①在庫を貼る'!$W$6:$W$10005,0)),IFERROR(INDEX('月1回_1ヶ月前の在庫'!$H$6:$H$10005,MATCH($C77,'月1回_1ヶ月前の在庫'!$W$6:$W$10005,0)),IFERROR(INDEX('月1回_2ヶ月前の在庫'!$H$6:$H$10005,MATCH($C77,'月1回_2ヶ月前の在庫'!$W$6:$W$10005,0)),""))),INDEX('商品マスタ'!$D$6:$D$1005,MATCH($C77,'商品マスタ'!$B$6:$B$1005,0))),IFERROR(INDEX('①在庫を貼る'!$H$6:$H$10005,MATCH($C77,'①在庫を貼る'!$W$6:$W$10005,0)),IFERROR(INDEX('月1回_1ヶ月前の在庫'!$H$6:$H$10005,MATCH($C77,'月1回_1ヶ月前の在庫'!$W$6:$W$10005,0)),IFERROR(INDEX('月1回_2ヶ月前の在庫'!$H$6:$H$10005,MATCH($C77,'月1回_2ヶ月前の在庫'!$W$6:$W$10005,0)),"")))))</f>
        <v/>
      </c>
      <c r="F77">
        <f>IF($C77="","",IFERROR(IF(INDEX('商品マスタ'!$E$6:$E$1005,MATCH($C77,'商品マスタ'!$B$6:$B$1005,0))="",IFERROR(INDEX('①在庫を貼る'!$E$6:$E$10005,MATCH($C77,'①在庫を貼る'!$W$6:$W$10005,0)),IFERROR(INDEX('月1回_1ヶ月前の在庫'!$E$6:$E$10005,MATCH($C77,'月1回_1ヶ月前の在庫'!$W$6:$W$10005,0)),IFERROR(INDEX('月1回_2ヶ月前の在庫'!$E$6:$E$10005,MATCH($C77,'月1回_2ヶ月前の在庫'!$W$6:$W$10005,0)),""))),INDEX('商品マスタ'!$E$6:$E$1005,MATCH($C77,'商品マスタ'!$B$6:$B$1005,0))),IFERROR(INDEX('①在庫を貼る'!$E$6:$E$10005,MATCH($C77,'①在庫を貼る'!$W$6:$W$10005,0)),IFERROR(INDEX('月1回_1ヶ月前の在庫'!$E$6:$E$10005,MATCH($C77,'月1回_1ヶ月前の在庫'!$W$6:$W$10005,0)),IFERROR(INDEX('月1回_2ヶ月前の在庫'!$E$6:$E$10005,MATCH($C77,'月1回_2ヶ月前の在庫'!$W$6:$W$10005,0)),"")))))</f>
        <v/>
      </c>
      <c r="G77">
        <f>IF($C77="","",MAX(1,N(IFERROR(IF(INDEX('商品マスタ'!$F$6:$F$1005,MATCH($C77,'商品マスタ'!$B$6:$B$1005,0))="",IF(COUNTIFS('①在庫を貼る'!$V$6:$V$10005,'設定'!$C$4,'①在庫を貼る'!$W$6:$W$10005,$C77)&gt;0,SUMIFS('①在庫を貼る'!$K$6:$K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K$6:$K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K$6:$K$10005,'月1回_2ヶ月前の在庫'!$V$6:$V$10005,'設定'!$C$4,'月1回_2ヶ月前の在庫'!$W$6:$W$10005,$C77)/COUNTIFS('月1回_2ヶ月前の在庫'!$V$6:$V$10005,'設定'!$C$4,'月1回_2ヶ月前の在庫'!$W$6:$W$10005,$C77),0))),INDEX('商品マスタ'!$F$6:$F$1005,MATCH($C77,'商品マスタ'!$B$6:$B$1005,0))),IF(COUNTIFS('①在庫を貼る'!$V$6:$V$10005,'設定'!$C$4,'①在庫を貼る'!$W$6:$W$10005,$C77)&gt;0,SUMIFS('①在庫を貼る'!$K$6:$K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K$6:$K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K$6:$K$10005,'月1回_2ヶ月前の在庫'!$V$6:$V$10005,'設定'!$C$4,'月1回_2ヶ月前の在庫'!$W$6:$W$10005,$C77)/COUNTIFS('月1回_2ヶ月前の在庫'!$V$6:$V$10005,'設定'!$C$4,'月1回_2ヶ月前の在庫'!$W$6:$W$10005,$C77),0)))))))</f>
        <v/>
      </c>
      <c r="H77">
        <f>IF($C77="","",N(IFERROR(IF(INDEX('商品マスタ'!$G$6:$G$1005,MATCH($C77,'商品マスタ'!$B$6:$B$1005,0))="",IF(COUNTIFS('①在庫を貼る'!$V$6:$V$10005,'設定'!$C$4,'①在庫を貼る'!$W$6:$W$10005,$C77)&gt;0,SUMIFS('①在庫を貼る'!$Q$6:$Q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Q$6:$Q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Q$6:$Q$10005,'月1回_2ヶ月前の在庫'!$V$6:$V$10005,'設定'!$C$4,'月1回_2ヶ月前の在庫'!$W$6:$W$10005,$C77)/COUNTIFS('月1回_2ヶ月前の在庫'!$V$6:$V$10005,'設定'!$C$4,'月1回_2ヶ月前の在庫'!$W$6:$W$10005,$C77),0))),INDEX('商品マスタ'!$G$6:$G$1005,MATCH($C77,'商品マスタ'!$B$6:$B$1005,0))),IF(COUNTIFS('①在庫を貼る'!$V$6:$V$10005,'設定'!$C$4,'①在庫を貼る'!$W$6:$W$10005,$C77)&gt;0,SUMIFS('①在庫を貼る'!$Q$6:$Q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Q$6:$Q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Q$6:$Q$10005,'月1回_2ヶ月前の在庫'!$V$6:$V$10005,'設定'!$C$4,'月1回_2ヶ月前の在庫'!$W$6:$W$10005,$C77)/COUNTIFS('月1回_2ヶ月前の在庫'!$V$6:$V$10005,'設定'!$C$4,'月1回_2ヶ月前の在庫'!$W$6:$W$10005,$C77),0))))))</f>
        <v/>
      </c>
      <c r="I77">
        <f>IF($C77="","",IF(COUNTIFS('①在庫を貼る'!$V$6:$V$10005,'設定'!$C$4,'①在庫を貼る'!$W$6:$W$10005,$C77)=0,"",SUMIFS('①在庫を貼る'!$N$6:$N$10005,'①在庫を貼る'!$V$6:$V$10005,'設定'!$C$4,'①在庫を貼る'!$W$6:$W$10005,$C77)))</f>
        <v/>
      </c>
      <c r="J77">
        <f>IF($C77="","",IF('②発注する'!$AD81="","",'②発注する'!$AD81))</f>
        <v/>
      </c>
      <c r="K77" s="90">
        <f>IF($C77="","",IF('②発注する'!$AE81="","",'②発注する'!$AE81))</f>
        <v/>
      </c>
      <c r="L77">
        <f>IF($C77="","",IF(AND(ISNUMBER($J77),ISNUMBER($K77),$K77&gt;='設定'!$C$6),$J77,N($I77)))</f>
        <v/>
      </c>
      <c r="M77">
        <f>IF($C77="","",IFERROR(IF(N(INDEX('商品マスタ'!$J$6:$J$1005,MATCH($C77,'商品マスタ'!$B$6:$B$1005,0)))&gt;0,INDEX('商品マスタ'!$J$6:$J$1005,MATCH($C77,'商品マスタ'!$B$6:$B$1005,0)),""),""))</f>
        <v/>
      </c>
      <c r="N77">
        <f>IF($C77="","",IFERROR(IF(N(INDEX('商品マスタ'!$H$6:$H$1005,MATCH($C77,'商品マスタ'!$B$6:$B$1005,0)))&gt;0,INDEX('商品マスタ'!$H$6:$H$1005,MATCH($C77,'商品マスタ'!$B$6:$B$1005,0)),""),""))</f>
        <v/>
      </c>
      <c r="O77">
        <f>IF($C77="","",IF($N77&lt;&gt;"",$N77*$G77,IF(N(IF(COUNTIFS('①在庫を貼る'!$V$6:$V$10005,'設定'!$C$4,'①在庫を貼る'!$W$6:$W$10005,$C77)&gt;0,SUMIFS('①在庫を貼る'!$O$6:$O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O$6:$O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O$6:$O$10005,'月1回_2ヶ月前の在庫'!$V$6:$V$10005,'設定'!$C$4,'月1回_2ヶ月前の在庫'!$W$6:$W$10005,$C77)/COUNTIFS('月1回_2ヶ月前の在庫'!$V$6:$V$10005,'設定'!$C$4,'月1回_2ヶ月前の在庫'!$W$6:$W$10005,$C77),0))))&gt;0,N(IF(COUNTIFS('①在庫を貼る'!$V$6:$V$10005,'設定'!$C$4,'①在庫を貼る'!$W$6:$W$10005,$C77)&gt;0,SUMIFS('①在庫を貼る'!$O$6:$O$10005,'①在庫を貼る'!$V$6:$V$10005,'設定'!$C$4,'①在庫を貼る'!$W$6:$W$10005,$C77)/COUNTIFS('①在庫を貼る'!$V$6:$V$10005,'設定'!$C$4,'①在庫を貼る'!$W$6:$W$10005,$C77),IF(COUNTIFS('月1回_1ヶ月前の在庫'!$V$6:$V$10005,'設定'!$C$4,'月1回_1ヶ月前の在庫'!$W$6:$W$10005,$C77)&gt;0,SUMIFS('月1回_1ヶ月前の在庫'!$O$6:$O$10005,'月1回_1ヶ月前の在庫'!$V$6:$V$10005,'設定'!$C$4,'月1回_1ヶ月前の在庫'!$W$6:$W$10005,$C77)/COUNTIFS('月1回_1ヶ月前の在庫'!$V$6:$V$10005,'設定'!$C$4,'月1回_1ヶ月前の在庫'!$W$6:$W$10005,$C77),IF(COUNTIFS('月1回_2ヶ月前の在庫'!$V$6:$V$10005,'設定'!$C$4,'月1回_2ヶ月前の在庫'!$W$6:$W$10005,$C77)&gt;0,SUMIFS('月1回_2ヶ月前の在庫'!$O$6:$O$10005,'月1回_2ヶ月前の在庫'!$V$6:$V$10005,'設定'!$C$4,'月1回_2ヶ月前の在庫'!$W$6:$W$10005,$C77)/COUNTIFS('月1回_2ヶ月前の在庫'!$V$6:$V$10005,'設定'!$C$4,'月1回_2ヶ月前の在庫'!$W$6:$W$10005,$C77),0)))),"")))</f>
        <v/>
      </c>
      <c r="P77" s="90">
        <f>IF($C77="","",IF('②発注する'!$I81="","",'②発注する'!$I81))</f>
        <v/>
      </c>
      <c r="Q77">
        <f>IF($C77="","",IF('②発注する'!$J81="","",'②発注する'!$J81))</f>
        <v/>
      </c>
      <c r="R77">
        <f>IF($C77="",0,IF(AND(ISNUMBER($P77),ISNUMBER($Q77)),MAX(0,$Q77)*$G77,0))</f>
        <v/>
      </c>
      <c r="S77" s="90">
        <f>IF($C77="","",IF('②発注する'!$M81="","",'②発注する'!$M81))</f>
        <v/>
      </c>
      <c r="T77">
        <f>IF($C77="","",IF('②発注する'!$N81="","",'②発注する'!$N81))</f>
        <v/>
      </c>
      <c r="U77">
        <f>IF($C77="",0,IF(AND(ISNUMBER($S77),ISNUMBER($T77)),MAX(0,$T77)*$G77,0))</f>
        <v/>
      </c>
      <c r="V77">
        <f>IF($C77="",0,IF($M77="",0,MAX(0,$M77)*MAX(0,V$4)/100))</f>
        <v/>
      </c>
      <c r="W77">
        <f>IF($C77="",0,IF($M77="",0,MAX(0,$M77)*MAX(0,W$4)/100))</f>
        <v/>
      </c>
      <c r="X77">
        <f>IF($C77="",0,IF($M77="",0,MAX(0,$M77)*MAX(0,X$4)/100))</f>
        <v/>
      </c>
      <c r="Y77">
        <f>IF($C77="",0,IF($M77="",0,MAX(0,$M77)*MAX(0,Y$4)/100))</f>
        <v/>
      </c>
      <c r="Z77">
        <f>IF($C77="",0,IF($M77="",0,MAX(0,$M77)*MAX(0,Z$4)/100))</f>
        <v/>
      </c>
      <c r="AA77">
        <f>IF($C77="",0,IF($M77="",0,MAX(0,$M77)*MAX(0,AA$4)/100))</f>
        <v/>
      </c>
      <c r="AB77">
        <f>IF($C77="",0,IF($M77="",0,MAX(0,$M77)*MAX(0,AB$4)/100))</f>
        <v/>
      </c>
      <c r="AC77">
        <f>IF($C77="",0,IF($M77="",0,MAX(0,$M77)*MAX(0,AC$4)/100))</f>
        <v/>
      </c>
      <c r="AD77">
        <f>IF($C77="",0,IF($M77="",0,MAX(0,$M77)*MAX(0,AD$4)/100))</f>
        <v/>
      </c>
      <c r="AE77">
        <f>IF($C77="",0,IF($M77="",0,MAX(0,$M77)*MAX(0,AE$4)/100))</f>
        <v/>
      </c>
      <c r="AF77">
        <f>IF($C77="",0,IF($M77="",0,MAX(0,$M77)*MAX(0,AF$4)/100))</f>
        <v/>
      </c>
      <c r="AG77">
        <f>IF($C77="",0,IF($M77="",0,MAX(0,$M77)*MAX(0,AG$4)/100))</f>
        <v/>
      </c>
      <c r="AH77">
        <f>IF($C77="",0,IF($M77="",0,MAX(0,$M77)*MAX(0,AH$4)/100))</f>
        <v/>
      </c>
      <c r="AI77">
        <f>IF($C77="",0,IF($M77="",0,MAX(0,$M77)*MAX(0,AI$4)/100))</f>
        <v/>
      </c>
      <c r="AJ77">
        <f>IF($C77="",0,MAX(0,MAX(0,N($L77))-$V77))</f>
        <v/>
      </c>
      <c r="AK77">
        <f>IF($C77="",0,MAX(0,$AJ77-$W77))</f>
        <v/>
      </c>
      <c r="AL77">
        <f>IF($C77="",0,MAX(0,$AK77-$X77))</f>
        <v/>
      </c>
      <c r="AM77">
        <f>IF($C77="",0,MAX(0,$AL77-$Y77))</f>
        <v/>
      </c>
      <c r="AN77">
        <f>IF($C77="",0,MAX(0,$AM77-$Z77))</f>
        <v/>
      </c>
      <c r="AO77">
        <f>IF($C77="",0,MAX(0,$AN77-$AA77))</f>
        <v/>
      </c>
      <c r="AP77">
        <f>IF($C77="",0,MAX(0,$AO77-$AB77))</f>
        <v/>
      </c>
      <c r="AQ77">
        <f>IF($C77="",0,MAX(0,$AP77-$AC77))</f>
        <v/>
      </c>
      <c r="AR77">
        <f>IF($C77="",0,MAX(0,$AQ77-$AD77))</f>
        <v/>
      </c>
      <c r="AS77">
        <f>IF($C77="",0,MAX(0,$AR77-$AE77))</f>
        <v/>
      </c>
      <c r="AT77">
        <f>IF($C77="",0,MAX(0,$AS77-$AF77))</f>
        <v/>
      </c>
      <c r="AU77">
        <f>IF($C77="",0,MAX(0,$AT77-$AG77))</f>
        <v/>
      </c>
      <c r="AV77">
        <f>IF($C77="",0,MAX(0,$AU77-$AH77))</f>
        <v/>
      </c>
      <c r="AW77">
        <f>IF($C77="",0,MAX(0,$AV77-$AI77))</f>
        <v/>
      </c>
      <c r="AX77">
        <f>IF($C77="",0,MAX(0,MAX(0,N($L77))+IF($P77=V$3,$R77,0)+IF($S77=V$3,$U77,0)-$V77))</f>
        <v/>
      </c>
      <c r="AY77">
        <f>IF($C77="",0,MAX(0,$AX77+IF($P77=W$3,$R77,0)+IF($S77=W$3,$U77,0)-$W77))</f>
        <v/>
      </c>
      <c r="AZ77">
        <f>IF($C77="",0,MAX(0,$AY77+IF($P77=X$3,$R77,0)+IF($S77=X$3,$U77,0)-$X77))</f>
        <v/>
      </c>
      <c r="BA77">
        <f>IF($C77="",0,MAX(0,$AZ77+IF($P77=Y$3,$R77,0)+IF($S77=Y$3,$U77,0)-$Y77))</f>
        <v/>
      </c>
      <c r="BB77">
        <f>IF($C77="",0,MAX(0,$BA77+IF($P77=Z$3,$R77,0)+IF($S77=Z$3,$U77,0)-$Z77))</f>
        <v/>
      </c>
      <c r="BC77">
        <f>IF($C77="",0,MAX(0,$BB77+IF($P77=AA$3,$R77,0)+IF($S77=AA$3,$U77,0)-$AA77))</f>
        <v/>
      </c>
      <c r="BD77">
        <f>IF($C77="",0,MAX(0,$BC77+IF($P77=AB$3,$R77,0)+IF($S77=AB$3,$U77,0)-$AB77))</f>
        <v/>
      </c>
      <c r="BE77">
        <f>IF($C77="",0,MAX(0,$BD77+IF($P77=AC$3,$R77,0)+IF($S77=AC$3,$U77,0)-$AC77))</f>
        <v/>
      </c>
      <c r="BF77">
        <f>IF($C77="",0,MAX(0,$BE77+IF($P77=AD$3,$R77,0)+IF($S77=AD$3,$U77,0)-$AD77))</f>
        <v/>
      </c>
      <c r="BG77">
        <f>IF($C77="",0,MAX(0,$BF77+IF($P77=AE$3,$R77,0)+IF($S77=AE$3,$U77,0)-$AE77))</f>
        <v/>
      </c>
      <c r="BH77">
        <f>IF($C77="",0,MAX(0,$BG77+IF($P77=AF$3,$R77,0)+IF($S77=AF$3,$U77,0)-$AF77))</f>
        <v/>
      </c>
      <c r="BI77">
        <f>IF($C77="",0,MAX(0,$BH77+IF($P77=AG$3,$R77,0)+IF($S77=AG$3,$U77,0)-$AG77))</f>
        <v/>
      </c>
      <c r="BJ77">
        <f>IF($C77="",0,MAX(0,$BI77+IF($P77=AH$3,$R77,0)+IF($S77=AH$3,$U77,0)-$AH77))</f>
        <v/>
      </c>
      <c r="BK77">
        <f>IF($C77="",0,MAX(0,$BJ77+IF($P77=AI$3,$R77,0)+IF($S77=AI$3,$U77,0)-$AI77))</f>
        <v/>
      </c>
      <c r="BL77">
        <f>IF($C77="",99,IF(AND($AX77&lt;1,V$3&gt;=MAX(N($P77),N($S77))),0,99))</f>
        <v/>
      </c>
      <c r="BM77">
        <f>IF($C77="",99,IF(AND($AY77&lt;1,W$3&gt;=MAX(N($P77),N($S77))),1,99))</f>
        <v/>
      </c>
      <c r="BN77">
        <f>IF($C77="",99,IF(AND($AZ77&lt;1,X$3&gt;=MAX(N($P77),N($S77))),2,99))</f>
        <v/>
      </c>
      <c r="BO77">
        <f>IF($C77="",99,IF(AND($BA77&lt;1,Y$3&gt;=MAX(N($P77),N($S77))),3,99))</f>
        <v/>
      </c>
      <c r="BP77">
        <f>IF($C77="",99,IF(AND($BB77&lt;1,Z$3&gt;=MAX(N($P77),N($S77))),4,99))</f>
        <v/>
      </c>
      <c r="BQ77">
        <f>IF($C77="",99,IF(AND($BC77&lt;1,AA$3&gt;=MAX(N($P77),N($S77))),5,99))</f>
        <v/>
      </c>
      <c r="BR77">
        <f>IF($C77="",99,IF(AND($BD77&lt;1,AB$3&gt;=MAX(N($P77),N($S77))),6,99))</f>
        <v/>
      </c>
      <c r="BS77">
        <f>IF($C77="",99,IF(AND($BE77&lt;1,AC$3&gt;=MAX(N($P77),N($S77))),7,99))</f>
        <v/>
      </c>
      <c r="BT77">
        <f>IF($C77="",99,IF(AND($BF77&lt;1,AD$3&gt;=MAX(N($P77),N($S77))),8,99))</f>
        <v/>
      </c>
      <c r="BU77">
        <f>IF($C77="",99,IF(AND($BG77&lt;1,AE$3&gt;=MAX(N($P77),N($S77))),9,99))</f>
        <v/>
      </c>
      <c r="BV77">
        <f>IF($C77="",99,IF(AND($BH77&lt;1,AF$3&gt;=MAX(N($P77),N($S77))),10,99))</f>
        <v/>
      </c>
      <c r="BW77">
        <f>IF($C77="",99,IF(AND($BI77&lt;1,AG$3&gt;=MAX(N($P77),N($S77))),11,99))</f>
        <v/>
      </c>
      <c r="BX77">
        <f>IF($C77="",99,IF(AND($BJ77&lt;1,AH$3&gt;=MAX(N($P77),N($S77))),12,99))</f>
        <v/>
      </c>
      <c r="BY77">
        <f>IF($C77="",99,IF(AND($BK77&lt;1,AI$3&gt;=MAX(N($P77),N($S77))),13,99))</f>
        <v/>
      </c>
      <c r="BZ77">
        <f>IF(OR($C77="",$M77=""),"",COUNTIF($AJ77:$AW77,"&gt;=1"))</f>
        <v/>
      </c>
      <c r="CA77" s="90">
        <f>IF($BZ77="","",IF($BZ77&gt;=14,"",'設定'!$C$6+$BZ77))</f>
        <v/>
      </c>
      <c r="CB77">
        <f>IF(OR($C77="",$M77=""),"",MIN($BL77:$BY77))</f>
        <v/>
      </c>
      <c r="CC77" s="90">
        <f>IF($CB77="","",IF($CB77&gt;=99,"",'設定'!$C$6+$CB77))</f>
        <v/>
      </c>
      <c r="CD77">
        <f>IF(OR($C77="",$M77=""),"",AVERAGE($V77:$AI77))</f>
        <v/>
      </c>
      <c r="CE77">
        <f>IF($C77="","",IFERROR(IF(MATCH(IF(ISNUMBER($P77),$P77,'設定'!$C$6+N('設定'!$C$7)),$V$3:$AI$3,0)=1,MAX(0,N($L77)),INDEX($AJ77:$AW77,MATCH(IF(ISNUMBER($P77),$P77,'設定'!$C$6+N('設定'!$C$7)),$V$3:$AI$3,0)-1)),""))</f>
        <v/>
      </c>
      <c r="CF77">
        <f>IF(OR($C77="",$O77="",$CE77=""),"",IF($O77-$CE77&lt;=0,0,ROUNDUP(($O77-$CE77)/$G77,0)))</f>
        <v/>
      </c>
      <c r="CG77">
        <f>IF(OR($C77="",$CF77="",NOT(ISNUMBER($Q77))),0,MAX(0,$Q77-$CF77))</f>
        <v/>
      </c>
      <c r="CH77">
        <f>IF(OR($C77="",$O77="",$U77=0),0,IFERROR(ROUNDUP(MAX(0,IF(MATCH($S77,$V$3:$AI$3,0)=1,MAX(0,N($L77)),INDEX($AX77:$BK77,MATCH($S77,$V$3:$AI$3,0)-1))+$U77-$O77)/$G77,0),0))</f>
        <v/>
      </c>
      <c r="CI77">
        <f>IF($C77="","",IF(AND($P77="",$Q77=""),"",IF($P77="","⚠ 入庫日を ▼ から選んでください",IF(NOT(ISNUMBER($P77)),"⚠ 入庫日は ▼ から選んでください",IF($P77&lt;N('設定'!$C$6),"⚠ 入庫日が過去です（もう在庫に入っています）→ 消してください",IF($P77&gt;N('設定'!$C$6)+13,"⚠ 入庫日が14日より先です",IF(N($Q77)&lt;=0,"⚠ 入庫数を入れてください",IF($CG77&gt;0,"⚠ 目安より "&amp;$CG77&amp;" 多い（定数を超える）→ 減らす",""))))))))</f>
        <v/>
      </c>
      <c r="CJ77">
        <f>IF($C77="","",IF(AND($S77="",$T77=""),"",IF($S77="","⚠ 2便目：入庫日を ▼ から選んでください",IF(NOT(ISNUMBER($S77)),"⚠ 2便目：入庫日は ▼ から選んでください",IF($S77&lt;N('設定'!$C$6),"⚠ 2便目：入庫日が過去です（もう在庫に入っています）→ 消してください",IF($S77&gt;N('設定'!$C$6)+13,"⚠ 2便目：入庫日が14日より先です",IF(N($T77)&lt;=0,"⚠ 2便目：入庫数を入れてください",IF($CH77&gt;0,"⚠ 2便目：定数を "&amp;$CH77&amp;" ケース超える → 減らす",""))))))))</f>
        <v/>
      </c>
      <c r="CK77">
        <f>IF(AND($CI77="",N($Q77)&gt;0,ISNUMBER($P77)),1,0)</f>
        <v/>
      </c>
      <c r="CL77">
        <f>IF(AND($CJ77="",N($T77)&gt;0,ISNUMBER($S77)),1,0)</f>
        <v/>
      </c>
      <c r="CM77">
        <f>IF(OR($CK77=1,$CL77=1),1,0)</f>
        <v/>
      </c>
      <c r="CN77">
        <f>IF($C77="",0,($CK77*$R77+$CL77*$U77)*N($H77))</f>
        <v/>
      </c>
      <c r="CO77">
        <f>IF($C77="","",IF($CC77="","入庫後は 14日以上もつ",IF($CC77-N('設定'!$C$7)&lt;='設定'!$C$6,"入庫後も "&amp;TEXT($CC77,"m/d")&amp;"("&amp;CHOOSE(WEEKDAY($CC77),"日","月","火","水","木","金","土")&amp;")"&amp;" に切れる　もう1便を至急発注","入庫後も "&amp;TEXT($CC77,"m/d")&amp;"("&amp;CHOOSE(WEEKDAY($CC77),"日","月","火","水","木","金","土")&amp;")"&amp;" に切れる　"&amp;TEXT($CC77-N('設定'!$C$7),"m/d")&amp;"("&amp;CHOOSE(WEEKDAY($CC77-N('設定'!$C$7)),"日","月","火","水","木","金","土")&amp;")"&amp;" までに次を発注")))</f>
        <v/>
      </c>
      <c r="CP77">
        <f>IF($C77="","",IF('設定'!$C$6="","？ ①在庫を貼る に今日のCSVが貼られていない",IF($CS77=1,"－ 今日のCSVに無い（終売？）",IF($L77&lt;0,"● 在庫がマイナス　数えて「数えた在庫」に入れる",IF($L77=0,"● 在庫なし　至急発注",IF($M77="","？ 減り数が未設定（商品マスタ）",IF($B$3=0,"？ 動員が未入力（動員を入れる）",IF($CA77="","○ 14日以上もつ",IF($BZ77&lt;N('設定'!$C$7),"● "&amp;TEXT($CA77,"m/d")&amp;"("&amp;CHOOSE(WEEKDAY($CA77),"日","月","火","水","木","金","土")&amp;")"&amp;" に切れる　至急発注",IF($BZ77=N('設定'!$C$7),"● "&amp;TEXT($CA77,"m/d")&amp;"("&amp;CHOOSE(WEEKDAY($CA77),"日","月","火","水","木","金","土")&amp;")"&amp;" に切れる　今日発注","△ "&amp;TEXT($CA77,"m/d")&amp;"("&amp;CHOOSE(WEEKDAY($CA77),"日","月","火","水","木","金","土")&amp;")"&amp;" に切れる　"&amp;TEXT($CA77-N('設定'!$C$7),"m/d")&amp;"("&amp;CHOOSE(WEEKDAY($CA77-N('設定'!$C$7)),"日","月","火","水","木","金","土")&amp;")"&amp;" までに発注"))))))))))</f>
        <v/>
      </c>
      <c r="CQ77">
        <f>IF($C77="","",IF(AND($P77="",$Q77="",$S77="",$T77=""),"",IF(AND($P77="",$Q77=""),"⚠ 先に1便目（左の入庫日・入庫数）に入れてください",IF($CI77&lt;&gt;"",$CI77,IF($CJ77&lt;&gt;"",$CJ77,IF($M77="","？ 減り数が未設定（発注書には載ります）",IF($B$3=0,"？ 動員が未入力（発注書には載ります）",IF(AND($CA77&lt;&gt;"",$P77&gt;$CA77),IF($P77&gt;'設定'!$C$6+N('設定'!$C$7),"● "&amp;TEXT($P77,"m/d")&amp;"("&amp;CHOOSE(WEEKDAY($P77),"日","月","火","水","木","金","土")&amp;")"&amp;" の入庫では間に合わない（"&amp;TEXT($CA77,"m/d")&amp;"("&amp;CHOOSE(WEEKDAY($CA77),"日","月","火","水","木","金","土")&amp;")"&amp;" に切れる）　入庫日を早める","△ 欠品 "&amp;TEXT($CA77,"m/d")&amp;"("&amp;CHOOSE(WEEKDAY($CA77),"日","月","火","水","木","金","土")&amp;")"&amp;"〜"&amp;TEXT($P77-1,"m/d")&amp;"("&amp;CHOOSE(WEEKDAY($P77-1),"日","月","火","水","木","金","土")&amp;")"&amp;"　"&amp;$CO77),IF($CC77="","○ "&amp;TEXT($P77,"m/d")&amp;"("&amp;CHOOSE(WEEKDAY($P77),"日","月","火","水","木","金","土")&amp;")"&amp;" 入庫で 14日以上もつ",IF($CC77-N('設定'!$C$7)&lt;='設定'!$C$6,"● 入庫しても "&amp;TEXT($CC77,"m/d")&amp;"("&amp;CHOOSE(WEEKDAY($CC77),"日","月","火","水","木","金","土")&amp;")"&amp;" に切れる　もう1便を至急発注（2便目に入れる）","△ 入庫しても "&amp;TEXT($CC77,"m/d")&amp;"("&amp;CHOOSE(WEEKDAY($CC77),"日","月","火","水","木","金","土")&amp;")"&amp;" に切れる　"&amp;TEXT($CC77-N('設定'!$C$7),"m/d")&amp;"("&amp;CHOOSE(WEEKDAY($CC77-N('設定'!$C$7)),"日","月","火","水","木","金","土")&amp;")"&amp;" までに次を発注（2便目に入れる）"))))))))))</f>
        <v/>
      </c>
      <c r="CR77">
        <f>IF($C77="","",IF($G77&gt;1,"ｹｰｽ("&amp;$G77&amp;"入)","個"))</f>
        <v/>
      </c>
      <c r="CS77">
        <f>IF($C77="",0,IF(COUNTIFS('①在庫を貼る'!$V$6:$V$10005,'設定'!$C$4,'①在庫を貼る'!$W$6:$W$10005,$C77)=0,1,0))</f>
        <v/>
      </c>
      <c r="CT77">
        <f>IF(AND($CK77=1,OR('③発注書'!$C$4="すべて",'③発注書'!$C$4="",$F77='③発注書'!$C$4)),N($CT76)+1,N($CT76))</f>
        <v/>
      </c>
      <c r="CU77">
        <f>IF(AND($CL77=1,OR('③発注書'!$C$4="すべて",'③発注書'!$C$4="",$F77='③発注書'!$C$4)),N($CU76)+1,N($CU76))</f>
        <v/>
      </c>
      <c r="CV77">
        <f>IF($C77="",0,IF(COUNTIFS('①在庫を貼る'!$V$6:$V$10005,'設定'!$C$4,'①在庫を貼る'!$W$6:$W$10005,$C77)&gt;0,1,0))</f>
        <v/>
      </c>
      <c r="CW77">
        <f>IF($C77="",0,IF(COUNTIFS('月1回_1ヶ月前の在庫'!$V$6:$V$10005,'設定'!$C$4,'月1回_1ヶ月前の在庫'!$W$6:$W$10005,$C77)&gt;0,1,0))</f>
        <v/>
      </c>
      <c r="CX77">
        <f>IF($C77="",0,IF(COUNTIFS('月1回_2ヶ月前の在庫'!$V$6:$V$10005,'設定'!$C$4,'月1回_2ヶ月前の在庫'!$W$6:$W$10005,$C77)&gt;0,1,0))</f>
        <v/>
      </c>
      <c r="CY77">
        <f>IF(OR($C77="",'設定'!$C$12=""),"",IF('設定'!$C$13="",IF(AND($CV77=1,$CW77=0),"新商品（今月から）",IF(AND($CV77=0,$CW77=1),"終売（今月から）","")),IF(AND($CV77=1,$CW77=0,$CX77=0),"新商品（今月から）",IF(AND($CV77=1,$CW77=1,$CX77=0),"新商品（先月から）",IF(AND($CV77=0,$CW77=1,$CX77=1),"終売（今月から）",IF(AND($CV77=0,$CW77=0,$CX77=1),"終売（先月から）",IF(AND($CV77=1,$CW77=0,$CX77=1),"復活（先月は無し）","")))))))</f>
        <v/>
      </c>
    </row>
    <row r="78">
      <c r="B78">
        <f>IF(73&lt;='設定'!$C$11,73,"")</f>
        <v/>
      </c>
      <c r="C78">
        <f>IF($B78="","",IF($B78&lt;='設定'!$C$20,INDEX('商品マスタ'!$B$6:$B$1005,MATCH($B78,'商品マスタ'!$M$6:$M$1005,0)),IF($B78&lt;='設定'!$C$20+'設定'!$C$17,INDEX('①在庫を貼る'!$W$6:$W$10005,MATCH($B78-'設定'!$C$20,'①在庫を貼る'!$U$6:$U$10005,0)),IF($B78&lt;='設定'!$C$20+'設定'!$C$17+'設定'!$C$18,INDEX('月1回_1ヶ月前の在庫'!$W$6:$W$10005,MATCH($B78-'設定'!$C$20-'設定'!$C$17,'月1回_1ヶ月前の在庫'!$U$6:$U$10005,0)),INDEX('月1回_2ヶ月前の在庫'!$W$6:$W$10005,MATCH($B78-'設定'!$C$20-'設定'!$C$17-'設定'!$C$18,'月1回_2ヶ月前の在庫'!$U$6:$U$10005,0))))))</f>
        <v/>
      </c>
      <c r="D78">
        <f>IF($C78="","",IFERROR(IF(INDEX('商品マスタ'!$C$6:$C$1005,MATCH($C78,'商品マスタ'!$B$6:$B$1005,0))="",IFERROR(INDEX('①在庫を貼る'!$J$6:$J$10005,MATCH($C78,'①在庫を貼る'!$W$6:$W$10005,0)),IFERROR(INDEX('月1回_1ヶ月前の在庫'!$J$6:$J$10005,MATCH($C78,'月1回_1ヶ月前の在庫'!$W$6:$W$10005,0)),IFERROR(INDEX('月1回_2ヶ月前の在庫'!$J$6:$J$10005,MATCH($C78,'月1回_2ヶ月前の在庫'!$W$6:$W$10005,0)),""))),INDEX('商品マスタ'!$C$6:$C$1005,MATCH($C78,'商品マスタ'!$B$6:$B$1005,0))),IFERROR(INDEX('①在庫を貼る'!$J$6:$J$10005,MATCH($C78,'①在庫を貼る'!$W$6:$W$10005,0)),IFERROR(INDEX('月1回_1ヶ月前の在庫'!$J$6:$J$10005,MATCH($C78,'月1回_1ヶ月前の在庫'!$W$6:$W$10005,0)),IFERROR(INDEX('月1回_2ヶ月前の在庫'!$J$6:$J$10005,MATCH($C78,'月1回_2ヶ月前の在庫'!$W$6:$W$10005,0)),"")))))</f>
        <v/>
      </c>
      <c r="E78">
        <f>IF($C78="","",IFERROR(IF(INDEX('商品マスタ'!$D$6:$D$1005,MATCH($C78,'商品マスタ'!$B$6:$B$1005,0))="",IFERROR(INDEX('①在庫を貼る'!$H$6:$H$10005,MATCH($C78,'①在庫を貼る'!$W$6:$W$10005,0)),IFERROR(INDEX('月1回_1ヶ月前の在庫'!$H$6:$H$10005,MATCH($C78,'月1回_1ヶ月前の在庫'!$W$6:$W$10005,0)),IFERROR(INDEX('月1回_2ヶ月前の在庫'!$H$6:$H$10005,MATCH($C78,'月1回_2ヶ月前の在庫'!$W$6:$W$10005,0)),""))),INDEX('商品マスタ'!$D$6:$D$1005,MATCH($C78,'商品マスタ'!$B$6:$B$1005,0))),IFERROR(INDEX('①在庫を貼る'!$H$6:$H$10005,MATCH($C78,'①在庫を貼る'!$W$6:$W$10005,0)),IFERROR(INDEX('月1回_1ヶ月前の在庫'!$H$6:$H$10005,MATCH($C78,'月1回_1ヶ月前の在庫'!$W$6:$W$10005,0)),IFERROR(INDEX('月1回_2ヶ月前の在庫'!$H$6:$H$10005,MATCH($C78,'月1回_2ヶ月前の在庫'!$W$6:$W$10005,0)),"")))))</f>
        <v/>
      </c>
      <c r="F78">
        <f>IF($C78="","",IFERROR(IF(INDEX('商品マスタ'!$E$6:$E$1005,MATCH($C78,'商品マスタ'!$B$6:$B$1005,0))="",IFERROR(INDEX('①在庫を貼る'!$E$6:$E$10005,MATCH($C78,'①在庫を貼る'!$W$6:$W$10005,0)),IFERROR(INDEX('月1回_1ヶ月前の在庫'!$E$6:$E$10005,MATCH($C78,'月1回_1ヶ月前の在庫'!$W$6:$W$10005,0)),IFERROR(INDEX('月1回_2ヶ月前の在庫'!$E$6:$E$10005,MATCH($C78,'月1回_2ヶ月前の在庫'!$W$6:$W$10005,0)),""))),INDEX('商品マスタ'!$E$6:$E$1005,MATCH($C78,'商品マスタ'!$B$6:$B$1005,0))),IFERROR(INDEX('①在庫を貼る'!$E$6:$E$10005,MATCH($C78,'①在庫を貼る'!$W$6:$W$10005,0)),IFERROR(INDEX('月1回_1ヶ月前の在庫'!$E$6:$E$10005,MATCH($C78,'月1回_1ヶ月前の在庫'!$W$6:$W$10005,0)),IFERROR(INDEX('月1回_2ヶ月前の在庫'!$E$6:$E$10005,MATCH($C78,'月1回_2ヶ月前の在庫'!$W$6:$W$10005,0)),"")))))</f>
        <v/>
      </c>
      <c r="G78">
        <f>IF($C78="","",MAX(1,N(IFERROR(IF(INDEX('商品マスタ'!$F$6:$F$1005,MATCH($C78,'商品マスタ'!$B$6:$B$1005,0))="",IF(COUNTIFS('①在庫を貼る'!$V$6:$V$10005,'設定'!$C$4,'①在庫を貼る'!$W$6:$W$10005,$C78)&gt;0,SUMIFS('①在庫を貼る'!$K$6:$K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K$6:$K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K$6:$K$10005,'月1回_2ヶ月前の在庫'!$V$6:$V$10005,'設定'!$C$4,'月1回_2ヶ月前の在庫'!$W$6:$W$10005,$C78)/COUNTIFS('月1回_2ヶ月前の在庫'!$V$6:$V$10005,'設定'!$C$4,'月1回_2ヶ月前の在庫'!$W$6:$W$10005,$C78),0))),INDEX('商品マスタ'!$F$6:$F$1005,MATCH($C78,'商品マスタ'!$B$6:$B$1005,0))),IF(COUNTIFS('①在庫を貼る'!$V$6:$V$10005,'設定'!$C$4,'①在庫を貼る'!$W$6:$W$10005,$C78)&gt;0,SUMIFS('①在庫を貼る'!$K$6:$K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K$6:$K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K$6:$K$10005,'月1回_2ヶ月前の在庫'!$V$6:$V$10005,'設定'!$C$4,'月1回_2ヶ月前の在庫'!$W$6:$W$10005,$C78)/COUNTIFS('月1回_2ヶ月前の在庫'!$V$6:$V$10005,'設定'!$C$4,'月1回_2ヶ月前の在庫'!$W$6:$W$10005,$C78),0)))))))</f>
        <v/>
      </c>
      <c r="H78">
        <f>IF($C78="","",N(IFERROR(IF(INDEX('商品マスタ'!$G$6:$G$1005,MATCH($C78,'商品マスタ'!$B$6:$B$1005,0))="",IF(COUNTIFS('①在庫を貼る'!$V$6:$V$10005,'設定'!$C$4,'①在庫を貼る'!$W$6:$W$10005,$C78)&gt;0,SUMIFS('①在庫を貼る'!$Q$6:$Q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Q$6:$Q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Q$6:$Q$10005,'月1回_2ヶ月前の在庫'!$V$6:$V$10005,'設定'!$C$4,'月1回_2ヶ月前の在庫'!$W$6:$W$10005,$C78)/COUNTIFS('月1回_2ヶ月前の在庫'!$V$6:$V$10005,'設定'!$C$4,'月1回_2ヶ月前の在庫'!$W$6:$W$10005,$C78),0))),INDEX('商品マスタ'!$G$6:$G$1005,MATCH($C78,'商品マスタ'!$B$6:$B$1005,0))),IF(COUNTIFS('①在庫を貼る'!$V$6:$V$10005,'設定'!$C$4,'①在庫を貼る'!$W$6:$W$10005,$C78)&gt;0,SUMIFS('①在庫を貼る'!$Q$6:$Q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Q$6:$Q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Q$6:$Q$10005,'月1回_2ヶ月前の在庫'!$V$6:$V$10005,'設定'!$C$4,'月1回_2ヶ月前の在庫'!$W$6:$W$10005,$C78)/COUNTIFS('月1回_2ヶ月前の在庫'!$V$6:$V$10005,'設定'!$C$4,'月1回_2ヶ月前の在庫'!$W$6:$W$10005,$C78),0))))))</f>
        <v/>
      </c>
      <c r="I78">
        <f>IF($C78="","",IF(COUNTIFS('①在庫を貼る'!$V$6:$V$10005,'設定'!$C$4,'①在庫を貼る'!$W$6:$W$10005,$C78)=0,"",SUMIFS('①在庫を貼る'!$N$6:$N$10005,'①在庫を貼る'!$V$6:$V$10005,'設定'!$C$4,'①在庫を貼る'!$W$6:$W$10005,$C78)))</f>
        <v/>
      </c>
      <c r="J78">
        <f>IF($C78="","",IF('②発注する'!$AD82="","",'②発注する'!$AD82))</f>
        <v/>
      </c>
      <c r="K78" s="90">
        <f>IF($C78="","",IF('②発注する'!$AE82="","",'②発注する'!$AE82))</f>
        <v/>
      </c>
      <c r="L78">
        <f>IF($C78="","",IF(AND(ISNUMBER($J78),ISNUMBER($K78),$K78&gt;='設定'!$C$6),$J78,N($I78)))</f>
        <v/>
      </c>
      <c r="M78">
        <f>IF($C78="","",IFERROR(IF(N(INDEX('商品マスタ'!$J$6:$J$1005,MATCH($C78,'商品マスタ'!$B$6:$B$1005,0)))&gt;0,INDEX('商品マスタ'!$J$6:$J$1005,MATCH($C78,'商品マスタ'!$B$6:$B$1005,0)),""),""))</f>
        <v/>
      </c>
      <c r="N78">
        <f>IF($C78="","",IFERROR(IF(N(INDEX('商品マスタ'!$H$6:$H$1005,MATCH($C78,'商品マスタ'!$B$6:$B$1005,0)))&gt;0,INDEX('商品マスタ'!$H$6:$H$1005,MATCH($C78,'商品マスタ'!$B$6:$B$1005,0)),""),""))</f>
        <v/>
      </c>
      <c r="O78">
        <f>IF($C78="","",IF($N78&lt;&gt;"",$N78*$G78,IF(N(IF(COUNTIFS('①在庫を貼る'!$V$6:$V$10005,'設定'!$C$4,'①在庫を貼る'!$W$6:$W$10005,$C78)&gt;0,SUMIFS('①在庫を貼る'!$O$6:$O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O$6:$O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O$6:$O$10005,'月1回_2ヶ月前の在庫'!$V$6:$V$10005,'設定'!$C$4,'月1回_2ヶ月前の在庫'!$W$6:$W$10005,$C78)/COUNTIFS('月1回_2ヶ月前の在庫'!$V$6:$V$10005,'設定'!$C$4,'月1回_2ヶ月前の在庫'!$W$6:$W$10005,$C78),0))))&gt;0,N(IF(COUNTIFS('①在庫を貼る'!$V$6:$V$10005,'設定'!$C$4,'①在庫を貼る'!$W$6:$W$10005,$C78)&gt;0,SUMIFS('①在庫を貼る'!$O$6:$O$10005,'①在庫を貼る'!$V$6:$V$10005,'設定'!$C$4,'①在庫を貼る'!$W$6:$W$10005,$C78)/COUNTIFS('①在庫を貼る'!$V$6:$V$10005,'設定'!$C$4,'①在庫を貼る'!$W$6:$W$10005,$C78),IF(COUNTIFS('月1回_1ヶ月前の在庫'!$V$6:$V$10005,'設定'!$C$4,'月1回_1ヶ月前の在庫'!$W$6:$W$10005,$C78)&gt;0,SUMIFS('月1回_1ヶ月前の在庫'!$O$6:$O$10005,'月1回_1ヶ月前の在庫'!$V$6:$V$10005,'設定'!$C$4,'月1回_1ヶ月前の在庫'!$W$6:$W$10005,$C78)/COUNTIFS('月1回_1ヶ月前の在庫'!$V$6:$V$10005,'設定'!$C$4,'月1回_1ヶ月前の在庫'!$W$6:$W$10005,$C78),IF(COUNTIFS('月1回_2ヶ月前の在庫'!$V$6:$V$10005,'設定'!$C$4,'月1回_2ヶ月前の在庫'!$W$6:$W$10005,$C78)&gt;0,SUMIFS('月1回_2ヶ月前の在庫'!$O$6:$O$10005,'月1回_2ヶ月前の在庫'!$V$6:$V$10005,'設定'!$C$4,'月1回_2ヶ月前の在庫'!$W$6:$W$10005,$C78)/COUNTIFS('月1回_2ヶ月前の在庫'!$V$6:$V$10005,'設定'!$C$4,'月1回_2ヶ月前の在庫'!$W$6:$W$10005,$C78),0)))),"")))</f>
        <v/>
      </c>
      <c r="P78" s="90">
        <f>IF($C78="","",IF('②発注する'!$I82="","",'②発注する'!$I82))</f>
        <v/>
      </c>
      <c r="Q78">
        <f>IF($C78="","",IF('②発注する'!$J82="","",'②発注する'!$J82))</f>
        <v/>
      </c>
      <c r="R78">
        <f>IF($C78="",0,IF(AND(ISNUMBER($P78),ISNUMBER($Q78)),MAX(0,$Q78)*$G78,0))</f>
        <v/>
      </c>
      <c r="S78" s="90">
        <f>IF($C78="","",IF('②発注する'!$M82="","",'②発注する'!$M82))</f>
        <v/>
      </c>
      <c r="T78">
        <f>IF($C78="","",IF('②発注する'!$N82="","",'②発注する'!$N82))</f>
        <v/>
      </c>
      <c r="U78">
        <f>IF($C78="",0,IF(AND(ISNUMBER($S78),ISNUMBER($T78)),MAX(0,$T78)*$G78,0))</f>
        <v/>
      </c>
      <c r="V78">
        <f>IF($C78="",0,IF($M78="",0,MAX(0,$M78)*MAX(0,V$4)/100))</f>
        <v/>
      </c>
      <c r="W78">
        <f>IF($C78="",0,IF($M78="",0,MAX(0,$M78)*MAX(0,W$4)/100))</f>
        <v/>
      </c>
      <c r="X78">
        <f>IF($C78="",0,IF($M78="",0,MAX(0,$M78)*MAX(0,X$4)/100))</f>
        <v/>
      </c>
      <c r="Y78">
        <f>IF($C78="",0,IF($M78="",0,MAX(0,$M78)*MAX(0,Y$4)/100))</f>
        <v/>
      </c>
      <c r="Z78">
        <f>IF($C78="",0,IF($M78="",0,MAX(0,$M78)*MAX(0,Z$4)/100))</f>
        <v/>
      </c>
      <c r="AA78">
        <f>IF($C78="",0,IF($M78="",0,MAX(0,$M78)*MAX(0,AA$4)/100))</f>
        <v/>
      </c>
      <c r="AB78">
        <f>IF($C78="",0,IF($M78="",0,MAX(0,$M78)*MAX(0,AB$4)/100))</f>
        <v/>
      </c>
      <c r="AC78">
        <f>IF($C78="",0,IF($M78="",0,MAX(0,$M78)*MAX(0,AC$4)/100))</f>
        <v/>
      </c>
      <c r="AD78">
        <f>IF($C78="",0,IF($M78="",0,MAX(0,$M78)*MAX(0,AD$4)/100))</f>
        <v/>
      </c>
      <c r="AE78">
        <f>IF($C78="",0,IF($M78="",0,MAX(0,$M78)*MAX(0,AE$4)/100))</f>
        <v/>
      </c>
      <c r="AF78">
        <f>IF($C78="",0,IF($M78="",0,MAX(0,$M78)*MAX(0,AF$4)/100))</f>
        <v/>
      </c>
      <c r="AG78">
        <f>IF($C78="",0,IF($M78="",0,MAX(0,$M78)*MAX(0,AG$4)/100))</f>
        <v/>
      </c>
      <c r="AH78">
        <f>IF($C78="",0,IF($M78="",0,MAX(0,$M78)*MAX(0,AH$4)/100))</f>
        <v/>
      </c>
      <c r="AI78">
        <f>IF($C78="",0,IF($M78="",0,MAX(0,$M78)*MAX(0,AI$4)/100))</f>
        <v/>
      </c>
      <c r="AJ78">
        <f>IF($C78="",0,MAX(0,MAX(0,N($L78))-$V78))</f>
        <v/>
      </c>
      <c r="AK78">
        <f>IF($C78="",0,MAX(0,$AJ78-$W78))</f>
        <v/>
      </c>
      <c r="AL78">
        <f>IF($C78="",0,MAX(0,$AK78-$X78))</f>
        <v/>
      </c>
      <c r="AM78">
        <f>IF($C78="",0,MAX(0,$AL78-$Y78))</f>
        <v/>
      </c>
      <c r="AN78">
        <f>IF($C78="",0,MAX(0,$AM78-$Z78))</f>
        <v/>
      </c>
      <c r="AO78">
        <f>IF($C78="",0,MAX(0,$AN78-$AA78))</f>
        <v/>
      </c>
      <c r="AP78">
        <f>IF($C78="",0,MAX(0,$AO78-$AB78))</f>
        <v/>
      </c>
      <c r="AQ78">
        <f>IF($C78="",0,MAX(0,$AP78-$AC78))</f>
        <v/>
      </c>
      <c r="AR78">
        <f>IF($C78="",0,MAX(0,$AQ78-$AD78))</f>
        <v/>
      </c>
      <c r="AS78">
        <f>IF($C78="",0,MAX(0,$AR78-$AE78))</f>
        <v/>
      </c>
      <c r="AT78">
        <f>IF($C78="",0,MAX(0,$AS78-$AF78))</f>
        <v/>
      </c>
      <c r="AU78">
        <f>IF($C78="",0,MAX(0,$AT78-$AG78))</f>
        <v/>
      </c>
      <c r="AV78">
        <f>IF($C78="",0,MAX(0,$AU78-$AH78))</f>
        <v/>
      </c>
      <c r="AW78">
        <f>IF($C78="",0,MAX(0,$AV78-$AI78))</f>
        <v/>
      </c>
      <c r="AX78">
        <f>IF($C78="",0,MAX(0,MAX(0,N($L78))+IF($P78=V$3,$R78,0)+IF($S78=V$3,$U78,0)-$V78))</f>
        <v/>
      </c>
      <c r="AY78">
        <f>IF($C78="",0,MAX(0,$AX78+IF($P78=W$3,$R78,0)+IF($S78=W$3,$U78,0)-$W78))</f>
        <v/>
      </c>
      <c r="AZ78">
        <f>IF($C78="",0,MAX(0,$AY78+IF($P78=X$3,$R78,0)+IF($S78=X$3,$U78,0)-$X78))</f>
        <v/>
      </c>
      <c r="BA78">
        <f>IF($C78="",0,MAX(0,$AZ78+IF($P78=Y$3,$R78,0)+IF($S78=Y$3,$U78,0)-$Y78))</f>
        <v/>
      </c>
      <c r="BB78">
        <f>IF($C78="",0,MAX(0,$BA78+IF($P78=Z$3,$R78,0)+IF($S78=Z$3,$U78,0)-$Z78))</f>
        <v/>
      </c>
      <c r="BC78">
        <f>IF($C78="",0,MAX(0,$BB78+IF($P78=AA$3,$R78,0)+IF($S78=AA$3,$U78,0)-$AA78))</f>
        <v/>
      </c>
      <c r="BD78">
        <f>IF($C78="",0,MAX(0,$BC78+IF($P78=AB$3,$R78,0)+IF($S78=AB$3,$U78,0)-$AB78))</f>
        <v/>
      </c>
      <c r="BE78">
        <f>IF($C78="",0,MAX(0,$BD78+IF($P78=AC$3,$R78,0)+IF($S78=AC$3,$U78,0)-$AC78))</f>
        <v/>
      </c>
      <c r="BF78">
        <f>IF($C78="",0,MAX(0,$BE78+IF($P78=AD$3,$R78,0)+IF($S78=AD$3,$U78,0)-$AD78))</f>
        <v/>
      </c>
      <c r="BG78">
        <f>IF($C78="",0,MAX(0,$BF78+IF($P78=AE$3,$R78,0)+IF($S78=AE$3,$U78,0)-$AE78))</f>
        <v/>
      </c>
      <c r="BH78">
        <f>IF($C78="",0,MAX(0,$BG78+IF($P78=AF$3,$R78,0)+IF($S78=AF$3,$U78,0)-$AF78))</f>
        <v/>
      </c>
      <c r="BI78">
        <f>IF($C78="",0,MAX(0,$BH78+IF($P78=AG$3,$R78,0)+IF($S78=AG$3,$U78,0)-$AG78))</f>
        <v/>
      </c>
      <c r="BJ78">
        <f>IF($C78="",0,MAX(0,$BI78+IF($P78=AH$3,$R78,0)+IF($S78=AH$3,$U78,0)-$AH78))</f>
        <v/>
      </c>
      <c r="BK78">
        <f>IF($C78="",0,MAX(0,$BJ78+IF($P78=AI$3,$R78,0)+IF($S78=AI$3,$U78,0)-$AI78))</f>
        <v/>
      </c>
      <c r="BL78">
        <f>IF($C78="",99,IF(AND($AX78&lt;1,V$3&gt;=MAX(N($P78),N($S78))),0,99))</f>
        <v/>
      </c>
      <c r="BM78">
        <f>IF($C78="",99,IF(AND($AY78&lt;1,W$3&gt;=MAX(N($P78),N($S78))),1,99))</f>
        <v/>
      </c>
      <c r="BN78">
        <f>IF($C78="",99,IF(AND($AZ78&lt;1,X$3&gt;=MAX(N($P78),N($S78))),2,99))</f>
        <v/>
      </c>
      <c r="BO78">
        <f>IF($C78="",99,IF(AND($BA78&lt;1,Y$3&gt;=MAX(N($P78),N($S78))),3,99))</f>
        <v/>
      </c>
      <c r="BP78">
        <f>IF($C78="",99,IF(AND($BB78&lt;1,Z$3&gt;=MAX(N($P78),N($S78))),4,99))</f>
        <v/>
      </c>
      <c r="BQ78">
        <f>IF($C78="",99,IF(AND($BC78&lt;1,AA$3&gt;=MAX(N($P78),N($S78))),5,99))</f>
        <v/>
      </c>
      <c r="BR78">
        <f>IF($C78="",99,IF(AND($BD78&lt;1,AB$3&gt;=MAX(N($P78),N($S78))),6,99))</f>
        <v/>
      </c>
      <c r="BS78">
        <f>IF($C78="",99,IF(AND($BE78&lt;1,AC$3&gt;=MAX(N($P78),N($S78))),7,99))</f>
        <v/>
      </c>
      <c r="BT78">
        <f>IF($C78="",99,IF(AND($BF78&lt;1,AD$3&gt;=MAX(N($P78),N($S78))),8,99))</f>
        <v/>
      </c>
      <c r="BU78">
        <f>IF($C78="",99,IF(AND($BG78&lt;1,AE$3&gt;=MAX(N($P78),N($S78))),9,99))</f>
        <v/>
      </c>
      <c r="BV78">
        <f>IF($C78="",99,IF(AND($BH78&lt;1,AF$3&gt;=MAX(N($P78),N($S78))),10,99))</f>
        <v/>
      </c>
      <c r="BW78">
        <f>IF($C78="",99,IF(AND($BI78&lt;1,AG$3&gt;=MAX(N($P78),N($S78))),11,99))</f>
        <v/>
      </c>
      <c r="BX78">
        <f>IF($C78="",99,IF(AND($BJ78&lt;1,AH$3&gt;=MAX(N($P78),N($S78))),12,99))</f>
        <v/>
      </c>
      <c r="BY78">
        <f>IF($C78="",99,IF(AND($BK78&lt;1,AI$3&gt;=MAX(N($P78),N($S78))),13,99))</f>
        <v/>
      </c>
      <c r="BZ78">
        <f>IF(OR($C78="",$M78=""),"",COUNTIF($AJ78:$AW78,"&gt;=1"))</f>
        <v/>
      </c>
      <c r="CA78" s="90">
        <f>IF($BZ78="","",IF($BZ78&gt;=14,"",'設定'!$C$6+$BZ78))</f>
        <v/>
      </c>
      <c r="CB78">
        <f>IF(OR($C78="",$M78=""),"",MIN($BL78:$BY78))</f>
        <v/>
      </c>
      <c r="CC78" s="90">
        <f>IF($CB78="","",IF($CB78&gt;=99,"",'設定'!$C$6+$CB78))</f>
        <v/>
      </c>
      <c r="CD78">
        <f>IF(OR($C78="",$M78=""),"",AVERAGE($V78:$AI78))</f>
        <v/>
      </c>
      <c r="CE78">
        <f>IF($C78="","",IFERROR(IF(MATCH(IF(ISNUMBER($P78),$P78,'設定'!$C$6+N('設定'!$C$7)),$V$3:$AI$3,0)=1,MAX(0,N($L78)),INDEX($AJ78:$AW78,MATCH(IF(ISNUMBER($P78),$P78,'設定'!$C$6+N('設定'!$C$7)),$V$3:$AI$3,0)-1)),""))</f>
        <v/>
      </c>
      <c r="CF78">
        <f>IF(OR($C78="",$O78="",$CE78=""),"",IF($O78-$CE78&lt;=0,0,ROUNDUP(($O78-$CE78)/$G78,0)))</f>
        <v/>
      </c>
      <c r="CG78">
        <f>IF(OR($C78="",$CF78="",NOT(ISNUMBER($Q78))),0,MAX(0,$Q78-$CF78))</f>
        <v/>
      </c>
      <c r="CH78">
        <f>IF(OR($C78="",$O78="",$U78=0),0,IFERROR(ROUNDUP(MAX(0,IF(MATCH($S78,$V$3:$AI$3,0)=1,MAX(0,N($L78)),INDEX($AX78:$BK78,MATCH($S78,$V$3:$AI$3,0)-1))+$U78-$O78)/$G78,0),0))</f>
        <v/>
      </c>
      <c r="CI78">
        <f>IF($C78="","",IF(AND($P78="",$Q78=""),"",IF($P78="","⚠ 入庫日を ▼ から選んでください",IF(NOT(ISNUMBER($P78)),"⚠ 入庫日は ▼ から選んでください",IF($P78&lt;N('設定'!$C$6),"⚠ 入庫日が過去です（もう在庫に入っています）→ 消してください",IF($P78&gt;N('設定'!$C$6)+13,"⚠ 入庫日が14日より先です",IF(N($Q78)&lt;=0,"⚠ 入庫数を入れてください",IF($CG78&gt;0,"⚠ 目安より "&amp;$CG78&amp;" 多い（定数を超える）→ 減らす",""))))))))</f>
        <v/>
      </c>
      <c r="CJ78">
        <f>IF($C78="","",IF(AND($S78="",$T78=""),"",IF($S78="","⚠ 2便目：入庫日を ▼ から選んでください",IF(NOT(ISNUMBER($S78)),"⚠ 2便目：入庫日は ▼ から選んでください",IF($S78&lt;N('設定'!$C$6),"⚠ 2便目：入庫日が過去です（もう在庫に入っています）→ 消してください",IF($S78&gt;N('設定'!$C$6)+13,"⚠ 2便目：入庫日が14日より先です",IF(N($T78)&lt;=0,"⚠ 2便目：入庫数を入れてください",IF($CH78&gt;0,"⚠ 2便目：定数を "&amp;$CH78&amp;" ケース超える → 減らす",""))))))))</f>
        <v/>
      </c>
      <c r="CK78">
        <f>IF(AND($CI78="",N($Q78)&gt;0,ISNUMBER($P78)),1,0)</f>
        <v/>
      </c>
      <c r="CL78">
        <f>IF(AND($CJ78="",N($T78)&gt;0,ISNUMBER($S78)),1,0)</f>
        <v/>
      </c>
      <c r="CM78">
        <f>IF(OR($CK78=1,$CL78=1),1,0)</f>
        <v/>
      </c>
      <c r="CN78">
        <f>IF($C78="",0,($CK78*$R78+$CL78*$U78)*N($H78))</f>
        <v/>
      </c>
      <c r="CO78">
        <f>IF($C78="","",IF($CC78="","入庫後は 14日以上もつ",IF($CC78-N('設定'!$C$7)&lt;='設定'!$C$6,"入庫後も "&amp;TEXT($CC78,"m/d")&amp;"("&amp;CHOOSE(WEEKDAY($CC78),"日","月","火","水","木","金","土")&amp;")"&amp;" に切れる　もう1便を至急発注","入庫後も "&amp;TEXT($CC78,"m/d")&amp;"("&amp;CHOOSE(WEEKDAY($CC78),"日","月","火","水","木","金","土")&amp;")"&amp;" に切れる　"&amp;TEXT($CC78-N('設定'!$C$7),"m/d")&amp;"("&amp;CHOOSE(WEEKDAY($CC78-N('設定'!$C$7)),"日","月","火","水","木","金","土")&amp;")"&amp;" までに次を発注")))</f>
        <v/>
      </c>
      <c r="CP78">
        <f>IF($C78="","",IF('設定'!$C$6="","？ ①在庫を貼る に今日のCSVが貼られていない",IF($CS78=1,"－ 今日のCSVに無い（終売？）",IF($L78&lt;0,"● 在庫がマイナス　数えて「数えた在庫」に入れる",IF($L78=0,"● 在庫なし　至急発注",IF($M78="","？ 減り数が未設定（商品マスタ）",IF($B$3=0,"？ 動員が未入力（動員を入れる）",IF($CA78="","○ 14日以上もつ",IF($BZ78&lt;N('設定'!$C$7),"● "&amp;TEXT($CA78,"m/d")&amp;"("&amp;CHOOSE(WEEKDAY($CA78),"日","月","火","水","木","金","土")&amp;")"&amp;" に切れる　至急発注",IF($BZ78=N('設定'!$C$7),"● "&amp;TEXT($CA78,"m/d")&amp;"("&amp;CHOOSE(WEEKDAY($CA78),"日","月","火","水","木","金","土")&amp;")"&amp;" に切れる　今日発注","△ "&amp;TEXT($CA78,"m/d")&amp;"("&amp;CHOOSE(WEEKDAY($CA78),"日","月","火","水","木","金","土")&amp;")"&amp;" に切れる　"&amp;TEXT($CA78-N('設定'!$C$7),"m/d")&amp;"("&amp;CHOOSE(WEEKDAY($CA78-N('設定'!$C$7)),"日","月","火","水","木","金","土")&amp;")"&amp;" までに発注"))))))))))</f>
        <v/>
      </c>
      <c r="CQ78">
        <f>IF($C78="","",IF(AND($P78="",$Q78="",$S78="",$T78=""),"",IF(AND($P78="",$Q78=""),"⚠ 先に1便目（左の入庫日・入庫数）に入れてください",IF($CI78&lt;&gt;"",$CI78,IF($CJ78&lt;&gt;"",$CJ78,IF($M78="","？ 減り数が未設定（発注書には載ります）",IF($B$3=0,"？ 動員が未入力（発注書には載ります）",IF(AND($CA78&lt;&gt;"",$P78&gt;$CA78),IF($P78&gt;'設定'!$C$6+N('設定'!$C$7),"● "&amp;TEXT($P78,"m/d")&amp;"("&amp;CHOOSE(WEEKDAY($P78),"日","月","火","水","木","金","土")&amp;")"&amp;" の入庫では間に合わない（"&amp;TEXT($CA78,"m/d")&amp;"("&amp;CHOOSE(WEEKDAY($CA78),"日","月","火","水","木","金","土")&amp;")"&amp;" に切れる）　入庫日を早める","△ 欠品 "&amp;TEXT($CA78,"m/d")&amp;"("&amp;CHOOSE(WEEKDAY($CA78),"日","月","火","水","木","金","土")&amp;")"&amp;"〜"&amp;TEXT($P78-1,"m/d")&amp;"("&amp;CHOOSE(WEEKDAY($P78-1),"日","月","火","水","木","金","土")&amp;")"&amp;"　"&amp;$CO78),IF($CC78="","○ "&amp;TEXT($P78,"m/d")&amp;"("&amp;CHOOSE(WEEKDAY($P78),"日","月","火","水","木","金","土")&amp;")"&amp;" 入庫で 14日以上もつ",IF($CC78-N('設定'!$C$7)&lt;='設定'!$C$6,"● 入庫しても "&amp;TEXT($CC78,"m/d")&amp;"("&amp;CHOOSE(WEEKDAY($CC78),"日","月","火","水","木","金","土")&amp;")"&amp;" に切れる　もう1便を至急発注（2便目に入れる）","△ 入庫しても "&amp;TEXT($CC78,"m/d")&amp;"("&amp;CHOOSE(WEEKDAY($CC78),"日","月","火","水","木","金","土")&amp;")"&amp;" に切れる　"&amp;TEXT($CC78-N('設定'!$C$7),"m/d")&amp;"("&amp;CHOOSE(WEEKDAY($CC78-N('設定'!$C$7)),"日","月","火","水","木","金","土")&amp;")"&amp;" までに次を発注（2便目に入れる）"))))))))))</f>
        <v/>
      </c>
      <c r="CR78">
        <f>IF($C78="","",IF($G78&gt;1,"ｹｰｽ("&amp;$G78&amp;"入)","個"))</f>
        <v/>
      </c>
      <c r="CS78">
        <f>IF($C78="",0,IF(COUNTIFS('①在庫を貼る'!$V$6:$V$10005,'設定'!$C$4,'①在庫を貼る'!$W$6:$W$10005,$C78)=0,1,0))</f>
        <v/>
      </c>
      <c r="CT78">
        <f>IF(AND($CK78=1,OR('③発注書'!$C$4="すべて",'③発注書'!$C$4="",$F78='③発注書'!$C$4)),N($CT77)+1,N($CT77))</f>
        <v/>
      </c>
      <c r="CU78">
        <f>IF(AND($CL78=1,OR('③発注書'!$C$4="すべて",'③発注書'!$C$4="",$F78='③発注書'!$C$4)),N($CU77)+1,N($CU77))</f>
        <v/>
      </c>
      <c r="CV78">
        <f>IF($C78="",0,IF(COUNTIFS('①在庫を貼る'!$V$6:$V$10005,'設定'!$C$4,'①在庫を貼る'!$W$6:$W$10005,$C78)&gt;0,1,0))</f>
        <v/>
      </c>
      <c r="CW78">
        <f>IF($C78="",0,IF(COUNTIFS('月1回_1ヶ月前の在庫'!$V$6:$V$10005,'設定'!$C$4,'月1回_1ヶ月前の在庫'!$W$6:$W$10005,$C78)&gt;0,1,0))</f>
        <v/>
      </c>
      <c r="CX78">
        <f>IF($C78="",0,IF(COUNTIFS('月1回_2ヶ月前の在庫'!$V$6:$V$10005,'設定'!$C$4,'月1回_2ヶ月前の在庫'!$W$6:$W$10005,$C78)&gt;0,1,0))</f>
        <v/>
      </c>
      <c r="CY78">
        <f>IF(OR($C78="",'設定'!$C$12=""),"",IF('設定'!$C$13="",IF(AND($CV78=1,$CW78=0),"新商品（今月から）",IF(AND($CV78=0,$CW78=1),"終売（今月から）","")),IF(AND($CV78=1,$CW78=0,$CX78=0),"新商品（今月から）",IF(AND($CV78=1,$CW78=1,$CX78=0),"新商品（先月から）",IF(AND($CV78=0,$CW78=1,$CX78=1),"終売（今月から）",IF(AND($CV78=0,$CW78=0,$CX78=1),"終売（先月から）",IF(AND($CV78=1,$CW78=0,$CX78=1),"復活（先月は無し）","")))))))</f>
        <v/>
      </c>
    </row>
    <row r="79">
      <c r="B79">
        <f>IF(74&lt;='設定'!$C$11,74,"")</f>
        <v/>
      </c>
      <c r="C79">
        <f>IF($B79="","",IF($B79&lt;='設定'!$C$20,INDEX('商品マスタ'!$B$6:$B$1005,MATCH($B79,'商品マスタ'!$M$6:$M$1005,0)),IF($B79&lt;='設定'!$C$20+'設定'!$C$17,INDEX('①在庫を貼る'!$W$6:$W$10005,MATCH($B79-'設定'!$C$20,'①在庫を貼る'!$U$6:$U$10005,0)),IF($B79&lt;='設定'!$C$20+'設定'!$C$17+'設定'!$C$18,INDEX('月1回_1ヶ月前の在庫'!$W$6:$W$10005,MATCH($B79-'設定'!$C$20-'設定'!$C$17,'月1回_1ヶ月前の在庫'!$U$6:$U$10005,0)),INDEX('月1回_2ヶ月前の在庫'!$W$6:$W$10005,MATCH($B79-'設定'!$C$20-'設定'!$C$17-'設定'!$C$18,'月1回_2ヶ月前の在庫'!$U$6:$U$10005,0))))))</f>
        <v/>
      </c>
      <c r="D79">
        <f>IF($C79="","",IFERROR(IF(INDEX('商品マスタ'!$C$6:$C$1005,MATCH($C79,'商品マスタ'!$B$6:$B$1005,0))="",IFERROR(INDEX('①在庫を貼る'!$J$6:$J$10005,MATCH($C79,'①在庫を貼る'!$W$6:$W$10005,0)),IFERROR(INDEX('月1回_1ヶ月前の在庫'!$J$6:$J$10005,MATCH($C79,'月1回_1ヶ月前の在庫'!$W$6:$W$10005,0)),IFERROR(INDEX('月1回_2ヶ月前の在庫'!$J$6:$J$10005,MATCH($C79,'月1回_2ヶ月前の在庫'!$W$6:$W$10005,0)),""))),INDEX('商品マスタ'!$C$6:$C$1005,MATCH($C79,'商品マスタ'!$B$6:$B$1005,0))),IFERROR(INDEX('①在庫を貼る'!$J$6:$J$10005,MATCH($C79,'①在庫を貼る'!$W$6:$W$10005,0)),IFERROR(INDEX('月1回_1ヶ月前の在庫'!$J$6:$J$10005,MATCH($C79,'月1回_1ヶ月前の在庫'!$W$6:$W$10005,0)),IFERROR(INDEX('月1回_2ヶ月前の在庫'!$J$6:$J$10005,MATCH($C79,'月1回_2ヶ月前の在庫'!$W$6:$W$10005,0)),"")))))</f>
        <v/>
      </c>
      <c r="E79">
        <f>IF($C79="","",IFERROR(IF(INDEX('商品マスタ'!$D$6:$D$1005,MATCH($C79,'商品マスタ'!$B$6:$B$1005,0))="",IFERROR(INDEX('①在庫を貼る'!$H$6:$H$10005,MATCH($C79,'①在庫を貼る'!$W$6:$W$10005,0)),IFERROR(INDEX('月1回_1ヶ月前の在庫'!$H$6:$H$10005,MATCH($C79,'月1回_1ヶ月前の在庫'!$W$6:$W$10005,0)),IFERROR(INDEX('月1回_2ヶ月前の在庫'!$H$6:$H$10005,MATCH($C79,'月1回_2ヶ月前の在庫'!$W$6:$W$10005,0)),""))),INDEX('商品マスタ'!$D$6:$D$1005,MATCH($C79,'商品マスタ'!$B$6:$B$1005,0))),IFERROR(INDEX('①在庫を貼る'!$H$6:$H$10005,MATCH($C79,'①在庫を貼る'!$W$6:$W$10005,0)),IFERROR(INDEX('月1回_1ヶ月前の在庫'!$H$6:$H$10005,MATCH($C79,'月1回_1ヶ月前の在庫'!$W$6:$W$10005,0)),IFERROR(INDEX('月1回_2ヶ月前の在庫'!$H$6:$H$10005,MATCH($C79,'月1回_2ヶ月前の在庫'!$W$6:$W$10005,0)),"")))))</f>
        <v/>
      </c>
      <c r="F79">
        <f>IF($C79="","",IFERROR(IF(INDEX('商品マスタ'!$E$6:$E$1005,MATCH($C79,'商品マスタ'!$B$6:$B$1005,0))="",IFERROR(INDEX('①在庫を貼る'!$E$6:$E$10005,MATCH($C79,'①在庫を貼る'!$W$6:$W$10005,0)),IFERROR(INDEX('月1回_1ヶ月前の在庫'!$E$6:$E$10005,MATCH($C79,'月1回_1ヶ月前の在庫'!$W$6:$W$10005,0)),IFERROR(INDEX('月1回_2ヶ月前の在庫'!$E$6:$E$10005,MATCH($C79,'月1回_2ヶ月前の在庫'!$W$6:$W$10005,0)),""))),INDEX('商品マスタ'!$E$6:$E$1005,MATCH($C79,'商品マスタ'!$B$6:$B$1005,0))),IFERROR(INDEX('①在庫を貼る'!$E$6:$E$10005,MATCH($C79,'①在庫を貼る'!$W$6:$W$10005,0)),IFERROR(INDEX('月1回_1ヶ月前の在庫'!$E$6:$E$10005,MATCH($C79,'月1回_1ヶ月前の在庫'!$W$6:$W$10005,0)),IFERROR(INDEX('月1回_2ヶ月前の在庫'!$E$6:$E$10005,MATCH($C79,'月1回_2ヶ月前の在庫'!$W$6:$W$10005,0)),"")))))</f>
        <v/>
      </c>
      <c r="G79">
        <f>IF($C79="","",MAX(1,N(IFERROR(IF(INDEX('商品マスタ'!$F$6:$F$1005,MATCH($C79,'商品マスタ'!$B$6:$B$1005,0))="",IF(COUNTIFS('①在庫を貼る'!$V$6:$V$10005,'設定'!$C$4,'①在庫を貼る'!$W$6:$W$10005,$C79)&gt;0,SUMIFS('①在庫を貼る'!$K$6:$K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K$6:$K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K$6:$K$10005,'月1回_2ヶ月前の在庫'!$V$6:$V$10005,'設定'!$C$4,'月1回_2ヶ月前の在庫'!$W$6:$W$10005,$C79)/COUNTIFS('月1回_2ヶ月前の在庫'!$V$6:$V$10005,'設定'!$C$4,'月1回_2ヶ月前の在庫'!$W$6:$W$10005,$C79),0))),INDEX('商品マスタ'!$F$6:$F$1005,MATCH($C79,'商品マスタ'!$B$6:$B$1005,0))),IF(COUNTIFS('①在庫を貼る'!$V$6:$V$10005,'設定'!$C$4,'①在庫を貼る'!$W$6:$W$10005,$C79)&gt;0,SUMIFS('①在庫を貼る'!$K$6:$K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K$6:$K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K$6:$K$10005,'月1回_2ヶ月前の在庫'!$V$6:$V$10005,'設定'!$C$4,'月1回_2ヶ月前の在庫'!$W$6:$W$10005,$C79)/COUNTIFS('月1回_2ヶ月前の在庫'!$V$6:$V$10005,'設定'!$C$4,'月1回_2ヶ月前の在庫'!$W$6:$W$10005,$C79),0)))))))</f>
        <v/>
      </c>
      <c r="H79">
        <f>IF($C79="","",N(IFERROR(IF(INDEX('商品マスタ'!$G$6:$G$1005,MATCH($C79,'商品マスタ'!$B$6:$B$1005,0))="",IF(COUNTIFS('①在庫を貼る'!$V$6:$V$10005,'設定'!$C$4,'①在庫を貼る'!$W$6:$W$10005,$C79)&gt;0,SUMIFS('①在庫を貼る'!$Q$6:$Q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Q$6:$Q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Q$6:$Q$10005,'月1回_2ヶ月前の在庫'!$V$6:$V$10005,'設定'!$C$4,'月1回_2ヶ月前の在庫'!$W$6:$W$10005,$C79)/COUNTIFS('月1回_2ヶ月前の在庫'!$V$6:$V$10005,'設定'!$C$4,'月1回_2ヶ月前の在庫'!$W$6:$W$10005,$C79),0))),INDEX('商品マスタ'!$G$6:$G$1005,MATCH($C79,'商品マスタ'!$B$6:$B$1005,0))),IF(COUNTIFS('①在庫を貼る'!$V$6:$V$10005,'設定'!$C$4,'①在庫を貼る'!$W$6:$W$10005,$C79)&gt;0,SUMIFS('①在庫を貼る'!$Q$6:$Q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Q$6:$Q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Q$6:$Q$10005,'月1回_2ヶ月前の在庫'!$V$6:$V$10005,'設定'!$C$4,'月1回_2ヶ月前の在庫'!$W$6:$W$10005,$C79)/COUNTIFS('月1回_2ヶ月前の在庫'!$V$6:$V$10005,'設定'!$C$4,'月1回_2ヶ月前の在庫'!$W$6:$W$10005,$C79),0))))))</f>
        <v/>
      </c>
      <c r="I79">
        <f>IF($C79="","",IF(COUNTIFS('①在庫を貼る'!$V$6:$V$10005,'設定'!$C$4,'①在庫を貼る'!$W$6:$W$10005,$C79)=0,"",SUMIFS('①在庫を貼る'!$N$6:$N$10005,'①在庫を貼る'!$V$6:$V$10005,'設定'!$C$4,'①在庫を貼る'!$W$6:$W$10005,$C79)))</f>
        <v/>
      </c>
      <c r="J79">
        <f>IF($C79="","",IF('②発注する'!$AD83="","",'②発注する'!$AD83))</f>
        <v/>
      </c>
      <c r="K79" s="90">
        <f>IF($C79="","",IF('②発注する'!$AE83="","",'②発注する'!$AE83))</f>
        <v/>
      </c>
      <c r="L79">
        <f>IF($C79="","",IF(AND(ISNUMBER($J79),ISNUMBER($K79),$K79&gt;='設定'!$C$6),$J79,N($I79)))</f>
        <v/>
      </c>
      <c r="M79">
        <f>IF($C79="","",IFERROR(IF(N(INDEX('商品マスタ'!$J$6:$J$1005,MATCH($C79,'商品マスタ'!$B$6:$B$1005,0)))&gt;0,INDEX('商品マスタ'!$J$6:$J$1005,MATCH($C79,'商品マスタ'!$B$6:$B$1005,0)),""),""))</f>
        <v/>
      </c>
      <c r="N79">
        <f>IF($C79="","",IFERROR(IF(N(INDEX('商品マスタ'!$H$6:$H$1005,MATCH($C79,'商品マスタ'!$B$6:$B$1005,0)))&gt;0,INDEX('商品マスタ'!$H$6:$H$1005,MATCH($C79,'商品マスタ'!$B$6:$B$1005,0)),""),""))</f>
        <v/>
      </c>
      <c r="O79">
        <f>IF($C79="","",IF($N79&lt;&gt;"",$N79*$G79,IF(N(IF(COUNTIFS('①在庫を貼る'!$V$6:$V$10005,'設定'!$C$4,'①在庫を貼る'!$W$6:$W$10005,$C79)&gt;0,SUMIFS('①在庫を貼る'!$O$6:$O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O$6:$O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O$6:$O$10005,'月1回_2ヶ月前の在庫'!$V$6:$V$10005,'設定'!$C$4,'月1回_2ヶ月前の在庫'!$W$6:$W$10005,$C79)/COUNTIFS('月1回_2ヶ月前の在庫'!$V$6:$V$10005,'設定'!$C$4,'月1回_2ヶ月前の在庫'!$W$6:$W$10005,$C79),0))))&gt;0,N(IF(COUNTIFS('①在庫を貼る'!$V$6:$V$10005,'設定'!$C$4,'①在庫を貼る'!$W$6:$W$10005,$C79)&gt;0,SUMIFS('①在庫を貼る'!$O$6:$O$10005,'①在庫を貼る'!$V$6:$V$10005,'設定'!$C$4,'①在庫を貼る'!$W$6:$W$10005,$C79)/COUNTIFS('①在庫を貼る'!$V$6:$V$10005,'設定'!$C$4,'①在庫を貼る'!$W$6:$W$10005,$C79),IF(COUNTIFS('月1回_1ヶ月前の在庫'!$V$6:$V$10005,'設定'!$C$4,'月1回_1ヶ月前の在庫'!$W$6:$W$10005,$C79)&gt;0,SUMIFS('月1回_1ヶ月前の在庫'!$O$6:$O$10005,'月1回_1ヶ月前の在庫'!$V$6:$V$10005,'設定'!$C$4,'月1回_1ヶ月前の在庫'!$W$6:$W$10005,$C79)/COUNTIFS('月1回_1ヶ月前の在庫'!$V$6:$V$10005,'設定'!$C$4,'月1回_1ヶ月前の在庫'!$W$6:$W$10005,$C79),IF(COUNTIFS('月1回_2ヶ月前の在庫'!$V$6:$V$10005,'設定'!$C$4,'月1回_2ヶ月前の在庫'!$W$6:$W$10005,$C79)&gt;0,SUMIFS('月1回_2ヶ月前の在庫'!$O$6:$O$10005,'月1回_2ヶ月前の在庫'!$V$6:$V$10005,'設定'!$C$4,'月1回_2ヶ月前の在庫'!$W$6:$W$10005,$C79)/COUNTIFS('月1回_2ヶ月前の在庫'!$V$6:$V$10005,'設定'!$C$4,'月1回_2ヶ月前の在庫'!$W$6:$W$10005,$C79),0)))),"")))</f>
        <v/>
      </c>
      <c r="P79" s="90">
        <f>IF($C79="","",IF('②発注する'!$I83="","",'②発注する'!$I83))</f>
        <v/>
      </c>
      <c r="Q79">
        <f>IF($C79="","",IF('②発注する'!$J83="","",'②発注する'!$J83))</f>
        <v/>
      </c>
      <c r="R79">
        <f>IF($C79="",0,IF(AND(ISNUMBER($P79),ISNUMBER($Q79)),MAX(0,$Q79)*$G79,0))</f>
        <v/>
      </c>
      <c r="S79" s="90">
        <f>IF($C79="","",IF('②発注する'!$M83="","",'②発注する'!$M83))</f>
        <v/>
      </c>
      <c r="T79">
        <f>IF($C79="","",IF('②発注する'!$N83="","",'②発注する'!$N83))</f>
        <v/>
      </c>
      <c r="U79">
        <f>IF($C79="",0,IF(AND(ISNUMBER($S79),ISNUMBER($T79)),MAX(0,$T79)*$G79,0))</f>
        <v/>
      </c>
      <c r="V79">
        <f>IF($C79="",0,IF($M79="",0,MAX(0,$M79)*MAX(0,V$4)/100))</f>
        <v/>
      </c>
      <c r="W79">
        <f>IF($C79="",0,IF($M79="",0,MAX(0,$M79)*MAX(0,W$4)/100))</f>
        <v/>
      </c>
      <c r="X79">
        <f>IF($C79="",0,IF($M79="",0,MAX(0,$M79)*MAX(0,X$4)/100))</f>
        <v/>
      </c>
      <c r="Y79">
        <f>IF($C79="",0,IF($M79="",0,MAX(0,$M79)*MAX(0,Y$4)/100))</f>
        <v/>
      </c>
      <c r="Z79">
        <f>IF($C79="",0,IF($M79="",0,MAX(0,$M79)*MAX(0,Z$4)/100))</f>
        <v/>
      </c>
      <c r="AA79">
        <f>IF($C79="",0,IF($M79="",0,MAX(0,$M79)*MAX(0,AA$4)/100))</f>
        <v/>
      </c>
      <c r="AB79">
        <f>IF($C79="",0,IF($M79="",0,MAX(0,$M79)*MAX(0,AB$4)/100))</f>
        <v/>
      </c>
      <c r="AC79">
        <f>IF($C79="",0,IF($M79="",0,MAX(0,$M79)*MAX(0,AC$4)/100))</f>
        <v/>
      </c>
      <c r="AD79">
        <f>IF($C79="",0,IF($M79="",0,MAX(0,$M79)*MAX(0,AD$4)/100))</f>
        <v/>
      </c>
      <c r="AE79">
        <f>IF($C79="",0,IF($M79="",0,MAX(0,$M79)*MAX(0,AE$4)/100))</f>
        <v/>
      </c>
      <c r="AF79">
        <f>IF($C79="",0,IF($M79="",0,MAX(0,$M79)*MAX(0,AF$4)/100))</f>
        <v/>
      </c>
      <c r="AG79">
        <f>IF($C79="",0,IF($M79="",0,MAX(0,$M79)*MAX(0,AG$4)/100))</f>
        <v/>
      </c>
      <c r="AH79">
        <f>IF($C79="",0,IF($M79="",0,MAX(0,$M79)*MAX(0,AH$4)/100))</f>
        <v/>
      </c>
      <c r="AI79">
        <f>IF($C79="",0,IF($M79="",0,MAX(0,$M79)*MAX(0,AI$4)/100))</f>
        <v/>
      </c>
      <c r="AJ79">
        <f>IF($C79="",0,MAX(0,MAX(0,N($L79))-$V79))</f>
        <v/>
      </c>
      <c r="AK79">
        <f>IF($C79="",0,MAX(0,$AJ79-$W79))</f>
        <v/>
      </c>
      <c r="AL79">
        <f>IF($C79="",0,MAX(0,$AK79-$X79))</f>
        <v/>
      </c>
      <c r="AM79">
        <f>IF($C79="",0,MAX(0,$AL79-$Y79))</f>
        <v/>
      </c>
      <c r="AN79">
        <f>IF($C79="",0,MAX(0,$AM79-$Z79))</f>
        <v/>
      </c>
      <c r="AO79">
        <f>IF($C79="",0,MAX(0,$AN79-$AA79))</f>
        <v/>
      </c>
      <c r="AP79">
        <f>IF($C79="",0,MAX(0,$AO79-$AB79))</f>
        <v/>
      </c>
      <c r="AQ79">
        <f>IF($C79="",0,MAX(0,$AP79-$AC79))</f>
        <v/>
      </c>
      <c r="AR79">
        <f>IF($C79="",0,MAX(0,$AQ79-$AD79))</f>
        <v/>
      </c>
      <c r="AS79">
        <f>IF($C79="",0,MAX(0,$AR79-$AE79))</f>
        <v/>
      </c>
      <c r="AT79">
        <f>IF($C79="",0,MAX(0,$AS79-$AF79))</f>
        <v/>
      </c>
      <c r="AU79">
        <f>IF($C79="",0,MAX(0,$AT79-$AG79))</f>
        <v/>
      </c>
      <c r="AV79">
        <f>IF($C79="",0,MAX(0,$AU79-$AH79))</f>
        <v/>
      </c>
      <c r="AW79">
        <f>IF($C79="",0,MAX(0,$AV79-$AI79))</f>
        <v/>
      </c>
      <c r="AX79">
        <f>IF($C79="",0,MAX(0,MAX(0,N($L79))+IF($P79=V$3,$R79,0)+IF($S79=V$3,$U79,0)-$V79))</f>
        <v/>
      </c>
      <c r="AY79">
        <f>IF($C79="",0,MAX(0,$AX79+IF($P79=W$3,$R79,0)+IF($S79=W$3,$U79,0)-$W79))</f>
        <v/>
      </c>
      <c r="AZ79">
        <f>IF($C79="",0,MAX(0,$AY79+IF($P79=X$3,$R79,0)+IF($S79=X$3,$U79,0)-$X79))</f>
        <v/>
      </c>
      <c r="BA79">
        <f>IF($C79="",0,MAX(0,$AZ79+IF($P79=Y$3,$R79,0)+IF($S79=Y$3,$U79,0)-$Y79))</f>
        <v/>
      </c>
      <c r="BB79">
        <f>IF($C79="",0,MAX(0,$BA79+IF($P79=Z$3,$R79,0)+IF($S79=Z$3,$U79,0)-$Z79))</f>
        <v/>
      </c>
      <c r="BC79">
        <f>IF($C79="",0,MAX(0,$BB79+IF($P79=AA$3,$R79,0)+IF($S79=AA$3,$U79,0)-$AA79))</f>
        <v/>
      </c>
      <c r="BD79">
        <f>IF($C79="",0,MAX(0,$BC79+IF($P79=AB$3,$R79,0)+IF($S79=AB$3,$U79,0)-$AB79))</f>
        <v/>
      </c>
      <c r="BE79">
        <f>IF($C79="",0,MAX(0,$BD79+IF($P79=AC$3,$R79,0)+IF($S79=AC$3,$U79,0)-$AC79))</f>
        <v/>
      </c>
      <c r="BF79">
        <f>IF($C79="",0,MAX(0,$BE79+IF($P79=AD$3,$R79,0)+IF($S79=AD$3,$U79,0)-$AD79))</f>
        <v/>
      </c>
      <c r="BG79">
        <f>IF($C79="",0,MAX(0,$BF79+IF($P79=AE$3,$R79,0)+IF($S79=AE$3,$U79,0)-$AE79))</f>
        <v/>
      </c>
      <c r="BH79">
        <f>IF($C79="",0,MAX(0,$BG79+IF($P79=AF$3,$R79,0)+IF($S79=AF$3,$U79,0)-$AF79))</f>
        <v/>
      </c>
      <c r="BI79">
        <f>IF($C79="",0,MAX(0,$BH79+IF($P79=AG$3,$R79,0)+IF($S79=AG$3,$U79,0)-$AG79))</f>
        <v/>
      </c>
      <c r="BJ79">
        <f>IF($C79="",0,MAX(0,$BI79+IF($P79=AH$3,$R79,0)+IF($S79=AH$3,$U79,0)-$AH79))</f>
        <v/>
      </c>
      <c r="BK79">
        <f>IF($C79="",0,MAX(0,$BJ79+IF($P79=AI$3,$R79,0)+IF($S79=AI$3,$U79,0)-$AI79))</f>
        <v/>
      </c>
      <c r="BL79">
        <f>IF($C79="",99,IF(AND($AX79&lt;1,V$3&gt;=MAX(N($P79),N($S79))),0,99))</f>
        <v/>
      </c>
      <c r="BM79">
        <f>IF($C79="",99,IF(AND($AY79&lt;1,W$3&gt;=MAX(N($P79),N($S79))),1,99))</f>
        <v/>
      </c>
      <c r="BN79">
        <f>IF($C79="",99,IF(AND($AZ79&lt;1,X$3&gt;=MAX(N($P79),N($S79))),2,99))</f>
        <v/>
      </c>
      <c r="BO79">
        <f>IF($C79="",99,IF(AND($BA79&lt;1,Y$3&gt;=MAX(N($P79),N($S79))),3,99))</f>
        <v/>
      </c>
      <c r="BP79">
        <f>IF($C79="",99,IF(AND($BB79&lt;1,Z$3&gt;=MAX(N($P79),N($S79))),4,99))</f>
        <v/>
      </c>
      <c r="BQ79">
        <f>IF($C79="",99,IF(AND($BC79&lt;1,AA$3&gt;=MAX(N($P79),N($S79))),5,99))</f>
        <v/>
      </c>
      <c r="BR79">
        <f>IF($C79="",99,IF(AND($BD79&lt;1,AB$3&gt;=MAX(N($P79),N($S79))),6,99))</f>
        <v/>
      </c>
      <c r="BS79">
        <f>IF($C79="",99,IF(AND($BE79&lt;1,AC$3&gt;=MAX(N($P79),N($S79))),7,99))</f>
        <v/>
      </c>
      <c r="BT79">
        <f>IF($C79="",99,IF(AND($BF79&lt;1,AD$3&gt;=MAX(N($P79),N($S79))),8,99))</f>
        <v/>
      </c>
      <c r="BU79">
        <f>IF($C79="",99,IF(AND($BG79&lt;1,AE$3&gt;=MAX(N($P79),N($S79))),9,99))</f>
        <v/>
      </c>
      <c r="BV79">
        <f>IF($C79="",99,IF(AND($BH79&lt;1,AF$3&gt;=MAX(N($P79),N($S79))),10,99))</f>
        <v/>
      </c>
      <c r="BW79">
        <f>IF($C79="",99,IF(AND($BI79&lt;1,AG$3&gt;=MAX(N($P79),N($S79))),11,99))</f>
        <v/>
      </c>
      <c r="BX79">
        <f>IF($C79="",99,IF(AND($BJ79&lt;1,AH$3&gt;=MAX(N($P79),N($S79))),12,99))</f>
        <v/>
      </c>
      <c r="BY79">
        <f>IF($C79="",99,IF(AND($BK79&lt;1,AI$3&gt;=MAX(N($P79),N($S79))),13,99))</f>
        <v/>
      </c>
      <c r="BZ79">
        <f>IF(OR($C79="",$M79=""),"",COUNTIF($AJ79:$AW79,"&gt;=1"))</f>
        <v/>
      </c>
      <c r="CA79" s="90">
        <f>IF($BZ79="","",IF($BZ79&gt;=14,"",'設定'!$C$6+$BZ79))</f>
        <v/>
      </c>
      <c r="CB79">
        <f>IF(OR($C79="",$M79=""),"",MIN($BL79:$BY79))</f>
        <v/>
      </c>
      <c r="CC79" s="90">
        <f>IF($CB79="","",IF($CB79&gt;=99,"",'設定'!$C$6+$CB79))</f>
        <v/>
      </c>
      <c r="CD79">
        <f>IF(OR($C79="",$M79=""),"",AVERAGE($V79:$AI79))</f>
        <v/>
      </c>
      <c r="CE79">
        <f>IF($C79="","",IFERROR(IF(MATCH(IF(ISNUMBER($P79),$P79,'設定'!$C$6+N('設定'!$C$7)),$V$3:$AI$3,0)=1,MAX(0,N($L79)),INDEX($AJ79:$AW79,MATCH(IF(ISNUMBER($P79),$P79,'設定'!$C$6+N('設定'!$C$7)),$V$3:$AI$3,0)-1)),""))</f>
        <v/>
      </c>
      <c r="CF79">
        <f>IF(OR($C79="",$O79="",$CE79=""),"",IF($O79-$CE79&lt;=0,0,ROUNDUP(($O79-$CE79)/$G79,0)))</f>
        <v/>
      </c>
      <c r="CG79">
        <f>IF(OR($C79="",$CF79="",NOT(ISNUMBER($Q79))),0,MAX(0,$Q79-$CF79))</f>
        <v/>
      </c>
      <c r="CH79">
        <f>IF(OR($C79="",$O79="",$U79=0),0,IFERROR(ROUNDUP(MAX(0,IF(MATCH($S79,$V$3:$AI$3,0)=1,MAX(0,N($L79)),INDEX($AX79:$BK79,MATCH($S79,$V$3:$AI$3,0)-1))+$U79-$O79)/$G79,0),0))</f>
        <v/>
      </c>
      <c r="CI79">
        <f>IF($C79="","",IF(AND($P79="",$Q79=""),"",IF($P79="","⚠ 入庫日を ▼ から選んでください",IF(NOT(ISNUMBER($P79)),"⚠ 入庫日は ▼ から選んでください",IF($P79&lt;N('設定'!$C$6),"⚠ 入庫日が過去です（もう在庫に入っています）→ 消してください",IF($P79&gt;N('設定'!$C$6)+13,"⚠ 入庫日が14日より先です",IF(N($Q79)&lt;=0,"⚠ 入庫数を入れてください",IF($CG79&gt;0,"⚠ 目安より "&amp;$CG79&amp;" 多い（定数を超える）→ 減らす",""))))))))</f>
        <v/>
      </c>
      <c r="CJ79">
        <f>IF($C79="","",IF(AND($S79="",$T79=""),"",IF($S79="","⚠ 2便目：入庫日を ▼ から選んでください",IF(NOT(ISNUMBER($S79)),"⚠ 2便目：入庫日は ▼ から選んでください",IF($S79&lt;N('設定'!$C$6),"⚠ 2便目：入庫日が過去です（もう在庫に入っています）→ 消してください",IF($S79&gt;N('設定'!$C$6)+13,"⚠ 2便目：入庫日が14日より先です",IF(N($T79)&lt;=0,"⚠ 2便目：入庫数を入れてください",IF($CH79&gt;0,"⚠ 2便目：定数を "&amp;$CH79&amp;" ケース超える → 減らす",""))))))))</f>
        <v/>
      </c>
      <c r="CK79">
        <f>IF(AND($CI79="",N($Q79)&gt;0,ISNUMBER($P79)),1,0)</f>
        <v/>
      </c>
      <c r="CL79">
        <f>IF(AND($CJ79="",N($T79)&gt;0,ISNUMBER($S79)),1,0)</f>
        <v/>
      </c>
      <c r="CM79">
        <f>IF(OR($CK79=1,$CL79=1),1,0)</f>
        <v/>
      </c>
      <c r="CN79">
        <f>IF($C79="",0,($CK79*$R79+$CL79*$U79)*N($H79))</f>
        <v/>
      </c>
      <c r="CO79">
        <f>IF($C79="","",IF($CC79="","入庫後は 14日以上もつ",IF($CC79-N('設定'!$C$7)&lt;='設定'!$C$6,"入庫後も "&amp;TEXT($CC79,"m/d")&amp;"("&amp;CHOOSE(WEEKDAY($CC79),"日","月","火","水","木","金","土")&amp;")"&amp;" に切れる　もう1便を至急発注","入庫後も "&amp;TEXT($CC79,"m/d")&amp;"("&amp;CHOOSE(WEEKDAY($CC79),"日","月","火","水","木","金","土")&amp;")"&amp;" に切れる　"&amp;TEXT($CC79-N('設定'!$C$7),"m/d")&amp;"("&amp;CHOOSE(WEEKDAY($CC79-N('設定'!$C$7)),"日","月","火","水","木","金","土")&amp;")"&amp;" までに次を発注")))</f>
        <v/>
      </c>
      <c r="CP79">
        <f>IF($C79="","",IF('設定'!$C$6="","？ ①在庫を貼る に今日のCSVが貼られていない",IF($CS79=1,"－ 今日のCSVに無い（終売？）",IF($L79&lt;0,"● 在庫がマイナス　数えて「数えた在庫」に入れる",IF($L79=0,"● 在庫なし　至急発注",IF($M79="","？ 減り数が未設定（商品マスタ）",IF($B$3=0,"？ 動員が未入力（動員を入れる）",IF($CA79="","○ 14日以上もつ",IF($BZ79&lt;N('設定'!$C$7),"● "&amp;TEXT($CA79,"m/d")&amp;"("&amp;CHOOSE(WEEKDAY($CA79),"日","月","火","水","木","金","土")&amp;")"&amp;" に切れる　至急発注",IF($BZ79=N('設定'!$C$7),"● "&amp;TEXT($CA79,"m/d")&amp;"("&amp;CHOOSE(WEEKDAY($CA79),"日","月","火","水","木","金","土")&amp;")"&amp;" に切れる　今日発注","△ "&amp;TEXT($CA79,"m/d")&amp;"("&amp;CHOOSE(WEEKDAY($CA79),"日","月","火","水","木","金","土")&amp;")"&amp;" に切れる　"&amp;TEXT($CA79-N('設定'!$C$7),"m/d")&amp;"("&amp;CHOOSE(WEEKDAY($CA79-N('設定'!$C$7)),"日","月","火","水","木","金","土")&amp;")"&amp;" までに発注"))))))))))</f>
        <v/>
      </c>
      <c r="CQ79">
        <f>IF($C79="","",IF(AND($P79="",$Q79="",$S79="",$T79=""),"",IF(AND($P79="",$Q79=""),"⚠ 先に1便目（左の入庫日・入庫数）に入れてください",IF($CI79&lt;&gt;"",$CI79,IF($CJ79&lt;&gt;"",$CJ79,IF($M79="","？ 減り数が未設定（発注書には載ります）",IF($B$3=0,"？ 動員が未入力（発注書には載ります）",IF(AND($CA79&lt;&gt;"",$P79&gt;$CA79),IF($P79&gt;'設定'!$C$6+N('設定'!$C$7),"● "&amp;TEXT($P79,"m/d")&amp;"("&amp;CHOOSE(WEEKDAY($P79),"日","月","火","水","木","金","土")&amp;")"&amp;" の入庫では間に合わない（"&amp;TEXT($CA79,"m/d")&amp;"("&amp;CHOOSE(WEEKDAY($CA79),"日","月","火","水","木","金","土")&amp;")"&amp;" に切れる）　入庫日を早める","△ 欠品 "&amp;TEXT($CA79,"m/d")&amp;"("&amp;CHOOSE(WEEKDAY($CA79),"日","月","火","水","木","金","土")&amp;")"&amp;"〜"&amp;TEXT($P79-1,"m/d")&amp;"("&amp;CHOOSE(WEEKDAY($P79-1),"日","月","火","水","木","金","土")&amp;")"&amp;"　"&amp;$CO79),IF($CC79="","○ "&amp;TEXT($P79,"m/d")&amp;"("&amp;CHOOSE(WEEKDAY($P79),"日","月","火","水","木","金","土")&amp;")"&amp;" 入庫で 14日以上もつ",IF($CC79-N('設定'!$C$7)&lt;='設定'!$C$6,"● 入庫しても "&amp;TEXT($CC79,"m/d")&amp;"("&amp;CHOOSE(WEEKDAY($CC79),"日","月","火","水","木","金","土")&amp;")"&amp;" に切れる　もう1便を至急発注（2便目に入れる）","△ 入庫しても "&amp;TEXT($CC79,"m/d")&amp;"("&amp;CHOOSE(WEEKDAY($CC79),"日","月","火","水","木","金","土")&amp;")"&amp;" に切れる　"&amp;TEXT($CC79-N('設定'!$C$7),"m/d")&amp;"("&amp;CHOOSE(WEEKDAY($CC79-N('設定'!$C$7)),"日","月","火","水","木","金","土")&amp;")"&amp;" までに次を発注（2便目に入れる）"))))))))))</f>
        <v/>
      </c>
      <c r="CR79">
        <f>IF($C79="","",IF($G79&gt;1,"ｹｰｽ("&amp;$G79&amp;"入)","個"))</f>
        <v/>
      </c>
      <c r="CS79">
        <f>IF($C79="",0,IF(COUNTIFS('①在庫を貼る'!$V$6:$V$10005,'設定'!$C$4,'①在庫を貼る'!$W$6:$W$10005,$C79)=0,1,0))</f>
        <v/>
      </c>
      <c r="CT79">
        <f>IF(AND($CK79=1,OR('③発注書'!$C$4="すべて",'③発注書'!$C$4="",$F79='③発注書'!$C$4)),N($CT78)+1,N($CT78))</f>
        <v/>
      </c>
      <c r="CU79">
        <f>IF(AND($CL79=1,OR('③発注書'!$C$4="すべて",'③発注書'!$C$4="",$F79='③発注書'!$C$4)),N($CU78)+1,N($CU78))</f>
        <v/>
      </c>
      <c r="CV79">
        <f>IF($C79="",0,IF(COUNTIFS('①在庫を貼る'!$V$6:$V$10005,'設定'!$C$4,'①在庫を貼る'!$W$6:$W$10005,$C79)&gt;0,1,0))</f>
        <v/>
      </c>
      <c r="CW79">
        <f>IF($C79="",0,IF(COUNTIFS('月1回_1ヶ月前の在庫'!$V$6:$V$10005,'設定'!$C$4,'月1回_1ヶ月前の在庫'!$W$6:$W$10005,$C79)&gt;0,1,0))</f>
        <v/>
      </c>
      <c r="CX79">
        <f>IF($C79="",0,IF(COUNTIFS('月1回_2ヶ月前の在庫'!$V$6:$V$10005,'設定'!$C$4,'月1回_2ヶ月前の在庫'!$W$6:$W$10005,$C79)&gt;0,1,0))</f>
        <v/>
      </c>
      <c r="CY79">
        <f>IF(OR($C79="",'設定'!$C$12=""),"",IF('設定'!$C$13="",IF(AND($CV79=1,$CW79=0),"新商品（今月から）",IF(AND($CV79=0,$CW79=1),"終売（今月から）","")),IF(AND($CV79=1,$CW79=0,$CX79=0),"新商品（今月から）",IF(AND($CV79=1,$CW79=1,$CX79=0),"新商品（先月から）",IF(AND($CV79=0,$CW79=1,$CX79=1),"終売（今月から）",IF(AND($CV79=0,$CW79=0,$CX79=1),"終売（先月から）",IF(AND($CV79=1,$CW79=0,$CX79=1),"復活（先月は無し）","")))))))</f>
        <v/>
      </c>
    </row>
    <row r="80">
      <c r="B80">
        <f>IF(75&lt;='設定'!$C$11,75,"")</f>
        <v/>
      </c>
      <c r="C80">
        <f>IF($B80="","",IF($B80&lt;='設定'!$C$20,INDEX('商品マスタ'!$B$6:$B$1005,MATCH($B80,'商品マスタ'!$M$6:$M$1005,0)),IF($B80&lt;='設定'!$C$20+'設定'!$C$17,INDEX('①在庫を貼る'!$W$6:$W$10005,MATCH($B80-'設定'!$C$20,'①在庫を貼る'!$U$6:$U$10005,0)),IF($B80&lt;='設定'!$C$20+'設定'!$C$17+'設定'!$C$18,INDEX('月1回_1ヶ月前の在庫'!$W$6:$W$10005,MATCH($B80-'設定'!$C$20-'設定'!$C$17,'月1回_1ヶ月前の在庫'!$U$6:$U$10005,0)),INDEX('月1回_2ヶ月前の在庫'!$W$6:$W$10005,MATCH($B80-'設定'!$C$20-'設定'!$C$17-'設定'!$C$18,'月1回_2ヶ月前の在庫'!$U$6:$U$10005,0))))))</f>
        <v/>
      </c>
      <c r="D80">
        <f>IF($C80="","",IFERROR(IF(INDEX('商品マスタ'!$C$6:$C$1005,MATCH($C80,'商品マスタ'!$B$6:$B$1005,0))="",IFERROR(INDEX('①在庫を貼る'!$J$6:$J$10005,MATCH($C80,'①在庫を貼る'!$W$6:$W$10005,0)),IFERROR(INDEX('月1回_1ヶ月前の在庫'!$J$6:$J$10005,MATCH($C80,'月1回_1ヶ月前の在庫'!$W$6:$W$10005,0)),IFERROR(INDEX('月1回_2ヶ月前の在庫'!$J$6:$J$10005,MATCH($C80,'月1回_2ヶ月前の在庫'!$W$6:$W$10005,0)),""))),INDEX('商品マスタ'!$C$6:$C$1005,MATCH($C80,'商品マスタ'!$B$6:$B$1005,0))),IFERROR(INDEX('①在庫を貼る'!$J$6:$J$10005,MATCH($C80,'①在庫を貼る'!$W$6:$W$10005,0)),IFERROR(INDEX('月1回_1ヶ月前の在庫'!$J$6:$J$10005,MATCH($C80,'月1回_1ヶ月前の在庫'!$W$6:$W$10005,0)),IFERROR(INDEX('月1回_2ヶ月前の在庫'!$J$6:$J$10005,MATCH($C80,'月1回_2ヶ月前の在庫'!$W$6:$W$10005,0)),"")))))</f>
        <v/>
      </c>
      <c r="E80">
        <f>IF($C80="","",IFERROR(IF(INDEX('商品マスタ'!$D$6:$D$1005,MATCH($C80,'商品マスタ'!$B$6:$B$1005,0))="",IFERROR(INDEX('①在庫を貼る'!$H$6:$H$10005,MATCH($C80,'①在庫を貼る'!$W$6:$W$10005,0)),IFERROR(INDEX('月1回_1ヶ月前の在庫'!$H$6:$H$10005,MATCH($C80,'月1回_1ヶ月前の在庫'!$W$6:$W$10005,0)),IFERROR(INDEX('月1回_2ヶ月前の在庫'!$H$6:$H$10005,MATCH($C80,'月1回_2ヶ月前の在庫'!$W$6:$W$10005,0)),""))),INDEX('商品マスタ'!$D$6:$D$1005,MATCH($C80,'商品マスタ'!$B$6:$B$1005,0))),IFERROR(INDEX('①在庫を貼る'!$H$6:$H$10005,MATCH($C80,'①在庫を貼る'!$W$6:$W$10005,0)),IFERROR(INDEX('月1回_1ヶ月前の在庫'!$H$6:$H$10005,MATCH($C80,'月1回_1ヶ月前の在庫'!$W$6:$W$10005,0)),IFERROR(INDEX('月1回_2ヶ月前の在庫'!$H$6:$H$10005,MATCH($C80,'月1回_2ヶ月前の在庫'!$W$6:$W$10005,0)),"")))))</f>
        <v/>
      </c>
      <c r="F80">
        <f>IF($C80="","",IFERROR(IF(INDEX('商品マスタ'!$E$6:$E$1005,MATCH($C80,'商品マスタ'!$B$6:$B$1005,0))="",IFERROR(INDEX('①在庫を貼る'!$E$6:$E$10005,MATCH($C80,'①在庫を貼る'!$W$6:$W$10005,0)),IFERROR(INDEX('月1回_1ヶ月前の在庫'!$E$6:$E$10005,MATCH($C80,'月1回_1ヶ月前の在庫'!$W$6:$W$10005,0)),IFERROR(INDEX('月1回_2ヶ月前の在庫'!$E$6:$E$10005,MATCH($C80,'月1回_2ヶ月前の在庫'!$W$6:$W$10005,0)),""))),INDEX('商品マスタ'!$E$6:$E$1005,MATCH($C80,'商品マスタ'!$B$6:$B$1005,0))),IFERROR(INDEX('①在庫を貼る'!$E$6:$E$10005,MATCH($C80,'①在庫を貼る'!$W$6:$W$10005,0)),IFERROR(INDEX('月1回_1ヶ月前の在庫'!$E$6:$E$10005,MATCH($C80,'月1回_1ヶ月前の在庫'!$W$6:$W$10005,0)),IFERROR(INDEX('月1回_2ヶ月前の在庫'!$E$6:$E$10005,MATCH($C80,'月1回_2ヶ月前の在庫'!$W$6:$W$10005,0)),"")))))</f>
        <v/>
      </c>
      <c r="G80">
        <f>IF($C80="","",MAX(1,N(IFERROR(IF(INDEX('商品マスタ'!$F$6:$F$1005,MATCH($C80,'商品マスタ'!$B$6:$B$1005,0))="",IF(COUNTIFS('①在庫を貼る'!$V$6:$V$10005,'設定'!$C$4,'①在庫を貼る'!$W$6:$W$10005,$C80)&gt;0,SUMIFS('①在庫を貼る'!$K$6:$K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K$6:$K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K$6:$K$10005,'月1回_2ヶ月前の在庫'!$V$6:$V$10005,'設定'!$C$4,'月1回_2ヶ月前の在庫'!$W$6:$W$10005,$C80)/COUNTIFS('月1回_2ヶ月前の在庫'!$V$6:$V$10005,'設定'!$C$4,'月1回_2ヶ月前の在庫'!$W$6:$W$10005,$C80),0))),INDEX('商品マスタ'!$F$6:$F$1005,MATCH($C80,'商品マスタ'!$B$6:$B$1005,0))),IF(COUNTIFS('①在庫を貼る'!$V$6:$V$10005,'設定'!$C$4,'①在庫を貼る'!$W$6:$W$10005,$C80)&gt;0,SUMIFS('①在庫を貼る'!$K$6:$K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K$6:$K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K$6:$K$10005,'月1回_2ヶ月前の在庫'!$V$6:$V$10005,'設定'!$C$4,'月1回_2ヶ月前の在庫'!$W$6:$W$10005,$C80)/COUNTIFS('月1回_2ヶ月前の在庫'!$V$6:$V$10005,'設定'!$C$4,'月1回_2ヶ月前の在庫'!$W$6:$W$10005,$C80),0)))))))</f>
        <v/>
      </c>
      <c r="H80">
        <f>IF($C80="","",N(IFERROR(IF(INDEX('商品マスタ'!$G$6:$G$1005,MATCH($C80,'商品マスタ'!$B$6:$B$1005,0))="",IF(COUNTIFS('①在庫を貼る'!$V$6:$V$10005,'設定'!$C$4,'①在庫を貼る'!$W$6:$W$10005,$C80)&gt;0,SUMIFS('①在庫を貼る'!$Q$6:$Q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Q$6:$Q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Q$6:$Q$10005,'月1回_2ヶ月前の在庫'!$V$6:$V$10005,'設定'!$C$4,'月1回_2ヶ月前の在庫'!$W$6:$W$10005,$C80)/COUNTIFS('月1回_2ヶ月前の在庫'!$V$6:$V$10005,'設定'!$C$4,'月1回_2ヶ月前の在庫'!$W$6:$W$10005,$C80),0))),INDEX('商品マスタ'!$G$6:$G$1005,MATCH($C80,'商品マスタ'!$B$6:$B$1005,0))),IF(COUNTIFS('①在庫を貼る'!$V$6:$V$10005,'設定'!$C$4,'①在庫を貼る'!$W$6:$W$10005,$C80)&gt;0,SUMIFS('①在庫を貼る'!$Q$6:$Q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Q$6:$Q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Q$6:$Q$10005,'月1回_2ヶ月前の在庫'!$V$6:$V$10005,'設定'!$C$4,'月1回_2ヶ月前の在庫'!$W$6:$W$10005,$C80)/COUNTIFS('月1回_2ヶ月前の在庫'!$V$6:$V$10005,'設定'!$C$4,'月1回_2ヶ月前の在庫'!$W$6:$W$10005,$C80),0))))))</f>
        <v/>
      </c>
      <c r="I80">
        <f>IF($C80="","",IF(COUNTIFS('①在庫を貼る'!$V$6:$V$10005,'設定'!$C$4,'①在庫を貼る'!$W$6:$W$10005,$C80)=0,"",SUMIFS('①在庫を貼る'!$N$6:$N$10005,'①在庫を貼る'!$V$6:$V$10005,'設定'!$C$4,'①在庫を貼る'!$W$6:$W$10005,$C80)))</f>
        <v/>
      </c>
      <c r="J80">
        <f>IF($C80="","",IF('②発注する'!$AD84="","",'②発注する'!$AD84))</f>
        <v/>
      </c>
      <c r="K80" s="90">
        <f>IF($C80="","",IF('②発注する'!$AE84="","",'②発注する'!$AE84))</f>
        <v/>
      </c>
      <c r="L80">
        <f>IF($C80="","",IF(AND(ISNUMBER($J80),ISNUMBER($K80),$K80&gt;='設定'!$C$6),$J80,N($I80)))</f>
        <v/>
      </c>
      <c r="M80">
        <f>IF($C80="","",IFERROR(IF(N(INDEX('商品マスタ'!$J$6:$J$1005,MATCH($C80,'商品マスタ'!$B$6:$B$1005,0)))&gt;0,INDEX('商品マスタ'!$J$6:$J$1005,MATCH($C80,'商品マスタ'!$B$6:$B$1005,0)),""),""))</f>
        <v/>
      </c>
      <c r="N80">
        <f>IF($C80="","",IFERROR(IF(N(INDEX('商品マスタ'!$H$6:$H$1005,MATCH($C80,'商品マスタ'!$B$6:$B$1005,0)))&gt;0,INDEX('商品マスタ'!$H$6:$H$1005,MATCH($C80,'商品マスタ'!$B$6:$B$1005,0)),""),""))</f>
        <v/>
      </c>
      <c r="O80">
        <f>IF($C80="","",IF($N80&lt;&gt;"",$N80*$G80,IF(N(IF(COUNTIFS('①在庫を貼る'!$V$6:$V$10005,'設定'!$C$4,'①在庫を貼る'!$W$6:$W$10005,$C80)&gt;0,SUMIFS('①在庫を貼る'!$O$6:$O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O$6:$O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O$6:$O$10005,'月1回_2ヶ月前の在庫'!$V$6:$V$10005,'設定'!$C$4,'月1回_2ヶ月前の在庫'!$W$6:$W$10005,$C80)/COUNTIFS('月1回_2ヶ月前の在庫'!$V$6:$V$10005,'設定'!$C$4,'月1回_2ヶ月前の在庫'!$W$6:$W$10005,$C80),0))))&gt;0,N(IF(COUNTIFS('①在庫を貼る'!$V$6:$V$10005,'設定'!$C$4,'①在庫を貼る'!$W$6:$W$10005,$C80)&gt;0,SUMIFS('①在庫を貼る'!$O$6:$O$10005,'①在庫を貼る'!$V$6:$V$10005,'設定'!$C$4,'①在庫を貼る'!$W$6:$W$10005,$C80)/COUNTIFS('①在庫を貼る'!$V$6:$V$10005,'設定'!$C$4,'①在庫を貼る'!$W$6:$W$10005,$C80),IF(COUNTIFS('月1回_1ヶ月前の在庫'!$V$6:$V$10005,'設定'!$C$4,'月1回_1ヶ月前の在庫'!$W$6:$W$10005,$C80)&gt;0,SUMIFS('月1回_1ヶ月前の在庫'!$O$6:$O$10005,'月1回_1ヶ月前の在庫'!$V$6:$V$10005,'設定'!$C$4,'月1回_1ヶ月前の在庫'!$W$6:$W$10005,$C80)/COUNTIFS('月1回_1ヶ月前の在庫'!$V$6:$V$10005,'設定'!$C$4,'月1回_1ヶ月前の在庫'!$W$6:$W$10005,$C80),IF(COUNTIFS('月1回_2ヶ月前の在庫'!$V$6:$V$10005,'設定'!$C$4,'月1回_2ヶ月前の在庫'!$W$6:$W$10005,$C80)&gt;0,SUMIFS('月1回_2ヶ月前の在庫'!$O$6:$O$10005,'月1回_2ヶ月前の在庫'!$V$6:$V$10005,'設定'!$C$4,'月1回_2ヶ月前の在庫'!$W$6:$W$10005,$C80)/COUNTIFS('月1回_2ヶ月前の在庫'!$V$6:$V$10005,'設定'!$C$4,'月1回_2ヶ月前の在庫'!$W$6:$W$10005,$C80),0)))),"")))</f>
        <v/>
      </c>
      <c r="P80" s="90">
        <f>IF($C80="","",IF('②発注する'!$I84="","",'②発注する'!$I84))</f>
        <v/>
      </c>
      <c r="Q80">
        <f>IF($C80="","",IF('②発注する'!$J84="","",'②発注する'!$J84))</f>
        <v/>
      </c>
      <c r="R80">
        <f>IF($C80="",0,IF(AND(ISNUMBER($P80),ISNUMBER($Q80)),MAX(0,$Q80)*$G80,0))</f>
        <v/>
      </c>
      <c r="S80" s="90">
        <f>IF($C80="","",IF('②発注する'!$M84="","",'②発注する'!$M84))</f>
        <v/>
      </c>
      <c r="T80">
        <f>IF($C80="","",IF('②発注する'!$N84="","",'②発注する'!$N84))</f>
        <v/>
      </c>
      <c r="U80">
        <f>IF($C80="",0,IF(AND(ISNUMBER($S80),ISNUMBER($T80)),MAX(0,$T80)*$G80,0))</f>
        <v/>
      </c>
      <c r="V80">
        <f>IF($C80="",0,IF($M80="",0,MAX(0,$M80)*MAX(0,V$4)/100))</f>
        <v/>
      </c>
      <c r="W80">
        <f>IF($C80="",0,IF($M80="",0,MAX(0,$M80)*MAX(0,W$4)/100))</f>
        <v/>
      </c>
      <c r="X80">
        <f>IF($C80="",0,IF($M80="",0,MAX(0,$M80)*MAX(0,X$4)/100))</f>
        <v/>
      </c>
      <c r="Y80">
        <f>IF($C80="",0,IF($M80="",0,MAX(0,$M80)*MAX(0,Y$4)/100))</f>
        <v/>
      </c>
      <c r="Z80">
        <f>IF($C80="",0,IF($M80="",0,MAX(0,$M80)*MAX(0,Z$4)/100))</f>
        <v/>
      </c>
      <c r="AA80">
        <f>IF($C80="",0,IF($M80="",0,MAX(0,$M80)*MAX(0,AA$4)/100))</f>
        <v/>
      </c>
      <c r="AB80">
        <f>IF($C80="",0,IF($M80="",0,MAX(0,$M80)*MAX(0,AB$4)/100))</f>
        <v/>
      </c>
      <c r="AC80">
        <f>IF($C80="",0,IF($M80="",0,MAX(0,$M80)*MAX(0,AC$4)/100))</f>
        <v/>
      </c>
      <c r="AD80">
        <f>IF($C80="",0,IF($M80="",0,MAX(0,$M80)*MAX(0,AD$4)/100))</f>
        <v/>
      </c>
      <c r="AE80">
        <f>IF($C80="",0,IF($M80="",0,MAX(0,$M80)*MAX(0,AE$4)/100))</f>
        <v/>
      </c>
      <c r="AF80">
        <f>IF($C80="",0,IF($M80="",0,MAX(0,$M80)*MAX(0,AF$4)/100))</f>
        <v/>
      </c>
      <c r="AG80">
        <f>IF($C80="",0,IF($M80="",0,MAX(0,$M80)*MAX(0,AG$4)/100))</f>
        <v/>
      </c>
      <c r="AH80">
        <f>IF($C80="",0,IF($M80="",0,MAX(0,$M80)*MAX(0,AH$4)/100))</f>
        <v/>
      </c>
      <c r="AI80">
        <f>IF($C80="",0,IF($M80="",0,MAX(0,$M80)*MAX(0,AI$4)/100))</f>
        <v/>
      </c>
      <c r="AJ80">
        <f>IF($C80="",0,MAX(0,MAX(0,N($L80))-$V80))</f>
        <v/>
      </c>
      <c r="AK80">
        <f>IF($C80="",0,MAX(0,$AJ80-$W80))</f>
        <v/>
      </c>
      <c r="AL80">
        <f>IF($C80="",0,MAX(0,$AK80-$X80))</f>
        <v/>
      </c>
      <c r="AM80">
        <f>IF($C80="",0,MAX(0,$AL80-$Y80))</f>
        <v/>
      </c>
      <c r="AN80">
        <f>IF($C80="",0,MAX(0,$AM80-$Z80))</f>
        <v/>
      </c>
      <c r="AO80">
        <f>IF($C80="",0,MAX(0,$AN80-$AA80))</f>
        <v/>
      </c>
      <c r="AP80">
        <f>IF($C80="",0,MAX(0,$AO80-$AB80))</f>
        <v/>
      </c>
      <c r="AQ80">
        <f>IF($C80="",0,MAX(0,$AP80-$AC80))</f>
        <v/>
      </c>
      <c r="AR80">
        <f>IF($C80="",0,MAX(0,$AQ80-$AD80))</f>
        <v/>
      </c>
      <c r="AS80">
        <f>IF($C80="",0,MAX(0,$AR80-$AE80))</f>
        <v/>
      </c>
      <c r="AT80">
        <f>IF($C80="",0,MAX(0,$AS80-$AF80))</f>
        <v/>
      </c>
      <c r="AU80">
        <f>IF($C80="",0,MAX(0,$AT80-$AG80))</f>
        <v/>
      </c>
      <c r="AV80">
        <f>IF($C80="",0,MAX(0,$AU80-$AH80))</f>
        <v/>
      </c>
      <c r="AW80">
        <f>IF($C80="",0,MAX(0,$AV80-$AI80))</f>
        <v/>
      </c>
      <c r="AX80">
        <f>IF($C80="",0,MAX(0,MAX(0,N($L80))+IF($P80=V$3,$R80,0)+IF($S80=V$3,$U80,0)-$V80))</f>
        <v/>
      </c>
      <c r="AY80">
        <f>IF($C80="",0,MAX(0,$AX80+IF($P80=W$3,$R80,0)+IF($S80=W$3,$U80,0)-$W80))</f>
        <v/>
      </c>
      <c r="AZ80">
        <f>IF($C80="",0,MAX(0,$AY80+IF($P80=X$3,$R80,0)+IF($S80=X$3,$U80,0)-$X80))</f>
        <v/>
      </c>
      <c r="BA80">
        <f>IF($C80="",0,MAX(0,$AZ80+IF($P80=Y$3,$R80,0)+IF($S80=Y$3,$U80,0)-$Y80))</f>
        <v/>
      </c>
      <c r="BB80">
        <f>IF($C80="",0,MAX(0,$BA80+IF($P80=Z$3,$R80,0)+IF($S80=Z$3,$U80,0)-$Z80))</f>
        <v/>
      </c>
      <c r="BC80">
        <f>IF($C80="",0,MAX(0,$BB80+IF($P80=AA$3,$R80,0)+IF($S80=AA$3,$U80,0)-$AA80))</f>
        <v/>
      </c>
      <c r="BD80">
        <f>IF($C80="",0,MAX(0,$BC80+IF($P80=AB$3,$R80,0)+IF($S80=AB$3,$U80,0)-$AB80))</f>
        <v/>
      </c>
      <c r="BE80">
        <f>IF($C80="",0,MAX(0,$BD80+IF($P80=AC$3,$R80,0)+IF($S80=AC$3,$U80,0)-$AC80))</f>
        <v/>
      </c>
      <c r="BF80">
        <f>IF($C80="",0,MAX(0,$BE80+IF($P80=AD$3,$R80,0)+IF($S80=AD$3,$U80,0)-$AD80))</f>
        <v/>
      </c>
      <c r="BG80">
        <f>IF($C80="",0,MAX(0,$BF80+IF($P80=AE$3,$R80,0)+IF($S80=AE$3,$U80,0)-$AE80))</f>
        <v/>
      </c>
      <c r="BH80">
        <f>IF($C80="",0,MAX(0,$BG80+IF($P80=AF$3,$R80,0)+IF($S80=AF$3,$U80,0)-$AF80))</f>
        <v/>
      </c>
      <c r="BI80">
        <f>IF($C80="",0,MAX(0,$BH80+IF($P80=AG$3,$R80,0)+IF($S80=AG$3,$U80,0)-$AG80))</f>
        <v/>
      </c>
      <c r="BJ80">
        <f>IF($C80="",0,MAX(0,$BI80+IF($P80=AH$3,$R80,0)+IF($S80=AH$3,$U80,0)-$AH80))</f>
        <v/>
      </c>
      <c r="BK80">
        <f>IF($C80="",0,MAX(0,$BJ80+IF($P80=AI$3,$R80,0)+IF($S80=AI$3,$U80,0)-$AI80))</f>
        <v/>
      </c>
      <c r="BL80">
        <f>IF($C80="",99,IF(AND($AX80&lt;1,V$3&gt;=MAX(N($P80),N($S80))),0,99))</f>
        <v/>
      </c>
      <c r="BM80">
        <f>IF($C80="",99,IF(AND($AY80&lt;1,W$3&gt;=MAX(N($P80),N($S80))),1,99))</f>
        <v/>
      </c>
      <c r="BN80">
        <f>IF($C80="",99,IF(AND($AZ80&lt;1,X$3&gt;=MAX(N($P80),N($S80))),2,99))</f>
        <v/>
      </c>
      <c r="BO80">
        <f>IF($C80="",99,IF(AND($BA80&lt;1,Y$3&gt;=MAX(N($P80),N($S80))),3,99))</f>
        <v/>
      </c>
      <c r="BP80">
        <f>IF($C80="",99,IF(AND($BB80&lt;1,Z$3&gt;=MAX(N($P80),N($S80))),4,99))</f>
        <v/>
      </c>
      <c r="BQ80">
        <f>IF($C80="",99,IF(AND($BC80&lt;1,AA$3&gt;=MAX(N($P80),N($S80))),5,99))</f>
        <v/>
      </c>
      <c r="BR80">
        <f>IF($C80="",99,IF(AND($BD80&lt;1,AB$3&gt;=MAX(N($P80),N($S80))),6,99))</f>
        <v/>
      </c>
      <c r="BS80">
        <f>IF($C80="",99,IF(AND($BE80&lt;1,AC$3&gt;=MAX(N($P80),N($S80))),7,99))</f>
        <v/>
      </c>
      <c r="BT80">
        <f>IF($C80="",99,IF(AND($BF80&lt;1,AD$3&gt;=MAX(N($P80),N($S80))),8,99))</f>
        <v/>
      </c>
      <c r="BU80">
        <f>IF($C80="",99,IF(AND($BG80&lt;1,AE$3&gt;=MAX(N($P80),N($S80))),9,99))</f>
        <v/>
      </c>
      <c r="BV80">
        <f>IF($C80="",99,IF(AND($BH80&lt;1,AF$3&gt;=MAX(N($P80),N($S80))),10,99))</f>
        <v/>
      </c>
      <c r="BW80">
        <f>IF($C80="",99,IF(AND($BI80&lt;1,AG$3&gt;=MAX(N($P80),N($S80))),11,99))</f>
        <v/>
      </c>
      <c r="BX80">
        <f>IF($C80="",99,IF(AND($BJ80&lt;1,AH$3&gt;=MAX(N($P80),N($S80))),12,99))</f>
        <v/>
      </c>
      <c r="BY80">
        <f>IF($C80="",99,IF(AND($BK80&lt;1,AI$3&gt;=MAX(N($P80),N($S80))),13,99))</f>
        <v/>
      </c>
      <c r="BZ80">
        <f>IF(OR($C80="",$M80=""),"",COUNTIF($AJ80:$AW80,"&gt;=1"))</f>
        <v/>
      </c>
      <c r="CA80" s="90">
        <f>IF($BZ80="","",IF($BZ80&gt;=14,"",'設定'!$C$6+$BZ80))</f>
        <v/>
      </c>
      <c r="CB80">
        <f>IF(OR($C80="",$M80=""),"",MIN($BL80:$BY80))</f>
        <v/>
      </c>
      <c r="CC80" s="90">
        <f>IF($CB80="","",IF($CB80&gt;=99,"",'設定'!$C$6+$CB80))</f>
        <v/>
      </c>
      <c r="CD80">
        <f>IF(OR($C80="",$M80=""),"",AVERAGE($V80:$AI80))</f>
        <v/>
      </c>
      <c r="CE80">
        <f>IF($C80="","",IFERROR(IF(MATCH(IF(ISNUMBER($P80),$P80,'設定'!$C$6+N('設定'!$C$7)),$V$3:$AI$3,0)=1,MAX(0,N($L80)),INDEX($AJ80:$AW80,MATCH(IF(ISNUMBER($P80),$P80,'設定'!$C$6+N('設定'!$C$7)),$V$3:$AI$3,0)-1)),""))</f>
        <v/>
      </c>
      <c r="CF80">
        <f>IF(OR($C80="",$O80="",$CE80=""),"",IF($O80-$CE80&lt;=0,0,ROUNDUP(($O80-$CE80)/$G80,0)))</f>
        <v/>
      </c>
      <c r="CG80">
        <f>IF(OR($C80="",$CF80="",NOT(ISNUMBER($Q80))),0,MAX(0,$Q80-$CF80))</f>
        <v/>
      </c>
      <c r="CH80">
        <f>IF(OR($C80="",$O80="",$U80=0),0,IFERROR(ROUNDUP(MAX(0,IF(MATCH($S80,$V$3:$AI$3,0)=1,MAX(0,N($L80)),INDEX($AX80:$BK80,MATCH($S80,$V$3:$AI$3,0)-1))+$U80-$O80)/$G80,0),0))</f>
        <v/>
      </c>
      <c r="CI80">
        <f>IF($C80="","",IF(AND($P80="",$Q80=""),"",IF($P80="","⚠ 入庫日を ▼ から選んでください",IF(NOT(ISNUMBER($P80)),"⚠ 入庫日は ▼ から選んでください",IF($P80&lt;N('設定'!$C$6),"⚠ 入庫日が過去です（もう在庫に入っています）→ 消してください",IF($P80&gt;N('設定'!$C$6)+13,"⚠ 入庫日が14日より先です",IF(N($Q80)&lt;=0,"⚠ 入庫数を入れてください",IF($CG80&gt;0,"⚠ 目安より "&amp;$CG80&amp;" 多い（定数を超える）→ 減らす",""))))))))</f>
        <v/>
      </c>
      <c r="CJ80">
        <f>IF($C80="","",IF(AND($S80="",$T80=""),"",IF($S80="","⚠ 2便目：入庫日を ▼ から選んでください",IF(NOT(ISNUMBER($S80)),"⚠ 2便目：入庫日は ▼ から選んでください",IF($S80&lt;N('設定'!$C$6),"⚠ 2便目：入庫日が過去です（もう在庫に入っています）→ 消してください",IF($S80&gt;N('設定'!$C$6)+13,"⚠ 2便目：入庫日が14日より先です",IF(N($T80)&lt;=0,"⚠ 2便目：入庫数を入れてください",IF($CH80&gt;0,"⚠ 2便目：定数を "&amp;$CH80&amp;" ケース超える → 減らす",""))))))))</f>
        <v/>
      </c>
      <c r="CK80">
        <f>IF(AND($CI80="",N($Q80)&gt;0,ISNUMBER($P80)),1,0)</f>
        <v/>
      </c>
      <c r="CL80">
        <f>IF(AND($CJ80="",N($T80)&gt;0,ISNUMBER($S80)),1,0)</f>
        <v/>
      </c>
      <c r="CM80">
        <f>IF(OR($CK80=1,$CL80=1),1,0)</f>
        <v/>
      </c>
      <c r="CN80">
        <f>IF($C80="",0,($CK80*$R80+$CL80*$U80)*N($H80))</f>
        <v/>
      </c>
      <c r="CO80">
        <f>IF($C80="","",IF($CC80="","入庫後は 14日以上もつ",IF($CC80-N('設定'!$C$7)&lt;='設定'!$C$6,"入庫後も "&amp;TEXT($CC80,"m/d")&amp;"("&amp;CHOOSE(WEEKDAY($CC80),"日","月","火","水","木","金","土")&amp;")"&amp;" に切れる　もう1便を至急発注","入庫後も "&amp;TEXT($CC80,"m/d")&amp;"("&amp;CHOOSE(WEEKDAY($CC80),"日","月","火","水","木","金","土")&amp;")"&amp;" に切れる　"&amp;TEXT($CC80-N('設定'!$C$7),"m/d")&amp;"("&amp;CHOOSE(WEEKDAY($CC80-N('設定'!$C$7)),"日","月","火","水","木","金","土")&amp;")"&amp;" までに次を発注")))</f>
        <v/>
      </c>
      <c r="CP80">
        <f>IF($C80="","",IF('設定'!$C$6="","？ ①在庫を貼る に今日のCSVが貼られていない",IF($CS80=1,"－ 今日のCSVに無い（終売？）",IF($L80&lt;0,"● 在庫がマイナス　数えて「数えた在庫」に入れる",IF($L80=0,"● 在庫なし　至急発注",IF($M80="","？ 減り数が未設定（商品マスタ）",IF($B$3=0,"？ 動員が未入力（動員を入れる）",IF($CA80="","○ 14日以上もつ",IF($BZ80&lt;N('設定'!$C$7),"● "&amp;TEXT($CA80,"m/d")&amp;"("&amp;CHOOSE(WEEKDAY($CA80),"日","月","火","水","木","金","土")&amp;")"&amp;" に切れる　至急発注",IF($BZ80=N('設定'!$C$7),"● "&amp;TEXT($CA80,"m/d")&amp;"("&amp;CHOOSE(WEEKDAY($CA80),"日","月","火","水","木","金","土")&amp;")"&amp;" に切れる　今日発注","△ "&amp;TEXT($CA80,"m/d")&amp;"("&amp;CHOOSE(WEEKDAY($CA80),"日","月","火","水","木","金","土")&amp;")"&amp;" に切れる　"&amp;TEXT($CA80-N('設定'!$C$7),"m/d")&amp;"("&amp;CHOOSE(WEEKDAY($CA80-N('設定'!$C$7)),"日","月","火","水","木","金","土")&amp;")"&amp;" までに発注"))))))))))</f>
        <v/>
      </c>
      <c r="CQ80">
        <f>IF($C80="","",IF(AND($P80="",$Q80="",$S80="",$T80=""),"",IF(AND($P80="",$Q80=""),"⚠ 先に1便目（左の入庫日・入庫数）に入れてください",IF($CI80&lt;&gt;"",$CI80,IF($CJ80&lt;&gt;"",$CJ80,IF($M80="","？ 減り数が未設定（発注書には載ります）",IF($B$3=0,"？ 動員が未入力（発注書には載ります）",IF(AND($CA80&lt;&gt;"",$P80&gt;$CA80),IF($P80&gt;'設定'!$C$6+N('設定'!$C$7),"● "&amp;TEXT($P80,"m/d")&amp;"("&amp;CHOOSE(WEEKDAY($P80),"日","月","火","水","木","金","土")&amp;")"&amp;" の入庫では間に合わない（"&amp;TEXT($CA80,"m/d")&amp;"("&amp;CHOOSE(WEEKDAY($CA80),"日","月","火","水","木","金","土")&amp;")"&amp;" に切れる）　入庫日を早める","△ 欠品 "&amp;TEXT($CA80,"m/d")&amp;"("&amp;CHOOSE(WEEKDAY($CA80),"日","月","火","水","木","金","土")&amp;")"&amp;"〜"&amp;TEXT($P80-1,"m/d")&amp;"("&amp;CHOOSE(WEEKDAY($P80-1),"日","月","火","水","木","金","土")&amp;")"&amp;"　"&amp;$CO80),IF($CC80="","○ "&amp;TEXT($P80,"m/d")&amp;"("&amp;CHOOSE(WEEKDAY($P80),"日","月","火","水","木","金","土")&amp;")"&amp;" 入庫で 14日以上もつ",IF($CC80-N('設定'!$C$7)&lt;='設定'!$C$6,"● 入庫しても "&amp;TEXT($CC80,"m/d")&amp;"("&amp;CHOOSE(WEEKDAY($CC80),"日","月","火","水","木","金","土")&amp;")"&amp;" に切れる　もう1便を至急発注（2便目に入れる）","△ 入庫しても "&amp;TEXT($CC80,"m/d")&amp;"("&amp;CHOOSE(WEEKDAY($CC80),"日","月","火","水","木","金","土")&amp;")"&amp;" に切れる　"&amp;TEXT($CC80-N('設定'!$C$7),"m/d")&amp;"("&amp;CHOOSE(WEEKDAY($CC80-N('設定'!$C$7)),"日","月","火","水","木","金","土")&amp;")"&amp;" までに次を発注（2便目に入れる）"))))))))))</f>
        <v/>
      </c>
      <c r="CR80">
        <f>IF($C80="","",IF($G80&gt;1,"ｹｰｽ("&amp;$G80&amp;"入)","個"))</f>
        <v/>
      </c>
      <c r="CS80">
        <f>IF($C80="",0,IF(COUNTIFS('①在庫を貼る'!$V$6:$V$10005,'設定'!$C$4,'①在庫を貼る'!$W$6:$W$10005,$C80)=0,1,0))</f>
        <v/>
      </c>
      <c r="CT80">
        <f>IF(AND($CK80=1,OR('③発注書'!$C$4="すべて",'③発注書'!$C$4="",$F80='③発注書'!$C$4)),N($CT79)+1,N($CT79))</f>
        <v/>
      </c>
      <c r="CU80">
        <f>IF(AND($CL80=1,OR('③発注書'!$C$4="すべて",'③発注書'!$C$4="",$F80='③発注書'!$C$4)),N($CU79)+1,N($CU79))</f>
        <v/>
      </c>
      <c r="CV80">
        <f>IF($C80="",0,IF(COUNTIFS('①在庫を貼る'!$V$6:$V$10005,'設定'!$C$4,'①在庫を貼る'!$W$6:$W$10005,$C80)&gt;0,1,0))</f>
        <v/>
      </c>
      <c r="CW80">
        <f>IF($C80="",0,IF(COUNTIFS('月1回_1ヶ月前の在庫'!$V$6:$V$10005,'設定'!$C$4,'月1回_1ヶ月前の在庫'!$W$6:$W$10005,$C80)&gt;0,1,0))</f>
        <v/>
      </c>
      <c r="CX80">
        <f>IF($C80="",0,IF(COUNTIFS('月1回_2ヶ月前の在庫'!$V$6:$V$10005,'設定'!$C$4,'月1回_2ヶ月前の在庫'!$W$6:$W$10005,$C80)&gt;0,1,0))</f>
        <v/>
      </c>
      <c r="CY80">
        <f>IF(OR($C80="",'設定'!$C$12=""),"",IF('設定'!$C$13="",IF(AND($CV80=1,$CW80=0),"新商品（今月から）",IF(AND($CV80=0,$CW80=1),"終売（今月から）","")),IF(AND($CV80=1,$CW80=0,$CX80=0),"新商品（今月から）",IF(AND($CV80=1,$CW80=1,$CX80=0),"新商品（先月から）",IF(AND($CV80=0,$CW80=1,$CX80=1),"終売（今月から）",IF(AND($CV80=0,$CW80=0,$CX80=1),"終売（先月から）",IF(AND($CV80=1,$CW80=0,$CX80=1),"復活（先月は無し）","")))))))</f>
        <v/>
      </c>
    </row>
    <row r="81">
      <c r="B81">
        <f>IF(76&lt;='設定'!$C$11,76,"")</f>
        <v/>
      </c>
      <c r="C81">
        <f>IF($B81="","",IF($B81&lt;='設定'!$C$20,INDEX('商品マスタ'!$B$6:$B$1005,MATCH($B81,'商品マスタ'!$M$6:$M$1005,0)),IF($B81&lt;='設定'!$C$20+'設定'!$C$17,INDEX('①在庫を貼る'!$W$6:$W$10005,MATCH($B81-'設定'!$C$20,'①在庫を貼る'!$U$6:$U$10005,0)),IF($B81&lt;='設定'!$C$20+'設定'!$C$17+'設定'!$C$18,INDEX('月1回_1ヶ月前の在庫'!$W$6:$W$10005,MATCH($B81-'設定'!$C$20-'設定'!$C$17,'月1回_1ヶ月前の在庫'!$U$6:$U$10005,0)),INDEX('月1回_2ヶ月前の在庫'!$W$6:$W$10005,MATCH($B81-'設定'!$C$20-'設定'!$C$17-'設定'!$C$18,'月1回_2ヶ月前の在庫'!$U$6:$U$10005,0))))))</f>
        <v/>
      </c>
      <c r="D81">
        <f>IF($C81="","",IFERROR(IF(INDEX('商品マスタ'!$C$6:$C$1005,MATCH($C81,'商品マスタ'!$B$6:$B$1005,0))="",IFERROR(INDEX('①在庫を貼る'!$J$6:$J$10005,MATCH($C81,'①在庫を貼る'!$W$6:$W$10005,0)),IFERROR(INDEX('月1回_1ヶ月前の在庫'!$J$6:$J$10005,MATCH($C81,'月1回_1ヶ月前の在庫'!$W$6:$W$10005,0)),IFERROR(INDEX('月1回_2ヶ月前の在庫'!$J$6:$J$10005,MATCH($C81,'月1回_2ヶ月前の在庫'!$W$6:$W$10005,0)),""))),INDEX('商品マスタ'!$C$6:$C$1005,MATCH($C81,'商品マスタ'!$B$6:$B$1005,0))),IFERROR(INDEX('①在庫を貼る'!$J$6:$J$10005,MATCH($C81,'①在庫を貼る'!$W$6:$W$10005,0)),IFERROR(INDEX('月1回_1ヶ月前の在庫'!$J$6:$J$10005,MATCH($C81,'月1回_1ヶ月前の在庫'!$W$6:$W$10005,0)),IFERROR(INDEX('月1回_2ヶ月前の在庫'!$J$6:$J$10005,MATCH($C81,'月1回_2ヶ月前の在庫'!$W$6:$W$10005,0)),"")))))</f>
        <v/>
      </c>
      <c r="E81">
        <f>IF($C81="","",IFERROR(IF(INDEX('商品マスタ'!$D$6:$D$1005,MATCH($C81,'商品マスタ'!$B$6:$B$1005,0))="",IFERROR(INDEX('①在庫を貼る'!$H$6:$H$10005,MATCH($C81,'①在庫を貼る'!$W$6:$W$10005,0)),IFERROR(INDEX('月1回_1ヶ月前の在庫'!$H$6:$H$10005,MATCH($C81,'月1回_1ヶ月前の在庫'!$W$6:$W$10005,0)),IFERROR(INDEX('月1回_2ヶ月前の在庫'!$H$6:$H$10005,MATCH($C81,'月1回_2ヶ月前の在庫'!$W$6:$W$10005,0)),""))),INDEX('商品マスタ'!$D$6:$D$1005,MATCH($C81,'商品マスタ'!$B$6:$B$1005,0))),IFERROR(INDEX('①在庫を貼る'!$H$6:$H$10005,MATCH($C81,'①在庫を貼る'!$W$6:$W$10005,0)),IFERROR(INDEX('月1回_1ヶ月前の在庫'!$H$6:$H$10005,MATCH($C81,'月1回_1ヶ月前の在庫'!$W$6:$W$10005,0)),IFERROR(INDEX('月1回_2ヶ月前の在庫'!$H$6:$H$10005,MATCH($C81,'月1回_2ヶ月前の在庫'!$W$6:$W$10005,0)),"")))))</f>
        <v/>
      </c>
      <c r="F81">
        <f>IF($C81="","",IFERROR(IF(INDEX('商品マスタ'!$E$6:$E$1005,MATCH($C81,'商品マスタ'!$B$6:$B$1005,0))="",IFERROR(INDEX('①在庫を貼る'!$E$6:$E$10005,MATCH($C81,'①在庫を貼る'!$W$6:$W$10005,0)),IFERROR(INDEX('月1回_1ヶ月前の在庫'!$E$6:$E$10005,MATCH($C81,'月1回_1ヶ月前の在庫'!$W$6:$W$10005,0)),IFERROR(INDEX('月1回_2ヶ月前の在庫'!$E$6:$E$10005,MATCH($C81,'月1回_2ヶ月前の在庫'!$W$6:$W$10005,0)),""))),INDEX('商品マスタ'!$E$6:$E$1005,MATCH($C81,'商品マスタ'!$B$6:$B$1005,0))),IFERROR(INDEX('①在庫を貼る'!$E$6:$E$10005,MATCH($C81,'①在庫を貼る'!$W$6:$W$10005,0)),IFERROR(INDEX('月1回_1ヶ月前の在庫'!$E$6:$E$10005,MATCH($C81,'月1回_1ヶ月前の在庫'!$W$6:$W$10005,0)),IFERROR(INDEX('月1回_2ヶ月前の在庫'!$E$6:$E$10005,MATCH($C81,'月1回_2ヶ月前の在庫'!$W$6:$W$10005,0)),"")))))</f>
        <v/>
      </c>
      <c r="G81">
        <f>IF($C81="","",MAX(1,N(IFERROR(IF(INDEX('商品マスタ'!$F$6:$F$1005,MATCH($C81,'商品マスタ'!$B$6:$B$1005,0))="",IF(COUNTIFS('①在庫を貼る'!$V$6:$V$10005,'設定'!$C$4,'①在庫を貼る'!$W$6:$W$10005,$C81)&gt;0,SUMIFS('①在庫を貼る'!$K$6:$K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K$6:$K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K$6:$K$10005,'月1回_2ヶ月前の在庫'!$V$6:$V$10005,'設定'!$C$4,'月1回_2ヶ月前の在庫'!$W$6:$W$10005,$C81)/COUNTIFS('月1回_2ヶ月前の在庫'!$V$6:$V$10005,'設定'!$C$4,'月1回_2ヶ月前の在庫'!$W$6:$W$10005,$C81),0))),INDEX('商品マスタ'!$F$6:$F$1005,MATCH($C81,'商品マスタ'!$B$6:$B$1005,0))),IF(COUNTIFS('①在庫を貼る'!$V$6:$V$10005,'設定'!$C$4,'①在庫を貼る'!$W$6:$W$10005,$C81)&gt;0,SUMIFS('①在庫を貼る'!$K$6:$K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K$6:$K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K$6:$K$10005,'月1回_2ヶ月前の在庫'!$V$6:$V$10005,'設定'!$C$4,'月1回_2ヶ月前の在庫'!$W$6:$W$10005,$C81)/COUNTIFS('月1回_2ヶ月前の在庫'!$V$6:$V$10005,'設定'!$C$4,'月1回_2ヶ月前の在庫'!$W$6:$W$10005,$C81),0)))))))</f>
        <v/>
      </c>
      <c r="H81">
        <f>IF($C81="","",N(IFERROR(IF(INDEX('商品マスタ'!$G$6:$G$1005,MATCH($C81,'商品マスタ'!$B$6:$B$1005,0))="",IF(COUNTIFS('①在庫を貼る'!$V$6:$V$10005,'設定'!$C$4,'①在庫を貼る'!$W$6:$W$10005,$C81)&gt;0,SUMIFS('①在庫を貼る'!$Q$6:$Q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Q$6:$Q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Q$6:$Q$10005,'月1回_2ヶ月前の在庫'!$V$6:$V$10005,'設定'!$C$4,'月1回_2ヶ月前の在庫'!$W$6:$W$10005,$C81)/COUNTIFS('月1回_2ヶ月前の在庫'!$V$6:$V$10005,'設定'!$C$4,'月1回_2ヶ月前の在庫'!$W$6:$W$10005,$C81),0))),INDEX('商品マスタ'!$G$6:$G$1005,MATCH($C81,'商品マスタ'!$B$6:$B$1005,0))),IF(COUNTIFS('①在庫を貼る'!$V$6:$V$10005,'設定'!$C$4,'①在庫を貼る'!$W$6:$W$10005,$C81)&gt;0,SUMIFS('①在庫を貼る'!$Q$6:$Q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Q$6:$Q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Q$6:$Q$10005,'月1回_2ヶ月前の在庫'!$V$6:$V$10005,'設定'!$C$4,'月1回_2ヶ月前の在庫'!$W$6:$W$10005,$C81)/COUNTIFS('月1回_2ヶ月前の在庫'!$V$6:$V$10005,'設定'!$C$4,'月1回_2ヶ月前の在庫'!$W$6:$W$10005,$C81),0))))))</f>
        <v/>
      </c>
      <c r="I81">
        <f>IF($C81="","",IF(COUNTIFS('①在庫を貼る'!$V$6:$V$10005,'設定'!$C$4,'①在庫を貼る'!$W$6:$W$10005,$C81)=0,"",SUMIFS('①在庫を貼る'!$N$6:$N$10005,'①在庫を貼る'!$V$6:$V$10005,'設定'!$C$4,'①在庫を貼る'!$W$6:$W$10005,$C81)))</f>
        <v/>
      </c>
      <c r="J81">
        <f>IF($C81="","",IF('②発注する'!$AD85="","",'②発注する'!$AD85))</f>
        <v/>
      </c>
      <c r="K81" s="90">
        <f>IF($C81="","",IF('②発注する'!$AE85="","",'②発注する'!$AE85))</f>
        <v/>
      </c>
      <c r="L81">
        <f>IF($C81="","",IF(AND(ISNUMBER($J81),ISNUMBER($K81),$K81&gt;='設定'!$C$6),$J81,N($I81)))</f>
        <v/>
      </c>
      <c r="M81">
        <f>IF($C81="","",IFERROR(IF(N(INDEX('商品マスタ'!$J$6:$J$1005,MATCH($C81,'商品マスタ'!$B$6:$B$1005,0)))&gt;0,INDEX('商品マスタ'!$J$6:$J$1005,MATCH($C81,'商品マスタ'!$B$6:$B$1005,0)),""),""))</f>
        <v/>
      </c>
      <c r="N81">
        <f>IF($C81="","",IFERROR(IF(N(INDEX('商品マスタ'!$H$6:$H$1005,MATCH($C81,'商品マスタ'!$B$6:$B$1005,0)))&gt;0,INDEX('商品マスタ'!$H$6:$H$1005,MATCH($C81,'商品マスタ'!$B$6:$B$1005,0)),""),""))</f>
        <v/>
      </c>
      <c r="O81">
        <f>IF($C81="","",IF($N81&lt;&gt;"",$N81*$G81,IF(N(IF(COUNTIFS('①在庫を貼る'!$V$6:$V$10005,'設定'!$C$4,'①在庫を貼る'!$W$6:$W$10005,$C81)&gt;0,SUMIFS('①在庫を貼る'!$O$6:$O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O$6:$O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O$6:$O$10005,'月1回_2ヶ月前の在庫'!$V$6:$V$10005,'設定'!$C$4,'月1回_2ヶ月前の在庫'!$W$6:$W$10005,$C81)/COUNTIFS('月1回_2ヶ月前の在庫'!$V$6:$V$10005,'設定'!$C$4,'月1回_2ヶ月前の在庫'!$W$6:$W$10005,$C81),0))))&gt;0,N(IF(COUNTIFS('①在庫を貼る'!$V$6:$V$10005,'設定'!$C$4,'①在庫を貼る'!$W$6:$W$10005,$C81)&gt;0,SUMIFS('①在庫を貼る'!$O$6:$O$10005,'①在庫を貼る'!$V$6:$V$10005,'設定'!$C$4,'①在庫を貼る'!$W$6:$W$10005,$C81)/COUNTIFS('①在庫を貼る'!$V$6:$V$10005,'設定'!$C$4,'①在庫を貼る'!$W$6:$W$10005,$C81),IF(COUNTIFS('月1回_1ヶ月前の在庫'!$V$6:$V$10005,'設定'!$C$4,'月1回_1ヶ月前の在庫'!$W$6:$W$10005,$C81)&gt;0,SUMIFS('月1回_1ヶ月前の在庫'!$O$6:$O$10005,'月1回_1ヶ月前の在庫'!$V$6:$V$10005,'設定'!$C$4,'月1回_1ヶ月前の在庫'!$W$6:$W$10005,$C81)/COUNTIFS('月1回_1ヶ月前の在庫'!$V$6:$V$10005,'設定'!$C$4,'月1回_1ヶ月前の在庫'!$W$6:$W$10005,$C81),IF(COUNTIFS('月1回_2ヶ月前の在庫'!$V$6:$V$10005,'設定'!$C$4,'月1回_2ヶ月前の在庫'!$W$6:$W$10005,$C81)&gt;0,SUMIFS('月1回_2ヶ月前の在庫'!$O$6:$O$10005,'月1回_2ヶ月前の在庫'!$V$6:$V$10005,'設定'!$C$4,'月1回_2ヶ月前の在庫'!$W$6:$W$10005,$C81)/COUNTIFS('月1回_2ヶ月前の在庫'!$V$6:$V$10005,'設定'!$C$4,'月1回_2ヶ月前の在庫'!$W$6:$W$10005,$C81),0)))),"")))</f>
        <v/>
      </c>
      <c r="P81" s="90">
        <f>IF($C81="","",IF('②発注する'!$I85="","",'②発注する'!$I85))</f>
        <v/>
      </c>
      <c r="Q81">
        <f>IF($C81="","",IF('②発注する'!$J85="","",'②発注する'!$J85))</f>
        <v/>
      </c>
      <c r="R81">
        <f>IF($C81="",0,IF(AND(ISNUMBER($P81),ISNUMBER($Q81)),MAX(0,$Q81)*$G81,0))</f>
        <v/>
      </c>
      <c r="S81" s="90">
        <f>IF($C81="","",IF('②発注する'!$M85="","",'②発注する'!$M85))</f>
        <v/>
      </c>
      <c r="T81">
        <f>IF($C81="","",IF('②発注する'!$N85="","",'②発注する'!$N85))</f>
        <v/>
      </c>
      <c r="U81">
        <f>IF($C81="",0,IF(AND(ISNUMBER($S81),ISNUMBER($T81)),MAX(0,$T81)*$G81,0))</f>
        <v/>
      </c>
      <c r="V81">
        <f>IF($C81="",0,IF($M81="",0,MAX(0,$M81)*MAX(0,V$4)/100))</f>
        <v/>
      </c>
      <c r="W81">
        <f>IF($C81="",0,IF($M81="",0,MAX(0,$M81)*MAX(0,W$4)/100))</f>
        <v/>
      </c>
      <c r="X81">
        <f>IF($C81="",0,IF($M81="",0,MAX(0,$M81)*MAX(0,X$4)/100))</f>
        <v/>
      </c>
      <c r="Y81">
        <f>IF($C81="",0,IF($M81="",0,MAX(0,$M81)*MAX(0,Y$4)/100))</f>
        <v/>
      </c>
      <c r="Z81">
        <f>IF($C81="",0,IF($M81="",0,MAX(0,$M81)*MAX(0,Z$4)/100))</f>
        <v/>
      </c>
      <c r="AA81">
        <f>IF($C81="",0,IF($M81="",0,MAX(0,$M81)*MAX(0,AA$4)/100))</f>
        <v/>
      </c>
      <c r="AB81">
        <f>IF($C81="",0,IF($M81="",0,MAX(0,$M81)*MAX(0,AB$4)/100))</f>
        <v/>
      </c>
      <c r="AC81">
        <f>IF($C81="",0,IF($M81="",0,MAX(0,$M81)*MAX(0,AC$4)/100))</f>
        <v/>
      </c>
      <c r="AD81">
        <f>IF($C81="",0,IF($M81="",0,MAX(0,$M81)*MAX(0,AD$4)/100))</f>
        <v/>
      </c>
      <c r="AE81">
        <f>IF($C81="",0,IF($M81="",0,MAX(0,$M81)*MAX(0,AE$4)/100))</f>
        <v/>
      </c>
      <c r="AF81">
        <f>IF($C81="",0,IF($M81="",0,MAX(0,$M81)*MAX(0,AF$4)/100))</f>
        <v/>
      </c>
      <c r="AG81">
        <f>IF($C81="",0,IF($M81="",0,MAX(0,$M81)*MAX(0,AG$4)/100))</f>
        <v/>
      </c>
      <c r="AH81">
        <f>IF($C81="",0,IF($M81="",0,MAX(0,$M81)*MAX(0,AH$4)/100))</f>
        <v/>
      </c>
      <c r="AI81">
        <f>IF($C81="",0,IF($M81="",0,MAX(0,$M81)*MAX(0,AI$4)/100))</f>
        <v/>
      </c>
      <c r="AJ81">
        <f>IF($C81="",0,MAX(0,MAX(0,N($L81))-$V81))</f>
        <v/>
      </c>
      <c r="AK81">
        <f>IF($C81="",0,MAX(0,$AJ81-$W81))</f>
        <v/>
      </c>
      <c r="AL81">
        <f>IF($C81="",0,MAX(0,$AK81-$X81))</f>
        <v/>
      </c>
      <c r="AM81">
        <f>IF($C81="",0,MAX(0,$AL81-$Y81))</f>
        <v/>
      </c>
      <c r="AN81">
        <f>IF($C81="",0,MAX(0,$AM81-$Z81))</f>
        <v/>
      </c>
      <c r="AO81">
        <f>IF($C81="",0,MAX(0,$AN81-$AA81))</f>
        <v/>
      </c>
      <c r="AP81">
        <f>IF($C81="",0,MAX(0,$AO81-$AB81))</f>
        <v/>
      </c>
      <c r="AQ81">
        <f>IF($C81="",0,MAX(0,$AP81-$AC81))</f>
        <v/>
      </c>
      <c r="AR81">
        <f>IF($C81="",0,MAX(0,$AQ81-$AD81))</f>
        <v/>
      </c>
      <c r="AS81">
        <f>IF($C81="",0,MAX(0,$AR81-$AE81))</f>
        <v/>
      </c>
      <c r="AT81">
        <f>IF($C81="",0,MAX(0,$AS81-$AF81))</f>
        <v/>
      </c>
      <c r="AU81">
        <f>IF($C81="",0,MAX(0,$AT81-$AG81))</f>
        <v/>
      </c>
      <c r="AV81">
        <f>IF($C81="",0,MAX(0,$AU81-$AH81))</f>
        <v/>
      </c>
      <c r="AW81">
        <f>IF($C81="",0,MAX(0,$AV81-$AI81))</f>
        <v/>
      </c>
      <c r="AX81">
        <f>IF($C81="",0,MAX(0,MAX(0,N($L81))+IF($P81=V$3,$R81,0)+IF($S81=V$3,$U81,0)-$V81))</f>
        <v/>
      </c>
      <c r="AY81">
        <f>IF($C81="",0,MAX(0,$AX81+IF($P81=W$3,$R81,0)+IF($S81=W$3,$U81,0)-$W81))</f>
        <v/>
      </c>
      <c r="AZ81">
        <f>IF($C81="",0,MAX(0,$AY81+IF($P81=X$3,$R81,0)+IF($S81=X$3,$U81,0)-$X81))</f>
        <v/>
      </c>
      <c r="BA81">
        <f>IF($C81="",0,MAX(0,$AZ81+IF($P81=Y$3,$R81,0)+IF($S81=Y$3,$U81,0)-$Y81))</f>
        <v/>
      </c>
      <c r="BB81">
        <f>IF($C81="",0,MAX(0,$BA81+IF($P81=Z$3,$R81,0)+IF($S81=Z$3,$U81,0)-$Z81))</f>
        <v/>
      </c>
      <c r="BC81">
        <f>IF($C81="",0,MAX(0,$BB81+IF($P81=AA$3,$R81,0)+IF($S81=AA$3,$U81,0)-$AA81))</f>
        <v/>
      </c>
      <c r="BD81">
        <f>IF($C81="",0,MAX(0,$BC81+IF($P81=AB$3,$R81,0)+IF($S81=AB$3,$U81,0)-$AB81))</f>
        <v/>
      </c>
      <c r="BE81">
        <f>IF($C81="",0,MAX(0,$BD81+IF($P81=AC$3,$R81,0)+IF($S81=AC$3,$U81,0)-$AC81))</f>
        <v/>
      </c>
      <c r="BF81">
        <f>IF($C81="",0,MAX(0,$BE81+IF($P81=AD$3,$R81,0)+IF($S81=AD$3,$U81,0)-$AD81))</f>
        <v/>
      </c>
      <c r="BG81">
        <f>IF($C81="",0,MAX(0,$BF81+IF($P81=AE$3,$R81,0)+IF($S81=AE$3,$U81,0)-$AE81))</f>
        <v/>
      </c>
      <c r="BH81">
        <f>IF($C81="",0,MAX(0,$BG81+IF($P81=AF$3,$R81,0)+IF($S81=AF$3,$U81,0)-$AF81))</f>
        <v/>
      </c>
      <c r="BI81">
        <f>IF($C81="",0,MAX(0,$BH81+IF($P81=AG$3,$R81,0)+IF($S81=AG$3,$U81,0)-$AG81))</f>
        <v/>
      </c>
      <c r="BJ81">
        <f>IF($C81="",0,MAX(0,$BI81+IF($P81=AH$3,$R81,0)+IF($S81=AH$3,$U81,0)-$AH81))</f>
        <v/>
      </c>
      <c r="BK81">
        <f>IF($C81="",0,MAX(0,$BJ81+IF($P81=AI$3,$R81,0)+IF($S81=AI$3,$U81,0)-$AI81))</f>
        <v/>
      </c>
      <c r="BL81">
        <f>IF($C81="",99,IF(AND($AX81&lt;1,V$3&gt;=MAX(N($P81),N($S81))),0,99))</f>
        <v/>
      </c>
      <c r="BM81">
        <f>IF($C81="",99,IF(AND($AY81&lt;1,W$3&gt;=MAX(N($P81),N($S81))),1,99))</f>
        <v/>
      </c>
      <c r="BN81">
        <f>IF($C81="",99,IF(AND($AZ81&lt;1,X$3&gt;=MAX(N($P81),N($S81))),2,99))</f>
        <v/>
      </c>
      <c r="BO81">
        <f>IF($C81="",99,IF(AND($BA81&lt;1,Y$3&gt;=MAX(N($P81),N($S81))),3,99))</f>
        <v/>
      </c>
      <c r="BP81">
        <f>IF($C81="",99,IF(AND($BB81&lt;1,Z$3&gt;=MAX(N($P81),N($S81))),4,99))</f>
        <v/>
      </c>
      <c r="BQ81">
        <f>IF($C81="",99,IF(AND($BC81&lt;1,AA$3&gt;=MAX(N($P81),N($S81))),5,99))</f>
        <v/>
      </c>
      <c r="BR81">
        <f>IF($C81="",99,IF(AND($BD81&lt;1,AB$3&gt;=MAX(N($P81),N($S81))),6,99))</f>
        <v/>
      </c>
      <c r="BS81">
        <f>IF($C81="",99,IF(AND($BE81&lt;1,AC$3&gt;=MAX(N($P81),N($S81))),7,99))</f>
        <v/>
      </c>
      <c r="BT81">
        <f>IF($C81="",99,IF(AND($BF81&lt;1,AD$3&gt;=MAX(N($P81),N($S81))),8,99))</f>
        <v/>
      </c>
      <c r="BU81">
        <f>IF($C81="",99,IF(AND($BG81&lt;1,AE$3&gt;=MAX(N($P81),N($S81))),9,99))</f>
        <v/>
      </c>
      <c r="BV81">
        <f>IF($C81="",99,IF(AND($BH81&lt;1,AF$3&gt;=MAX(N($P81),N($S81))),10,99))</f>
        <v/>
      </c>
      <c r="BW81">
        <f>IF($C81="",99,IF(AND($BI81&lt;1,AG$3&gt;=MAX(N($P81),N($S81))),11,99))</f>
        <v/>
      </c>
      <c r="BX81">
        <f>IF($C81="",99,IF(AND($BJ81&lt;1,AH$3&gt;=MAX(N($P81),N($S81))),12,99))</f>
        <v/>
      </c>
      <c r="BY81">
        <f>IF($C81="",99,IF(AND($BK81&lt;1,AI$3&gt;=MAX(N($P81),N($S81))),13,99))</f>
        <v/>
      </c>
      <c r="BZ81">
        <f>IF(OR($C81="",$M81=""),"",COUNTIF($AJ81:$AW81,"&gt;=1"))</f>
        <v/>
      </c>
      <c r="CA81" s="90">
        <f>IF($BZ81="","",IF($BZ81&gt;=14,"",'設定'!$C$6+$BZ81))</f>
        <v/>
      </c>
      <c r="CB81">
        <f>IF(OR($C81="",$M81=""),"",MIN($BL81:$BY81))</f>
        <v/>
      </c>
      <c r="CC81" s="90">
        <f>IF($CB81="","",IF($CB81&gt;=99,"",'設定'!$C$6+$CB81))</f>
        <v/>
      </c>
      <c r="CD81">
        <f>IF(OR($C81="",$M81=""),"",AVERAGE($V81:$AI81))</f>
        <v/>
      </c>
      <c r="CE81">
        <f>IF($C81="","",IFERROR(IF(MATCH(IF(ISNUMBER($P81),$P81,'設定'!$C$6+N('設定'!$C$7)),$V$3:$AI$3,0)=1,MAX(0,N($L81)),INDEX($AJ81:$AW81,MATCH(IF(ISNUMBER($P81),$P81,'設定'!$C$6+N('設定'!$C$7)),$V$3:$AI$3,0)-1)),""))</f>
        <v/>
      </c>
      <c r="CF81">
        <f>IF(OR($C81="",$O81="",$CE81=""),"",IF($O81-$CE81&lt;=0,0,ROUNDUP(($O81-$CE81)/$G81,0)))</f>
        <v/>
      </c>
      <c r="CG81">
        <f>IF(OR($C81="",$CF81="",NOT(ISNUMBER($Q81))),0,MAX(0,$Q81-$CF81))</f>
        <v/>
      </c>
      <c r="CH81">
        <f>IF(OR($C81="",$O81="",$U81=0),0,IFERROR(ROUNDUP(MAX(0,IF(MATCH($S81,$V$3:$AI$3,0)=1,MAX(0,N($L81)),INDEX($AX81:$BK81,MATCH($S81,$V$3:$AI$3,0)-1))+$U81-$O81)/$G81,0),0))</f>
        <v/>
      </c>
      <c r="CI81">
        <f>IF($C81="","",IF(AND($P81="",$Q81=""),"",IF($P81="","⚠ 入庫日を ▼ から選んでください",IF(NOT(ISNUMBER($P81)),"⚠ 入庫日は ▼ から選んでください",IF($P81&lt;N('設定'!$C$6),"⚠ 入庫日が過去です（もう在庫に入っています）→ 消してください",IF($P81&gt;N('設定'!$C$6)+13,"⚠ 入庫日が14日より先です",IF(N($Q81)&lt;=0,"⚠ 入庫数を入れてください",IF($CG81&gt;0,"⚠ 目安より "&amp;$CG81&amp;" 多い（定数を超える）→ 減らす",""))))))))</f>
        <v/>
      </c>
      <c r="CJ81">
        <f>IF($C81="","",IF(AND($S81="",$T81=""),"",IF($S81="","⚠ 2便目：入庫日を ▼ から選んでください",IF(NOT(ISNUMBER($S81)),"⚠ 2便目：入庫日は ▼ から選んでください",IF($S81&lt;N('設定'!$C$6),"⚠ 2便目：入庫日が過去です（もう在庫に入っています）→ 消してください",IF($S81&gt;N('設定'!$C$6)+13,"⚠ 2便目：入庫日が14日より先です",IF(N($T81)&lt;=0,"⚠ 2便目：入庫数を入れてください",IF($CH81&gt;0,"⚠ 2便目：定数を "&amp;$CH81&amp;" ケース超える → 減らす",""))))))))</f>
        <v/>
      </c>
      <c r="CK81">
        <f>IF(AND($CI81="",N($Q81)&gt;0,ISNUMBER($P81)),1,0)</f>
        <v/>
      </c>
      <c r="CL81">
        <f>IF(AND($CJ81="",N($T81)&gt;0,ISNUMBER($S81)),1,0)</f>
        <v/>
      </c>
      <c r="CM81">
        <f>IF(OR($CK81=1,$CL81=1),1,0)</f>
        <v/>
      </c>
      <c r="CN81">
        <f>IF($C81="",0,($CK81*$R81+$CL81*$U81)*N($H81))</f>
        <v/>
      </c>
      <c r="CO81">
        <f>IF($C81="","",IF($CC81="","入庫後は 14日以上もつ",IF($CC81-N('設定'!$C$7)&lt;='設定'!$C$6,"入庫後も "&amp;TEXT($CC81,"m/d")&amp;"("&amp;CHOOSE(WEEKDAY($CC81),"日","月","火","水","木","金","土")&amp;")"&amp;" に切れる　もう1便を至急発注","入庫後も "&amp;TEXT($CC81,"m/d")&amp;"("&amp;CHOOSE(WEEKDAY($CC81),"日","月","火","水","木","金","土")&amp;")"&amp;" に切れる　"&amp;TEXT($CC81-N('設定'!$C$7),"m/d")&amp;"("&amp;CHOOSE(WEEKDAY($CC81-N('設定'!$C$7)),"日","月","火","水","木","金","土")&amp;")"&amp;" までに次を発注")))</f>
        <v/>
      </c>
      <c r="CP81">
        <f>IF($C81="","",IF('設定'!$C$6="","？ ①在庫を貼る に今日のCSVが貼られていない",IF($CS81=1,"－ 今日のCSVに無い（終売？）",IF($L81&lt;0,"● 在庫がマイナス　数えて「数えた在庫」に入れる",IF($L81=0,"● 在庫なし　至急発注",IF($M81="","？ 減り数が未設定（商品マスタ）",IF($B$3=0,"？ 動員が未入力（動員を入れる）",IF($CA81="","○ 14日以上もつ",IF($BZ81&lt;N('設定'!$C$7),"● "&amp;TEXT($CA81,"m/d")&amp;"("&amp;CHOOSE(WEEKDAY($CA81),"日","月","火","水","木","金","土")&amp;")"&amp;" に切れる　至急発注",IF($BZ81=N('設定'!$C$7),"● "&amp;TEXT($CA81,"m/d")&amp;"("&amp;CHOOSE(WEEKDAY($CA81),"日","月","火","水","木","金","土")&amp;")"&amp;" に切れる　今日発注","△ "&amp;TEXT($CA81,"m/d")&amp;"("&amp;CHOOSE(WEEKDAY($CA81),"日","月","火","水","木","金","土")&amp;")"&amp;" に切れる　"&amp;TEXT($CA81-N('設定'!$C$7),"m/d")&amp;"("&amp;CHOOSE(WEEKDAY($CA81-N('設定'!$C$7)),"日","月","火","水","木","金","土")&amp;")"&amp;" までに発注"))))))))))</f>
        <v/>
      </c>
      <c r="CQ81">
        <f>IF($C81="","",IF(AND($P81="",$Q81="",$S81="",$T81=""),"",IF(AND($P81="",$Q81=""),"⚠ 先に1便目（左の入庫日・入庫数）に入れてください",IF($CI81&lt;&gt;"",$CI81,IF($CJ81&lt;&gt;"",$CJ81,IF($M81="","？ 減り数が未設定（発注書には載ります）",IF($B$3=0,"？ 動員が未入力（発注書には載ります）",IF(AND($CA81&lt;&gt;"",$P81&gt;$CA81),IF($P81&gt;'設定'!$C$6+N('設定'!$C$7),"● "&amp;TEXT($P81,"m/d")&amp;"("&amp;CHOOSE(WEEKDAY($P81),"日","月","火","水","木","金","土")&amp;")"&amp;" の入庫では間に合わない（"&amp;TEXT($CA81,"m/d")&amp;"("&amp;CHOOSE(WEEKDAY($CA81),"日","月","火","水","木","金","土")&amp;")"&amp;" に切れる）　入庫日を早める","△ 欠品 "&amp;TEXT($CA81,"m/d")&amp;"("&amp;CHOOSE(WEEKDAY($CA81),"日","月","火","水","木","金","土")&amp;")"&amp;"〜"&amp;TEXT($P81-1,"m/d")&amp;"("&amp;CHOOSE(WEEKDAY($P81-1),"日","月","火","水","木","金","土")&amp;")"&amp;"　"&amp;$CO81),IF($CC81="","○ "&amp;TEXT($P81,"m/d")&amp;"("&amp;CHOOSE(WEEKDAY($P81),"日","月","火","水","木","金","土")&amp;")"&amp;" 入庫で 14日以上もつ",IF($CC81-N('設定'!$C$7)&lt;='設定'!$C$6,"● 入庫しても "&amp;TEXT($CC81,"m/d")&amp;"("&amp;CHOOSE(WEEKDAY($CC81),"日","月","火","水","木","金","土")&amp;")"&amp;" に切れる　もう1便を至急発注（2便目に入れる）","△ 入庫しても "&amp;TEXT($CC81,"m/d")&amp;"("&amp;CHOOSE(WEEKDAY($CC81),"日","月","火","水","木","金","土")&amp;")"&amp;" に切れる　"&amp;TEXT($CC81-N('設定'!$C$7),"m/d")&amp;"("&amp;CHOOSE(WEEKDAY($CC81-N('設定'!$C$7)),"日","月","火","水","木","金","土")&amp;")"&amp;" までに次を発注（2便目に入れる）"))))))))))</f>
        <v/>
      </c>
      <c r="CR81">
        <f>IF($C81="","",IF($G81&gt;1,"ｹｰｽ("&amp;$G81&amp;"入)","個"))</f>
        <v/>
      </c>
      <c r="CS81">
        <f>IF($C81="",0,IF(COUNTIFS('①在庫を貼る'!$V$6:$V$10005,'設定'!$C$4,'①在庫を貼る'!$W$6:$W$10005,$C81)=0,1,0))</f>
        <v/>
      </c>
      <c r="CT81">
        <f>IF(AND($CK81=1,OR('③発注書'!$C$4="すべて",'③発注書'!$C$4="",$F81='③発注書'!$C$4)),N($CT80)+1,N($CT80))</f>
        <v/>
      </c>
      <c r="CU81">
        <f>IF(AND($CL81=1,OR('③発注書'!$C$4="すべて",'③発注書'!$C$4="",$F81='③発注書'!$C$4)),N($CU80)+1,N($CU80))</f>
        <v/>
      </c>
      <c r="CV81">
        <f>IF($C81="",0,IF(COUNTIFS('①在庫を貼る'!$V$6:$V$10005,'設定'!$C$4,'①在庫を貼る'!$W$6:$W$10005,$C81)&gt;0,1,0))</f>
        <v/>
      </c>
      <c r="CW81">
        <f>IF($C81="",0,IF(COUNTIFS('月1回_1ヶ月前の在庫'!$V$6:$V$10005,'設定'!$C$4,'月1回_1ヶ月前の在庫'!$W$6:$W$10005,$C81)&gt;0,1,0))</f>
        <v/>
      </c>
      <c r="CX81">
        <f>IF($C81="",0,IF(COUNTIFS('月1回_2ヶ月前の在庫'!$V$6:$V$10005,'設定'!$C$4,'月1回_2ヶ月前の在庫'!$W$6:$W$10005,$C81)&gt;0,1,0))</f>
        <v/>
      </c>
      <c r="CY81">
        <f>IF(OR($C81="",'設定'!$C$12=""),"",IF('設定'!$C$13="",IF(AND($CV81=1,$CW81=0),"新商品（今月から）",IF(AND($CV81=0,$CW81=1),"終売（今月から）","")),IF(AND($CV81=1,$CW81=0,$CX81=0),"新商品（今月から）",IF(AND($CV81=1,$CW81=1,$CX81=0),"新商品（先月から）",IF(AND($CV81=0,$CW81=1,$CX81=1),"終売（今月から）",IF(AND($CV81=0,$CW81=0,$CX81=1),"終売（先月から）",IF(AND($CV81=1,$CW81=0,$CX81=1),"復活（先月は無し）","")))))))</f>
        <v/>
      </c>
    </row>
    <row r="82">
      <c r="B82">
        <f>IF(77&lt;='設定'!$C$11,77,"")</f>
        <v/>
      </c>
      <c r="C82">
        <f>IF($B82="","",IF($B82&lt;='設定'!$C$20,INDEX('商品マスタ'!$B$6:$B$1005,MATCH($B82,'商品マスタ'!$M$6:$M$1005,0)),IF($B82&lt;='設定'!$C$20+'設定'!$C$17,INDEX('①在庫を貼る'!$W$6:$W$10005,MATCH($B82-'設定'!$C$20,'①在庫を貼る'!$U$6:$U$10005,0)),IF($B82&lt;='設定'!$C$20+'設定'!$C$17+'設定'!$C$18,INDEX('月1回_1ヶ月前の在庫'!$W$6:$W$10005,MATCH($B82-'設定'!$C$20-'設定'!$C$17,'月1回_1ヶ月前の在庫'!$U$6:$U$10005,0)),INDEX('月1回_2ヶ月前の在庫'!$W$6:$W$10005,MATCH($B82-'設定'!$C$20-'設定'!$C$17-'設定'!$C$18,'月1回_2ヶ月前の在庫'!$U$6:$U$10005,0))))))</f>
        <v/>
      </c>
      <c r="D82">
        <f>IF($C82="","",IFERROR(IF(INDEX('商品マスタ'!$C$6:$C$1005,MATCH($C82,'商品マスタ'!$B$6:$B$1005,0))="",IFERROR(INDEX('①在庫を貼る'!$J$6:$J$10005,MATCH($C82,'①在庫を貼る'!$W$6:$W$10005,0)),IFERROR(INDEX('月1回_1ヶ月前の在庫'!$J$6:$J$10005,MATCH($C82,'月1回_1ヶ月前の在庫'!$W$6:$W$10005,0)),IFERROR(INDEX('月1回_2ヶ月前の在庫'!$J$6:$J$10005,MATCH($C82,'月1回_2ヶ月前の在庫'!$W$6:$W$10005,0)),""))),INDEX('商品マスタ'!$C$6:$C$1005,MATCH($C82,'商品マスタ'!$B$6:$B$1005,0))),IFERROR(INDEX('①在庫を貼る'!$J$6:$J$10005,MATCH($C82,'①在庫を貼る'!$W$6:$W$10005,0)),IFERROR(INDEX('月1回_1ヶ月前の在庫'!$J$6:$J$10005,MATCH($C82,'月1回_1ヶ月前の在庫'!$W$6:$W$10005,0)),IFERROR(INDEX('月1回_2ヶ月前の在庫'!$J$6:$J$10005,MATCH($C82,'月1回_2ヶ月前の在庫'!$W$6:$W$10005,0)),"")))))</f>
        <v/>
      </c>
      <c r="E82">
        <f>IF($C82="","",IFERROR(IF(INDEX('商品マスタ'!$D$6:$D$1005,MATCH($C82,'商品マスタ'!$B$6:$B$1005,0))="",IFERROR(INDEX('①在庫を貼る'!$H$6:$H$10005,MATCH($C82,'①在庫を貼る'!$W$6:$W$10005,0)),IFERROR(INDEX('月1回_1ヶ月前の在庫'!$H$6:$H$10005,MATCH($C82,'月1回_1ヶ月前の在庫'!$W$6:$W$10005,0)),IFERROR(INDEX('月1回_2ヶ月前の在庫'!$H$6:$H$10005,MATCH($C82,'月1回_2ヶ月前の在庫'!$W$6:$W$10005,0)),""))),INDEX('商品マスタ'!$D$6:$D$1005,MATCH($C82,'商品マスタ'!$B$6:$B$1005,0))),IFERROR(INDEX('①在庫を貼る'!$H$6:$H$10005,MATCH($C82,'①在庫を貼る'!$W$6:$W$10005,0)),IFERROR(INDEX('月1回_1ヶ月前の在庫'!$H$6:$H$10005,MATCH($C82,'月1回_1ヶ月前の在庫'!$W$6:$W$10005,0)),IFERROR(INDEX('月1回_2ヶ月前の在庫'!$H$6:$H$10005,MATCH($C82,'月1回_2ヶ月前の在庫'!$W$6:$W$10005,0)),"")))))</f>
        <v/>
      </c>
      <c r="F82">
        <f>IF($C82="","",IFERROR(IF(INDEX('商品マスタ'!$E$6:$E$1005,MATCH($C82,'商品マスタ'!$B$6:$B$1005,0))="",IFERROR(INDEX('①在庫を貼る'!$E$6:$E$10005,MATCH($C82,'①在庫を貼る'!$W$6:$W$10005,0)),IFERROR(INDEX('月1回_1ヶ月前の在庫'!$E$6:$E$10005,MATCH($C82,'月1回_1ヶ月前の在庫'!$W$6:$W$10005,0)),IFERROR(INDEX('月1回_2ヶ月前の在庫'!$E$6:$E$10005,MATCH($C82,'月1回_2ヶ月前の在庫'!$W$6:$W$10005,0)),""))),INDEX('商品マスタ'!$E$6:$E$1005,MATCH($C82,'商品マスタ'!$B$6:$B$1005,0))),IFERROR(INDEX('①在庫を貼る'!$E$6:$E$10005,MATCH($C82,'①在庫を貼る'!$W$6:$W$10005,0)),IFERROR(INDEX('月1回_1ヶ月前の在庫'!$E$6:$E$10005,MATCH($C82,'月1回_1ヶ月前の在庫'!$W$6:$W$10005,0)),IFERROR(INDEX('月1回_2ヶ月前の在庫'!$E$6:$E$10005,MATCH($C82,'月1回_2ヶ月前の在庫'!$W$6:$W$10005,0)),"")))))</f>
        <v/>
      </c>
      <c r="G82">
        <f>IF($C82="","",MAX(1,N(IFERROR(IF(INDEX('商品マスタ'!$F$6:$F$1005,MATCH($C82,'商品マスタ'!$B$6:$B$1005,0))="",IF(COUNTIFS('①在庫を貼る'!$V$6:$V$10005,'設定'!$C$4,'①在庫を貼る'!$W$6:$W$10005,$C82)&gt;0,SUMIFS('①在庫を貼る'!$K$6:$K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K$6:$K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K$6:$K$10005,'月1回_2ヶ月前の在庫'!$V$6:$V$10005,'設定'!$C$4,'月1回_2ヶ月前の在庫'!$W$6:$W$10005,$C82)/COUNTIFS('月1回_2ヶ月前の在庫'!$V$6:$V$10005,'設定'!$C$4,'月1回_2ヶ月前の在庫'!$W$6:$W$10005,$C82),0))),INDEX('商品マスタ'!$F$6:$F$1005,MATCH($C82,'商品マスタ'!$B$6:$B$1005,0))),IF(COUNTIFS('①在庫を貼る'!$V$6:$V$10005,'設定'!$C$4,'①在庫を貼る'!$W$6:$W$10005,$C82)&gt;0,SUMIFS('①在庫を貼る'!$K$6:$K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K$6:$K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K$6:$K$10005,'月1回_2ヶ月前の在庫'!$V$6:$V$10005,'設定'!$C$4,'月1回_2ヶ月前の在庫'!$W$6:$W$10005,$C82)/COUNTIFS('月1回_2ヶ月前の在庫'!$V$6:$V$10005,'設定'!$C$4,'月1回_2ヶ月前の在庫'!$W$6:$W$10005,$C82),0)))))))</f>
        <v/>
      </c>
      <c r="H82">
        <f>IF($C82="","",N(IFERROR(IF(INDEX('商品マスタ'!$G$6:$G$1005,MATCH($C82,'商品マスタ'!$B$6:$B$1005,0))="",IF(COUNTIFS('①在庫を貼る'!$V$6:$V$10005,'設定'!$C$4,'①在庫を貼る'!$W$6:$W$10005,$C82)&gt;0,SUMIFS('①在庫を貼る'!$Q$6:$Q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Q$6:$Q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Q$6:$Q$10005,'月1回_2ヶ月前の在庫'!$V$6:$V$10005,'設定'!$C$4,'月1回_2ヶ月前の在庫'!$W$6:$W$10005,$C82)/COUNTIFS('月1回_2ヶ月前の在庫'!$V$6:$V$10005,'設定'!$C$4,'月1回_2ヶ月前の在庫'!$W$6:$W$10005,$C82),0))),INDEX('商品マスタ'!$G$6:$G$1005,MATCH($C82,'商品マスタ'!$B$6:$B$1005,0))),IF(COUNTIFS('①在庫を貼る'!$V$6:$V$10005,'設定'!$C$4,'①在庫を貼る'!$W$6:$W$10005,$C82)&gt;0,SUMIFS('①在庫を貼る'!$Q$6:$Q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Q$6:$Q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Q$6:$Q$10005,'月1回_2ヶ月前の在庫'!$V$6:$V$10005,'設定'!$C$4,'月1回_2ヶ月前の在庫'!$W$6:$W$10005,$C82)/COUNTIFS('月1回_2ヶ月前の在庫'!$V$6:$V$10005,'設定'!$C$4,'月1回_2ヶ月前の在庫'!$W$6:$W$10005,$C82),0))))))</f>
        <v/>
      </c>
      <c r="I82">
        <f>IF($C82="","",IF(COUNTIFS('①在庫を貼る'!$V$6:$V$10005,'設定'!$C$4,'①在庫を貼る'!$W$6:$W$10005,$C82)=0,"",SUMIFS('①在庫を貼る'!$N$6:$N$10005,'①在庫を貼る'!$V$6:$V$10005,'設定'!$C$4,'①在庫を貼る'!$W$6:$W$10005,$C82)))</f>
        <v/>
      </c>
      <c r="J82">
        <f>IF($C82="","",IF('②発注する'!$AD86="","",'②発注する'!$AD86))</f>
        <v/>
      </c>
      <c r="K82" s="90">
        <f>IF($C82="","",IF('②発注する'!$AE86="","",'②発注する'!$AE86))</f>
        <v/>
      </c>
      <c r="L82">
        <f>IF($C82="","",IF(AND(ISNUMBER($J82),ISNUMBER($K82),$K82&gt;='設定'!$C$6),$J82,N($I82)))</f>
        <v/>
      </c>
      <c r="M82">
        <f>IF($C82="","",IFERROR(IF(N(INDEX('商品マスタ'!$J$6:$J$1005,MATCH($C82,'商品マスタ'!$B$6:$B$1005,0)))&gt;0,INDEX('商品マスタ'!$J$6:$J$1005,MATCH($C82,'商品マスタ'!$B$6:$B$1005,0)),""),""))</f>
        <v/>
      </c>
      <c r="N82">
        <f>IF($C82="","",IFERROR(IF(N(INDEX('商品マスタ'!$H$6:$H$1005,MATCH($C82,'商品マスタ'!$B$6:$B$1005,0)))&gt;0,INDEX('商品マスタ'!$H$6:$H$1005,MATCH($C82,'商品マスタ'!$B$6:$B$1005,0)),""),""))</f>
        <v/>
      </c>
      <c r="O82">
        <f>IF($C82="","",IF($N82&lt;&gt;"",$N82*$G82,IF(N(IF(COUNTIFS('①在庫を貼る'!$V$6:$V$10005,'設定'!$C$4,'①在庫を貼る'!$W$6:$W$10005,$C82)&gt;0,SUMIFS('①在庫を貼る'!$O$6:$O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O$6:$O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O$6:$O$10005,'月1回_2ヶ月前の在庫'!$V$6:$V$10005,'設定'!$C$4,'月1回_2ヶ月前の在庫'!$W$6:$W$10005,$C82)/COUNTIFS('月1回_2ヶ月前の在庫'!$V$6:$V$10005,'設定'!$C$4,'月1回_2ヶ月前の在庫'!$W$6:$W$10005,$C82),0))))&gt;0,N(IF(COUNTIFS('①在庫を貼る'!$V$6:$V$10005,'設定'!$C$4,'①在庫を貼る'!$W$6:$W$10005,$C82)&gt;0,SUMIFS('①在庫を貼る'!$O$6:$O$10005,'①在庫を貼る'!$V$6:$V$10005,'設定'!$C$4,'①在庫を貼る'!$W$6:$W$10005,$C82)/COUNTIFS('①在庫を貼る'!$V$6:$V$10005,'設定'!$C$4,'①在庫を貼る'!$W$6:$W$10005,$C82),IF(COUNTIFS('月1回_1ヶ月前の在庫'!$V$6:$V$10005,'設定'!$C$4,'月1回_1ヶ月前の在庫'!$W$6:$W$10005,$C82)&gt;0,SUMIFS('月1回_1ヶ月前の在庫'!$O$6:$O$10005,'月1回_1ヶ月前の在庫'!$V$6:$V$10005,'設定'!$C$4,'月1回_1ヶ月前の在庫'!$W$6:$W$10005,$C82)/COUNTIFS('月1回_1ヶ月前の在庫'!$V$6:$V$10005,'設定'!$C$4,'月1回_1ヶ月前の在庫'!$W$6:$W$10005,$C82),IF(COUNTIFS('月1回_2ヶ月前の在庫'!$V$6:$V$10005,'設定'!$C$4,'月1回_2ヶ月前の在庫'!$W$6:$W$10005,$C82)&gt;0,SUMIFS('月1回_2ヶ月前の在庫'!$O$6:$O$10005,'月1回_2ヶ月前の在庫'!$V$6:$V$10005,'設定'!$C$4,'月1回_2ヶ月前の在庫'!$W$6:$W$10005,$C82)/COUNTIFS('月1回_2ヶ月前の在庫'!$V$6:$V$10005,'設定'!$C$4,'月1回_2ヶ月前の在庫'!$W$6:$W$10005,$C82),0)))),"")))</f>
        <v/>
      </c>
      <c r="P82" s="90">
        <f>IF($C82="","",IF('②発注する'!$I86="","",'②発注する'!$I86))</f>
        <v/>
      </c>
      <c r="Q82">
        <f>IF($C82="","",IF('②発注する'!$J86="","",'②発注する'!$J86))</f>
        <v/>
      </c>
      <c r="R82">
        <f>IF($C82="",0,IF(AND(ISNUMBER($P82),ISNUMBER($Q82)),MAX(0,$Q82)*$G82,0))</f>
        <v/>
      </c>
      <c r="S82" s="90">
        <f>IF($C82="","",IF('②発注する'!$M86="","",'②発注する'!$M86))</f>
        <v/>
      </c>
      <c r="T82">
        <f>IF($C82="","",IF('②発注する'!$N86="","",'②発注する'!$N86))</f>
        <v/>
      </c>
      <c r="U82">
        <f>IF($C82="",0,IF(AND(ISNUMBER($S82),ISNUMBER($T82)),MAX(0,$T82)*$G82,0))</f>
        <v/>
      </c>
      <c r="V82">
        <f>IF($C82="",0,IF($M82="",0,MAX(0,$M82)*MAX(0,V$4)/100))</f>
        <v/>
      </c>
      <c r="W82">
        <f>IF($C82="",0,IF($M82="",0,MAX(0,$M82)*MAX(0,W$4)/100))</f>
        <v/>
      </c>
      <c r="X82">
        <f>IF($C82="",0,IF($M82="",0,MAX(0,$M82)*MAX(0,X$4)/100))</f>
        <v/>
      </c>
      <c r="Y82">
        <f>IF($C82="",0,IF($M82="",0,MAX(0,$M82)*MAX(0,Y$4)/100))</f>
        <v/>
      </c>
      <c r="Z82">
        <f>IF($C82="",0,IF($M82="",0,MAX(0,$M82)*MAX(0,Z$4)/100))</f>
        <v/>
      </c>
      <c r="AA82">
        <f>IF($C82="",0,IF($M82="",0,MAX(0,$M82)*MAX(0,AA$4)/100))</f>
        <v/>
      </c>
      <c r="AB82">
        <f>IF($C82="",0,IF($M82="",0,MAX(0,$M82)*MAX(0,AB$4)/100))</f>
        <v/>
      </c>
      <c r="AC82">
        <f>IF($C82="",0,IF($M82="",0,MAX(0,$M82)*MAX(0,AC$4)/100))</f>
        <v/>
      </c>
      <c r="AD82">
        <f>IF($C82="",0,IF($M82="",0,MAX(0,$M82)*MAX(0,AD$4)/100))</f>
        <v/>
      </c>
      <c r="AE82">
        <f>IF($C82="",0,IF($M82="",0,MAX(0,$M82)*MAX(0,AE$4)/100))</f>
        <v/>
      </c>
      <c r="AF82">
        <f>IF($C82="",0,IF($M82="",0,MAX(0,$M82)*MAX(0,AF$4)/100))</f>
        <v/>
      </c>
      <c r="AG82">
        <f>IF($C82="",0,IF($M82="",0,MAX(0,$M82)*MAX(0,AG$4)/100))</f>
        <v/>
      </c>
      <c r="AH82">
        <f>IF($C82="",0,IF($M82="",0,MAX(0,$M82)*MAX(0,AH$4)/100))</f>
        <v/>
      </c>
      <c r="AI82">
        <f>IF($C82="",0,IF($M82="",0,MAX(0,$M82)*MAX(0,AI$4)/100))</f>
        <v/>
      </c>
      <c r="AJ82">
        <f>IF($C82="",0,MAX(0,MAX(0,N($L82))-$V82))</f>
        <v/>
      </c>
      <c r="AK82">
        <f>IF($C82="",0,MAX(0,$AJ82-$W82))</f>
        <v/>
      </c>
      <c r="AL82">
        <f>IF($C82="",0,MAX(0,$AK82-$X82))</f>
        <v/>
      </c>
      <c r="AM82">
        <f>IF($C82="",0,MAX(0,$AL82-$Y82))</f>
        <v/>
      </c>
      <c r="AN82">
        <f>IF($C82="",0,MAX(0,$AM82-$Z82))</f>
        <v/>
      </c>
      <c r="AO82">
        <f>IF($C82="",0,MAX(0,$AN82-$AA82))</f>
        <v/>
      </c>
      <c r="AP82">
        <f>IF($C82="",0,MAX(0,$AO82-$AB82))</f>
        <v/>
      </c>
      <c r="AQ82">
        <f>IF($C82="",0,MAX(0,$AP82-$AC82))</f>
        <v/>
      </c>
      <c r="AR82">
        <f>IF($C82="",0,MAX(0,$AQ82-$AD82))</f>
        <v/>
      </c>
      <c r="AS82">
        <f>IF($C82="",0,MAX(0,$AR82-$AE82))</f>
        <v/>
      </c>
      <c r="AT82">
        <f>IF($C82="",0,MAX(0,$AS82-$AF82))</f>
        <v/>
      </c>
      <c r="AU82">
        <f>IF($C82="",0,MAX(0,$AT82-$AG82))</f>
        <v/>
      </c>
      <c r="AV82">
        <f>IF($C82="",0,MAX(0,$AU82-$AH82))</f>
        <v/>
      </c>
      <c r="AW82">
        <f>IF($C82="",0,MAX(0,$AV82-$AI82))</f>
        <v/>
      </c>
      <c r="AX82">
        <f>IF($C82="",0,MAX(0,MAX(0,N($L82))+IF($P82=V$3,$R82,0)+IF($S82=V$3,$U82,0)-$V82))</f>
        <v/>
      </c>
      <c r="AY82">
        <f>IF($C82="",0,MAX(0,$AX82+IF($P82=W$3,$R82,0)+IF($S82=W$3,$U82,0)-$W82))</f>
        <v/>
      </c>
      <c r="AZ82">
        <f>IF($C82="",0,MAX(0,$AY82+IF($P82=X$3,$R82,0)+IF($S82=X$3,$U82,0)-$X82))</f>
        <v/>
      </c>
      <c r="BA82">
        <f>IF($C82="",0,MAX(0,$AZ82+IF($P82=Y$3,$R82,0)+IF($S82=Y$3,$U82,0)-$Y82))</f>
        <v/>
      </c>
      <c r="BB82">
        <f>IF($C82="",0,MAX(0,$BA82+IF($P82=Z$3,$R82,0)+IF($S82=Z$3,$U82,0)-$Z82))</f>
        <v/>
      </c>
      <c r="BC82">
        <f>IF($C82="",0,MAX(0,$BB82+IF($P82=AA$3,$R82,0)+IF($S82=AA$3,$U82,0)-$AA82))</f>
        <v/>
      </c>
      <c r="BD82">
        <f>IF($C82="",0,MAX(0,$BC82+IF($P82=AB$3,$R82,0)+IF($S82=AB$3,$U82,0)-$AB82))</f>
        <v/>
      </c>
      <c r="BE82">
        <f>IF($C82="",0,MAX(0,$BD82+IF($P82=AC$3,$R82,0)+IF($S82=AC$3,$U82,0)-$AC82))</f>
        <v/>
      </c>
      <c r="BF82">
        <f>IF($C82="",0,MAX(0,$BE82+IF($P82=AD$3,$R82,0)+IF($S82=AD$3,$U82,0)-$AD82))</f>
        <v/>
      </c>
      <c r="BG82">
        <f>IF($C82="",0,MAX(0,$BF82+IF($P82=AE$3,$R82,0)+IF($S82=AE$3,$U82,0)-$AE82))</f>
        <v/>
      </c>
      <c r="BH82">
        <f>IF($C82="",0,MAX(0,$BG82+IF($P82=AF$3,$R82,0)+IF($S82=AF$3,$U82,0)-$AF82))</f>
        <v/>
      </c>
      <c r="BI82">
        <f>IF($C82="",0,MAX(0,$BH82+IF($P82=AG$3,$R82,0)+IF($S82=AG$3,$U82,0)-$AG82))</f>
        <v/>
      </c>
      <c r="BJ82">
        <f>IF($C82="",0,MAX(0,$BI82+IF($P82=AH$3,$R82,0)+IF($S82=AH$3,$U82,0)-$AH82))</f>
        <v/>
      </c>
      <c r="BK82">
        <f>IF($C82="",0,MAX(0,$BJ82+IF($P82=AI$3,$R82,0)+IF($S82=AI$3,$U82,0)-$AI82))</f>
        <v/>
      </c>
      <c r="BL82">
        <f>IF($C82="",99,IF(AND($AX82&lt;1,V$3&gt;=MAX(N($P82),N($S82))),0,99))</f>
        <v/>
      </c>
      <c r="BM82">
        <f>IF($C82="",99,IF(AND($AY82&lt;1,W$3&gt;=MAX(N($P82),N($S82))),1,99))</f>
        <v/>
      </c>
      <c r="BN82">
        <f>IF($C82="",99,IF(AND($AZ82&lt;1,X$3&gt;=MAX(N($P82),N($S82))),2,99))</f>
        <v/>
      </c>
      <c r="BO82">
        <f>IF($C82="",99,IF(AND($BA82&lt;1,Y$3&gt;=MAX(N($P82),N($S82))),3,99))</f>
        <v/>
      </c>
      <c r="BP82">
        <f>IF($C82="",99,IF(AND($BB82&lt;1,Z$3&gt;=MAX(N($P82),N($S82))),4,99))</f>
        <v/>
      </c>
      <c r="BQ82">
        <f>IF($C82="",99,IF(AND($BC82&lt;1,AA$3&gt;=MAX(N($P82),N($S82))),5,99))</f>
        <v/>
      </c>
      <c r="BR82">
        <f>IF($C82="",99,IF(AND($BD82&lt;1,AB$3&gt;=MAX(N($P82),N($S82))),6,99))</f>
        <v/>
      </c>
      <c r="BS82">
        <f>IF($C82="",99,IF(AND($BE82&lt;1,AC$3&gt;=MAX(N($P82),N($S82))),7,99))</f>
        <v/>
      </c>
      <c r="BT82">
        <f>IF($C82="",99,IF(AND($BF82&lt;1,AD$3&gt;=MAX(N($P82),N($S82))),8,99))</f>
        <v/>
      </c>
      <c r="BU82">
        <f>IF($C82="",99,IF(AND($BG82&lt;1,AE$3&gt;=MAX(N($P82),N($S82))),9,99))</f>
        <v/>
      </c>
      <c r="BV82">
        <f>IF($C82="",99,IF(AND($BH82&lt;1,AF$3&gt;=MAX(N($P82),N($S82))),10,99))</f>
        <v/>
      </c>
      <c r="BW82">
        <f>IF($C82="",99,IF(AND($BI82&lt;1,AG$3&gt;=MAX(N($P82),N($S82))),11,99))</f>
        <v/>
      </c>
      <c r="BX82">
        <f>IF($C82="",99,IF(AND($BJ82&lt;1,AH$3&gt;=MAX(N($P82),N($S82))),12,99))</f>
        <v/>
      </c>
      <c r="BY82">
        <f>IF($C82="",99,IF(AND($BK82&lt;1,AI$3&gt;=MAX(N($P82),N($S82))),13,99))</f>
        <v/>
      </c>
      <c r="BZ82">
        <f>IF(OR($C82="",$M82=""),"",COUNTIF($AJ82:$AW82,"&gt;=1"))</f>
        <v/>
      </c>
      <c r="CA82" s="90">
        <f>IF($BZ82="","",IF($BZ82&gt;=14,"",'設定'!$C$6+$BZ82))</f>
        <v/>
      </c>
      <c r="CB82">
        <f>IF(OR($C82="",$M82=""),"",MIN($BL82:$BY82))</f>
        <v/>
      </c>
      <c r="CC82" s="90">
        <f>IF($CB82="","",IF($CB82&gt;=99,"",'設定'!$C$6+$CB82))</f>
        <v/>
      </c>
      <c r="CD82">
        <f>IF(OR($C82="",$M82=""),"",AVERAGE($V82:$AI82))</f>
        <v/>
      </c>
      <c r="CE82">
        <f>IF($C82="","",IFERROR(IF(MATCH(IF(ISNUMBER($P82),$P82,'設定'!$C$6+N('設定'!$C$7)),$V$3:$AI$3,0)=1,MAX(0,N($L82)),INDEX($AJ82:$AW82,MATCH(IF(ISNUMBER($P82),$P82,'設定'!$C$6+N('設定'!$C$7)),$V$3:$AI$3,0)-1)),""))</f>
        <v/>
      </c>
      <c r="CF82">
        <f>IF(OR($C82="",$O82="",$CE82=""),"",IF($O82-$CE82&lt;=0,0,ROUNDUP(($O82-$CE82)/$G82,0)))</f>
        <v/>
      </c>
      <c r="CG82">
        <f>IF(OR($C82="",$CF82="",NOT(ISNUMBER($Q82))),0,MAX(0,$Q82-$CF82))</f>
        <v/>
      </c>
      <c r="CH82">
        <f>IF(OR($C82="",$O82="",$U82=0),0,IFERROR(ROUNDUP(MAX(0,IF(MATCH($S82,$V$3:$AI$3,0)=1,MAX(0,N($L82)),INDEX($AX82:$BK82,MATCH($S82,$V$3:$AI$3,0)-1))+$U82-$O82)/$G82,0),0))</f>
        <v/>
      </c>
      <c r="CI82">
        <f>IF($C82="","",IF(AND($P82="",$Q82=""),"",IF($P82="","⚠ 入庫日を ▼ から選んでください",IF(NOT(ISNUMBER($P82)),"⚠ 入庫日は ▼ から選んでください",IF($P82&lt;N('設定'!$C$6),"⚠ 入庫日が過去です（もう在庫に入っています）→ 消してください",IF($P82&gt;N('設定'!$C$6)+13,"⚠ 入庫日が14日より先です",IF(N($Q82)&lt;=0,"⚠ 入庫数を入れてください",IF($CG82&gt;0,"⚠ 目安より "&amp;$CG82&amp;" 多い（定数を超える）→ 減らす",""))))))))</f>
        <v/>
      </c>
      <c r="CJ82">
        <f>IF($C82="","",IF(AND($S82="",$T82=""),"",IF($S82="","⚠ 2便目：入庫日を ▼ から選んでください",IF(NOT(ISNUMBER($S82)),"⚠ 2便目：入庫日は ▼ から選んでください",IF($S82&lt;N('設定'!$C$6),"⚠ 2便目：入庫日が過去です（もう在庫に入っています）→ 消してください",IF($S82&gt;N('設定'!$C$6)+13,"⚠ 2便目：入庫日が14日より先です",IF(N($T82)&lt;=0,"⚠ 2便目：入庫数を入れてください",IF($CH82&gt;0,"⚠ 2便目：定数を "&amp;$CH82&amp;" ケース超える → 減らす",""))))))))</f>
        <v/>
      </c>
      <c r="CK82">
        <f>IF(AND($CI82="",N($Q82)&gt;0,ISNUMBER($P82)),1,0)</f>
        <v/>
      </c>
      <c r="CL82">
        <f>IF(AND($CJ82="",N($T82)&gt;0,ISNUMBER($S82)),1,0)</f>
        <v/>
      </c>
      <c r="CM82">
        <f>IF(OR($CK82=1,$CL82=1),1,0)</f>
        <v/>
      </c>
      <c r="CN82">
        <f>IF($C82="",0,($CK82*$R82+$CL82*$U82)*N($H82))</f>
        <v/>
      </c>
      <c r="CO82">
        <f>IF($C82="","",IF($CC82="","入庫後は 14日以上もつ",IF($CC82-N('設定'!$C$7)&lt;='設定'!$C$6,"入庫後も "&amp;TEXT($CC82,"m/d")&amp;"("&amp;CHOOSE(WEEKDAY($CC82),"日","月","火","水","木","金","土")&amp;")"&amp;" に切れる　もう1便を至急発注","入庫後も "&amp;TEXT($CC82,"m/d")&amp;"("&amp;CHOOSE(WEEKDAY($CC82),"日","月","火","水","木","金","土")&amp;")"&amp;" に切れる　"&amp;TEXT($CC82-N('設定'!$C$7),"m/d")&amp;"("&amp;CHOOSE(WEEKDAY($CC82-N('設定'!$C$7)),"日","月","火","水","木","金","土")&amp;")"&amp;" までに次を発注")))</f>
        <v/>
      </c>
      <c r="CP82">
        <f>IF($C82="","",IF('設定'!$C$6="","？ ①在庫を貼る に今日のCSVが貼られていない",IF($CS82=1,"－ 今日のCSVに無い（終売？）",IF($L82&lt;0,"● 在庫がマイナス　数えて「数えた在庫」に入れる",IF($L82=0,"● 在庫なし　至急発注",IF($M82="","？ 減り数が未設定（商品マスタ）",IF($B$3=0,"？ 動員が未入力（動員を入れる）",IF($CA82="","○ 14日以上もつ",IF($BZ82&lt;N('設定'!$C$7),"● "&amp;TEXT($CA82,"m/d")&amp;"("&amp;CHOOSE(WEEKDAY($CA82),"日","月","火","水","木","金","土")&amp;")"&amp;" に切れる　至急発注",IF($BZ82=N('設定'!$C$7),"● "&amp;TEXT($CA82,"m/d")&amp;"("&amp;CHOOSE(WEEKDAY($CA82),"日","月","火","水","木","金","土")&amp;")"&amp;" に切れる　今日発注","△ "&amp;TEXT($CA82,"m/d")&amp;"("&amp;CHOOSE(WEEKDAY($CA82),"日","月","火","水","木","金","土")&amp;")"&amp;" に切れる　"&amp;TEXT($CA82-N('設定'!$C$7),"m/d")&amp;"("&amp;CHOOSE(WEEKDAY($CA82-N('設定'!$C$7)),"日","月","火","水","木","金","土")&amp;")"&amp;" までに発注"))))))))))</f>
        <v/>
      </c>
      <c r="CQ82">
        <f>IF($C82="","",IF(AND($P82="",$Q82="",$S82="",$T82=""),"",IF(AND($P82="",$Q82=""),"⚠ 先に1便目（左の入庫日・入庫数）に入れてください",IF($CI82&lt;&gt;"",$CI82,IF($CJ82&lt;&gt;"",$CJ82,IF($M82="","？ 減り数が未設定（発注書には載ります）",IF($B$3=0,"？ 動員が未入力（発注書には載ります）",IF(AND($CA82&lt;&gt;"",$P82&gt;$CA82),IF($P82&gt;'設定'!$C$6+N('設定'!$C$7),"● "&amp;TEXT($P82,"m/d")&amp;"("&amp;CHOOSE(WEEKDAY($P82),"日","月","火","水","木","金","土")&amp;")"&amp;" の入庫では間に合わない（"&amp;TEXT($CA82,"m/d")&amp;"("&amp;CHOOSE(WEEKDAY($CA82),"日","月","火","水","木","金","土")&amp;")"&amp;" に切れる）　入庫日を早める","△ 欠品 "&amp;TEXT($CA82,"m/d")&amp;"("&amp;CHOOSE(WEEKDAY($CA82),"日","月","火","水","木","金","土")&amp;")"&amp;"〜"&amp;TEXT($P82-1,"m/d")&amp;"("&amp;CHOOSE(WEEKDAY($P82-1),"日","月","火","水","木","金","土")&amp;")"&amp;"　"&amp;$CO82),IF($CC82="","○ "&amp;TEXT($P82,"m/d")&amp;"("&amp;CHOOSE(WEEKDAY($P82),"日","月","火","水","木","金","土")&amp;")"&amp;" 入庫で 14日以上もつ",IF($CC82-N('設定'!$C$7)&lt;='設定'!$C$6,"● 入庫しても "&amp;TEXT($CC82,"m/d")&amp;"("&amp;CHOOSE(WEEKDAY($CC82),"日","月","火","水","木","金","土")&amp;")"&amp;" に切れる　もう1便を至急発注（2便目に入れる）","△ 入庫しても "&amp;TEXT($CC82,"m/d")&amp;"("&amp;CHOOSE(WEEKDAY($CC82),"日","月","火","水","木","金","土")&amp;")"&amp;" に切れる　"&amp;TEXT($CC82-N('設定'!$C$7),"m/d")&amp;"("&amp;CHOOSE(WEEKDAY($CC82-N('設定'!$C$7)),"日","月","火","水","木","金","土")&amp;")"&amp;" までに次を発注（2便目に入れる）"))))))))))</f>
        <v/>
      </c>
      <c r="CR82">
        <f>IF($C82="","",IF($G82&gt;1,"ｹｰｽ("&amp;$G82&amp;"入)","個"))</f>
        <v/>
      </c>
      <c r="CS82">
        <f>IF($C82="",0,IF(COUNTIFS('①在庫を貼る'!$V$6:$V$10005,'設定'!$C$4,'①在庫を貼る'!$W$6:$W$10005,$C82)=0,1,0))</f>
        <v/>
      </c>
      <c r="CT82">
        <f>IF(AND($CK82=1,OR('③発注書'!$C$4="すべて",'③発注書'!$C$4="",$F82='③発注書'!$C$4)),N($CT81)+1,N($CT81))</f>
        <v/>
      </c>
      <c r="CU82">
        <f>IF(AND($CL82=1,OR('③発注書'!$C$4="すべて",'③発注書'!$C$4="",$F82='③発注書'!$C$4)),N($CU81)+1,N($CU81))</f>
        <v/>
      </c>
      <c r="CV82">
        <f>IF($C82="",0,IF(COUNTIFS('①在庫を貼る'!$V$6:$V$10005,'設定'!$C$4,'①在庫を貼る'!$W$6:$W$10005,$C82)&gt;0,1,0))</f>
        <v/>
      </c>
      <c r="CW82">
        <f>IF($C82="",0,IF(COUNTIFS('月1回_1ヶ月前の在庫'!$V$6:$V$10005,'設定'!$C$4,'月1回_1ヶ月前の在庫'!$W$6:$W$10005,$C82)&gt;0,1,0))</f>
        <v/>
      </c>
      <c r="CX82">
        <f>IF($C82="",0,IF(COUNTIFS('月1回_2ヶ月前の在庫'!$V$6:$V$10005,'設定'!$C$4,'月1回_2ヶ月前の在庫'!$W$6:$W$10005,$C82)&gt;0,1,0))</f>
        <v/>
      </c>
      <c r="CY82">
        <f>IF(OR($C82="",'設定'!$C$12=""),"",IF('設定'!$C$13="",IF(AND($CV82=1,$CW82=0),"新商品（今月から）",IF(AND($CV82=0,$CW82=1),"終売（今月から）","")),IF(AND($CV82=1,$CW82=0,$CX82=0),"新商品（今月から）",IF(AND($CV82=1,$CW82=1,$CX82=0),"新商品（先月から）",IF(AND($CV82=0,$CW82=1,$CX82=1),"終売（今月から）",IF(AND($CV82=0,$CW82=0,$CX82=1),"終売（先月から）",IF(AND($CV82=1,$CW82=0,$CX82=1),"復活（先月は無し）","")))))))</f>
        <v/>
      </c>
    </row>
    <row r="83">
      <c r="B83">
        <f>IF(78&lt;='設定'!$C$11,78,"")</f>
        <v/>
      </c>
      <c r="C83">
        <f>IF($B83="","",IF($B83&lt;='設定'!$C$20,INDEX('商品マスタ'!$B$6:$B$1005,MATCH($B83,'商品マスタ'!$M$6:$M$1005,0)),IF($B83&lt;='設定'!$C$20+'設定'!$C$17,INDEX('①在庫を貼る'!$W$6:$W$10005,MATCH($B83-'設定'!$C$20,'①在庫を貼る'!$U$6:$U$10005,0)),IF($B83&lt;='設定'!$C$20+'設定'!$C$17+'設定'!$C$18,INDEX('月1回_1ヶ月前の在庫'!$W$6:$W$10005,MATCH($B83-'設定'!$C$20-'設定'!$C$17,'月1回_1ヶ月前の在庫'!$U$6:$U$10005,0)),INDEX('月1回_2ヶ月前の在庫'!$W$6:$W$10005,MATCH($B83-'設定'!$C$20-'設定'!$C$17-'設定'!$C$18,'月1回_2ヶ月前の在庫'!$U$6:$U$10005,0))))))</f>
        <v/>
      </c>
      <c r="D83">
        <f>IF($C83="","",IFERROR(IF(INDEX('商品マスタ'!$C$6:$C$1005,MATCH($C83,'商品マスタ'!$B$6:$B$1005,0))="",IFERROR(INDEX('①在庫を貼る'!$J$6:$J$10005,MATCH($C83,'①在庫を貼る'!$W$6:$W$10005,0)),IFERROR(INDEX('月1回_1ヶ月前の在庫'!$J$6:$J$10005,MATCH($C83,'月1回_1ヶ月前の在庫'!$W$6:$W$10005,0)),IFERROR(INDEX('月1回_2ヶ月前の在庫'!$J$6:$J$10005,MATCH($C83,'月1回_2ヶ月前の在庫'!$W$6:$W$10005,0)),""))),INDEX('商品マスタ'!$C$6:$C$1005,MATCH($C83,'商品マスタ'!$B$6:$B$1005,0))),IFERROR(INDEX('①在庫を貼る'!$J$6:$J$10005,MATCH($C83,'①在庫を貼る'!$W$6:$W$10005,0)),IFERROR(INDEX('月1回_1ヶ月前の在庫'!$J$6:$J$10005,MATCH($C83,'月1回_1ヶ月前の在庫'!$W$6:$W$10005,0)),IFERROR(INDEX('月1回_2ヶ月前の在庫'!$J$6:$J$10005,MATCH($C83,'月1回_2ヶ月前の在庫'!$W$6:$W$10005,0)),"")))))</f>
        <v/>
      </c>
      <c r="E83">
        <f>IF($C83="","",IFERROR(IF(INDEX('商品マスタ'!$D$6:$D$1005,MATCH($C83,'商品マスタ'!$B$6:$B$1005,0))="",IFERROR(INDEX('①在庫を貼る'!$H$6:$H$10005,MATCH($C83,'①在庫を貼る'!$W$6:$W$10005,0)),IFERROR(INDEX('月1回_1ヶ月前の在庫'!$H$6:$H$10005,MATCH($C83,'月1回_1ヶ月前の在庫'!$W$6:$W$10005,0)),IFERROR(INDEX('月1回_2ヶ月前の在庫'!$H$6:$H$10005,MATCH($C83,'月1回_2ヶ月前の在庫'!$W$6:$W$10005,0)),""))),INDEX('商品マスタ'!$D$6:$D$1005,MATCH($C83,'商品マスタ'!$B$6:$B$1005,0))),IFERROR(INDEX('①在庫を貼る'!$H$6:$H$10005,MATCH($C83,'①在庫を貼る'!$W$6:$W$10005,0)),IFERROR(INDEX('月1回_1ヶ月前の在庫'!$H$6:$H$10005,MATCH($C83,'月1回_1ヶ月前の在庫'!$W$6:$W$10005,0)),IFERROR(INDEX('月1回_2ヶ月前の在庫'!$H$6:$H$10005,MATCH($C83,'月1回_2ヶ月前の在庫'!$W$6:$W$10005,0)),"")))))</f>
        <v/>
      </c>
      <c r="F83">
        <f>IF($C83="","",IFERROR(IF(INDEX('商品マスタ'!$E$6:$E$1005,MATCH($C83,'商品マスタ'!$B$6:$B$1005,0))="",IFERROR(INDEX('①在庫を貼る'!$E$6:$E$10005,MATCH($C83,'①在庫を貼る'!$W$6:$W$10005,0)),IFERROR(INDEX('月1回_1ヶ月前の在庫'!$E$6:$E$10005,MATCH($C83,'月1回_1ヶ月前の在庫'!$W$6:$W$10005,0)),IFERROR(INDEX('月1回_2ヶ月前の在庫'!$E$6:$E$10005,MATCH($C83,'月1回_2ヶ月前の在庫'!$W$6:$W$10005,0)),""))),INDEX('商品マスタ'!$E$6:$E$1005,MATCH($C83,'商品マスタ'!$B$6:$B$1005,0))),IFERROR(INDEX('①在庫を貼る'!$E$6:$E$10005,MATCH($C83,'①在庫を貼る'!$W$6:$W$10005,0)),IFERROR(INDEX('月1回_1ヶ月前の在庫'!$E$6:$E$10005,MATCH($C83,'月1回_1ヶ月前の在庫'!$W$6:$W$10005,0)),IFERROR(INDEX('月1回_2ヶ月前の在庫'!$E$6:$E$10005,MATCH($C83,'月1回_2ヶ月前の在庫'!$W$6:$W$10005,0)),"")))))</f>
        <v/>
      </c>
      <c r="G83">
        <f>IF($C83="","",MAX(1,N(IFERROR(IF(INDEX('商品マスタ'!$F$6:$F$1005,MATCH($C83,'商品マスタ'!$B$6:$B$1005,0))="",IF(COUNTIFS('①在庫を貼る'!$V$6:$V$10005,'設定'!$C$4,'①在庫を貼る'!$W$6:$W$10005,$C83)&gt;0,SUMIFS('①在庫を貼る'!$K$6:$K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K$6:$K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K$6:$K$10005,'月1回_2ヶ月前の在庫'!$V$6:$V$10005,'設定'!$C$4,'月1回_2ヶ月前の在庫'!$W$6:$W$10005,$C83)/COUNTIFS('月1回_2ヶ月前の在庫'!$V$6:$V$10005,'設定'!$C$4,'月1回_2ヶ月前の在庫'!$W$6:$W$10005,$C83),0))),INDEX('商品マスタ'!$F$6:$F$1005,MATCH($C83,'商品マスタ'!$B$6:$B$1005,0))),IF(COUNTIFS('①在庫を貼る'!$V$6:$V$10005,'設定'!$C$4,'①在庫を貼る'!$W$6:$W$10005,$C83)&gt;0,SUMIFS('①在庫を貼る'!$K$6:$K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K$6:$K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K$6:$K$10005,'月1回_2ヶ月前の在庫'!$V$6:$V$10005,'設定'!$C$4,'月1回_2ヶ月前の在庫'!$W$6:$W$10005,$C83)/COUNTIFS('月1回_2ヶ月前の在庫'!$V$6:$V$10005,'設定'!$C$4,'月1回_2ヶ月前の在庫'!$W$6:$W$10005,$C83),0)))))))</f>
        <v/>
      </c>
      <c r="H83">
        <f>IF($C83="","",N(IFERROR(IF(INDEX('商品マスタ'!$G$6:$G$1005,MATCH($C83,'商品マスタ'!$B$6:$B$1005,0))="",IF(COUNTIFS('①在庫を貼る'!$V$6:$V$10005,'設定'!$C$4,'①在庫を貼る'!$W$6:$W$10005,$C83)&gt;0,SUMIFS('①在庫を貼る'!$Q$6:$Q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Q$6:$Q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Q$6:$Q$10005,'月1回_2ヶ月前の在庫'!$V$6:$V$10005,'設定'!$C$4,'月1回_2ヶ月前の在庫'!$W$6:$W$10005,$C83)/COUNTIFS('月1回_2ヶ月前の在庫'!$V$6:$V$10005,'設定'!$C$4,'月1回_2ヶ月前の在庫'!$W$6:$W$10005,$C83),0))),INDEX('商品マスタ'!$G$6:$G$1005,MATCH($C83,'商品マスタ'!$B$6:$B$1005,0))),IF(COUNTIFS('①在庫を貼る'!$V$6:$V$10005,'設定'!$C$4,'①在庫を貼る'!$W$6:$W$10005,$C83)&gt;0,SUMIFS('①在庫を貼る'!$Q$6:$Q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Q$6:$Q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Q$6:$Q$10005,'月1回_2ヶ月前の在庫'!$V$6:$V$10005,'設定'!$C$4,'月1回_2ヶ月前の在庫'!$W$6:$W$10005,$C83)/COUNTIFS('月1回_2ヶ月前の在庫'!$V$6:$V$10005,'設定'!$C$4,'月1回_2ヶ月前の在庫'!$W$6:$W$10005,$C83),0))))))</f>
        <v/>
      </c>
      <c r="I83">
        <f>IF($C83="","",IF(COUNTIFS('①在庫を貼る'!$V$6:$V$10005,'設定'!$C$4,'①在庫を貼る'!$W$6:$W$10005,$C83)=0,"",SUMIFS('①在庫を貼る'!$N$6:$N$10005,'①在庫を貼る'!$V$6:$V$10005,'設定'!$C$4,'①在庫を貼る'!$W$6:$W$10005,$C83)))</f>
        <v/>
      </c>
      <c r="J83">
        <f>IF($C83="","",IF('②発注する'!$AD87="","",'②発注する'!$AD87))</f>
        <v/>
      </c>
      <c r="K83" s="90">
        <f>IF($C83="","",IF('②発注する'!$AE87="","",'②発注する'!$AE87))</f>
        <v/>
      </c>
      <c r="L83">
        <f>IF($C83="","",IF(AND(ISNUMBER($J83),ISNUMBER($K83),$K83&gt;='設定'!$C$6),$J83,N($I83)))</f>
        <v/>
      </c>
      <c r="M83">
        <f>IF($C83="","",IFERROR(IF(N(INDEX('商品マスタ'!$J$6:$J$1005,MATCH($C83,'商品マスタ'!$B$6:$B$1005,0)))&gt;0,INDEX('商品マスタ'!$J$6:$J$1005,MATCH($C83,'商品マスタ'!$B$6:$B$1005,0)),""),""))</f>
        <v/>
      </c>
      <c r="N83">
        <f>IF($C83="","",IFERROR(IF(N(INDEX('商品マスタ'!$H$6:$H$1005,MATCH($C83,'商品マスタ'!$B$6:$B$1005,0)))&gt;0,INDEX('商品マスタ'!$H$6:$H$1005,MATCH($C83,'商品マスタ'!$B$6:$B$1005,0)),""),""))</f>
        <v/>
      </c>
      <c r="O83">
        <f>IF($C83="","",IF($N83&lt;&gt;"",$N83*$G83,IF(N(IF(COUNTIFS('①在庫を貼る'!$V$6:$V$10005,'設定'!$C$4,'①在庫を貼る'!$W$6:$W$10005,$C83)&gt;0,SUMIFS('①在庫を貼る'!$O$6:$O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O$6:$O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O$6:$O$10005,'月1回_2ヶ月前の在庫'!$V$6:$V$10005,'設定'!$C$4,'月1回_2ヶ月前の在庫'!$W$6:$W$10005,$C83)/COUNTIFS('月1回_2ヶ月前の在庫'!$V$6:$V$10005,'設定'!$C$4,'月1回_2ヶ月前の在庫'!$W$6:$W$10005,$C83),0))))&gt;0,N(IF(COUNTIFS('①在庫を貼る'!$V$6:$V$10005,'設定'!$C$4,'①在庫を貼る'!$W$6:$W$10005,$C83)&gt;0,SUMIFS('①在庫を貼る'!$O$6:$O$10005,'①在庫を貼る'!$V$6:$V$10005,'設定'!$C$4,'①在庫を貼る'!$W$6:$W$10005,$C83)/COUNTIFS('①在庫を貼る'!$V$6:$V$10005,'設定'!$C$4,'①在庫を貼る'!$W$6:$W$10005,$C83),IF(COUNTIFS('月1回_1ヶ月前の在庫'!$V$6:$V$10005,'設定'!$C$4,'月1回_1ヶ月前の在庫'!$W$6:$W$10005,$C83)&gt;0,SUMIFS('月1回_1ヶ月前の在庫'!$O$6:$O$10005,'月1回_1ヶ月前の在庫'!$V$6:$V$10005,'設定'!$C$4,'月1回_1ヶ月前の在庫'!$W$6:$W$10005,$C83)/COUNTIFS('月1回_1ヶ月前の在庫'!$V$6:$V$10005,'設定'!$C$4,'月1回_1ヶ月前の在庫'!$W$6:$W$10005,$C83),IF(COUNTIFS('月1回_2ヶ月前の在庫'!$V$6:$V$10005,'設定'!$C$4,'月1回_2ヶ月前の在庫'!$W$6:$W$10005,$C83)&gt;0,SUMIFS('月1回_2ヶ月前の在庫'!$O$6:$O$10005,'月1回_2ヶ月前の在庫'!$V$6:$V$10005,'設定'!$C$4,'月1回_2ヶ月前の在庫'!$W$6:$W$10005,$C83)/COUNTIFS('月1回_2ヶ月前の在庫'!$V$6:$V$10005,'設定'!$C$4,'月1回_2ヶ月前の在庫'!$W$6:$W$10005,$C83),0)))),"")))</f>
        <v/>
      </c>
      <c r="P83" s="90">
        <f>IF($C83="","",IF('②発注する'!$I87="","",'②発注する'!$I87))</f>
        <v/>
      </c>
      <c r="Q83">
        <f>IF($C83="","",IF('②発注する'!$J87="","",'②発注する'!$J87))</f>
        <v/>
      </c>
      <c r="R83">
        <f>IF($C83="",0,IF(AND(ISNUMBER($P83),ISNUMBER($Q83)),MAX(0,$Q83)*$G83,0))</f>
        <v/>
      </c>
      <c r="S83" s="90">
        <f>IF($C83="","",IF('②発注する'!$M87="","",'②発注する'!$M87))</f>
        <v/>
      </c>
      <c r="T83">
        <f>IF($C83="","",IF('②発注する'!$N87="","",'②発注する'!$N87))</f>
        <v/>
      </c>
      <c r="U83">
        <f>IF($C83="",0,IF(AND(ISNUMBER($S83),ISNUMBER($T83)),MAX(0,$T83)*$G83,0))</f>
        <v/>
      </c>
      <c r="V83">
        <f>IF($C83="",0,IF($M83="",0,MAX(0,$M83)*MAX(0,V$4)/100))</f>
        <v/>
      </c>
      <c r="W83">
        <f>IF($C83="",0,IF($M83="",0,MAX(0,$M83)*MAX(0,W$4)/100))</f>
        <v/>
      </c>
      <c r="X83">
        <f>IF($C83="",0,IF($M83="",0,MAX(0,$M83)*MAX(0,X$4)/100))</f>
        <v/>
      </c>
      <c r="Y83">
        <f>IF($C83="",0,IF($M83="",0,MAX(0,$M83)*MAX(0,Y$4)/100))</f>
        <v/>
      </c>
      <c r="Z83">
        <f>IF($C83="",0,IF($M83="",0,MAX(0,$M83)*MAX(0,Z$4)/100))</f>
        <v/>
      </c>
      <c r="AA83">
        <f>IF($C83="",0,IF($M83="",0,MAX(0,$M83)*MAX(0,AA$4)/100))</f>
        <v/>
      </c>
      <c r="AB83">
        <f>IF($C83="",0,IF($M83="",0,MAX(0,$M83)*MAX(0,AB$4)/100))</f>
        <v/>
      </c>
      <c r="AC83">
        <f>IF($C83="",0,IF($M83="",0,MAX(0,$M83)*MAX(0,AC$4)/100))</f>
        <v/>
      </c>
      <c r="AD83">
        <f>IF($C83="",0,IF($M83="",0,MAX(0,$M83)*MAX(0,AD$4)/100))</f>
        <v/>
      </c>
      <c r="AE83">
        <f>IF($C83="",0,IF($M83="",0,MAX(0,$M83)*MAX(0,AE$4)/100))</f>
        <v/>
      </c>
      <c r="AF83">
        <f>IF($C83="",0,IF($M83="",0,MAX(0,$M83)*MAX(0,AF$4)/100))</f>
        <v/>
      </c>
      <c r="AG83">
        <f>IF($C83="",0,IF($M83="",0,MAX(0,$M83)*MAX(0,AG$4)/100))</f>
        <v/>
      </c>
      <c r="AH83">
        <f>IF($C83="",0,IF($M83="",0,MAX(0,$M83)*MAX(0,AH$4)/100))</f>
        <v/>
      </c>
      <c r="AI83">
        <f>IF($C83="",0,IF($M83="",0,MAX(0,$M83)*MAX(0,AI$4)/100))</f>
        <v/>
      </c>
      <c r="AJ83">
        <f>IF($C83="",0,MAX(0,MAX(0,N($L83))-$V83))</f>
        <v/>
      </c>
      <c r="AK83">
        <f>IF($C83="",0,MAX(0,$AJ83-$W83))</f>
        <v/>
      </c>
      <c r="AL83">
        <f>IF($C83="",0,MAX(0,$AK83-$X83))</f>
        <v/>
      </c>
      <c r="AM83">
        <f>IF($C83="",0,MAX(0,$AL83-$Y83))</f>
        <v/>
      </c>
      <c r="AN83">
        <f>IF($C83="",0,MAX(0,$AM83-$Z83))</f>
        <v/>
      </c>
      <c r="AO83">
        <f>IF($C83="",0,MAX(0,$AN83-$AA83))</f>
        <v/>
      </c>
      <c r="AP83">
        <f>IF($C83="",0,MAX(0,$AO83-$AB83))</f>
        <v/>
      </c>
      <c r="AQ83">
        <f>IF($C83="",0,MAX(0,$AP83-$AC83))</f>
        <v/>
      </c>
      <c r="AR83">
        <f>IF($C83="",0,MAX(0,$AQ83-$AD83))</f>
        <v/>
      </c>
      <c r="AS83">
        <f>IF($C83="",0,MAX(0,$AR83-$AE83))</f>
        <v/>
      </c>
      <c r="AT83">
        <f>IF($C83="",0,MAX(0,$AS83-$AF83))</f>
        <v/>
      </c>
      <c r="AU83">
        <f>IF($C83="",0,MAX(0,$AT83-$AG83))</f>
        <v/>
      </c>
      <c r="AV83">
        <f>IF($C83="",0,MAX(0,$AU83-$AH83))</f>
        <v/>
      </c>
      <c r="AW83">
        <f>IF($C83="",0,MAX(0,$AV83-$AI83))</f>
        <v/>
      </c>
      <c r="AX83">
        <f>IF($C83="",0,MAX(0,MAX(0,N($L83))+IF($P83=V$3,$R83,0)+IF($S83=V$3,$U83,0)-$V83))</f>
        <v/>
      </c>
      <c r="AY83">
        <f>IF($C83="",0,MAX(0,$AX83+IF($P83=W$3,$R83,0)+IF($S83=W$3,$U83,0)-$W83))</f>
        <v/>
      </c>
      <c r="AZ83">
        <f>IF($C83="",0,MAX(0,$AY83+IF($P83=X$3,$R83,0)+IF($S83=X$3,$U83,0)-$X83))</f>
        <v/>
      </c>
      <c r="BA83">
        <f>IF($C83="",0,MAX(0,$AZ83+IF($P83=Y$3,$R83,0)+IF($S83=Y$3,$U83,0)-$Y83))</f>
        <v/>
      </c>
      <c r="BB83">
        <f>IF($C83="",0,MAX(0,$BA83+IF($P83=Z$3,$R83,0)+IF($S83=Z$3,$U83,0)-$Z83))</f>
        <v/>
      </c>
      <c r="BC83">
        <f>IF($C83="",0,MAX(0,$BB83+IF($P83=AA$3,$R83,0)+IF($S83=AA$3,$U83,0)-$AA83))</f>
        <v/>
      </c>
      <c r="BD83">
        <f>IF($C83="",0,MAX(0,$BC83+IF($P83=AB$3,$R83,0)+IF($S83=AB$3,$U83,0)-$AB83))</f>
        <v/>
      </c>
      <c r="BE83">
        <f>IF($C83="",0,MAX(0,$BD83+IF($P83=AC$3,$R83,0)+IF($S83=AC$3,$U83,0)-$AC83))</f>
        <v/>
      </c>
      <c r="BF83">
        <f>IF($C83="",0,MAX(0,$BE83+IF($P83=AD$3,$R83,0)+IF($S83=AD$3,$U83,0)-$AD83))</f>
        <v/>
      </c>
      <c r="BG83">
        <f>IF($C83="",0,MAX(0,$BF83+IF($P83=AE$3,$R83,0)+IF($S83=AE$3,$U83,0)-$AE83))</f>
        <v/>
      </c>
      <c r="BH83">
        <f>IF($C83="",0,MAX(0,$BG83+IF($P83=AF$3,$R83,0)+IF($S83=AF$3,$U83,0)-$AF83))</f>
        <v/>
      </c>
      <c r="BI83">
        <f>IF($C83="",0,MAX(0,$BH83+IF($P83=AG$3,$R83,0)+IF($S83=AG$3,$U83,0)-$AG83))</f>
        <v/>
      </c>
      <c r="BJ83">
        <f>IF($C83="",0,MAX(0,$BI83+IF($P83=AH$3,$R83,0)+IF($S83=AH$3,$U83,0)-$AH83))</f>
        <v/>
      </c>
      <c r="BK83">
        <f>IF($C83="",0,MAX(0,$BJ83+IF($P83=AI$3,$R83,0)+IF($S83=AI$3,$U83,0)-$AI83))</f>
        <v/>
      </c>
      <c r="BL83">
        <f>IF($C83="",99,IF(AND($AX83&lt;1,V$3&gt;=MAX(N($P83),N($S83))),0,99))</f>
        <v/>
      </c>
      <c r="BM83">
        <f>IF($C83="",99,IF(AND($AY83&lt;1,W$3&gt;=MAX(N($P83),N($S83))),1,99))</f>
        <v/>
      </c>
      <c r="BN83">
        <f>IF($C83="",99,IF(AND($AZ83&lt;1,X$3&gt;=MAX(N($P83),N($S83))),2,99))</f>
        <v/>
      </c>
      <c r="BO83">
        <f>IF($C83="",99,IF(AND($BA83&lt;1,Y$3&gt;=MAX(N($P83),N($S83))),3,99))</f>
        <v/>
      </c>
      <c r="BP83">
        <f>IF($C83="",99,IF(AND($BB83&lt;1,Z$3&gt;=MAX(N($P83),N($S83))),4,99))</f>
        <v/>
      </c>
      <c r="BQ83">
        <f>IF($C83="",99,IF(AND($BC83&lt;1,AA$3&gt;=MAX(N($P83),N($S83))),5,99))</f>
        <v/>
      </c>
      <c r="BR83">
        <f>IF($C83="",99,IF(AND($BD83&lt;1,AB$3&gt;=MAX(N($P83),N($S83))),6,99))</f>
        <v/>
      </c>
      <c r="BS83">
        <f>IF($C83="",99,IF(AND($BE83&lt;1,AC$3&gt;=MAX(N($P83),N($S83))),7,99))</f>
        <v/>
      </c>
      <c r="BT83">
        <f>IF($C83="",99,IF(AND($BF83&lt;1,AD$3&gt;=MAX(N($P83),N($S83))),8,99))</f>
        <v/>
      </c>
      <c r="BU83">
        <f>IF($C83="",99,IF(AND($BG83&lt;1,AE$3&gt;=MAX(N($P83),N($S83))),9,99))</f>
        <v/>
      </c>
      <c r="BV83">
        <f>IF($C83="",99,IF(AND($BH83&lt;1,AF$3&gt;=MAX(N($P83),N($S83))),10,99))</f>
        <v/>
      </c>
      <c r="BW83">
        <f>IF($C83="",99,IF(AND($BI83&lt;1,AG$3&gt;=MAX(N($P83),N($S83))),11,99))</f>
        <v/>
      </c>
      <c r="BX83">
        <f>IF($C83="",99,IF(AND($BJ83&lt;1,AH$3&gt;=MAX(N($P83),N($S83))),12,99))</f>
        <v/>
      </c>
      <c r="BY83">
        <f>IF($C83="",99,IF(AND($BK83&lt;1,AI$3&gt;=MAX(N($P83),N($S83))),13,99))</f>
        <v/>
      </c>
      <c r="BZ83">
        <f>IF(OR($C83="",$M83=""),"",COUNTIF($AJ83:$AW83,"&gt;=1"))</f>
        <v/>
      </c>
      <c r="CA83" s="90">
        <f>IF($BZ83="","",IF($BZ83&gt;=14,"",'設定'!$C$6+$BZ83))</f>
        <v/>
      </c>
      <c r="CB83">
        <f>IF(OR($C83="",$M83=""),"",MIN($BL83:$BY83))</f>
        <v/>
      </c>
      <c r="CC83" s="90">
        <f>IF($CB83="","",IF($CB83&gt;=99,"",'設定'!$C$6+$CB83))</f>
        <v/>
      </c>
      <c r="CD83">
        <f>IF(OR($C83="",$M83=""),"",AVERAGE($V83:$AI83))</f>
        <v/>
      </c>
      <c r="CE83">
        <f>IF($C83="","",IFERROR(IF(MATCH(IF(ISNUMBER($P83),$P83,'設定'!$C$6+N('設定'!$C$7)),$V$3:$AI$3,0)=1,MAX(0,N($L83)),INDEX($AJ83:$AW83,MATCH(IF(ISNUMBER($P83),$P83,'設定'!$C$6+N('設定'!$C$7)),$V$3:$AI$3,0)-1)),""))</f>
        <v/>
      </c>
      <c r="CF83">
        <f>IF(OR($C83="",$O83="",$CE83=""),"",IF($O83-$CE83&lt;=0,0,ROUNDUP(($O83-$CE83)/$G83,0)))</f>
        <v/>
      </c>
      <c r="CG83">
        <f>IF(OR($C83="",$CF83="",NOT(ISNUMBER($Q83))),0,MAX(0,$Q83-$CF83))</f>
        <v/>
      </c>
      <c r="CH83">
        <f>IF(OR($C83="",$O83="",$U83=0),0,IFERROR(ROUNDUP(MAX(0,IF(MATCH($S83,$V$3:$AI$3,0)=1,MAX(0,N($L83)),INDEX($AX83:$BK83,MATCH($S83,$V$3:$AI$3,0)-1))+$U83-$O83)/$G83,0),0))</f>
        <v/>
      </c>
      <c r="CI83">
        <f>IF($C83="","",IF(AND($P83="",$Q83=""),"",IF($P83="","⚠ 入庫日を ▼ から選んでください",IF(NOT(ISNUMBER($P83)),"⚠ 入庫日は ▼ から選んでください",IF($P83&lt;N('設定'!$C$6),"⚠ 入庫日が過去です（もう在庫に入っています）→ 消してください",IF($P83&gt;N('設定'!$C$6)+13,"⚠ 入庫日が14日より先です",IF(N($Q83)&lt;=0,"⚠ 入庫数を入れてください",IF($CG83&gt;0,"⚠ 目安より "&amp;$CG83&amp;" 多い（定数を超える）→ 減らす",""))))))))</f>
        <v/>
      </c>
      <c r="CJ83">
        <f>IF($C83="","",IF(AND($S83="",$T83=""),"",IF($S83="","⚠ 2便目：入庫日を ▼ から選んでください",IF(NOT(ISNUMBER($S83)),"⚠ 2便目：入庫日は ▼ から選んでください",IF($S83&lt;N('設定'!$C$6),"⚠ 2便目：入庫日が過去です（もう在庫に入っています）→ 消してください",IF($S83&gt;N('設定'!$C$6)+13,"⚠ 2便目：入庫日が14日より先です",IF(N($T83)&lt;=0,"⚠ 2便目：入庫数を入れてください",IF($CH83&gt;0,"⚠ 2便目：定数を "&amp;$CH83&amp;" ケース超える → 減らす",""))))))))</f>
        <v/>
      </c>
      <c r="CK83">
        <f>IF(AND($CI83="",N($Q83)&gt;0,ISNUMBER($P83)),1,0)</f>
        <v/>
      </c>
      <c r="CL83">
        <f>IF(AND($CJ83="",N($T83)&gt;0,ISNUMBER($S83)),1,0)</f>
        <v/>
      </c>
      <c r="CM83">
        <f>IF(OR($CK83=1,$CL83=1),1,0)</f>
        <v/>
      </c>
      <c r="CN83">
        <f>IF($C83="",0,($CK83*$R83+$CL83*$U83)*N($H83))</f>
        <v/>
      </c>
      <c r="CO83">
        <f>IF($C83="","",IF($CC83="","入庫後は 14日以上もつ",IF($CC83-N('設定'!$C$7)&lt;='設定'!$C$6,"入庫後も "&amp;TEXT($CC83,"m/d")&amp;"("&amp;CHOOSE(WEEKDAY($CC83),"日","月","火","水","木","金","土")&amp;")"&amp;" に切れる　もう1便を至急発注","入庫後も "&amp;TEXT($CC83,"m/d")&amp;"("&amp;CHOOSE(WEEKDAY($CC83),"日","月","火","水","木","金","土")&amp;")"&amp;" に切れる　"&amp;TEXT($CC83-N('設定'!$C$7),"m/d")&amp;"("&amp;CHOOSE(WEEKDAY($CC83-N('設定'!$C$7)),"日","月","火","水","木","金","土")&amp;")"&amp;" までに次を発注")))</f>
        <v/>
      </c>
      <c r="CP83">
        <f>IF($C83="","",IF('設定'!$C$6="","？ ①在庫を貼る に今日のCSVが貼られていない",IF($CS83=1,"－ 今日のCSVに無い（終売？）",IF($L83&lt;0,"● 在庫がマイナス　数えて「数えた在庫」に入れる",IF($L83=0,"● 在庫なし　至急発注",IF($M83="","？ 減り数が未設定（商品マスタ）",IF($B$3=0,"？ 動員が未入力（動員を入れる）",IF($CA83="","○ 14日以上もつ",IF($BZ83&lt;N('設定'!$C$7),"● "&amp;TEXT($CA83,"m/d")&amp;"("&amp;CHOOSE(WEEKDAY($CA83),"日","月","火","水","木","金","土")&amp;")"&amp;" に切れる　至急発注",IF($BZ83=N('設定'!$C$7),"● "&amp;TEXT($CA83,"m/d")&amp;"("&amp;CHOOSE(WEEKDAY($CA83),"日","月","火","水","木","金","土")&amp;")"&amp;" に切れる　今日発注","△ "&amp;TEXT($CA83,"m/d")&amp;"("&amp;CHOOSE(WEEKDAY($CA83),"日","月","火","水","木","金","土")&amp;")"&amp;" に切れる　"&amp;TEXT($CA83-N('設定'!$C$7),"m/d")&amp;"("&amp;CHOOSE(WEEKDAY($CA83-N('設定'!$C$7)),"日","月","火","水","木","金","土")&amp;")"&amp;" までに発注"))))))))))</f>
        <v/>
      </c>
      <c r="CQ83">
        <f>IF($C83="","",IF(AND($P83="",$Q83="",$S83="",$T83=""),"",IF(AND($P83="",$Q83=""),"⚠ 先に1便目（左の入庫日・入庫数）に入れてください",IF($CI83&lt;&gt;"",$CI83,IF($CJ83&lt;&gt;"",$CJ83,IF($M83="","？ 減り数が未設定（発注書には載ります）",IF($B$3=0,"？ 動員が未入力（発注書には載ります）",IF(AND($CA83&lt;&gt;"",$P83&gt;$CA83),IF($P83&gt;'設定'!$C$6+N('設定'!$C$7),"● "&amp;TEXT($P83,"m/d")&amp;"("&amp;CHOOSE(WEEKDAY($P83),"日","月","火","水","木","金","土")&amp;")"&amp;" の入庫では間に合わない（"&amp;TEXT($CA83,"m/d")&amp;"("&amp;CHOOSE(WEEKDAY($CA83),"日","月","火","水","木","金","土")&amp;")"&amp;" に切れる）　入庫日を早める","△ 欠品 "&amp;TEXT($CA83,"m/d")&amp;"("&amp;CHOOSE(WEEKDAY($CA83),"日","月","火","水","木","金","土")&amp;")"&amp;"〜"&amp;TEXT($P83-1,"m/d")&amp;"("&amp;CHOOSE(WEEKDAY($P83-1),"日","月","火","水","木","金","土")&amp;")"&amp;"　"&amp;$CO83),IF($CC83="","○ "&amp;TEXT($P83,"m/d")&amp;"("&amp;CHOOSE(WEEKDAY($P83),"日","月","火","水","木","金","土")&amp;")"&amp;" 入庫で 14日以上もつ",IF($CC83-N('設定'!$C$7)&lt;='設定'!$C$6,"● 入庫しても "&amp;TEXT($CC83,"m/d")&amp;"("&amp;CHOOSE(WEEKDAY($CC83),"日","月","火","水","木","金","土")&amp;")"&amp;" に切れる　もう1便を至急発注（2便目に入れる）","△ 入庫しても "&amp;TEXT($CC83,"m/d")&amp;"("&amp;CHOOSE(WEEKDAY($CC83),"日","月","火","水","木","金","土")&amp;")"&amp;" に切れる　"&amp;TEXT($CC83-N('設定'!$C$7),"m/d")&amp;"("&amp;CHOOSE(WEEKDAY($CC83-N('設定'!$C$7)),"日","月","火","水","木","金","土")&amp;")"&amp;" までに次を発注（2便目に入れる）"))))))))))</f>
        <v/>
      </c>
      <c r="CR83">
        <f>IF($C83="","",IF($G83&gt;1,"ｹｰｽ("&amp;$G83&amp;"入)","個"))</f>
        <v/>
      </c>
      <c r="CS83">
        <f>IF($C83="",0,IF(COUNTIFS('①在庫を貼る'!$V$6:$V$10005,'設定'!$C$4,'①在庫を貼る'!$W$6:$W$10005,$C83)=0,1,0))</f>
        <v/>
      </c>
      <c r="CT83">
        <f>IF(AND($CK83=1,OR('③発注書'!$C$4="すべて",'③発注書'!$C$4="",$F83='③発注書'!$C$4)),N($CT82)+1,N($CT82))</f>
        <v/>
      </c>
      <c r="CU83">
        <f>IF(AND($CL83=1,OR('③発注書'!$C$4="すべて",'③発注書'!$C$4="",$F83='③発注書'!$C$4)),N($CU82)+1,N($CU82))</f>
        <v/>
      </c>
      <c r="CV83">
        <f>IF($C83="",0,IF(COUNTIFS('①在庫を貼る'!$V$6:$V$10005,'設定'!$C$4,'①在庫を貼る'!$W$6:$W$10005,$C83)&gt;0,1,0))</f>
        <v/>
      </c>
      <c r="CW83">
        <f>IF($C83="",0,IF(COUNTIFS('月1回_1ヶ月前の在庫'!$V$6:$V$10005,'設定'!$C$4,'月1回_1ヶ月前の在庫'!$W$6:$W$10005,$C83)&gt;0,1,0))</f>
        <v/>
      </c>
      <c r="CX83">
        <f>IF($C83="",0,IF(COUNTIFS('月1回_2ヶ月前の在庫'!$V$6:$V$10005,'設定'!$C$4,'月1回_2ヶ月前の在庫'!$W$6:$W$10005,$C83)&gt;0,1,0))</f>
        <v/>
      </c>
      <c r="CY83">
        <f>IF(OR($C83="",'設定'!$C$12=""),"",IF('設定'!$C$13="",IF(AND($CV83=1,$CW83=0),"新商品（今月から）",IF(AND($CV83=0,$CW83=1),"終売（今月から）","")),IF(AND($CV83=1,$CW83=0,$CX83=0),"新商品（今月から）",IF(AND($CV83=1,$CW83=1,$CX83=0),"新商品（先月から）",IF(AND($CV83=0,$CW83=1,$CX83=1),"終売（今月から）",IF(AND($CV83=0,$CW83=0,$CX83=1),"終売（先月から）",IF(AND($CV83=1,$CW83=0,$CX83=1),"復活（先月は無し）","")))))))</f>
        <v/>
      </c>
    </row>
    <row r="84">
      <c r="B84">
        <f>IF(79&lt;='設定'!$C$11,79,"")</f>
        <v/>
      </c>
      <c r="C84">
        <f>IF($B84="","",IF($B84&lt;='設定'!$C$20,INDEX('商品マスタ'!$B$6:$B$1005,MATCH($B84,'商品マスタ'!$M$6:$M$1005,0)),IF($B84&lt;='設定'!$C$20+'設定'!$C$17,INDEX('①在庫を貼る'!$W$6:$W$10005,MATCH($B84-'設定'!$C$20,'①在庫を貼る'!$U$6:$U$10005,0)),IF($B84&lt;='設定'!$C$20+'設定'!$C$17+'設定'!$C$18,INDEX('月1回_1ヶ月前の在庫'!$W$6:$W$10005,MATCH($B84-'設定'!$C$20-'設定'!$C$17,'月1回_1ヶ月前の在庫'!$U$6:$U$10005,0)),INDEX('月1回_2ヶ月前の在庫'!$W$6:$W$10005,MATCH($B84-'設定'!$C$20-'設定'!$C$17-'設定'!$C$18,'月1回_2ヶ月前の在庫'!$U$6:$U$10005,0))))))</f>
        <v/>
      </c>
      <c r="D84">
        <f>IF($C84="","",IFERROR(IF(INDEX('商品マスタ'!$C$6:$C$1005,MATCH($C84,'商品マスタ'!$B$6:$B$1005,0))="",IFERROR(INDEX('①在庫を貼る'!$J$6:$J$10005,MATCH($C84,'①在庫を貼る'!$W$6:$W$10005,0)),IFERROR(INDEX('月1回_1ヶ月前の在庫'!$J$6:$J$10005,MATCH($C84,'月1回_1ヶ月前の在庫'!$W$6:$W$10005,0)),IFERROR(INDEX('月1回_2ヶ月前の在庫'!$J$6:$J$10005,MATCH($C84,'月1回_2ヶ月前の在庫'!$W$6:$W$10005,0)),""))),INDEX('商品マスタ'!$C$6:$C$1005,MATCH($C84,'商品マスタ'!$B$6:$B$1005,0))),IFERROR(INDEX('①在庫を貼る'!$J$6:$J$10005,MATCH($C84,'①在庫を貼る'!$W$6:$W$10005,0)),IFERROR(INDEX('月1回_1ヶ月前の在庫'!$J$6:$J$10005,MATCH($C84,'月1回_1ヶ月前の在庫'!$W$6:$W$10005,0)),IFERROR(INDEX('月1回_2ヶ月前の在庫'!$J$6:$J$10005,MATCH($C84,'月1回_2ヶ月前の在庫'!$W$6:$W$10005,0)),"")))))</f>
        <v/>
      </c>
      <c r="E84">
        <f>IF($C84="","",IFERROR(IF(INDEX('商品マスタ'!$D$6:$D$1005,MATCH($C84,'商品マスタ'!$B$6:$B$1005,0))="",IFERROR(INDEX('①在庫を貼る'!$H$6:$H$10005,MATCH($C84,'①在庫を貼る'!$W$6:$W$10005,0)),IFERROR(INDEX('月1回_1ヶ月前の在庫'!$H$6:$H$10005,MATCH($C84,'月1回_1ヶ月前の在庫'!$W$6:$W$10005,0)),IFERROR(INDEX('月1回_2ヶ月前の在庫'!$H$6:$H$10005,MATCH($C84,'月1回_2ヶ月前の在庫'!$W$6:$W$10005,0)),""))),INDEX('商品マスタ'!$D$6:$D$1005,MATCH($C84,'商品マスタ'!$B$6:$B$1005,0))),IFERROR(INDEX('①在庫を貼る'!$H$6:$H$10005,MATCH($C84,'①在庫を貼る'!$W$6:$W$10005,0)),IFERROR(INDEX('月1回_1ヶ月前の在庫'!$H$6:$H$10005,MATCH($C84,'月1回_1ヶ月前の在庫'!$W$6:$W$10005,0)),IFERROR(INDEX('月1回_2ヶ月前の在庫'!$H$6:$H$10005,MATCH($C84,'月1回_2ヶ月前の在庫'!$W$6:$W$10005,0)),"")))))</f>
        <v/>
      </c>
      <c r="F84">
        <f>IF($C84="","",IFERROR(IF(INDEX('商品マスタ'!$E$6:$E$1005,MATCH($C84,'商品マスタ'!$B$6:$B$1005,0))="",IFERROR(INDEX('①在庫を貼る'!$E$6:$E$10005,MATCH($C84,'①在庫を貼る'!$W$6:$W$10005,0)),IFERROR(INDEX('月1回_1ヶ月前の在庫'!$E$6:$E$10005,MATCH($C84,'月1回_1ヶ月前の在庫'!$W$6:$W$10005,0)),IFERROR(INDEX('月1回_2ヶ月前の在庫'!$E$6:$E$10005,MATCH($C84,'月1回_2ヶ月前の在庫'!$W$6:$W$10005,0)),""))),INDEX('商品マスタ'!$E$6:$E$1005,MATCH($C84,'商品マスタ'!$B$6:$B$1005,0))),IFERROR(INDEX('①在庫を貼る'!$E$6:$E$10005,MATCH($C84,'①在庫を貼る'!$W$6:$W$10005,0)),IFERROR(INDEX('月1回_1ヶ月前の在庫'!$E$6:$E$10005,MATCH($C84,'月1回_1ヶ月前の在庫'!$W$6:$W$10005,0)),IFERROR(INDEX('月1回_2ヶ月前の在庫'!$E$6:$E$10005,MATCH($C84,'月1回_2ヶ月前の在庫'!$W$6:$W$10005,0)),"")))))</f>
        <v/>
      </c>
      <c r="G84">
        <f>IF($C84="","",MAX(1,N(IFERROR(IF(INDEX('商品マスタ'!$F$6:$F$1005,MATCH($C84,'商品マスタ'!$B$6:$B$1005,0))="",IF(COUNTIFS('①在庫を貼る'!$V$6:$V$10005,'設定'!$C$4,'①在庫を貼る'!$W$6:$W$10005,$C84)&gt;0,SUMIFS('①在庫を貼る'!$K$6:$K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K$6:$K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K$6:$K$10005,'月1回_2ヶ月前の在庫'!$V$6:$V$10005,'設定'!$C$4,'月1回_2ヶ月前の在庫'!$W$6:$W$10005,$C84)/COUNTIFS('月1回_2ヶ月前の在庫'!$V$6:$V$10005,'設定'!$C$4,'月1回_2ヶ月前の在庫'!$W$6:$W$10005,$C84),0))),INDEX('商品マスタ'!$F$6:$F$1005,MATCH($C84,'商品マスタ'!$B$6:$B$1005,0))),IF(COUNTIFS('①在庫を貼る'!$V$6:$V$10005,'設定'!$C$4,'①在庫を貼る'!$W$6:$W$10005,$C84)&gt;0,SUMIFS('①在庫を貼る'!$K$6:$K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K$6:$K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K$6:$K$10005,'月1回_2ヶ月前の在庫'!$V$6:$V$10005,'設定'!$C$4,'月1回_2ヶ月前の在庫'!$W$6:$W$10005,$C84)/COUNTIFS('月1回_2ヶ月前の在庫'!$V$6:$V$10005,'設定'!$C$4,'月1回_2ヶ月前の在庫'!$W$6:$W$10005,$C84),0)))))))</f>
        <v/>
      </c>
      <c r="H84">
        <f>IF($C84="","",N(IFERROR(IF(INDEX('商品マスタ'!$G$6:$G$1005,MATCH($C84,'商品マスタ'!$B$6:$B$1005,0))="",IF(COUNTIFS('①在庫を貼る'!$V$6:$V$10005,'設定'!$C$4,'①在庫を貼る'!$W$6:$W$10005,$C84)&gt;0,SUMIFS('①在庫を貼る'!$Q$6:$Q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Q$6:$Q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Q$6:$Q$10005,'月1回_2ヶ月前の在庫'!$V$6:$V$10005,'設定'!$C$4,'月1回_2ヶ月前の在庫'!$W$6:$W$10005,$C84)/COUNTIFS('月1回_2ヶ月前の在庫'!$V$6:$V$10005,'設定'!$C$4,'月1回_2ヶ月前の在庫'!$W$6:$W$10005,$C84),0))),INDEX('商品マスタ'!$G$6:$G$1005,MATCH($C84,'商品マスタ'!$B$6:$B$1005,0))),IF(COUNTIFS('①在庫を貼る'!$V$6:$V$10005,'設定'!$C$4,'①在庫を貼る'!$W$6:$W$10005,$C84)&gt;0,SUMIFS('①在庫を貼る'!$Q$6:$Q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Q$6:$Q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Q$6:$Q$10005,'月1回_2ヶ月前の在庫'!$V$6:$V$10005,'設定'!$C$4,'月1回_2ヶ月前の在庫'!$W$6:$W$10005,$C84)/COUNTIFS('月1回_2ヶ月前の在庫'!$V$6:$V$10005,'設定'!$C$4,'月1回_2ヶ月前の在庫'!$W$6:$W$10005,$C84),0))))))</f>
        <v/>
      </c>
      <c r="I84">
        <f>IF($C84="","",IF(COUNTIFS('①在庫を貼る'!$V$6:$V$10005,'設定'!$C$4,'①在庫を貼る'!$W$6:$W$10005,$C84)=0,"",SUMIFS('①在庫を貼る'!$N$6:$N$10005,'①在庫を貼る'!$V$6:$V$10005,'設定'!$C$4,'①在庫を貼る'!$W$6:$W$10005,$C84)))</f>
        <v/>
      </c>
      <c r="J84">
        <f>IF($C84="","",IF('②発注する'!$AD88="","",'②発注する'!$AD88))</f>
        <v/>
      </c>
      <c r="K84" s="90">
        <f>IF($C84="","",IF('②発注する'!$AE88="","",'②発注する'!$AE88))</f>
        <v/>
      </c>
      <c r="L84">
        <f>IF($C84="","",IF(AND(ISNUMBER($J84),ISNUMBER($K84),$K84&gt;='設定'!$C$6),$J84,N($I84)))</f>
        <v/>
      </c>
      <c r="M84">
        <f>IF($C84="","",IFERROR(IF(N(INDEX('商品マスタ'!$J$6:$J$1005,MATCH($C84,'商品マスタ'!$B$6:$B$1005,0)))&gt;0,INDEX('商品マスタ'!$J$6:$J$1005,MATCH($C84,'商品マスタ'!$B$6:$B$1005,0)),""),""))</f>
        <v/>
      </c>
      <c r="N84">
        <f>IF($C84="","",IFERROR(IF(N(INDEX('商品マスタ'!$H$6:$H$1005,MATCH($C84,'商品マスタ'!$B$6:$B$1005,0)))&gt;0,INDEX('商品マスタ'!$H$6:$H$1005,MATCH($C84,'商品マスタ'!$B$6:$B$1005,0)),""),""))</f>
        <v/>
      </c>
      <c r="O84">
        <f>IF($C84="","",IF($N84&lt;&gt;"",$N84*$G84,IF(N(IF(COUNTIFS('①在庫を貼る'!$V$6:$V$10005,'設定'!$C$4,'①在庫を貼る'!$W$6:$W$10005,$C84)&gt;0,SUMIFS('①在庫を貼る'!$O$6:$O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O$6:$O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O$6:$O$10005,'月1回_2ヶ月前の在庫'!$V$6:$V$10005,'設定'!$C$4,'月1回_2ヶ月前の在庫'!$W$6:$W$10005,$C84)/COUNTIFS('月1回_2ヶ月前の在庫'!$V$6:$V$10005,'設定'!$C$4,'月1回_2ヶ月前の在庫'!$W$6:$W$10005,$C84),0))))&gt;0,N(IF(COUNTIFS('①在庫を貼る'!$V$6:$V$10005,'設定'!$C$4,'①在庫を貼る'!$W$6:$W$10005,$C84)&gt;0,SUMIFS('①在庫を貼る'!$O$6:$O$10005,'①在庫を貼る'!$V$6:$V$10005,'設定'!$C$4,'①在庫を貼る'!$W$6:$W$10005,$C84)/COUNTIFS('①在庫を貼る'!$V$6:$V$10005,'設定'!$C$4,'①在庫を貼る'!$W$6:$W$10005,$C84),IF(COUNTIFS('月1回_1ヶ月前の在庫'!$V$6:$V$10005,'設定'!$C$4,'月1回_1ヶ月前の在庫'!$W$6:$W$10005,$C84)&gt;0,SUMIFS('月1回_1ヶ月前の在庫'!$O$6:$O$10005,'月1回_1ヶ月前の在庫'!$V$6:$V$10005,'設定'!$C$4,'月1回_1ヶ月前の在庫'!$W$6:$W$10005,$C84)/COUNTIFS('月1回_1ヶ月前の在庫'!$V$6:$V$10005,'設定'!$C$4,'月1回_1ヶ月前の在庫'!$W$6:$W$10005,$C84),IF(COUNTIFS('月1回_2ヶ月前の在庫'!$V$6:$V$10005,'設定'!$C$4,'月1回_2ヶ月前の在庫'!$W$6:$W$10005,$C84)&gt;0,SUMIFS('月1回_2ヶ月前の在庫'!$O$6:$O$10005,'月1回_2ヶ月前の在庫'!$V$6:$V$10005,'設定'!$C$4,'月1回_2ヶ月前の在庫'!$W$6:$W$10005,$C84)/COUNTIFS('月1回_2ヶ月前の在庫'!$V$6:$V$10005,'設定'!$C$4,'月1回_2ヶ月前の在庫'!$W$6:$W$10005,$C84),0)))),"")))</f>
        <v/>
      </c>
      <c r="P84" s="90">
        <f>IF($C84="","",IF('②発注する'!$I88="","",'②発注する'!$I88))</f>
        <v/>
      </c>
      <c r="Q84">
        <f>IF($C84="","",IF('②発注する'!$J88="","",'②発注する'!$J88))</f>
        <v/>
      </c>
      <c r="R84">
        <f>IF($C84="",0,IF(AND(ISNUMBER($P84),ISNUMBER($Q84)),MAX(0,$Q84)*$G84,0))</f>
        <v/>
      </c>
      <c r="S84" s="90">
        <f>IF($C84="","",IF('②発注する'!$M88="","",'②発注する'!$M88))</f>
        <v/>
      </c>
      <c r="T84">
        <f>IF($C84="","",IF('②発注する'!$N88="","",'②発注する'!$N88))</f>
        <v/>
      </c>
      <c r="U84">
        <f>IF($C84="",0,IF(AND(ISNUMBER($S84),ISNUMBER($T84)),MAX(0,$T84)*$G84,0))</f>
        <v/>
      </c>
      <c r="V84">
        <f>IF($C84="",0,IF($M84="",0,MAX(0,$M84)*MAX(0,V$4)/100))</f>
        <v/>
      </c>
      <c r="W84">
        <f>IF($C84="",0,IF($M84="",0,MAX(0,$M84)*MAX(0,W$4)/100))</f>
        <v/>
      </c>
      <c r="X84">
        <f>IF($C84="",0,IF($M84="",0,MAX(0,$M84)*MAX(0,X$4)/100))</f>
        <v/>
      </c>
      <c r="Y84">
        <f>IF($C84="",0,IF($M84="",0,MAX(0,$M84)*MAX(0,Y$4)/100))</f>
        <v/>
      </c>
      <c r="Z84">
        <f>IF($C84="",0,IF($M84="",0,MAX(0,$M84)*MAX(0,Z$4)/100))</f>
        <v/>
      </c>
      <c r="AA84">
        <f>IF($C84="",0,IF($M84="",0,MAX(0,$M84)*MAX(0,AA$4)/100))</f>
        <v/>
      </c>
      <c r="AB84">
        <f>IF($C84="",0,IF($M84="",0,MAX(0,$M84)*MAX(0,AB$4)/100))</f>
        <v/>
      </c>
      <c r="AC84">
        <f>IF($C84="",0,IF($M84="",0,MAX(0,$M84)*MAX(0,AC$4)/100))</f>
        <v/>
      </c>
      <c r="AD84">
        <f>IF($C84="",0,IF($M84="",0,MAX(0,$M84)*MAX(0,AD$4)/100))</f>
        <v/>
      </c>
      <c r="AE84">
        <f>IF($C84="",0,IF($M84="",0,MAX(0,$M84)*MAX(0,AE$4)/100))</f>
        <v/>
      </c>
      <c r="AF84">
        <f>IF($C84="",0,IF($M84="",0,MAX(0,$M84)*MAX(0,AF$4)/100))</f>
        <v/>
      </c>
      <c r="AG84">
        <f>IF($C84="",0,IF($M84="",0,MAX(0,$M84)*MAX(0,AG$4)/100))</f>
        <v/>
      </c>
      <c r="AH84">
        <f>IF($C84="",0,IF($M84="",0,MAX(0,$M84)*MAX(0,AH$4)/100))</f>
        <v/>
      </c>
      <c r="AI84">
        <f>IF($C84="",0,IF($M84="",0,MAX(0,$M84)*MAX(0,AI$4)/100))</f>
        <v/>
      </c>
      <c r="AJ84">
        <f>IF($C84="",0,MAX(0,MAX(0,N($L84))-$V84))</f>
        <v/>
      </c>
      <c r="AK84">
        <f>IF($C84="",0,MAX(0,$AJ84-$W84))</f>
        <v/>
      </c>
      <c r="AL84">
        <f>IF($C84="",0,MAX(0,$AK84-$X84))</f>
        <v/>
      </c>
      <c r="AM84">
        <f>IF($C84="",0,MAX(0,$AL84-$Y84))</f>
        <v/>
      </c>
      <c r="AN84">
        <f>IF($C84="",0,MAX(0,$AM84-$Z84))</f>
        <v/>
      </c>
      <c r="AO84">
        <f>IF($C84="",0,MAX(0,$AN84-$AA84))</f>
        <v/>
      </c>
      <c r="AP84">
        <f>IF($C84="",0,MAX(0,$AO84-$AB84))</f>
        <v/>
      </c>
      <c r="AQ84">
        <f>IF($C84="",0,MAX(0,$AP84-$AC84))</f>
        <v/>
      </c>
      <c r="AR84">
        <f>IF($C84="",0,MAX(0,$AQ84-$AD84))</f>
        <v/>
      </c>
      <c r="AS84">
        <f>IF($C84="",0,MAX(0,$AR84-$AE84))</f>
        <v/>
      </c>
      <c r="AT84">
        <f>IF($C84="",0,MAX(0,$AS84-$AF84))</f>
        <v/>
      </c>
      <c r="AU84">
        <f>IF($C84="",0,MAX(0,$AT84-$AG84))</f>
        <v/>
      </c>
      <c r="AV84">
        <f>IF($C84="",0,MAX(0,$AU84-$AH84))</f>
        <v/>
      </c>
      <c r="AW84">
        <f>IF($C84="",0,MAX(0,$AV84-$AI84))</f>
        <v/>
      </c>
      <c r="AX84">
        <f>IF($C84="",0,MAX(0,MAX(0,N($L84))+IF($P84=V$3,$R84,0)+IF($S84=V$3,$U84,0)-$V84))</f>
        <v/>
      </c>
      <c r="AY84">
        <f>IF($C84="",0,MAX(0,$AX84+IF($P84=W$3,$R84,0)+IF($S84=W$3,$U84,0)-$W84))</f>
        <v/>
      </c>
      <c r="AZ84">
        <f>IF($C84="",0,MAX(0,$AY84+IF($P84=X$3,$R84,0)+IF($S84=X$3,$U84,0)-$X84))</f>
        <v/>
      </c>
      <c r="BA84">
        <f>IF($C84="",0,MAX(0,$AZ84+IF($P84=Y$3,$R84,0)+IF($S84=Y$3,$U84,0)-$Y84))</f>
        <v/>
      </c>
      <c r="BB84">
        <f>IF($C84="",0,MAX(0,$BA84+IF($P84=Z$3,$R84,0)+IF($S84=Z$3,$U84,0)-$Z84))</f>
        <v/>
      </c>
      <c r="BC84">
        <f>IF($C84="",0,MAX(0,$BB84+IF($P84=AA$3,$R84,0)+IF($S84=AA$3,$U84,0)-$AA84))</f>
        <v/>
      </c>
      <c r="BD84">
        <f>IF($C84="",0,MAX(0,$BC84+IF($P84=AB$3,$R84,0)+IF($S84=AB$3,$U84,0)-$AB84))</f>
        <v/>
      </c>
      <c r="BE84">
        <f>IF($C84="",0,MAX(0,$BD84+IF($P84=AC$3,$R84,0)+IF($S84=AC$3,$U84,0)-$AC84))</f>
        <v/>
      </c>
      <c r="BF84">
        <f>IF($C84="",0,MAX(0,$BE84+IF($P84=AD$3,$R84,0)+IF($S84=AD$3,$U84,0)-$AD84))</f>
        <v/>
      </c>
      <c r="BG84">
        <f>IF($C84="",0,MAX(0,$BF84+IF($P84=AE$3,$R84,0)+IF($S84=AE$3,$U84,0)-$AE84))</f>
        <v/>
      </c>
      <c r="BH84">
        <f>IF($C84="",0,MAX(0,$BG84+IF($P84=AF$3,$R84,0)+IF($S84=AF$3,$U84,0)-$AF84))</f>
        <v/>
      </c>
      <c r="BI84">
        <f>IF($C84="",0,MAX(0,$BH84+IF($P84=AG$3,$R84,0)+IF($S84=AG$3,$U84,0)-$AG84))</f>
        <v/>
      </c>
      <c r="BJ84">
        <f>IF($C84="",0,MAX(0,$BI84+IF($P84=AH$3,$R84,0)+IF($S84=AH$3,$U84,0)-$AH84))</f>
        <v/>
      </c>
      <c r="BK84">
        <f>IF($C84="",0,MAX(0,$BJ84+IF($P84=AI$3,$R84,0)+IF($S84=AI$3,$U84,0)-$AI84))</f>
        <v/>
      </c>
      <c r="BL84">
        <f>IF($C84="",99,IF(AND($AX84&lt;1,V$3&gt;=MAX(N($P84),N($S84))),0,99))</f>
        <v/>
      </c>
      <c r="BM84">
        <f>IF($C84="",99,IF(AND($AY84&lt;1,W$3&gt;=MAX(N($P84),N($S84))),1,99))</f>
        <v/>
      </c>
      <c r="BN84">
        <f>IF($C84="",99,IF(AND($AZ84&lt;1,X$3&gt;=MAX(N($P84),N($S84))),2,99))</f>
        <v/>
      </c>
      <c r="BO84">
        <f>IF($C84="",99,IF(AND($BA84&lt;1,Y$3&gt;=MAX(N($P84),N($S84))),3,99))</f>
        <v/>
      </c>
      <c r="BP84">
        <f>IF($C84="",99,IF(AND($BB84&lt;1,Z$3&gt;=MAX(N($P84),N($S84))),4,99))</f>
        <v/>
      </c>
      <c r="BQ84">
        <f>IF($C84="",99,IF(AND($BC84&lt;1,AA$3&gt;=MAX(N($P84),N($S84))),5,99))</f>
        <v/>
      </c>
      <c r="BR84">
        <f>IF($C84="",99,IF(AND($BD84&lt;1,AB$3&gt;=MAX(N($P84),N($S84))),6,99))</f>
        <v/>
      </c>
      <c r="BS84">
        <f>IF($C84="",99,IF(AND($BE84&lt;1,AC$3&gt;=MAX(N($P84),N($S84))),7,99))</f>
        <v/>
      </c>
      <c r="BT84">
        <f>IF($C84="",99,IF(AND($BF84&lt;1,AD$3&gt;=MAX(N($P84),N($S84))),8,99))</f>
        <v/>
      </c>
      <c r="BU84">
        <f>IF($C84="",99,IF(AND($BG84&lt;1,AE$3&gt;=MAX(N($P84),N($S84))),9,99))</f>
        <v/>
      </c>
      <c r="BV84">
        <f>IF($C84="",99,IF(AND($BH84&lt;1,AF$3&gt;=MAX(N($P84),N($S84))),10,99))</f>
        <v/>
      </c>
      <c r="BW84">
        <f>IF($C84="",99,IF(AND($BI84&lt;1,AG$3&gt;=MAX(N($P84),N($S84))),11,99))</f>
        <v/>
      </c>
      <c r="BX84">
        <f>IF($C84="",99,IF(AND($BJ84&lt;1,AH$3&gt;=MAX(N($P84),N($S84))),12,99))</f>
        <v/>
      </c>
      <c r="BY84">
        <f>IF($C84="",99,IF(AND($BK84&lt;1,AI$3&gt;=MAX(N($P84),N($S84))),13,99))</f>
        <v/>
      </c>
      <c r="BZ84">
        <f>IF(OR($C84="",$M84=""),"",COUNTIF($AJ84:$AW84,"&gt;=1"))</f>
        <v/>
      </c>
      <c r="CA84" s="90">
        <f>IF($BZ84="","",IF($BZ84&gt;=14,"",'設定'!$C$6+$BZ84))</f>
        <v/>
      </c>
      <c r="CB84">
        <f>IF(OR($C84="",$M84=""),"",MIN($BL84:$BY84))</f>
        <v/>
      </c>
      <c r="CC84" s="90">
        <f>IF($CB84="","",IF($CB84&gt;=99,"",'設定'!$C$6+$CB84))</f>
        <v/>
      </c>
      <c r="CD84">
        <f>IF(OR($C84="",$M84=""),"",AVERAGE($V84:$AI84))</f>
        <v/>
      </c>
      <c r="CE84">
        <f>IF($C84="","",IFERROR(IF(MATCH(IF(ISNUMBER($P84),$P84,'設定'!$C$6+N('設定'!$C$7)),$V$3:$AI$3,0)=1,MAX(0,N($L84)),INDEX($AJ84:$AW84,MATCH(IF(ISNUMBER($P84),$P84,'設定'!$C$6+N('設定'!$C$7)),$V$3:$AI$3,0)-1)),""))</f>
        <v/>
      </c>
      <c r="CF84">
        <f>IF(OR($C84="",$O84="",$CE84=""),"",IF($O84-$CE84&lt;=0,0,ROUNDUP(($O84-$CE84)/$G84,0)))</f>
        <v/>
      </c>
      <c r="CG84">
        <f>IF(OR($C84="",$CF84="",NOT(ISNUMBER($Q84))),0,MAX(0,$Q84-$CF84))</f>
        <v/>
      </c>
      <c r="CH84">
        <f>IF(OR($C84="",$O84="",$U84=0),0,IFERROR(ROUNDUP(MAX(0,IF(MATCH($S84,$V$3:$AI$3,0)=1,MAX(0,N($L84)),INDEX($AX84:$BK84,MATCH($S84,$V$3:$AI$3,0)-1))+$U84-$O84)/$G84,0),0))</f>
        <v/>
      </c>
      <c r="CI84">
        <f>IF($C84="","",IF(AND($P84="",$Q84=""),"",IF($P84="","⚠ 入庫日を ▼ から選んでください",IF(NOT(ISNUMBER($P84)),"⚠ 入庫日は ▼ から選んでください",IF($P84&lt;N('設定'!$C$6),"⚠ 入庫日が過去です（もう在庫に入っています）→ 消してください",IF($P84&gt;N('設定'!$C$6)+13,"⚠ 入庫日が14日より先です",IF(N($Q84)&lt;=0,"⚠ 入庫数を入れてください",IF($CG84&gt;0,"⚠ 目安より "&amp;$CG84&amp;" 多い（定数を超える）→ 減らす",""))))))))</f>
        <v/>
      </c>
      <c r="CJ84">
        <f>IF($C84="","",IF(AND($S84="",$T84=""),"",IF($S84="","⚠ 2便目：入庫日を ▼ から選んでください",IF(NOT(ISNUMBER($S84)),"⚠ 2便目：入庫日は ▼ から選んでください",IF($S84&lt;N('設定'!$C$6),"⚠ 2便目：入庫日が過去です（もう在庫に入っています）→ 消してください",IF($S84&gt;N('設定'!$C$6)+13,"⚠ 2便目：入庫日が14日より先です",IF(N($T84)&lt;=0,"⚠ 2便目：入庫数を入れてください",IF($CH84&gt;0,"⚠ 2便目：定数を "&amp;$CH84&amp;" ケース超える → 減らす",""))))))))</f>
        <v/>
      </c>
      <c r="CK84">
        <f>IF(AND($CI84="",N($Q84)&gt;0,ISNUMBER($P84)),1,0)</f>
        <v/>
      </c>
      <c r="CL84">
        <f>IF(AND($CJ84="",N($T84)&gt;0,ISNUMBER($S84)),1,0)</f>
        <v/>
      </c>
      <c r="CM84">
        <f>IF(OR($CK84=1,$CL84=1),1,0)</f>
        <v/>
      </c>
      <c r="CN84">
        <f>IF($C84="",0,($CK84*$R84+$CL84*$U84)*N($H84))</f>
        <v/>
      </c>
      <c r="CO84">
        <f>IF($C84="","",IF($CC84="","入庫後は 14日以上もつ",IF($CC84-N('設定'!$C$7)&lt;='設定'!$C$6,"入庫後も "&amp;TEXT($CC84,"m/d")&amp;"("&amp;CHOOSE(WEEKDAY($CC84),"日","月","火","水","木","金","土")&amp;")"&amp;" に切れる　もう1便を至急発注","入庫後も "&amp;TEXT($CC84,"m/d")&amp;"("&amp;CHOOSE(WEEKDAY($CC84),"日","月","火","水","木","金","土")&amp;")"&amp;" に切れる　"&amp;TEXT($CC84-N('設定'!$C$7),"m/d")&amp;"("&amp;CHOOSE(WEEKDAY($CC84-N('設定'!$C$7)),"日","月","火","水","木","金","土")&amp;")"&amp;" までに次を発注")))</f>
        <v/>
      </c>
      <c r="CP84">
        <f>IF($C84="","",IF('設定'!$C$6="","？ ①在庫を貼る に今日のCSVが貼られていない",IF($CS84=1,"－ 今日のCSVに無い（終売？）",IF($L84&lt;0,"● 在庫がマイナス　数えて「数えた在庫」に入れる",IF($L84=0,"● 在庫なし　至急発注",IF($M84="","？ 減り数が未設定（商品マスタ）",IF($B$3=0,"？ 動員が未入力（動員を入れる）",IF($CA84="","○ 14日以上もつ",IF($BZ84&lt;N('設定'!$C$7),"● "&amp;TEXT($CA84,"m/d")&amp;"("&amp;CHOOSE(WEEKDAY($CA84),"日","月","火","水","木","金","土")&amp;")"&amp;" に切れる　至急発注",IF($BZ84=N('設定'!$C$7),"● "&amp;TEXT($CA84,"m/d")&amp;"("&amp;CHOOSE(WEEKDAY($CA84),"日","月","火","水","木","金","土")&amp;")"&amp;" に切れる　今日発注","△ "&amp;TEXT($CA84,"m/d")&amp;"("&amp;CHOOSE(WEEKDAY($CA84),"日","月","火","水","木","金","土")&amp;")"&amp;" に切れる　"&amp;TEXT($CA84-N('設定'!$C$7),"m/d")&amp;"("&amp;CHOOSE(WEEKDAY($CA84-N('設定'!$C$7)),"日","月","火","水","木","金","土")&amp;")"&amp;" までに発注"))))))))))</f>
        <v/>
      </c>
      <c r="CQ84">
        <f>IF($C84="","",IF(AND($P84="",$Q84="",$S84="",$T84=""),"",IF(AND($P84="",$Q84=""),"⚠ 先に1便目（左の入庫日・入庫数）に入れてください",IF($CI84&lt;&gt;"",$CI84,IF($CJ84&lt;&gt;"",$CJ84,IF($M84="","？ 減り数が未設定（発注書には載ります）",IF($B$3=0,"？ 動員が未入力（発注書には載ります）",IF(AND($CA84&lt;&gt;"",$P84&gt;$CA84),IF($P84&gt;'設定'!$C$6+N('設定'!$C$7),"● "&amp;TEXT($P84,"m/d")&amp;"("&amp;CHOOSE(WEEKDAY($P84),"日","月","火","水","木","金","土")&amp;")"&amp;" の入庫では間に合わない（"&amp;TEXT($CA84,"m/d")&amp;"("&amp;CHOOSE(WEEKDAY($CA84),"日","月","火","水","木","金","土")&amp;")"&amp;" に切れる）　入庫日を早める","△ 欠品 "&amp;TEXT($CA84,"m/d")&amp;"("&amp;CHOOSE(WEEKDAY($CA84),"日","月","火","水","木","金","土")&amp;")"&amp;"〜"&amp;TEXT($P84-1,"m/d")&amp;"("&amp;CHOOSE(WEEKDAY($P84-1),"日","月","火","水","木","金","土")&amp;")"&amp;"　"&amp;$CO84),IF($CC84="","○ "&amp;TEXT($P84,"m/d")&amp;"("&amp;CHOOSE(WEEKDAY($P84),"日","月","火","水","木","金","土")&amp;")"&amp;" 入庫で 14日以上もつ",IF($CC84-N('設定'!$C$7)&lt;='設定'!$C$6,"● 入庫しても "&amp;TEXT($CC84,"m/d")&amp;"("&amp;CHOOSE(WEEKDAY($CC84),"日","月","火","水","木","金","土")&amp;")"&amp;" に切れる　もう1便を至急発注（2便目に入れる）","△ 入庫しても "&amp;TEXT($CC84,"m/d")&amp;"("&amp;CHOOSE(WEEKDAY($CC84),"日","月","火","水","木","金","土")&amp;")"&amp;" に切れる　"&amp;TEXT($CC84-N('設定'!$C$7),"m/d")&amp;"("&amp;CHOOSE(WEEKDAY($CC84-N('設定'!$C$7)),"日","月","火","水","木","金","土")&amp;")"&amp;" までに次を発注（2便目に入れる）"))))))))))</f>
        <v/>
      </c>
      <c r="CR84">
        <f>IF($C84="","",IF($G84&gt;1,"ｹｰｽ("&amp;$G84&amp;"入)","個"))</f>
        <v/>
      </c>
      <c r="CS84">
        <f>IF($C84="",0,IF(COUNTIFS('①在庫を貼る'!$V$6:$V$10005,'設定'!$C$4,'①在庫を貼る'!$W$6:$W$10005,$C84)=0,1,0))</f>
        <v/>
      </c>
      <c r="CT84">
        <f>IF(AND($CK84=1,OR('③発注書'!$C$4="すべて",'③発注書'!$C$4="",$F84='③発注書'!$C$4)),N($CT83)+1,N($CT83))</f>
        <v/>
      </c>
      <c r="CU84">
        <f>IF(AND($CL84=1,OR('③発注書'!$C$4="すべて",'③発注書'!$C$4="",$F84='③発注書'!$C$4)),N($CU83)+1,N($CU83))</f>
        <v/>
      </c>
      <c r="CV84">
        <f>IF($C84="",0,IF(COUNTIFS('①在庫を貼る'!$V$6:$V$10005,'設定'!$C$4,'①在庫を貼る'!$W$6:$W$10005,$C84)&gt;0,1,0))</f>
        <v/>
      </c>
      <c r="CW84">
        <f>IF($C84="",0,IF(COUNTIFS('月1回_1ヶ月前の在庫'!$V$6:$V$10005,'設定'!$C$4,'月1回_1ヶ月前の在庫'!$W$6:$W$10005,$C84)&gt;0,1,0))</f>
        <v/>
      </c>
      <c r="CX84">
        <f>IF($C84="",0,IF(COUNTIFS('月1回_2ヶ月前の在庫'!$V$6:$V$10005,'設定'!$C$4,'月1回_2ヶ月前の在庫'!$W$6:$W$10005,$C84)&gt;0,1,0))</f>
        <v/>
      </c>
      <c r="CY84">
        <f>IF(OR($C84="",'設定'!$C$12=""),"",IF('設定'!$C$13="",IF(AND($CV84=1,$CW84=0),"新商品（今月から）",IF(AND($CV84=0,$CW84=1),"終売（今月から）","")),IF(AND($CV84=1,$CW84=0,$CX84=0),"新商品（今月から）",IF(AND($CV84=1,$CW84=1,$CX84=0),"新商品（先月から）",IF(AND($CV84=0,$CW84=1,$CX84=1),"終売（今月から）",IF(AND($CV84=0,$CW84=0,$CX84=1),"終売（先月から）",IF(AND($CV84=1,$CW84=0,$CX84=1),"復活（先月は無し）","")))))))</f>
        <v/>
      </c>
    </row>
    <row r="85">
      <c r="B85">
        <f>IF(80&lt;='設定'!$C$11,80,"")</f>
        <v/>
      </c>
      <c r="C85">
        <f>IF($B85="","",IF($B85&lt;='設定'!$C$20,INDEX('商品マスタ'!$B$6:$B$1005,MATCH($B85,'商品マスタ'!$M$6:$M$1005,0)),IF($B85&lt;='設定'!$C$20+'設定'!$C$17,INDEX('①在庫を貼る'!$W$6:$W$10005,MATCH($B85-'設定'!$C$20,'①在庫を貼る'!$U$6:$U$10005,0)),IF($B85&lt;='設定'!$C$20+'設定'!$C$17+'設定'!$C$18,INDEX('月1回_1ヶ月前の在庫'!$W$6:$W$10005,MATCH($B85-'設定'!$C$20-'設定'!$C$17,'月1回_1ヶ月前の在庫'!$U$6:$U$10005,0)),INDEX('月1回_2ヶ月前の在庫'!$W$6:$W$10005,MATCH($B85-'設定'!$C$20-'設定'!$C$17-'設定'!$C$18,'月1回_2ヶ月前の在庫'!$U$6:$U$10005,0))))))</f>
        <v/>
      </c>
      <c r="D85">
        <f>IF($C85="","",IFERROR(IF(INDEX('商品マスタ'!$C$6:$C$1005,MATCH($C85,'商品マスタ'!$B$6:$B$1005,0))="",IFERROR(INDEX('①在庫を貼る'!$J$6:$J$10005,MATCH($C85,'①在庫を貼る'!$W$6:$W$10005,0)),IFERROR(INDEX('月1回_1ヶ月前の在庫'!$J$6:$J$10005,MATCH($C85,'月1回_1ヶ月前の在庫'!$W$6:$W$10005,0)),IFERROR(INDEX('月1回_2ヶ月前の在庫'!$J$6:$J$10005,MATCH($C85,'月1回_2ヶ月前の在庫'!$W$6:$W$10005,0)),""))),INDEX('商品マスタ'!$C$6:$C$1005,MATCH($C85,'商品マスタ'!$B$6:$B$1005,0))),IFERROR(INDEX('①在庫を貼る'!$J$6:$J$10005,MATCH($C85,'①在庫を貼る'!$W$6:$W$10005,0)),IFERROR(INDEX('月1回_1ヶ月前の在庫'!$J$6:$J$10005,MATCH($C85,'月1回_1ヶ月前の在庫'!$W$6:$W$10005,0)),IFERROR(INDEX('月1回_2ヶ月前の在庫'!$J$6:$J$10005,MATCH($C85,'月1回_2ヶ月前の在庫'!$W$6:$W$10005,0)),"")))))</f>
        <v/>
      </c>
      <c r="E85">
        <f>IF($C85="","",IFERROR(IF(INDEX('商品マスタ'!$D$6:$D$1005,MATCH($C85,'商品マスタ'!$B$6:$B$1005,0))="",IFERROR(INDEX('①在庫を貼る'!$H$6:$H$10005,MATCH($C85,'①在庫を貼る'!$W$6:$W$10005,0)),IFERROR(INDEX('月1回_1ヶ月前の在庫'!$H$6:$H$10005,MATCH($C85,'月1回_1ヶ月前の在庫'!$W$6:$W$10005,0)),IFERROR(INDEX('月1回_2ヶ月前の在庫'!$H$6:$H$10005,MATCH($C85,'月1回_2ヶ月前の在庫'!$W$6:$W$10005,0)),""))),INDEX('商品マスタ'!$D$6:$D$1005,MATCH($C85,'商品マスタ'!$B$6:$B$1005,0))),IFERROR(INDEX('①在庫を貼る'!$H$6:$H$10005,MATCH($C85,'①在庫を貼る'!$W$6:$W$10005,0)),IFERROR(INDEX('月1回_1ヶ月前の在庫'!$H$6:$H$10005,MATCH($C85,'月1回_1ヶ月前の在庫'!$W$6:$W$10005,0)),IFERROR(INDEX('月1回_2ヶ月前の在庫'!$H$6:$H$10005,MATCH($C85,'月1回_2ヶ月前の在庫'!$W$6:$W$10005,0)),"")))))</f>
        <v/>
      </c>
      <c r="F85">
        <f>IF($C85="","",IFERROR(IF(INDEX('商品マスタ'!$E$6:$E$1005,MATCH($C85,'商品マスタ'!$B$6:$B$1005,0))="",IFERROR(INDEX('①在庫を貼る'!$E$6:$E$10005,MATCH($C85,'①在庫を貼る'!$W$6:$W$10005,0)),IFERROR(INDEX('月1回_1ヶ月前の在庫'!$E$6:$E$10005,MATCH($C85,'月1回_1ヶ月前の在庫'!$W$6:$W$10005,0)),IFERROR(INDEX('月1回_2ヶ月前の在庫'!$E$6:$E$10005,MATCH($C85,'月1回_2ヶ月前の在庫'!$W$6:$W$10005,0)),""))),INDEX('商品マスタ'!$E$6:$E$1005,MATCH($C85,'商品マスタ'!$B$6:$B$1005,0))),IFERROR(INDEX('①在庫を貼る'!$E$6:$E$10005,MATCH($C85,'①在庫を貼る'!$W$6:$W$10005,0)),IFERROR(INDEX('月1回_1ヶ月前の在庫'!$E$6:$E$10005,MATCH($C85,'月1回_1ヶ月前の在庫'!$W$6:$W$10005,0)),IFERROR(INDEX('月1回_2ヶ月前の在庫'!$E$6:$E$10005,MATCH($C85,'月1回_2ヶ月前の在庫'!$W$6:$W$10005,0)),"")))))</f>
        <v/>
      </c>
      <c r="G85">
        <f>IF($C85="","",MAX(1,N(IFERROR(IF(INDEX('商品マスタ'!$F$6:$F$1005,MATCH($C85,'商品マスタ'!$B$6:$B$1005,0))="",IF(COUNTIFS('①在庫を貼る'!$V$6:$V$10005,'設定'!$C$4,'①在庫を貼る'!$W$6:$W$10005,$C85)&gt;0,SUMIFS('①在庫を貼る'!$K$6:$K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K$6:$K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K$6:$K$10005,'月1回_2ヶ月前の在庫'!$V$6:$V$10005,'設定'!$C$4,'月1回_2ヶ月前の在庫'!$W$6:$W$10005,$C85)/COUNTIFS('月1回_2ヶ月前の在庫'!$V$6:$V$10005,'設定'!$C$4,'月1回_2ヶ月前の在庫'!$W$6:$W$10005,$C85),0))),INDEX('商品マスタ'!$F$6:$F$1005,MATCH($C85,'商品マスタ'!$B$6:$B$1005,0))),IF(COUNTIFS('①在庫を貼る'!$V$6:$V$10005,'設定'!$C$4,'①在庫を貼る'!$W$6:$W$10005,$C85)&gt;0,SUMIFS('①在庫を貼る'!$K$6:$K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K$6:$K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K$6:$K$10005,'月1回_2ヶ月前の在庫'!$V$6:$V$10005,'設定'!$C$4,'月1回_2ヶ月前の在庫'!$W$6:$W$10005,$C85)/COUNTIFS('月1回_2ヶ月前の在庫'!$V$6:$V$10005,'設定'!$C$4,'月1回_2ヶ月前の在庫'!$W$6:$W$10005,$C85),0)))))))</f>
        <v/>
      </c>
      <c r="H85">
        <f>IF($C85="","",N(IFERROR(IF(INDEX('商品マスタ'!$G$6:$G$1005,MATCH($C85,'商品マスタ'!$B$6:$B$1005,0))="",IF(COUNTIFS('①在庫を貼る'!$V$6:$V$10005,'設定'!$C$4,'①在庫を貼る'!$W$6:$W$10005,$C85)&gt;0,SUMIFS('①在庫を貼る'!$Q$6:$Q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Q$6:$Q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Q$6:$Q$10005,'月1回_2ヶ月前の在庫'!$V$6:$V$10005,'設定'!$C$4,'月1回_2ヶ月前の在庫'!$W$6:$W$10005,$C85)/COUNTIFS('月1回_2ヶ月前の在庫'!$V$6:$V$10005,'設定'!$C$4,'月1回_2ヶ月前の在庫'!$W$6:$W$10005,$C85),0))),INDEX('商品マスタ'!$G$6:$G$1005,MATCH($C85,'商品マスタ'!$B$6:$B$1005,0))),IF(COUNTIFS('①在庫を貼る'!$V$6:$V$10005,'設定'!$C$4,'①在庫を貼る'!$W$6:$W$10005,$C85)&gt;0,SUMIFS('①在庫を貼る'!$Q$6:$Q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Q$6:$Q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Q$6:$Q$10005,'月1回_2ヶ月前の在庫'!$V$6:$V$10005,'設定'!$C$4,'月1回_2ヶ月前の在庫'!$W$6:$W$10005,$C85)/COUNTIFS('月1回_2ヶ月前の在庫'!$V$6:$V$10005,'設定'!$C$4,'月1回_2ヶ月前の在庫'!$W$6:$W$10005,$C85),0))))))</f>
        <v/>
      </c>
      <c r="I85">
        <f>IF($C85="","",IF(COUNTIFS('①在庫を貼る'!$V$6:$V$10005,'設定'!$C$4,'①在庫を貼る'!$W$6:$W$10005,$C85)=0,"",SUMIFS('①在庫を貼る'!$N$6:$N$10005,'①在庫を貼る'!$V$6:$V$10005,'設定'!$C$4,'①在庫を貼る'!$W$6:$W$10005,$C85)))</f>
        <v/>
      </c>
      <c r="J85">
        <f>IF($C85="","",IF('②発注する'!$AD89="","",'②発注する'!$AD89))</f>
        <v/>
      </c>
      <c r="K85" s="90">
        <f>IF($C85="","",IF('②発注する'!$AE89="","",'②発注する'!$AE89))</f>
        <v/>
      </c>
      <c r="L85">
        <f>IF($C85="","",IF(AND(ISNUMBER($J85),ISNUMBER($K85),$K85&gt;='設定'!$C$6),$J85,N($I85)))</f>
        <v/>
      </c>
      <c r="M85">
        <f>IF($C85="","",IFERROR(IF(N(INDEX('商品マスタ'!$J$6:$J$1005,MATCH($C85,'商品マスタ'!$B$6:$B$1005,0)))&gt;0,INDEX('商品マスタ'!$J$6:$J$1005,MATCH($C85,'商品マスタ'!$B$6:$B$1005,0)),""),""))</f>
        <v/>
      </c>
      <c r="N85">
        <f>IF($C85="","",IFERROR(IF(N(INDEX('商品マスタ'!$H$6:$H$1005,MATCH($C85,'商品マスタ'!$B$6:$B$1005,0)))&gt;0,INDEX('商品マスタ'!$H$6:$H$1005,MATCH($C85,'商品マスタ'!$B$6:$B$1005,0)),""),""))</f>
        <v/>
      </c>
      <c r="O85">
        <f>IF($C85="","",IF($N85&lt;&gt;"",$N85*$G85,IF(N(IF(COUNTIFS('①在庫を貼る'!$V$6:$V$10005,'設定'!$C$4,'①在庫を貼る'!$W$6:$W$10005,$C85)&gt;0,SUMIFS('①在庫を貼る'!$O$6:$O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O$6:$O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O$6:$O$10005,'月1回_2ヶ月前の在庫'!$V$6:$V$10005,'設定'!$C$4,'月1回_2ヶ月前の在庫'!$W$6:$W$10005,$C85)/COUNTIFS('月1回_2ヶ月前の在庫'!$V$6:$V$10005,'設定'!$C$4,'月1回_2ヶ月前の在庫'!$W$6:$W$10005,$C85),0))))&gt;0,N(IF(COUNTIFS('①在庫を貼る'!$V$6:$V$10005,'設定'!$C$4,'①在庫を貼る'!$W$6:$W$10005,$C85)&gt;0,SUMIFS('①在庫を貼る'!$O$6:$O$10005,'①在庫を貼る'!$V$6:$V$10005,'設定'!$C$4,'①在庫を貼る'!$W$6:$W$10005,$C85)/COUNTIFS('①在庫を貼る'!$V$6:$V$10005,'設定'!$C$4,'①在庫を貼る'!$W$6:$W$10005,$C85),IF(COUNTIFS('月1回_1ヶ月前の在庫'!$V$6:$V$10005,'設定'!$C$4,'月1回_1ヶ月前の在庫'!$W$6:$W$10005,$C85)&gt;0,SUMIFS('月1回_1ヶ月前の在庫'!$O$6:$O$10005,'月1回_1ヶ月前の在庫'!$V$6:$V$10005,'設定'!$C$4,'月1回_1ヶ月前の在庫'!$W$6:$W$10005,$C85)/COUNTIFS('月1回_1ヶ月前の在庫'!$V$6:$V$10005,'設定'!$C$4,'月1回_1ヶ月前の在庫'!$W$6:$W$10005,$C85),IF(COUNTIFS('月1回_2ヶ月前の在庫'!$V$6:$V$10005,'設定'!$C$4,'月1回_2ヶ月前の在庫'!$W$6:$W$10005,$C85)&gt;0,SUMIFS('月1回_2ヶ月前の在庫'!$O$6:$O$10005,'月1回_2ヶ月前の在庫'!$V$6:$V$10005,'設定'!$C$4,'月1回_2ヶ月前の在庫'!$W$6:$W$10005,$C85)/COUNTIFS('月1回_2ヶ月前の在庫'!$V$6:$V$10005,'設定'!$C$4,'月1回_2ヶ月前の在庫'!$W$6:$W$10005,$C85),0)))),"")))</f>
        <v/>
      </c>
      <c r="P85" s="90">
        <f>IF($C85="","",IF('②発注する'!$I89="","",'②発注する'!$I89))</f>
        <v/>
      </c>
      <c r="Q85">
        <f>IF($C85="","",IF('②発注する'!$J89="","",'②発注する'!$J89))</f>
        <v/>
      </c>
      <c r="R85">
        <f>IF($C85="",0,IF(AND(ISNUMBER($P85),ISNUMBER($Q85)),MAX(0,$Q85)*$G85,0))</f>
        <v/>
      </c>
      <c r="S85" s="90">
        <f>IF($C85="","",IF('②発注する'!$M89="","",'②発注する'!$M89))</f>
        <v/>
      </c>
      <c r="T85">
        <f>IF($C85="","",IF('②発注する'!$N89="","",'②発注する'!$N89))</f>
        <v/>
      </c>
      <c r="U85">
        <f>IF($C85="",0,IF(AND(ISNUMBER($S85),ISNUMBER($T85)),MAX(0,$T85)*$G85,0))</f>
        <v/>
      </c>
      <c r="V85">
        <f>IF($C85="",0,IF($M85="",0,MAX(0,$M85)*MAX(0,V$4)/100))</f>
        <v/>
      </c>
      <c r="W85">
        <f>IF($C85="",0,IF($M85="",0,MAX(0,$M85)*MAX(0,W$4)/100))</f>
        <v/>
      </c>
      <c r="X85">
        <f>IF($C85="",0,IF($M85="",0,MAX(0,$M85)*MAX(0,X$4)/100))</f>
        <v/>
      </c>
      <c r="Y85">
        <f>IF($C85="",0,IF($M85="",0,MAX(0,$M85)*MAX(0,Y$4)/100))</f>
        <v/>
      </c>
      <c r="Z85">
        <f>IF($C85="",0,IF($M85="",0,MAX(0,$M85)*MAX(0,Z$4)/100))</f>
        <v/>
      </c>
      <c r="AA85">
        <f>IF($C85="",0,IF($M85="",0,MAX(0,$M85)*MAX(0,AA$4)/100))</f>
        <v/>
      </c>
      <c r="AB85">
        <f>IF($C85="",0,IF($M85="",0,MAX(0,$M85)*MAX(0,AB$4)/100))</f>
        <v/>
      </c>
      <c r="AC85">
        <f>IF($C85="",0,IF($M85="",0,MAX(0,$M85)*MAX(0,AC$4)/100))</f>
        <v/>
      </c>
      <c r="AD85">
        <f>IF($C85="",0,IF($M85="",0,MAX(0,$M85)*MAX(0,AD$4)/100))</f>
        <v/>
      </c>
      <c r="AE85">
        <f>IF($C85="",0,IF($M85="",0,MAX(0,$M85)*MAX(0,AE$4)/100))</f>
        <v/>
      </c>
      <c r="AF85">
        <f>IF($C85="",0,IF($M85="",0,MAX(0,$M85)*MAX(0,AF$4)/100))</f>
        <v/>
      </c>
      <c r="AG85">
        <f>IF($C85="",0,IF($M85="",0,MAX(0,$M85)*MAX(0,AG$4)/100))</f>
        <v/>
      </c>
      <c r="AH85">
        <f>IF($C85="",0,IF($M85="",0,MAX(0,$M85)*MAX(0,AH$4)/100))</f>
        <v/>
      </c>
      <c r="AI85">
        <f>IF($C85="",0,IF($M85="",0,MAX(0,$M85)*MAX(0,AI$4)/100))</f>
        <v/>
      </c>
      <c r="AJ85">
        <f>IF($C85="",0,MAX(0,MAX(0,N($L85))-$V85))</f>
        <v/>
      </c>
      <c r="AK85">
        <f>IF($C85="",0,MAX(0,$AJ85-$W85))</f>
        <v/>
      </c>
      <c r="AL85">
        <f>IF($C85="",0,MAX(0,$AK85-$X85))</f>
        <v/>
      </c>
      <c r="AM85">
        <f>IF($C85="",0,MAX(0,$AL85-$Y85))</f>
        <v/>
      </c>
      <c r="AN85">
        <f>IF($C85="",0,MAX(0,$AM85-$Z85))</f>
        <v/>
      </c>
      <c r="AO85">
        <f>IF($C85="",0,MAX(0,$AN85-$AA85))</f>
        <v/>
      </c>
      <c r="AP85">
        <f>IF($C85="",0,MAX(0,$AO85-$AB85))</f>
        <v/>
      </c>
      <c r="AQ85">
        <f>IF($C85="",0,MAX(0,$AP85-$AC85))</f>
        <v/>
      </c>
      <c r="AR85">
        <f>IF($C85="",0,MAX(0,$AQ85-$AD85))</f>
        <v/>
      </c>
      <c r="AS85">
        <f>IF($C85="",0,MAX(0,$AR85-$AE85))</f>
        <v/>
      </c>
      <c r="AT85">
        <f>IF($C85="",0,MAX(0,$AS85-$AF85))</f>
        <v/>
      </c>
      <c r="AU85">
        <f>IF($C85="",0,MAX(0,$AT85-$AG85))</f>
        <v/>
      </c>
      <c r="AV85">
        <f>IF($C85="",0,MAX(0,$AU85-$AH85))</f>
        <v/>
      </c>
      <c r="AW85">
        <f>IF($C85="",0,MAX(0,$AV85-$AI85))</f>
        <v/>
      </c>
      <c r="AX85">
        <f>IF($C85="",0,MAX(0,MAX(0,N($L85))+IF($P85=V$3,$R85,0)+IF($S85=V$3,$U85,0)-$V85))</f>
        <v/>
      </c>
      <c r="AY85">
        <f>IF($C85="",0,MAX(0,$AX85+IF($P85=W$3,$R85,0)+IF($S85=W$3,$U85,0)-$W85))</f>
        <v/>
      </c>
      <c r="AZ85">
        <f>IF($C85="",0,MAX(0,$AY85+IF($P85=X$3,$R85,0)+IF($S85=X$3,$U85,0)-$X85))</f>
        <v/>
      </c>
      <c r="BA85">
        <f>IF($C85="",0,MAX(0,$AZ85+IF($P85=Y$3,$R85,0)+IF($S85=Y$3,$U85,0)-$Y85))</f>
        <v/>
      </c>
      <c r="BB85">
        <f>IF($C85="",0,MAX(0,$BA85+IF($P85=Z$3,$R85,0)+IF($S85=Z$3,$U85,0)-$Z85))</f>
        <v/>
      </c>
      <c r="BC85">
        <f>IF($C85="",0,MAX(0,$BB85+IF($P85=AA$3,$R85,0)+IF($S85=AA$3,$U85,0)-$AA85))</f>
        <v/>
      </c>
      <c r="BD85">
        <f>IF($C85="",0,MAX(0,$BC85+IF($P85=AB$3,$R85,0)+IF($S85=AB$3,$U85,0)-$AB85))</f>
        <v/>
      </c>
      <c r="BE85">
        <f>IF($C85="",0,MAX(0,$BD85+IF($P85=AC$3,$R85,0)+IF($S85=AC$3,$U85,0)-$AC85))</f>
        <v/>
      </c>
      <c r="BF85">
        <f>IF($C85="",0,MAX(0,$BE85+IF($P85=AD$3,$R85,0)+IF($S85=AD$3,$U85,0)-$AD85))</f>
        <v/>
      </c>
      <c r="BG85">
        <f>IF($C85="",0,MAX(0,$BF85+IF($P85=AE$3,$R85,0)+IF($S85=AE$3,$U85,0)-$AE85))</f>
        <v/>
      </c>
      <c r="BH85">
        <f>IF($C85="",0,MAX(0,$BG85+IF($P85=AF$3,$R85,0)+IF($S85=AF$3,$U85,0)-$AF85))</f>
        <v/>
      </c>
      <c r="BI85">
        <f>IF($C85="",0,MAX(0,$BH85+IF($P85=AG$3,$R85,0)+IF($S85=AG$3,$U85,0)-$AG85))</f>
        <v/>
      </c>
      <c r="BJ85">
        <f>IF($C85="",0,MAX(0,$BI85+IF($P85=AH$3,$R85,0)+IF($S85=AH$3,$U85,0)-$AH85))</f>
        <v/>
      </c>
      <c r="BK85">
        <f>IF($C85="",0,MAX(0,$BJ85+IF($P85=AI$3,$R85,0)+IF($S85=AI$3,$U85,0)-$AI85))</f>
        <v/>
      </c>
      <c r="BL85">
        <f>IF($C85="",99,IF(AND($AX85&lt;1,V$3&gt;=MAX(N($P85),N($S85))),0,99))</f>
        <v/>
      </c>
      <c r="BM85">
        <f>IF($C85="",99,IF(AND($AY85&lt;1,W$3&gt;=MAX(N($P85),N($S85))),1,99))</f>
        <v/>
      </c>
      <c r="BN85">
        <f>IF($C85="",99,IF(AND($AZ85&lt;1,X$3&gt;=MAX(N($P85),N($S85))),2,99))</f>
        <v/>
      </c>
      <c r="BO85">
        <f>IF($C85="",99,IF(AND($BA85&lt;1,Y$3&gt;=MAX(N($P85),N($S85))),3,99))</f>
        <v/>
      </c>
      <c r="BP85">
        <f>IF($C85="",99,IF(AND($BB85&lt;1,Z$3&gt;=MAX(N($P85),N($S85))),4,99))</f>
        <v/>
      </c>
      <c r="BQ85">
        <f>IF($C85="",99,IF(AND($BC85&lt;1,AA$3&gt;=MAX(N($P85),N($S85))),5,99))</f>
        <v/>
      </c>
      <c r="BR85">
        <f>IF($C85="",99,IF(AND($BD85&lt;1,AB$3&gt;=MAX(N($P85),N($S85))),6,99))</f>
        <v/>
      </c>
      <c r="BS85">
        <f>IF($C85="",99,IF(AND($BE85&lt;1,AC$3&gt;=MAX(N($P85),N($S85))),7,99))</f>
        <v/>
      </c>
      <c r="BT85">
        <f>IF($C85="",99,IF(AND($BF85&lt;1,AD$3&gt;=MAX(N($P85),N($S85))),8,99))</f>
        <v/>
      </c>
      <c r="BU85">
        <f>IF($C85="",99,IF(AND($BG85&lt;1,AE$3&gt;=MAX(N($P85),N($S85))),9,99))</f>
        <v/>
      </c>
      <c r="BV85">
        <f>IF($C85="",99,IF(AND($BH85&lt;1,AF$3&gt;=MAX(N($P85),N($S85))),10,99))</f>
        <v/>
      </c>
      <c r="BW85">
        <f>IF($C85="",99,IF(AND($BI85&lt;1,AG$3&gt;=MAX(N($P85),N($S85))),11,99))</f>
        <v/>
      </c>
      <c r="BX85">
        <f>IF($C85="",99,IF(AND($BJ85&lt;1,AH$3&gt;=MAX(N($P85),N($S85))),12,99))</f>
        <v/>
      </c>
      <c r="BY85">
        <f>IF($C85="",99,IF(AND($BK85&lt;1,AI$3&gt;=MAX(N($P85),N($S85))),13,99))</f>
        <v/>
      </c>
      <c r="BZ85">
        <f>IF(OR($C85="",$M85=""),"",COUNTIF($AJ85:$AW85,"&gt;=1"))</f>
        <v/>
      </c>
      <c r="CA85" s="90">
        <f>IF($BZ85="","",IF($BZ85&gt;=14,"",'設定'!$C$6+$BZ85))</f>
        <v/>
      </c>
      <c r="CB85">
        <f>IF(OR($C85="",$M85=""),"",MIN($BL85:$BY85))</f>
        <v/>
      </c>
      <c r="CC85" s="90">
        <f>IF($CB85="","",IF($CB85&gt;=99,"",'設定'!$C$6+$CB85))</f>
        <v/>
      </c>
      <c r="CD85">
        <f>IF(OR($C85="",$M85=""),"",AVERAGE($V85:$AI85))</f>
        <v/>
      </c>
      <c r="CE85">
        <f>IF($C85="","",IFERROR(IF(MATCH(IF(ISNUMBER($P85),$P85,'設定'!$C$6+N('設定'!$C$7)),$V$3:$AI$3,0)=1,MAX(0,N($L85)),INDEX($AJ85:$AW85,MATCH(IF(ISNUMBER($P85),$P85,'設定'!$C$6+N('設定'!$C$7)),$V$3:$AI$3,0)-1)),""))</f>
        <v/>
      </c>
      <c r="CF85">
        <f>IF(OR($C85="",$O85="",$CE85=""),"",IF($O85-$CE85&lt;=0,0,ROUNDUP(($O85-$CE85)/$G85,0)))</f>
        <v/>
      </c>
      <c r="CG85">
        <f>IF(OR($C85="",$CF85="",NOT(ISNUMBER($Q85))),0,MAX(0,$Q85-$CF85))</f>
        <v/>
      </c>
      <c r="CH85">
        <f>IF(OR($C85="",$O85="",$U85=0),0,IFERROR(ROUNDUP(MAX(0,IF(MATCH($S85,$V$3:$AI$3,0)=1,MAX(0,N($L85)),INDEX($AX85:$BK85,MATCH($S85,$V$3:$AI$3,0)-1))+$U85-$O85)/$G85,0),0))</f>
        <v/>
      </c>
      <c r="CI85">
        <f>IF($C85="","",IF(AND($P85="",$Q85=""),"",IF($P85="","⚠ 入庫日を ▼ から選んでください",IF(NOT(ISNUMBER($P85)),"⚠ 入庫日は ▼ から選んでください",IF($P85&lt;N('設定'!$C$6),"⚠ 入庫日が過去です（もう在庫に入っています）→ 消してください",IF($P85&gt;N('設定'!$C$6)+13,"⚠ 入庫日が14日より先です",IF(N($Q85)&lt;=0,"⚠ 入庫数を入れてください",IF($CG85&gt;0,"⚠ 目安より "&amp;$CG85&amp;" 多い（定数を超える）→ 減らす",""))))))))</f>
        <v/>
      </c>
      <c r="CJ85">
        <f>IF($C85="","",IF(AND($S85="",$T85=""),"",IF($S85="","⚠ 2便目：入庫日を ▼ から選んでください",IF(NOT(ISNUMBER($S85)),"⚠ 2便目：入庫日は ▼ から選んでください",IF($S85&lt;N('設定'!$C$6),"⚠ 2便目：入庫日が過去です（もう在庫に入っています）→ 消してください",IF($S85&gt;N('設定'!$C$6)+13,"⚠ 2便目：入庫日が14日より先です",IF(N($T85)&lt;=0,"⚠ 2便目：入庫数を入れてください",IF($CH85&gt;0,"⚠ 2便目：定数を "&amp;$CH85&amp;" ケース超える → 減らす",""))))))))</f>
        <v/>
      </c>
      <c r="CK85">
        <f>IF(AND($CI85="",N($Q85)&gt;0,ISNUMBER($P85)),1,0)</f>
        <v/>
      </c>
      <c r="CL85">
        <f>IF(AND($CJ85="",N($T85)&gt;0,ISNUMBER($S85)),1,0)</f>
        <v/>
      </c>
      <c r="CM85">
        <f>IF(OR($CK85=1,$CL85=1),1,0)</f>
        <v/>
      </c>
      <c r="CN85">
        <f>IF($C85="",0,($CK85*$R85+$CL85*$U85)*N($H85))</f>
        <v/>
      </c>
      <c r="CO85">
        <f>IF($C85="","",IF($CC85="","入庫後は 14日以上もつ",IF($CC85-N('設定'!$C$7)&lt;='設定'!$C$6,"入庫後も "&amp;TEXT($CC85,"m/d")&amp;"("&amp;CHOOSE(WEEKDAY($CC85),"日","月","火","水","木","金","土")&amp;")"&amp;" に切れる　もう1便を至急発注","入庫後も "&amp;TEXT($CC85,"m/d")&amp;"("&amp;CHOOSE(WEEKDAY($CC85),"日","月","火","水","木","金","土")&amp;")"&amp;" に切れる　"&amp;TEXT($CC85-N('設定'!$C$7),"m/d")&amp;"("&amp;CHOOSE(WEEKDAY($CC85-N('設定'!$C$7)),"日","月","火","水","木","金","土")&amp;")"&amp;" までに次を発注")))</f>
        <v/>
      </c>
      <c r="CP85">
        <f>IF($C85="","",IF('設定'!$C$6="","？ ①在庫を貼る に今日のCSVが貼られていない",IF($CS85=1,"－ 今日のCSVに無い（終売？）",IF($L85&lt;0,"● 在庫がマイナス　数えて「数えた在庫」に入れる",IF($L85=0,"● 在庫なし　至急発注",IF($M85="","？ 減り数が未設定（商品マスタ）",IF($B$3=0,"？ 動員が未入力（動員を入れる）",IF($CA85="","○ 14日以上もつ",IF($BZ85&lt;N('設定'!$C$7),"● "&amp;TEXT($CA85,"m/d")&amp;"("&amp;CHOOSE(WEEKDAY($CA85),"日","月","火","水","木","金","土")&amp;")"&amp;" に切れる　至急発注",IF($BZ85=N('設定'!$C$7),"● "&amp;TEXT($CA85,"m/d")&amp;"("&amp;CHOOSE(WEEKDAY($CA85),"日","月","火","水","木","金","土")&amp;")"&amp;" に切れる　今日発注","△ "&amp;TEXT($CA85,"m/d")&amp;"("&amp;CHOOSE(WEEKDAY($CA85),"日","月","火","水","木","金","土")&amp;")"&amp;" に切れる　"&amp;TEXT($CA85-N('設定'!$C$7),"m/d")&amp;"("&amp;CHOOSE(WEEKDAY($CA85-N('設定'!$C$7)),"日","月","火","水","木","金","土")&amp;")"&amp;" までに発注"))))))))))</f>
        <v/>
      </c>
      <c r="CQ85">
        <f>IF($C85="","",IF(AND($P85="",$Q85="",$S85="",$T85=""),"",IF(AND($P85="",$Q85=""),"⚠ 先に1便目（左の入庫日・入庫数）に入れてください",IF($CI85&lt;&gt;"",$CI85,IF($CJ85&lt;&gt;"",$CJ85,IF($M85="","？ 減り数が未設定（発注書には載ります）",IF($B$3=0,"？ 動員が未入力（発注書には載ります）",IF(AND($CA85&lt;&gt;"",$P85&gt;$CA85),IF($P85&gt;'設定'!$C$6+N('設定'!$C$7),"● "&amp;TEXT($P85,"m/d")&amp;"("&amp;CHOOSE(WEEKDAY($P85),"日","月","火","水","木","金","土")&amp;")"&amp;" の入庫では間に合わない（"&amp;TEXT($CA85,"m/d")&amp;"("&amp;CHOOSE(WEEKDAY($CA85),"日","月","火","水","木","金","土")&amp;")"&amp;" に切れる）　入庫日を早める","△ 欠品 "&amp;TEXT($CA85,"m/d")&amp;"("&amp;CHOOSE(WEEKDAY($CA85),"日","月","火","水","木","金","土")&amp;")"&amp;"〜"&amp;TEXT($P85-1,"m/d")&amp;"("&amp;CHOOSE(WEEKDAY($P85-1),"日","月","火","水","木","金","土")&amp;")"&amp;"　"&amp;$CO85),IF($CC85="","○ "&amp;TEXT($P85,"m/d")&amp;"("&amp;CHOOSE(WEEKDAY($P85),"日","月","火","水","木","金","土")&amp;")"&amp;" 入庫で 14日以上もつ",IF($CC85-N('設定'!$C$7)&lt;='設定'!$C$6,"● 入庫しても "&amp;TEXT($CC85,"m/d")&amp;"("&amp;CHOOSE(WEEKDAY($CC85),"日","月","火","水","木","金","土")&amp;")"&amp;" に切れる　もう1便を至急発注（2便目に入れる）","△ 入庫しても "&amp;TEXT($CC85,"m/d")&amp;"("&amp;CHOOSE(WEEKDAY($CC85),"日","月","火","水","木","金","土")&amp;")"&amp;" に切れる　"&amp;TEXT($CC85-N('設定'!$C$7),"m/d")&amp;"("&amp;CHOOSE(WEEKDAY($CC85-N('設定'!$C$7)),"日","月","火","水","木","金","土")&amp;")"&amp;" までに次を発注（2便目に入れる）"))))))))))</f>
        <v/>
      </c>
      <c r="CR85">
        <f>IF($C85="","",IF($G85&gt;1,"ｹｰｽ("&amp;$G85&amp;"入)","個"))</f>
        <v/>
      </c>
      <c r="CS85">
        <f>IF($C85="",0,IF(COUNTIFS('①在庫を貼る'!$V$6:$V$10005,'設定'!$C$4,'①在庫を貼る'!$W$6:$W$10005,$C85)=0,1,0))</f>
        <v/>
      </c>
      <c r="CT85">
        <f>IF(AND($CK85=1,OR('③発注書'!$C$4="すべて",'③発注書'!$C$4="",$F85='③発注書'!$C$4)),N($CT84)+1,N($CT84))</f>
        <v/>
      </c>
      <c r="CU85">
        <f>IF(AND($CL85=1,OR('③発注書'!$C$4="すべて",'③発注書'!$C$4="",$F85='③発注書'!$C$4)),N($CU84)+1,N($CU84))</f>
        <v/>
      </c>
      <c r="CV85">
        <f>IF($C85="",0,IF(COUNTIFS('①在庫を貼る'!$V$6:$V$10005,'設定'!$C$4,'①在庫を貼る'!$W$6:$W$10005,$C85)&gt;0,1,0))</f>
        <v/>
      </c>
      <c r="CW85">
        <f>IF($C85="",0,IF(COUNTIFS('月1回_1ヶ月前の在庫'!$V$6:$V$10005,'設定'!$C$4,'月1回_1ヶ月前の在庫'!$W$6:$W$10005,$C85)&gt;0,1,0))</f>
        <v/>
      </c>
      <c r="CX85">
        <f>IF($C85="",0,IF(COUNTIFS('月1回_2ヶ月前の在庫'!$V$6:$V$10005,'設定'!$C$4,'月1回_2ヶ月前の在庫'!$W$6:$W$10005,$C85)&gt;0,1,0))</f>
        <v/>
      </c>
      <c r="CY85">
        <f>IF(OR($C85="",'設定'!$C$12=""),"",IF('設定'!$C$13="",IF(AND($CV85=1,$CW85=0),"新商品（今月から）",IF(AND($CV85=0,$CW85=1),"終売（今月から）","")),IF(AND($CV85=1,$CW85=0,$CX85=0),"新商品（今月から）",IF(AND($CV85=1,$CW85=1,$CX85=0),"新商品（先月から）",IF(AND($CV85=0,$CW85=1,$CX85=1),"終売（今月から）",IF(AND($CV85=0,$CW85=0,$CX85=1),"終売（先月から）",IF(AND($CV85=1,$CW85=0,$CX85=1),"復活（先月は無し）","")))))))</f>
        <v/>
      </c>
    </row>
    <row r="86">
      <c r="B86">
        <f>IF(81&lt;='設定'!$C$11,81,"")</f>
        <v/>
      </c>
      <c r="C86">
        <f>IF($B86="","",IF($B86&lt;='設定'!$C$20,INDEX('商品マスタ'!$B$6:$B$1005,MATCH($B86,'商品マスタ'!$M$6:$M$1005,0)),IF($B86&lt;='設定'!$C$20+'設定'!$C$17,INDEX('①在庫を貼る'!$W$6:$W$10005,MATCH($B86-'設定'!$C$20,'①在庫を貼る'!$U$6:$U$10005,0)),IF($B86&lt;='設定'!$C$20+'設定'!$C$17+'設定'!$C$18,INDEX('月1回_1ヶ月前の在庫'!$W$6:$W$10005,MATCH($B86-'設定'!$C$20-'設定'!$C$17,'月1回_1ヶ月前の在庫'!$U$6:$U$10005,0)),INDEX('月1回_2ヶ月前の在庫'!$W$6:$W$10005,MATCH($B86-'設定'!$C$20-'設定'!$C$17-'設定'!$C$18,'月1回_2ヶ月前の在庫'!$U$6:$U$10005,0))))))</f>
        <v/>
      </c>
      <c r="D86">
        <f>IF($C86="","",IFERROR(IF(INDEX('商品マスタ'!$C$6:$C$1005,MATCH($C86,'商品マスタ'!$B$6:$B$1005,0))="",IFERROR(INDEX('①在庫を貼る'!$J$6:$J$10005,MATCH($C86,'①在庫を貼る'!$W$6:$W$10005,0)),IFERROR(INDEX('月1回_1ヶ月前の在庫'!$J$6:$J$10005,MATCH($C86,'月1回_1ヶ月前の在庫'!$W$6:$W$10005,0)),IFERROR(INDEX('月1回_2ヶ月前の在庫'!$J$6:$J$10005,MATCH($C86,'月1回_2ヶ月前の在庫'!$W$6:$W$10005,0)),""))),INDEX('商品マスタ'!$C$6:$C$1005,MATCH($C86,'商品マスタ'!$B$6:$B$1005,0))),IFERROR(INDEX('①在庫を貼る'!$J$6:$J$10005,MATCH($C86,'①在庫を貼る'!$W$6:$W$10005,0)),IFERROR(INDEX('月1回_1ヶ月前の在庫'!$J$6:$J$10005,MATCH($C86,'月1回_1ヶ月前の在庫'!$W$6:$W$10005,0)),IFERROR(INDEX('月1回_2ヶ月前の在庫'!$J$6:$J$10005,MATCH($C86,'月1回_2ヶ月前の在庫'!$W$6:$W$10005,0)),"")))))</f>
        <v/>
      </c>
      <c r="E86">
        <f>IF($C86="","",IFERROR(IF(INDEX('商品マスタ'!$D$6:$D$1005,MATCH($C86,'商品マスタ'!$B$6:$B$1005,0))="",IFERROR(INDEX('①在庫を貼る'!$H$6:$H$10005,MATCH($C86,'①在庫を貼る'!$W$6:$W$10005,0)),IFERROR(INDEX('月1回_1ヶ月前の在庫'!$H$6:$H$10005,MATCH($C86,'月1回_1ヶ月前の在庫'!$W$6:$W$10005,0)),IFERROR(INDEX('月1回_2ヶ月前の在庫'!$H$6:$H$10005,MATCH($C86,'月1回_2ヶ月前の在庫'!$W$6:$W$10005,0)),""))),INDEX('商品マスタ'!$D$6:$D$1005,MATCH($C86,'商品マスタ'!$B$6:$B$1005,0))),IFERROR(INDEX('①在庫を貼る'!$H$6:$H$10005,MATCH($C86,'①在庫を貼る'!$W$6:$W$10005,0)),IFERROR(INDEX('月1回_1ヶ月前の在庫'!$H$6:$H$10005,MATCH($C86,'月1回_1ヶ月前の在庫'!$W$6:$W$10005,0)),IFERROR(INDEX('月1回_2ヶ月前の在庫'!$H$6:$H$10005,MATCH($C86,'月1回_2ヶ月前の在庫'!$W$6:$W$10005,0)),"")))))</f>
        <v/>
      </c>
      <c r="F86">
        <f>IF($C86="","",IFERROR(IF(INDEX('商品マスタ'!$E$6:$E$1005,MATCH($C86,'商品マスタ'!$B$6:$B$1005,0))="",IFERROR(INDEX('①在庫を貼る'!$E$6:$E$10005,MATCH($C86,'①在庫を貼る'!$W$6:$W$10005,0)),IFERROR(INDEX('月1回_1ヶ月前の在庫'!$E$6:$E$10005,MATCH($C86,'月1回_1ヶ月前の在庫'!$W$6:$W$10005,0)),IFERROR(INDEX('月1回_2ヶ月前の在庫'!$E$6:$E$10005,MATCH($C86,'月1回_2ヶ月前の在庫'!$W$6:$W$10005,0)),""))),INDEX('商品マスタ'!$E$6:$E$1005,MATCH($C86,'商品マスタ'!$B$6:$B$1005,0))),IFERROR(INDEX('①在庫を貼る'!$E$6:$E$10005,MATCH($C86,'①在庫を貼る'!$W$6:$W$10005,0)),IFERROR(INDEX('月1回_1ヶ月前の在庫'!$E$6:$E$10005,MATCH($C86,'月1回_1ヶ月前の在庫'!$W$6:$W$10005,0)),IFERROR(INDEX('月1回_2ヶ月前の在庫'!$E$6:$E$10005,MATCH($C86,'月1回_2ヶ月前の在庫'!$W$6:$W$10005,0)),"")))))</f>
        <v/>
      </c>
      <c r="G86">
        <f>IF($C86="","",MAX(1,N(IFERROR(IF(INDEX('商品マスタ'!$F$6:$F$1005,MATCH($C86,'商品マスタ'!$B$6:$B$1005,0))="",IF(COUNTIFS('①在庫を貼る'!$V$6:$V$10005,'設定'!$C$4,'①在庫を貼る'!$W$6:$W$10005,$C86)&gt;0,SUMIFS('①在庫を貼る'!$K$6:$K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K$6:$K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K$6:$K$10005,'月1回_2ヶ月前の在庫'!$V$6:$V$10005,'設定'!$C$4,'月1回_2ヶ月前の在庫'!$W$6:$W$10005,$C86)/COUNTIFS('月1回_2ヶ月前の在庫'!$V$6:$V$10005,'設定'!$C$4,'月1回_2ヶ月前の在庫'!$W$6:$W$10005,$C86),0))),INDEX('商品マスタ'!$F$6:$F$1005,MATCH($C86,'商品マスタ'!$B$6:$B$1005,0))),IF(COUNTIFS('①在庫を貼る'!$V$6:$V$10005,'設定'!$C$4,'①在庫を貼る'!$W$6:$W$10005,$C86)&gt;0,SUMIFS('①在庫を貼る'!$K$6:$K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K$6:$K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K$6:$K$10005,'月1回_2ヶ月前の在庫'!$V$6:$V$10005,'設定'!$C$4,'月1回_2ヶ月前の在庫'!$W$6:$W$10005,$C86)/COUNTIFS('月1回_2ヶ月前の在庫'!$V$6:$V$10005,'設定'!$C$4,'月1回_2ヶ月前の在庫'!$W$6:$W$10005,$C86),0)))))))</f>
        <v/>
      </c>
      <c r="H86">
        <f>IF($C86="","",N(IFERROR(IF(INDEX('商品マスタ'!$G$6:$G$1005,MATCH($C86,'商品マスタ'!$B$6:$B$1005,0))="",IF(COUNTIFS('①在庫を貼る'!$V$6:$V$10005,'設定'!$C$4,'①在庫を貼る'!$W$6:$W$10005,$C86)&gt;0,SUMIFS('①在庫を貼る'!$Q$6:$Q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Q$6:$Q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Q$6:$Q$10005,'月1回_2ヶ月前の在庫'!$V$6:$V$10005,'設定'!$C$4,'月1回_2ヶ月前の在庫'!$W$6:$W$10005,$C86)/COUNTIFS('月1回_2ヶ月前の在庫'!$V$6:$V$10005,'設定'!$C$4,'月1回_2ヶ月前の在庫'!$W$6:$W$10005,$C86),0))),INDEX('商品マスタ'!$G$6:$G$1005,MATCH($C86,'商品マスタ'!$B$6:$B$1005,0))),IF(COUNTIFS('①在庫を貼る'!$V$6:$V$10005,'設定'!$C$4,'①在庫を貼る'!$W$6:$W$10005,$C86)&gt;0,SUMIFS('①在庫を貼る'!$Q$6:$Q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Q$6:$Q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Q$6:$Q$10005,'月1回_2ヶ月前の在庫'!$V$6:$V$10005,'設定'!$C$4,'月1回_2ヶ月前の在庫'!$W$6:$W$10005,$C86)/COUNTIFS('月1回_2ヶ月前の在庫'!$V$6:$V$10005,'設定'!$C$4,'月1回_2ヶ月前の在庫'!$W$6:$W$10005,$C86),0))))))</f>
        <v/>
      </c>
      <c r="I86">
        <f>IF($C86="","",IF(COUNTIFS('①在庫を貼る'!$V$6:$V$10005,'設定'!$C$4,'①在庫を貼る'!$W$6:$W$10005,$C86)=0,"",SUMIFS('①在庫を貼る'!$N$6:$N$10005,'①在庫を貼る'!$V$6:$V$10005,'設定'!$C$4,'①在庫を貼る'!$W$6:$W$10005,$C86)))</f>
        <v/>
      </c>
      <c r="J86">
        <f>IF($C86="","",IF('②発注する'!$AD90="","",'②発注する'!$AD90))</f>
        <v/>
      </c>
      <c r="K86" s="90">
        <f>IF($C86="","",IF('②発注する'!$AE90="","",'②発注する'!$AE90))</f>
        <v/>
      </c>
      <c r="L86">
        <f>IF($C86="","",IF(AND(ISNUMBER($J86),ISNUMBER($K86),$K86&gt;='設定'!$C$6),$J86,N($I86)))</f>
        <v/>
      </c>
      <c r="M86">
        <f>IF($C86="","",IFERROR(IF(N(INDEX('商品マスタ'!$J$6:$J$1005,MATCH($C86,'商品マスタ'!$B$6:$B$1005,0)))&gt;0,INDEX('商品マスタ'!$J$6:$J$1005,MATCH($C86,'商品マスタ'!$B$6:$B$1005,0)),""),""))</f>
        <v/>
      </c>
      <c r="N86">
        <f>IF($C86="","",IFERROR(IF(N(INDEX('商品マスタ'!$H$6:$H$1005,MATCH($C86,'商品マスタ'!$B$6:$B$1005,0)))&gt;0,INDEX('商品マスタ'!$H$6:$H$1005,MATCH($C86,'商品マスタ'!$B$6:$B$1005,0)),""),""))</f>
        <v/>
      </c>
      <c r="O86">
        <f>IF($C86="","",IF($N86&lt;&gt;"",$N86*$G86,IF(N(IF(COUNTIFS('①在庫を貼る'!$V$6:$V$10005,'設定'!$C$4,'①在庫を貼る'!$W$6:$W$10005,$C86)&gt;0,SUMIFS('①在庫を貼る'!$O$6:$O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O$6:$O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O$6:$O$10005,'月1回_2ヶ月前の在庫'!$V$6:$V$10005,'設定'!$C$4,'月1回_2ヶ月前の在庫'!$W$6:$W$10005,$C86)/COUNTIFS('月1回_2ヶ月前の在庫'!$V$6:$V$10005,'設定'!$C$4,'月1回_2ヶ月前の在庫'!$W$6:$W$10005,$C86),0))))&gt;0,N(IF(COUNTIFS('①在庫を貼る'!$V$6:$V$10005,'設定'!$C$4,'①在庫を貼る'!$W$6:$W$10005,$C86)&gt;0,SUMIFS('①在庫を貼る'!$O$6:$O$10005,'①在庫を貼る'!$V$6:$V$10005,'設定'!$C$4,'①在庫を貼る'!$W$6:$W$10005,$C86)/COUNTIFS('①在庫を貼る'!$V$6:$V$10005,'設定'!$C$4,'①在庫を貼る'!$W$6:$W$10005,$C86),IF(COUNTIFS('月1回_1ヶ月前の在庫'!$V$6:$V$10005,'設定'!$C$4,'月1回_1ヶ月前の在庫'!$W$6:$W$10005,$C86)&gt;0,SUMIFS('月1回_1ヶ月前の在庫'!$O$6:$O$10005,'月1回_1ヶ月前の在庫'!$V$6:$V$10005,'設定'!$C$4,'月1回_1ヶ月前の在庫'!$W$6:$W$10005,$C86)/COUNTIFS('月1回_1ヶ月前の在庫'!$V$6:$V$10005,'設定'!$C$4,'月1回_1ヶ月前の在庫'!$W$6:$W$10005,$C86),IF(COUNTIFS('月1回_2ヶ月前の在庫'!$V$6:$V$10005,'設定'!$C$4,'月1回_2ヶ月前の在庫'!$W$6:$W$10005,$C86)&gt;0,SUMIFS('月1回_2ヶ月前の在庫'!$O$6:$O$10005,'月1回_2ヶ月前の在庫'!$V$6:$V$10005,'設定'!$C$4,'月1回_2ヶ月前の在庫'!$W$6:$W$10005,$C86)/COUNTIFS('月1回_2ヶ月前の在庫'!$V$6:$V$10005,'設定'!$C$4,'月1回_2ヶ月前の在庫'!$W$6:$W$10005,$C86),0)))),"")))</f>
        <v/>
      </c>
      <c r="P86" s="90">
        <f>IF($C86="","",IF('②発注する'!$I90="","",'②発注する'!$I90))</f>
        <v/>
      </c>
      <c r="Q86">
        <f>IF($C86="","",IF('②発注する'!$J90="","",'②発注する'!$J90))</f>
        <v/>
      </c>
      <c r="R86">
        <f>IF($C86="",0,IF(AND(ISNUMBER($P86),ISNUMBER($Q86)),MAX(0,$Q86)*$G86,0))</f>
        <v/>
      </c>
      <c r="S86" s="90">
        <f>IF($C86="","",IF('②発注する'!$M90="","",'②発注する'!$M90))</f>
        <v/>
      </c>
      <c r="T86">
        <f>IF($C86="","",IF('②発注する'!$N90="","",'②発注する'!$N90))</f>
        <v/>
      </c>
      <c r="U86">
        <f>IF($C86="",0,IF(AND(ISNUMBER($S86),ISNUMBER($T86)),MAX(0,$T86)*$G86,0))</f>
        <v/>
      </c>
      <c r="V86">
        <f>IF($C86="",0,IF($M86="",0,MAX(0,$M86)*MAX(0,V$4)/100))</f>
        <v/>
      </c>
      <c r="W86">
        <f>IF($C86="",0,IF($M86="",0,MAX(0,$M86)*MAX(0,W$4)/100))</f>
        <v/>
      </c>
      <c r="X86">
        <f>IF($C86="",0,IF($M86="",0,MAX(0,$M86)*MAX(0,X$4)/100))</f>
        <v/>
      </c>
      <c r="Y86">
        <f>IF($C86="",0,IF($M86="",0,MAX(0,$M86)*MAX(0,Y$4)/100))</f>
        <v/>
      </c>
      <c r="Z86">
        <f>IF($C86="",0,IF($M86="",0,MAX(0,$M86)*MAX(0,Z$4)/100))</f>
        <v/>
      </c>
      <c r="AA86">
        <f>IF($C86="",0,IF($M86="",0,MAX(0,$M86)*MAX(0,AA$4)/100))</f>
        <v/>
      </c>
      <c r="AB86">
        <f>IF($C86="",0,IF($M86="",0,MAX(0,$M86)*MAX(0,AB$4)/100))</f>
        <v/>
      </c>
      <c r="AC86">
        <f>IF($C86="",0,IF($M86="",0,MAX(0,$M86)*MAX(0,AC$4)/100))</f>
        <v/>
      </c>
      <c r="AD86">
        <f>IF($C86="",0,IF($M86="",0,MAX(0,$M86)*MAX(0,AD$4)/100))</f>
        <v/>
      </c>
      <c r="AE86">
        <f>IF($C86="",0,IF($M86="",0,MAX(0,$M86)*MAX(0,AE$4)/100))</f>
        <v/>
      </c>
      <c r="AF86">
        <f>IF($C86="",0,IF($M86="",0,MAX(0,$M86)*MAX(0,AF$4)/100))</f>
        <v/>
      </c>
      <c r="AG86">
        <f>IF($C86="",0,IF($M86="",0,MAX(0,$M86)*MAX(0,AG$4)/100))</f>
        <v/>
      </c>
      <c r="AH86">
        <f>IF($C86="",0,IF($M86="",0,MAX(0,$M86)*MAX(0,AH$4)/100))</f>
        <v/>
      </c>
      <c r="AI86">
        <f>IF($C86="",0,IF($M86="",0,MAX(0,$M86)*MAX(0,AI$4)/100))</f>
        <v/>
      </c>
      <c r="AJ86">
        <f>IF($C86="",0,MAX(0,MAX(0,N($L86))-$V86))</f>
        <v/>
      </c>
      <c r="AK86">
        <f>IF($C86="",0,MAX(0,$AJ86-$W86))</f>
        <v/>
      </c>
      <c r="AL86">
        <f>IF($C86="",0,MAX(0,$AK86-$X86))</f>
        <v/>
      </c>
      <c r="AM86">
        <f>IF($C86="",0,MAX(0,$AL86-$Y86))</f>
        <v/>
      </c>
      <c r="AN86">
        <f>IF($C86="",0,MAX(0,$AM86-$Z86))</f>
        <v/>
      </c>
      <c r="AO86">
        <f>IF($C86="",0,MAX(0,$AN86-$AA86))</f>
        <v/>
      </c>
      <c r="AP86">
        <f>IF($C86="",0,MAX(0,$AO86-$AB86))</f>
        <v/>
      </c>
      <c r="AQ86">
        <f>IF($C86="",0,MAX(0,$AP86-$AC86))</f>
        <v/>
      </c>
      <c r="AR86">
        <f>IF($C86="",0,MAX(0,$AQ86-$AD86))</f>
        <v/>
      </c>
      <c r="AS86">
        <f>IF($C86="",0,MAX(0,$AR86-$AE86))</f>
        <v/>
      </c>
      <c r="AT86">
        <f>IF($C86="",0,MAX(0,$AS86-$AF86))</f>
        <v/>
      </c>
      <c r="AU86">
        <f>IF($C86="",0,MAX(0,$AT86-$AG86))</f>
        <v/>
      </c>
      <c r="AV86">
        <f>IF($C86="",0,MAX(0,$AU86-$AH86))</f>
        <v/>
      </c>
      <c r="AW86">
        <f>IF($C86="",0,MAX(0,$AV86-$AI86))</f>
        <v/>
      </c>
      <c r="AX86">
        <f>IF($C86="",0,MAX(0,MAX(0,N($L86))+IF($P86=V$3,$R86,0)+IF($S86=V$3,$U86,0)-$V86))</f>
        <v/>
      </c>
      <c r="AY86">
        <f>IF($C86="",0,MAX(0,$AX86+IF($P86=W$3,$R86,0)+IF($S86=W$3,$U86,0)-$W86))</f>
        <v/>
      </c>
      <c r="AZ86">
        <f>IF($C86="",0,MAX(0,$AY86+IF($P86=X$3,$R86,0)+IF($S86=X$3,$U86,0)-$X86))</f>
        <v/>
      </c>
      <c r="BA86">
        <f>IF($C86="",0,MAX(0,$AZ86+IF($P86=Y$3,$R86,0)+IF($S86=Y$3,$U86,0)-$Y86))</f>
        <v/>
      </c>
      <c r="BB86">
        <f>IF($C86="",0,MAX(0,$BA86+IF($P86=Z$3,$R86,0)+IF($S86=Z$3,$U86,0)-$Z86))</f>
        <v/>
      </c>
      <c r="BC86">
        <f>IF($C86="",0,MAX(0,$BB86+IF($P86=AA$3,$R86,0)+IF($S86=AA$3,$U86,0)-$AA86))</f>
        <v/>
      </c>
      <c r="BD86">
        <f>IF($C86="",0,MAX(0,$BC86+IF($P86=AB$3,$R86,0)+IF($S86=AB$3,$U86,0)-$AB86))</f>
        <v/>
      </c>
      <c r="BE86">
        <f>IF($C86="",0,MAX(0,$BD86+IF($P86=AC$3,$R86,0)+IF($S86=AC$3,$U86,0)-$AC86))</f>
        <v/>
      </c>
      <c r="BF86">
        <f>IF($C86="",0,MAX(0,$BE86+IF($P86=AD$3,$R86,0)+IF($S86=AD$3,$U86,0)-$AD86))</f>
        <v/>
      </c>
      <c r="BG86">
        <f>IF($C86="",0,MAX(0,$BF86+IF($P86=AE$3,$R86,0)+IF($S86=AE$3,$U86,0)-$AE86))</f>
        <v/>
      </c>
      <c r="BH86">
        <f>IF($C86="",0,MAX(0,$BG86+IF($P86=AF$3,$R86,0)+IF($S86=AF$3,$U86,0)-$AF86))</f>
        <v/>
      </c>
      <c r="BI86">
        <f>IF($C86="",0,MAX(0,$BH86+IF($P86=AG$3,$R86,0)+IF($S86=AG$3,$U86,0)-$AG86))</f>
        <v/>
      </c>
      <c r="BJ86">
        <f>IF($C86="",0,MAX(0,$BI86+IF($P86=AH$3,$R86,0)+IF($S86=AH$3,$U86,0)-$AH86))</f>
        <v/>
      </c>
      <c r="BK86">
        <f>IF($C86="",0,MAX(0,$BJ86+IF($P86=AI$3,$R86,0)+IF($S86=AI$3,$U86,0)-$AI86))</f>
        <v/>
      </c>
      <c r="BL86">
        <f>IF($C86="",99,IF(AND($AX86&lt;1,V$3&gt;=MAX(N($P86),N($S86))),0,99))</f>
        <v/>
      </c>
      <c r="BM86">
        <f>IF($C86="",99,IF(AND($AY86&lt;1,W$3&gt;=MAX(N($P86),N($S86))),1,99))</f>
        <v/>
      </c>
      <c r="BN86">
        <f>IF($C86="",99,IF(AND($AZ86&lt;1,X$3&gt;=MAX(N($P86),N($S86))),2,99))</f>
        <v/>
      </c>
      <c r="BO86">
        <f>IF($C86="",99,IF(AND($BA86&lt;1,Y$3&gt;=MAX(N($P86),N($S86))),3,99))</f>
        <v/>
      </c>
      <c r="BP86">
        <f>IF($C86="",99,IF(AND($BB86&lt;1,Z$3&gt;=MAX(N($P86),N($S86))),4,99))</f>
        <v/>
      </c>
      <c r="BQ86">
        <f>IF($C86="",99,IF(AND($BC86&lt;1,AA$3&gt;=MAX(N($P86),N($S86))),5,99))</f>
        <v/>
      </c>
      <c r="BR86">
        <f>IF($C86="",99,IF(AND($BD86&lt;1,AB$3&gt;=MAX(N($P86),N($S86))),6,99))</f>
        <v/>
      </c>
      <c r="BS86">
        <f>IF($C86="",99,IF(AND($BE86&lt;1,AC$3&gt;=MAX(N($P86),N($S86))),7,99))</f>
        <v/>
      </c>
      <c r="BT86">
        <f>IF($C86="",99,IF(AND($BF86&lt;1,AD$3&gt;=MAX(N($P86),N($S86))),8,99))</f>
        <v/>
      </c>
      <c r="BU86">
        <f>IF($C86="",99,IF(AND($BG86&lt;1,AE$3&gt;=MAX(N($P86),N($S86))),9,99))</f>
        <v/>
      </c>
      <c r="BV86">
        <f>IF($C86="",99,IF(AND($BH86&lt;1,AF$3&gt;=MAX(N($P86),N($S86))),10,99))</f>
        <v/>
      </c>
      <c r="BW86">
        <f>IF($C86="",99,IF(AND($BI86&lt;1,AG$3&gt;=MAX(N($P86),N($S86))),11,99))</f>
        <v/>
      </c>
      <c r="BX86">
        <f>IF($C86="",99,IF(AND($BJ86&lt;1,AH$3&gt;=MAX(N($P86),N($S86))),12,99))</f>
        <v/>
      </c>
      <c r="BY86">
        <f>IF($C86="",99,IF(AND($BK86&lt;1,AI$3&gt;=MAX(N($P86),N($S86))),13,99))</f>
        <v/>
      </c>
      <c r="BZ86">
        <f>IF(OR($C86="",$M86=""),"",COUNTIF($AJ86:$AW86,"&gt;=1"))</f>
        <v/>
      </c>
      <c r="CA86" s="90">
        <f>IF($BZ86="","",IF($BZ86&gt;=14,"",'設定'!$C$6+$BZ86))</f>
        <v/>
      </c>
      <c r="CB86">
        <f>IF(OR($C86="",$M86=""),"",MIN($BL86:$BY86))</f>
        <v/>
      </c>
      <c r="CC86" s="90">
        <f>IF($CB86="","",IF($CB86&gt;=99,"",'設定'!$C$6+$CB86))</f>
        <v/>
      </c>
      <c r="CD86">
        <f>IF(OR($C86="",$M86=""),"",AVERAGE($V86:$AI86))</f>
        <v/>
      </c>
      <c r="CE86">
        <f>IF($C86="","",IFERROR(IF(MATCH(IF(ISNUMBER($P86),$P86,'設定'!$C$6+N('設定'!$C$7)),$V$3:$AI$3,0)=1,MAX(0,N($L86)),INDEX($AJ86:$AW86,MATCH(IF(ISNUMBER($P86),$P86,'設定'!$C$6+N('設定'!$C$7)),$V$3:$AI$3,0)-1)),""))</f>
        <v/>
      </c>
      <c r="CF86">
        <f>IF(OR($C86="",$O86="",$CE86=""),"",IF($O86-$CE86&lt;=0,0,ROUNDUP(($O86-$CE86)/$G86,0)))</f>
        <v/>
      </c>
      <c r="CG86">
        <f>IF(OR($C86="",$CF86="",NOT(ISNUMBER($Q86))),0,MAX(0,$Q86-$CF86))</f>
        <v/>
      </c>
      <c r="CH86">
        <f>IF(OR($C86="",$O86="",$U86=0),0,IFERROR(ROUNDUP(MAX(0,IF(MATCH($S86,$V$3:$AI$3,0)=1,MAX(0,N($L86)),INDEX($AX86:$BK86,MATCH($S86,$V$3:$AI$3,0)-1))+$U86-$O86)/$G86,0),0))</f>
        <v/>
      </c>
      <c r="CI86">
        <f>IF($C86="","",IF(AND($P86="",$Q86=""),"",IF($P86="","⚠ 入庫日を ▼ から選んでください",IF(NOT(ISNUMBER($P86)),"⚠ 入庫日は ▼ から選んでください",IF($P86&lt;N('設定'!$C$6),"⚠ 入庫日が過去です（もう在庫に入っています）→ 消してください",IF($P86&gt;N('設定'!$C$6)+13,"⚠ 入庫日が14日より先です",IF(N($Q86)&lt;=0,"⚠ 入庫数を入れてください",IF($CG86&gt;0,"⚠ 目安より "&amp;$CG86&amp;" 多い（定数を超える）→ 減らす",""))))))))</f>
        <v/>
      </c>
      <c r="CJ86">
        <f>IF($C86="","",IF(AND($S86="",$T86=""),"",IF($S86="","⚠ 2便目：入庫日を ▼ から選んでください",IF(NOT(ISNUMBER($S86)),"⚠ 2便目：入庫日は ▼ から選んでください",IF($S86&lt;N('設定'!$C$6),"⚠ 2便目：入庫日が過去です（もう在庫に入っています）→ 消してください",IF($S86&gt;N('設定'!$C$6)+13,"⚠ 2便目：入庫日が14日より先です",IF(N($T86)&lt;=0,"⚠ 2便目：入庫数を入れてください",IF($CH86&gt;0,"⚠ 2便目：定数を "&amp;$CH86&amp;" ケース超える → 減らす",""))))))))</f>
        <v/>
      </c>
      <c r="CK86">
        <f>IF(AND($CI86="",N($Q86)&gt;0,ISNUMBER($P86)),1,0)</f>
        <v/>
      </c>
      <c r="CL86">
        <f>IF(AND($CJ86="",N($T86)&gt;0,ISNUMBER($S86)),1,0)</f>
        <v/>
      </c>
      <c r="CM86">
        <f>IF(OR($CK86=1,$CL86=1),1,0)</f>
        <v/>
      </c>
      <c r="CN86">
        <f>IF($C86="",0,($CK86*$R86+$CL86*$U86)*N($H86))</f>
        <v/>
      </c>
      <c r="CO86">
        <f>IF($C86="","",IF($CC86="","入庫後は 14日以上もつ",IF($CC86-N('設定'!$C$7)&lt;='設定'!$C$6,"入庫後も "&amp;TEXT($CC86,"m/d")&amp;"("&amp;CHOOSE(WEEKDAY($CC86),"日","月","火","水","木","金","土")&amp;")"&amp;" に切れる　もう1便を至急発注","入庫後も "&amp;TEXT($CC86,"m/d")&amp;"("&amp;CHOOSE(WEEKDAY($CC86),"日","月","火","水","木","金","土")&amp;")"&amp;" に切れる　"&amp;TEXT($CC86-N('設定'!$C$7),"m/d")&amp;"("&amp;CHOOSE(WEEKDAY($CC86-N('設定'!$C$7)),"日","月","火","水","木","金","土")&amp;")"&amp;" までに次を発注")))</f>
        <v/>
      </c>
      <c r="CP86">
        <f>IF($C86="","",IF('設定'!$C$6="","？ ①在庫を貼る に今日のCSVが貼られていない",IF($CS86=1,"－ 今日のCSVに無い（終売？）",IF($L86&lt;0,"● 在庫がマイナス　数えて「数えた在庫」に入れる",IF($L86=0,"● 在庫なし　至急発注",IF($M86="","？ 減り数が未設定（商品マスタ）",IF($B$3=0,"？ 動員が未入力（動員を入れる）",IF($CA86="","○ 14日以上もつ",IF($BZ86&lt;N('設定'!$C$7),"● "&amp;TEXT($CA86,"m/d")&amp;"("&amp;CHOOSE(WEEKDAY($CA86),"日","月","火","水","木","金","土")&amp;")"&amp;" に切れる　至急発注",IF($BZ86=N('設定'!$C$7),"● "&amp;TEXT($CA86,"m/d")&amp;"("&amp;CHOOSE(WEEKDAY($CA86),"日","月","火","水","木","金","土")&amp;")"&amp;" に切れる　今日発注","△ "&amp;TEXT($CA86,"m/d")&amp;"("&amp;CHOOSE(WEEKDAY($CA86),"日","月","火","水","木","金","土")&amp;")"&amp;" に切れる　"&amp;TEXT($CA86-N('設定'!$C$7),"m/d")&amp;"("&amp;CHOOSE(WEEKDAY($CA86-N('設定'!$C$7)),"日","月","火","水","木","金","土")&amp;")"&amp;" までに発注"))))))))))</f>
        <v/>
      </c>
      <c r="CQ86">
        <f>IF($C86="","",IF(AND($P86="",$Q86="",$S86="",$T86=""),"",IF(AND($P86="",$Q86=""),"⚠ 先に1便目（左の入庫日・入庫数）に入れてください",IF($CI86&lt;&gt;"",$CI86,IF($CJ86&lt;&gt;"",$CJ86,IF($M86="","？ 減り数が未設定（発注書には載ります）",IF($B$3=0,"？ 動員が未入力（発注書には載ります）",IF(AND($CA86&lt;&gt;"",$P86&gt;$CA86),IF($P86&gt;'設定'!$C$6+N('設定'!$C$7),"● "&amp;TEXT($P86,"m/d")&amp;"("&amp;CHOOSE(WEEKDAY($P86),"日","月","火","水","木","金","土")&amp;")"&amp;" の入庫では間に合わない（"&amp;TEXT($CA86,"m/d")&amp;"("&amp;CHOOSE(WEEKDAY($CA86),"日","月","火","水","木","金","土")&amp;")"&amp;" に切れる）　入庫日を早める","△ 欠品 "&amp;TEXT($CA86,"m/d")&amp;"("&amp;CHOOSE(WEEKDAY($CA86),"日","月","火","水","木","金","土")&amp;")"&amp;"〜"&amp;TEXT($P86-1,"m/d")&amp;"("&amp;CHOOSE(WEEKDAY($P86-1),"日","月","火","水","木","金","土")&amp;")"&amp;"　"&amp;$CO86),IF($CC86="","○ "&amp;TEXT($P86,"m/d")&amp;"("&amp;CHOOSE(WEEKDAY($P86),"日","月","火","水","木","金","土")&amp;")"&amp;" 入庫で 14日以上もつ",IF($CC86-N('設定'!$C$7)&lt;='設定'!$C$6,"● 入庫しても "&amp;TEXT($CC86,"m/d")&amp;"("&amp;CHOOSE(WEEKDAY($CC86),"日","月","火","水","木","金","土")&amp;")"&amp;" に切れる　もう1便を至急発注（2便目に入れる）","△ 入庫しても "&amp;TEXT($CC86,"m/d")&amp;"("&amp;CHOOSE(WEEKDAY($CC86),"日","月","火","水","木","金","土")&amp;")"&amp;" に切れる　"&amp;TEXT($CC86-N('設定'!$C$7),"m/d")&amp;"("&amp;CHOOSE(WEEKDAY($CC86-N('設定'!$C$7)),"日","月","火","水","木","金","土")&amp;")"&amp;" までに次を発注（2便目に入れる）"))))))))))</f>
        <v/>
      </c>
      <c r="CR86">
        <f>IF($C86="","",IF($G86&gt;1,"ｹｰｽ("&amp;$G86&amp;"入)","個"))</f>
        <v/>
      </c>
      <c r="CS86">
        <f>IF($C86="",0,IF(COUNTIFS('①在庫を貼る'!$V$6:$V$10005,'設定'!$C$4,'①在庫を貼る'!$W$6:$W$10005,$C86)=0,1,0))</f>
        <v/>
      </c>
      <c r="CT86">
        <f>IF(AND($CK86=1,OR('③発注書'!$C$4="すべて",'③発注書'!$C$4="",$F86='③発注書'!$C$4)),N($CT85)+1,N($CT85))</f>
        <v/>
      </c>
      <c r="CU86">
        <f>IF(AND($CL86=1,OR('③発注書'!$C$4="すべて",'③発注書'!$C$4="",$F86='③発注書'!$C$4)),N($CU85)+1,N($CU85))</f>
        <v/>
      </c>
      <c r="CV86">
        <f>IF($C86="",0,IF(COUNTIFS('①在庫を貼る'!$V$6:$V$10005,'設定'!$C$4,'①在庫を貼る'!$W$6:$W$10005,$C86)&gt;0,1,0))</f>
        <v/>
      </c>
      <c r="CW86">
        <f>IF($C86="",0,IF(COUNTIFS('月1回_1ヶ月前の在庫'!$V$6:$V$10005,'設定'!$C$4,'月1回_1ヶ月前の在庫'!$W$6:$W$10005,$C86)&gt;0,1,0))</f>
        <v/>
      </c>
      <c r="CX86">
        <f>IF($C86="",0,IF(COUNTIFS('月1回_2ヶ月前の在庫'!$V$6:$V$10005,'設定'!$C$4,'月1回_2ヶ月前の在庫'!$W$6:$W$10005,$C86)&gt;0,1,0))</f>
        <v/>
      </c>
      <c r="CY86">
        <f>IF(OR($C86="",'設定'!$C$12=""),"",IF('設定'!$C$13="",IF(AND($CV86=1,$CW86=0),"新商品（今月から）",IF(AND($CV86=0,$CW86=1),"終売（今月から）","")),IF(AND($CV86=1,$CW86=0,$CX86=0),"新商品（今月から）",IF(AND($CV86=1,$CW86=1,$CX86=0),"新商品（先月から）",IF(AND($CV86=0,$CW86=1,$CX86=1),"終売（今月から）",IF(AND($CV86=0,$CW86=0,$CX86=1),"終売（先月から）",IF(AND($CV86=1,$CW86=0,$CX86=1),"復活（先月は無し）","")))))))</f>
        <v/>
      </c>
    </row>
    <row r="87">
      <c r="B87">
        <f>IF(82&lt;='設定'!$C$11,82,"")</f>
        <v/>
      </c>
      <c r="C87">
        <f>IF($B87="","",IF($B87&lt;='設定'!$C$20,INDEX('商品マスタ'!$B$6:$B$1005,MATCH($B87,'商品マスタ'!$M$6:$M$1005,0)),IF($B87&lt;='設定'!$C$20+'設定'!$C$17,INDEX('①在庫を貼る'!$W$6:$W$10005,MATCH($B87-'設定'!$C$20,'①在庫を貼る'!$U$6:$U$10005,0)),IF($B87&lt;='設定'!$C$20+'設定'!$C$17+'設定'!$C$18,INDEX('月1回_1ヶ月前の在庫'!$W$6:$W$10005,MATCH($B87-'設定'!$C$20-'設定'!$C$17,'月1回_1ヶ月前の在庫'!$U$6:$U$10005,0)),INDEX('月1回_2ヶ月前の在庫'!$W$6:$W$10005,MATCH($B87-'設定'!$C$20-'設定'!$C$17-'設定'!$C$18,'月1回_2ヶ月前の在庫'!$U$6:$U$10005,0))))))</f>
        <v/>
      </c>
      <c r="D87">
        <f>IF($C87="","",IFERROR(IF(INDEX('商品マスタ'!$C$6:$C$1005,MATCH($C87,'商品マスタ'!$B$6:$B$1005,0))="",IFERROR(INDEX('①在庫を貼る'!$J$6:$J$10005,MATCH($C87,'①在庫を貼る'!$W$6:$W$10005,0)),IFERROR(INDEX('月1回_1ヶ月前の在庫'!$J$6:$J$10005,MATCH($C87,'月1回_1ヶ月前の在庫'!$W$6:$W$10005,0)),IFERROR(INDEX('月1回_2ヶ月前の在庫'!$J$6:$J$10005,MATCH($C87,'月1回_2ヶ月前の在庫'!$W$6:$W$10005,0)),""))),INDEX('商品マスタ'!$C$6:$C$1005,MATCH($C87,'商品マスタ'!$B$6:$B$1005,0))),IFERROR(INDEX('①在庫を貼る'!$J$6:$J$10005,MATCH($C87,'①在庫を貼る'!$W$6:$W$10005,0)),IFERROR(INDEX('月1回_1ヶ月前の在庫'!$J$6:$J$10005,MATCH($C87,'月1回_1ヶ月前の在庫'!$W$6:$W$10005,0)),IFERROR(INDEX('月1回_2ヶ月前の在庫'!$J$6:$J$10005,MATCH($C87,'月1回_2ヶ月前の在庫'!$W$6:$W$10005,0)),"")))))</f>
        <v/>
      </c>
      <c r="E87">
        <f>IF($C87="","",IFERROR(IF(INDEX('商品マスタ'!$D$6:$D$1005,MATCH($C87,'商品マスタ'!$B$6:$B$1005,0))="",IFERROR(INDEX('①在庫を貼る'!$H$6:$H$10005,MATCH($C87,'①在庫を貼る'!$W$6:$W$10005,0)),IFERROR(INDEX('月1回_1ヶ月前の在庫'!$H$6:$H$10005,MATCH($C87,'月1回_1ヶ月前の在庫'!$W$6:$W$10005,0)),IFERROR(INDEX('月1回_2ヶ月前の在庫'!$H$6:$H$10005,MATCH($C87,'月1回_2ヶ月前の在庫'!$W$6:$W$10005,0)),""))),INDEX('商品マスタ'!$D$6:$D$1005,MATCH($C87,'商品マスタ'!$B$6:$B$1005,0))),IFERROR(INDEX('①在庫を貼る'!$H$6:$H$10005,MATCH($C87,'①在庫を貼る'!$W$6:$W$10005,0)),IFERROR(INDEX('月1回_1ヶ月前の在庫'!$H$6:$H$10005,MATCH($C87,'月1回_1ヶ月前の在庫'!$W$6:$W$10005,0)),IFERROR(INDEX('月1回_2ヶ月前の在庫'!$H$6:$H$10005,MATCH($C87,'月1回_2ヶ月前の在庫'!$W$6:$W$10005,0)),"")))))</f>
        <v/>
      </c>
      <c r="F87">
        <f>IF($C87="","",IFERROR(IF(INDEX('商品マスタ'!$E$6:$E$1005,MATCH($C87,'商品マスタ'!$B$6:$B$1005,0))="",IFERROR(INDEX('①在庫を貼る'!$E$6:$E$10005,MATCH($C87,'①在庫を貼る'!$W$6:$W$10005,0)),IFERROR(INDEX('月1回_1ヶ月前の在庫'!$E$6:$E$10005,MATCH($C87,'月1回_1ヶ月前の在庫'!$W$6:$W$10005,0)),IFERROR(INDEX('月1回_2ヶ月前の在庫'!$E$6:$E$10005,MATCH($C87,'月1回_2ヶ月前の在庫'!$W$6:$W$10005,0)),""))),INDEX('商品マスタ'!$E$6:$E$1005,MATCH($C87,'商品マスタ'!$B$6:$B$1005,0))),IFERROR(INDEX('①在庫を貼る'!$E$6:$E$10005,MATCH($C87,'①在庫を貼る'!$W$6:$W$10005,0)),IFERROR(INDEX('月1回_1ヶ月前の在庫'!$E$6:$E$10005,MATCH($C87,'月1回_1ヶ月前の在庫'!$W$6:$W$10005,0)),IFERROR(INDEX('月1回_2ヶ月前の在庫'!$E$6:$E$10005,MATCH($C87,'月1回_2ヶ月前の在庫'!$W$6:$W$10005,0)),"")))))</f>
        <v/>
      </c>
      <c r="G87">
        <f>IF($C87="","",MAX(1,N(IFERROR(IF(INDEX('商品マスタ'!$F$6:$F$1005,MATCH($C87,'商品マスタ'!$B$6:$B$1005,0))="",IF(COUNTIFS('①在庫を貼る'!$V$6:$V$10005,'設定'!$C$4,'①在庫を貼る'!$W$6:$W$10005,$C87)&gt;0,SUMIFS('①在庫を貼る'!$K$6:$K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K$6:$K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K$6:$K$10005,'月1回_2ヶ月前の在庫'!$V$6:$V$10005,'設定'!$C$4,'月1回_2ヶ月前の在庫'!$W$6:$W$10005,$C87)/COUNTIFS('月1回_2ヶ月前の在庫'!$V$6:$V$10005,'設定'!$C$4,'月1回_2ヶ月前の在庫'!$W$6:$W$10005,$C87),0))),INDEX('商品マスタ'!$F$6:$F$1005,MATCH($C87,'商品マスタ'!$B$6:$B$1005,0))),IF(COUNTIFS('①在庫を貼る'!$V$6:$V$10005,'設定'!$C$4,'①在庫を貼る'!$W$6:$W$10005,$C87)&gt;0,SUMIFS('①在庫を貼る'!$K$6:$K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K$6:$K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K$6:$K$10005,'月1回_2ヶ月前の在庫'!$V$6:$V$10005,'設定'!$C$4,'月1回_2ヶ月前の在庫'!$W$6:$W$10005,$C87)/COUNTIFS('月1回_2ヶ月前の在庫'!$V$6:$V$10005,'設定'!$C$4,'月1回_2ヶ月前の在庫'!$W$6:$W$10005,$C87),0)))))))</f>
        <v/>
      </c>
      <c r="H87">
        <f>IF($C87="","",N(IFERROR(IF(INDEX('商品マスタ'!$G$6:$G$1005,MATCH($C87,'商品マスタ'!$B$6:$B$1005,0))="",IF(COUNTIFS('①在庫を貼る'!$V$6:$V$10005,'設定'!$C$4,'①在庫を貼る'!$W$6:$W$10005,$C87)&gt;0,SUMIFS('①在庫を貼る'!$Q$6:$Q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Q$6:$Q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Q$6:$Q$10005,'月1回_2ヶ月前の在庫'!$V$6:$V$10005,'設定'!$C$4,'月1回_2ヶ月前の在庫'!$W$6:$W$10005,$C87)/COUNTIFS('月1回_2ヶ月前の在庫'!$V$6:$V$10005,'設定'!$C$4,'月1回_2ヶ月前の在庫'!$W$6:$W$10005,$C87),0))),INDEX('商品マスタ'!$G$6:$G$1005,MATCH($C87,'商品マスタ'!$B$6:$B$1005,0))),IF(COUNTIFS('①在庫を貼る'!$V$6:$V$10005,'設定'!$C$4,'①在庫を貼る'!$W$6:$W$10005,$C87)&gt;0,SUMIFS('①在庫を貼る'!$Q$6:$Q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Q$6:$Q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Q$6:$Q$10005,'月1回_2ヶ月前の在庫'!$V$6:$V$10005,'設定'!$C$4,'月1回_2ヶ月前の在庫'!$W$6:$W$10005,$C87)/COUNTIFS('月1回_2ヶ月前の在庫'!$V$6:$V$10005,'設定'!$C$4,'月1回_2ヶ月前の在庫'!$W$6:$W$10005,$C87),0))))))</f>
        <v/>
      </c>
      <c r="I87">
        <f>IF($C87="","",IF(COUNTIFS('①在庫を貼る'!$V$6:$V$10005,'設定'!$C$4,'①在庫を貼る'!$W$6:$W$10005,$C87)=0,"",SUMIFS('①在庫を貼る'!$N$6:$N$10005,'①在庫を貼る'!$V$6:$V$10005,'設定'!$C$4,'①在庫を貼る'!$W$6:$W$10005,$C87)))</f>
        <v/>
      </c>
      <c r="J87">
        <f>IF($C87="","",IF('②発注する'!$AD91="","",'②発注する'!$AD91))</f>
        <v/>
      </c>
      <c r="K87" s="90">
        <f>IF($C87="","",IF('②発注する'!$AE91="","",'②発注する'!$AE91))</f>
        <v/>
      </c>
      <c r="L87">
        <f>IF($C87="","",IF(AND(ISNUMBER($J87),ISNUMBER($K87),$K87&gt;='設定'!$C$6),$J87,N($I87)))</f>
        <v/>
      </c>
      <c r="M87">
        <f>IF($C87="","",IFERROR(IF(N(INDEX('商品マスタ'!$J$6:$J$1005,MATCH($C87,'商品マスタ'!$B$6:$B$1005,0)))&gt;0,INDEX('商品マスタ'!$J$6:$J$1005,MATCH($C87,'商品マスタ'!$B$6:$B$1005,0)),""),""))</f>
        <v/>
      </c>
      <c r="N87">
        <f>IF($C87="","",IFERROR(IF(N(INDEX('商品マスタ'!$H$6:$H$1005,MATCH($C87,'商品マスタ'!$B$6:$B$1005,0)))&gt;0,INDEX('商品マスタ'!$H$6:$H$1005,MATCH($C87,'商品マスタ'!$B$6:$B$1005,0)),""),""))</f>
        <v/>
      </c>
      <c r="O87">
        <f>IF($C87="","",IF($N87&lt;&gt;"",$N87*$G87,IF(N(IF(COUNTIFS('①在庫を貼る'!$V$6:$V$10005,'設定'!$C$4,'①在庫を貼る'!$W$6:$W$10005,$C87)&gt;0,SUMIFS('①在庫を貼る'!$O$6:$O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O$6:$O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O$6:$O$10005,'月1回_2ヶ月前の在庫'!$V$6:$V$10005,'設定'!$C$4,'月1回_2ヶ月前の在庫'!$W$6:$W$10005,$C87)/COUNTIFS('月1回_2ヶ月前の在庫'!$V$6:$V$10005,'設定'!$C$4,'月1回_2ヶ月前の在庫'!$W$6:$W$10005,$C87),0))))&gt;0,N(IF(COUNTIFS('①在庫を貼る'!$V$6:$V$10005,'設定'!$C$4,'①在庫を貼る'!$W$6:$W$10005,$C87)&gt;0,SUMIFS('①在庫を貼る'!$O$6:$O$10005,'①在庫を貼る'!$V$6:$V$10005,'設定'!$C$4,'①在庫を貼る'!$W$6:$W$10005,$C87)/COUNTIFS('①在庫を貼る'!$V$6:$V$10005,'設定'!$C$4,'①在庫を貼る'!$W$6:$W$10005,$C87),IF(COUNTIFS('月1回_1ヶ月前の在庫'!$V$6:$V$10005,'設定'!$C$4,'月1回_1ヶ月前の在庫'!$W$6:$W$10005,$C87)&gt;0,SUMIFS('月1回_1ヶ月前の在庫'!$O$6:$O$10005,'月1回_1ヶ月前の在庫'!$V$6:$V$10005,'設定'!$C$4,'月1回_1ヶ月前の在庫'!$W$6:$W$10005,$C87)/COUNTIFS('月1回_1ヶ月前の在庫'!$V$6:$V$10005,'設定'!$C$4,'月1回_1ヶ月前の在庫'!$W$6:$W$10005,$C87),IF(COUNTIFS('月1回_2ヶ月前の在庫'!$V$6:$V$10005,'設定'!$C$4,'月1回_2ヶ月前の在庫'!$W$6:$W$10005,$C87)&gt;0,SUMIFS('月1回_2ヶ月前の在庫'!$O$6:$O$10005,'月1回_2ヶ月前の在庫'!$V$6:$V$10005,'設定'!$C$4,'月1回_2ヶ月前の在庫'!$W$6:$W$10005,$C87)/COUNTIFS('月1回_2ヶ月前の在庫'!$V$6:$V$10005,'設定'!$C$4,'月1回_2ヶ月前の在庫'!$W$6:$W$10005,$C87),0)))),"")))</f>
        <v/>
      </c>
      <c r="P87" s="90">
        <f>IF($C87="","",IF('②発注する'!$I91="","",'②発注する'!$I91))</f>
        <v/>
      </c>
      <c r="Q87">
        <f>IF($C87="","",IF('②発注する'!$J91="","",'②発注する'!$J91))</f>
        <v/>
      </c>
      <c r="R87">
        <f>IF($C87="",0,IF(AND(ISNUMBER($P87),ISNUMBER($Q87)),MAX(0,$Q87)*$G87,0))</f>
        <v/>
      </c>
      <c r="S87" s="90">
        <f>IF($C87="","",IF('②発注する'!$M91="","",'②発注する'!$M91))</f>
        <v/>
      </c>
      <c r="T87">
        <f>IF($C87="","",IF('②発注する'!$N91="","",'②発注する'!$N91))</f>
        <v/>
      </c>
      <c r="U87">
        <f>IF($C87="",0,IF(AND(ISNUMBER($S87),ISNUMBER($T87)),MAX(0,$T87)*$G87,0))</f>
        <v/>
      </c>
      <c r="V87">
        <f>IF($C87="",0,IF($M87="",0,MAX(0,$M87)*MAX(0,V$4)/100))</f>
        <v/>
      </c>
      <c r="W87">
        <f>IF($C87="",0,IF($M87="",0,MAX(0,$M87)*MAX(0,W$4)/100))</f>
        <v/>
      </c>
      <c r="X87">
        <f>IF($C87="",0,IF($M87="",0,MAX(0,$M87)*MAX(0,X$4)/100))</f>
        <v/>
      </c>
      <c r="Y87">
        <f>IF($C87="",0,IF($M87="",0,MAX(0,$M87)*MAX(0,Y$4)/100))</f>
        <v/>
      </c>
      <c r="Z87">
        <f>IF($C87="",0,IF($M87="",0,MAX(0,$M87)*MAX(0,Z$4)/100))</f>
        <v/>
      </c>
      <c r="AA87">
        <f>IF($C87="",0,IF($M87="",0,MAX(0,$M87)*MAX(0,AA$4)/100))</f>
        <v/>
      </c>
      <c r="AB87">
        <f>IF($C87="",0,IF($M87="",0,MAX(0,$M87)*MAX(0,AB$4)/100))</f>
        <v/>
      </c>
      <c r="AC87">
        <f>IF($C87="",0,IF($M87="",0,MAX(0,$M87)*MAX(0,AC$4)/100))</f>
        <v/>
      </c>
      <c r="AD87">
        <f>IF($C87="",0,IF($M87="",0,MAX(0,$M87)*MAX(0,AD$4)/100))</f>
        <v/>
      </c>
      <c r="AE87">
        <f>IF($C87="",0,IF($M87="",0,MAX(0,$M87)*MAX(0,AE$4)/100))</f>
        <v/>
      </c>
      <c r="AF87">
        <f>IF($C87="",0,IF($M87="",0,MAX(0,$M87)*MAX(0,AF$4)/100))</f>
        <v/>
      </c>
      <c r="AG87">
        <f>IF($C87="",0,IF($M87="",0,MAX(0,$M87)*MAX(0,AG$4)/100))</f>
        <v/>
      </c>
      <c r="AH87">
        <f>IF($C87="",0,IF($M87="",0,MAX(0,$M87)*MAX(0,AH$4)/100))</f>
        <v/>
      </c>
      <c r="AI87">
        <f>IF($C87="",0,IF($M87="",0,MAX(0,$M87)*MAX(0,AI$4)/100))</f>
        <v/>
      </c>
      <c r="AJ87">
        <f>IF($C87="",0,MAX(0,MAX(0,N($L87))-$V87))</f>
        <v/>
      </c>
      <c r="AK87">
        <f>IF($C87="",0,MAX(0,$AJ87-$W87))</f>
        <v/>
      </c>
      <c r="AL87">
        <f>IF($C87="",0,MAX(0,$AK87-$X87))</f>
        <v/>
      </c>
      <c r="AM87">
        <f>IF($C87="",0,MAX(0,$AL87-$Y87))</f>
        <v/>
      </c>
      <c r="AN87">
        <f>IF($C87="",0,MAX(0,$AM87-$Z87))</f>
        <v/>
      </c>
      <c r="AO87">
        <f>IF($C87="",0,MAX(0,$AN87-$AA87))</f>
        <v/>
      </c>
      <c r="AP87">
        <f>IF($C87="",0,MAX(0,$AO87-$AB87))</f>
        <v/>
      </c>
      <c r="AQ87">
        <f>IF($C87="",0,MAX(0,$AP87-$AC87))</f>
        <v/>
      </c>
      <c r="AR87">
        <f>IF($C87="",0,MAX(0,$AQ87-$AD87))</f>
        <v/>
      </c>
      <c r="AS87">
        <f>IF($C87="",0,MAX(0,$AR87-$AE87))</f>
        <v/>
      </c>
      <c r="AT87">
        <f>IF($C87="",0,MAX(0,$AS87-$AF87))</f>
        <v/>
      </c>
      <c r="AU87">
        <f>IF($C87="",0,MAX(0,$AT87-$AG87))</f>
        <v/>
      </c>
      <c r="AV87">
        <f>IF($C87="",0,MAX(0,$AU87-$AH87))</f>
        <v/>
      </c>
      <c r="AW87">
        <f>IF($C87="",0,MAX(0,$AV87-$AI87))</f>
        <v/>
      </c>
      <c r="AX87">
        <f>IF($C87="",0,MAX(0,MAX(0,N($L87))+IF($P87=V$3,$R87,0)+IF($S87=V$3,$U87,0)-$V87))</f>
        <v/>
      </c>
      <c r="AY87">
        <f>IF($C87="",0,MAX(0,$AX87+IF($P87=W$3,$R87,0)+IF($S87=W$3,$U87,0)-$W87))</f>
        <v/>
      </c>
      <c r="AZ87">
        <f>IF($C87="",0,MAX(0,$AY87+IF($P87=X$3,$R87,0)+IF($S87=X$3,$U87,0)-$X87))</f>
        <v/>
      </c>
      <c r="BA87">
        <f>IF($C87="",0,MAX(0,$AZ87+IF($P87=Y$3,$R87,0)+IF($S87=Y$3,$U87,0)-$Y87))</f>
        <v/>
      </c>
      <c r="BB87">
        <f>IF($C87="",0,MAX(0,$BA87+IF($P87=Z$3,$R87,0)+IF($S87=Z$3,$U87,0)-$Z87))</f>
        <v/>
      </c>
      <c r="BC87">
        <f>IF($C87="",0,MAX(0,$BB87+IF($P87=AA$3,$R87,0)+IF($S87=AA$3,$U87,0)-$AA87))</f>
        <v/>
      </c>
      <c r="BD87">
        <f>IF($C87="",0,MAX(0,$BC87+IF($P87=AB$3,$R87,0)+IF($S87=AB$3,$U87,0)-$AB87))</f>
        <v/>
      </c>
      <c r="BE87">
        <f>IF($C87="",0,MAX(0,$BD87+IF($P87=AC$3,$R87,0)+IF($S87=AC$3,$U87,0)-$AC87))</f>
        <v/>
      </c>
      <c r="BF87">
        <f>IF($C87="",0,MAX(0,$BE87+IF($P87=AD$3,$R87,0)+IF($S87=AD$3,$U87,0)-$AD87))</f>
        <v/>
      </c>
      <c r="BG87">
        <f>IF($C87="",0,MAX(0,$BF87+IF($P87=AE$3,$R87,0)+IF($S87=AE$3,$U87,0)-$AE87))</f>
        <v/>
      </c>
      <c r="BH87">
        <f>IF($C87="",0,MAX(0,$BG87+IF($P87=AF$3,$R87,0)+IF($S87=AF$3,$U87,0)-$AF87))</f>
        <v/>
      </c>
      <c r="BI87">
        <f>IF($C87="",0,MAX(0,$BH87+IF($P87=AG$3,$R87,0)+IF($S87=AG$3,$U87,0)-$AG87))</f>
        <v/>
      </c>
      <c r="BJ87">
        <f>IF($C87="",0,MAX(0,$BI87+IF($P87=AH$3,$R87,0)+IF($S87=AH$3,$U87,0)-$AH87))</f>
        <v/>
      </c>
      <c r="BK87">
        <f>IF($C87="",0,MAX(0,$BJ87+IF($P87=AI$3,$R87,0)+IF($S87=AI$3,$U87,0)-$AI87))</f>
        <v/>
      </c>
      <c r="BL87">
        <f>IF($C87="",99,IF(AND($AX87&lt;1,V$3&gt;=MAX(N($P87),N($S87))),0,99))</f>
        <v/>
      </c>
      <c r="BM87">
        <f>IF($C87="",99,IF(AND($AY87&lt;1,W$3&gt;=MAX(N($P87),N($S87))),1,99))</f>
        <v/>
      </c>
      <c r="BN87">
        <f>IF($C87="",99,IF(AND($AZ87&lt;1,X$3&gt;=MAX(N($P87),N($S87))),2,99))</f>
        <v/>
      </c>
      <c r="BO87">
        <f>IF($C87="",99,IF(AND($BA87&lt;1,Y$3&gt;=MAX(N($P87),N($S87))),3,99))</f>
        <v/>
      </c>
      <c r="BP87">
        <f>IF($C87="",99,IF(AND($BB87&lt;1,Z$3&gt;=MAX(N($P87),N($S87))),4,99))</f>
        <v/>
      </c>
      <c r="BQ87">
        <f>IF($C87="",99,IF(AND($BC87&lt;1,AA$3&gt;=MAX(N($P87),N($S87))),5,99))</f>
        <v/>
      </c>
      <c r="BR87">
        <f>IF($C87="",99,IF(AND($BD87&lt;1,AB$3&gt;=MAX(N($P87),N($S87))),6,99))</f>
        <v/>
      </c>
      <c r="BS87">
        <f>IF($C87="",99,IF(AND($BE87&lt;1,AC$3&gt;=MAX(N($P87),N($S87))),7,99))</f>
        <v/>
      </c>
      <c r="BT87">
        <f>IF($C87="",99,IF(AND($BF87&lt;1,AD$3&gt;=MAX(N($P87),N($S87))),8,99))</f>
        <v/>
      </c>
      <c r="BU87">
        <f>IF($C87="",99,IF(AND($BG87&lt;1,AE$3&gt;=MAX(N($P87),N($S87))),9,99))</f>
        <v/>
      </c>
      <c r="BV87">
        <f>IF($C87="",99,IF(AND($BH87&lt;1,AF$3&gt;=MAX(N($P87),N($S87))),10,99))</f>
        <v/>
      </c>
      <c r="BW87">
        <f>IF($C87="",99,IF(AND($BI87&lt;1,AG$3&gt;=MAX(N($P87),N($S87))),11,99))</f>
        <v/>
      </c>
      <c r="BX87">
        <f>IF($C87="",99,IF(AND($BJ87&lt;1,AH$3&gt;=MAX(N($P87),N($S87))),12,99))</f>
        <v/>
      </c>
      <c r="BY87">
        <f>IF($C87="",99,IF(AND($BK87&lt;1,AI$3&gt;=MAX(N($P87),N($S87))),13,99))</f>
        <v/>
      </c>
      <c r="BZ87">
        <f>IF(OR($C87="",$M87=""),"",COUNTIF($AJ87:$AW87,"&gt;=1"))</f>
        <v/>
      </c>
      <c r="CA87" s="90">
        <f>IF($BZ87="","",IF($BZ87&gt;=14,"",'設定'!$C$6+$BZ87))</f>
        <v/>
      </c>
      <c r="CB87">
        <f>IF(OR($C87="",$M87=""),"",MIN($BL87:$BY87))</f>
        <v/>
      </c>
      <c r="CC87" s="90">
        <f>IF($CB87="","",IF($CB87&gt;=99,"",'設定'!$C$6+$CB87))</f>
        <v/>
      </c>
      <c r="CD87">
        <f>IF(OR($C87="",$M87=""),"",AVERAGE($V87:$AI87))</f>
        <v/>
      </c>
      <c r="CE87">
        <f>IF($C87="","",IFERROR(IF(MATCH(IF(ISNUMBER($P87),$P87,'設定'!$C$6+N('設定'!$C$7)),$V$3:$AI$3,0)=1,MAX(0,N($L87)),INDEX($AJ87:$AW87,MATCH(IF(ISNUMBER($P87),$P87,'設定'!$C$6+N('設定'!$C$7)),$V$3:$AI$3,0)-1)),""))</f>
        <v/>
      </c>
      <c r="CF87">
        <f>IF(OR($C87="",$O87="",$CE87=""),"",IF($O87-$CE87&lt;=0,0,ROUNDUP(($O87-$CE87)/$G87,0)))</f>
        <v/>
      </c>
      <c r="CG87">
        <f>IF(OR($C87="",$CF87="",NOT(ISNUMBER($Q87))),0,MAX(0,$Q87-$CF87))</f>
        <v/>
      </c>
      <c r="CH87">
        <f>IF(OR($C87="",$O87="",$U87=0),0,IFERROR(ROUNDUP(MAX(0,IF(MATCH($S87,$V$3:$AI$3,0)=1,MAX(0,N($L87)),INDEX($AX87:$BK87,MATCH($S87,$V$3:$AI$3,0)-1))+$U87-$O87)/$G87,0),0))</f>
        <v/>
      </c>
      <c r="CI87">
        <f>IF($C87="","",IF(AND($P87="",$Q87=""),"",IF($P87="","⚠ 入庫日を ▼ から選んでください",IF(NOT(ISNUMBER($P87)),"⚠ 入庫日は ▼ から選んでください",IF($P87&lt;N('設定'!$C$6),"⚠ 入庫日が過去です（もう在庫に入っています）→ 消してください",IF($P87&gt;N('設定'!$C$6)+13,"⚠ 入庫日が14日より先です",IF(N($Q87)&lt;=0,"⚠ 入庫数を入れてください",IF($CG87&gt;0,"⚠ 目安より "&amp;$CG87&amp;" 多い（定数を超える）→ 減らす",""))))))))</f>
        <v/>
      </c>
      <c r="CJ87">
        <f>IF($C87="","",IF(AND($S87="",$T87=""),"",IF($S87="","⚠ 2便目：入庫日を ▼ から選んでください",IF(NOT(ISNUMBER($S87)),"⚠ 2便目：入庫日は ▼ から選んでください",IF($S87&lt;N('設定'!$C$6),"⚠ 2便目：入庫日が過去です（もう在庫に入っています）→ 消してください",IF($S87&gt;N('設定'!$C$6)+13,"⚠ 2便目：入庫日が14日より先です",IF(N($T87)&lt;=0,"⚠ 2便目：入庫数を入れてください",IF($CH87&gt;0,"⚠ 2便目：定数を "&amp;$CH87&amp;" ケース超える → 減らす",""))))))))</f>
        <v/>
      </c>
      <c r="CK87">
        <f>IF(AND($CI87="",N($Q87)&gt;0,ISNUMBER($P87)),1,0)</f>
        <v/>
      </c>
      <c r="CL87">
        <f>IF(AND($CJ87="",N($T87)&gt;0,ISNUMBER($S87)),1,0)</f>
        <v/>
      </c>
      <c r="CM87">
        <f>IF(OR($CK87=1,$CL87=1),1,0)</f>
        <v/>
      </c>
      <c r="CN87">
        <f>IF($C87="",0,($CK87*$R87+$CL87*$U87)*N($H87))</f>
        <v/>
      </c>
      <c r="CO87">
        <f>IF($C87="","",IF($CC87="","入庫後は 14日以上もつ",IF($CC87-N('設定'!$C$7)&lt;='設定'!$C$6,"入庫後も "&amp;TEXT($CC87,"m/d")&amp;"("&amp;CHOOSE(WEEKDAY($CC87),"日","月","火","水","木","金","土")&amp;")"&amp;" に切れる　もう1便を至急発注","入庫後も "&amp;TEXT($CC87,"m/d")&amp;"("&amp;CHOOSE(WEEKDAY($CC87),"日","月","火","水","木","金","土")&amp;")"&amp;" に切れる　"&amp;TEXT($CC87-N('設定'!$C$7),"m/d")&amp;"("&amp;CHOOSE(WEEKDAY($CC87-N('設定'!$C$7)),"日","月","火","水","木","金","土")&amp;")"&amp;" までに次を発注")))</f>
        <v/>
      </c>
      <c r="CP87">
        <f>IF($C87="","",IF('設定'!$C$6="","？ ①在庫を貼る に今日のCSVが貼られていない",IF($CS87=1,"－ 今日のCSVに無い（終売？）",IF($L87&lt;0,"● 在庫がマイナス　数えて「数えた在庫」に入れる",IF($L87=0,"● 在庫なし　至急発注",IF($M87="","？ 減り数が未設定（商品マスタ）",IF($B$3=0,"？ 動員が未入力（動員を入れる）",IF($CA87="","○ 14日以上もつ",IF($BZ87&lt;N('設定'!$C$7),"● "&amp;TEXT($CA87,"m/d")&amp;"("&amp;CHOOSE(WEEKDAY($CA87),"日","月","火","水","木","金","土")&amp;")"&amp;" に切れる　至急発注",IF($BZ87=N('設定'!$C$7),"● "&amp;TEXT($CA87,"m/d")&amp;"("&amp;CHOOSE(WEEKDAY($CA87),"日","月","火","水","木","金","土")&amp;")"&amp;" に切れる　今日発注","△ "&amp;TEXT($CA87,"m/d")&amp;"("&amp;CHOOSE(WEEKDAY($CA87),"日","月","火","水","木","金","土")&amp;")"&amp;" に切れる　"&amp;TEXT($CA87-N('設定'!$C$7),"m/d")&amp;"("&amp;CHOOSE(WEEKDAY($CA87-N('設定'!$C$7)),"日","月","火","水","木","金","土")&amp;")"&amp;" までに発注"))))))))))</f>
        <v/>
      </c>
      <c r="CQ87">
        <f>IF($C87="","",IF(AND($P87="",$Q87="",$S87="",$T87=""),"",IF(AND($P87="",$Q87=""),"⚠ 先に1便目（左の入庫日・入庫数）に入れてください",IF($CI87&lt;&gt;"",$CI87,IF($CJ87&lt;&gt;"",$CJ87,IF($M87="","？ 減り数が未設定（発注書には載ります）",IF($B$3=0,"？ 動員が未入力（発注書には載ります）",IF(AND($CA87&lt;&gt;"",$P87&gt;$CA87),IF($P87&gt;'設定'!$C$6+N('設定'!$C$7),"● "&amp;TEXT($P87,"m/d")&amp;"("&amp;CHOOSE(WEEKDAY($P87),"日","月","火","水","木","金","土")&amp;")"&amp;" の入庫では間に合わない（"&amp;TEXT($CA87,"m/d")&amp;"("&amp;CHOOSE(WEEKDAY($CA87),"日","月","火","水","木","金","土")&amp;")"&amp;" に切れる）　入庫日を早める","△ 欠品 "&amp;TEXT($CA87,"m/d")&amp;"("&amp;CHOOSE(WEEKDAY($CA87),"日","月","火","水","木","金","土")&amp;")"&amp;"〜"&amp;TEXT($P87-1,"m/d")&amp;"("&amp;CHOOSE(WEEKDAY($P87-1),"日","月","火","水","木","金","土")&amp;")"&amp;"　"&amp;$CO87),IF($CC87="","○ "&amp;TEXT($P87,"m/d")&amp;"("&amp;CHOOSE(WEEKDAY($P87),"日","月","火","水","木","金","土")&amp;")"&amp;" 入庫で 14日以上もつ",IF($CC87-N('設定'!$C$7)&lt;='設定'!$C$6,"● 入庫しても "&amp;TEXT($CC87,"m/d")&amp;"("&amp;CHOOSE(WEEKDAY($CC87),"日","月","火","水","木","金","土")&amp;")"&amp;" に切れる　もう1便を至急発注（2便目に入れる）","△ 入庫しても "&amp;TEXT($CC87,"m/d")&amp;"("&amp;CHOOSE(WEEKDAY($CC87),"日","月","火","水","木","金","土")&amp;")"&amp;" に切れる　"&amp;TEXT($CC87-N('設定'!$C$7),"m/d")&amp;"("&amp;CHOOSE(WEEKDAY($CC87-N('設定'!$C$7)),"日","月","火","水","木","金","土")&amp;")"&amp;" までに次を発注（2便目に入れる）"))))))))))</f>
        <v/>
      </c>
      <c r="CR87">
        <f>IF($C87="","",IF($G87&gt;1,"ｹｰｽ("&amp;$G87&amp;"入)","個"))</f>
        <v/>
      </c>
      <c r="CS87">
        <f>IF($C87="",0,IF(COUNTIFS('①在庫を貼る'!$V$6:$V$10005,'設定'!$C$4,'①在庫を貼る'!$W$6:$W$10005,$C87)=0,1,0))</f>
        <v/>
      </c>
      <c r="CT87">
        <f>IF(AND($CK87=1,OR('③発注書'!$C$4="すべて",'③発注書'!$C$4="",$F87='③発注書'!$C$4)),N($CT86)+1,N($CT86))</f>
        <v/>
      </c>
      <c r="CU87">
        <f>IF(AND($CL87=1,OR('③発注書'!$C$4="すべて",'③発注書'!$C$4="",$F87='③発注書'!$C$4)),N($CU86)+1,N($CU86))</f>
        <v/>
      </c>
      <c r="CV87">
        <f>IF($C87="",0,IF(COUNTIFS('①在庫を貼る'!$V$6:$V$10005,'設定'!$C$4,'①在庫を貼る'!$W$6:$W$10005,$C87)&gt;0,1,0))</f>
        <v/>
      </c>
      <c r="CW87">
        <f>IF($C87="",0,IF(COUNTIFS('月1回_1ヶ月前の在庫'!$V$6:$V$10005,'設定'!$C$4,'月1回_1ヶ月前の在庫'!$W$6:$W$10005,$C87)&gt;0,1,0))</f>
        <v/>
      </c>
      <c r="CX87">
        <f>IF($C87="",0,IF(COUNTIFS('月1回_2ヶ月前の在庫'!$V$6:$V$10005,'設定'!$C$4,'月1回_2ヶ月前の在庫'!$W$6:$W$10005,$C87)&gt;0,1,0))</f>
        <v/>
      </c>
      <c r="CY87">
        <f>IF(OR($C87="",'設定'!$C$12=""),"",IF('設定'!$C$13="",IF(AND($CV87=1,$CW87=0),"新商品（今月から）",IF(AND($CV87=0,$CW87=1),"終売（今月から）","")),IF(AND($CV87=1,$CW87=0,$CX87=0),"新商品（今月から）",IF(AND($CV87=1,$CW87=1,$CX87=0),"新商品（先月から）",IF(AND($CV87=0,$CW87=1,$CX87=1),"終売（今月から）",IF(AND($CV87=0,$CW87=0,$CX87=1),"終売（先月から）",IF(AND($CV87=1,$CW87=0,$CX87=1),"復活（先月は無し）","")))))))</f>
        <v/>
      </c>
    </row>
    <row r="88">
      <c r="B88">
        <f>IF(83&lt;='設定'!$C$11,83,"")</f>
        <v/>
      </c>
      <c r="C88">
        <f>IF($B88="","",IF($B88&lt;='設定'!$C$20,INDEX('商品マスタ'!$B$6:$B$1005,MATCH($B88,'商品マスタ'!$M$6:$M$1005,0)),IF($B88&lt;='設定'!$C$20+'設定'!$C$17,INDEX('①在庫を貼る'!$W$6:$W$10005,MATCH($B88-'設定'!$C$20,'①在庫を貼る'!$U$6:$U$10005,0)),IF($B88&lt;='設定'!$C$20+'設定'!$C$17+'設定'!$C$18,INDEX('月1回_1ヶ月前の在庫'!$W$6:$W$10005,MATCH($B88-'設定'!$C$20-'設定'!$C$17,'月1回_1ヶ月前の在庫'!$U$6:$U$10005,0)),INDEX('月1回_2ヶ月前の在庫'!$W$6:$W$10005,MATCH($B88-'設定'!$C$20-'設定'!$C$17-'設定'!$C$18,'月1回_2ヶ月前の在庫'!$U$6:$U$10005,0))))))</f>
        <v/>
      </c>
      <c r="D88">
        <f>IF($C88="","",IFERROR(IF(INDEX('商品マスタ'!$C$6:$C$1005,MATCH($C88,'商品マスタ'!$B$6:$B$1005,0))="",IFERROR(INDEX('①在庫を貼る'!$J$6:$J$10005,MATCH($C88,'①在庫を貼る'!$W$6:$W$10005,0)),IFERROR(INDEX('月1回_1ヶ月前の在庫'!$J$6:$J$10005,MATCH($C88,'月1回_1ヶ月前の在庫'!$W$6:$W$10005,0)),IFERROR(INDEX('月1回_2ヶ月前の在庫'!$J$6:$J$10005,MATCH($C88,'月1回_2ヶ月前の在庫'!$W$6:$W$10005,0)),""))),INDEX('商品マスタ'!$C$6:$C$1005,MATCH($C88,'商品マスタ'!$B$6:$B$1005,0))),IFERROR(INDEX('①在庫を貼る'!$J$6:$J$10005,MATCH($C88,'①在庫を貼る'!$W$6:$W$10005,0)),IFERROR(INDEX('月1回_1ヶ月前の在庫'!$J$6:$J$10005,MATCH($C88,'月1回_1ヶ月前の在庫'!$W$6:$W$10005,0)),IFERROR(INDEX('月1回_2ヶ月前の在庫'!$J$6:$J$10005,MATCH($C88,'月1回_2ヶ月前の在庫'!$W$6:$W$10005,0)),"")))))</f>
        <v/>
      </c>
      <c r="E88">
        <f>IF($C88="","",IFERROR(IF(INDEX('商品マスタ'!$D$6:$D$1005,MATCH($C88,'商品マスタ'!$B$6:$B$1005,0))="",IFERROR(INDEX('①在庫を貼る'!$H$6:$H$10005,MATCH($C88,'①在庫を貼る'!$W$6:$W$10005,0)),IFERROR(INDEX('月1回_1ヶ月前の在庫'!$H$6:$H$10005,MATCH($C88,'月1回_1ヶ月前の在庫'!$W$6:$W$10005,0)),IFERROR(INDEX('月1回_2ヶ月前の在庫'!$H$6:$H$10005,MATCH($C88,'月1回_2ヶ月前の在庫'!$W$6:$W$10005,0)),""))),INDEX('商品マスタ'!$D$6:$D$1005,MATCH($C88,'商品マスタ'!$B$6:$B$1005,0))),IFERROR(INDEX('①在庫を貼る'!$H$6:$H$10005,MATCH($C88,'①在庫を貼る'!$W$6:$W$10005,0)),IFERROR(INDEX('月1回_1ヶ月前の在庫'!$H$6:$H$10005,MATCH($C88,'月1回_1ヶ月前の在庫'!$W$6:$W$10005,0)),IFERROR(INDEX('月1回_2ヶ月前の在庫'!$H$6:$H$10005,MATCH($C88,'月1回_2ヶ月前の在庫'!$W$6:$W$10005,0)),"")))))</f>
        <v/>
      </c>
      <c r="F88">
        <f>IF($C88="","",IFERROR(IF(INDEX('商品マスタ'!$E$6:$E$1005,MATCH($C88,'商品マスタ'!$B$6:$B$1005,0))="",IFERROR(INDEX('①在庫を貼る'!$E$6:$E$10005,MATCH($C88,'①在庫を貼る'!$W$6:$W$10005,0)),IFERROR(INDEX('月1回_1ヶ月前の在庫'!$E$6:$E$10005,MATCH($C88,'月1回_1ヶ月前の在庫'!$W$6:$W$10005,0)),IFERROR(INDEX('月1回_2ヶ月前の在庫'!$E$6:$E$10005,MATCH($C88,'月1回_2ヶ月前の在庫'!$W$6:$W$10005,0)),""))),INDEX('商品マスタ'!$E$6:$E$1005,MATCH($C88,'商品マスタ'!$B$6:$B$1005,0))),IFERROR(INDEX('①在庫を貼る'!$E$6:$E$10005,MATCH($C88,'①在庫を貼る'!$W$6:$W$10005,0)),IFERROR(INDEX('月1回_1ヶ月前の在庫'!$E$6:$E$10005,MATCH($C88,'月1回_1ヶ月前の在庫'!$W$6:$W$10005,0)),IFERROR(INDEX('月1回_2ヶ月前の在庫'!$E$6:$E$10005,MATCH($C88,'月1回_2ヶ月前の在庫'!$W$6:$W$10005,0)),"")))))</f>
        <v/>
      </c>
      <c r="G88">
        <f>IF($C88="","",MAX(1,N(IFERROR(IF(INDEX('商品マスタ'!$F$6:$F$1005,MATCH($C88,'商品マスタ'!$B$6:$B$1005,0))="",IF(COUNTIFS('①在庫を貼る'!$V$6:$V$10005,'設定'!$C$4,'①在庫を貼る'!$W$6:$W$10005,$C88)&gt;0,SUMIFS('①在庫を貼る'!$K$6:$K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K$6:$K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K$6:$K$10005,'月1回_2ヶ月前の在庫'!$V$6:$V$10005,'設定'!$C$4,'月1回_2ヶ月前の在庫'!$W$6:$W$10005,$C88)/COUNTIFS('月1回_2ヶ月前の在庫'!$V$6:$V$10005,'設定'!$C$4,'月1回_2ヶ月前の在庫'!$W$6:$W$10005,$C88),0))),INDEX('商品マスタ'!$F$6:$F$1005,MATCH($C88,'商品マスタ'!$B$6:$B$1005,0))),IF(COUNTIFS('①在庫を貼る'!$V$6:$V$10005,'設定'!$C$4,'①在庫を貼る'!$W$6:$W$10005,$C88)&gt;0,SUMIFS('①在庫を貼る'!$K$6:$K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K$6:$K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K$6:$K$10005,'月1回_2ヶ月前の在庫'!$V$6:$V$10005,'設定'!$C$4,'月1回_2ヶ月前の在庫'!$W$6:$W$10005,$C88)/COUNTIFS('月1回_2ヶ月前の在庫'!$V$6:$V$10005,'設定'!$C$4,'月1回_2ヶ月前の在庫'!$W$6:$W$10005,$C88),0)))))))</f>
        <v/>
      </c>
      <c r="H88">
        <f>IF($C88="","",N(IFERROR(IF(INDEX('商品マスタ'!$G$6:$G$1005,MATCH($C88,'商品マスタ'!$B$6:$B$1005,0))="",IF(COUNTIFS('①在庫を貼る'!$V$6:$V$10005,'設定'!$C$4,'①在庫を貼る'!$W$6:$W$10005,$C88)&gt;0,SUMIFS('①在庫を貼る'!$Q$6:$Q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Q$6:$Q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Q$6:$Q$10005,'月1回_2ヶ月前の在庫'!$V$6:$V$10005,'設定'!$C$4,'月1回_2ヶ月前の在庫'!$W$6:$W$10005,$C88)/COUNTIFS('月1回_2ヶ月前の在庫'!$V$6:$V$10005,'設定'!$C$4,'月1回_2ヶ月前の在庫'!$W$6:$W$10005,$C88),0))),INDEX('商品マスタ'!$G$6:$G$1005,MATCH($C88,'商品マスタ'!$B$6:$B$1005,0))),IF(COUNTIFS('①在庫を貼る'!$V$6:$V$10005,'設定'!$C$4,'①在庫を貼る'!$W$6:$W$10005,$C88)&gt;0,SUMIFS('①在庫を貼る'!$Q$6:$Q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Q$6:$Q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Q$6:$Q$10005,'月1回_2ヶ月前の在庫'!$V$6:$V$10005,'設定'!$C$4,'月1回_2ヶ月前の在庫'!$W$6:$W$10005,$C88)/COUNTIFS('月1回_2ヶ月前の在庫'!$V$6:$V$10005,'設定'!$C$4,'月1回_2ヶ月前の在庫'!$W$6:$W$10005,$C88),0))))))</f>
        <v/>
      </c>
      <c r="I88">
        <f>IF($C88="","",IF(COUNTIFS('①在庫を貼る'!$V$6:$V$10005,'設定'!$C$4,'①在庫を貼る'!$W$6:$W$10005,$C88)=0,"",SUMIFS('①在庫を貼る'!$N$6:$N$10005,'①在庫を貼る'!$V$6:$V$10005,'設定'!$C$4,'①在庫を貼る'!$W$6:$W$10005,$C88)))</f>
        <v/>
      </c>
      <c r="J88">
        <f>IF($C88="","",IF('②発注する'!$AD92="","",'②発注する'!$AD92))</f>
        <v/>
      </c>
      <c r="K88" s="90">
        <f>IF($C88="","",IF('②発注する'!$AE92="","",'②発注する'!$AE92))</f>
        <v/>
      </c>
      <c r="L88">
        <f>IF($C88="","",IF(AND(ISNUMBER($J88),ISNUMBER($K88),$K88&gt;='設定'!$C$6),$J88,N($I88)))</f>
        <v/>
      </c>
      <c r="M88">
        <f>IF($C88="","",IFERROR(IF(N(INDEX('商品マスタ'!$J$6:$J$1005,MATCH($C88,'商品マスタ'!$B$6:$B$1005,0)))&gt;0,INDEX('商品マスタ'!$J$6:$J$1005,MATCH($C88,'商品マスタ'!$B$6:$B$1005,0)),""),""))</f>
        <v/>
      </c>
      <c r="N88">
        <f>IF($C88="","",IFERROR(IF(N(INDEX('商品マスタ'!$H$6:$H$1005,MATCH($C88,'商品マスタ'!$B$6:$B$1005,0)))&gt;0,INDEX('商品マスタ'!$H$6:$H$1005,MATCH($C88,'商品マスタ'!$B$6:$B$1005,0)),""),""))</f>
        <v/>
      </c>
      <c r="O88">
        <f>IF($C88="","",IF($N88&lt;&gt;"",$N88*$G88,IF(N(IF(COUNTIFS('①在庫を貼る'!$V$6:$V$10005,'設定'!$C$4,'①在庫を貼る'!$W$6:$W$10005,$C88)&gt;0,SUMIFS('①在庫を貼る'!$O$6:$O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O$6:$O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O$6:$O$10005,'月1回_2ヶ月前の在庫'!$V$6:$V$10005,'設定'!$C$4,'月1回_2ヶ月前の在庫'!$W$6:$W$10005,$C88)/COUNTIFS('月1回_2ヶ月前の在庫'!$V$6:$V$10005,'設定'!$C$4,'月1回_2ヶ月前の在庫'!$W$6:$W$10005,$C88),0))))&gt;0,N(IF(COUNTIFS('①在庫を貼る'!$V$6:$V$10005,'設定'!$C$4,'①在庫を貼る'!$W$6:$W$10005,$C88)&gt;0,SUMIFS('①在庫を貼る'!$O$6:$O$10005,'①在庫を貼る'!$V$6:$V$10005,'設定'!$C$4,'①在庫を貼る'!$W$6:$W$10005,$C88)/COUNTIFS('①在庫を貼る'!$V$6:$V$10005,'設定'!$C$4,'①在庫を貼る'!$W$6:$W$10005,$C88),IF(COUNTIFS('月1回_1ヶ月前の在庫'!$V$6:$V$10005,'設定'!$C$4,'月1回_1ヶ月前の在庫'!$W$6:$W$10005,$C88)&gt;0,SUMIFS('月1回_1ヶ月前の在庫'!$O$6:$O$10005,'月1回_1ヶ月前の在庫'!$V$6:$V$10005,'設定'!$C$4,'月1回_1ヶ月前の在庫'!$W$6:$W$10005,$C88)/COUNTIFS('月1回_1ヶ月前の在庫'!$V$6:$V$10005,'設定'!$C$4,'月1回_1ヶ月前の在庫'!$W$6:$W$10005,$C88),IF(COUNTIFS('月1回_2ヶ月前の在庫'!$V$6:$V$10005,'設定'!$C$4,'月1回_2ヶ月前の在庫'!$W$6:$W$10005,$C88)&gt;0,SUMIFS('月1回_2ヶ月前の在庫'!$O$6:$O$10005,'月1回_2ヶ月前の在庫'!$V$6:$V$10005,'設定'!$C$4,'月1回_2ヶ月前の在庫'!$W$6:$W$10005,$C88)/COUNTIFS('月1回_2ヶ月前の在庫'!$V$6:$V$10005,'設定'!$C$4,'月1回_2ヶ月前の在庫'!$W$6:$W$10005,$C88),0)))),"")))</f>
        <v/>
      </c>
      <c r="P88" s="90">
        <f>IF($C88="","",IF('②発注する'!$I92="","",'②発注する'!$I92))</f>
        <v/>
      </c>
      <c r="Q88">
        <f>IF($C88="","",IF('②発注する'!$J92="","",'②発注する'!$J92))</f>
        <v/>
      </c>
      <c r="R88">
        <f>IF($C88="",0,IF(AND(ISNUMBER($P88),ISNUMBER($Q88)),MAX(0,$Q88)*$G88,0))</f>
        <v/>
      </c>
      <c r="S88" s="90">
        <f>IF($C88="","",IF('②発注する'!$M92="","",'②発注する'!$M92))</f>
        <v/>
      </c>
      <c r="T88">
        <f>IF($C88="","",IF('②発注する'!$N92="","",'②発注する'!$N92))</f>
        <v/>
      </c>
      <c r="U88">
        <f>IF($C88="",0,IF(AND(ISNUMBER($S88),ISNUMBER($T88)),MAX(0,$T88)*$G88,0))</f>
        <v/>
      </c>
      <c r="V88">
        <f>IF($C88="",0,IF($M88="",0,MAX(0,$M88)*MAX(0,V$4)/100))</f>
        <v/>
      </c>
      <c r="W88">
        <f>IF($C88="",0,IF($M88="",0,MAX(0,$M88)*MAX(0,W$4)/100))</f>
        <v/>
      </c>
      <c r="X88">
        <f>IF($C88="",0,IF($M88="",0,MAX(0,$M88)*MAX(0,X$4)/100))</f>
        <v/>
      </c>
      <c r="Y88">
        <f>IF($C88="",0,IF($M88="",0,MAX(0,$M88)*MAX(0,Y$4)/100))</f>
        <v/>
      </c>
      <c r="Z88">
        <f>IF($C88="",0,IF($M88="",0,MAX(0,$M88)*MAX(0,Z$4)/100))</f>
        <v/>
      </c>
      <c r="AA88">
        <f>IF($C88="",0,IF($M88="",0,MAX(0,$M88)*MAX(0,AA$4)/100))</f>
        <v/>
      </c>
      <c r="AB88">
        <f>IF($C88="",0,IF($M88="",0,MAX(0,$M88)*MAX(0,AB$4)/100))</f>
        <v/>
      </c>
      <c r="AC88">
        <f>IF($C88="",0,IF($M88="",0,MAX(0,$M88)*MAX(0,AC$4)/100))</f>
        <v/>
      </c>
      <c r="AD88">
        <f>IF($C88="",0,IF($M88="",0,MAX(0,$M88)*MAX(0,AD$4)/100))</f>
        <v/>
      </c>
      <c r="AE88">
        <f>IF($C88="",0,IF($M88="",0,MAX(0,$M88)*MAX(0,AE$4)/100))</f>
        <v/>
      </c>
      <c r="AF88">
        <f>IF($C88="",0,IF($M88="",0,MAX(0,$M88)*MAX(0,AF$4)/100))</f>
        <v/>
      </c>
      <c r="AG88">
        <f>IF($C88="",0,IF($M88="",0,MAX(0,$M88)*MAX(0,AG$4)/100))</f>
        <v/>
      </c>
      <c r="AH88">
        <f>IF($C88="",0,IF($M88="",0,MAX(0,$M88)*MAX(0,AH$4)/100))</f>
        <v/>
      </c>
      <c r="AI88">
        <f>IF($C88="",0,IF($M88="",0,MAX(0,$M88)*MAX(0,AI$4)/100))</f>
        <v/>
      </c>
      <c r="AJ88">
        <f>IF($C88="",0,MAX(0,MAX(0,N($L88))-$V88))</f>
        <v/>
      </c>
      <c r="AK88">
        <f>IF($C88="",0,MAX(0,$AJ88-$W88))</f>
        <v/>
      </c>
      <c r="AL88">
        <f>IF($C88="",0,MAX(0,$AK88-$X88))</f>
        <v/>
      </c>
      <c r="AM88">
        <f>IF($C88="",0,MAX(0,$AL88-$Y88))</f>
        <v/>
      </c>
      <c r="AN88">
        <f>IF($C88="",0,MAX(0,$AM88-$Z88))</f>
        <v/>
      </c>
      <c r="AO88">
        <f>IF($C88="",0,MAX(0,$AN88-$AA88))</f>
        <v/>
      </c>
      <c r="AP88">
        <f>IF($C88="",0,MAX(0,$AO88-$AB88))</f>
        <v/>
      </c>
      <c r="AQ88">
        <f>IF($C88="",0,MAX(0,$AP88-$AC88))</f>
        <v/>
      </c>
      <c r="AR88">
        <f>IF($C88="",0,MAX(0,$AQ88-$AD88))</f>
        <v/>
      </c>
      <c r="AS88">
        <f>IF($C88="",0,MAX(0,$AR88-$AE88))</f>
        <v/>
      </c>
      <c r="AT88">
        <f>IF($C88="",0,MAX(0,$AS88-$AF88))</f>
        <v/>
      </c>
      <c r="AU88">
        <f>IF($C88="",0,MAX(0,$AT88-$AG88))</f>
        <v/>
      </c>
      <c r="AV88">
        <f>IF($C88="",0,MAX(0,$AU88-$AH88))</f>
        <v/>
      </c>
      <c r="AW88">
        <f>IF($C88="",0,MAX(0,$AV88-$AI88))</f>
        <v/>
      </c>
      <c r="AX88">
        <f>IF($C88="",0,MAX(0,MAX(0,N($L88))+IF($P88=V$3,$R88,0)+IF($S88=V$3,$U88,0)-$V88))</f>
        <v/>
      </c>
      <c r="AY88">
        <f>IF($C88="",0,MAX(0,$AX88+IF($P88=W$3,$R88,0)+IF($S88=W$3,$U88,0)-$W88))</f>
        <v/>
      </c>
      <c r="AZ88">
        <f>IF($C88="",0,MAX(0,$AY88+IF($P88=X$3,$R88,0)+IF($S88=X$3,$U88,0)-$X88))</f>
        <v/>
      </c>
      <c r="BA88">
        <f>IF($C88="",0,MAX(0,$AZ88+IF($P88=Y$3,$R88,0)+IF($S88=Y$3,$U88,0)-$Y88))</f>
        <v/>
      </c>
      <c r="BB88">
        <f>IF($C88="",0,MAX(0,$BA88+IF($P88=Z$3,$R88,0)+IF($S88=Z$3,$U88,0)-$Z88))</f>
        <v/>
      </c>
      <c r="BC88">
        <f>IF($C88="",0,MAX(0,$BB88+IF($P88=AA$3,$R88,0)+IF($S88=AA$3,$U88,0)-$AA88))</f>
        <v/>
      </c>
      <c r="BD88">
        <f>IF($C88="",0,MAX(0,$BC88+IF($P88=AB$3,$R88,0)+IF($S88=AB$3,$U88,0)-$AB88))</f>
        <v/>
      </c>
      <c r="BE88">
        <f>IF($C88="",0,MAX(0,$BD88+IF($P88=AC$3,$R88,0)+IF($S88=AC$3,$U88,0)-$AC88))</f>
        <v/>
      </c>
      <c r="BF88">
        <f>IF($C88="",0,MAX(0,$BE88+IF($P88=AD$3,$R88,0)+IF($S88=AD$3,$U88,0)-$AD88))</f>
        <v/>
      </c>
      <c r="BG88">
        <f>IF($C88="",0,MAX(0,$BF88+IF($P88=AE$3,$R88,0)+IF($S88=AE$3,$U88,0)-$AE88))</f>
        <v/>
      </c>
      <c r="BH88">
        <f>IF($C88="",0,MAX(0,$BG88+IF($P88=AF$3,$R88,0)+IF($S88=AF$3,$U88,0)-$AF88))</f>
        <v/>
      </c>
      <c r="BI88">
        <f>IF($C88="",0,MAX(0,$BH88+IF($P88=AG$3,$R88,0)+IF($S88=AG$3,$U88,0)-$AG88))</f>
        <v/>
      </c>
      <c r="BJ88">
        <f>IF($C88="",0,MAX(0,$BI88+IF($P88=AH$3,$R88,0)+IF($S88=AH$3,$U88,0)-$AH88))</f>
        <v/>
      </c>
      <c r="BK88">
        <f>IF($C88="",0,MAX(0,$BJ88+IF($P88=AI$3,$R88,0)+IF($S88=AI$3,$U88,0)-$AI88))</f>
        <v/>
      </c>
      <c r="BL88">
        <f>IF($C88="",99,IF(AND($AX88&lt;1,V$3&gt;=MAX(N($P88),N($S88))),0,99))</f>
        <v/>
      </c>
      <c r="BM88">
        <f>IF($C88="",99,IF(AND($AY88&lt;1,W$3&gt;=MAX(N($P88),N($S88))),1,99))</f>
        <v/>
      </c>
      <c r="BN88">
        <f>IF($C88="",99,IF(AND($AZ88&lt;1,X$3&gt;=MAX(N($P88),N($S88))),2,99))</f>
        <v/>
      </c>
      <c r="BO88">
        <f>IF($C88="",99,IF(AND($BA88&lt;1,Y$3&gt;=MAX(N($P88),N($S88))),3,99))</f>
        <v/>
      </c>
      <c r="BP88">
        <f>IF($C88="",99,IF(AND($BB88&lt;1,Z$3&gt;=MAX(N($P88),N($S88))),4,99))</f>
        <v/>
      </c>
      <c r="BQ88">
        <f>IF($C88="",99,IF(AND($BC88&lt;1,AA$3&gt;=MAX(N($P88),N($S88))),5,99))</f>
        <v/>
      </c>
      <c r="BR88">
        <f>IF($C88="",99,IF(AND($BD88&lt;1,AB$3&gt;=MAX(N($P88),N($S88))),6,99))</f>
        <v/>
      </c>
      <c r="BS88">
        <f>IF($C88="",99,IF(AND($BE88&lt;1,AC$3&gt;=MAX(N($P88),N($S88))),7,99))</f>
        <v/>
      </c>
      <c r="BT88">
        <f>IF($C88="",99,IF(AND($BF88&lt;1,AD$3&gt;=MAX(N($P88),N($S88))),8,99))</f>
        <v/>
      </c>
      <c r="BU88">
        <f>IF($C88="",99,IF(AND($BG88&lt;1,AE$3&gt;=MAX(N($P88),N($S88))),9,99))</f>
        <v/>
      </c>
      <c r="BV88">
        <f>IF($C88="",99,IF(AND($BH88&lt;1,AF$3&gt;=MAX(N($P88),N($S88))),10,99))</f>
        <v/>
      </c>
      <c r="BW88">
        <f>IF($C88="",99,IF(AND($BI88&lt;1,AG$3&gt;=MAX(N($P88),N($S88))),11,99))</f>
        <v/>
      </c>
      <c r="BX88">
        <f>IF($C88="",99,IF(AND($BJ88&lt;1,AH$3&gt;=MAX(N($P88),N($S88))),12,99))</f>
        <v/>
      </c>
      <c r="BY88">
        <f>IF($C88="",99,IF(AND($BK88&lt;1,AI$3&gt;=MAX(N($P88),N($S88))),13,99))</f>
        <v/>
      </c>
      <c r="BZ88">
        <f>IF(OR($C88="",$M88=""),"",COUNTIF($AJ88:$AW88,"&gt;=1"))</f>
        <v/>
      </c>
      <c r="CA88" s="90">
        <f>IF($BZ88="","",IF($BZ88&gt;=14,"",'設定'!$C$6+$BZ88))</f>
        <v/>
      </c>
      <c r="CB88">
        <f>IF(OR($C88="",$M88=""),"",MIN($BL88:$BY88))</f>
        <v/>
      </c>
      <c r="CC88" s="90">
        <f>IF($CB88="","",IF($CB88&gt;=99,"",'設定'!$C$6+$CB88))</f>
        <v/>
      </c>
      <c r="CD88">
        <f>IF(OR($C88="",$M88=""),"",AVERAGE($V88:$AI88))</f>
        <v/>
      </c>
      <c r="CE88">
        <f>IF($C88="","",IFERROR(IF(MATCH(IF(ISNUMBER($P88),$P88,'設定'!$C$6+N('設定'!$C$7)),$V$3:$AI$3,0)=1,MAX(0,N($L88)),INDEX($AJ88:$AW88,MATCH(IF(ISNUMBER($P88),$P88,'設定'!$C$6+N('設定'!$C$7)),$V$3:$AI$3,0)-1)),""))</f>
        <v/>
      </c>
      <c r="CF88">
        <f>IF(OR($C88="",$O88="",$CE88=""),"",IF($O88-$CE88&lt;=0,0,ROUNDUP(($O88-$CE88)/$G88,0)))</f>
        <v/>
      </c>
      <c r="CG88">
        <f>IF(OR($C88="",$CF88="",NOT(ISNUMBER($Q88))),0,MAX(0,$Q88-$CF88))</f>
        <v/>
      </c>
      <c r="CH88">
        <f>IF(OR($C88="",$O88="",$U88=0),0,IFERROR(ROUNDUP(MAX(0,IF(MATCH($S88,$V$3:$AI$3,0)=1,MAX(0,N($L88)),INDEX($AX88:$BK88,MATCH($S88,$V$3:$AI$3,0)-1))+$U88-$O88)/$G88,0),0))</f>
        <v/>
      </c>
      <c r="CI88">
        <f>IF($C88="","",IF(AND($P88="",$Q88=""),"",IF($P88="","⚠ 入庫日を ▼ から選んでください",IF(NOT(ISNUMBER($P88)),"⚠ 入庫日は ▼ から選んでください",IF($P88&lt;N('設定'!$C$6),"⚠ 入庫日が過去です（もう在庫に入っています）→ 消してください",IF($P88&gt;N('設定'!$C$6)+13,"⚠ 入庫日が14日より先です",IF(N($Q88)&lt;=0,"⚠ 入庫数を入れてください",IF($CG88&gt;0,"⚠ 目安より "&amp;$CG88&amp;" 多い（定数を超える）→ 減らす",""))))))))</f>
        <v/>
      </c>
      <c r="CJ88">
        <f>IF($C88="","",IF(AND($S88="",$T88=""),"",IF($S88="","⚠ 2便目：入庫日を ▼ から選んでください",IF(NOT(ISNUMBER($S88)),"⚠ 2便目：入庫日は ▼ から選んでください",IF($S88&lt;N('設定'!$C$6),"⚠ 2便目：入庫日が過去です（もう在庫に入っています）→ 消してください",IF($S88&gt;N('設定'!$C$6)+13,"⚠ 2便目：入庫日が14日より先です",IF(N($T88)&lt;=0,"⚠ 2便目：入庫数を入れてください",IF($CH88&gt;0,"⚠ 2便目：定数を "&amp;$CH88&amp;" ケース超える → 減らす",""))))))))</f>
        <v/>
      </c>
      <c r="CK88">
        <f>IF(AND($CI88="",N($Q88)&gt;0,ISNUMBER($P88)),1,0)</f>
        <v/>
      </c>
      <c r="CL88">
        <f>IF(AND($CJ88="",N($T88)&gt;0,ISNUMBER($S88)),1,0)</f>
        <v/>
      </c>
      <c r="CM88">
        <f>IF(OR($CK88=1,$CL88=1),1,0)</f>
        <v/>
      </c>
      <c r="CN88">
        <f>IF($C88="",0,($CK88*$R88+$CL88*$U88)*N($H88))</f>
        <v/>
      </c>
      <c r="CO88">
        <f>IF($C88="","",IF($CC88="","入庫後は 14日以上もつ",IF($CC88-N('設定'!$C$7)&lt;='設定'!$C$6,"入庫後も "&amp;TEXT($CC88,"m/d")&amp;"("&amp;CHOOSE(WEEKDAY($CC88),"日","月","火","水","木","金","土")&amp;")"&amp;" に切れる　もう1便を至急発注","入庫後も "&amp;TEXT($CC88,"m/d")&amp;"("&amp;CHOOSE(WEEKDAY($CC88),"日","月","火","水","木","金","土")&amp;")"&amp;" に切れる　"&amp;TEXT($CC88-N('設定'!$C$7),"m/d")&amp;"("&amp;CHOOSE(WEEKDAY($CC88-N('設定'!$C$7)),"日","月","火","水","木","金","土")&amp;")"&amp;" までに次を発注")))</f>
        <v/>
      </c>
      <c r="CP88">
        <f>IF($C88="","",IF('設定'!$C$6="","？ ①在庫を貼る に今日のCSVが貼られていない",IF($CS88=1,"－ 今日のCSVに無い（終売？）",IF($L88&lt;0,"● 在庫がマイナス　数えて「数えた在庫」に入れる",IF($L88=0,"● 在庫なし　至急発注",IF($M88="","？ 減り数が未設定（商品マスタ）",IF($B$3=0,"？ 動員が未入力（動員を入れる）",IF($CA88="","○ 14日以上もつ",IF($BZ88&lt;N('設定'!$C$7),"● "&amp;TEXT($CA88,"m/d")&amp;"("&amp;CHOOSE(WEEKDAY($CA88),"日","月","火","水","木","金","土")&amp;")"&amp;" に切れる　至急発注",IF($BZ88=N('設定'!$C$7),"● "&amp;TEXT($CA88,"m/d")&amp;"("&amp;CHOOSE(WEEKDAY($CA88),"日","月","火","水","木","金","土")&amp;")"&amp;" に切れる　今日発注","△ "&amp;TEXT($CA88,"m/d")&amp;"("&amp;CHOOSE(WEEKDAY($CA88),"日","月","火","水","木","金","土")&amp;")"&amp;" に切れる　"&amp;TEXT($CA88-N('設定'!$C$7),"m/d")&amp;"("&amp;CHOOSE(WEEKDAY($CA88-N('設定'!$C$7)),"日","月","火","水","木","金","土")&amp;")"&amp;" までに発注"))))))))))</f>
        <v/>
      </c>
      <c r="CQ88">
        <f>IF($C88="","",IF(AND($P88="",$Q88="",$S88="",$T88=""),"",IF(AND($P88="",$Q88=""),"⚠ 先に1便目（左の入庫日・入庫数）に入れてください",IF($CI88&lt;&gt;"",$CI88,IF($CJ88&lt;&gt;"",$CJ88,IF($M88="","？ 減り数が未設定（発注書には載ります）",IF($B$3=0,"？ 動員が未入力（発注書には載ります）",IF(AND($CA88&lt;&gt;"",$P88&gt;$CA88),IF($P88&gt;'設定'!$C$6+N('設定'!$C$7),"● "&amp;TEXT($P88,"m/d")&amp;"("&amp;CHOOSE(WEEKDAY($P88),"日","月","火","水","木","金","土")&amp;")"&amp;" の入庫では間に合わない（"&amp;TEXT($CA88,"m/d")&amp;"("&amp;CHOOSE(WEEKDAY($CA88),"日","月","火","水","木","金","土")&amp;")"&amp;" に切れる）　入庫日を早める","△ 欠品 "&amp;TEXT($CA88,"m/d")&amp;"("&amp;CHOOSE(WEEKDAY($CA88),"日","月","火","水","木","金","土")&amp;")"&amp;"〜"&amp;TEXT($P88-1,"m/d")&amp;"("&amp;CHOOSE(WEEKDAY($P88-1),"日","月","火","水","木","金","土")&amp;")"&amp;"　"&amp;$CO88),IF($CC88="","○ "&amp;TEXT($P88,"m/d")&amp;"("&amp;CHOOSE(WEEKDAY($P88),"日","月","火","水","木","金","土")&amp;")"&amp;" 入庫で 14日以上もつ",IF($CC88-N('設定'!$C$7)&lt;='設定'!$C$6,"● 入庫しても "&amp;TEXT($CC88,"m/d")&amp;"("&amp;CHOOSE(WEEKDAY($CC88),"日","月","火","水","木","金","土")&amp;")"&amp;" に切れる　もう1便を至急発注（2便目に入れる）","△ 入庫しても "&amp;TEXT($CC88,"m/d")&amp;"("&amp;CHOOSE(WEEKDAY($CC88),"日","月","火","水","木","金","土")&amp;")"&amp;" に切れる　"&amp;TEXT($CC88-N('設定'!$C$7),"m/d")&amp;"("&amp;CHOOSE(WEEKDAY($CC88-N('設定'!$C$7)),"日","月","火","水","木","金","土")&amp;")"&amp;" までに次を発注（2便目に入れる）"))))))))))</f>
        <v/>
      </c>
      <c r="CR88">
        <f>IF($C88="","",IF($G88&gt;1,"ｹｰｽ("&amp;$G88&amp;"入)","個"))</f>
        <v/>
      </c>
      <c r="CS88">
        <f>IF($C88="",0,IF(COUNTIFS('①在庫を貼る'!$V$6:$V$10005,'設定'!$C$4,'①在庫を貼る'!$W$6:$W$10005,$C88)=0,1,0))</f>
        <v/>
      </c>
      <c r="CT88">
        <f>IF(AND($CK88=1,OR('③発注書'!$C$4="すべて",'③発注書'!$C$4="",$F88='③発注書'!$C$4)),N($CT87)+1,N($CT87))</f>
        <v/>
      </c>
      <c r="CU88">
        <f>IF(AND($CL88=1,OR('③発注書'!$C$4="すべて",'③発注書'!$C$4="",$F88='③発注書'!$C$4)),N($CU87)+1,N($CU87))</f>
        <v/>
      </c>
      <c r="CV88">
        <f>IF($C88="",0,IF(COUNTIFS('①在庫を貼る'!$V$6:$V$10005,'設定'!$C$4,'①在庫を貼る'!$W$6:$W$10005,$C88)&gt;0,1,0))</f>
        <v/>
      </c>
      <c r="CW88">
        <f>IF($C88="",0,IF(COUNTIFS('月1回_1ヶ月前の在庫'!$V$6:$V$10005,'設定'!$C$4,'月1回_1ヶ月前の在庫'!$W$6:$W$10005,$C88)&gt;0,1,0))</f>
        <v/>
      </c>
      <c r="CX88">
        <f>IF($C88="",0,IF(COUNTIFS('月1回_2ヶ月前の在庫'!$V$6:$V$10005,'設定'!$C$4,'月1回_2ヶ月前の在庫'!$W$6:$W$10005,$C88)&gt;0,1,0))</f>
        <v/>
      </c>
      <c r="CY88">
        <f>IF(OR($C88="",'設定'!$C$12=""),"",IF('設定'!$C$13="",IF(AND($CV88=1,$CW88=0),"新商品（今月から）",IF(AND($CV88=0,$CW88=1),"終売（今月から）","")),IF(AND($CV88=1,$CW88=0,$CX88=0),"新商品（今月から）",IF(AND($CV88=1,$CW88=1,$CX88=0),"新商品（先月から）",IF(AND($CV88=0,$CW88=1,$CX88=1),"終売（今月から）",IF(AND($CV88=0,$CW88=0,$CX88=1),"終売（先月から）",IF(AND($CV88=1,$CW88=0,$CX88=1),"復活（先月は無し）","")))))))</f>
        <v/>
      </c>
    </row>
    <row r="89">
      <c r="B89">
        <f>IF(84&lt;='設定'!$C$11,84,"")</f>
        <v/>
      </c>
      <c r="C89">
        <f>IF($B89="","",IF($B89&lt;='設定'!$C$20,INDEX('商品マスタ'!$B$6:$B$1005,MATCH($B89,'商品マスタ'!$M$6:$M$1005,0)),IF($B89&lt;='設定'!$C$20+'設定'!$C$17,INDEX('①在庫を貼る'!$W$6:$W$10005,MATCH($B89-'設定'!$C$20,'①在庫を貼る'!$U$6:$U$10005,0)),IF($B89&lt;='設定'!$C$20+'設定'!$C$17+'設定'!$C$18,INDEX('月1回_1ヶ月前の在庫'!$W$6:$W$10005,MATCH($B89-'設定'!$C$20-'設定'!$C$17,'月1回_1ヶ月前の在庫'!$U$6:$U$10005,0)),INDEX('月1回_2ヶ月前の在庫'!$W$6:$W$10005,MATCH($B89-'設定'!$C$20-'設定'!$C$17-'設定'!$C$18,'月1回_2ヶ月前の在庫'!$U$6:$U$10005,0))))))</f>
        <v/>
      </c>
      <c r="D89">
        <f>IF($C89="","",IFERROR(IF(INDEX('商品マスタ'!$C$6:$C$1005,MATCH($C89,'商品マスタ'!$B$6:$B$1005,0))="",IFERROR(INDEX('①在庫を貼る'!$J$6:$J$10005,MATCH($C89,'①在庫を貼る'!$W$6:$W$10005,0)),IFERROR(INDEX('月1回_1ヶ月前の在庫'!$J$6:$J$10005,MATCH($C89,'月1回_1ヶ月前の在庫'!$W$6:$W$10005,0)),IFERROR(INDEX('月1回_2ヶ月前の在庫'!$J$6:$J$10005,MATCH($C89,'月1回_2ヶ月前の在庫'!$W$6:$W$10005,0)),""))),INDEX('商品マスタ'!$C$6:$C$1005,MATCH($C89,'商品マスタ'!$B$6:$B$1005,0))),IFERROR(INDEX('①在庫を貼る'!$J$6:$J$10005,MATCH($C89,'①在庫を貼る'!$W$6:$W$10005,0)),IFERROR(INDEX('月1回_1ヶ月前の在庫'!$J$6:$J$10005,MATCH($C89,'月1回_1ヶ月前の在庫'!$W$6:$W$10005,0)),IFERROR(INDEX('月1回_2ヶ月前の在庫'!$J$6:$J$10005,MATCH($C89,'月1回_2ヶ月前の在庫'!$W$6:$W$10005,0)),"")))))</f>
        <v/>
      </c>
      <c r="E89">
        <f>IF($C89="","",IFERROR(IF(INDEX('商品マスタ'!$D$6:$D$1005,MATCH($C89,'商品マスタ'!$B$6:$B$1005,0))="",IFERROR(INDEX('①在庫を貼る'!$H$6:$H$10005,MATCH($C89,'①在庫を貼る'!$W$6:$W$10005,0)),IFERROR(INDEX('月1回_1ヶ月前の在庫'!$H$6:$H$10005,MATCH($C89,'月1回_1ヶ月前の在庫'!$W$6:$W$10005,0)),IFERROR(INDEX('月1回_2ヶ月前の在庫'!$H$6:$H$10005,MATCH($C89,'月1回_2ヶ月前の在庫'!$W$6:$W$10005,0)),""))),INDEX('商品マスタ'!$D$6:$D$1005,MATCH($C89,'商品マスタ'!$B$6:$B$1005,0))),IFERROR(INDEX('①在庫を貼る'!$H$6:$H$10005,MATCH($C89,'①在庫を貼る'!$W$6:$W$10005,0)),IFERROR(INDEX('月1回_1ヶ月前の在庫'!$H$6:$H$10005,MATCH($C89,'月1回_1ヶ月前の在庫'!$W$6:$W$10005,0)),IFERROR(INDEX('月1回_2ヶ月前の在庫'!$H$6:$H$10005,MATCH($C89,'月1回_2ヶ月前の在庫'!$W$6:$W$10005,0)),"")))))</f>
        <v/>
      </c>
      <c r="F89">
        <f>IF($C89="","",IFERROR(IF(INDEX('商品マスタ'!$E$6:$E$1005,MATCH($C89,'商品マスタ'!$B$6:$B$1005,0))="",IFERROR(INDEX('①在庫を貼る'!$E$6:$E$10005,MATCH($C89,'①在庫を貼る'!$W$6:$W$10005,0)),IFERROR(INDEX('月1回_1ヶ月前の在庫'!$E$6:$E$10005,MATCH($C89,'月1回_1ヶ月前の在庫'!$W$6:$W$10005,0)),IFERROR(INDEX('月1回_2ヶ月前の在庫'!$E$6:$E$10005,MATCH($C89,'月1回_2ヶ月前の在庫'!$W$6:$W$10005,0)),""))),INDEX('商品マスタ'!$E$6:$E$1005,MATCH($C89,'商品マスタ'!$B$6:$B$1005,0))),IFERROR(INDEX('①在庫を貼る'!$E$6:$E$10005,MATCH($C89,'①在庫を貼る'!$W$6:$W$10005,0)),IFERROR(INDEX('月1回_1ヶ月前の在庫'!$E$6:$E$10005,MATCH($C89,'月1回_1ヶ月前の在庫'!$W$6:$W$10005,0)),IFERROR(INDEX('月1回_2ヶ月前の在庫'!$E$6:$E$10005,MATCH($C89,'月1回_2ヶ月前の在庫'!$W$6:$W$10005,0)),"")))))</f>
        <v/>
      </c>
      <c r="G89">
        <f>IF($C89="","",MAX(1,N(IFERROR(IF(INDEX('商品マスタ'!$F$6:$F$1005,MATCH($C89,'商品マスタ'!$B$6:$B$1005,0))="",IF(COUNTIFS('①在庫を貼る'!$V$6:$V$10005,'設定'!$C$4,'①在庫を貼る'!$W$6:$W$10005,$C89)&gt;0,SUMIFS('①在庫を貼る'!$K$6:$K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K$6:$K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K$6:$K$10005,'月1回_2ヶ月前の在庫'!$V$6:$V$10005,'設定'!$C$4,'月1回_2ヶ月前の在庫'!$W$6:$W$10005,$C89)/COUNTIFS('月1回_2ヶ月前の在庫'!$V$6:$V$10005,'設定'!$C$4,'月1回_2ヶ月前の在庫'!$W$6:$W$10005,$C89),0))),INDEX('商品マスタ'!$F$6:$F$1005,MATCH($C89,'商品マスタ'!$B$6:$B$1005,0))),IF(COUNTIFS('①在庫を貼る'!$V$6:$V$10005,'設定'!$C$4,'①在庫を貼る'!$W$6:$W$10005,$C89)&gt;0,SUMIFS('①在庫を貼る'!$K$6:$K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K$6:$K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K$6:$K$10005,'月1回_2ヶ月前の在庫'!$V$6:$V$10005,'設定'!$C$4,'月1回_2ヶ月前の在庫'!$W$6:$W$10005,$C89)/COUNTIFS('月1回_2ヶ月前の在庫'!$V$6:$V$10005,'設定'!$C$4,'月1回_2ヶ月前の在庫'!$W$6:$W$10005,$C89),0)))))))</f>
        <v/>
      </c>
      <c r="H89">
        <f>IF($C89="","",N(IFERROR(IF(INDEX('商品マスタ'!$G$6:$G$1005,MATCH($C89,'商品マスタ'!$B$6:$B$1005,0))="",IF(COUNTIFS('①在庫を貼る'!$V$6:$V$10005,'設定'!$C$4,'①在庫を貼る'!$W$6:$W$10005,$C89)&gt;0,SUMIFS('①在庫を貼る'!$Q$6:$Q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Q$6:$Q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Q$6:$Q$10005,'月1回_2ヶ月前の在庫'!$V$6:$V$10005,'設定'!$C$4,'月1回_2ヶ月前の在庫'!$W$6:$W$10005,$C89)/COUNTIFS('月1回_2ヶ月前の在庫'!$V$6:$V$10005,'設定'!$C$4,'月1回_2ヶ月前の在庫'!$W$6:$W$10005,$C89),0))),INDEX('商品マスタ'!$G$6:$G$1005,MATCH($C89,'商品マスタ'!$B$6:$B$1005,0))),IF(COUNTIFS('①在庫を貼る'!$V$6:$V$10005,'設定'!$C$4,'①在庫を貼る'!$W$6:$W$10005,$C89)&gt;0,SUMIFS('①在庫を貼る'!$Q$6:$Q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Q$6:$Q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Q$6:$Q$10005,'月1回_2ヶ月前の在庫'!$V$6:$V$10005,'設定'!$C$4,'月1回_2ヶ月前の在庫'!$W$6:$W$10005,$C89)/COUNTIFS('月1回_2ヶ月前の在庫'!$V$6:$V$10005,'設定'!$C$4,'月1回_2ヶ月前の在庫'!$W$6:$W$10005,$C89),0))))))</f>
        <v/>
      </c>
      <c r="I89">
        <f>IF($C89="","",IF(COUNTIFS('①在庫を貼る'!$V$6:$V$10005,'設定'!$C$4,'①在庫を貼る'!$W$6:$W$10005,$C89)=0,"",SUMIFS('①在庫を貼る'!$N$6:$N$10005,'①在庫を貼る'!$V$6:$V$10005,'設定'!$C$4,'①在庫を貼る'!$W$6:$W$10005,$C89)))</f>
        <v/>
      </c>
      <c r="J89">
        <f>IF($C89="","",IF('②発注する'!$AD93="","",'②発注する'!$AD93))</f>
        <v/>
      </c>
      <c r="K89" s="90">
        <f>IF($C89="","",IF('②発注する'!$AE93="","",'②発注する'!$AE93))</f>
        <v/>
      </c>
      <c r="L89">
        <f>IF($C89="","",IF(AND(ISNUMBER($J89),ISNUMBER($K89),$K89&gt;='設定'!$C$6),$J89,N($I89)))</f>
        <v/>
      </c>
      <c r="M89">
        <f>IF($C89="","",IFERROR(IF(N(INDEX('商品マスタ'!$J$6:$J$1005,MATCH($C89,'商品マスタ'!$B$6:$B$1005,0)))&gt;0,INDEX('商品マスタ'!$J$6:$J$1005,MATCH($C89,'商品マスタ'!$B$6:$B$1005,0)),""),""))</f>
        <v/>
      </c>
      <c r="N89">
        <f>IF($C89="","",IFERROR(IF(N(INDEX('商品マスタ'!$H$6:$H$1005,MATCH($C89,'商品マスタ'!$B$6:$B$1005,0)))&gt;0,INDEX('商品マスタ'!$H$6:$H$1005,MATCH($C89,'商品マスタ'!$B$6:$B$1005,0)),""),""))</f>
        <v/>
      </c>
      <c r="O89">
        <f>IF($C89="","",IF($N89&lt;&gt;"",$N89*$G89,IF(N(IF(COUNTIFS('①在庫を貼る'!$V$6:$V$10005,'設定'!$C$4,'①在庫を貼る'!$W$6:$W$10005,$C89)&gt;0,SUMIFS('①在庫を貼る'!$O$6:$O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O$6:$O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O$6:$O$10005,'月1回_2ヶ月前の在庫'!$V$6:$V$10005,'設定'!$C$4,'月1回_2ヶ月前の在庫'!$W$6:$W$10005,$C89)/COUNTIFS('月1回_2ヶ月前の在庫'!$V$6:$V$10005,'設定'!$C$4,'月1回_2ヶ月前の在庫'!$W$6:$W$10005,$C89),0))))&gt;0,N(IF(COUNTIFS('①在庫を貼る'!$V$6:$V$10005,'設定'!$C$4,'①在庫を貼る'!$W$6:$W$10005,$C89)&gt;0,SUMIFS('①在庫を貼る'!$O$6:$O$10005,'①在庫を貼る'!$V$6:$V$10005,'設定'!$C$4,'①在庫を貼る'!$W$6:$W$10005,$C89)/COUNTIFS('①在庫を貼る'!$V$6:$V$10005,'設定'!$C$4,'①在庫を貼る'!$W$6:$W$10005,$C89),IF(COUNTIFS('月1回_1ヶ月前の在庫'!$V$6:$V$10005,'設定'!$C$4,'月1回_1ヶ月前の在庫'!$W$6:$W$10005,$C89)&gt;0,SUMIFS('月1回_1ヶ月前の在庫'!$O$6:$O$10005,'月1回_1ヶ月前の在庫'!$V$6:$V$10005,'設定'!$C$4,'月1回_1ヶ月前の在庫'!$W$6:$W$10005,$C89)/COUNTIFS('月1回_1ヶ月前の在庫'!$V$6:$V$10005,'設定'!$C$4,'月1回_1ヶ月前の在庫'!$W$6:$W$10005,$C89),IF(COUNTIFS('月1回_2ヶ月前の在庫'!$V$6:$V$10005,'設定'!$C$4,'月1回_2ヶ月前の在庫'!$W$6:$W$10005,$C89)&gt;0,SUMIFS('月1回_2ヶ月前の在庫'!$O$6:$O$10005,'月1回_2ヶ月前の在庫'!$V$6:$V$10005,'設定'!$C$4,'月1回_2ヶ月前の在庫'!$W$6:$W$10005,$C89)/COUNTIFS('月1回_2ヶ月前の在庫'!$V$6:$V$10005,'設定'!$C$4,'月1回_2ヶ月前の在庫'!$W$6:$W$10005,$C89),0)))),"")))</f>
        <v/>
      </c>
      <c r="P89" s="90">
        <f>IF($C89="","",IF('②発注する'!$I93="","",'②発注する'!$I93))</f>
        <v/>
      </c>
      <c r="Q89">
        <f>IF($C89="","",IF('②発注する'!$J93="","",'②発注する'!$J93))</f>
        <v/>
      </c>
      <c r="R89">
        <f>IF($C89="",0,IF(AND(ISNUMBER($P89),ISNUMBER($Q89)),MAX(0,$Q89)*$G89,0))</f>
        <v/>
      </c>
      <c r="S89" s="90">
        <f>IF($C89="","",IF('②発注する'!$M93="","",'②発注する'!$M93))</f>
        <v/>
      </c>
      <c r="T89">
        <f>IF($C89="","",IF('②発注する'!$N93="","",'②発注する'!$N93))</f>
        <v/>
      </c>
      <c r="U89">
        <f>IF($C89="",0,IF(AND(ISNUMBER($S89),ISNUMBER($T89)),MAX(0,$T89)*$G89,0))</f>
        <v/>
      </c>
      <c r="V89">
        <f>IF($C89="",0,IF($M89="",0,MAX(0,$M89)*MAX(0,V$4)/100))</f>
        <v/>
      </c>
      <c r="W89">
        <f>IF($C89="",0,IF($M89="",0,MAX(0,$M89)*MAX(0,W$4)/100))</f>
        <v/>
      </c>
      <c r="X89">
        <f>IF($C89="",0,IF($M89="",0,MAX(0,$M89)*MAX(0,X$4)/100))</f>
        <v/>
      </c>
      <c r="Y89">
        <f>IF($C89="",0,IF($M89="",0,MAX(0,$M89)*MAX(0,Y$4)/100))</f>
        <v/>
      </c>
      <c r="Z89">
        <f>IF($C89="",0,IF($M89="",0,MAX(0,$M89)*MAX(0,Z$4)/100))</f>
        <v/>
      </c>
      <c r="AA89">
        <f>IF($C89="",0,IF($M89="",0,MAX(0,$M89)*MAX(0,AA$4)/100))</f>
        <v/>
      </c>
      <c r="AB89">
        <f>IF($C89="",0,IF($M89="",0,MAX(0,$M89)*MAX(0,AB$4)/100))</f>
        <v/>
      </c>
      <c r="AC89">
        <f>IF($C89="",0,IF($M89="",0,MAX(0,$M89)*MAX(0,AC$4)/100))</f>
        <v/>
      </c>
      <c r="AD89">
        <f>IF($C89="",0,IF($M89="",0,MAX(0,$M89)*MAX(0,AD$4)/100))</f>
        <v/>
      </c>
      <c r="AE89">
        <f>IF($C89="",0,IF($M89="",0,MAX(0,$M89)*MAX(0,AE$4)/100))</f>
        <v/>
      </c>
      <c r="AF89">
        <f>IF($C89="",0,IF($M89="",0,MAX(0,$M89)*MAX(0,AF$4)/100))</f>
        <v/>
      </c>
      <c r="AG89">
        <f>IF($C89="",0,IF($M89="",0,MAX(0,$M89)*MAX(0,AG$4)/100))</f>
        <v/>
      </c>
      <c r="AH89">
        <f>IF($C89="",0,IF($M89="",0,MAX(0,$M89)*MAX(0,AH$4)/100))</f>
        <v/>
      </c>
      <c r="AI89">
        <f>IF($C89="",0,IF($M89="",0,MAX(0,$M89)*MAX(0,AI$4)/100))</f>
        <v/>
      </c>
      <c r="AJ89">
        <f>IF($C89="",0,MAX(0,MAX(0,N($L89))-$V89))</f>
        <v/>
      </c>
      <c r="AK89">
        <f>IF($C89="",0,MAX(0,$AJ89-$W89))</f>
        <v/>
      </c>
      <c r="AL89">
        <f>IF($C89="",0,MAX(0,$AK89-$X89))</f>
        <v/>
      </c>
      <c r="AM89">
        <f>IF($C89="",0,MAX(0,$AL89-$Y89))</f>
        <v/>
      </c>
      <c r="AN89">
        <f>IF($C89="",0,MAX(0,$AM89-$Z89))</f>
        <v/>
      </c>
      <c r="AO89">
        <f>IF($C89="",0,MAX(0,$AN89-$AA89))</f>
        <v/>
      </c>
      <c r="AP89">
        <f>IF($C89="",0,MAX(0,$AO89-$AB89))</f>
        <v/>
      </c>
      <c r="AQ89">
        <f>IF($C89="",0,MAX(0,$AP89-$AC89))</f>
        <v/>
      </c>
      <c r="AR89">
        <f>IF($C89="",0,MAX(0,$AQ89-$AD89))</f>
        <v/>
      </c>
      <c r="AS89">
        <f>IF($C89="",0,MAX(0,$AR89-$AE89))</f>
        <v/>
      </c>
      <c r="AT89">
        <f>IF($C89="",0,MAX(0,$AS89-$AF89))</f>
        <v/>
      </c>
      <c r="AU89">
        <f>IF($C89="",0,MAX(0,$AT89-$AG89))</f>
        <v/>
      </c>
      <c r="AV89">
        <f>IF($C89="",0,MAX(0,$AU89-$AH89))</f>
        <v/>
      </c>
      <c r="AW89">
        <f>IF($C89="",0,MAX(0,$AV89-$AI89))</f>
        <v/>
      </c>
      <c r="AX89">
        <f>IF($C89="",0,MAX(0,MAX(0,N($L89))+IF($P89=V$3,$R89,0)+IF($S89=V$3,$U89,0)-$V89))</f>
        <v/>
      </c>
      <c r="AY89">
        <f>IF($C89="",0,MAX(0,$AX89+IF($P89=W$3,$R89,0)+IF($S89=W$3,$U89,0)-$W89))</f>
        <v/>
      </c>
      <c r="AZ89">
        <f>IF($C89="",0,MAX(0,$AY89+IF($P89=X$3,$R89,0)+IF($S89=X$3,$U89,0)-$X89))</f>
        <v/>
      </c>
      <c r="BA89">
        <f>IF($C89="",0,MAX(0,$AZ89+IF($P89=Y$3,$R89,0)+IF($S89=Y$3,$U89,0)-$Y89))</f>
        <v/>
      </c>
      <c r="BB89">
        <f>IF($C89="",0,MAX(0,$BA89+IF($P89=Z$3,$R89,0)+IF($S89=Z$3,$U89,0)-$Z89))</f>
        <v/>
      </c>
      <c r="BC89">
        <f>IF($C89="",0,MAX(0,$BB89+IF($P89=AA$3,$R89,0)+IF($S89=AA$3,$U89,0)-$AA89))</f>
        <v/>
      </c>
      <c r="BD89">
        <f>IF($C89="",0,MAX(0,$BC89+IF($P89=AB$3,$R89,0)+IF($S89=AB$3,$U89,0)-$AB89))</f>
        <v/>
      </c>
      <c r="BE89">
        <f>IF($C89="",0,MAX(0,$BD89+IF($P89=AC$3,$R89,0)+IF($S89=AC$3,$U89,0)-$AC89))</f>
        <v/>
      </c>
      <c r="BF89">
        <f>IF($C89="",0,MAX(0,$BE89+IF($P89=AD$3,$R89,0)+IF($S89=AD$3,$U89,0)-$AD89))</f>
        <v/>
      </c>
      <c r="BG89">
        <f>IF($C89="",0,MAX(0,$BF89+IF($P89=AE$3,$R89,0)+IF($S89=AE$3,$U89,0)-$AE89))</f>
        <v/>
      </c>
      <c r="BH89">
        <f>IF($C89="",0,MAX(0,$BG89+IF($P89=AF$3,$R89,0)+IF($S89=AF$3,$U89,0)-$AF89))</f>
        <v/>
      </c>
      <c r="BI89">
        <f>IF($C89="",0,MAX(0,$BH89+IF($P89=AG$3,$R89,0)+IF($S89=AG$3,$U89,0)-$AG89))</f>
        <v/>
      </c>
      <c r="BJ89">
        <f>IF($C89="",0,MAX(0,$BI89+IF($P89=AH$3,$R89,0)+IF($S89=AH$3,$U89,0)-$AH89))</f>
        <v/>
      </c>
      <c r="BK89">
        <f>IF($C89="",0,MAX(0,$BJ89+IF($P89=AI$3,$R89,0)+IF($S89=AI$3,$U89,0)-$AI89))</f>
        <v/>
      </c>
      <c r="BL89">
        <f>IF($C89="",99,IF(AND($AX89&lt;1,V$3&gt;=MAX(N($P89),N($S89))),0,99))</f>
        <v/>
      </c>
      <c r="BM89">
        <f>IF($C89="",99,IF(AND($AY89&lt;1,W$3&gt;=MAX(N($P89),N($S89))),1,99))</f>
        <v/>
      </c>
      <c r="BN89">
        <f>IF($C89="",99,IF(AND($AZ89&lt;1,X$3&gt;=MAX(N($P89),N($S89))),2,99))</f>
        <v/>
      </c>
      <c r="BO89">
        <f>IF($C89="",99,IF(AND($BA89&lt;1,Y$3&gt;=MAX(N($P89),N($S89))),3,99))</f>
        <v/>
      </c>
      <c r="BP89">
        <f>IF($C89="",99,IF(AND($BB89&lt;1,Z$3&gt;=MAX(N($P89),N($S89))),4,99))</f>
        <v/>
      </c>
      <c r="BQ89">
        <f>IF($C89="",99,IF(AND($BC89&lt;1,AA$3&gt;=MAX(N($P89),N($S89))),5,99))</f>
        <v/>
      </c>
      <c r="BR89">
        <f>IF($C89="",99,IF(AND($BD89&lt;1,AB$3&gt;=MAX(N($P89),N($S89))),6,99))</f>
        <v/>
      </c>
      <c r="BS89">
        <f>IF($C89="",99,IF(AND($BE89&lt;1,AC$3&gt;=MAX(N($P89),N($S89))),7,99))</f>
        <v/>
      </c>
      <c r="BT89">
        <f>IF($C89="",99,IF(AND($BF89&lt;1,AD$3&gt;=MAX(N($P89),N($S89))),8,99))</f>
        <v/>
      </c>
      <c r="BU89">
        <f>IF($C89="",99,IF(AND($BG89&lt;1,AE$3&gt;=MAX(N($P89),N($S89))),9,99))</f>
        <v/>
      </c>
      <c r="BV89">
        <f>IF($C89="",99,IF(AND($BH89&lt;1,AF$3&gt;=MAX(N($P89),N($S89))),10,99))</f>
        <v/>
      </c>
      <c r="BW89">
        <f>IF($C89="",99,IF(AND($BI89&lt;1,AG$3&gt;=MAX(N($P89),N($S89))),11,99))</f>
        <v/>
      </c>
      <c r="BX89">
        <f>IF($C89="",99,IF(AND($BJ89&lt;1,AH$3&gt;=MAX(N($P89),N($S89))),12,99))</f>
        <v/>
      </c>
      <c r="BY89">
        <f>IF($C89="",99,IF(AND($BK89&lt;1,AI$3&gt;=MAX(N($P89),N($S89))),13,99))</f>
        <v/>
      </c>
      <c r="BZ89">
        <f>IF(OR($C89="",$M89=""),"",COUNTIF($AJ89:$AW89,"&gt;=1"))</f>
        <v/>
      </c>
      <c r="CA89" s="90">
        <f>IF($BZ89="","",IF($BZ89&gt;=14,"",'設定'!$C$6+$BZ89))</f>
        <v/>
      </c>
      <c r="CB89">
        <f>IF(OR($C89="",$M89=""),"",MIN($BL89:$BY89))</f>
        <v/>
      </c>
      <c r="CC89" s="90">
        <f>IF($CB89="","",IF($CB89&gt;=99,"",'設定'!$C$6+$CB89))</f>
        <v/>
      </c>
      <c r="CD89">
        <f>IF(OR($C89="",$M89=""),"",AVERAGE($V89:$AI89))</f>
        <v/>
      </c>
      <c r="CE89">
        <f>IF($C89="","",IFERROR(IF(MATCH(IF(ISNUMBER($P89),$P89,'設定'!$C$6+N('設定'!$C$7)),$V$3:$AI$3,0)=1,MAX(0,N($L89)),INDEX($AJ89:$AW89,MATCH(IF(ISNUMBER($P89),$P89,'設定'!$C$6+N('設定'!$C$7)),$V$3:$AI$3,0)-1)),""))</f>
        <v/>
      </c>
      <c r="CF89">
        <f>IF(OR($C89="",$O89="",$CE89=""),"",IF($O89-$CE89&lt;=0,0,ROUNDUP(($O89-$CE89)/$G89,0)))</f>
        <v/>
      </c>
      <c r="CG89">
        <f>IF(OR($C89="",$CF89="",NOT(ISNUMBER($Q89))),0,MAX(0,$Q89-$CF89))</f>
        <v/>
      </c>
      <c r="CH89">
        <f>IF(OR($C89="",$O89="",$U89=0),0,IFERROR(ROUNDUP(MAX(0,IF(MATCH($S89,$V$3:$AI$3,0)=1,MAX(0,N($L89)),INDEX($AX89:$BK89,MATCH($S89,$V$3:$AI$3,0)-1))+$U89-$O89)/$G89,0),0))</f>
        <v/>
      </c>
      <c r="CI89">
        <f>IF($C89="","",IF(AND($P89="",$Q89=""),"",IF($P89="","⚠ 入庫日を ▼ から選んでください",IF(NOT(ISNUMBER($P89)),"⚠ 入庫日は ▼ から選んでください",IF($P89&lt;N('設定'!$C$6),"⚠ 入庫日が過去です（もう在庫に入っています）→ 消してください",IF($P89&gt;N('設定'!$C$6)+13,"⚠ 入庫日が14日より先です",IF(N($Q89)&lt;=0,"⚠ 入庫数を入れてください",IF($CG89&gt;0,"⚠ 目安より "&amp;$CG89&amp;" 多い（定数を超える）→ 減らす",""))))))))</f>
        <v/>
      </c>
      <c r="CJ89">
        <f>IF($C89="","",IF(AND($S89="",$T89=""),"",IF($S89="","⚠ 2便目：入庫日を ▼ から選んでください",IF(NOT(ISNUMBER($S89)),"⚠ 2便目：入庫日は ▼ から選んでください",IF($S89&lt;N('設定'!$C$6),"⚠ 2便目：入庫日が過去です（もう在庫に入っています）→ 消してください",IF($S89&gt;N('設定'!$C$6)+13,"⚠ 2便目：入庫日が14日より先です",IF(N($T89)&lt;=0,"⚠ 2便目：入庫数を入れてください",IF($CH89&gt;0,"⚠ 2便目：定数を "&amp;$CH89&amp;" ケース超える → 減らす",""))))))))</f>
        <v/>
      </c>
      <c r="CK89">
        <f>IF(AND($CI89="",N($Q89)&gt;0,ISNUMBER($P89)),1,0)</f>
        <v/>
      </c>
      <c r="CL89">
        <f>IF(AND($CJ89="",N($T89)&gt;0,ISNUMBER($S89)),1,0)</f>
        <v/>
      </c>
      <c r="CM89">
        <f>IF(OR($CK89=1,$CL89=1),1,0)</f>
        <v/>
      </c>
      <c r="CN89">
        <f>IF($C89="",0,($CK89*$R89+$CL89*$U89)*N($H89))</f>
        <v/>
      </c>
      <c r="CO89">
        <f>IF($C89="","",IF($CC89="","入庫後は 14日以上もつ",IF($CC89-N('設定'!$C$7)&lt;='設定'!$C$6,"入庫後も "&amp;TEXT($CC89,"m/d")&amp;"("&amp;CHOOSE(WEEKDAY($CC89),"日","月","火","水","木","金","土")&amp;")"&amp;" に切れる　もう1便を至急発注","入庫後も "&amp;TEXT($CC89,"m/d")&amp;"("&amp;CHOOSE(WEEKDAY($CC89),"日","月","火","水","木","金","土")&amp;")"&amp;" に切れる　"&amp;TEXT($CC89-N('設定'!$C$7),"m/d")&amp;"("&amp;CHOOSE(WEEKDAY($CC89-N('設定'!$C$7)),"日","月","火","水","木","金","土")&amp;")"&amp;" までに次を発注")))</f>
        <v/>
      </c>
      <c r="CP89">
        <f>IF($C89="","",IF('設定'!$C$6="","？ ①在庫を貼る に今日のCSVが貼られていない",IF($CS89=1,"－ 今日のCSVに無い（終売？）",IF($L89&lt;0,"● 在庫がマイナス　数えて「数えた在庫」に入れる",IF($L89=0,"● 在庫なし　至急発注",IF($M89="","？ 減り数が未設定（商品マスタ）",IF($B$3=0,"？ 動員が未入力（動員を入れる）",IF($CA89="","○ 14日以上もつ",IF($BZ89&lt;N('設定'!$C$7),"● "&amp;TEXT($CA89,"m/d")&amp;"("&amp;CHOOSE(WEEKDAY($CA89),"日","月","火","水","木","金","土")&amp;")"&amp;" に切れる　至急発注",IF($BZ89=N('設定'!$C$7),"● "&amp;TEXT($CA89,"m/d")&amp;"("&amp;CHOOSE(WEEKDAY($CA89),"日","月","火","水","木","金","土")&amp;")"&amp;" に切れる　今日発注","△ "&amp;TEXT($CA89,"m/d")&amp;"("&amp;CHOOSE(WEEKDAY($CA89),"日","月","火","水","木","金","土")&amp;")"&amp;" に切れる　"&amp;TEXT($CA89-N('設定'!$C$7),"m/d")&amp;"("&amp;CHOOSE(WEEKDAY($CA89-N('設定'!$C$7)),"日","月","火","水","木","金","土")&amp;")"&amp;" までに発注"))))))))))</f>
        <v/>
      </c>
      <c r="CQ89">
        <f>IF($C89="","",IF(AND($P89="",$Q89="",$S89="",$T89=""),"",IF(AND($P89="",$Q89=""),"⚠ 先に1便目（左の入庫日・入庫数）に入れてください",IF($CI89&lt;&gt;"",$CI89,IF($CJ89&lt;&gt;"",$CJ89,IF($M89="","？ 減り数が未設定（発注書には載ります）",IF($B$3=0,"？ 動員が未入力（発注書には載ります）",IF(AND($CA89&lt;&gt;"",$P89&gt;$CA89),IF($P89&gt;'設定'!$C$6+N('設定'!$C$7),"● "&amp;TEXT($P89,"m/d")&amp;"("&amp;CHOOSE(WEEKDAY($P89),"日","月","火","水","木","金","土")&amp;")"&amp;" の入庫では間に合わない（"&amp;TEXT($CA89,"m/d")&amp;"("&amp;CHOOSE(WEEKDAY($CA89),"日","月","火","水","木","金","土")&amp;")"&amp;" に切れる）　入庫日を早める","△ 欠品 "&amp;TEXT($CA89,"m/d")&amp;"("&amp;CHOOSE(WEEKDAY($CA89),"日","月","火","水","木","金","土")&amp;")"&amp;"〜"&amp;TEXT($P89-1,"m/d")&amp;"("&amp;CHOOSE(WEEKDAY($P89-1),"日","月","火","水","木","金","土")&amp;")"&amp;"　"&amp;$CO89),IF($CC89="","○ "&amp;TEXT($P89,"m/d")&amp;"("&amp;CHOOSE(WEEKDAY($P89),"日","月","火","水","木","金","土")&amp;")"&amp;" 入庫で 14日以上もつ",IF($CC89-N('設定'!$C$7)&lt;='設定'!$C$6,"● 入庫しても "&amp;TEXT($CC89,"m/d")&amp;"("&amp;CHOOSE(WEEKDAY($CC89),"日","月","火","水","木","金","土")&amp;")"&amp;" に切れる　もう1便を至急発注（2便目に入れる）","△ 入庫しても "&amp;TEXT($CC89,"m/d")&amp;"("&amp;CHOOSE(WEEKDAY($CC89),"日","月","火","水","木","金","土")&amp;")"&amp;" に切れる　"&amp;TEXT($CC89-N('設定'!$C$7),"m/d")&amp;"("&amp;CHOOSE(WEEKDAY($CC89-N('設定'!$C$7)),"日","月","火","水","木","金","土")&amp;")"&amp;" までに次を発注（2便目に入れる）"))))))))))</f>
        <v/>
      </c>
      <c r="CR89">
        <f>IF($C89="","",IF($G89&gt;1,"ｹｰｽ("&amp;$G89&amp;"入)","個"))</f>
        <v/>
      </c>
      <c r="CS89">
        <f>IF($C89="",0,IF(COUNTIFS('①在庫を貼る'!$V$6:$V$10005,'設定'!$C$4,'①在庫を貼る'!$W$6:$W$10005,$C89)=0,1,0))</f>
        <v/>
      </c>
      <c r="CT89">
        <f>IF(AND($CK89=1,OR('③発注書'!$C$4="すべて",'③発注書'!$C$4="",$F89='③発注書'!$C$4)),N($CT88)+1,N($CT88))</f>
        <v/>
      </c>
      <c r="CU89">
        <f>IF(AND($CL89=1,OR('③発注書'!$C$4="すべて",'③発注書'!$C$4="",$F89='③発注書'!$C$4)),N($CU88)+1,N($CU88))</f>
        <v/>
      </c>
      <c r="CV89">
        <f>IF($C89="",0,IF(COUNTIFS('①在庫を貼る'!$V$6:$V$10005,'設定'!$C$4,'①在庫を貼る'!$W$6:$W$10005,$C89)&gt;0,1,0))</f>
        <v/>
      </c>
      <c r="CW89">
        <f>IF($C89="",0,IF(COUNTIFS('月1回_1ヶ月前の在庫'!$V$6:$V$10005,'設定'!$C$4,'月1回_1ヶ月前の在庫'!$W$6:$W$10005,$C89)&gt;0,1,0))</f>
        <v/>
      </c>
      <c r="CX89">
        <f>IF($C89="",0,IF(COUNTIFS('月1回_2ヶ月前の在庫'!$V$6:$V$10005,'設定'!$C$4,'月1回_2ヶ月前の在庫'!$W$6:$W$10005,$C89)&gt;0,1,0))</f>
        <v/>
      </c>
      <c r="CY89">
        <f>IF(OR($C89="",'設定'!$C$12=""),"",IF('設定'!$C$13="",IF(AND($CV89=1,$CW89=0),"新商品（今月から）",IF(AND($CV89=0,$CW89=1),"終売（今月から）","")),IF(AND($CV89=1,$CW89=0,$CX89=0),"新商品（今月から）",IF(AND($CV89=1,$CW89=1,$CX89=0),"新商品（先月から）",IF(AND($CV89=0,$CW89=1,$CX89=1),"終売（今月から）",IF(AND($CV89=0,$CW89=0,$CX89=1),"終売（先月から）",IF(AND($CV89=1,$CW89=0,$CX89=1),"復活（先月は無し）","")))))))</f>
        <v/>
      </c>
    </row>
    <row r="90">
      <c r="B90">
        <f>IF(85&lt;='設定'!$C$11,85,"")</f>
        <v/>
      </c>
      <c r="C90">
        <f>IF($B90="","",IF($B90&lt;='設定'!$C$20,INDEX('商品マスタ'!$B$6:$B$1005,MATCH($B90,'商品マスタ'!$M$6:$M$1005,0)),IF($B90&lt;='設定'!$C$20+'設定'!$C$17,INDEX('①在庫を貼る'!$W$6:$W$10005,MATCH($B90-'設定'!$C$20,'①在庫を貼る'!$U$6:$U$10005,0)),IF($B90&lt;='設定'!$C$20+'設定'!$C$17+'設定'!$C$18,INDEX('月1回_1ヶ月前の在庫'!$W$6:$W$10005,MATCH($B90-'設定'!$C$20-'設定'!$C$17,'月1回_1ヶ月前の在庫'!$U$6:$U$10005,0)),INDEX('月1回_2ヶ月前の在庫'!$W$6:$W$10005,MATCH($B90-'設定'!$C$20-'設定'!$C$17-'設定'!$C$18,'月1回_2ヶ月前の在庫'!$U$6:$U$10005,0))))))</f>
        <v/>
      </c>
      <c r="D90">
        <f>IF($C90="","",IFERROR(IF(INDEX('商品マスタ'!$C$6:$C$1005,MATCH($C90,'商品マスタ'!$B$6:$B$1005,0))="",IFERROR(INDEX('①在庫を貼る'!$J$6:$J$10005,MATCH($C90,'①在庫を貼る'!$W$6:$W$10005,0)),IFERROR(INDEX('月1回_1ヶ月前の在庫'!$J$6:$J$10005,MATCH($C90,'月1回_1ヶ月前の在庫'!$W$6:$W$10005,0)),IFERROR(INDEX('月1回_2ヶ月前の在庫'!$J$6:$J$10005,MATCH($C90,'月1回_2ヶ月前の在庫'!$W$6:$W$10005,0)),""))),INDEX('商品マスタ'!$C$6:$C$1005,MATCH($C90,'商品マスタ'!$B$6:$B$1005,0))),IFERROR(INDEX('①在庫を貼る'!$J$6:$J$10005,MATCH($C90,'①在庫を貼る'!$W$6:$W$10005,0)),IFERROR(INDEX('月1回_1ヶ月前の在庫'!$J$6:$J$10005,MATCH($C90,'月1回_1ヶ月前の在庫'!$W$6:$W$10005,0)),IFERROR(INDEX('月1回_2ヶ月前の在庫'!$J$6:$J$10005,MATCH($C90,'月1回_2ヶ月前の在庫'!$W$6:$W$10005,0)),"")))))</f>
        <v/>
      </c>
      <c r="E90">
        <f>IF($C90="","",IFERROR(IF(INDEX('商品マスタ'!$D$6:$D$1005,MATCH($C90,'商品マスタ'!$B$6:$B$1005,0))="",IFERROR(INDEX('①在庫を貼る'!$H$6:$H$10005,MATCH($C90,'①在庫を貼る'!$W$6:$W$10005,0)),IFERROR(INDEX('月1回_1ヶ月前の在庫'!$H$6:$H$10005,MATCH($C90,'月1回_1ヶ月前の在庫'!$W$6:$W$10005,0)),IFERROR(INDEX('月1回_2ヶ月前の在庫'!$H$6:$H$10005,MATCH($C90,'月1回_2ヶ月前の在庫'!$W$6:$W$10005,0)),""))),INDEX('商品マスタ'!$D$6:$D$1005,MATCH($C90,'商品マスタ'!$B$6:$B$1005,0))),IFERROR(INDEX('①在庫を貼る'!$H$6:$H$10005,MATCH($C90,'①在庫を貼る'!$W$6:$W$10005,0)),IFERROR(INDEX('月1回_1ヶ月前の在庫'!$H$6:$H$10005,MATCH($C90,'月1回_1ヶ月前の在庫'!$W$6:$W$10005,0)),IFERROR(INDEX('月1回_2ヶ月前の在庫'!$H$6:$H$10005,MATCH($C90,'月1回_2ヶ月前の在庫'!$W$6:$W$10005,0)),"")))))</f>
        <v/>
      </c>
      <c r="F90">
        <f>IF($C90="","",IFERROR(IF(INDEX('商品マスタ'!$E$6:$E$1005,MATCH($C90,'商品マスタ'!$B$6:$B$1005,0))="",IFERROR(INDEX('①在庫を貼る'!$E$6:$E$10005,MATCH($C90,'①在庫を貼る'!$W$6:$W$10005,0)),IFERROR(INDEX('月1回_1ヶ月前の在庫'!$E$6:$E$10005,MATCH($C90,'月1回_1ヶ月前の在庫'!$W$6:$W$10005,0)),IFERROR(INDEX('月1回_2ヶ月前の在庫'!$E$6:$E$10005,MATCH($C90,'月1回_2ヶ月前の在庫'!$W$6:$W$10005,0)),""))),INDEX('商品マスタ'!$E$6:$E$1005,MATCH($C90,'商品マスタ'!$B$6:$B$1005,0))),IFERROR(INDEX('①在庫を貼る'!$E$6:$E$10005,MATCH($C90,'①在庫を貼る'!$W$6:$W$10005,0)),IFERROR(INDEX('月1回_1ヶ月前の在庫'!$E$6:$E$10005,MATCH($C90,'月1回_1ヶ月前の在庫'!$W$6:$W$10005,0)),IFERROR(INDEX('月1回_2ヶ月前の在庫'!$E$6:$E$10005,MATCH($C90,'月1回_2ヶ月前の在庫'!$W$6:$W$10005,0)),"")))))</f>
        <v/>
      </c>
      <c r="G90">
        <f>IF($C90="","",MAX(1,N(IFERROR(IF(INDEX('商品マスタ'!$F$6:$F$1005,MATCH($C90,'商品マスタ'!$B$6:$B$1005,0))="",IF(COUNTIFS('①在庫を貼る'!$V$6:$V$10005,'設定'!$C$4,'①在庫を貼る'!$W$6:$W$10005,$C90)&gt;0,SUMIFS('①在庫を貼る'!$K$6:$K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K$6:$K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K$6:$K$10005,'月1回_2ヶ月前の在庫'!$V$6:$V$10005,'設定'!$C$4,'月1回_2ヶ月前の在庫'!$W$6:$W$10005,$C90)/COUNTIFS('月1回_2ヶ月前の在庫'!$V$6:$V$10005,'設定'!$C$4,'月1回_2ヶ月前の在庫'!$W$6:$W$10005,$C90),0))),INDEX('商品マスタ'!$F$6:$F$1005,MATCH($C90,'商品マスタ'!$B$6:$B$1005,0))),IF(COUNTIFS('①在庫を貼る'!$V$6:$V$10005,'設定'!$C$4,'①在庫を貼る'!$W$6:$W$10005,$C90)&gt;0,SUMIFS('①在庫を貼る'!$K$6:$K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K$6:$K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K$6:$K$10005,'月1回_2ヶ月前の在庫'!$V$6:$V$10005,'設定'!$C$4,'月1回_2ヶ月前の在庫'!$W$6:$W$10005,$C90)/COUNTIFS('月1回_2ヶ月前の在庫'!$V$6:$V$10005,'設定'!$C$4,'月1回_2ヶ月前の在庫'!$W$6:$W$10005,$C90),0)))))))</f>
        <v/>
      </c>
      <c r="H90">
        <f>IF($C90="","",N(IFERROR(IF(INDEX('商品マスタ'!$G$6:$G$1005,MATCH($C90,'商品マスタ'!$B$6:$B$1005,0))="",IF(COUNTIFS('①在庫を貼る'!$V$6:$V$10005,'設定'!$C$4,'①在庫を貼る'!$W$6:$W$10005,$C90)&gt;0,SUMIFS('①在庫を貼る'!$Q$6:$Q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Q$6:$Q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Q$6:$Q$10005,'月1回_2ヶ月前の在庫'!$V$6:$V$10005,'設定'!$C$4,'月1回_2ヶ月前の在庫'!$W$6:$W$10005,$C90)/COUNTIFS('月1回_2ヶ月前の在庫'!$V$6:$V$10005,'設定'!$C$4,'月1回_2ヶ月前の在庫'!$W$6:$W$10005,$C90),0))),INDEX('商品マスタ'!$G$6:$G$1005,MATCH($C90,'商品マスタ'!$B$6:$B$1005,0))),IF(COUNTIFS('①在庫を貼る'!$V$6:$V$10005,'設定'!$C$4,'①在庫を貼る'!$W$6:$W$10005,$C90)&gt;0,SUMIFS('①在庫を貼る'!$Q$6:$Q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Q$6:$Q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Q$6:$Q$10005,'月1回_2ヶ月前の在庫'!$V$6:$V$10005,'設定'!$C$4,'月1回_2ヶ月前の在庫'!$W$6:$W$10005,$C90)/COUNTIFS('月1回_2ヶ月前の在庫'!$V$6:$V$10005,'設定'!$C$4,'月1回_2ヶ月前の在庫'!$W$6:$W$10005,$C90),0))))))</f>
        <v/>
      </c>
      <c r="I90">
        <f>IF($C90="","",IF(COUNTIFS('①在庫を貼る'!$V$6:$V$10005,'設定'!$C$4,'①在庫を貼る'!$W$6:$W$10005,$C90)=0,"",SUMIFS('①在庫を貼る'!$N$6:$N$10005,'①在庫を貼る'!$V$6:$V$10005,'設定'!$C$4,'①在庫を貼る'!$W$6:$W$10005,$C90)))</f>
        <v/>
      </c>
      <c r="J90">
        <f>IF($C90="","",IF('②発注する'!$AD94="","",'②発注する'!$AD94))</f>
        <v/>
      </c>
      <c r="K90" s="90">
        <f>IF($C90="","",IF('②発注する'!$AE94="","",'②発注する'!$AE94))</f>
        <v/>
      </c>
      <c r="L90">
        <f>IF($C90="","",IF(AND(ISNUMBER($J90),ISNUMBER($K90),$K90&gt;='設定'!$C$6),$J90,N($I90)))</f>
        <v/>
      </c>
      <c r="M90">
        <f>IF($C90="","",IFERROR(IF(N(INDEX('商品マスタ'!$J$6:$J$1005,MATCH($C90,'商品マスタ'!$B$6:$B$1005,0)))&gt;0,INDEX('商品マスタ'!$J$6:$J$1005,MATCH($C90,'商品マスタ'!$B$6:$B$1005,0)),""),""))</f>
        <v/>
      </c>
      <c r="N90">
        <f>IF($C90="","",IFERROR(IF(N(INDEX('商品マスタ'!$H$6:$H$1005,MATCH($C90,'商品マスタ'!$B$6:$B$1005,0)))&gt;0,INDEX('商品マスタ'!$H$6:$H$1005,MATCH($C90,'商品マスタ'!$B$6:$B$1005,0)),""),""))</f>
        <v/>
      </c>
      <c r="O90">
        <f>IF($C90="","",IF($N90&lt;&gt;"",$N90*$G90,IF(N(IF(COUNTIFS('①在庫を貼る'!$V$6:$V$10005,'設定'!$C$4,'①在庫を貼る'!$W$6:$W$10005,$C90)&gt;0,SUMIFS('①在庫を貼る'!$O$6:$O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O$6:$O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O$6:$O$10005,'月1回_2ヶ月前の在庫'!$V$6:$V$10005,'設定'!$C$4,'月1回_2ヶ月前の在庫'!$W$6:$W$10005,$C90)/COUNTIFS('月1回_2ヶ月前の在庫'!$V$6:$V$10005,'設定'!$C$4,'月1回_2ヶ月前の在庫'!$W$6:$W$10005,$C90),0))))&gt;0,N(IF(COUNTIFS('①在庫を貼る'!$V$6:$V$10005,'設定'!$C$4,'①在庫を貼る'!$W$6:$W$10005,$C90)&gt;0,SUMIFS('①在庫を貼る'!$O$6:$O$10005,'①在庫を貼る'!$V$6:$V$10005,'設定'!$C$4,'①在庫を貼る'!$W$6:$W$10005,$C90)/COUNTIFS('①在庫を貼る'!$V$6:$V$10005,'設定'!$C$4,'①在庫を貼る'!$W$6:$W$10005,$C90),IF(COUNTIFS('月1回_1ヶ月前の在庫'!$V$6:$V$10005,'設定'!$C$4,'月1回_1ヶ月前の在庫'!$W$6:$W$10005,$C90)&gt;0,SUMIFS('月1回_1ヶ月前の在庫'!$O$6:$O$10005,'月1回_1ヶ月前の在庫'!$V$6:$V$10005,'設定'!$C$4,'月1回_1ヶ月前の在庫'!$W$6:$W$10005,$C90)/COUNTIFS('月1回_1ヶ月前の在庫'!$V$6:$V$10005,'設定'!$C$4,'月1回_1ヶ月前の在庫'!$W$6:$W$10005,$C90),IF(COUNTIFS('月1回_2ヶ月前の在庫'!$V$6:$V$10005,'設定'!$C$4,'月1回_2ヶ月前の在庫'!$W$6:$W$10005,$C90)&gt;0,SUMIFS('月1回_2ヶ月前の在庫'!$O$6:$O$10005,'月1回_2ヶ月前の在庫'!$V$6:$V$10005,'設定'!$C$4,'月1回_2ヶ月前の在庫'!$W$6:$W$10005,$C90)/COUNTIFS('月1回_2ヶ月前の在庫'!$V$6:$V$10005,'設定'!$C$4,'月1回_2ヶ月前の在庫'!$W$6:$W$10005,$C90),0)))),"")))</f>
        <v/>
      </c>
      <c r="P90" s="90">
        <f>IF($C90="","",IF('②発注する'!$I94="","",'②発注する'!$I94))</f>
        <v/>
      </c>
      <c r="Q90">
        <f>IF($C90="","",IF('②発注する'!$J94="","",'②発注する'!$J94))</f>
        <v/>
      </c>
      <c r="R90">
        <f>IF($C90="",0,IF(AND(ISNUMBER($P90),ISNUMBER($Q90)),MAX(0,$Q90)*$G90,0))</f>
        <v/>
      </c>
      <c r="S90" s="90">
        <f>IF($C90="","",IF('②発注する'!$M94="","",'②発注する'!$M94))</f>
        <v/>
      </c>
      <c r="T90">
        <f>IF($C90="","",IF('②発注する'!$N94="","",'②発注する'!$N94))</f>
        <v/>
      </c>
      <c r="U90">
        <f>IF($C90="",0,IF(AND(ISNUMBER($S90),ISNUMBER($T90)),MAX(0,$T90)*$G90,0))</f>
        <v/>
      </c>
      <c r="V90">
        <f>IF($C90="",0,IF($M90="",0,MAX(0,$M90)*MAX(0,V$4)/100))</f>
        <v/>
      </c>
      <c r="W90">
        <f>IF($C90="",0,IF($M90="",0,MAX(0,$M90)*MAX(0,W$4)/100))</f>
        <v/>
      </c>
      <c r="X90">
        <f>IF($C90="",0,IF($M90="",0,MAX(0,$M90)*MAX(0,X$4)/100))</f>
        <v/>
      </c>
      <c r="Y90">
        <f>IF($C90="",0,IF($M90="",0,MAX(0,$M90)*MAX(0,Y$4)/100))</f>
        <v/>
      </c>
      <c r="Z90">
        <f>IF($C90="",0,IF($M90="",0,MAX(0,$M90)*MAX(0,Z$4)/100))</f>
        <v/>
      </c>
      <c r="AA90">
        <f>IF($C90="",0,IF($M90="",0,MAX(0,$M90)*MAX(0,AA$4)/100))</f>
        <v/>
      </c>
      <c r="AB90">
        <f>IF($C90="",0,IF($M90="",0,MAX(0,$M90)*MAX(0,AB$4)/100))</f>
        <v/>
      </c>
      <c r="AC90">
        <f>IF($C90="",0,IF($M90="",0,MAX(0,$M90)*MAX(0,AC$4)/100))</f>
        <v/>
      </c>
      <c r="AD90">
        <f>IF($C90="",0,IF($M90="",0,MAX(0,$M90)*MAX(0,AD$4)/100))</f>
        <v/>
      </c>
      <c r="AE90">
        <f>IF($C90="",0,IF($M90="",0,MAX(0,$M90)*MAX(0,AE$4)/100))</f>
        <v/>
      </c>
      <c r="AF90">
        <f>IF($C90="",0,IF($M90="",0,MAX(0,$M90)*MAX(0,AF$4)/100))</f>
        <v/>
      </c>
      <c r="AG90">
        <f>IF($C90="",0,IF($M90="",0,MAX(0,$M90)*MAX(0,AG$4)/100))</f>
        <v/>
      </c>
      <c r="AH90">
        <f>IF($C90="",0,IF($M90="",0,MAX(0,$M90)*MAX(0,AH$4)/100))</f>
        <v/>
      </c>
      <c r="AI90">
        <f>IF($C90="",0,IF($M90="",0,MAX(0,$M90)*MAX(0,AI$4)/100))</f>
        <v/>
      </c>
      <c r="AJ90">
        <f>IF($C90="",0,MAX(0,MAX(0,N($L90))-$V90))</f>
        <v/>
      </c>
      <c r="AK90">
        <f>IF($C90="",0,MAX(0,$AJ90-$W90))</f>
        <v/>
      </c>
      <c r="AL90">
        <f>IF($C90="",0,MAX(0,$AK90-$X90))</f>
        <v/>
      </c>
      <c r="AM90">
        <f>IF($C90="",0,MAX(0,$AL90-$Y90))</f>
        <v/>
      </c>
      <c r="AN90">
        <f>IF($C90="",0,MAX(0,$AM90-$Z90))</f>
        <v/>
      </c>
      <c r="AO90">
        <f>IF($C90="",0,MAX(0,$AN90-$AA90))</f>
        <v/>
      </c>
      <c r="AP90">
        <f>IF($C90="",0,MAX(0,$AO90-$AB90))</f>
        <v/>
      </c>
      <c r="AQ90">
        <f>IF($C90="",0,MAX(0,$AP90-$AC90))</f>
        <v/>
      </c>
      <c r="AR90">
        <f>IF($C90="",0,MAX(0,$AQ90-$AD90))</f>
        <v/>
      </c>
      <c r="AS90">
        <f>IF($C90="",0,MAX(0,$AR90-$AE90))</f>
        <v/>
      </c>
      <c r="AT90">
        <f>IF($C90="",0,MAX(0,$AS90-$AF90))</f>
        <v/>
      </c>
      <c r="AU90">
        <f>IF($C90="",0,MAX(0,$AT90-$AG90))</f>
        <v/>
      </c>
      <c r="AV90">
        <f>IF($C90="",0,MAX(0,$AU90-$AH90))</f>
        <v/>
      </c>
      <c r="AW90">
        <f>IF($C90="",0,MAX(0,$AV90-$AI90))</f>
        <v/>
      </c>
      <c r="AX90">
        <f>IF($C90="",0,MAX(0,MAX(0,N($L90))+IF($P90=V$3,$R90,0)+IF($S90=V$3,$U90,0)-$V90))</f>
        <v/>
      </c>
      <c r="AY90">
        <f>IF($C90="",0,MAX(0,$AX90+IF($P90=W$3,$R90,0)+IF($S90=W$3,$U90,0)-$W90))</f>
        <v/>
      </c>
      <c r="AZ90">
        <f>IF($C90="",0,MAX(0,$AY90+IF($P90=X$3,$R90,0)+IF($S90=X$3,$U90,0)-$X90))</f>
        <v/>
      </c>
      <c r="BA90">
        <f>IF($C90="",0,MAX(0,$AZ90+IF($P90=Y$3,$R90,0)+IF($S90=Y$3,$U90,0)-$Y90))</f>
        <v/>
      </c>
      <c r="BB90">
        <f>IF($C90="",0,MAX(0,$BA90+IF($P90=Z$3,$R90,0)+IF($S90=Z$3,$U90,0)-$Z90))</f>
        <v/>
      </c>
      <c r="BC90">
        <f>IF($C90="",0,MAX(0,$BB90+IF($P90=AA$3,$R90,0)+IF($S90=AA$3,$U90,0)-$AA90))</f>
        <v/>
      </c>
      <c r="BD90">
        <f>IF($C90="",0,MAX(0,$BC90+IF($P90=AB$3,$R90,0)+IF($S90=AB$3,$U90,0)-$AB90))</f>
        <v/>
      </c>
      <c r="BE90">
        <f>IF($C90="",0,MAX(0,$BD90+IF($P90=AC$3,$R90,0)+IF($S90=AC$3,$U90,0)-$AC90))</f>
        <v/>
      </c>
      <c r="BF90">
        <f>IF($C90="",0,MAX(0,$BE90+IF($P90=AD$3,$R90,0)+IF($S90=AD$3,$U90,0)-$AD90))</f>
        <v/>
      </c>
      <c r="BG90">
        <f>IF($C90="",0,MAX(0,$BF90+IF($P90=AE$3,$R90,0)+IF($S90=AE$3,$U90,0)-$AE90))</f>
        <v/>
      </c>
      <c r="BH90">
        <f>IF($C90="",0,MAX(0,$BG90+IF($P90=AF$3,$R90,0)+IF($S90=AF$3,$U90,0)-$AF90))</f>
        <v/>
      </c>
      <c r="BI90">
        <f>IF($C90="",0,MAX(0,$BH90+IF($P90=AG$3,$R90,0)+IF($S90=AG$3,$U90,0)-$AG90))</f>
        <v/>
      </c>
      <c r="BJ90">
        <f>IF($C90="",0,MAX(0,$BI90+IF($P90=AH$3,$R90,0)+IF($S90=AH$3,$U90,0)-$AH90))</f>
        <v/>
      </c>
      <c r="BK90">
        <f>IF($C90="",0,MAX(0,$BJ90+IF($P90=AI$3,$R90,0)+IF($S90=AI$3,$U90,0)-$AI90))</f>
        <v/>
      </c>
      <c r="BL90">
        <f>IF($C90="",99,IF(AND($AX90&lt;1,V$3&gt;=MAX(N($P90),N($S90))),0,99))</f>
        <v/>
      </c>
      <c r="BM90">
        <f>IF($C90="",99,IF(AND($AY90&lt;1,W$3&gt;=MAX(N($P90),N($S90))),1,99))</f>
        <v/>
      </c>
      <c r="BN90">
        <f>IF($C90="",99,IF(AND($AZ90&lt;1,X$3&gt;=MAX(N($P90),N($S90))),2,99))</f>
        <v/>
      </c>
      <c r="BO90">
        <f>IF($C90="",99,IF(AND($BA90&lt;1,Y$3&gt;=MAX(N($P90),N($S90))),3,99))</f>
        <v/>
      </c>
      <c r="BP90">
        <f>IF($C90="",99,IF(AND($BB90&lt;1,Z$3&gt;=MAX(N($P90),N($S90))),4,99))</f>
        <v/>
      </c>
      <c r="BQ90">
        <f>IF($C90="",99,IF(AND($BC90&lt;1,AA$3&gt;=MAX(N($P90),N($S90))),5,99))</f>
        <v/>
      </c>
      <c r="BR90">
        <f>IF($C90="",99,IF(AND($BD90&lt;1,AB$3&gt;=MAX(N($P90),N($S90))),6,99))</f>
        <v/>
      </c>
      <c r="BS90">
        <f>IF($C90="",99,IF(AND($BE90&lt;1,AC$3&gt;=MAX(N($P90),N($S90))),7,99))</f>
        <v/>
      </c>
      <c r="BT90">
        <f>IF($C90="",99,IF(AND($BF90&lt;1,AD$3&gt;=MAX(N($P90),N($S90))),8,99))</f>
        <v/>
      </c>
      <c r="BU90">
        <f>IF($C90="",99,IF(AND($BG90&lt;1,AE$3&gt;=MAX(N($P90),N($S90))),9,99))</f>
        <v/>
      </c>
      <c r="BV90">
        <f>IF($C90="",99,IF(AND($BH90&lt;1,AF$3&gt;=MAX(N($P90),N($S90))),10,99))</f>
        <v/>
      </c>
      <c r="BW90">
        <f>IF($C90="",99,IF(AND($BI90&lt;1,AG$3&gt;=MAX(N($P90),N($S90))),11,99))</f>
        <v/>
      </c>
      <c r="BX90">
        <f>IF($C90="",99,IF(AND($BJ90&lt;1,AH$3&gt;=MAX(N($P90),N($S90))),12,99))</f>
        <v/>
      </c>
      <c r="BY90">
        <f>IF($C90="",99,IF(AND($BK90&lt;1,AI$3&gt;=MAX(N($P90),N($S90))),13,99))</f>
        <v/>
      </c>
      <c r="BZ90">
        <f>IF(OR($C90="",$M90=""),"",COUNTIF($AJ90:$AW90,"&gt;=1"))</f>
        <v/>
      </c>
      <c r="CA90" s="90">
        <f>IF($BZ90="","",IF($BZ90&gt;=14,"",'設定'!$C$6+$BZ90))</f>
        <v/>
      </c>
      <c r="CB90">
        <f>IF(OR($C90="",$M90=""),"",MIN($BL90:$BY90))</f>
        <v/>
      </c>
      <c r="CC90" s="90">
        <f>IF($CB90="","",IF($CB90&gt;=99,"",'設定'!$C$6+$CB90))</f>
        <v/>
      </c>
      <c r="CD90">
        <f>IF(OR($C90="",$M90=""),"",AVERAGE($V90:$AI90))</f>
        <v/>
      </c>
      <c r="CE90">
        <f>IF($C90="","",IFERROR(IF(MATCH(IF(ISNUMBER($P90),$P90,'設定'!$C$6+N('設定'!$C$7)),$V$3:$AI$3,0)=1,MAX(0,N($L90)),INDEX($AJ90:$AW90,MATCH(IF(ISNUMBER($P90),$P90,'設定'!$C$6+N('設定'!$C$7)),$V$3:$AI$3,0)-1)),""))</f>
        <v/>
      </c>
      <c r="CF90">
        <f>IF(OR($C90="",$O90="",$CE90=""),"",IF($O90-$CE90&lt;=0,0,ROUNDUP(($O90-$CE90)/$G90,0)))</f>
        <v/>
      </c>
      <c r="CG90">
        <f>IF(OR($C90="",$CF90="",NOT(ISNUMBER($Q90))),0,MAX(0,$Q90-$CF90))</f>
        <v/>
      </c>
      <c r="CH90">
        <f>IF(OR($C90="",$O90="",$U90=0),0,IFERROR(ROUNDUP(MAX(0,IF(MATCH($S90,$V$3:$AI$3,0)=1,MAX(0,N($L90)),INDEX($AX90:$BK90,MATCH($S90,$V$3:$AI$3,0)-1))+$U90-$O90)/$G90,0),0))</f>
        <v/>
      </c>
      <c r="CI90">
        <f>IF($C90="","",IF(AND($P90="",$Q90=""),"",IF($P90="","⚠ 入庫日を ▼ から選んでください",IF(NOT(ISNUMBER($P90)),"⚠ 入庫日は ▼ から選んでください",IF($P90&lt;N('設定'!$C$6),"⚠ 入庫日が過去です（もう在庫に入っています）→ 消してください",IF($P90&gt;N('設定'!$C$6)+13,"⚠ 入庫日が14日より先です",IF(N($Q90)&lt;=0,"⚠ 入庫数を入れてください",IF($CG90&gt;0,"⚠ 目安より "&amp;$CG90&amp;" 多い（定数を超える）→ 減らす",""))))))))</f>
        <v/>
      </c>
      <c r="CJ90">
        <f>IF($C90="","",IF(AND($S90="",$T90=""),"",IF($S90="","⚠ 2便目：入庫日を ▼ から選んでください",IF(NOT(ISNUMBER($S90)),"⚠ 2便目：入庫日は ▼ から選んでください",IF($S90&lt;N('設定'!$C$6),"⚠ 2便目：入庫日が過去です（もう在庫に入っています）→ 消してください",IF($S90&gt;N('設定'!$C$6)+13,"⚠ 2便目：入庫日が14日より先です",IF(N($T90)&lt;=0,"⚠ 2便目：入庫数を入れてください",IF($CH90&gt;0,"⚠ 2便目：定数を "&amp;$CH90&amp;" ケース超える → 減らす",""))))))))</f>
        <v/>
      </c>
      <c r="CK90">
        <f>IF(AND($CI90="",N($Q90)&gt;0,ISNUMBER($P90)),1,0)</f>
        <v/>
      </c>
      <c r="CL90">
        <f>IF(AND($CJ90="",N($T90)&gt;0,ISNUMBER($S90)),1,0)</f>
        <v/>
      </c>
      <c r="CM90">
        <f>IF(OR($CK90=1,$CL90=1),1,0)</f>
        <v/>
      </c>
      <c r="CN90">
        <f>IF($C90="",0,($CK90*$R90+$CL90*$U90)*N($H90))</f>
        <v/>
      </c>
      <c r="CO90">
        <f>IF($C90="","",IF($CC90="","入庫後は 14日以上もつ",IF($CC90-N('設定'!$C$7)&lt;='設定'!$C$6,"入庫後も "&amp;TEXT($CC90,"m/d")&amp;"("&amp;CHOOSE(WEEKDAY($CC90),"日","月","火","水","木","金","土")&amp;")"&amp;" に切れる　もう1便を至急発注","入庫後も "&amp;TEXT($CC90,"m/d")&amp;"("&amp;CHOOSE(WEEKDAY($CC90),"日","月","火","水","木","金","土")&amp;")"&amp;" に切れる　"&amp;TEXT($CC90-N('設定'!$C$7),"m/d")&amp;"("&amp;CHOOSE(WEEKDAY($CC90-N('設定'!$C$7)),"日","月","火","水","木","金","土")&amp;")"&amp;" までに次を発注")))</f>
        <v/>
      </c>
      <c r="CP90">
        <f>IF($C90="","",IF('設定'!$C$6="","？ ①在庫を貼る に今日のCSVが貼られていない",IF($CS90=1,"－ 今日のCSVに無い（終売？）",IF($L90&lt;0,"● 在庫がマイナス　数えて「数えた在庫」に入れる",IF($L90=0,"● 在庫なし　至急発注",IF($M90="","？ 減り数が未設定（商品マスタ）",IF($B$3=0,"？ 動員が未入力（動員を入れる）",IF($CA90="","○ 14日以上もつ",IF($BZ90&lt;N('設定'!$C$7),"● "&amp;TEXT($CA90,"m/d")&amp;"("&amp;CHOOSE(WEEKDAY($CA90),"日","月","火","水","木","金","土")&amp;")"&amp;" に切れる　至急発注",IF($BZ90=N('設定'!$C$7),"● "&amp;TEXT($CA90,"m/d")&amp;"("&amp;CHOOSE(WEEKDAY($CA90),"日","月","火","水","木","金","土")&amp;")"&amp;" に切れる　今日発注","△ "&amp;TEXT($CA90,"m/d")&amp;"("&amp;CHOOSE(WEEKDAY($CA90),"日","月","火","水","木","金","土")&amp;")"&amp;" に切れる　"&amp;TEXT($CA90-N('設定'!$C$7),"m/d")&amp;"("&amp;CHOOSE(WEEKDAY($CA90-N('設定'!$C$7)),"日","月","火","水","木","金","土")&amp;")"&amp;" までに発注"))))))))))</f>
        <v/>
      </c>
      <c r="CQ90">
        <f>IF($C90="","",IF(AND($P90="",$Q90="",$S90="",$T90=""),"",IF(AND($P90="",$Q90=""),"⚠ 先に1便目（左の入庫日・入庫数）に入れてください",IF($CI90&lt;&gt;"",$CI90,IF($CJ90&lt;&gt;"",$CJ90,IF($M90="","？ 減り数が未設定（発注書には載ります）",IF($B$3=0,"？ 動員が未入力（発注書には載ります）",IF(AND($CA90&lt;&gt;"",$P90&gt;$CA90),IF($P90&gt;'設定'!$C$6+N('設定'!$C$7),"● "&amp;TEXT($P90,"m/d")&amp;"("&amp;CHOOSE(WEEKDAY($P90),"日","月","火","水","木","金","土")&amp;")"&amp;" の入庫では間に合わない（"&amp;TEXT($CA90,"m/d")&amp;"("&amp;CHOOSE(WEEKDAY($CA90),"日","月","火","水","木","金","土")&amp;")"&amp;" に切れる）　入庫日を早める","△ 欠品 "&amp;TEXT($CA90,"m/d")&amp;"("&amp;CHOOSE(WEEKDAY($CA90),"日","月","火","水","木","金","土")&amp;")"&amp;"〜"&amp;TEXT($P90-1,"m/d")&amp;"("&amp;CHOOSE(WEEKDAY($P90-1),"日","月","火","水","木","金","土")&amp;")"&amp;"　"&amp;$CO90),IF($CC90="","○ "&amp;TEXT($P90,"m/d")&amp;"("&amp;CHOOSE(WEEKDAY($P90),"日","月","火","水","木","金","土")&amp;")"&amp;" 入庫で 14日以上もつ",IF($CC90-N('設定'!$C$7)&lt;='設定'!$C$6,"● 入庫しても "&amp;TEXT($CC90,"m/d")&amp;"("&amp;CHOOSE(WEEKDAY($CC90),"日","月","火","水","木","金","土")&amp;")"&amp;" に切れる　もう1便を至急発注（2便目に入れる）","△ 入庫しても "&amp;TEXT($CC90,"m/d")&amp;"("&amp;CHOOSE(WEEKDAY($CC90),"日","月","火","水","木","金","土")&amp;")"&amp;" に切れる　"&amp;TEXT($CC90-N('設定'!$C$7),"m/d")&amp;"("&amp;CHOOSE(WEEKDAY($CC90-N('設定'!$C$7)),"日","月","火","水","木","金","土")&amp;")"&amp;" までに次を発注（2便目に入れる）"))))))))))</f>
        <v/>
      </c>
      <c r="CR90">
        <f>IF($C90="","",IF($G90&gt;1,"ｹｰｽ("&amp;$G90&amp;"入)","個"))</f>
        <v/>
      </c>
      <c r="CS90">
        <f>IF($C90="",0,IF(COUNTIFS('①在庫を貼る'!$V$6:$V$10005,'設定'!$C$4,'①在庫を貼る'!$W$6:$W$10005,$C90)=0,1,0))</f>
        <v/>
      </c>
      <c r="CT90">
        <f>IF(AND($CK90=1,OR('③発注書'!$C$4="すべて",'③発注書'!$C$4="",$F90='③発注書'!$C$4)),N($CT89)+1,N($CT89))</f>
        <v/>
      </c>
      <c r="CU90">
        <f>IF(AND($CL90=1,OR('③発注書'!$C$4="すべて",'③発注書'!$C$4="",$F90='③発注書'!$C$4)),N($CU89)+1,N($CU89))</f>
        <v/>
      </c>
      <c r="CV90">
        <f>IF($C90="",0,IF(COUNTIFS('①在庫を貼る'!$V$6:$V$10005,'設定'!$C$4,'①在庫を貼る'!$W$6:$W$10005,$C90)&gt;0,1,0))</f>
        <v/>
      </c>
      <c r="CW90">
        <f>IF($C90="",0,IF(COUNTIFS('月1回_1ヶ月前の在庫'!$V$6:$V$10005,'設定'!$C$4,'月1回_1ヶ月前の在庫'!$W$6:$W$10005,$C90)&gt;0,1,0))</f>
        <v/>
      </c>
      <c r="CX90">
        <f>IF($C90="",0,IF(COUNTIFS('月1回_2ヶ月前の在庫'!$V$6:$V$10005,'設定'!$C$4,'月1回_2ヶ月前の在庫'!$W$6:$W$10005,$C90)&gt;0,1,0))</f>
        <v/>
      </c>
      <c r="CY90">
        <f>IF(OR($C90="",'設定'!$C$12=""),"",IF('設定'!$C$13="",IF(AND($CV90=1,$CW90=0),"新商品（今月から）",IF(AND($CV90=0,$CW90=1),"終売（今月から）","")),IF(AND($CV90=1,$CW90=0,$CX90=0),"新商品（今月から）",IF(AND($CV90=1,$CW90=1,$CX90=0),"新商品（先月から）",IF(AND($CV90=0,$CW90=1,$CX90=1),"終売（今月から）",IF(AND($CV90=0,$CW90=0,$CX90=1),"終売（先月から）",IF(AND($CV90=1,$CW90=0,$CX90=1),"復活（先月は無し）","")))))))</f>
        <v/>
      </c>
    </row>
    <row r="91">
      <c r="B91">
        <f>IF(86&lt;='設定'!$C$11,86,"")</f>
        <v/>
      </c>
      <c r="C91">
        <f>IF($B91="","",IF($B91&lt;='設定'!$C$20,INDEX('商品マスタ'!$B$6:$B$1005,MATCH($B91,'商品マスタ'!$M$6:$M$1005,0)),IF($B91&lt;='設定'!$C$20+'設定'!$C$17,INDEX('①在庫を貼る'!$W$6:$W$10005,MATCH($B91-'設定'!$C$20,'①在庫を貼る'!$U$6:$U$10005,0)),IF($B91&lt;='設定'!$C$20+'設定'!$C$17+'設定'!$C$18,INDEX('月1回_1ヶ月前の在庫'!$W$6:$W$10005,MATCH($B91-'設定'!$C$20-'設定'!$C$17,'月1回_1ヶ月前の在庫'!$U$6:$U$10005,0)),INDEX('月1回_2ヶ月前の在庫'!$W$6:$W$10005,MATCH($B91-'設定'!$C$20-'設定'!$C$17-'設定'!$C$18,'月1回_2ヶ月前の在庫'!$U$6:$U$10005,0))))))</f>
        <v/>
      </c>
      <c r="D91">
        <f>IF($C91="","",IFERROR(IF(INDEX('商品マスタ'!$C$6:$C$1005,MATCH($C91,'商品マスタ'!$B$6:$B$1005,0))="",IFERROR(INDEX('①在庫を貼る'!$J$6:$J$10005,MATCH($C91,'①在庫を貼る'!$W$6:$W$10005,0)),IFERROR(INDEX('月1回_1ヶ月前の在庫'!$J$6:$J$10005,MATCH($C91,'月1回_1ヶ月前の在庫'!$W$6:$W$10005,0)),IFERROR(INDEX('月1回_2ヶ月前の在庫'!$J$6:$J$10005,MATCH($C91,'月1回_2ヶ月前の在庫'!$W$6:$W$10005,0)),""))),INDEX('商品マスタ'!$C$6:$C$1005,MATCH($C91,'商品マスタ'!$B$6:$B$1005,0))),IFERROR(INDEX('①在庫を貼る'!$J$6:$J$10005,MATCH($C91,'①在庫を貼る'!$W$6:$W$10005,0)),IFERROR(INDEX('月1回_1ヶ月前の在庫'!$J$6:$J$10005,MATCH($C91,'月1回_1ヶ月前の在庫'!$W$6:$W$10005,0)),IFERROR(INDEX('月1回_2ヶ月前の在庫'!$J$6:$J$10005,MATCH($C91,'月1回_2ヶ月前の在庫'!$W$6:$W$10005,0)),"")))))</f>
        <v/>
      </c>
      <c r="E91">
        <f>IF($C91="","",IFERROR(IF(INDEX('商品マスタ'!$D$6:$D$1005,MATCH($C91,'商品マスタ'!$B$6:$B$1005,0))="",IFERROR(INDEX('①在庫を貼る'!$H$6:$H$10005,MATCH($C91,'①在庫を貼る'!$W$6:$W$10005,0)),IFERROR(INDEX('月1回_1ヶ月前の在庫'!$H$6:$H$10005,MATCH($C91,'月1回_1ヶ月前の在庫'!$W$6:$W$10005,0)),IFERROR(INDEX('月1回_2ヶ月前の在庫'!$H$6:$H$10005,MATCH($C91,'月1回_2ヶ月前の在庫'!$W$6:$W$10005,0)),""))),INDEX('商品マスタ'!$D$6:$D$1005,MATCH($C91,'商品マスタ'!$B$6:$B$1005,0))),IFERROR(INDEX('①在庫を貼る'!$H$6:$H$10005,MATCH($C91,'①在庫を貼る'!$W$6:$W$10005,0)),IFERROR(INDEX('月1回_1ヶ月前の在庫'!$H$6:$H$10005,MATCH($C91,'月1回_1ヶ月前の在庫'!$W$6:$W$10005,0)),IFERROR(INDEX('月1回_2ヶ月前の在庫'!$H$6:$H$10005,MATCH($C91,'月1回_2ヶ月前の在庫'!$W$6:$W$10005,0)),"")))))</f>
        <v/>
      </c>
      <c r="F91">
        <f>IF($C91="","",IFERROR(IF(INDEX('商品マスタ'!$E$6:$E$1005,MATCH($C91,'商品マスタ'!$B$6:$B$1005,0))="",IFERROR(INDEX('①在庫を貼る'!$E$6:$E$10005,MATCH($C91,'①在庫を貼る'!$W$6:$W$10005,0)),IFERROR(INDEX('月1回_1ヶ月前の在庫'!$E$6:$E$10005,MATCH($C91,'月1回_1ヶ月前の在庫'!$W$6:$W$10005,0)),IFERROR(INDEX('月1回_2ヶ月前の在庫'!$E$6:$E$10005,MATCH($C91,'月1回_2ヶ月前の在庫'!$W$6:$W$10005,0)),""))),INDEX('商品マスタ'!$E$6:$E$1005,MATCH($C91,'商品マスタ'!$B$6:$B$1005,0))),IFERROR(INDEX('①在庫を貼る'!$E$6:$E$10005,MATCH($C91,'①在庫を貼る'!$W$6:$W$10005,0)),IFERROR(INDEX('月1回_1ヶ月前の在庫'!$E$6:$E$10005,MATCH($C91,'月1回_1ヶ月前の在庫'!$W$6:$W$10005,0)),IFERROR(INDEX('月1回_2ヶ月前の在庫'!$E$6:$E$10005,MATCH($C91,'月1回_2ヶ月前の在庫'!$W$6:$W$10005,0)),"")))))</f>
        <v/>
      </c>
      <c r="G91">
        <f>IF($C91="","",MAX(1,N(IFERROR(IF(INDEX('商品マスタ'!$F$6:$F$1005,MATCH($C91,'商品マスタ'!$B$6:$B$1005,0))="",IF(COUNTIFS('①在庫を貼る'!$V$6:$V$10005,'設定'!$C$4,'①在庫を貼る'!$W$6:$W$10005,$C91)&gt;0,SUMIFS('①在庫を貼る'!$K$6:$K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K$6:$K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K$6:$K$10005,'月1回_2ヶ月前の在庫'!$V$6:$V$10005,'設定'!$C$4,'月1回_2ヶ月前の在庫'!$W$6:$W$10005,$C91)/COUNTIFS('月1回_2ヶ月前の在庫'!$V$6:$V$10005,'設定'!$C$4,'月1回_2ヶ月前の在庫'!$W$6:$W$10005,$C91),0))),INDEX('商品マスタ'!$F$6:$F$1005,MATCH($C91,'商品マスタ'!$B$6:$B$1005,0))),IF(COUNTIFS('①在庫を貼る'!$V$6:$V$10005,'設定'!$C$4,'①在庫を貼る'!$W$6:$W$10005,$C91)&gt;0,SUMIFS('①在庫を貼る'!$K$6:$K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K$6:$K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K$6:$K$10005,'月1回_2ヶ月前の在庫'!$V$6:$V$10005,'設定'!$C$4,'月1回_2ヶ月前の在庫'!$W$6:$W$10005,$C91)/COUNTIFS('月1回_2ヶ月前の在庫'!$V$6:$V$10005,'設定'!$C$4,'月1回_2ヶ月前の在庫'!$W$6:$W$10005,$C91),0)))))))</f>
        <v/>
      </c>
      <c r="H91">
        <f>IF($C91="","",N(IFERROR(IF(INDEX('商品マスタ'!$G$6:$G$1005,MATCH($C91,'商品マスタ'!$B$6:$B$1005,0))="",IF(COUNTIFS('①在庫を貼る'!$V$6:$V$10005,'設定'!$C$4,'①在庫を貼る'!$W$6:$W$10005,$C91)&gt;0,SUMIFS('①在庫を貼る'!$Q$6:$Q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Q$6:$Q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Q$6:$Q$10005,'月1回_2ヶ月前の在庫'!$V$6:$V$10005,'設定'!$C$4,'月1回_2ヶ月前の在庫'!$W$6:$W$10005,$C91)/COUNTIFS('月1回_2ヶ月前の在庫'!$V$6:$V$10005,'設定'!$C$4,'月1回_2ヶ月前の在庫'!$W$6:$W$10005,$C91),0))),INDEX('商品マスタ'!$G$6:$G$1005,MATCH($C91,'商品マスタ'!$B$6:$B$1005,0))),IF(COUNTIFS('①在庫を貼る'!$V$6:$V$10005,'設定'!$C$4,'①在庫を貼る'!$W$6:$W$10005,$C91)&gt;0,SUMIFS('①在庫を貼る'!$Q$6:$Q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Q$6:$Q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Q$6:$Q$10005,'月1回_2ヶ月前の在庫'!$V$6:$V$10005,'設定'!$C$4,'月1回_2ヶ月前の在庫'!$W$6:$W$10005,$C91)/COUNTIFS('月1回_2ヶ月前の在庫'!$V$6:$V$10005,'設定'!$C$4,'月1回_2ヶ月前の在庫'!$W$6:$W$10005,$C91),0))))))</f>
        <v/>
      </c>
      <c r="I91">
        <f>IF($C91="","",IF(COUNTIFS('①在庫を貼る'!$V$6:$V$10005,'設定'!$C$4,'①在庫を貼る'!$W$6:$W$10005,$C91)=0,"",SUMIFS('①在庫を貼る'!$N$6:$N$10005,'①在庫を貼る'!$V$6:$V$10005,'設定'!$C$4,'①在庫を貼る'!$W$6:$W$10005,$C91)))</f>
        <v/>
      </c>
      <c r="J91">
        <f>IF($C91="","",IF('②発注する'!$AD95="","",'②発注する'!$AD95))</f>
        <v/>
      </c>
      <c r="K91" s="90">
        <f>IF($C91="","",IF('②発注する'!$AE95="","",'②発注する'!$AE95))</f>
        <v/>
      </c>
      <c r="L91">
        <f>IF($C91="","",IF(AND(ISNUMBER($J91),ISNUMBER($K91),$K91&gt;='設定'!$C$6),$J91,N($I91)))</f>
        <v/>
      </c>
      <c r="M91">
        <f>IF($C91="","",IFERROR(IF(N(INDEX('商品マスタ'!$J$6:$J$1005,MATCH($C91,'商品マスタ'!$B$6:$B$1005,0)))&gt;0,INDEX('商品マスタ'!$J$6:$J$1005,MATCH($C91,'商品マスタ'!$B$6:$B$1005,0)),""),""))</f>
        <v/>
      </c>
      <c r="N91">
        <f>IF($C91="","",IFERROR(IF(N(INDEX('商品マスタ'!$H$6:$H$1005,MATCH($C91,'商品マスタ'!$B$6:$B$1005,0)))&gt;0,INDEX('商品マスタ'!$H$6:$H$1005,MATCH($C91,'商品マスタ'!$B$6:$B$1005,0)),""),""))</f>
        <v/>
      </c>
      <c r="O91">
        <f>IF($C91="","",IF($N91&lt;&gt;"",$N91*$G91,IF(N(IF(COUNTIFS('①在庫を貼る'!$V$6:$V$10005,'設定'!$C$4,'①在庫を貼る'!$W$6:$W$10005,$C91)&gt;0,SUMIFS('①在庫を貼る'!$O$6:$O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O$6:$O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O$6:$O$10005,'月1回_2ヶ月前の在庫'!$V$6:$V$10005,'設定'!$C$4,'月1回_2ヶ月前の在庫'!$W$6:$W$10005,$C91)/COUNTIFS('月1回_2ヶ月前の在庫'!$V$6:$V$10005,'設定'!$C$4,'月1回_2ヶ月前の在庫'!$W$6:$W$10005,$C91),0))))&gt;0,N(IF(COUNTIFS('①在庫を貼る'!$V$6:$V$10005,'設定'!$C$4,'①在庫を貼る'!$W$6:$W$10005,$C91)&gt;0,SUMIFS('①在庫を貼る'!$O$6:$O$10005,'①在庫を貼る'!$V$6:$V$10005,'設定'!$C$4,'①在庫を貼る'!$W$6:$W$10005,$C91)/COUNTIFS('①在庫を貼る'!$V$6:$V$10005,'設定'!$C$4,'①在庫を貼る'!$W$6:$W$10005,$C91),IF(COUNTIFS('月1回_1ヶ月前の在庫'!$V$6:$V$10005,'設定'!$C$4,'月1回_1ヶ月前の在庫'!$W$6:$W$10005,$C91)&gt;0,SUMIFS('月1回_1ヶ月前の在庫'!$O$6:$O$10005,'月1回_1ヶ月前の在庫'!$V$6:$V$10005,'設定'!$C$4,'月1回_1ヶ月前の在庫'!$W$6:$W$10005,$C91)/COUNTIFS('月1回_1ヶ月前の在庫'!$V$6:$V$10005,'設定'!$C$4,'月1回_1ヶ月前の在庫'!$W$6:$W$10005,$C91),IF(COUNTIFS('月1回_2ヶ月前の在庫'!$V$6:$V$10005,'設定'!$C$4,'月1回_2ヶ月前の在庫'!$W$6:$W$10005,$C91)&gt;0,SUMIFS('月1回_2ヶ月前の在庫'!$O$6:$O$10005,'月1回_2ヶ月前の在庫'!$V$6:$V$10005,'設定'!$C$4,'月1回_2ヶ月前の在庫'!$W$6:$W$10005,$C91)/COUNTIFS('月1回_2ヶ月前の在庫'!$V$6:$V$10005,'設定'!$C$4,'月1回_2ヶ月前の在庫'!$W$6:$W$10005,$C91),0)))),"")))</f>
        <v/>
      </c>
      <c r="P91" s="90">
        <f>IF($C91="","",IF('②発注する'!$I95="","",'②発注する'!$I95))</f>
        <v/>
      </c>
      <c r="Q91">
        <f>IF($C91="","",IF('②発注する'!$J95="","",'②発注する'!$J95))</f>
        <v/>
      </c>
      <c r="R91">
        <f>IF($C91="",0,IF(AND(ISNUMBER($P91),ISNUMBER($Q91)),MAX(0,$Q91)*$G91,0))</f>
        <v/>
      </c>
      <c r="S91" s="90">
        <f>IF($C91="","",IF('②発注する'!$M95="","",'②発注する'!$M95))</f>
        <v/>
      </c>
      <c r="T91">
        <f>IF($C91="","",IF('②発注する'!$N95="","",'②発注する'!$N95))</f>
        <v/>
      </c>
      <c r="U91">
        <f>IF($C91="",0,IF(AND(ISNUMBER($S91),ISNUMBER($T91)),MAX(0,$T91)*$G91,0))</f>
        <v/>
      </c>
      <c r="V91">
        <f>IF($C91="",0,IF($M91="",0,MAX(0,$M91)*MAX(0,V$4)/100))</f>
        <v/>
      </c>
      <c r="W91">
        <f>IF($C91="",0,IF($M91="",0,MAX(0,$M91)*MAX(0,W$4)/100))</f>
        <v/>
      </c>
      <c r="X91">
        <f>IF($C91="",0,IF($M91="",0,MAX(0,$M91)*MAX(0,X$4)/100))</f>
        <v/>
      </c>
      <c r="Y91">
        <f>IF($C91="",0,IF($M91="",0,MAX(0,$M91)*MAX(0,Y$4)/100))</f>
        <v/>
      </c>
      <c r="Z91">
        <f>IF($C91="",0,IF($M91="",0,MAX(0,$M91)*MAX(0,Z$4)/100))</f>
        <v/>
      </c>
      <c r="AA91">
        <f>IF($C91="",0,IF($M91="",0,MAX(0,$M91)*MAX(0,AA$4)/100))</f>
        <v/>
      </c>
      <c r="AB91">
        <f>IF($C91="",0,IF($M91="",0,MAX(0,$M91)*MAX(0,AB$4)/100))</f>
        <v/>
      </c>
      <c r="AC91">
        <f>IF($C91="",0,IF($M91="",0,MAX(0,$M91)*MAX(0,AC$4)/100))</f>
        <v/>
      </c>
      <c r="AD91">
        <f>IF($C91="",0,IF($M91="",0,MAX(0,$M91)*MAX(0,AD$4)/100))</f>
        <v/>
      </c>
      <c r="AE91">
        <f>IF($C91="",0,IF($M91="",0,MAX(0,$M91)*MAX(0,AE$4)/100))</f>
        <v/>
      </c>
      <c r="AF91">
        <f>IF($C91="",0,IF($M91="",0,MAX(0,$M91)*MAX(0,AF$4)/100))</f>
        <v/>
      </c>
      <c r="AG91">
        <f>IF($C91="",0,IF($M91="",0,MAX(0,$M91)*MAX(0,AG$4)/100))</f>
        <v/>
      </c>
      <c r="AH91">
        <f>IF($C91="",0,IF($M91="",0,MAX(0,$M91)*MAX(0,AH$4)/100))</f>
        <v/>
      </c>
      <c r="AI91">
        <f>IF($C91="",0,IF($M91="",0,MAX(0,$M91)*MAX(0,AI$4)/100))</f>
        <v/>
      </c>
      <c r="AJ91">
        <f>IF($C91="",0,MAX(0,MAX(0,N($L91))-$V91))</f>
        <v/>
      </c>
      <c r="AK91">
        <f>IF($C91="",0,MAX(0,$AJ91-$W91))</f>
        <v/>
      </c>
      <c r="AL91">
        <f>IF($C91="",0,MAX(0,$AK91-$X91))</f>
        <v/>
      </c>
      <c r="AM91">
        <f>IF($C91="",0,MAX(0,$AL91-$Y91))</f>
        <v/>
      </c>
      <c r="AN91">
        <f>IF($C91="",0,MAX(0,$AM91-$Z91))</f>
        <v/>
      </c>
      <c r="AO91">
        <f>IF($C91="",0,MAX(0,$AN91-$AA91))</f>
        <v/>
      </c>
      <c r="AP91">
        <f>IF($C91="",0,MAX(0,$AO91-$AB91))</f>
        <v/>
      </c>
      <c r="AQ91">
        <f>IF($C91="",0,MAX(0,$AP91-$AC91))</f>
        <v/>
      </c>
      <c r="AR91">
        <f>IF($C91="",0,MAX(0,$AQ91-$AD91))</f>
        <v/>
      </c>
      <c r="AS91">
        <f>IF($C91="",0,MAX(0,$AR91-$AE91))</f>
        <v/>
      </c>
      <c r="AT91">
        <f>IF($C91="",0,MAX(0,$AS91-$AF91))</f>
        <v/>
      </c>
      <c r="AU91">
        <f>IF($C91="",0,MAX(0,$AT91-$AG91))</f>
        <v/>
      </c>
      <c r="AV91">
        <f>IF($C91="",0,MAX(0,$AU91-$AH91))</f>
        <v/>
      </c>
      <c r="AW91">
        <f>IF($C91="",0,MAX(0,$AV91-$AI91))</f>
        <v/>
      </c>
      <c r="AX91">
        <f>IF($C91="",0,MAX(0,MAX(0,N($L91))+IF($P91=V$3,$R91,0)+IF($S91=V$3,$U91,0)-$V91))</f>
        <v/>
      </c>
      <c r="AY91">
        <f>IF($C91="",0,MAX(0,$AX91+IF($P91=W$3,$R91,0)+IF($S91=W$3,$U91,0)-$W91))</f>
        <v/>
      </c>
      <c r="AZ91">
        <f>IF($C91="",0,MAX(0,$AY91+IF($P91=X$3,$R91,0)+IF($S91=X$3,$U91,0)-$X91))</f>
        <v/>
      </c>
      <c r="BA91">
        <f>IF($C91="",0,MAX(0,$AZ91+IF($P91=Y$3,$R91,0)+IF($S91=Y$3,$U91,0)-$Y91))</f>
        <v/>
      </c>
      <c r="BB91">
        <f>IF($C91="",0,MAX(0,$BA91+IF($P91=Z$3,$R91,0)+IF($S91=Z$3,$U91,0)-$Z91))</f>
        <v/>
      </c>
      <c r="BC91">
        <f>IF($C91="",0,MAX(0,$BB91+IF($P91=AA$3,$R91,0)+IF($S91=AA$3,$U91,0)-$AA91))</f>
        <v/>
      </c>
      <c r="BD91">
        <f>IF($C91="",0,MAX(0,$BC91+IF($P91=AB$3,$R91,0)+IF($S91=AB$3,$U91,0)-$AB91))</f>
        <v/>
      </c>
      <c r="BE91">
        <f>IF($C91="",0,MAX(0,$BD91+IF($P91=AC$3,$R91,0)+IF($S91=AC$3,$U91,0)-$AC91))</f>
        <v/>
      </c>
      <c r="BF91">
        <f>IF($C91="",0,MAX(0,$BE91+IF($P91=AD$3,$R91,0)+IF($S91=AD$3,$U91,0)-$AD91))</f>
        <v/>
      </c>
      <c r="BG91">
        <f>IF($C91="",0,MAX(0,$BF91+IF($P91=AE$3,$R91,0)+IF($S91=AE$3,$U91,0)-$AE91))</f>
        <v/>
      </c>
      <c r="BH91">
        <f>IF($C91="",0,MAX(0,$BG91+IF($P91=AF$3,$R91,0)+IF($S91=AF$3,$U91,0)-$AF91))</f>
        <v/>
      </c>
      <c r="BI91">
        <f>IF($C91="",0,MAX(0,$BH91+IF($P91=AG$3,$R91,0)+IF($S91=AG$3,$U91,0)-$AG91))</f>
        <v/>
      </c>
      <c r="BJ91">
        <f>IF($C91="",0,MAX(0,$BI91+IF($P91=AH$3,$R91,0)+IF($S91=AH$3,$U91,0)-$AH91))</f>
        <v/>
      </c>
      <c r="BK91">
        <f>IF($C91="",0,MAX(0,$BJ91+IF($P91=AI$3,$R91,0)+IF($S91=AI$3,$U91,0)-$AI91))</f>
        <v/>
      </c>
      <c r="BL91">
        <f>IF($C91="",99,IF(AND($AX91&lt;1,V$3&gt;=MAX(N($P91),N($S91))),0,99))</f>
        <v/>
      </c>
      <c r="BM91">
        <f>IF($C91="",99,IF(AND($AY91&lt;1,W$3&gt;=MAX(N($P91),N($S91))),1,99))</f>
        <v/>
      </c>
      <c r="BN91">
        <f>IF($C91="",99,IF(AND($AZ91&lt;1,X$3&gt;=MAX(N($P91),N($S91))),2,99))</f>
        <v/>
      </c>
      <c r="BO91">
        <f>IF($C91="",99,IF(AND($BA91&lt;1,Y$3&gt;=MAX(N($P91),N($S91))),3,99))</f>
        <v/>
      </c>
      <c r="BP91">
        <f>IF($C91="",99,IF(AND($BB91&lt;1,Z$3&gt;=MAX(N($P91),N($S91))),4,99))</f>
        <v/>
      </c>
      <c r="BQ91">
        <f>IF($C91="",99,IF(AND($BC91&lt;1,AA$3&gt;=MAX(N($P91),N($S91))),5,99))</f>
        <v/>
      </c>
      <c r="BR91">
        <f>IF($C91="",99,IF(AND($BD91&lt;1,AB$3&gt;=MAX(N($P91),N($S91))),6,99))</f>
        <v/>
      </c>
      <c r="BS91">
        <f>IF($C91="",99,IF(AND($BE91&lt;1,AC$3&gt;=MAX(N($P91),N($S91))),7,99))</f>
        <v/>
      </c>
      <c r="BT91">
        <f>IF($C91="",99,IF(AND($BF91&lt;1,AD$3&gt;=MAX(N($P91),N($S91))),8,99))</f>
        <v/>
      </c>
      <c r="BU91">
        <f>IF($C91="",99,IF(AND($BG91&lt;1,AE$3&gt;=MAX(N($P91),N($S91))),9,99))</f>
        <v/>
      </c>
      <c r="BV91">
        <f>IF($C91="",99,IF(AND($BH91&lt;1,AF$3&gt;=MAX(N($P91),N($S91))),10,99))</f>
        <v/>
      </c>
      <c r="BW91">
        <f>IF($C91="",99,IF(AND($BI91&lt;1,AG$3&gt;=MAX(N($P91),N($S91))),11,99))</f>
        <v/>
      </c>
      <c r="BX91">
        <f>IF($C91="",99,IF(AND($BJ91&lt;1,AH$3&gt;=MAX(N($P91),N($S91))),12,99))</f>
        <v/>
      </c>
      <c r="BY91">
        <f>IF($C91="",99,IF(AND($BK91&lt;1,AI$3&gt;=MAX(N($P91),N($S91))),13,99))</f>
        <v/>
      </c>
      <c r="BZ91">
        <f>IF(OR($C91="",$M91=""),"",COUNTIF($AJ91:$AW91,"&gt;=1"))</f>
        <v/>
      </c>
      <c r="CA91" s="90">
        <f>IF($BZ91="","",IF($BZ91&gt;=14,"",'設定'!$C$6+$BZ91))</f>
        <v/>
      </c>
      <c r="CB91">
        <f>IF(OR($C91="",$M91=""),"",MIN($BL91:$BY91))</f>
        <v/>
      </c>
      <c r="CC91" s="90">
        <f>IF($CB91="","",IF($CB91&gt;=99,"",'設定'!$C$6+$CB91))</f>
        <v/>
      </c>
      <c r="CD91">
        <f>IF(OR($C91="",$M91=""),"",AVERAGE($V91:$AI91))</f>
        <v/>
      </c>
      <c r="CE91">
        <f>IF($C91="","",IFERROR(IF(MATCH(IF(ISNUMBER($P91),$P91,'設定'!$C$6+N('設定'!$C$7)),$V$3:$AI$3,0)=1,MAX(0,N($L91)),INDEX($AJ91:$AW91,MATCH(IF(ISNUMBER($P91),$P91,'設定'!$C$6+N('設定'!$C$7)),$V$3:$AI$3,0)-1)),""))</f>
        <v/>
      </c>
      <c r="CF91">
        <f>IF(OR($C91="",$O91="",$CE91=""),"",IF($O91-$CE91&lt;=0,0,ROUNDUP(($O91-$CE91)/$G91,0)))</f>
        <v/>
      </c>
      <c r="CG91">
        <f>IF(OR($C91="",$CF91="",NOT(ISNUMBER($Q91))),0,MAX(0,$Q91-$CF91))</f>
        <v/>
      </c>
      <c r="CH91">
        <f>IF(OR($C91="",$O91="",$U91=0),0,IFERROR(ROUNDUP(MAX(0,IF(MATCH($S91,$V$3:$AI$3,0)=1,MAX(0,N($L91)),INDEX($AX91:$BK91,MATCH($S91,$V$3:$AI$3,0)-1))+$U91-$O91)/$G91,0),0))</f>
        <v/>
      </c>
      <c r="CI91">
        <f>IF($C91="","",IF(AND($P91="",$Q91=""),"",IF($P91="","⚠ 入庫日を ▼ から選んでください",IF(NOT(ISNUMBER($P91)),"⚠ 入庫日は ▼ から選んでください",IF($P91&lt;N('設定'!$C$6),"⚠ 入庫日が過去です（もう在庫に入っています）→ 消してください",IF($P91&gt;N('設定'!$C$6)+13,"⚠ 入庫日が14日より先です",IF(N($Q91)&lt;=0,"⚠ 入庫数を入れてください",IF($CG91&gt;0,"⚠ 目安より "&amp;$CG91&amp;" 多い（定数を超える）→ 減らす",""))))))))</f>
        <v/>
      </c>
      <c r="CJ91">
        <f>IF($C91="","",IF(AND($S91="",$T91=""),"",IF($S91="","⚠ 2便目：入庫日を ▼ から選んでください",IF(NOT(ISNUMBER($S91)),"⚠ 2便目：入庫日は ▼ から選んでください",IF($S91&lt;N('設定'!$C$6),"⚠ 2便目：入庫日が過去です（もう在庫に入っています）→ 消してください",IF($S91&gt;N('設定'!$C$6)+13,"⚠ 2便目：入庫日が14日より先です",IF(N($T91)&lt;=0,"⚠ 2便目：入庫数を入れてください",IF($CH91&gt;0,"⚠ 2便目：定数を "&amp;$CH91&amp;" ケース超える → 減らす",""))))))))</f>
        <v/>
      </c>
      <c r="CK91">
        <f>IF(AND($CI91="",N($Q91)&gt;0,ISNUMBER($P91)),1,0)</f>
        <v/>
      </c>
      <c r="CL91">
        <f>IF(AND($CJ91="",N($T91)&gt;0,ISNUMBER($S91)),1,0)</f>
        <v/>
      </c>
      <c r="CM91">
        <f>IF(OR($CK91=1,$CL91=1),1,0)</f>
        <v/>
      </c>
      <c r="CN91">
        <f>IF($C91="",0,($CK91*$R91+$CL91*$U91)*N($H91))</f>
        <v/>
      </c>
      <c r="CO91">
        <f>IF($C91="","",IF($CC91="","入庫後は 14日以上もつ",IF($CC91-N('設定'!$C$7)&lt;='設定'!$C$6,"入庫後も "&amp;TEXT($CC91,"m/d")&amp;"("&amp;CHOOSE(WEEKDAY($CC91),"日","月","火","水","木","金","土")&amp;")"&amp;" に切れる　もう1便を至急発注","入庫後も "&amp;TEXT($CC91,"m/d")&amp;"("&amp;CHOOSE(WEEKDAY($CC91),"日","月","火","水","木","金","土")&amp;")"&amp;" に切れる　"&amp;TEXT($CC91-N('設定'!$C$7),"m/d")&amp;"("&amp;CHOOSE(WEEKDAY($CC91-N('設定'!$C$7)),"日","月","火","水","木","金","土")&amp;")"&amp;" までに次を発注")))</f>
        <v/>
      </c>
      <c r="CP91">
        <f>IF($C91="","",IF('設定'!$C$6="","？ ①在庫を貼る に今日のCSVが貼られていない",IF($CS91=1,"－ 今日のCSVに無い（終売？）",IF($L91&lt;0,"● 在庫がマイナス　数えて「数えた在庫」に入れる",IF($L91=0,"● 在庫なし　至急発注",IF($M91="","？ 減り数が未設定（商品マスタ）",IF($B$3=0,"？ 動員が未入力（動員を入れる）",IF($CA91="","○ 14日以上もつ",IF($BZ91&lt;N('設定'!$C$7),"● "&amp;TEXT($CA91,"m/d")&amp;"("&amp;CHOOSE(WEEKDAY($CA91),"日","月","火","水","木","金","土")&amp;")"&amp;" に切れる　至急発注",IF($BZ91=N('設定'!$C$7),"● "&amp;TEXT($CA91,"m/d")&amp;"("&amp;CHOOSE(WEEKDAY($CA91),"日","月","火","水","木","金","土")&amp;")"&amp;" に切れる　今日発注","△ "&amp;TEXT($CA91,"m/d")&amp;"("&amp;CHOOSE(WEEKDAY($CA91),"日","月","火","水","木","金","土")&amp;")"&amp;" に切れる　"&amp;TEXT($CA91-N('設定'!$C$7),"m/d")&amp;"("&amp;CHOOSE(WEEKDAY($CA91-N('設定'!$C$7)),"日","月","火","水","木","金","土")&amp;")"&amp;" までに発注"))))))))))</f>
        <v/>
      </c>
      <c r="CQ91">
        <f>IF($C91="","",IF(AND($P91="",$Q91="",$S91="",$T91=""),"",IF(AND($P91="",$Q91=""),"⚠ 先に1便目（左の入庫日・入庫数）に入れてください",IF($CI91&lt;&gt;"",$CI91,IF($CJ91&lt;&gt;"",$CJ91,IF($M91="","？ 減り数が未設定（発注書には載ります）",IF($B$3=0,"？ 動員が未入力（発注書には載ります）",IF(AND($CA91&lt;&gt;"",$P91&gt;$CA91),IF($P91&gt;'設定'!$C$6+N('設定'!$C$7),"● "&amp;TEXT($P91,"m/d")&amp;"("&amp;CHOOSE(WEEKDAY($P91),"日","月","火","水","木","金","土")&amp;")"&amp;" の入庫では間に合わない（"&amp;TEXT($CA91,"m/d")&amp;"("&amp;CHOOSE(WEEKDAY($CA91),"日","月","火","水","木","金","土")&amp;")"&amp;" に切れる）　入庫日を早める","△ 欠品 "&amp;TEXT($CA91,"m/d")&amp;"("&amp;CHOOSE(WEEKDAY($CA91),"日","月","火","水","木","金","土")&amp;")"&amp;"〜"&amp;TEXT($P91-1,"m/d")&amp;"("&amp;CHOOSE(WEEKDAY($P91-1),"日","月","火","水","木","金","土")&amp;")"&amp;"　"&amp;$CO91),IF($CC91="","○ "&amp;TEXT($P91,"m/d")&amp;"("&amp;CHOOSE(WEEKDAY($P91),"日","月","火","水","木","金","土")&amp;")"&amp;" 入庫で 14日以上もつ",IF($CC91-N('設定'!$C$7)&lt;='設定'!$C$6,"● 入庫しても "&amp;TEXT($CC91,"m/d")&amp;"("&amp;CHOOSE(WEEKDAY($CC91),"日","月","火","水","木","金","土")&amp;")"&amp;" に切れる　もう1便を至急発注（2便目に入れる）","△ 入庫しても "&amp;TEXT($CC91,"m/d")&amp;"("&amp;CHOOSE(WEEKDAY($CC91),"日","月","火","水","木","金","土")&amp;")"&amp;" に切れる　"&amp;TEXT($CC91-N('設定'!$C$7),"m/d")&amp;"("&amp;CHOOSE(WEEKDAY($CC91-N('設定'!$C$7)),"日","月","火","水","木","金","土")&amp;")"&amp;" までに次を発注（2便目に入れる）"))))))))))</f>
        <v/>
      </c>
      <c r="CR91">
        <f>IF($C91="","",IF($G91&gt;1,"ｹｰｽ("&amp;$G91&amp;"入)","個"))</f>
        <v/>
      </c>
      <c r="CS91">
        <f>IF($C91="",0,IF(COUNTIFS('①在庫を貼る'!$V$6:$V$10005,'設定'!$C$4,'①在庫を貼る'!$W$6:$W$10005,$C91)=0,1,0))</f>
        <v/>
      </c>
      <c r="CT91">
        <f>IF(AND($CK91=1,OR('③発注書'!$C$4="すべて",'③発注書'!$C$4="",$F91='③発注書'!$C$4)),N($CT90)+1,N($CT90))</f>
        <v/>
      </c>
      <c r="CU91">
        <f>IF(AND($CL91=1,OR('③発注書'!$C$4="すべて",'③発注書'!$C$4="",$F91='③発注書'!$C$4)),N($CU90)+1,N($CU90))</f>
        <v/>
      </c>
      <c r="CV91">
        <f>IF($C91="",0,IF(COUNTIFS('①在庫を貼る'!$V$6:$V$10005,'設定'!$C$4,'①在庫を貼る'!$W$6:$W$10005,$C91)&gt;0,1,0))</f>
        <v/>
      </c>
      <c r="CW91">
        <f>IF($C91="",0,IF(COUNTIFS('月1回_1ヶ月前の在庫'!$V$6:$V$10005,'設定'!$C$4,'月1回_1ヶ月前の在庫'!$W$6:$W$10005,$C91)&gt;0,1,0))</f>
        <v/>
      </c>
      <c r="CX91">
        <f>IF($C91="",0,IF(COUNTIFS('月1回_2ヶ月前の在庫'!$V$6:$V$10005,'設定'!$C$4,'月1回_2ヶ月前の在庫'!$W$6:$W$10005,$C91)&gt;0,1,0))</f>
        <v/>
      </c>
      <c r="CY91">
        <f>IF(OR($C91="",'設定'!$C$12=""),"",IF('設定'!$C$13="",IF(AND($CV91=1,$CW91=0),"新商品（今月から）",IF(AND($CV91=0,$CW91=1),"終売（今月から）","")),IF(AND($CV91=1,$CW91=0,$CX91=0),"新商品（今月から）",IF(AND($CV91=1,$CW91=1,$CX91=0),"新商品（先月から）",IF(AND($CV91=0,$CW91=1,$CX91=1),"終売（今月から）",IF(AND($CV91=0,$CW91=0,$CX91=1),"終売（先月から）",IF(AND($CV91=1,$CW91=0,$CX91=1),"復活（先月は無し）","")))))))</f>
        <v/>
      </c>
    </row>
    <row r="92">
      <c r="B92">
        <f>IF(87&lt;='設定'!$C$11,87,"")</f>
        <v/>
      </c>
      <c r="C92">
        <f>IF($B92="","",IF($B92&lt;='設定'!$C$20,INDEX('商品マスタ'!$B$6:$B$1005,MATCH($B92,'商品マスタ'!$M$6:$M$1005,0)),IF($B92&lt;='設定'!$C$20+'設定'!$C$17,INDEX('①在庫を貼る'!$W$6:$W$10005,MATCH($B92-'設定'!$C$20,'①在庫を貼る'!$U$6:$U$10005,0)),IF($B92&lt;='設定'!$C$20+'設定'!$C$17+'設定'!$C$18,INDEX('月1回_1ヶ月前の在庫'!$W$6:$W$10005,MATCH($B92-'設定'!$C$20-'設定'!$C$17,'月1回_1ヶ月前の在庫'!$U$6:$U$10005,0)),INDEX('月1回_2ヶ月前の在庫'!$W$6:$W$10005,MATCH($B92-'設定'!$C$20-'設定'!$C$17-'設定'!$C$18,'月1回_2ヶ月前の在庫'!$U$6:$U$10005,0))))))</f>
        <v/>
      </c>
      <c r="D92">
        <f>IF($C92="","",IFERROR(IF(INDEX('商品マスタ'!$C$6:$C$1005,MATCH($C92,'商品マスタ'!$B$6:$B$1005,0))="",IFERROR(INDEX('①在庫を貼る'!$J$6:$J$10005,MATCH($C92,'①在庫を貼る'!$W$6:$W$10005,0)),IFERROR(INDEX('月1回_1ヶ月前の在庫'!$J$6:$J$10005,MATCH($C92,'月1回_1ヶ月前の在庫'!$W$6:$W$10005,0)),IFERROR(INDEX('月1回_2ヶ月前の在庫'!$J$6:$J$10005,MATCH($C92,'月1回_2ヶ月前の在庫'!$W$6:$W$10005,0)),""))),INDEX('商品マスタ'!$C$6:$C$1005,MATCH($C92,'商品マスタ'!$B$6:$B$1005,0))),IFERROR(INDEX('①在庫を貼る'!$J$6:$J$10005,MATCH($C92,'①在庫を貼る'!$W$6:$W$10005,0)),IFERROR(INDEX('月1回_1ヶ月前の在庫'!$J$6:$J$10005,MATCH($C92,'月1回_1ヶ月前の在庫'!$W$6:$W$10005,0)),IFERROR(INDEX('月1回_2ヶ月前の在庫'!$J$6:$J$10005,MATCH($C92,'月1回_2ヶ月前の在庫'!$W$6:$W$10005,0)),"")))))</f>
        <v/>
      </c>
      <c r="E92">
        <f>IF($C92="","",IFERROR(IF(INDEX('商品マスタ'!$D$6:$D$1005,MATCH($C92,'商品マスタ'!$B$6:$B$1005,0))="",IFERROR(INDEX('①在庫を貼る'!$H$6:$H$10005,MATCH($C92,'①在庫を貼る'!$W$6:$W$10005,0)),IFERROR(INDEX('月1回_1ヶ月前の在庫'!$H$6:$H$10005,MATCH($C92,'月1回_1ヶ月前の在庫'!$W$6:$W$10005,0)),IFERROR(INDEX('月1回_2ヶ月前の在庫'!$H$6:$H$10005,MATCH($C92,'月1回_2ヶ月前の在庫'!$W$6:$W$10005,0)),""))),INDEX('商品マスタ'!$D$6:$D$1005,MATCH($C92,'商品マスタ'!$B$6:$B$1005,0))),IFERROR(INDEX('①在庫を貼る'!$H$6:$H$10005,MATCH($C92,'①在庫を貼る'!$W$6:$W$10005,0)),IFERROR(INDEX('月1回_1ヶ月前の在庫'!$H$6:$H$10005,MATCH($C92,'月1回_1ヶ月前の在庫'!$W$6:$W$10005,0)),IFERROR(INDEX('月1回_2ヶ月前の在庫'!$H$6:$H$10005,MATCH($C92,'月1回_2ヶ月前の在庫'!$W$6:$W$10005,0)),"")))))</f>
        <v/>
      </c>
      <c r="F92">
        <f>IF($C92="","",IFERROR(IF(INDEX('商品マスタ'!$E$6:$E$1005,MATCH($C92,'商品マスタ'!$B$6:$B$1005,0))="",IFERROR(INDEX('①在庫を貼る'!$E$6:$E$10005,MATCH($C92,'①在庫を貼る'!$W$6:$W$10005,0)),IFERROR(INDEX('月1回_1ヶ月前の在庫'!$E$6:$E$10005,MATCH($C92,'月1回_1ヶ月前の在庫'!$W$6:$W$10005,0)),IFERROR(INDEX('月1回_2ヶ月前の在庫'!$E$6:$E$10005,MATCH($C92,'月1回_2ヶ月前の在庫'!$W$6:$W$10005,0)),""))),INDEX('商品マスタ'!$E$6:$E$1005,MATCH($C92,'商品マスタ'!$B$6:$B$1005,0))),IFERROR(INDEX('①在庫を貼る'!$E$6:$E$10005,MATCH($C92,'①在庫を貼る'!$W$6:$W$10005,0)),IFERROR(INDEX('月1回_1ヶ月前の在庫'!$E$6:$E$10005,MATCH($C92,'月1回_1ヶ月前の在庫'!$W$6:$W$10005,0)),IFERROR(INDEX('月1回_2ヶ月前の在庫'!$E$6:$E$10005,MATCH($C92,'月1回_2ヶ月前の在庫'!$W$6:$W$10005,0)),"")))))</f>
        <v/>
      </c>
      <c r="G92">
        <f>IF($C92="","",MAX(1,N(IFERROR(IF(INDEX('商品マスタ'!$F$6:$F$1005,MATCH($C92,'商品マスタ'!$B$6:$B$1005,0))="",IF(COUNTIFS('①在庫を貼る'!$V$6:$V$10005,'設定'!$C$4,'①在庫を貼る'!$W$6:$W$10005,$C92)&gt;0,SUMIFS('①在庫を貼る'!$K$6:$K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K$6:$K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K$6:$K$10005,'月1回_2ヶ月前の在庫'!$V$6:$V$10005,'設定'!$C$4,'月1回_2ヶ月前の在庫'!$W$6:$W$10005,$C92)/COUNTIFS('月1回_2ヶ月前の在庫'!$V$6:$V$10005,'設定'!$C$4,'月1回_2ヶ月前の在庫'!$W$6:$W$10005,$C92),0))),INDEX('商品マスタ'!$F$6:$F$1005,MATCH($C92,'商品マスタ'!$B$6:$B$1005,0))),IF(COUNTIFS('①在庫を貼る'!$V$6:$V$10005,'設定'!$C$4,'①在庫を貼る'!$W$6:$W$10005,$C92)&gt;0,SUMIFS('①在庫を貼る'!$K$6:$K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K$6:$K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K$6:$K$10005,'月1回_2ヶ月前の在庫'!$V$6:$V$10005,'設定'!$C$4,'月1回_2ヶ月前の在庫'!$W$6:$W$10005,$C92)/COUNTIFS('月1回_2ヶ月前の在庫'!$V$6:$V$10005,'設定'!$C$4,'月1回_2ヶ月前の在庫'!$W$6:$W$10005,$C92),0)))))))</f>
        <v/>
      </c>
      <c r="H92">
        <f>IF($C92="","",N(IFERROR(IF(INDEX('商品マスタ'!$G$6:$G$1005,MATCH($C92,'商品マスタ'!$B$6:$B$1005,0))="",IF(COUNTIFS('①在庫を貼る'!$V$6:$V$10005,'設定'!$C$4,'①在庫を貼る'!$W$6:$W$10005,$C92)&gt;0,SUMIFS('①在庫を貼る'!$Q$6:$Q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Q$6:$Q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Q$6:$Q$10005,'月1回_2ヶ月前の在庫'!$V$6:$V$10005,'設定'!$C$4,'月1回_2ヶ月前の在庫'!$W$6:$W$10005,$C92)/COUNTIFS('月1回_2ヶ月前の在庫'!$V$6:$V$10005,'設定'!$C$4,'月1回_2ヶ月前の在庫'!$W$6:$W$10005,$C92),0))),INDEX('商品マスタ'!$G$6:$G$1005,MATCH($C92,'商品マスタ'!$B$6:$B$1005,0))),IF(COUNTIFS('①在庫を貼る'!$V$6:$V$10005,'設定'!$C$4,'①在庫を貼る'!$W$6:$W$10005,$C92)&gt;0,SUMIFS('①在庫を貼る'!$Q$6:$Q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Q$6:$Q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Q$6:$Q$10005,'月1回_2ヶ月前の在庫'!$V$6:$V$10005,'設定'!$C$4,'月1回_2ヶ月前の在庫'!$W$6:$W$10005,$C92)/COUNTIFS('月1回_2ヶ月前の在庫'!$V$6:$V$10005,'設定'!$C$4,'月1回_2ヶ月前の在庫'!$W$6:$W$10005,$C92),0))))))</f>
        <v/>
      </c>
      <c r="I92">
        <f>IF($C92="","",IF(COUNTIFS('①在庫を貼る'!$V$6:$V$10005,'設定'!$C$4,'①在庫を貼る'!$W$6:$W$10005,$C92)=0,"",SUMIFS('①在庫を貼る'!$N$6:$N$10005,'①在庫を貼る'!$V$6:$V$10005,'設定'!$C$4,'①在庫を貼る'!$W$6:$W$10005,$C92)))</f>
        <v/>
      </c>
      <c r="J92">
        <f>IF($C92="","",IF('②発注する'!$AD96="","",'②発注する'!$AD96))</f>
        <v/>
      </c>
      <c r="K92" s="90">
        <f>IF($C92="","",IF('②発注する'!$AE96="","",'②発注する'!$AE96))</f>
        <v/>
      </c>
      <c r="L92">
        <f>IF($C92="","",IF(AND(ISNUMBER($J92),ISNUMBER($K92),$K92&gt;='設定'!$C$6),$J92,N($I92)))</f>
        <v/>
      </c>
      <c r="M92">
        <f>IF($C92="","",IFERROR(IF(N(INDEX('商品マスタ'!$J$6:$J$1005,MATCH($C92,'商品マスタ'!$B$6:$B$1005,0)))&gt;0,INDEX('商品マスタ'!$J$6:$J$1005,MATCH($C92,'商品マスタ'!$B$6:$B$1005,0)),""),""))</f>
        <v/>
      </c>
      <c r="N92">
        <f>IF($C92="","",IFERROR(IF(N(INDEX('商品マスタ'!$H$6:$H$1005,MATCH($C92,'商品マスタ'!$B$6:$B$1005,0)))&gt;0,INDEX('商品マスタ'!$H$6:$H$1005,MATCH($C92,'商品マスタ'!$B$6:$B$1005,0)),""),""))</f>
        <v/>
      </c>
      <c r="O92">
        <f>IF($C92="","",IF($N92&lt;&gt;"",$N92*$G92,IF(N(IF(COUNTIFS('①在庫を貼る'!$V$6:$V$10005,'設定'!$C$4,'①在庫を貼る'!$W$6:$W$10005,$C92)&gt;0,SUMIFS('①在庫を貼る'!$O$6:$O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O$6:$O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O$6:$O$10005,'月1回_2ヶ月前の在庫'!$V$6:$V$10005,'設定'!$C$4,'月1回_2ヶ月前の在庫'!$W$6:$W$10005,$C92)/COUNTIFS('月1回_2ヶ月前の在庫'!$V$6:$V$10005,'設定'!$C$4,'月1回_2ヶ月前の在庫'!$W$6:$W$10005,$C92),0))))&gt;0,N(IF(COUNTIFS('①在庫を貼る'!$V$6:$V$10005,'設定'!$C$4,'①在庫を貼る'!$W$6:$W$10005,$C92)&gt;0,SUMIFS('①在庫を貼る'!$O$6:$O$10005,'①在庫を貼る'!$V$6:$V$10005,'設定'!$C$4,'①在庫を貼る'!$W$6:$W$10005,$C92)/COUNTIFS('①在庫を貼る'!$V$6:$V$10005,'設定'!$C$4,'①在庫を貼る'!$W$6:$W$10005,$C92),IF(COUNTIFS('月1回_1ヶ月前の在庫'!$V$6:$V$10005,'設定'!$C$4,'月1回_1ヶ月前の在庫'!$W$6:$W$10005,$C92)&gt;0,SUMIFS('月1回_1ヶ月前の在庫'!$O$6:$O$10005,'月1回_1ヶ月前の在庫'!$V$6:$V$10005,'設定'!$C$4,'月1回_1ヶ月前の在庫'!$W$6:$W$10005,$C92)/COUNTIFS('月1回_1ヶ月前の在庫'!$V$6:$V$10005,'設定'!$C$4,'月1回_1ヶ月前の在庫'!$W$6:$W$10005,$C92),IF(COUNTIFS('月1回_2ヶ月前の在庫'!$V$6:$V$10005,'設定'!$C$4,'月1回_2ヶ月前の在庫'!$W$6:$W$10005,$C92)&gt;0,SUMIFS('月1回_2ヶ月前の在庫'!$O$6:$O$10005,'月1回_2ヶ月前の在庫'!$V$6:$V$10005,'設定'!$C$4,'月1回_2ヶ月前の在庫'!$W$6:$W$10005,$C92)/COUNTIFS('月1回_2ヶ月前の在庫'!$V$6:$V$10005,'設定'!$C$4,'月1回_2ヶ月前の在庫'!$W$6:$W$10005,$C92),0)))),"")))</f>
        <v/>
      </c>
      <c r="P92" s="90">
        <f>IF($C92="","",IF('②発注する'!$I96="","",'②発注する'!$I96))</f>
        <v/>
      </c>
      <c r="Q92">
        <f>IF($C92="","",IF('②発注する'!$J96="","",'②発注する'!$J96))</f>
        <v/>
      </c>
      <c r="R92">
        <f>IF($C92="",0,IF(AND(ISNUMBER($P92),ISNUMBER($Q92)),MAX(0,$Q92)*$G92,0))</f>
        <v/>
      </c>
      <c r="S92" s="90">
        <f>IF($C92="","",IF('②発注する'!$M96="","",'②発注する'!$M96))</f>
        <v/>
      </c>
      <c r="T92">
        <f>IF($C92="","",IF('②発注する'!$N96="","",'②発注する'!$N96))</f>
        <v/>
      </c>
      <c r="U92">
        <f>IF($C92="",0,IF(AND(ISNUMBER($S92),ISNUMBER($T92)),MAX(0,$T92)*$G92,0))</f>
        <v/>
      </c>
      <c r="V92">
        <f>IF($C92="",0,IF($M92="",0,MAX(0,$M92)*MAX(0,V$4)/100))</f>
        <v/>
      </c>
      <c r="W92">
        <f>IF($C92="",0,IF($M92="",0,MAX(0,$M92)*MAX(0,W$4)/100))</f>
        <v/>
      </c>
      <c r="X92">
        <f>IF($C92="",0,IF($M92="",0,MAX(0,$M92)*MAX(0,X$4)/100))</f>
        <v/>
      </c>
      <c r="Y92">
        <f>IF($C92="",0,IF($M92="",0,MAX(0,$M92)*MAX(0,Y$4)/100))</f>
        <v/>
      </c>
      <c r="Z92">
        <f>IF($C92="",0,IF($M92="",0,MAX(0,$M92)*MAX(0,Z$4)/100))</f>
        <v/>
      </c>
      <c r="AA92">
        <f>IF($C92="",0,IF($M92="",0,MAX(0,$M92)*MAX(0,AA$4)/100))</f>
        <v/>
      </c>
      <c r="AB92">
        <f>IF($C92="",0,IF($M92="",0,MAX(0,$M92)*MAX(0,AB$4)/100))</f>
        <v/>
      </c>
      <c r="AC92">
        <f>IF($C92="",0,IF($M92="",0,MAX(0,$M92)*MAX(0,AC$4)/100))</f>
        <v/>
      </c>
      <c r="AD92">
        <f>IF($C92="",0,IF($M92="",0,MAX(0,$M92)*MAX(0,AD$4)/100))</f>
        <v/>
      </c>
      <c r="AE92">
        <f>IF($C92="",0,IF($M92="",0,MAX(0,$M92)*MAX(0,AE$4)/100))</f>
        <v/>
      </c>
      <c r="AF92">
        <f>IF($C92="",0,IF($M92="",0,MAX(0,$M92)*MAX(0,AF$4)/100))</f>
        <v/>
      </c>
      <c r="AG92">
        <f>IF($C92="",0,IF($M92="",0,MAX(0,$M92)*MAX(0,AG$4)/100))</f>
        <v/>
      </c>
      <c r="AH92">
        <f>IF($C92="",0,IF($M92="",0,MAX(0,$M92)*MAX(0,AH$4)/100))</f>
        <v/>
      </c>
      <c r="AI92">
        <f>IF($C92="",0,IF($M92="",0,MAX(0,$M92)*MAX(0,AI$4)/100))</f>
        <v/>
      </c>
      <c r="AJ92">
        <f>IF($C92="",0,MAX(0,MAX(0,N($L92))-$V92))</f>
        <v/>
      </c>
      <c r="AK92">
        <f>IF($C92="",0,MAX(0,$AJ92-$W92))</f>
        <v/>
      </c>
      <c r="AL92">
        <f>IF($C92="",0,MAX(0,$AK92-$X92))</f>
        <v/>
      </c>
      <c r="AM92">
        <f>IF($C92="",0,MAX(0,$AL92-$Y92))</f>
        <v/>
      </c>
      <c r="AN92">
        <f>IF($C92="",0,MAX(0,$AM92-$Z92))</f>
        <v/>
      </c>
      <c r="AO92">
        <f>IF($C92="",0,MAX(0,$AN92-$AA92))</f>
        <v/>
      </c>
      <c r="AP92">
        <f>IF($C92="",0,MAX(0,$AO92-$AB92))</f>
        <v/>
      </c>
      <c r="AQ92">
        <f>IF($C92="",0,MAX(0,$AP92-$AC92))</f>
        <v/>
      </c>
      <c r="AR92">
        <f>IF($C92="",0,MAX(0,$AQ92-$AD92))</f>
        <v/>
      </c>
      <c r="AS92">
        <f>IF($C92="",0,MAX(0,$AR92-$AE92))</f>
        <v/>
      </c>
      <c r="AT92">
        <f>IF($C92="",0,MAX(0,$AS92-$AF92))</f>
        <v/>
      </c>
      <c r="AU92">
        <f>IF($C92="",0,MAX(0,$AT92-$AG92))</f>
        <v/>
      </c>
      <c r="AV92">
        <f>IF($C92="",0,MAX(0,$AU92-$AH92))</f>
        <v/>
      </c>
      <c r="AW92">
        <f>IF($C92="",0,MAX(0,$AV92-$AI92))</f>
        <v/>
      </c>
      <c r="AX92">
        <f>IF($C92="",0,MAX(0,MAX(0,N($L92))+IF($P92=V$3,$R92,0)+IF($S92=V$3,$U92,0)-$V92))</f>
        <v/>
      </c>
      <c r="AY92">
        <f>IF($C92="",0,MAX(0,$AX92+IF($P92=W$3,$R92,0)+IF($S92=W$3,$U92,0)-$W92))</f>
        <v/>
      </c>
      <c r="AZ92">
        <f>IF($C92="",0,MAX(0,$AY92+IF($P92=X$3,$R92,0)+IF($S92=X$3,$U92,0)-$X92))</f>
        <v/>
      </c>
      <c r="BA92">
        <f>IF($C92="",0,MAX(0,$AZ92+IF($P92=Y$3,$R92,0)+IF($S92=Y$3,$U92,0)-$Y92))</f>
        <v/>
      </c>
      <c r="BB92">
        <f>IF($C92="",0,MAX(0,$BA92+IF($P92=Z$3,$R92,0)+IF($S92=Z$3,$U92,0)-$Z92))</f>
        <v/>
      </c>
      <c r="BC92">
        <f>IF($C92="",0,MAX(0,$BB92+IF($P92=AA$3,$R92,0)+IF($S92=AA$3,$U92,0)-$AA92))</f>
        <v/>
      </c>
      <c r="BD92">
        <f>IF($C92="",0,MAX(0,$BC92+IF($P92=AB$3,$R92,0)+IF($S92=AB$3,$U92,0)-$AB92))</f>
        <v/>
      </c>
      <c r="BE92">
        <f>IF($C92="",0,MAX(0,$BD92+IF($P92=AC$3,$R92,0)+IF($S92=AC$3,$U92,0)-$AC92))</f>
        <v/>
      </c>
      <c r="BF92">
        <f>IF($C92="",0,MAX(0,$BE92+IF($P92=AD$3,$R92,0)+IF($S92=AD$3,$U92,0)-$AD92))</f>
        <v/>
      </c>
      <c r="BG92">
        <f>IF($C92="",0,MAX(0,$BF92+IF($P92=AE$3,$R92,0)+IF($S92=AE$3,$U92,0)-$AE92))</f>
        <v/>
      </c>
      <c r="BH92">
        <f>IF($C92="",0,MAX(0,$BG92+IF($P92=AF$3,$R92,0)+IF($S92=AF$3,$U92,0)-$AF92))</f>
        <v/>
      </c>
      <c r="BI92">
        <f>IF($C92="",0,MAX(0,$BH92+IF($P92=AG$3,$R92,0)+IF($S92=AG$3,$U92,0)-$AG92))</f>
        <v/>
      </c>
      <c r="BJ92">
        <f>IF($C92="",0,MAX(0,$BI92+IF($P92=AH$3,$R92,0)+IF($S92=AH$3,$U92,0)-$AH92))</f>
        <v/>
      </c>
      <c r="BK92">
        <f>IF($C92="",0,MAX(0,$BJ92+IF($P92=AI$3,$R92,0)+IF($S92=AI$3,$U92,0)-$AI92))</f>
        <v/>
      </c>
      <c r="BL92">
        <f>IF($C92="",99,IF(AND($AX92&lt;1,V$3&gt;=MAX(N($P92),N($S92))),0,99))</f>
        <v/>
      </c>
      <c r="BM92">
        <f>IF($C92="",99,IF(AND($AY92&lt;1,W$3&gt;=MAX(N($P92),N($S92))),1,99))</f>
        <v/>
      </c>
      <c r="BN92">
        <f>IF($C92="",99,IF(AND($AZ92&lt;1,X$3&gt;=MAX(N($P92),N($S92))),2,99))</f>
        <v/>
      </c>
      <c r="BO92">
        <f>IF($C92="",99,IF(AND($BA92&lt;1,Y$3&gt;=MAX(N($P92),N($S92))),3,99))</f>
        <v/>
      </c>
      <c r="BP92">
        <f>IF($C92="",99,IF(AND($BB92&lt;1,Z$3&gt;=MAX(N($P92),N($S92))),4,99))</f>
        <v/>
      </c>
      <c r="BQ92">
        <f>IF($C92="",99,IF(AND($BC92&lt;1,AA$3&gt;=MAX(N($P92),N($S92))),5,99))</f>
        <v/>
      </c>
      <c r="BR92">
        <f>IF($C92="",99,IF(AND($BD92&lt;1,AB$3&gt;=MAX(N($P92),N($S92))),6,99))</f>
        <v/>
      </c>
      <c r="BS92">
        <f>IF($C92="",99,IF(AND($BE92&lt;1,AC$3&gt;=MAX(N($P92),N($S92))),7,99))</f>
        <v/>
      </c>
      <c r="BT92">
        <f>IF($C92="",99,IF(AND($BF92&lt;1,AD$3&gt;=MAX(N($P92),N($S92))),8,99))</f>
        <v/>
      </c>
      <c r="BU92">
        <f>IF($C92="",99,IF(AND($BG92&lt;1,AE$3&gt;=MAX(N($P92),N($S92))),9,99))</f>
        <v/>
      </c>
      <c r="BV92">
        <f>IF($C92="",99,IF(AND($BH92&lt;1,AF$3&gt;=MAX(N($P92),N($S92))),10,99))</f>
        <v/>
      </c>
      <c r="BW92">
        <f>IF($C92="",99,IF(AND($BI92&lt;1,AG$3&gt;=MAX(N($P92),N($S92))),11,99))</f>
        <v/>
      </c>
      <c r="BX92">
        <f>IF($C92="",99,IF(AND($BJ92&lt;1,AH$3&gt;=MAX(N($P92),N($S92))),12,99))</f>
        <v/>
      </c>
      <c r="BY92">
        <f>IF($C92="",99,IF(AND($BK92&lt;1,AI$3&gt;=MAX(N($P92),N($S92))),13,99))</f>
        <v/>
      </c>
      <c r="BZ92">
        <f>IF(OR($C92="",$M92=""),"",COUNTIF($AJ92:$AW92,"&gt;=1"))</f>
        <v/>
      </c>
      <c r="CA92" s="90">
        <f>IF($BZ92="","",IF($BZ92&gt;=14,"",'設定'!$C$6+$BZ92))</f>
        <v/>
      </c>
      <c r="CB92">
        <f>IF(OR($C92="",$M92=""),"",MIN($BL92:$BY92))</f>
        <v/>
      </c>
      <c r="CC92" s="90">
        <f>IF($CB92="","",IF($CB92&gt;=99,"",'設定'!$C$6+$CB92))</f>
        <v/>
      </c>
      <c r="CD92">
        <f>IF(OR($C92="",$M92=""),"",AVERAGE($V92:$AI92))</f>
        <v/>
      </c>
      <c r="CE92">
        <f>IF($C92="","",IFERROR(IF(MATCH(IF(ISNUMBER($P92),$P92,'設定'!$C$6+N('設定'!$C$7)),$V$3:$AI$3,0)=1,MAX(0,N($L92)),INDEX($AJ92:$AW92,MATCH(IF(ISNUMBER($P92),$P92,'設定'!$C$6+N('設定'!$C$7)),$V$3:$AI$3,0)-1)),""))</f>
        <v/>
      </c>
      <c r="CF92">
        <f>IF(OR($C92="",$O92="",$CE92=""),"",IF($O92-$CE92&lt;=0,0,ROUNDUP(($O92-$CE92)/$G92,0)))</f>
        <v/>
      </c>
      <c r="CG92">
        <f>IF(OR($C92="",$CF92="",NOT(ISNUMBER($Q92))),0,MAX(0,$Q92-$CF92))</f>
        <v/>
      </c>
      <c r="CH92">
        <f>IF(OR($C92="",$O92="",$U92=0),0,IFERROR(ROUNDUP(MAX(0,IF(MATCH($S92,$V$3:$AI$3,0)=1,MAX(0,N($L92)),INDEX($AX92:$BK92,MATCH($S92,$V$3:$AI$3,0)-1))+$U92-$O92)/$G92,0),0))</f>
        <v/>
      </c>
      <c r="CI92">
        <f>IF($C92="","",IF(AND($P92="",$Q92=""),"",IF($P92="","⚠ 入庫日を ▼ から選んでください",IF(NOT(ISNUMBER($P92)),"⚠ 入庫日は ▼ から選んでください",IF($P92&lt;N('設定'!$C$6),"⚠ 入庫日が過去です（もう在庫に入っています）→ 消してください",IF($P92&gt;N('設定'!$C$6)+13,"⚠ 入庫日が14日より先です",IF(N($Q92)&lt;=0,"⚠ 入庫数を入れてください",IF($CG92&gt;0,"⚠ 目安より "&amp;$CG92&amp;" 多い（定数を超える）→ 減らす",""))))))))</f>
        <v/>
      </c>
      <c r="CJ92">
        <f>IF($C92="","",IF(AND($S92="",$T92=""),"",IF($S92="","⚠ 2便目：入庫日を ▼ から選んでください",IF(NOT(ISNUMBER($S92)),"⚠ 2便目：入庫日は ▼ から選んでください",IF($S92&lt;N('設定'!$C$6),"⚠ 2便目：入庫日が過去です（もう在庫に入っています）→ 消してください",IF($S92&gt;N('設定'!$C$6)+13,"⚠ 2便目：入庫日が14日より先です",IF(N($T92)&lt;=0,"⚠ 2便目：入庫数を入れてください",IF($CH92&gt;0,"⚠ 2便目：定数を "&amp;$CH92&amp;" ケース超える → 減らす",""))))))))</f>
        <v/>
      </c>
      <c r="CK92">
        <f>IF(AND($CI92="",N($Q92)&gt;0,ISNUMBER($P92)),1,0)</f>
        <v/>
      </c>
      <c r="CL92">
        <f>IF(AND($CJ92="",N($T92)&gt;0,ISNUMBER($S92)),1,0)</f>
        <v/>
      </c>
      <c r="CM92">
        <f>IF(OR($CK92=1,$CL92=1),1,0)</f>
        <v/>
      </c>
      <c r="CN92">
        <f>IF($C92="",0,($CK92*$R92+$CL92*$U92)*N($H92))</f>
        <v/>
      </c>
      <c r="CO92">
        <f>IF($C92="","",IF($CC92="","入庫後は 14日以上もつ",IF($CC92-N('設定'!$C$7)&lt;='設定'!$C$6,"入庫後も "&amp;TEXT($CC92,"m/d")&amp;"("&amp;CHOOSE(WEEKDAY($CC92),"日","月","火","水","木","金","土")&amp;")"&amp;" に切れる　もう1便を至急発注","入庫後も "&amp;TEXT($CC92,"m/d")&amp;"("&amp;CHOOSE(WEEKDAY($CC92),"日","月","火","水","木","金","土")&amp;")"&amp;" に切れる　"&amp;TEXT($CC92-N('設定'!$C$7),"m/d")&amp;"("&amp;CHOOSE(WEEKDAY($CC92-N('設定'!$C$7)),"日","月","火","水","木","金","土")&amp;")"&amp;" までに次を発注")))</f>
        <v/>
      </c>
      <c r="CP92">
        <f>IF($C92="","",IF('設定'!$C$6="","？ ①在庫を貼る に今日のCSVが貼られていない",IF($CS92=1,"－ 今日のCSVに無い（終売？）",IF($L92&lt;0,"● 在庫がマイナス　数えて「数えた在庫」に入れる",IF($L92=0,"● 在庫なし　至急発注",IF($M92="","？ 減り数が未設定（商品マスタ）",IF($B$3=0,"？ 動員が未入力（動員を入れる）",IF($CA92="","○ 14日以上もつ",IF($BZ92&lt;N('設定'!$C$7),"● "&amp;TEXT($CA92,"m/d")&amp;"("&amp;CHOOSE(WEEKDAY($CA92),"日","月","火","水","木","金","土")&amp;")"&amp;" に切れる　至急発注",IF($BZ92=N('設定'!$C$7),"● "&amp;TEXT($CA92,"m/d")&amp;"("&amp;CHOOSE(WEEKDAY($CA92),"日","月","火","水","木","金","土")&amp;")"&amp;" に切れる　今日発注","△ "&amp;TEXT($CA92,"m/d")&amp;"("&amp;CHOOSE(WEEKDAY($CA92),"日","月","火","水","木","金","土")&amp;")"&amp;" に切れる　"&amp;TEXT($CA92-N('設定'!$C$7),"m/d")&amp;"("&amp;CHOOSE(WEEKDAY($CA92-N('設定'!$C$7)),"日","月","火","水","木","金","土")&amp;")"&amp;" までに発注"))))))))))</f>
        <v/>
      </c>
      <c r="CQ92">
        <f>IF($C92="","",IF(AND($P92="",$Q92="",$S92="",$T92=""),"",IF(AND($P92="",$Q92=""),"⚠ 先に1便目（左の入庫日・入庫数）に入れてください",IF($CI92&lt;&gt;"",$CI92,IF($CJ92&lt;&gt;"",$CJ92,IF($M92="","？ 減り数が未設定（発注書には載ります）",IF($B$3=0,"？ 動員が未入力（発注書には載ります）",IF(AND($CA92&lt;&gt;"",$P92&gt;$CA92),IF($P92&gt;'設定'!$C$6+N('設定'!$C$7),"● "&amp;TEXT($P92,"m/d")&amp;"("&amp;CHOOSE(WEEKDAY($P92),"日","月","火","水","木","金","土")&amp;")"&amp;" の入庫では間に合わない（"&amp;TEXT($CA92,"m/d")&amp;"("&amp;CHOOSE(WEEKDAY($CA92),"日","月","火","水","木","金","土")&amp;")"&amp;" に切れる）　入庫日を早める","△ 欠品 "&amp;TEXT($CA92,"m/d")&amp;"("&amp;CHOOSE(WEEKDAY($CA92),"日","月","火","水","木","金","土")&amp;")"&amp;"〜"&amp;TEXT($P92-1,"m/d")&amp;"("&amp;CHOOSE(WEEKDAY($P92-1),"日","月","火","水","木","金","土")&amp;")"&amp;"　"&amp;$CO92),IF($CC92="","○ "&amp;TEXT($P92,"m/d")&amp;"("&amp;CHOOSE(WEEKDAY($P92),"日","月","火","水","木","金","土")&amp;")"&amp;" 入庫で 14日以上もつ",IF($CC92-N('設定'!$C$7)&lt;='設定'!$C$6,"● 入庫しても "&amp;TEXT($CC92,"m/d")&amp;"("&amp;CHOOSE(WEEKDAY($CC92),"日","月","火","水","木","金","土")&amp;")"&amp;" に切れる　もう1便を至急発注（2便目に入れる）","△ 入庫しても "&amp;TEXT($CC92,"m/d")&amp;"("&amp;CHOOSE(WEEKDAY($CC92),"日","月","火","水","木","金","土")&amp;")"&amp;" に切れる　"&amp;TEXT($CC92-N('設定'!$C$7),"m/d")&amp;"("&amp;CHOOSE(WEEKDAY($CC92-N('設定'!$C$7)),"日","月","火","水","木","金","土")&amp;")"&amp;" までに次を発注（2便目に入れる）"))))))))))</f>
        <v/>
      </c>
      <c r="CR92">
        <f>IF($C92="","",IF($G92&gt;1,"ｹｰｽ("&amp;$G92&amp;"入)","個"))</f>
        <v/>
      </c>
      <c r="CS92">
        <f>IF($C92="",0,IF(COUNTIFS('①在庫を貼る'!$V$6:$V$10005,'設定'!$C$4,'①在庫を貼る'!$W$6:$W$10005,$C92)=0,1,0))</f>
        <v/>
      </c>
      <c r="CT92">
        <f>IF(AND($CK92=1,OR('③発注書'!$C$4="すべて",'③発注書'!$C$4="",$F92='③発注書'!$C$4)),N($CT91)+1,N($CT91))</f>
        <v/>
      </c>
      <c r="CU92">
        <f>IF(AND($CL92=1,OR('③発注書'!$C$4="すべて",'③発注書'!$C$4="",$F92='③発注書'!$C$4)),N($CU91)+1,N($CU91))</f>
        <v/>
      </c>
      <c r="CV92">
        <f>IF($C92="",0,IF(COUNTIFS('①在庫を貼る'!$V$6:$V$10005,'設定'!$C$4,'①在庫を貼る'!$W$6:$W$10005,$C92)&gt;0,1,0))</f>
        <v/>
      </c>
      <c r="CW92">
        <f>IF($C92="",0,IF(COUNTIFS('月1回_1ヶ月前の在庫'!$V$6:$V$10005,'設定'!$C$4,'月1回_1ヶ月前の在庫'!$W$6:$W$10005,$C92)&gt;0,1,0))</f>
        <v/>
      </c>
      <c r="CX92">
        <f>IF($C92="",0,IF(COUNTIFS('月1回_2ヶ月前の在庫'!$V$6:$V$10005,'設定'!$C$4,'月1回_2ヶ月前の在庫'!$W$6:$W$10005,$C92)&gt;0,1,0))</f>
        <v/>
      </c>
      <c r="CY92">
        <f>IF(OR($C92="",'設定'!$C$12=""),"",IF('設定'!$C$13="",IF(AND($CV92=1,$CW92=0),"新商品（今月から）",IF(AND($CV92=0,$CW92=1),"終売（今月から）","")),IF(AND($CV92=1,$CW92=0,$CX92=0),"新商品（今月から）",IF(AND($CV92=1,$CW92=1,$CX92=0),"新商品（先月から）",IF(AND($CV92=0,$CW92=1,$CX92=1),"終売（今月から）",IF(AND($CV92=0,$CW92=0,$CX92=1),"終売（先月から）",IF(AND($CV92=1,$CW92=0,$CX92=1),"復活（先月は無し）","")))))))</f>
        <v/>
      </c>
    </row>
    <row r="93">
      <c r="B93">
        <f>IF(88&lt;='設定'!$C$11,88,"")</f>
        <v/>
      </c>
      <c r="C93">
        <f>IF($B93="","",IF($B93&lt;='設定'!$C$20,INDEX('商品マスタ'!$B$6:$B$1005,MATCH($B93,'商品マスタ'!$M$6:$M$1005,0)),IF($B93&lt;='設定'!$C$20+'設定'!$C$17,INDEX('①在庫を貼る'!$W$6:$W$10005,MATCH($B93-'設定'!$C$20,'①在庫を貼る'!$U$6:$U$10005,0)),IF($B93&lt;='設定'!$C$20+'設定'!$C$17+'設定'!$C$18,INDEX('月1回_1ヶ月前の在庫'!$W$6:$W$10005,MATCH($B93-'設定'!$C$20-'設定'!$C$17,'月1回_1ヶ月前の在庫'!$U$6:$U$10005,0)),INDEX('月1回_2ヶ月前の在庫'!$W$6:$W$10005,MATCH($B93-'設定'!$C$20-'設定'!$C$17-'設定'!$C$18,'月1回_2ヶ月前の在庫'!$U$6:$U$10005,0))))))</f>
        <v/>
      </c>
      <c r="D93">
        <f>IF($C93="","",IFERROR(IF(INDEX('商品マスタ'!$C$6:$C$1005,MATCH($C93,'商品マスタ'!$B$6:$B$1005,0))="",IFERROR(INDEX('①在庫を貼る'!$J$6:$J$10005,MATCH($C93,'①在庫を貼る'!$W$6:$W$10005,0)),IFERROR(INDEX('月1回_1ヶ月前の在庫'!$J$6:$J$10005,MATCH($C93,'月1回_1ヶ月前の在庫'!$W$6:$W$10005,0)),IFERROR(INDEX('月1回_2ヶ月前の在庫'!$J$6:$J$10005,MATCH($C93,'月1回_2ヶ月前の在庫'!$W$6:$W$10005,0)),""))),INDEX('商品マスタ'!$C$6:$C$1005,MATCH($C93,'商品マスタ'!$B$6:$B$1005,0))),IFERROR(INDEX('①在庫を貼る'!$J$6:$J$10005,MATCH($C93,'①在庫を貼る'!$W$6:$W$10005,0)),IFERROR(INDEX('月1回_1ヶ月前の在庫'!$J$6:$J$10005,MATCH($C93,'月1回_1ヶ月前の在庫'!$W$6:$W$10005,0)),IFERROR(INDEX('月1回_2ヶ月前の在庫'!$J$6:$J$10005,MATCH($C93,'月1回_2ヶ月前の在庫'!$W$6:$W$10005,0)),"")))))</f>
        <v/>
      </c>
      <c r="E93">
        <f>IF($C93="","",IFERROR(IF(INDEX('商品マスタ'!$D$6:$D$1005,MATCH($C93,'商品マスタ'!$B$6:$B$1005,0))="",IFERROR(INDEX('①在庫を貼る'!$H$6:$H$10005,MATCH($C93,'①在庫を貼る'!$W$6:$W$10005,0)),IFERROR(INDEX('月1回_1ヶ月前の在庫'!$H$6:$H$10005,MATCH($C93,'月1回_1ヶ月前の在庫'!$W$6:$W$10005,0)),IFERROR(INDEX('月1回_2ヶ月前の在庫'!$H$6:$H$10005,MATCH($C93,'月1回_2ヶ月前の在庫'!$W$6:$W$10005,0)),""))),INDEX('商品マスタ'!$D$6:$D$1005,MATCH($C93,'商品マスタ'!$B$6:$B$1005,0))),IFERROR(INDEX('①在庫を貼る'!$H$6:$H$10005,MATCH($C93,'①在庫を貼る'!$W$6:$W$10005,0)),IFERROR(INDEX('月1回_1ヶ月前の在庫'!$H$6:$H$10005,MATCH($C93,'月1回_1ヶ月前の在庫'!$W$6:$W$10005,0)),IFERROR(INDEX('月1回_2ヶ月前の在庫'!$H$6:$H$10005,MATCH($C93,'月1回_2ヶ月前の在庫'!$W$6:$W$10005,0)),"")))))</f>
        <v/>
      </c>
      <c r="F93">
        <f>IF($C93="","",IFERROR(IF(INDEX('商品マスタ'!$E$6:$E$1005,MATCH($C93,'商品マスタ'!$B$6:$B$1005,0))="",IFERROR(INDEX('①在庫を貼る'!$E$6:$E$10005,MATCH($C93,'①在庫を貼る'!$W$6:$W$10005,0)),IFERROR(INDEX('月1回_1ヶ月前の在庫'!$E$6:$E$10005,MATCH($C93,'月1回_1ヶ月前の在庫'!$W$6:$W$10005,0)),IFERROR(INDEX('月1回_2ヶ月前の在庫'!$E$6:$E$10005,MATCH($C93,'月1回_2ヶ月前の在庫'!$W$6:$W$10005,0)),""))),INDEX('商品マスタ'!$E$6:$E$1005,MATCH($C93,'商品マスタ'!$B$6:$B$1005,0))),IFERROR(INDEX('①在庫を貼る'!$E$6:$E$10005,MATCH($C93,'①在庫を貼る'!$W$6:$W$10005,0)),IFERROR(INDEX('月1回_1ヶ月前の在庫'!$E$6:$E$10005,MATCH($C93,'月1回_1ヶ月前の在庫'!$W$6:$W$10005,0)),IFERROR(INDEX('月1回_2ヶ月前の在庫'!$E$6:$E$10005,MATCH($C93,'月1回_2ヶ月前の在庫'!$W$6:$W$10005,0)),"")))))</f>
        <v/>
      </c>
      <c r="G93">
        <f>IF($C93="","",MAX(1,N(IFERROR(IF(INDEX('商品マスタ'!$F$6:$F$1005,MATCH($C93,'商品マスタ'!$B$6:$B$1005,0))="",IF(COUNTIFS('①在庫を貼る'!$V$6:$V$10005,'設定'!$C$4,'①在庫を貼る'!$W$6:$W$10005,$C93)&gt;0,SUMIFS('①在庫を貼る'!$K$6:$K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K$6:$K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K$6:$K$10005,'月1回_2ヶ月前の在庫'!$V$6:$V$10005,'設定'!$C$4,'月1回_2ヶ月前の在庫'!$W$6:$W$10005,$C93)/COUNTIFS('月1回_2ヶ月前の在庫'!$V$6:$V$10005,'設定'!$C$4,'月1回_2ヶ月前の在庫'!$W$6:$W$10005,$C93),0))),INDEX('商品マスタ'!$F$6:$F$1005,MATCH($C93,'商品マスタ'!$B$6:$B$1005,0))),IF(COUNTIFS('①在庫を貼る'!$V$6:$V$10005,'設定'!$C$4,'①在庫を貼る'!$W$6:$W$10005,$C93)&gt;0,SUMIFS('①在庫を貼る'!$K$6:$K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K$6:$K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K$6:$K$10005,'月1回_2ヶ月前の在庫'!$V$6:$V$10005,'設定'!$C$4,'月1回_2ヶ月前の在庫'!$W$6:$W$10005,$C93)/COUNTIFS('月1回_2ヶ月前の在庫'!$V$6:$V$10005,'設定'!$C$4,'月1回_2ヶ月前の在庫'!$W$6:$W$10005,$C93),0)))))))</f>
        <v/>
      </c>
      <c r="H93">
        <f>IF($C93="","",N(IFERROR(IF(INDEX('商品マスタ'!$G$6:$G$1005,MATCH($C93,'商品マスタ'!$B$6:$B$1005,0))="",IF(COUNTIFS('①在庫を貼る'!$V$6:$V$10005,'設定'!$C$4,'①在庫を貼る'!$W$6:$W$10005,$C93)&gt;0,SUMIFS('①在庫を貼る'!$Q$6:$Q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Q$6:$Q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Q$6:$Q$10005,'月1回_2ヶ月前の在庫'!$V$6:$V$10005,'設定'!$C$4,'月1回_2ヶ月前の在庫'!$W$6:$W$10005,$C93)/COUNTIFS('月1回_2ヶ月前の在庫'!$V$6:$V$10005,'設定'!$C$4,'月1回_2ヶ月前の在庫'!$W$6:$W$10005,$C93),0))),INDEX('商品マスタ'!$G$6:$G$1005,MATCH($C93,'商品マスタ'!$B$6:$B$1005,0))),IF(COUNTIFS('①在庫を貼る'!$V$6:$V$10005,'設定'!$C$4,'①在庫を貼る'!$W$6:$W$10005,$C93)&gt;0,SUMIFS('①在庫を貼る'!$Q$6:$Q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Q$6:$Q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Q$6:$Q$10005,'月1回_2ヶ月前の在庫'!$V$6:$V$10005,'設定'!$C$4,'月1回_2ヶ月前の在庫'!$W$6:$W$10005,$C93)/COUNTIFS('月1回_2ヶ月前の在庫'!$V$6:$V$10005,'設定'!$C$4,'月1回_2ヶ月前の在庫'!$W$6:$W$10005,$C93),0))))))</f>
        <v/>
      </c>
      <c r="I93">
        <f>IF($C93="","",IF(COUNTIFS('①在庫を貼る'!$V$6:$V$10005,'設定'!$C$4,'①在庫を貼る'!$W$6:$W$10005,$C93)=0,"",SUMIFS('①在庫を貼る'!$N$6:$N$10005,'①在庫を貼る'!$V$6:$V$10005,'設定'!$C$4,'①在庫を貼る'!$W$6:$W$10005,$C93)))</f>
        <v/>
      </c>
      <c r="J93">
        <f>IF($C93="","",IF('②発注する'!$AD97="","",'②発注する'!$AD97))</f>
        <v/>
      </c>
      <c r="K93" s="90">
        <f>IF($C93="","",IF('②発注する'!$AE97="","",'②発注する'!$AE97))</f>
        <v/>
      </c>
      <c r="L93">
        <f>IF($C93="","",IF(AND(ISNUMBER($J93),ISNUMBER($K93),$K93&gt;='設定'!$C$6),$J93,N($I93)))</f>
        <v/>
      </c>
      <c r="M93">
        <f>IF($C93="","",IFERROR(IF(N(INDEX('商品マスタ'!$J$6:$J$1005,MATCH($C93,'商品マスタ'!$B$6:$B$1005,0)))&gt;0,INDEX('商品マスタ'!$J$6:$J$1005,MATCH($C93,'商品マスタ'!$B$6:$B$1005,0)),""),""))</f>
        <v/>
      </c>
      <c r="N93">
        <f>IF($C93="","",IFERROR(IF(N(INDEX('商品マスタ'!$H$6:$H$1005,MATCH($C93,'商品マスタ'!$B$6:$B$1005,0)))&gt;0,INDEX('商品マスタ'!$H$6:$H$1005,MATCH($C93,'商品マスタ'!$B$6:$B$1005,0)),""),""))</f>
        <v/>
      </c>
      <c r="O93">
        <f>IF($C93="","",IF($N93&lt;&gt;"",$N93*$G93,IF(N(IF(COUNTIFS('①在庫を貼る'!$V$6:$V$10005,'設定'!$C$4,'①在庫を貼る'!$W$6:$W$10005,$C93)&gt;0,SUMIFS('①在庫を貼る'!$O$6:$O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O$6:$O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O$6:$O$10005,'月1回_2ヶ月前の在庫'!$V$6:$V$10005,'設定'!$C$4,'月1回_2ヶ月前の在庫'!$W$6:$W$10005,$C93)/COUNTIFS('月1回_2ヶ月前の在庫'!$V$6:$V$10005,'設定'!$C$4,'月1回_2ヶ月前の在庫'!$W$6:$W$10005,$C93),0))))&gt;0,N(IF(COUNTIFS('①在庫を貼る'!$V$6:$V$10005,'設定'!$C$4,'①在庫を貼る'!$W$6:$W$10005,$C93)&gt;0,SUMIFS('①在庫を貼る'!$O$6:$O$10005,'①在庫を貼る'!$V$6:$V$10005,'設定'!$C$4,'①在庫を貼る'!$W$6:$W$10005,$C93)/COUNTIFS('①在庫を貼る'!$V$6:$V$10005,'設定'!$C$4,'①在庫を貼る'!$W$6:$W$10005,$C93),IF(COUNTIFS('月1回_1ヶ月前の在庫'!$V$6:$V$10005,'設定'!$C$4,'月1回_1ヶ月前の在庫'!$W$6:$W$10005,$C93)&gt;0,SUMIFS('月1回_1ヶ月前の在庫'!$O$6:$O$10005,'月1回_1ヶ月前の在庫'!$V$6:$V$10005,'設定'!$C$4,'月1回_1ヶ月前の在庫'!$W$6:$W$10005,$C93)/COUNTIFS('月1回_1ヶ月前の在庫'!$V$6:$V$10005,'設定'!$C$4,'月1回_1ヶ月前の在庫'!$W$6:$W$10005,$C93),IF(COUNTIFS('月1回_2ヶ月前の在庫'!$V$6:$V$10005,'設定'!$C$4,'月1回_2ヶ月前の在庫'!$W$6:$W$10005,$C93)&gt;0,SUMIFS('月1回_2ヶ月前の在庫'!$O$6:$O$10005,'月1回_2ヶ月前の在庫'!$V$6:$V$10005,'設定'!$C$4,'月1回_2ヶ月前の在庫'!$W$6:$W$10005,$C93)/COUNTIFS('月1回_2ヶ月前の在庫'!$V$6:$V$10005,'設定'!$C$4,'月1回_2ヶ月前の在庫'!$W$6:$W$10005,$C93),0)))),"")))</f>
        <v/>
      </c>
      <c r="P93" s="90">
        <f>IF($C93="","",IF('②発注する'!$I97="","",'②発注する'!$I97))</f>
        <v/>
      </c>
      <c r="Q93">
        <f>IF($C93="","",IF('②発注する'!$J97="","",'②発注する'!$J97))</f>
        <v/>
      </c>
      <c r="R93">
        <f>IF($C93="",0,IF(AND(ISNUMBER($P93),ISNUMBER($Q93)),MAX(0,$Q93)*$G93,0))</f>
        <v/>
      </c>
      <c r="S93" s="90">
        <f>IF($C93="","",IF('②発注する'!$M97="","",'②発注する'!$M97))</f>
        <v/>
      </c>
      <c r="T93">
        <f>IF($C93="","",IF('②発注する'!$N97="","",'②発注する'!$N97))</f>
        <v/>
      </c>
      <c r="U93">
        <f>IF($C93="",0,IF(AND(ISNUMBER($S93),ISNUMBER($T93)),MAX(0,$T93)*$G93,0))</f>
        <v/>
      </c>
      <c r="V93">
        <f>IF($C93="",0,IF($M93="",0,MAX(0,$M93)*MAX(0,V$4)/100))</f>
        <v/>
      </c>
      <c r="W93">
        <f>IF($C93="",0,IF($M93="",0,MAX(0,$M93)*MAX(0,W$4)/100))</f>
        <v/>
      </c>
      <c r="X93">
        <f>IF($C93="",0,IF($M93="",0,MAX(0,$M93)*MAX(0,X$4)/100))</f>
        <v/>
      </c>
      <c r="Y93">
        <f>IF($C93="",0,IF($M93="",0,MAX(0,$M93)*MAX(0,Y$4)/100))</f>
        <v/>
      </c>
      <c r="Z93">
        <f>IF($C93="",0,IF($M93="",0,MAX(0,$M93)*MAX(0,Z$4)/100))</f>
        <v/>
      </c>
      <c r="AA93">
        <f>IF($C93="",0,IF($M93="",0,MAX(0,$M93)*MAX(0,AA$4)/100))</f>
        <v/>
      </c>
      <c r="AB93">
        <f>IF($C93="",0,IF($M93="",0,MAX(0,$M93)*MAX(0,AB$4)/100))</f>
        <v/>
      </c>
      <c r="AC93">
        <f>IF($C93="",0,IF($M93="",0,MAX(0,$M93)*MAX(0,AC$4)/100))</f>
        <v/>
      </c>
      <c r="AD93">
        <f>IF($C93="",0,IF($M93="",0,MAX(0,$M93)*MAX(0,AD$4)/100))</f>
        <v/>
      </c>
      <c r="AE93">
        <f>IF($C93="",0,IF($M93="",0,MAX(0,$M93)*MAX(0,AE$4)/100))</f>
        <v/>
      </c>
      <c r="AF93">
        <f>IF($C93="",0,IF($M93="",0,MAX(0,$M93)*MAX(0,AF$4)/100))</f>
        <v/>
      </c>
      <c r="AG93">
        <f>IF($C93="",0,IF($M93="",0,MAX(0,$M93)*MAX(0,AG$4)/100))</f>
        <v/>
      </c>
      <c r="AH93">
        <f>IF($C93="",0,IF($M93="",0,MAX(0,$M93)*MAX(0,AH$4)/100))</f>
        <v/>
      </c>
      <c r="AI93">
        <f>IF($C93="",0,IF($M93="",0,MAX(0,$M93)*MAX(0,AI$4)/100))</f>
        <v/>
      </c>
      <c r="AJ93">
        <f>IF($C93="",0,MAX(0,MAX(0,N($L93))-$V93))</f>
        <v/>
      </c>
      <c r="AK93">
        <f>IF($C93="",0,MAX(0,$AJ93-$W93))</f>
        <v/>
      </c>
      <c r="AL93">
        <f>IF($C93="",0,MAX(0,$AK93-$X93))</f>
        <v/>
      </c>
      <c r="AM93">
        <f>IF($C93="",0,MAX(0,$AL93-$Y93))</f>
        <v/>
      </c>
      <c r="AN93">
        <f>IF($C93="",0,MAX(0,$AM93-$Z93))</f>
        <v/>
      </c>
      <c r="AO93">
        <f>IF($C93="",0,MAX(0,$AN93-$AA93))</f>
        <v/>
      </c>
      <c r="AP93">
        <f>IF($C93="",0,MAX(0,$AO93-$AB93))</f>
        <v/>
      </c>
      <c r="AQ93">
        <f>IF($C93="",0,MAX(0,$AP93-$AC93))</f>
        <v/>
      </c>
      <c r="AR93">
        <f>IF($C93="",0,MAX(0,$AQ93-$AD93))</f>
        <v/>
      </c>
      <c r="AS93">
        <f>IF($C93="",0,MAX(0,$AR93-$AE93))</f>
        <v/>
      </c>
      <c r="AT93">
        <f>IF($C93="",0,MAX(0,$AS93-$AF93))</f>
        <v/>
      </c>
      <c r="AU93">
        <f>IF($C93="",0,MAX(0,$AT93-$AG93))</f>
        <v/>
      </c>
      <c r="AV93">
        <f>IF($C93="",0,MAX(0,$AU93-$AH93))</f>
        <v/>
      </c>
      <c r="AW93">
        <f>IF($C93="",0,MAX(0,$AV93-$AI93))</f>
        <v/>
      </c>
      <c r="AX93">
        <f>IF($C93="",0,MAX(0,MAX(0,N($L93))+IF($P93=V$3,$R93,0)+IF($S93=V$3,$U93,0)-$V93))</f>
        <v/>
      </c>
      <c r="AY93">
        <f>IF($C93="",0,MAX(0,$AX93+IF($P93=W$3,$R93,0)+IF($S93=W$3,$U93,0)-$W93))</f>
        <v/>
      </c>
      <c r="AZ93">
        <f>IF($C93="",0,MAX(0,$AY93+IF($P93=X$3,$R93,0)+IF($S93=X$3,$U93,0)-$X93))</f>
        <v/>
      </c>
      <c r="BA93">
        <f>IF($C93="",0,MAX(0,$AZ93+IF($P93=Y$3,$R93,0)+IF($S93=Y$3,$U93,0)-$Y93))</f>
        <v/>
      </c>
      <c r="BB93">
        <f>IF($C93="",0,MAX(0,$BA93+IF($P93=Z$3,$R93,0)+IF($S93=Z$3,$U93,0)-$Z93))</f>
        <v/>
      </c>
      <c r="BC93">
        <f>IF($C93="",0,MAX(0,$BB93+IF($P93=AA$3,$R93,0)+IF($S93=AA$3,$U93,0)-$AA93))</f>
        <v/>
      </c>
      <c r="BD93">
        <f>IF($C93="",0,MAX(0,$BC93+IF($P93=AB$3,$R93,0)+IF($S93=AB$3,$U93,0)-$AB93))</f>
        <v/>
      </c>
      <c r="BE93">
        <f>IF($C93="",0,MAX(0,$BD93+IF($P93=AC$3,$R93,0)+IF($S93=AC$3,$U93,0)-$AC93))</f>
        <v/>
      </c>
      <c r="BF93">
        <f>IF($C93="",0,MAX(0,$BE93+IF($P93=AD$3,$R93,0)+IF($S93=AD$3,$U93,0)-$AD93))</f>
        <v/>
      </c>
      <c r="BG93">
        <f>IF($C93="",0,MAX(0,$BF93+IF($P93=AE$3,$R93,0)+IF($S93=AE$3,$U93,0)-$AE93))</f>
        <v/>
      </c>
      <c r="BH93">
        <f>IF($C93="",0,MAX(0,$BG93+IF($P93=AF$3,$R93,0)+IF($S93=AF$3,$U93,0)-$AF93))</f>
        <v/>
      </c>
      <c r="BI93">
        <f>IF($C93="",0,MAX(0,$BH93+IF($P93=AG$3,$R93,0)+IF($S93=AG$3,$U93,0)-$AG93))</f>
        <v/>
      </c>
      <c r="BJ93">
        <f>IF($C93="",0,MAX(0,$BI93+IF($P93=AH$3,$R93,0)+IF($S93=AH$3,$U93,0)-$AH93))</f>
        <v/>
      </c>
      <c r="BK93">
        <f>IF($C93="",0,MAX(0,$BJ93+IF($P93=AI$3,$R93,0)+IF($S93=AI$3,$U93,0)-$AI93))</f>
        <v/>
      </c>
      <c r="BL93">
        <f>IF($C93="",99,IF(AND($AX93&lt;1,V$3&gt;=MAX(N($P93),N($S93))),0,99))</f>
        <v/>
      </c>
      <c r="BM93">
        <f>IF($C93="",99,IF(AND($AY93&lt;1,W$3&gt;=MAX(N($P93),N($S93))),1,99))</f>
        <v/>
      </c>
      <c r="BN93">
        <f>IF($C93="",99,IF(AND($AZ93&lt;1,X$3&gt;=MAX(N($P93),N($S93))),2,99))</f>
        <v/>
      </c>
      <c r="BO93">
        <f>IF($C93="",99,IF(AND($BA93&lt;1,Y$3&gt;=MAX(N($P93),N($S93))),3,99))</f>
        <v/>
      </c>
      <c r="BP93">
        <f>IF($C93="",99,IF(AND($BB93&lt;1,Z$3&gt;=MAX(N($P93),N($S93))),4,99))</f>
        <v/>
      </c>
      <c r="BQ93">
        <f>IF($C93="",99,IF(AND($BC93&lt;1,AA$3&gt;=MAX(N($P93),N($S93))),5,99))</f>
        <v/>
      </c>
      <c r="BR93">
        <f>IF($C93="",99,IF(AND($BD93&lt;1,AB$3&gt;=MAX(N($P93),N($S93))),6,99))</f>
        <v/>
      </c>
      <c r="BS93">
        <f>IF($C93="",99,IF(AND($BE93&lt;1,AC$3&gt;=MAX(N($P93),N($S93))),7,99))</f>
        <v/>
      </c>
      <c r="BT93">
        <f>IF($C93="",99,IF(AND($BF93&lt;1,AD$3&gt;=MAX(N($P93),N($S93))),8,99))</f>
        <v/>
      </c>
      <c r="BU93">
        <f>IF($C93="",99,IF(AND($BG93&lt;1,AE$3&gt;=MAX(N($P93),N($S93))),9,99))</f>
        <v/>
      </c>
      <c r="BV93">
        <f>IF($C93="",99,IF(AND($BH93&lt;1,AF$3&gt;=MAX(N($P93),N($S93))),10,99))</f>
        <v/>
      </c>
      <c r="BW93">
        <f>IF($C93="",99,IF(AND($BI93&lt;1,AG$3&gt;=MAX(N($P93),N($S93))),11,99))</f>
        <v/>
      </c>
      <c r="BX93">
        <f>IF($C93="",99,IF(AND($BJ93&lt;1,AH$3&gt;=MAX(N($P93),N($S93))),12,99))</f>
        <v/>
      </c>
      <c r="BY93">
        <f>IF($C93="",99,IF(AND($BK93&lt;1,AI$3&gt;=MAX(N($P93),N($S93))),13,99))</f>
        <v/>
      </c>
      <c r="BZ93">
        <f>IF(OR($C93="",$M93=""),"",COUNTIF($AJ93:$AW93,"&gt;=1"))</f>
        <v/>
      </c>
      <c r="CA93" s="90">
        <f>IF($BZ93="","",IF($BZ93&gt;=14,"",'設定'!$C$6+$BZ93))</f>
        <v/>
      </c>
      <c r="CB93">
        <f>IF(OR($C93="",$M93=""),"",MIN($BL93:$BY93))</f>
        <v/>
      </c>
      <c r="CC93" s="90">
        <f>IF($CB93="","",IF($CB93&gt;=99,"",'設定'!$C$6+$CB93))</f>
        <v/>
      </c>
      <c r="CD93">
        <f>IF(OR($C93="",$M93=""),"",AVERAGE($V93:$AI93))</f>
        <v/>
      </c>
      <c r="CE93">
        <f>IF($C93="","",IFERROR(IF(MATCH(IF(ISNUMBER($P93),$P93,'設定'!$C$6+N('設定'!$C$7)),$V$3:$AI$3,0)=1,MAX(0,N($L93)),INDEX($AJ93:$AW93,MATCH(IF(ISNUMBER($P93),$P93,'設定'!$C$6+N('設定'!$C$7)),$V$3:$AI$3,0)-1)),""))</f>
        <v/>
      </c>
      <c r="CF93">
        <f>IF(OR($C93="",$O93="",$CE93=""),"",IF($O93-$CE93&lt;=0,0,ROUNDUP(($O93-$CE93)/$G93,0)))</f>
        <v/>
      </c>
      <c r="CG93">
        <f>IF(OR($C93="",$CF93="",NOT(ISNUMBER($Q93))),0,MAX(0,$Q93-$CF93))</f>
        <v/>
      </c>
      <c r="CH93">
        <f>IF(OR($C93="",$O93="",$U93=0),0,IFERROR(ROUNDUP(MAX(0,IF(MATCH($S93,$V$3:$AI$3,0)=1,MAX(0,N($L93)),INDEX($AX93:$BK93,MATCH($S93,$V$3:$AI$3,0)-1))+$U93-$O93)/$G93,0),0))</f>
        <v/>
      </c>
      <c r="CI93">
        <f>IF($C93="","",IF(AND($P93="",$Q93=""),"",IF($P93="","⚠ 入庫日を ▼ から選んでください",IF(NOT(ISNUMBER($P93)),"⚠ 入庫日は ▼ から選んでください",IF($P93&lt;N('設定'!$C$6),"⚠ 入庫日が過去です（もう在庫に入っています）→ 消してください",IF($P93&gt;N('設定'!$C$6)+13,"⚠ 入庫日が14日より先です",IF(N($Q93)&lt;=0,"⚠ 入庫数を入れてください",IF($CG93&gt;0,"⚠ 目安より "&amp;$CG93&amp;" 多い（定数を超える）→ 減らす",""))))))))</f>
        <v/>
      </c>
      <c r="CJ93">
        <f>IF($C93="","",IF(AND($S93="",$T93=""),"",IF($S93="","⚠ 2便目：入庫日を ▼ から選んでください",IF(NOT(ISNUMBER($S93)),"⚠ 2便目：入庫日は ▼ から選んでください",IF($S93&lt;N('設定'!$C$6),"⚠ 2便目：入庫日が過去です（もう在庫に入っています）→ 消してください",IF($S93&gt;N('設定'!$C$6)+13,"⚠ 2便目：入庫日が14日より先です",IF(N($T93)&lt;=0,"⚠ 2便目：入庫数を入れてください",IF($CH93&gt;0,"⚠ 2便目：定数を "&amp;$CH93&amp;" ケース超える → 減らす",""))))))))</f>
        <v/>
      </c>
      <c r="CK93">
        <f>IF(AND($CI93="",N($Q93)&gt;0,ISNUMBER($P93)),1,0)</f>
        <v/>
      </c>
      <c r="CL93">
        <f>IF(AND($CJ93="",N($T93)&gt;0,ISNUMBER($S93)),1,0)</f>
        <v/>
      </c>
      <c r="CM93">
        <f>IF(OR($CK93=1,$CL93=1),1,0)</f>
        <v/>
      </c>
      <c r="CN93">
        <f>IF($C93="",0,($CK93*$R93+$CL93*$U93)*N($H93))</f>
        <v/>
      </c>
      <c r="CO93">
        <f>IF($C93="","",IF($CC93="","入庫後は 14日以上もつ",IF($CC93-N('設定'!$C$7)&lt;='設定'!$C$6,"入庫後も "&amp;TEXT($CC93,"m/d")&amp;"("&amp;CHOOSE(WEEKDAY($CC93),"日","月","火","水","木","金","土")&amp;")"&amp;" に切れる　もう1便を至急発注","入庫後も "&amp;TEXT($CC93,"m/d")&amp;"("&amp;CHOOSE(WEEKDAY($CC93),"日","月","火","水","木","金","土")&amp;")"&amp;" に切れる　"&amp;TEXT($CC93-N('設定'!$C$7),"m/d")&amp;"("&amp;CHOOSE(WEEKDAY($CC93-N('設定'!$C$7)),"日","月","火","水","木","金","土")&amp;")"&amp;" までに次を発注")))</f>
        <v/>
      </c>
      <c r="CP93">
        <f>IF($C93="","",IF('設定'!$C$6="","？ ①在庫を貼る に今日のCSVが貼られていない",IF($CS93=1,"－ 今日のCSVに無い（終売？）",IF($L93&lt;0,"● 在庫がマイナス　数えて「数えた在庫」に入れる",IF($L93=0,"● 在庫なし　至急発注",IF($M93="","？ 減り数が未設定（商品マスタ）",IF($B$3=0,"？ 動員が未入力（動員を入れる）",IF($CA93="","○ 14日以上もつ",IF($BZ93&lt;N('設定'!$C$7),"● "&amp;TEXT($CA93,"m/d")&amp;"("&amp;CHOOSE(WEEKDAY($CA93),"日","月","火","水","木","金","土")&amp;")"&amp;" に切れる　至急発注",IF($BZ93=N('設定'!$C$7),"● "&amp;TEXT($CA93,"m/d")&amp;"("&amp;CHOOSE(WEEKDAY($CA93),"日","月","火","水","木","金","土")&amp;")"&amp;" に切れる　今日発注","△ "&amp;TEXT($CA93,"m/d")&amp;"("&amp;CHOOSE(WEEKDAY($CA93),"日","月","火","水","木","金","土")&amp;")"&amp;" に切れる　"&amp;TEXT($CA93-N('設定'!$C$7),"m/d")&amp;"("&amp;CHOOSE(WEEKDAY($CA93-N('設定'!$C$7)),"日","月","火","水","木","金","土")&amp;")"&amp;" までに発注"))))))))))</f>
        <v/>
      </c>
      <c r="CQ93">
        <f>IF($C93="","",IF(AND($P93="",$Q93="",$S93="",$T93=""),"",IF(AND($P93="",$Q93=""),"⚠ 先に1便目（左の入庫日・入庫数）に入れてください",IF($CI93&lt;&gt;"",$CI93,IF($CJ93&lt;&gt;"",$CJ93,IF($M93="","？ 減り数が未設定（発注書には載ります）",IF($B$3=0,"？ 動員が未入力（発注書には載ります）",IF(AND($CA93&lt;&gt;"",$P93&gt;$CA93),IF($P93&gt;'設定'!$C$6+N('設定'!$C$7),"● "&amp;TEXT($P93,"m/d")&amp;"("&amp;CHOOSE(WEEKDAY($P93),"日","月","火","水","木","金","土")&amp;")"&amp;" の入庫では間に合わない（"&amp;TEXT($CA93,"m/d")&amp;"("&amp;CHOOSE(WEEKDAY($CA93),"日","月","火","水","木","金","土")&amp;")"&amp;" に切れる）　入庫日を早める","△ 欠品 "&amp;TEXT($CA93,"m/d")&amp;"("&amp;CHOOSE(WEEKDAY($CA93),"日","月","火","水","木","金","土")&amp;")"&amp;"〜"&amp;TEXT($P93-1,"m/d")&amp;"("&amp;CHOOSE(WEEKDAY($P93-1),"日","月","火","水","木","金","土")&amp;")"&amp;"　"&amp;$CO93),IF($CC93="","○ "&amp;TEXT($P93,"m/d")&amp;"("&amp;CHOOSE(WEEKDAY($P93),"日","月","火","水","木","金","土")&amp;")"&amp;" 入庫で 14日以上もつ",IF($CC93-N('設定'!$C$7)&lt;='設定'!$C$6,"● 入庫しても "&amp;TEXT($CC93,"m/d")&amp;"("&amp;CHOOSE(WEEKDAY($CC93),"日","月","火","水","木","金","土")&amp;")"&amp;" に切れる　もう1便を至急発注（2便目に入れる）","△ 入庫しても "&amp;TEXT($CC93,"m/d")&amp;"("&amp;CHOOSE(WEEKDAY($CC93),"日","月","火","水","木","金","土")&amp;")"&amp;" に切れる　"&amp;TEXT($CC93-N('設定'!$C$7),"m/d")&amp;"("&amp;CHOOSE(WEEKDAY($CC93-N('設定'!$C$7)),"日","月","火","水","木","金","土")&amp;")"&amp;" までに次を発注（2便目に入れる）"))))))))))</f>
        <v/>
      </c>
      <c r="CR93">
        <f>IF($C93="","",IF($G93&gt;1,"ｹｰｽ("&amp;$G93&amp;"入)","個"))</f>
        <v/>
      </c>
      <c r="CS93">
        <f>IF($C93="",0,IF(COUNTIFS('①在庫を貼る'!$V$6:$V$10005,'設定'!$C$4,'①在庫を貼る'!$W$6:$W$10005,$C93)=0,1,0))</f>
        <v/>
      </c>
      <c r="CT93">
        <f>IF(AND($CK93=1,OR('③発注書'!$C$4="すべて",'③発注書'!$C$4="",$F93='③発注書'!$C$4)),N($CT92)+1,N($CT92))</f>
        <v/>
      </c>
      <c r="CU93">
        <f>IF(AND($CL93=1,OR('③発注書'!$C$4="すべて",'③発注書'!$C$4="",$F93='③発注書'!$C$4)),N($CU92)+1,N($CU92))</f>
        <v/>
      </c>
      <c r="CV93">
        <f>IF($C93="",0,IF(COUNTIFS('①在庫を貼る'!$V$6:$V$10005,'設定'!$C$4,'①在庫を貼る'!$W$6:$W$10005,$C93)&gt;0,1,0))</f>
        <v/>
      </c>
      <c r="CW93">
        <f>IF($C93="",0,IF(COUNTIFS('月1回_1ヶ月前の在庫'!$V$6:$V$10005,'設定'!$C$4,'月1回_1ヶ月前の在庫'!$W$6:$W$10005,$C93)&gt;0,1,0))</f>
        <v/>
      </c>
      <c r="CX93">
        <f>IF($C93="",0,IF(COUNTIFS('月1回_2ヶ月前の在庫'!$V$6:$V$10005,'設定'!$C$4,'月1回_2ヶ月前の在庫'!$W$6:$W$10005,$C93)&gt;0,1,0))</f>
        <v/>
      </c>
      <c r="CY93">
        <f>IF(OR($C93="",'設定'!$C$12=""),"",IF('設定'!$C$13="",IF(AND($CV93=1,$CW93=0),"新商品（今月から）",IF(AND($CV93=0,$CW93=1),"終売（今月から）","")),IF(AND($CV93=1,$CW93=0,$CX93=0),"新商品（今月から）",IF(AND($CV93=1,$CW93=1,$CX93=0),"新商品（先月から）",IF(AND($CV93=0,$CW93=1,$CX93=1),"終売（今月から）",IF(AND($CV93=0,$CW93=0,$CX93=1),"終売（先月から）",IF(AND($CV93=1,$CW93=0,$CX93=1),"復活（先月は無し）","")))))))</f>
        <v/>
      </c>
    </row>
    <row r="94">
      <c r="B94">
        <f>IF(89&lt;='設定'!$C$11,89,"")</f>
        <v/>
      </c>
      <c r="C94">
        <f>IF($B94="","",IF($B94&lt;='設定'!$C$20,INDEX('商品マスタ'!$B$6:$B$1005,MATCH($B94,'商品マスタ'!$M$6:$M$1005,0)),IF($B94&lt;='設定'!$C$20+'設定'!$C$17,INDEX('①在庫を貼る'!$W$6:$W$10005,MATCH($B94-'設定'!$C$20,'①在庫を貼る'!$U$6:$U$10005,0)),IF($B94&lt;='設定'!$C$20+'設定'!$C$17+'設定'!$C$18,INDEX('月1回_1ヶ月前の在庫'!$W$6:$W$10005,MATCH($B94-'設定'!$C$20-'設定'!$C$17,'月1回_1ヶ月前の在庫'!$U$6:$U$10005,0)),INDEX('月1回_2ヶ月前の在庫'!$W$6:$W$10005,MATCH($B94-'設定'!$C$20-'設定'!$C$17-'設定'!$C$18,'月1回_2ヶ月前の在庫'!$U$6:$U$10005,0))))))</f>
        <v/>
      </c>
      <c r="D94">
        <f>IF($C94="","",IFERROR(IF(INDEX('商品マスタ'!$C$6:$C$1005,MATCH($C94,'商品マスタ'!$B$6:$B$1005,0))="",IFERROR(INDEX('①在庫を貼る'!$J$6:$J$10005,MATCH($C94,'①在庫を貼る'!$W$6:$W$10005,0)),IFERROR(INDEX('月1回_1ヶ月前の在庫'!$J$6:$J$10005,MATCH($C94,'月1回_1ヶ月前の在庫'!$W$6:$W$10005,0)),IFERROR(INDEX('月1回_2ヶ月前の在庫'!$J$6:$J$10005,MATCH($C94,'月1回_2ヶ月前の在庫'!$W$6:$W$10005,0)),""))),INDEX('商品マスタ'!$C$6:$C$1005,MATCH($C94,'商品マスタ'!$B$6:$B$1005,0))),IFERROR(INDEX('①在庫を貼る'!$J$6:$J$10005,MATCH($C94,'①在庫を貼る'!$W$6:$W$10005,0)),IFERROR(INDEX('月1回_1ヶ月前の在庫'!$J$6:$J$10005,MATCH($C94,'月1回_1ヶ月前の在庫'!$W$6:$W$10005,0)),IFERROR(INDEX('月1回_2ヶ月前の在庫'!$J$6:$J$10005,MATCH($C94,'月1回_2ヶ月前の在庫'!$W$6:$W$10005,0)),"")))))</f>
        <v/>
      </c>
      <c r="E94">
        <f>IF($C94="","",IFERROR(IF(INDEX('商品マスタ'!$D$6:$D$1005,MATCH($C94,'商品マスタ'!$B$6:$B$1005,0))="",IFERROR(INDEX('①在庫を貼る'!$H$6:$H$10005,MATCH($C94,'①在庫を貼る'!$W$6:$W$10005,0)),IFERROR(INDEX('月1回_1ヶ月前の在庫'!$H$6:$H$10005,MATCH($C94,'月1回_1ヶ月前の在庫'!$W$6:$W$10005,0)),IFERROR(INDEX('月1回_2ヶ月前の在庫'!$H$6:$H$10005,MATCH($C94,'月1回_2ヶ月前の在庫'!$W$6:$W$10005,0)),""))),INDEX('商品マスタ'!$D$6:$D$1005,MATCH($C94,'商品マスタ'!$B$6:$B$1005,0))),IFERROR(INDEX('①在庫を貼る'!$H$6:$H$10005,MATCH($C94,'①在庫を貼る'!$W$6:$W$10005,0)),IFERROR(INDEX('月1回_1ヶ月前の在庫'!$H$6:$H$10005,MATCH($C94,'月1回_1ヶ月前の在庫'!$W$6:$W$10005,0)),IFERROR(INDEX('月1回_2ヶ月前の在庫'!$H$6:$H$10005,MATCH($C94,'月1回_2ヶ月前の在庫'!$W$6:$W$10005,0)),"")))))</f>
        <v/>
      </c>
      <c r="F94">
        <f>IF($C94="","",IFERROR(IF(INDEX('商品マスタ'!$E$6:$E$1005,MATCH($C94,'商品マスタ'!$B$6:$B$1005,0))="",IFERROR(INDEX('①在庫を貼る'!$E$6:$E$10005,MATCH($C94,'①在庫を貼る'!$W$6:$W$10005,0)),IFERROR(INDEX('月1回_1ヶ月前の在庫'!$E$6:$E$10005,MATCH($C94,'月1回_1ヶ月前の在庫'!$W$6:$W$10005,0)),IFERROR(INDEX('月1回_2ヶ月前の在庫'!$E$6:$E$10005,MATCH($C94,'月1回_2ヶ月前の在庫'!$W$6:$W$10005,0)),""))),INDEX('商品マスタ'!$E$6:$E$1005,MATCH($C94,'商品マスタ'!$B$6:$B$1005,0))),IFERROR(INDEX('①在庫を貼る'!$E$6:$E$10005,MATCH($C94,'①在庫を貼る'!$W$6:$W$10005,0)),IFERROR(INDEX('月1回_1ヶ月前の在庫'!$E$6:$E$10005,MATCH($C94,'月1回_1ヶ月前の在庫'!$W$6:$W$10005,0)),IFERROR(INDEX('月1回_2ヶ月前の在庫'!$E$6:$E$10005,MATCH($C94,'月1回_2ヶ月前の在庫'!$W$6:$W$10005,0)),"")))))</f>
        <v/>
      </c>
      <c r="G94">
        <f>IF($C94="","",MAX(1,N(IFERROR(IF(INDEX('商品マスタ'!$F$6:$F$1005,MATCH($C94,'商品マスタ'!$B$6:$B$1005,0))="",IF(COUNTIFS('①在庫を貼る'!$V$6:$V$10005,'設定'!$C$4,'①在庫を貼る'!$W$6:$W$10005,$C94)&gt;0,SUMIFS('①在庫を貼る'!$K$6:$K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K$6:$K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K$6:$K$10005,'月1回_2ヶ月前の在庫'!$V$6:$V$10005,'設定'!$C$4,'月1回_2ヶ月前の在庫'!$W$6:$W$10005,$C94)/COUNTIFS('月1回_2ヶ月前の在庫'!$V$6:$V$10005,'設定'!$C$4,'月1回_2ヶ月前の在庫'!$W$6:$W$10005,$C94),0))),INDEX('商品マスタ'!$F$6:$F$1005,MATCH($C94,'商品マスタ'!$B$6:$B$1005,0))),IF(COUNTIFS('①在庫を貼る'!$V$6:$V$10005,'設定'!$C$4,'①在庫を貼る'!$W$6:$W$10005,$C94)&gt;0,SUMIFS('①在庫を貼る'!$K$6:$K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K$6:$K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K$6:$K$10005,'月1回_2ヶ月前の在庫'!$V$6:$V$10005,'設定'!$C$4,'月1回_2ヶ月前の在庫'!$W$6:$W$10005,$C94)/COUNTIFS('月1回_2ヶ月前の在庫'!$V$6:$V$10005,'設定'!$C$4,'月1回_2ヶ月前の在庫'!$W$6:$W$10005,$C94),0)))))))</f>
        <v/>
      </c>
      <c r="H94">
        <f>IF($C94="","",N(IFERROR(IF(INDEX('商品マスタ'!$G$6:$G$1005,MATCH($C94,'商品マスタ'!$B$6:$B$1005,0))="",IF(COUNTIFS('①在庫を貼る'!$V$6:$V$10005,'設定'!$C$4,'①在庫を貼る'!$W$6:$W$10005,$C94)&gt;0,SUMIFS('①在庫を貼る'!$Q$6:$Q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Q$6:$Q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Q$6:$Q$10005,'月1回_2ヶ月前の在庫'!$V$6:$V$10005,'設定'!$C$4,'月1回_2ヶ月前の在庫'!$W$6:$W$10005,$C94)/COUNTIFS('月1回_2ヶ月前の在庫'!$V$6:$V$10005,'設定'!$C$4,'月1回_2ヶ月前の在庫'!$W$6:$W$10005,$C94),0))),INDEX('商品マスタ'!$G$6:$G$1005,MATCH($C94,'商品マスタ'!$B$6:$B$1005,0))),IF(COUNTIFS('①在庫を貼る'!$V$6:$V$10005,'設定'!$C$4,'①在庫を貼る'!$W$6:$W$10005,$C94)&gt;0,SUMIFS('①在庫を貼る'!$Q$6:$Q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Q$6:$Q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Q$6:$Q$10005,'月1回_2ヶ月前の在庫'!$V$6:$V$10005,'設定'!$C$4,'月1回_2ヶ月前の在庫'!$W$6:$W$10005,$C94)/COUNTIFS('月1回_2ヶ月前の在庫'!$V$6:$V$10005,'設定'!$C$4,'月1回_2ヶ月前の在庫'!$W$6:$W$10005,$C94),0))))))</f>
        <v/>
      </c>
      <c r="I94">
        <f>IF($C94="","",IF(COUNTIFS('①在庫を貼る'!$V$6:$V$10005,'設定'!$C$4,'①在庫を貼る'!$W$6:$W$10005,$C94)=0,"",SUMIFS('①在庫を貼る'!$N$6:$N$10005,'①在庫を貼る'!$V$6:$V$10005,'設定'!$C$4,'①在庫を貼る'!$W$6:$W$10005,$C94)))</f>
        <v/>
      </c>
      <c r="J94">
        <f>IF($C94="","",IF('②発注する'!$AD98="","",'②発注する'!$AD98))</f>
        <v/>
      </c>
      <c r="K94" s="90">
        <f>IF($C94="","",IF('②発注する'!$AE98="","",'②発注する'!$AE98))</f>
        <v/>
      </c>
      <c r="L94">
        <f>IF($C94="","",IF(AND(ISNUMBER($J94),ISNUMBER($K94),$K94&gt;='設定'!$C$6),$J94,N($I94)))</f>
        <v/>
      </c>
      <c r="M94">
        <f>IF($C94="","",IFERROR(IF(N(INDEX('商品マスタ'!$J$6:$J$1005,MATCH($C94,'商品マスタ'!$B$6:$B$1005,0)))&gt;0,INDEX('商品マスタ'!$J$6:$J$1005,MATCH($C94,'商品マスタ'!$B$6:$B$1005,0)),""),""))</f>
        <v/>
      </c>
      <c r="N94">
        <f>IF($C94="","",IFERROR(IF(N(INDEX('商品マスタ'!$H$6:$H$1005,MATCH($C94,'商品マスタ'!$B$6:$B$1005,0)))&gt;0,INDEX('商品マスタ'!$H$6:$H$1005,MATCH($C94,'商品マスタ'!$B$6:$B$1005,0)),""),""))</f>
        <v/>
      </c>
      <c r="O94">
        <f>IF($C94="","",IF($N94&lt;&gt;"",$N94*$G94,IF(N(IF(COUNTIFS('①在庫を貼る'!$V$6:$V$10005,'設定'!$C$4,'①在庫を貼る'!$W$6:$W$10005,$C94)&gt;0,SUMIFS('①在庫を貼る'!$O$6:$O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O$6:$O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O$6:$O$10005,'月1回_2ヶ月前の在庫'!$V$6:$V$10005,'設定'!$C$4,'月1回_2ヶ月前の在庫'!$W$6:$W$10005,$C94)/COUNTIFS('月1回_2ヶ月前の在庫'!$V$6:$V$10005,'設定'!$C$4,'月1回_2ヶ月前の在庫'!$W$6:$W$10005,$C94),0))))&gt;0,N(IF(COUNTIFS('①在庫を貼る'!$V$6:$V$10005,'設定'!$C$4,'①在庫を貼る'!$W$6:$W$10005,$C94)&gt;0,SUMIFS('①在庫を貼る'!$O$6:$O$10005,'①在庫を貼る'!$V$6:$V$10005,'設定'!$C$4,'①在庫を貼る'!$W$6:$W$10005,$C94)/COUNTIFS('①在庫を貼る'!$V$6:$V$10005,'設定'!$C$4,'①在庫を貼る'!$W$6:$W$10005,$C94),IF(COUNTIFS('月1回_1ヶ月前の在庫'!$V$6:$V$10005,'設定'!$C$4,'月1回_1ヶ月前の在庫'!$W$6:$W$10005,$C94)&gt;0,SUMIFS('月1回_1ヶ月前の在庫'!$O$6:$O$10005,'月1回_1ヶ月前の在庫'!$V$6:$V$10005,'設定'!$C$4,'月1回_1ヶ月前の在庫'!$W$6:$W$10005,$C94)/COUNTIFS('月1回_1ヶ月前の在庫'!$V$6:$V$10005,'設定'!$C$4,'月1回_1ヶ月前の在庫'!$W$6:$W$10005,$C94),IF(COUNTIFS('月1回_2ヶ月前の在庫'!$V$6:$V$10005,'設定'!$C$4,'月1回_2ヶ月前の在庫'!$W$6:$W$10005,$C94)&gt;0,SUMIFS('月1回_2ヶ月前の在庫'!$O$6:$O$10005,'月1回_2ヶ月前の在庫'!$V$6:$V$10005,'設定'!$C$4,'月1回_2ヶ月前の在庫'!$W$6:$W$10005,$C94)/COUNTIFS('月1回_2ヶ月前の在庫'!$V$6:$V$10005,'設定'!$C$4,'月1回_2ヶ月前の在庫'!$W$6:$W$10005,$C94),0)))),"")))</f>
        <v/>
      </c>
      <c r="P94" s="90">
        <f>IF($C94="","",IF('②発注する'!$I98="","",'②発注する'!$I98))</f>
        <v/>
      </c>
      <c r="Q94">
        <f>IF($C94="","",IF('②発注する'!$J98="","",'②発注する'!$J98))</f>
        <v/>
      </c>
      <c r="R94">
        <f>IF($C94="",0,IF(AND(ISNUMBER($P94),ISNUMBER($Q94)),MAX(0,$Q94)*$G94,0))</f>
        <v/>
      </c>
      <c r="S94" s="90">
        <f>IF($C94="","",IF('②発注する'!$M98="","",'②発注する'!$M98))</f>
        <v/>
      </c>
      <c r="T94">
        <f>IF($C94="","",IF('②発注する'!$N98="","",'②発注する'!$N98))</f>
        <v/>
      </c>
      <c r="U94">
        <f>IF($C94="",0,IF(AND(ISNUMBER($S94),ISNUMBER($T94)),MAX(0,$T94)*$G94,0))</f>
        <v/>
      </c>
      <c r="V94">
        <f>IF($C94="",0,IF($M94="",0,MAX(0,$M94)*MAX(0,V$4)/100))</f>
        <v/>
      </c>
      <c r="W94">
        <f>IF($C94="",0,IF($M94="",0,MAX(0,$M94)*MAX(0,W$4)/100))</f>
        <v/>
      </c>
      <c r="X94">
        <f>IF($C94="",0,IF($M94="",0,MAX(0,$M94)*MAX(0,X$4)/100))</f>
        <v/>
      </c>
      <c r="Y94">
        <f>IF($C94="",0,IF($M94="",0,MAX(0,$M94)*MAX(0,Y$4)/100))</f>
        <v/>
      </c>
      <c r="Z94">
        <f>IF($C94="",0,IF($M94="",0,MAX(0,$M94)*MAX(0,Z$4)/100))</f>
        <v/>
      </c>
      <c r="AA94">
        <f>IF($C94="",0,IF($M94="",0,MAX(0,$M94)*MAX(0,AA$4)/100))</f>
        <v/>
      </c>
      <c r="AB94">
        <f>IF($C94="",0,IF($M94="",0,MAX(0,$M94)*MAX(0,AB$4)/100))</f>
        <v/>
      </c>
      <c r="AC94">
        <f>IF($C94="",0,IF($M94="",0,MAX(0,$M94)*MAX(0,AC$4)/100))</f>
        <v/>
      </c>
      <c r="AD94">
        <f>IF($C94="",0,IF($M94="",0,MAX(0,$M94)*MAX(0,AD$4)/100))</f>
        <v/>
      </c>
      <c r="AE94">
        <f>IF($C94="",0,IF($M94="",0,MAX(0,$M94)*MAX(0,AE$4)/100))</f>
        <v/>
      </c>
      <c r="AF94">
        <f>IF($C94="",0,IF($M94="",0,MAX(0,$M94)*MAX(0,AF$4)/100))</f>
        <v/>
      </c>
      <c r="AG94">
        <f>IF($C94="",0,IF($M94="",0,MAX(0,$M94)*MAX(0,AG$4)/100))</f>
        <v/>
      </c>
      <c r="AH94">
        <f>IF($C94="",0,IF($M94="",0,MAX(0,$M94)*MAX(0,AH$4)/100))</f>
        <v/>
      </c>
      <c r="AI94">
        <f>IF($C94="",0,IF($M94="",0,MAX(0,$M94)*MAX(0,AI$4)/100))</f>
        <v/>
      </c>
      <c r="AJ94">
        <f>IF($C94="",0,MAX(0,MAX(0,N($L94))-$V94))</f>
        <v/>
      </c>
      <c r="AK94">
        <f>IF($C94="",0,MAX(0,$AJ94-$W94))</f>
        <v/>
      </c>
      <c r="AL94">
        <f>IF($C94="",0,MAX(0,$AK94-$X94))</f>
        <v/>
      </c>
      <c r="AM94">
        <f>IF($C94="",0,MAX(0,$AL94-$Y94))</f>
        <v/>
      </c>
      <c r="AN94">
        <f>IF($C94="",0,MAX(0,$AM94-$Z94))</f>
        <v/>
      </c>
      <c r="AO94">
        <f>IF($C94="",0,MAX(0,$AN94-$AA94))</f>
        <v/>
      </c>
      <c r="AP94">
        <f>IF($C94="",0,MAX(0,$AO94-$AB94))</f>
        <v/>
      </c>
      <c r="AQ94">
        <f>IF($C94="",0,MAX(0,$AP94-$AC94))</f>
        <v/>
      </c>
      <c r="AR94">
        <f>IF($C94="",0,MAX(0,$AQ94-$AD94))</f>
        <v/>
      </c>
      <c r="AS94">
        <f>IF($C94="",0,MAX(0,$AR94-$AE94))</f>
        <v/>
      </c>
      <c r="AT94">
        <f>IF($C94="",0,MAX(0,$AS94-$AF94))</f>
        <v/>
      </c>
      <c r="AU94">
        <f>IF($C94="",0,MAX(0,$AT94-$AG94))</f>
        <v/>
      </c>
      <c r="AV94">
        <f>IF($C94="",0,MAX(0,$AU94-$AH94))</f>
        <v/>
      </c>
      <c r="AW94">
        <f>IF($C94="",0,MAX(0,$AV94-$AI94))</f>
        <v/>
      </c>
      <c r="AX94">
        <f>IF($C94="",0,MAX(0,MAX(0,N($L94))+IF($P94=V$3,$R94,0)+IF($S94=V$3,$U94,0)-$V94))</f>
        <v/>
      </c>
      <c r="AY94">
        <f>IF($C94="",0,MAX(0,$AX94+IF($P94=W$3,$R94,0)+IF($S94=W$3,$U94,0)-$W94))</f>
        <v/>
      </c>
      <c r="AZ94">
        <f>IF($C94="",0,MAX(0,$AY94+IF($P94=X$3,$R94,0)+IF($S94=X$3,$U94,0)-$X94))</f>
        <v/>
      </c>
      <c r="BA94">
        <f>IF($C94="",0,MAX(0,$AZ94+IF($P94=Y$3,$R94,0)+IF($S94=Y$3,$U94,0)-$Y94))</f>
        <v/>
      </c>
      <c r="BB94">
        <f>IF($C94="",0,MAX(0,$BA94+IF($P94=Z$3,$R94,0)+IF($S94=Z$3,$U94,0)-$Z94))</f>
        <v/>
      </c>
      <c r="BC94">
        <f>IF($C94="",0,MAX(0,$BB94+IF($P94=AA$3,$R94,0)+IF($S94=AA$3,$U94,0)-$AA94))</f>
        <v/>
      </c>
      <c r="BD94">
        <f>IF($C94="",0,MAX(0,$BC94+IF($P94=AB$3,$R94,0)+IF($S94=AB$3,$U94,0)-$AB94))</f>
        <v/>
      </c>
      <c r="BE94">
        <f>IF($C94="",0,MAX(0,$BD94+IF($P94=AC$3,$R94,0)+IF($S94=AC$3,$U94,0)-$AC94))</f>
        <v/>
      </c>
      <c r="BF94">
        <f>IF($C94="",0,MAX(0,$BE94+IF($P94=AD$3,$R94,0)+IF($S94=AD$3,$U94,0)-$AD94))</f>
        <v/>
      </c>
      <c r="BG94">
        <f>IF($C94="",0,MAX(0,$BF94+IF($P94=AE$3,$R94,0)+IF($S94=AE$3,$U94,0)-$AE94))</f>
        <v/>
      </c>
      <c r="BH94">
        <f>IF($C94="",0,MAX(0,$BG94+IF($P94=AF$3,$R94,0)+IF($S94=AF$3,$U94,0)-$AF94))</f>
        <v/>
      </c>
      <c r="BI94">
        <f>IF($C94="",0,MAX(0,$BH94+IF($P94=AG$3,$R94,0)+IF($S94=AG$3,$U94,0)-$AG94))</f>
        <v/>
      </c>
      <c r="BJ94">
        <f>IF($C94="",0,MAX(0,$BI94+IF($P94=AH$3,$R94,0)+IF($S94=AH$3,$U94,0)-$AH94))</f>
        <v/>
      </c>
      <c r="BK94">
        <f>IF($C94="",0,MAX(0,$BJ94+IF($P94=AI$3,$R94,0)+IF($S94=AI$3,$U94,0)-$AI94))</f>
        <v/>
      </c>
      <c r="BL94">
        <f>IF($C94="",99,IF(AND($AX94&lt;1,V$3&gt;=MAX(N($P94),N($S94))),0,99))</f>
        <v/>
      </c>
      <c r="BM94">
        <f>IF($C94="",99,IF(AND($AY94&lt;1,W$3&gt;=MAX(N($P94),N($S94))),1,99))</f>
        <v/>
      </c>
      <c r="BN94">
        <f>IF($C94="",99,IF(AND($AZ94&lt;1,X$3&gt;=MAX(N($P94),N($S94))),2,99))</f>
        <v/>
      </c>
      <c r="BO94">
        <f>IF($C94="",99,IF(AND($BA94&lt;1,Y$3&gt;=MAX(N($P94),N($S94))),3,99))</f>
        <v/>
      </c>
      <c r="BP94">
        <f>IF($C94="",99,IF(AND($BB94&lt;1,Z$3&gt;=MAX(N($P94),N($S94))),4,99))</f>
        <v/>
      </c>
      <c r="BQ94">
        <f>IF($C94="",99,IF(AND($BC94&lt;1,AA$3&gt;=MAX(N($P94),N($S94))),5,99))</f>
        <v/>
      </c>
      <c r="BR94">
        <f>IF($C94="",99,IF(AND($BD94&lt;1,AB$3&gt;=MAX(N($P94),N($S94))),6,99))</f>
        <v/>
      </c>
      <c r="BS94">
        <f>IF($C94="",99,IF(AND($BE94&lt;1,AC$3&gt;=MAX(N($P94),N($S94))),7,99))</f>
        <v/>
      </c>
      <c r="BT94">
        <f>IF($C94="",99,IF(AND($BF94&lt;1,AD$3&gt;=MAX(N($P94),N($S94))),8,99))</f>
        <v/>
      </c>
      <c r="BU94">
        <f>IF($C94="",99,IF(AND($BG94&lt;1,AE$3&gt;=MAX(N($P94),N($S94))),9,99))</f>
        <v/>
      </c>
      <c r="BV94">
        <f>IF($C94="",99,IF(AND($BH94&lt;1,AF$3&gt;=MAX(N($P94),N($S94))),10,99))</f>
        <v/>
      </c>
      <c r="BW94">
        <f>IF($C94="",99,IF(AND($BI94&lt;1,AG$3&gt;=MAX(N($P94),N($S94))),11,99))</f>
        <v/>
      </c>
      <c r="BX94">
        <f>IF($C94="",99,IF(AND($BJ94&lt;1,AH$3&gt;=MAX(N($P94),N($S94))),12,99))</f>
        <v/>
      </c>
      <c r="BY94">
        <f>IF($C94="",99,IF(AND($BK94&lt;1,AI$3&gt;=MAX(N($P94),N($S94))),13,99))</f>
        <v/>
      </c>
      <c r="BZ94">
        <f>IF(OR($C94="",$M94=""),"",COUNTIF($AJ94:$AW94,"&gt;=1"))</f>
        <v/>
      </c>
      <c r="CA94" s="90">
        <f>IF($BZ94="","",IF($BZ94&gt;=14,"",'設定'!$C$6+$BZ94))</f>
        <v/>
      </c>
      <c r="CB94">
        <f>IF(OR($C94="",$M94=""),"",MIN($BL94:$BY94))</f>
        <v/>
      </c>
      <c r="CC94" s="90">
        <f>IF($CB94="","",IF($CB94&gt;=99,"",'設定'!$C$6+$CB94))</f>
        <v/>
      </c>
      <c r="CD94">
        <f>IF(OR($C94="",$M94=""),"",AVERAGE($V94:$AI94))</f>
        <v/>
      </c>
      <c r="CE94">
        <f>IF($C94="","",IFERROR(IF(MATCH(IF(ISNUMBER($P94),$P94,'設定'!$C$6+N('設定'!$C$7)),$V$3:$AI$3,0)=1,MAX(0,N($L94)),INDEX($AJ94:$AW94,MATCH(IF(ISNUMBER($P94),$P94,'設定'!$C$6+N('設定'!$C$7)),$V$3:$AI$3,0)-1)),""))</f>
        <v/>
      </c>
      <c r="CF94">
        <f>IF(OR($C94="",$O94="",$CE94=""),"",IF($O94-$CE94&lt;=0,0,ROUNDUP(($O94-$CE94)/$G94,0)))</f>
        <v/>
      </c>
      <c r="CG94">
        <f>IF(OR($C94="",$CF94="",NOT(ISNUMBER($Q94))),0,MAX(0,$Q94-$CF94))</f>
        <v/>
      </c>
      <c r="CH94">
        <f>IF(OR($C94="",$O94="",$U94=0),0,IFERROR(ROUNDUP(MAX(0,IF(MATCH($S94,$V$3:$AI$3,0)=1,MAX(0,N($L94)),INDEX($AX94:$BK94,MATCH($S94,$V$3:$AI$3,0)-1))+$U94-$O94)/$G94,0),0))</f>
        <v/>
      </c>
      <c r="CI94">
        <f>IF($C94="","",IF(AND($P94="",$Q94=""),"",IF($P94="","⚠ 入庫日を ▼ から選んでください",IF(NOT(ISNUMBER($P94)),"⚠ 入庫日は ▼ から選んでください",IF($P94&lt;N('設定'!$C$6),"⚠ 入庫日が過去です（もう在庫に入っています）→ 消してください",IF($P94&gt;N('設定'!$C$6)+13,"⚠ 入庫日が14日より先です",IF(N($Q94)&lt;=0,"⚠ 入庫数を入れてください",IF($CG94&gt;0,"⚠ 目安より "&amp;$CG94&amp;" 多い（定数を超える）→ 減らす",""))))))))</f>
        <v/>
      </c>
      <c r="CJ94">
        <f>IF($C94="","",IF(AND($S94="",$T94=""),"",IF($S94="","⚠ 2便目：入庫日を ▼ から選んでください",IF(NOT(ISNUMBER($S94)),"⚠ 2便目：入庫日は ▼ から選んでください",IF($S94&lt;N('設定'!$C$6),"⚠ 2便目：入庫日が過去です（もう在庫に入っています）→ 消してください",IF($S94&gt;N('設定'!$C$6)+13,"⚠ 2便目：入庫日が14日より先です",IF(N($T94)&lt;=0,"⚠ 2便目：入庫数を入れてください",IF($CH94&gt;0,"⚠ 2便目：定数を "&amp;$CH94&amp;" ケース超える → 減らす",""))))))))</f>
        <v/>
      </c>
      <c r="CK94">
        <f>IF(AND($CI94="",N($Q94)&gt;0,ISNUMBER($P94)),1,0)</f>
        <v/>
      </c>
      <c r="CL94">
        <f>IF(AND($CJ94="",N($T94)&gt;0,ISNUMBER($S94)),1,0)</f>
        <v/>
      </c>
      <c r="CM94">
        <f>IF(OR($CK94=1,$CL94=1),1,0)</f>
        <v/>
      </c>
      <c r="CN94">
        <f>IF($C94="",0,($CK94*$R94+$CL94*$U94)*N($H94))</f>
        <v/>
      </c>
      <c r="CO94">
        <f>IF($C94="","",IF($CC94="","入庫後は 14日以上もつ",IF($CC94-N('設定'!$C$7)&lt;='設定'!$C$6,"入庫後も "&amp;TEXT($CC94,"m/d")&amp;"("&amp;CHOOSE(WEEKDAY($CC94),"日","月","火","水","木","金","土")&amp;")"&amp;" に切れる　もう1便を至急発注","入庫後も "&amp;TEXT($CC94,"m/d")&amp;"("&amp;CHOOSE(WEEKDAY($CC94),"日","月","火","水","木","金","土")&amp;")"&amp;" に切れる　"&amp;TEXT($CC94-N('設定'!$C$7),"m/d")&amp;"("&amp;CHOOSE(WEEKDAY($CC94-N('設定'!$C$7)),"日","月","火","水","木","金","土")&amp;")"&amp;" までに次を発注")))</f>
        <v/>
      </c>
      <c r="CP94">
        <f>IF($C94="","",IF('設定'!$C$6="","？ ①在庫を貼る に今日のCSVが貼られていない",IF($CS94=1,"－ 今日のCSVに無い（終売？）",IF($L94&lt;0,"● 在庫がマイナス　数えて「数えた在庫」に入れる",IF($L94=0,"● 在庫なし　至急発注",IF($M94="","？ 減り数が未設定（商品マスタ）",IF($B$3=0,"？ 動員が未入力（動員を入れる）",IF($CA94="","○ 14日以上もつ",IF($BZ94&lt;N('設定'!$C$7),"● "&amp;TEXT($CA94,"m/d")&amp;"("&amp;CHOOSE(WEEKDAY($CA94),"日","月","火","水","木","金","土")&amp;")"&amp;" に切れる　至急発注",IF($BZ94=N('設定'!$C$7),"● "&amp;TEXT($CA94,"m/d")&amp;"("&amp;CHOOSE(WEEKDAY($CA94),"日","月","火","水","木","金","土")&amp;")"&amp;" に切れる　今日発注","△ "&amp;TEXT($CA94,"m/d")&amp;"("&amp;CHOOSE(WEEKDAY($CA94),"日","月","火","水","木","金","土")&amp;")"&amp;" に切れる　"&amp;TEXT($CA94-N('設定'!$C$7),"m/d")&amp;"("&amp;CHOOSE(WEEKDAY($CA94-N('設定'!$C$7)),"日","月","火","水","木","金","土")&amp;")"&amp;" までに発注"))))))))))</f>
        <v/>
      </c>
      <c r="CQ94">
        <f>IF($C94="","",IF(AND($P94="",$Q94="",$S94="",$T94=""),"",IF(AND($P94="",$Q94=""),"⚠ 先に1便目（左の入庫日・入庫数）に入れてください",IF($CI94&lt;&gt;"",$CI94,IF($CJ94&lt;&gt;"",$CJ94,IF($M94="","？ 減り数が未設定（発注書には載ります）",IF($B$3=0,"？ 動員が未入力（発注書には載ります）",IF(AND($CA94&lt;&gt;"",$P94&gt;$CA94),IF($P94&gt;'設定'!$C$6+N('設定'!$C$7),"● "&amp;TEXT($P94,"m/d")&amp;"("&amp;CHOOSE(WEEKDAY($P94),"日","月","火","水","木","金","土")&amp;")"&amp;" の入庫では間に合わない（"&amp;TEXT($CA94,"m/d")&amp;"("&amp;CHOOSE(WEEKDAY($CA94),"日","月","火","水","木","金","土")&amp;")"&amp;" に切れる）　入庫日を早める","△ 欠品 "&amp;TEXT($CA94,"m/d")&amp;"("&amp;CHOOSE(WEEKDAY($CA94),"日","月","火","水","木","金","土")&amp;")"&amp;"〜"&amp;TEXT($P94-1,"m/d")&amp;"("&amp;CHOOSE(WEEKDAY($P94-1),"日","月","火","水","木","金","土")&amp;")"&amp;"　"&amp;$CO94),IF($CC94="","○ "&amp;TEXT($P94,"m/d")&amp;"("&amp;CHOOSE(WEEKDAY($P94),"日","月","火","水","木","金","土")&amp;")"&amp;" 入庫で 14日以上もつ",IF($CC94-N('設定'!$C$7)&lt;='設定'!$C$6,"● 入庫しても "&amp;TEXT($CC94,"m/d")&amp;"("&amp;CHOOSE(WEEKDAY($CC94),"日","月","火","水","木","金","土")&amp;")"&amp;" に切れる　もう1便を至急発注（2便目に入れる）","△ 入庫しても "&amp;TEXT($CC94,"m/d")&amp;"("&amp;CHOOSE(WEEKDAY($CC94),"日","月","火","水","木","金","土")&amp;")"&amp;" に切れる　"&amp;TEXT($CC94-N('設定'!$C$7),"m/d")&amp;"("&amp;CHOOSE(WEEKDAY($CC94-N('設定'!$C$7)),"日","月","火","水","木","金","土")&amp;")"&amp;" までに次を発注（2便目に入れる）"))))))))))</f>
        <v/>
      </c>
      <c r="CR94">
        <f>IF($C94="","",IF($G94&gt;1,"ｹｰｽ("&amp;$G94&amp;"入)","個"))</f>
        <v/>
      </c>
      <c r="CS94">
        <f>IF($C94="",0,IF(COUNTIFS('①在庫を貼る'!$V$6:$V$10005,'設定'!$C$4,'①在庫を貼る'!$W$6:$W$10005,$C94)=0,1,0))</f>
        <v/>
      </c>
      <c r="CT94">
        <f>IF(AND($CK94=1,OR('③発注書'!$C$4="すべて",'③発注書'!$C$4="",$F94='③発注書'!$C$4)),N($CT93)+1,N($CT93))</f>
        <v/>
      </c>
      <c r="CU94">
        <f>IF(AND($CL94=1,OR('③発注書'!$C$4="すべて",'③発注書'!$C$4="",$F94='③発注書'!$C$4)),N($CU93)+1,N($CU93))</f>
        <v/>
      </c>
      <c r="CV94">
        <f>IF($C94="",0,IF(COUNTIFS('①在庫を貼る'!$V$6:$V$10005,'設定'!$C$4,'①在庫を貼る'!$W$6:$W$10005,$C94)&gt;0,1,0))</f>
        <v/>
      </c>
      <c r="CW94">
        <f>IF($C94="",0,IF(COUNTIFS('月1回_1ヶ月前の在庫'!$V$6:$V$10005,'設定'!$C$4,'月1回_1ヶ月前の在庫'!$W$6:$W$10005,$C94)&gt;0,1,0))</f>
        <v/>
      </c>
      <c r="CX94">
        <f>IF($C94="",0,IF(COUNTIFS('月1回_2ヶ月前の在庫'!$V$6:$V$10005,'設定'!$C$4,'月1回_2ヶ月前の在庫'!$W$6:$W$10005,$C94)&gt;0,1,0))</f>
        <v/>
      </c>
      <c r="CY94">
        <f>IF(OR($C94="",'設定'!$C$12=""),"",IF('設定'!$C$13="",IF(AND($CV94=1,$CW94=0),"新商品（今月から）",IF(AND($CV94=0,$CW94=1),"終売（今月から）","")),IF(AND($CV94=1,$CW94=0,$CX94=0),"新商品（今月から）",IF(AND($CV94=1,$CW94=1,$CX94=0),"新商品（先月から）",IF(AND($CV94=0,$CW94=1,$CX94=1),"終売（今月から）",IF(AND($CV94=0,$CW94=0,$CX94=1),"終売（先月から）",IF(AND($CV94=1,$CW94=0,$CX94=1),"復活（先月は無し）","")))))))</f>
        <v/>
      </c>
    </row>
    <row r="95">
      <c r="B95">
        <f>IF(90&lt;='設定'!$C$11,90,"")</f>
        <v/>
      </c>
      <c r="C95">
        <f>IF($B95="","",IF($B95&lt;='設定'!$C$20,INDEX('商品マスタ'!$B$6:$B$1005,MATCH($B95,'商品マスタ'!$M$6:$M$1005,0)),IF($B95&lt;='設定'!$C$20+'設定'!$C$17,INDEX('①在庫を貼る'!$W$6:$W$10005,MATCH($B95-'設定'!$C$20,'①在庫を貼る'!$U$6:$U$10005,0)),IF($B95&lt;='設定'!$C$20+'設定'!$C$17+'設定'!$C$18,INDEX('月1回_1ヶ月前の在庫'!$W$6:$W$10005,MATCH($B95-'設定'!$C$20-'設定'!$C$17,'月1回_1ヶ月前の在庫'!$U$6:$U$10005,0)),INDEX('月1回_2ヶ月前の在庫'!$W$6:$W$10005,MATCH($B95-'設定'!$C$20-'設定'!$C$17-'設定'!$C$18,'月1回_2ヶ月前の在庫'!$U$6:$U$10005,0))))))</f>
        <v/>
      </c>
      <c r="D95">
        <f>IF($C95="","",IFERROR(IF(INDEX('商品マスタ'!$C$6:$C$1005,MATCH($C95,'商品マスタ'!$B$6:$B$1005,0))="",IFERROR(INDEX('①在庫を貼る'!$J$6:$J$10005,MATCH($C95,'①在庫を貼る'!$W$6:$W$10005,0)),IFERROR(INDEX('月1回_1ヶ月前の在庫'!$J$6:$J$10005,MATCH($C95,'月1回_1ヶ月前の在庫'!$W$6:$W$10005,0)),IFERROR(INDEX('月1回_2ヶ月前の在庫'!$J$6:$J$10005,MATCH($C95,'月1回_2ヶ月前の在庫'!$W$6:$W$10005,0)),""))),INDEX('商品マスタ'!$C$6:$C$1005,MATCH($C95,'商品マスタ'!$B$6:$B$1005,0))),IFERROR(INDEX('①在庫を貼る'!$J$6:$J$10005,MATCH($C95,'①在庫を貼る'!$W$6:$W$10005,0)),IFERROR(INDEX('月1回_1ヶ月前の在庫'!$J$6:$J$10005,MATCH($C95,'月1回_1ヶ月前の在庫'!$W$6:$W$10005,0)),IFERROR(INDEX('月1回_2ヶ月前の在庫'!$J$6:$J$10005,MATCH($C95,'月1回_2ヶ月前の在庫'!$W$6:$W$10005,0)),"")))))</f>
        <v/>
      </c>
      <c r="E95">
        <f>IF($C95="","",IFERROR(IF(INDEX('商品マスタ'!$D$6:$D$1005,MATCH($C95,'商品マスタ'!$B$6:$B$1005,0))="",IFERROR(INDEX('①在庫を貼る'!$H$6:$H$10005,MATCH($C95,'①在庫を貼る'!$W$6:$W$10005,0)),IFERROR(INDEX('月1回_1ヶ月前の在庫'!$H$6:$H$10005,MATCH($C95,'月1回_1ヶ月前の在庫'!$W$6:$W$10005,0)),IFERROR(INDEX('月1回_2ヶ月前の在庫'!$H$6:$H$10005,MATCH($C95,'月1回_2ヶ月前の在庫'!$W$6:$W$10005,0)),""))),INDEX('商品マスタ'!$D$6:$D$1005,MATCH($C95,'商品マスタ'!$B$6:$B$1005,0))),IFERROR(INDEX('①在庫を貼る'!$H$6:$H$10005,MATCH($C95,'①在庫を貼る'!$W$6:$W$10005,0)),IFERROR(INDEX('月1回_1ヶ月前の在庫'!$H$6:$H$10005,MATCH($C95,'月1回_1ヶ月前の在庫'!$W$6:$W$10005,0)),IFERROR(INDEX('月1回_2ヶ月前の在庫'!$H$6:$H$10005,MATCH($C95,'月1回_2ヶ月前の在庫'!$W$6:$W$10005,0)),"")))))</f>
        <v/>
      </c>
      <c r="F95">
        <f>IF($C95="","",IFERROR(IF(INDEX('商品マスタ'!$E$6:$E$1005,MATCH($C95,'商品マスタ'!$B$6:$B$1005,0))="",IFERROR(INDEX('①在庫を貼る'!$E$6:$E$10005,MATCH($C95,'①在庫を貼る'!$W$6:$W$10005,0)),IFERROR(INDEX('月1回_1ヶ月前の在庫'!$E$6:$E$10005,MATCH($C95,'月1回_1ヶ月前の在庫'!$W$6:$W$10005,0)),IFERROR(INDEX('月1回_2ヶ月前の在庫'!$E$6:$E$10005,MATCH($C95,'月1回_2ヶ月前の在庫'!$W$6:$W$10005,0)),""))),INDEX('商品マスタ'!$E$6:$E$1005,MATCH($C95,'商品マスタ'!$B$6:$B$1005,0))),IFERROR(INDEX('①在庫を貼る'!$E$6:$E$10005,MATCH($C95,'①在庫を貼る'!$W$6:$W$10005,0)),IFERROR(INDEX('月1回_1ヶ月前の在庫'!$E$6:$E$10005,MATCH($C95,'月1回_1ヶ月前の在庫'!$W$6:$W$10005,0)),IFERROR(INDEX('月1回_2ヶ月前の在庫'!$E$6:$E$10005,MATCH($C95,'月1回_2ヶ月前の在庫'!$W$6:$W$10005,0)),"")))))</f>
        <v/>
      </c>
      <c r="G95">
        <f>IF($C95="","",MAX(1,N(IFERROR(IF(INDEX('商品マスタ'!$F$6:$F$1005,MATCH($C95,'商品マスタ'!$B$6:$B$1005,0))="",IF(COUNTIFS('①在庫を貼る'!$V$6:$V$10005,'設定'!$C$4,'①在庫を貼る'!$W$6:$W$10005,$C95)&gt;0,SUMIFS('①在庫を貼る'!$K$6:$K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K$6:$K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K$6:$K$10005,'月1回_2ヶ月前の在庫'!$V$6:$V$10005,'設定'!$C$4,'月1回_2ヶ月前の在庫'!$W$6:$W$10005,$C95)/COUNTIFS('月1回_2ヶ月前の在庫'!$V$6:$V$10005,'設定'!$C$4,'月1回_2ヶ月前の在庫'!$W$6:$W$10005,$C95),0))),INDEX('商品マスタ'!$F$6:$F$1005,MATCH($C95,'商品マスタ'!$B$6:$B$1005,0))),IF(COUNTIFS('①在庫を貼る'!$V$6:$V$10005,'設定'!$C$4,'①在庫を貼る'!$W$6:$W$10005,$C95)&gt;0,SUMIFS('①在庫を貼る'!$K$6:$K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K$6:$K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K$6:$K$10005,'月1回_2ヶ月前の在庫'!$V$6:$V$10005,'設定'!$C$4,'月1回_2ヶ月前の在庫'!$W$6:$W$10005,$C95)/COUNTIFS('月1回_2ヶ月前の在庫'!$V$6:$V$10005,'設定'!$C$4,'月1回_2ヶ月前の在庫'!$W$6:$W$10005,$C95),0)))))))</f>
        <v/>
      </c>
      <c r="H95">
        <f>IF($C95="","",N(IFERROR(IF(INDEX('商品マスタ'!$G$6:$G$1005,MATCH($C95,'商品マスタ'!$B$6:$B$1005,0))="",IF(COUNTIFS('①在庫を貼る'!$V$6:$V$10005,'設定'!$C$4,'①在庫を貼る'!$W$6:$W$10005,$C95)&gt;0,SUMIFS('①在庫を貼る'!$Q$6:$Q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Q$6:$Q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Q$6:$Q$10005,'月1回_2ヶ月前の在庫'!$V$6:$V$10005,'設定'!$C$4,'月1回_2ヶ月前の在庫'!$W$6:$W$10005,$C95)/COUNTIFS('月1回_2ヶ月前の在庫'!$V$6:$V$10005,'設定'!$C$4,'月1回_2ヶ月前の在庫'!$W$6:$W$10005,$C95),0))),INDEX('商品マスタ'!$G$6:$G$1005,MATCH($C95,'商品マスタ'!$B$6:$B$1005,0))),IF(COUNTIFS('①在庫を貼る'!$V$6:$V$10005,'設定'!$C$4,'①在庫を貼る'!$W$6:$W$10005,$C95)&gt;0,SUMIFS('①在庫を貼る'!$Q$6:$Q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Q$6:$Q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Q$6:$Q$10005,'月1回_2ヶ月前の在庫'!$V$6:$V$10005,'設定'!$C$4,'月1回_2ヶ月前の在庫'!$W$6:$W$10005,$C95)/COUNTIFS('月1回_2ヶ月前の在庫'!$V$6:$V$10005,'設定'!$C$4,'月1回_2ヶ月前の在庫'!$W$6:$W$10005,$C95),0))))))</f>
        <v/>
      </c>
      <c r="I95">
        <f>IF($C95="","",IF(COUNTIFS('①在庫を貼る'!$V$6:$V$10005,'設定'!$C$4,'①在庫を貼る'!$W$6:$W$10005,$C95)=0,"",SUMIFS('①在庫を貼る'!$N$6:$N$10005,'①在庫を貼る'!$V$6:$V$10005,'設定'!$C$4,'①在庫を貼る'!$W$6:$W$10005,$C95)))</f>
        <v/>
      </c>
      <c r="J95">
        <f>IF($C95="","",IF('②発注する'!$AD99="","",'②発注する'!$AD99))</f>
        <v/>
      </c>
      <c r="K95" s="90">
        <f>IF($C95="","",IF('②発注する'!$AE99="","",'②発注する'!$AE99))</f>
        <v/>
      </c>
      <c r="L95">
        <f>IF($C95="","",IF(AND(ISNUMBER($J95),ISNUMBER($K95),$K95&gt;='設定'!$C$6),$J95,N($I95)))</f>
        <v/>
      </c>
      <c r="M95">
        <f>IF($C95="","",IFERROR(IF(N(INDEX('商品マスタ'!$J$6:$J$1005,MATCH($C95,'商品マスタ'!$B$6:$B$1005,0)))&gt;0,INDEX('商品マスタ'!$J$6:$J$1005,MATCH($C95,'商品マスタ'!$B$6:$B$1005,0)),""),""))</f>
        <v/>
      </c>
      <c r="N95">
        <f>IF($C95="","",IFERROR(IF(N(INDEX('商品マスタ'!$H$6:$H$1005,MATCH($C95,'商品マスタ'!$B$6:$B$1005,0)))&gt;0,INDEX('商品マスタ'!$H$6:$H$1005,MATCH($C95,'商品マスタ'!$B$6:$B$1005,0)),""),""))</f>
        <v/>
      </c>
      <c r="O95">
        <f>IF($C95="","",IF($N95&lt;&gt;"",$N95*$G95,IF(N(IF(COUNTIFS('①在庫を貼る'!$V$6:$V$10005,'設定'!$C$4,'①在庫を貼る'!$W$6:$W$10005,$C95)&gt;0,SUMIFS('①在庫を貼る'!$O$6:$O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O$6:$O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O$6:$O$10005,'月1回_2ヶ月前の在庫'!$V$6:$V$10005,'設定'!$C$4,'月1回_2ヶ月前の在庫'!$W$6:$W$10005,$C95)/COUNTIFS('月1回_2ヶ月前の在庫'!$V$6:$V$10005,'設定'!$C$4,'月1回_2ヶ月前の在庫'!$W$6:$W$10005,$C95),0))))&gt;0,N(IF(COUNTIFS('①在庫を貼る'!$V$6:$V$10005,'設定'!$C$4,'①在庫を貼る'!$W$6:$W$10005,$C95)&gt;0,SUMIFS('①在庫を貼る'!$O$6:$O$10005,'①在庫を貼る'!$V$6:$V$10005,'設定'!$C$4,'①在庫を貼る'!$W$6:$W$10005,$C95)/COUNTIFS('①在庫を貼る'!$V$6:$V$10005,'設定'!$C$4,'①在庫を貼る'!$W$6:$W$10005,$C95),IF(COUNTIFS('月1回_1ヶ月前の在庫'!$V$6:$V$10005,'設定'!$C$4,'月1回_1ヶ月前の在庫'!$W$6:$W$10005,$C95)&gt;0,SUMIFS('月1回_1ヶ月前の在庫'!$O$6:$O$10005,'月1回_1ヶ月前の在庫'!$V$6:$V$10005,'設定'!$C$4,'月1回_1ヶ月前の在庫'!$W$6:$W$10005,$C95)/COUNTIFS('月1回_1ヶ月前の在庫'!$V$6:$V$10005,'設定'!$C$4,'月1回_1ヶ月前の在庫'!$W$6:$W$10005,$C95),IF(COUNTIFS('月1回_2ヶ月前の在庫'!$V$6:$V$10005,'設定'!$C$4,'月1回_2ヶ月前の在庫'!$W$6:$W$10005,$C95)&gt;0,SUMIFS('月1回_2ヶ月前の在庫'!$O$6:$O$10005,'月1回_2ヶ月前の在庫'!$V$6:$V$10005,'設定'!$C$4,'月1回_2ヶ月前の在庫'!$W$6:$W$10005,$C95)/COUNTIFS('月1回_2ヶ月前の在庫'!$V$6:$V$10005,'設定'!$C$4,'月1回_2ヶ月前の在庫'!$W$6:$W$10005,$C95),0)))),"")))</f>
        <v/>
      </c>
      <c r="P95" s="90">
        <f>IF($C95="","",IF('②発注する'!$I99="","",'②発注する'!$I99))</f>
        <v/>
      </c>
      <c r="Q95">
        <f>IF($C95="","",IF('②発注する'!$J99="","",'②発注する'!$J99))</f>
        <v/>
      </c>
      <c r="R95">
        <f>IF($C95="",0,IF(AND(ISNUMBER($P95),ISNUMBER($Q95)),MAX(0,$Q95)*$G95,0))</f>
        <v/>
      </c>
      <c r="S95" s="90">
        <f>IF($C95="","",IF('②発注する'!$M99="","",'②発注する'!$M99))</f>
        <v/>
      </c>
      <c r="T95">
        <f>IF($C95="","",IF('②発注する'!$N99="","",'②発注する'!$N99))</f>
        <v/>
      </c>
      <c r="U95">
        <f>IF($C95="",0,IF(AND(ISNUMBER($S95),ISNUMBER($T95)),MAX(0,$T95)*$G95,0))</f>
        <v/>
      </c>
      <c r="V95">
        <f>IF($C95="",0,IF($M95="",0,MAX(0,$M95)*MAX(0,V$4)/100))</f>
        <v/>
      </c>
      <c r="W95">
        <f>IF($C95="",0,IF($M95="",0,MAX(0,$M95)*MAX(0,W$4)/100))</f>
        <v/>
      </c>
      <c r="X95">
        <f>IF($C95="",0,IF($M95="",0,MAX(0,$M95)*MAX(0,X$4)/100))</f>
        <v/>
      </c>
      <c r="Y95">
        <f>IF($C95="",0,IF($M95="",0,MAX(0,$M95)*MAX(0,Y$4)/100))</f>
        <v/>
      </c>
      <c r="Z95">
        <f>IF($C95="",0,IF($M95="",0,MAX(0,$M95)*MAX(0,Z$4)/100))</f>
        <v/>
      </c>
      <c r="AA95">
        <f>IF($C95="",0,IF($M95="",0,MAX(0,$M95)*MAX(0,AA$4)/100))</f>
        <v/>
      </c>
      <c r="AB95">
        <f>IF($C95="",0,IF($M95="",0,MAX(0,$M95)*MAX(0,AB$4)/100))</f>
        <v/>
      </c>
      <c r="AC95">
        <f>IF($C95="",0,IF($M95="",0,MAX(0,$M95)*MAX(0,AC$4)/100))</f>
        <v/>
      </c>
      <c r="AD95">
        <f>IF($C95="",0,IF($M95="",0,MAX(0,$M95)*MAX(0,AD$4)/100))</f>
        <v/>
      </c>
      <c r="AE95">
        <f>IF($C95="",0,IF($M95="",0,MAX(0,$M95)*MAX(0,AE$4)/100))</f>
        <v/>
      </c>
      <c r="AF95">
        <f>IF($C95="",0,IF($M95="",0,MAX(0,$M95)*MAX(0,AF$4)/100))</f>
        <v/>
      </c>
      <c r="AG95">
        <f>IF($C95="",0,IF($M95="",0,MAX(0,$M95)*MAX(0,AG$4)/100))</f>
        <v/>
      </c>
      <c r="AH95">
        <f>IF($C95="",0,IF($M95="",0,MAX(0,$M95)*MAX(0,AH$4)/100))</f>
        <v/>
      </c>
      <c r="AI95">
        <f>IF($C95="",0,IF($M95="",0,MAX(0,$M95)*MAX(0,AI$4)/100))</f>
        <v/>
      </c>
      <c r="AJ95">
        <f>IF($C95="",0,MAX(0,MAX(0,N($L95))-$V95))</f>
        <v/>
      </c>
      <c r="AK95">
        <f>IF($C95="",0,MAX(0,$AJ95-$W95))</f>
        <v/>
      </c>
      <c r="AL95">
        <f>IF($C95="",0,MAX(0,$AK95-$X95))</f>
        <v/>
      </c>
      <c r="AM95">
        <f>IF($C95="",0,MAX(0,$AL95-$Y95))</f>
        <v/>
      </c>
      <c r="AN95">
        <f>IF($C95="",0,MAX(0,$AM95-$Z95))</f>
        <v/>
      </c>
      <c r="AO95">
        <f>IF($C95="",0,MAX(0,$AN95-$AA95))</f>
        <v/>
      </c>
      <c r="AP95">
        <f>IF($C95="",0,MAX(0,$AO95-$AB95))</f>
        <v/>
      </c>
      <c r="AQ95">
        <f>IF($C95="",0,MAX(0,$AP95-$AC95))</f>
        <v/>
      </c>
      <c r="AR95">
        <f>IF($C95="",0,MAX(0,$AQ95-$AD95))</f>
        <v/>
      </c>
      <c r="AS95">
        <f>IF($C95="",0,MAX(0,$AR95-$AE95))</f>
        <v/>
      </c>
      <c r="AT95">
        <f>IF($C95="",0,MAX(0,$AS95-$AF95))</f>
        <v/>
      </c>
      <c r="AU95">
        <f>IF($C95="",0,MAX(0,$AT95-$AG95))</f>
        <v/>
      </c>
      <c r="AV95">
        <f>IF($C95="",0,MAX(0,$AU95-$AH95))</f>
        <v/>
      </c>
      <c r="AW95">
        <f>IF($C95="",0,MAX(0,$AV95-$AI95))</f>
        <v/>
      </c>
      <c r="AX95">
        <f>IF($C95="",0,MAX(0,MAX(0,N($L95))+IF($P95=V$3,$R95,0)+IF($S95=V$3,$U95,0)-$V95))</f>
        <v/>
      </c>
      <c r="AY95">
        <f>IF($C95="",0,MAX(0,$AX95+IF($P95=W$3,$R95,0)+IF($S95=W$3,$U95,0)-$W95))</f>
        <v/>
      </c>
      <c r="AZ95">
        <f>IF($C95="",0,MAX(0,$AY95+IF($P95=X$3,$R95,0)+IF($S95=X$3,$U95,0)-$X95))</f>
        <v/>
      </c>
      <c r="BA95">
        <f>IF($C95="",0,MAX(0,$AZ95+IF($P95=Y$3,$R95,0)+IF($S95=Y$3,$U95,0)-$Y95))</f>
        <v/>
      </c>
      <c r="BB95">
        <f>IF($C95="",0,MAX(0,$BA95+IF($P95=Z$3,$R95,0)+IF($S95=Z$3,$U95,0)-$Z95))</f>
        <v/>
      </c>
      <c r="BC95">
        <f>IF($C95="",0,MAX(0,$BB95+IF($P95=AA$3,$R95,0)+IF($S95=AA$3,$U95,0)-$AA95))</f>
        <v/>
      </c>
      <c r="BD95">
        <f>IF($C95="",0,MAX(0,$BC95+IF($P95=AB$3,$R95,0)+IF($S95=AB$3,$U95,0)-$AB95))</f>
        <v/>
      </c>
      <c r="BE95">
        <f>IF($C95="",0,MAX(0,$BD95+IF($P95=AC$3,$R95,0)+IF($S95=AC$3,$U95,0)-$AC95))</f>
        <v/>
      </c>
      <c r="BF95">
        <f>IF($C95="",0,MAX(0,$BE95+IF($P95=AD$3,$R95,0)+IF($S95=AD$3,$U95,0)-$AD95))</f>
        <v/>
      </c>
      <c r="BG95">
        <f>IF($C95="",0,MAX(0,$BF95+IF($P95=AE$3,$R95,0)+IF($S95=AE$3,$U95,0)-$AE95))</f>
        <v/>
      </c>
      <c r="BH95">
        <f>IF($C95="",0,MAX(0,$BG95+IF($P95=AF$3,$R95,0)+IF($S95=AF$3,$U95,0)-$AF95))</f>
        <v/>
      </c>
      <c r="BI95">
        <f>IF($C95="",0,MAX(0,$BH95+IF($P95=AG$3,$R95,0)+IF($S95=AG$3,$U95,0)-$AG95))</f>
        <v/>
      </c>
      <c r="BJ95">
        <f>IF($C95="",0,MAX(0,$BI95+IF($P95=AH$3,$R95,0)+IF($S95=AH$3,$U95,0)-$AH95))</f>
        <v/>
      </c>
      <c r="BK95">
        <f>IF($C95="",0,MAX(0,$BJ95+IF($P95=AI$3,$R95,0)+IF($S95=AI$3,$U95,0)-$AI95))</f>
        <v/>
      </c>
      <c r="BL95">
        <f>IF($C95="",99,IF(AND($AX95&lt;1,V$3&gt;=MAX(N($P95),N($S95))),0,99))</f>
        <v/>
      </c>
      <c r="BM95">
        <f>IF($C95="",99,IF(AND($AY95&lt;1,W$3&gt;=MAX(N($P95),N($S95))),1,99))</f>
        <v/>
      </c>
      <c r="BN95">
        <f>IF($C95="",99,IF(AND($AZ95&lt;1,X$3&gt;=MAX(N($P95),N($S95))),2,99))</f>
        <v/>
      </c>
      <c r="BO95">
        <f>IF($C95="",99,IF(AND($BA95&lt;1,Y$3&gt;=MAX(N($P95),N($S95))),3,99))</f>
        <v/>
      </c>
      <c r="BP95">
        <f>IF($C95="",99,IF(AND($BB95&lt;1,Z$3&gt;=MAX(N($P95),N($S95))),4,99))</f>
        <v/>
      </c>
      <c r="BQ95">
        <f>IF($C95="",99,IF(AND($BC95&lt;1,AA$3&gt;=MAX(N($P95),N($S95))),5,99))</f>
        <v/>
      </c>
      <c r="BR95">
        <f>IF($C95="",99,IF(AND($BD95&lt;1,AB$3&gt;=MAX(N($P95),N($S95))),6,99))</f>
        <v/>
      </c>
      <c r="BS95">
        <f>IF($C95="",99,IF(AND($BE95&lt;1,AC$3&gt;=MAX(N($P95),N($S95))),7,99))</f>
        <v/>
      </c>
      <c r="BT95">
        <f>IF($C95="",99,IF(AND($BF95&lt;1,AD$3&gt;=MAX(N($P95),N($S95))),8,99))</f>
        <v/>
      </c>
      <c r="BU95">
        <f>IF($C95="",99,IF(AND($BG95&lt;1,AE$3&gt;=MAX(N($P95),N($S95))),9,99))</f>
        <v/>
      </c>
      <c r="BV95">
        <f>IF($C95="",99,IF(AND($BH95&lt;1,AF$3&gt;=MAX(N($P95),N($S95))),10,99))</f>
        <v/>
      </c>
      <c r="BW95">
        <f>IF($C95="",99,IF(AND($BI95&lt;1,AG$3&gt;=MAX(N($P95),N($S95))),11,99))</f>
        <v/>
      </c>
      <c r="BX95">
        <f>IF($C95="",99,IF(AND($BJ95&lt;1,AH$3&gt;=MAX(N($P95),N($S95))),12,99))</f>
        <v/>
      </c>
      <c r="BY95">
        <f>IF($C95="",99,IF(AND($BK95&lt;1,AI$3&gt;=MAX(N($P95),N($S95))),13,99))</f>
        <v/>
      </c>
      <c r="BZ95">
        <f>IF(OR($C95="",$M95=""),"",COUNTIF($AJ95:$AW95,"&gt;=1"))</f>
        <v/>
      </c>
      <c r="CA95" s="90">
        <f>IF($BZ95="","",IF($BZ95&gt;=14,"",'設定'!$C$6+$BZ95))</f>
        <v/>
      </c>
      <c r="CB95">
        <f>IF(OR($C95="",$M95=""),"",MIN($BL95:$BY95))</f>
        <v/>
      </c>
      <c r="CC95" s="90">
        <f>IF($CB95="","",IF($CB95&gt;=99,"",'設定'!$C$6+$CB95))</f>
        <v/>
      </c>
      <c r="CD95">
        <f>IF(OR($C95="",$M95=""),"",AVERAGE($V95:$AI95))</f>
        <v/>
      </c>
      <c r="CE95">
        <f>IF($C95="","",IFERROR(IF(MATCH(IF(ISNUMBER($P95),$P95,'設定'!$C$6+N('設定'!$C$7)),$V$3:$AI$3,0)=1,MAX(0,N($L95)),INDEX($AJ95:$AW95,MATCH(IF(ISNUMBER($P95),$P95,'設定'!$C$6+N('設定'!$C$7)),$V$3:$AI$3,0)-1)),""))</f>
        <v/>
      </c>
      <c r="CF95">
        <f>IF(OR($C95="",$O95="",$CE95=""),"",IF($O95-$CE95&lt;=0,0,ROUNDUP(($O95-$CE95)/$G95,0)))</f>
        <v/>
      </c>
      <c r="CG95">
        <f>IF(OR($C95="",$CF95="",NOT(ISNUMBER($Q95))),0,MAX(0,$Q95-$CF95))</f>
        <v/>
      </c>
      <c r="CH95">
        <f>IF(OR($C95="",$O95="",$U95=0),0,IFERROR(ROUNDUP(MAX(0,IF(MATCH($S95,$V$3:$AI$3,0)=1,MAX(0,N($L95)),INDEX($AX95:$BK95,MATCH($S95,$V$3:$AI$3,0)-1))+$U95-$O95)/$G95,0),0))</f>
        <v/>
      </c>
      <c r="CI95">
        <f>IF($C95="","",IF(AND($P95="",$Q95=""),"",IF($P95="","⚠ 入庫日を ▼ から選んでください",IF(NOT(ISNUMBER($P95)),"⚠ 入庫日は ▼ から選んでください",IF($P95&lt;N('設定'!$C$6),"⚠ 入庫日が過去です（もう在庫に入っています）→ 消してください",IF($P95&gt;N('設定'!$C$6)+13,"⚠ 入庫日が14日より先です",IF(N($Q95)&lt;=0,"⚠ 入庫数を入れてください",IF($CG95&gt;0,"⚠ 目安より "&amp;$CG95&amp;" 多い（定数を超える）→ 減らす",""))))))))</f>
        <v/>
      </c>
      <c r="CJ95">
        <f>IF($C95="","",IF(AND($S95="",$T95=""),"",IF($S95="","⚠ 2便目：入庫日を ▼ から選んでください",IF(NOT(ISNUMBER($S95)),"⚠ 2便目：入庫日は ▼ から選んでください",IF($S95&lt;N('設定'!$C$6),"⚠ 2便目：入庫日が過去です（もう在庫に入っています）→ 消してください",IF($S95&gt;N('設定'!$C$6)+13,"⚠ 2便目：入庫日が14日より先です",IF(N($T95)&lt;=0,"⚠ 2便目：入庫数を入れてください",IF($CH95&gt;0,"⚠ 2便目：定数を "&amp;$CH95&amp;" ケース超える → 減らす",""))))))))</f>
        <v/>
      </c>
      <c r="CK95">
        <f>IF(AND($CI95="",N($Q95)&gt;0,ISNUMBER($P95)),1,0)</f>
        <v/>
      </c>
      <c r="CL95">
        <f>IF(AND($CJ95="",N($T95)&gt;0,ISNUMBER($S95)),1,0)</f>
        <v/>
      </c>
      <c r="CM95">
        <f>IF(OR($CK95=1,$CL95=1),1,0)</f>
        <v/>
      </c>
      <c r="CN95">
        <f>IF($C95="",0,($CK95*$R95+$CL95*$U95)*N($H95))</f>
        <v/>
      </c>
      <c r="CO95">
        <f>IF($C95="","",IF($CC95="","入庫後は 14日以上もつ",IF($CC95-N('設定'!$C$7)&lt;='設定'!$C$6,"入庫後も "&amp;TEXT($CC95,"m/d")&amp;"("&amp;CHOOSE(WEEKDAY($CC95),"日","月","火","水","木","金","土")&amp;")"&amp;" に切れる　もう1便を至急発注","入庫後も "&amp;TEXT($CC95,"m/d")&amp;"("&amp;CHOOSE(WEEKDAY($CC95),"日","月","火","水","木","金","土")&amp;")"&amp;" に切れる　"&amp;TEXT($CC95-N('設定'!$C$7),"m/d")&amp;"("&amp;CHOOSE(WEEKDAY($CC95-N('設定'!$C$7)),"日","月","火","水","木","金","土")&amp;")"&amp;" までに次を発注")))</f>
        <v/>
      </c>
      <c r="CP95">
        <f>IF($C95="","",IF('設定'!$C$6="","？ ①在庫を貼る に今日のCSVが貼られていない",IF($CS95=1,"－ 今日のCSVに無い（終売？）",IF($L95&lt;0,"● 在庫がマイナス　数えて「数えた在庫」に入れる",IF($L95=0,"● 在庫なし　至急発注",IF($M95="","？ 減り数が未設定（商品マスタ）",IF($B$3=0,"？ 動員が未入力（動員を入れる）",IF($CA95="","○ 14日以上もつ",IF($BZ95&lt;N('設定'!$C$7),"● "&amp;TEXT($CA95,"m/d")&amp;"("&amp;CHOOSE(WEEKDAY($CA95),"日","月","火","水","木","金","土")&amp;")"&amp;" に切れる　至急発注",IF($BZ95=N('設定'!$C$7),"● "&amp;TEXT($CA95,"m/d")&amp;"("&amp;CHOOSE(WEEKDAY($CA95),"日","月","火","水","木","金","土")&amp;")"&amp;" に切れる　今日発注","△ "&amp;TEXT($CA95,"m/d")&amp;"("&amp;CHOOSE(WEEKDAY($CA95),"日","月","火","水","木","金","土")&amp;")"&amp;" に切れる　"&amp;TEXT($CA95-N('設定'!$C$7),"m/d")&amp;"("&amp;CHOOSE(WEEKDAY($CA95-N('設定'!$C$7)),"日","月","火","水","木","金","土")&amp;")"&amp;" までに発注"))))))))))</f>
        <v/>
      </c>
      <c r="CQ95">
        <f>IF($C95="","",IF(AND($P95="",$Q95="",$S95="",$T95=""),"",IF(AND($P95="",$Q95=""),"⚠ 先に1便目（左の入庫日・入庫数）に入れてください",IF($CI95&lt;&gt;"",$CI95,IF($CJ95&lt;&gt;"",$CJ95,IF($M95="","？ 減り数が未設定（発注書には載ります）",IF($B$3=0,"？ 動員が未入力（発注書には載ります）",IF(AND($CA95&lt;&gt;"",$P95&gt;$CA95),IF($P95&gt;'設定'!$C$6+N('設定'!$C$7),"● "&amp;TEXT($P95,"m/d")&amp;"("&amp;CHOOSE(WEEKDAY($P95),"日","月","火","水","木","金","土")&amp;")"&amp;" の入庫では間に合わない（"&amp;TEXT($CA95,"m/d")&amp;"("&amp;CHOOSE(WEEKDAY($CA95),"日","月","火","水","木","金","土")&amp;")"&amp;" に切れる）　入庫日を早める","△ 欠品 "&amp;TEXT($CA95,"m/d")&amp;"("&amp;CHOOSE(WEEKDAY($CA95),"日","月","火","水","木","金","土")&amp;")"&amp;"〜"&amp;TEXT($P95-1,"m/d")&amp;"("&amp;CHOOSE(WEEKDAY($P95-1),"日","月","火","水","木","金","土")&amp;")"&amp;"　"&amp;$CO95),IF($CC95="","○ "&amp;TEXT($P95,"m/d")&amp;"("&amp;CHOOSE(WEEKDAY($P95),"日","月","火","水","木","金","土")&amp;")"&amp;" 入庫で 14日以上もつ",IF($CC95-N('設定'!$C$7)&lt;='設定'!$C$6,"● 入庫しても "&amp;TEXT($CC95,"m/d")&amp;"("&amp;CHOOSE(WEEKDAY($CC95),"日","月","火","水","木","金","土")&amp;")"&amp;" に切れる　もう1便を至急発注（2便目に入れる）","△ 入庫しても "&amp;TEXT($CC95,"m/d")&amp;"("&amp;CHOOSE(WEEKDAY($CC95),"日","月","火","水","木","金","土")&amp;")"&amp;" に切れる　"&amp;TEXT($CC95-N('設定'!$C$7),"m/d")&amp;"("&amp;CHOOSE(WEEKDAY($CC95-N('設定'!$C$7)),"日","月","火","水","木","金","土")&amp;")"&amp;" までに次を発注（2便目に入れる）"))))))))))</f>
        <v/>
      </c>
      <c r="CR95">
        <f>IF($C95="","",IF($G95&gt;1,"ｹｰｽ("&amp;$G95&amp;"入)","個"))</f>
        <v/>
      </c>
      <c r="CS95">
        <f>IF($C95="",0,IF(COUNTIFS('①在庫を貼る'!$V$6:$V$10005,'設定'!$C$4,'①在庫を貼る'!$W$6:$W$10005,$C95)=0,1,0))</f>
        <v/>
      </c>
      <c r="CT95">
        <f>IF(AND($CK95=1,OR('③発注書'!$C$4="すべて",'③発注書'!$C$4="",$F95='③発注書'!$C$4)),N($CT94)+1,N($CT94))</f>
        <v/>
      </c>
      <c r="CU95">
        <f>IF(AND($CL95=1,OR('③発注書'!$C$4="すべて",'③発注書'!$C$4="",$F95='③発注書'!$C$4)),N($CU94)+1,N($CU94))</f>
        <v/>
      </c>
      <c r="CV95">
        <f>IF($C95="",0,IF(COUNTIFS('①在庫を貼る'!$V$6:$V$10005,'設定'!$C$4,'①在庫を貼る'!$W$6:$W$10005,$C95)&gt;0,1,0))</f>
        <v/>
      </c>
      <c r="CW95">
        <f>IF($C95="",0,IF(COUNTIFS('月1回_1ヶ月前の在庫'!$V$6:$V$10005,'設定'!$C$4,'月1回_1ヶ月前の在庫'!$W$6:$W$10005,$C95)&gt;0,1,0))</f>
        <v/>
      </c>
      <c r="CX95">
        <f>IF($C95="",0,IF(COUNTIFS('月1回_2ヶ月前の在庫'!$V$6:$V$10005,'設定'!$C$4,'月1回_2ヶ月前の在庫'!$W$6:$W$10005,$C95)&gt;0,1,0))</f>
        <v/>
      </c>
      <c r="CY95">
        <f>IF(OR($C95="",'設定'!$C$12=""),"",IF('設定'!$C$13="",IF(AND($CV95=1,$CW95=0),"新商品（今月から）",IF(AND($CV95=0,$CW95=1),"終売（今月から）","")),IF(AND($CV95=1,$CW95=0,$CX95=0),"新商品（今月から）",IF(AND($CV95=1,$CW95=1,$CX95=0),"新商品（先月から）",IF(AND($CV95=0,$CW95=1,$CX95=1),"終売（今月から）",IF(AND($CV95=0,$CW95=0,$CX95=1),"終売（先月から）",IF(AND($CV95=1,$CW95=0,$CX95=1),"復活（先月は無し）","")))))))</f>
        <v/>
      </c>
    </row>
    <row r="96">
      <c r="B96">
        <f>IF(91&lt;='設定'!$C$11,91,"")</f>
        <v/>
      </c>
      <c r="C96">
        <f>IF($B96="","",IF($B96&lt;='設定'!$C$20,INDEX('商品マスタ'!$B$6:$B$1005,MATCH($B96,'商品マスタ'!$M$6:$M$1005,0)),IF($B96&lt;='設定'!$C$20+'設定'!$C$17,INDEX('①在庫を貼る'!$W$6:$W$10005,MATCH($B96-'設定'!$C$20,'①在庫を貼る'!$U$6:$U$10005,0)),IF($B96&lt;='設定'!$C$20+'設定'!$C$17+'設定'!$C$18,INDEX('月1回_1ヶ月前の在庫'!$W$6:$W$10005,MATCH($B96-'設定'!$C$20-'設定'!$C$17,'月1回_1ヶ月前の在庫'!$U$6:$U$10005,0)),INDEX('月1回_2ヶ月前の在庫'!$W$6:$W$10005,MATCH($B96-'設定'!$C$20-'設定'!$C$17-'設定'!$C$18,'月1回_2ヶ月前の在庫'!$U$6:$U$10005,0))))))</f>
        <v/>
      </c>
      <c r="D96">
        <f>IF($C96="","",IFERROR(IF(INDEX('商品マスタ'!$C$6:$C$1005,MATCH($C96,'商品マスタ'!$B$6:$B$1005,0))="",IFERROR(INDEX('①在庫を貼る'!$J$6:$J$10005,MATCH($C96,'①在庫を貼る'!$W$6:$W$10005,0)),IFERROR(INDEX('月1回_1ヶ月前の在庫'!$J$6:$J$10005,MATCH($C96,'月1回_1ヶ月前の在庫'!$W$6:$W$10005,0)),IFERROR(INDEX('月1回_2ヶ月前の在庫'!$J$6:$J$10005,MATCH($C96,'月1回_2ヶ月前の在庫'!$W$6:$W$10005,0)),""))),INDEX('商品マスタ'!$C$6:$C$1005,MATCH($C96,'商品マスタ'!$B$6:$B$1005,0))),IFERROR(INDEX('①在庫を貼る'!$J$6:$J$10005,MATCH($C96,'①在庫を貼る'!$W$6:$W$10005,0)),IFERROR(INDEX('月1回_1ヶ月前の在庫'!$J$6:$J$10005,MATCH($C96,'月1回_1ヶ月前の在庫'!$W$6:$W$10005,0)),IFERROR(INDEX('月1回_2ヶ月前の在庫'!$J$6:$J$10005,MATCH($C96,'月1回_2ヶ月前の在庫'!$W$6:$W$10005,0)),"")))))</f>
        <v/>
      </c>
      <c r="E96">
        <f>IF($C96="","",IFERROR(IF(INDEX('商品マスタ'!$D$6:$D$1005,MATCH($C96,'商品マスタ'!$B$6:$B$1005,0))="",IFERROR(INDEX('①在庫を貼る'!$H$6:$H$10005,MATCH($C96,'①在庫を貼る'!$W$6:$W$10005,0)),IFERROR(INDEX('月1回_1ヶ月前の在庫'!$H$6:$H$10005,MATCH($C96,'月1回_1ヶ月前の在庫'!$W$6:$W$10005,0)),IFERROR(INDEX('月1回_2ヶ月前の在庫'!$H$6:$H$10005,MATCH($C96,'月1回_2ヶ月前の在庫'!$W$6:$W$10005,0)),""))),INDEX('商品マスタ'!$D$6:$D$1005,MATCH($C96,'商品マスタ'!$B$6:$B$1005,0))),IFERROR(INDEX('①在庫を貼る'!$H$6:$H$10005,MATCH($C96,'①在庫を貼る'!$W$6:$W$10005,0)),IFERROR(INDEX('月1回_1ヶ月前の在庫'!$H$6:$H$10005,MATCH($C96,'月1回_1ヶ月前の在庫'!$W$6:$W$10005,0)),IFERROR(INDEX('月1回_2ヶ月前の在庫'!$H$6:$H$10005,MATCH($C96,'月1回_2ヶ月前の在庫'!$W$6:$W$10005,0)),"")))))</f>
        <v/>
      </c>
      <c r="F96">
        <f>IF($C96="","",IFERROR(IF(INDEX('商品マスタ'!$E$6:$E$1005,MATCH($C96,'商品マスタ'!$B$6:$B$1005,0))="",IFERROR(INDEX('①在庫を貼る'!$E$6:$E$10005,MATCH($C96,'①在庫を貼る'!$W$6:$W$10005,0)),IFERROR(INDEX('月1回_1ヶ月前の在庫'!$E$6:$E$10005,MATCH($C96,'月1回_1ヶ月前の在庫'!$W$6:$W$10005,0)),IFERROR(INDEX('月1回_2ヶ月前の在庫'!$E$6:$E$10005,MATCH($C96,'月1回_2ヶ月前の在庫'!$W$6:$W$10005,0)),""))),INDEX('商品マスタ'!$E$6:$E$1005,MATCH($C96,'商品マスタ'!$B$6:$B$1005,0))),IFERROR(INDEX('①在庫を貼る'!$E$6:$E$10005,MATCH($C96,'①在庫を貼る'!$W$6:$W$10005,0)),IFERROR(INDEX('月1回_1ヶ月前の在庫'!$E$6:$E$10005,MATCH($C96,'月1回_1ヶ月前の在庫'!$W$6:$W$10005,0)),IFERROR(INDEX('月1回_2ヶ月前の在庫'!$E$6:$E$10005,MATCH($C96,'月1回_2ヶ月前の在庫'!$W$6:$W$10005,0)),"")))))</f>
        <v/>
      </c>
      <c r="G96">
        <f>IF($C96="","",MAX(1,N(IFERROR(IF(INDEX('商品マスタ'!$F$6:$F$1005,MATCH($C96,'商品マスタ'!$B$6:$B$1005,0))="",IF(COUNTIFS('①在庫を貼る'!$V$6:$V$10005,'設定'!$C$4,'①在庫を貼る'!$W$6:$W$10005,$C96)&gt;0,SUMIFS('①在庫を貼る'!$K$6:$K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K$6:$K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K$6:$K$10005,'月1回_2ヶ月前の在庫'!$V$6:$V$10005,'設定'!$C$4,'月1回_2ヶ月前の在庫'!$W$6:$W$10005,$C96)/COUNTIFS('月1回_2ヶ月前の在庫'!$V$6:$V$10005,'設定'!$C$4,'月1回_2ヶ月前の在庫'!$W$6:$W$10005,$C96),0))),INDEX('商品マスタ'!$F$6:$F$1005,MATCH($C96,'商品マスタ'!$B$6:$B$1005,0))),IF(COUNTIFS('①在庫を貼る'!$V$6:$V$10005,'設定'!$C$4,'①在庫を貼る'!$W$6:$W$10005,$C96)&gt;0,SUMIFS('①在庫を貼る'!$K$6:$K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K$6:$K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K$6:$K$10005,'月1回_2ヶ月前の在庫'!$V$6:$V$10005,'設定'!$C$4,'月1回_2ヶ月前の在庫'!$W$6:$W$10005,$C96)/COUNTIFS('月1回_2ヶ月前の在庫'!$V$6:$V$10005,'設定'!$C$4,'月1回_2ヶ月前の在庫'!$W$6:$W$10005,$C96),0)))))))</f>
        <v/>
      </c>
      <c r="H96">
        <f>IF($C96="","",N(IFERROR(IF(INDEX('商品マスタ'!$G$6:$G$1005,MATCH($C96,'商品マスタ'!$B$6:$B$1005,0))="",IF(COUNTIFS('①在庫を貼る'!$V$6:$V$10005,'設定'!$C$4,'①在庫を貼る'!$W$6:$W$10005,$C96)&gt;0,SUMIFS('①在庫を貼る'!$Q$6:$Q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Q$6:$Q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Q$6:$Q$10005,'月1回_2ヶ月前の在庫'!$V$6:$V$10005,'設定'!$C$4,'月1回_2ヶ月前の在庫'!$W$6:$W$10005,$C96)/COUNTIFS('月1回_2ヶ月前の在庫'!$V$6:$V$10005,'設定'!$C$4,'月1回_2ヶ月前の在庫'!$W$6:$W$10005,$C96),0))),INDEX('商品マスタ'!$G$6:$G$1005,MATCH($C96,'商品マスタ'!$B$6:$B$1005,0))),IF(COUNTIFS('①在庫を貼る'!$V$6:$V$10005,'設定'!$C$4,'①在庫を貼る'!$W$6:$W$10005,$C96)&gt;0,SUMIFS('①在庫を貼る'!$Q$6:$Q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Q$6:$Q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Q$6:$Q$10005,'月1回_2ヶ月前の在庫'!$V$6:$V$10005,'設定'!$C$4,'月1回_2ヶ月前の在庫'!$W$6:$W$10005,$C96)/COUNTIFS('月1回_2ヶ月前の在庫'!$V$6:$V$10005,'設定'!$C$4,'月1回_2ヶ月前の在庫'!$W$6:$W$10005,$C96),0))))))</f>
        <v/>
      </c>
      <c r="I96">
        <f>IF($C96="","",IF(COUNTIFS('①在庫を貼る'!$V$6:$V$10005,'設定'!$C$4,'①在庫を貼る'!$W$6:$W$10005,$C96)=0,"",SUMIFS('①在庫を貼る'!$N$6:$N$10005,'①在庫を貼る'!$V$6:$V$10005,'設定'!$C$4,'①在庫を貼る'!$W$6:$W$10005,$C96)))</f>
        <v/>
      </c>
      <c r="J96">
        <f>IF($C96="","",IF('②発注する'!$AD100="","",'②発注する'!$AD100))</f>
        <v/>
      </c>
      <c r="K96" s="90">
        <f>IF($C96="","",IF('②発注する'!$AE100="","",'②発注する'!$AE100))</f>
        <v/>
      </c>
      <c r="L96">
        <f>IF($C96="","",IF(AND(ISNUMBER($J96),ISNUMBER($K96),$K96&gt;='設定'!$C$6),$J96,N($I96)))</f>
        <v/>
      </c>
      <c r="M96">
        <f>IF($C96="","",IFERROR(IF(N(INDEX('商品マスタ'!$J$6:$J$1005,MATCH($C96,'商品マスタ'!$B$6:$B$1005,0)))&gt;0,INDEX('商品マスタ'!$J$6:$J$1005,MATCH($C96,'商品マスタ'!$B$6:$B$1005,0)),""),""))</f>
        <v/>
      </c>
      <c r="N96">
        <f>IF($C96="","",IFERROR(IF(N(INDEX('商品マスタ'!$H$6:$H$1005,MATCH($C96,'商品マスタ'!$B$6:$B$1005,0)))&gt;0,INDEX('商品マスタ'!$H$6:$H$1005,MATCH($C96,'商品マスタ'!$B$6:$B$1005,0)),""),""))</f>
        <v/>
      </c>
      <c r="O96">
        <f>IF($C96="","",IF($N96&lt;&gt;"",$N96*$G96,IF(N(IF(COUNTIFS('①在庫を貼る'!$V$6:$V$10005,'設定'!$C$4,'①在庫を貼る'!$W$6:$W$10005,$C96)&gt;0,SUMIFS('①在庫を貼る'!$O$6:$O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O$6:$O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O$6:$O$10005,'月1回_2ヶ月前の在庫'!$V$6:$V$10005,'設定'!$C$4,'月1回_2ヶ月前の在庫'!$W$6:$W$10005,$C96)/COUNTIFS('月1回_2ヶ月前の在庫'!$V$6:$V$10005,'設定'!$C$4,'月1回_2ヶ月前の在庫'!$W$6:$W$10005,$C96),0))))&gt;0,N(IF(COUNTIFS('①在庫を貼る'!$V$6:$V$10005,'設定'!$C$4,'①在庫を貼る'!$W$6:$W$10005,$C96)&gt;0,SUMIFS('①在庫を貼る'!$O$6:$O$10005,'①在庫を貼る'!$V$6:$V$10005,'設定'!$C$4,'①在庫を貼る'!$W$6:$W$10005,$C96)/COUNTIFS('①在庫を貼る'!$V$6:$V$10005,'設定'!$C$4,'①在庫を貼る'!$W$6:$W$10005,$C96),IF(COUNTIFS('月1回_1ヶ月前の在庫'!$V$6:$V$10005,'設定'!$C$4,'月1回_1ヶ月前の在庫'!$W$6:$W$10005,$C96)&gt;0,SUMIFS('月1回_1ヶ月前の在庫'!$O$6:$O$10005,'月1回_1ヶ月前の在庫'!$V$6:$V$10005,'設定'!$C$4,'月1回_1ヶ月前の在庫'!$W$6:$W$10005,$C96)/COUNTIFS('月1回_1ヶ月前の在庫'!$V$6:$V$10005,'設定'!$C$4,'月1回_1ヶ月前の在庫'!$W$6:$W$10005,$C96),IF(COUNTIFS('月1回_2ヶ月前の在庫'!$V$6:$V$10005,'設定'!$C$4,'月1回_2ヶ月前の在庫'!$W$6:$W$10005,$C96)&gt;0,SUMIFS('月1回_2ヶ月前の在庫'!$O$6:$O$10005,'月1回_2ヶ月前の在庫'!$V$6:$V$10005,'設定'!$C$4,'月1回_2ヶ月前の在庫'!$W$6:$W$10005,$C96)/COUNTIFS('月1回_2ヶ月前の在庫'!$V$6:$V$10005,'設定'!$C$4,'月1回_2ヶ月前の在庫'!$W$6:$W$10005,$C96),0)))),"")))</f>
        <v/>
      </c>
      <c r="P96" s="90">
        <f>IF($C96="","",IF('②発注する'!$I100="","",'②発注する'!$I100))</f>
        <v/>
      </c>
      <c r="Q96">
        <f>IF($C96="","",IF('②発注する'!$J100="","",'②発注する'!$J100))</f>
        <v/>
      </c>
      <c r="R96">
        <f>IF($C96="",0,IF(AND(ISNUMBER($P96),ISNUMBER($Q96)),MAX(0,$Q96)*$G96,0))</f>
        <v/>
      </c>
      <c r="S96" s="90">
        <f>IF($C96="","",IF('②発注する'!$M100="","",'②発注する'!$M100))</f>
        <v/>
      </c>
      <c r="T96">
        <f>IF($C96="","",IF('②発注する'!$N100="","",'②発注する'!$N100))</f>
        <v/>
      </c>
      <c r="U96">
        <f>IF($C96="",0,IF(AND(ISNUMBER($S96),ISNUMBER($T96)),MAX(0,$T96)*$G96,0))</f>
        <v/>
      </c>
      <c r="V96">
        <f>IF($C96="",0,IF($M96="",0,MAX(0,$M96)*MAX(0,V$4)/100))</f>
        <v/>
      </c>
      <c r="W96">
        <f>IF($C96="",0,IF($M96="",0,MAX(0,$M96)*MAX(0,W$4)/100))</f>
        <v/>
      </c>
      <c r="X96">
        <f>IF($C96="",0,IF($M96="",0,MAX(0,$M96)*MAX(0,X$4)/100))</f>
        <v/>
      </c>
      <c r="Y96">
        <f>IF($C96="",0,IF($M96="",0,MAX(0,$M96)*MAX(0,Y$4)/100))</f>
        <v/>
      </c>
      <c r="Z96">
        <f>IF($C96="",0,IF($M96="",0,MAX(0,$M96)*MAX(0,Z$4)/100))</f>
        <v/>
      </c>
      <c r="AA96">
        <f>IF($C96="",0,IF($M96="",0,MAX(0,$M96)*MAX(0,AA$4)/100))</f>
        <v/>
      </c>
      <c r="AB96">
        <f>IF($C96="",0,IF($M96="",0,MAX(0,$M96)*MAX(0,AB$4)/100))</f>
        <v/>
      </c>
      <c r="AC96">
        <f>IF($C96="",0,IF($M96="",0,MAX(0,$M96)*MAX(0,AC$4)/100))</f>
        <v/>
      </c>
      <c r="AD96">
        <f>IF($C96="",0,IF($M96="",0,MAX(0,$M96)*MAX(0,AD$4)/100))</f>
        <v/>
      </c>
      <c r="AE96">
        <f>IF($C96="",0,IF($M96="",0,MAX(0,$M96)*MAX(0,AE$4)/100))</f>
        <v/>
      </c>
      <c r="AF96">
        <f>IF($C96="",0,IF($M96="",0,MAX(0,$M96)*MAX(0,AF$4)/100))</f>
        <v/>
      </c>
      <c r="AG96">
        <f>IF($C96="",0,IF($M96="",0,MAX(0,$M96)*MAX(0,AG$4)/100))</f>
        <v/>
      </c>
      <c r="AH96">
        <f>IF($C96="",0,IF($M96="",0,MAX(0,$M96)*MAX(0,AH$4)/100))</f>
        <v/>
      </c>
      <c r="AI96">
        <f>IF($C96="",0,IF($M96="",0,MAX(0,$M96)*MAX(0,AI$4)/100))</f>
        <v/>
      </c>
      <c r="AJ96">
        <f>IF($C96="",0,MAX(0,MAX(0,N($L96))-$V96))</f>
        <v/>
      </c>
      <c r="AK96">
        <f>IF($C96="",0,MAX(0,$AJ96-$W96))</f>
        <v/>
      </c>
      <c r="AL96">
        <f>IF($C96="",0,MAX(0,$AK96-$X96))</f>
        <v/>
      </c>
      <c r="AM96">
        <f>IF($C96="",0,MAX(0,$AL96-$Y96))</f>
        <v/>
      </c>
      <c r="AN96">
        <f>IF($C96="",0,MAX(0,$AM96-$Z96))</f>
        <v/>
      </c>
      <c r="AO96">
        <f>IF($C96="",0,MAX(0,$AN96-$AA96))</f>
        <v/>
      </c>
      <c r="AP96">
        <f>IF($C96="",0,MAX(0,$AO96-$AB96))</f>
        <v/>
      </c>
      <c r="AQ96">
        <f>IF($C96="",0,MAX(0,$AP96-$AC96))</f>
        <v/>
      </c>
      <c r="AR96">
        <f>IF($C96="",0,MAX(0,$AQ96-$AD96))</f>
        <v/>
      </c>
      <c r="AS96">
        <f>IF($C96="",0,MAX(0,$AR96-$AE96))</f>
        <v/>
      </c>
      <c r="AT96">
        <f>IF($C96="",0,MAX(0,$AS96-$AF96))</f>
        <v/>
      </c>
      <c r="AU96">
        <f>IF($C96="",0,MAX(0,$AT96-$AG96))</f>
        <v/>
      </c>
      <c r="AV96">
        <f>IF($C96="",0,MAX(0,$AU96-$AH96))</f>
        <v/>
      </c>
      <c r="AW96">
        <f>IF($C96="",0,MAX(0,$AV96-$AI96))</f>
        <v/>
      </c>
      <c r="AX96">
        <f>IF($C96="",0,MAX(0,MAX(0,N($L96))+IF($P96=V$3,$R96,0)+IF($S96=V$3,$U96,0)-$V96))</f>
        <v/>
      </c>
      <c r="AY96">
        <f>IF($C96="",0,MAX(0,$AX96+IF($P96=W$3,$R96,0)+IF($S96=W$3,$U96,0)-$W96))</f>
        <v/>
      </c>
      <c r="AZ96">
        <f>IF($C96="",0,MAX(0,$AY96+IF($P96=X$3,$R96,0)+IF($S96=X$3,$U96,0)-$X96))</f>
        <v/>
      </c>
      <c r="BA96">
        <f>IF($C96="",0,MAX(0,$AZ96+IF($P96=Y$3,$R96,0)+IF($S96=Y$3,$U96,0)-$Y96))</f>
        <v/>
      </c>
      <c r="BB96">
        <f>IF($C96="",0,MAX(0,$BA96+IF($P96=Z$3,$R96,0)+IF($S96=Z$3,$U96,0)-$Z96))</f>
        <v/>
      </c>
      <c r="BC96">
        <f>IF($C96="",0,MAX(0,$BB96+IF($P96=AA$3,$R96,0)+IF($S96=AA$3,$U96,0)-$AA96))</f>
        <v/>
      </c>
      <c r="BD96">
        <f>IF($C96="",0,MAX(0,$BC96+IF($P96=AB$3,$R96,0)+IF($S96=AB$3,$U96,0)-$AB96))</f>
        <v/>
      </c>
      <c r="BE96">
        <f>IF($C96="",0,MAX(0,$BD96+IF($P96=AC$3,$R96,0)+IF($S96=AC$3,$U96,0)-$AC96))</f>
        <v/>
      </c>
      <c r="BF96">
        <f>IF($C96="",0,MAX(0,$BE96+IF($P96=AD$3,$R96,0)+IF($S96=AD$3,$U96,0)-$AD96))</f>
        <v/>
      </c>
      <c r="BG96">
        <f>IF($C96="",0,MAX(0,$BF96+IF($P96=AE$3,$R96,0)+IF($S96=AE$3,$U96,0)-$AE96))</f>
        <v/>
      </c>
      <c r="BH96">
        <f>IF($C96="",0,MAX(0,$BG96+IF($P96=AF$3,$R96,0)+IF($S96=AF$3,$U96,0)-$AF96))</f>
        <v/>
      </c>
      <c r="BI96">
        <f>IF($C96="",0,MAX(0,$BH96+IF($P96=AG$3,$R96,0)+IF($S96=AG$3,$U96,0)-$AG96))</f>
        <v/>
      </c>
      <c r="BJ96">
        <f>IF($C96="",0,MAX(0,$BI96+IF($P96=AH$3,$R96,0)+IF($S96=AH$3,$U96,0)-$AH96))</f>
        <v/>
      </c>
      <c r="BK96">
        <f>IF($C96="",0,MAX(0,$BJ96+IF($P96=AI$3,$R96,0)+IF($S96=AI$3,$U96,0)-$AI96))</f>
        <v/>
      </c>
      <c r="BL96">
        <f>IF($C96="",99,IF(AND($AX96&lt;1,V$3&gt;=MAX(N($P96),N($S96))),0,99))</f>
        <v/>
      </c>
      <c r="BM96">
        <f>IF($C96="",99,IF(AND($AY96&lt;1,W$3&gt;=MAX(N($P96),N($S96))),1,99))</f>
        <v/>
      </c>
      <c r="BN96">
        <f>IF($C96="",99,IF(AND($AZ96&lt;1,X$3&gt;=MAX(N($P96),N($S96))),2,99))</f>
        <v/>
      </c>
      <c r="BO96">
        <f>IF($C96="",99,IF(AND($BA96&lt;1,Y$3&gt;=MAX(N($P96),N($S96))),3,99))</f>
        <v/>
      </c>
      <c r="BP96">
        <f>IF($C96="",99,IF(AND($BB96&lt;1,Z$3&gt;=MAX(N($P96),N($S96))),4,99))</f>
        <v/>
      </c>
      <c r="BQ96">
        <f>IF($C96="",99,IF(AND($BC96&lt;1,AA$3&gt;=MAX(N($P96),N($S96))),5,99))</f>
        <v/>
      </c>
      <c r="BR96">
        <f>IF($C96="",99,IF(AND($BD96&lt;1,AB$3&gt;=MAX(N($P96),N($S96))),6,99))</f>
        <v/>
      </c>
      <c r="BS96">
        <f>IF($C96="",99,IF(AND($BE96&lt;1,AC$3&gt;=MAX(N($P96),N($S96))),7,99))</f>
        <v/>
      </c>
      <c r="BT96">
        <f>IF($C96="",99,IF(AND($BF96&lt;1,AD$3&gt;=MAX(N($P96),N($S96))),8,99))</f>
        <v/>
      </c>
      <c r="BU96">
        <f>IF($C96="",99,IF(AND($BG96&lt;1,AE$3&gt;=MAX(N($P96),N($S96))),9,99))</f>
        <v/>
      </c>
      <c r="BV96">
        <f>IF($C96="",99,IF(AND($BH96&lt;1,AF$3&gt;=MAX(N($P96),N($S96))),10,99))</f>
        <v/>
      </c>
      <c r="BW96">
        <f>IF($C96="",99,IF(AND($BI96&lt;1,AG$3&gt;=MAX(N($P96),N($S96))),11,99))</f>
        <v/>
      </c>
      <c r="BX96">
        <f>IF($C96="",99,IF(AND($BJ96&lt;1,AH$3&gt;=MAX(N($P96),N($S96))),12,99))</f>
        <v/>
      </c>
      <c r="BY96">
        <f>IF($C96="",99,IF(AND($BK96&lt;1,AI$3&gt;=MAX(N($P96),N($S96))),13,99))</f>
        <v/>
      </c>
      <c r="BZ96">
        <f>IF(OR($C96="",$M96=""),"",COUNTIF($AJ96:$AW96,"&gt;=1"))</f>
        <v/>
      </c>
      <c r="CA96" s="90">
        <f>IF($BZ96="","",IF($BZ96&gt;=14,"",'設定'!$C$6+$BZ96))</f>
        <v/>
      </c>
      <c r="CB96">
        <f>IF(OR($C96="",$M96=""),"",MIN($BL96:$BY96))</f>
        <v/>
      </c>
      <c r="CC96" s="90">
        <f>IF($CB96="","",IF($CB96&gt;=99,"",'設定'!$C$6+$CB96))</f>
        <v/>
      </c>
      <c r="CD96">
        <f>IF(OR($C96="",$M96=""),"",AVERAGE($V96:$AI96))</f>
        <v/>
      </c>
      <c r="CE96">
        <f>IF($C96="","",IFERROR(IF(MATCH(IF(ISNUMBER($P96),$P96,'設定'!$C$6+N('設定'!$C$7)),$V$3:$AI$3,0)=1,MAX(0,N($L96)),INDEX($AJ96:$AW96,MATCH(IF(ISNUMBER($P96),$P96,'設定'!$C$6+N('設定'!$C$7)),$V$3:$AI$3,0)-1)),""))</f>
        <v/>
      </c>
      <c r="CF96">
        <f>IF(OR($C96="",$O96="",$CE96=""),"",IF($O96-$CE96&lt;=0,0,ROUNDUP(($O96-$CE96)/$G96,0)))</f>
        <v/>
      </c>
      <c r="CG96">
        <f>IF(OR($C96="",$CF96="",NOT(ISNUMBER($Q96))),0,MAX(0,$Q96-$CF96))</f>
        <v/>
      </c>
      <c r="CH96">
        <f>IF(OR($C96="",$O96="",$U96=0),0,IFERROR(ROUNDUP(MAX(0,IF(MATCH($S96,$V$3:$AI$3,0)=1,MAX(0,N($L96)),INDEX($AX96:$BK96,MATCH($S96,$V$3:$AI$3,0)-1))+$U96-$O96)/$G96,0),0))</f>
        <v/>
      </c>
      <c r="CI96">
        <f>IF($C96="","",IF(AND($P96="",$Q96=""),"",IF($P96="","⚠ 入庫日を ▼ から選んでください",IF(NOT(ISNUMBER($P96)),"⚠ 入庫日は ▼ から選んでください",IF($P96&lt;N('設定'!$C$6),"⚠ 入庫日が過去です（もう在庫に入っています）→ 消してください",IF($P96&gt;N('設定'!$C$6)+13,"⚠ 入庫日が14日より先です",IF(N($Q96)&lt;=0,"⚠ 入庫数を入れてください",IF($CG96&gt;0,"⚠ 目安より "&amp;$CG96&amp;" 多い（定数を超える）→ 減らす",""))))))))</f>
        <v/>
      </c>
      <c r="CJ96">
        <f>IF($C96="","",IF(AND($S96="",$T96=""),"",IF($S96="","⚠ 2便目：入庫日を ▼ から選んでください",IF(NOT(ISNUMBER($S96)),"⚠ 2便目：入庫日は ▼ から選んでください",IF($S96&lt;N('設定'!$C$6),"⚠ 2便目：入庫日が過去です（もう在庫に入っています）→ 消してください",IF($S96&gt;N('設定'!$C$6)+13,"⚠ 2便目：入庫日が14日より先です",IF(N($T96)&lt;=0,"⚠ 2便目：入庫数を入れてください",IF($CH96&gt;0,"⚠ 2便目：定数を "&amp;$CH96&amp;" ケース超える → 減らす",""))))))))</f>
        <v/>
      </c>
      <c r="CK96">
        <f>IF(AND($CI96="",N($Q96)&gt;0,ISNUMBER($P96)),1,0)</f>
        <v/>
      </c>
      <c r="CL96">
        <f>IF(AND($CJ96="",N($T96)&gt;0,ISNUMBER($S96)),1,0)</f>
        <v/>
      </c>
      <c r="CM96">
        <f>IF(OR($CK96=1,$CL96=1),1,0)</f>
        <v/>
      </c>
      <c r="CN96">
        <f>IF($C96="",0,($CK96*$R96+$CL96*$U96)*N($H96))</f>
        <v/>
      </c>
      <c r="CO96">
        <f>IF($C96="","",IF($CC96="","入庫後は 14日以上もつ",IF($CC96-N('設定'!$C$7)&lt;='設定'!$C$6,"入庫後も "&amp;TEXT($CC96,"m/d")&amp;"("&amp;CHOOSE(WEEKDAY($CC96),"日","月","火","水","木","金","土")&amp;")"&amp;" に切れる　もう1便を至急発注","入庫後も "&amp;TEXT($CC96,"m/d")&amp;"("&amp;CHOOSE(WEEKDAY($CC96),"日","月","火","水","木","金","土")&amp;")"&amp;" に切れる　"&amp;TEXT($CC96-N('設定'!$C$7),"m/d")&amp;"("&amp;CHOOSE(WEEKDAY($CC96-N('設定'!$C$7)),"日","月","火","水","木","金","土")&amp;")"&amp;" までに次を発注")))</f>
        <v/>
      </c>
      <c r="CP96">
        <f>IF($C96="","",IF('設定'!$C$6="","？ ①在庫を貼る に今日のCSVが貼られていない",IF($CS96=1,"－ 今日のCSVに無い（終売？）",IF($L96&lt;0,"● 在庫がマイナス　数えて「数えた在庫」に入れる",IF($L96=0,"● 在庫なし　至急発注",IF($M96="","？ 減り数が未設定（商品マスタ）",IF($B$3=0,"？ 動員が未入力（動員を入れる）",IF($CA96="","○ 14日以上もつ",IF($BZ96&lt;N('設定'!$C$7),"● "&amp;TEXT($CA96,"m/d")&amp;"("&amp;CHOOSE(WEEKDAY($CA96),"日","月","火","水","木","金","土")&amp;")"&amp;" に切れる　至急発注",IF($BZ96=N('設定'!$C$7),"● "&amp;TEXT($CA96,"m/d")&amp;"("&amp;CHOOSE(WEEKDAY($CA96),"日","月","火","水","木","金","土")&amp;")"&amp;" に切れる　今日発注","△ "&amp;TEXT($CA96,"m/d")&amp;"("&amp;CHOOSE(WEEKDAY($CA96),"日","月","火","水","木","金","土")&amp;")"&amp;" に切れる　"&amp;TEXT($CA96-N('設定'!$C$7),"m/d")&amp;"("&amp;CHOOSE(WEEKDAY($CA96-N('設定'!$C$7)),"日","月","火","水","木","金","土")&amp;")"&amp;" までに発注"))))))))))</f>
        <v/>
      </c>
      <c r="CQ96">
        <f>IF($C96="","",IF(AND($P96="",$Q96="",$S96="",$T96=""),"",IF(AND($P96="",$Q96=""),"⚠ 先に1便目（左の入庫日・入庫数）に入れてください",IF($CI96&lt;&gt;"",$CI96,IF($CJ96&lt;&gt;"",$CJ96,IF($M96="","？ 減り数が未設定（発注書には載ります）",IF($B$3=0,"？ 動員が未入力（発注書には載ります）",IF(AND($CA96&lt;&gt;"",$P96&gt;$CA96),IF($P96&gt;'設定'!$C$6+N('設定'!$C$7),"● "&amp;TEXT($P96,"m/d")&amp;"("&amp;CHOOSE(WEEKDAY($P96),"日","月","火","水","木","金","土")&amp;")"&amp;" の入庫では間に合わない（"&amp;TEXT($CA96,"m/d")&amp;"("&amp;CHOOSE(WEEKDAY($CA96),"日","月","火","水","木","金","土")&amp;")"&amp;" に切れる）　入庫日を早める","△ 欠品 "&amp;TEXT($CA96,"m/d")&amp;"("&amp;CHOOSE(WEEKDAY($CA96),"日","月","火","水","木","金","土")&amp;")"&amp;"〜"&amp;TEXT($P96-1,"m/d")&amp;"("&amp;CHOOSE(WEEKDAY($P96-1),"日","月","火","水","木","金","土")&amp;")"&amp;"　"&amp;$CO96),IF($CC96="","○ "&amp;TEXT($P96,"m/d")&amp;"("&amp;CHOOSE(WEEKDAY($P96),"日","月","火","水","木","金","土")&amp;")"&amp;" 入庫で 14日以上もつ",IF($CC96-N('設定'!$C$7)&lt;='設定'!$C$6,"● 入庫しても "&amp;TEXT($CC96,"m/d")&amp;"("&amp;CHOOSE(WEEKDAY($CC96),"日","月","火","水","木","金","土")&amp;")"&amp;" に切れる　もう1便を至急発注（2便目に入れる）","△ 入庫しても "&amp;TEXT($CC96,"m/d")&amp;"("&amp;CHOOSE(WEEKDAY($CC96),"日","月","火","水","木","金","土")&amp;")"&amp;" に切れる　"&amp;TEXT($CC96-N('設定'!$C$7),"m/d")&amp;"("&amp;CHOOSE(WEEKDAY($CC96-N('設定'!$C$7)),"日","月","火","水","木","金","土")&amp;")"&amp;" までに次を発注（2便目に入れる）"))))))))))</f>
        <v/>
      </c>
      <c r="CR96">
        <f>IF($C96="","",IF($G96&gt;1,"ｹｰｽ("&amp;$G96&amp;"入)","個"))</f>
        <v/>
      </c>
      <c r="CS96">
        <f>IF($C96="",0,IF(COUNTIFS('①在庫を貼る'!$V$6:$V$10005,'設定'!$C$4,'①在庫を貼る'!$W$6:$W$10005,$C96)=0,1,0))</f>
        <v/>
      </c>
      <c r="CT96">
        <f>IF(AND($CK96=1,OR('③発注書'!$C$4="すべて",'③発注書'!$C$4="",$F96='③発注書'!$C$4)),N($CT95)+1,N($CT95))</f>
        <v/>
      </c>
      <c r="CU96">
        <f>IF(AND($CL96=1,OR('③発注書'!$C$4="すべて",'③発注書'!$C$4="",$F96='③発注書'!$C$4)),N($CU95)+1,N($CU95))</f>
        <v/>
      </c>
      <c r="CV96">
        <f>IF($C96="",0,IF(COUNTIFS('①在庫を貼る'!$V$6:$V$10005,'設定'!$C$4,'①在庫を貼る'!$W$6:$W$10005,$C96)&gt;0,1,0))</f>
        <v/>
      </c>
      <c r="CW96">
        <f>IF($C96="",0,IF(COUNTIFS('月1回_1ヶ月前の在庫'!$V$6:$V$10005,'設定'!$C$4,'月1回_1ヶ月前の在庫'!$W$6:$W$10005,$C96)&gt;0,1,0))</f>
        <v/>
      </c>
      <c r="CX96">
        <f>IF($C96="",0,IF(COUNTIFS('月1回_2ヶ月前の在庫'!$V$6:$V$10005,'設定'!$C$4,'月1回_2ヶ月前の在庫'!$W$6:$W$10005,$C96)&gt;0,1,0))</f>
        <v/>
      </c>
      <c r="CY96">
        <f>IF(OR($C96="",'設定'!$C$12=""),"",IF('設定'!$C$13="",IF(AND($CV96=1,$CW96=0),"新商品（今月から）",IF(AND($CV96=0,$CW96=1),"終売（今月から）","")),IF(AND($CV96=1,$CW96=0,$CX96=0),"新商品（今月から）",IF(AND($CV96=1,$CW96=1,$CX96=0),"新商品（先月から）",IF(AND($CV96=0,$CW96=1,$CX96=1),"終売（今月から）",IF(AND($CV96=0,$CW96=0,$CX96=1),"終売（先月から）",IF(AND($CV96=1,$CW96=0,$CX96=1),"復活（先月は無し）","")))))))</f>
        <v/>
      </c>
    </row>
    <row r="97">
      <c r="B97">
        <f>IF(92&lt;='設定'!$C$11,92,"")</f>
        <v/>
      </c>
      <c r="C97">
        <f>IF($B97="","",IF($B97&lt;='設定'!$C$20,INDEX('商品マスタ'!$B$6:$B$1005,MATCH($B97,'商品マスタ'!$M$6:$M$1005,0)),IF($B97&lt;='設定'!$C$20+'設定'!$C$17,INDEX('①在庫を貼る'!$W$6:$W$10005,MATCH($B97-'設定'!$C$20,'①在庫を貼る'!$U$6:$U$10005,0)),IF($B97&lt;='設定'!$C$20+'設定'!$C$17+'設定'!$C$18,INDEX('月1回_1ヶ月前の在庫'!$W$6:$W$10005,MATCH($B97-'設定'!$C$20-'設定'!$C$17,'月1回_1ヶ月前の在庫'!$U$6:$U$10005,0)),INDEX('月1回_2ヶ月前の在庫'!$W$6:$W$10005,MATCH($B97-'設定'!$C$20-'設定'!$C$17-'設定'!$C$18,'月1回_2ヶ月前の在庫'!$U$6:$U$10005,0))))))</f>
        <v/>
      </c>
      <c r="D97">
        <f>IF($C97="","",IFERROR(IF(INDEX('商品マスタ'!$C$6:$C$1005,MATCH($C97,'商品マスタ'!$B$6:$B$1005,0))="",IFERROR(INDEX('①在庫を貼る'!$J$6:$J$10005,MATCH($C97,'①在庫を貼る'!$W$6:$W$10005,0)),IFERROR(INDEX('月1回_1ヶ月前の在庫'!$J$6:$J$10005,MATCH($C97,'月1回_1ヶ月前の在庫'!$W$6:$W$10005,0)),IFERROR(INDEX('月1回_2ヶ月前の在庫'!$J$6:$J$10005,MATCH($C97,'月1回_2ヶ月前の在庫'!$W$6:$W$10005,0)),""))),INDEX('商品マスタ'!$C$6:$C$1005,MATCH($C97,'商品マスタ'!$B$6:$B$1005,0))),IFERROR(INDEX('①在庫を貼る'!$J$6:$J$10005,MATCH($C97,'①在庫を貼る'!$W$6:$W$10005,0)),IFERROR(INDEX('月1回_1ヶ月前の在庫'!$J$6:$J$10005,MATCH($C97,'月1回_1ヶ月前の在庫'!$W$6:$W$10005,0)),IFERROR(INDEX('月1回_2ヶ月前の在庫'!$J$6:$J$10005,MATCH($C97,'月1回_2ヶ月前の在庫'!$W$6:$W$10005,0)),"")))))</f>
        <v/>
      </c>
      <c r="E97">
        <f>IF($C97="","",IFERROR(IF(INDEX('商品マスタ'!$D$6:$D$1005,MATCH($C97,'商品マスタ'!$B$6:$B$1005,0))="",IFERROR(INDEX('①在庫を貼る'!$H$6:$H$10005,MATCH($C97,'①在庫を貼る'!$W$6:$W$10005,0)),IFERROR(INDEX('月1回_1ヶ月前の在庫'!$H$6:$H$10005,MATCH($C97,'月1回_1ヶ月前の在庫'!$W$6:$W$10005,0)),IFERROR(INDEX('月1回_2ヶ月前の在庫'!$H$6:$H$10005,MATCH($C97,'月1回_2ヶ月前の在庫'!$W$6:$W$10005,0)),""))),INDEX('商品マスタ'!$D$6:$D$1005,MATCH($C97,'商品マスタ'!$B$6:$B$1005,0))),IFERROR(INDEX('①在庫を貼る'!$H$6:$H$10005,MATCH($C97,'①在庫を貼る'!$W$6:$W$10005,0)),IFERROR(INDEX('月1回_1ヶ月前の在庫'!$H$6:$H$10005,MATCH($C97,'月1回_1ヶ月前の在庫'!$W$6:$W$10005,0)),IFERROR(INDEX('月1回_2ヶ月前の在庫'!$H$6:$H$10005,MATCH($C97,'月1回_2ヶ月前の在庫'!$W$6:$W$10005,0)),"")))))</f>
        <v/>
      </c>
      <c r="F97">
        <f>IF($C97="","",IFERROR(IF(INDEX('商品マスタ'!$E$6:$E$1005,MATCH($C97,'商品マスタ'!$B$6:$B$1005,0))="",IFERROR(INDEX('①在庫を貼る'!$E$6:$E$10005,MATCH($C97,'①在庫を貼る'!$W$6:$W$10005,0)),IFERROR(INDEX('月1回_1ヶ月前の在庫'!$E$6:$E$10005,MATCH($C97,'月1回_1ヶ月前の在庫'!$W$6:$W$10005,0)),IFERROR(INDEX('月1回_2ヶ月前の在庫'!$E$6:$E$10005,MATCH($C97,'月1回_2ヶ月前の在庫'!$W$6:$W$10005,0)),""))),INDEX('商品マスタ'!$E$6:$E$1005,MATCH($C97,'商品マスタ'!$B$6:$B$1005,0))),IFERROR(INDEX('①在庫を貼る'!$E$6:$E$10005,MATCH($C97,'①在庫を貼る'!$W$6:$W$10005,0)),IFERROR(INDEX('月1回_1ヶ月前の在庫'!$E$6:$E$10005,MATCH($C97,'月1回_1ヶ月前の在庫'!$W$6:$W$10005,0)),IFERROR(INDEX('月1回_2ヶ月前の在庫'!$E$6:$E$10005,MATCH($C97,'月1回_2ヶ月前の在庫'!$W$6:$W$10005,0)),"")))))</f>
        <v/>
      </c>
      <c r="G97">
        <f>IF($C97="","",MAX(1,N(IFERROR(IF(INDEX('商品マスタ'!$F$6:$F$1005,MATCH($C97,'商品マスタ'!$B$6:$B$1005,0))="",IF(COUNTIFS('①在庫を貼る'!$V$6:$V$10005,'設定'!$C$4,'①在庫を貼る'!$W$6:$W$10005,$C97)&gt;0,SUMIFS('①在庫を貼る'!$K$6:$K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K$6:$K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K$6:$K$10005,'月1回_2ヶ月前の在庫'!$V$6:$V$10005,'設定'!$C$4,'月1回_2ヶ月前の在庫'!$W$6:$W$10005,$C97)/COUNTIFS('月1回_2ヶ月前の在庫'!$V$6:$V$10005,'設定'!$C$4,'月1回_2ヶ月前の在庫'!$W$6:$W$10005,$C97),0))),INDEX('商品マスタ'!$F$6:$F$1005,MATCH($C97,'商品マスタ'!$B$6:$B$1005,0))),IF(COUNTIFS('①在庫を貼る'!$V$6:$V$10005,'設定'!$C$4,'①在庫を貼る'!$W$6:$W$10005,$C97)&gt;0,SUMIFS('①在庫を貼る'!$K$6:$K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K$6:$K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K$6:$K$10005,'月1回_2ヶ月前の在庫'!$V$6:$V$10005,'設定'!$C$4,'月1回_2ヶ月前の在庫'!$W$6:$W$10005,$C97)/COUNTIFS('月1回_2ヶ月前の在庫'!$V$6:$V$10005,'設定'!$C$4,'月1回_2ヶ月前の在庫'!$W$6:$W$10005,$C97),0)))))))</f>
        <v/>
      </c>
      <c r="H97">
        <f>IF($C97="","",N(IFERROR(IF(INDEX('商品マスタ'!$G$6:$G$1005,MATCH($C97,'商品マスタ'!$B$6:$B$1005,0))="",IF(COUNTIFS('①在庫を貼る'!$V$6:$V$10005,'設定'!$C$4,'①在庫を貼る'!$W$6:$W$10005,$C97)&gt;0,SUMIFS('①在庫を貼る'!$Q$6:$Q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Q$6:$Q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Q$6:$Q$10005,'月1回_2ヶ月前の在庫'!$V$6:$V$10005,'設定'!$C$4,'月1回_2ヶ月前の在庫'!$W$6:$W$10005,$C97)/COUNTIFS('月1回_2ヶ月前の在庫'!$V$6:$V$10005,'設定'!$C$4,'月1回_2ヶ月前の在庫'!$W$6:$W$10005,$C97),0))),INDEX('商品マスタ'!$G$6:$G$1005,MATCH($C97,'商品マスタ'!$B$6:$B$1005,0))),IF(COUNTIFS('①在庫を貼る'!$V$6:$V$10005,'設定'!$C$4,'①在庫を貼る'!$W$6:$W$10005,$C97)&gt;0,SUMIFS('①在庫を貼る'!$Q$6:$Q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Q$6:$Q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Q$6:$Q$10005,'月1回_2ヶ月前の在庫'!$V$6:$V$10005,'設定'!$C$4,'月1回_2ヶ月前の在庫'!$W$6:$W$10005,$C97)/COUNTIFS('月1回_2ヶ月前の在庫'!$V$6:$V$10005,'設定'!$C$4,'月1回_2ヶ月前の在庫'!$W$6:$W$10005,$C97),0))))))</f>
        <v/>
      </c>
      <c r="I97">
        <f>IF($C97="","",IF(COUNTIFS('①在庫を貼る'!$V$6:$V$10005,'設定'!$C$4,'①在庫を貼る'!$W$6:$W$10005,$C97)=0,"",SUMIFS('①在庫を貼る'!$N$6:$N$10005,'①在庫を貼る'!$V$6:$V$10005,'設定'!$C$4,'①在庫を貼る'!$W$6:$W$10005,$C97)))</f>
        <v/>
      </c>
      <c r="J97">
        <f>IF($C97="","",IF('②発注する'!$AD101="","",'②発注する'!$AD101))</f>
        <v/>
      </c>
      <c r="K97" s="90">
        <f>IF($C97="","",IF('②発注する'!$AE101="","",'②発注する'!$AE101))</f>
        <v/>
      </c>
      <c r="L97">
        <f>IF($C97="","",IF(AND(ISNUMBER($J97),ISNUMBER($K97),$K97&gt;='設定'!$C$6),$J97,N($I97)))</f>
        <v/>
      </c>
      <c r="M97">
        <f>IF($C97="","",IFERROR(IF(N(INDEX('商品マスタ'!$J$6:$J$1005,MATCH($C97,'商品マスタ'!$B$6:$B$1005,0)))&gt;0,INDEX('商品マスタ'!$J$6:$J$1005,MATCH($C97,'商品マスタ'!$B$6:$B$1005,0)),""),""))</f>
        <v/>
      </c>
      <c r="N97">
        <f>IF($C97="","",IFERROR(IF(N(INDEX('商品マスタ'!$H$6:$H$1005,MATCH($C97,'商品マスタ'!$B$6:$B$1005,0)))&gt;0,INDEX('商品マスタ'!$H$6:$H$1005,MATCH($C97,'商品マスタ'!$B$6:$B$1005,0)),""),""))</f>
        <v/>
      </c>
      <c r="O97">
        <f>IF($C97="","",IF($N97&lt;&gt;"",$N97*$G97,IF(N(IF(COUNTIFS('①在庫を貼る'!$V$6:$V$10005,'設定'!$C$4,'①在庫を貼る'!$W$6:$W$10005,$C97)&gt;0,SUMIFS('①在庫を貼る'!$O$6:$O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O$6:$O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O$6:$O$10005,'月1回_2ヶ月前の在庫'!$V$6:$V$10005,'設定'!$C$4,'月1回_2ヶ月前の在庫'!$W$6:$W$10005,$C97)/COUNTIFS('月1回_2ヶ月前の在庫'!$V$6:$V$10005,'設定'!$C$4,'月1回_2ヶ月前の在庫'!$W$6:$W$10005,$C97),0))))&gt;0,N(IF(COUNTIFS('①在庫を貼る'!$V$6:$V$10005,'設定'!$C$4,'①在庫を貼る'!$W$6:$W$10005,$C97)&gt;0,SUMIFS('①在庫を貼る'!$O$6:$O$10005,'①在庫を貼る'!$V$6:$V$10005,'設定'!$C$4,'①在庫を貼る'!$W$6:$W$10005,$C97)/COUNTIFS('①在庫を貼る'!$V$6:$V$10005,'設定'!$C$4,'①在庫を貼る'!$W$6:$W$10005,$C97),IF(COUNTIFS('月1回_1ヶ月前の在庫'!$V$6:$V$10005,'設定'!$C$4,'月1回_1ヶ月前の在庫'!$W$6:$W$10005,$C97)&gt;0,SUMIFS('月1回_1ヶ月前の在庫'!$O$6:$O$10005,'月1回_1ヶ月前の在庫'!$V$6:$V$10005,'設定'!$C$4,'月1回_1ヶ月前の在庫'!$W$6:$W$10005,$C97)/COUNTIFS('月1回_1ヶ月前の在庫'!$V$6:$V$10005,'設定'!$C$4,'月1回_1ヶ月前の在庫'!$W$6:$W$10005,$C97),IF(COUNTIFS('月1回_2ヶ月前の在庫'!$V$6:$V$10005,'設定'!$C$4,'月1回_2ヶ月前の在庫'!$W$6:$W$10005,$C97)&gt;0,SUMIFS('月1回_2ヶ月前の在庫'!$O$6:$O$10005,'月1回_2ヶ月前の在庫'!$V$6:$V$10005,'設定'!$C$4,'月1回_2ヶ月前の在庫'!$W$6:$W$10005,$C97)/COUNTIFS('月1回_2ヶ月前の在庫'!$V$6:$V$10005,'設定'!$C$4,'月1回_2ヶ月前の在庫'!$W$6:$W$10005,$C97),0)))),"")))</f>
        <v/>
      </c>
      <c r="P97" s="90">
        <f>IF($C97="","",IF('②発注する'!$I101="","",'②発注する'!$I101))</f>
        <v/>
      </c>
      <c r="Q97">
        <f>IF($C97="","",IF('②発注する'!$J101="","",'②発注する'!$J101))</f>
        <v/>
      </c>
      <c r="R97">
        <f>IF($C97="",0,IF(AND(ISNUMBER($P97),ISNUMBER($Q97)),MAX(0,$Q97)*$G97,0))</f>
        <v/>
      </c>
      <c r="S97" s="90">
        <f>IF($C97="","",IF('②発注する'!$M101="","",'②発注する'!$M101))</f>
        <v/>
      </c>
      <c r="T97">
        <f>IF($C97="","",IF('②発注する'!$N101="","",'②発注する'!$N101))</f>
        <v/>
      </c>
      <c r="U97">
        <f>IF($C97="",0,IF(AND(ISNUMBER($S97),ISNUMBER($T97)),MAX(0,$T97)*$G97,0))</f>
        <v/>
      </c>
      <c r="V97">
        <f>IF($C97="",0,IF($M97="",0,MAX(0,$M97)*MAX(0,V$4)/100))</f>
        <v/>
      </c>
      <c r="W97">
        <f>IF($C97="",0,IF($M97="",0,MAX(0,$M97)*MAX(0,W$4)/100))</f>
        <v/>
      </c>
      <c r="X97">
        <f>IF($C97="",0,IF($M97="",0,MAX(0,$M97)*MAX(0,X$4)/100))</f>
        <v/>
      </c>
      <c r="Y97">
        <f>IF($C97="",0,IF($M97="",0,MAX(0,$M97)*MAX(0,Y$4)/100))</f>
        <v/>
      </c>
      <c r="Z97">
        <f>IF($C97="",0,IF($M97="",0,MAX(0,$M97)*MAX(0,Z$4)/100))</f>
        <v/>
      </c>
      <c r="AA97">
        <f>IF($C97="",0,IF($M97="",0,MAX(0,$M97)*MAX(0,AA$4)/100))</f>
        <v/>
      </c>
      <c r="AB97">
        <f>IF($C97="",0,IF($M97="",0,MAX(0,$M97)*MAX(0,AB$4)/100))</f>
        <v/>
      </c>
      <c r="AC97">
        <f>IF($C97="",0,IF($M97="",0,MAX(0,$M97)*MAX(0,AC$4)/100))</f>
        <v/>
      </c>
      <c r="AD97">
        <f>IF($C97="",0,IF($M97="",0,MAX(0,$M97)*MAX(0,AD$4)/100))</f>
        <v/>
      </c>
      <c r="AE97">
        <f>IF($C97="",0,IF($M97="",0,MAX(0,$M97)*MAX(0,AE$4)/100))</f>
        <v/>
      </c>
      <c r="AF97">
        <f>IF($C97="",0,IF($M97="",0,MAX(0,$M97)*MAX(0,AF$4)/100))</f>
        <v/>
      </c>
      <c r="AG97">
        <f>IF($C97="",0,IF($M97="",0,MAX(0,$M97)*MAX(0,AG$4)/100))</f>
        <v/>
      </c>
      <c r="AH97">
        <f>IF($C97="",0,IF($M97="",0,MAX(0,$M97)*MAX(0,AH$4)/100))</f>
        <v/>
      </c>
      <c r="AI97">
        <f>IF($C97="",0,IF($M97="",0,MAX(0,$M97)*MAX(0,AI$4)/100))</f>
        <v/>
      </c>
      <c r="AJ97">
        <f>IF($C97="",0,MAX(0,MAX(0,N($L97))-$V97))</f>
        <v/>
      </c>
      <c r="AK97">
        <f>IF($C97="",0,MAX(0,$AJ97-$W97))</f>
        <v/>
      </c>
      <c r="AL97">
        <f>IF($C97="",0,MAX(0,$AK97-$X97))</f>
        <v/>
      </c>
      <c r="AM97">
        <f>IF($C97="",0,MAX(0,$AL97-$Y97))</f>
        <v/>
      </c>
      <c r="AN97">
        <f>IF($C97="",0,MAX(0,$AM97-$Z97))</f>
        <v/>
      </c>
      <c r="AO97">
        <f>IF($C97="",0,MAX(0,$AN97-$AA97))</f>
        <v/>
      </c>
      <c r="AP97">
        <f>IF($C97="",0,MAX(0,$AO97-$AB97))</f>
        <v/>
      </c>
      <c r="AQ97">
        <f>IF($C97="",0,MAX(0,$AP97-$AC97))</f>
        <v/>
      </c>
      <c r="AR97">
        <f>IF($C97="",0,MAX(0,$AQ97-$AD97))</f>
        <v/>
      </c>
      <c r="AS97">
        <f>IF($C97="",0,MAX(0,$AR97-$AE97))</f>
        <v/>
      </c>
      <c r="AT97">
        <f>IF($C97="",0,MAX(0,$AS97-$AF97))</f>
        <v/>
      </c>
      <c r="AU97">
        <f>IF($C97="",0,MAX(0,$AT97-$AG97))</f>
        <v/>
      </c>
      <c r="AV97">
        <f>IF($C97="",0,MAX(0,$AU97-$AH97))</f>
        <v/>
      </c>
      <c r="AW97">
        <f>IF($C97="",0,MAX(0,$AV97-$AI97))</f>
        <v/>
      </c>
      <c r="AX97">
        <f>IF($C97="",0,MAX(0,MAX(0,N($L97))+IF($P97=V$3,$R97,0)+IF($S97=V$3,$U97,0)-$V97))</f>
        <v/>
      </c>
      <c r="AY97">
        <f>IF($C97="",0,MAX(0,$AX97+IF($P97=W$3,$R97,0)+IF($S97=W$3,$U97,0)-$W97))</f>
        <v/>
      </c>
      <c r="AZ97">
        <f>IF($C97="",0,MAX(0,$AY97+IF($P97=X$3,$R97,0)+IF($S97=X$3,$U97,0)-$X97))</f>
        <v/>
      </c>
      <c r="BA97">
        <f>IF($C97="",0,MAX(0,$AZ97+IF($P97=Y$3,$R97,0)+IF($S97=Y$3,$U97,0)-$Y97))</f>
        <v/>
      </c>
      <c r="BB97">
        <f>IF($C97="",0,MAX(0,$BA97+IF($P97=Z$3,$R97,0)+IF($S97=Z$3,$U97,0)-$Z97))</f>
        <v/>
      </c>
      <c r="BC97">
        <f>IF($C97="",0,MAX(0,$BB97+IF($P97=AA$3,$R97,0)+IF($S97=AA$3,$U97,0)-$AA97))</f>
        <v/>
      </c>
      <c r="BD97">
        <f>IF($C97="",0,MAX(0,$BC97+IF($P97=AB$3,$R97,0)+IF($S97=AB$3,$U97,0)-$AB97))</f>
        <v/>
      </c>
      <c r="BE97">
        <f>IF($C97="",0,MAX(0,$BD97+IF($P97=AC$3,$R97,0)+IF($S97=AC$3,$U97,0)-$AC97))</f>
        <v/>
      </c>
      <c r="BF97">
        <f>IF($C97="",0,MAX(0,$BE97+IF($P97=AD$3,$R97,0)+IF($S97=AD$3,$U97,0)-$AD97))</f>
        <v/>
      </c>
      <c r="BG97">
        <f>IF($C97="",0,MAX(0,$BF97+IF($P97=AE$3,$R97,0)+IF($S97=AE$3,$U97,0)-$AE97))</f>
        <v/>
      </c>
      <c r="BH97">
        <f>IF($C97="",0,MAX(0,$BG97+IF($P97=AF$3,$R97,0)+IF($S97=AF$3,$U97,0)-$AF97))</f>
        <v/>
      </c>
      <c r="BI97">
        <f>IF($C97="",0,MAX(0,$BH97+IF($P97=AG$3,$R97,0)+IF($S97=AG$3,$U97,0)-$AG97))</f>
        <v/>
      </c>
      <c r="BJ97">
        <f>IF($C97="",0,MAX(0,$BI97+IF($P97=AH$3,$R97,0)+IF($S97=AH$3,$U97,0)-$AH97))</f>
        <v/>
      </c>
      <c r="BK97">
        <f>IF($C97="",0,MAX(0,$BJ97+IF($P97=AI$3,$R97,0)+IF($S97=AI$3,$U97,0)-$AI97))</f>
        <v/>
      </c>
      <c r="BL97">
        <f>IF($C97="",99,IF(AND($AX97&lt;1,V$3&gt;=MAX(N($P97),N($S97))),0,99))</f>
        <v/>
      </c>
      <c r="BM97">
        <f>IF($C97="",99,IF(AND($AY97&lt;1,W$3&gt;=MAX(N($P97),N($S97))),1,99))</f>
        <v/>
      </c>
      <c r="BN97">
        <f>IF($C97="",99,IF(AND($AZ97&lt;1,X$3&gt;=MAX(N($P97),N($S97))),2,99))</f>
        <v/>
      </c>
      <c r="BO97">
        <f>IF($C97="",99,IF(AND($BA97&lt;1,Y$3&gt;=MAX(N($P97),N($S97))),3,99))</f>
        <v/>
      </c>
      <c r="BP97">
        <f>IF($C97="",99,IF(AND($BB97&lt;1,Z$3&gt;=MAX(N($P97),N($S97))),4,99))</f>
        <v/>
      </c>
      <c r="BQ97">
        <f>IF($C97="",99,IF(AND($BC97&lt;1,AA$3&gt;=MAX(N($P97),N($S97))),5,99))</f>
        <v/>
      </c>
      <c r="BR97">
        <f>IF($C97="",99,IF(AND($BD97&lt;1,AB$3&gt;=MAX(N($P97),N($S97))),6,99))</f>
        <v/>
      </c>
      <c r="BS97">
        <f>IF($C97="",99,IF(AND($BE97&lt;1,AC$3&gt;=MAX(N($P97),N($S97))),7,99))</f>
        <v/>
      </c>
      <c r="BT97">
        <f>IF($C97="",99,IF(AND($BF97&lt;1,AD$3&gt;=MAX(N($P97),N($S97))),8,99))</f>
        <v/>
      </c>
      <c r="BU97">
        <f>IF($C97="",99,IF(AND($BG97&lt;1,AE$3&gt;=MAX(N($P97),N($S97))),9,99))</f>
        <v/>
      </c>
      <c r="BV97">
        <f>IF($C97="",99,IF(AND($BH97&lt;1,AF$3&gt;=MAX(N($P97),N($S97))),10,99))</f>
        <v/>
      </c>
      <c r="BW97">
        <f>IF($C97="",99,IF(AND($BI97&lt;1,AG$3&gt;=MAX(N($P97),N($S97))),11,99))</f>
        <v/>
      </c>
      <c r="BX97">
        <f>IF($C97="",99,IF(AND($BJ97&lt;1,AH$3&gt;=MAX(N($P97),N($S97))),12,99))</f>
        <v/>
      </c>
      <c r="BY97">
        <f>IF($C97="",99,IF(AND($BK97&lt;1,AI$3&gt;=MAX(N($P97),N($S97))),13,99))</f>
        <v/>
      </c>
      <c r="BZ97">
        <f>IF(OR($C97="",$M97=""),"",COUNTIF($AJ97:$AW97,"&gt;=1"))</f>
        <v/>
      </c>
      <c r="CA97" s="90">
        <f>IF($BZ97="","",IF($BZ97&gt;=14,"",'設定'!$C$6+$BZ97))</f>
        <v/>
      </c>
      <c r="CB97">
        <f>IF(OR($C97="",$M97=""),"",MIN($BL97:$BY97))</f>
        <v/>
      </c>
      <c r="CC97" s="90">
        <f>IF($CB97="","",IF($CB97&gt;=99,"",'設定'!$C$6+$CB97))</f>
        <v/>
      </c>
      <c r="CD97">
        <f>IF(OR($C97="",$M97=""),"",AVERAGE($V97:$AI97))</f>
        <v/>
      </c>
      <c r="CE97">
        <f>IF($C97="","",IFERROR(IF(MATCH(IF(ISNUMBER($P97),$P97,'設定'!$C$6+N('設定'!$C$7)),$V$3:$AI$3,0)=1,MAX(0,N($L97)),INDEX($AJ97:$AW97,MATCH(IF(ISNUMBER($P97),$P97,'設定'!$C$6+N('設定'!$C$7)),$V$3:$AI$3,0)-1)),""))</f>
        <v/>
      </c>
      <c r="CF97">
        <f>IF(OR($C97="",$O97="",$CE97=""),"",IF($O97-$CE97&lt;=0,0,ROUNDUP(($O97-$CE97)/$G97,0)))</f>
        <v/>
      </c>
      <c r="CG97">
        <f>IF(OR($C97="",$CF97="",NOT(ISNUMBER($Q97))),0,MAX(0,$Q97-$CF97))</f>
        <v/>
      </c>
      <c r="CH97">
        <f>IF(OR($C97="",$O97="",$U97=0),0,IFERROR(ROUNDUP(MAX(0,IF(MATCH($S97,$V$3:$AI$3,0)=1,MAX(0,N($L97)),INDEX($AX97:$BK97,MATCH($S97,$V$3:$AI$3,0)-1))+$U97-$O97)/$G97,0),0))</f>
        <v/>
      </c>
      <c r="CI97">
        <f>IF($C97="","",IF(AND($P97="",$Q97=""),"",IF($P97="","⚠ 入庫日を ▼ から選んでください",IF(NOT(ISNUMBER($P97)),"⚠ 入庫日は ▼ から選んでください",IF($P97&lt;N('設定'!$C$6),"⚠ 入庫日が過去です（もう在庫に入っています）→ 消してください",IF($P97&gt;N('設定'!$C$6)+13,"⚠ 入庫日が14日より先です",IF(N($Q97)&lt;=0,"⚠ 入庫数を入れてください",IF($CG97&gt;0,"⚠ 目安より "&amp;$CG97&amp;" 多い（定数を超える）→ 減らす",""))))))))</f>
        <v/>
      </c>
      <c r="CJ97">
        <f>IF($C97="","",IF(AND($S97="",$T97=""),"",IF($S97="","⚠ 2便目：入庫日を ▼ から選んでください",IF(NOT(ISNUMBER($S97)),"⚠ 2便目：入庫日は ▼ から選んでください",IF($S97&lt;N('設定'!$C$6),"⚠ 2便目：入庫日が過去です（もう在庫に入っています）→ 消してください",IF($S97&gt;N('設定'!$C$6)+13,"⚠ 2便目：入庫日が14日より先です",IF(N($T97)&lt;=0,"⚠ 2便目：入庫数を入れてください",IF($CH97&gt;0,"⚠ 2便目：定数を "&amp;$CH97&amp;" ケース超える → 減らす",""))))))))</f>
        <v/>
      </c>
      <c r="CK97">
        <f>IF(AND($CI97="",N($Q97)&gt;0,ISNUMBER($P97)),1,0)</f>
        <v/>
      </c>
      <c r="CL97">
        <f>IF(AND($CJ97="",N($T97)&gt;0,ISNUMBER($S97)),1,0)</f>
        <v/>
      </c>
      <c r="CM97">
        <f>IF(OR($CK97=1,$CL97=1),1,0)</f>
        <v/>
      </c>
      <c r="CN97">
        <f>IF($C97="",0,($CK97*$R97+$CL97*$U97)*N($H97))</f>
        <v/>
      </c>
      <c r="CO97">
        <f>IF($C97="","",IF($CC97="","入庫後は 14日以上もつ",IF($CC97-N('設定'!$C$7)&lt;='設定'!$C$6,"入庫後も "&amp;TEXT($CC97,"m/d")&amp;"("&amp;CHOOSE(WEEKDAY($CC97),"日","月","火","水","木","金","土")&amp;")"&amp;" に切れる　もう1便を至急発注","入庫後も "&amp;TEXT($CC97,"m/d")&amp;"("&amp;CHOOSE(WEEKDAY($CC97),"日","月","火","水","木","金","土")&amp;")"&amp;" に切れる　"&amp;TEXT($CC97-N('設定'!$C$7),"m/d")&amp;"("&amp;CHOOSE(WEEKDAY($CC97-N('設定'!$C$7)),"日","月","火","水","木","金","土")&amp;")"&amp;" までに次を発注")))</f>
        <v/>
      </c>
      <c r="CP97">
        <f>IF($C97="","",IF('設定'!$C$6="","？ ①在庫を貼る に今日のCSVが貼られていない",IF($CS97=1,"－ 今日のCSVに無い（終売？）",IF($L97&lt;0,"● 在庫がマイナス　数えて「数えた在庫」に入れる",IF($L97=0,"● 在庫なし　至急発注",IF($M97="","？ 減り数が未設定（商品マスタ）",IF($B$3=0,"？ 動員が未入力（動員を入れる）",IF($CA97="","○ 14日以上もつ",IF($BZ97&lt;N('設定'!$C$7),"● "&amp;TEXT($CA97,"m/d")&amp;"("&amp;CHOOSE(WEEKDAY($CA97),"日","月","火","水","木","金","土")&amp;")"&amp;" に切れる　至急発注",IF($BZ97=N('設定'!$C$7),"● "&amp;TEXT($CA97,"m/d")&amp;"("&amp;CHOOSE(WEEKDAY($CA97),"日","月","火","水","木","金","土")&amp;")"&amp;" に切れる　今日発注","△ "&amp;TEXT($CA97,"m/d")&amp;"("&amp;CHOOSE(WEEKDAY($CA97),"日","月","火","水","木","金","土")&amp;")"&amp;" に切れる　"&amp;TEXT($CA97-N('設定'!$C$7),"m/d")&amp;"("&amp;CHOOSE(WEEKDAY($CA97-N('設定'!$C$7)),"日","月","火","水","木","金","土")&amp;")"&amp;" までに発注"))))))))))</f>
        <v/>
      </c>
      <c r="CQ97">
        <f>IF($C97="","",IF(AND($P97="",$Q97="",$S97="",$T97=""),"",IF(AND($P97="",$Q97=""),"⚠ 先に1便目（左の入庫日・入庫数）に入れてください",IF($CI97&lt;&gt;"",$CI97,IF($CJ97&lt;&gt;"",$CJ97,IF($M97="","？ 減り数が未設定（発注書には載ります）",IF($B$3=0,"？ 動員が未入力（発注書には載ります）",IF(AND($CA97&lt;&gt;"",$P97&gt;$CA97),IF($P97&gt;'設定'!$C$6+N('設定'!$C$7),"● "&amp;TEXT($P97,"m/d")&amp;"("&amp;CHOOSE(WEEKDAY($P97),"日","月","火","水","木","金","土")&amp;")"&amp;" の入庫では間に合わない（"&amp;TEXT($CA97,"m/d")&amp;"("&amp;CHOOSE(WEEKDAY($CA97),"日","月","火","水","木","金","土")&amp;")"&amp;" に切れる）　入庫日を早める","△ 欠品 "&amp;TEXT($CA97,"m/d")&amp;"("&amp;CHOOSE(WEEKDAY($CA97),"日","月","火","水","木","金","土")&amp;")"&amp;"〜"&amp;TEXT($P97-1,"m/d")&amp;"("&amp;CHOOSE(WEEKDAY($P97-1),"日","月","火","水","木","金","土")&amp;")"&amp;"　"&amp;$CO97),IF($CC97="","○ "&amp;TEXT($P97,"m/d")&amp;"("&amp;CHOOSE(WEEKDAY($P97),"日","月","火","水","木","金","土")&amp;")"&amp;" 入庫で 14日以上もつ",IF($CC97-N('設定'!$C$7)&lt;='設定'!$C$6,"● 入庫しても "&amp;TEXT($CC97,"m/d")&amp;"("&amp;CHOOSE(WEEKDAY($CC97),"日","月","火","水","木","金","土")&amp;")"&amp;" に切れる　もう1便を至急発注（2便目に入れる）","△ 入庫しても "&amp;TEXT($CC97,"m/d")&amp;"("&amp;CHOOSE(WEEKDAY($CC97),"日","月","火","水","木","金","土")&amp;")"&amp;" に切れる　"&amp;TEXT($CC97-N('設定'!$C$7),"m/d")&amp;"("&amp;CHOOSE(WEEKDAY($CC97-N('設定'!$C$7)),"日","月","火","水","木","金","土")&amp;")"&amp;" までに次を発注（2便目に入れる）"))))))))))</f>
        <v/>
      </c>
      <c r="CR97">
        <f>IF($C97="","",IF($G97&gt;1,"ｹｰｽ("&amp;$G97&amp;"入)","個"))</f>
        <v/>
      </c>
      <c r="CS97">
        <f>IF($C97="",0,IF(COUNTIFS('①在庫を貼る'!$V$6:$V$10005,'設定'!$C$4,'①在庫を貼る'!$W$6:$W$10005,$C97)=0,1,0))</f>
        <v/>
      </c>
      <c r="CT97">
        <f>IF(AND($CK97=1,OR('③発注書'!$C$4="すべて",'③発注書'!$C$4="",$F97='③発注書'!$C$4)),N($CT96)+1,N($CT96))</f>
        <v/>
      </c>
      <c r="CU97">
        <f>IF(AND($CL97=1,OR('③発注書'!$C$4="すべて",'③発注書'!$C$4="",$F97='③発注書'!$C$4)),N($CU96)+1,N($CU96))</f>
        <v/>
      </c>
      <c r="CV97">
        <f>IF($C97="",0,IF(COUNTIFS('①在庫を貼る'!$V$6:$V$10005,'設定'!$C$4,'①在庫を貼る'!$W$6:$W$10005,$C97)&gt;0,1,0))</f>
        <v/>
      </c>
      <c r="CW97">
        <f>IF($C97="",0,IF(COUNTIFS('月1回_1ヶ月前の在庫'!$V$6:$V$10005,'設定'!$C$4,'月1回_1ヶ月前の在庫'!$W$6:$W$10005,$C97)&gt;0,1,0))</f>
        <v/>
      </c>
      <c r="CX97">
        <f>IF($C97="",0,IF(COUNTIFS('月1回_2ヶ月前の在庫'!$V$6:$V$10005,'設定'!$C$4,'月1回_2ヶ月前の在庫'!$W$6:$W$10005,$C97)&gt;0,1,0))</f>
        <v/>
      </c>
      <c r="CY97">
        <f>IF(OR($C97="",'設定'!$C$12=""),"",IF('設定'!$C$13="",IF(AND($CV97=1,$CW97=0),"新商品（今月から）",IF(AND($CV97=0,$CW97=1),"終売（今月から）","")),IF(AND($CV97=1,$CW97=0,$CX97=0),"新商品（今月から）",IF(AND($CV97=1,$CW97=1,$CX97=0),"新商品（先月から）",IF(AND($CV97=0,$CW97=1,$CX97=1),"終売（今月から）",IF(AND($CV97=0,$CW97=0,$CX97=1),"終売（先月から）",IF(AND($CV97=1,$CW97=0,$CX97=1),"復活（先月は無し）","")))))))</f>
        <v/>
      </c>
    </row>
    <row r="98">
      <c r="B98">
        <f>IF(93&lt;='設定'!$C$11,93,"")</f>
        <v/>
      </c>
      <c r="C98">
        <f>IF($B98="","",IF($B98&lt;='設定'!$C$20,INDEX('商品マスタ'!$B$6:$B$1005,MATCH($B98,'商品マスタ'!$M$6:$M$1005,0)),IF($B98&lt;='設定'!$C$20+'設定'!$C$17,INDEX('①在庫を貼る'!$W$6:$W$10005,MATCH($B98-'設定'!$C$20,'①在庫を貼る'!$U$6:$U$10005,0)),IF($B98&lt;='設定'!$C$20+'設定'!$C$17+'設定'!$C$18,INDEX('月1回_1ヶ月前の在庫'!$W$6:$W$10005,MATCH($B98-'設定'!$C$20-'設定'!$C$17,'月1回_1ヶ月前の在庫'!$U$6:$U$10005,0)),INDEX('月1回_2ヶ月前の在庫'!$W$6:$W$10005,MATCH($B98-'設定'!$C$20-'設定'!$C$17-'設定'!$C$18,'月1回_2ヶ月前の在庫'!$U$6:$U$10005,0))))))</f>
        <v/>
      </c>
      <c r="D98">
        <f>IF($C98="","",IFERROR(IF(INDEX('商品マスタ'!$C$6:$C$1005,MATCH($C98,'商品マスタ'!$B$6:$B$1005,0))="",IFERROR(INDEX('①在庫を貼る'!$J$6:$J$10005,MATCH($C98,'①在庫を貼る'!$W$6:$W$10005,0)),IFERROR(INDEX('月1回_1ヶ月前の在庫'!$J$6:$J$10005,MATCH($C98,'月1回_1ヶ月前の在庫'!$W$6:$W$10005,0)),IFERROR(INDEX('月1回_2ヶ月前の在庫'!$J$6:$J$10005,MATCH($C98,'月1回_2ヶ月前の在庫'!$W$6:$W$10005,0)),""))),INDEX('商品マスタ'!$C$6:$C$1005,MATCH($C98,'商品マスタ'!$B$6:$B$1005,0))),IFERROR(INDEX('①在庫を貼る'!$J$6:$J$10005,MATCH($C98,'①在庫を貼る'!$W$6:$W$10005,0)),IFERROR(INDEX('月1回_1ヶ月前の在庫'!$J$6:$J$10005,MATCH($C98,'月1回_1ヶ月前の在庫'!$W$6:$W$10005,0)),IFERROR(INDEX('月1回_2ヶ月前の在庫'!$J$6:$J$10005,MATCH($C98,'月1回_2ヶ月前の在庫'!$W$6:$W$10005,0)),"")))))</f>
        <v/>
      </c>
      <c r="E98">
        <f>IF($C98="","",IFERROR(IF(INDEX('商品マスタ'!$D$6:$D$1005,MATCH($C98,'商品マスタ'!$B$6:$B$1005,0))="",IFERROR(INDEX('①在庫を貼る'!$H$6:$H$10005,MATCH($C98,'①在庫を貼る'!$W$6:$W$10005,0)),IFERROR(INDEX('月1回_1ヶ月前の在庫'!$H$6:$H$10005,MATCH($C98,'月1回_1ヶ月前の在庫'!$W$6:$W$10005,0)),IFERROR(INDEX('月1回_2ヶ月前の在庫'!$H$6:$H$10005,MATCH($C98,'月1回_2ヶ月前の在庫'!$W$6:$W$10005,0)),""))),INDEX('商品マスタ'!$D$6:$D$1005,MATCH($C98,'商品マスタ'!$B$6:$B$1005,0))),IFERROR(INDEX('①在庫を貼る'!$H$6:$H$10005,MATCH($C98,'①在庫を貼る'!$W$6:$W$10005,0)),IFERROR(INDEX('月1回_1ヶ月前の在庫'!$H$6:$H$10005,MATCH($C98,'月1回_1ヶ月前の在庫'!$W$6:$W$10005,0)),IFERROR(INDEX('月1回_2ヶ月前の在庫'!$H$6:$H$10005,MATCH($C98,'月1回_2ヶ月前の在庫'!$W$6:$W$10005,0)),"")))))</f>
        <v/>
      </c>
      <c r="F98">
        <f>IF($C98="","",IFERROR(IF(INDEX('商品マスタ'!$E$6:$E$1005,MATCH($C98,'商品マスタ'!$B$6:$B$1005,0))="",IFERROR(INDEX('①在庫を貼る'!$E$6:$E$10005,MATCH($C98,'①在庫を貼る'!$W$6:$W$10005,0)),IFERROR(INDEX('月1回_1ヶ月前の在庫'!$E$6:$E$10005,MATCH($C98,'月1回_1ヶ月前の在庫'!$W$6:$W$10005,0)),IFERROR(INDEX('月1回_2ヶ月前の在庫'!$E$6:$E$10005,MATCH($C98,'月1回_2ヶ月前の在庫'!$W$6:$W$10005,0)),""))),INDEX('商品マスタ'!$E$6:$E$1005,MATCH($C98,'商品マスタ'!$B$6:$B$1005,0))),IFERROR(INDEX('①在庫を貼る'!$E$6:$E$10005,MATCH($C98,'①在庫を貼る'!$W$6:$W$10005,0)),IFERROR(INDEX('月1回_1ヶ月前の在庫'!$E$6:$E$10005,MATCH($C98,'月1回_1ヶ月前の在庫'!$W$6:$W$10005,0)),IFERROR(INDEX('月1回_2ヶ月前の在庫'!$E$6:$E$10005,MATCH($C98,'月1回_2ヶ月前の在庫'!$W$6:$W$10005,0)),"")))))</f>
        <v/>
      </c>
      <c r="G98">
        <f>IF($C98="","",MAX(1,N(IFERROR(IF(INDEX('商品マスタ'!$F$6:$F$1005,MATCH($C98,'商品マスタ'!$B$6:$B$1005,0))="",IF(COUNTIFS('①在庫を貼る'!$V$6:$V$10005,'設定'!$C$4,'①在庫を貼る'!$W$6:$W$10005,$C98)&gt;0,SUMIFS('①在庫を貼る'!$K$6:$K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K$6:$K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K$6:$K$10005,'月1回_2ヶ月前の在庫'!$V$6:$V$10005,'設定'!$C$4,'月1回_2ヶ月前の在庫'!$W$6:$W$10005,$C98)/COUNTIFS('月1回_2ヶ月前の在庫'!$V$6:$V$10005,'設定'!$C$4,'月1回_2ヶ月前の在庫'!$W$6:$W$10005,$C98),0))),INDEX('商品マスタ'!$F$6:$F$1005,MATCH($C98,'商品マスタ'!$B$6:$B$1005,0))),IF(COUNTIFS('①在庫を貼る'!$V$6:$V$10005,'設定'!$C$4,'①在庫を貼る'!$W$6:$W$10005,$C98)&gt;0,SUMIFS('①在庫を貼る'!$K$6:$K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K$6:$K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K$6:$K$10005,'月1回_2ヶ月前の在庫'!$V$6:$V$10005,'設定'!$C$4,'月1回_2ヶ月前の在庫'!$W$6:$W$10005,$C98)/COUNTIFS('月1回_2ヶ月前の在庫'!$V$6:$V$10005,'設定'!$C$4,'月1回_2ヶ月前の在庫'!$W$6:$W$10005,$C98),0)))))))</f>
        <v/>
      </c>
      <c r="H98">
        <f>IF($C98="","",N(IFERROR(IF(INDEX('商品マスタ'!$G$6:$G$1005,MATCH($C98,'商品マスタ'!$B$6:$B$1005,0))="",IF(COUNTIFS('①在庫を貼る'!$V$6:$V$10005,'設定'!$C$4,'①在庫を貼る'!$W$6:$W$10005,$C98)&gt;0,SUMIFS('①在庫を貼る'!$Q$6:$Q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Q$6:$Q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Q$6:$Q$10005,'月1回_2ヶ月前の在庫'!$V$6:$V$10005,'設定'!$C$4,'月1回_2ヶ月前の在庫'!$W$6:$W$10005,$C98)/COUNTIFS('月1回_2ヶ月前の在庫'!$V$6:$V$10005,'設定'!$C$4,'月1回_2ヶ月前の在庫'!$W$6:$W$10005,$C98),0))),INDEX('商品マスタ'!$G$6:$G$1005,MATCH($C98,'商品マスタ'!$B$6:$B$1005,0))),IF(COUNTIFS('①在庫を貼る'!$V$6:$V$10005,'設定'!$C$4,'①在庫を貼る'!$W$6:$W$10005,$C98)&gt;0,SUMIFS('①在庫を貼る'!$Q$6:$Q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Q$6:$Q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Q$6:$Q$10005,'月1回_2ヶ月前の在庫'!$V$6:$V$10005,'設定'!$C$4,'月1回_2ヶ月前の在庫'!$W$6:$W$10005,$C98)/COUNTIFS('月1回_2ヶ月前の在庫'!$V$6:$V$10005,'設定'!$C$4,'月1回_2ヶ月前の在庫'!$W$6:$W$10005,$C98),0))))))</f>
        <v/>
      </c>
      <c r="I98">
        <f>IF($C98="","",IF(COUNTIFS('①在庫を貼る'!$V$6:$V$10005,'設定'!$C$4,'①在庫を貼る'!$W$6:$W$10005,$C98)=0,"",SUMIFS('①在庫を貼る'!$N$6:$N$10005,'①在庫を貼る'!$V$6:$V$10005,'設定'!$C$4,'①在庫を貼る'!$W$6:$W$10005,$C98)))</f>
        <v/>
      </c>
      <c r="J98">
        <f>IF($C98="","",IF('②発注する'!$AD102="","",'②発注する'!$AD102))</f>
        <v/>
      </c>
      <c r="K98" s="90">
        <f>IF($C98="","",IF('②発注する'!$AE102="","",'②発注する'!$AE102))</f>
        <v/>
      </c>
      <c r="L98">
        <f>IF($C98="","",IF(AND(ISNUMBER($J98),ISNUMBER($K98),$K98&gt;='設定'!$C$6),$J98,N($I98)))</f>
        <v/>
      </c>
      <c r="M98">
        <f>IF($C98="","",IFERROR(IF(N(INDEX('商品マスタ'!$J$6:$J$1005,MATCH($C98,'商品マスタ'!$B$6:$B$1005,0)))&gt;0,INDEX('商品マスタ'!$J$6:$J$1005,MATCH($C98,'商品マスタ'!$B$6:$B$1005,0)),""),""))</f>
        <v/>
      </c>
      <c r="N98">
        <f>IF($C98="","",IFERROR(IF(N(INDEX('商品マスタ'!$H$6:$H$1005,MATCH($C98,'商品マスタ'!$B$6:$B$1005,0)))&gt;0,INDEX('商品マスタ'!$H$6:$H$1005,MATCH($C98,'商品マスタ'!$B$6:$B$1005,0)),""),""))</f>
        <v/>
      </c>
      <c r="O98">
        <f>IF($C98="","",IF($N98&lt;&gt;"",$N98*$G98,IF(N(IF(COUNTIFS('①在庫を貼る'!$V$6:$V$10005,'設定'!$C$4,'①在庫を貼る'!$W$6:$W$10005,$C98)&gt;0,SUMIFS('①在庫を貼る'!$O$6:$O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O$6:$O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O$6:$O$10005,'月1回_2ヶ月前の在庫'!$V$6:$V$10005,'設定'!$C$4,'月1回_2ヶ月前の在庫'!$W$6:$W$10005,$C98)/COUNTIFS('月1回_2ヶ月前の在庫'!$V$6:$V$10005,'設定'!$C$4,'月1回_2ヶ月前の在庫'!$W$6:$W$10005,$C98),0))))&gt;0,N(IF(COUNTIFS('①在庫を貼る'!$V$6:$V$10005,'設定'!$C$4,'①在庫を貼る'!$W$6:$W$10005,$C98)&gt;0,SUMIFS('①在庫を貼る'!$O$6:$O$10005,'①在庫を貼る'!$V$6:$V$10005,'設定'!$C$4,'①在庫を貼る'!$W$6:$W$10005,$C98)/COUNTIFS('①在庫を貼る'!$V$6:$V$10005,'設定'!$C$4,'①在庫を貼る'!$W$6:$W$10005,$C98),IF(COUNTIFS('月1回_1ヶ月前の在庫'!$V$6:$V$10005,'設定'!$C$4,'月1回_1ヶ月前の在庫'!$W$6:$W$10005,$C98)&gt;0,SUMIFS('月1回_1ヶ月前の在庫'!$O$6:$O$10005,'月1回_1ヶ月前の在庫'!$V$6:$V$10005,'設定'!$C$4,'月1回_1ヶ月前の在庫'!$W$6:$W$10005,$C98)/COUNTIFS('月1回_1ヶ月前の在庫'!$V$6:$V$10005,'設定'!$C$4,'月1回_1ヶ月前の在庫'!$W$6:$W$10005,$C98),IF(COUNTIFS('月1回_2ヶ月前の在庫'!$V$6:$V$10005,'設定'!$C$4,'月1回_2ヶ月前の在庫'!$W$6:$W$10005,$C98)&gt;0,SUMIFS('月1回_2ヶ月前の在庫'!$O$6:$O$10005,'月1回_2ヶ月前の在庫'!$V$6:$V$10005,'設定'!$C$4,'月1回_2ヶ月前の在庫'!$W$6:$W$10005,$C98)/COUNTIFS('月1回_2ヶ月前の在庫'!$V$6:$V$10005,'設定'!$C$4,'月1回_2ヶ月前の在庫'!$W$6:$W$10005,$C98),0)))),"")))</f>
        <v/>
      </c>
      <c r="P98" s="90">
        <f>IF($C98="","",IF('②発注する'!$I102="","",'②発注する'!$I102))</f>
        <v/>
      </c>
      <c r="Q98">
        <f>IF($C98="","",IF('②発注する'!$J102="","",'②発注する'!$J102))</f>
        <v/>
      </c>
      <c r="R98">
        <f>IF($C98="",0,IF(AND(ISNUMBER($P98),ISNUMBER($Q98)),MAX(0,$Q98)*$G98,0))</f>
        <v/>
      </c>
      <c r="S98" s="90">
        <f>IF($C98="","",IF('②発注する'!$M102="","",'②発注する'!$M102))</f>
        <v/>
      </c>
      <c r="T98">
        <f>IF($C98="","",IF('②発注する'!$N102="","",'②発注する'!$N102))</f>
        <v/>
      </c>
      <c r="U98">
        <f>IF($C98="",0,IF(AND(ISNUMBER($S98),ISNUMBER($T98)),MAX(0,$T98)*$G98,0))</f>
        <v/>
      </c>
      <c r="V98">
        <f>IF($C98="",0,IF($M98="",0,MAX(0,$M98)*MAX(0,V$4)/100))</f>
        <v/>
      </c>
      <c r="W98">
        <f>IF($C98="",0,IF($M98="",0,MAX(0,$M98)*MAX(0,W$4)/100))</f>
        <v/>
      </c>
      <c r="X98">
        <f>IF($C98="",0,IF($M98="",0,MAX(0,$M98)*MAX(0,X$4)/100))</f>
        <v/>
      </c>
      <c r="Y98">
        <f>IF($C98="",0,IF($M98="",0,MAX(0,$M98)*MAX(0,Y$4)/100))</f>
        <v/>
      </c>
      <c r="Z98">
        <f>IF($C98="",0,IF($M98="",0,MAX(0,$M98)*MAX(0,Z$4)/100))</f>
        <v/>
      </c>
      <c r="AA98">
        <f>IF($C98="",0,IF($M98="",0,MAX(0,$M98)*MAX(0,AA$4)/100))</f>
        <v/>
      </c>
      <c r="AB98">
        <f>IF($C98="",0,IF($M98="",0,MAX(0,$M98)*MAX(0,AB$4)/100))</f>
        <v/>
      </c>
      <c r="AC98">
        <f>IF($C98="",0,IF($M98="",0,MAX(0,$M98)*MAX(0,AC$4)/100))</f>
        <v/>
      </c>
      <c r="AD98">
        <f>IF($C98="",0,IF($M98="",0,MAX(0,$M98)*MAX(0,AD$4)/100))</f>
        <v/>
      </c>
      <c r="AE98">
        <f>IF($C98="",0,IF($M98="",0,MAX(0,$M98)*MAX(0,AE$4)/100))</f>
        <v/>
      </c>
      <c r="AF98">
        <f>IF($C98="",0,IF($M98="",0,MAX(0,$M98)*MAX(0,AF$4)/100))</f>
        <v/>
      </c>
      <c r="AG98">
        <f>IF($C98="",0,IF($M98="",0,MAX(0,$M98)*MAX(0,AG$4)/100))</f>
        <v/>
      </c>
      <c r="AH98">
        <f>IF($C98="",0,IF($M98="",0,MAX(0,$M98)*MAX(0,AH$4)/100))</f>
        <v/>
      </c>
      <c r="AI98">
        <f>IF($C98="",0,IF($M98="",0,MAX(0,$M98)*MAX(0,AI$4)/100))</f>
        <v/>
      </c>
      <c r="AJ98">
        <f>IF($C98="",0,MAX(0,MAX(0,N($L98))-$V98))</f>
        <v/>
      </c>
      <c r="AK98">
        <f>IF($C98="",0,MAX(0,$AJ98-$W98))</f>
        <v/>
      </c>
      <c r="AL98">
        <f>IF($C98="",0,MAX(0,$AK98-$X98))</f>
        <v/>
      </c>
      <c r="AM98">
        <f>IF($C98="",0,MAX(0,$AL98-$Y98))</f>
        <v/>
      </c>
      <c r="AN98">
        <f>IF($C98="",0,MAX(0,$AM98-$Z98))</f>
        <v/>
      </c>
      <c r="AO98">
        <f>IF($C98="",0,MAX(0,$AN98-$AA98))</f>
        <v/>
      </c>
      <c r="AP98">
        <f>IF($C98="",0,MAX(0,$AO98-$AB98))</f>
        <v/>
      </c>
      <c r="AQ98">
        <f>IF($C98="",0,MAX(0,$AP98-$AC98))</f>
        <v/>
      </c>
      <c r="AR98">
        <f>IF($C98="",0,MAX(0,$AQ98-$AD98))</f>
        <v/>
      </c>
      <c r="AS98">
        <f>IF($C98="",0,MAX(0,$AR98-$AE98))</f>
        <v/>
      </c>
      <c r="AT98">
        <f>IF($C98="",0,MAX(0,$AS98-$AF98))</f>
        <v/>
      </c>
      <c r="AU98">
        <f>IF($C98="",0,MAX(0,$AT98-$AG98))</f>
        <v/>
      </c>
      <c r="AV98">
        <f>IF($C98="",0,MAX(0,$AU98-$AH98))</f>
        <v/>
      </c>
      <c r="AW98">
        <f>IF($C98="",0,MAX(0,$AV98-$AI98))</f>
        <v/>
      </c>
      <c r="AX98">
        <f>IF($C98="",0,MAX(0,MAX(0,N($L98))+IF($P98=V$3,$R98,0)+IF($S98=V$3,$U98,0)-$V98))</f>
        <v/>
      </c>
      <c r="AY98">
        <f>IF($C98="",0,MAX(0,$AX98+IF($P98=W$3,$R98,0)+IF($S98=W$3,$U98,0)-$W98))</f>
        <v/>
      </c>
      <c r="AZ98">
        <f>IF($C98="",0,MAX(0,$AY98+IF($P98=X$3,$R98,0)+IF($S98=X$3,$U98,0)-$X98))</f>
        <v/>
      </c>
      <c r="BA98">
        <f>IF($C98="",0,MAX(0,$AZ98+IF($P98=Y$3,$R98,0)+IF($S98=Y$3,$U98,0)-$Y98))</f>
        <v/>
      </c>
      <c r="BB98">
        <f>IF($C98="",0,MAX(0,$BA98+IF($P98=Z$3,$R98,0)+IF($S98=Z$3,$U98,0)-$Z98))</f>
        <v/>
      </c>
      <c r="BC98">
        <f>IF($C98="",0,MAX(0,$BB98+IF($P98=AA$3,$R98,0)+IF($S98=AA$3,$U98,0)-$AA98))</f>
        <v/>
      </c>
      <c r="BD98">
        <f>IF($C98="",0,MAX(0,$BC98+IF($P98=AB$3,$R98,0)+IF($S98=AB$3,$U98,0)-$AB98))</f>
        <v/>
      </c>
      <c r="BE98">
        <f>IF($C98="",0,MAX(0,$BD98+IF($P98=AC$3,$R98,0)+IF($S98=AC$3,$U98,0)-$AC98))</f>
        <v/>
      </c>
      <c r="BF98">
        <f>IF($C98="",0,MAX(0,$BE98+IF($P98=AD$3,$R98,0)+IF($S98=AD$3,$U98,0)-$AD98))</f>
        <v/>
      </c>
      <c r="BG98">
        <f>IF($C98="",0,MAX(0,$BF98+IF($P98=AE$3,$R98,0)+IF($S98=AE$3,$U98,0)-$AE98))</f>
        <v/>
      </c>
      <c r="BH98">
        <f>IF($C98="",0,MAX(0,$BG98+IF($P98=AF$3,$R98,0)+IF($S98=AF$3,$U98,0)-$AF98))</f>
        <v/>
      </c>
      <c r="BI98">
        <f>IF($C98="",0,MAX(0,$BH98+IF($P98=AG$3,$R98,0)+IF($S98=AG$3,$U98,0)-$AG98))</f>
        <v/>
      </c>
      <c r="BJ98">
        <f>IF($C98="",0,MAX(0,$BI98+IF($P98=AH$3,$R98,0)+IF($S98=AH$3,$U98,0)-$AH98))</f>
        <v/>
      </c>
      <c r="BK98">
        <f>IF($C98="",0,MAX(0,$BJ98+IF($P98=AI$3,$R98,0)+IF($S98=AI$3,$U98,0)-$AI98))</f>
        <v/>
      </c>
      <c r="BL98">
        <f>IF($C98="",99,IF(AND($AX98&lt;1,V$3&gt;=MAX(N($P98),N($S98))),0,99))</f>
        <v/>
      </c>
      <c r="BM98">
        <f>IF($C98="",99,IF(AND($AY98&lt;1,W$3&gt;=MAX(N($P98),N($S98))),1,99))</f>
        <v/>
      </c>
      <c r="BN98">
        <f>IF($C98="",99,IF(AND($AZ98&lt;1,X$3&gt;=MAX(N($P98),N($S98))),2,99))</f>
        <v/>
      </c>
      <c r="BO98">
        <f>IF($C98="",99,IF(AND($BA98&lt;1,Y$3&gt;=MAX(N($P98),N($S98))),3,99))</f>
        <v/>
      </c>
      <c r="BP98">
        <f>IF($C98="",99,IF(AND($BB98&lt;1,Z$3&gt;=MAX(N($P98),N($S98))),4,99))</f>
        <v/>
      </c>
      <c r="BQ98">
        <f>IF($C98="",99,IF(AND($BC98&lt;1,AA$3&gt;=MAX(N($P98),N($S98))),5,99))</f>
        <v/>
      </c>
      <c r="BR98">
        <f>IF($C98="",99,IF(AND($BD98&lt;1,AB$3&gt;=MAX(N($P98),N($S98))),6,99))</f>
        <v/>
      </c>
      <c r="BS98">
        <f>IF($C98="",99,IF(AND($BE98&lt;1,AC$3&gt;=MAX(N($P98),N($S98))),7,99))</f>
        <v/>
      </c>
      <c r="BT98">
        <f>IF($C98="",99,IF(AND($BF98&lt;1,AD$3&gt;=MAX(N($P98),N($S98))),8,99))</f>
        <v/>
      </c>
      <c r="BU98">
        <f>IF($C98="",99,IF(AND($BG98&lt;1,AE$3&gt;=MAX(N($P98),N($S98))),9,99))</f>
        <v/>
      </c>
      <c r="BV98">
        <f>IF($C98="",99,IF(AND($BH98&lt;1,AF$3&gt;=MAX(N($P98),N($S98))),10,99))</f>
        <v/>
      </c>
      <c r="BW98">
        <f>IF($C98="",99,IF(AND($BI98&lt;1,AG$3&gt;=MAX(N($P98),N($S98))),11,99))</f>
        <v/>
      </c>
      <c r="BX98">
        <f>IF($C98="",99,IF(AND($BJ98&lt;1,AH$3&gt;=MAX(N($P98),N($S98))),12,99))</f>
        <v/>
      </c>
      <c r="BY98">
        <f>IF($C98="",99,IF(AND($BK98&lt;1,AI$3&gt;=MAX(N($P98),N($S98))),13,99))</f>
        <v/>
      </c>
      <c r="BZ98">
        <f>IF(OR($C98="",$M98=""),"",COUNTIF($AJ98:$AW98,"&gt;=1"))</f>
        <v/>
      </c>
      <c r="CA98" s="90">
        <f>IF($BZ98="","",IF($BZ98&gt;=14,"",'設定'!$C$6+$BZ98))</f>
        <v/>
      </c>
      <c r="CB98">
        <f>IF(OR($C98="",$M98=""),"",MIN($BL98:$BY98))</f>
        <v/>
      </c>
      <c r="CC98" s="90">
        <f>IF($CB98="","",IF($CB98&gt;=99,"",'設定'!$C$6+$CB98))</f>
        <v/>
      </c>
      <c r="CD98">
        <f>IF(OR($C98="",$M98=""),"",AVERAGE($V98:$AI98))</f>
        <v/>
      </c>
      <c r="CE98">
        <f>IF($C98="","",IFERROR(IF(MATCH(IF(ISNUMBER($P98),$P98,'設定'!$C$6+N('設定'!$C$7)),$V$3:$AI$3,0)=1,MAX(0,N($L98)),INDEX($AJ98:$AW98,MATCH(IF(ISNUMBER($P98),$P98,'設定'!$C$6+N('設定'!$C$7)),$V$3:$AI$3,0)-1)),""))</f>
        <v/>
      </c>
      <c r="CF98">
        <f>IF(OR($C98="",$O98="",$CE98=""),"",IF($O98-$CE98&lt;=0,0,ROUNDUP(($O98-$CE98)/$G98,0)))</f>
        <v/>
      </c>
      <c r="CG98">
        <f>IF(OR($C98="",$CF98="",NOT(ISNUMBER($Q98))),0,MAX(0,$Q98-$CF98))</f>
        <v/>
      </c>
      <c r="CH98">
        <f>IF(OR($C98="",$O98="",$U98=0),0,IFERROR(ROUNDUP(MAX(0,IF(MATCH($S98,$V$3:$AI$3,0)=1,MAX(0,N($L98)),INDEX($AX98:$BK98,MATCH($S98,$V$3:$AI$3,0)-1))+$U98-$O98)/$G98,0),0))</f>
        <v/>
      </c>
      <c r="CI98">
        <f>IF($C98="","",IF(AND($P98="",$Q98=""),"",IF($P98="","⚠ 入庫日を ▼ から選んでください",IF(NOT(ISNUMBER($P98)),"⚠ 入庫日は ▼ から選んでください",IF($P98&lt;N('設定'!$C$6),"⚠ 入庫日が過去です（もう在庫に入っています）→ 消してください",IF($P98&gt;N('設定'!$C$6)+13,"⚠ 入庫日が14日より先です",IF(N($Q98)&lt;=0,"⚠ 入庫数を入れてください",IF($CG98&gt;0,"⚠ 目安より "&amp;$CG98&amp;" 多い（定数を超える）→ 減らす",""))))))))</f>
        <v/>
      </c>
      <c r="CJ98">
        <f>IF($C98="","",IF(AND($S98="",$T98=""),"",IF($S98="","⚠ 2便目：入庫日を ▼ から選んでください",IF(NOT(ISNUMBER($S98)),"⚠ 2便目：入庫日は ▼ から選んでください",IF($S98&lt;N('設定'!$C$6),"⚠ 2便目：入庫日が過去です（もう在庫に入っています）→ 消してください",IF($S98&gt;N('設定'!$C$6)+13,"⚠ 2便目：入庫日が14日より先です",IF(N($T98)&lt;=0,"⚠ 2便目：入庫数を入れてください",IF($CH98&gt;0,"⚠ 2便目：定数を "&amp;$CH98&amp;" ケース超える → 減らす",""))))))))</f>
        <v/>
      </c>
      <c r="CK98">
        <f>IF(AND($CI98="",N($Q98)&gt;0,ISNUMBER($P98)),1,0)</f>
        <v/>
      </c>
      <c r="CL98">
        <f>IF(AND($CJ98="",N($T98)&gt;0,ISNUMBER($S98)),1,0)</f>
        <v/>
      </c>
      <c r="CM98">
        <f>IF(OR($CK98=1,$CL98=1),1,0)</f>
        <v/>
      </c>
      <c r="CN98">
        <f>IF($C98="",0,($CK98*$R98+$CL98*$U98)*N($H98))</f>
        <v/>
      </c>
      <c r="CO98">
        <f>IF($C98="","",IF($CC98="","入庫後は 14日以上もつ",IF($CC98-N('設定'!$C$7)&lt;='設定'!$C$6,"入庫後も "&amp;TEXT($CC98,"m/d")&amp;"("&amp;CHOOSE(WEEKDAY($CC98),"日","月","火","水","木","金","土")&amp;")"&amp;" に切れる　もう1便を至急発注","入庫後も "&amp;TEXT($CC98,"m/d")&amp;"("&amp;CHOOSE(WEEKDAY($CC98),"日","月","火","水","木","金","土")&amp;")"&amp;" に切れる　"&amp;TEXT($CC98-N('設定'!$C$7),"m/d")&amp;"("&amp;CHOOSE(WEEKDAY($CC98-N('設定'!$C$7)),"日","月","火","水","木","金","土")&amp;")"&amp;" までに次を発注")))</f>
        <v/>
      </c>
      <c r="CP98">
        <f>IF($C98="","",IF('設定'!$C$6="","？ ①在庫を貼る に今日のCSVが貼られていない",IF($CS98=1,"－ 今日のCSVに無い（終売？）",IF($L98&lt;0,"● 在庫がマイナス　数えて「数えた在庫」に入れる",IF($L98=0,"● 在庫なし　至急発注",IF($M98="","？ 減り数が未設定（商品マスタ）",IF($B$3=0,"？ 動員が未入力（動員を入れる）",IF($CA98="","○ 14日以上もつ",IF($BZ98&lt;N('設定'!$C$7),"● "&amp;TEXT($CA98,"m/d")&amp;"("&amp;CHOOSE(WEEKDAY($CA98),"日","月","火","水","木","金","土")&amp;")"&amp;" に切れる　至急発注",IF($BZ98=N('設定'!$C$7),"● "&amp;TEXT($CA98,"m/d")&amp;"("&amp;CHOOSE(WEEKDAY($CA98),"日","月","火","水","木","金","土")&amp;")"&amp;" に切れる　今日発注","△ "&amp;TEXT($CA98,"m/d")&amp;"("&amp;CHOOSE(WEEKDAY($CA98),"日","月","火","水","木","金","土")&amp;")"&amp;" に切れる　"&amp;TEXT($CA98-N('設定'!$C$7),"m/d")&amp;"("&amp;CHOOSE(WEEKDAY($CA98-N('設定'!$C$7)),"日","月","火","水","木","金","土")&amp;")"&amp;" までに発注"))))))))))</f>
        <v/>
      </c>
      <c r="CQ98">
        <f>IF($C98="","",IF(AND($P98="",$Q98="",$S98="",$T98=""),"",IF(AND($P98="",$Q98=""),"⚠ 先に1便目（左の入庫日・入庫数）に入れてください",IF($CI98&lt;&gt;"",$CI98,IF($CJ98&lt;&gt;"",$CJ98,IF($M98="","？ 減り数が未設定（発注書には載ります）",IF($B$3=0,"？ 動員が未入力（発注書には載ります）",IF(AND($CA98&lt;&gt;"",$P98&gt;$CA98),IF($P98&gt;'設定'!$C$6+N('設定'!$C$7),"● "&amp;TEXT($P98,"m/d")&amp;"("&amp;CHOOSE(WEEKDAY($P98),"日","月","火","水","木","金","土")&amp;")"&amp;" の入庫では間に合わない（"&amp;TEXT($CA98,"m/d")&amp;"("&amp;CHOOSE(WEEKDAY($CA98),"日","月","火","水","木","金","土")&amp;")"&amp;" に切れる）　入庫日を早める","△ 欠品 "&amp;TEXT($CA98,"m/d")&amp;"("&amp;CHOOSE(WEEKDAY($CA98),"日","月","火","水","木","金","土")&amp;")"&amp;"〜"&amp;TEXT($P98-1,"m/d")&amp;"("&amp;CHOOSE(WEEKDAY($P98-1),"日","月","火","水","木","金","土")&amp;")"&amp;"　"&amp;$CO98),IF($CC98="","○ "&amp;TEXT($P98,"m/d")&amp;"("&amp;CHOOSE(WEEKDAY($P98),"日","月","火","水","木","金","土")&amp;")"&amp;" 入庫で 14日以上もつ",IF($CC98-N('設定'!$C$7)&lt;='設定'!$C$6,"● 入庫しても "&amp;TEXT($CC98,"m/d")&amp;"("&amp;CHOOSE(WEEKDAY($CC98),"日","月","火","水","木","金","土")&amp;")"&amp;" に切れる　もう1便を至急発注（2便目に入れる）","△ 入庫しても "&amp;TEXT($CC98,"m/d")&amp;"("&amp;CHOOSE(WEEKDAY($CC98),"日","月","火","水","木","金","土")&amp;")"&amp;" に切れる　"&amp;TEXT($CC98-N('設定'!$C$7),"m/d")&amp;"("&amp;CHOOSE(WEEKDAY($CC98-N('設定'!$C$7)),"日","月","火","水","木","金","土")&amp;")"&amp;" までに次を発注（2便目に入れる）"))))))))))</f>
        <v/>
      </c>
      <c r="CR98">
        <f>IF($C98="","",IF($G98&gt;1,"ｹｰｽ("&amp;$G98&amp;"入)","個"))</f>
        <v/>
      </c>
      <c r="CS98">
        <f>IF($C98="",0,IF(COUNTIFS('①在庫を貼る'!$V$6:$V$10005,'設定'!$C$4,'①在庫を貼る'!$W$6:$W$10005,$C98)=0,1,0))</f>
        <v/>
      </c>
      <c r="CT98">
        <f>IF(AND($CK98=1,OR('③発注書'!$C$4="すべて",'③発注書'!$C$4="",$F98='③発注書'!$C$4)),N($CT97)+1,N($CT97))</f>
        <v/>
      </c>
      <c r="CU98">
        <f>IF(AND($CL98=1,OR('③発注書'!$C$4="すべて",'③発注書'!$C$4="",$F98='③発注書'!$C$4)),N($CU97)+1,N($CU97))</f>
        <v/>
      </c>
      <c r="CV98">
        <f>IF($C98="",0,IF(COUNTIFS('①在庫を貼る'!$V$6:$V$10005,'設定'!$C$4,'①在庫を貼る'!$W$6:$W$10005,$C98)&gt;0,1,0))</f>
        <v/>
      </c>
      <c r="CW98">
        <f>IF($C98="",0,IF(COUNTIFS('月1回_1ヶ月前の在庫'!$V$6:$V$10005,'設定'!$C$4,'月1回_1ヶ月前の在庫'!$W$6:$W$10005,$C98)&gt;0,1,0))</f>
        <v/>
      </c>
      <c r="CX98">
        <f>IF($C98="",0,IF(COUNTIFS('月1回_2ヶ月前の在庫'!$V$6:$V$10005,'設定'!$C$4,'月1回_2ヶ月前の在庫'!$W$6:$W$10005,$C98)&gt;0,1,0))</f>
        <v/>
      </c>
      <c r="CY98">
        <f>IF(OR($C98="",'設定'!$C$12=""),"",IF('設定'!$C$13="",IF(AND($CV98=1,$CW98=0),"新商品（今月から）",IF(AND($CV98=0,$CW98=1),"終売（今月から）","")),IF(AND($CV98=1,$CW98=0,$CX98=0),"新商品（今月から）",IF(AND($CV98=1,$CW98=1,$CX98=0),"新商品（先月から）",IF(AND($CV98=0,$CW98=1,$CX98=1),"終売（今月から）",IF(AND($CV98=0,$CW98=0,$CX98=1),"終売（先月から）",IF(AND($CV98=1,$CW98=0,$CX98=1),"復活（先月は無し）","")))))))</f>
        <v/>
      </c>
    </row>
    <row r="99">
      <c r="B99">
        <f>IF(94&lt;='設定'!$C$11,94,"")</f>
        <v/>
      </c>
      <c r="C99">
        <f>IF($B99="","",IF($B99&lt;='設定'!$C$20,INDEX('商品マスタ'!$B$6:$B$1005,MATCH($B99,'商品マスタ'!$M$6:$M$1005,0)),IF($B99&lt;='設定'!$C$20+'設定'!$C$17,INDEX('①在庫を貼る'!$W$6:$W$10005,MATCH($B99-'設定'!$C$20,'①在庫を貼る'!$U$6:$U$10005,0)),IF($B99&lt;='設定'!$C$20+'設定'!$C$17+'設定'!$C$18,INDEX('月1回_1ヶ月前の在庫'!$W$6:$W$10005,MATCH($B99-'設定'!$C$20-'設定'!$C$17,'月1回_1ヶ月前の在庫'!$U$6:$U$10005,0)),INDEX('月1回_2ヶ月前の在庫'!$W$6:$W$10005,MATCH($B99-'設定'!$C$20-'設定'!$C$17-'設定'!$C$18,'月1回_2ヶ月前の在庫'!$U$6:$U$10005,0))))))</f>
        <v/>
      </c>
      <c r="D99">
        <f>IF($C99="","",IFERROR(IF(INDEX('商品マスタ'!$C$6:$C$1005,MATCH($C99,'商品マスタ'!$B$6:$B$1005,0))="",IFERROR(INDEX('①在庫を貼る'!$J$6:$J$10005,MATCH($C99,'①在庫を貼る'!$W$6:$W$10005,0)),IFERROR(INDEX('月1回_1ヶ月前の在庫'!$J$6:$J$10005,MATCH($C99,'月1回_1ヶ月前の在庫'!$W$6:$W$10005,0)),IFERROR(INDEX('月1回_2ヶ月前の在庫'!$J$6:$J$10005,MATCH($C99,'月1回_2ヶ月前の在庫'!$W$6:$W$10005,0)),""))),INDEX('商品マスタ'!$C$6:$C$1005,MATCH($C99,'商品マスタ'!$B$6:$B$1005,0))),IFERROR(INDEX('①在庫を貼る'!$J$6:$J$10005,MATCH($C99,'①在庫を貼る'!$W$6:$W$10005,0)),IFERROR(INDEX('月1回_1ヶ月前の在庫'!$J$6:$J$10005,MATCH($C99,'月1回_1ヶ月前の在庫'!$W$6:$W$10005,0)),IFERROR(INDEX('月1回_2ヶ月前の在庫'!$J$6:$J$10005,MATCH($C99,'月1回_2ヶ月前の在庫'!$W$6:$W$10005,0)),"")))))</f>
        <v/>
      </c>
      <c r="E99">
        <f>IF($C99="","",IFERROR(IF(INDEX('商品マスタ'!$D$6:$D$1005,MATCH($C99,'商品マスタ'!$B$6:$B$1005,0))="",IFERROR(INDEX('①在庫を貼る'!$H$6:$H$10005,MATCH($C99,'①在庫を貼る'!$W$6:$W$10005,0)),IFERROR(INDEX('月1回_1ヶ月前の在庫'!$H$6:$H$10005,MATCH($C99,'月1回_1ヶ月前の在庫'!$W$6:$W$10005,0)),IFERROR(INDEX('月1回_2ヶ月前の在庫'!$H$6:$H$10005,MATCH($C99,'月1回_2ヶ月前の在庫'!$W$6:$W$10005,0)),""))),INDEX('商品マスタ'!$D$6:$D$1005,MATCH($C99,'商品マスタ'!$B$6:$B$1005,0))),IFERROR(INDEX('①在庫を貼る'!$H$6:$H$10005,MATCH($C99,'①在庫を貼る'!$W$6:$W$10005,0)),IFERROR(INDEX('月1回_1ヶ月前の在庫'!$H$6:$H$10005,MATCH($C99,'月1回_1ヶ月前の在庫'!$W$6:$W$10005,0)),IFERROR(INDEX('月1回_2ヶ月前の在庫'!$H$6:$H$10005,MATCH($C99,'月1回_2ヶ月前の在庫'!$W$6:$W$10005,0)),"")))))</f>
        <v/>
      </c>
      <c r="F99">
        <f>IF($C99="","",IFERROR(IF(INDEX('商品マスタ'!$E$6:$E$1005,MATCH($C99,'商品マスタ'!$B$6:$B$1005,0))="",IFERROR(INDEX('①在庫を貼る'!$E$6:$E$10005,MATCH($C99,'①在庫を貼る'!$W$6:$W$10005,0)),IFERROR(INDEX('月1回_1ヶ月前の在庫'!$E$6:$E$10005,MATCH($C99,'月1回_1ヶ月前の在庫'!$W$6:$W$10005,0)),IFERROR(INDEX('月1回_2ヶ月前の在庫'!$E$6:$E$10005,MATCH($C99,'月1回_2ヶ月前の在庫'!$W$6:$W$10005,0)),""))),INDEX('商品マスタ'!$E$6:$E$1005,MATCH($C99,'商品マスタ'!$B$6:$B$1005,0))),IFERROR(INDEX('①在庫を貼る'!$E$6:$E$10005,MATCH($C99,'①在庫を貼る'!$W$6:$W$10005,0)),IFERROR(INDEX('月1回_1ヶ月前の在庫'!$E$6:$E$10005,MATCH($C99,'月1回_1ヶ月前の在庫'!$W$6:$W$10005,0)),IFERROR(INDEX('月1回_2ヶ月前の在庫'!$E$6:$E$10005,MATCH($C99,'月1回_2ヶ月前の在庫'!$W$6:$W$10005,0)),"")))))</f>
        <v/>
      </c>
      <c r="G99">
        <f>IF($C99="","",MAX(1,N(IFERROR(IF(INDEX('商品マスタ'!$F$6:$F$1005,MATCH($C99,'商品マスタ'!$B$6:$B$1005,0))="",IF(COUNTIFS('①在庫を貼る'!$V$6:$V$10005,'設定'!$C$4,'①在庫を貼る'!$W$6:$W$10005,$C99)&gt;0,SUMIFS('①在庫を貼る'!$K$6:$K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K$6:$K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K$6:$K$10005,'月1回_2ヶ月前の在庫'!$V$6:$V$10005,'設定'!$C$4,'月1回_2ヶ月前の在庫'!$W$6:$W$10005,$C99)/COUNTIFS('月1回_2ヶ月前の在庫'!$V$6:$V$10005,'設定'!$C$4,'月1回_2ヶ月前の在庫'!$W$6:$W$10005,$C99),0))),INDEX('商品マスタ'!$F$6:$F$1005,MATCH($C99,'商品マスタ'!$B$6:$B$1005,0))),IF(COUNTIFS('①在庫を貼る'!$V$6:$V$10005,'設定'!$C$4,'①在庫を貼る'!$W$6:$W$10005,$C99)&gt;0,SUMIFS('①在庫を貼る'!$K$6:$K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K$6:$K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K$6:$K$10005,'月1回_2ヶ月前の在庫'!$V$6:$V$10005,'設定'!$C$4,'月1回_2ヶ月前の在庫'!$W$6:$W$10005,$C99)/COUNTIFS('月1回_2ヶ月前の在庫'!$V$6:$V$10005,'設定'!$C$4,'月1回_2ヶ月前の在庫'!$W$6:$W$10005,$C99),0)))))))</f>
        <v/>
      </c>
      <c r="H99">
        <f>IF($C99="","",N(IFERROR(IF(INDEX('商品マスタ'!$G$6:$G$1005,MATCH($C99,'商品マスタ'!$B$6:$B$1005,0))="",IF(COUNTIFS('①在庫を貼る'!$V$6:$V$10005,'設定'!$C$4,'①在庫を貼る'!$W$6:$W$10005,$C99)&gt;0,SUMIFS('①在庫を貼る'!$Q$6:$Q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Q$6:$Q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Q$6:$Q$10005,'月1回_2ヶ月前の在庫'!$V$6:$V$10005,'設定'!$C$4,'月1回_2ヶ月前の在庫'!$W$6:$W$10005,$C99)/COUNTIFS('月1回_2ヶ月前の在庫'!$V$6:$V$10005,'設定'!$C$4,'月1回_2ヶ月前の在庫'!$W$6:$W$10005,$C99),0))),INDEX('商品マスタ'!$G$6:$G$1005,MATCH($C99,'商品マスタ'!$B$6:$B$1005,0))),IF(COUNTIFS('①在庫を貼る'!$V$6:$V$10005,'設定'!$C$4,'①在庫を貼る'!$W$6:$W$10005,$C99)&gt;0,SUMIFS('①在庫を貼る'!$Q$6:$Q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Q$6:$Q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Q$6:$Q$10005,'月1回_2ヶ月前の在庫'!$V$6:$V$10005,'設定'!$C$4,'月1回_2ヶ月前の在庫'!$W$6:$W$10005,$C99)/COUNTIFS('月1回_2ヶ月前の在庫'!$V$6:$V$10005,'設定'!$C$4,'月1回_2ヶ月前の在庫'!$W$6:$W$10005,$C99),0))))))</f>
        <v/>
      </c>
      <c r="I99">
        <f>IF($C99="","",IF(COUNTIFS('①在庫を貼る'!$V$6:$V$10005,'設定'!$C$4,'①在庫を貼る'!$W$6:$W$10005,$C99)=0,"",SUMIFS('①在庫を貼る'!$N$6:$N$10005,'①在庫を貼る'!$V$6:$V$10005,'設定'!$C$4,'①在庫を貼る'!$W$6:$W$10005,$C99)))</f>
        <v/>
      </c>
      <c r="J99">
        <f>IF($C99="","",IF('②発注する'!$AD103="","",'②発注する'!$AD103))</f>
        <v/>
      </c>
      <c r="K99" s="90">
        <f>IF($C99="","",IF('②発注する'!$AE103="","",'②発注する'!$AE103))</f>
        <v/>
      </c>
      <c r="L99">
        <f>IF($C99="","",IF(AND(ISNUMBER($J99),ISNUMBER($K99),$K99&gt;='設定'!$C$6),$J99,N($I99)))</f>
        <v/>
      </c>
      <c r="M99">
        <f>IF($C99="","",IFERROR(IF(N(INDEX('商品マスタ'!$J$6:$J$1005,MATCH($C99,'商品マスタ'!$B$6:$B$1005,0)))&gt;0,INDEX('商品マスタ'!$J$6:$J$1005,MATCH($C99,'商品マスタ'!$B$6:$B$1005,0)),""),""))</f>
        <v/>
      </c>
      <c r="N99">
        <f>IF($C99="","",IFERROR(IF(N(INDEX('商品マスタ'!$H$6:$H$1005,MATCH($C99,'商品マスタ'!$B$6:$B$1005,0)))&gt;0,INDEX('商品マスタ'!$H$6:$H$1005,MATCH($C99,'商品マスタ'!$B$6:$B$1005,0)),""),""))</f>
        <v/>
      </c>
      <c r="O99">
        <f>IF($C99="","",IF($N99&lt;&gt;"",$N99*$G99,IF(N(IF(COUNTIFS('①在庫を貼る'!$V$6:$V$10005,'設定'!$C$4,'①在庫を貼る'!$W$6:$W$10005,$C99)&gt;0,SUMIFS('①在庫を貼る'!$O$6:$O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O$6:$O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O$6:$O$10005,'月1回_2ヶ月前の在庫'!$V$6:$V$10005,'設定'!$C$4,'月1回_2ヶ月前の在庫'!$W$6:$W$10005,$C99)/COUNTIFS('月1回_2ヶ月前の在庫'!$V$6:$V$10005,'設定'!$C$4,'月1回_2ヶ月前の在庫'!$W$6:$W$10005,$C99),0))))&gt;0,N(IF(COUNTIFS('①在庫を貼る'!$V$6:$V$10005,'設定'!$C$4,'①在庫を貼る'!$W$6:$W$10005,$C99)&gt;0,SUMIFS('①在庫を貼る'!$O$6:$O$10005,'①在庫を貼る'!$V$6:$V$10005,'設定'!$C$4,'①在庫を貼る'!$W$6:$W$10005,$C99)/COUNTIFS('①在庫を貼る'!$V$6:$V$10005,'設定'!$C$4,'①在庫を貼る'!$W$6:$W$10005,$C99),IF(COUNTIFS('月1回_1ヶ月前の在庫'!$V$6:$V$10005,'設定'!$C$4,'月1回_1ヶ月前の在庫'!$W$6:$W$10005,$C99)&gt;0,SUMIFS('月1回_1ヶ月前の在庫'!$O$6:$O$10005,'月1回_1ヶ月前の在庫'!$V$6:$V$10005,'設定'!$C$4,'月1回_1ヶ月前の在庫'!$W$6:$W$10005,$C99)/COUNTIFS('月1回_1ヶ月前の在庫'!$V$6:$V$10005,'設定'!$C$4,'月1回_1ヶ月前の在庫'!$W$6:$W$10005,$C99),IF(COUNTIFS('月1回_2ヶ月前の在庫'!$V$6:$V$10005,'設定'!$C$4,'月1回_2ヶ月前の在庫'!$W$6:$W$10005,$C99)&gt;0,SUMIFS('月1回_2ヶ月前の在庫'!$O$6:$O$10005,'月1回_2ヶ月前の在庫'!$V$6:$V$10005,'設定'!$C$4,'月1回_2ヶ月前の在庫'!$W$6:$W$10005,$C99)/COUNTIFS('月1回_2ヶ月前の在庫'!$V$6:$V$10005,'設定'!$C$4,'月1回_2ヶ月前の在庫'!$W$6:$W$10005,$C99),0)))),"")))</f>
        <v/>
      </c>
      <c r="P99" s="90">
        <f>IF($C99="","",IF('②発注する'!$I103="","",'②発注する'!$I103))</f>
        <v/>
      </c>
      <c r="Q99">
        <f>IF($C99="","",IF('②発注する'!$J103="","",'②発注する'!$J103))</f>
        <v/>
      </c>
      <c r="R99">
        <f>IF($C99="",0,IF(AND(ISNUMBER($P99),ISNUMBER($Q99)),MAX(0,$Q99)*$G99,0))</f>
        <v/>
      </c>
      <c r="S99" s="90">
        <f>IF($C99="","",IF('②発注する'!$M103="","",'②発注する'!$M103))</f>
        <v/>
      </c>
      <c r="T99">
        <f>IF($C99="","",IF('②発注する'!$N103="","",'②発注する'!$N103))</f>
        <v/>
      </c>
      <c r="U99">
        <f>IF($C99="",0,IF(AND(ISNUMBER($S99),ISNUMBER($T99)),MAX(0,$T99)*$G99,0))</f>
        <v/>
      </c>
      <c r="V99">
        <f>IF($C99="",0,IF($M99="",0,MAX(0,$M99)*MAX(0,V$4)/100))</f>
        <v/>
      </c>
      <c r="W99">
        <f>IF($C99="",0,IF($M99="",0,MAX(0,$M99)*MAX(0,W$4)/100))</f>
        <v/>
      </c>
      <c r="X99">
        <f>IF($C99="",0,IF($M99="",0,MAX(0,$M99)*MAX(0,X$4)/100))</f>
        <v/>
      </c>
      <c r="Y99">
        <f>IF($C99="",0,IF($M99="",0,MAX(0,$M99)*MAX(0,Y$4)/100))</f>
        <v/>
      </c>
      <c r="Z99">
        <f>IF($C99="",0,IF($M99="",0,MAX(0,$M99)*MAX(0,Z$4)/100))</f>
        <v/>
      </c>
      <c r="AA99">
        <f>IF($C99="",0,IF($M99="",0,MAX(0,$M99)*MAX(0,AA$4)/100))</f>
        <v/>
      </c>
      <c r="AB99">
        <f>IF($C99="",0,IF($M99="",0,MAX(0,$M99)*MAX(0,AB$4)/100))</f>
        <v/>
      </c>
      <c r="AC99">
        <f>IF($C99="",0,IF($M99="",0,MAX(0,$M99)*MAX(0,AC$4)/100))</f>
        <v/>
      </c>
      <c r="AD99">
        <f>IF($C99="",0,IF($M99="",0,MAX(0,$M99)*MAX(0,AD$4)/100))</f>
        <v/>
      </c>
      <c r="AE99">
        <f>IF($C99="",0,IF($M99="",0,MAX(0,$M99)*MAX(0,AE$4)/100))</f>
        <v/>
      </c>
      <c r="AF99">
        <f>IF($C99="",0,IF($M99="",0,MAX(0,$M99)*MAX(0,AF$4)/100))</f>
        <v/>
      </c>
      <c r="AG99">
        <f>IF($C99="",0,IF($M99="",0,MAX(0,$M99)*MAX(0,AG$4)/100))</f>
        <v/>
      </c>
      <c r="AH99">
        <f>IF($C99="",0,IF($M99="",0,MAX(0,$M99)*MAX(0,AH$4)/100))</f>
        <v/>
      </c>
      <c r="AI99">
        <f>IF($C99="",0,IF($M99="",0,MAX(0,$M99)*MAX(0,AI$4)/100))</f>
        <v/>
      </c>
      <c r="AJ99">
        <f>IF($C99="",0,MAX(0,MAX(0,N($L99))-$V99))</f>
        <v/>
      </c>
      <c r="AK99">
        <f>IF($C99="",0,MAX(0,$AJ99-$W99))</f>
        <v/>
      </c>
      <c r="AL99">
        <f>IF($C99="",0,MAX(0,$AK99-$X99))</f>
        <v/>
      </c>
      <c r="AM99">
        <f>IF($C99="",0,MAX(0,$AL99-$Y99))</f>
        <v/>
      </c>
      <c r="AN99">
        <f>IF($C99="",0,MAX(0,$AM99-$Z99))</f>
        <v/>
      </c>
      <c r="AO99">
        <f>IF($C99="",0,MAX(0,$AN99-$AA99))</f>
        <v/>
      </c>
      <c r="AP99">
        <f>IF($C99="",0,MAX(0,$AO99-$AB99))</f>
        <v/>
      </c>
      <c r="AQ99">
        <f>IF($C99="",0,MAX(0,$AP99-$AC99))</f>
        <v/>
      </c>
      <c r="AR99">
        <f>IF($C99="",0,MAX(0,$AQ99-$AD99))</f>
        <v/>
      </c>
      <c r="AS99">
        <f>IF($C99="",0,MAX(0,$AR99-$AE99))</f>
        <v/>
      </c>
      <c r="AT99">
        <f>IF($C99="",0,MAX(0,$AS99-$AF99))</f>
        <v/>
      </c>
      <c r="AU99">
        <f>IF($C99="",0,MAX(0,$AT99-$AG99))</f>
        <v/>
      </c>
      <c r="AV99">
        <f>IF($C99="",0,MAX(0,$AU99-$AH99))</f>
        <v/>
      </c>
      <c r="AW99">
        <f>IF($C99="",0,MAX(0,$AV99-$AI99))</f>
        <v/>
      </c>
      <c r="AX99">
        <f>IF($C99="",0,MAX(0,MAX(0,N($L99))+IF($P99=V$3,$R99,0)+IF($S99=V$3,$U99,0)-$V99))</f>
        <v/>
      </c>
      <c r="AY99">
        <f>IF($C99="",0,MAX(0,$AX99+IF($P99=W$3,$R99,0)+IF($S99=W$3,$U99,0)-$W99))</f>
        <v/>
      </c>
      <c r="AZ99">
        <f>IF($C99="",0,MAX(0,$AY99+IF($P99=X$3,$R99,0)+IF($S99=X$3,$U99,0)-$X99))</f>
        <v/>
      </c>
      <c r="BA99">
        <f>IF($C99="",0,MAX(0,$AZ99+IF($P99=Y$3,$R99,0)+IF($S99=Y$3,$U99,0)-$Y99))</f>
        <v/>
      </c>
      <c r="BB99">
        <f>IF($C99="",0,MAX(0,$BA99+IF($P99=Z$3,$R99,0)+IF($S99=Z$3,$U99,0)-$Z99))</f>
        <v/>
      </c>
      <c r="BC99">
        <f>IF($C99="",0,MAX(0,$BB99+IF($P99=AA$3,$R99,0)+IF($S99=AA$3,$U99,0)-$AA99))</f>
        <v/>
      </c>
      <c r="BD99">
        <f>IF($C99="",0,MAX(0,$BC99+IF($P99=AB$3,$R99,0)+IF($S99=AB$3,$U99,0)-$AB99))</f>
        <v/>
      </c>
      <c r="BE99">
        <f>IF($C99="",0,MAX(0,$BD99+IF($P99=AC$3,$R99,0)+IF($S99=AC$3,$U99,0)-$AC99))</f>
        <v/>
      </c>
      <c r="BF99">
        <f>IF($C99="",0,MAX(0,$BE99+IF($P99=AD$3,$R99,0)+IF($S99=AD$3,$U99,0)-$AD99))</f>
        <v/>
      </c>
      <c r="BG99">
        <f>IF($C99="",0,MAX(0,$BF99+IF($P99=AE$3,$R99,0)+IF($S99=AE$3,$U99,0)-$AE99))</f>
        <v/>
      </c>
      <c r="BH99">
        <f>IF($C99="",0,MAX(0,$BG99+IF($P99=AF$3,$R99,0)+IF($S99=AF$3,$U99,0)-$AF99))</f>
        <v/>
      </c>
      <c r="BI99">
        <f>IF($C99="",0,MAX(0,$BH99+IF($P99=AG$3,$R99,0)+IF($S99=AG$3,$U99,0)-$AG99))</f>
        <v/>
      </c>
      <c r="BJ99">
        <f>IF($C99="",0,MAX(0,$BI99+IF($P99=AH$3,$R99,0)+IF($S99=AH$3,$U99,0)-$AH99))</f>
        <v/>
      </c>
      <c r="BK99">
        <f>IF($C99="",0,MAX(0,$BJ99+IF($P99=AI$3,$R99,0)+IF($S99=AI$3,$U99,0)-$AI99))</f>
        <v/>
      </c>
      <c r="BL99">
        <f>IF($C99="",99,IF(AND($AX99&lt;1,V$3&gt;=MAX(N($P99),N($S99))),0,99))</f>
        <v/>
      </c>
      <c r="BM99">
        <f>IF($C99="",99,IF(AND($AY99&lt;1,W$3&gt;=MAX(N($P99),N($S99))),1,99))</f>
        <v/>
      </c>
      <c r="BN99">
        <f>IF($C99="",99,IF(AND($AZ99&lt;1,X$3&gt;=MAX(N($P99),N($S99))),2,99))</f>
        <v/>
      </c>
      <c r="BO99">
        <f>IF($C99="",99,IF(AND($BA99&lt;1,Y$3&gt;=MAX(N($P99),N($S99))),3,99))</f>
        <v/>
      </c>
      <c r="BP99">
        <f>IF($C99="",99,IF(AND($BB99&lt;1,Z$3&gt;=MAX(N($P99),N($S99))),4,99))</f>
        <v/>
      </c>
      <c r="BQ99">
        <f>IF($C99="",99,IF(AND($BC99&lt;1,AA$3&gt;=MAX(N($P99),N($S99))),5,99))</f>
        <v/>
      </c>
      <c r="BR99">
        <f>IF($C99="",99,IF(AND($BD99&lt;1,AB$3&gt;=MAX(N($P99),N($S99))),6,99))</f>
        <v/>
      </c>
      <c r="BS99">
        <f>IF($C99="",99,IF(AND($BE99&lt;1,AC$3&gt;=MAX(N($P99),N($S99))),7,99))</f>
        <v/>
      </c>
      <c r="BT99">
        <f>IF($C99="",99,IF(AND($BF99&lt;1,AD$3&gt;=MAX(N($P99),N($S99))),8,99))</f>
        <v/>
      </c>
      <c r="BU99">
        <f>IF($C99="",99,IF(AND($BG99&lt;1,AE$3&gt;=MAX(N($P99),N($S99))),9,99))</f>
        <v/>
      </c>
      <c r="BV99">
        <f>IF($C99="",99,IF(AND($BH99&lt;1,AF$3&gt;=MAX(N($P99),N($S99))),10,99))</f>
        <v/>
      </c>
      <c r="BW99">
        <f>IF($C99="",99,IF(AND($BI99&lt;1,AG$3&gt;=MAX(N($P99),N($S99))),11,99))</f>
        <v/>
      </c>
      <c r="BX99">
        <f>IF($C99="",99,IF(AND($BJ99&lt;1,AH$3&gt;=MAX(N($P99),N($S99))),12,99))</f>
        <v/>
      </c>
      <c r="BY99">
        <f>IF($C99="",99,IF(AND($BK99&lt;1,AI$3&gt;=MAX(N($P99),N($S99))),13,99))</f>
        <v/>
      </c>
      <c r="BZ99">
        <f>IF(OR($C99="",$M99=""),"",COUNTIF($AJ99:$AW99,"&gt;=1"))</f>
        <v/>
      </c>
      <c r="CA99" s="90">
        <f>IF($BZ99="","",IF($BZ99&gt;=14,"",'設定'!$C$6+$BZ99))</f>
        <v/>
      </c>
      <c r="CB99">
        <f>IF(OR($C99="",$M99=""),"",MIN($BL99:$BY99))</f>
        <v/>
      </c>
      <c r="CC99" s="90">
        <f>IF($CB99="","",IF($CB99&gt;=99,"",'設定'!$C$6+$CB99))</f>
        <v/>
      </c>
      <c r="CD99">
        <f>IF(OR($C99="",$M99=""),"",AVERAGE($V99:$AI99))</f>
        <v/>
      </c>
      <c r="CE99">
        <f>IF($C99="","",IFERROR(IF(MATCH(IF(ISNUMBER($P99),$P99,'設定'!$C$6+N('設定'!$C$7)),$V$3:$AI$3,0)=1,MAX(0,N($L99)),INDEX($AJ99:$AW99,MATCH(IF(ISNUMBER($P99),$P99,'設定'!$C$6+N('設定'!$C$7)),$V$3:$AI$3,0)-1)),""))</f>
        <v/>
      </c>
      <c r="CF99">
        <f>IF(OR($C99="",$O99="",$CE99=""),"",IF($O99-$CE99&lt;=0,0,ROUNDUP(($O99-$CE99)/$G99,0)))</f>
        <v/>
      </c>
      <c r="CG99">
        <f>IF(OR($C99="",$CF99="",NOT(ISNUMBER($Q99))),0,MAX(0,$Q99-$CF99))</f>
        <v/>
      </c>
      <c r="CH99">
        <f>IF(OR($C99="",$O99="",$U99=0),0,IFERROR(ROUNDUP(MAX(0,IF(MATCH($S99,$V$3:$AI$3,0)=1,MAX(0,N($L99)),INDEX($AX99:$BK99,MATCH($S99,$V$3:$AI$3,0)-1))+$U99-$O99)/$G99,0),0))</f>
        <v/>
      </c>
      <c r="CI99">
        <f>IF($C99="","",IF(AND($P99="",$Q99=""),"",IF($P99="","⚠ 入庫日を ▼ から選んでください",IF(NOT(ISNUMBER($P99)),"⚠ 入庫日は ▼ から選んでください",IF($P99&lt;N('設定'!$C$6),"⚠ 入庫日が過去です（もう在庫に入っています）→ 消してください",IF($P99&gt;N('設定'!$C$6)+13,"⚠ 入庫日が14日より先です",IF(N($Q99)&lt;=0,"⚠ 入庫数を入れてください",IF($CG99&gt;0,"⚠ 目安より "&amp;$CG99&amp;" 多い（定数を超える）→ 減らす",""))))))))</f>
        <v/>
      </c>
      <c r="CJ99">
        <f>IF($C99="","",IF(AND($S99="",$T99=""),"",IF($S99="","⚠ 2便目：入庫日を ▼ から選んでください",IF(NOT(ISNUMBER($S99)),"⚠ 2便目：入庫日は ▼ から選んでください",IF($S99&lt;N('設定'!$C$6),"⚠ 2便目：入庫日が過去です（もう在庫に入っています）→ 消してください",IF($S99&gt;N('設定'!$C$6)+13,"⚠ 2便目：入庫日が14日より先です",IF(N($T99)&lt;=0,"⚠ 2便目：入庫数を入れてください",IF($CH99&gt;0,"⚠ 2便目：定数を "&amp;$CH99&amp;" ケース超える → 減らす",""))))))))</f>
        <v/>
      </c>
      <c r="CK99">
        <f>IF(AND($CI99="",N($Q99)&gt;0,ISNUMBER($P99)),1,0)</f>
        <v/>
      </c>
      <c r="CL99">
        <f>IF(AND($CJ99="",N($T99)&gt;0,ISNUMBER($S99)),1,0)</f>
        <v/>
      </c>
      <c r="CM99">
        <f>IF(OR($CK99=1,$CL99=1),1,0)</f>
        <v/>
      </c>
      <c r="CN99">
        <f>IF($C99="",0,($CK99*$R99+$CL99*$U99)*N($H99))</f>
        <v/>
      </c>
      <c r="CO99">
        <f>IF($C99="","",IF($CC99="","入庫後は 14日以上もつ",IF($CC99-N('設定'!$C$7)&lt;='設定'!$C$6,"入庫後も "&amp;TEXT($CC99,"m/d")&amp;"("&amp;CHOOSE(WEEKDAY($CC99),"日","月","火","水","木","金","土")&amp;")"&amp;" に切れる　もう1便を至急発注","入庫後も "&amp;TEXT($CC99,"m/d")&amp;"("&amp;CHOOSE(WEEKDAY($CC99),"日","月","火","水","木","金","土")&amp;")"&amp;" に切れる　"&amp;TEXT($CC99-N('設定'!$C$7),"m/d")&amp;"("&amp;CHOOSE(WEEKDAY($CC99-N('設定'!$C$7)),"日","月","火","水","木","金","土")&amp;")"&amp;" までに次を発注")))</f>
        <v/>
      </c>
      <c r="CP99">
        <f>IF($C99="","",IF('設定'!$C$6="","？ ①在庫を貼る に今日のCSVが貼られていない",IF($CS99=1,"－ 今日のCSVに無い（終売？）",IF($L99&lt;0,"● 在庫がマイナス　数えて「数えた在庫」に入れる",IF($L99=0,"● 在庫なし　至急発注",IF($M99="","？ 減り数が未設定（商品マスタ）",IF($B$3=0,"？ 動員が未入力（動員を入れる）",IF($CA99="","○ 14日以上もつ",IF($BZ99&lt;N('設定'!$C$7),"● "&amp;TEXT($CA99,"m/d")&amp;"("&amp;CHOOSE(WEEKDAY($CA99),"日","月","火","水","木","金","土")&amp;")"&amp;" に切れる　至急発注",IF($BZ99=N('設定'!$C$7),"● "&amp;TEXT($CA99,"m/d")&amp;"("&amp;CHOOSE(WEEKDAY($CA99),"日","月","火","水","木","金","土")&amp;")"&amp;" に切れる　今日発注","△ "&amp;TEXT($CA99,"m/d")&amp;"("&amp;CHOOSE(WEEKDAY($CA99),"日","月","火","水","木","金","土")&amp;")"&amp;" に切れる　"&amp;TEXT($CA99-N('設定'!$C$7),"m/d")&amp;"("&amp;CHOOSE(WEEKDAY($CA99-N('設定'!$C$7)),"日","月","火","水","木","金","土")&amp;")"&amp;" までに発注"))))))))))</f>
        <v/>
      </c>
      <c r="CQ99">
        <f>IF($C99="","",IF(AND($P99="",$Q99="",$S99="",$T99=""),"",IF(AND($P99="",$Q99=""),"⚠ 先に1便目（左の入庫日・入庫数）に入れてください",IF($CI99&lt;&gt;"",$CI99,IF($CJ99&lt;&gt;"",$CJ99,IF($M99="","？ 減り数が未設定（発注書には載ります）",IF($B$3=0,"？ 動員が未入力（発注書には載ります）",IF(AND($CA99&lt;&gt;"",$P99&gt;$CA99),IF($P99&gt;'設定'!$C$6+N('設定'!$C$7),"● "&amp;TEXT($P99,"m/d")&amp;"("&amp;CHOOSE(WEEKDAY($P99),"日","月","火","水","木","金","土")&amp;")"&amp;" の入庫では間に合わない（"&amp;TEXT($CA99,"m/d")&amp;"("&amp;CHOOSE(WEEKDAY($CA99),"日","月","火","水","木","金","土")&amp;")"&amp;" に切れる）　入庫日を早める","△ 欠品 "&amp;TEXT($CA99,"m/d")&amp;"("&amp;CHOOSE(WEEKDAY($CA99),"日","月","火","水","木","金","土")&amp;")"&amp;"〜"&amp;TEXT($P99-1,"m/d")&amp;"("&amp;CHOOSE(WEEKDAY($P99-1),"日","月","火","水","木","金","土")&amp;")"&amp;"　"&amp;$CO99),IF($CC99="","○ "&amp;TEXT($P99,"m/d")&amp;"("&amp;CHOOSE(WEEKDAY($P99),"日","月","火","水","木","金","土")&amp;")"&amp;" 入庫で 14日以上もつ",IF($CC99-N('設定'!$C$7)&lt;='設定'!$C$6,"● 入庫しても "&amp;TEXT($CC99,"m/d")&amp;"("&amp;CHOOSE(WEEKDAY($CC99),"日","月","火","水","木","金","土")&amp;")"&amp;" に切れる　もう1便を至急発注（2便目に入れる）","△ 入庫しても "&amp;TEXT($CC99,"m/d")&amp;"("&amp;CHOOSE(WEEKDAY($CC99),"日","月","火","水","木","金","土")&amp;")"&amp;" に切れる　"&amp;TEXT($CC99-N('設定'!$C$7),"m/d")&amp;"("&amp;CHOOSE(WEEKDAY($CC99-N('設定'!$C$7)),"日","月","火","水","木","金","土")&amp;")"&amp;" までに次を発注（2便目に入れる）"))))))))))</f>
        <v/>
      </c>
      <c r="CR99">
        <f>IF($C99="","",IF($G99&gt;1,"ｹｰｽ("&amp;$G99&amp;"入)","個"))</f>
        <v/>
      </c>
      <c r="CS99">
        <f>IF($C99="",0,IF(COUNTIFS('①在庫を貼る'!$V$6:$V$10005,'設定'!$C$4,'①在庫を貼る'!$W$6:$W$10005,$C99)=0,1,0))</f>
        <v/>
      </c>
      <c r="CT99">
        <f>IF(AND($CK99=1,OR('③発注書'!$C$4="すべて",'③発注書'!$C$4="",$F99='③発注書'!$C$4)),N($CT98)+1,N($CT98))</f>
        <v/>
      </c>
      <c r="CU99">
        <f>IF(AND($CL99=1,OR('③発注書'!$C$4="すべて",'③発注書'!$C$4="",$F99='③発注書'!$C$4)),N($CU98)+1,N($CU98))</f>
        <v/>
      </c>
      <c r="CV99">
        <f>IF($C99="",0,IF(COUNTIFS('①在庫を貼る'!$V$6:$V$10005,'設定'!$C$4,'①在庫を貼る'!$W$6:$W$10005,$C99)&gt;0,1,0))</f>
        <v/>
      </c>
      <c r="CW99">
        <f>IF($C99="",0,IF(COUNTIFS('月1回_1ヶ月前の在庫'!$V$6:$V$10005,'設定'!$C$4,'月1回_1ヶ月前の在庫'!$W$6:$W$10005,$C99)&gt;0,1,0))</f>
        <v/>
      </c>
      <c r="CX99">
        <f>IF($C99="",0,IF(COUNTIFS('月1回_2ヶ月前の在庫'!$V$6:$V$10005,'設定'!$C$4,'月1回_2ヶ月前の在庫'!$W$6:$W$10005,$C99)&gt;0,1,0))</f>
        <v/>
      </c>
      <c r="CY99">
        <f>IF(OR($C99="",'設定'!$C$12=""),"",IF('設定'!$C$13="",IF(AND($CV99=1,$CW99=0),"新商品（今月から）",IF(AND($CV99=0,$CW99=1),"終売（今月から）","")),IF(AND($CV99=1,$CW99=0,$CX99=0),"新商品（今月から）",IF(AND($CV99=1,$CW99=1,$CX99=0),"新商品（先月から）",IF(AND($CV99=0,$CW99=1,$CX99=1),"終売（今月から）",IF(AND($CV99=0,$CW99=0,$CX99=1),"終売（先月から）",IF(AND($CV99=1,$CW99=0,$CX99=1),"復活（先月は無し）","")))))))</f>
        <v/>
      </c>
    </row>
    <row r="100">
      <c r="B100">
        <f>IF(95&lt;='設定'!$C$11,95,"")</f>
        <v/>
      </c>
      <c r="C100">
        <f>IF($B100="","",IF($B100&lt;='設定'!$C$20,INDEX('商品マスタ'!$B$6:$B$1005,MATCH($B100,'商品マスタ'!$M$6:$M$1005,0)),IF($B100&lt;='設定'!$C$20+'設定'!$C$17,INDEX('①在庫を貼る'!$W$6:$W$10005,MATCH($B100-'設定'!$C$20,'①在庫を貼る'!$U$6:$U$10005,0)),IF($B100&lt;='設定'!$C$20+'設定'!$C$17+'設定'!$C$18,INDEX('月1回_1ヶ月前の在庫'!$W$6:$W$10005,MATCH($B100-'設定'!$C$20-'設定'!$C$17,'月1回_1ヶ月前の在庫'!$U$6:$U$10005,0)),INDEX('月1回_2ヶ月前の在庫'!$W$6:$W$10005,MATCH($B100-'設定'!$C$20-'設定'!$C$17-'設定'!$C$18,'月1回_2ヶ月前の在庫'!$U$6:$U$10005,0))))))</f>
        <v/>
      </c>
      <c r="D100">
        <f>IF($C100="","",IFERROR(IF(INDEX('商品マスタ'!$C$6:$C$1005,MATCH($C100,'商品マスタ'!$B$6:$B$1005,0))="",IFERROR(INDEX('①在庫を貼る'!$J$6:$J$10005,MATCH($C100,'①在庫を貼る'!$W$6:$W$10005,0)),IFERROR(INDEX('月1回_1ヶ月前の在庫'!$J$6:$J$10005,MATCH($C100,'月1回_1ヶ月前の在庫'!$W$6:$W$10005,0)),IFERROR(INDEX('月1回_2ヶ月前の在庫'!$J$6:$J$10005,MATCH($C100,'月1回_2ヶ月前の在庫'!$W$6:$W$10005,0)),""))),INDEX('商品マスタ'!$C$6:$C$1005,MATCH($C100,'商品マスタ'!$B$6:$B$1005,0))),IFERROR(INDEX('①在庫を貼る'!$J$6:$J$10005,MATCH($C100,'①在庫を貼る'!$W$6:$W$10005,0)),IFERROR(INDEX('月1回_1ヶ月前の在庫'!$J$6:$J$10005,MATCH($C100,'月1回_1ヶ月前の在庫'!$W$6:$W$10005,0)),IFERROR(INDEX('月1回_2ヶ月前の在庫'!$J$6:$J$10005,MATCH($C100,'月1回_2ヶ月前の在庫'!$W$6:$W$10005,0)),"")))))</f>
        <v/>
      </c>
      <c r="E100">
        <f>IF($C100="","",IFERROR(IF(INDEX('商品マスタ'!$D$6:$D$1005,MATCH($C100,'商品マスタ'!$B$6:$B$1005,0))="",IFERROR(INDEX('①在庫を貼る'!$H$6:$H$10005,MATCH($C100,'①在庫を貼る'!$W$6:$W$10005,0)),IFERROR(INDEX('月1回_1ヶ月前の在庫'!$H$6:$H$10005,MATCH($C100,'月1回_1ヶ月前の在庫'!$W$6:$W$10005,0)),IFERROR(INDEX('月1回_2ヶ月前の在庫'!$H$6:$H$10005,MATCH($C100,'月1回_2ヶ月前の在庫'!$W$6:$W$10005,0)),""))),INDEX('商品マスタ'!$D$6:$D$1005,MATCH($C100,'商品マスタ'!$B$6:$B$1005,0))),IFERROR(INDEX('①在庫を貼る'!$H$6:$H$10005,MATCH($C100,'①在庫を貼る'!$W$6:$W$10005,0)),IFERROR(INDEX('月1回_1ヶ月前の在庫'!$H$6:$H$10005,MATCH($C100,'月1回_1ヶ月前の在庫'!$W$6:$W$10005,0)),IFERROR(INDEX('月1回_2ヶ月前の在庫'!$H$6:$H$10005,MATCH($C100,'月1回_2ヶ月前の在庫'!$W$6:$W$10005,0)),"")))))</f>
        <v/>
      </c>
      <c r="F100">
        <f>IF($C100="","",IFERROR(IF(INDEX('商品マスタ'!$E$6:$E$1005,MATCH($C100,'商品マスタ'!$B$6:$B$1005,0))="",IFERROR(INDEX('①在庫を貼る'!$E$6:$E$10005,MATCH($C100,'①在庫を貼る'!$W$6:$W$10005,0)),IFERROR(INDEX('月1回_1ヶ月前の在庫'!$E$6:$E$10005,MATCH($C100,'月1回_1ヶ月前の在庫'!$W$6:$W$10005,0)),IFERROR(INDEX('月1回_2ヶ月前の在庫'!$E$6:$E$10005,MATCH($C100,'月1回_2ヶ月前の在庫'!$W$6:$W$10005,0)),""))),INDEX('商品マスタ'!$E$6:$E$1005,MATCH($C100,'商品マスタ'!$B$6:$B$1005,0))),IFERROR(INDEX('①在庫を貼る'!$E$6:$E$10005,MATCH($C100,'①在庫を貼る'!$W$6:$W$10005,0)),IFERROR(INDEX('月1回_1ヶ月前の在庫'!$E$6:$E$10005,MATCH($C100,'月1回_1ヶ月前の在庫'!$W$6:$W$10005,0)),IFERROR(INDEX('月1回_2ヶ月前の在庫'!$E$6:$E$10005,MATCH($C100,'月1回_2ヶ月前の在庫'!$W$6:$W$10005,0)),"")))))</f>
        <v/>
      </c>
      <c r="G100">
        <f>IF($C100="","",MAX(1,N(IFERROR(IF(INDEX('商品マスタ'!$F$6:$F$1005,MATCH($C100,'商品マスタ'!$B$6:$B$1005,0))="",IF(COUNTIFS('①在庫を貼る'!$V$6:$V$10005,'設定'!$C$4,'①在庫を貼る'!$W$6:$W$10005,$C100)&gt;0,SUMIFS('①在庫を貼る'!$K$6:$K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K$6:$K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K$6:$K$10005,'月1回_2ヶ月前の在庫'!$V$6:$V$10005,'設定'!$C$4,'月1回_2ヶ月前の在庫'!$W$6:$W$10005,$C100)/COUNTIFS('月1回_2ヶ月前の在庫'!$V$6:$V$10005,'設定'!$C$4,'月1回_2ヶ月前の在庫'!$W$6:$W$10005,$C100),0))),INDEX('商品マスタ'!$F$6:$F$1005,MATCH($C100,'商品マスタ'!$B$6:$B$1005,0))),IF(COUNTIFS('①在庫を貼る'!$V$6:$V$10005,'設定'!$C$4,'①在庫を貼る'!$W$6:$W$10005,$C100)&gt;0,SUMIFS('①在庫を貼る'!$K$6:$K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K$6:$K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K$6:$K$10005,'月1回_2ヶ月前の在庫'!$V$6:$V$10005,'設定'!$C$4,'月1回_2ヶ月前の在庫'!$W$6:$W$10005,$C100)/COUNTIFS('月1回_2ヶ月前の在庫'!$V$6:$V$10005,'設定'!$C$4,'月1回_2ヶ月前の在庫'!$W$6:$W$10005,$C100),0)))))))</f>
        <v/>
      </c>
      <c r="H100">
        <f>IF($C100="","",N(IFERROR(IF(INDEX('商品マスタ'!$G$6:$G$1005,MATCH($C100,'商品マスタ'!$B$6:$B$1005,0))="",IF(COUNTIFS('①在庫を貼る'!$V$6:$V$10005,'設定'!$C$4,'①在庫を貼る'!$W$6:$W$10005,$C100)&gt;0,SUMIFS('①在庫を貼る'!$Q$6:$Q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Q$6:$Q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Q$6:$Q$10005,'月1回_2ヶ月前の在庫'!$V$6:$V$10005,'設定'!$C$4,'月1回_2ヶ月前の在庫'!$W$6:$W$10005,$C100)/COUNTIFS('月1回_2ヶ月前の在庫'!$V$6:$V$10005,'設定'!$C$4,'月1回_2ヶ月前の在庫'!$W$6:$W$10005,$C100),0))),INDEX('商品マスタ'!$G$6:$G$1005,MATCH($C100,'商品マスタ'!$B$6:$B$1005,0))),IF(COUNTIFS('①在庫を貼る'!$V$6:$V$10005,'設定'!$C$4,'①在庫を貼る'!$W$6:$W$10005,$C100)&gt;0,SUMIFS('①在庫を貼る'!$Q$6:$Q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Q$6:$Q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Q$6:$Q$10005,'月1回_2ヶ月前の在庫'!$V$6:$V$10005,'設定'!$C$4,'月1回_2ヶ月前の在庫'!$W$6:$W$10005,$C100)/COUNTIFS('月1回_2ヶ月前の在庫'!$V$6:$V$10005,'設定'!$C$4,'月1回_2ヶ月前の在庫'!$W$6:$W$10005,$C100),0))))))</f>
        <v/>
      </c>
      <c r="I100">
        <f>IF($C100="","",IF(COUNTIFS('①在庫を貼る'!$V$6:$V$10005,'設定'!$C$4,'①在庫を貼る'!$W$6:$W$10005,$C100)=0,"",SUMIFS('①在庫を貼る'!$N$6:$N$10005,'①在庫を貼る'!$V$6:$V$10005,'設定'!$C$4,'①在庫を貼る'!$W$6:$W$10005,$C100)))</f>
        <v/>
      </c>
      <c r="J100">
        <f>IF($C100="","",IF('②発注する'!$AD104="","",'②発注する'!$AD104))</f>
        <v/>
      </c>
      <c r="K100" s="90">
        <f>IF($C100="","",IF('②発注する'!$AE104="","",'②発注する'!$AE104))</f>
        <v/>
      </c>
      <c r="L100">
        <f>IF($C100="","",IF(AND(ISNUMBER($J100),ISNUMBER($K100),$K100&gt;='設定'!$C$6),$J100,N($I100)))</f>
        <v/>
      </c>
      <c r="M100">
        <f>IF($C100="","",IFERROR(IF(N(INDEX('商品マスタ'!$J$6:$J$1005,MATCH($C100,'商品マスタ'!$B$6:$B$1005,0)))&gt;0,INDEX('商品マスタ'!$J$6:$J$1005,MATCH($C100,'商品マスタ'!$B$6:$B$1005,0)),""),""))</f>
        <v/>
      </c>
      <c r="N100">
        <f>IF($C100="","",IFERROR(IF(N(INDEX('商品マスタ'!$H$6:$H$1005,MATCH($C100,'商品マスタ'!$B$6:$B$1005,0)))&gt;0,INDEX('商品マスタ'!$H$6:$H$1005,MATCH($C100,'商品マスタ'!$B$6:$B$1005,0)),""),""))</f>
        <v/>
      </c>
      <c r="O100">
        <f>IF($C100="","",IF($N100&lt;&gt;"",$N100*$G100,IF(N(IF(COUNTIFS('①在庫を貼る'!$V$6:$V$10005,'設定'!$C$4,'①在庫を貼る'!$W$6:$W$10005,$C100)&gt;0,SUMIFS('①在庫を貼る'!$O$6:$O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O$6:$O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O$6:$O$10005,'月1回_2ヶ月前の在庫'!$V$6:$V$10005,'設定'!$C$4,'月1回_2ヶ月前の在庫'!$W$6:$W$10005,$C100)/COUNTIFS('月1回_2ヶ月前の在庫'!$V$6:$V$10005,'設定'!$C$4,'月1回_2ヶ月前の在庫'!$W$6:$W$10005,$C100),0))))&gt;0,N(IF(COUNTIFS('①在庫を貼る'!$V$6:$V$10005,'設定'!$C$4,'①在庫を貼る'!$W$6:$W$10005,$C100)&gt;0,SUMIFS('①在庫を貼る'!$O$6:$O$10005,'①在庫を貼る'!$V$6:$V$10005,'設定'!$C$4,'①在庫を貼る'!$W$6:$W$10005,$C100)/COUNTIFS('①在庫を貼る'!$V$6:$V$10005,'設定'!$C$4,'①在庫を貼る'!$W$6:$W$10005,$C100),IF(COUNTIFS('月1回_1ヶ月前の在庫'!$V$6:$V$10005,'設定'!$C$4,'月1回_1ヶ月前の在庫'!$W$6:$W$10005,$C100)&gt;0,SUMIFS('月1回_1ヶ月前の在庫'!$O$6:$O$10005,'月1回_1ヶ月前の在庫'!$V$6:$V$10005,'設定'!$C$4,'月1回_1ヶ月前の在庫'!$W$6:$W$10005,$C100)/COUNTIFS('月1回_1ヶ月前の在庫'!$V$6:$V$10005,'設定'!$C$4,'月1回_1ヶ月前の在庫'!$W$6:$W$10005,$C100),IF(COUNTIFS('月1回_2ヶ月前の在庫'!$V$6:$V$10005,'設定'!$C$4,'月1回_2ヶ月前の在庫'!$W$6:$W$10005,$C100)&gt;0,SUMIFS('月1回_2ヶ月前の在庫'!$O$6:$O$10005,'月1回_2ヶ月前の在庫'!$V$6:$V$10005,'設定'!$C$4,'月1回_2ヶ月前の在庫'!$W$6:$W$10005,$C100)/COUNTIFS('月1回_2ヶ月前の在庫'!$V$6:$V$10005,'設定'!$C$4,'月1回_2ヶ月前の在庫'!$W$6:$W$10005,$C100),0)))),"")))</f>
        <v/>
      </c>
      <c r="P100" s="90">
        <f>IF($C100="","",IF('②発注する'!$I104="","",'②発注する'!$I104))</f>
        <v/>
      </c>
      <c r="Q100">
        <f>IF($C100="","",IF('②発注する'!$J104="","",'②発注する'!$J104))</f>
        <v/>
      </c>
      <c r="R100">
        <f>IF($C100="",0,IF(AND(ISNUMBER($P100),ISNUMBER($Q100)),MAX(0,$Q100)*$G100,0))</f>
        <v/>
      </c>
      <c r="S100" s="90">
        <f>IF($C100="","",IF('②発注する'!$M104="","",'②発注する'!$M104))</f>
        <v/>
      </c>
      <c r="T100">
        <f>IF($C100="","",IF('②発注する'!$N104="","",'②発注する'!$N104))</f>
        <v/>
      </c>
      <c r="U100">
        <f>IF($C100="",0,IF(AND(ISNUMBER($S100),ISNUMBER($T100)),MAX(0,$T100)*$G100,0))</f>
        <v/>
      </c>
      <c r="V100">
        <f>IF($C100="",0,IF($M100="",0,MAX(0,$M100)*MAX(0,V$4)/100))</f>
        <v/>
      </c>
      <c r="W100">
        <f>IF($C100="",0,IF($M100="",0,MAX(0,$M100)*MAX(0,W$4)/100))</f>
        <v/>
      </c>
      <c r="X100">
        <f>IF($C100="",0,IF($M100="",0,MAX(0,$M100)*MAX(0,X$4)/100))</f>
        <v/>
      </c>
      <c r="Y100">
        <f>IF($C100="",0,IF($M100="",0,MAX(0,$M100)*MAX(0,Y$4)/100))</f>
        <v/>
      </c>
      <c r="Z100">
        <f>IF($C100="",0,IF($M100="",0,MAX(0,$M100)*MAX(0,Z$4)/100))</f>
        <v/>
      </c>
      <c r="AA100">
        <f>IF($C100="",0,IF($M100="",0,MAX(0,$M100)*MAX(0,AA$4)/100))</f>
        <v/>
      </c>
      <c r="AB100">
        <f>IF($C100="",0,IF($M100="",0,MAX(0,$M100)*MAX(0,AB$4)/100))</f>
        <v/>
      </c>
      <c r="AC100">
        <f>IF($C100="",0,IF($M100="",0,MAX(0,$M100)*MAX(0,AC$4)/100))</f>
        <v/>
      </c>
      <c r="AD100">
        <f>IF($C100="",0,IF($M100="",0,MAX(0,$M100)*MAX(0,AD$4)/100))</f>
        <v/>
      </c>
      <c r="AE100">
        <f>IF($C100="",0,IF($M100="",0,MAX(0,$M100)*MAX(0,AE$4)/100))</f>
        <v/>
      </c>
      <c r="AF100">
        <f>IF($C100="",0,IF($M100="",0,MAX(0,$M100)*MAX(0,AF$4)/100))</f>
        <v/>
      </c>
      <c r="AG100">
        <f>IF($C100="",0,IF($M100="",0,MAX(0,$M100)*MAX(0,AG$4)/100))</f>
        <v/>
      </c>
      <c r="AH100">
        <f>IF($C100="",0,IF($M100="",0,MAX(0,$M100)*MAX(0,AH$4)/100))</f>
        <v/>
      </c>
      <c r="AI100">
        <f>IF($C100="",0,IF($M100="",0,MAX(0,$M100)*MAX(0,AI$4)/100))</f>
        <v/>
      </c>
      <c r="AJ100">
        <f>IF($C100="",0,MAX(0,MAX(0,N($L100))-$V100))</f>
        <v/>
      </c>
      <c r="AK100">
        <f>IF($C100="",0,MAX(0,$AJ100-$W100))</f>
        <v/>
      </c>
      <c r="AL100">
        <f>IF($C100="",0,MAX(0,$AK100-$X100))</f>
        <v/>
      </c>
      <c r="AM100">
        <f>IF($C100="",0,MAX(0,$AL100-$Y100))</f>
        <v/>
      </c>
      <c r="AN100">
        <f>IF($C100="",0,MAX(0,$AM100-$Z100))</f>
        <v/>
      </c>
      <c r="AO100">
        <f>IF($C100="",0,MAX(0,$AN100-$AA100))</f>
        <v/>
      </c>
      <c r="AP100">
        <f>IF($C100="",0,MAX(0,$AO100-$AB100))</f>
        <v/>
      </c>
      <c r="AQ100">
        <f>IF($C100="",0,MAX(0,$AP100-$AC100))</f>
        <v/>
      </c>
      <c r="AR100">
        <f>IF($C100="",0,MAX(0,$AQ100-$AD100))</f>
        <v/>
      </c>
      <c r="AS100">
        <f>IF($C100="",0,MAX(0,$AR100-$AE100))</f>
        <v/>
      </c>
      <c r="AT100">
        <f>IF($C100="",0,MAX(0,$AS100-$AF100))</f>
        <v/>
      </c>
      <c r="AU100">
        <f>IF($C100="",0,MAX(0,$AT100-$AG100))</f>
        <v/>
      </c>
      <c r="AV100">
        <f>IF($C100="",0,MAX(0,$AU100-$AH100))</f>
        <v/>
      </c>
      <c r="AW100">
        <f>IF($C100="",0,MAX(0,$AV100-$AI100))</f>
        <v/>
      </c>
      <c r="AX100">
        <f>IF($C100="",0,MAX(0,MAX(0,N($L100))+IF($P100=V$3,$R100,0)+IF($S100=V$3,$U100,0)-$V100))</f>
        <v/>
      </c>
      <c r="AY100">
        <f>IF($C100="",0,MAX(0,$AX100+IF($P100=W$3,$R100,0)+IF($S100=W$3,$U100,0)-$W100))</f>
        <v/>
      </c>
      <c r="AZ100">
        <f>IF($C100="",0,MAX(0,$AY100+IF($P100=X$3,$R100,0)+IF($S100=X$3,$U100,0)-$X100))</f>
        <v/>
      </c>
      <c r="BA100">
        <f>IF($C100="",0,MAX(0,$AZ100+IF($P100=Y$3,$R100,0)+IF($S100=Y$3,$U100,0)-$Y100))</f>
        <v/>
      </c>
      <c r="BB100">
        <f>IF($C100="",0,MAX(0,$BA100+IF($P100=Z$3,$R100,0)+IF($S100=Z$3,$U100,0)-$Z100))</f>
        <v/>
      </c>
      <c r="BC100">
        <f>IF($C100="",0,MAX(0,$BB100+IF($P100=AA$3,$R100,0)+IF($S100=AA$3,$U100,0)-$AA100))</f>
        <v/>
      </c>
      <c r="BD100">
        <f>IF($C100="",0,MAX(0,$BC100+IF($P100=AB$3,$R100,0)+IF($S100=AB$3,$U100,0)-$AB100))</f>
        <v/>
      </c>
      <c r="BE100">
        <f>IF($C100="",0,MAX(0,$BD100+IF($P100=AC$3,$R100,0)+IF($S100=AC$3,$U100,0)-$AC100))</f>
        <v/>
      </c>
      <c r="BF100">
        <f>IF($C100="",0,MAX(0,$BE100+IF($P100=AD$3,$R100,0)+IF($S100=AD$3,$U100,0)-$AD100))</f>
        <v/>
      </c>
      <c r="BG100">
        <f>IF($C100="",0,MAX(0,$BF100+IF($P100=AE$3,$R100,0)+IF($S100=AE$3,$U100,0)-$AE100))</f>
        <v/>
      </c>
      <c r="BH100">
        <f>IF($C100="",0,MAX(0,$BG100+IF($P100=AF$3,$R100,0)+IF($S100=AF$3,$U100,0)-$AF100))</f>
        <v/>
      </c>
      <c r="BI100">
        <f>IF($C100="",0,MAX(0,$BH100+IF($P100=AG$3,$R100,0)+IF($S100=AG$3,$U100,0)-$AG100))</f>
        <v/>
      </c>
      <c r="BJ100">
        <f>IF($C100="",0,MAX(0,$BI100+IF($P100=AH$3,$R100,0)+IF($S100=AH$3,$U100,0)-$AH100))</f>
        <v/>
      </c>
      <c r="BK100">
        <f>IF($C100="",0,MAX(0,$BJ100+IF($P100=AI$3,$R100,0)+IF($S100=AI$3,$U100,0)-$AI100))</f>
        <v/>
      </c>
      <c r="BL100">
        <f>IF($C100="",99,IF(AND($AX100&lt;1,V$3&gt;=MAX(N($P100),N($S100))),0,99))</f>
        <v/>
      </c>
      <c r="BM100">
        <f>IF($C100="",99,IF(AND($AY100&lt;1,W$3&gt;=MAX(N($P100),N($S100))),1,99))</f>
        <v/>
      </c>
      <c r="BN100">
        <f>IF($C100="",99,IF(AND($AZ100&lt;1,X$3&gt;=MAX(N($P100),N($S100))),2,99))</f>
        <v/>
      </c>
      <c r="BO100">
        <f>IF($C100="",99,IF(AND($BA100&lt;1,Y$3&gt;=MAX(N($P100),N($S100))),3,99))</f>
        <v/>
      </c>
      <c r="BP100">
        <f>IF($C100="",99,IF(AND($BB100&lt;1,Z$3&gt;=MAX(N($P100),N($S100))),4,99))</f>
        <v/>
      </c>
      <c r="BQ100">
        <f>IF($C100="",99,IF(AND($BC100&lt;1,AA$3&gt;=MAX(N($P100),N($S100))),5,99))</f>
        <v/>
      </c>
      <c r="BR100">
        <f>IF($C100="",99,IF(AND($BD100&lt;1,AB$3&gt;=MAX(N($P100),N($S100))),6,99))</f>
        <v/>
      </c>
      <c r="BS100">
        <f>IF($C100="",99,IF(AND($BE100&lt;1,AC$3&gt;=MAX(N($P100),N($S100))),7,99))</f>
        <v/>
      </c>
      <c r="BT100">
        <f>IF($C100="",99,IF(AND($BF100&lt;1,AD$3&gt;=MAX(N($P100),N($S100))),8,99))</f>
        <v/>
      </c>
      <c r="BU100">
        <f>IF($C100="",99,IF(AND($BG100&lt;1,AE$3&gt;=MAX(N($P100),N($S100))),9,99))</f>
        <v/>
      </c>
      <c r="BV100">
        <f>IF($C100="",99,IF(AND($BH100&lt;1,AF$3&gt;=MAX(N($P100),N($S100))),10,99))</f>
        <v/>
      </c>
      <c r="BW100">
        <f>IF($C100="",99,IF(AND($BI100&lt;1,AG$3&gt;=MAX(N($P100),N($S100))),11,99))</f>
        <v/>
      </c>
      <c r="BX100">
        <f>IF($C100="",99,IF(AND($BJ100&lt;1,AH$3&gt;=MAX(N($P100),N($S100))),12,99))</f>
        <v/>
      </c>
      <c r="BY100">
        <f>IF($C100="",99,IF(AND($BK100&lt;1,AI$3&gt;=MAX(N($P100),N($S100))),13,99))</f>
        <v/>
      </c>
      <c r="BZ100">
        <f>IF(OR($C100="",$M100=""),"",COUNTIF($AJ100:$AW100,"&gt;=1"))</f>
        <v/>
      </c>
      <c r="CA100" s="90">
        <f>IF($BZ100="","",IF($BZ100&gt;=14,"",'設定'!$C$6+$BZ100))</f>
        <v/>
      </c>
      <c r="CB100">
        <f>IF(OR($C100="",$M100=""),"",MIN($BL100:$BY100))</f>
        <v/>
      </c>
      <c r="CC100" s="90">
        <f>IF($CB100="","",IF($CB100&gt;=99,"",'設定'!$C$6+$CB100))</f>
        <v/>
      </c>
      <c r="CD100">
        <f>IF(OR($C100="",$M100=""),"",AVERAGE($V100:$AI100))</f>
        <v/>
      </c>
      <c r="CE100">
        <f>IF($C100="","",IFERROR(IF(MATCH(IF(ISNUMBER($P100),$P100,'設定'!$C$6+N('設定'!$C$7)),$V$3:$AI$3,0)=1,MAX(0,N($L100)),INDEX($AJ100:$AW100,MATCH(IF(ISNUMBER($P100),$P100,'設定'!$C$6+N('設定'!$C$7)),$V$3:$AI$3,0)-1)),""))</f>
        <v/>
      </c>
      <c r="CF100">
        <f>IF(OR($C100="",$O100="",$CE100=""),"",IF($O100-$CE100&lt;=0,0,ROUNDUP(($O100-$CE100)/$G100,0)))</f>
        <v/>
      </c>
      <c r="CG100">
        <f>IF(OR($C100="",$CF100="",NOT(ISNUMBER($Q100))),0,MAX(0,$Q100-$CF100))</f>
        <v/>
      </c>
      <c r="CH100">
        <f>IF(OR($C100="",$O100="",$U100=0),0,IFERROR(ROUNDUP(MAX(0,IF(MATCH($S100,$V$3:$AI$3,0)=1,MAX(0,N($L100)),INDEX($AX100:$BK100,MATCH($S100,$V$3:$AI$3,0)-1))+$U100-$O100)/$G100,0),0))</f>
        <v/>
      </c>
      <c r="CI100">
        <f>IF($C100="","",IF(AND($P100="",$Q100=""),"",IF($P100="","⚠ 入庫日を ▼ から選んでください",IF(NOT(ISNUMBER($P100)),"⚠ 入庫日は ▼ から選んでください",IF($P100&lt;N('設定'!$C$6),"⚠ 入庫日が過去です（もう在庫に入っています）→ 消してください",IF($P100&gt;N('設定'!$C$6)+13,"⚠ 入庫日が14日より先です",IF(N($Q100)&lt;=0,"⚠ 入庫数を入れてください",IF($CG100&gt;0,"⚠ 目安より "&amp;$CG100&amp;" 多い（定数を超える）→ 減らす",""))))))))</f>
        <v/>
      </c>
      <c r="CJ100">
        <f>IF($C100="","",IF(AND($S100="",$T100=""),"",IF($S100="","⚠ 2便目：入庫日を ▼ から選んでください",IF(NOT(ISNUMBER($S100)),"⚠ 2便目：入庫日は ▼ から選んでください",IF($S100&lt;N('設定'!$C$6),"⚠ 2便目：入庫日が過去です（もう在庫に入っています）→ 消してください",IF($S100&gt;N('設定'!$C$6)+13,"⚠ 2便目：入庫日が14日より先です",IF(N($T100)&lt;=0,"⚠ 2便目：入庫数を入れてください",IF($CH100&gt;0,"⚠ 2便目：定数を "&amp;$CH100&amp;" ケース超える → 減らす",""))))))))</f>
        <v/>
      </c>
      <c r="CK100">
        <f>IF(AND($CI100="",N($Q100)&gt;0,ISNUMBER($P100)),1,0)</f>
        <v/>
      </c>
      <c r="CL100">
        <f>IF(AND($CJ100="",N($T100)&gt;0,ISNUMBER($S100)),1,0)</f>
        <v/>
      </c>
      <c r="CM100">
        <f>IF(OR($CK100=1,$CL100=1),1,0)</f>
        <v/>
      </c>
      <c r="CN100">
        <f>IF($C100="",0,($CK100*$R100+$CL100*$U100)*N($H100))</f>
        <v/>
      </c>
      <c r="CO100">
        <f>IF($C100="","",IF($CC100="","入庫後は 14日以上もつ",IF($CC100-N('設定'!$C$7)&lt;='設定'!$C$6,"入庫後も "&amp;TEXT($CC100,"m/d")&amp;"("&amp;CHOOSE(WEEKDAY($CC100),"日","月","火","水","木","金","土")&amp;")"&amp;" に切れる　もう1便を至急発注","入庫後も "&amp;TEXT($CC100,"m/d")&amp;"("&amp;CHOOSE(WEEKDAY($CC100),"日","月","火","水","木","金","土")&amp;")"&amp;" に切れる　"&amp;TEXT($CC100-N('設定'!$C$7),"m/d")&amp;"("&amp;CHOOSE(WEEKDAY($CC100-N('設定'!$C$7)),"日","月","火","水","木","金","土")&amp;")"&amp;" までに次を発注")))</f>
        <v/>
      </c>
      <c r="CP100">
        <f>IF($C100="","",IF('設定'!$C$6="","？ ①在庫を貼る に今日のCSVが貼られていない",IF($CS100=1,"－ 今日のCSVに無い（終売？）",IF($L100&lt;0,"● 在庫がマイナス　数えて「数えた在庫」に入れる",IF($L100=0,"● 在庫なし　至急発注",IF($M100="","？ 減り数が未設定（商品マスタ）",IF($B$3=0,"？ 動員が未入力（動員を入れる）",IF($CA100="","○ 14日以上もつ",IF($BZ100&lt;N('設定'!$C$7),"● "&amp;TEXT($CA100,"m/d")&amp;"("&amp;CHOOSE(WEEKDAY($CA100),"日","月","火","水","木","金","土")&amp;")"&amp;" に切れる　至急発注",IF($BZ100=N('設定'!$C$7),"● "&amp;TEXT($CA100,"m/d")&amp;"("&amp;CHOOSE(WEEKDAY($CA100),"日","月","火","水","木","金","土")&amp;")"&amp;" に切れる　今日発注","△ "&amp;TEXT($CA100,"m/d")&amp;"("&amp;CHOOSE(WEEKDAY($CA100),"日","月","火","水","木","金","土")&amp;")"&amp;" に切れる　"&amp;TEXT($CA100-N('設定'!$C$7),"m/d")&amp;"("&amp;CHOOSE(WEEKDAY($CA100-N('設定'!$C$7)),"日","月","火","水","木","金","土")&amp;")"&amp;" までに発注"))))))))))</f>
        <v/>
      </c>
      <c r="CQ100">
        <f>IF($C100="","",IF(AND($P100="",$Q100="",$S100="",$T100=""),"",IF(AND($P100="",$Q100=""),"⚠ 先に1便目（左の入庫日・入庫数）に入れてください",IF($CI100&lt;&gt;"",$CI100,IF($CJ100&lt;&gt;"",$CJ100,IF($M100="","？ 減り数が未設定（発注書には載ります）",IF($B$3=0,"？ 動員が未入力（発注書には載ります）",IF(AND($CA100&lt;&gt;"",$P100&gt;$CA100),IF($P100&gt;'設定'!$C$6+N('設定'!$C$7),"● "&amp;TEXT($P100,"m/d")&amp;"("&amp;CHOOSE(WEEKDAY($P100),"日","月","火","水","木","金","土")&amp;")"&amp;" の入庫では間に合わない（"&amp;TEXT($CA100,"m/d")&amp;"("&amp;CHOOSE(WEEKDAY($CA100),"日","月","火","水","木","金","土")&amp;")"&amp;" に切れる）　入庫日を早める","△ 欠品 "&amp;TEXT($CA100,"m/d")&amp;"("&amp;CHOOSE(WEEKDAY($CA100),"日","月","火","水","木","金","土")&amp;")"&amp;"〜"&amp;TEXT($P100-1,"m/d")&amp;"("&amp;CHOOSE(WEEKDAY($P100-1),"日","月","火","水","木","金","土")&amp;")"&amp;"　"&amp;$CO100),IF($CC100="","○ "&amp;TEXT($P100,"m/d")&amp;"("&amp;CHOOSE(WEEKDAY($P100),"日","月","火","水","木","金","土")&amp;")"&amp;" 入庫で 14日以上もつ",IF($CC100-N('設定'!$C$7)&lt;='設定'!$C$6,"● 入庫しても "&amp;TEXT($CC100,"m/d")&amp;"("&amp;CHOOSE(WEEKDAY($CC100),"日","月","火","水","木","金","土")&amp;")"&amp;" に切れる　もう1便を至急発注（2便目に入れる）","△ 入庫しても "&amp;TEXT($CC100,"m/d")&amp;"("&amp;CHOOSE(WEEKDAY($CC100),"日","月","火","水","木","金","土")&amp;")"&amp;" に切れる　"&amp;TEXT($CC100-N('設定'!$C$7),"m/d")&amp;"("&amp;CHOOSE(WEEKDAY($CC100-N('設定'!$C$7)),"日","月","火","水","木","金","土")&amp;")"&amp;" までに次を発注（2便目に入れる）"))))))))))</f>
        <v/>
      </c>
      <c r="CR100">
        <f>IF($C100="","",IF($G100&gt;1,"ｹｰｽ("&amp;$G100&amp;"入)","個"))</f>
        <v/>
      </c>
      <c r="CS100">
        <f>IF($C100="",0,IF(COUNTIFS('①在庫を貼る'!$V$6:$V$10005,'設定'!$C$4,'①在庫を貼る'!$W$6:$W$10005,$C100)=0,1,0))</f>
        <v/>
      </c>
      <c r="CT100">
        <f>IF(AND($CK100=1,OR('③発注書'!$C$4="すべて",'③発注書'!$C$4="",$F100='③発注書'!$C$4)),N($CT99)+1,N($CT99))</f>
        <v/>
      </c>
      <c r="CU100">
        <f>IF(AND($CL100=1,OR('③発注書'!$C$4="すべて",'③発注書'!$C$4="",$F100='③発注書'!$C$4)),N($CU99)+1,N($CU99))</f>
        <v/>
      </c>
      <c r="CV100">
        <f>IF($C100="",0,IF(COUNTIFS('①在庫を貼る'!$V$6:$V$10005,'設定'!$C$4,'①在庫を貼る'!$W$6:$W$10005,$C100)&gt;0,1,0))</f>
        <v/>
      </c>
      <c r="CW100">
        <f>IF($C100="",0,IF(COUNTIFS('月1回_1ヶ月前の在庫'!$V$6:$V$10005,'設定'!$C$4,'月1回_1ヶ月前の在庫'!$W$6:$W$10005,$C100)&gt;0,1,0))</f>
        <v/>
      </c>
      <c r="CX100">
        <f>IF($C100="",0,IF(COUNTIFS('月1回_2ヶ月前の在庫'!$V$6:$V$10005,'設定'!$C$4,'月1回_2ヶ月前の在庫'!$W$6:$W$10005,$C100)&gt;0,1,0))</f>
        <v/>
      </c>
      <c r="CY100">
        <f>IF(OR($C100="",'設定'!$C$12=""),"",IF('設定'!$C$13="",IF(AND($CV100=1,$CW100=0),"新商品（今月から）",IF(AND($CV100=0,$CW100=1),"終売（今月から）","")),IF(AND($CV100=1,$CW100=0,$CX100=0),"新商品（今月から）",IF(AND($CV100=1,$CW100=1,$CX100=0),"新商品（先月から）",IF(AND($CV100=0,$CW100=1,$CX100=1),"終売（今月から）",IF(AND($CV100=0,$CW100=0,$CX100=1),"終売（先月から）",IF(AND($CV100=1,$CW100=0,$CX100=1),"復活（先月は無し）","")))))))</f>
        <v/>
      </c>
    </row>
    <row r="101">
      <c r="B101">
        <f>IF(96&lt;='設定'!$C$11,96,"")</f>
        <v/>
      </c>
      <c r="C101">
        <f>IF($B101="","",IF($B101&lt;='設定'!$C$20,INDEX('商品マスタ'!$B$6:$B$1005,MATCH($B101,'商品マスタ'!$M$6:$M$1005,0)),IF($B101&lt;='設定'!$C$20+'設定'!$C$17,INDEX('①在庫を貼る'!$W$6:$W$10005,MATCH($B101-'設定'!$C$20,'①在庫を貼る'!$U$6:$U$10005,0)),IF($B101&lt;='設定'!$C$20+'設定'!$C$17+'設定'!$C$18,INDEX('月1回_1ヶ月前の在庫'!$W$6:$W$10005,MATCH($B101-'設定'!$C$20-'設定'!$C$17,'月1回_1ヶ月前の在庫'!$U$6:$U$10005,0)),INDEX('月1回_2ヶ月前の在庫'!$W$6:$W$10005,MATCH($B101-'設定'!$C$20-'設定'!$C$17-'設定'!$C$18,'月1回_2ヶ月前の在庫'!$U$6:$U$10005,0))))))</f>
        <v/>
      </c>
      <c r="D101">
        <f>IF($C101="","",IFERROR(IF(INDEX('商品マスタ'!$C$6:$C$1005,MATCH($C101,'商品マスタ'!$B$6:$B$1005,0))="",IFERROR(INDEX('①在庫を貼る'!$J$6:$J$10005,MATCH($C101,'①在庫を貼る'!$W$6:$W$10005,0)),IFERROR(INDEX('月1回_1ヶ月前の在庫'!$J$6:$J$10005,MATCH($C101,'月1回_1ヶ月前の在庫'!$W$6:$W$10005,0)),IFERROR(INDEX('月1回_2ヶ月前の在庫'!$J$6:$J$10005,MATCH($C101,'月1回_2ヶ月前の在庫'!$W$6:$W$10005,0)),""))),INDEX('商品マスタ'!$C$6:$C$1005,MATCH($C101,'商品マスタ'!$B$6:$B$1005,0))),IFERROR(INDEX('①在庫を貼る'!$J$6:$J$10005,MATCH($C101,'①在庫を貼る'!$W$6:$W$10005,0)),IFERROR(INDEX('月1回_1ヶ月前の在庫'!$J$6:$J$10005,MATCH($C101,'月1回_1ヶ月前の在庫'!$W$6:$W$10005,0)),IFERROR(INDEX('月1回_2ヶ月前の在庫'!$J$6:$J$10005,MATCH($C101,'月1回_2ヶ月前の在庫'!$W$6:$W$10005,0)),"")))))</f>
        <v/>
      </c>
      <c r="E101">
        <f>IF($C101="","",IFERROR(IF(INDEX('商品マスタ'!$D$6:$D$1005,MATCH($C101,'商品マスタ'!$B$6:$B$1005,0))="",IFERROR(INDEX('①在庫を貼る'!$H$6:$H$10005,MATCH($C101,'①在庫を貼る'!$W$6:$W$10005,0)),IFERROR(INDEX('月1回_1ヶ月前の在庫'!$H$6:$H$10005,MATCH($C101,'月1回_1ヶ月前の在庫'!$W$6:$W$10005,0)),IFERROR(INDEX('月1回_2ヶ月前の在庫'!$H$6:$H$10005,MATCH($C101,'月1回_2ヶ月前の在庫'!$W$6:$W$10005,0)),""))),INDEX('商品マスタ'!$D$6:$D$1005,MATCH($C101,'商品マスタ'!$B$6:$B$1005,0))),IFERROR(INDEX('①在庫を貼る'!$H$6:$H$10005,MATCH($C101,'①在庫を貼る'!$W$6:$W$10005,0)),IFERROR(INDEX('月1回_1ヶ月前の在庫'!$H$6:$H$10005,MATCH($C101,'月1回_1ヶ月前の在庫'!$W$6:$W$10005,0)),IFERROR(INDEX('月1回_2ヶ月前の在庫'!$H$6:$H$10005,MATCH($C101,'月1回_2ヶ月前の在庫'!$W$6:$W$10005,0)),"")))))</f>
        <v/>
      </c>
      <c r="F101">
        <f>IF($C101="","",IFERROR(IF(INDEX('商品マスタ'!$E$6:$E$1005,MATCH($C101,'商品マスタ'!$B$6:$B$1005,0))="",IFERROR(INDEX('①在庫を貼る'!$E$6:$E$10005,MATCH($C101,'①在庫を貼る'!$W$6:$W$10005,0)),IFERROR(INDEX('月1回_1ヶ月前の在庫'!$E$6:$E$10005,MATCH($C101,'月1回_1ヶ月前の在庫'!$W$6:$W$10005,0)),IFERROR(INDEX('月1回_2ヶ月前の在庫'!$E$6:$E$10005,MATCH($C101,'月1回_2ヶ月前の在庫'!$W$6:$W$10005,0)),""))),INDEX('商品マスタ'!$E$6:$E$1005,MATCH($C101,'商品マスタ'!$B$6:$B$1005,0))),IFERROR(INDEX('①在庫を貼る'!$E$6:$E$10005,MATCH($C101,'①在庫を貼る'!$W$6:$W$10005,0)),IFERROR(INDEX('月1回_1ヶ月前の在庫'!$E$6:$E$10005,MATCH($C101,'月1回_1ヶ月前の在庫'!$W$6:$W$10005,0)),IFERROR(INDEX('月1回_2ヶ月前の在庫'!$E$6:$E$10005,MATCH($C101,'月1回_2ヶ月前の在庫'!$W$6:$W$10005,0)),"")))))</f>
        <v/>
      </c>
      <c r="G101">
        <f>IF($C101="","",MAX(1,N(IFERROR(IF(INDEX('商品マスタ'!$F$6:$F$1005,MATCH($C101,'商品マスタ'!$B$6:$B$1005,0))="",IF(COUNTIFS('①在庫を貼る'!$V$6:$V$10005,'設定'!$C$4,'①在庫を貼る'!$W$6:$W$10005,$C101)&gt;0,SUMIFS('①在庫を貼る'!$K$6:$K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K$6:$K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K$6:$K$10005,'月1回_2ヶ月前の在庫'!$V$6:$V$10005,'設定'!$C$4,'月1回_2ヶ月前の在庫'!$W$6:$W$10005,$C101)/COUNTIFS('月1回_2ヶ月前の在庫'!$V$6:$V$10005,'設定'!$C$4,'月1回_2ヶ月前の在庫'!$W$6:$W$10005,$C101),0))),INDEX('商品マスタ'!$F$6:$F$1005,MATCH($C101,'商品マスタ'!$B$6:$B$1005,0))),IF(COUNTIFS('①在庫を貼る'!$V$6:$V$10005,'設定'!$C$4,'①在庫を貼る'!$W$6:$W$10005,$C101)&gt;0,SUMIFS('①在庫を貼る'!$K$6:$K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K$6:$K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K$6:$K$10005,'月1回_2ヶ月前の在庫'!$V$6:$V$10005,'設定'!$C$4,'月1回_2ヶ月前の在庫'!$W$6:$W$10005,$C101)/COUNTIFS('月1回_2ヶ月前の在庫'!$V$6:$V$10005,'設定'!$C$4,'月1回_2ヶ月前の在庫'!$W$6:$W$10005,$C101),0)))))))</f>
        <v/>
      </c>
      <c r="H101">
        <f>IF($C101="","",N(IFERROR(IF(INDEX('商品マスタ'!$G$6:$G$1005,MATCH($C101,'商品マスタ'!$B$6:$B$1005,0))="",IF(COUNTIFS('①在庫を貼る'!$V$6:$V$10005,'設定'!$C$4,'①在庫を貼る'!$W$6:$W$10005,$C101)&gt;0,SUMIFS('①在庫を貼る'!$Q$6:$Q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Q$6:$Q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Q$6:$Q$10005,'月1回_2ヶ月前の在庫'!$V$6:$V$10005,'設定'!$C$4,'月1回_2ヶ月前の在庫'!$W$6:$W$10005,$C101)/COUNTIFS('月1回_2ヶ月前の在庫'!$V$6:$V$10005,'設定'!$C$4,'月1回_2ヶ月前の在庫'!$W$6:$W$10005,$C101),0))),INDEX('商品マスタ'!$G$6:$G$1005,MATCH($C101,'商品マスタ'!$B$6:$B$1005,0))),IF(COUNTIFS('①在庫を貼る'!$V$6:$V$10005,'設定'!$C$4,'①在庫を貼る'!$W$6:$W$10005,$C101)&gt;0,SUMIFS('①在庫を貼る'!$Q$6:$Q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Q$6:$Q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Q$6:$Q$10005,'月1回_2ヶ月前の在庫'!$V$6:$V$10005,'設定'!$C$4,'月1回_2ヶ月前の在庫'!$W$6:$W$10005,$C101)/COUNTIFS('月1回_2ヶ月前の在庫'!$V$6:$V$10005,'設定'!$C$4,'月1回_2ヶ月前の在庫'!$W$6:$W$10005,$C101),0))))))</f>
        <v/>
      </c>
      <c r="I101">
        <f>IF($C101="","",IF(COUNTIFS('①在庫を貼る'!$V$6:$V$10005,'設定'!$C$4,'①在庫を貼る'!$W$6:$W$10005,$C101)=0,"",SUMIFS('①在庫を貼る'!$N$6:$N$10005,'①在庫を貼る'!$V$6:$V$10005,'設定'!$C$4,'①在庫を貼る'!$W$6:$W$10005,$C101)))</f>
        <v/>
      </c>
      <c r="J101">
        <f>IF($C101="","",IF('②発注する'!$AD105="","",'②発注する'!$AD105))</f>
        <v/>
      </c>
      <c r="K101" s="90">
        <f>IF($C101="","",IF('②発注する'!$AE105="","",'②発注する'!$AE105))</f>
        <v/>
      </c>
      <c r="L101">
        <f>IF($C101="","",IF(AND(ISNUMBER($J101),ISNUMBER($K101),$K101&gt;='設定'!$C$6),$J101,N($I101)))</f>
        <v/>
      </c>
      <c r="M101">
        <f>IF($C101="","",IFERROR(IF(N(INDEX('商品マスタ'!$J$6:$J$1005,MATCH($C101,'商品マスタ'!$B$6:$B$1005,0)))&gt;0,INDEX('商品マスタ'!$J$6:$J$1005,MATCH($C101,'商品マスタ'!$B$6:$B$1005,0)),""),""))</f>
        <v/>
      </c>
      <c r="N101">
        <f>IF($C101="","",IFERROR(IF(N(INDEX('商品マスタ'!$H$6:$H$1005,MATCH($C101,'商品マスタ'!$B$6:$B$1005,0)))&gt;0,INDEX('商品マスタ'!$H$6:$H$1005,MATCH($C101,'商品マスタ'!$B$6:$B$1005,0)),""),""))</f>
        <v/>
      </c>
      <c r="O101">
        <f>IF($C101="","",IF($N101&lt;&gt;"",$N101*$G101,IF(N(IF(COUNTIFS('①在庫を貼る'!$V$6:$V$10005,'設定'!$C$4,'①在庫を貼る'!$W$6:$W$10005,$C101)&gt;0,SUMIFS('①在庫を貼る'!$O$6:$O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O$6:$O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O$6:$O$10005,'月1回_2ヶ月前の在庫'!$V$6:$V$10005,'設定'!$C$4,'月1回_2ヶ月前の在庫'!$W$6:$W$10005,$C101)/COUNTIFS('月1回_2ヶ月前の在庫'!$V$6:$V$10005,'設定'!$C$4,'月1回_2ヶ月前の在庫'!$W$6:$W$10005,$C101),0))))&gt;0,N(IF(COUNTIFS('①在庫を貼る'!$V$6:$V$10005,'設定'!$C$4,'①在庫を貼る'!$W$6:$W$10005,$C101)&gt;0,SUMIFS('①在庫を貼る'!$O$6:$O$10005,'①在庫を貼る'!$V$6:$V$10005,'設定'!$C$4,'①在庫を貼る'!$W$6:$W$10005,$C101)/COUNTIFS('①在庫を貼る'!$V$6:$V$10005,'設定'!$C$4,'①在庫を貼る'!$W$6:$W$10005,$C101),IF(COUNTIFS('月1回_1ヶ月前の在庫'!$V$6:$V$10005,'設定'!$C$4,'月1回_1ヶ月前の在庫'!$W$6:$W$10005,$C101)&gt;0,SUMIFS('月1回_1ヶ月前の在庫'!$O$6:$O$10005,'月1回_1ヶ月前の在庫'!$V$6:$V$10005,'設定'!$C$4,'月1回_1ヶ月前の在庫'!$W$6:$W$10005,$C101)/COUNTIFS('月1回_1ヶ月前の在庫'!$V$6:$V$10005,'設定'!$C$4,'月1回_1ヶ月前の在庫'!$W$6:$W$10005,$C101),IF(COUNTIFS('月1回_2ヶ月前の在庫'!$V$6:$V$10005,'設定'!$C$4,'月1回_2ヶ月前の在庫'!$W$6:$W$10005,$C101)&gt;0,SUMIFS('月1回_2ヶ月前の在庫'!$O$6:$O$10005,'月1回_2ヶ月前の在庫'!$V$6:$V$10005,'設定'!$C$4,'月1回_2ヶ月前の在庫'!$W$6:$W$10005,$C101)/COUNTIFS('月1回_2ヶ月前の在庫'!$V$6:$V$10005,'設定'!$C$4,'月1回_2ヶ月前の在庫'!$W$6:$W$10005,$C101),0)))),"")))</f>
        <v/>
      </c>
      <c r="P101" s="90">
        <f>IF($C101="","",IF('②発注する'!$I105="","",'②発注する'!$I105))</f>
        <v/>
      </c>
      <c r="Q101">
        <f>IF($C101="","",IF('②発注する'!$J105="","",'②発注する'!$J105))</f>
        <v/>
      </c>
      <c r="R101">
        <f>IF($C101="",0,IF(AND(ISNUMBER($P101),ISNUMBER($Q101)),MAX(0,$Q101)*$G101,0))</f>
        <v/>
      </c>
      <c r="S101" s="90">
        <f>IF($C101="","",IF('②発注する'!$M105="","",'②発注する'!$M105))</f>
        <v/>
      </c>
      <c r="T101">
        <f>IF($C101="","",IF('②発注する'!$N105="","",'②発注する'!$N105))</f>
        <v/>
      </c>
      <c r="U101">
        <f>IF($C101="",0,IF(AND(ISNUMBER($S101),ISNUMBER($T101)),MAX(0,$T101)*$G101,0))</f>
        <v/>
      </c>
      <c r="V101">
        <f>IF($C101="",0,IF($M101="",0,MAX(0,$M101)*MAX(0,V$4)/100))</f>
        <v/>
      </c>
      <c r="W101">
        <f>IF($C101="",0,IF($M101="",0,MAX(0,$M101)*MAX(0,W$4)/100))</f>
        <v/>
      </c>
      <c r="X101">
        <f>IF($C101="",0,IF($M101="",0,MAX(0,$M101)*MAX(0,X$4)/100))</f>
        <v/>
      </c>
      <c r="Y101">
        <f>IF($C101="",0,IF($M101="",0,MAX(0,$M101)*MAX(0,Y$4)/100))</f>
        <v/>
      </c>
      <c r="Z101">
        <f>IF($C101="",0,IF($M101="",0,MAX(0,$M101)*MAX(0,Z$4)/100))</f>
        <v/>
      </c>
      <c r="AA101">
        <f>IF($C101="",0,IF($M101="",0,MAX(0,$M101)*MAX(0,AA$4)/100))</f>
        <v/>
      </c>
      <c r="AB101">
        <f>IF($C101="",0,IF($M101="",0,MAX(0,$M101)*MAX(0,AB$4)/100))</f>
        <v/>
      </c>
      <c r="AC101">
        <f>IF($C101="",0,IF($M101="",0,MAX(0,$M101)*MAX(0,AC$4)/100))</f>
        <v/>
      </c>
      <c r="AD101">
        <f>IF($C101="",0,IF($M101="",0,MAX(0,$M101)*MAX(0,AD$4)/100))</f>
        <v/>
      </c>
      <c r="AE101">
        <f>IF($C101="",0,IF($M101="",0,MAX(0,$M101)*MAX(0,AE$4)/100))</f>
        <v/>
      </c>
      <c r="AF101">
        <f>IF($C101="",0,IF($M101="",0,MAX(0,$M101)*MAX(0,AF$4)/100))</f>
        <v/>
      </c>
      <c r="AG101">
        <f>IF($C101="",0,IF($M101="",0,MAX(0,$M101)*MAX(0,AG$4)/100))</f>
        <v/>
      </c>
      <c r="AH101">
        <f>IF($C101="",0,IF($M101="",0,MAX(0,$M101)*MAX(0,AH$4)/100))</f>
        <v/>
      </c>
      <c r="AI101">
        <f>IF($C101="",0,IF($M101="",0,MAX(0,$M101)*MAX(0,AI$4)/100))</f>
        <v/>
      </c>
      <c r="AJ101">
        <f>IF($C101="",0,MAX(0,MAX(0,N($L101))-$V101))</f>
        <v/>
      </c>
      <c r="AK101">
        <f>IF($C101="",0,MAX(0,$AJ101-$W101))</f>
        <v/>
      </c>
      <c r="AL101">
        <f>IF($C101="",0,MAX(0,$AK101-$X101))</f>
        <v/>
      </c>
      <c r="AM101">
        <f>IF($C101="",0,MAX(0,$AL101-$Y101))</f>
        <v/>
      </c>
      <c r="AN101">
        <f>IF($C101="",0,MAX(0,$AM101-$Z101))</f>
        <v/>
      </c>
      <c r="AO101">
        <f>IF($C101="",0,MAX(0,$AN101-$AA101))</f>
        <v/>
      </c>
      <c r="AP101">
        <f>IF($C101="",0,MAX(0,$AO101-$AB101))</f>
        <v/>
      </c>
      <c r="AQ101">
        <f>IF($C101="",0,MAX(0,$AP101-$AC101))</f>
        <v/>
      </c>
      <c r="AR101">
        <f>IF($C101="",0,MAX(0,$AQ101-$AD101))</f>
        <v/>
      </c>
      <c r="AS101">
        <f>IF($C101="",0,MAX(0,$AR101-$AE101))</f>
        <v/>
      </c>
      <c r="AT101">
        <f>IF($C101="",0,MAX(0,$AS101-$AF101))</f>
        <v/>
      </c>
      <c r="AU101">
        <f>IF($C101="",0,MAX(0,$AT101-$AG101))</f>
        <v/>
      </c>
      <c r="AV101">
        <f>IF($C101="",0,MAX(0,$AU101-$AH101))</f>
        <v/>
      </c>
      <c r="AW101">
        <f>IF($C101="",0,MAX(0,$AV101-$AI101))</f>
        <v/>
      </c>
      <c r="AX101">
        <f>IF($C101="",0,MAX(0,MAX(0,N($L101))+IF($P101=V$3,$R101,0)+IF($S101=V$3,$U101,0)-$V101))</f>
        <v/>
      </c>
      <c r="AY101">
        <f>IF($C101="",0,MAX(0,$AX101+IF($P101=W$3,$R101,0)+IF($S101=W$3,$U101,0)-$W101))</f>
        <v/>
      </c>
      <c r="AZ101">
        <f>IF($C101="",0,MAX(0,$AY101+IF($P101=X$3,$R101,0)+IF($S101=X$3,$U101,0)-$X101))</f>
        <v/>
      </c>
      <c r="BA101">
        <f>IF($C101="",0,MAX(0,$AZ101+IF($P101=Y$3,$R101,0)+IF($S101=Y$3,$U101,0)-$Y101))</f>
        <v/>
      </c>
      <c r="BB101">
        <f>IF($C101="",0,MAX(0,$BA101+IF($P101=Z$3,$R101,0)+IF($S101=Z$3,$U101,0)-$Z101))</f>
        <v/>
      </c>
      <c r="BC101">
        <f>IF($C101="",0,MAX(0,$BB101+IF($P101=AA$3,$R101,0)+IF($S101=AA$3,$U101,0)-$AA101))</f>
        <v/>
      </c>
      <c r="BD101">
        <f>IF($C101="",0,MAX(0,$BC101+IF($P101=AB$3,$R101,0)+IF($S101=AB$3,$U101,0)-$AB101))</f>
        <v/>
      </c>
      <c r="BE101">
        <f>IF($C101="",0,MAX(0,$BD101+IF($P101=AC$3,$R101,0)+IF($S101=AC$3,$U101,0)-$AC101))</f>
        <v/>
      </c>
      <c r="BF101">
        <f>IF($C101="",0,MAX(0,$BE101+IF($P101=AD$3,$R101,0)+IF($S101=AD$3,$U101,0)-$AD101))</f>
        <v/>
      </c>
      <c r="BG101">
        <f>IF($C101="",0,MAX(0,$BF101+IF($P101=AE$3,$R101,0)+IF($S101=AE$3,$U101,0)-$AE101))</f>
        <v/>
      </c>
      <c r="BH101">
        <f>IF($C101="",0,MAX(0,$BG101+IF($P101=AF$3,$R101,0)+IF($S101=AF$3,$U101,0)-$AF101))</f>
        <v/>
      </c>
      <c r="BI101">
        <f>IF($C101="",0,MAX(0,$BH101+IF($P101=AG$3,$R101,0)+IF($S101=AG$3,$U101,0)-$AG101))</f>
        <v/>
      </c>
      <c r="BJ101">
        <f>IF($C101="",0,MAX(0,$BI101+IF($P101=AH$3,$R101,0)+IF($S101=AH$3,$U101,0)-$AH101))</f>
        <v/>
      </c>
      <c r="BK101">
        <f>IF($C101="",0,MAX(0,$BJ101+IF($P101=AI$3,$R101,0)+IF($S101=AI$3,$U101,0)-$AI101))</f>
        <v/>
      </c>
      <c r="BL101">
        <f>IF($C101="",99,IF(AND($AX101&lt;1,V$3&gt;=MAX(N($P101),N($S101))),0,99))</f>
        <v/>
      </c>
      <c r="BM101">
        <f>IF($C101="",99,IF(AND($AY101&lt;1,W$3&gt;=MAX(N($P101),N($S101))),1,99))</f>
        <v/>
      </c>
      <c r="BN101">
        <f>IF($C101="",99,IF(AND($AZ101&lt;1,X$3&gt;=MAX(N($P101),N($S101))),2,99))</f>
        <v/>
      </c>
      <c r="BO101">
        <f>IF($C101="",99,IF(AND($BA101&lt;1,Y$3&gt;=MAX(N($P101),N($S101))),3,99))</f>
        <v/>
      </c>
      <c r="BP101">
        <f>IF($C101="",99,IF(AND($BB101&lt;1,Z$3&gt;=MAX(N($P101),N($S101))),4,99))</f>
        <v/>
      </c>
      <c r="BQ101">
        <f>IF($C101="",99,IF(AND($BC101&lt;1,AA$3&gt;=MAX(N($P101),N($S101))),5,99))</f>
        <v/>
      </c>
      <c r="BR101">
        <f>IF($C101="",99,IF(AND($BD101&lt;1,AB$3&gt;=MAX(N($P101),N($S101))),6,99))</f>
        <v/>
      </c>
      <c r="BS101">
        <f>IF($C101="",99,IF(AND($BE101&lt;1,AC$3&gt;=MAX(N($P101),N($S101))),7,99))</f>
        <v/>
      </c>
      <c r="BT101">
        <f>IF($C101="",99,IF(AND($BF101&lt;1,AD$3&gt;=MAX(N($P101),N($S101))),8,99))</f>
        <v/>
      </c>
      <c r="BU101">
        <f>IF($C101="",99,IF(AND($BG101&lt;1,AE$3&gt;=MAX(N($P101),N($S101))),9,99))</f>
        <v/>
      </c>
      <c r="BV101">
        <f>IF($C101="",99,IF(AND($BH101&lt;1,AF$3&gt;=MAX(N($P101),N($S101))),10,99))</f>
        <v/>
      </c>
      <c r="BW101">
        <f>IF($C101="",99,IF(AND($BI101&lt;1,AG$3&gt;=MAX(N($P101),N($S101))),11,99))</f>
        <v/>
      </c>
      <c r="BX101">
        <f>IF($C101="",99,IF(AND($BJ101&lt;1,AH$3&gt;=MAX(N($P101),N($S101))),12,99))</f>
        <v/>
      </c>
      <c r="BY101">
        <f>IF($C101="",99,IF(AND($BK101&lt;1,AI$3&gt;=MAX(N($P101),N($S101))),13,99))</f>
        <v/>
      </c>
      <c r="BZ101">
        <f>IF(OR($C101="",$M101=""),"",COUNTIF($AJ101:$AW101,"&gt;=1"))</f>
        <v/>
      </c>
      <c r="CA101" s="90">
        <f>IF($BZ101="","",IF($BZ101&gt;=14,"",'設定'!$C$6+$BZ101))</f>
        <v/>
      </c>
      <c r="CB101">
        <f>IF(OR($C101="",$M101=""),"",MIN($BL101:$BY101))</f>
        <v/>
      </c>
      <c r="CC101" s="90">
        <f>IF($CB101="","",IF($CB101&gt;=99,"",'設定'!$C$6+$CB101))</f>
        <v/>
      </c>
      <c r="CD101">
        <f>IF(OR($C101="",$M101=""),"",AVERAGE($V101:$AI101))</f>
        <v/>
      </c>
      <c r="CE101">
        <f>IF($C101="","",IFERROR(IF(MATCH(IF(ISNUMBER($P101),$P101,'設定'!$C$6+N('設定'!$C$7)),$V$3:$AI$3,0)=1,MAX(0,N($L101)),INDEX($AJ101:$AW101,MATCH(IF(ISNUMBER($P101),$P101,'設定'!$C$6+N('設定'!$C$7)),$V$3:$AI$3,0)-1)),""))</f>
        <v/>
      </c>
      <c r="CF101">
        <f>IF(OR($C101="",$O101="",$CE101=""),"",IF($O101-$CE101&lt;=0,0,ROUNDUP(($O101-$CE101)/$G101,0)))</f>
        <v/>
      </c>
      <c r="CG101">
        <f>IF(OR($C101="",$CF101="",NOT(ISNUMBER($Q101))),0,MAX(0,$Q101-$CF101))</f>
        <v/>
      </c>
      <c r="CH101">
        <f>IF(OR($C101="",$O101="",$U101=0),0,IFERROR(ROUNDUP(MAX(0,IF(MATCH($S101,$V$3:$AI$3,0)=1,MAX(0,N($L101)),INDEX($AX101:$BK101,MATCH($S101,$V$3:$AI$3,0)-1))+$U101-$O101)/$G101,0),0))</f>
        <v/>
      </c>
      <c r="CI101">
        <f>IF($C101="","",IF(AND($P101="",$Q101=""),"",IF($P101="","⚠ 入庫日を ▼ から選んでください",IF(NOT(ISNUMBER($P101)),"⚠ 入庫日は ▼ から選んでください",IF($P101&lt;N('設定'!$C$6),"⚠ 入庫日が過去です（もう在庫に入っています）→ 消してください",IF($P101&gt;N('設定'!$C$6)+13,"⚠ 入庫日が14日より先です",IF(N($Q101)&lt;=0,"⚠ 入庫数を入れてください",IF($CG101&gt;0,"⚠ 目安より "&amp;$CG101&amp;" 多い（定数を超える）→ 減らす",""))))))))</f>
        <v/>
      </c>
      <c r="CJ101">
        <f>IF($C101="","",IF(AND($S101="",$T101=""),"",IF($S101="","⚠ 2便目：入庫日を ▼ から選んでください",IF(NOT(ISNUMBER($S101)),"⚠ 2便目：入庫日は ▼ から選んでください",IF($S101&lt;N('設定'!$C$6),"⚠ 2便目：入庫日が過去です（もう在庫に入っています）→ 消してください",IF($S101&gt;N('設定'!$C$6)+13,"⚠ 2便目：入庫日が14日より先です",IF(N($T101)&lt;=0,"⚠ 2便目：入庫数を入れてください",IF($CH101&gt;0,"⚠ 2便目：定数を "&amp;$CH101&amp;" ケース超える → 減らす",""))))))))</f>
        <v/>
      </c>
      <c r="CK101">
        <f>IF(AND($CI101="",N($Q101)&gt;0,ISNUMBER($P101)),1,0)</f>
        <v/>
      </c>
      <c r="CL101">
        <f>IF(AND($CJ101="",N($T101)&gt;0,ISNUMBER($S101)),1,0)</f>
        <v/>
      </c>
      <c r="CM101">
        <f>IF(OR($CK101=1,$CL101=1),1,0)</f>
        <v/>
      </c>
      <c r="CN101">
        <f>IF($C101="",0,($CK101*$R101+$CL101*$U101)*N($H101))</f>
        <v/>
      </c>
      <c r="CO101">
        <f>IF($C101="","",IF($CC101="","入庫後は 14日以上もつ",IF($CC101-N('設定'!$C$7)&lt;='設定'!$C$6,"入庫後も "&amp;TEXT($CC101,"m/d")&amp;"("&amp;CHOOSE(WEEKDAY($CC101),"日","月","火","水","木","金","土")&amp;")"&amp;" に切れる　もう1便を至急発注","入庫後も "&amp;TEXT($CC101,"m/d")&amp;"("&amp;CHOOSE(WEEKDAY($CC101),"日","月","火","水","木","金","土")&amp;")"&amp;" に切れる　"&amp;TEXT($CC101-N('設定'!$C$7),"m/d")&amp;"("&amp;CHOOSE(WEEKDAY($CC101-N('設定'!$C$7)),"日","月","火","水","木","金","土")&amp;")"&amp;" までに次を発注")))</f>
        <v/>
      </c>
      <c r="CP101">
        <f>IF($C101="","",IF('設定'!$C$6="","？ ①在庫を貼る に今日のCSVが貼られていない",IF($CS101=1,"－ 今日のCSVに無い（終売？）",IF($L101&lt;0,"● 在庫がマイナス　数えて「数えた在庫」に入れる",IF($L101=0,"● 在庫なし　至急発注",IF($M101="","？ 減り数が未設定（商品マスタ）",IF($B$3=0,"？ 動員が未入力（動員を入れる）",IF($CA101="","○ 14日以上もつ",IF($BZ101&lt;N('設定'!$C$7),"● "&amp;TEXT($CA101,"m/d")&amp;"("&amp;CHOOSE(WEEKDAY($CA101),"日","月","火","水","木","金","土")&amp;")"&amp;" に切れる　至急発注",IF($BZ101=N('設定'!$C$7),"● "&amp;TEXT($CA101,"m/d")&amp;"("&amp;CHOOSE(WEEKDAY($CA101),"日","月","火","水","木","金","土")&amp;")"&amp;" に切れる　今日発注","△ "&amp;TEXT($CA101,"m/d")&amp;"("&amp;CHOOSE(WEEKDAY($CA101),"日","月","火","水","木","金","土")&amp;")"&amp;" に切れる　"&amp;TEXT($CA101-N('設定'!$C$7),"m/d")&amp;"("&amp;CHOOSE(WEEKDAY($CA101-N('設定'!$C$7)),"日","月","火","水","木","金","土")&amp;")"&amp;" までに発注"))))))))))</f>
        <v/>
      </c>
      <c r="CQ101">
        <f>IF($C101="","",IF(AND($P101="",$Q101="",$S101="",$T101=""),"",IF(AND($P101="",$Q101=""),"⚠ 先に1便目（左の入庫日・入庫数）に入れてください",IF($CI101&lt;&gt;"",$CI101,IF($CJ101&lt;&gt;"",$CJ101,IF($M101="","？ 減り数が未設定（発注書には載ります）",IF($B$3=0,"？ 動員が未入力（発注書には載ります）",IF(AND($CA101&lt;&gt;"",$P101&gt;$CA101),IF($P101&gt;'設定'!$C$6+N('設定'!$C$7),"● "&amp;TEXT($P101,"m/d")&amp;"("&amp;CHOOSE(WEEKDAY($P101),"日","月","火","水","木","金","土")&amp;")"&amp;" の入庫では間に合わない（"&amp;TEXT($CA101,"m/d")&amp;"("&amp;CHOOSE(WEEKDAY($CA101),"日","月","火","水","木","金","土")&amp;")"&amp;" に切れる）　入庫日を早める","△ 欠品 "&amp;TEXT($CA101,"m/d")&amp;"("&amp;CHOOSE(WEEKDAY($CA101),"日","月","火","水","木","金","土")&amp;")"&amp;"〜"&amp;TEXT($P101-1,"m/d")&amp;"("&amp;CHOOSE(WEEKDAY($P101-1),"日","月","火","水","木","金","土")&amp;")"&amp;"　"&amp;$CO101),IF($CC101="","○ "&amp;TEXT($P101,"m/d")&amp;"("&amp;CHOOSE(WEEKDAY($P101),"日","月","火","水","木","金","土")&amp;")"&amp;" 入庫で 14日以上もつ",IF($CC101-N('設定'!$C$7)&lt;='設定'!$C$6,"● 入庫しても "&amp;TEXT($CC101,"m/d")&amp;"("&amp;CHOOSE(WEEKDAY($CC101),"日","月","火","水","木","金","土")&amp;")"&amp;" に切れる　もう1便を至急発注（2便目に入れる）","△ 入庫しても "&amp;TEXT($CC101,"m/d")&amp;"("&amp;CHOOSE(WEEKDAY($CC101),"日","月","火","水","木","金","土")&amp;")"&amp;" に切れる　"&amp;TEXT($CC101-N('設定'!$C$7),"m/d")&amp;"("&amp;CHOOSE(WEEKDAY($CC101-N('設定'!$C$7)),"日","月","火","水","木","金","土")&amp;")"&amp;" までに次を発注（2便目に入れる）"))))))))))</f>
        <v/>
      </c>
      <c r="CR101">
        <f>IF($C101="","",IF($G101&gt;1,"ｹｰｽ("&amp;$G101&amp;"入)","個"))</f>
        <v/>
      </c>
      <c r="CS101">
        <f>IF($C101="",0,IF(COUNTIFS('①在庫を貼る'!$V$6:$V$10005,'設定'!$C$4,'①在庫を貼る'!$W$6:$W$10005,$C101)=0,1,0))</f>
        <v/>
      </c>
      <c r="CT101">
        <f>IF(AND($CK101=1,OR('③発注書'!$C$4="すべて",'③発注書'!$C$4="",$F101='③発注書'!$C$4)),N($CT100)+1,N($CT100))</f>
        <v/>
      </c>
      <c r="CU101">
        <f>IF(AND($CL101=1,OR('③発注書'!$C$4="すべて",'③発注書'!$C$4="",$F101='③発注書'!$C$4)),N($CU100)+1,N($CU100))</f>
        <v/>
      </c>
      <c r="CV101">
        <f>IF($C101="",0,IF(COUNTIFS('①在庫を貼る'!$V$6:$V$10005,'設定'!$C$4,'①在庫を貼る'!$W$6:$W$10005,$C101)&gt;0,1,0))</f>
        <v/>
      </c>
      <c r="CW101">
        <f>IF($C101="",0,IF(COUNTIFS('月1回_1ヶ月前の在庫'!$V$6:$V$10005,'設定'!$C$4,'月1回_1ヶ月前の在庫'!$W$6:$W$10005,$C101)&gt;0,1,0))</f>
        <v/>
      </c>
      <c r="CX101">
        <f>IF($C101="",0,IF(COUNTIFS('月1回_2ヶ月前の在庫'!$V$6:$V$10005,'設定'!$C$4,'月1回_2ヶ月前の在庫'!$W$6:$W$10005,$C101)&gt;0,1,0))</f>
        <v/>
      </c>
      <c r="CY101">
        <f>IF(OR($C101="",'設定'!$C$12=""),"",IF('設定'!$C$13="",IF(AND($CV101=1,$CW101=0),"新商品（今月から）",IF(AND($CV101=0,$CW101=1),"終売（今月から）","")),IF(AND($CV101=1,$CW101=0,$CX101=0),"新商品（今月から）",IF(AND($CV101=1,$CW101=1,$CX101=0),"新商品（先月から）",IF(AND($CV101=0,$CW101=1,$CX101=1),"終売（今月から）",IF(AND($CV101=0,$CW101=0,$CX101=1),"終売（先月から）",IF(AND($CV101=1,$CW101=0,$CX101=1),"復活（先月は無し）","")))))))</f>
        <v/>
      </c>
    </row>
    <row r="102">
      <c r="B102">
        <f>IF(97&lt;='設定'!$C$11,97,"")</f>
        <v/>
      </c>
      <c r="C102">
        <f>IF($B102="","",IF($B102&lt;='設定'!$C$20,INDEX('商品マスタ'!$B$6:$B$1005,MATCH($B102,'商品マスタ'!$M$6:$M$1005,0)),IF($B102&lt;='設定'!$C$20+'設定'!$C$17,INDEX('①在庫を貼る'!$W$6:$W$10005,MATCH($B102-'設定'!$C$20,'①在庫を貼る'!$U$6:$U$10005,0)),IF($B102&lt;='設定'!$C$20+'設定'!$C$17+'設定'!$C$18,INDEX('月1回_1ヶ月前の在庫'!$W$6:$W$10005,MATCH($B102-'設定'!$C$20-'設定'!$C$17,'月1回_1ヶ月前の在庫'!$U$6:$U$10005,0)),INDEX('月1回_2ヶ月前の在庫'!$W$6:$W$10005,MATCH($B102-'設定'!$C$20-'設定'!$C$17-'設定'!$C$18,'月1回_2ヶ月前の在庫'!$U$6:$U$10005,0))))))</f>
        <v/>
      </c>
      <c r="D102">
        <f>IF($C102="","",IFERROR(IF(INDEX('商品マスタ'!$C$6:$C$1005,MATCH($C102,'商品マスタ'!$B$6:$B$1005,0))="",IFERROR(INDEX('①在庫を貼る'!$J$6:$J$10005,MATCH($C102,'①在庫を貼る'!$W$6:$W$10005,0)),IFERROR(INDEX('月1回_1ヶ月前の在庫'!$J$6:$J$10005,MATCH($C102,'月1回_1ヶ月前の在庫'!$W$6:$W$10005,0)),IFERROR(INDEX('月1回_2ヶ月前の在庫'!$J$6:$J$10005,MATCH($C102,'月1回_2ヶ月前の在庫'!$W$6:$W$10005,0)),""))),INDEX('商品マスタ'!$C$6:$C$1005,MATCH($C102,'商品マスタ'!$B$6:$B$1005,0))),IFERROR(INDEX('①在庫を貼る'!$J$6:$J$10005,MATCH($C102,'①在庫を貼る'!$W$6:$W$10005,0)),IFERROR(INDEX('月1回_1ヶ月前の在庫'!$J$6:$J$10005,MATCH($C102,'月1回_1ヶ月前の在庫'!$W$6:$W$10005,0)),IFERROR(INDEX('月1回_2ヶ月前の在庫'!$J$6:$J$10005,MATCH($C102,'月1回_2ヶ月前の在庫'!$W$6:$W$10005,0)),"")))))</f>
        <v/>
      </c>
      <c r="E102">
        <f>IF($C102="","",IFERROR(IF(INDEX('商品マスタ'!$D$6:$D$1005,MATCH($C102,'商品マスタ'!$B$6:$B$1005,0))="",IFERROR(INDEX('①在庫を貼る'!$H$6:$H$10005,MATCH($C102,'①在庫を貼る'!$W$6:$W$10005,0)),IFERROR(INDEX('月1回_1ヶ月前の在庫'!$H$6:$H$10005,MATCH($C102,'月1回_1ヶ月前の在庫'!$W$6:$W$10005,0)),IFERROR(INDEX('月1回_2ヶ月前の在庫'!$H$6:$H$10005,MATCH($C102,'月1回_2ヶ月前の在庫'!$W$6:$W$10005,0)),""))),INDEX('商品マスタ'!$D$6:$D$1005,MATCH($C102,'商品マスタ'!$B$6:$B$1005,0))),IFERROR(INDEX('①在庫を貼る'!$H$6:$H$10005,MATCH($C102,'①在庫を貼る'!$W$6:$W$10005,0)),IFERROR(INDEX('月1回_1ヶ月前の在庫'!$H$6:$H$10005,MATCH($C102,'月1回_1ヶ月前の在庫'!$W$6:$W$10005,0)),IFERROR(INDEX('月1回_2ヶ月前の在庫'!$H$6:$H$10005,MATCH($C102,'月1回_2ヶ月前の在庫'!$W$6:$W$10005,0)),"")))))</f>
        <v/>
      </c>
      <c r="F102">
        <f>IF($C102="","",IFERROR(IF(INDEX('商品マスタ'!$E$6:$E$1005,MATCH($C102,'商品マスタ'!$B$6:$B$1005,0))="",IFERROR(INDEX('①在庫を貼る'!$E$6:$E$10005,MATCH($C102,'①在庫を貼る'!$W$6:$W$10005,0)),IFERROR(INDEX('月1回_1ヶ月前の在庫'!$E$6:$E$10005,MATCH($C102,'月1回_1ヶ月前の在庫'!$W$6:$W$10005,0)),IFERROR(INDEX('月1回_2ヶ月前の在庫'!$E$6:$E$10005,MATCH($C102,'月1回_2ヶ月前の在庫'!$W$6:$W$10005,0)),""))),INDEX('商品マスタ'!$E$6:$E$1005,MATCH($C102,'商品マスタ'!$B$6:$B$1005,0))),IFERROR(INDEX('①在庫を貼る'!$E$6:$E$10005,MATCH($C102,'①在庫を貼る'!$W$6:$W$10005,0)),IFERROR(INDEX('月1回_1ヶ月前の在庫'!$E$6:$E$10005,MATCH($C102,'月1回_1ヶ月前の在庫'!$W$6:$W$10005,0)),IFERROR(INDEX('月1回_2ヶ月前の在庫'!$E$6:$E$10005,MATCH($C102,'月1回_2ヶ月前の在庫'!$W$6:$W$10005,0)),"")))))</f>
        <v/>
      </c>
      <c r="G102">
        <f>IF($C102="","",MAX(1,N(IFERROR(IF(INDEX('商品マスタ'!$F$6:$F$1005,MATCH($C102,'商品マスタ'!$B$6:$B$1005,0))="",IF(COUNTIFS('①在庫を貼る'!$V$6:$V$10005,'設定'!$C$4,'①在庫を貼る'!$W$6:$W$10005,$C102)&gt;0,SUMIFS('①在庫を貼る'!$K$6:$K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K$6:$K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K$6:$K$10005,'月1回_2ヶ月前の在庫'!$V$6:$V$10005,'設定'!$C$4,'月1回_2ヶ月前の在庫'!$W$6:$W$10005,$C102)/COUNTIFS('月1回_2ヶ月前の在庫'!$V$6:$V$10005,'設定'!$C$4,'月1回_2ヶ月前の在庫'!$W$6:$W$10005,$C102),0))),INDEX('商品マスタ'!$F$6:$F$1005,MATCH($C102,'商品マスタ'!$B$6:$B$1005,0))),IF(COUNTIFS('①在庫を貼る'!$V$6:$V$10005,'設定'!$C$4,'①在庫を貼る'!$W$6:$W$10005,$C102)&gt;0,SUMIFS('①在庫を貼る'!$K$6:$K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K$6:$K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K$6:$K$10005,'月1回_2ヶ月前の在庫'!$V$6:$V$10005,'設定'!$C$4,'月1回_2ヶ月前の在庫'!$W$6:$W$10005,$C102)/COUNTIFS('月1回_2ヶ月前の在庫'!$V$6:$V$10005,'設定'!$C$4,'月1回_2ヶ月前の在庫'!$W$6:$W$10005,$C102),0)))))))</f>
        <v/>
      </c>
      <c r="H102">
        <f>IF($C102="","",N(IFERROR(IF(INDEX('商品マスタ'!$G$6:$G$1005,MATCH($C102,'商品マスタ'!$B$6:$B$1005,0))="",IF(COUNTIFS('①在庫を貼る'!$V$6:$V$10005,'設定'!$C$4,'①在庫を貼る'!$W$6:$W$10005,$C102)&gt;0,SUMIFS('①在庫を貼る'!$Q$6:$Q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Q$6:$Q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Q$6:$Q$10005,'月1回_2ヶ月前の在庫'!$V$6:$V$10005,'設定'!$C$4,'月1回_2ヶ月前の在庫'!$W$6:$W$10005,$C102)/COUNTIFS('月1回_2ヶ月前の在庫'!$V$6:$V$10005,'設定'!$C$4,'月1回_2ヶ月前の在庫'!$W$6:$W$10005,$C102),0))),INDEX('商品マスタ'!$G$6:$G$1005,MATCH($C102,'商品マスタ'!$B$6:$B$1005,0))),IF(COUNTIFS('①在庫を貼る'!$V$6:$V$10005,'設定'!$C$4,'①在庫を貼る'!$W$6:$W$10005,$C102)&gt;0,SUMIFS('①在庫を貼る'!$Q$6:$Q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Q$6:$Q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Q$6:$Q$10005,'月1回_2ヶ月前の在庫'!$V$6:$V$10005,'設定'!$C$4,'月1回_2ヶ月前の在庫'!$W$6:$W$10005,$C102)/COUNTIFS('月1回_2ヶ月前の在庫'!$V$6:$V$10005,'設定'!$C$4,'月1回_2ヶ月前の在庫'!$W$6:$W$10005,$C102),0))))))</f>
        <v/>
      </c>
      <c r="I102">
        <f>IF($C102="","",IF(COUNTIFS('①在庫を貼る'!$V$6:$V$10005,'設定'!$C$4,'①在庫を貼る'!$W$6:$W$10005,$C102)=0,"",SUMIFS('①在庫を貼る'!$N$6:$N$10005,'①在庫を貼る'!$V$6:$V$10005,'設定'!$C$4,'①在庫を貼る'!$W$6:$W$10005,$C102)))</f>
        <v/>
      </c>
      <c r="J102">
        <f>IF($C102="","",IF('②発注する'!$AD106="","",'②発注する'!$AD106))</f>
        <v/>
      </c>
      <c r="K102" s="90">
        <f>IF($C102="","",IF('②発注する'!$AE106="","",'②発注する'!$AE106))</f>
        <v/>
      </c>
      <c r="L102">
        <f>IF($C102="","",IF(AND(ISNUMBER($J102),ISNUMBER($K102),$K102&gt;='設定'!$C$6),$J102,N($I102)))</f>
        <v/>
      </c>
      <c r="M102">
        <f>IF($C102="","",IFERROR(IF(N(INDEX('商品マスタ'!$J$6:$J$1005,MATCH($C102,'商品マスタ'!$B$6:$B$1005,0)))&gt;0,INDEX('商品マスタ'!$J$6:$J$1005,MATCH($C102,'商品マスタ'!$B$6:$B$1005,0)),""),""))</f>
        <v/>
      </c>
      <c r="N102">
        <f>IF($C102="","",IFERROR(IF(N(INDEX('商品マスタ'!$H$6:$H$1005,MATCH($C102,'商品マスタ'!$B$6:$B$1005,0)))&gt;0,INDEX('商品マスタ'!$H$6:$H$1005,MATCH($C102,'商品マスタ'!$B$6:$B$1005,0)),""),""))</f>
        <v/>
      </c>
      <c r="O102">
        <f>IF($C102="","",IF($N102&lt;&gt;"",$N102*$G102,IF(N(IF(COUNTIFS('①在庫を貼る'!$V$6:$V$10005,'設定'!$C$4,'①在庫を貼る'!$W$6:$W$10005,$C102)&gt;0,SUMIFS('①在庫を貼る'!$O$6:$O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O$6:$O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O$6:$O$10005,'月1回_2ヶ月前の在庫'!$V$6:$V$10005,'設定'!$C$4,'月1回_2ヶ月前の在庫'!$W$6:$W$10005,$C102)/COUNTIFS('月1回_2ヶ月前の在庫'!$V$6:$V$10005,'設定'!$C$4,'月1回_2ヶ月前の在庫'!$W$6:$W$10005,$C102),0))))&gt;0,N(IF(COUNTIFS('①在庫を貼る'!$V$6:$V$10005,'設定'!$C$4,'①在庫を貼る'!$W$6:$W$10005,$C102)&gt;0,SUMIFS('①在庫を貼る'!$O$6:$O$10005,'①在庫を貼る'!$V$6:$V$10005,'設定'!$C$4,'①在庫を貼る'!$W$6:$W$10005,$C102)/COUNTIFS('①在庫を貼る'!$V$6:$V$10005,'設定'!$C$4,'①在庫を貼る'!$W$6:$W$10005,$C102),IF(COUNTIFS('月1回_1ヶ月前の在庫'!$V$6:$V$10005,'設定'!$C$4,'月1回_1ヶ月前の在庫'!$W$6:$W$10005,$C102)&gt;0,SUMIFS('月1回_1ヶ月前の在庫'!$O$6:$O$10005,'月1回_1ヶ月前の在庫'!$V$6:$V$10005,'設定'!$C$4,'月1回_1ヶ月前の在庫'!$W$6:$W$10005,$C102)/COUNTIFS('月1回_1ヶ月前の在庫'!$V$6:$V$10005,'設定'!$C$4,'月1回_1ヶ月前の在庫'!$W$6:$W$10005,$C102),IF(COUNTIFS('月1回_2ヶ月前の在庫'!$V$6:$V$10005,'設定'!$C$4,'月1回_2ヶ月前の在庫'!$W$6:$W$10005,$C102)&gt;0,SUMIFS('月1回_2ヶ月前の在庫'!$O$6:$O$10005,'月1回_2ヶ月前の在庫'!$V$6:$V$10005,'設定'!$C$4,'月1回_2ヶ月前の在庫'!$W$6:$W$10005,$C102)/COUNTIFS('月1回_2ヶ月前の在庫'!$V$6:$V$10005,'設定'!$C$4,'月1回_2ヶ月前の在庫'!$W$6:$W$10005,$C102),0)))),"")))</f>
        <v/>
      </c>
      <c r="P102" s="90">
        <f>IF($C102="","",IF('②発注する'!$I106="","",'②発注する'!$I106))</f>
        <v/>
      </c>
      <c r="Q102">
        <f>IF($C102="","",IF('②発注する'!$J106="","",'②発注する'!$J106))</f>
        <v/>
      </c>
      <c r="R102">
        <f>IF($C102="",0,IF(AND(ISNUMBER($P102),ISNUMBER($Q102)),MAX(0,$Q102)*$G102,0))</f>
        <v/>
      </c>
      <c r="S102" s="90">
        <f>IF($C102="","",IF('②発注する'!$M106="","",'②発注する'!$M106))</f>
        <v/>
      </c>
      <c r="T102">
        <f>IF($C102="","",IF('②発注する'!$N106="","",'②発注する'!$N106))</f>
        <v/>
      </c>
      <c r="U102">
        <f>IF($C102="",0,IF(AND(ISNUMBER($S102),ISNUMBER($T102)),MAX(0,$T102)*$G102,0))</f>
        <v/>
      </c>
      <c r="V102">
        <f>IF($C102="",0,IF($M102="",0,MAX(0,$M102)*MAX(0,V$4)/100))</f>
        <v/>
      </c>
      <c r="W102">
        <f>IF($C102="",0,IF($M102="",0,MAX(0,$M102)*MAX(0,W$4)/100))</f>
        <v/>
      </c>
      <c r="X102">
        <f>IF($C102="",0,IF($M102="",0,MAX(0,$M102)*MAX(0,X$4)/100))</f>
        <v/>
      </c>
      <c r="Y102">
        <f>IF($C102="",0,IF($M102="",0,MAX(0,$M102)*MAX(0,Y$4)/100))</f>
        <v/>
      </c>
      <c r="Z102">
        <f>IF($C102="",0,IF($M102="",0,MAX(0,$M102)*MAX(0,Z$4)/100))</f>
        <v/>
      </c>
      <c r="AA102">
        <f>IF($C102="",0,IF($M102="",0,MAX(0,$M102)*MAX(0,AA$4)/100))</f>
        <v/>
      </c>
      <c r="AB102">
        <f>IF($C102="",0,IF($M102="",0,MAX(0,$M102)*MAX(0,AB$4)/100))</f>
        <v/>
      </c>
      <c r="AC102">
        <f>IF($C102="",0,IF($M102="",0,MAX(0,$M102)*MAX(0,AC$4)/100))</f>
        <v/>
      </c>
      <c r="AD102">
        <f>IF($C102="",0,IF($M102="",0,MAX(0,$M102)*MAX(0,AD$4)/100))</f>
        <v/>
      </c>
      <c r="AE102">
        <f>IF($C102="",0,IF($M102="",0,MAX(0,$M102)*MAX(0,AE$4)/100))</f>
        <v/>
      </c>
      <c r="AF102">
        <f>IF($C102="",0,IF($M102="",0,MAX(0,$M102)*MAX(0,AF$4)/100))</f>
        <v/>
      </c>
      <c r="AG102">
        <f>IF($C102="",0,IF($M102="",0,MAX(0,$M102)*MAX(0,AG$4)/100))</f>
        <v/>
      </c>
      <c r="AH102">
        <f>IF($C102="",0,IF($M102="",0,MAX(0,$M102)*MAX(0,AH$4)/100))</f>
        <v/>
      </c>
      <c r="AI102">
        <f>IF($C102="",0,IF($M102="",0,MAX(0,$M102)*MAX(0,AI$4)/100))</f>
        <v/>
      </c>
      <c r="AJ102">
        <f>IF($C102="",0,MAX(0,MAX(0,N($L102))-$V102))</f>
        <v/>
      </c>
      <c r="AK102">
        <f>IF($C102="",0,MAX(0,$AJ102-$W102))</f>
        <v/>
      </c>
      <c r="AL102">
        <f>IF($C102="",0,MAX(0,$AK102-$X102))</f>
        <v/>
      </c>
      <c r="AM102">
        <f>IF($C102="",0,MAX(0,$AL102-$Y102))</f>
        <v/>
      </c>
      <c r="AN102">
        <f>IF($C102="",0,MAX(0,$AM102-$Z102))</f>
        <v/>
      </c>
      <c r="AO102">
        <f>IF($C102="",0,MAX(0,$AN102-$AA102))</f>
        <v/>
      </c>
      <c r="AP102">
        <f>IF($C102="",0,MAX(0,$AO102-$AB102))</f>
        <v/>
      </c>
      <c r="AQ102">
        <f>IF($C102="",0,MAX(0,$AP102-$AC102))</f>
        <v/>
      </c>
      <c r="AR102">
        <f>IF($C102="",0,MAX(0,$AQ102-$AD102))</f>
        <v/>
      </c>
      <c r="AS102">
        <f>IF($C102="",0,MAX(0,$AR102-$AE102))</f>
        <v/>
      </c>
      <c r="AT102">
        <f>IF($C102="",0,MAX(0,$AS102-$AF102))</f>
        <v/>
      </c>
      <c r="AU102">
        <f>IF($C102="",0,MAX(0,$AT102-$AG102))</f>
        <v/>
      </c>
      <c r="AV102">
        <f>IF($C102="",0,MAX(0,$AU102-$AH102))</f>
        <v/>
      </c>
      <c r="AW102">
        <f>IF($C102="",0,MAX(0,$AV102-$AI102))</f>
        <v/>
      </c>
      <c r="AX102">
        <f>IF($C102="",0,MAX(0,MAX(0,N($L102))+IF($P102=V$3,$R102,0)+IF($S102=V$3,$U102,0)-$V102))</f>
        <v/>
      </c>
      <c r="AY102">
        <f>IF($C102="",0,MAX(0,$AX102+IF($P102=W$3,$R102,0)+IF($S102=W$3,$U102,0)-$W102))</f>
        <v/>
      </c>
      <c r="AZ102">
        <f>IF($C102="",0,MAX(0,$AY102+IF($P102=X$3,$R102,0)+IF($S102=X$3,$U102,0)-$X102))</f>
        <v/>
      </c>
      <c r="BA102">
        <f>IF($C102="",0,MAX(0,$AZ102+IF($P102=Y$3,$R102,0)+IF($S102=Y$3,$U102,0)-$Y102))</f>
        <v/>
      </c>
      <c r="BB102">
        <f>IF($C102="",0,MAX(0,$BA102+IF($P102=Z$3,$R102,0)+IF($S102=Z$3,$U102,0)-$Z102))</f>
        <v/>
      </c>
      <c r="BC102">
        <f>IF($C102="",0,MAX(0,$BB102+IF($P102=AA$3,$R102,0)+IF($S102=AA$3,$U102,0)-$AA102))</f>
        <v/>
      </c>
      <c r="BD102">
        <f>IF($C102="",0,MAX(0,$BC102+IF($P102=AB$3,$R102,0)+IF($S102=AB$3,$U102,0)-$AB102))</f>
        <v/>
      </c>
      <c r="BE102">
        <f>IF($C102="",0,MAX(0,$BD102+IF($P102=AC$3,$R102,0)+IF($S102=AC$3,$U102,0)-$AC102))</f>
        <v/>
      </c>
      <c r="BF102">
        <f>IF($C102="",0,MAX(0,$BE102+IF($P102=AD$3,$R102,0)+IF($S102=AD$3,$U102,0)-$AD102))</f>
        <v/>
      </c>
      <c r="BG102">
        <f>IF($C102="",0,MAX(0,$BF102+IF($P102=AE$3,$R102,0)+IF($S102=AE$3,$U102,0)-$AE102))</f>
        <v/>
      </c>
      <c r="BH102">
        <f>IF($C102="",0,MAX(0,$BG102+IF($P102=AF$3,$R102,0)+IF($S102=AF$3,$U102,0)-$AF102))</f>
        <v/>
      </c>
      <c r="BI102">
        <f>IF($C102="",0,MAX(0,$BH102+IF($P102=AG$3,$R102,0)+IF($S102=AG$3,$U102,0)-$AG102))</f>
        <v/>
      </c>
      <c r="BJ102">
        <f>IF($C102="",0,MAX(0,$BI102+IF($P102=AH$3,$R102,0)+IF($S102=AH$3,$U102,0)-$AH102))</f>
        <v/>
      </c>
      <c r="BK102">
        <f>IF($C102="",0,MAX(0,$BJ102+IF($P102=AI$3,$R102,0)+IF($S102=AI$3,$U102,0)-$AI102))</f>
        <v/>
      </c>
      <c r="BL102">
        <f>IF($C102="",99,IF(AND($AX102&lt;1,V$3&gt;=MAX(N($P102),N($S102))),0,99))</f>
        <v/>
      </c>
      <c r="BM102">
        <f>IF($C102="",99,IF(AND($AY102&lt;1,W$3&gt;=MAX(N($P102),N($S102))),1,99))</f>
        <v/>
      </c>
      <c r="BN102">
        <f>IF($C102="",99,IF(AND($AZ102&lt;1,X$3&gt;=MAX(N($P102),N($S102))),2,99))</f>
        <v/>
      </c>
      <c r="BO102">
        <f>IF($C102="",99,IF(AND($BA102&lt;1,Y$3&gt;=MAX(N($P102),N($S102))),3,99))</f>
        <v/>
      </c>
      <c r="BP102">
        <f>IF($C102="",99,IF(AND($BB102&lt;1,Z$3&gt;=MAX(N($P102),N($S102))),4,99))</f>
        <v/>
      </c>
      <c r="BQ102">
        <f>IF($C102="",99,IF(AND($BC102&lt;1,AA$3&gt;=MAX(N($P102),N($S102))),5,99))</f>
        <v/>
      </c>
      <c r="BR102">
        <f>IF($C102="",99,IF(AND($BD102&lt;1,AB$3&gt;=MAX(N($P102),N($S102))),6,99))</f>
        <v/>
      </c>
      <c r="BS102">
        <f>IF($C102="",99,IF(AND($BE102&lt;1,AC$3&gt;=MAX(N($P102),N($S102))),7,99))</f>
        <v/>
      </c>
      <c r="BT102">
        <f>IF($C102="",99,IF(AND($BF102&lt;1,AD$3&gt;=MAX(N($P102),N($S102))),8,99))</f>
        <v/>
      </c>
      <c r="BU102">
        <f>IF($C102="",99,IF(AND($BG102&lt;1,AE$3&gt;=MAX(N($P102),N($S102))),9,99))</f>
        <v/>
      </c>
      <c r="BV102">
        <f>IF($C102="",99,IF(AND($BH102&lt;1,AF$3&gt;=MAX(N($P102),N($S102))),10,99))</f>
        <v/>
      </c>
      <c r="BW102">
        <f>IF($C102="",99,IF(AND($BI102&lt;1,AG$3&gt;=MAX(N($P102),N($S102))),11,99))</f>
        <v/>
      </c>
      <c r="BX102">
        <f>IF($C102="",99,IF(AND($BJ102&lt;1,AH$3&gt;=MAX(N($P102),N($S102))),12,99))</f>
        <v/>
      </c>
      <c r="BY102">
        <f>IF($C102="",99,IF(AND($BK102&lt;1,AI$3&gt;=MAX(N($P102),N($S102))),13,99))</f>
        <v/>
      </c>
      <c r="BZ102">
        <f>IF(OR($C102="",$M102=""),"",COUNTIF($AJ102:$AW102,"&gt;=1"))</f>
        <v/>
      </c>
      <c r="CA102" s="90">
        <f>IF($BZ102="","",IF($BZ102&gt;=14,"",'設定'!$C$6+$BZ102))</f>
        <v/>
      </c>
      <c r="CB102">
        <f>IF(OR($C102="",$M102=""),"",MIN($BL102:$BY102))</f>
        <v/>
      </c>
      <c r="CC102" s="90">
        <f>IF($CB102="","",IF($CB102&gt;=99,"",'設定'!$C$6+$CB102))</f>
        <v/>
      </c>
      <c r="CD102">
        <f>IF(OR($C102="",$M102=""),"",AVERAGE($V102:$AI102))</f>
        <v/>
      </c>
      <c r="CE102">
        <f>IF($C102="","",IFERROR(IF(MATCH(IF(ISNUMBER($P102),$P102,'設定'!$C$6+N('設定'!$C$7)),$V$3:$AI$3,0)=1,MAX(0,N($L102)),INDEX($AJ102:$AW102,MATCH(IF(ISNUMBER($P102),$P102,'設定'!$C$6+N('設定'!$C$7)),$V$3:$AI$3,0)-1)),""))</f>
        <v/>
      </c>
      <c r="CF102">
        <f>IF(OR($C102="",$O102="",$CE102=""),"",IF($O102-$CE102&lt;=0,0,ROUNDUP(($O102-$CE102)/$G102,0)))</f>
        <v/>
      </c>
      <c r="CG102">
        <f>IF(OR($C102="",$CF102="",NOT(ISNUMBER($Q102))),0,MAX(0,$Q102-$CF102))</f>
        <v/>
      </c>
      <c r="CH102">
        <f>IF(OR($C102="",$O102="",$U102=0),0,IFERROR(ROUNDUP(MAX(0,IF(MATCH($S102,$V$3:$AI$3,0)=1,MAX(0,N($L102)),INDEX($AX102:$BK102,MATCH($S102,$V$3:$AI$3,0)-1))+$U102-$O102)/$G102,0),0))</f>
        <v/>
      </c>
      <c r="CI102">
        <f>IF($C102="","",IF(AND($P102="",$Q102=""),"",IF($P102="","⚠ 入庫日を ▼ から選んでください",IF(NOT(ISNUMBER($P102)),"⚠ 入庫日は ▼ から選んでください",IF($P102&lt;N('設定'!$C$6),"⚠ 入庫日が過去です（もう在庫に入っています）→ 消してください",IF($P102&gt;N('設定'!$C$6)+13,"⚠ 入庫日が14日より先です",IF(N($Q102)&lt;=0,"⚠ 入庫数を入れてください",IF($CG102&gt;0,"⚠ 目安より "&amp;$CG102&amp;" 多い（定数を超える）→ 減らす",""))))))))</f>
        <v/>
      </c>
      <c r="CJ102">
        <f>IF($C102="","",IF(AND($S102="",$T102=""),"",IF($S102="","⚠ 2便目：入庫日を ▼ から選んでください",IF(NOT(ISNUMBER($S102)),"⚠ 2便目：入庫日は ▼ から選んでください",IF($S102&lt;N('設定'!$C$6),"⚠ 2便目：入庫日が過去です（もう在庫に入っています）→ 消してください",IF($S102&gt;N('設定'!$C$6)+13,"⚠ 2便目：入庫日が14日より先です",IF(N($T102)&lt;=0,"⚠ 2便目：入庫数を入れてください",IF($CH102&gt;0,"⚠ 2便目：定数を "&amp;$CH102&amp;" ケース超える → 減らす",""))))))))</f>
        <v/>
      </c>
      <c r="CK102">
        <f>IF(AND($CI102="",N($Q102)&gt;0,ISNUMBER($P102)),1,0)</f>
        <v/>
      </c>
      <c r="CL102">
        <f>IF(AND($CJ102="",N($T102)&gt;0,ISNUMBER($S102)),1,0)</f>
        <v/>
      </c>
      <c r="CM102">
        <f>IF(OR($CK102=1,$CL102=1),1,0)</f>
        <v/>
      </c>
      <c r="CN102">
        <f>IF($C102="",0,($CK102*$R102+$CL102*$U102)*N($H102))</f>
        <v/>
      </c>
      <c r="CO102">
        <f>IF($C102="","",IF($CC102="","入庫後は 14日以上もつ",IF($CC102-N('設定'!$C$7)&lt;='設定'!$C$6,"入庫後も "&amp;TEXT($CC102,"m/d")&amp;"("&amp;CHOOSE(WEEKDAY($CC102),"日","月","火","水","木","金","土")&amp;")"&amp;" に切れる　もう1便を至急発注","入庫後も "&amp;TEXT($CC102,"m/d")&amp;"("&amp;CHOOSE(WEEKDAY($CC102),"日","月","火","水","木","金","土")&amp;")"&amp;" に切れる　"&amp;TEXT($CC102-N('設定'!$C$7),"m/d")&amp;"("&amp;CHOOSE(WEEKDAY($CC102-N('設定'!$C$7)),"日","月","火","水","木","金","土")&amp;")"&amp;" までに次を発注")))</f>
        <v/>
      </c>
      <c r="CP102">
        <f>IF($C102="","",IF('設定'!$C$6="","？ ①在庫を貼る に今日のCSVが貼られていない",IF($CS102=1,"－ 今日のCSVに無い（終売？）",IF($L102&lt;0,"● 在庫がマイナス　数えて「数えた在庫」に入れる",IF($L102=0,"● 在庫なし　至急発注",IF($M102="","？ 減り数が未設定（商品マスタ）",IF($B$3=0,"？ 動員が未入力（動員を入れる）",IF($CA102="","○ 14日以上もつ",IF($BZ102&lt;N('設定'!$C$7),"● "&amp;TEXT($CA102,"m/d")&amp;"("&amp;CHOOSE(WEEKDAY($CA102),"日","月","火","水","木","金","土")&amp;")"&amp;" に切れる　至急発注",IF($BZ102=N('設定'!$C$7),"● "&amp;TEXT($CA102,"m/d")&amp;"("&amp;CHOOSE(WEEKDAY($CA102),"日","月","火","水","木","金","土")&amp;")"&amp;" に切れる　今日発注","△ "&amp;TEXT($CA102,"m/d")&amp;"("&amp;CHOOSE(WEEKDAY($CA102),"日","月","火","水","木","金","土")&amp;")"&amp;" に切れる　"&amp;TEXT($CA102-N('設定'!$C$7),"m/d")&amp;"("&amp;CHOOSE(WEEKDAY($CA102-N('設定'!$C$7)),"日","月","火","水","木","金","土")&amp;")"&amp;" までに発注"))))))))))</f>
        <v/>
      </c>
      <c r="CQ102">
        <f>IF($C102="","",IF(AND($P102="",$Q102="",$S102="",$T102=""),"",IF(AND($P102="",$Q102=""),"⚠ 先に1便目（左の入庫日・入庫数）に入れてください",IF($CI102&lt;&gt;"",$CI102,IF($CJ102&lt;&gt;"",$CJ102,IF($M102="","？ 減り数が未設定（発注書には載ります）",IF($B$3=0,"？ 動員が未入力（発注書には載ります）",IF(AND($CA102&lt;&gt;"",$P102&gt;$CA102),IF($P102&gt;'設定'!$C$6+N('設定'!$C$7),"● "&amp;TEXT($P102,"m/d")&amp;"("&amp;CHOOSE(WEEKDAY($P102),"日","月","火","水","木","金","土")&amp;")"&amp;" の入庫では間に合わない（"&amp;TEXT($CA102,"m/d")&amp;"("&amp;CHOOSE(WEEKDAY($CA102),"日","月","火","水","木","金","土")&amp;")"&amp;" に切れる）　入庫日を早める","△ 欠品 "&amp;TEXT($CA102,"m/d")&amp;"("&amp;CHOOSE(WEEKDAY($CA102),"日","月","火","水","木","金","土")&amp;")"&amp;"〜"&amp;TEXT($P102-1,"m/d")&amp;"("&amp;CHOOSE(WEEKDAY($P102-1),"日","月","火","水","木","金","土")&amp;")"&amp;"　"&amp;$CO102),IF($CC102="","○ "&amp;TEXT($P102,"m/d")&amp;"("&amp;CHOOSE(WEEKDAY($P102),"日","月","火","水","木","金","土")&amp;")"&amp;" 入庫で 14日以上もつ",IF($CC102-N('設定'!$C$7)&lt;='設定'!$C$6,"● 入庫しても "&amp;TEXT($CC102,"m/d")&amp;"("&amp;CHOOSE(WEEKDAY($CC102),"日","月","火","水","木","金","土")&amp;")"&amp;" に切れる　もう1便を至急発注（2便目に入れる）","△ 入庫しても "&amp;TEXT($CC102,"m/d")&amp;"("&amp;CHOOSE(WEEKDAY($CC102),"日","月","火","水","木","金","土")&amp;")"&amp;" に切れる　"&amp;TEXT($CC102-N('設定'!$C$7),"m/d")&amp;"("&amp;CHOOSE(WEEKDAY($CC102-N('設定'!$C$7)),"日","月","火","水","木","金","土")&amp;")"&amp;" までに次を発注（2便目に入れる）"))))))))))</f>
        <v/>
      </c>
      <c r="CR102">
        <f>IF($C102="","",IF($G102&gt;1,"ｹｰｽ("&amp;$G102&amp;"入)","個"))</f>
        <v/>
      </c>
      <c r="CS102">
        <f>IF($C102="",0,IF(COUNTIFS('①在庫を貼る'!$V$6:$V$10005,'設定'!$C$4,'①在庫を貼る'!$W$6:$W$10005,$C102)=0,1,0))</f>
        <v/>
      </c>
      <c r="CT102">
        <f>IF(AND($CK102=1,OR('③発注書'!$C$4="すべて",'③発注書'!$C$4="",$F102='③発注書'!$C$4)),N($CT101)+1,N($CT101))</f>
        <v/>
      </c>
      <c r="CU102">
        <f>IF(AND($CL102=1,OR('③発注書'!$C$4="すべて",'③発注書'!$C$4="",$F102='③発注書'!$C$4)),N($CU101)+1,N($CU101))</f>
        <v/>
      </c>
      <c r="CV102">
        <f>IF($C102="",0,IF(COUNTIFS('①在庫を貼る'!$V$6:$V$10005,'設定'!$C$4,'①在庫を貼る'!$W$6:$W$10005,$C102)&gt;0,1,0))</f>
        <v/>
      </c>
      <c r="CW102">
        <f>IF($C102="",0,IF(COUNTIFS('月1回_1ヶ月前の在庫'!$V$6:$V$10005,'設定'!$C$4,'月1回_1ヶ月前の在庫'!$W$6:$W$10005,$C102)&gt;0,1,0))</f>
        <v/>
      </c>
      <c r="CX102">
        <f>IF($C102="",0,IF(COUNTIFS('月1回_2ヶ月前の在庫'!$V$6:$V$10005,'設定'!$C$4,'月1回_2ヶ月前の在庫'!$W$6:$W$10005,$C102)&gt;0,1,0))</f>
        <v/>
      </c>
      <c r="CY102">
        <f>IF(OR($C102="",'設定'!$C$12=""),"",IF('設定'!$C$13="",IF(AND($CV102=1,$CW102=0),"新商品（今月から）",IF(AND($CV102=0,$CW102=1),"終売（今月から）","")),IF(AND($CV102=1,$CW102=0,$CX102=0),"新商品（今月から）",IF(AND($CV102=1,$CW102=1,$CX102=0),"新商品（先月から）",IF(AND($CV102=0,$CW102=1,$CX102=1),"終売（今月から）",IF(AND($CV102=0,$CW102=0,$CX102=1),"終売（先月から）",IF(AND($CV102=1,$CW102=0,$CX102=1),"復活（先月は無し）","")))))))</f>
        <v/>
      </c>
    </row>
    <row r="103">
      <c r="B103">
        <f>IF(98&lt;='設定'!$C$11,98,"")</f>
        <v/>
      </c>
      <c r="C103">
        <f>IF($B103="","",IF($B103&lt;='設定'!$C$20,INDEX('商品マスタ'!$B$6:$B$1005,MATCH($B103,'商品マスタ'!$M$6:$M$1005,0)),IF($B103&lt;='設定'!$C$20+'設定'!$C$17,INDEX('①在庫を貼る'!$W$6:$W$10005,MATCH($B103-'設定'!$C$20,'①在庫を貼る'!$U$6:$U$10005,0)),IF($B103&lt;='設定'!$C$20+'設定'!$C$17+'設定'!$C$18,INDEX('月1回_1ヶ月前の在庫'!$W$6:$W$10005,MATCH($B103-'設定'!$C$20-'設定'!$C$17,'月1回_1ヶ月前の在庫'!$U$6:$U$10005,0)),INDEX('月1回_2ヶ月前の在庫'!$W$6:$W$10005,MATCH($B103-'設定'!$C$20-'設定'!$C$17-'設定'!$C$18,'月1回_2ヶ月前の在庫'!$U$6:$U$10005,0))))))</f>
        <v/>
      </c>
      <c r="D103">
        <f>IF($C103="","",IFERROR(IF(INDEX('商品マスタ'!$C$6:$C$1005,MATCH($C103,'商品マスタ'!$B$6:$B$1005,0))="",IFERROR(INDEX('①在庫を貼る'!$J$6:$J$10005,MATCH($C103,'①在庫を貼る'!$W$6:$W$10005,0)),IFERROR(INDEX('月1回_1ヶ月前の在庫'!$J$6:$J$10005,MATCH($C103,'月1回_1ヶ月前の在庫'!$W$6:$W$10005,0)),IFERROR(INDEX('月1回_2ヶ月前の在庫'!$J$6:$J$10005,MATCH($C103,'月1回_2ヶ月前の在庫'!$W$6:$W$10005,0)),""))),INDEX('商品マスタ'!$C$6:$C$1005,MATCH($C103,'商品マスタ'!$B$6:$B$1005,0))),IFERROR(INDEX('①在庫を貼る'!$J$6:$J$10005,MATCH($C103,'①在庫を貼る'!$W$6:$W$10005,0)),IFERROR(INDEX('月1回_1ヶ月前の在庫'!$J$6:$J$10005,MATCH($C103,'月1回_1ヶ月前の在庫'!$W$6:$W$10005,0)),IFERROR(INDEX('月1回_2ヶ月前の在庫'!$J$6:$J$10005,MATCH($C103,'月1回_2ヶ月前の在庫'!$W$6:$W$10005,0)),"")))))</f>
        <v/>
      </c>
      <c r="E103">
        <f>IF($C103="","",IFERROR(IF(INDEX('商品マスタ'!$D$6:$D$1005,MATCH($C103,'商品マスタ'!$B$6:$B$1005,0))="",IFERROR(INDEX('①在庫を貼る'!$H$6:$H$10005,MATCH($C103,'①在庫を貼る'!$W$6:$W$10005,0)),IFERROR(INDEX('月1回_1ヶ月前の在庫'!$H$6:$H$10005,MATCH($C103,'月1回_1ヶ月前の在庫'!$W$6:$W$10005,0)),IFERROR(INDEX('月1回_2ヶ月前の在庫'!$H$6:$H$10005,MATCH($C103,'月1回_2ヶ月前の在庫'!$W$6:$W$10005,0)),""))),INDEX('商品マスタ'!$D$6:$D$1005,MATCH($C103,'商品マスタ'!$B$6:$B$1005,0))),IFERROR(INDEX('①在庫を貼る'!$H$6:$H$10005,MATCH($C103,'①在庫を貼る'!$W$6:$W$10005,0)),IFERROR(INDEX('月1回_1ヶ月前の在庫'!$H$6:$H$10005,MATCH($C103,'月1回_1ヶ月前の在庫'!$W$6:$W$10005,0)),IFERROR(INDEX('月1回_2ヶ月前の在庫'!$H$6:$H$10005,MATCH($C103,'月1回_2ヶ月前の在庫'!$W$6:$W$10005,0)),"")))))</f>
        <v/>
      </c>
      <c r="F103">
        <f>IF($C103="","",IFERROR(IF(INDEX('商品マスタ'!$E$6:$E$1005,MATCH($C103,'商品マスタ'!$B$6:$B$1005,0))="",IFERROR(INDEX('①在庫を貼る'!$E$6:$E$10005,MATCH($C103,'①在庫を貼る'!$W$6:$W$10005,0)),IFERROR(INDEX('月1回_1ヶ月前の在庫'!$E$6:$E$10005,MATCH($C103,'月1回_1ヶ月前の在庫'!$W$6:$W$10005,0)),IFERROR(INDEX('月1回_2ヶ月前の在庫'!$E$6:$E$10005,MATCH($C103,'月1回_2ヶ月前の在庫'!$W$6:$W$10005,0)),""))),INDEX('商品マスタ'!$E$6:$E$1005,MATCH($C103,'商品マスタ'!$B$6:$B$1005,0))),IFERROR(INDEX('①在庫を貼る'!$E$6:$E$10005,MATCH($C103,'①在庫を貼る'!$W$6:$W$10005,0)),IFERROR(INDEX('月1回_1ヶ月前の在庫'!$E$6:$E$10005,MATCH($C103,'月1回_1ヶ月前の在庫'!$W$6:$W$10005,0)),IFERROR(INDEX('月1回_2ヶ月前の在庫'!$E$6:$E$10005,MATCH($C103,'月1回_2ヶ月前の在庫'!$W$6:$W$10005,0)),"")))))</f>
        <v/>
      </c>
      <c r="G103">
        <f>IF($C103="","",MAX(1,N(IFERROR(IF(INDEX('商品マスタ'!$F$6:$F$1005,MATCH($C103,'商品マスタ'!$B$6:$B$1005,0))="",IF(COUNTIFS('①在庫を貼る'!$V$6:$V$10005,'設定'!$C$4,'①在庫を貼る'!$W$6:$W$10005,$C103)&gt;0,SUMIFS('①在庫を貼る'!$K$6:$K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K$6:$K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K$6:$K$10005,'月1回_2ヶ月前の在庫'!$V$6:$V$10005,'設定'!$C$4,'月1回_2ヶ月前の在庫'!$W$6:$W$10005,$C103)/COUNTIFS('月1回_2ヶ月前の在庫'!$V$6:$V$10005,'設定'!$C$4,'月1回_2ヶ月前の在庫'!$W$6:$W$10005,$C103),0))),INDEX('商品マスタ'!$F$6:$F$1005,MATCH($C103,'商品マスタ'!$B$6:$B$1005,0))),IF(COUNTIFS('①在庫を貼る'!$V$6:$V$10005,'設定'!$C$4,'①在庫を貼る'!$W$6:$W$10005,$C103)&gt;0,SUMIFS('①在庫を貼る'!$K$6:$K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K$6:$K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K$6:$K$10005,'月1回_2ヶ月前の在庫'!$V$6:$V$10005,'設定'!$C$4,'月1回_2ヶ月前の在庫'!$W$6:$W$10005,$C103)/COUNTIFS('月1回_2ヶ月前の在庫'!$V$6:$V$10005,'設定'!$C$4,'月1回_2ヶ月前の在庫'!$W$6:$W$10005,$C103),0)))))))</f>
        <v/>
      </c>
      <c r="H103">
        <f>IF($C103="","",N(IFERROR(IF(INDEX('商品マスタ'!$G$6:$G$1005,MATCH($C103,'商品マスタ'!$B$6:$B$1005,0))="",IF(COUNTIFS('①在庫を貼る'!$V$6:$V$10005,'設定'!$C$4,'①在庫を貼る'!$W$6:$W$10005,$C103)&gt;0,SUMIFS('①在庫を貼る'!$Q$6:$Q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Q$6:$Q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Q$6:$Q$10005,'月1回_2ヶ月前の在庫'!$V$6:$V$10005,'設定'!$C$4,'月1回_2ヶ月前の在庫'!$W$6:$W$10005,$C103)/COUNTIFS('月1回_2ヶ月前の在庫'!$V$6:$V$10005,'設定'!$C$4,'月1回_2ヶ月前の在庫'!$W$6:$W$10005,$C103),0))),INDEX('商品マスタ'!$G$6:$G$1005,MATCH($C103,'商品マスタ'!$B$6:$B$1005,0))),IF(COUNTIFS('①在庫を貼る'!$V$6:$V$10005,'設定'!$C$4,'①在庫を貼る'!$W$6:$W$10005,$C103)&gt;0,SUMIFS('①在庫を貼る'!$Q$6:$Q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Q$6:$Q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Q$6:$Q$10005,'月1回_2ヶ月前の在庫'!$V$6:$V$10005,'設定'!$C$4,'月1回_2ヶ月前の在庫'!$W$6:$W$10005,$C103)/COUNTIFS('月1回_2ヶ月前の在庫'!$V$6:$V$10005,'設定'!$C$4,'月1回_2ヶ月前の在庫'!$W$6:$W$10005,$C103),0))))))</f>
        <v/>
      </c>
      <c r="I103">
        <f>IF($C103="","",IF(COUNTIFS('①在庫を貼る'!$V$6:$V$10005,'設定'!$C$4,'①在庫を貼る'!$W$6:$W$10005,$C103)=0,"",SUMIFS('①在庫を貼る'!$N$6:$N$10005,'①在庫を貼る'!$V$6:$V$10005,'設定'!$C$4,'①在庫を貼る'!$W$6:$W$10005,$C103)))</f>
        <v/>
      </c>
      <c r="J103">
        <f>IF($C103="","",IF('②発注する'!$AD107="","",'②発注する'!$AD107))</f>
        <v/>
      </c>
      <c r="K103" s="90">
        <f>IF($C103="","",IF('②発注する'!$AE107="","",'②発注する'!$AE107))</f>
        <v/>
      </c>
      <c r="L103">
        <f>IF($C103="","",IF(AND(ISNUMBER($J103),ISNUMBER($K103),$K103&gt;='設定'!$C$6),$J103,N($I103)))</f>
        <v/>
      </c>
      <c r="M103">
        <f>IF($C103="","",IFERROR(IF(N(INDEX('商品マスタ'!$J$6:$J$1005,MATCH($C103,'商品マスタ'!$B$6:$B$1005,0)))&gt;0,INDEX('商品マスタ'!$J$6:$J$1005,MATCH($C103,'商品マスタ'!$B$6:$B$1005,0)),""),""))</f>
        <v/>
      </c>
      <c r="N103">
        <f>IF($C103="","",IFERROR(IF(N(INDEX('商品マスタ'!$H$6:$H$1005,MATCH($C103,'商品マスタ'!$B$6:$B$1005,0)))&gt;0,INDEX('商品マスタ'!$H$6:$H$1005,MATCH($C103,'商品マスタ'!$B$6:$B$1005,0)),""),""))</f>
        <v/>
      </c>
      <c r="O103">
        <f>IF($C103="","",IF($N103&lt;&gt;"",$N103*$G103,IF(N(IF(COUNTIFS('①在庫を貼る'!$V$6:$V$10005,'設定'!$C$4,'①在庫を貼る'!$W$6:$W$10005,$C103)&gt;0,SUMIFS('①在庫を貼る'!$O$6:$O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O$6:$O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O$6:$O$10005,'月1回_2ヶ月前の在庫'!$V$6:$V$10005,'設定'!$C$4,'月1回_2ヶ月前の在庫'!$W$6:$W$10005,$C103)/COUNTIFS('月1回_2ヶ月前の在庫'!$V$6:$V$10005,'設定'!$C$4,'月1回_2ヶ月前の在庫'!$W$6:$W$10005,$C103),0))))&gt;0,N(IF(COUNTIFS('①在庫を貼る'!$V$6:$V$10005,'設定'!$C$4,'①在庫を貼る'!$W$6:$W$10005,$C103)&gt;0,SUMIFS('①在庫を貼る'!$O$6:$O$10005,'①在庫を貼る'!$V$6:$V$10005,'設定'!$C$4,'①在庫を貼る'!$W$6:$W$10005,$C103)/COUNTIFS('①在庫を貼る'!$V$6:$V$10005,'設定'!$C$4,'①在庫を貼る'!$W$6:$W$10005,$C103),IF(COUNTIFS('月1回_1ヶ月前の在庫'!$V$6:$V$10005,'設定'!$C$4,'月1回_1ヶ月前の在庫'!$W$6:$W$10005,$C103)&gt;0,SUMIFS('月1回_1ヶ月前の在庫'!$O$6:$O$10005,'月1回_1ヶ月前の在庫'!$V$6:$V$10005,'設定'!$C$4,'月1回_1ヶ月前の在庫'!$W$6:$W$10005,$C103)/COUNTIFS('月1回_1ヶ月前の在庫'!$V$6:$V$10005,'設定'!$C$4,'月1回_1ヶ月前の在庫'!$W$6:$W$10005,$C103),IF(COUNTIFS('月1回_2ヶ月前の在庫'!$V$6:$V$10005,'設定'!$C$4,'月1回_2ヶ月前の在庫'!$W$6:$W$10005,$C103)&gt;0,SUMIFS('月1回_2ヶ月前の在庫'!$O$6:$O$10005,'月1回_2ヶ月前の在庫'!$V$6:$V$10005,'設定'!$C$4,'月1回_2ヶ月前の在庫'!$W$6:$W$10005,$C103)/COUNTIFS('月1回_2ヶ月前の在庫'!$V$6:$V$10005,'設定'!$C$4,'月1回_2ヶ月前の在庫'!$W$6:$W$10005,$C103),0)))),"")))</f>
        <v/>
      </c>
      <c r="P103" s="90">
        <f>IF($C103="","",IF('②発注する'!$I107="","",'②発注する'!$I107))</f>
        <v/>
      </c>
      <c r="Q103">
        <f>IF($C103="","",IF('②発注する'!$J107="","",'②発注する'!$J107))</f>
        <v/>
      </c>
      <c r="R103">
        <f>IF($C103="",0,IF(AND(ISNUMBER($P103),ISNUMBER($Q103)),MAX(0,$Q103)*$G103,0))</f>
        <v/>
      </c>
      <c r="S103" s="90">
        <f>IF($C103="","",IF('②発注する'!$M107="","",'②発注する'!$M107))</f>
        <v/>
      </c>
      <c r="T103">
        <f>IF($C103="","",IF('②発注する'!$N107="","",'②発注する'!$N107))</f>
        <v/>
      </c>
      <c r="U103">
        <f>IF($C103="",0,IF(AND(ISNUMBER($S103),ISNUMBER($T103)),MAX(0,$T103)*$G103,0))</f>
        <v/>
      </c>
      <c r="V103">
        <f>IF($C103="",0,IF($M103="",0,MAX(0,$M103)*MAX(0,V$4)/100))</f>
        <v/>
      </c>
      <c r="W103">
        <f>IF($C103="",0,IF($M103="",0,MAX(0,$M103)*MAX(0,W$4)/100))</f>
        <v/>
      </c>
      <c r="X103">
        <f>IF($C103="",0,IF($M103="",0,MAX(0,$M103)*MAX(0,X$4)/100))</f>
        <v/>
      </c>
      <c r="Y103">
        <f>IF($C103="",0,IF($M103="",0,MAX(0,$M103)*MAX(0,Y$4)/100))</f>
        <v/>
      </c>
      <c r="Z103">
        <f>IF($C103="",0,IF($M103="",0,MAX(0,$M103)*MAX(0,Z$4)/100))</f>
        <v/>
      </c>
      <c r="AA103">
        <f>IF($C103="",0,IF($M103="",0,MAX(0,$M103)*MAX(0,AA$4)/100))</f>
        <v/>
      </c>
      <c r="AB103">
        <f>IF($C103="",0,IF($M103="",0,MAX(0,$M103)*MAX(0,AB$4)/100))</f>
        <v/>
      </c>
      <c r="AC103">
        <f>IF($C103="",0,IF($M103="",0,MAX(0,$M103)*MAX(0,AC$4)/100))</f>
        <v/>
      </c>
      <c r="AD103">
        <f>IF($C103="",0,IF($M103="",0,MAX(0,$M103)*MAX(0,AD$4)/100))</f>
        <v/>
      </c>
      <c r="AE103">
        <f>IF($C103="",0,IF($M103="",0,MAX(0,$M103)*MAX(0,AE$4)/100))</f>
        <v/>
      </c>
      <c r="AF103">
        <f>IF($C103="",0,IF($M103="",0,MAX(0,$M103)*MAX(0,AF$4)/100))</f>
        <v/>
      </c>
      <c r="AG103">
        <f>IF($C103="",0,IF($M103="",0,MAX(0,$M103)*MAX(0,AG$4)/100))</f>
        <v/>
      </c>
      <c r="AH103">
        <f>IF($C103="",0,IF($M103="",0,MAX(0,$M103)*MAX(0,AH$4)/100))</f>
        <v/>
      </c>
      <c r="AI103">
        <f>IF($C103="",0,IF($M103="",0,MAX(0,$M103)*MAX(0,AI$4)/100))</f>
        <v/>
      </c>
      <c r="AJ103">
        <f>IF($C103="",0,MAX(0,MAX(0,N($L103))-$V103))</f>
        <v/>
      </c>
      <c r="AK103">
        <f>IF($C103="",0,MAX(0,$AJ103-$W103))</f>
        <v/>
      </c>
      <c r="AL103">
        <f>IF($C103="",0,MAX(0,$AK103-$X103))</f>
        <v/>
      </c>
      <c r="AM103">
        <f>IF($C103="",0,MAX(0,$AL103-$Y103))</f>
        <v/>
      </c>
      <c r="AN103">
        <f>IF($C103="",0,MAX(0,$AM103-$Z103))</f>
        <v/>
      </c>
      <c r="AO103">
        <f>IF($C103="",0,MAX(0,$AN103-$AA103))</f>
        <v/>
      </c>
      <c r="AP103">
        <f>IF($C103="",0,MAX(0,$AO103-$AB103))</f>
        <v/>
      </c>
      <c r="AQ103">
        <f>IF($C103="",0,MAX(0,$AP103-$AC103))</f>
        <v/>
      </c>
      <c r="AR103">
        <f>IF($C103="",0,MAX(0,$AQ103-$AD103))</f>
        <v/>
      </c>
      <c r="AS103">
        <f>IF($C103="",0,MAX(0,$AR103-$AE103))</f>
        <v/>
      </c>
      <c r="AT103">
        <f>IF($C103="",0,MAX(0,$AS103-$AF103))</f>
        <v/>
      </c>
      <c r="AU103">
        <f>IF($C103="",0,MAX(0,$AT103-$AG103))</f>
        <v/>
      </c>
      <c r="AV103">
        <f>IF($C103="",0,MAX(0,$AU103-$AH103))</f>
        <v/>
      </c>
      <c r="AW103">
        <f>IF($C103="",0,MAX(0,$AV103-$AI103))</f>
        <v/>
      </c>
      <c r="AX103">
        <f>IF($C103="",0,MAX(0,MAX(0,N($L103))+IF($P103=V$3,$R103,0)+IF($S103=V$3,$U103,0)-$V103))</f>
        <v/>
      </c>
      <c r="AY103">
        <f>IF($C103="",0,MAX(0,$AX103+IF($P103=W$3,$R103,0)+IF($S103=W$3,$U103,0)-$W103))</f>
        <v/>
      </c>
      <c r="AZ103">
        <f>IF($C103="",0,MAX(0,$AY103+IF($P103=X$3,$R103,0)+IF($S103=X$3,$U103,0)-$X103))</f>
        <v/>
      </c>
      <c r="BA103">
        <f>IF($C103="",0,MAX(0,$AZ103+IF($P103=Y$3,$R103,0)+IF($S103=Y$3,$U103,0)-$Y103))</f>
        <v/>
      </c>
      <c r="BB103">
        <f>IF($C103="",0,MAX(0,$BA103+IF($P103=Z$3,$R103,0)+IF($S103=Z$3,$U103,0)-$Z103))</f>
        <v/>
      </c>
      <c r="BC103">
        <f>IF($C103="",0,MAX(0,$BB103+IF($P103=AA$3,$R103,0)+IF($S103=AA$3,$U103,0)-$AA103))</f>
        <v/>
      </c>
      <c r="BD103">
        <f>IF($C103="",0,MAX(0,$BC103+IF($P103=AB$3,$R103,0)+IF($S103=AB$3,$U103,0)-$AB103))</f>
        <v/>
      </c>
      <c r="BE103">
        <f>IF($C103="",0,MAX(0,$BD103+IF($P103=AC$3,$R103,0)+IF($S103=AC$3,$U103,0)-$AC103))</f>
        <v/>
      </c>
      <c r="BF103">
        <f>IF($C103="",0,MAX(0,$BE103+IF($P103=AD$3,$R103,0)+IF($S103=AD$3,$U103,0)-$AD103))</f>
        <v/>
      </c>
      <c r="BG103">
        <f>IF($C103="",0,MAX(0,$BF103+IF($P103=AE$3,$R103,0)+IF($S103=AE$3,$U103,0)-$AE103))</f>
        <v/>
      </c>
      <c r="BH103">
        <f>IF($C103="",0,MAX(0,$BG103+IF($P103=AF$3,$R103,0)+IF($S103=AF$3,$U103,0)-$AF103))</f>
        <v/>
      </c>
      <c r="BI103">
        <f>IF($C103="",0,MAX(0,$BH103+IF($P103=AG$3,$R103,0)+IF($S103=AG$3,$U103,0)-$AG103))</f>
        <v/>
      </c>
      <c r="BJ103">
        <f>IF($C103="",0,MAX(0,$BI103+IF($P103=AH$3,$R103,0)+IF($S103=AH$3,$U103,0)-$AH103))</f>
        <v/>
      </c>
      <c r="BK103">
        <f>IF($C103="",0,MAX(0,$BJ103+IF($P103=AI$3,$R103,0)+IF($S103=AI$3,$U103,0)-$AI103))</f>
        <v/>
      </c>
      <c r="BL103">
        <f>IF($C103="",99,IF(AND($AX103&lt;1,V$3&gt;=MAX(N($P103),N($S103))),0,99))</f>
        <v/>
      </c>
      <c r="BM103">
        <f>IF($C103="",99,IF(AND($AY103&lt;1,W$3&gt;=MAX(N($P103),N($S103))),1,99))</f>
        <v/>
      </c>
      <c r="BN103">
        <f>IF($C103="",99,IF(AND($AZ103&lt;1,X$3&gt;=MAX(N($P103),N($S103))),2,99))</f>
        <v/>
      </c>
      <c r="BO103">
        <f>IF($C103="",99,IF(AND($BA103&lt;1,Y$3&gt;=MAX(N($P103),N($S103))),3,99))</f>
        <v/>
      </c>
      <c r="BP103">
        <f>IF($C103="",99,IF(AND($BB103&lt;1,Z$3&gt;=MAX(N($P103),N($S103))),4,99))</f>
        <v/>
      </c>
      <c r="BQ103">
        <f>IF($C103="",99,IF(AND($BC103&lt;1,AA$3&gt;=MAX(N($P103),N($S103))),5,99))</f>
        <v/>
      </c>
      <c r="BR103">
        <f>IF($C103="",99,IF(AND($BD103&lt;1,AB$3&gt;=MAX(N($P103),N($S103))),6,99))</f>
        <v/>
      </c>
      <c r="BS103">
        <f>IF($C103="",99,IF(AND($BE103&lt;1,AC$3&gt;=MAX(N($P103),N($S103))),7,99))</f>
        <v/>
      </c>
      <c r="BT103">
        <f>IF($C103="",99,IF(AND($BF103&lt;1,AD$3&gt;=MAX(N($P103),N($S103))),8,99))</f>
        <v/>
      </c>
      <c r="BU103">
        <f>IF($C103="",99,IF(AND($BG103&lt;1,AE$3&gt;=MAX(N($P103),N($S103))),9,99))</f>
        <v/>
      </c>
      <c r="BV103">
        <f>IF($C103="",99,IF(AND($BH103&lt;1,AF$3&gt;=MAX(N($P103),N($S103))),10,99))</f>
        <v/>
      </c>
      <c r="BW103">
        <f>IF($C103="",99,IF(AND($BI103&lt;1,AG$3&gt;=MAX(N($P103),N($S103))),11,99))</f>
        <v/>
      </c>
      <c r="BX103">
        <f>IF($C103="",99,IF(AND($BJ103&lt;1,AH$3&gt;=MAX(N($P103),N($S103))),12,99))</f>
        <v/>
      </c>
      <c r="BY103">
        <f>IF($C103="",99,IF(AND($BK103&lt;1,AI$3&gt;=MAX(N($P103),N($S103))),13,99))</f>
        <v/>
      </c>
      <c r="BZ103">
        <f>IF(OR($C103="",$M103=""),"",COUNTIF($AJ103:$AW103,"&gt;=1"))</f>
        <v/>
      </c>
      <c r="CA103" s="90">
        <f>IF($BZ103="","",IF($BZ103&gt;=14,"",'設定'!$C$6+$BZ103))</f>
        <v/>
      </c>
      <c r="CB103">
        <f>IF(OR($C103="",$M103=""),"",MIN($BL103:$BY103))</f>
        <v/>
      </c>
      <c r="CC103" s="90">
        <f>IF($CB103="","",IF($CB103&gt;=99,"",'設定'!$C$6+$CB103))</f>
        <v/>
      </c>
      <c r="CD103">
        <f>IF(OR($C103="",$M103=""),"",AVERAGE($V103:$AI103))</f>
        <v/>
      </c>
      <c r="CE103">
        <f>IF($C103="","",IFERROR(IF(MATCH(IF(ISNUMBER($P103),$P103,'設定'!$C$6+N('設定'!$C$7)),$V$3:$AI$3,0)=1,MAX(0,N($L103)),INDEX($AJ103:$AW103,MATCH(IF(ISNUMBER($P103),$P103,'設定'!$C$6+N('設定'!$C$7)),$V$3:$AI$3,0)-1)),""))</f>
        <v/>
      </c>
      <c r="CF103">
        <f>IF(OR($C103="",$O103="",$CE103=""),"",IF($O103-$CE103&lt;=0,0,ROUNDUP(($O103-$CE103)/$G103,0)))</f>
        <v/>
      </c>
      <c r="CG103">
        <f>IF(OR($C103="",$CF103="",NOT(ISNUMBER($Q103))),0,MAX(0,$Q103-$CF103))</f>
        <v/>
      </c>
      <c r="CH103">
        <f>IF(OR($C103="",$O103="",$U103=0),0,IFERROR(ROUNDUP(MAX(0,IF(MATCH($S103,$V$3:$AI$3,0)=1,MAX(0,N($L103)),INDEX($AX103:$BK103,MATCH($S103,$V$3:$AI$3,0)-1))+$U103-$O103)/$G103,0),0))</f>
        <v/>
      </c>
      <c r="CI103">
        <f>IF($C103="","",IF(AND($P103="",$Q103=""),"",IF($P103="","⚠ 入庫日を ▼ から選んでください",IF(NOT(ISNUMBER($P103)),"⚠ 入庫日は ▼ から選んでください",IF($P103&lt;N('設定'!$C$6),"⚠ 入庫日が過去です（もう在庫に入っています）→ 消してください",IF($P103&gt;N('設定'!$C$6)+13,"⚠ 入庫日が14日より先です",IF(N($Q103)&lt;=0,"⚠ 入庫数を入れてください",IF($CG103&gt;0,"⚠ 目安より "&amp;$CG103&amp;" 多い（定数を超える）→ 減らす",""))))))))</f>
        <v/>
      </c>
      <c r="CJ103">
        <f>IF($C103="","",IF(AND($S103="",$T103=""),"",IF($S103="","⚠ 2便目：入庫日を ▼ から選んでください",IF(NOT(ISNUMBER($S103)),"⚠ 2便目：入庫日は ▼ から選んでください",IF($S103&lt;N('設定'!$C$6),"⚠ 2便目：入庫日が過去です（もう在庫に入っています）→ 消してください",IF($S103&gt;N('設定'!$C$6)+13,"⚠ 2便目：入庫日が14日より先です",IF(N($T103)&lt;=0,"⚠ 2便目：入庫数を入れてください",IF($CH103&gt;0,"⚠ 2便目：定数を "&amp;$CH103&amp;" ケース超える → 減らす",""))))))))</f>
        <v/>
      </c>
      <c r="CK103">
        <f>IF(AND($CI103="",N($Q103)&gt;0,ISNUMBER($P103)),1,0)</f>
        <v/>
      </c>
      <c r="CL103">
        <f>IF(AND($CJ103="",N($T103)&gt;0,ISNUMBER($S103)),1,0)</f>
        <v/>
      </c>
      <c r="CM103">
        <f>IF(OR($CK103=1,$CL103=1),1,0)</f>
        <v/>
      </c>
      <c r="CN103">
        <f>IF($C103="",0,($CK103*$R103+$CL103*$U103)*N($H103))</f>
        <v/>
      </c>
      <c r="CO103">
        <f>IF($C103="","",IF($CC103="","入庫後は 14日以上もつ",IF($CC103-N('設定'!$C$7)&lt;='設定'!$C$6,"入庫後も "&amp;TEXT($CC103,"m/d")&amp;"("&amp;CHOOSE(WEEKDAY($CC103),"日","月","火","水","木","金","土")&amp;")"&amp;" に切れる　もう1便を至急発注","入庫後も "&amp;TEXT($CC103,"m/d")&amp;"("&amp;CHOOSE(WEEKDAY($CC103),"日","月","火","水","木","金","土")&amp;")"&amp;" に切れる　"&amp;TEXT($CC103-N('設定'!$C$7),"m/d")&amp;"("&amp;CHOOSE(WEEKDAY($CC103-N('設定'!$C$7)),"日","月","火","水","木","金","土")&amp;")"&amp;" までに次を発注")))</f>
        <v/>
      </c>
      <c r="CP103">
        <f>IF($C103="","",IF('設定'!$C$6="","？ ①在庫を貼る に今日のCSVが貼られていない",IF($CS103=1,"－ 今日のCSVに無い（終売？）",IF($L103&lt;0,"● 在庫がマイナス　数えて「数えた在庫」に入れる",IF($L103=0,"● 在庫なし　至急発注",IF($M103="","？ 減り数が未設定（商品マスタ）",IF($B$3=0,"？ 動員が未入力（動員を入れる）",IF($CA103="","○ 14日以上もつ",IF($BZ103&lt;N('設定'!$C$7),"● "&amp;TEXT($CA103,"m/d")&amp;"("&amp;CHOOSE(WEEKDAY($CA103),"日","月","火","水","木","金","土")&amp;")"&amp;" に切れる　至急発注",IF($BZ103=N('設定'!$C$7),"● "&amp;TEXT($CA103,"m/d")&amp;"("&amp;CHOOSE(WEEKDAY($CA103),"日","月","火","水","木","金","土")&amp;")"&amp;" に切れる　今日発注","△ "&amp;TEXT($CA103,"m/d")&amp;"("&amp;CHOOSE(WEEKDAY($CA103),"日","月","火","水","木","金","土")&amp;")"&amp;" に切れる　"&amp;TEXT($CA103-N('設定'!$C$7),"m/d")&amp;"("&amp;CHOOSE(WEEKDAY($CA103-N('設定'!$C$7)),"日","月","火","水","木","金","土")&amp;")"&amp;" までに発注"))))))))))</f>
        <v/>
      </c>
      <c r="CQ103">
        <f>IF($C103="","",IF(AND($P103="",$Q103="",$S103="",$T103=""),"",IF(AND($P103="",$Q103=""),"⚠ 先に1便目（左の入庫日・入庫数）に入れてください",IF($CI103&lt;&gt;"",$CI103,IF($CJ103&lt;&gt;"",$CJ103,IF($M103="","？ 減り数が未設定（発注書には載ります）",IF($B$3=0,"？ 動員が未入力（発注書には載ります）",IF(AND($CA103&lt;&gt;"",$P103&gt;$CA103),IF($P103&gt;'設定'!$C$6+N('設定'!$C$7),"● "&amp;TEXT($P103,"m/d")&amp;"("&amp;CHOOSE(WEEKDAY($P103),"日","月","火","水","木","金","土")&amp;")"&amp;" の入庫では間に合わない（"&amp;TEXT($CA103,"m/d")&amp;"("&amp;CHOOSE(WEEKDAY($CA103),"日","月","火","水","木","金","土")&amp;")"&amp;" に切れる）　入庫日を早める","△ 欠品 "&amp;TEXT($CA103,"m/d")&amp;"("&amp;CHOOSE(WEEKDAY($CA103),"日","月","火","水","木","金","土")&amp;")"&amp;"〜"&amp;TEXT($P103-1,"m/d")&amp;"("&amp;CHOOSE(WEEKDAY($P103-1),"日","月","火","水","木","金","土")&amp;")"&amp;"　"&amp;$CO103),IF($CC103="","○ "&amp;TEXT($P103,"m/d")&amp;"("&amp;CHOOSE(WEEKDAY($P103),"日","月","火","水","木","金","土")&amp;")"&amp;" 入庫で 14日以上もつ",IF($CC103-N('設定'!$C$7)&lt;='設定'!$C$6,"● 入庫しても "&amp;TEXT($CC103,"m/d")&amp;"("&amp;CHOOSE(WEEKDAY($CC103),"日","月","火","水","木","金","土")&amp;")"&amp;" に切れる　もう1便を至急発注（2便目に入れる）","△ 入庫しても "&amp;TEXT($CC103,"m/d")&amp;"("&amp;CHOOSE(WEEKDAY($CC103),"日","月","火","水","木","金","土")&amp;")"&amp;" に切れる　"&amp;TEXT($CC103-N('設定'!$C$7),"m/d")&amp;"("&amp;CHOOSE(WEEKDAY($CC103-N('設定'!$C$7)),"日","月","火","水","木","金","土")&amp;")"&amp;" までに次を発注（2便目に入れる）"))))))))))</f>
        <v/>
      </c>
      <c r="CR103">
        <f>IF($C103="","",IF($G103&gt;1,"ｹｰｽ("&amp;$G103&amp;"入)","個"))</f>
        <v/>
      </c>
      <c r="CS103">
        <f>IF($C103="",0,IF(COUNTIFS('①在庫を貼る'!$V$6:$V$10005,'設定'!$C$4,'①在庫を貼る'!$W$6:$W$10005,$C103)=0,1,0))</f>
        <v/>
      </c>
      <c r="CT103">
        <f>IF(AND($CK103=1,OR('③発注書'!$C$4="すべて",'③発注書'!$C$4="",$F103='③発注書'!$C$4)),N($CT102)+1,N($CT102))</f>
        <v/>
      </c>
      <c r="CU103">
        <f>IF(AND($CL103=1,OR('③発注書'!$C$4="すべて",'③発注書'!$C$4="",$F103='③発注書'!$C$4)),N($CU102)+1,N($CU102))</f>
        <v/>
      </c>
      <c r="CV103">
        <f>IF($C103="",0,IF(COUNTIFS('①在庫を貼る'!$V$6:$V$10005,'設定'!$C$4,'①在庫を貼る'!$W$6:$W$10005,$C103)&gt;0,1,0))</f>
        <v/>
      </c>
      <c r="CW103">
        <f>IF($C103="",0,IF(COUNTIFS('月1回_1ヶ月前の在庫'!$V$6:$V$10005,'設定'!$C$4,'月1回_1ヶ月前の在庫'!$W$6:$W$10005,$C103)&gt;0,1,0))</f>
        <v/>
      </c>
      <c r="CX103">
        <f>IF($C103="",0,IF(COUNTIFS('月1回_2ヶ月前の在庫'!$V$6:$V$10005,'設定'!$C$4,'月1回_2ヶ月前の在庫'!$W$6:$W$10005,$C103)&gt;0,1,0))</f>
        <v/>
      </c>
      <c r="CY103">
        <f>IF(OR($C103="",'設定'!$C$12=""),"",IF('設定'!$C$13="",IF(AND($CV103=1,$CW103=0),"新商品（今月から）",IF(AND($CV103=0,$CW103=1),"終売（今月から）","")),IF(AND($CV103=1,$CW103=0,$CX103=0),"新商品（今月から）",IF(AND($CV103=1,$CW103=1,$CX103=0),"新商品（先月から）",IF(AND($CV103=0,$CW103=1,$CX103=1),"終売（今月から）",IF(AND($CV103=0,$CW103=0,$CX103=1),"終売（先月から）",IF(AND($CV103=1,$CW103=0,$CX103=1),"復活（先月は無し）","")))))))</f>
        <v/>
      </c>
    </row>
    <row r="104">
      <c r="B104">
        <f>IF(99&lt;='設定'!$C$11,99,"")</f>
        <v/>
      </c>
      <c r="C104">
        <f>IF($B104="","",IF($B104&lt;='設定'!$C$20,INDEX('商品マスタ'!$B$6:$B$1005,MATCH($B104,'商品マスタ'!$M$6:$M$1005,0)),IF($B104&lt;='設定'!$C$20+'設定'!$C$17,INDEX('①在庫を貼る'!$W$6:$W$10005,MATCH($B104-'設定'!$C$20,'①在庫を貼る'!$U$6:$U$10005,0)),IF($B104&lt;='設定'!$C$20+'設定'!$C$17+'設定'!$C$18,INDEX('月1回_1ヶ月前の在庫'!$W$6:$W$10005,MATCH($B104-'設定'!$C$20-'設定'!$C$17,'月1回_1ヶ月前の在庫'!$U$6:$U$10005,0)),INDEX('月1回_2ヶ月前の在庫'!$W$6:$W$10005,MATCH($B104-'設定'!$C$20-'設定'!$C$17-'設定'!$C$18,'月1回_2ヶ月前の在庫'!$U$6:$U$10005,0))))))</f>
        <v/>
      </c>
      <c r="D104">
        <f>IF($C104="","",IFERROR(IF(INDEX('商品マスタ'!$C$6:$C$1005,MATCH($C104,'商品マスタ'!$B$6:$B$1005,0))="",IFERROR(INDEX('①在庫を貼る'!$J$6:$J$10005,MATCH($C104,'①在庫を貼る'!$W$6:$W$10005,0)),IFERROR(INDEX('月1回_1ヶ月前の在庫'!$J$6:$J$10005,MATCH($C104,'月1回_1ヶ月前の在庫'!$W$6:$W$10005,0)),IFERROR(INDEX('月1回_2ヶ月前の在庫'!$J$6:$J$10005,MATCH($C104,'月1回_2ヶ月前の在庫'!$W$6:$W$10005,0)),""))),INDEX('商品マスタ'!$C$6:$C$1005,MATCH($C104,'商品マスタ'!$B$6:$B$1005,0))),IFERROR(INDEX('①在庫を貼る'!$J$6:$J$10005,MATCH($C104,'①在庫を貼る'!$W$6:$W$10005,0)),IFERROR(INDEX('月1回_1ヶ月前の在庫'!$J$6:$J$10005,MATCH($C104,'月1回_1ヶ月前の在庫'!$W$6:$W$10005,0)),IFERROR(INDEX('月1回_2ヶ月前の在庫'!$J$6:$J$10005,MATCH($C104,'月1回_2ヶ月前の在庫'!$W$6:$W$10005,0)),"")))))</f>
        <v/>
      </c>
      <c r="E104">
        <f>IF($C104="","",IFERROR(IF(INDEX('商品マスタ'!$D$6:$D$1005,MATCH($C104,'商品マスタ'!$B$6:$B$1005,0))="",IFERROR(INDEX('①在庫を貼る'!$H$6:$H$10005,MATCH($C104,'①在庫を貼る'!$W$6:$W$10005,0)),IFERROR(INDEX('月1回_1ヶ月前の在庫'!$H$6:$H$10005,MATCH($C104,'月1回_1ヶ月前の在庫'!$W$6:$W$10005,0)),IFERROR(INDEX('月1回_2ヶ月前の在庫'!$H$6:$H$10005,MATCH($C104,'月1回_2ヶ月前の在庫'!$W$6:$W$10005,0)),""))),INDEX('商品マスタ'!$D$6:$D$1005,MATCH($C104,'商品マスタ'!$B$6:$B$1005,0))),IFERROR(INDEX('①在庫を貼る'!$H$6:$H$10005,MATCH($C104,'①在庫を貼る'!$W$6:$W$10005,0)),IFERROR(INDEX('月1回_1ヶ月前の在庫'!$H$6:$H$10005,MATCH($C104,'月1回_1ヶ月前の在庫'!$W$6:$W$10005,0)),IFERROR(INDEX('月1回_2ヶ月前の在庫'!$H$6:$H$10005,MATCH($C104,'月1回_2ヶ月前の在庫'!$W$6:$W$10005,0)),"")))))</f>
        <v/>
      </c>
      <c r="F104">
        <f>IF($C104="","",IFERROR(IF(INDEX('商品マスタ'!$E$6:$E$1005,MATCH($C104,'商品マスタ'!$B$6:$B$1005,0))="",IFERROR(INDEX('①在庫を貼る'!$E$6:$E$10005,MATCH($C104,'①在庫を貼る'!$W$6:$W$10005,0)),IFERROR(INDEX('月1回_1ヶ月前の在庫'!$E$6:$E$10005,MATCH($C104,'月1回_1ヶ月前の在庫'!$W$6:$W$10005,0)),IFERROR(INDEX('月1回_2ヶ月前の在庫'!$E$6:$E$10005,MATCH($C104,'月1回_2ヶ月前の在庫'!$W$6:$W$10005,0)),""))),INDEX('商品マスタ'!$E$6:$E$1005,MATCH($C104,'商品マスタ'!$B$6:$B$1005,0))),IFERROR(INDEX('①在庫を貼る'!$E$6:$E$10005,MATCH($C104,'①在庫を貼る'!$W$6:$W$10005,0)),IFERROR(INDEX('月1回_1ヶ月前の在庫'!$E$6:$E$10005,MATCH($C104,'月1回_1ヶ月前の在庫'!$W$6:$W$10005,0)),IFERROR(INDEX('月1回_2ヶ月前の在庫'!$E$6:$E$10005,MATCH($C104,'月1回_2ヶ月前の在庫'!$W$6:$W$10005,0)),"")))))</f>
        <v/>
      </c>
      <c r="G104">
        <f>IF($C104="","",MAX(1,N(IFERROR(IF(INDEX('商品マスタ'!$F$6:$F$1005,MATCH($C104,'商品マスタ'!$B$6:$B$1005,0))="",IF(COUNTIFS('①在庫を貼る'!$V$6:$V$10005,'設定'!$C$4,'①在庫を貼る'!$W$6:$W$10005,$C104)&gt;0,SUMIFS('①在庫を貼る'!$K$6:$K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K$6:$K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K$6:$K$10005,'月1回_2ヶ月前の在庫'!$V$6:$V$10005,'設定'!$C$4,'月1回_2ヶ月前の在庫'!$W$6:$W$10005,$C104)/COUNTIFS('月1回_2ヶ月前の在庫'!$V$6:$V$10005,'設定'!$C$4,'月1回_2ヶ月前の在庫'!$W$6:$W$10005,$C104),0))),INDEX('商品マスタ'!$F$6:$F$1005,MATCH($C104,'商品マスタ'!$B$6:$B$1005,0))),IF(COUNTIFS('①在庫を貼る'!$V$6:$V$10005,'設定'!$C$4,'①在庫を貼る'!$W$6:$W$10005,$C104)&gt;0,SUMIFS('①在庫を貼る'!$K$6:$K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K$6:$K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K$6:$K$10005,'月1回_2ヶ月前の在庫'!$V$6:$V$10005,'設定'!$C$4,'月1回_2ヶ月前の在庫'!$W$6:$W$10005,$C104)/COUNTIFS('月1回_2ヶ月前の在庫'!$V$6:$V$10005,'設定'!$C$4,'月1回_2ヶ月前の在庫'!$W$6:$W$10005,$C104),0)))))))</f>
        <v/>
      </c>
      <c r="H104">
        <f>IF($C104="","",N(IFERROR(IF(INDEX('商品マスタ'!$G$6:$G$1005,MATCH($C104,'商品マスタ'!$B$6:$B$1005,0))="",IF(COUNTIFS('①在庫を貼る'!$V$6:$V$10005,'設定'!$C$4,'①在庫を貼る'!$W$6:$W$10005,$C104)&gt;0,SUMIFS('①在庫を貼る'!$Q$6:$Q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Q$6:$Q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Q$6:$Q$10005,'月1回_2ヶ月前の在庫'!$V$6:$V$10005,'設定'!$C$4,'月1回_2ヶ月前の在庫'!$W$6:$W$10005,$C104)/COUNTIFS('月1回_2ヶ月前の在庫'!$V$6:$V$10005,'設定'!$C$4,'月1回_2ヶ月前の在庫'!$W$6:$W$10005,$C104),0))),INDEX('商品マスタ'!$G$6:$G$1005,MATCH($C104,'商品マスタ'!$B$6:$B$1005,0))),IF(COUNTIFS('①在庫を貼る'!$V$6:$V$10005,'設定'!$C$4,'①在庫を貼る'!$W$6:$W$10005,$C104)&gt;0,SUMIFS('①在庫を貼る'!$Q$6:$Q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Q$6:$Q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Q$6:$Q$10005,'月1回_2ヶ月前の在庫'!$V$6:$V$10005,'設定'!$C$4,'月1回_2ヶ月前の在庫'!$W$6:$W$10005,$C104)/COUNTIFS('月1回_2ヶ月前の在庫'!$V$6:$V$10005,'設定'!$C$4,'月1回_2ヶ月前の在庫'!$W$6:$W$10005,$C104),0))))))</f>
        <v/>
      </c>
      <c r="I104">
        <f>IF($C104="","",IF(COUNTIFS('①在庫を貼る'!$V$6:$V$10005,'設定'!$C$4,'①在庫を貼る'!$W$6:$W$10005,$C104)=0,"",SUMIFS('①在庫を貼る'!$N$6:$N$10005,'①在庫を貼る'!$V$6:$V$10005,'設定'!$C$4,'①在庫を貼る'!$W$6:$W$10005,$C104)))</f>
        <v/>
      </c>
      <c r="J104">
        <f>IF($C104="","",IF('②発注する'!$AD108="","",'②発注する'!$AD108))</f>
        <v/>
      </c>
      <c r="K104" s="90">
        <f>IF($C104="","",IF('②発注する'!$AE108="","",'②発注する'!$AE108))</f>
        <v/>
      </c>
      <c r="L104">
        <f>IF($C104="","",IF(AND(ISNUMBER($J104),ISNUMBER($K104),$K104&gt;='設定'!$C$6),$J104,N($I104)))</f>
        <v/>
      </c>
      <c r="M104">
        <f>IF($C104="","",IFERROR(IF(N(INDEX('商品マスタ'!$J$6:$J$1005,MATCH($C104,'商品マスタ'!$B$6:$B$1005,0)))&gt;0,INDEX('商品マスタ'!$J$6:$J$1005,MATCH($C104,'商品マスタ'!$B$6:$B$1005,0)),""),""))</f>
        <v/>
      </c>
      <c r="N104">
        <f>IF($C104="","",IFERROR(IF(N(INDEX('商品マスタ'!$H$6:$H$1005,MATCH($C104,'商品マスタ'!$B$6:$B$1005,0)))&gt;0,INDEX('商品マスタ'!$H$6:$H$1005,MATCH($C104,'商品マスタ'!$B$6:$B$1005,0)),""),""))</f>
        <v/>
      </c>
      <c r="O104">
        <f>IF($C104="","",IF($N104&lt;&gt;"",$N104*$G104,IF(N(IF(COUNTIFS('①在庫を貼る'!$V$6:$V$10005,'設定'!$C$4,'①在庫を貼る'!$W$6:$W$10005,$C104)&gt;0,SUMIFS('①在庫を貼る'!$O$6:$O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O$6:$O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O$6:$O$10005,'月1回_2ヶ月前の在庫'!$V$6:$V$10005,'設定'!$C$4,'月1回_2ヶ月前の在庫'!$W$6:$W$10005,$C104)/COUNTIFS('月1回_2ヶ月前の在庫'!$V$6:$V$10005,'設定'!$C$4,'月1回_2ヶ月前の在庫'!$W$6:$W$10005,$C104),0))))&gt;0,N(IF(COUNTIFS('①在庫を貼る'!$V$6:$V$10005,'設定'!$C$4,'①在庫を貼る'!$W$6:$W$10005,$C104)&gt;0,SUMIFS('①在庫を貼る'!$O$6:$O$10005,'①在庫を貼る'!$V$6:$V$10005,'設定'!$C$4,'①在庫を貼る'!$W$6:$W$10005,$C104)/COUNTIFS('①在庫を貼る'!$V$6:$V$10005,'設定'!$C$4,'①在庫を貼る'!$W$6:$W$10005,$C104),IF(COUNTIFS('月1回_1ヶ月前の在庫'!$V$6:$V$10005,'設定'!$C$4,'月1回_1ヶ月前の在庫'!$W$6:$W$10005,$C104)&gt;0,SUMIFS('月1回_1ヶ月前の在庫'!$O$6:$O$10005,'月1回_1ヶ月前の在庫'!$V$6:$V$10005,'設定'!$C$4,'月1回_1ヶ月前の在庫'!$W$6:$W$10005,$C104)/COUNTIFS('月1回_1ヶ月前の在庫'!$V$6:$V$10005,'設定'!$C$4,'月1回_1ヶ月前の在庫'!$W$6:$W$10005,$C104),IF(COUNTIFS('月1回_2ヶ月前の在庫'!$V$6:$V$10005,'設定'!$C$4,'月1回_2ヶ月前の在庫'!$W$6:$W$10005,$C104)&gt;0,SUMIFS('月1回_2ヶ月前の在庫'!$O$6:$O$10005,'月1回_2ヶ月前の在庫'!$V$6:$V$10005,'設定'!$C$4,'月1回_2ヶ月前の在庫'!$W$6:$W$10005,$C104)/COUNTIFS('月1回_2ヶ月前の在庫'!$V$6:$V$10005,'設定'!$C$4,'月1回_2ヶ月前の在庫'!$W$6:$W$10005,$C104),0)))),"")))</f>
        <v/>
      </c>
      <c r="P104" s="90">
        <f>IF($C104="","",IF('②発注する'!$I108="","",'②発注する'!$I108))</f>
        <v/>
      </c>
      <c r="Q104">
        <f>IF($C104="","",IF('②発注する'!$J108="","",'②発注する'!$J108))</f>
        <v/>
      </c>
      <c r="R104">
        <f>IF($C104="",0,IF(AND(ISNUMBER($P104),ISNUMBER($Q104)),MAX(0,$Q104)*$G104,0))</f>
        <v/>
      </c>
      <c r="S104" s="90">
        <f>IF($C104="","",IF('②発注する'!$M108="","",'②発注する'!$M108))</f>
        <v/>
      </c>
      <c r="T104">
        <f>IF($C104="","",IF('②発注する'!$N108="","",'②発注する'!$N108))</f>
        <v/>
      </c>
      <c r="U104">
        <f>IF($C104="",0,IF(AND(ISNUMBER($S104),ISNUMBER($T104)),MAX(0,$T104)*$G104,0))</f>
        <v/>
      </c>
      <c r="V104">
        <f>IF($C104="",0,IF($M104="",0,MAX(0,$M104)*MAX(0,V$4)/100))</f>
        <v/>
      </c>
      <c r="W104">
        <f>IF($C104="",0,IF($M104="",0,MAX(0,$M104)*MAX(0,W$4)/100))</f>
        <v/>
      </c>
      <c r="X104">
        <f>IF($C104="",0,IF($M104="",0,MAX(0,$M104)*MAX(0,X$4)/100))</f>
        <v/>
      </c>
      <c r="Y104">
        <f>IF($C104="",0,IF($M104="",0,MAX(0,$M104)*MAX(0,Y$4)/100))</f>
        <v/>
      </c>
      <c r="Z104">
        <f>IF($C104="",0,IF($M104="",0,MAX(0,$M104)*MAX(0,Z$4)/100))</f>
        <v/>
      </c>
      <c r="AA104">
        <f>IF($C104="",0,IF($M104="",0,MAX(0,$M104)*MAX(0,AA$4)/100))</f>
        <v/>
      </c>
      <c r="AB104">
        <f>IF($C104="",0,IF($M104="",0,MAX(0,$M104)*MAX(0,AB$4)/100))</f>
        <v/>
      </c>
      <c r="AC104">
        <f>IF($C104="",0,IF($M104="",0,MAX(0,$M104)*MAX(0,AC$4)/100))</f>
        <v/>
      </c>
      <c r="AD104">
        <f>IF($C104="",0,IF($M104="",0,MAX(0,$M104)*MAX(0,AD$4)/100))</f>
        <v/>
      </c>
      <c r="AE104">
        <f>IF($C104="",0,IF($M104="",0,MAX(0,$M104)*MAX(0,AE$4)/100))</f>
        <v/>
      </c>
      <c r="AF104">
        <f>IF($C104="",0,IF($M104="",0,MAX(0,$M104)*MAX(0,AF$4)/100))</f>
        <v/>
      </c>
      <c r="AG104">
        <f>IF($C104="",0,IF($M104="",0,MAX(0,$M104)*MAX(0,AG$4)/100))</f>
        <v/>
      </c>
      <c r="AH104">
        <f>IF($C104="",0,IF($M104="",0,MAX(0,$M104)*MAX(0,AH$4)/100))</f>
        <v/>
      </c>
      <c r="AI104">
        <f>IF($C104="",0,IF($M104="",0,MAX(0,$M104)*MAX(0,AI$4)/100))</f>
        <v/>
      </c>
      <c r="AJ104">
        <f>IF($C104="",0,MAX(0,MAX(0,N($L104))-$V104))</f>
        <v/>
      </c>
      <c r="AK104">
        <f>IF($C104="",0,MAX(0,$AJ104-$W104))</f>
        <v/>
      </c>
      <c r="AL104">
        <f>IF($C104="",0,MAX(0,$AK104-$X104))</f>
        <v/>
      </c>
      <c r="AM104">
        <f>IF($C104="",0,MAX(0,$AL104-$Y104))</f>
        <v/>
      </c>
      <c r="AN104">
        <f>IF($C104="",0,MAX(0,$AM104-$Z104))</f>
        <v/>
      </c>
      <c r="AO104">
        <f>IF($C104="",0,MAX(0,$AN104-$AA104))</f>
        <v/>
      </c>
      <c r="AP104">
        <f>IF($C104="",0,MAX(0,$AO104-$AB104))</f>
        <v/>
      </c>
      <c r="AQ104">
        <f>IF($C104="",0,MAX(0,$AP104-$AC104))</f>
        <v/>
      </c>
      <c r="AR104">
        <f>IF($C104="",0,MAX(0,$AQ104-$AD104))</f>
        <v/>
      </c>
      <c r="AS104">
        <f>IF($C104="",0,MAX(0,$AR104-$AE104))</f>
        <v/>
      </c>
      <c r="AT104">
        <f>IF($C104="",0,MAX(0,$AS104-$AF104))</f>
        <v/>
      </c>
      <c r="AU104">
        <f>IF($C104="",0,MAX(0,$AT104-$AG104))</f>
        <v/>
      </c>
      <c r="AV104">
        <f>IF($C104="",0,MAX(0,$AU104-$AH104))</f>
        <v/>
      </c>
      <c r="AW104">
        <f>IF($C104="",0,MAX(0,$AV104-$AI104))</f>
        <v/>
      </c>
      <c r="AX104">
        <f>IF($C104="",0,MAX(0,MAX(0,N($L104))+IF($P104=V$3,$R104,0)+IF($S104=V$3,$U104,0)-$V104))</f>
        <v/>
      </c>
      <c r="AY104">
        <f>IF($C104="",0,MAX(0,$AX104+IF($P104=W$3,$R104,0)+IF($S104=W$3,$U104,0)-$W104))</f>
        <v/>
      </c>
      <c r="AZ104">
        <f>IF($C104="",0,MAX(0,$AY104+IF($P104=X$3,$R104,0)+IF($S104=X$3,$U104,0)-$X104))</f>
        <v/>
      </c>
      <c r="BA104">
        <f>IF($C104="",0,MAX(0,$AZ104+IF($P104=Y$3,$R104,0)+IF($S104=Y$3,$U104,0)-$Y104))</f>
        <v/>
      </c>
      <c r="BB104">
        <f>IF($C104="",0,MAX(0,$BA104+IF($P104=Z$3,$R104,0)+IF($S104=Z$3,$U104,0)-$Z104))</f>
        <v/>
      </c>
      <c r="BC104">
        <f>IF($C104="",0,MAX(0,$BB104+IF($P104=AA$3,$R104,0)+IF($S104=AA$3,$U104,0)-$AA104))</f>
        <v/>
      </c>
      <c r="BD104">
        <f>IF($C104="",0,MAX(0,$BC104+IF($P104=AB$3,$R104,0)+IF($S104=AB$3,$U104,0)-$AB104))</f>
        <v/>
      </c>
      <c r="BE104">
        <f>IF($C104="",0,MAX(0,$BD104+IF($P104=AC$3,$R104,0)+IF($S104=AC$3,$U104,0)-$AC104))</f>
        <v/>
      </c>
      <c r="BF104">
        <f>IF($C104="",0,MAX(0,$BE104+IF($P104=AD$3,$R104,0)+IF($S104=AD$3,$U104,0)-$AD104))</f>
        <v/>
      </c>
      <c r="BG104">
        <f>IF($C104="",0,MAX(0,$BF104+IF($P104=AE$3,$R104,0)+IF($S104=AE$3,$U104,0)-$AE104))</f>
        <v/>
      </c>
      <c r="BH104">
        <f>IF($C104="",0,MAX(0,$BG104+IF($P104=AF$3,$R104,0)+IF($S104=AF$3,$U104,0)-$AF104))</f>
        <v/>
      </c>
      <c r="BI104">
        <f>IF($C104="",0,MAX(0,$BH104+IF($P104=AG$3,$R104,0)+IF($S104=AG$3,$U104,0)-$AG104))</f>
        <v/>
      </c>
      <c r="BJ104">
        <f>IF($C104="",0,MAX(0,$BI104+IF($P104=AH$3,$R104,0)+IF($S104=AH$3,$U104,0)-$AH104))</f>
        <v/>
      </c>
      <c r="BK104">
        <f>IF($C104="",0,MAX(0,$BJ104+IF($P104=AI$3,$R104,0)+IF($S104=AI$3,$U104,0)-$AI104))</f>
        <v/>
      </c>
      <c r="BL104">
        <f>IF($C104="",99,IF(AND($AX104&lt;1,V$3&gt;=MAX(N($P104),N($S104))),0,99))</f>
        <v/>
      </c>
      <c r="BM104">
        <f>IF($C104="",99,IF(AND($AY104&lt;1,W$3&gt;=MAX(N($P104),N($S104))),1,99))</f>
        <v/>
      </c>
      <c r="BN104">
        <f>IF($C104="",99,IF(AND($AZ104&lt;1,X$3&gt;=MAX(N($P104),N($S104))),2,99))</f>
        <v/>
      </c>
      <c r="BO104">
        <f>IF($C104="",99,IF(AND($BA104&lt;1,Y$3&gt;=MAX(N($P104),N($S104))),3,99))</f>
        <v/>
      </c>
      <c r="BP104">
        <f>IF($C104="",99,IF(AND($BB104&lt;1,Z$3&gt;=MAX(N($P104),N($S104))),4,99))</f>
        <v/>
      </c>
      <c r="BQ104">
        <f>IF($C104="",99,IF(AND($BC104&lt;1,AA$3&gt;=MAX(N($P104),N($S104))),5,99))</f>
        <v/>
      </c>
      <c r="BR104">
        <f>IF($C104="",99,IF(AND($BD104&lt;1,AB$3&gt;=MAX(N($P104),N($S104))),6,99))</f>
        <v/>
      </c>
      <c r="BS104">
        <f>IF($C104="",99,IF(AND($BE104&lt;1,AC$3&gt;=MAX(N($P104),N($S104))),7,99))</f>
        <v/>
      </c>
      <c r="BT104">
        <f>IF($C104="",99,IF(AND($BF104&lt;1,AD$3&gt;=MAX(N($P104),N($S104))),8,99))</f>
        <v/>
      </c>
      <c r="BU104">
        <f>IF($C104="",99,IF(AND($BG104&lt;1,AE$3&gt;=MAX(N($P104),N($S104))),9,99))</f>
        <v/>
      </c>
      <c r="BV104">
        <f>IF($C104="",99,IF(AND($BH104&lt;1,AF$3&gt;=MAX(N($P104),N($S104))),10,99))</f>
        <v/>
      </c>
      <c r="BW104">
        <f>IF($C104="",99,IF(AND($BI104&lt;1,AG$3&gt;=MAX(N($P104),N($S104))),11,99))</f>
        <v/>
      </c>
      <c r="BX104">
        <f>IF($C104="",99,IF(AND($BJ104&lt;1,AH$3&gt;=MAX(N($P104),N($S104))),12,99))</f>
        <v/>
      </c>
      <c r="BY104">
        <f>IF($C104="",99,IF(AND($BK104&lt;1,AI$3&gt;=MAX(N($P104),N($S104))),13,99))</f>
        <v/>
      </c>
      <c r="BZ104">
        <f>IF(OR($C104="",$M104=""),"",COUNTIF($AJ104:$AW104,"&gt;=1"))</f>
        <v/>
      </c>
      <c r="CA104" s="90">
        <f>IF($BZ104="","",IF($BZ104&gt;=14,"",'設定'!$C$6+$BZ104))</f>
        <v/>
      </c>
      <c r="CB104">
        <f>IF(OR($C104="",$M104=""),"",MIN($BL104:$BY104))</f>
        <v/>
      </c>
      <c r="CC104" s="90">
        <f>IF($CB104="","",IF($CB104&gt;=99,"",'設定'!$C$6+$CB104))</f>
        <v/>
      </c>
      <c r="CD104">
        <f>IF(OR($C104="",$M104=""),"",AVERAGE($V104:$AI104))</f>
        <v/>
      </c>
      <c r="CE104">
        <f>IF($C104="","",IFERROR(IF(MATCH(IF(ISNUMBER($P104),$P104,'設定'!$C$6+N('設定'!$C$7)),$V$3:$AI$3,0)=1,MAX(0,N($L104)),INDEX($AJ104:$AW104,MATCH(IF(ISNUMBER($P104),$P104,'設定'!$C$6+N('設定'!$C$7)),$V$3:$AI$3,0)-1)),""))</f>
        <v/>
      </c>
      <c r="CF104">
        <f>IF(OR($C104="",$O104="",$CE104=""),"",IF($O104-$CE104&lt;=0,0,ROUNDUP(($O104-$CE104)/$G104,0)))</f>
        <v/>
      </c>
      <c r="CG104">
        <f>IF(OR($C104="",$CF104="",NOT(ISNUMBER($Q104))),0,MAX(0,$Q104-$CF104))</f>
        <v/>
      </c>
      <c r="CH104">
        <f>IF(OR($C104="",$O104="",$U104=0),0,IFERROR(ROUNDUP(MAX(0,IF(MATCH($S104,$V$3:$AI$3,0)=1,MAX(0,N($L104)),INDEX($AX104:$BK104,MATCH($S104,$V$3:$AI$3,0)-1))+$U104-$O104)/$G104,0),0))</f>
        <v/>
      </c>
      <c r="CI104">
        <f>IF($C104="","",IF(AND($P104="",$Q104=""),"",IF($P104="","⚠ 入庫日を ▼ から選んでください",IF(NOT(ISNUMBER($P104)),"⚠ 入庫日は ▼ から選んでください",IF($P104&lt;N('設定'!$C$6),"⚠ 入庫日が過去です（もう在庫に入っています）→ 消してください",IF($P104&gt;N('設定'!$C$6)+13,"⚠ 入庫日が14日より先です",IF(N($Q104)&lt;=0,"⚠ 入庫数を入れてください",IF($CG104&gt;0,"⚠ 目安より "&amp;$CG104&amp;" 多い（定数を超える）→ 減らす",""))))))))</f>
        <v/>
      </c>
      <c r="CJ104">
        <f>IF($C104="","",IF(AND($S104="",$T104=""),"",IF($S104="","⚠ 2便目：入庫日を ▼ から選んでください",IF(NOT(ISNUMBER($S104)),"⚠ 2便目：入庫日は ▼ から選んでください",IF($S104&lt;N('設定'!$C$6),"⚠ 2便目：入庫日が過去です（もう在庫に入っています）→ 消してください",IF($S104&gt;N('設定'!$C$6)+13,"⚠ 2便目：入庫日が14日より先です",IF(N($T104)&lt;=0,"⚠ 2便目：入庫数を入れてください",IF($CH104&gt;0,"⚠ 2便目：定数を "&amp;$CH104&amp;" ケース超える → 減らす",""))))))))</f>
        <v/>
      </c>
      <c r="CK104">
        <f>IF(AND($CI104="",N($Q104)&gt;0,ISNUMBER($P104)),1,0)</f>
        <v/>
      </c>
      <c r="CL104">
        <f>IF(AND($CJ104="",N($T104)&gt;0,ISNUMBER($S104)),1,0)</f>
        <v/>
      </c>
      <c r="CM104">
        <f>IF(OR($CK104=1,$CL104=1),1,0)</f>
        <v/>
      </c>
      <c r="CN104">
        <f>IF($C104="",0,($CK104*$R104+$CL104*$U104)*N($H104))</f>
        <v/>
      </c>
      <c r="CO104">
        <f>IF($C104="","",IF($CC104="","入庫後は 14日以上もつ",IF($CC104-N('設定'!$C$7)&lt;='設定'!$C$6,"入庫後も "&amp;TEXT($CC104,"m/d")&amp;"("&amp;CHOOSE(WEEKDAY($CC104),"日","月","火","水","木","金","土")&amp;")"&amp;" に切れる　もう1便を至急発注","入庫後も "&amp;TEXT($CC104,"m/d")&amp;"("&amp;CHOOSE(WEEKDAY($CC104),"日","月","火","水","木","金","土")&amp;")"&amp;" に切れる　"&amp;TEXT($CC104-N('設定'!$C$7),"m/d")&amp;"("&amp;CHOOSE(WEEKDAY($CC104-N('設定'!$C$7)),"日","月","火","水","木","金","土")&amp;")"&amp;" までに次を発注")))</f>
        <v/>
      </c>
      <c r="CP104">
        <f>IF($C104="","",IF('設定'!$C$6="","？ ①在庫を貼る に今日のCSVが貼られていない",IF($CS104=1,"－ 今日のCSVに無い（終売？）",IF($L104&lt;0,"● 在庫がマイナス　数えて「数えた在庫」に入れる",IF($L104=0,"● 在庫なし　至急発注",IF($M104="","？ 減り数が未設定（商品マスタ）",IF($B$3=0,"？ 動員が未入力（動員を入れる）",IF($CA104="","○ 14日以上もつ",IF($BZ104&lt;N('設定'!$C$7),"● "&amp;TEXT($CA104,"m/d")&amp;"("&amp;CHOOSE(WEEKDAY($CA104),"日","月","火","水","木","金","土")&amp;")"&amp;" に切れる　至急発注",IF($BZ104=N('設定'!$C$7),"● "&amp;TEXT($CA104,"m/d")&amp;"("&amp;CHOOSE(WEEKDAY($CA104),"日","月","火","水","木","金","土")&amp;")"&amp;" に切れる　今日発注","△ "&amp;TEXT($CA104,"m/d")&amp;"("&amp;CHOOSE(WEEKDAY($CA104),"日","月","火","水","木","金","土")&amp;")"&amp;" に切れる　"&amp;TEXT($CA104-N('設定'!$C$7),"m/d")&amp;"("&amp;CHOOSE(WEEKDAY($CA104-N('設定'!$C$7)),"日","月","火","水","木","金","土")&amp;")"&amp;" までに発注"))))))))))</f>
        <v/>
      </c>
      <c r="CQ104">
        <f>IF($C104="","",IF(AND($P104="",$Q104="",$S104="",$T104=""),"",IF(AND($P104="",$Q104=""),"⚠ 先に1便目（左の入庫日・入庫数）に入れてください",IF($CI104&lt;&gt;"",$CI104,IF($CJ104&lt;&gt;"",$CJ104,IF($M104="","？ 減り数が未設定（発注書には載ります）",IF($B$3=0,"？ 動員が未入力（発注書には載ります）",IF(AND($CA104&lt;&gt;"",$P104&gt;$CA104),IF($P104&gt;'設定'!$C$6+N('設定'!$C$7),"● "&amp;TEXT($P104,"m/d")&amp;"("&amp;CHOOSE(WEEKDAY($P104),"日","月","火","水","木","金","土")&amp;")"&amp;" の入庫では間に合わない（"&amp;TEXT($CA104,"m/d")&amp;"("&amp;CHOOSE(WEEKDAY($CA104),"日","月","火","水","木","金","土")&amp;")"&amp;" に切れる）　入庫日を早める","△ 欠品 "&amp;TEXT($CA104,"m/d")&amp;"("&amp;CHOOSE(WEEKDAY($CA104),"日","月","火","水","木","金","土")&amp;")"&amp;"〜"&amp;TEXT($P104-1,"m/d")&amp;"("&amp;CHOOSE(WEEKDAY($P104-1),"日","月","火","水","木","金","土")&amp;")"&amp;"　"&amp;$CO104),IF($CC104="","○ "&amp;TEXT($P104,"m/d")&amp;"("&amp;CHOOSE(WEEKDAY($P104),"日","月","火","水","木","金","土")&amp;")"&amp;" 入庫で 14日以上もつ",IF($CC104-N('設定'!$C$7)&lt;='設定'!$C$6,"● 入庫しても "&amp;TEXT($CC104,"m/d")&amp;"("&amp;CHOOSE(WEEKDAY($CC104),"日","月","火","水","木","金","土")&amp;")"&amp;" に切れる　もう1便を至急発注（2便目に入れる）","△ 入庫しても "&amp;TEXT($CC104,"m/d")&amp;"("&amp;CHOOSE(WEEKDAY($CC104),"日","月","火","水","木","金","土")&amp;")"&amp;" に切れる　"&amp;TEXT($CC104-N('設定'!$C$7),"m/d")&amp;"("&amp;CHOOSE(WEEKDAY($CC104-N('設定'!$C$7)),"日","月","火","水","木","金","土")&amp;")"&amp;" までに次を発注（2便目に入れる）"))))))))))</f>
        <v/>
      </c>
      <c r="CR104">
        <f>IF($C104="","",IF($G104&gt;1,"ｹｰｽ("&amp;$G104&amp;"入)","個"))</f>
        <v/>
      </c>
      <c r="CS104">
        <f>IF($C104="",0,IF(COUNTIFS('①在庫を貼る'!$V$6:$V$10005,'設定'!$C$4,'①在庫を貼る'!$W$6:$W$10005,$C104)=0,1,0))</f>
        <v/>
      </c>
      <c r="CT104">
        <f>IF(AND($CK104=1,OR('③発注書'!$C$4="すべて",'③発注書'!$C$4="",$F104='③発注書'!$C$4)),N($CT103)+1,N($CT103))</f>
        <v/>
      </c>
      <c r="CU104">
        <f>IF(AND($CL104=1,OR('③発注書'!$C$4="すべて",'③発注書'!$C$4="",$F104='③発注書'!$C$4)),N($CU103)+1,N($CU103))</f>
        <v/>
      </c>
      <c r="CV104">
        <f>IF($C104="",0,IF(COUNTIFS('①在庫を貼る'!$V$6:$V$10005,'設定'!$C$4,'①在庫を貼る'!$W$6:$W$10005,$C104)&gt;0,1,0))</f>
        <v/>
      </c>
      <c r="CW104">
        <f>IF($C104="",0,IF(COUNTIFS('月1回_1ヶ月前の在庫'!$V$6:$V$10005,'設定'!$C$4,'月1回_1ヶ月前の在庫'!$W$6:$W$10005,$C104)&gt;0,1,0))</f>
        <v/>
      </c>
      <c r="CX104">
        <f>IF($C104="",0,IF(COUNTIFS('月1回_2ヶ月前の在庫'!$V$6:$V$10005,'設定'!$C$4,'月1回_2ヶ月前の在庫'!$W$6:$W$10005,$C104)&gt;0,1,0))</f>
        <v/>
      </c>
      <c r="CY104">
        <f>IF(OR($C104="",'設定'!$C$12=""),"",IF('設定'!$C$13="",IF(AND($CV104=1,$CW104=0),"新商品（今月から）",IF(AND($CV104=0,$CW104=1),"終売（今月から）","")),IF(AND($CV104=1,$CW104=0,$CX104=0),"新商品（今月から）",IF(AND($CV104=1,$CW104=1,$CX104=0),"新商品（先月から）",IF(AND($CV104=0,$CW104=1,$CX104=1),"終売（今月から）",IF(AND($CV104=0,$CW104=0,$CX104=1),"終売（先月から）",IF(AND($CV104=1,$CW104=0,$CX104=1),"復活（先月は無し）","")))))))</f>
        <v/>
      </c>
    </row>
    <row r="105">
      <c r="B105">
        <f>IF(100&lt;='設定'!$C$11,100,"")</f>
        <v/>
      </c>
      <c r="C105">
        <f>IF($B105="","",IF($B105&lt;='設定'!$C$20,INDEX('商品マスタ'!$B$6:$B$1005,MATCH($B105,'商品マスタ'!$M$6:$M$1005,0)),IF($B105&lt;='設定'!$C$20+'設定'!$C$17,INDEX('①在庫を貼る'!$W$6:$W$10005,MATCH($B105-'設定'!$C$20,'①在庫を貼る'!$U$6:$U$10005,0)),IF($B105&lt;='設定'!$C$20+'設定'!$C$17+'設定'!$C$18,INDEX('月1回_1ヶ月前の在庫'!$W$6:$W$10005,MATCH($B105-'設定'!$C$20-'設定'!$C$17,'月1回_1ヶ月前の在庫'!$U$6:$U$10005,0)),INDEX('月1回_2ヶ月前の在庫'!$W$6:$W$10005,MATCH($B105-'設定'!$C$20-'設定'!$C$17-'設定'!$C$18,'月1回_2ヶ月前の在庫'!$U$6:$U$10005,0))))))</f>
        <v/>
      </c>
      <c r="D105">
        <f>IF($C105="","",IFERROR(IF(INDEX('商品マスタ'!$C$6:$C$1005,MATCH($C105,'商品マスタ'!$B$6:$B$1005,0))="",IFERROR(INDEX('①在庫を貼る'!$J$6:$J$10005,MATCH($C105,'①在庫を貼る'!$W$6:$W$10005,0)),IFERROR(INDEX('月1回_1ヶ月前の在庫'!$J$6:$J$10005,MATCH($C105,'月1回_1ヶ月前の在庫'!$W$6:$W$10005,0)),IFERROR(INDEX('月1回_2ヶ月前の在庫'!$J$6:$J$10005,MATCH($C105,'月1回_2ヶ月前の在庫'!$W$6:$W$10005,0)),""))),INDEX('商品マスタ'!$C$6:$C$1005,MATCH($C105,'商品マスタ'!$B$6:$B$1005,0))),IFERROR(INDEX('①在庫を貼る'!$J$6:$J$10005,MATCH($C105,'①在庫を貼る'!$W$6:$W$10005,0)),IFERROR(INDEX('月1回_1ヶ月前の在庫'!$J$6:$J$10005,MATCH($C105,'月1回_1ヶ月前の在庫'!$W$6:$W$10005,0)),IFERROR(INDEX('月1回_2ヶ月前の在庫'!$J$6:$J$10005,MATCH($C105,'月1回_2ヶ月前の在庫'!$W$6:$W$10005,0)),"")))))</f>
        <v/>
      </c>
      <c r="E105">
        <f>IF($C105="","",IFERROR(IF(INDEX('商品マスタ'!$D$6:$D$1005,MATCH($C105,'商品マスタ'!$B$6:$B$1005,0))="",IFERROR(INDEX('①在庫を貼る'!$H$6:$H$10005,MATCH($C105,'①在庫を貼る'!$W$6:$W$10005,0)),IFERROR(INDEX('月1回_1ヶ月前の在庫'!$H$6:$H$10005,MATCH($C105,'月1回_1ヶ月前の在庫'!$W$6:$W$10005,0)),IFERROR(INDEX('月1回_2ヶ月前の在庫'!$H$6:$H$10005,MATCH($C105,'月1回_2ヶ月前の在庫'!$W$6:$W$10005,0)),""))),INDEX('商品マスタ'!$D$6:$D$1005,MATCH($C105,'商品マスタ'!$B$6:$B$1005,0))),IFERROR(INDEX('①在庫を貼る'!$H$6:$H$10005,MATCH($C105,'①在庫を貼る'!$W$6:$W$10005,0)),IFERROR(INDEX('月1回_1ヶ月前の在庫'!$H$6:$H$10005,MATCH($C105,'月1回_1ヶ月前の在庫'!$W$6:$W$10005,0)),IFERROR(INDEX('月1回_2ヶ月前の在庫'!$H$6:$H$10005,MATCH($C105,'月1回_2ヶ月前の在庫'!$W$6:$W$10005,0)),"")))))</f>
        <v/>
      </c>
      <c r="F105">
        <f>IF($C105="","",IFERROR(IF(INDEX('商品マスタ'!$E$6:$E$1005,MATCH($C105,'商品マスタ'!$B$6:$B$1005,0))="",IFERROR(INDEX('①在庫を貼る'!$E$6:$E$10005,MATCH($C105,'①在庫を貼る'!$W$6:$W$10005,0)),IFERROR(INDEX('月1回_1ヶ月前の在庫'!$E$6:$E$10005,MATCH($C105,'月1回_1ヶ月前の在庫'!$W$6:$W$10005,0)),IFERROR(INDEX('月1回_2ヶ月前の在庫'!$E$6:$E$10005,MATCH($C105,'月1回_2ヶ月前の在庫'!$W$6:$W$10005,0)),""))),INDEX('商品マスタ'!$E$6:$E$1005,MATCH($C105,'商品マスタ'!$B$6:$B$1005,0))),IFERROR(INDEX('①在庫を貼る'!$E$6:$E$10005,MATCH($C105,'①在庫を貼る'!$W$6:$W$10005,0)),IFERROR(INDEX('月1回_1ヶ月前の在庫'!$E$6:$E$10005,MATCH($C105,'月1回_1ヶ月前の在庫'!$W$6:$W$10005,0)),IFERROR(INDEX('月1回_2ヶ月前の在庫'!$E$6:$E$10005,MATCH($C105,'月1回_2ヶ月前の在庫'!$W$6:$W$10005,0)),"")))))</f>
        <v/>
      </c>
      <c r="G105">
        <f>IF($C105="","",MAX(1,N(IFERROR(IF(INDEX('商品マスタ'!$F$6:$F$1005,MATCH($C105,'商品マスタ'!$B$6:$B$1005,0))="",IF(COUNTIFS('①在庫を貼る'!$V$6:$V$10005,'設定'!$C$4,'①在庫を貼る'!$W$6:$W$10005,$C105)&gt;0,SUMIFS('①在庫を貼る'!$K$6:$K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K$6:$K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K$6:$K$10005,'月1回_2ヶ月前の在庫'!$V$6:$V$10005,'設定'!$C$4,'月1回_2ヶ月前の在庫'!$W$6:$W$10005,$C105)/COUNTIFS('月1回_2ヶ月前の在庫'!$V$6:$V$10005,'設定'!$C$4,'月1回_2ヶ月前の在庫'!$W$6:$W$10005,$C105),0))),INDEX('商品マスタ'!$F$6:$F$1005,MATCH($C105,'商品マスタ'!$B$6:$B$1005,0))),IF(COUNTIFS('①在庫を貼る'!$V$6:$V$10005,'設定'!$C$4,'①在庫を貼る'!$W$6:$W$10005,$C105)&gt;0,SUMIFS('①在庫を貼る'!$K$6:$K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K$6:$K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K$6:$K$10005,'月1回_2ヶ月前の在庫'!$V$6:$V$10005,'設定'!$C$4,'月1回_2ヶ月前の在庫'!$W$6:$W$10005,$C105)/COUNTIFS('月1回_2ヶ月前の在庫'!$V$6:$V$10005,'設定'!$C$4,'月1回_2ヶ月前の在庫'!$W$6:$W$10005,$C105),0)))))))</f>
        <v/>
      </c>
      <c r="H105">
        <f>IF($C105="","",N(IFERROR(IF(INDEX('商品マスタ'!$G$6:$G$1005,MATCH($C105,'商品マスタ'!$B$6:$B$1005,0))="",IF(COUNTIFS('①在庫を貼る'!$V$6:$V$10005,'設定'!$C$4,'①在庫を貼る'!$W$6:$W$10005,$C105)&gt;0,SUMIFS('①在庫を貼る'!$Q$6:$Q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Q$6:$Q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Q$6:$Q$10005,'月1回_2ヶ月前の在庫'!$V$6:$V$10005,'設定'!$C$4,'月1回_2ヶ月前の在庫'!$W$6:$W$10005,$C105)/COUNTIFS('月1回_2ヶ月前の在庫'!$V$6:$V$10005,'設定'!$C$4,'月1回_2ヶ月前の在庫'!$W$6:$W$10005,$C105),0))),INDEX('商品マスタ'!$G$6:$G$1005,MATCH($C105,'商品マスタ'!$B$6:$B$1005,0))),IF(COUNTIFS('①在庫を貼る'!$V$6:$V$10005,'設定'!$C$4,'①在庫を貼る'!$W$6:$W$10005,$C105)&gt;0,SUMIFS('①在庫を貼る'!$Q$6:$Q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Q$6:$Q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Q$6:$Q$10005,'月1回_2ヶ月前の在庫'!$V$6:$V$10005,'設定'!$C$4,'月1回_2ヶ月前の在庫'!$W$6:$W$10005,$C105)/COUNTIFS('月1回_2ヶ月前の在庫'!$V$6:$V$10005,'設定'!$C$4,'月1回_2ヶ月前の在庫'!$W$6:$W$10005,$C105),0))))))</f>
        <v/>
      </c>
      <c r="I105">
        <f>IF($C105="","",IF(COUNTIFS('①在庫を貼る'!$V$6:$V$10005,'設定'!$C$4,'①在庫を貼る'!$W$6:$W$10005,$C105)=0,"",SUMIFS('①在庫を貼る'!$N$6:$N$10005,'①在庫を貼る'!$V$6:$V$10005,'設定'!$C$4,'①在庫を貼る'!$W$6:$W$10005,$C105)))</f>
        <v/>
      </c>
      <c r="J105">
        <f>IF($C105="","",IF('②発注する'!$AD109="","",'②発注する'!$AD109))</f>
        <v/>
      </c>
      <c r="K105" s="90">
        <f>IF($C105="","",IF('②発注する'!$AE109="","",'②発注する'!$AE109))</f>
        <v/>
      </c>
      <c r="L105">
        <f>IF($C105="","",IF(AND(ISNUMBER($J105),ISNUMBER($K105),$K105&gt;='設定'!$C$6),$J105,N($I105)))</f>
        <v/>
      </c>
      <c r="M105">
        <f>IF($C105="","",IFERROR(IF(N(INDEX('商品マスタ'!$J$6:$J$1005,MATCH($C105,'商品マスタ'!$B$6:$B$1005,0)))&gt;0,INDEX('商品マスタ'!$J$6:$J$1005,MATCH($C105,'商品マスタ'!$B$6:$B$1005,0)),""),""))</f>
        <v/>
      </c>
      <c r="N105">
        <f>IF($C105="","",IFERROR(IF(N(INDEX('商品マスタ'!$H$6:$H$1005,MATCH($C105,'商品マスタ'!$B$6:$B$1005,0)))&gt;0,INDEX('商品マスタ'!$H$6:$H$1005,MATCH($C105,'商品マスタ'!$B$6:$B$1005,0)),""),""))</f>
        <v/>
      </c>
      <c r="O105">
        <f>IF($C105="","",IF($N105&lt;&gt;"",$N105*$G105,IF(N(IF(COUNTIFS('①在庫を貼る'!$V$6:$V$10005,'設定'!$C$4,'①在庫を貼る'!$W$6:$W$10005,$C105)&gt;0,SUMIFS('①在庫を貼る'!$O$6:$O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O$6:$O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O$6:$O$10005,'月1回_2ヶ月前の在庫'!$V$6:$V$10005,'設定'!$C$4,'月1回_2ヶ月前の在庫'!$W$6:$W$10005,$C105)/COUNTIFS('月1回_2ヶ月前の在庫'!$V$6:$V$10005,'設定'!$C$4,'月1回_2ヶ月前の在庫'!$W$6:$W$10005,$C105),0))))&gt;0,N(IF(COUNTIFS('①在庫を貼る'!$V$6:$V$10005,'設定'!$C$4,'①在庫を貼る'!$W$6:$W$10005,$C105)&gt;0,SUMIFS('①在庫を貼る'!$O$6:$O$10005,'①在庫を貼る'!$V$6:$V$10005,'設定'!$C$4,'①在庫を貼る'!$W$6:$W$10005,$C105)/COUNTIFS('①在庫を貼る'!$V$6:$V$10005,'設定'!$C$4,'①在庫を貼る'!$W$6:$W$10005,$C105),IF(COUNTIFS('月1回_1ヶ月前の在庫'!$V$6:$V$10005,'設定'!$C$4,'月1回_1ヶ月前の在庫'!$W$6:$W$10005,$C105)&gt;0,SUMIFS('月1回_1ヶ月前の在庫'!$O$6:$O$10005,'月1回_1ヶ月前の在庫'!$V$6:$V$10005,'設定'!$C$4,'月1回_1ヶ月前の在庫'!$W$6:$W$10005,$C105)/COUNTIFS('月1回_1ヶ月前の在庫'!$V$6:$V$10005,'設定'!$C$4,'月1回_1ヶ月前の在庫'!$W$6:$W$10005,$C105),IF(COUNTIFS('月1回_2ヶ月前の在庫'!$V$6:$V$10005,'設定'!$C$4,'月1回_2ヶ月前の在庫'!$W$6:$W$10005,$C105)&gt;0,SUMIFS('月1回_2ヶ月前の在庫'!$O$6:$O$10005,'月1回_2ヶ月前の在庫'!$V$6:$V$10005,'設定'!$C$4,'月1回_2ヶ月前の在庫'!$W$6:$W$10005,$C105)/COUNTIFS('月1回_2ヶ月前の在庫'!$V$6:$V$10005,'設定'!$C$4,'月1回_2ヶ月前の在庫'!$W$6:$W$10005,$C105),0)))),"")))</f>
        <v/>
      </c>
      <c r="P105" s="90">
        <f>IF($C105="","",IF('②発注する'!$I109="","",'②発注する'!$I109))</f>
        <v/>
      </c>
      <c r="Q105">
        <f>IF($C105="","",IF('②発注する'!$J109="","",'②発注する'!$J109))</f>
        <v/>
      </c>
      <c r="R105">
        <f>IF($C105="",0,IF(AND(ISNUMBER($P105),ISNUMBER($Q105)),MAX(0,$Q105)*$G105,0))</f>
        <v/>
      </c>
      <c r="S105" s="90">
        <f>IF($C105="","",IF('②発注する'!$M109="","",'②発注する'!$M109))</f>
        <v/>
      </c>
      <c r="T105">
        <f>IF($C105="","",IF('②発注する'!$N109="","",'②発注する'!$N109))</f>
        <v/>
      </c>
      <c r="U105">
        <f>IF($C105="",0,IF(AND(ISNUMBER($S105),ISNUMBER($T105)),MAX(0,$T105)*$G105,0))</f>
        <v/>
      </c>
      <c r="V105">
        <f>IF($C105="",0,IF($M105="",0,MAX(0,$M105)*MAX(0,V$4)/100))</f>
        <v/>
      </c>
      <c r="W105">
        <f>IF($C105="",0,IF($M105="",0,MAX(0,$M105)*MAX(0,W$4)/100))</f>
        <v/>
      </c>
      <c r="X105">
        <f>IF($C105="",0,IF($M105="",0,MAX(0,$M105)*MAX(0,X$4)/100))</f>
        <v/>
      </c>
      <c r="Y105">
        <f>IF($C105="",0,IF($M105="",0,MAX(0,$M105)*MAX(0,Y$4)/100))</f>
        <v/>
      </c>
      <c r="Z105">
        <f>IF($C105="",0,IF($M105="",0,MAX(0,$M105)*MAX(0,Z$4)/100))</f>
        <v/>
      </c>
      <c r="AA105">
        <f>IF($C105="",0,IF($M105="",0,MAX(0,$M105)*MAX(0,AA$4)/100))</f>
        <v/>
      </c>
      <c r="AB105">
        <f>IF($C105="",0,IF($M105="",0,MAX(0,$M105)*MAX(0,AB$4)/100))</f>
        <v/>
      </c>
      <c r="AC105">
        <f>IF($C105="",0,IF($M105="",0,MAX(0,$M105)*MAX(0,AC$4)/100))</f>
        <v/>
      </c>
      <c r="AD105">
        <f>IF($C105="",0,IF($M105="",0,MAX(0,$M105)*MAX(0,AD$4)/100))</f>
        <v/>
      </c>
      <c r="AE105">
        <f>IF($C105="",0,IF($M105="",0,MAX(0,$M105)*MAX(0,AE$4)/100))</f>
        <v/>
      </c>
      <c r="AF105">
        <f>IF($C105="",0,IF($M105="",0,MAX(0,$M105)*MAX(0,AF$4)/100))</f>
        <v/>
      </c>
      <c r="AG105">
        <f>IF($C105="",0,IF($M105="",0,MAX(0,$M105)*MAX(0,AG$4)/100))</f>
        <v/>
      </c>
      <c r="AH105">
        <f>IF($C105="",0,IF($M105="",0,MAX(0,$M105)*MAX(0,AH$4)/100))</f>
        <v/>
      </c>
      <c r="AI105">
        <f>IF($C105="",0,IF($M105="",0,MAX(0,$M105)*MAX(0,AI$4)/100))</f>
        <v/>
      </c>
      <c r="AJ105">
        <f>IF($C105="",0,MAX(0,MAX(0,N($L105))-$V105))</f>
        <v/>
      </c>
      <c r="AK105">
        <f>IF($C105="",0,MAX(0,$AJ105-$W105))</f>
        <v/>
      </c>
      <c r="AL105">
        <f>IF($C105="",0,MAX(0,$AK105-$X105))</f>
        <v/>
      </c>
      <c r="AM105">
        <f>IF($C105="",0,MAX(0,$AL105-$Y105))</f>
        <v/>
      </c>
      <c r="AN105">
        <f>IF($C105="",0,MAX(0,$AM105-$Z105))</f>
        <v/>
      </c>
      <c r="AO105">
        <f>IF($C105="",0,MAX(0,$AN105-$AA105))</f>
        <v/>
      </c>
      <c r="AP105">
        <f>IF($C105="",0,MAX(0,$AO105-$AB105))</f>
        <v/>
      </c>
      <c r="AQ105">
        <f>IF($C105="",0,MAX(0,$AP105-$AC105))</f>
        <v/>
      </c>
      <c r="AR105">
        <f>IF($C105="",0,MAX(0,$AQ105-$AD105))</f>
        <v/>
      </c>
      <c r="AS105">
        <f>IF($C105="",0,MAX(0,$AR105-$AE105))</f>
        <v/>
      </c>
      <c r="AT105">
        <f>IF($C105="",0,MAX(0,$AS105-$AF105))</f>
        <v/>
      </c>
      <c r="AU105">
        <f>IF($C105="",0,MAX(0,$AT105-$AG105))</f>
        <v/>
      </c>
      <c r="AV105">
        <f>IF($C105="",0,MAX(0,$AU105-$AH105))</f>
        <v/>
      </c>
      <c r="AW105">
        <f>IF($C105="",0,MAX(0,$AV105-$AI105))</f>
        <v/>
      </c>
      <c r="AX105">
        <f>IF($C105="",0,MAX(0,MAX(0,N($L105))+IF($P105=V$3,$R105,0)+IF($S105=V$3,$U105,0)-$V105))</f>
        <v/>
      </c>
      <c r="AY105">
        <f>IF($C105="",0,MAX(0,$AX105+IF($P105=W$3,$R105,0)+IF($S105=W$3,$U105,0)-$W105))</f>
        <v/>
      </c>
      <c r="AZ105">
        <f>IF($C105="",0,MAX(0,$AY105+IF($P105=X$3,$R105,0)+IF($S105=X$3,$U105,0)-$X105))</f>
        <v/>
      </c>
      <c r="BA105">
        <f>IF($C105="",0,MAX(0,$AZ105+IF($P105=Y$3,$R105,0)+IF($S105=Y$3,$U105,0)-$Y105))</f>
        <v/>
      </c>
      <c r="BB105">
        <f>IF($C105="",0,MAX(0,$BA105+IF($P105=Z$3,$R105,0)+IF($S105=Z$3,$U105,0)-$Z105))</f>
        <v/>
      </c>
      <c r="BC105">
        <f>IF($C105="",0,MAX(0,$BB105+IF($P105=AA$3,$R105,0)+IF($S105=AA$3,$U105,0)-$AA105))</f>
        <v/>
      </c>
      <c r="BD105">
        <f>IF($C105="",0,MAX(0,$BC105+IF($P105=AB$3,$R105,0)+IF($S105=AB$3,$U105,0)-$AB105))</f>
        <v/>
      </c>
      <c r="BE105">
        <f>IF($C105="",0,MAX(0,$BD105+IF($P105=AC$3,$R105,0)+IF($S105=AC$3,$U105,0)-$AC105))</f>
        <v/>
      </c>
      <c r="BF105">
        <f>IF($C105="",0,MAX(0,$BE105+IF($P105=AD$3,$R105,0)+IF($S105=AD$3,$U105,0)-$AD105))</f>
        <v/>
      </c>
      <c r="BG105">
        <f>IF($C105="",0,MAX(0,$BF105+IF($P105=AE$3,$R105,0)+IF($S105=AE$3,$U105,0)-$AE105))</f>
        <v/>
      </c>
      <c r="BH105">
        <f>IF($C105="",0,MAX(0,$BG105+IF($P105=AF$3,$R105,0)+IF($S105=AF$3,$U105,0)-$AF105))</f>
        <v/>
      </c>
      <c r="BI105">
        <f>IF($C105="",0,MAX(0,$BH105+IF($P105=AG$3,$R105,0)+IF($S105=AG$3,$U105,0)-$AG105))</f>
        <v/>
      </c>
      <c r="BJ105">
        <f>IF($C105="",0,MAX(0,$BI105+IF($P105=AH$3,$R105,0)+IF($S105=AH$3,$U105,0)-$AH105))</f>
        <v/>
      </c>
      <c r="BK105">
        <f>IF($C105="",0,MAX(0,$BJ105+IF($P105=AI$3,$R105,0)+IF($S105=AI$3,$U105,0)-$AI105))</f>
        <v/>
      </c>
      <c r="BL105">
        <f>IF($C105="",99,IF(AND($AX105&lt;1,V$3&gt;=MAX(N($P105),N($S105))),0,99))</f>
        <v/>
      </c>
      <c r="BM105">
        <f>IF($C105="",99,IF(AND($AY105&lt;1,W$3&gt;=MAX(N($P105),N($S105))),1,99))</f>
        <v/>
      </c>
      <c r="BN105">
        <f>IF($C105="",99,IF(AND($AZ105&lt;1,X$3&gt;=MAX(N($P105),N($S105))),2,99))</f>
        <v/>
      </c>
      <c r="BO105">
        <f>IF($C105="",99,IF(AND($BA105&lt;1,Y$3&gt;=MAX(N($P105),N($S105))),3,99))</f>
        <v/>
      </c>
      <c r="BP105">
        <f>IF($C105="",99,IF(AND($BB105&lt;1,Z$3&gt;=MAX(N($P105),N($S105))),4,99))</f>
        <v/>
      </c>
      <c r="BQ105">
        <f>IF($C105="",99,IF(AND($BC105&lt;1,AA$3&gt;=MAX(N($P105),N($S105))),5,99))</f>
        <v/>
      </c>
      <c r="BR105">
        <f>IF($C105="",99,IF(AND($BD105&lt;1,AB$3&gt;=MAX(N($P105),N($S105))),6,99))</f>
        <v/>
      </c>
      <c r="BS105">
        <f>IF($C105="",99,IF(AND($BE105&lt;1,AC$3&gt;=MAX(N($P105),N($S105))),7,99))</f>
        <v/>
      </c>
      <c r="BT105">
        <f>IF($C105="",99,IF(AND($BF105&lt;1,AD$3&gt;=MAX(N($P105),N($S105))),8,99))</f>
        <v/>
      </c>
      <c r="BU105">
        <f>IF($C105="",99,IF(AND($BG105&lt;1,AE$3&gt;=MAX(N($P105),N($S105))),9,99))</f>
        <v/>
      </c>
      <c r="BV105">
        <f>IF($C105="",99,IF(AND($BH105&lt;1,AF$3&gt;=MAX(N($P105),N($S105))),10,99))</f>
        <v/>
      </c>
      <c r="BW105">
        <f>IF($C105="",99,IF(AND($BI105&lt;1,AG$3&gt;=MAX(N($P105),N($S105))),11,99))</f>
        <v/>
      </c>
      <c r="BX105">
        <f>IF($C105="",99,IF(AND($BJ105&lt;1,AH$3&gt;=MAX(N($P105),N($S105))),12,99))</f>
        <v/>
      </c>
      <c r="BY105">
        <f>IF($C105="",99,IF(AND($BK105&lt;1,AI$3&gt;=MAX(N($P105),N($S105))),13,99))</f>
        <v/>
      </c>
      <c r="BZ105">
        <f>IF(OR($C105="",$M105=""),"",COUNTIF($AJ105:$AW105,"&gt;=1"))</f>
        <v/>
      </c>
      <c r="CA105" s="90">
        <f>IF($BZ105="","",IF($BZ105&gt;=14,"",'設定'!$C$6+$BZ105))</f>
        <v/>
      </c>
      <c r="CB105">
        <f>IF(OR($C105="",$M105=""),"",MIN($BL105:$BY105))</f>
        <v/>
      </c>
      <c r="CC105" s="90">
        <f>IF($CB105="","",IF($CB105&gt;=99,"",'設定'!$C$6+$CB105))</f>
        <v/>
      </c>
      <c r="CD105">
        <f>IF(OR($C105="",$M105=""),"",AVERAGE($V105:$AI105))</f>
        <v/>
      </c>
      <c r="CE105">
        <f>IF($C105="","",IFERROR(IF(MATCH(IF(ISNUMBER($P105),$P105,'設定'!$C$6+N('設定'!$C$7)),$V$3:$AI$3,0)=1,MAX(0,N($L105)),INDEX($AJ105:$AW105,MATCH(IF(ISNUMBER($P105),$P105,'設定'!$C$6+N('設定'!$C$7)),$V$3:$AI$3,0)-1)),""))</f>
        <v/>
      </c>
      <c r="CF105">
        <f>IF(OR($C105="",$O105="",$CE105=""),"",IF($O105-$CE105&lt;=0,0,ROUNDUP(($O105-$CE105)/$G105,0)))</f>
        <v/>
      </c>
      <c r="CG105">
        <f>IF(OR($C105="",$CF105="",NOT(ISNUMBER($Q105))),0,MAX(0,$Q105-$CF105))</f>
        <v/>
      </c>
      <c r="CH105">
        <f>IF(OR($C105="",$O105="",$U105=0),0,IFERROR(ROUNDUP(MAX(0,IF(MATCH($S105,$V$3:$AI$3,0)=1,MAX(0,N($L105)),INDEX($AX105:$BK105,MATCH($S105,$V$3:$AI$3,0)-1))+$U105-$O105)/$G105,0),0))</f>
        <v/>
      </c>
      <c r="CI105">
        <f>IF($C105="","",IF(AND($P105="",$Q105=""),"",IF($P105="","⚠ 入庫日を ▼ から選んでください",IF(NOT(ISNUMBER($P105)),"⚠ 入庫日は ▼ から選んでください",IF($P105&lt;N('設定'!$C$6),"⚠ 入庫日が過去です（もう在庫に入っています）→ 消してください",IF($P105&gt;N('設定'!$C$6)+13,"⚠ 入庫日が14日より先です",IF(N($Q105)&lt;=0,"⚠ 入庫数を入れてください",IF($CG105&gt;0,"⚠ 目安より "&amp;$CG105&amp;" 多い（定数を超える）→ 減らす",""))))))))</f>
        <v/>
      </c>
      <c r="CJ105">
        <f>IF($C105="","",IF(AND($S105="",$T105=""),"",IF($S105="","⚠ 2便目：入庫日を ▼ から選んでください",IF(NOT(ISNUMBER($S105)),"⚠ 2便目：入庫日は ▼ から選んでください",IF($S105&lt;N('設定'!$C$6),"⚠ 2便目：入庫日が過去です（もう在庫に入っています）→ 消してください",IF($S105&gt;N('設定'!$C$6)+13,"⚠ 2便目：入庫日が14日より先です",IF(N($T105)&lt;=0,"⚠ 2便目：入庫数を入れてください",IF($CH105&gt;0,"⚠ 2便目：定数を "&amp;$CH105&amp;" ケース超える → 減らす",""))))))))</f>
        <v/>
      </c>
      <c r="CK105">
        <f>IF(AND($CI105="",N($Q105)&gt;0,ISNUMBER($P105)),1,0)</f>
        <v/>
      </c>
      <c r="CL105">
        <f>IF(AND($CJ105="",N($T105)&gt;0,ISNUMBER($S105)),1,0)</f>
        <v/>
      </c>
      <c r="CM105">
        <f>IF(OR($CK105=1,$CL105=1),1,0)</f>
        <v/>
      </c>
      <c r="CN105">
        <f>IF($C105="",0,($CK105*$R105+$CL105*$U105)*N($H105))</f>
        <v/>
      </c>
      <c r="CO105">
        <f>IF($C105="","",IF($CC105="","入庫後は 14日以上もつ",IF($CC105-N('設定'!$C$7)&lt;='設定'!$C$6,"入庫後も "&amp;TEXT($CC105,"m/d")&amp;"("&amp;CHOOSE(WEEKDAY($CC105),"日","月","火","水","木","金","土")&amp;")"&amp;" に切れる　もう1便を至急発注","入庫後も "&amp;TEXT($CC105,"m/d")&amp;"("&amp;CHOOSE(WEEKDAY($CC105),"日","月","火","水","木","金","土")&amp;")"&amp;" に切れる　"&amp;TEXT($CC105-N('設定'!$C$7),"m/d")&amp;"("&amp;CHOOSE(WEEKDAY($CC105-N('設定'!$C$7)),"日","月","火","水","木","金","土")&amp;")"&amp;" までに次を発注")))</f>
        <v/>
      </c>
      <c r="CP105">
        <f>IF($C105="","",IF('設定'!$C$6="","？ ①在庫を貼る に今日のCSVが貼られていない",IF($CS105=1,"－ 今日のCSVに無い（終売？）",IF($L105&lt;0,"● 在庫がマイナス　数えて「数えた在庫」に入れる",IF($L105=0,"● 在庫なし　至急発注",IF($M105="","？ 減り数が未設定（商品マスタ）",IF($B$3=0,"？ 動員が未入力（動員を入れる）",IF($CA105="","○ 14日以上もつ",IF($BZ105&lt;N('設定'!$C$7),"● "&amp;TEXT($CA105,"m/d")&amp;"("&amp;CHOOSE(WEEKDAY($CA105),"日","月","火","水","木","金","土")&amp;")"&amp;" に切れる　至急発注",IF($BZ105=N('設定'!$C$7),"● "&amp;TEXT($CA105,"m/d")&amp;"("&amp;CHOOSE(WEEKDAY($CA105),"日","月","火","水","木","金","土")&amp;")"&amp;" に切れる　今日発注","△ "&amp;TEXT($CA105,"m/d")&amp;"("&amp;CHOOSE(WEEKDAY($CA105),"日","月","火","水","木","金","土")&amp;")"&amp;" に切れる　"&amp;TEXT($CA105-N('設定'!$C$7),"m/d")&amp;"("&amp;CHOOSE(WEEKDAY($CA105-N('設定'!$C$7)),"日","月","火","水","木","金","土")&amp;")"&amp;" までに発注"))))))))))</f>
        <v/>
      </c>
      <c r="CQ105">
        <f>IF($C105="","",IF(AND($P105="",$Q105="",$S105="",$T105=""),"",IF(AND($P105="",$Q105=""),"⚠ 先に1便目（左の入庫日・入庫数）に入れてください",IF($CI105&lt;&gt;"",$CI105,IF($CJ105&lt;&gt;"",$CJ105,IF($M105="","？ 減り数が未設定（発注書には載ります）",IF($B$3=0,"？ 動員が未入力（発注書には載ります）",IF(AND($CA105&lt;&gt;"",$P105&gt;$CA105),IF($P105&gt;'設定'!$C$6+N('設定'!$C$7),"● "&amp;TEXT($P105,"m/d")&amp;"("&amp;CHOOSE(WEEKDAY($P105),"日","月","火","水","木","金","土")&amp;")"&amp;" の入庫では間に合わない（"&amp;TEXT($CA105,"m/d")&amp;"("&amp;CHOOSE(WEEKDAY($CA105),"日","月","火","水","木","金","土")&amp;")"&amp;" に切れる）　入庫日を早める","△ 欠品 "&amp;TEXT($CA105,"m/d")&amp;"("&amp;CHOOSE(WEEKDAY($CA105),"日","月","火","水","木","金","土")&amp;")"&amp;"〜"&amp;TEXT($P105-1,"m/d")&amp;"("&amp;CHOOSE(WEEKDAY($P105-1),"日","月","火","水","木","金","土")&amp;")"&amp;"　"&amp;$CO105),IF($CC105="","○ "&amp;TEXT($P105,"m/d")&amp;"("&amp;CHOOSE(WEEKDAY($P105),"日","月","火","水","木","金","土")&amp;")"&amp;" 入庫で 14日以上もつ",IF($CC105-N('設定'!$C$7)&lt;='設定'!$C$6,"● 入庫しても "&amp;TEXT($CC105,"m/d")&amp;"("&amp;CHOOSE(WEEKDAY($CC105),"日","月","火","水","木","金","土")&amp;")"&amp;" に切れる　もう1便を至急発注（2便目に入れる）","△ 入庫しても "&amp;TEXT($CC105,"m/d")&amp;"("&amp;CHOOSE(WEEKDAY($CC105),"日","月","火","水","木","金","土")&amp;")"&amp;" に切れる　"&amp;TEXT($CC105-N('設定'!$C$7),"m/d")&amp;"("&amp;CHOOSE(WEEKDAY($CC105-N('設定'!$C$7)),"日","月","火","水","木","金","土")&amp;")"&amp;" までに次を発注（2便目に入れる）"))))))))))</f>
        <v/>
      </c>
      <c r="CR105">
        <f>IF($C105="","",IF($G105&gt;1,"ｹｰｽ("&amp;$G105&amp;"入)","個"))</f>
        <v/>
      </c>
      <c r="CS105">
        <f>IF($C105="",0,IF(COUNTIFS('①在庫を貼る'!$V$6:$V$10005,'設定'!$C$4,'①在庫を貼る'!$W$6:$W$10005,$C105)=0,1,0))</f>
        <v/>
      </c>
      <c r="CT105">
        <f>IF(AND($CK105=1,OR('③発注書'!$C$4="すべて",'③発注書'!$C$4="",$F105='③発注書'!$C$4)),N($CT104)+1,N($CT104))</f>
        <v/>
      </c>
      <c r="CU105">
        <f>IF(AND($CL105=1,OR('③発注書'!$C$4="すべて",'③発注書'!$C$4="",$F105='③発注書'!$C$4)),N($CU104)+1,N($CU104))</f>
        <v/>
      </c>
      <c r="CV105">
        <f>IF($C105="",0,IF(COUNTIFS('①在庫を貼る'!$V$6:$V$10005,'設定'!$C$4,'①在庫を貼る'!$W$6:$W$10005,$C105)&gt;0,1,0))</f>
        <v/>
      </c>
      <c r="CW105">
        <f>IF($C105="",0,IF(COUNTIFS('月1回_1ヶ月前の在庫'!$V$6:$V$10005,'設定'!$C$4,'月1回_1ヶ月前の在庫'!$W$6:$W$10005,$C105)&gt;0,1,0))</f>
        <v/>
      </c>
      <c r="CX105">
        <f>IF($C105="",0,IF(COUNTIFS('月1回_2ヶ月前の在庫'!$V$6:$V$10005,'設定'!$C$4,'月1回_2ヶ月前の在庫'!$W$6:$W$10005,$C105)&gt;0,1,0))</f>
        <v/>
      </c>
      <c r="CY105">
        <f>IF(OR($C105="",'設定'!$C$12=""),"",IF('設定'!$C$13="",IF(AND($CV105=1,$CW105=0),"新商品（今月から）",IF(AND($CV105=0,$CW105=1),"終売（今月から）","")),IF(AND($CV105=1,$CW105=0,$CX105=0),"新商品（今月から）",IF(AND($CV105=1,$CW105=1,$CX105=0),"新商品（先月から）",IF(AND($CV105=0,$CW105=1,$CX105=1),"終売（今月から）",IF(AND($CV105=0,$CW105=0,$CX105=1),"終売（先月から）",IF(AND($CV105=1,$CW105=0,$CX105=1),"復活（先月は無し）","")))))))</f>
        <v/>
      </c>
    </row>
    <row r="106">
      <c r="B106">
        <f>IF(101&lt;='設定'!$C$11,101,"")</f>
        <v/>
      </c>
      <c r="C106">
        <f>IF($B106="","",IF($B106&lt;='設定'!$C$20,INDEX('商品マスタ'!$B$6:$B$1005,MATCH($B106,'商品マスタ'!$M$6:$M$1005,0)),IF($B106&lt;='設定'!$C$20+'設定'!$C$17,INDEX('①在庫を貼る'!$W$6:$W$10005,MATCH($B106-'設定'!$C$20,'①在庫を貼る'!$U$6:$U$10005,0)),IF($B106&lt;='設定'!$C$20+'設定'!$C$17+'設定'!$C$18,INDEX('月1回_1ヶ月前の在庫'!$W$6:$W$10005,MATCH($B106-'設定'!$C$20-'設定'!$C$17,'月1回_1ヶ月前の在庫'!$U$6:$U$10005,0)),INDEX('月1回_2ヶ月前の在庫'!$W$6:$W$10005,MATCH($B106-'設定'!$C$20-'設定'!$C$17-'設定'!$C$18,'月1回_2ヶ月前の在庫'!$U$6:$U$10005,0))))))</f>
        <v/>
      </c>
      <c r="D106">
        <f>IF($C106="","",IFERROR(IF(INDEX('商品マスタ'!$C$6:$C$1005,MATCH($C106,'商品マスタ'!$B$6:$B$1005,0))="",IFERROR(INDEX('①在庫を貼る'!$J$6:$J$10005,MATCH($C106,'①在庫を貼る'!$W$6:$W$10005,0)),IFERROR(INDEX('月1回_1ヶ月前の在庫'!$J$6:$J$10005,MATCH($C106,'月1回_1ヶ月前の在庫'!$W$6:$W$10005,0)),IFERROR(INDEX('月1回_2ヶ月前の在庫'!$J$6:$J$10005,MATCH($C106,'月1回_2ヶ月前の在庫'!$W$6:$W$10005,0)),""))),INDEX('商品マスタ'!$C$6:$C$1005,MATCH($C106,'商品マスタ'!$B$6:$B$1005,0))),IFERROR(INDEX('①在庫を貼る'!$J$6:$J$10005,MATCH($C106,'①在庫を貼る'!$W$6:$W$10005,0)),IFERROR(INDEX('月1回_1ヶ月前の在庫'!$J$6:$J$10005,MATCH($C106,'月1回_1ヶ月前の在庫'!$W$6:$W$10005,0)),IFERROR(INDEX('月1回_2ヶ月前の在庫'!$J$6:$J$10005,MATCH($C106,'月1回_2ヶ月前の在庫'!$W$6:$W$10005,0)),"")))))</f>
        <v/>
      </c>
      <c r="E106">
        <f>IF($C106="","",IFERROR(IF(INDEX('商品マスタ'!$D$6:$D$1005,MATCH($C106,'商品マスタ'!$B$6:$B$1005,0))="",IFERROR(INDEX('①在庫を貼る'!$H$6:$H$10005,MATCH($C106,'①在庫を貼る'!$W$6:$W$10005,0)),IFERROR(INDEX('月1回_1ヶ月前の在庫'!$H$6:$H$10005,MATCH($C106,'月1回_1ヶ月前の在庫'!$W$6:$W$10005,0)),IFERROR(INDEX('月1回_2ヶ月前の在庫'!$H$6:$H$10005,MATCH($C106,'月1回_2ヶ月前の在庫'!$W$6:$W$10005,0)),""))),INDEX('商品マスタ'!$D$6:$D$1005,MATCH($C106,'商品マスタ'!$B$6:$B$1005,0))),IFERROR(INDEX('①在庫を貼る'!$H$6:$H$10005,MATCH($C106,'①在庫を貼る'!$W$6:$W$10005,0)),IFERROR(INDEX('月1回_1ヶ月前の在庫'!$H$6:$H$10005,MATCH($C106,'月1回_1ヶ月前の在庫'!$W$6:$W$10005,0)),IFERROR(INDEX('月1回_2ヶ月前の在庫'!$H$6:$H$10005,MATCH($C106,'月1回_2ヶ月前の在庫'!$W$6:$W$10005,0)),"")))))</f>
        <v/>
      </c>
      <c r="F106">
        <f>IF($C106="","",IFERROR(IF(INDEX('商品マスタ'!$E$6:$E$1005,MATCH($C106,'商品マスタ'!$B$6:$B$1005,0))="",IFERROR(INDEX('①在庫を貼る'!$E$6:$E$10005,MATCH($C106,'①在庫を貼る'!$W$6:$W$10005,0)),IFERROR(INDEX('月1回_1ヶ月前の在庫'!$E$6:$E$10005,MATCH($C106,'月1回_1ヶ月前の在庫'!$W$6:$W$10005,0)),IFERROR(INDEX('月1回_2ヶ月前の在庫'!$E$6:$E$10005,MATCH($C106,'月1回_2ヶ月前の在庫'!$W$6:$W$10005,0)),""))),INDEX('商品マスタ'!$E$6:$E$1005,MATCH($C106,'商品マスタ'!$B$6:$B$1005,0))),IFERROR(INDEX('①在庫を貼る'!$E$6:$E$10005,MATCH($C106,'①在庫を貼る'!$W$6:$W$10005,0)),IFERROR(INDEX('月1回_1ヶ月前の在庫'!$E$6:$E$10005,MATCH($C106,'月1回_1ヶ月前の在庫'!$W$6:$W$10005,0)),IFERROR(INDEX('月1回_2ヶ月前の在庫'!$E$6:$E$10005,MATCH($C106,'月1回_2ヶ月前の在庫'!$W$6:$W$10005,0)),"")))))</f>
        <v/>
      </c>
      <c r="G106">
        <f>IF($C106="","",MAX(1,N(IFERROR(IF(INDEX('商品マスタ'!$F$6:$F$1005,MATCH($C106,'商品マスタ'!$B$6:$B$1005,0))="",IF(COUNTIFS('①在庫を貼る'!$V$6:$V$10005,'設定'!$C$4,'①在庫を貼る'!$W$6:$W$10005,$C106)&gt;0,SUMIFS('①在庫を貼る'!$K$6:$K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K$6:$K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K$6:$K$10005,'月1回_2ヶ月前の在庫'!$V$6:$V$10005,'設定'!$C$4,'月1回_2ヶ月前の在庫'!$W$6:$W$10005,$C106)/COUNTIFS('月1回_2ヶ月前の在庫'!$V$6:$V$10005,'設定'!$C$4,'月1回_2ヶ月前の在庫'!$W$6:$W$10005,$C106),0))),INDEX('商品マスタ'!$F$6:$F$1005,MATCH($C106,'商品マスタ'!$B$6:$B$1005,0))),IF(COUNTIFS('①在庫を貼る'!$V$6:$V$10005,'設定'!$C$4,'①在庫を貼る'!$W$6:$W$10005,$C106)&gt;0,SUMIFS('①在庫を貼る'!$K$6:$K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K$6:$K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K$6:$K$10005,'月1回_2ヶ月前の在庫'!$V$6:$V$10005,'設定'!$C$4,'月1回_2ヶ月前の在庫'!$W$6:$W$10005,$C106)/COUNTIFS('月1回_2ヶ月前の在庫'!$V$6:$V$10005,'設定'!$C$4,'月1回_2ヶ月前の在庫'!$W$6:$W$10005,$C106),0)))))))</f>
        <v/>
      </c>
      <c r="H106">
        <f>IF($C106="","",N(IFERROR(IF(INDEX('商品マスタ'!$G$6:$G$1005,MATCH($C106,'商品マスタ'!$B$6:$B$1005,0))="",IF(COUNTIFS('①在庫を貼る'!$V$6:$V$10005,'設定'!$C$4,'①在庫を貼る'!$W$6:$W$10005,$C106)&gt;0,SUMIFS('①在庫を貼る'!$Q$6:$Q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Q$6:$Q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Q$6:$Q$10005,'月1回_2ヶ月前の在庫'!$V$6:$V$10005,'設定'!$C$4,'月1回_2ヶ月前の在庫'!$W$6:$W$10005,$C106)/COUNTIFS('月1回_2ヶ月前の在庫'!$V$6:$V$10005,'設定'!$C$4,'月1回_2ヶ月前の在庫'!$W$6:$W$10005,$C106),0))),INDEX('商品マスタ'!$G$6:$G$1005,MATCH($C106,'商品マスタ'!$B$6:$B$1005,0))),IF(COUNTIFS('①在庫を貼る'!$V$6:$V$10005,'設定'!$C$4,'①在庫を貼る'!$W$6:$W$10005,$C106)&gt;0,SUMIFS('①在庫を貼る'!$Q$6:$Q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Q$6:$Q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Q$6:$Q$10005,'月1回_2ヶ月前の在庫'!$V$6:$V$10005,'設定'!$C$4,'月1回_2ヶ月前の在庫'!$W$6:$W$10005,$C106)/COUNTIFS('月1回_2ヶ月前の在庫'!$V$6:$V$10005,'設定'!$C$4,'月1回_2ヶ月前の在庫'!$W$6:$W$10005,$C106),0))))))</f>
        <v/>
      </c>
      <c r="I106">
        <f>IF($C106="","",IF(COUNTIFS('①在庫を貼る'!$V$6:$V$10005,'設定'!$C$4,'①在庫を貼る'!$W$6:$W$10005,$C106)=0,"",SUMIFS('①在庫を貼る'!$N$6:$N$10005,'①在庫を貼る'!$V$6:$V$10005,'設定'!$C$4,'①在庫を貼る'!$W$6:$W$10005,$C106)))</f>
        <v/>
      </c>
      <c r="J106">
        <f>IF($C106="","",IF('②発注する'!$AD110="","",'②発注する'!$AD110))</f>
        <v/>
      </c>
      <c r="K106" s="90">
        <f>IF($C106="","",IF('②発注する'!$AE110="","",'②発注する'!$AE110))</f>
        <v/>
      </c>
      <c r="L106">
        <f>IF($C106="","",IF(AND(ISNUMBER($J106),ISNUMBER($K106),$K106&gt;='設定'!$C$6),$J106,N($I106)))</f>
        <v/>
      </c>
      <c r="M106">
        <f>IF($C106="","",IFERROR(IF(N(INDEX('商品マスタ'!$J$6:$J$1005,MATCH($C106,'商品マスタ'!$B$6:$B$1005,0)))&gt;0,INDEX('商品マスタ'!$J$6:$J$1005,MATCH($C106,'商品マスタ'!$B$6:$B$1005,0)),""),""))</f>
        <v/>
      </c>
      <c r="N106">
        <f>IF($C106="","",IFERROR(IF(N(INDEX('商品マスタ'!$H$6:$H$1005,MATCH($C106,'商品マスタ'!$B$6:$B$1005,0)))&gt;0,INDEX('商品マスタ'!$H$6:$H$1005,MATCH($C106,'商品マスタ'!$B$6:$B$1005,0)),""),""))</f>
        <v/>
      </c>
      <c r="O106">
        <f>IF($C106="","",IF($N106&lt;&gt;"",$N106*$G106,IF(N(IF(COUNTIFS('①在庫を貼る'!$V$6:$V$10005,'設定'!$C$4,'①在庫を貼る'!$W$6:$W$10005,$C106)&gt;0,SUMIFS('①在庫を貼る'!$O$6:$O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O$6:$O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O$6:$O$10005,'月1回_2ヶ月前の在庫'!$V$6:$V$10005,'設定'!$C$4,'月1回_2ヶ月前の在庫'!$W$6:$W$10005,$C106)/COUNTIFS('月1回_2ヶ月前の在庫'!$V$6:$V$10005,'設定'!$C$4,'月1回_2ヶ月前の在庫'!$W$6:$W$10005,$C106),0))))&gt;0,N(IF(COUNTIFS('①在庫を貼る'!$V$6:$V$10005,'設定'!$C$4,'①在庫を貼る'!$W$6:$W$10005,$C106)&gt;0,SUMIFS('①在庫を貼る'!$O$6:$O$10005,'①在庫を貼る'!$V$6:$V$10005,'設定'!$C$4,'①在庫を貼る'!$W$6:$W$10005,$C106)/COUNTIFS('①在庫を貼る'!$V$6:$V$10005,'設定'!$C$4,'①在庫を貼る'!$W$6:$W$10005,$C106),IF(COUNTIFS('月1回_1ヶ月前の在庫'!$V$6:$V$10005,'設定'!$C$4,'月1回_1ヶ月前の在庫'!$W$6:$W$10005,$C106)&gt;0,SUMIFS('月1回_1ヶ月前の在庫'!$O$6:$O$10005,'月1回_1ヶ月前の在庫'!$V$6:$V$10005,'設定'!$C$4,'月1回_1ヶ月前の在庫'!$W$6:$W$10005,$C106)/COUNTIFS('月1回_1ヶ月前の在庫'!$V$6:$V$10005,'設定'!$C$4,'月1回_1ヶ月前の在庫'!$W$6:$W$10005,$C106),IF(COUNTIFS('月1回_2ヶ月前の在庫'!$V$6:$V$10005,'設定'!$C$4,'月1回_2ヶ月前の在庫'!$W$6:$W$10005,$C106)&gt;0,SUMIFS('月1回_2ヶ月前の在庫'!$O$6:$O$10005,'月1回_2ヶ月前の在庫'!$V$6:$V$10005,'設定'!$C$4,'月1回_2ヶ月前の在庫'!$W$6:$W$10005,$C106)/COUNTIFS('月1回_2ヶ月前の在庫'!$V$6:$V$10005,'設定'!$C$4,'月1回_2ヶ月前の在庫'!$W$6:$W$10005,$C106),0)))),"")))</f>
        <v/>
      </c>
      <c r="P106" s="90">
        <f>IF($C106="","",IF('②発注する'!$I110="","",'②発注する'!$I110))</f>
        <v/>
      </c>
      <c r="Q106">
        <f>IF($C106="","",IF('②発注する'!$J110="","",'②発注する'!$J110))</f>
        <v/>
      </c>
      <c r="R106">
        <f>IF($C106="",0,IF(AND(ISNUMBER($P106),ISNUMBER($Q106)),MAX(0,$Q106)*$G106,0))</f>
        <v/>
      </c>
      <c r="S106" s="90">
        <f>IF($C106="","",IF('②発注する'!$M110="","",'②発注する'!$M110))</f>
        <v/>
      </c>
      <c r="T106">
        <f>IF($C106="","",IF('②発注する'!$N110="","",'②発注する'!$N110))</f>
        <v/>
      </c>
      <c r="U106">
        <f>IF($C106="",0,IF(AND(ISNUMBER($S106),ISNUMBER($T106)),MAX(0,$T106)*$G106,0))</f>
        <v/>
      </c>
      <c r="V106">
        <f>IF($C106="",0,IF($M106="",0,MAX(0,$M106)*MAX(0,V$4)/100))</f>
        <v/>
      </c>
      <c r="W106">
        <f>IF($C106="",0,IF($M106="",0,MAX(0,$M106)*MAX(0,W$4)/100))</f>
        <v/>
      </c>
      <c r="X106">
        <f>IF($C106="",0,IF($M106="",0,MAX(0,$M106)*MAX(0,X$4)/100))</f>
        <v/>
      </c>
      <c r="Y106">
        <f>IF($C106="",0,IF($M106="",0,MAX(0,$M106)*MAX(0,Y$4)/100))</f>
        <v/>
      </c>
      <c r="Z106">
        <f>IF($C106="",0,IF($M106="",0,MAX(0,$M106)*MAX(0,Z$4)/100))</f>
        <v/>
      </c>
      <c r="AA106">
        <f>IF($C106="",0,IF($M106="",0,MAX(0,$M106)*MAX(0,AA$4)/100))</f>
        <v/>
      </c>
      <c r="AB106">
        <f>IF($C106="",0,IF($M106="",0,MAX(0,$M106)*MAX(0,AB$4)/100))</f>
        <v/>
      </c>
      <c r="AC106">
        <f>IF($C106="",0,IF($M106="",0,MAX(0,$M106)*MAX(0,AC$4)/100))</f>
        <v/>
      </c>
      <c r="AD106">
        <f>IF($C106="",0,IF($M106="",0,MAX(0,$M106)*MAX(0,AD$4)/100))</f>
        <v/>
      </c>
      <c r="AE106">
        <f>IF($C106="",0,IF($M106="",0,MAX(0,$M106)*MAX(0,AE$4)/100))</f>
        <v/>
      </c>
      <c r="AF106">
        <f>IF($C106="",0,IF($M106="",0,MAX(0,$M106)*MAX(0,AF$4)/100))</f>
        <v/>
      </c>
      <c r="AG106">
        <f>IF($C106="",0,IF($M106="",0,MAX(0,$M106)*MAX(0,AG$4)/100))</f>
        <v/>
      </c>
      <c r="AH106">
        <f>IF($C106="",0,IF($M106="",0,MAX(0,$M106)*MAX(0,AH$4)/100))</f>
        <v/>
      </c>
      <c r="AI106">
        <f>IF($C106="",0,IF($M106="",0,MAX(0,$M106)*MAX(0,AI$4)/100))</f>
        <v/>
      </c>
      <c r="AJ106">
        <f>IF($C106="",0,MAX(0,MAX(0,N($L106))-$V106))</f>
        <v/>
      </c>
      <c r="AK106">
        <f>IF($C106="",0,MAX(0,$AJ106-$W106))</f>
        <v/>
      </c>
      <c r="AL106">
        <f>IF($C106="",0,MAX(0,$AK106-$X106))</f>
        <v/>
      </c>
      <c r="AM106">
        <f>IF($C106="",0,MAX(0,$AL106-$Y106))</f>
        <v/>
      </c>
      <c r="AN106">
        <f>IF($C106="",0,MAX(0,$AM106-$Z106))</f>
        <v/>
      </c>
      <c r="AO106">
        <f>IF($C106="",0,MAX(0,$AN106-$AA106))</f>
        <v/>
      </c>
      <c r="AP106">
        <f>IF($C106="",0,MAX(0,$AO106-$AB106))</f>
        <v/>
      </c>
      <c r="AQ106">
        <f>IF($C106="",0,MAX(0,$AP106-$AC106))</f>
        <v/>
      </c>
      <c r="AR106">
        <f>IF($C106="",0,MAX(0,$AQ106-$AD106))</f>
        <v/>
      </c>
      <c r="AS106">
        <f>IF($C106="",0,MAX(0,$AR106-$AE106))</f>
        <v/>
      </c>
      <c r="AT106">
        <f>IF($C106="",0,MAX(0,$AS106-$AF106))</f>
        <v/>
      </c>
      <c r="AU106">
        <f>IF($C106="",0,MAX(0,$AT106-$AG106))</f>
        <v/>
      </c>
      <c r="AV106">
        <f>IF($C106="",0,MAX(0,$AU106-$AH106))</f>
        <v/>
      </c>
      <c r="AW106">
        <f>IF($C106="",0,MAX(0,$AV106-$AI106))</f>
        <v/>
      </c>
      <c r="AX106">
        <f>IF($C106="",0,MAX(0,MAX(0,N($L106))+IF($P106=V$3,$R106,0)+IF($S106=V$3,$U106,0)-$V106))</f>
        <v/>
      </c>
      <c r="AY106">
        <f>IF($C106="",0,MAX(0,$AX106+IF($P106=W$3,$R106,0)+IF($S106=W$3,$U106,0)-$W106))</f>
        <v/>
      </c>
      <c r="AZ106">
        <f>IF($C106="",0,MAX(0,$AY106+IF($P106=X$3,$R106,0)+IF($S106=X$3,$U106,0)-$X106))</f>
        <v/>
      </c>
      <c r="BA106">
        <f>IF($C106="",0,MAX(0,$AZ106+IF($P106=Y$3,$R106,0)+IF($S106=Y$3,$U106,0)-$Y106))</f>
        <v/>
      </c>
      <c r="BB106">
        <f>IF($C106="",0,MAX(0,$BA106+IF($P106=Z$3,$R106,0)+IF($S106=Z$3,$U106,0)-$Z106))</f>
        <v/>
      </c>
      <c r="BC106">
        <f>IF($C106="",0,MAX(0,$BB106+IF($P106=AA$3,$R106,0)+IF($S106=AA$3,$U106,0)-$AA106))</f>
        <v/>
      </c>
      <c r="BD106">
        <f>IF($C106="",0,MAX(0,$BC106+IF($P106=AB$3,$R106,0)+IF($S106=AB$3,$U106,0)-$AB106))</f>
        <v/>
      </c>
      <c r="BE106">
        <f>IF($C106="",0,MAX(0,$BD106+IF($P106=AC$3,$R106,0)+IF($S106=AC$3,$U106,0)-$AC106))</f>
        <v/>
      </c>
      <c r="BF106">
        <f>IF($C106="",0,MAX(0,$BE106+IF($P106=AD$3,$R106,0)+IF($S106=AD$3,$U106,0)-$AD106))</f>
        <v/>
      </c>
      <c r="BG106">
        <f>IF($C106="",0,MAX(0,$BF106+IF($P106=AE$3,$R106,0)+IF($S106=AE$3,$U106,0)-$AE106))</f>
        <v/>
      </c>
      <c r="BH106">
        <f>IF($C106="",0,MAX(0,$BG106+IF($P106=AF$3,$R106,0)+IF($S106=AF$3,$U106,0)-$AF106))</f>
        <v/>
      </c>
      <c r="BI106">
        <f>IF($C106="",0,MAX(0,$BH106+IF($P106=AG$3,$R106,0)+IF($S106=AG$3,$U106,0)-$AG106))</f>
        <v/>
      </c>
      <c r="BJ106">
        <f>IF($C106="",0,MAX(0,$BI106+IF($P106=AH$3,$R106,0)+IF($S106=AH$3,$U106,0)-$AH106))</f>
        <v/>
      </c>
      <c r="BK106">
        <f>IF($C106="",0,MAX(0,$BJ106+IF($P106=AI$3,$R106,0)+IF($S106=AI$3,$U106,0)-$AI106))</f>
        <v/>
      </c>
      <c r="BL106">
        <f>IF($C106="",99,IF(AND($AX106&lt;1,V$3&gt;=MAX(N($P106),N($S106))),0,99))</f>
        <v/>
      </c>
      <c r="BM106">
        <f>IF($C106="",99,IF(AND($AY106&lt;1,W$3&gt;=MAX(N($P106),N($S106))),1,99))</f>
        <v/>
      </c>
      <c r="BN106">
        <f>IF($C106="",99,IF(AND($AZ106&lt;1,X$3&gt;=MAX(N($P106),N($S106))),2,99))</f>
        <v/>
      </c>
      <c r="BO106">
        <f>IF($C106="",99,IF(AND($BA106&lt;1,Y$3&gt;=MAX(N($P106),N($S106))),3,99))</f>
        <v/>
      </c>
      <c r="BP106">
        <f>IF($C106="",99,IF(AND($BB106&lt;1,Z$3&gt;=MAX(N($P106),N($S106))),4,99))</f>
        <v/>
      </c>
      <c r="BQ106">
        <f>IF($C106="",99,IF(AND($BC106&lt;1,AA$3&gt;=MAX(N($P106),N($S106))),5,99))</f>
        <v/>
      </c>
      <c r="BR106">
        <f>IF($C106="",99,IF(AND($BD106&lt;1,AB$3&gt;=MAX(N($P106),N($S106))),6,99))</f>
        <v/>
      </c>
      <c r="BS106">
        <f>IF($C106="",99,IF(AND($BE106&lt;1,AC$3&gt;=MAX(N($P106),N($S106))),7,99))</f>
        <v/>
      </c>
      <c r="BT106">
        <f>IF($C106="",99,IF(AND($BF106&lt;1,AD$3&gt;=MAX(N($P106),N($S106))),8,99))</f>
        <v/>
      </c>
      <c r="BU106">
        <f>IF($C106="",99,IF(AND($BG106&lt;1,AE$3&gt;=MAX(N($P106),N($S106))),9,99))</f>
        <v/>
      </c>
      <c r="BV106">
        <f>IF($C106="",99,IF(AND($BH106&lt;1,AF$3&gt;=MAX(N($P106),N($S106))),10,99))</f>
        <v/>
      </c>
      <c r="BW106">
        <f>IF($C106="",99,IF(AND($BI106&lt;1,AG$3&gt;=MAX(N($P106),N($S106))),11,99))</f>
        <v/>
      </c>
      <c r="BX106">
        <f>IF($C106="",99,IF(AND($BJ106&lt;1,AH$3&gt;=MAX(N($P106),N($S106))),12,99))</f>
        <v/>
      </c>
      <c r="BY106">
        <f>IF($C106="",99,IF(AND($BK106&lt;1,AI$3&gt;=MAX(N($P106),N($S106))),13,99))</f>
        <v/>
      </c>
      <c r="BZ106">
        <f>IF(OR($C106="",$M106=""),"",COUNTIF($AJ106:$AW106,"&gt;=1"))</f>
        <v/>
      </c>
      <c r="CA106" s="90">
        <f>IF($BZ106="","",IF($BZ106&gt;=14,"",'設定'!$C$6+$BZ106))</f>
        <v/>
      </c>
      <c r="CB106">
        <f>IF(OR($C106="",$M106=""),"",MIN($BL106:$BY106))</f>
        <v/>
      </c>
      <c r="CC106" s="90">
        <f>IF($CB106="","",IF($CB106&gt;=99,"",'設定'!$C$6+$CB106))</f>
        <v/>
      </c>
      <c r="CD106">
        <f>IF(OR($C106="",$M106=""),"",AVERAGE($V106:$AI106))</f>
        <v/>
      </c>
      <c r="CE106">
        <f>IF($C106="","",IFERROR(IF(MATCH(IF(ISNUMBER($P106),$P106,'設定'!$C$6+N('設定'!$C$7)),$V$3:$AI$3,0)=1,MAX(0,N($L106)),INDEX($AJ106:$AW106,MATCH(IF(ISNUMBER($P106),$P106,'設定'!$C$6+N('設定'!$C$7)),$V$3:$AI$3,0)-1)),""))</f>
        <v/>
      </c>
      <c r="CF106">
        <f>IF(OR($C106="",$O106="",$CE106=""),"",IF($O106-$CE106&lt;=0,0,ROUNDUP(($O106-$CE106)/$G106,0)))</f>
        <v/>
      </c>
      <c r="CG106">
        <f>IF(OR($C106="",$CF106="",NOT(ISNUMBER($Q106))),0,MAX(0,$Q106-$CF106))</f>
        <v/>
      </c>
      <c r="CH106">
        <f>IF(OR($C106="",$O106="",$U106=0),0,IFERROR(ROUNDUP(MAX(0,IF(MATCH($S106,$V$3:$AI$3,0)=1,MAX(0,N($L106)),INDEX($AX106:$BK106,MATCH($S106,$V$3:$AI$3,0)-1))+$U106-$O106)/$G106,0),0))</f>
        <v/>
      </c>
      <c r="CI106">
        <f>IF($C106="","",IF(AND($P106="",$Q106=""),"",IF($P106="","⚠ 入庫日を ▼ から選んでください",IF(NOT(ISNUMBER($P106)),"⚠ 入庫日は ▼ から選んでください",IF($P106&lt;N('設定'!$C$6),"⚠ 入庫日が過去です（もう在庫に入っています）→ 消してください",IF($P106&gt;N('設定'!$C$6)+13,"⚠ 入庫日が14日より先です",IF(N($Q106)&lt;=0,"⚠ 入庫数を入れてください",IF($CG106&gt;0,"⚠ 目安より "&amp;$CG106&amp;" 多い（定数を超える）→ 減らす",""))))))))</f>
        <v/>
      </c>
      <c r="CJ106">
        <f>IF($C106="","",IF(AND($S106="",$T106=""),"",IF($S106="","⚠ 2便目：入庫日を ▼ から選んでください",IF(NOT(ISNUMBER($S106)),"⚠ 2便目：入庫日は ▼ から選んでください",IF($S106&lt;N('設定'!$C$6),"⚠ 2便目：入庫日が過去です（もう在庫に入っています）→ 消してください",IF($S106&gt;N('設定'!$C$6)+13,"⚠ 2便目：入庫日が14日より先です",IF(N($T106)&lt;=0,"⚠ 2便目：入庫数を入れてください",IF($CH106&gt;0,"⚠ 2便目：定数を "&amp;$CH106&amp;" ケース超える → 減らす",""))))))))</f>
        <v/>
      </c>
      <c r="CK106">
        <f>IF(AND($CI106="",N($Q106)&gt;0,ISNUMBER($P106)),1,0)</f>
        <v/>
      </c>
      <c r="CL106">
        <f>IF(AND($CJ106="",N($T106)&gt;0,ISNUMBER($S106)),1,0)</f>
        <v/>
      </c>
      <c r="CM106">
        <f>IF(OR($CK106=1,$CL106=1),1,0)</f>
        <v/>
      </c>
      <c r="CN106">
        <f>IF($C106="",0,($CK106*$R106+$CL106*$U106)*N($H106))</f>
        <v/>
      </c>
      <c r="CO106">
        <f>IF($C106="","",IF($CC106="","入庫後は 14日以上もつ",IF($CC106-N('設定'!$C$7)&lt;='設定'!$C$6,"入庫後も "&amp;TEXT($CC106,"m/d")&amp;"("&amp;CHOOSE(WEEKDAY($CC106),"日","月","火","水","木","金","土")&amp;")"&amp;" に切れる　もう1便を至急発注","入庫後も "&amp;TEXT($CC106,"m/d")&amp;"("&amp;CHOOSE(WEEKDAY($CC106),"日","月","火","水","木","金","土")&amp;")"&amp;" に切れる　"&amp;TEXT($CC106-N('設定'!$C$7),"m/d")&amp;"("&amp;CHOOSE(WEEKDAY($CC106-N('設定'!$C$7)),"日","月","火","水","木","金","土")&amp;")"&amp;" までに次を発注")))</f>
        <v/>
      </c>
      <c r="CP106">
        <f>IF($C106="","",IF('設定'!$C$6="","？ ①在庫を貼る に今日のCSVが貼られていない",IF($CS106=1,"－ 今日のCSVに無い（終売？）",IF($L106&lt;0,"● 在庫がマイナス　数えて「数えた在庫」に入れる",IF($L106=0,"● 在庫なし　至急発注",IF($M106="","？ 減り数が未設定（商品マスタ）",IF($B$3=0,"？ 動員が未入力（動員を入れる）",IF($CA106="","○ 14日以上もつ",IF($BZ106&lt;N('設定'!$C$7),"● "&amp;TEXT($CA106,"m/d")&amp;"("&amp;CHOOSE(WEEKDAY($CA106),"日","月","火","水","木","金","土")&amp;")"&amp;" に切れる　至急発注",IF($BZ106=N('設定'!$C$7),"● "&amp;TEXT($CA106,"m/d")&amp;"("&amp;CHOOSE(WEEKDAY($CA106),"日","月","火","水","木","金","土")&amp;")"&amp;" に切れる　今日発注","△ "&amp;TEXT($CA106,"m/d")&amp;"("&amp;CHOOSE(WEEKDAY($CA106),"日","月","火","水","木","金","土")&amp;")"&amp;" に切れる　"&amp;TEXT($CA106-N('設定'!$C$7),"m/d")&amp;"("&amp;CHOOSE(WEEKDAY($CA106-N('設定'!$C$7)),"日","月","火","水","木","金","土")&amp;")"&amp;" までに発注"))))))))))</f>
        <v/>
      </c>
      <c r="CQ106">
        <f>IF($C106="","",IF(AND($P106="",$Q106="",$S106="",$T106=""),"",IF(AND($P106="",$Q106=""),"⚠ 先に1便目（左の入庫日・入庫数）に入れてください",IF($CI106&lt;&gt;"",$CI106,IF($CJ106&lt;&gt;"",$CJ106,IF($M106="","？ 減り数が未設定（発注書には載ります）",IF($B$3=0,"？ 動員が未入力（発注書には載ります）",IF(AND($CA106&lt;&gt;"",$P106&gt;$CA106),IF($P106&gt;'設定'!$C$6+N('設定'!$C$7),"● "&amp;TEXT($P106,"m/d")&amp;"("&amp;CHOOSE(WEEKDAY($P106),"日","月","火","水","木","金","土")&amp;")"&amp;" の入庫では間に合わない（"&amp;TEXT($CA106,"m/d")&amp;"("&amp;CHOOSE(WEEKDAY($CA106),"日","月","火","水","木","金","土")&amp;")"&amp;" に切れる）　入庫日を早める","△ 欠品 "&amp;TEXT($CA106,"m/d")&amp;"("&amp;CHOOSE(WEEKDAY($CA106),"日","月","火","水","木","金","土")&amp;")"&amp;"〜"&amp;TEXT($P106-1,"m/d")&amp;"("&amp;CHOOSE(WEEKDAY($P106-1),"日","月","火","水","木","金","土")&amp;")"&amp;"　"&amp;$CO106),IF($CC106="","○ "&amp;TEXT($P106,"m/d")&amp;"("&amp;CHOOSE(WEEKDAY($P106),"日","月","火","水","木","金","土")&amp;")"&amp;" 入庫で 14日以上もつ",IF($CC106-N('設定'!$C$7)&lt;='設定'!$C$6,"● 入庫しても "&amp;TEXT($CC106,"m/d")&amp;"("&amp;CHOOSE(WEEKDAY($CC106),"日","月","火","水","木","金","土")&amp;")"&amp;" に切れる　もう1便を至急発注（2便目に入れる）","△ 入庫しても "&amp;TEXT($CC106,"m/d")&amp;"("&amp;CHOOSE(WEEKDAY($CC106),"日","月","火","水","木","金","土")&amp;")"&amp;" に切れる　"&amp;TEXT($CC106-N('設定'!$C$7),"m/d")&amp;"("&amp;CHOOSE(WEEKDAY($CC106-N('設定'!$C$7)),"日","月","火","水","木","金","土")&amp;")"&amp;" までに次を発注（2便目に入れる）"))))))))))</f>
        <v/>
      </c>
      <c r="CR106">
        <f>IF($C106="","",IF($G106&gt;1,"ｹｰｽ("&amp;$G106&amp;"入)","個"))</f>
        <v/>
      </c>
      <c r="CS106">
        <f>IF($C106="",0,IF(COUNTIFS('①在庫を貼る'!$V$6:$V$10005,'設定'!$C$4,'①在庫を貼る'!$W$6:$W$10005,$C106)=0,1,0))</f>
        <v/>
      </c>
      <c r="CT106">
        <f>IF(AND($CK106=1,OR('③発注書'!$C$4="すべて",'③発注書'!$C$4="",$F106='③発注書'!$C$4)),N($CT105)+1,N($CT105))</f>
        <v/>
      </c>
      <c r="CU106">
        <f>IF(AND($CL106=1,OR('③発注書'!$C$4="すべて",'③発注書'!$C$4="",$F106='③発注書'!$C$4)),N($CU105)+1,N($CU105))</f>
        <v/>
      </c>
      <c r="CV106">
        <f>IF($C106="",0,IF(COUNTIFS('①在庫を貼る'!$V$6:$V$10005,'設定'!$C$4,'①在庫を貼る'!$W$6:$W$10005,$C106)&gt;0,1,0))</f>
        <v/>
      </c>
      <c r="CW106">
        <f>IF($C106="",0,IF(COUNTIFS('月1回_1ヶ月前の在庫'!$V$6:$V$10005,'設定'!$C$4,'月1回_1ヶ月前の在庫'!$W$6:$W$10005,$C106)&gt;0,1,0))</f>
        <v/>
      </c>
      <c r="CX106">
        <f>IF($C106="",0,IF(COUNTIFS('月1回_2ヶ月前の在庫'!$V$6:$V$10005,'設定'!$C$4,'月1回_2ヶ月前の在庫'!$W$6:$W$10005,$C106)&gt;0,1,0))</f>
        <v/>
      </c>
      <c r="CY106">
        <f>IF(OR($C106="",'設定'!$C$12=""),"",IF('設定'!$C$13="",IF(AND($CV106=1,$CW106=0),"新商品（今月から）",IF(AND($CV106=0,$CW106=1),"終売（今月から）","")),IF(AND($CV106=1,$CW106=0,$CX106=0),"新商品（今月から）",IF(AND($CV106=1,$CW106=1,$CX106=0),"新商品（先月から）",IF(AND($CV106=0,$CW106=1,$CX106=1),"終売（今月から）",IF(AND($CV106=0,$CW106=0,$CX106=1),"終売（先月から）",IF(AND($CV106=1,$CW106=0,$CX106=1),"復活（先月は無し）","")))))))</f>
        <v/>
      </c>
    </row>
    <row r="107">
      <c r="B107">
        <f>IF(102&lt;='設定'!$C$11,102,"")</f>
        <v/>
      </c>
      <c r="C107">
        <f>IF($B107="","",IF($B107&lt;='設定'!$C$20,INDEX('商品マスタ'!$B$6:$B$1005,MATCH($B107,'商品マスタ'!$M$6:$M$1005,0)),IF($B107&lt;='設定'!$C$20+'設定'!$C$17,INDEX('①在庫を貼る'!$W$6:$W$10005,MATCH($B107-'設定'!$C$20,'①在庫を貼る'!$U$6:$U$10005,0)),IF($B107&lt;='設定'!$C$20+'設定'!$C$17+'設定'!$C$18,INDEX('月1回_1ヶ月前の在庫'!$W$6:$W$10005,MATCH($B107-'設定'!$C$20-'設定'!$C$17,'月1回_1ヶ月前の在庫'!$U$6:$U$10005,0)),INDEX('月1回_2ヶ月前の在庫'!$W$6:$W$10005,MATCH($B107-'設定'!$C$20-'設定'!$C$17-'設定'!$C$18,'月1回_2ヶ月前の在庫'!$U$6:$U$10005,0))))))</f>
        <v/>
      </c>
      <c r="D107">
        <f>IF($C107="","",IFERROR(IF(INDEX('商品マスタ'!$C$6:$C$1005,MATCH($C107,'商品マスタ'!$B$6:$B$1005,0))="",IFERROR(INDEX('①在庫を貼る'!$J$6:$J$10005,MATCH($C107,'①在庫を貼る'!$W$6:$W$10005,0)),IFERROR(INDEX('月1回_1ヶ月前の在庫'!$J$6:$J$10005,MATCH($C107,'月1回_1ヶ月前の在庫'!$W$6:$W$10005,0)),IFERROR(INDEX('月1回_2ヶ月前の在庫'!$J$6:$J$10005,MATCH($C107,'月1回_2ヶ月前の在庫'!$W$6:$W$10005,0)),""))),INDEX('商品マスタ'!$C$6:$C$1005,MATCH($C107,'商品マスタ'!$B$6:$B$1005,0))),IFERROR(INDEX('①在庫を貼る'!$J$6:$J$10005,MATCH($C107,'①在庫を貼る'!$W$6:$W$10005,0)),IFERROR(INDEX('月1回_1ヶ月前の在庫'!$J$6:$J$10005,MATCH($C107,'月1回_1ヶ月前の在庫'!$W$6:$W$10005,0)),IFERROR(INDEX('月1回_2ヶ月前の在庫'!$J$6:$J$10005,MATCH($C107,'月1回_2ヶ月前の在庫'!$W$6:$W$10005,0)),"")))))</f>
        <v/>
      </c>
      <c r="E107">
        <f>IF($C107="","",IFERROR(IF(INDEX('商品マスタ'!$D$6:$D$1005,MATCH($C107,'商品マスタ'!$B$6:$B$1005,0))="",IFERROR(INDEX('①在庫を貼る'!$H$6:$H$10005,MATCH($C107,'①在庫を貼る'!$W$6:$W$10005,0)),IFERROR(INDEX('月1回_1ヶ月前の在庫'!$H$6:$H$10005,MATCH($C107,'月1回_1ヶ月前の在庫'!$W$6:$W$10005,0)),IFERROR(INDEX('月1回_2ヶ月前の在庫'!$H$6:$H$10005,MATCH($C107,'月1回_2ヶ月前の在庫'!$W$6:$W$10005,0)),""))),INDEX('商品マスタ'!$D$6:$D$1005,MATCH($C107,'商品マスタ'!$B$6:$B$1005,0))),IFERROR(INDEX('①在庫を貼る'!$H$6:$H$10005,MATCH($C107,'①在庫を貼る'!$W$6:$W$10005,0)),IFERROR(INDEX('月1回_1ヶ月前の在庫'!$H$6:$H$10005,MATCH($C107,'月1回_1ヶ月前の在庫'!$W$6:$W$10005,0)),IFERROR(INDEX('月1回_2ヶ月前の在庫'!$H$6:$H$10005,MATCH($C107,'月1回_2ヶ月前の在庫'!$W$6:$W$10005,0)),"")))))</f>
        <v/>
      </c>
      <c r="F107">
        <f>IF($C107="","",IFERROR(IF(INDEX('商品マスタ'!$E$6:$E$1005,MATCH($C107,'商品マスタ'!$B$6:$B$1005,0))="",IFERROR(INDEX('①在庫を貼る'!$E$6:$E$10005,MATCH($C107,'①在庫を貼る'!$W$6:$W$10005,0)),IFERROR(INDEX('月1回_1ヶ月前の在庫'!$E$6:$E$10005,MATCH($C107,'月1回_1ヶ月前の在庫'!$W$6:$W$10005,0)),IFERROR(INDEX('月1回_2ヶ月前の在庫'!$E$6:$E$10005,MATCH($C107,'月1回_2ヶ月前の在庫'!$W$6:$W$10005,0)),""))),INDEX('商品マスタ'!$E$6:$E$1005,MATCH($C107,'商品マスタ'!$B$6:$B$1005,0))),IFERROR(INDEX('①在庫を貼る'!$E$6:$E$10005,MATCH($C107,'①在庫を貼る'!$W$6:$W$10005,0)),IFERROR(INDEX('月1回_1ヶ月前の在庫'!$E$6:$E$10005,MATCH($C107,'月1回_1ヶ月前の在庫'!$W$6:$W$10005,0)),IFERROR(INDEX('月1回_2ヶ月前の在庫'!$E$6:$E$10005,MATCH($C107,'月1回_2ヶ月前の在庫'!$W$6:$W$10005,0)),"")))))</f>
        <v/>
      </c>
      <c r="G107">
        <f>IF($C107="","",MAX(1,N(IFERROR(IF(INDEX('商品マスタ'!$F$6:$F$1005,MATCH($C107,'商品マスタ'!$B$6:$B$1005,0))="",IF(COUNTIFS('①在庫を貼る'!$V$6:$V$10005,'設定'!$C$4,'①在庫を貼る'!$W$6:$W$10005,$C107)&gt;0,SUMIFS('①在庫を貼る'!$K$6:$K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K$6:$K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K$6:$K$10005,'月1回_2ヶ月前の在庫'!$V$6:$V$10005,'設定'!$C$4,'月1回_2ヶ月前の在庫'!$W$6:$W$10005,$C107)/COUNTIFS('月1回_2ヶ月前の在庫'!$V$6:$V$10005,'設定'!$C$4,'月1回_2ヶ月前の在庫'!$W$6:$W$10005,$C107),0))),INDEX('商品マスタ'!$F$6:$F$1005,MATCH($C107,'商品マスタ'!$B$6:$B$1005,0))),IF(COUNTIFS('①在庫を貼る'!$V$6:$V$10005,'設定'!$C$4,'①在庫を貼る'!$W$6:$W$10005,$C107)&gt;0,SUMIFS('①在庫を貼る'!$K$6:$K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K$6:$K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K$6:$K$10005,'月1回_2ヶ月前の在庫'!$V$6:$V$10005,'設定'!$C$4,'月1回_2ヶ月前の在庫'!$W$6:$W$10005,$C107)/COUNTIFS('月1回_2ヶ月前の在庫'!$V$6:$V$10005,'設定'!$C$4,'月1回_2ヶ月前の在庫'!$W$6:$W$10005,$C107),0)))))))</f>
        <v/>
      </c>
      <c r="H107">
        <f>IF($C107="","",N(IFERROR(IF(INDEX('商品マスタ'!$G$6:$G$1005,MATCH($C107,'商品マスタ'!$B$6:$B$1005,0))="",IF(COUNTIFS('①在庫を貼る'!$V$6:$V$10005,'設定'!$C$4,'①在庫を貼る'!$W$6:$W$10005,$C107)&gt;0,SUMIFS('①在庫を貼る'!$Q$6:$Q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Q$6:$Q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Q$6:$Q$10005,'月1回_2ヶ月前の在庫'!$V$6:$V$10005,'設定'!$C$4,'月1回_2ヶ月前の在庫'!$W$6:$W$10005,$C107)/COUNTIFS('月1回_2ヶ月前の在庫'!$V$6:$V$10005,'設定'!$C$4,'月1回_2ヶ月前の在庫'!$W$6:$W$10005,$C107),0))),INDEX('商品マスタ'!$G$6:$G$1005,MATCH($C107,'商品マスタ'!$B$6:$B$1005,0))),IF(COUNTIFS('①在庫を貼る'!$V$6:$V$10005,'設定'!$C$4,'①在庫を貼る'!$W$6:$W$10005,$C107)&gt;0,SUMIFS('①在庫を貼る'!$Q$6:$Q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Q$6:$Q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Q$6:$Q$10005,'月1回_2ヶ月前の在庫'!$V$6:$V$10005,'設定'!$C$4,'月1回_2ヶ月前の在庫'!$W$6:$W$10005,$C107)/COUNTIFS('月1回_2ヶ月前の在庫'!$V$6:$V$10005,'設定'!$C$4,'月1回_2ヶ月前の在庫'!$W$6:$W$10005,$C107),0))))))</f>
        <v/>
      </c>
      <c r="I107">
        <f>IF($C107="","",IF(COUNTIFS('①在庫を貼る'!$V$6:$V$10005,'設定'!$C$4,'①在庫を貼る'!$W$6:$W$10005,$C107)=0,"",SUMIFS('①在庫を貼る'!$N$6:$N$10005,'①在庫を貼る'!$V$6:$V$10005,'設定'!$C$4,'①在庫を貼る'!$W$6:$W$10005,$C107)))</f>
        <v/>
      </c>
      <c r="J107">
        <f>IF($C107="","",IF('②発注する'!$AD111="","",'②発注する'!$AD111))</f>
        <v/>
      </c>
      <c r="K107" s="90">
        <f>IF($C107="","",IF('②発注する'!$AE111="","",'②発注する'!$AE111))</f>
        <v/>
      </c>
      <c r="L107">
        <f>IF($C107="","",IF(AND(ISNUMBER($J107),ISNUMBER($K107),$K107&gt;='設定'!$C$6),$J107,N($I107)))</f>
        <v/>
      </c>
      <c r="M107">
        <f>IF($C107="","",IFERROR(IF(N(INDEX('商品マスタ'!$J$6:$J$1005,MATCH($C107,'商品マスタ'!$B$6:$B$1005,0)))&gt;0,INDEX('商品マスタ'!$J$6:$J$1005,MATCH($C107,'商品マスタ'!$B$6:$B$1005,0)),""),""))</f>
        <v/>
      </c>
      <c r="N107">
        <f>IF($C107="","",IFERROR(IF(N(INDEX('商品マスタ'!$H$6:$H$1005,MATCH($C107,'商品マスタ'!$B$6:$B$1005,0)))&gt;0,INDEX('商品マスタ'!$H$6:$H$1005,MATCH($C107,'商品マスタ'!$B$6:$B$1005,0)),""),""))</f>
        <v/>
      </c>
      <c r="O107">
        <f>IF($C107="","",IF($N107&lt;&gt;"",$N107*$G107,IF(N(IF(COUNTIFS('①在庫を貼る'!$V$6:$V$10005,'設定'!$C$4,'①在庫を貼る'!$W$6:$W$10005,$C107)&gt;0,SUMIFS('①在庫を貼る'!$O$6:$O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O$6:$O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O$6:$O$10005,'月1回_2ヶ月前の在庫'!$V$6:$V$10005,'設定'!$C$4,'月1回_2ヶ月前の在庫'!$W$6:$W$10005,$C107)/COUNTIFS('月1回_2ヶ月前の在庫'!$V$6:$V$10005,'設定'!$C$4,'月1回_2ヶ月前の在庫'!$W$6:$W$10005,$C107),0))))&gt;0,N(IF(COUNTIFS('①在庫を貼る'!$V$6:$V$10005,'設定'!$C$4,'①在庫を貼る'!$W$6:$W$10005,$C107)&gt;0,SUMIFS('①在庫を貼る'!$O$6:$O$10005,'①在庫を貼る'!$V$6:$V$10005,'設定'!$C$4,'①在庫を貼る'!$W$6:$W$10005,$C107)/COUNTIFS('①在庫を貼る'!$V$6:$V$10005,'設定'!$C$4,'①在庫を貼る'!$W$6:$W$10005,$C107),IF(COUNTIFS('月1回_1ヶ月前の在庫'!$V$6:$V$10005,'設定'!$C$4,'月1回_1ヶ月前の在庫'!$W$6:$W$10005,$C107)&gt;0,SUMIFS('月1回_1ヶ月前の在庫'!$O$6:$O$10005,'月1回_1ヶ月前の在庫'!$V$6:$V$10005,'設定'!$C$4,'月1回_1ヶ月前の在庫'!$W$6:$W$10005,$C107)/COUNTIFS('月1回_1ヶ月前の在庫'!$V$6:$V$10005,'設定'!$C$4,'月1回_1ヶ月前の在庫'!$W$6:$W$10005,$C107),IF(COUNTIFS('月1回_2ヶ月前の在庫'!$V$6:$V$10005,'設定'!$C$4,'月1回_2ヶ月前の在庫'!$W$6:$W$10005,$C107)&gt;0,SUMIFS('月1回_2ヶ月前の在庫'!$O$6:$O$10005,'月1回_2ヶ月前の在庫'!$V$6:$V$10005,'設定'!$C$4,'月1回_2ヶ月前の在庫'!$W$6:$W$10005,$C107)/COUNTIFS('月1回_2ヶ月前の在庫'!$V$6:$V$10005,'設定'!$C$4,'月1回_2ヶ月前の在庫'!$W$6:$W$10005,$C107),0)))),"")))</f>
        <v/>
      </c>
      <c r="P107" s="90">
        <f>IF($C107="","",IF('②発注する'!$I111="","",'②発注する'!$I111))</f>
        <v/>
      </c>
      <c r="Q107">
        <f>IF($C107="","",IF('②発注する'!$J111="","",'②発注する'!$J111))</f>
        <v/>
      </c>
      <c r="R107">
        <f>IF($C107="",0,IF(AND(ISNUMBER($P107),ISNUMBER($Q107)),MAX(0,$Q107)*$G107,0))</f>
        <v/>
      </c>
      <c r="S107" s="90">
        <f>IF($C107="","",IF('②発注する'!$M111="","",'②発注する'!$M111))</f>
        <v/>
      </c>
      <c r="T107">
        <f>IF($C107="","",IF('②発注する'!$N111="","",'②発注する'!$N111))</f>
        <v/>
      </c>
      <c r="U107">
        <f>IF($C107="",0,IF(AND(ISNUMBER($S107),ISNUMBER($T107)),MAX(0,$T107)*$G107,0))</f>
        <v/>
      </c>
      <c r="V107">
        <f>IF($C107="",0,IF($M107="",0,MAX(0,$M107)*MAX(0,V$4)/100))</f>
        <v/>
      </c>
      <c r="W107">
        <f>IF($C107="",0,IF($M107="",0,MAX(0,$M107)*MAX(0,W$4)/100))</f>
        <v/>
      </c>
      <c r="X107">
        <f>IF($C107="",0,IF($M107="",0,MAX(0,$M107)*MAX(0,X$4)/100))</f>
        <v/>
      </c>
      <c r="Y107">
        <f>IF($C107="",0,IF($M107="",0,MAX(0,$M107)*MAX(0,Y$4)/100))</f>
        <v/>
      </c>
      <c r="Z107">
        <f>IF($C107="",0,IF($M107="",0,MAX(0,$M107)*MAX(0,Z$4)/100))</f>
        <v/>
      </c>
      <c r="AA107">
        <f>IF($C107="",0,IF($M107="",0,MAX(0,$M107)*MAX(0,AA$4)/100))</f>
        <v/>
      </c>
      <c r="AB107">
        <f>IF($C107="",0,IF($M107="",0,MAX(0,$M107)*MAX(0,AB$4)/100))</f>
        <v/>
      </c>
      <c r="AC107">
        <f>IF($C107="",0,IF($M107="",0,MAX(0,$M107)*MAX(0,AC$4)/100))</f>
        <v/>
      </c>
      <c r="AD107">
        <f>IF($C107="",0,IF($M107="",0,MAX(0,$M107)*MAX(0,AD$4)/100))</f>
        <v/>
      </c>
      <c r="AE107">
        <f>IF($C107="",0,IF($M107="",0,MAX(0,$M107)*MAX(0,AE$4)/100))</f>
        <v/>
      </c>
      <c r="AF107">
        <f>IF($C107="",0,IF($M107="",0,MAX(0,$M107)*MAX(0,AF$4)/100))</f>
        <v/>
      </c>
      <c r="AG107">
        <f>IF($C107="",0,IF($M107="",0,MAX(0,$M107)*MAX(0,AG$4)/100))</f>
        <v/>
      </c>
      <c r="AH107">
        <f>IF($C107="",0,IF($M107="",0,MAX(0,$M107)*MAX(0,AH$4)/100))</f>
        <v/>
      </c>
      <c r="AI107">
        <f>IF($C107="",0,IF($M107="",0,MAX(0,$M107)*MAX(0,AI$4)/100))</f>
        <v/>
      </c>
      <c r="AJ107">
        <f>IF($C107="",0,MAX(0,MAX(0,N($L107))-$V107))</f>
        <v/>
      </c>
      <c r="AK107">
        <f>IF($C107="",0,MAX(0,$AJ107-$W107))</f>
        <v/>
      </c>
      <c r="AL107">
        <f>IF($C107="",0,MAX(0,$AK107-$X107))</f>
        <v/>
      </c>
      <c r="AM107">
        <f>IF($C107="",0,MAX(0,$AL107-$Y107))</f>
        <v/>
      </c>
      <c r="AN107">
        <f>IF($C107="",0,MAX(0,$AM107-$Z107))</f>
        <v/>
      </c>
      <c r="AO107">
        <f>IF($C107="",0,MAX(0,$AN107-$AA107))</f>
        <v/>
      </c>
      <c r="AP107">
        <f>IF($C107="",0,MAX(0,$AO107-$AB107))</f>
        <v/>
      </c>
      <c r="AQ107">
        <f>IF($C107="",0,MAX(0,$AP107-$AC107))</f>
        <v/>
      </c>
      <c r="AR107">
        <f>IF($C107="",0,MAX(0,$AQ107-$AD107))</f>
        <v/>
      </c>
      <c r="AS107">
        <f>IF($C107="",0,MAX(0,$AR107-$AE107))</f>
        <v/>
      </c>
      <c r="AT107">
        <f>IF($C107="",0,MAX(0,$AS107-$AF107))</f>
        <v/>
      </c>
      <c r="AU107">
        <f>IF($C107="",0,MAX(0,$AT107-$AG107))</f>
        <v/>
      </c>
      <c r="AV107">
        <f>IF($C107="",0,MAX(0,$AU107-$AH107))</f>
        <v/>
      </c>
      <c r="AW107">
        <f>IF($C107="",0,MAX(0,$AV107-$AI107))</f>
        <v/>
      </c>
      <c r="AX107">
        <f>IF($C107="",0,MAX(0,MAX(0,N($L107))+IF($P107=V$3,$R107,0)+IF($S107=V$3,$U107,0)-$V107))</f>
        <v/>
      </c>
      <c r="AY107">
        <f>IF($C107="",0,MAX(0,$AX107+IF($P107=W$3,$R107,0)+IF($S107=W$3,$U107,0)-$W107))</f>
        <v/>
      </c>
      <c r="AZ107">
        <f>IF($C107="",0,MAX(0,$AY107+IF($P107=X$3,$R107,0)+IF($S107=X$3,$U107,0)-$X107))</f>
        <v/>
      </c>
      <c r="BA107">
        <f>IF($C107="",0,MAX(0,$AZ107+IF($P107=Y$3,$R107,0)+IF($S107=Y$3,$U107,0)-$Y107))</f>
        <v/>
      </c>
      <c r="BB107">
        <f>IF($C107="",0,MAX(0,$BA107+IF($P107=Z$3,$R107,0)+IF($S107=Z$3,$U107,0)-$Z107))</f>
        <v/>
      </c>
      <c r="BC107">
        <f>IF($C107="",0,MAX(0,$BB107+IF($P107=AA$3,$R107,0)+IF($S107=AA$3,$U107,0)-$AA107))</f>
        <v/>
      </c>
      <c r="BD107">
        <f>IF($C107="",0,MAX(0,$BC107+IF($P107=AB$3,$R107,0)+IF($S107=AB$3,$U107,0)-$AB107))</f>
        <v/>
      </c>
      <c r="BE107">
        <f>IF($C107="",0,MAX(0,$BD107+IF($P107=AC$3,$R107,0)+IF($S107=AC$3,$U107,0)-$AC107))</f>
        <v/>
      </c>
      <c r="BF107">
        <f>IF($C107="",0,MAX(0,$BE107+IF($P107=AD$3,$R107,0)+IF($S107=AD$3,$U107,0)-$AD107))</f>
        <v/>
      </c>
      <c r="BG107">
        <f>IF($C107="",0,MAX(0,$BF107+IF($P107=AE$3,$R107,0)+IF($S107=AE$3,$U107,0)-$AE107))</f>
        <v/>
      </c>
      <c r="BH107">
        <f>IF($C107="",0,MAX(0,$BG107+IF($P107=AF$3,$R107,0)+IF($S107=AF$3,$U107,0)-$AF107))</f>
        <v/>
      </c>
      <c r="BI107">
        <f>IF($C107="",0,MAX(0,$BH107+IF($P107=AG$3,$R107,0)+IF($S107=AG$3,$U107,0)-$AG107))</f>
        <v/>
      </c>
      <c r="BJ107">
        <f>IF($C107="",0,MAX(0,$BI107+IF($P107=AH$3,$R107,0)+IF($S107=AH$3,$U107,0)-$AH107))</f>
        <v/>
      </c>
      <c r="BK107">
        <f>IF($C107="",0,MAX(0,$BJ107+IF($P107=AI$3,$R107,0)+IF($S107=AI$3,$U107,0)-$AI107))</f>
        <v/>
      </c>
      <c r="BL107">
        <f>IF($C107="",99,IF(AND($AX107&lt;1,V$3&gt;=MAX(N($P107),N($S107))),0,99))</f>
        <v/>
      </c>
      <c r="BM107">
        <f>IF($C107="",99,IF(AND($AY107&lt;1,W$3&gt;=MAX(N($P107),N($S107))),1,99))</f>
        <v/>
      </c>
      <c r="BN107">
        <f>IF($C107="",99,IF(AND($AZ107&lt;1,X$3&gt;=MAX(N($P107),N($S107))),2,99))</f>
        <v/>
      </c>
      <c r="BO107">
        <f>IF($C107="",99,IF(AND($BA107&lt;1,Y$3&gt;=MAX(N($P107),N($S107))),3,99))</f>
        <v/>
      </c>
      <c r="BP107">
        <f>IF($C107="",99,IF(AND($BB107&lt;1,Z$3&gt;=MAX(N($P107),N($S107))),4,99))</f>
        <v/>
      </c>
      <c r="BQ107">
        <f>IF($C107="",99,IF(AND($BC107&lt;1,AA$3&gt;=MAX(N($P107),N($S107))),5,99))</f>
        <v/>
      </c>
      <c r="BR107">
        <f>IF($C107="",99,IF(AND($BD107&lt;1,AB$3&gt;=MAX(N($P107),N($S107))),6,99))</f>
        <v/>
      </c>
      <c r="BS107">
        <f>IF($C107="",99,IF(AND($BE107&lt;1,AC$3&gt;=MAX(N($P107),N($S107))),7,99))</f>
        <v/>
      </c>
      <c r="BT107">
        <f>IF($C107="",99,IF(AND($BF107&lt;1,AD$3&gt;=MAX(N($P107),N($S107))),8,99))</f>
        <v/>
      </c>
      <c r="BU107">
        <f>IF($C107="",99,IF(AND($BG107&lt;1,AE$3&gt;=MAX(N($P107),N($S107))),9,99))</f>
        <v/>
      </c>
      <c r="BV107">
        <f>IF($C107="",99,IF(AND($BH107&lt;1,AF$3&gt;=MAX(N($P107),N($S107))),10,99))</f>
        <v/>
      </c>
      <c r="BW107">
        <f>IF($C107="",99,IF(AND($BI107&lt;1,AG$3&gt;=MAX(N($P107),N($S107))),11,99))</f>
        <v/>
      </c>
      <c r="BX107">
        <f>IF($C107="",99,IF(AND($BJ107&lt;1,AH$3&gt;=MAX(N($P107),N($S107))),12,99))</f>
        <v/>
      </c>
      <c r="BY107">
        <f>IF($C107="",99,IF(AND($BK107&lt;1,AI$3&gt;=MAX(N($P107),N($S107))),13,99))</f>
        <v/>
      </c>
      <c r="BZ107">
        <f>IF(OR($C107="",$M107=""),"",COUNTIF($AJ107:$AW107,"&gt;=1"))</f>
        <v/>
      </c>
      <c r="CA107" s="90">
        <f>IF($BZ107="","",IF($BZ107&gt;=14,"",'設定'!$C$6+$BZ107))</f>
        <v/>
      </c>
      <c r="CB107">
        <f>IF(OR($C107="",$M107=""),"",MIN($BL107:$BY107))</f>
        <v/>
      </c>
      <c r="CC107" s="90">
        <f>IF($CB107="","",IF($CB107&gt;=99,"",'設定'!$C$6+$CB107))</f>
        <v/>
      </c>
      <c r="CD107">
        <f>IF(OR($C107="",$M107=""),"",AVERAGE($V107:$AI107))</f>
        <v/>
      </c>
      <c r="CE107">
        <f>IF($C107="","",IFERROR(IF(MATCH(IF(ISNUMBER($P107),$P107,'設定'!$C$6+N('設定'!$C$7)),$V$3:$AI$3,0)=1,MAX(0,N($L107)),INDEX($AJ107:$AW107,MATCH(IF(ISNUMBER($P107),$P107,'設定'!$C$6+N('設定'!$C$7)),$V$3:$AI$3,0)-1)),""))</f>
        <v/>
      </c>
      <c r="CF107">
        <f>IF(OR($C107="",$O107="",$CE107=""),"",IF($O107-$CE107&lt;=0,0,ROUNDUP(($O107-$CE107)/$G107,0)))</f>
        <v/>
      </c>
      <c r="CG107">
        <f>IF(OR($C107="",$CF107="",NOT(ISNUMBER($Q107))),0,MAX(0,$Q107-$CF107))</f>
        <v/>
      </c>
      <c r="CH107">
        <f>IF(OR($C107="",$O107="",$U107=0),0,IFERROR(ROUNDUP(MAX(0,IF(MATCH($S107,$V$3:$AI$3,0)=1,MAX(0,N($L107)),INDEX($AX107:$BK107,MATCH($S107,$V$3:$AI$3,0)-1))+$U107-$O107)/$G107,0),0))</f>
        <v/>
      </c>
      <c r="CI107">
        <f>IF($C107="","",IF(AND($P107="",$Q107=""),"",IF($P107="","⚠ 入庫日を ▼ から選んでください",IF(NOT(ISNUMBER($P107)),"⚠ 入庫日は ▼ から選んでください",IF($P107&lt;N('設定'!$C$6),"⚠ 入庫日が過去です（もう在庫に入っています）→ 消してください",IF($P107&gt;N('設定'!$C$6)+13,"⚠ 入庫日が14日より先です",IF(N($Q107)&lt;=0,"⚠ 入庫数を入れてください",IF($CG107&gt;0,"⚠ 目安より "&amp;$CG107&amp;" 多い（定数を超える）→ 減らす",""))))))))</f>
        <v/>
      </c>
      <c r="CJ107">
        <f>IF($C107="","",IF(AND($S107="",$T107=""),"",IF($S107="","⚠ 2便目：入庫日を ▼ から選んでください",IF(NOT(ISNUMBER($S107)),"⚠ 2便目：入庫日は ▼ から選んでください",IF($S107&lt;N('設定'!$C$6),"⚠ 2便目：入庫日が過去です（もう在庫に入っています）→ 消してください",IF($S107&gt;N('設定'!$C$6)+13,"⚠ 2便目：入庫日が14日より先です",IF(N($T107)&lt;=0,"⚠ 2便目：入庫数を入れてください",IF($CH107&gt;0,"⚠ 2便目：定数を "&amp;$CH107&amp;" ケース超える → 減らす",""))))))))</f>
        <v/>
      </c>
      <c r="CK107">
        <f>IF(AND($CI107="",N($Q107)&gt;0,ISNUMBER($P107)),1,0)</f>
        <v/>
      </c>
      <c r="CL107">
        <f>IF(AND($CJ107="",N($T107)&gt;0,ISNUMBER($S107)),1,0)</f>
        <v/>
      </c>
      <c r="CM107">
        <f>IF(OR($CK107=1,$CL107=1),1,0)</f>
        <v/>
      </c>
      <c r="CN107">
        <f>IF($C107="",0,($CK107*$R107+$CL107*$U107)*N($H107))</f>
        <v/>
      </c>
      <c r="CO107">
        <f>IF($C107="","",IF($CC107="","入庫後は 14日以上もつ",IF($CC107-N('設定'!$C$7)&lt;='設定'!$C$6,"入庫後も "&amp;TEXT($CC107,"m/d")&amp;"("&amp;CHOOSE(WEEKDAY($CC107),"日","月","火","水","木","金","土")&amp;")"&amp;" に切れる　もう1便を至急発注","入庫後も "&amp;TEXT($CC107,"m/d")&amp;"("&amp;CHOOSE(WEEKDAY($CC107),"日","月","火","水","木","金","土")&amp;")"&amp;" に切れる　"&amp;TEXT($CC107-N('設定'!$C$7),"m/d")&amp;"("&amp;CHOOSE(WEEKDAY($CC107-N('設定'!$C$7)),"日","月","火","水","木","金","土")&amp;")"&amp;" までに次を発注")))</f>
        <v/>
      </c>
      <c r="CP107">
        <f>IF($C107="","",IF('設定'!$C$6="","？ ①在庫を貼る に今日のCSVが貼られていない",IF($CS107=1,"－ 今日のCSVに無い（終売？）",IF($L107&lt;0,"● 在庫がマイナス　数えて「数えた在庫」に入れる",IF($L107=0,"● 在庫なし　至急発注",IF($M107="","？ 減り数が未設定（商品マスタ）",IF($B$3=0,"？ 動員が未入力（動員を入れる）",IF($CA107="","○ 14日以上もつ",IF($BZ107&lt;N('設定'!$C$7),"● "&amp;TEXT($CA107,"m/d")&amp;"("&amp;CHOOSE(WEEKDAY($CA107),"日","月","火","水","木","金","土")&amp;")"&amp;" に切れる　至急発注",IF($BZ107=N('設定'!$C$7),"● "&amp;TEXT($CA107,"m/d")&amp;"("&amp;CHOOSE(WEEKDAY($CA107),"日","月","火","水","木","金","土")&amp;")"&amp;" に切れる　今日発注","△ "&amp;TEXT($CA107,"m/d")&amp;"("&amp;CHOOSE(WEEKDAY($CA107),"日","月","火","水","木","金","土")&amp;")"&amp;" に切れる　"&amp;TEXT($CA107-N('設定'!$C$7),"m/d")&amp;"("&amp;CHOOSE(WEEKDAY($CA107-N('設定'!$C$7)),"日","月","火","水","木","金","土")&amp;")"&amp;" までに発注"))))))))))</f>
        <v/>
      </c>
      <c r="CQ107">
        <f>IF($C107="","",IF(AND($P107="",$Q107="",$S107="",$T107=""),"",IF(AND($P107="",$Q107=""),"⚠ 先に1便目（左の入庫日・入庫数）に入れてください",IF($CI107&lt;&gt;"",$CI107,IF($CJ107&lt;&gt;"",$CJ107,IF($M107="","？ 減り数が未設定（発注書には載ります）",IF($B$3=0,"？ 動員が未入力（発注書には載ります）",IF(AND($CA107&lt;&gt;"",$P107&gt;$CA107),IF($P107&gt;'設定'!$C$6+N('設定'!$C$7),"● "&amp;TEXT($P107,"m/d")&amp;"("&amp;CHOOSE(WEEKDAY($P107),"日","月","火","水","木","金","土")&amp;")"&amp;" の入庫では間に合わない（"&amp;TEXT($CA107,"m/d")&amp;"("&amp;CHOOSE(WEEKDAY($CA107),"日","月","火","水","木","金","土")&amp;")"&amp;" に切れる）　入庫日を早める","△ 欠品 "&amp;TEXT($CA107,"m/d")&amp;"("&amp;CHOOSE(WEEKDAY($CA107),"日","月","火","水","木","金","土")&amp;")"&amp;"〜"&amp;TEXT($P107-1,"m/d")&amp;"("&amp;CHOOSE(WEEKDAY($P107-1),"日","月","火","水","木","金","土")&amp;")"&amp;"　"&amp;$CO107),IF($CC107="","○ "&amp;TEXT($P107,"m/d")&amp;"("&amp;CHOOSE(WEEKDAY($P107),"日","月","火","水","木","金","土")&amp;")"&amp;" 入庫で 14日以上もつ",IF($CC107-N('設定'!$C$7)&lt;='設定'!$C$6,"● 入庫しても "&amp;TEXT($CC107,"m/d")&amp;"("&amp;CHOOSE(WEEKDAY($CC107),"日","月","火","水","木","金","土")&amp;")"&amp;" に切れる　もう1便を至急発注（2便目に入れる）","△ 入庫しても "&amp;TEXT($CC107,"m/d")&amp;"("&amp;CHOOSE(WEEKDAY($CC107),"日","月","火","水","木","金","土")&amp;")"&amp;" に切れる　"&amp;TEXT($CC107-N('設定'!$C$7),"m/d")&amp;"("&amp;CHOOSE(WEEKDAY($CC107-N('設定'!$C$7)),"日","月","火","水","木","金","土")&amp;")"&amp;" までに次を発注（2便目に入れる）"))))))))))</f>
        <v/>
      </c>
      <c r="CR107">
        <f>IF($C107="","",IF($G107&gt;1,"ｹｰｽ("&amp;$G107&amp;"入)","個"))</f>
        <v/>
      </c>
      <c r="CS107">
        <f>IF($C107="",0,IF(COUNTIFS('①在庫を貼る'!$V$6:$V$10005,'設定'!$C$4,'①在庫を貼る'!$W$6:$W$10005,$C107)=0,1,0))</f>
        <v/>
      </c>
      <c r="CT107">
        <f>IF(AND($CK107=1,OR('③発注書'!$C$4="すべて",'③発注書'!$C$4="",$F107='③発注書'!$C$4)),N($CT106)+1,N($CT106))</f>
        <v/>
      </c>
      <c r="CU107">
        <f>IF(AND($CL107=1,OR('③発注書'!$C$4="すべて",'③発注書'!$C$4="",$F107='③発注書'!$C$4)),N($CU106)+1,N($CU106))</f>
        <v/>
      </c>
      <c r="CV107">
        <f>IF($C107="",0,IF(COUNTIFS('①在庫を貼る'!$V$6:$V$10005,'設定'!$C$4,'①在庫を貼る'!$W$6:$W$10005,$C107)&gt;0,1,0))</f>
        <v/>
      </c>
      <c r="CW107">
        <f>IF($C107="",0,IF(COUNTIFS('月1回_1ヶ月前の在庫'!$V$6:$V$10005,'設定'!$C$4,'月1回_1ヶ月前の在庫'!$W$6:$W$10005,$C107)&gt;0,1,0))</f>
        <v/>
      </c>
      <c r="CX107">
        <f>IF($C107="",0,IF(COUNTIFS('月1回_2ヶ月前の在庫'!$V$6:$V$10005,'設定'!$C$4,'月1回_2ヶ月前の在庫'!$W$6:$W$10005,$C107)&gt;0,1,0))</f>
        <v/>
      </c>
      <c r="CY107">
        <f>IF(OR($C107="",'設定'!$C$12=""),"",IF('設定'!$C$13="",IF(AND($CV107=1,$CW107=0),"新商品（今月から）",IF(AND($CV107=0,$CW107=1),"終売（今月から）","")),IF(AND($CV107=1,$CW107=0,$CX107=0),"新商品（今月から）",IF(AND($CV107=1,$CW107=1,$CX107=0),"新商品（先月から）",IF(AND($CV107=0,$CW107=1,$CX107=1),"終売（今月から）",IF(AND($CV107=0,$CW107=0,$CX107=1),"終売（先月から）",IF(AND($CV107=1,$CW107=0,$CX107=1),"復活（先月は無し）","")))))))</f>
        <v/>
      </c>
    </row>
    <row r="108">
      <c r="B108">
        <f>IF(103&lt;='設定'!$C$11,103,"")</f>
        <v/>
      </c>
      <c r="C108">
        <f>IF($B108="","",IF($B108&lt;='設定'!$C$20,INDEX('商品マスタ'!$B$6:$B$1005,MATCH($B108,'商品マスタ'!$M$6:$M$1005,0)),IF($B108&lt;='設定'!$C$20+'設定'!$C$17,INDEX('①在庫を貼る'!$W$6:$W$10005,MATCH($B108-'設定'!$C$20,'①在庫を貼る'!$U$6:$U$10005,0)),IF($B108&lt;='設定'!$C$20+'設定'!$C$17+'設定'!$C$18,INDEX('月1回_1ヶ月前の在庫'!$W$6:$W$10005,MATCH($B108-'設定'!$C$20-'設定'!$C$17,'月1回_1ヶ月前の在庫'!$U$6:$U$10005,0)),INDEX('月1回_2ヶ月前の在庫'!$W$6:$W$10005,MATCH($B108-'設定'!$C$20-'設定'!$C$17-'設定'!$C$18,'月1回_2ヶ月前の在庫'!$U$6:$U$10005,0))))))</f>
        <v/>
      </c>
      <c r="D108">
        <f>IF($C108="","",IFERROR(IF(INDEX('商品マスタ'!$C$6:$C$1005,MATCH($C108,'商品マスタ'!$B$6:$B$1005,0))="",IFERROR(INDEX('①在庫を貼る'!$J$6:$J$10005,MATCH($C108,'①在庫を貼る'!$W$6:$W$10005,0)),IFERROR(INDEX('月1回_1ヶ月前の在庫'!$J$6:$J$10005,MATCH($C108,'月1回_1ヶ月前の在庫'!$W$6:$W$10005,0)),IFERROR(INDEX('月1回_2ヶ月前の在庫'!$J$6:$J$10005,MATCH($C108,'月1回_2ヶ月前の在庫'!$W$6:$W$10005,0)),""))),INDEX('商品マスタ'!$C$6:$C$1005,MATCH($C108,'商品マスタ'!$B$6:$B$1005,0))),IFERROR(INDEX('①在庫を貼る'!$J$6:$J$10005,MATCH($C108,'①在庫を貼る'!$W$6:$W$10005,0)),IFERROR(INDEX('月1回_1ヶ月前の在庫'!$J$6:$J$10005,MATCH($C108,'月1回_1ヶ月前の在庫'!$W$6:$W$10005,0)),IFERROR(INDEX('月1回_2ヶ月前の在庫'!$J$6:$J$10005,MATCH($C108,'月1回_2ヶ月前の在庫'!$W$6:$W$10005,0)),"")))))</f>
        <v/>
      </c>
      <c r="E108">
        <f>IF($C108="","",IFERROR(IF(INDEX('商品マスタ'!$D$6:$D$1005,MATCH($C108,'商品マスタ'!$B$6:$B$1005,0))="",IFERROR(INDEX('①在庫を貼る'!$H$6:$H$10005,MATCH($C108,'①在庫を貼る'!$W$6:$W$10005,0)),IFERROR(INDEX('月1回_1ヶ月前の在庫'!$H$6:$H$10005,MATCH($C108,'月1回_1ヶ月前の在庫'!$W$6:$W$10005,0)),IFERROR(INDEX('月1回_2ヶ月前の在庫'!$H$6:$H$10005,MATCH($C108,'月1回_2ヶ月前の在庫'!$W$6:$W$10005,0)),""))),INDEX('商品マスタ'!$D$6:$D$1005,MATCH($C108,'商品マスタ'!$B$6:$B$1005,0))),IFERROR(INDEX('①在庫を貼る'!$H$6:$H$10005,MATCH($C108,'①在庫を貼る'!$W$6:$W$10005,0)),IFERROR(INDEX('月1回_1ヶ月前の在庫'!$H$6:$H$10005,MATCH($C108,'月1回_1ヶ月前の在庫'!$W$6:$W$10005,0)),IFERROR(INDEX('月1回_2ヶ月前の在庫'!$H$6:$H$10005,MATCH($C108,'月1回_2ヶ月前の在庫'!$W$6:$W$10005,0)),"")))))</f>
        <v/>
      </c>
      <c r="F108">
        <f>IF($C108="","",IFERROR(IF(INDEX('商品マスタ'!$E$6:$E$1005,MATCH($C108,'商品マスタ'!$B$6:$B$1005,0))="",IFERROR(INDEX('①在庫を貼る'!$E$6:$E$10005,MATCH($C108,'①在庫を貼る'!$W$6:$W$10005,0)),IFERROR(INDEX('月1回_1ヶ月前の在庫'!$E$6:$E$10005,MATCH($C108,'月1回_1ヶ月前の在庫'!$W$6:$W$10005,0)),IFERROR(INDEX('月1回_2ヶ月前の在庫'!$E$6:$E$10005,MATCH($C108,'月1回_2ヶ月前の在庫'!$W$6:$W$10005,0)),""))),INDEX('商品マスタ'!$E$6:$E$1005,MATCH($C108,'商品マスタ'!$B$6:$B$1005,0))),IFERROR(INDEX('①在庫を貼る'!$E$6:$E$10005,MATCH($C108,'①在庫を貼る'!$W$6:$W$10005,0)),IFERROR(INDEX('月1回_1ヶ月前の在庫'!$E$6:$E$10005,MATCH($C108,'月1回_1ヶ月前の在庫'!$W$6:$W$10005,0)),IFERROR(INDEX('月1回_2ヶ月前の在庫'!$E$6:$E$10005,MATCH($C108,'月1回_2ヶ月前の在庫'!$W$6:$W$10005,0)),"")))))</f>
        <v/>
      </c>
      <c r="G108">
        <f>IF($C108="","",MAX(1,N(IFERROR(IF(INDEX('商品マスタ'!$F$6:$F$1005,MATCH($C108,'商品マスタ'!$B$6:$B$1005,0))="",IF(COUNTIFS('①在庫を貼る'!$V$6:$V$10005,'設定'!$C$4,'①在庫を貼る'!$W$6:$W$10005,$C108)&gt;0,SUMIFS('①在庫を貼る'!$K$6:$K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K$6:$K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K$6:$K$10005,'月1回_2ヶ月前の在庫'!$V$6:$V$10005,'設定'!$C$4,'月1回_2ヶ月前の在庫'!$W$6:$W$10005,$C108)/COUNTIFS('月1回_2ヶ月前の在庫'!$V$6:$V$10005,'設定'!$C$4,'月1回_2ヶ月前の在庫'!$W$6:$W$10005,$C108),0))),INDEX('商品マスタ'!$F$6:$F$1005,MATCH($C108,'商品マスタ'!$B$6:$B$1005,0))),IF(COUNTIFS('①在庫を貼る'!$V$6:$V$10005,'設定'!$C$4,'①在庫を貼る'!$W$6:$W$10005,$C108)&gt;0,SUMIFS('①在庫を貼る'!$K$6:$K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K$6:$K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K$6:$K$10005,'月1回_2ヶ月前の在庫'!$V$6:$V$10005,'設定'!$C$4,'月1回_2ヶ月前の在庫'!$W$6:$W$10005,$C108)/COUNTIFS('月1回_2ヶ月前の在庫'!$V$6:$V$10005,'設定'!$C$4,'月1回_2ヶ月前の在庫'!$W$6:$W$10005,$C108),0)))))))</f>
        <v/>
      </c>
      <c r="H108">
        <f>IF($C108="","",N(IFERROR(IF(INDEX('商品マスタ'!$G$6:$G$1005,MATCH($C108,'商品マスタ'!$B$6:$B$1005,0))="",IF(COUNTIFS('①在庫を貼る'!$V$6:$V$10005,'設定'!$C$4,'①在庫を貼る'!$W$6:$W$10005,$C108)&gt;0,SUMIFS('①在庫を貼る'!$Q$6:$Q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Q$6:$Q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Q$6:$Q$10005,'月1回_2ヶ月前の在庫'!$V$6:$V$10005,'設定'!$C$4,'月1回_2ヶ月前の在庫'!$W$6:$W$10005,$C108)/COUNTIFS('月1回_2ヶ月前の在庫'!$V$6:$V$10005,'設定'!$C$4,'月1回_2ヶ月前の在庫'!$W$6:$W$10005,$C108),0))),INDEX('商品マスタ'!$G$6:$G$1005,MATCH($C108,'商品マスタ'!$B$6:$B$1005,0))),IF(COUNTIFS('①在庫を貼る'!$V$6:$V$10005,'設定'!$C$4,'①在庫を貼る'!$W$6:$W$10005,$C108)&gt;0,SUMIFS('①在庫を貼る'!$Q$6:$Q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Q$6:$Q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Q$6:$Q$10005,'月1回_2ヶ月前の在庫'!$V$6:$V$10005,'設定'!$C$4,'月1回_2ヶ月前の在庫'!$W$6:$W$10005,$C108)/COUNTIFS('月1回_2ヶ月前の在庫'!$V$6:$V$10005,'設定'!$C$4,'月1回_2ヶ月前の在庫'!$W$6:$W$10005,$C108),0))))))</f>
        <v/>
      </c>
      <c r="I108">
        <f>IF($C108="","",IF(COUNTIFS('①在庫を貼る'!$V$6:$V$10005,'設定'!$C$4,'①在庫を貼る'!$W$6:$W$10005,$C108)=0,"",SUMIFS('①在庫を貼る'!$N$6:$N$10005,'①在庫を貼る'!$V$6:$V$10005,'設定'!$C$4,'①在庫を貼る'!$W$6:$W$10005,$C108)))</f>
        <v/>
      </c>
      <c r="J108">
        <f>IF($C108="","",IF('②発注する'!$AD112="","",'②発注する'!$AD112))</f>
        <v/>
      </c>
      <c r="K108" s="90">
        <f>IF($C108="","",IF('②発注する'!$AE112="","",'②発注する'!$AE112))</f>
        <v/>
      </c>
      <c r="L108">
        <f>IF($C108="","",IF(AND(ISNUMBER($J108),ISNUMBER($K108),$K108&gt;='設定'!$C$6),$J108,N($I108)))</f>
        <v/>
      </c>
      <c r="M108">
        <f>IF($C108="","",IFERROR(IF(N(INDEX('商品マスタ'!$J$6:$J$1005,MATCH($C108,'商品マスタ'!$B$6:$B$1005,0)))&gt;0,INDEX('商品マスタ'!$J$6:$J$1005,MATCH($C108,'商品マスタ'!$B$6:$B$1005,0)),""),""))</f>
        <v/>
      </c>
      <c r="N108">
        <f>IF($C108="","",IFERROR(IF(N(INDEX('商品マスタ'!$H$6:$H$1005,MATCH($C108,'商品マスタ'!$B$6:$B$1005,0)))&gt;0,INDEX('商品マスタ'!$H$6:$H$1005,MATCH($C108,'商品マスタ'!$B$6:$B$1005,0)),""),""))</f>
        <v/>
      </c>
      <c r="O108">
        <f>IF($C108="","",IF($N108&lt;&gt;"",$N108*$G108,IF(N(IF(COUNTIFS('①在庫を貼る'!$V$6:$V$10005,'設定'!$C$4,'①在庫を貼る'!$W$6:$W$10005,$C108)&gt;0,SUMIFS('①在庫を貼る'!$O$6:$O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O$6:$O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O$6:$O$10005,'月1回_2ヶ月前の在庫'!$V$6:$V$10005,'設定'!$C$4,'月1回_2ヶ月前の在庫'!$W$6:$W$10005,$C108)/COUNTIFS('月1回_2ヶ月前の在庫'!$V$6:$V$10005,'設定'!$C$4,'月1回_2ヶ月前の在庫'!$W$6:$W$10005,$C108),0))))&gt;0,N(IF(COUNTIFS('①在庫を貼る'!$V$6:$V$10005,'設定'!$C$4,'①在庫を貼る'!$W$6:$W$10005,$C108)&gt;0,SUMIFS('①在庫を貼る'!$O$6:$O$10005,'①在庫を貼る'!$V$6:$V$10005,'設定'!$C$4,'①在庫を貼る'!$W$6:$W$10005,$C108)/COUNTIFS('①在庫を貼る'!$V$6:$V$10005,'設定'!$C$4,'①在庫を貼る'!$W$6:$W$10005,$C108),IF(COUNTIFS('月1回_1ヶ月前の在庫'!$V$6:$V$10005,'設定'!$C$4,'月1回_1ヶ月前の在庫'!$W$6:$W$10005,$C108)&gt;0,SUMIFS('月1回_1ヶ月前の在庫'!$O$6:$O$10005,'月1回_1ヶ月前の在庫'!$V$6:$V$10005,'設定'!$C$4,'月1回_1ヶ月前の在庫'!$W$6:$W$10005,$C108)/COUNTIFS('月1回_1ヶ月前の在庫'!$V$6:$V$10005,'設定'!$C$4,'月1回_1ヶ月前の在庫'!$W$6:$W$10005,$C108),IF(COUNTIFS('月1回_2ヶ月前の在庫'!$V$6:$V$10005,'設定'!$C$4,'月1回_2ヶ月前の在庫'!$W$6:$W$10005,$C108)&gt;0,SUMIFS('月1回_2ヶ月前の在庫'!$O$6:$O$10005,'月1回_2ヶ月前の在庫'!$V$6:$V$10005,'設定'!$C$4,'月1回_2ヶ月前の在庫'!$W$6:$W$10005,$C108)/COUNTIFS('月1回_2ヶ月前の在庫'!$V$6:$V$10005,'設定'!$C$4,'月1回_2ヶ月前の在庫'!$W$6:$W$10005,$C108),0)))),"")))</f>
        <v/>
      </c>
      <c r="P108" s="90">
        <f>IF($C108="","",IF('②発注する'!$I112="","",'②発注する'!$I112))</f>
        <v/>
      </c>
      <c r="Q108">
        <f>IF($C108="","",IF('②発注する'!$J112="","",'②発注する'!$J112))</f>
        <v/>
      </c>
      <c r="R108">
        <f>IF($C108="",0,IF(AND(ISNUMBER($P108),ISNUMBER($Q108)),MAX(0,$Q108)*$G108,0))</f>
        <v/>
      </c>
      <c r="S108" s="90">
        <f>IF($C108="","",IF('②発注する'!$M112="","",'②発注する'!$M112))</f>
        <v/>
      </c>
      <c r="T108">
        <f>IF($C108="","",IF('②発注する'!$N112="","",'②発注する'!$N112))</f>
        <v/>
      </c>
      <c r="U108">
        <f>IF($C108="",0,IF(AND(ISNUMBER($S108),ISNUMBER($T108)),MAX(0,$T108)*$G108,0))</f>
        <v/>
      </c>
      <c r="V108">
        <f>IF($C108="",0,IF($M108="",0,MAX(0,$M108)*MAX(0,V$4)/100))</f>
        <v/>
      </c>
      <c r="W108">
        <f>IF($C108="",0,IF($M108="",0,MAX(0,$M108)*MAX(0,W$4)/100))</f>
        <v/>
      </c>
      <c r="X108">
        <f>IF($C108="",0,IF($M108="",0,MAX(0,$M108)*MAX(0,X$4)/100))</f>
        <v/>
      </c>
      <c r="Y108">
        <f>IF($C108="",0,IF($M108="",0,MAX(0,$M108)*MAX(0,Y$4)/100))</f>
        <v/>
      </c>
      <c r="Z108">
        <f>IF($C108="",0,IF($M108="",0,MAX(0,$M108)*MAX(0,Z$4)/100))</f>
        <v/>
      </c>
      <c r="AA108">
        <f>IF($C108="",0,IF($M108="",0,MAX(0,$M108)*MAX(0,AA$4)/100))</f>
        <v/>
      </c>
      <c r="AB108">
        <f>IF($C108="",0,IF($M108="",0,MAX(0,$M108)*MAX(0,AB$4)/100))</f>
        <v/>
      </c>
      <c r="AC108">
        <f>IF($C108="",0,IF($M108="",0,MAX(0,$M108)*MAX(0,AC$4)/100))</f>
        <v/>
      </c>
      <c r="AD108">
        <f>IF($C108="",0,IF($M108="",0,MAX(0,$M108)*MAX(0,AD$4)/100))</f>
        <v/>
      </c>
      <c r="AE108">
        <f>IF($C108="",0,IF($M108="",0,MAX(0,$M108)*MAX(0,AE$4)/100))</f>
        <v/>
      </c>
      <c r="AF108">
        <f>IF($C108="",0,IF($M108="",0,MAX(0,$M108)*MAX(0,AF$4)/100))</f>
        <v/>
      </c>
      <c r="AG108">
        <f>IF($C108="",0,IF($M108="",0,MAX(0,$M108)*MAX(0,AG$4)/100))</f>
        <v/>
      </c>
      <c r="AH108">
        <f>IF($C108="",0,IF($M108="",0,MAX(0,$M108)*MAX(0,AH$4)/100))</f>
        <v/>
      </c>
      <c r="AI108">
        <f>IF($C108="",0,IF($M108="",0,MAX(0,$M108)*MAX(0,AI$4)/100))</f>
        <v/>
      </c>
      <c r="AJ108">
        <f>IF($C108="",0,MAX(0,MAX(0,N($L108))-$V108))</f>
        <v/>
      </c>
      <c r="AK108">
        <f>IF($C108="",0,MAX(0,$AJ108-$W108))</f>
        <v/>
      </c>
      <c r="AL108">
        <f>IF($C108="",0,MAX(0,$AK108-$X108))</f>
        <v/>
      </c>
      <c r="AM108">
        <f>IF($C108="",0,MAX(0,$AL108-$Y108))</f>
        <v/>
      </c>
      <c r="AN108">
        <f>IF($C108="",0,MAX(0,$AM108-$Z108))</f>
        <v/>
      </c>
      <c r="AO108">
        <f>IF($C108="",0,MAX(0,$AN108-$AA108))</f>
        <v/>
      </c>
      <c r="AP108">
        <f>IF($C108="",0,MAX(0,$AO108-$AB108))</f>
        <v/>
      </c>
      <c r="AQ108">
        <f>IF($C108="",0,MAX(0,$AP108-$AC108))</f>
        <v/>
      </c>
      <c r="AR108">
        <f>IF($C108="",0,MAX(0,$AQ108-$AD108))</f>
        <v/>
      </c>
      <c r="AS108">
        <f>IF($C108="",0,MAX(0,$AR108-$AE108))</f>
        <v/>
      </c>
      <c r="AT108">
        <f>IF($C108="",0,MAX(0,$AS108-$AF108))</f>
        <v/>
      </c>
      <c r="AU108">
        <f>IF($C108="",0,MAX(0,$AT108-$AG108))</f>
        <v/>
      </c>
      <c r="AV108">
        <f>IF($C108="",0,MAX(0,$AU108-$AH108))</f>
        <v/>
      </c>
      <c r="AW108">
        <f>IF($C108="",0,MAX(0,$AV108-$AI108))</f>
        <v/>
      </c>
      <c r="AX108">
        <f>IF($C108="",0,MAX(0,MAX(0,N($L108))+IF($P108=V$3,$R108,0)+IF($S108=V$3,$U108,0)-$V108))</f>
        <v/>
      </c>
      <c r="AY108">
        <f>IF($C108="",0,MAX(0,$AX108+IF($P108=W$3,$R108,0)+IF($S108=W$3,$U108,0)-$W108))</f>
        <v/>
      </c>
      <c r="AZ108">
        <f>IF($C108="",0,MAX(0,$AY108+IF($P108=X$3,$R108,0)+IF($S108=X$3,$U108,0)-$X108))</f>
        <v/>
      </c>
      <c r="BA108">
        <f>IF($C108="",0,MAX(0,$AZ108+IF($P108=Y$3,$R108,0)+IF($S108=Y$3,$U108,0)-$Y108))</f>
        <v/>
      </c>
      <c r="BB108">
        <f>IF($C108="",0,MAX(0,$BA108+IF($P108=Z$3,$R108,0)+IF($S108=Z$3,$U108,0)-$Z108))</f>
        <v/>
      </c>
      <c r="BC108">
        <f>IF($C108="",0,MAX(0,$BB108+IF($P108=AA$3,$R108,0)+IF($S108=AA$3,$U108,0)-$AA108))</f>
        <v/>
      </c>
      <c r="BD108">
        <f>IF($C108="",0,MAX(0,$BC108+IF($P108=AB$3,$R108,0)+IF($S108=AB$3,$U108,0)-$AB108))</f>
        <v/>
      </c>
      <c r="BE108">
        <f>IF($C108="",0,MAX(0,$BD108+IF($P108=AC$3,$R108,0)+IF($S108=AC$3,$U108,0)-$AC108))</f>
        <v/>
      </c>
      <c r="BF108">
        <f>IF($C108="",0,MAX(0,$BE108+IF($P108=AD$3,$R108,0)+IF($S108=AD$3,$U108,0)-$AD108))</f>
        <v/>
      </c>
      <c r="BG108">
        <f>IF($C108="",0,MAX(0,$BF108+IF($P108=AE$3,$R108,0)+IF($S108=AE$3,$U108,0)-$AE108))</f>
        <v/>
      </c>
      <c r="BH108">
        <f>IF($C108="",0,MAX(0,$BG108+IF($P108=AF$3,$R108,0)+IF($S108=AF$3,$U108,0)-$AF108))</f>
        <v/>
      </c>
      <c r="BI108">
        <f>IF($C108="",0,MAX(0,$BH108+IF($P108=AG$3,$R108,0)+IF($S108=AG$3,$U108,0)-$AG108))</f>
        <v/>
      </c>
      <c r="BJ108">
        <f>IF($C108="",0,MAX(0,$BI108+IF($P108=AH$3,$R108,0)+IF($S108=AH$3,$U108,0)-$AH108))</f>
        <v/>
      </c>
      <c r="BK108">
        <f>IF($C108="",0,MAX(0,$BJ108+IF($P108=AI$3,$R108,0)+IF($S108=AI$3,$U108,0)-$AI108))</f>
        <v/>
      </c>
      <c r="BL108">
        <f>IF($C108="",99,IF(AND($AX108&lt;1,V$3&gt;=MAX(N($P108),N($S108))),0,99))</f>
        <v/>
      </c>
      <c r="BM108">
        <f>IF($C108="",99,IF(AND($AY108&lt;1,W$3&gt;=MAX(N($P108),N($S108))),1,99))</f>
        <v/>
      </c>
      <c r="BN108">
        <f>IF($C108="",99,IF(AND($AZ108&lt;1,X$3&gt;=MAX(N($P108),N($S108))),2,99))</f>
        <v/>
      </c>
      <c r="BO108">
        <f>IF($C108="",99,IF(AND($BA108&lt;1,Y$3&gt;=MAX(N($P108),N($S108))),3,99))</f>
        <v/>
      </c>
      <c r="BP108">
        <f>IF($C108="",99,IF(AND($BB108&lt;1,Z$3&gt;=MAX(N($P108),N($S108))),4,99))</f>
        <v/>
      </c>
      <c r="BQ108">
        <f>IF($C108="",99,IF(AND($BC108&lt;1,AA$3&gt;=MAX(N($P108),N($S108))),5,99))</f>
        <v/>
      </c>
      <c r="BR108">
        <f>IF($C108="",99,IF(AND($BD108&lt;1,AB$3&gt;=MAX(N($P108),N($S108))),6,99))</f>
        <v/>
      </c>
      <c r="BS108">
        <f>IF($C108="",99,IF(AND($BE108&lt;1,AC$3&gt;=MAX(N($P108),N($S108))),7,99))</f>
        <v/>
      </c>
      <c r="BT108">
        <f>IF($C108="",99,IF(AND($BF108&lt;1,AD$3&gt;=MAX(N($P108),N($S108))),8,99))</f>
        <v/>
      </c>
      <c r="BU108">
        <f>IF($C108="",99,IF(AND($BG108&lt;1,AE$3&gt;=MAX(N($P108),N($S108))),9,99))</f>
        <v/>
      </c>
      <c r="BV108">
        <f>IF($C108="",99,IF(AND($BH108&lt;1,AF$3&gt;=MAX(N($P108),N($S108))),10,99))</f>
        <v/>
      </c>
      <c r="BW108">
        <f>IF($C108="",99,IF(AND($BI108&lt;1,AG$3&gt;=MAX(N($P108),N($S108))),11,99))</f>
        <v/>
      </c>
      <c r="BX108">
        <f>IF($C108="",99,IF(AND($BJ108&lt;1,AH$3&gt;=MAX(N($P108),N($S108))),12,99))</f>
        <v/>
      </c>
      <c r="BY108">
        <f>IF($C108="",99,IF(AND($BK108&lt;1,AI$3&gt;=MAX(N($P108),N($S108))),13,99))</f>
        <v/>
      </c>
      <c r="BZ108">
        <f>IF(OR($C108="",$M108=""),"",COUNTIF($AJ108:$AW108,"&gt;=1"))</f>
        <v/>
      </c>
      <c r="CA108" s="90">
        <f>IF($BZ108="","",IF($BZ108&gt;=14,"",'設定'!$C$6+$BZ108))</f>
        <v/>
      </c>
      <c r="CB108">
        <f>IF(OR($C108="",$M108=""),"",MIN($BL108:$BY108))</f>
        <v/>
      </c>
      <c r="CC108" s="90">
        <f>IF($CB108="","",IF($CB108&gt;=99,"",'設定'!$C$6+$CB108))</f>
        <v/>
      </c>
      <c r="CD108">
        <f>IF(OR($C108="",$M108=""),"",AVERAGE($V108:$AI108))</f>
        <v/>
      </c>
      <c r="CE108">
        <f>IF($C108="","",IFERROR(IF(MATCH(IF(ISNUMBER($P108),$P108,'設定'!$C$6+N('設定'!$C$7)),$V$3:$AI$3,0)=1,MAX(0,N($L108)),INDEX($AJ108:$AW108,MATCH(IF(ISNUMBER($P108),$P108,'設定'!$C$6+N('設定'!$C$7)),$V$3:$AI$3,0)-1)),""))</f>
        <v/>
      </c>
      <c r="CF108">
        <f>IF(OR($C108="",$O108="",$CE108=""),"",IF($O108-$CE108&lt;=0,0,ROUNDUP(($O108-$CE108)/$G108,0)))</f>
        <v/>
      </c>
      <c r="CG108">
        <f>IF(OR($C108="",$CF108="",NOT(ISNUMBER($Q108))),0,MAX(0,$Q108-$CF108))</f>
        <v/>
      </c>
      <c r="CH108">
        <f>IF(OR($C108="",$O108="",$U108=0),0,IFERROR(ROUNDUP(MAX(0,IF(MATCH($S108,$V$3:$AI$3,0)=1,MAX(0,N($L108)),INDEX($AX108:$BK108,MATCH($S108,$V$3:$AI$3,0)-1))+$U108-$O108)/$G108,0),0))</f>
        <v/>
      </c>
      <c r="CI108">
        <f>IF($C108="","",IF(AND($P108="",$Q108=""),"",IF($P108="","⚠ 入庫日を ▼ から選んでください",IF(NOT(ISNUMBER($P108)),"⚠ 入庫日は ▼ から選んでください",IF($P108&lt;N('設定'!$C$6),"⚠ 入庫日が過去です（もう在庫に入っています）→ 消してください",IF($P108&gt;N('設定'!$C$6)+13,"⚠ 入庫日が14日より先です",IF(N($Q108)&lt;=0,"⚠ 入庫数を入れてください",IF($CG108&gt;0,"⚠ 目安より "&amp;$CG108&amp;" 多い（定数を超える）→ 減らす",""))))))))</f>
        <v/>
      </c>
      <c r="CJ108">
        <f>IF($C108="","",IF(AND($S108="",$T108=""),"",IF($S108="","⚠ 2便目：入庫日を ▼ から選んでください",IF(NOT(ISNUMBER($S108)),"⚠ 2便目：入庫日は ▼ から選んでください",IF($S108&lt;N('設定'!$C$6),"⚠ 2便目：入庫日が過去です（もう在庫に入っています）→ 消してください",IF($S108&gt;N('設定'!$C$6)+13,"⚠ 2便目：入庫日が14日より先です",IF(N($T108)&lt;=0,"⚠ 2便目：入庫数を入れてください",IF($CH108&gt;0,"⚠ 2便目：定数を "&amp;$CH108&amp;" ケース超える → 減らす",""))))))))</f>
        <v/>
      </c>
      <c r="CK108">
        <f>IF(AND($CI108="",N($Q108)&gt;0,ISNUMBER($P108)),1,0)</f>
        <v/>
      </c>
      <c r="CL108">
        <f>IF(AND($CJ108="",N($T108)&gt;0,ISNUMBER($S108)),1,0)</f>
        <v/>
      </c>
      <c r="CM108">
        <f>IF(OR($CK108=1,$CL108=1),1,0)</f>
        <v/>
      </c>
      <c r="CN108">
        <f>IF($C108="",0,($CK108*$R108+$CL108*$U108)*N($H108))</f>
        <v/>
      </c>
      <c r="CO108">
        <f>IF($C108="","",IF($CC108="","入庫後は 14日以上もつ",IF($CC108-N('設定'!$C$7)&lt;='設定'!$C$6,"入庫後も "&amp;TEXT($CC108,"m/d")&amp;"("&amp;CHOOSE(WEEKDAY($CC108),"日","月","火","水","木","金","土")&amp;")"&amp;" に切れる　もう1便を至急発注","入庫後も "&amp;TEXT($CC108,"m/d")&amp;"("&amp;CHOOSE(WEEKDAY($CC108),"日","月","火","水","木","金","土")&amp;")"&amp;" に切れる　"&amp;TEXT($CC108-N('設定'!$C$7),"m/d")&amp;"("&amp;CHOOSE(WEEKDAY($CC108-N('設定'!$C$7)),"日","月","火","水","木","金","土")&amp;")"&amp;" までに次を発注")))</f>
        <v/>
      </c>
      <c r="CP108">
        <f>IF($C108="","",IF('設定'!$C$6="","？ ①在庫を貼る に今日のCSVが貼られていない",IF($CS108=1,"－ 今日のCSVに無い（終売？）",IF($L108&lt;0,"● 在庫がマイナス　数えて「数えた在庫」に入れる",IF($L108=0,"● 在庫なし　至急発注",IF($M108="","？ 減り数が未設定（商品マスタ）",IF($B$3=0,"？ 動員が未入力（動員を入れる）",IF($CA108="","○ 14日以上もつ",IF($BZ108&lt;N('設定'!$C$7),"● "&amp;TEXT($CA108,"m/d")&amp;"("&amp;CHOOSE(WEEKDAY($CA108),"日","月","火","水","木","金","土")&amp;")"&amp;" に切れる　至急発注",IF($BZ108=N('設定'!$C$7),"● "&amp;TEXT($CA108,"m/d")&amp;"("&amp;CHOOSE(WEEKDAY($CA108),"日","月","火","水","木","金","土")&amp;")"&amp;" に切れる　今日発注","△ "&amp;TEXT($CA108,"m/d")&amp;"("&amp;CHOOSE(WEEKDAY($CA108),"日","月","火","水","木","金","土")&amp;")"&amp;" に切れる　"&amp;TEXT($CA108-N('設定'!$C$7),"m/d")&amp;"("&amp;CHOOSE(WEEKDAY($CA108-N('設定'!$C$7)),"日","月","火","水","木","金","土")&amp;")"&amp;" までに発注"))))))))))</f>
        <v/>
      </c>
      <c r="CQ108">
        <f>IF($C108="","",IF(AND($P108="",$Q108="",$S108="",$T108=""),"",IF(AND($P108="",$Q108=""),"⚠ 先に1便目（左の入庫日・入庫数）に入れてください",IF($CI108&lt;&gt;"",$CI108,IF($CJ108&lt;&gt;"",$CJ108,IF($M108="","？ 減り数が未設定（発注書には載ります）",IF($B$3=0,"？ 動員が未入力（発注書には載ります）",IF(AND($CA108&lt;&gt;"",$P108&gt;$CA108),IF($P108&gt;'設定'!$C$6+N('設定'!$C$7),"● "&amp;TEXT($P108,"m/d")&amp;"("&amp;CHOOSE(WEEKDAY($P108),"日","月","火","水","木","金","土")&amp;")"&amp;" の入庫では間に合わない（"&amp;TEXT($CA108,"m/d")&amp;"("&amp;CHOOSE(WEEKDAY($CA108),"日","月","火","水","木","金","土")&amp;")"&amp;" に切れる）　入庫日を早める","△ 欠品 "&amp;TEXT($CA108,"m/d")&amp;"("&amp;CHOOSE(WEEKDAY($CA108),"日","月","火","水","木","金","土")&amp;")"&amp;"〜"&amp;TEXT($P108-1,"m/d")&amp;"("&amp;CHOOSE(WEEKDAY($P108-1),"日","月","火","水","木","金","土")&amp;")"&amp;"　"&amp;$CO108),IF($CC108="","○ "&amp;TEXT($P108,"m/d")&amp;"("&amp;CHOOSE(WEEKDAY($P108),"日","月","火","水","木","金","土")&amp;")"&amp;" 入庫で 14日以上もつ",IF($CC108-N('設定'!$C$7)&lt;='設定'!$C$6,"● 入庫しても "&amp;TEXT($CC108,"m/d")&amp;"("&amp;CHOOSE(WEEKDAY($CC108),"日","月","火","水","木","金","土")&amp;")"&amp;" に切れる　もう1便を至急発注（2便目に入れる）","△ 入庫しても "&amp;TEXT($CC108,"m/d")&amp;"("&amp;CHOOSE(WEEKDAY($CC108),"日","月","火","水","木","金","土")&amp;")"&amp;" に切れる　"&amp;TEXT($CC108-N('設定'!$C$7),"m/d")&amp;"("&amp;CHOOSE(WEEKDAY($CC108-N('設定'!$C$7)),"日","月","火","水","木","金","土")&amp;")"&amp;" までに次を発注（2便目に入れる）"))))))))))</f>
        <v/>
      </c>
      <c r="CR108">
        <f>IF($C108="","",IF($G108&gt;1,"ｹｰｽ("&amp;$G108&amp;"入)","個"))</f>
        <v/>
      </c>
      <c r="CS108">
        <f>IF($C108="",0,IF(COUNTIFS('①在庫を貼る'!$V$6:$V$10005,'設定'!$C$4,'①在庫を貼る'!$W$6:$W$10005,$C108)=0,1,0))</f>
        <v/>
      </c>
      <c r="CT108">
        <f>IF(AND($CK108=1,OR('③発注書'!$C$4="すべて",'③発注書'!$C$4="",$F108='③発注書'!$C$4)),N($CT107)+1,N($CT107))</f>
        <v/>
      </c>
      <c r="CU108">
        <f>IF(AND($CL108=1,OR('③発注書'!$C$4="すべて",'③発注書'!$C$4="",$F108='③発注書'!$C$4)),N($CU107)+1,N($CU107))</f>
        <v/>
      </c>
      <c r="CV108">
        <f>IF($C108="",0,IF(COUNTIFS('①在庫を貼る'!$V$6:$V$10005,'設定'!$C$4,'①在庫を貼る'!$W$6:$W$10005,$C108)&gt;0,1,0))</f>
        <v/>
      </c>
      <c r="CW108">
        <f>IF($C108="",0,IF(COUNTIFS('月1回_1ヶ月前の在庫'!$V$6:$V$10005,'設定'!$C$4,'月1回_1ヶ月前の在庫'!$W$6:$W$10005,$C108)&gt;0,1,0))</f>
        <v/>
      </c>
      <c r="CX108">
        <f>IF($C108="",0,IF(COUNTIFS('月1回_2ヶ月前の在庫'!$V$6:$V$10005,'設定'!$C$4,'月1回_2ヶ月前の在庫'!$W$6:$W$10005,$C108)&gt;0,1,0))</f>
        <v/>
      </c>
      <c r="CY108">
        <f>IF(OR($C108="",'設定'!$C$12=""),"",IF('設定'!$C$13="",IF(AND($CV108=1,$CW108=0),"新商品（今月から）",IF(AND($CV108=0,$CW108=1),"終売（今月から）","")),IF(AND($CV108=1,$CW108=0,$CX108=0),"新商品（今月から）",IF(AND($CV108=1,$CW108=1,$CX108=0),"新商品（先月から）",IF(AND($CV108=0,$CW108=1,$CX108=1),"終売（今月から）",IF(AND($CV108=0,$CW108=0,$CX108=1),"終売（先月から）",IF(AND($CV108=1,$CW108=0,$CX108=1),"復活（先月は無し）","")))))))</f>
        <v/>
      </c>
    </row>
    <row r="109">
      <c r="B109">
        <f>IF(104&lt;='設定'!$C$11,104,"")</f>
        <v/>
      </c>
      <c r="C109">
        <f>IF($B109="","",IF($B109&lt;='設定'!$C$20,INDEX('商品マスタ'!$B$6:$B$1005,MATCH($B109,'商品マスタ'!$M$6:$M$1005,0)),IF($B109&lt;='設定'!$C$20+'設定'!$C$17,INDEX('①在庫を貼る'!$W$6:$W$10005,MATCH($B109-'設定'!$C$20,'①在庫を貼る'!$U$6:$U$10005,0)),IF($B109&lt;='設定'!$C$20+'設定'!$C$17+'設定'!$C$18,INDEX('月1回_1ヶ月前の在庫'!$W$6:$W$10005,MATCH($B109-'設定'!$C$20-'設定'!$C$17,'月1回_1ヶ月前の在庫'!$U$6:$U$10005,0)),INDEX('月1回_2ヶ月前の在庫'!$W$6:$W$10005,MATCH($B109-'設定'!$C$20-'設定'!$C$17-'設定'!$C$18,'月1回_2ヶ月前の在庫'!$U$6:$U$10005,0))))))</f>
        <v/>
      </c>
      <c r="D109">
        <f>IF($C109="","",IFERROR(IF(INDEX('商品マスタ'!$C$6:$C$1005,MATCH($C109,'商品マスタ'!$B$6:$B$1005,0))="",IFERROR(INDEX('①在庫を貼る'!$J$6:$J$10005,MATCH($C109,'①在庫を貼る'!$W$6:$W$10005,0)),IFERROR(INDEX('月1回_1ヶ月前の在庫'!$J$6:$J$10005,MATCH($C109,'月1回_1ヶ月前の在庫'!$W$6:$W$10005,0)),IFERROR(INDEX('月1回_2ヶ月前の在庫'!$J$6:$J$10005,MATCH($C109,'月1回_2ヶ月前の在庫'!$W$6:$W$10005,0)),""))),INDEX('商品マスタ'!$C$6:$C$1005,MATCH($C109,'商品マスタ'!$B$6:$B$1005,0))),IFERROR(INDEX('①在庫を貼る'!$J$6:$J$10005,MATCH($C109,'①在庫を貼る'!$W$6:$W$10005,0)),IFERROR(INDEX('月1回_1ヶ月前の在庫'!$J$6:$J$10005,MATCH($C109,'月1回_1ヶ月前の在庫'!$W$6:$W$10005,0)),IFERROR(INDEX('月1回_2ヶ月前の在庫'!$J$6:$J$10005,MATCH($C109,'月1回_2ヶ月前の在庫'!$W$6:$W$10005,0)),"")))))</f>
        <v/>
      </c>
      <c r="E109">
        <f>IF($C109="","",IFERROR(IF(INDEX('商品マスタ'!$D$6:$D$1005,MATCH($C109,'商品マスタ'!$B$6:$B$1005,0))="",IFERROR(INDEX('①在庫を貼る'!$H$6:$H$10005,MATCH($C109,'①在庫を貼る'!$W$6:$W$10005,0)),IFERROR(INDEX('月1回_1ヶ月前の在庫'!$H$6:$H$10005,MATCH($C109,'月1回_1ヶ月前の在庫'!$W$6:$W$10005,0)),IFERROR(INDEX('月1回_2ヶ月前の在庫'!$H$6:$H$10005,MATCH($C109,'月1回_2ヶ月前の在庫'!$W$6:$W$10005,0)),""))),INDEX('商品マスタ'!$D$6:$D$1005,MATCH($C109,'商品マスタ'!$B$6:$B$1005,0))),IFERROR(INDEX('①在庫を貼る'!$H$6:$H$10005,MATCH($C109,'①在庫を貼る'!$W$6:$W$10005,0)),IFERROR(INDEX('月1回_1ヶ月前の在庫'!$H$6:$H$10005,MATCH($C109,'月1回_1ヶ月前の在庫'!$W$6:$W$10005,0)),IFERROR(INDEX('月1回_2ヶ月前の在庫'!$H$6:$H$10005,MATCH($C109,'月1回_2ヶ月前の在庫'!$W$6:$W$10005,0)),"")))))</f>
        <v/>
      </c>
      <c r="F109">
        <f>IF($C109="","",IFERROR(IF(INDEX('商品マスタ'!$E$6:$E$1005,MATCH($C109,'商品マスタ'!$B$6:$B$1005,0))="",IFERROR(INDEX('①在庫を貼る'!$E$6:$E$10005,MATCH($C109,'①在庫を貼る'!$W$6:$W$10005,0)),IFERROR(INDEX('月1回_1ヶ月前の在庫'!$E$6:$E$10005,MATCH($C109,'月1回_1ヶ月前の在庫'!$W$6:$W$10005,0)),IFERROR(INDEX('月1回_2ヶ月前の在庫'!$E$6:$E$10005,MATCH($C109,'月1回_2ヶ月前の在庫'!$W$6:$W$10005,0)),""))),INDEX('商品マスタ'!$E$6:$E$1005,MATCH($C109,'商品マスタ'!$B$6:$B$1005,0))),IFERROR(INDEX('①在庫を貼る'!$E$6:$E$10005,MATCH($C109,'①在庫を貼る'!$W$6:$W$10005,0)),IFERROR(INDEX('月1回_1ヶ月前の在庫'!$E$6:$E$10005,MATCH($C109,'月1回_1ヶ月前の在庫'!$W$6:$W$10005,0)),IFERROR(INDEX('月1回_2ヶ月前の在庫'!$E$6:$E$10005,MATCH($C109,'月1回_2ヶ月前の在庫'!$W$6:$W$10005,0)),"")))))</f>
        <v/>
      </c>
      <c r="G109">
        <f>IF($C109="","",MAX(1,N(IFERROR(IF(INDEX('商品マスタ'!$F$6:$F$1005,MATCH($C109,'商品マスタ'!$B$6:$B$1005,0))="",IF(COUNTIFS('①在庫を貼る'!$V$6:$V$10005,'設定'!$C$4,'①在庫を貼る'!$W$6:$W$10005,$C109)&gt;0,SUMIFS('①在庫を貼る'!$K$6:$K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K$6:$K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K$6:$K$10005,'月1回_2ヶ月前の在庫'!$V$6:$V$10005,'設定'!$C$4,'月1回_2ヶ月前の在庫'!$W$6:$W$10005,$C109)/COUNTIFS('月1回_2ヶ月前の在庫'!$V$6:$V$10005,'設定'!$C$4,'月1回_2ヶ月前の在庫'!$W$6:$W$10005,$C109),0))),INDEX('商品マスタ'!$F$6:$F$1005,MATCH($C109,'商品マスタ'!$B$6:$B$1005,0))),IF(COUNTIFS('①在庫を貼る'!$V$6:$V$10005,'設定'!$C$4,'①在庫を貼る'!$W$6:$W$10005,$C109)&gt;0,SUMIFS('①在庫を貼る'!$K$6:$K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K$6:$K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K$6:$K$10005,'月1回_2ヶ月前の在庫'!$V$6:$V$10005,'設定'!$C$4,'月1回_2ヶ月前の在庫'!$W$6:$W$10005,$C109)/COUNTIFS('月1回_2ヶ月前の在庫'!$V$6:$V$10005,'設定'!$C$4,'月1回_2ヶ月前の在庫'!$W$6:$W$10005,$C109),0)))))))</f>
        <v/>
      </c>
      <c r="H109">
        <f>IF($C109="","",N(IFERROR(IF(INDEX('商品マスタ'!$G$6:$G$1005,MATCH($C109,'商品マスタ'!$B$6:$B$1005,0))="",IF(COUNTIFS('①在庫を貼る'!$V$6:$V$10005,'設定'!$C$4,'①在庫を貼る'!$W$6:$W$10005,$C109)&gt;0,SUMIFS('①在庫を貼る'!$Q$6:$Q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Q$6:$Q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Q$6:$Q$10005,'月1回_2ヶ月前の在庫'!$V$6:$V$10005,'設定'!$C$4,'月1回_2ヶ月前の在庫'!$W$6:$W$10005,$C109)/COUNTIFS('月1回_2ヶ月前の在庫'!$V$6:$V$10005,'設定'!$C$4,'月1回_2ヶ月前の在庫'!$W$6:$W$10005,$C109),0))),INDEX('商品マスタ'!$G$6:$G$1005,MATCH($C109,'商品マスタ'!$B$6:$B$1005,0))),IF(COUNTIFS('①在庫を貼る'!$V$6:$V$10005,'設定'!$C$4,'①在庫を貼る'!$W$6:$W$10005,$C109)&gt;0,SUMIFS('①在庫を貼る'!$Q$6:$Q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Q$6:$Q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Q$6:$Q$10005,'月1回_2ヶ月前の在庫'!$V$6:$V$10005,'設定'!$C$4,'月1回_2ヶ月前の在庫'!$W$6:$W$10005,$C109)/COUNTIFS('月1回_2ヶ月前の在庫'!$V$6:$V$10005,'設定'!$C$4,'月1回_2ヶ月前の在庫'!$W$6:$W$10005,$C109),0))))))</f>
        <v/>
      </c>
      <c r="I109">
        <f>IF($C109="","",IF(COUNTIFS('①在庫を貼る'!$V$6:$V$10005,'設定'!$C$4,'①在庫を貼る'!$W$6:$W$10005,$C109)=0,"",SUMIFS('①在庫を貼る'!$N$6:$N$10005,'①在庫を貼る'!$V$6:$V$10005,'設定'!$C$4,'①在庫を貼る'!$W$6:$W$10005,$C109)))</f>
        <v/>
      </c>
      <c r="J109">
        <f>IF($C109="","",IF('②発注する'!$AD113="","",'②発注する'!$AD113))</f>
        <v/>
      </c>
      <c r="K109" s="90">
        <f>IF($C109="","",IF('②発注する'!$AE113="","",'②発注する'!$AE113))</f>
        <v/>
      </c>
      <c r="L109">
        <f>IF($C109="","",IF(AND(ISNUMBER($J109),ISNUMBER($K109),$K109&gt;='設定'!$C$6),$J109,N($I109)))</f>
        <v/>
      </c>
      <c r="M109">
        <f>IF($C109="","",IFERROR(IF(N(INDEX('商品マスタ'!$J$6:$J$1005,MATCH($C109,'商品マスタ'!$B$6:$B$1005,0)))&gt;0,INDEX('商品マスタ'!$J$6:$J$1005,MATCH($C109,'商品マスタ'!$B$6:$B$1005,0)),""),""))</f>
        <v/>
      </c>
      <c r="N109">
        <f>IF($C109="","",IFERROR(IF(N(INDEX('商品マスタ'!$H$6:$H$1005,MATCH($C109,'商品マスタ'!$B$6:$B$1005,0)))&gt;0,INDEX('商品マスタ'!$H$6:$H$1005,MATCH($C109,'商品マスタ'!$B$6:$B$1005,0)),""),""))</f>
        <v/>
      </c>
      <c r="O109">
        <f>IF($C109="","",IF($N109&lt;&gt;"",$N109*$G109,IF(N(IF(COUNTIFS('①在庫を貼る'!$V$6:$V$10005,'設定'!$C$4,'①在庫を貼る'!$W$6:$W$10005,$C109)&gt;0,SUMIFS('①在庫を貼る'!$O$6:$O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O$6:$O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O$6:$O$10005,'月1回_2ヶ月前の在庫'!$V$6:$V$10005,'設定'!$C$4,'月1回_2ヶ月前の在庫'!$W$6:$W$10005,$C109)/COUNTIFS('月1回_2ヶ月前の在庫'!$V$6:$V$10005,'設定'!$C$4,'月1回_2ヶ月前の在庫'!$W$6:$W$10005,$C109),0))))&gt;0,N(IF(COUNTIFS('①在庫を貼る'!$V$6:$V$10005,'設定'!$C$4,'①在庫を貼る'!$W$6:$W$10005,$C109)&gt;0,SUMIFS('①在庫を貼る'!$O$6:$O$10005,'①在庫を貼る'!$V$6:$V$10005,'設定'!$C$4,'①在庫を貼る'!$W$6:$W$10005,$C109)/COUNTIFS('①在庫を貼る'!$V$6:$V$10005,'設定'!$C$4,'①在庫を貼る'!$W$6:$W$10005,$C109),IF(COUNTIFS('月1回_1ヶ月前の在庫'!$V$6:$V$10005,'設定'!$C$4,'月1回_1ヶ月前の在庫'!$W$6:$W$10005,$C109)&gt;0,SUMIFS('月1回_1ヶ月前の在庫'!$O$6:$O$10005,'月1回_1ヶ月前の在庫'!$V$6:$V$10005,'設定'!$C$4,'月1回_1ヶ月前の在庫'!$W$6:$W$10005,$C109)/COUNTIFS('月1回_1ヶ月前の在庫'!$V$6:$V$10005,'設定'!$C$4,'月1回_1ヶ月前の在庫'!$W$6:$W$10005,$C109),IF(COUNTIFS('月1回_2ヶ月前の在庫'!$V$6:$V$10005,'設定'!$C$4,'月1回_2ヶ月前の在庫'!$W$6:$W$10005,$C109)&gt;0,SUMIFS('月1回_2ヶ月前の在庫'!$O$6:$O$10005,'月1回_2ヶ月前の在庫'!$V$6:$V$10005,'設定'!$C$4,'月1回_2ヶ月前の在庫'!$W$6:$W$10005,$C109)/COUNTIFS('月1回_2ヶ月前の在庫'!$V$6:$V$10005,'設定'!$C$4,'月1回_2ヶ月前の在庫'!$W$6:$W$10005,$C109),0)))),"")))</f>
        <v/>
      </c>
      <c r="P109" s="90">
        <f>IF($C109="","",IF('②発注する'!$I113="","",'②発注する'!$I113))</f>
        <v/>
      </c>
      <c r="Q109">
        <f>IF($C109="","",IF('②発注する'!$J113="","",'②発注する'!$J113))</f>
        <v/>
      </c>
      <c r="R109">
        <f>IF($C109="",0,IF(AND(ISNUMBER($P109),ISNUMBER($Q109)),MAX(0,$Q109)*$G109,0))</f>
        <v/>
      </c>
      <c r="S109" s="90">
        <f>IF($C109="","",IF('②発注する'!$M113="","",'②発注する'!$M113))</f>
        <v/>
      </c>
      <c r="T109">
        <f>IF($C109="","",IF('②発注する'!$N113="","",'②発注する'!$N113))</f>
        <v/>
      </c>
      <c r="U109">
        <f>IF($C109="",0,IF(AND(ISNUMBER($S109),ISNUMBER($T109)),MAX(0,$T109)*$G109,0))</f>
        <v/>
      </c>
      <c r="V109">
        <f>IF($C109="",0,IF($M109="",0,MAX(0,$M109)*MAX(0,V$4)/100))</f>
        <v/>
      </c>
      <c r="W109">
        <f>IF($C109="",0,IF($M109="",0,MAX(0,$M109)*MAX(0,W$4)/100))</f>
        <v/>
      </c>
      <c r="X109">
        <f>IF($C109="",0,IF($M109="",0,MAX(0,$M109)*MAX(0,X$4)/100))</f>
        <v/>
      </c>
      <c r="Y109">
        <f>IF($C109="",0,IF($M109="",0,MAX(0,$M109)*MAX(0,Y$4)/100))</f>
        <v/>
      </c>
      <c r="Z109">
        <f>IF($C109="",0,IF($M109="",0,MAX(0,$M109)*MAX(0,Z$4)/100))</f>
        <v/>
      </c>
      <c r="AA109">
        <f>IF($C109="",0,IF($M109="",0,MAX(0,$M109)*MAX(0,AA$4)/100))</f>
        <v/>
      </c>
      <c r="AB109">
        <f>IF($C109="",0,IF($M109="",0,MAX(0,$M109)*MAX(0,AB$4)/100))</f>
        <v/>
      </c>
      <c r="AC109">
        <f>IF($C109="",0,IF($M109="",0,MAX(0,$M109)*MAX(0,AC$4)/100))</f>
        <v/>
      </c>
      <c r="AD109">
        <f>IF($C109="",0,IF($M109="",0,MAX(0,$M109)*MAX(0,AD$4)/100))</f>
        <v/>
      </c>
      <c r="AE109">
        <f>IF($C109="",0,IF($M109="",0,MAX(0,$M109)*MAX(0,AE$4)/100))</f>
        <v/>
      </c>
      <c r="AF109">
        <f>IF($C109="",0,IF($M109="",0,MAX(0,$M109)*MAX(0,AF$4)/100))</f>
        <v/>
      </c>
      <c r="AG109">
        <f>IF($C109="",0,IF($M109="",0,MAX(0,$M109)*MAX(0,AG$4)/100))</f>
        <v/>
      </c>
      <c r="AH109">
        <f>IF($C109="",0,IF($M109="",0,MAX(0,$M109)*MAX(0,AH$4)/100))</f>
        <v/>
      </c>
      <c r="AI109">
        <f>IF($C109="",0,IF($M109="",0,MAX(0,$M109)*MAX(0,AI$4)/100))</f>
        <v/>
      </c>
      <c r="AJ109">
        <f>IF($C109="",0,MAX(0,MAX(0,N($L109))-$V109))</f>
        <v/>
      </c>
      <c r="AK109">
        <f>IF($C109="",0,MAX(0,$AJ109-$W109))</f>
        <v/>
      </c>
      <c r="AL109">
        <f>IF($C109="",0,MAX(0,$AK109-$X109))</f>
        <v/>
      </c>
      <c r="AM109">
        <f>IF($C109="",0,MAX(0,$AL109-$Y109))</f>
        <v/>
      </c>
      <c r="AN109">
        <f>IF($C109="",0,MAX(0,$AM109-$Z109))</f>
        <v/>
      </c>
      <c r="AO109">
        <f>IF($C109="",0,MAX(0,$AN109-$AA109))</f>
        <v/>
      </c>
      <c r="AP109">
        <f>IF($C109="",0,MAX(0,$AO109-$AB109))</f>
        <v/>
      </c>
      <c r="AQ109">
        <f>IF($C109="",0,MAX(0,$AP109-$AC109))</f>
        <v/>
      </c>
      <c r="AR109">
        <f>IF($C109="",0,MAX(0,$AQ109-$AD109))</f>
        <v/>
      </c>
      <c r="AS109">
        <f>IF($C109="",0,MAX(0,$AR109-$AE109))</f>
        <v/>
      </c>
      <c r="AT109">
        <f>IF($C109="",0,MAX(0,$AS109-$AF109))</f>
        <v/>
      </c>
      <c r="AU109">
        <f>IF($C109="",0,MAX(0,$AT109-$AG109))</f>
        <v/>
      </c>
      <c r="AV109">
        <f>IF($C109="",0,MAX(0,$AU109-$AH109))</f>
        <v/>
      </c>
      <c r="AW109">
        <f>IF($C109="",0,MAX(0,$AV109-$AI109))</f>
        <v/>
      </c>
      <c r="AX109">
        <f>IF($C109="",0,MAX(0,MAX(0,N($L109))+IF($P109=V$3,$R109,0)+IF($S109=V$3,$U109,0)-$V109))</f>
        <v/>
      </c>
      <c r="AY109">
        <f>IF($C109="",0,MAX(0,$AX109+IF($P109=W$3,$R109,0)+IF($S109=W$3,$U109,0)-$W109))</f>
        <v/>
      </c>
      <c r="AZ109">
        <f>IF($C109="",0,MAX(0,$AY109+IF($P109=X$3,$R109,0)+IF($S109=X$3,$U109,0)-$X109))</f>
        <v/>
      </c>
      <c r="BA109">
        <f>IF($C109="",0,MAX(0,$AZ109+IF($P109=Y$3,$R109,0)+IF($S109=Y$3,$U109,0)-$Y109))</f>
        <v/>
      </c>
      <c r="BB109">
        <f>IF($C109="",0,MAX(0,$BA109+IF($P109=Z$3,$R109,0)+IF($S109=Z$3,$U109,0)-$Z109))</f>
        <v/>
      </c>
      <c r="BC109">
        <f>IF($C109="",0,MAX(0,$BB109+IF($P109=AA$3,$R109,0)+IF($S109=AA$3,$U109,0)-$AA109))</f>
        <v/>
      </c>
      <c r="BD109">
        <f>IF($C109="",0,MAX(0,$BC109+IF($P109=AB$3,$R109,0)+IF($S109=AB$3,$U109,0)-$AB109))</f>
        <v/>
      </c>
      <c r="BE109">
        <f>IF($C109="",0,MAX(0,$BD109+IF($P109=AC$3,$R109,0)+IF($S109=AC$3,$U109,0)-$AC109))</f>
        <v/>
      </c>
      <c r="BF109">
        <f>IF($C109="",0,MAX(0,$BE109+IF($P109=AD$3,$R109,0)+IF($S109=AD$3,$U109,0)-$AD109))</f>
        <v/>
      </c>
      <c r="BG109">
        <f>IF($C109="",0,MAX(0,$BF109+IF($P109=AE$3,$R109,0)+IF($S109=AE$3,$U109,0)-$AE109))</f>
        <v/>
      </c>
      <c r="BH109">
        <f>IF($C109="",0,MAX(0,$BG109+IF($P109=AF$3,$R109,0)+IF($S109=AF$3,$U109,0)-$AF109))</f>
        <v/>
      </c>
      <c r="BI109">
        <f>IF($C109="",0,MAX(0,$BH109+IF($P109=AG$3,$R109,0)+IF($S109=AG$3,$U109,0)-$AG109))</f>
        <v/>
      </c>
      <c r="BJ109">
        <f>IF($C109="",0,MAX(0,$BI109+IF($P109=AH$3,$R109,0)+IF($S109=AH$3,$U109,0)-$AH109))</f>
        <v/>
      </c>
      <c r="BK109">
        <f>IF($C109="",0,MAX(0,$BJ109+IF($P109=AI$3,$R109,0)+IF($S109=AI$3,$U109,0)-$AI109))</f>
        <v/>
      </c>
      <c r="BL109">
        <f>IF($C109="",99,IF(AND($AX109&lt;1,V$3&gt;=MAX(N($P109),N($S109))),0,99))</f>
        <v/>
      </c>
      <c r="BM109">
        <f>IF($C109="",99,IF(AND($AY109&lt;1,W$3&gt;=MAX(N($P109),N($S109))),1,99))</f>
        <v/>
      </c>
      <c r="BN109">
        <f>IF($C109="",99,IF(AND($AZ109&lt;1,X$3&gt;=MAX(N($P109),N($S109))),2,99))</f>
        <v/>
      </c>
      <c r="BO109">
        <f>IF($C109="",99,IF(AND($BA109&lt;1,Y$3&gt;=MAX(N($P109),N($S109))),3,99))</f>
        <v/>
      </c>
      <c r="BP109">
        <f>IF($C109="",99,IF(AND($BB109&lt;1,Z$3&gt;=MAX(N($P109),N($S109))),4,99))</f>
        <v/>
      </c>
      <c r="BQ109">
        <f>IF($C109="",99,IF(AND($BC109&lt;1,AA$3&gt;=MAX(N($P109),N($S109))),5,99))</f>
        <v/>
      </c>
      <c r="BR109">
        <f>IF($C109="",99,IF(AND($BD109&lt;1,AB$3&gt;=MAX(N($P109),N($S109))),6,99))</f>
        <v/>
      </c>
      <c r="BS109">
        <f>IF($C109="",99,IF(AND($BE109&lt;1,AC$3&gt;=MAX(N($P109),N($S109))),7,99))</f>
        <v/>
      </c>
      <c r="BT109">
        <f>IF($C109="",99,IF(AND($BF109&lt;1,AD$3&gt;=MAX(N($P109),N($S109))),8,99))</f>
        <v/>
      </c>
      <c r="BU109">
        <f>IF($C109="",99,IF(AND($BG109&lt;1,AE$3&gt;=MAX(N($P109),N($S109))),9,99))</f>
        <v/>
      </c>
      <c r="BV109">
        <f>IF($C109="",99,IF(AND($BH109&lt;1,AF$3&gt;=MAX(N($P109),N($S109))),10,99))</f>
        <v/>
      </c>
      <c r="BW109">
        <f>IF($C109="",99,IF(AND($BI109&lt;1,AG$3&gt;=MAX(N($P109),N($S109))),11,99))</f>
        <v/>
      </c>
      <c r="BX109">
        <f>IF($C109="",99,IF(AND($BJ109&lt;1,AH$3&gt;=MAX(N($P109),N($S109))),12,99))</f>
        <v/>
      </c>
      <c r="BY109">
        <f>IF($C109="",99,IF(AND($BK109&lt;1,AI$3&gt;=MAX(N($P109),N($S109))),13,99))</f>
        <v/>
      </c>
      <c r="BZ109">
        <f>IF(OR($C109="",$M109=""),"",COUNTIF($AJ109:$AW109,"&gt;=1"))</f>
        <v/>
      </c>
      <c r="CA109" s="90">
        <f>IF($BZ109="","",IF($BZ109&gt;=14,"",'設定'!$C$6+$BZ109))</f>
        <v/>
      </c>
      <c r="CB109">
        <f>IF(OR($C109="",$M109=""),"",MIN($BL109:$BY109))</f>
        <v/>
      </c>
      <c r="CC109" s="90">
        <f>IF($CB109="","",IF($CB109&gt;=99,"",'設定'!$C$6+$CB109))</f>
        <v/>
      </c>
      <c r="CD109">
        <f>IF(OR($C109="",$M109=""),"",AVERAGE($V109:$AI109))</f>
        <v/>
      </c>
      <c r="CE109">
        <f>IF($C109="","",IFERROR(IF(MATCH(IF(ISNUMBER($P109),$P109,'設定'!$C$6+N('設定'!$C$7)),$V$3:$AI$3,0)=1,MAX(0,N($L109)),INDEX($AJ109:$AW109,MATCH(IF(ISNUMBER($P109),$P109,'設定'!$C$6+N('設定'!$C$7)),$V$3:$AI$3,0)-1)),""))</f>
        <v/>
      </c>
      <c r="CF109">
        <f>IF(OR($C109="",$O109="",$CE109=""),"",IF($O109-$CE109&lt;=0,0,ROUNDUP(($O109-$CE109)/$G109,0)))</f>
        <v/>
      </c>
      <c r="CG109">
        <f>IF(OR($C109="",$CF109="",NOT(ISNUMBER($Q109))),0,MAX(0,$Q109-$CF109))</f>
        <v/>
      </c>
      <c r="CH109">
        <f>IF(OR($C109="",$O109="",$U109=0),0,IFERROR(ROUNDUP(MAX(0,IF(MATCH($S109,$V$3:$AI$3,0)=1,MAX(0,N($L109)),INDEX($AX109:$BK109,MATCH($S109,$V$3:$AI$3,0)-1))+$U109-$O109)/$G109,0),0))</f>
        <v/>
      </c>
      <c r="CI109">
        <f>IF($C109="","",IF(AND($P109="",$Q109=""),"",IF($P109="","⚠ 入庫日を ▼ から選んでください",IF(NOT(ISNUMBER($P109)),"⚠ 入庫日は ▼ から選んでください",IF($P109&lt;N('設定'!$C$6),"⚠ 入庫日が過去です（もう在庫に入っています）→ 消してください",IF($P109&gt;N('設定'!$C$6)+13,"⚠ 入庫日が14日より先です",IF(N($Q109)&lt;=0,"⚠ 入庫数を入れてください",IF($CG109&gt;0,"⚠ 目安より "&amp;$CG109&amp;" 多い（定数を超える）→ 減らす",""))))))))</f>
        <v/>
      </c>
      <c r="CJ109">
        <f>IF($C109="","",IF(AND($S109="",$T109=""),"",IF($S109="","⚠ 2便目：入庫日を ▼ から選んでください",IF(NOT(ISNUMBER($S109)),"⚠ 2便目：入庫日は ▼ から選んでください",IF($S109&lt;N('設定'!$C$6),"⚠ 2便目：入庫日が過去です（もう在庫に入っています）→ 消してください",IF($S109&gt;N('設定'!$C$6)+13,"⚠ 2便目：入庫日が14日より先です",IF(N($T109)&lt;=0,"⚠ 2便目：入庫数を入れてください",IF($CH109&gt;0,"⚠ 2便目：定数を "&amp;$CH109&amp;" ケース超える → 減らす",""))))))))</f>
        <v/>
      </c>
      <c r="CK109">
        <f>IF(AND($CI109="",N($Q109)&gt;0,ISNUMBER($P109)),1,0)</f>
        <v/>
      </c>
      <c r="CL109">
        <f>IF(AND($CJ109="",N($T109)&gt;0,ISNUMBER($S109)),1,0)</f>
        <v/>
      </c>
      <c r="CM109">
        <f>IF(OR($CK109=1,$CL109=1),1,0)</f>
        <v/>
      </c>
      <c r="CN109">
        <f>IF($C109="",0,($CK109*$R109+$CL109*$U109)*N($H109))</f>
        <v/>
      </c>
      <c r="CO109">
        <f>IF($C109="","",IF($CC109="","入庫後は 14日以上もつ",IF($CC109-N('設定'!$C$7)&lt;='設定'!$C$6,"入庫後も "&amp;TEXT($CC109,"m/d")&amp;"("&amp;CHOOSE(WEEKDAY($CC109),"日","月","火","水","木","金","土")&amp;")"&amp;" に切れる　もう1便を至急発注","入庫後も "&amp;TEXT($CC109,"m/d")&amp;"("&amp;CHOOSE(WEEKDAY($CC109),"日","月","火","水","木","金","土")&amp;")"&amp;" に切れる　"&amp;TEXT($CC109-N('設定'!$C$7),"m/d")&amp;"("&amp;CHOOSE(WEEKDAY($CC109-N('設定'!$C$7)),"日","月","火","水","木","金","土")&amp;")"&amp;" までに次を発注")))</f>
        <v/>
      </c>
      <c r="CP109">
        <f>IF($C109="","",IF('設定'!$C$6="","？ ①在庫を貼る に今日のCSVが貼られていない",IF($CS109=1,"－ 今日のCSVに無い（終売？）",IF($L109&lt;0,"● 在庫がマイナス　数えて「数えた在庫」に入れる",IF($L109=0,"● 在庫なし　至急発注",IF($M109="","？ 減り数が未設定（商品マスタ）",IF($B$3=0,"？ 動員が未入力（動員を入れる）",IF($CA109="","○ 14日以上もつ",IF($BZ109&lt;N('設定'!$C$7),"● "&amp;TEXT($CA109,"m/d")&amp;"("&amp;CHOOSE(WEEKDAY($CA109),"日","月","火","水","木","金","土")&amp;")"&amp;" に切れる　至急発注",IF($BZ109=N('設定'!$C$7),"● "&amp;TEXT($CA109,"m/d")&amp;"("&amp;CHOOSE(WEEKDAY($CA109),"日","月","火","水","木","金","土")&amp;")"&amp;" に切れる　今日発注","△ "&amp;TEXT($CA109,"m/d")&amp;"("&amp;CHOOSE(WEEKDAY($CA109),"日","月","火","水","木","金","土")&amp;")"&amp;" に切れる　"&amp;TEXT($CA109-N('設定'!$C$7),"m/d")&amp;"("&amp;CHOOSE(WEEKDAY($CA109-N('設定'!$C$7)),"日","月","火","水","木","金","土")&amp;")"&amp;" までに発注"))))))))))</f>
        <v/>
      </c>
      <c r="CQ109">
        <f>IF($C109="","",IF(AND($P109="",$Q109="",$S109="",$T109=""),"",IF(AND($P109="",$Q109=""),"⚠ 先に1便目（左の入庫日・入庫数）に入れてください",IF($CI109&lt;&gt;"",$CI109,IF($CJ109&lt;&gt;"",$CJ109,IF($M109="","？ 減り数が未設定（発注書には載ります）",IF($B$3=0,"？ 動員が未入力（発注書には載ります）",IF(AND($CA109&lt;&gt;"",$P109&gt;$CA109),IF($P109&gt;'設定'!$C$6+N('設定'!$C$7),"● "&amp;TEXT($P109,"m/d")&amp;"("&amp;CHOOSE(WEEKDAY($P109),"日","月","火","水","木","金","土")&amp;")"&amp;" の入庫では間に合わない（"&amp;TEXT($CA109,"m/d")&amp;"("&amp;CHOOSE(WEEKDAY($CA109),"日","月","火","水","木","金","土")&amp;")"&amp;" に切れる）　入庫日を早める","△ 欠品 "&amp;TEXT($CA109,"m/d")&amp;"("&amp;CHOOSE(WEEKDAY($CA109),"日","月","火","水","木","金","土")&amp;")"&amp;"〜"&amp;TEXT($P109-1,"m/d")&amp;"("&amp;CHOOSE(WEEKDAY($P109-1),"日","月","火","水","木","金","土")&amp;")"&amp;"　"&amp;$CO109),IF($CC109="","○ "&amp;TEXT($P109,"m/d")&amp;"("&amp;CHOOSE(WEEKDAY($P109),"日","月","火","水","木","金","土")&amp;")"&amp;" 入庫で 14日以上もつ",IF($CC109-N('設定'!$C$7)&lt;='設定'!$C$6,"● 入庫しても "&amp;TEXT($CC109,"m/d")&amp;"("&amp;CHOOSE(WEEKDAY($CC109),"日","月","火","水","木","金","土")&amp;")"&amp;" に切れる　もう1便を至急発注（2便目に入れる）","△ 入庫しても "&amp;TEXT($CC109,"m/d")&amp;"("&amp;CHOOSE(WEEKDAY($CC109),"日","月","火","水","木","金","土")&amp;")"&amp;" に切れる　"&amp;TEXT($CC109-N('設定'!$C$7),"m/d")&amp;"("&amp;CHOOSE(WEEKDAY($CC109-N('設定'!$C$7)),"日","月","火","水","木","金","土")&amp;")"&amp;" までに次を発注（2便目に入れる）"))))))))))</f>
        <v/>
      </c>
      <c r="CR109">
        <f>IF($C109="","",IF($G109&gt;1,"ｹｰｽ("&amp;$G109&amp;"入)","個"))</f>
        <v/>
      </c>
      <c r="CS109">
        <f>IF($C109="",0,IF(COUNTIFS('①在庫を貼る'!$V$6:$V$10005,'設定'!$C$4,'①在庫を貼る'!$W$6:$W$10005,$C109)=0,1,0))</f>
        <v/>
      </c>
      <c r="CT109">
        <f>IF(AND($CK109=1,OR('③発注書'!$C$4="すべて",'③発注書'!$C$4="",$F109='③発注書'!$C$4)),N($CT108)+1,N($CT108))</f>
        <v/>
      </c>
      <c r="CU109">
        <f>IF(AND($CL109=1,OR('③発注書'!$C$4="すべて",'③発注書'!$C$4="",$F109='③発注書'!$C$4)),N($CU108)+1,N($CU108))</f>
        <v/>
      </c>
      <c r="CV109">
        <f>IF($C109="",0,IF(COUNTIFS('①在庫を貼る'!$V$6:$V$10005,'設定'!$C$4,'①在庫を貼る'!$W$6:$W$10005,$C109)&gt;0,1,0))</f>
        <v/>
      </c>
      <c r="CW109">
        <f>IF($C109="",0,IF(COUNTIFS('月1回_1ヶ月前の在庫'!$V$6:$V$10005,'設定'!$C$4,'月1回_1ヶ月前の在庫'!$W$6:$W$10005,$C109)&gt;0,1,0))</f>
        <v/>
      </c>
      <c r="CX109">
        <f>IF($C109="",0,IF(COUNTIFS('月1回_2ヶ月前の在庫'!$V$6:$V$10005,'設定'!$C$4,'月1回_2ヶ月前の在庫'!$W$6:$W$10005,$C109)&gt;0,1,0))</f>
        <v/>
      </c>
      <c r="CY109">
        <f>IF(OR($C109="",'設定'!$C$12=""),"",IF('設定'!$C$13="",IF(AND($CV109=1,$CW109=0),"新商品（今月から）",IF(AND($CV109=0,$CW109=1),"終売（今月から）","")),IF(AND($CV109=1,$CW109=0,$CX109=0),"新商品（今月から）",IF(AND($CV109=1,$CW109=1,$CX109=0),"新商品（先月から）",IF(AND($CV109=0,$CW109=1,$CX109=1),"終売（今月から）",IF(AND($CV109=0,$CW109=0,$CX109=1),"終売（先月から）",IF(AND($CV109=1,$CW109=0,$CX109=1),"復活（先月は無し）","")))))))</f>
        <v/>
      </c>
    </row>
    <row r="110">
      <c r="B110">
        <f>IF(105&lt;='設定'!$C$11,105,"")</f>
        <v/>
      </c>
      <c r="C110">
        <f>IF($B110="","",IF($B110&lt;='設定'!$C$20,INDEX('商品マスタ'!$B$6:$B$1005,MATCH($B110,'商品マスタ'!$M$6:$M$1005,0)),IF($B110&lt;='設定'!$C$20+'設定'!$C$17,INDEX('①在庫を貼る'!$W$6:$W$10005,MATCH($B110-'設定'!$C$20,'①在庫を貼る'!$U$6:$U$10005,0)),IF($B110&lt;='設定'!$C$20+'設定'!$C$17+'設定'!$C$18,INDEX('月1回_1ヶ月前の在庫'!$W$6:$W$10005,MATCH($B110-'設定'!$C$20-'設定'!$C$17,'月1回_1ヶ月前の在庫'!$U$6:$U$10005,0)),INDEX('月1回_2ヶ月前の在庫'!$W$6:$W$10005,MATCH($B110-'設定'!$C$20-'設定'!$C$17-'設定'!$C$18,'月1回_2ヶ月前の在庫'!$U$6:$U$10005,0))))))</f>
        <v/>
      </c>
      <c r="D110">
        <f>IF($C110="","",IFERROR(IF(INDEX('商品マスタ'!$C$6:$C$1005,MATCH($C110,'商品マスタ'!$B$6:$B$1005,0))="",IFERROR(INDEX('①在庫を貼る'!$J$6:$J$10005,MATCH($C110,'①在庫を貼る'!$W$6:$W$10005,0)),IFERROR(INDEX('月1回_1ヶ月前の在庫'!$J$6:$J$10005,MATCH($C110,'月1回_1ヶ月前の在庫'!$W$6:$W$10005,0)),IFERROR(INDEX('月1回_2ヶ月前の在庫'!$J$6:$J$10005,MATCH($C110,'月1回_2ヶ月前の在庫'!$W$6:$W$10005,0)),""))),INDEX('商品マスタ'!$C$6:$C$1005,MATCH($C110,'商品マスタ'!$B$6:$B$1005,0))),IFERROR(INDEX('①在庫を貼る'!$J$6:$J$10005,MATCH($C110,'①在庫を貼る'!$W$6:$W$10005,0)),IFERROR(INDEX('月1回_1ヶ月前の在庫'!$J$6:$J$10005,MATCH($C110,'月1回_1ヶ月前の在庫'!$W$6:$W$10005,0)),IFERROR(INDEX('月1回_2ヶ月前の在庫'!$J$6:$J$10005,MATCH($C110,'月1回_2ヶ月前の在庫'!$W$6:$W$10005,0)),"")))))</f>
        <v/>
      </c>
      <c r="E110">
        <f>IF($C110="","",IFERROR(IF(INDEX('商品マスタ'!$D$6:$D$1005,MATCH($C110,'商品マスタ'!$B$6:$B$1005,0))="",IFERROR(INDEX('①在庫を貼る'!$H$6:$H$10005,MATCH($C110,'①在庫を貼る'!$W$6:$W$10005,0)),IFERROR(INDEX('月1回_1ヶ月前の在庫'!$H$6:$H$10005,MATCH($C110,'月1回_1ヶ月前の在庫'!$W$6:$W$10005,0)),IFERROR(INDEX('月1回_2ヶ月前の在庫'!$H$6:$H$10005,MATCH($C110,'月1回_2ヶ月前の在庫'!$W$6:$W$10005,0)),""))),INDEX('商品マスタ'!$D$6:$D$1005,MATCH($C110,'商品マスタ'!$B$6:$B$1005,0))),IFERROR(INDEX('①在庫を貼る'!$H$6:$H$10005,MATCH($C110,'①在庫を貼る'!$W$6:$W$10005,0)),IFERROR(INDEX('月1回_1ヶ月前の在庫'!$H$6:$H$10005,MATCH($C110,'月1回_1ヶ月前の在庫'!$W$6:$W$10005,0)),IFERROR(INDEX('月1回_2ヶ月前の在庫'!$H$6:$H$10005,MATCH($C110,'月1回_2ヶ月前の在庫'!$W$6:$W$10005,0)),"")))))</f>
        <v/>
      </c>
      <c r="F110">
        <f>IF($C110="","",IFERROR(IF(INDEX('商品マスタ'!$E$6:$E$1005,MATCH($C110,'商品マスタ'!$B$6:$B$1005,0))="",IFERROR(INDEX('①在庫を貼る'!$E$6:$E$10005,MATCH($C110,'①在庫を貼る'!$W$6:$W$10005,0)),IFERROR(INDEX('月1回_1ヶ月前の在庫'!$E$6:$E$10005,MATCH($C110,'月1回_1ヶ月前の在庫'!$W$6:$W$10005,0)),IFERROR(INDEX('月1回_2ヶ月前の在庫'!$E$6:$E$10005,MATCH($C110,'月1回_2ヶ月前の在庫'!$W$6:$W$10005,0)),""))),INDEX('商品マスタ'!$E$6:$E$1005,MATCH($C110,'商品マスタ'!$B$6:$B$1005,0))),IFERROR(INDEX('①在庫を貼る'!$E$6:$E$10005,MATCH($C110,'①在庫を貼る'!$W$6:$W$10005,0)),IFERROR(INDEX('月1回_1ヶ月前の在庫'!$E$6:$E$10005,MATCH($C110,'月1回_1ヶ月前の在庫'!$W$6:$W$10005,0)),IFERROR(INDEX('月1回_2ヶ月前の在庫'!$E$6:$E$10005,MATCH($C110,'月1回_2ヶ月前の在庫'!$W$6:$W$10005,0)),"")))))</f>
        <v/>
      </c>
      <c r="G110">
        <f>IF($C110="","",MAX(1,N(IFERROR(IF(INDEX('商品マスタ'!$F$6:$F$1005,MATCH($C110,'商品マスタ'!$B$6:$B$1005,0))="",IF(COUNTIFS('①在庫を貼る'!$V$6:$V$10005,'設定'!$C$4,'①在庫を貼る'!$W$6:$W$10005,$C110)&gt;0,SUMIFS('①在庫を貼る'!$K$6:$K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K$6:$K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K$6:$K$10005,'月1回_2ヶ月前の在庫'!$V$6:$V$10005,'設定'!$C$4,'月1回_2ヶ月前の在庫'!$W$6:$W$10005,$C110)/COUNTIFS('月1回_2ヶ月前の在庫'!$V$6:$V$10005,'設定'!$C$4,'月1回_2ヶ月前の在庫'!$W$6:$W$10005,$C110),0))),INDEX('商品マスタ'!$F$6:$F$1005,MATCH($C110,'商品マスタ'!$B$6:$B$1005,0))),IF(COUNTIFS('①在庫を貼る'!$V$6:$V$10005,'設定'!$C$4,'①在庫を貼る'!$W$6:$W$10005,$C110)&gt;0,SUMIFS('①在庫を貼る'!$K$6:$K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K$6:$K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K$6:$K$10005,'月1回_2ヶ月前の在庫'!$V$6:$V$10005,'設定'!$C$4,'月1回_2ヶ月前の在庫'!$W$6:$W$10005,$C110)/COUNTIFS('月1回_2ヶ月前の在庫'!$V$6:$V$10005,'設定'!$C$4,'月1回_2ヶ月前の在庫'!$W$6:$W$10005,$C110),0)))))))</f>
        <v/>
      </c>
      <c r="H110">
        <f>IF($C110="","",N(IFERROR(IF(INDEX('商品マスタ'!$G$6:$G$1005,MATCH($C110,'商品マスタ'!$B$6:$B$1005,0))="",IF(COUNTIFS('①在庫を貼る'!$V$6:$V$10005,'設定'!$C$4,'①在庫を貼る'!$W$6:$W$10005,$C110)&gt;0,SUMIFS('①在庫を貼る'!$Q$6:$Q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Q$6:$Q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Q$6:$Q$10005,'月1回_2ヶ月前の在庫'!$V$6:$V$10005,'設定'!$C$4,'月1回_2ヶ月前の在庫'!$W$6:$W$10005,$C110)/COUNTIFS('月1回_2ヶ月前の在庫'!$V$6:$V$10005,'設定'!$C$4,'月1回_2ヶ月前の在庫'!$W$6:$W$10005,$C110),0))),INDEX('商品マスタ'!$G$6:$G$1005,MATCH($C110,'商品マスタ'!$B$6:$B$1005,0))),IF(COUNTIFS('①在庫を貼る'!$V$6:$V$10005,'設定'!$C$4,'①在庫を貼る'!$W$6:$W$10005,$C110)&gt;0,SUMIFS('①在庫を貼る'!$Q$6:$Q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Q$6:$Q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Q$6:$Q$10005,'月1回_2ヶ月前の在庫'!$V$6:$V$10005,'設定'!$C$4,'月1回_2ヶ月前の在庫'!$W$6:$W$10005,$C110)/COUNTIFS('月1回_2ヶ月前の在庫'!$V$6:$V$10005,'設定'!$C$4,'月1回_2ヶ月前の在庫'!$W$6:$W$10005,$C110),0))))))</f>
        <v/>
      </c>
      <c r="I110">
        <f>IF($C110="","",IF(COUNTIFS('①在庫を貼る'!$V$6:$V$10005,'設定'!$C$4,'①在庫を貼る'!$W$6:$W$10005,$C110)=0,"",SUMIFS('①在庫を貼る'!$N$6:$N$10005,'①在庫を貼る'!$V$6:$V$10005,'設定'!$C$4,'①在庫を貼る'!$W$6:$W$10005,$C110)))</f>
        <v/>
      </c>
      <c r="J110">
        <f>IF($C110="","",IF('②発注する'!$AD114="","",'②発注する'!$AD114))</f>
        <v/>
      </c>
      <c r="K110" s="90">
        <f>IF($C110="","",IF('②発注する'!$AE114="","",'②発注する'!$AE114))</f>
        <v/>
      </c>
      <c r="L110">
        <f>IF($C110="","",IF(AND(ISNUMBER($J110),ISNUMBER($K110),$K110&gt;='設定'!$C$6),$J110,N($I110)))</f>
        <v/>
      </c>
      <c r="M110">
        <f>IF($C110="","",IFERROR(IF(N(INDEX('商品マスタ'!$J$6:$J$1005,MATCH($C110,'商品マスタ'!$B$6:$B$1005,0)))&gt;0,INDEX('商品マスタ'!$J$6:$J$1005,MATCH($C110,'商品マスタ'!$B$6:$B$1005,0)),""),""))</f>
        <v/>
      </c>
      <c r="N110">
        <f>IF($C110="","",IFERROR(IF(N(INDEX('商品マスタ'!$H$6:$H$1005,MATCH($C110,'商品マスタ'!$B$6:$B$1005,0)))&gt;0,INDEX('商品マスタ'!$H$6:$H$1005,MATCH($C110,'商品マスタ'!$B$6:$B$1005,0)),""),""))</f>
        <v/>
      </c>
      <c r="O110">
        <f>IF($C110="","",IF($N110&lt;&gt;"",$N110*$G110,IF(N(IF(COUNTIFS('①在庫を貼る'!$V$6:$V$10005,'設定'!$C$4,'①在庫を貼る'!$W$6:$W$10005,$C110)&gt;0,SUMIFS('①在庫を貼る'!$O$6:$O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O$6:$O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O$6:$O$10005,'月1回_2ヶ月前の在庫'!$V$6:$V$10005,'設定'!$C$4,'月1回_2ヶ月前の在庫'!$W$6:$W$10005,$C110)/COUNTIFS('月1回_2ヶ月前の在庫'!$V$6:$V$10005,'設定'!$C$4,'月1回_2ヶ月前の在庫'!$W$6:$W$10005,$C110),0))))&gt;0,N(IF(COUNTIFS('①在庫を貼る'!$V$6:$V$10005,'設定'!$C$4,'①在庫を貼る'!$W$6:$W$10005,$C110)&gt;0,SUMIFS('①在庫を貼る'!$O$6:$O$10005,'①在庫を貼る'!$V$6:$V$10005,'設定'!$C$4,'①在庫を貼る'!$W$6:$W$10005,$C110)/COUNTIFS('①在庫を貼る'!$V$6:$V$10005,'設定'!$C$4,'①在庫を貼る'!$W$6:$W$10005,$C110),IF(COUNTIFS('月1回_1ヶ月前の在庫'!$V$6:$V$10005,'設定'!$C$4,'月1回_1ヶ月前の在庫'!$W$6:$W$10005,$C110)&gt;0,SUMIFS('月1回_1ヶ月前の在庫'!$O$6:$O$10005,'月1回_1ヶ月前の在庫'!$V$6:$V$10005,'設定'!$C$4,'月1回_1ヶ月前の在庫'!$W$6:$W$10005,$C110)/COUNTIFS('月1回_1ヶ月前の在庫'!$V$6:$V$10005,'設定'!$C$4,'月1回_1ヶ月前の在庫'!$W$6:$W$10005,$C110),IF(COUNTIFS('月1回_2ヶ月前の在庫'!$V$6:$V$10005,'設定'!$C$4,'月1回_2ヶ月前の在庫'!$W$6:$W$10005,$C110)&gt;0,SUMIFS('月1回_2ヶ月前の在庫'!$O$6:$O$10005,'月1回_2ヶ月前の在庫'!$V$6:$V$10005,'設定'!$C$4,'月1回_2ヶ月前の在庫'!$W$6:$W$10005,$C110)/COUNTIFS('月1回_2ヶ月前の在庫'!$V$6:$V$10005,'設定'!$C$4,'月1回_2ヶ月前の在庫'!$W$6:$W$10005,$C110),0)))),"")))</f>
        <v/>
      </c>
      <c r="P110" s="90">
        <f>IF($C110="","",IF('②発注する'!$I114="","",'②発注する'!$I114))</f>
        <v/>
      </c>
      <c r="Q110">
        <f>IF($C110="","",IF('②発注する'!$J114="","",'②発注する'!$J114))</f>
        <v/>
      </c>
      <c r="R110">
        <f>IF($C110="",0,IF(AND(ISNUMBER($P110),ISNUMBER($Q110)),MAX(0,$Q110)*$G110,0))</f>
        <v/>
      </c>
      <c r="S110" s="90">
        <f>IF($C110="","",IF('②発注する'!$M114="","",'②発注する'!$M114))</f>
        <v/>
      </c>
      <c r="T110">
        <f>IF($C110="","",IF('②発注する'!$N114="","",'②発注する'!$N114))</f>
        <v/>
      </c>
      <c r="U110">
        <f>IF($C110="",0,IF(AND(ISNUMBER($S110),ISNUMBER($T110)),MAX(0,$T110)*$G110,0))</f>
        <v/>
      </c>
      <c r="V110">
        <f>IF($C110="",0,IF($M110="",0,MAX(0,$M110)*MAX(0,V$4)/100))</f>
        <v/>
      </c>
      <c r="W110">
        <f>IF($C110="",0,IF($M110="",0,MAX(0,$M110)*MAX(0,W$4)/100))</f>
        <v/>
      </c>
      <c r="X110">
        <f>IF($C110="",0,IF($M110="",0,MAX(0,$M110)*MAX(0,X$4)/100))</f>
        <v/>
      </c>
      <c r="Y110">
        <f>IF($C110="",0,IF($M110="",0,MAX(0,$M110)*MAX(0,Y$4)/100))</f>
        <v/>
      </c>
      <c r="Z110">
        <f>IF($C110="",0,IF($M110="",0,MAX(0,$M110)*MAX(0,Z$4)/100))</f>
        <v/>
      </c>
      <c r="AA110">
        <f>IF($C110="",0,IF($M110="",0,MAX(0,$M110)*MAX(0,AA$4)/100))</f>
        <v/>
      </c>
      <c r="AB110">
        <f>IF($C110="",0,IF($M110="",0,MAX(0,$M110)*MAX(0,AB$4)/100))</f>
        <v/>
      </c>
      <c r="AC110">
        <f>IF($C110="",0,IF($M110="",0,MAX(0,$M110)*MAX(0,AC$4)/100))</f>
        <v/>
      </c>
      <c r="AD110">
        <f>IF($C110="",0,IF($M110="",0,MAX(0,$M110)*MAX(0,AD$4)/100))</f>
        <v/>
      </c>
      <c r="AE110">
        <f>IF($C110="",0,IF($M110="",0,MAX(0,$M110)*MAX(0,AE$4)/100))</f>
        <v/>
      </c>
      <c r="AF110">
        <f>IF($C110="",0,IF($M110="",0,MAX(0,$M110)*MAX(0,AF$4)/100))</f>
        <v/>
      </c>
      <c r="AG110">
        <f>IF($C110="",0,IF($M110="",0,MAX(0,$M110)*MAX(0,AG$4)/100))</f>
        <v/>
      </c>
      <c r="AH110">
        <f>IF($C110="",0,IF($M110="",0,MAX(0,$M110)*MAX(0,AH$4)/100))</f>
        <v/>
      </c>
      <c r="AI110">
        <f>IF($C110="",0,IF($M110="",0,MAX(0,$M110)*MAX(0,AI$4)/100))</f>
        <v/>
      </c>
      <c r="AJ110">
        <f>IF($C110="",0,MAX(0,MAX(0,N($L110))-$V110))</f>
        <v/>
      </c>
      <c r="AK110">
        <f>IF($C110="",0,MAX(0,$AJ110-$W110))</f>
        <v/>
      </c>
      <c r="AL110">
        <f>IF($C110="",0,MAX(0,$AK110-$X110))</f>
        <v/>
      </c>
      <c r="AM110">
        <f>IF($C110="",0,MAX(0,$AL110-$Y110))</f>
        <v/>
      </c>
      <c r="AN110">
        <f>IF($C110="",0,MAX(0,$AM110-$Z110))</f>
        <v/>
      </c>
      <c r="AO110">
        <f>IF($C110="",0,MAX(0,$AN110-$AA110))</f>
        <v/>
      </c>
      <c r="AP110">
        <f>IF($C110="",0,MAX(0,$AO110-$AB110))</f>
        <v/>
      </c>
      <c r="AQ110">
        <f>IF($C110="",0,MAX(0,$AP110-$AC110))</f>
        <v/>
      </c>
      <c r="AR110">
        <f>IF($C110="",0,MAX(0,$AQ110-$AD110))</f>
        <v/>
      </c>
      <c r="AS110">
        <f>IF($C110="",0,MAX(0,$AR110-$AE110))</f>
        <v/>
      </c>
      <c r="AT110">
        <f>IF($C110="",0,MAX(0,$AS110-$AF110))</f>
        <v/>
      </c>
      <c r="AU110">
        <f>IF($C110="",0,MAX(0,$AT110-$AG110))</f>
        <v/>
      </c>
      <c r="AV110">
        <f>IF($C110="",0,MAX(0,$AU110-$AH110))</f>
        <v/>
      </c>
      <c r="AW110">
        <f>IF($C110="",0,MAX(0,$AV110-$AI110))</f>
        <v/>
      </c>
      <c r="AX110">
        <f>IF($C110="",0,MAX(0,MAX(0,N($L110))+IF($P110=V$3,$R110,0)+IF($S110=V$3,$U110,0)-$V110))</f>
        <v/>
      </c>
      <c r="AY110">
        <f>IF($C110="",0,MAX(0,$AX110+IF($P110=W$3,$R110,0)+IF($S110=W$3,$U110,0)-$W110))</f>
        <v/>
      </c>
      <c r="AZ110">
        <f>IF($C110="",0,MAX(0,$AY110+IF($P110=X$3,$R110,0)+IF($S110=X$3,$U110,0)-$X110))</f>
        <v/>
      </c>
      <c r="BA110">
        <f>IF($C110="",0,MAX(0,$AZ110+IF($P110=Y$3,$R110,0)+IF($S110=Y$3,$U110,0)-$Y110))</f>
        <v/>
      </c>
      <c r="BB110">
        <f>IF($C110="",0,MAX(0,$BA110+IF($P110=Z$3,$R110,0)+IF($S110=Z$3,$U110,0)-$Z110))</f>
        <v/>
      </c>
      <c r="BC110">
        <f>IF($C110="",0,MAX(0,$BB110+IF($P110=AA$3,$R110,0)+IF($S110=AA$3,$U110,0)-$AA110))</f>
        <v/>
      </c>
      <c r="BD110">
        <f>IF($C110="",0,MAX(0,$BC110+IF($P110=AB$3,$R110,0)+IF($S110=AB$3,$U110,0)-$AB110))</f>
        <v/>
      </c>
      <c r="BE110">
        <f>IF($C110="",0,MAX(0,$BD110+IF($P110=AC$3,$R110,0)+IF($S110=AC$3,$U110,0)-$AC110))</f>
        <v/>
      </c>
      <c r="BF110">
        <f>IF($C110="",0,MAX(0,$BE110+IF($P110=AD$3,$R110,0)+IF($S110=AD$3,$U110,0)-$AD110))</f>
        <v/>
      </c>
      <c r="BG110">
        <f>IF($C110="",0,MAX(0,$BF110+IF($P110=AE$3,$R110,0)+IF($S110=AE$3,$U110,0)-$AE110))</f>
        <v/>
      </c>
      <c r="BH110">
        <f>IF($C110="",0,MAX(0,$BG110+IF($P110=AF$3,$R110,0)+IF($S110=AF$3,$U110,0)-$AF110))</f>
        <v/>
      </c>
      <c r="BI110">
        <f>IF($C110="",0,MAX(0,$BH110+IF($P110=AG$3,$R110,0)+IF($S110=AG$3,$U110,0)-$AG110))</f>
        <v/>
      </c>
      <c r="BJ110">
        <f>IF($C110="",0,MAX(0,$BI110+IF($P110=AH$3,$R110,0)+IF($S110=AH$3,$U110,0)-$AH110))</f>
        <v/>
      </c>
      <c r="BK110">
        <f>IF($C110="",0,MAX(0,$BJ110+IF($P110=AI$3,$R110,0)+IF($S110=AI$3,$U110,0)-$AI110))</f>
        <v/>
      </c>
      <c r="BL110">
        <f>IF($C110="",99,IF(AND($AX110&lt;1,V$3&gt;=MAX(N($P110),N($S110))),0,99))</f>
        <v/>
      </c>
      <c r="BM110">
        <f>IF($C110="",99,IF(AND($AY110&lt;1,W$3&gt;=MAX(N($P110),N($S110))),1,99))</f>
        <v/>
      </c>
      <c r="BN110">
        <f>IF($C110="",99,IF(AND($AZ110&lt;1,X$3&gt;=MAX(N($P110),N($S110))),2,99))</f>
        <v/>
      </c>
      <c r="BO110">
        <f>IF($C110="",99,IF(AND($BA110&lt;1,Y$3&gt;=MAX(N($P110),N($S110))),3,99))</f>
        <v/>
      </c>
      <c r="BP110">
        <f>IF($C110="",99,IF(AND($BB110&lt;1,Z$3&gt;=MAX(N($P110),N($S110))),4,99))</f>
        <v/>
      </c>
      <c r="BQ110">
        <f>IF($C110="",99,IF(AND($BC110&lt;1,AA$3&gt;=MAX(N($P110),N($S110))),5,99))</f>
        <v/>
      </c>
      <c r="BR110">
        <f>IF($C110="",99,IF(AND($BD110&lt;1,AB$3&gt;=MAX(N($P110),N($S110))),6,99))</f>
        <v/>
      </c>
      <c r="BS110">
        <f>IF($C110="",99,IF(AND($BE110&lt;1,AC$3&gt;=MAX(N($P110),N($S110))),7,99))</f>
        <v/>
      </c>
      <c r="BT110">
        <f>IF($C110="",99,IF(AND($BF110&lt;1,AD$3&gt;=MAX(N($P110),N($S110))),8,99))</f>
        <v/>
      </c>
      <c r="BU110">
        <f>IF($C110="",99,IF(AND($BG110&lt;1,AE$3&gt;=MAX(N($P110),N($S110))),9,99))</f>
        <v/>
      </c>
      <c r="BV110">
        <f>IF($C110="",99,IF(AND($BH110&lt;1,AF$3&gt;=MAX(N($P110),N($S110))),10,99))</f>
        <v/>
      </c>
      <c r="BW110">
        <f>IF($C110="",99,IF(AND($BI110&lt;1,AG$3&gt;=MAX(N($P110),N($S110))),11,99))</f>
        <v/>
      </c>
      <c r="BX110">
        <f>IF($C110="",99,IF(AND($BJ110&lt;1,AH$3&gt;=MAX(N($P110),N($S110))),12,99))</f>
        <v/>
      </c>
      <c r="BY110">
        <f>IF($C110="",99,IF(AND($BK110&lt;1,AI$3&gt;=MAX(N($P110),N($S110))),13,99))</f>
        <v/>
      </c>
      <c r="BZ110">
        <f>IF(OR($C110="",$M110=""),"",COUNTIF($AJ110:$AW110,"&gt;=1"))</f>
        <v/>
      </c>
      <c r="CA110" s="90">
        <f>IF($BZ110="","",IF($BZ110&gt;=14,"",'設定'!$C$6+$BZ110))</f>
        <v/>
      </c>
      <c r="CB110">
        <f>IF(OR($C110="",$M110=""),"",MIN($BL110:$BY110))</f>
        <v/>
      </c>
      <c r="CC110" s="90">
        <f>IF($CB110="","",IF($CB110&gt;=99,"",'設定'!$C$6+$CB110))</f>
        <v/>
      </c>
      <c r="CD110">
        <f>IF(OR($C110="",$M110=""),"",AVERAGE($V110:$AI110))</f>
        <v/>
      </c>
      <c r="CE110">
        <f>IF($C110="","",IFERROR(IF(MATCH(IF(ISNUMBER($P110),$P110,'設定'!$C$6+N('設定'!$C$7)),$V$3:$AI$3,0)=1,MAX(0,N($L110)),INDEX($AJ110:$AW110,MATCH(IF(ISNUMBER($P110),$P110,'設定'!$C$6+N('設定'!$C$7)),$V$3:$AI$3,0)-1)),""))</f>
        <v/>
      </c>
      <c r="CF110">
        <f>IF(OR($C110="",$O110="",$CE110=""),"",IF($O110-$CE110&lt;=0,0,ROUNDUP(($O110-$CE110)/$G110,0)))</f>
        <v/>
      </c>
      <c r="CG110">
        <f>IF(OR($C110="",$CF110="",NOT(ISNUMBER($Q110))),0,MAX(0,$Q110-$CF110))</f>
        <v/>
      </c>
      <c r="CH110">
        <f>IF(OR($C110="",$O110="",$U110=0),0,IFERROR(ROUNDUP(MAX(0,IF(MATCH($S110,$V$3:$AI$3,0)=1,MAX(0,N($L110)),INDEX($AX110:$BK110,MATCH($S110,$V$3:$AI$3,0)-1))+$U110-$O110)/$G110,0),0))</f>
        <v/>
      </c>
      <c r="CI110">
        <f>IF($C110="","",IF(AND($P110="",$Q110=""),"",IF($P110="","⚠ 入庫日を ▼ から選んでください",IF(NOT(ISNUMBER($P110)),"⚠ 入庫日は ▼ から選んでください",IF($P110&lt;N('設定'!$C$6),"⚠ 入庫日が過去です（もう在庫に入っています）→ 消してください",IF($P110&gt;N('設定'!$C$6)+13,"⚠ 入庫日が14日より先です",IF(N($Q110)&lt;=0,"⚠ 入庫数を入れてください",IF($CG110&gt;0,"⚠ 目安より "&amp;$CG110&amp;" 多い（定数を超える）→ 減らす",""))))))))</f>
        <v/>
      </c>
      <c r="CJ110">
        <f>IF($C110="","",IF(AND($S110="",$T110=""),"",IF($S110="","⚠ 2便目：入庫日を ▼ から選んでください",IF(NOT(ISNUMBER($S110)),"⚠ 2便目：入庫日は ▼ から選んでください",IF($S110&lt;N('設定'!$C$6),"⚠ 2便目：入庫日が過去です（もう在庫に入っています）→ 消してください",IF($S110&gt;N('設定'!$C$6)+13,"⚠ 2便目：入庫日が14日より先です",IF(N($T110)&lt;=0,"⚠ 2便目：入庫数を入れてください",IF($CH110&gt;0,"⚠ 2便目：定数を "&amp;$CH110&amp;" ケース超える → 減らす",""))))))))</f>
        <v/>
      </c>
      <c r="CK110">
        <f>IF(AND($CI110="",N($Q110)&gt;0,ISNUMBER($P110)),1,0)</f>
        <v/>
      </c>
      <c r="CL110">
        <f>IF(AND($CJ110="",N($T110)&gt;0,ISNUMBER($S110)),1,0)</f>
        <v/>
      </c>
      <c r="CM110">
        <f>IF(OR($CK110=1,$CL110=1),1,0)</f>
        <v/>
      </c>
      <c r="CN110">
        <f>IF($C110="",0,($CK110*$R110+$CL110*$U110)*N($H110))</f>
        <v/>
      </c>
      <c r="CO110">
        <f>IF($C110="","",IF($CC110="","入庫後は 14日以上もつ",IF($CC110-N('設定'!$C$7)&lt;='設定'!$C$6,"入庫後も "&amp;TEXT($CC110,"m/d")&amp;"("&amp;CHOOSE(WEEKDAY($CC110),"日","月","火","水","木","金","土")&amp;")"&amp;" に切れる　もう1便を至急発注","入庫後も "&amp;TEXT($CC110,"m/d")&amp;"("&amp;CHOOSE(WEEKDAY($CC110),"日","月","火","水","木","金","土")&amp;")"&amp;" に切れる　"&amp;TEXT($CC110-N('設定'!$C$7),"m/d")&amp;"("&amp;CHOOSE(WEEKDAY($CC110-N('設定'!$C$7)),"日","月","火","水","木","金","土")&amp;")"&amp;" までに次を発注")))</f>
        <v/>
      </c>
      <c r="CP110">
        <f>IF($C110="","",IF('設定'!$C$6="","？ ①在庫を貼る に今日のCSVが貼られていない",IF($CS110=1,"－ 今日のCSVに無い（終売？）",IF($L110&lt;0,"● 在庫がマイナス　数えて「数えた在庫」に入れる",IF($L110=0,"● 在庫なし　至急発注",IF($M110="","？ 減り数が未設定（商品マスタ）",IF($B$3=0,"？ 動員が未入力（動員を入れる）",IF($CA110="","○ 14日以上もつ",IF($BZ110&lt;N('設定'!$C$7),"● "&amp;TEXT($CA110,"m/d")&amp;"("&amp;CHOOSE(WEEKDAY($CA110),"日","月","火","水","木","金","土")&amp;")"&amp;" に切れる　至急発注",IF($BZ110=N('設定'!$C$7),"● "&amp;TEXT($CA110,"m/d")&amp;"("&amp;CHOOSE(WEEKDAY($CA110),"日","月","火","水","木","金","土")&amp;")"&amp;" に切れる　今日発注","△ "&amp;TEXT($CA110,"m/d")&amp;"("&amp;CHOOSE(WEEKDAY($CA110),"日","月","火","水","木","金","土")&amp;")"&amp;" に切れる　"&amp;TEXT($CA110-N('設定'!$C$7),"m/d")&amp;"("&amp;CHOOSE(WEEKDAY($CA110-N('設定'!$C$7)),"日","月","火","水","木","金","土")&amp;")"&amp;" までに発注"))))))))))</f>
        <v/>
      </c>
      <c r="CQ110">
        <f>IF($C110="","",IF(AND($P110="",$Q110="",$S110="",$T110=""),"",IF(AND($P110="",$Q110=""),"⚠ 先に1便目（左の入庫日・入庫数）に入れてください",IF($CI110&lt;&gt;"",$CI110,IF($CJ110&lt;&gt;"",$CJ110,IF($M110="","？ 減り数が未設定（発注書には載ります）",IF($B$3=0,"？ 動員が未入力（発注書には載ります）",IF(AND($CA110&lt;&gt;"",$P110&gt;$CA110),IF($P110&gt;'設定'!$C$6+N('設定'!$C$7),"● "&amp;TEXT($P110,"m/d")&amp;"("&amp;CHOOSE(WEEKDAY($P110),"日","月","火","水","木","金","土")&amp;")"&amp;" の入庫では間に合わない（"&amp;TEXT($CA110,"m/d")&amp;"("&amp;CHOOSE(WEEKDAY($CA110),"日","月","火","水","木","金","土")&amp;")"&amp;" に切れる）　入庫日を早める","△ 欠品 "&amp;TEXT($CA110,"m/d")&amp;"("&amp;CHOOSE(WEEKDAY($CA110),"日","月","火","水","木","金","土")&amp;")"&amp;"〜"&amp;TEXT($P110-1,"m/d")&amp;"("&amp;CHOOSE(WEEKDAY($P110-1),"日","月","火","水","木","金","土")&amp;")"&amp;"　"&amp;$CO110),IF($CC110="","○ "&amp;TEXT($P110,"m/d")&amp;"("&amp;CHOOSE(WEEKDAY($P110),"日","月","火","水","木","金","土")&amp;")"&amp;" 入庫で 14日以上もつ",IF($CC110-N('設定'!$C$7)&lt;='設定'!$C$6,"● 入庫しても "&amp;TEXT($CC110,"m/d")&amp;"("&amp;CHOOSE(WEEKDAY($CC110),"日","月","火","水","木","金","土")&amp;")"&amp;" に切れる　もう1便を至急発注（2便目に入れる）","△ 入庫しても "&amp;TEXT($CC110,"m/d")&amp;"("&amp;CHOOSE(WEEKDAY($CC110),"日","月","火","水","木","金","土")&amp;")"&amp;" に切れる　"&amp;TEXT($CC110-N('設定'!$C$7),"m/d")&amp;"("&amp;CHOOSE(WEEKDAY($CC110-N('設定'!$C$7)),"日","月","火","水","木","金","土")&amp;")"&amp;" までに次を発注（2便目に入れる）"))))))))))</f>
        <v/>
      </c>
      <c r="CR110">
        <f>IF($C110="","",IF($G110&gt;1,"ｹｰｽ("&amp;$G110&amp;"入)","個"))</f>
        <v/>
      </c>
      <c r="CS110">
        <f>IF($C110="",0,IF(COUNTIFS('①在庫を貼る'!$V$6:$V$10005,'設定'!$C$4,'①在庫を貼る'!$W$6:$W$10005,$C110)=0,1,0))</f>
        <v/>
      </c>
      <c r="CT110">
        <f>IF(AND($CK110=1,OR('③発注書'!$C$4="すべて",'③発注書'!$C$4="",$F110='③発注書'!$C$4)),N($CT109)+1,N($CT109))</f>
        <v/>
      </c>
      <c r="CU110">
        <f>IF(AND($CL110=1,OR('③発注書'!$C$4="すべて",'③発注書'!$C$4="",$F110='③発注書'!$C$4)),N($CU109)+1,N($CU109))</f>
        <v/>
      </c>
      <c r="CV110">
        <f>IF($C110="",0,IF(COUNTIFS('①在庫を貼る'!$V$6:$V$10005,'設定'!$C$4,'①在庫を貼る'!$W$6:$W$10005,$C110)&gt;0,1,0))</f>
        <v/>
      </c>
      <c r="CW110">
        <f>IF($C110="",0,IF(COUNTIFS('月1回_1ヶ月前の在庫'!$V$6:$V$10005,'設定'!$C$4,'月1回_1ヶ月前の在庫'!$W$6:$W$10005,$C110)&gt;0,1,0))</f>
        <v/>
      </c>
      <c r="CX110">
        <f>IF($C110="",0,IF(COUNTIFS('月1回_2ヶ月前の在庫'!$V$6:$V$10005,'設定'!$C$4,'月1回_2ヶ月前の在庫'!$W$6:$W$10005,$C110)&gt;0,1,0))</f>
        <v/>
      </c>
      <c r="CY110">
        <f>IF(OR($C110="",'設定'!$C$12=""),"",IF('設定'!$C$13="",IF(AND($CV110=1,$CW110=0),"新商品（今月から）",IF(AND($CV110=0,$CW110=1),"終売（今月から）","")),IF(AND($CV110=1,$CW110=0,$CX110=0),"新商品（今月から）",IF(AND($CV110=1,$CW110=1,$CX110=0),"新商品（先月から）",IF(AND($CV110=0,$CW110=1,$CX110=1),"終売（今月から）",IF(AND($CV110=0,$CW110=0,$CX110=1),"終売（先月から）",IF(AND($CV110=1,$CW110=0,$CX110=1),"復活（先月は無し）","")))))))</f>
        <v/>
      </c>
    </row>
    <row r="111">
      <c r="B111">
        <f>IF(106&lt;='設定'!$C$11,106,"")</f>
        <v/>
      </c>
      <c r="C111">
        <f>IF($B111="","",IF($B111&lt;='設定'!$C$20,INDEX('商品マスタ'!$B$6:$B$1005,MATCH($B111,'商品マスタ'!$M$6:$M$1005,0)),IF($B111&lt;='設定'!$C$20+'設定'!$C$17,INDEX('①在庫を貼る'!$W$6:$W$10005,MATCH($B111-'設定'!$C$20,'①在庫を貼る'!$U$6:$U$10005,0)),IF($B111&lt;='設定'!$C$20+'設定'!$C$17+'設定'!$C$18,INDEX('月1回_1ヶ月前の在庫'!$W$6:$W$10005,MATCH($B111-'設定'!$C$20-'設定'!$C$17,'月1回_1ヶ月前の在庫'!$U$6:$U$10005,0)),INDEX('月1回_2ヶ月前の在庫'!$W$6:$W$10005,MATCH($B111-'設定'!$C$20-'設定'!$C$17-'設定'!$C$18,'月1回_2ヶ月前の在庫'!$U$6:$U$10005,0))))))</f>
        <v/>
      </c>
      <c r="D111">
        <f>IF($C111="","",IFERROR(IF(INDEX('商品マスタ'!$C$6:$C$1005,MATCH($C111,'商品マスタ'!$B$6:$B$1005,0))="",IFERROR(INDEX('①在庫を貼る'!$J$6:$J$10005,MATCH($C111,'①在庫を貼る'!$W$6:$W$10005,0)),IFERROR(INDEX('月1回_1ヶ月前の在庫'!$J$6:$J$10005,MATCH($C111,'月1回_1ヶ月前の在庫'!$W$6:$W$10005,0)),IFERROR(INDEX('月1回_2ヶ月前の在庫'!$J$6:$J$10005,MATCH($C111,'月1回_2ヶ月前の在庫'!$W$6:$W$10005,0)),""))),INDEX('商品マスタ'!$C$6:$C$1005,MATCH($C111,'商品マスタ'!$B$6:$B$1005,0))),IFERROR(INDEX('①在庫を貼る'!$J$6:$J$10005,MATCH($C111,'①在庫を貼る'!$W$6:$W$10005,0)),IFERROR(INDEX('月1回_1ヶ月前の在庫'!$J$6:$J$10005,MATCH($C111,'月1回_1ヶ月前の在庫'!$W$6:$W$10005,0)),IFERROR(INDEX('月1回_2ヶ月前の在庫'!$J$6:$J$10005,MATCH($C111,'月1回_2ヶ月前の在庫'!$W$6:$W$10005,0)),"")))))</f>
        <v/>
      </c>
      <c r="E111">
        <f>IF($C111="","",IFERROR(IF(INDEX('商品マスタ'!$D$6:$D$1005,MATCH($C111,'商品マスタ'!$B$6:$B$1005,0))="",IFERROR(INDEX('①在庫を貼る'!$H$6:$H$10005,MATCH($C111,'①在庫を貼る'!$W$6:$W$10005,0)),IFERROR(INDEX('月1回_1ヶ月前の在庫'!$H$6:$H$10005,MATCH($C111,'月1回_1ヶ月前の在庫'!$W$6:$W$10005,0)),IFERROR(INDEX('月1回_2ヶ月前の在庫'!$H$6:$H$10005,MATCH($C111,'月1回_2ヶ月前の在庫'!$W$6:$W$10005,0)),""))),INDEX('商品マスタ'!$D$6:$D$1005,MATCH($C111,'商品マスタ'!$B$6:$B$1005,0))),IFERROR(INDEX('①在庫を貼る'!$H$6:$H$10005,MATCH($C111,'①在庫を貼る'!$W$6:$W$10005,0)),IFERROR(INDEX('月1回_1ヶ月前の在庫'!$H$6:$H$10005,MATCH($C111,'月1回_1ヶ月前の在庫'!$W$6:$W$10005,0)),IFERROR(INDEX('月1回_2ヶ月前の在庫'!$H$6:$H$10005,MATCH($C111,'月1回_2ヶ月前の在庫'!$W$6:$W$10005,0)),"")))))</f>
        <v/>
      </c>
      <c r="F111">
        <f>IF($C111="","",IFERROR(IF(INDEX('商品マスタ'!$E$6:$E$1005,MATCH($C111,'商品マスタ'!$B$6:$B$1005,0))="",IFERROR(INDEX('①在庫を貼る'!$E$6:$E$10005,MATCH($C111,'①在庫を貼る'!$W$6:$W$10005,0)),IFERROR(INDEX('月1回_1ヶ月前の在庫'!$E$6:$E$10005,MATCH($C111,'月1回_1ヶ月前の在庫'!$W$6:$W$10005,0)),IFERROR(INDEX('月1回_2ヶ月前の在庫'!$E$6:$E$10005,MATCH($C111,'月1回_2ヶ月前の在庫'!$W$6:$W$10005,0)),""))),INDEX('商品マスタ'!$E$6:$E$1005,MATCH($C111,'商品マスタ'!$B$6:$B$1005,0))),IFERROR(INDEX('①在庫を貼る'!$E$6:$E$10005,MATCH($C111,'①在庫を貼る'!$W$6:$W$10005,0)),IFERROR(INDEX('月1回_1ヶ月前の在庫'!$E$6:$E$10005,MATCH($C111,'月1回_1ヶ月前の在庫'!$W$6:$W$10005,0)),IFERROR(INDEX('月1回_2ヶ月前の在庫'!$E$6:$E$10005,MATCH($C111,'月1回_2ヶ月前の在庫'!$W$6:$W$10005,0)),"")))))</f>
        <v/>
      </c>
      <c r="G111">
        <f>IF($C111="","",MAX(1,N(IFERROR(IF(INDEX('商品マスタ'!$F$6:$F$1005,MATCH($C111,'商品マスタ'!$B$6:$B$1005,0))="",IF(COUNTIFS('①在庫を貼る'!$V$6:$V$10005,'設定'!$C$4,'①在庫を貼る'!$W$6:$W$10005,$C111)&gt;0,SUMIFS('①在庫を貼る'!$K$6:$K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K$6:$K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K$6:$K$10005,'月1回_2ヶ月前の在庫'!$V$6:$V$10005,'設定'!$C$4,'月1回_2ヶ月前の在庫'!$W$6:$W$10005,$C111)/COUNTIFS('月1回_2ヶ月前の在庫'!$V$6:$V$10005,'設定'!$C$4,'月1回_2ヶ月前の在庫'!$W$6:$W$10005,$C111),0))),INDEX('商品マスタ'!$F$6:$F$1005,MATCH($C111,'商品マスタ'!$B$6:$B$1005,0))),IF(COUNTIFS('①在庫を貼る'!$V$6:$V$10005,'設定'!$C$4,'①在庫を貼る'!$W$6:$W$10005,$C111)&gt;0,SUMIFS('①在庫を貼る'!$K$6:$K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K$6:$K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K$6:$K$10005,'月1回_2ヶ月前の在庫'!$V$6:$V$10005,'設定'!$C$4,'月1回_2ヶ月前の在庫'!$W$6:$W$10005,$C111)/COUNTIFS('月1回_2ヶ月前の在庫'!$V$6:$V$10005,'設定'!$C$4,'月1回_2ヶ月前の在庫'!$W$6:$W$10005,$C111),0)))))))</f>
        <v/>
      </c>
      <c r="H111">
        <f>IF($C111="","",N(IFERROR(IF(INDEX('商品マスタ'!$G$6:$G$1005,MATCH($C111,'商品マスタ'!$B$6:$B$1005,0))="",IF(COUNTIFS('①在庫を貼る'!$V$6:$V$10005,'設定'!$C$4,'①在庫を貼る'!$W$6:$W$10005,$C111)&gt;0,SUMIFS('①在庫を貼る'!$Q$6:$Q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Q$6:$Q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Q$6:$Q$10005,'月1回_2ヶ月前の在庫'!$V$6:$V$10005,'設定'!$C$4,'月1回_2ヶ月前の在庫'!$W$6:$W$10005,$C111)/COUNTIFS('月1回_2ヶ月前の在庫'!$V$6:$V$10005,'設定'!$C$4,'月1回_2ヶ月前の在庫'!$W$6:$W$10005,$C111),0))),INDEX('商品マスタ'!$G$6:$G$1005,MATCH($C111,'商品マスタ'!$B$6:$B$1005,0))),IF(COUNTIFS('①在庫を貼る'!$V$6:$V$10005,'設定'!$C$4,'①在庫を貼る'!$W$6:$W$10005,$C111)&gt;0,SUMIFS('①在庫を貼る'!$Q$6:$Q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Q$6:$Q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Q$6:$Q$10005,'月1回_2ヶ月前の在庫'!$V$6:$V$10005,'設定'!$C$4,'月1回_2ヶ月前の在庫'!$W$6:$W$10005,$C111)/COUNTIFS('月1回_2ヶ月前の在庫'!$V$6:$V$10005,'設定'!$C$4,'月1回_2ヶ月前の在庫'!$W$6:$W$10005,$C111),0))))))</f>
        <v/>
      </c>
      <c r="I111">
        <f>IF($C111="","",IF(COUNTIFS('①在庫を貼る'!$V$6:$V$10005,'設定'!$C$4,'①在庫を貼る'!$W$6:$W$10005,$C111)=0,"",SUMIFS('①在庫を貼る'!$N$6:$N$10005,'①在庫を貼る'!$V$6:$V$10005,'設定'!$C$4,'①在庫を貼る'!$W$6:$W$10005,$C111)))</f>
        <v/>
      </c>
      <c r="J111">
        <f>IF($C111="","",IF('②発注する'!$AD115="","",'②発注する'!$AD115))</f>
        <v/>
      </c>
      <c r="K111" s="90">
        <f>IF($C111="","",IF('②発注する'!$AE115="","",'②発注する'!$AE115))</f>
        <v/>
      </c>
      <c r="L111">
        <f>IF($C111="","",IF(AND(ISNUMBER($J111),ISNUMBER($K111),$K111&gt;='設定'!$C$6),$J111,N($I111)))</f>
        <v/>
      </c>
      <c r="M111">
        <f>IF($C111="","",IFERROR(IF(N(INDEX('商品マスタ'!$J$6:$J$1005,MATCH($C111,'商品マスタ'!$B$6:$B$1005,0)))&gt;0,INDEX('商品マスタ'!$J$6:$J$1005,MATCH($C111,'商品マスタ'!$B$6:$B$1005,0)),""),""))</f>
        <v/>
      </c>
      <c r="N111">
        <f>IF($C111="","",IFERROR(IF(N(INDEX('商品マスタ'!$H$6:$H$1005,MATCH($C111,'商品マスタ'!$B$6:$B$1005,0)))&gt;0,INDEX('商品マスタ'!$H$6:$H$1005,MATCH($C111,'商品マスタ'!$B$6:$B$1005,0)),""),""))</f>
        <v/>
      </c>
      <c r="O111">
        <f>IF($C111="","",IF($N111&lt;&gt;"",$N111*$G111,IF(N(IF(COUNTIFS('①在庫を貼る'!$V$6:$V$10005,'設定'!$C$4,'①在庫を貼る'!$W$6:$W$10005,$C111)&gt;0,SUMIFS('①在庫を貼る'!$O$6:$O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O$6:$O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O$6:$O$10005,'月1回_2ヶ月前の在庫'!$V$6:$V$10005,'設定'!$C$4,'月1回_2ヶ月前の在庫'!$W$6:$W$10005,$C111)/COUNTIFS('月1回_2ヶ月前の在庫'!$V$6:$V$10005,'設定'!$C$4,'月1回_2ヶ月前の在庫'!$W$6:$W$10005,$C111),0))))&gt;0,N(IF(COUNTIFS('①在庫を貼る'!$V$6:$V$10005,'設定'!$C$4,'①在庫を貼る'!$W$6:$W$10005,$C111)&gt;0,SUMIFS('①在庫を貼る'!$O$6:$O$10005,'①在庫を貼る'!$V$6:$V$10005,'設定'!$C$4,'①在庫を貼る'!$W$6:$W$10005,$C111)/COUNTIFS('①在庫を貼る'!$V$6:$V$10005,'設定'!$C$4,'①在庫を貼る'!$W$6:$W$10005,$C111),IF(COUNTIFS('月1回_1ヶ月前の在庫'!$V$6:$V$10005,'設定'!$C$4,'月1回_1ヶ月前の在庫'!$W$6:$W$10005,$C111)&gt;0,SUMIFS('月1回_1ヶ月前の在庫'!$O$6:$O$10005,'月1回_1ヶ月前の在庫'!$V$6:$V$10005,'設定'!$C$4,'月1回_1ヶ月前の在庫'!$W$6:$W$10005,$C111)/COUNTIFS('月1回_1ヶ月前の在庫'!$V$6:$V$10005,'設定'!$C$4,'月1回_1ヶ月前の在庫'!$W$6:$W$10005,$C111),IF(COUNTIFS('月1回_2ヶ月前の在庫'!$V$6:$V$10005,'設定'!$C$4,'月1回_2ヶ月前の在庫'!$W$6:$W$10005,$C111)&gt;0,SUMIFS('月1回_2ヶ月前の在庫'!$O$6:$O$10005,'月1回_2ヶ月前の在庫'!$V$6:$V$10005,'設定'!$C$4,'月1回_2ヶ月前の在庫'!$W$6:$W$10005,$C111)/COUNTIFS('月1回_2ヶ月前の在庫'!$V$6:$V$10005,'設定'!$C$4,'月1回_2ヶ月前の在庫'!$W$6:$W$10005,$C111),0)))),"")))</f>
        <v/>
      </c>
      <c r="P111" s="90">
        <f>IF($C111="","",IF('②発注する'!$I115="","",'②発注する'!$I115))</f>
        <v/>
      </c>
      <c r="Q111">
        <f>IF($C111="","",IF('②発注する'!$J115="","",'②発注する'!$J115))</f>
        <v/>
      </c>
      <c r="R111">
        <f>IF($C111="",0,IF(AND(ISNUMBER($P111),ISNUMBER($Q111)),MAX(0,$Q111)*$G111,0))</f>
        <v/>
      </c>
      <c r="S111" s="90">
        <f>IF($C111="","",IF('②発注する'!$M115="","",'②発注する'!$M115))</f>
        <v/>
      </c>
      <c r="T111">
        <f>IF($C111="","",IF('②発注する'!$N115="","",'②発注する'!$N115))</f>
        <v/>
      </c>
      <c r="U111">
        <f>IF($C111="",0,IF(AND(ISNUMBER($S111),ISNUMBER($T111)),MAX(0,$T111)*$G111,0))</f>
        <v/>
      </c>
      <c r="V111">
        <f>IF($C111="",0,IF($M111="",0,MAX(0,$M111)*MAX(0,V$4)/100))</f>
        <v/>
      </c>
      <c r="W111">
        <f>IF($C111="",0,IF($M111="",0,MAX(0,$M111)*MAX(0,W$4)/100))</f>
        <v/>
      </c>
      <c r="X111">
        <f>IF($C111="",0,IF($M111="",0,MAX(0,$M111)*MAX(0,X$4)/100))</f>
        <v/>
      </c>
      <c r="Y111">
        <f>IF($C111="",0,IF($M111="",0,MAX(0,$M111)*MAX(0,Y$4)/100))</f>
        <v/>
      </c>
      <c r="Z111">
        <f>IF($C111="",0,IF($M111="",0,MAX(0,$M111)*MAX(0,Z$4)/100))</f>
        <v/>
      </c>
      <c r="AA111">
        <f>IF($C111="",0,IF($M111="",0,MAX(0,$M111)*MAX(0,AA$4)/100))</f>
        <v/>
      </c>
      <c r="AB111">
        <f>IF($C111="",0,IF($M111="",0,MAX(0,$M111)*MAX(0,AB$4)/100))</f>
        <v/>
      </c>
      <c r="AC111">
        <f>IF($C111="",0,IF($M111="",0,MAX(0,$M111)*MAX(0,AC$4)/100))</f>
        <v/>
      </c>
      <c r="AD111">
        <f>IF($C111="",0,IF($M111="",0,MAX(0,$M111)*MAX(0,AD$4)/100))</f>
        <v/>
      </c>
      <c r="AE111">
        <f>IF($C111="",0,IF($M111="",0,MAX(0,$M111)*MAX(0,AE$4)/100))</f>
        <v/>
      </c>
      <c r="AF111">
        <f>IF($C111="",0,IF($M111="",0,MAX(0,$M111)*MAX(0,AF$4)/100))</f>
        <v/>
      </c>
      <c r="AG111">
        <f>IF($C111="",0,IF($M111="",0,MAX(0,$M111)*MAX(0,AG$4)/100))</f>
        <v/>
      </c>
      <c r="AH111">
        <f>IF($C111="",0,IF($M111="",0,MAX(0,$M111)*MAX(0,AH$4)/100))</f>
        <v/>
      </c>
      <c r="AI111">
        <f>IF($C111="",0,IF($M111="",0,MAX(0,$M111)*MAX(0,AI$4)/100))</f>
        <v/>
      </c>
      <c r="AJ111">
        <f>IF($C111="",0,MAX(0,MAX(0,N($L111))-$V111))</f>
        <v/>
      </c>
      <c r="AK111">
        <f>IF($C111="",0,MAX(0,$AJ111-$W111))</f>
        <v/>
      </c>
      <c r="AL111">
        <f>IF($C111="",0,MAX(0,$AK111-$X111))</f>
        <v/>
      </c>
      <c r="AM111">
        <f>IF($C111="",0,MAX(0,$AL111-$Y111))</f>
        <v/>
      </c>
      <c r="AN111">
        <f>IF($C111="",0,MAX(0,$AM111-$Z111))</f>
        <v/>
      </c>
      <c r="AO111">
        <f>IF($C111="",0,MAX(0,$AN111-$AA111))</f>
        <v/>
      </c>
      <c r="AP111">
        <f>IF($C111="",0,MAX(0,$AO111-$AB111))</f>
        <v/>
      </c>
      <c r="AQ111">
        <f>IF($C111="",0,MAX(0,$AP111-$AC111))</f>
        <v/>
      </c>
      <c r="AR111">
        <f>IF($C111="",0,MAX(0,$AQ111-$AD111))</f>
        <v/>
      </c>
      <c r="AS111">
        <f>IF($C111="",0,MAX(0,$AR111-$AE111))</f>
        <v/>
      </c>
      <c r="AT111">
        <f>IF($C111="",0,MAX(0,$AS111-$AF111))</f>
        <v/>
      </c>
      <c r="AU111">
        <f>IF($C111="",0,MAX(0,$AT111-$AG111))</f>
        <v/>
      </c>
      <c r="AV111">
        <f>IF($C111="",0,MAX(0,$AU111-$AH111))</f>
        <v/>
      </c>
      <c r="AW111">
        <f>IF($C111="",0,MAX(0,$AV111-$AI111))</f>
        <v/>
      </c>
      <c r="AX111">
        <f>IF($C111="",0,MAX(0,MAX(0,N($L111))+IF($P111=V$3,$R111,0)+IF($S111=V$3,$U111,0)-$V111))</f>
        <v/>
      </c>
      <c r="AY111">
        <f>IF($C111="",0,MAX(0,$AX111+IF($P111=W$3,$R111,0)+IF($S111=W$3,$U111,0)-$W111))</f>
        <v/>
      </c>
      <c r="AZ111">
        <f>IF($C111="",0,MAX(0,$AY111+IF($P111=X$3,$R111,0)+IF($S111=X$3,$U111,0)-$X111))</f>
        <v/>
      </c>
      <c r="BA111">
        <f>IF($C111="",0,MAX(0,$AZ111+IF($P111=Y$3,$R111,0)+IF($S111=Y$3,$U111,0)-$Y111))</f>
        <v/>
      </c>
      <c r="BB111">
        <f>IF($C111="",0,MAX(0,$BA111+IF($P111=Z$3,$R111,0)+IF($S111=Z$3,$U111,0)-$Z111))</f>
        <v/>
      </c>
      <c r="BC111">
        <f>IF($C111="",0,MAX(0,$BB111+IF($P111=AA$3,$R111,0)+IF($S111=AA$3,$U111,0)-$AA111))</f>
        <v/>
      </c>
      <c r="BD111">
        <f>IF($C111="",0,MAX(0,$BC111+IF($P111=AB$3,$R111,0)+IF($S111=AB$3,$U111,0)-$AB111))</f>
        <v/>
      </c>
      <c r="BE111">
        <f>IF($C111="",0,MAX(0,$BD111+IF($P111=AC$3,$R111,0)+IF($S111=AC$3,$U111,0)-$AC111))</f>
        <v/>
      </c>
      <c r="BF111">
        <f>IF($C111="",0,MAX(0,$BE111+IF($P111=AD$3,$R111,0)+IF($S111=AD$3,$U111,0)-$AD111))</f>
        <v/>
      </c>
      <c r="BG111">
        <f>IF($C111="",0,MAX(0,$BF111+IF($P111=AE$3,$R111,0)+IF($S111=AE$3,$U111,0)-$AE111))</f>
        <v/>
      </c>
      <c r="BH111">
        <f>IF($C111="",0,MAX(0,$BG111+IF($P111=AF$3,$R111,0)+IF($S111=AF$3,$U111,0)-$AF111))</f>
        <v/>
      </c>
      <c r="BI111">
        <f>IF($C111="",0,MAX(0,$BH111+IF($P111=AG$3,$R111,0)+IF($S111=AG$3,$U111,0)-$AG111))</f>
        <v/>
      </c>
      <c r="BJ111">
        <f>IF($C111="",0,MAX(0,$BI111+IF($P111=AH$3,$R111,0)+IF($S111=AH$3,$U111,0)-$AH111))</f>
        <v/>
      </c>
      <c r="BK111">
        <f>IF($C111="",0,MAX(0,$BJ111+IF($P111=AI$3,$R111,0)+IF($S111=AI$3,$U111,0)-$AI111))</f>
        <v/>
      </c>
      <c r="BL111">
        <f>IF($C111="",99,IF(AND($AX111&lt;1,V$3&gt;=MAX(N($P111),N($S111))),0,99))</f>
        <v/>
      </c>
      <c r="BM111">
        <f>IF($C111="",99,IF(AND($AY111&lt;1,W$3&gt;=MAX(N($P111),N($S111))),1,99))</f>
        <v/>
      </c>
      <c r="BN111">
        <f>IF($C111="",99,IF(AND($AZ111&lt;1,X$3&gt;=MAX(N($P111),N($S111))),2,99))</f>
        <v/>
      </c>
      <c r="BO111">
        <f>IF($C111="",99,IF(AND($BA111&lt;1,Y$3&gt;=MAX(N($P111),N($S111))),3,99))</f>
        <v/>
      </c>
      <c r="BP111">
        <f>IF($C111="",99,IF(AND($BB111&lt;1,Z$3&gt;=MAX(N($P111),N($S111))),4,99))</f>
        <v/>
      </c>
      <c r="BQ111">
        <f>IF($C111="",99,IF(AND($BC111&lt;1,AA$3&gt;=MAX(N($P111),N($S111))),5,99))</f>
        <v/>
      </c>
      <c r="BR111">
        <f>IF($C111="",99,IF(AND($BD111&lt;1,AB$3&gt;=MAX(N($P111),N($S111))),6,99))</f>
        <v/>
      </c>
      <c r="BS111">
        <f>IF($C111="",99,IF(AND($BE111&lt;1,AC$3&gt;=MAX(N($P111),N($S111))),7,99))</f>
        <v/>
      </c>
      <c r="BT111">
        <f>IF($C111="",99,IF(AND($BF111&lt;1,AD$3&gt;=MAX(N($P111),N($S111))),8,99))</f>
        <v/>
      </c>
      <c r="BU111">
        <f>IF($C111="",99,IF(AND($BG111&lt;1,AE$3&gt;=MAX(N($P111),N($S111))),9,99))</f>
        <v/>
      </c>
      <c r="BV111">
        <f>IF($C111="",99,IF(AND($BH111&lt;1,AF$3&gt;=MAX(N($P111),N($S111))),10,99))</f>
        <v/>
      </c>
      <c r="BW111">
        <f>IF($C111="",99,IF(AND($BI111&lt;1,AG$3&gt;=MAX(N($P111),N($S111))),11,99))</f>
        <v/>
      </c>
      <c r="BX111">
        <f>IF($C111="",99,IF(AND($BJ111&lt;1,AH$3&gt;=MAX(N($P111),N($S111))),12,99))</f>
        <v/>
      </c>
      <c r="BY111">
        <f>IF($C111="",99,IF(AND($BK111&lt;1,AI$3&gt;=MAX(N($P111),N($S111))),13,99))</f>
        <v/>
      </c>
      <c r="BZ111">
        <f>IF(OR($C111="",$M111=""),"",COUNTIF($AJ111:$AW111,"&gt;=1"))</f>
        <v/>
      </c>
      <c r="CA111" s="90">
        <f>IF($BZ111="","",IF($BZ111&gt;=14,"",'設定'!$C$6+$BZ111))</f>
        <v/>
      </c>
      <c r="CB111">
        <f>IF(OR($C111="",$M111=""),"",MIN($BL111:$BY111))</f>
        <v/>
      </c>
      <c r="CC111" s="90">
        <f>IF($CB111="","",IF($CB111&gt;=99,"",'設定'!$C$6+$CB111))</f>
        <v/>
      </c>
      <c r="CD111">
        <f>IF(OR($C111="",$M111=""),"",AVERAGE($V111:$AI111))</f>
        <v/>
      </c>
      <c r="CE111">
        <f>IF($C111="","",IFERROR(IF(MATCH(IF(ISNUMBER($P111),$P111,'設定'!$C$6+N('設定'!$C$7)),$V$3:$AI$3,0)=1,MAX(0,N($L111)),INDEX($AJ111:$AW111,MATCH(IF(ISNUMBER($P111),$P111,'設定'!$C$6+N('設定'!$C$7)),$V$3:$AI$3,0)-1)),""))</f>
        <v/>
      </c>
      <c r="CF111">
        <f>IF(OR($C111="",$O111="",$CE111=""),"",IF($O111-$CE111&lt;=0,0,ROUNDUP(($O111-$CE111)/$G111,0)))</f>
        <v/>
      </c>
      <c r="CG111">
        <f>IF(OR($C111="",$CF111="",NOT(ISNUMBER($Q111))),0,MAX(0,$Q111-$CF111))</f>
        <v/>
      </c>
      <c r="CH111">
        <f>IF(OR($C111="",$O111="",$U111=0),0,IFERROR(ROUNDUP(MAX(0,IF(MATCH($S111,$V$3:$AI$3,0)=1,MAX(0,N($L111)),INDEX($AX111:$BK111,MATCH($S111,$V$3:$AI$3,0)-1))+$U111-$O111)/$G111,0),0))</f>
        <v/>
      </c>
      <c r="CI111">
        <f>IF($C111="","",IF(AND($P111="",$Q111=""),"",IF($P111="","⚠ 入庫日を ▼ から選んでください",IF(NOT(ISNUMBER($P111)),"⚠ 入庫日は ▼ から選んでください",IF($P111&lt;N('設定'!$C$6),"⚠ 入庫日が過去です（もう在庫に入っています）→ 消してください",IF($P111&gt;N('設定'!$C$6)+13,"⚠ 入庫日が14日より先です",IF(N($Q111)&lt;=0,"⚠ 入庫数を入れてください",IF($CG111&gt;0,"⚠ 目安より "&amp;$CG111&amp;" 多い（定数を超える）→ 減らす",""))))))))</f>
        <v/>
      </c>
      <c r="CJ111">
        <f>IF($C111="","",IF(AND($S111="",$T111=""),"",IF($S111="","⚠ 2便目：入庫日を ▼ から選んでください",IF(NOT(ISNUMBER($S111)),"⚠ 2便目：入庫日は ▼ から選んでください",IF($S111&lt;N('設定'!$C$6),"⚠ 2便目：入庫日が過去です（もう在庫に入っています）→ 消してください",IF($S111&gt;N('設定'!$C$6)+13,"⚠ 2便目：入庫日が14日より先です",IF(N($T111)&lt;=0,"⚠ 2便目：入庫数を入れてください",IF($CH111&gt;0,"⚠ 2便目：定数を "&amp;$CH111&amp;" ケース超える → 減らす",""))))))))</f>
        <v/>
      </c>
      <c r="CK111">
        <f>IF(AND($CI111="",N($Q111)&gt;0,ISNUMBER($P111)),1,0)</f>
        <v/>
      </c>
      <c r="CL111">
        <f>IF(AND($CJ111="",N($T111)&gt;0,ISNUMBER($S111)),1,0)</f>
        <v/>
      </c>
      <c r="CM111">
        <f>IF(OR($CK111=1,$CL111=1),1,0)</f>
        <v/>
      </c>
      <c r="CN111">
        <f>IF($C111="",0,($CK111*$R111+$CL111*$U111)*N($H111))</f>
        <v/>
      </c>
      <c r="CO111">
        <f>IF($C111="","",IF($CC111="","入庫後は 14日以上もつ",IF($CC111-N('設定'!$C$7)&lt;='設定'!$C$6,"入庫後も "&amp;TEXT($CC111,"m/d")&amp;"("&amp;CHOOSE(WEEKDAY($CC111),"日","月","火","水","木","金","土")&amp;")"&amp;" に切れる　もう1便を至急発注","入庫後も "&amp;TEXT($CC111,"m/d")&amp;"("&amp;CHOOSE(WEEKDAY($CC111),"日","月","火","水","木","金","土")&amp;")"&amp;" に切れる　"&amp;TEXT($CC111-N('設定'!$C$7),"m/d")&amp;"("&amp;CHOOSE(WEEKDAY($CC111-N('設定'!$C$7)),"日","月","火","水","木","金","土")&amp;")"&amp;" までに次を発注")))</f>
        <v/>
      </c>
      <c r="CP111">
        <f>IF($C111="","",IF('設定'!$C$6="","？ ①在庫を貼る に今日のCSVが貼られていない",IF($CS111=1,"－ 今日のCSVに無い（終売？）",IF($L111&lt;0,"● 在庫がマイナス　数えて「数えた在庫」に入れる",IF($L111=0,"● 在庫なし　至急発注",IF($M111="","？ 減り数が未設定（商品マスタ）",IF($B$3=0,"？ 動員が未入力（動員を入れる）",IF($CA111="","○ 14日以上もつ",IF($BZ111&lt;N('設定'!$C$7),"● "&amp;TEXT($CA111,"m/d")&amp;"("&amp;CHOOSE(WEEKDAY($CA111),"日","月","火","水","木","金","土")&amp;")"&amp;" に切れる　至急発注",IF($BZ111=N('設定'!$C$7),"● "&amp;TEXT($CA111,"m/d")&amp;"("&amp;CHOOSE(WEEKDAY($CA111),"日","月","火","水","木","金","土")&amp;")"&amp;" に切れる　今日発注","△ "&amp;TEXT($CA111,"m/d")&amp;"("&amp;CHOOSE(WEEKDAY($CA111),"日","月","火","水","木","金","土")&amp;")"&amp;" に切れる　"&amp;TEXT($CA111-N('設定'!$C$7),"m/d")&amp;"("&amp;CHOOSE(WEEKDAY($CA111-N('設定'!$C$7)),"日","月","火","水","木","金","土")&amp;")"&amp;" までに発注"))))))))))</f>
        <v/>
      </c>
      <c r="CQ111">
        <f>IF($C111="","",IF(AND($P111="",$Q111="",$S111="",$T111=""),"",IF(AND($P111="",$Q111=""),"⚠ 先に1便目（左の入庫日・入庫数）に入れてください",IF($CI111&lt;&gt;"",$CI111,IF($CJ111&lt;&gt;"",$CJ111,IF($M111="","？ 減り数が未設定（発注書には載ります）",IF($B$3=0,"？ 動員が未入力（発注書には載ります）",IF(AND($CA111&lt;&gt;"",$P111&gt;$CA111),IF($P111&gt;'設定'!$C$6+N('設定'!$C$7),"● "&amp;TEXT($P111,"m/d")&amp;"("&amp;CHOOSE(WEEKDAY($P111),"日","月","火","水","木","金","土")&amp;")"&amp;" の入庫では間に合わない（"&amp;TEXT($CA111,"m/d")&amp;"("&amp;CHOOSE(WEEKDAY($CA111),"日","月","火","水","木","金","土")&amp;")"&amp;" に切れる）　入庫日を早める","△ 欠品 "&amp;TEXT($CA111,"m/d")&amp;"("&amp;CHOOSE(WEEKDAY($CA111),"日","月","火","水","木","金","土")&amp;")"&amp;"〜"&amp;TEXT($P111-1,"m/d")&amp;"("&amp;CHOOSE(WEEKDAY($P111-1),"日","月","火","水","木","金","土")&amp;")"&amp;"　"&amp;$CO111),IF($CC111="","○ "&amp;TEXT($P111,"m/d")&amp;"("&amp;CHOOSE(WEEKDAY($P111),"日","月","火","水","木","金","土")&amp;")"&amp;" 入庫で 14日以上もつ",IF($CC111-N('設定'!$C$7)&lt;='設定'!$C$6,"● 入庫しても "&amp;TEXT($CC111,"m/d")&amp;"("&amp;CHOOSE(WEEKDAY($CC111),"日","月","火","水","木","金","土")&amp;")"&amp;" に切れる　もう1便を至急発注（2便目に入れる）","△ 入庫しても "&amp;TEXT($CC111,"m/d")&amp;"("&amp;CHOOSE(WEEKDAY($CC111),"日","月","火","水","木","金","土")&amp;")"&amp;" に切れる　"&amp;TEXT($CC111-N('設定'!$C$7),"m/d")&amp;"("&amp;CHOOSE(WEEKDAY($CC111-N('設定'!$C$7)),"日","月","火","水","木","金","土")&amp;")"&amp;" までに次を発注（2便目に入れる）"))))))))))</f>
        <v/>
      </c>
      <c r="CR111">
        <f>IF($C111="","",IF($G111&gt;1,"ｹｰｽ("&amp;$G111&amp;"入)","個"))</f>
        <v/>
      </c>
      <c r="CS111">
        <f>IF($C111="",0,IF(COUNTIFS('①在庫を貼る'!$V$6:$V$10005,'設定'!$C$4,'①在庫を貼る'!$W$6:$W$10005,$C111)=0,1,0))</f>
        <v/>
      </c>
      <c r="CT111">
        <f>IF(AND($CK111=1,OR('③発注書'!$C$4="すべて",'③発注書'!$C$4="",$F111='③発注書'!$C$4)),N($CT110)+1,N($CT110))</f>
        <v/>
      </c>
      <c r="CU111">
        <f>IF(AND($CL111=1,OR('③発注書'!$C$4="すべて",'③発注書'!$C$4="",$F111='③発注書'!$C$4)),N($CU110)+1,N($CU110))</f>
        <v/>
      </c>
      <c r="CV111">
        <f>IF($C111="",0,IF(COUNTIFS('①在庫を貼る'!$V$6:$V$10005,'設定'!$C$4,'①在庫を貼る'!$W$6:$W$10005,$C111)&gt;0,1,0))</f>
        <v/>
      </c>
      <c r="CW111">
        <f>IF($C111="",0,IF(COUNTIFS('月1回_1ヶ月前の在庫'!$V$6:$V$10005,'設定'!$C$4,'月1回_1ヶ月前の在庫'!$W$6:$W$10005,$C111)&gt;0,1,0))</f>
        <v/>
      </c>
      <c r="CX111">
        <f>IF($C111="",0,IF(COUNTIFS('月1回_2ヶ月前の在庫'!$V$6:$V$10005,'設定'!$C$4,'月1回_2ヶ月前の在庫'!$W$6:$W$10005,$C111)&gt;0,1,0))</f>
        <v/>
      </c>
      <c r="CY111">
        <f>IF(OR($C111="",'設定'!$C$12=""),"",IF('設定'!$C$13="",IF(AND($CV111=1,$CW111=0),"新商品（今月から）",IF(AND($CV111=0,$CW111=1),"終売（今月から）","")),IF(AND($CV111=1,$CW111=0,$CX111=0),"新商品（今月から）",IF(AND($CV111=1,$CW111=1,$CX111=0),"新商品（先月から）",IF(AND($CV111=0,$CW111=1,$CX111=1),"終売（今月から）",IF(AND($CV111=0,$CW111=0,$CX111=1),"終売（先月から）",IF(AND($CV111=1,$CW111=0,$CX111=1),"復活（先月は無し）","")))))))</f>
        <v/>
      </c>
    </row>
    <row r="112">
      <c r="B112">
        <f>IF(107&lt;='設定'!$C$11,107,"")</f>
        <v/>
      </c>
      <c r="C112">
        <f>IF($B112="","",IF($B112&lt;='設定'!$C$20,INDEX('商品マスタ'!$B$6:$B$1005,MATCH($B112,'商品マスタ'!$M$6:$M$1005,0)),IF($B112&lt;='設定'!$C$20+'設定'!$C$17,INDEX('①在庫を貼る'!$W$6:$W$10005,MATCH($B112-'設定'!$C$20,'①在庫を貼る'!$U$6:$U$10005,0)),IF($B112&lt;='設定'!$C$20+'設定'!$C$17+'設定'!$C$18,INDEX('月1回_1ヶ月前の在庫'!$W$6:$W$10005,MATCH($B112-'設定'!$C$20-'設定'!$C$17,'月1回_1ヶ月前の在庫'!$U$6:$U$10005,0)),INDEX('月1回_2ヶ月前の在庫'!$W$6:$W$10005,MATCH($B112-'設定'!$C$20-'設定'!$C$17-'設定'!$C$18,'月1回_2ヶ月前の在庫'!$U$6:$U$10005,0))))))</f>
        <v/>
      </c>
      <c r="D112">
        <f>IF($C112="","",IFERROR(IF(INDEX('商品マスタ'!$C$6:$C$1005,MATCH($C112,'商品マスタ'!$B$6:$B$1005,0))="",IFERROR(INDEX('①在庫を貼る'!$J$6:$J$10005,MATCH($C112,'①在庫を貼る'!$W$6:$W$10005,0)),IFERROR(INDEX('月1回_1ヶ月前の在庫'!$J$6:$J$10005,MATCH($C112,'月1回_1ヶ月前の在庫'!$W$6:$W$10005,0)),IFERROR(INDEX('月1回_2ヶ月前の在庫'!$J$6:$J$10005,MATCH($C112,'月1回_2ヶ月前の在庫'!$W$6:$W$10005,0)),""))),INDEX('商品マスタ'!$C$6:$C$1005,MATCH($C112,'商品マスタ'!$B$6:$B$1005,0))),IFERROR(INDEX('①在庫を貼る'!$J$6:$J$10005,MATCH($C112,'①在庫を貼る'!$W$6:$W$10005,0)),IFERROR(INDEX('月1回_1ヶ月前の在庫'!$J$6:$J$10005,MATCH($C112,'月1回_1ヶ月前の在庫'!$W$6:$W$10005,0)),IFERROR(INDEX('月1回_2ヶ月前の在庫'!$J$6:$J$10005,MATCH($C112,'月1回_2ヶ月前の在庫'!$W$6:$W$10005,0)),"")))))</f>
        <v/>
      </c>
      <c r="E112">
        <f>IF($C112="","",IFERROR(IF(INDEX('商品マスタ'!$D$6:$D$1005,MATCH($C112,'商品マスタ'!$B$6:$B$1005,0))="",IFERROR(INDEX('①在庫を貼る'!$H$6:$H$10005,MATCH($C112,'①在庫を貼る'!$W$6:$W$10005,0)),IFERROR(INDEX('月1回_1ヶ月前の在庫'!$H$6:$H$10005,MATCH($C112,'月1回_1ヶ月前の在庫'!$W$6:$W$10005,0)),IFERROR(INDEX('月1回_2ヶ月前の在庫'!$H$6:$H$10005,MATCH($C112,'月1回_2ヶ月前の在庫'!$W$6:$W$10005,0)),""))),INDEX('商品マスタ'!$D$6:$D$1005,MATCH($C112,'商品マスタ'!$B$6:$B$1005,0))),IFERROR(INDEX('①在庫を貼る'!$H$6:$H$10005,MATCH($C112,'①在庫を貼る'!$W$6:$W$10005,0)),IFERROR(INDEX('月1回_1ヶ月前の在庫'!$H$6:$H$10005,MATCH($C112,'月1回_1ヶ月前の在庫'!$W$6:$W$10005,0)),IFERROR(INDEX('月1回_2ヶ月前の在庫'!$H$6:$H$10005,MATCH($C112,'月1回_2ヶ月前の在庫'!$W$6:$W$10005,0)),"")))))</f>
        <v/>
      </c>
      <c r="F112">
        <f>IF($C112="","",IFERROR(IF(INDEX('商品マスタ'!$E$6:$E$1005,MATCH($C112,'商品マスタ'!$B$6:$B$1005,0))="",IFERROR(INDEX('①在庫を貼る'!$E$6:$E$10005,MATCH($C112,'①在庫を貼る'!$W$6:$W$10005,0)),IFERROR(INDEX('月1回_1ヶ月前の在庫'!$E$6:$E$10005,MATCH($C112,'月1回_1ヶ月前の在庫'!$W$6:$W$10005,0)),IFERROR(INDEX('月1回_2ヶ月前の在庫'!$E$6:$E$10005,MATCH($C112,'月1回_2ヶ月前の在庫'!$W$6:$W$10005,0)),""))),INDEX('商品マスタ'!$E$6:$E$1005,MATCH($C112,'商品マスタ'!$B$6:$B$1005,0))),IFERROR(INDEX('①在庫を貼る'!$E$6:$E$10005,MATCH($C112,'①在庫を貼る'!$W$6:$W$10005,0)),IFERROR(INDEX('月1回_1ヶ月前の在庫'!$E$6:$E$10005,MATCH($C112,'月1回_1ヶ月前の在庫'!$W$6:$W$10005,0)),IFERROR(INDEX('月1回_2ヶ月前の在庫'!$E$6:$E$10005,MATCH($C112,'月1回_2ヶ月前の在庫'!$W$6:$W$10005,0)),"")))))</f>
        <v/>
      </c>
      <c r="G112">
        <f>IF($C112="","",MAX(1,N(IFERROR(IF(INDEX('商品マスタ'!$F$6:$F$1005,MATCH($C112,'商品マスタ'!$B$6:$B$1005,0))="",IF(COUNTIFS('①在庫を貼る'!$V$6:$V$10005,'設定'!$C$4,'①在庫を貼る'!$W$6:$W$10005,$C112)&gt;0,SUMIFS('①在庫を貼る'!$K$6:$K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K$6:$K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K$6:$K$10005,'月1回_2ヶ月前の在庫'!$V$6:$V$10005,'設定'!$C$4,'月1回_2ヶ月前の在庫'!$W$6:$W$10005,$C112)/COUNTIFS('月1回_2ヶ月前の在庫'!$V$6:$V$10005,'設定'!$C$4,'月1回_2ヶ月前の在庫'!$W$6:$W$10005,$C112),0))),INDEX('商品マスタ'!$F$6:$F$1005,MATCH($C112,'商品マスタ'!$B$6:$B$1005,0))),IF(COUNTIFS('①在庫を貼る'!$V$6:$V$10005,'設定'!$C$4,'①在庫を貼る'!$W$6:$W$10005,$C112)&gt;0,SUMIFS('①在庫を貼る'!$K$6:$K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K$6:$K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K$6:$K$10005,'月1回_2ヶ月前の在庫'!$V$6:$V$10005,'設定'!$C$4,'月1回_2ヶ月前の在庫'!$W$6:$W$10005,$C112)/COUNTIFS('月1回_2ヶ月前の在庫'!$V$6:$V$10005,'設定'!$C$4,'月1回_2ヶ月前の在庫'!$W$6:$W$10005,$C112),0)))))))</f>
        <v/>
      </c>
      <c r="H112">
        <f>IF($C112="","",N(IFERROR(IF(INDEX('商品マスタ'!$G$6:$G$1005,MATCH($C112,'商品マスタ'!$B$6:$B$1005,0))="",IF(COUNTIFS('①在庫を貼る'!$V$6:$V$10005,'設定'!$C$4,'①在庫を貼る'!$W$6:$W$10005,$C112)&gt;0,SUMIFS('①在庫を貼る'!$Q$6:$Q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Q$6:$Q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Q$6:$Q$10005,'月1回_2ヶ月前の在庫'!$V$6:$V$10005,'設定'!$C$4,'月1回_2ヶ月前の在庫'!$W$6:$W$10005,$C112)/COUNTIFS('月1回_2ヶ月前の在庫'!$V$6:$V$10005,'設定'!$C$4,'月1回_2ヶ月前の在庫'!$W$6:$W$10005,$C112),0))),INDEX('商品マスタ'!$G$6:$G$1005,MATCH($C112,'商品マスタ'!$B$6:$B$1005,0))),IF(COUNTIFS('①在庫を貼る'!$V$6:$V$10005,'設定'!$C$4,'①在庫を貼る'!$W$6:$W$10005,$C112)&gt;0,SUMIFS('①在庫を貼る'!$Q$6:$Q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Q$6:$Q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Q$6:$Q$10005,'月1回_2ヶ月前の在庫'!$V$6:$V$10005,'設定'!$C$4,'月1回_2ヶ月前の在庫'!$W$6:$W$10005,$C112)/COUNTIFS('月1回_2ヶ月前の在庫'!$V$6:$V$10005,'設定'!$C$4,'月1回_2ヶ月前の在庫'!$W$6:$W$10005,$C112),0))))))</f>
        <v/>
      </c>
      <c r="I112">
        <f>IF($C112="","",IF(COUNTIFS('①在庫を貼る'!$V$6:$V$10005,'設定'!$C$4,'①在庫を貼る'!$W$6:$W$10005,$C112)=0,"",SUMIFS('①在庫を貼る'!$N$6:$N$10005,'①在庫を貼る'!$V$6:$V$10005,'設定'!$C$4,'①在庫を貼る'!$W$6:$W$10005,$C112)))</f>
        <v/>
      </c>
      <c r="J112">
        <f>IF($C112="","",IF('②発注する'!$AD116="","",'②発注する'!$AD116))</f>
        <v/>
      </c>
      <c r="K112" s="90">
        <f>IF($C112="","",IF('②発注する'!$AE116="","",'②発注する'!$AE116))</f>
        <v/>
      </c>
      <c r="L112">
        <f>IF($C112="","",IF(AND(ISNUMBER($J112),ISNUMBER($K112),$K112&gt;='設定'!$C$6),$J112,N($I112)))</f>
        <v/>
      </c>
      <c r="M112">
        <f>IF($C112="","",IFERROR(IF(N(INDEX('商品マスタ'!$J$6:$J$1005,MATCH($C112,'商品マスタ'!$B$6:$B$1005,0)))&gt;0,INDEX('商品マスタ'!$J$6:$J$1005,MATCH($C112,'商品マスタ'!$B$6:$B$1005,0)),""),""))</f>
        <v/>
      </c>
      <c r="N112">
        <f>IF($C112="","",IFERROR(IF(N(INDEX('商品マスタ'!$H$6:$H$1005,MATCH($C112,'商品マスタ'!$B$6:$B$1005,0)))&gt;0,INDEX('商品マスタ'!$H$6:$H$1005,MATCH($C112,'商品マスタ'!$B$6:$B$1005,0)),""),""))</f>
        <v/>
      </c>
      <c r="O112">
        <f>IF($C112="","",IF($N112&lt;&gt;"",$N112*$G112,IF(N(IF(COUNTIFS('①在庫を貼る'!$V$6:$V$10005,'設定'!$C$4,'①在庫を貼る'!$W$6:$W$10005,$C112)&gt;0,SUMIFS('①在庫を貼る'!$O$6:$O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O$6:$O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O$6:$O$10005,'月1回_2ヶ月前の在庫'!$V$6:$V$10005,'設定'!$C$4,'月1回_2ヶ月前の在庫'!$W$6:$W$10005,$C112)/COUNTIFS('月1回_2ヶ月前の在庫'!$V$6:$V$10005,'設定'!$C$4,'月1回_2ヶ月前の在庫'!$W$6:$W$10005,$C112),0))))&gt;0,N(IF(COUNTIFS('①在庫を貼る'!$V$6:$V$10005,'設定'!$C$4,'①在庫を貼る'!$W$6:$W$10005,$C112)&gt;0,SUMIFS('①在庫を貼る'!$O$6:$O$10005,'①在庫を貼る'!$V$6:$V$10005,'設定'!$C$4,'①在庫を貼る'!$W$6:$W$10005,$C112)/COUNTIFS('①在庫を貼る'!$V$6:$V$10005,'設定'!$C$4,'①在庫を貼る'!$W$6:$W$10005,$C112),IF(COUNTIFS('月1回_1ヶ月前の在庫'!$V$6:$V$10005,'設定'!$C$4,'月1回_1ヶ月前の在庫'!$W$6:$W$10005,$C112)&gt;0,SUMIFS('月1回_1ヶ月前の在庫'!$O$6:$O$10005,'月1回_1ヶ月前の在庫'!$V$6:$V$10005,'設定'!$C$4,'月1回_1ヶ月前の在庫'!$W$6:$W$10005,$C112)/COUNTIFS('月1回_1ヶ月前の在庫'!$V$6:$V$10005,'設定'!$C$4,'月1回_1ヶ月前の在庫'!$W$6:$W$10005,$C112),IF(COUNTIFS('月1回_2ヶ月前の在庫'!$V$6:$V$10005,'設定'!$C$4,'月1回_2ヶ月前の在庫'!$W$6:$W$10005,$C112)&gt;0,SUMIFS('月1回_2ヶ月前の在庫'!$O$6:$O$10005,'月1回_2ヶ月前の在庫'!$V$6:$V$10005,'設定'!$C$4,'月1回_2ヶ月前の在庫'!$W$6:$W$10005,$C112)/COUNTIFS('月1回_2ヶ月前の在庫'!$V$6:$V$10005,'設定'!$C$4,'月1回_2ヶ月前の在庫'!$W$6:$W$10005,$C112),0)))),"")))</f>
        <v/>
      </c>
      <c r="P112" s="90">
        <f>IF($C112="","",IF('②発注する'!$I116="","",'②発注する'!$I116))</f>
        <v/>
      </c>
      <c r="Q112">
        <f>IF($C112="","",IF('②発注する'!$J116="","",'②発注する'!$J116))</f>
        <v/>
      </c>
      <c r="R112">
        <f>IF($C112="",0,IF(AND(ISNUMBER($P112),ISNUMBER($Q112)),MAX(0,$Q112)*$G112,0))</f>
        <v/>
      </c>
      <c r="S112" s="90">
        <f>IF($C112="","",IF('②発注する'!$M116="","",'②発注する'!$M116))</f>
        <v/>
      </c>
      <c r="T112">
        <f>IF($C112="","",IF('②発注する'!$N116="","",'②発注する'!$N116))</f>
        <v/>
      </c>
      <c r="U112">
        <f>IF($C112="",0,IF(AND(ISNUMBER($S112),ISNUMBER($T112)),MAX(0,$T112)*$G112,0))</f>
        <v/>
      </c>
      <c r="V112">
        <f>IF($C112="",0,IF($M112="",0,MAX(0,$M112)*MAX(0,V$4)/100))</f>
        <v/>
      </c>
      <c r="W112">
        <f>IF($C112="",0,IF($M112="",0,MAX(0,$M112)*MAX(0,W$4)/100))</f>
        <v/>
      </c>
      <c r="X112">
        <f>IF($C112="",0,IF($M112="",0,MAX(0,$M112)*MAX(0,X$4)/100))</f>
        <v/>
      </c>
      <c r="Y112">
        <f>IF($C112="",0,IF($M112="",0,MAX(0,$M112)*MAX(0,Y$4)/100))</f>
        <v/>
      </c>
      <c r="Z112">
        <f>IF($C112="",0,IF($M112="",0,MAX(0,$M112)*MAX(0,Z$4)/100))</f>
        <v/>
      </c>
      <c r="AA112">
        <f>IF($C112="",0,IF($M112="",0,MAX(0,$M112)*MAX(0,AA$4)/100))</f>
        <v/>
      </c>
      <c r="AB112">
        <f>IF($C112="",0,IF($M112="",0,MAX(0,$M112)*MAX(0,AB$4)/100))</f>
        <v/>
      </c>
      <c r="AC112">
        <f>IF($C112="",0,IF($M112="",0,MAX(0,$M112)*MAX(0,AC$4)/100))</f>
        <v/>
      </c>
      <c r="AD112">
        <f>IF($C112="",0,IF($M112="",0,MAX(0,$M112)*MAX(0,AD$4)/100))</f>
        <v/>
      </c>
      <c r="AE112">
        <f>IF($C112="",0,IF($M112="",0,MAX(0,$M112)*MAX(0,AE$4)/100))</f>
        <v/>
      </c>
      <c r="AF112">
        <f>IF($C112="",0,IF($M112="",0,MAX(0,$M112)*MAX(0,AF$4)/100))</f>
        <v/>
      </c>
      <c r="AG112">
        <f>IF($C112="",0,IF($M112="",0,MAX(0,$M112)*MAX(0,AG$4)/100))</f>
        <v/>
      </c>
      <c r="AH112">
        <f>IF($C112="",0,IF($M112="",0,MAX(0,$M112)*MAX(0,AH$4)/100))</f>
        <v/>
      </c>
      <c r="AI112">
        <f>IF($C112="",0,IF($M112="",0,MAX(0,$M112)*MAX(0,AI$4)/100))</f>
        <v/>
      </c>
      <c r="AJ112">
        <f>IF($C112="",0,MAX(0,MAX(0,N($L112))-$V112))</f>
        <v/>
      </c>
      <c r="AK112">
        <f>IF($C112="",0,MAX(0,$AJ112-$W112))</f>
        <v/>
      </c>
      <c r="AL112">
        <f>IF($C112="",0,MAX(0,$AK112-$X112))</f>
        <v/>
      </c>
      <c r="AM112">
        <f>IF($C112="",0,MAX(0,$AL112-$Y112))</f>
        <v/>
      </c>
      <c r="AN112">
        <f>IF($C112="",0,MAX(0,$AM112-$Z112))</f>
        <v/>
      </c>
      <c r="AO112">
        <f>IF($C112="",0,MAX(0,$AN112-$AA112))</f>
        <v/>
      </c>
      <c r="AP112">
        <f>IF($C112="",0,MAX(0,$AO112-$AB112))</f>
        <v/>
      </c>
      <c r="AQ112">
        <f>IF($C112="",0,MAX(0,$AP112-$AC112))</f>
        <v/>
      </c>
      <c r="AR112">
        <f>IF($C112="",0,MAX(0,$AQ112-$AD112))</f>
        <v/>
      </c>
      <c r="AS112">
        <f>IF($C112="",0,MAX(0,$AR112-$AE112))</f>
        <v/>
      </c>
      <c r="AT112">
        <f>IF($C112="",0,MAX(0,$AS112-$AF112))</f>
        <v/>
      </c>
      <c r="AU112">
        <f>IF($C112="",0,MAX(0,$AT112-$AG112))</f>
        <v/>
      </c>
      <c r="AV112">
        <f>IF($C112="",0,MAX(0,$AU112-$AH112))</f>
        <v/>
      </c>
      <c r="AW112">
        <f>IF($C112="",0,MAX(0,$AV112-$AI112))</f>
        <v/>
      </c>
      <c r="AX112">
        <f>IF($C112="",0,MAX(0,MAX(0,N($L112))+IF($P112=V$3,$R112,0)+IF($S112=V$3,$U112,0)-$V112))</f>
        <v/>
      </c>
      <c r="AY112">
        <f>IF($C112="",0,MAX(0,$AX112+IF($P112=W$3,$R112,0)+IF($S112=W$3,$U112,0)-$W112))</f>
        <v/>
      </c>
      <c r="AZ112">
        <f>IF($C112="",0,MAX(0,$AY112+IF($P112=X$3,$R112,0)+IF($S112=X$3,$U112,0)-$X112))</f>
        <v/>
      </c>
      <c r="BA112">
        <f>IF($C112="",0,MAX(0,$AZ112+IF($P112=Y$3,$R112,0)+IF($S112=Y$3,$U112,0)-$Y112))</f>
        <v/>
      </c>
      <c r="BB112">
        <f>IF($C112="",0,MAX(0,$BA112+IF($P112=Z$3,$R112,0)+IF($S112=Z$3,$U112,0)-$Z112))</f>
        <v/>
      </c>
      <c r="BC112">
        <f>IF($C112="",0,MAX(0,$BB112+IF($P112=AA$3,$R112,0)+IF($S112=AA$3,$U112,0)-$AA112))</f>
        <v/>
      </c>
      <c r="BD112">
        <f>IF($C112="",0,MAX(0,$BC112+IF($P112=AB$3,$R112,0)+IF($S112=AB$3,$U112,0)-$AB112))</f>
        <v/>
      </c>
      <c r="BE112">
        <f>IF($C112="",0,MAX(0,$BD112+IF($P112=AC$3,$R112,0)+IF($S112=AC$3,$U112,0)-$AC112))</f>
        <v/>
      </c>
      <c r="BF112">
        <f>IF($C112="",0,MAX(0,$BE112+IF($P112=AD$3,$R112,0)+IF($S112=AD$3,$U112,0)-$AD112))</f>
        <v/>
      </c>
      <c r="BG112">
        <f>IF($C112="",0,MAX(0,$BF112+IF($P112=AE$3,$R112,0)+IF($S112=AE$3,$U112,0)-$AE112))</f>
        <v/>
      </c>
      <c r="BH112">
        <f>IF($C112="",0,MAX(0,$BG112+IF($P112=AF$3,$R112,0)+IF($S112=AF$3,$U112,0)-$AF112))</f>
        <v/>
      </c>
      <c r="BI112">
        <f>IF($C112="",0,MAX(0,$BH112+IF($P112=AG$3,$R112,0)+IF($S112=AG$3,$U112,0)-$AG112))</f>
        <v/>
      </c>
      <c r="BJ112">
        <f>IF($C112="",0,MAX(0,$BI112+IF($P112=AH$3,$R112,0)+IF($S112=AH$3,$U112,0)-$AH112))</f>
        <v/>
      </c>
      <c r="BK112">
        <f>IF($C112="",0,MAX(0,$BJ112+IF($P112=AI$3,$R112,0)+IF($S112=AI$3,$U112,0)-$AI112))</f>
        <v/>
      </c>
      <c r="BL112">
        <f>IF($C112="",99,IF(AND($AX112&lt;1,V$3&gt;=MAX(N($P112),N($S112))),0,99))</f>
        <v/>
      </c>
      <c r="BM112">
        <f>IF($C112="",99,IF(AND($AY112&lt;1,W$3&gt;=MAX(N($P112),N($S112))),1,99))</f>
        <v/>
      </c>
      <c r="BN112">
        <f>IF($C112="",99,IF(AND($AZ112&lt;1,X$3&gt;=MAX(N($P112),N($S112))),2,99))</f>
        <v/>
      </c>
      <c r="BO112">
        <f>IF($C112="",99,IF(AND($BA112&lt;1,Y$3&gt;=MAX(N($P112),N($S112))),3,99))</f>
        <v/>
      </c>
      <c r="BP112">
        <f>IF($C112="",99,IF(AND($BB112&lt;1,Z$3&gt;=MAX(N($P112),N($S112))),4,99))</f>
        <v/>
      </c>
      <c r="BQ112">
        <f>IF($C112="",99,IF(AND($BC112&lt;1,AA$3&gt;=MAX(N($P112),N($S112))),5,99))</f>
        <v/>
      </c>
      <c r="BR112">
        <f>IF($C112="",99,IF(AND($BD112&lt;1,AB$3&gt;=MAX(N($P112),N($S112))),6,99))</f>
        <v/>
      </c>
      <c r="BS112">
        <f>IF($C112="",99,IF(AND($BE112&lt;1,AC$3&gt;=MAX(N($P112),N($S112))),7,99))</f>
        <v/>
      </c>
      <c r="BT112">
        <f>IF($C112="",99,IF(AND($BF112&lt;1,AD$3&gt;=MAX(N($P112),N($S112))),8,99))</f>
        <v/>
      </c>
      <c r="BU112">
        <f>IF($C112="",99,IF(AND($BG112&lt;1,AE$3&gt;=MAX(N($P112),N($S112))),9,99))</f>
        <v/>
      </c>
      <c r="BV112">
        <f>IF($C112="",99,IF(AND($BH112&lt;1,AF$3&gt;=MAX(N($P112),N($S112))),10,99))</f>
        <v/>
      </c>
      <c r="BW112">
        <f>IF($C112="",99,IF(AND($BI112&lt;1,AG$3&gt;=MAX(N($P112),N($S112))),11,99))</f>
        <v/>
      </c>
      <c r="BX112">
        <f>IF($C112="",99,IF(AND($BJ112&lt;1,AH$3&gt;=MAX(N($P112),N($S112))),12,99))</f>
        <v/>
      </c>
      <c r="BY112">
        <f>IF($C112="",99,IF(AND($BK112&lt;1,AI$3&gt;=MAX(N($P112),N($S112))),13,99))</f>
        <v/>
      </c>
      <c r="BZ112">
        <f>IF(OR($C112="",$M112=""),"",COUNTIF($AJ112:$AW112,"&gt;=1"))</f>
        <v/>
      </c>
      <c r="CA112" s="90">
        <f>IF($BZ112="","",IF($BZ112&gt;=14,"",'設定'!$C$6+$BZ112))</f>
        <v/>
      </c>
      <c r="CB112">
        <f>IF(OR($C112="",$M112=""),"",MIN($BL112:$BY112))</f>
        <v/>
      </c>
      <c r="CC112" s="90">
        <f>IF($CB112="","",IF($CB112&gt;=99,"",'設定'!$C$6+$CB112))</f>
        <v/>
      </c>
      <c r="CD112">
        <f>IF(OR($C112="",$M112=""),"",AVERAGE($V112:$AI112))</f>
        <v/>
      </c>
      <c r="CE112">
        <f>IF($C112="","",IFERROR(IF(MATCH(IF(ISNUMBER($P112),$P112,'設定'!$C$6+N('設定'!$C$7)),$V$3:$AI$3,0)=1,MAX(0,N($L112)),INDEX($AJ112:$AW112,MATCH(IF(ISNUMBER($P112),$P112,'設定'!$C$6+N('設定'!$C$7)),$V$3:$AI$3,0)-1)),""))</f>
        <v/>
      </c>
      <c r="CF112">
        <f>IF(OR($C112="",$O112="",$CE112=""),"",IF($O112-$CE112&lt;=0,0,ROUNDUP(($O112-$CE112)/$G112,0)))</f>
        <v/>
      </c>
      <c r="CG112">
        <f>IF(OR($C112="",$CF112="",NOT(ISNUMBER($Q112))),0,MAX(0,$Q112-$CF112))</f>
        <v/>
      </c>
      <c r="CH112">
        <f>IF(OR($C112="",$O112="",$U112=0),0,IFERROR(ROUNDUP(MAX(0,IF(MATCH($S112,$V$3:$AI$3,0)=1,MAX(0,N($L112)),INDEX($AX112:$BK112,MATCH($S112,$V$3:$AI$3,0)-1))+$U112-$O112)/$G112,0),0))</f>
        <v/>
      </c>
      <c r="CI112">
        <f>IF($C112="","",IF(AND($P112="",$Q112=""),"",IF($P112="","⚠ 入庫日を ▼ から選んでください",IF(NOT(ISNUMBER($P112)),"⚠ 入庫日は ▼ から選んでください",IF($P112&lt;N('設定'!$C$6),"⚠ 入庫日が過去です（もう在庫に入っています）→ 消してください",IF($P112&gt;N('設定'!$C$6)+13,"⚠ 入庫日が14日より先です",IF(N($Q112)&lt;=0,"⚠ 入庫数を入れてください",IF($CG112&gt;0,"⚠ 目安より "&amp;$CG112&amp;" 多い（定数を超える）→ 減らす",""))))))))</f>
        <v/>
      </c>
      <c r="CJ112">
        <f>IF($C112="","",IF(AND($S112="",$T112=""),"",IF($S112="","⚠ 2便目：入庫日を ▼ から選んでください",IF(NOT(ISNUMBER($S112)),"⚠ 2便目：入庫日は ▼ から選んでください",IF($S112&lt;N('設定'!$C$6),"⚠ 2便目：入庫日が過去です（もう在庫に入っています）→ 消してください",IF($S112&gt;N('設定'!$C$6)+13,"⚠ 2便目：入庫日が14日より先です",IF(N($T112)&lt;=0,"⚠ 2便目：入庫数を入れてください",IF($CH112&gt;0,"⚠ 2便目：定数を "&amp;$CH112&amp;" ケース超える → 減らす",""))))))))</f>
        <v/>
      </c>
      <c r="CK112">
        <f>IF(AND($CI112="",N($Q112)&gt;0,ISNUMBER($P112)),1,0)</f>
        <v/>
      </c>
      <c r="CL112">
        <f>IF(AND($CJ112="",N($T112)&gt;0,ISNUMBER($S112)),1,0)</f>
        <v/>
      </c>
      <c r="CM112">
        <f>IF(OR($CK112=1,$CL112=1),1,0)</f>
        <v/>
      </c>
      <c r="CN112">
        <f>IF($C112="",0,($CK112*$R112+$CL112*$U112)*N($H112))</f>
        <v/>
      </c>
      <c r="CO112">
        <f>IF($C112="","",IF($CC112="","入庫後は 14日以上もつ",IF($CC112-N('設定'!$C$7)&lt;='設定'!$C$6,"入庫後も "&amp;TEXT($CC112,"m/d")&amp;"("&amp;CHOOSE(WEEKDAY($CC112),"日","月","火","水","木","金","土")&amp;")"&amp;" に切れる　もう1便を至急発注","入庫後も "&amp;TEXT($CC112,"m/d")&amp;"("&amp;CHOOSE(WEEKDAY($CC112),"日","月","火","水","木","金","土")&amp;")"&amp;" に切れる　"&amp;TEXT($CC112-N('設定'!$C$7),"m/d")&amp;"("&amp;CHOOSE(WEEKDAY($CC112-N('設定'!$C$7)),"日","月","火","水","木","金","土")&amp;")"&amp;" までに次を発注")))</f>
        <v/>
      </c>
      <c r="CP112">
        <f>IF($C112="","",IF('設定'!$C$6="","？ ①在庫を貼る に今日のCSVが貼られていない",IF($CS112=1,"－ 今日のCSVに無い（終売？）",IF($L112&lt;0,"● 在庫がマイナス　数えて「数えた在庫」に入れる",IF($L112=0,"● 在庫なし　至急発注",IF($M112="","？ 減り数が未設定（商品マスタ）",IF($B$3=0,"？ 動員が未入力（動員を入れる）",IF($CA112="","○ 14日以上もつ",IF($BZ112&lt;N('設定'!$C$7),"● "&amp;TEXT($CA112,"m/d")&amp;"("&amp;CHOOSE(WEEKDAY($CA112),"日","月","火","水","木","金","土")&amp;")"&amp;" に切れる　至急発注",IF($BZ112=N('設定'!$C$7),"● "&amp;TEXT($CA112,"m/d")&amp;"("&amp;CHOOSE(WEEKDAY($CA112),"日","月","火","水","木","金","土")&amp;")"&amp;" に切れる　今日発注","△ "&amp;TEXT($CA112,"m/d")&amp;"("&amp;CHOOSE(WEEKDAY($CA112),"日","月","火","水","木","金","土")&amp;")"&amp;" に切れる　"&amp;TEXT($CA112-N('設定'!$C$7),"m/d")&amp;"("&amp;CHOOSE(WEEKDAY($CA112-N('設定'!$C$7)),"日","月","火","水","木","金","土")&amp;")"&amp;" までに発注"))))))))))</f>
        <v/>
      </c>
      <c r="CQ112">
        <f>IF($C112="","",IF(AND($P112="",$Q112="",$S112="",$T112=""),"",IF(AND($P112="",$Q112=""),"⚠ 先に1便目（左の入庫日・入庫数）に入れてください",IF($CI112&lt;&gt;"",$CI112,IF($CJ112&lt;&gt;"",$CJ112,IF($M112="","？ 減り数が未設定（発注書には載ります）",IF($B$3=0,"？ 動員が未入力（発注書には載ります）",IF(AND($CA112&lt;&gt;"",$P112&gt;$CA112),IF($P112&gt;'設定'!$C$6+N('設定'!$C$7),"● "&amp;TEXT($P112,"m/d")&amp;"("&amp;CHOOSE(WEEKDAY($P112),"日","月","火","水","木","金","土")&amp;")"&amp;" の入庫では間に合わない（"&amp;TEXT($CA112,"m/d")&amp;"("&amp;CHOOSE(WEEKDAY($CA112),"日","月","火","水","木","金","土")&amp;")"&amp;" に切れる）　入庫日を早める","△ 欠品 "&amp;TEXT($CA112,"m/d")&amp;"("&amp;CHOOSE(WEEKDAY($CA112),"日","月","火","水","木","金","土")&amp;")"&amp;"〜"&amp;TEXT($P112-1,"m/d")&amp;"("&amp;CHOOSE(WEEKDAY($P112-1),"日","月","火","水","木","金","土")&amp;")"&amp;"　"&amp;$CO112),IF($CC112="","○ "&amp;TEXT($P112,"m/d")&amp;"("&amp;CHOOSE(WEEKDAY($P112),"日","月","火","水","木","金","土")&amp;")"&amp;" 入庫で 14日以上もつ",IF($CC112-N('設定'!$C$7)&lt;='設定'!$C$6,"● 入庫しても "&amp;TEXT($CC112,"m/d")&amp;"("&amp;CHOOSE(WEEKDAY($CC112),"日","月","火","水","木","金","土")&amp;")"&amp;" に切れる　もう1便を至急発注（2便目に入れる）","△ 入庫しても "&amp;TEXT($CC112,"m/d")&amp;"("&amp;CHOOSE(WEEKDAY($CC112),"日","月","火","水","木","金","土")&amp;")"&amp;" に切れる　"&amp;TEXT($CC112-N('設定'!$C$7),"m/d")&amp;"("&amp;CHOOSE(WEEKDAY($CC112-N('設定'!$C$7)),"日","月","火","水","木","金","土")&amp;")"&amp;" までに次を発注（2便目に入れる）"))))))))))</f>
        <v/>
      </c>
      <c r="CR112">
        <f>IF($C112="","",IF($G112&gt;1,"ｹｰｽ("&amp;$G112&amp;"入)","個"))</f>
        <v/>
      </c>
      <c r="CS112">
        <f>IF($C112="",0,IF(COUNTIFS('①在庫を貼る'!$V$6:$V$10005,'設定'!$C$4,'①在庫を貼る'!$W$6:$W$10005,$C112)=0,1,0))</f>
        <v/>
      </c>
      <c r="CT112">
        <f>IF(AND($CK112=1,OR('③発注書'!$C$4="すべて",'③発注書'!$C$4="",$F112='③発注書'!$C$4)),N($CT111)+1,N($CT111))</f>
        <v/>
      </c>
      <c r="CU112">
        <f>IF(AND($CL112=1,OR('③発注書'!$C$4="すべて",'③発注書'!$C$4="",$F112='③発注書'!$C$4)),N($CU111)+1,N($CU111))</f>
        <v/>
      </c>
      <c r="CV112">
        <f>IF($C112="",0,IF(COUNTIFS('①在庫を貼る'!$V$6:$V$10005,'設定'!$C$4,'①在庫を貼る'!$W$6:$W$10005,$C112)&gt;0,1,0))</f>
        <v/>
      </c>
      <c r="CW112">
        <f>IF($C112="",0,IF(COUNTIFS('月1回_1ヶ月前の在庫'!$V$6:$V$10005,'設定'!$C$4,'月1回_1ヶ月前の在庫'!$W$6:$W$10005,$C112)&gt;0,1,0))</f>
        <v/>
      </c>
      <c r="CX112">
        <f>IF($C112="",0,IF(COUNTIFS('月1回_2ヶ月前の在庫'!$V$6:$V$10005,'設定'!$C$4,'月1回_2ヶ月前の在庫'!$W$6:$W$10005,$C112)&gt;0,1,0))</f>
        <v/>
      </c>
      <c r="CY112">
        <f>IF(OR($C112="",'設定'!$C$12=""),"",IF('設定'!$C$13="",IF(AND($CV112=1,$CW112=0),"新商品（今月から）",IF(AND($CV112=0,$CW112=1),"終売（今月から）","")),IF(AND($CV112=1,$CW112=0,$CX112=0),"新商品（今月から）",IF(AND($CV112=1,$CW112=1,$CX112=0),"新商品（先月から）",IF(AND($CV112=0,$CW112=1,$CX112=1),"終売（今月から）",IF(AND($CV112=0,$CW112=0,$CX112=1),"終売（先月から）",IF(AND($CV112=1,$CW112=0,$CX112=1),"復活（先月は無し）","")))))))</f>
        <v/>
      </c>
    </row>
    <row r="113">
      <c r="B113">
        <f>IF(108&lt;='設定'!$C$11,108,"")</f>
        <v/>
      </c>
      <c r="C113">
        <f>IF($B113="","",IF($B113&lt;='設定'!$C$20,INDEX('商品マスタ'!$B$6:$B$1005,MATCH($B113,'商品マスタ'!$M$6:$M$1005,0)),IF($B113&lt;='設定'!$C$20+'設定'!$C$17,INDEX('①在庫を貼る'!$W$6:$W$10005,MATCH($B113-'設定'!$C$20,'①在庫を貼る'!$U$6:$U$10005,0)),IF($B113&lt;='設定'!$C$20+'設定'!$C$17+'設定'!$C$18,INDEX('月1回_1ヶ月前の在庫'!$W$6:$W$10005,MATCH($B113-'設定'!$C$20-'設定'!$C$17,'月1回_1ヶ月前の在庫'!$U$6:$U$10005,0)),INDEX('月1回_2ヶ月前の在庫'!$W$6:$W$10005,MATCH($B113-'設定'!$C$20-'設定'!$C$17-'設定'!$C$18,'月1回_2ヶ月前の在庫'!$U$6:$U$10005,0))))))</f>
        <v/>
      </c>
      <c r="D113">
        <f>IF($C113="","",IFERROR(IF(INDEX('商品マスタ'!$C$6:$C$1005,MATCH($C113,'商品マスタ'!$B$6:$B$1005,0))="",IFERROR(INDEX('①在庫を貼る'!$J$6:$J$10005,MATCH($C113,'①在庫を貼る'!$W$6:$W$10005,0)),IFERROR(INDEX('月1回_1ヶ月前の在庫'!$J$6:$J$10005,MATCH($C113,'月1回_1ヶ月前の在庫'!$W$6:$W$10005,0)),IFERROR(INDEX('月1回_2ヶ月前の在庫'!$J$6:$J$10005,MATCH($C113,'月1回_2ヶ月前の在庫'!$W$6:$W$10005,0)),""))),INDEX('商品マスタ'!$C$6:$C$1005,MATCH($C113,'商品マスタ'!$B$6:$B$1005,0))),IFERROR(INDEX('①在庫を貼る'!$J$6:$J$10005,MATCH($C113,'①在庫を貼る'!$W$6:$W$10005,0)),IFERROR(INDEX('月1回_1ヶ月前の在庫'!$J$6:$J$10005,MATCH($C113,'月1回_1ヶ月前の在庫'!$W$6:$W$10005,0)),IFERROR(INDEX('月1回_2ヶ月前の在庫'!$J$6:$J$10005,MATCH($C113,'月1回_2ヶ月前の在庫'!$W$6:$W$10005,0)),"")))))</f>
        <v/>
      </c>
      <c r="E113">
        <f>IF($C113="","",IFERROR(IF(INDEX('商品マスタ'!$D$6:$D$1005,MATCH($C113,'商品マスタ'!$B$6:$B$1005,0))="",IFERROR(INDEX('①在庫を貼る'!$H$6:$H$10005,MATCH($C113,'①在庫を貼る'!$W$6:$W$10005,0)),IFERROR(INDEX('月1回_1ヶ月前の在庫'!$H$6:$H$10005,MATCH($C113,'月1回_1ヶ月前の在庫'!$W$6:$W$10005,0)),IFERROR(INDEX('月1回_2ヶ月前の在庫'!$H$6:$H$10005,MATCH($C113,'月1回_2ヶ月前の在庫'!$W$6:$W$10005,0)),""))),INDEX('商品マスタ'!$D$6:$D$1005,MATCH($C113,'商品マスタ'!$B$6:$B$1005,0))),IFERROR(INDEX('①在庫を貼る'!$H$6:$H$10005,MATCH($C113,'①在庫を貼る'!$W$6:$W$10005,0)),IFERROR(INDEX('月1回_1ヶ月前の在庫'!$H$6:$H$10005,MATCH($C113,'月1回_1ヶ月前の在庫'!$W$6:$W$10005,0)),IFERROR(INDEX('月1回_2ヶ月前の在庫'!$H$6:$H$10005,MATCH($C113,'月1回_2ヶ月前の在庫'!$W$6:$W$10005,0)),"")))))</f>
        <v/>
      </c>
      <c r="F113">
        <f>IF($C113="","",IFERROR(IF(INDEX('商品マスタ'!$E$6:$E$1005,MATCH($C113,'商品マスタ'!$B$6:$B$1005,0))="",IFERROR(INDEX('①在庫を貼る'!$E$6:$E$10005,MATCH($C113,'①在庫を貼る'!$W$6:$W$10005,0)),IFERROR(INDEX('月1回_1ヶ月前の在庫'!$E$6:$E$10005,MATCH($C113,'月1回_1ヶ月前の在庫'!$W$6:$W$10005,0)),IFERROR(INDEX('月1回_2ヶ月前の在庫'!$E$6:$E$10005,MATCH($C113,'月1回_2ヶ月前の在庫'!$W$6:$W$10005,0)),""))),INDEX('商品マスタ'!$E$6:$E$1005,MATCH($C113,'商品マスタ'!$B$6:$B$1005,0))),IFERROR(INDEX('①在庫を貼る'!$E$6:$E$10005,MATCH($C113,'①在庫を貼る'!$W$6:$W$10005,0)),IFERROR(INDEX('月1回_1ヶ月前の在庫'!$E$6:$E$10005,MATCH($C113,'月1回_1ヶ月前の在庫'!$W$6:$W$10005,0)),IFERROR(INDEX('月1回_2ヶ月前の在庫'!$E$6:$E$10005,MATCH($C113,'月1回_2ヶ月前の在庫'!$W$6:$W$10005,0)),"")))))</f>
        <v/>
      </c>
      <c r="G113">
        <f>IF($C113="","",MAX(1,N(IFERROR(IF(INDEX('商品マスタ'!$F$6:$F$1005,MATCH($C113,'商品マスタ'!$B$6:$B$1005,0))="",IF(COUNTIFS('①在庫を貼る'!$V$6:$V$10005,'設定'!$C$4,'①在庫を貼る'!$W$6:$W$10005,$C113)&gt;0,SUMIFS('①在庫を貼る'!$K$6:$K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K$6:$K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K$6:$K$10005,'月1回_2ヶ月前の在庫'!$V$6:$V$10005,'設定'!$C$4,'月1回_2ヶ月前の在庫'!$W$6:$W$10005,$C113)/COUNTIFS('月1回_2ヶ月前の在庫'!$V$6:$V$10005,'設定'!$C$4,'月1回_2ヶ月前の在庫'!$W$6:$W$10005,$C113),0))),INDEX('商品マスタ'!$F$6:$F$1005,MATCH($C113,'商品マスタ'!$B$6:$B$1005,0))),IF(COUNTIFS('①在庫を貼る'!$V$6:$V$10005,'設定'!$C$4,'①在庫を貼る'!$W$6:$W$10005,$C113)&gt;0,SUMIFS('①在庫を貼る'!$K$6:$K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K$6:$K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K$6:$K$10005,'月1回_2ヶ月前の在庫'!$V$6:$V$10005,'設定'!$C$4,'月1回_2ヶ月前の在庫'!$W$6:$W$10005,$C113)/COUNTIFS('月1回_2ヶ月前の在庫'!$V$6:$V$10005,'設定'!$C$4,'月1回_2ヶ月前の在庫'!$W$6:$W$10005,$C113),0)))))))</f>
        <v/>
      </c>
      <c r="H113">
        <f>IF($C113="","",N(IFERROR(IF(INDEX('商品マスタ'!$G$6:$G$1005,MATCH($C113,'商品マスタ'!$B$6:$B$1005,0))="",IF(COUNTIFS('①在庫を貼る'!$V$6:$V$10005,'設定'!$C$4,'①在庫を貼る'!$W$6:$W$10005,$C113)&gt;0,SUMIFS('①在庫を貼る'!$Q$6:$Q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Q$6:$Q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Q$6:$Q$10005,'月1回_2ヶ月前の在庫'!$V$6:$V$10005,'設定'!$C$4,'月1回_2ヶ月前の在庫'!$W$6:$W$10005,$C113)/COUNTIFS('月1回_2ヶ月前の在庫'!$V$6:$V$10005,'設定'!$C$4,'月1回_2ヶ月前の在庫'!$W$6:$W$10005,$C113),0))),INDEX('商品マスタ'!$G$6:$G$1005,MATCH($C113,'商品マスタ'!$B$6:$B$1005,0))),IF(COUNTIFS('①在庫を貼る'!$V$6:$V$10005,'設定'!$C$4,'①在庫を貼る'!$W$6:$W$10005,$C113)&gt;0,SUMIFS('①在庫を貼る'!$Q$6:$Q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Q$6:$Q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Q$6:$Q$10005,'月1回_2ヶ月前の在庫'!$V$6:$V$10005,'設定'!$C$4,'月1回_2ヶ月前の在庫'!$W$6:$W$10005,$C113)/COUNTIFS('月1回_2ヶ月前の在庫'!$V$6:$V$10005,'設定'!$C$4,'月1回_2ヶ月前の在庫'!$W$6:$W$10005,$C113),0))))))</f>
        <v/>
      </c>
      <c r="I113">
        <f>IF($C113="","",IF(COUNTIFS('①在庫を貼る'!$V$6:$V$10005,'設定'!$C$4,'①在庫を貼る'!$W$6:$W$10005,$C113)=0,"",SUMIFS('①在庫を貼る'!$N$6:$N$10005,'①在庫を貼る'!$V$6:$V$10005,'設定'!$C$4,'①在庫を貼る'!$W$6:$W$10005,$C113)))</f>
        <v/>
      </c>
      <c r="J113">
        <f>IF($C113="","",IF('②発注する'!$AD117="","",'②発注する'!$AD117))</f>
        <v/>
      </c>
      <c r="K113" s="90">
        <f>IF($C113="","",IF('②発注する'!$AE117="","",'②発注する'!$AE117))</f>
        <v/>
      </c>
      <c r="L113">
        <f>IF($C113="","",IF(AND(ISNUMBER($J113),ISNUMBER($K113),$K113&gt;='設定'!$C$6),$J113,N($I113)))</f>
        <v/>
      </c>
      <c r="M113">
        <f>IF($C113="","",IFERROR(IF(N(INDEX('商品マスタ'!$J$6:$J$1005,MATCH($C113,'商品マスタ'!$B$6:$B$1005,0)))&gt;0,INDEX('商品マスタ'!$J$6:$J$1005,MATCH($C113,'商品マスタ'!$B$6:$B$1005,0)),""),""))</f>
        <v/>
      </c>
      <c r="N113">
        <f>IF($C113="","",IFERROR(IF(N(INDEX('商品マスタ'!$H$6:$H$1005,MATCH($C113,'商品マスタ'!$B$6:$B$1005,0)))&gt;0,INDEX('商品マスタ'!$H$6:$H$1005,MATCH($C113,'商品マスタ'!$B$6:$B$1005,0)),""),""))</f>
        <v/>
      </c>
      <c r="O113">
        <f>IF($C113="","",IF($N113&lt;&gt;"",$N113*$G113,IF(N(IF(COUNTIFS('①在庫を貼る'!$V$6:$V$10005,'設定'!$C$4,'①在庫を貼る'!$W$6:$W$10005,$C113)&gt;0,SUMIFS('①在庫を貼る'!$O$6:$O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O$6:$O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O$6:$O$10005,'月1回_2ヶ月前の在庫'!$V$6:$V$10005,'設定'!$C$4,'月1回_2ヶ月前の在庫'!$W$6:$W$10005,$C113)/COUNTIFS('月1回_2ヶ月前の在庫'!$V$6:$V$10005,'設定'!$C$4,'月1回_2ヶ月前の在庫'!$W$6:$W$10005,$C113),0))))&gt;0,N(IF(COUNTIFS('①在庫を貼る'!$V$6:$V$10005,'設定'!$C$4,'①在庫を貼る'!$W$6:$W$10005,$C113)&gt;0,SUMIFS('①在庫を貼る'!$O$6:$O$10005,'①在庫を貼る'!$V$6:$V$10005,'設定'!$C$4,'①在庫を貼る'!$W$6:$W$10005,$C113)/COUNTIFS('①在庫を貼る'!$V$6:$V$10005,'設定'!$C$4,'①在庫を貼る'!$W$6:$W$10005,$C113),IF(COUNTIFS('月1回_1ヶ月前の在庫'!$V$6:$V$10005,'設定'!$C$4,'月1回_1ヶ月前の在庫'!$W$6:$W$10005,$C113)&gt;0,SUMIFS('月1回_1ヶ月前の在庫'!$O$6:$O$10005,'月1回_1ヶ月前の在庫'!$V$6:$V$10005,'設定'!$C$4,'月1回_1ヶ月前の在庫'!$W$6:$W$10005,$C113)/COUNTIFS('月1回_1ヶ月前の在庫'!$V$6:$V$10005,'設定'!$C$4,'月1回_1ヶ月前の在庫'!$W$6:$W$10005,$C113),IF(COUNTIFS('月1回_2ヶ月前の在庫'!$V$6:$V$10005,'設定'!$C$4,'月1回_2ヶ月前の在庫'!$W$6:$W$10005,$C113)&gt;0,SUMIFS('月1回_2ヶ月前の在庫'!$O$6:$O$10005,'月1回_2ヶ月前の在庫'!$V$6:$V$10005,'設定'!$C$4,'月1回_2ヶ月前の在庫'!$W$6:$W$10005,$C113)/COUNTIFS('月1回_2ヶ月前の在庫'!$V$6:$V$10005,'設定'!$C$4,'月1回_2ヶ月前の在庫'!$W$6:$W$10005,$C113),0)))),"")))</f>
        <v/>
      </c>
      <c r="P113" s="90">
        <f>IF($C113="","",IF('②発注する'!$I117="","",'②発注する'!$I117))</f>
        <v/>
      </c>
      <c r="Q113">
        <f>IF($C113="","",IF('②発注する'!$J117="","",'②発注する'!$J117))</f>
        <v/>
      </c>
      <c r="R113">
        <f>IF($C113="",0,IF(AND(ISNUMBER($P113),ISNUMBER($Q113)),MAX(0,$Q113)*$G113,0))</f>
        <v/>
      </c>
      <c r="S113" s="90">
        <f>IF($C113="","",IF('②発注する'!$M117="","",'②発注する'!$M117))</f>
        <v/>
      </c>
      <c r="T113">
        <f>IF($C113="","",IF('②発注する'!$N117="","",'②発注する'!$N117))</f>
        <v/>
      </c>
      <c r="U113">
        <f>IF($C113="",0,IF(AND(ISNUMBER($S113),ISNUMBER($T113)),MAX(0,$T113)*$G113,0))</f>
        <v/>
      </c>
      <c r="V113">
        <f>IF($C113="",0,IF($M113="",0,MAX(0,$M113)*MAX(0,V$4)/100))</f>
        <v/>
      </c>
      <c r="W113">
        <f>IF($C113="",0,IF($M113="",0,MAX(0,$M113)*MAX(0,W$4)/100))</f>
        <v/>
      </c>
      <c r="X113">
        <f>IF($C113="",0,IF($M113="",0,MAX(0,$M113)*MAX(0,X$4)/100))</f>
        <v/>
      </c>
      <c r="Y113">
        <f>IF($C113="",0,IF($M113="",0,MAX(0,$M113)*MAX(0,Y$4)/100))</f>
        <v/>
      </c>
      <c r="Z113">
        <f>IF($C113="",0,IF($M113="",0,MAX(0,$M113)*MAX(0,Z$4)/100))</f>
        <v/>
      </c>
      <c r="AA113">
        <f>IF($C113="",0,IF($M113="",0,MAX(0,$M113)*MAX(0,AA$4)/100))</f>
        <v/>
      </c>
      <c r="AB113">
        <f>IF($C113="",0,IF($M113="",0,MAX(0,$M113)*MAX(0,AB$4)/100))</f>
        <v/>
      </c>
      <c r="AC113">
        <f>IF($C113="",0,IF($M113="",0,MAX(0,$M113)*MAX(0,AC$4)/100))</f>
        <v/>
      </c>
      <c r="AD113">
        <f>IF($C113="",0,IF($M113="",0,MAX(0,$M113)*MAX(0,AD$4)/100))</f>
        <v/>
      </c>
      <c r="AE113">
        <f>IF($C113="",0,IF($M113="",0,MAX(0,$M113)*MAX(0,AE$4)/100))</f>
        <v/>
      </c>
      <c r="AF113">
        <f>IF($C113="",0,IF($M113="",0,MAX(0,$M113)*MAX(0,AF$4)/100))</f>
        <v/>
      </c>
      <c r="AG113">
        <f>IF($C113="",0,IF($M113="",0,MAX(0,$M113)*MAX(0,AG$4)/100))</f>
        <v/>
      </c>
      <c r="AH113">
        <f>IF($C113="",0,IF($M113="",0,MAX(0,$M113)*MAX(0,AH$4)/100))</f>
        <v/>
      </c>
      <c r="AI113">
        <f>IF($C113="",0,IF($M113="",0,MAX(0,$M113)*MAX(0,AI$4)/100))</f>
        <v/>
      </c>
      <c r="AJ113">
        <f>IF($C113="",0,MAX(0,MAX(0,N($L113))-$V113))</f>
        <v/>
      </c>
      <c r="AK113">
        <f>IF($C113="",0,MAX(0,$AJ113-$W113))</f>
        <v/>
      </c>
      <c r="AL113">
        <f>IF($C113="",0,MAX(0,$AK113-$X113))</f>
        <v/>
      </c>
      <c r="AM113">
        <f>IF($C113="",0,MAX(0,$AL113-$Y113))</f>
        <v/>
      </c>
      <c r="AN113">
        <f>IF($C113="",0,MAX(0,$AM113-$Z113))</f>
        <v/>
      </c>
      <c r="AO113">
        <f>IF($C113="",0,MAX(0,$AN113-$AA113))</f>
        <v/>
      </c>
      <c r="AP113">
        <f>IF($C113="",0,MAX(0,$AO113-$AB113))</f>
        <v/>
      </c>
      <c r="AQ113">
        <f>IF($C113="",0,MAX(0,$AP113-$AC113))</f>
        <v/>
      </c>
      <c r="AR113">
        <f>IF($C113="",0,MAX(0,$AQ113-$AD113))</f>
        <v/>
      </c>
      <c r="AS113">
        <f>IF($C113="",0,MAX(0,$AR113-$AE113))</f>
        <v/>
      </c>
      <c r="AT113">
        <f>IF($C113="",0,MAX(0,$AS113-$AF113))</f>
        <v/>
      </c>
      <c r="AU113">
        <f>IF($C113="",0,MAX(0,$AT113-$AG113))</f>
        <v/>
      </c>
      <c r="AV113">
        <f>IF($C113="",0,MAX(0,$AU113-$AH113))</f>
        <v/>
      </c>
      <c r="AW113">
        <f>IF($C113="",0,MAX(0,$AV113-$AI113))</f>
        <v/>
      </c>
      <c r="AX113">
        <f>IF($C113="",0,MAX(0,MAX(0,N($L113))+IF($P113=V$3,$R113,0)+IF($S113=V$3,$U113,0)-$V113))</f>
        <v/>
      </c>
      <c r="AY113">
        <f>IF($C113="",0,MAX(0,$AX113+IF($P113=W$3,$R113,0)+IF($S113=W$3,$U113,0)-$W113))</f>
        <v/>
      </c>
      <c r="AZ113">
        <f>IF($C113="",0,MAX(0,$AY113+IF($P113=X$3,$R113,0)+IF($S113=X$3,$U113,0)-$X113))</f>
        <v/>
      </c>
      <c r="BA113">
        <f>IF($C113="",0,MAX(0,$AZ113+IF($P113=Y$3,$R113,0)+IF($S113=Y$3,$U113,0)-$Y113))</f>
        <v/>
      </c>
      <c r="BB113">
        <f>IF($C113="",0,MAX(0,$BA113+IF($P113=Z$3,$R113,0)+IF($S113=Z$3,$U113,0)-$Z113))</f>
        <v/>
      </c>
      <c r="BC113">
        <f>IF($C113="",0,MAX(0,$BB113+IF($P113=AA$3,$R113,0)+IF($S113=AA$3,$U113,0)-$AA113))</f>
        <v/>
      </c>
      <c r="BD113">
        <f>IF($C113="",0,MAX(0,$BC113+IF($P113=AB$3,$R113,0)+IF($S113=AB$3,$U113,0)-$AB113))</f>
        <v/>
      </c>
      <c r="BE113">
        <f>IF($C113="",0,MAX(0,$BD113+IF($P113=AC$3,$R113,0)+IF($S113=AC$3,$U113,0)-$AC113))</f>
        <v/>
      </c>
      <c r="BF113">
        <f>IF($C113="",0,MAX(0,$BE113+IF($P113=AD$3,$R113,0)+IF($S113=AD$3,$U113,0)-$AD113))</f>
        <v/>
      </c>
      <c r="BG113">
        <f>IF($C113="",0,MAX(0,$BF113+IF($P113=AE$3,$R113,0)+IF($S113=AE$3,$U113,0)-$AE113))</f>
        <v/>
      </c>
      <c r="BH113">
        <f>IF($C113="",0,MAX(0,$BG113+IF($P113=AF$3,$R113,0)+IF($S113=AF$3,$U113,0)-$AF113))</f>
        <v/>
      </c>
      <c r="BI113">
        <f>IF($C113="",0,MAX(0,$BH113+IF($P113=AG$3,$R113,0)+IF($S113=AG$3,$U113,0)-$AG113))</f>
        <v/>
      </c>
      <c r="BJ113">
        <f>IF($C113="",0,MAX(0,$BI113+IF($P113=AH$3,$R113,0)+IF($S113=AH$3,$U113,0)-$AH113))</f>
        <v/>
      </c>
      <c r="BK113">
        <f>IF($C113="",0,MAX(0,$BJ113+IF($P113=AI$3,$R113,0)+IF($S113=AI$3,$U113,0)-$AI113))</f>
        <v/>
      </c>
      <c r="BL113">
        <f>IF($C113="",99,IF(AND($AX113&lt;1,V$3&gt;=MAX(N($P113),N($S113))),0,99))</f>
        <v/>
      </c>
      <c r="BM113">
        <f>IF($C113="",99,IF(AND($AY113&lt;1,W$3&gt;=MAX(N($P113),N($S113))),1,99))</f>
        <v/>
      </c>
      <c r="BN113">
        <f>IF($C113="",99,IF(AND($AZ113&lt;1,X$3&gt;=MAX(N($P113),N($S113))),2,99))</f>
        <v/>
      </c>
      <c r="BO113">
        <f>IF($C113="",99,IF(AND($BA113&lt;1,Y$3&gt;=MAX(N($P113),N($S113))),3,99))</f>
        <v/>
      </c>
      <c r="BP113">
        <f>IF($C113="",99,IF(AND($BB113&lt;1,Z$3&gt;=MAX(N($P113),N($S113))),4,99))</f>
        <v/>
      </c>
      <c r="BQ113">
        <f>IF($C113="",99,IF(AND($BC113&lt;1,AA$3&gt;=MAX(N($P113),N($S113))),5,99))</f>
        <v/>
      </c>
      <c r="BR113">
        <f>IF($C113="",99,IF(AND($BD113&lt;1,AB$3&gt;=MAX(N($P113),N($S113))),6,99))</f>
        <v/>
      </c>
      <c r="BS113">
        <f>IF($C113="",99,IF(AND($BE113&lt;1,AC$3&gt;=MAX(N($P113),N($S113))),7,99))</f>
        <v/>
      </c>
      <c r="BT113">
        <f>IF($C113="",99,IF(AND($BF113&lt;1,AD$3&gt;=MAX(N($P113),N($S113))),8,99))</f>
        <v/>
      </c>
      <c r="BU113">
        <f>IF($C113="",99,IF(AND($BG113&lt;1,AE$3&gt;=MAX(N($P113),N($S113))),9,99))</f>
        <v/>
      </c>
      <c r="BV113">
        <f>IF($C113="",99,IF(AND($BH113&lt;1,AF$3&gt;=MAX(N($P113),N($S113))),10,99))</f>
        <v/>
      </c>
      <c r="BW113">
        <f>IF($C113="",99,IF(AND($BI113&lt;1,AG$3&gt;=MAX(N($P113),N($S113))),11,99))</f>
        <v/>
      </c>
      <c r="BX113">
        <f>IF($C113="",99,IF(AND($BJ113&lt;1,AH$3&gt;=MAX(N($P113),N($S113))),12,99))</f>
        <v/>
      </c>
      <c r="BY113">
        <f>IF($C113="",99,IF(AND($BK113&lt;1,AI$3&gt;=MAX(N($P113),N($S113))),13,99))</f>
        <v/>
      </c>
      <c r="BZ113">
        <f>IF(OR($C113="",$M113=""),"",COUNTIF($AJ113:$AW113,"&gt;=1"))</f>
        <v/>
      </c>
      <c r="CA113" s="90">
        <f>IF($BZ113="","",IF($BZ113&gt;=14,"",'設定'!$C$6+$BZ113))</f>
        <v/>
      </c>
      <c r="CB113">
        <f>IF(OR($C113="",$M113=""),"",MIN($BL113:$BY113))</f>
        <v/>
      </c>
      <c r="CC113" s="90">
        <f>IF($CB113="","",IF($CB113&gt;=99,"",'設定'!$C$6+$CB113))</f>
        <v/>
      </c>
      <c r="CD113">
        <f>IF(OR($C113="",$M113=""),"",AVERAGE($V113:$AI113))</f>
        <v/>
      </c>
      <c r="CE113">
        <f>IF($C113="","",IFERROR(IF(MATCH(IF(ISNUMBER($P113),$P113,'設定'!$C$6+N('設定'!$C$7)),$V$3:$AI$3,0)=1,MAX(0,N($L113)),INDEX($AJ113:$AW113,MATCH(IF(ISNUMBER($P113),$P113,'設定'!$C$6+N('設定'!$C$7)),$V$3:$AI$3,0)-1)),""))</f>
        <v/>
      </c>
      <c r="CF113">
        <f>IF(OR($C113="",$O113="",$CE113=""),"",IF($O113-$CE113&lt;=0,0,ROUNDUP(($O113-$CE113)/$G113,0)))</f>
        <v/>
      </c>
      <c r="CG113">
        <f>IF(OR($C113="",$CF113="",NOT(ISNUMBER($Q113))),0,MAX(0,$Q113-$CF113))</f>
        <v/>
      </c>
      <c r="CH113">
        <f>IF(OR($C113="",$O113="",$U113=0),0,IFERROR(ROUNDUP(MAX(0,IF(MATCH($S113,$V$3:$AI$3,0)=1,MAX(0,N($L113)),INDEX($AX113:$BK113,MATCH($S113,$V$3:$AI$3,0)-1))+$U113-$O113)/$G113,0),0))</f>
        <v/>
      </c>
      <c r="CI113">
        <f>IF($C113="","",IF(AND($P113="",$Q113=""),"",IF($P113="","⚠ 入庫日を ▼ から選んでください",IF(NOT(ISNUMBER($P113)),"⚠ 入庫日は ▼ から選んでください",IF($P113&lt;N('設定'!$C$6),"⚠ 入庫日が過去です（もう在庫に入っています）→ 消してください",IF($P113&gt;N('設定'!$C$6)+13,"⚠ 入庫日が14日より先です",IF(N($Q113)&lt;=0,"⚠ 入庫数を入れてください",IF($CG113&gt;0,"⚠ 目安より "&amp;$CG113&amp;" 多い（定数を超える）→ 減らす",""))))))))</f>
        <v/>
      </c>
      <c r="CJ113">
        <f>IF($C113="","",IF(AND($S113="",$T113=""),"",IF($S113="","⚠ 2便目：入庫日を ▼ から選んでください",IF(NOT(ISNUMBER($S113)),"⚠ 2便目：入庫日は ▼ から選んでください",IF($S113&lt;N('設定'!$C$6),"⚠ 2便目：入庫日が過去です（もう在庫に入っています）→ 消してください",IF($S113&gt;N('設定'!$C$6)+13,"⚠ 2便目：入庫日が14日より先です",IF(N($T113)&lt;=0,"⚠ 2便目：入庫数を入れてください",IF($CH113&gt;0,"⚠ 2便目：定数を "&amp;$CH113&amp;" ケース超える → 減らす",""))))))))</f>
        <v/>
      </c>
      <c r="CK113">
        <f>IF(AND($CI113="",N($Q113)&gt;0,ISNUMBER($P113)),1,0)</f>
        <v/>
      </c>
      <c r="CL113">
        <f>IF(AND($CJ113="",N($T113)&gt;0,ISNUMBER($S113)),1,0)</f>
        <v/>
      </c>
      <c r="CM113">
        <f>IF(OR($CK113=1,$CL113=1),1,0)</f>
        <v/>
      </c>
      <c r="CN113">
        <f>IF($C113="",0,($CK113*$R113+$CL113*$U113)*N($H113))</f>
        <v/>
      </c>
      <c r="CO113">
        <f>IF($C113="","",IF($CC113="","入庫後は 14日以上もつ",IF($CC113-N('設定'!$C$7)&lt;='設定'!$C$6,"入庫後も "&amp;TEXT($CC113,"m/d")&amp;"("&amp;CHOOSE(WEEKDAY($CC113),"日","月","火","水","木","金","土")&amp;")"&amp;" に切れる　もう1便を至急発注","入庫後も "&amp;TEXT($CC113,"m/d")&amp;"("&amp;CHOOSE(WEEKDAY($CC113),"日","月","火","水","木","金","土")&amp;")"&amp;" に切れる　"&amp;TEXT($CC113-N('設定'!$C$7),"m/d")&amp;"("&amp;CHOOSE(WEEKDAY($CC113-N('設定'!$C$7)),"日","月","火","水","木","金","土")&amp;")"&amp;" までに次を発注")))</f>
        <v/>
      </c>
      <c r="CP113">
        <f>IF($C113="","",IF('設定'!$C$6="","？ ①在庫を貼る に今日のCSVが貼られていない",IF($CS113=1,"－ 今日のCSVに無い（終売？）",IF($L113&lt;0,"● 在庫がマイナス　数えて「数えた在庫」に入れる",IF($L113=0,"● 在庫なし　至急発注",IF($M113="","？ 減り数が未設定（商品マスタ）",IF($B$3=0,"？ 動員が未入力（動員を入れる）",IF($CA113="","○ 14日以上もつ",IF($BZ113&lt;N('設定'!$C$7),"● "&amp;TEXT($CA113,"m/d")&amp;"("&amp;CHOOSE(WEEKDAY($CA113),"日","月","火","水","木","金","土")&amp;")"&amp;" に切れる　至急発注",IF($BZ113=N('設定'!$C$7),"● "&amp;TEXT($CA113,"m/d")&amp;"("&amp;CHOOSE(WEEKDAY($CA113),"日","月","火","水","木","金","土")&amp;")"&amp;" に切れる　今日発注","△ "&amp;TEXT($CA113,"m/d")&amp;"("&amp;CHOOSE(WEEKDAY($CA113),"日","月","火","水","木","金","土")&amp;")"&amp;" に切れる　"&amp;TEXT($CA113-N('設定'!$C$7),"m/d")&amp;"("&amp;CHOOSE(WEEKDAY($CA113-N('設定'!$C$7)),"日","月","火","水","木","金","土")&amp;")"&amp;" までに発注"))))))))))</f>
        <v/>
      </c>
      <c r="CQ113">
        <f>IF($C113="","",IF(AND($P113="",$Q113="",$S113="",$T113=""),"",IF(AND($P113="",$Q113=""),"⚠ 先に1便目（左の入庫日・入庫数）に入れてください",IF($CI113&lt;&gt;"",$CI113,IF($CJ113&lt;&gt;"",$CJ113,IF($M113="","？ 減り数が未設定（発注書には載ります）",IF($B$3=0,"？ 動員が未入力（発注書には載ります）",IF(AND($CA113&lt;&gt;"",$P113&gt;$CA113),IF($P113&gt;'設定'!$C$6+N('設定'!$C$7),"● "&amp;TEXT($P113,"m/d")&amp;"("&amp;CHOOSE(WEEKDAY($P113),"日","月","火","水","木","金","土")&amp;")"&amp;" の入庫では間に合わない（"&amp;TEXT($CA113,"m/d")&amp;"("&amp;CHOOSE(WEEKDAY($CA113),"日","月","火","水","木","金","土")&amp;")"&amp;" に切れる）　入庫日を早める","△ 欠品 "&amp;TEXT($CA113,"m/d")&amp;"("&amp;CHOOSE(WEEKDAY($CA113),"日","月","火","水","木","金","土")&amp;")"&amp;"〜"&amp;TEXT($P113-1,"m/d")&amp;"("&amp;CHOOSE(WEEKDAY($P113-1),"日","月","火","水","木","金","土")&amp;")"&amp;"　"&amp;$CO113),IF($CC113="","○ "&amp;TEXT($P113,"m/d")&amp;"("&amp;CHOOSE(WEEKDAY($P113),"日","月","火","水","木","金","土")&amp;")"&amp;" 入庫で 14日以上もつ",IF($CC113-N('設定'!$C$7)&lt;='設定'!$C$6,"● 入庫しても "&amp;TEXT($CC113,"m/d")&amp;"("&amp;CHOOSE(WEEKDAY($CC113),"日","月","火","水","木","金","土")&amp;")"&amp;" に切れる　もう1便を至急発注（2便目に入れる）","△ 入庫しても "&amp;TEXT($CC113,"m/d")&amp;"("&amp;CHOOSE(WEEKDAY($CC113),"日","月","火","水","木","金","土")&amp;")"&amp;" に切れる　"&amp;TEXT($CC113-N('設定'!$C$7),"m/d")&amp;"("&amp;CHOOSE(WEEKDAY($CC113-N('設定'!$C$7)),"日","月","火","水","木","金","土")&amp;")"&amp;" までに次を発注（2便目に入れる）"))))))))))</f>
        <v/>
      </c>
      <c r="CR113">
        <f>IF($C113="","",IF($G113&gt;1,"ｹｰｽ("&amp;$G113&amp;"入)","個"))</f>
        <v/>
      </c>
      <c r="CS113">
        <f>IF($C113="",0,IF(COUNTIFS('①在庫を貼る'!$V$6:$V$10005,'設定'!$C$4,'①在庫を貼る'!$W$6:$W$10005,$C113)=0,1,0))</f>
        <v/>
      </c>
      <c r="CT113">
        <f>IF(AND($CK113=1,OR('③発注書'!$C$4="すべて",'③発注書'!$C$4="",$F113='③発注書'!$C$4)),N($CT112)+1,N($CT112))</f>
        <v/>
      </c>
      <c r="CU113">
        <f>IF(AND($CL113=1,OR('③発注書'!$C$4="すべて",'③発注書'!$C$4="",$F113='③発注書'!$C$4)),N($CU112)+1,N($CU112))</f>
        <v/>
      </c>
      <c r="CV113">
        <f>IF($C113="",0,IF(COUNTIFS('①在庫を貼る'!$V$6:$V$10005,'設定'!$C$4,'①在庫を貼る'!$W$6:$W$10005,$C113)&gt;0,1,0))</f>
        <v/>
      </c>
      <c r="CW113">
        <f>IF($C113="",0,IF(COUNTIFS('月1回_1ヶ月前の在庫'!$V$6:$V$10005,'設定'!$C$4,'月1回_1ヶ月前の在庫'!$W$6:$W$10005,$C113)&gt;0,1,0))</f>
        <v/>
      </c>
      <c r="CX113">
        <f>IF($C113="",0,IF(COUNTIFS('月1回_2ヶ月前の在庫'!$V$6:$V$10005,'設定'!$C$4,'月1回_2ヶ月前の在庫'!$W$6:$W$10005,$C113)&gt;0,1,0))</f>
        <v/>
      </c>
      <c r="CY113">
        <f>IF(OR($C113="",'設定'!$C$12=""),"",IF('設定'!$C$13="",IF(AND($CV113=1,$CW113=0),"新商品（今月から）",IF(AND($CV113=0,$CW113=1),"終売（今月から）","")),IF(AND($CV113=1,$CW113=0,$CX113=0),"新商品（今月から）",IF(AND($CV113=1,$CW113=1,$CX113=0),"新商品（先月から）",IF(AND($CV113=0,$CW113=1,$CX113=1),"終売（今月から）",IF(AND($CV113=0,$CW113=0,$CX113=1),"終売（先月から）",IF(AND($CV113=1,$CW113=0,$CX113=1),"復活（先月は無し）","")))))))</f>
        <v/>
      </c>
    </row>
    <row r="114">
      <c r="B114">
        <f>IF(109&lt;='設定'!$C$11,109,"")</f>
        <v/>
      </c>
      <c r="C114">
        <f>IF($B114="","",IF($B114&lt;='設定'!$C$20,INDEX('商品マスタ'!$B$6:$B$1005,MATCH($B114,'商品マスタ'!$M$6:$M$1005,0)),IF($B114&lt;='設定'!$C$20+'設定'!$C$17,INDEX('①在庫を貼る'!$W$6:$W$10005,MATCH($B114-'設定'!$C$20,'①在庫を貼る'!$U$6:$U$10005,0)),IF($B114&lt;='設定'!$C$20+'設定'!$C$17+'設定'!$C$18,INDEX('月1回_1ヶ月前の在庫'!$W$6:$W$10005,MATCH($B114-'設定'!$C$20-'設定'!$C$17,'月1回_1ヶ月前の在庫'!$U$6:$U$10005,0)),INDEX('月1回_2ヶ月前の在庫'!$W$6:$W$10005,MATCH($B114-'設定'!$C$20-'設定'!$C$17-'設定'!$C$18,'月1回_2ヶ月前の在庫'!$U$6:$U$10005,0))))))</f>
        <v/>
      </c>
      <c r="D114">
        <f>IF($C114="","",IFERROR(IF(INDEX('商品マスタ'!$C$6:$C$1005,MATCH($C114,'商品マスタ'!$B$6:$B$1005,0))="",IFERROR(INDEX('①在庫を貼る'!$J$6:$J$10005,MATCH($C114,'①在庫を貼る'!$W$6:$W$10005,0)),IFERROR(INDEX('月1回_1ヶ月前の在庫'!$J$6:$J$10005,MATCH($C114,'月1回_1ヶ月前の在庫'!$W$6:$W$10005,0)),IFERROR(INDEX('月1回_2ヶ月前の在庫'!$J$6:$J$10005,MATCH($C114,'月1回_2ヶ月前の在庫'!$W$6:$W$10005,0)),""))),INDEX('商品マスタ'!$C$6:$C$1005,MATCH($C114,'商品マスタ'!$B$6:$B$1005,0))),IFERROR(INDEX('①在庫を貼る'!$J$6:$J$10005,MATCH($C114,'①在庫を貼る'!$W$6:$W$10005,0)),IFERROR(INDEX('月1回_1ヶ月前の在庫'!$J$6:$J$10005,MATCH($C114,'月1回_1ヶ月前の在庫'!$W$6:$W$10005,0)),IFERROR(INDEX('月1回_2ヶ月前の在庫'!$J$6:$J$10005,MATCH($C114,'月1回_2ヶ月前の在庫'!$W$6:$W$10005,0)),"")))))</f>
        <v/>
      </c>
      <c r="E114">
        <f>IF($C114="","",IFERROR(IF(INDEX('商品マスタ'!$D$6:$D$1005,MATCH($C114,'商品マスタ'!$B$6:$B$1005,0))="",IFERROR(INDEX('①在庫を貼る'!$H$6:$H$10005,MATCH($C114,'①在庫を貼る'!$W$6:$W$10005,0)),IFERROR(INDEX('月1回_1ヶ月前の在庫'!$H$6:$H$10005,MATCH($C114,'月1回_1ヶ月前の在庫'!$W$6:$W$10005,0)),IFERROR(INDEX('月1回_2ヶ月前の在庫'!$H$6:$H$10005,MATCH($C114,'月1回_2ヶ月前の在庫'!$W$6:$W$10005,0)),""))),INDEX('商品マスタ'!$D$6:$D$1005,MATCH($C114,'商品マスタ'!$B$6:$B$1005,0))),IFERROR(INDEX('①在庫を貼る'!$H$6:$H$10005,MATCH($C114,'①在庫を貼る'!$W$6:$W$10005,0)),IFERROR(INDEX('月1回_1ヶ月前の在庫'!$H$6:$H$10005,MATCH($C114,'月1回_1ヶ月前の在庫'!$W$6:$W$10005,0)),IFERROR(INDEX('月1回_2ヶ月前の在庫'!$H$6:$H$10005,MATCH($C114,'月1回_2ヶ月前の在庫'!$W$6:$W$10005,0)),"")))))</f>
        <v/>
      </c>
      <c r="F114">
        <f>IF($C114="","",IFERROR(IF(INDEX('商品マスタ'!$E$6:$E$1005,MATCH($C114,'商品マスタ'!$B$6:$B$1005,0))="",IFERROR(INDEX('①在庫を貼る'!$E$6:$E$10005,MATCH($C114,'①在庫を貼る'!$W$6:$W$10005,0)),IFERROR(INDEX('月1回_1ヶ月前の在庫'!$E$6:$E$10005,MATCH($C114,'月1回_1ヶ月前の在庫'!$W$6:$W$10005,0)),IFERROR(INDEX('月1回_2ヶ月前の在庫'!$E$6:$E$10005,MATCH($C114,'月1回_2ヶ月前の在庫'!$W$6:$W$10005,0)),""))),INDEX('商品マスタ'!$E$6:$E$1005,MATCH($C114,'商品マスタ'!$B$6:$B$1005,0))),IFERROR(INDEX('①在庫を貼る'!$E$6:$E$10005,MATCH($C114,'①在庫を貼る'!$W$6:$W$10005,0)),IFERROR(INDEX('月1回_1ヶ月前の在庫'!$E$6:$E$10005,MATCH($C114,'月1回_1ヶ月前の在庫'!$W$6:$W$10005,0)),IFERROR(INDEX('月1回_2ヶ月前の在庫'!$E$6:$E$10005,MATCH($C114,'月1回_2ヶ月前の在庫'!$W$6:$W$10005,0)),"")))))</f>
        <v/>
      </c>
      <c r="G114">
        <f>IF($C114="","",MAX(1,N(IFERROR(IF(INDEX('商品マスタ'!$F$6:$F$1005,MATCH($C114,'商品マスタ'!$B$6:$B$1005,0))="",IF(COUNTIFS('①在庫を貼る'!$V$6:$V$10005,'設定'!$C$4,'①在庫を貼る'!$W$6:$W$10005,$C114)&gt;0,SUMIFS('①在庫を貼る'!$K$6:$K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K$6:$K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K$6:$K$10005,'月1回_2ヶ月前の在庫'!$V$6:$V$10005,'設定'!$C$4,'月1回_2ヶ月前の在庫'!$W$6:$W$10005,$C114)/COUNTIFS('月1回_2ヶ月前の在庫'!$V$6:$V$10005,'設定'!$C$4,'月1回_2ヶ月前の在庫'!$W$6:$W$10005,$C114),0))),INDEX('商品マスタ'!$F$6:$F$1005,MATCH($C114,'商品マスタ'!$B$6:$B$1005,0))),IF(COUNTIFS('①在庫を貼る'!$V$6:$V$10005,'設定'!$C$4,'①在庫を貼る'!$W$6:$W$10005,$C114)&gt;0,SUMIFS('①在庫を貼る'!$K$6:$K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K$6:$K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K$6:$K$10005,'月1回_2ヶ月前の在庫'!$V$6:$V$10005,'設定'!$C$4,'月1回_2ヶ月前の在庫'!$W$6:$W$10005,$C114)/COUNTIFS('月1回_2ヶ月前の在庫'!$V$6:$V$10005,'設定'!$C$4,'月1回_2ヶ月前の在庫'!$W$6:$W$10005,$C114),0)))))))</f>
        <v/>
      </c>
      <c r="H114">
        <f>IF($C114="","",N(IFERROR(IF(INDEX('商品マスタ'!$G$6:$G$1005,MATCH($C114,'商品マスタ'!$B$6:$B$1005,0))="",IF(COUNTIFS('①在庫を貼る'!$V$6:$V$10005,'設定'!$C$4,'①在庫を貼る'!$W$6:$W$10005,$C114)&gt;0,SUMIFS('①在庫を貼る'!$Q$6:$Q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Q$6:$Q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Q$6:$Q$10005,'月1回_2ヶ月前の在庫'!$V$6:$V$10005,'設定'!$C$4,'月1回_2ヶ月前の在庫'!$W$6:$W$10005,$C114)/COUNTIFS('月1回_2ヶ月前の在庫'!$V$6:$V$10005,'設定'!$C$4,'月1回_2ヶ月前の在庫'!$W$6:$W$10005,$C114),0))),INDEX('商品マスタ'!$G$6:$G$1005,MATCH($C114,'商品マスタ'!$B$6:$B$1005,0))),IF(COUNTIFS('①在庫を貼る'!$V$6:$V$10005,'設定'!$C$4,'①在庫を貼る'!$W$6:$W$10005,$C114)&gt;0,SUMIFS('①在庫を貼る'!$Q$6:$Q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Q$6:$Q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Q$6:$Q$10005,'月1回_2ヶ月前の在庫'!$V$6:$V$10005,'設定'!$C$4,'月1回_2ヶ月前の在庫'!$W$6:$W$10005,$C114)/COUNTIFS('月1回_2ヶ月前の在庫'!$V$6:$V$10005,'設定'!$C$4,'月1回_2ヶ月前の在庫'!$W$6:$W$10005,$C114),0))))))</f>
        <v/>
      </c>
      <c r="I114">
        <f>IF($C114="","",IF(COUNTIFS('①在庫を貼る'!$V$6:$V$10005,'設定'!$C$4,'①在庫を貼る'!$W$6:$W$10005,$C114)=0,"",SUMIFS('①在庫を貼る'!$N$6:$N$10005,'①在庫を貼る'!$V$6:$V$10005,'設定'!$C$4,'①在庫を貼る'!$W$6:$W$10005,$C114)))</f>
        <v/>
      </c>
      <c r="J114">
        <f>IF($C114="","",IF('②発注する'!$AD118="","",'②発注する'!$AD118))</f>
        <v/>
      </c>
      <c r="K114" s="90">
        <f>IF($C114="","",IF('②発注する'!$AE118="","",'②発注する'!$AE118))</f>
        <v/>
      </c>
      <c r="L114">
        <f>IF($C114="","",IF(AND(ISNUMBER($J114),ISNUMBER($K114),$K114&gt;='設定'!$C$6),$J114,N($I114)))</f>
        <v/>
      </c>
      <c r="M114">
        <f>IF($C114="","",IFERROR(IF(N(INDEX('商品マスタ'!$J$6:$J$1005,MATCH($C114,'商品マスタ'!$B$6:$B$1005,0)))&gt;0,INDEX('商品マスタ'!$J$6:$J$1005,MATCH($C114,'商品マスタ'!$B$6:$B$1005,0)),""),""))</f>
        <v/>
      </c>
      <c r="N114">
        <f>IF($C114="","",IFERROR(IF(N(INDEX('商品マスタ'!$H$6:$H$1005,MATCH($C114,'商品マスタ'!$B$6:$B$1005,0)))&gt;0,INDEX('商品マスタ'!$H$6:$H$1005,MATCH($C114,'商品マスタ'!$B$6:$B$1005,0)),""),""))</f>
        <v/>
      </c>
      <c r="O114">
        <f>IF($C114="","",IF($N114&lt;&gt;"",$N114*$G114,IF(N(IF(COUNTIFS('①在庫を貼る'!$V$6:$V$10005,'設定'!$C$4,'①在庫を貼る'!$W$6:$W$10005,$C114)&gt;0,SUMIFS('①在庫を貼る'!$O$6:$O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O$6:$O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O$6:$O$10005,'月1回_2ヶ月前の在庫'!$V$6:$V$10005,'設定'!$C$4,'月1回_2ヶ月前の在庫'!$W$6:$W$10005,$C114)/COUNTIFS('月1回_2ヶ月前の在庫'!$V$6:$V$10005,'設定'!$C$4,'月1回_2ヶ月前の在庫'!$W$6:$W$10005,$C114),0))))&gt;0,N(IF(COUNTIFS('①在庫を貼る'!$V$6:$V$10005,'設定'!$C$4,'①在庫を貼る'!$W$6:$W$10005,$C114)&gt;0,SUMIFS('①在庫を貼る'!$O$6:$O$10005,'①在庫を貼る'!$V$6:$V$10005,'設定'!$C$4,'①在庫を貼る'!$W$6:$W$10005,$C114)/COUNTIFS('①在庫を貼る'!$V$6:$V$10005,'設定'!$C$4,'①在庫を貼る'!$W$6:$W$10005,$C114),IF(COUNTIFS('月1回_1ヶ月前の在庫'!$V$6:$V$10005,'設定'!$C$4,'月1回_1ヶ月前の在庫'!$W$6:$W$10005,$C114)&gt;0,SUMIFS('月1回_1ヶ月前の在庫'!$O$6:$O$10005,'月1回_1ヶ月前の在庫'!$V$6:$V$10005,'設定'!$C$4,'月1回_1ヶ月前の在庫'!$W$6:$W$10005,$C114)/COUNTIFS('月1回_1ヶ月前の在庫'!$V$6:$V$10005,'設定'!$C$4,'月1回_1ヶ月前の在庫'!$W$6:$W$10005,$C114),IF(COUNTIFS('月1回_2ヶ月前の在庫'!$V$6:$V$10005,'設定'!$C$4,'月1回_2ヶ月前の在庫'!$W$6:$W$10005,$C114)&gt;0,SUMIFS('月1回_2ヶ月前の在庫'!$O$6:$O$10005,'月1回_2ヶ月前の在庫'!$V$6:$V$10005,'設定'!$C$4,'月1回_2ヶ月前の在庫'!$W$6:$W$10005,$C114)/COUNTIFS('月1回_2ヶ月前の在庫'!$V$6:$V$10005,'設定'!$C$4,'月1回_2ヶ月前の在庫'!$W$6:$W$10005,$C114),0)))),"")))</f>
        <v/>
      </c>
      <c r="P114" s="90">
        <f>IF($C114="","",IF('②発注する'!$I118="","",'②発注する'!$I118))</f>
        <v/>
      </c>
      <c r="Q114">
        <f>IF($C114="","",IF('②発注する'!$J118="","",'②発注する'!$J118))</f>
        <v/>
      </c>
      <c r="R114">
        <f>IF($C114="",0,IF(AND(ISNUMBER($P114),ISNUMBER($Q114)),MAX(0,$Q114)*$G114,0))</f>
        <v/>
      </c>
      <c r="S114" s="90">
        <f>IF($C114="","",IF('②発注する'!$M118="","",'②発注する'!$M118))</f>
        <v/>
      </c>
      <c r="T114">
        <f>IF($C114="","",IF('②発注する'!$N118="","",'②発注する'!$N118))</f>
        <v/>
      </c>
      <c r="U114">
        <f>IF($C114="",0,IF(AND(ISNUMBER($S114),ISNUMBER($T114)),MAX(0,$T114)*$G114,0))</f>
        <v/>
      </c>
      <c r="V114">
        <f>IF($C114="",0,IF($M114="",0,MAX(0,$M114)*MAX(0,V$4)/100))</f>
        <v/>
      </c>
      <c r="W114">
        <f>IF($C114="",0,IF($M114="",0,MAX(0,$M114)*MAX(0,W$4)/100))</f>
        <v/>
      </c>
      <c r="X114">
        <f>IF($C114="",0,IF($M114="",0,MAX(0,$M114)*MAX(0,X$4)/100))</f>
        <v/>
      </c>
      <c r="Y114">
        <f>IF($C114="",0,IF($M114="",0,MAX(0,$M114)*MAX(0,Y$4)/100))</f>
        <v/>
      </c>
      <c r="Z114">
        <f>IF($C114="",0,IF($M114="",0,MAX(0,$M114)*MAX(0,Z$4)/100))</f>
        <v/>
      </c>
      <c r="AA114">
        <f>IF($C114="",0,IF($M114="",0,MAX(0,$M114)*MAX(0,AA$4)/100))</f>
        <v/>
      </c>
      <c r="AB114">
        <f>IF($C114="",0,IF($M114="",0,MAX(0,$M114)*MAX(0,AB$4)/100))</f>
        <v/>
      </c>
      <c r="AC114">
        <f>IF($C114="",0,IF($M114="",0,MAX(0,$M114)*MAX(0,AC$4)/100))</f>
        <v/>
      </c>
      <c r="AD114">
        <f>IF($C114="",0,IF($M114="",0,MAX(0,$M114)*MAX(0,AD$4)/100))</f>
        <v/>
      </c>
      <c r="AE114">
        <f>IF($C114="",0,IF($M114="",0,MAX(0,$M114)*MAX(0,AE$4)/100))</f>
        <v/>
      </c>
      <c r="AF114">
        <f>IF($C114="",0,IF($M114="",0,MAX(0,$M114)*MAX(0,AF$4)/100))</f>
        <v/>
      </c>
      <c r="AG114">
        <f>IF($C114="",0,IF($M114="",0,MAX(0,$M114)*MAX(0,AG$4)/100))</f>
        <v/>
      </c>
      <c r="AH114">
        <f>IF($C114="",0,IF($M114="",0,MAX(0,$M114)*MAX(0,AH$4)/100))</f>
        <v/>
      </c>
      <c r="AI114">
        <f>IF($C114="",0,IF($M114="",0,MAX(0,$M114)*MAX(0,AI$4)/100))</f>
        <v/>
      </c>
      <c r="AJ114">
        <f>IF($C114="",0,MAX(0,MAX(0,N($L114))-$V114))</f>
        <v/>
      </c>
      <c r="AK114">
        <f>IF($C114="",0,MAX(0,$AJ114-$W114))</f>
        <v/>
      </c>
      <c r="AL114">
        <f>IF($C114="",0,MAX(0,$AK114-$X114))</f>
        <v/>
      </c>
      <c r="AM114">
        <f>IF($C114="",0,MAX(0,$AL114-$Y114))</f>
        <v/>
      </c>
      <c r="AN114">
        <f>IF($C114="",0,MAX(0,$AM114-$Z114))</f>
        <v/>
      </c>
      <c r="AO114">
        <f>IF($C114="",0,MAX(0,$AN114-$AA114))</f>
        <v/>
      </c>
      <c r="AP114">
        <f>IF($C114="",0,MAX(0,$AO114-$AB114))</f>
        <v/>
      </c>
      <c r="AQ114">
        <f>IF($C114="",0,MAX(0,$AP114-$AC114))</f>
        <v/>
      </c>
      <c r="AR114">
        <f>IF($C114="",0,MAX(0,$AQ114-$AD114))</f>
        <v/>
      </c>
      <c r="AS114">
        <f>IF($C114="",0,MAX(0,$AR114-$AE114))</f>
        <v/>
      </c>
      <c r="AT114">
        <f>IF($C114="",0,MAX(0,$AS114-$AF114))</f>
        <v/>
      </c>
      <c r="AU114">
        <f>IF($C114="",0,MAX(0,$AT114-$AG114))</f>
        <v/>
      </c>
      <c r="AV114">
        <f>IF($C114="",0,MAX(0,$AU114-$AH114))</f>
        <v/>
      </c>
      <c r="AW114">
        <f>IF($C114="",0,MAX(0,$AV114-$AI114))</f>
        <v/>
      </c>
      <c r="AX114">
        <f>IF($C114="",0,MAX(0,MAX(0,N($L114))+IF($P114=V$3,$R114,0)+IF($S114=V$3,$U114,0)-$V114))</f>
        <v/>
      </c>
      <c r="AY114">
        <f>IF($C114="",0,MAX(0,$AX114+IF($P114=W$3,$R114,0)+IF($S114=W$3,$U114,0)-$W114))</f>
        <v/>
      </c>
      <c r="AZ114">
        <f>IF($C114="",0,MAX(0,$AY114+IF($P114=X$3,$R114,0)+IF($S114=X$3,$U114,0)-$X114))</f>
        <v/>
      </c>
      <c r="BA114">
        <f>IF($C114="",0,MAX(0,$AZ114+IF($P114=Y$3,$R114,0)+IF($S114=Y$3,$U114,0)-$Y114))</f>
        <v/>
      </c>
      <c r="BB114">
        <f>IF($C114="",0,MAX(0,$BA114+IF($P114=Z$3,$R114,0)+IF($S114=Z$3,$U114,0)-$Z114))</f>
        <v/>
      </c>
      <c r="BC114">
        <f>IF($C114="",0,MAX(0,$BB114+IF($P114=AA$3,$R114,0)+IF($S114=AA$3,$U114,0)-$AA114))</f>
        <v/>
      </c>
      <c r="BD114">
        <f>IF($C114="",0,MAX(0,$BC114+IF($P114=AB$3,$R114,0)+IF($S114=AB$3,$U114,0)-$AB114))</f>
        <v/>
      </c>
      <c r="BE114">
        <f>IF($C114="",0,MAX(0,$BD114+IF($P114=AC$3,$R114,0)+IF($S114=AC$3,$U114,0)-$AC114))</f>
        <v/>
      </c>
      <c r="BF114">
        <f>IF($C114="",0,MAX(0,$BE114+IF($P114=AD$3,$R114,0)+IF($S114=AD$3,$U114,0)-$AD114))</f>
        <v/>
      </c>
      <c r="BG114">
        <f>IF($C114="",0,MAX(0,$BF114+IF($P114=AE$3,$R114,0)+IF($S114=AE$3,$U114,0)-$AE114))</f>
        <v/>
      </c>
      <c r="BH114">
        <f>IF($C114="",0,MAX(0,$BG114+IF($P114=AF$3,$R114,0)+IF($S114=AF$3,$U114,0)-$AF114))</f>
        <v/>
      </c>
      <c r="BI114">
        <f>IF($C114="",0,MAX(0,$BH114+IF($P114=AG$3,$R114,0)+IF($S114=AG$3,$U114,0)-$AG114))</f>
        <v/>
      </c>
      <c r="BJ114">
        <f>IF($C114="",0,MAX(0,$BI114+IF($P114=AH$3,$R114,0)+IF($S114=AH$3,$U114,0)-$AH114))</f>
        <v/>
      </c>
      <c r="BK114">
        <f>IF($C114="",0,MAX(0,$BJ114+IF($P114=AI$3,$R114,0)+IF($S114=AI$3,$U114,0)-$AI114))</f>
        <v/>
      </c>
      <c r="BL114">
        <f>IF($C114="",99,IF(AND($AX114&lt;1,V$3&gt;=MAX(N($P114),N($S114))),0,99))</f>
        <v/>
      </c>
      <c r="BM114">
        <f>IF($C114="",99,IF(AND($AY114&lt;1,W$3&gt;=MAX(N($P114),N($S114))),1,99))</f>
        <v/>
      </c>
      <c r="BN114">
        <f>IF($C114="",99,IF(AND($AZ114&lt;1,X$3&gt;=MAX(N($P114),N($S114))),2,99))</f>
        <v/>
      </c>
      <c r="BO114">
        <f>IF($C114="",99,IF(AND($BA114&lt;1,Y$3&gt;=MAX(N($P114),N($S114))),3,99))</f>
        <v/>
      </c>
      <c r="BP114">
        <f>IF($C114="",99,IF(AND($BB114&lt;1,Z$3&gt;=MAX(N($P114),N($S114))),4,99))</f>
        <v/>
      </c>
      <c r="BQ114">
        <f>IF($C114="",99,IF(AND($BC114&lt;1,AA$3&gt;=MAX(N($P114),N($S114))),5,99))</f>
        <v/>
      </c>
      <c r="BR114">
        <f>IF($C114="",99,IF(AND($BD114&lt;1,AB$3&gt;=MAX(N($P114),N($S114))),6,99))</f>
        <v/>
      </c>
      <c r="BS114">
        <f>IF($C114="",99,IF(AND($BE114&lt;1,AC$3&gt;=MAX(N($P114),N($S114))),7,99))</f>
        <v/>
      </c>
      <c r="BT114">
        <f>IF($C114="",99,IF(AND($BF114&lt;1,AD$3&gt;=MAX(N($P114),N($S114))),8,99))</f>
        <v/>
      </c>
      <c r="BU114">
        <f>IF($C114="",99,IF(AND($BG114&lt;1,AE$3&gt;=MAX(N($P114),N($S114))),9,99))</f>
        <v/>
      </c>
      <c r="BV114">
        <f>IF($C114="",99,IF(AND($BH114&lt;1,AF$3&gt;=MAX(N($P114),N($S114))),10,99))</f>
        <v/>
      </c>
      <c r="BW114">
        <f>IF($C114="",99,IF(AND($BI114&lt;1,AG$3&gt;=MAX(N($P114),N($S114))),11,99))</f>
        <v/>
      </c>
      <c r="BX114">
        <f>IF($C114="",99,IF(AND($BJ114&lt;1,AH$3&gt;=MAX(N($P114),N($S114))),12,99))</f>
        <v/>
      </c>
      <c r="BY114">
        <f>IF($C114="",99,IF(AND($BK114&lt;1,AI$3&gt;=MAX(N($P114),N($S114))),13,99))</f>
        <v/>
      </c>
      <c r="BZ114">
        <f>IF(OR($C114="",$M114=""),"",COUNTIF($AJ114:$AW114,"&gt;=1"))</f>
        <v/>
      </c>
      <c r="CA114" s="90">
        <f>IF($BZ114="","",IF($BZ114&gt;=14,"",'設定'!$C$6+$BZ114))</f>
        <v/>
      </c>
      <c r="CB114">
        <f>IF(OR($C114="",$M114=""),"",MIN($BL114:$BY114))</f>
        <v/>
      </c>
      <c r="CC114" s="90">
        <f>IF($CB114="","",IF($CB114&gt;=99,"",'設定'!$C$6+$CB114))</f>
        <v/>
      </c>
      <c r="CD114">
        <f>IF(OR($C114="",$M114=""),"",AVERAGE($V114:$AI114))</f>
        <v/>
      </c>
      <c r="CE114">
        <f>IF($C114="","",IFERROR(IF(MATCH(IF(ISNUMBER($P114),$P114,'設定'!$C$6+N('設定'!$C$7)),$V$3:$AI$3,0)=1,MAX(0,N($L114)),INDEX($AJ114:$AW114,MATCH(IF(ISNUMBER($P114),$P114,'設定'!$C$6+N('設定'!$C$7)),$V$3:$AI$3,0)-1)),""))</f>
        <v/>
      </c>
      <c r="CF114">
        <f>IF(OR($C114="",$O114="",$CE114=""),"",IF($O114-$CE114&lt;=0,0,ROUNDUP(($O114-$CE114)/$G114,0)))</f>
        <v/>
      </c>
      <c r="CG114">
        <f>IF(OR($C114="",$CF114="",NOT(ISNUMBER($Q114))),0,MAX(0,$Q114-$CF114))</f>
        <v/>
      </c>
      <c r="CH114">
        <f>IF(OR($C114="",$O114="",$U114=0),0,IFERROR(ROUNDUP(MAX(0,IF(MATCH($S114,$V$3:$AI$3,0)=1,MAX(0,N($L114)),INDEX($AX114:$BK114,MATCH($S114,$V$3:$AI$3,0)-1))+$U114-$O114)/$G114,0),0))</f>
        <v/>
      </c>
      <c r="CI114">
        <f>IF($C114="","",IF(AND($P114="",$Q114=""),"",IF($P114="","⚠ 入庫日を ▼ から選んでください",IF(NOT(ISNUMBER($P114)),"⚠ 入庫日は ▼ から選んでください",IF($P114&lt;N('設定'!$C$6),"⚠ 入庫日が過去です（もう在庫に入っています）→ 消してください",IF($P114&gt;N('設定'!$C$6)+13,"⚠ 入庫日が14日より先です",IF(N($Q114)&lt;=0,"⚠ 入庫数を入れてください",IF($CG114&gt;0,"⚠ 目安より "&amp;$CG114&amp;" 多い（定数を超える）→ 減らす",""))))))))</f>
        <v/>
      </c>
      <c r="CJ114">
        <f>IF($C114="","",IF(AND($S114="",$T114=""),"",IF($S114="","⚠ 2便目：入庫日を ▼ から選んでください",IF(NOT(ISNUMBER($S114)),"⚠ 2便目：入庫日は ▼ から選んでください",IF($S114&lt;N('設定'!$C$6),"⚠ 2便目：入庫日が過去です（もう在庫に入っています）→ 消してください",IF($S114&gt;N('設定'!$C$6)+13,"⚠ 2便目：入庫日が14日より先です",IF(N($T114)&lt;=0,"⚠ 2便目：入庫数を入れてください",IF($CH114&gt;0,"⚠ 2便目：定数を "&amp;$CH114&amp;" ケース超える → 減らす",""))))))))</f>
        <v/>
      </c>
      <c r="CK114">
        <f>IF(AND($CI114="",N($Q114)&gt;0,ISNUMBER($P114)),1,0)</f>
        <v/>
      </c>
      <c r="CL114">
        <f>IF(AND($CJ114="",N($T114)&gt;0,ISNUMBER($S114)),1,0)</f>
        <v/>
      </c>
      <c r="CM114">
        <f>IF(OR($CK114=1,$CL114=1),1,0)</f>
        <v/>
      </c>
      <c r="CN114">
        <f>IF($C114="",0,($CK114*$R114+$CL114*$U114)*N($H114))</f>
        <v/>
      </c>
      <c r="CO114">
        <f>IF($C114="","",IF($CC114="","入庫後は 14日以上もつ",IF($CC114-N('設定'!$C$7)&lt;='設定'!$C$6,"入庫後も "&amp;TEXT($CC114,"m/d")&amp;"("&amp;CHOOSE(WEEKDAY($CC114),"日","月","火","水","木","金","土")&amp;")"&amp;" に切れる　もう1便を至急発注","入庫後も "&amp;TEXT($CC114,"m/d")&amp;"("&amp;CHOOSE(WEEKDAY($CC114),"日","月","火","水","木","金","土")&amp;")"&amp;" に切れる　"&amp;TEXT($CC114-N('設定'!$C$7),"m/d")&amp;"("&amp;CHOOSE(WEEKDAY($CC114-N('設定'!$C$7)),"日","月","火","水","木","金","土")&amp;")"&amp;" までに次を発注")))</f>
        <v/>
      </c>
      <c r="CP114">
        <f>IF($C114="","",IF('設定'!$C$6="","？ ①在庫を貼る に今日のCSVが貼られていない",IF($CS114=1,"－ 今日のCSVに無い（終売？）",IF($L114&lt;0,"● 在庫がマイナス　数えて「数えた在庫」に入れる",IF($L114=0,"● 在庫なし　至急発注",IF($M114="","？ 減り数が未設定（商品マスタ）",IF($B$3=0,"？ 動員が未入力（動員を入れる）",IF($CA114="","○ 14日以上もつ",IF($BZ114&lt;N('設定'!$C$7),"● "&amp;TEXT($CA114,"m/d")&amp;"("&amp;CHOOSE(WEEKDAY($CA114),"日","月","火","水","木","金","土")&amp;")"&amp;" に切れる　至急発注",IF($BZ114=N('設定'!$C$7),"● "&amp;TEXT($CA114,"m/d")&amp;"("&amp;CHOOSE(WEEKDAY($CA114),"日","月","火","水","木","金","土")&amp;")"&amp;" に切れる　今日発注","△ "&amp;TEXT($CA114,"m/d")&amp;"("&amp;CHOOSE(WEEKDAY($CA114),"日","月","火","水","木","金","土")&amp;")"&amp;" に切れる　"&amp;TEXT($CA114-N('設定'!$C$7),"m/d")&amp;"("&amp;CHOOSE(WEEKDAY($CA114-N('設定'!$C$7)),"日","月","火","水","木","金","土")&amp;")"&amp;" までに発注"))))))))))</f>
        <v/>
      </c>
      <c r="CQ114">
        <f>IF($C114="","",IF(AND($P114="",$Q114="",$S114="",$T114=""),"",IF(AND($P114="",$Q114=""),"⚠ 先に1便目（左の入庫日・入庫数）に入れてください",IF($CI114&lt;&gt;"",$CI114,IF($CJ114&lt;&gt;"",$CJ114,IF($M114="","？ 減り数が未設定（発注書には載ります）",IF($B$3=0,"？ 動員が未入力（発注書には載ります）",IF(AND($CA114&lt;&gt;"",$P114&gt;$CA114),IF($P114&gt;'設定'!$C$6+N('設定'!$C$7),"● "&amp;TEXT($P114,"m/d")&amp;"("&amp;CHOOSE(WEEKDAY($P114),"日","月","火","水","木","金","土")&amp;")"&amp;" の入庫では間に合わない（"&amp;TEXT($CA114,"m/d")&amp;"("&amp;CHOOSE(WEEKDAY($CA114),"日","月","火","水","木","金","土")&amp;")"&amp;" に切れる）　入庫日を早める","△ 欠品 "&amp;TEXT($CA114,"m/d")&amp;"("&amp;CHOOSE(WEEKDAY($CA114),"日","月","火","水","木","金","土")&amp;")"&amp;"〜"&amp;TEXT($P114-1,"m/d")&amp;"("&amp;CHOOSE(WEEKDAY($P114-1),"日","月","火","水","木","金","土")&amp;")"&amp;"　"&amp;$CO114),IF($CC114="","○ "&amp;TEXT($P114,"m/d")&amp;"("&amp;CHOOSE(WEEKDAY($P114),"日","月","火","水","木","金","土")&amp;")"&amp;" 入庫で 14日以上もつ",IF($CC114-N('設定'!$C$7)&lt;='設定'!$C$6,"● 入庫しても "&amp;TEXT($CC114,"m/d")&amp;"("&amp;CHOOSE(WEEKDAY($CC114),"日","月","火","水","木","金","土")&amp;")"&amp;" に切れる　もう1便を至急発注（2便目に入れる）","△ 入庫しても "&amp;TEXT($CC114,"m/d")&amp;"("&amp;CHOOSE(WEEKDAY($CC114),"日","月","火","水","木","金","土")&amp;")"&amp;" に切れる　"&amp;TEXT($CC114-N('設定'!$C$7),"m/d")&amp;"("&amp;CHOOSE(WEEKDAY($CC114-N('設定'!$C$7)),"日","月","火","水","木","金","土")&amp;")"&amp;" までに次を発注（2便目に入れる）"))))))))))</f>
        <v/>
      </c>
      <c r="CR114">
        <f>IF($C114="","",IF($G114&gt;1,"ｹｰｽ("&amp;$G114&amp;"入)","個"))</f>
        <v/>
      </c>
      <c r="CS114">
        <f>IF($C114="",0,IF(COUNTIFS('①在庫を貼る'!$V$6:$V$10005,'設定'!$C$4,'①在庫を貼る'!$W$6:$W$10005,$C114)=0,1,0))</f>
        <v/>
      </c>
      <c r="CT114">
        <f>IF(AND($CK114=1,OR('③発注書'!$C$4="すべて",'③発注書'!$C$4="",$F114='③発注書'!$C$4)),N($CT113)+1,N($CT113))</f>
        <v/>
      </c>
      <c r="CU114">
        <f>IF(AND($CL114=1,OR('③発注書'!$C$4="すべて",'③発注書'!$C$4="",$F114='③発注書'!$C$4)),N($CU113)+1,N($CU113))</f>
        <v/>
      </c>
      <c r="CV114">
        <f>IF($C114="",0,IF(COUNTIFS('①在庫を貼る'!$V$6:$V$10005,'設定'!$C$4,'①在庫を貼る'!$W$6:$W$10005,$C114)&gt;0,1,0))</f>
        <v/>
      </c>
      <c r="CW114">
        <f>IF($C114="",0,IF(COUNTIFS('月1回_1ヶ月前の在庫'!$V$6:$V$10005,'設定'!$C$4,'月1回_1ヶ月前の在庫'!$W$6:$W$10005,$C114)&gt;0,1,0))</f>
        <v/>
      </c>
      <c r="CX114">
        <f>IF($C114="",0,IF(COUNTIFS('月1回_2ヶ月前の在庫'!$V$6:$V$10005,'設定'!$C$4,'月1回_2ヶ月前の在庫'!$W$6:$W$10005,$C114)&gt;0,1,0))</f>
        <v/>
      </c>
      <c r="CY114">
        <f>IF(OR($C114="",'設定'!$C$12=""),"",IF('設定'!$C$13="",IF(AND($CV114=1,$CW114=0),"新商品（今月から）",IF(AND($CV114=0,$CW114=1),"終売（今月から）","")),IF(AND($CV114=1,$CW114=0,$CX114=0),"新商品（今月から）",IF(AND($CV114=1,$CW114=1,$CX114=0),"新商品（先月から）",IF(AND($CV114=0,$CW114=1,$CX114=1),"終売（今月から）",IF(AND($CV114=0,$CW114=0,$CX114=1),"終売（先月から）",IF(AND($CV114=1,$CW114=0,$CX114=1),"復活（先月は無し）","")))))))</f>
        <v/>
      </c>
    </row>
    <row r="115">
      <c r="B115">
        <f>IF(110&lt;='設定'!$C$11,110,"")</f>
        <v/>
      </c>
      <c r="C115">
        <f>IF($B115="","",IF($B115&lt;='設定'!$C$20,INDEX('商品マスタ'!$B$6:$B$1005,MATCH($B115,'商品マスタ'!$M$6:$M$1005,0)),IF($B115&lt;='設定'!$C$20+'設定'!$C$17,INDEX('①在庫を貼る'!$W$6:$W$10005,MATCH($B115-'設定'!$C$20,'①在庫を貼る'!$U$6:$U$10005,0)),IF($B115&lt;='設定'!$C$20+'設定'!$C$17+'設定'!$C$18,INDEX('月1回_1ヶ月前の在庫'!$W$6:$W$10005,MATCH($B115-'設定'!$C$20-'設定'!$C$17,'月1回_1ヶ月前の在庫'!$U$6:$U$10005,0)),INDEX('月1回_2ヶ月前の在庫'!$W$6:$W$10005,MATCH($B115-'設定'!$C$20-'設定'!$C$17-'設定'!$C$18,'月1回_2ヶ月前の在庫'!$U$6:$U$10005,0))))))</f>
        <v/>
      </c>
      <c r="D115">
        <f>IF($C115="","",IFERROR(IF(INDEX('商品マスタ'!$C$6:$C$1005,MATCH($C115,'商品マスタ'!$B$6:$B$1005,0))="",IFERROR(INDEX('①在庫を貼る'!$J$6:$J$10005,MATCH($C115,'①在庫を貼る'!$W$6:$W$10005,0)),IFERROR(INDEX('月1回_1ヶ月前の在庫'!$J$6:$J$10005,MATCH($C115,'月1回_1ヶ月前の在庫'!$W$6:$W$10005,0)),IFERROR(INDEX('月1回_2ヶ月前の在庫'!$J$6:$J$10005,MATCH($C115,'月1回_2ヶ月前の在庫'!$W$6:$W$10005,0)),""))),INDEX('商品マスタ'!$C$6:$C$1005,MATCH($C115,'商品マスタ'!$B$6:$B$1005,0))),IFERROR(INDEX('①在庫を貼る'!$J$6:$J$10005,MATCH($C115,'①在庫を貼る'!$W$6:$W$10005,0)),IFERROR(INDEX('月1回_1ヶ月前の在庫'!$J$6:$J$10005,MATCH($C115,'月1回_1ヶ月前の在庫'!$W$6:$W$10005,0)),IFERROR(INDEX('月1回_2ヶ月前の在庫'!$J$6:$J$10005,MATCH($C115,'月1回_2ヶ月前の在庫'!$W$6:$W$10005,0)),"")))))</f>
        <v/>
      </c>
      <c r="E115">
        <f>IF($C115="","",IFERROR(IF(INDEX('商品マスタ'!$D$6:$D$1005,MATCH($C115,'商品マスタ'!$B$6:$B$1005,0))="",IFERROR(INDEX('①在庫を貼る'!$H$6:$H$10005,MATCH($C115,'①在庫を貼る'!$W$6:$W$10005,0)),IFERROR(INDEX('月1回_1ヶ月前の在庫'!$H$6:$H$10005,MATCH($C115,'月1回_1ヶ月前の在庫'!$W$6:$W$10005,0)),IFERROR(INDEX('月1回_2ヶ月前の在庫'!$H$6:$H$10005,MATCH($C115,'月1回_2ヶ月前の在庫'!$W$6:$W$10005,0)),""))),INDEX('商品マスタ'!$D$6:$D$1005,MATCH($C115,'商品マスタ'!$B$6:$B$1005,0))),IFERROR(INDEX('①在庫を貼る'!$H$6:$H$10005,MATCH($C115,'①在庫を貼る'!$W$6:$W$10005,0)),IFERROR(INDEX('月1回_1ヶ月前の在庫'!$H$6:$H$10005,MATCH($C115,'月1回_1ヶ月前の在庫'!$W$6:$W$10005,0)),IFERROR(INDEX('月1回_2ヶ月前の在庫'!$H$6:$H$10005,MATCH($C115,'月1回_2ヶ月前の在庫'!$W$6:$W$10005,0)),"")))))</f>
        <v/>
      </c>
      <c r="F115">
        <f>IF($C115="","",IFERROR(IF(INDEX('商品マスタ'!$E$6:$E$1005,MATCH($C115,'商品マスタ'!$B$6:$B$1005,0))="",IFERROR(INDEX('①在庫を貼る'!$E$6:$E$10005,MATCH($C115,'①在庫を貼る'!$W$6:$W$10005,0)),IFERROR(INDEX('月1回_1ヶ月前の在庫'!$E$6:$E$10005,MATCH($C115,'月1回_1ヶ月前の在庫'!$W$6:$W$10005,0)),IFERROR(INDEX('月1回_2ヶ月前の在庫'!$E$6:$E$10005,MATCH($C115,'月1回_2ヶ月前の在庫'!$W$6:$W$10005,0)),""))),INDEX('商品マスタ'!$E$6:$E$1005,MATCH($C115,'商品マスタ'!$B$6:$B$1005,0))),IFERROR(INDEX('①在庫を貼る'!$E$6:$E$10005,MATCH($C115,'①在庫を貼る'!$W$6:$W$10005,0)),IFERROR(INDEX('月1回_1ヶ月前の在庫'!$E$6:$E$10005,MATCH($C115,'月1回_1ヶ月前の在庫'!$W$6:$W$10005,0)),IFERROR(INDEX('月1回_2ヶ月前の在庫'!$E$6:$E$10005,MATCH($C115,'月1回_2ヶ月前の在庫'!$W$6:$W$10005,0)),"")))))</f>
        <v/>
      </c>
      <c r="G115">
        <f>IF($C115="","",MAX(1,N(IFERROR(IF(INDEX('商品マスタ'!$F$6:$F$1005,MATCH($C115,'商品マスタ'!$B$6:$B$1005,0))="",IF(COUNTIFS('①在庫を貼る'!$V$6:$V$10005,'設定'!$C$4,'①在庫を貼る'!$W$6:$W$10005,$C115)&gt;0,SUMIFS('①在庫を貼る'!$K$6:$K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K$6:$K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K$6:$K$10005,'月1回_2ヶ月前の在庫'!$V$6:$V$10005,'設定'!$C$4,'月1回_2ヶ月前の在庫'!$W$6:$W$10005,$C115)/COUNTIFS('月1回_2ヶ月前の在庫'!$V$6:$V$10005,'設定'!$C$4,'月1回_2ヶ月前の在庫'!$W$6:$W$10005,$C115),0))),INDEX('商品マスタ'!$F$6:$F$1005,MATCH($C115,'商品マスタ'!$B$6:$B$1005,0))),IF(COUNTIFS('①在庫を貼る'!$V$6:$V$10005,'設定'!$C$4,'①在庫を貼る'!$W$6:$W$10005,$C115)&gt;0,SUMIFS('①在庫を貼る'!$K$6:$K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K$6:$K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K$6:$K$10005,'月1回_2ヶ月前の在庫'!$V$6:$V$10005,'設定'!$C$4,'月1回_2ヶ月前の在庫'!$W$6:$W$10005,$C115)/COUNTIFS('月1回_2ヶ月前の在庫'!$V$6:$V$10005,'設定'!$C$4,'月1回_2ヶ月前の在庫'!$W$6:$W$10005,$C115),0)))))))</f>
        <v/>
      </c>
      <c r="H115">
        <f>IF($C115="","",N(IFERROR(IF(INDEX('商品マスタ'!$G$6:$G$1005,MATCH($C115,'商品マスタ'!$B$6:$B$1005,0))="",IF(COUNTIFS('①在庫を貼る'!$V$6:$V$10005,'設定'!$C$4,'①在庫を貼る'!$W$6:$W$10005,$C115)&gt;0,SUMIFS('①在庫を貼る'!$Q$6:$Q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Q$6:$Q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Q$6:$Q$10005,'月1回_2ヶ月前の在庫'!$V$6:$V$10005,'設定'!$C$4,'月1回_2ヶ月前の在庫'!$W$6:$W$10005,$C115)/COUNTIFS('月1回_2ヶ月前の在庫'!$V$6:$V$10005,'設定'!$C$4,'月1回_2ヶ月前の在庫'!$W$6:$W$10005,$C115),0))),INDEX('商品マスタ'!$G$6:$G$1005,MATCH($C115,'商品マスタ'!$B$6:$B$1005,0))),IF(COUNTIFS('①在庫を貼る'!$V$6:$V$10005,'設定'!$C$4,'①在庫を貼る'!$W$6:$W$10005,$C115)&gt;0,SUMIFS('①在庫を貼る'!$Q$6:$Q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Q$6:$Q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Q$6:$Q$10005,'月1回_2ヶ月前の在庫'!$V$6:$V$10005,'設定'!$C$4,'月1回_2ヶ月前の在庫'!$W$6:$W$10005,$C115)/COUNTIFS('月1回_2ヶ月前の在庫'!$V$6:$V$10005,'設定'!$C$4,'月1回_2ヶ月前の在庫'!$W$6:$W$10005,$C115),0))))))</f>
        <v/>
      </c>
      <c r="I115">
        <f>IF($C115="","",IF(COUNTIFS('①在庫を貼る'!$V$6:$V$10005,'設定'!$C$4,'①在庫を貼る'!$W$6:$W$10005,$C115)=0,"",SUMIFS('①在庫を貼る'!$N$6:$N$10005,'①在庫を貼る'!$V$6:$V$10005,'設定'!$C$4,'①在庫を貼る'!$W$6:$W$10005,$C115)))</f>
        <v/>
      </c>
      <c r="J115">
        <f>IF($C115="","",IF('②発注する'!$AD119="","",'②発注する'!$AD119))</f>
        <v/>
      </c>
      <c r="K115" s="90">
        <f>IF($C115="","",IF('②発注する'!$AE119="","",'②発注する'!$AE119))</f>
        <v/>
      </c>
      <c r="L115">
        <f>IF($C115="","",IF(AND(ISNUMBER($J115),ISNUMBER($K115),$K115&gt;='設定'!$C$6),$J115,N($I115)))</f>
        <v/>
      </c>
      <c r="M115">
        <f>IF($C115="","",IFERROR(IF(N(INDEX('商品マスタ'!$J$6:$J$1005,MATCH($C115,'商品マスタ'!$B$6:$B$1005,0)))&gt;0,INDEX('商品マスタ'!$J$6:$J$1005,MATCH($C115,'商品マスタ'!$B$6:$B$1005,0)),""),""))</f>
        <v/>
      </c>
      <c r="N115">
        <f>IF($C115="","",IFERROR(IF(N(INDEX('商品マスタ'!$H$6:$H$1005,MATCH($C115,'商品マスタ'!$B$6:$B$1005,0)))&gt;0,INDEX('商品マスタ'!$H$6:$H$1005,MATCH($C115,'商品マスタ'!$B$6:$B$1005,0)),""),""))</f>
        <v/>
      </c>
      <c r="O115">
        <f>IF($C115="","",IF($N115&lt;&gt;"",$N115*$G115,IF(N(IF(COUNTIFS('①在庫を貼る'!$V$6:$V$10005,'設定'!$C$4,'①在庫を貼る'!$W$6:$W$10005,$C115)&gt;0,SUMIFS('①在庫を貼る'!$O$6:$O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O$6:$O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O$6:$O$10005,'月1回_2ヶ月前の在庫'!$V$6:$V$10005,'設定'!$C$4,'月1回_2ヶ月前の在庫'!$W$6:$W$10005,$C115)/COUNTIFS('月1回_2ヶ月前の在庫'!$V$6:$V$10005,'設定'!$C$4,'月1回_2ヶ月前の在庫'!$W$6:$W$10005,$C115),0))))&gt;0,N(IF(COUNTIFS('①在庫を貼る'!$V$6:$V$10005,'設定'!$C$4,'①在庫を貼る'!$W$6:$W$10005,$C115)&gt;0,SUMIFS('①在庫を貼る'!$O$6:$O$10005,'①在庫を貼る'!$V$6:$V$10005,'設定'!$C$4,'①在庫を貼る'!$W$6:$W$10005,$C115)/COUNTIFS('①在庫を貼る'!$V$6:$V$10005,'設定'!$C$4,'①在庫を貼る'!$W$6:$W$10005,$C115),IF(COUNTIFS('月1回_1ヶ月前の在庫'!$V$6:$V$10005,'設定'!$C$4,'月1回_1ヶ月前の在庫'!$W$6:$W$10005,$C115)&gt;0,SUMIFS('月1回_1ヶ月前の在庫'!$O$6:$O$10005,'月1回_1ヶ月前の在庫'!$V$6:$V$10005,'設定'!$C$4,'月1回_1ヶ月前の在庫'!$W$6:$W$10005,$C115)/COUNTIFS('月1回_1ヶ月前の在庫'!$V$6:$V$10005,'設定'!$C$4,'月1回_1ヶ月前の在庫'!$W$6:$W$10005,$C115),IF(COUNTIFS('月1回_2ヶ月前の在庫'!$V$6:$V$10005,'設定'!$C$4,'月1回_2ヶ月前の在庫'!$W$6:$W$10005,$C115)&gt;0,SUMIFS('月1回_2ヶ月前の在庫'!$O$6:$O$10005,'月1回_2ヶ月前の在庫'!$V$6:$V$10005,'設定'!$C$4,'月1回_2ヶ月前の在庫'!$W$6:$W$10005,$C115)/COUNTIFS('月1回_2ヶ月前の在庫'!$V$6:$V$10005,'設定'!$C$4,'月1回_2ヶ月前の在庫'!$W$6:$W$10005,$C115),0)))),"")))</f>
        <v/>
      </c>
      <c r="P115" s="90">
        <f>IF($C115="","",IF('②発注する'!$I119="","",'②発注する'!$I119))</f>
        <v/>
      </c>
      <c r="Q115">
        <f>IF($C115="","",IF('②発注する'!$J119="","",'②発注する'!$J119))</f>
        <v/>
      </c>
      <c r="R115">
        <f>IF($C115="",0,IF(AND(ISNUMBER($P115),ISNUMBER($Q115)),MAX(0,$Q115)*$G115,0))</f>
        <v/>
      </c>
      <c r="S115" s="90">
        <f>IF($C115="","",IF('②発注する'!$M119="","",'②発注する'!$M119))</f>
        <v/>
      </c>
      <c r="T115">
        <f>IF($C115="","",IF('②発注する'!$N119="","",'②発注する'!$N119))</f>
        <v/>
      </c>
      <c r="U115">
        <f>IF($C115="",0,IF(AND(ISNUMBER($S115),ISNUMBER($T115)),MAX(0,$T115)*$G115,0))</f>
        <v/>
      </c>
      <c r="V115">
        <f>IF($C115="",0,IF($M115="",0,MAX(0,$M115)*MAX(0,V$4)/100))</f>
        <v/>
      </c>
      <c r="W115">
        <f>IF($C115="",0,IF($M115="",0,MAX(0,$M115)*MAX(0,W$4)/100))</f>
        <v/>
      </c>
      <c r="X115">
        <f>IF($C115="",0,IF($M115="",0,MAX(0,$M115)*MAX(0,X$4)/100))</f>
        <v/>
      </c>
      <c r="Y115">
        <f>IF($C115="",0,IF($M115="",0,MAX(0,$M115)*MAX(0,Y$4)/100))</f>
        <v/>
      </c>
      <c r="Z115">
        <f>IF($C115="",0,IF($M115="",0,MAX(0,$M115)*MAX(0,Z$4)/100))</f>
        <v/>
      </c>
      <c r="AA115">
        <f>IF($C115="",0,IF($M115="",0,MAX(0,$M115)*MAX(0,AA$4)/100))</f>
        <v/>
      </c>
      <c r="AB115">
        <f>IF($C115="",0,IF($M115="",0,MAX(0,$M115)*MAX(0,AB$4)/100))</f>
        <v/>
      </c>
      <c r="AC115">
        <f>IF($C115="",0,IF($M115="",0,MAX(0,$M115)*MAX(0,AC$4)/100))</f>
        <v/>
      </c>
      <c r="AD115">
        <f>IF($C115="",0,IF($M115="",0,MAX(0,$M115)*MAX(0,AD$4)/100))</f>
        <v/>
      </c>
      <c r="AE115">
        <f>IF($C115="",0,IF($M115="",0,MAX(0,$M115)*MAX(0,AE$4)/100))</f>
        <v/>
      </c>
      <c r="AF115">
        <f>IF($C115="",0,IF($M115="",0,MAX(0,$M115)*MAX(0,AF$4)/100))</f>
        <v/>
      </c>
      <c r="AG115">
        <f>IF($C115="",0,IF($M115="",0,MAX(0,$M115)*MAX(0,AG$4)/100))</f>
        <v/>
      </c>
      <c r="AH115">
        <f>IF($C115="",0,IF($M115="",0,MAX(0,$M115)*MAX(0,AH$4)/100))</f>
        <v/>
      </c>
      <c r="AI115">
        <f>IF($C115="",0,IF($M115="",0,MAX(0,$M115)*MAX(0,AI$4)/100))</f>
        <v/>
      </c>
      <c r="AJ115">
        <f>IF($C115="",0,MAX(0,MAX(0,N($L115))-$V115))</f>
        <v/>
      </c>
      <c r="AK115">
        <f>IF($C115="",0,MAX(0,$AJ115-$W115))</f>
        <v/>
      </c>
      <c r="AL115">
        <f>IF($C115="",0,MAX(0,$AK115-$X115))</f>
        <v/>
      </c>
      <c r="AM115">
        <f>IF($C115="",0,MAX(0,$AL115-$Y115))</f>
        <v/>
      </c>
      <c r="AN115">
        <f>IF($C115="",0,MAX(0,$AM115-$Z115))</f>
        <v/>
      </c>
      <c r="AO115">
        <f>IF($C115="",0,MAX(0,$AN115-$AA115))</f>
        <v/>
      </c>
      <c r="AP115">
        <f>IF($C115="",0,MAX(0,$AO115-$AB115))</f>
        <v/>
      </c>
      <c r="AQ115">
        <f>IF($C115="",0,MAX(0,$AP115-$AC115))</f>
        <v/>
      </c>
      <c r="AR115">
        <f>IF($C115="",0,MAX(0,$AQ115-$AD115))</f>
        <v/>
      </c>
      <c r="AS115">
        <f>IF($C115="",0,MAX(0,$AR115-$AE115))</f>
        <v/>
      </c>
      <c r="AT115">
        <f>IF($C115="",0,MAX(0,$AS115-$AF115))</f>
        <v/>
      </c>
      <c r="AU115">
        <f>IF($C115="",0,MAX(0,$AT115-$AG115))</f>
        <v/>
      </c>
      <c r="AV115">
        <f>IF($C115="",0,MAX(0,$AU115-$AH115))</f>
        <v/>
      </c>
      <c r="AW115">
        <f>IF($C115="",0,MAX(0,$AV115-$AI115))</f>
        <v/>
      </c>
      <c r="AX115">
        <f>IF($C115="",0,MAX(0,MAX(0,N($L115))+IF($P115=V$3,$R115,0)+IF($S115=V$3,$U115,0)-$V115))</f>
        <v/>
      </c>
      <c r="AY115">
        <f>IF($C115="",0,MAX(0,$AX115+IF($P115=W$3,$R115,0)+IF($S115=W$3,$U115,0)-$W115))</f>
        <v/>
      </c>
      <c r="AZ115">
        <f>IF($C115="",0,MAX(0,$AY115+IF($P115=X$3,$R115,0)+IF($S115=X$3,$U115,0)-$X115))</f>
        <v/>
      </c>
      <c r="BA115">
        <f>IF($C115="",0,MAX(0,$AZ115+IF($P115=Y$3,$R115,0)+IF($S115=Y$3,$U115,0)-$Y115))</f>
        <v/>
      </c>
      <c r="BB115">
        <f>IF($C115="",0,MAX(0,$BA115+IF($P115=Z$3,$R115,0)+IF($S115=Z$3,$U115,0)-$Z115))</f>
        <v/>
      </c>
      <c r="BC115">
        <f>IF($C115="",0,MAX(0,$BB115+IF($P115=AA$3,$R115,0)+IF($S115=AA$3,$U115,0)-$AA115))</f>
        <v/>
      </c>
      <c r="BD115">
        <f>IF($C115="",0,MAX(0,$BC115+IF($P115=AB$3,$R115,0)+IF($S115=AB$3,$U115,0)-$AB115))</f>
        <v/>
      </c>
      <c r="BE115">
        <f>IF($C115="",0,MAX(0,$BD115+IF($P115=AC$3,$R115,0)+IF($S115=AC$3,$U115,0)-$AC115))</f>
        <v/>
      </c>
      <c r="BF115">
        <f>IF($C115="",0,MAX(0,$BE115+IF($P115=AD$3,$R115,0)+IF($S115=AD$3,$U115,0)-$AD115))</f>
        <v/>
      </c>
      <c r="BG115">
        <f>IF($C115="",0,MAX(0,$BF115+IF($P115=AE$3,$R115,0)+IF($S115=AE$3,$U115,0)-$AE115))</f>
        <v/>
      </c>
      <c r="BH115">
        <f>IF($C115="",0,MAX(0,$BG115+IF($P115=AF$3,$R115,0)+IF($S115=AF$3,$U115,0)-$AF115))</f>
        <v/>
      </c>
      <c r="BI115">
        <f>IF($C115="",0,MAX(0,$BH115+IF($P115=AG$3,$R115,0)+IF($S115=AG$3,$U115,0)-$AG115))</f>
        <v/>
      </c>
      <c r="BJ115">
        <f>IF($C115="",0,MAX(0,$BI115+IF($P115=AH$3,$R115,0)+IF($S115=AH$3,$U115,0)-$AH115))</f>
        <v/>
      </c>
      <c r="BK115">
        <f>IF($C115="",0,MAX(0,$BJ115+IF($P115=AI$3,$R115,0)+IF($S115=AI$3,$U115,0)-$AI115))</f>
        <v/>
      </c>
      <c r="BL115">
        <f>IF($C115="",99,IF(AND($AX115&lt;1,V$3&gt;=MAX(N($P115),N($S115))),0,99))</f>
        <v/>
      </c>
      <c r="BM115">
        <f>IF($C115="",99,IF(AND($AY115&lt;1,W$3&gt;=MAX(N($P115),N($S115))),1,99))</f>
        <v/>
      </c>
      <c r="BN115">
        <f>IF($C115="",99,IF(AND($AZ115&lt;1,X$3&gt;=MAX(N($P115),N($S115))),2,99))</f>
        <v/>
      </c>
      <c r="BO115">
        <f>IF($C115="",99,IF(AND($BA115&lt;1,Y$3&gt;=MAX(N($P115),N($S115))),3,99))</f>
        <v/>
      </c>
      <c r="BP115">
        <f>IF($C115="",99,IF(AND($BB115&lt;1,Z$3&gt;=MAX(N($P115),N($S115))),4,99))</f>
        <v/>
      </c>
      <c r="BQ115">
        <f>IF($C115="",99,IF(AND($BC115&lt;1,AA$3&gt;=MAX(N($P115),N($S115))),5,99))</f>
        <v/>
      </c>
      <c r="BR115">
        <f>IF($C115="",99,IF(AND($BD115&lt;1,AB$3&gt;=MAX(N($P115),N($S115))),6,99))</f>
        <v/>
      </c>
      <c r="BS115">
        <f>IF($C115="",99,IF(AND($BE115&lt;1,AC$3&gt;=MAX(N($P115),N($S115))),7,99))</f>
        <v/>
      </c>
      <c r="BT115">
        <f>IF($C115="",99,IF(AND($BF115&lt;1,AD$3&gt;=MAX(N($P115),N($S115))),8,99))</f>
        <v/>
      </c>
      <c r="BU115">
        <f>IF($C115="",99,IF(AND($BG115&lt;1,AE$3&gt;=MAX(N($P115),N($S115))),9,99))</f>
        <v/>
      </c>
      <c r="BV115">
        <f>IF($C115="",99,IF(AND($BH115&lt;1,AF$3&gt;=MAX(N($P115),N($S115))),10,99))</f>
        <v/>
      </c>
      <c r="BW115">
        <f>IF($C115="",99,IF(AND($BI115&lt;1,AG$3&gt;=MAX(N($P115),N($S115))),11,99))</f>
        <v/>
      </c>
      <c r="BX115">
        <f>IF($C115="",99,IF(AND($BJ115&lt;1,AH$3&gt;=MAX(N($P115),N($S115))),12,99))</f>
        <v/>
      </c>
      <c r="BY115">
        <f>IF($C115="",99,IF(AND($BK115&lt;1,AI$3&gt;=MAX(N($P115),N($S115))),13,99))</f>
        <v/>
      </c>
      <c r="BZ115">
        <f>IF(OR($C115="",$M115=""),"",COUNTIF($AJ115:$AW115,"&gt;=1"))</f>
        <v/>
      </c>
      <c r="CA115" s="90">
        <f>IF($BZ115="","",IF($BZ115&gt;=14,"",'設定'!$C$6+$BZ115))</f>
        <v/>
      </c>
      <c r="CB115">
        <f>IF(OR($C115="",$M115=""),"",MIN($BL115:$BY115))</f>
        <v/>
      </c>
      <c r="CC115" s="90">
        <f>IF($CB115="","",IF($CB115&gt;=99,"",'設定'!$C$6+$CB115))</f>
        <v/>
      </c>
      <c r="CD115">
        <f>IF(OR($C115="",$M115=""),"",AVERAGE($V115:$AI115))</f>
        <v/>
      </c>
      <c r="CE115">
        <f>IF($C115="","",IFERROR(IF(MATCH(IF(ISNUMBER($P115),$P115,'設定'!$C$6+N('設定'!$C$7)),$V$3:$AI$3,0)=1,MAX(0,N($L115)),INDEX($AJ115:$AW115,MATCH(IF(ISNUMBER($P115),$P115,'設定'!$C$6+N('設定'!$C$7)),$V$3:$AI$3,0)-1)),""))</f>
        <v/>
      </c>
      <c r="CF115">
        <f>IF(OR($C115="",$O115="",$CE115=""),"",IF($O115-$CE115&lt;=0,0,ROUNDUP(($O115-$CE115)/$G115,0)))</f>
        <v/>
      </c>
      <c r="CG115">
        <f>IF(OR($C115="",$CF115="",NOT(ISNUMBER($Q115))),0,MAX(0,$Q115-$CF115))</f>
        <v/>
      </c>
      <c r="CH115">
        <f>IF(OR($C115="",$O115="",$U115=0),0,IFERROR(ROUNDUP(MAX(0,IF(MATCH($S115,$V$3:$AI$3,0)=1,MAX(0,N($L115)),INDEX($AX115:$BK115,MATCH($S115,$V$3:$AI$3,0)-1))+$U115-$O115)/$G115,0),0))</f>
        <v/>
      </c>
      <c r="CI115">
        <f>IF($C115="","",IF(AND($P115="",$Q115=""),"",IF($P115="","⚠ 入庫日を ▼ から選んでください",IF(NOT(ISNUMBER($P115)),"⚠ 入庫日は ▼ から選んでください",IF($P115&lt;N('設定'!$C$6),"⚠ 入庫日が過去です（もう在庫に入っています）→ 消してください",IF($P115&gt;N('設定'!$C$6)+13,"⚠ 入庫日が14日より先です",IF(N($Q115)&lt;=0,"⚠ 入庫数を入れてください",IF($CG115&gt;0,"⚠ 目安より "&amp;$CG115&amp;" 多い（定数を超える）→ 減らす",""))))))))</f>
        <v/>
      </c>
      <c r="CJ115">
        <f>IF($C115="","",IF(AND($S115="",$T115=""),"",IF($S115="","⚠ 2便目：入庫日を ▼ から選んでください",IF(NOT(ISNUMBER($S115)),"⚠ 2便目：入庫日は ▼ から選んでください",IF($S115&lt;N('設定'!$C$6),"⚠ 2便目：入庫日が過去です（もう在庫に入っています）→ 消してください",IF($S115&gt;N('設定'!$C$6)+13,"⚠ 2便目：入庫日が14日より先です",IF(N($T115)&lt;=0,"⚠ 2便目：入庫数を入れてください",IF($CH115&gt;0,"⚠ 2便目：定数を "&amp;$CH115&amp;" ケース超える → 減らす",""))))))))</f>
        <v/>
      </c>
      <c r="CK115">
        <f>IF(AND($CI115="",N($Q115)&gt;0,ISNUMBER($P115)),1,0)</f>
        <v/>
      </c>
      <c r="CL115">
        <f>IF(AND($CJ115="",N($T115)&gt;0,ISNUMBER($S115)),1,0)</f>
        <v/>
      </c>
      <c r="CM115">
        <f>IF(OR($CK115=1,$CL115=1),1,0)</f>
        <v/>
      </c>
      <c r="CN115">
        <f>IF($C115="",0,($CK115*$R115+$CL115*$U115)*N($H115))</f>
        <v/>
      </c>
      <c r="CO115">
        <f>IF($C115="","",IF($CC115="","入庫後は 14日以上もつ",IF($CC115-N('設定'!$C$7)&lt;='設定'!$C$6,"入庫後も "&amp;TEXT($CC115,"m/d")&amp;"("&amp;CHOOSE(WEEKDAY($CC115),"日","月","火","水","木","金","土")&amp;")"&amp;" に切れる　もう1便を至急発注","入庫後も "&amp;TEXT($CC115,"m/d")&amp;"("&amp;CHOOSE(WEEKDAY($CC115),"日","月","火","水","木","金","土")&amp;")"&amp;" に切れる　"&amp;TEXT($CC115-N('設定'!$C$7),"m/d")&amp;"("&amp;CHOOSE(WEEKDAY($CC115-N('設定'!$C$7)),"日","月","火","水","木","金","土")&amp;")"&amp;" までに次を発注")))</f>
        <v/>
      </c>
      <c r="CP115">
        <f>IF($C115="","",IF('設定'!$C$6="","？ ①在庫を貼る に今日のCSVが貼られていない",IF($CS115=1,"－ 今日のCSVに無い（終売？）",IF($L115&lt;0,"● 在庫がマイナス　数えて「数えた在庫」に入れる",IF($L115=0,"● 在庫なし　至急発注",IF($M115="","？ 減り数が未設定（商品マスタ）",IF($B$3=0,"？ 動員が未入力（動員を入れる）",IF($CA115="","○ 14日以上もつ",IF($BZ115&lt;N('設定'!$C$7),"● "&amp;TEXT($CA115,"m/d")&amp;"("&amp;CHOOSE(WEEKDAY($CA115),"日","月","火","水","木","金","土")&amp;")"&amp;" に切れる　至急発注",IF($BZ115=N('設定'!$C$7),"● "&amp;TEXT($CA115,"m/d")&amp;"("&amp;CHOOSE(WEEKDAY($CA115),"日","月","火","水","木","金","土")&amp;")"&amp;" に切れる　今日発注","△ "&amp;TEXT($CA115,"m/d")&amp;"("&amp;CHOOSE(WEEKDAY($CA115),"日","月","火","水","木","金","土")&amp;")"&amp;" に切れる　"&amp;TEXT($CA115-N('設定'!$C$7),"m/d")&amp;"("&amp;CHOOSE(WEEKDAY($CA115-N('設定'!$C$7)),"日","月","火","水","木","金","土")&amp;")"&amp;" までに発注"))))))))))</f>
        <v/>
      </c>
      <c r="CQ115">
        <f>IF($C115="","",IF(AND($P115="",$Q115="",$S115="",$T115=""),"",IF(AND($P115="",$Q115=""),"⚠ 先に1便目（左の入庫日・入庫数）に入れてください",IF($CI115&lt;&gt;"",$CI115,IF($CJ115&lt;&gt;"",$CJ115,IF($M115="","？ 減り数が未設定（発注書には載ります）",IF($B$3=0,"？ 動員が未入力（発注書には載ります）",IF(AND($CA115&lt;&gt;"",$P115&gt;$CA115),IF($P115&gt;'設定'!$C$6+N('設定'!$C$7),"● "&amp;TEXT($P115,"m/d")&amp;"("&amp;CHOOSE(WEEKDAY($P115),"日","月","火","水","木","金","土")&amp;")"&amp;" の入庫では間に合わない（"&amp;TEXT($CA115,"m/d")&amp;"("&amp;CHOOSE(WEEKDAY($CA115),"日","月","火","水","木","金","土")&amp;")"&amp;" に切れる）　入庫日を早める","△ 欠品 "&amp;TEXT($CA115,"m/d")&amp;"("&amp;CHOOSE(WEEKDAY($CA115),"日","月","火","水","木","金","土")&amp;")"&amp;"〜"&amp;TEXT($P115-1,"m/d")&amp;"("&amp;CHOOSE(WEEKDAY($P115-1),"日","月","火","水","木","金","土")&amp;")"&amp;"　"&amp;$CO115),IF($CC115="","○ "&amp;TEXT($P115,"m/d")&amp;"("&amp;CHOOSE(WEEKDAY($P115),"日","月","火","水","木","金","土")&amp;")"&amp;" 入庫で 14日以上もつ",IF($CC115-N('設定'!$C$7)&lt;='設定'!$C$6,"● 入庫しても "&amp;TEXT($CC115,"m/d")&amp;"("&amp;CHOOSE(WEEKDAY($CC115),"日","月","火","水","木","金","土")&amp;")"&amp;" に切れる　もう1便を至急発注（2便目に入れる）","△ 入庫しても "&amp;TEXT($CC115,"m/d")&amp;"("&amp;CHOOSE(WEEKDAY($CC115),"日","月","火","水","木","金","土")&amp;")"&amp;" に切れる　"&amp;TEXT($CC115-N('設定'!$C$7),"m/d")&amp;"("&amp;CHOOSE(WEEKDAY($CC115-N('設定'!$C$7)),"日","月","火","水","木","金","土")&amp;")"&amp;" までに次を発注（2便目に入れる）"))))))))))</f>
        <v/>
      </c>
      <c r="CR115">
        <f>IF($C115="","",IF($G115&gt;1,"ｹｰｽ("&amp;$G115&amp;"入)","個"))</f>
        <v/>
      </c>
      <c r="CS115">
        <f>IF($C115="",0,IF(COUNTIFS('①在庫を貼る'!$V$6:$V$10005,'設定'!$C$4,'①在庫を貼る'!$W$6:$W$10005,$C115)=0,1,0))</f>
        <v/>
      </c>
      <c r="CT115">
        <f>IF(AND($CK115=1,OR('③発注書'!$C$4="すべて",'③発注書'!$C$4="",$F115='③発注書'!$C$4)),N($CT114)+1,N($CT114))</f>
        <v/>
      </c>
      <c r="CU115">
        <f>IF(AND($CL115=1,OR('③発注書'!$C$4="すべて",'③発注書'!$C$4="",$F115='③発注書'!$C$4)),N($CU114)+1,N($CU114))</f>
        <v/>
      </c>
      <c r="CV115">
        <f>IF($C115="",0,IF(COUNTIFS('①在庫を貼る'!$V$6:$V$10005,'設定'!$C$4,'①在庫を貼る'!$W$6:$W$10005,$C115)&gt;0,1,0))</f>
        <v/>
      </c>
      <c r="CW115">
        <f>IF($C115="",0,IF(COUNTIFS('月1回_1ヶ月前の在庫'!$V$6:$V$10005,'設定'!$C$4,'月1回_1ヶ月前の在庫'!$W$6:$W$10005,$C115)&gt;0,1,0))</f>
        <v/>
      </c>
      <c r="CX115">
        <f>IF($C115="",0,IF(COUNTIFS('月1回_2ヶ月前の在庫'!$V$6:$V$10005,'設定'!$C$4,'月1回_2ヶ月前の在庫'!$W$6:$W$10005,$C115)&gt;0,1,0))</f>
        <v/>
      </c>
      <c r="CY115">
        <f>IF(OR($C115="",'設定'!$C$12=""),"",IF('設定'!$C$13="",IF(AND($CV115=1,$CW115=0),"新商品（今月から）",IF(AND($CV115=0,$CW115=1),"終売（今月から）","")),IF(AND($CV115=1,$CW115=0,$CX115=0),"新商品（今月から）",IF(AND($CV115=1,$CW115=1,$CX115=0),"新商品（先月から）",IF(AND($CV115=0,$CW115=1,$CX115=1),"終売（今月から）",IF(AND($CV115=0,$CW115=0,$CX115=1),"終売（先月から）",IF(AND($CV115=1,$CW115=0,$CX115=1),"復活（先月は無し）","")))))))</f>
        <v/>
      </c>
    </row>
    <row r="116">
      <c r="B116">
        <f>IF(111&lt;='設定'!$C$11,111,"")</f>
        <v/>
      </c>
      <c r="C116">
        <f>IF($B116="","",IF($B116&lt;='設定'!$C$20,INDEX('商品マスタ'!$B$6:$B$1005,MATCH($B116,'商品マスタ'!$M$6:$M$1005,0)),IF($B116&lt;='設定'!$C$20+'設定'!$C$17,INDEX('①在庫を貼る'!$W$6:$W$10005,MATCH($B116-'設定'!$C$20,'①在庫を貼る'!$U$6:$U$10005,0)),IF($B116&lt;='設定'!$C$20+'設定'!$C$17+'設定'!$C$18,INDEX('月1回_1ヶ月前の在庫'!$W$6:$W$10005,MATCH($B116-'設定'!$C$20-'設定'!$C$17,'月1回_1ヶ月前の在庫'!$U$6:$U$10005,0)),INDEX('月1回_2ヶ月前の在庫'!$W$6:$W$10005,MATCH($B116-'設定'!$C$20-'設定'!$C$17-'設定'!$C$18,'月1回_2ヶ月前の在庫'!$U$6:$U$10005,0))))))</f>
        <v/>
      </c>
      <c r="D116">
        <f>IF($C116="","",IFERROR(IF(INDEX('商品マスタ'!$C$6:$C$1005,MATCH($C116,'商品マスタ'!$B$6:$B$1005,0))="",IFERROR(INDEX('①在庫を貼る'!$J$6:$J$10005,MATCH($C116,'①在庫を貼る'!$W$6:$W$10005,0)),IFERROR(INDEX('月1回_1ヶ月前の在庫'!$J$6:$J$10005,MATCH($C116,'月1回_1ヶ月前の在庫'!$W$6:$W$10005,0)),IFERROR(INDEX('月1回_2ヶ月前の在庫'!$J$6:$J$10005,MATCH($C116,'月1回_2ヶ月前の在庫'!$W$6:$W$10005,0)),""))),INDEX('商品マスタ'!$C$6:$C$1005,MATCH($C116,'商品マスタ'!$B$6:$B$1005,0))),IFERROR(INDEX('①在庫を貼る'!$J$6:$J$10005,MATCH($C116,'①在庫を貼る'!$W$6:$W$10005,0)),IFERROR(INDEX('月1回_1ヶ月前の在庫'!$J$6:$J$10005,MATCH($C116,'月1回_1ヶ月前の在庫'!$W$6:$W$10005,0)),IFERROR(INDEX('月1回_2ヶ月前の在庫'!$J$6:$J$10005,MATCH($C116,'月1回_2ヶ月前の在庫'!$W$6:$W$10005,0)),"")))))</f>
        <v/>
      </c>
      <c r="E116">
        <f>IF($C116="","",IFERROR(IF(INDEX('商品マスタ'!$D$6:$D$1005,MATCH($C116,'商品マスタ'!$B$6:$B$1005,0))="",IFERROR(INDEX('①在庫を貼る'!$H$6:$H$10005,MATCH($C116,'①在庫を貼る'!$W$6:$W$10005,0)),IFERROR(INDEX('月1回_1ヶ月前の在庫'!$H$6:$H$10005,MATCH($C116,'月1回_1ヶ月前の在庫'!$W$6:$W$10005,0)),IFERROR(INDEX('月1回_2ヶ月前の在庫'!$H$6:$H$10005,MATCH($C116,'月1回_2ヶ月前の在庫'!$W$6:$W$10005,0)),""))),INDEX('商品マスタ'!$D$6:$D$1005,MATCH($C116,'商品マスタ'!$B$6:$B$1005,0))),IFERROR(INDEX('①在庫を貼る'!$H$6:$H$10005,MATCH($C116,'①在庫を貼る'!$W$6:$W$10005,0)),IFERROR(INDEX('月1回_1ヶ月前の在庫'!$H$6:$H$10005,MATCH($C116,'月1回_1ヶ月前の在庫'!$W$6:$W$10005,0)),IFERROR(INDEX('月1回_2ヶ月前の在庫'!$H$6:$H$10005,MATCH($C116,'月1回_2ヶ月前の在庫'!$W$6:$W$10005,0)),"")))))</f>
        <v/>
      </c>
      <c r="F116">
        <f>IF($C116="","",IFERROR(IF(INDEX('商品マスタ'!$E$6:$E$1005,MATCH($C116,'商品マスタ'!$B$6:$B$1005,0))="",IFERROR(INDEX('①在庫を貼る'!$E$6:$E$10005,MATCH($C116,'①在庫を貼る'!$W$6:$W$10005,0)),IFERROR(INDEX('月1回_1ヶ月前の在庫'!$E$6:$E$10005,MATCH($C116,'月1回_1ヶ月前の在庫'!$W$6:$W$10005,0)),IFERROR(INDEX('月1回_2ヶ月前の在庫'!$E$6:$E$10005,MATCH($C116,'月1回_2ヶ月前の在庫'!$W$6:$W$10005,0)),""))),INDEX('商品マスタ'!$E$6:$E$1005,MATCH($C116,'商品マスタ'!$B$6:$B$1005,0))),IFERROR(INDEX('①在庫を貼る'!$E$6:$E$10005,MATCH($C116,'①在庫を貼る'!$W$6:$W$10005,0)),IFERROR(INDEX('月1回_1ヶ月前の在庫'!$E$6:$E$10005,MATCH($C116,'月1回_1ヶ月前の在庫'!$W$6:$W$10005,0)),IFERROR(INDEX('月1回_2ヶ月前の在庫'!$E$6:$E$10005,MATCH($C116,'月1回_2ヶ月前の在庫'!$W$6:$W$10005,0)),"")))))</f>
        <v/>
      </c>
      <c r="G116">
        <f>IF($C116="","",MAX(1,N(IFERROR(IF(INDEX('商品マスタ'!$F$6:$F$1005,MATCH($C116,'商品マスタ'!$B$6:$B$1005,0))="",IF(COUNTIFS('①在庫を貼る'!$V$6:$V$10005,'設定'!$C$4,'①在庫を貼る'!$W$6:$W$10005,$C116)&gt;0,SUMIFS('①在庫を貼る'!$K$6:$K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K$6:$K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K$6:$K$10005,'月1回_2ヶ月前の在庫'!$V$6:$V$10005,'設定'!$C$4,'月1回_2ヶ月前の在庫'!$W$6:$W$10005,$C116)/COUNTIFS('月1回_2ヶ月前の在庫'!$V$6:$V$10005,'設定'!$C$4,'月1回_2ヶ月前の在庫'!$W$6:$W$10005,$C116),0))),INDEX('商品マスタ'!$F$6:$F$1005,MATCH($C116,'商品マスタ'!$B$6:$B$1005,0))),IF(COUNTIFS('①在庫を貼る'!$V$6:$V$10005,'設定'!$C$4,'①在庫を貼る'!$W$6:$W$10005,$C116)&gt;0,SUMIFS('①在庫を貼る'!$K$6:$K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K$6:$K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K$6:$K$10005,'月1回_2ヶ月前の在庫'!$V$6:$V$10005,'設定'!$C$4,'月1回_2ヶ月前の在庫'!$W$6:$W$10005,$C116)/COUNTIFS('月1回_2ヶ月前の在庫'!$V$6:$V$10005,'設定'!$C$4,'月1回_2ヶ月前の在庫'!$W$6:$W$10005,$C116),0)))))))</f>
        <v/>
      </c>
      <c r="H116">
        <f>IF($C116="","",N(IFERROR(IF(INDEX('商品マスタ'!$G$6:$G$1005,MATCH($C116,'商品マスタ'!$B$6:$B$1005,0))="",IF(COUNTIFS('①在庫を貼る'!$V$6:$V$10005,'設定'!$C$4,'①在庫を貼る'!$W$6:$W$10005,$C116)&gt;0,SUMIFS('①在庫を貼る'!$Q$6:$Q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Q$6:$Q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Q$6:$Q$10005,'月1回_2ヶ月前の在庫'!$V$6:$V$10005,'設定'!$C$4,'月1回_2ヶ月前の在庫'!$W$6:$W$10005,$C116)/COUNTIFS('月1回_2ヶ月前の在庫'!$V$6:$V$10005,'設定'!$C$4,'月1回_2ヶ月前の在庫'!$W$6:$W$10005,$C116),0))),INDEX('商品マスタ'!$G$6:$G$1005,MATCH($C116,'商品マスタ'!$B$6:$B$1005,0))),IF(COUNTIFS('①在庫を貼る'!$V$6:$V$10005,'設定'!$C$4,'①在庫を貼る'!$W$6:$W$10005,$C116)&gt;0,SUMIFS('①在庫を貼る'!$Q$6:$Q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Q$6:$Q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Q$6:$Q$10005,'月1回_2ヶ月前の在庫'!$V$6:$V$10005,'設定'!$C$4,'月1回_2ヶ月前の在庫'!$W$6:$W$10005,$C116)/COUNTIFS('月1回_2ヶ月前の在庫'!$V$6:$V$10005,'設定'!$C$4,'月1回_2ヶ月前の在庫'!$W$6:$W$10005,$C116),0))))))</f>
        <v/>
      </c>
      <c r="I116">
        <f>IF($C116="","",IF(COUNTIFS('①在庫を貼る'!$V$6:$V$10005,'設定'!$C$4,'①在庫を貼る'!$W$6:$W$10005,$C116)=0,"",SUMIFS('①在庫を貼る'!$N$6:$N$10005,'①在庫を貼る'!$V$6:$V$10005,'設定'!$C$4,'①在庫を貼る'!$W$6:$W$10005,$C116)))</f>
        <v/>
      </c>
      <c r="J116">
        <f>IF($C116="","",IF('②発注する'!$AD120="","",'②発注する'!$AD120))</f>
        <v/>
      </c>
      <c r="K116" s="90">
        <f>IF($C116="","",IF('②発注する'!$AE120="","",'②発注する'!$AE120))</f>
        <v/>
      </c>
      <c r="L116">
        <f>IF($C116="","",IF(AND(ISNUMBER($J116),ISNUMBER($K116),$K116&gt;='設定'!$C$6),$J116,N($I116)))</f>
        <v/>
      </c>
      <c r="M116">
        <f>IF($C116="","",IFERROR(IF(N(INDEX('商品マスタ'!$J$6:$J$1005,MATCH($C116,'商品マスタ'!$B$6:$B$1005,0)))&gt;0,INDEX('商品マスタ'!$J$6:$J$1005,MATCH($C116,'商品マスタ'!$B$6:$B$1005,0)),""),""))</f>
        <v/>
      </c>
      <c r="N116">
        <f>IF($C116="","",IFERROR(IF(N(INDEX('商品マスタ'!$H$6:$H$1005,MATCH($C116,'商品マスタ'!$B$6:$B$1005,0)))&gt;0,INDEX('商品マスタ'!$H$6:$H$1005,MATCH($C116,'商品マスタ'!$B$6:$B$1005,0)),""),""))</f>
        <v/>
      </c>
      <c r="O116">
        <f>IF($C116="","",IF($N116&lt;&gt;"",$N116*$G116,IF(N(IF(COUNTIFS('①在庫を貼る'!$V$6:$V$10005,'設定'!$C$4,'①在庫を貼る'!$W$6:$W$10005,$C116)&gt;0,SUMIFS('①在庫を貼る'!$O$6:$O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O$6:$O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O$6:$O$10005,'月1回_2ヶ月前の在庫'!$V$6:$V$10005,'設定'!$C$4,'月1回_2ヶ月前の在庫'!$W$6:$W$10005,$C116)/COUNTIFS('月1回_2ヶ月前の在庫'!$V$6:$V$10005,'設定'!$C$4,'月1回_2ヶ月前の在庫'!$W$6:$W$10005,$C116),0))))&gt;0,N(IF(COUNTIFS('①在庫を貼る'!$V$6:$V$10005,'設定'!$C$4,'①在庫を貼る'!$W$6:$W$10005,$C116)&gt;0,SUMIFS('①在庫を貼る'!$O$6:$O$10005,'①在庫を貼る'!$V$6:$V$10005,'設定'!$C$4,'①在庫を貼る'!$W$6:$W$10005,$C116)/COUNTIFS('①在庫を貼る'!$V$6:$V$10005,'設定'!$C$4,'①在庫を貼る'!$W$6:$W$10005,$C116),IF(COUNTIFS('月1回_1ヶ月前の在庫'!$V$6:$V$10005,'設定'!$C$4,'月1回_1ヶ月前の在庫'!$W$6:$W$10005,$C116)&gt;0,SUMIFS('月1回_1ヶ月前の在庫'!$O$6:$O$10005,'月1回_1ヶ月前の在庫'!$V$6:$V$10005,'設定'!$C$4,'月1回_1ヶ月前の在庫'!$W$6:$W$10005,$C116)/COUNTIFS('月1回_1ヶ月前の在庫'!$V$6:$V$10005,'設定'!$C$4,'月1回_1ヶ月前の在庫'!$W$6:$W$10005,$C116),IF(COUNTIFS('月1回_2ヶ月前の在庫'!$V$6:$V$10005,'設定'!$C$4,'月1回_2ヶ月前の在庫'!$W$6:$W$10005,$C116)&gt;0,SUMIFS('月1回_2ヶ月前の在庫'!$O$6:$O$10005,'月1回_2ヶ月前の在庫'!$V$6:$V$10005,'設定'!$C$4,'月1回_2ヶ月前の在庫'!$W$6:$W$10005,$C116)/COUNTIFS('月1回_2ヶ月前の在庫'!$V$6:$V$10005,'設定'!$C$4,'月1回_2ヶ月前の在庫'!$W$6:$W$10005,$C116),0)))),"")))</f>
        <v/>
      </c>
      <c r="P116" s="90">
        <f>IF($C116="","",IF('②発注する'!$I120="","",'②発注する'!$I120))</f>
        <v/>
      </c>
      <c r="Q116">
        <f>IF($C116="","",IF('②発注する'!$J120="","",'②発注する'!$J120))</f>
        <v/>
      </c>
      <c r="R116">
        <f>IF($C116="",0,IF(AND(ISNUMBER($P116),ISNUMBER($Q116)),MAX(0,$Q116)*$G116,0))</f>
        <v/>
      </c>
      <c r="S116" s="90">
        <f>IF($C116="","",IF('②発注する'!$M120="","",'②発注する'!$M120))</f>
        <v/>
      </c>
      <c r="T116">
        <f>IF($C116="","",IF('②発注する'!$N120="","",'②発注する'!$N120))</f>
        <v/>
      </c>
      <c r="U116">
        <f>IF($C116="",0,IF(AND(ISNUMBER($S116),ISNUMBER($T116)),MAX(0,$T116)*$G116,0))</f>
        <v/>
      </c>
      <c r="V116">
        <f>IF($C116="",0,IF($M116="",0,MAX(0,$M116)*MAX(0,V$4)/100))</f>
        <v/>
      </c>
      <c r="W116">
        <f>IF($C116="",0,IF($M116="",0,MAX(0,$M116)*MAX(0,W$4)/100))</f>
        <v/>
      </c>
      <c r="X116">
        <f>IF($C116="",0,IF($M116="",0,MAX(0,$M116)*MAX(0,X$4)/100))</f>
        <v/>
      </c>
      <c r="Y116">
        <f>IF($C116="",0,IF($M116="",0,MAX(0,$M116)*MAX(0,Y$4)/100))</f>
        <v/>
      </c>
      <c r="Z116">
        <f>IF($C116="",0,IF($M116="",0,MAX(0,$M116)*MAX(0,Z$4)/100))</f>
        <v/>
      </c>
      <c r="AA116">
        <f>IF($C116="",0,IF($M116="",0,MAX(0,$M116)*MAX(0,AA$4)/100))</f>
        <v/>
      </c>
      <c r="AB116">
        <f>IF($C116="",0,IF($M116="",0,MAX(0,$M116)*MAX(0,AB$4)/100))</f>
        <v/>
      </c>
      <c r="AC116">
        <f>IF($C116="",0,IF($M116="",0,MAX(0,$M116)*MAX(0,AC$4)/100))</f>
        <v/>
      </c>
      <c r="AD116">
        <f>IF($C116="",0,IF($M116="",0,MAX(0,$M116)*MAX(0,AD$4)/100))</f>
        <v/>
      </c>
      <c r="AE116">
        <f>IF($C116="",0,IF($M116="",0,MAX(0,$M116)*MAX(0,AE$4)/100))</f>
        <v/>
      </c>
      <c r="AF116">
        <f>IF($C116="",0,IF($M116="",0,MAX(0,$M116)*MAX(0,AF$4)/100))</f>
        <v/>
      </c>
      <c r="AG116">
        <f>IF($C116="",0,IF($M116="",0,MAX(0,$M116)*MAX(0,AG$4)/100))</f>
        <v/>
      </c>
      <c r="AH116">
        <f>IF($C116="",0,IF($M116="",0,MAX(0,$M116)*MAX(0,AH$4)/100))</f>
        <v/>
      </c>
      <c r="AI116">
        <f>IF($C116="",0,IF($M116="",0,MAX(0,$M116)*MAX(0,AI$4)/100))</f>
        <v/>
      </c>
      <c r="AJ116">
        <f>IF($C116="",0,MAX(0,MAX(0,N($L116))-$V116))</f>
        <v/>
      </c>
      <c r="AK116">
        <f>IF($C116="",0,MAX(0,$AJ116-$W116))</f>
        <v/>
      </c>
      <c r="AL116">
        <f>IF($C116="",0,MAX(0,$AK116-$X116))</f>
        <v/>
      </c>
      <c r="AM116">
        <f>IF($C116="",0,MAX(0,$AL116-$Y116))</f>
        <v/>
      </c>
      <c r="AN116">
        <f>IF($C116="",0,MAX(0,$AM116-$Z116))</f>
        <v/>
      </c>
      <c r="AO116">
        <f>IF($C116="",0,MAX(0,$AN116-$AA116))</f>
        <v/>
      </c>
      <c r="AP116">
        <f>IF($C116="",0,MAX(0,$AO116-$AB116))</f>
        <v/>
      </c>
      <c r="AQ116">
        <f>IF($C116="",0,MAX(0,$AP116-$AC116))</f>
        <v/>
      </c>
      <c r="AR116">
        <f>IF($C116="",0,MAX(0,$AQ116-$AD116))</f>
        <v/>
      </c>
      <c r="AS116">
        <f>IF($C116="",0,MAX(0,$AR116-$AE116))</f>
        <v/>
      </c>
      <c r="AT116">
        <f>IF($C116="",0,MAX(0,$AS116-$AF116))</f>
        <v/>
      </c>
      <c r="AU116">
        <f>IF($C116="",0,MAX(0,$AT116-$AG116))</f>
        <v/>
      </c>
      <c r="AV116">
        <f>IF($C116="",0,MAX(0,$AU116-$AH116))</f>
        <v/>
      </c>
      <c r="AW116">
        <f>IF($C116="",0,MAX(0,$AV116-$AI116))</f>
        <v/>
      </c>
      <c r="AX116">
        <f>IF($C116="",0,MAX(0,MAX(0,N($L116))+IF($P116=V$3,$R116,0)+IF($S116=V$3,$U116,0)-$V116))</f>
        <v/>
      </c>
      <c r="AY116">
        <f>IF($C116="",0,MAX(0,$AX116+IF($P116=W$3,$R116,0)+IF($S116=W$3,$U116,0)-$W116))</f>
        <v/>
      </c>
      <c r="AZ116">
        <f>IF($C116="",0,MAX(0,$AY116+IF($P116=X$3,$R116,0)+IF($S116=X$3,$U116,0)-$X116))</f>
        <v/>
      </c>
      <c r="BA116">
        <f>IF($C116="",0,MAX(0,$AZ116+IF($P116=Y$3,$R116,0)+IF($S116=Y$3,$U116,0)-$Y116))</f>
        <v/>
      </c>
      <c r="BB116">
        <f>IF($C116="",0,MAX(0,$BA116+IF($P116=Z$3,$R116,0)+IF($S116=Z$3,$U116,0)-$Z116))</f>
        <v/>
      </c>
      <c r="BC116">
        <f>IF($C116="",0,MAX(0,$BB116+IF($P116=AA$3,$R116,0)+IF($S116=AA$3,$U116,0)-$AA116))</f>
        <v/>
      </c>
      <c r="BD116">
        <f>IF($C116="",0,MAX(0,$BC116+IF($P116=AB$3,$R116,0)+IF($S116=AB$3,$U116,0)-$AB116))</f>
        <v/>
      </c>
      <c r="BE116">
        <f>IF($C116="",0,MAX(0,$BD116+IF($P116=AC$3,$R116,0)+IF($S116=AC$3,$U116,0)-$AC116))</f>
        <v/>
      </c>
      <c r="BF116">
        <f>IF($C116="",0,MAX(0,$BE116+IF($P116=AD$3,$R116,0)+IF($S116=AD$3,$U116,0)-$AD116))</f>
        <v/>
      </c>
      <c r="BG116">
        <f>IF($C116="",0,MAX(0,$BF116+IF($P116=AE$3,$R116,0)+IF($S116=AE$3,$U116,0)-$AE116))</f>
        <v/>
      </c>
      <c r="BH116">
        <f>IF($C116="",0,MAX(0,$BG116+IF($P116=AF$3,$R116,0)+IF($S116=AF$3,$U116,0)-$AF116))</f>
        <v/>
      </c>
      <c r="BI116">
        <f>IF($C116="",0,MAX(0,$BH116+IF($P116=AG$3,$R116,0)+IF($S116=AG$3,$U116,0)-$AG116))</f>
        <v/>
      </c>
      <c r="BJ116">
        <f>IF($C116="",0,MAX(0,$BI116+IF($P116=AH$3,$R116,0)+IF($S116=AH$3,$U116,0)-$AH116))</f>
        <v/>
      </c>
      <c r="BK116">
        <f>IF($C116="",0,MAX(0,$BJ116+IF($P116=AI$3,$R116,0)+IF($S116=AI$3,$U116,0)-$AI116))</f>
        <v/>
      </c>
      <c r="BL116">
        <f>IF($C116="",99,IF(AND($AX116&lt;1,V$3&gt;=MAX(N($P116),N($S116))),0,99))</f>
        <v/>
      </c>
      <c r="BM116">
        <f>IF($C116="",99,IF(AND($AY116&lt;1,W$3&gt;=MAX(N($P116),N($S116))),1,99))</f>
        <v/>
      </c>
      <c r="BN116">
        <f>IF($C116="",99,IF(AND($AZ116&lt;1,X$3&gt;=MAX(N($P116),N($S116))),2,99))</f>
        <v/>
      </c>
      <c r="BO116">
        <f>IF($C116="",99,IF(AND($BA116&lt;1,Y$3&gt;=MAX(N($P116),N($S116))),3,99))</f>
        <v/>
      </c>
      <c r="BP116">
        <f>IF($C116="",99,IF(AND($BB116&lt;1,Z$3&gt;=MAX(N($P116),N($S116))),4,99))</f>
        <v/>
      </c>
      <c r="BQ116">
        <f>IF($C116="",99,IF(AND($BC116&lt;1,AA$3&gt;=MAX(N($P116),N($S116))),5,99))</f>
        <v/>
      </c>
      <c r="BR116">
        <f>IF($C116="",99,IF(AND($BD116&lt;1,AB$3&gt;=MAX(N($P116),N($S116))),6,99))</f>
        <v/>
      </c>
      <c r="BS116">
        <f>IF($C116="",99,IF(AND($BE116&lt;1,AC$3&gt;=MAX(N($P116),N($S116))),7,99))</f>
        <v/>
      </c>
      <c r="BT116">
        <f>IF($C116="",99,IF(AND($BF116&lt;1,AD$3&gt;=MAX(N($P116),N($S116))),8,99))</f>
        <v/>
      </c>
      <c r="BU116">
        <f>IF($C116="",99,IF(AND($BG116&lt;1,AE$3&gt;=MAX(N($P116),N($S116))),9,99))</f>
        <v/>
      </c>
      <c r="BV116">
        <f>IF($C116="",99,IF(AND($BH116&lt;1,AF$3&gt;=MAX(N($P116),N($S116))),10,99))</f>
        <v/>
      </c>
      <c r="BW116">
        <f>IF($C116="",99,IF(AND($BI116&lt;1,AG$3&gt;=MAX(N($P116),N($S116))),11,99))</f>
        <v/>
      </c>
      <c r="BX116">
        <f>IF($C116="",99,IF(AND($BJ116&lt;1,AH$3&gt;=MAX(N($P116),N($S116))),12,99))</f>
        <v/>
      </c>
      <c r="BY116">
        <f>IF($C116="",99,IF(AND($BK116&lt;1,AI$3&gt;=MAX(N($P116),N($S116))),13,99))</f>
        <v/>
      </c>
      <c r="BZ116">
        <f>IF(OR($C116="",$M116=""),"",COUNTIF($AJ116:$AW116,"&gt;=1"))</f>
        <v/>
      </c>
      <c r="CA116" s="90">
        <f>IF($BZ116="","",IF($BZ116&gt;=14,"",'設定'!$C$6+$BZ116))</f>
        <v/>
      </c>
      <c r="CB116">
        <f>IF(OR($C116="",$M116=""),"",MIN($BL116:$BY116))</f>
        <v/>
      </c>
      <c r="CC116" s="90">
        <f>IF($CB116="","",IF($CB116&gt;=99,"",'設定'!$C$6+$CB116))</f>
        <v/>
      </c>
      <c r="CD116">
        <f>IF(OR($C116="",$M116=""),"",AVERAGE($V116:$AI116))</f>
        <v/>
      </c>
      <c r="CE116">
        <f>IF($C116="","",IFERROR(IF(MATCH(IF(ISNUMBER($P116),$P116,'設定'!$C$6+N('設定'!$C$7)),$V$3:$AI$3,0)=1,MAX(0,N($L116)),INDEX($AJ116:$AW116,MATCH(IF(ISNUMBER($P116),$P116,'設定'!$C$6+N('設定'!$C$7)),$V$3:$AI$3,0)-1)),""))</f>
        <v/>
      </c>
      <c r="CF116">
        <f>IF(OR($C116="",$O116="",$CE116=""),"",IF($O116-$CE116&lt;=0,0,ROUNDUP(($O116-$CE116)/$G116,0)))</f>
        <v/>
      </c>
      <c r="CG116">
        <f>IF(OR($C116="",$CF116="",NOT(ISNUMBER($Q116))),0,MAX(0,$Q116-$CF116))</f>
        <v/>
      </c>
      <c r="CH116">
        <f>IF(OR($C116="",$O116="",$U116=0),0,IFERROR(ROUNDUP(MAX(0,IF(MATCH($S116,$V$3:$AI$3,0)=1,MAX(0,N($L116)),INDEX($AX116:$BK116,MATCH($S116,$V$3:$AI$3,0)-1))+$U116-$O116)/$G116,0),0))</f>
        <v/>
      </c>
      <c r="CI116">
        <f>IF($C116="","",IF(AND($P116="",$Q116=""),"",IF($P116="","⚠ 入庫日を ▼ から選んでください",IF(NOT(ISNUMBER($P116)),"⚠ 入庫日は ▼ から選んでください",IF($P116&lt;N('設定'!$C$6),"⚠ 入庫日が過去です（もう在庫に入っています）→ 消してください",IF($P116&gt;N('設定'!$C$6)+13,"⚠ 入庫日が14日より先です",IF(N($Q116)&lt;=0,"⚠ 入庫数を入れてください",IF($CG116&gt;0,"⚠ 目安より "&amp;$CG116&amp;" 多い（定数を超える）→ 減らす",""))))))))</f>
        <v/>
      </c>
      <c r="CJ116">
        <f>IF($C116="","",IF(AND($S116="",$T116=""),"",IF($S116="","⚠ 2便目：入庫日を ▼ から選んでください",IF(NOT(ISNUMBER($S116)),"⚠ 2便目：入庫日は ▼ から選んでください",IF($S116&lt;N('設定'!$C$6),"⚠ 2便目：入庫日が過去です（もう在庫に入っています）→ 消してください",IF($S116&gt;N('設定'!$C$6)+13,"⚠ 2便目：入庫日が14日より先です",IF(N($T116)&lt;=0,"⚠ 2便目：入庫数を入れてください",IF($CH116&gt;0,"⚠ 2便目：定数を "&amp;$CH116&amp;" ケース超える → 減らす",""))))))))</f>
        <v/>
      </c>
      <c r="CK116">
        <f>IF(AND($CI116="",N($Q116)&gt;0,ISNUMBER($P116)),1,0)</f>
        <v/>
      </c>
      <c r="CL116">
        <f>IF(AND($CJ116="",N($T116)&gt;0,ISNUMBER($S116)),1,0)</f>
        <v/>
      </c>
      <c r="CM116">
        <f>IF(OR($CK116=1,$CL116=1),1,0)</f>
        <v/>
      </c>
      <c r="CN116">
        <f>IF($C116="",0,($CK116*$R116+$CL116*$U116)*N($H116))</f>
        <v/>
      </c>
      <c r="CO116">
        <f>IF($C116="","",IF($CC116="","入庫後は 14日以上もつ",IF($CC116-N('設定'!$C$7)&lt;='設定'!$C$6,"入庫後も "&amp;TEXT($CC116,"m/d")&amp;"("&amp;CHOOSE(WEEKDAY($CC116),"日","月","火","水","木","金","土")&amp;")"&amp;" に切れる　もう1便を至急発注","入庫後も "&amp;TEXT($CC116,"m/d")&amp;"("&amp;CHOOSE(WEEKDAY($CC116),"日","月","火","水","木","金","土")&amp;")"&amp;" に切れる　"&amp;TEXT($CC116-N('設定'!$C$7),"m/d")&amp;"("&amp;CHOOSE(WEEKDAY($CC116-N('設定'!$C$7)),"日","月","火","水","木","金","土")&amp;")"&amp;" までに次を発注")))</f>
        <v/>
      </c>
      <c r="CP116">
        <f>IF($C116="","",IF('設定'!$C$6="","？ ①在庫を貼る に今日のCSVが貼られていない",IF($CS116=1,"－ 今日のCSVに無い（終売？）",IF($L116&lt;0,"● 在庫がマイナス　数えて「数えた在庫」に入れる",IF($L116=0,"● 在庫なし　至急発注",IF($M116="","？ 減り数が未設定（商品マスタ）",IF($B$3=0,"？ 動員が未入力（動員を入れる）",IF($CA116="","○ 14日以上もつ",IF($BZ116&lt;N('設定'!$C$7),"● "&amp;TEXT($CA116,"m/d")&amp;"("&amp;CHOOSE(WEEKDAY($CA116),"日","月","火","水","木","金","土")&amp;")"&amp;" に切れる　至急発注",IF($BZ116=N('設定'!$C$7),"● "&amp;TEXT($CA116,"m/d")&amp;"("&amp;CHOOSE(WEEKDAY($CA116),"日","月","火","水","木","金","土")&amp;")"&amp;" に切れる　今日発注","△ "&amp;TEXT($CA116,"m/d")&amp;"("&amp;CHOOSE(WEEKDAY($CA116),"日","月","火","水","木","金","土")&amp;")"&amp;" に切れる　"&amp;TEXT($CA116-N('設定'!$C$7),"m/d")&amp;"("&amp;CHOOSE(WEEKDAY($CA116-N('設定'!$C$7)),"日","月","火","水","木","金","土")&amp;")"&amp;" までに発注"))))))))))</f>
        <v/>
      </c>
      <c r="CQ116">
        <f>IF($C116="","",IF(AND($P116="",$Q116="",$S116="",$T116=""),"",IF(AND($P116="",$Q116=""),"⚠ 先に1便目（左の入庫日・入庫数）に入れてください",IF($CI116&lt;&gt;"",$CI116,IF($CJ116&lt;&gt;"",$CJ116,IF($M116="","？ 減り数が未設定（発注書には載ります）",IF($B$3=0,"？ 動員が未入力（発注書には載ります）",IF(AND($CA116&lt;&gt;"",$P116&gt;$CA116),IF($P116&gt;'設定'!$C$6+N('設定'!$C$7),"● "&amp;TEXT($P116,"m/d")&amp;"("&amp;CHOOSE(WEEKDAY($P116),"日","月","火","水","木","金","土")&amp;")"&amp;" の入庫では間に合わない（"&amp;TEXT($CA116,"m/d")&amp;"("&amp;CHOOSE(WEEKDAY($CA116),"日","月","火","水","木","金","土")&amp;")"&amp;" に切れる）　入庫日を早める","△ 欠品 "&amp;TEXT($CA116,"m/d")&amp;"("&amp;CHOOSE(WEEKDAY($CA116),"日","月","火","水","木","金","土")&amp;")"&amp;"〜"&amp;TEXT($P116-1,"m/d")&amp;"("&amp;CHOOSE(WEEKDAY($P116-1),"日","月","火","水","木","金","土")&amp;")"&amp;"　"&amp;$CO116),IF($CC116="","○ "&amp;TEXT($P116,"m/d")&amp;"("&amp;CHOOSE(WEEKDAY($P116),"日","月","火","水","木","金","土")&amp;")"&amp;" 入庫で 14日以上もつ",IF($CC116-N('設定'!$C$7)&lt;='設定'!$C$6,"● 入庫しても "&amp;TEXT($CC116,"m/d")&amp;"("&amp;CHOOSE(WEEKDAY($CC116),"日","月","火","水","木","金","土")&amp;")"&amp;" に切れる　もう1便を至急発注（2便目に入れる）","△ 入庫しても "&amp;TEXT($CC116,"m/d")&amp;"("&amp;CHOOSE(WEEKDAY($CC116),"日","月","火","水","木","金","土")&amp;")"&amp;" に切れる　"&amp;TEXT($CC116-N('設定'!$C$7),"m/d")&amp;"("&amp;CHOOSE(WEEKDAY($CC116-N('設定'!$C$7)),"日","月","火","水","木","金","土")&amp;")"&amp;" までに次を発注（2便目に入れる）"))))))))))</f>
        <v/>
      </c>
      <c r="CR116">
        <f>IF($C116="","",IF($G116&gt;1,"ｹｰｽ("&amp;$G116&amp;"入)","個"))</f>
        <v/>
      </c>
      <c r="CS116">
        <f>IF($C116="",0,IF(COUNTIFS('①在庫を貼る'!$V$6:$V$10005,'設定'!$C$4,'①在庫を貼る'!$W$6:$W$10005,$C116)=0,1,0))</f>
        <v/>
      </c>
      <c r="CT116">
        <f>IF(AND($CK116=1,OR('③発注書'!$C$4="すべて",'③発注書'!$C$4="",$F116='③発注書'!$C$4)),N($CT115)+1,N($CT115))</f>
        <v/>
      </c>
      <c r="CU116">
        <f>IF(AND($CL116=1,OR('③発注書'!$C$4="すべて",'③発注書'!$C$4="",$F116='③発注書'!$C$4)),N($CU115)+1,N($CU115))</f>
        <v/>
      </c>
      <c r="CV116">
        <f>IF($C116="",0,IF(COUNTIFS('①在庫を貼る'!$V$6:$V$10005,'設定'!$C$4,'①在庫を貼る'!$W$6:$W$10005,$C116)&gt;0,1,0))</f>
        <v/>
      </c>
      <c r="CW116">
        <f>IF($C116="",0,IF(COUNTIFS('月1回_1ヶ月前の在庫'!$V$6:$V$10005,'設定'!$C$4,'月1回_1ヶ月前の在庫'!$W$6:$W$10005,$C116)&gt;0,1,0))</f>
        <v/>
      </c>
      <c r="CX116">
        <f>IF($C116="",0,IF(COUNTIFS('月1回_2ヶ月前の在庫'!$V$6:$V$10005,'設定'!$C$4,'月1回_2ヶ月前の在庫'!$W$6:$W$10005,$C116)&gt;0,1,0))</f>
        <v/>
      </c>
      <c r="CY116">
        <f>IF(OR($C116="",'設定'!$C$12=""),"",IF('設定'!$C$13="",IF(AND($CV116=1,$CW116=0),"新商品（今月から）",IF(AND($CV116=0,$CW116=1),"終売（今月から）","")),IF(AND($CV116=1,$CW116=0,$CX116=0),"新商品（今月から）",IF(AND($CV116=1,$CW116=1,$CX116=0),"新商品（先月から）",IF(AND($CV116=0,$CW116=1,$CX116=1),"終売（今月から）",IF(AND($CV116=0,$CW116=0,$CX116=1),"終売（先月から）",IF(AND($CV116=1,$CW116=0,$CX116=1),"復活（先月は無し）","")))))))</f>
        <v/>
      </c>
    </row>
    <row r="117">
      <c r="B117">
        <f>IF(112&lt;='設定'!$C$11,112,"")</f>
        <v/>
      </c>
      <c r="C117">
        <f>IF($B117="","",IF($B117&lt;='設定'!$C$20,INDEX('商品マスタ'!$B$6:$B$1005,MATCH($B117,'商品マスタ'!$M$6:$M$1005,0)),IF($B117&lt;='設定'!$C$20+'設定'!$C$17,INDEX('①在庫を貼る'!$W$6:$W$10005,MATCH($B117-'設定'!$C$20,'①在庫を貼る'!$U$6:$U$10005,0)),IF($B117&lt;='設定'!$C$20+'設定'!$C$17+'設定'!$C$18,INDEX('月1回_1ヶ月前の在庫'!$W$6:$W$10005,MATCH($B117-'設定'!$C$20-'設定'!$C$17,'月1回_1ヶ月前の在庫'!$U$6:$U$10005,0)),INDEX('月1回_2ヶ月前の在庫'!$W$6:$W$10005,MATCH($B117-'設定'!$C$20-'設定'!$C$17-'設定'!$C$18,'月1回_2ヶ月前の在庫'!$U$6:$U$10005,0))))))</f>
        <v/>
      </c>
      <c r="D117">
        <f>IF($C117="","",IFERROR(IF(INDEX('商品マスタ'!$C$6:$C$1005,MATCH($C117,'商品マスタ'!$B$6:$B$1005,0))="",IFERROR(INDEX('①在庫を貼る'!$J$6:$J$10005,MATCH($C117,'①在庫を貼る'!$W$6:$W$10005,0)),IFERROR(INDEX('月1回_1ヶ月前の在庫'!$J$6:$J$10005,MATCH($C117,'月1回_1ヶ月前の在庫'!$W$6:$W$10005,0)),IFERROR(INDEX('月1回_2ヶ月前の在庫'!$J$6:$J$10005,MATCH($C117,'月1回_2ヶ月前の在庫'!$W$6:$W$10005,0)),""))),INDEX('商品マスタ'!$C$6:$C$1005,MATCH($C117,'商品マスタ'!$B$6:$B$1005,0))),IFERROR(INDEX('①在庫を貼る'!$J$6:$J$10005,MATCH($C117,'①在庫を貼る'!$W$6:$W$10005,0)),IFERROR(INDEX('月1回_1ヶ月前の在庫'!$J$6:$J$10005,MATCH($C117,'月1回_1ヶ月前の在庫'!$W$6:$W$10005,0)),IFERROR(INDEX('月1回_2ヶ月前の在庫'!$J$6:$J$10005,MATCH($C117,'月1回_2ヶ月前の在庫'!$W$6:$W$10005,0)),"")))))</f>
        <v/>
      </c>
      <c r="E117">
        <f>IF($C117="","",IFERROR(IF(INDEX('商品マスタ'!$D$6:$D$1005,MATCH($C117,'商品マスタ'!$B$6:$B$1005,0))="",IFERROR(INDEX('①在庫を貼る'!$H$6:$H$10005,MATCH($C117,'①在庫を貼る'!$W$6:$W$10005,0)),IFERROR(INDEX('月1回_1ヶ月前の在庫'!$H$6:$H$10005,MATCH($C117,'月1回_1ヶ月前の在庫'!$W$6:$W$10005,0)),IFERROR(INDEX('月1回_2ヶ月前の在庫'!$H$6:$H$10005,MATCH($C117,'月1回_2ヶ月前の在庫'!$W$6:$W$10005,0)),""))),INDEX('商品マスタ'!$D$6:$D$1005,MATCH($C117,'商品マスタ'!$B$6:$B$1005,0))),IFERROR(INDEX('①在庫を貼る'!$H$6:$H$10005,MATCH($C117,'①在庫を貼る'!$W$6:$W$10005,0)),IFERROR(INDEX('月1回_1ヶ月前の在庫'!$H$6:$H$10005,MATCH($C117,'月1回_1ヶ月前の在庫'!$W$6:$W$10005,0)),IFERROR(INDEX('月1回_2ヶ月前の在庫'!$H$6:$H$10005,MATCH($C117,'月1回_2ヶ月前の在庫'!$W$6:$W$10005,0)),"")))))</f>
        <v/>
      </c>
      <c r="F117">
        <f>IF($C117="","",IFERROR(IF(INDEX('商品マスタ'!$E$6:$E$1005,MATCH($C117,'商品マスタ'!$B$6:$B$1005,0))="",IFERROR(INDEX('①在庫を貼る'!$E$6:$E$10005,MATCH($C117,'①在庫を貼る'!$W$6:$W$10005,0)),IFERROR(INDEX('月1回_1ヶ月前の在庫'!$E$6:$E$10005,MATCH($C117,'月1回_1ヶ月前の在庫'!$W$6:$W$10005,0)),IFERROR(INDEX('月1回_2ヶ月前の在庫'!$E$6:$E$10005,MATCH($C117,'月1回_2ヶ月前の在庫'!$W$6:$W$10005,0)),""))),INDEX('商品マスタ'!$E$6:$E$1005,MATCH($C117,'商品マスタ'!$B$6:$B$1005,0))),IFERROR(INDEX('①在庫を貼る'!$E$6:$E$10005,MATCH($C117,'①在庫を貼る'!$W$6:$W$10005,0)),IFERROR(INDEX('月1回_1ヶ月前の在庫'!$E$6:$E$10005,MATCH($C117,'月1回_1ヶ月前の在庫'!$W$6:$W$10005,0)),IFERROR(INDEX('月1回_2ヶ月前の在庫'!$E$6:$E$10005,MATCH($C117,'月1回_2ヶ月前の在庫'!$W$6:$W$10005,0)),"")))))</f>
        <v/>
      </c>
      <c r="G117">
        <f>IF($C117="","",MAX(1,N(IFERROR(IF(INDEX('商品マスタ'!$F$6:$F$1005,MATCH($C117,'商品マスタ'!$B$6:$B$1005,0))="",IF(COUNTIFS('①在庫を貼る'!$V$6:$V$10005,'設定'!$C$4,'①在庫を貼る'!$W$6:$W$10005,$C117)&gt;0,SUMIFS('①在庫を貼る'!$K$6:$K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K$6:$K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K$6:$K$10005,'月1回_2ヶ月前の在庫'!$V$6:$V$10005,'設定'!$C$4,'月1回_2ヶ月前の在庫'!$W$6:$W$10005,$C117)/COUNTIFS('月1回_2ヶ月前の在庫'!$V$6:$V$10005,'設定'!$C$4,'月1回_2ヶ月前の在庫'!$W$6:$W$10005,$C117),0))),INDEX('商品マスタ'!$F$6:$F$1005,MATCH($C117,'商品マスタ'!$B$6:$B$1005,0))),IF(COUNTIFS('①在庫を貼る'!$V$6:$V$10005,'設定'!$C$4,'①在庫を貼る'!$W$6:$W$10005,$C117)&gt;0,SUMIFS('①在庫を貼る'!$K$6:$K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K$6:$K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K$6:$K$10005,'月1回_2ヶ月前の在庫'!$V$6:$V$10005,'設定'!$C$4,'月1回_2ヶ月前の在庫'!$W$6:$W$10005,$C117)/COUNTIFS('月1回_2ヶ月前の在庫'!$V$6:$V$10005,'設定'!$C$4,'月1回_2ヶ月前の在庫'!$W$6:$W$10005,$C117),0)))))))</f>
        <v/>
      </c>
      <c r="H117">
        <f>IF($C117="","",N(IFERROR(IF(INDEX('商品マスタ'!$G$6:$G$1005,MATCH($C117,'商品マスタ'!$B$6:$B$1005,0))="",IF(COUNTIFS('①在庫を貼る'!$V$6:$V$10005,'設定'!$C$4,'①在庫を貼る'!$W$6:$W$10005,$C117)&gt;0,SUMIFS('①在庫を貼る'!$Q$6:$Q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Q$6:$Q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Q$6:$Q$10005,'月1回_2ヶ月前の在庫'!$V$6:$V$10005,'設定'!$C$4,'月1回_2ヶ月前の在庫'!$W$6:$W$10005,$C117)/COUNTIFS('月1回_2ヶ月前の在庫'!$V$6:$V$10005,'設定'!$C$4,'月1回_2ヶ月前の在庫'!$W$6:$W$10005,$C117),0))),INDEX('商品マスタ'!$G$6:$G$1005,MATCH($C117,'商品マスタ'!$B$6:$B$1005,0))),IF(COUNTIFS('①在庫を貼る'!$V$6:$V$10005,'設定'!$C$4,'①在庫を貼る'!$W$6:$W$10005,$C117)&gt;0,SUMIFS('①在庫を貼る'!$Q$6:$Q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Q$6:$Q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Q$6:$Q$10005,'月1回_2ヶ月前の在庫'!$V$6:$V$10005,'設定'!$C$4,'月1回_2ヶ月前の在庫'!$W$6:$W$10005,$C117)/COUNTIFS('月1回_2ヶ月前の在庫'!$V$6:$V$10005,'設定'!$C$4,'月1回_2ヶ月前の在庫'!$W$6:$W$10005,$C117),0))))))</f>
        <v/>
      </c>
      <c r="I117">
        <f>IF($C117="","",IF(COUNTIFS('①在庫を貼る'!$V$6:$V$10005,'設定'!$C$4,'①在庫を貼る'!$W$6:$W$10005,$C117)=0,"",SUMIFS('①在庫を貼る'!$N$6:$N$10005,'①在庫を貼る'!$V$6:$V$10005,'設定'!$C$4,'①在庫を貼る'!$W$6:$W$10005,$C117)))</f>
        <v/>
      </c>
      <c r="J117">
        <f>IF($C117="","",IF('②発注する'!$AD121="","",'②発注する'!$AD121))</f>
        <v/>
      </c>
      <c r="K117" s="90">
        <f>IF($C117="","",IF('②発注する'!$AE121="","",'②発注する'!$AE121))</f>
        <v/>
      </c>
      <c r="L117">
        <f>IF($C117="","",IF(AND(ISNUMBER($J117),ISNUMBER($K117),$K117&gt;='設定'!$C$6),$J117,N($I117)))</f>
        <v/>
      </c>
      <c r="M117">
        <f>IF($C117="","",IFERROR(IF(N(INDEX('商品マスタ'!$J$6:$J$1005,MATCH($C117,'商品マスタ'!$B$6:$B$1005,0)))&gt;0,INDEX('商品マスタ'!$J$6:$J$1005,MATCH($C117,'商品マスタ'!$B$6:$B$1005,0)),""),""))</f>
        <v/>
      </c>
      <c r="N117">
        <f>IF($C117="","",IFERROR(IF(N(INDEX('商品マスタ'!$H$6:$H$1005,MATCH($C117,'商品マスタ'!$B$6:$B$1005,0)))&gt;0,INDEX('商品マスタ'!$H$6:$H$1005,MATCH($C117,'商品マスタ'!$B$6:$B$1005,0)),""),""))</f>
        <v/>
      </c>
      <c r="O117">
        <f>IF($C117="","",IF($N117&lt;&gt;"",$N117*$G117,IF(N(IF(COUNTIFS('①在庫を貼る'!$V$6:$V$10005,'設定'!$C$4,'①在庫を貼る'!$W$6:$W$10005,$C117)&gt;0,SUMIFS('①在庫を貼る'!$O$6:$O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O$6:$O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O$6:$O$10005,'月1回_2ヶ月前の在庫'!$V$6:$V$10005,'設定'!$C$4,'月1回_2ヶ月前の在庫'!$W$6:$W$10005,$C117)/COUNTIFS('月1回_2ヶ月前の在庫'!$V$6:$V$10005,'設定'!$C$4,'月1回_2ヶ月前の在庫'!$W$6:$W$10005,$C117),0))))&gt;0,N(IF(COUNTIFS('①在庫を貼る'!$V$6:$V$10005,'設定'!$C$4,'①在庫を貼る'!$W$6:$W$10005,$C117)&gt;0,SUMIFS('①在庫を貼る'!$O$6:$O$10005,'①在庫を貼る'!$V$6:$V$10005,'設定'!$C$4,'①在庫を貼る'!$W$6:$W$10005,$C117)/COUNTIFS('①在庫を貼る'!$V$6:$V$10005,'設定'!$C$4,'①在庫を貼る'!$W$6:$W$10005,$C117),IF(COUNTIFS('月1回_1ヶ月前の在庫'!$V$6:$V$10005,'設定'!$C$4,'月1回_1ヶ月前の在庫'!$W$6:$W$10005,$C117)&gt;0,SUMIFS('月1回_1ヶ月前の在庫'!$O$6:$O$10005,'月1回_1ヶ月前の在庫'!$V$6:$V$10005,'設定'!$C$4,'月1回_1ヶ月前の在庫'!$W$6:$W$10005,$C117)/COUNTIFS('月1回_1ヶ月前の在庫'!$V$6:$V$10005,'設定'!$C$4,'月1回_1ヶ月前の在庫'!$W$6:$W$10005,$C117),IF(COUNTIFS('月1回_2ヶ月前の在庫'!$V$6:$V$10005,'設定'!$C$4,'月1回_2ヶ月前の在庫'!$W$6:$W$10005,$C117)&gt;0,SUMIFS('月1回_2ヶ月前の在庫'!$O$6:$O$10005,'月1回_2ヶ月前の在庫'!$V$6:$V$10005,'設定'!$C$4,'月1回_2ヶ月前の在庫'!$W$6:$W$10005,$C117)/COUNTIFS('月1回_2ヶ月前の在庫'!$V$6:$V$10005,'設定'!$C$4,'月1回_2ヶ月前の在庫'!$W$6:$W$10005,$C117),0)))),"")))</f>
        <v/>
      </c>
      <c r="P117" s="90">
        <f>IF($C117="","",IF('②発注する'!$I121="","",'②発注する'!$I121))</f>
        <v/>
      </c>
      <c r="Q117">
        <f>IF($C117="","",IF('②発注する'!$J121="","",'②発注する'!$J121))</f>
        <v/>
      </c>
      <c r="R117">
        <f>IF($C117="",0,IF(AND(ISNUMBER($P117),ISNUMBER($Q117)),MAX(0,$Q117)*$G117,0))</f>
        <v/>
      </c>
      <c r="S117" s="90">
        <f>IF($C117="","",IF('②発注する'!$M121="","",'②発注する'!$M121))</f>
        <v/>
      </c>
      <c r="T117">
        <f>IF($C117="","",IF('②発注する'!$N121="","",'②発注する'!$N121))</f>
        <v/>
      </c>
      <c r="U117">
        <f>IF($C117="",0,IF(AND(ISNUMBER($S117),ISNUMBER($T117)),MAX(0,$T117)*$G117,0))</f>
        <v/>
      </c>
      <c r="V117">
        <f>IF($C117="",0,IF($M117="",0,MAX(0,$M117)*MAX(0,V$4)/100))</f>
        <v/>
      </c>
      <c r="W117">
        <f>IF($C117="",0,IF($M117="",0,MAX(0,$M117)*MAX(0,W$4)/100))</f>
        <v/>
      </c>
      <c r="X117">
        <f>IF($C117="",0,IF($M117="",0,MAX(0,$M117)*MAX(0,X$4)/100))</f>
        <v/>
      </c>
      <c r="Y117">
        <f>IF($C117="",0,IF($M117="",0,MAX(0,$M117)*MAX(0,Y$4)/100))</f>
        <v/>
      </c>
      <c r="Z117">
        <f>IF($C117="",0,IF($M117="",0,MAX(0,$M117)*MAX(0,Z$4)/100))</f>
        <v/>
      </c>
      <c r="AA117">
        <f>IF($C117="",0,IF($M117="",0,MAX(0,$M117)*MAX(0,AA$4)/100))</f>
        <v/>
      </c>
      <c r="AB117">
        <f>IF($C117="",0,IF($M117="",0,MAX(0,$M117)*MAX(0,AB$4)/100))</f>
        <v/>
      </c>
      <c r="AC117">
        <f>IF($C117="",0,IF($M117="",0,MAX(0,$M117)*MAX(0,AC$4)/100))</f>
        <v/>
      </c>
      <c r="AD117">
        <f>IF($C117="",0,IF($M117="",0,MAX(0,$M117)*MAX(0,AD$4)/100))</f>
        <v/>
      </c>
      <c r="AE117">
        <f>IF($C117="",0,IF($M117="",0,MAX(0,$M117)*MAX(0,AE$4)/100))</f>
        <v/>
      </c>
      <c r="AF117">
        <f>IF($C117="",0,IF($M117="",0,MAX(0,$M117)*MAX(0,AF$4)/100))</f>
        <v/>
      </c>
      <c r="AG117">
        <f>IF($C117="",0,IF($M117="",0,MAX(0,$M117)*MAX(0,AG$4)/100))</f>
        <v/>
      </c>
      <c r="AH117">
        <f>IF($C117="",0,IF($M117="",0,MAX(0,$M117)*MAX(0,AH$4)/100))</f>
        <v/>
      </c>
      <c r="AI117">
        <f>IF($C117="",0,IF($M117="",0,MAX(0,$M117)*MAX(0,AI$4)/100))</f>
        <v/>
      </c>
      <c r="AJ117">
        <f>IF($C117="",0,MAX(0,MAX(0,N($L117))-$V117))</f>
        <v/>
      </c>
      <c r="AK117">
        <f>IF($C117="",0,MAX(0,$AJ117-$W117))</f>
        <v/>
      </c>
      <c r="AL117">
        <f>IF($C117="",0,MAX(0,$AK117-$X117))</f>
        <v/>
      </c>
      <c r="AM117">
        <f>IF($C117="",0,MAX(0,$AL117-$Y117))</f>
        <v/>
      </c>
      <c r="AN117">
        <f>IF($C117="",0,MAX(0,$AM117-$Z117))</f>
        <v/>
      </c>
      <c r="AO117">
        <f>IF($C117="",0,MAX(0,$AN117-$AA117))</f>
        <v/>
      </c>
      <c r="AP117">
        <f>IF($C117="",0,MAX(0,$AO117-$AB117))</f>
        <v/>
      </c>
      <c r="AQ117">
        <f>IF($C117="",0,MAX(0,$AP117-$AC117))</f>
        <v/>
      </c>
      <c r="AR117">
        <f>IF($C117="",0,MAX(0,$AQ117-$AD117))</f>
        <v/>
      </c>
      <c r="AS117">
        <f>IF($C117="",0,MAX(0,$AR117-$AE117))</f>
        <v/>
      </c>
      <c r="AT117">
        <f>IF($C117="",0,MAX(0,$AS117-$AF117))</f>
        <v/>
      </c>
      <c r="AU117">
        <f>IF($C117="",0,MAX(0,$AT117-$AG117))</f>
        <v/>
      </c>
      <c r="AV117">
        <f>IF($C117="",0,MAX(0,$AU117-$AH117))</f>
        <v/>
      </c>
      <c r="AW117">
        <f>IF($C117="",0,MAX(0,$AV117-$AI117))</f>
        <v/>
      </c>
      <c r="AX117">
        <f>IF($C117="",0,MAX(0,MAX(0,N($L117))+IF($P117=V$3,$R117,0)+IF($S117=V$3,$U117,0)-$V117))</f>
        <v/>
      </c>
      <c r="AY117">
        <f>IF($C117="",0,MAX(0,$AX117+IF($P117=W$3,$R117,0)+IF($S117=W$3,$U117,0)-$W117))</f>
        <v/>
      </c>
      <c r="AZ117">
        <f>IF($C117="",0,MAX(0,$AY117+IF($P117=X$3,$R117,0)+IF($S117=X$3,$U117,0)-$X117))</f>
        <v/>
      </c>
      <c r="BA117">
        <f>IF($C117="",0,MAX(0,$AZ117+IF($P117=Y$3,$R117,0)+IF($S117=Y$3,$U117,0)-$Y117))</f>
        <v/>
      </c>
      <c r="BB117">
        <f>IF($C117="",0,MAX(0,$BA117+IF($P117=Z$3,$R117,0)+IF($S117=Z$3,$U117,0)-$Z117))</f>
        <v/>
      </c>
      <c r="BC117">
        <f>IF($C117="",0,MAX(0,$BB117+IF($P117=AA$3,$R117,0)+IF($S117=AA$3,$U117,0)-$AA117))</f>
        <v/>
      </c>
      <c r="BD117">
        <f>IF($C117="",0,MAX(0,$BC117+IF($P117=AB$3,$R117,0)+IF($S117=AB$3,$U117,0)-$AB117))</f>
        <v/>
      </c>
      <c r="BE117">
        <f>IF($C117="",0,MAX(0,$BD117+IF($P117=AC$3,$R117,0)+IF($S117=AC$3,$U117,0)-$AC117))</f>
        <v/>
      </c>
      <c r="BF117">
        <f>IF($C117="",0,MAX(0,$BE117+IF($P117=AD$3,$R117,0)+IF($S117=AD$3,$U117,0)-$AD117))</f>
        <v/>
      </c>
      <c r="BG117">
        <f>IF($C117="",0,MAX(0,$BF117+IF($P117=AE$3,$R117,0)+IF($S117=AE$3,$U117,0)-$AE117))</f>
        <v/>
      </c>
      <c r="BH117">
        <f>IF($C117="",0,MAX(0,$BG117+IF($P117=AF$3,$R117,0)+IF($S117=AF$3,$U117,0)-$AF117))</f>
        <v/>
      </c>
      <c r="BI117">
        <f>IF($C117="",0,MAX(0,$BH117+IF($P117=AG$3,$R117,0)+IF($S117=AG$3,$U117,0)-$AG117))</f>
        <v/>
      </c>
      <c r="BJ117">
        <f>IF($C117="",0,MAX(0,$BI117+IF($P117=AH$3,$R117,0)+IF($S117=AH$3,$U117,0)-$AH117))</f>
        <v/>
      </c>
      <c r="BK117">
        <f>IF($C117="",0,MAX(0,$BJ117+IF($P117=AI$3,$R117,0)+IF($S117=AI$3,$U117,0)-$AI117))</f>
        <v/>
      </c>
      <c r="BL117">
        <f>IF($C117="",99,IF(AND($AX117&lt;1,V$3&gt;=MAX(N($P117),N($S117))),0,99))</f>
        <v/>
      </c>
      <c r="BM117">
        <f>IF($C117="",99,IF(AND($AY117&lt;1,W$3&gt;=MAX(N($P117),N($S117))),1,99))</f>
        <v/>
      </c>
      <c r="BN117">
        <f>IF($C117="",99,IF(AND($AZ117&lt;1,X$3&gt;=MAX(N($P117),N($S117))),2,99))</f>
        <v/>
      </c>
      <c r="BO117">
        <f>IF($C117="",99,IF(AND($BA117&lt;1,Y$3&gt;=MAX(N($P117),N($S117))),3,99))</f>
        <v/>
      </c>
      <c r="BP117">
        <f>IF($C117="",99,IF(AND($BB117&lt;1,Z$3&gt;=MAX(N($P117),N($S117))),4,99))</f>
        <v/>
      </c>
      <c r="BQ117">
        <f>IF($C117="",99,IF(AND($BC117&lt;1,AA$3&gt;=MAX(N($P117),N($S117))),5,99))</f>
        <v/>
      </c>
      <c r="BR117">
        <f>IF($C117="",99,IF(AND($BD117&lt;1,AB$3&gt;=MAX(N($P117),N($S117))),6,99))</f>
        <v/>
      </c>
      <c r="BS117">
        <f>IF($C117="",99,IF(AND($BE117&lt;1,AC$3&gt;=MAX(N($P117),N($S117))),7,99))</f>
        <v/>
      </c>
      <c r="BT117">
        <f>IF($C117="",99,IF(AND($BF117&lt;1,AD$3&gt;=MAX(N($P117),N($S117))),8,99))</f>
        <v/>
      </c>
      <c r="BU117">
        <f>IF($C117="",99,IF(AND($BG117&lt;1,AE$3&gt;=MAX(N($P117),N($S117))),9,99))</f>
        <v/>
      </c>
      <c r="BV117">
        <f>IF($C117="",99,IF(AND($BH117&lt;1,AF$3&gt;=MAX(N($P117),N($S117))),10,99))</f>
        <v/>
      </c>
      <c r="BW117">
        <f>IF($C117="",99,IF(AND($BI117&lt;1,AG$3&gt;=MAX(N($P117),N($S117))),11,99))</f>
        <v/>
      </c>
      <c r="BX117">
        <f>IF($C117="",99,IF(AND($BJ117&lt;1,AH$3&gt;=MAX(N($P117),N($S117))),12,99))</f>
        <v/>
      </c>
      <c r="BY117">
        <f>IF($C117="",99,IF(AND($BK117&lt;1,AI$3&gt;=MAX(N($P117),N($S117))),13,99))</f>
        <v/>
      </c>
      <c r="BZ117">
        <f>IF(OR($C117="",$M117=""),"",COUNTIF($AJ117:$AW117,"&gt;=1"))</f>
        <v/>
      </c>
      <c r="CA117" s="90">
        <f>IF($BZ117="","",IF($BZ117&gt;=14,"",'設定'!$C$6+$BZ117))</f>
        <v/>
      </c>
      <c r="CB117">
        <f>IF(OR($C117="",$M117=""),"",MIN($BL117:$BY117))</f>
        <v/>
      </c>
      <c r="CC117" s="90">
        <f>IF($CB117="","",IF($CB117&gt;=99,"",'設定'!$C$6+$CB117))</f>
        <v/>
      </c>
      <c r="CD117">
        <f>IF(OR($C117="",$M117=""),"",AVERAGE($V117:$AI117))</f>
        <v/>
      </c>
      <c r="CE117">
        <f>IF($C117="","",IFERROR(IF(MATCH(IF(ISNUMBER($P117),$P117,'設定'!$C$6+N('設定'!$C$7)),$V$3:$AI$3,0)=1,MAX(0,N($L117)),INDEX($AJ117:$AW117,MATCH(IF(ISNUMBER($P117),$P117,'設定'!$C$6+N('設定'!$C$7)),$V$3:$AI$3,0)-1)),""))</f>
        <v/>
      </c>
      <c r="CF117">
        <f>IF(OR($C117="",$O117="",$CE117=""),"",IF($O117-$CE117&lt;=0,0,ROUNDUP(($O117-$CE117)/$G117,0)))</f>
        <v/>
      </c>
      <c r="CG117">
        <f>IF(OR($C117="",$CF117="",NOT(ISNUMBER($Q117))),0,MAX(0,$Q117-$CF117))</f>
        <v/>
      </c>
      <c r="CH117">
        <f>IF(OR($C117="",$O117="",$U117=0),0,IFERROR(ROUNDUP(MAX(0,IF(MATCH($S117,$V$3:$AI$3,0)=1,MAX(0,N($L117)),INDEX($AX117:$BK117,MATCH($S117,$V$3:$AI$3,0)-1))+$U117-$O117)/$G117,0),0))</f>
        <v/>
      </c>
      <c r="CI117">
        <f>IF($C117="","",IF(AND($P117="",$Q117=""),"",IF($P117="","⚠ 入庫日を ▼ から選んでください",IF(NOT(ISNUMBER($P117)),"⚠ 入庫日は ▼ から選んでください",IF($P117&lt;N('設定'!$C$6),"⚠ 入庫日が過去です（もう在庫に入っています）→ 消してください",IF($P117&gt;N('設定'!$C$6)+13,"⚠ 入庫日が14日より先です",IF(N($Q117)&lt;=0,"⚠ 入庫数を入れてください",IF($CG117&gt;0,"⚠ 目安より "&amp;$CG117&amp;" 多い（定数を超える）→ 減らす",""))))))))</f>
        <v/>
      </c>
      <c r="CJ117">
        <f>IF($C117="","",IF(AND($S117="",$T117=""),"",IF($S117="","⚠ 2便目：入庫日を ▼ から選んでください",IF(NOT(ISNUMBER($S117)),"⚠ 2便目：入庫日は ▼ から選んでください",IF($S117&lt;N('設定'!$C$6),"⚠ 2便目：入庫日が過去です（もう在庫に入っています）→ 消してください",IF($S117&gt;N('設定'!$C$6)+13,"⚠ 2便目：入庫日が14日より先です",IF(N($T117)&lt;=0,"⚠ 2便目：入庫数を入れてください",IF($CH117&gt;0,"⚠ 2便目：定数を "&amp;$CH117&amp;" ケース超える → 減らす",""))))))))</f>
        <v/>
      </c>
      <c r="CK117">
        <f>IF(AND($CI117="",N($Q117)&gt;0,ISNUMBER($P117)),1,0)</f>
        <v/>
      </c>
      <c r="CL117">
        <f>IF(AND($CJ117="",N($T117)&gt;0,ISNUMBER($S117)),1,0)</f>
        <v/>
      </c>
      <c r="CM117">
        <f>IF(OR($CK117=1,$CL117=1),1,0)</f>
        <v/>
      </c>
      <c r="CN117">
        <f>IF($C117="",0,($CK117*$R117+$CL117*$U117)*N($H117))</f>
        <v/>
      </c>
      <c r="CO117">
        <f>IF($C117="","",IF($CC117="","入庫後は 14日以上もつ",IF($CC117-N('設定'!$C$7)&lt;='設定'!$C$6,"入庫後も "&amp;TEXT($CC117,"m/d")&amp;"("&amp;CHOOSE(WEEKDAY($CC117),"日","月","火","水","木","金","土")&amp;")"&amp;" に切れる　もう1便を至急発注","入庫後も "&amp;TEXT($CC117,"m/d")&amp;"("&amp;CHOOSE(WEEKDAY($CC117),"日","月","火","水","木","金","土")&amp;")"&amp;" に切れる　"&amp;TEXT($CC117-N('設定'!$C$7),"m/d")&amp;"("&amp;CHOOSE(WEEKDAY($CC117-N('設定'!$C$7)),"日","月","火","水","木","金","土")&amp;")"&amp;" までに次を発注")))</f>
        <v/>
      </c>
      <c r="CP117">
        <f>IF($C117="","",IF('設定'!$C$6="","？ ①在庫を貼る に今日のCSVが貼られていない",IF($CS117=1,"－ 今日のCSVに無い（終売？）",IF($L117&lt;0,"● 在庫がマイナス　数えて「数えた在庫」に入れる",IF($L117=0,"● 在庫なし　至急発注",IF($M117="","？ 減り数が未設定（商品マスタ）",IF($B$3=0,"？ 動員が未入力（動員を入れる）",IF($CA117="","○ 14日以上もつ",IF($BZ117&lt;N('設定'!$C$7),"● "&amp;TEXT($CA117,"m/d")&amp;"("&amp;CHOOSE(WEEKDAY($CA117),"日","月","火","水","木","金","土")&amp;")"&amp;" に切れる　至急発注",IF($BZ117=N('設定'!$C$7),"● "&amp;TEXT($CA117,"m/d")&amp;"("&amp;CHOOSE(WEEKDAY($CA117),"日","月","火","水","木","金","土")&amp;")"&amp;" に切れる　今日発注","△ "&amp;TEXT($CA117,"m/d")&amp;"("&amp;CHOOSE(WEEKDAY($CA117),"日","月","火","水","木","金","土")&amp;")"&amp;" に切れる　"&amp;TEXT($CA117-N('設定'!$C$7),"m/d")&amp;"("&amp;CHOOSE(WEEKDAY($CA117-N('設定'!$C$7)),"日","月","火","水","木","金","土")&amp;")"&amp;" までに発注"))))))))))</f>
        <v/>
      </c>
      <c r="CQ117">
        <f>IF($C117="","",IF(AND($P117="",$Q117="",$S117="",$T117=""),"",IF(AND($P117="",$Q117=""),"⚠ 先に1便目（左の入庫日・入庫数）に入れてください",IF($CI117&lt;&gt;"",$CI117,IF($CJ117&lt;&gt;"",$CJ117,IF($M117="","？ 減り数が未設定（発注書には載ります）",IF($B$3=0,"？ 動員が未入力（発注書には載ります）",IF(AND($CA117&lt;&gt;"",$P117&gt;$CA117),IF($P117&gt;'設定'!$C$6+N('設定'!$C$7),"● "&amp;TEXT($P117,"m/d")&amp;"("&amp;CHOOSE(WEEKDAY($P117),"日","月","火","水","木","金","土")&amp;")"&amp;" の入庫では間に合わない（"&amp;TEXT($CA117,"m/d")&amp;"("&amp;CHOOSE(WEEKDAY($CA117),"日","月","火","水","木","金","土")&amp;")"&amp;" に切れる）　入庫日を早める","△ 欠品 "&amp;TEXT($CA117,"m/d")&amp;"("&amp;CHOOSE(WEEKDAY($CA117),"日","月","火","水","木","金","土")&amp;")"&amp;"〜"&amp;TEXT($P117-1,"m/d")&amp;"("&amp;CHOOSE(WEEKDAY($P117-1),"日","月","火","水","木","金","土")&amp;")"&amp;"　"&amp;$CO117),IF($CC117="","○ "&amp;TEXT($P117,"m/d")&amp;"("&amp;CHOOSE(WEEKDAY($P117),"日","月","火","水","木","金","土")&amp;")"&amp;" 入庫で 14日以上もつ",IF($CC117-N('設定'!$C$7)&lt;='設定'!$C$6,"● 入庫しても "&amp;TEXT($CC117,"m/d")&amp;"("&amp;CHOOSE(WEEKDAY($CC117),"日","月","火","水","木","金","土")&amp;")"&amp;" に切れる　もう1便を至急発注（2便目に入れる）","△ 入庫しても "&amp;TEXT($CC117,"m/d")&amp;"("&amp;CHOOSE(WEEKDAY($CC117),"日","月","火","水","木","金","土")&amp;")"&amp;" に切れる　"&amp;TEXT($CC117-N('設定'!$C$7),"m/d")&amp;"("&amp;CHOOSE(WEEKDAY($CC117-N('設定'!$C$7)),"日","月","火","水","木","金","土")&amp;")"&amp;" までに次を発注（2便目に入れる）"))))))))))</f>
        <v/>
      </c>
      <c r="CR117">
        <f>IF($C117="","",IF($G117&gt;1,"ｹｰｽ("&amp;$G117&amp;"入)","個"))</f>
        <v/>
      </c>
      <c r="CS117">
        <f>IF($C117="",0,IF(COUNTIFS('①在庫を貼る'!$V$6:$V$10005,'設定'!$C$4,'①在庫を貼る'!$W$6:$W$10005,$C117)=0,1,0))</f>
        <v/>
      </c>
      <c r="CT117">
        <f>IF(AND($CK117=1,OR('③発注書'!$C$4="すべて",'③発注書'!$C$4="",$F117='③発注書'!$C$4)),N($CT116)+1,N($CT116))</f>
        <v/>
      </c>
      <c r="CU117">
        <f>IF(AND($CL117=1,OR('③発注書'!$C$4="すべて",'③発注書'!$C$4="",$F117='③発注書'!$C$4)),N($CU116)+1,N($CU116))</f>
        <v/>
      </c>
      <c r="CV117">
        <f>IF($C117="",0,IF(COUNTIFS('①在庫を貼る'!$V$6:$V$10005,'設定'!$C$4,'①在庫を貼る'!$W$6:$W$10005,$C117)&gt;0,1,0))</f>
        <v/>
      </c>
      <c r="CW117">
        <f>IF($C117="",0,IF(COUNTIFS('月1回_1ヶ月前の在庫'!$V$6:$V$10005,'設定'!$C$4,'月1回_1ヶ月前の在庫'!$W$6:$W$10005,$C117)&gt;0,1,0))</f>
        <v/>
      </c>
      <c r="CX117">
        <f>IF($C117="",0,IF(COUNTIFS('月1回_2ヶ月前の在庫'!$V$6:$V$10005,'設定'!$C$4,'月1回_2ヶ月前の在庫'!$W$6:$W$10005,$C117)&gt;0,1,0))</f>
        <v/>
      </c>
      <c r="CY117">
        <f>IF(OR($C117="",'設定'!$C$12=""),"",IF('設定'!$C$13="",IF(AND($CV117=1,$CW117=0),"新商品（今月から）",IF(AND($CV117=0,$CW117=1),"終売（今月から）","")),IF(AND($CV117=1,$CW117=0,$CX117=0),"新商品（今月から）",IF(AND($CV117=1,$CW117=1,$CX117=0),"新商品（先月から）",IF(AND($CV117=0,$CW117=1,$CX117=1),"終売（今月から）",IF(AND($CV117=0,$CW117=0,$CX117=1),"終売（先月から）",IF(AND($CV117=1,$CW117=0,$CX117=1),"復活（先月は無し）","")))))))</f>
        <v/>
      </c>
    </row>
    <row r="118">
      <c r="B118">
        <f>IF(113&lt;='設定'!$C$11,113,"")</f>
        <v/>
      </c>
      <c r="C118">
        <f>IF($B118="","",IF($B118&lt;='設定'!$C$20,INDEX('商品マスタ'!$B$6:$B$1005,MATCH($B118,'商品マスタ'!$M$6:$M$1005,0)),IF($B118&lt;='設定'!$C$20+'設定'!$C$17,INDEX('①在庫を貼る'!$W$6:$W$10005,MATCH($B118-'設定'!$C$20,'①在庫を貼る'!$U$6:$U$10005,0)),IF($B118&lt;='設定'!$C$20+'設定'!$C$17+'設定'!$C$18,INDEX('月1回_1ヶ月前の在庫'!$W$6:$W$10005,MATCH($B118-'設定'!$C$20-'設定'!$C$17,'月1回_1ヶ月前の在庫'!$U$6:$U$10005,0)),INDEX('月1回_2ヶ月前の在庫'!$W$6:$W$10005,MATCH($B118-'設定'!$C$20-'設定'!$C$17-'設定'!$C$18,'月1回_2ヶ月前の在庫'!$U$6:$U$10005,0))))))</f>
        <v/>
      </c>
      <c r="D118">
        <f>IF($C118="","",IFERROR(IF(INDEX('商品マスタ'!$C$6:$C$1005,MATCH($C118,'商品マスタ'!$B$6:$B$1005,0))="",IFERROR(INDEX('①在庫を貼る'!$J$6:$J$10005,MATCH($C118,'①在庫を貼る'!$W$6:$W$10005,0)),IFERROR(INDEX('月1回_1ヶ月前の在庫'!$J$6:$J$10005,MATCH($C118,'月1回_1ヶ月前の在庫'!$W$6:$W$10005,0)),IFERROR(INDEX('月1回_2ヶ月前の在庫'!$J$6:$J$10005,MATCH($C118,'月1回_2ヶ月前の在庫'!$W$6:$W$10005,0)),""))),INDEX('商品マスタ'!$C$6:$C$1005,MATCH($C118,'商品マスタ'!$B$6:$B$1005,0))),IFERROR(INDEX('①在庫を貼る'!$J$6:$J$10005,MATCH($C118,'①在庫を貼る'!$W$6:$W$10005,0)),IFERROR(INDEX('月1回_1ヶ月前の在庫'!$J$6:$J$10005,MATCH($C118,'月1回_1ヶ月前の在庫'!$W$6:$W$10005,0)),IFERROR(INDEX('月1回_2ヶ月前の在庫'!$J$6:$J$10005,MATCH($C118,'月1回_2ヶ月前の在庫'!$W$6:$W$10005,0)),"")))))</f>
        <v/>
      </c>
      <c r="E118">
        <f>IF($C118="","",IFERROR(IF(INDEX('商品マスタ'!$D$6:$D$1005,MATCH($C118,'商品マスタ'!$B$6:$B$1005,0))="",IFERROR(INDEX('①在庫を貼る'!$H$6:$H$10005,MATCH($C118,'①在庫を貼る'!$W$6:$W$10005,0)),IFERROR(INDEX('月1回_1ヶ月前の在庫'!$H$6:$H$10005,MATCH($C118,'月1回_1ヶ月前の在庫'!$W$6:$W$10005,0)),IFERROR(INDEX('月1回_2ヶ月前の在庫'!$H$6:$H$10005,MATCH($C118,'月1回_2ヶ月前の在庫'!$W$6:$W$10005,0)),""))),INDEX('商品マスタ'!$D$6:$D$1005,MATCH($C118,'商品マスタ'!$B$6:$B$1005,0))),IFERROR(INDEX('①在庫を貼る'!$H$6:$H$10005,MATCH($C118,'①在庫を貼る'!$W$6:$W$10005,0)),IFERROR(INDEX('月1回_1ヶ月前の在庫'!$H$6:$H$10005,MATCH($C118,'月1回_1ヶ月前の在庫'!$W$6:$W$10005,0)),IFERROR(INDEX('月1回_2ヶ月前の在庫'!$H$6:$H$10005,MATCH($C118,'月1回_2ヶ月前の在庫'!$W$6:$W$10005,0)),"")))))</f>
        <v/>
      </c>
      <c r="F118">
        <f>IF($C118="","",IFERROR(IF(INDEX('商品マスタ'!$E$6:$E$1005,MATCH($C118,'商品マスタ'!$B$6:$B$1005,0))="",IFERROR(INDEX('①在庫を貼る'!$E$6:$E$10005,MATCH($C118,'①在庫を貼る'!$W$6:$W$10005,0)),IFERROR(INDEX('月1回_1ヶ月前の在庫'!$E$6:$E$10005,MATCH($C118,'月1回_1ヶ月前の在庫'!$W$6:$W$10005,0)),IFERROR(INDEX('月1回_2ヶ月前の在庫'!$E$6:$E$10005,MATCH($C118,'月1回_2ヶ月前の在庫'!$W$6:$W$10005,0)),""))),INDEX('商品マスタ'!$E$6:$E$1005,MATCH($C118,'商品マスタ'!$B$6:$B$1005,0))),IFERROR(INDEX('①在庫を貼る'!$E$6:$E$10005,MATCH($C118,'①在庫を貼る'!$W$6:$W$10005,0)),IFERROR(INDEX('月1回_1ヶ月前の在庫'!$E$6:$E$10005,MATCH($C118,'月1回_1ヶ月前の在庫'!$W$6:$W$10005,0)),IFERROR(INDEX('月1回_2ヶ月前の在庫'!$E$6:$E$10005,MATCH($C118,'月1回_2ヶ月前の在庫'!$W$6:$W$10005,0)),"")))))</f>
        <v/>
      </c>
      <c r="G118">
        <f>IF($C118="","",MAX(1,N(IFERROR(IF(INDEX('商品マスタ'!$F$6:$F$1005,MATCH($C118,'商品マスタ'!$B$6:$B$1005,0))="",IF(COUNTIFS('①在庫を貼る'!$V$6:$V$10005,'設定'!$C$4,'①在庫を貼る'!$W$6:$W$10005,$C118)&gt;0,SUMIFS('①在庫を貼る'!$K$6:$K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K$6:$K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K$6:$K$10005,'月1回_2ヶ月前の在庫'!$V$6:$V$10005,'設定'!$C$4,'月1回_2ヶ月前の在庫'!$W$6:$W$10005,$C118)/COUNTIFS('月1回_2ヶ月前の在庫'!$V$6:$V$10005,'設定'!$C$4,'月1回_2ヶ月前の在庫'!$W$6:$W$10005,$C118),0))),INDEX('商品マスタ'!$F$6:$F$1005,MATCH($C118,'商品マスタ'!$B$6:$B$1005,0))),IF(COUNTIFS('①在庫を貼る'!$V$6:$V$10005,'設定'!$C$4,'①在庫を貼る'!$W$6:$W$10005,$C118)&gt;0,SUMIFS('①在庫を貼る'!$K$6:$K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K$6:$K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K$6:$K$10005,'月1回_2ヶ月前の在庫'!$V$6:$V$10005,'設定'!$C$4,'月1回_2ヶ月前の在庫'!$W$6:$W$10005,$C118)/COUNTIFS('月1回_2ヶ月前の在庫'!$V$6:$V$10005,'設定'!$C$4,'月1回_2ヶ月前の在庫'!$W$6:$W$10005,$C118),0)))))))</f>
        <v/>
      </c>
      <c r="H118">
        <f>IF($C118="","",N(IFERROR(IF(INDEX('商品マスタ'!$G$6:$G$1005,MATCH($C118,'商品マスタ'!$B$6:$B$1005,0))="",IF(COUNTIFS('①在庫を貼る'!$V$6:$V$10005,'設定'!$C$4,'①在庫を貼る'!$W$6:$W$10005,$C118)&gt;0,SUMIFS('①在庫を貼る'!$Q$6:$Q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Q$6:$Q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Q$6:$Q$10005,'月1回_2ヶ月前の在庫'!$V$6:$V$10005,'設定'!$C$4,'月1回_2ヶ月前の在庫'!$W$6:$W$10005,$C118)/COUNTIFS('月1回_2ヶ月前の在庫'!$V$6:$V$10005,'設定'!$C$4,'月1回_2ヶ月前の在庫'!$W$6:$W$10005,$C118),0))),INDEX('商品マスタ'!$G$6:$G$1005,MATCH($C118,'商品マスタ'!$B$6:$B$1005,0))),IF(COUNTIFS('①在庫を貼る'!$V$6:$V$10005,'設定'!$C$4,'①在庫を貼る'!$W$6:$W$10005,$C118)&gt;0,SUMIFS('①在庫を貼る'!$Q$6:$Q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Q$6:$Q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Q$6:$Q$10005,'月1回_2ヶ月前の在庫'!$V$6:$V$10005,'設定'!$C$4,'月1回_2ヶ月前の在庫'!$W$6:$W$10005,$C118)/COUNTIFS('月1回_2ヶ月前の在庫'!$V$6:$V$10005,'設定'!$C$4,'月1回_2ヶ月前の在庫'!$W$6:$W$10005,$C118),0))))))</f>
        <v/>
      </c>
      <c r="I118">
        <f>IF($C118="","",IF(COUNTIFS('①在庫を貼る'!$V$6:$V$10005,'設定'!$C$4,'①在庫を貼る'!$W$6:$W$10005,$C118)=0,"",SUMIFS('①在庫を貼る'!$N$6:$N$10005,'①在庫を貼る'!$V$6:$V$10005,'設定'!$C$4,'①在庫を貼る'!$W$6:$W$10005,$C118)))</f>
        <v/>
      </c>
      <c r="J118">
        <f>IF($C118="","",IF('②発注する'!$AD122="","",'②発注する'!$AD122))</f>
        <v/>
      </c>
      <c r="K118" s="90">
        <f>IF($C118="","",IF('②発注する'!$AE122="","",'②発注する'!$AE122))</f>
        <v/>
      </c>
      <c r="L118">
        <f>IF($C118="","",IF(AND(ISNUMBER($J118),ISNUMBER($K118),$K118&gt;='設定'!$C$6),$J118,N($I118)))</f>
        <v/>
      </c>
      <c r="M118">
        <f>IF($C118="","",IFERROR(IF(N(INDEX('商品マスタ'!$J$6:$J$1005,MATCH($C118,'商品マスタ'!$B$6:$B$1005,0)))&gt;0,INDEX('商品マスタ'!$J$6:$J$1005,MATCH($C118,'商品マスタ'!$B$6:$B$1005,0)),""),""))</f>
        <v/>
      </c>
      <c r="N118">
        <f>IF($C118="","",IFERROR(IF(N(INDEX('商品マスタ'!$H$6:$H$1005,MATCH($C118,'商品マスタ'!$B$6:$B$1005,0)))&gt;0,INDEX('商品マスタ'!$H$6:$H$1005,MATCH($C118,'商品マスタ'!$B$6:$B$1005,0)),""),""))</f>
        <v/>
      </c>
      <c r="O118">
        <f>IF($C118="","",IF($N118&lt;&gt;"",$N118*$G118,IF(N(IF(COUNTIFS('①在庫を貼る'!$V$6:$V$10005,'設定'!$C$4,'①在庫を貼る'!$W$6:$W$10005,$C118)&gt;0,SUMIFS('①在庫を貼る'!$O$6:$O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O$6:$O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O$6:$O$10005,'月1回_2ヶ月前の在庫'!$V$6:$V$10005,'設定'!$C$4,'月1回_2ヶ月前の在庫'!$W$6:$W$10005,$C118)/COUNTIFS('月1回_2ヶ月前の在庫'!$V$6:$V$10005,'設定'!$C$4,'月1回_2ヶ月前の在庫'!$W$6:$W$10005,$C118),0))))&gt;0,N(IF(COUNTIFS('①在庫を貼る'!$V$6:$V$10005,'設定'!$C$4,'①在庫を貼る'!$W$6:$W$10005,$C118)&gt;0,SUMIFS('①在庫を貼る'!$O$6:$O$10005,'①在庫を貼る'!$V$6:$V$10005,'設定'!$C$4,'①在庫を貼る'!$W$6:$W$10005,$C118)/COUNTIFS('①在庫を貼る'!$V$6:$V$10005,'設定'!$C$4,'①在庫を貼る'!$W$6:$W$10005,$C118),IF(COUNTIFS('月1回_1ヶ月前の在庫'!$V$6:$V$10005,'設定'!$C$4,'月1回_1ヶ月前の在庫'!$W$6:$W$10005,$C118)&gt;0,SUMIFS('月1回_1ヶ月前の在庫'!$O$6:$O$10005,'月1回_1ヶ月前の在庫'!$V$6:$V$10005,'設定'!$C$4,'月1回_1ヶ月前の在庫'!$W$6:$W$10005,$C118)/COUNTIFS('月1回_1ヶ月前の在庫'!$V$6:$V$10005,'設定'!$C$4,'月1回_1ヶ月前の在庫'!$W$6:$W$10005,$C118),IF(COUNTIFS('月1回_2ヶ月前の在庫'!$V$6:$V$10005,'設定'!$C$4,'月1回_2ヶ月前の在庫'!$W$6:$W$10005,$C118)&gt;0,SUMIFS('月1回_2ヶ月前の在庫'!$O$6:$O$10005,'月1回_2ヶ月前の在庫'!$V$6:$V$10005,'設定'!$C$4,'月1回_2ヶ月前の在庫'!$W$6:$W$10005,$C118)/COUNTIFS('月1回_2ヶ月前の在庫'!$V$6:$V$10005,'設定'!$C$4,'月1回_2ヶ月前の在庫'!$W$6:$W$10005,$C118),0)))),"")))</f>
        <v/>
      </c>
      <c r="P118" s="90">
        <f>IF($C118="","",IF('②発注する'!$I122="","",'②発注する'!$I122))</f>
        <v/>
      </c>
      <c r="Q118">
        <f>IF($C118="","",IF('②発注する'!$J122="","",'②発注する'!$J122))</f>
        <v/>
      </c>
      <c r="R118">
        <f>IF($C118="",0,IF(AND(ISNUMBER($P118),ISNUMBER($Q118)),MAX(0,$Q118)*$G118,0))</f>
        <v/>
      </c>
      <c r="S118" s="90">
        <f>IF($C118="","",IF('②発注する'!$M122="","",'②発注する'!$M122))</f>
        <v/>
      </c>
      <c r="T118">
        <f>IF($C118="","",IF('②発注する'!$N122="","",'②発注する'!$N122))</f>
        <v/>
      </c>
      <c r="U118">
        <f>IF($C118="",0,IF(AND(ISNUMBER($S118),ISNUMBER($T118)),MAX(0,$T118)*$G118,0))</f>
        <v/>
      </c>
      <c r="V118">
        <f>IF($C118="",0,IF($M118="",0,MAX(0,$M118)*MAX(0,V$4)/100))</f>
        <v/>
      </c>
      <c r="W118">
        <f>IF($C118="",0,IF($M118="",0,MAX(0,$M118)*MAX(0,W$4)/100))</f>
        <v/>
      </c>
      <c r="X118">
        <f>IF($C118="",0,IF($M118="",0,MAX(0,$M118)*MAX(0,X$4)/100))</f>
        <v/>
      </c>
      <c r="Y118">
        <f>IF($C118="",0,IF($M118="",0,MAX(0,$M118)*MAX(0,Y$4)/100))</f>
        <v/>
      </c>
      <c r="Z118">
        <f>IF($C118="",0,IF($M118="",0,MAX(0,$M118)*MAX(0,Z$4)/100))</f>
        <v/>
      </c>
      <c r="AA118">
        <f>IF($C118="",0,IF($M118="",0,MAX(0,$M118)*MAX(0,AA$4)/100))</f>
        <v/>
      </c>
      <c r="AB118">
        <f>IF($C118="",0,IF($M118="",0,MAX(0,$M118)*MAX(0,AB$4)/100))</f>
        <v/>
      </c>
      <c r="AC118">
        <f>IF($C118="",0,IF($M118="",0,MAX(0,$M118)*MAX(0,AC$4)/100))</f>
        <v/>
      </c>
      <c r="AD118">
        <f>IF($C118="",0,IF($M118="",0,MAX(0,$M118)*MAX(0,AD$4)/100))</f>
        <v/>
      </c>
      <c r="AE118">
        <f>IF($C118="",0,IF($M118="",0,MAX(0,$M118)*MAX(0,AE$4)/100))</f>
        <v/>
      </c>
      <c r="AF118">
        <f>IF($C118="",0,IF($M118="",0,MAX(0,$M118)*MAX(0,AF$4)/100))</f>
        <v/>
      </c>
      <c r="AG118">
        <f>IF($C118="",0,IF($M118="",0,MAX(0,$M118)*MAX(0,AG$4)/100))</f>
        <v/>
      </c>
      <c r="AH118">
        <f>IF($C118="",0,IF($M118="",0,MAX(0,$M118)*MAX(0,AH$4)/100))</f>
        <v/>
      </c>
      <c r="AI118">
        <f>IF($C118="",0,IF($M118="",0,MAX(0,$M118)*MAX(0,AI$4)/100))</f>
        <v/>
      </c>
      <c r="AJ118">
        <f>IF($C118="",0,MAX(0,MAX(0,N($L118))-$V118))</f>
        <v/>
      </c>
      <c r="AK118">
        <f>IF($C118="",0,MAX(0,$AJ118-$W118))</f>
        <v/>
      </c>
      <c r="AL118">
        <f>IF($C118="",0,MAX(0,$AK118-$X118))</f>
        <v/>
      </c>
      <c r="AM118">
        <f>IF($C118="",0,MAX(0,$AL118-$Y118))</f>
        <v/>
      </c>
      <c r="AN118">
        <f>IF($C118="",0,MAX(0,$AM118-$Z118))</f>
        <v/>
      </c>
      <c r="AO118">
        <f>IF($C118="",0,MAX(0,$AN118-$AA118))</f>
        <v/>
      </c>
      <c r="AP118">
        <f>IF($C118="",0,MAX(0,$AO118-$AB118))</f>
        <v/>
      </c>
      <c r="AQ118">
        <f>IF($C118="",0,MAX(0,$AP118-$AC118))</f>
        <v/>
      </c>
      <c r="AR118">
        <f>IF($C118="",0,MAX(0,$AQ118-$AD118))</f>
        <v/>
      </c>
      <c r="AS118">
        <f>IF($C118="",0,MAX(0,$AR118-$AE118))</f>
        <v/>
      </c>
      <c r="AT118">
        <f>IF($C118="",0,MAX(0,$AS118-$AF118))</f>
        <v/>
      </c>
      <c r="AU118">
        <f>IF($C118="",0,MAX(0,$AT118-$AG118))</f>
        <v/>
      </c>
      <c r="AV118">
        <f>IF($C118="",0,MAX(0,$AU118-$AH118))</f>
        <v/>
      </c>
      <c r="AW118">
        <f>IF($C118="",0,MAX(0,$AV118-$AI118))</f>
        <v/>
      </c>
      <c r="AX118">
        <f>IF($C118="",0,MAX(0,MAX(0,N($L118))+IF($P118=V$3,$R118,0)+IF($S118=V$3,$U118,0)-$V118))</f>
        <v/>
      </c>
      <c r="AY118">
        <f>IF($C118="",0,MAX(0,$AX118+IF($P118=W$3,$R118,0)+IF($S118=W$3,$U118,0)-$W118))</f>
        <v/>
      </c>
      <c r="AZ118">
        <f>IF($C118="",0,MAX(0,$AY118+IF($P118=X$3,$R118,0)+IF($S118=X$3,$U118,0)-$X118))</f>
        <v/>
      </c>
      <c r="BA118">
        <f>IF($C118="",0,MAX(0,$AZ118+IF($P118=Y$3,$R118,0)+IF($S118=Y$3,$U118,0)-$Y118))</f>
        <v/>
      </c>
      <c r="BB118">
        <f>IF($C118="",0,MAX(0,$BA118+IF($P118=Z$3,$R118,0)+IF($S118=Z$3,$U118,0)-$Z118))</f>
        <v/>
      </c>
      <c r="BC118">
        <f>IF($C118="",0,MAX(0,$BB118+IF($P118=AA$3,$R118,0)+IF($S118=AA$3,$U118,0)-$AA118))</f>
        <v/>
      </c>
      <c r="BD118">
        <f>IF($C118="",0,MAX(0,$BC118+IF($P118=AB$3,$R118,0)+IF($S118=AB$3,$U118,0)-$AB118))</f>
        <v/>
      </c>
      <c r="BE118">
        <f>IF($C118="",0,MAX(0,$BD118+IF($P118=AC$3,$R118,0)+IF($S118=AC$3,$U118,0)-$AC118))</f>
        <v/>
      </c>
      <c r="BF118">
        <f>IF($C118="",0,MAX(0,$BE118+IF($P118=AD$3,$R118,0)+IF($S118=AD$3,$U118,0)-$AD118))</f>
        <v/>
      </c>
      <c r="BG118">
        <f>IF($C118="",0,MAX(0,$BF118+IF($P118=AE$3,$R118,0)+IF($S118=AE$3,$U118,0)-$AE118))</f>
        <v/>
      </c>
      <c r="BH118">
        <f>IF($C118="",0,MAX(0,$BG118+IF($P118=AF$3,$R118,0)+IF($S118=AF$3,$U118,0)-$AF118))</f>
        <v/>
      </c>
      <c r="BI118">
        <f>IF($C118="",0,MAX(0,$BH118+IF($P118=AG$3,$R118,0)+IF($S118=AG$3,$U118,0)-$AG118))</f>
        <v/>
      </c>
      <c r="BJ118">
        <f>IF($C118="",0,MAX(0,$BI118+IF($P118=AH$3,$R118,0)+IF($S118=AH$3,$U118,0)-$AH118))</f>
        <v/>
      </c>
      <c r="BK118">
        <f>IF($C118="",0,MAX(0,$BJ118+IF($P118=AI$3,$R118,0)+IF($S118=AI$3,$U118,0)-$AI118))</f>
        <v/>
      </c>
      <c r="BL118">
        <f>IF($C118="",99,IF(AND($AX118&lt;1,V$3&gt;=MAX(N($P118),N($S118))),0,99))</f>
        <v/>
      </c>
      <c r="BM118">
        <f>IF($C118="",99,IF(AND($AY118&lt;1,W$3&gt;=MAX(N($P118),N($S118))),1,99))</f>
        <v/>
      </c>
      <c r="BN118">
        <f>IF($C118="",99,IF(AND($AZ118&lt;1,X$3&gt;=MAX(N($P118),N($S118))),2,99))</f>
        <v/>
      </c>
      <c r="BO118">
        <f>IF($C118="",99,IF(AND($BA118&lt;1,Y$3&gt;=MAX(N($P118),N($S118))),3,99))</f>
        <v/>
      </c>
      <c r="BP118">
        <f>IF($C118="",99,IF(AND($BB118&lt;1,Z$3&gt;=MAX(N($P118),N($S118))),4,99))</f>
        <v/>
      </c>
      <c r="BQ118">
        <f>IF($C118="",99,IF(AND($BC118&lt;1,AA$3&gt;=MAX(N($P118),N($S118))),5,99))</f>
        <v/>
      </c>
      <c r="BR118">
        <f>IF($C118="",99,IF(AND($BD118&lt;1,AB$3&gt;=MAX(N($P118),N($S118))),6,99))</f>
        <v/>
      </c>
      <c r="BS118">
        <f>IF($C118="",99,IF(AND($BE118&lt;1,AC$3&gt;=MAX(N($P118),N($S118))),7,99))</f>
        <v/>
      </c>
      <c r="BT118">
        <f>IF($C118="",99,IF(AND($BF118&lt;1,AD$3&gt;=MAX(N($P118),N($S118))),8,99))</f>
        <v/>
      </c>
      <c r="BU118">
        <f>IF($C118="",99,IF(AND($BG118&lt;1,AE$3&gt;=MAX(N($P118),N($S118))),9,99))</f>
        <v/>
      </c>
      <c r="BV118">
        <f>IF($C118="",99,IF(AND($BH118&lt;1,AF$3&gt;=MAX(N($P118),N($S118))),10,99))</f>
        <v/>
      </c>
      <c r="BW118">
        <f>IF($C118="",99,IF(AND($BI118&lt;1,AG$3&gt;=MAX(N($P118),N($S118))),11,99))</f>
        <v/>
      </c>
      <c r="BX118">
        <f>IF($C118="",99,IF(AND($BJ118&lt;1,AH$3&gt;=MAX(N($P118),N($S118))),12,99))</f>
        <v/>
      </c>
      <c r="BY118">
        <f>IF($C118="",99,IF(AND($BK118&lt;1,AI$3&gt;=MAX(N($P118),N($S118))),13,99))</f>
        <v/>
      </c>
      <c r="BZ118">
        <f>IF(OR($C118="",$M118=""),"",COUNTIF($AJ118:$AW118,"&gt;=1"))</f>
        <v/>
      </c>
      <c r="CA118" s="90">
        <f>IF($BZ118="","",IF($BZ118&gt;=14,"",'設定'!$C$6+$BZ118))</f>
        <v/>
      </c>
      <c r="CB118">
        <f>IF(OR($C118="",$M118=""),"",MIN($BL118:$BY118))</f>
        <v/>
      </c>
      <c r="CC118" s="90">
        <f>IF($CB118="","",IF($CB118&gt;=99,"",'設定'!$C$6+$CB118))</f>
        <v/>
      </c>
      <c r="CD118">
        <f>IF(OR($C118="",$M118=""),"",AVERAGE($V118:$AI118))</f>
        <v/>
      </c>
      <c r="CE118">
        <f>IF($C118="","",IFERROR(IF(MATCH(IF(ISNUMBER($P118),$P118,'設定'!$C$6+N('設定'!$C$7)),$V$3:$AI$3,0)=1,MAX(0,N($L118)),INDEX($AJ118:$AW118,MATCH(IF(ISNUMBER($P118),$P118,'設定'!$C$6+N('設定'!$C$7)),$V$3:$AI$3,0)-1)),""))</f>
        <v/>
      </c>
      <c r="CF118">
        <f>IF(OR($C118="",$O118="",$CE118=""),"",IF($O118-$CE118&lt;=0,0,ROUNDUP(($O118-$CE118)/$G118,0)))</f>
        <v/>
      </c>
      <c r="CG118">
        <f>IF(OR($C118="",$CF118="",NOT(ISNUMBER($Q118))),0,MAX(0,$Q118-$CF118))</f>
        <v/>
      </c>
      <c r="CH118">
        <f>IF(OR($C118="",$O118="",$U118=0),0,IFERROR(ROUNDUP(MAX(0,IF(MATCH($S118,$V$3:$AI$3,0)=1,MAX(0,N($L118)),INDEX($AX118:$BK118,MATCH($S118,$V$3:$AI$3,0)-1))+$U118-$O118)/$G118,0),0))</f>
        <v/>
      </c>
      <c r="CI118">
        <f>IF($C118="","",IF(AND($P118="",$Q118=""),"",IF($P118="","⚠ 入庫日を ▼ から選んでください",IF(NOT(ISNUMBER($P118)),"⚠ 入庫日は ▼ から選んでください",IF($P118&lt;N('設定'!$C$6),"⚠ 入庫日が過去です（もう在庫に入っています）→ 消してください",IF($P118&gt;N('設定'!$C$6)+13,"⚠ 入庫日が14日より先です",IF(N($Q118)&lt;=0,"⚠ 入庫数を入れてください",IF($CG118&gt;0,"⚠ 目安より "&amp;$CG118&amp;" 多い（定数を超える）→ 減らす",""))))))))</f>
        <v/>
      </c>
      <c r="CJ118">
        <f>IF($C118="","",IF(AND($S118="",$T118=""),"",IF($S118="","⚠ 2便目：入庫日を ▼ から選んでください",IF(NOT(ISNUMBER($S118)),"⚠ 2便目：入庫日は ▼ から選んでください",IF($S118&lt;N('設定'!$C$6),"⚠ 2便目：入庫日が過去です（もう在庫に入っています）→ 消してください",IF($S118&gt;N('設定'!$C$6)+13,"⚠ 2便目：入庫日が14日より先です",IF(N($T118)&lt;=0,"⚠ 2便目：入庫数を入れてください",IF($CH118&gt;0,"⚠ 2便目：定数を "&amp;$CH118&amp;" ケース超える → 減らす",""))))))))</f>
        <v/>
      </c>
      <c r="CK118">
        <f>IF(AND($CI118="",N($Q118)&gt;0,ISNUMBER($P118)),1,0)</f>
        <v/>
      </c>
      <c r="CL118">
        <f>IF(AND($CJ118="",N($T118)&gt;0,ISNUMBER($S118)),1,0)</f>
        <v/>
      </c>
      <c r="CM118">
        <f>IF(OR($CK118=1,$CL118=1),1,0)</f>
        <v/>
      </c>
      <c r="CN118">
        <f>IF($C118="",0,($CK118*$R118+$CL118*$U118)*N($H118))</f>
        <v/>
      </c>
      <c r="CO118">
        <f>IF($C118="","",IF($CC118="","入庫後は 14日以上もつ",IF($CC118-N('設定'!$C$7)&lt;='設定'!$C$6,"入庫後も "&amp;TEXT($CC118,"m/d")&amp;"("&amp;CHOOSE(WEEKDAY($CC118),"日","月","火","水","木","金","土")&amp;")"&amp;" に切れる　もう1便を至急発注","入庫後も "&amp;TEXT($CC118,"m/d")&amp;"("&amp;CHOOSE(WEEKDAY($CC118),"日","月","火","水","木","金","土")&amp;")"&amp;" に切れる　"&amp;TEXT($CC118-N('設定'!$C$7),"m/d")&amp;"("&amp;CHOOSE(WEEKDAY($CC118-N('設定'!$C$7)),"日","月","火","水","木","金","土")&amp;")"&amp;" までに次を発注")))</f>
        <v/>
      </c>
      <c r="CP118">
        <f>IF($C118="","",IF('設定'!$C$6="","？ ①在庫を貼る に今日のCSVが貼られていない",IF($CS118=1,"－ 今日のCSVに無い（終売？）",IF($L118&lt;0,"● 在庫がマイナス　数えて「数えた在庫」に入れる",IF($L118=0,"● 在庫なし　至急発注",IF($M118="","？ 減り数が未設定（商品マスタ）",IF($B$3=0,"？ 動員が未入力（動員を入れる）",IF($CA118="","○ 14日以上もつ",IF($BZ118&lt;N('設定'!$C$7),"● "&amp;TEXT($CA118,"m/d")&amp;"("&amp;CHOOSE(WEEKDAY($CA118),"日","月","火","水","木","金","土")&amp;")"&amp;" に切れる　至急発注",IF($BZ118=N('設定'!$C$7),"● "&amp;TEXT($CA118,"m/d")&amp;"("&amp;CHOOSE(WEEKDAY($CA118),"日","月","火","水","木","金","土")&amp;")"&amp;" に切れる　今日発注","△ "&amp;TEXT($CA118,"m/d")&amp;"("&amp;CHOOSE(WEEKDAY($CA118),"日","月","火","水","木","金","土")&amp;")"&amp;" に切れる　"&amp;TEXT($CA118-N('設定'!$C$7),"m/d")&amp;"("&amp;CHOOSE(WEEKDAY($CA118-N('設定'!$C$7)),"日","月","火","水","木","金","土")&amp;")"&amp;" までに発注"))))))))))</f>
        <v/>
      </c>
      <c r="CQ118">
        <f>IF($C118="","",IF(AND($P118="",$Q118="",$S118="",$T118=""),"",IF(AND($P118="",$Q118=""),"⚠ 先に1便目（左の入庫日・入庫数）に入れてください",IF($CI118&lt;&gt;"",$CI118,IF($CJ118&lt;&gt;"",$CJ118,IF($M118="","？ 減り数が未設定（発注書には載ります）",IF($B$3=0,"？ 動員が未入力（発注書には載ります）",IF(AND($CA118&lt;&gt;"",$P118&gt;$CA118),IF($P118&gt;'設定'!$C$6+N('設定'!$C$7),"● "&amp;TEXT($P118,"m/d")&amp;"("&amp;CHOOSE(WEEKDAY($P118),"日","月","火","水","木","金","土")&amp;")"&amp;" の入庫では間に合わない（"&amp;TEXT($CA118,"m/d")&amp;"("&amp;CHOOSE(WEEKDAY($CA118),"日","月","火","水","木","金","土")&amp;")"&amp;" に切れる）　入庫日を早める","△ 欠品 "&amp;TEXT($CA118,"m/d")&amp;"("&amp;CHOOSE(WEEKDAY($CA118),"日","月","火","水","木","金","土")&amp;")"&amp;"〜"&amp;TEXT($P118-1,"m/d")&amp;"("&amp;CHOOSE(WEEKDAY($P118-1),"日","月","火","水","木","金","土")&amp;")"&amp;"　"&amp;$CO118),IF($CC118="","○ "&amp;TEXT($P118,"m/d")&amp;"("&amp;CHOOSE(WEEKDAY($P118),"日","月","火","水","木","金","土")&amp;")"&amp;" 入庫で 14日以上もつ",IF($CC118-N('設定'!$C$7)&lt;='設定'!$C$6,"● 入庫しても "&amp;TEXT($CC118,"m/d")&amp;"("&amp;CHOOSE(WEEKDAY($CC118),"日","月","火","水","木","金","土")&amp;")"&amp;" に切れる　もう1便を至急発注（2便目に入れる）","△ 入庫しても "&amp;TEXT($CC118,"m/d")&amp;"("&amp;CHOOSE(WEEKDAY($CC118),"日","月","火","水","木","金","土")&amp;")"&amp;" に切れる　"&amp;TEXT($CC118-N('設定'!$C$7),"m/d")&amp;"("&amp;CHOOSE(WEEKDAY($CC118-N('設定'!$C$7)),"日","月","火","水","木","金","土")&amp;")"&amp;" までに次を発注（2便目に入れる）"))))))))))</f>
        <v/>
      </c>
      <c r="CR118">
        <f>IF($C118="","",IF($G118&gt;1,"ｹｰｽ("&amp;$G118&amp;"入)","個"))</f>
        <v/>
      </c>
      <c r="CS118">
        <f>IF($C118="",0,IF(COUNTIFS('①在庫を貼る'!$V$6:$V$10005,'設定'!$C$4,'①在庫を貼る'!$W$6:$W$10005,$C118)=0,1,0))</f>
        <v/>
      </c>
      <c r="CT118">
        <f>IF(AND($CK118=1,OR('③発注書'!$C$4="すべて",'③発注書'!$C$4="",$F118='③発注書'!$C$4)),N($CT117)+1,N($CT117))</f>
        <v/>
      </c>
      <c r="CU118">
        <f>IF(AND($CL118=1,OR('③発注書'!$C$4="すべて",'③発注書'!$C$4="",$F118='③発注書'!$C$4)),N($CU117)+1,N($CU117))</f>
        <v/>
      </c>
      <c r="CV118">
        <f>IF($C118="",0,IF(COUNTIFS('①在庫を貼る'!$V$6:$V$10005,'設定'!$C$4,'①在庫を貼る'!$W$6:$W$10005,$C118)&gt;0,1,0))</f>
        <v/>
      </c>
      <c r="CW118">
        <f>IF($C118="",0,IF(COUNTIFS('月1回_1ヶ月前の在庫'!$V$6:$V$10005,'設定'!$C$4,'月1回_1ヶ月前の在庫'!$W$6:$W$10005,$C118)&gt;0,1,0))</f>
        <v/>
      </c>
      <c r="CX118">
        <f>IF($C118="",0,IF(COUNTIFS('月1回_2ヶ月前の在庫'!$V$6:$V$10005,'設定'!$C$4,'月1回_2ヶ月前の在庫'!$W$6:$W$10005,$C118)&gt;0,1,0))</f>
        <v/>
      </c>
      <c r="CY118">
        <f>IF(OR($C118="",'設定'!$C$12=""),"",IF('設定'!$C$13="",IF(AND($CV118=1,$CW118=0),"新商品（今月から）",IF(AND($CV118=0,$CW118=1),"終売（今月から）","")),IF(AND($CV118=1,$CW118=0,$CX118=0),"新商品（今月から）",IF(AND($CV118=1,$CW118=1,$CX118=0),"新商品（先月から）",IF(AND($CV118=0,$CW118=1,$CX118=1),"終売（今月から）",IF(AND($CV118=0,$CW118=0,$CX118=1),"終売（先月から）",IF(AND($CV118=1,$CW118=0,$CX118=1),"復活（先月は無し）","")))))))</f>
        <v/>
      </c>
    </row>
    <row r="119">
      <c r="B119">
        <f>IF(114&lt;='設定'!$C$11,114,"")</f>
        <v/>
      </c>
      <c r="C119">
        <f>IF($B119="","",IF($B119&lt;='設定'!$C$20,INDEX('商品マスタ'!$B$6:$B$1005,MATCH($B119,'商品マスタ'!$M$6:$M$1005,0)),IF($B119&lt;='設定'!$C$20+'設定'!$C$17,INDEX('①在庫を貼る'!$W$6:$W$10005,MATCH($B119-'設定'!$C$20,'①在庫を貼る'!$U$6:$U$10005,0)),IF($B119&lt;='設定'!$C$20+'設定'!$C$17+'設定'!$C$18,INDEX('月1回_1ヶ月前の在庫'!$W$6:$W$10005,MATCH($B119-'設定'!$C$20-'設定'!$C$17,'月1回_1ヶ月前の在庫'!$U$6:$U$10005,0)),INDEX('月1回_2ヶ月前の在庫'!$W$6:$W$10005,MATCH($B119-'設定'!$C$20-'設定'!$C$17-'設定'!$C$18,'月1回_2ヶ月前の在庫'!$U$6:$U$10005,0))))))</f>
        <v/>
      </c>
      <c r="D119">
        <f>IF($C119="","",IFERROR(IF(INDEX('商品マスタ'!$C$6:$C$1005,MATCH($C119,'商品マスタ'!$B$6:$B$1005,0))="",IFERROR(INDEX('①在庫を貼る'!$J$6:$J$10005,MATCH($C119,'①在庫を貼る'!$W$6:$W$10005,0)),IFERROR(INDEX('月1回_1ヶ月前の在庫'!$J$6:$J$10005,MATCH($C119,'月1回_1ヶ月前の在庫'!$W$6:$W$10005,0)),IFERROR(INDEX('月1回_2ヶ月前の在庫'!$J$6:$J$10005,MATCH($C119,'月1回_2ヶ月前の在庫'!$W$6:$W$10005,0)),""))),INDEX('商品マスタ'!$C$6:$C$1005,MATCH($C119,'商品マスタ'!$B$6:$B$1005,0))),IFERROR(INDEX('①在庫を貼る'!$J$6:$J$10005,MATCH($C119,'①在庫を貼る'!$W$6:$W$10005,0)),IFERROR(INDEX('月1回_1ヶ月前の在庫'!$J$6:$J$10005,MATCH($C119,'月1回_1ヶ月前の在庫'!$W$6:$W$10005,0)),IFERROR(INDEX('月1回_2ヶ月前の在庫'!$J$6:$J$10005,MATCH($C119,'月1回_2ヶ月前の在庫'!$W$6:$W$10005,0)),"")))))</f>
        <v/>
      </c>
      <c r="E119">
        <f>IF($C119="","",IFERROR(IF(INDEX('商品マスタ'!$D$6:$D$1005,MATCH($C119,'商品マスタ'!$B$6:$B$1005,0))="",IFERROR(INDEX('①在庫を貼る'!$H$6:$H$10005,MATCH($C119,'①在庫を貼る'!$W$6:$W$10005,0)),IFERROR(INDEX('月1回_1ヶ月前の在庫'!$H$6:$H$10005,MATCH($C119,'月1回_1ヶ月前の在庫'!$W$6:$W$10005,0)),IFERROR(INDEX('月1回_2ヶ月前の在庫'!$H$6:$H$10005,MATCH($C119,'月1回_2ヶ月前の在庫'!$W$6:$W$10005,0)),""))),INDEX('商品マスタ'!$D$6:$D$1005,MATCH($C119,'商品マスタ'!$B$6:$B$1005,0))),IFERROR(INDEX('①在庫を貼る'!$H$6:$H$10005,MATCH($C119,'①在庫を貼る'!$W$6:$W$10005,0)),IFERROR(INDEX('月1回_1ヶ月前の在庫'!$H$6:$H$10005,MATCH($C119,'月1回_1ヶ月前の在庫'!$W$6:$W$10005,0)),IFERROR(INDEX('月1回_2ヶ月前の在庫'!$H$6:$H$10005,MATCH($C119,'月1回_2ヶ月前の在庫'!$W$6:$W$10005,0)),"")))))</f>
        <v/>
      </c>
      <c r="F119">
        <f>IF($C119="","",IFERROR(IF(INDEX('商品マスタ'!$E$6:$E$1005,MATCH($C119,'商品マスタ'!$B$6:$B$1005,0))="",IFERROR(INDEX('①在庫を貼る'!$E$6:$E$10005,MATCH($C119,'①在庫を貼る'!$W$6:$W$10005,0)),IFERROR(INDEX('月1回_1ヶ月前の在庫'!$E$6:$E$10005,MATCH($C119,'月1回_1ヶ月前の在庫'!$W$6:$W$10005,0)),IFERROR(INDEX('月1回_2ヶ月前の在庫'!$E$6:$E$10005,MATCH($C119,'月1回_2ヶ月前の在庫'!$W$6:$W$10005,0)),""))),INDEX('商品マスタ'!$E$6:$E$1005,MATCH($C119,'商品マスタ'!$B$6:$B$1005,0))),IFERROR(INDEX('①在庫を貼る'!$E$6:$E$10005,MATCH($C119,'①在庫を貼る'!$W$6:$W$10005,0)),IFERROR(INDEX('月1回_1ヶ月前の在庫'!$E$6:$E$10005,MATCH($C119,'月1回_1ヶ月前の在庫'!$W$6:$W$10005,0)),IFERROR(INDEX('月1回_2ヶ月前の在庫'!$E$6:$E$10005,MATCH($C119,'月1回_2ヶ月前の在庫'!$W$6:$W$10005,0)),"")))))</f>
        <v/>
      </c>
      <c r="G119">
        <f>IF($C119="","",MAX(1,N(IFERROR(IF(INDEX('商品マスタ'!$F$6:$F$1005,MATCH($C119,'商品マスタ'!$B$6:$B$1005,0))="",IF(COUNTIFS('①在庫を貼る'!$V$6:$V$10005,'設定'!$C$4,'①在庫を貼る'!$W$6:$W$10005,$C119)&gt;0,SUMIFS('①在庫を貼る'!$K$6:$K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K$6:$K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K$6:$K$10005,'月1回_2ヶ月前の在庫'!$V$6:$V$10005,'設定'!$C$4,'月1回_2ヶ月前の在庫'!$W$6:$W$10005,$C119)/COUNTIFS('月1回_2ヶ月前の在庫'!$V$6:$V$10005,'設定'!$C$4,'月1回_2ヶ月前の在庫'!$W$6:$W$10005,$C119),0))),INDEX('商品マスタ'!$F$6:$F$1005,MATCH($C119,'商品マスタ'!$B$6:$B$1005,0))),IF(COUNTIFS('①在庫を貼る'!$V$6:$V$10005,'設定'!$C$4,'①在庫を貼る'!$W$6:$W$10005,$C119)&gt;0,SUMIFS('①在庫を貼る'!$K$6:$K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K$6:$K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K$6:$K$10005,'月1回_2ヶ月前の在庫'!$V$6:$V$10005,'設定'!$C$4,'月1回_2ヶ月前の在庫'!$W$6:$W$10005,$C119)/COUNTIFS('月1回_2ヶ月前の在庫'!$V$6:$V$10005,'設定'!$C$4,'月1回_2ヶ月前の在庫'!$W$6:$W$10005,$C119),0)))))))</f>
        <v/>
      </c>
      <c r="H119">
        <f>IF($C119="","",N(IFERROR(IF(INDEX('商品マスタ'!$G$6:$G$1005,MATCH($C119,'商品マスタ'!$B$6:$B$1005,0))="",IF(COUNTIFS('①在庫を貼る'!$V$6:$V$10005,'設定'!$C$4,'①在庫を貼る'!$W$6:$W$10005,$C119)&gt;0,SUMIFS('①在庫を貼る'!$Q$6:$Q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Q$6:$Q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Q$6:$Q$10005,'月1回_2ヶ月前の在庫'!$V$6:$V$10005,'設定'!$C$4,'月1回_2ヶ月前の在庫'!$W$6:$W$10005,$C119)/COUNTIFS('月1回_2ヶ月前の在庫'!$V$6:$V$10005,'設定'!$C$4,'月1回_2ヶ月前の在庫'!$W$6:$W$10005,$C119),0))),INDEX('商品マスタ'!$G$6:$G$1005,MATCH($C119,'商品マスタ'!$B$6:$B$1005,0))),IF(COUNTIFS('①在庫を貼る'!$V$6:$V$10005,'設定'!$C$4,'①在庫を貼る'!$W$6:$W$10005,$C119)&gt;0,SUMIFS('①在庫を貼る'!$Q$6:$Q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Q$6:$Q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Q$6:$Q$10005,'月1回_2ヶ月前の在庫'!$V$6:$V$10005,'設定'!$C$4,'月1回_2ヶ月前の在庫'!$W$6:$W$10005,$C119)/COUNTIFS('月1回_2ヶ月前の在庫'!$V$6:$V$10005,'設定'!$C$4,'月1回_2ヶ月前の在庫'!$W$6:$W$10005,$C119),0))))))</f>
        <v/>
      </c>
      <c r="I119">
        <f>IF($C119="","",IF(COUNTIFS('①在庫を貼る'!$V$6:$V$10005,'設定'!$C$4,'①在庫を貼る'!$W$6:$W$10005,$C119)=0,"",SUMIFS('①在庫を貼る'!$N$6:$N$10005,'①在庫を貼る'!$V$6:$V$10005,'設定'!$C$4,'①在庫を貼る'!$W$6:$W$10005,$C119)))</f>
        <v/>
      </c>
      <c r="J119">
        <f>IF($C119="","",IF('②発注する'!$AD123="","",'②発注する'!$AD123))</f>
        <v/>
      </c>
      <c r="K119" s="90">
        <f>IF($C119="","",IF('②発注する'!$AE123="","",'②発注する'!$AE123))</f>
        <v/>
      </c>
      <c r="L119">
        <f>IF($C119="","",IF(AND(ISNUMBER($J119),ISNUMBER($K119),$K119&gt;='設定'!$C$6),$J119,N($I119)))</f>
        <v/>
      </c>
      <c r="M119">
        <f>IF($C119="","",IFERROR(IF(N(INDEX('商品マスタ'!$J$6:$J$1005,MATCH($C119,'商品マスタ'!$B$6:$B$1005,0)))&gt;0,INDEX('商品マスタ'!$J$6:$J$1005,MATCH($C119,'商品マスタ'!$B$6:$B$1005,0)),""),""))</f>
        <v/>
      </c>
      <c r="N119">
        <f>IF($C119="","",IFERROR(IF(N(INDEX('商品マスタ'!$H$6:$H$1005,MATCH($C119,'商品マスタ'!$B$6:$B$1005,0)))&gt;0,INDEX('商品マスタ'!$H$6:$H$1005,MATCH($C119,'商品マスタ'!$B$6:$B$1005,0)),""),""))</f>
        <v/>
      </c>
      <c r="O119">
        <f>IF($C119="","",IF($N119&lt;&gt;"",$N119*$G119,IF(N(IF(COUNTIFS('①在庫を貼る'!$V$6:$V$10005,'設定'!$C$4,'①在庫を貼る'!$W$6:$W$10005,$C119)&gt;0,SUMIFS('①在庫を貼る'!$O$6:$O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O$6:$O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O$6:$O$10005,'月1回_2ヶ月前の在庫'!$V$6:$V$10005,'設定'!$C$4,'月1回_2ヶ月前の在庫'!$W$6:$W$10005,$C119)/COUNTIFS('月1回_2ヶ月前の在庫'!$V$6:$V$10005,'設定'!$C$4,'月1回_2ヶ月前の在庫'!$W$6:$W$10005,$C119),0))))&gt;0,N(IF(COUNTIFS('①在庫を貼る'!$V$6:$V$10005,'設定'!$C$4,'①在庫を貼る'!$W$6:$W$10005,$C119)&gt;0,SUMIFS('①在庫を貼る'!$O$6:$O$10005,'①在庫を貼る'!$V$6:$V$10005,'設定'!$C$4,'①在庫を貼る'!$W$6:$W$10005,$C119)/COUNTIFS('①在庫を貼る'!$V$6:$V$10005,'設定'!$C$4,'①在庫を貼る'!$W$6:$W$10005,$C119),IF(COUNTIFS('月1回_1ヶ月前の在庫'!$V$6:$V$10005,'設定'!$C$4,'月1回_1ヶ月前の在庫'!$W$6:$W$10005,$C119)&gt;0,SUMIFS('月1回_1ヶ月前の在庫'!$O$6:$O$10005,'月1回_1ヶ月前の在庫'!$V$6:$V$10005,'設定'!$C$4,'月1回_1ヶ月前の在庫'!$W$6:$W$10005,$C119)/COUNTIFS('月1回_1ヶ月前の在庫'!$V$6:$V$10005,'設定'!$C$4,'月1回_1ヶ月前の在庫'!$W$6:$W$10005,$C119),IF(COUNTIFS('月1回_2ヶ月前の在庫'!$V$6:$V$10005,'設定'!$C$4,'月1回_2ヶ月前の在庫'!$W$6:$W$10005,$C119)&gt;0,SUMIFS('月1回_2ヶ月前の在庫'!$O$6:$O$10005,'月1回_2ヶ月前の在庫'!$V$6:$V$10005,'設定'!$C$4,'月1回_2ヶ月前の在庫'!$W$6:$W$10005,$C119)/COUNTIFS('月1回_2ヶ月前の在庫'!$V$6:$V$10005,'設定'!$C$4,'月1回_2ヶ月前の在庫'!$W$6:$W$10005,$C119),0)))),"")))</f>
        <v/>
      </c>
      <c r="P119" s="90">
        <f>IF($C119="","",IF('②発注する'!$I123="","",'②発注する'!$I123))</f>
        <v/>
      </c>
      <c r="Q119">
        <f>IF($C119="","",IF('②発注する'!$J123="","",'②発注する'!$J123))</f>
        <v/>
      </c>
      <c r="R119">
        <f>IF($C119="",0,IF(AND(ISNUMBER($P119),ISNUMBER($Q119)),MAX(0,$Q119)*$G119,0))</f>
        <v/>
      </c>
      <c r="S119" s="90">
        <f>IF($C119="","",IF('②発注する'!$M123="","",'②発注する'!$M123))</f>
        <v/>
      </c>
      <c r="T119">
        <f>IF($C119="","",IF('②発注する'!$N123="","",'②発注する'!$N123))</f>
        <v/>
      </c>
      <c r="U119">
        <f>IF($C119="",0,IF(AND(ISNUMBER($S119),ISNUMBER($T119)),MAX(0,$T119)*$G119,0))</f>
        <v/>
      </c>
      <c r="V119">
        <f>IF($C119="",0,IF($M119="",0,MAX(0,$M119)*MAX(0,V$4)/100))</f>
        <v/>
      </c>
      <c r="W119">
        <f>IF($C119="",0,IF($M119="",0,MAX(0,$M119)*MAX(0,W$4)/100))</f>
        <v/>
      </c>
      <c r="X119">
        <f>IF($C119="",0,IF($M119="",0,MAX(0,$M119)*MAX(0,X$4)/100))</f>
        <v/>
      </c>
      <c r="Y119">
        <f>IF($C119="",0,IF($M119="",0,MAX(0,$M119)*MAX(0,Y$4)/100))</f>
        <v/>
      </c>
      <c r="Z119">
        <f>IF($C119="",0,IF($M119="",0,MAX(0,$M119)*MAX(0,Z$4)/100))</f>
        <v/>
      </c>
      <c r="AA119">
        <f>IF($C119="",0,IF($M119="",0,MAX(0,$M119)*MAX(0,AA$4)/100))</f>
        <v/>
      </c>
      <c r="AB119">
        <f>IF($C119="",0,IF($M119="",0,MAX(0,$M119)*MAX(0,AB$4)/100))</f>
        <v/>
      </c>
      <c r="AC119">
        <f>IF($C119="",0,IF($M119="",0,MAX(0,$M119)*MAX(0,AC$4)/100))</f>
        <v/>
      </c>
      <c r="AD119">
        <f>IF($C119="",0,IF($M119="",0,MAX(0,$M119)*MAX(0,AD$4)/100))</f>
        <v/>
      </c>
      <c r="AE119">
        <f>IF($C119="",0,IF($M119="",0,MAX(0,$M119)*MAX(0,AE$4)/100))</f>
        <v/>
      </c>
      <c r="AF119">
        <f>IF($C119="",0,IF($M119="",0,MAX(0,$M119)*MAX(0,AF$4)/100))</f>
        <v/>
      </c>
      <c r="AG119">
        <f>IF($C119="",0,IF($M119="",0,MAX(0,$M119)*MAX(0,AG$4)/100))</f>
        <v/>
      </c>
      <c r="AH119">
        <f>IF($C119="",0,IF($M119="",0,MAX(0,$M119)*MAX(0,AH$4)/100))</f>
        <v/>
      </c>
      <c r="AI119">
        <f>IF($C119="",0,IF($M119="",0,MAX(0,$M119)*MAX(0,AI$4)/100))</f>
        <v/>
      </c>
      <c r="AJ119">
        <f>IF($C119="",0,MAX(0,MAX(0,N($L119))-$V119))</f>
        <v/>
      </c>
      <c r="AK119">
        <f>IF($C119="",0,MAX(0,$AJ119-$W119))</f>
        <v/>
      </c>
      <c r="AL119">
        <f>IF($C119="",0,MAX(0,$AK119-$X119))</f>
        <v/>
      </c>
      <c r="AM119">
        <f>IF($C119="",0,MAX(0,$AL119-$Y119))</f>
        <v/>
      </c>
      <c r="AN119">
        <f>IF($C119="",0,MAX(0,$AM119-$Z119))</f>
        <v/>
      </c>
      <c r="AO119">
        <f>IF($C119="",0,MAX(0,$AN119-$AA119))</f>
        <v/>
      </c>
      <c r="AP119">
        <f>IF($C119="",0,MAX(0,$AO119-$AB119))</f>
        <v/>
      </c>
      <c r="AQ119">
        <f>IF($C119="",0,MAX(0,$AP119-$AC119))</f>
        <v/>
      </c>
      <c r="AR119">
        <f>IF($C119="",0,MAX(0,$AQ119-$AD119))</f>
        <v/>
      </c>
      <c r="AS119">
        <f>IF($C119="",0,MAX(0,$AR119-$AE119))</f>
        <v/>
      </c>
      <c r="AT119">
        <f>IF($C119="",0,MAX(0,$AS119-$AF119))</f>
        <v/>
      </c>
      <c r="AU119">
        <f>IF($C119="",0,MAX(0,$AT119-$AG119))</f>
        <v/>
      </c>
      <c r="AV119">
        <f>IF($C119="",0,MAX(0,$AU119-$AH119))</f>
        <v/>
      </c>
      <c r="AW119">
        <f>IF($C119="",0,MAX(0,$AV119-$AI119))</f>
        <v/>
      </c>
      <c r="AX119">
        <f>IF($C119="",0,MAX(0,MAX(0,N($L119))+IF($P119=V$3,$R119,0)+IF($S119=V$3,$U119,0)-$V119))</f>
        <v/>
      </c>
      <c r="AY119">
        <f>IF($C119="",0,MAX(0,$AX119+IF($P119=W$3,$R119,0)+IF($S119=W$3,$U119,0)-$W119))</f>
        <v/>
      </c>
      <c r="AZ119">
        <f>IF($C119="",0,MAX(0,$AY119+IF($P119=X$3,$R119,0)+IF($S119=X$3,$U119,0)-$X119))</f>
        <v/>
      </c>
      <c r="BA119">
        <f>IF($C119="",0,MAX(0,$AZ119+IF($P119=Y$3,$R119,0)+IF($S119=Y$3,$U119,0)-$Y119))</f>
        <v/>
      </c>
      <c r="BB119">
        <f>IF($C119="",0,MAX(0,$BA119+IF($P119=Z$3,$R119,0)+IF($S119=Z$3,$U119,0)-$Z119))</f>
        <v/>
      </c>
      <c r="BC119">
        <f>IF($C119="",0,MAX(0,$BB119+IF($P119=AA$3,$R119,0)+IF($S119=AA$3,$U119,0)-$AA119))</f>
        <v/>
      </c>
      <c r="BD119">
        <f>IF($C119="",0,MAX(0,$BC119+IF($P119=AB$3,$R119,0)+IF($S119=AB$3,$U119,0)-$AB119))</f>
        <v/>
      </c>
      <c r="BE119">
        <f>IF($C119="",0,MAX(0,$BD119+IF($P119=AC$3,$R119,0)+IF($S119=AC$3,$U119,0)-$AC119))</f>
        <v/>
      </c>
      <c r="BF119">
        <f>IF($C119="",0,MAX(0,$BE119+IF($P119=AD$3,$R119,0)+IF($S119=AD$3,$U119,0)-$AD119))</f>
        <v/>
      </c>
      <c r="BG119">
        <f>IF($C119="",0,MAX(0,$BF119+IF($P119=AE$3,$R119,0)+IF($S119=AE$3,$U119,0)-$AE119))</f>
        <v/>
      </c>
      <c r="BH119">
        <f>IF($C119="",0,MAX(0,$BG119+IF($P119=AF$3,$R119,0)+IF($S119=AF$3,$U119,0)-$AF119))</f>
        <v/>
      </c>
      <c r="BI119">
        <f>IF($C119="",0,MAX(0,$BH119+IF($P119=AG$3,$R119,0)+IF($S119=AG$3,$U119,0)-$AG119))</f>
        <v/>
      </c>
      <c r="BJ119">
        <f>IF($C119="",0,MAX(0,$BI119+IF($P119=AH$3,$R119,0)+IF($S119=AH$3,$U119,0)-$AH119))</f>
        <v/>
      </c>
      <c r="BK119">
        <f>IF($C119="",0,MAX(0,$BJ119+IF($P119=AI$3,$R119,0)+IF($S119=AI$3,$U119,0)-$AI119))</f>
        <v/>
      </c>
      <c r="BL119">
        <f>IF($C119="",99,IF(AND($AX119&lt;1,V$3&gt;=MAX(N($P119),N($S119))),0,99))</f>
        <v/>
      </c>
      <c r="BM119">
        <f>IF($C119="",99,IF(AND($AY119&lt;1,W$3&gt;=MAX(N($P119),N($S119))),1,99))</f>
        <v/>
      </c>
      <c r="BN119">
        <f>IF($C119="",99,IF(AND($AZ119&lt;1,X$3&gt;=MAX(N($P119),N($S119))),2,99))</f>
        <v/>
      </c>
      <c r="BO119">
        <f>IF($C119="",99,IF(AND($BA119&lt;1,Y$3&gt;=MAX(N($P119),N($S119))),3,99))</f>
        <v/>
      </c>
      <c r="BP119">
        <f>IF($C119="",99,IF(AND($BB119&lt;1,Z$3&gt;=MAX(N($P119),N($S119))),4,99))</f>
        <v/>
      </c>
      <c r="BQ119">
        <f>IF($C119="",99,IF(AND($BC119&lt;1,AA$3&gt;=MAX(N($P119),N($S119))),5,99))</f>
        <v/>
      </c>
      <c r="BR119">
        <f>IF($C119="",99,IF(AND($BD119&lt;1,AB$3&gt;=MAX(N($P119),N($S119))),6,99))</f>
        <v/>
      </c>
      <c r="BS119">
        <f>IF($C119="",99,IF(AND($BE119&lt;1,AC$3&gt;=MAX(N($P119),N($S119))),7,99))</f>
        <v/>
      </c>
      <c r="BT119">
        <f>IF($C119="",99,IF(AND($BF119&lt;1,AD$3&gt;=MAX(N($P119),N($S119))),8,99))</f>
        <v/>
      </c>
      <c r="BU119">
        <f>IF($C119="",99,IF(AND($BG119&lt;1,AE$3&gt;=MAX(N($P119),N($S119))),9,99))</f>
        <v/>
      </c>
      <c r="BV119">
        <f>IF($C119="",99,IF(AND($BH119&lt;1,AF$3&gt;=MAX(N($P119),N($S119))),10,99))</f>
        <v/>
      </c>
      <c r="BW119">
        <f>IF($C119="",99,IF(AND($BI119&lt;1,AG$3&gt;=MAX(N($P119),N($S119))),11,99))</f>
        <v/>
      </c>
      <c r="BX119">
        <f>IF($C119="",99,IF(AND($BJ119&lt;1,AH$3&gt;=MAX(N($P119),N($S119))),12,99))</f>
        <v/>
      </c>
      <c r="BY119">
        <f>IF($C119="",99,IF(AND($BK119&lt;1,AI$3&gt;=MAX(N($P119),N($S119))),13,99))</f>
        <v/>
      </c>
      <c r="BZ119">
        <f>IF(OR($C119="",$M119=""),"",COUNTIF($AJ119:$AW119,"&gt;=1"))</f>
        <v/>
      </c>
      <c r="CA119" s="90">
        <f>IF($BZ119="","",IF($BZ119&gt;=14,"",'設定'!$C$6+$BZ119))</f>
        <v/>
      </c>
      <c r="CB119">
        <f>IF(OR($C119="",$M119=""),"",MIN($BL119:$BY119))</f>
        <v/>
      </c>
      <c r="CC119" s="90">
        <f>IF($CB119="","",IF($CB119&gt;=99,"",'設定'!$C$6+$CB119))</f>
        <v/>
      </c>
      <c r="CD119">
        <f>IF(OR($C119="",$M119=""),"",AVERAGE($V119:$AI119))</f>
        <v/>
      </c>
      <c r="CE119">
        <f>IF($C119="","",IFERROR(IF(MATCH(IF(ISNUMBER($P119),$P119,'設定'!$C$6+N('設定'!$C$7)),$V$3:$AI$3,0)=1,MAX(0,N($L119)),INDEX($AJ119:$AW119,MATCH(IF(ISNUMBER($P119),$P119,'設定'!$C$6+N('設定'!$C$7)),$V$3:$AI$3,0)-1)),""))</f>
        <v/>
      </c>
      <c r="CF119">
        <f>IF(OR($C119="",$O119="",$CE119=""),"",IF($O119-$CE119&lt;=0,0,ROUNDUP(($O119-$CE119)/$G119,0)))</f>
        <v/>
      </c>
      <c r="CG119">
        <f>IF(OR($C119="",$CF119="",NOT(ISNUMBER($Q119))),0,MAX(0,$Q119-$CF119))</f>
        <v/>
      </c>
      <c r="CH119">
        <f>IF(OR($C119="",$O119="",$U119=0),0,IFERROR(ROUNDUP(MAX(0,IF(MATCH($S119,$V$3:$AI$3,0)=1,MAX(0,N($L119)),INDEX($AX119:$BK119,MATCH($S119,$V$3:$AI$3,0)-1))+$U119-$O119)/$G119,0),0))</f>
        <v/>
      </c>
      <c r="CI119">
        <f>IF($C119="","",IF(AND($P119="",$Q119=""),"",IF($P119="","⚠ 入庫日を ▼ から選んでください",IF(NOT(ISNUMBER($P119)),"⚠ 入庫日は ▼ から選んでください",IF($P119&lt;N('設定'!$C$6),"⚠ 入庫日が過去です（もう在庫に入っています）→ 消してください",IF($P119&gt;N('設定'!$C$6)+13,"⚠ 入庫日が14日より先です",IF(N($Q119)&lt;=0,"⚠ 入庫数を入れてください",IF($CG119&gt;0,"⚠ 目安より "&amp;$CG119&amp;" 多い（定数を超える）→ 減らす",""))))))))</f>
        <v/>
      </c>
      <c r="CJ119">
        <f>IF($C119="","",IF(AND($S119="",$T119=""),"",IF($S119="","⚠ 2便目：入庫日を ▼ から選んでください",IF(NOT(ISNUMBER($S119)),"⚠ 2便目：入庫日は ▼ から選んでください",IF($S119&lt;N('設定'!$C$6),"⚠ 2便目：入庫日が過去です（もう在庫に入っています）→ 消してください",IF($S119&gt;N('設定'!$C$6)+13,"⚠ 2便目：入庫日が14日より先です",IF(N($T119)&lt;=0,"⚠ 2便目：入庫数を入れてください",IF($CH119&gt;0,"⚠ 2便目：定数を "&amp;$CH119&amp;" ケース超える → 減らす",""))))))))</f>
        <v/>
      </c>
      <c r="CK119">
        <f>IF(AND($CI119="",N($Q119)&gt;0,ISNUMBER($P119)),1,0)</f>
        <v/>
      </c>
      <c r="CL119">
        <f>IF(AND($CJ119="",N($T119)&gt;0,ISNUMBER($S119)),1,0)</f>
        <v/>
      </c>
      <c r="CM119">
        <f>IF(OR($CK119=1,$CL119=1),1,0)</f>
        <v/>
      </c>
      <c r="CN119">
        <f>IF($C119="",0,($CK119*$R119+$CL119*$U119)*N($H119))</f>
        <v/>
      </c>
      <c r="CO119">
        <f>IF($C119="","",IF($CC119="","入庫後は 14日以上もつ",IF($CC119-N('設定'!$C$7)&lt;='設定'!$C$6,"入庫後も "&amp;TEXT($CC119,"m/d")&amp;"("&amp;CHOOSE(WEEKDAY($CC119),"日","月","火","水","木","金","土")&amp;")"&amp;" に切れる　もう1便を至急発注","入庫後も "&amp;TEXT($CC119,"m/d")&amp;"("&amp;CHOOSE(WEEKDAY($CC119),"日","月","火","水","木","金","土")&amp;")"&amp;" に切れる　"&amp;TEXT($CC119-N('設定'!$C$7),"m/d")&amp;"("&amp;CHOOSE(WEEKDAY($CC119-N('設定'!$C$7)),"日","月","火","水","木","金","土")&amp;")"&amp;" までに次を発注")))</f>
        <v/>
      </c>
      <c r="CP119">
        <f>IF($C119="","",IF('設定'!$C$6="","？ ①在庫を貼る に今日のCSVが貼られていない",IF($CS119=1,"－ 今日のCSVに無い（終売？）",IF($L119&lt;0,"● 在庫がマイナス　数えて「数えた在庫」に入れる",IF($L119=0,"● 在庫なし　至急発注",IF($M119="","？ 減り数が未設定（商品マスタ）",IF($B$3=0,"？ 動員が未入力（動員を入れる）",IF($CA119="","○ 14日以上もつ",IF($BZ119&lt;N('設定'!$C$7),"● "&amp;TEXT($CA119,"m/d")&amp;"("&amp;CHOOSE(WEEKDAY($CA119),"日","月","火","水","木","金","土")&amp;")"&amp;" に切れる　至急発注",IF($BZ119=N('設定'!$C$7),"● "&amp;TEXT($CA119,"m/d")&amp;"("&amp;CHOOSE(WEEKDAY($CA119),"日","月","火","水","木","金","土")&amp;")"&amp;" に切れる　今日発注","△ "&amp;TEXT($CA119,"m/d")&amp;"("&amp;CHOOSE(WEEKDAY($CA119),"日","月","火","水","木","金","土")&amp;")"&amp;" に切れる　"&amp;TEXT($CA119-N('設定'!$C$7),"m/d")&amp;"("&amp;CHOOSE(WEEKDAY($CA119-N('設定'!$C$7)),"日","月","火","水","木","金","土")&amp;")"&amp;" までに発注"))))))))))</f>
        <v/>
      </c>
      <c r="CQ119">
        <f>IF($C119="","",IF(AND($P119="",$Q119="",$S119="",$T119=""),"",IF(AND($P119="",$Q119=""),"⚠ 先に1便目（左の入庫日・入庫数）に入れてください",IF($CI119&lt;&gt;"",$CI119,IF($CJ119&lt;&gt;"",$CJ119,IF($M119="","？ 減り数が未設定（発注書には載ります）",IF($B$3=0,"？ 動員が未入力（発注書には載ります）",IF(AND($CA119&lt;&gt;"",$P119&gt;$CA119),IF($P119&gt;'設定'!$C$6+N('設定'!$C$7),"● "&amp;TEXT($P119,"m/d")&amp;"("&amp;CHOOSE(WEEKDAY($P119),"日","月","火","水","木","金","土")&amp;")"&amp;" の入庫では間に合わない（"&amp;TEXT($CA119,"m/d")&amp;"("&amp;CHOOSE(WEEKDAY($CA119),"日","月","火","水","木","金","土")&amp;")"&amp;" に切れる）　入庫日を早める","△ 欠品 "&amp;TEXT($CA119,"m/d")&amp;"("&amp;CHOOSE(WEEKDAY($CA119),"日","月","火","水","木","金","土")&amp;")"&amp;"〜"&amp;TEXT($P119-1,"m/d")&amp;"("&amp;CHOOSE(WEEKDAY($P119-1),"日","月","火","水","木","金","土")&amp;")"&amp;"　"&amp;$CO119),IF($CC119="","○ "&amp;TEXT($P119,"m/d")&amp;"("&amp;CHOOSE(WEEKDAY($P119),"日","月","火","水","木","金","土")&amp;")"&amp;" 入庫で 14日以上もつ",IF($CC119-N('設定'!$C$7)&lt;='設定'!$C$6,"● 入庫しても "&amp;TEXT($CC119,"m/d")&amp;"("&amp;CHOOSE(WEEKDAY($CC119),"日","月","火","水","木","金","土")&amp;")"&amp;" に切れる　もう1便を至急発注（2便目に入れる）","△ 入庫しても "&amp;TEXT($CC119,"m/d")&amp;"("&amp;CHOOSE(WEEKDAY($CC119),"日","月","火","水","木","金","土")&amp;")"&amp;" に切れる　"&amp;TEXT($CC119-N('設定'!$C$7),"m/d")&amp;"("&amp;CHOOSE(WEEKDAY($CC119-N('設定'!$C$7)),"日","月","火","水","木","金","土")&amp;")"&amp;" までに次を発注（2便目に入れる）"))))))))))</f>
        <v/>
      </c>
      <c r="CR119">
        <f>IF($C119="","",IF($G119&gt;1,"ｹｰｽ("&amp;$G119&amp;"入)","個"))</f>
        <v/>
      </c>
      <c r="CS119">
        <f>IF($C119="",0,IF(COUNTIFS('①在庫を貼る'!$V$6:$V$10005,'設定'!$C$4,'①在庫を貼る'!$W$6:$W$10005,$C119)=0,1,0))</f>
        <v/>
      </c>
      <c r="CT119">
        <f>IF(AND($CK119=1,OR('③発注書'!$C$4="すべて",'③発注書'!$C$4="",$F119='③発注書'!$C$4)),N($CT118)+1,N($CT118))</f>
        <v/>
      </c>
      <c r="CU119">
        <f>IF(AND($CL119=1,OR('③発注書'!$C$4="すべて",'③発注書'!$C$4="",$F119='③発注書'!$C$4)),N($CU118)+1,N($CU118))</f>
        <v/>
      </c>
      <c r="CV119">
        <f>IF($C119="",0,IF(COUNTIFS('①在庫を貼る'!$V$6:$V$10005,'設定'!$C$4,'①在庫を貼る'!$W$6:$W$10005,$C119)&gt;0,1,0))</f>
        <v/>
      </c>
      <c r="CW119">
        <f>IF($C119="",0,IF(COUNTIFS('月1回_1ヶ月前の在庫'!$V$6:$V$10005,'設定'!$C$4,'月1回_1ヶ月前の在庫'!$W$6:$W$10005,$C119)&gt;0,1,0))</f>
        <v/>
      </c>
      <c r="CX119">
        <f>IF($C119="",0,IF(COUNTIFS('月1回_2ヶ月前の在庫'!$V$6:$V$10005,'設定'!$C$4,'月1回_2ヶ月前の在庫'!$W$6:$W$10005,$C119)&gt;0,1,0))</f>
        <v/>
      </c>
      <c r="CY119">
        <f>IF(OR($C119="",'設定'!$C$12=""),"",IF('設定'!$C$13="",IF(AND($CV119=1,$CW119=0),"新商品（今月から）",IF(AND($CV119=0,$CW119=1),"終売（今月から）","")),IF(AND($CV119=1,$CW119=0,$CX119=0),"新商品（今月から）",IF(AND($CV119=1,$CW119=1,$CX119=0),"新商品（先月から）",IF(AND($CV119=0,$CW119=1,$CX119=1),"終売（今月から）",IF(AND($CV119=0,$CW119=0,$CX119=1),"終売（先月から）",IF(AND($CV119=1,$CW119=0,$CX119=1),"復活（先月は無し）","")))))))</f>
        <v/>
      </c>
    </row>
    <row r="120">
      <c r="B120">
        <f>IF(115&lt;='設定'!$C$11,115,"")</f>
        <v/>
      </c>
      <c r="C120">
        <f>IF($B120="","",IF($B120&lt;='設定'!$C$20,INDEX('商品マスタ'!$B$6:$B$1005,MATCH($B120,'商品マスタ'!$M$6:$M$1005,0)),IF($B120&lt;='設定'!$C$20+'設定'!$C$17,INDEX('①在庫を貼る'!$W$6:$W$10005,MATCH($B120-'設定'!$C$20,'①在庫を貼る'!$U$6:$U$10005,0)),IF($B120&lt;='設定'!$C$20+'設定'!$C$17+'設定'!$C$18,INDEX('月1回_1ヶ月前の在庫'!$W$6:$W$10005,MATCH($B120-'設定'!$C$20-'設定'!$C$17,'月1回_1ヶ月前の在庫'!$U$6:$U$10005,0)),INDEX('月1回_2ヶ月前の在庫'!$W$6:$W$10005,MATCH($B120-'設定'!$C$20-'設定'!$C$17-'設定'!$C$18,'月1回_2ヶ月前の在庫'!$U$6:$U$10005,0))))))</f>
        <v/>
      </c>
      <c r="D120">
        <f>IF($C120="","",IFERROR(IF(INDEX('商品マスタ'!$C$6:$C$1005,MATCH($C120,'商品マスタ'!$B$6:$B$1005,0))="",IFERROR(INDEX('①在庫を貼る'!$J$6:$J$10005,MATCH($C120,'①在庫を貼る'!$W$6:$W$10005,0)),IFERROR(INDEX('月1回_1ヶ月前の在庫'!$J$6:$J$10005,MATCH($C120,'月1回_1ヶ月前の在庫'!$W$6:$W$10005,0)),IFERROR(INDEX('月1回_2ヶ月前の在庫'!$J$6:$J$10005,MATCH($C120,'月1回_2ヶ月前の在庫'!$W$6:$W$10005,0)),""))),INDEX('商品マスタ'!$C$6:$C$1005,MATCH($C120,'商品マスタ'!$B$6:$B$1005,0))),IFERROR(INDEX('①在庫を貼る'!$J$6:$J$10005,MATCH($C120,'①在庫を貼る'!$W$6:$W$10005,0)),IFERROR(INDEX('月1回_1ヶ月前の在庫'!$J$6:$J$10005,MATCH($C120,'月1回_1ヶ月前の在庫'!$W$6:$W$10005,0)),IFERROR(INDEX('月1回_2ヶ月前の在庫'!$J$6:$J$10005,MATCH($C120,'月1回_2ヶ月前の在庫'!$W$6:$W$10005,0)),"")))))</f>
        <v/>
      </c>
      <c r="E120">
        <f>IF($C120="","",IFERROR(IF(INDEX('商品マスタ'!$D$6:$D$1005,MATCH($C120,'商品マスタ'!$B$6:$B$1005,0))="",IFERROR(INDEX('①在庫を貼る'!$H$6:$H$10005,MATCH($C120,'①在庫を貼る'!$W$6:$W$10005,0)),IFERROR(INDEX('月1回_1ヶ月前の在庫'!$H$6:$H$10005,MATCH($C120,'月1回_1ヶ月前の在庫'!$W$6:$W$10005,0)),IFERROR(INDEX('月1回_2ヶ月前の在庫'!$H$6:$H$10005,MATCH($C120,'月1回_2ヶ月前の在庫'!$W$6:$W$10005,0)),""))),INDEX('商品マスタ'!$D$6:$D$1005,MATCH($C120,'商品マスタ'!$B$6:$B$1005,0))),IFERROR(INDEX('①在庫を貼る'!$H$6:$H$10005,MATCH($C120,'①在庫を貼る'!$W$6:$W$10005,0)),IFERROR(INDEX('月1回_1ヶ月前の在庫'!$H$6:$H$10005,MATCH($C120,'月1回_1ヶ月前の在庫'!$W$6:$W$10005,0)),IFERROR(INDEX('月1回_2ヶ月前の在庫'!$H$6:$H$10005,MATCH($C120,'月1回_2ヶ月前の在庫'!$W$6:$W$10005,0)),"")))))</f>
        <v/>
      </c>
      <c r="F120">
        <f>IF($C120="","",IFERROR(IF(INDEX('商品マスタ'!$E$6:$E$1005,MATCH($C120,'商品マスタ'!$B$6:$B$1005,0))="",IFERROR(INDEX('①在庫を貼る'!$E$6:$E$10005,MATCH($C120,'①在庫を貼る'!$W$6:$W$10005,0)),IFERROR(INDEX('月1回_1ヶ月前の在庫'!$E$6:$E$10005,MATCH($C120,'月1回_1ヶ月前の在庫'!$W$6:$W$10005,0)),IFERROR(INDEX('月1回_2ヶ月前の在庫'!$E$6:$E$10005,MATCH($C120,'月1回_2ヶ月前の在庫'!$W$6:$W$10005,0)),""))),INDEX('商品マスタ'!$E$6:$E$1005,MATCH($C120,'商品マスタ'!$B$6:$B$1005,0))),IFERROR(INDEX('①在庫を貼る'!$E$6:$E$10005,MATCH($C120,'①在庫を貼る'!$W$6:$W$10005,0)),IFERROR(INDEX('月1回_1ヶ月前の在庫'!$E$6:$E$10005,MATCH($C120,'月1回_1ヶ月前の在庫'!$W$6:$W$10005,0)),IFERROR(INDEX('月1回_2ヶ月前の在庫'!$E$6:$E$10005,MATCH($C120,'月1回_2ヶ月前の在庫'!$W$6:$W$10005,0)),"")))))</f>
        <v/>
      </c>
      <c r="G120">
        <f>IF($C120="","",MAX(1,N(IFERROR(IF(INDEX('商品マスタ'!$F$6:$F$1005,MATCH($C120,'商品マスタ'!$B$6:$B$1005,0))="",IF(COUNTIFS('①在庫を貼る'!$V$6:$V$10005,'設定'!$C$4,'①在庫を貼る'!$W$6:$W$10005,$C120)&gt;0,SUMIFS('①在庫を貼る'!$K$6:$K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K$6:$K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K$6:$K$10005,'月1回_2ヶ月前の在庫'!$V$6:$V$10005,'設定'!$C$4,'月1回_2ヶ月前の在庫'!$W$6:$W$10005,$C120)/COUNTIFS('月1回_2ヶ月前の在庫'!$V$6:$V$10005,'設定'!$C$4,'月1回_2ヶ月前の在庫'!$W$6:$W$10005,$C120),0))),INDEX('商品マスタ'!$F$6:$F$1005,MATCH($C120,'商品マスタ'!$B$6:$B$1005,0))),IF(COUNTIFS('①在庫を貼る'!$V$6:$V$10005,'設定'!$C$4,'①在庫を貼る'!$W$6:$W$10005,$C120)&gt;0,SUMIFS('①在庫を貼る'!$K$6:$K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K$6:$K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K$6:$K$10005,'月1回_2ヶ月前の在庫'!$V$6:$V$10005,'設定'!$C$4,'月1回_2ヶ月前の在庫'!$W$6:$W$10005,$C120)/COUNTIFS('月1回_2ヶ月前の在庫'!$V$6:$V$10005,'設定'!$C$4,'月1回_2ヶ月前の在庫'!$W$6:$W$10005,$C120),0)))))))</f>
        <v/>
      </c>
      <c r="H120">
        <f>IF($C120="","",N(IFERROR(IF(INDEX('商品マスタ'!$G$6:$G$1005,MATCH($C120,'商品マスタ'!$B$6:$B$1005,0))="",IF(COUNTIFS('①在庫を貼る'!$V$6:$V$10005,'設定'!$C$4,'①在庫を貼る'!$W$6:$W$10005,$C120)&gt;0,SUMIFS('①在庫を貼る'!$Q$6:$Q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Q$6:$Q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Q$6:$Q$10005,'月1回_2ヶ月前の在庫'!$V$6:$V$10005,'設定'!$C$4,'月1回_2ヶ月前の在庫'!$W$6:$W$10005,$C120)/COUNTIFS('月1回_2ヶ月前の在庫'!$V$6:$V$10005,'設定'!$C$4,'月1回_2ヶ月前の在庫'!$W$6:$W$10005,$C120),0))),INDEX('商品マスタ'!$G$6:$G$1005,MATCH($C120,'商品マスタ'!$B$6:$B$1005,0))),IF(COUNTIFS('①在庫を貼る'!$V$6:$V$10005,'設定'!$C$4,'①在庫を貼る'!$W$6:$W$10005,$C120)&gt;0,SUMIFS('①在庫を貼る'!$Q$6:$Q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Q$6:$Q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Q$6:$Q$10005,'月1回_2ヶ月前の在庫'!$V$6:$V$10005,'設定'!$C$4,'月1回_2ヶ月前の在庫'!$W$6:$W$10005,$C120)/COUNTIFS('月1回_2ヶ月前の在庫'!$V$6:$V$10005,'設定'!$C$4,'月1回_2ヶ月前の在庫'!$W$6:$W$10005,$C120),0))))))</f>
        <v/>
      </c>
      <c r="I120">
        <f>IF($C120="","",IF(COUNTIFS('①在庫を貼る'!$V$6:$V$10005,'設定'!$C$4,'①在庫を貼る'!$W$6:$W$10005,$C120)=0,"",SUMIFS('①在庫を貼る'!$N$6:$N$10005,'①在庫を貼る'!$V$6:$V$10005,'設定'!$C$4,'①在庫を貼る'!$W$6:$W$10005,$C120)))</f>
        <v/>
      </c>
      <c r="J120">
        <f>IF($C120="","",IF('②発注する'!$AD124="","",'②発注する'!$AD124))</f>
        <v/>
      </c>
      <c r="K120" s="90">
        <f>IF($C120="","",IF('②発注する'!$AE124="","",'②発注する'!$AE124))</f>
        <v/>
      </c>
      <c r="L120">
        <f>IF($C120="","",IF(AND(ISNUMBER($J120),ISNUMBER($K120),$K120&gt;='設定'!$C$6),$J120,N($I120)))</f>
        <v/>
      </c>
      <c r="M120">
        <f>IF($C120="","",IFERROR(IF(N(INDEX('商品マスタ'!$J$6:$J$1005,MATCH($C120,'商品マスタ'!$B$6:$B$1005,0)))&gt;0,INDEX('商品マスタ'!$J$6:$J$1005,MATCH($C120,'商品マスタ'!$B$6:$B$1005,0)),""),""))</f>
        <v/>
      </c>
      <c r="N120">
        <f>IF($C120="","",IFERROR(IF(N(INDEX('商品マスタ'!$H$6:$H$1005,MATCH($C120,'商品マスタ'!$B$6:$B$1005,0)))&gt;0,INDEX('商品マスタ'!$H$6:$H$1005,MATCH($C120,'商品マスタ'!$B$6:$B$1005,0)),""),""))</f>
        <v/>
      </c>
      <c r="O120">
        <f>IF($C120="","",IF($N120&lt;&gt;"",$N120*$G120,IF(N(IF(COUNTIFS('①在庫を貼る'!$V$6:$V$10005,'設定'!$C$4,'①在庫を貼る'!$W$6:$W$10005,$C120)&gt;0,SUMIFS('①在庫を貼る'!$O$6:$O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O$6:$O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O$6:$O$10005,'月1回_2ヶ月前の在庫'!$V$6:$V$10005,'設定'!$C$4,'月1回_2ヶ月前の在庫'!$W$6:$W$10005,$C120)/COUNTIFS('月1回_2ヶ月前の在庫'!$V$6:$V$10005,'設定'!$C$4,'月1回_2ヶ月前の在庫'!$W$6:$W$10005,$C120),0))))&gt;0,N(IF(COUNTIFS('①在庫を貼る'!$V$6:$V$10005,'設定'!$C$4,'①在庫を貼る'!$W$6:$W$10005,$C120)&gt;0,SUMIFS('①在庫を貼る'!$O$6:$O$10005,'①在庫を貼る'!$V$6:$V$10005,'設定'!$C$4,'①在庫を貼る'!$W$6:$W$10005,$C120)/COUNTIFS('①在庫を貼る'!$V$6:$V$10005,'設定'!$C$4,'①在庫を貼る'!$W$6:$W$10005,$C120),IF(COUNTIFS('月1回_1ヶ月前の在庫'!$V$6:$V$10005,'設定'!$C$4,'月1回_1ヶ月前の在庫'!$W$6:$W$10005,$C120)&gt;0,SUMIFS('月1回_1ヶ月前の在庫'!$O$6:$O$10005,'月1回_1ヶ月前の在庫'!$V$6:$V$10005,'設定'!$C$4,'月1回_1ヶ月前の在庫'!$W$6:$W$10005,$C120)/COUNTIFS('月1回_1ヶ月前の在庫'!$V$6:$V$10005,'設定'!$C$4,'月1回_1ヶ月前の在庫'!$W$6:$W$10005,$C120),IF(COUNTIFS('月1回_2ヶ月前の在庫'!$V$6:$V$10005,'設定'!$C$4,'月1回_2ヶ月前の在庫'!$W$6:$W$10005,$C120)&gt;0,SUMIFS('月1回_2ヶ月前の在庫'!$O$6:$O$10005,'月1回_2ヶ月前の在庫'!$V$6:$V$10005,'設定'!$C$4,'月1回_2ヶ月前の在庫'!$W$6:$W$10005,$C120)/COUNTIFS('月1回_2ヶ月前の在庫'!$V$6:$V$10005,'設定'!$C$4,'月1回_2ヶ月前の在庫'!$W$6:$W$10005,$C120),0)))),"")))</f>
        <v/>
      </c>
      <c r="P120" s="90">
        <f>IF($C120="","",IF('②発注する'!$I124="","",'②発注する'!$I124))</f>
        <v/>
      </c>
      <c r="Q120">
        <f>IF($C120="","",IF('②発注する'!$J124="","",'②発注する'!$J124))</f>
        <v/>
      </c>
      <c r="R120">
        <f>IF($C120="",0,IF(AND(ISNUMBER($P120),ISNUMBER($Q120)),MAX(0,$Q120)*$G120,0))</f>
        <v/>
      </c>
      <c r="S120" s="90">
        <f>IF($C120="","",IF('②発注する'!$M124="","",'②発注する'!$M124))</f>
        <v/>
      </c>
      <c r="T120">
        <f>IF($C120="","",IF('②発注する'!$N124="","",'②発注する'!$N124))</f>
        <v/>
      </c>
      <c r="U120">
        <f>IF($C120="",0,IF(AND(ISNUMBER($S120),ISNUMBER($T120)),MAX(0,$T120)*$G120,0))</f>
        <v/>
      </c>
      <c r="V120">
        <f>IF($C120="",0,IF($M120="",0,MAX(0,$M120)*MAX(0,V$4)/100))</f>
        <v/>
      </c>
      <c r="W120">
        <f>IF($C120="",0,IF($M120="",0,MAX(0,$M120)*MAX(0,W$4)/100))</f>
        <v/>
      </c>
      <c r="X120">
        <f>IF($C120="",0,IF($M120="",0,MAX(0,$M120)*MAX(0,X$4)/100))</f>
        <v/>
      </c>
      <c r="Y120">
        <f>IF($C120="",0,IF($M120="",0,MAX(0,$M120)*MAX(0,Y$4)/100))</f>
        <v/>
      </c>
      <c r="Z120">
        <f>IF($C120="",0,IF($M120="",0,MAX(0,$M120)*MAX(0,Z$4)/100))</f>
        <v/>
      </c>
      <c r="AA120">
        <f>IF($C120="",0,IF($M120="",0,MAX(0,$M120)*MAX(0,AA$4)/100))</f>
        <v/>
      </c>
      <c r="AB120">
        <f>IF($C120="",0,IF($M120="",0,MAX(0,$M120)*MAX(0,AB$4)/100))</f>
        <v/>
      </c>
      <c r="AC120">
        <f>IF($C120="",0,IF($M120="",0,MAX(0,$M120)*MAX(0,AC$4)/100))</f>
        <v/>
      </c>
      <c r="AD120">
        <f>IF($C120="",0,IF($M120="",0,MAX(0,$M120)*MAX(0,AD$4)/100))</f>
        <v/>
      </c>
      <c r="AE120">
        <f>IF($C120="",0,IF($M120="",0,MAX(0,$M120)*MAX(0,AE$4)/100))</f>
        <v/>
      </c>
      <c r="AF120">
        <f>IF($C120="",0,IF($M120="",0,MAX(0,$M120)*MAX(0,AF$4)/100))</f>
        <v/>
      </c>
      <c r="AG120">
        <f>IF($C120="",0,IF($M120="",0,MAX(0,$M120)*MAX(0,AG$4)/100))</f>
        <v/>
      </c>
      <c r="AH120">
        <f>IF($C120="",0,IF($M120="",0,MAX(0,$M120)*MAX(0,AH$4)/100))</f>
        <v/>
      </c>
      <c r="AI120">
        <f>IF($C120="",0,IF($M120="",0,MAX(0,$M120)*MAX(0,AI$4)/100))</f>
        <v/>
      </c>
      <c r="AJ120">
        <f>IF($C120="",0,MAX(0,MAX(0,N($L120))-$V120))</f>
        <v/>
      </c>
      <c r="AK120">
        <f>IF($C120="",0,MAX(0,$AJ120-$W120))</f>
        <v/>
      </c>
      <c r="AL120">
        <f>IF($C120="",0,MAX(0,$AK120-$X120))</f>
        <v/>
      </c>
      <c r="AM120">
        <f>IF($C120="",0,MAX(0,$AL120-$Y120))</f>
        <v/>
      </c>
      <c r="AN120">
        <f>IF($C120="",0,MAX(0,$AM120-$Z120))</f>
        <v/>
      </c>
      <c r="AO120">
        <f>IF($C120="",0,MAX(0,$AN120-$AA120))</f>
        <v/>
      </c>
      <c r="AP120">
        <f>IF($C120="",0,MAX(0,$AO120-$AB120))</f>
        <v/>
      </c>
      <c r="AQ120">
        <f>IF($C120="",0,MAX(0,$AP120-$AC120))</f>
        <v/>
      </c>
      <c r="AR120">
        <f>IF($C120="",0,MAX(0,$AQ120-$AD120))</f>
        <v/>
      </c>
      <c r="AS120">
        <f>IF($C120="",0,MAX(0,$AR120-$AE120))</f>
        <v/>
      </c>
      <c r="AT120">
        <f>IF($C120="",0,MAX(0,$AS120-$AF120))</f>
        <v/>
      </c>
      <c r="AU120">
        <f>IF($C120="",0,MAX(0,$AT120-$AG120))</f>
        <v/>
      </c>
      <c r="AV120">
        <f>IF($C120="",0,MAX(0,$AU120-$AH120))</f>
        <v/>
      </c>
      <c r="AW120">
        <f>IF($C120="",0,MAX(0,$AV120-$AI120))</f>
        <v/>
      </c>
      <c r="AX120">
        <f>IF($C120="",0,MAX(0,MAX(0,N($L120))+IF($P120=V$3,$R120,0)+IF($S120=V$3,$U120,0)-$V120))</f>
        <v/>
      </c>
      <c r="AY120">
        <f>IF($C120="",0,MAX(0,$AX120+IF($P120=W$3,$R120,0)+IF($S120=W$3,$U120,0)-$W120))</f>
        <v/>
      </c>
      <c r="AZ120">
        <f>IF($C120="",0,MAX(0,$AY120+IF($P120=X$3,$R120,0)+IF($S120=X$3,$U120,0)-$X120))</f>
        <v/>
      </c>
      <c r="BA120">
        <f>IF($C120="",0,MAX(0,$AZ120+IF($P120=Y$3,$R120,0)+IF($S120=Y$3,$U120,0)-$Y120))</f>
        <v/>
      </c>
      <c r="BB120">
        <f>IF($C120="",0,MAX(0,$BA120+IF($P120=Z$3,$R120,0)+IF($S120=Z$3,$U120,0)-$Z120))</f>
        <v/>
      </c>
      <c r="BC120">
        <f>IF($C120="",0,MAX(0,$BB120+IF($P120=AA$3,$R120,0)+IF($S120=AA$3,$U120,0)-$AA120))</f>
        <v/>
      </c>
      <c r="BD120">
        <f>IF($C120="",0,MAX(0,$BC120+IF($P120=AB$3,$R120,0)+IF($S120=AB$3,$U120,0)-$AB120))</f>
        <v/>
      </c>
      <c r="BE120">
        <f>IF($C120="",0,MAX(0,$BD120+IF($P120=AC$3,$R120,0)+IF($S120=AC$3,$U120,0)-$AC120))</f>
        <v/>
      </c>
      <c r="BF120">
        <f>IF($C120="",0,MAX(0,$BE120+IF($P120=AD$3,$R120,0)+IF($S120=AD$3,$U120,0)-$AD120))</f>
        <v/>
      </c>
      <c r="BG120">
        <f>IF($C120="",0,MAX(0,$BF120+IF($P120=AE$3,$R120,0)+IF($S120=AE$3,$U120,0)-$AE120))</f>
        <v/>
      </c>
      <c r="BH120">
        <f>IF($C120="",0,MAX(0,$BG120+IF($P120=AF$3,$R120,0)+IF($S120=AF$3,$U120,0)-$AF120))</f>
        <v/>
      </c>
      <c r="BI120">
        <f>IF($C120="",0,MAX(0,$BH120+IF($P120=AG$3,$R120,0)+IF($S120=AG$3,$U120,0)-$AG120))</f>
        <v/>
      </c>
      <c r="BJ120">
        <f>IF($C120="",0,MAX(0,$BI120+IF($P120=AH$3,$R120,0)+IF($S120=AH$3,$U120,0)-$AH120))</f>
        <v/>
      </c>
      <c r="BK120">
        <f>IF($C120="",0,MAX(0,$BJ120+IF($P120=AI$3,$R120,0)+IF($S120=AI$3,$U120,0)-$AI120))</f>
        <v/>
      </c>
      <c r="BL120">
        <f>IF($C120="",99,IF(AND($AX120&lt;1,V$3&gt;=MAX(N($P120),N($S120))),0,99))</f>
        <v/>
      </c>
      <c r="BM120">
        <f>IF($C120="",99,IF(AND($AY120&lt;1,W$3&gt;=MAX(N($P120),N($S120))),1,99))</f>
        <v/>
      </c>
      <c r="BN120">
        <f>IF($C120="",99,IF(AND($AZ120&lt;1,X$3&gt;=MAX(N($P120),N($S120))),2,99))</f>
        <v/>
      </c>
      <c r="BO120">
        <f>IF($C120="",99,IF(AND($BA120&lt;1,Y$3&gt;=MAX(N($P120),N($S120))),3,99))</f>
        <v/>
      </c>
      <c r="BP120">
        <f>IF($C120="",99,IF(AND($BB120&lt;1,Z$3&gt;=MAX(N($P120),N($S120))),4,99))</f>
        <v/>
      </c>
      <c r="BQ120">
        <f>IF($C120="",99,IF(AND($BC120&lt;1,AA$3&gt;=MAX(N($P120),N($S120))),5,99))</f>
        <v/>
      </c>
      <c r="BR120">
        <f>IF($C120="",99,IF(AND($BD120&lt;1,AB$3&gt;=MAX(N($P120),N($S120))),6,99))</f>
        <v/>
      </c>
      <c r="BS120">
        <f>IF($C120="",99,IF(AND($BE120&lt;1,AC$3&gt;=MAX(N($P120),N($S120))),7,99))</f>
        <v/>
      </c>
      <c r="BT120">
        <f>IF($C120="",99,IF(AND($BF120&lt;1,AD$3&gt;=MAX(N($P120),N($S120))),8,99))</f>
        <v/>
      </c>
      <c r="BU120">
        <f>IF($C120="",99,IF(AND($BG120&lt;1,AE$3&gt;=MAX(N($P120),N($S120))),9,99))</f>
        <v/>
      </c>
      <c r="BV120">
        <f>IF($C120="",99,IF(AND($BH120&lt;1,AF$3&gt;=MAX(N($P120),N($S120))),10,99))</f>
        <v/>
      </c>
      <c r="BW120">
        <f>IF($C120="",99,IF(AND($BI120&lt;1,AG$3&gt;=MAX(N($P120),N($S120))),11,99))</f>
        <v/>
      </c>
      <c r="BX120">
        <f>IF($C120="",99,IF(AND($BJ120&lt;1,AH$3&gt;=MAX(N($P120),N($S120))),12,99))</f>
        <v/>
      </c>
      <c r="BY120">
        <f>IF($C120="",99,IF(AND($BK120&lt;1,AI$3&gt;=MAX(N($P120),N($S120))),13,99))</f>
        <v/>
      </c>
      <c r="BZ120">
        <f>IF(OR($C120="",$M120=""),"",COUNTIF($AJ120:$AW120,"&gt;=1"))</f>
        <v/>
      </c>
      <c r="CA120" s="90">
        <f>IF($BZ120="","",IF($BZ120&gt;=14,"",'設定'!$C$6+$BZ120))</f>
        <v/>
      </c>
      <c r="CB120">
        <f>IF(OR($C120="",$M120=""),"",MIN($BL120:$BY120))</f>
        <v/>
      </c>
      <c r="CC120" s="90">
        <f>IF($CB120="","",IF($CB120&gt;=99,"",'設定'!$C$6+$CB120))</f>
        <v/>
      </c>
      <c r="CD120">
        <f>IF(OR($C120="",$M120=""),"",AVERAGE($V120:$AI120))</f>
        <v/>
      </c>
      <c r="CE120">
        <f>IF($C120="","",IFERROR(IF(MATCH(IF(ISNUMBER($P120),$P120,'設定'!$C$6+N('設定'!$C$7)),$V$3:$AI$3,0)=1,MAX(0,N($L120)),INDEX($AJ120:$AW120,MATCH(IF(ISNUMBER($P120),$P120,'設定'!$C$6+N('設定'!$C$7)),$V$3:$AI$3,0)-1)),""))</f>
        <v/>
      </c>
      <c r="CF120">
        <f>IF(OR($C120="",$O120="",$CE120=""),"",IF($O120-$CE120&lt;=0,0,ROUNDUP(($O120-$CE120)/$G120,0)))</f>
        <v/>
      </c>
      <c r="CG120">
        <f>IF(OR($C120="",$CF120="",NOT(ISNUMBER($Q120))),0,MAX(0,$Q120-$CF120))</f>
        <v/>
      </c>
      <c r="CH120">
        <f>IF(OR($C120="",$O120="",$U120=0),0,IFERROR(ROUNDUP(MAX(0,IF(MATCH($S120,$V$3:$AI$3,0)=1,MAX(0,N($L120)),INDEX($AX120:$BK120,MATCH($S120,$V$3:$AI$3,0)-1))+$U120-$O120)/$G120,0),0))</f>
        <v/>
      </c>
      <c r="CI120">
        <f>IF($C120="","",IF(AND($P120="",$Q120=""),"",IF($P120="","⚠ 入庫日を ▼ から選んでください",IF(NOT(ISNUMBER($P120)),"⚠ 入庫日は ▼ から選んでください",IF($P120&lt;N('設定'!$C$6),"⚠ 入庫日が過去です（もう在庫に入っています）→ 消してください",IF($P120&gt;N('設定'!$C$6)+13,"⚠ 入庫日が14日より先です",IF(N($Q120)&lt;=0,"⚠ 入庫数を入れてください",IF($CG120&gt;0,"⚠ 目安より "&amp;$CG120&amp;" 多い（定数を超える）→ 減らす",""))))))))</f>
        <v/>
      </c>
      <c r="CJ120">
        <f>IF($C120="","",IF(AND($S120="",$T120=""),"",IF($S120="","⚠ 2便目：入庫日を ▼ から選んでください",IF(NOT(ISNUMBER($S120)),"⚠ 2便目：入庫日は ▼ から選んでください",IF($S120&lt;N('設定'!$C$6),"⚠ 2便目：入庫日が過去です（もう在庫に入っています）→ 消してください",IF($S120&gt;N('設定'!$C$6)+13,"⚠ 2便目：入庫日が14日より先です",IF(N($T120)&lt;=0,"⚠ 2便目：入庫数を入れてください",IF($CH120&gt;0,"⚠ 2便目：定数を "&amp;$CH120&amp;" ケース超える → 減らす",""))))))))</f>
        <v/>
      </c>
      <c r="CK120">
        <f>IF(AND($CI120="",N($Q120)&gt;0,ISNUMBER($P120)),1,0)</f>
        <v/>
      </c>
      <c r="CL120">
        <f>IF(AND($CJ120="",N($T120)&gt;0,ISNUMBER($S120)),1,0)</f>
        <v/>
      </c>
      <c r="CM120">
        <f>IF(OR($CK120=1,$CL120=1),1,0)</f>
        <v/>
      </c>
      <c r="CN120">
        <f>IF($C120="",0,($CK120*$R120+$CL120*$U120)*N($H120))</f>
        <v/>
      </c>
      <c r="CO120">
        <f>IF($C120="","",IF($CC120="","入庫後は 14日以上もつ",IF($CC120-N('設定'!$C$7)&lt;='設定'!$C$6,"入庫後も "&amp;TEXT($CC120,"m/d")&amp;"("&amp;CHOOSE(WEEKDAY($CC120),"日","月","火","水","木","金","土")&amp;")"&amp;" に切れる　もう1便を至急発注","入庫後も "&amp;TEXT($CC120,"m/d")&amp;"("&amp;CHOOSE(WEEKDAY($CC120),"日","月","火","水","木","金","土")&amp;")"&amp;" に切れる　"&amp;TEXT($CC120-N('設定'!$C$7),"m/d")&amp;"("&amp;CHOOSE(WEEKDAY($CC120-N('設定'!$C$7)),"日","月","火","水","木","金","土")&amp;")"&amp;" までに次を発注")))</f>
        <v/>
      </c>
      <c r="CP120">
        <f>IF($C120="","",IF('設定'!$C$6="","？ ①在庫を貼る に今日のCSVが貼られていない",IF($CS120=1,"－ 今日のCSVに無い（終売？）",IF($L120&lt;0,"● 在庫がマイナス　数えて「数えた在庫」に入れる",IF($L120=0,"● 在庫なし　至急発注",IF($M120="","？ 減り数が未設定（商品マスタ）",IF($B$3=0,"？ 動員が未入力（動員を入れる）",IF($CA120="","○ 14日以上もつ",IF($BZ120&lt;N('設定'!$C$7),"● "&amp;TEXT($CA120,"m/d")&amp;"("&amp;CHOOSE(WEEKDAY($CA120),"日","月","火","水","木","金","土")&amp;")"&amp;" に切れる　至急発注",IF($BZ120=N('設定'!$C$7),"● "&amp;TEXT($CA120,"m/d")&amp;"("&amp;CHOOSE(WEEKDAY($CA120),"日","月","火","水","木","金","土")&amp;")"&amp;" に切れる　今日発注","△ "&amp;TEXT($CA120,"m/d")&amp;"("&amp;CHOOSE(WEEKDAY($CA120),"日","月","火","水","木","金","土")&amp;")"&amp;" に切れる　"&amp;TEXT($CA120-N('設定'!$C$7),"m/d")&amp;"("&amp;CHOOSE(WEEKDAY($CA120-N('設定'!$C$7)),"日","月","火","水","木","金","土")&amp;")"&amp;" までに発注"))))))))))</f>
        <v/>
      </c>
      <c r="CQ120">
        <f>IF($C120="","",IF(AND($P120="",$Q120="",$S120="",$T120=""),"",IF(AND($P120="",$Q120=""),"⚠ 先に1便目（左の入庫日・入庫数）に入れてください",IF($CI120&lt;&gt;"",$CI120,IF($CJ120&lt;&gt;"",$CJ120,IF($M120="","？ 減り数が未設定（発注書には載ります）",IF($B$3=0,"？ 動員が未入力（発注書には載ります）",IF(AND($CA120&lt;&gt;"",$P120&gt;$CA120),IF($P120&gt;'設定'!$C$6+N('設定'!$C$7),"● "&amp;TEXT($P120,"m/d")&amp;"("&amp;CHOOSE(WEEKDAY($P120),"日","月","火","水","木","金","土")&amp;")"&amp;" の入庫では間に合わない（"&amp;TEXT($CA120,"m/d")&amp;"("&amp;CHOOSE(WEEKDAY($CA120),"日","月","火","水","木","金","土")&amp;")"&amp;" に切れる）　入庫日を早める","△ 欠品 "&amp;TEXT($CA120,"m/d")&amp;"("&amp;CHOOSE(WEEKDAY($CA120),"日","月","火","水","木","金","土")&amp;")"&amp;"〜"&amp;TEXT($P120-1,"m/d")&amp;"("&amp;CHOOSE(WEEKDAY($P120-1),"日","月","火","水","木","金","土")&amp;")"&amp;"　"&amp;$CO120),IF($CC120="","○ "&amp;TEXT($P120,"m/d")&amp;"("&amp;CHOOSE(WEEKDAY($P120),"日","月","火","水","木","金","土")&amp;")"&amp;" 入庫で 14日以上もつ",IF($CC120-N('設定'!$C$7)&lt;='設定'!$C$6,"● 入庫しても "&amp;TEXT($CC120,"m/d")&amp;"("&amp;CHOOSE(WEEKDAY($CC120),"日","月","火","水","木","金","土")&amp;")"&amp;" に切れる　もう1便を至急発注（2便目に入れる）","△ 入庫しても "&amp;TEXT($CC120,"m/d")&amp;"("&amp;CHOOSE(WEEKDAY($CC120),"日","月","火","水","木","金","土")&amp;")"&amp;" に切れる　"&amp;TEXT($CC120-N('設定'!$C$7),"m/d")&amp;"("&amp;CHOOSE(WEEKDAY($CC120-N('設定'!$C$7)),"日","月","火","水","木","金","土")&amp;")"&amp;" までに次を発注（2便目に入れる）"))))))))))</f>
        <v/>
      </c>
      <c r="CR120">
        <f>IF($C120="","",IF($G120&gt;1,"ｹｰｽ("&amp;$G120&amp;"入)","個"))</f>
        <v/>
      </c>
      <c r="CS120">
        <f>IF($C120="",0,IF(COUNTIFS('①在庫を貼る'!$V$6:$V$10005,'設定'!$C$4,'①在庫を貼る'!$W$6:$W$10005,$C120)=0,1,0))</f>
        <v/>
      </c>
      <c r="CT120">
        <f>IF(AND($CK120=1,OR('③発注書'!$C$4="すべて",'③発注書'!$C$4="",$F120='③発注書'!$C$4)),N($CT119)+1,N($CT119))</f>
        <v/>
      </c>
      <c r="CU120">
        <f>IF(AND($CL120=1,OR('③発注書'!$C$4="すべて",'③発注書'!$C$4="",$F120='③発注書'!$C$4)),N($CU119)+1,N($CU119))</f>
        <v/>
      </c>
      <c r="CV120">
        <f>IF($C120="",0,IF(COUNTIFS('①在庫を貼る'!$V$6:$V$10005,'設定'!$C$4,'①在庫を貼る'!$W$6:$W$10005,$C120)&gt;0,1,0))</f>
        <v/>
      </c>
      <c r="CW120">
        <f>IF($C120="",0,IF(COUNTIFS('月1回_1ヶ月前の在庫'!$V$6:$V$10005,'設定'!$C$4,'月1回_1ヶ月前の在庫'!$W$6:$W$10005,$C120)&gt;0,1,0))</f>
        <v/>
      </c>
      <c r="CX120">
        <f>IF($C120="",0,IF(COUNTIFS('月1回_2ヶ月前の在庫'!$V$6:$V$10005,'設定'!$C$4,'月1回_2ヶ月前の在庫'!$W$6:$W$10005,$C120)&gt;0,1,0))</f>
        <v/>
      </c>
      <c r="CY120">
        <f>IF(OR($C120="",'設定'!$C$12=""),"",IF('設定'!$C$13="",IF(AND($CV120=1,$CW120=0),"新商品（今月から）",IF(AND($CV120=0,$CW120=1),"終売（今月から）","")),IF(AND($CV120=1,$CW120=0,$CX120=0),"新商品（今月から）",IF(AND($CV120=1,$CW120=1,$CX120=0),"新商品（先月から）",IF(AND($CV120=0,$CW120=1,$CX120=1),"終売（今月から）",IF(AND($CV120=0,$CW120=0,$CX120=1),"終売（先月から）",IF(AND($CV120=1,$CW120=0,$CX120=1),"復活（先月は無し）","")))))))</f>
        <v/>
      </c>
    </row>
    <row r="121">
      <c r="B121">
        <f>IF(116&lt;='設定'!$C$11,116,"")</f>
        <v/>
      </c>
      <c r="C121">
        <f>IF($B121="","",IF($B121&lt;='設定'!$C$20,INDEX('商品マスタ'!$B$6:$B$1005,MATCH($B121,'商品マスタ'!$M$6:$M$1005,0)),IF($B121&lt;='設定'!$C$20+'設定'!$C$17,INDEX('①在庫を貼る'!$W$6:$W$10005,MATCH($B121-'設定'!$C$20,'①在庫を貼る'!$U$6:$U$10005,0)),IF($B121&lt;='設定'!$C$20+'設定'!$C$17+'設定'!$C$18,INDEX('月1回_1ヶ月前の在庫'!$W$6:$W$10005,MATCH($B121-'設定'!$C$20-'設定'!$C$17,'月1回_1ヶ月前の在庫'!$U$6:$U$10005,0)),INDEX('月1回_2ヶ月前の在庫'!$W$6:$W$10005,MATCH($B121-'設定'!$C$20-'設定'!$C$17-'設定'!$C$18,'月1回_2ヶ月前の在庫'!$U$6:$U$10005,0))))))</f>
        <v/>
      </c>
      <c r="D121">
        <f>IF($C121="","",IFERROR(IF(INDEX('商品マスタ'!$C$6:$C$1005,MATCH($C121,'商品マスタ'!$B$6:$B$1005,0))="",IFERROR(INDEX('①在庫を貼る'!$J$6:$J$10005,MATCH($C121,'①在庫を貼る'!$W$6:$W$10005,0)),IFERROR(INDEX('月1回_1ヶ月前の在庫'!$J$6:$J$10005,MATCH($C121,'月1回_1ヶ月前の在庫'!$W$6:$W$10005,0)),IFERROR(INDEX('月1回_2ヶ月前の在庫'!$J$6:$J$10005,MATCH($C121,'月1回_2ヶ月前の在庫'!$W$6:$W$10005,0)),""))),INDEX('商品マスタ'!$C$6:$C$1005,MATCH($C121,'商品マスタ'!$B$6:$B$1005,0))),IFERROR(INDEX('①在庫を貼る'!$J$6:$J$10005,MATCH($C121,'①在庫を貼る'!$W$6:$W$10005,0)),IFERROR(INDEX('月1回_1ヶ月前の在庫'!$J$6:$J$10005,MATCH($C121,'月1回_1ヶ月前の在庫'!$W$6:$W$10005,0)),IFERROR(INDEX('月1回_2ヶ月前の在庫'!$J$6:$J$10005,MATCH($C121,'月1回_2ヶ月前の在庫'!$W$6:$W$10005,0)),"")))))</f>
        <v/>
      </c>
      <c r="E121">
        <f>IF($C121="","",IFERROR(IF(INDEX('商品マスタ'!$D$6:$D$1005,MATCH($C121,'商品マスタ'!$B$6:$B$1005,0))="",IFERROR(INDEX('①在庫を貼る'!$H$6:$H$10005,MATCH($C121,'①在庫を貼る'!$W$6:$W$10005,0)),IFERROR(INDEX('月1回_1ヶ月前の在庫'!$H$6:$H$10005,MATCH($C121,'月1回_1ヶ月前の在庫'!$W$6:$W$10005,0)),IFERROR(INDEX('月1回_2ヶ月前の在庫'!$H$6:$H$10005,MATCH($C121,'月1回_2ヶ月前の在庫'!$W$6:$W$10005,0)),""))),INDEX('商品マスタ'!$D$6:$D$1005,MATCH($C121,'商品マスタ'!$B$6:$B$1005,0))),IFERROR(INDEX('①在庫を貼る'!$H$6:$H$10005,MATCH($C121,'①在庫を貼る'!$W$6:$W$10005,0)),IFERROR(INDEX('月1回_1ヶ月前の在庫'!$H$6:$H$10005,MATCH($C121,'月1回_1ヶ月前の在庫'!$W$6:$W$10005,0)),IFERROR(INDEX('月1回_2ヶ月前の在庫'!$H$6:$H$10005,MATCH($C121,'月1回_2ヶ月前の在庫'!$W$6:$W$10005,0)),"")))))</f>
        <v/>
      </c>
      <c r="F121">
        <f>IF($C121="","",IFERROR(IF(INDEX('商品マスタ'!$E$6:$E$1005,MATCH($C121,'商品マスタ'!$B$6:$B$1005,0))="",IFERROR(INDEX('①在庫を貼る'!$E$6:$E$10005,MATCH($C121,'①在庫を貼る'!$W$6:$W$10005,0)),IFERROR(INDEX('月1回_1ヶ月前の在庫'!$E$6:$E$10005,MATCH($C121,'月1回_1ヶ月前の在庫'!$W$6:$W$10005,0)),IFERROR(INDEX('月1回_2ヶ月前の在庫'!$E$6:$E$10005,MATCH($C121,'月1回_2ヶ月前の在庫'!$W$6:$W$10005,0)),""))),INDEX('商品マスタ'!$E$6:$E$1005,MATCH($C121,'商品マスタ'!$B$6:$B$1005,0))),IFERROR(INDEX('①在庫を貼る'!$E$6:$E$10005,MATCH($C121,'①在庫を貼る'!$W$6:$W$10005,0)),IFERROR(INDEX('月1回_1ヶ月前の在庫'!$E$6:$E$10005,MATCH($C121,'月1回_1ヶ月前の在庫'!$W$6:$W$10005,0)),IFERROR(INDEX('月1回_2ヶ月前の在庫'!$E$6:$E$10005,MATCH($C121,'月1回_2ヶ月前の在庫'!$W$6:$W$10005,0)),"")))))</f>
        <v/>
      </c>
      <c r="G121">
        <f>IF($C121="","",MAX(1,N(IFERROR(IF(INDEX('商品マスタ'!$F$6:$F$1005,MATCH($C121,'商品マスタ'!$B$6:$B$1005,0))="",IF(COUNTIFS('①在庫を貼る'!$V$6:$V$10005,'設定'!$C$4,'①在庫を貼る'!$W$6:$W$10005,$C121)&gt;0,SUMIFS('①在庫を貼る'!$K$6:$K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K$6:$K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K$6:$K$10005,'月1回_2ヶ月前の在庫'!$V$6:$V$10005,'設定'!$C$4,'月1回_2ヶ月前の在庫'!$W$6:$W$10005,$C121)/COUNTIFS('月1回_2ヶ月前の在庫'!$V$6:$V$10005,'設定'!$C$4,'月1回_2ヶ月前の在庫'!$W$6:$W$10005,$C121),0))),INDEX('商品マスタ'!$F$6:$F$1005,MATCH($C121,'商品マスタ'!$B$6:$B$1005,0))),IF(COUNTIFS('①在庫を貼る'!$V$6:$V$10005,'設定'!$C$4,'①在庫を貼る'!$W$6:$W$10005,$C121)&gt;0,SUMIFS('①在庫を貼る'!$K$6:$K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K$6:$K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K$6:$K$10005,'月1回_2ヶ月前の在庫'!$V$6:$V$10005,'設定'!$C$4,'月1回_2ヶ月前の在庫'!$W$6:$W$10005,$C121)/COUNTIFS('月1回_2ヶ月前の在庫'!$V$6:$V$10005,'設定'!$C$4,'月1回_2ヶ月前の在庫'!$W$6:$W$10005,$C121),0)))))))</f>
        <v/>
      </c>
      <c r="H121">
        <f>IF($C121="","",N(IFERROR(IF(INDEX('商品マスタ'!$G$6:$G$1005,MATCH($C121,'商品マスタ'!$B$6:$B$1005,0))="",IF(COUNTIFS('①在庫を貼る'!$V$6:$V$10005,'設定'!$C$4,'①在庫を貼る'!$W$6:$W$10005,$C121)&gt;0,SUMIFS('①在庫を貼る'!$Q$6:$Q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Q$6:$Q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Q$6:$Q$10005,'月1回_2ヶ月前の在庫'!$V$6:$V$10005,'設定'!$C$4,'月1回_2ヶ月前の在庫'!$W$6:$W$10005,$C121)/COUNTIFS('月1回_2ヶ月前の在庫'!$V$6:$V$10005,'設定'!$C$4,'月1回_2ヶ月前の在庫'!$W$6:$W$10005,$C121),0))),INDEX('商品マスタ'!$G$6:$G$1005,MATCH($C121,'商品マスタ'!$B$6:$B$1005,0))),IF(COUNTIFS('①在庫を貼る'!$V$6:$V$10005,'設定'!$C$4,'①在庫を貼る'!$W$6:$W$10005,$C121)&gt;0,SUMIFS('①在庫を貼る'!$Q$6:$Q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Q$6:$Q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Q$6:$Q$10005,'月1回_2ヶ月前の在庫'!$V$6:$V$10005,'設定'!$C$4,'月1回_2ヶ月前の在庫'!$W$6:$W$10005,$C121)/COUNTIFS('月1回_2ヶ月前の在庫'!$V$6:$V$10005,'設定'!$C$4,'月1回_2ヶ月前の在庫'!$W$6:$W$10005,$C121),0))))))</f>
        <v/>
      </c>
      <c r="I121">
        <f>IF($C121="","",IF(COUNTIFS('①在庫を貼る'!$V$6:$V$10005,'設定'!$C$4,'①在庫を貼る'!$W$6:$W$10005,$C121)=0,"",SUMIFS('①在庫を貼る'!$N$6:$N$10005,'①在庫を貼る'!$V$6:$V$10005,'設定'!$C$4,'①在庫を貼る'!$W$6:$W$10005,$C121)))</f>
        <v/>
      </c>
      <c r="J121">
        <f>IF($C121="","",IF('②発注する'!$AD125="","",'②発注する'!$AD125))</f>
        <v/>
      </c>
      <c r="K121" s="90">
        <f>IF($C121="","",IF('②発注する'!$AE125="","",'②発注する'!$AE125))</f>
        <v/>
      </c>
      <c r="L121">
        <f>IF($C121="","",IF(AND(ISNUMBER($J121),ISNUMBER($K121),$K121&gt;='設定'!$C$6),$J121,N($I121)))</f>
        <v/>
      </c>
      <c r="M121">
        <f>IF($C121="","",IFERROR(IF(N(INDEX('商品マスタ'!$J$6:$J$1005,MATCH($C121,'商品マスタ'!$B$6:$B$1005,0)))&gt;0,INDEX('商品マスタ'!$J$6:$J$1005,MATCH($C121,'商品マスタ'!$B$6:$B$1005,0)),""),""))</f>
        <v/>
      </c>
      <c r="N121">
        <f>IF($C121="","",IFERROR(IF(N(INDEX('商品マスタ'!$H$6:$H$1005,MATCH($C121,'商品マスタ'!$B$6:$B$1005,0)))&gt;0,INDEX('商品マスタ'!$H$6:$H$1005,MATCH($C121,'商品マスタ'!$B$6:$B$1005,0)),""),""))</f>
        <v/>
      </c>
      <c r="O121">
        <f>IF($C121="","",IF($N121&lt;&gt;"",$N121*$G121,IF(N(IF(COUNTIFS('①在庫を貼る'!$V$6:$V$10005,'設定'!$C$4,'①在庫を貼る'!$W$6:$W$10005,$C121)&gt;0,SUMIFS('①在庫を貼る'!$O$6:$O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O$6:$O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O$6:$O$10005,'月1回_2ヶ月前の在庫'!$V$6:$V$10005,'設定'!$C$4,'月1回_2ヶ月前の在庫'!$W$6:$W$10005,$C121)/COUNTIFS('月1回_2ヶ月前の在庫'!$V$6:$V$10005,'設定'!$C$4,'月1回_2ヶ月前の在庫'!$W$6:$W$10005,$C121),0))))&gt;0,N(IF(COUNTIFS('①在庫を貼る'!$V$6:$V$10005,'設定'!$C$4,'①在庫を貼る'!$W$6:$W$10005,$C121)&gt;0,SUMIFS('①在庫を貼る'!$O$6:$O$10005,'①在庫を貼る'!$V$6:$V$10005,'設定'!$C$4,'①在庫を貼る'!$W$6:$W$10005,$C121)/COUNTIFS('①在庫を貼る'!$V$6:$V$10005,'設定'!$C$4,'①在庫を貼る'!$W$6:$W$10005,$C121),IF(COUNTIFS('月1回_1ヶ月前の在庫'!$V$6:$V$10005,'設定'!$C$4,'月1回_1ヶ月前の在庫'!$W$6:$W$10005,$C121)&gt;0,SUMIFS('月1回_1ヶ月前の在庫'!$O$6:$O$10005,'月1回_1ヶ月前の在庫'!$V$6:$V$10005,'設定'!$C$4,'月1回_1ヶ月前の在庫'!$W$6:$W$10005,$C121)/COUNTIFS('月1回_1ヶ月前の在庫'!$V$6:$V$10005,'設定'!$C$4,'月1回_1ヶ月前の在庫'!$W$6:$W$10005,$C121),IF(COUNTIFS('月1回_2ヶ月前の在庫'!$V$6:$V$10005,'設定'!$C$4,'月1回_2ヶ月前の在庫'!$W$6:$W$10005,$C121)&gt;0,SUMIFS('月1回_2ヶ月前の在庫'!$O$6:$O$10005,'月1回_2ヶ月前の在庫'!$V$6:$V$10005,'設定'!$C$4,'月1回_2ヶ月前の在庫'!$W$6:$W$10005,$C121)/COUNTIFS('月1回_2ヶ月前の在庫'!$V$6:$V$10005,'設定'!$C$4,'月1回_2ヶ月前の在庫'!$W$6:$W$10005,$C121),0)))),"")))</f>
        <v/>
      </c>
      <c r="P121" s="90">
        <f>IF($C121="","",IF('②発注する'!$I125="","",'②発注する'!$I125))</f>
        <v/>
      </c>
      <c r="Q121">
        <f>IF($C121="","",IF('②発注する'!$J125="","",'②発注する'!$J125))</f>
        <v/>
      </c>
      <c r="R121">
        <f>IF($C121="",0,IF(AND(ISNUMBER($P121),ISNUMBER($Q121)),MAX(0,$Q121)*$G121,0))</f>
        <v/>
      </c>
      <c r="S121" s="90">
        <f>IF($C121="","",IF('②発注する'!$M125="","",'②発注する'!$M125))</f>
        <v/>
      </c>
      <c r="T121">
        <f>IF($C121="","",IF('②発注する'!$N125="","",'②発注する'!$N125))</f>
        <v/>
      </c>
      <c r="U121">
        <f>IF($C121="",0,IF(AND(ISNUMBER($S121),ISNUMBER($T121)),MAX(0,$T121)*$G121,0))</f>
        <v/>
      </c>
      <c r="V121">
        <f>IF($C121="",0,IF($M121="",0,MAX(0,$M121)*MAX(0,V$4)/100))</f>
        <v/>
      </c>
      <c r="W121">
        <f>IF($C121="",0,IF($M121="",0,MAX(0,$M121)*MAX(0,W$4)/100))</f>
        <v/>
      </c>
      <c r="X121">
        <f>IF($C121="",0,IF($M121="",0,MAX(0,$M121)*MAX(0,X$4)/100))</f>
        <v/>
      </c>
      <c r="Y121">
        <f>IF($C121="",0,IF($M121="",0,MAX(0,$M121)*MAX(0,Y$4)/100))</f>
        <v/>
      </c>
      <c r="Z121">
        <f>IF($C121="",0,IF($M121="",0,MAX(0,$M121)*MAX(0,Z$4)/100))</f>
        <v/>
      </c>
      <c r="AA121">
        <f>IF($C121="",0,IF($M121="",0,MAX(0,$M121)*MAX(0,AA$4)/100))</f>
        <v/>
      </c>
      <c r="AB121">
        <f>IF($C121="",0,IF($M121="",0,MAX(0,$M121)*MAX(0,AB$4)/100))</f>
        <v/>
      </c>
      <c r="AC121">
        <f>IF($C121="",0,IF($M121="",0,MAX(0,$M121)*MAX(0,AC$4)/100))</f>
        <v/>
      </c>
      <c r="AD121">
        <f>IF($C121="",0,IF($M121="",0,MAX(0,$M121)*MAX(0,AD$4)/100))</f>
        <v/>
      </c>
      <c r="AE121">
        <f>IF($C121="",0,IF($M121="",0,MAX(0,$M121)*MAX(0,AE$4)/100))</f>
        <v/>
      </c>
      <c r="AF121">
        <f>IF($C121="",0,IF($M121="",0,MAX(0,$M121)*MAX(0,AF$4)/100))</f>
        <v/>
      </c>
      <c r="AG121">
        <f>IF($C121="",0,IF($M121="",0,MAX(0,$M121)*MAX(0,AG$4)/100))</f>
        <v/>
      </c>
      <c r="AH121">
        <f>IF($C121="",0,IF($M121="",0,MAX(0,$M121)*MAX(0,AH$4)/100))</f>
        <v/>
      </c>
      <c r="AI121">
        <f>IF($C121="",0,IF($M121="",0,MAX(0,$M121)*MAX(0,AI$4)/100))</f>
        <v/>
      </c>
      <c r="AJ121">
        <f>IF($C121="",0,MAX(0,MAX(0,N($L121))-$V121))</f>
        <v/>
      </c>
      <c r="AK121">
        <f>IF($C121="",0,MAX(0,$AJ121-$W121))</f>
        <v/>
      </c>
      <c r="AL121">
        <f>IF($C121="",0,MAX(0,$AK121-$X121))</f>
        <v/>
      </c>
      <c r="AM121">
        <f>IF($C121="",0,MAX(0,$AL121-$Y121))</f>
        <v/>
      </c>
      <c r="AN121">
        <f>IF($C121="",0,MAX(0,$AM121-$Z121))</f>
        <v/>
      </c>
      <c r="AO121">
        <f>IF($C121="",0,MAX(0,$AN121-$AA121))</f>
        <v/>
      </c>
      <c r="AP121">
        <f>IF($C121="",0,MAX(0,$AO121-$AB121))</f>
        <v/>
      </c>
      <c r="AQ121">
        <f>IF($C121="",0,MAX(0,$AP121-$AC121))</f>
        <v/>
      </c>
      <c r="AR121">
        <f>IF($C121="",0,MAX(0,$AQ121-$AD121))</f>
        <v/>
      </c>
      <c r="AS121">
        <f>IF($C121="",0,MAX(0,$AR121-$AE121))</f>
        <v/>
      </c>
      <c r="AT121">
        <f>IF($C121="",0,MAX(0,$AS121-$AF121))</f>
        <v/>
      </c>
      <c r="AU121">
        <f>IF($C121="",0,MAX(0,$AT121-$AG121))</f>
        <v/>
      </c>
      <c r="AV121">
        <f>IF($C121="",0,MAX(0,$AU121-$AH121))</f>
        <v/>
      </c>
      <c r="AW121">
        <f>IF($C121="",0,MAX(0,$AV121-$AI121))</f>
        <v/>
      </c>
      <c r="AX121">
        <f>IF($C121="",0,MAX(0,MAX(0,N($L121))+IF($P121=V$3,$R121,0)+IF($S121=V$3,$U121,0)-$V121))</f>
        <v/>
      </c>
      <c r="AY121">
        <f>IF($C121="",0,MAX(0,$AX121+IF($P121=W$3,$R121,0)+IF($S121=W$3,$U121,0)-$W121))</f>
        <v/>
      </c>
      <c r="AZ121">
        <f>IF($C121="",0,MAX(0,$AY121+IF($P121=X$3,$R121,0)+IF($S121=X$3,$U121,0)-$X121))</f>
        <v/>
      </c>
      <c r="BA121">
        <f>IF($C121="",0,MAX(0,$AZ121+IF($P121=Y$3,$R121,0)+IF($S121=Y$3,$U121,0)-$Y121))</f>
        <v/>
      </c>
      <c r="BB121">
        <f>IF($C121="",0,MAX(0,$BA121+IF($P121=Z$3,$R121,0)+IF($S121=Z$3,$U121,0)-$Z121))</f>
        <v/>
      </c>
      <c r="BC121">
        <f>IF($C121="",0,MAX(0,$BB121+IF($P121=AA$3,$R121,0)+IF($S121=AA$3,$U121,0)-$AA121))</f>
        <v/>
      </c>
      <c r="BD121">
        <f>IF($C121="",0,MAX(0,$BC121+IF($P121=AB$3,$R121,0)+IF($S121=AB$3,$U121,0)-$AB121))</f>
        <v/>
      </c>
      <c r="BE121">
        <f>IF($C121="",0,MAX(0,$BD121+IF($P121=AC$3,$R121,0)+IF($S121=AC$3,$U121,0)-$AC121))</f>
        <v/>
      </c>
      <c r="BF121">
        <f>IF($C121="",0,MAX(0,$BE121+IF($P121=AD$3,$R121,0)+IF($S121=AD$3,$U121,0)-$AD121))</f>
        <v/>
      </c>
      <c r="BG121">
        <f>IF($C121="",0,MAX(0,$BF121+IF($P121=AE$3,$R121,0)+IF($S121=AE$3,$U121,0)-$AE121))</f>
        <v/>
      </c>
      <c r="BH121">
        <f>IF($C121="",0,MAX(0,$BG121+IF($P121=AF$3,$R121,0)+IF($S121=AF$3,$U121,0)-$AF121))</f>
        <v/>
      </c>
      <c r="BI121">
        <f>IF($C121="",0,MAX(0,$BH121+IF($P121=AG$3,$R121,0)+IF($S121=AG$3,$U121,0)-$AG121))</f>
        <v/>
      </c>
      <c r="BJ121">
        <f>IF($C121="",0,MAX(0,$BI121+IF($P121=AH$3,$R121,0)+IF($S121=AH$3,$U121,0)-$AH121))</f>
        <v/>
      </c>
      <c r="BK121">
        <f>IF($C121="",0,MAX(0,$BJ121+IF($P121=AI$3,$R121,0)+IF($S121=AI$3,$U121,0)-$AI121))</f>
        <v/>
      </c>
      <c r="BL121">
        <f>IF($C121="",99,IF(AND($AX121&lt;1,V$3&gt;=MAX(N($P121),N($S121))),0,99))</f>
        <v/>
      </c>
      <c r="BM121">
        <f>IF($C121="",99,IF(AND($AY121&lt;1,W$3&gt;=MAX(N($P121),N($S121))),1,99))</f>
        <v/>
      </c>
      <c r="BN121">
        <f>IF($C121="",99,IF(AND($AZ121&lt;1,X$3&gt;=MAX(N($P121),N($S121))),2,99))</f>
        <v/>
      </c>
      <c r="BO121">
        <f>IF($C121="",99,IF(AND($BA121&lt;1,Y$3&gt;=MAX(N($P121),N($S121))),3,99))</f>
        <v/>
      </c>
      <c r="BP121">
        <f>IF($C121="",99,IF(AND($BB121&lt;1,Z$3&gt;=MAX(N($P121),N($S121))),4,99))</f>
        <v/>
      </c>
      <c r="BQ121">
        <f>IF($C121="",99,IF(AND($BC121&lt;1,AA$3&gt;=MAX(N($P121),N($S121))),5,99))</f>
        <v/>
      </c>
      <c r="BR121">
        <f>IF($C121="",99,IF(AND($BD121&lt;1,AB$3&gt;=MAX(N($P121),N($S121))),6,99))</f>
        <v/>
      </c>
      <c r="BS121">
        <f>IF($C121="",99,IF(AND($BE121&lt;1,AC$3&gt;=MAX(N($P121),N($S121))),7,99))</f>
        <v/>
      </c>
      <c r="BT121">
        <f>IF($C121="",99,IF(AND($BF121&lt;1,AD$3&gt;=MAX(N($P121),N($S121))),8,99))</f>
        <v/>
      </c>
      <c r="BU121">
        <f>IF($C121="",99,IF(AND($BG121&lt;1,AE$3&gt;=MAX(N($P121),N($S121))),9,99))</f>
        <v/>
      </c>
      <c r="BV121">
        <f>IF($C121="",99,IF(AND($BH121&lt;1,AF$3&gt;=MAX(N($P121),N($S121))),10,99))</f>
        <v/>
      </c>
      <c r="BW121">
        <f>IF($C121="",99,IF(AND($BI121&lt;1,AG$3&gt;=MAX(N($P121),N($S121))),11,99))</f>
        <v/>
      </c>
      <c r="BX121">
        <f>IF($C121="",99,IF(AND($BJ121&lt;1,AH$3&gt;=MAX(N($P121),N($S121))),12,99))</f>
        <v/>
      </c>
      <c r="BY121">
        <f>IF($C121="",99,IF(AND($BK121&lt;1,AI$3&gt;=MAX(N($P121),N($S121))),13,99))</f>
        <v/>
      </c>
      <c r="BZ121">
        <f>IF(OR($C121="",$M121=""),"",COUNTIF($AJ121:$AW121,"&gt;=1"))</f>
        <v/>
      </c>
      <c r="CA121" s="90">
        <f>IF($BZ121="","",IF($BZ121&gt;=14,"",'設定'!$C$6+$BZ121))</f>
        <v/>
      </c>
      <c r="CB121">
        <f>IF(OR($C121="",$M121=""),"",MIN($BL121:$BY121))</f>
        <v/>
      </c>
      <c r="CC121" s="90">
        <f>IF($CB121="","",IF($CB121&gt;=99,"",'設定'!$C$6+$CB121))</f>
        <v/>
      </c>
      <c r="CD121">
        <f>IF(OR($C121="",$M121=""),"",AVERAGE($V121:$AI121))</f>
        <v/>
      </c>
      <c r="CE121">
        <f>IF($C121="","",IFERROR(IF(MATCH(IF(ISNUMBER($P121),$P121,'設定'!$C$6+N('設定'!$C$7)),$V$3:$AI$3,0)=1,MAX(0,N($L121)),INDEX($AJ121:$AW121,MATCH(IF(ISNUMBER($P121),$P121,'設定'!$C$6+N('設定'!$C$7)),$V$3:$AI$3,0)-1)),""))</f>
        <v/>
      </c>
      <c r="CF121">
        <f>IF(OR($C121="",$O121="",$CE121=""),"",IF($O121-$CE121&lt;=0,0,ROUNDUP(($O121-$CE121)/$G121,0)))</f>
        <v/>
      </c>
      <c r="CG121">
        <f>IF(OR($C121="",$CF121="",NOT(ISNUMBER($Q121))),0,MAX(0,$Q121-$CF121))</f>
        <v/>
      </c>
      <c r="CH121">
        <f>IF(OR($C121="",$O121="",$U121=0),0,IFERROR(ROUNDUP(MAX(0,IF(MATCH($S121,$V$3:$AI$3,0)=1,MAX(0,N($L121)),INDEX($AX121:$BK121,MATCH($S121,$V$3:$AI$3,0)-1))+$U121-$O121)/$G121,0),0))</f>
        <v/>
      </c>
      <c r="CI121">
        <f>IF($C121="","",IF(AND($P121="",$Q121=""),"",IF($P121="","⚠ 入庫日を ▼ から選んでください",IF(NOT(ISNUMBER($P121)),"⚠ 入庫日は ▼ から選んでください",IF($P121&lt;N('設定'!$C$6),"⚠ 入庫日が過去です（もう在庫に入っています）→ 消してください",IF($P121&gt;N('設定'!$C$6)+13,"⚠ 入庫日が14日より先です",IF(N($Q121)&lt;=0,"⚠ 入庫数を入れてください",IF($CG121&gt;0,"⚠ 目安より "&amp;$CG121&amp;" 多い（定数を超える）→ 減らす",""))))))))</f>
        <v/>
      </c>
      <c r="CJ121">
        <f>IF($C121="","",IF(AND($S121="",$T121=""),"",IF($S121="","⚠ 2便目：入庫日を ▼ から選んでください",IF(NOT(ISNUMBER($S121)),"⚠ 2便目：入庫日は ▼ から選んでください",IF($S121&lt;N('設定'!$C$6),"⚠ 2便目：入庫日が過去です（もう在庫に入っています）→ 消してください",IF($S121&gt;N('設定'!$C$6)+13,"⚠ 2便目：入庫日が14日より先です",IF(N($T121)&lt;=0,"⚠ 2便目：入庫数を入れてください",IF($CH121&gt;0,"⚠ 2便目：定数を "&amp;$CH121&amp;" ケース超える → 減らす",""))))))))</f>
        <v/>
      </c>
      <c r="CK121">
        <f>IF(AND($CI121="",N($Q121)&gt;0,ISNUMBER($P121)),1,0)</f>
        <v/>
      </c>
      <c r="CL121">
        <f>IF(AND($CJ121="",N($T121)&gt;0,ISNUMBER($S121)),1,0)</f>
        <v/>
      </c>
      <c r="CM121">
        <f>IF(OR($CK121=1,$CL121=1),1,0)</f>
        <v/>
      </c>
      <c r="CN121">
        <f>IF($C121="",0,($CK121*$R121+$CL121*$U121)*N($H121))</f>
        <v/>
      </c>
      <c r="CO121">
        <f>IF($C121="","",IF($CC121="","入庫後は 14日以上もつ",IF($CC121-N('設定'!$C$7)&lt;='設定'!$C$6,"入庫後も "&amp;TEXT($CC121,"m/d")&amp;"("&amp;CHOOSE(WEEKDAY($CC121),"日","月","火","水","木","金","土")&amp;")"&amp;" に切れる　もう1便を至急発注","入庫後も "&amp;TEXT($CC121,"m/d")&amp;"("&amp;CHOOSE(WEEKDAY($CC121),"日","月","火","水","木","金","土")&amp;")"&amp;" に切れる　"&amp;TEXT($CC121-N('設定'!$C$7),"m/d")&amp;"("&amp;CHOOSE(WEEKDAY($CC121-N('設定'!$C$7)),"日","月","火","水","木","金","土")&amp;")"&amp;" までに次を発注")))</f>
        <v/>
      </c>
      <c r="CP121">
        <f>IF($C121="","",IF('設定'!$C$6="","？ ①在庫を貼る に今日のCSVが貼られていない",IF($CS121=1,"－ 今日のCSVに無い（終売？）",IF($L121&lt;0,"● 在庫がマイナス　数えて「数えた在庫」に入れる",IF($L121=0,"● 在庫なし　至急発注",IF($M121="","？ 減り数が未設定（商品マスタ）",IF($B$3=0,"？ 動員が未入力（動員を入れる）",IF($CA121="","○ 14日以上もつ",IF($BZ121&lt;N('設定'!$C$7),"● "&amp;TEXT($CA121,"m/d")&amp;"("&amp;CHOOSE(WEEKDAY($CA121),"日","月","火","水","木","金","土")&amp;")"&amp;" に切れる　至急発注",IF($BZ121=N('設定'!$C$7),"● "&amp;TEXT($CA121,"m/d")&amp;"("&amp;CHOOSE(WEEKDAY($CA121),"日","月","火","水","木","金","土")&amp;")"&amp;" に切れる　今日発注","△ "&amp;TEXT($CA121,"m/d")&amp;"("&amp;CHOOSE(WEEKDAY($CA121),"日","月","火","水","木","金","土")&amp;")"&amp;" に切れる　"&amp;TEXT($CA121-N('設定'!$C$7),"m/d")&amp;"("&amp;CHOOSE(WEEKDAY($CA121-N('設定'!$C$7)),"日","月","火","水","木","金","土")&amp;")"&amp;" までに発注"))))))))))</f>
        <v/>
      </c>
      <c r="CQ121">
        <f>IF($C121="","",IF(AND($P121="",$Q121="",$S121="",$T121=""),"",IF(AND($P121="",$Q121=""),"⚠ 先に1便目（左の入庫日・入庫数）に入れてください",IF($CI121&lt;&gt;"",$CI121,IF($CJ121&lt;&gt;"",$CJ121,IF($M121="","？ 減り数が未設定（発注書には載ります）",IF($B$3=0,"？ 動員が未入力（発注書には載ります）",IF(AND($CA121&lt;&gt;"",$P121&gt;$CA121),IF($P121&gt;'設定'!$C$6+N('設定'!$C$7),"● "&amp;TEXT($P121,"m/d")&amp;"("&amp;CHOOSE(WEEKDAY($P121),"日","月","火","水","木","金","土")&amp;")"&amp;" の入庫では間に合わない（"&amp;TEXT($CA121,"m/d")&amp;"("&amp;CHOOSE(WEEKDAY($CA121),"日","月","火","水","木","金","土")&amp;")"&amp;" に切れる）　入庫日を早める","△ 欠品 "&amp;TEXT($CA121,"m/d")&amp;"("&amp;CHOOSE(WEEKDAY($CA121),"日","月","火","水","木","金","土")&amp;")"&amp;"〜"&amp;TEXT($P121-1,"m/d")&amp;"("&amp;CHOOSE(WEEKDAY($P121-1),"日","月","火","水","木","金","土")&amp;")"&amp;"　"&amp;$CO121),IF($CC121="","○ "&amp;TEXT($P121,"m/d")&amp;"("&amp;CHOOSE(WEEKDAY($P121),"日","月","火","水","木","金","土")&amp;")"&amp;" 入庫で 14日以上もつ",IF($CC121-N('設定'!$C$7)&lt;='設定'!$C$6,"● 入庫しても "&amp;TEXT($CC121,"m/d")&amp;"("&amp;CHOOSE(WEEKDAY($CC121),"日","月","火","水","木","金","土")&amp;")"&amp;" に切れる　もう1便を至急発注（2便目に入れる）","△ 入庫しても "&amp;TEXT($CC121,"m/d")&amp;"("&amp;CHOOSE(WEEKDAY($CC121),"日","月","火","水","木","金","土")&amp;")"&amp;" に切れる　"&amp;TEXT($CC121-N('設定'!$C$7),"m/d")&amp;"("&amp;CHOOSE(WEEKDAY($CC121-N('設定'!$C$7)),"日","月","火","水","木","金","土")&amp;")"&amp;" までに次を発注（2便目に入れる）"))))))))))</f>
        <v/>
      </c>
      <c r="CR121">
        <f>IF($C121="","",IF($G121&gt;1,"ｹｰｽ("&amp;$G121&amp;"入)","個"))</f>
        <v/>
      </c>
      <c r="CS121">
        <f>IF($C121="",0,IF(COUNTIFS('①在庫を貼る'!$V$6:$V$10005,'設定'!$C$4,'①在庫を貼る'!$W$6:$W$10005,$C121)=0,1,0))</f>
        <v/>
      </c>
      <c r="CT121">
        <f>IF(AND($CK121=1,OR('③発注書'!$C$4="すべて",'③発注書'!$C$4="",$F121='③発注書'!$C$4)),N($CT120)+1,N($CT120))</f>
        <v/>
      </c>
      <c r="CU121">
        <f>IF(AND($CL121=1,OR('③発注書'!$C$4="すべて",'③発注書'!$C$4="",$F121='③発注書'!$C$4)),N($CU120)+1,N($CU120))</f>
        <v/>
      </c>
      <c r="CV121">
        <f>IF($C121="",0,IF(COUNTIFS('①在庫を貼る'!$V$6:$V$10005,'設定'!$C$4,'①在庫を貼る'!$W$6:$W$10005,$C121)&gt;0,1,0))</f>
        <v/>
      </c>
      <c r="CW121">
        <f>IF($C121="",0,IF(COUNTIFS('月1回_1ヶ月前の在庫'!$V$6:$V$10005,'設定'!$C$4,'月1回_1ヶ月前の在庫'!$W$6:$W$10005,$C121)&gt;0,1,0))</f>
        <v/>
      </c>
      <c r="CX121">
        <f>IF($C121="",0,IF(COUNTIFS('月1回_2ヶ月前の在庫'!$V$6:$V$10005,'設定'!$C$4,'月1回_2ヶ月前の在庫'!$W$6:$W$10005,$C121)&gt;0,1,0))</f>
        <v/>
      </c>
      <c r="CY121">
        <f>IF(OR($C121="",'設定'!$C$12=""),"",IF('設定'!$C$13="",IF(AND($CV121=1,$CW121=0),"新商品（今月から）",IF(AND($CV121=0,$CW121=1),"終売（今月から）","")),IF(AND($CV121=1,$CW121=0,$CX121=0),"新商品（今月から）",IF(AND($CV121=1,$CW121=1,$CX121=0),"新商品（先月から）",IF(AND($CV121=0,$CW121=1,$CX121=1),"終売（今月から）",IF(AND($CV121=0,$CW121=0,$CX121=1),"終売（先月から）",IF(AND($CV121=1,$CW121=0,$CX121=1),"復活（先月は無し）","")))))))</f>
        <v/>
      </c>
    </row>
    <row r="122">
      <c r="B122">
        <f>IF(117&lt;='設定'!$C$11,117,"")</f>
        <v/>
      </c>
      <c r="C122">
        <f>IF($B122="","",IF($B122&lt;='設定'!$C$20,INDEX('商品マスタ'!$B$6:$B$1005,MATCH($B122,'商品マスタ'!$M$6:$M$1005,0)),IF($B122&lt;='設定'!$C$20+'設定'!$C$17,INDEX('①在庫を貼る'!$W$6:$W$10005,MATCH($B122-'設定'!$C$20,'①在庫を貼る'!$U$6:$U$10005,0)),IF($B122&lt;='設定'!$C$20+'設定'!$C$17+'設定'!$C$18,INDEX('月1回_1ヶ月前の在庫'!$W$6:$W$10005,MATCH($B122-'設定'!$C$20-'設定'!$C$17,'月1回_1ヶ月前の在庫'!$U$6:$U$10005,0)),INDEX('月1回_2ヶ月前の在庫'!$W$6:$W$10005,MATCH($B122-'設定'!$C$20-'設定'!$C$17-'設定'!$C$18,'月1回_2ヶ月前の在庫'!$U$6:$U$10005,0))))))</f>
        <v/>
      </c>
      <c r="D122">
        <f>IF($C122="","",IFERROR(IF(INDEX('商品マスタ'!$C$6:$C$1005,MATCH($C122,'商品マスタ'!$B$6:$B$1005,0))="",IFERROR(INDEX('①在庫を貼る'!$J$6:$J$10005,MATCH($C122,'①在庫を貼る'!$W$6:$W$10005,0)),IFERROR(INDEX('月1回_1ヶ月前の在庫'!$J$6:$J$10005,MATCH($C122,'月1回_1ヶ月前の在庫'!$W$6:$W$10005,0)),IFERROR(INDEX('月1回_2ヶ月前の在庫'!$J$6:$J$10005,MATCH($C122,'月1回_2ヶ月前の在庫'!$W$6:$W$10005,0)),""))),INDEX('商品マスタ'!$C$6:$C$1005,MATCH($C122,'商品マスタ'!$B$6:$B$1005,0))),IFERROR(INDEX('①在庫を貼る'!$J$6:$J$10005,MATCH($C122,'①在庫を貼る'!$W$6:$W$10005,0)),IFERROR(INDEX('月1回_1ヶ月前の在庫'!$J$6:$J$10005,MATCH($C122,'月1回_1ヶ月前の在庫'!$W$6:$W$10005,0)),IFERROR(INDEX('月1回_2ヶ月前の在庫'!$J$6:$J$10005,MATCH($C122,'月1回_2ヶ月前の在庫'!$W$6:$W$10005,0)),"")))))</f>
        <v/>
      </c>
      <c r="E122">
        <f>IF($C122="","",IFERROR(IF(INDEX('商品マスタ'!$D$6:$D$1005,MATCH($C122,'商品マスタ'!$B$6:$B$1005,0))="",IFERROR(INDEX('①在庫を貼る'!$H$6:$H$10005,MATCH($C122,'①在庫を貼る'!$W$6:$W$10005,0)),IFERROR(INDEX('月1回_1ヶ月前の在庫'!$H$6:$H$10005,MATCH($C122,'月1回_1ヶ月前の在庫'!$W$6:$W$10005,0)),IFERROR(INDEX('月1回_2ヶ月前の在庫'!$H$6:$H$10005,MATCH($C122,'月1回_2ヶ月前の在庫'!$W$6:$W$10005,0)),""))),INDEX('商品マスタ'!$D$6:$D$1005,MATCH($C122,'商品マスタ'!$B$6:$B$1005,0))),IFERROR(INDEX('①在庫を貼る'!$H$6:$H$10005,MATCH($C122,'①在庫を貼る'!$W$6:$W$10005,0)),IFERROR(INDEX('月1回_1ヶ月前の在庫'!$H$6:$H$10005,MATCH($C122,'月1回_1ヶ月前の在庫'!$W$6:$W$10005,0)),IFERROR(INDEX('月1回_2ヶ月前の在庫'!$H$6:$H$10005,MATCH($C122,'月1回_2ヶ月前の在庫'!$W$6:$W$10005,0)),"")))))</f>
        <v/>
      </c>
      <c r="F122">
        <f>IF($C122="","",IFERROR(IF(INDEX('商品マスタ'!$E$6:$E$1005,MATCH($C122,'商品マスタ'!$B$6:$B$1005,0))="",IFERROR(INDEX('①在庫を貼る'!$E$6:$E$10005,MATCH($C122,'①在庫を貼る'!$W$6:$W$10005,0)),IFERROR(INDEX('月1回_1ヶ月前の在庫'!$E$6:$E$10005,MATCH($C122,'月1回_1ヶ月前の在庫'!$W$6:$W$10005,0)),IFERROR(INDEX('月1回_2ヶ月前の在庫'!$E$6:$E$10005,MATCH($C122,'月1回_2ヶ月前の在庫'!$W$6:$W$10005,0)),""))),INDEX('商品マスタ'!$E$6:$E$1005,MATCH($C122,'商品マスタ'!$B$6:$B$1005,0))),IFERROR(INDEX('①在庫を貼る'!$E$6:$E$10005,MATCH($C122,'①在庫を貼る'!$W$6:$W$10005,0)),IFERROR(INDEX('月1回_1ヶ月前の在庫'!$E$6:$E$10005,MATCH($C122,'月1回_1ヶ月前の在庫'!$W$6:$W$10005,0)),IFERROR(INDEX('月1回_2ヶ月前の在庫'!$E$6:$E$10005,MATCH($C122,'月1回_2ヶ月前の在庫'!$W$6:$W$10005,0)),"")))))</f>
        <v/>
      </c>
      <c r="G122">
        <f>IF($C122="","",MAX(1,N(IFERROR(IF(INDEX('商品マスタ'!$F$6:$F$1005,MATCH($C122,'商品マスタ'!$B$6:$B$1005,0))="",IF(COUNTIFS('①在庫を貼る'!$V$6:$V$10005,'設定'!$C$4,'①在庫を貼る'!$W$6:$W$10005,$C122)&gt;0,SUMIFS('①在庫を貼る'!$K$6:$K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K$6:$K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K$6:$K$10005,'月1回_2ヶ月前の在庫'!$V$6:$V$10005,'設定'!$C$4,'月1回_2ヶ月前の在庫'!$W$6:$W$10005,$C122)/COUNTIFS('月1回_2ヶ月前の在庫'!$V$6:$V$10005,'設定'!$C$4,'月1回_2ヶ月前の在庫'!$W$6:$W$10005,$C122),0))),INDEX('商品マスタ'!$F$6:$F$1005,MATCH($C122,'商品マスタ'!$B$6:$B$1005,0))),IF(COUNTIFS('①在庫を貼る'!$V$6:$V$10005,'設定'!$C$4,'①在庫を貼る'!$W$6:$W$10005,$C122)&gt;0,SUMIFS('①在庫を貼る'!$K$6:$K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K$6:$K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K$6:$K$10005,'月1回_2ヶ月前の在庫'!$V$6:$V$10005,'設定'!$C$4,'月1回_2ヶ月前の在庫'!$W$6:$W$10005,$C122)/COUNTIFS('月1回_2ヶ月前の在庫'!$V$6:$V$10005,'設定'!$C$4,'月1回_2ヶ月前の在庫'!$W$6:$W$10005,$C122),0)))))))</f>
        <v/>
      </c>
      <c r="H122">
        <f>IF($C122="","",N(IFERROR(IF(INDEX('商品マスタ'!$G$6:$G$1005,MATCH($C122,'商品マスタ'!$B$6:$B$1005,0))="",IF(COUNTIFS('①在庫を貼る'!$V$6:$V$10005,'設定'!$C$4,'①在庫を貼る'!$W$6:$W$10005,$C122)&gt;0,SUMIFS('①在庫を貼る'!$Q$6:$Q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Q$6:$Q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Q$6:$Q$10005,'月1回_2ヶ月前の在庫'!$V$6:$V$10005,'設定'!$C$4,'月1回_2ヶ月前の在庫'!$W$6:$W$10005,$C122)/COUNTIFS('月1回_2ヶ月前の在庫'!$V$6:$V$10005,'設定'!$C$4,'月1回_2ヶ月前の在庫'!$W$6:$W$10005,$C122),0))),INDEX('商品マスタ'!$G$6:$G$1005,MATCH($C122,'商品マスタ'!$B$6:$B$1005,0))),IF(COUNTIFS('①在庫を貼る'!$V$6:$V$10005,'設定'!$C$4,'①在庫を貼る'!$W$6:$W$10005,$C122)&gt;0,SUMIFS('①在庫を貼る'!$Q$6:$Q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Q$6:$Q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Q$6:$Q$10005,'月1回_2ヶ月前の在庫'!$V$6:$V$10005,'設定'!$C$4,'月1回_2ヶ月前の在庫'!$W$6:$W$10005,$C122)/COUNTIFS('月1回_2ヶ月前の在庫'!$V$6:$V$10005,'設定'!$C$4,'月1回_2ヶ月前の在庫'!$W$6:$W$10005,$C122),0))))))</f>
        <v/>
      </c>
      <c r="I122">
        <f>IF($C122="","",IF(COUNTIFS('①在庫を貼る'!$V$6:$V$10005,'設定'!$C$4,'①在庫を貼る'!$W$6:$W$10005,$C122)=0,"",SUMIFS('①在庫を貼る'!$N$6:$N$10005,'①在庫を貼る'!$V$6:$V$10005,'設定'!$C$4,'①在庫を貼る'!$W$6:$W$10005,$C122)))</f>
        <v/>
      </c>
      <c r="J122">
        <f>IF($C122="","",IF('②発注する'!$AD126="","",'②発注する'!$AD126))</f>
        <v/>
      </c>
      <c r="K122" s="90">
        <f>IF($C122="","",IF('②発注する'!$AE126="","",'②発注する'!$AE126))</f>
        <v/>
      </c>
      <c r="L122">
        <f>IF($C122="","",IF(AND(ISNUMBER($J122),ISNUMBER($K122),$K122&gt;='設定'!$C$6),$J122,N($I122)))</f>
        <v/>
      </c>
      <c r="M122">
        <f>IF($C122="","",IFERROR(IF(N(INDEX('商品マスタ'!$J$6:$J$1005,MATCH($C122,'商品マスタ'!$B$6:$B$1005,0)))&gt;0,INDEX('商品マスタ'!$J$6:$J$1005,MATCH($C122,'商品マスタ'!$B$6:$B$1005,0)),""),""))</f>
        <v/>
      </c>
      <c r="N122">
        <f>IF($C122="","",IFERROR(IF(N(INDEX('商品マスタ'!$H$6:$H$1005,MATCH($C122,'商品マスタ'!$B$6:$B$1005,0)))&gt;0,INDEX('商品マスタ'!$H$6:$H$1005,MATCH($C122,'商品マスタ'!$B$6:$B$1005,0)),""),""))</f>
        <v/>
      </c>
      <c r="O122">
        <f>IF($C122="","",IF($N122&lt;&gt;"",$N122*$G122,IF(N(IF(COUNTIFS('①在庫を貼る'!$V$6:$V$10005,'設定'!$C$4,'①在庫を貼る'!$W$6:$W$10005,$C122)&gt;0,SUMIFS('①在庫を貼る'!$O$6:$O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O$6:$O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O$6:$O$10005,'月1回_2ヶ月前の在庫'!$V$6:$V$10005,'設定'!$C$4,'月1回_2ヶ月前の在庫'!$W$6:$W$10005,$C122)/COUNTIFS('月1回_2ヶ月前の在庫'!$V$6:$V$10005,'設定'!$C$4,'月1回_2ヶ月前の在庫'!$W$6:$W$10005,$C122),0))))&gt;0,N(IF(COUNTIFS('①在庫を貼る'!$V$6:$V$10005,'設定'!$C$4,'①在庫を貼る'!$W$6:$W$10005,$C122)&gt;0,SUMIFS('①在庫を貼る'!$O$6:$O$10005,'①在庫を貼る'!$V$6:$V$10005,'設定'!$C$4,'①在庫を貼る'!$W$6:$W$10005,$C122)/COUNTIFS('①在庫を貼る'!$V$6:$V$10005,'設定'!$C$4,'①在庫を貼る'!$W$6:$W$10005,$C122),IF(COUNTIFS('月1回_1ヶ月前の在庫'!$V$6:$V$10005,'設定'!$C$4,'月1回_1ヶ月前の在庫'!$W$6:$W$10005,$C122)&gt;0,SUMIFS('月1回_1ヶ月前の在庫'!$O$6:$O$10005,'月1回_1ヶ月前の在庫'!$V$6:$V$10005,'設定'!$C$4,'月1回_1ヶ月前の在庫'!$W$6:$W$10005,$C122)/COUNTIFS('月1回_1ヶ月前の在庫'!$V$6:$V$10005,'設定'!$C$4,'月1回_1ヶ月前の在庫'!$W$6:$W$10005,$C122),IF(COUNTIFS('月1回_2ヶ月前の在庫'!$V$6:$V$10005,'設定'!$C$4,'月1回_2ヶ月前の在庫'!$W$6:$W$10005,$C122)&gt;0,SUMIFS('月1回_2ヶ月前の在庫'!$O$6:$O$10005,'月1回_2ヶ月前の在庫'!$V$6:$V$10005,'設定'!$C$4,'月1回_2ヶ月前の在庫'!$W$6:$W$10005,$C122)/COUNTIFS('月1回_2ヶ月前の在庫'!$V$6:$V$10005,'設定'!$C$4,'月1回_2ヶ月前の在庫'!$W$6:$W$10005,$C122),0)))),"")))</f>
        <v/>
      </c>
      <c r="P122" s="90">
        <f>IF($C122="","",IF('②発注する'!$I126="","",'②発注する'!$I126))</f>
        <v/>
      </c>
      <c r="Q122">
        <f>IF($C122="","",IF('②発注する'!$J126="","",'②発注する'!$J126))</f>
        <v/>
      </c>
      <c r="R122">
        <f>IF($C122="",0,IF(AND(ISNUMBER($P122),ISNUMBER($Q122)),MAX(0,$Q122)*$G122,0))</f>
        <v/>
      </c>
      <c r="S122" s="90">
        <f>IF($C122="","",IF('②発注する'!$M126="","",'②発注する'!$M126))</f>
        <v/>
      </c>
      <c r="T122">
        <f>IF($C122="","",IF('②発注する'!$N126="","",'②発注する'!$N126))</f>
        <v/>
      </c>
      <c r="U122">
        <f>IF($C122="",0,IF(AND(ISNUMBER($S122),ISNUMBER($T122)),MAX(0,$T122)*$G122,0))</f>
        <v/>
      </c>
      <c r="V122">
        <f>IF($C122="",0,IF($M122="",0,MAX(0,$M122)*MAX(0,V$4)/100))</f>
        <v/>
      </c>
      <c r="W122">
        <f>IF($C122="",0,IF($M122="",0,MAX(0,$M122)*MAX(0,W$4)/100))</f>
        <v/>
      </c>
      <c r="X122">
        <f>IF($C122="",0,IF($M122="",0,MAX(0,$M122)*MAX(0,X$4)/100))</f>
        <v/>
      </c>
      <c r="Y122">
        <f>IF($C122="",0,IF($M122="",0,MAX(0,$M122)*MAX(0,Y$4)/100))</f>
        <v/>
      </c>
      <c r="Z122">
        <f>IF($C122="",0,IF($M122="",0,MAX(0,$M122)*MAX(0,Z$4)/100))</f>
        <v/>
      </c>
      <c r="AA122">
        <f>IF($C122="",0,IF($M122="",0,MAX(0,$M122)*MAX(0,AA$4)/100))</f>
        <v/>
      </c>
      <c r="AB122">
        <f>IF($C122="",0,IF($M122="",0,MAX(0,$M122)*MAX(0,AB$4)/100))</f>
        <v/>
      </c>
      <c r="AC122">
        <f>IF($C122="",0,IF($M122="",0,MAX(0,$M122)*MAX(0,AC$4)/100))</f>
        <v/>
      </c>
      <c r="AD122">
        <f>IF($C122="",0,IF($M122="",0,MAX(0,$M122)*MAX(0,AD$4)/100))</f>
        <v/>
      </c>
      <c r="AE122">
        <f>IF($C122="",0,IF($M122="",0,MAX(0,$M122)*MAX(0,AE$4)/100))</f>
        <v/>
      </c>
      <c r="AF122">
        <f>IF($C122="",0,IF($M122="",0,MAX(0,$M122)*MAX(0,AF$4)/100))</f>
        <v/>
      </c>
      <c r="AG122">
        <f>IF($C122="",0,IF($M122="",0,MAX(0,$M122)*MAX(0,AG$4)/100))</f>
        <v/>
      </c>
      <c r="AH122">
        <f>IF($C122="",0,IF($M122="",0,MAX(0,$M122)*MAX(0,AH$4)/100))</f>
        <v/>
      </c>
      <c r="AI122">
        <f>IF($C122="",0,IF($M122="",0,MAX(0,$M122)*MAX(0,AI$4)/100))</f>
        <v/>
      </c>
      <c r="AJ122">
        <f>IF($C122="",0,MAX(0,MAX(0,N($L122))-$V122))</f>
        <v/>
      </c>
      <c r="AK122">
        <f>IF($C122="",0,MAX(0,$AJ122-$W122))</f>
        <v/>
      </c>
      <c r="AL122">
        <f>IF($C122="",0,MAX(0,$AK122-$X122))</f>
        <v/>
      </c>
      <c r="AM122">
        <f>IF($C122="",0,MAX(0,$AL122-$Y122))</f>
        <v/>
      </c>
      <c r="AN122">
        <f>IF($C122="",0,MAX(0,$AM122-$Z122))</f>
        <v/>
      </c>
      <c r="AO122">
        <f>IF($C122="",0,MAX(0,$AN122-$AA122))</f>
        <v/>
      </c>
      <c r="AP122">
        <f>IF($C122="",0,MAX(0,$AO122-$AB122))</f>
        <v/>
      </c>
      <c r="AQ122">
        <f>IF($C122="",0,MAX(0,$AP122-$AC122))</f>
        <v/>
      </c>
      <c r="AR122">
        <f>IF($C122="",0,MAX(0,$AQ122-$AD122))</f>
        <v/>
      </c>
      <c r="AS122">
        <f>IF($C122="",0,MAX(0,$AR122-$AE122))</f>
        <v/>
      </c>
      <c r="AT122">
        <f>IF($C122="",0,MAX(0,$AS122-$AF122))</f>
        <v/>
      </c>
      <c r="AU122">
        <f>IF($C122="",0,MAX(0,$AT122-$AG122))</f>
        <v/>
      </c>
      <c r="AV122">
        <f>IF($C122="",0,MAX(0,$AU122-$AH122))</f>
        <v/>
      </c>
      <c r="AW122">
        <f>IF($C122="",0,MAX(0,$AV122-$AI122))</f>
        <v/>
      </c>
      <c r="AX122">
        <f>IF($C122="",0,MAX(0,MAX(0,N($L122))+IF($P122=V$3,$R122,0)+IF($S122=V$3,$U122,0)-$V122))</f>
        <v/>
      </c>
      <c r="AY122">
        <f>IF($C122="",0,MAX(0,$AX122+IF($P122=W$3,$R122,0)+IF($S122=W$3,$U122,0)-$W122))</f>
        <v/>
      </c>
      <c r="AZ122">
        <f>IF($C122="",0,MAX(0,$AY122+IF($P122=X$3,$R122,0)+IF($S122=X$3,$U122,0)-$X122))</f>
        <v/>
      </c>
      <c r="BA122">
        <f>IF($C122="",0,MAX(0,$AZ122+IF($P122=Y$3,$R122,0)+IF($S122=Y$3,$U122,0)-$Y122))</f>
        <v/>
      </c>
      <c r="BB122">
        <f>IF($C122="",0,MAX(0,$BA122+IF($P122=Z$3,$R122,0)+IF($S122=Z$3,$U122,0)-$Z122))</f>
        <v/>
      </c>
      <c r="BC122">
        <f>IF($C122="",0,MAX(0,$BB122+IF($P122=AA$3,$R122,0)+IF($S122=AA$3,$U122,0)-$AA122))</f>
        <v/>
      </c>
      <c r="BD122">
        <f>IF($C122="",0,MAX(0,$BC122+IF($P122=AB$3,$R122,0)+IF($S122=AB$3,$U122,0)-$AB122))</f>
        <v/>
      </c>
      <c r="BE122">
        <f>IF($C122="",0,MAX(0,$BD122+IF($P122=AC$3,$R122,0)+IF($S122=AC$3,$U122,0)-$AC122))</f>
        <v/>
      </c>
      <c r="BF122">
        <f>IF($C122="",0,MAX(0,$BE122+IF($P122=AD$3,$R122,0)+IF($S122=AD$3,$U122,0)-$AD122))</f>
        <v/>
      </c>
      <c r="BG122">
        <f>IF($C122="",0,MAX(0,$BF122+IF($P122=AE$3,$R122,0)+IF($S122=AE$3,$U122,0)-$AE122))</f>
        <v/>
      </c>
      <c r="BH122">
        <f>IF($C122="",0,MAX(0,$BG122+IF($P122=AF$3,$R122,0)+IF($S122=AF$3,$U122,0)-$AF122))</f>
        <v/>
      </c>
      <c r="BI122">
        <f>IF($C122="",0,MAX(0,$BH122+IF($P122=AG$3,$R122,0)+IF($S122=AG$3,$U122,0)-$AG122))</f>
        <v/>
      </c>
      <c r="BJ122">
        <f>IF($C122="",0,MAX(0,$BI122+IF($P122=AH$3,$R122,0)+IF($S122=AH$3,$U122,0)-$AH122))</f>
        <v/>
      </c>
      <c r="BK122">
        <f>IF($C122="",0,MAX(0,$BJ122+IF($P122=AI$3,$R122,0)+IF($S122=AI$3,$U122,0)-$AI122))</f>
        <v/>
      </c>
      <c r="BL122">
        <f>IF($C122="",99,IF(AND($AX122&lt;1,V$3&gt;=MAX(N($P122),N($S122))),0,99))</f>
        <v/>
      </c>
      <c r="BM122">
        <f>IF($C122="",99,IF(AND($AY122&lt;1,W$3&gt;=MAX(N($P122),N($S122))),1,99))</f>
        <v/>
      </c>
      <c r="BN122">
        <f>IF($C122="",99,IF(AND($AZ122&lt;1,X$3&gt;=MAX(N($P122),N($S122))),2,99))</f>
        <v/>
      </c>
      <c r="BO122">
        <f>IF($C122="",99,IF(AND($BA122&lt;1,Y$3&gt;=MAX(N($P122),N($S122))),3,99))</f>
        <v/>
      </c>
      <c r="BP122">
        <f>IF($C122="",99,IF(AND($BB122&lt;1,Z$3&gt;=MAX(N($P122),N($S122))),4,99))</f>
        <v/>
      </c>
      <c r="BQ122">
        <f>IF($C122="",99,IF(AND($BC122&lt;1,AA$3&gt;=MAX(N($P122),N($S122))),5,99))</f>
        <v/>
      </c>
      <c r="BR122">
        <f>IF($C122="",99,IF(AND($BD122&lt;1,AB$3&gt;=MAX(N($P122),N($S122))),6,99))</f>
        <v/>
      </c>
      <c r="BS122">
        <f>IF($C122="",99,IF(AND($BE122&lt;1,AC$3&gt;=MAX(N($P122),N($S122))),7,99))</f>
        <v/>
      </c>
      <c r="BT122">
        <f>IF($C122="",99,IF(AND($BF122&lt;1,AD$3&gt;=MAX(N($P122),N($S122))),8,99))</f>
        <v/>
      </c>
      <c r="BU122">
        <f>IF($C122="",99,IF(AND($BG122&lt;1,AE$3&gt;=MAX(N($P122),N($S122))),9,99))</f>
        <v/>
      </c>
      <c r="BV122">
        <f>IF($C122="",99,IF(AND($BH122&lt;1,AF$3&gt;=MAX(N($P122),N($S122))),10,99))</f>
        <v/>
      </c>
      <c r="BW122">
        <f>IF($C122="",99,IF(AND($BI122&lt;1,AG$3&gt;=MAX(N($P122),N($S122))),11,99))</f>
        <v/>
      </c>
      <c r="BX122">
        <f>IF($C122="",99,IF(AND($BJ122&lt;1,AH$3&gt;=MAX(N($P122),N($S122))),12,99))</f>
        <v/>
      </c>
      <c r="BY122">
        <f>IF($C122="",99,IF(AND($BK122&lt;1,AI$3&gt;=MAX(N($P122),N($S122))),13,99))</f>
        <v/>
      </c>
      <c r="BZ122">
        <f>IF(OR($C122="",$M122=""),"",COUNTIF($AJ122:$AW122,"&gt;=1"))</f>
        <v/>
      </c>
      <c r="CA122" s="90">
        <f>IF($BZ122="","",IF($BZ122&gt;=14,"",'設定'!$C$6+$BZ122))</f>
        <v/>
      </c>
      <c r="CB122">
        <f>IF(OR($C122="",$M122=""),"",MIN($BL122:$BY122))</f>
        <v/>
      </c>
      <c r="CC122" s="90">
        <f>IF($CB122="","",IF($CB122&gt;=99,"",'設定'!$C$6+$CB122))</f>
        <v/>
      </c>
      <c r="CD122">
        <f>IF(OR($C122="",$M122=""),"",AVERAGE($V122:$AI122))</f>
        <v/>
      </c>
      <c r="CE122">
        <f>IF($C122="","",IFERROR(IF(MATCH(IF(ISNUMBER($P122),$P122,'設定'!$C$6+N('設定'!$C$7)),$V$3:$AI$3,0)=1,MAX(0,N($L122)),INDEX($AJ122:$AW122,MATCH(IF(ISNUMBER($P122),$P122,'設定'!$C$6+N('設定'!$C$7)),$V$3:$AI$3,0)-1)),""))</f>
        <v/>
      </c>
      <c r="CF122">
        <f>IF(OR($C122="",$O122="",$CE122=""),"",IF($O122-$CE122&lt;=0,0,ROUNDUP(($O122-$CE122)/$G122,0)))</f>
        <v/>
      </c>
      <c r="CG122">
        <f>IF(OR($C122="",$CF122="",NOT(ISNUMBER($Q122))),0,MAX(0,$Q122-$CF122))</f>
        <v/>
      </c>
      <c r="CH122">
        <f>IF(OR($C122="",$O122="",$U122=0),0,IFERROR(ROUNDUP(MAX(0,IF(MATCH($S122,$V$3:$AI$3,0)=1,MAX(0,N($L122)),INDEX($AX122:$BK122,MATCH($S122,$V$3:$AI$3,0)-1))+$U122-$O122)/$G122,0),0))</f>
        <v/>
      </c>
      <c r="CI122">
        <f>IF($C122="","",IF(AND($P122="",$Q122=""),"",IF($P122="","⚠ 入庫日を ▼ から選んでください",IF(NOT(ISNUMBER($P122)),"⚠ 入庫日は ▼ から選んでください",IF($P122&lt;N('設定'!$C$6),"⚠ 入庫日が過去です（もう在庫に入っています）→ 消してください",IF($P122&gt;N('設定'!$C$6)+13,"⚠ 入庫日が14日より先です",IF(N($Q122)&lt;=0,"⚠ 入庫数を入れてください",IF($CG122&gt;0,"⚠ 目安より "&amp;$CG122&amp;" 多い（定数を超える）→ 減らす",""))))))))</f>
        <v/>
      </c>
      <c r="CJ122">
        <f>IF($C122="","",IF(AND($S122="",$T122=""),"",IF($S122="","⚠ 2便目：入庫日を ▼ から選んでください",IF(NOT(ISNUMBER($S122)),"⚠ 2便目：入庫日は ▼ から選んでください",IF($S122&lt;N('設定'!$C$6),"⚠ 2便目：入庫日が過去です（もう在庫に入っています）→ 消してください",IF($S122&gt;N('設定'!$C$6)+13,"⚠ 2便目：入庫日が14日より先です",IF(N($T122)&lt;=0,"⚠ 2便目：入庫数を入れてください",IF($CH122&gt;0,"⚠ 2便目：定数を "&amp;$CH122&amp;" ケース超える → 減らす",""))))))))</f>
        <v/>
      </c>
      <c r="CK122">
        <f>IF(AND($CI122="",N($Q122)&gt;0,ISNUMBER($P122)),1,0)</f>
        <v/>
      </c>
      <c r="CL122">
        <f>IF(AND($CJ122="",N($T122)&gt;0,ISNUMBER($S122)),1,0)</f>
        <v/>
      </c>
      <c r="CM122">
        <f>IF(OR($CK122=1,$CL122=1),1,0)</f>
        <v/>
      </c>
      <c r="CN122">
        <f>IF($C122="",0,($CK122*$R122+$CL122*$U122)*N($H122))</f>
        <v/>
      </c>
      <c r="CO122">
        <f>IF($C122="","",IF($CC122="","入庫後は 14日以上もつ",IF($CC122-N('設定'!$C$7)&lt;='設定'!$C$6,"入庫後も "&amp;TEXT($CC122,"m/d")&amp;"("&amp;CHOOSE(WEEKDAY($CC122),"日","月","火","水","木","金","土")&amp;")"&amp;" に切れる　もう1便を至急発注","入庫後も "&amp;TEXT($CC122,"m/d")&amp;"("&amp;CHOOSE(WEEKDAY($CC122),"日","月","火","水","木","金","土")&amp;")"&amp;" に切れる　"&amp;TEXT($CC122-N('設定'!$C$7),"m/d")&amp;"("&amp;CHOOSE(WEEKDAY($CC122-N('設定'!$C$7)),"日","月","火","水","木","金","土")&amp;")"&amp;" までに次を発注")))</f>
        <v/>
      </c>
      <c r="CP122">
        <f>IF($C122="","",IF('設定'!$C$6="","？ ①在庫を貼る に今日のCSVが貼られていない",IF($CS122=1,"－ 今日のCSVに無い（終売？）",IF($L122&lt;0,"● 在庫がマイナス　数えて「数えた在庫」に入れる",IF($L122=0,"● 在庫なし　至急発注",IF($M122="","？ 減り数が未設定（商品マスタ）",IF($B$3=0,"？ 動員が未入力（動員を入れる）",IF($CA122="","○ 14日以上もつ",IF($BZ122&lt;N('設定'!$C$7),"● "&amp;TEXT($CA122,"m/d")&amp;"("&amp;CHOOSE(WEEKDAY($CA122),"日","月","火","水","木","金","土")&amp;")"&amp;" に切れる　至急発注",IF($BZ122=N('設定'!$C$7),"● "&amp;TEXT($CA122,"m/d")&amp;"("&amp;CHOOSE(WEEKDAY($CA122),"日","月","火","水","木","金","土")&amp;")"&amp;" に切れる　今日発注","△ "&amp;TEXT($CA122,"m/d")&amp;"("&amp;CHOOSE(WEEKDAY($CA122),"日","月","火","水","木","金","土")&amp;")"&amp;" に切れる　"&amp;TEXT($CA122-N('設定'!$C$7),"m/d")&amp;"("&amp;CHOOSE(WEEKDAY($CA122-N('設定'!$C$7)),"日","月","火","水","木","金","土")&amp;")"&amp;" までに発注"))))))))))</f>
        <v/>
      </c>
      <c r="CQ122">
        <f>IF($C122="","",IF(AND($P122="",$Q122="",$S122="",$T122=""),"",IF(AND($P122="",$Q122=""),"⚠ 先に1便目（左の入庫日・入庫数）に入れてください",IF($CI122&lt;&gt;"",$CI122,IF($CJ122&lt;&gt;"",$CJ122,IF($M122="","？ 減り数が未設定（発注書には載ります）",IF($B$3=0,"？ 動員が未入力（発注書には載ります）",IF(AND($CA122&lt;&gt;"",$P122&gt;$CA122),IF($P122&gt;'設定'!$C$6+N('設定'!$C$7),"● "&amp;TEXT($P122,"m/d")&amp;"("&amp;CHOOSE(WEEKDAY($P122),"日","月","火","水","木","金","土")&amp;")"&amp;" の入庫では間に合わない（"&amp;TEXT($CA122,"m/d")&amp;"("&amp;CHOOSE(WEEKDAY($CA122),"日","月","火","水","木","金","土")&amp;")"&amp;" に切れる）　入庫日を早める","△ 欠品 "&amp;TEXT($CA122,"m/d")&amp;"("&amp;CHOOSE(WEEKDAY($CA122),"日","月","火","水","木","金","土")&amp;")"&amp;"〜"&amp;TEXT($P122-1,"m/d")&amp;"("&amp;CHOOSE(WEEKDAY($P122-1),"日","月","火","水","木","金","土")&amp;")"&amp;"　"&amp;$CO122),IF($CC122="","○ "&amp;TEXT($P122,"m/d")&amp;"("&amp;CHOOSE(WEEKDAY($P122),"日","月","火","水","木","金","土")&amp;")"&amp;" 入庫で 14日以上もつ",IF($CC122-N('設定'!$C$7)&lt;='設定'!$C$6,"● 入庫しても "&amp;TEXT($CC122,"m/d")&amp;"("&amp;CHOOSE(WEEKDAY($CC122),"日","月","火","水","木","金","土")&amp;")"&amp;" に切れる　もう1便を至急発注（2便目に入れる）","△ 入庫しても "&amp;TEXT($CC122,"m/d")&amp;"("&amp;CHOOSE(WEEKDAY($CC122),"日","月","火","水","木","金","土")&amp;")"&amp;" に切れる　"&amp;TEXT($CC122-N('設定'!$C$7),"m/d")&amp;"("&amp;CHOOSE(WEEKDAY($CC122-N('設定'!$C$7)),"日","月","火","水","木","金","土")&amp;")"&amp;" までに次を発注（2便目に入れる）"))))))))))</f>
        <v/>
      </c>
      <c r="CR122">
        <f>IF($C122="","",IF($G122&gt;1,"ｹｰｽ("&amp;$G122&amp;"入)","個"))</f>
        <v/>
      </c>
      <c r="CS122">
        <f>IF($C122="",0,IF(COUNTIFS('①在庫を貼る'!$V$6:$V$10005,'設定'!$C$4,'①在庫を貼る'!$W$6:$W$10005,$C122)=0,1,0))</f>
        <v/>
      </c>
      <c r="CT122">
        <f>IF(AND($CK122=1,OR('③発注書'!$C$4="すべて",'③発注書'!$C$4="",$F122='③発注書'!$C$4)),N($CT121)+1,N($CT121))</f>
        <v/>
      </c>
      <c r="CU122">
        <f>IF(AND($CL122=1,OR('③発注書'!$C$4="すべて",'③発注書'!$C$4="",$F122='③発注書'!$C$4)),N($CU121)+1,N($CU121))</f>
        <v/>
      </c>
      <c r="CV122">
        <f>IF($C122="",0,IF(COUNTIFS('①在庫を貼る'!$V$6:$V$10005,'設定'!$C$4,'①在庫を貼る'!$W$6:$W$10005,$C122)&gt;0,1,0))</f>
        <v/>
      </c>
      <c r="CW122">
        <f>IF($C122="",0,IF(COUNTIFS('月1回_1ヶ月前の在庫'!$V$6:$V$10005,'設定'!$C$4,'月1回_1ヶ月前の在庫'!$W$6:$W$10005,$C122)&gt;0,1,0))</f>
        <v/>
      </c>
      <c r="CX122">
        <f>IF($C122="",0,IF(COUNTIFS('月1回_2ヶ月前の在庫'!$V$6:$V$10005,'設定'!$C$4,'月1回_2ヶ月前の在庫'!$W$6:$W$10005,$C122)&gt;0,1,0))</f>
        <v/>
      </c>
      <c r="CY122">
        <f>IF(OR($C122="",'設定'!$C$12=""),"",IF('設定'!$C$13="",IF(AND($CV122=1,$CW122=0),"新商品（今月から）",IF(AND($CV122=0,$CW122=1),"終売（今月から）","")),IF(AND($CV122=1,$CW122=0,$CX122=0),"新商品（今月から）",IF(AND($CV122=1,$CW122=1,$CX122=0),"新商品（先月から）",IF(AND($CV122=0,$CW122=1,$CX122=1),"終売（今月から）",IF(AND($CV122=0,$CW122=0,$CX122=1),"終売（先月から）",IF(AND($CV122=1,$CW122=0,$CX122=1),"復活（先月は無し）","")))))))</f>
        <v/>
      </c>
    </row>
    <row r="123">
      <c r="B123">
        <f>IF(118&lt;='設定'!$C$11,118,"")</f>
        <v/>
      </c>
      <c r="C123">
        <f>IF($B123="","",IF($B123&lt;='設定'!$C$20,INDEX('商品マスタ'!$B$6:$B$1005,MATCH($B123,'商品マスタ'!$M$6:$M$1005,0)),IF($B123&lt;='設定'!$C$20+'設定'!$C$17,INDEX('①在庫を貼る'!$W$6:$W$10005,MATCH($B123-'設定'!$C$20,'①在庫を貼る'!$U$6:$U$10005,0)),IF($B123&lt;='設定'!$C$20+'設定'!$C$17+'設定'!$C$18,INDEX('月1回_1ヶ月前の在庫'!$W$6:$W$10005,MATCH($B123-'設定'!$C$20-'設定'!$C$17,'月1回_1ヶ月前の在庫'!$U$6:$U$10005,0)),INDEX('月1回_2ヶ月前の在庫'!$W$6:$W$10005,MATCH($B123-'設定'!$C$20-'設定'!$C$17-'設定'!$C$18,'月1回_2ヶ月前の在庫'!$U$6:$U$10005,0))))))</f>
        <v/>
      </c>
      <c r="D123">
        <f>IF($C123="","",IFERROR(IF(INDEX('商品マスタ'!$C$6:$C$1005,MATCH($C123,'商品マスタ'!$B$6:$B$1005,0))="",IFERROR(INDEX('①在庫を貼る'!$J$6:$J$10005,MATCH($C123,'①在庫を貼る'!$W$6:$W$10005,0)),IFERROR(INDEX('月1回_1ヶ月前の在庫'!$J$6:$J$10005,MATCH($C123,'月1回_1ヶ月前の在庫'!$W$6:$W$10005,0)),IFERROR(INDEX('月1回_2ヶ月前の在庫'!$J$6:$J$10005,MATCH($C123,'月1回_2ヶ月前の在庫'!$W$6:$W$10005,0)),""))),INDEX('商品マスタ'!$C$6:$C$1005,MATCH($C123,'商品マスタ'!$B$6:$B$1005,0))),IFERROR(INDEX('①在庫を貼る'!$J$6:$J$10005,MATCH($C123,'①在庫を貼る'!$W$6:$W$10005,0)),IFERROR(INDEX('月1回_1ヶ月前の在庫'!$J$6:$J$10005,MATCH($C123,'月1回_1ヶ月前の在庫'!$W$6:$W$10005,0)),IFERROR(INDEX('月1回_2ヶ月前の在庫'!$J$6:$J$10005,MATCH($C123,'月1回_2ヶ月前の在庫'!$W$6:$W$10005,0)),"")))))</f>
        <v/>
      </c>
      <c r="E123">
        <f>IF($C123="","",IFERROR(IF(INDEX('商品マスタ'!$D$6:$D$1005,MATCH($C123,'商品マスタ'!$B$6:$B$1005,0))="",IFERROR(INDEX('①在庫を貼る'!$H$6:$H$10005,MATCH($C123,'①在庫を貼る'!$W$6:$W$10005,0)),IFERROR(INDEX('月1回_1ヶ月前の在庫'!$H$6:$H$10005,MATCH($C123,'月1回_1ヶ月前の在庫'!$W$6:$W$10005,0)),IFERROR(INDEX('月1回_2ヶ月前の在庫'!$H$6:$H$10005,MATCH($C123,'月1回_2ヶ月前の在庫'!$W$6:$W$10005,0)),""))),INDEX('商品マスタ'!$D$6:$D$1005,MATCH($C123,'商品マスタ'!$B$6:$B$1005,0))),IFERROR(INDEX('①在庫を貼る'!$H$6:$H$10005,MATCH($C123,'①在庫を貼る'!$W$6:$W$10005,0)),IFERROR(INDEX('月1回_1ヶ月前の在庫'!$H$6:$H$10005,MATCH($C123,'月1回_1ヶ月前の在庫'!$W$6:$W$10005,0)),IFERROR(INDEX('月1回_2ヶ月前の在庫'!$H$6:$H$10005,MATCH($C123,'月1回_2ヶ月前の在庫'!$W$6:$W$10005,0)),"")))))</f>
        <v/>
      </c>
      <c r="F123">
        <f>IF($C123="","",IFERROR(IF(INDEX('商品マスタ'!$E$6:$E$1005,MATCH($C123,'商品マスタ'!$B$6:$B$1005,0))="",IFERROR(INDEX('①在庫を貼る'!$E$6:$E$10005,MATCH($C123,'①在庫を貼る'!$W$6:$W$10005,0)),IFERROR(INDEX('月1回_1ヶ月前の在庫'!$E$6:$E$10005,MATCH($C123,'月1回_1ヶ月前の在庫'!$W$6:$W$10005,0)),IFERROR(INDEX('月1回_2ヶ月前の在庫'!$E$6:$E$10005,MATCH($C123,'月1回_2ヶ月前の在庫'!$W$6:$W$10005,0)),""))),INDEX('商品マスタ'!$E$6:$E$1005,MATCH($C123,'商品マスタ'!$B$6:$B$1005,0))),IFERROR(INDEX('①在庫を貼る'!$E$6:$E$10005,MATCH($C123,'①在庫を貼る'!$W$6:$W$10005,0)),IFERROR(INDEX('月1回_1ヶ月前の在庫'!$E$6:$E$10005,MATCH($C123,'月1回_1ヶ月前の在庫'!$W$6:$W$10005,0)),IFERROR(INDEX('月1回_2ヶ月前の在庫'!$E$6:$E$10005,MATCH($C123,'月1回_2ヶ月前の在庫'!$W$6:$W$10005,0)),"")))))</f>
        <v/>
      </c>
      <c r="G123">
        <f>IF($C123="","",MAX(1,N(IFERROR(IF(INDEX('商品マスタ'!$F$6:$F$1005,MATCH($C123,'商品マスタ'!$B$6:$B$1005,0))="",IF(COUNTIFS('①在庫を貼る'!$V$6:$V$10005,'設定'!$C$4,'①在庫を貼る'!$W$6:$W$10005,$C123)&gt;0,SUMIFS('①在庫を貼る'!$K$6:$K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K$6:$K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K$6:$K$10005,'月1回_2ヶ月前の在庫'!$V$6:$V$10005,'設定'!$C$4,'月1回_2ヶ月前の在庫'!$W$6:$W$10005,$C123)/COUNTIFS('月1回_2ヶ月前の在庫'!$V$6:$V$10005,'設定'!$C$4,'月1回_2ヶ月前の在庫'!$W$6:$W$10005,$C123),0))),INDEX('商品マスタ'!$F$6:$F$1005,MATCH($C123,'商品マスタ'!$B$6:$B$1005,0))),IF(COUNTIFS('①在庫を貼る'!$V$6:$V$10005,'設定'!$C$4,'①在庫を貼る'!$W$6:$W$10005,$C123)&gt;0,SUMIFS('①在庫を貼る'!$K$6:$K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K$6:$K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K$6:$K$10005,'月1回_2ヶ月前の在庫'!$V$6:$V$10005,'設定'!$C$4,'月1回_2ヶ月前の在庫'!$W$6:$W$10005,$C123)/COUNTIFS('月1回_2ヶ月前の在庫'!$V$6:$V$10005,'設定'!$C$4,'月1回_2ヶ月前の在庫'!$W$6:$W$10005,$C123),0)))))))</f>
        <v/>
      </c>
      <c r="H123">
        <f>IF($C123="","",N(IFERROR(IF(INDEX('商品マスタ'!$G$6:$G$1005,MATCH($C123,'商品マスタ'!$B$6:$B$1005,0))="",IF(COUNTIFS('①在庫を貼る'!$V$6:$V$10005,'設定'!$C$4,'①在庫を貼る'!$W$6:$W$10005,$C123)&gt;0,SUMIFS('①在庫を貼る'!$Q$6:$Q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Q$6:$Q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Q$6:$Q$10005,'月1回_2ヶ月前の在庫'!$V$6:$V$10005,'設定'!$C$4,'月1回_2ヶ月前の在庫'!$W$6:$W$10005,$C123)/COUNTIFS('月1回_2ヶ月前の在庫'!$V$6:$V$10005,'設定'!$C$4,'月1回_2ヶ月前の在庫'!$W$6:$W$10005,$C123),0))),INDEX('商品マスタ'!$G$6:$G$1005,MATCH($C123,'商品マスタ'!$B$6:$B$1005,0))),IF(COUNTIFS('①在庫を貼る'!$V$6:$V$10005,'設定'!$C$4,'①在庫を貼る'!$W$6:$W$10005,$C123)&gt;0,SUMIFS('①在庫を貼る'!$Q$6:$Q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Q$6:$Q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Q$6:$Q$10005,'月1回_2ヶ月前の在庫'!$V$6:$V$10005,'設定'!$C$4,'月1回_2ヶ月前の在庫'!$W$6:$W$10005,$C123)/COUNTIFS('月1回_2ヶ月前の在庫'!$V$6:$V$10005,'設定'!$C$4,'月1回_2ヶ月前の在庫'!$W$6:$W$10005,$C123),0))))))</f>
        <v/>
      </c>
      <c r="I123">
        <f>IF($C123="","",IF(COUNTIFS('①在庫を貼る'!$V$6:$V$10005,'設定'!$C$4,'①在庫を貼る'!$W$6:$W$10005,$C123)=0,"",SUMIFS('①在庫を貼る'!$N$6:$N$10005,'①在庫を貼る'!$V$6:$V$10005,'設定'!$C$4,'①在庫を貼る'!$W$6:$W$10005,$C123)))</f>
        <v/>
      </c>
      <c r="J123">
        <f>IF($C123="","",IF('②発注する'!$AD127="","",'②発注する'!$AD127))</f>
        <v/>
      </c>
      <c r="K123" s="90">
        <f>IF($C123="","",IF('②発注する'!$AE127="","",'②発注する'!$AE127))</f>
        <v/>
      </c>
      <c r="L123">
        <f>IF($C123="","",IF(AND(ISNUMBER($J123),ISNUMBER($K123),$K123&gt;='設定'!$C$6),$J123,N($I123)))</f>
        <v/>
      </c>
      <c r="M123">
        <f>IF($C123="","",IFERROR(IF(N(INDEX('商品マスタ'!$J$6:$J$1005,MATCH($C123,'商品マスタ'!$B$6:$B$1005,0)))&gt;0,INDEX('商品マスタ'!$J$6:$J$1005,MATCH($C123,'商品マスタ'!$B$6:$B$1005,0)),""),""))</f>
        <v/>
      </c>
      <c r="N123">
        <f>IF($C123="","",IFERROR(IF(N(INDEX('商品マスタ'!$H$6:$H$1005,MATCH($C123,'商品マスタ'!$B$6:$B$1005,0)))&gt;0,INDEX('商品マスタ'!$H$6:$H$1005,MATCH($C123,'商品マスタ'!$B$6:$B$1005,0)),""),""))</f>
        <v/>
      </c>
      <c r="O123">
        <f>IF($C123="","",IF($N123&lt;&gt;"",$N123*$G123,IF(N(IF(COUNTIFS('①在庫を貼る'!$V$6:$V$10005,'設定'!$C$4,'①在庫を貼る'!$W$6:$W$10005,$C123)&gt;0,SUMIFS('①在庫を貼る'!$O$6:$O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O$6:$O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O$6:$O$10005,'月1回_2ヶ月前の在庫'!$V$6:$V$10005,'設定'!$C$4,'月1回_2ヶ月前の在庫'!$W$6:$W$10005,$C123)/COUNTIFS('月1回_2ヶ月前の在庫'!$V$6:$V$10005,'設定'!$C$4,'月1回_2ヶ月前の在庫'!$W$6:$W$10005,$C123),0))))&gt;0,N(IF(COUNTIFS('①在庫を貼る'!$V$6:$V$10005,'設定'!$C$4,'①在庫を貼る'!$W$6:$W$10005,$C123)&gt;0,SUMIFS('①在庫を貼る'!$O$6:$O$10005,'①在庫を貼る'!$V$6:$V$10005,'設定'!$C$4,'①在庫を貼る'!$W$6:$W$10005,$C123)/COUNTIFS('①在庫を貼る'!$V$6:$V$10005,'設定'!$C$4,'①在庫を貼る'!$W$6:$W$10005,$C123),IF(COUNTIFS('月1回_1ヶ月前の在庫'!$V$6:$V$10005,'設定'!$C$4,'月1回_1ヶ月前の在庫'!$W$6:$W$10005,$C123)&gt;0,SUMIFS('月1回_1ヶ月前の在庫'!$O$6:$O$10005,'月1回_1ヶ月前の在庫'!$V$6:$V$10005,'設定'!$C$4,'月1回_1ヶ月前の在庫'!$W$6:$W$10005,$C123)/COUNTIFS('月1回_1ヶ月前の在庫'!$V$6:$V$10005,'設定'!$C$4,'月1回_1ヶ月前の在庫'!$W$6:$W$10005,$C123),IF(COUNTIFS('月1回_2ヶ月前の在庫'!$V$6:$V$10005,'設定'!$C$4,'月1回_2ヶ月前の在庫'!$W$6:$W$10005,$C123)&gt;0,SUMIFS('月1回_2ヶ月前の在庫'!$O$6:$O$10005,'月1回_2ヶ月前の在庫'!$V$6:$V$10005,'設定'!$C$4,'月1回_2ヶ月前の在庫'!$W$6:$W$10005,$C123)/COUNTIFS('月1回_2ヶ月前の在庫'!$V$6:$V$10005,'設定'!$C$4,'月1回_2ヶ月前の在庫'!$W$6:$W$10005,$C123),0)))),"")))</f>
        <v/>
      </c>
      <c r="P123" s="90">
        <f>IF($C123="","",IF('②発注する'!$I127="","",'②発注する'!$I127))</f>
        <v/>
      </c>
      <c r="Q123">
        <f>IF($C123="","",IF('②発注する'!$J127="","",'②発注する'!$J127))</f>
        <v/>
      </c>
      <c r="R123">
        <f>IF($C123="",0,IF(AND(ISNUMBER($P123),ISNUMBER($Q123)),MAX(0,$Q123)*$G123,0))</f>
        <v/>
      </c>
      <c r="S123" s="90">
        <f>IF($C123="","",IF('②発注する'!$M127="","",'②発注する'!$M127))</f>
        <v/>
      </c>
      <c r="T123">
        <f>IF($C123="","",IF('②発注する'!$N127="","",'②発注する'!$N127))</f>
        <v/>
      </c>
      <c r="U123">
        <f>IF($C123="",0,IF(AND(ISNUMBER($S123),ISNUMBER($T123)),MAX(0,$T123)*$G123,0))</f>
        <v/>
      </c>
      <c r="V123">
        <f>IF($C123="",0,IF($M123="",0,MAX(0,$M123)*MAX(0,V$4)/100))</f>
        <v/>
      </c>
      <c r="W123">
        <f>IF($C123="",0,IF($M123="",0,MAX(0,$M123)*MAX(0,W$4)/100))</f>
        <v/>
      </c>
      <c r="X123">
        <f>IF($C123="",0,IF($M123="",0,MAX(0,$M123)*MAX(0,X$4)/100))</f>
        <v/>
      </c>
      <c r="Y123">
        <f>IF($C123="",0,IF($M123="",0,MAX(0,$M123)*MAX(0,Y$4)/100))</f>
        <v/>
      </c>
      <c r="Z123">
        <f>IF($C123="",0,IF($M123="",0,MAX(0,$M123)*MAX(0,Z$4)/100))</f>
        <v/>
      </c>
      <c r="AA123">
        <f>IF($C123="",0,IF($M123="",0,MAX(0,$M123)*MAX(0,AA$4)/100))</f>
        <v/>
      </c>
      <c r="AB123">
        <f>IF($C123="",0,IF($M123="",0,MAX(0,$M123)*MAX(0,AB$4)/100))</f>
        <v/>
      </c>
      <c r="AC123">
        <f>IF($C123="",0,IF($M123="",0,MAX(0,$M123)*MAX(0,AC$4)/100))</f>
        <v/>
      </c>
      <c r="AD123">
        <f>IF($C123="",0,IF($M123="",0,MAX(0,$M123)*MAX(0,AD$4)/100))</f>
        <v/>
      </c>
      <c r="AE123">
        <f>IF($C123="",0,IF($M123="",0,MAX(0,$M123)*MAX(0,AE$4)/100))</f>
        <v/>
      </c>
      <c r="AF123">
        <f>IF($C123="",0,IF($M123="",0,MAX(0,$M123)*MAX(0,AF$4)/100))</f>
        <v/>
      </c>
      <c r="AG123">
        <f>IF($C123="",0,IF($M123="",0,MAX(0,$M123)*MAX(0,AG$4)/100))</f>
        <v/>
      </c>
      <c r="AH123">
        <f>IF($C123="",0,IF($M123="",0,MAX(0,$M123)*MAX(0,AH$4)/100))</f>
        <v/>
      </c>
      <c r="AI123">
        <f>IF($C123="",0,IF($M123="",0,MAX(0,$M123)*MAX(0,AI$4)/100))</f>
        <v/>
      </c>
      <c r="AJ123">
        <f>IF($C123="",0,MAX(0,MAX(0,N($L123))-$V123))</f>
        <v/>
      </c>
      <c r="AK123">
        <f>IF($C123="",0,MAX(0,$AJ123-$W123))</f>
        <v/>
      </c>
      <c r="AL123">
        <f>IF($C123="",0,MAX(0,$AK123-$X123))</f>
        <v/>
      </c>
      <c r="AM123">
        <f>IF($C123="",0,MAX(0,$AL123-$Y123))</f>
        <v/>
      </c>
      <c r="AN123">
        <f>IF($C123="",0,MAX(0,$AM123-$Z123))</f>
        <v/>
      </c>
      <c r="AO123">
        <f>IF($C123="",0,MAX(0,$AN123-$AA123))</f>
        <v/>
      </c>
      <c r="AP123">
        <f>IF($C123="",0,MAX(0,$AO123-$AB123))</f>
        <v/>
      </c>
      <c r="AQ123">
        <f>IF($C123="",0,MAX(0,$AP123-$AC123))</f>
        <v/>
      </c>
      <c r="AR123">
        <f>IF($C123="",0,MAX(0,$AQ123-$AD123))</f>
        <v/>
      </c>
      <c r="AS123">
        <f>IF($C123="",0,MAX(0,$AR123-$AE123))</f>
        <v/>
      </c>
      <c r="AT123">
        <f>IF($C123="",0,MAX(0,$AS123-$AF123))</f>
        <v/>
      </c>
      <c r="AU123">
        <f>IF($C123="",0,MAX(0,$AT123-$AG123))</f>
        <v/>
      </c>
      <c r="AV123">
        <f>IF($C123="",0,MAX(0,$AU123-$AH123))</f>
        <v/>
      </c>
      <c r="AW123">
        <f>IF($C123="",0,MAX(0,$AV123-$AI123))</f>
        <v/>
      </c>
      <c r="AX123">
        <f>IF($C123="",0,MAX(0,MAX(0,N($L123))+IF($P123=V$3,$R123,0)+IF($S123=V$3,$U123,0)-$V123))</f>
        <v/>
      </c>
      <c r="AY123">
        <f>IF($C123="",0,MAX(0,$AX123+IF($P123=W$3,$R123,0)+IF($S123=W$3,$U123,0)-$W123))</f>
        <v/>
      </c>
      <c r="AZ123">
        <f>IF($C123="",0,MAX(0,$AY123+IF($P123=X$3,$R123,0)+IF($S123=X$3,$U123,0)-$X123))</f>
        <v/>
      </c>
      <c r="BA123">
        <f>IF($C123="",0,MAX(0,$AZ123+IF($P123=Y$3,$R123,0)+IF($S123=Y$3,$U123,0)-$Y123))</f>
        <v/>
      </c>
      <c r="BB123">
        <f>IF($C123="",0,MAX(0,$BA123+IF($P123=Z$3,$R123,0)+IF($S123=Z$3,$U123,0)-$Z123))</f>
        <v/>
      </c>
      <c r="BC123">
        <f>IF($C123="",0,MAX(0,$BB123+IF($P123=AA$3,$R123,0)+IF($S123=AA$3,$U123,0)-$AA123))</f>
        <v/>
      </c>
      <c r="BD123">
        <f>IF($C123="",0,MAX(0,$BC123+IF($P123=AB$3,$R123,0)+IF($S123=AB$3,$U123,0)-$AB123))</f>
        <v/>
      </c>
      <c r="BE123">
        <f>IF($C123="",0,MAX(0,$BD123+IF($P123=AC$3,$R123,0)+IF($S123=AC$3,$U123,0)-$AC123))</f>
        <v/>
      </c>
      <c r="BF123">
        <f>IF($C123="",0,MAX(0,$BE123+IF($P123=AD$3,$R123,0)+IF($S123=AD$3,$U123,0)-$AD123))</f>
        <v/>
      </c>
      <c r="BG123">
        <f>IF($C123="",0,MAX(0,$BF123+IF($P123=AE$3,$R123,0)+IF($S123=AE$3,$U123,0)-$AE123))</f>
        <v/>
      </c>
      <c r="BH123">
        <f>IF($C123="",0,MAX(0,$BG123+IF($P123=AF$3,$R123,0)+IF($S123=AF$3,$U123,0)-$AF123))</f>
        <v/>
      </c>
      <c r="BI123">
        <f>IF($C123="",0,MAX(0,$BH123+IF($P123=AG$3,$R123,0)+IF($S123=AG$3,$U123,0)-$AG123))</f>
        <v/>
      </c>
      <c r="BJ123">
        <f>IF($C123="",0,MAX(0,$BI123+IF($P123=AH$3,$R123,0)+IF($S123=AH$3,$U123,0)-$AH123))</f>
        <v/>
      </c>
      <c r="BK123">
        <f>IF($C123="",0,MAX(0,$BJ123+IF($P123=AI$3,$R123,0)+IF($S123=AI$3,$U123,0)-$AI123))</f>
        <v/>
      </c>
      <c r="BL123">
        <f>IF($C123="",99,IF(AND($AX123&lt;1,V$3&gt;=MAX(N($P123),N($S123))),0,99))</f>
        <v/>
      </c>
      <c r="BM123">
        <f>IF($C123="",99,IF(AND($AY123&lt;1,W$3&gt;=MAX(N($P123),N($S123))),1,99))</f>
        <v/>
      </c>
      <c r="BN123">
        <f>IF($C123="",99,IF(AND($AZ123&lt;1,X$3&gt;=MAX(N($P123),N($S123))),2,99))</f>
        <v/>
      </c>
      <c r="BO123">
        <f>IF($C123="",99,IF(AND($BA123&lt;1,Y$3&gt;=MAX(N($P123),N($S123))),3,99))</f>
        <v/>
      </c>
      <c r="BP123">
        <f>IF($C123="",99,IF(AND($BB123&lt;1,Z$3&gt;=MAX(N($P123),N($S123))),4,99))</f>
        <v/>
      </c>
      <c r="BQ123">
        <f>IF($C123="",99,IF(AND($BC123&lt;1,AA$3&gt;=MAX(N($P123),N($S123))),5,99))</f>
        <v/>
      </c>
      <c r="BR123">
        <f>IF($C123="",99,IF(AND($BD123&lt;1,AB$3&gt;=MAX(N($P123),N($S123))),6,99))</f>
        <v/>
      </c>
      <c r="BS123">
        <f>IF($C123="",99,IF(AND($BE123&lt;1,AC$3&gt;=MAX(N($P123),N($S123))),7,99))</f>
        <v/>
      </c>
      <c r="BT123">
        <f>IF($C123="",99,IF(AND($BF123&lt;1,AD$3&gt;=MAX(N($P123),N($S123))),8,99))</f>
        <v/>
      </c>
      <c r="BU123">
        <f>IF($C123="",99,IF(AND($BG123&lt;1,AE$3&gt;=MAX(N($P123),N($S123))),9,99))</f>
        <v/>
      </c>
      <c r="BV123">
        <f>IF($C123="",99,IF(AND($BH123&lt;1,AF$3&gt;=MAX(N($P123),N($S123))),10,99))</f>
        <v/>
      </c>
      <c r="BW123">
        <f>IF($C123="",99,IF(AND($BI123&lt;1,AG$3&gt;=MAX(N($P123),N($S123))),11,99))</f>
        <v/>
      </c>
      <c r="BX123">
        <f>IF($C123="",99,IF(AND($BJ123&lt;1,AH$3&gt;=MAX(N($P123),N($S123))),12,99))</f>
        <v/>
      </c>
      <c r="BY123">
        <f>IF($C123="",99,IF(AND($BK123&lt;1,AI$3&gt;=MAX(N($P123),N($S123))),13,99))</f>
        <v/>
      </c>
      <c r="BZ123">
        <f>IF(OR($C123="",$M123=""),"",COUNTIF($AJ123:$AW123,"&gt;=1"))</f>
        <v/>
      </c>
      <c r="CA123" s="90">
        <f>IF($BZ123="","",IF($BZ123&gt;=14,"",'設定'!$C$6+$BZ123))</f>
        <v/>
      </c>
      <c r="CB123">
        <f>IF(OR($C123="",$M123=""),"",MIN($BL123:$BY123))</f>
        <v/>
      </c>
      <c r="CC123" s="90">
        <f>IF($CB123="","",IF($CB123&gt;=99,"",'設定'!$C$6+$CB123))</f>
        <v/>
      </c>
      <c r="CD123">
        <f>IF(OR($C123="",$M123=""),"",AVERAGE($V123:$AI123))</f>
        <v/>
      </c>
      <c r="CE123">
        <f>IF($C123="","",IFERROR(IF(MATCH(IF(ISNUMBER($P123),$P123,'設定'!$C$6+N('設定'!$C$7)),$V$3:$AI$3,0)=1,MAX(0,N($L123)),INDEX($AJ123:$AW123,MATCH(IF(ISNUMBER($P123),$P123,'設定'!$C$6+N('設定'!$C$7)),$V$3:$AI$3,0)-1)),""))</f>
        <v/>
      </c>
      <c r="CF123">
        <f>IF(OR($C123="",$O123="",$CE123=""),"",IF($O123-$CE123&lt;=0,0,ROUNDUP(($O123-$CE123)/$G123,0)))</f>
        <v/>
      </c>
      <c r="CG123">
        <f>IF(OR($C123="",$CF123="",NOT(ISNUMBER($Q123))),0,MAX(0,$Q123-$CF123))</f>
        <v/>
      </c>
      <c r="CH123">
        <f>IF(OR($C123="",$O123="",$U123=0),0,IFERROR(ROUNDUP(MAX(0,IF(MATCH($S123,$V$3:$AI$3,0)=1,MAX(0,N($L123)),INDEX($AX123:$BK123,MATCH($S123,$V$3:$AI$3,0)-1))+$U123-$O123)/$G123,0),0))</f>
        <v/>
      </c>
      <c r="CI123">
        <f>IF($C123="","",IF(AND($P123="",$Q123=""),"",IF($P123="","⚠ 入庫日を ▼ から選んでください",IF(NOT(ISNUMBER($P123)),"⚠ 入庫日は ▼ から選んでください",IF($P123&lt;N('設定'!$C$6),"⚠ 入庫日が過去です（もう在庫に入っています）→ 消してください",IF($P123&gt;N('設定'!$C$6)+13,"⚠ 入庫日が14日より先です",IF(N($Q123)&lt;=0,"⚠ 入庫数を入れてください",IF($CG123&gt;0,"⚠ 目安より "&amp;$CG123&amp;" 多い（定数を超える）→ 減らす",""))))))))</f>
        <v/>
      </c>
      <c r="CJ123">
        <f>IF($C123="","",IF(AND($S123="",$T123=""),"",IF($S123="","⚠ 2便目：入庫日を ▼ から選んでください",IF(NOT(ISNUMBER($S123)),"⚠ 2便目：入庫日は ▼ から選んでください",IF($S123&lt;N('設定'!$C$6),"⚠ 2便目：入庫日が過去です（もう在庫に入っています）→ 消してください",IF($S123&gt;N('設定'!$C$6)+13,"⚠ 2便目：入庫日が14日より先です",IF(N($T123)&lt;=0,"⚠ 2便目：入庫数を入れてください",IF($CH123&gt;0,"⚠ 2便目：定数を "&amp;$CH123&amp;" ケース超える → 減らす",""))))))))</f>
        <v/>
      </c>
      <c r="CK123">
        <f>IF(AND($CI123="",N($Q123)&gt;0,ISNUMBER($P123)),1,0)</f>
        <v/>
      </c>
      <c r="CL123">
        <f>IF(AND($CJ123="",N($T123)&gt;0,ISNUMBER($S123)),1,0)</f>
        <v/>
      </c>
      <c r="CM123">
        <f>IF(OR($CK123=1,$CL123=1),1,0)</f>
        <v/>
      </c>
      <c r="CN123">
        <f>IF($C123="",0,($CK123*$R123+$CL123*$U123)*N($H123))</f>
        <v/>
      </c>
      <c r="CO123">
        <f>IF($C123="","",IF($CC123="","入庫後は 14日以上もつ",IF($CC123-N('設定'!$C$7)&lt;='設定'!$C$6,"入庫後も "&amp;TEXT($CC123,"m/d")&amp;"("&amp;CHOOSE(WEEKDAY($CC123),"日","月","火","水","木","金","土")&amp;")"&amp;" に切れる　もう1便を至急発注","入庫後も "&amp;TEXT($CC123,"m/d")&amp;"("&amp;CHOOSE(WEEKDAY($CC123),"日","月","火","水","木","金","土")&amp;")"&amp;" に切れる　"&amp;TEXT($CC123-N('設定'!$C$7),"m/d")&amp;"("&amp;CHOOSE(WEEKDAY($CC123-N('設定'!$C$7)),"日","月","火","水","木","金","土")&amp;")"&amp;" までに次を発注")))</f>
        <v/>
      </c>
      <c r="CP123">
        <f>IF($C123="","",IF('設定'!$C$6="","？ ①在庫を貼る に今日のCSVが貼られていない",IF($CS123=1,"－ 今日のCSVに無い（終売？）",IF($L123&lt;0,"● 在庫がマイナス　数えて「数えた在庫」に入れる",IF($L123=0,"● 在庫なし　至急発注",IF($M123="","？ 減り数が未設定（商品マスタ）",IF($B$3=0,"？ 動員が未入力（動員を入れる）",IF($CA123="","○ 14日以上もつ",IF($BZ123&lt;N('設定'!$C$7),"● "&amp;TEXT($CA123,"m/d")&amp;"("&amp;CHOOSE(WEEKDAY($CA123),"日","月","火","水","木","金","土")&amp;")"&amp;" に切れる　至急発注",IF($BZ123=N('設定'!$C$7),"● "&amp;TEXT($CA123,"m/d")&amp;"("&amp;CHOOSE(WEEKDAY($CA123),"日","月","火","水","木","金","土")&amp;")"&amp;" に切れる　今日発注","△ "&amp;TEXT($CA123,"m/d")&amp;"("&amp;CHOOSE(WEEKDAY($CA123),"日","月","火","水","木","金","土")&amp;")"&amp;" に切れる　"&amp;TEXT($CA123-N('設定'!$C$7),"m/d")&amp;"("&amp;CHOOSE(WEEKDAY($CA123-N('設定'!$C$7)),"日","月","火","水","木","金","土")&amp;")"&amp;" までに発注"))))))))))</f>
        <v/>
      </c>
      <c r="CQ123">
        <f>IF($C123="","",IF(AND($P123="",$Q123="",$S123="",$T123=""),"",IF(AND($P123="",$Q123=""),"⚠ 先に1便目（左の入庫日・入庫数）に入れてください",IF($CI123&lt;&gt;"",$CI123,IF($CJ123&lt;&gt;"",$CJ123,IF($M123="","？ 減り数が未設定（発注書には載ります）",IF($B$3=0,"？ 動員が未入力（発注書には載ります）",IF(AND($CA123&lt;&gt;"",$P123&gt;$CA123),IF($P123&gt;'設定'!$C$6+N('設定'!$C$7),"● "&amp;TEXT($P123,"m/d")&amp;"("&amp;CHOOSE(WEEKDAY($P123),"日","月","火","水","木","金","土")&amp;")"&amp;" の入庫では間に合わない（"&amp;TEXT($CA123,"m/d")&amp;"("&amp;CHOOSE(WEEKDAY($CA123),"日","月","火","水","木","金","土")&amp;")"&amp;" に切れる）　入庫日を早める","△ 欠品 "&amp;TEXT($CA123,"m/d")&amp;"("&amp;CHOOSE(WEEKDAY($CA123),"日","月","火","水","木","金","土")&amp;")"&amp;"〜"&amp;TEXT($P123-1,"m/d")&amp;"("&amp;CHOOSE(WEEKDAY($P123-1),"日","月","火","水","木","金","土")&amp;")"&amp;"　"&amp;$CO123),IF($CC123="","○ "&amp;TEXT($P123,"m/d")&amp;"("&amp;CHOOSE(WEEKDAY($P123),"日","月","火","水","木","金","土")&amp;")"&amp;" 入庫で 14日以上もつ",IF($CC123-N('設定'!$C$7)&lt;='設定'!$C$6,"● 入庫しても "&amp;TEXT($CC123,"m/d")&amp;"("&amp;CHOOSE(WEEKDAY($CC123),"日","月","火","水","木","金","土")&amp;")"&amp;" に切れる　もう1便を至急発注（2便目に入れる）","△ 入庫しても "&amp;TEXT($CC123,"m/d")&amp;"("&amp;CHOOSE(WEEKDAY($CC123),"日","月","火","水","木","金","土")&amp;")"&amp;" に切れる　"&amp;TEXT($CC123-N('設定'!$C$7),"m/d")&amp;"("&amp;CHOOSE(WEEKDAY($CC123-N('設定'!$C$7)),"日","月","火","水","木","金","土")&amp;")"&amp;" までに次を発注（2便目に入れる）"))))))))))</f>
        <v/>
      </c>
      <c r="CR123">
        <f>IF($C123="","",IF($G123&gt;1,"ｹｰｽ("&amp;$G123&amp;"入)","個"))</f>
        <v/>
      </c>
      <c r="CS123">
        <f>IF($C123="",0,IF(COUNTIFS('①在庫を貼る'!$V$6:$V$10005,'設定'!$C$4,'①在庫を貼る'!$W$6:$W$10005,$C123)=0,1,0))</f>
        <v/>
      </c>
      <c r="CT123">
        <f>IF(AND($CK123=1,OR('③発注書'!$C$4="すべて",'③発注書'!$C$4="",$F123='③発注書'!$C$4)),N($CT122)+1,N($CT122))</f>
        <v/>
      </c>
      <c r="CU123">
        <f>IF(AND($CL123=1,OR('③発注書'!$C$4="すべて",'③発注書'!$C$4="",$F123='③発注書'!$C$4)),N($CU122)+1,N($CU122))</f>
        <v/>
      </c>
      <c r="CV123">
        <f>IF($C123="",0,IF(COUNTIFS('①在庫を貼る'!$V$6:$V$10005,'設定'!$C$4,'①在庫を貼る'!$W$6:$W$10005,$C123)&gt;0,1,0))</f>
        <v/>
      </c>
      <c r="CW123">
        <f>IF($C123="",0,IF(COUNTIFS('月1回_1ヶ月前の在庫'!$V$6:$V$10005,'設定'!$C$4,'月1回_1ヶ月前の在庫'!$W$6:$W$10005,$C123)&gt;0,1,0))</f>
        <v/>
      </c>
      <c r="CX123">
        <f>IF($C123="",0,IF(COUNTIFS('月1回_2ヶ月前の在庫'!$V$6:$V$10005,'設定'!$C$4,'月1回_2ヶ月前の在庫'!$W$6:$W$10005,$C123)&gt;0,1,0))</f>
        <v/>
      </c>
      <c r="CY123">
        <f>IF(OR($C123="",'設定'!$C$12=""),"",IF('設定'!$C$13="",IF(AND($CV123=1,$CW123=0),"新商品（今月から）",IF(AND($CV123=0,$CW123=1),"終売（今月から）","")),IF(AND($CV123=1,$CW123=0,$CX123=0),"新商品（今月から）",IF(AND($CV123=1,$CW123=1,$CX123=0),"新商品（先月から）",IF(AND($CV123=0,$CW123=1,$CX123=1),"終売（今月から）",IF(AND($CV123=0,$CW123=0,$CX123=1),"終売（先月から）",IF(AND($CV123=1,$CW123=0,$CX123=1),"復活（先月は無し）","")))))))</f>
        <v/>
      </c>
    </row>
    <row r="124">
      <c r="B124">
        <f>IF(119&lt;='設定'!$C$11,119,"")</f>
        <v/>
      </c>
      <c r="C124">
        <f>IF($B124="","",IF($B124&lt;='設定'!$C$20,INDEX('商品マスタ'!$B$6:$B$1005,MATCH($B124,'商品マスタ'!$M$6:$M$1005,0)),IF($B124&lt;='設定'!$C$20+'設定'!$C$17,INDEX('①在庫を貼る'!$W$6:$W$10005,MATCH($B124-'設定'!$C$20,'①在庫を貼る'!$U$6:$U$10005,0)),IF($B124&lt;='設定'!$C$20+'設定'!$C$17+'設定'!$C$18,INDEX('月1回_1ヶ月前の在庫'!$W$6:$W$10005,MATCH($B124-'設定'!$C$20-'設定'!$C$17,'月1回_1ヶ月前の在庫'!$U$6:$U$10005,0)),INDEX('月1回_2ヶ月前の在庫'!$W$6:$W$10005,MATCH($B124-'設定'!$C$20-'設定'!$C$17-'設定'!$C$18,'月1回_2ヶ月前の在庫'!$U$6:$U$10005,0))))))</f>
        <v/>
      </c>
      <c r="D124">
        <f>IF($C124="","",IFERROR(IF(INDEX('商品マスタ'!$C$6:$C$1005,MATCH($C124,'商品マスタ'!$B$6:$B$1005,0))="",IFERROR(INDEX('①在庫を貼る'!$J$6:$J$10005,MATCH($C124,'①在庫を貼る'!$W$6:$W$10005,0)),IFERROR(INDEX('月1回_1ヶ月前の在庫'!$J$6:$J$10005,MATCH($C124,'月1回_1ヶ月前の在庫'!$W$6:$W$10005,0)),IFERROR(INDEX('月1回_2ヶ月前の在庫'!$J$6:$J$10005,MATCH($C124,'月1回_2ヶ月前の在庫'!$W$6:$W$10005,0)),""))),INDEX('商品マスタ'!$C$6:$C$1005,MATCH($C124,'商品マスタ'!$B$6:$B$1005,0))),IFERROR(INDEX('①在庫を貼る'!$J$6:$J$10005,MATCH($C124,'①在庫を貼る'!$W$6:$W$10005,0)),IFERROR(INDEX('月1回_1ヶ月前の在庫'!$J$6:$J$10005,MATCH($C124,'月1回_1ヶ月前の在庫'!$W$6:$W$10005,0)),IFERROR(INDEX('月1回_2ヶ月前の在庫'!$J$6:$J$10005,MATCH($C124,'月1回_2ヶ月前の在庫'!$W$6:$W$10005,0)),"")))))</f>
        <v/>
      </c>
      <c r="E124">
        <f>IF($C124="","",IFERROR(IF(INDEX('商品マスタ'!$D$6:$D$1005,MATCH($C124,'商品マスタ'!$B$6:$B$1005,0))="",IFERROR(INDEX('①在庫を貼る'!$H$6:$H$10005,MATCH($C124,'①在庫を貼る'!$W$6:$W$10005,0)),IFERROR(INDEX('月1回_1ヶ月前の在庫'!$H$6:$H$10005,MATCH($C124,'月1回_1ヶ月前の在庫'!$W$6:$W$10005,0)),IFERROR(INDEX('月1回_2ヶ月前の在庫'!$H$6:$H$10005,MATCH($C124,'月1回_2ヶ月前の在庫'!$W$6:$W$10005,0)),""))),INDEX('商品マスタ'!$D$6:$D$1005,MATCH($C124,'商品マスタ'!$B$6:$B$1005,0))),IFERROR(INDEX('①在庫を貼る'!$H$6:$H$10005,MATCH($C124,'①在庫を貼る'!$W$6:$W$10005,0)),IFERROR(INDEX('月1回_1ヶ月前の在庫'!$H$6:$H$10005,MATCH($C124,'月1回_1ヶ月前の在庫'!$W$6:$W$10005,0)),IFERROR(INDEX('月1回_2ヶ月前の在庫'!$H$6:$H$10005,MATCH($C124,'月1回_2ヶ月前の在庫'!$W$6:$W$10005,0)),"")))))</f>
        <v/>
      </c>
      <c r="F124">
        <f>IF($C124="","",IFERROR(IF(INDEX('商品マスタ'!$E$6:$E$1005,MATCH($C124,'商品マスタ'!$B$6:$B$1005,0))="",IFERROR(INDEX('①在庫を貼る'!$E$6:$E$10005,MATCH($C124,'①在庫を貼る'!$W$6:$W$10005,0)),IFERROR(INDEX('月1回_1ヶ月前の在庫'!$E$6:$E$10005,MATCH($C124,'月1回_1ヶ月前の在庫'!$W$6:$W$10005,0)),IFERROR(INDEX('月1回_2ヶ月前の在庫'!$E$6:$E$10005,MATCH($C124,'月1回_2ヶ月前の在庫'!$W$6:$W$10005,0)),""))),INDEX('商品マスタ'!$E$6:$E$1005,MATCH($C124,'商品マスタ'!$B$6:$B$1005,0))),IFERROR(INDEX('①在庫を貼る'!$E$6:$E$10005,MATCH($C124,'①在庫を貼る'!$W$6:$W$10005,0)),IFERROR(INDEX('月1回_1ヶ月前の在庫'!$E$6:$E$10005,MATCH($C124,'月1回_1ヶ月前の在庫'!$W$6:$W$10005,0)),IFERROR(INDEX('月1回_2ヶ月前の在庫'!$E$6:$E$10005,MATCH($C124,'月1回_2ヶ月前の在庫'!$W$6:$W$10005,0)),"")))))</f>
        <v/>
      </c>
      <c r="G124">
        <f>IF($C124="","",MAX(1,N(IFERROR(IF(INDEX('商品マスタ'!$F$6:$F$1005,MATCH($C124,'商品マスタ'!$B$6:$B$1005,0))="",IF(COUNTIFS('①在庫を貼る'!$V$6:$V$10005,'設定'!$C$4,'①在庫を貼る'!$W$6:$W$10005,$C124)&gt;0,SUMIFS('①在庫を貼る'!$K$6:$K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K$6:$K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K$6:$K$10005,'月1回_2ヶ月前の在庫'!$V$6:$V$10005,'設定'!$C$4,'月1回_2ヶ月前の在庫'!$W$6:$W$10005,$C124)/COUNTIFS('月1回_2ヶ月前の在庫'!$V$6:$V$10005,'設定'!$C$4,'月1回_2ヶ月前の在庫'!$W$6:$W$10005,$C124),0))),INDEX('商品マスタ'!$F$6:$F$1005,MATCH($C124,'商品マスタ'!$B$6:$B$1005,0))),IF(COUNTIFS('①在庫を貼る'!$V$6:$V$10005,'設定'!$C$4,'①在庫を貼る'!$W$6:$W$10005,$C124)&gt;0,SUMIFS('①在庫を貼る'!$K$6:$K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K$6:$K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K$6:$K$10005,'月1回_2ヶ月前の在庫'!$V$6:$V$10005,'設定'!$C$4,'月1回_2ヶ月前の在庫'!$W$6:$W$10005,$C124)/COUNTIFS('月1回_2ヶ月前の在庫'!$V$6:$V$10005,'設定'!$C$4,'月1回_2ヶ月前の在庫'!$W$6:$W$10005,$C124),0)))))))</f>
        <v/>
      </c>
      <c r="H124">
        <f>IF($C124="","",N(IFERROR(IF(INDEX('商品マスタ'!$G$6:$G$1005,MATCH($C124,'商品マスタ'!$B$6:$B$1005,0))="",IF(COUNTIFS('①在庫を貼る'!$V$6:$V$10005,'設定'!$C$4,'①在庫を貼る'!$W$6:$W$10005,$C124)&gt;0,SUMIFS('①在庫を貼る'!$Q$6:$Q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Q$6:$Q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Q$6:$Q$10005,'月1回_2ヶ月前の在庫'!$V$6:$V$10005,'設定'!$C$4,'月1回_2ヶ月前の在庫'!$W$6:$W$10005,$C124)/COUNTIFS('月1回_2ヶ月前の在庫'!$V$6:$V$10005,'設定'!$C$4,'月1回_2ヶ月前の在庫'!$W$6:$W$10005,$C124),0))),INDEX('商品マスタ'!$G$6:$G$1005,MATCH($C124,'商品マスタ'!$B$6:$B$1005,0))),IF(COUNTIFS('①在庫を貼る'!$V$6:$V$10005,'設定'!$C$4,'①在庫を貼る'!$W$6:$W$10005,$C124)&gt;0,SUMIFS('①在庫を貼る'!$Q$6:$Q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Q$6:$Q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Q$6:$Q$10005,'月1回_2ヶ月前の在庫'!$V$6:$V$10005,'設定'!$C$4,'月1回_2ヶ月前の在庫'!$W$6:$W$10005,$C124)/COUNTIFS('月1回_2ヶ月前の在庫'!$V$6:$V$10005,'設定'!$C$4,'月1回_2ヶ月前の在庫'!$W$6:$W$10005,$C124),0))))))</f>
        <v/>
      </c>
      <c r="I124">
        <f>IF($C124="","",IF(COUNTIFS('①在庫を貼る'!$V$6:$V$10005,'設定'!$C$4,'①在庫を貼る'!$W$6:$W$10005,$C124)=0,"",SUMIFS('①在庫を貼る'!$N$6:$N$10005,'①在庫を貼る'!$V$6:$V$10005,'設定'!$C$4,'①在庫を貼る'!$W$6:$W$10005,$C124)))</f>
        <v/>
      </c>
      <c r="J124">
        <f>IF($C124="","",IF('②発注する'!$AD128="","",'②発注する'!$AD128))</f>
        <v/>
      </c>
      <c r="K124" s="90">
        <f>IF($C124="","",IF('②発注する'!$AE128="","",'②発注する'!$AE128))</f>
        <v/>
      </c>
      <c r="L124">
        <f>IF($C124="","",IF(AND(ISNUMBER($J124),ISNUMBER($K124),$K124&gt;='設定'!$C$6),$J124,N($I124)))</f>
        <v/>
      </c>
      <c r="M124">
        <f>IF($C124="","",IFERROR(IF(N(INDEX('商品マスタ'!$J$6:$J$1005,MATCH($C124,'商品マスタ'!$B$6:$B$1005,0)))&gt;0,INDEX('商品マスタ'!$J$6:$J$1005,MATCH($C124,'商品マスタ'!$B$6:$B$1005,0)),""),""))</f>
        <v/>
      </c>
      <c r="N124">
        <f>IF($C124="","",IFERROR(IF(N(INDEX('商品マスタ'!$H$6:$H$1005,MATCH($C124,'商品マスタ'!$B$6:$B$1005,0)))&gt;0,INDEX('商品マスタ'!$H$6:$H$1005,MATCH($C124,'商品マスタ'!$B$6:$B$1005,0)),""),""))</f>
        <v/>
      </c>
      <c r="O124">
        <f>IF($C124="","",IF($N124&lt;&gt;"",$N124*$G124,IF(N(IF(COUNTIFS('①在庫を貼る'!$V$6:$V$10005,'設定'!$C$4,'①在庫を貼る'!$W$6:$W$10005,$C124)&gt;0,SUMIFS('①在庫を貼る'!$O$6:$O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O$6:$O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O$6:$O$10005,'月1回_2ヶ月前の在庫'!$V$6:$V$10005,'設定'!$C$4,'月1回_2ヶ月前の在庫'!$W$6:$W$10005,$C124)/COUNTIFS('月1回_2ヶ月前の在庫'!$V$6:$V$10005,'設定'!$C$4,'月1回_2ヶ月前の在庫'!$W$6:$W$10005,$C124),0))))&gt;0,N(IF(COUNTIFS('①在庫を貼る'!$V$6:$V$10005,'設定'!$C$4,'①在庫を貼る'!$W$6:$W$10005,$C124)&gt;0,SUMIFS('①在庫を貼る'!$O$6:$O$10005,'①在庫を貼る'!$V$6:$V$10005,'設定'!$C$4,'①在庫を貼る'!$W$6:$W$10005,$C124)/COUNTIFS('①在庫を貼る'!$V$6:$V$10005,'設定'!$C$4,'①在庫を貼る'!$W$6:$W$10005,$C124),IF(COUNTIFS('月1回_1ヶ月前の在庫'!$V$6:$V$10005,'設定'!$C$4,'月1回_1ヶ月前の在庫'!$W$6:$W$10005,$C124)&gt;0,SUMIFS('月1回_1ヶ月前の在庫'!$O$6:$O$10005,'月1回_1ヶ月前の在庫'!$V$6:$V$10005,'設定'!$C$4,'月1回_1ヶ月前の在庫'!$W$6:$W$10005,$C124)/COUNTIFS('月1回_1ヶ月前の在庫'!$V$6:$V$10005,'設定'!$C$4,'月1回_1ヶ月前の在庫'!$W$6:$W$10005,$C124),IF(COUNTIFS('月1回_2ヶ月前の在庫'!$V$6:$V$10005,'設定'!$C$4,'月1回_2ヶ月前の在庫'!$W$6:$W$10005,$C124)&gt;0,SUMIFS('月1回_2ヶ月前の在庫'!$O$6:$O$10005,'月1回_2ヶ月前の在庫'!$V$6:$V$10005,'設定'!$C$4,'月1回_2ヶ月前の在庫'!$W$6:$W$10005,$C124)/COUNTIFS('月1回_2ヶ月前の在庫'!$V$6:$V$10005,'設定'!$C$4,'月1回_2ヶ月前の在庫'!$W$6:$W$10005,$C124),0)))),"")))</f>
        <v/>
      </c>
      <c r="P124" s="90">
        <f>IF($C124="","",IF('②発注する'!$I128="","",'②発注する'!$I128))</f>
        <v/>
      </c>
      <c r="Q124">
        <f>IF($C124="","",IF('②発注する'!$J128="","",'②発注する'!$J128))</f>
        <v/>
      </c>
      <c r="R124">
        <f>IF($C124="",0,IF(AND(ISNUMBER($P124),ISNUMBER($Q124)),MAX(0,$Q124)*$G124,0))</f>
        <v/>
      </c>
      <c r="S124" s="90">
        <f>IF($C124="","",IF('②発注する'!$M128="","",'②発注する'!$M128))</f>
        <v/>
      </c>
      <c r="T124">
        <f>IF($C124="","",IF('②発注する'!$N128="","",'②発注する'!$N128))</f>
        <v/>
      </c>
      <c r="U124">
        <f>IF($C124="",0,IF(AND(ISNUMBER($S124),ISNUMBER($T124)),MAX(0,$T124)*$G124,0))</f>
        <v/>
      </c>
      <c r="V124">
        <f>IF($C124="",0,IF($M124="",0,MAX(0,$M124)*MAX(0,V$4)/100))</f>
        <v/>
      </c>
      <c r="W124">
        <f>IF($C124="",0,IF($M124="",0,MAX(0,$M124)*MAX(0,W$4)/100))</f>
        <v/>
      </c>
      <c r="X124">
        <f>IF($C124="",0,IF($M124="",0,MAX(0,$M124)*MAX(0,X$4)/100))</f>
        <v/>
      </c>
      <c r="Y124">
        <f>IF($C124="",0,IF($M124="",0,MAX(0,$M124)*MAX(0,Y$4)/100))</f>
        <v/>
      </c>
      <c r="Z124">
        <f>IF($C124="",0,IF($M124="",0,MAX(0,$M124)*MAX(0,Z$4)/100))</f>
        <v/>
      </c>
      <c r="AA124">
        <f>IF($C124="",0,IF($M124="",0,MAX(0,$M124)*MAX(0,AA$4)/100))</f>
        <v/>
      </c>
      <c r="AB124">
        <f>IF($C124="",0,IF($M124="",0,MAX(0,$M124)*MAX(0,AB$4)/100))</f>
        <v/>
      </c>
      <c r="AC124">
        <f>IF($C124="",0,IF($M124="",0,MAX(0,$M124)*MAX(0,AC$4)/100))</f>
        <v/>
      </c>
      <c r="AD124">
        <f>IF($C124="",0,IF($M124="",0,MAX(0,$M124)*MAX(0,AD$4)/100))</f>
        <v/>
      </c>
      <c r="AE124">
        <f>IF($C124="",0,IF($M124="",0,MAX(0,$M124)*MAX(0,AE$4)/100))</f>
        <v/>
      </c>
      <c r="AF124">
        <f>IF($C124="",0,IF($M124="",0,MAX(0,$M124)*MAX(0,AF$4)/100))</f>
        <v/>
      </c>
      <c r="AG124">
        <f>IF($C124="",0,IF($M124="",0,MAX(0,$M124)*MAX(0,AG$4)/100))</f>
        <v/>
      </c>
      <c r="AH124">
        <f>IF($C124="",0,IF($M124="",0,MAX(0,$M124)*MAX(0,AH$4)/100))</f>
        <v/>
      </c>
      <c r="AI124">
        <f>IF($C124="",0,IF($M124="",0,MAX(0,$M124)*MAX(0,AI$4)/100))</f>
        <v/>
      </c>
      <c r="AJ124">
        <f>IF($C124="",0,MAX(0,MAX(0,N($L124))-$V124))</f>
        <v/>
      </c>
      <c r="AK124">
        <f>IF($C124="",0,MAX(0,$AJ124-$W124))</f>
        <v/>
      </c>
      <c r="AL124">
        <f>IF($C124="",0,MAX(0,$AK124-$X124))</f>
        <v/>
      </c>
      <c r="AM124">
        <f>IF($C124="",0,MAX(0,$AL124-$Y124))</f>
        <v/>
      </c>
      <c r="AN124">
        <f>IF($C124="",0,MAX(0,$AM124-$Z124))</f>
        <v/>
      </c>
      <c r="AO124">
        <f>IF($C124="",0,MAX(0,$AN124-$AA124))</f>
        <v/>
      </c>
      <c r="AP124">
        <f>IF($C124="",0,MAX(0,$AO124-$AB124))</f>
        <v/>
      </c>
      <c r="AQ124">
        <f>IF($C124="",0,MAX(0,$AP124-$AC124))</f>
        <v/>
      </c>
      <c r="AR124">
        <f>IF($C124="",0,MAX(0,$AQ124-$AD124))</f>
        <v/>
      </c>
      <c r="AS124">
        <f>IF($C124="",0,MAX(0,$AR124-$AE124))</f>
        <v/>
      </c>
      <c r="AT124">
        <f>IF($C124="",0,MAX(0,$AS124-$AF124))</f>
        <v/>
      </c>
      <c r="AU124">
        <f>IF($C124="",0,MAX(0,$AT124-$AG124))</f>
        <v/>
      </c>
      <c r="AV124">
        <f>IF($C124="",0,MAX(0,$AU124-$AH124))</f>
        <v/>
      </c>
      <c r="AW124">
        <f>IF($C124="",0,MAX(0,$AV124-$AI124))</f>
        <v/>
      </c>
      <c r="AX124">
        <f>IF($C124="",0,MAX(0,MAX(0,N($L124))+IF($P124=V$3,$R124,0)+IF($S124=V$3,$U124,0)-$V124))</f>
        <v/>
      </c>
      <c r="AY124">
        <f>IF($C124="",0,MAX(0,$AX124+IF($P124=W$3,$R124,0)+IF($S124=W$3,$U124,0)-$W124))</f>
        <v/>
      </c>
      <c r="AZ124">
        <f>IF($C124="",0,MAX(0,$AY124+IF($P124=X$3,$R124,0)+IF($S124=X$3,$U124,0)-$X124))</f>
        <v/>
      </c>
      <c r="BA124">
        <f>IF($C124="",0,MAX(0,$AZ124+IF($P124=Y$3,$R124,0)+IF($S124=Y$3,$U124,0)-$Y124))</f>
        <v/>
      </c>
      <c r="BB124">
        <f>IF($C124="",0,MAX(0,$BA124+IF($P124=Z$3,$R124,0)+IF($S124=Z$3,$U124,0)-$Z124))</f>
        <v/>
      </c>
      <c r="BC124">
        <f>IF($C124="",0,MAX(0,$BB124+IF($P124=AA$3,$R124,0)+IF($S124=AA$3,$U124,0)-$AA124))</f>
        <v/>
      </c>
      <c r="BD124">
        <f>IF($C124="",0,MAX(0,$BC124+IF($P124=AB$3,$R124,0)+IF($S124=AB$3,$U124,0)-$AB124))</f>
        <v/>
      </c>
      <c r="BE124">
        <f>IF($C124="",0,MAX(0,$BD124+IF($P124=AC$3,$R124,0)+IF($S124=AC$3,$U124,0)-$AC124))</f>
        <v/>
      </c>
      <c r="BF124">
        <f>IF($C124="",0,MAX(0,$BE124+IF($P124=AD$3,$R124,0)+IF($S124=AD$3,$U124,0)-$AD124))</f>
        <v/>
      </c>
      <c r="BG124">
        <f>IF($C124="",0,MAX(0,$BF124+IF($P124=AE$3,$R124,0)+IF($S124=AE$3,$U124,0)-$AE124))</f>
        <v/>
      </c>
      <c r="BH124">
        <f>IF($C124="",0,MAX(0,$BG124+IF($P124=AF$3,$R124,0)+IF($S124=AF$3,$U124,0)-$AF124))</f>
        <v/>
      </c>
      <c r="BI124">
        <f>IF($C124="",0,MAX(0,$BH124+IF($P124=AG$3,$R124,0)+IF($S124=AG$3,$U124,0)-$AG124))</f>
        <v/>
      </c>
      <c r="BJ124">
        <f>IF($C124="",0,MAX(0,$BI124+IF($P124=AH$3,$R124,0)+IF($S124=AH$3,$U124,0)-$AH124))</f>
        <v/>
      </c>
      <c r="BK124">
        <f>IF($C124="",0,MAX(0,$BJ124+IF($P124=AI$3,$R124,0)+IF($S124=AI$3,$U124,0)-$AI124))</f>
        <v/>
      </c>
      <c r="BL124">
        <f>IF($C124="",99,IF(AND($AX124&lt;1,V$3&gt;=MAX(N($P124),N($S124))),0,99))</f>
        <v/>
      </c>
      <c r="BM124">
        <f>IF($C124="",99,IF(AND($AY124&lt;1,W$3&gt;=MAX(N($P124),N($S124))),1,99))</f>
        <v/>
      </c>
      <c r="BN124">
        <f>IF($C124="",99,IF(AND($AZ124&lt;1,X$3&gt;=MAX(N($P124),N($S124))),2,99))</f>
        <v/>
      </c>
      <c r="BO124">
        <f>IF($C124="",99,IF(AND($BA124&lt;1,Y$3&gt;=MAX(N($P124),N($S124))),3,99))</f>
        <v/>
      </c>
      <c r="BP124">
        <f>IF($C124="",99,IF(AND($BB124&lt;1,Z$3&gt;=MAX(N($P124),N($S124))),4,99))</f>
        <v/>
      </c>
      <c r="BQ124">
        <f>IF($C124="",99,IF(AND($BC124&lt;1,AA$3&gt;=MAX(N($P124),N($S124))),5,99))</f>
        <v/>
      </c>
      <c r="BR124">
        <f>IF($C124="",99,IF(AND($BD124&lt;1,AB$3&gt;=MAX(N($P124),N($S124))),6,99))</f>
        <v/>
      </c>
      <c r="BS124">
        <f>IF($C124="",99,IF(AND($BE124&lt;1,AC$3&gt;=MAX(N($P124),N($S124))),7,99))</f>
        <v/>
      </c>
      <c r="BT124">
        <f>IF($C124="",99,IF(AND($BF124&lt;1,AD$3&gt;=MAX(N($P124),N($S124))),8,99))</f>
        <v/>
      </c>
      <c r="BU124">
        <f>IF($C124="",99,IF(AND($BG124&lt;1,AE$3&gt;=MAX(N($P124),N($S124))),9,99))</f>
        <v/>
      </c>
      <c r="BV124">
        <f>IF($C124="",99,IF(AND($BH124&lt;1,AF$3&gt;=MAX(N($P124),N($S124))),10,99))</f>
        <v/>
      </c>
      <c r="BW124">
        <f>IF($C124="",99,IF(AND($BI124&lt;1,AG$3&gt;=MAX(N($P124),N($S124))),11,99))</f>
        <v/>
      </c>
      <c r="BX124">
        <f>IF($C124="",99,IF(AND($BJ124&lt;1,AH$3&gt;=MAX(N($P124),N($S124))),12,99))</f>
        <v/>
      </c>
      <c r="BY124">
        <f>IF($C124="",99,IF(AND($BK124&lt;1,AI$3&gt;=MAX(N($P124),N($S124))),13,99))</f>
        <v/>
      </c>
      <c r="BZ124">
        <f>IF(OR($C124="",$M124=""),"",COUNTIF($AJ124:$AW124,"&gt;=1"))</f>
        <v/>
      </c>
      <c r="CA124" s="90">
        <f>IF($BZ124="","",IF($BZ124&gt;=14,"",'設定'!$C$6+$BZ124))</f>
        <v/>
      </c>
      <c r="CB124">
        <f>IF(OR($C124="",$M124=""),"",MIN($BL124:$BY124))</f>
        <v/>
      </c>
      <c r="CC124" s="90">
        <f>IF($CB124="","",IF($CB124&gt;=99,"",'設定'!$C$6+$CB124))</f>
        <v/>
      </c>
      <c r="CD124">
        <f>IF(OR($C124="",$M124=""),"",AVERAGE($V124:$AI124))</f>
        <v/>
      </c>
      <c r="CE124">
        <f>IF($C124="","",IFERROR(IF(MATCH(IF(ISNUMBER($P124),$P124,'設定'!$C$6+N('設定'!$C$7)),$V$3:$AI$3,0)=1,MAX(0,N($L124)),INDEX($AJ124:$AW124,MATCH(IF(ISNUMBER($P124),$P124,'設定'!$C$6+N('設定'!$C$7)),$V$3:$AI$3,0)-1)),""))</f>
        <v/>
      </c>
      <c r="CF124">
        <f>IF(OR($C124="",$O124="",$CE124=""),"",IF($O124-$CE124&lt;=0,0,ROUNDUP(($O124-$CE124)/$G124,0)))</f>
        <v/>
      </c>
      <c r="CG124">
        <f>IF(OR($C124="",$CF124="",NOT(ISNUMBER($Q124))),0,MAX(0,$Q124-$CF124))</f>
        <v/>
      </c>
      <c r="CH124">
        <f>IF(OR($C124="",$O124="",$U124=0),0,IFERROR(ROUNDUP(MAX(0,IF(MATCH($S124,$V$3:$AI$3,0)=1,MAX(0,N($L124)),INDEX($AX124:$BK124,MATCH($S124,$V$3:$AI$3,0)-1))+$U124-$O124)/$G124,0),0))</f>
        <v/>
      </c>
      <c r="CI124">
        <f>IF($C124="","",IF(AND($P124="",$Q124=""),"",IF($P124="","⚠ 入庫日を ▼ から選んでください",IF(NOT(ISNUMBER($P124)),"⚠ 入庫日は ▼ から選んでください",IF($P124&lt;N('設定'!$C$6),"⚠ 入庫日が過去です（もう在庫に入っています）→ 消してください",IF($P124&gt;N('設定'!$C$6)+13,"⚠ 入庫日が14日より先です",IF(N($Q124)&lt;=0,"⚠ 入庫数を入れてください",IF($CG124&gt;0,"⚠ 目安より "&amp;$CG124&amp;" 多い（定数を超える）→ 減らす",""))))))))</f>
        <v/>
      </c>
      <c r="CJ124">
        <f>IF($C124="","",IF(AND($S124="",$T124=""),"",IF($S124="","⚠ 2便目：入庫日を ▼ から選んでください",IF(NOT(ISNUMBER($S124)),"⚠ 2便目：入庫日は ▼ から選んでください",IF($S124&lt;N('設定'!$C$6),"⚠ 2便目：入庫日が過去です（もう在庫に入っています）→ 消してください",IF($S124&gt;N('設定'!$C$6)+13,"⚠ 2便目：入庫日が14日より先です",IF(N($T124)&lt;=0,"⚠ 2便目：入庫数を入れてください",IF($CH124&gt;0,"⚠ 2便目：定数を "&amp;$CH124&amp;" ケース超える → 減らす",""))))))))</f>
        <v/>
      </c>
      <c r="CK124">
        <f>IF(AND($CI124="",N($Q124)&gt;0,ISNUMBER($P124)),1,0)</f>
        <v/>
      </c>
      <c r="CL124">
        <f>IF(AND($CJ124="",N($T124)&gt;0,ISNUMBER($S124)),1,0)</f>
        <v/>
      </c>
      <c r="CM124">
        <f>IF(OR($CK124=1,$CL124=1),1,0)</f>
        <v/>
      </c>
      <c r="CN124">
        <f>IF($C124="",0,($CK124*$R124+$CL124*$U124)*N($H124))</f>
        <v/>
      </c>
      <c r="CO124">
        <f>IF($C124="","",IF($CC124="","入庫後は 14日以上もつ",IF($CC124-N('設定'!$C$7)&lt;='設定'!$C$6,"入庫後も "&amp;TEXT($CC124,"m/d")&amp;"("&amp;CHOOSE(WEEKDAY($CC124),"日","月","火","水","木","金","土")&amp;")"&amp;" に切れる　もう1便を至急発注","入庫後も "&amp;TEXT($CC124,"m/d")&amp;"("&amp;CHOOSE(WEEKDAY($CC124),"日","月","火","水","木","金","土")&amp;")"&amp;" に切れる　"&amp;TEXT($CC124-N('設定'!$C$7),"m/d")&amp;"("&amp;CHOOSE(WEEKDAY($CC124-N('設定'!$C$7)),"日","月","火","水","木","金","土")&amp;")"&amp;" までに次を発注")))</f>
        <v/>
      </c>
      <c r="CP124">
        <f>IF($C124="","",IF('設定'!$C$6="","？ ①在庫を貼る に今日のCSVが貼られていない",IF($CS124=1,"－ 今日のCSVに無い（終売？）",IF($L124&lt;0,"● 在庫がマイナス　数えて「数えた在庫」に入れる",IF($L124=0,"● 在庫なし　至急発注",IF($M124="","？ 減り数が未設定（商品マスタ）",IF($B$3=0,"？ 動員が未入力（動員を入れる）",IF($CA124="","○ 14日以上もつ",IF($BZ124&lt;N('設定'!$C$7),"● "&amp;TEXT($CA124,"m/d")&amp;"("&amp;CHOOSE(WEEKDAY($CA124),"日","月","火","水","木","金","土")&amp;")"&amp;" に切れる　至急発注",IF($BZ124=N('設定'!$C$7),"● "&amp;TEXT($CA124,"m/d")&amp;"("&amp;CHOOSE(WEEKDAY($CA124),"日","月","火","水","木","金","土")&amp;")"&amp;" に切れる　今日発注","△ "&amp;TEXT($CA124,"m/d")&amp;"("&amp;CHOOSE(WEEKDAY($CA124),"日","月","火","水","木","金","土")&amp;")"&amp;" に切れる　"&amp;TEXT($CA124-N('設定'!$C$7),"m/d")&amp;"("&amp;CHOOSE(WEEKDAY($CA124-N('設定'!$C$7)),"日","月","火","水","木","金","土")&amp;")"&amp;" までに発注"))))))))))</f>
        <v/>
      </c>
      <c r="CQ124">
        <f>IF($C124="","",IF(AND($P124="",$Q124="",$S124="",$T124=""),"",IF(AND($P124="",$Q124=""),"⚠ 先に1便目（左の入庫日・入庫数）に入れてください",IF($CI124&lt;&gt;"",$CI124,IF($CJ124&lt;&gt;"",$CJ124,IF($M124="","？ 減り数が未設定（発注書には載ります）",IF($B$3=0,"？ 動員が未入力（発注書には載ります）",IF(AND($CA124&lt;&gt;"",$P124&gt;$CA124),IF($P124&gt;'設定'!$C$6+N('設定'!$C$7),"● "&amp;TEXT($P124,"m/d")&amp;"("&amp;CHOOSE(WEEKDAY($P124),"日","月","火","水","木","金","土")&amp;")"&amp;" の入庫では間に合わない（"&amp;TEXT($CA124,"m/d")&amp;"("&amp;CHOOSE(WEEKDAY($CA124),"日","月","火","水","木","金","土")&amp;")"&amp;" に切れる）　入庫日を早める","△ 欠品 "&amp;TEXT($CA124,"m/d")&amp;"("&amp;CHOOSE(WEEKDAY($CA124),"日","月","火","水","木","金","土")&amp;")"&amp;"〜"&amp;TEXT($P124-1,"m/d")&amp;"("&amp;CHOOSE(WEEKDAY($P124-1),"日","月","火","水","木","金","土")&amp;")"&amp;"　"&amp;$CO124),IF($CC124="","○ "&amp;TEXT($P124,"m/d")&amp;"("&amp;CHOOSE(WEEKDAY($P124),"日","月","火","水","木","金","土")&amp;")"&amp;" 入庫で 14日以上もつ",IF($CC124-N('設定'!$C$7)&lt;='設定'!$C$6,"● 入庫しても "&amp;TEXT($CC124,"m/d")&amp;"("&amp;CHOOSE(WEEKDAY($CC124),"日","月","火","水","木","金","土")&amp;")"&amp;" に切れる　もう1便を至急発注（2便目に入れる）","△ 入庫しても "&amp;TEXT($CC124,"m/d")&amp;"("&amp;CHOOSE(WEEKDAY($CC124),"日","月","火","水","木","金","土")&amp;")"&amp;" に切れる　"&amp;TEXT($CC124-N('設定'!$C$7),"m/d")&amp;"("&amp;CHOOSE(WEEKDAY($CC124-N('設定'!$C$7)),"日","月","火","水","木","金","土")&amp;")"&amp;" までに次を発注（2便目に入れる）"))))))))))</f>
        <v/>
      </c>
      <c r="CR124">
        <f>IF($C124="","",IF($G124&gt;1,"ｹｰｽ("&amp;$G124&amp;"入)","個"))</f>
        <v/>
      </c>
      <c r="CS124">
        <f>IF($C124="",0,IF(COUNTIFS('①在庫を貼る'!$V$6:$V$10005,'設定'!$C$4,'①在庫を貼る'!$W$6:$W$10005,$C124)=0,1,0))</f>
        <v/>
      </c>
      <c r="CT124">
        <f>IF(AND($CK124=1,OR('③発注書'!$C$4="すべて",'③発注書'!$C$4="",$F124='③発注書'!$C$4)),N($CT123)+1,N($CT123))</f>
        <v/>
      </c>
      <c r="CU124">
        <f>IF(AND($CL124=1,OR('③発注書'!$C$4="すべて",'③発注書'!$C$4="",$F124='③発注書'!$C$4)),N($CU123)+1,N($CU123))</f>
        <v/>
      </c>
      <c r="CV124">
        <f>IF($C124="",0,IF(COUNTIFS('①在庫を貼る'!$V$6:$V$10005,'設定'!$C$4,'①在庫を貼る'!$W$6:$W$10005,$C124)&gt;0,1,0))</f>
        <v/>
      </c>
      <c r="CW124">
        <f>IF($C124="",0,IF(COUNTIFS('月1回_1ヶ月前の在庫'!$V$6:$V$10005,'設定'!$C$4,'月1回_1ヶ月前の在庫'!$W$6:$W$10005,$C124)&gt;0,1,0))</f>
        <v/>
      </c>
      <c r="CX124">
        <f>IF($C124="",0,IF(COUNTIFS('月1回_2ヶ月前の在庫'!$V$6:$V$10005,'設定'!$C$4,'月1回_2ヶ月前の在庫'!$W$6:$W$10005,$C124)&gt;0,1,0))</f>
        <v/>
      </c>
      <c r="CY124">
        <f>IF(OR($C124="",'設定'!$C$12=""),"",IF('設定'!$C$13="",IF(AND($CV124=1,$CW124=0),"新商品（今月から）",IF(AND($CV124=0,$CW124=1),"終売（今月から）","")),IF(AND($CV124=1,$CW124=0,$CX124=0),"新商品（今月から）",IF(AND($CV124=1,$CW124=1,$CX124=0),"新商品（先月から）",IF(AND($CV124=0,$CW124=1,$CX124=1),"終売（今月から）",IF(AND($CV124=0,$CW124=0,$CX124=1),"終売（先月から）",IF(AND($CV124=1,$CW124=0,$CX124=1),"復活（先月は無し）","")))))))</f>
        <v/>
      </c>
    </row>
    <row r="125">
      <c r="B125">
        <f>IF(120&lt;='設定'!$C$11,120,"")</f>
        <v/>
      </c>
      <c r="C125">
        <f>IF($B125="","",IF($B125&lt;='設定'!$C$20,INDEX('商品マスタ'!$B$6:$B$1005,MATCH($B125,'商品マスタ'!$M$6:$M$1005,0)),IF($B125&lt;='設定'!$C$20+'設定'!$C$17,INDEX('①在庫を貼る'!$W$6:$W$10005,MATCH($B125-'設定'!$C$20,'①在庫を貼る'!$U$6:$U$10005,0)),IF($B125&lt;='設定'!$C$20+'設定'!$C$17+'設定'!$C$18,INDEX('月1回_1ヶ月前の在庫'!$W$6:$W$10005,MATCH($B125-'設定'!$C$20-'設定'!$C$17,'月1回_1ヶ月前の在庫'!$U$6:$U$10005,0)),INDEX('月1回_2ヶ月前の在庫'!$W$6:$W$10005,MATCH($B125-'設定'!$C$20-'設定'!$C$17-'設定'!$C$18,'月1回_2ヶ月前の在庫'!$U$6:$U$10005,0))))))</f>
        <v/>
      </c>
      <c r="D125">
        <f>IF($C125="","",IFERROR(IF(INDEX('商品マスタ'!$C$6:$C$1005,MATCH($C125,'商品マスタ'!$B$6:$B$1005,0))="",IFERROR(INDEX('①在庫を貼る'!$J$6:$J$10005,MATCH($C125,'①在庫を貼る'!$W$6:$W$10005,0)),IFERROR(INDEX('月1回_1ヶ月前の在庫'!$J$6:$J$10005,MATCH($C125,'月1回_1ヶ月前の在庫'!$W$6:$W$10005,0)),IFERROR(INDEX('月1回_2ヶ月前の在庫'!$J$6:$J$10005,MATCH($C125,'月1回_2ヶ月前の在庫'!$W$6:$W$10005,0)),""))),INDEX('商品マスタ'!$C$6:$C$1005,MATCH($C125,'商品マスタ'!$B$6:$B$1005,0))),IFERROR(INDEX('①在庫を貼る'!$J$6:$J$10005,MATCH($C125,'①在庫を貼る'!$W$6:$W$10005,0)),IFERROR(INDEX('月1回_1ヶ月前の在庫'!$J$6:$J$10005,MATCH($C125,'月1回_1ヶ月前の在庫'!$W$6:$W$10005,0)),IFERROR(INDEX('月1回_2ヶ月前の在庫'!$J$6:$J$10005,MATCH($C125,'月1回_2ヶ月前の在庫'!$W$6:$W$10005,0)),"")))))</f>
        <v/>
      </c>
      <c r="E125">
        <f>IF($C125="","",IFERROR(IF(INDEX('商品マスタ'!$D$6:$D$1005,MATCH($C125,'商品マスタ'!$B$6:$B$1005,0))="",IFERROR(INDEX('①在庫を貼る'!$H$6:$H$10005,MATCH($C125,'①在庫を貼る'!$W$6:$W$10005,0)),IFERROR(INDEX('月1回_1ヶ月前の在庫'!$H$6:$H$10005,MATCH($C125,'月1回_1ヶ月前の在庫'!$W$6:$W$10005,0)),IFERROR(INDEX('月1回_2ヶ月前の在庫'!$H$6:$H$10005,MATCH($C125,'月1回_2ヶ月前の在庫'!$W$6:$W$10005,0)),""))),INDEX('商品マスタ'!$D$6:$D$1005,MATCH($C125,'商品マスタ'!$B$6:$B$1005,0))),IFERROR(INDEX('①在庫を貼る'!$H$6:$H$10005,MATCH($C125,'①在庫を貼る'!$W$6:$W$10005,0)),IFERROR(INDEX('月1回_1ヶ月前の在庫'!$H$6:$H$10005,MATCH($C125,'月1回_1ヶ月前の在庫'!$W$6:$W$10005,0)),IFERROR(INDEX('月1回_2ヶ月前の在庫'!$H$6:$H$10005,MATCH($C125,'月1回_2ヶ月前の在庫'!$W$6:$W$10005,0)),"")))))</f>
        <v/>
      </c>
      <c r="F125">
        <f>IF($C125="","",IFERROR(IF(INDEX('商品マスタ'!$E$6:$E$1005,MATCH($C125,'商品マスタ'!$B$6:$B$1005,0))="",IFERROR(INDEX('①在庫を貼る'!$E$6:$E$10005,MATCH($C125,'①在庫を貼る'!$W$6:$W$10005,0)),IFERROR(INDEX('月1回_1ヶ月前の在庫'!$E$6:$E$10005,MATCH($C125,'月1回_1ヶ月前の在庫'!$W$6:$W$10005,0)),IFERROR(INDEX('月1回_2ヶ月前の在庫'!$E$6:$E$10005,MATCH($C125,'月1回_2ヶ月前の在庫'!$W$6:$W$10005,0)),""))),INDEX('商品マスタ'!$E$6:$E$1005,MATCH($C125,'商品マスタ'!$B$6:$B$1005,0))),IFERROR(INDEX('①在庫を貼る'!$E$6:$E$10005,MATCH($C125,'①在庫を貼る'!$W$6:$W$10005,0)),IFERROR(INDEX('月1回_1ヶ月前の在庫'!$E$6:$E$10005,MATCH($C125,'月1回_1ヶ月前の在庫'!$W$6:$W$10005,0)),IFERROR(INDEX('月1回_2ヶ月前の在庫'!$E$6:$E$10005,MATCH($C125,'月1回_2ヶ月前の在庫'!$W$6:$W$10005,0)),"")))))</f>
        <v/>
      </c>
      <c r="G125">
        <f>IF($C125="","",MAX(1,N(IFERROR(IF(INDEX('商品マスタ'!$F$6:$F$1005,MATCH($C125,'商品マスタ'!$B$6:$B$1005,0))="",IF(COUNTIFS('①在庫を貼る'!$V$6:$V$10005,'設定'!$C$4,'①在庫を貼る'!$W$6:$W$10005,$C125)&gt;0,SUMIFS('①在庫を貼る'!$K$6:$K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K$6:$K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K$6:$K$10005,'月1回_2ヶ月前の在庫'!$V$6:$V$10005,'設定'!$C$4,'月1回_2ヶ月前の在庫'!$W$6:$W$10005,$C125)/COUNTIFS('月1回_2ヶ月前の在庫'!$V$6:$V$10005,'設定'!$C$4,'月1回_2ヶ月前の在庫'!$W$6:$W$10005,$C125),0))),INDEX('商品マスタ'!$F$6:$F$1005,MATCH($C125,'商品マスタ'!$B$6:$B$1005,0))),IF(COUNTIFS('①在庫を貼る'!$V$6:$V$10005,'設定'!$C$4,'①在庫を貼る'!$W$6:$W$10005,$C125)&gt;0,SUMIFS('①在庫を貼る'!$K$6:$K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K$6:$K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K$6:$K$10005,'月1回_2ヶ月前の在庫'!$V$6:$V$10005,'設定'!$C$4,'月1回_2ヶ月前の在庫'!$W$6:$W$10005,$C125)/COUNTIFS('月1回_2ヶ月前の在庫'!$V$6:$V$10005,'設定'!$C$4,'月1回_2ヶ月前の在庫'!$W$6:$W$10005,$C125),0)))))))</f>
        <v/>
      </c>
      <c r="H125">
        <f>IF($C125="","",N(IFERROR(IF(INDEX('商品マスタ'!$G$6:$G$1005,MATCH($C125,'商品マスタ'!$B$6:$B$1005,0))="",IF(COUNTIFS('①在庫を貼る'!$V$6:$V$10005,'設定'!$C$4,'①在庫を貼る'!$W$6:$W$10005,$C125)&gt;0,SUMIFS('①在庫を貼る'!$Q$6:$Q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Q$6:$Q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Q$6:$Q$10005,'月1回_2ヶ月前の在庫'!$V$6:$V$10005,'設定'!$C$4,'月1回_2ヶ月前の在庫'!$W$6:$W$10005,$C125)/COUNTIFS('月1回_2ヶ月前の在庫'!$V$6:$V$10005,'設定'!$C$4,'月1回_2ヶ月前の在庫'!$W$6:$W$10005,$C125),0))),INDEX('商品マスタ'!$G$6:$G$1005,MATCH($C125,'商品マスタ'!$B$6:$B$1005,0))),IF(COUNTIFS('①在庫を貼る'!$V$6:$V$10005,'設定'!$C$4,'①在庫を貼る'!$W$6:$W$10005,$C125)&gt;0,SUMIFS('①在庫を貼る'!$Q$6:$Q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Q$6:$Q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Q$6:$Q$10005,'月1回_2ヶ月前の在庫'!$V$6:$V$10005,'設定'!$C$4,'月1回_2ヶ月前の在庫'!$W$6:$W$10005,$C125)/COUNTIFS('月1回_2ヶ月前の在庫'!$V$6:$V$10005,'設定'!$C$4,'月1回_2ヶ月前の在庫'!$W$6:$W$10005,$C125),0))))))</f>
        <v/>
      </c>
      <c r="I125">
        <f>IF($C125="","",IF(COUNTIFS('①在庫を貼る'!$V$6:$V$10005,'設定'!$C$4,'①在庫を貼る'!$W$6:$W$10005,$C125)=0,"",SUMIFS('①在庫を貼る'!$N$6:$N$10005,'①在庫を貼る'!$V$6:$V$10005,'設定'!$C$4,'①在庫を貼る'!$W$6:$W$10005,$C125)))</f>
        <v/>
      </c>
      <c r="J125">
        <f>IF($C125="","",IF('②発注する'!$AD129="","",'②発注する'!$AD129))</f>
        <v/>
      </c>
      <c r="K125" s="90">
        <f>IF($C125="","",IF('②発注する'!$AE129="","",'②発注する'!$AE129))</f>
        <v/>
      </c>
      <c r="L125">
        <f>IF($C125="","",IF(AND(ISNUMBER($J125),ISNUMBER($K125),$K125&gt;='設定'!$C$6),$J125,N($I125)))</f>
        <v/>
      </c>
      <c r="M125">
        <f>IF($C125="","",IFERROR(IF(N(INDEX('商品マスタ'!$J$6:$J$1005,MATCH($C125,'商品マスタ'!$B$6:$B$1005,0)))&gt;0,INDEX('商品マスタ'!$J$6:$J$1005,MATCH($C125,'商品マスタ'!$B$6:$B$1005,0)),""),""))</f>
        <v/>
      </c>
      <c r="N125">
        <f>IF($C125="","",IFERROR(IF(N(INDEX('商品マスタ'!$H$6:$H$1005,MATCH($C125,'商品マスタ'!$B$6:$B$1005,0)))&gt;0,INDEX('商品マスタ'!$H$6:$H$1005,MATCH($C125,'商品マスタ'!$B$6:$B$1005,0)),""),""))</f>
        <v/>
      </c>
      <c r="O125">
        <f>IF($C125="","",IF($N125&lt;&gt;"",$N125*$G125,IF(N(IF(COUNTIFS('①在庫を貼る'!$V$6:$V$10005,'設定'!$C$4,'①在庫を貼る'!$W$6:$W$10005,$C125)&gt;0,SUMIFS('①在庫を貼る'!$O$6:$O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O$6:$O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O$6:$O$10005,'月1回_2ヶ月前の在庫'!$V$6:$V$10005,'設定'!$C$4,'月1回_2ヶ月前の在庫'!$W$6:$W$10005,$C125)/COUNTIFS('月1回_2ヶ月前の在庫'!$V$6:$V$10005,'設定'!$C$4,'月1回_2ヶ月前の在庫'!$W$6:$W$10005,$C125),0))))&gt;0,N(IF(COUNTIFS('①在庫を貼る'!$V$6:$V$10005,'設定'!$C$4,'①在庫を貼る'!$W$6:$W$10005,$C125)&gt;0,SUMIFS('①在庫を貼る'!$O$6:$O$10005,'①在庫を貼る'!$V$6:$V$10005,'設定'!$C$4,'①在庫を貼る'!$W$6:$W$10005,$C125)/COUNTIFS('①在庫を貼る'!$V$6:$V$10005,'設定'!$C$4,'①在庫を貼る'!$W$6:$W$10005,$C125),IF(COUNTIFS('月1回_1ヶ月前の在庫'!$V$6:$V$10005,'設定'!$C$4,'月1回_1ヶ月前の在庫'!$W$6:$W$10005,$C125)&gt;0,SUMIFS('月1回_1ヶ月前の在庫'!$O$6:$O$10005,'月1回_1ヶ月前の在庫'!$V$6:$V$10005,'設定'!$C$4,'月1回_1ヶ月前の在庫'!$W$6:$W$10005,$C125)/COUNTIFS('月1回_1ヶ月前の在庫'!$V$6:$V$10005,'設定'!$C$4,'月1回_1ヶ月前の在庫'!$W$6:$W$10005,$C125),IF(COUNTIFS('月1回_2ヶ月前の在庫'!$V$6:$V$10005,'設定'!$C$4,'月1回_2ヶ月前の在庫'!$W$6:$W$10005,$C125)&gt;0,SUMIFS('月1回_2ヶ月前の在庫'!$O$6:$O$10005,'月1回_2ヶ月前の在庫'!$V$6:$V$10005,'設定'!$C$4,'月1回_2ヶ月前の在庫'!$W$6:$W$10005,$C125)/COUNTIFS('月1回_2ヶ月前の在庫'!$V$6:$V$10005,'設定'!$C$4,'月1回_2ヶ月前の在庫'!$W$6:$W$10005,$C125),0)))),"")))</f>
        <v/>
      </c>
      <c r="P125" s="90">
        <f>IF($C125="","",IF('②発注する'!$I129="","",'②発注する'!$I129))</f>
        <v/>
      </c>
      <c r="Q125">
        <f>IF($C125="","",IF('②発注する'!$J129="","",'②発注する'!$J129))</f>
        <v/>
      </c>
      <c r="R125">
        <f>IF($C125="",0,IF(AND(ISNUMBER($P125),ISNUMBER($Q125)),MAX(0,$Q125)*$G125,0))</f>
        <v/>
      </c>
      <c r="S125" s="90">
        <f>IF($C125="","",IF('②発注する'!$M129="","",'②発注する'!$M129))</f>
        <v/>
      </c>
      <c r="T125">
        <f>IF($C125="","",IF('②発注する'!$N129="","",'②発注する'!$N129))</f>
        <v/>
      </c>
      <c r="U125">
        <f>IF($C125="",0,IF(AND(ISNUMBER($S125),ISNUMBER($T125)),MAX(0,$T125)*$G125,0))</f>
        <v/>
      </c>
      <c r="V125">
        <f>IF($C125="",0,IF($M125="",0,MAX(0,$M125)*MAX(0,V$4)/100))</f>
        <v/>
      </c>
      <c r="W125">
        <f>IF($C125="",0,IF($M125="",0,MAX(0,$M125)*MAX(0,W$4)/100))</f>
        <v/>
      </c>
      <c r="X125">
        <f>IF($C125="",0,IF($M125="",0,MAX(0,$M125)*MAX(0,X$4)/100))</f>
        <v/>
      </c>
      <c r="Y125">
        <f>IF($C125="",0,IF($M125="",0,MAX(0,$M125)*MAX(0,Y$4)/100))</f>
        <v/>
      </c>
      <c r="Z125">
        <f>IF($C125="",0,IF($M125="",0,MAX(0,$M125)*MAX(0,Z$4)/100))</f>
        <v/>
      </c>
      <c r="AA125">
        <f>IF($C125="",0,IF($M125="",0,MAX(0,$M125)*MAX(0,AA$4)/100))</f>
        <v/>
      </c>
      <c r="AB125">
        <f>IF($C125="",0,IF($M125="",0,MAX(0,$M125)*MAX(0,AB$4)/100))</f>
        <v/>
      </c>
      <c r="AC125">
        <f>IF($C125="",0,IF($M125="",0,MAX(0,$M125)*MAX(0,AC$4)/100))</f>
        <v/>
      </c>
      <c r="AD125">
        <f>IF($C125="",0,IF($M125="",0,MAX(0,$M125)*MAX(0,AD$4)/100))</f>
        <v/>
      </c>
      <c r="AE125">
        <f>IF($C125="",0,IF($M125="",0,MAX(0,$M125)*MAX(0,AE$4)/100))</f>
        <v/>
      </c>
      <c r="AF125">
        <f>IF($C125="",0,IF($M125="",0,MAX(0,$M125)*MAX(0,AF$4)/100))</f>
        <v/>
      </c>
      <c r="AG125">
        <f>IF($C125="",0,IF($M125="",0,MAX(0,$M125)*MAX(0,AG$4)/100))</f>
        <v/>
      </c>
      <c r="AH125">
        <f>IF($C125="",0,IF($M125="",0,MAX(0,$M125)*MAX(0,AH$4)/100))</f>
        <v/>
      </c>
      <c r="AI125">
        <f>IF($C125="",0,IF($M125="",0,MAX(0,$M125)*MAX(0,AI$4)/100))</f>
        <v/>
      </c>
      <c r="AJ125">
        <f>IF($C125="",0,MAX(0,MAX(0,N($L125))-$V125))</f>
        <v/>
      </c>
      <c r="AK125">
        <f>IF($C125="",0,MAX(0,$AJ125-$W125))</f>
        <v/>
      </c>
      <c r="AL125">
        <f>IF($C125="",0,MAX(0,$AK125-$X125))</f>
        <v/>
      </c>
      <c r="AM125">
        <f>IF($C125="",0,MAX(0,$AL125-$Y125))</f>
        <v/>
      </c>
      <c r="AN125">
        <f>IF($C125="",0,MAX(0,$AM125-$Z125))</f>
        <v/>
      </c>
      <c r="AO125">
        <f>IF($C125="",0,MAX(0,$AN125-$AA125))</f>
        <v/>
      </c>
      <c r="AP125">
        <f>IF($C125="",0,MAX(0,$AO125-$AB125))</f>
        <v/>
      </c>
      <c r="AQ125">
        <f>IF($C125="",0,MAX(0,$AP125-$AC125))</f>
        <v/>
      </c>
      <c r="AR125">
        <f>IF($C125="",0,MAX(0,$AQ125-$AD125))</f>
        <v/>
      </c>
      <c r="AS125">
        <f>IF($C125="",0,MAX(0,$AR125-$AE125))</f>
        <v/>
      </c>
      <c r="AT125">
        <f>IF($C125="",0,MAX(0,$AS125-$AF125))</f>
        <v/>
      </c>
      <c r="AU125">
        <f>IF($C125="",0,MAX(0,$AT125-$AG125))</f>
        <v/>
      </c>
      <c r="AV125">
        <f>IF($C125="",0,MAX(0,$AU125-$AH125))</f>
        <v/>
      </c>
      <c r="AW125">
        <f>IF($C125="",0,MAX(0,$AV125-$AI125))</f>
        <v/>
      </c>
      <c r="AX125">
        <f>IF($C125="",0,MAX(0,MAX(0,N($L125))+IF($P125=V$3,$R125,0)+IF($S125=V$3,$U125,0)-$V125))</f>
        <v/>
      </c>
      <c r="AY125">
        <f>IF($C125="",0,MAX(0,$AX125+IF($P125=W$3,$R125,0)+IF($S125=W$3,$U125,0)-$W125))</f>
        <v/>
      </c>
      <c r="AZ125">
        <f>IF($C125="",0,MAX(0,$AY125+IF($P125=X$3,$R125,0)+IF($S125=X$3,$U125,0)-$X125))</f>
        <v/>
      </c>
      <c r="BA125">
        <f>IF($C125="",0,MAX(0,$AZ125+IF($P125=Y$3,$R125,0)+IF($S125=Y$3,$U125,0)-$Y125))</f>
        <v/>
      </c>
      <c r="BB125">
        <f>IF($C125="",0,MAX(0,$BA125+IF($P125=Z$3,$R125,0)+IF($S125=Z$3,$U125,0)-$Z125))</f>
        <v/>
      </c>
      <c r="BC125">
        <f>IF($C125="",0,MAX(0,$BB125+IF($P125=AA$3,$R125,0)+IF($S125=AA$3,$U125,0)-$AA125))</f>
        <v/>
      </c>
      <c r="BD125">
        <f>IF($C125="",0,MAX(0,$BC125+IF($P125=AB$3,$R125,0)+IF($S125=AB$3,$U125,0)-$AB125))</f>
        <v/>
      </c>
      <c r="BE125">
        <f>IF($C125="",0,MAX(0,$BD125+IF($P125=AC$3,$R125,0)+IF($S125=AC$3,$U125,0)-$AC125))</f>
        <v/>
      </c>
      <c r="BF125">
        <f>IF($C125="",0,MAX(0,$BE125+IF($P125=AD$3,$R125,0)+IF($S125=AD$3,$U125,0)-$AD125))</f>
        <v/>
      </c>
      <c r="BG125">
        <f>IF($C125="",0,MAX(0,$BF125+IF($P125=AE$3,$R125,0)+IF($S125=AE$3,$U125,0)-$AE125))</f>
        <v/>
      </c>
      <c r="BH125">
        <f>IF($C125="",0,MAX(0,$BG125+IF($P125=AF$3,$R125,0)+IF($S125=AF$3,$U125,0)-$AF125))</f>
        <v/>
      </c>
      <c r="BI125">
        <f>IF($C125="",0,MAX(0,$BH125+IF($P125=AG$3,$R125,0)+IF($S125=AG$3,$U125,0)-$AG125))</f>
        <v/>
      </c>
      <c r="BJ125">
        <f>IF($C125="",0,MAX(0,$BI125+IF($P125=AH$3,$R125,0)+IF($S125=AH$3,$U125,0)-$AH125))</f>
        <v/>
      </c>
      <c r="BK125">
        <f>IF($C125="",0,MAX(0,$BJ125+IF($P125=AI$3,$R125,0)+IF($S125=AI$3,$U125,0)-$AI125))</f>
        <v/>
      </c>
      <c r="BL125">
        <f>IF($C125="",99,IF(AND($AX125&lt;1,V$3&gt;=MAX(N($P125),N($S125))),0,99))</f>
        <v/>
      </c>
      <c r="BM125">
        <f>IF($C125="",99,IF(AND($AY125&lt;1,W$3&gt;=MAX(N($P125),N($S125))),1,99))</f>
        <v/>
      </c>
      <c r="BN125">
        <f>IF($C125="",99,IF(AND($AZ125&lt;1,X$3&gt;=MAX(N($P125),N($S125))),2,99))</f>
        <v/>
      </c>
      <c r="BO125">
        <f>IF($C125="",99,IF(AND($BA125&lt;1,Y$3&gt;=MAX(N($P125),N($S125))),3,99))</f>
        <v/>
      </c>
      <c r="BP125">
        <f>IF($C125="",99,IF(AND($BB125&lt;1,Z$3&gt;=MAX(N($P125),N($S125))),4,99))</f>
        <v/>
      </c>
      <c r="BQ125">
        <f>IF($C125="",99,IF(AND($BC125&lt;1,AA$3&gt;=MAX(N($P125),N($S125))),5,99))</f>
        <v/>
      </c>
      <c r="BR125">
        <f>IF($C125="",99,IF(AND($BD125&lt;1,AB$3&gt;=MAX(N($P125),N($S125))),6,99))</f>
        <v/>
      </c>
      <c r="BS125">
        <f>IF($C125="",99,IF(AND($BE125&lt;1,AC$3&gt;=MAX(N($P125),N($S125))),7,99))</f>
        <v/>
      </c>
      <c r="BT125">
        <f>IF($C125="",99,IF(AND($BF125&lt;1,AD$3&gt;=MAX(N($P125),N($S125))),8,99))</f>
        <v/>
      </c>
      <c r="BU125">
        <f>IF($C125="",99,IF(AND($BG125&lt;1,AE$3&gt;=MAX(N($P125),N($S125))),9,99))</f>
        <v/>
      </c>
      <c r="BV125">
        <f>IF($C125="",99,IF(AND($BH125&lt;1,AF$3&gt;=MAX(N($P125),N($S125))),10,99))</f>
        <v/>
      </c>
      <c r="BW125">
        <f>IF($C125="",99,IF(AND($BI125&lt;1,AG$3&gt;=MAX(N($P125),N($S125))),11,99))</f>
        <v/>
      </c>
      <c r="BX125">
        <f>IF($C125="",99,IF(AND($BJ125&lt;1,AH$3&gt;=MAX(N($P125),N($S125))),12,99))</f>
        <v/>
      </c>
      <c r="BY125">
        <f>IF($C125="",99,IF(AND($BK125&lt;1,AI$3&gt;=MAX(N($P125),N($S125))),13,99))</f>
        <v/>
      </c>
      <c r="BZ125">
        <f>IF(OR($C125="",$M125=""),"",COUNTIF($AJ125:$AW125,"&gt;=1"))</f>
        <v/>
      </c>
      <c r="CA125" s="90">
        <f>IF($BZ125="","",IF($BZ125&gt;=14,"",'設定'!$C$6+$BZ125))</f>
        <v/>
      </c>
      <c r="CB125">
        <f>IF(OR($C125="",$M125=""),"",MIN($BL125:$BY125))</f>
        <v/>
      </c>
      <c r="CC125" s="90">
        <f>IF($CB125="","",IF($CB125&gt;=99,"",'設定'!$C$6+$CB125))</f>
        <v/>
      </c>
      <c r="CD125">
        <f>IF(OR($C125="",$M125=""),"",AVERAGE($V125:$AI125))</f>
        <v/>
      </c>
      <c r="CE125">
        <f>IF($C125="","",IFERROR(IF(MATCH(IF(ISNUMBER($P125),$P125,'設定'!$C$6+N('設定'!$C$7)),$V$3:$AI$3,0)=1,MAX(0,N($L125)),INDEX($AJ125:$AW125,MATCH(IF(ISNUMBER($P125),$P125,'設定'!$C$6+N('設定'!$C$7)),$V$3:$AI$3,0)-1)),""))</f>
        <v/>
      </c>
      <c r="CF125">
        <f>IF(OR($C125="",$O125="",$CE125=""),"",IF($O125-$CE125&lt;=0,0,ROUNDUP(($O125-$CE125)/$G125,0)))</f>
        <v/>
      </c>
      <c r="CG125">
        <f>IF(OR($C125="",$CF125="",NOT(ISNUMBER($Q125))),0,MAX(0,$Q125-$CF125))</f>
        <v/>
      </c>
      <c r="CH125">
        <f>IF(OR($C125="",$O125="",$U125=0),0,IFERROR(ROUNDUP(MAX(0,IF(MATCH($S125,$V$3:$AI$3,0)=1,MAX(0,N($L125)),INDEX($AX125:$BK125,MATCH($S125,$V$3:$AI$3,0)-1))+$U125-$O125)/$G125,0),0))</f>
        <v/>
      </c>
      <c r="CI125">
        <f>IF($C125="","",IF(AND($P125="",$Q125=""),"",IF($P125="","⚠ 入庫日を ▼ から選んでください",IF(NOT(ISNUMBER($P125)),"⚠ 入庫日は ▼ から選んでください",IF($P125&lt;N('設定'!$C$6),"⚠ 入庫日が過去です（もう在庫に入っています）→ 消してください",IF($P125&gt;N('設定'!$C$6)+13,"⚠ 入庫日が14日より先です",IF(N($Q125)&lt;=0,"⚠ 入庫数を入れてください",IF($CG125&gt;0,"⚠ 目安より "&amp;$CG125&amp;" 多い（定数を超える）→ 減らす",""))))))))</f>
        <v/>
      </c>
      <c r="CJ125">
        <f>IF($C125="","",IF(AND($S125="",$T125=""),"",IF($S125="","⚠ 2便目：入庫日を ▼ から選んでください",IF(NOT(ISNUMBER($S125)),"⚠ 2便目：入庫日は ▼ から選んでください",IF($S125&lt;N('設定'!$C$6),"⚠ 2便目：入庫日が過去です（もう在庫に入っています）→ 消してください",IF($S125&gt;N('設定'!$C$6)+13,"⚠ 2便目：入庫日が14日より先です",IF(N($T125)&lt;=0,"⚠ 2便目：入庫数を入れてください",IF($CH125&gt;0,"⚠ 2便目：定数を "&amp;$CH125&amp;" ケース超える → 減らす",""))))))))</f>
        <v/>
      </c>
      <c r="CK125">
        <f>IF(AND($CI125="",N($Q125)&gt;0,ISNUMBER($P125)),1,0)</f>
        <v/>
      </c>
      <c r="CL125">
        <f>IF(AND($CJ125="",N($T125)&gt;0,ISNUMBER($S125)),1,0)</f>
        <v/>
      </c>
      <c r="CM125">
        <f>IF(OR($CK125=1,$CL125=1),1,0)</f>
        <v/>
      </c>
      <c r="CN125">
        <f>IF($C125="",0,($CK125*$R125+$CL125*$U125)*N($H125))</f>
        <v/>
      </c>
      <c r="CO125">
        <f>IF($C125="","",IF($CC125="","入庫後は 14日以上もつ",IF($CC125-N('設定'!$C$7)&lt;='設定'!$C$6,"入庫後も "&amp;TEXT($CC125,"m/d")&amp;"("&amp;CHOOSE(WEEKDAY($CC125),"日","月","火","水","木","金","土")&amp;")"&amp;" に切れる　もう1便を至急発注","入庫後も "&amp;TEXT($CC125,"m/d")&amp;"("&amp;CHOOSE(WEEKDAY($CC125),"日","月","火","水","木","金","土")&amp;")"&amp;" に切れる　"&amp;TEXT($CC125-N('設定'!$C$7),"m/d")&amp;"("&amp;CHOOSE(WEEKDAY($CC125-N('設定'!$C$7)),"日","月","火","水","木","金","土")&amp;")"&amp;" までに次を発注")))</f>
        <v/>
      </c>
      <c r="CP125">
        <f>IF($C125="","",IF('設定'!$C$6="","？ ①在庫を貼る に今日のCSVが貼られていない",IF($CS125=1,"－ 今日のCSVに無い（終売？）",IF($L125&lt;0,"● 在庫がマイナス　数えて「数えた在庫」に入れる",IF($L125=0,"● 在庫なし　至急発注",IF($M125="","？ 減り数が未設定（商品マスタ）",IF($B$3=0,"？ 動員が未入力（動員を入れる）",IF($CA125="","○ 14日以上もつ",IF($BZ125&lt;N('設定'!$C$7),"● "&amp;TEXT($CA125,"m/d")&amp;"("&amp;CHOOSE(WEEKDAY($CA125),"日","月","火","水","木","金","土")&amp;")"&amp;" に切れる　至急発注",IF($BZ125=N('設定'!$C$7),"● "&amp;TEXT($CA125,"m/d")&amp;"("&amp;CHOOSE(WEEKDAY($CA125),"日","月","火","水","木","金","土")&amp;")"&amp;" に切れる　今日発注","△ "&amp;TEXT($CA125,"m/d")&amp;"("&amp;CHOOSE(WEEKDAY($CA125),"日","月","火","水","木","金","土")&amp;")"&amp;" に切れる　"&amp;TEXT($CA125-N('設定'!$C$7),"m/d")&amp;"("&amp;CHOOSE(WEEKDAY($CA125-N('設定'!$C$7)),"日","月","火","水","木","金","土")&amp;")"&amp;" までに発注"))))))))))</f>
        <v/>
      </c>
      <c r="CQ125">
        <f>IF($C125="","",IF(AND($P125="",$Q125="",$S125="",$T125=""),"",IF(AND($P125="",$Q125=""),"⚠ 先に1便目（左の入庫日・入庫数）に入れてください",IF($CI125&lt;&gt;"",$CI125,IF($CJ125&lt;&gt;"",$CJ125,IF($M125="","？ 減り数が未設定（発注書には載ります）",IF($B$3=0,"？ 動員が未入力（発注書には載ります）",IF(AND($CA125&lt;&gt;"",$P125&gt;$CA125),IF($P125&gt;'設定'!$C$6+N('設定'!$C$7),"● "&amp;TEXT($P125,"m/d")&amp;"("&amp;CHOOSE(WEEKDAY($P125),"日","月","火","水","木","金","土")&amp;")"&amp;" の入庫では間に合わない（"&amp;TEXT($CA125,"m/d")&amp;"("&amp;CHOOSE(WEEKDAY($CA125),"日","月","火","水","木","金","土")&amp;")"&amp;" に切れる）　入庫日を早める","△ 欠品 "&amp;TEXT($CA125,"m/d")&amp;"("&amp;CHOOSE(WEEKDAY($CA125),"日","月","火","水","木","金","土")&amp;")"&amp;"〜"&amp;TEXT($P125-1,"m/d")&amp;"("&amp;CHOOSE(WEEKDAY($P125-1),"日","月","火","水","木","金","土")&amp;")"&amp;"　"&amp;$CO125),IF($CC125="","○ "&amp;TEXT($P125,"m/d")&amp;"("&amp;CHOOSE(WEEKDAY($P125),"日","月","火","水","木","金","土")&amp;")"&amp;" 入庫で 14日以上もつ",IF($CC125-N('設定'!$C$7)&lt;='設定'!$C$6,"● 入庫しても "&amp;TEXT($CC125,"m/d")&amp;"("&amp;CHOOSE(WEEKDAY($CC125),"日","月","火","水","木","金","土")&amp;")"&amp;" に切れる　もう1便を至急発注（2便目に入れる）","△ 入庫しても "&amp;TEXT($CC125,"m/d")&amp;"("&amp;CHOOSE(WEEKDAY($CC125),"日","月","火","水","木","金","土")&amp;")"&amp;" に切れる　"&amp;TEXT($CC125-N('設定'!$C$7),"m/d")&amp;"("&amp;CHOOSE(WEEKDAY($CC125-N('設定'!$C$7)),"日","月","火","水","木","金","土")&amp;")"&amp;" までに次を発注（2便目に入れる）"))))))))))</f>
        <v/>
      </c>
      <c r="CR125">
        <f>IF($C125="","",IF($G125&gt;1,"ｹｰｽ("&amp;$G125&amp;"入)","個"))</f>
        <v/>
      </c>
      <c r="CS125">
        <f>IF($C125="",0,IF(COUNTIFS('①在庫を貼る'!$V$6:$V$10005,'設定'!$C$4,'①在庫を貼る'!$W$6:$W$10005,$C125)=0,1,0))</f>
        <v/>
      </c>
      <c r="CT125">
        <f>IF(AND($CK125=1,OR('③発注書'!$C$4="すべて",'③発注書'!$C$4="",$F125='③発注書'!$C$4)),N($CT124)+1,N($CT124))</f>
        <v/>
      </c>
      <c r="CU125">
        <f>IF(AND($CL125=1,OR('③発注書'!$C$4="すべて",'③発注書'!$C$4="",$F125='③発注書'!$C$4)),N($CU124)+1,N($CU124))</f>
        <v/>
      </c>
      <c r="CV125">
        <f>IF($C125="",0,IF(COUNTIFS('①在庫を貼る'!$V$6:$V$10005,'設定'!$C$4,'①在庫を貼る'!$W$6:$W$10005,$C125)&gt;0,1,0))</f>
        <v/>
      </c>
      <c r="CW125">
        <f>IF($C125="",0,IF(COUNTIFS('月1回_1ヶ月前の在庫'!$V$6:$V$10005,'設定'!$C$4,'月1回_1ヶ月前の在庫'!$W$6:$W$10005,$C125)&gt;0,1,0))</f>
        <v/>
      </c>
      <c r="CX125">
        <f>IF($C125="",0,IF(COUNTIFS('月1回_2ヶ月前の在庫'!$V$6:$V$10005,'設定'!$C$4,'月1回_2ヶ月前の在庫'!$W$6:$W$10005,$C125)&gt;0,1,0))</f>
        <v/>
      </c>
      <c r="CY125">
        <f>IF(OR($C125="",'設定'!$C$12=""),"",IF('設定'!$C$13="",IF(AND($CV125=1,$CW125=0),"新商品（今月から）",IF(AND($CV125=0,$CW125=1),"終売（今月から）","")),IF(AND($CV125=1,$CW125=0,$CX125=0),"新商品（今月から）",IF(AND($CV125=1,$CW125=1,$CX125=0),"新商品（先月から）",IF(AND($CV125=0,$CW125=1,$CX125=1),"終売（今月から）",IF(AND($CV125=0,$CW125=0,$CX125=1),"終売（先月から）",IF(AND($CV125=1,$CW125=0,$CX125=1),"復活（先月は無し）","")))))))</f>
        <v/>
      </c>
    </row>
    <row r="126">
      <c r="B126">
        <f>IF(121&lt;='設定'!$C$11,121,"")</f>
        <v/>
      </c>
      <c r="C126">
        <f>IF($B126="","",IF($B126&lt;='設定'!$C$20,INDEX('商品マスタ'!$B$6:$B$1005,MATCH($B126,'商品マスタ'!$M$6:$M$1005,0)),IF($B126&lt;='設定'!$C$20+'設定'!$C$17,INDEX('①在庫を貼る'!$W$6:$W$10005,MATCH($B126-'設定'!$C$20,'①在庫を貼る'!$U$6:$U$10005,0)),IF($B126&lt;='設定'!$C$20+'設定'!$C$17+'設定'!$C$18,INDEX('月1回_1ヶ月前の在庫'!$W$6:$W$10005,MATCH($B126-'設定'!$C$20-'設定'!$C$17,'月1回_1ヶ月前の在庫'!$U$6:$U$10005,0)),INDEX('月1回_2ヶ月前の在庫'!$W$6:$W$10005,MATCH($B126-'設定'!$C$20-'設定'!$C$17-'設定'!$C$18,'月1回_2ヶ月前の在庫'!$U$6:$U$10005,0))))))</f>
        <v/>
      </c>
      <c r="D126">
        <f>IF($C126="","",IFERROR(IF(INDEX('商品マスタ'!$C$6:$C$1005,MATCH($C126,'商品マスタ'!$B$6:$B$1005,0))="",IFERROR(INDEX('①在庫を貼る'!$J$6:$J$10005,MATCH($C126,'①在庫を貼る'!$W$6:$W$10005,0)),IFERROR(INDEX('月1回_1ヶ月前の在庫'!$J$6:$J$10005,MATCH($C126,'月1回_1ヶ月前の在庫'!$W$6:$W$10005,0)),IFERROR(INDEX('月1回_2ヶ月前の在庫'!$J$6:$J$10005,MATCH($C126,'月1回_2ヶ月前の在庫'!$W$6:$W$10005,0)),""))),INDEX('商品マスタ'!$C$6:$C$1005,MATCH($C126,'商品マスタ'!$B$6:$B$1005,0))),IFERROR(INDEX('①在庫を貼る'!$J$6:$J$10005,MATCH($C126,'①在庫を貼る'!$W$6:$W$10005,0)),IFERROR(INDEX('月1回_1ヶ月前の在庫'!$J$6:$J$10005,MATCH($C126,'月1回_1ヶ月前の在庫'!$W$6:$W$10005,0)),IFERROR(INDEX('月1回_2ヶ月前の在庫'!$J$6:$J$10005,MATCH($C126,'月1回_2ヶ月前の在庫'!$W$6:$W$10005,0)),"")))))</f>
        <v/>
      </c>
      <c r="E126">
        <f>IF($C126="","",IFERROR(IF(INDEX('商品マスタ'!$D$6:$D$1005,MATCH($C126,'商品マスタ'!$B$6:$B$1005,0))="",IFERROR(INDEX('①在庫を貼る'!$H$6:$H$10005,MATCH($C126,'①在庫を貼る'!$W$6:$W$10005,0)),IFERROR(INDEX('月1回_1ヶ月前の在庫'!$H$6:$H$10005,MATCH($C126,'月1回_1ヶ月前の在庫'!$W$6:$W$10005,0)),IFERROR(INDEX('月1回_2ヶ月前の在庫'!$H$6:$H$10005,MATCH($C126,'月1回_2ヶ月前の在庫'!$W$6:$W$10005,0)),""))),INDEX('商品マスタ'!$D$6:$D$1005,MATCH($C126,'商品マスタ'!$B$6:$B$1005,0))),IFERROR(INDEX('①在庫を貼る'!$H$6:$H$10005,MATCH($C126,'①在庫を貼る'!$W$6:$W$10005,0)),IFERROR(INDEX('月1回_1ヶ月前の在庫'!$H$6:$H$10005,MATCH($C126,'月1回_1ヶ月前の在庫'!$W$6:$W$10005,0)),IFERROR(INDEX('月1回_2ヶ月前の在庫'!$H$6:$H$10005,MATCH($C126,'月1回_2ヶ月前の在庫'!$W$6:$W$10005,0)),"")))))</f>
        <v/>
      </c>
      <c r="F126">
        <f>IF($C126="","",IFERROR(IF(INDEX('商品マスタ'!$E$6:$E$1005,MATCH($C126,'商品マスタ'!$B$6:$B$1005,0))="",IFERROR(INDEX('①在庫を貼る'!$E$6:$E$10005,MATCH($C126,'①在庫を貼る'!$W$6:$W$10005,0)),IFERROR(INDEX('月1回_1ヶ月前の在庫'!$E$6:$E$10005,MATCH($C126,'月1回_1ヶ月前の在庫'!$W$6:$W$10005,0)),IFERROR(INDEX('月1回_2ヶ月前の在庫'!$E$6:$E$10005,MATCH($C126,'月1回_2ヶ月前の在庫'!$W$6:$W$10005,0)),""))),INDEX('商品マスタ'!$E$6:$E$1005,MATCH($C126,'商品マスタ'!$B$6:$B$1005,0))),IFERROR(INDEX('①在庫を貼る'!$E$6:$E$10005,MATCH($C126,'①在庫を貼る'!$W$6:$W$10005,0)),IFERROR(INDEX('月1回_1ヶ月前の在庫'!$E$6:$E$10005,MATCH($C126,'月1回_1ヶ月前の在庫'!$W$6:$W$10005,0)),IFERROR(INDEX('月1回_2ヶ月前の在庫'!$E$6:$E$10005,MATCH($C126,'月1回_2ヶ月前の在庫'!$W$6:$W$10005,0)),"")))))</f>
        <v/>
      </c>
      <c r="G126">
        <f>IF($C126="","",MAX(1,N(IFERROR(IF(INDEX('商品マスタ'!$F$6:$F$1005,MATCH($C126,'商品マスタ'!$B$6:$B$1005,0))="",IF(COUNTIFS('①在庫を貼る'!$V$6:$V$10005,'設定'!$C$4,'①在庫を貼る'!$W$6:$W$10005,$C126)&gt;0,SUMIFS('①在庫を貼る'!$K$6:$K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K$6:$K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K$6:$K$10005,'月1回_2ヶ月前の在庫'!$V$6:$V$10005,'設定'!$C$4,'月1回_2ヶ月前の在庫'!$W$6:$W$10005,$C126)/COUNTIFS('月1回_2ヶ月前の在庫'!$V$6:$V$10005,'設定'!$C$4,'月1回_2ヶ月前の在庫'!$W$6:$W$10005,$C126),0))),INDEX('商品マスタ'!$F$6:$F$1005,MATCH($C126,'商品マスタ'!$B$6:$B$1005,0))),IF(COUNTIFS('①在庫を貼る'!$V$6:$V$10005,'設定'!$C$4,'①在庫を貼る'!$W$6:$W$10005,$C126)&gt;0,SUMIFS('①在庫を貼る'!$K$6:$K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K$6:$K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K$6:$K$10005,'月1回_2ヶ月前の在庫'!$V$6:$V$10005,'設定'!$C$4,'月1回_2ヶ月前の在庫'!$W$6:$W$10005,$C126)/COUNTIFS('月1回_2ヶ月前の在庫'!$V$6:$V$10005,'設定'!$C$4,'月1回_2ヶ月前の在庫'!$W$6:$W$10005,$C126),0)))))))</f>
        <v/>
      </c>
      <c r="H126">
        <f>IF($C126="","",N(IFERROR(IF(INDEX('商品マスタ'!$G$6:$G$1005,MATCH($C126,'商品マスタ'!$B$6:$B$1005,0))="",IF(COUNTIFS('①在庫を貼る'!$V$6:$V$10005,'設定'!$C$4,'①在庫を貼る'!$W$6:$W$10005,$C126)&gt;0,SUMIFS('①在庫を貼る'!$Q$6:$Q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Q$6:$Q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Q$6:$Q$10005,'月1回_2ヶ月前の在庫'!$V$6:$V$10005,'設定'!$C$4,'月1回_2ヶ月前の在庫'!$W$6:$W$10005,$C126)/COUNTIFS('月1回_2ヶ月前の在庫'!$V$6:$V$10005,'設定'!$C$4,'月1回_2ヶ月前の在庫'!$W$6:$W$10005,$C126),0))),INDEX('商品マスタ'!$G$6:$G$1005,MATCH($C126,'商品マスタ'!$B$6:$B$1005,0))),IF(COUNTIFS('①在庫を貼る'!$V$6:$V$10005,'設定'!$C$4,'①在庫を貼る'!$W$6:$W$10005,$C126)&gt;0,SUMIFS('①在庫を貼る'!$Q$6:$Q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Q$6:$Q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Q$6:$Q$10005,'月1回_2ヶ月前の在庫'!$V$6:$V$10005,'設定'!$C$4,'月1回_2ヶ月前の在庫'!$W$6:$W$10005,$C126)/COUNTIFS('月1回_2ヶ月前の在庫'!$V$6:$V$10005,'設定'!$C$4,'月1回_2ヶ月前の在庫'!$W$6:$W$10005,$C126),0))))))</f>
        <v/>
      </c>
      <c r="I126">
        <f>IF($C126="","",IF(COUNTIFS('①在庫を貼る'!$V$6:$V$10005,'設定'!$C$4,'①在庫を貼る'!$W$6:$W$10005,$C126)=0,"",SUMIFS('①在庫を貼る'!$N$6:$N$10005,'①在庫を貼る'!$V$6:$V$10005,'設定'!$C$4,'①在庫を貼る'!$W$6:$W$10005,$C126)))</f>
        <v/>
      </c>
      <c r="J126">
        <f>IF($C126="","",IF('②発注する'!$AD130="","",'②発注する'!$AD130))</f>
        <v/>
      </c>
      <c r="K126" s="90">
        <f>IF($C126="","",IF('②発注する'!$AE130="","",'②発注する'!$AE130))</f>
        <v/>
      </c>
      <c r="L126">
        <f>IF($C126="","",IF(AND(ISNUMBER($J126),ISNUMBER($K126),$K126&gt;='設定'!$C$6),$J126,N($I126)))</f>
        <v/>
      </c>
      <c r="M126">
        <f>IF($C126="","",IFERROR(IF(N(INDEX('商品マスタ'!$J$6:$J$1005,MATCH($C126,'商品マスタ'!$B$6:$B$1005,0)))&gt;0,INDEX('商品マスタ'!$J$6:$J$1005,MATCH($C126,'商品マスタ'!$B$6:$B$1005,0)),""),""))</f>
        <v/>
      </c>
      <c r="N126">
        <f>IF($C126="","",IFERROR(IF(N(INDEX('商品マスタ'!$H$6:$H$1005,MATCH($C126,'商品マスタ'!$B$6:$B$1005,0)))&gt;0,INDEX('商品マスタ'!$H$6:$H$1005,MATCH($C126,'商品マスタ'!$B$6:$B$1005,0)),""),""))</f>
        <v/>
      </c>
      <c r="O126">
        <f>IF($C126="","",IF($N126&lt;&gt;"",$N126*$G126,IF(N(IF(COUNTIFS('①在庫を貼る'!$V$6:$V$10005,'設定'!$C$4,'①在庫を貼る'!$W$6:$W$10005,$C126)&gt;0,SUMIFS('①在庫を貼る'!$O$6:$O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O$6:$O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O$6:$O$10005,'月1回_2ヶ月前の在庫'!$V$6:$V$10005,'設定'!$C$4,'月1回_2ヶ月前の在庫'!$W$6:$W$10005,$C126)/COUNTIFS('月1回_2ヶ月前の在庫'!$V$6:$V$10005,'設定'!$C$4,'月1回_2ヶ月前の在庫'!$W$6:$W$10005,$C126),0))))&gt;0,N(IF(COUNTIFS('①在庫を貼る'!$V$6:$V$10005,'設定'!$C$4,'①在庫を貼る'!$W$6:$W$10005,$C126)&gt;0,SUMIFS('①在庫を貼る'!$O$6:$O$10005,'①在庫を貼る'!$V$6:$V$10005,'設定'!$C$4,'①在庫を貼る'!$W$6:$W$10005,$C126)/COUNTIFS('①在庫を貼る'!$V$6:$V$10005,'設定'!$C$4,'①在庫を貼る'!$W$6:$W$10005,$C126),IF(COUNTIFS('月1回_1ヶ月前の在庫'!$V$6:$V$10005,'設定'!$C$4,'月1回_1ヶ月前の在庫'!$W$6:$W$10005,$C126)&gt;0,SUMIFS('月1回_1ヶ月前の在庫'!$O$6:$O$10005,'月1回_1ヶ月前の在庫'!$V$6:$V$10005,'設定'!$C$4,'月1回_1ヶ月前の在庫'!$W$6:$W$10005,$C126)/COUNTIFS('月1回_1ヶ月前の在庫'!$V$6:$V$10005,'設定'!$C$4,'月1回_1ヶ月前の在庫'!$W$6:$W$10005,$C126),IF(COUNTIFS('月1回_2ヶ月前の在庫'!$V$6:$V$10005,'設定'!$C$4,'月1回_2ヶ月前の在庫'!$W$6:$W$10005,$C126)&gt;0,SUMIFS('月1回_2ヶ月前の在庫'!$O$6:$O$10005,'月1回_2ヶ月前の在庫'!$V$6:$V$10005,'設定'!$C$4,'月1回_2ヶ月前の在庫'!$W$6:$W$10005,$C126)/COUNTIFS('月1回_2ヶ月前の在庫'!$V$6:$V$10005,'設定'!$C$4,'月1回_2ヶ月前の在庫'!$W$6:$W$10005,$C126),0)))),"")))</f>
        <v/>
      </c>
      <c r="P126" s="90">
        <f>IF($C126="","",IF('②発注する'!$I130="","",'②発注する'!$I130))</f>
        <v/>
      </c>
      <c r="Q126">
        <f>IF($C126="","",IF('②発注する'!$J130="","",'②発注する'!$J130))</f>
        <v/>
      </c>
      <c r="R126">
        <f>IF($C126="",0,IF(AND(ISNUMBER($P126),ISNUMBER($Q126)),MAX(0,$Q126)*$G126,0))</f>
        <v/>
      </c>
      <c r="S126" s="90">
        <f>IF($C126="","",IF('②発注する'!$M130="","",'②発注する'!$M130))</f>
        <v/>
      </c>
      <c r="T126">
        <f>IF($C126="","",IF('②発注する'!$N130="","",'②発注する'!$N130))</f>
        <v/>
      </c>
      <c r="U126">
        <f>IF($C126="",0,IF(AND(ISNUMBER($S126),ISNUMBER($T126)),MAX(0,$T126)*$G126,0))</f>
        <v/>
      </c>
      <c r="V126">
        <f>IF($C126="",0,IF($M126="",0,MAX(0,$M126)*MAX(0,V$4)/100))</f>
        <v/>
      </c>
      <c r="W126">
        <f>IF($C126="",0,IF($M126="",0,MAX(0,$M126)*MAX(0,W$4)/100))</f>
        <v/>
      </c>
      <c r="X126">
        <f>IF($C126="",0,IF($M126="",0,MAX(0,$M126)*MAX(0,X$4)/100))</f>
        <v/>
      </c>
      <c r="Y126">
        <f>IF($C126="",0,IF($M126="",0,MAX(0,$M126)*MAX(0,Y$4)/100))</f>
        <v/>
      </c>
      <c r="Z126">
        <f>IF($C126="",0,IF($M126="",0,MAX(0,$M126)*MAX(0,Z$4)/100))</f>
        <v/>
      </c>
      <c r="AA126">
        <f>IF($C126="",0,IF($M126="",0,MAX(0,$M126)*MAX(0,AA$4)/100))</f>
        <v/>
      </c>
      <c r="AB126">
        <f>IF($C126="",0,IF($M126="",0,MAX(0,$M126)*MAX(0,AB$4)/100))</f>
        <v/>
      </c>
      <c r="AC126">
        <f>IF($C126="",0,IF($M126="",0,MAX(0,$M126)*MAX(0,AC$4)/100))</f>
        <v/>
      </c>
      <c r="AD126">
        <f>IF($C126="",0,IF($M126="",0,MAX(0,$M126)*MAX(0,AD$4)/100))</f>
        <v/>
      </c>
      <c r="AE126">
        <f>IF($C126="",0,IF($M126="",0,MAX(0,$M126)*MAX(0,AE$4)/100))</f>
        <v/>
      </c>
      <c r="AF126">
        <f>IF($C126="",0,IF($M126="",0,MAX(0,$M126)*MAX(0,AF$4)/100))</f>
        <v/>
      </c>
      <c r="AG126">
        <f>IF($C126="",0,IF($M126="",0,MAX(0,$M126)*MAX(0,AG$4)/100))</f>
        <v/>
      </c>
      <c r="AH126">
        <f>IF($C126="",0,IF($M126="",0,MAX(0,$M126)*MAX(0,AH$4)/100))</f>
        <v/>
      </c>
      <c r="AI126">
        <f>IF($C126="",0,IF($M126="",0,MAX(0,$M126)*MAX(0,AI$4)/100))</f>
        <v/>
      </c>
      <c r="AJ126">
        <f>IF($C126="",0,MAX(0,MAX(0,N($L126))-$V126))</f>
        <v/>
      </c>
      <c r="AK126">
        <f>IF($C126="",0,MAX(0,$AJ126-$W126))</f>
        <v/>
      </c>
      <c r="AL126">
        <f>IF($C126="",0,MAX(0,$AK126-$X126))</f>
        <v/>
      </c>
      <c r="AM126">
        <f>IF($C126="",0,MAX(0,$AL126-$Y126))</f>
        <v/>
      </c>
      <c r="AN126">
        <f>IF($C126="",0,MAX(0,$AM126-$Z126))</f>
        <v/>
      </c>
      <c r="AO126">
        <f>IF($C126="",0,MAX(0,$AN126-$AA126))</f>
        <v/>
      </c>
      <c r="AP126">
        <f>IF($C126="",0,MAX(0,$AO126-$AB126))</f>
        <v/>
      </c>
      <c r="AQ126">
        <f>IF($C126="",0,MAX(0,$AP126-$AC126))</f>
        <v/>
      </c>
      <c r="AR126">
        <f>IF($C126="",0,MAX(0,$AQ126-$AD126))</f>
        <v/>
      </c>
      <c r="AS126">
        <f>IF($C126="",0,MAX(0,$AR126-$AE126))</f>
        <v/>
      </c>
      <c r="AT126">
        <f>IF($C126="",0,MAX(0,$AS126-$AF126))</f>
        <v/>
      </c>
      <c r="AU126">
        <f>IF($C126="",0,MAX(0,$AT126-$AG126))</f>
        <v/>
      </c>
      <c r="AV126">
        <f>IF($C126="",0,MAX(0,$AU126-$AH126))</f>
        <v/>
      </c>
      <c r="AW126">
        <f>IF($C126="",0,MAX(0,$AV126-$AI126))</f>
        <v/>
      </c>
      <c r="AX126">
        <f>IF($C126="",0,MAX(0,MAX(0,N($L126))+IF($P126=V$3,$R126,0)+IF($S126=V$3,$U126,0)-$V126))</f>
        <v/>
      </c>
      <c r="AY126">
        <f>IF($C126="",0,MAX(0,$AX126+IF($P126=W$3,$R126,0)+IF($S126=W$3,$U126,0)-$W126))</f>
        <v/>
      </c>
      <c r="AZ126">
        <f>IF($C126="",0,MAX(0,$AY126+IF($P126=X$3,$R126,0)+IF($S126=X$3,$U126,0)-$X126))</f>
        <v/>
      </c>
      <c r="BA126">
        <f>IF($C126="",0,MAX(0,$AZ126+IF($P126=Y$3,$R126,0)+IF($S126=Y$3,$U126,0)-$Y126))</f>
        <v/>
      </c>
      <c r="BB126">
        <f>IF($C126="",0,MAX(0,$BA126+IF($P126=Z$3,$R126,0)+IF($S126=Z$3,$U126,0)-$Z126))</f>
        <v/>
      </c>
      <c r="BC126">
        <f>IF($C126="",0,MAX(0,$BB126+IF($P126=AA$3,$R126,0)+IF($S126=AA$3,$U126,0)-$AA126))</f>
        <v/>
      </c>
      <c r="BD126">
        <f>IF($C126="",0,MAX(0,$BC126+IF($P126=AB$3,$R126,0)+IF($S126=AB$3,$U126,0)-$AB126))</f>
        <v/>
      </c>
      <c r="BE126">
        <f>IF($C126="",0,MAX(0,$BD126+IF($P126=AC$3,$R126,0)+IF($S126=AC$3,$U126,0)-$AC126))</f>
        <v/>
      </c>
      <c r="BF126">
        <f>IF($C126="",0,MAX(0,$BE126+IF($P126=AD$3,$R126,0)+IF($S126=AD$3,$U126,0)-$AD126))</f>
        <v/>
      </c>
      <c r="BG126">
        <f>IF($C126="",0,MAX(0,$BF126+IF($P126=AE$3,$R126,0)+IF($S126=AE$3,$U126,0)-$AE126))</f>
        <v/>
      </c>
      <c r="BH126">
        <f>IF($C126="",0,MAX(0,$BG126+IF($P126=AF$3,$R126,0)+IF($S126=AF$3,$U126,0)-$AF126))</f>
        <v/>
      </c>
      <c r="BI126">
        <f>IF($C126="",0,MAX(0,$BH126+IF($P126=AG$3,$R126,0)+IF($S126=AG$3,$U126,0)-$AG126))</f>
        <v/>
      </c>
      <c r="BJ126">
        <f>IF($C126="",0,MAX(0,$BI126+IF($P126=AH$3,$R126,0)+IF($S126=AH$3,$U126,0)-$AH126))</f>
        <v/>
      </c>
      <c r="BK126">
        <f>IF($C126="",0,MAX(0,$BJ126+IF($P126=AI$3,$R126,0)+IF($S126=AI$3,$U126,0)-$AI126))</f>
        <v/>
      </c>
      <c r="BL126">
        <f>IF($C126="",99,IF(AND($AX126&lt;1,V$3&gt;=MAX(N($P126),N($S126))),0,99))</f>
        <v/>
      </c>
      <c r="BM126">
        <f>IF($C126="",99,IF(AND($AY126&lt;1,W$3&gt;=MAX(N($P126),N($S126))),1,99))</f>
        <v/>
      </c>
      <c r="BN126">
        <f>IF($C126="",99,IF(AND($AZ126&lt;1,X$3&gt;=MAX(N($P126),N($S126))),2,99))</f>
        <v/>
      </c>
      <c r="BO126">
        <f>IF($C126="",99,IF(AND($BA126&lt;1,Y$3&gt;=MAX(N($P126),N($S126))),3,99))</f>
        <v/>
      </c>
      <c r="BP126">
        <f>IF($C126="",99,IF(AND($BB126&lt;1,Z$3&gt;=MAX(N($P126),N($S126))),4,99))</f>
        <v/>
      </c>
      <c r="BQ126">
        <f>IF($C126="",99,IF(AND($BC126&lt;1,AA$3&gt;=MAX(N($P126),N($S126))),5,99))</f>
        <v/>
      </c>
      <c r="BR126">
        <f>IF($C126="",99,IF(AND($BD126&lt;1,AB$3&gt;=MAX(N($P126),N($S126))),6,99))</f>
        <v/>
      </c>
      <c r="BS126">
        <f>IF($C126="",99,IF(AND($BE126&lt;1,AC$3&gt;=MAX(N($P126),N($S126))),7,99))</f>
        <v/>
      </c>
      <c r="BT126">
        <f>IF($C126="",99,IF(AND($BF126&lt;1,AD$3&gt;=MAX(N($P126),N($S126))),8,99))</f>
        <v/>
      </c>
      <c r="BU126">
        <f>IF($C126="",99,IF(AND($BG126&lt;1,AE$3&gt;=MAX(N($P126),N($S126))),9,99))</f>
        <v/>
      </c>
      <c r="BV126">
        <f>IF($C126="",99,IF(AND($BH126&lt;1,AF$3&gt;=MAX(N($P126),N($S126))),10,99))</f>
        <v/>
      </c>
      <c r="BW126">
        <f>IF($C126="",99,IF(AND($BI126&lt;1,AG$3&gt;=MAX(N($P126),N($S126))),11,99))</f>
        <v/>
      </c>
      <c r="BX126">
        <f>IF($C126="",99,IF(AND($BJ126&lt;1,AH$3&gt;=MAX(N($P126),N($S126))),12,99))</f>
        <v/>
      </c>
      <c r="BY126">
        <f>IF($C126="",99,IF(AND($BK126&lt;1,AI$3&gt;=MAX(N($P126),N($S126))),13,99))</f>
        <v/>
      </c>
      <c r="BZ126">
        <f>IF(OR($C126="",$M126=""),"",COUNTIF($AJ126:$AW126,"&gt;=1"))</f>
        <v/>
      </c>
      <c r="CA126" s="90">
        <f>IF($BZ126="","",IF($BZ126&gt;=14,"",'設定'!$C$6+$BZ126))</f>
        <v/>
      </c>
      <c r="CB126">
        <f>IF(OR($C126="",$M126=""),"",MIN($BL126:$BY126))</f>
        <v/>
      </c>
      <c r="CC126" s="90">
        <f>IF($CB126="","",IF($CB126&gt;=99,"",'設定'!$C$6+$CB126))</f>
        <v/>
      </c>
      <c r="CD126">
        <f>IF(OR($C126="",$M126=""),"",AVERAGE($V126:$AI126))</f>
        <v/>
      </c>
      <c r="CE126">
        <f>IF($C126="","",IFERROR(IF(MATCH(IF(ISNUMBER($P126),$P126,'設定'!$C$6+N('設定'!$C$7)),$V$3:$AI$3,0)=1,MAX(0,N($L126)),INDEX($AJ126:$AW126,MATCH(IF(ISNUMBER($P126),$P126,'設定'!$C$6+N('設定'!$C$7)),$V$3:$AI$3,0)-1)),""))</f>
        <v/>
      </c>
      <c r="CF126">
        <f>IF(OR($C126="",$O126="",$CE126=""),"",IF($O126-$CE126&lt;=0,0,ROUNDUP(($O126-$CE126)/$G126,0)))</f>
        <v/>
      </c>
      <c r="CG126">
        <f>IF(OR($C126="",$CF126="",NOT(ISNUMBER($Q126))),0,MAX(0,$Q126-$CF126))</f>
        <v/>
      </c>
      <c r="CH126">
        <f>IF(OR($C126="",$O126="",$U126=0),0,IFERROR(ROUNDUP(MAX(0,IF(MATCH($S126,$V$3:$AI$3,0)=1,MAX(0,N($L126)),INDEX($AX126:$BK126,MATCH($S126,$V$3:$AI$3,0)-1))+$U126-$O126)/$G126,0),0))</f>
        <v/>
      </c>
      <c r="CI126">
        <f>IF($C126="","",IF(AND($P126="",$Q126=""),"",IF($P126="","⚠ 入庫日を ▼ から選んでください",IF(NOT(ISNUMBER($P126)),"⚠ 入庫日は ▼ から選んでください",IF($P126&lt;N('設定'!$C$6),"⚠ 入庫日が過去です（もう在庫に入っています）→ 消してください",IF($P126&gt;N('設定'!$C$6)+13,"⚠ 入庫日が14日より先です",IF(N($Q126)&lt;=0,"⚠ 入庫数を入れてください",IF($CG126&gt;0,"⚠ 目安より "&amp;$CG126&amp;" 多い（定数を超える）→ 減らす",""))))))))</f>
        <v/>
      </c>
      <c r="CJ126">
        <f>IF($C126="","",IF(AND($S126="",$T126=""),"",IF($S126="","⚠ 2便目：入庫日を ▼ から選んでください",IF(NOT(ISNUMBER($S126)),"⚠ 2便目：入庫日は ▼ から選んでください",IF($S126&lt;N('設定'!$C$6),"⚠ 2便目：入庫日が過去です（もう在庫に入っています）→ 消してください",IF($S126&gt;N('設定'!$C$6)+13,"⚠ 2便目：入庫日が14日より先です",IF(N($T126)&lt;=0,"⚠ 2便目：入庫数を入れてください",IF($CH126&gt;0,"⚠ 2便目：定数を "&amp;$CH126&amp;" ケース超える → 減らす",""))))))))</f>
        <v/>
      </c>
      <c r="CK126">
        <f>IF(AND($CI126="",N($Q126)&gt;0,ISNUMBER($P126)),1,0)</f>
        <v/>
      </c>
      <c r="CL126">
        <f>IF(AND($CJ126="",N($T126)&gt;0,ISNUMBER($S126)),1,0)</f>
        <v/>
      </c>
      <c r="CM126">
        <f>IF(OR($CK126=1,$CL126=1),1,0)</f>
        <v/>
      </c>
      <c r="CN126">
        <f>IF($C126="",0,($CK126*$R126+$CL126*$U126)*N($H126))</f>
        <v/>
      </c>
      <c r="CO126">
        <f>IF($C126="","",IF($CC126="","入庫後は 14日以上もつ",IF($CC126-N('設定'!$C$7)&lt;='設定'!$C$6,"入庫後も "&amp;TEXT($CC126,"m/d")&amp;"("&amp;CHOOSE(WEEKDAY($CC126),"日","月","火","水","木","金","土")&amp;")"&amp;" に切れる　もう1便を至急発注","入庫後も "&amp;TEXT($CC126,"m/d")&amp;"("&amp;CHOOSE(WEEKDAY($CC126),"日","月","火","水","木","金","土")&amp;")"&amp;" に切れる　"&amp;TEXT($CC126-N('設定'!$C$7),"m/d")&amp;"("&amp;CHOOSE(WEEKDAY($CC126-N('設定'!$C$7)),"日","月","火","水","木","金","土")&amp;")"&amp;" までに次を発注")))</f>
        <v/>
      </c>
      <c r="CP126">
        <f>IF($C126="","",IF('設定'!$C$6="","？ ①在庫を貼る に今日のCSVが貼られていない",IF($CS126=1,"－ 今日のCSVに無い（終売？）",IF($L126&lt;0,"● 在庫がマイナス　数えて「数えた在庫」に入れる",IF($L126=0,"● 在庫なし　至急発注",IF($M126="","？ 減り数が未設定（商品マスタ）",IF($B$3=0,"？ 動員が未入力（動員を入れる）",IF($CA126="","○ 14日以上もつ",IF($BZ126&lt;N('設定'!$C$7),"● "&amp;TEXT($CA126,"m/d")&amp;"("&amp;CHOOSE(WEEKDAY($CA126),"日","月","火","水","木","金","土")&amp;")"&amp;" に切れる　至急発注",IF($BZ126=N('設定'!$C$7),"● "&amp;TEXT($CA126,"m/d")&amp;"("&amp;CHOOSE(WEEKDAY($CA126),"日","月","火","水","木","金","土")&amp;")"&amp;" に切れる　今日発注","△ "&amp;TEXT($CA126,"m/d")&amp;"("&amp;CHOOSE(WEEKDAY($CA126),"日","月","火","水","木","金","土")&amp;")"&amp;" に切れる　"&amp;TEXT($CA126-N('設定'!$C$7),"m/d")&amp;"("&amp;CHOOSE(WEEKDAY($CA126-N('設定'!$C$7)),"日","月","火","水","木","金","土")&amp;")"&amp;" までに発注"))))))))))</f>
        <v/>
      </c>
      <c r="CQ126">
        <f>IF($C126="","",IF(AND($P126="",$Q126="",$S126="",$T126=""),"",IF(AND($P126="",$Q126=""),"⚠ 先に1便目（左の入庫日・入庫数）に入れてください",IF($CI126&lt;&gt;"",$CI126,IF($CJ126&lt;&gt;"",$CJ126,IF($M126="","？ 減り数が未設定（発注書には載ります）",IF($B$3=0,"？ 動員が未入力（発注書には載ります）",IF(AND($CA126&lt;&gt;"",$P126&gt;$CA126),IF($P126&gt;'設定'!$C$6+N('設定'!$C$7),"● "&amp;TEXT($P126,"m/d")&amp;"("&amp;CHOOSE(WEEKDAY($P126),"日","月","火","水","木","金","土")&amp;")"&amp;" の入庫では間に合わない（"&amp;TEXT($CA126,"m/d")&amp;"("&amp;CHOOSE(WEEKDAY($CA126),"日","月","火","水","木","金","土")&amp;")"&amp;" に切れる）　入庫日を早める","△ 欠品 "&amp;TEXT($CA126,"m/d")&amp;"("&amp;CHOOSE(WEEKDAY($CA126),"日","月","火","水","木","金","土")&amp;")"&amp;"〜"&amp;TEXT($P126-1,"m/d")&amp;"("&amp;CHOOSE(WEEKDAY($P126-1),"日","月","火","水","木","金","土")&amp;")"&amp;"　"&amp;$CO126),IF($CC126="","○ "&amp;TEXT($P126,"m/d")&amp;"("&amp;CHOOSE(WEEKDAY($P126),"日","月","火","水","木","金","土")&amp;")"&amp;" 入庫で 14日以上もつ",IF($CC126-N('設定'!$C$7)&lt;='設定'!$C$6,"● 入庫しても "&amp;TEXT($CC126,"m/d")&amp;"("&amp;CHOOSE(WEEKDAY($CC126),"日","月","火","水","木","金","土")&amp;")"&amp;" に切れる　もう1便を至急発注（2便目に入れる）","△ 入庫しても "&amp;TEXT($CC126,"m/d")&amp;"("&amp;CHOOSE(WEEKDAY($CC126),"日","月","火","水","木","金","土")&amp;")"&amp;" に切れる　"&amp;TEXT($CC126-N('設定'!$C$7),"m/d")&amp;"("&amp;CHOOSE(WEEKDAY($CC126-N('設定'!$C$7)),"日","月","火","水","木","金","土")&amp;")"&amp;" までに次を発注（2便目に入れる）"))))))))))</f>
        <v/>
      </c>
      <c r="CR126">
        <f>IF($C126="","",IF($G126&gt;1,"ｹｰｽ("&amp;$G126&amp;"入)","個"))</f>
        <v/>
      </c>
      <c r="CS126">
        <f>IF($C126="",0,IF(COUNTIFS('①在庫を貼る'!$V$6:$V$10005,'設定'!$C$4,'①在庫を貼る'!$W$6:$W$10005,$C126)=0,1,0))</f>
        <v/>
      </c>
      <c r="CT126">
        <f>IF(AND($CK126=1,OR('③発注書'!$C$4="すべて",'③発注書'!$C$4="",$F126='③発注書'!$C$4)),N($CT125)+1,N($CT125))</f>
        <v/>
      </c>
      <c r="CU126">
        <f>IF(AND($CL126=1,OR('③発注書'!$C$4="すべて",'③発注書'!$C$4="",$F126='③発注書'!$C$4)),N($CU125)+1,N($CU125))</f>
        <v/>
      </c>
      <c r="CV126">
        <f>IF($C126="",0,IF(COUNTIFS('①在庫を貼る'!$V$6:$V$10005,'設定'!$C$4,'①在庫を貼る'!$W$6:$W$10005,$C126)&gt;0,1,0))</f>
        <v/>
      </c>
      <c r="CW126">
        <f>IF($C126="",0,IF(COUNTIFS('月1回_1ヶ月前の在庫'!$V$6:$V$10005,'設定'!$C$4,'月1回_1ヶ月前の在庫'!$W$6:$W$10005,$C126)&gt;0,1,0))</f>
        <v/>
      </c>
      <c r="CX126">
        <f>IF($C126="",0,IF(COUNTIFS('月1回_2ヶ月前の在庫'!$V$6:$V$10005,'設定'!$C$4,'月1回_2ヶ月前の在庫'!$W$6:$W$10005,$C126)&gt;0,1,0))</f>
        <v/>
      </c>
      <c r="CY126">
        <f>IF(OR($C126="",'設定'!$C$12=""),"",IF('設定'!$C$13="",IF(AND($CV126=1,$CW126=0),"新商品（今月から）",IF(AND($CV126=0,$CW126=1),"終売（今月から）","")),IF(AND($CV126=1,$CW126=0,$CX126=0),"新商品（今月から）",IF(AND($CV126=1,$CW126=1,$CX126=0),"新商品（先月から）",IF(AND($CV126=0,$CW126=1,$CX126=1),"終売（今月から）",IF(AND($CV126=0,$CW126=0,$CX126=1),"終売（先月から）",IF(AND($CV126=1,$CW126=0,$CX126=1),"復活（先月は無し）","")))))))</f>
        <v/>
      </c>
    </row>
    <row r="127">
      <c r="B127">
        <f>IF(122&lt;='設定'!$C$11,122,"")</f>
        <v/>
      </c>
      <c r="C127">
        <f>IF($B127="","",IF($B127&lt;='設定'!$C$20,INDEX('商品マスタ'!$B$6:$B$1005,MATCH($B127,'商品マスタ'!$M$6:$M$1005,0)),IF($B127&lt;='設定'!$C$20+'設定'!$C$17,INDEX('①在庫を貼る'!$W$6:$W$10005,MATCH($B127-'設定'!$C$20,'①在庫を貼る'!$U$6:$U$10005,0)),IF($B127&lt;='設定'!$C$20+'設定'!$C$17+'設定'!$C$18,INDEX('月1回_1ヶ月前の在庫'!$W$6:$W$10005,MATCH($B127-'設定'!$C$20-'設定'!$C$17,'月1回_1ヶ月前の在庫'!$U$6:$U$10005,0)),INDEX('月1回_2ヶ月前の在庫'!$W$6:$W$10005,MATCH($B127-'設定'!$C$20-'設定'!$C$17-'設定'!$C$18,'月1回_2ヶ月前の在庫'!$U$6:$U$10005,0))))))</f>
        <v/>
      </c>
      <c r="D127">
        <f>IF($C127="","",IFERROR(IF(INDEX('商品マスタ'!$C$6:$C$1005,MATCH($C127,'商品マスタ'!$B$6:$B$1005,0))="",IFERROR(INDEX('①在庫を貼る'!$J$6:$J$10005,MATCH($C127,'①在庫を貼る'!$W$6:$W$10005,0)),IFERROR(INDEX('月1回_1ヶ月前の在庫'!$J$6:$J$10005,MATCH($C127,'月1回_1ヶ月前の在庫'!$W$6:$W$10005,0)),IFERROR(INDEX('月1回_2ヶ月前の在庫'!$J$6:$J$10005,MATCH($C127,'月1回_2ヶ月前の在庫'!$W$6:$W$10005,0)),""))),INDEX('商品マスタ'!$C$6:$C$1005,MATCH($C127,'商品マスタ'!$B$6:$B$1005,0))),IFERROR(INDEX('①在庫を貼る'!$J$6:$J$10005,MATCH($C127,'①在庫を貼る'!$W$6:$W$10005,0)),IFERROR(INDEX('月1回_1ヶ月前の在庫'!$J$6:$J$10005,MATCH($C127,'月1回_1ヶ月前の在庫'!$W$6:$W$10005,0)),IFERROR(INDEX('月1回_2ヶ月前の在庫'!$J$6:$J$10005,MATCH($C127,'月1回_2ヶ月前の在庫'!$W$6:$W$10005,0)),"")))))</f>
        <v/>
      </c>
      <c r="E127">
        <f>IF($C127="","",IFERROR(IF(INDEX('商品マスタ'!$D$6:$D$1005,MATCH($C127,'商品マスタ'!$B$6:$B$1005,0))="",IFERROR(INDEX('①在庫を貼る'!$H$6:$H$10005,MATCH($C127,'①在庫を貼る'!$W$6:$W$10005,0)),IFERROR(INDEX('月1回_1ヶ月前の在庫'!$H$6:$H$10005,MATCH($C127,'月1回_1ヶ月前の在庫'!$W$6:$W$10005,0)),IFERROR(INDEX('月1回_2ヶ月前の在庫'!$H$6:$H$10005,MATCH($C127,'月1回_2ヶ月前の在庫'!$W$6:$W$10005,0)),""))),INDEX('商品マスタ'!$D$6:$D$1005,MATCH($C127,'商品マスタ'!$B$6:$B$1005,0))),IFERROR(INDEX('①在庫を貼る'!$H$6:$H$10005,MATCH($C127,'①在庫を貼る'!$W$6:$W$10005,0)),IFERROR(INDEX('月1回_1ヶ月前の在庫'!$H$6:$H$10005,MATCH($C127,'月1回_1ヶ月前の在庫'!$W$6:$W$10005,0)),IFERROR(INDEX('月1回_2ヶ月前の在庫'!$H$6:$H$10005,MATCH($C127,'月1回_2ヶ月前の在庫'!$W$6:$W$10005,0)),"")))))</f>
        <v/>
      </c>
      <c r="F127">
        <f>IF($C127="","",IFERROR(IF(INDEX('商品マスタ'!$E$6:$E$1005,MATCH($C127,'商品マスタ'!$B$6:$B$1005,0))="",IFERROR(INDEX('①在庫を貼る'!$E$6:$E$10005,MATCH($C127,'①在庫を貼る'!$W$6:$W$10005,0)),IFERROR(INDEX('月1回_1ヶ月前の在庫'!$E$6:$E$10005,MATCH($C127,'月1回_1ヶ月前の在庫'!$W$6:$W$10005,0)),IFERROR(INDEX('月1回_2ヶ月前の在庫'!$E$6:$E$10005,MATCH($C127,'月1回_2ヶ月前の在庫'!$W$6:$W$10005,0)),""))),INDEX('商品マスタ'!$E$6:$E$1005,MATCH($C127,'商品マスタ'!$B$6:$B$1005,0))),IFERROR(INDEX('①在庫を貼る'!$E$6:$E$10005,MATCH($C127,'①在庫を貼る'!$W$6:$W$10005,0)),IFERROR(INDEX('月1回_1ヶ月前の在庫'!$E$6:$E$10005,MATCH($C127,'月1回_1ヶ月前の在庫'!$W$6:$W$10005,0)),IFERROR(INDEX('月1回_2ヶ月前の在庫'!$E$6:$E$10005,MATCH($C127,'月1回_2ヶ月前の在庫'!$W$6:$W$10005,0)),"")))))</f>
        <v/>
      </c>
      <c r="G127">
        <f>IF($C127="","",MAX(1,N(IFERROR(IF(INDEX('商品マスタ'!$F$6:$F$1005,MATCH($C127,'商品マスタ'!$B$6:$B$1005,0))="",IF(COUNTIFS('①在庫を貼る'!$V$6:$V$10005,'設定'!$C$4,'①在庫を貼る'!$W$6:$W$10005,$C127)&gt;0,SUMIFS('①在庫を貼る'!$K$6:$K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K$6:$K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K$6:$K$10005,'月1回_2ヶ月前の在庫'!$V$6:$V$10005,'設定'!$C$4,'月1回_2ヶ月前の在庫'!$W$6:$W$10005,$C127)/COUNTIFS('月1回_2ヶ月前の在庫'!$V$6:$V$10005,'設定'!$C$4,'月1回_2ヶ月前の在庫'!$W$6:$W$10005,$C127),0))),INDEX('商品マスタ'!$F$6:$F$1005,MATCH($C127,'商品マスタ'!$B$6:$B$1005,0))),IF(COUNTIFS('①在庫を貼る'!$V$6:$V$10005,'設定'!$C$4,'①在庫を貼る'!$W$6:$W$10005,$C127)&gt;0,SUMIFS('①在庫を貼る'!$K$6:$K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K$6:$K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K$6:$K$10005,'月1回_2ヶ月前の在庫'!$V$6:$V$10005,'設定'!$C$4,'月1回_2ヶ月前の在庫'!$W$6:$W$10005,$C127)/COUNTIFS('月1回_2ヶ月前の在庫'!$V$6:$V$10005,'設定'!$C$4,'月1回_2ヶ月前の在庫'!$W$6:$W$10005,$C127),0)))))))</f>
        <v/>
      </c>
      <c r="H127">
        <f>IF($C127="","",N(IFERROR(IF(INDEX('商品マスタ'!$G$6:$G$1005,MATCH($C127,'商品マスタ'!$B$6:$B$1005,0))="",IF(COUNTIFS('①在庫を貼る'!$V$6:$V$10005,'設定'!$C$4,'①在庫を貼る'!$W$6:$W$10005,$C127)&gt;0,SUMIFS('①在庫を貼る'!$Q$6:$Q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Q$6:$Q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Q$6:$Q$10005,'月1回_2ヶ月前の在庫'!$V$6:$V$10005,'設定'!$C$4,'月1回_2ヶ月前の在庫'!$W$6:$W$10005,$C127)/COUNTIFS('月1回_2ヶ月前の在庫'!$V$6:$V$10005,'設定'!$C$4,'月1回_2ヶ月前の在庫'!$W$6:$W$10005,$C127),0))),INDEX('商品マスタ'!$G$6:$G$1005,MATCH($C127,'商品マスタ'!$B$6:$B$1005,0))),IF(COUNTIFS('①在庫を貼る'!$V$6:$V$10005,'設定'!$C$4,'①在庫を貼る'!$W$6:$W$10005,$C127)&gt;0,SUMIFS('①在庫を貼る'!$Q$6:$Q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Q$6:$Q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Q$6:$Q$10005,'月1回_2ヶ月前の在庫'!$V$6:$V$10005,'設定'!$C$4,'月1回_2ヶ月前の在庫'!$W$6:$W$10005,$C127)/COUNTIFS('月1回_2ヶ月前の在庫'!$V$6:$V$10005,'設定'!$C$4,'月1回_2ヶ月前の在庫'!$W$6:$W$10005,$C127),0))))))</f>
        <v/>
      </c>
      <c r="I127">
        <f>IF($C127="","",IF(COUNTIFS('①在庫を貼る'!$V$6:$V$10005,'設定'!$C$4,'①在庫を貼る'!$W$6:$W$10005,$C127)=0,"",SUMIFS('①在庫を貼る'!$N$6:$N$10005,'①在庫を貼る'!$V$6:$V$10005,'設定'!$C$4,'①在庫を貼る'!$W$6:$W$10005,$C127)))</f>
        <v/>
      </c>
      <c r="J127">
        <f>IF($C127="","",IF('②発注する'!$AD131="","",'②発注する'!$AD131))</f>
        <v/>
      </c>
      <c r="K127" s="90">
        <f>IF($C127="","",IF('②発注する'!$AE131="","",'②発注する'!$AE131))</f>
        <v/>
      </c>
      <c r="L127">
        <f>IF($C127="","",IF(AND(ISNUMBER($J127),ISNUMBER($K127),$K127&gt;='設定'!$C$6),$J127,N($I127)))</f>
        <v/>
      </c>
      <c r="M127">
        <f>IF($C127="","",IFERROR(IF(N(INDEX('商品マスタ'!$J$6:$J$1005,MATCH($C127,'商品マスタ'!$B$6:$B$1005,0)))&gt;0,INDEX('商品マスタ'!$J$6:$J$1005,MATCH($C127,'商品マスタ'!$B$6:$B$1005,0)),""),""))</f>
        <v/>
      </c>
      <c r="N127">
        <f>IF($C127="","",IFERROR(IF(N(INDEX('商品マスタ'!$H$6:$H$1005,MATCH($C127,'商品マスタ'!$B$6:$B$1005,0)))&gt;0,INDEX('商品マスタ'!$H$6:$H$1005,MATCH($C127,'商品マスタ'!$B$6:$B$1005,0)),""),""))</f>
        <v/>
      </c>
      <c r="O127">
        <f>IF($C127="","",IF($N127&lt;&gt;"",$N127*$G127,IF(N(IF(COUNTIFS('①在庫を貼る'!$V$6:$V$10005,'設定'!$C$4,'①在庫を貼る'!$W$6:$W$10005,$C127)&gt;0,SUMIFS('①在庫を貼る'!$O$6:$O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O$6:$O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O$6:$O$10005,'月1回_2ヶ月前の在庫'!$V$6:$V$10005,'設定'!$C$4,'月1回_2ヶ月前の在庫'!$W$6:$W$10005,$C127)/COUNTIFS('月1回_2ヶ月前の在庫'!$V$6:$V$10005,'設定'!$C$4,'月1回_2ヶ月前の在庫'!$W$6:$W$10005,$C127),0))))&gt;0,N(IF(COUNTIFS('①在庫を貼る'!$V$6:$V$10005,'設定'!$C$4,'①在庫を貼る'!$W$6:$W$10005,$C127)&gt;0,SUMIFS('①在庫を貼る'!$O$6:$O$10005,'①在庫を貼る'!$V$6:$V$10005,'設定'!$C$4,'①在庫を貼る'!$W$6:$W$10005,$C127)/COUNTIFS('①在庫を貼る'!$V$6:$V$10005,'設定'!$C$4,'①在庫を貼る'!$W$6:$W$10005,$C127),IF(COUNTIFS('月1回_1ヶ月前の在庫'!$V$6:$V$10005,'設定'!$C$4,'月1回_1ヶ月前の在庫'!$W$6:$W$10005,$C127)&gt;0,SUMIFS('月1回_1ヶ月前の在庫'!$O$6:$O$10005,'月1回_1ヶ月前の在庫'!$V$6:$V$10005,'設定'!$C$4,'月1回_1ヶ月前の在庫'!$W$6:$W$10005,$C127)/COUNTIFS('月1回_1ヶ月前の在庫'!$V$6:$V$10005,'設定'!$C$4,'月1回_1ヶ月前の在庫'!$W$6:$W$10005,$C127),IF(COUNTIFS('月1回_2ヶ月前の在庫'!$V$6:$V$10005,'設定'!$C$4,'月1回_2ヶ月前の在庫'!$W$6:$W$10005,$C127)&gt;0,SUMIFS('月1回_2ヶ月前の在庫'!$O$6:$O$10005,'月1回_2ヶ月前の在庫'!$V$6:$V$10005,'設定'!$C$4,'月1回_2ヶ月前の在庫'!$W$6:$W$10005,$C127)/COUNTIFS('月1回_2ヶ月前の在庫'!$V$6:$V$10005,'設定'!$C$4,'月1回_2ヶ月前の在庫'!$W$6:$W$10005,$C127),0)))),"")))</f>
        <v/>
      </c>
      <c r="P127" s="90">
        <f>IF($C127="","",IF('②発注する'!$I131="","",'②発注する'!$I131))</f>
        <v/>
      </c>
      <c r="Q127">
        <f>IF($C127="","",IF('②発注する'!$J131="","",'②発注する'!$J131))</f>
        <v/>
      </c>
      <c r="R127">
        <f>IF($C127="",0,IF(AND(ISNUMBER($P127),ISNUMBER($Q127)),MAX(0,$Q127)*$G127,0))</f>
        <v/>
      </c>
      <c r="S127" s="90">
        <f>IF($C127="","",IF('②発注する'!$M131="","",'②発注する'!$M131))</f>
        <v/>
      </c>
      <c r="T127">
        <f>IF($C127="","",IF('②発注する'!$N131="","",'②発注する'!$N131))</f>
        <v/>
      </c>
      <c r="U127">
        <f>IF($C127="",0,IF(AND(ISNUMBER($S127),ISNUMBER($T127)),MAX(0,$T127)*$G127,0))</f>
        <v/>
      </c>
      <c r="V127">
        <f>IF($C127="",0,IF($M127="",0,MAX(0,$M127)*MAX(0,V$4)/100))</f>
        <v/>
      </c>
      <c r="W127">
        <f>IF($C127="",0,IF($M127="",0,MAX(0,$M127)*MAX(0,W$4)/100))</f>
        <v/>
      </c>
      <c r="X127">
        <f>IF($C127="",0,IF($M127="",0,MAX(0,$M127)*MAX(0,X$4)/100))</f>
        <v/>
      </c>
      <c r="Y127">
        <f>IF($C127="",0,IF($M127="",0,MAX(0,$M127)*MAX(0,Y$4)/100))</f>
        <v/>
      </c>
      <c r="Z127">
        <f>IF($C127="",0,IF($M127="",0,MAX(0,$M127)*MAX(0,Z$4)/100))</f>
        <v/>
      </c>
      <c r="AA127">
        <f>IF($C127="",0,IF($M127="",0,MAX(0,$M127)*MAX(0,AA$4)/100))</f>
        <v/>
      </c>
      <c r="AB127">
        <f>IF($C127="",0,IF($M127="",0,MAX(0,$M127)*MAX(0,AB$4)/100))</f>
        <v/>
      </c>
      <c r="AC127">
        <f>IF($C127="",0,IF($M127="",0,MAX(0,$M127)*MAX(0,AC$4)/100))</f>
        <v/>
      </c>
      <c r="AD127">
        <f>IF($C127="",0,IF($M127="",0,MAX(0,$M127)*MAX(0,AD$4)/100))</f>
        <v/>
      </c>
      <c r="AE127">
        <f>IF($C127="",0,IF($M127="",0,MAX(0,$M127)*MAX(0,AE$4)/100))</f>
        <v/>
      </c>
      <c r="AF127">
        <f>IF($C127="",0,IF($M127="",0,MAX(0,$M127)*MAX(0,AF$4)/100))</f>
        <v/>
      </c>
      <c r="AG127">
        <f>IF($C127="",0,IF($M127="",0,MAX(0,$M127)*MAX(0,AG$4)/100))</f>
        <v/>
      </c>
      <c r="AH127">
        <f>IF($C127="",0,IF($M127="",0,MAX(0,$M127)*MAX(0,AH$4)/100))</f>
        <v/>
      </c>
      <c r="AI127">
        <f>IF($C127="",0,IF($M127="",0,MAX(0,$M127)*MAX(0,AI$4)/100))</f>
        <v/>
      </c>
      <c r="AJ127">
        <f>IF($C127="",0,MAX(0,MAX(0,N($L127))-$V127))</f>
        <v/>
      </c>
      <c r="AK127">
        <f>IF($C127="",0,MAX(0,$AJ127-$W127))</f>
        <v/>
      </c>
      <c r="AL127">
        <f>IF($C127="",0,MAX(0,$AK127-$X127))</f>
        <v/>
      </c>
      <c r="AM127">
        <f>IF($C127="",0,MAX(0,$AL127-$Y127))</f>
        <v/>
      </c>
      <c r="AN127">
        <f>IF($C127="",0,MAX(0,$AM127-$Z127))</f>
        <v/>
      </c>
      <c r="AO127">
        <f>IF($C127="",0,MAX(0,$AN127-$AA127))</f>
        <v/>
      </c>
      <c r="AP127">
        <f>IF($C127="",0,MAX(0,$AO127-$AB127))</f>
        <v/>
      </c>
      <c r="AQ127">
        <f>IF($C127="",0,MAX(0,$AP127-$AC127))</f>
        <v/>
      </c>
      <c r="AR127">
        <f>IF($C127="",0,MAX(0,$AQ127-$AD127))</f>
        <v/>
      </c>
      <c r="AS127">
        <f>IF($C127="",0,MAX(0,$AR127-$AE127))</f>
        <v/>
      </c>
      <c r="AT127">
        <f>IF($C127="",0,MAX(0,$AS127-$AF127))</f>
        <v/>
      </c>
      <c r="AU127">
        <f>IF($C127="",0,MAX(0,$AT127-$AG127))</f>
        <v/>
      </c>
      <c r="AV127">
        <f>IF($C127="",0,MAX(0,$AU127-$AH127))</f>
        <v/>
      </c>
      <c r="AW127">
        <f>IF($C127="",0,MAX(0,$AV127-$AI127))</f>
        <v/>
      </c>
      <c r="AX127">
        <f>IF($C127="",0,MAX(0,MAX(0,N($L127))+IF($P127=V$3,$R127,0)+IF($S127=V$3,$U127,0)-$V127))</f>
        <v/>
      </c>
      <c r="AY127">
        <f>IF($C127="",0,MAX(0,$AX127+IF($P127=W$3,$R127,0)+IF($S127=W$3,$U127,0)-$W127))</f>
        <v/>
      </c>
      <c r="AZ127">
        <f>IF($C127="",0,MAX(0,$AY127+IF($P127=X$3,$R127,0)+IF($S127=X$3,$U127,0)-$X127))</f>
        <v/>
      </c>
      <c r="BA127">
        <f>IF($C127="",0,MAX(0,$AZ127+IF($P127=Y$3,$R127,0)+IF($S127=Y$3,$U127,0)-$Y127))</f>
        <v/>
      </c>
      <c r="BB127">
        <f>IF($C127="",0,MAX(0,$BA127+IF($P127=Z$3,$R127,0)+IF($S127=Z$3,$U127,0)-$Z127))</f>
        <v/>
      </c>
      <c r="BC127">
        <f>IF($C127="",0,MAX(0,$BB127+IF($P127=AA$3,$R127,0)+IF($S127=AA$3,$U127,0)-$AA127))</f>
        <v/>
      </c>
      <c r="BD127">
        <f>IF($C127="",0,MAX(0,$BC127+IF($P127=AB$3,$R127,0)+IF($S127=AB$3,$U127,0)-$AB127))</f>
        <v/>
      </c>
      <c r="BE127">
        <f>IF($C127="",0,MAX(0,$BD127+IF($P127=AC$3,$R127,0)+IF($S127=AC$3,$U127,0)-$AC127))</f>
        <v/>
      </c>
      <c r="BF127">
        <f>IF($C127="",0,MAX(0,$BE127+IF($P127=AD$3,$R127,0)+IF($S127=AD$3,$U127,0)-$AD127))</f>
        <v/>
      </c>
      <c r="BG127">
        <f>IF($C127="",0,MAX(0,$BF127+IF($P127=AE$3,$R127,0)+IF($S127=AE$3,$U127,0)-$AE127))</f>
        <v/>
      </c>
      <c r="BH127">
        <f>IF($C127="",0,MAX(0,$BG127+IF($P127=AF$3,$R127,0)+IF($S127=AF$3,$U127,0)-$AF127))</f>
        <v/>
      </c>
      <c r="BI127">
        <f>IF($C127="",0,MAX(0,$BH127+IF($P127=AG$3,$R127,0)+IF($S127=AG$3,$U127,0)-$AG127))</f>
        <v/>
      </c>
      <c r="BJ127">
        <f>IF($C127="",0,MAX(0,$BI127+IF($P127=AH$3,$R127,0)+IF($S127=AH$3,$U127,0)-$AH127))</f>
        <v/>
      </c>
      <c r="BK127">
        <f>IF($C127="",0,MAX(0,$BJ127+IF($P127=AI$3,$R127,0)+IF($S127=AI$3,$U127,0)-$AI127))</f>
        <v/>
      </c>
      <c r="BL127">
        <f>IF($C127="",99,IF(AND($AX127&lt;1,V$3&gt;=MAX(N($P127),N($S127))),0,99))</f>
        <v/>
      </c>
      <c r="BM127">
        <f>IF($C127="",99,IF(AND($AY127&lt;1,W$3&gt;=MAX(N($P127),N($S127))),1,99))</f>
        <v/>
      </c>
      <c r="BN127">
        <f>IF($C127="",99,IF(AND($AZ127&lt;1,X$3&gt;=MAX(N($P127),N($S127))),2,99))</f>
        <v/>
      </c>
      <c r="BO127">
        <f>IF($C127="",99,IF(AND($BA127&lt;1,Y$3&gt;=MAX(N($P127),N($S127))),3,99))</f>
        <v/>
      </c>
      <c r="BP127">
        <f>IF($C127="",99,IF(AND($BB127&lt;1,Z$3&gt;=MAX(N($P127),N($S127))),4,99))</f>
        <v/>
      </c>
      <c r="BQ127">
        <f>IF($C127="",99,IF(AND($BC127&lt;1,AA$3&gt;=MAX(N($P127),N($S127))),5,99))</f>
        <v/>
      </c>
      <c r="BR127">
        <f>IF($C127="",99,IF(AND($BD127&lt;1,AB$3&gt;=MAX(N($P127),N($S127))),6,99))</f>
        <v/>
      </c>
      <c r="BS127">
        <f>IF($C127="",99,IF(AND($BE127&lt;1,AC$3&gt;=MAX(N($P127),N($S127))),7,99))</f>
        <v/>
      </c>
      <c r="BT127">
        <f>IF($C127="",99,IF(AND($BF127&lt;1,AD$3&gt;=MAX(N($P127),N($S127))),8,99))</f>
        <v/>
      </c>
      <c r="BU127">
        <f>IF($C127="",99,IF(AND($BG127&lt;1,AE$3&gt;=MAX(N($P127),N($S127))),9,99))</f>
        <v/>
      </c>
      <c r="BV127">
        <f>IF($C127="",99,IF(AND($BH127&lt;1,AF$3&gt;=MAX(N($P127),N($S127))),10,99))</f>
        <v/>
      </c>
      <c r="BW127">
        <f>IF($C127="",99,IF(AND($BI127&lt;1,AG$3&gt;=MAX(N($P127),N($S127))),11,99))</f>
        <v/>
      </c>
      <c r="BX127">
        <f>IF($C127="",99,IF(AND($BJ127&lt;1,AH$3&gt;=MAX(N($P127),N($S127))),12,99))</f>
        <v/>
      </c>
      <c r="BY127">
        <f>IF($C127="",99,IF(AND($BK127&lt;1,AI$3&gt;=MAX(N($P127),N($S127))),13,99))</f>
        <v/>
      </c>
      <c r="BZ127">
        <f>IF(OR($C127="",$M127=""),"",COUNTIF($AJ127:$AW127,"&gt;=1"))</f>
        <v/>
      </c>
      <c r="CA127" s="90">
        <f>IF($BZ127="","",IF($BZ127&gt;=14,"",'設定'!$C$6+$BZ127))</f>
        <v/>
      </c>
      <c r="CB127">
        <f>IF(OR($C127="",$M127=""),"",MIN($BL127:$BY127))</f>
        <v/>
      </c>
      <c r="CC127" s="90">
        <f>IF($CB127="","",IF($CB127&gt;=99,"",'設定'!$C$6+$CB127))</f>
        <v/>
      </c>
      <c r="CD127">
        <f>IF(OR($C127="",$M127=""),"",AVERAGE($V127:$AI127))</f>
        <v/>
      </c>
      <c r="CE127">
        <f>IF($C127="","",IFERROR(IF(MATCH(IF(ISNUMBER($P127),$P127,'設定'!$C$6+N('設定'!$C$7)),$V$3:$AI$3,0)=1,MAX(0,N($L127)),INDEX($AJ127:$AW127,MATCH(IF(ISNUMBER($P127),$P127,'設定'!$C$6+N('設定'!$C$7)),$V$3:$AI$3,0)-1)),""))</f>
        <v/>
      </c>
      <c r="CF127">
        <f>IF(OR($C127="",$O127="",$CE127=""),"",IF($O127-$CE127&lt;=0,0,ROUNDUP(($O127-$CE127)/$G127,0)))</f>
        <v/>
      </c>
      <c r="CG127">
        <f>IF(OR($C127="",$CF127="",NOT(ISNUMBER($Q127))),0,MAX(0,$Q127-$CF127))</f>
        <v/>
      </c>
      <c r="CH127">
        <f>IF(OR($C127="",$O127="",$U127=0),0,IFERROR(ROUNDUP(MAX(0,IF(MATCH($S127,$V$3:$AI$3,0)=1,MAX(0,N($L127)),INDEX($AX127:$BK127,MATCH($S127,$V$3:$AI$3,0)-1))+$U127-$O127)/$G127,0),0))</f>
        <v/>
      </c>
      <c r="CI127">
        <f>IF($C127="","",IF(AND($P127="",$Q127=""),"",IF($P127="","⚠ 入庫日を ▼ から選んでください",IF(NOT(ISNUMBER($P127)),"⚠ 入庫日は ▼ から選んでください",IF($P127&lt;N('設定'!$C$6),"⚠ 入庫日が過去です（もう在庫に入っています）→ 消してください",IF($P127&gt;N('設定'!$C$6)+13,"⚠ 入庫日が14日より先です",IF(N($Q127)&lt;=0,"⚠ 入庫数を入れてください",IF($CG127&gt;0,"⚠ 目安より "&amp;$CG127&amp;" 多い（定数を超える）→ 減らす",""))))))))</f>
        <v/>
      </c>
      <c r="CJ127">
        <f>IF($C127="","",IF(AND($S127="",$T127=""),"",IF($S127="","⚠ 2便目：入庫日を ▼ から選んでください",IF(NOT(ISNUMBER($S127)),"⚠ 2便目：入庫日は ▼ から選んでください",IF($S127&lt;N('設定'!$C$6),"⚠ 2便目：入庫日が過去です（もう在庫に入っています）→ 消してください",IF($S127&gt;N('設定'!$C$6)+13,"⚠ 2便目：入庫日が14日より先です",IF(N($T127)&lt;=0,"⚠ 2便目：入庫数を入れてください",IF($CH127&gt;0,"⚠ 2便目：定数を "&amp;$CH127&amp;" ケース超える → 減らす",""))))))))</f>
        <v/>
      </c>
      <c r="CK127">
        <f>IF(AND($CI127="",N($Q127)&gt;0,ISNUMBER($P127)),1,0)</f>
        <v/>
      </c>
      <c r="CL127">
        <f>IF(AND($CJ127="",N($T127)&gt;0,ISNUMBER($S127)),1,0)</f>
        <v/>
      </c>
      <c r="CM127">
        <f>IF(OR($CK127=1,$CL127=1),1,0)</f>
        <v/>
      </c>
      <c r="CN127">
        <f>IF($C127="",0,($CK127*$R127+$CL127*$U127)*N($H127))</f>
        <v/>
      </c>
      <c r="CO127">
        <f>IF($C127="","",IF($CC127="","入庫後は 14日以上もつ",IF($CC127-N('設定'!$C$7)&lt;='設定'!$C$6,"入庫後も "&amp;TEXT($CC127,"m/d")&amp;"("&amp;CHOOSE(WEEKDAY($CC127),"日","月","火","水","木","金","土")&amp;")"&amp;" に切れる　もう1便を至急発注","入庫後も "&amp;TEXT($CC127,"m/d")&amp;"("&amp;CHOOSE(WEEKDAY($CC127),"日","月","火","水","木","金","土")&amp;")"&amp;" に切れる　"&amp;TEXT($CC127-N('設定'!$C$7),"m/d")&amp;"("&amp;CHOOSE(WEEKDAY($CC127-N('設定'!$C$7)),"日","月","火","水","木","金","土")&amp;")"&amp;" までに次を発注")))</f>
        <v/>
      </c>
      <c r="CP127">
        <f>IF($C127="","",IF('設定'!$C$6="","？ ①在庫を貼る に今日のCSVが貼られていない",IF($CS127=1,"－ 今日のCSVに無い（終売？）",IF($L127&lt;0,"● 在庫がマイナス　数えて「数えた在庫」に入れる",IF($L127=0,"● 在庫なし　至急発注",IF($M127="","？ 減り数が未設定（商品マスタ）",IF($B$3=0,"？ 動員が未入力（動員を入れる）",IF($CA127="","○ 14日以上もつ",IF($BZ127&lt;N('設定'!$C$7),"● "&amp;TEXT($CA127,"m/d")&amp;"("&amp;CHOOSE(WEEKDAY($CA127),"日","月","火","水","木","金","土")&amp;")"&amp;" に切れる　至急発注",IF($BZ127=N('設定'!$C$7),"● "&amp;TEXT($CA127,"m/d")&amp;"("&amp;CHOOSE(WEEKDAY($CA127),"日","月","火","水","木","金","土")&amp;")"&amp;" に切れる　今日発注","△ "&amp;TEXT($CA127,"m/d")&amp;"("&amp;CHOOSE(WEEKDAY($CA127),"日","月","火","水","木","金","土")&amp;")"&amp;" に切れる　"&amp;TEXT($CA127-N('設定'!$C$7),"m/d")&amp;"("&amp;CHOOSE(WEEKDAY($CA127-N('設定'!$C$7)),"日","月","火","水","木","金","土")&amp;")"&amp;" までに発注"))))))))))</f>
        <v/>
      </c>
      <c r="CQ127">
        <f>IF($C127="","",IF(AND($P127="",$Q127="",$S127="",$T127=""),"",IF(AND($P127="",$Q127=""),"⚠ 先に1便目（左の入庫日・入庫数）に入れてください",IF($CI127&lt;&gt;"",$CI127,IF($CJ127&lt;&gt;"",$CJ127,IF($M127="","？ 減り数が未設定（発注書には載ります）",IF($B$3=0,"？ 動員が未入力（発注書には載ります）",IF(AND($CA127&lt;&gt;"",$P127&gt;$CA127),IF($P127&gt;'設定'!$C$6+N('設定'!$C$7),"● "&amp;TEXT($P127,"m/d")&amp;"("&amp;CHOOSE(WEEKDAY($P127),"日","月","火","水","木","金","土")&amp;")"&amp;" の入庫では間に合わない（"&amp;TEXT($CA127,"m/d")&amp;"("&amp;CHOOSE(WEEKDAY($CA127),"日","月","火","水","木","金","土")&amp;")"&amp;" に切れる）　入庫日を早める","△ 欠品 "&amp;TEXT($CA127,"m/d")&amp;"("&amp;CHOOSE(WEEKDAY($CA127),"日","月","火","水","木","金","土")&amp;")"&amp;"〜"&amp;TEXT($P127-1,"m/d")&amp;"("&amp;CHOOSE(WEEKDAY($P127-1),"日","月","火","水","木","金","土")&amp;")"&amp;"　"&amp;$CO127),IF($CC127="","○ "&amp;TEXT($P127,"m/d")&amp;"("&amp;CHOOSE(WEEKDAY($P127),"日","月","火","水","木","金","土")&amp;")"&amp;" 入庫で 14日以上もつ",IF($CC127-N('設定'!$C$7)&lt;='設定'!$C$6,"● 入庫しても "&amp;TEXT($CC127,"m/d")&amp;"("&amp;CHOOSE(WEEKDAY($CC127),"日","月","火","水","木","金","土")&amp;")"&amp;" に切れる　もう1便を至急発注（2便目に入れる）","△ 入庫しても "&amp;TEXT($CC127,"m/d")&amp;"("&amp;CHOOSE(WEEKDAY($CC127),"日","月","火","水","木","金","土")&amp;")"&amp;" に切れる　"&amp;TEXT($CC127-N('設定'!$C$7),"m/d")&amp;"("&amp;CHOOSE(WEEKDAY($CC127-N('設定'!$C$7)),"日","月","火","水","木","金","土")&amp;")"&amp;" までに次を発注（2便目に入れる）"))))))))))</f>
        <v/>
      </c>
      <c r="CR127">
        <f>IF($C127="","",IF($G127&gt;1,"ｹｰｽ("&amp;$G127&amp;"入)","個"))</f>
        <v/>
      </c>
      <c r="CS127">
        <f>IF($C127="",0,IF(COUNTIFS('①在庫を貼る'!$V$6:$V$10005,'設定'!$C$4,'①在庫を貼る'!$W$6:$W$10005,$C127)=0,1,0))</f>
        <v/>
      </c>
      <c r="CT127">
        <f>IF(AND($CK127=1,OR('③発注書'!$C$4="すべて",'③発注書'!$C$4="",$F127='③発注書'!$C$4)),N($CT126)+1,N($CT126))</f>
        <v/>
      </c>
      <c r="CU127">
        <f>IF(AND($CL127=1,OR('③発注書'!$C$4="すべて",'③発注書'!$C$4="",$F127='③発注書'!$C$4)),N($CU126)+1,N($CU126))</f>
        <v/>
      </c>
      <c r="CV127">
        <f>IF($C127="",0,IF(COUNTIFS('①在庫を貼る'!$V$6:$V$10005,'設定'!$C$4,'①在庫を貼る'!$W$6:$W$10005,$C127)&gt;0,1,0))</f>
        <v/>
      </c>
      <c r="CW127">
        <f>IF($C127="",0,IF(COUNTIFS('月1回_1ヶ月前の在庫'!$V$6:$V$10005,'設定'!$C$4,'月1回_1ヶ月前の在庫'!$W$6:$W$10005,$C127)&gt;0,1,0))</f>
        <v/>
      </c>
      <c r="CX127">
        <f>IF($C127="",0,IF(COUNTIFS('月1回_2ヶ月前の在庫'!$V$6:$V$10005,'設定'!$C$4,'月1回_2ヶ月前の在庫'!$W$6:$W$10005,$C127)&gt;0,1,0))</f>
        <v/>
      </c>
      <c r="CY127">
        <f>IF(OR($C127="",'設定'!$C$12=""),"",IF('設定'!$C$13="",IF(AND($CV127=1,$CW127=0),"新商品（今月から）",IF(AND($CV127=0,$CW127=1),"終売（今月から）","")),IF(AND($CV127=1,$CW127=0,$CX127=0),"新商品（今月から）",IF(AND($CV127=1,$CW127=1,$CX127=0),"新商品（先月から）",IF(AND($CV127=0,$CW127=1,$CX127=1),"終売（今月から）",IF(AND($CV127=0,$CW127=0,$CX127=1),"終売（先月から）",IF(AND($CV127=1,$CW127=0,$CX127=1),"復活（先月は無し）","")))))))</f>
        <v/>
      </c>
    </row>
    <row r="128">
      <c r="B128">
        <f>IF(123&lt;='設定'!$C$11,123,"")</f>
        <v/>
      </c>
      <c r="C128">
        <f>IF($B128="","",IF($B128&lt;='設定'!$C$20,INDEX('商品マスタ'!$B$6:$B$1005,MATCH($B128,'商品マスタ'!$M$6:$M$1005,0)),IF($B128&lt;='設定'!$C$20+'設定'!$C$17,INDEX('①在庫を貼る'!$W$6:$W$10005,MATCH($B128-'設定'!$C$20,'①在庫を貼る'!$U$6:$U$10005,0)),IF($B128&lt;='設定'!$C$20+'設定'!$C$17+'設定'!$C$18,INDEX('月1回_1ヶ月前の在庫'!$W$6:$W$10005,MATCH($B128-'設定'!$C$20-'設定'!$C$17,'月1回_1ヶ月前の在庫'!$U$6:$U$10005,0)),INDEX('月1回_2ヶ月前の在庫'!$W$6:$W$10005,MATCH($B128-'設定'!$C$20-'設定'!$C$17-'設定'!$C$18,'月1回_2ヶ月前の在庫'!$U$6:$U$10005,0))))))</f>
        <v/>
      </c>
      <c r="D128">
        <f>IF($C128="","",IFERROR(IF(INDEX('商品マスタ'!$C$6:$C$1005,MATCH($C128,'商品マスタ'!$B$6:$B$1005,0))="",IFERROR(INDEX('①在庫を貼る'!$J$6:$J$10005,MATCH($C128,'①在庫を貼る'!$W$6:$W$10005,0)),IFERROR(INDEX('月1回_1ヶ月前の在庫'!$J$6:$J$10005,MATCH($C128,'月1回_1ヶ月前の在庫'!$W$6:$W$10005,0)),IFERROR(INDEX('月1回_2ヶ月前の在庫'!$J$6:$J$10005,MATCH($C128,'月1回_2ヶ月前の在庫'!$W$6:$W$10005,0)),""))),INDEX('商品マスタ'!$C$6:$C$1005,MATCH($C128,'商品マスタ'!$B$6:$B$1005,0))),IFERROR(INDEX('①在庫を貼る'!$J$6:$J$10005,MATCH($C128,'①在庫を貼る'!$W$6:$W$10005,0)),IFERROR(INDEX('月1回_1ヶ月前の在庫'!$J$6:$J$10005,MATCH($C128,'月1回_1ヶ月前の在庫'!$W$6:$W$10005,0)),IFERROR(INDEX('月1回_2ヶ月前の在庫'!$J$6:$J$10005,MATCH($C128,'月1回_2ヶ月前の在庫'!$W$6:$W$10005,0)),"")))))</f>
        <v/>
      </c>
      <c r="E128">
        <f>IF($C128="","",IFERROR(IF(INDEX('商品マスタ'!$D$6:$D$1005,MATCH($C128,'商品マスタ'!$B$6:$B$1005,0))="",IFERROR(INDEX('①在庫を貼る'!$H$6:$H$10005,MATCH($C128,'①在庫を貼る'!$W$6:$W$10005,0)),IFERROR(INDEX('月1回_1ヶ月前の在庫'!$H$6:$H$10005,MATCH($C128,'月1回_1ヶ月前の在庫'!$W$6:$W$10005,0)),IFERROR(INDEX('月1回_2ヶ月前の在庫'!$H$6:$H$10005,MATCH($C128,'月1回_2ヶ月前の在庫'!$W$6:$W$10005,0)),""))),INDEX('商品マスタ'!$D$6:$D$1005,MATCH($C128,'商品マスタ'!$B$6:$B$1005,0))),IFERROR(INDEX('①在庫を貼る'!$H$6:$H$10005,MATCH($C128,'①在庫を貼る'!$W$6:$W$10005,0)),IFERROR(INDEX('月1回_1ヶ月前の在庫'!$H$6:$H$10005,MATCH($C128,'月1回_1ヶ月前の在庫'!$W$6:$W$10005,0)),IFERROR(INDEX('月1回_2ヶ月前の在庫'!$H$6:$H$10005,MATCH($C128,'月1回_2ヶ月前の在庫'!$W$6:$W$10005,0)),"")))))</f>
        <v/>
      </c>
      <c r="F128">
        <f>IF($C128="","",IFERROR(IF(INDEX('商品マスタ'!$E$6:$E$1005,MATCH($C128,'商品マスタ'!$B$6:$B$1005,0))="",IFERROR(INDEX('①在庫を貼る'!$E$6:$E$10005,MATCH($C128,'①在庫を貼る'!$W$6:$W$10005,0)),IFERROR(INDEX('月1回_1ヶ月前の在庫'!$E$6:$E$10005,MATCH($C128,'月1回_1ヶ月前の在庫'!$W$6:$W$10005,0)),IFERROR(INDEX('月1回_2ヶ月前の在庫'!$E$6:$E$10005,MATCH($C128,'月1回_2ヶ月前の在庫'!$W$6:$W$10005,0)),""))),INDEX('商品マスタ'!$E$6:$E$1005,MATCH($C128,'商品マスタ'!$B$6:$B$1005,0))),IFERROR(INDEX('①在庫を貼る'!$E$6:$E$10005,MATCH($C128,'①在庫を貼る'!$W$6:$W$10005,0)),IFERROR(INDEX('月1回_1ヶ月前の在庫'!$E$6:$E$10005,MATCH($C128,'月1回_1ヶ月前の在庫'!$W$6:$W$10005,0)),IFERROR(INDEX('月1回_2ヶ月前の在庫'!$E$6:$E$10005,MATCH($C128,'月1回_2ヶ月前の在庫'!$W$6:$W$10005,0)),"")))))</f>
        <v/>
      </c>
      <c r="G128">
        <f>IF($C128="","",MAX(1,N(IFERROR(IF(INDEX('商品マスタ'!$F$6:$F$1005,MATCH($C128,'商品マスタ'!$B$6:$B$1005,0))="",IF(COUNTIFS('①在庫を貼る'!$V$6:$V$10005,'設定'!$C$4,'①在庫を貼る'!$W$6:$W$10005,$C128)&gt;0,SUMIFS('①在庫を貼る'!$K$6:$K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K$6:$K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K$6:$K$10005,'月1回_2ヶ月前の在庫'!$V$6:$V$10005,'設定'!$C$4,'月1回_2ヶ月前の在庫'!$W$6:$W$10005,$C128)/COUNTIFS('月1回_2ヶ月前の在庫'!$V$6:$V$10005,'設定'!$C$4,'月1回_2ヶ月前の在庫'!$W$6:$W$10005,$C128),0))),INDEX('商品マスタ'!$F$6:$F$1005,MATCH($C128,'商品マスタ'!$B$6:$B$1005,0))),IF(COUNTIFS('①在庫を貼る'!$V$6:$V$10005,'設定'!$C$4,'①在庫を貼る'!$W$6:$W$10005,$C128)&gt;0,SUMIFS('①在庫を貼る'!$K$6:$K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K$6:$K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K$6:$K$10005,'月1回_2ヶ月前の在庫'!$V$6:$V$10005,'設定'!$C$4,'月1回_2ヶ月前の在庫'!$W$6:$W$10005,$C128)/COUNTIFS('月1回_2ヶ月前の在庫'!$V$6:$V$10005,'設定'!$C$4,'月1回_2ヶ月前の在庫'!$W$6:$W$10005,$C128),0)))))))</f>
        <v/>
      </c>
      <c r="H128">
        <f>IF($C128="","",N(IFERROR(IF(INDEX('商品マスタ'!$G$6:$G$1005,MATCH($C128,'商品マスタ'!$B$6:$B$1005,0))="",IF(COUNTIFS('①在庫を貼る'!$V$6:$V$10005,'設定'!$C$4,'①在庫を貼る'!$W$6:$W$10005,$C128)&gt;0,SUMIFS('①在庫を貼る'!$Q$6:$Q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Q$6:$Q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Q$6:$Q$10005,'月1回_2ヶ月前の在庫'!$V$6:$V$10005,'設定'!$C$4,'月1回_2ヶ月前の在庫'!$W$6:$W$10005,$C128)/COUNTIFS('月1回_2ヶ月前の在庫'!$V$6:$V$10005,'設定'!$C$4,'月1回_2ヶ月前の在庫'!$W$6:$W$10005,$C128),0))),INDEX('商品マスタ'!$G$6:$G$1005,MATCH($C128,'商品マスタ'!$B$6:$B$1005,0))),IF(COUNTIFS('①在庫を貼る'!$V$6:$V$10005,'設定'!$C$4,'①在庫を貼る'!$W$6:$W$10005,$C128)&gt;0,SUMIFS('①在庫を貼る'!$Q$6:$Q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Q$6:$Q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Q$6:$Q$10005,'月1回_2ヶ月前の在庫'!$V$6:$V$10005,'設定'!$C$4,'月1回_2ヶ月前の在庫'!$W$6:$W$10005,$C128)/COUNTIFS('月1回_2ヶ月前の在庫'!$V$6:$V$10005,'設定'!$C$4,'月1回_2ヶ月前の在庫'!$W$6:$W$10005,$C128),0))))))</f>
        <v/>
      </c>
      <c r="I128">
        <f>IF($C128="","",IF(COUNTIFS('①在庫を貼る'!$V$6:$V$10005,'設定'!$C$4,'①在庫を貼る'!$W$6:$W$10005,$C128)=0,"",SUMIFS('①在庫を貼る'!$N$6:$N$10005,'①在庫を貼る'!$V$6:$V$10005,'設定'!$C$4,'①在庫を貼る'!$W$6:$W$10005,$C128)))</f>
        <v/>
      </c>
      <c r="J128">
        <f>IF($C128="","",IF('②発注する'!$AD132="","",'②発注する'!$AD132))</f>
        <v/>
      </c>
      <c r="K128" s="90">
        <f>IF($C128="","",IF('②発注する'!$AE132="","",'②発注する'!$AE132))</f>
        <v/>
      </c>
      <c r="L128">
        <f>IF($C128="","",IF(AND(ISNUMBER($J128),ISNUMBER($K128),$K128&gt;='設定'!$C$6),$J128,N($I128)))</f>
        <v/>
      </c>
      <c r="M128">
        <f>IF($C128="","",IFERROR(IF(N(INDEX('商品マスタ'!$J$6:$J$1005,MATCH($C128,'商品マスタ'!$B$6:$B$1005,0)))&gt;0,INDEX('商品マスタ'!$J$6:$J$1005,MATCH($C128,'商品マスタ'!$B$6:$B$1005,0)),""),""))</f>
        <v/>
      </c>
      <c r="N128">
        <f>IF($C128="","",IFERROR(IF(N(INDEX('商品マスタ'!$H$6:$H$1005,MATCH($C128,'商品マスタ'!$B$6:$B$1005,0)))&gt;0,INDEX('商品マスタ'!$H$6:$H$1005,MATCH($C128,'商品マスタ'!$B$6:$B$1005,0)),""),""))</f>
        <v/>
      </c>
      <c r="O128">
        <f>IF($C128="","",IF($N128&lt;&gt;"",$N128*$G128,IF(N(IF(COUNTIFS('①在庫を貼る'!$V$6:$V$10005,'設定'!$C$4,'①在庫を貼る'!$W$6:$W$10005,$C128)&gt;0,SUMIFS('①在庫を貼る'!$O$6:$O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O$6:$O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O$6:$O$10005,'月1回_2ヶ月前の在庫'!$V$6:$V$10005,'設定'!$C$4,'月1回_2ヶ月前の在庫'!$W$6:$W$10005,$C128)/COUNTIFS('月1回_2ヶ月前の在庫'!$V$6:$V$10005,'設定'!$C$4,'月1回_2ヶ月前の在庫'!$W$6:$W$10005,$C128),0))))&gt;0,N(IF(COUNTIFS('①在庫を貼る'!$V$6:$V$10005,'設定'!$C$4,'①在庫を貼る'!$W$6:$W$10005,$C128)&gt;0,SUMIFS('①在庫を貼る'!$O$6:$O$10005,'①在庫を貼る'!$V$6:$V$10005,'設定'!$C$4,'①在庫を貼る'!$W$6:$W$10005,$C128)/COUNTIFS('①在庫を貼る'!$V$6:$V$10005,'設定'!$C$4,'①在庫を貼る'!$W$6:$W$10005,$C128),IF(COUNTIFS('月1回_1ヶ月前の在庫'!$V$6:$V$10005,'設定'!$C$4,'月1回_1ヶ月前の在庫'!$W$6:$W$10005,$C128)&gt;0,SUMIFS('月1回_1ヶ月前の在庫'!$O$6:$O$10005,'月1回_1ヶ月前の在庫'!$V$6:$V$10005,'設定'!$C$4,'月1回_1ヶ月前の在庫'!$W$6:$W$10005,$C128)/COUNTIFS('月1回_1ヶ月前の在庫'!$V$6:$V$10005,'設定'!$C$4,'月1回_1ヶ月前の在庫'!$W$6:$W$10005,$C128),IF(COUNTIFS('月1回_2ヶ月前の在庫'!$V$6:$V$10005,'設定'!$C$4,'月1回_2ヶ月前の在庫'!$W$6:$W$10005,$C128)&gt;0,SUMIFS('月1回_2ヶ月前の在庫'!$O$6:$O$10005,'月1回_2ヶ月前の在庫'!$V$6:$V$10005,'設定'!$C$4,'月1回_2ヶ月前の在庫'!$W$6:$W$10005,$C128)/COUNTIFS('月1回_2ヶ月前の在庫'!$V$6:$V$10005,'設定'!$C$4,'月1回_2ヶ月前の在庫'!$W$6:$W$10005,$C128),0)))),"")))</f>
        <v/>
      </c>
      <c r="P128" s="90">
        <f>IF($C128="","",IF('②発注する'!$I132="","",'②発注する'!$I132))</f>
        <v/>
      </c>
      <c r="Q128">
        <f>IF($C128="","",IF('②発注する'!$J132="","",'②発注する'!$J132))</f>
        <v/>
      </c>
      <c r="R128">
        <f>IF($C128="",0,IF(AND(ISNUMBER($P128),ISNUMBER($Q128)),MAX(0,$Q128)*$G128,0))</f>
        <v/>
      </c>
      <c r="S128" s="90">
        <f>IF($C128="","",IF('②発注する'!$M132="","",'②発注する'!$M132))</f>
        <v/>
      </c>
      <c r="T128">
        <f>IF($C128="","",IF('②発注する'!$N132="","",'②発注する'!$N132))</f>
        <v/>
      </c>
      <c r="U128">
        <f>IF($C128="",0,IF(AND(ISNUMBER($S128),ISNUMBER($T128)),MAX(0,$T128)*$G128,0))</f>
        <v/>
      </c>
      <c r="V128">
        <f>IF($C128="",0,IF($M128="",0,MAX(0,$M128)*MAX(0,V$4)/100))</f>
        <v/>
      </c>
      <c r="W128">
        <f>IF($C128="",0,IF($M128="",0,MAX(0,$M128)*MAX(0,W$4)/100))</f>
        <v/>
      </c>
      <c r="X128">
        <f>IF($C128="",0,IF($M128="",0,MAX(0,$M128)*MAX(0,X$4)/100))</f>
        <v/>
      </c>
      <c r="Y128">
        <f>IF($C128="",0,IF($M128="",0,MAX(0,$M128)*MAX(0,Y$4)/100))</f>
        <v/>
      </c>
      <c r="Z128">
        <f>IF($C128="",0,IF($M128="",0,MAX(0,$M128)*MAX(0,Z$4)/100))</f>
        <v/>
      </c>
      <c r="AA128">
        <f>IF($C128="",0,IF($M128="",0,MAX(0,$M128)*MAX(0,AA$4)/100))</f>
        <v/>
      </c>
      <c r="AB128">
        <f>IF($C128="",0,IF($M128="",0,MAX(0,$M128)*MAX(0,AB$4)/100))</f>
        <v/>
      </c>
      <c r="AC128">
        <f>IF($C128="",0,IF($M128="",0,MAX(0,$M128)*MAX(0,AC$4)/100))</f>
        <v/>
      </c>
      <c r="AD128">
        <f>IF($C128="",0,IF($M128="",0,MAX(0,$M128)*MAX(0,AD$4)/100))</f>
        <v/>
      </c>
      <c r="AE128">
        <f>IF($C128="",0,IF($M128="",0,MAX(0,$M128)*MAX(0,AE$4)/100))</f>
        <v/>
      </c>
      <c r="AF128">
        <f>IF($C128="",0,IF($M128="",0,MAX(0,$M128)*MAX(0,AF$4)/100))</f>
        <v/>
      </c>
      <c r="AG128">
        <f>IF($C128="",0,IF($M128="",0,MAX(0,$M128)*MAX(0,AG$4)/100))</f>
        <v/>
      </c>
      <c r="AH128">
        <f>IF($C128="",0,IF($M128="",0,MAX(0,$M128)*MAX(0,AH$4)/100))</f>
        <v/>
      </c>
      <c r="AI128">
        <f>IF($C128="",0,IF($M128="",0,MAX(0,$M128)*MAX(0,AI$4)/100))</f>
        <v/>
      </c>
      <c r="AJ128">
        <f>IF($C128="",0,MAX(0,MAX(0,N($L128))-$V128))</f>
        <v/>
      </c>
      <c r="AK128">
        <f>IF($C128="",0,MAX(0,$AJ128-$W128))</f>
        <v/>
      </c>
      <c r="AL128">
        <f>IF($C128="",0,MAX(0,$AK128-$X128))</f>
        <v/>
      </c>
      <c r="AM128">
        <f>IF($C128="",0,MAX(0,$AL128-$Y128))</f>
        <v/>
      </c>
      <c r="AN128">
        <f>IF($C128="",0,MAX(0,$AM128-$Z128))</f>
        <v/>
      </c>
      <c r="AO128">
        <f>IF($C128="",0,MAX(0,$AN128-$AA128))</f>
        <v/>
      </c>
      <c r="AP128">
        <f>IF($C128="",0,MAX(0,$AO128-$AB128))</f>
        <v/>
      </c>
      <c r="AQ128">
        <f>IF($C128="",0,MAX(0,$AP128-$AC128))</f>
        <v/>
      </c>
      <c r="AR128">
        <f>IF($C128="",0,MAX(0,$AQ128-$AD128))</f>
        <v/>
      </c>
      <c r="AS128">
        <f>IF($C128="",0,MAX(0,$AR128-$AE128))</f>
        <v/>
      </c>
      <c r="AT128">
        <f>IF($C128="",0,MAX(0,$AS128-$AF128))</f>
        <v/>
      </c>
      <c r="AU128">
        <f>IF($C128="",0,MAX(0,$AT128-$AG128))</f>
        <v/>
      </c>
      <c r="AV128">
        <f>IF($C128="",0,MAX(0,$AU128-$AH128))</f>
        <v/>
      </c>
      <c r="AW128">
        <f>IF($C128="",0,MAX(0,$AV128-$AI128))</f>
        <v/>
      </c>
      <c r="AX128">
        <f>IF($C128="",0,MAX(0,MAX(0,N($L128))+IF($P128=V$3,$R128,0)+IF($S128=V$3,$U128,0)-$V128))</f>
        <v/>
      </c>
      <c r="AY128">
        <f>IF($C128="",0,MAX(0,$AX128+IF($P128=W$3,$R128,0)+IF($S128=W$3,$U128,0)-$W128))</f>
        <v/>
      </c>
      <c r="AZ128">
        <f>IF($C128="",0,MAX(0,$AY128+IF($P128=X$3,$R128,0)+IF($S128=X$3,$U128,0)-$X128))</f>
        <v/>
      </c>
      <c r="BA128">
        <f>IF($C128="",0,MAX(0,$AZ128+IF($P128=Y$3,$R128,0)+IF($S128=Y$3,$U128,0)-$Y128))</f>
        <v/>
      </c>
      <c r="BB128">
        <f>IF($C128="",0,MAX(0,$BA128+IF($P128=Z$3,$R128,0)+IF($S128=Z$3,$U128,0)-$Z128))</f>
        <v/>
      </c>
      <c r="BC128">
        <f>IF($C128="",0,MAX(0,$BB128+IF($P128=AA$3,$R128,0)+IF($S128=AA$3,$U128,0)-$AA128))</f>
        <v/>
      </c>
      <c r="BD128">
        <f>IF($C128="",0,MAX(0,$BC128+IF($P128=AB$3,$R128,0)+IF($S128=AB$3,$U128,0)-$AB128))</f>
        <v/>
      </c>
      <c r="BE128">
        <f>IF($C128="",0,MAX(0,$BD128+IF($P128=AC$3,$R128,0)+IF($S128=AC$3,$U128,0)-$AC128))</f>
        <v/>
      </c>
      <c r="BF128">
        <f>IF($C128="",0,MAX(0,$BE128+IF($P128=AD$3,$R128,0)+IF($S128=AD$3,$U128,0)-$AD128))</f>
        <v/>
      </c>
      <c r="BG128">
        <f>IF($C128="",0,MAX(0,$BF128+IF($P128=AE$3,$R128,0)+IF($S128=AE$3,$U128,0)-$AE128))</f>
        <v/>
      </c>
      <c r="BH128">
        <f>IF($C128="",0,MAX(0,$BG128+IF($P128=AF$3,$R128,0)+IF($S128=AF$3,$U128,0)-$AF128))</f>
        <v/>
      </c>
      <c r="BI128">
        <f>IF($C128="",0,MAX(0,$BH128+IF($P128=AG$3,$R128,0)+IF($S128=AG$3,$U128,0)-$AG128))</f>
        <v/>
      </c>
      <c r="BJ128">
        <f>IF($C128="",0,MAX(0,$BI128+IF($P128=AH$3,$R128,0)+IF($S128=AH$3,$U128,0)-$AH128))</f>
        <v/>
      </c>
      <c r="BK128">
        <f>IF($C128="",0,MAX(0,$BJ128+IF($P128=AI$3,$R128,0)+IF($S128=AI$3,$U128,0)-$AI128))</f>
        <v/>
      </c>
      <c r="BL128">
        <f>IF($C128="",99,IF(AND($AX128&lt;1,V$3&gt;=MAX(N($P128),N($S128))),0,99))</f>
        <v/>
      </c>
      <c r="BM128">
        <f>IF($C128="",99,IF(AND($AY128&lt;1,W$3&gt;=MAX(N($P128),N($S128))),1,99))</f>
        <v/>
      </c>
      <c r="BN128">
        <f>IF($C128="",99,IF(AND($AZ128&lt;1,X$3&gt;=MAX(N($P128),N($S128))),2,99))</f>
        <v/>
      </c>
      <c r="BO128">
        <f>IF($C128="",99,IF(AND($BA128&lt;1,Y$3&gt;=MAX(N($P128),N($S128))),3,99))</f>
        <v/>
      </c>
      <c r="BP128">
        <f>IF($C128="",99,IF(AND($BB128&lt;1,Z$3&gt;=MAX(N($P128),N($S128))),4,99))</f>
        <v/>
      </c>
      <c r="BQ128">
        <f>IF($C128="",99,IF(AND($BC128&lt;1,AA$3&gt;=MAX(N($P128),N($S128))),5,99))</f>
        <v/>
      </c>
      <c r="BR128">
        <f>IF($C128="",99,IF(AND($BD128&lt;1,AB$3&gt;=MAX(N($P128),N($S128))),6,99))</f>
        <v/>
      </c>
      <c r="BS128">
        <f>IF($C128="",99,IF(AND($BE128&lt;1,AC$3&gt;=MAX(N($P128),N($S128))),7,99))</f>
        <v/>
      </c>
      <c r="BT128">
        <f>IF($C128="",99,IF(AND($BF128&lt;1,AD$3&gt;=MAX(N($P128),N($S128))),8,99))</f>
        <v/>
      </c>
      <c r="BU128">
        <f>IF($C128="",99,IF(AND($BG128&lt;1,AE$3&gt;=MAX(N($P128),N($S128))),9,99))</f>
        <v/>
      </c>
      <c r="BV128">
        <f>IF($C128="",99,IF(AND($BH128&lt;1,AF$3&gt;=MAX(N($P128),N($S128))),10,99))</f>
        <v/>
      </c>
      <c r="BW128">
        <f>IF($C128="",99,IF(AND($BI128&lt;1,AG$3&gt;=MAX(N($P128),N($S128))),11,99))</f>
        <v/>
      </c>
      <c r="BX128">
        <f>IF($C128="",99,IF(AND($BJ128&lt;1,AH$3&gt;=MAX(N($P128),N($S128))),12,99))</f>
        <v/>
      </c>
      <c r="BY128">
        <f>IF($C128="",99,IF(AND($BK128&lt;1,AI$3&gt;=MAX(N($P128),N($S128))),13,99))</f>
        <v/>
      </c>
      <c r="BZ128">
        <f>IF(OR($C128="",$M128=""),"",COUNTIF($AJ128:$AW128,"&gt;=1"))</f>
        <v/>
      </c>
      <c r="CA128" s="90">
        <f>IF($BZ128="","",IF($BZ128&gt;=14,"",'設定'!$C$6+$BZ128))</f>
        <v/>
      </c>
      <c r="CB128">
        <f>IF(OR($C128="",$M128=""),"",MIN($BL128:$BY128))</f>
        <v/>
      </c>
      <c r="CC128" s="90">
        <f>IF($CB128="","",IF($CB128&gt;=99,"",'設定'!$C$6+$CB128))</f>
        <v/>
      </c>
      <c r="CD128">
        <f>IF(OR($C128="",$M128=""),"",AVERAGE($V128:$AI128))</f>
        <v/>
      </c>
      <c r="CE128">
        <f>IF($C128="","",IFERROR(IF(MATCH(IF(ISNUMBER($P128),$P128,'設定'!$C$6+N('設定'!$C$7)),$V$3:$AI$3,0)=1,MAX(0,N($L128)),INDEX($AJ128:$AW128,MATCH(IF(ISNUMBER($P128),$P128,'設定'!$C$6+N('設定'!$C$7)),$V$3:$AI$3,0)-1)),""))</f>
        <v/>
      </c>
      <c r="CF128">
        <f>IF(OR($C128="",$O128="",$CE128=""),"",IF($O128-$CE128&lt;=0,0,ROUNDUP(($O128-$CE128)/$G128,0)))</f>
        <v/>
      </c>
      <c r="CG128">
        <f>IF(OR($C128="",$CF128="",NOT(ISNUMBER($Q128))),0,MAX(0,$Q128-$CF128))</f>
        <v/>
      </c>
      <c r="CH128">
        <f>IF(OR($C128="",$O128="",$U128=0),0,IFERROR(ROUNDUP(MAX(0,IF(MATCH($S128,$V$3:$AI$3,0)=1,MAX(0,N($L128)),INDEX($AX128:$BK128,MATCH($S128,$V$3:$AI$3,0)-1))+$U128-$O128)/$G128,0),0))</f>
        <v/>
      </c>
      <c r="CI128">
        <f>IF($C128="","",IF(AND($P128="",$Q128=""),"",IF($P128="","⚠ 入庫日を ▼ から選んでください",IF(NOT(ISNUMBER($P128)),"⚠ 入庫日は ▼ から選んでください",IF($P128&lt;N('設定'!$C$6),"⚠ 入庫日が過去です（もう在庫に入っています）→ 消してください",IF($P128&gt;N('設定'!$C$6)+13,"⚠ 入庫日が14日より先です",IF(N($Q128)&lt;=0,"⚠ 入庫数を入れてください",IF($CG128&gt;0,"⚠ 目安より "&amp;$CG128&amp;" 多い（定数を超える）→ 減らす",""))))))))</f>
        <v/>
      </c>
      <c r="CJ128">
        <f>IF($C128="","",IF(AND($S128="",$T128=""),"",IF($S128="","⚠ 2便目：入庫日を ▼ から選んでください",IF(NOT(ISNUMBER($S128)),"⚠ 2便目：入庫日は ▼ から選んでください",IF($S128&lt;N('設定'!$C$6),"⚠ 2便目：入庫日が過去です（もう在庫に入っています）→ 消してください",IF($S128&gt;N('設定'!$C$6)+13,"⚠ 2便目：入庫日が14日より先です",IF(N($T128)&lt;=0,"⚠ 2便目：入庫数を入れてください",IF($CH128&gt;0,"⚠ 2便目：定数を "&amp;$CH128&amp;" ケース超える → 減らす",""))))))))</f>
        <v/>
      </c>
      <c r="CK128">
        <f>IF(AND($CI128="",N($Q128)&gt;0,ISNUMBER($P128)),1,0)</f>
        <v/>
      </c>
      <c r="CL128">
        <f>IF(AND($CJ128="",N($T128)&gt;0,ISNUMBER($S128)),1,0)</f>
        <v/>
      </c>
      <c r="CM128">
        <f>IF(OR($CK128=1,$CL128=1),1,0)</f>
        <v/>
      </c>
      <c r="CN128">
        <f>IF($C128="",0,($CK128*$R128+$CL128*$U128)*N($H128))</f>
        <v/>
      </c>
      <c r="CO128">
        <f>IF($C128="","",IF($CC128="","入庫後は 14日以上もつ",IF($CC128-N('設定'!$C$7)&lt;='設定'!$C$6,"入庫後も "&amp;TEXT($CC128,"m/d")&amp;"("&amp;CHOOSE(WEEKDAY($CC128),"日","月","火","水","木","金","土")&amp;")"&amp;" に切れる　もう1便を至急発注","入庫後も "&amp;TEXT($CC128,"m/d")&amp;"("&amp;CHOOSE(WEEKDAY($CC128),"日","月","火","水","木","金","土")&amp;")"&amp;" に切れる　"&amp;TEXT($CC128-N('設定'!$C$7),"m/d")&amp;"("&amp;CHOOSE(WEEKDAY($CC128-N('設定'!$C$7)),"日","月","火","水","木","金","土")&amp;")"&amp;" までに次を発注")))</f>
        <v/>
      </c>
      <c r="CP128">
        <f>IF($C128="","",IF('設定'!$C$6="","？ ①在庫を貼る に今日のCSVが貼られていない",IF($CS128=1,"－ 今日のCSVに無い（終売？）",IF($L128&lt;0,"● 在庫がマイナス　数えて「数えた在庫」に入れる",IF($L128=0,"● 在庫なし　至急発注",IF($M128="","？ 減り数が未設定（商品マスタ）",IF($B$3=0,"？ 動員が未入力（動員を入れる）",IF($CA128="","○ 14日以上もつ",IF($BZ128&lt;N('設定'!$C$7),"● "&amp;TEXT($CA128,"m/d")&amp;"("&amp;CHOOSE(WEEKDAY($CA128),"日","月","火","水","木","金","土")&amp;")"&amp;" に切れる　至急発注",IF($BZ128=N('設定'!$C$7),"● "&amp;TEXT($CA128,"m/d")&amp;"("&amp;CHOOSE(WEEKDAY($CA128),"日","月","火","水","木","金","土")&amp;")"&amp;" に切れる　今日発注","△ "&amp;TEXT($CA128,"m/d")&amp;"("&amp;CHOOSE(WEEKDAY($CA128),"日","月","火","水","木","金","土")&amp;")"&amp;" に切れる　"&amp;TEXT($CA128-N('設定'!$C$7),"m/d")&amp;"("&amp;CHOOSE(WEEKDAY($CA128-N('設定'!$C$7)),"日","月","火","水","木","金","土")&amp;")"&amp;" までに発注"))))))))))</f>
        <v/>
      </c>
      <c r="CQ128">
        <f>IF($C128="","",IF(AND($P128="",$Q128="",$S128="",$T128=""),"",IF(AND($P128="",$Q128=""),"⚠ 先に1便目（左の入庫日・入庫数）に入れてください",IF($CI128&lt;&gt;"",$CI128,IF($CJ128&lt;&gt;"",$CJ128,IF($M128="","？ 減り数が未設定（発注書には載ります）",IF($B$3=0,"？ 動員が未入力（発注書には載ります）",IF(AND($CA128&lt;&gt;"",$P128&gt;$CA128),IF($P128&gt;'設定'!$C$6+N('設定'!$C$7),"● "&amp;TEXT($P128,"m/d")&amp;"("&amp;CHOOSE(WEEKDAY($P128),"日","月","火","水","木","金","土")&amp;")"&amp;" の入庫では間に合わない（"&amp;TEXT($CA128,"m/d")&amp;"("&amp;CHOOSE(WEEKDAY($CA128),"日","月","火","水","木","金","土")&amp;")"&amp;" に切れる）　入庫日を早める","△ 欠品 "&amp;TEXT($CA128,"m/d")&amp;"("&amp;CHOOSE(WEEKDAY($CA128),"日","月","火","水","木","金","土")&amp;")"&amp;"〜"&amp;TEXT($P128-1,"m/d")&amp;"("&amp;CHOOSE(WEEKDAY($P128-1),"日","月","火","水","木","金","土")&amp;")"&amp;"　"&amp;$CO128),IF($CC128="","○ "&amp;TEXT($P128,"m/d")&amp;"("&amp;CHOOSE(WEEKDAY($P128),"日","月","火","水","木","金","土")&amp;")"&amp;" 入庫で 14日以上もつ",IF($CC128-N('設定'!$C$7)&lt;='設定'!$C$6,"● 入庫しても "&amp;TEXT($CC128,"m/d")&amp;"("&amp;CHOOSE(WEEKDAY($CC128),"日","月","火","水","木","金","土")&amp;")"&amp;" に切れる　もう1便を至急発注（2便目に入れる）","△ 入庫しても "&amp;TEXT($CC128,"m/d")&amp;"("&amp;CHOOSE(WEEKDAY($CC128),"日","月","火","水","木","金","土")&amp;")"&amp;" に切れる　"&amp;TEXT($CC128-N('設定'!$C$7),"m/d")&amp;"("&amp;CHOOSE(WEEKDAY($CC128-N('設定'!$C$7)),"日","月","火","水","木","金","土")&amp;")"&amp;" までに次を発注（2便目に入れる）"))))))))))</f>
        <v/>
      </c>
      <c r="CR128">
        <f>IF($C128="","",IF($G128&gt;1,"ｹｰｽ("&amp;$G128&amp;"入)","個"))</f>
        <v/>
      </c>
      <c r="CS128">
        <f>IF($C128="",0,IF(COUNTIFS('①在庫を貼る'!$V$6:$V$10005,'設定'!$C$4,'①在庫を貼る'!$W$6:$W$10005,$C128)=0,1,0))</f>
        <v/>
      </c>
      <c r="CT128">
        <f>IF(AND($CK128=1,OR('③発注書'!$C$4="すべて",'③発注書'!$C$4="",$F128='③発注書'!$C$4)),N($CT127)+1,N($CT127))</f>
        <v/>
      </c>
      <c r="CU128">
        <f>IF(AND($CL128=1,OR('③発注書'!$C$4="すべて",'③発注書'!$C$4="",$F128='③発注書'!$C$4)),N($CU127)+1,N($CU127))</f>
        <v/>
      </c>
      <c r="CV128">
        <f>IF($C128="",0,IF(COUNTIFS('①在庫を貼る'!$V$6:$V$10005,'設定'!$C$4,'①在庫を貼る'!$W$6:$W$10005,$C128)&gt;0,1,0))</f>
        <v/>
      </c>
      <c r="CW128">
        <f>IF($C128="",0,IF(COUNTIFS('月1回_1ヶ月前の在庫'!$V$6:$V$10005,'設定'!$C$4,'月1回_1ヶ月前の在庫'!$W$6:$W$10005,$C128)&gt;0,1,0))</f>
        <v/>
      </c>
      <c r="CX128">
        <f>IF($C128="",0,IF(COUNTIFS('月1回_2ヶ月前の在庫'!$V$6:$V$10005,'設定'!$C$4,'月1回_2ヶ月前の在庫'!$W$6:$W$10005,$C128)&gt;0,1,0))</f>
        <v/>
      </c>
      <c r="CY128">
        <f>IF(OR($C128="",'設定'!$C$12=""),"",IF('設定'!$C$13="",IF(AND($CV128=1,$CW128=0),"新商品（今月から）",IF(AND($CV128=0,$CW128=1),"終売（今月から）","")),IF(AND($CV128=1,$CW128=0,$CX128=0),"新商品（今月から）",IF(AND($CV128=1,$CW128=1,$CX128=0),"新商品（先月から）",IF(AND($CV128=0,$CW128=1,$CX128=1),"終売（今月から）",IF(AND($CV128=0,$CW128=0,$CX128=1),"終売（先月から）",IF(AND($CV128=1,$CW128=0,$CX128=1),"復活（先月は無し）","")))))))</f>
        <v/>
      </c>
    </row>
    <row r="129">
      <c r="B129">
        <f>IF(124&lt;='設定'!$C$11,124,"")</f>
        <v/>
      </c>
      <c r="C129">
        <f>IF($B129="","",IF($B129&lt;='設定'!$C$20,INDEX('商品マスタ'!$B$6:$B$1005,MATCH($B129,'商品マスタ'!$M$6:$M$1005,0)),IF($B129&lt;='設定'!$C$20+'設定'!$C$17,INDEX('①在庫を貼る'!$W$6:$W$10005,MATCH($B129-'設定'!$C$20,'①在庫を貼る'!$U$6:$U$10005,0)),IF($B129&lt;='設定'!$C$20+'設定'!$C$17+'設定'!$C$18,INDEX('月1回_1ヶ月前の在庫'!$W$6:$W$10005,MATCH($B129-'設定'!$C$20-'設定'!$C$17,'月1回_1ヶ月前の在庫'!$U$6:$U$10005,0)),INDEX('月1回_2ヶ月前の在庫'!$W$6:$W$10005,MATCH($B129-'設定'!$C$20-'設定'!$C$17-'設定'!$C$18,'月1回_2ヶ月前の在庫'!$U$6:$U$10005,0))))))</f>
        <v/>
      </c>
      <c r="D129">
        <f>IF($C129="","",IFERROR(IF(INDEX('商品マスタ'!$C$6:$C$1005,MATCH($C129,'商品マスタ'!$B$6:$B$1005,0))="",IFERROR(INDEX('①在庫を貼る'!$J$6:$J$10005,MATCH($C129,'①在庫を貼る'!$W$6:$W$10005,0)),IFERROR(INDEX('月1回_1ヶ月前の在庫'!$J$6:$J$10005,MATCH($C129,'月1回_1ヶ月前の在庫'!$W$6:$W$10005,0)),IFERROR(INDEX('月1回_2ヶ月前の在庫'!$J$6:$J$10005,MATCH($C129,'月1回_2ヶ月前の在庫'!$W$6:$W$10005,0)),""))),INDEX('商品マスタ'!$C$6:$C$1005,MATCH($C129,'商品マスタ'!$B$6:$B$1005,0))),IFERROR(INDEX('①在庫を貼る'!$J$6:$J$10005,MATCH($C129,'①在庫を貼る'!$W$6:$W$10005,0)),IFERROR(INDEX('月1回_1ヶ月前の在庫'!$J$6:$J$10005,MATCH($C129,'月1回_1ヶ月前の在庫'!$W$6:$W$10005,0)),IFERROR(INDEX('月1回_2ヶ月前の在庫'!$J$6:$J$10005,MATCH($C129,'月1回_2ヶ月前の在庫'!$W$6:$W$10005,0)),"")))))</f>
        <v/>
      </c>
      <c r="E129">
        <f>IF($C129="","",IFERROR(IF(INDEX('商品マスタ'!$D$6:$D$1005,MATCH($C129,'商品マスタ'!$B$6:$B$1005,0))="",IFERROR(INDEX('①在庫を貼る'!$H$6:$H$10005,MATCH($C129,'①在庫を貼る'!$W$6:$W$10005,0)),IFERROR(INDEX('月1回_1ヶ月前の在庫'!$H$6:$H$10005,MATCH($C129,'月1回_1ヶ月前の在庫'!$W$6:$W$10005,0)),IFERROR(INDEX('月1回_2ヶ月前の在庫'!$H$6:$H$10005,MATCH($C129,'月1回_2ヶ月前の在庫'!$W$6:$W$10005,0)),""))),INDEX('商品マスタ'!$D$6:$D$1005,MATCH($C129,'商品マスタ'!$B$6:$B$1005,0))),IFERROR(INDEX('①在庫を貼る'!$H$6:$H$10005,MATCH($C129,'①在庫を貼る'!$W$6:$W$10005,0)),IFERROR(INDEX('月1回_1ヶ月前の在庫'!$H$6:$H$10005,MATCH($C129,'月1回_1ヶ月前の在庫'!$W$6:$W$10005,0)),IFERROR(INDEX('月1回_2ヶ月前の在庫'!$H$6:$H$10005,MATCH($C129,'月1回_2ヶ月前の在庫'!$W$6:$W$10005,0)),"")))))</f>
        <v/>
      </c>
      <c r="F129">
        <f>IF($C129="","",IFERROR(IF(INDEX('商品マスタ'!$E$6:$E$1005,MATCH($C129,'商品マスタ'!$B$6:$B$1005,0))="",IFERROR(INDEX('①在庫を貼る'!$E$6:$E$10005,MATCH($C129,'①在庫を貼る'!$W$6:$W$10005,0)),IFERROR(INDEX('月1回_1ヶ月前の在庫'!$E$6:$E$10005,MATCH($C129,'月1回_1ヶ月前の在庫'!$W$6:$W$10005,0)),IFERROR(INDEX('月1回_2ヶ月前の在庫'!$E$6:$E$10005,MATCH($C129,'月1回_2ヶ月前の在庫'!$W$6:$W$10005,0)),""))),INDEX('商品マスタ'!$E$6:$E$1005,MATCH($C129,'商品マスタ'!$B$6:$B$1005,0))),IFERROR(INDEX('①在庫を貼る'!$E$6:$E$10005,MATCH($C129,'①在庫を貼る'!$W$6:$W$10005,0)),IFERROR(INDEX('月1回_1ヶ月前の在庫'!$E$6:$E$10005,MATCH($C129,'月1回_1ヶ月前の在庫'!$W$6:$W$10005,0)),IFERROR(INDEX('月1回_2ヶ月前の在庫'!$E$6:$E$10005,MATCH($C129,'月1回_2ヶ月前の在庫'!$W$6:$W$10005,0)),"")))))</f>
        <v/>
      </c>
      <c r="G129">
        <f>IF($C129="","",MAX(1,N(IFERROR(IF(INDEX('商品マスタ'!$F$6:$F$1005,MATCH($C129,'商品マスタ'!$B$6:$B$1005,0))="",IF(COUNTIFS('①在庫を貼る'!$V$6:$V$10005,'設定'!$C$4,'①在庫を貼る'!$W$6:$W$10005,$C129)&gt;0,SUMIFS('①在庫を貼る'!$K$6:$K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K$6:$K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K$6:$K$10005,'月1回_2ヶ月前の在庫'!$V$6:$V$10005,'設定'!$C$4,'月1回_2ヶ月前の在庫'!$W$6:$W$10005,$C129)/COUNTIFS('月1回_2ヶ月前の在庫'!$V$6:$V$10005,'設定'!$C$4,'月1回_2ヶ月前の在庫'!$W$6:$W$10005,$C129),0))),INDEX('商品マスタ'!$F$6:$F$1005,MATCH($C129,'商品マスタ'!$B$6:$B$1005,0))),IF(COUNTIFS('①在庫を貼る'!$V$6:$V$10005,'設定'!$C$4,'①在庫を貼る'!$W$6:$W$10005,$C129)&gt;0,SUMIFS('①在庫を貼る'!$K$6:$K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K$6:$K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K$6:$K$10005,'月1回_2ヶ月前の在庫'!$V$6:$V$10005,'設定'!$C$4,'月1回_2ヶ月前の在庫'!$W$6:$W$10005,$C129)/COUNTIFS('月1回_2ヶ月前の在庫'!$V$6:$V$10005,'設定'!$C$4,'月1回_2ヶ月前の在庫'!$W$6:$W$10005,$C129),0)))))))</f>
        <v/>
      </c>
      <c r="H129">
        <f>IF($C129="","",N(IFERROR(IF(INDEX('商品マスタ'!$G$6:$G$1005,MATCH($C129,'商品マスタ'!$B$6:$B$1005,0))="",IF(COUNTIFS('①在庫を貼る'!$V$6:$V$10005,'設定'!$C$4,'①在庫を貼る'!$W$6:$W$10005,$C129)&gt;0,SUMIFS('①在庫を貼る'!$Q$6:$Q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Q$6:$Q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Q$6:$Q$10005,'月1回_2ヶ月前の在庫'!$V$6:$V$10005,'設定'!$C$4,'月1回_2ヶ月前の在庫'!$W$6:$W$10005,$C129)/COUNTIFS('月1回_2ヶ月前の在庫'!$V$6:$V$10005,'設定'!$C$4,'月1回_2ヶ月前の在庫'!$W$6:$W$10005,$C129),0))),INDEX('商品マスタ'!$G$6:$G$1005,MATCH($C129,'商品マスタ'!$B$6:$B$1005,0))),IF(COUNTIFS('①在庫を貼る'!$V$6:$V$10005,'設定'!$C$4,'①在庫を貼る'!$W$6:$W$10005,$C129)&gt;0,SUMIFS('①在庫を貼る'!$Q$6:$Q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Q$6:$Q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Q$6:$Q$10005,'月1回_2ヶ月前の在庫'!$V$6:$V$10005,'設定'!$C$4,'月1回_2ヶ月前の在庫'!$W$6:$W$10005,$C129)/COUNTIFS('月1回_2ヶ月前の在庫'!$V$6:$V$10005,'設定'!$C$4,'月1回_2ヶ月前の在庫'!$W$6:$W$10005,$C129),0))))))</f>
        <v/>
      </c>
      <c r="I129">
        <f>IF($C129="","",IF(COUNTIFS('①在庫を貼る'!$V$6:$V$10005,'設定'!$C$4,'①在庫を貼る'!$W$6:$W$10005,$C129)=0,"",SUMIFS('①在庫を貼る'!$N$6:$N$10005,'①在庫を貼る'!$V$6:$V$10005,'設定'!$C$4,'①在庫を貼る'!$W$6:$W$10005,$C129)))</f>
        <v/>
      </c>
      <c r="J129">
        <f>IF($C129="","",IF('②発注する'!$AD133="","",'②発注する'!$AD133))</f>
        <v/>
      </c>
      <c r="K129" s="90">
        <f>IF($C129="","",IF('②発注する'!$AE133="","",'②発注する'!$AE133))</f>
        <v/>
      </c>
      <c r="L129">
        <f>IF($C129="","",IF(AND(ISNUMBER($J129),ISNUMBER($K129),$K129&gt;='設定'!$C$6),$J129,N($I129)))</f>
        <v/>
      </c>
      <c r="M129">
        <f>IF($C129="","",IFERROR(IF(N(INDEX('商品マスタ'!$J$6:$J$1005,MATCH($C129,'商品マスタ'!$B$6:$B$1005,0)))&gt;0,INDEX('商品マスタ'!$J$6:$J$1005,MATCH($C129,'商品マスタ'!$B$6:$B$1005,0)),""),""))</f>
        <v/>
      </c>
      <c r="N129">
        <f>IF($C129="","",IFERROR(IF(N(INDEX('商品マスタ'!$H$6:$H$1005,MATCH($C129,'商品マスタ'!$B$6:$B$1005,0)))&gt;0,INDEX('商品マスタ'!$H$6:$H$1005,MATCH($C129,'商品マスタ'!$B$6:$B$1005,0)),""),""))</f>
        <v/>
      </c>
      <c r="O129">
        <f>IF($C129="","",IF($N129&lt;&gt;"",$N129*$G129,IF(N(IF(COUNTIFS('①在庫を貼る'!$V$6:$V$10005,'設定'!$C$4,'①在庫を貼る'!$W$6:$W$10005,$C129)&gt;0,SUMIFS('①在庫を貼る'!$O$6:$O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O$6:$O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O$6:$O$10005,'月1回_2ヶ月前の在庫'!$V$6:$V$10005,'設定'!$C$4,'月1回_2ヶ月前の在庫'!$W$6:$W$10005,$C129)/COUNTIFS('月1回_2ヶ月前の在庫'!$V$6:$V$10005,'設定'!$C$4,'月1回_2ヶ月前の在庫'!$W$6:$W$10005,$C129),0))))&gt;0,N(IF(COUNTIFS('①在庫を貼る'!$V$6:$V$10005,'設定'!$C$4,'①在庫を貼る'!$W$6:$W$10005,$C129)&gt;0,SUMIFS('①在庫を貼る'!$O$6:$O$10005,'①在庫を貼る'!$V$6:$V$10005,'設定'!$C$4,'①在庫を貼る'!$W$6:$W$10005,$C129)/COUNTIFS('①在庫を貼る'!$V$6:$V$10005,'設定'!$C$4,'①在庫を貼る'!$W$6:$W$10005,$C129),IF(COUNTIFS('月1回_1ヶ月前の在庫'!$V$6:$V$10005,'設定'!$C$4,'月1回_1ヶ月前の在庫'!$W$6:$W$10005,$C129)&gt;0,SUMIFS('月1回_1ヶ月前の在庫'!$O$6:$O$10005,'月1回_1ヶ月前の在庫'!$V$6:$V$10005,'設定'!$C$4,'月1回_1ヶ月前の在庫'!$W$6:$W$10005,$C129)/COUNTIFS('月1回_1ヶ月前の在庫'!$V$6:$V$10005,'設定'!$C$4,'月1回_1ヶ月前の在庫'!$W$6:$W$10005,$C129),IF(COUNTIFS('月1回_2ヶ月前の在庫'!$V$6:$V$10005,'設定'!$C$4,'月1回_2ヶ月前の在庫'!$W$6:$W$10005,$C129)&gt;0,SUMIFS('月1回_2ヶ月前の在庫'!$O$6:$O$10005,'月1回_2ヶ月前の在庫'!$V$6:$V$10005,'設定'!$C$4,'月1回_2ヶ月前の在庫'!$W$6:$W$10005,$C129)/COUNTIFS('月1回_2ヶ月前の在庫'!$V$6:$V$10005,'設定'!$C$4,'月1回_2ヶ月前の在庫'!$W$6:$W$10005,$C129),0)))),"")))</f>
        <v/>
      </c>
      <c r="P129" s="90">
        <f>IF($C129="","",IF('②発注する'!$I133="","",'②発注する'!$I133))</f>
        <v/>
      </c>
      <c r="Q129">
        <f>IF($C129="","",IF('②発注する'!$J133="","",'②発注する'!$J133))</f>
        <v/>
      </c>
      <c r="R129">
        <f>IF($C129="",0,IF(AND(ISNUMBER($P129),ISNUMBER($Q129)),MAX(0,$Q129)*$G129,0))</f>
        <v/>
      </c>
      <c r="S129" s="90">
        <f>IF($C129="","",IF('②発注する'!$M133="","",'②発注する'!$M133))</f>
        <v/>
      </c>
      <c r="T129">
        <f>IF($C129="","",IF('②発注する'!$N133="","",'②発注する'!$N133))</f>
        <v/>
      </c>
      <c r="U129">
        <f>IF($C129="",0,IF(AND(ISNUMBER($S129),ISNUMBER($T129)),MAX(0,$T129)*$G129,0))</f>
        <v/>
      </c>
      <c r="V129">
        <f>IF($C129="",0,IF($M129="",0,MAX(0,$M129)*MAX(0,V$4)/100))</f>
        <v/>
      </c>
      <c r="W129">
        <f>IF($C129="",0,IF($M129="",0,MAX(0,$M129)*MAX(0,W$4)/100))</f>
        <v/>
      </c>
      <c r="X129">
        <f>IF($C129="",0,IF($M129="",0,MAX(0,$M129)*MAX(0,X$4)/100))</f>
        <v/>
      </c>
      <c r="Y129">
        <f>IF($C129="",0,IF($M129="",0,MAX(0,$M129)*MAX(0,Y$4)/100))</f>
        <v/>
      </c>
      <c r="Z129">
        <f>IF($C129="",0,IF($M129="",0,MAX(0,$M129)*MAX(0,Z$4)/100))</f>
        <v/>
      </c>
      <c r="AA129">
        <f>IF($C129="",0,IF($M129="",0,MAX(0,$M129)*MAX(0,AA$4)/100))</f>
        <v/>
      </c>
      <c r="AB129">
        <f>IF($C129="",0,IF($M129="",0,MAX(0,$M129)*MAX(0,AB$4)/100))</f>
        <v/>
      </c>
      <c r="AC129">
        <f>IF($C129="",0,IF($M129="",0,MAX(0,$M129)*MAX(0,AC$4)/100))</f>
        <v/>
      </c>
      <c r="AD129">
        <f>IF($C129="",0,IF($M129="",0,MAX(0,$M129)*MAX(0,AD$4)/100))</f>
        <v/>
      </c>
      <c r="AE129">
        <f>IF($C129="",0,IF($M129="",0,MAX(0,$M129)*MAX(0,AE$4)/100))</f>
        <v/>
      </c>
      <c r="AF129">
        <f>IF($C129="",0,IF($M129="",0,MAX(0,$M129)*MAX(0,AF$4)/100))</f>
        <v/>
      </c>
      <c r="AG129">
        <f>IF($C129="",0,IF($M129="",0,MAX(0,$M129)*MAX(0,AG$4)/100))</f>
        <v/>
      </c>
      <c r="AH129">
        <f>IF($C129="",0,IF($M129="",0,MAX(0,$M129)*MAX(0,AH$4)/100))</f>
        <v/>
      </c>
      <c r="AI129">
        <f>IF($C129="",0,IF($M129="",0,MAX(0,$M129)*MAX(0,AI$4)/100))</f>
        <v/>
      </c>
      <c r="AJ129">
        <f>IF($C129="",0,MAX(0,MAX(0,N($L129))-$V129))</f>
        <v/>
      </c>
      <c r="AK129">
        <f>IF($C129="",0,MAX(0,$AJ129-$W129))</f>
        <v/>
      </c>
      <c r="AL129">
        <f>IF($C129="",0,MAX(0,$AK129-$X129))</f>
        <v/>
      </c>
      <c r="AM129">
        <f>IF($C129="",0,MAX(0,$AL129-$Y129))</f>
        <v/>
      </c>
      <c r="AN129">
        <f>IF($C129="",0,MAX(0,$AM129-$Z129))</f>
        <v/>
      </c>
      <c r="AO129">
        <f>IF($C129="",0,MAX(0,$AN129-$AA129))</f>
        <v/>
      </c>
      <c r="AP129">
        <f>IF($C129="",0,MAX(0,$AO129-$AB129))</f>
        <v/>
      </c>
      <c r="AQ129">
        <f>IF($C129="",0,MAX(0,$AP129-$AC129))</f>
        <v/>
      </c>
      <c r="AR129">
        <f>IF($C129="",0,MAX(0,$AQ129-$AD129))</f>
        <v/>
      </c>
      <c r="AS129">
        <f>IF($C129="",0,MAX(0,$AR129-$AE129))</f>
        <v/>
      </c>
      <c r="AT129">
        <f>IF($C129="",0,MAX(0,$AS129-$AF129))</f>
        <v/>
      </c>
      <c r="AU129">
        <f>IF($C129="",0,MAX(0,$AT129-$AG129))</f>
        <v/>
      </c>
      <c r="AV129">
        <f>IF($C129="",0,MAX(0,$AU129-$AH129))</f>
        <v/>
      </c>
      <c r="AW129">
        <f>IF($C129="",0,MAX(0,$AV129-$AI129))</f>
        <v/>
      </c>
      <c r="AX129">
        <f>IF($C129="",0,MAX(0,MAX(0,N($L129))+IF($P129=V$3,$R129,0)+IF($S129=V$3,$U129,0)-$V129))</f>
        <v/>
      </c>
      <c r="AY129">
        <f>IF($C129="",0,MAX(0,$AX129+IF($P129=W$3,$R129,0)+IF($S129=W$3,$U129,0)-$W129))</f>
        <v/>
      </c>
      <c r="AZ129">
        <f>IF($C129="",0,MAX(0,$AY129+IF($P129=X$3,$R129,0)+IF($S129=X$3,$U129,0)-$X129))</f>
        <v/>
      </c>
      <c r="BA129">
        <f>IF($C129="",0,MAX(0,$AZ129+IF($P129=Y$3,$R129,0)+IF($S129=Y$3,$U129,0)-$Y129))</f>
        <v/>
      </c>
      <c r="BB129">
        <f>IF($C129="",0,MAX(0,$BA129+IF($P129=Z$3,$R129,0)+IF($S129=Z$3,$U129,0)-$Z129))</f>
        <v/>
      </c>
      <c r="BC129">
        <f>IF($C129="",0,MAX(0,$BB129+IF($P129=AA$3,$R129,0)+IF($S129=AA$3,$U129,0)-$AA129))</f>
        <v/>
      </c>
      <c r="BD129">
        <f>IF($C129="",0,MAX(0,$BC129+IF($P129=AB$3,$R129,0)+IF($S129=AB$3,$U129,0)-$AB129))</f>
        <v/>
      </c>
      <c r="BE129">
        <f>IF($C129="",0,MAX(0,$BD129+IF($P129=AC$3,$R129,0)+IF($S129=AC$3,$U129,0)-$AC129))</f>
        <v/>
      </c>
      <c r="BF129">
        <f>IF($C129="",0,MAX(0,$BE129+IF($P129=AD$3,$R129,0)+IF($S129=AD$3,$U129,0)-$AD129))</f>
        <v/>
      </c>
      <c r="BG129">
        <f>IF($C129="",0,MAX(0,$BF129+IF($P129=AE$3,$R129,0)+IF($S129=AE$3,$U129,0)-$AE129))</f>
        <v/>
      </c>
      <c r="BH129">
        <f>IF($C129="",0,MAX(0,$BG129+IF($P129=AF$3,$R129,0)+IF($S129=AF$3,$U129,0)-$AF129))</f>
        <v/>
      </c>
      <c r="BI129">
        <f>IF($C129="",0,MAX(0,$BH129+IF($P129=AG$3,$R129,0)+IF($S129=AG$3,$U129,0)-$AG129))</f>
        <v/>
      </c>
      <c r="BJ129">
        <f>IF($C129="",0,MAX(0,$BI129+IF($P129=AH$3,$R129,0)+IF($S129=AH$3,$U129,0)-$AH129))</f>
        <v/>
      </c>
      <c r="BK129">
        <f>IF($C129="",0,MAX(0,$BJ129+IF($P129=AI$3,$R129,0)+IF($S129=AI$3,$U129,0)-$AI129))</f>
        <v/>
      </c>
      <c r="BL129">
        <f>IF($C129="",99,IF(AND($AX129&lt;1,V$3&gt;=MAX(N($P129),N($S129))),0,99))</f>
        <v/>
      </c>
      <c r="BM129">
        <f>IF($C129="",99,IF(AND($AY129&lt;1,W$3&gt;=MAX(N($P129),N($S129))),1,99))</f>
        <v/>
      </c>
      <c r="BN129">
        <f>IF($C129="",99,IF(AND($AZ129&lt;1,X$3&gt;=MAX(N($P129),N($S129))),2,99))</f>
        <v/>
      </c>
      <c r="BO129">
        <f>IF($C129="",99,IF(AND($BA129&lt;1,Y$3&gt;=MAX(N($P129),N($S129))),3,99))</f>
        <v/>
      </c>
      <c r="BP129">
        <f>IF($C129="",99,IF(AND($BB129&lt;1,Z$3&gt;=MAX(N($P129),N($S129))),4,99))</f>
        <v/>
      </c>
      <c r="BQ129">
        <f>IF($C129="",99,IF(AND($BC129&lt;1,AA$3&gt;=MAX(N($P129),N($S129))),5,99))</f>
        <v/>
      </c>
      <c r="BR129">
        <f>IF($C129="",99,IF(AND($BD129&lt;1,AB$3&gt;=MAX(N($P129),N($S129))),6,99))</f>
        <v/>
      </c>
      <c r="BS129">
        <f>IF($C129="",99,IF(AND($BE129&lt;1,AC$3&gt;=MAX(N($P129),N($S129))),7,99))</f>
        <v/>
      </c>
      <c r="BT129">
        <f>IF($C129="",99,IF(AND($BF129&lt;1,AD$3&gt;=MAX(N($P129),N($S129))),8,99))</f>
        <v/>
      </c>
      <c r="BU129">
        <f>IF($C129="",99,IF(AND($BG129&lt;1,AE$3&gt;=MAX(N($P129),N($S129))),9,99))</f>
        <v/>
      </c>
      <c r="BV129">
        <f>IF($C129="",99,IF(AND($BH129&lt;1,AF$3&gt;=MAX(N($P129),N($S129))),10,99))</f>
        <v/>
      </c>
      <c r="BW129">
        <f>IF($C129="",99,IF(AND($BI129&lt;1,AG$3&gt;=MAX(N($P129),N($S129))),11,99))</f>
        <v/>
      </c>
      <c r="BX129">
        <f>IF($C129="",99,IF(AND($BJ129&lt;1,AH$3&gt;=MAX(N($P129),N($S129))),12,99))</f>
        <v/>
      </c>
      <c r="BY129">
        <f>IF($C129="",99,IF(AND($BK129&lt;1,AI$3&gt;=MAX(N($P129),N($S129))),13,99))</f>
        <v/>
      </c>
      <c r="BZ129">
        <f>IF(OR($C129="",$M129=""),"",COUNTIF($AJ129:$AW129,"&gt;=1"))</f>
        <v/>
      </c>
      <c r="CA129" s="90">
        <f>IF($BZ129="","",IF($BZ129&gt;=14,"",'設定'!$C$6+$BZ129))</f>
        <v/>
      </c>
      <c r="CB129">
        <f>IF(OR($C129="",$M129=""),"",MIN($BL129:$BY129))</f>
        <v/>
      </c>
      <c r="CC129" s="90">
        <f>IF($CB129="","",IF($CB129&gt;=99,"",'設定'!$C$6+$CB129))</f>
        <v/>
      </c>
      <c r="CD129">
        <f>IF(OR($C129="",$M129=""),"",AVERAGE($V129:$AI129))</f>
        <v/>
      </c>
      <c r="CE129">
        <f>IF($C129="","",IFERROR(IF(MATCH(IF(ISNUMBER($P129),$P129,'設定'!$C$6+N('設定'!$C$7)),$V$3:$AI$3,0)=1,MAX(0,N($L129)),INDEX($AJ129:$AW129,MATCH(IF(ISNUMBER($P129),$P129,'設定'!$C$6+N('設定'!$C$7)),$V$3:$AI$3,0)-1)),""))</f>
        <v/>
      </c>
      <c r="CF129">
        <f>IF(OR($C129="",$O129="",$CE129=""),"",IF($O129-$CE129&lt;=0,0,ROUNDUP(($O129-$CE129)/$G129,0)))</f>
        <v/>
      </c>
      <c r="CG129">
        <f>IF(OR($C129="",$CF129="",NOT(ISNUMBER($Q129))),0,MAX(0,$Q129-$CF129))</f>
        <v/>
      </c>
      <c r="CH129">
        <f>IF(OR($C129="",$O129="",$U129=0),0,IFERROR(ROUNDUP(MAX(0,IF(MATCH($S129,$V$3:$AI$3,0)=1,MAX(0,N($L129)),INDEX($AX129:$BK129,MATCH($S129,$V$3:$AI$3,0)-1))+$U129-$O129)/$G129,0),0))</f>
        <v/>
      </c>
      <c r="CI129">
        <f>IF($C129="","",IF(AND($P129="",$Q129=""),"",IF($P129="","⚠ 入庫日を ▼ から選んでください",IF(NOT(ISNUMBER($P129)),"⚠ 入庫日は ▼ から選んでください",IF($P129&lt;N('設定'!$C$6),"⚠ 入庫日が過去です（もう在庫に入っています）→ 消してください",IF($P129&gt;N('設定'!$C$6)+13,"⚠ 入庫日が14日より先です",IF(N($Q129)&lt;=0,"⚠ 入庫数を入れてください",IF($CG129&gt;0,"⚠ 目安より "&amp;$CG129&amp;" 多い（定数を超える）→ 減らす",""))))))))</f>
        <v/>
      </c>
      <c r="CJ129">
        <f>IF($C129="","",IF(AND($S129="",$T129=""),"",IF($S129="","⚠ 2便目：入庫日を ▼ から選んでください",IF(NOT(ISNUMBER($S129)),"⚠ 2便目：入庫日は ▼ から選んでください",IF($S129&lt;N('設定'!$C$6),"⚠ 2便目：入庫日が過去です（もう在庫に入っています）→ 消してください",IF($S129&gt;N('設定'!$C$6)+13,"⚠ 2便目：入庫日が14日より先です",IF(N($T129)&lt;=0,"⚠ 2便目：入庫数を入れてください",IF($CH129&gt;0,"⚠ 2便目：定数を "&amp;$CH129&amp;" ケース超える → 減らす",""))))))))</f>
        <v/>
      </c>
      <c r="CK129">
        <f>IF(AND($CI129="",N($Q129)&gt;0,ISNUMBER($P129)),1,0)</f>
        <v/>
      </c>
      <c r="CL129">
        <f>IF(AND($CJ129="",N($T129)&gt;0,ISNUMBER($S129)),1,0)</f>
        <v/>
      </c>
      <c r="CM129">
        <f>IF(OR($CK129=1,$CL129=1),1,0)</f>
        <v/>
      </c>
      <c r="CN129">
        <f>IF($C129="",0,($CK129*$R129+$CL129*$U129)*N($H129))</f>
        <v/>
      </c>
      <c r="CO129">
        <f>IF($C129="","",IF($CC129="","入庫後は 14日以上もつ",IF($CC129-N('設定'!$C$7)&lt;='設定'!$C$6,"入庫後も "&amp;TEXT($CC129,"m/d")&amp;"("&amp;CHOOSE(WEEKDAY($CC129),"日","月","火","水","木","金","土")&amp;")"&amp;" に切れる　もう1便を至急発注","入庫後も "&amp;TEXT($CC129,"m/d")&amp;"("&amp;CHOOSE(WEEKDAY($CC129),"日","月","火","水","木","金","土")&amp;")"&amp;" に切れる　"&amp;TEXT($CC129-N('設定'!$C$7),"m/d")&amp;"("&amp;CHOOSE(WEEKDAY($CC129-N('設定'!$C$7)),"日","月","火","水","木","金","土")&amp;")"&amp;" までに次を発注")))</f>
        <v/>
      </c>
      <c r="CP129">
        <f>IF($C129="","",IF('設定'!$C$6="","？ ①在庫を貼る に今日のCSVが貼られていない",IF($CS129=1,"－ 今日のCSVに無い（終売？）",IF($L129&lt;0,"● 在庫がマイナス　数えて「数えた在庫」に入れる",IF($L129=0,"● 在庫なし　至急発注",IF($M129="","？ 減り数が未設定（商品マスタ）",IF($B$3=0,"？ 動員が未入力（動員を入れる）",IF($CA129="","○ 14日以上もつ",IF($BZ129&lt;N('設定'!$C$7),"● "&amp;TEXT($CA129,"m/d")&amp;"("&amp;CHOOSE(WEEKDAY($CA129),"日","月","火","水","木","金","土")&amp;")"&amp;" に切れる　至急発注",IF($BZ129=N('設定'!$C$7),"● "&amp;TEXT($CA129,"m/d")&amp;"("&amp;CHOOSE(WEEKDAY($CA129),"日","月","火","水","木","金","土")&amp;")"&amp;" に切れる　今日発注","△ "&amp;TEXT($CA129,"m/d")&amp;"("&amp;CHOOSE(WEEKDAY($CA129),"日","月","火","水","木","金","土")&amp;")"&amp;" に切れる　"&amp;TEXT($CA129-N('設定'!$C$7),"m/d")&amp;"("&amp;CHOOSE(WEEKDAY($CA129-N('設定'!$C$7)),"日","月","火","水","木","金","土")&amp;")"&amp;" までに発注"))))))))))</f>
        <v/>
      </c>
      <c r="CQ129">
        <f>IF($C129="","",IF(AND($P129="",$Q129="",$S129="",$T129=""),"",IF(AND($P129="",$Q129=""),"⚠ 先に1便目（左の入庫日・入庫数）に入れてください",IF($CI129&lt;&gt;"",$CI129,IF($CJ129&lt;&gt;"",$CJ129,IF($M129="","？ 減り数が未設定（発注書には載ります）",IF($B$3=0,"？ 動員が未入力（発注書には載ります）",IF(AND($CA129&lt;&gt;"",$P129&gt;$CA129),IF($P129&gt;'設定'!$C$6+N('設定'!$C$7),"● "&amp;TEXT($P129,"m/d")&amp;"("&amp;CHOOSE(WEEKDAY($P129),"日","月","火","水","木","金","土")&amp;")"&amp;" の入庫では間に合わない（"&amp;TEXT($CA129,"m/d")&amp;"("&amp;CHOOSE(WEEKDAY($CA129),"日","月","火","水","木","金","土")&amp;")"&amp;" に切れる）　入庫日を早める","△ 欠品 "&amp;TEXT($CA129,"m/d")&amp;"("&amp;CHOOSE(WEEKDAY($CA129),"日","月","火","水","木","金","土")&amp;")"&amp;"〜"&amp;TEXT($P129-1,"m/d")&amp;"("&amp;CHOOSE(WEEKDAY($P129-1),"日","月","火","水","木","金","土")&amp;")"&amp;"　"&amp;$CO129),IF($CC129="","○ "&amp;TEXT($P129,"m/d")&amp;"("&amp;CHOOSE(WEEKDAY($P129),"日","月","火","水","木","金","土")&amp;")"&amp;" 入庫で 14日以上もつ",IF($CC129-N('設定'!$C$7)&lt;='設定'!$C$6,"● 入庫しても "&amp;TEXT($CC129,"m/d")&amp;"("&amp;CHOOSE(WEEKDAY($CC129),"日","月","火","水","木","金","土")&amp;")"&amp;" に切れる　もう1便を至急発注（2便目に入れる）","△ 入庫しても "&amp;TEXT($CC129,"m/d")&amp;"("&amp;CHOOSE(WEEKDAY($CC129),"日","月","火","水","木","金","土")&amp;")"&amp;" に切れる　"&amp;TEXT($CC129-N('設定'!$C$7),"m/d")&amp;"("&amp;CHOOSE(WEEKDAY($CC129-N('設定'!$C$7)),"日","月","火","水","木","金","土")&amp;")"&amp;" までに次を発注（2便目に入れる）"))))))))))</f>
        <v/>
      </c>
      <c r="CR129">
        <f>IF($C129="","",IF($G129&gt;1,"ｹｰｽ("&amp;$G129&amp;"入)","個"))</f>
        <v/>
      </c>
      <c r="CS129">
        <f>IF($C129="",0,IF(COUNTIFS('①在庫を貼る'!$V$6:$V$10005,'設定'!$C$4,'①在庫を貼る'!$W$6:$W$10005,$C129)=0,1,0))</f>
        <v/>
      </c>
      <c r="CT129">
        <f>IF(AND($CK129=1,OR('③発注書'!$C$4="すべて",'③発注書'!$C$4="",$F129='③発注書'!$C$4)),N($CT128)+1,N($CT128))</f>
        <v/>
      </c>
      <c r="CU129">
        <f>IF(AND($CL129=1,OR('③発注書'!$C$4="すべて",'③発注書'!$C$4="",$F129='③発注書'!$C$4)),N($CU128)+1,N($CU128))</f>
        <v/>
      </c>
      <c r="CV129">
        <f>IF($C129="",0,IF(COUNTIFS('①在庫を貼る'!$V$6:$V$10005,'設定'!$C$4,'①在庫を貼る'!$W$6:$W$10005,$C129)&gt;0,1,0))</f>
        <v/>
      </c>
      <c r="CW129">
        <f>IF($C129="",0,IF(COUNTIFS('月1回_1ヶ月前の在庫'!$V$6:$V$10005,'設定'!$C$4,'月1回_1ヶ月前の在庫'!$W$6:$W$10005,$C129)&gt;0,1,0))</f>
        <v/>
      </c>
      <c r="CX129">
        <f>IF($C129="",0,IF(COUNTIFS('月1回_2ヶ月前の在庫'!$V$6:$V$10005,'設定'!$C$4,'月1回_2ヶ月前の在庫'!$W$6:$W$10005,$C129)&gt;0,1,0))</f>
        <v/>
      </c>
      <c r="CY129">
        <f>IF(OR($C129="",'設定'!$C$12=""),"",IF('設定'!$C$13="",IF(AND($CV129=1,$CW129=0),"新商品（今月から）",IF(AND($CV129=0,$CW129=1),"終売（今月から）","")),IF(AND($CV129=1,$CW129=0,$CX129=0),"新商品（今月から）",IF(AND($CV129=1,$CW129=1,$CX129=0),"新商品（先月から）",IF(AND($CV129=0,$CW129=1,$CX129=1),"終売（今月から）",IF(AND($CV129=0,$CW129=0,$CX129=1),"終売（先月から）",IF(AND($CV129=1,$CW129=0,$CX129=1),"復活（先月は無し）","")))))))</f>
        <v/>
      </c>
    </row>
    <row r="130">
      <c r="B130">
        <f>IF(125&lt;='設定'!$C$11,125,"")</f>
        <v/>
      </c>
      <c r="C130">
        <f>IF($B130="","",IF($B130&lt;='設定'!$C$20,INDEX('商品マスタ'!$B$6:$B$1005,MATCH($B130,'商品マスタ'!$M$6:$M$1005,0)),IF($B130&lt;='設定'!$C$20+'設定'!$C$17,INDEX('①在庫を貼る'!$W$6:$W$10005,MATCH($B130-'設定'!$C$20,'①在庫を貼る'!$U$6:$U$10005,0)),IF($B130&lt;='設定'!$C$20+'設定'!$C$17+'設定'!$C$18,INDEX('月1回_1ヶ月前の在庫'!$W$6:$W$10005,MATCH($B130-'設定'!$C$20-'設定'!$C$17,'月1回_1ヶ月前の在庫'!$U$6:$U$10005,0)),INDEX('月1回_2ヶ月前の在庫'!$W$6:$W$10005,MATCH($B130-'設定'!$C$20-'設定'!$C$17-'設定'!$C$18,'月1回_2ヶ月前の在庫'!$U$6:$U$10005,0))))))</f>
        <v/>
      </c>
      <c r="D130">
        <f>IF($C130="","",IFERROR(IF(INDEX('商品マスタ'!$C$6:$C$1005,MATCH($C130,'商品マスタ'!$B$6:$B$1005,0))="",IFERROR(INDEX('①在庫を貼る'!$J$6:$J$10005,MATCH($C130,'①在庫を貼る'!$W$6:$W$10005,0)),IFERROR(INDEX('月1回_1ヶ月前の在庫'!$J$6:$J$10005,MATCH($C130,'月1回_1ヶ月前の在庫'!$W$6:$W$10005,0)),IFERROR(INDEX('月1回_2ヶ月前の在庫'!$J$6:$J$10005,MATCH($C130,'月1回_2ヶ月前の在庫'!$W$6:$W$10005,0)),""))),INDEX('商品マスタ'!$C$6:$C$1005,MATCH($C130,'商品マスタ'!$B$6:$B$1005,0))),IFERROR(INDEX('①在庫を貼る'!$J$6:$J$10005,MATCH($C130,'①在庫を貼る'!$W$6:$W$10005,0)),IFERROR(INDEX('月1回_1ヶ月前の在庫'!$J$6:$J$10005,MATCH($C130,'月1回_1ヶ月前の在庫'!$W$6:$W$10005,0)),IFERROR(INDEX('月1回_2ヶ月前の在庫'!$J$6:$J$10005,MATCH($C130,'月1回_2ヶ月前の在庫'!$W$6:$W$10005,0)),"")))))</f>
        <v/>
      </c>
      <c r="E130">
        <f>IF($C130="","",IFERROR(IF(INDEX('商品マスタ'!$D$6:$D$1005,MATCH($C130,'商品マスタ'!$B$6:$B$1005,0))="",IFERROR(INDEX('①在庫を貼る'!$H$6:$H$10005,MATCH($C130,'①在庫を貼る'!$W$6:$W$10005,0)),IFERROR(INDEX('月1回_1ヶ月前の在庫'!$H$6:$H$10005,MATCH($C130,'月1回_1ヶ月前の在庫'!$W$6:$W$10005,0)),IFERROR(INDEX('月1回_2ヶ月前の在庫'!$H$6:$H$10005,MATCH($C130,'月1回_2ヶ月前の在庫'!$W$6:$W$10005,0)),""))),INDEX('商品マスタ'!$D$6:$D$1005,MATCH($C130,'商品マスタ'!$B$6:$B$1005,0))),IFERROR(INDEX('①在庫を貼る'!$H$6:$H$10005,MATCH($C130,'①在庫を貼る'!$W$6:$W$10005,0)),IFERROR(INDEX('月1回_1ヶ月前の在庫'!$H$6:$H$10005,MATCH($C130,'月1回_1ヶ月前の在庫'!$W$6:$W$10005,0)),IFERROR(INDEX('月1回_2ヶ月前の在庫'!$H$6:$H$10005,MATCH($C130,'月1回_2ヶ月前の在庫'!$W$6:$W$10005,0)),"")))))</f>
        <v/>
      </c>
      <c r="F130">
        <f>IF($C130="","",IFERROR(IF(INDEX('商品マスタ'!$E$6:$E$1005,MATCH($C130,'商品マスタ'!$B$6:$B$1005,0))="",IFERROR(INDEX('①在庫を貼る'!$E$6:$E$10005,MATCH($C130,'①在庫を貼る'!$W$6:$W$10005,0)),IFERROR(INDEX('月1回_1ヶ月前の在庫'!$E$6:$E$10005,MATCH($C130,'月1回_1ヶ月前の在庫'!$W$6:$W$10005,0)),IFERROR(INDEX('月1回_2ヶ月前の在庫'!$E$6:$E$10005,MATCH($C130,'月1回_2ヶ月前の在庫'!$W$6:$W$10005,0)),""))),INDEX('商品マスタ'!$E$6:$E$1005,MATCH($C130,'商品マスタ'!$B$6:$B$1005,0))),IFERROR(INDEX('①在庫を貼る'!$E$6:$E$10005,MATCH($C130,'①在庫を貼る'!$W$6:$W$10005,0)),IFERROR(INDEX('月1回_1ヶ月前の在庫'!$E$6:$E$10005,MATCH($C130,'月1回_1ヶ月前の在庫'!$W$6:$W$10005,0)),IFERROR(INDEX('月1回_2ヶ月前の在庫'!$E$6:$E$10005,MATCH($C130,'月1回_2ヶ月前の在庫'!$W$6:$W$10005,0)),"")))))</f>
        <v/>
      </c>
      <c r="G130">
        <f>IF($C130="","",MAX(1,N(IFERROR(IF(INDEX('商品マスタ'!$F$6:$F$1005,MATCH($C130,'商品マスタ'!$B$6:$B$1005,0))="",IF(COUNTIFS('①在庫を貼る'!$V$6:$V$10005,'設定'!$C$4,'①在庫を貼る'!$W$6:$W$10005,$C130)&gt;0,SUMIFS('①在庫を貼る'!$K$6:$K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K$6:$K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K$6:$K$10005,'月1回_2ヶ月前の在庫'!$V$6:$V$10005,'設定'!$C$4,'月1回_2ヶ月前の在庫'!$W$6:$W$10005,$C130)/COUNTIFS('月1回_2ヶ月前の在庫'!$V$6:$V$10005,'設定'!$C$4,'月1回_2ヶ月前の在庫'!$W$6:$W$10005,$C130),0))),INDEX('商品マスタ'!$F$6:$F$1005,MATCH($C130,'商品マスタ'!$B$6:$B$1005,0))),IF(COUNTIFS('①在庫を貼る'!$V$6:$V$10005,'設定'!$C$4,'①在庫を貼る'!$W$6:$W$10005,$C130)&gt;0,SUMIFS('①在庫を貼る'!$K$6:$K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K$6:$K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K$6:$K$10005,'月1回_2ヶ月前の在庫'!$V$6:$V$10005,'設定'!$C$4,'月1回_2ヶ月前の在庫'!$W$6:$W$10005,$C130)/COUNTIFS('月1回_2ヶ月前の在庫'!$V$6:$V$10005,'設定'!$C$4,'月1回_2ヶ月前の在庫'!$W$6:$W$10005,$C130),0)))))))</f>
        <v/>
      </c>
      <c r="H130">
        <f>IF($C130="","",N(IFERROR(IF(INDEX('商品マスタ'!$G$6:$G$1005,MATCH($C130,'商品マスタ'!$B$6:$B$1005,0))="",IF(COUNTIFS('①在庫を貼る'!$V$6:$V$10005,'設定'!$C$4,'①在庫を貼る'!$W$6:$W$10005,$C130)&gt;0,SUMIFS('①在庫を貼る'!$Q$6:$Q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Q$6:$Q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Q$6:$Q$10005,'月1回_2ヶ月前の在庫'!$V$6:$V$10005,'設定'!$C$4,'月1回_2ヶ月前の在庫'!$W$6:$W$10005,$C130)/COUNTIFS('月1回_2ヶ月前の在庫'!$V$6:$V$10005,'設定'!$C$4,'月1回_2ヶ月前の在庫'!$W$6:$W$10005,$C130),0))),INDEX('商品マスタ'!$G$6:$G$1005,MATCH($C130,'商品マスタ'!$B$6:$B$1005,0))),IF(COUNTIFS('①在庫を貼る'!$V$6:$V$10005,'設定'!$C$4,'①在庫を貼る'!$W$6:$W$10005,$C130)&gt;0,SUMIFS('①在庫を貼る'!$Q$6:$Q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Q$6:$Q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Q$6:$Q$10005,'月1回_2ヶ月前の在庫'!$V$6:$V$10005,'設定'!$C$4,'月1回_2ヶ月前の在庫'!$W$6:$W$10005,$C130)/COUNTIFS('月1回_2ヶ月前の在庫'!$V$6:$V$10005,'設定'!$C$4,'月1回_2ヶ月前の在庫'!$W$6:$W$10005,$C130),0))))))</f>
        <v/>
      </c>
      <c r="I130">
        <f>IF($C130="","",IF(COUNTIFS('①在庫を貼る'!$V$6:$V$10005,'設定'!$C$4,'①在庫を貼る'!$W$6:$W$10005,$C130)=0,"",SUMIFS('①在庫を貼る'!$N$6:$N$10005,'①在庫を貼る'!$V$6:$V$10005,'設定'!$C$4,'①在庫を貼る'!$W$6:$W$10005,$C130)))</f>
        <v/>
      </c>
      <c r="J130">
        <f>IF($C130="","",IF('②発注する'!$AD134="","",'②発注する'!$AD134))</f>
        <v/>
      </c>
      <c r="K130" s="90">
        <f>IF($C130="","",IF('②発注する'!$AE134="","",'②発注する'!$AE134))</f>
        <v/>
      </c>
      <c r="L130">
        <f>IF($C130="","",IF(AND(ISNUMBER($J130),ISNUMBER($K130),$K130&gt;='設定'!$C$6),$J130,N($I130)))</f>
        <v/>
      </c>
      <c r="M130">
        <f>IF($C130="","",IFERROR(IF(N(INDEX('商品マスタ'!$J$6:$J$1005,MATCH($C130,'商品マスタ'!$B$6:$B$1005,0)))&gt;0,INDEX('商品マスタ'!$J$6:$J$1005,MATCH($C130,'商品マスタ'!$B$6:$B$1005,0)),""),""))</f>
        <v/>
      </c>
      <c r="N130">
        <f>IF($C130="","",IFERROR(IF(N(INDEX('商品マスタ'!$H$6:$H$1005,MATCH($C130,'商品マスタ'!$B$6:$B$1005,0)))&gt;0,INDEX('商品マスタ'!$H$6:$H$1005,MATCH($C130,'商品マスタ'!$B$6:$B$1005,0)),""),""))</f>
        <v/>
      </c>
      <c r="O130">
        <f>IF($C130="","",IF($N130&lt;&gt;"",$N130*$G130,IF(N(IF(COUNTIFS('①在庫を貼る'!$V$6:$V$10005,'設定'!$C$4,'①在庫を貼る'!$W$6:$W$10005,$C130)&gt;0,SUMIFS('①在庫を貼る'!$O$6:$O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O$6:$O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O$6:$O$10005,'月1回_2ヶ月前の在庫'!$V$6:$V$10005,'設定'!$C$4,'月1回_2ヶ月前の在庫'!$W$6:$W$10005,$C130)/COUNTIFS('月1回_2ヶ月前の在庫'!$V$6:$V$10005,'設定'!$C$4,'月1回_2ヶ月前の在庫'!$W$6:$W$10005,$C130),0))))&gt;0,N(IF(COUNTIFS('①在庫を貼る'!$V$6:$V$10005,'設定'!$C$4,'①在庫を貼る'!$W$6:$W$10005,$C130)&gt;0,SUMIFS('①在庫を貼る'!$O$6:$O$10005,'①在庫を貼る'!$V$6:$V$10005,'設定'!$C$4,'①在庫を貼る'!$W$6:$W$10005,$C130)/COUNTIFS('①在庫を貼る'!$V$6:$V$10005,'設定'!$C$4,'①在庫を貼る'!$W$6:$W$10005,$C130),IF(COUNTIFS('月1回_1ヶ月前の在庫'!$V$6:$V$10005,'設定'!$C$4,'月1回_1ヶ月前の在庫'!$W$6:$W$10005,$C130)&gt;0,SUMIFS('月1回_1ヶ月前の在庫'!$O$6:$O$10005,'月1回_1ヶ月前の在庫'!$V$6:$V$10005,'設定'!$C$4,'月1回_1ヶ月前の在庫'!$W$6:$W$10005,$C130)/COUNTIFS('月1回_1ヶ月前の在庫'!$V$6:$V$10005,'設定'!$C$4,'月1回_1ヶ月前の在庫'!$W$6:$W$10005,$C130),IF(COUNTIFS('月1回_2ヶ月前の在庫'!$V$6:$V$10005,'設定'!$C$4,'月1回_2ヶ月前の在庫'!$W$6:$W$10005,$C130)&gt;0,SUMIFS('月1回_2ヶ月前の在庫'!$O$6:$O$10005,'月1回_2ヶ月前の在庫'!$V$6:$V$10005,'設定'!$C$4,'月1回_2ヶ月前の在庫'!$W$6:$W$10005,$C130)/COUNTIFS('月1回_2ヶ月前の在庫'!$V$6:$V$10005,'設定'!$C$4,'月1回_2ヶ月前の在庫'!$W$6:$W$10005,$C130),0)))),"")))</f>
        <v/>
      </c>
      <c r="P130" s="90">
        <f>IF($C130="","",IF('②発注する'!$I134="","",'②発注する'!$I134))</f>
        <v/>
      </c>
      <c r="Q130">
        <f>IF($C130="","",IF('②発注する'!$J134="","",'②発注する'!$J134))</f>
        <v/>
      </c>
      <c r="R130">
        <f>IF($C130="",0,IF(AND(ISNUMBER($P130),ISNUMBER($Q130)),MAX(0,$Q130)*$G130,0))</f>
        <v/>
      </c>
      <c r="S130" s="90">
        <f>IF($C130="","",IF('②発注する'!$M134="","",'②発注する'!$M134))</f>
        <v/>
      </c>
      <c r="T130">
        <f>IF($C130="","",IF('②発注する'!$N134="","",'②発注する'!$N134))</f>
        <v/>
      </c>
      <c r="U130">
        <f>IF($C130="",0,IF(AND(ISNUMBER($S130),ISNUMBER($T130)),MAX(0,$T130)*$G130,0))</f>
        <v/>
      </c>
      <c r="V130">
        <f>IF($C130="",0,IF($M130="",0,MAX(0,$M130)*MAX(0,V$4)/100))</f>
        <v/>
      </c>
      <c r="W130">
        <f>IF($C130="",0,IF($M130="",0,MAX(0,$M130)*MAX(0,W$4)/100))</f>
        <v/>
      </c>
      <c r="X130">
        <f>IF($C130="",0,IF($M130="",0,MAX(0,$M130)*MAX(0,X$4)/100))</f>
        <v/>
      </c>
      <c r="Y130">
        <f>IF($C130="",0,IF($M130="",0,MAX(0,$M130)*MAX(0,Y$4)/100))</f>
        <v/>
      </c>
      <c r="Z130">
        <f>IF($C130="",0,IF($M130="",0,MAX(0,$M130)*MAX(0,Z$4)/100))</f>
        <v/>
      </c>
      <c r="AA130">
        <f>IF($C130="",0,IF($M130="",0,MAX(0,$M130)*MAX(0,AA$4)/100))</f>
        <v/>
      </c>
      <c r="AB130">
        <f>IF($C130="",0,IF($M130="",0,MAX(0,$M130)*MAX(0,AB$4)/100))</f>
        <v/>
      </c>
      <c r="AC130">
        <f>IF($C130="",0,IF($M130="",0,MAX(0,$M130)*MAX(0,AC$4)/100))</f>
        <v/>
      </c>
      <c r="AD130">
        <f>IF($C130="",0,IF($M130="",0,MAX(0,$M130)*MAX(0,AD$4)/100))</f>
        <v/>
      </c>
      <c r="AE130">
        <f>IF($C130="",0,IF($M130="",0,MAX(0,$M130)*MAX(0,AE$4)/100))</f>
        <v/>
      </c>
      <c r="AF130">
        <f>IF($C130="",0,IF($M130="",0,MAX(0,$M130)*MAX(0,AF$4)/100))</f>
        <v/>
      </c>
      <c r="AG130">
        <f>IF($C130="",0,IF($M130="",0,MAX(0,$M130)*MAX(0,AG$4)/100))</f>
        <v/>
      </c>
      <c r="AH130">
        <f>IF($C130="",0,IF($M130="",0,MAX(0,$M130)*MAX(0,AH$4)/100))</f>
        <v/>
      </c>
      <c r="AI130">
        <f>IF($C130="",0,IF($M130="",0,MAX(0,$M130)*MAX(0,AI$4)/100))</f>
        <v/>
      </c>
      <c r="AJ130">
        <f>IF($C130="",0,MAX(0,MAX(0,N($L130))-$V130))</f>
        <v/>
      </c>
      <c r="AK130">
        <f>IF($C130="",0,MAX(0,$AJ130-$W130))</f>
        <v/>
      </c>
      <c r="AL130">
        <f>IF($C130="",0,MAX(0,$AK130-$X130))</f>
        <v/>
      </c>
      <c r="AM130">
        <f>IF($C130="",0,MAX(0,$AL130-$Y130))</f>
        <v/>
      </c>
      <c r="AN130">
        <f>IF($C130="",0,MAX(0,$AM130-$Z130))</f>
        <v/>
      </c>
      <c r="AO130">
        <f>IF($C130="",0,MAX(0,$AN130-$AA130))</f>
        <v/>
      </c>
      <c r="AP130">
        <f>IF($C130="",0,MAX(0,$AO130-$AB130))</f>
        <v/>
      </c>
      <c r="AQ130">
        <f>IF($C130="",0,MAX(0,$AP130-$AC130))</f>
        <v/>
      </c>
      <c r="AR130">
        <f>IF($C130="",0,MAX(0,$AQ130-$AD130))</f>
        <v/>
      </c>
      <c r="AS130">
        <f>IF($C130="",0,MAX(0,$AR130-$AE130))</f>
        <v/>
      </c>
      <c r="AT130">
        <f>IF($C130="",0,MAX(0,$AS130-$AF130))</f>
        <v/>
      </c>
      <c r="AU130">
        <f>IF($C130="",0,MAX(0,$AT130-$AG130))</f>
        <v/>
      </c>
      <c r="AV130">
        <f>IF($C130="",0,MAX(0,$AU130-$AH130))</f>
        <v/>
      </c>
      <c r="AW130">
        <f>IF($C130="",0,MAX(0,$AV130-$AI130))</f>
        <v/>
      </c>
      <c r="AX130">
        <f>IF($C130="",0,MAX(0,MAX(0,N($L130))+IF($P130=V$3,$R130,0)+IF($S130=V$3,$U130,0)-$V130))</f>
        <v/>
      </c>
      <c r="AY130">
        <f>IF($C130="",0,MAX(0,$AX130+IF($P130=W$3,$R130,0)+IF($S130=W$3,$U130,0)-$W130))</f>
        <v/>
      </c>
      <c r="AZ130">
        <f>IF($C130="",0,MAX(0,$AY130+IF($P130=X$3,$R130,0)+IF($S130=X$3,$U130,0)-$X130))</f>
        <v/>
      </c>
      <c r="BA130">
        <f>IF($C130="",0,MAX(0,$AZ130+IF($P130=Y$3,$R130,0)+IF($S130=Y$3,$U130,0)-$Y130))</f>
        <v/>
      </c>
      <c r="BB130">
        <f>IF($C130="",0,MAX(0,$BA130+IF($P130=Z$3,$R130,0)+IF($S130=Z$3,$U130,0)-$Z130))</f>
        <v/>
      </c>
      <c r="BC130">
        <f>IF($C130="",0,MAX(0,$BB130+IF($P130=AA$3,$R130,0)+IF($S130=AA$3,$U130,0)-$AA130))</f>
        <v/>
      </c>
      <c r="BD130">
        <f>IF($C130="",0,MAX(0,$BC130+IF($P130=AB$3,$R130,0)+IF($S130=AB$3,$U130,0)-$AB130))</f>
        <v/>
      </c>
      <c r="BE130">
        <f>IF($C130="",0,MAX(0,$BD130+IF($P130=AC$3,$R130,0)+IF($S130=AC$3,$U130,0)-$AC130))</f>
        <v/>
      </c>
      <c r="BF130">
        <f>IF($C130="",0,MAX(0,$BE130+IF($P130=AD$3,$R130,0)+IF($S130=AD$3,$U130,0)-$AD130))</f>
        <v/>
      </c>
      <c r="BG130">
        <f>IF($C130="",0,MAX(0,$BF130+IF($P130=AE$3,$R130,0)+IF($S130=AE$3,$U130,0)-$AE130))</f>
        <v/>
      </c>
      <c r="BH130">
        <f>IF($C130="",0,MAX(0,$BG130+IF($P130=AF$3,$R130,0)+IF($S130=AF$3,$U130,0)-$AF130))</f>
        <v/>
      </c>
      <c r="BI130">
        <f>IF($C130="",0,MAX(0,$BH130+IF($P130=AG$3,$R130,0)+IF($S130=AG$3,$U130,0)-$AG130))</f>
        <v/>
      </c>
      <c r="BJ130">
        <f>IF($C130="",0,MAX(0,$BI130+IF($P130=AH$3,$R130,0)+IF($S130=AH$3,$U130,0)-$AH130))</f>
        <v/>
      </c>
      <c r="BK130">
        <f>IF($C130="",0,MAX(0,$BJ130+IF($P130=AI$3,$R130,0)+IF($S130=AI$3,$U130,0)-$AI130))</f>
        <v/>
      </c>
      <c r="BL130">
        <f>IF($C130="",99,IF(AND($AX130&lt;1,V$3&gt;=MAX(N($P130),N($S130))),0,99))</f>
        <v/>
      </c>
      <c r="BM130">
        <f>IF($C130="",99,IF(AND($AY130&lt;1,W$3&gt;=MAX(N($P130),N($S130))),1,99))</f>
        <v/>
      </c>
      <c r="BN130">
        <f>IF($C130="",99,IF(AND($AZ130&lt;1,X$3&gt;=MAX(N($P130),N($S130))),2,99))</f>
        <v/>
      </c>
      <c r="BO130">
        <f>IF($C130="",99,IF(AND($BA130&lt;1,Y$3&gt;=MAX(N($P130),N($S130))),3,99))</f>
        <v/>
      </c>
      <c r="BP130">
        <f>IF($C130="",99,IF(AND($BB130&lt;1,Z$3&gt;=MAX(N($P130),N($S130))),4,99))</f>
        <v/>
      </c>
      <c r="BQ130">
        <f>IF($C130="",99,IF(AND($BC130&lt;1,AA$3&gt;=MAX(N($P130),N($S130))),5,99))</f>
        <v/>
      </c>
      <c r="BR130">
        <f>IF($C130="",99,IF(AND($BD130&lt;1,AB$3&gt;=MAX(N($P130),N($S130))),6,99))</f>
        <v/>
      </c>
      <c r="BS130">
        <f>IF($C130="",99,IF(AND($BE130&lt;1,AC$3&gt;=MAX(N($P130),N($S130))),7,99))</f>
        <v/>
      </c>
      <c r="BT130">
        <f>IF($C130="",99,IF(AND($BF130&lt;1,AD$3&gt;=MAX(N($P130),N($S130))),8,99))</f>
        <v/>
      </c>
      <c r="BU130">
        <f>IF($C130="",99,IF(AND($BG130&lt;1,AE$3&gt;=MAX(N($P130),N($S130))),9,99))</f>
        <v/>
      </c>
      <c r="BV130">
        <f>IF($C130="",99,IF(AND($BH130&lt;1,AF$3&gt;=MAX(N($P130),N($S130))),10,99))</f>
        <v/>
      </c>
      <c r="BW130">
        <f>IF($C130="",99,IF(AND($BI130&lt;1,AG$3&gt;=MAX(N($P130),N($S130))),11,99))</f>
        <v/>
      </c>
      <c r="BX130">
        <f>IF($C130="",99,IF(AND($BJ130&lt;1,AH$3&gt;=MAX(N($P130),N($S130))),12,99))</f>
        <v/>
      </c>
      <c r="BY130">
        <f>IF($C130="",99,IF(AND($BK130&lt;1,AI$3&gt;=MAX(N($P130),N($S130))),13,99))</f>
        <v/>
      </c>
      <c r="BZ130">
        <f>IF(OR($C130="",$M130=""),"",COUNTIF($AJ130:$AW130,"&gt;=1"))</f>
        <v/>
      </c>
      <c r="CA130" s="90">
        <f>IF($BZ130="","",IF($BZ130&gt;=14,"",'設定'!$C$6+$BZ130))</f>
        <v/>
      </c>
      <c r="CB130">
        <f>IF(OR($C130="",$M130=""),"",MIN($BL130:$BY130))</f>
        <v/>
      </c>
      <c r="CC130" s="90">
        <f>IF($CB130="","",IF($CB130&gt;=99,"",'設定'!$C$6+$CB130))</f>
        <v/>
      </c>
      <c r="CD130">
        <f>IF(OR($C130="",$M130=""),"",AVERAGE($V130:$AI130))</f>
        <v/>
      </c>
      <c r="CE130">
        <f>IF($C130="","",IFERROR(IF(MATCH(IF(ISNUMBER($P130),$P130,'設定'!$C$6+N('設定'!$C$7)),$V$3:$AI$3,0)=1,MAX(0,N($L130)),INDEX($AJ130:$AW130,MATCH(IF(ISNUMBER($P130),$P130,'設定'!$C$6+N('設定'!$C$7)),$V$3:$AI$3,0)-1)),""))</f>
        <v/>
      </c>
      <c r="CF130">
        <f>IF(OR($C130="",$O130="",$CE130=""),"",IF($O130-$CE130&lt;=0,0,ROUNDUP(($O130-$CE130)/$G130,0)))</f>
        <v/>
      </c>
      <c r="CG130">
        <f>IF(OR($C130="",$CF130="",NOT(ISNUMBER($Q130))),0,MAX(0,$Q130-$CF130))</f>
        <v/>
      </c>
      <c r="CH130">
        <f>IF(OR($C130="",$O130="",$U130=0),0,IFERROR(ROUNDUP(MAX(0,IF(MATCH($S130,$V$3:$AI$3,0)=1,MAX(0,N($L130)),INDEX($AX130:$BK130,MATCH($S130,$V$3:$AI$3,0)-1))+$U130-$O130)/$G130,0),0))</f>
        <v/>
      </c>
      <c r="CI130">
        <f>IF($C130="","",IF(AND($P130="",$Q130=""),"",IF($P130="","⚠ 入庫日を ▼ から選んでください",IF(NOT(ISNUMBER($P130)),"⚠ 入庫日は ▼ から選んでください",IF($P130&lt;N('設定'!$C$6),"⚠ 入庫日が過去です（もう在庫に入っています）→ 消してください",IF($P130&gt;N('設定'!$C$6)+13,"⚠ 入庫日が14日より先です",IF(N($Q130)&lt;=0,"⚠ 入庫数を入れてください",IF($CG130&gt;0,"⚠ 目安より "&amp;$CG130&amp;" 多い（定数を超える）→ 減らす",""))))))))</f>
        <v/>
      </c>
      <c r="CJ130">
        <f>IF($C130="","",IF(AND($S130="",$T130=""),"",IF($S130="","⚠ 2便目：入庫日を ▼ から選んでください",IF(NOT(ISNUMBER($S130)),"⚠ 2便目：入庫日は ▼ から選んでください",IF($S130&lt;N('設定'!$C$6),"⚠ 2便目：入庫日が過去です（もう在庫に入っています）→ 消してください",IF($S130&gt;N('設定'!$C$6)+13,"⚠ 2便目：入庫日が14日より先です",IF(N($T130)&lt;=0,"⚠ 2便目：入庫数を入れてください",IF($CH130&gt;0,"⚠ 2便目：定数を "&amp;$CH130&amp;" ケース超える → 減らす",""))))))))</f>
        <v/>
      </c>
      <c r="CK130">
        <f>IF(AND($CI130="",N($Q130)&gt;0,ISNUMBER($P130)),1,0)</f>
        <v/>
      </c>
      <c r="CL130">
        <f>IF(AND($CJ130="",N($T130)&gt;0,ISNUMBER($S130)),1,0)</f>
        <v/>
      </c>
      <c r="CM130">
        <f>IF(OR($CK130=1,$CL130=1),1,0)</f>
        <v/>
      </c>
      <c r="CN130">
        <f>IF($C130="",0,($CK130*$R130+$CL130*$U130)*N($H130))</f>
        <v/>
      </c>
      <c r="CO130">
        <f>IF($C130="","",IF($CC130="","入庫後は 14日以上もつ",IF($CC130-N('設定'!$C$7)&lt;='設定'!$C$6,"入庫後も "&amp;TEXT($CC130,"m/d")&amp;"("&amp;CHOOSE(WEEKDAY($CC130),"日","月","火","水","木","金","土")&amp;")"&amp;" に切れる　もう1便を至急発注","入庫後も "&amp;TEXT($CC130,"m/d")&amp;"("&amp;CHOOSE(WEEKDAY($CC130),"日","月","火","水","木","金","土")&amp;")"&amp;" に切れる　"&amp;TEXT($CC130-N('設定'!$C$7),"m/d")&amp;"("&amp;CHOOSE(WEEKDAY($CC130-N('設定'!$C$7)),"日","月","火","水","木","金","土")&amp;")"&amp;" までに次を発注")))</f>
        <v/>
      </c>
      <c r="CP130">
        <f>IF($C130="","",IF('設定'!$C$6="","？ ①在庫を貼る に今日のCSVが貼られていない",IF($CS130=1,"－ 今日のCSVに無い（終売？）",IF($L130&lt;0,"● 在庫がマイナス　数えて「数えた在庫」に入れる",IF($L130=0,"● 在庫なし　至急発注",IF($M130="","？ 減り数が未設定（商品マスタ）",IF($B$3=0,"？ 動員が未入力（動員を入れる）",IF($CA130="","○ 14日以上もつ",IF($BZ130&lt;N('設定'!$C$7),"● "&amp;TEXT($CA130,"m/d")&amp;"("&amp;CHOOSE(WEEKDAY($CA130),"日","月","火","水","木","金","土")&amp;")"&amp;" に切れる　至急発注",IF($BZ130=N('設定'!$C$7),"● "&amp;TEXT($CA130,"m/d")&amp;"("&amp;CHOOSE(WEEKDAY($CA130),"日","月","火","水","木","金","土")&amp;")"&amp;" に切れる　今日発注","△ "&amp;TEXT($CA130,"m/d")&amp;"("&amp;CHOOSE(WEEKDAY($CA130),"日","月","火","水","木","金","土")&amp;")"&amp;" に切れる　"&amp;TEXT($CA130-N('設定'!$C$7),"m/d")&amp;"("&amp;CHOOSE(WEEKDAY($CA130-N('設定'!$C$7)),"日","月","火","水","木","金","土")&amp;")"&amp;" までに発注"))))))))))</f>
        <v/>
      </c>
      <c r="CQ130">
        <f>IF($C130="","",IF(AND($P130="",$Q130="",$S130="",$T130=""),"",IF(AND($P130="",$Q130=""),"⚠ 先に1便目（左の入庫日・入庫数）に入れてください",IF($CI130&lt;&gt;"",$CI130,IF($CJ130&lt;&gt;"",$CJ130,IF($M130="","？ 減り数が未設定（発注書には載ります）",IF($B$3=0,"？ 動員が未入力（発注書には載ります）",IF(AND($CA130&lt;&gt;"",$P130&gt;$CA130),IF($P130&gt;'設定'!$C$6+N('設定'!$C$7),"● "&amp;TEXT($P130,"m/d")&amp;"("&amp;CHOOSE(WEEKDAY($P130),"日","月","火","水","木","金","土")&amp;")"&amp;" の入庫では間に合わない（"&amp;TEXT($CA130,"m/d")&amp;"("&amp;CHOOSE(WEEKDAY($CA130),"日","月","火","水","木","金","土")&amp;")"&amp;" に切れる）　入庫日を早める","△ 欠品 "&amp;TEXT($CA130,"m/d")&amp;"("&amp;CHOOSE(WEEKDAY($CA130),"日","月","火","水","木","金","土")&amp;")"&amp;"〜"&amp;TEXT($P130-1,"m/d")&amp;"("&amp;CHOOSE(WEEKDAY($P130-1),"日","月","火","水","木","金","土")&amp;")"&amp;"　"&amp;$CO130),IF($CC130="","○ "&amp;TEXT($P130,"m/d")&amp;"("&amp;CHOOSE(WEEKDAY($P130),"日","月","火","水","木","金","土")&amp;")"&amp;" 入庫で 14日以上もつ",IF($CC130-N('設定'!$C$7)&lt;='設定'!$C$6,"● 入庫しても "&amp;TEXT($CC130,"m/d")&amp;"("&amp;CHOOSE(WEEKDAY($CC130),"日","月","火","水","木","金","土")&amp;")"&amp;" に切れる　もう1便を至急発注（2便目に入れる）","△ 入庫しても "&amp;TEXT($CC130,"m/d")&amp;"("&amp;CHOOSE(WEEKDAY($CC130),"日","月","火","水","木","金","土")&amp;")"&amp;" に切れる　"&amp;TEXT($CC130-N('設定'!$C$7),"m/d")&amp;"("&amp;CHOOSE(WEEKDAY($CC130-N('設定'!$C$7)),"日","月","火","水","木","金","土")&amp;")"&amp;" までに次を発注（2便目に入れる）"))))))))))</f>
        <v/>
      </c>
      <c r="CR130">
        <f>IF($C130="","",IF($G130&gt;1,"ｹｰｽ("&amp;$G130&amp;"入)","個"))</f>
        <v/>
      </c>
      <c r="CS130">
        <f>IF($C130="",0,IF(COUNTIFS('①在庫を貼る'!$V$6:$V$10005,'設定'!$C$4,'①在庫を貼る'!$W$6:$W$10005,$C130)=0,1,0))</f>
        <v/>
      </c>
      <c r="CT130">
        <f>IF(AND($CK130=1,OR('③発注書'!$C$4="すべて",'③発注書'!$C$4="",$F130='③発注書'!$C$4)),N($CT129)+1,N($CT129))</f>
        <v/>
      </c>
      <c r="CU130">
        <f>IF(AND($CL130=1,OR('③発注書'!$C$4="すべて",'③発注書'!$C$4="",$F130='③発注書'!$C$4)),N($CU129)+1,N($CU129))</f>
        <v/>
      </c>
      <c r="CV130">
        <f>IF($C130="",0,IF(COUNTIFS('①在庫を貼る'!$V$6:$V$10005,'設定'!$C$4,'①在庫を貼る'!$W$6:$W$10005,$C130)&gt;0,1,0))</f>
        <v/>
      </c>
      <c r="CW130">
        <f>IF($C130="",0,IF(COUNTIFS('月1回_1ヶ月前の在庫'!$V$6:$V$10005,'設定'!$C$4,'月1回_1ヶ月前の在庫'!$W$6:$W$10005,$C130)&gt;0,1,0))</f>
        <v/>
      </c>
      <c r="CX130">
        <f>IF($C130="",0,IF(COUNTIFS('月1回_2ヶ月前の在庫'!$V$6:$V$10005,'設定'!$C$4,'月1回_2ヶ月前の在庫'!$W$6:$W$10005,$C130)&gt;0,1,0))</f>
        <v/>
      </c>
      <c r="CY130">
        <f>IF(OR($C130="",'設定'!$C$12=""),"",IF('設定'!$C$13="",IF(AND($CV130=1,$CW130=0),"新商品（今月から）",IF(AND($CV130=0,$CW130=1),"終売（今月から）","")),IF(AND($CV130=1,$CW130=0,$CX130=0),"新商品（今月から）",IF(AND($CV130=1,$CW130=1,$CX130=0),"新商品（先月から）",IF(AND($CV130=0,$CW130=1,$CX130=1),"終売（今月から）",IF(AND($CV130=0,$CW130=0,$CX130=1),"終売（先月から）",IF(AND($CV130=1,$CW130=0,$CX130=1),"復活（先月は無し）","")))))))</f>
        <v/>
      </c>
    </row>
    <row r="131">
      <c r="B131">
        <f>IF(126&lt;='設定'!$C$11,126,"")</f>
        <v/>
      </c>
      <c r="C131">
        <f>IF($B131="","",IF($B131&lt;='設定'!$C$20,INDEX('商品マスタ'!$B$6:$B$1005,MATCH($B131,'商品マスタ'!$M$6:$M$1005,0)),IF($B131&lt;='設定'!$C$20+'設定'!$C$17,INDEX('①在庫を貼る'!$W$6:$W$10005,MATCH($B131-'設定'!$C$20,'①在庫を貼る'!$U$6:$U$10005,0)),IF($B131&lt;='設定'!$C$20+'設定'!$C$17+'設定'!$C$18,INDEX('月1回_1ヶ月前の在庫'!$W$6:$W$10005,MATCH($B131-'設定'!$C$20-'設定'!$C$17,'月1回_1ヶ月前の在庫'!$U$6:$U$10005,0)),INDEX('月1回_2ヶ月前の在庫'!$W$6:$W$10005,MATCH($B131-'設定'!$C$20-'設定'!$C$17-'設定'!$C$18,'月1回_2ヶ月前の在庫'!$U$6:$U$10005,0))))))</f>
        <v/>
      </c>
      <c r="D131">
        <f>IF($C131="","",IFERROR(IF(INDEX('商品マスタ'!$C$6:$C$1005,MATCH($C131,'商品マスタ'!$B$6:$B$1005,0))="",IFERROR(INDEX('①在庫を貼る'!$J$6:$J$10005,MATCH($C131,'①在庫を貼る'!$W$6:$W$10005,0)),IFERROR(INDEX('月1回_1ヶ月前の在庫'!$J$6:$J$10005,MATCH($C131,'月1回_1ヶ月前の在庫'!$W$6:$W$10005,0)),IFERROR(INDEX('月1回_2ヶ月前の在庫'!$J$6:$J$10005,MATCH($C131,'月1回_2ヶ月前の在庫'!$W$6:$W$10005,0)),""))),INDEX('商品マスタ'!$C$6:$C$1005,MATCH($C131,'商品マスタ'!$B$6:$B$1005,0))),IFERROR(INDEX('①在庫を貼る'!$J$6:$J$10005,MATCH($C131,'①在庫を貼る'!$W$6:$W$10005,0)),IFERROR(INDEX('月1回_1ヶ月前の在庫'!$J$6:$J$10005,MATCH($C131,'月1回_1ヶ月前の在庫'!$W$6:$W$10005,0)),IFERROR(INDEX('月1回_2ヶ月前の在庫'!$J$6:$J$10005,MATCH($C131,'月1回_2ヶ月前の在庫'!$W$6:$W$10005,0)),"")))))</f>
        <v/>
      </c>
      <c r="E131">
        <f>IF($C131="","",IFERROR(IF(INDEX('商品マスタ'!$D$6:$D$1005,MATCH($C131,'商品マスタ'!$B$6:$B$1005,0))="",IFERROR(INDEX('①在庫を貼る'!$H$6:$H$10005,MATCH($C131,'①在庫を貼る'!$W$6:$W$10005,0)),IFERROR(INDEX('月1回_1ヶ月前の在庫'!$H$6:$H$10005,MATCH($C131,'月1回_1ヶ月前の在庫'!$W$6:$W$10005,0)),IFERROR(INDEX('月1回_2ヶ月前の在庫'!$H$6:$H$10005,MATCH($C131,'月1回_2ヶ月前の在庫'!$W$6:$W$10005,0)),""))),INDEX('商品マスタ'!$D$6:$D$1005,MATCH($C131,'商品マスタ'!$B$6:$B$1005,0))),IFERROR(INDEX('①在庫を貼る'!$H$6:$H$10005,MATCH($C131,'①在庫を貼る'!$W$6:$W$10005,0)),IFERROR(INDEX('月1回_1ヶ月前の在庫'!$H$6:$H$10005,MATCH($C131,'月1回_1ヶ月前の在庫'!$W$6:$W$10005,0)),IFERROR(INDEX('月1回_2ヶ月前の在庫'!$H$6:$H$10005,MATCH($C131,'月1回_2ヶ月前の在庫'!$W$6:$W$10005,0)),"")))))</f>
        <v/>
      </c>
      <c r="F131">
        <f>IF($C131="","",IFERROR(IF(INDEX('商品マスタ'!$E$6:$E$1005,MATCH($C131,'商品マスタ'!$B$6:$B$1005,0))="",IFERROR(INDEX('①在庫を貼る'!$E$6:$E$10005,MATCH($C131,'①在庫を貼る'!$W$6:$W$10005,0)),IFERROR(INDEX('月1回_1ヶ月前の在庫'!$E$6:$E$10005,MATCH($C131,'月1回_1ヶ月前の在庫'!$W$6:$W$10005,0)),IFERROR(INDEX('月1回_2ヶ月前の在庫'!$E$6:$E$10005,MATCH($C131,'月1回_2ヶ月前の在庫'!$W$6:$W$10005,0)),""))),INDEX('商品マスタ'!$E$6:$E$1005,MATCH($C131,'商品マスタ'!$B$6:$B$1005,0))),IFERROR(INDEX('①在庫を貼る'!$E$6:$E$10005,MATCH($C131,'①在庫を貼る'!$W$6:$W$10005,0)),IFERROR(INDEX('月1回_1ヶ月前の在庫'!$E$6:$E$10005,MATCH($C131,'月1回_1ヶ月前の在庫'!$W$6:$W$10005,0)),IFERROR(INDEX('月1回_2ヶ月前の在庫'!$E$6:$E$10005,MATCH($C131,'月1回_2ヶ月前の在庫'!$W$6:$W$10005,0)),"")))))</f>
        <v/>
      </c>
      <c r="G131">
        <f>IF($C131="","",MAX(1,N(IFERROR(IF(INDEX('商品マスタ'!$F$6:$F$1005,MATCH($C131,'商品マスタ'!$B$6:$B$1005,0))="",IF(COUNTIFS('①在庫を貼る'!$V$6:$V$10005,'設定'!$C$4,'①在庫を貼る'!$W$6:$W$10005,$C131)&gt;0,SUMIFS('①在庫を貼る'!$K$6:$K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K$6:$K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K$6:$K$10005,'月1回_2ヶ月前の在庫'!$V$6:$V$10005,'設定'!$C$4,'月1回_2ヶ月前の在庫'!$W$6:$W$10005,$C131)/COUNTIFS('月1回_2ヶ月前の在庫'!$V$6:$V$10005,'設定'!$C$4,'月1回_2ヶ月前の在庫'!$W$6:$W$10005,$C131),0))),INDEX('商品マスタ'!$F$6:$F$1005,MATCH($C131,'商品マスタ'!$B$6:$B$1005,0))),IF(COUNTIFS('①在庫を貼る'!$V$6:$V$10005,'設定'!$C$4,'①在庫を貼る'!$W$6:$W$10005,$C131)&gt;0,SUMIFS('①在庫を貼る'!$K$6:$K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K$6:$K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K$6:$K$10005,'月1回_2ヶ月前の在庫'!$V$6:$V$10005,'設定'!$C$4,'月1回_2ヶ月前の在庫'!$W$6:$W$10005,$C131)/COUNTIFS('月1回_2ヶ月前の在庫'!$V$6:$V$10005,'設定'!$C$4,'月1回_2ヶ月前の在庫'!$W$6:$W$10005,$C131),0)))))))</f>
        <v/>
      </c>
      <c r="H131">
        <f>IF($C131="","",N(IFERROR(IF(INDEX('商品マスタ'!$G$6:$G$1005,MATCH($C131,'商品マスタ'!$B$6:$B$1005,0))="",IF(COUNTIFS('①在庫を貼る'!$V$6:$V$10005,'設定'!$C$4,'①在庫を貼る'!$W$6:$W$10005,$C131)&gt;0,SUMIFS('①在庫を貼る'!$Q$6:$Q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Q$6:$Q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Q$6:$Q$10005,'月1回_2ヶ月前の在庫'!$V$6:$V$10005,'設定'!$C$4,'月1回_2ヶ月前の在庫'!$W$6:$W$10005,$C131)/COUNTIFS('月1回_2ヶ月前の在庫'!$V$6:$V$10005,'設定'!$C$4,'月1回_2ヶ月前の在庫'!$W$6:$W$10005,$C131),0))),INDEX('商品マスタ'!$G$6:$G$1005,MATCH($C131,'商品マスタ'!$B$6:$B$1005,0))),IF(COUNTIFS('①在庫を貼る'!$V$6:$V$10005,'設定'!$C$4,'①在庫を貼る'!$W$6:$W$10005,$C131)&gt;0,SUMIFS('①在庫を貼る'!$Q$6:$Q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Q$6:$Q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Q$6:$Q$10005,'月1回_2ヶ月前の在庫'!$V$6:$V$10005,'設定'!$C$4,'月1回_2ヶ月前の在庫'!$W$6:$W$10005,$C131)/COUNTIFS('月1回_2ヶ月前の在庫'!$V$6:$V$10005,'設定'!$C$4,'月1回_2ヶ月前の在庫'!$W$6:$W$10005,$C131),0))))))</f>
        <v/>
      </c>
      <c r="I131">
        <f>IF($C131="","",IF(COUNTIFS('①在庫を貼る'!$V$6:$V$10005,'設定'!$C$4,'①在庫を貼る'!$W$6:$W$10005,$C131)=0,"",SUMIFS('①在庫を貼る'!$N$6:$N$10005,'①在庫を貼る'!$V$6:$V$10005,'設定'!$C$4,'①在庫を貼る'!$W$6:$W$10005,$C131)))</f>
        <v/>
      </c>
      <c r="J131">
        <f>IF($C131="","",IF('②発注する'!$AD135="","",'②発注する'!$AD135))</f>
        <v/>
      </c>
      <c r="K131" s="90">
        <f>IF($C131="","",IF('②発注する'!$AE135="","",'②発注する'!$AE135))</f>
        <v/>
      </c>
      <c r="L131">
        <f>IF($C131="","",IF(AND(ISNUMBER($J131),ISNUMBER($K131),$K131&gt;='設定'!$C$6),$J131,N($I131)))</f>
        <v/>
      </c>
      <c r="M131">
        <f>IF($C131="","",IFERROR(IF(N(INDEX('商品マスタ'!$J$6:$J$1005,MATCH($C131,'商品マスタ'!$B$6:$B$1005,0)))&gt;0,INDEX('商品マスタ'!$J$6:$J$1005,MATCH($C131,'商品マスタ'!$B$6:$B$1005,0)),""),""))</f>
        <v/>
      </c>
      <c r="N131">
        <f>IF($C131="","",IFERROR(IF(N(INDEX('商品マスタ'!$H$6:$H$1005,MATCH($C131,'商品マスタ'!$B$6:$B$1005,0)))&gt;0,INDEX('商品マスタ'!$H$6:$H$1005,MATCH($C131,'商品マスタ'!$B$6:$B$1005,0)),""),""))</f>
        <v/>
      </c>
      <c r="O131">
        <f>IF($C131="","",IF($N131&lt;&gt;"",$N131*$G131,IF(N(IF(COUNTIFS('①在庫を貼る'!$V$6:$V$10005,'設定'!$C$4,'①在庫を貼る'!$W$6:$W$10005,$C131)&gt;0,SUMIFS('①在庫を貼る'!$O$6:$O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O$6:$O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O$6:$O$10005,'月1回_2ヶ月前の在庫'!$V$6:$V$10005,'設定'!$C$4,'月1回_2ヶ月前の在庫'!$W$6:$W$10005,$C131)/COUNTIFS('月1回_2ヶ月前の在庫'!$V$6:$V$10005,'設定'!$C$4,'月1回_2ヶ月前の在庫'!$W$6:$W$10005,$C131),0))))&gt;0,N(IF(COUNTIFS('①在庫を貼る'!$V$6:$V$10005,'設定'!$C$4,'①在庫を貼る'!$W$6:$W$10005,$C131)&gt;0,SUMIFS('①在庫を貼る'!$O$6:$O$10005,'①在庫を貼る'!$V$6:$V$10005,'設定'!$C$4,'①在庫を貼る'!$W$6:$W$10005,$C131)/COUNTIFS('①在庫を貼る'!$V$6:$V$10005,'設定'!$C$4,'①在庫を貼る'!$W$6:$W$10005,$C131),IF(COUNTIFS('月1回_1ヶ月前の在庫'!$V$6:$V$10005,'設定'!$C$4,'月1回_1ヶ月前の在庫'!$W$6:$W$10005,$C131)&gt;0,SUMIFS('月1回_1ヶ月前の在庫'!$O$6:$O$10005,'月1回_1ヶ月前の在庫'!$V$6:$V$10005,'設定'!$C$4,'月1回_1ヶ月前の在庫'!$W$6:$W$10005,$C131)/COUNTIFS('月1回_1ヶ月前の在庫'!$V$6:$V$10005,'設定'!$C$4,'月1回_1ヶ月前の在庫'!$W$6:$W$10005,$C131),IF(COUNTIFS('月1回_2ヶ月前の在庫'!$V$6:$V$10005,'設定'!$C$4,'月1回_2ヶ月前の在庫'!$W$6:$W$10005,$C131)&gt;0,SUMIFS('月1回_2ヶ月前の在庫'!$O$6:$O$10005,'月1回_2ヶ月前の在庫'!$V$6:$V$10005,'設定'!$C$4,'月1回_2ヶ月前の在庫'!$W$6:$W$10005,$C131)/COUNTIFS('月1回_2ヶ月前の在庫'!$V$6:$V$10005,'設定'!$C$4,'月1回_2ヶ月前の在庫'!$W$6:$W$10005,$C131),0)))),"")))</f>
        <v/>
      </c>
      <c r="P131" s="90">
        <f>IF($C131="","",IF('②発注する'!$I135="","",'②発注する'!$I135))</f>
        <v/>
      </c>
      <c r="Q131">
        <f>IF($C131="","",IF('②発注する'!$J135="","",'②発注する'!$J135))</f>
        <v/>
      </c>
      <c r="R131">
        <f>IF($C131="",0,IF(AND(ISNUMBER($P131),ISNUMBER($Q131)),MAX(0,$Q131)*$G131,0))</f>
        <v/>
      </c>
      <c r="S131" s="90">
        <f>IF($C131="","",IF('②発注する'!$M135="","",'②発注する'!$M135))</f>
        <v/>
      </c>
      <c r="T131">
        <f>IF($C131="","",IF('②発注する'!$N135="","",'②発注する'!$N135))</f>
        <v/>
      </c>
      <c r="U131">
        <f>IF($C131="",0,IF(AND(ISNUMBER($S131),ISNUMBER($T131)),MAX(0,$T131)*$G131,0))</f>
        <v/>
      </c>
      <c r="V131">
        <f>IF($C131="",0,IF($M131="",0,MAX(0,$M131)*MAX(0,V$4)/100))</f>
        <v/>
      </c>
      <c r="W131">
        <f>IF($C131="",0,IF($M131="",0,MAX(0,$M131)*MAX(0,W$4)/100))</f>
        <v/>
      </c>
      <c r="X131">
        <f>IF($C131="",0,IF($M131="",0,MAX(0,$M131)*MAX(0,X$4)/100))</f>
        <v/>
      </c>
      <c r="Y131">
        <f>IF($C131="",0,IF($M131="",0,MAX(0,$M131)*MAX(0,Y$4)/100))</f>
        <v/>
      </c>
      <c r="Z131">
        <f>IF($C131="",0,IF($M131="",0,MAX(0,$M131)*MAX(0,Z$4)/100))</f>
        <v/>
      </c>
      <c r="AA131">
        <f>IF($C131="",0,IF($M131="",0,MAX(0,$M131)*MAX(0,AA$4)/100))</f>
        <v/>
      </c>
      <c r="AB131">
        <f>IF($C131="",0,IF($M131="",0,MAX(0,$M131)*MAX(0,AB$4)/100))</f>
        <v/>
      </c>
      <c r="AC131">
        <f>IF($C131="",0,IF($M131="",0,MAX(0,$M131)*MAX(0,AC$4)/100))</f>
        <v/>
      </c>
      <c r="AD131">
        <f>IF($C131="",0,IF($M131="",0,MAX(0,$M131)*MAX(0,AD$4)/100))</f>
        <v/>
      </c>
      <c r="AE131">
        <f>IF($C131="",0,IF($M131="",0,MAX(0,$M131)*MAX(0,AE$4)/100))</f>
        <v/>
      </c>
      <c r="AF131">
        <f>IF($C131="",0,IF($M131="",0,MAX(0,$M131)*MAX(0,AF$4)/100))</f>
        <v/>
      </c>
      <c r="AG131">
        <f>IF($C131="",0,IF($M131="",0,MAX(0,$M131)*MAX(0,AG$4)/100))</f>
        <v/>
      </c>
      <c r="AH131">
        <f>IF($C131="",0,IF($M131="",0,MAX(0,$M131)*MAX(0,AH$4)/100))</f>
        <v/>
      </c>
      <c r="AI131">
        <f>IF($C131="",0,IF($M131="",0,MAX(0,$M131)*MAX(0,AI$4)/100))</f>
        <v/>
      </c>
      <c r="AJ131">
        <f>IF($C131="",0,MAX(0,MAX(0,N($L131))-$V131))</f>
        <v/>
      </c>
      <c r="AK131">
        <f>IF($C131="",0,MAX(0,$AJ131-$W131))</f>
        <v/>
      </c>
      <c r="AL131">
        <f>IF($C131="",0,MAX(0,$AK131-$X131))</f>
        <v/>
      </c>
      <c r="AM131">
        <f>IF($C131="",0,MAX(0,$AL131-$Y131))</f>
        <v/>
      </c>
      <c r="AN131">
        <f>IF($C131="",0,MAX(0,$AM131-$Z131))</f>
        <v/>
      </c>
      <c r="AO131">
        <f>IF($C131="",0,MAX(0,$AN131-$AA131))</f>
        <v/>
      </c>
      <c r="AP131">
        <f>IF($C131="",0,MAX(0,$AO131-$AB131))</f>
        <v/>
      </c>
      <c r="AQ131">
        <f>IF($C131="",0,MAX(0,$AP131-$AC131))</f>
        <v/>
      </c>
      <c r="AR131">
        <f>IF($C131="",0,MAX(0,$AQ131-$AD131))</f>
        <v/>
      </c>
      <c r="AS131">
        <f>IF($C131="",0,MAX(0,$AR131-$AE131))</f>
        <v/>
      </c>
      <c r="AT131">
        <f>IF($C131="",0,MAX(0,$AS131-$AF131))</f>
        <v/>
      </c>
      <c r="AU131">
        <f>IF($C131="",0,MAX(0,$AT131-$AG131))</f>
        <v/>
      </c>
      <c r="AV131">
        <f>IF($C131="",0,MAX(0,$AU131-$AH131))</f>
        <v/>
      </c>
      <c r="AW131">
        <f>IF($C131="",0,MAX(0,$AV131-$AI131))</f>
        <v/>
      </c>
      <c r="AX131">
        <f>IF($C131="",0,MAX(0,MAX(0,N($L131))+IF($P131=V$3,$R131,0)+IF($S131=V$3,$U131,0)-$V131))</f>
        <v/>
      </c>
      <c r="AY131">
        <f>IF($C131="",0,MAX(0,$AX131+IF($P131=W$3,$R131,0)+IF($S131=W$3,$U131,0)-$W131))</f>
        <v/>
      </c>
      <c r="AZ131">
        <f>IF($C131="",0,MAX(0,$AY131+IF($P131=X$3,$R131,0)+IF($S131=X$3,$U131,0)-$X131))</f>
        <v/>
      </c>
      <c r="BA131">
        <f>IF($C131="",0,MAX(0,$AZ131+IF($P131=Y$3,$R131,0)+IF($S131=Y$3,$U131,0)-$Y131))</f>
        <v/>
      </c>
      <c r="BB131">
        <f>IF($C131="",0,MAX(0,$BA131+IF($P131=Z$3,$R131,0)+IF($S131=Z$3,$U131,0)-$Z131))</f>
        <v/>
      </c>
      <c r="BC131">
        <f>IF($C131="",0,MAX(0,$BB131+IF($P131=AA$3,$R131,0)+IF($S131=AA$3,$U131,0)-$AA131))</f>
        <v/>
      </c>
      <c r="BD131">
        <f>IF($C131="",0,MAX(0,$BC131+IF($P131=AB$3,$R131,0)+IF($S131=AB$3,$U131,0)-$AB131))</f>
        <v/>
      </c>
      <c r="BE131">
        <f>IF($C131="",0,MAX(0,$BD131+IF($P131=AC$3,$R131,0)+IF($S131=AC$3,$U131,0)-$AC131))</f>
        <v/>
      </c>
      <c r="BF131">
        <f>IF($C131="",0,MAX(0,$BE131+IF($P131=AD$3,$R131,0)+IF($S131=AD$3,$U131,0)-$AD131))</f>
        <v/>
      </c>
      <c r="BG131">
        <f>IF($C131="",0,MAX(0,$BF131+IF($P131=AE$3,$R131,0)+IF($S131=AE$3,$U131,0)-$AE131))</f>
        <v/>
      </c>
      <c r="BH131">
        <f>IF($C131="",0,MAX(0,$BG131+IF($P131=AF$3,$R131,0)+IF($S131=AF$3,$U131,0)-$AF131))</f>
        <v/>
      </c>
      <c r="BI131">
        <f>IF($C131="",0,MAX(0,$BH131+IF($P131=AG$3,$R131,0)+IF($S131=AG$3,$U131,0)-$AG131))</f>
        <v/>
      </c>
      <c r="BJ131">
        <f>IF($C131="",0,MAX(0,$BI131+IF($P131=AH$3,$R131,0)+IF($S131=AH$3,$U131,0)-$AH131))</f>
        <v/>
      </c>
      <c r="BK131">
        <f>IF($C131="",0,MAX(0,$BJ131+IF($P131=AI$3,$R131,0)+IF($S131=AI$3,$U131,0)-$AI131))</f>
        <v/>
      </c>
      <c r="BL131">
        <f>IF($C131="",99,IF(AND($AX131&lt;1,V$3&gt;=MAX(N($P131),N($S131))),0,99))</f>
        <v/>
      </c>
      <c r="BM131">
        <f>IF($C131="",99,IF(AND($AY131&lt;1,W$3&gt;=MAX(N($P131),N($S131))),1,99))</f>
        <v/>
      </c>
      <c r="BN131">
        <f>IF($C131="",99,IF(AND($AZ131&lt;1,X$3&gt;=MAX(N($P131),N($S131))),2,99))</f>
        <v/>
      </c>
      <c r="BO131">
        <f>IF($C131="",99,IF(AND($BA131&lt;1,Y$3&gt;=MAX(N($P131),N($S131))),3,99))</f>
        <v/>
      </c>
      <c r="BP131">
        <f>IF($C131="",99,IF(AND($BB131&lt;1,Z$3&gt;=MAX(N($P131),N($S131))),4,99))</f>
        <v/>
      </c>
      <c r="BQ131">
        <f>IF($C131="",99,IF(AND($BC131&lt;1,AA$3&gt;=MAX(N($P131),N($S131))),5,99))</f>
        <v/>
      </c>
      <c r="BR131">
        <f>IF($C131="",99,IF(AND($BD131&lt;1,AB$3&gt;=MAX(N($P131),N($S131))),6,99))</f>
        <v/>
      </c>
      <c r="BS131">
        <f>IF($C131="",99,IF(AND($BE131&lt;1,AC$3&gt;=MAX(N($P131),N($S131))),7,99))</f>
        <v/>
      </c>
      <c r="BT131">
        <f>IF($C131="",99,IF(AND($BF131&lt;1,AD$3&gt;=MAX(N($P131),N($S131))),8,99))</f>
        <v/>
      </c>
      <c r="BU131">
        <f>IF($C131="",99,IF(AND($BG131&lt;1,AE$3&gt;=MAX(N($P131),N($S131))),9,99))</f>
        <v/>
      </c>
      <c r="BV131">
        <f>IF($C131="",99,IF(AND($BH131&lt;1,AF$3&gt;=MAX(N($P131),N($S131))),10,99))</f>
        <v/>
      </c>
      <c r="BW131">
        <f>IF($C131="",99,IF(AND($BI131&lt;1,AG$3&gt;=MAX(N($P131),N($S131))),11,99))</f>
        <v/>
      </c>
      <c r="BX131">
        <f>IF($C131="",99,IF(AND($BJ131&lt;1,AH$3&gt;=MAX(N($P131),N($S131))),12,99))</f>
        <v/>
      </c>
      <c r="BY131">
        <f>IF($C131="",99,IF(AND($BK131&lt;1,AI$3&gt;=MAX(N($P131),N($S131))),13,99))</f>
        <v/>
      </c>
      <c r="BZ131">
        <f>IF(OR($C131="",$M131=""),"",COUNTIF($AJ131:$AW131,"&gt;=1"))</f>
        <v/>
      </c>
      <c r="CA131" s="90">
        <f>IF($BZ131="","",IF($BZ131&gt;=14,"",'設定'!$C$6+$BZ131))</f>
        <v/>
      </c>
      <c r="CB131">
        <f>IF(OR($C131="",$M131=""),"",MIN($BL131:$BY131))</f>
        <v/>
      </c>
      <c r="CC131" s="90">
        <f>IF($CB131="","",IF($CB131&gt;=99,"",'設定'!$C$6+$CB131))</f>
        <v/>
      </c>
      <c r="CD131">
        <f>IF(OR($C131="",$M131=""),"",AVERAGE($V131:$AI131))</f>
        <v/>
      </c>
      <c r="CE131">
        <f>IF($C131="","",IFERROR(IF(MATCH(IF(ISNUMBER($P131),$P131,'設定'!$C$6+N('設定'!$C$7)),$V$3:$AI$3,0)=1,MAX(0,N($L131)),INDEX($AJ131:$AW131,MATCH(IF(ISNUMBER($P131),$P131,'設定'!$C$6+N('設定'!$C$7)),$V$3:$AI$3,0)-1)),""))</f>
        <v/>
      </c>
      <c r="CF131">
        <f>IF(OR($C131="",$O131="",$CE131=""),"",IF($O131-$CE131&lt;=0,0,ROUNDUP(($O131-$CE131)/$G131,0)))</f>
        <v/>
      </c>
      <c r="CG131">
        <f>IF(OR($C131="",$CF131="",NOT(ISNUMBER($Q131))),0,MAX(0,$Q131-$CF131))</f>
        <v/>
      </c>
      <c r="CH131">
        <f>IF(OR($C131="",$O131="",$U131=0),0,IFERROR(ROUNDUP(MAX(0,IF(MATCH($S131,$V$3:$AI$3,0)=1,MAX(0,N($L131)),INDEX($AX131:$BK131,MATCH($S131,$V$3:$AI$3,0)-1))+$U131-$O131)/$G131,0),0))</f>
        <v/>
      </c>
      <c r="CI131">
        <f>IF($C131="","",IF(AND($P131="",$Q131=""),"",IF($P131="","⚠ 入庫日を ▼ から選んでください",IF(NOT(ISNUMBER($P131)),"⚠ 入庫日は ▼ から選んでください",IF($P131&lt;N('設定'!$C$6),"⚠ 入庫日が過去です（もう在庫に入っています）→ 消してください",IF($P131&gt;N('設定'!$C$6)+13,"⚠ 入庫日が14日より先です",IF(N($Q131)&lt;=0,"⚠ 入庫数を入れてください",IF($CG131&gt;0,"⚠ 目安より "&amp;$CG131&amp;" 多い（定数を超える）→ 減らす",""))))))))</f>
        <v/>
      </c>
      <c r="CJ131">
        <f>IF($C131="","",IF(AND($S131="",$T131=""),"",IF($S131="","⚠ 2便目：入庫日を ▼ から選んでください",IF(NOT(ISNUMBER($S131)),"⚠ 2便目：入庫日は ▼ から選んでください",IF($S131&lt;N('設定'!$C$6),"⚠ 2便目：入庫日が過去です（もう在庫に入っています）→ 消してください",IF($S131&gt;N('設定'!$C$6)+13,"⚠ 2便目：入庫日が14日より先です",IF(N($T131)&lt;=0,"⚠ 2便目：入庫数を入れてください",IF($CH131&gt;0,"⚠ 2便目：定数を "&amp;$CH131&amp;" ケース超える → 減らす",""))))))))</f>
        <v/>
      </c>
      <c r="CK131">
        <f>IF(AND($CI131="",N($Q131)&gt;0,ISNUMBER($P131)),1,0)</f>
        <v/>
      </c>
      <c r="CL131">
        <f>IF(AND($CJ131="",N($T131)&gt;0,ISNUMBER($S131)),1,0)</f>
        <v/>
      </c>
      <c r="CM131">
        <f>IF(OR($CK131=1,$CL131=1),1,0)</f>
        <v/>
      </c>
      <c r="CN131">
        <f>IF($C131="",0,($CK131*$R131+$CL131*$U131)*N($H131))</f>
        <v/>
      </c>
      <c r="CO131">
        <f>IF($C131="","",IF($CC131="","入庫後は 14日以上もつ",IF($CC131-N('設定'!$C$7)&lt;='設定'!$C$6,"入庫後も "&amp;TEXT($CC131,"m/d")&amp;"("&amp;CHOOSE(WEEKDAY($CC131),"日","月","火","水","木","金","土")&amp;")"&amp;" に切れる　もう1便を至急発注","入庫後も "&amp;TEXT($CC131,"m/d")&amp;"("&amp;CHOOSE(WEEKDAY($CC131),"日","月","火","水","木","金","土")&amp;")"&amp;" に切れる　"&amp;TEXT($CC131-N('設定'!$C$7),"m/d")&amp;"("&amp;CHOOSE(WEEKDAY($CC131-N('設定'!$C$7)),"日","月","火","水","木","金","土")&amp;")"&amp;" までに次を発注")))</f>
        <v/>
      </c>
      <c r="CP131">
        <f>IF($C131="","",IF('設定'!$C$6="","？ ①在庫を貼る に今日のCSVが貼られていない",IF($CS131=1,"－ 今日のCSVに無い（終売？）",IF($L131&lt;0,"● 在庫がマイナス　数えて「数えた在庫」に入れる",IF($L131=0,"● 在庫なし　至急発注",IF($M131="","？ 減り数が未設定（商品マスタ）",IF($B$3=0,"？ 動員が未入力（動員を入れる）",IF($CA131="","○ 14日以上もつ",IF($BZ131&lt;N('設定'!$C$7),"● "&amp;TEXT($CA131,"m/d")&amp;"("&amp;CHOOSE(WEEKDAY($CA131),"日","月","火","水","木","金","土")&amp;")"&amp;" に切れる　至急発注",IF($BZ131=N('設定'!$C$7),"● "&amp;TEXT($CA131,"m/d")&amp;"("&amp;CHOOSE(WEEKDAY($CA131),"日","月","火","水","木","金","土")&amp;")"&amp;" に切れる　今日発注","△ "&amp;TEXT($CA131,"m/d")&amp;"("&amp;CHOOSE(WEEKDAY($CA131),"日","月","火","水","木","金","土")&amp;")"&amp;" に切れる　"&amp;TEXT($CA131-N('設定'!$C$7),"m/d")&amp;"("&amp;CHOOSE(WEEKDAY($CA131-N('設定'!$C$7)),"日","月","火","水","木","金","土")&amp;")"&amp;" までに発注"))))))))))</f>
        <v/>
      </c>
      <c r="CQ131">
        <f>IF($C131="","",IF(AND($P131="",$Q131="",$S131="",$T131=""),"",IF(AND($P131="",$Q131=""),"⚠ 先に1便目（左の入庫日・入庫数）に入れてください",IF($CI131&lt;&gt;"",$CI131,IF($CJ131&lt;&gt;"",$CJ131,IF($M131="","？ 減り数が未設定（発注書には載ります）",IF($B$3=0,"？ 動員が未入力（発注書には載ります）",IF(AND($CA131&lt;&gt;"",$P131&gt;$CA131),IF($P131&gt;'設定'!$C$6+N('設定'!$C$7),"● "&amp;TEXT($P131,"m/d")&amp;"("&amp;CHOOSE(WEEKDAY($P131),"日","月","火","水","木","金","土")&amp;")"&amp;" の入庫では間に合わない（"&amp;TEXT($CA131,"m/d")&amp;"("&amp;CHOOSE(WEEKDAY($CA131),"日","月","火","水","木","金","土")&amp;")"&amp;" に切れる）　入庫日を早める","△ 欠品 "&amp;TEXT($CA131,"m/d")&amp;"("&amp;CHOOSE(WEEKDAY($CA131),"日","月","火","水","木","金","土")&amp;")"&amp;"〜"&amp;TEXT($P131-1,"m/d")&amp;"("&amp;CHOOSE(WEEKDAY($P131-1),"日","月","火","水","木","金","土")&amp;")"&amp;"　"&amp;$CO131),IF($CC131="","○ "&amp;TEXT($P131,"m/d")&amp;"("&amp;CHOOSE(WEEKDAY($P131),"日","月","火","水","木","金","土")&amp;")"&amp;" 入庫で 14日以上もつ",IF($CC131-N('設定'!$C$7)&lt;='設定'!$C$6,"● 入庫しても "&amp;TEXT($CC131,"m/d")&amp;"("&amp;CHOOSE(WEEKDAY($CC131),"日","月","火","水","木","金","土")&amp;")"&amp;" に切れる　もう1便を至急発注（2便目に入れる）","△ 入庫しても "&amp;TEXT($CC131,"m/d")&amp;"("&amp;CHOOSE(WEEKDAY($CC131),"日","月","火","水","木","金","土")&amp;")"&amp;" に切れる　"&amp;TEXT($CC131-N('設定'!$C$7),"m/d")&amp;"("&amp;CHOOSE(WEEKDAY($CC131-N('設定'!$C$7)),"日","月","火","水","木","金","土")&amp;")"&amp;" までに次を発注（2便目に入れる）"))))))))))</f>
        <v/>
      </c>
      <c r="CR131">
        <f>IF($C131="","",IF($G131&gt;1,"ｹｰｽ("&amp;$G131&amp;"入)","個"))</f>
        <v/>
      </c>
      <c r="CS131">
        <f>IF($C131="",0,IF(COUNTIFS('①在庫を貼る'!$V$6:$V$10005,'設定'!$C$4,'①在庫を貼る'!$W$6:$W$10005,$C131)=0,1,0))</f>
        <v/>
      </c>
      <c r="CT131">
        <f>IF(AND($CK131=1,OR('③発注書'!$C$4="すべて",'③発注書'!$C$4="",$F131='③発注書'!$C$4)),N($CT130)+1,N($CT130))</f>
        <v/>
      </c>
      <c r="CU131">
        <f>IF(AND($CL131=1,OR('③発注書'!$C$4="すべて",'③発注書'!$C$4="",$F131='③発注書'!$C$4)),N($CU130)+1,N($CU130))</f>
        <v/>
      </c>
      <c r="CV131">
        <f>IF($C131="",0,IF(COUNTIFS('①在庫を貼る'!$V$6:$V$10005,'設定'!$C$4,'①在庫を貼る'!$W$6:$W$10005,$C131)&gt;0,1,0))</f>
        <v/>
      </c>
      <c r="CW131">
        <f>IF($C131="",0,IF(COUNTIFS('月1回_1ヶ月前の在庫'!$V$6:$V$10005,'設定'!$C$4,'月1回_1ヶ月前の在庫'!$W$6:$W$10005,$C131)&gt;0,1,0))</f>
        <v/>
      </c>
      <c r="CX131">
        <f>IF($C131="",0,IF(COUNTIFS('月1回_2ヶ月前の在庫'!$V$6:$V$10005,'設定'!$C$4,'月1回_2ヶ月前の在庫'!$W$6:$W$10005,$C131)&gt;0,1,0))</f>
        <v/>
      </c>
      <c r="CY131">
        <f>IF(OR($C131="",'設定'!$C$12=""),"",IF('設定'!$C$13="",IF(AND($CV131=1,$CW131=0),"新商品（今月から）",IF(AND($CV131=0,$CW131=1),"終売（今月から）","")),IF(AND($CV131=1,$CW131=0,$CX131=0),"新商品（今月から）",IF(AND($CV131=1,$CW131=1,$CX131=0),"新商品（先月から）",IF(AND($CV131=0,$CW131=1,$CX131=1),"終売（今月から）",IF(AND($CV131=0,$CW131=0,$CX131=1),"終売（先月から）",IF(AND($CV131=1,$CW131=0,$CX131=1),"復活（先月は無し）","")))))))</f>
        <v/>
      </c>
    </row>
    <row r="132">
      <c r="B132">
        <f>IF(127&lt;='設定'!$C$11,127,"")</f>
        <v/>
      </c>
      <c r="C132">
        <f>IF($B132="","",IF($B132&lt;='設定'!$C$20,INDEX('商品マスタ'!$B$6:$B$1005,MATCH($B132,'商品マスタ'!$M$6:$M$1005,0)),IF($B132&lt;='設定'!$C$20+'設定'!$C$17,INDEX('①在庫を貼る'!$W$6:$W$10005,MATCH($B132-'設定'!$C$20,'①在庫を貼る'!$U$6:$U$10005,0)),IF($B132&lt;='設定'!$C$20+'設定'!$C$17+'設定'!$C$18,INDEX('月1回_1ヶ月前の在庫'!$W$6:$W$10005,MATCH($B132-'設定'!$C$20-'設定'!$C$17,'月1回_1ヶ月前の在庫'!$U$6:$U$10005,0)),INDEX('月1回_2ヶ月前の在庫'!$W$6:$W$10005,MATCH($B132-'設定'!$C$20-'設定'!$C$17-'設定'!$C$18,'月1回_2ヶ月前の在庫'!$U$6:$U$10005,0))))))</f>
        <v/>
      </c>
      <c r="D132">
        <f>IF($C132="","",IFERROR(IF(INDEX('商品マスタ'!$C$6:$C$1005,MATCH($C132,'商品マスタ'!$B$6:$B$1005,0))="",IFERROR(INDEX('①在庫を貼る'!$J$6:$J$10005,MATCH($C132,'①在庫を貼る'!$W$6:$W$10005,0)),IFERROR(INDEX('月1回_1ヶ月前の在庫'!$J$6:$J$10005,MATCH($C132,'月1回_1ヶ月前の在庫'!$W$6:$W$10005,0)),IFERROR(INDEX('月1回_2ヶ月前の在庫'!$J$6:$J$10005,MATCH($C132,'月1回_2ヶ月前の在庫'!$W$6:$W$10005,0)),""))),INDEX('商品マスタ'!$C$6:$C$1005,MATCH($C132,'商品マスタ'!$B$6:$B$1005,0))),IFERROR(INDEX('①在庫を貼る'!$J$6:$J$10005,MATCH($C132,'①在庫を貼る'!$W$6:$W$10005,0)),IFERROR(INDEX('月1回_1ヶ月前の在庫'!$J$6:$J$10005,MATCH($C132,'月1回_1ヶ月前の在庫'!$W$6:$W$10005,0)),IFERROR(INDEX('月1回_2ヶ月前の在庫'!$J$6:$J$10005,MATCH($C132,'月1回_2ヶ月前の在庫'!$W$6:$W$10005,0)),"")))))</f>
        <v/>
      </c>
      <c r="E132">
        <f>IF($C132="","",IFERROR(IF(INDEX('商品マスタ'!$D$6:$D$1005,MATCH($C132,'商品マスタ'!$B$6:$B$1005,0))="",IFERROR(INDEX('①在庫を貼る'!$H$6:$H$10005,MATCH($C132,'①在庫を貼る'!$W$6:$W$10005,0)),IFERROR(INDEX('月1回_1ヶ月前の在庫'!$H$6:$H$10005,MATCH($C132,'月1回_1ヶ月前の在庫'!$W$6:$W$10005,0)),IFERROR(INDEX('月1回_2ヶ月前の在庫'!$H$6:$H$10005,MATCH($C132,'月1回_2ヶ月前の在庫'!$W$6:$W$10005,0)),""))),INDEX('商品マスタ'!$D$6:$D$1005,MATCH($C132,'商品マスタ'!$B$6:$B$1005,0))),IFERROR(INDEX('①在庫を貼る'!$H$6:$H$10005,MATCH($C132,'①在庫を貼る'!$W$6:$W$10005,0)),IFERROR(INDEX('月1回_1ヶ月前の在庫'!$H$6:$H$10005,MATCH($C132,'月1回_1ヶ月前の在庫'!$W$6:$W$10005,0)),IFERROR(INDEX('月1回_2ヶ月前の在庫'!$H$6:$H$10005,MATCH($C132,'月1回_2ヶ月前の在庫'!$W$6:$W$10005,0)),"")))))</f>
        <v/>
      </c>
      <c r="F132">
        <f>IF($C132="","",IFERROR(IF(INDEX('商品マスタ'!$E$6:$E$1005,MATCH($C132,'商品マスタ'!$B$6:$B$1005,0))="",IFERROR(INDEX('①在庫を貼る'!$E$6:$E$10005,MATCH($C132,'①在庫を貼る'!$W$6:$W$10005,0)),IFERROR(INDEX('月1回_1ヶ月前の在庫'!$E$6:$E$10005,MATCH($C132,'月1回_1ヶ月前の在庫'!$W$6:$W$10005,0)),IFERROR(INDEX('月1回_2ヶ月前の在庫'!$E$6:$E$10005,MATCH($C132,'月1回_2ヶ月前の在庫'!$W$6:$W$10005,0)),""))),INDEX('商品マスタ'!$E$6:$E$1005,MATCH($C132,'商品マスタ'!$B$6:$B$1005,0))),IFERROR(INDEX('①在庫を貼る'!$E$6:$E$10005,MATCH($C132,'①在庫を貼る'!$W$6:$W$10005,0)),IFERROR(INDEX('月1回_1ヶ月前の在庫'!$E$6:$E$10005,MATCH($C132,'月1回_1ヶ月前の在庫'!$W$6:$W$10005,0)),IFERROR(INDEX('月1回_2ヶ月前の在庫'!$E$6:$E$10005,MATCH($C132,'月1回_2ヶ月前の在庫'!$W$6:$W$10005,0)),"")))))</f>
        <v/>
      </c>
      <c r="G132">
        <f>IF($C132="","",MAX(1,N(IFERROR(IF(INDEX('商品マスタ'!$F$6:$F$1005,MATCH($C132,'商品マスタ'!$B$6:$B$1005,0))="",IF(COUNTIFS('①在庫を貼る'!$V$6:$V$10005,'設定'!$C$4,'①在庫を貼る'!$W$6:$W$10005,$C132)&gt;0,SUMIFS('①在庫を貼る'!$K$6:$K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K$6:$K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K$6:$K$10005,'月1回_2ヶ月前の在庫'!$V$6:$V$10005,'設定'!$C$4,'月1回_2ヶ月前の在庫'!$W$6:$W$10005,$C132)/COUNTIFS('月1回_2ヶ月前の在庫'!$V$6:$V$10005,'設定'!$C$4,'月1回_2ヶ月前の在庫'!$W$6:$W$10005,$C132),0))),INDEX('商品マスタ'!$F$6:$F$1005,MATCH($C132,'商品マスタ'!$B$6:$B$1005,0))),IF(COUNTIFS('①在庫を貼る'!$V$6:$V$10005,'設定'!$C$4,'①在庫を貼る'!$W$6:$W$10005,$C132)&gt;0,SUMIFS('①在庫を貼る'!$K$6:$K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K$6:$K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K$6:$K$10005,'月1回_2ヶ月前の在庫'!$V$6:$V$10005,'設定'!$C$4,'月1回_2ヶ月前の在庫'!$W$6:$W$10005,$C132)/COUNTIFS('月1回_2ヶ月前の在庫'!$V$6:$V$10005,'設定'!$C$4,'月1回_2ヶ月前の在庫'!$W$6:$W$10005,$C132),0)))))))</f>
        <v/>
      </c>
      <c r="H132">
        <f>IF($C132="","",N(IFERROR(IF(INDEX('商品マスタ'!$G$6:$G$1005,MATCH($C132,'商品マスタ'!$B$6:$B$1005,0))="",IF(COUNTIFS('①在庫を貼る'!$V$6:$V$10005,'設定'!$C$4,'①在庫を貼る'!$W$6:$W$10005,$C132)&gt;0,SUMIFS('①在庫を貼る'!$Q$6:$Q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Q$6:$Q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Q$6:$Q$10005,'月1回_2ヶ月前の在庫'!$V$6:$V$10005,'設定'!$C$4,'月1回_2ヶ月前の在庫'!$W$6:$W$10005,$C132)/COUNTIFS('月1回_2ヶ月前の在庫'!$V$6:$V$10005,'設定'!$C$4,'月1回_2ヶ月前の在庫'!$W$6:$W$10005,$C132),0))),INDEX('商品マスタ'!$G$6:$G$1005,MATCH($C132,'商品マスタ'!$B$6:$B$1005,0))),IF(COUNTIFS('①在庫を貼る'!$V$6:$V$10005,'設定'!$C$4,'①在庫を貼る'!$W$6:$W$10005,$C132)&gt;0,SUMIFS('①在庫を貼る'!$Q$6:$Q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Q$6:$Q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Q$6:$Q$10005,'月1回_2ヶ月前の在庫'!$V$6:$V$10005,'設定'!$C$4,'月1回_2ヶ月前の在庫'!$W$6:$W$10005,$C132)/COUNTIFS('月1回_2ヶ月前の在庫'!$V$6:$V$10005,'設定'!$C$4,'月1回_2ヶ月前の在庫'!$W$6:$W$10005,$C132),0))))))</f>
        <v/>
      </c>
      <c r="I132">
        <f>IF($C132="","",IF(COUNTIFS('①在庫を貼る'!$V$6:$V$10005,'設定'!$C$4,'①在庫を貼る'!$W$6:$W$10005,$C132)=0,"",SUMIFS('①在庫を貼る'!$N$6:$N$10005,'①在庫を貼る'!$V$6:$V$10005,'設定'!$C$4,'①在庫を貼る'!$W$6:$W$10005,$C132)))</f>
        <v/>
      </c>
      <c r="J132">
        <f>IF($C132="","",IF('②発注する'!$AD136="","",'②発注する'!$AD136))</f>
        <v/>
      </c>
      <c r="K132" s="90">
        <f>IF($C132="","",IF('②発注する'!$AE136="","",'②発注する'!$AE136))</f>
        <v/>
      </c>
      <c r="L132">
        <f>IF($C132="","",IF(AND(ISNUMBER($J132),ISNUMBER($K132),$K132&gt;='設定'!$C$6),$J132,N($I132)))</f>
        <v/>
      </c>
      <c r="M132">
        <f>IF($C132="","",IFERROR(IF(N(INDEX('商品マスタ'!$J$6:$J$1005,MATCH($C132,'商品マスタ'!$B$6:$B$1005,0)))&gt;0,INDEX('商品マスタ'!$J$6:$J$1005,MATCH($C132,'商品マスタ'!$B$6:$B$1005,0)),""),""))</f>
        <v/>
      </c>
      <c r="N132">
        <f>IF($C132="","",IFERROR(IF(N(INDEX('商品マスタ'!$H$6:$H$1005,MATCH($C132,'商品マスタ'!$B$6:$B$1005,0)))&gt;0,INDEX('商品マスタ'!$H$6:$H$1005,MATCH($C132,'商品マスタ'!$B$6:$B$1005,0)),""),""))</f>
        <v/>
      </c>
      <c r="O132">
        <f>IF($C132="","",IF($N132&lt;&gt;"",$N132*$G132,IF(N(IF(COUNTIFS('①在庫を貼る'!$V$6:$V$10005,'設定'!$C$4,'①在庫を貼る'!$W$6:$W$10005,$C132)&gt;0,SUMIFS('①在庫を貼る'!$O$6:$O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O$6:$O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O$6:$O$10005,'月1回_2ヶ月前の在庫'!$V$6:$V$10005,'設定'!$C$4,'月1回_2ヶ月前の在庫'!$W$6:$W$10005,$C132)/COUNTIFS('月1回_2ヶ月前の在庫'!$V$6:$V$10005,'設定'!$C$4,'月1回_2ヶ月前の在庫'!$W$6:$W$10005,$C132),0))))&gt;0,N(IF(COUNTIFS('①在庫を貼る'!$V$6:$V$10005,'設定'!$C$4,'①在庫を貼る'!$W$6:$W$10005,$C132)&gt;0,SUMIFS('①在庫を貼る'!$O$6:$O$10005,'①在庫を貼る'!$V$6:$V$10005,'設定'!$C$4,'①在庫を貼る'!$W$6:$W$10005,$C132)/COUNTIFS('①在庫を貼る'!$V$6:$V$10005,'設定'!$C$4,'①在庫を貼る'!$W$6:$W$10005,$C132),IF(COUNTIFS('月1回_1ヶ月前の在庫'!$V$6:$V$10005,'設定'!$C$4,'月1回_1ヶ月前の在庫'!$W$6:$W$10005,$C132)&gt;0,SUMIFS('月1回_1ヶ月前の在庫'!$O$6:$O$10005,'月1回_1ヶ月前の在庫'!$V$6:$V$10005,'設定'!$C$4,'月1回_1ヶ月前の在庫'!$W$6:$W$10005,$C132)/COUNTIFS('月1回_1ヶ月前の在庫'!$V$6:$V$10005,'設定'!$C$4,'月1回_1ヶ月前の在庫'!$W$6:$W$10005,$C132),IF(COUNTIFS('月1回_2ヶ月前の在庫'!$V$6:$V$10005,'設定'!$C$4,'月1回_2ヶ月前の在庫'!$W$6:$W$10005,$C132)&gt;0,SUMIFS('月1回_2ヶ月前の在庫'!$O$6:$O$10005,'月1回_2ヶ月前の在庫'!$V$6:$V$10005,'設定'!$C$4,'月1回_2ヶ月前の在庫'!$W$6:$W$10005,$C132)/COUNTIFS('月1回_2ヶ月前の在庫'!$V$6:$V$10005,'設定'!$C$4,'月1回_2ヶ月前の在庫'!$W$6:$W$10005,$C132),0)))),"")))</f>
        <v/>
      </c>
      <c r="P132" s="90">
        <f>IF($C132="","",IF('②発注する'!$I136="","",'②発注する'!$I136))</f>
        <v/>
      </c>
      <c r="Q132">
        <f>IF($C132="","",IF('②発注する'!$J136="","",'②発注する'!$J136))</f>
        <v/>
      </c>
      <c r="R132">
        <f>IF($C132="",0,IF(AND(ISNUMBER($P132),ISNUMBER($Q132)),MAX(0,$Q132)*$G132,0))</f>
        <v/>
      </c>
      <c r="S132" s="90">
        <f>IF($C132="","",IF('②発注する'!$M136="","",'②発注する'!$M136))</f>
        <v/>
      </c>
      <c r="T132">
        <f>IF($C132="","",IF('②発注する'!$N136="","",'②発注する'!$N136))</f>
        <v/>
      </c>
      <c r="U132">
        <f>IF($C132="",0,IF(AND(ISNUMBER($S132),ISNUMBER($T132)),MAX(0,$T132)*$G132,0))</f>
        <v/>
      </c>
      <c r="V132">
        <f>IF($C132="",0,IF($M132="",0,MAX(0,$M132)*MAX(0,V$4)/100))</f>
        <v/>
      </c>
      <c r="W132">
        <f>IF($C132="",0,IF($M132="",0,MAX(0,$M132)*MAX(0,W$4)/100))</f>
        <v/>
      </c>
      <c r="X132">
        <f>IF($C132="",0,IF($M132="",0,MAX(0,$M132)*MAX(0,X$4)/100))</f>
        <v/>
      </c>
      <c r="Y132">
        <f>IF($C132="",0,IF($M132="",0,MAX(0,$M132)*MAX(0,Y$4)/100))</f>
        <v/>
      </c>
      <c r="Z132">
        <f>IF($C132="",0,IF($M132="",0,MAX(0,$M132)*MAX(0,Z$4)/100))</f>
        <v/>
      </c>
      <c r="AA132">
        <f>IF($C132="",0,IF($M132="",0,MAX(0,$M132)*MAX(0,AA$4)/100))</f>
        <v/>
      </c>
      <c r="AB132">
        <f>IF($C132="",0,IF($M132="",0,MAX(0,$M132)*MAX(0,AB$4)/100))</f>
        <v/>
      </c>
      <c r="AC132">
        <f>IF($C132="",0,IF($M132="",0,MAX(0,$M132)*MAX(0,AC$4)/100))</f>
        <v/>
      </c>
      <c r="AD132">
        <f>IF($C132="",0,IF($M132="",0,MAX(0,$M132)*MAX(0,AD$4)/100))</f>
        <v/>
      </c>
      <c r="AE132">
        <f>IF($C132="",0,IF($M132="",0,MAX(0,$M132)*MAX(0,AE$4)/100))</f>
        <v/>
      </c>
      <c r="AF132">
        <f>IF($C132="",0,IF($M132="",0,MAX(0,$M132)*MAX(0,AF$4)/100))</f>
        <v/>
      </c>
      <c r="AG132">
        <f>IF($C132="",0,IF($M132="",0,MAX(0,$M132)*MAX(0,AG$4)/100))</f>
        <v/>
      </c>
      <c r="AH132">
        <f>IF($C132="",0,IF($M132="",0,MAX(0,$M132)*MAX(0,AH$4)/100))</f>
        <v/>
      </c>
      <c r="AI132">
        <f>IF($C132="",0,IF($M132="",0,MAX(0,$M132)*MAX(0,AI$4)/100))</f>
        <v/>
      </c>
      <c r="AJ132">
        <f>IF($C132="",0,MAX(0,MAX(0,N($L132))-$V132))</f>
        <v/>
      </c>
      <c r="AK132">
        <f>IF($C132="",0,MAX(0,$AJ132-$W132))</f>
        <v/>
      </c>
      <c r="AL132">
        <f>IF($C132="",0,MAX(0,$AK132-$X132))</f>
        <v/>
      </c>
      <c r="AM132">
        <f>IF($C132="",0,MAX(0,$AL132-$Y132))</f>
        <v/>
      </c>
      <c r="AN132">
        <f>IF($C132="",0,MAX(0,$AM132-$Z132))</f>
        <v/>
      </c>
      <c r="AO132">
        <f>IF($C132="",0,MAX(0,$AN132-$AA132))</f>
        <v/>
      </c>
      <c r="AP132">
        <f>IF($C132="",0,MAX(0,$AO132-$AB132))</f>
        <v/>
      </c>
      <c r="AQ132">
        <f>IF($C132="",0,MAX(0,$AP132-$AC132))</f>
        <v/>
      </c>
      <c r="AR132">
        <f>IF($C132="",0,MAX(0,$AQ132-$AD132))</f>
        <v/>
      </c>
      <c r="AS132">
        <f>IF($C132="",0,MAX(0,$AR132-$AE132))</f>
        <v/>
      </c>
      <c r="AT132">
        <f>IF($C132="",0,MAX(0,$AS132-$AF132))</f>
        <v/>
      </c>
      <c r="AU132">
        <f>IF($C132="",0,MAX(0,$AT132-$AG132))</f>
        <v/>
      </c>
      <c r="AV132">
        <f>IF($C132="",0,MAX(0,$AU132-$AH132))</f>
        <v/>
      </c>
      <c r="AW132">
        <f>IF($C132="",0,MAX(0,$AV132-$AI132))</f>
        <v/>
      </c>
      <c r="AX132">
        <f>IF($C132="",0,MAX(0,MAX(0,N($L132))+IF($P132=V$3,$R132,0)+IF($S132=V$3,$U132,0)-$V132))</f>
        <v/>
      </c>
      <c r="AY132">
        <f>IF($C132="",0,MAX(0,$AX132+IF($P132=W$3,$R132,0)+IF($S132=W$3,$U132,0)-$W132))</f>
        <v/>
      </c>
      <c r="AZ132">
        <f>IF($C132="",0,MAX(0,$AY132+IF($P132=X$3,$R132,0)+IF($S132=X$3,$U132,0)-$X132))</f>
        <v/>
      </c>
      <c r="BA132">
        <f>IF($C132="",0,MAX(0,$AZ132+IF($P132=Y$3,$R132,0)+IF($S132=Y$3,$U132,0)-$Y132))</f>
        <v/>
      </c>
      <c r="BB132">
        <f>IF($C132="",0,MAX(0,$BA132+IF($P132=Z$3,$R132,0)+IF($S132=Z$3,$U132,0)-$Z132))</f>
        <v/>
      </c>
      <c r="BC132">
        <f>IF($C132="",0,MAX(0,$BB132+IF($P132=AA$3,$R132,0)+IF($S132=AA$3,$U132,0)-$AA132))</f>
        <v/>
      </c>
      <c r="BD132">
        <f>IF($C132="",0,MAX(0,$BC132+IF($P132=AB$3,$R132,0)+IF($S132=AB$3,$U132,0)-$AB132))</f>
        <v/>
      </c>
      <c r="BE132">
        <f>IF($C132="",0,MAX(0,$BD132+IF($P132=AC$3,$R132,0)+IF($S132=AC$3,$U132,0)-$AC132))</f>
        <v/>
      </c>
      <c r="BF132">
        <f>IF($C132="",0,MAX(0,$BE132+IF($P132=AD$3,$R132,0)+IF($S132=AD$3,$U132,0)-$AD132))</f>
        <v/>
      </c>
      <c r="BG132">
        <f>IF($C132="",0,MAX(0,$BF132+IF($P132=AE$3,$R132,0)+IF($S132=AE$3,$U132,0)-$AE132))</f>
        <v/>
      </c>
      <c r="BH132">
        <f>IF($C132="",0,MAX(0,$BG132+IF($P132=AF$3,$R132,0)+IF($S132=AF$3,$U132,0)-$AF132))</f>
        <v/>
      </c>
      <c r="BI132">
        <f>IF($C132="",0,MAX(0,$BH132+IF($P132=AG$3,$R132,0)+IF($S132=AG$3,$U132,0)-$AG132))</f>
        <v/>
      </c>
      <c r="BJ132">
        <f>IF($C132="",0,MAX(0,$BI132+IF($P132=AH$3,$R132,0)+IF($S132=AH$3,$U132,0)-$AH132))</f>
        <v/>
      </c>
      <c r="BK132">
        <f>IF($C132="",0,MAX(0,$BJ132+IF($P132=AI$3,$R132,0)+IF($S132=AI$3,$U132,0)-$AI132))</f>
        <v/>
      </c>
      <c r="BL132">
        <f>IF($C132="",99,IF(AND($AX132&lt;1,V$3&gt;=MAX(N($P132),N($S132))),0,99))</f>
        <v/>
      </c>
      <c r="BM132">
        <f>IF($C132="",99,IF(AND($AY132&lt;1,W$3&gt;=MAX(N($P132),N($S132))),1,99))</f>
        <v/>
      </c>
      <c r="BN132">
        <f>IF($C132="",99,IF(AND($AZ132&lt;1,X$3&gt;=MAX(N($P132),N($S132))),2,99))</f>
        <v/>
      </c>
      <c r="BO132">
        <f>IF($C132="",99,IF(AND($BA132&lt;1,Y$3&gt;=MAX(N($P132),N($S132))),3,99))</f>
        <v/>
      </c>
      <c r="BP132">
        <f>IF($C132="",99,IF(AND($BB132&lt;1,Z$3&gt;=MAX(N($P132),N($S132))),4,99))</f>
        <v/>
      </c>
      <c r="BQ132">
        <f>IF($C132="",99,IF(AND($BC132&lt;1,AA$3&gt;=MAX(N($P132),N($S132))),5,99))</f>
        <v/>
      </c>
      <c r="BR132">
        <f>IF($C132="",99,IF(AND($BD132&lt;1,AB$3&gt;=MAX(N($P132),N($S132))),6,99))</f>
        <v/>
      </c>
      <c r="BS132">
        <f>IF($C132="",99,IF(AND($BE132&lt;1,AC$3&gt;=MAX(N($P132),N($S132))),7,99))</f>
        <v/>
      </c>
      <c r="BT132">
        <f>IF($C132="",99,IF(AND($BF132&lt;1,AD$3&gt;=MAX(N($P132),N($S132))),8,99))</f>
        <v/>
      </c>
      <c r="BU132">
        <f>IF($C132="",99,IF(AND($BG132&lt;1,AE$3&gt;=MAX(N($P132),N($S132))),9,99))</f>
        <v/>
      </c>
      <c r="BV132">
        <f>IF($C132="",99,IF(AND($BH132&lt;1,AF$3&gt;=MAX(N($P132),N($S132))),10,99))</f>
        <v/>
      </c>
      <c r="BW132">
        <f>IF($C132="",99,IF(AND($BI132&lt;1,AG$3&gt;=MAX(N($P132),N($S132))),11,99))</f>
        <v/>
      </c>
      <c r="BX132">
        <f>IF($C132="",99,IF(AND($BJ132&lt;1,AH$3&gt;=MAX(N($P132),N($S132))),12,99))</f>
        <v/>
      </c>
      <c r="BY132">
        <f>IF($C132="",99,IF(AND($BK132&lt;1,AI$3&gt;=MAX(N($P132),N($S132))),13,99))</f>
        <v/>
      </c>
      <c r="BZ132">
        <f>IF(OR($C132="",$M132=""),"",COUNTIF($AJ132:$AW132,"&gt;=1"))</f>
        <v/>
      </c>
      <c r="CA132" s="90">
        <f>IF($BZ132="","",IF($BZ132&gt;=14,"",'設定'!$C$6+$BZ132))</f>
        <v/>
      </c>
      <c r="CB132">
        <f>IF(OR($C132="",$M132=""),"",MIN($BL132:$BY132))</f>
        <v/>
      </c>
      <c r="CC132" s="90">
        <f>IF($CB132="","",IF($CB132&gt;=99,"",'設定'!$C$6+$CB132))</f>
        <v/>
      </c>
      <c r="CD132">
        <f>IF(OR($C132="",$M132=""),"",AVERAGE($V132:$AI132))</f>
        <v/>
      </c>
      <c r="CE132">
        <f>IF($C132="","",IFERROR(IF(MATCH(IF(ISNUMBER($P132),$P132,'設定'!$C$6+N('設定'!$C$7)),$V$3:$AI$3,0)=1,MAX(0,N($L132)),INDEX($AJ132:$AW132,MATCH(IF(ISNUMBER($P132),$P132,'設定'!$C$6+N('設定'!$C$7)),$V$3:$AI$3,0)-1)),""))</f>
        <v/>
      </c>
      <c r="CF132">
        <f>IF(OR($C132="",$O132="",$CE132=""),"",IF($O132-$CE132&lt;=0,0,ROUNDUP(($O132-$CE132)/$G132,0)))</f>
        <v/>
      </c>
      <c r="CG132">
        <f>IF(OR($C132="",$CF132="",NOT(ISNUMBER($Q132))),0,MAX(0,$Q132-$CF132))</f>
        <v/>
      </c>
      <c r="CH132">
        <f>IF(OR($C132="",$O132="",$U132=0),0,IFERROR(ROUNDUP(MAX(0,IF(MATCH($S132,$V$3:$AI$3,0)=1,MAX(0,N($L132)),INDEX($AX132:$BK132,MATCH($S132,$V$3:$AI$3,0)-1))+$U132-$O132)/$G132,0),0))</f>
        <v/>
      </c>
      <c r="CI132">
        <f>IF($C132="","",IF(AND($P132="",$Q132=""),"",IF($P132="","⚠ 入庫日を ▼ から選んでください",IF(NOT(ISNUMBER($P132)),"⚠ 入庫日は ▼ から選んでください",IF($P132&lt;N('設定'!$C$6),"⚠ 入庫日が過去です（もう在庫に入っています）→ 消してください",IF($P132&gt;N('設定'!$C$6)+13,"⚠ 入庫日が14日より先です",IF(N($Q132)&lt;=0,"⚠ 入庫数を入れてください",IF($CG132&gt;0,"⚠ 目安より "&amp;$CG132&amp;" 多い（定数を超える）→ 減らす",""))))))))</f>
        <v/>
      </c>
      <c r="CJ132">
        <f>IF($C132="","",IF(AND($S132="",$T132=""),"",IF($S132="","⚠ 2便目：入庫日を ▼ から選んでください",IF(NOT(ISNUMBER($S132)),"⚠ 2便目：入庫日は ▼ から選んでください",IF($S132&lt;N('設定'!$C$6),"⚠ 2便目：入庫日が過去です（もう在庫に入っています）→ 消してください",IF($S132&gt;N('設定'!$C$6)+13,"⚠ 2便目：入庫日が14日より先です",IF(N($T132)&lt;=0,"⚠ 2便目：入庫数を入れてください",IF($CH132&gt;0,"⚠ 2便目：定数を "&amp;$CH132&amp;" ケース超える → 減らす",""))))))))</f>
        <v/>
      </c>
      <c r="CK132">
        <f>IF(AND($CI132="",N($Q132)&gt;0,ISNUMBER($P132)),1,0)</f>
        <v/>
      </c>
      <c r="CL132">
        <f>IF(AND($CJ132="",N($T132)&gt;0,ISNUMBER($S132)),1,0)</f>
        <v/>
      </c>
      <c r="CM132">
        <f>IF(OR($CK132=1,$CL132=1),1,0)</f>
        <v/>
      </c>
      <c r="CN132">
        <f>IF($C132="",0,($CK132*$R132+$CL132*$U132)*N($H132))</f>
        <v/>
      </c>
      <c r="CO132">
        <f>IF($C132="","",IF($CC132="","入庫後は 14日以上もつ",IF($CC132-N('設定'!$C$7)&lt;='設定'!$C$6,"入庫後も "&amp;TEXT($CC132,"m/d")&amp;"("&amp;CHOOSE(WEEKDAY($CC132),"日","月","火","水","木","金","土")&amp;")"&amp;" に切れる　もう1便を至急発注","入庫後も "&amp;TEXT($CC132,"m/d")&amp;"("&amp;CHOOSE(WEEKDAY($CC132),"日","月","火","水","木","金","土")&amp;")"&amp;" に切れる　"&amp;TEXT($CC132-N('設定'!$C$7),"m/d")&amp;"("&amp;CHOOSE(WEEKDAY($CC132-N('設定'!$C$7)),"日","月","火","水","木","金","土")&amp;")"&amp;" までに次を発注")))</f>
        <v/>
      </c>
      <c r="CP132">
        <f>IF($C132="","",IF('設定'!$C$6="","？ ①在庫を貼る に今日のCSVが貼られていない",IF($CS132=1,"－ 今日のCSVに無い（終売？）",IF($L132&lt;0,"● 在庫がマイナス　数えて「数えた在庫」に入れる",IF($L132=0,"● 在庫なし　至急発注",IF($M132="","？ 減り数が未設定（商品マスタ）",IF($B$3=0,"？ 動員が未入力（動員を入れる）",IF($CA132="","○ 14日以上もつ",IF($BZ132&lt;N('設定'!$C$7),"● "&amp;TEXT($CA132,"m/d")&amp;"("&amp;CHOOSE(WEEKDAY($CA132),"日","月","火","水","木","金","土")&amp;")"&amp;" に切れる　至急発注",IF($BZ132=N('設定'!$C$7),"● "&amp;TEXT($CA132,"m/d")&amp;"("&amp;CHOOSE(WEEKDAY($CA132),"日","月","火","水","木","金","土")&amp;")"&amp;" に切れる　今日発注","△ "&amp;TEXT($CA132,"m/d")&amp;"("&amp;CHOOSE(WEEKDAY($CA132),"日","月","火","水","木","金","土")&amp;")"&amp;" に切れる　"&amp;TEXT($CA132-N('設定'!$C$7),"m/d")&amp;"("&amp;CHOOSE(WEEKDAY($CA132-N('設定'!$C$7)),"日","月","火","水","木","金","土")&amp;")"&amp;" までに発注"))))))))))</f>
        <v/>
      </c>
      <c r="CQ132">
        <f>IF($C132="","",IF(AND($P132="",$Q132="",$S132="",$T132=""),"",IF(AND($P132="",$Q132=""),"⚠ 先に1便目（左の入庫日・入庫数）に入れてください",IF($CI132&lt;&gt;"",$CI132,IF($CJ132&lt;&gt;"",$CJ132,IF($M132="","？ 減り数が未設定（発注書には載ります）",IF($B$3=0,"？ 動員が未入力（発注書には載ります）",IF(AND($CA132&lt;&gt;"",$P132&gt;$CA132),IF($P132&gt;'設定'!$C$6+N('設定'!$C$7),"● "&amp;TEXT($P132,"m/d")&amp;"("&amp;CHOOSE(WEEKDAY($P132),"日","月","火","水","木","金","土")&amp;")"&amp;" の入庫では間に合わない（"&amp;TEXT($CA132,"m/d")&amp;"("&amp;CHOOSE(WEEKDAY($CA132),"日","月","火","水","木","金","土")&amp;")"&amp;" に切れる）　入庫日を早める","△ 欠品 "&amp;TEXT($CA132,"m/d")&amp;"("&amp;CHOOSE(WEEKDAY($CA132),"日","月","火","水","木","金","土")&amp;")"&amp;"〜"&amp;TEXT($P132-1,"m/d")&amp;"("&amp;CHOOSE(WEEKDAY($P132-1),"日","月","火","水","木","金","土")&amp;")"&amp;"　"&amp;$CO132),IF($CC132="","○ "&amp;TEXT($P132,"m/d")&amp;"("&amp;CHOOSE(WEEKDAY($P132),"日","月","火","水","木","金","土")&amp;")"&amp;" 入庫で 14日以上もつ",IF($CC132-N('設定'!$C$7)&lt;='設定'!$C$6,"● 入庫しても "&amp;TEXT($CC132,"m/d")&amp;"("&amp;CHOOSE(WEEKDAY($CC132),"日","月","火","水","木","金","土")&amp;")"&amp;" に切れる　もう1便を至急発注（2便目に入れる）","△ 入庫しても "&amp;TEXT($CC132,"m/d")&amp;"("&amp;CHOOSE(WEEKDAY($CC132),"日","月","火","水","木","金","土")&amp;")"&amp;" に切れる　"&amp;TEXT($CC132-N('設定'!$C$7),"m/d")&amp;"("&amp;CHOOSE(WEEKDAY($CC132-N('設定'!$C$7)),"日","月","火","水","木","金","土")&amp;")"&amp;" までに次を発注（2便目に入れる）"))))))))))</f>
        <v/>
      </c>
      <c r="CR132">
        <f>IF($C132="","",IF($G132&gt;1,"ｹｰｽ("&amp;$G132&amp;"入)","個"))</f>
        <v/>
      </c>
      <c r="CS132">
        <f>IF($C132="",0,IF(COUNTIFS('①在庫を貼る'!$V$6:$V$10005,'設定'!$C$4,'①在庫を貼る'!$W$6:$W$10005,$C132)=0,1,0))</f>
        <v/>
      </c>
      <c r="CT132">
        <f>IF(AND($CK132=1,OR('③発注書'!$C$4="すべて",'③発注書'!$C$4="",$F132='③発注書'!$C$4)),N($CT131)+1,N($CT131))</f>
        <v/>
      </c>
      <c r="CU132">
        <f>IF(AND($CL132=1,OR('③発注書'!$C$4="すべて",'③発注書'!$C$4="",$F132='③発注書'!$C$4)),N($CU131)+1,N($CU131))</f>
        <v/>
      </c>
      <c r="CV132">
        <f>IF($C132="",0,IF(COUNTIFS('①在庫を貼る'!$V$6:$V$10005,'設定'!$C$4,'①在庫を貼る'!$W$6:$W$10005,$C132)&gt;0,1,0))</f>
        <v/>
      </c>
      <c r="CW132">
        <f>IF($C132="",0,IF(COUNTIFS('月1回_1ヶ月前の在庫'!$V$6:$V$10005,'設定'!$C$4,'月1回_1ヶ月前の在庫'!$W$6:$W$10005,$C132)&gt;0,1,0))</f>
        <v/>
      </c>
      <c r="CX132">
        <f>IF($C132="",0,IF(COUNTIFS('月1回_2ヶ月前の在庫'!$V$6:$V$10005,'設定'!$C$4,'月1回_2ヶ月前の在庫'!$W$6:$W$10005,$C132)&gt;0,1,0))</f>
        <v/>
      </c>
      <c r="CY132">
        <f>IF(OR($C132="",'設定'!$C$12=""),"",IF('設定'!$C$13="",IF(AND($CV132=1,$CW132=0),"新商品（今月から）",IF(AND($CV132=0,$CW132=1),"終売（今月から）","")),IF(AND($CV132=1,$CW132=0,$CX132=0),"新商品（今月から）",IF(AND($CV132=1,$CW132=1,$CX132=0),"新商品（先月から）",IF(AND($CV132=0,$CW132=1,$CX132=1),"終売（今月から）",IF(AND($CV132=0,$CW132=0,$CX132=1),"終売（先月から）",IF(AND($CV132=1,$CW132=0,$CX132=1),"復活（先月は無し）","")))))))</f>
        <v/>
      </c>
    </row>
    <row r="133">
      <c r="B133">
        <f>IF(128&lt;='設定'!$C$11,128,"")</f>
        <v/>
      </c>
      <c r="C133">
        <f>IF($B133="","",IF($B133&lt;='設定'!$C$20,INDEX('商品マスタ'!$B$6:$B$1005,MATCH($B133,'商品マスタ'!$M$6:$M$1005,0)),IF($B133&lt;='設定'!$C$20+'設定'!$C$17,INDEX('①在庫を貼る'!$W$6:$W$10005,MATCH($B133-'設定'!$C$20,'①在庫を貼る'!$U$6:$U$10005,0)),IF($B133&lt;='設定'!$C$20+'設定'!$C$17+'設定'!$C$18,INDEX('月1回_1ヶ月前の在庫'!$W$6:$W$10005,MATCH($B133-'設定'!$C$20-'設定'!$C$17,'月1回_1ヶ月前の在庫'!$U$6:$U$10005,0)),INDEX('月1回_2ヶ月前の在庫'!$W$6:$W$10005,MATCH($B133-'設定'!$C$20-'設定'!$C$17-'設定'!$C$18,'月1回_2ヶ月前の在庫'!$U$6:$U$10005,0))))))</f>
        <v/>
      </c>
      <c r="D133">
        <f>IF($C133="","",IFERROR(IF(INDEX('商品マスタ'!$C$6:$C$1005,MATCH($C133,'商品マスタ'!$B$6:$B$1005,0))="",IFERROR(INDEX('①在庫を貼る'!$J$6:$J$10005,MATCH($C133,'①在庫を貼る'!$W$6:$W$10005,0)),IFERROR(INDEX('月1回_1ヶ月前の在庫'!$J$6:$J$10005,MATCH($C133,'月1回_1ヶ月前の在庫'!$W$6:$W$10005,0)),IFERROR(INDEX('月1回_2ヶ月前の在庫'!$J$6:$J$10005,MATCH($C133,'月1回_2ヶ月前の在庫'!$W$6:$W$10005,0)),""))),INDEX('商品マスタ'!$C$6:$C$1005,MATCH($C133,'商品マスタ'!$B$6:$B$1005,0))),IFERROR(INDEX('①在庫を貼る'!$J$6:$J$10005,MATCH($C133,'①在庫を貼る'!$W$6:$W$10005,0)),IFERROR(INDEX('月1回_1ヶ月前の在庫'!$J$6:$J$10005,MATCH($C133,'月1回_1ヶ月前の在庫'!$W$6:$W$10005,0)),IFERROR(INDEX('月1回_2ヶ月前の在庫'!$J$6:$J$10005,MATCH($C133,'月1回_2ヶ月前の在庫'!$W$6:$W$10005,0)),"")))))</f>
        <v/>
      </c>
      <c r="E133">
        <f>IF($C133="","",IFERROR(IF(INDEX('商品マスタ'!$D$6:$D$1005,MATCH($C133,'商品マスタ'!$B$6:$B$1005,0))="",IFERROR(INDEX('①在庫を貼る'!$H$6:$H$10005,MATCH($C133,'①在庫を貼る'!$W$6:$W$10005,0)),IFERROR(INDEX('月1回_1ヶ月前の在庫'!$H$6:$H$10005,MATCH($C133,'月1回_1ヶ月前の在庫'!$W$6:$W$10005,0)),IFERROR(INDEX('月1回_2ヶ月前の在庫'!$H$6:$H$10005,MATCH($C133,'月1回_2ヶ月前の在庫'!$W$6:$W$10005,0)),""))),INDEX('商品マスタ'!$D$6:$D$1005,MATCH($C133,'商品マスタ'!$B$6:$B$1005,0))),IFERROR(INDEX('①在庫を貼る'!$H$6:$H$10005,MATCH($C133,'①在庫を貼る'!$W$6:$W$10005,0)),IFERROR(INDEX('月1回_1ヶ月前の在庫'!$H$6:$H$10005,MATCH($C133,'月1回_1ヶ月前の在庫'!$W$6:$W$10005,0)),IFERROR(INDEX('月1回_2ヶ月前の在庫'!$H$6:$H$10005,MATCH($C133,'月1回_2ヶ月前の在庫'!$W$6:$W$10005,0)),"")))))</f>
        <v/>
      </c>
      <c r="F133">
        <f>IF($C133="","",IFERROR(IF(INDEX('商品マスタ'!$E$6:$E$1005,MATCH($C133,'商品マスタ'!$B$6:$B$1005,0))="",IFERROR(INDEX('①在庫を貼る'!$E$6:$E$10005,MATCH($C133,'①在庫を貼る'!$W$6:$W$10005,0)),IFERROR(INDEX('月1回_1ヶ月前の在庫'!$E$6:$E$10005,MATCH($C133,'月1回_1ヶ月前の在庫'!$W$6:$W$10005,0)),IFERROR(INDEX('月1回_2ヶ月前の在庫'!$E$6:$E$10005,MATCH($C133,'月1回_2ヶ月前の在庫'!$W$6:$W$10005,0)),""))),INDEX('商品マスタ'!$E$6:$E$1005,MATCH($C133,'商品マスタ'!$B$6:$B$1005,0))),IFERROR(INDEX('①在庫を貼る'!$E$6:$E$10005,MATCH($C133,'①在庫を貼る'!$W$6:$W$10005,0)),IFERROR(INDEX('月1回_1ヶ月前の在庫'!$E$6:$E$10005,MATCH($C133,'月1回_1ヶ月前の在庫'!$W$6:$W$10005,0)),IFERROR(INDEX('月1回_2ヶ月前の在庫'!$E$6:$E$10005,MATCH($C133,'月1回_2ヶ月前の在庫'!$W$6:$W$10005,0)),"")))))</f>
        <v/>
      </c>
      <c r="G133">
        <f>IF($C133="","",MAX(1,N(IFERROR(IF(INDEX('商品マスタ'!$F$6:$F$1005,MATCH($C133,'商品マスタ'!$B$6:$B$1005,0))="",IF(COUNTIFS('①在庫を貼る'!$V$6:$V$10005,'設定'!$C$4,'①在庫を貼る'!$W$6:$W$10005,$C133)&gt;0,SUMIFS('①在庫を貼る'!$K$6:$K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K$6:$K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K$6:$K$10005,'月1回_2ヶ月前の在庫'!$V$6:$V$10005,'設定'!$C$4,'月1回_2ヶ月前の在庫'!$W$6:$W$10005,$C133)/COUNTIFS('月1回_2ヶ月前の在庫'!$V$6:$V$10005,'設定'!$C$4,'月1回_2ヶ月前の在庫'!$W$6:$W$10005,$C133),0))),INDEX('商品マスタ'!$F$6:$F$1005,MATCH($C133,'商品マスタ'!$B$6:$B$1005,0))),IF(COUNTIFS('①在庫を貼る'!$V$6:$V$10005,'設定'!$C$4,'①在庫を貼る'!$W$6:$W$10005,$C133)&gt;0,SUMIFS('①在庫を貼る'!$K$6:$K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K$6:$K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K$6:$K$10005,'月1回_2ヶ月前の在庫'!$V$6:$V$10005,'設定'!$C$4,'月1回_2ヶ月前の在庫'!$W$6:$W$10005,$C133)/COUNTIFS('月1回_2ヶ月前の在庫'!$V$6:$V$10005,'設定'!$C$4,'月1回_2ヶ月前の在庫'!$W$6:$W$10005,$C133),0)))))))</f>
        <v/>
      </c>
      <c r="H133">
        <f>IF($C133="","",N(IFERROR(IF(INDEX('商品マスタ'!$G$6:$G$1005,MATCH($C133,'商品マスタ'!$B$6:$B$1005,0))="",IF(COUNTIFS('①在庫を貼る'!$V$6:$V$10005,'設定'!$C$4,'①在庫を貼る'!$W$6:$W$10005,$C133)&gt;0,SUMIFS('①在庫を貼る'!$Q$6:$Q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Q$6:$Q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Q$6:$Q$10005,'月1回_2ヶ月前の在庫'!$V$6:$V$10005,'設定'!$C$4,'月1回_2ヶ月前の在庫'!$W$6:$W$10005,$C133)/COUNTIFS('月1回_2ヶ月前の在庫'!$V$6:$V$10005,'設定'!$C$4,'月1回_2ヶ月前の在庫'!$W$6:$W$10005,$C133),0))),INDEX('商品マスタ'!$G$6:$G$1005,MATCH($C133,'商品マスタ'!$B$6:$B$1005,0))),IF(COUNTIFS('①在庫を貼る'!$V$6:$V$10005,'設定'!$C$4,'①在庫を貼る'!$W$6:$W$10005,$C133)&gt;0,SUMIFS('①在庫を貼る'!$Q$6:$Q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Q$6:$Q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Q$6:$Q$10005,'月1回_2ヶ月前の在庫'!$V$6:$V$10005,'設定'!$C$4,'月1回_2ヶ月前の在庫'!$W$6:$W$10005,$C133)/COUNTIFS('月1回_2ヶ月前の在庫'!$V$6:$V$10005,'設定'!$C$4,'月1回_2ヶ月前の在庫'!$W$6:$W$10005,$C133),0))))))</f>
        <v/>
      </c>
      <c r="I133">
        <f>IF($C133="","",IF(COUNTIFS('①在庫を貼る'!$V$6:$V$10005,'設定'!$C$4,'①在庫を貼る'!$W$6:$W$10005,$C133)=0,"",SUMIFS('①在庫を貼る'!$N$6:$N$10005,'①在庫を貼る'!$V$6:$V$10005,'設定'!$C$4,'①在庫を貼る'!$W$6:$W$10005,$C133)))</f>
        <v/>
      </c>
      <c r="J133">
        <f>IF($C133="","",IF('②発注する'!$AD137="","",'②発注する'!$AD137))</f>
        <v/>
      </c>
      <c r="K133" s="90">
        <f>IF($C133="","",IF('②発注する'!$AE137="","",'②発注する'!$AE137))</f>
        <v/>
      </c>
      <c r="L133">
        <f>IF($C133="","",IF(AND(ISNUMBER($J133),ISNUMBER($K133),$K133&gt;='設定'!$C$6),$J133,N($I133)))</f>
        <v/>
      </c>
      <c r="M133">
        <f>IF($C133="","",IFERROR(IF(N(INDEX('商品マスタ'!$J$6:$J$1005,MATCH($C133,'商品マスタ'!$B$6:$B$1005,0)))&gt;0,INDEX('商品マスタ'!$J$6:$J$1005,MATCH($C133,'商品マスタ'!$B$6:$B$1005,0)),""),""))</f>
        <v/>
      </c>
      <c r="N133">
        <f>IF($C133="","",IFERROR(IF(N(INDEX('商品マスタ'!$H$6:$H$1005,MATCH($C133,'商品マスタ'!$B$6:$B$1005,0)))&gt;0,INDEX('商品マスタ'!$H$6:$H$1005,MATCH($C133,'商品マスタ'!$B$6:$B$1005,0)),""),""))</f>
        <v/>
      </c>
      <c r="O133">
        <f>IF($C133="","",IF($N133&lt;&gt;"",$N133*$G133,IF(N(IF(COUNTIFS('①在庫を貼る'!$V$6:$V$10005,'設定'!$C$4,'①在庫を貼る'!$W$6:$W$10005,$C133)&gt;0,SUMIFS('①在庫を貼る'!$O$6:$O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O$6:$O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O$6:$O$10005,'月1回_2ヶ月前の在庫'!$V$6:$V$10005,'設定'!$C$4,'月1回_2ヶ月前の在庫'!$W$6:$W$10005,$C133)/COUNTIFS('月1回_2ヶ月前の在庫'!$V$6:$V$10005,'設定'!$C$4,'月1回_2ヶ月前の在庫'!$W$6:$W$10005,$C133),0))))&gt;0,N(IF(COUNTIFS('①在庫を貼る'!$V$6:$V$10005,'設定'!$C$4,'①在庫を貼る'!$W$6:$W$10005,$C133)&gt;0,SUMIFS('①在庫を貼る'!$O$6:$O$10005,'①在庫を貼る'!$V$6:$V$10005,'設定'!$C$4,'①在庫を貼る'!$W$6:$W$10005,$C133)/COUNTIFS('①在庫を貼る'!$V$6:$V$10005,'設定'!$C$4,'①在庫を貼る'!$W$6:$W$10005,$C133),IF(COUNTIFS('月1回_1ヶ月前の在庫'!$V$6:$V$10005,'設定'!$C$4,'月1回_1ヶ月前の在庫'!$W$6:$W$10005,$C133)&gt;0,SUMIFS('月1回_1ヶ月前の在庫'!$O$6:$O$10005,'月1回_1ヶ月前の在庫'!$V$6:$V$10005,'設定'!$C$4,'月1回_1ヶ月前の在庫'!$W$6:$W$10005,$C133)/COUNTIFS('月1回_1ヶ月前の在庫'!$V$6:$V$10005,'設定'!$C$4,'月1回_1ヶ月前の在庫'!$W$6:$W$10005,$C133),IF(COUNTIFS('月1回_2ヶ月前の在庫'!$V$6:$V$10005,'設定'!$C$4,'月1回_2ヶ月前の在庫'!$W$6:$W$10005,$C133)&gt;0,SUMIFS('月1回_2ヶ月前の在庫'!$O$6:$O$10005,'月1回_2ヶ月前の在庫'!$V$6:$V$10005,'設定'!$C$4,'月1回_2ヶ月前の在庫'!$W$6:$W$10005,$C133)/COUNTIFS('月1回_2ヶ月前の在庫'!$V$6:$V$10005,'設定'!$C$4,'月1回_2ヶ月前の在庫'!$W$6:$W$10005,$C133),0)))),"")))</f>
        <v/>
      </c>
      <c r="P133" s="90">
        <f>IF($C133="","",IF('②発注する'!$I137="","",'②発注する'!$I137))</f>
        <v/>
      </c>
      <c r="Q133">
        <f>IF($C133="","",IF('②発注する'!$J137="","",'②発注する'!$J137))</f>
        <v/>
      </c>
      <c r="R133">
        <f>IF($C133="",0,IF(AND(ISNUMBER($P133),ISNUMBER($Q133)),MAX(0,$Q133)*$G133,0))</f>
        <v/>
      </c>
      <c r="S133" s="90">
        <f>IF($C133="","",IF('②発注する'!$M137="","",'②発注する'!$M137))</f>
        <v/>
      </c>
      <c r="T133">
        <f>IF($C133="","",IF('②発注する'!$N137="","",'②発注する'!$N137))</f>
        <v/>
      </c>
      <c r="U133">
        <f>IF($C133="",0,IF(AND(ISNUMBER($S133),ISNUMBER($T133)),MAX(0,$T133)*$G133,0))</f>
        <v/>
      </c>
      <c r="V133">
        <f>IF($C133="",0,IF($M133="",0,MAX(0,$M133)*MAX(0,V$4)/100))</f>
        <v/>
      </c>
      <c r="W133">
        <f>IF($C133="",0,IF($M133="",0,MAX(0,$M133)*MAX(0,W$4)/100))</f>
        <v/>
      </c>
      <c r="X133">
        <f>IF($C133="",0,IF($M133="",0,MAX(0,$M133)*MAX(0,X$4)/100))</f>
        <v/>
      </c>
      <c r="Y133">
        <f>IF($C133="",0,IF($M133="",0,MAX(0,$M133)*MAX(0,Y$4)/100))</f>
        <v/>
      </c>
      <c r="Z133">
        <f>IF($C133="",0,IF($M133="",0,MAX(0,$M133)*MAX(0,Z$4)/100))</f>
        <v/>
      </c>
      <c r="AA133">
        <f>IF($C133="",0,IF($M133="",0,MAX(0,$M133)*MAX(0,AA$4)/100))</f>
        <v/>
      </c>
      <c r="AB133">
        <f>IF($C133="",0,IF($M133="",0,MAX(0,$M133)*MAX(0,AB$4)/100))</f>
        <v/>
      </c>
      <c r="AC133">
        <f>IF($C133="",0,IF($M133="",0,MAX(0,$M133)*MAX(0,AC$4)/100))</f>
        <v/>
      </c>
      <c r="AD133">
        <f>IF($C133="",0,IF($M133="",0,MAX(0,$M133)*MAX(0,AD$4)/100))</f>
        <v/>
      </c>
      <c r="AE133">
        <f>IF($C133="",0,IF($M133="",0,MAX(0,$M133)*MAX(0,AE$4)/100))</f>
        <v/>
      </c>
      <c r="AF133">
        <f>IF($C133="",0,IF($M133="",0,MAX(0,$M133)*MAX(0,AF$4)/100))</f>
        <v/>
      </c>
      <c r="AG133">
        <f>IF($C133="",0,IF($M133="",0,MAX(0,$M133)*MAX(0,AG$4)/100))</f>
        <v/>
      </c>
      <c r="AH133">
        <f>IF($C133="",0,IF($M133="",0,MAX(0,$M133)*MAX(0,AH$4)/100))</f>
        <v/>
      </c>
      <c r="AI133">
        <f>IF($C133="",0,IF($M133="",0,MAX(0,$M133)*MAX(0,AI$4)/100))</f>
        <v/>
      </c>
      <c r="AJ133">
        <f>IF($C133="",0,MAX(0,MAX(0,N($L133))-$V133))</f>
        <v/>
      </c>
      <c r="AK133">
        <f>IF($C133="",0,MAX(0,$AJ133-$W133))</f>
        <v/>
      </c>
      <c r="AL133">
        <f>IF($C133="",0,MAX(0,$AK133-$X133))</f>
        <v/>
      </c>
      <c r="AM133">
        <f>IF($C133="",0,MAX(0,$AL133-$Y133))</f>
        <v/>
      </c>
      <c r="AN133">
        <f>IF($C133="",0,MAX(0,$AM133-$Z133))</f>
        <v/>
      </c>
      <c r="AO133">
        <f>IF($C133="",0,MAX(0,$AN133-$AA133))</f>
        <v/>
      </c>
      <c r="AP133">
        <f>IF($C133="",0,MAX(0,$AO133-$AB133))</f>
        <v/>
      </c>
      <c r="AQ133">
        <f>IF($C133="",0,MAX(0,$AP133-$AC133))</f>
        <v/>
      </c>
      <c r="AR133">
        <f>IF($C133="",0,MAX(0,$AQ133-$AD133))</f>
        <v/>
      </c>
      <c r="AS133">
        <f>IF($C133="",0,MAX(0,$AR133-$AE133))</f>
        <v/>
      </c>
      <c r="AT133">
        <f>IF($C133="",0,MAX(0,$AS133-$AF133))</f>
        <v/>
      </c>
      <c r="AU133">
        <f>IF($C133="",0,MAX(0,$AT133-$AG133))</f>
        <v/>
      </c>
      <c r="AV133">
        <f>IF($C133="",0,MAX(0,$AU133-$AH133))</f>
        <v/>
      </c>
      <c r="AW133">
        <f>IF($C133="",0,MAX(0,$AV133-$AI133))</f>
        <v/>
      </c>
      <c r="AX133">
        <f>IF($C133="",0,MAX(0,MAX(0,N($L133))+IF($P133=V$3,$R133,0)+IF($S133=V$3,$U133,0)-$V133))</f>
        <v/>
      </c>
      <c r="AY133">
        <f>IF($C133="",0,MAX(0,$AX133+IF($P133=W$3,$R133,0)+IF($S133=W$3,$U133,0)-$W133))</f>
        <v/>
      </c>
      <c r="AZ133">
        <f>IF($C133="",0,MAX(0,$AY133+IF($P133=X$3,$R133,0)+IF($S133=X$3,$U133,0)-$X133))</f>
        <v/>
      </c>
      <c r="BA133">
        <f>IF($C133="",0,MAX(0,$AZ133+IF($P133=Y$3,$R133,0)+IF($S133=Y$3,$U133,0)-$Y133))</f>
        <v/>
      </c>
      <c r="BB133">
        <f>IF($C133="",0,MAX(0,$BA133+IF($P133=Z$3,$R133,0)+IF($S133=Z$3,$U133,0)-$Z133))</f>
        <v/>
      </c>
      <c r="BC133">
        <f>IF($C133="",0,MAX(0,$BB133+IF($P133=AA$3,$R133,0)+IF($S133=AA$3,$U133,0)-$AA133))</f>
        <v/>
      </c>
      <c r="BD133">
        <f>IF($C133="",0,MAX(0,$BC133+IF($P133=AB$3,$R133,0)+IF($S133=AB$3,$U133,0)-$AB133))</f>
        <v/>
      </c>
      <c r="BE133">
        <f>IF($C133="",0,MAX(0,$BD133+IF($P133=AC$3,$R133,0)+IF($S133=AC$3,$U133,0)-$AC133))</f>
        <v/>
      </c>
      <c r="BF133">
        <f>IF($C133="",0,MAX(0,$BE133+IF($P133=AD$3,$R133,0)+IF($S133=AD$3,$U133,0)-$AD133))</f>
        <v/>
      </c>
      <c r="BG133">
        <f>IF($C133="",0,MAX(0,$BF133+IF($P133=AE$3,$R133,0)+IF($S133=AE$3,$U133,0)-$AE133))</f>
        <v/>
      </c>
      <c r="BH133">
        <f>IF($C133="",0,MAX(0,$BG133+IF($P133=AF$3,$R133,0)+IF($S133=AF$3,$U133,0)-$AF133))</f>
        <v/>
      </c>
      <c r="BI133">
        <f>IF($C133="",0,MAX(0,$BH133+IF($P133=AG$3,$R133,0)+IF($S133=AG$3,$U133,0)-$AG133))</f>
        <v/>
      </c>
      <c r="BJ133">
        <f>IF($C133="",0,MAX(0,$BI133+IF($P133=AH$3,$R133,0)+IF($S133=AH$3,$U133,0)-$AH133))</f>
        <v/>
      </c>
      <c r="BK133">
        <f>IF($C133="",0,MAX(0,$BJ133+IF($P133=AI$3,$R133,0)+IF($S133=AI$3,$U133,0)-$AI133))</f>
        <v/>
      </c>
      <c r="BL133">
        <f>IF($C133="",99,IF(AND($AX133&lt;1,V$3&gt;=MAX(N($P133),N($S133))),0,99))</f>
        <v/>
      </c>
      <c r="BM133">
        <f>IF($C133="",99,IF(AND($AY133&lt;1,W$3&gt;=MAX(N($P133),N($S133))),1,99))</f>
        <v/>
      </c>
      <c r="BN133">
        <f>IF($C133="",99,IF(AND($AZ133&lt;1,X$3&gt;=MAX(N($P133),N($S133))),2,99))</f>
        <v/>
      </c>
      <c r="BO133">
        <f>IF($C133="",99,IF(AND($BA133&lt;1,Y$3&gt;=MAX(N($P133),N($S133))),3,99))</f>
        <v/>
      </c>
      <c r="BP133">
        <f>IF($C133="",99,IF(AND($BB133&lt;1,Z$3&gt;=MAX(N($P133),N($S133))),4,99))</f>
        <v/>
      </c>
      <c r="BQ133">
        <f>IF($C133="",99,IF(AND($BC133&lt;1,AA$3&gt;=MAX(N($P133),N($S133))),5,99))</f>
        <v/>
      </c>
      <c r="BR133">
        <f>IF($C133="",99,IF(AND($BD133&lt;1,AB$3&gt;=MAX(N($P133),N($S133))),6,99))</f>
        <v/>
      </c>
      <c r="BS133">
        <f>IF($C133="",99,IF(AND($BE133&lt;1,AC$3&gt;=MAX(N($P133),N($S133))),7,99))</f>
        <v/>
      </c>
      <c r="BT133">
        <f>IF($C133="",99,IF(AND($BF133&lt;1,AD$3&gt;=MAX(N($P133),N($S133))),8,99))</f>
        <v/>
      </c>
      <c r="BU133">
        <f>IF($C133="",99,IF(AND($BG133&lt;1,AE$3&gt;=MAX(N($P133),N($S133))),9,99))</f>
        <v/>
      </c>
      <c r="BV133">
        <f>IF($C133="",99,IF(AND($BH133&lt;1,AF$3&gt;=MAX(N($P133),N($S133))),10,99))</f>
        <v/>
      </c>
      <c r="BW133">
        <f>IF($C133="",99,IF(AND($BI133&lt;1,AG$3&gt;=MAX(N($P133),N($S133))),11,99))</f>
        <v/>
      </c>
      <c r="BX133">
        <f>IF($C133="",99,IF(AND($BJ133&lt;1,AH$3&gt;=MAX(N($P133),N($S133))),12,99))</f>
        <v/>
      </c>
      <c r="BY133">
        <f>IF($C133="",99,IF(AND($BK133&lt;1,AI$3&gt;=MAX(N($P133),N($S133))),13,99))</f>
        <v/>
      </c>
      <c r="BZ133">
        <f>IF(OR($C133="",$M133=""),"",COUNTIF($AJ133:$AW133,"&gt;=1"))</f>
        <v/>
      </c>
      <c r="CA133" s="90">
        <f>IF($BZ133="","",IF($BZ133&gt;=14,"",'設定'!$C$6+$BZ133))</f>
        <v/>
      </c>
      <c r="CB133">
        <f>IF(OR($C133="",$M133=""),"",MIN($BL133:$BY133))</f>
        <v/>
      </c>
      <c r="CC133" s="90">
        <f>IF($CB133="","",IF($CB133&gt;=99,"",'設定'!$C$6+$CB133))</f>
        <v/>
      </c>
      <c r="CD133">
        <f>IF(OR($C133="",$M133=""),"",AVERAGE($V133:$AI133))</f>
        <v/>
      </c>
      <c r="CE133">
        <f>IF($C133="","",IFERROR(IF(MATCH(IF(ISNUMBER($P133),$P133,'設定'!$C$6+N('設定'!$C$7)),$V$3:$AI$3,0)=1,MAX(0,N($L133)),INDEX($AJ133:$AW133,MATCH(IF(ISNUMBER($P133),$P133,'設定'!$C$6+N('設定'!$C$7)),$V$3:$AI$3,0)-1)),""))</f>
        <v/>
      </c>
      <c r="CF133">
        <f>IF(OR($C133="",$O133="",$CE133=""),"",IF($O133-$CE133&lt;=0,0,ROUNDUP(($O133-$CE133)/$G133,0)))</f>
        <v/>
      </c>
      <c r="CG133">
        <f>IF(OR($C133="",$CF133="",NOT(ISNUMBER($Q133))),0,MAX(0,$Q133-$CF133))</f>
        <v/>
      </c>
      <c r="CH133">
        <f>IF(OR($C133="",$O133="",$U133=0),0,IFERROR(ROUNDUP(MAX(0,IF(MATCH($S133,$V$3:$AI$3,0)=1,MAX(0,N($L133)),INDEX($AX133:$BK133,MATCH($S133,$V$3:$AI$3,0)-1))+$U133-$O133)/$G133,0),0))</f>
        <v/>
      </c>
      <c r="CI133">
        <f>IF($C133="","",IF(AND($P133="",$Q133=""),"",IF($P133="","⚠ 入庫日を ▼ から選んでください",IF(NOT(ISNUMBER($P133)),"⚠ 入庫日は ▼ から選んでください",IF($P133&lt;N('設定'!$C$6),"⚠ 入庫日が過去です（もう在庫に入っています）→ 消してください",IF($P133&gt;N('設定'!$C$6)+13,"⚠ 入庫日が14日より先です",IF(N($Q133)&lt;=0,"⚠ 入庫数を入れてください",IF($CG133&gt;0,"⚠ 目安より "&amp;$CG133&amp;" 多い（定数を超える）→ 減らす",""))))))))</f>
        <v/>
      </c>
      <c r="CJ133">
        <f>IF($C133="","",IF(AND($S133="",$T133=""),"",IF($S133="","⚠ 2便目：入庫日を ▼ から選んでください",IF(NOT(ISNUMBER($S133)),"⚠ 2便目：入庫日は ▼ から選んでください",IF($S133&lt;N('設定'!$C$6),"⚠ 2便目：入庫日が過去です（もう在庫に入っています）→ 消してください",IF($S133&gt;N('設定'!$C$6)+13,"⚠ 2便目：入庫日が14日より先です",IF(N($T133)&lt;=0,"⚠ 2便目：入庫数を入れてください",IF($CH133&gt;0,"⚠ 2便目：定数を "&amp;$CH133&amp;" ケース超える → 減らす",""))))))))</f>
        <v/>
      </c>
      <c r="CK133">
        <f>IF(AND($CI133="",N($Q133)&gt;0,ISNUMBER($P133)),1,0)</f>
        <v/>
      </c>
      <c r="CL133">
        <f>IF(AND($CJ133="",N($T133)&gt;0,ISNUMBER($S133)),1,0)</f>
        <v/>
      </c>
      <c r="CM133">
        <f>IF(OR($CK133=1,$CL133=1),1,0)</f>
        <v/>
      </c>
      <c r="CN133">
        <f>IF($C133="",0,($CK133*$R133+$CL133*$U133)*N($H133))</f>
        <v/>
      </c>
      <c r="CO133">
        <f>IF($C133="","",IF($CC133="","入庫後は 14日以上もつ",IF($CC133-N('設定'!$C$7)&lt;='設定'!$C$6,"入庫後も "&amp;TEXT($CC133,"m/d")&amp;"("&amp;CHOOSE(WEEKDAY($CC133),"日","月","火","水","木","金","土")&amp;")"&amp;" に切れる　もう1便を至急発注","入庫後も "&amp;TEXT($CC133,"m/d")&amp;"("&amp;CHOOSE(WEEKDAY($CC133),"日","月","火","水","木","金","土")&amp;")"&amp;" に切れる　"&amp;TEXT($CC133-N('設定'!$C$7),"m/d")&amp;"("&amp;CHOOSE(WEEKDAY($CC133-N('設定'!$C$7)),"日","月","火","水","木","金","土")&amp;")"&amp;" までに次を発注")))</f>
        <v/>
      </c>
      <c r="CP133">
        <f>IF($C133="","",IF('設定'!$C$6="","？ ①在庫を貼る に今日のCSVが貼られていない",IF($CS133=1,"－ 今日のCSVに無い（終売？）",IF($L133&lt;0,"● 在庫がマイナス　数えて「数えた在庫」に入れる",IF($L133=0,"● 在庫なし　至急発注",IF($M133="","？ 減り数が未設定（商品マスタ）",IF($B$3=0,"？ 動員が未入力（動員を入れる）",IF($CA133="","○ 14日以上もつ",IF($BZ133&lt;N('設定'!$C$7),"● "&amp;TEXT($CA133,"m/d")&amp;"("&amp;CHOOSE(WEEKDAY($CA133),"日","月","火","水","木","金","土")&amp;")"&amp;" に切れる　至急発注",IF($BZ133=N('設定'!$C$7),"● "&amp;TEXT($CA133,"m/d")&amp;"("&amp;CHOOSE(WEEKDAY($CA133),"日","月","火","水","木","金","土")&amp;")"&amp;" に切れる　今日発注","△ "&amp;TEXT($CA133,"m/d")&amp;"("&amp;CHOOSE(WEEKDAY($CA133),"日","月","火","水","木","金","土")&amp;")"&amp;" に切れる　"&amp;TEXT($CA133-N('設定'!$C$7),"m/d")&amp;"("&amp;CHOOSE(WEEKDAY($CA133-N('設定'!$C$7)),"日","月","火","水","木","金","土")&amp;")"&amp;" までに発注"))))))))))</f>
        <v/>
      </c>
      <c r="CQ133">
        <f>IF($C133="","",IF(AND($P133="",$Q133="",$S133="",$T133=""),"",IF(AND($P133="",$Q133=""),"⚠ 先に1便目（左の入庫日・入庫数）に入れてください",IF($CI133&lt;&gt;"",$CI133,IF($CJ133&lt;&gt;"",$CJ133,IF($M133="","？ 減り数が未設定（発注書には載ります）",IF($B$3=0,"？ 動員が未入力（発注書には載ります）",IF(AND($CA133&lt;&gt;"",$P133&gt;$CA133),IF($P133&gt;'設定'!$C$6+N('設定'!$C$7),"● "&amp;TEXT($P133,"m/d")&amp;"("&amp;CHOOSE(WEEKDAY($P133),"日","月","火","水","木","金","土")&amp;")"&amp;" の入庫では間に合わない（"&amp;TEXT($CA133,"m/d")&amp;"("&amp;CHOOSE(WEEKDAY($CA133),"日","月","火","水","木","金","土")&amp;")"&amp;" に切れる）　入庫日を早める","△ 欠品 "&amp;TEXT($CA133,"m/d")&amp;"("&amp;CHOOSE(WEEKDAY($CA133),"日","月","火","水","木","金","土")&amp;")"&amp;"〜"&amp;TEXT($P133-1,"m/d")&amp;"("&amp;CHOOSE(WEEKDAY($P133-1),"日","月","火","水","木","金","土")&amp;")"&amp;"　"&amp;$CO133),IF($CC133="","○ "&amp;TEXT($P133,"m/d")&amp;"("&amp;CHOOSE(WEEKDAY($P133),"日","月","火","水","木","金","土")&amp;")"&amp;" 入庫で 14日以上もつ",IF($CC133-N('設定'!$C$7)&lt;='設定'!$C$6,"● 入庫しても "&amp;TEXT($CC133,"m/d")&amp;"("&amp;CHOOSE(WEEKDAY($CC133),"日","月","火","水","木","金","土")&amp;")"&amp;" に切れる　もう1便を至急発注（2便目に入れる）","△ 入庫しても "&amp;TEXT($CC133,"m/d")&amp;"("&amp;CHOOSE(WEEKDAY($CC133),"日","月","火","水","木","金","土")&amp;")"&amp;" に切れる　"&amp;TEXT($CC133-N('設定'!$C$7),"m/d")&amp;"("&amp;CHOOSE(WEEKDAY($CC133-N('設定'!$C$7)),"日","月","火","水","木","金","土")&amp;")"&amp;" までに次を発注（2便目に入れる）"))))))))))</f>
        <v/>
      </c>
      <c r="CR133">
        <f>IF($C133="","",IF($G133&gt;1,"ｹｰｽ("&amp;$G133&amp;"入)","個"))</f>
        <v/>
      </c>
      <c r="CS133">
        <f>IF($C133="",0,IF(COUNTIFS('①在庫を貼る'!$V$6:$V$10005,'設定'!$C$4,'①在庫を貼る'!$W$6:$W$10005,$C133)=0,1,0))</f>
        <v/>
      </c>
      <c r="CT133">
        <f>IF(AND($CK133=1,OR('③発注書'!$C$4="すべて",'③発注書'!$C$4="",$F133='③発注書'!$C$4)),N($CT132)+1,N($CT132))</f>
        <v/>
      </c>
      <c r="CU133">
        <f>IF(AND($CL133=1,OR('③発注書'!$C$4="すべて",'③発注書'!$C$4="",$F133='③発注書'!$C$4)),N($CU132)+1,N($CU132))</f>
        <v/>
      </c>
      <c r="CV133">
        <f>IF($C133="",0,IF(COUNTIFS('①在庫を貼る'!$V$6:$V$10005,'設定'!$C$4,'①在庫を貼る'!$W$6:$W$10005,$C133)&gt;0,1,0))</f>
        <v/>
      </c>
      <c r="CW133">
        <f>IF($C133="",0,IF(COUNTIFS('月1回_1ヶ月前の在庫'!$V$6:$V$10005,'設定'!$C$4,'月1回_1ヶ月前の在庫'!$W$6:$W$10005,$C133)&gt;0,1,0))</f>
        <v/>
      </c>
      <c r="CX133">
        <f>IF($C133="",0,IF(COUNTIFS('月1回_2ヶ月前の在庫'!$V$6:$V$10005,'設定'!$C$4,'月1回_2ヶ月前の在庫'!$W$6:$W$10005,$C133)&gt;0,1,0))</f>
        <v/>
      </c>
      <c r="CY133">
        <f>IF(OR($C133="",'設定'!$C$12=""),"",IF('設定'!$C$13="",IF(AND($CV133=1,$CW133=0),"新商品（今月から）",IF(AND($CV133=0,$CW133=1),"終売（今月から）","")),IF(AND($CV133=1,$CW133=0,$CX133=0),"新商品（今月から）",IF(AND($CV133=1,$CW133=1,$CX133=0),"新商品（先月から）",IF(AND($CV133=0,$CW133=1,$CX133=1),"終売（今月から）",IF(AND($CV133=0,$CW133=0,$CX133=1),"終売（先月から）",IF(AND($CV133=1,$CW133=0,$CX133=1),"復活（先月は無し）","")))))))</f>
        <v/>
      </c>
    </row>
    <row r="134">
      <c r="B134">
        <f>IF(129&lt;='設定'!$C$11,129,"")</f>
        <v/>
      </c>
      <c r="C134">
        <f>IF($B134="","",IF($B134&lt;='設定'!$C$20,INDEX('商品マスタ'!$B$6:$B$1005,MATCH($B134,'商品マスタ'!$M$6:$M$1005,0)),IF($B134&lt;='設定'!$C$20+'設定'!$C$17,INDEX('①在庫を貼る'!$W$6:$W$10005,MATCH($B134-'設定'!$C$20,'①在庫を貼る'!$U$6:$U$10005,0)),IF($B134&lt;='設定'!$C$20+'設定'!$C$17+'設定'!$C$18,INDEX('月1回_1ヶ月前の在庫'!$W$6:$W$10005,MATCH($B134-'設定'!$C$20-'設定'!$C$17,'月1回_1ヶ月前の在庫'!$U$6:$U$10005,0)),INDEX('月1回_2ヶ月前の在庫'!$W$6:$W$10005,MATCH($B134-'設定'!$C$20-'設定'!$C$17-'設定'!$C$18,'月1回_2ヶ月前の在庫'!$U$6:$U$10005,0))))))</f>
        <v/>
      </c>
      <c r="D134">
        <f>IF($C134="","",IFERROR(IF(INDEX('商品マスタ'!$C$6:$C$1005,MATCH($C134,'商品マスタ'!$B$6:$B$1005,0))="",IFERROR(INDEX('①在庫を貼る'!$J$6:$J$10005,MATCH($C134,'①在庫を貼る'!$W$6:$W$10005,0)),IFERROR(INDEX('月1回_1ヶ月前の在庫'!$J$6:$J$10005,MATCH($C134,'月1回_1ヶ月前の在庫'!$W$6:$W$10005,0)),IFERROR(INDEX('月1回_2ヶ月前の在庫'!$J$6:$J$10005,MATCH($C134,'月1回_2ヶ月前の在庫'!$W$6:$W$10005,0)),""))),INDEX('商品マスタ'!$C$6:$C$1005,MATCH($C134,'商品マスタ'!$B$6:$B$1005,0))),IFERROR(INDEX('①在庫を貼る'!$J$6:$J$10005,MATCH($C134,'①在庫を貼る'!$W$6:$W$10005,0)),IFERROR(INDEX('月1回_1ヶ月前の在庫'!$J$6:$J$10005,MATCH($C134,'月1回_1ヶ月前の在庫'!$W$6:$W$10005,0)),IFERROR(INDEX('月1回_2ヶ月前の在庫'!$J$6:$J$10005,MATCH($C134,'月1回_2ヶ月前の在庫'!$W$6:$W$10005,0)),"")))))</f>
        <v/>
      </c>
      <c r="E134">
        <f>IF($C134="","",IFERROR(IF(INDEX('商品マスタ'!$D$6:$D$1005,MATCH($C134,'商品マスタ'!$B$6:$B$1005,0))="",IFERROR(INDEX('①在庫を貼る'!$H$6:$H$10005,MATCH($C134,'①在庫を貼る'!$W$6:$W$10005,0)),IFERROR(INDEX('月1回_1ヶ月前の在庫'!$H$6:$H$10005,MATCH($C134,'月1回_1ヶ月前の在庫'!$W$6:$W$10005,0)),IFERROR(INDEX('月1回_2ヶ月前の在庫'!$H$6:$H$10005,MATCH($C134,'月1回_2ヶ月前の在庫'!$W$6:$W$10005,0)),""))),INDEX('商品マスタ'!$D$6:$D$1005,MATCH($C134,'商品マスタ'!$B$6:$B$1005,0))),IFERROR(INDEX('①在庫を貼る'!$H$6:$H$10005,MATCH($C134,'①在庫を貼る'!$W$6:$W$10005,0)),IFERROR(INDEX('月1回_1ヶ月前の在庫'!$H$6:$H$10005,MATCH($C134,'月1回_1ヶ月前の在庫'!$W$6:$W$10005,0)),IFERROR(INDEX('月1回_2ヶ月前の在庫'!$H$6:$H$10005,MATCH($C134,'月1回_2ヶ月前の在庫'!$W$6:$W$10005,0)),"")))))</f>
        <v/>
      </c>
      <c r="F134">
        <f>IF($C134="","",IFERROR(IF(INDEX('商品マスタ'!$E$6:$E$1005,MATCH($C134,'商品マスタ'!$B$6:$B$1005,0))="",IFERROR(INDEX('①在庫を貼る'!$E$6:$E$10005,MATCH($C134,'①在庫を貼る'!$W$6:$W$10005,0)),IFERROR(INDEX('月1回_1ヶ月前の在庫'!$E$6:$E$10005,MATCH($C134,'月1回_1ヶ月前の在庫'!$W$6:$W$10005,0)),IFERROR(INDEX('月1回_2ヶ月前の在庫'!$E$6:$E$10005,MATCH($C134,'月1回_2ヶ月前の在庫'!$W$6:$W$10005,0)),""))),INDEX('商品マスタ'!$E$6:$E$1005,MATCH($C134,'商品マスタ'!$B$6:$B$1005,0))),IFERROR(INDEX('①在庫を貼る'!$E$6:$E$10005,MATCH($C134,'①在庫を貼る'!$W$6:$W$10005,0)),IFERROR(INDEX('月1回_1ヶ月前の在庫'!$E$6:$E$10005,MATCH($C134,'月1回_1ヶ月前の在庫'!$W$6:$W$10005,0)),IFERROR(INDEX('月1回_2ヶ月前の在庫'!$E$6:$E$10005,MATCH($C134,'月1回_2ヶ月前の在庫'!$W$6:$W$10005,0)),"")))))</f>
        <v/>
      </c>
      <c r="G134">
        <f>IF($C134="","",MAX(1,N(IFERROR(IF(INDEX('商品マスタ'!$F$6:$F$1005,MATCH($C134,'商品マスタ'!$B$6:$B$1005,0))="",IF(COUNTIFS('①在庫を貼る'!$V$6:$V$10005,'設定'!$C$4,'①在庫を貼る'!$W$6:$W$10005,$C134)&gt;0,SUMIFS('①在庫を貼る'!$K$6:$K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K$6:$K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K$6:$K$10005,'月1回_2ヶ月前の在庫'!$V$6:$V$10005,'設定'!$C$4,'月1回_2ヶ月前の在庫'!$W$6:$W$10005,$C134)/COUNTIFS('月1回_2ヶ月前の在庫'!$V$6:$V$10005,'設定'!$C$4,'月1回_2ヶ月前の在庫'!$W$6:$W$10005,$C134),0))),INDEX('商品マスタ'!$F$6:$F$1005,MATCH($C134,'商品マスタ'!$B$6:$B$1005,0))),IF(COUNTIFS('①在庫を貼る'!$V$6:$V$10005,'設定'!$C$4,'①在庫を貼る'!$W$6:$W$10005,$C134)&gt;0,SUMIFS('①在庫を貼る'!$K$6:$K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K$6:$K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K$6:$K$10005,'月1回_2ヶ月前の在庫'!$V$6:$V$10005,'設定'!$C$4,'月1回_2ヶ月前の在庫'!$W$6:$W$10005,$C134)/COUNTIFS('月1回_2ヶ月前の在庫'!$V$6:$V$10005,'設定'!$C$4,'月1回_2ヶ月前の在庫'!$W$6:$W$10005,$C134),0)))))))</f>
        <v/>
      </c>
      <c r="H134">
        <f>IF($C134="","",N(IFERROR(IF(INDEX('商品マスタ'!$G$6:$G$1005,MATCH($C134,'商品マスタ'!$B$6:$B$1005,0))="",IF(COUNTIFS('①在庫を貼る'!$V$6:$V$10005,'設定'!$C$4,'①在庫を貼る'!$W$6:$W$10005,$C134)&gt;0,SUMIFS('①在庫を貼る'!$Q$6:$Q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Q$6:$Q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Q$6:$Q$10005,'月1回_2ヶ月前の在庫'!$V$6:$V$10005,'設定'!$C$4,'月1回_2ヶ月前の在庫'!$W$6:$W$10005,$C134)/COUNTIFS('月1回_2ヶ月前の在庫'!$V$6:$V$10005,'設定'!$C$4,'月1回_2ヶ月前の在庫'!$W$6:$W$10005,$C134),0))),INDEX('商品マスタ'!$G$6:$G$1005,MATCH($C134,'商品マスタ'!$B$6:$B$1005,0))),IF(COUNTIFS('①在庫を貼る'!$V$6:$V$10005,'設定'!$C$4,'①在庫を貼る'!$W$6:$W$10005,$C134)&gt;0,SUMIFS('①在庫を貼る'!$Q$6:$Q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Q$6:$Q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Q$6:$Q$10005,'月1回_2ヶ月前の在庫'!$V$6:$V$10005,'設定'!$C$4,'月1回_2ヶ月前の在庫'!$W$6:$W$10005,$C134)/COUNTIFS('月1回_2ヶ月前の在庫'!$V$6:$V$10005,'設定'!$C$4,'月1回_2ヶ月前の在庫'!$W$6:$W$10005,$C134),0))))))</f>
        <v/>
      </c>
      <c r="I134">
        <f>IF($C134="","",IF(COUNTIFS('①在庫を貼る'!$V$6:$V$10005,'設定'!$C$4,'①在庫を貼る'!$W$6:$W$10005,$C134)=0,"",SUMIFS('①在庫を貼る'!$N$6:$N$10005,'①在庫を貼る'!$V$6:$V$10005,'設定'!$C$4,'①在庫を貼る'!$W$6:$W$10005,$C134)))</f>
        <v/>
      </c>
      <c r="J134">
        <f>IF($C134="","",IF('②発注する'!$AD138="","",'②発注する'!$AD138))</f>
        <v/>
      </c>
      <c r="K134" s="90">
        <f>IF($C134="","",IF('②発注する'!$AE138="","",'②発注する'!$AE138))</f>
        <v/>
      </c>
      <c r="L134">
        <f>IF($C134="","",IF(AND(ISNUMBER($J134),ISNUMBER($K134),$K134&gt;='設定'!$C$6),$J134,N($I134)))</f>
        <v/>
      </c>
      <c r="M134">
        <f>IF($C134="","",IFERROR(IF(N(INDEX('商品マスタ'!$J$6:$J$1005,MATCH($C134,'商品マスタ'!$B$6:$B$1005,0)))&gt;0,INDEX('商品マスタ'!$J$6:$J$1005,MATCH($C134,'商品マスタ'!$B$6:$B$1005,0)),""),""))</f>
        <v/>
      </c>
      <c r="N134">
        <f>IF($C134="","",IFERROR(IF(N(INDEX('商品マスタ'!$H$6:$H$1005,MATCH($C134,'商品マスタ'!$B$6:$B$1005,0)))&gt;0,INDEX('商品マスタ'!$H$6:$H$1005,MATCH($C134,'商品マスタ'!$B$6:$B$1005,0)),""),""))</f>
        <v/>
      </c>
      <c r="O134">
        <f>IF($C134="","",IF($N134&lt;&gt;"",$N134*$G134,IF(N(IF(COUNTIFS('①在庫を貼る'!$V$6:$V$10005,'設定'!$C$4,'①在庫を貼る'!$W$6:$W$10005,$C134)&gt;0,SUMIFS('①在庫を貼る'!$O$6:$O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O$6:$O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O$6:$O$10005,'月1回_2ヶ月前の在庫'!$V$6:$V$10005,'設定'!$C$4,'月1回_2ヶ月前の在庫'!$W$6:$W$10005,$C134)/COUNTIFS('月1回_2ヶ月前の在庫'!$V$6:$V$10005,'設定'!$C$4,'月1回_2ヶ月前の在庫'!$W$6:$W$10005,$C134),0))))&gt;0,N(IF(COUNTIFS('①在庫を貼る'!$V$6:$V$10005,'設定'!$C$4,'①在庫を貼る'!$W$6:$W$10005,$C134)&gt;0,SUMIFS('①在庫を貼る'!$O$6:$O$10005,'①在庫を貼る'!$V$6:$V$10005,'設定'!$C$4,'①在庫を貼る'!$W$6:$W$10005,$C134)/COUNTIFS('①在庫を貼る'!$V$6:$V$10005,'設定'!$C$4,'①在庫を貼る'!$W$6:$W$10005,$C134),IF(COUNTIFS('月1回_1ヶ月前の在庫'!$V$6:$V$10005,'設定'!$C$4,'月1回_1ヶ月前の在庫'!$W$6:$W$10005,$C134)&gt;0,SUMIFS('月1回_1ヶ月前の在庫'!$O$6:$O$10005,'月1回_1ヶ月前の在庫'!$V$6:$V$10005,'設定'!$C$4,'月1回_1ヶ月前の在庫'!$W$6:$W$10005,$C134)/COUNTIFS('月1回_1ヶ月前の在庫'!$V$6:$V$10005,'設定'!$C$4,'月1回_1ヶ月前の在庫'!$W$6:$W$10005,$C134),IF(COUNTIFS('月1回_2ヶ月前の在庫'!$V$6:$V$10005,'設定'!$C$4,'月1回_2ヶ月前の在庫'!$W$6:$W$10005,$C134)&gt;0,SUMIFS('月1回_2ヶ月前の在庫'!$O$6:$O$10005,'月1回_2ヶ月前の在庫'!$V$6:$V$10005,'設定'!$C$4,'月1回_2ヶ月前の在庫'!$W$6:$W$10005,$C134)/COUNTIFS('月1回_2ヶ月前の在庫'!$V$6:$V$10005,'設定'!$C$4,'月1回_2ヶ月前の在庫'!$W$6:$W$10005,$C134),0)))),"")))</f>
        <v/>
      </c>
      <c r="P134" s="90">
        <f>IF($C134="","",IF('②発注する'!$I138="","",'②発注する'!$I138))</f>
        <v/>
      </c>
      <c r="Q134">
        <f>IF($C134="","",IF('②発注する'!$J138="","",'②発注する'!$J138))</f>
        <v/>
      </c>
      <c r="R134">
        <f>IF($C134="",0,IF(AND(ISNUMBER($P134),ISNUMBER($Q134)),MAX(0,$Q134)*$G134,0))</f>
        <v/>
      </c>
      <c r="S134" s="90">
        <f>IF($C134="","",IF('②発注する'!$M138="","",'②発注する'!$M138))</f>
        <v/>
      </c>
      <c r="T134">
        <f>IF($C134="","",IF('②発注する'!$N138="","",'②発注する'!$N138))</f>
        <v/>
      </c>
      <c r="U134">
        <f>IF($C134="",0,IF(AND(ISNUMBER($S134),ISNUMBER($T134)),MAX(0,$T134)*$G134,0))</f>
        <v/>
      </c>
      <c r="V134">
        <f>IF($C134="",0,IF($M134="",0,MAX(0,$M134)*MAX(0,V$4)/100))</f>
        <v/>
      </c>
      <c r="W134">
        <f>IF($C134="",0,IF($M134="",0,MAX(0,$M134)*MAX(0,W$4)/100))</f>
        <v/>
      </c>
      <c r="X134">
        <f>IF($C134="",0,IF($M134="",0,MAX(0,$M134)*MAX(0,X$4)/100))</f>
        <v/>
      </c>
      <c r="Y134">
        <f>IF($C134="",0,IF($M134="",0,MAX(0,$M134)*MAX(0,Y$4)/100))</f>
        <v/>
      </c>
      <c r="Z134">
        <f>IF($C134="",0,IF($M134="",0,MAX(0,$M134)*MAX(0,Z$4)/100))</f>
        <v/>
      </c>
      <c r="AA134">
        <f>IF($C134="",0,IF($M134="",0,MAX(0,$M134)*MAX(0,AA$4)/100))</f>
        <v/>
      </c>
      <c r="AB134">
        <f>IF($C134="",0,IF($M134="",0,MAX(0,$M134)*MAX(0,AB$4)/100))</f>
        <v/>
      </c>
      <c r="AC134">
        <f>IF($C134="",0,IF($M134="",0,MAX(0,$M134)*MAX(0,AC$4)/100))</f>
        <v/>
      </c>
      <c r="AD134">
        <f>IF($C134="",0,IF($M134="",0,MAX(0,$M134)*MAX(0,AD$4)/100))</f>
        <v/>
      </c>
      <c r="AE134">
        <f>IF($C134="",0,IF($M134="",0,MAX(0,$M134)*MAX(0,AE$4)/100))</f>
        <v/>
      </c>
      <c r="AF134">
        <f>IF($C134="",0,IF($M134="",0,MAX(0,$M134)*MAX(0,AF$4)/100))</f>
        <v/>
      </c>
      <c r="AG134">
        <f>IF($C134="",0,IF($M134="",0,MAX(0,$M134)*MAX(0,AG$4)/100))</f>
        <v/>
      </c>
      <c r="AH134">
        <f>IF($C134="",0,IF($M134="",0,MAX(0,$M134)*MAX(0,AH$4)/100))</f>
        <v/>
      </c>
      <c r="AI134">
        <f>IF($C134="",0,IF($M134="",0,MAX(0,$M134)*MAX(0,AI$4)/100))</f>
        <v/>
      </c>
      <c r="AJ134">
        <f>IF($C134="",0,MAX(0,MAX(0,N($L134))-$V134))</f>
        <v/>
      </c>
      <c r="AK134">
        <f>IF($C134="",0,MAX(0,$AJ134-$W134))</f>
        <v/>
      </c>
      <c r="AL134">
        <f>IF($C134="",0,MAX(0,$AK134-$X134))</f>
        <v/>
      </c>
      <c r="AM134">
        <f>IF($C134="",0,MAX(0,$AL134-$Y134))</f>
        <v/>
      </c>
      <c r="AN134">
        <f>IF($C134="",0,MAX(0,$AM134-$Z134))</f>
        <v/>
      </c>
      <c r="AO134">
        <f>IF($C134="",0,MAX(0,$AN134-$AA134))</f>
        <v/>
      </c>
      <c r="AP134">
        <f>IF($C134="",0,MAX(0,$AO134-$AB134))</f>
        <v/>
      </c>
      <c r="AQ134">
        <f>IF($C134="",0,MAX(0,$AP134-$AC134))</f>
        <v/>
      </c>
      <c r="AR134">
        <f>IF($C134="",0,MAX(0,$AQ134-$AD134))</f>
        <v/>
      </c>
      <c r="AS134">
        <f>IF($C134="",0,MAX(0,$AR134-$AE134))</f>
        <v/>
      </c>
      <c r="AT134">
        <f>IF($C134="",0,MAX(0,$AS134-$AF134))</f>
        <v/>
      </c>
      <c r="AU134">
        <f>IF($C134="",0,MAX(0,$AT134-$AG134))</f>
        <v/>
      </c>
      <c r="AV134">
        <f>IF($C134="",0,MAX(0,$AU134-$AH134))</f>
        <v/>
      </c>
      <c r="AW134">
        <f>IF($C134="",0,MAX(0,$AV134-$AI134))</f>
        <v/>
      </c>
      <c r="AX134">
        <f>IF($C134="",0,MAX(0,MAX(0,N($L134))+IF($P134=V$3,$R134,0)+IF($S134=V$3,$U134,0)-$V134))</f>
        <v/>
      </c>
      <c r="AY134">
        <f>IF($C134="",0,MAX(0,$AX134+IF($P134=W$3,$R134,0)+IF($S134=W$3,$U134,0)-$W134))</f>
        <v/>
      </c>
      <c r="AZ134">
        <f>IF($C134="",0,MAX(0,$AY134+IF($P134=X$3,$R134,0)+IF($S134=X$3,$U134,0)-$X134))</f>
        <v/>
      </c>
      <c r="BA134">
        <f>IF($C134="",0,MAX(0,$AZ134+IF($P134=Y$3,$R134,0)+IF($S134=Y$3,$U134,0)-$Y134))</f>
        <v/>
      </c>
      <c r="BB134">
        <f>IF($C134="",0,MAX(0,$BA134+IF($P134=Z$3,$R134,0)+IF($S134=Z$3,$U134,0)-$Z134))</f>
        <v/>
      </c>
      <c r="BC134">
        <f>IF($C134="",0,MAX(0,$BB134+IF($P134=AA$3,$R134,0)+IF($S134=AA$3,$U134,0)-$AA134))</f>
        <v/>
      </c>
      <c r="BD134">
        <f>IF($C134="",0,MAX(0,$BC134+IF($P134=AB$3,$R134,0)+IF($S134=AB$3,$U134,0)-$AB134))</f>
        <v/>
      </c>
      <c r="BE134">
        <f>IF($C134="",0,MAX(0,$BD134+IF($P134=AC$3,$R134,0)+IF($S134=AC$3,$U134,0)-$AC134))</f>
        <v/>
      </c>
      <c r="BF134">
        <f>IF($C134="",0,MAX(0,$BE134+IF($P134=AD$3,$R134,0)+IF($S134=AD$3,$U134,0)-$AD134))</f>
        <v/>
      </c>
      <c r="BG134">
        <f>IF($C134="",0,MAX(0,$BF134+IF($P134=AE$3,$R134,0)+IF($S134=AE$3,$U134,0)-$AE134))</f>
        <v/>
      </c>
      <c r="BH134">
        <f>IF($C134="",0,MAX(0,$BG134+IF($P134=AF$3,$R134,0)+IF($S134=AF$3,$U134,0)-$AF134))</f>
        <v/>
      </c>
      <c r="BI134">
        <f>IF($C134="",0,MAX(0,$BH134+IF($P134=AG$3,$R134,0)+IF($S134=AG$3,$U134,0)-$AG134))</f>
        <v/>
      </c>
      <c r="BJ134">
        <f>IF($C134="",0,MAX(0,$BI134+IF($P134=AH$3,$R134,0)+IF($S134=AH$3,$U134,0)-$AH134))</f>
        <v/>
      </c>
      <c r="BK134">
        <f>IF($C134="",0,MAX(0,$BJ134+IF($P134=AI$3,$R134,0)+IF($S134=AI$3,$U134,0)-$AI134))</f>
        <v/>
      </c>
      <c r="BL134">
        <f>IF($C134="",99,IF(AND($AX134&lt;1,V$3&gt;=MAX(N($P134),N($S134))),0,99))</f>
        <v/>
      </c>
      <c r="BM134">
        <f>IF($C134="",99,IF(AND($AY134&lt;1,W$3&gt;=MAX(N($P134),N($S134))),1,99))</f>
        <v/>
      </c>
      <c r="BN134">
        <f>IF($C134="",99,IF(AND($AZ134&lt;1,X$3&gt;=MAX(N($P134),N($S134))),2,99))</f>
        <v/>
      </c>
      <c r="BO134">
        <f>IF($C134="",99,IF(AND($BA134&lt;1,Y$3&gt;=MAX(N($P134),N($S134))),3,99))</f>
        <v/>
      </c>
      <c r="BP134">
        <f>IF($C134="",99,IF(AND($BB134&lt;1,Z$3&gt;=MAX(N($P134),N($S134))),4,99))</f>
        <v/>
      </c>
      <c r="BQ134">
        <f>IF($C134="",99,IF(AND($BC134&lt;1,AA$3&gt;=MAX(N($P134),N($S134))),5,99))</f>
        <v/>
      </c>
      <c r="BR134">
        <f>IF($C134="",99,IF(AND($BD134&lt;1,AB$3&gt;=MAX(N($P134),N($S134))),6,99))</f>
        <v/>
      </c>
      <c r="BS134">
        <f>IF($C134="",99,IF(AND($BE134&lt;1,AC$3&gt;=MAX(N($P134),N($S134))),7,99))</f>
        <v/>
      </c>
      <c r="BT134">
        <f>IF($C134="",99,IF(AND($BF134&lt;1,AD$3&gt;=MAX(N($P134),N($S134))),8,99))</f>
        <v/>
      </c>
      <c r="BU134">
        <f>IF($C134="",99,IF(AND($BG134&lt;1,AE$3&gt;=MAX(N($P134),N($S134))),9,99))</f>
        <v/>
      </c>
      <c r="BV134">
        <f>IF($C134="",99,IF(AND($BH134&lt;1,AF$3&gt;=MAX(N($P134),N($S134))),10,99))</f>
        <v/>
      </c>
      <c r="BW134">
        <f>IF($C134="",99,IF(AND($BI134&lt;1,AG$3&gt;=MAX(N($P134),N($S134))),11,99))</f>
        <v/>
      </c>
      <c r="BX134">
        <f>IF($C134="",99,IF(AND($BJ134&lt;1,AH$3&gt;=MAX(N($P134),N($S134))),12,99))</f>
        <v/>
      </c>
      <c r="BY134">
        <f>IF($C134="",99,IF(AND($BK134&lt;1,AI$3&gt;=MAX(N($P134),N($S134))),13,99))</f>
        <v/>
      </c>
      <c r="BZ134">
        <f>IF(OR($C134="",$M134=""),"",COUNTIF($AJ134:$AW134,"&gt;=1"))</f>
        <v/>
      </c>
      <c r="CA134" s="90">
        <f>IF($BZ134="","",IF($BZ134&gt;=14,"",'設定'!$C$6+$BZ134))</f>
        <v/>
      </c>
      <c r="CB134">
        <f>IF(OR($C134="",$M134=""),"",MIN($BL134:$BY134))</f>
        <v/>
      </c>
      <c r="CC134" s="90">
        <f>IF($CB134="","",IF($CB134&gt;=99,"",'設定'!$C$6+$CB134))</f>
        <v/>
      </c>
      <c r="CD134">
        <f>IF(OR($C134="",$M134=""),"",AVERAGE($V134:$AI134))</f>
        <v/>
      </c>
      <c r="CE134">
        <f>IF($C134="","",IFERROR(IF(MATCH(IF(ISNUMBER($P134),$P134,'設定'!$C$6+N('設定'!$C$7)),$V$3:$AI$3,0)=1,MAX(0,N($L134)),INDEX($AJ134:$AW134,MATCH(IF(ISNUMBER($P134),$P134,'設定'!$C$6+N('設定'!$C$7)),$V$3:$AI$3,0)-1)),""))</f>
        <v/>
      </c>
      <c r="CF134">
        <f>IF(OR($C134="",$O134="",$CE134=""),"",IF($O134-$CE134&lt;=0,0,ROUNDUP(($O134-$CE134)/$G134,0)))</f>
        <v/>
      </c>
      <c r="CG134">
        <f>IF(OR($C134="",$CF134="",NOT(ISNUMBER($Q134))),0,MAX(0,$Q134-$CF134))</f>
        <v/>
      </c>
      <c r="CH134">
        <f>IF(OR($C134="",$O134="",$U134=0),0,IFERROR(ROUNDUP(MAX(0,IF(MATCH($S134,$V$3:$AI$3,0)=1,MAX(0,N($L134)),INDEX($AX134:$BK134,MATCH($S134,$V$3:$AI$3,0)-1))+$U134-$O134)/$G134,0),0))</f>
        <v/>
      </c>
      <c r="CI134">
        <f>IF($C134="","",IF(AND($P134="",$Q134=""),"",IF($P134="","⚠ 入庫日を ▼ から選んでください",IF(NOT(ISNUMBER($P134)),"⚠ 入庫日は ▼ から選んでください",IF($P134&lt;N('設定'!$C$6),"⚠ 入庫日が過去です（もう在庫に入っています）→ 消してください",IF($P134&gt;N('設定'!$C$6)+13,"⚠ 入庫日が14日より先です",IF(N($Q134)&lt;=0,"⚠ 入庫数を入れてください",IF($CG134&gt;0,"⚠ 目安より "&amp;$CG134&amp;" 多い（定数を超える）→ 減らす",""))))))))</f>
        <v/>
      </c>
      <c r="CJ134">
        <f>IF($C134="","",IF(AND($S134="",$T134=""),"",IF($S134="","⚠ 2便目：入庫日を ▼ から選んでください",IF(NOT(ISNUMBER($S134)),"⚠ 2便目：入庫日は ▼ から選んでください",IF($S134&lt;N('設定'!$C$6),"⚠ 2便目：入庫日が過去です（もう在庫に入っています）→ 消してください",IF($S134&gt;N('設定'!$C$6)+13,"⚠ 2便目：入庫日が14日より先です",IF(N($T134)&lt;=0,"⚠ 2便目：入庫数を入れてください",IF($CH134&gt;0,"⚠ 2便目：定数を "&amp;$CH134&amp;" ケース超える → 減らす",""))))))))</f>
        <v/>
      </c>
      <c r="CK134">
        <f>IF(AND($CI134="",N($Q134)&gt;0,ISNUMBER($P134)),1,0)</f>
        <v/>
      </c>
      <c r="CL134">
        <f>IF(AND($CJ134="",N($T134)&gt;0,ISNUMBER($S134)),1,0)</f>
        <v/>
      </c>
      <c r="CM134">
        <f>IF(OR($CK134=1,$CL134=1),1,0)</f>
        <v/>
      </c>
      <c r="CN134">
        <f>IF($C134="",0,($CK134*$R134+$CL134*$U134)*N($H134))</f>
        <v/>
      </c>
      <c r="CO134">
        <f>IF($C134="","",IF($CC134="","入庫後は 14日以上もつ",IF($CC134-N('設定'!$C$7)&lt;='設定'!$C$6,"入庫後も "&amp;TEXT($CC134,"m/d")&amp;"("&amp;CHOOSE(WEEKDAY($CC134),"日","月","火","水","木","金","土")&amp;")"&amp;" に切れる　もう1便を至急発注","入庫後も "&amp;TEXT($CC134,"m/d")&amp;"("&amp;CHOOSE(WEEKDAY($CC134),"日","月","火","水","木","金","土")&amp;")"&amp;" に切れる　"&amp;TEXT($CC134-N('設定'!$C$7),"m/d")&amp;"("&amp;CHOOSE(WEEKDAY($CC134-N('設定'!$C$7)),"日","月","火","水","木","金","土")&amp;")"&amp;" までに次を発注")))</f>
        <v/>
      </c>
      <c r="CP134">
        <f>IF($C134="","",IF('設定'!$C$6="","？ ①在庫を貼る に今日のCSVが貼られていない",IF($CS134=1,"－ 今日のCSVに無い（終売？）",IF($L134&lt;0,"● 在庫がマイナス　数えて「数えた在庫」に入れる",IF($L134=0,"● 在庫なし　至急発注",IF($M134="","？ 減り数が未設定（商品マスタ）",IF($B$3=0,"？ 動員が未入力（動員を入れる）",IF($CA134="","○ 14日以上もつ",IF($BZ134&lt;N('設定'!$C$7),"● "&amp;TEXT($CA134,"m/d")&amp;"("&amp;CHOOSE(WEEKDAY($CA134),"日","月","火","水","木","金","土")&amp;")"&amp;" に切れる　至急発注",IF($BZ134=N('設定'!$C$7),"● "&amp;TEXT($CA134,"m/d")&amp;"("&amp;CHOOSE(WEEKDAY($CA134),"日","月","火","水","木","金","土")&amp;")"&amp;" に切れる　今日発注","△ "&amp;TEXT($CA134,"m/d")&amp;"("&amp;CHOOSE(WEEKDAY($CA134),"日","月","火","水","木","金","土")&amp;")"&amp;" に切れる　"&amp;TEXT($CA134-N('設定'!$C$7),"m/d")&amp;"("&amp;CHOOSE(WEEKDAY($CA134-N('設定'!$C$7)),"日","月","火","水","木","金","土")&amp;")"&amp;" までに発注"))))))))))</f>
        <v/>
      </c>
      <c r="CQ134">
        <f>IF($C134="","",IF(AND($P134="",$Q134="",$S134="",$T134=""),"",IF(AND($P134="",$Q134=""),"⚠ 先に1便目（左の入庫日・入庫数）に入れてください",IF($CI134&lt;&gt;"",$CI134,IF($CJ134&lt;&gt;"",$CJ134,IF($M134="","？ 減り数が未設定（発注書には載ります）",IF($B$3=0,"？ 動員が未入力（発注書には載ります）",IF(AND($CA134&lt;&gt;"",$P134&gt;$CA134),IF($P134&gt;'設定'!$C$6+N('設定'!$C$7),"● "&amp;TEXT($P134,"m/d")&amp;"("&amp;CHOOSE(WEEKDAY($P134),"日","月","火","水","木","金","土")&amp;")"&amp;" の入庫では間に合わない（"&amp;TEXT($CA134,"m/d")&amp;"("&amp;CHOOSE(WEEKDAY($CA134),"日","月","火","水","木","金","土")&amp;")"&amp;" に切れる）　入庫日を早める","△ 欠品 "&amp;TEXT($CA134,"m/d")&amp;"("&amp;CHOOSE(WEEKDAY($CA134),"日","月","火","水","木","金","土")&amp;")"&amp;"〜"&amp;TEXT($P134-1,"m/d")&amp;"("&amp;CHOOSE(WEEKDAY($P134-1),"日","月","火","水","木","金","土")&amp;")"&amp;"　"&amp;$CO134),IF($CC134="","○ "&amp;TEXT($P134,"m/d")&amp;"("&amp;CHOOSE(WEEKDAY($P134),"日","月","火","水","木","金","土")&amp;")"&amp;" 入庫で 14日以上もつ",IF($CC134-N('設定'!$C$7)&lt;='設定'!$C$6,"● 入庫しても "&amp;TEXT($CC134,"m/d")&amp;"("&amp;CHOOSE(WEEKDAY($CC134),"日","月","火","水","木","金","土")&amp;")"&amp;" に切れる　もう1便を至急発注（2便目に入れる）","△ 入庫しても "&amp;TEXT($CC134,"m/d")&amp;"("&amp;CHOOSE(WEEKDAY($CC134),"日","月","火","水","木","金","土")&amp;")"&amp;" に切れる　"&amp;TEXT($CC134-N('設定'!$C$7),"m/d")&amp;"("&amp;CHOOSE(WEEKDAY($CC134-N('設定'!$C$7)),"日","月","火","水","木","金","土")&amp;")"&amp;" までに次を発注（2便目に入れる）"))))))))))</f>
        <v/>
      </c>
      <c r="CR134">
        <f>IF($C134="","",IF($G134&gt;1,"ｹｰｽ("&amp;$G134&amp;"入)","個"))</f>
        <v/>
      </c>
      <c r="CS134">
        <f>IF($C134="",0,IF(COUNTIFS('①在庫を貼る'!$V$6:$V$10005,'設定'!$C$4,'①在庫を貼る'!$W$6:$W$10005,$C134)=0,1,0))</f>
        <v/>
      </c>
      <c r="CT134">
        <f>IF(AND($CK134=1,OR('③発注書'!$C$4="すべて",'③発注書'!$C$4="",$F134='③発注書'!$C$4)),N($CT133)+1,N($CT133))</f>
        <v/>
      </c>
      <c r="CU134">
        <f>IF(AND($CL134=1,OR('③発注書'!$C$4="すべて",'③発注書'!$C$4="",$F134='③発注書'!$C$4)),N($CU133)+1,N($CU133))</f>
        <v/>
      </c>
      <c r="CV134">
        <f>IF($C134="",0,IF(COUNTIFS('①在庫を貼る'!$V$6:$V$10005,'設定'!$C$4,'①在庫を貼る'!$W$6:$W$10005,$C134)&gt;0,1,0))</f>
        <v/>
      </c>
      <c r="CW134">
        <f>IF($C134="",0,IF(COUNTIFS('月1回_1ヶ月前の在庫'!$V$6:$V$10005,'設定'!$C$4,'月1回_1ヶ月前の在庫'!$W$6:$W$10005,$C134)&gt;0,1,0))</f>
        <v/>
      </c>
      <c r="CX134">
        <f>IF($C134="",0,IF(COUNTIFS('月1回_2ヶ月前の在庫'!$V$6:$V$10005,'設定'!$C$4,'月1回_2ヶ月前の在庫'!$W$6:$W$10005,$C134)&gt;0,1,0))</f>
        <v/>
      </c>
      <c r="CY134">
        <f>IF(OR($C134="",'設定'!$C$12=""),"",IF('設定'!$C$13="",IF(AND($CV134=1,$CW134=0),"新商品（今月から）",IF(AND($CV134=0,$CW134=1),"終売（今月から）","")),IF(AND($CV134=1,$CW134=0,$CX134=0),"新商品（今月から）",IF(AND($CV134=1,$CW134=1,$CX134=0),"新商品（先月から）",IF(AND($CV134=0,$CW134=1,$CX134=1),"終売（今月から）",IF(AND($CV134=0,$CW134=0,$CX134=1),"終売（先月から）",IF(AND($CV134=1,$CW134=0,$CX134=1),"復活（先月は無し）","")))))))</f>
        <v/>
      </c>
    </row>
    <row r="135">
      <c r="B135">
        <f>IF(130&lt;='設定'!$C$11,130,"")</f>
        <v/>
      </c>
      <c r="C135">
        <f>IF($B135="","",IF($B135&lt;='設定'!$C$20,INDEX('商品マスタ'!$B$6:$B$1005,MATCH($B135,'商品マスタ'!$M$6:$M$1005,0)),IF($B135&lt;='設定'!$C$20+'設定'!$C$17,INDEX('①在庫を貼る'!$W$6:$W$10005,MATCH($B135-'設定'!$C$20,'①在庫を貼る'!$U$6:$U$10005,0)),IF($B135&lt;='設定'!$C$20+'設定'!$C$17+'設定'!$C$18,INDEX('月1回_1ヶ月前の在庫'!$W$6:$W$10005,MATCH($B135-'設定'!$C$20-'設定'!$C$17,'月1回_1ヶ月前の在庫'!$U$6:$U$10005,0)),INDEX('月1回_2ヶ月前の在庫'!$W$6:$W$10005,MATCH($B135-'設定'!$C$20-'設定'!$C$17-'設定'!$C$18,'月1回_2ヶ月前の在庫'!$U$6:$U$10005,0))))))</f>
        <v/>
      </c>
      <c r="D135">
        <f>IF($C135="","",IFERROR(IF(INDEX('商品マスタ'!$C$6:$C$1005,MATCH($C135,'商品マスタ'!$B$6:$B$1005,0))="",IFERROR(INDEX('①在庫を貼る'!$J$6:$J$10005,MATCH($C135,'①在庫を貼る'!$W$6:$W$10005,0)),IFERROR(INDEX('月1回_1ヶ月前の在庫'!$J$6:$J$10005,MATCH($C135,'月1回_1ヶ月前の在庫'!$W$6:$W$10005,0)),IFERROR(INDEX('月1回_2ヶ月前の在庫'!$J$6:$J$10005,MATCH($C135,'月1回_2ヶ月前の在庫'!$W$6:$W$10005,0)),""))),INDEX('商品マスタ'!$C$6:$C$1005,MATCH($C135,'商品マスタ'!$B$6:$B$1005,0))),IFERROR(INDEX('①在庫を貼る'!$J$6:$J$10005,MATCH($C135,'①在庫を貼る'!$W$6:$W$10005,0)),IFERROR(INDEX('月1回_1ヶ月前の在庫'!$J$6:$J$10005,MATCH($C135,'月1回_1ヶ月前の在庫'!$W$6:$W$10005,0)),IFERROR(INDEX('月1回_2ヶ月前の在庫'!$J$6:$J$10005,MATCH($C135,'月1回_2ヶ月前の在庫'!$W$6:$W$10005,0)),"")))))</f>
        <v/>
      </c>
      <c r="E135">
        <f>IF($C135="","",IFERROR(IF(INDEX('商品マスタ'!$D$6:$D$1005,MATCH($C135,'商品マスタ'!$B$6:$B$1005,0))="",IFERROR(INDEX('①在庫を貼る'!$H$6:$H$10005,MATCH($C135,'①在庫を貼る'!$W$6:$W$10005,0)),IFERROR(INDEX('月1回_1ヶ月前の在庫'!$H$6:$H$10005,MATCH($C135,'月1回_1ヶ月前の在庫'!$W$6:$W$10005,0)),IFERROR(INDEX('月1回_2ヶ月前の在庫'!$H$6:$H$10005,MATCH($C135,'月1回_2ヶ月前の在庫'!$W$6:$W$10005,0)),""))),INDEX('商品マスタ'!$D$6:$D$1005,MATCH($C135,'商品マスタ'!$B$6:$B$1005,0))),IFERROR(INDEX('①在庫を貼る'!$H$6:$H$10005,MATCH($C135,'①在庫を貼る'!$W$6:$W$10005,0)),IFERROR(INDEX('月1回_1ヶ月前の在庫'!$H$6:$H$10005,MATCH($C135,'月1回_1ヶ月前の在庫'!$W$6:$W$10005,0)),IFERROR(INDEX('月1回_2ヶ月前の在庫'!$H$6:$H$10005,MATCH($C135,'月1回_2ヶ月前の在庫'!$W$6:$W$10005,0)),"")))))</f>
        <v/>
      </c>
      <c r="F135">
        <f>IF($C135="","",IFERROR(IF(INDEX('商品マスタ'!$E$6:$E$1005,MATCH($C135,'商品マスタ'!$B$6:$B$1005,0))="",IFERROR(INDEX('①在庫を貼る'!$E$6:$E$10005,MATCH($C135,'①在庫を貼る'!$W$6:$W$10005,0)),IFERROR(INDEX('月1回_1ヶ月前の在庫'!$E$6:$E$10005,MATCH($C135,'月1回_1ヶ月前の在庫'!$W$6:$W$10005,0)),IFERROR(INDEX('月1回_2ヶ月前の在庫'!$E$6:$E$10005,MATCH($C135,'月1回_2ヶ月前の在庫'!$W$6:$W$10005,0)),""))),INDEX('商品マスタ'!$E$6:$E$1005,MATCH($C135,'商品マスタ'!$B$6:$B$1005,0))),IFERROR(INDEX('①在庫を貼る'!$E$6:$E$10005,MATCH($C135,'①在庫を貼る'!$W$6:$W$10005,0)),IFERROR(INDEX('月1回_1ヶ月前の在庫'!$E$6:$E$10005,MATCH($C135,'月1回_1ヶ月前の在庫'!$W$6:$W$10005,0)),IFERROR(INDEX('月1回_2ヶ月前の在庫'!$E$6:$E$10005,MATCH($C135,'月1回_2ヶ月前の在庫'!$W$6:$W$10005,0)),"")))))</f>
        <v/>
      </c>
      <c r="G135">
        <f>IF($C135="","",MAX(1,N(IFERROR(IF(INDEX('商品マスタ'!$F$6:$F$1005,MATCH($C135,'商品マスタ'!$B$6:$B$1005,0))="",IF(COUNTIFS('①在庫を貼る'!$V$6:$V$10005,'設定'!$C$4,'①在庫を貼る'!$W$6:$W$10005,$C135)&gt;0,SUMIFS('①在庫を貼る'!$K$6:$K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K$6:$K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K$6:$K$10005,'月1回_2ヶ月前の在庫'!$V$6:$V$10005,'設定'!$C$4,'月1回_2ヶ月前の在庫'!$W$6:$W$10005,$C135)/COUNTIFS('月1回_2ヶ月前の在庫'!$V$6:$V$10005,'設定'!$C$4,'月1回_2ヶ月前の在庫'!$W$6:$W$10005,$C135),0))),INDEX('商品マスタ'!$F$6:$F$1005,MATCH($C135,'商品マスタ'!$B$6:$B$1005,0))),IF(COUNTIFS('①在庫を貼る'!$V$6:$V$10005,'設定'!$C$4,'①在庫を貼る'!$W$6:$W$10005,$C135)&gt;0,SUMIFS('①在庫を貼る'!$K$6:$K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K$6:$K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K$6:$K$10005,'月1回_2ヶ月前の在庫'!$V$6:$V$10005,'設定'!$C$4,'月1回_2ヶ月前の在庫'!$W$6:$W$10005,$C135)/COUNTIFS('月1回_2ヶ月前の在庫'!$V$6:$V$10005,'設定'!$C$4,'月1回_2ヶ月前の在庫'!$W$6:$W$10005,$C135),0)))))))</f>
        <v/>
      </c>
      <c r="H135">
        <f>IF($C135="","",N(IFERROR(IF(INDEX('商品マスタ'!$G$6:$G$1005,MATCH($C135,'商品マスタ'!$B$6:$B$1005,0))="",IF(COUNTIFS('①在庫を貼る'!$V$6:$V$10005,'設定'!$C$4,'①在庫を貼る'!$W$6:$W$10005,$C135)&gt;0,SUMIFS('①在庫を貼る'!$Q$6:$Q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Q$6:$Q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Q$6:$Q$10005,'月1回_2ヶ月前の在庫'!$V$6:$V$10005,'設定'!$C$4,'月1回_2ヶ月前の在庫'!$W$6:$W$10005,$C135)/COUNTIFS('月1回_2ヶ月前の在庫'!$V$6:$V$10005,'設定'!$C$4,'月1回_2ヶ月前の在庫'!$W$6:$W$10005,$C135),0))),INDEX('商品マスタ'!$G$6:$G$1005,MATCH($C135,'商品マスタ'!$B$6:$B$1005,0))),IF(COUNTIFS('①在庫を貼る'!$V$6:$V$10005,'設定'!$C$4,'①在庫を貼る'!$W$6:$W$10005,$C135)&gt;0,SUMIFS('①在庫を貼る'!$Q$6:$Q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Q$6:$Q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Q$6:$Q$10005,'月1回_2ヶ月前の在庫'!$V$6:$V$10005,'設定'!$C$4,'月1回_2ヶ月前の在庫'!$W$6:$W$10005,$C135)/COUNTIFS('月1回_2ヶ月前の在庫'!$V$6:$V$10005,'設定'!$C$4,'月1回_2ヶ月前の在庫'!$W$6:$W$10005,$C135),0))))))</f>
        <v/>
      </c>
      <c r="I135">
        <f>IF($C135="","",IF(COUNTIFS('①在庫を貼る'!$V$6:$V$10005,'設定'!$C$4,'①在庫を貼る'!$W$6:$W$10005,$C135)=0,"",SUMIFS('①在庫を貼る'!$N$6:$N$10005,'①在庫を貼る'!$V$6:$V$10005,'設定'!$C$4,'①在庫を貼る'!$W$6:$W$10005,$C135)))</f>
        <v/>
      </c>
      <c r="J135">
        <f>IF($C135="","",IF('②発注する'!$AD139="","",'②発注する'!$AD139))</f>
        <v/>
      </c>
      <c r="K135" s="90">
        <f>IF($C135="","",IF('②発注する'!$AE139="","",'②発注する'!$AE139))</f>
        <v/>
      </c>
      <c r="L135">
        <f>IF($C135="","",IF(AND(ISNUMBER($J135),ISNUMBER($K135),$K135&gt;='設定'!$C$6),$J135,N($I135)))</f>
        <v/>
      </c>
      <c r="M135">
        <f>IF($C135="","",IFERROR(IF(N(INDEX('商品マスタ'!$J$6:$J$1005,MATCH($C135,'商品マスタ'!$B$6:$B$1005,0)))&gt;0,INDEX('商品マスタ'!$J$6:$J$1005,MATCH($C135,'商品マスタ'!$B$6:$B$1005,0)),""),""))</f>
        <v/>
      </c>
      <c r="N135">
        <f>IF($C135="","",IFERROR(IF(N(INDEX('商品マスタ'!$H$6:$H$1005,MATCH($C135,'商品マスタ'!$B$6:$B$1005,0)))&gt;0,INDEX('商品マスタ'!$H$6:$H$1005,MATCH($C135,'商品マスタ'!$B$6:$B$1005,0)),""),""))</f>
        <v/>
      </c>
      <c r="O135">
        <f>IF($C135="","",IF($N135&lt;&gt;"",$N135*$G135,IF(N(IF(COUNTIFS('①在庫を貼る'!$V$6:$V$10005,'設定'!$C$4,'①在庫を貼る'!$W$6:$W$10005,$C135)&gt;0,SUMIFS('①在庫を貼る'!$O$6:$O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O$6:$O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O$6:$O$10005,'月1回_2ヶ月前の在庫'!$V$6:$V$10005,'設定'!$C$4,'月1回_2ヶ月前の在庫'!$W$6:$W$10005,$C135)/COUNTIFS('月1回_2ヶ月前の在庫'!$V$6:$V$10005,'設定'!$C$4,'月1回_2ヶ月前の在庫'!$W$6:$W$10005,$C135),0))))&gt;0,N(IF(COUNTIFS('①在庫を貼る'!$V$6:$V$10005,'設定'!$C$4,'①在庫を貼る'!$W$6:$W$10005,$C135)&gt;0,SUMIFS('①在庫を貼る'!$O$6:$O$10005,'①在庫を貼る'!$V$6:$V$10005,'設定'!$C$4,'①在庫を貼る'!$W$6:$W$10005,$C135)/COUNTIFS('①在庫を貼る'!$V$6:$V$10005,'設定'!$C$4,'①在庫を貼る'!$W$6:$W$10005,$C135),IF(COUNTIFS('月1回_1ヶ月前の在庫'!$V$6:$V$10005,'設定'!$C$4,'月1回_1ヶ月前の在庫'!$W$6:$W$10005,$C135)&gt;0,SUMIFS('月1回_1ヶ月前の在庫'!$O$6:$O$10005,'月1回_1ヶ月前の在庫'!$V$6:$V$10005,'設定'!$C$4,'月1回_1ヶ月前の在庫'!$W$6:$W$10005,$C135)/COUNTIFS('月1回_1ヶ月前の在庫'!$V$6:$V$10005,'設定'!$C$4,'月1回_1ヶ月前の在庫'!$W$6:$W$10005,$C135),IF(COUNTIFS('月1回_2ヶ月前の在庫'!$V$6:$V$10005,'設定'!$C$4,'月1回_2ヶ月前の在庫'!$W$6:$W$10005,$C135)&gt;0,SUMIFS('月1回_2ヶ月前の在庫'!$O$6:$O$10005,'月1回_2ヶ月前の在庫'!$V$6:$V$10005,'設定'!$C$4,'月1回_2ヶ月前の在庫'!$W$6:$W$10005,$C135)/COUNTIFS('月1回_2ヶ月前の在庫'!$V$6:$V$10005,'設定'!$C$4,'月1回_2ヶ月前の在庫'!$W$6:$W$10005,$C135),0)))),"")))</f>
        <v/>
      </c>
      <c r="P135" s="90">
        <f>IF($C135="","",IF('②発注する'!$I139="","",'②発注する'!$I139))</f>
        <v/>
      </c>
      <c r="Q135">
        <f>IF($C135="","",IF('②発注する'!$J139="","",'②発注する'!$J139))</f>
        <v/>
      </c>
      <c r="R135">
        <f>IF($C135="",0,IF(AND(ISNUMBER($P135),ISNUMBER($Q135)),MAX(0,$Q135)*$G135,0))</f>
        <v/>
      </c>
      <c r="S135" s="90">
        <f>IF($C135="","",IF('②発注する'!$M139="","",'②発注する'!$M139))</f>
        <v/>
      </c>
      <c r="T135">
        <f>IF($C135="","",IF('②発注する'!$N139="","",'②発注する'!$N139))</f>
        <v/>
      </c>
      <c r="U135">
        <f>IF($C135="",0,IF(AND(ISNUMBER($S135),ISNUMBER($T135)),MAX(0,$T135)*$G135,0))</f>
        <v/>
      </c>
      <c r="V135">
        <f>IF($C135="",0,IF($M135="",0,MAX(0,$M135)*MAX(0,V$4)/100))</f>
        <v/>
      </c>
      <c r="W135">
        <f>IF($C135="",0,IF($M135="",0,MAX(0,$M135)*MAX(0,W$4)/100))</f>
        <v/>
      </c>
      <c r="X135">
        <f>IF($C135="",0,IF($M135="",0,MAX(0,$M135)*MAX(0,X$4)/100))</f>
        <v/>
      </c>
      <c r="Y135">
        <f>IF($C135="",0,IF($M135="",0,MAX(0,$M135)*MAX(0,Y$4)/100))</f>
        <v/>
      </c>
      <c r="Z135">
        <f>IF($C135="",0,IF($M135="",0,MAX(0,$M135)*MAX(0,Z$4)/100))</f>
        <v/>
      </c>
      <c r="AA135">
        <f>IF($C135="",0,IF($M135="",0,MAX(0,$M135)*MAX(0,AA$4)/100))</f>
        <v/>
      </c>
      <c r="AB135">
        <f>IF($C135="",0,IF($M135="",0,MAX(0,$M135)*MAX(0,AB$4)/100))</f>
        <v/>
      </c>
      <c r="AC135">
        <f>IF($C135="",0,IF($M135="",0,MAX(0,$M135)*MAX(0,AC$4)/100))</f>
        <v/>
      </c>
      <c r="AD135">
        <f>IF($C135="",0,IF($M135="",0,MAX(0,$M135)*MAX(0,AD$4)/100))</f>
        <v/>
      </c>
      <c r="AE135">
        <f>IF($C135="",0,IF($M135="",0,MAX(0,$M135)*MAX(0,AE$4)/100))</f>
        <v/>
      </c>
      <c r="AF135">
        <f>IF($C135="",0,IF($M135="",0,MAX(0,$M135)*MAX(0,AF$4)/100))</f>
        <v/>
      </c>
      <c r="AG135">
        <f>IF($C135="",0,IF($M135="",0,MAX(0,$M135)*MAX(0,AG$4)/100))</f>
        <v/>
      </c>
      <c r="AH135">
        <f>IF($C135="",0,IF($M135="",0,MAX(0,$M135)*MAX(0,AH$4)/100))</f>
        <v/>
      </c>
      <c r="AI135">
        <f>IF($C135="",0,IF($M135="",0,MAX(0,$M135)*MAX(0,AI$4)/100))</f>
        <v/>
      </c>
      <c r="AJ135">
        <f>IF($C135="",0,MAX(0,MAX(0,N($L135))-$V135))</f>
        <v/>
      </c>
      <c r="AK135">
        <f>IF($C135="",0,MAX(0,$AJ135-$W135))</f>
        <v/>
      </c>
      <c r="AL135">
        <f>IF($C135="",0,MAX(0,$AK135-$X135))</f>
        <v/>
      </c>
      <c r="AM135">
        <f>IF($C135="",0,MAX(0,$AL135-$Y135))</f>
        <v/>
      </c>
      <c r="AN135">
        <f>IF($C135="",0,MAX(0,$AM135-$Z135))</f>
        <v/>
      </c>
      <c r="AO135">
        <f>IF($C135="",0,MAX(0,$AN135-$AA135))</f>
        <v/>
      </c>
      <c r="AP135">
        <f>IF($C135="",0,MAX(0,$AO135-$AB135))</f>
        <v/>
      </c>
      <c r="AQ135">
        <f>IF($C135="",0,MAX(0,$AP135-$AC135))</f>
        <v/>
      </c>
      <c r="AR135">
        <f>IF($C135="",0,MAX(0,$AQ135-$AD135))</f>
        <v/>
      </c>
      <c r="AS135">
        <f>IF($C135="",0,MAX(0,$AR135-$AE135))</f>
        <v/>
      </c>
      <c r="AT135">
        <f>IF($C135="",0,MAX(0,$AS135-$AF135))</f>
        <v/>
      </c>
      <c r="AU135">
        <f>IF($C135="",0,MAX(0,$AT135-$AG135))</f>
        <v/>
      </c>
      <c r="AV135">
        <f>IF($C135="",0,MAX(0,$AU135-$AH135))</f>
        <v/>
      </c>
      <c r="AW135">
        <f>IF($C135="",0,MAX(0,$AV135-$AI135))</f>
        <v/>
      </c>
      <c r="AX135">
        <f>IF($C135="",0,MAX(0,MAX(0,N($L135))+IF($P135=V$3,$R135,0)+IF($S135=V$3,$U135,0)-$V135))</f>
        <v/>
      </c>
      <c r="AY135">
        <f>IF($C135="",0,MAX(0,$AX135+IF($P135=W$3,$R135,0)+IF($S135=W$3,$U135,0)-$W135))</f>
        <v/>
      </c>
      <c r="AZ135">
        <f>IF($C135="",0,MAX(0,$AY135+IF($P135=X$3,$R135,0)+IF($S135=X$3,$U135,0)-$X135))</f>
        <v/>
      </c>
      <c r="BA135">
        <f>IF($C135="",0,MAX(0,$AZ135+IF($P135=Y$3,$R135,0)+IF($S135=Y$3,$U135,0)-$Y135))</f>
        <v/>
      </c>
      <c r="BB135">
        <f>IF($C135="",0,MAX(0,$BA135+IF($P135=Z$3,$R135,0)+IF($S135=Z$3,$U135,0)-$Z135))</f>
        <v/>
      </c>
      <c r="BC135">
        <f>IF($C135="",0,MAX(0,$BB135+IF($P135=AA$3,$R135,0)+IF($S135=AA$3,$U135,0)-$AA135))</f>
        <v/>
      </c>
      <c r="BD135">
        <f>IF($C135="",0,MAX(0,$BC135+IF($P135=AB$3,$R135,0)+IF($S135=AB$3,$U135,0)-$AB135))</f>
        <v/>
      </c>
      <c r="BE135">
        <f>IF($C135="",0,MAX(0,$BD135+IF($P135=AC$3,$R135,0)+IF($S135=AC$3,$U135,0)-$AC135))</f>
        <v/>
      </c>
      <c r="BF135">
        <f>IF($C135="",0,MAX(0,$BE135+IF($P135=AD$3,$R135,0)+IF($S135=AD$3,$U135,0)-$AD135))</f>
        <v/>
      </c>
      <c r="BG135">
        <f>IF($C135="",0,MAX(0,$BF135+IF($P135=AE$3,$R135,0)+IF($S135=AE$3,$U135,0)-$AE135))</f>
        <v/>
      </c>
      <c r="BH135">
        <f>IF($C135="",0,MAX(0,$BG135+IF($P135=AF$3,$R135,0)+IF($S135=AF$3,$U135,0)-$AF135))</f>
        <v/>
      </c>
      <c r="BI135">
        <f>IF($C135="",0,MAX(0,$BH135+IF($P135=AG$3,$R135,0)+IF($S135=AG$3,$U135,0)-$AG135))</f>
        <v/>
      </c>
      <c r="BJ135">
        <f>IF($C135="",0,MAX(0,$BI135+IF($P135=AH$3,$R135,0)+IF($S135=AH$3,$U135,0)-$AH135))</f>
        <v/>
      </c>
      <c r="BK135">
        <f>IF($C135="",0,MAX(0,$BJ135+IF($P135=AI$3,$R135,0)+IF($S135=AI$3,$U135,0)-$AI135))</f>
        <v/>
      </c>
      <c r="BL135">
        <f>IF($C135="",99,IF(AND($AX135&lt;1,V$3&gt;=MAX(N($P135),N($S135))),0,99))</f>
        <v/>
      </c>
      <c r="BM135">
        <f>IF($C135="",99,IF(AND($AY135&lt;1,W$3&gt;=MAX(N($P135),N($S135))),1,99))</f>
        <v/>
      </c>
      <c r="BN135">
        <f>IF($C135="",99,IF(AND($AZ135&lt;1,X$3&gt;=MAX(N($P135),N($S135))),2,99))</f>
        <v/>
      </c>
      <c r="BO135">
        <f>IF($C135="",99,IF(AND($BA135&lt;1,Y$3&gt;=MAX(N($P135),N($S135))),3,99))</f>
        <v/>
      </c>
      <c r="BP135">
        <f>IF($C135="",99,IF(AND($BB135&lt;1,Z$3&gt;=MAX(N($P135),N($S135))),4,99))</f>
        <v/>
      </c>
      <c r="BQ135">
        <f>IF($C135="",99,IF(AND($BC135&lt;1,AA$3&gt;=MAX(N($P135),N($S135))),5,99))</f>
        <v/>
      </c>
      <c r="BR135">
        <f>IF($C135="",99,IF(AND($BD135&lt;1,AB$3&gt;=MAX(N($P135),N($S135))),6,99))</f>
        <v/>
      </c>
      <c r="BS135">
        <f>IF($C135="",99,IF(AND($BE135&lt;1,AC$3&gt;=MAX(N($P135),N($S135))),7,99))</f>
        <v/>
      </c>
      <c r="BT135">
        <f>IF($C135="",99,IF(AND($BF135&lt;1,AD$3&gt;=MAX(N($P135),N($S135))),8,99))</f>
        <v/>
      </c>
      <c r="BU135">
        <f>IF($C135="",99,IF(AND($BG135&lt;1,AE$3&gt;=MAX(N($P135),N($S135))),9,99))</f>
        <v/>
      </c>
      <c r="BV135">
        <f>IF($C135="",99,IF(AND($BH135&lt;1,AF$3&gt;=MAX(N($P135),N($S135))),10,99))</f>
        <v/>
      </c>
      <c r="BW135">
        <f>IF($C135="",99,IF(AND($BI135&lt;1,AG$3&gt;=MAX(N($P135),N($S135))),11,99))</f>
        <v/>
      </c>
      <c r="BX135">
        <f>IF($C135="",99,IF(AND($BJ135&lt;1,AH$3&gt;=MAX(N($P135),N($S135))),12,99))</f>
        <v/>
      </c>
      <c r="BY135">
        <f>IF($C135="",99,IF(AND($BK135&lt;1,AI$3&gt;=MAX(N($P135),N($S135))),13,99))</f>
        <v/>
      </c>
      <c r="BZ135">
        <f>IF(OR($C135="",$M135=""),"",COUNTIF($AJ135:$AW135,"&gt;=1"))</f>
        <v/>
      </c>
      <c r="CA135" s="90">
        <f>IF($BZ135="","",IF($BZ135&gt;=14,"",'設定'!$C$6+$BZ135))</f>
        <v/>
      </c>
      <c r="CB135">
        <f>IF(OR($C135="",$M135=""),"",MIN($BL135:$BY135))</f>
        <v/>
      </c>
      <c r="CC135" s="90">
        <f>IF($CB135="","",IF($CB135&gt;=99,"",'設定'!$C$6+$CB135))</f>
        <v/>
      </c>
      <c r="CD135">
        <f>IF(OR($C135="",$M135=""),"",AVERAGE($V135:$AI135))</f>
        <v/>
      </c>
      <c r="CE135">
        <f>IF($C135="","",IFERROR(IF(MATCH(IF(ISNUMBER($P135),$P135,'設定'!$C$6+N('設定'!$C$7)),$V$3:$AI$3,0)=1,MAX(0,N($L135)),INDEX($AJ135:$AW135,MATCH(IF(ISNUMBER($P135),$P135,'設定'!$C$6+N('設定'!$C$7)),$V$3:$AI$3,0)-1)),""))</f>
        <v/>
      </c>
      <c r="CF135">
        <f>IF(OR($C135="",$O135="",$CE135=""),"",IF($O135-$CE135&lt;=0,0,ROUNDUP(($O135-$CE135)/$G135,0)))</f>
        <v/>
      </c>
      <c r="CG135">
        <f>IF(OR($C135="",$CF135="",NOT(ISNUMBER($Q135))),0,MAX(0,$Q135-$CF135))</f>
        <v/>
      </c>
      <c r="CH135">
        <f>IF(OR($C135="",$O135="",$U135=0),0,IFERROR(ROUNDUP(MAX(0,IF(MATCH($S135,$V$3:$AI$3,0)=1,MAX(0,N($L135)),INDEX($AX135:$BK135,MATCH($S135,$V$3:$AI$3,0)-1))+$U135-$O135)/$G135,0),0))</f>
        <v/>
      </c>
      <c r="CI135">
        <f>IF($C135="","",IF(AND($P135="",$Q135=""),"",IF($P135="","⚠ 入庫日を ▼ から選んでください",IF(NOT(ISNUMBER($P135)),"⚠ 入庫日は ▼ から選んでください",IF($P135&lt;N('設定'!$C$6),"⚠ 入庫日が過去です（もう在庫に入っています）→ 消してください",IF($P135&gt;N('設定'!$C$6)+13,"⚠ 入庫日が14日より先です",IF(N($Q135)&lt;=0,"⚠ 入庫数を入れてください",IF($CG135&gt;0,"⚠ 目安より "&amp;$CG135&amp;" 多い（定数を超える）→ 減らす",""))))))))</f>
        <v/>
      </c>
      <c r="CJ135">
        <f>IF($C135="","",IF(AND($S135="",$T135=""),"",IF($S135="","⚠ 2便目：入庫日を ▼ から選んでください",IF(NOT(ISNUMBER($S135)),"⚠ 2便目：入庫日は ▼ から選んでください",IF($S135&lt;N('設定'!$C$6),"⚠ 2便目：入庫日が過去です（もう在庫に入っています）→ 消してください",IF($S135&gt;N('設定'!$C$6)+13,"⚠ 2便目：入庫日が14日より先です",IF(N($T135)&lt;=0,"⚠ 2便目：入庫数を入れてください",IF($CH135&gt;0,"⚠ 2便目：定数を "&amp;$CH135&amp;" ケース超える → 減らす",""))))))))</f>
        <v/>
      </c>
      <c r="CK135">
        <f>IF(AND($CI135="",N($Q135)&gt;0,ISNUMBER($P135)),1,0)</f>
        <v/>
      </c>
      <c r="CL135">
        <f>IF(AND($CJ135="",N($T135)&gt;0,ISNUMBER($S135)),1,0)</f>
        <v/>
      </c>
      <c r="CM135">
        <f>IF(OR($CK135=1,$CL135=1),1,0)</f>
        <v/>
      </c>
      <c r="CN135">
        <f>IF($C135="",0,($CK135*$R135+$CL135*$U135)*N($H135))</f>
        <v/>
      </c>
      <c r="CO135">
        <f>IF($C135="","",IF($CC135="","入庫後は 14日以上もつ",IF($CC135-N('設定'!$C$7)&lt;='設定'!$C$6,"入庫後も "&amp;TEXT($CC135,"m/d")&amp;"("&amp;CHOOSE(WEEKDAY($CC135),"日","月","火","水","木","金","土")&amp;")"&amp;" に切れる　もう1便を至急発注","入庫後も "&amp;TEXT($CC135,"m/d")&amp;"("&amp;CHOOSE(WEEKDAY($CC135),"日","月","火","水","木","金","土")&amp;")"&amp;" に切れる　"&amp;TEXT($CC135-N('設定'!$C$7),"m/d")&amp;"("&amp;CHOOSE(WEEKDAY($CC135-N('設定'!$C$7)),"日","月","火","水","木","金","土")&amp;")"&amp;" までに次を発注")))</f>
        <v/>
      </c>
      <c r="CP135">
        <f>IF($C135="","",IF('設定'!$C$6="","？ ①在庫を貼る に今日のCSVが貼られていない",IF($CS135=1,"－ 今日のCSVに無い（終売？）",IF($L135&lt;0,"● 在庫がマイナス　数えて「数えた在庫」に入れる",IF($L135=0,"● 在庫なし　至急発注",IF($M135="","？ 減り数が未設定（商品マスタ）",IF($B$3=0,"？ 動員が未入力（動員を入れる）",IF($CA135="","○ 14日以上もつ",IF($BZ135&lt;N('設定'!$C$7),"● "&amp;TEXT($CA135,"m/d")&amp;"("&amp;CHOOSE(WEEKDAY($CA135),"日","月","火","水","木","金","土")&amp;")"&amp;" に切れる　至急発注",IF($BZ135=N('設定'!$C$7),"● "&amp;TEXT($CA135,"m/d")&amp;"("&amp;CHOOSE(WEEKDAY($CA135),"日","月","火","水","木","金","土")&amp;")"&amp;" に切れる　今日発注","△ "&amp;TEXT($CA135,"m/d")&amp;"("&amp;CHOOSE(WEEKDAY($CA135),"日","月","火","水","木","金","土")&amp;")"&amp;" に切れる　"&amp;TEXT($CA135-N('設定'!$C$7),"m/d")&amp;"("&amp;CHOOSE(WEEKDAY($CA135-N('設定'!$C$7)),"日","月","火","水","木","金","土")&amp;")"&amp;" までに発注"))))))))))</f>
        <v/>
      </c>
      <c r="CQ135">
        <f>IF($C135="","",IF(AND($P135="",$Q135="",$S135="",$T135=""),"",IF(AND($P135="",$Q135=""),"⚠ 先に1便目（左の入庫日・入庫数）に入れてください",IF($CI135&lt;&gt;"",$CI135,IF($CJ135&lt;&gt;"",$CJ135,IF($M135="","？ 減り数が未設定（発注書には載ります）",IF($B$3=0,"？ 動員が未入力（発注書には載ります）",IF(AND($CA135&lt;&gt;"",$P135&gt;$CA135),IF($P135&gt;'設定'!$C$6+N('設定'!$C$7),"● "&amp;TEXT($P135,"m/d")&amp;"("&amp;CHOOSE(WEEKDAY($P135),"日","月","火","水","木","金","土")&amp;")"&amp;" の入庫では間に合わない（"&amp;TEXT($CA135,"m/d")&amp;"("&amp;CHOOSE(WEEKDAY($CA135),"日","月","火","水","木","金","土")&amp;")"&amp;" に切れる）　入庫日を早める","△ 欠品 "&amp;TEXT($CA135,"m/d")&amp;"("&amp;CHOOSE(WEEKDAY($CA135),"日","月","火","水","木","金","土")&amp;")"&amp;"〜"&amp;TEXT($P135-1,"m/d")&amp;"("&amp;CHOOSE(WEEKDAY($P135-1),"日","月","火","水","木","金","土")&amp;")"&amp;"　"&amp;$CO135),IF($CC135="","○ "&amp;TEXT($P135,"m/d")&amp;"("&amp;CHOOSE(WEEKDAY($P135),"日","月","火","水","木","金","土")&amp;")"&amp;" 入庫で 14日以上もつ",IF($CC135-N('設定'!$C$7)&lt;='設定'!$C$6,"● 入庫しても "&amp;TEXT($CC135,"m/d")&amp;"("&amp;CHOOSE(WEEKDAY($CC135),"日","月","火","水","木","金","土")&amp;")"&amp;" に切れる　もう1便を至急発注（2便目に入れる）","△ 入庫しても "&amp;TEXT($CC135,"m/d")&amp;"("&amp;CHOOSE(WEEKDAY($CC135),"日","月","火","水","木","金","土")&amp;")"&amp;" に切れる　"&amp;TEXT($CC135-N('設定'!$C$7),"m/d")&amp;"("&amp;CHOOSE(WEEKDAY($CC135-N('設定'!$C$7)),"日","月","火","水","木","金","土")&amp;")"&amp;" までに次を発注（2便目に入れる）"))))))))))</f>
        <v/>
      </c>
      <c r="CR135">
        <f>IF($C135="","",IF($G135&gt;1,"ｹｰｽ("&amp;$G135&amp;"入)","個"))</f>
        <v/>
      </c>
      <c r="CS135">
        <f>IF($C135="",0,IF(COUNTIFS('①在庫を貼る'!$V$6:$V$10005,'設定'!$C$4,'①在庫を貼る'!$W$6:$W$10005,$C135)=0,1,0))</f>
        <v/>
      </c>
      <c r="CT135">
        <f>IF(AND($CK135=1,OR('③発注書'!$C$4="すべて",'③発注書'!$C$4="",$F135='③発注書'!$C$4)),N($CT134)+1,N($CT134))</f>
        <v/>
      </c>
      <c r="CU135">
        <f>IF(AND($CL135=1,OR('③発注書'!$C$4="すべて",'③発注書'!$C$4="",$F135='③発注書'!$C$4)),N($CU134)+1,N($CU134))</f>
        <v/>
      </c>
      <c r="CV135">
        <f>IF($C135="",0,IF(COUNTIFS('①在庫を貼る'!$V$6:$V$10005,'設定'!$C$4,'①在庫を貼る'!$W$6:$W$10005,$C135)&gt;0,1,0))</f>
        <v/>
      </c>
      <c r="CW135">
        <f>IF($C135="",0,IF(COUNTIFS('月1回_1ヶ月前の在庫'!$V$6:$V$10005,'設定'!$C$4,'月1回_1ヶ月前の在庫'!$W$6:$W$10005,$C135)&gt;0,1,0))</f>
        <v/>
      </c>
      <c r="CX135">
        <f>IF($C135="",0,IF(COUNTIFS('月1回_2ヶ月前の在庫'!$V$6:$V$10005,'設定'!$C$4,'月1回_2ヶ月前の在庫'!$W$6:$W$10005,$C135)&gt;0,1,0))</f>
        <v/>
      </c>
      <c r="CY135">
        <f>IF(OR($C135="",'設定'!$C$12=""),"",IF('設定'!$C$13="",IF(AND($CV135=1,$CW135=0),"新商品（今月から）",IF(AND($CV135=0,$CW135=1),"終売（今月から）","")),IF(AND($CV135=1,$CW135=0,$CX135=0),"新商品（今月から）",IF(AND($CV135=1,$CW135=1,$CX135=0),"新商品（先月から）",IF(AND($CV135=0,$CW135=1,$CX135=1),"終売（今月から）",IF(AND($CV135=0,$CW135=0,$CX135=1),"終売（先月から）",IF(AND($CV135=1,$CW135=0,$CX135=1),"復活（先月は無し）","")))))))</f>
        <v/>
      </c>
    </row>
    <row r="136">
      <c r="B136">
        <f>IF(131&lt;='設定'!$C$11,131,"")</f>
        <v/>
      </c>
      <c r="C136">
        <f>IF($B136="","",IF($B136&lt;='設定'!$C$20,INDEX('商品マスタ'!$B$6:$B$1005,MATCH($B136,'商品マスタ'!$M$6:$M$1005,0)),IF($B136&lt;='設定'!$C$20+'設定'!$C$17,INDEX('①在庫を貼る'!$W$6:$W$10005,MATCH($B136-'設定'!$C$20,'①在庫を貼る'!$U$6:$U$10005,0)),IF($B136&lt;='設定'!$C$20+'設定'!$C$17+'設定'!$C$18,INDEX('月1回_1ヶ月前の在庫'!$W$6:$W$10005,MATCH($B136-'設定'!$C$20-'設定'!$C$17,'月1回_1ヶ月前の在庫'!$U$6:$U$10005,0)),INDEX('月1回_2ヶ月前の在庫'!$W$6:$W$10005,MATCH($B136-'設定'!$C$20-'設定'!$C$17-'設定'!$C$18,'月1回_2ヶ月前の在庫'!$U$6:$U$10005,0))))))</f>
        <v/>
      </c>
      <c r="D136">
        <f>IF($C136="","",IFERROR(IF(INDEX('商品マスタ'!$C$6:$C$1005,MATCH($C136,'商品マスタ'!$B$6:$B$1005,0))="",IFERROR(INDEX('①在庫を貼る'!$J$6:$J$10005,MATCH($C136,'①在庫を貼る'!$W$6:$W$10005,0)),IFERROR(INDEX('月1回_1ヶ月前の在庫'!$J$6:$J$10005,MATCH($C136,'月1回_1ヶ月前の在庫'!$W$6:$W$10005,0)),IFERROR(INDEX('月1回_2ヶ月前の在庫'!$J$6:$J$10005,MATCH($C136,'月1回_2ヶ月前の在庫'!$W$6:$W$10005,0)),""))),INDEX('商品マスタ'!$C$6:$C$1005,MATCH($C136,'商品マスタ'!$B$6:$B$1005,0))),IFERROR(INDEX('①在庫を貼る'!$J$6:$J$10005,MATCH($C136,'①在庫を貼る'!$W$6:$W$10005,0)),IFERROR(INDEX('月1回_1ヶ月前の在庫'!$J$6:$J$10005,MATCH($C136,'月1回_1ヶ月前の在庫'!$W$6:$W$10005,0)),IFERROR(INDEX('月1回_2ヶ月前の在庫'!$J$6:$J$10005,MATCH($C136,'月1回_2ヶ月前の在庫'!$W$6:$W$10005,0)),"")))))</f>
        <v/>
      </c>
      <c r="E136">
        <f>IF($C136="","",IFERROR(IF(INDEX('商品マスタ'!$D$6:$D$1005,MATCH($C136,'商品マスタ'!$B$6:$B$1005,0))="",IFERROR(INDEX('①在庫を貼る'!$H$6:$H$10005,MATCH($C136,'①在庫を貼る'!$W$6:$W$10005,0)),IFERROR(INDEX('月1回_1ヶ月前の在庫'!$H$6:$H$10005,MATCH($C136,'月1回_1ヶ月前の在庫'!$W$6:$W$10005,0)),IFERROR(INDEX('月1回_2ヶ月前の在庫'!$H$6:$H$10005,MATCH($C136,'月1回_2ヶ月前の在庫'!$W$6:$W$10005,0)),""))),INDEX('商品マスタ'!$D$6:$D$1005,MATCH($C136,'商品マスタ'!$B$6:$B$1005,0))),IFERROR(INDEX('①在庫を貼る'!$H$6:$H$10005,MATCH($C136,'①在庫を貼る'!$W$6:$W$10005,0)),IFERROR(INDEX('月1回_1ヶ月前の在庫'!$H$6:$H$10005,MATCH($C136,'月1回_1ヶ月前の在庫'!$W$6:$W$10005,0)),IFERROR(INDEX('月1回_2ヶ月前の在庫'!$H$6:$H$10005,MATCH($C136,'月1回_2ヶ月前の在庫'!$W$6:$W$10005,0)),"")))))</f>
        <v/>
      </c>
      <c r="F136">
        <f>IF($C136="","",IFERROR(IF(INDEX('商品マスタ'!$E$6:$E$1005,MATCH($C136,'商品マスタ'!$B$6:$B$1005,0))="",IFERROR(INDEX('①在庫を貼る'!$E$6:$E$10005,MATCH($C136,'①在庫を貼る'!$W$6:$W$10005,0)),IFERROR(INDEX('月1回_1ヶ月前の在庫'!$E$6:$E$10005,MATCH($C136,'月1回_1ヶ月前の在庫'!$W$6:$W$10005,0)),IFERROR(INDEX('月1回_2ヶ月前の在庫'!$E$6:$E$10005,MATCH($C136,'月1回_2ヶ月前の在庫'!$W$6:$W$10005,0)),""))),INDEX('商品マスタ'!$E$6:$E$1005,MATCH($C136,'商品マスタ'!$B$6:$B$1005,0))),IFERROR(INDEX('①在庫を貼る'!$E$6:$E$10005,MATCH($C136,'①在庫を貼る'!$W$6:$W$10005,0)),IFERROR(INDEX('月1回_1ヶ月前の在庫'!$E$6:$E$10005,MATCH($C136,'月1回_1ヶ月前の在庫'!$W$6:$W$10005,0)),IFERROR(INDEX('月1回_2ヶ月前の在庫'!$E$6:$E$10005,MATCH($C136,'月1回_2ヶ月前の在庫'!$W$6:$W$10005,0)),"")))))</f>
        <v/>
      </c>
      <c r="G136">
        <f>IF($C136="","",MAX(1,N(IFERROR(IF(INDEX('商品マスタ'!$F$6:$F$1005,MATCH($C136,'商品マスタ'!$B$6:$B$1005,0))="",IF(COUNTIFS('①在庫を貼る'!$V$6:$V$10005,'設定'!$C$4,'①在庫を貼る'!$W$6:$W$10005,$C136)&gt;0,SUMIFS('①在庫を貼る'!$K$6:$K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K$6:$K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K$6:$K$10005,'月1回_2ヶ月前の在庫'!$V$6:$V$10005,'設定'!$C$4,'月1回_2ヶ月前の在庫'!$W$6:$W$10005,$C136)/COUNTIFS('月1回_2ヶ月前の在庫'!$V$6:$V$10005,'設定'!$C$4,'月1回_2ヶ月前の在庫'!$W$6:$W$10005,$C136),0))),INDEX('商品マスタ'!$F$6:$F$1005,MATCH($C136,'商品マスタ'!$B$6:$B$1005,0))),IF(COUNTIFS('①在庫を貼る'!$V$6:$V$10005,'設定'!$C$4,'①在庫を貼る'!$W$6:$W$10005,$C136)&gt;0,SUMIFS('①在庫を貼る'!$K$6:$K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K$6:$K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K$6:$K$10005,'月1回_2ヶ月前の在庫'!$V$6:$V$10005,'設定'!$C$4,'月1回_2ヶ月前の在庫'!$W$6:$W$10005,$C136)/COUNTIFS('月1回_2ヶ月前の在庫'!$V$6:$V$10005,'設定'!$C$4,'月1回_2ヶ月前の在庫'!$W$6:$W$10005,$C136),0)))))))</f>
        <v/>
      </c>
      <c r="H136">
        <f>IF($C136="","",N(IFERROR(IF(INDEX('商品マスタ'!$G$6:$G$1005,MATCH($C136,'商品マスタ'!$B$6:$B$1005,0))="",IF(COUNTIFS('①在庫を貼る'!$V$6:$V$10005,'設定'!$C$4,'①在庫を貼る'!$W$6:$W$10005,$C136)&gt;0,SUMIFS('①在庫を貼る'!$Q$6:$Q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Q$6:$Q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Q$6:$Q$10005,'月1回_2ヶ月前の在庫'!$V$6:$V$10005,'設定'!$C$4,'月1回_2ヶ月前の在庫'!$W$6:$W$10005,$C136)/COUNTIFS('月1回_2ヶ月前の在庫'!$V$6:$V$10005,'設定'!$C$4,'月1回_2ヶ月前の在庫'!$W$6:$W$10005,$C136),0))),INDEX('商品マスタ'!$G$6:$G$1005,MATCH($C136,'商品マスタ'!$B$6:$B$1005,0))),IF(COUNTIFS('①在庫を貼る'!$V$6:$V$10005,'設定'!$C$4,'①在庫を貼る'!$W$6:$W$10005,$C136)&gt;0,SUMIFS('①在庫を貼る'!$Q$6:$Q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Q$6:$Q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Q$6:$Q$10005,'月1回_2ヶ月前の在庫'!$V$6:$V$10005,'設定'!$C$4,'月1回_2ヶ月前の在庫'!$W$6:$W$10005,$C136)/COUNTIFS('月1回_2ヶ月前の在庫'!$V$6:$V$10005,'設定'!$C$4,'月1回_2ヶ月前の在庫'!$W$6:$W$10005,$C136),0))))))</f>
        <v/>
      </c>
      <c r="I136">
        <f>IF($C136="","",IF(COUNTIFS('①在庫を貼る'!$V$6:$V$10005,'設定'!$C$4,'①在庫を貼る'!$W$6:$W$10005,$C136)=0,"",SUMIFS('①在庫を貼る'!$N$6:$N$10005,'①在庫を貼る'!$V$6:$V$10005,'設定'!$C$4,'①在庫を貼る'!$W$6:$W$10005,$C136)))</f>
        <v/>
      </c>
      <c r="J136">
        <f>IF($C136="","",IF('②発注する'!$AD140="","",'②発注する'!$AD140))</f>
        <v/>
      </c>
      <c r="K136" s="90">
        <f>IF($C136="","",IF('②発注する'!$AE140="","",'②発注する'!$AE140))</f>
        <v/>
      </c>
      <c r="L136">
        <f>IF($C136="","",IF(AND(ISNUMBER($J136),ISNUMBER($K136),$K136&gt;='設定'!$C$6),$J136,N($I136)))</f>
        <v/>
      </c>
      <c r="M136">
        <f>IF($C136="","",IFERROR(IF(N(INDEX('商品マスタ'!$J$6:$J$1005,MATCH($C136,'商品マスタ'!$B$6:$B$1005,0)))&gt;0,INDEX('商品マスタ'!$J$6:$J$1005,MATCH($C136,'商品マスタ'!$B$6:$B$1005,0)),""),""))</f>
        <v/>
      </c>
      <c r="N136">
        <f>IF($C136="","",IFERROR(IF(N(INDEX('商品マスタ'!$H$6:$H$1005,MATCH($C136,'商品マスタ'!$B$6:$B$1005,0)))&gt;0,INDEX('商品マスタ'!$H$6:$H$1005,MATCH($C136,'商品マスタ'!$B$6:$B$1005,0)),""),""))</f>
        <v/>
      </c>
      <c r="O136">
        <f>IF($C136="","",IF($N136&lt;&gt;"",$N136*$G136,IF(N(IF(COUNTIFS('①在庫を貼る'!$V$6:$V$10005,'設定'!$C$4,'①在庫を貼る'!$W$6:$W$10005,$C136)&gt;0,SUMIFS('①在庫を貼る'!$O$6:$O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O$6:$O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O$6:$O$10005,'月1回_2ヶ月前の在庫'!$V$6:$V$10005,'設定'!$C$4,'月1回_2ヶ月前の在庫'!$W$6:$W$10005,$C136)/COUNTIFS('月1回_2ヶ月前の在庫'!$V$6:$V$10005,'設定'!$C$4,'月1回_2ヶ月前の在庫'!$W$6:$W$10005,$C136),0))))&gt;0,N(IF(COUNTIFS('①在庫を貼る'!$V$6:$V$10005,'設定'!$C$4,'①在庫を貼る'!$W$6:$W$10005,$C136)&gt;0,SUMIFS('①在庫を貼る'!$O$6:$O$10005,'①在庫を貼る'!$V$6:$V$10005,'設定'!$C$4,'①在庫を貼る'!$W$6:$W$10005,$C136)/COUNTIFS('①在庫を貼る'!$V$6:$V$10005,'設定'!$C$4,'①在庫を貼る'!$W$6:$W$10005,$C136),IF(COUNTIFS('月1回_1ヶ月前の在庫'!$V$6:$V$10005,'設定'!$C$4,'月1回_1ヶ月前の在庫'!$W$6:$W$10005,$C136)&gt;0,SUMIFS('月1回_1ヶ月前の在庫'!$O$6:$O$10005,'月1回_1ヶ月前の在庫'!$V$6:$V$10005,'設定'!$C$4,'月1回_1ヶ月前の在庫'!$W$6:$W$10005,$C136)/COUNTIFS('月1回_1ヶ月前の在庫'!$V$6:$V$10005,'設定'!$C$4,'月1回_1ヶ月前の在庫'!$W$6:$W$10005,$C136),IF(COUNTIFS('月1回_2ヶ月前の在庫'!$V$6:$V$10005,'設定'!$C$4,'月1回_2ヶ月前の在庫'!$W$6:$W$10005,$C136)&gt;0,SUMIFS('月1回_2ヶ月前の在庫'!$O$6:$O$10005,'月1回_2ヶ月前の在庫'!$V$6:$V$10005,'設定'!$C$4,'月1回_2ヶ月前の在庫'!$W$6:$W$10005,$C136)/COUNTIFS('月1回_2ヶ月前の在庫'!$V$6:$V$10005,'設定'!$C$4,'月1回_2ヶ月前の在庫'!$W$6:$W$10005,$C136),0)))),"")))</f>
        <v/>
      </c>
      <c r="P136" s="90">
        <f>IF($C136="","",IF('②発注する'!$I140="","",'②発注する'!$I140))</f>
        <v/>
      </c>
      <c r="Q136">
        <f>IF($C136="","",IF('②発注する'!$J140="","",'②発注する'!$J140))</f>
        <v/>
      </c>
      <c r="R136">
        <f>IF($C136="",0,IF(AND(ISNUMBER($P136),ISNUMBER($Q136)),MAX(0,$Q136)*$G136,0))</f>
        <v/>
      </c>
      <c r="S136" s="90">
        <f>IF($C136="","",IF('②発注する'!$M140="","",'②発注する'!$M140))</f>
        <v/>
      </c>
      <c r="T136">
        <f>IF($C136="","",IF('②発注する'!$N140="","",'②発注する'!$N140))</f>
        <v/>
      </c>
      <c r="U136">
        <f>IF($C136="",0,IF(AND(ISNUMBER($S136),ISNUMBER($T136)),MAX(0,$T136)*$G136,0))</f>
        <v/>
      </c>
      <c r="V136">
        <f>IF($C136="",0,IF($M136="",0,MAX(0,$M136)*MAX(0,V$4)/100))</f>
        <v/>
      </c>
      <c r="W136">
        <f>IF($C136="",0,IF($M136="",0,MAX(0,$M136)*MAX(0,W$4)/100))</f>
        <v/>
      </c>
      <c r="X136">
        <f>IF($C136="",0,IF($M136="",0,MAX(0,$M136)*MAX(0,X$4)/100))</f>
        <v/>
      </c>
      <c r="Y136">
        <f>IF($C136="",0,IF($M136="",0,MAX(0,$M136)*MAX(0,Y$4)/100))</f>
        <v/>
      </c>
      <c r="Z136">
        <f>IF($C136="",0,IF($M136="",0,MAX(0,$M136)*MAX(0,Z$4)/100))</f>
        <v/>
      </c>
      <c r="AA136">
        <f>IF($C136="",0,IF($M136="",0,MAX(0,$M136)*MAX(0,AA$4)/100))</f>
        <v/>
      </c>
      <c r="AB136">
        <f>IF($C136="",0,IF($M136="",0,MAX(0,$M136)*MAX(0,AB$4)/100))</f>
        <v/>
      </c>
      <c r="AC136">
        <f>IF($C136="",0,IF($M136="",0,MAX(0,$M136)*MAX(0,AC$4)/100))</f>
        <v/>
      </c>
      <c r="AD136">
        <f>IF($C136="",0,IF($M136="",0,MAX(0,$M136)*MAX(0,AD$4)/100))</f>
        <v/>
      </c>
      <c r="AE136">
        <f>IF($C136="",0,IF($M136="",0,MAX(0,$M136)*MAX(0,AE$4)/100))</f>
        <v/>
      </c>
      <c r="AF136">
        <f>IF($C136="",0,IF($M136="",0,MAX(0,$M136)*MAX(0,AF$4)/100))</f>
        <v/>
      </c>
      <c r="AG136">
        <f>IF($C136="",0,IF($M136="",0,MAX(0,$M136)*MAX(0,AG$4)/100))</f>
        <v/>
      </c>
      <c r="AH136">
        <f>IF($C136="",0,IF($M136="",0,MAX(0,$M136)*MAX(0,AH$4)/100))</f>
        <v/>
      </c>
      <c r="AI136">
        <f>IF($C136="",0,IF($M136="",0,MAX(0,$M136)*MAX(0,AI$4)/100))</f>
        <v/>
      </c>
      <c r="AJ136">
        <f>IF($C136="",0,MAX(0,MAX(0,N($L136))-$V136))</f>
        <v/>
      </c>
      <c r="AK136">
        <f>IF($C136="",0,MAX(0,$AJ136-$W136))</f>
        <v/>
      </c>
      <c r="AL136">
        <f>IF($C136="",0,MAX(0,$AK136-$X136))</f>
        <v/>
      </c>
      <c r="AM136">
        <f>IF($C136="",0,MAX(0,$AL136-$Y136))</f>
        <v/>
      </c>
      <c r="AN136">
        <f>IF($C136="",0,MAX(0,$AM136-$Z136))</f>
        <v/>
      </c>
      <c r="AO136">
        <f>IF($C136="",0,MAX(0,$AN136-$AA136))</f>
        <v/>
      </c>
      <c r="AP136">
        <f>IF($C136="",0,MAX(0,$AO136-$AB136))</f>
        <v/>
      </c>
      <c r="AQ136">
        <f>IF($C136="",0,MAX(0,$AP136-$AC136))</f>
        <v/>
      </c>
      <c r="AR136">
        <f>IF($C136="",0,MAX(0,$AQ136-$AD136))</f>
        <v/>
      </c>
      <c r="AS136">
        <f>IF($C136="",0,MAX(0,$AR136-$AE136))</f>
        <v/>
      </c>
      <c r="AT136">
        <f>IF($C136="",0,MAX(0,$AS136-$AF136))</f>
        <v/>
      </c>
      <c r="AU136">
        <f>IF($C136="",0,MAX(0,$AT136-$AG136))</f>
        <v/>
      </c>
      <c r="AV136">
        <f>IF($C136="",0,MAX(0,$AU136-$AH136))</f>
        <v/>
      </c>
      <c r="AW136">
        <f>IF($C136="",0,MAX(0,$AV136-$AI136))</f>
        <v/>
      </c>
      <c r="AX136">
        <f>IF($C136="",0,MAX(0,MAX(0,N($L136))+IF($P136=V$3,$R136,0)+IF($S136=V$3,$U136,0)-$V136))</f>
        <v/>
      </c>
      <c r="AY136">
        <f>IF($C136="",0,MAX(0,$AX136+IF($P136=W$3,$R136,0)+IF($S136=W$3,$U136,0)-$W136))</f>
        <v/>
      </c>
      <c r="AZ136">
        <f>IF($C136="",0,MAX(0,$AY136+IF($P136=X$3,$R136,0)+IF($S136=X$3,$U136,0)-$X136))</f>
        <v/>
      </c>
      <c r="BA136">
        <f>IF($C136="",0,MAX(0,$AZ136+IF($P136=Y$3,$R136,0)+IF($S136=Y$3,$U136,0)-$Y136))</f>
        <v/>
      </c>
      <c r="BB136">
        <f>IF($C136="",0,MAX(0,$BA136+IF($P136=Z$3,$R136,0)+IF($S136=Z$3,$U136,0)-$Z136))</f>
        <v/>
      </c>
      <c r="BC136">
        <f>IF($C136="",0,MAX(0,$BB136+IF($P136=AA$3,$R136,0)+IF($S136=AA$3,$U136,0)-$AA136))</f>
        <v/>
      </c>
      <c r="BD136">
        <f>IF($C136="",0,MAX(0,$BC136+IF($P136=AB$3,$R136,0)+IF($S136=AB$3,$U136,0)-$AB136))</f>
        <v/>
      </c>
      <c r="BE136">
        <f>IF($C136="",0,MAX(0,$BD136+IF($P136=AC$3,$R136,0)+IF($S136=AC$3,$U136,0)-$AC136))</f>
        <v/>
      </c>
      <c r="BF136">
        <f>IF($C136="",0,MAX(0,$BE136+IF($P136=AD$3,$R136,0)+IF($S136=AD$3,$U136,0)-$AD136))</f>
        <v/>
      </c>
      <c r="BG136">
        <f>IF($C136="",0,MAX(0,$BF136+IF($P136=AE$3,$R136,0)+IF($S136=AE$3,$U136,0)-$AE136))</f>
        <v/>
      </c>
      <c r="BH136">
        <f>IF($C136="",0,MAX(0,$BG136+IF($P136=AF$3,$R136,0)+IF($S136=AF$3,$U136,0)-$AF136))</f>
        <v/>
      </c>
      <c r="BI136">
        <f>IF($C136="",0,MAX(0,$BH136+IF($P136=AG$3,$R136,0)+IF($S136=AG$3,$U136,0)-$AG136))</f>
        <v/>
      </c>
      <c r="BJ136">
        <f>IF($C136="",0,MAX(0,$BI136+IF($P136=AH$3,$R136,0)+IF($S136=AH$3,$U136,0)-$AH136))</f>
        <v/>
      </c>
      <c r="BK136">
        <f>IF($C136="",0,MAX(0,$BJ136+IF($P136=AI$3,$R136,0)+IF($S136=AI$3,$U136,0)-$AI136))</f>
        <v/>
      </c>
      <c r="BL136">
        <f>IF($C136="",99,IF(AND($AX136&lt;1,V$3&gt;=MAX(N($P136),N($S136))),0,99))</f>
        <v/>
      </c>
      <c r="BM136">
        <f>IF($C136="",99,IF(AND($AY136&lt;1,W$3&gt;=MAX(N($P136),N($S136))),1,99))</f>
        <v/>
      </c>
      <c r="BN136">
        <f>IF($C136="",99,IF(AND($AZ136&lt;1,X$3&gt;=MAX(N($P136),N($S136))),2,99))</f>
        <v/>
      </c>
      <c r="BO136">
        <f>IF($C136="",99,IF(AND($BA136&lt;1,Y$3&gt;=MAX(N($P136),N($S136))),3,99))</f>
        <v/>
      </c>
      <c r="BP136">
        <f>IF($C136="",99,IF(AND($BB136&lt;1,Z$3&gt;=MAX(N($P136),N($S136))),4,99))</f>
        <v/>
      </c>
      <c r="BQ136">
        <f>IF($C136="",99,IF(AND($BC136&lt;1,AA$3&gt;=MAX(N($P136),N($S136))),5,99))</f>
        <v/>
      </c>
      <c r="BR136">
        <f>IF($C136="",99,IF(AND($BD136&lt;1,AB$3&gt;=MAX(N($P136),N($S136))),6,99))</f>
        <v/>
      </c>
      <c r="BS136">
        <f>IF($C136="",99,IF(AND($BE136&lt;1,AC$3&gt;=MAX(N($P136),N($S136))),7,99))</f>
        <v/>
      </c>
      <c r="BT136">
        <f>IF($C136="",99,IF(AND($BF136&lt;1,AD$3&gt;=MAX(N($P136),N($S136))),8,99))</f>
        <v/>
      </c>
      <c r="BU136">
        <f>IF($C136="",99,IF(AND($BG136&lt;1,AE$3&gt;=MAX(N($P136),N($S136))),9,99))</f>
        <v/>
      </c>
      <c r="BV136">
        <f>IF($C136="",99,IF(AND($BH136&lt;1,AF$3&gt;=MAX(N($P136),N($S136))),10,99))</f>
        <v/>
      </c>
      <c r="BW136">
        <f>IF($C136="",99,IF(AND($BI136&lt;1,AG$3&gt;=MAX(N($P136),N($S136))),11,99))</f>
        <v/>
      </c>
      <c r="BX136">
        <f>IF($C136="",99,IF(AND($BJ136&lt;1,AH$3&gt;=MAX(N($P136),N($S136))),12,99))</f>
        <v/>
      </c>
      <c r="BY136">
        <f>IF($C136="",99,IF(AND($BK136&lt;1,AI$3&gt;=MAX(N($P136),N($S136))),13,99))</f>
        <v/>
      </c>
      <c r="BZ136">
        <f>IF(OR($C136="",$M136=""),"",COUNTIF($AJ136:$AW136,"&gt;=1"))</f>
        <v/>
      </c>
      <c r="CA136" s="90">
        <f>IF($BZ136="","",IF($BZ136&gt;=14,"",'設定'!$C$6+$BZ136))</f>
        <v/>
      </c>
      <c r="CB136">
        <f>IF(OR($C136="",$M136=""),"",MIN($BL136:$BY136))</f>
        <v/>
      </c>
      <c r="CC136" s="90">
        <f>IF($CB136="","",IF($CB136&gt;=99,"",'設定'!$C$6+$CB136))</f>
        <v/>
      </c>
      <c r="CD136">
        <f>IF(OR($C136="",$M136=""),"",AVERAGE($V136:$AI136))</f>
        <v/>
      </c>
      <c r="CE136">
        <f>IF($C136="","",IFERROR(IF(MATCH(IF(ISNUMBER($P136),$P136,'設定'!$C$6+N('設定'!$C$7)),$V$3:$AI$3,0)=1,MAX(0,N($L136)),INDEX($AJ136:$AW136,MATCH(IF(ISNUMBER($P136),$P136,'設定'!$C$6+N('設定'!$C$7)),$V$3:$AI$3,0)-1)),""))</f>
        <v/>
      </c>
      <c r="CF136">
        <f>IF(OR($C136="",$O136="",$CE136=""),"",IF($O136-$CE136&lt;=0,0,ROUNDUP(($O136-$CE136)/$G136,0)))</f>
        <v/>
      </c>
      <c r="CG136">
        <f>IF(OR($C136="",$CF136="",NOT(ISNUMBER($Q136))),0,MAX(0,$Q136-$CF136))</f>
        <v/>
      </c>
      <c r="CH136">
        <f>IF(OR($C136="",$O136="",$U136=0),0,IFERROR(ROUNDUP(MAX(0,IF(MATCH($S136,$V$3:$AI$3,0)=1,MAX(0,N($L136)),INDEX($AX136:$BK136,MATCH($S136,$V$3:$AI$3,0)-1))+$U136-$O136)/$G136,0),0))</f>
        <v/>
      </c>
      <c r="CI136">
        <f>IF($C136="","",IF(AND($P136="",$Q136=""),"",IF($P136="","⚠ 入庫日を ▼ から選んでください",IF(NOT(ISNUMBER($P136)),"⚠ 入庫日は ▼ から選んでください",IF($P136&lt;N('設定'!$C$6),"⚠ 入庫日が過去です（もう在庫に入っています）→ 消してください",IF($P136&gt;N('設定'!$C$6)+13,"⚠ 入庫日が14日より先です",IF(N($Q136)&lt;=0,"⚠ 入庫数を入れてください",IF($CG136&gt;0,"⚠ 目安より "&amp;$CG136&amp;" 多い（定数を超える）→ 減らす",""))))))))</f>
        <v/>
      </c>
      <c r="CJ136">
        <f>IF($C136="","",IF(AND($S136="",$T136=""),"",IF($S136="","⚠ 2便目：入庫日を ▼ から選んでください",IF(NOT(ISNUMBER($S136)),"⚠ 2便目：入庫日は ▼ から選んでください",IF($S136&lt;N('設定'!$C$6),"⚠ 2便目：入庫日が過去です（もう在庫に入っています）→ 消してください",IF($S136&gt;N('設定'!$C$6)+13,"⚠ 2便目：入庫日が14日より先です",IF(N($T136)&lt;=0,"⚠ 2便目：入庫数を入れてください",IF($CH136&gt;0,"⚠ 2便目：定数を "&amp;$CH136&amp;" ケース超える → 減らす",""))))))))</f>
        <v/>
      </c>
      <c r="CK136">
        <f>IF(AND($CI136="",N($Q136)&gt;0,ISNUMBER($P136)),1,0)</f>
        <v/>
      </c>
      <c r="CL136">
        <f>IF(AND($CJ136="",N($T136)&gt;0,ISNUMBER($S136)),1,0)</f>
        <v/>
      </c>
      <c r="CM136">
        <f>IF(OR($CK136=1,$CL136=1),1,0)</f>
        <v/>
      </c>
      <c r="CN136">
        <f>IF($C136="",0,($CK136*$R136+$CL136*$U136)*N($H136))</f>
        <v/>
      </c>
      <c r="CO136">
        <f>IF($C136="","",IF($CC136="","入庫後は 14日以上もつ",IF($CC136-N('設定'!$C$7)&lt;='設定'!$C$6,"入庫後も "&amp;TEXT($CC136,"m/d")&amp;"("&amp;CHOOSE(WEEKDAY($CC136),"日","月","火","水","木","金","土")&amp;")"&amp;" に切れる　もう1便を至急発注","入庫後も "&amp;TEXT($CC136,"m/d")&amp;"("&amp;CHOOSE(WEEKDAY($CC136),"日","月","火","水","木","金","土")&amp;")"&amp;" に切れる　"&amp;TEXT($CC136-N('設定'!$C$7),"m/d")&amp;"("&amp;CHOOSE(WEEKDAY($CC136-N('設定'!$C$7)),"日","月","火","水","木","金","土")&amp;")"&amp;" までに次を発注")))</f>
        <v/>
      </c>
      <c r="CP136">
        <f>IF($C136="","",IF('設定'!$C$6="","？ ①在庫を貼る に今日のCSVが貼られていない",IF($CS136=1,"－ 今日のCSVに無い（終売？）",IF($L136&lt;0,"● 在庫がマイナス　数えて「数えた在庫」に入れる",IF($L136=0,"● 在庫なし　至急発注",IF($M136="","？ 減り数が未設定（商品マスタ）",IF($B$3=0,"？ 動員が未入力（動員を入れる）",IF($CA136="","○ 14日以上もつ",IF($BZ136&lt;N('設定'!$C$7),"● "&amp;TEXT($CA136,"m/d")&amp;"("&amp;CHOOSE(WEEKDAY($CA136),"日","月","火","水","木","金","土")&amp;")"&amp;" に切れる　至急発注",IF($BZ136=N('設定'!$C$7),"● "&amp;TEXT($CA136,"m/d")&amp;"("&amp;CHOOSE(WEEKDAY($CA136),"日","月","火","水","木","金","土")&amp;")"&amp;" に切れる　今日発注","△ "&amp;TEXT($CA136,"m/d")&amp;"("&amp;CHOOSE(WEEKDAY($CA136),"日","月","火","水","木","金","土")&amp;")"&amp;" に切れる　"&amp;TEXT($CA136-N('設定'!$C$7),"m/d")&amp;"("&amp;CHOOSE(WEEKDAY($CA136-N('設定'!$C$7)),"日","月","火","水","木","金","土")&amp;")"&amp;" までに発注"))))))))))</f>
        <v/>
      </c>
      <c r="CQ136">
        <f>IF($C136="","",IF(AND($P136="",$Q136="",$S136="",$T136=""),"",IF(AND($P136="",$Q136=""),"⚠ 先に1便目（左の入庫日・入庫数）に入れてください",IF($CI136&lt;&gt;"",$CI136,IF($CJ136&lt;&gt;"",$CJ136,IF($M136="","？ 減り数が未設定（発注書には載ります）",IF($B$3=0,"？ 動員が未入力（発注書には載ります）",IF(AND($CA136&lt;&gt;"",$P136&gt;$CA136),IF($P136&gt;'設定'!$C$6+N('設定'!$C$7),"● "&amp;TEXT($P136,"m/d")&amp;"("&amp;CHOOSE(WEEKDAY($P136),"日","月","火","水","木","金","土")&amp;")"&amp;" の入庫では間に合わない（"&amp;TEXT($CA136,"m/d")&amp;"("&amp;CHOOSE(WEEKDAY($CA136),"日","月","火","水","木","金","土")&amp;")"&amp;" に切れる）　入庫日を早める","△ 欠品 "&amp;TEXT($CA136,"m/d")&amp;"("&amp;CHOOSE(WEEKDAY($CA136),"日","月","火","水","木","金","土")&amp;")"&amp;"〜"&amp;TEXT($P136-1,"m/d")&amp;"("&amp;CHOOSE(WEEKDAY($P136-1),"日","月","火","水","木","金","土")&amp;")"&amp;"　"&amp;$CO136),IF($CC136="","○ "&amp;TEXT($P136,"m/d")&amp;"("&amp;CHOOSE(WEEKDAY($P136),"日","月","火","水","木","金","土")&amp;")"&amp;" 入庫で 14日以上もつ",IF($CC136-N('設定'!$C$7)&lt;='設定'!$C$6,"● 入庫しても "&amp;TEXT($CC136,"m/d")&amp;"("&amp;CHOOSE(WEEKDAY($CC136),"日","月","火","水","木","金","土")&amp;")"&amp;" に切れる　もう1便を至急発注（2便目に入れる）","△ 入庫しても "&amp;TEXT($CC136,"m/d")&amp;"("&amp;CHOOSE(WEEKDAY($CC136),"日","月","火","水","木","金","土")&amp;")"&amp;" に切れる　"&amp;TEXT($CC136-N('設定'!$C$7),"m/d")&amp;"("&amp;CHOOSE(WEEKDAY($CC136-N('設定'!$C$7)),"日","月","火","水","木","金","土")&amp;")"&amp;" までに次を発注（2便目に入れる）"))))))))))</f>
        <v/>
      </c>
      <c r="CR136">
        <f>IF($C136="","",IF($G136&gt;1,"ｹｰｽ("&amp;$G136&amp;"入)","個"))</f>
        <v/>
      </c>
      <c r="CS136">
        <f>IF($C136="",0,IF(COUNTIFS('①在庫を貼る'!$V$6:$V$10005,'設定'!$C$4,'①在庫を貼る'!$W$6:$W$10005,$C136)=0,1,0))</f>
        <v/>
      </c>
      <c r="CT136">
        <f>IF(AND($CK136=1,OR('③発注書'!$C$4="すべて",'③発注書'!$C$4="",$F136='③発注書'!$C$4)),N($CT135)+1,N($CT135))</f>
        <v/>
      </c>
      <c r="CU136">
        <f>IF(AND($CL136=1,OR('③発注書'!$C$4="すべて",'③発注書'!$C$4="",$F136='③発注書'!$C$4)),N($CU135)+1,N($CU135))</f>
        <v/>
      </c>
      <c r="CV136">
        <f>IF($C136="",0,IF(COUNTIFS('①在庫を貼る'!$V$6:$V$10005,'設定'!$C$4,'①在庫を貼る'!$W$6:$W$10005,$C136)&gt;0,1,0))</f>
        <v/>
      </c>
      <c r="CW136">
        <f>IF($C136="",0,IF(COUNTIFS('月1回_1ヶ月前の在庫'!$V$6:$V$10005,'設定'!$C$4,'月1回_1ヶ月前の在庫'!$W$6:$W$10005,$C136)&gt;0,1,0))</f>
        <v/>
      </c>
      <c r="CX136">
        <f>IF($C136="",0,IF(COUNTIFS('月1回_2ヶ月前の在庫'!$V$6:$V$10005,'設定'!$C$4,'月1回_2ヶ月前の在庫'!$W$6:$W$10005,$C136)&gt;0,1,0))</f>
        <v/>
      </c>
      <c r="CY136">
        <f>IF(OR($C136="",'設定'!$C$12=""),"",IF('設定'!$C$13="",IF(AND($CV136=1,$CW136=0),"新商品（今月から）",IF(AND($CV136=0,$CW136=1),"終売（今月から）","")),IF(AND($CV136=1,$CW136=0,$CX136=0),"新商品（今月から）",IF(AND($CV136=1,$CW136=1,$CX136=0),"新商品（先月から）",IF(AND($CV136=0,$CW136=1,$CX136=1),"終売（今月から）",IF(AND($CV136=0,$CW136=0,$CX136=1),"終売（先月から）",IF(AND($CV136=1,$CW136=0,$CX136=1),"復活（先月は無し）","")))))))</f>
        <v/>
      </c>
    </row>
    <row r="137">
      <c r="B137">
        <f>IF(132&lt;='設定'!$C$11,132,"")</f>
        <v/>
      </c>
      <c r="C137">
        <f>IF($B137="","",IF($B137&lt;='設定'!$C$20,INDEX('商品マスタ'!$B$6:$B$1005,MATCH($B137,'商品マスタ'!$M$6:$M$1005,0)),IF($B137&lt;='設定'!$C$20+'設定'!$C$17,INDEX('①在庫を貼る'!$W$6:$W$10005,MATCH($B137-'設定'!$C$20,'①在庫を貼る'!$U$6:$U$10005,0)),IF($B137&lt;='設定'!$C$20+'設定'!$C$17+'設定'!$C$18,INDEX('月1回_1ヶ月前の在庫'!$W$6:$W$10005,MATCH($B137-'設定'!$C$20-'設定'!$C$17,'月1回_1ヶ月前の在庫'!$U$6:$U$10005,0)),INDEX('月1回_2ヶ月前の在庫'!$W$6:$W$10005,MATCH($B137-'設定'!$C$20-'設定'!$C$17-'設定'!$C$18,'月1回_2ヶ月前の在庫'!$U$6:$U$10005,0))))))</f>
        <v/>
      </c>
      <c r="D137">
        <f>IF($C137="","",IFERROR(IF(INDEX('商品マスタ'!$C$6:$C$1005,MATCH($C137,'商品マスタ'!$B$6:$B$1005,0))="",IFERROR(INDEX('①在庫を貼る'!$J$6:$J$10005,MATCH($C137,'①在庫を貼る'!$W$6:$W$10005,0)),IFERROR(INDEX('月1回_1ヶ月前の在庫'!$J$6:$J$10005,MATCH($C137,'月1回_1ヶ月前の在庫'!$W$6:$W$10005,0)),IFERROR(INDEX('月1回_2ヶ月前の在庫'!$J$6:$J$10005,MATCH($C137,'月1回_2ヶ月前の在庫'!$W$6:$W$10005,0)),""))),INDEX('商品マスタ'!$C$6:$C$1005,MATCH($C137,'商品マスタ'!$B$6:$B$1005,0))),IFERROR(INDEX('①在庫を貼る'!$J$6:$J$10005,MATCH($C137,'①在庫を貼る'!$W$6:$W$10005,0)),IFERROR(INDEX('月1回_1ヶ月前の在庫'!$J$6:$J$10005,MATCH($C137,'月1回_1ヶ月前の在庫'!$W$6:$W$10005,0)),IFERROR(INDEX('月1回_2ヶ月前の在庫'!$J$6:$J$10005,MATCH($C137,'月1回_2ヶ月前の在庫'!$W$6:$W$10005,0)),"")))))</f>
        <v/>
      </c>
      <c r="E137">
        <f>IF($C137="","",IFERROR(IF(INDEX('商品マスタ'!$D$6:$D$1005,MATCH($C137,'商品マスタ'!$B$6:$B$1005,0))="",IFERROR(INDEX('①在庫を貼る'!$H$6:$H$10005,MATCH($C137,'①在庫を貼る'!$W$6:$W$10005,0)),IFERROR(INDEX('月1回_1ヶ月前の在庫'!$H$6:$H$10005,MATCH($C137,'月1回_1ヶ月前の在庫'!$W$6:$W$10005,0)),IFERROR(INDEX('月1回_2ヶ月前の在庫'!$H$6:$H$10005,MATCH($C137,'月1回_2ヶ月前の在庫'!$W$6:$W$10005,0)),""))),INDEX('商品マスタ'!$D$6:$D$1005,MATCH($C137,'商品マスタ'!$B$6:$B$1005,0))),IFERROR(INDEX('①在庫を貼る'!$H$6:$H$10005,MATCH($C137,'①在庫を貼る'!$W$6:$W$10005,0)),IFERROR(INDEX('月1回_1ヶ月前の在庫'!$H$6:$H$10005,MATCH($C137,'月1回_1ヶ月前の在庫'!$W$6:$W$10005,0)),IFERROR(INDEX('月1回_2ヶ月前の在庫'!$H$6:$H$10005,MATCH($C137,'月1回_2ヶ月前の在庫'!$W$6:$W$10005,0)),"")))))</f>
        <v/>
      </c>
      <c r="F137">
        <f>IF($C137="","",IFERROR(IF(INDEX('商品マスタ'!$E$6:$E$1005,MATCH($C137,'商品マスタ'!$B$6:$B$1005,0))="",IFERROR(INDEX('①在庫を貼る'!$E$6:$E$10005,MATCH($C137,'①在庫を貼る'!$W$6:$W$10005,0)),IFERROR(INDEX('月1回_1ヶ月前の在庫'!$E$6:$E$10005,MATCH($C137,'月1回_1ヶ月前の在庫'!$W$6:$W$10005,0)),IFERROR(INDEX('月1回_2ヶ月前の在庫'!$E$6:$E$10005,MATCH($C137,'月1回_2ヶ月前の在庫'!$W$6:$W$10005,0)),""))),INDEX('商品マスタ'!$E$6:$E$1005,MATCH($C137,'商品マスタ'!$B$6:$B$1005,0))),IFERROR(INDEX('①在庫を貼る'!$E$6:$E$10005,MATCH($C137,'①在庫を貼る'!$W$6:$W$10005,0)),IFERROR(INDEX('月1回_1ヶ月前の在庫'!$E$6:$E$10005,MATCH($C137,'月1回_1ヶ月前の在庫'!$W$6:$W$10005,0)),IFERROR(INDEX('月1回_2ヶ月前の在庫'!$E$6:$E$10005,MATCH($C137,'月1回_2ヶ月前の在庫'!$W$6:$W$10005,0)),"")))))</f>
        <v/>
      </c>
      <c r="G137">
        <f>IF($C137="","",MAX(1,N(IFERROR(IF(INDEX('商品マスタ'!$F$6:$F$1005,MATCH($C137,'商品マスタ'!$B$6:$B$1005,0))="",IF(COUNTIFS('①在庫を貼る'!$V$6:$V$10005,'設定'!$C$4,'①在庫を貼る'!$W$6:$W$10005,$C137)&gt;0,SUMIFS('①在庫を貼る'!$K$6:$K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K$6:$K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K$6:$K$10005,'月1回_2ヶ月前の在庫'!$V$6:$V$10005,'設定'!$C$4,'月1回_2ヶ月前の在庫'!$W$6:$W$10005,$C137)/COUNTIFS('月1回_2ヶ月前の在庫'!$V$6:$V$10005,'設定'!$C$4,'月1回_2ヶ月前の在庫'!$W$6:$W$10005,$C137),0))),INDEX('商品マスタ'!$F$6:$F$1005,MATCH($C137,'商品マスタ'!$B$6:$B$1005,0))),IF(COUNTIFS('①在庫を貼る'!$V$6:$V$10005,'設定'!$C$4,'①在庫を貼る'!$W$6:$W$10005,$C137)&gt;0,SUMIFS('①在庫を貼る'!$K$6:$K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K$6:$K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K$6:$K$10005,'月1回_2ヶ月前の在庫'!$V$6:$V$10005,'設定'!$C$4,'月1回_2ヶ月前の在庫'!$W$6:$W$10005,$C137)/COUNTIFS('月1回_2ヶ月前の在庫'!$V$6:$V$10005,'設定'!$C$4,'月1回_2ヶ月前の在庫'!$W$6:$W$10005,$C137),0)))))))</f>
        <v/>
      </c>
      <c r="H137">
        <f>IF($C137="","",N(IFERROR(IF(INDEX('商品マスタ'!$G$6:$G$1005,MATCH($C137,'商品マスタ'!$B$6:$B$1005,0))="",IF(COUNTIFS('①在庫を貼る'!$V$6:$V$10005,'設定'!$C$4,'①在庫を貼る'!$W$6:$W$10005,$C137)&gt;0,SUMIFS('①在庫を貼る'!$Q$6:$Q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Q$6:$Q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Q$6:$Q$10005,'月1回_2ヶ月前の在庫'!$V$6:$V$10005,'設定'!$C$4,'月1回_2ヶ月前の在庫'!$W$6:$W$10005,$C137)/COUNTIFS('月1回_2ヶ月前の在庫'!$V$6:$V$10005,'設定'!$C$4,'月1回_2ヶ月前の在庫'!$W$6:$W$10005,$C137),0))),INDEX('商品マスタ'!$G$6:$G$1005,MATCH($C137,'商品マスタ'!$B$6:$B$1005,0))),IF(COUNTIFS('①在庫を貼る'!$V$6:$V$10005,'設定'!$C$4,'①在庫を貼る'!$W$6:$W$10005,$C137)&gt;0,SUMIFS('①在庫を貼る'!$Q$6:$Q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Q$6:$Q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Q$6:$Q$10005,'月1回_2ヶ月前の在庫'!$V$6:$V$10005,'設定'!$C$4,'月1回_2ヶ月前の在庫'!$W$6:$W$10005,$C137)/COUNTIFS('月1回_2ヶ月前の在庫'!$V$6:$V$10005,'設定'!$C$4,'月1回_2ヶ月前の在庫'!$W$6:$W$10005,$C137),0))))))</f>
        <v/>
      </c>
      <c r="I137">
        <f>IF($C137="","",IF(COUNTIFS('①在庫を貼る'!$V$6:$V$10005,'設定'!$C$4,'①在庫を貼る'!$W$6:$W$10005,$C137)=0,"",SUMIFS('①在庫を貼る'!$N$6:$N$10005,'①在庫を貼る'!$V$6:$V$10005,'設定'!$C$4,'①在庫を貼る'!$W$6:$W$10005,$C137)))</f>
        <v/>
      </c>
      <c r="J137">
        <f>IF($C137="","",IF('②発注する'!$AD141="","",'②発注する'!$AD141))</f>
        <v/>
      </c>
      <c r="K137" s="90">
        <f>IF($C137="","",IF('②発注する'!$AE141="","",'②発注する'!$AE141))</f>
        <v/>
      </c>
      <c r="L137">
        <f>IF($C137="","",IF(AND(ISNUMBER($J137),ISNUMBER($K137),$K137&gt;='設定'!$C$6),$J137,N($I137)))</f>
        <v/>
      </c>
      <c r="M137">
        <f>IF($C137="","",IFERROR(IF(N(INDEX('商品マスタ'!$J$6:$J$1005,MATCH($C137,'商品マスタ'!$B$6:$B$1005,0)))&gt;0,INDEX('商品マスタ'!$J$6:$J$1005,MATCH($C137,'商品マスタ'!$B$6:$B$1005,0)),""),""))</f>
        <v/>
      </c>
      <c r="N137">
        <f>IF($C137="","",IFERROR(IF(N(INDEX('商品マスタ'!$H$6:$H$1005,MATCH($C137,'商品マスタ'!$B$6:$B$1005,0)))&gt;0,INDEX('商品マスタ'!$H$6:$H$1005,MATCH($C137,'商品マスタ'!$B$6:$B$1005,0)),""),""))</f>
        <v/>
      </c>
      <c r="O137">
        <f>IF($C137="","",IF($N137&lt;&gt;"",$N137*$G137,IF(N(IF(COUNTIFS('①在庫を貼る'!$V$6:$V$10005,'設定'!$C$4,'①在庫を貼る'!$W$6:$W$10005,$C137)&gt;0,SUMIFS('①在庫を貼る'!$O$6:$O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O$6:$O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O$6:$O$10005,'月1回_2ヶ月前の在庫'!$V$6:$V$10005,'設定'!$C$4,'月1回_2ヶ月前の在庫'!$W$6:$W$10005,$C137)/COUNTIFS('月1回_2ヶ月前の在庫'!$V$6:$V$10005,'設定'!$C$4,'月1回_2ヶ月前の在庫'!$W$6:$W$10005,$C137),0))))&gt;0,N(IF(COUNTIFS('①在庫を貼る'!$V$6:$V$10005,'設定'!$C$4,'①在庫を貼る'!$W$6:$W$10005,$C137)&gt;0,SUMIFS('①在庫を貼る'!$O$6:$O$10005,'①在庫を貼る'!$V$6:$V$10005,'設定'!$C$4,'①在庫を貼る'!$W$6:$W$10005,$C137)/COUNTIFS('①在庫を貼る'!$V$6:$V$10005,'設定'!$C$4,'①在庫を貼る'!$W$6:$W$10005,$C137),IF(COUNTIFS('月1回_1ヶ月前の在庫'!$V$6:$V$10005,'設定'!$C$4,'月1回_1ヶ月前の在庫'!$W$6:$W$10005,$C137)&gt;0,SUMIFS('月1回_1ヶ月前の在庫'!$O$6:$O$10005,'月1回_1ヶ月前の在庫'!$V$6:$V$10005,'設定'!$C$4,'月1回_1ヶ月前の在庫'!$W$6:$W$10005,$C137)/COUNTIFS('月1回_1ヶ月前の在庫'!$V$6:$V$10005,'設定'!$C$4,'月1回_1ヶ月前の在庫'!$W$6:$W$10005,$C137),IF(COUNTIFS('月1回_2ヶ月前の在庫'!$V$6:$V$10005,'設定'!$C$4,'月1回_2ヶ月前の在庫'!$W$6:$W$10005,$C137)&gt;0,SUMIFS('月1回_2ヶ月前の在庫'!$O$6:$O$10005,'月1回_2ヶ月前の在庫'!$V$6:$V$10005,'設定'!$C$4,'月1回_2ヶ月前の在庫'!$W$6:$W$10005,$C137)/COUNTIFS('月1回_2ヶ月前の在庫'!$V$6:$V$10005,'設定'!$C$4,'月1回_2ヶ月前の在庫'!$W$6:$W$10005,$C137),0)))),"")))</f>
        <v/>
      </c>
      <c r="P137" s="90">
        <f>IF($C137="","",IF('②発注する'!$I141="","",'②発注する'!$I141))</f>
        <v/>
      </c>
      <c r="Q137">
        <f>IF($C137="","",IF('②発注する'!$J141="","",'②発注する'!$J141))</f>
        <v/>
      </c>
      <c r="R137">
        <f>IF($C137="",0,IF(AND(ISNUMBER($P137),ISNUMBER($Q137)),MAX(0,$Q137)*$G137,0))</f>
        <v/>
      </c>
      <c r="S137" s="90">
        <f>IF($C137="","",IF('②発注する'!$M141="","",'②発注する'!$M141))</f>
        <v/>
      </c>
      <c r="T137">
        <f>IF($C137="","",IF('②発注する'!$N141="","",'②発注する'!$N141))</f>
        <v/>
      </c>
      <c r="U137">
        <f>IF($C137="",0,IF(AND(ISNUMBER($S137),ISNUMBER($T137)),MAX(0,$T137)*$G137,0))</f>
        <v/>
      </c>
      <c r="V137">
        <f>IF($C137="",0,IF($M137="",0,MAX(0,$M137)*MAX(0,V$4)/100))</f>
        <v/>
      </c>
      <c r="W137">
        <f>IF($C137="",0,IF($M137="",0,MAX(0,$M137)*MAX(0,W$4)/100))</f>
        <v/>
      </c>
      <c r="X137">
        <f>IF($C137="",0,IF($M137="",0,MAX(0,$M137)*MAX(0,X$4)/100))</f>
        <v/>
      </c>
      <c r="Y137">
        <f>IF($C137="",0,IF($M137="",0,MAX(0,$M137)*MAX(0,Y$4)/100))</f>
        <v/>
      </c>
      <c r="Z137">
        <f>IF($C137="",0,IF($M137="",0,MAX(0,$M137)*MAX(0,Z$4)/100))</f>
        <v/>
      </c>
      <c r="AA137">
        <f>IF($C137="",0,IF($M137="",0,MAX(0,$M137)*MAX(0,AA$4)/100))</f>
        <v/>
      </c>
      <c r="AB137">
        <f>IF($C137="",0,IF($M137="",0,MAX(0,$M137)*MAX(0,AB$4)/100))</f>
        <v/>
      </c>
      <c r="AC137">
        <f>IF($C137="",0,IF($M137="",0,MAX(0,$M137)*MAX(0,AC$4)/100))</f>
        <v/>
      </c>
      <c r="AD137">
        <f>IF($C137="",0,IF($M137="",0,MAX(0,$M137)*MAX(0,AD$4)/100))</f>
        <v/>
      </c>
      <c r="AE137">
        <f>IF($C137="",0,IF($M137="",0,MAX(0,$M137)*MAX(0,AE$4)/100))</f>
        <v/>
      </c>
      <c r="AF137">
        <f>IF($C137="",0,IF($M137="",0,MAX(0,$M137)*MAX(0,AF$4)/100))</f>
        <v/>
      </c>
      <c r="AG137">
        <f>IF($C137="",0,IF($M137="",0,MAX(0,$M137)*MAX(0,AG$4)/100))</f>
        <v/>
      </c>
      <c r="AH137">
        <f>IF($C137="",0,IF($M137="",0,MAX(0,$M137)*MAX(0,AH$4)/100))</f>
        <v/>
      </c>
      <c r="AI137">
        <f>IF($C137="",0,IF($M137="",0,MAX(0,$M137)*MAX(0,AI$4)/100))</f>
        <v/>
      </c>
      <c r="AJ137">
        <f>IF($C137="",0,MAX(0,MAX(0,N($L137))-$V137))</f>
        <v/>
      </c>
      <c r="AK137">
        <f>IF($C137="",0,MAX(0,$AJ137-$W137))</f>
        <v/>
      </c>
      <c r="AL137">
        <f>IF($C137="",0,MAX(0,$AK137-$X137))</f>
        <v/>
      </c>
      <c r="AM137">
        <f>IF($C137="",0,MAX(0,$AL137-$Y137))</f>
        <v/>
      </c>
      <c r="AN137">
        <f>IF($C137="",0,MAX(0,$AM137-$Z137))</f>
        <v/>
      </c>
      <c r="AO137">
        <f>IF($C137="",0,MAX(0,$AN137-$AA137))</f>
        <v/>
      </c>
      <c r="AP137">
        <f>IF($C137="",0,MAX(0,$AO137-$AB137))</f>
        <v/>
      </c>
      <c r="AQ137">
        <f>IF($C137="",0,MAX(0,$AP137-$AC137))</f>
        <v/>
      </c>
      <c r="AR137">
        <f>IF($C137="",0,MAX(0,$AQ137-$AD137))</f>
        <v/>
      </c>
      <c r="AS137">
        <f>IF($C137="",0,MAX(0,$AR137-$AE137))</f>
        <v/>
      </c>
      <c r="AT137">
        <f>IF($C137="",0,MAX(0,$AS137-$AF137))</f>
        <v/>
      </c>
      <c r="AU137">
        <f>IF($C137="",0,MAX(0,$AT137-$AG137))</f>
        <v/>
      </c>
      <c r="AV137">
        <f>IF($C137="",0,MAX(0,$AU137-$AH137))</f>
        <v/>
      </c>
      <c r="AW137">
        <f>IF($C137="",0,MAX(0,$AV137-$AI137))</f>
        <v/>
      </c>
      <c r="AX137">
        <f>IF($C137="",0,MAX(0,MAX(0,N($L137))+IF($P137=V$3,$R137,0)+IF($S137=V$3,$U137,0)-$V137))</f>
        <v/>
      </c>
      <c r="AY137">
        <f>IF($C137="",0,MAX(0,$AX137+IF($P137=W$3,$R137,0)+IF($S137=W$3,$U137,0)-$W137))</f>
        <v/>
      </c>
      <c r="AZ137">
        <f>IF($C137="",0,MAX(0,$AY137+IF($P137=X$3,$R137,0)+IF($S137=X$3,$U137,0)-$X137))</f>
        <v/>
      </c>
      <c r="BA137">
        <f>IF($C137="",0,MAX(0,$AZ137+IF($P137=Y$3,$R137,0)+IF($S137=Y$3,$U137,0)-$Y137))</f>
        <v/>
      </c>
      <c r="BB137">
        <f>IF($C137="",0,MAX(0,$BA137+IF($P137=Z$3,$R137,0)+IF($S137=Z$3,$U137,0)-$Z137))</f>
        <v/>
      </c>
      <c r="BC137">
        <f>IF($C137="",0,MAX(0,$BB137+IF($P137=AA$3,$R137,0)+IF($S137=AA$3,$U137,0)-$AA137))</f>
        <v/>
      </c>
      <c r="BD137">
        <f>IF($C137="",0,MAX(0,$BC137+IF($P137=AB$3,$R137,0)+IF($S137=AB$3,$U137,0)-$AB137))</f>
        <v/>
      </c>
      <c r="BE137">
        <f>IF($C137="",0,MAX(0,$BD137+IF($P137=AC$3,$R137,0)+IF($S137=AC$3,$U137,0)-$AC137))</f>
        <v/>
      </c>
      <c r="BF137">
        <f>IF($C137="",0,MAX(0,$BE137+IF($P137=AD$3,$R137,0)+IF($S137=AD$3,$U137,0)-$AD137))</f>
        <v/>
      </c>
      <c r="BG137">
        <f>IF($C137="",0,MAX(0,$BF137+IF($P137=AE$3,$R137,0)+IF($S137=AE$3,$U137,0)-$AE137))</f>
        <v/>
      </c>
      <c r="BH137">
        <f>IF($C137="",0,MAX(0,$BG137+IF($P137=AF$3,$R137,0)+IF($S137=AF$3,$U137,0)-$AF137))</f>
        <v/>
      </c>
      <c r="BI137">
        <f>IF($C137="",0,MAX(0,$BH137+IF($P137=AG$3,$R137,0)+IF($S137=AG$3,$U137,0)-$AG137))</f>
        <v/>
      </c>
      <c r="BJ137">
        <f>IF($C137="",0,MAX(0,$BI137+IF($P137=AH$3,$R137,0)+IF($S137=AH$3,$U137,0)-$AH137))</f>
        <v/>
      </c>
      <c r="BK137">
        <f>IF($C137="",0,MAX(0,$BJ137+IF($P137=AI$3,$R137,0)+IF($S137=AI$3,$U137,0)-$AI137))</f>
        <v/>
      </c>
      <c r="BL137">
        <f>IF($C137="",99,IF(AND($AX137&lt;1,V$3&gt;=MAX(N($P137),N($S137))),0,99))</f>
        <v/>
      </c>
      <c r="BM137">
        <f>IF($C137="",99,IF(AND($AY137&lt;1,W$3&gt;=MAX(N($P137),N($S137))),1,99))</f>
        <v/>
      </c>
      <c r="BN137">
        <f>IF($C137="",99,IF(AND($AZ137&lt;1,X$3&gt;=MAX(N($P137),N($S137))),2,99))</f>
        <v/>
      </c>
      <c r="BO137">
        <f>IF($C137="",99,IF(AND($BA137&lt;1,Y$3&gt;=MAX(N($P137),N($S137))),3,99))</f>
        <v/>
      </c>
      <c r="BP137">
        <f>IF($C137="",99,IF(AND($BB137&lt;1,Z$3&gt;=MAX(N($P137),N($S137))),4,99))</f>
        <v/>
      </c>
      <c r="BQ137">
        <f>IF($C137="",99,IF(AND($BC137&lt;1,AA$3&gt;=MAX(N($P137),N($S137))),5,99))</f>
        <v/>
      </c>
      <c r="BR137">
        <f>IF($C137="",99,IF(AND($BD137&lt;1,AB$3&gt;=MAX(N($P137),N($S137))),6,99))</f>
        <v/>
      </c>
      <c r="BS137">
        <f>IF($C137="",99,IF(AND($BE137&lt;1,AC$3&gt;=MAX(N($P137),N($S137))),7,99))</f>
        <v/>
      </c>
      <c r="BT137">
        <f>IF($C137="",99,IF(AND($BF137&lt;1,AD$3&gt;=MAX(N($P137),N($S137))),8,99))</f>
        <v/>
      </c>
      <c r="BU137">
        <f>IF($C137="",99,IF(AND($BG137&lt;1,AE$3&gt;=MAX(N($P137),N($S137))),9,99))</f>
        <v/>
      </c>
      <c r="BV137">
        <f>IF($C137="",99,IF(AND($BH137&lt;1,AF$3&gt;=MAX(N($P137),N($S137))),10,99))</f>
        <v/>
      </c>
      <c r="BW137">
        <f>IF($C137="",99,IF(AND($BI137&lt;1,AG$3&gt;=MAX(N($P137),N($S137))),11,99))</f>
        <v/>
      </c>
      <c r="BX137">
        <f>IF($C137="",99,IF(AND($BJ137&lt;1,AH$3&gt;=MAX(N($P137),N($S137))),12,99))</f>
        <v/>
      </c>
      <c r="BY137">
        <f>IF($C137="",99,IF(AND($BK137&lt;1,AI$3&gt;=MAX(N($P137),N($S137))),13,99))</f>
        <v/>
      </c>
      <c r="BZ137">
        <f>IF(OR($C137="",$M137=""),"",COUNTIF($AJ137:$AW137,"&gt;=1"))</f>
        <v/>
      </c>
      <c r="CA137" s="90">
        <f>IF($BZ137="","",IF($BZ137&gt;=14,"",'設定'!$C$6+$BZ137))</f>
        <v/>
      </c>
      <c r="CB137">
        <f>IF(OR($C137="",$M137=""),"",MIN($BL137:$BY137))</f>
        <v/>
      </c>
      <c r="CC137" s="90">
        <f>IF($CB137="","",IF($CB137&gt;=99,"",'設定'!$C$6+$CB137))</f>
        <v/>
      </c>
      <c r="CD137">
        <f>IF(OR($C137="",$M137=""),"",AVERAGE($V137:$AI137))</f>
        <v/>
      </c>
      <c r="CE137">
        <f>IF($C137="","",IFERROR(IF(MATCH(IF(ISNUMBER($P137),$P137,'設定'!$C$6+N('設定'!$C$7)),$V$3:$AI$3,0)=1,MAX(0,N($L137)),INDEX($AJ137:$AW137,MATCH(IF(ISNUMBER($P137),$P137,'設定'!$C$6+N('設定'!$C$7)),$V$3:$AI$3,0)-1)),""))</f>
        <v/>
      </c>
      <c r="CF137">
        <f>IF(OR($C137="",$O137="",$CE137=""),"",IF($O137-$CE137&lt;=0,0,ROUNDUP(($O137-$CE137)/$G137,0)))</f>
        <v/>
      </c>
      <c r="CG137">
        <f>IF(OR($C137="",$CF137="",NOT(ISNUMBER($Q137))),0,MAX(0,$Q137-$CF137))</f>
        <v/>
      </c>
      <c r="CH137">
        <f>IF(OR($C137="",$O137="",$U137=0),0,IFERROR(ROUNDUP(MAX(0,IF(MATCH($S137,$V$3:$AI$3,0)=1,MAX(0,N($L137)),INDEX($AX137:$BK137,MATCH($S137,$V$3:$AI$3,0)-1))+$U137-$O137)/$G137,0),0))</f>
        <v/>
      </c>
      <c r="CI137">
        <f>IF($C137="","",IF(AND($P137="",$Q137=""),"",IF($P137="","⚠ 入庫日を ▼ から選んでください",IF(NOT(ISNUMBER($P137)),"⚠ 入庫日は ▼ から選んでください",IF($P137&lt;N('設定'!$C$6),"⚠ 入庫日が過去です（もう在庫に入っています）→ 消してください",IF($P137&gt;N('設定'!$C$6)+13,"⚠ 入庫日が14日より先です",IF(N($Q137)&lt;=0,"⚠ 入庫数を入れてください",IF($CG137&gt;0,"⚠ 目安より "&amp;$CG137&amp;" 多い（定数を超える）→ 減らす",""))))))))</f>
        <v/>
      </c>
      <c r="CJ137">
        <f>IF($C137="","",IF(AND($S137="",$T137=""),"",IF($S137="","⚠ 2便目：入庫日を ▼ から選んでください",IF(NOT(ISNUMBER($S137)),"⚠ 2便目：入庫日は ▼ から選んでください",IF($S137&lt;N('設定'!$C$6),"⚠ 2便目：入庫日が過去です（もう在庫に入っています）→ 消してください",IF($S137&gt;N('設定'!$C$6)+13,"⚠ 2便目：入庫日が14日より先です",IF(N($T137)&lt;=0,"⚠ 2便目：入庫数を入れてください",IF($CH137&gt;0,"⚠ 2便目：定数を "&amp;$CH137&amp;" ケース超える → 減らす",""))))))))</f>
        <v/>
      </c>
      <c r="CK137">
        <f>IF(AND($CI137="",N($Q137)&gt;0,ISNUMBER($P137)),1,0)</f>
        <v/>
      </c>
      <c r="CL137">
        <f>IF(AND($CJ137="",N($T137)&gt;0,ISNUMBER($S137)),1,0)</f>
        <v/>
      </c>
      <c r="CM137">
        <f>IF(OR($CK137=1,$CL137=1),1,0)</f>
        <v/>
      </c>
      <c r="CN137">
        <f>IF($C137="",0,($CK137*$R137+$CL137*$U137)*N($H137))</f>
        <v/>
      </c>
      <c r="CO137">
        <f>IF($C137="","",IF($CC137="","入庫後は 14日以上もつ",IF($CC137-N('設定'!$C$7)&lt;='設定'!$C$6,"入庫後も "&amp;TEXT($CC137,"m/d")&amp;"("&amp;CHOOSE(WEEKDAY($CC137),"日","月","火","水","木","金","土")&amp;")"&amp;" に切れる　もう1便を至急発注","入庫後も "&amp;TEXT($CC137,"m/d")&amp;"("&amp;CHOOSE(WEEKDAY($CC137),"日","月","火","水","木","金","土")&amp;")"&amp;" に切れる　"&amp;TEXT($CC137-N('設定'!$C$7),"m/d")&amp;"("&amp;CHOOSE(WEEKDAY($CC137-N('設定'!$C$7)),"日","月","火","水","木","金","土")&amp;")"&amp;" までに次を発注")))</f>
        <v/>
      </c>
      <c r="CP137">
        <f>IF($C137="","",IF('設定'!$C$6="","？ ①在庫を貼る に今日のCSVが貼られていない",IF($CS137=1,"－ 今日のCSVに無い（終売？）",IF($L137&lt;0,"● 在庫がマイナス　数えて「数えた在庫」に入れる",IF($L137=0,"● 在庫なし　至急発注",IF($M137="","？ 減り数が未設定（商品マスタ）",IF($B$3=0,"？ 動員が未入力（動員を入れる）",IF($CA137="","○ 14日以上もつ",IF($BZ137&lt;N('設定'!$C$7),"● "&amp;TEXT($CA137,"m/d")&amp;"("&amp;CHOOSE(WEEKDAY($CA137),"日","月","火","水","木","金","土")&amp;")"&amp;" に切れる　至急発注",IF($BZ137=N('設定'!$C$7),"● "&amp;TEXT($CA137,"m/d")&amp;"("&amp;CHOOSE(WEEKDAY($CA137),"日","月","火","水","木","金","土")&amp;")"&amp;" に切れる　今日発注","△ "&amp;TEXT($CA137,"m/d")&amp;"("&amp;CHOOSE(WEEKDAY($CA137),"日","月","火","水","木","金","土")&amp;")"&amp;" に切れる　"&amp;TEXT($CA137-N('設定'!$C$7),"m/d")&amp;"("&amp;CHOOSE(WEEKDAY($CA137-N('設定'!$C$7)),"日","月","火","水","木","金","土")&amp;")"&amp;" までに発注"))))))))))</f>
        <v/>
      </c>
      <c r="CQ137">
        <f>IF($C137="","",IF(AND($P137="",$Q137="",$S137="",$T137=""),"",IF(AND($P137="",$Q137=""),"⚠ 先に1便目（左の入庫日・入庫数）に入れてください",IF($CI137&lt;&gt;"",$CI137,IF($CJ137&lt;&gt;"",$CJ137,IF($M137="","？ 減り数が未設定（発注書には載ります）",IF($B$3=0,"？ 動員が未入力（発注書には載ります）",IF(AND($CA137&lt;&gt;"",$P137&gt;$CA137),IF($P137&gt;'設定'!$C$6+N('設定'!$C$7),"● "&amp;TEXT($P137,"m/d")&amp;"("&amp;CHOOSE(WEEKDAY($P137),"日","月","火","水","木","金","土")&amp;")"&amp;" の入庫では間に合わない（"&amp;TEXT($CA137,"m/d")&amp;"("&amp;CHOOSE(WEEKDAY($CA137),"日","月","火","水","木","金","土")&amp;")"&amp;" に切れる）　入庫日を早める","△ 欠品 "&amp;TEXT($CA137,"m/d")&amp;"("&amp;CHOOSE(WEEKDAY($CA137),"日","月","火","水","木","金","土")&amp;")"&amp;"〜"&amp;TEXT($P137-1,"m/d")&amp;"("&amp;CHOOSE(WEEKDAY($P137-1),"日","月","火","水","木","金","土")&amp;")"&amp;"　"&amp;$CO137),IF($CC137="","○ "&amp;TEXT($P137,"m/d")&amp;"("&amp;CHOOSE(WEEKDAY($P137),"日","月","火","水","木","金","土")&amp;")"&amp;" 入庫で 14日以上もつ",IF($CC137-N('設定'!$C$7)&lt;='設定'!$C$6,"● 入庫しても "&amp;TEXT($CC137,"m/d")&amp;"("&amp;CHOOSE(WEEKDAY($CC137),"日","月","火","水","木","金","土")&amp;")"&amp;" に切れる　もう1便を至急発注（2便目に入れる）","△ 入庫しても "&amp;TEXT($CC137,"m/d")&amp;"("&amp;CHOOSE(WEEKDAY($CC137),"日","月","火","水","木","金","土")&amp;")"&amp;" に切れる　"&amp;TEXT($CC137-N('設定'!$C$7),"m/d")&amp;"("&amp;CHOOSE(WEEKDAY($CC137-N('設定'!$C$7)),"日","月","火","水","木","金","土")&amp;")"&amp;" までに次を発注（2便目に入れる）"))))))))))</f>
        <v/>
      </c>
      <c r="CR137">
        <f>IF($C137="","",IF($G137&gt;1,"ｹｰｽ("&amp;$G137&amp;"入)","個"))</f>
        <v/>
      </c>
      <c r="CS137">
        <f>IF($C137="",0,IF(COUNTIFS('①在庫を貼る'!$V$6:$V$10005,'設定'!$C$4,'①在庫を貼る'!$W$6:$W$10005,$C137)=0,1,0))</f>
        <v/>
      </c>
      <c r="CT137">
        <f>IF(AND($CK137=1,OR('③発注書'!$C$4="すべて",'③発注書'!$C$4="",$F137='③発注書'!$C$4)),N($CT136)+1,N($CT136))</f>
        <v/>
      </c>
      <c r="CU137">
        <f>IF(AND($CL137=1,OR('③発注書'!$C$4="すべて",'③発注書'!$C$4="",$F137='③発注書'!$C$4)),N($CU136)+1,N($CU136))</f>
        <v/>
      </c>
      <c r="CV137">
        <f>IF($C137="",0,IF(COUNTIFS('①在庫を貼る'!$V$6:$V$10005,'設定'!$C$4,'①在庫を貼る'!$W$6:$W$10005,$C137)&gt;0,1,0))</f>
        <v/>
      </c>
      <c r="CW137">
        <f>IF($C137="",0,IF(COUNTIFS('月1回_1ヶ月前の在庫'!$V$6:$V$10005,'設定'!$C$4,'月1回_1ヶ月前の在庫'!$W$6:$W$10005,$C137)&gt;0,1,0))</f>
        <v/>
      </c>
      <c r="CX137">
        <f>IF($C137="",0,IF(COUNTIFS('月1回_2ヶ月前の在庫'!$V$6:$V$10005,'設定'!$C$4,'月1回_2ヶ月前の在庫'!$W$6:$W$10005,$C137)&gt;0,1,0))</f>
        <v/>
      </c>
      <c r="CY137">
        <f>IF(OR($C137="",'設定'!$C$12=""),"",IF('設定'!$C$13="",IF(AND($CV137=1,$CW137=0),"新商品（今月から）",IF(AND($CV137=0,$CW137=1),"終売（今月から）","")),IF(AND($CV137=1,$CW137=0,$CX137=0),"新商品（今月から）",IF(AND($CV137=1,$CW137=1,$CX137=0),"新商品（先月から）",IF(AND($CV137=0,$CW137=1,$CX137=1),"終売（今月から）",IF(AND($CV137=0,$CW137=0,$CX137=1),"終売（先月から）",IF(AND($CV137=1,$CW137=0,$CX137=1),"復活（先月は無し）","")))))))</f>
        <v/>
      </c>
    </row>
    <row r="138">
      <c r="B138">
        <f>IF(133&lt;='設定'!$C$11,133,"")</f>
        <v/>
      </c>
      <c r="C138">
        <f>IF($B138="","",IF($B138&lt;='設定'!$C$20,INDEX('商品マスタ'!$B$6:$B$1005,MATCH($B138,'商品マスタ'!$M$6:$M$1005,0)),IF($B138&lt;='設定'!$C$20+'設定'!$C$17,INDEX('①在庫を貼る'!$W$6:$W$10005,MATCH($B138-'設定'!$C$20,'①在庫を貼る'!$U$6:$U$10005,0)),IF($B138&lt;='設定'!$C$20+'設定'!$C$17+'設定'!$C$18,INDEX('月1回_1ヶ月前の在庫'!$W$6:$W$10005,MATCH($B138-'設定'!$C$20-'設定'!$C$17,'月1回_1ヶ月前の在庫'!$U$6:$U$10005,0)),INDEX('月1回_2ヶ月前の在庫'!$W$6:$W$10005,MATCH($B138-'設定'!$C$20-'設定'!$C$17-'設定'!$C$18,'月1回_2ヶ月前の在庫'!$U$6:$U$10005,0))))))</f>
        <v/>
      </c>
      <c r="D138">
        <f>IF($C138="","",IFERROR(IF(INDEX('商品マスタ'!$C$6:$C$1005,MATCH($C138,'商品マスタ'!$B$6:$B$1005,0))="",IFERROR(INDEX('①在庫を貼る'!$J$6:$J$10005,MATCH($C138,'①在庫を貼る'!$W$6:$W$10005,0)),IFERROR(INDEX('月1回_1ヶ月前の在庫'!$J$6:$J$10005,MATCH($C138,'月1回_1ヶ月前の在庫'!$W$6:$W$10005,0)),IFERROR(INDEX('月1回_2ヶ月前の在庫'!$J$6:$J$10005,MATCH($C138,'月1回_2ヶ月前の在庫'!$W$6:$W$10005,0)),""))),INDEX('商品マスタ'!$C$6:$C$1005,MATCH($C138,'商品マスタ'!$B$6:$B$1005,0))),IFERROR(INDEX('①在庫を貼る'!$J$6:$J$10005,MATCH($C138,'①在庫を貼る'!$W$6:$W$10005,0)),IFERROR(INDEX('月1回_1ヶ月前の在庫'!$J$6:$J$10005,MATCH($C138,'月1回_1ヶ月前の在庫'!$W$6:$W$10005,0)),IFERROR(INDEX('月1回_2ヶ月前の在庫'!$J$6:$J$10005,MATCH($C138,'月1回_2ヶ月前の在庫'!$W$6:$W$10005,0)),"")))))</f>
        <v/>
      </c>
      <c r="E138">
        <f>IF($C138="","",IFERROR(IF(INDEX('商品マスタ'!$D$6:$D$1005,MATCH($C138,'商品マスタ'!$B$6:$B$1005,0))="",IFERROR(INDEX('①在庫を貼る'!$H$6:$H$10005,MATCH($C138,'①在庫を貼る'!$W$6:$W$10005,0)),IFERROR(INDEX('月1回_1ヶ月前の在庫'!$H$6:$H$10005,MATCH($C138,'月1回_1ヶ月前の在庫'!$W$6:$W$10005,0)),IFERROR(INDEX('月1回_2ヶ月前の在庫'!$H$6:$H$10005,MATCH($C138,'月1回_2ヶ月前の在庫'!$W$6:$W$10005,0)),""))),INDEX('商品マスタ'!$D$6:$D$1005,MATCH($C138,'商品マスタ'!$B$6:$B$1005,0))),IFERROR(INDEX('①在庫を貼る'!$H$6:$H$10005,MATCH($C138,'①在庫を貼る'!$W$6:$W$10005,0)),IFERROR(INDEX('月1回_1ヶ月前の在庫'!$H$6:$H$10005,MATCH($C138,'月1回_1ヶ月前の在庫'!$W$6:$W$10005,0)),IFERROR(INDEX('月1回_2ヶ月前の在庫'!$H$6:$H$10005,MATCH($C138,'月1回_2ヶ月前の在庫'!$W$6:$W$10005,0)),"")))))</f>
        <v/>
      </c>
      <c r="F138">
        <f>IF($C138="","",IFERROR(IF(INDEX('商品マスタ'!$E$6:$E$1005,MATCH($C138,'商品マスタ'!$B$6:$B$1005,0))="",IFERROR(INDEX('①在庫を貼る'!$E$6:$E$10005,MATCH($C138,'①在庫を貼る'!$W$6:$W$10005,0)),IFERROR(INDEX('月1回_1ヶ月前の在庫'!$E$6:$E$10005,MATCH($C138,'月1回_1ヶ月前の在庫'!$W$6:$W$10005,0)),IFERROR(INDEX('月1回_2ヶ月前の在庫'!$E$6:$E$10005,MATCH($C138,'月1回_2ヶ月前の在庫'!$W$6:$W$10005,0)),""))),INDEX('商品マスタ'!$E$6:$E$1005,MATCH($C138,'商品マスタ'!$B$6:$B$1005,0))),IFERROR(INDEX('①在庫を貼る'!$E$6:$E$10005,MATCH($C138,'①在庫を貼る'!$W$6:$W$10005,0)),IFERROR(INDEX('月1回_1ヶ月前の在庫'!$E$6:$E$10005,MATCH($C138,'月1回_1ヶ月前の在庫'!$W$6:$W$10005,0)),IFERROR(INDEX('月1回_2ヶ月前の在庫'!$E$6:$E$10005,MATCH($C138,'月1回_2ヶ月前の在庫'!$W$6:$W$10005,0)),"")))))</f>
        <v/>
      </c>
      <c r="G138">
        <f>IF($C138="","",MAX(1,N(IFERROR(IF(INDEX('商品マスタ'!$F$6:$F$1005,MATCH($C138,'商品マスタ'!$B$6:$B$1005,0))="",IF(COUNTIFS('①在庫を貼る'!$V$6:$V$10005,'設定'!$C$4,'①在庫を貼る'!$W$6:$W$10005,$C138)&gt;0,SUMIFS('①在庫を貼る'!$K$6:$K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K$6:$K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K$6:$K$10005,'月1回_2ヶ月前の在庫'!$V$6:$V$10005,'設定'!$C$4,'月1回_2ヶ月前の在庫'!$W$6:$W$10005,$C138)/COUNTIFS('月1回_2ヶ月前の在庫'!$V$6:$V$10005,'設定'!$C$4,'月1回_2ヶ月前の在庫'!$W$6:$W$10005,$C138),0))),INDEX('商品マスタ'!$F$6:$F$1005,MATCH($C138,'商品マスタ'!$B$6:$B$1005,0))),IF(COUNTIFS('①在庫を貼る'!$V$6:$V$10005,'設定'!$C$4,'①在庫を貼る'!$W$6:$W$10005,$C138)&gt;0,SUMIFS('①在庫を貼る'!$K$6:$K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K$6:$K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K$6:$K$10005,'月1回_2ヶ月前の在庫'!$V$6:$V$10005,'設定'!$C$4,'月1回_2ヶ月前の在庫'!$W$6:$W$10005,$C138)/COUNTIFS('月1回_2ヶ月前の在庫'!$V$6:$V$10005,'設定'!$C$4,'月1回_2ヶ月前の在庫'!$W$6:$W$10005,$C138),0)))))))</f>
        <v/>
      </c>
      <c r="H138">
        <f>IF($C138="","",N(IFERROR(IF(INDEX('商品マスタ'!$G$6:$G$1005,MATCH($C138,'商品マスタ'!$B$6:$B$1005,0))="",IF(COUNTIFS('①在庫を貼る'!$V$6:$V$10005,'設定'!$C$4,'①在庫を貼る'!$W$6:$W$10005,$C138)&gt;0,SUMIFS('①在庫を貼る'!$Q$6:$Q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Q$6:$Q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Q$6:$Q$10005,'月1回_2ヶ月前の在庫'!$V$6:$V$10005,'設定'!$C$4,'月1回_2ヶ月前の在庫'!$W$6:$W$10005,$C138)/COUNTIFS('月1回_2ヶ月前の在庫'!$V$6:$V$10005,'設定'!$C$4,'月1回_2ヶ月前の在庫'!$W$6:$W$10005,$C138),0))),INDEX('商品マスタ'!$G$6:$G$1005,MATCH($C138,'商品マスタ'!$B$6:$B$1005,0))),IF(COUNTIFS('①在庫を貼る'!$V$6:$V$10005,'設定'!$C$4,'①在庫を貼る'!$W$6:$W$10005,$C138)&gt;0,SUMIFS('①在庫を貼る'!$Q$6:$Q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Q$6:$Q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Q$6:$Q$10005,'月1回_2ヶ月前の在庫'!$V$6:$V$10005,'設定'!$C$4,'月1回_2ヶ月前の在庫'!$W$6:$W$10005,$C138)/COUNTIFS('月1回_2ヶ月前の在庫'!$V$6:$V$10005,'設定'!$C$4,'月1回_2ヶ月前の在庫'!$W$6:$W$10005,$C138),0))))))</f>
        <v/>
      </c>
      <c r="I138">
        <f>IF($C138="","",IF(COUNTIFS('①在庫を貼る'!$V$6:$V$10005,'設定'!$C$4,'①在庫を貼る'!$W$6:$W$10005,$C138)=0,"",SUMIFS('①在庫を貼る'!$N$6:$N$10005,'①在庫を貼る'!$V$6:$V$10005,'設定'!$C$4,'①在庫を貼る'!$W$6:$W$10005,$C138)))</f>
        <v/>
      </c>
      <c r="J138">
        <f>IF($C138="","",IF('②発注する'!$AD142="","",'②発注する'!$AD142))</f>
        <v/>
      </c>
      <c r="K138" s="90">
        <f>IF($C138="","",IF('②発注する'!$AE142="","",'②発注する'!$AE142))</f>
        <v/>
      </c>
      <c r="L138">
        <f>IF($C138="","",IF(AND(ISNUMBER($J138),ISNUMBER($K138),$K138&gt;='設定'!$C$6),$J138,N($I138)))</f>
        <v/>
      </c>
      <c r="M138">
        <f>IF($C138="","",IFERROR(IF(N(INDEX('商品マスタ'!$J$6:$J$1005,MATCH($C138,'商品マスタ'!$B$6:$B$1005,0)))&gt;0,INDEX('商品マスタ'!$J$6:$J$1005,MATCH($C138,'商品マスタ'!$B$6:$B$1005,0)),""),""))</f>
        <v/>
      </c>
      <c r="N138">
        <f>IF($C138="","",IFERROR(IF(N(INDEX('商品マスタ'!$H$6:$H$1005,MATCH($C138,'商品マスタ'!$B$6:$B$1005,0)))&gt;0,INDEX('商品マスタ'!$H$6:$H$1005,MATCH($C138,'商品マスタ'!$B$6:$B$1005,0)),""),""))</f>
        <v/>
      </c>
      <c r="O138">
        <f>IF($C138="","",IF($N138&lt;&gt;"",$N138*$G138,IF(N(IF(COUNTIFS('①在庫を貼る'!$V$6:$V$10005,'設定'!$C$4,'①在庫を貼る'!$W$6:$W$10005,$C138)&gt;0,SUMIFS('①在庫を貼る'!$O$6:$O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O$6:$O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O$6:$O$10005,'月1回_2ヶ月前の在庫'!$V$6:$V$10005,'設定'!$C$4,'月1回_2ヶ月前の在庫'!$W$6:$W$10005,$C138)/COUNTIFS('月1回_2ヶ月前の在庫'!$V$6:$V$10005,'設定'!$C$4,'月1回_2ヶ月前の在庫'!$W$6:$W$10005,$C138),0))))&gt;0,N(IF(COUNTIFS('①在庫を貼る'!$V$6:$V$10005,'設定'!$C$4,'①在庫を貼る'!$W$6:$W$10005,$C138)&gt;0,SUMIFS('①在庫を貼る'!$O$6:$O$10005,'①在庫を貼る'!$V$6:$V$10005,'設定'!$C$4,'①在庫を貼る'!$W$6:$W$10005,$C138)/COUNTIFS('①在庫を貼る'!$V$6:$V$10005,'設定'!$C$4,'①在庫を貼る'!$W$6:$W$10005,$C138),IF(COUNTIFS('月1回_1ヶ月前の在庫'!$V$6:$V$10005,'設定'!$C$4,'月1回_1ヶ月前の在庫'!$W$6:$W$10005,$C138)&gt;0,SUMIFS('月1回_1ヶ月前の在庫'!$O$6:$O$10005,'月1回_1ヶ月前の在庫'!$V$6:$V$10005,'設定'!$C$4,'月1回_1ヶ月前の在庫'!$W$6:$W$10005,$C138)/COUNTIFS('月1回_1ヶ月前の在庫'!$V$6:$V$10005,'設定'!$C$4,'月1回_1ヶ月前の在庫'!$W$6:$W$10005,$C138),IF(COUNTIFS('月1回_2ヶ月前の在庫'!$V$6:$V$10005,'設定'!$C$4,'月1回_2ヶ月前の在庫'!$W$6:$W$10005,$C138)&gt;0,SUMIFS('月1回_2ヶ月前の在庫'!$O$6:$O$10005,'月1回_2ヶ月前の在庫'!$V$6:$V$10005,'設定'!$C$4,'月1回_2ヶ月前の在庫'!$W$6:$W$10005,$C138)/COUNTIFS('月1回_2ヶ月前の在庫'!$V$6:$V$10005,'設定'!$C$4,'月1回_2ヶ月前の在庫'!$W$6:$W$10005,$C138),0)))),"")))</f>
        <v/>
      </c>
      <c r="P138" s="90">
        <f>IF($C138="","",IF('②発注する'!$I142="","",'②発注する'!$I142))</f>
        <v/>
      </c>
      <c r="Q138">
        <f>IF($C138="","",IF('②発注する'!$J142="","",'②発注する'!$J142))</f>
        <v/>
      </c>
      <c r="R138">
        <f>IF($C138="",0,IF(AND(ISNUMBER($P138),ISNUMBER($Q138)),MAX(0,$Q138)*$G138,0))</f>
        <v/>
      </c>
      <c r="S138" s="90">
        <f>IF($C138="","",IF('②発注する'!$M142="","",'②発注する'!$M142))</f>
        <v/>
      </c>
      <c r="T138">
        <f>IF($C138="","",IF('②発注する'!$N142="","",'②発注する'!$N142))</f>
        <v/>
      </c>
      <c r="U138">
        <f>IF($C138="",0,IF(AND(ISNUMBER($S138),ISNUMBER($T138)),MAX(0,$T138)*$G138,0))</f>
        <v/>
      </c>
      <c r="V138">
        <f>IF($C138="",0,IF($M138="",0,MAX(0,$M138)*MAX(0,V$4)/100))</f>
        <v/>
      </c>
      <c r="W138">
        <f>IF($C138="",0,IF($M138="",0,MAX(0,$M138)*MAX(0,W$4)/100))</f>
        <v/>
      </c>
      <c r="X138">
        <f>IF($C138="",0,IF($M138="",0,MAX(0,$M138)*MAX(0,X$4)/100))</f>
        <v/>
      </c>
      <c r="Y138">
        <f>IF($C138="",0,IF($M138="",0,MAX(0,$M138)*MAX(0,Y$4)/100))</f>
        <v/>
      </c>
      <c r="Z138">
        <f>IF($C138="",0,IF($M138="",0,MAX(0,$M138)*MAX(0,Z$4)/100))</f>
        <v/>
      </c>
      <c r="AA138">
        <f>IF($C138="",0,IF($M138="",0,MAX(0,$M138)*MAX(0,AA$4)/100))</f>
        <v/>
      </c>
      <c r="AB138">
        <f>IF($C138="",0,IF($M138="",0,MAX(0,$M138)*MAX(0,AB$4)/100))</f>
        <v/>
      </c>
      <c r="AC138">
        <f>IF($C138="",0,IF($M138="",0,MAX(0,$M138)*MAX(0,AC$4)/100))</f>
        <v/>
      </c>
      <c r="AD138">
        <f>IF($C138="",0,IF($M138="",0,MAX(0,$M138)*MAX(0,AD$4)/100))</f>
        <v/>
      </c>
      <c r="AE138">
        <f>IF($C138="",0,IF($M138="",0,MAX(0,$M138)*MAX(0,AE$4)/100))</f>
        <v/>
      </c>
      <c r="AF138">
        <f>IF($C138="",0,IF($M138="",0,MAX(0,$M138)*MAX(0,AF$4)/100))</f>
        <v/>
      </c>
      <c r="AG138">
        <f>IF($C138="",0,IF($M138="",0,MAX(0,$M138)*MAX(0,AG$4)/100))</f>
        <v/>
      </c>
      <c r="AH138">
        <f>IF($C138="",0,IF($M138="",0,MAX(0,$M138)*MAX(0,AH$4)/100))</f>
        <v/>
      </c>
      <c r="AI138">
        <f>IF($C138="",0,IF($M138="",0,MAX(0,$M138)*MAX(0,AI$4)/100))</f>
        <v/>
      </c>
      <c r="AJ138">
        <f>IF($C138="",0,MAX(0,MAX(0,N($L138))-$V138))</f>
        <v/>
      </c>
      <c r="AK138">
        <f>IF($C138="",0,MAX(0,$AJ138-$W138))</f>
        <v/>
      </c>
      <c r="AL138">
        <f>IF($C138="",0,MAX(0,$AK138-$X138))</f>
        <v/>
      </c>
      <c r="AM138">
        <f>IF($C138="",0,MAX(0,$AL138-$Y138))</f>
        <v/>
      </c>
      <c r="AN138">
        <f>IF($C138="",0,MAX(0,$AM138-$Z138))</f>
        <v/>
      </c>
      <c r="AO138">
        <f>IF($C138="",0,MAX(0,$AN138-$AA138))</f>
        <v/>
      </c>
      <c r="AP138">
        <f>IF($C138="",0,MAX(0,$AO138-$AB138))</f>
        <v/>
      </c>
      <c r="AQ138">
        <f>IF($C138="",0,MAX(0,$AP138-$AC138))</f>
        <v/>
      </c>
      <c r="AR138">
        <f>IF($C138="",0,MAX(0,$AQ138-$AD138))</f>
        <v/>
      </c>
      <c r="AS138">
        <f>IF($C138="",0,MAX(0,$AR138-$AE138))</f>
        <v/>
      </c>
      <c r="AT138">
        <f>IF($C138="",0,MAX(0,$AS138-$AF138))</f>
        <v/>
      </c>
      <c r="AU138">
        <f>IF($C138="",0,MAX(0,$AT138-$AG138))</f>
        <v/>
      </c>
      <c r="AV138">
        <f>IF($C138="",0,MAX(0,$AU138-$AH138))</f>
        <v/>
      </c>
      <c r="AW138">
        <f>IF($C138="",0,MAX(0,$AV138-$AI138))</f>
        <v/>
      </c>
      <c r="AX138">
        <f>IF($C138="",0,MAX(0,MAX(0,N($L138))+IF($P138=V$3,$R138,0)+IF($S138=V$3,$U138,0)-$V138))</f>
        <v/>
      </c>
      <c r="AY138">
        <f>IF($C138="",0,MAX(0,$AX138+IF($P138=W$3,$R138,0)+IF($S138=W$3,$U138,0)-$W138))</f>
        <v/>
      </c>
      <c r="AZ138">
        <f>IF($C138="",0,MAX(0,$AY138+IF($P138=X$3,$R138,0)+IF($S138=X$3,$U138,0)-$X138))</f>
        <v/>
      </c>
      <c r="BA138">
        <f>IF($C138="",0,MAX(0,$AZ138+IF($P138=Y$3,$R138,0)+IF($S138=Y$3,$U138,0)-$Y138))</f>
        <v/>
      </c>
      <c r="BB138">
        <f>IF($C138="",0,MAX(0,$BA138+IF($P138=Z$3,$R138,0)+IF($S138=Z$3,$U138,0)-$Z138))</f>
        <v/>
      </c>
      <c r="BC138">
        <f>IF($C138="",0,MAX(0,$BB138+IF($P138=AA$3,$R138,0)+IF($S138=AA$3,$U138,0)-$AA138))</f>
        <v/>
      </c>
      <c r="BD138">
        <f>IF($C138="",0,MAX(0,$BC138+IF($P138=AB$3,$R138,0)+IF($S138=AB$3,$U138,0)-$AB138))</f>
        <v/>
      </c>
      <c r="BE138">
        <f>IF($C138="",0,MAX(0,$BD138+IF($P138=AC$3,$R138,0)+IF($S138=AC$3,$U138,0)-$AC138))</f>
        <v/>
      </c>
      <c r="BF138">
        <f>IF($C138="",0,MAX(0,$BE138+IF($P138=AD$3,$R138,0)+IF($S138=AD$3,$U138,0)-$AD138))</f>
        <v/>
      </c>
      <c r="BG138">
        <f>IF($C138="",0,MAX(0,$BF138+IF($P138=AE$3,$R138,0)+IF($S138=AE$3,$U138,0)-$AE138))</f>
        <v/>
      </c>
      <c r="BH138">
        <f>IF($C138="",0,MAX(0,$BG138+IF($P138=AF$3,$R138,0)+IF($S138=AF$3,$U138,0)-$AF138))</f>
        <v/>
      </c>
      <c r="BI138">
        <f>IF($C138="",0,MAX(0,$BH138+IF($P138=AG$3,$R138,0)+IF($S138=AG$3,$U138,0)-$AG138))</f>
        <v/>
      </c>
      <c r="BJ138">
        <f>IF($C138="",0,MAX(0,$BI138+IF($P138=AH$3,$R138,0)+IF($S138=AH$3,$U138,0)-$AH138))</f>
        <v/>
      </c>
      <c r="BK138">
        <f>IF($C138="",0,MAX(0,$BJ138+IF($P138=AI$3,$R138,0)+IF($S138=AI$3,$U138,0)-$AI138))</f>
        <v/>
      </c>
      <c r="BL138">
        <f>IF($C138="",99,IF(AND($AX138&lt;1,V$3&gt;=MAX(N($P138),N($S138))),0,99))</f>
        <v/>
      </c>
      <c r="BM138">
        <f>IF($C138="",99,IF(AND($AY138&lt;1,W$3&gt;=MAX(N($P138),N($S138))),1,99))</f>
        <v/>
      </c>
      <c r="BN138">
        <f>IF($C138="",99,IF(AND($AZ138&lt;1,X$3&gt;=MAX(N($P138),N($S138))),2,99))</f>
        <v/>
      </c>
      <c r="BO138">
        <f>IF($C138="",99,IF(AND($BA138&lt;1,Y$3&gt;=MAX(N($P138),N($S138))),3,99))</f>
        <v/>
      </c>
      <c r="BP138">
        <f>IF($C138="",99,IF(AND($BB138&lt;1,Z$3&gt;=MAX(N($P138),N($S138))),4,99))</f>
        <v/>
      </c>
      <c r="BQ138">
        <f>IF($C138="",99,IF(AND($BC138&lt;1,AA$3&gt;=MAX(N($P138),N($S138))),5,99))</f>
        <v/>
      </c>
      <c r="BR138">
        <f>IF($C138="",99,IF(AND($BD138&lt;1,AB$3&gt;=MAX(N($P138),N($S138))),6,99))</f>
        <v/>
      </c>
      <c r="BS138">
        <f>IF($C138="",99,IF(AND($BE138&lt;1,AC$3&gt;=MAX(N($P138),N($S138))),7,99))</f>
        <v/>
      </c>
      <c r="BT138">
        <f>IF($C138="",99,IF(AND($BF138&lt;1,AD$3&gt;=MAX(N($P138),N($S138))),8,99))</f>
        <v/>
      </c>
      <c r="BU138">
        <f>IF($C138="",99,IF(AND($BG138&lt;1,AE$3&gt;=MAX(N($P138),N($S138))),9,99))</f>
        <v/>
      </c>
      <c r="BV138">
        <f>IF($C138="",99,IF(AND($BH138&lt;1,AF$3&gt;=MAX(N($P138),N($S138))),10,99))</f>
        <v/>
      </c>
      <c r="BW138">
        <f>IF($C138="",99,IF(AND($BI138&lt;1,AG$3&gt;=MAX(N($P138),N($S138))),11,99))</f>
        <v/>
      </c>
      <c r="BX138">
        <f>IF($C138="",99,IF(AND($BJ138&lt;1,AH$3&gt;=MAX(N($P138),N($S138))),12,99))</f>
        <v/>
      </c>
      <c r="BY138">
        <f>IF($C138="",99,IF(AND($BK138&lt;1,AI$3&gt;=MAX(N($P138),N($S138))),13,99))</f>
        <v/>
      </c>
      <c r="BZ138">
        <f>IF(OR($C138="",$M138=""),"",COUNTIF($AJ138:$AW138,"&gt;=1"))</f>
        <v/>
      </c>
      <c r="CA138" s="90">
        <f>IF($BZ138="","",IF($BZ138&gt;=14,"",'設定'!$C$6+$BZ138))</f>
        <v/>
      </c>
      <c r="CB138">
        <f>IF(OR($C138="",$M138=""),"",MIN($BL138:$BY138))</f>
        <v/>
      </c>
      <c r="CC138" s="90">
        <f>IF($CB138="","",IF($CB138&gt;=99,"",'設定'!$C$6+$CB138))</f>
        <v/>
      </c>
      <c r="CD138">
        <f>IF(OR($C138="",$M138=""),"",AVERAGE($V138:$AI138))</f>
        <v/>
      </c>
      <c r="CE138">
        <f>IF($C138="","",IFERROR(IF(MATCH(IF(ISNUMBER($P138),$P138,'設定'!$C$6+N('設定'!$C$7)),$V$3:$AI$3,0)=1,MAX(0,N($L138)),INDEX($AJ138:$AW138,MATCH(IF(ISNUMBER($P138),$P138,'設定'!$C$6+N('設定'!$C$7)),$V$3:$AI$3,0)-1)),""))</f>
        <v/>
      </c>
      <c r="CF138">
        <f>IF(OR($C138="",$O138="",$CE138=""),"",IF($O138-$CE138&lt;=0,0,ROUNDUP(($O138-$CE138)/$G138,0)))</f>
        <v/>
      </c>
      <c r="CG138">
        <f>IF(OR($C138="",$CF138="",NOT(ISNUMBER($Q138))),0,MAX(0,$Q138-$CF138))</f>
        <v/>
      </c>
      <c r="CH138">
        <f>IF(OR($C138="",$O138="",$U138=0),0,IFERROR(ROUNDUP(MAX(0,IF(MATCH($S138,$V$3:$AI$3,0)=1,MAX(0,N($L138)),INDEX($AX138:$BK138,MATCH($S138,$V$3:$AI$3,0)-1))+$U138-$O138)/$G138,0),0))</f>
        <v/>
      </c>
      <c r="CI138">
        <f>IF($C138="","",IF(AND($P138="",$Q138=""),"",IF($P138="","⚠ 入庫日を ▼ から選んでください",IF(NOT(ISNUMBER($P138)),"⚠ 入庫日は ▼ から選んでください",IF($P138&lt;N('設定'!$C$6),"⚠ 入庫日が過去です（もう在庫に入っています）→ 消してください",IF($P138&gt;N('設定'!$C$6)+13,"⚠ 入庫日が14日より先です",IF(N($Q138)&lt;=0,"⚠ 入庫数を入れてください",IF($CG138&gt;0,"⚠ 目安より "&amp;$CG138&amp;" 多い（定数を超える）→ 減らす",""))))))))</f>
        <v/>
      </c>
      <c r="CJ138">
        <f>IF($C138="","",IF(AND($S138="",$T138=""),"",IF($S138="","⚠ 2便目：入庫日を ▼ から選んでください",IF(NOT(ISNUMBER($S138)),"⚠ 2便目：入庫日は ▼ から選んでください",IF($S138&lt;N('設定'!$C$6),"⚠ 2便目：入庫日が過去です（もう在庫に入っています）→ 消してください",IF($S138&gt;N('設定'!$C$6)+13,"⚠ 2便目：入庫日が14日より先です",IF(N($T138)&lt;=0,"⚠ 2便目：入庫数を入れてください",IF($CH138&gt;0,"⚠ 2便目：定数を "&amp;$CH138&amp;" ケース超える → 減らす",""))))))))</f>
        <v/>
      </c>
      <c r="CK138">
        <f>IF(AND($CI138="",N($Q138)&gt;0,ISNUMBER($P138)),1,0)</f>
        <v/>
      </c>
      <c r="CL138">
        <f>IF(AND($CJ138="",N($T138)&gt;0,ISNUMBER($S138)),1,0)</f>
        <v/>
      </c>
      <c r="CM138">
        <f>IF(OR($CK138=1,$CL138=1),1,0)</f>
        <v/>
      </c>
      <c r="CN138">
        <f>IF($C138="",0,($CK138*$R138+$CL138*$U138)*N($H138))</f>
        <v/>
      </c>
      <c r="CO138">
        <f>IF($C138="","",IF($CC138="","入庫後は 14日以上もつ",IF($CC138-N('設定'!$C$7)&lt;='設定'!$C$6,"入庫後も "&amp;TEXT($CC138,"m/d")&amp;"("&amp;CHOOSE(WEEKDAY($CC138),"日","月","火","水","木","金","土")&amp;")"&amp;" に切れる　もう1便を至急発注","入庫後も "&amp;TEXT($CC138,"m/d")&amp;"("&amp;CHOOSE(WEEKDAY($CC138),"日","月","火","水","木","金","土")&amp;")"&amp;" に切れる　"&amp;TEXT($CC138-N('設定'!$C$7),"m/d")&amp;"("&amp;CHOOSE(WEEKDAY($CC138-N('設定'!$C$7)),"日","月","火","水","木","金","土")&amp;")"&amp;" までに次を発注")))</f>
        <v/>
      </c>
      <c r="CP138">
        <f>IF($C138="","",IF('設定'!$C$6="","？ ①在庫を貼る に今日のCSVが貼られていない",IF($CS138=1,"－ 今日のCSVに無い（終売？）",IF($L138&lt;0,"● 在庫がマイナス　数えて「数えた在庫」に入れる",IF($L138=0,"● 在庫なし　至急発注",IF($M138="","？ 減り数が未設定（商品マスタ）",IF($B$3=0,"？ 動員が未入力（動員を入れる）",IF($CA138="","○ 14日以上もつ",IF($BZ138&lt;N('設定'!$C$7),"● "&amp;TEXT($CA138,"m/d")&amp;"("&amp;CHOOSE(WEEKDAY($CA138),"日","月","火","水","木","金","土")&amp;")"&amp;" に切れる　至急発注",IF($BZ138=N('設定'!$C$7),"● "&amp;TEXT($CA138,"m/d")&amp;"("&amp;CHOOSE(WEEKDAY($CA138),"日","月","火","水","木","金","土")&amp;")"&amp;" に切れる　今日発注","△ "&amp;TEXT($CA138,"m/d")&amp;"("&amp;CHOOSE(WEEKDAY($CA138),"日","月","火","水","木","金","土")&amp;")"&amp;" に切れる　"&amp;TEXT($CA138-N('設定'!$C$7),"m/d")&amp;"("&amp;CHOOSE(WEEKDAY($CA138-N('設定'!$C$7)),"日","月","火","水","木","金","土")&amp;")"&amp;" までに発注"))))))))))</f>
        <v/>
      </c>
      <c r="CQ138">
        <f>IF($C138="","",IF(AND($P138="",$Q138="",$S138="",$T138=""),"",IF(AND($P138="",$Q138=""),"⚠ 先に1便目（左の入庫日・入庫数）に入れてください",IF($CI138&lt;&gt;"",$CI138,IF($CJ138&lt;&gt;"",$CJ138,IF($M138="","？ 減り数が未設定（発注書には載ります）",IF($B$3=0,"？ 動員が未入力（発注書には載ります）",IF(AND($CA138&lt;&gt;"",$P138&gt;$CA138),IF($P138&gt;'設定'!$C$6+N('設定'!$C$7),"● "&amp;TEXT($P138,"m/d")&amp;"("&amp;CHOOSE(WEEKDAY($P138),"日","月","火","水","木","金","土")&amp;")"&amp;" の入庫では間に合わない（"&amp;TEXT($CA138,"m/d")&amp;"("&amp;CHOOSE(WEEKDAY($CA138),"日","月","火","水","木","金","土")&amp;")"&amp;" に切れる）　入庫日を早める","△ 欠品 "&amp;TEXT($CA138,"m/d")&amp;"("&amp;CHOOSE(WEEKDAY($CA138),"日","月","火","水","木","金","土")&amp;")"&amp;"〜"&amp;TEXT($P138-1,"m/d")&amp;"("&amp;CHOOSE(WEEKDAY($P138-1),"日","月","火","水","木","金","土")&amp;")"&amp;"　"&amp;$CO138),IF($CC138="","○ "&amp;TEXT($P138,"m/d")&amp;"("&amp;CHOOSE(WEEKDAY($P138),"日","月","火","水","木","金","土")&amp;")"&amp;" 入庫で 14日以上もつ",IF($CC138-N('設定'!$C$7)&lt;='設定'!$C$6,"● 入庫しても "&amp;TEXT($CC138,"m/d")&amp;"("&amp;CHOOSE(WEEKDAY($CC138),"日","月","火","水","木","金","土")&amp;")"&amp;" に切れる　もう1便を至急発注（2便目に入れる）","△ 入庫しても "&amp;TEXT($CC138,"m/d")&amp;"("&amp;CHOOSE(WEEKDAY($CC138),"日","月","火","水","木","金","土")&amp;")"&amp;" に切れる　"&amp;TEXT($CC138-N('設定'!$C$7),"m/d")&amp;"("&amp;CHOOSE(WEEKDAY($CC138-N('設定'!$C$7)),"日","月","火","水","木","金","土")&amp;")"&amp;" までに次を発注（2便目に入れる）"))))))))))</f>
        <v/>
      </c>
      <c r="CR138">
        <f>IF($C138="","",IF($G138&gt;1,"ｹｰｽ("&amp;$G138&amp;"入)","個"))</f>
        <v/>
      </c>
      <c r="CS138">
        <f>IF($C138="",0,IF(COUNTIFS('①在庫を貼る'!$V$6:$V$10005,'設定'!$C$4,'①在庫を貼る'!$W$6:$W$10005,$C138)=0,1,0))</f>
        <v/>
      </c>
      <c r="CT138">
        <f>IF(AND($CK138=1,OR('③発注書'!$C$4="すべて",'③発注書'!$C$4="",$F138='③発注書'!$C$4)),N($CT137)+1,N($CT137))</f>
        <v/>
      </c>
      <c r="CU138">
        <f>IF(AND($CL138=1,OR('③発注書'!$C$4="すべて",'③発注書'!$C$4="",$F138='③発注書'!$C$4)),N($CU137)+1,N($CU137))</f>
        <v/>
      </c>
      <c r="CV138">
        <f>IF($C138="",0,IF(COUNTIFS('①在庫を貼る'!$V$6:$V$10005,'設定'!$C$4,'①在庫を貼る'!$W$6:$W$10005,$C138)&gt;0,1,0))</f>
        <v/>
      </c>
      <c r="CW138">
        <f>IF($C138="",0,IF(COUNTIFS('月1回_1ヶ月前の在庫'!$V$6:$V$10005,'設定'!$C$4,'月1回_1ヶ月前の在庫'!$W$6:$W$10005,$C138)&gt;0,1,0))</f>
        <v/>
      </c>
      <c r="CX138">
        <f>IF($C138="",0,IF(COUNTIFS('月1回_2ヶ月前の在庫'!$V$6:$V$10005,'設定'!$C$4,'月1回_2ヶ月前の在庫'!$W$6:$W$10005,$C138)&gt;0,1,0))</f>
        <v/>
      </c>
      <c r="CY138">
        <f>IF(OR($C138="",'設定'!$C$12=""),"",IF('設定'!$C$13="",IF(AND($CV138=1,$CW138=0),"新商品（今月から）",IF(AND($CV138=0,$CW138=1),"終売（今月から）","")),IF(AND($CV138=1,$CW138=0,$CX138=0),"新商品（今月から）",IF(AND($CV138=1,$CW138=1,$CX138=0),"新商品（先月から）",IF(AND($CV138=0,$CW138=1,$CX138=1),"終売（今月から）",IF(AND($CV138=0,$CW138=0,$CX138=1),"終売（先月から）",IF(AND($CV138=1,$CW138=0,$CX138=1),"復活（先月は無し）","")))))))</f>
        <v/>
      </c>
    </row>
    <row r="139">
      <c r="B139">
        <f>IF(134&lt;='設定'!$C$11,134,"")</f>
        <v/>
      </c>
      <c r="C139">
        <f>IF($B139="","",IF($B139&lt;='設定'!$C$20,INDEX('商品マスタ'!$B$6:$B$1005,MATCH($B139,'商品マスタ'!$M$6:$M$1005,0)),IF($B139&lt;='設定'!$C$20+'設定'!$C$17,INDEX('①在庫を貼る'!$W$6:$W$10005,MATCH($B139-'設定'!$C$20,'①在庫を貼る'!$U$6:$U$10005,0)),IF($B139&lt;='設定'!$C$20+'設定'!$C$17+'設定'!$C$18,INDEX('月1回_1ヶ月前の在庫'!$W$6:$W$10005,MATCH($B139-'設定'!$C$20-'設定'!$C$17,'月1回_1ヶ月前の在庫'!$U$6:$U$10005,0)),INDEX('月1回_2ヶ月前の在庫'!$W$6:$W$10005,MATCH($B139-'設定'!$C$20-'設定'!$C$17-'設定'!$C$18,'月1回_2ヶ月前の在庫'!$U$6:$U$10005,0))))))</f>
        <v/>
      </c>
      <c r="D139">
        <f>IF($C139="","",IFERROR(IF(INDEX('商品マスタ'!$C$6:$C$1005,MATCH($C139,'商品マスタ'!$B$6:$B$1005,0))="",IFERROR(INDEX('①在庫を貼る'!$J$6:$J$10005,MATCH($C139,'①在庫を貼る'!$W$6:$W$10005,0)),IFERROR(INDEX('月1回_1ヶ月前の在庫'!$J$6:$J$10005,MATCH($C139,'月1回_1ヶ月前の在庫'!$W$6:$W$10005,0)),IFERROR(INDEX('月1回_2ヶ月前の在庫'!$J$6:$J$10005,MATCH($C139,'月1回_2ヶ月前の在庫'!$W$6:$W$10005,0)),""))),INDEX('商品マスタ'!$C$6:$C$1005,MATCH($C139,'商品マスタ'!$B$6:$B$1005,0))),IFERROR(INDEX('①在庫を貼る'!$J$6:$J$10005,MATCH($C139,'①在庫を貼る'!$W$6:$W$10005,0)),IFERROR(INDEX('月1回_1ヶ月前の在庫'!$J$6:$J$10005,MATCH($C139,'月1回_1ヶ月前の在庫'!$W$6:$W$10005,0)),IFERROR(INDEX('月1回_2ヶ月前の在庫'!$J$6:$J$10005,MATCH($C139,'月1回_2ヶ月前の在庫'!$W$6:$W$10005,0)),"")))))</f>
        <v/>
      </c>
      <c r="E139">
        <f>IF($C139="","",IFERROR(IF(INDEX('商品マスタ'!$D$6:$D$1005,MATCH($C139,'商品マスタ'!$B$6:$B$1005,0))="",IFERROR(INDEX('①在庫を貼る'!$H$6:$H$10005,MATCH($C139,'①在庫を貼る'!$W$6:$W$10005,0)),IFERROR(INDEX('月1回_1ヶ月前の在庫'!$H$6:$H$10005,MATCH($C139,'月1回_1ヶ月前の在庫'!$W$6:$W$10005,0)),IFERROR(INDEX('月1回_2ヶ月前の在庫'!$H$6:$H$10005,MATCH($C139,'月1回_2ヶ月前の在庫'!$W$6:$W$10005,0)),""))),INDEX('商品マスタ'!$D$6:$D$1005,MATCH($C139,'商品マスタ'!$B$6:$B$1005,0))),IFERROR(INDEX('①在庫を貼る'!$H$6:$H$10005,MATCH($C139,'①在庫を貼る'!$W$6:$W$10005,0)),IFERROR(INDEX('月1回_1ヶ月前の在庫'!$H$6:$H$10005,MATCH($C139,'月1回_1ヶ月前の在庫'!$W$6:$W$10005,0)),IFERROR(INDEX('月1回_2ヶ月前の在庫'!$H$6:$H$10005,MATCH($C139,'月1回_2ヶ月前の在庫'!$W$6:$W$10005,0)),"")))))</f>
        <v/>
      </c>
      <c r="F139">
        <f>IF($C139="","",IFERROR(IF(INDEX('商品マスタ'!$E$6:$E$1005,MATCH($C139,'商品マスタ'!$B$6:$B$1005,0))="",IFERROR(INDEX('①在庫を貼る'!$E$6:$E$10005,MATCH($C139,'①在庫を貼る'!$W$6:$W$10005,0)),IFERROR(INDEX('月1回_1ヶ月前の在庫'!$E$6:$E$10005,MATCH($C139,'月1回_1ヶ月前の在庫'!$W$6:$W$10005,0)),IFERROR(INDEX('月1回_2ヶ月前の在庫'!$E$6:$E$10005,MATCH($C139,'月1回_2ヶ月前の在庫'!$W$6:$W$10005,0)),""))),INDEX('商品マスタ'!$E$6:$E$1005,MATCH($C139,'商品マスタ'!$B$6:$B$1005,0))),IFERROR(INDEX('①在庫を貼る'!$E$6:$E$10005,MATCH($C139,'①在庫を貼る'!$W$6:$W$10005,0)),IFERROR(INDEX('月1回_1ヶ月前の在庫'!$E$6:$E$10005,MATCH($C139,'月1回_1ヶ月前の在庫'!$W$6:$W$10005,0)),IFERROR(INDEX('月1回_2ヶ月前の在庫'!$E$6:$E$10005,MATCH($C139,'月1回_2ヶ月前の在庫'!$W$6:$W$10005,0)),"")))))</f>
        <v/>
      </c>
      <c r="G139">
        <f>IF($C139="","",MAX(1,N(IFERROR(IF(INDEX('商品マスタ'!$F$6:$F$1005,MATCH($C139,'商品マスタ'!$B$6:$B$1005,0))="",IF(COUNTIFS('①在庫を貼る'!$V$6:$V$10005,'設定'!$C$4,'①在庫を貼る'!$W$6:$W$10005,$C139)&gt;0,SUMIFS('①在庫を貼る'!$K$6:$K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K$6:$K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K$6:$K$10005,'月1回_2ヶ月前の在庫'!$V$6:$V$10005,'設定'!$C$4,'月1回_2ヶ月前の在庫'!$W$6:$W$10005,$C139)/COUNTIFS('月1回_2ヶ月前の在庫'!$V$6:$V$10005,'設定'!$C$4,'月1回_2ヶ月前の在庫'!$W$6:$W$10005,$C139),0))),INDEX('商品マスタ'!$F$6:$F$1005,MATCH($C139,'商品マスタ'!$B$6:$B$1005,0))),IF(COUNTIFS('①在庫を貼る'!$V$6:$V$10005,'設定'!$C$4,'①在庫を貼る'!$W$6:$W$10005,$C139)&gt;0,SUMIFS('①在庫を貼る'!$K$6:$K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K$6:$K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K$6:$K$10005,'月1回_2ヶ月前の在庫'!$V$6:$V$10005,'設定'!$C$4,'月1回_2ヶ月前の在庫'!$W$6:$W$10005,$C139)/COUNTIFS('月1回_2ヶ月前の在庫'!$V$6:$V$10005,'設定'!$C$4,'月1回_2ヶ月前の在庫'!$W$6:$W$10005,$C139),0)))))))</f>
        <v/>
      </c>
      <c r="H139">
        <f>IF($C139="","",N(IFERROR(IF(INDEX('商品マスタ'!$G$6:$G$1005,MATCH($C139,'商品マスタ'!$B$6:$B$1005,0))="",IF(COUNTIFS('①在庫を貼る'!$V$6:$V$10005,'設定'!$C$4,'①在庫を貼る'!$W$6:$W$10005,$C139)&gt;0,SUMIFS('①在庫を貼る'!$Q$6:$Q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Q$6:$Q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Q$6:$Q$10005,'月1回_2ヶ月前の在庫'!$V$6:$V$10005,'設定'!$C$4,'月1回_2ヶ月前の在庫'!$W$6:$W$10005,$C139)/COUNTIFS('月1回_2ヶ月前の在庫'!$V$6:$V$10005,'設定'!$C$4,'月1回_2ヶ月前の在庫'!$W$6:$W$10005,$C139),0))),INDEX('商品マスタ'!$G$6:$G$1005,MATCH($C139,'商品マスタ'!$B$6:$B$1005,0))),IF(COUNTIFS('①在庫を貼る'!$V$6:$V$10005,'設定'!$C$4,'①在庫を貼る'!$W$6:$W$10005,$C139)&gt;0,SUMIFS('①在庫を貼る'!$Q$6:$Q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Q$6:$Q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Q$6:$Q$10005,'月1回_2ヶ月前の在庫'!$V$6:$V$10005,'設定'!$C$4,'月1回_2ヶ月前の在庫'!$W$6:$W$10005,$C139)/COUNTIFS('月1回_2ヶ月前の在庫'!$V$6:$V$10005,'設定'!$C$4,'月1回_2ヶ月前の在庫'!$W$6:$W$10005,$C139),0))))))</f>
        <v/>
      </c>
      <c r="I139">
        <f>IF($C139="","",IF(COUNTIFS('①在庫を貼る'!$V$6:$V$10005,'設定'!$C$4,'①在庫を貼る'!$W$6:$W$10005,$C139)=0,"",SUMIFS('①在庫を貼る'!$N$6:$N$10005,'①在庫を貼る'!$V$6:$V$10005,'設定'!$C$4,'①在庫を貼る'!$W$6:$W$10005,$C139)))</f>
        <v/>
      </c>
      <c r="J139">
        <f>IF($C139="","",IF('②発注する'!$AD143="","",'②発注する'!$AD143))</f>
        <v/>
      </c>
      <c r="K139" s="90">
        <f>IF($C139="","",IF('②発注する'!$AE143="","",'②発注する'!$AE143))</f>
        <v/>
      </c>
      <c r="L139">
        <f>IF($C139="","",IF(AND(ISNUMBER($J139),ISNUMBER($K139),$K139&gt;='設定'!$C$6),$J139,N($I139)))</f>
        <v/>
      </c>
      <c r="M139">
        <f>IF($C139="","",IFERROR(IF(N(INDEX('商品マスタ'!$J$6:$J$1005,MATCH($C139,'商品マスタ'!$B$6:$B$1005,0)))&gt;0,INDEX('商品マスタ'!$J$6:$J$1005,MATCH($C139,'商品マスタ'!$B$6:$B$1005,0)),""),""))</f>
        <v/>
      </c>
      <c r="N139">
        <f>IF($C139="","",IFERROR(IF(N(INDEX('商品マスタ'!$H$6:$H$1005,MATCH($C139,'商品マスタ'!$B$6:$B$1005,0)))&gt;0,INDEX('商品マスタ'!$H$6:$H$1005,MATCH($C139,'商品マスタ'!$B$6:$B$1005,0)),""),""))</f>
        <v/>
      </c>
      <c r="O139">
        <f>IF($C139="","",IF($N139&lt;&gt;"",$N139*$G139,IF(N(IF(COUNTIFS('①在庫を貼る'!$V$6:$V$10005,'設定'!$C$4,'①在庫を貼る'!$W$6:$W$10005,$C139)&gt;0,SUMIFS('①在庫を貼る'!$O$6:$O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O$6:$O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O$6:$O$10005,'月1回_2ヶ月前の在庫'!$V$6:$V$10005,'設定'!$C$4,'月1回_2ヶ月前の在庫'!$W$6:$W$10005,$C139)/COUNTIFS('月1回_2ヶ月前の在庫'!$V$6:$V$10005,'設定'!$C$4,'月1回_2ヶ月前の在庫'!$W$6:$W$10005,$C139),0))))&gt;0,N(IF(COUNTIFS('①在庫を貼る'!$V$6:$V$10005,'設定'!$C$4,'①在庫を貼る'!$W$6:$W$10005,$C139)&gt;0,SUMIFS('①在庫を貼る'!$O$6:$O$10005,'①在庫を貼る'!$V$6:$V$10005,'設定'!$C$4,'①在庫を貼る'!$W$6:$W$10005,$C139)/COUNTIFS('①在庫を貼る'!$V$6:$V$10005,'設定'!$C$4,'①在庫を貼る'!$W$6:$W$10005,$C139),IF(COUNTIFS('月1回_1ヶ月前の在庫'!$V$6:$V$10005,'設定'!$C$4,'月1回_1ヶ月前の在庫'!$W$6:$W$10005,$C139)&gt;0,SUMIFS('月1回_1ヶ月前の在庫'!$O$6:$O$10005,'月1回_1ヶ月前の在庫'!$V$6:$V$10005,'設定'!$C$4,'月1回_1ヶ月前の在庫'!$W$6:$W$10005,$C139)/COUNTIFS('月1回_1ヶ月前の在庫'!$V$6:$V$10005,'設定'!$C$4,'月1回_1ヶ月前の在庫'!$W$6:$W$10005,$C139),IF(COUNTIFS('月1回_2ヶ月前の在庫'!$V$6:$V$10005,'設定'!$C$4,'月1回_2ヶ月前の在庫'!$W$6:$W$10005,$C139)&gt;0,SUMIFS('月1回_2ヶ月前の在庫'!$O$6:$O$10005,'月1回_2ヶ月前の在庫'!$V$6:$V$10005,'設定'!$C$4,'月1回_2ヶ月前の在庫'!$W$6:$W$10005,$C139)/COUNTIFS('月1回_2ヶ月前の在庫'!$V$6:$V$10005,'設定'!$C$4,'月1回_2ヶ月前の在庫'!$W$6:$W$10005,$C139),0)))),"")))</f>
        <v/>
      </c>
      <c r="P139" s="90">
        <f>IF($C139="","",IF('②発注する'!$I143="","",'②発注する'!$I143))</f>
        <v/>
      </c>
      <c r="Q139">
        <f>IF($C139="","",IF('②発注する'!$J143="","",'②発注する'!$J143))</f>
        <v/>
      </c>
      <c r="R139">
        <f>IF($C139="",0,IF(AND(ISNUMBER($P139),ISNUMBER($Q139)),MAX(0,$Q139)*$G139,0))</f>
        <v/>
      </c>
      <c r="S139" s="90">
        <f>IF($C139="","",IF('②発注する'!$M143="","",'②発注する'!$M143))</f>
        <v/>
      </c>
      <c r="T139">
        <f>IF($C139="","",IF('②発注する'!$N143="","",'②発注する'!$N143))</f>
        <v/>
      </c>
      <c r="U139">
        <f>IF($C139="",0,IF(AND(ISNUMBER($S139),ISNUMBER($T139)),MAX(0,$T139)*$G139,0))</f>
        <v/>
      </c>
      <c r="V139">
        <f>IF($C139="",0,IF($M139="",0,MAX(0,$M139)*MAX(0,V$4)/100))</f>
        <v/>
      </c>
      <c r="W139">
        <f>IF($C139="",0,IF($M139="",0,MAX(0,$M139)*MAX(0,W$4)/100))</f>
        <v/>
      </c>
      <c r="X139">
        <f>IF($C139="",0,IF($M139="",0,MAX(0,$M139)*MAX(0,X$4)/100))</f>
        <v/>
      </c>
      <c r="Y139">
        <f>IF($C139="",0,IF($M139="",0,MAX(0,$M139)*MAX(0,Y$4)/100))</f>
        <v/>
      </c>
      <c r="Z139">
        <f>IF($C139="",0,IF($M139="",0,MAX(0,$M139)*MAX(0,Z$4)/100))</f>
        <v/>
      </c>
      <c r="AA139">
        <f>IF($C139="",0,IF($M139="",0,MAX(0,$M139)*MAX(0,AA$4)/100))</f>
        <v/>
      </c>
      <c r="AB139">
        <f>IF($C139="",0,IF($M139="",0,MAX(0,$M139)*MAX(0,AB$4)/100))</f>
        <v/>
      </c>
      <c r="AC139">
        <f>IF($C139="",0,IF($M139="",0,MAX(0,$M139)*MAX(0,AC$4)/100))</f>
        <v/>
      </c>
      <c r="AD139">
        <f>IF($C139="",0,IF($M139="",0,MAX(0,$M139)*MAX(0,AD$4)/100))</f>
        <v/>
      </c>
      <c r="AE139">
        <f>IF($C139="",0,IF($M139="",0,MAX(0,$M139)*MAX(0,AE$4)/100))</f>
        <v/>
      </c>
      <c r="AF139">
        <f>IF($C139="",0,IF($M139="",0,MAX(0,$M139)*MAX(0,AF$4)/100))</f>
        <v/>
      </c>
      <c r="AG139">
        <f>IF($C139="",0,IF($M139="",0,MAX(0,$M139)*MAX(0,AG$4)/100))</f>
        <v/>
      </c>
      <c r="AH139">
        <f>IF($C139="",0,IF($M139="",0,MAX(0,$M139)*MAX(0,AH$4)/100))</f>
        <v/>
      </c>
      <c r="AI139">
        <f>IF($C139="",0,IF($M139="",0,MAX(0,$M139)*MAX(0,AI$4)/100))</f>
        <v/>
      </c>
      <c r="AJ139">
        <f>IF($C139="",0,MAX(0,MAX(0,N($L139))-$V139))</f>
        <v/>
      </c>
      <c r="AK139">
        <f>IF($C139="",0,MAX(0,$AJ139-$W139))</f>
        <v/>
      </c>
      <c r="AL139">
        <f>IF($C139="",0,MAX(0,$AK139-$X139))</f>
        <v/>
      </c>
      <c r="AM139">
        <f>IF($C139="",0,MAX(0,$AL139-$Y139))</f>
        <v/>
      </c>
      <c r="AN139">
        <f>IF($C139="",0,MAX(0,$AM139-$Z139))</f>
        <v/>
      </c>
      <c r="AO139">
        <f>IF($C139="",0,MAX(0,$AN139-$AA139))</f>
        <v/>
      </c>
      <c r="AP139">
        <f>IF($C139="",0,MAX(0,$AO139-$AB139))</f>
        <v/>
      </c>
      <c r="AQ139">
        <f>IF($C139="",0,MAX(0,$AP139-$AC139))</f>
        <v/>
      </c>
      <c r="AR139">
        <f>IF($C139="",0,MAX(0,$AQ139-$AD139))</f>
        <v/>
      </c>
      <c r="AS139">
        <f>IF($C139="",0,MAX(0,$AR139-$AE139))</f>
        <v/>
      </c>
      <c r="AT139">
        <f>IF($C139="",0,MAX(0,$AS139-$AF139))</f>
        <v/>
      </c>
      <c r="AU139">
        <f>IF($C139="",0,MAX(0,$AT139-$AG139))</f>
        <v/>
      </c>
      <c r="AV139">
        <f>IF($C139="",0,MAX(0,$AU139-$AH139))</f>
        <v/>
      </c>
      <c r="AW139">
        <f>IF($C139="",0,MAX(0,$AV139-$AI139))</f>
        <v/>
      </c>
      <c r="AX139">
        <f>IF($C139="",0,MAX(0,MAX(0,N($L139))+IF($P139=V$3,$R139,0)+IF($S139=V$3,$U139,0)-$V139))</f>
        <v/>
      </c>
      <c r="AY139">
        <f>IF($C139="",0,MAX(0,$AX139+IF($P139=W$3,$R139,0)+IF($S139=W$3,$U139,0)-$W139))</f>
        <v/>
      </c>
      <c r="AZ139">
        <f>IF($C139="",0,MAX(0,$AY139+IF($P139=X$3,$R139,0)+IF($S139=X$3,$U139,0)-$X139))</f>
        <v/>
      </c>
      <c r="BA139">
        <f>IF($C139="",0,MAX(0,$AZ139+IF($P139=Y$3,$R139,0)+IF($S139=Y$3,$U139,0)-$Y139))</f>
        <v/>
      </c>
      <c r="BB139">
        <f>IF($C139="",0,MAX(0,$BA139+IF($P139=Z$3,$R139,0)+IF($S139=Z$3,$U139,0)-$Z139))</f>
        <v/>
      </c>
      <c r="BC139">
        <f>IF($C139="",0,MAX(0,$BB139+IF($P139=AA$3,$R139,0)+IF($S139=AA$3,$U139,0)-$AA139))</f>
        <v/>
      </c>
      <c r="BD139">
        <f>IF($C139="",0,MAX(0,$BC139+IF($P139=AB$3,$R139,0)+IF($S139=AB$3,$U139,0)-$AB139))</f>
        <v/>
      </c>
      <c r="BE139">
        <f>IF($C139="",0,MAX(0,$BD139+IF($P139=AC$3,$R139,0)+IF($S139=AC$3,$U139,0)-$AC139))</f>
        <v/>
      </c>
      <c r="BF139">
        <f>IF($C139="",0,MAX(0,$BE139+IF($P139=AD$3,$R139,0)+IF($S139=AD$3,$U139,0)-$AD139))</f>
        <v/>
      </c>
      <c r="BG139">
        <f>IF($C139="",0,MAX(0,$BF139+IF($P139=AE$3,$R139,0)+IF($S139=AE$3,$U139,0)-$AE139))</f>
        <v/>
      </c>
      <c r="BH139">
        <f>IF($C139="",0,MAX(0,$BG139+IF($P139=AF$3,$R139,0)+IF($S139=AF$3,$U139,0)-$AF139))</f>
        <v/>
      </c>
      <c r="BI139">
        <f>IF($C139="",0,MAX(0,$BH139+IF($P139=AG$3,$R139,0)+IF($S139=AG$3,$U139,0)-$AG139))</f>
        <v/>
      </c>
      <c r="BJ139">
        <f>IF($C139="",0,MAX(0,$BI139+IF($P139=AH$3,$R139,0)+IF($S139=AH$3,$U139,0)-$AH139))</f>
        <v/>
      </c>
      <c r="BK139">
        <f>IF($C139="",0,MAX(0,$BJ139+IF($P139=AI$3,$R139,0)+IF($S139=AI$3,$U139,0)-$AI139))</f>
        <v/>
      </c>
      <c r="BL139">
        <f>IF($C139="",99,IF(AND($AX139&lt;1,V$3&gt;=MAX(N($P139),N($S139))),0,99))</f>
        <v/>
      </c>
      <c r="BM139">
        <f>IF($C139="",99,IF(AND($AY139&lt;1,W$3&gt;=MAX(N($P139),N($S139))),1,99))</f>
        <v/>
      </c>
      <c r="BN139">
        <f>IF($C139="",99,IF(AND($AZ139&lt;1,X$3&gt;=MAX(N($P139),N($S139))),2,99))</f>
        <v/>
      </c>
      <c r="BO139">
        <f>IF($C139="",99,IF(AND($BA139&lt;1,Y$3&gt;=MAX(N($P139),N($S139))),3,99))</f>
        <v/>
      </c>
      <c r="BP139">
        <f>IF($C139="",99,IF(AND($BB139&lt;1,Z$3&gt;=MAX(N($P139),N($S139))),4,99))</f>
        <v/>
      </c>
      <c r="BQ139">
        <f>IF($C139="",99,IF(AND($BC139&lt;1,AA$3&gt;=MAX(N($P139),N($S139))),5,99))</f>
        <v/>
      </c>
      <c r="BR139">
        <f>IF($C139="",99,IF(AND($BD139&lt;1,AB$3&gt;=MAX(N($P139),N($S139))),6,99))</f>
        <v/>
      </c>
      <c r="BS139">
        <f>IF($C139="",99,IF(AND($BE139&lt;1,AC$3&gt;=MAX(N($P139),N($S139))),7,99))</f>
        <v/>
      </c>
      <c r="BT139">
        <f>IF($C139="",99,IF(AND($BF139&lt;1,AD$3&gt;=MAX(N($P139),N($S139))),8,99))</f>
        <v/>
      </c>
      <c r="BU139">
        <f>IF($C139="",99,IF(AND($BG139&lt;1,AE$3&gt;=MAX(N($P139),N($S139))),9,99))</f>
        <v/>
      </c>
      <c r="BV139">
        <f>IF($C139="",99,IF(AND($BH139&lt;1,AF$3&gt;=MAX(N($P139),N($S139))),10,99))</f>
        <v/>
      </c>
      <c r="BW139">
        <f>IF($C139="",99,IF(AND($BI139&lt;1,AG$3&gt;=MAX(N($P139),N($S139))),11,99))</f>
        <v/>
      </c>
      <c r="BX139">
        <f>IF($C139="",99,IF(AND($BJ139&lt;1,AH$3&gt;=MAX(N($P139),N($S139))),12,99))</f>
        <v/>
      </c>
      <c r="BY139">
        <f>IF($C139="",99,IF(AND($BK139&lt;1,AI$3&gt;=MAX(N($P139),N($S139))),13,99))</f>
        <v/>
      </c>
      <c r="BZ139">
        <f>IF(OR($C139="",$M139=""),"",COUNTIF($AJ139:$AW139,"&gt;=1"))</f>
        <v/>
      </c>
      <c r="CA139" s="90">
        <f>IF($BZ139="","",IF($BZ139&gt;=14,"",'設定'!$C$6+$BZ139))</f>
        <v/>
      </c>
      <c r="CB139">
        <f>IF(OR($C139="",$M139=""),"",MIN($BL139:$BY139))</f>
        <v/>
      </c>
      <c r="CC139" s="90">
        <f>IF($CB139="","",IF($CB139&gt;=99,"",'設定'!$C$6+$CB139))</f>
        <v/>
      </c>
      <c r="CD139">
        <f>IF(OR($C139="",$M139=""),"",AVERAGE($V139:$AI139))</f>
        <v/>
      </c>
      <c r="CE139">
        <f>IF($C139="","",IFERROR(IF(MATCH(IF(ISNUMBER($P139),$P139,'設定'!$C$6+N('設定'!$C$7)),$V$3:$AI$3,0)=1,MAX(0,N($L139)),INDEX($AJ139:$AW139,MATCH(IF(ISNUMBER($P139),$P139,'設定'!$C$6+N('設定'!$C$7)),$V$3:$AI$3,0)-1)),""))</f>
        <v/>
      </c>
      <c r="CF139">
        <f>IF(OR($C139="",$O139="",$CE139=""),"",IF($O139-$CE139&lt;=0,0,ROUNDUP(($O139-$CE139)/$G139,0)))</f>
        <v/>
      </c>
      <c r="CG139">
        <f>IF(OR($C139="",$CF139="",NOT(ISNUMBER($Q139))),0,MAX(0,$Q139-$CF139))</f>
        <v/>
      </c>
      <c r="CH139">
        <f>IF(OR($C139="",$O139="",$U139=0),0,IFERROR(ROUNDUP(MAX(0,IF(MATCH($S139,$V$3:$AI$3,0)=1,MAX(0,N($L139)),INDEX($AX139:$BK139,MATCH($S139,$V$3:$AI$3,0)-1))+$U139-$O139)/$G139,0),0))</f>
        <v/>
      </c>
      <c r="CI139">
        <f>IF($C139="","",IF(AND($P139="",$Q139=""),"",IF($P139="","⚠ 入庫日を ▼ から選んでください",IF(NOT(ISNUMBER($P139)),"⚠ 入庫日は ▼ から選んでください",IF($P139&lt;N('設定'!$C$6),"⚠ 入庫日が過去です（もう在庫に入っています）→ 消してください",IF($P139&gt;N('設定'!$C$6)+13,"⚠ 入庫日が14日より先です",IF(N($Q139)&lt;=0,"⚠ 入庫数を入れてください",IF($CG139&gt;0,"⚠ 目安より "&amp;$CG139&amp;" 多い（定数を超える）→ 減らす",""))))))))</f>
        <v/>
      </c>
      <c r="CJ139">
        <f>IF($C139="","",IF(AND($S139="",$T139=""),"",IF($S139="","⚠ 2便目：入庫日を ▼ から選んでください",IF(NOT(ISNUMBER($S139)),"⚠ 2便目：入庫日は ▼ から選んでください",IF($S139&lt;N('設定'!$C$6),"⚠ 2便目：入庫日が過去です（もう在庫に入っています）→ 消してください",IF($S139&gt;N('設定'!$C$6)+13,"⚠ 2便目：入庫日が14日より先です",IF(N($T139)&lt;=0,"⚠ 2便目：入庫数を入れてください",IF($CH139&gt;0,"⚠ 2便目：定数を "&amp;$CH139&amp;" ケース超える → 減らす",""))))))))</f>
        <v/>
      </c>
      <c r="CK139">
        <f>IF(AND($CI139="",N($Q139)&gt;0,ISNUMBER($P139)),1,0)</f>
        <v/>
      </c>
      <c r="CL139">
        <f>IF(AND($CJ139="",N($T139)&gt;0,ISNUMBER($S139)),1,0)</f>
        <v/>
      </c>
      <c r="CM139">
        <f>IF(OR($CK139=1,$CL139=1),1,0)</f>
        <v/>
      </c>
      <c r="CN139">
        <f>IF($C139="",0,($CK139*$R139+$CL139*$U139)*N($H139))</f>
        <v/>
      </c>
      <c r="CO139">
        <f>IF($C139="","",IF($CC139="","入庫後は 14日以上もつ",IF($CC139-N('設定'!$C$7)&lt;='設定'!$C$6,"入庫後も "&amp;TEXT($CC139,"m/d")&amp;"("&amp;CHOOSE(WEEKDAY($CC139),"日","月","火","水","木","金","土")&amp;")"&amp;" に切れる　もう1便を至急発注","入庫後も "&amp;TEXT($CC139,"m/d")&amp;"("&amp;CHOOSE(WEEKDAY($CC139),"日","月","火","水","木","金","土")&amp;")"&amp;" に切れる　"&amp;TEXT($CC139-N('設定'!$C$7),"m/d")&amp;"("&amp;CHOOSE(WEEKDAY($CC139-N('設定'!$C$7)),"日","月","火","水","木","金","土")&amp;")"&amp;" までに次を発注")))</f>
        <v/>
      </c>
      <c r="CP139">
        <f>IF($C139="","",IF('設定'!$C$6="","？ ①在庫を貼る に今日のCSVが貼られていない",IF($CS139=1,"－ 今日のCSVに無い（終売？）",IF($L139&lt;0,"● 在庫がマイナス　数えて「数えた在庫」に入れる",IF($L139=0,"● 在庫なし　至急発注",IF($M139="","？ 減り数が未設定（商品マスタ）",IF($B$3=0,"？ 動員が未入力（動員を入れる）",IF($CA139="","○ 14日以上もつ",IF($BZ139&lt;N('設定'!$C$7),"● "&amp;TEXT($CA139,"m/d")&amp;"("&amp;CHOOSE(WEEKDAY($CA139),"日","月","火","水","木","金","土")&amp;")"&amp;" に切れる　至急発注",IF($BZ139=N('設定'!$C$7),"● "&amp;TEXT($CA139,"m/d")&amp;"("&amp;CHOOSE(WEEKDAY($CA139),"日","月","火","水","木","金","土")&amp;")"&amp;" に切れる　今日発注","△ "&amp;TEXT($CA139,"m/d")&amp;"("&amp;CHOOSE(WEEKDAY($CA139),"日","月","火","水","木","金","土")&amp;")"&amp;" に切れる　"&amp;TEXT($CA139-N('設定'!$C$7),"m/d")&amp;"("&amp;CHOOSE(WEEKDAY($CA139-N('設定'!$C$7)),"日","月","火","水","木","金","土")&amp;")"&amp;" までに発注"))))))))))</f>
        <v/>
      </c>
      <c r="CQ139">
        <f>IF($C139="","",IF(AND($P139="",$Q139="",$S139="",$T139=""),"",IF(AND($P139="",$Q139=""),"⚠ 先に1便目（左の入庫日・入庫数）に入れてください",IF($CI139&lt;&gt;"",$CI139,IF($CJ139&lt;&gt;"",$CJ139,IF($M139="","？ 減り数が未設定（発注書には載ります）",IF($B$3=0,"？ 動員が未入力（発注書には載ります）",IF(AND($CA139&lt;&gt;"",$P139&gt;$CA139),IF($P139&gt;'設定'!$C$6+N('設定'!$C$7),"● "&amp;TEXT($P139,"m/d")&amp;"("&amp;CHOOSE(WEEKDAY($P139),"日","月","火","水","木","金","土")&amp;")"&amp;" の入庫では間に合わない（"&amp;TEXT($CA139,"m/d")&amp;"("&amp;CHOOSE(WEEKDAY($CA139),"日","月","火","水","木","金","土")&amp;")"&amp;" に切れる）　入庫日を早める","△ 欠品 "&amp;TEXT($CA139,"m/d")&amp;"("&amp;CHOOSE(WEEKDAY($CA139),"日","月","火","水","木","金","土")&amp;")"&amp;"〜"&amp;TEXT($P139-1,"m/d")&amp;"("&amp;CHOOSE(WEEKDAY($P139-1),"日","月","火","水","木","金","土")&amp;")"&amp;"　"&amp;$CO139),IF($CC139="","○ "&amp;TEXT($P139,"m/d")&amp;"("&amp;CHOOSE(WEEKDAY($P139),"日","月","火","水","木","金","土")&amp;")"&amp;" 入庫で 14日以上もつ",IF($CC139-N('設定'!$C$7)&lt;='設定'!$C$6,"● 入庫しても "&amp;TEXT($CC139,"m/d")&amp;"("&amp;CHOOSE(WEEKDAY($CC139),"日","月","火","水","木","金","土")&amp;")"&amp;" に切れる　もう1便を至急発注（2便目に入れる）","△ 入庫しても "&amp;TEXT($CC139,"m/d")&amp;"("&amp;CHOOSE(WEEKDAY($CC139),"日","月","火","水","木","金","土")&amp;")"&amp;" に切れる　"&amp;TEXT($CC139-N('設定'!$C$7),"m/d")&amp;"("&amp;CHOOSE(WEEKDAY($CC139-N('設定'!$C$7)),"日","月","火","水","木","金","土")&amp;")"&amp;" までに次を発注（2便目に入れる）"))))))))))</f>
        <v/>
      </c>
      <c r="CR139">
        <f>IF($C139="","",IF($G139&gt;1,"ｹｰｽ("&amp;$G139&amp;"入)","個"))</f>
        <v/>
      </c>
      <c r="CS139">
        <f>IF($C139="",0,IF(COUNTIFS('①在庫を貼る'!$V$6:$V$10005,'設定'!$C$4,'①在庫を貼る'!$W$6:$W$10005,$C139)=0,1,0))</f>
        <v/>
      </c>
      <c r="CT139">
        <f>IF(AND($CK139=1,OR('③発注書'!$C$4="すべて",'③発注書'!$C$4="",$F139='③発注書'!$C$4)),N($CT138)+1,N($CT138))</f>
        <v/>
      </c>
      <c r="CU139">
        <f>IF(AND($CL139=1,OR('③発注書'!$C$4="すべて",'③発注書'!$C$4="",$F139='③発注書'!$C$4)),N($CU138)+1,N($CU138))</f>
        <v/>
      </c>
      <c r="CV139">
        <f>IF($C139="",0,IF(COUNTIFS('①在庫を貼る'!$V$6:$V$10005,'設定'!$C$4,'①在庫を貼る'!$W$6:$W$10005,$C139)&gt;0,1,0))</f>
        <v/>
      </c>
      <c r="CW139">
        <f>IF($C139="",0,IF(COUNTIFS('月1回_1ヶ月前の在庫'!$V$6:$V$10005,'設定'!$C$4,'月1回_1ヶ月前の在庫'!$W$6:$W$10005,$C139)&gt;0,1,0))</f>
        <v/>
      </c>
      <c r="CX139">
        <f>IF($C139="",0,IF(COUNTIFS('月1回_2ヶ月前の在庫'!$V$6:$V$10005,'設定'!$C$4,'月1回_2ヶ月前の在庫'!$W$6:$W$10005,$C139)&gt;0,1,0))</f>
        <v/>
      </c>
      <c r="CY139">
        <f>IF(OR($C139="",'設定'!$C$12=""),"",IF('設定'!$C$13="",IF(AND($CV139=1,$CW139=0),"新商品（今月から）",IF(AND($CV139=0,$CW139=1),"終売（今月から）","")),IF(AND($CV139=1,$CW139=0,$CX139=0),"新商品（今月から）",IF(AND($CV139=1,$CW139=1,$CX139=0),"新商品（先月から）",IF(AND($CV139=0,$CW139=1,$CX139=1),"終売（今月から）",IF(AND($CV139=0,$CW139=0,$CX139=1),"終売（先月から）",IF(AND($CV139=1,$CW139=0,$CX139=1),"復活（先月は無し）","")))))))</f>
        <v/>
      </c>
    </row>
    <row r="140">
      <c r="B140">
        <f>IF(135&lt;='設定'!$C$11,135,"")</f>
        <v/>
      </c>
      <c r="C140">
        <f>IF($B140="","",IF($B140&lt;='設定'!$C$20,INDEX('商品マスタ'!$B$6:$B$1005,MATCH($B140,'商品マスタ'!$M$6:$M$1005,0)),IF($B140&lt;='設定'!$C$20+'設定'!$C$17,INDEX('①在庫を貼る'!$W$6:$W$10005,MATCH($B140-'設定'!$C$20,'①在庫を貼る'!$U$6:$U$10005,0)),IF($B140&lt;='設定'!$C$20+'設定'!$C$17+'設定'!$C$18,INDEX('月1回_1ヶ月前の在庫'!$W$6:$W$10005,MATCH($B140-'設定'!$C$20-'設定'!$C$17,'月1回_1ヶ月前の在庫'!$U$6:$U$10005,0)),INDEX('月1回_2ヶ月前の在庫'!$W$6:$W$10005,MATCH($B140-'設定'!$C$20-'設定'!$C$17-'設定'!$C$18,'月1回_2ヶ月前の在庫'!$U$6:$U$10005,0))))))</f>
        <v/>
      </c>
      <c r="D140">
        <f>IF($C140="","",IFERROR(IF(INDEX('商品マスタ'!$C$6:$C$1005,MATCH($C140,'商品マスタ'!$B$6:$B$1005,0))="",IFERROR(INDEX('①在庫を貼る'!$J$6:$J$10005,MATCH($C140,'①在庫を貼る'!$W$6:$W$10005,0)),IFERROR(INDEX('月1回_1ヶ月前の在庫'!$J$6:$J$10005,MATCH($C140,'月1回_1ヶ月前の在庫'!$W$6:$W$10005,0)),IFERROR(INDEX('月1回_2ヶ月前の在庫'!$J$6:$J$10005,MATCH($C140,'月1回_2ヶ月前の在庫'!$W$6:$W$10005,0)),""))),INDEX('商品マスタ'!$C$6:$C$1005,MATCH($C140,'商品マスタ'!$B$6:$B$1005,0))),IFERROR(INDEX('①在庫を貼る'!$J$6:$J$10005,MATCH($C140,'①在庫を貼る'!$W$6:$W$10005,0)),IFERROR(INDEX('月1回_1ヶ月前の在庫'!$J$6:$J$10005,MATCH($C140,'月1回_1ヶ月前の在庫'!$W$6:$W$10005,0)),IFERROR(INDEX('月1回_2ヶ月前の在庫'!$J$6:$J$10005,MATCH($C140,'月1回_2ヶ月前の在庫'!$W$6:$W$10005,0)),"")))))</f>
        <v/>
      </c>
      <c r="E140">
        <f>IF($C140="","",IFERROR(IF(INDEX('商品マスタ'!$D$6:$D$1005,MATCH($C140,'商品マスタ'!$B$6:$B$1005,0))="",IFERROR(INDEX('①在庫を貼る'!$H$6:$H$10005,MATCH($C140,'①在庫を貼る'!$W$6:$W$10005,0)),IFERROR(INDEX('月1回_1ヶ月前の在庫'!$H$6:$H$10005,MATCH($C140,'月1回_1ヶ月前の在庫'!$W$6:$W$10005,0)),IFERROR(INDEX('月1回_2ヶ月前の在庫'!$H$6:$H$10005,MATCH($C140,'月1回_2ヶ月前の在庫'!$W$6:$W$10005,0)),""))),INDEX('商品マスタ'!$D$6:$D$1005,MATCH($C140,'商品マスタ'!$B$6:$B$1005,0))),IFERROR(INDEX('①在庫を貼る'!$H$6:$H$10005,MATCH($C140,'①在庫を貼る'!$W$6:$W$10005,0)),IFERROR(INDEX('月1回_1ヶ月前の在庫'!$H$6:$H$10005,MATCH($C140,'月1回_1ヶ月前の在庫'!$W$6:$W$10005,0)),IFERROR(INDEX('月1回_2ヶ月前の在庫'!$H$6:$H$10005,MATCH($C140,'月1回_2ヶ月前の在庫'!$W$6:$W$10005,0)),"")))))</f>
        <v/>
      </c>
      <c r="F140">
        <f>IF($C140="","",IFERROR(IF(INDEX('商品マスタ'!$E$6:$E$1005,MATCH($C140,'商品マスタ'!$B$6:$B$1005,0))="",IFERROR(INDEX('①在庫を貼る'!$E$6:$E$10005,MATCH($C140,'①在庫を貼る'!$W$6:$W$10005,0)),IFERROR(INDEX('月1回_1ヶ月前の在庫'!$E$6:$E$10005,MATCH($C140,'月1回_1ヶ月前の在庫'!$W$6:$W$10005,0)),IFERROR(INDEX('月1回_2ヶ月前の在庫'!$E$6:$E$10005,MATCH($C140,'月1回_2ヶ月前の在庫'!$W$6:$W$10005,0)),""))),INDEX('商品マスタ'!$E$6:$E$1005,MATCH($C140,'商品マスタ'!$B$6:$B$1005,0))),IFERROR(INDEX('①在庫を貼る'!$E$6:$E$10005,MATCH($C140,'①在庫を貼る'!$W$6:$W$10005,0)),IFERROR(INDEX('月1回_1ヶ月前の在庫'!$E$6:$E$10005,MATCH($C140,'月1回_1ヶ月前の在庫'!$W$6:$W$10005,0)),IFERROR(INDEX('月1回_2ヶ月前の在庫'!$E$6:$E$10005,MATCH($C140,'月1回_2ヶ月前の在庫'!$W$6:$W$10005,0)),"")))))</f>
        <v/>
      </c>
      <c r="G140">
        <f>IF($C140="","",MAX(1,N(IFERROR(IF(INDEX('商品マスタ'!$F$6:$F$1005,MATCH($C140,'商品マスタ'!$B$6:$B$1005,0))="",IF(COUNTIFS('①在庫を貼る'!$V$6:$V$10005,'設定'!$C$4,'①在庫を貼る'!$W$6:$W$10005,$C140)&gt;0,SUMIFS('①在庫を貼る'!$K$6:$K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K$6:$K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K$6:$K$10005,'月1回_2ヶ月前の在庫'!$V$6:$V$10005,'設定'!$C$4,'月1回_2ヶ月前の在庫'!$W$6:$W$10005,$C140)/COUNTIFS('月1回_2ヶ月前の在庫'!$V$6:$V$10005,'設定'!$C$4,'月1回_2ヶ月前の在庫'!$W$6:$W$10005,$C140),0))),INDEX('商品マスタ'!$F$6:$F$1005,MATCH($C140,'商品マスタ'!$B$6:$B$1005,0))),IF(COUNTIFS('①在庫を貼る'!$V$6:$V$10005,'設定'!$C$4,'①在庫を貼る'!$W$6:$W$10005,$C140)&gt;0,SUMIFS('①在庫を貼る'!$K$6:$K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K$6:$K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K$6:$K$10005,'月1回_2ヶ月前の在庫'!$V$6:$V$10005,'設定'!$C$4,'月1回_2ヶ月前の在庫'!$W$6:$W$10005,$C140)/COUNTIFS('月1回_2ヶ月前の在庫'!$V$6:$V$10005,'設定'!$C$4,'月1回_2ヶ月前の在庫'!$W$6:$W$10005,$C140),0)))))))</f>
        <v/>
      </c>
      <c r="H140">
        <f>IF($C140="","",N(IFERROR(IF(INDEX('商品マスタ'!$G$6:$G$1005,MATCH($C140,'商品マスタ'!$B$6:$B$1005,0))="",IF(COUNTIFS('①在庫を貼る'!$V$6:$V$10005,'設定'!$C$4,'①在庫を貼る'!$W$6:$W$10005,$C140)&gt;0,SUMIFS('①在庫を貼る'!$Q$6:$Q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Q$6:$Q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Q$6:$Q$10005,'月1回_2ヶ月前の在庫'!$V$6:$V$10005,'設定'!$C$4,'月1回_2ヶ月前の在庫'!$W$6:$W$10005,$C140)/COUNTIFS('月1回_2ヶ月前の在庫'!$V$6:$V$10005,'設定'!$C$4,'月1回_2ヶ月前の在庫'!$W$6:$W$10005,$C140),0))),INDEX('商品マスタ'!$G$6:$G$1005,MATCH($C140,'商品マスタ'!$B$6:$B$1005,0))),IF(COUNTIFS('①在庫を貼る'!$V$6:$V$10005,'設定'!$C$4,'①在庫を貼る'!$W$6:$W$10005,$C140)&gt;0,SUMIFS('①在庫を貼る'!$Q$6:$Q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Q$6:$Q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Q$6:$Q$10005,'月1回_2ヶ月前の在庫'!$V$6:$V$10005,'設定'!$C$4,'月1回_2ヶ月前の在庫'!$W$6:$W$10005,$C140)/COUNTIFS('月1回_2ヶ月前の在庫'!$V$6:$V$10005,'設定'!$C$4,'月1回_2ヶ月前の在庫'!$W$6:$W$10005,$C140),0))))))</f>
        <v/>
      </c>
      <c r="I140">
        <f>IF($C140="","",IF(COUNTIFS('①在庫を貼る'!$V$6:$V$10005,'設定'!$C$4,'①在庫を貼る'!$W$6:$W$10005,$C140)=0,"",SUMIFS('①在庫を貼る'!$N$6:$N$10005,'①在庫を貼る'!$V$6:$V$10005,'設定'!$C$4,'①在庫を貼る'!$W$6:$W$10005,$C140)))</f>
        <v/>
      </c>
      <c r="J140">
        <f>IF($C140="","",IF('②発注する'!$AD144="","",'②発注する'!$AD144))</f>
        <v/>
      </c>
      <c r="K140" s="90">
        <f>IF($C140="","",IF('②発注する'!$AE144="","",'②発注する'!$AE144))</f>
        <v/>
      </c>
      <c r="L140">
        <f>IF($C140="","",IF(AND(ISNUMBER($J140),ISNUMBER($K140),$K140&gt;='設定'!$C$6),$J140,N($I140)))</f>
        <v/>
      </c>
      <c r="M140">
        <f>IF($C140="","",IFERROR(IF(N(INDEX('商品マスタ'!$J$6:$J$1005,MATCH($C140,'商品マスタ'!$B$6:$B$1005,0)))&gt;0,INDEX('商品マスタ'!$J$6:$J$1005,MATCH($C140,'商品マスタ'!$B$6:$B$1005,0)),""),""))</f>
        <v/>
      </c>
      <c r="N140">
        <f>IF($C140="","",IFERROR(IF(N(INDEX('商品マスタ'!$H$6:$H$1005,MATCH($C140,'商品マスタ'!$B$6:$B$1005,0)))&gt;0,INDEX('商品マスタ'!$H$6:$H$1005,MATCH($C140,'商品マスタ'!$B$6:$B$1005,0)),""),""))</f>
        <v/>
      </c>
      <c r="O140">
        <f>IF($C140="","",IF($N140&lt;&gt;"",$N140*$G140,IF(N(IF(COUNTIFS('①在庫を貼る'!$V$6:$V$10005,'設定'!$C$4,'①在庫を貼る'!$W$6:$W$10005,$C140)&gt;0,SUMIFS('①在庫を貼る'!$O$6:$O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O$6:$O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O$6:$O$10005,'月1回_2ヶ月前の在庫'!$V$6:$V$10005,'設定'!$C$4,'月1回_2ヶ月前の在庫'!$W$6:$W$10005,$C140)/COUNTIFS('月1回_2ヶ月前の在庫'!$V$6:$V$10005,'設定'!$C$4,'月1回_2ヶ月前の在庫'!$W$6:$W$10005,$C140),0))))&gt;0,N(IF(COUNTIFS('①在庫を貼る'!$V$6:$V$10005,'設定'!$C$4,'①在庫を貼る'!$W$6:$W$10005,$C140)&gt;0,SUMIFS('①在庫を貼る'!$O$6:$O$10005,'①在庫を貼る'!$V$6:$V$10005,'設定'!$C$4,'①在庫を貼る'!$W$6:$W$10005,$C140)/COUNTIFS('①在庫を貼る'!$V$6:$V$10005,'設定'!$C$4,'①在庫を貼る'!$W$6:$W$10005,$C140),IF(COUNTIFS('月1回_1ヶ月前の在庫'!$V$6:$V$10005,'設定'!$C$4,'月1回_1ヶ月前の在庫'!$W$6:$W$10005,$C140)&gt;0,SUMIFS('月1回_1ヶ月前の在庫'!$O$6:$O$10005,'月1回_1ヶ月前の在庫'!$V$6:$V$10005,'設定'!$C$4,'月1回_1ヶ月前の在庫'!$W$6:$W$10005,$C140)/COUNTIFS('月1回_1ヶ月前の在庫'!$V$6:$V$10005,'設定'!$C$4,'月1回_1ヶ月前の在庫'!$W$6:$W$10005,$C140),IF(COUNTIFS('月1回_2ヶ月前の在庫'!$V$6:$V$10005,'設定'!$C$4,'月1回_2ヶ月前の在庫'!$W$6:$W$10005,$C140)&gt;0,SUMIFS('月1回_2ヶ月前の在庫'!$O$6:$O$10005,'月1回_2ヶ月前の在庫'!$V$6:$V$10005,'設定'!$C$4,'月1回_2ヶ月前の在庫'!$W$6:$W$10005,$C140)/COUNTIFS('月1回_2ヶ月前の在庫'!$V$6:$V$10005,'設定'!$C$4,'月1回_2ヶ月前の在庫'!$W$6:$W$10005,$C140),0)))),"")))</f>
        <v/>
      </c>
      <c r="P140" s="90">
        <f>IF($C140="","",IF('②発注する'!$I144="","",'②発注する'!$I144))</f>
        <v/>
      </c>
      <c r="Q140">
        <f>IF($C140="","",IF('②発注する'!$J144="","",'②発注する'!$J144))</f>
        <v/>
      </c>
      <c r="R140">
        <f>IF($C140="",0,IF(AND(ISNUMBER($P140),ISNUMBER($Q140)),MAX(0,$Q140)*$G140,0))</f>
        <v/>
      </c>
      <c r="S140" s="90">
        <f>IF($C140="","",IF('②発注する'!$M144="","",'②発注する'!$M144))</f>
        <v/>
      </c>
      <c r="T140">
        <f>IF($C140="","",IF('②発注する'!$N144="","",'②発注する'!$N144))</f>
        <v/>
      </c>
      <c r="U140">
        <f>IF($C140="",0,IF(AND(ISNUMBER($S140),ISNUMBER($T140)),MAX(0,$T140)*$G140,0))</f>
        <v/>
      </c>
      <c r="V140">
        <f>IF($C140="",0,IF($M140="",0,MAX(0,$M140)*MAX(0,V$4)/100))</f>
        <v/>
      </c>
      <c r="W140">
        <f>IF($C140="",0,IF($M140="",0,MAX(0,$M140)*MAX(0,W$4)/100))</f>
        <v/>
      </c>
      <c r="X140">
        <f>IF($C140="",0,IF($M140="",0,MAX(0,$M140)*MAX(0,X$4)/100))</f>
        <v/>
      </c>
      <c r="Y140">
        <f>IF($C140="",0,IF($M140="",0,MAX(0,$M140)*MAX(0,Y$4)/100))</f>
        <v/>
      </c>
      <c r="Z140">
        <f>IF($C140="",0,IF($M140="",0,MAX(0,$M140)*MAX(0,Z$4)/100))</f>
        <v/>
      </c>
      <c r="AA140">
        <f>IF($C140="",0,IF($M140="",0,MAX(0,$M140)*MAX(0,AA$4)/100))</f>
        <v/>
      </c>
      <c r="AB140">
        <f>IF($C140="",0,IF($M140="",0,MAX(0,$M140)*MAX(0,AB$4)/100))</f>
        <v/>
      </c>
      <c r="AC140">
        <f>IF($C140="",0,IF($M140="",0,MAX(0,$M140)*MAX(0,AC$4)/100))</f>
        <v/>
      </c>
      <c r="AD140">
        <f>IF($C140="",0,IF($M140="",0,MAX(0,$M140)*MAX(0,AD$4)/100))</f>
        <v/>
      </c>
      <c r="AE140">
        <f>IF($C140="",0,IF($M140="",0,MAX(0,$M140)*MAX(0,AE$4)/100))</f>
        <v/>
      </c>
      <c r="AF140">
        <f>IF($C140="",0,IF($M140="",0,MAX(0,$M140)*MAX(0,AF$4)/100))</f>
        <v/>
      </c>
      <c r="AG140">
        <f>IF($C140="",0,IF($M140="",0,MAX(0,$M140)*MAX(0,AG$4)/100))</f>
        <v/>
      </c>
      <c r="AH140">
        <f>IF($C140="",0,IF($M140="",0,MAX(0,$M140)*MAX(0,AH$4)/100))</f>
        <v/>
      </c>
      <c r="AI140">
        <f>IF($C140="",0,IF($M140="",0,MAX(0,$M140)*MAX(0,AI$4)/100))</f>
        <v/>
      </c>
      <c r="AJ140">
        <f>IF($C140="",0,MAX(0,MAX(0,N($L140))-$V140))</f>
        <v/>
      </c>
      <c r="AK140">
        <f>IF($C140="",0,MAX(0,$AJ140-$W140))</f>
        <v/>
      </c>
      <c r="AL140">
        <f>IF($C140="",0,MAX(0,$AK140-$X140))</f>
        <v/>
      </c>
      <c r="AM140">
        <f>IF($C140="",0,MAX(0,$AL140-$Y140))</f>
        <v/>
      </c>
      <c r="AN140">
        <f>IF($C140="",0,MAX(0,$AM140-$Z140))</f>
        <v/>
      </c>
      <c r="AO140">
        <f>IF($C140="",0,MAX(0,$AN140-$AA140))</f>
        <v/>
      </c>
      <c r="AP140">
        <f>IF($C140="",0,MAX(0,$AO140-$AB140))</f>
        <v/>
      </c>
      <c r="AQ140">
        <f>IF($C140="",0,MAX(0,$AP140-$AC140))</f>
        <v/>
      </c>
      <c r="AR140">
        <f>IF($C140="",0,MAX(0,$AQ140-$AD140))</f>
        <v/>
      </c>
      <c r="AS140">
        <f>IF($C140="",0,MAX(0,$AR140-$AE140))</f>
        <v/>
      </c>
      <c r="AT140">
        <f>IF($C140="",0,MAX(0,$AS140-$AF140))</f>
        <v/>
      </c>
      <c r="AU140">
        <f>IF($C140="",0,MAX(0,$AT140-$AG140))</f>
        <v/>
      </c>
      <c r="AV140">
        <f>IF($C140="",0,MAX(0,$AU140-$AH140))</f>
        <v/>
      </c>
      <c r="AW140">
        <f>IF($C140="",0,MAX(0,$AV140-$AI140))</f>
        <v/>
      </c>
      <c r="AX140">
        <f>IF($C140="",0,MAX(0,MAX(0,N($L140))+IF($P140=V$3,$R140,0)+IF($S140=V$3,$U140,0)-$V140))</f>
        <v/>
      </c>
      <c r="AY140">
        <f>IF($C140="",0,MAX(0,$AX140+IF($P140=W$3,$R140,0)+IF($S140=W$3,$U140,0)-$W140))</f>
        <v/>
      </c>
      <c r="AZ140">
        <f>IF($C140="",0,MAX(0,$AY140+IF($P140=X$3,$R140,0)+IF($S140=X$3,$U140,0)-$X140))</f>
        <v/>
      </c>
      <c r="BA140">
        <f>IF($C140="",0,MAX(0,$AZ140+IF($P140=Y$3,$R140,0)+IF($S140=Y$3,$U140,0)-$Y140))</f>
        <v/>
      </c>
      <c r="BB140">
        <f>IF($C140="",0,MAX(0,$BA140+IF($P140=Z$3,$R140,0)+IF($S140=Z$3,$U140,0)-$Z140))</f>
        <v/>
      </c>
      <c r="BC140">
        <f>IF($C140="",0,MAX(0,$BB140+IF($P140=AA$3,$R140,0)+IF($S140=AA$3,$U140,0)-$AA140))</f>
        <v/>
      </c>
      <c r="BD140">
        <f>IF($C140="",0,MAX(0,$BC140+IF($P140=AB$3,$R140,0)+IF($S140=AB$3,$U140,0)-$AB140))</f>
        <v/>
      </c>
      <c r="BE140">
        <f>IF($C140="",0,MAX(0,$BD140+IF($P140=AC$3,$R140,0)+IF($S140=AC$3,$U140,0)-$AC140))</f>
        <v/>
      </c>
      <c r="BF140">
        <f>IF($C140="",0,MAX(0,$BE140+IF($P140=AD$3,$R140,0)+IF($S140=AD$3,$U140,0)-$AD140))</f>
        <v/>
      </c>
      <c r="BG140">
        <f>IF($C140="",0,MAX(0,$BF140+IF($P140=AE$3,$R140,0)+IF($S140=AE$3,$U140,0)-$AE140))</f>
        <v/>
      </c>
      <c r="BH140">
        <f>IF($C140="",0,MAX(0,$BG140+IF($P140=AF$3,$R140,0)+IF($S140=AF$3,$U140,0)-$AF140))</f>
        <v/>
      </c>
      <c r="BI140">
        <f>IF($C140="",0,MAX(0,$BH140+IF($P140=AG$3,$R140,0)+IF($S140=AG$3,$U140,0)-$AG140))</f>
        <v/>
      </c>
      <c r="BJ140">
        <f>IF($C140="",0,MAX(0,$BI140+IF($P140=AH$3,$R140,0)+IF($S140=AH$3,$U140,0)-$AH140))</f>
        <v/>
      </c>
      <c r="BK140">
        <f>IF($C140="",0,MAX(0,$BJ140+IF($P140=AI$3,$R140,0)+IF($S140=AI$3,$U140,0)-$AI140))</f>
        <v/>
      </c>
      <c r="BL140">
        <f>IF($C140="",99,IF(AND($AX140&lt;1,V$3&gt;=MAX(N($P140),N($S140))),0,99))</f>
        <v/>
      </c>
      <c r="BM140">
        <f>IF($C140="",99,IF(AND($AY140&lt;1,W$3&gt;=MAX(N($P140),N($S140))),1,99))</f>
        <v/>
      </c>
      <c r="BN140">
        <f>IF($C140="",99,IF(AND($AZ140&lt;1,X$3&gt;=MAX(N($P140),N($S140))),2,99))</f>
        <v/>
      </c>
      <c r="BO140">
        <f>IF($C140="",99,IF(AND($BA140&lt;1,Y$3&gt;=MAX(N($P140),N($S140))),3,99))</f>
        <v/>
      </c>
      <c r="BP140">
        <f>IF($C140="",99,IF(AND($BB140&lt;1,Z$3&gt;=MAX(N($P140),N($S140))),4,99))</f>
        <v/>
      </c>
      <c r="BQ140">
        <f>IF($C140="",99,IF(AND($BC140&lt;1,AA$3&gt;=MAX(N($P140),N($S140))),5,99))</f>
        <v/>
      </c>
      <c r="BR140">
        <f>IF($C140="",99,IF(AND($BD140&lt;1,AB$3&gt;=MAX(N($P140),N($S140))),6,99))</f>
        <v/>
      </c>
      <c r="BS140">
        <f>IF($C140="",99,IF(AND($BE140&lt;1,AC$3&gt;=MAX(N($P140),N($S140))),7,99))</f>
        <v/>
      </c>
      <c r="BT140">
        <f>IF($C140="",99,IF(AND($BF140&lt;1,AD$3&gt;=MAX(N($P140),N($S140))),8,99))</f>
        <v/>
      </c>
      <c r="BU140">
        <f>IF($C140="",99,IF(AND($BG140&lt;1,AE$3&gt;=MAX(N($P140),N($S140))),9,99))</f>
        <v/>
      </c>
      <c r="BV140">
        <f>IF($C140="",99,IF(AND($BH140&lt;1,AF$3&gt;=MAX(N($P140),N($S140))),10,99))</f>
        <v/>
      </c>
      <c r="BW140">
        <f>IF($C140="",99,IF(AND($BI140&lt;1,AG$3&gt;=MAX(N($P140),N($S140))),11,99))</f>
        <v/>
      </c>
      <c r="BX140">
        <f>IF($C140="",99,IF(AND($BJ140&lt;1,AH$3&gt;=MAX(N($P140),N($S140))),12,99))</f>
        <v/>
      </c>
      <c r="BY140">
        <f>IF($C140="",99,IF(AND($BK140&lt;1,AI$3&gt;=MAX(N($P140),N($S140))),13,99))</f>
        <v/>
      </c>
      <c r="BZ140">
        <f>IF(OR($C140="",$M140=""),"",COUNTIF($AJ140:$AW140,"&gt;=1"))</f>
        <v/>
      </c>
      <c r="CA140" s="90">
        <f>IF($BZ140="","",IF($BZ140&gt;=14,"",'設定'!$C$6+$BZ140))</f>
        <v/>
      </c>
      <c r="CB140">
        <f>IF(OR($C140="",$M140=""),"",MIN($BL140:$BY140))</f>
        <v/>
      </c>
      <c r="CC140" s="90">
        <f>IF($CB140="","",IF($CB140&gt;=99,"",'設定'!$C$6+$CB140))</f>
        <v/>
      </c>
      <c r="CD140">
        <f>IF(OR($C140="",$M140=""),"",AVERAGE($V140:$AI140))</f>
        <v/>
      </c>
      <c r="CE140">
        <f>IF($C140="","",IFERROR(IF(MATCH(IF(ISNUMBER($P140),$P140,'設定'!$C$6+N('設定'!$C$7)),$V$3:$AI$3,0)=1,MAX(0,N($L140)),INDEX($AJ140:$AW140,MATCH(IF(ISNUMBER($P140),$P140,'設定'!$C$6+N('設定'!$C$7)),$V$3:$AI$3,0)-1)),""))</f>
        <v/>
      </c>
      <c r="CF140">
        <f>IF(OR($C140="",$O140="",$CE140=""),"",IF($O140-$CE140&lt;=0,0,ROUNDUP(($O140-$CE140)/$G140,0)))</f>
        <v/>
      </c>
      <c r="CG140">
        <f>IF(OR($C140="",$CF140="",NOT(ISNUMBER($Q140))),0,MAX(0,$Q140-$CF140))</f>
        <v/>
      </c>
      <c r="CH140">
        <f>IF(OR($C140="",$O140="",$U140=0),0,IFERROR(ROUNDUP(MAX(0,IF(MATCH($S140,$V$3:$AI$3,0)=1,MAX(0,N($L140)),INDEX($AX140:$BK140,MATCH($S140,$V$3:$AI$3,0)-1))+$U140-$O140)/$G140,0),0))</f>
        <v/>
      </c>
      <c r="CI140">
        <f>IF($C140="","",IF(AND($P140="",$Q140=""),"",IF($P140="","⚠ 入庫日を ▼ から選んでください",IF(NOT(ISNUMBER($P140)),"⚠ 入庫日は ▼ から選んでください",IF($P140&lt;N('設定'!$C$6),"⚠ 入庫日が過去です（もう在庫に入っています）→ 消してください",IF($P140&gt;N('設定'!$C$6)+13,"⚠ 入庫日が14日より先です",IF(N($Q140)&lt;=0,"⚠ 入庫数を入れてください",IF($CG140&gt;0,"⚠ 目安より "&amp;$CG140&amp;" 多い（定数を超える）→ 減らす",""))))))))</f>
        <v/>
      </c>
      <c r="CJ140">
        <f>IF($C140="","",IF(AND($S140="",$T140=""),"",IF($S140="","⚠ 2便目：入庫日を ▼ から選んでください",IF(NOT(ISNUMBER($S140)),"⚠ 2便目：入庫日は ▼ から選んでください",IF($S140&lt;N('設定'!$C$6),"⚠ 2便目：入庫日が過去です（もう在庫に入っています）→ 消してください",IF($S140&gt;N('設定'!$C$6)+13,"⚠ 2便目：入庫日が14日より先です",IF(N($T140)&lt;=0,"⚠ 2便目：入庫数を入れてください",IF($CH140&gt;0,"⚠ 2便目：定数を "&amp;$CH140&amp;" ケース超える → 減らす",""))))))))</f>
        <v/>
      </c>
      <c r="CK140">
        <f>IF(AND($CI140="",N($Q140)&gt;0,ISNUMBER($P140)),1,0)</f>
        <v/>
      </c>
      <c r="CL140">
        <f>IF(AND($CJ140="",N($T140)&gt;0,ISNUMBER($S140)),1,0)</f>
        <v/>
      </c>
      <c r="CM140">
        <f>IF(OR($CK140=1,$CL140=1),1,0)</f>
        <v/>
      </c>
      <c r="CN140">
        <f>IF($C140="",0,($CK140*$R140+$CL140*$U140)*N($H140))</f>
        <v/>
      </c>
      <c r="CO140">
        <f>IF($C140="","",IF($CC140="","入庫後は 14日以上もつ",IF($CC140-N('設定'!$C$7)&lt;='設定'!$C$6,"入庫後も "&amp;TEXT($CC140,"m/d")&amp;"("&amp;CHOOSE(WEEKDAY($CC140),"日","月","火","水","木","金","土")&amp;")"&amp;" に切れる　もう1便を至急発注","入庫後も "&amp;TEXT($CC140,"m/d")&amp;"("&amp;CHOOSE(WEEKDAY($CC140),"日","月","火","水","木","金","土")&amp;")"&amp;" に切れる　"&amp;TEXT($CC140-N('設定'!$C$7),"m/d")&amp;"("&amp;CHOOSE(WEEKDAY($CC140-N('設定'!$C$7)),"日","月","火","水","木","金","土")&amp;")"&amp;" までに次を発注")))</f>
        <v/>
      </c>
      <c r="CP140">
        <f>IF($C140="","",IF('設定'!$C$6="","？ ①在庫を貼る に今日のCSVが貼られていない",IF($CS140=1,"－ 今日のCSVに無い（終売？）",IF($L140&lt;0,"● 在庫がマイナス　数えて「数えた在庫」に入れる",IF($L140=0,"● 在庫なし　至急発注",IF($M140="","？ 減り数が未設定（商品マスタ）",IF($B$3=0,"？ 動員が未入力（動員を入れる）",IF($CA140="","○ 14日以上もつ",IF($BZ140&lt;N('設定'!$C$7),"● "&amp;TEXT($CA140,"m/d")&amp;"("&amp;CHOOSE(WEEKDAY($CA140),"日","月","火","水","木","金","土")&amp;")"&amp;" に切れる　至急発注",IF($BZ140=N('設定'!$C$7),"● "&amp;TEXT($CA140,"m/d")&amp;"("&amp;CHOOSE(WEEKDAY($CA140),"日","月","火","水","木","金","土")&amp;")"&amp;" に切れる　今日発注","△ "&amp;TEXT($CA140,"m/d")&amp;"("&amp;CHOOSE(WEEKDAY($CA140),"日","月","火","水","木","金","土")&amp;")"&amp;" に切れる　"&amp;TEXT($CA140-N('設定'!$C$7),"m/d")&amp;"("&amp;CHOOSE(WEEKDAY($CA140-N('設定'!$C$7)),"日","月","火","水","木","金","土")&amp;")"&amp;" までに発注"))))))))))</f>
        <v/>
      </c>
      <c r="CQ140">
        <f>IF($C140="","",IF(AND($P140="",$Q140="",$S140="",$T140=""),"",IF(AND($P140="",$Q140=""),"⚠ 先に1便目（左の入庫日・入庫数）に入れてください",IF($CI140&lt;&gt;"",$CI140,IF($CJ140&lt;&gt;"",$CJ140,IF($M140="","？ 減り数が未設定（発注書には載ります）",IF($B$3=0,"？ 動員が未入力（発注書には載ります）",IF(AND($CA140&lt;&gt;"",$P140&gt;$CA140),IF($P140&gt;'設定'!$C$6+N('設定'!$C$7),"● "&amp;TEXT($P140,"m/d")&amp;"("&amp;CHOOSE(WEEKDAY($P140),"日","月","火","水","木","金","土")&amp;")"&amp;" の入庫では間に合わない（"&amp;TEXT($CA140,"m/d")&amp;"("&amp;CHOOSE(WEEKDAY($CA140),"日","月","火","水","木","金","土")&amp;")"&amp;" に切れる）　入庫日を早める","△ 欠品 "&amp;TEXT($CA140,"m/d")&amp;"("&amp;CHOOSE(WEEKDAY($CA140),"日","月","火","水","木","金","土")&amp;")"&amp;"〜"&amp;TEXT($P140-1,"m/d")&amp;"("&amp;CHOOSE(WEEKDAY($P140-1),"日","月","火","水","木","金","土")&amp;")"&amp;"　"&amp;$CO140),IF($CC140="","○ "&amp;TEXT($P140,"m/d")&amp;"("&amp;CHOOSE(WEEKDAY($P140),"日","月","火","水","木","金","土")&amp;")"&amp;" 入庫で 14日以上もつ",IF($CC140-N('設定'!$C$7)&lt;='設定'!$C$6,"● 入庫しても "&amp;TEXT($CC140,"m/d")&amp;"("&amp;CHOOSE(WEEKDAY($CC140),"日","月","火","水","木","金","土")&amp;")"&amp;" に切れる　もう1便を至急発注（2便目に入れる）","△ 入庫しても "&amp;TEXT($CC140,"m/d")&amp;"("&amp;CHOOSE(WEEKDAY($CC140),"日","月","火","水","木","金","土")&amp;")"&amp;" に切れる　"&amp;TEXT($CC140-N('設定'!$C$7),"m/d")&amp;"("&amp;CHOOSE(WEEKDAY($CC140-N('設定'!$C$7)),"日","月","火","水","木","金","土")&amp;")"&amp;" までに次を発注（2便目に入れる）"))))))))))</f>
        <v/>
      </c>
      <c r="CR140">
        <f>IF($C140="","",IF($G140&gt;1,"ｹｰｽ("&amp;$G140&amp;"入)","個"))</f>
        <v/>
      </c>
      <c r="CS140">
        <f>IF($C140="",0,IF(COUNTIFS('①在庫を貼る'!$V$6:$V$10005,'設定'!$C$4,'①在庫を貼る'!$W$6:$W$10005,$C140)=0,1,0))</f>
        <v/>
      </c>
      <c r="CT140">
        <f>IF(AND($CK140=1,OR('③発注書'!$C$4="すべて",'③発注書'!$C$4="",$F140='③発注書'!$C$4)),N($CT139)+1,N($CT139))</f>
        <v/>
      </c>
      <c r="CU140">
        <f>IF(AND($CL140=1,OR('③発注書'!$C$4="すべて",'③発注書'!$C$4="",$F140='③発注書'!$C$4)),N($CU139)+1,N($CU139))</f>
        <v/>
      </c>
      <c r="CV140">
        <f>IF($C140="",0,IF(COUNTIFS('①在庫を貼る'!$V$6:$V$10005,'設定'!$C$4,'①在庫を貼る'!$W$6:$W$10005,$C140)&gt;0,1,0))</f>
        <v/>
      </c>
      <c r="CW140">
        <f>IF($C140="",0,IF(COUNTIFS('月1回_1ヶ月前の在庫'!$V$6:$V$10005,'設定'!$C$4,'月1回_1ヶ月前の在庫'!$W$6:$W$10005,$C140)&gt;0,1,0))</f>
        <v/>
      </c>
      <c r="CX140">
        <f>IF($C140="",0,IF(COUNTIFS('月1回_2ヶ月前の在庫'!$V$6:$V$10005,'設定'!$C$4,'月1回_2ヶ月前の在庫'!$W$6:$W$10005,$C140)&gt;0,1,0))</f>
        <v/>
      </c>
      <c r="CY140">
        <f>IF(OR($C140="",'設定'!$C$12=""),"",IF('設定'!$C$13="",IF(AND($CV140=1,$CW140=0),"新商品（今月から）",IF(AND($CV140=0,$CW140=1),"終売（今月から）","")),IF(AND($CV140=1,$CW140=0,$CX140=0),"新商品（今月から）",IF(AND($CV140=1,$CW140=1,$CX140=0),"新商品（先月から）",IF(AND($CV140=0,$CW140=1,$CX140=1),"終売（今月から）",IF(AND($CV140=0,$CW140=0,$CX140=1),"終売（先月から）",IF(AND($CV140=1,$CW140=0,$CX140=1),"復活（先月は無し）","")))))))</f>
        <v/>
      </c>
    </row>
    <row r="141">
      <c r="B141">
        <f>IF(136&lt;='設定'!$C$11,136,"")</f>
        <v/>
      </c>
      <c r="C141">
        <f>IF($B141="","",IF($B141&lt;='設定'!$C$20,INDEX('商品マスタ'!$B$6:$B$1005,MATCH($B141,'商品マスタ'!$M$6:$M$1005,0)),IF($B141&lt;='設定'!$C$20+'設定'!$C$17,INDEX('①在庫を貼る'!$W$6:$W$10005,MATCH($B141-'設定'!$C$20,'①在庫を貼る'!$U$6:$U$10005,0)),IF($B141&lt;='設定'!$C$20+'設定'!$C$17+'設定'!$C$18,INDEX('月1回_1ヶ月前の在庫'!$W$6:$W$10005,MATCH($B141-'設定'!$C$20-'設定'!$C$17,'月1回_1ヶ月前の在庫'!$U$6:$U$10005,0)),INDEX('月1回_2ヶ月前の在庫'!$W$6:$W$10005,MATCH($B141-'設定'!$C$20-'設定'!$C$17-'設定'!$C$18,'月1回_2ヶ月前の在庫'!$U$6:$U$10005,0))))))</f>
        <v/>
      </c>
      <c r="D141">
        <f>IF($C141="","",IFERROR(IF(INDEX('商品マスタ'!$C$6:$C$1005,MATCH($C141,'商品マスタ'!$B$6:$B$1005,0))="",IFERROR(INDEX('①在庫を貼る'!$J$6:$J$10005,MATCH($C141,'①在庫を貼る'!$W$6:$W$10005,0)),IFERROR(INDEX('月1回_1ヶ月前の在庫'!$J$6:$J$10005,MATCH($C141,'月1回_1ヶ月前の在庫'!$W$6:$W$10005,0)),IFERROR(INDEX('月1回_2ヶ月前の在庫'!$J$6:$J$10005,MATCH($C141,'月1回_2ヶ月前の在庫'!$W$6:$W$10005,0)),""))),INDEX('商品マスタ'!$C$6:$C$1005,MATCH($C141,'商品マスタ'!$B$6:$B$1005,0))),IFERROR(INDEX('①在庫を貼る'!$J$6:$J$10005,MATCH($C141,'①在庫を貼る'!$W$6:$W$10005,0)),IFERROR(INDEX('月1回_1ヶ月前の在庫'!$J$6:$J$10005,MATCH($C141,'月1回_1ヶ月前の在庫'!$W$6:$W$10005,0)),IFERROR(INDEX('月1回_2ヶ月前の在庫'!$J$6:$J$10005,MATCH($C141,'月1回_2ヶ月前の在庫'!$W$6:$W$10005,0)),"")))))</f>
        <v/>
      </c>
      <c r="E141">
        <f>IF($C141="","",IFERROR(IF(INDEX('商品マスタ'!$D$6:$D$1005,MATCH($C141,'商品マスタ'!$B$6:$B$1005,0))="",IFERROR(INDEX('①在庫を貼る'!$H$6:$H$10005,MATCH($C141,'①在庫を貼る'!$W$6:$W$10005,0)),IFERROR(INDEX('月1回_1ヶ月前の在庫'!$H$6:$H$10005,MATCH($C141,'月1回_1ヶ月前の在庫'!$W$6:$W$10005,0)),IFERROR(INDEX('月1回_2ヶ月前の在庫'!$H$6:$H$10005,MATCH($C141,'月1回_2ヶ月前の在庫'!$W$6:$W$10005,0)),""))),INDEX('商品マスタ'!$D$6:$D$1005,MATCH($C141,'商品マスタ'!$B$6:$B$1005,0))),IFERROR(INDEX('①在庫を貼る'!$H$6:$H$10005,MATCH($C141,'①在庫を貼る'!$W$6:$W$10005,0)),IFERROR(INDEX('月1回_1ヶ月前の在庫'!$H$6:$H$10005,MATCH($C141,'月1回_1ヶ月前の在庫'!$W$6:$W$10005,0)),IFERROR(INDEX('月1回_2ヶ月前の在庫'!$H$6:$H$10005,MATCH($C141,'月1回_2ヶ月前の在庫'!$W$6:$W$10005,0)),"")))))</f>
        <v/>
      </c>
      <c r="F141">
        <f>IF($C141="","",IFERROR(IF(INDEX('商品マスタ'!$E$6:$E$1005,MATCH($C141,'商品マスタ'!$B$6:$B$1005,0))="",IFERROR(INDEX('①在庫を貼る'!$E$6:$E$10005,MATCH($C141,'①在庫を貼る'!$W$6:$W$10005,0)),IFERROR(INDEX('月1回_1ヶ月前の在庫'!$E$6:$E$10005,MATCH($C141,'月1回_1ヶ月前の在庫'!$W$6:$W$10005,0)),IFERROR(INDEX('月1回_2ヶ月前の在庫'!$E$6:$E$10005,MATCH($C141,'月1回_2ヶ月前の在庫'!$W$6:$W$10005,0)),""))),INDEX('商品マスタ'!$E$6:$E$1005,MATCH($C141,'商品マスタ'!$B$6:$B$1005,0))),IFERROR(INDEX('①在庫を貼る'!$E$6:$E$10005,MATCH($C141,'①在庫を貼る'!$W$6:$W$10005,0)),IFERROR(INDEX('月1回_1ヶ月前の在庫'!$E$6:$E$10005,MATCH($C141,'月1回_1ヶ月前の在庫'!$W$6:$W$10005,0)),IFERROR(INDEX('月1回_2ヶ月前の在庫'!$E$6:$E$10005,MATCH($C141,'月1回_2ヶ月前の在庫'!$W$6:$W$10005,0)),"")))))</f>
        <v/>
      </c>
      <c r="G141">
        <f>IF($C141="","",MAX(1,N(IFERROR(IF(INDEX('商品マスタ'!$F$6:$F$1005,MATCH($C141,'商品マスタ'!$B$6:$B$1005,0))="",IF(COUNTIFS('①在庫を貼る'!$V$6:$V$10005,'設定'!$C$4,'①在庫を貼る'!$W$6:$W$10005,$C141)&gt;0,SUMIFS('①在庫を貼る'!$K$6:$K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K$6:$K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K$6:$K$10005,'月1回_2ヶ月前の在庫'!$V$6:$V$10005,'設定'!$C$4,'月1回_2ヶ月前の在庫'!$W$6:$W$10005,$C141)/COUNTIFS('月1回_2ヶ月前の在庫'!$V$6:$V$10005,'設定'!$C$4,'月1回_2ヶ月前の在庫'!$W$6:$W$10005,$C141),0))),INDEX('商品マスタ'!$F$6:$F$1005,MATCH($C141,'商品マスタ'!$B$6:$B$1005,0))),IF(COUNTIFS('①在庫を貼る'!$V$6:$V$10005,'設定'!$C$4,'①在庫を貼る'!$W$6:$W$10005,$C141)&gt;0,SUMIFS('①在庫を貼る'!$K$6:$K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K$6:$K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K$6:$K$10005,'月1回_2ヶ月前の在庫'!$V$6:$V$10005,'設定'!$C$4,'月1回_2ヶ月前の在庫'!$W$6:$W$10005,$C141)/COUNTIFS('月1回_2ヶ月前の在庫'!$V$6:$V$10005,'設定'!$C$4,'月1回_2ヶ月前の在庫'!$W$6:$W$10005,$C141),0)))))))</f>
        <v/>
      </c>
      <c r="H141">
        <f>IF($C141="","",N(IFERROR(IF(INDEX('商品マスタ'!$G$6:$G$1005,MATCH($C141,'商品マスタ'!$B$6:$B$1005,0))="",IF(COUNTIFS('①在庫を貼る'!$V$6:$V$10005,'設定'!$C$4,'①在庫を貼る'!$W$6:$W$10005,$C141)&gt;0,SUMIFS('①在庫を貼る'!$Q$6:$Q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Q$6:$Q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Q$6:$Q$10005,'月1回_2ヶ月前の在庫'!$V$6:$V$10005,'設定'!$C$4,'月1回_2ヶ月前の在庫'!$W$6:$W$10005,$C141)/COUNTIFS('月1回_2ヶ月前の在庫'!$V$6:$V$10005,'設定'!$C$4,'月1回_2ヶ月前の在庫'!$W$6:$W$10005,$C141),0))),INDEX('商品マスタ'!$G$6:$G$1005,MATCH($C141,'商品マスタ'!$B$6:$B$1005,0))),IF(COUNTIFS('①在庫を貼る'!$V$6:$V$10005,'設定'!$C$4,'①在庫を貼る'!$W$6:$W$10005,$C141)&gt;0,SUMIFS('①在庫を貼る'!$Q$6:$Q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Q$6:$Q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Q$6:$Q$10005,'月1回_2ヶ月前の在庫'!$V$6:$V$10005,'設定'!$C$4,'月1回_2ヶ月前の在庫'!$W$6:$W$10005,$C141)/COUNTIFS('月1回_2ヶ月前の在庫'!$V$6:$V$10005,'設定'!$C$4,'月1回_2ヶ月前の在庫'!$W$6:$W$10005,$C141),0))))))</f>
        <v/>
      </c>
      <c r="I141">
        <f>IF($C141="","",IF(COUNTIFS('①在庫を貼る'!$V$6:$V$10005,'設定'!$C$4,'①在庫を貼る'!$W$6:$W$10005,$C141)=0,"",SUMIFS('①在庫を貼る'!$N$6:$N$10005,'①在庫を貼る'!$V$6:$V$10005,'設定'!$C$4,'①在庫を貼る'!$W$6:$W$10005,$C141)))</f>
        <v/>
      </c>
      <c r="J141">
        <f>IF($C141="","",IF('②発注する'!$AD145="","",'②発注する'!$AD145))</f>
        <v/>
      </c>
      <c r="K141" s="90">
        <f>IF($C141="","",IF('②発注する'!$AE145="","",'②発注する'!$AE145))</f>
        <v/>
      </c>
      <c r="L141">
        <f>IF($C141="","",IF(AND(ISNUMBER($J141),ISNUMBER($K141),$K141&gt;='設定'!$C$6),$J141,N($I141)))</f>
        <v/>
      </c>
      <c r="M141">
        <f>IF($C141="","",IFERROR(IF(N(INDEX('商品マスタ'!$J$6:$J$1005,MATCH($C141,'商品マスタ'!$B$6:$B$1005,0)))&gt;0,INDEX('商品マスタ'!$J$6:$J$1005,MATCH($C141,'商品マスタ'!$B$6:$B$1005,0)),""),""))</f>
        <v/>
      </c>
      <c r="N141">
        <f>IF($C141="","",IFERROR(IF(N(INDEX('商品マスタ'!$H$6:$H$1005,MATCH($C141,'商品マスタ'!$B$6:$B$1005,0)))&gt;0,INDEX('商品マスタ'!$H$6:$H$1005,MATCH($C141,'商品マスタ'!$B$6:$B$1005,0)),""),""))</f>
        <v/>
      </c>
      <c r="O141">
        <f>IF($C141="","",IF($N141&lt;&gt;"",$N141*$G141,IF(N(IF(COUNTIFS('①在庫を貼る'!$V$6:$V$10005,'設定'!$C$4,'①在庫を貼る'!$W$6:$W$10005,$C141)&gt;0,SUMIFS('①在庫を貼る'!$O$6:$O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O$6:$O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O$6:$O$10005,'月1回_2ヶ月前の在庫'!$V$6:$V$10005,'設定'!$C$4,'月1回_2ヶ月前の在庫'!$W$6:$W$10005,$C141)/COUNTIFS('月1回_2ヶ月前の在庫'!$V$6:$V$10005,'設定'!$C$4,'月1回_2ヶ月前の在庫'!$W$6:$W$10005,$C141),0))))&gt;0,N(IF(COUNTIFS('①在庫を貼る'!$V$6:$V$10005,'設定'!$C$4,'①在庫を貼る'!$W$6:$W$10005,$C141)&gt;0,SUMIFS('①在庫を貼る'!$O$6:$O$10005,'①在庫を貼る'!$V$6:$V$10005,'設定'!$C$4,'①在庫を貼る'!$W$6:$W$10005,$C141)/COUNTIFS('①在庫を貼る'!$V$6:$V$10005,'設定'!$C$4,'①在庫を貼る'!$W$6:$W$10005,$C141),IF(COUNTIFS('月1回_1ヶ月前の在庫'!$V$6:$V$10005,'設定'!$C$4,'月1回_1ヶ月前の在庫'!$W$6:$W$10005,$C141)&gt;0,SUMIFS('月1回_1ヶ月前の在庫'!$O$6:$O$10005,'月1回_1ヶ月前の在庫'!$V$6:$V$10005,'設定'!$C$4,'月1回_1ヶ月前の在庫'!$W$6:$W$10005,$C141)/COUNTIFS('月1回_1ヶ月前の在庫'!$V$6:$V$10005,'設定'!$C$4,'月1回_1ヶ月前の在庫'!$W$6:$W$10005,$C141),IF(COUNTIFS('月1回_2ヶ月前の在庫'!$V$6:$V$10005,'設定'!$C$4,'月1回_2ヶ月前の在庫'!$W$6:$W$10005,$C141)&gt;0,SUMIFS('月1回_2ヶ月前の在庫'!$O$6:$O$10005,'月1回_2ヶ月前の在庫'!$V$6:$V$10005,'設定'!$C$4,'月1回_2ヶ月前の在庫'!$W$6:$W$10005,$C141)/COUNTIFS('月1回_2ヶ月前の在庫'!$V$6:$V$10005,'設定'!$C$4,'月1回_2ヶ月前の在庫'!$W$6:$W$10005,$C141),0)))),"")))</f>
        <v/>
      </c>
      <c r="P141" s="90">
        <f>IF($C141="","",IF('②発注する'!$I145="","",'②発注する'!$I145))</f>
        <v/>
      </c>
      <c r="Q141">
        <f>IF($C141="","",IF('②発注する'!$J145="","",'②発注する'!$J145))</f>
        <v/>
      </c>
      <c r="R141">
        <f>IF($C141="",0,IF(AND(ISNUMBER($P141),ISNUMBER($Q141)),MAX(0,$Q141)*$G141,0))</f>
        <v/>
      </c>
      <c r="S141" s="90">
        <f>IF($C141="","",IF('②発注する'!$M145="","",'②発注する'!$M145))</f>
        <v/>
      </c>
      <c r="T141">
        <f>IF($C141="","",IF('②発注する'!$N145="","",'②発注する'!$N145))</f>
        <v/>
      </c>
      <c r="U141">
        <f>IF($C141="",0,IF(AND(ISNUMBER($S141),ISNUMBER($T141)),MAX(0,$T141)*$G141,0))</f>
        <v/>
      </c>
      <c r="V141">
        <f>IF($C141="",0,IF($M141="",0,MAX(0,$M141)*MAX(0,V$4)/100))</f>
        <v/>
      </c>
      <c r="W141">
        <f>IF($C141="",0,IF($M141="",0,MAX(0,$M141)*MAX(0,W$4)/100))</f>
        <v/>
      </c>
      <c r="X141">
        <f>IF($C141="",0,IF($M141="",0,MAX(0,$M141)*MAX(0,X$4)/100))</f>
        <v/>
      </c>
      <c r="Y141">
        <f>IF($C141="",0,IF($M141="",0,MAX(0,$M141)*MAX(0,Y$4)/100))</f>
        <v/>
      </c>
      <c r="Z141">
        <f>IF($C141="",0,IF($M141="",0,MAX(0,$M141)*MAX(0,Z$4)/100))</f>
        <v/>
      </c>
      <c r="AA141">
        <f>IF($C141="",0,IF($M141="",0,MAX(0,$M141)*MAX(0,AA$4)/100))</f>
        <v/>
      </c>
      <c r="AB141">
        <f>IF($C141="",0,IF($M141="",0,MAX(0,$M141)*MAX(0,AB$4)/100))</f>
        <v/>
      </c>
      <c r="AC141">
        <f>IF($C141="",0,IF($M141="",0,MAX(0,$M141)*MAX(0,AC$4)/100))</f>
        <v/>
      </c>
      <c r="AD141">
        <f>IF($C141="",0,IF($M141="",0,MAX(0,$M141)*MAX(0,AD$4)/100))</f>
        <v/>
      </c>
      <c r="AE141">
        <f>IF($C141="",0,IF($M141="",0,MAX(0,$M141)*MAX(0,AE$4)/100))</f>
        <v/>
      </c>
      <c r="AF141">
        <f>IF($C141="",0,IF($M141="",0,MAX(0,$M141)*MAX(0,AF$4)/100))</f>
        <v/>
      </c>
      <c r="AG141">
        <f>IF($C141="",0,IF($M141="",0,MAX(0,$M141)*MAX(0,AG$4)/100))</f>
        <v/>
      </c>
      <c r="AH141">
        <f>IF($C141="",0,IF($M141="",0,MAX(0,$M141)*MAX(0,AH$4)/100))</f>
        <v/>
      </c>
      <c r="AI141">
        <f>IF($C141="",0,IF($M141="",0,MAX(0,$M141)*MAX(0,AI$4)/100))</f>
        <v/>
      </c>
      <c r="AJ141">
        <f>IF($C141="",0,MAX(0,MAX(0,N($L141))-$V141))</f>
        <v/>
      </c>
      <c r="AK141">
        <f>IF($C141="",0,MAX(0,$AJ141-$W141))</f>
        <v/>
      </c>
      <c r="AL141">
        <f>IF($C141="",0,MAX(0,$AK141-$X141))</f>
        <v/>
      </c>
      <c r="AM141">
        <f>IF($C141="",0,MAX(0,$AL141-$Y141))</f>
        <v/>
      </c>
      <c r="AN141">
        <f>IF($C141="",0,MAX(0,$AM141-$Z141))</f>
        <v/>
      </c>
      <c r="AO141">
        <f>IF($C141="",0,MAX(0,$AN141-$AA141))</f>
        <v/>
      </c>
      <c r="AP141">
        <f>IF($C141="",0,MAX(0,$AO141-$AB141))</f>
        <v/>
      </c>
      <c r="AQ141">
        <f>IF($C141="",0,MAX(0,$AP141-$AC141))</f>
        <v/>
      </c>
      <c r="AR141">
        <f>IF($C141="",0,MAX(0,$AQ141-$AD141))</f>
        <v/>
      </c>
      <c r="AS141">
        <f>IF($C141="",0,MAX(0,$AR141-$AE141))</f>
        <v/>
      </c>
      <c r="AT141">
        <f>IF($C141="",0,MAX(0,$AS141-$AF141))</f>
        <v/>
      </c>
      <c r="AU141">
        <f>IF($C141="",0,MAX(0,$AT141-$AG141))</f>
        <v/>
      </c>
      <c r="AV141">
        <f>IF($C141="",0,MAX(0,$AU141-$AH141))</f>
        <v/>
      </c>
      <c r="AW141">
        <f>IF($C141="",0,MAX(0,$AV141-$AI141))</f>
        <v/>
      </c>
      <c r="AX141">
        <f>IF($C141="",0,MAX(0,MAX(0,N($L141))+IF($P141=V$3,$R141,0)+IF($S141=V$3,$U141,0)-$V141))</f>
        <v/>
      </c>
      <c r="AY141">
        <f>IF($C141="",0,MAX(0,$AX141+IF($P141=W$3,$R141,0)+IF($S141=W$3,$U141,0)-$W141))</f>
        <v/>
      </c>
      <c r="AZ141">
        <f>IF($C141="",0,MAX(0,$AY141+IF($P141=X$3,$R141,0)+IF($S141=X$3,$U141,0)-$X141))</f>
        <v/>
      </c>
      <c r="BA141">
        <f>IF($C141="",0,MAX(0,$AZ141+IF($P141=Y$3,$R141,0)+IF($S141=Y$3,$U141,0)-$Y141))</f>
        <v/>
      </c>
      <c r="BB141">
        <f>IF($C141="",0,MAX(0,$BA141+IF($P141=Z$3,$R141,0)+IF($S141=Z$3,$U141,0)-$Z141))</f>
        <v/>
      </c>
      <c r="BC141">
        <f>IF($C141="",0,MAX(0,$BB141+IF($P141=AA$3,$R141,0)+IF($S141=AA$3,$U141,0)-$AA141))</f>
        <v/>
      </c>
      <c r="BD141">
        <f>IF($C141="",0,MAX(0,$BC141+IF($P141=AB$3,$R141,0)+IF($S141=AB$3,$U141,0)-$AB141))</f>
        <v/>
      </c>
      <c r="BE141">
        <f>IF($C141="",0,MAX(0,$BD141+IF($P141=AC$3,$R141,0)+IF($S141=AC$3,$U141,0)-$AC141))</f>
        <v/>
      </c>
      <c r="BF141">
        <f>IF($C141="",0,MAX(0,$BE141+IF($P141=AD$3,$R141,0)+IF($S141=AD$3,$U141,0)-$AD141))</f>
        <v/>
      </c>
      <c r="BG141">
        <f>IF($C141="",0,MAX(0,$BF141+IF($P141=AE$3,$R141,0)+IF($S141=AE$3,$U141,0)-$AE141))</f>
        <v/>
      </c>
      <c r="BH141">
        <f>IF($C141="",0,MAX(0,$BG141+IF($P141=AF$3,$R141,0)+IF($S141=AF$3,$U141,0)-$AF141))</f>
        <v/>
      </c>
      <c r="BI141">
        <f>IF($C141="",0,MAX(0,$BH141+IF($P141=AG$3,$R141,0)+IF($S141=AG$3,$U141,0)-$AG141))</f>
        <v/>
      </c>
      <c r="BJ141">
        <f>IF($C141="",0,MAX(0,$BI141+IF($P141=AH$3,$R141,0)+IF($S141=AH$3,$U141,0)-$AH141))</f>
        <v/>
      </c>
      <c r="BK141">
        <f>IF($C141="",0,MAX(0,$BJ141+IF($P141=AI$3,$R141,0)+IF($S141=AI$3,$U141,0)-$AI141))</f>
        <v/>
      </c>
      <c r="BL141">
        <f>IF($C141="",99,IF(AND($AX141&lt;1,V$3&gt;=MAX(N($P141),N($S141))),0,99))</f>
        <v/>
      </c>
      <c r="BM141">
        <f>IF($C141="",99,IF(AND($AY141&lt;1,W$3&gt;=MAX(N($P141),N($S141))),1,99))</f>
        <v/>
      </c>
      <c r="BN141">
        <f>IF($C141="",99,IF(AND($AZ141&lt;1,X$3&gt;=MAX(N($P141),N($S141))),2,99))</f>
        <v/>
      </c>
      <c r="BO141">
        <f>IF($C141="",99,IF(AND($BA141&lt;1,Y$3&gt;=MAX(N($P141),N($S141))),3,99))</f>
        <v/>
      </c>
      <c r="BP141">
        <f>IF($C141="",99,IF(AND($BB141&lt;1,Z$3&gt;=MAX(N($P141),N($S141))),4,99))</f>
        <v/>
      </c>
      <c r="BQ141">
        <f>IF($C141="",99,IF(AND($BC141&lt;1,AA$3&gt;=MAX(N($P141),N($S141))),5,99))</f>
        <v/>
      </c>
      <c r="BR141">
        <f>IF($C141="",99,IF(AND($BD141&lt;1,AB$3&gt;=MAX(N($P141),N($S141))),6,99))</f>
        <v/>
      </c>
      <c r="BS141">
        <f>IF($C141="",99,IF(AND($BE141&lt;1,AC$3&gt;=MAX(N($P141),N($S141))),7,99))</f>
        <v/>
      </c>
      <c r="BT141">
        <f>IF($C141="",99,IF(AND($BF141&lt;1,AD$3&gt;=MAX(N($P141),N($S141))),8,99))</f>
        <v/>
      </c>
      <c r="BU141">
        <f>IF($C141="",99,IF(AND($BG141&lt;1,AE$3&gt;=MAX(N($P141),N($S141))),9,99))</f>
        <v/>
      </c>
      <c r="BV141">
        <f>IF($C141="",99,IF(AND($BH141&lt;1,AF$3&gt;=MAX(N($P141),N($S141))),10,99))</f>
        <v/>
      </c>
      <c r="BW141">
        <f>IF($C141="",99,IF(AND($BI141&lt;1,AG$3&gt;=MAX(N($P141),N($S141))),11,99))</f>
        <v/>
      </c>
      <c r="BX141">
        <f>IF($C141="",99,IF(AND($BJ141&lt;1,AH$3&gt;=MAX(N($P141),N($S141))),12,99))</f>
        <v/>
      </c>
      <c r="BY141">
        <f>IF($C141="",99,IF(AND($BK141&lt;1,AI$3&gt;=MAX(N($P141),N($S141))),13,99))</f>
        <v/>
      </c>
      <c r="BZ141">
        <f>IF(OR($C141="",$M141=""),"",COUNTIF($AJ141:$AW141,"&gt;=1"))</f>
        <v/>
      </c>
      <c r="CA141" s="90">
        <f>IF($BZ141="","",IF($BZ141&gt;=14,"",'設定'!$C$6+$BZ141))</f>
        <v/>
      </c>
      <c r="CB141">
        <f>IF(OR($C141="",$M141=""),"",MIN($BL141:$BY141))</f>
        <v/>
      </c>
      <c r="CC141" s="90">
        <f>IF($CB141="","",IF($CB141&gt;=99,"",'設定'!$C$6+$CB141))</f>
        <v/>
      </c>
      <c r="CD141">
        <f>IF(OR($C141="",$M141=""),"",AVERAGE($V141:$AI141))</f>
        <v/>
      </c>
      <c r="CE141">
        <f>IF($C141="","",IFERROR(IF(MATCH(IF(ISNUMBER($P141),$P141,'設定'!$C$6+N('設定'!$C$7)),$V$3:$AI$3,0)=1,MAX(0,N($L141)),INDEX($AJ141:$AW141,MATCH(IF(ISNUMBER($P141),$P141,'設定'!$C$6+N('設定'!$C$7)),$V$3:$AI$3,0)-1)),""))</f>
        <v/>
      </c>
      <c r="CF141">
        <f>IF(OR($C141="",$O141="",$CE141=""),"",IF($O141-$CE141&lt;=0,0,ROUNDUP(($O141-$CE141)/$G141,0)))</f>
        <v/>
      </c>
      <c r="CG141">
        <f>IF(OR($C141="",$CF141="",NOT(ISNUMBER($Q141))),0,MAX(0,$Q141-$CF141))</f>
        <v/>
      </c>
      <c r="CH141">
        <f>IF(OR($C141="",$O141="",$U141=0),0,IFERROR(ROUNDUP(MAX(0,IF(MATCH($S141,$V$3:$AI$3,0)=1,MAX(0,N($L141)),INDEX($AX141:$BK141,MATCH($S141,$V$3:$AI$3,0)-1))+$U141-$O141)/$G141,0),0))</f>
        <v/>
      </c>
      <c r="CI141">
        <f>IF($C141="","",IF(AND($P141="",$Q141=""),"",IF($P141="","⚠ 入庫日を ▼ から選んでください",IF(NOT(ISNUMBER($P141)),"⚠ 入庫日は ▼ から選んでください",IF($P141&lt;N('設定'!$C$6),"⚠ 入庫日が過去です（もう在庫に入っています）→ 消してください",IF($P141&gt;N('設定'!$C$6)+13,"⚠ 入庫日が14日より先です",IF(N($Q141)&lt;=0,"⚠ 入庫数を入れてください",IF($CG141&gt;0,"⚠ 目安より "&amp;$CG141&amp;" 多い（定数を超える）→ 減らす",""))))))))</f>
        <v/>
      </c>
      <c r="CJ141">
        <f>IF($C141="","",IF(AND($S141="",$T141=""),"",IF($S141="","⚠ 2便目：入庫日を ▼ から選んでください",IF(NOT(ISNUMBER($S141)),"⚠ 2便目：入庫日は ▼ から選んでください",IF($S141&lt;N('設定'!$C$6),"⚠ 2便目：入庫日が過去です（もう在庫に入っています）→ 消してください",IF($S141&gt;N('設定'!$C$6)+13,"⚠ 2便目：入庫日が14日より先です",IF(N($T141)&lt;=0,"⚠ 2便目：入庫数を入れてください",IF($CH141&gt;0,"⚠ 2便目：定数を "&amp;$CH141&amp;" ケース超える → 減らす",""))))))))</f>
        <v/>
      </c>
      <c r="CK141">
        <f>IF(AND($CI141="",N($Q141)&gt;0,ISNUMBER($P141)),1,0)</f>
        <v/>
      </c>
      <c r="CL141">
        <f>IF(AND($CJ141="",N($T141)&gt;0,ISNUMBER($S141)),1,0)</f>
        <v/>
      </c>
      <c r="CM141">
        <f>IF(OR($CK141=1,$CL141=1),1,0)</f>
        <v/>
      </c>
      <c r="CN141">
        <f>IF($C141="",0,($CK141*$R141+$CL141*$U141)*N($H141))</f>
        <v/>
      </c>
      <c r="CO141">
        <f>IF($C141="","",IF($CC141="","入庫後は 14日以上もつ",IF($CC141-N('設定'!$C$7)&lt;='設定'!$C$6,"入庫後も "&amp;TEXT($CC141,"m/d")&amp;"("&amp;CHOOSE(WEEKDAY($CC141),"日","月","火","水","木","金","土")&amp;")"&amp;" に切れる　もう1便を至急発注","入庫後も "&amp;TEXT($CC141,"m/d")&amp;"("&amp;CHOOSE(WEEKDAY($CC141),"日","月","火","水","木","金","土")&amp;")"&amp;" に切れる　"&amp;TEXT($CC141-N('設定'!$C$7),"m/d")&amp;"("&amp;CHOOSE(WEEKDAY($CC141-N('設定'!$C$7)),"日","月","火","水","木","金","土")&amp;")"&amp;" までに次を発注")))</f>
        <v/>
      </c>
      <c r="CP141">
        <f>IF($C141="","",IF('設定'!$C$6="","？ ①在庫を貼る に今日のCSVが貼られていない",IF($CS141=1,"－ 今日のCSVに無い（終売？）",IF($L141&lt;0,"● 在庫がマイナス　数えて「数えた在庫」に入れる",IF($L141=0,"● 在庫なし　至急発注",IF($M141="","？ 減り数が未設定（商品マスタ）",IF($B$3=0,"？ 動員が未入力（動員を入れる）",IF($CA141="","○ 14日以上もつ",IF($BZ141&lt;N('設定'!$C$7),"● "&amp;TEXT($CA141,"m/d")&amp;"("&amp;CHOOSE(WEEKDAY($CA141),"日","月","火","水","木","金","土")&amp;")"&amp;" に切れる　至急発注",IF($BZ141=N('設定'!$C$7),"● "&amp;TEXT($CA141,"m/d")&amp;"("&amp;CHOOSE(WEEKDAY($CA141),"日","月","火","水","木","金","土")&amp;")"&amp;" に切れる　今日発注","△ "&amp;TEXT($CA141,"m/d")&amp;"("&amp;CHOOSE(WEEKDAY($CA141),"日","月","火","水","木","金","土")&amp;")"&amp;" に切れる　"&amp;TEXT($CA141-N('設定'!$C$7),"m/d")&amp;"("&amp;CHOOSE(WEEKDAY($CA141-N('設定'!$C$7)),"日","月","火","水","木","金","土")&amp;")"&amp;" までに発注"))))))))))</f>
        <v/>
      </c>
      <c r="CQ141">
        <f>IF($C141="","",IF(AND($P141="",$Q141="",$S141="",$T141=""),"",IF(AND($P141="",$Q141=""),"⚠ 先に1便目（左の入庫日・入庫数）に入れてください",IF($CI141&lt;&gt;"",$CI141,IF($CJ141&lt;&gt;"",$CJ141,IF($M141="","？ 減り数が未設定（発注書には載ります）",IF($B$3=0,"？ 動員が未入力（発注書には載ります）",IF(AND($CA141&lt;&gt;"",$P141&gt;$CA141),IF($P141&gt;'設定'!$C$6+N('設定'!$C$7),"● "&amp;TEXT($P141,"m/d")&amp;"("&amp;CHOOSE(WEEKDAY($P141),"日","月","火","水","木","金","土")&amp;")"&amp;" の入庫では間に合わない（"&amp;TEXT($CA141,"m/d")&amp;"("&amp;CHOOSE(WEEKDAY($CA141),"日","月","火","水","木","金","土")&amp;")"&amp;" に切れる）　入庫日を早める","△ 欠品 "&amp;TEXT($CA141,"m/d")&amp;"("&amp;CHOOSE(WEEKDAY($CA141),"日","月","火","水","木","金","土")&amp;")"&amp;"〜"&amp;TEXT($P141-1,"m/d")&amp;"("&amp;CHOOSE(WEEKDAY($P141-1),"日","月","火","水","木","金","土")&amp;")"&amp;"　"&amp;$CO141),IF($CC141="","○ "&amp;TEXT($P141,"m/d")&amp;"("&amp;CHOOSE(WEEKDAY($P141),"日","月","火","水","木","金","土")&amp;")"&amp;" 入庫で 14日以上もつ",IF($CC141-N('設定'!$C$7)&lt;='設定'!$C$6,"● 入庫しても "&amp;TEXT($CC141,"m/d")&amp;"("&amp;CHOOSE(WEEKDAY($CC141),"日","月","火","水","木","金","土")&amp;")"&amp;" に切れる　もう1便を至急発注（2便目に入れる）","△ 入庫しても "&amp;TEXT($CC141,"m/d")&amp;"("&amp;CHOOSE(WEEKDAY($CC141),"日","月","火","水","木","金","土")&amp;")"&amp;" に切れる　"&amp;TEXT($CC141-N('設定'!$C$7),"m/d")&amp;"("&amp;CHOOSE(WEEKDAY($CC141-N('設定'!$C$7)),"日","月","火","水","木","金","土")&amp;")"&amp;" までに次を発注（2便目に入れる）"))))))))))</f>
        <v/>
      </c>
      <c r="CR141">
        <f>IF($C141="","",IF($G141&gt;1,"ｹｰｽ("&amp;$G141&amp;"入)","個"))</f>
        <v/>
      </c>
      <c r="CS141">
        <f>IF($C141="",0,IF(COUNTIFS('①在庫を貼る'!$V$6:$V$10005,'設定'!$C$4,'①在庫を貼る'!$W$6:$W$10005,$C141)=0,1,0))</f>
        <v/>
      </c>
      <c r="CT141">
        <f>IF(AND($CK141=1,OR('③発注書'!$C$4="すべて",'③発注書'!$C$4="",$F141='③発注書'!$C$4)),N($CT140)+1,N($CT140))</f>
        <v/>
      </c>
      <c r="CU141">
        <f>IF(AND($CL141=1,OR('③発注書'!$C$4="すべて",'③発注書'!$C$4="",$F141='③発注書'!$C$4)),N($CU140)+1,N($CU140))</f>
        <v/>
      </c>
      <c r="CV141">
        <f>IF($C141="",0,IF(COUNTIFS('①在庫を貼る'!$V$6:$V$10005,'設定'!$C$4,'①在庫を貼る'!$W$6:$W$10005,$C141)&gt;0,1,0))</f>
        <v/>
      </c>
      <c r="CW141">
        <f>IF($C141="",0,IF(COUNTIFS('月1回_1ヶ月前の在庫'!$V$6:$V$10005,'設定'!$C$4,'月1回_1ヶ月前の在庫'!$W$6:$W$10005,$C141)&gt;0,1,0))</f>
        <v/>
      </c>
      <c r="CX141">
        <f>IF($C141="",0,IF(COUNTIFS('月1回_2ヶ月前の在庫'!$V$6:$V$10005,'設定'!$C$4,'月1回_2ヶ月前の在庫'!$W$6:$W$10005,$C141)&gt;0,1,0))</f>
        <v/>
      </c>
      <c r="CY141">
        <f>IF(OR($C141="",'設定'!$C$12=""),"",IF('設定'!$C$13="",IF(AND($CV141=1,$CW141=0),"新商品（今月から）",IF(AND($CV141=0,$CW141=1),"終売（今月から）","")),IF(AND($CV141=1,$CW141=0,$CX141=0),"新商品（今月から）",IF(AND($CV141=1,$CW141=1,$CX141=0),"新商品（先月から）",IF(AND($CV141=0,$CW141=1,$CX141=1),"終売（今月から）",IF(AND($CV141=0,$CW141=0,$CX141=1),"終売（先月から）",IF(AND($CV141=1,$CW141=0,$CX141=1),"復活（先月は無し）","")))))))</f>
        <v/>
      </c>
    </row>
    <row r="142">
      <c r="B142">
        <f>IF(137&lt;='設定'!$C$11,137,"")</f>
        <v/>
      </c>
      <c r="C142">
        <f>IF($B142="","",IF($B142&lt;='設定'!$C$20,INDEX('商品マスタ'!$B$6:$B$1005,MATCH($B142,'商品マスタ'!$M$6:$M$1005,0)),IF($B142&lt;='設定'!$C$20+'設定'!$C$17,INDEX('①在庫を貼る'!$W$6:$W$10005,MATCH($B142-'設定'!$C$20,'①在庫を貼る'!$U$6:$U$10005,0)),IF($B142&lt;='設定'!$C$20+'設定'!$C$17+'設定'!$C$18,INDEX('月1回_1ヶ月前の在庫'!$W$6:$W$10005,MATCH($B142-'設定'!$C$20-'設定'!$C$17,'月1回_1ヶ月前の在庫'!$U$6:$U$10005,0)),INDEX('月1回_2ヶ月前の在庫'!$W$6:$W$10005,MATCH($B142-'設定'!$C$20-'設定'!$C$17-'設定'!$C$18,'月1回_2ヶ月前の在庫'!$U$6:$U$10005,0))))))</f>
        <v/>
      </c>
      <c r="D142">
        <f>IF($C142="","",IFERROR(IF(INDEX('商品マスタ'!$C$6:$C$1005,MATCH($C142,'商品マスタ'!$B$6:$B$1005,0))="",IFERROR(INDEX('①在庫を貼る'!$J$6:$J$10005,MATCH($C142,'①在庫を貼る'!$W$6:$W$10005,0)),IFERROR(INDEX('月1回_1ヶ月前の在庫'!$J$6:$J$10005,MATCH($C142,'月1回_1ヶ月前の在庫'!$W$6:$W$10005,0)),IFERROR(INDEX('月1回_2ヶ月前の在庫'!$J$6:$J$10005,MATCH($C142,'月1回_2ヶ月前の在庫'!$W$6:$W$10005,0)),""))),INDEX('商品マスタ'!$C$6:$C$1005,MATCH($C142,'商品マスタ'!$B$6:$B$1005,0))),IFERROR(INDEX('①在庫を貼る'!$J$6:$J$10005,MATCH($C142,'①在庫を貼る'!$W$6:$W$10005,0)),IFERROR(INDEX('月1回_1ヶ月前の在庫'!$J$6:$J$10005,MATCH($C142,'月1回_1ヶ月前の在庫'!$W$6:$W$10005,0)),IFERROR(INDEX('月1回_2ヶ月前の在庫'!$J$6:$J$10005,MATCH($C142,'月1回_2ヶ月前の在庫'!$W$6:$W$10005,0)),"")))))</f>
        <v/>
      </c>
      <c r="E142">
        <f>IF($C142="","",IFERROR(IF(INDEX('商品マスタ'!$D$6:$D$1005,MATCH($C142,'商品マスタ'!$B$6:$B$1005,0))="",IFERROR(INDEX('①在庫を貼る'!$H$6:$H$10005,MATCH($C142,'①在庫を貼る'!$W$6:$W$10005,0)),IFERROR(INDEX('月1回_1ヶ月前の在庫'!$H$6:$H$10005,MATCH($C142,'月1回_1ヶ月前の在庫'!$W$6:$W$10005,0)),IFERROR(INDEX('月1回_2ヶ月前の在庫'!$H$6:$H$10005,MATCH($C142,'月1回_2ヶ月前の在庫'!$W$6:$W$10005,0)),""))),INDEX('商品マスタ'!$D$6:$D$1005,MATCH($C142,'商品マスタ'!$B$6:$B$1005,0))),IFERROR(INDEX('①在庫を貼る'!$H$6:$H$10005,MATCH($C142,'①在庫を貼る'!$W$6:$W$10005,0)),IFERROR(INDEX('月1回_1ヶ月前の在庫'!$H$6:$H$10005,MATCH($C142,'月1回_1ヶ月前の在庫'!$W$6:$W$10005,0)),IFERROR(INDEX('月1回_2ヶ月前の在庫'!$H$6:$H$10005,MATCH($C142,'月1回_2ヶ月前の在庫'!$W$6:$W$10005,0)),"")))))</f>
        <v/>
      </c>
      <c r="F142">
        <f>IF($C142="","",IFERROR(IF(INDEX('商品マスタ'!$E$6:$E$1005,MATCH($C142,'商品マスタ'!$B$6:$B$1005,0))="",IFERROR(INDEX('①在庫を貼る'!$E$6:$E$10005,MATCH($C142,'①在庫を貼る'!$W$6:$W$10005,0)),IFERROR(INDEX('月1回_1ヶ月前の在庫'!$E$6:$E$10005,MATCH($C142,'月1回_1ヶ月前の在庫'!$W$6:$W$10005,0)),IFERROR(INDEX('月1回_2ヶ月前の在庫'!$E$6:$E$10005,MATCH($C142,'月1回_2ヶ月前の在庫'!$W$6:$W$10005,0)),""))),INDEX('商品マスタ'!$E$6:$E$1005,MATCH($C142,'商品マスタ'!$B$6:$B$1005,0))),IFERROR(INDEX('①在庫を貼る'!$E$6:$E$10005,MATCH($C142,'①在庫を貼る'!$W$6:$W$10005,0)),IFERROR(INDEX('月1回_1ヶ月前の在庫'!$E$6:$E$10005,MATCH($C142,'月1回_1ヶ月前の在庫'!$W$6:$W$10005,0)),IFERROR(INDEX('月1回_2ヶ月前の在庫'!$E$6:$E$10005,MATCH($C142,'月1回_2ヶ月前の在庫'!$W$6:$W$10005,0)),"")))))</f>
        <v/>
      </c>
      <c r="G142">
        <f>IF($C142="","",MAX(1,N(IFERROR(IF(INDEX('商品マスタ'!$F$6:$F$1005,MATCH($C142,'商品マスタ'!$B$6:$B$1005,0))="",IF(COUNTIFS('①在庫を貼る'!$V$6:$V$10005,'設定'!$C$4,'①在庫を貼る'!$W$6:$W$10005,$C142)&gt;0,SUMIFS('①在庫を貼る'!$K$6:$K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K$6:$K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K$6:$K$10005,'月1回_2ヶ月前の在庫'!$V$6:$V$10005,'設定'!$C$4,'月1回_2ヶ月前の在庫'!$W$6:$W$10005,$C142)/COUNTIFS('月1回_2ヶ月前の在庫'!$V$6:$V$10005,'設定'!$C$4,'月1回_2ヶ月前の在庫'!$W$6:$W$10005,$C142),0))),INDEX('商品マスタ'!$F$6:$F$1005,MATCH($C142,'商品マスタ'!$B$6:$B$1005,0))),IF(COUNTIFS('①在庫を貼る'!$V$6:$V$10005,'設定'!$C$4,'①在庫を貼る'!$W$6:$W$10005,$C142)&gt;0,SUMIFS('①在庫を貼る'!$K$6:$K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K$6:$K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K$6:$K$10005,'月1回_2ヶ月前の在庫'!$V$6:$V$10005,'設定'!$C$4,'月1回_2ヶ月前の在庫'!$W$6:$W$10005,$C142)/COUNTIFS('月1回_2ヶ月前の在庫'!$V$6:$V$10005,'設定'!$C$4,'月1回_2ヶ月前の在庫'!$W$6:$W$10005,$C142),0)))))))</f>
        <v/>
      </c>
      <c r="H142">
        <f>IF($C142="","",N(IFERROR(IF(INDEX('商品マスタ'!$G$6:$G$1005,MATCH($C142,'商品マスタ'!$B$6:$B$1005,0))="",IF(COUNTIFS('①在庫を貼る'!$V$6:$V$10005,'設定'!$C$4,'①在庫を貼る'!$W$6:$W$10005,$C142)&gt;0,SUMIFS('①在庫を貼る'!$Q$6:$Q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Q$6:$Q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Q$6:$Q$10005,'月1回_2ヶ月前の在庫'!$V$6:$V$10005,'設定'!$C$4,'月1回_2ヶ月前の在庫'!$W$6:$W$10005,$C142)/COUNTIFS('月1回_2ヶ月前の在庫'!$V$6:$V$10005,'設定'!$C$4,'月1回_2ヶ月前の在庫'!$W$6:$W$10005,$C142),0))),INDEX('商品マスタ'!$G$6:$G$1005,MATCH($C142,'商品マスタ'!$B$6:$B$1005,0))),IF(COUNTIFS('①在庫を貼る'!$V$6:$V$10005,'設定'!$C$4,'①在庫を貼る'!$W$6:$W$10005,$C142)&gt;0,SUMIFS('①在庫を貼る'!$Q$6:$Q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Q$6:$Q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Q$6:$Q$10005,'月1回_2ヶ月前の在庫'!$V$6:$V$10005,'設定'!$C$4,'月1回_2ヶ月前の在庫'!$W$6:$W$10005,$C142)/COUNTIFS('月1回_2ヶ月前の在庫'!$V$6:$V$10005,'設定'!$C$4,'月1回_2ヶ月前の在庫'!$W$6:$W$10005,$C142),0))))))</f>
        <v/>
      </c>
      <c r="I142">
        <f>IF($C142="","",IF(COUNTIFS('①在庫を貼る'!$V$6:$V$10005,'設定'!$C$4,'①在庫を貼る'!$W$6:$W$10005,$C142)=0,"",SUMIFS('①在庫を貼る'!$N$6:$N$10005,'①在庫を貼る'!$V$6:$V$10005,'設定'!$C$4,'①在庫を貼る'!$W$6:$W$10005,$C142)))</f>
        <v/>
      </c>
      <c r="J142">
        <f>IF($C142="","",IF('②発注する'!$AD146="","",'②発注する'!$AD146))</f>
        <v/>
      </c>
      <c r="K142" s="90">
        <f>IF($C142="","",IF('②発注する'!$AE146="","",'②発注する'!$AE146))</f>
        <v/>
      </c>
      <c r="L142">
        <f>IF($C142="","",IF(AND(ISNUMBER($J142),ISNUMBER($K142),$K142&gt;='設定'!$C$6),$J142,N($I142)))</f>
        <v/>
      </c>
      <c r="M142">
        <f>IF($C142="","",IFERROR(IF(N(INDEX('商品マスタ'!$J$6:$J$1005,MATCH($C142,'商品マスタ'!$B$6:$B$1005,0)))&gt;0,INDEX('商品マスタ'!$J$6:$J$1005,MATCH($C142,'商品マスタ'!$B$6:$B$1005,0)),""),""))</f>
        <v/>
      </c>
      <c r="N142">
        <f>IF($C142="","",IFERROR(IF(N(INDEX('商品マスタ'!$H$6:$H$1005,MATCH($C142,'商品マスタ'!$B$6:$B$1005,0)))&gt;0,INDEX('商品マスタ'!$H$6:$H$1005,MATCH($C142,'商品マスタ'!$B$6:$B$1005,0)),""),""))</f>
        <v/>
      </c>
      <c r="O142">
        <f>IF($C142="","",IF($N142&lt;&gt;"",$N142*$G142,IF(N(IF(COUNTIFS('①在庫を貼る'!$V$6:$V$10005,'設定'!$C$4,'①在庫を貼る'!$W$6:$W$10005,$C142)&gt;0,SUMIFS('①在庫を貼る'!$O$6:$O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O$6:$O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O$6:$O$10005,'月1回_2ヶ月前の在庫'!$V$6:$V$10005,'設定'!$C$4,'月1回_2ヶ月前の在庫'!$W$6:$W$10005,$C142)/COUNTIFS('月1回_2ヶ月前の在庫'!$V$6:$V$10005,'設定'!$C$4,'月1回_2ヶ月前の在庫'!$W$6:$W$10005,$C142),0))))&gt;0,N(IF(COUNTIFS('①在庫を貼る'!$V$6:$V$10005,'設定'!$C$4,'①在庫を貼る'!$W$6:$W$10005,$C142)&gt;0,SUMIFS('①在庫を貼る'!$O$6:$O$10005,'①在庫を貼る'!$V$6:$V$10005,'設定'!$C$4,'①在庫を貼る'!$W$6:$W$10005,$C142)/COUNTIFS('①在庫を貼る'!$V$6:$V$10005,'設定'!$C$4,'①在庫を貼る'!$W$6:$W$10005,$C142),IF(COUNTIFS('月1回_1ヶ月前の在庫'!$V$6:$V$10005,'設定'!$C$4,'月1回_1ヶ月前の在庫'!$W$6:$W$10005,$C142)&gt;0,SUMIFS('月1回_1ヶ月前の在庫'!$O$6:$O$10005,'月1回_1ヶ月前の在庫'!$V$6:$V$10005,'設定'!$C$4,'月1回_1ヶ月前の在庫'!$W$6:$W$10005,$C142)/COUNTIFS('月1回_1ヶ月前の在庫'!$V$6:$V$10005,'設定'!$C$4,'月1回_1ヶ月前の在庫'!$W$6:$W$10005,$C142),IF(COUNTIFS('月1回_2ヶ月前の在庫'!$V$6:$V$10005,'設定'!$C$4,'月1回_2ヶ月前の在庫'!$W$6:$W$10005,$C142)&gt;0,SUMIFS('月1回_2ヶ月前の在庫'!$O$6:$O$10005,'月1回_2ヶ月前の在庫'!$V$6:$V$10005,'設定'!$C$4,'月1回_2ヶ月前の在庫'!$W$6:$W$10005,$C142)/COUNTIFS('月1回_2ヶ月前の在庫'!$V$6:$V$10005,'設定'!$C$4,'月1回_2ヶ月前の在庫'!$W$6:$W$10005,$C142),0)))),"")))</f>
        <v/>
      </c>
      <c r="P142" s="90">
        <f>IF($C142="","",IF('②発注する'!$I146="","",'②発注する'!$I146))</f>
        <v/>
      </c>
      <c r="Q142">
        <f>IF($C142="","",IF('②発注する'!$J146="","",'②発注する'!$J146))</f>
        <v/>
      </c>
      <c r="R142">
        <f>IF($C142="",0,IF(AND(ISNUMBER($P142),ISNUMBER($Q142)),MAX(0,$Q142)*$G142,0))</f>
        <v/>
      </c>
      <c r="S142" s="90">
        <f>IF($C142="","",IF('②発注する'!$M146="","",'②発注する'!$M146))</f>
        <v/>
      </c>
      <c r="T142">
        <f>IF($C142="","",IF('②発注する'!$N146="","",'②発注する'!$N146))</f>
        <v/>
      </c>
      <c r="U142">
        <f>IF($C142="",0,IF(AND(ISNUMBER($S142),ISNUMBER($T142)),MAX(0,$T142)*$G142,0))</f>
        <v/>
      </c>
      <c r="V142">
        <f>IF($C142="",0,IF($M142="",0,MAX(0,$M142)*MAX(0,V$4)/100))</f>
        <v/>
      </c>
      <c r="W142">
        <f>IF($C142="",0,IF($M142="",0,MAX(0,$M142)*MAX(0,W$4)/100))</f>
        <v/>
      </c>
      <c r="X142">
        <f>IF($C142="",0,IF($M142="",0,MAX(0,$M142)*MAX(0,X$4)/100))</f>
        <v/>
      </c>
      <c r="Y142">
        <f>IF($C142="",0,IF($M142="",0,MAX(0,$M142)*MAX(0,Y$4)/100))</f>
        <v/>
      </c>
      <c r="Z142">
        <f>IF($C142="",0,IF($M142="",0,MAX(0,$M142)*MAX(0,Z$4)/100))</f>
        <v/>
      </c>
      <c r="AA142">
        <f>IF($C142="",0,IF($M142="",0,MAX(0,$M142)*MAX(0,AA$4)/100))</f>
        <v/>
      </c>
      <c r="AB142">
        <f>IF($C142="",0,IF($M142="",0,MAX(0,$M142)*MAX(0,AB$4)/100))</f>
        <v/>
      </c>
      <c r="AC142">
        <f>IF($C142="",0,IF($M142="",0,MAX(0,$M142)*MAX(0,AC$4)/100))</f>
        <v/>
      </c>
      <c r="AD142">
        <f>IF($C142="",0,IF($M142="",0,MAX(0,$M142)*MAX(0,AD$4)/100))</f>
        <v/>
      </c>
      <c r="AE142">
        <f>IF($C142="",0,IF($M142="",0,MAX(0,$M142)*MAX(0,AE$4)/100))</f>
        <v/>
      </c>
      <c r="AF142">
        <f>IF($C142="",0,IF($M142="",0,MAX(0,$M142)*MAX(0,AF$4)/100))</f>
        <v/>
      </c>
      <c r="AG142">
        <f>IF($C142="",0,IF($M142="",0,MAX(0,$M142)*MAX(0,AG$4)/100))</f>
        <v/>
      </c>
      <c r="AH142">
        <f>IF($C142="",0,IF($M142="",0,MAX(0,$M142)*MAX(0,AH$4)/100))</f>
        <v/>
      </c>
      <c r="AI142">
        <f>IF($C142="",0,IF($M142="",0,MAX(0,$M142)*MAX(0,AI$4)/100))</f>
        <v/>
      </c>
      <c r="AJ142">
        <f>IF($C142="",0,MAX(0,MAX(0,N($L142))-$V142))</f>
        <v/>
      </c>
      <c r="AK142">
        <f>IF($C142="",0,MAX(0,$AJ142-$W142))</f>
        <v/>
      </c>
      <c r="AL142">
        <f>IF($C142="",0,MAX(0,$AK142-$X142))</f>
        <v/>
      </c>
      <c r="AM142">
        <f>IF($C142="",0,MAX(0,$AL142-$Y142))</f>
        <v/>
      </c>
      <c r="AN142">
        <f>IF($C142="",0,MAX(0,$AM142-$Z142))</f>
        <v/>
      </c>
      <c r="AO142">
        <f>IF($C142="",0,MAX(0,$AN142-$AA142))</f>
        <v/>
      </c>
      <c r="AP142">
        <f>IF($C142="",0,MAX(0,$AO142-$AB142))</f>
        <v/>
      </c>
      <c r="AQ142">
        <f>IF($C142="",0,MAX(0,$AP142-$AC142))</f>
        <v/>
      </c>
      <c r="AR142">
        <f>IF($C142="",0,MAX(0,$AQ142-$AD142))</f>
        <v/>
      </c>
      <c r="AS142">
        <f>IF($C142="",0,MAX(0,$AR142-$AE142))</f>
        <v/>
      </c>
      <c r="AT142">
        <f>IF($C142="",0,MAX(0,$AS142-$AF142))</f>
        <v/>
      </c>
      <c r="AU142">
        <f>IF($C142="",0,MAX(0,$AT142-$AG142))</f>
        <v/>
      </c>
      <c r="AV142">
        <f>IF($C142="",0,MAX(0,$AU142-$AH142))</f>
        <v/>
      </c>
      <c r="AW142">
        <f>IF($C142="",0,MAX(0,$AV142-$AI142))</f>
        <v/>
      </c>
      <c r="AX142">
        <f>IF($C142="",0,MAX(0,MAX(0,N($L142))+IF($P142=V$3,$R142,0)+IF($S142=V$3,$U142,0)-$V142))</f>
        <v/>
      </c>
      <c r="AY142">
        <f>IF($C142="",0,MAX(0,$AX142+IF($P142=W$3,$R142,0)+IF($S142=W$3,$U142,0)-$W142))</f>
        <v/>
      </c>
      <c r="AZ142">
        <f>IF($C142="",0,MAX(0,$AY142+IF($P142=X$3,$R142,0)+IF($S142=X$3,$U142,0)-$X142))</f>
        <v/>
      </c>
      <c r="BA142">
        <f>IF($C142="",0,MAX(0,$AZ142+IF($P142=Y$3,$R142,0)+IF($S142=Y$3,$U142,0)-$Y142))</f>
        <v/>
      </c>
      <c r="BB142">
        <f>IF($C142="",0,MAX(0,$BA142+IF($P142=Z$3,$R142,0)+IF($S142=Z$3,$U142,0)-$Z142))</f>
        <v/>
      </c>
      <c r="BC142">
        <f>IF($C142="",0,MAX(0,$BB142+IF($P142=AA$3,$R142,0)+IF($S142=AA$3,$U142,0)-$AA142))</f>
        <v/>
      </c>
      <c r="BD142">
        <f>IF($C142="",0,MAX(0,$BC142+IF($P142=AB$3,$R142,0)+IF($S142=AB$3,$U142,0)-$AB142))</f>
        <v/>
      </c>
      <c r="BE142">
        <f>IF($C142="",0,MAX(0,$BD142+IF($P142=AC$3,$R142,0)+IF($S142=AC$3,$U142,0)-$AC142))</f>
        <v/>
      </c>
      <c r="BF142">
        <f>IF($C142="",0,MAX(0,$BE142+IF($P142=AD$3,$R142,0)+IF($S142=AD$3,$U142,0)-$AD142))</f>
        <v/>
      </c>
      <c r="BG142">
        <f>IF($C142="",0,MAX(0,$BF142+IF($P142=AE$3,$R142,0)+IF($S142=AE$3,$U142,0)-$AE142))</f>
        <v/>
      </c>
      <c r="BH142">
        <f>IF($C142="",0,MAX(0,$BG142+IF($P142=AF$3,$R142,0)+IF($S142=AF$3,$U142,0)-$AF142))</f>
        <v/>
      </c>
      <c r="BI142">
        <f>IF($C142="",0,MAX(0,$BH142+IF($P142=AG$3,$R142,0)+IF($S142=AG$3,$U142,0)-$AG142))</f>
        <v/>
      </c>
      <c r="BJ142">
        <f>IF($C142="",0,MAX(0,$BI142+IF($P142=AH$3,$R142,0)+IF($S142=AH$3,$U142,0)-$AH142))</f>
        <v/>
      </c>
      <c r="BK142">
        <f>IF($C142="",0,MAX(0,$BJ142+IF($P142=AI$3,$R142,0)+IF($S142=AI$3,$U142,0)-$AI142))</f>
        <v/>
      </c>
      <c r="BL142">
        <f>IF($C142="",99,IF(AND($AX142&lt;1,V$3&gt;=MAX(N($P142),N($S142))),0,99))</f>
        <v/>
      </c>
      <c r="BM142">
        <f>IF($C142="",99,IF(AND($AY142&lt;1,W$3&gt;=MAX(N($P142),N($S142))),1,99))</f>
        <v/>
      </c>
      <c r="BN142">
        <f>IF($C142="",99,IF(AND($AZ142&lt;1,X$3&gt;=MAX(N($P142),N($S142))),2,99))</f>
        <v/>
      </c>
      <c r="BO142">
        <f>IF($C142="",99,IF(AND($BA142&lt;1,Y$3&gt;=MAX(N($P142),N($S142))),3,99))</f>
        <v/>
      </c>
      <c r="BP142">
        <f>IF($C142="",99,IF(AND($BB142&lt;1,Z$3&gt;=MAX(N($P142),N($S142))),4,99))</f>
        <v/>
      </c>
      <c r="BQ142">
        <f>IF($C142="",99,IF(AND($BC142&lt;1,AA$3&gt;=MAX(N($P142),N($S142))),5,99))</f>
        <v/>
      </c>
      <c r="BR142">
        <f>IF($C142="",99,IF(AND($BD142&lt;1,AB$3&gt;=MAX(N($P142),N($S142))),6,99))</f>
        <v/>
      </c>
      <c r="BS142">
        <f>IF($C142="",99,IF(AND($BE142&lt;1,AC$3&gt;=MAX(N($P142),N($S142))),7,99))</f>
        <v/>
      </c>
      <c r="BT142">
        <f>IF($C142="",99,IF(AND($BF142&lt;1,AD$3&gt;=MAX(N($P142),N($S142))),8,99))</f>
        <v/>
      </c>
      <c r="BU142">
        <f>IF($C142="",99,IF(AND($BG142&lt;1,AE$3&gt;=MAX(N($P142),N($S142))),9,99))</f>
        <v/>
      </c>
      <c r="BV142">
        <f>IF($C142="",99,IF(AND($BH142&lt;1,AF$3&gt;=MAX(N($P142),N($S142))),10,99))</f>
        <v/>
      </c>
      <c r="BW142">
        <f>IF($C142="",99,IF(AND($BI142&lt;1,AG$3&gt;=MAX(N($P142),N($S142))),11,99))</f>
        <v/>
      </c>
      <c r="BX142">
        <f>IF($C142="",99,IF(AND($BJ142&lt;1,AH$3&gt;=MAX(N($P142),N($S142))),12,99))</f>
        <v/>
      </c>
      <c r="BY142">
        <f>IF($C142="",99,IF(AND($BK142&lt;1,AI$3&gt;=MAX(N($P142),N($S142))),13,99))</f>
        <v/>
      </c>
      <c r="BZ142">
        <f>IF(OR($C142="",$M142=""),"",COUNTIF($AJ142:$AW142,"&gt;=1"))</f>
        <v/>
      </c>
      <c r="CA142" s="90">
        <f>IF($BZ142="","",IF($BZ142&gt;=14,"",'設定'!$C$6+$BZ142))</f>
        <v/>
      </c>
      <c r="CB142">
        <f>IF(OR($C142="",$M142=""),"",MIN($BL142:$BY142))</f>
        <v/>
      </c>
      <c r="CC142" s="90">
        <f>IF($CB142="","",IF($CB142&gt;=99,"",'設定'!$C$6+$CB142))</f>
        <v/>
      </c>
      <c r="CD142">
        <f>IF(OR($C142="",$M142=""),"",AVERAGE($V142:$AI142))</f>
        <v/>
      </c>
      <c r="CE142">
        <f>IF($C142="","",IFERROR(IF(MATCH(IF(ISNUMBER($P142),$P142,'設定'!$C$6+N('設定'!$C$7)),$V$3:$AI$3,0)=1,MAX(0,N($L142)),INDEX($AJ142:$AW142,MATCH(IF(ISNUMBER($P142),$P142,'設定'!$C$6+N('設定'!$C$7)),$V$3:$AI$3,0)-1)),""))</f>
        <v/>
      </c>
      <c r="CF142">
        <f>IF(OR($C142="",$O142="",$CE142=""),"",IF($O142-$CE142&lt;=0,0,ROUNDUP(($O142-$CE142)/$G142,0)))</f>
        <v/>
      </c>
      <c r="CG142">
        <f>IF(OR($C142="",$CF142="",NOT(ISNUMBER($Q142))),0,MAX(0,$Q142-$CF142))</f>
        <v/>
      </c>
      <c r="CH142">
        <f>IF(OR($C142="",$O142="",$U142=0),0,IFERROR(ROUNDUP(MAX(0,IF(MATCH($S142,$V$3:$AI$3,0)=1,MAX(0,N($L142)),INDEX($AX142:$BK142,MATCH($S142,$V$3:$AI$3,0)-1))+$U142-$O142)/$G142,0),0))</f>
        <v/>
      </c>
      <c r="CI142">
        <f>IF($C142="","",IF(AND($P142="",$Q142=""),"",IF($P142="","⚠ 入庫日を ▼ から選んでください",IF(NOT(ISNUMBER($P142)),"⚠ 入庫日は ▼ から選んでください",IF($P142&lt;N('設定'!$C$6),"⚠ 入庫日が過去です（もう在庫に入っています）→ 消してください",IF($P142&gt;N('設定'!$C$6)+13,"⚠ 入庫日が14日より先です",IF(N($Q142)&lt;=0,"⚠ 入庫数を入れてください",IF($CG142&gt;0,"⚠ 目安より "&amp;$CG142&amp;" 多い（定数を超える）→ 減らす",""))))))))</f>
        <v/>
      </c>
      <c r="CJ142">
        <f>IF($C142="","",IF(AND($S142="",$T142=""),"",IF($S142="","⚠ 2便目：入庫日を ▼ から選んでください",IF(NOT(ISNUMBER($S142)),"⚠ 2便目：入庫日は ▼ から選んでください",IF($S142&lt;N('設定'!$C$6),"⚠ 2便目：入庫日が過去です（もう在庫に入っています）→ 消してください",IF($S142&gt;N('設定'!$C$6)+13,"⚠ 2便目：入庫日が14日より先です",IF(N($T142)&lt;=0,"⚠ 2便目：入庫数を入れてください",IF($CH142&gt;0,"⚠ 2便目：定数を "&amp;$CH142&amp;" ケース超える → 減らす",""))))))))</f>
        <v/>
      </c>
      <c r="CK142">
        <f>IF(AND($CI142="",N($Q142)&gt;0,ISNUMBER($P142)),1,0)</f>
        <v/>
      </c>
      <c r="CL142">
        <f>IF(AND($CJ142="",N($T142)&gt;0,ISNUMBER($S142)),1,0)</f>
        <v/>
      </c>
      <c r="CM142">
        <f>IF(OR($CK142=1,$CL142=1),1,0)</f>
        <v/>
      </c>
      <c r="CN142">
        <f>IF($C142="",0,($CK142*$R142+$CL142*$U142)*N($H142))</f>
        <v/>
      </c>
      <c r="CO142">
        <f>IF($C142="","",IF($CC142="","入庫後は 14日以上もつ",IF($CC142-N('設定'!$C$7)&lt;='設定'!$C$6,"入庫後も "&amp;TEXT($CC142,"m/d")&amp;"("&amp;CHOOSE(WEEKDAY($CC142),"日","月","火","水","木","金","土")&amp;")"&amp;" に切れる　もう1便を至急発注","入庫後も "&amp;TEXT($CC142,"m/d")&amp;"("&amp;CHOOSE(WEEKDAY($CC142),"日","月","火","水","木","金","土")&amp;")"&amp;" に切れる　"&amp;TEXT($CC142-N('設定'!$C$7),"m/d")&amp;"("&amp;CHOOSE(WEEKDAY($CC142-N('設定'!$C$7)),"日","月","火","水","木","金","土")&amp;")"&amp;" までに次を発注")))</f>
        <v/>
      </c>
      <c r="CP142">
        <f>IF($C142="","",IF('設定'!$C$6="","？ ①在庫を貼る に今日のCSVが貼られていない",IF($CS142=1,"－ 今日のCSVに無い（終売？）",IF($L142&lt;0,"● 在庫がマイナス　数えて「数えた在庫」に入れる",IF($L142=0,"● 在庫なし　至急発注",IF($M142="","？ 減り数が未設定（商品マスタ）",IF($B$3=0,"？ 動員が未入力（動員を入れる）",IF($CA142="","○ 14日以上もつ",IF($BZ142&lt;N('設定'!$C$7),"● "&amp;TEXT($CA142,"m/d")&amp;"("&amp;CHOOSE(WEEKDAY($CA142),"日","月","火","水","木","金","土")&amp;")"&amp;" に切れる　至急発注",IF($BZ142=N('設定'!$C$7),"● "&amp;TEXT($CA142,"m/d")&amp;"("&amp;CHOOSE(WEEKDAY($CA142),"日","月","火","水","木","金","土")&amp;")"&amp;" に切れる　今日発注","△ "&amp;TEXT($CA142,"m/d")&amp;"("&amp;CHOOSE(WEEKDAY($CA142),"日","月","火","水","木","金","土")&amp;")"&amp;" に切れる　"&amp;TEXT($CA142-N('設定'!$C$7),"m/d")&amp;"("&amp;CHOOSE(WEEKDAY($CA142-N('設定'!$C$7)),"日","月","火","水","木","金","土")&amp;")"&amp;" までに発注"))))))))))</f>
        <v/>
      </c>
      <c r="CQ142">
        <f>IF($C142="","",IF(AND($P142="",$Q142="",$S142="",$T142=""),"",IF(AND($P142="",$Q142=""),"⚠ 先に1便目（左の入庫日・入庫数）に入れてください",IF($CI142&lt;&gt;"",$CI142,IF($CJ142&lt;&gt;"",$CJ142,IF($M142="","？ 減り数が未設定（発注書には載ります）",IF($B$3=0,"？ 動員が未入力（発注書には載ります）",IF(AND($CA142&lt;&gt;"",$P142&gt;$CA142),IF($P142&gt;'設定'!$C$6+N('設定'!$C$7),"● "&amp;TEXT($P142,"m/d")&amp;"("&amp;CHOOSE(WEEKDAY($P142),"日","月","火","水","木","金","土")&amp;")"&amp;" の入庫では間に合わない（"&amp;TEXT($CA142,"m/d")&amp;"("&amp;CHOOSE(WEEKDAY($CA142),"日","月","火","水","木","金","土")&amp;")"&amp;" に切れる）　入庫日を早める","△ 欠品 "&amp;TEXT($CA142,"m/d")&amp;"("&amp;CHOOSE(WEEKDAY($CA142),"日","月","火","水","木","金","土")&amp;")"&amp;"〜"&amp;TEXT($P142-1,"m/d")&amp;"("&amp;CHOOSE(WEEKDAY($P142-1),"日","月","火","水","木","金","土")&amp;")"&amp;"　"&amp;$CO142),IF($CC142="","○ "&amp;TEXT($P142,"m/d")&amp;"("&amp;CHOOSE(WEEKDAY($P142),"日","月","火","水","木","金","土")&amp;")"&amp;" 入庫で 14日以上もつ",IF($CC142-N('設定'!$C$7)&lt;='設定'!$C$6,"● 入庫しても "&amp;TEXT($CC142,"m/d")&amp;"("&amp;CHOOSE(WEEKDAY($CC142),"日","月","火","水","木","金","土")&amp;")"&amp;" に切れる　もう1便を至急発注（2便目に入れる）","△ 入庫しても "&amp;TEXT($CC142,"m/d")&amp;"("&amp;CHOOSE(WEEKDAY($CC142),"日","月","火","水","木","金","土")&amp;")"&amp;" に切れる　"&amp;TEXT($CC142-N('設定'!$C$7),"m/d")&amp;"("&amp;CHOOSE(WEEKDAY($CC142-N('設定'!$C$7)),"日","月","火","水","木","金","土")&amp;")"&amp;" までに次を発注（2便目に入れる）"))))))))))</f>
        <v/>
      </c>
      <c r="CR142">
        <f>IF($C142="","",IF($G142&gt;1,"ｹｰｽ("&amp;$G142&amp;"入)","個"))</f>
        <v/>
      </c>
      <c r="CS142">
        <f>IF($C142="",0,IF(COUNTIFS('①在庫を貼る'!$V$6:$V$10005,'設定'!$C$4,'①在庫を貼る'!$W$6:$W$10005,$C142)=0,1,0))</f>
        <v/>
      </c>
      <c r="CT142">
        <f>IF(AND($CK142=1,OR('③発注書'!$C$4="すべて",'③発注書'!$C$4="",$F142='③発注書'!$C$4)),N($CT141)+1,N($CT141))</f>
        <v/>
      </c>
      <c r="CU142">
        <f>IF(AND($CL142=1,OR('③発注書'!$C$4="すべて",'③発注書'!$C$4="",$F142='③発注書'!$C$4)),N($CU141)+1,N($CU141))</f>
        <v/>
      </c>
      <c r="CV142">
        <f>IF($C142="",0,IF(COUNTIFS('①在庫を貼る'!$V$6:$V$10005,'設定'!$C$4,'①在庫を貼る'!$W$6:$W$10005,$C142)&gt;0,1,0))</f>
        <v/>
      </c>
      <c r="CW142">
        <f>IF($C142="",0,IF(COUNTIFS('月1回_1ヶ月前の在庫'!$V$6:$V$10005,'設定'!$C$4,'月1回_1ヶ月前の在庫'!$W$6:$W$10005,$C142)&gt;0,1,0))</f>
        <v/>
      </c>
      <c r="CX142">
        <f>IF($C142="",0,IF(COUNTIFS('月1回_2ヶ月前の在庫'!$V$6:$V$10005,'設定'!$C$4,'月1回_2ヶ月前の在庫'!$W$6:$W$10005,$C142)&gt;0,1,0))</f>
        <v/>
      </c>
      <c r="CY142">
        <f>IF(OR($C142="",'設定'!$C$12=""),"",IF('設定'!$C$13="",IF(AND($CV142=1,$CW142=0),"新商品（今月から）",IF(AND($CV142=0,$CW142=1),"終売（今月から）","")),IF(AND($CV142=1,$CW142=0,$CX142=0),"新商品（今月から）",IF(AND($CV142=1,$CW142=1,$CX142=0),"新商品（先月から）",IF(AND($CV142=0,$CW142=1,$CX142=1),"終売（今月から）",IF(AND($CV142=0,$CW142=0,$CX142=1),"終売（先月から）",IF(AND($CV142=1,$CW142=0,$CX142=1),"復活（先月は無し）","")))))))</f>
        <v/>
      </c>
    </row>
    <row r="143">
      <c r="B143">
        <f>IF(138&lt;='設定'!$C$11,138,"")</f>
        <v/>
      </c>
      <c r="C143">
        <f>IF($B143="","",IF($B143&lt;='設定'!$C$20,INDEX('商品マスタ'!$B$6:$B$1005,MATCH($B143,'商品マスタ'!$M$6:$M$1005,0)),IF($B143&lt;='設定'!$C$20+'設定'!$C$17,INDEX('①在庫を貼る'!$W$6:$W$10005,MATCH($B143-'設定'!$C$20,'①在庫を貼る'!$U$6:$U$10005,0)),IF($B143&lt;='設定'!$C$20+'設定'!$C$17+'設定'!$C$18,INDEX('月1回_1ヶ月前の在庫'!$W$6:$W$10005,MATCH($B143-'設定'!$C$20-'設定'!$C$17,'月1回_1ヶ月前の在庫'!$U$6:$U$10005,0)),INDEX('月1回_2ヶ月前の在庫'!$W$6:$W$10005,MATCH($B143-'設定'!$C$20-'設定'!$C$17-'設定'!$C$18,'月1回_2ヶ月前の在庫'!$U$6:$U$10005,0))))))</f>
        <v/>
      </c>
      <c r="D143">
        <f>IF($C143="","",IFERROR(IF(INDEX('商品マスタ'!$C$6:$C$1005,MATCH($C143,'商品マスタ'!$B$6:$B$1005,0))="",IFERROR(INDEX('①在庫を貼る'!$J$6:$J$10005,MATCH($C143,'①在庫を貼る'!$W$6:$W$10005,0)),IFERROR(INDEX('月1回_1ヶ月前の在庫'!$J$6:$J$10005,MATCH($C143,'月1回_1ヶ月前の在庫'!$W$6:$W$10005,0)),IFERROR(INDEX('月1回_2ヶ月前の在庫'!$J$6:$J$10005,MATCH($C143,'月1回_2ヶ月前の在庫'!$W$6:$W$10005,0)),""))),INDEX('商品マスタ'!$C$6:$C$1005,MATCH($C143,'商品マスタ'!$B$6:$B$1005,0))),IFERROR(INDEX('①在庫を貼る'!$J$6:$J$10005,MATCH($C143,'①在庫を貼る'!$W$6:$W$10005,0)),IFERROR(INDEX('月1回_1ヶ月前の在庫'!$J$6:$J$10005,MATCH($C143,'月1回_1ヶ月前の在庫'!$W$6:$W$10005,0)),IFERROR(INDEX('月1回_2ヶ月前の在庫'!$J$6:$J$10005,MATCH($C143,'月1回_2ヶ月前の在庫'!$W$6:$W$10005,0)),"")))))</f>
        <v/>
      </c>
      <c r="E143">
        <f>IF($C143="","",IFERROR(IF(INDEX('商品マスタ'!$D$6:$D$1005,MATCH($C143,'商品マスタ'!$B$6:$B$1005,0))="",IFERROR(INDEX('①在庫を貼る'!$H$6:$H$10005,MATCH($C143,'①在庫を貼る'!$W$6:$W$10005,0)),IFERROR(INDEX('月1回_1ヶ月前の在庫'!$H$6:$H$10005,MATCH($C143,'月1回_1ヶ月前の在庫'!$W$6:$W$10005,0)),IFERROR(INDEX('月1回_2ヶ月前の在庫'!$H$6:$H$10005,MATCH($C143,'月1回_2ヶ月前の在庫'!$W$6:$W$10005,0)),""))),INDEX('商品マスタ'!$D$6:$D$1005,MATCH($C143,'商品マスタ'!$B$6:$B$1005,0))),IFERROR(INDEX('①在庫を貼る'!$H$6:$H$10005,MATCH($C143,'①在庫を貼る'!$W$6:$W$10005,0)),IFERROR(INDEX('月1回_1ヶ月前の在庫'!$H$6:$H$10005,MATCH($C143,'月1回_1ヶ月前の在庫'!$W$6:$W$10005,0)),IFERROR(INDEX('月1回_2ヶ月前の在庫'!$H$6:$H$10005,MATCH($C143,'月1回_2ヶ月前の在庫'!$W$6:$W$10005,0)),"")))))</f>
        <v/>
      </c>
      <c r="F143">
        <f>IF($C143="","",IFERROR(IF(INDEX('商品マスタ'!$E$6:$E$1005,MATCH($C143,'商品マスタ'!$B$6:$B$1005,0))="",IFERROR(INDEX('①在庫を貼る'!$E$6:$E$10005,MATCH($C143,'①在庫を貼る'!$W$6:$W$10005,0)),IFERROR(INDEX('月1回_1ヶ月前の在庫'!$E$6:$E$10005,MATCH($C143,'月1回_1ヶ月前の在庫'!$W$6:$W$10005,0)),IFERROR(INDEX('月1回_2ヶ月前の在庫'!$E$6:$E$10005,MATCH($C143,'月1回_2ヶ月前の在庫'!$W$6:$W$10005,0)),""))),INDEX('商品マスタ'!$E$6:$E$1005,MATCH($C143,'商品マスタ'!$B$6:$B$1005,0))),IFERROR(INDEX('①在庫を貼る'!$E$6:$E$10005,MATCH($C143,'①在庫を貼る'!$W$6:$W$10005,0)),IFERROR(INDEX('月1回_1ヶ月前の在庫'!$E$6:$E$10005,MATCH($C143,'月1回_1ヶ月前の在庫'!$W$6:$W$10005,0)),IFERROR(INDEX('月1回_2ヶ月前の在庫'!$E$6:$E$10005,MATCH($C143,'月1回_2ヶ月前の在庫'!$W$6:$W$10005,0)),"")))))</f>
        <v/>
      </c>
      <c r="G143">
        <f>IF($C143="","",MAX(1,N(IFERROR(IF(INDEX('商品マスタ'!$F$6:$F$1005,MATCH($C143,'商品マスタ'!$B$6:$B$1005,0))="",IF(COUNTIFS('①在庫を貼る'!$V$6:$V$10005,'設定'!$C$4,'①在庫を貼る'!$W$6:$W$10005,$C143)&gt;0,SUMIFS('①在庫を貼る'!$K$6:$K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K$6:$K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K$6:$K$10005,'月1回_2ヶ月前の在庫'!$V$6:$V$10005,'設定'!$C$4,'月1回_2ヶ月前の在庫'!$W$6:$W$10005,$C143)/COUNTIFS('月1回_2ヶ月前の在庫'!$V$6:$V$10005,'設定'!$C$4,'月1回_2ヶ月前の在庫'!$W$6:$W$10005,$C143),0))),INDEX('商品マスタ'!$F$6:$F$1005,MATCH($C143,'商品マスタ'!$B$6:$B$1005,0))),IF(COUNTIFS('①在庫を貼る'!$V$6:$V$10005,'設定'!$C$4,'①在庫を貼る'!$W$6:$W$10005,$C143)&gt;0,SUMIFS('①在庫を貼る'!$K$6:$K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K$6:$K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K$6:$K$10005,'月1回_2ヶ月前の在庫'!$V$6:$V$10005,'設定'!$C$4,'月1回_2ヶ月前の在庫'!$W$6:$W$10005,$C143)/COUNTIFS('月1回_2ヶ月前の在庫'!$V$6:$V$10005,'設定'!$C$4,'月1回_2ヶ月前の在庫'!$W$6:$W$10005,$C143),0)))))))</f>
        <v/>
      </c>
      <c r="H143">
        <f>IF($C143="","",N(IFERROR(IF(INDEX('商品マスタ'!$G$6:$G$1005,MATCH($C143,'商品マスタ'!$B$6:$B$1005,0))="",IF(COUNTIFS('①在庫を貼る'!$V$6:$V$10005,'設定'!$C$4,'①在庫を貼る'!$W$6:$W$10005,$C143)&gt;0,SUMIFS('①在庫を貼る'!$Q$6:$Q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Q$6:$Q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Q$6:$Q$10005,'月1回_2ヶ月前の在庫'!$V$6:$V$10005,'設定'!$C$4,'月1回_2ヶ月前の在庫'!$W$6:$W$10005,$C143)/COUNTIFS('月1回_2ヶ月前の在庫'!$V$6:$V$10005,'設定'!$C$4,'月1回_2ヶ月前の在庫'!$W$6:$W$10005,$C143),0))),INDEX('商品マスタ'!$G$6:$G$1005,MATCH($C143,'商品マスタ'!$B$6:$B$1005,0))),IF(COUNTIFS('①在庫を貼る'!$V$6:$V$10005,'設定'!$C$4,'①在庫を貼る'!$W$6:$W$10005,$C143)&gt;0,SUMIFS('①在庫を貼る'!$Q$6:$Q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Q$6:$Q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Q$6:$Q$10005,'月1回_2ヶ月前の在庫'!$V$6:$V$10005,'設定'!$C$4,'月1回_2ヶ月前の在庫'!$W$6:$W$10005,$C143)/COUNTIFS('月1回_2ヶ月前の在庫'!$V$6:$V$10005,'設定'!$C$4,'月1回_2ヶ月前の在庫'!$W$6:$W$10005,$C143),0))))))</f>
        <v/>
      </c>
      <c r="I143">
        <f>IF($C143="","",IF(COUNTIFS('①在庫を貼る'!$V$6:$V$10005,'設定'!$C$4,'①在庫を貼る'!$W$6:$W$10005,$C143)=0,"",SUMIFS('①在庫を貼る'!$N$6:$N$10005,'①在庫を貼る'!$V$6:$V$10005,'設定'!$C$4,'①在庫を貼る'!$W$6:$W$10005,$C143)))</f>
        <v/>
      </c>
      <c r="J143">
        <f>IF($C143="","",IF('②発注する'!$AD147="","",'②発注する'!$AD147))</f>
        <v/>
      </c>
      <c r="K143" s="90">
        <f>IF($C143="","",IF('②発注する'!$AE147="","",'②発注する'!$AE147))</f>
        <v/>
      </c>
      <c r="L143">
        <f>IF($C143="","",IF(AND(ISNUMBER($J143),ISNUMBER($K143),$K143&gt;='設定'!$C$6),$J143,N($I143)))</f>
        <v/>
      </c>
      <c r="M143">
        <f>IF($C143="","",IFERROR(IF(N(INDEX('商品マスタ'!$J$6:$J$1005,MATCH($C143,'商品マスタ'!$B$6:$B$1005,0)))&gt;0,INDEX('商品マスタ'!$J$6:$J$1005,MATCH($C143,'商品マスタ'!$B$6:$B$1005,0)),""),""))</f>
        <v/>
      </c>
      <c r="N143">
        <f>IF($C143="","",IFERROR(IF(N(INDEX('商品マスタ'!$H$6:$H$1005,MATCH($C143,'商品マスタ'!$B$6:$B$1005,0)))&gt;0,INDEX('商品マスタ'!$H$6:$H$1005,MATCH($C143,'商品マスタ'!$B$6:$B$1005,0)),""),""))</f>
        <v/>
      </c>
      <c r="O143">
        <f>IF($C143="","",IF($N143&lt;&gt;"",$N143*$G143,IF(N(IF(COUNTIFS('①在庫を貼る'!$V$6:$V$10005,'設定'!$C$4,'①在庫を貼る'!$W$6:$W$10005,$C143)&gt;0,SUMIFS('①在庫を貼る'!$O$6:$O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O$6:$O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O$6:$O$10005,'月1回_2ヶ月前の在庫'!$V$6:$V$10005,'設定'!$C$4,'月1回_2ヶ月前の在庫'!$W$6:$W$10005,$C143)/COUNTIFS('月1回_2ヶ月前の在庫'!$V$6:$V$10005,'設定'!$C$4,'月1回_2ヶ月前の在庫'!$W$6:$W$10005,$C143),0))))&gt;0,N(IF(COUNTIFS('①在庫を貼る'!$V$6:$V$10005,'設定'!$C$4,'①在庫を貼る'!$W$6:$W$10005,$C143)&gt;0,SUMIFS('①在庫を貼る'!$O$6:$O$10005,'①在庫を貼る'!$V$6:$V$10005,'設定'!$C$4,'①在庫を貼る'!$W$6:$W$10005,$C143)/COUNTIFS('①在庫を貼る'!$V$6:$V$10005,'設定'!$C$4,'①在庫を貼る'!$W$6:$W$10005,$C143),IF(COUNTIFS('月1回_1ヶ月前の在庫'!$V$6:$V$10005,'設定'!$C$4,'月1回_1ヶ月前の在庫'!$W$6:$W$10005,$C143)&gt;0,SUMIFS('月1回_1ヶ月前の在庫'!$O$6:$O$10005,'月1回_1ヶ月前の在庫'!$V$6:$V$10005,'設定'!$C$4,'月1回_1ヶ月前の在庫'!$W$6:$W$10005,$C143)/COUNTIFS('月1回_1ヶ月前の在庫'!$V$6:$V$10005,'設定'!$C$4,'月1回_1ヶ月前の在庫'!$W$6:$W$10005,$C143),IF(COUNTIFS('月1回_2ヶ月前の在庫'!$V$6:$V$10005,'設定'!$C$4,'月1回_2ヶ月前の在庫'!$W$6:$W$10005,$C143)&gt;0,SUMIFS('月1回_2ヶ月前の在庫'!$O$6:$O$10005,'月1回_2ヶ月前の在庫'!$V$6:$V$10005,'設定'!$C$4,'月1回_2ヶ月前の在庫'!$W$6:$W$10005,$C143)/COUNTIFS('月1回_2ヶ月前の在庫'!$V$6:$V$10005,'設定'!$C$4,'月1回_2ヶ月前の在庫'!$W$6:$W$10005,$C143),0)))),"")))</f>
        <v/>
      </c>
      <c r="P143" s="90">
        <f>IF($C143="","",IF('②発注する'!$I147="","",'②発注する'!$I147))</f>
        <v/>
      </c>
      <c r="Q143">
        <f>IF($C143="","",IF('②発注する'!$J147="","",'②発注する'!$J147))</f>
        <v/>
      </c>
      <c r="R143">
        <f>IF($C143="",0,IF(AND(ISNUMBER($P143),ISNUMBER($Q143)),MAX(0,$Q143)*$G143,0))</f>
        <v/>
      </c>
      <c r="S143" s="90">
        <f>IF($C143="","",IF('②発注する'!$M147="","",'②発注する'!$M147))</f>
        <v/>
      </c>
      <c r="T143">
        <f>IF($C143="","",IF('②発注する'!$N147="","",'②発注する'!$N147))</f>
        <v/>
      </c>
      <c r="U143">
        <f>IF($C143="",0,IF(AND(ISNUMBER($S143),ISNUMBER($T143)),MAX(0,$T143)*$G143,0))</f>
        <v/>
      </c>
      <c r="V143">
        <f>IF($C143="",0,IF($M143="",0,MAX(0,$M143)*MAX(0,V$4)/100))</f>
        <v/>
      </c>
      <c r="W143">
        <f>IF($C143="",0,IF($M143="",0,MAX(0,$M143)*MAX(0,W$4)/100))</f>
        <v/>
      </c>
      <c r="X143">
        <f>IF($C143="",0,IF($M143="",0,MAX(0,$M143)*MAX(0,X$4)/100))</f>
        <v/>
      </c>
      <c r="Y143">
        <f>IF($C143="",0,IF($M143="",0,MAX(0,$M143)*MAX(0,Y$4)/100))</f>
        <v/>
      </c>
      <c r="Z143">
        <f>IF($C143="",0,IF($M143="",0,MAX(0,$M143)*MAX(0,Z$4)/100))</f>
        <v/>
      </c>
      <c r="AA143">
        <f>IF($C143="",0,IF($M143="",0,MAX(0,$M143)*MAX(0,AA$4)/100))</f>
        <v/>
      </c>
      <c r="AB143">
        <f>IF($C143="",0,IF($M143="",0,MAX(0,$M143)*MAX(0,AB$4)/100))</f>
        <v/>
      </c>
      <c r="AC143">
        <f>IF($C143="",0,IF($M143="",0,MAX(0,$M143)*MAX(0,AC$4)/100))</f>
        <v/>
      </c>
      <c r="AD143">
        <f>IF($C143="",0,IF($M143="",0,MAX(0,$M143)*MAX(0,AD$4)/100))</f>
        <v/>
      </c>
      <c r="AE143">
        <f>IF($C143="",0,IF($M143="",0,MAX(0,$M143)*MAX(0,AE$4)/100))</f>
        <v/>
      </c>
      <c r="AF143">
        <f>IF($C143="",0,IF($M143="",0,MAX(0,$M143)*MAX(0,AF$4)/100))</f>
        <v/>
      </c>
      <c r="AG143">
        <f>IF($C143="",0,IF($M143="",0,MAX(0,$M143)*MAX(0,AG$4)/100))</f>
        <v/>
      </c>
      <c r="AH143">
        <f>IF($C143="",0,IF($M143="",0,MAX(0,$M143)*MAX(0,AH$4)/100))</f>
        <v/>
      </c>
      <c r="AI143">
        <f>IF($C143="",0,IF($M143="",0,MAX(0,$M143)*MAX(0,AI$4)/100))</f>
        <v/>
      </c>
      <c r="AJ143">
        <f>IF($C143="",0,MAX(0,MAX(0,N($L143))-$V143))</f>
        <v/>
      </c>
      <c r="AK143">
        <f>IF($C143="",0,MAX(0,$AJ143-$W143))</f>
        <v/>
      </c>
      <c r="AL143">
        <f>IF($C143="",0,MAX(0,$AK143-$X143))</f>
        <v/>
      </c>
      <c r="AM143">
        <f>IF($C143="",0,MAX(0,$AL143-$Y143))</f>
        <v/>
      </c>
      <c r="AN143">
        <f>IF($C143="",0,MAX(0,$AM143-$Z143))</f>
        <v/>
      </c>
      <c r="AO143">
        <f>IF($C143="",0,MAX(0,$AN143-$AA143))</f>
        <v/>
      </c>
      <c r="AP143">
        <f>IF($C143="",0,MAX(0,$AO143-$AB143))</f>
        <v/>
      </c>
      <c r="AQ143">
        <f>IF($C143="",0,MAX(0,$AP143-$AC143))</f>
        <v/>
      </c>
      <c r="AR143">
        <f>IF($C143="",0,MAX(0,$AQ143-$AD143))</f>
        <v/>
      </c>
      <c r="AS143">
        <f>IF($C143="",0,MAX(0,$AR143-$AE143))</f>
        <v/>
      </c>
      <c r="AT143">
        <f>IF($C143="",0,MAX(0,$AS143-$AF143))</f>
        <v/>
      </c>
      <c r="AU143">
        <f>IF($C143="",0,MAX(0,$AT143-$AG143))</f>
        <v/>
      </c>
      <c r="AV143">
        <f>IF($C143="",0,MAX(0,$AU143-$AH143))</f>
        <v/>
      </c>
      <c r="AW143">
        <f>IF($C143="",0,MAX(0,$AV143-$AI143))</f>
        <v/>
      </c>
      <c r="AX143">
        <f>IF($C143="",0,MAX(0,MAX(0,N($L143))+IF($P143=V$3,$R143,0)+IF($S143=V$3,$U143,0)-$V143))</f>
        <v/>
      </c>
      <c r="AY143">
        <f>IF($C143="",0,MAX(0,$AX143+IF($P143=W$3,$R143,0)+IF($S143=W$3,$U143,0)-$W143))</f>
        <v/>
      </c>
      <c r="AZ143">
        <f>IF($C143="",0,MAX(0,$AY143+IF($P143=X$3,$R143,0)+IF($S143=X$3,$U143,0)-$X143))</f>
        <v/>
      </c>
      <c r="BA143">
        <f>IF($C143="",0,MAX(0,$AZ143+IF($P143=Y$3,$R143,0)+IF($S143=Y$3,$U143,0)-$Y143))</f>
        <v/>
      </c>
      <c r="BB143">
        <f>IF($C143="",0,MAX(0,$BA143+IF($P143=Z$3,$R143,0)+IF($S143=Z$3,$U143,0)-$Z143))</f>
        <v/>
      </c>
      <c r="BC143">
        <f>IF($C143="",0,MAX(0,$BB143+IF($P143=AA$3,$R143,0)+IF($S143=AA$3,$U143,0)-$AA143))</f>
        <v/>
      </c>
      <c r="BD143">
        <f>IF($C143="",0,MAX(0,$BC143+IF($P143=AB$3,$R143,0)+IF($S143=AB$3,$U143,0)-$AB143))</f>
        <v/>
      </c>
      <c r="BE143">
        <f>IF($C143="",0,MAX(0,$BD143+IF($P143=AC$3,$R143,0)+IF($S143=AC$3,$U143,0)-$AC143))</f>
        <v/>
      </c>
      <c r="BF143">
        <f>IF($C143="",0,MAX(0,$BE143+IF($P143=AD$3,$R143,0)+IF($S143=AD$3,$U143,0)-$AD143))</f>
        <v/>
      </c>
      <c r="BG143">
        <f>IF($C143="",0,MAX(0,$BF143+IF($P143=AE$3,$R143,0)+IF($S143=AE$3,$U143,0)-$AE143))</f>
        <v/>
      </c>
      <c r="BH143">
        <f>IF($C143="",0,MAX(0,$BG143+IF($P143=AF$3,$R143,0)+IF($S143=AF$3,$U143,0)-$AF143))</f>
        <v/>
      </c>
      <c r="BI143">
        <f>IF($C143="",0,MAX(0,$BH143+IF($P143=AG$3,$R143,0)+IF($S143=AG$3,$U143,0)-$AG143))</f>
        <v/>
      </c>
      <c r="BJ143">
        <f>IF($C143="",0,MAX(0,$BI143+IF($P143=AH$3,$R143,0)+IF($S143=AH$3,$U143,0)-$AH143))</f>
        <v/>
      </c>
      <c r="BK143">
        <f>IF($C143="",0,MAX(0,$BJ143+IF($P143=AI$3,$R143,0)+IF($S143=AI$3,$U143,0)-$AI143))</f>
        <v/>
      </c>
      <c r="BL143">
        <f>IF($C143="",99,IF(AND($AX143&lt;1,V$3&gt;=MAX(N($P143),N($S143))),0,99))</f>
        <v/>
      </c>
      <c r="BM143">
        <f>IF($C143="",99,IF(AND($AY143&lt;1,W$3&gt;=MAX(N($P143),N($S143))),1,99))</f>
        <v/>
      </c>
      <c r="BN143">
        <f>IF($C143="",99,IF(AND($AZ143&lt;1,X$3&gt;=MAX(N($P143),N($S143))),2,99))</f>
        <v/>
      </c>
      <c r="BO143">
        <f>IF($C143="",99,IF(AND($BA143&lt;1,Y$3&gt;=MAX(N($P143),N($S143))),3,99))</f>
        <v/>
      </c>
      <c r="BP143">
        <f>IF($C143="",99,IF(AND($BB143&lt;1,Z$3&gt;=MAX(N($P143),N($S143))),4,99))</f>
        <v/>
      </c>
      <c r="BQ143">
        <f>IF($C143="",99,IF(AND($BC143&lt;1,AA$3&gt;=MAX(N($P143),N($S143))),5,99))</f>
        <v/>
      </c>
      <c r="BR143">
        <f>IF($C143="",99,IF(AND($BD143&lt;1,AB$3&gt;=MAX(N($P143),N($S143))),6,99))</f>
        <v/>
      </c>
      <c r="BS143">
        <f>IF($C143="",99,IF(AND($BE143&lt;1,AC$3&gt;=MAX(N($P143),N($S143))),7,99))</f>
        <v/>
      </c>
      <c r="BT143">
        <f>IF($C143="",99,IF(AND($BF143&lt;1,AD$3&gt;=MAX(N($P143),N($S143))),8,99))</f>
        <v/>
      </c>
      <c r="BU143">
        <f>IF($C143="",99,IF(AND($BG143&lt;1,AE$3&gt;=MAX(N($P143),N($S143))),9,99))</f>
        <v/>
      </c>
      <c r="BV143">
        <f>IF($C143="",99,IF(AND($BH143&lt;1,AF$3&gt;=MAX(N($P143),N($S143))),10,99))</f>
        <v/>
      </c>
      <c r="BW143">
        <f>IF($C143="",99,IF(AND($BI143&lt;1,AG$3&gt;=MAX(N($P143),N($S143))),11,99))</f>
        <v/>
      </c>
      <c r="BX143">
        <f>IF($C143="",99,IF(AND($BJ143&lt;1,AH$3&gt;=MAX(N($P143),N($S143))),12,99))</f>
        <v/>
      </c>
      <c r="BY143">
        <f>IF($C143="",99,IF(AND($BK143&lt;1,AI$3&gt;=MAX(N($P143),N($S143))),13,99))</f>
        <v/>
      </c>
      <c r="BZ143">
        <f>IF(OR($C143="",$M143=""),"",COUNTIF($AJ143:$AW143,"&gt;=1"))</f>
        <v/>
      </c>
      <c r="CA143" s="90">
        <f>IF($BZ143="","",IF($BZ143&gt;=14,"",'設定'!$C$6+$BZ143))</f>
        <v/>
      </c>
      <c r="CB143">
        <f>IF(OR($C143="",$M143=""),"",MIN($BL143:$BY143))</f>
        <v/>
      </c>
      <c r="CC143" s="90">
        <f>IF($CB143="","",IF($CB143&gt;=99,"",'設定'!$C$6+$CB143))</f>
        <v/>
      </c>
      <c r="CD143">
        <f>IF(OR($C143="",$M143=""),"",AVERAGE($V143:$AI143))</f>
        <v/>
      </c>
      <c r="CE143">
        <f>IF($C143="","",IFERROR(IF(MATCH(IF(ISNUMBER($P143),$P143,'設定'!$C$6+N('設定'!$C$7)),$V$3:$AI$3,0)=1,MAX(0,N($L143)),INDEX($AJ143:$AW143,MATCH(IF(ISNUMBER($P143),$P143,'設定'!$C$6+N('設定'!$C$7)),$V$3:$AI$3,0)-1)),""))</f>
        <v/>
      </c>
      <c r="CF143">
        <f>IF(OR($C143="",$O143="",$CE143=""),"",IF($O143-$CE143&lt;=0,0,ROUNDUP(($O143-$CE143)/$G143,0)))</f>
        <v/>
      </c>
      <c r="CG143">
        <f>IF(OR($C143="",$CF143="",NOT(ISNUMBER($Q143))),0,MAX(0,$Q143-$CF143))</f>
        <v/>
      </c>
      <c r="CH143">
        <f>IF(OR($C143="",$O143="",$U143=0),0,IFERROR(ROUNDUP(MAX(0,IF(MATCH($S143,$V$3:$AI$3,0)=1,MAX(0,N($L143)),INDEX($AX143:$BK143,MATCH($S143,$V$3:$AI$3,0)-1))+$U143-$O143)/$G143,0),0))</f>
        <v/>
      </c>
      <c r="CI143">
        <f>IF($C143="","",IF(AND($P143="",$Q143=""),"",IF($P143="","⚠ 入庫日を ▼ から選んでください",IF(NOT(ISNUMBER($P143)),"⚠ 入庫日は ▼ から選んでください",IF($P143&lt;N('設定'!$C$6),"⚠ 入庫日が過去です（もう在庫に入っています）→ 消してください",IF($P143&gt;N('設定'!$C$6)+13,"⚠ 入庫日が14日より先です",IF(N($Q143)&lt;=0,"⚠ 入庫数を入れてください",IF($CG143&gt;0,"⚠ 目安より "&amp;$CG143&amp;" 多い（定数を超える）→ 減らす",""))))))))</f>
        <v/>
      </c>
      <c r="CJ143">
        <f>IF($C143="","",IF(AND($S143="",$T143=""),"",IF($S143="","⚠ 2便目：入庫日を ▼ から選んでください",IF(NOT(ISNUMBER($S143)),"⚠ 2便目：入庫日は ▼ から選んでください",IF($S143&lt;N('設定'!$C$6),"⚠ 2便目：入庫日が過去です（もう在庫に入っています）→ 消してください",IF($S143&gt;N('設定'!$C$6)+13,"⚠ 2便目：入庫日が14日より先です",IF(N($T143)&lt;=0,"⚠ 2便目：入庫数を入れてください",IF($CH143&gt;0,"⚠ 2便目：定数を "&amp;$CH143&amp;" ケース超える → 減らす",""))))))))</f>
        <v/>
      </c>
      <c r="CK143">
        <f>IF(AND($CI143="",N($Q143)&gt;0,ISNUMBER($P143)),1,0)</f>
        <v/>
      </c>
      <c r="CL143">
        <f>IF(AND($CJ143="",N($T143)&gt;0,ISNUMBER($S143)),1,0)</f>
        <v/>
      </c>
      <c r="CM143">
        <f>IF(OR($CK143=1,$CL143=1),1,0)</f>
        <v/>
      </c>
      <c r="CN143">
        <f>IF($C143="",0,($CK143*$R143+$CL143*$U143)*N($H143))</f>
        <v/>
      </c>
      <c r="CO143">
        <f>IF($C143="","",IF($CC143="","入庫後は 14日以上もつ",IF($CC143-N('設定'!$C$7)&lt;='設定'!$C$6,"入庫後も "&amp;TEXT($CC143,"m/d")&amp;"("&amp;CHOOSE(WEEKDAY($CC143),"日","月","火","水","木","金","土")&amp;")"&amp;" に切れる　もう1便を至急発注","入庫後も "&amp;TEXT($CC143,"m/d")&amp;"("&amp;CHOOSE(WEEKDAY($CC143),"日","月","火","水","木","金","土")&amp;")"&amp;" に切れる　"&amp;TEXT($CC143-N('設定'!$C$7),"m/d")&amp;"("&amp;CHOOSE(WEEKDAY($CC143-N('設定'!$C$7)),"日","月","火","水","木","金","土")&amp;")"&amp;" までに次を発注")))</f>
        <v/>
      </c>
      <c r="CP143">
        <f>IF($C143="","",IF('設定'!$C$6="","？ ①在庫を貼る に今日のCSVが貼られていない",IF($CS143=1,"－ 今日のCSVに無い（終売？）",IF($L143&lt;0,"● 在庫がマイナス　数えて「数えた在庫」に入れる",IF($L143=0,"● 在庫なし　至急発注",IF($M143="","？ 減り数が未設定（商品マスタ）",IF($B$3=0,"？ 動員が未入力（動員を入れる）",IF($CA143="","○ 14日以上もつ",IF($BZ143&lt;N('設定'!$C$7),"● "&amp;TEXT($CA143,"m/d")&amp;"("&amp;CHOOSE(WEEKDAY($CA143),"日","月","火","水","木","金","土")&amp;")"&amp;" に切れる　至急発注",IF($BZ143=N('設定'!$C$7),"● "&amp;TEXT($CA143,"m/d")&amp;"("&amp;CHOOSE(WEEKDAY($CA143),"日","月","火","水","木","金","土")&amp;")"&amp;" に切れる　今日発注","△ "&amp;TEXT($CA143,"m/d")&amp;"("&amp;CHOOSE(WEEKDAY($CA143),"日","月","火","水","木","金","土")&amp;")"&amp;" に切れる　"&amp;TEXT($CA143-N('設定'!$C$7),"m/d")&amp;"("&amp;CHOOSE(WEEKDAY($CA143-N('設定'!$C$7)),"日","月","火","水","木","金","土")&amp;")"&amp;" までに発注"))))))))))</f>
        <v/>
      </c>
      <c r="CQ143">
        <f>IF($C143="","",IF(AND($P143="",$Q143="",$S143="",$T143=""),"",IF(AND($P143="",$Q143=""),"⚠ 先に1便目（左の入庫日・入庫数）に入れてください",IF($CI143&lt;&gt;"",$CI143,IF($CJ143&lt;&gt;"",$CJ143,IF($M143="","？ 減り数が未設定（発注書には載ります）",IF($B$3=0,"？ 動員が未入力（発注書には載ります）",IF(AND($CA143&lt;&gt;"",$P143&gt;$CA143),IF($P143&gt;'設定'!$C$6+N('設定'!$C$7),"● "&amp;TEXT($P143,"m/d")&amp;"("&amp;CHOOSE(WEEKDAY($P143),"日","月","火","水","木","金","土")&amp;")"&amp;" の入庫では間に合わない（"&amp;TEXT($CA143,"m/d")&amp;"("&amp;CHOOSE(WEEKDAY($CA143),"日","月","火","水","木","金","土")&amp;")"&amp;" に切れる）　入庫日を早める","△ 欠品 "&amp;TEXT($CA143,"m/d")&amp;"("&amp;CHOOSE(WEEKDAY($CA143),"日","月","火","水","木","金","土")&amp;")"&amp;"〜"&amp;TEXT($P143-1,"m/d")&amp;"("&amp;CHOOSE(WEEKDAY($P143-1),"日","月","火","水","木","金","土")&amp;")"&amp;"　"&amp;$CO143),IF($CC143="","○ "&amp;TEXT($P143,"m/d")&amp;"("&amp;CHOOSE(WEEKDAY($P143),"日","月","火","水","木","金","土")&amp;")"&amp;" 入庫で 14日以上もつ",IF($CC143-N('設定'!$C$7)&lt;='設定'!$C$6,"● 入庫しても "&amp;TEXT($CC143,"m/d")&amp;"("&amp;CHOOSE(WEEKDAY($CC143),"日","月","火","水","木","金","土")&amp;")"&amp;" に切れる　もう1便を至急発注（2便目に入れる）","△ 入庫しても "&amp;TEXT($CC143,"m/d")&amp;"("&amp;CHOOSE(WEEKDAY($CC143),"日","月","火","水","木","金","土")&amp;")"&amp;" に切れる　"&amp;TEXT($CC143-N('設定'!$C$7),"m/d")&amp;"("&amp;CHOOSE(WEEKDAY($CC143-N('設定'!$C$7)),"日","月","火","水","木","金","土")&amp;")"&amp;" までに次を発注（2便目に入れる）"))))))))))</f>
        <v/>
      </c>
      <c r="CR143">
        <f>IF($C143="","",IF($G143&gt;1,"ｹｰｽ("&amp;$G143&amp;"入)","個"))</f>
        <v/>
      </c>
      <c r="CS143">
        <f>IF($C143="",0,IF(COUNTIFS('①在庫を貼る'!$V$6:$V$10005,'設定'!$C$4,'①在庫を貼る'!$W$6:$W$10005,$C143)=0,1,0))</f>
        <v/>
      </c>
      <c r="CT143">
        <f>IF(AND($CK143=1,OR('③発注書'!$C$4="すべて",'③発注書'!$C$4="",$F143='③発注書'!$C$4)),N($CT142)+1,N($CT142))</f>
        <v/>
      </c>
      <c r="CU143">
        <f>IF(AND($CL143=1,OR('③発注書'!$C$4="すべて",'③発注書'!$C$4="",$F143='③発注書'!$C$4)),N($CU142)+1,N($CU142))</f>
        <v/>
      </c>
      <c r="CV143">
        <f>IF($C143="",0,IF(COUNTIFS('①在庫を貼る'!$V$6:$V$10005,'設定'!$C$4,'①在庫を貼る'!$W$6:$W$10005,$C143)&gt;0,1,0))</f>
        <v/>
      </c>
      <c r="CW143">
        <f>IF($C143="",0,IF(COUNTIFS('月1回_1ヶ月前の在庫'!$V$6:$V$10005,'設定'!$C$4,'月1回_1ヶ月前の在庫'!$W$6:$W$10005,$C143)&gt;0,1,0))</f>
        <v/>
      </c>
      <c r="CX143">
        <f>IF($C143="",0,IF(COUNTIFS('月1回_2ヶ月前の在庫'!$V$6:$V$10005,'設定'!$C$4,'月1回_2ヶ月前の在庫'!$W$6:$W$10005,$C143)&gt;0,1,0))</f>
        <v/>
      </c>
      <c r="CY143">
        <f>IF(OR($C143="",'設定'!$C$12=""),"",IF('設定'!$C$13="",IF(AND($CV143=1,$CW143=0),"新商品（今月から）",IF(AND($CV143=0,$CW143=1),"終売（今月から）","")),IF(AND($CV143=1,$CW143=0,$CX143=0),"新商品（今月から）",IF(AND($CV143=1,$CW143=1,$CX143=0),"新商品（先月から）",IF(AND($CV143=0,$CW143=1,$CX143=1),"終売（今月から）",IF(AND($CV143=0,$CW143=0,$CX143=1),"終売（先月から）",IF(AND($CV143=1,$CW143=0,$CX143=1),"復活（先月は無し）","")))))))</f>
        <v/>
      </c>
    </row>
    <row r="144">
      <c r="B144">
        <f>IF(139&lt;='設定'!$C$11,139,"")</f>
        <v/>
      </c>
      <c r="C144">
        <f>IF($B144="","",IF($B144&lt;='設定'!$C$20,INDEX('商品マスタ'!$B$6:$B$1005,MATCH($B144,'商品マスタ'!$M$6:$M$1005,0)),IF($B144&lt;='設定'!$C$20+'設定'!$C$17,INDEX('①在庫を貼る'!$W$6:$W$10005,MATCH($B144-'設定'!$C$20,'①在庫を貼る'!$U$6:$U$10005,0)),IF($B144&lt;='設定'!$C$20+'設定'!$C$17+'設定'!$C$18,INDEX('月1回_1ヶ月前の在庫'!$W$6:$W$10005,MATCH($B144-'設定'!$C$20-'設定'!$C$17,'月1回_1ヶ月前の在庫'!$U$6:$U$10005,0)),INDEX('月1回_2ヶ月前の在庫'!$W$6:$W$10005,MATCH($B144-'設定'!$C$20-'設定'!$C$17-'設定'!$C$18,'月1回_2ヶ月前の在庫'!$U$6:$U$10005,0))))))</f>
        <v/>
      </c>
      <c r="D144">
        <f>IF($C144="","",IFERROR(IF(INDEX('商品マスタ'!$C$6:$C$1005,MATCH($C144,'商品マスタ'!$B$6:$B$1005,0))="",IFERROR(INDEX('①在庫を貼る'!$J$6:$J$10005,MATCH($C144,'①在庫を貼る'!$W$6:$W$10005,0)),IFERROR(INDEX('月1回_1ヶ月前の在庫'!$J$6:$J$10005,MATCH($C144,'月1回_1ヶ月前の在庫'!$W$6:$W$10005,0)),IFERROR(INDEX('月1回_2ヶ月前の在庫'!$J$6:$J$10005,MATCH($C144,'月1回_2ヶ月前の在庫'!$W$6:$W$10005,0)),""))),INDEX('商品マスタ'!$C$6:$C$1005,MATCH($C144,'商品マスタ'!$B$6:$B$1005,0))),IFERROR(INDEX('①在庫を貼る'!$J$6:$J$10005,MATCH($C144,'①在庫を貼る'!$W$6:$W$10005,0)),IFERROR(INDEX('月1回_1ヶ月前の在庫'!$J$6:$J$10005,MATCH($C144,'月1回_1ヶ月前の在庫'!$W$6:$W$10005,0)),IFERROR(INDEX('月1回_2ヶ月前の在庫'!$J$6:$J$10005,MATCH($C144,'月1回_2ヶ月前の在庫'!$W$6:$W$10005,0)),"")))))</f>
        <v/>
      </c>
      <c r="E144">
        <f>IF($C144="","",IFERROR(IF(INDEX('商品マスタ'!$D$6:$D$1005,MATCH($C144,'商品マスタ'!$B$6:$B$1005,0))="",IFERROR(INDEX('①在庫を貼る'!$H$6:$H$10005,MATCH($C144,'①在庫を貼る'!$W$6:$W$10005,0)),IFERROR(INDEX('月1回_1ヶ月前の在庫'!$H$6:$H$10005,MATCH($C144,'月1回_1ヶ月前の在庫'!$W$6:$W$10005,0)),IFERROR(INDEX('月1回_2ヶ月前の在庫'!$H$6:$H$10005,MATCH($C144,'月1回_2ヶ月前の在庫'!$W$6:$W$10005,0)),""))),INDEX('商品マスタ'!$D$6:$D$1005,MATCH($C144,'商品マスタ'!$B$6:$B$1005,0))),IFERROR(INDEX('①在庫を貼る'!$H$6:$H$10005,MATCH($C144,'①在庫を貼る'!$W$6:$W$10005,0)),IFERROR(INDEX('月1回_1ヶ月前の在庫'!$H$6:$H$10005,MATCH($C144,'月1回_1ヶ月前の在庫'!$W$6:$W$10005,0)),IFERROR(INDEX('月1回_2ヶ月前の在庫'!$H$6:$H$10005,MATCH($C144,'月1回_2ヶ月前の在庫'!$W$6:$W$10005,0)),"")))))</f>
        <v/>
      </c>
      <c r="F144">
        <f>IF($C144="","",IFERROR(IF(INDEX('商品マスタ'!$E$6:$E$1005,MATCH($C144,'商品マスタ'!$B$6:$B$1005,0))="",IFERROR(INDEX('①在庫を貼る'!$E$6:$E$10005,MATCH($C144,'①在庫を貼る'!$W$6:$W$10005,0)),IFERROR(INDEX('月1回_1ヶ月前の在庫'!$E$6:$E$10005,MATCH($C144,'月1回_1ヶ月前の在庫'!$W$6:$W$10005,0)),IFERROR(INDEX('月1回_2ヶ月前の在庫'!$E$6:$E$10005,MATCH($C144,'月1回_2ヶ月前の在庫'!$W$6:$W$10005,0)),""))),INDEX('商品マスタ'!$E$6:$E$1005,MATCH($C144,'商品マスタ'!$B$6:$B$1005,0))),IFERROR(INDEX('①在庫を貼る'!$E$6:$E$10005,MATCH($C144,'①在庫を貼る'!$W$6:$W$10005,0)),IFERROR(INDEX('月1回_1ヶ月前の在庫'!$E$6:$E$10005,MATCH($C144,'月1回_1ヶ月前の在庫'!$W$6:$W$10005,0)),IFERROR(INDEX('月1回_2ヶ月前の在庫'!$E$6:$E$10005,MATCH($C144,'月1回_2ヶ月前の在庫'!$W$6:$W$10005,0)),"")))))</f>
        <v/>
      </c>
      <c r="G144">
        <f>IF($C144="","",MAX(1,N(IFERROR(IF(INDEX('商品マスタ'!$F$6:$F$1005,MATCH($C144,'商品マスタ'!$B$6:$B$1005,0))="",IF(COUNTIFS('①在庫を貼る'!$V$6:$V$10005,'設定'!$C$4,'①在庫を貼る'!$W$6:$W$10005,$C144)&gt;0,SUMIFS('①在庫を貼る'!$K$6:$K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K$6:$K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K$6:$K$10005,'月1回_2ヶ月前の在庫'!$V$6:$V$10005,'設定'!$C$4,'月1回_2ヶ月前の在庫'!$W$6:$W$10005,$C144)/COUNTIFS('月1回_2ヶ月前の在庫'!$V$6:$V$10005,'設定'!$C$4,'月1回_2ヶ月前の在庫'!$W$6:$W$10005,$C144),0))),INDEX('商品マスタ'!$F$6:$F$1005,MATCH($C144,'商品マスタ'!$B$6:$B$1005,0))),IF(COUNTIFS('①在庫を貼る'!$V$6:$V$10005,'設定'!$C$4,'①在庫を貼る'!$W$6:$W$10005,$C144)&gt;0,SUMIFS('①在庫を貼る'!$K$6:$K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K$6:$K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K$6:$K$10005,'月1回_2ヶ月前の在庫'!$V$6:$V$10005,'設定'!$C$4,'月1回_2ヶ月前の在庫'!$W$6:$W$10005,$C144)/COUNTIFS('月1回_2ヶ月前の在庫'!$V$6:$V$10005,'設定'!$C$4,'月1回_2ヶ月前の在庫'!$W$6:$W$10005,$C144),0)))))))</f>
        <v/>
      </c>
      <c r="H144">
        <f>IF($C144="","",N(IFERROR(IF(INDEX('商品マスタ'!$G$6:$G$1005,MATCH($C144,'商品マスタ'!$B$6:$B$1005,0))="",IF(COUNTIFS('①在庫を貼る'!$V$6:$V$10005,'設定'!$C$4,'①在庫を貼る'!$W$6:$W$10005,$C144)&gt;0,SUMIFS('①在庫を貼る'!$Q$6:$Q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Q$6:$Q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Q$6:$Q$10005,'月1回_2ヶ月前の在庫'!$V$6:$V$10005,'設定'!$C$4,'月1回_2ヶ月前の在庫'!$W$6:$W$10005,$C144)/COUNTIFS('月1回_2ヶ月前の在庫'!$V$6:$V$10005,'設定'!$C$4,'月1回_2ヶ月前の在庫'!$W$6:$W$10005,$C144),0))),INDEX('商品マスタ'!$G$6:$G$1005,MATCH($C144,'商品マスタ'!$B$6:$B$1005,0))),IF(COUNTIFS('①在庫を貼る'!$V$6:$V$10005,'設定'!$C$4,'①在庫を貼る'!$W$6:$W$10005,$C144)&gt;0,SUMIFS('①在庫を貼る'!$Q$6:$Q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Q$6:$Q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Q$6:$Q$10005,'月1回_2ヶ月前の在庫'!$V$6:$V$10005,'設定'!$C$4,'月1回_2ヶ月前の在庫'!$W$6:$W$10005,$C144)/COUNTIFS('月1回_2ヶ月前の在庫'!$V$6:$V$10005,'設定'!$C$4,'月1回_2ヶ月前の在庫'!$W$6:$W$10005,$C144),0))))))</f>
        <v/>
      </c>
      <c r="I144">
        <f>IF($C144="","",IF(COUNTIFS('①在庫を貼る'!$V$6:$V$10005,'設定'!$C$4,'①在庫を貼る'!$W$6:$W$10005,$C144)=0,"",SUMIFS('①在庫を貼る'!$N$6:$N$10005,'①在庫を貼る'!$V$6:$V$10005,'設定'!$C$4,'①在庫を貼る'!$W$6:$W$10005,$C144)))</f>
        <v/>
      </c>
      <c r="J144">
        <f>IF($C144="","",IF('②発注する'!$AD148="","",'②発注する'!$AD148))</f>
        <v/>
      </c>
      <c r="K144" s="90">
        <f>IF($C144="","",IF('②発注する'!$AE148="","",'②発注する'!$AE148))</f>
        <v/>
      </c>
      <c r="L144">
        <f>IF($C144="","",IF(AND(ISNUMBER($J144),ISNUMBER($K144),$K144&gt;='設定'!$C$6),$J144,N($I144)))</f>
        <v/>
      </c>
      <c r="M144">
        <f>IF($C144="","",IFERROR(IF(N(INDEX('商品マスタ'!$J$6:$J$1005,MATCH($C144,'商品マスタ'!$B$6:$B$1005,0)))&gt;0,INDEX('商品マスタ'!$J$6:$J$1005,MATCH($C144,'商品マスタ'!$B$6:$B$1005,0)),""),""))</f>
        <v/>
      </c>
      <c r="N144">
        <f>IF($C144="","",IFERROR(IF(N(INDEX('商品マスタ'!$H$6:$H$1005,MATCH($C144,'商品マスタ'!$B$6:$B$1005,0)))&gt;0,INDEX('商品マスタ'!$H$6:$H$1005,MATCH($C144,'商品マスタ'!$B$6:$B$1005,0)),""),""))</f>
        <v/>
      </c>
      <c r="O144">
        <f>IF($C144="","",IF($N144&lt;&gt;"",$N144*$G144,IF(N(IF(COUNTIFS('①在庫を貼る'!$V$6:$V$10005,'設定'!$C$4,'①在庫を貼る'!$W$6:$W$10005,$C144)&gt;0,SUMIFS('①在庫を貼る'!$O$6:$O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O$6:$O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O$6:$O$10005,'月1回_2ヶ月前の在庫'!$V$6:$V$10005,'設定'!$C$4,'月1回_2ヶ月前の在庫'!$W$6:$W$10005,$C144)/COUNTIFS('月1回_2ヶ月前の在庫'!$V$6:$V$10005,'設定'!$C$4,'月1回_2ヶ月前の在庫'!$W$6:$W$10005,$C144),0))))&gt;0,N(IF(COUNTIFS('①在庫を貼る'!$V$6:$V$10005,'設定'!$C$4,'①在庫を貼る'!$W$6:$W$10005,$C144)&gt;0,SUMIFS('①在庫を貼る'!$O$6:$O$10005,'①在庫を貼る'!$V$6:$V$10005,'設定'!$C$4,'①在庫を貼る'!$W$6:$W$10005,$C144)/COUNTIFS('①在庫を貼る'!$V$6:$V$10005,'設定'!$C$4,'①在庫を貼る'!$W$6:$W$10005,$C144),IF(COUNTIFS('月1回_1ヶ月前の在庫'!$V$6:$V$10005,'設定'!$C$4,'月1回_1ヶ月前の在庫'!$W$6:$W$10005,$C144)&gt;0,SUMIFS('月1回_1ヶ月前の在庫'!$O$6:$O$10005,'月1回_1ヶ月前の在庫'!$V$6:$V$10005,'設定'!$C$4,'月1回_1ヶ月前の在庫'!$W$6:$W$10005,$C144)/COUNTIFS('月1回_1ヶ月前の在庫'!$V$6:$V$10005,'設定'!$C$4,'月1回_1ヶ月前の在庫'!$W$6:$W$10005,$C144),IF(COUNTIFS('月1回_2ヶ月前の在庫'!$V$6:$V$10005,'設定'!$C$4,'月1回_2ヶ月前の在庫'!$W$6:$W$10005,$C144)&gt;0,SUMIFS('月1回_2ヶ月前の在庫'!$O$6:$O$10005,'月1回_2ヶ月前の在庫'!$V$6:$V$10005,'設定'!$C$4,'月1回_2ヶ月前の在庫'!$W$6:$W$10005,$C144)/COUNTIFS('月1回_2ヶ月前の在庫'!$V$6:$V$10005,'設定'!$C$4,'月1回_2ヶ月前の在庫'!$W$6:$W$10005,$C144),0)))),"")))</f>
        <v/>
      </c>
      <c r="P144" s="90">
        <f>IF($C144="","",IF('②発注する'!$I148="","",'②発注する'!$I148))</f>
        <v/>
      </c>
      <c r="Q144">
        <f>IF($C144="","",IF('②発注する'!$J148="","",'②発注する'!$J148))</f>
        <v/>
      </c>
      <c r="R144">
        <f>IF($C144="",0,IF(AND(ISNUMBER($P144),ISNUMBER($Q144)),MAX(0,$Q144)*$G144,0))</f>
        <v/>
      </c>
      <c r="S144" s="90">
        <f>IF($C144="","",IF('②発注する'!$M148="","",'②発注する'!$M148))</f>
        <v/>
      </c>
      <c r="T144">
        <f>IF($C144="","",IF('②発注する'!$N148="","",'②発注する'!$N148))</f>
        <v/>
      </c>
      <c r="U144">
        <f>IF($C144="",0,IF(AND(ISNUMBER($S144),ISNUMBER($T144)),MAX(0,$T144)*$G144,0))</f>
        <v/>
      </c>
      <c r="V144">
        <f>IF($C144="",0,IF($M144="",0,MAX(0,$M144)*MAX(0,V$4)/100))</f>
        <v/>
      </c>
      <c r="W144">
        <f>IF($C144="",0,IF($M144="",0,MAX(0,$M144)*MAX(0,W$4)/100))</f>
        <v/>
      </c>
      <c r="X144">
        <f>IF($C144="",0,IF($M144="",0,MAX(0,$M144)*MAX(0,X$4)/100))</f>
        <v/>
      </c>
      <c r="Y144">
        <f>IF($C144="",0,IF($M144="",0,MAX(0,$M144)*MAX(0,Y$4)/100))</f>
        <v/>
      </c>
      <c r="Z144">
        <f>IF($C144="",0,IF($M144="",0,MAX(0,$M144)*MAX(0,Z$4)/100))</f>
        <v/>
      </c>
      <c r="AA144">
        <f>IF($C144="",0,IF($M144="",0,MAX(0,$M144)*MAX(0,AA$4)/100))</f>
        <v/>
      </c>
      <c r="AB144">
        <f>IF($C144="",0,IF($M144="",0,MAX(0,$M144)*MAX(0,AB$4)/100))</f>
        <v/>
      </c>
      <c r="AC144">
        <f>IF($C144="",0,IF($M144="",0,MAX(0,$M144)*MAX(0,AC$4)/100))</f>
        <v/>
      </c>
      <c r="AD144">
        <f>IF($C144="",0,IF($M144="",0,MAX(0,$M144)*MAX(0,AD$4)/100))</f>
        <v/>
      </c>
      <c r="AE144">
        <f>IF($C144="",0,IF($M144="",0,MAX(0,$M144)*MAX(0,AE$4)/100))</f>
        <v/>
      </c>
      <c r="AF144">
        <f>IF($C144="",0,IF($M144="",0,MAX(0,$M144)*MAX(0,AF$4)/100))</f>
        <v/>
      </c>
      <c r="AG144">
        <f>IF($C144="",0,IF($M144="",0,MAX(0,$M144)*MAX(0,AG$4)/100))</f>
        <v/>
      </c>
      <c r="AH144">
        <f>IF($C144="",0,IF($M144="",0,MAX(0,$M144)*MAX(0,AH$4)/100))</f>
        <v/>
      </c>
      <c r="AI144">
        <f>IF($C144="",0,IF($M144="",0,MAX(0,$M144)*MAX(0,AI$4)/100))</f>
        <v/>
      </c>
      <c r="AJ144">
        <f>IF($C144="",0,MAX(0,MAX(0,N($L144))-$V144))</f>
        <v/>
      </c>
      <c r="AK144">
        <f>IF($C144="",0,MAX(0,$AJ144-$W144))</f>
        <v/>
      </c>
      <c r="AL144">
        <f>IF($C144="",0,MAX(0,$AK144-$X144))</f>
        <v/>
      </c>
      <c r="AM144">
        <f>IF($C144="",0,MAX(0,$AL144-$Y144))</f>
        <v/>
      </c>
      <c r="AN144">
        <f>IF($C144="",0,MAX(0,$AM144-$Z144))</f>
        <v/>
      </c>
      <c r="AO144">
        <f>IF($C144="",0,MAX(0,$AN144-$AA144))</f>
        <v/>
      </c>
      <c r="AP144">
        <f>IF($C144="",0,MAX(0,$AO144-$AB144))</f>
        <v/>
      </c>
      <c r="AQ144">
        <f>IF($C144="",0,MAX(0,$AP144-$AC144))</f>
        <v/>
      </c>
      <c r="AR144">
        <f>IF($C144="",0,MAX(0,$AQ144-$AD144))</f>
        <v/>
      </c>
      <c r="AS144">
        <f>IF($C144="",0,MAX(0,$AR144-$AE144))</f>
        <v/>
      </c>
      <c r="AT144">
        <f>IF($C144="",0,MAX(0,$AS144-$AF144))</f>
        <v/>
      </c>
      <c r="AU144">
        <f>IF($C144="",0,MAX(0,$AT144-$AG144))</f>
        <v/>
      </c>
      <c r="AV144">
        <f>IF($C144="",0,MAX(0,$AU144-$AH144))</f>
        <v/>
      </c>
      <c r="AW144">
        <f>IF($C144="",0,MAX(0,$AV144-$AI144))</f>
        <v/>
      </c>
      <c r="AX144">
        <f>IF($C144="",0,MAX(0,MAX(0,N($L144))+IF($P144=V$3,$R144,0)+IF($S144=V$3,$U144,0)-$V144))</f>
        <v/>
      </c>
      <c r="AY144">
        <f>IF($C144="",0,MAX(0,$AX144+IF($P144=W$3,$R144,0)+IF($S144=W$3,$U144,0)-$W144))</f>
        <v/>
      </c>
      <c r="AZ144">
        <f>IF($C144="",0,MAX(0,$AY144+IF($P144=X$3,$R144,0)+IF($S144=X$3,$U144,0)-$X144))</f>
        <v/>
      </c>
      <c r="BA144">
        <f>IF($C144="",0,MAX(0,$AZ144+IF($P144=Y$3,$R144,0)+IF($S144=Y$3,$U144,0)-$Y144))</f>
        <v/>
      </c>
      <c r="BB144">
        <f>IF($C144="",0,MAX(0,$BA144+IF($P144=Z$3,$R144,0)+IF($S144=Z$3,$U144,0)-$Z144))</f>
        <v/>
      </c>
      <c r="BC144">
        <f>IF($C144="",0,MAX(0,$BB144+IF($P144=AA$3,$R144,0)+IF($S144=AA$3,$U144,0)-$AA144))</f>
        <v/>
      </c>
      <c r="BD144">
        <f>IF($C144="",0,MAX(0,$BC144+IF($P144=AB$3,$R144,0)+IF($S144=AB$3,$U144,0)-$AB144))</f>
        <v/>
      </c>
      <c r="BE144">
        <f>IF($C144="",0,MAX(0,$BD144+IF($P144=AC$3,$R144,0)+IF($S144=AC$3,$U144,0)-$AC144))</f>
        <v/>
      </c>
      <c r="BF144">
        <f>IF($C144="",0,MAX(0,$BE144+IF($P144=AD$3,$R144,0)+IF($S144=AD$3,$U144,0)-$AD144))</f>
        <v/>
      </c>
      <c r="BG144">
        <f>IF($C144="",0,MAX(0,$BF144+IF($P144=AE$3,$R144,0)+IF($S144=AE$3,$U144,0)-$AE144))</f>
        <v/>
      </c>
      <c r="BH144">
        <f>IF($C144="",0,MAX(0,$BG144+IF($P144=AF$3,$R144,0)+IF($S144=AF$3,$U144,0)-$AF144))</f>
        <v/>
      </c>
      <c r="BI144">
        <f>IF($C144="",0,MAX(0,$BH144+IF($P144=AG$3,$R144,0)+IF($S144=AG$3,$U144,0)-$AG144))</f>
        <v/>
      </c>
      <c r="BJ144">
        <f>IF($C144="",0,MAX(0,$BI144+IF($P144=AH$3,$R144,0)+IF($S144=AH$3,$U144,0)-$AH144))</f>
        <v/>
      </c>
      <c r="BK144">
        <f>IF($C144="",0,MAX(0,$BJ144+IF($P144=AI$3,$R144,0)+IF($S144=AI$3,$U144,0)-$AI144))</f>
        <v/>
      </c>
      <c r="BL144">
        <f>IF($C144="",99,IF(AND($AX144&lt;1,V$3&gt;=MAX(N($P144),N($S144))),0,99))</f>
        <v/>
      </c>
      <c r="BM144">
        <f>IF($C144="",99,IF(AND($AY144&lt;1,W$3&gt;=MAX(N($P144),N($S144))),1,99))</f>
        <v/>
      </c>
      <c r="BN144">
        <f>IF($C144="",99,IF(AND($AZ144&lt;1,X$3&gt;=MAX(N($P144),N($S144))),2,99))</f>
        <v/>
      </c>
      <c r="BO144">
        <f>IF($C144="",99,IF(AND($BA144&lt;1,Y$3&gt;=MAX(N($P144),N($S144))),3,99))</f>
        <v/>
      </c>
      <c r="BP144">
        <f>IF($C144="",99,IF(AND($BB144&lt;1,Z$3&gt;=MAX(N($P144),N($S144))),4,99))</f>
        <v/>
      </c>
      <c r="BQ144">
        <f>IF($C144="",99,IF(AND($BC144&lt;1,AA$3&gt;=MAX(N($P144),N($S144))),5,99))</f>
        <v/>
      </c>
      <c r="BR144">
        <f>IF($C144="",99,IF(AND($BD144&lt;1,AB$3&gt;=MAX(N($P144),N($S144))),6,99))</f>
        <v/>
      </c>
      <c r="BS144">
        <f>IF($C144="",99,IF(AND($BE144&lt;1,AC$3&gt;=MAX(N($P144),N($S144))),7,99))</f>
        <v/>
      </c>
      <c r="BT144">
        <f>IF($C144="",99,IF(AND($BF144&lt;1,AD$3&gt;=MAX(N($P144),N($S144))),8,99))</f>
        <v/>
      </c>
      <c r="BU144">
        <f>IF($C144="",99,IF(AND($BG144&lt;1,AE$3&gt;=MAX(N($P144),N($S144))),9,99))</f>
        <v/>
      </c>
      <c r="BV144">
        <f>IF($C144="",99,IF(AND($BH144&lt;1,AF$3&gt;=MAX(N($P144),N($S144))),10,99))</f>
        <v/>
      </c>
      <c r="BW144">
        <f>IF($C144="",99,IF(AND($BI144&lt;1,AG$3&gt;=MAX(N($P144),N($S144))),11,99))</f>
        <v/>
      </c>
      <c r="BX144">
        <f>IF($C144="",99,IF(AND($BJ144&lt;1,AH$3&gt;=MAX(N($P144),N($S144))),12,99))</f>
        <v/>
      </c>
      <c r="BY144">
        <f>IF($C144="",99,IF(AND($BK144&lt;1,AI$3&gt;=MAX(N($P144),N($S144))),13,99))</f>
        <v/>
      </c>
      <c r="BZ144">
        <f>IF(OR($C144="",$M144=""),"",COUNTIF($AJ144:$AW144,"&gt;=1"))</f>
        <v/>
      </c>
      <c r="CA144" s="90">
        <f>IF($BZ144="","",IF($BZ144&gt;=14,"",'設定'!$C$6+$BZ144))</f>
        <v/>
      </c>
      <c r="CB144">
        <f>IF(OR($C144="",$M144=""),"",MIN($BL144:$BY144))</f>
        <v/>
      </c>
      <c r="CC144" s="90">
        <f>IF($CB144="","",IF($CB144&gt;=99,"",'設定'!$C$6+$CB144))</f>
        <v/>
      </c>
      <c r="CD144">
        <f>IF(OR($C144="",$M144=""),"",AVERAGE($V144:$AI144))</f>
        <v/>
      </c>
      <c r="CE144">
        <f>IF($C144="","",IFERROR(IF(MATCH(IF(ISNUMBER($P144),$P144,'設定'!$C$6+N('設定'!$C$7)),$V$3:$AI$3,0)=1,MAX(0,N($L144)),INDEX($AJ144:$AW144,MATCH(IF(ISNUMBER($P144),$P144,'設定'!$C$6+N('設定'!$C$7)),$V$3:$AI$3,0)-1)),""))</f>
        <v/>
      </c>
      <c r="CF144">
        <f>IF(OR($C144="",$O144="",$CE144=""),"",IF($O144-$CE144&lt;=0,0,ROUNDUP(($O144-$CE144)/$G144,0)))</f>
        <v/>
      </c>
      <c r="CG144">
        <f>IF(OR($C144="",$CF144="",NOT(ISNUMBER($Q144))),0,MAX(0,$Q144-$CF144))</f>
        <v/>
      </c>
      <c r="CH144">
        <f>IF(OR($C144="",$O144="",$U144=0),0,IFERROR(ROUNDUP(MAX(0,IF(MATCH($S144,$V$3:$AI$3,0)=1,MAX(0,N($L144)),INDEX($AX144:$BK144,MATCH($S144,$V$3:$AI$3,0)-1))+$U144-$O144)/$G144,0),0))</f>
        <v/>
      </c>
      <c r="CI144">
        <f>IF($C144="","",IF(AND($P144="",$Q144=""),"",IF($P144="","⚠ 入庫日を ▼ から選んでください",IF(NOT(ISNUMBER($P144)),"⚠ 入庫日は ▼ から選んでください",IF($P144&lt;N('設定'!$C$6),"⚠ 入庫日が過去です（もう在庫に入っています）→ 消してください",IF($P144&gt;N('設定'!$C$6)+13,"⚠ 入庫日が14日より先です",IF(N($Q144)&lt;=0,"⚠ 入庫数を入れてください",IF($CG144&gt;0,"⚠ 目安より "&amp;$CG144&amp;" 多い（定数を超える）→ 減らす",""))))))))</f>
        <v/>
      </c>
      <c r="CJ144">
        <f>IF($C144="","",IF(AND($S144="",$T144=""),"",IF($S144="","⚠ 2便目：入庫日を ▼ から選んでください",IF(NOT(ISNUMBER($S144)),"⚠ 2便目：入庫日は ▼ から選んでください",IF($S144&lt;N('設定'!$C$6),"⚠ 2便目：入庫日が過去です（もう在庫に入っています）→ 消してください",IF($S144&gt;N('設定'!$C$6)+13,"⚠ 2便目：入庫日が14日より先です",IF(N($T144)&lt;=0,"⚠ 2便目：入庫数を入れてください",IF($CH144&gt;0,"⚠ 2便目：定数を "&amp;$CH144&amp;" ケース超える → 減らす",""))))))))</f>
        <v/>
      </c>
      <c r="CK144">
        <f>IF(AND($CI144="",N($Q144)&gt;0,ISNUMBER($P144)),1,0)</f>
        <v/>
      </c>
      <c r="CL144">
        <f>IF(AND($CJ144="",N($T144)&gt;0,ISNUMBER($S144)),1,0)</f>
        <v/>
      </c>
      <c r="CM144">
        <f>IF(OR($CK144=1,$CL144=1),1,0)</f>
        <v/>
      </c>
      <c r="CN144">
        <f>IF($C144="",0,($CK144*$R144+$CL144*$U144)*N($H144))</f>
        <v/>
      </c>
      <c r="CO144">
        <f>IF($C144="","",IF($CC144="","入庫後は 14日以上もつ",IF($CC144-N('設定'!$C$7)&lt;='設定'!$C$6,"入庫後も "&amp;TEXT($CC144,"m/d")&amp;"("&amp;CHOOSE(WEEKDAY($CC144),"日","月","火","水","木","金","土")&amp;")"&amp;" に切れる　もう1便を至急発注","入庫後も "&amp;TEXT($CC144,"m/d")&amp;"("&amp;CHOOSE(WEEKDAY($CC144),"日","月","火","水","木","金","土")&amp;")"&amp;" に切れる　"&amp;TEXT($CC144-N('設定'!$C$7),"m/d")&amp;"("&amp;CHOOSE(WEEKDAY($CC144-N('設定'!$C$7)),"日","月","火","水","木","金","土")&amp;")"&amp;" までに次を発注")))</f>
        <v/>
      </c>
      <c r="CP144">
        <f>IF($C144="","",IF('設定'!$C$6="","？ ①在庫を貼る に今日のCSVが貼られていない",IF($CS144=1,"－ 今日のCSVに無い（終売？）",IF($L144&lt;0,"● 在庫がマイナス　数えて「数えた在庫」に入れる",IF($L144=0,"● 在庫なし　至急発注",IF($M144="","？ 減り数が未設定（商品マスタ）",IF($B$3=0,"？ 動員が未入力（動員を入れる）",IF($CA144="","○ 14日以上もつ",IF($BZ144&lt;N('設定'!$C$7),"● "&amp;TEXT($CA144,"m/d")&amp;"("&amp;CHOOSE(WEEKDAY($CA144),"日","月","火","水","木","金","土")&amp;")"&amp;" に切れる　至急発注",IF($BZ144=N('設定'!$C$7),"● "&amp;TEXT($CA144,"m/d")&amp;"("&amp;CHOOSE(WEEKDAY($CA144),"日","月","火","水","木","金","土")&amp;")"&amp;" に切れる　今日発注","△ "&amp;TEXT($CA144,"m/d")&amp;"("&amp;CHOOSE(WEEKDAY($CA144),"日","月","火","水","木","金","土")&amp;")"&amp;" に切れる　"&amp;TEXT($CA144-N('設定'!$C$7),"m/d")&amp;"("&amp;CHOOSE(WEEKDAY($CA144-N('設定'!$C$7)),"日","月","火","水","木","金","土")&amp;")"&amp;" までに発注"))))))))))</f>
        <v/>
      </c>
      <c r="CQ144">
        <f>IF($C144="","",IF(AND($P144="",$Q144="",$S144="",$T144=""),"",IF(AND($P144="",$Q144=""),"⚠ 先に1便目（左の入庫日・入庫数）に入れてください",IF($CI144&lt;&gt;"",$CI144,IF($CJ144&lt;&gt;"",$CJ144,IF($M144="","？ 減り数が未設定（発注書には載ります）",IF($B$3=0,"？ 動員が未入力（発注書には載ります）",IF(AND($CA144&lt;&gt;"",$P144&gt;$CA144),IF($P144&gt;'設定'!$C$6+N('設定'!$C$7),"● "&amp;TEXT($P144,"m/d")&amp;"("&amp;CHOOSE(WEEKDAY($P144),"日","月","火","水","木","金","土")&amp;")"&amp;" の入庫では間に合わない（"&amp;TEXT($CA144,"m/d")&amp;"("&amp;CHOOSE(WEEKDAY($CA144),"日","月","火","水","木","金","土")&amp;")"&amp;" に切れる）　入庫日を早める","△ 欠品 "&amp;TEXT($CA144,"m/d")&amp;"("&amp;CHOOSE(WEEKDAY($CA144),"日","月","火","水","木","金","土")&amp;")"&amp;"〜"&amp;TEXT($P144-1,"m/d")&amp;"("&amp;CHOOSE(WEEKDAY($P144-1),"日","月","火","水","木","金","土")&amp;")"&amp;"　"&amp;$CO144),IF($CC144="","○ "&amp;TEXT($P144,"m/d")&amp;"("&amp;CHOOSE(WEEKDAY($P144),"日","月","火","水","木","金","土")&amp;")"&amp;" 入庫で 14日以上もつ",IF($CC144-N('設定'!$C$7)&lt;='設定'!$C$6,"● 入庫しても "&amp;TEXT($CC144,"m/d")&amp;"("&amp;CHOOSE(WEEKDAY($CC144),"日","月","火","水","木","金","土")&amp;")"&amp;" に切れる　もう1便を至急発注（2便目に入れる）","△ 入庫しても "&amp;TEXT($CC144,"m/d")&amp;"("&amp;CHOOSE(WEEKDAY($CC144),"日","月","火","水","木","金","土")&amp;")"&amp;" に切れる　"&amp;TEXT($CC144-N('設定'!$C$7),"m/d")&amp;"("&amp;CHOOSE(WEEKDAY($CC144-N('設定'!$C$7)),"日","月","火","水","木","金","土")&amp;")"&amp;" までに次を発注（2便目に入れる）"))))))))))</f>
        <v/>
      </c>
      <c r="CR144">
        <f>IF($C144="","",IF($G144&gt;1,"ｹｰｽ("&amp;$G144&amp;"入)","個"))</f>
        <v/>
      </c>
      <c r="CS144">
        <f>IF($C144="",0,IF(COUNTIFS('①在庫を貼る'!$V$6:$V$10005,'設定'!$C$4,'①在庫を貼る'!$W$6:$W$10005,$C144)=0,1,0))</f>
        <v/>
      </c>
      <c r="CT144">
        <f>IF(AND($CK144=1,OR('③発注書'!$C$4="すべて",'③発注書'!$C$4="",$F144='③発注書'!$C$4)),N($CT143)+1,N($CT143))</f>
        <v/>
      </c>
      <c r="CU144">
        <f>IF(AND($CL144=1,OR('③発注書'!$C$4="すべて",'③発注書'!$C$4="",$F144='③発注書'!$C$4)),N($CU143)+1,N($CU143))</f>
        <v/>
      </c>
      <c r="CV144">
        <f>IF($C144="",0,IF(COUNTIFS('①在庫を貼る'!$V$6:$V$10005,'設定'!$C$4,'①在庫を貼る'!$W$6:$W$10005,$C144)&gt;0,1,0))</f>
        <v/>
      </c>
      <c r="CW144">
        <f>IF($C144="",0,IF(COUNTIFS('月1回_1ヶ月前の在庫'!$V$6:$V$10005,'設定'!$C$4,'月1回_1ヶ月前の在庫'!$W$6:$W$10005,$C144)&gt;0,1,0))</f>
        <v/>
      </c>
      <c r="CX144">
        <f>IF($C144="",0,IF(COUNTIFS('月1回_2ヶ月前の在庫'!$V$6:$V$10005,'設定'!$C$4,'月1回_2ヶ月前の在庫'!$W$6:$W$10005,$C144)&gt;0,1,0))</f>
        <v/>
      </c>
      <c r="CY144">
        <f>IF(OR($C144="",'設定'!$C$12=""),"",IF('設定'!$C$13="",IF(AND($CV144=1,$CW144=0),"新商品（今月から）",IF(AND($CV144=0,$CW144=1),"終売（今月から）","")),IF(AND($CV144=1,$CW144=0,$CX144=0),"新商品（今月から）",IF(AND($CV144=1,$CW144=1,$CX144=0),"新商品（先月から）",IF(AND($CV144=0,$CW144=1,$CX144=1),"終売（今月から）",IF(AND($CV144=0,$CW144=0,$CX144=1),"終売（先月から）",IF(AND($CV144=1,$CW144=0,$CX144=1),"復活（先月は無し）","")))))))</f>
        <v/>
      </c>
    </row>
    <row r="145">
      <c r="B145">
        <f>IF(140&lt;='設定'!$C$11,140,"")</f>
        <v/>
      </c>
      <c r="C145">
        <f>IF($B145="","",IF($B145&lt;='設定'!$C$20,INDEX('商品マスタ'!$B$6:$B$1005,MATCH($B145,'商品マスタ'!$M$6:$M$1005,0)),IF($B145&lt;='設定'!$C$20+'設定'!$C$17,INDEX('①在庫を貼る'!$W$6:$W$10005,MATCH($B145-'設定'!$C$20,'①在庫を貼る'!$U$6:$U$10005,0)),IF($B145&lt;='設定'!$C$20+'設定'!$C$17+'設定'!$C$18,INDEX('月1回_1ヶ月前の在庫'!$W$6:$W$10005,MATCH($B145-'設定'!$C$20-'設定'!$C$17,'月1回_1ヶ月前の在庫'!$U$6:$U$10005,0)),INDEX('月1回_2ヶ月前の在庫'!$W$6:$W$10005,MATCH($B145-'設定'!$C$20-'設定'!$C$17-'設定'!$C$18,'月1回_2ヶ月前の在庫'!$U$6:$U$10005,0))))))</f>
        <v/>
      </c>
      <c r="D145">
        <f>IF($C145="","",IFERROR(IF(INDEX('商品マスタ'!$C$6:$C$1005,MATCH($C145,'商品マスタ'!$B$6:$B$1005,0))="",IFERROR(INDEX('①在庫を貼る'!$J$6:$J$10005,MATCH($C145,'①在庫を貼る'!$W$6:$W$10005,0)),IFERROR(INDEX('月1回_1ヶ月前の在庫'!$J$6:$J$10005,MATCH($C145,'月1回_1ヶ月前の在庫'!$W$6:$W$10005,0)),IFERROR(INDEX('月1回_2ヶ月前の在庫'!$J$6:$J$10005,MATCH($C145,'月1回_2ヶ月前の在庫'!$W$6:$W$10005,0)),""))),INDEX('商品マスタ'!$C$6:$C$1005,MATCH($C145,'商品マスタ'!$B$6:$B$1005,0))),IFERROR(INDEX('①在庫を貼る'!$J$6:$J$10005,MATCH($C145,'①在庫を貼る'!$W$6:$W$10005,0)),IFERROR(INDEX('月1回_1ヶ月前の在庫'!$J$6:$J$10005,MATCH($C145,'月1回_1ヶ月前の在庫'!$W$6:$W$10005,0)),IFERROR(INDEX('月1回_2ヶ月前の在庫'!$J$6:$J$10005,MATCH($C145,'月1回_2ヶ月前の在庫'!$W$6:$W$10005,0)),"")))))</f>
        <v/>
      </c>
      <c r="E145">
        <f>IF($C145="","",IFERROR(IF(INDEX('商品マスタ'!$D$6:$D$1005,MATCH($C145,'商品マスタ'!$B$6:$B$1005,0))="",IFERROR(INDEX('①在庫を貼る'!$H$6:$H$10005,MATCH($C145,'①在庫を貼る'!$W$6:$W$10005,0)),IFERROR(INDEX('月1回_1ヶ月前の在庫'!$H$6:$H$10005,MATCH($C145,'月1回_1ヶ月前の在庫'!$W$6:$W$10005,0)),IFERROR(INDEX('月1回_2ヶ月前の在庫'!$H$6:$H$10005,MATCH($C145,'月1回_2ヶ月前の在庫'!$W$6:$W$10005,0)),""))),INDEX('商品マスタ'!$D$6:$D$1005,MATCH($C145,'商品マスタ'!$B$6:$B$1005,0))),IFERROR(INDEX('①在庫を貼る'!$H$6:$H$10005,MATCH($C145,'①在庫を貼る'!$W$6:$W$10005,0)),IFERROR(INDEX('月1回_1ヶ月前の在庫'!$H$6:$H$10005,MATCH($C145,'月1回_1ヶ月前の在庫'!$W$6:$W$10005,0)),IFERROR(INDEX('月1回_2ヶ月前の在庫'!$H$6:$H$10005,MATCH($C145,'月1回_2ヶ月前の在庫'!$W$6:$W$10005,0)),"")))))</f>
        <v/>
      </c>
      <c r="F145">
        <f>IF($C145="","",IFERROR(IF(INDEX('商品マスタ'!$E$6:$E$1005,MATCH($C145,'商品マスタ'!$B$6:$B$1005,0))="",IFERROR(INDEX('①在庫を貼る'!$E$6:$E$10005,MATCH($C145,'①在庫を貼る'!$W$6:$W$10005,0)),IFERROR(INDEX('月1回_1ヶ月前の在庫'!$E$6:$E$10005,MATCH($C145,'月1回_1ヶ月前の在庫'!$W$6:$W$10005,0)),IFERROR(INDEX('月1回_2ヶ月前の在庫'!$E$6:$E$10005,MATCH($C145,'月1回_2ヶ月前の在庫'!$W$6:$W$10005,0)),""))),INDEX('商品マスタ'!$E$6:$E$1005,MATCH($C145,'商品マスタ'!$B$6:$B$1005,0))),IFERROR(INDEX('①在庫を貼る'!$E$6:$E$10005,MATCH($C145,'①在庫を貼る'!$W$6:$W$10005,0)),IFERROR(INDEX('月1回_1ヶ月前の在庫'!$E$6:$E$10005,MATCH($C145,'月1回_1ヶ月前の在庫'!$W$6:$W$10005,0)),IFERROR(INDEX('月1回_2ヶ月前の在庫'!$E$6:$E$10005,MATCH($C145,'月1回_2ヶ月前の在庫'!$W$6:$W$10005,0)),"")))))</f>
        <v/>
      </c>
      <c r="G145">
        <f>IF($C145="","",MAX(1,N(IFERROR(IF(INDEX('商品マスタ'!$F$6:$F$1005,MATCH($C145,'商品マスタ'!$B$6:$B$1005,0))="",IF(COUNTIFS('①在庫を貼る'!$V$6:$V$10005,'設定'!$C$4,'①在庫を貼る'!$W$6:$W$10005,$C145)&gt;0,SUMIFS('①在庫を貼る'!$K$6:$K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K$6:$K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K$6:$K$10005,'月1回_2ヶ月前の在庫'!$V$6:$V$10005,'設定'!$C$4,'月1回_2ヶ月前の在庫'!$W$6:$W$10005,$C145)/COUNTIFS('月1回_2ヶ月前の在庫'!$V$6:$V$10005,'設定'!$C$4,'月1回_2ヶ月前の在庫'!$W$6:$W$10005,$C145),0))),INDEX('商品マスタ'!$F$6:$F$1005,MATCH($C145,'商品マスタ'!$B$6:$B$1005,0))),IF(COUNTIFS('①在庫を貼る'!$V$6:$V$10005,'設定'!$C$4,'①在庫を貼る'!$W$6:$W$10005,$C145)&gt;0,SUMIFS('①在庫を貼る'!$K$6:$K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K$6:$K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K$6:$K$10005,'月1回_2ヶ月前の在庫'!$V$6:$V$10005,'設定'!$C$4,'月1回_2ヶ月前の在庫'!$W$6:$W$10005,$C145)/COUNTIFS('月1回_2ヶ月前の在庫'!$V$6:$V$10005,'設定'!$C$4,'月1回_2ヶ月前の在庫'!$W$6:$W$10005,$C145),0)))))))</f>
        <v/>
      </c>
      <c r="H145">
        <f>IF($C145="","",N(IFERROR(IF(INDEX('商品マスタ'!$G$6:$G$1005,MATCH($C145,'商品マスタ'!$B$6:$B$1005,0))="",IF(COUNTIFS('①在庫を貼る'!$V$6:$V$10005,'設定'!$C$4,'①在庫を貼る'!$W$6:$W$10005,$C145)&gt;0,SUMIFS('①在庫を貼る'!$Q$6:$Q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Q$6:$Q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Q$6:$Q$10005,'月1回_2ヶ月前の在庫'!$V$6:$V$10005,'設定'!$C$4,'月1回_2ヶ月前の在庫'!$W$6:$W$10005,$C145)/COUNTIFS('月1回_2ヶ月前の在庫'!$V$6:$V$10005,'設定'!$C$4,'月1回_2ヶ月前の在庫'!$W$6:$W$10005,$C145),0))),INDEX('商品マスタ'!$G$6:$G$1005,MATCH($C145,'商品マスタ'!$B$6:$B$1005,0))),IF(COUNTIFS('①在庫を貼る'!$V$6:$V$10005,'設定'!$C$4,'①在庫を貼る'!$W$6:$W$10005,$C145)&gt;0,SUMIFS('①在庫を貼る'!$Q$6:$Q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Q$6:$Q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Q$6:$Q$10005,'月1回_2ヶ月前の在庫'!$V$6:$V$10005,'設定'!$C$4,'月1回_2ヶ月前の在庫'!$W$6:$W$10005,$C145)/COUNTIFS('月1回_2ヶ月前の在庫'!$V$6:$V$10005,'設定'!$C$4,'月1回_2ヶ月前の在庫'!$W$6:$W$10005,$C145),0))))))</f>
        <v/>
      </c>
      <c r="I145">
        <f>IF($C145="","",IF(COUNTIFS('①在庫を貼る'!$V$6:$V$10005,'設定'!$C$4,'①在庫を貼る'!$W$6:$W$10005,$C145)=0,"",SUMIFS('①在庫を貼る'!$N$6:$N$10005,'①在庫を貼る'!$V$6:$V$10005,'設定'!$C$4,'①在庫を貼る'!$W$6:$W$10005,$C145)))</f>
        <v/>
      </c>
      <c r="J145">
        <f>IF($C145="","",IF('②発注する'!$AD149="","",'②発注する'!$AD149))</f>
        <v/>
      </c>
      <c r="K145" s="90">
        <f>IF($C145="","",IF('②発注する'!$AE149="","",'②発注する'!$AE149))</f>
        <v/>
      </c>
      <c r="L145">
        <f>IF($C145="","",IF(AND(ISNUMBER($J145),ISNUMBER($K145),$K145&gt;='設定'!$C$6),$J145,N($I145)))</f>
        <v/>
      </c>
      <c r="M145">
        <f>IF($C145="","",IFERROR(IF(N(INDEX('商品マスタ'!$J$6:$J$1005,MATCH($C145,'商品マスタ'!$B$6:$B$1005,0)))&gt;0,INDEX('商品マスタ'!$J$6:$J$1005,MATCH($C145,'商品マスタ'!$B$6:$B$1005,0)),""),""))</f>
        <v/>
      </c>
      <c r="N145">
        <f>IF($C145="","",IFERROR(IF(N(INDEX('商品マスタ'!$H$6:$H$1005,MATCH($C145,'商品マスタ'!$B$6:$B$1005,0)))&gt;0,INDEX('商品マスタ'!$H$6:$H$1005,MATCH($C145,'商品マスタ'!$B$6:$B$1005,0)),""),""))</f>
        <v/>
      </c>
      <c r="O145">
        <f>IF($C145="","",IF($N145&lt;&gt;"",$N145*$G145,IF(N(IF(COUNTIFS('①在庫を貼る'!$V$6:$V$10005,'設定'!$C$4,'①在庫を貼る'!$W$6:$W$10005,$C145)&gt;0,SUMIFS('①在庫を貼る'!$O$6:$O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O$6:$O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O$6:$O$10005,'月1回_2ヶ月前の在庫'!$V$6:$V$10005,'設定'!$C$4,'月1回_2ヶ月前の在庫'!$W$6:$W$10005,$C145)/COUNTIFS('月1回_2ヶ月前の在庫'!$V$6:$V$10005,'設定'!$C$4,'月1回_2ヶ月前の在庫'!$W$6:$W$10005,$C145),0))))&gt;0,N(IF(COUNTIFS('①在庫を貼る'!$V$6:$V$10005,'設定'!$C$4,'①在庫を貼る'!$W$6:$W$10005,$C145)&gt;0,SUMIFS('①在庫を貼る'!$O$6:$O$10005,'①在庫を貼る'!$V$6:$V$10005,'設定'!$C$4,'①在庫を貼る'!$W$6:$W$10005,$C145)/COUNTIFS('①在庫を貼る'!$V$6:$V$10005,'設定'!$C$4,'①在庫を貼る'!$W$6:$W$10005,$C145),IF(COUNTIFS('月1回_1ヶ月前の在庫'!$V$6:$V$10005,'設定'!$C$4,'月1回_1ヶ月前の在庫'!$W$6:$W$10005,$C145)&gt;0,SUMIFS('月1回_1ヶ月前の在庫'!$O$6:$O$10005,'月1回_1ヶ月前の在庫'!$V$6:$V$10005,'設定'!$C$4,'月1回_1ヶ月前の在庫'!$W$6:$W$10005,$C145)/COUNTIFS('月1回_1ヶ月前の在庫'!$V$6:$V$10005,'設定'!$C$4,'月1回_1ヶ月前の在庫'!$W$6:$W$10005,$C145),IF(COUNTIFS('月1回_2ヶ月前の在庫'!$V$6:$V$10005,'設定'!$C$4,'月1回_2ヶ月前の在庫'!$W$6:$W$10005,$C145)&gt;0,SUMIFS('月1回_2ヶ月前の在庫'!$O$6:$O$10005,'月1回_2ヶ月前の在庫'!$V$6:$V$10005,'設定'!$C$4,'月1回_2ヶ月前の在庫'!$W$6:$W$10005,$C145)/COUNTIFS('月1回_2ヶ月前の在庫'!$V$6:$V$10005,'設定'!$C$4,'月1回_2ヶ月前の在庫'!$W$6:$W$10005,$C145),0)))),"")))</f>
        <v/>
      </c>
      <c r="P145" s="90">
        <f>IF($C145="","",IF('②発注する'!$I149="","",'②発注する'!$I149))</f>
        <v/>
      </c>
      <c r="Q145">
        <f>IF($C145="","",IF('②発注する'!$J149="","",'②発注する'!$J149))</f>
        <v/>
      </c>
      <c r="R145">
        <f>IF($C145="",0,IF(AND(ISNUMBER($P145),ISNUMBER($Q145)),MAX(0,$Q145)*$G145,0))</f>
        <v/>
      </c>
      <c r="S145" s="90">
        <f>IF($C145="","",IF('②発注する'!$M149="","",'②発注する'!$M149))</f>
        <v/>
      </c>
      <c r="T145">
        <f>IF($C145="","",IF('②発注する'!$N149="","",'②発注する'!$N149))</f>
        <v/>
      </c>
      <c r="U145">
        <f>IF($C145="",0,IF(AND(ISNUMBER($S145),ISNUMBER($T145)),MAX(0,$T145)*$G145,0))</f>
        <v/>
      </c>
      <c r="V145">
        <f>IF($C145="",0,IF($M145="",0,MAX(0,$M145)*MAX(0,V$4)/100))</f>
        <v/>
      </c>
      <c r="W145">
        <f>IF($C145="",0,IF($M145="",0,MAX(0,$M145)*MAX(0,W$4)/100))</f>
        <v/>
      </c>
      <c r="X145">
        <f>IF($C145="",0,IF($M145="",0,MAX(0,$M145)*MAX(0,X$4)/100))</f>
        <v/>
      </c>
      <c r="Y145">
        <f>IF($C145="",0,IF($M145="",0,MAX(0,$M145)*MAX(0,Y$4)/100))</f>
        <v/>
      </c>
      <c r="Z145">
        <f>IF($C145="",0,IF($M145="",0,MAX(0,$M145)*MAX(0,Z$4)/100))</f>
        <v/>
      </c>
      <c r="AA145">
        <f>IF($C145="",0,IF($M145="",0,MAX(0,$M145)*MAX(0,AA$4)/100))</f>
        <v/>
      </c>
      <c r="AB145">
        <f>IF($C145="",0,IF($M145="",0,MAX(0,$M145)*MAX(0,AB$4)/100))</f>
        <v/>
      </c>
      <c r="AC145">
        <f>IF($C145="",0,IF($M145="",0,MAX(0,$M145)*MAX(0,AC$4)/100))</f>
        <v/>
      </c>
      <c r="AD145">
        <f>IF($C145="",0,IF($M145="",0,MAX(0,$M145)*MAX(0,AD$4)/100))</f>
        <v/>
      </c>
      <c r="AE145">
        <f>IF($C145="",0,IF($M145="",0,MAX(0,$M145)*MAX(0,AE$4)/100))</f>
        <v/>
      </c>
      <c r="AF145">
        <f>IF($C145="",0,IF($M145="",0,MAX(0,$M145)*MAX(0,AF$4)/100))</f>
        <v/>
      </c>
      <c r="AG145">
        <f>IF($C145="",0,IF($M145="",0,MAX(0,$M145)*MAX(0,AG$4)/100))</f>
        <v/>
      </c>
      <c r="AH145">
        <f>IF($C145="",0,IF($M145="",0,MAX(0,$M145)*MAX(0,AH$4)/100))</f>
        <v/>
      </c>
      <c r="AI145">
        <f>IF($C145="",0,IF($M145="",0,MAX(0,$M145)*MAX(0,AI$4)/100))</f>
        <v/>
      </c>
      <c r="AJ145">
        <f>IF($C145="",0,MAX(0,MAX(0,N($L145))-$V145))</f>
        <v/>
      </c>
      <c r="AK145">
        <f>IF($C145="",0,MAX(0,$AJ145-$W145))</f>
        <v/>
      </c>
      <c r="AL145">
        <f>IF($C145="",0,MAX(0,$AK145-$X145))</f>
        <v/>
      </c>
      <c r="AM145">
        <f>IF($C145="",0,MAX(0,$AL145-$Y145))</f>
        <v/>
      </c>
      <c r="AN145">
        <f>IF($C145="",0,MAX(0,$AM145-$Z145))</f>
        <v/>
      </c>
      <c r="AO145">
        <f>IF($C145="",0,MAX(0,$AN145-$AA145))</f>
        <v/>
      </c>
      <c r="AP145">
        <f>IF($C145="",0,MAX(0,$AO145-$AB145))</f>
        <v/>
      </c>
      <c r="AQ145">
        <f>IF($C145="",0,MAX(0,$AP145-$AC145))</f>
        <v/>
      </c>
      <c r="AR145">
        <f>IF($C145="",0,MAX(0,$AQ145-$AD145))</f>
        <v/>
      </c>
      <c r="AS145">
        <f>IF($C145="",0,MAX(0,$AR145-$AE145))</f>
        <v/>
      </c>
      <c r="AT145">
        <f>IF($C145="",0,MAX(0,$AS145-$AF145))</f>
        <v/>
      </c>
      <c r="AU145">
        <f>IF($C145="",0,MAX(0,$AT145-$AG145))</f>
        <v/>
      </c>
      <c r="AV145">
        <f>IF($C145="",0,MAX(0,$AU145-$AH145))</f>
        <v/>
      </c>
      <c r="AW145">
        <f>IF($C145="",0,MAX(0,$AV145-$AI145))</f>
        <v/>
      </c>
      <c r="AX145">
        <f>IF($C145="",0,MAX(0,MAX(0,N($L145))+IF($P145=V$3,$R145,0)+IF($S145=V$3,$U145,0)-$V145))</f>
        <v/>
      </c>
      <c r="AY145">
        <f>IF($C145="",0,MAX(0,$AX145+IF($P145=W$3,$R145,0)+IF($S145=W$3,$U145,0)-$W145))</f>
        <v/>
      </c>
      <c r="AZ145">
        <f>IF($C145="",0,MAX(0,$AY145+IF($P145=X$3,$R145,0)+IF($S145=X$3,$U145,0)-$X145))</f>
        <v/>
      </c>
      <c r="BA145">
        <f>IF($C145="",0,MAX(0,$AZ145+IF($P145=Y$3,$R145,0)+IF($S145=Y$3,$U145,0)-$Y145))</f>
        <v/>
      </c>
      <c r="BB145">
        <f>IF($C145="",0,MAX(0,$BA145+IF($P145=Z$3,$R145,0)+IF($S145=Z$3,$U145,0)-$Z145))</f>
        <v/>
      </c>
      <c r="BC145">
        <f>IF($C145="",0,MAX(0,$BB145+IF($P145=AA$3,$R145,0)+IF($S145=AA$3,$U145,0)-$AA145))</f>
        <v/>
      </c>
      <c r="BD145">
        <f>IF($C145="",0,MAX(0,$BC145+IF($P145=AB$3,$R145,0)+IF($S145=AB$3,$U145,0)-$AB145))</f>
        <v/>
      </c>
      <c r="BE145">
        <f>IF($C145="",0,MAX(0,$BD145+IF($P145=AC$3,$R145,0)+IF($S145=AC$3,$U145,0)-$AC145))</f>
        <v/>
      </c>
      <c r="BF145">
        <f>IF($C145="",0,MAX(0,$BE145+IF($P145=AD$3,$R145,0)+IF($S145=AD$3,$U145,0)-$AD145))</f>
        <v/>
      </c>
      <c r="BG145">
        <f>IF($C145="",0,MAX(0,$BF145+IF($P145=AE$3,$R145,0)+IF($S145=AE$3,$U145,0)-$AE145))</f>
        <v/>
      </c>
      <c r="BH145">
        <f>IF($C145="",0,MAX(0,$BG145+IF($P145=AF$3,$R145,0)+IF($S145=AF$3,$U145,0)-$AF145))</f>
        <v/>
      </c>
      <c r="BI145">
        <f>IF($C145="",0,MAX(0,$BH145+IF($P145=AG$3,$R145,0)+IF($S145=AG$3,$U145,0)-$AG145))</f>
        <v/>
      </c>
      <c r="BJ145">
        <f>IF($C145="",0,MAX(0,$BI145+IF($P145=AH$3,$R145,0)+IF($S145=AH$3,$U145,0)-$AH145))</f>
        <v/>
      </c>
      <c r="BK145">
        <f>IF($C145="",0,MAX(0,$BJ145+IF($P145=AI$3,$R145,0)+IF($S145=AI$3,$U145,0)-$AI145))</f>
        <v/>
      </c>
      <c r="BL145">
        <f>IF($C145="",99,IF(AND($AX145&lt;1,V$3&gt;=MAX(N($P145),N($S145))),0,99))</f>
        <v/>
      </c>
      <c r="BM145">
        <f>IF($C145="",99,IF(AND($AY145&lt;1,W$3&gt;=MAX(N($P145),N($S145))),1,99))</f>
        <v/>
      </c>
      <c r="BN145">
        <f>IF($C145="",99,IF(AND($AZ145&lt;1,X$3&gt;=MAX(N($P145),N($S145))),2,99))</f>
        <v/>
      </c>
      <c r="BO145">
        <f>IF($C145="",99,IF(AND($BA145&lt;1,Y$3&gt;=MAX(N($P145),N($S145))),3,99))</f>
        <v/>
      </c>
      <c r="BP145">
        <f>IF($C145="",99,IF(AND($BB145&lt;1,Z$3&gt;=MAX(N($P145),N($S145))),4,99))</f>
        <v/>
      </c>
      <c r="BQ145">
        <f>IF($C145="",99,IF(AND($BC145&lt;1,AA$3&gt;=MAX(N($P145),N($S145))),5,99))</f>
        <v/>
      </c>
      <c r="BR145">
        <f>IF($C145="",99,IF(AND($BD145&lt;1,AB$3&gt;=MAX(N($P145),N($S145))),6,99))</f>
        <v/>
      </c>
      <c r="BS145">
        <f>IF($C145="",99,IF(AND($BE145&lt;1,AC$3&gt;=MAX(N($P145),N($S145))),7,99))</f>
        <v/>
      </c>
      <c r="BT145">
        <f>IF($C145="",99,IF(AND($BF145&lt;1,AD$3&gt;=MAX(N($P145),N($S145))),8,99))</f>
        <v/>
      </c>
      <c r="BU145">
        <f>IF($C145="",99,IF(AND($BG145&lt;1,AE$3&gt;=MAX(N($P145),N($S145))),9,99))</f>
        <v/>
      </c>
      <c r="BV145">
        <f>IF($C145="",99,IF(AND($BH145&lt;1,AF$3&gt;=MAX(N($P145),N($S145))),10,99))</f>
        <v/>
      </c>
      <c r="BW145">
        <f>IF($C145="",99,IF(AND($BI145&lt;1,AG$3&gt;=MAX(N($P145),N($S145))),11,99))</f>
        <v/>
      </c>
      <c r="BX145">
        <f>IF($C145="",99,IF(AND($BJ145&lt;1,AH$3&gt;=MAX(N($P145),N($S145))),12,99))</f>
        <v/>
      </c>
      <c r="BY145">
        <f>IF($C145="",99,IF(AND($BK145&lt;1,AI$3&gt;=MAX(N($P145),N($S145))),13,99))</f>
        <v/>
      </c>
      <c r="BZ145">
        <f>IF(OR($C145="",$M145=""),"",COUNTIF($AJ145:$AW145,"&gt;=1"))</f>
        <v/>
      </c>
      <c r="CA145" s="90">
        <f>IF($BZ145="","",IF($BZ145&gt;=14,"",'設定'!$C$6+$BZ145))</f>
        <v/>
      </c>
      <c r="CB145">
        <f>IF(OR($C145="",$M145=""),"",MIN($BL145:$BY145))</f>
        <v/>
      </c>
      <c r="CC145" s="90">
        <f>IF($CB145="","",IF($CB145&gt;=99,"",'設定'!$C$6+$CB145))</f>
        <v/>
      </c>
      <c r="CD145">
        <f>IF(OR($C145="",$M145=""),"",AVERAGE($V145:$AI145))</f>
        <v/>
      </c>
      <c r="CE145">
        <f>IF($C145="","",IFERROR(IF(MATCH(IF(ISNUMBER($P145),$P145,'設定'!$C$6+N('設定'!$C$7)),$V$3:$AI$3,0)=1,MAX(0,N($L145)),INDEX($AJ145:$AW145,MATCH(IF(ISNUMBER($P145),$P145,'設定'!$C$6+N('設定'!$C$7)),$V$3:$AI$3,0)-1)),""))</f>
        <v/>
      </c>
      <c r="CF145">
        <f>IF(OR($C145="",$O145="",$CE145=""),"",IF($O145-$CE145&lt;=0,0,ROUNDUP(($O145-$CE145)/$G145,0)))</f>
        <v/>
      </c>
      <c r="CG145">
        <f>IF(OR($C145="",$CF145="",NOT(ISNUMBER($Q145))),0,MAX(0,$Q145-$CF145))</f>
        <v/>
      </c>
      <c r="CH145">
        <f>IF(OR($C145="",$O145="",$U145=0),0,IFERROR(ROUNDUP(MAX(0,IF(MATCH($S145,$V$3:$AI$3,0)=1,MAX(0,N($L145)),INDEX($AX145:$BK145,MATCH($S145,$V$3:$AI$3,0)-1))+$U145-$O145)/$G145,0),0))</f>
        <v/>
      </c>
      <c r="CI145">
        <f>IF($C145="","",IF(AND($P145="",$Q145=""),"",IF($P145="","⚠ 入庫日を ▼ から選んでください",IF(NOT(ISNUMBER($P145)),"⚠ 入庫日は ▼ から選んでください",IF($P145&lt;N('設定'!$C$6),"⚠ 入庫日が過去です（もう在庫に入っています）→ 消してください",IF($P145&gt;N('設定'!$C$6)+13,"⚠ 入庫日が14日より先です",IF(N($Q145)&lt;=0,"⚠ 入庫数を入れてください",IF($CG145&gt;0,"⚠ 目安より "&amp;$CG145&amp;" 多い（定数を超える）→ 減らす",""))))))))</f>
        <v/>
      </c>
      <c r="CJ145">
        <f>IF($C145="","",IF(AND($S145="",$T145=""),"",IF($S145="","⚠ 2便目：入庫日を ▼ から選んでください",IF(NOT(ISNUMBER($S145)),"⚠ 2便目：入庫日は ▼ から選んでください",IF($S145&lt;N('設定'!$C$6),"⚠ 2便目：入庫日が過去です（もう在庫に入っています）→ 消してください",IF($S145&gt;N('設定'!$C$6)+13,"⚠ 2便目：入庫日が14日より先です",IF(N($T145)&lt;=0,"⚠ 2便目：入庫数を入れてください",IF($CH145&gt;0,"⚠ 2便目：定数を "&amp;$CH145&amp;" ケース超える → 減らす",""))))))))</f>
        <v/>
      </c>
      <c r="CK145">
        <f>IF(AND($CI145="",N($Q145)&gt;0,ISNUMBER($P145)),1,0)</f>
        <v/>
      </c>
      <c r="CL145">
        <f>IF(AND($CJ145="",N($T145)&gt;0,ISNUMBER($S145)),1,0)</f>
        <v/>
      </c>
      <c r="CM145">
        <f>IF(OR($CK145=1,$CL145=1),1,0)</f>
        <v/>
      </c>
      <c r="CN145">
        <f>IF($C145="",0,($CK145*$R145+$CL145*$U145)*N($H145))</f>
        <v/>
      </c>
      <c r="CO145">
        <f>IF($C145="","",IF($CC145="","入庫後は 14日以上もつ",IF($CC145-N('設定'!$C$7)&lt;='設定'!$C$6,"入庫後も "&amp;TEXT($CC145,"m/d")&amp;"("&amp;CHOOSE(WEEKDAY($CC145),"日","月","火","水","木","金","土")&amp;")"&amp;" に切れる　もう1便を至急発注","入庫後も "&amp;TEXT($CC145,"m/d")&amp;"("&amp;CHOOSE(WEEKDAY($CC145),"日","月","火","水","木","金","土")&amp;")"&amp;" に切れる　"&amp;TEXT($CC145-N('設定'!$C$7),"m/d")&amp;"("&amp;CHOOSE(WEEKDAY($CC145-N('設定'!$C$7)),"日","月","火","水","木","金","土")&amp;")"&amp;" までに次を発注")))</f>
        <v/>
      </c>
      <c r="CP145">
        <f>IF($C145="","",IF('設定'!$C$6="","？ ①在庫を貼る に今日のCSVが貼られていない",IF($CS145=1,"－ 今日のCSVに無い（終売？）",IF($L145&lt;0,"● 在庫がマイナス　数えて「数えた在庫」に入れる",IF($L145=0,"● 在庫なし　至急発注",IF($M145="","？ 減り数が未設定（商品マスタ）",IF($B$3=0,"？ 動員が未入力（動員を入れる）",IF($CA145="","○ 14日以上もつ",IF($BZ145&lt;N('設定'!$C$7),"● "&amp;TEXT($CA145,"m/d")&amp;"("&amp;CHOOSE(WEEKDAY($CA145),"日","月","火","水","木","金","土")&amp;")"&amp;" に切れる　至急発注",IF($BZ145=N('設定'!$C$7),"● "&amp;TEXT($CA145,"m/d")&amp;"("&amp;CHOOSE(WEEKDAY($CA145),"日","月","火","水","木","金","土")&amp;")"&amp;" に切れる　今日発注","△ "&amp;TEXT($CA145,"m/d")&amp;"("&amp;CHOOSE(WEEKDAY($CA145),"日","月","火","水","木","金","土")&amp;")"&amp;" に切れる　"&amp;TEXT($CA145-N('設定'!$C$7),"m/d")&amp;"("&amp;CHOOSE(WEEKDAY($CA145-N('設定'!$C$7)),"日","月","火","水","木","金","土")&amp;")"&amp;" までに発注"))))))))))</f>
        <v/>
      </c>
      <c r="CQ145">
        <f>IF($C145="","",IF(AND($P145="",$Q145="",$S145="",$T145=""),"",IF(AND($P145="",$Q145=""),"⚠ 先に1便目（左の入庫日・入庫数）に入れてください",IF($CI145&lt;&gt;"",$CI145,IF($CJ145&lt;&gt;"",$CJ145,IF($M145="","？ 減り数が未設定（発注書には載ります）",IF($B$3=0,"？ 動員が未入力（発注書には載ります）",IF(AND($CA145&lt;&gt;"",$P145&gt;$CA145),IF($P145&gt;'設定'!$C$6+N('設定'!$C$7),"● "&amp;TEXT($P145,"m/d")&amp;"("&amp;CHOOSE(WEEKDAY($P145),"日","月","火","水","木","金","土")&amp;")"&amp;" の入庫では間に合わない（"&amp;TEXT($CA145,"m/d")&amp;"("&amp;CHOOSE(WEEKDAY($CA145),"日","月","火","水","木","金","土")&amp;")"&amp;" に切れる）　入庫日を早める","△ 欠品 "&amp;TEXT($CA145,"m/d")&amp;"("&amp;CHOOSE(WEEKDAY($CA145),"日","月","火","水","木","金","土")&amp;")"&amp;"〜"&amp;TEXT($P145-1,"m/d")&amp;"("&amp;CHOOSE(WEEKDAY($P145-1),"日","月","火","水","木","金","土")&amp;")"&amp;"　"&amp;$CO145),IF($CC145="","○ "&amp;TEXT($P145,"m/d")&amp;"("&amp;CHOOSE(WEEKDAY($P145),"日","月","火","水","木","金","土")&amp;")"&amp;" 入庫で 14日以上もつ",IF($CC145-N('設定'!$C$7)&lt;='設定'!$C$6,"● 入庫しても "&amp;TEXT($CC145,"m/d")&amp;"("&amp;CHOOSE(WEEKDAY($CC145),"日","月","火","水","木","金","土")&amp;")"&amp;" に切れる　もう1便を至急発注（2便目に入れる）","△ 入庫しても "&amp;TEXT($CC145,"m/d")&amp;"("&amp;CHOOSE(WEEKDAY($CC145),"日","月","火","水","木","金","土")&amp;")"&amp;" に切れる　"&amp;TEXT($CC145-N('設定'!$C$7),"m/d")&amp;"("&amp;CHOOSE(WEEKDAY($CC145-N('設定'!$C$7)),"日","月","火","水","木","金","土")&amp;")"&amp;" までに次を発注（2便目に入れる）"))))))))))</f>
        <v/>
      </c>
      <c r="CR145">
        <f>IF($C145="","",IF($G145&gt;1,"ｹｰｽ("&amp;$G145&amp;"入)","個"))</f>
        <v/>
      </c>
      <c r="CS145">
        <f>IF($C145="",0,IF(COUNTIFS('①在庫を貼る'!$V$6:$V$10005,'設定'!$C$4,'①在庫を貼る'!$W$6:$W$10005,$C145)=0,1,0))</f>
        <v/>
      </c>
      <c r="CT145">
        <f>IF(AND($CK145=1,OR('③発注書'!$C$4="すべて",'③発注書'!$C$4="",$F145='③発注書'!$C$4)),N($CT144)+1,N($CT144))</f>
        <v/>
      </c>
      <c r="CU145">
        <f>IF(AND($CL145=1,OR('③発注書'!$C$4="すべて",'③発注書'!$C$4="",$F145='③発注書'!$C$4)),N($CU144)+1,N($CU144))</f>
        <v/>
      </c>
      <c r="CV145">
        <f>IF($C145="",0,IF(COUNTIFS('①在庫を貼る'!$V$6:$V$10005,'設定'!$C$4,'①在庫を貼る'!$W$6:$W$10005,$C145)&gt;0,1,0))</f>
        <v/>
      </c>
      <c r="CW145">
        <f>IF($C145="",0,IF(COUNTIFS('月1回_1ヶ月前の在庫'!$V$6:$V$10005,'設定'!$C$4,'月1回_1ヶ月前の在庫'!$W$6:$W$10005,$C145)&gt;0,1,0))</f>
        <v/>
      </c>
      <c r="CX145">
        <f>IF($C145="",0,IF(COUNTIFS('月1回_2ヶ月前の在庫'!$V$6:$V$10005,'設定'!$C$4,'月1回_2ヶ月前の在庫'!$W$6:$W$10005,$C145)&gt;0,1,0))</f>
        <v/>
      </c>
      <c r="CY145">
        <f>IF(OR($C145="",'設定'!$C$12=""),"",IF('設定'!$C$13="",IF(AND($CV145=1,$CW145=0),"新商品（今月から）",IF(AND($CV145=0,$CW145=1),"終売（今月から）","")),IF(AND($CV145=1,$CW145=0,$CX145=0),"新商品（今月から）",IF(AND($CV145=1,$CW145=1,$CX145=0),"新商品（先月から）",IF(AND($CV145=0,$CW145=1,$CX145=1),"終売（今月から）",IF(AND($CV145=0,$CW145=0,$CX145=1),"終売（先月から）",IF(AND($CV145=1,$CW145=0,$CX145=1),"復活（先月は無し）","")))))))</f>
        <v/>
      </c>
    </row>
    <row r="146">
      <c r="B146">
        <f>IF(141&lt;='設定'!$C$11,141,"")</f>
        <v/>
      </c>
      <c r="C146">
        <f>IF($B146="","",IF($B146&lt;='設定'!$C$20,INDEX('商品マスタ'!$B$6:$B$1005,MATCH($B146,'商品マスタ'!$M$6:$M$1005,0)),IF($B146&lt;='設定'!$C$20+'設定'!$C$17,INDEX('①在庫を貼る'!$W$6:$W$10005,MATCH($B146-'設定'!$C$20,'①在庫を貼る'!$U$6:$U$10005,0)),IF($B146&lt;='設定'!$C$20+'設定'!$C$17+'設定'!$C$18,INDEX('月1回_1ヶ月前の在庫'!$W$6:$W$10005,MATCH($B146-'設定'!$C$20-'設定'!$C$17,'月1回_1ヶ月前の在庫'!$U$6:$U$10005,0)),INDEX('月1回_2ヶ月前の在庫'!$W$6:$W$10005,MATCH($B146-'設定'!$C$20-'設定'!$C$17-'設定'!$C$18,'月1回_2ヶ月前の在庫'!$U$6:$U$10005,0))))))</f>
        <v/>
      </c>
      <c r="D146">
        <f>IF($C146="","",IFERROR(IF(INDEX('商品マスタ'!$C$6:$C$1005,MATCH($C146,'商品マスタ'!$B$6:$B$1005,0))="",IFERROR(INDEX('①在庫を貼る'!$J$6:$J$10005,MATCH($C146,'①在庫を貼る'!$W$6:$W$10005,0)),IFERROR(INDEX('月1回_1ヶ月前の在庫'!$J$6:$J$10005,MATCH($C146,'月1回_1ヶ月前の在庫'!$W$6:$W$10005,0)),IFERROR(INDEX('月1回_2ヶ月前の在庫'!$J$6:$J$10005,MATCH($C146,'月1回_2ヶ月前の在庫'!$W$6:$W$10005,0)),""))),INDEX('商品マスタ'!$C$6:$C$1005,MATCH($C146,'商品マスタ'!$B$6:$B$1005,0))),IFERROR(INDEX('①在庫を貼る'!$J$6:$J$10005,MATCH($C146,'①在庫を貼る'!$W$6:$W$10005,0)),IFERROR(INDEX('月1回_1ヶ月前の在庫'!$J$6:$J$10005,MATCH($C146,'月1回_1ヶ月前の在庫'!$W$6:$W$10005,0)),IFERROR(INDEX('月1回_2ヶ月前の在庫'!$J$6:$J$10005,MATCH($C146,'月1回_2ヶ月前の在庫'!$W$6:$W$10005,0)),"")))))</f>
        <v/>
      </c>
      <c r="E146">
        <f>IF($C146="","",IFERROR(IF(INDEX('商品マスタ'!$D$6:$D$1005,MATCH($C146,'商品マスタ'!$B$6:$B$1005,0))="",IFERROR(INDEX('①在庫を貼る'!$H$6:$H$10005,MATCH($C146,'①在庫を貼る'!$W$6:$W$10005,0)),IFERROR(INDEX('月1回_1ヶ月前の在庫'!$H$6:$H$10005,MATCH($C146,'月1回_1ヶ月前の在庫'!$W$6:$W$10005,0)),IFERROR(INDEX('月1回_2ヶ月前の在庫'!$H$6:$H$10005,MATCH($C146,'月1回_2ヶ月前の在庫'!$W$6:$W$10005,0)),""))),INDEX('商品マスタ'!$D$6:$D$1005,MATCH($C146,'商品マスタ'!$B$6:$B$1005,0))),IFERROR(INDEX('①在庫を貼る'!$H$6:$H$10005,MATCH($C146,'①在庫を貼る'!$W$6:$W$10005,0)),IFERROR(INDEX('月1回_1ヶ月前の在庫'!$H$6:$H$10005,MATCH($C146,'月1回_1ヶ月前の在庫'!$W$6:$W$10005,0)),IFERROR(INDEX('月1回_2ヶ月前の在庫'!$H$6:$H$10005,MATCH($C146,'月1回_2ヶ月前の在庫'!$W$6:$W$10005,0)),"")))))</f>
        <v/>
      </c>
      <c r="F146">
        <f>IF($C146="","",IFERROR(IF(INDEX('商品マスタ'!$E$6:$E$1005,MATCH($C146,'商品マスタ'!$B$6:$B$1005,0))="",IFERROR(INDEX('①在庫を貼る'!$E$6:$E$10005,MATCH($C146,'①在庫を貼る'!$W$6:$W$10005,0)),IFERROR(INDEX('月1回_1ヶ月前の在庫'!$E$6:$E$10005,MATCH($C146,'月1回_1ヶ月前の在庫'!$W$6:$W$10005,0)),IFERROR(INDEX('月1回_2ヶ月前の在庫'!$E$6:$E$10005,MATCH($C146,'月1回_2ヶ月前の在庫'!$W$6:$W$10005,0)),""))),INDEX('商品マスタ'!$E$6:$E$1005,MATCH($C146,'商品マスタ'!$B$6:$B$1005,0))),IFERROR(INDEX('①在庫を貼る'!$E$6:$E$10005,MATCH($C146,'①在庫を貼る'!$W$6:$W$10005,0)),IFERROR(INDEX('月1回_1ヶ月前の在庫'!$E$6:$E$10005,MATCH($C146,'月1回_1ヶ月前の在庫'!$W$6:$W$10005,0)),IFERROR(INDEX('月1回_2ヶ月前の在庫'!$E$6:$E$10005,MATCH($C146,'月1回_2ヶ月前の在庫'!$W$6:$W$10005,0)),"")))))</f>
        <v/>
      </c>
      <c r="G146">
        <f>IF($C146="","",MAX(1,N(IFERROR(IF(INDEX('商品マスタ'!$F$6:$F$1005,MATCH($C146,'商品マスタ'!$B$6:$B$1005,0))="",IF(COUNTIFS('①在庫を貼る'!$V$6:$V$10005,'設定'!$C$4,'①在庫を貼る'!$W$6:$W$10005,$C146)&gt;0,SUMIFS('①在庫を貼る'!$K$6:$K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K$6:$K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K$6:$K$10005,'月1回_2ヶ月前の在庫'!$V$6:$V$10005,'設定'!$C$4,'月1回_2ヶ月前の在庫'!$W$6:$W$10005,$C146)/COUNTIFS('月1回_2ヶ月前の在庫'!$V$6:$V$10005,'設定'!$C$4,'月1回_2ヶ月前の在庫'!$W$6:$W$10005,$C146),0))),INDEX('商品マスタ'!$F$6:$F$1005,MATCH($C146,'商品マスタ'!$B$6:$B$1005,0))),IF(COUNTIFS('①在庫を貼る'!$V$6:$V$10005,'設定'!$C$4,'①在庫を貼る'!$W$6:$W$10005,$C146)&gt;0,SUMIFS('①在庫を貼る'!$K$6:$K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K$6:$K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K$6:$K$10005,'月1回_2ヶ月前の在庫'!$V$6:$V$10005,'設定'!$C$4,'月1回_2ヶ月前の在庫'!$W$6:$W$10005,$C146)/COUNTIFS('月1回_2ヶ月前の在庫'!$V$6:$V$10005,'設定'!$C$4,'月1回_2ヶ月前の在庫'!$W$6:$W$10005,$C146),0)))))))</f>
        <v/>
      </c>
      <c r="H146">
        <f>IF($C146="","",N(IFERROR(IF(INDEX('商品マスタ'!$G$6:$G$1005,MATCH($C146,'商品マスタ'!$B$6:$B$1005,0))="",IF(COUNTIFS('①在庫を貼る'!$V$6:$V$10005,'設定'!$C$4,'①在庫を貼る'!$W$6:$W$10005,$C146)&gt;0,SUMIFS('①在庫を貼る'!$Q$6:$Q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Q$6:$Q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Q$6:$Q$10005,'月1回_2ヶ月前の在庫'!$V$6:$V$10005,'設定'!$C$4,'月1回_2ヶ月前の在庫'!$W$6:$W$10005,$C146)/COUNTIFS('月1回_2ヶ月前の在庫'!$V$6:$V$10005,'設定'!$C$4,'月1回_2ヶ月前の在庫'!$W$6:$W$10005,$C146),0))),INDEX('商品マスタ'!$G$6:$G$1005,MATCH($C146,'商品マスタ'!$B$6:$B$1005,0))),IF(COUNTIFS('①在庫を貼る'!$V$6:$V$10005,'設定'!$C$4,'①在庫を貼る'!$W$6:$W$10005,$C146)&gt;0,SUMIFS('①在庫を貼る'!$Q$6:$Q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Q$6:$Q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Q$6:$Q$10005,'月1回_2ヶ月前の在庫'!$V$6:$V$10005,'設定'!$C$4,'月1回_2ヶ月前の在庫'!$W$6:$W$10005,$C146)/COUNTIFS('月1回_2ヶ月前の在庫'!$V$6:$V$10005,'設定'!$C$4,'月1回_2ヶ月前の在庫'!$W$6:$W$10005,$C146),0))))))</f>
        <v/>
      </c>
      <c r="I146">
        <f>IF($C146="","",IF(COUNTIFS('①在庫を貼る'!$V$6:$V$10005,'設定'!$C$4,'①在庫を貼る'!$W$6:$W$10005,$C146)=0,"",SUMIFS('①在庫を貼る'!$N$6:$N$10005,'①在庫を貼る'!$V$6:$V$10005,'設定'!$C$4,'①在庫を貼る'!$W$6:$W$10005,$C146)))</f>
        <v/>
      </c>
      <c r="J146">
        <f>IF($C146="","",IF('②発注する'!$AD150="","",'②発注する'!$AD150))</f>
        <v/>
      </c>
      <c r="K146" s="90">
        <f>IF($C146="","",IF('②発注する'!$AE150="","",'②発注する'!$AE150))</f>
        <v/>
      </c>
      <c r="L146">
        <f>IF($C146="","",IF(AND(ISNUMBER($J146),ISNUMBER($K146),$K146&gt;='設定'!$C$6),$J146,N($I146)))</f>
        <v/>
      </c>
      <c r="M146">
        <f>IF($C146="","",IFERROR(IF(N(INDEX('商品マスタ'!$J$6:$J$1005,MATCH($C146,'商品マスタ'!$B$6:$B$1005,0)))&gt;0,INDEX('商品マスタ'!$J$6:$J$1005,MATCH($C146,'商品マスタ'!$B$6:$B$1005,0)),""),""))</f>
        <v/>
      </c>
      <c r="N146">
        <f>IF($C146="","",IFERROR(IF(N(INDEX('商品マスタ'!$H$6:$H$1005,MATCH($C146,'商品マスタ'!$B$6:$B$1005,0)))&gt;0,INDEX('商品マスタ'!$H$6:$H$1005,MATCH($C146,'商品マスタ'!$B$6:$B$1005,0)),""),""))</f>
        <v/>
      </c>
      <c r="O146">
        <f>IF($C146="","",IF($N146&lt;&gt;"",$N146*$G146,IF(N(IF(COUNTIFS('①在庫を貼る'!$V$6:$V$10005,'設定'!$C$4,'①在庫を貼る'!$W$6:$W$10005,$C146)&gt;0,SUMIFS('①在庫を貼る'!$O$6:$O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O$6:$O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O$6:$O$10005,'月1回_2ヶ月前の在庫'!$V$6:$V$10005,'設定'!$C$4,'月1回_2ヶ月前の在庫'!$W$6:$W$10005,$C146)/COUNTIFS('月1回_2ヶ月前の在庫'!$V$6:$V$10005,'設定'!$C$4,'月1回_2ヶ月前の在庫'!$W$6:$W$10005,$C146),0))))&gt;0,N(IF(COUNTIFS('①在庫を貼る'!$V$6:$V$10005,'設定'!$C$4,'①在庫を貼る'!$W$6:$W$10005,$C146)&gt;0,SUMIFS('①在庫を貼る'!$O$6:$O$10005,'①在庫を貼る'!$V$6:$V$10005,'設定'!$C$4,'①在庫を貼る'!$W$6:$W$10005,$C146)/COUNTIFS('①在庫を貼る'!$V$6:$V$10005,'設定'!$C$4,'①在庫を貼る'!$W$6:$W$10005,$C146),IF(COUNTIFS('月1回_1ヶ月前の在庫'!$V$6:$V$10005,'設定'!$C$4,'月1回_1ヶ月前の在庫'!$W$6:$W$10005,$C146)&gt;0,SUMIFS('月1回_1ヶ月前の在庫'!$O$6:$O$10005,'月1回_1ヶ月前の在庫'!$V$6:$V$10005,'設定'!$C$4,'月1回_1ヶ月前の在庫'!$W$6:$W$10005,$C146)/COUNTIFS('月1回_1ヶ月前の在庫'!$V$6:$V$10005,'設定'!$C$4,'月1回_1ヶ月前の在庫'!$W$6:$W$10005,$C146),IF(COUNTIFS('月1回_2ヶ月前の在庫'!$V$6:$V$10005,'設定'!$C$4,'月1回_2ヶ月前の在庫'!$W$6:$W$10005,$C146)&gt;0,SUMIFS('月1回_2ヶ月前の在庫'!$O$6:$O$10005,'月1回_2ヶ月前の在庫'!$V$6:$V$10005,'設定'!$C$4,'月1回_2ヶ月前の在庫'!$W$6:$W$10005,$C146)/COUNTIFS('月1回_2ヶ月前の在庫'!$V$6:$V$10005,'設定'!$C$4,'月1回_2ヶ月前の在庫'!$W$6:$W$10005,$C146),0)))),"")))</f>
        <v/>
      </c>
      <c r="P146" s="90">
        <f>IF($C146="","",IF('②発注する'!$I150="","",'②発注する'!$I150))</f>
        <v/>
      </c>
      <c r="Q146">
        <f>IF($C146="","",IF('②発注する'!$J150="","",'②発注する'!$J150))</f>
        <v/>
      </c>
      <c r="R146">
        <f>IF($C146="",0,IF(AND(ISNUMBER($P146),ISNUMBER($Q146)),MAX(0,$Q146)*$G146,0))</f>
        <v/>
      </c>
      <c r="S146" s="90">
        <f>IF($C146="","",IF('②発注する'!$M150="","",'②発注する'!$M150))</f>
        <v/>
      </c>
      <c r="T146">
        <f>IF($C146="","",IF('②発注する'!$N150="","",'②発注する'!$N150))</f>
        <v/>
      </c>
      <c r="U146">
        <f>IF($C146="",0,IF(AND(ISNUMBER($S146),ISNUMBER($T146)),MAX(0,$T146)*$G146,0))</f>
        <v/>
      </c>
      <c r="V146">
        <f>IF($C146="",0,IF($M146="",0,MAX(0,$M146)*MAX(0,V$4)/100))</f>
        <v/>
      </c>
      <c r="W146">
        <f>IF($C146="",0,IF($M146="",0,MAX(0,$M146)*MAX(0,W$4)/100))</f>
        <v/>
      </c>
      <c r="X146">
        <f>IF($C146="",0,IF($M146="",0,MAX(0,$M146)*MAX(0,X$4)/100))</f>
        <v/>
      </c>
      <c r="Y146">
        <f>IF($C146="",0,IF($M146="",0,MAX(0,$M146)*MAX(0,Y$4)/100))</f>
        <v/>
      </c>
      <c r="Z146">
        <f>IF($C146="",0,IF($M146="",0,MAX(0,$M146)*MAX(0,Z$4)/100))</f>
        <v/>
      </c>
      <c r="AA146">
        <f>IF($C146="",0,IF($M146="",0,MAX(0,$M146)*MAX(0,AA$4)/100))</f>
        <v/>
      </c>
      <c r="AB146">
        <f>IF($C146="",0,IF($M146="",0,MAX(0,$M146)*MAX(0,AB$4)/100))</f>
        <v/>
      </c>
      <c r="AC146">
        <f>IF($C146="",0,IF($M146="",0,MAX(0,$M146)*MAX(0,AC$4)/100))</f>
        <v/>
      </c>
      <c r="AD146">
        <f>IF($C146="",0,IF($M146="",0,MAX(0,$M146)*MAX(0,AD$4)/100))</f>
        <v/>
      </c>
      <c r="AE146">
        <f>IF($C146="",0,IF($M146="",0,MAX(0,$M146)*MAX(0,AE$4)/100))</f>
        <v/>
      </c>
      <c r="AF146">
        <f>IF($C146="",0,IF($M146="",0,MAX(0,$M146)*MAX(0,AF$4)/100))</f>
        <v/>
      </c>
      <c r="AG146">
        <f>IF($C146="",0,IF($M146="",0,MAX(0,$M146)*MAX(0,AG$4)/100))</f>
        <v/>
      </c>
      <c r="AH146">
        <f>IF($C146="",0,IF($M146="",0,MAX(0,$M146)*MAX(0,AH$4)/100))</f>
        <v/>
      </c>
      <c r="AI146">
        <f>IF($C146="",0,IF($M146="",0,MAX(0,$M146)*MAX(0,AI$4)/100))</f>
        <v/>
      </c>
      <c r="AJ146">
        <f>IF($C146="",0,MAX(0,MAX(0,N($L146))-$V146))</f>
        <v/>
      </c>
      <c r="AK146">
        <f>IF($C146="",0,MAX(0,$AJ146-$W146))</f>
        <v/>
      </c>
      <c r="AL146">
        <f>IF($C146="",0,MAX(0,$AK146-$X146))</f>
        <v/>
      </c>
      <c r="AM146">
        <f>IF($C146="",0,MAX(0,$AL146-$Y146))</f>
        <v/>
      </c>
      <c r="AN146">
        <f>IF($C146="",0,MAX(0,$AM146-$Z146))</f>
        <v/>
      </c>
      <c r="AO146">
        <f>IF($C146="",0,MAX(0,$AN146-$AA146))</f>
        <v/>
      </c>
      <c r="AP146">
        <f>IF($C146="",0,MAX(0,$AO146-$AB146))</f>
        <v/>
      </c>
      <c r="AQ146">
        <f>IF($C146="",0,MAX(0,$AP146-$AC146))</f>
        <v/>
      </c>
      <c r="AR146">
        <f>IF($C146="",0,MAX(0,$AQ146-$AD146))</f>
        <v/>
      </c>
      <c r="AS146">
        <f>IF($C146="",0,MAX(0,$AR146-$AE146))</f>
        <v/>
      </c>
      <c r="AT146">
        <f>IF($C146="",0,MAX(0,$AS146-$AF146))</f>
        <v/>
      </c>
      <c r="AU146">
        <f>IF($C146="",0,MAX(0,$AT146-$AG146))</f>
        <v/>
      </c>
      <c r="AV146">
        <f>IF($C146="",0,MAX(0,$AU146-$AH146))</f>
        <v/>
      </c>
      <c r="AW146">
        <f>IF($C146="",0,MAX(0,$AV146-$AI146))</f>
        <v/>
      </c>
      <c r="AX146">
        <f>IF($C146="",0,MAX(0,MAX(0,N($L146))+IF($P146=V$3,$R146,0)+IF($S146=V$3,$U146,0)-$V146))</f>
        <v/>
      </c>
      <c r="AY146">
        <f>IF($C146="",0,MAX(0,$AX146+IF($P146=W$3,$R146,0)+IF($S146=W$3,$U146,0)-$W146))</f>
        <v/>
      </c>
      <c r="AZ146">
        <f>IF($C146="",0,MAX(0,$AY146+IF($P146=X$3,$R146,0)+IF($S146=X$3,$U146,0)-$X146))</f>
        <v/>
      </c>
      <c r="BA146">
        <f>IF($C146="",0,MAX(0,$AZ146+IF($P146=Y$3,$R146,0)+IF($S146=Y$3,$U146,0)-$Y146))</f>
        <v/>
      </c>
      <c r="BB146">
        <f>IF($C146="",0,MAX(0,$BA146+IF($P146=Z$3,$R146,0)+IF($S146=Z$3,$U146,0)-$Z146))</f>
        <v/>
      </c>
      <c r="BC146">
        <f>IF($C146="",0,MAX(0,$BB146+IF($P146=AA$3,$R146,0)+IF($S146=AA$3,$U146,0)-$AA146))</f>
        <v/>
      </c>
      <c r="BD146">
        <f>IF($C146="",0,MAX(0,$BC146+IF($P146=AB$3,$R146,0)+IF($S146=AB$3,$U146,0)-$AB146))</f>
        <v/>
      </c>
      <c r="BE146">
        <f>IF($C146="",0,MAX(0,$BD146+IF($P146=AC$3,$R146,0)+IF($S146=AC$3,$U146,0)-$AC146))</f>
        <v/>
      </c>
      <c r="BF146">
        <f>IF($C146="",0,MAX(0,$BE146+IF($P146=AD$3,$R146,0)+IF($S146=AD$3,$U146,0)-$AD146))</f>
        <v/>
      </c>
      <c r="BG146">
        <f>IF($C146="",0,MAX(0,$BF146+IF($P146=AE$3,$R146,0)+IF($S146=AE$3,$U146,0)-$AE146))</f>
        <v/>
      </c>
      <c r="BH146">
        <f>IF($C146="",0,MAX(0,$BG146+IF($P146=AF$3,$R146,0)+IF($S146=AF$3,$U146,0)-$AF146))</f>
        <v/>
      </c>
      <c r="BI146">
        <f>IF($C146="",0,MAX(0,$BH146+IF($P146=AG$3,$R146,0)+IF($S146=AG$3,$U146,0)-$AG146))</f>
        <v/>
      </c>
      <c r="BJ146">
        <f>IF($C146="",0,MAX(0,$BI146+IF($P146=AH$3,$R146,0)+IF($S146=AH$3,$U146,0)-$AH146))</f>
        <v/>
      </c>
      <c r="BK146">
        <f>IF($C146="",0,MAX(0,$BJ146+IF($P146=AI$3,$R146,0)+IF($S146=AI$3,$U146,0)-$AI146))</f>
        <v/>
      </c>
      <c r="BL146">
        <f>IF($C146="",99,IF(AND($AX146&lt;1,V$3&gt;=MAX(N($P146),N($S146))),0,99))</f>
        <v/>
      </c>
      <c r="BM146">
        <f>IF($C146="",99,IF(AND($AY146&lt;1,W$3&gt;=MAX(N($P146),N($S146))),1,99))</f>
        <v/>
      </c>
      <c r="BN146">
        <f>IF($C146="",99,IF(AND($AZ146&lt;1,X$3&gt;=MAX(N($P146),N($S146))),2,99))</f>
        <v/>
      </c>
      <c r="BO146">
        <f>IF($C146="",99,IF(AND($BA146&lt;1,Y$3&gt;=MAX(N($P146),N($S146))),3,99))</f>
        <v/>
      </c>
      <c r="BP146">
        <f>IF($C146="",99,IF(AND($BB146&lt;1,Z$3&gt;=MAX(N($P146),N($S146))),4,99))</f>
        <v/>
      </c>
      <c r="BQ146">
        <f>IF($C146="",99,IF(AND($BC146&lt;1,AA$3&gt;=MAX(N($P146),N($S146))),5,99))</f>
        <v/>
      </c>
      <c r="BR146">
        <f>IF($C146="",99,IF(AND($BD146&lt;1,AB$3&gt;=MAX(N($P146),N($S146))),6,99))</f>
        <v/>
      </c>
      <c r="BS146">
        <f>IF($C146="",99,IF(AND($BE146&lt;1,AC$3&gt;=MAX(N($P146),N($S146))),7,99))</f>
        <v/>
      </c>
      <c r="BT146">
        <f>IF($C146="",99,IF(AND($BF146&lt;1,AD$3&gt;=MAX(N($P146),N($S146))),8,99))</f>
        <v/>
      </c>
      <c r="BU146">
        <f>IF($C146="",99,IF(AND($BG146&lt;1,AE$3&gt;=MAX(N($P146),N($S146))),9,99))</f>
        <v/>
      </c>
      <c r="BV146">
        <f>IF($C146="",99,IF(AND($BH146&lt;1,AF$3&gt;=MAX(N($P146),N($S146))),10,99))</f>
        <v/>
      </c>
      <c r="BW146">
        <f>IF($C146="",99,IF(AND($BI146&lt;1,AG$3&gt;=MAX(N($P146),N($S146))),11,99))</f>
        <v/>
      </c>
      <c r="BX146">
        <f>IF($C146="",99,IF(AND($BJ146&lt;1,AH$3&gt;=MAX(N($P146),N($S146))),12,99))</f>
        <v/>
      </c>
      <c r="BY146">
        <f>IF($C146="",99,IF(AND($BK146&lt;1,AI$3&gt;=MAX(N($P146),N($S146))),13,99))</f>
        <v/>
      </c>
      <c r="BZ146">
        <f>IF(OR($C146="",$M146=""),"",COUNTIF($AJ146:$AW146,"&gt;=1"))</f>
        <v/>
      </c>
      <c r="CA146" s="90">
        <f>IF($BZ146="","",IF($BZ146&gt;=14,"",'設定'!$C$6+$BZ146))</f>
        <v/>
      </c>
      <c r="CB146">
        <f>IF(OR($C146="",$M146=""),"",MIN($BL146:$BY146))</f>
        <v/>
      </c>
      <c r="CC146" s="90">
        <f>IF($CB146="","",IF($CB146&gt;=99,"",'設定'!$C$6+$CB146))</f>
        <v/>
      </c>
      <c r="CD146">
        <f>IF(OR($C146="",$M146=""),"",AVERAGE($V146:$AI146))</f>
        <v/>
      </c>
      <c r="CE146">
        <f>IF($C146="","",IFERROR(IF(MATCH(IF(ISNUMBER($P146),$P146,'設定'!$C$6+N('設定'!$C$7)),$V$3:$AI$3,0)=1,MAX(0,N($L146)),INDEX($AJ146:$AW146,MATCH(IF(ISNUMBER($P146),$P146,'設定'!$C$6+N('設定'!$C$7)),$V$3:$AI$3,0)-1)),""))</f>
        <v/>
      </c>
      <c r="CF146">
        <f>IF(OR($C146="",$O146="",$CE146=""),"",IF($O146-$CE146&lt;=0,0,ROUNDUP(($O146-$CE146)/$G146,0)))</f>
        <v/>
      </c>
      <c r="CG146">
        <f>IF(OR($C146="",$CF146="",NOT(ISNUMBER($Q146))),0,MAX(0,$Q146-$CF146))</f>
        <v/>
      </c>
      <c r="CH146">
        <f>IF(OR($C146="",$O146="",$U146=0),0,IFERROR(ROUNDUP(MAX(0,IF(MATCH($S146,$V$3:$AI$3,0)=1,MAX(0,N($L146)),INDEX($AX146:$BK146,MATCH($S146,$V$3:$AI$3,0)-1))+$U146-$O146)/$G146,0),0))</f>
        <v/>
      </c>
      <c r="CI146">
        <f>IF($C146="","",IF(AND($P146="",$Q146=""),"",IF($P146="","⚠ 入庫日を ▼ から選んでください",IF(NOT(ISNUMBER($P146)),"⚠ 入庫日は ▼ から選んでください",IF($P146&lt;N('設定'!$C$6),"⚠ 入庫日が過去です（もう在庫に入っています）→ 消してください",IF($P146&gt;N('設定'!$C$6)+13,"⚠ 入庫日が14日より先です",IF(N($Q146)&lt;=0,"⚠ 入庫数を入れてください",IF($CG146&gt;0,"⚠ 目安より "&amp;$CG146&amp;" 多い（定数を超える）→ 減らす",""))))))))</f>
        <v/>
      </c>
      <c r="CJ146">
        <f>IF($C146="","",IF(AND($S146="",$T146=""),"",IF($S146="","⚠ 2便目：入庫日を ▼ から選んでください",IF(NOT(ISNUMBER($S146)),"⚠ 2便目：入庫日は ▼ から選んでください",IF($S146&lt;N('設定'!$C$6),"⚠ 2便目：入庫日が過去です（もう在庫に入っています）→ 消してください",IF($S146&gt;N('設定'!$C$6)+13,"⚠ 2便目：入庫日が14日より先です",IF(N($T146)&lt;=0,"⚠ 2便目：入庫数を入れてください",IF($CH146&gt;0,"⚠ 2便目：定数を "&amp;$CH146&amp;" ケース超える → 減らす",""))))))))</f>
        <v/>
      </c>
      <c r="CK146">
        <f>IF(AND($CI146="",N($Q146)&gt;0,ISNUMBER($P146)),1,0)</f>
        <v/>
      </c>
      <c r="CL146">
        <f>IF(AND($CJ146="",N($T146)&gt;0,ISNUMBER($S146)),1,0)</f>
        <v/>
      </c>
      <c r="CM146">
        <f>IF(OR($CK146=1,$CL146=1),1,0)</f>
        <v/>
      </c>
      <c r="CN146">
        <f>IF($C146="",0,($CK146*$R146+$CL146*$U146)*N($H146))</f>
        <v/>
      </c>
      <c r="CO146">
        <f>IF($C146="","",IF($CC146="","入庫後は 14日以上もつ",IF($CC146-N('設定'!$C$7)&lt;='設定'!$C$6,"入庫後も "&amp;TEXT($CC146,"m/d")&amp;"("&amp;CHOOSE(WEEKDAY($CC146),"日","月","火","水","木","金","土")&amp;")"&amp;" に切れる　もう1便を至急発注","入庫後も "&amp;TEXT($CC146,"m/d")&amp;"("&amp;CHOOSE(WEEKDAY($CC146),"日","月","火","水","木","金","土")&amp;")"&amp;" に切れる　"&amp;TEXT($CC146-N('設定'!$C$7),"m/d")&amp;"("&amp;CHOOSE(WEEKDAY($CC146-N('設定'!$C$7)),"日","月","火","水","木","金","土")&amp;")"&amp;" までに次を発注")))</f>
        <v/>
      </c>
      <c r="CP146">
        <f>IF($C146="","",IF('設定'!$C$6="","？ ①在庫を貼る に今日のCSVが貼られていない",IF($CS146=1,"－ 今日のCSVに無い（終売？）",IF($L146&lt;0,"● 在庫がマイナス　数えて「数えた在庫」に入れる",IF($L146=0,"● 在庫なし　至急発注",IF($M146="","？ 減り数が未設定（商品マスタ）",IF($B$3=0,"？ 動員が未入力（動員を入れる）",IF($CA146="","○ 14日以上もつ",IF($BZ146&lt;N('設定'!$C$7),"● "&amp;TEXT($CA146,"m/d")&amp;"("&amp;CHOOSE(WEEKDAY($CA146),"日","月","火","水","木","金","土")&amp;")"&amp;" に切れる　至急発注",IF($BZ146=N('設定'!$C$7),"● "&amp;TEXT($CA146,"m/d")&amp;"("&amp;CHOOSE(WEEKDAY($CA146),"日","月","火","水","木","金","土")&amp;")"&amp;" に切れる　今日発注","△ "&amp;TEXT($CA146,"m/d")&amp;"("&amp;CHOOSE(WEEKDAY($CA146),"日","月","火","水","木","金","土")&amp;")"&amp;" に切れる　"&amp;TEXT($CA146-N('設定'!$C$7),"m/d")&amp;"("&amp;CHOOSE(WEEKDAY($CA146-N('設定'!$C$7)),"日","月","火","水","木","金","土")&amp;")"&amp;" までに発注"))))))))))</f>
        <v/>
      </c>
      <c r="CQ146">
        <f>IF($C146="","",IF(AND($P146="",$Q146="",$S146="",$T146=""),"",IF(AND($P146="",$Q146=""),"⚠ 先に1便目（左の入庫日・入庫数）に入れてください",IF($CI146&lt;&gt;"",$CI146,IF($CJ146&lt;&gt;"",$CJ146,IF($M146="","？ 減り数が未設定（発注書には載ります）",IF($B$3=0,"？ 動員が未入力（発注書には載ります）",IF(AND($CA146&lt;&gt;"",$P146&gt;$CA146),IF($P146&gt;'設定'!$C$6+N('設定'!$C$7),"● "&amp;TEXT($P146,"m/d")&amp;"("&amp;CHOOSE(WEEKDAY($P146),"日","月","火","水","木","金","土")&amp;")"&amp;" の入庫では間に合わない（"&amp;TEXT($CA146,"m/d")&amp;"("&amp;CHOOSE(WEEKDAY($CA146),"日","月","火","水","木","金","土")&amp;")"&amp;" に切れる）　入庫日を早める","△ 欠品 "&amp;TEXT($CA146,"m/d")&amp;"("&amp;CHOOSE(WEEKDAY($CA146),"日","月","火","水","木","金","土")&amp;")"&amp;"〜"&amp;TEXT($P146-1,"m/d")&amp;"("&amp;CHOOSE(WEEKDAY($P146-1),"日","月","火","水","木","金","土")&amp;")"&amp;"　"&amp;$CO146),IF($CC146="","○ "&amp;TEXT($P146,"m/d")&amp;"("&amp;CHOOSE(WEEKDAY($P146),"日","月","火","水","木","金","土")&amp;")"&amp;" 入庫で 14日以上もつ",IF($CC146-N('設定'!$C$7)&lt;='設定'!$C$6,"● 入庫しても "&amp;TEXT($CC146,"m/d")&amp;"("&amp;CHOOSE(WEEKDAY($CC146),"日","月","火","水","木","金","土")&amp;")"&amp;" に切れる　もう1便を至急発注（2便目に入れる）","△ 入庫しても "&amp;TEXT($CC146,"m/d")&amp;"("&amp;CHOOSE(WEEKDAY($CC146),"日","月","火","水","木","金","土")&amp;")"&amp;" に切れる　"&amp;TEXT($CC146-N('設定'!$C$7),"m/d")&amp;"("&amp;CHOOSE(WEEKDAY($CC146-N('設定'!$C$7)),"日","月","火","水","木","金","土")&amp;")"&amp;" までに次を発注（2便目に入れる）"))))))))))</f>
        <v/>
      </c>
      <c r="CR146">
        <f>IF($C146="","",IF($G146&gt;1,"ｹｰｽ("&amp;$G146&amp;"入)","個"))</f>
        <v/>
      </c>
      <c r="CS146">
        <f>IF($C146="",0,IF(COUNTIFS('①在庫を貼る'!$V$6:$V$10005,'設定'!$C$4,'①在庫を貼る'!$W$6:$W$10005,$C146)=0,1,0))</f>
        <v/>
      </c>
      <c r="CT146">
        <f>IF(AND($CK146=1,OR('③発注書'!$C$4="すべて",'③発注書'!$C$4="",$F146='③発注書'!$C$4)),N($CT145)+1,N($CT145))</f>
        <v/>
      </c>
      <c r="CU146">
        <f>IF(AND($CL146=1,OR('③発注書'!$C$4="すべて",'③発注書'!$C$4="",$F146='③発注書'!$C$4)),N($CU145)+1,N($CU145))</f>
        <v/>
      </c>
      <c r="CV146">
        <f>IF($C146="",0,IF(COUNTIFS('①在庫を貼る'!$V$6:$V$10005,'設定'!$C$4,'①在庫を貼る'!$W$6:$W$10005,$C146)&gt;0,1,0))</f>
        <v/>
      </c>
      <c r="CW146">
        <f>IF($C146="",0,IF(COUNTIFS('月1回_1ヶ月前の在庫'!$V$6:$V$10005,'設定'!$C$4,'月1回_1ヶ月前の在庫'!$W$6:$W$10005,$C146)&gt;0,1,0))</f>
        <v/>
      </c>
      <c r="CX146">
        <f>IF($C146="",0,IF(COUNTIFS('月1回_2ヶ月前の在庫'!$V$6:$V$10005,'設定'!$C$4,'月1回_2ヶ月前の在庫'!$W$6:$W$10005,$C146)&gt;0,1,0))</f>
        <v/>
      </c>
      <c r="CY146">
        <f>IF(OR($C146="",'設定'!$C$12=""),"",IF('設定'!$C$13="",IF(AND($CV146=1,$CW146=0),"新商品（今月から）",IF(AND($CV146=0,$CW146=1),"終売（今月から）","")),IF(AND($CV146=1,$CW146=0,$CX146=0),"新商品（今月から）",IF(AND($CV146=1,$CW146=1,$CX146=0),"新商品（先月から）",IF(AND($CV146=0,$CW146=1,$CX146=1),"終売（今月から）",IF(AND($CV146=0,$CW146=0,$CX146=1),"終売（先月から）",IF(AND($CV146=1,$CW146=0,$CX146=1),"復活（先月は無し）","")))))))</f>
        <v/>
      </c>
    </row>
    <row r="147">
      <c r="B147">
        <f>IF(142&lt;='設定'!$C$11,142,"")</f>
        <v/>
      </c>
      <c r="C147">
        <f>IF($B147="","",IF($B147&lt;='設定'!$C$20,INDEX('商品マスタ'!$B$6:$B$1005,MATCH($B147,'商品マスタ'!$M$6:$M$1005,0)),IF($B147&lt;='設定'!$C$20+'設定'!$C$17,INDEX('①在庫を貼る'!$W$6:$W$10005,MATCH($B147-'設定'!$C$20,'①在庫を貼る'!$U$6:$U$10005,0)),IF($B147&lt;='設定'!$C$20+'設定'!$C$17+'設定'!$C$18,INDEX('月1回_1ヶ月前の在庫'!$W$6:$W$10005,MATCH($B147-'設定'!$C$20-'設定'!$C$17,'月1回_1ヶ月前の在庫'!$U$6:$U$10005,0)),INDEX('月1回_2ヶ月前の在庫'!$W$6:$W$10005,MATCH($B147-'設定'!$C$20-'設定'!$C$17-'設定'!$C$18,'月1回_2ヶ月前の在庫'!$U$6:$U$10005,0))))))</f>
        <v/>
      </c>
      <c r="D147">
        <f>IF($C147="","",IFERROR(IF(INDEX('商品マスタ'!$C$6:$C$1005,MATCH($C147,'商品マスタ'!$B$6:$B$1005,0))="",IFERROR(INDEX('①在庫を貼る'!$J$6:$J$10005,MATCH($C147,'①在庫を貼る'!$W$6:$W$10005,0)),IFERROR(INDEX('月1回_1ヶ月前の在庫'!$J$6:$J$10005,MATCH($C147,'月1回_1ヶ月前の在庫'!$W$6:$W$10005,0)),IFERROR(INDEX('月1回_2ヶ月前の在庫'!$J$6:$J$10005,MATCH($C147,'月1回_2ヶ月前の在庫'!$W$6:$W$10005,0)),""))),INDEX('商品マスタ'!$C$6:$C$1005,MATCH($C147,'商品マスタ'!$B$6:$B$1005,0))),IFERROR(INDEX('①在庫を貼る'!$J$6:$J$10005,MATCH($C147,'①在庫を貼る'!$W$6:$W$10005,0)),IFERROR(INDEX('月1回_1ヶ月前の在庫'!$J$6:$J$10005,MATCH($C147,'月1回_1ヶ月前の在庫'!$W$6:$W$10005,0)),IFERROR(INDEX('月1回_2ヶ月前の在庫'!$J$6:$J$10005,MATCH($C147,'月1回_2ヶ月前の在庫'!$W$6:$W$10005,0)),"")))))</f>
        <v/>
      </c>
      <c r="E147">
        <f>IF($C147="","",IFERROR(IF(INDEX('商品マスタ'!$D$6:$D$1005,MATCH($C147,'商品マスタ'!$B$6:$B$1005,0))="",IFERROR(INDEX('①在庫を貼る'!$H$6:$H$10005,MATCH($C147,'①在庫を貼る'!$W$6:$W$10005,0)),IFERROR(INDEX('月1回_1ヶ月前の在庫'!$H$6:$H$10005,MATCH($C147,'月1回_1ヶ月前の在庫'!$W$6:$W$10005,0)),IFERROR(INDEX('月1回_2ヶ月前の在庫'!$H$6:$H$10005,MATCH($C147,'月1回_2ヶ月前の在庫'!$W$6:$W$10005,0)),""))),INDEX('商品マスタ'!$D$6:$D$1005,MATCH($C147,'商品マスタ'!$B$6:$B$1005,0))),IFERROR(INDEX('①在庫を貼る'!$H$6:$H$10005,MATCH($C147,'①在庫を貼る'!$W$6:$W$10005,0)),IFERROR(INDEX('月1回_1ヶ月前の在庫'!$H$6:$H$10005,MATCH($C147,'月1回_1ヶ月前の在庫'!$W$6:$W$10005,0)),IFERROR(INDEX('月1回_2ヶ月前の在庫'!$H$6:$H$10005,MATCH($C147,'月1回_2ヶ月前の在庫'!$W$6:$W$10005,0)),"")))))</f>
        <v/>
      </c>
      <c r="F147">
        <f>IF($C147="","",IFERROR(IF(INDEX('商品マスタ'!$E$6:$E$1005,MATCH($C147,'商品マスタ'!$B$6:$B$1005,0))="",IFERROR(INDEX('①在庫を貼る'!$E$6:$E$10005,MATCH($C147,'①在庫を貼る'!$W$6:$W$10005,0)),IFERROR(INDEX('月1回_1ヶ月前の在庫'!$E$6:$E$10005,MATCH($C147,'月1回_1ヶ月前の在庫'!$W$6:$W$10005,0)),IFERROR(INDEX('月1回_2ヶ月前の在庫'!$E$6:$E$10005,MATCH($C147,'月1回_2ヶ月前の在庫'!$W$6:$W$10005,0)),""))),INDEX('商品マスタ'!$E$6:$E$1005,MATCH($C147,'商品マスタ'!$B$6:$B$1005,0))),IFERROR(INDEX('①在庫を貼る'!$E$6:$E$10005,MATCH($C147,'①在庫を貼る'!$W$6:$W$10005,0)),IFERROR(INDEX('月1回_1ヶ月前の在庫'!$E$6:$E$10005,MATCH($C147,'月1回_1ヶ月前の在庫'!$W$6:$W$10005,0)),IFERROR(INDEX('月1回_2ヶ月前の在庫'!$E$6:$E$10005,MATCH($C147,'月1回_2ヶ月前の在庫'!$W$6:$W$10005,0)),"")))))</f>
        <v/>
      </c>
      <c r="G147">
        <f>IF($C147="","",MAX(1,N(IFERROR(IF(INDEX('商品マスタ'!$F$6:$F$1005,MATCH($C147,'商品マスタ'!$B$6:$B$1005,0))="",IF(COUNTIFS('①在庫を貼る'!$V$6:$V$10005,'設定'!$C$4,'①在庫を貼る'!$W$6:$W$10005,$C147)&gt;0,SUMIFS('①在庫を貼る'!$K$6:$K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K$6:$K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K$6:$K$10005,'月1回_2ヶ月前の在庫'!$V$6:$V$10005,'設定'!$C$4,'月1回_2ヶ月前の在庫'!$W$6:$W$10005,$C147)/COUNTIFS('月1回_2ヶ月前の在庫'!$V$6:$V$10005,'設定'!$C$4,'月1回_2ヶ月前の在庫'!$W$6:$W$10005,$C147),0))),INDEX('商品マスタ'!$F$6:$F$1005,MATCH($C147,'商品マスタ'!$B$6:$B$1005,0))),IF(COUNTIFS('①在庫を貼る'!$V$6:$V$10005,'設定'!$C$4,'①在庫を貼る'!$W$6:$W$10005,$C147)&gt;0,SUMIFS('①在庫を貼る'!$K$6:$K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K$6:$K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K$6:$K$10005,'月1回_2ヶ月前の在庫'!$V$6:$V$10005,'設定'!$C$4,'月1回_2ヶ月前の在庫'!$W$6:$W$10005,$C147)/COUNTIFS('月1回_2ヶ月前の在庫'!$V$6:$V$10005,'設定'!$C$4,'月1回_2ヶ月前の在庫'!$W$6:$W$10005,$C147),0)))))))</f>
        <v/>
      </c>
      <c r="H147">
        <f>IF($C147="","",N(IFERROR(IF(INDEX('商品マスタ'!$G$6:$G$1005,MATCH($C147,'商品マスタ'!$B$6:$B$1005,0))="",IF(COUNTIFS('①在庫を貼る'!$V$6:$V$10005,'設定'!$C$4,'①在庫を貼る'!$W$6:$W$10005,$C147)&gt;0,SUMIFS('①在庫を貼る'!$Q$6:$Q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Q$6:$Q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Q$6:$Q$10005,'月1回_2ヶ月前の在庫'!$V$6:$V$10005,'設定'!$C$4,'月1回_2ヶ月前の在庫'!$W$6:$W$10005,$C147)/COUNTIFS('月1回_2ヶ月前の在庫'!$V$6:$V$10005,'設定'!$C$4,'月1回_2ヶ月前の在庫'!$W$6:$W$10005,$C147),0))),INDEX('商品マスタ'!$G$6:$G$1005,MATCH($C147,'商品マスタ'!$B$6:$B$1005,0))),IF(COUNTIFS('①在庫を貼る'!$V$6:$V$10005,'設定'!$C$4,'①在庫を貼る'!$W$6:$W$10005,$C147)&gt;0,SUMIFS('①在庫を貼る'!$Q$6:$Q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Q$6:$Q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Q$6:$Q$10005,'月1回_2ヶ月前の在庫'!$V$6:$V$10005,'設定'!$C$4,'月1回_2ヶ月前の在庫'!$W$6:$W$10005,$C147)/COUNTIFS('月1回_2ヶ月前の在庫'!$V$6:$V$10005,'設定'!$C$4,'月1回_2ヶ月前の在庫'!$W$6:$W$10005,$C147),0))))))</f>
        <v/>
      </c>
      <c r="I147">
        <f>IF($C147="","",IF(COUNTIFS('①在庫を貼る'!$V$6:$V$10005,'設定'!$C$4,'①在庫を貼る'!$W$6:$W$10005,$C147)=0,"",SUMIFS('①在庫を貼る'!$N$6:$N$10005,'①在庫を貼る'!$V$6:$V$10005,'設定'!$C$4,'①在庫を貼る'!$W$6:$W$10005,$C147)))</f>
        <v/>
      </c>
      <c r="J147">
        <f>IF($C147="","",IF('②発注する'!$AD151="","",'②発注する'!$AD151))</f>
        <v/>
      </c>
      <c r="K147" s="90">
        <f>IF($C147="","",IF('②発注する'!$AE151="","",'②発注する'!$AE151))</f>
        <v/>
      </c>
      <c r="L147">
        <f>IF($C147="","",IF(AND(ISNUMBER($J147),ISNUMBER($K147),$K147&gt;='設定'!$C$6),$J147,N($I147)))</f>
        <v/>
      </c>
      <c r="M147">
        <f>IF($C147="","",IFERROR(IF(N(INDEX('商品マスタ'!$J$6:$J$1005,MATCH($C147,'商品マスタ'!$B$6:$B$1005,0)))&gt;0,INDEX('商品マスタ'!$J$6:$J$1005,MATCH($C147,'商品マスタ'!$B$6:$B$1005,0)),""),""))</f>
        <v/>
      </c>
      <c r="N147">
        <f>IF($C147="","",IFERROR(IF(N(INDEX('商品マスタ'!$H$6:$H$1005,MATCH($C147,'商品マスタ'!$B$6:$B$1005,0)))&gt;0,INDEX('商品マスタ'!$H$6:$H$1005,MATCH($C147,'商品マスタ'!$B$6:$B$1005,0)),""),""))</f>
        <v/>
      </c>
      <c r="O147">
        <f>IF($C147="","",IF($N147&lt;&gt;"",$N147*$G147,IF(N(IF(COUNTIFS('①在庫を貼る'!$V$6:$V$10005,'設定'!$C$4,'①在庫を貼る'!$W$6:$W$10005,$C147)&gt;0,SUMIFS('①在庫を貼る'!$O$6:$O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O$6:$O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O$6:$O$10005,'月1回_2ヶ月前の在庫'!$V$6:$V$10005,'設定'!$C$4,'月1回_2ヶ月前の在庫'!$W$6:$W$10005,$C147)/COUNTIFS('月1回_2ヶ月前の在庫'!$V$6:$V$10005,'設定'!$C$4,'月1回_2ヶ月前の在庫'!$W$6:$W$10005,$C147),0))))&gt;0,N(IF(COUNTIFS('①在庫を貼る'!$V$6:$V$10005,'設定'!$C$4,'①在庫を貼る'!$W$6:$W$10005,$C147)&gt;0,SUMIFS('①在庫を貼る'!$O$6:$O$10005,'①在庫を貼る'!$V$6:$V$10005,'設定'!$C$4,'①在庫を貼る'!$W$6:$W$10005,$C147)/COUNTIFS('①在庫を貼る'!$V$6:$V$10005,'設定'!$C$4,'①在庫を貼る'!$W$6:$W$10005,$C147),IF(COUNTIFS('月1回_1ヶ月前の在庫'!$V$6:$V$10005,'設定'!$C$4,'月1回_1ヶ月前の在庫'!$W$6:$W$10005,$C147)&gt;0,SUMIFS('月1回_1ヶ月前の在庫'!$O$6:$O$10005,'月1回_1ヶ月前の在庫'!$V$6:$V$10005,'設定'!$C$4,'月1回_1ヶ月前の在庫'!$W$6:$W$10005,$C147)/COUNTIFS('月1回_1ヶ月前の在庫'!$V$6:$V$10005,'設定'!$C$4,'月1回_1ヶ月前の在庫'!$W$6:$W$10005,$C147),IF(COUNTIFS('月1回_2ヶ月前の在庫'!$V$6:$V$10005,'設定'!$C$4,'月1回_2ヶ月前の在庫'!$W$6:$W$10005,$C147)&gt;0,SUMIFS('月1回_2ヶ月前の在庫'!$O$6:$O$10005,'月1回_2ヶ月前の在庫'!$V$6:$V$10005,'設定'!$C$4,'月1回_2ヶ月前の在庫'!$W$6:$W$10005,$C147)/COUNTIFS('月1回_2ヶ月前の在庫'!$V$6:$V$10005,'設定'!$C$4,'月1回_2ヶ月前の在庫'!$W$6:$W$10005,$C147),0)))),"")))</f>
        <v/>
      </c>
      <c r="P147" s="90">
        <f>IF($C147="","",IF('②発注する'!$I151="","",'②発注する'!$I151))</f>
        <v/>
      </c>
      <c r="Q147">
        <f>IF($C147="","",IF('②発注する'!$J151="","",'②発注する'!$J151))</f>
        <v/>
      </c>
      <c r="R147">
        <f>IF($C147="",0,IF(AND(ISNUMBER($P147),ISNUMBER($Q147)),MAX(0,$Q147)*$G147,0))</f>
        <v/>
      </c>
      <c r="S147" s="90">
        <f>IF($C147="","",IF('②発注する'!$M151="","",'②発注する'!$M151))</f>
        <v/>
      </c>
      <c r="T147">
        <f>IF($C147="","",IF('②発注する'!$N151="","",'②発注する'!$N151))</f>
        <v/>
      </c>
      <c r="U147">
        <f>IF($C147="",0,IF(AND(ISNUMBER($S147),ISNUMBER($T147)),MAX(0,$T147)*$G147,0))</f>
        <v/>
      </c>
      <c r="V147">
        <f>IF($C147="",0,IF($M147="",0,MAX(0,$M147)*MAX(0,V$4)/100))</f>
        <v/>
      </c>
      <c r="W147">
        <f>IF($C147="",0,IF($M147="",0,MAX(0,$M147)*MAX(0,W$4)/100))</f>
        <v/>
      </c>
      <c r="X147">
        <f>IF($C147="",0,IF($M147="",0,MAX(0,$M147)*MAX(0,X$4)/100))</f>
        <v/>
      </c>
      <c r="Y147">
        <f>IF($C147="",0,IF($M147="",0,MAX(0,$M147)*MAX(0,Y$4)/100))</f>
        <v/>
      </c>
      <c r="Z147">
        <f>IF($C147="",0,IF($M147="",0,MAX(0,$M147)*MAX(0,Z$4)/100))</f>
        <v/>
      </c>
      <c r="AA147">
        <f>IF($C147="",0,IF($M147="",0,MAX(0,$M147)*MAX(0,AA$4)/100))</f>
        <v/>
      </c>
      <c r="AB147">
        <f>IF($C147="",0,IF($M147="",0,MAX(0,$M147)*MAX(0,AB$4)/100))</f>
        <v/>
      </c>
      <c r="AC147">
        <f>IF($C147="",0,IF($M147="",0,MAX(0,$M147)*MAX(0,AC$4)/100))</f>
        <v/>
      </c>
      <c r="AD147">
        <f>IF($C147="",0,IF($M147="",0,MAX(0,$M147)*MAX(0,AD$4)/100))</f>
        <v/>
      </c>
      <c r="AE147">
        <f>IF($C147="",0,IF($M147="",0,MAX(0,$M147)*MAX(0,AE$4)/100))</f>
        <v/>
      </c>
      <c r="AF147">
        <f>IF($C147="",0,IF($M147="",0,MAX(0,$M147)*MAX(0,AF$4)/100))</f>
        <v/>
      </c>
      <c r="AG147">
        <f>IF($C147="",0,IF($M147="",0,MAX(0,$M147)*MAX(0,AG$4)/100))</f>
        <v/>
      </c>
      <c r="AH147">
        <f>IF($C147="",0,IF($M147="",0,MAX(0,$M147)*MAX(0,AH$4)/100))</f>
        <v/>
      </c>
      <c r="AI147">
        <f>IF($C147="",0,IF($M147="",0,MAX(0,$M147)*MAX(0,AI$4)/100))</f>
        <v/>
      </c>
      <c r="AJ147">
        <f>IF($C147="",0,MAX(0,MAX(0,N($L147))-$V147))</f>
        <v/>
      </c>
      <c r="AK147">
        <f>IF($C147="",0,MAX(0,$AJ147-$W147))</f>
        <v/>
      </c>
      <c r="AL147">
        <f>IF($C147="",0,MAX(0,$AK147-$X147))</f>
        <v/>
      </c>
      <c r="AM147">
        <f>IF($C147="",0,MAX(0,$AL147-$Y147))</f>
        <v/>
      </c>
      <c r="AN147">
        <f>IF($C147="",0,MAX(0,$AM147-$Z147))</f>
        <v/>
      </c>
      <c r="AO147">
        <f>IF($C147="",0,MAX(0,$AN147-$AA147))</f>
        <v/>
      </c>
      <c r="AP147">
        <f>IF($C147="",0,MAX(0,$AO147-$AB147))</f>
        <v/>
      </c>
      <c r="AQ147">
        <f>IF($C147="",0,MAX(0,$AP147-$AC147))</f>
        <v/>
      </c>
      <c r="AR147">
        <f>IF($C147="",0,MAX(0,$AQ147-$AD147))</f>
        <v/>
      </c>
      <c r="AS147">
        <f>IF($C147="",0,MAX(0,$AR147-$AE147))</f>
        <v/>
      </c>
      <c r="AT147">
        <f>IF($C147="",0,MAX(0,$AS147-$AF147))</f>
        <v/>
      </c>
      <c r="AU147">
        <f>IF($C147="",0,MAX(0,$AT147-$AG147))</f>
        <v/>
      </c>
      <c r="AV147">
        <f>IF($C147="",0,MAX(0,$AU147-$AH147))</f>
        <v/>
      </c>
      <c r="AW147">
        <f>IF($C147="",0,MAX(0,$AV147-$AI147))</f>
        <v/>
      </c>
      <c r="AX147">
        <f>IF($C147="",0,MAX(0,MAX(0,N($L147))+IF($P147=V$3,$R147,0)+IF($S147=V$3,$U147,0)-$V147))</f>
        <v/>
      </c>
      <c r="AY147">
        <f>IF($C147="",0,MAX(0,$AX147+IF($P147=W$3,$R147,0)+IF($S147=W$3,$U147,0)-$W147))</f>
        <v/>
      </c>
      <c r="AZ147">
        <f>IF($C147="",0,MAX(0,$AY147+IF($P147=X$3,$R147,0)+IF($S147=X$3,$U147,0)-$X147))</f>
        <v/>
      </c>
      <c r="BA147">
        <f>IF($C147="",0,MAX(0,$AZ147+IF($P147=Y$3,$R147,0)+IF($S147=Y$3,$U147,0)-$Y147))</f>
        <v/>
      </c>
      <c r="BB147">
        <f>IF($C147="",0,MAX(0,$BA147+IF($P147=Z$3,$R147,0)+IF($S147=Z$3,$U147,0)-$Z147))</f>
        <v/>
      </c>
      <c r="BC147">
        <f>IF($C147="",0,MAX(0,$BB147+IF($P147=AA$3,$R147,0)+IF($S147=AA$3,$U147,0)-$AA147))</f>
        <v/>
      </c>
      <c r="BD147">
        <f>IF($C147="",0,MAX(0,$BC147+IF($P147=AB$3,$R147,0)+IF($S147=AB$3,$U147,0)-$AB147))</f>
        <v/>
      </c>
      <c r="BE147">
        <f>IF($C147="",0,MAX(0,$BD147+IF($P147=AC$3,$R147,0)+IF($S147=AC$3,$U147,0)-$AC147))</f>
        <v/>
      </c>
      <c r="BF147">
        <f>IF($C147="",0,MAX(0,$BE147+IF($P147=AD$3,$R147,0)+IF($S147=AD$3,$U147,0)-$AD147))</f>
        <v/>
      </c>
      <c r="BG147">
        <f>IF($C147="",0,MAX(0,$BF147+IF($P147=AE$3,$R147,0)+IF($S147=AE$3,$U147,0)-$AE147))</f>
        <v/>
      </c>
      <c r="BH147">
        <f>IF($C147="",0,MAX(0,$BG147+IF($P147=AF$3,$R147,0)+IF($S147=AF$3,$U147,0)-$AF147))</f>
        <v/>
      </c>
      <c r="BI147">
        <f>IF($C147="",0,MAX(0,$BH147+IF($P147=AG$3,$R147,0)+IF($S147=AG$3,$U147,0)-$AG147))</f>
        <v/>
      </c>
      <c r="BJ147">
        <f>IF($C147="",0,MAX(0,$BI147+IF($P147=AH$3,$R147,0)+IF($S147=AH$3,$U147,0)-$AH147))</f>
        <v/>
      </c>
      <c r="BK147">
        <f>IF($C147="",0,MAX(0,$BJ147+IF($P147=AI$3,$R147,0)+IF($S147=AI$3,$U147,0)-$AI147))</f>
        <v/>
      </c>
      <c r="BL147">
        <f>IF($C147="",99,IF(AND($AX147&lt;1,V$3&gt;=MAX(N($P147),N($S147))),0,99))</f>
        <v/>
      </c>
      <c r="BM147">
        <f>IF($C147="",99,IF(AND($AY147&lt;1,W$3&gt;=MAX(N($P147),N($S147))),1,99))</f>
        <v/>
      </c>
      <c r="BN147">
        <f>IF($C147="",99,IF(AND($AZ147&lt;1,X$3&gt;=MAX(N($P147),N($S147))),2,99))</f>
        <v/>
      </c>
      <c r="BO147">
        <f>IF($C147="",99,IF(AND($BA147&lt;1,Y$3&gt;=MAX(N($P147),N($S147))),3,99))</f>
        <v/>
      </c>
      <c r="BP147">
        <f>IF($C147="",99,IF(AND($BB147&lt;1,Z$3&gt;=MAX(N($P147),N($S147))),4,99))</f>
        <v/>
      </c>
      <c r="BQ147">
        <f>IF($C147="",99,IF(AND($BC147&lt;1,AA$3&gt;=MAX(N($P147),N($S147))),5,99))</f>
        <v/>
      </c>
      <c r="BR147">
        <f>IF($C147="",99,IF(AND($BD147&lt;1,AB$3&gt;=MAX(N($P147),N($S147))),6,99))</f>
        <v/>
      </c>
      <c r="BS147">
        <f>IF($C147="",99,IF(AND($BE147&lt;1,AC$3&gt;=MAX(N($P147),N($S147))),7,99))</f>
        <v/>
      </c>
      <c r="BT147">
        <f>IF($C147="",99,IF(AND($BF147&lt;1,AD$3&gt;=MAX(N($P147),N($S147))),8,99))</f>
        <v/>
      </c>
      <c r="BU147">
        <f>IF($C147="",99,IF(AND($BG147&lt;1,AE$3&gt;=MAX(N($P147),N($S147))),9,99))</f>
        <v/>
      </c>
      <c r="BV147">
        <f>IF($C147="",99,IF(AND($BH147&lt;1,AF$3&gt;=MAX(N($P147),N($S147))),10,99))</f>
        <v/>
      </c>
      <c r="BW147">
        <f>IF($C147="",99,IF(AND($BI147&lt;1,AG$3&gt;=MAX(N($P147),N($S147))),11,99))</f>
        <v/>
      </c>
      <c r="BX147">
        <f>IF($C147="",99,IF(AND($BJ147&lt;1,AH$3&gt;=MAX(N($P147),N($S147))),12,99))</f>
        <v/>
      </c>
      <c r="BY147">
        <f>IF($C147="",99,IF(AND($BK147&lt;1,AI$3&gt;=MAX(N($P147),N($S147))),13,99))</f>
        <v/>
      </c>
      <c r="BZ147">
        <f>IF(OR($C147="",$M147=""),"",COUNTIF($AJ147:$AW147,"&gt;=1"))</f>
        <v/>
      </c>
      <c r="CA147" s="90">
        <f>IF($BZ147="","",IF($BZ147&gt;=14,"",'設定'!$C$6+$BZ147))</f>
        <v/>
      </c>
      <c r="CB147">
        <f>IF(OR($C147="",$M147=""),"",MIN($BL147:$BY147))</f>
        <v/>
      </c>
      <c r="CC147" s="90">
        <f>IF($CB147="","",IF($CB147&gt;=99,"",'設定'!$C$6+$CB147))</f>
        <v/>
      </c>
      <c r="CD147">
        <f>IF(OR($C147="",$M147=""),"",AVERAGE($V147:$AI147))</f>
        <v/>
      </c>
      <c r="CE147">
        <f>IF($C147="","",IFERROR(IF(MATCH(IF(ISNUMBER($P147),$P147,'設定'!$C$6+N('設定'!$C$7)),$V$3:$AI$3,0)=1,MAX(0,N($L147)),INDEX($AJ147:$AW147,MATCH(IF(ISNUMBER($P147),$P147,'設定'!$C$6+N('設定'!$C$7)),$V$3:$AI$3,0)-1)),""))</f>
        <v/>
      </c>
      <c r="CF147">
        <f>IF(OR($C147="",$O147="",$CE147=""),"",IF($O147-$CE147&lt;=0,0,ROUNDUP(($O147-$CE147)/$G147,0)))</f>
        <v/>
      </c>
      <c r="CG147">
        <f>IF(OR($C147="",$CF147="",NOT(ISNUMBER($Q147))),0,MAX(0,$Q147-$CF147))</f>
        <v/>
      </c>
      <c r="CH147">
        <f>IF(OR($C147="",$O147="",$U147=0),0,IFERROR(ROUNDUP(MAX(0,IF(MATCH($S147,$V$3:$AI$3,0)=1,MAX(0,N($L147)),INDEX($AX147:$BK147,MATCH($S147,$V$3:$AI$3,0)-1))+$U147-$O147)/$G147,0),0))</f>
        <v/>
      </c>
      <c r="CI147">
        <f>IF($C147="","",IF(AND($P147="",$Q147=""),"",IF($P147="","⚠ 入庫日を ▼ から選んでください",IF(NOT(ISNUMBER($P147)),"⚠ 入庫日は ▼ から選んでください",IF($P147&lt;N('設定'!$C$6),"⚠ 入庫日が過去です（もう在庫に入っています）→ 消してください",IF($P147&gt;N('設定'!$C$6)+13,"⚠ 入庫日が14日より先です",IF(N($Q147)&lt;=0,"⚠ 入庫数を入れてください",IF($CG147&gt;0,"⚠ 目安より "&amp;$CG147&amp;" 多い（定数を超える）→ 減らす",""))))))))</f>
        <v/>
      </c>
      <c r="CJ147">
        <f>IF($C147="","",IF(AND($S147="",$T147=""),"",IF($S147="","⚠ 2便目：入庫日を ▼ から選んでください",IF(NOT(ISNUMBER($S147)),"⚠ 2便目：入庫日は ▼ から選んでください",IF($S147&lt;N('設定'!$C$6),"⚠ 2便目：入庫日が過去です（もう在庫に入っています）→ 消してください",IF($S147&gt;N('設定'!$C$6)+13,"⚠ 2便目：入庫日が14日より先です",IF(N($T147)&lt;=0,"⚠ 2便目：入庫数を入れてください",IF($CH147&gt;0,"⚠ 2便目：定数を "&amp;$CH147&amp;" ケース超える → 減らす",""))))))))</f>
        <v/>
      </c>
      <c r="CK147">
        <f>IF(AND($CI147="",N($Q147)&gt;0,ISNUMBER($P147)),1,0)</f>
        <v/>
      </c>
      <c r="CL147">
        <f>IF(AND($CJ147="",N($T147)&gt;0,ISNUMBER($S147)),1,0)</f>
        <v/>
      </c>
      <c r="CM147">
        <f>IF(OR($CK147=1,$CL147=1),1,0)</f>
        <v/>
      </c>
      <c r="CN147">
        <f>IF($C147="",0,($CK147*$R147+$CL147*$U147)*N($H147))</f>
        <v/>
      </c>
      <c r="CO147">
        <f>IF($C147="","",IF($CC147="","入庫後は 14日以上もつ",IF($CC147-N('設定'!$C$7)&lt;='設定'!$C$6,"入庫後も "&amp;TEXT($CC147,"m/d")&amp;"("&amp;CHOOSE(WEEKDAY($CC147),"日","月","火","水","木","金","土")&amp;")"&amp;" に切れる　もう1便を至急発注","入庫後も "&amp;TEXT($CC147,"m/d")&amp;"("&amp;CHOOSE(WEEKDAY($CC147),"日","月","火","水","木","金","土")&amp;")"&amp;" に切れる　"&amp;TEXT($CC147-N('設定'!$C$7),"m/d")&amp;"("&amp;CHOOSE(WEEKDAY($CC147-N('設定'!$C$7)),"日","月","火","水","木","金","土")&amp;")"&amp;" までに次を発注")))</f>
        <v/>
      </c>
      <c r="CP147">
        <f>IF($C147="","",IF('設定'!$C$6="","？ ①在庫を貼る に今日のCSVが貼られていない",IF($CS147=1,"－ 今日のCSVに無い（終売？）",IF($L147&lt;0,"● 在庫がマイナス　数えて「数えた在庫」に入れる",IF($L147=0,"● 在庫なし　至急発注",IF($M147="","？ 減り数が未設定（商品マスタ）",IF($B$3=0,"？ 動員が未入力（動員を入れる）",IF($CA147="","○ 14日以上もつ",IF($BZ147&lt;N('設定'!$C$7),"● "&amp;TEXT($CA147,"m/d")&amp;"("&amp;CHOOSE(WEEKDAY($CA147),"日","月","火","水","木","金","土")&amp;")"&amp;" に切れる　至急発注",IF($BZ147=N('設定'!$C$7),"● "&amp;TEXT($CA147,"m/d")&amp;"("&amp;CHOOSE(WEEKDAY($CA147),"日","月","火","水","木","金","土")&amp;")"&amp;" に切れる　今日発注","△ "&amp;TEXT($CA147,"m/d")&amp;"("&amp;CHOOSE(WEEKDAY($CA147),"日","月","火","水","木","金","土")&amp;")"&amp;" に切れる　"&amp;TEXT($CA147-N('設定'!$C$7),"m/d")&amp;"("&amp;CHOOSE(WEEKDAY($CA147-N('設定'!$C$7)),"日","月","火","水","木","金","土")&amp;")"&amp;" までに発注"))))))))))</f>
        <v/>
      </c>
      <c r="CQ147">
        <f>IF($C147="","",IF(AND($P147="",$Q147="",$S147="",$T147=""),"",IF(AND($P147="",$Q147=""),"⚠ 先に1便目（左の入庫日・入庫数）に入れてください",IF($CI147&lt;&gt;"",$CI147,IF($CJ147&lt;&gt;"",$CJ147,IF($M147="","？ 減り数が未設定（発注書には載ります）",IF($B$3=0,"？ 動員が未入力（発注書には載ります）",IF(AND($CA147&lt;&gt;"",$P147&gt;$CA147),IF($P147&gt;'設定'!$C$6+N('設定'!$C$7),"● "&amp;TEXT($P147,"m/d")&amp;"("&amp;CHOOSE(WEEKDAY($P147),"日","月","火","水","木","金","土")&amp;")"&amp;" の入庫では間に合わない（"&amp;TEXT($CA147,"m/d")&amp;"("&amp;CHOOSE(WEEKDAY($CA147),"日","月","火","水","木","金","土")&amp;")"&amp;" に切れる）　入庫日を早める","△ 欠品 "&amp;TEXT($CA147,"m/d")&amp;"("&amp;CHOOSE(WEEKDAY($CA147),"日","月","火","水","木","金","土")&amp;")"&amp;"〜"&amp;TEXT($P147-1,"m/d")&amp;"("&amp;CHOOSE(WEEKDAY($P147-1),"日","月","火","水","木","金","土")&amp;")"&amp;"　"&amp;$CO147),IF($CC147="","○ "&amp;TEXT($P147,"m/d")&amp;"("&amp;CHOOSE(WEEKDAY($P147),"日","月","火","水","木","金","土")&amp;")"&amp;" 入庫で 14日以上もつ",IF($CC147-N('設定'!$C$7)&lt;='設定'!$C$6,"● 入庫しても "&amp;TEXT($CC147,"m/d")&amp;"("&amp;CHOOSE(WEEKDAY($CC147),"日","月","火","水","木","金","土")&amp;")"&amp;" に切れる　もう1便を至急発注（2便目に入れる）","△ 入庫しても "&amp;TEXT($CC147,"m/d")&amp;"("&amp;CHOOSE(WEEKDAY($CC147),"日","月","火","水","木","金","土")&amp;")"&amp;" に切れる　"&amp;TEXT($CC147-N('設定'!$C$7),"m/d")&amp;"("&amp;CHOOSE(WEEKDAY($CC147-N('設定'!$C$7)),"日","月","火","水","木","金","土")&amp;")"&amp;" までに次を発注（2便目に入れる）"))))))))))</f>
        <v/>
      </c>
      <c r="CR147">
        <f>IF($C147="","",IF($G147&gt;1,"ｹｰｽ("&amp;$G147&amp;"入)","個"))</f>
        <v/>
      </c>
      <c r="CS147">
        <f>IF($C147="",0,IF(COUNTIFS('①在庫を貼る'!$V$6:$V$10005,'設定'!$C$4,'①在庫を貼る'!$W$6:$W$10005,$C147)=0,1,0))</f>
        <v/>
      </c>
      <c r="CT147">
        <f>IF(AND($CK147=1,OR('③発注書'!$C$4="すべて",'③発注書'!$C$4="",$F147='③発注書'!$C$4)),N($CT146)+1,N($CT146))</f>
        <v/>
      </c>
      <c r="CU147">
        <f>IF(AND($CL147=1,OR('③発注書'!$C$4="すべて",'③発注書'!$C$4="",$F147='③発注書'!$C$4)),N($CU146)+1,N($CU146))</f>
        <v/>
      </c>
      <c r="CV147">
        <f>IF($C147="",0,IF(COUNTIFS('①在庫を貼る'!$V$6:$V$10005,'設定'!$C$4,'①在庫を貼る'!$W$6:$W$10005,$C147)&gt;0,1,0))</f>
        <v/>
      </c>
      <c r="CW147">
        <f>IF($C147="",0,IF(COUNTIFS('月1回_1ヶ月前の在庫'!$V$6:$V$10005,'設定'!$C$4,'月1回_1ヶ月前の在庫'!$W$6:$W$10005,$C147)&gt;0,1,0))</f>
        <v/>
      </c>
      <c r="CX147">
        <f>IF($C147="",0,IF(COUNTIFS('月1回_2ヶ月前の在庫'!$V$6:$V$10005,'設定'!$C$4,'月1回_2ヶ月前の在庫'!$W$6:$W$10005,$C147)&gt;0,1,0))</f>
        <v/>
      </c>
      <c r="CY147">
        <f>IF(OR($C147="",'設定'!$C$12=""),"",IF('設定'!$C$13="",IF(AND($CV147=1,$CW147=0),"新商品（今月から）",IF(AND($CV147=0,$CW147=1),"終売（今月から）","")),IF(AND($CV147=1,$CW147=0,$CX147=0),"新商品（今月から）",IF(AND($CV147=1,$CW147=1,$CX147=0),"新商品（先月から）",IF(AND($CV147=0,$CW147=1,$CX147=1),"終売（今月から）",IF(AND($CV147=0,$CW147=0,$CX147=1),"終売（先月から）",IF(AND($CV147=1,$CW147=0,$CX147=1),"復活（先月は無し）","")))))))</f>
        <v/>
      </c>
    </row>
    <row r="148">
      <c r="B148">
        <f>IF(143&lt;='設定'!$C$11,143,"")</f>
        <v/>
      </c>
      <c r="C148">
        <f>IF($B148="","",IF($B148&lt;='設定'!$C$20,INDEX('商品マスタ'!$B$6:$B$1005,MATCH($B148,'商品マスタ'!$M$6:$M$1005,0)),IF($B148&lt;='設定'!$C$20+'設定'!$C$17,INDEX('①在庫を貼る'!$W$6:$W$10005,MATCH($B148-'設定'!$C$20,'①在庫を貼る'!$U$6:$U$10005,0)),IF($B148&lt;='設定'!$C$20+'設定'!$C$17+'設定'!$C$18,INDEX('月1回_1ヶ月前の在庫'!$W$6:$W$10005,MATCH($B148-'設定'!$C$20-'設定'!$C$17,'月1回_1ヶ月前の在庫'!$U$6:$U$10005,0)),INDEX('月1回_2ヶ月前の在庫'!$W$6:$W$10005,MATCH($B148-'設定'!$C$20-'設定'!$C$17-'設定'!$C$18,'月1回_2ヶ月前の在庫'!$U$6:$U$10005,0))))))</f>
        <v/>
      </c>
      <c r="D148">
        <f>IF($C148="","",IFERROR(IF(INDEX('商品マスタ'!$C$6:$C$1005,MATCH($C148,'商品マスタ'!$B$6:$B$1005,0))="",IFERROR(INDEX('①在庫を貼る'!$J$6:$J$10005,MATCH($C148,'①在庫を貼る'!$W$6:$W$10005,0)),IFERROR(INDEX('月1回_1ヶ月前の在庫'!$J$6:$J$10005,MATCH($C148,'月1回_1ヶ月前の在庫'!$W$6:$W$10005,0)),IFERROR(INDEX('月1回_2ヶ月前の在庫'!$J$6:$J$10005,MATCH($C148,'月1回_2ヶ月前の在庫'!$W$6:$W$10005,0)),""))),INDEX('商品マスタ'!$C$6:$C$1005,MATCH($C148,'商品マスタ'!$B$6:$B$1005,0))),IFERROR(INDEX('①在庫を貼る'!$J$6:$J$10005,MATCH($C148,'①在庫を貼る'!$W$6:$W$10005,0)),IFERROR(INDEX('月1回_1ヶ月前の在庫'!$J$6:$J$10005,MATCH($C148,'月1回_1ヶ月前の在庫'!$W$6:$W$10005,0)),IFERROR(INDEX('月1回_2ヶ月前の在庫'!$J$6:$J$10005,MATCH($C148,'月1回_2ヶ月前の在庫'!$W$6:$W$10005,0)),"")))))</f>
        <v/>
      </c>
      <c r="E148">
        <f>IF($C148="","",IFERROR(IF(INDEX('商品マスタ'!$D$6:$D$1005,MATCH($C148,'商品マスタ'!$B$6:$B$1005,0))="",IFERROR(INDEX('①在庫を貼る'!$H$6:$H$10005,MATCH($C148,'①在庫を貼る'!$W$6:$W$10005,0)),IFERROR(INDEX('月1回_1ヶ月前の在庫'!$H$6:$H$10005,MATCH($C148,'月1回_1ヶ月前の在庫'!$W$6:$W$10005,0)),IFERROR(INDEX('月1回_2ヶ月前の在庫'!$H$6:$H$10005,MATCH($C148,'月1回_2ヶ月前の在庫'!$W$6:$W$10005,0)),""))),INDEX('商品マスタ'!$D$6:$D$1005,MATCH($C148,'商品マスタ'!$B$6:$B$1005,0))),IFERROR(INDEX('①在庫を貼る'!$H$6:$H$10005,MATCH($C148,'①在庫を貼る'!$W$6:$W$10005,0)),IFERROR(INDEX('月1回_1ヶ月前の在庫'!$H$6:$H$10005,MATCH($C148,'月1回_1ヶ月前の在庫'!$W$6:$W$10005,0)),IFERROR(INDEX('月1回_2ヶ月前の在庫'!$H$6:$H$10005,MATCH($C148,'月1回_2ヶ月前の在庫'!$W$6:$W$10005,0)),"")))))</f>
        <v/>
      </c>
      <c r="F148">
        <f>IF($C148="","",IFERROR(IF(INDEX('商品マスタ'!$E$6:$E$1005,MATCH($C148,'商品マスタ'!$B$6:$B$1005,0))="",IFERROR(INDEX('①在庫を貼る'!$E$6:$E$10005,MATCH($C148,'①在庫を貼る'!$W$6:$W$10005,0)),IFERROR(INDEX('月1回_1ヶ月前の在庫'!$E$6:$E$10005,MATCH($C148,'月1回_1ヶ月前の在庫'!$W$6:$W$10005,0)),IFERROR(INDEX('月1回_2ヶ月前の在庫'!$E$6:$E$10005,MATCH($C148,'月1回_2ヶ月前の在庫'!$W$6:$W$10005,0)),""))),INDEX('商品マスタ'!$E$6:$E$1005,MATCH($C148,'商品マスタ'!$B$6:$B$1005,0))),IFERROR(INDEX('①在庫を貼る'!$E$6:$E$10005,MATCH($C148,'①在庫を貼る'!$W$6:$W$10005,0)),IFERROR(INDEX('月1回_1ヶ月前の在庫'!$E$6:$E$10005,MATCH($C148,'月1回_1ヶ月前の在庫'!$W$6:$W$10005,0)),IFERROR(INDEX('月1回_2ヶ月前の在庫'!$E$6:$E$10005,MATCH($C148,'月1回_2ヶ月前の在庫'!$W$6:$W$10005,0)),"")))))</f>
        <v/>
      </c>
      <c r="G148">
        <f>IF($C148="","",MAX(1,N(IFERROR(IF(INDEX('商品マスタ'!$F$6:$F$1005,MATCH($C148,'商品マスタ'!$B$6:$B$1005,0))="",IF(COUNTIFS('①在庫を貼る'!$V$6:$V$10005,'設定'!$C$4,'①在庫を貼る'!$W$6:$W$10005,$C148)&gt;0,SUMIFS('①在庫を貼る'!$K$6:$K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K$6:$K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K$6:$K$10005,'月1回_2ヶ月前の在庫'!$V$6:$V$10005,'設定'!$C$4,'月1回_2ヶ月前の在庫'!$W$6:$W$10005,$C148)/COUNTIFS('月1回_2ヶ月前の在庫'!$V$6:$V$10005,'設定'!$C$4,'月1回_2ヶ月前の在庫'!$W$6:$W$10005,$C148),0))),INDEX('商品マスタ'!$F$6:$F$1005,MATCH($C148,'商品マスタ'!$B$6:$B$1005,0))),IF(COUNTIFS('①在庫を貼る'!$V$6:$V$10005,'設定'!$C$4,'①在庫を貼る'!$W$6:$W$10005,$C148)&gt;0,SUMIFS('①在庫を貼る'!$K$6:$K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K$6:$K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K$6:$K$10005,'月1回_2ヶ月前の在庫'!$V$6:$V$10005,'設定'!$C$4,'月1回_2ヶ月前の在庫'!$W$6:$W$10005,$C148)/COUNTIFS('月1回_2ヶ月前の在庫'!$V$6:$V$10005,'設定'!$C$4,'月1回_2ヶ月前の在庫'!$W$6:$W$10005,$C148),0)))))))</f>
        <v/>
      </c>
      <c r="H148">
        <f>IF($C148="","",N(IFERROR(IF(INDEX('商品マスタ'!$G$6:$G$1005,MATCH($C148,'商品マスタ'!$B$6:$B$1005,0))="",IF(COUNTIFS('①在庫を貼る'!$V$6:$V$10005,'設定'!$C$4,'①在庫を貼る'!$W$6:$W$10005,$C148)&gt;0,SUMIFS('①在庫を貼る'!$Q$6:$Q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Q$6:$Q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Q$6:$Q$10005,'月1回_2ヶ月前の在庫'!$V$6:$V$10005,'設定'!$C$4,'月1回_2ヶ月前の在庫'!$W$6:$W$10005,$C148)/COUNTIFS('月1回_2ヶ月前の在庫'!$V$6:$V$10005,'設定'!$C$4,'月1回_2ヶ月前の在庫'!$W$6:$W$10005,$C148),0))),INDEX('商品マスタ'!$G$6:$G$1005,MATCH($C148,'商品マスタ'!$B$6:$B$1005,0))),IF(COUNTIFS('①在庫を貼る'!$V$6:$V$10005,'設定'!$C$4,'①在庫を貼る'!$W$6:$W$10005,$C148)&gt;0,SUMIFS('①在庫を貼る'!$Q$6:$Q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Q$6:$Q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Q$6:$Q$10005,'月1回_2ヶ月前の在庫'!$V$6:$V$10005,'設定'!$C$4,'月1回_2ヶ月前の在庫'!$W$6:$W$10005,$C148)/COUNTIFS('月1回_2ヶ月前の在庫'!$V$6:$V$10005,'設定'!$C$4,'月1回_2ヶ月前の在庫'!$W$6:$W$10005,$C148),0))))))</f>
        <v/>
      </c>
      <c r="I148">
        <f>IF($C148="","",IF(COUNTIFS('①在庫を貼る'!$V$6:$V$10005,'設定'!$C$4,'①在庫を貼る'!$W$6:$W$10005,$C148)=0,"",SUMIFS('①在庫を貼る'!$N$6:$N$10005,'①在庫を貼る'!$V$6:$V$10005,'設定'!$C$4,'①在庫を貼る'!$W$6:$W$10005,$C148)))</f>
        <v/>
      </c>
      <c r="J148">
        <f>IF($C148="","",IF('②発注する'!$AD152="","",'②発注する'!$AD152))</f>
        <v/>
      </c>
      <c r="K148" s="90">
        <f>IF($C148="","",IF('②発注する'!$AE152="","",'②発注する'!$AE152))</f>
        <v/>
      </c>
      <c r="L148">
        <f>IF($C148="","",IF(AND(ISNUMBER($J148),ISNUMBER($K148),$K148&gt;='設定'!$C$6),$J148,N($I148)))</f>
        <v/>
      </c>
      <c r="M148">
        <f>IF($C148="","",IFERROR(IF(N(INDEX('商品マスタ'!$J$6:$J$1005,MATCH($C148,'商品マスタ'!$B$6:$B$1005,0)))&gt;0,INDEX('商品マスタ'!$J$6:$J$1005,MATCH($C148,'商品マスタ'!$B$6:$B$1005,0)),""),""))</f>
        <v/>
      </c>
      <c r="N148">
        <f>IF($C148="","",IFERROR(IF(N(INDEX('商品マスタ'!$H$6:$H$1005,MATCH($C148,'商品マスタ'!$B$6:$B$1005,0)))&gt;0,INDEX('商品マスタ'!$H$6:$H$1005,MATCH($C148,'商品マスタ'!$B$6:$B$1005,0)),""),""))</f>
        <v/>
      </c>
      <c r="O148">
        <f>IF($C148="","",IF($N148&lt;&gt;"",$N148*$G148,IF(N(IF(COUNTIFS('①在庫を貼る'!$V$6:$V$10005,'設定'!$C$4,'①在庫を貼る'!$W$6:$W$10005,$C148)&gt;0,SUMIFS('①在庫を貼る'!$O$6:$O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O$6:$O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O$6:$O$10005,'月1回_2ヶ月前の在庫'!$V$6:$V$10005,'設定'!$C$4,'月1回_2ヶ月前の在庫'!$W$6:$W$10005,$C148)/COUNTIFS('月1回_2ヶ月前の在庫'!$V$6:$V$10005,'設定'!$C$4,'月1回_2ヶ月前の在庫'!$W$6:$W$10005,$C148),0))))&gt;0,N(IF(COUNTIFS('①在庫を貼る'!$V$6:$V$10005,'設定'!$C$4,'①在庫を貼る'!$W$6:$W$10005,$C148)&gt;0,SUMIFS('①在庫を貼る'!$O$6:$O$10005,'①在庫を貼る'!$V$6:$V$10005,'設定'!$C$4,'①在庫を貼る'!$W$6:$W$10005,$C148)/COUNTIFS('①在庫を貼る'!$V$6:$V$10005,'設定'!$C$4,'①在庫を貼る'!$W$6:$W$10005,$C148),IF(COUNTIFS('月1回_1ヶ月前の在庫'!$V$6:$V$10005,'設定'!$C$4,'月1回_1ヶ月前の在庫'!$W$6:$W$10005,$C148)&gt;0,SUMIFS('月1回_1ヶ月前の在庫'!$O$6:$O$10005,'月1回_1ヶ月前の在庫'!$V$6:$V$10005,'設定'!$C$4,'月1回_1ヶ月前の在庫'!$W$6:$W$10005,$C148)/COUNTIFS('月1回_1ヶ月前の在庫'!$V$6:$V$10005,'設定'!$C$4,'月1回_1ヶ月前の在庫'!$W$6:$W$10005,$C148),IF(COUNTIFS('月1回_2ヶ月前の在庫'!$V$6:$V$10005,'設定'!$C$4,'月1回_2ヶ月前の在庫'!$W$6:$W$10005,$C148)&gt;0,SUMIFS('月1回_2ヶ月前の在庫'!$O$6:$O$10005,'月1回_2ヶ月前の在庫'!$V$6:$V$10005,'設定'!$C$4,'月1回_2ヶ月前の在庫'!$W$6:$W$10005,$C148)/COUNTIFS('月1回_2ヶ月前の在庫'!$V$6:$V$10005,'設定'!$C$4,'月1回_2ヶ月前の在庫'!$W$6:$W$10005,$C148),0)))),"")))</f>
        <v/>
      </c>
      <c r="P148" s="90">
        <f>IF($C148="","",IF('②発注する'!$I152="","",'②発注する'!$I152))</f>
        <v/>
      </c>
      <c r="Q148">
        <f>IF($C148="","",IF('②発注する'!$J152="","",'②発注する'!$J152))</f>
        <v/>
      </c>
      <c r="R148">
        <f>IF($C148="",0,IF(AND(ISNUMBER($P148),ISNUMBER($Q148)),MAX(0,$Q148)*$G148,0))</f>
        <v/>
      </c>
      <c r="S148" s="90">
        <f>IF($C148="","",IF('②発注する'!$M152="","",'②発注する'!$M152))</f>
        <v/>
      </c>
      <c r="T148">
        <f>IF($C148="","",IF('②発注する'!$N152="","",'②発注する'!$N152))</f>
        <v/>
      </c>
      <c r="U148">
        <f>IF($C148="",0,IF(AND(ISNUMBER($S148),ISNUMBER($T148)),MAX(0,$T148)*$G148,0))</f>
        <v/>
      </c>
      <c r="V148">
        <f>IF($C148="",0,IF($M148="",0,MAX(0,$M148)*MAX(0,V$4)/100))</f>
        <v/>
      </c>
      <c r="W148">
        <f>IF($C148="",0,IF($M148="",0,MAX(0,$M148)*MAX(0,W$4)/100))</f>
        <v/>
      </c>
      <c r="X148">
        <f>IF($C148="",0,IF($M148="",0,MAX(0,$M148)*MAX(0,X$4)/100))</f>
        <v/>
      </c>
      <c r="Y148">
        <f>IF($C148="",0,IF($M148="",0,MAX(0,$M148)*MAX(0,Y$4)/100))</f>
        <v/>
      </c>
      <c r="Z148">
        <f>IF($C148="",0,IF($M148="",0,MAX(0,$M148)*MAX(0,Z$4)/100))</f>
        <v/>
      </c>
      <c r="AA148">
        <f>IF($C148="",0,IF($M148="",0,MAX(0,$M148)*MAX(0,AA$4)/100))</f>
        <v/>
      </c>
      <c r="AB148">
        <f>IF($C148="",0,IF($M148="",0,MAX(0,$M148)*MAX(0,AB$4)/100))</f>
        <v/>
      </c>
      <c r="AC148">
        <f>IF($C148="",0,IF($M148="",0,MAX(0,$M148)*MAX(0,AC$4)/100))</f>
        <v/>
      </c>
      <c r="AD148">
        <f>IF($C148="",0,IF($M148="",0,MAX(0,$M148)*MAX(0,AD$4)/100))</f>
        <v/>
      </c>
      <c r="AE148">
        <f>IF($C148="",0,IF($M148="",0,MAX(0,$M148)*MAX(0,AE$4)/100))</f>
        <v/>
      </c>
      <c r="AF148">
        <f>IF($C148="",0,IF($M148="",0,MAX(0,$M148)*MAX(0,AF$4)/100))</f>
        <v/>
      </c>
      <c r="AG148">
        <f>IF($C148="",0,IF($M148="",0,MAX(0,$M148)*MAX(0,AG$4)/100))</f>
        <v/>
      </c>
      <c r="AH148">
        <f>IF($C148="",0,IF($M148="",0,MAX(0,$M148)*MAX(0,AH$4)/100))</f>
        <v/>
      </c>
      <c r="AI148">
        <f>IF($C148="",0,IF($M148="",0,MAX(0,$M148)*MAX(0,AI$4)/100))</f>
        <v/>
      </c>
      <c r="AJ148">
        <f>IF($C148="",0,MAX(0,MAX(0,N($L148))-$V148))</f>
        <v/>
      </c>
      <c r="AK148">
        <f>IF($C148="",0,MAX(0,$AJ148-$W148))</f>
        <v/>
      </c>
      <c r="AL148">
        <f>IF($C148="",0,MAX(0,$AK148-$X148))</f>
        <v/>
      </c>
      <c r="AM148">
        <f>IF($C148="",0,MAX(0,$AL148-$Y148))</f>
        <v/>
      </c>
      <c r="AN148">
        <f>IF($C148="",0,MAX(0,$AM148-$Z148))</f>
        <v/>
      </c>
      <c r="AO148">
        <f>IF($C148="",0,MAX(0,$AN148-$AA148))</f>
        <v/>
      </c>
      <c r="AP148">
        <f>IF($C148="",0,MAX(0,$AO148-$AB148))</f>
        <v/>
      </c>
      <c r="AQ148">
        <f>IF($C148="",0,MAX(0,$AP148-$AC148))</f>
        <v/>
      </c>
      <c r="AR148">
        <f>IF($C148="",0,MAX(0,$AQ148-$AD148))</f>
        <v/>
      </c>
      <c r="AS148">
        <f>IF($C148="",0,MAX(0,$AR148-$AE148))</f>
        <v/>
      </c>
      <c r="AT148">
        <f>IF($C148="",0,MAX(0,$AS148-$AF148))</f>
        <v/>
      </c>
      <c r="AU148">
        <f>IF($C148="",0,MAX(0,$AT148-$AG148))</f>
        <v/>
      </c>
      <c r="AV148">
        <f>IF($C148="",0,MAX(0,$AU148-$AH148))</f>
        <v/>
      </c>
      <c r="AW148">
        <f>IF($C148="",0,MAX(0,$AV148-$AI148))</f>
        <v/>
      </c>
      <c r="AX148">
        <f>IF($C148="",0,MAX(0,MAX(0,N($L148))+IF($P148=V$3,$R148,0)+IF($S148=V$3,$U148,0)-$V148))</f>
        <v/>
      </c>
      <c r="AY148">
        <f>IF($C148="",0,MAX(0,$AX148+IF($P148=W$3,$R148,0)+IF($S148=W$3,$U148,0)-$W148))</f>
        <v/>
      </c>
      <c r="AZ148">
        <f>IF($C148="",0,MAX(0,$AY148+IF($P148=X$3,$R148,0)+IF($S148=X$3,$U148,0)-$X148))</f>
        <v/>
      </c>
      <c r="BA148">
        <f>IF($C148="",0,MAX(0,$AZ148+IF($P148=Y$3,$R148,0)+IF($S148=Y$3,$U148,0)-$Y148))</f>
        <v/>
      </c>
      <c r="BB148">
        <f>IF($C148="",0,MAX(0,$BA148+IF($P148=Z$3,$R148,0)+IF($S148=Z$3,$U148,0)-$Z148))</f>
        <v/>
      </c>
      <c r="BC148">
        <f>IF($C148="",0,MAX(0,$BB148+IF($P148=AA$3,$R148,0)+IF($S148=AA$3,$U148,0)-$AA148))</f>
        <v/>
      </c>
      <c r="BD148">
        <f>IF($C148="",0,MAX(0,$BC148+IF($P148=AB$3,$R148,0)+IF($S148=AB$3,$U148,0)-$AB148))</f>
        <v/>
      </c>
      <c r="BE148">
        <f>IF($C148="",0,MAX(0,$BD148+IF($P148=AC$3,$R148,0)+IF($S148=AC$3,$U148,0)-$AC148))</f>
        <v/>
      </c>
      <c r="BF148">
        <f>IF($C148="",0,MAX(0,$BE148+IF($P148=AD$3,$R148,0)+IF($S148=AD$3,$U148,0)-$AD148))</f>
        <v/>
      </c>
      <c r="BG148">
        <f>IF($C148="",0,MAX(0,$BF148+IF($P148=AE$3,$R148,0)+IF($S148=AE$3,$U148,0)-$AE148))</f>
        <v/>
      </c>
      <c r="BH148">
        <f>IF($C148="",0,MAX(0,$BG148+IF($P148=AF$3,$R148,0)+IF($S148=AF$3,$U148,0)-$AF148))</f>
        <v/>
      </c>
      <c r="BI148">
        <f>IF($C148="",0,MAX(0,$BH148+IF($P148=AG$3,$R148,0)+IF($S148=AG$3,$U148,0)-$AG148))</f>
        <v/>
      </c>
      <c r="BJ148">
        <f>IF($C148="",0,MAX(0,$BI148+IF($P148=AH$3,$R148,0)+IF($S148=AH$3,$U148,0)-$AH148))</f>
        <v/>
      </c>
      <c r="BK148">
        <f>IF($C148="",0,MAX(0,$BJ148+IF($P148=AI$3,$R148,0)+IF($S148=AI$3,$U148,0)-$AI148))</f>
        <v/>
      </c>
      <c r="BL148">
        <f>IF($C148="",99,IF(AND($AX148&lt;1,V$3&gt;=MAX(N($P148),N($S148))),0,99))</f>
        <v/>
      </c>
      <c r="BM148">
        <f>IF($C148="",99,IF(AND($AY148&lt;1,W$3&gt;=MAX(N($P148),N($S148))),1,99))</f>
        <v/>
      </c>
      <c r="BN148">
        <f>IF($C148="",99,IF(AND($AZ148&lt;1,X$3&gt;=MAX(N($P148),N($S148))),2,99))</f>
        <v/>
      </c>
      <c r="BO148">
        <f>IF($C148="",99,IF(AND($BA148&lt;1,Y$3&gt;=MAX(N($P148),N($S148))),3,99))</f>
        <v/>
      </c>
      <c r="BP148">
        <f>IF($C148="",99,IF(AND($BB148&lt;1,Z$3&gt;=MAX(N($P148),N($S148))),4,99))</f>
        <v/>
      </c>
      <c r="BQ148">
        <f>IF($C148="",99,IF(AND($BC148&lt;1,AA$3&gt;=MAX(N($P148),N($S148))),5,99))</f>
        <v/>
      </c>
      <c r="BR148">
        <f>IF($C148="",99,IF(AND($BD148&lt;1,AB$3&gt;=MAX(N($P148),N($S148))),6,99))</f>
        <v/>
      </c>
      <c r="BS148">
        <f>IF($C148="",99,IF(AND($BE148&lt;1,AC$3&gt;=MAX(N($P148),N($S148))),7,99))</f>
        <v/>
      </c>
      <c r="BT148">
        <f>IF($C148="",99,IF(AND($BF148&lt;1,AD$3&gt;=MAX(N($P148),N($S148))),8,99))</f>
        <v/>
      </c>
      <c r="BU148">
        <f>IF($C148="",99,IF(AND($BG148&lt;1,AE$3&gt;=MAX(N($P148),N($S148))),9,99))</f>
        <v/>
      </c>
      <c r="BV148">
        <f>IF($C148="",99,IF(AND($BH148&lt;1,AF$3&gt;=MAX(N($P148),N($S148))),10,99))</f>
        <v/>
      </c>
      <c r="BW148">
        <f>IF($C148="",99,IF(AND($BI148&lt;1,AG$3&gt;=MAX(N($P148),N($S148))),11,99))</f>
        <v/>
      </c>
      <c r="BX148">
        <f>IF($C148="",99,IF(AND($BJ148&lt;1,AH$3&gt;=MAX(N($P148),N($S148))),12,99))</f>
        <v/>
      </c>
      <c r="BY148">
        <f>IF($C148="",99,IF(AND($BK148&lt;1,AI$3&gt;=MAX(N($P148),N($S148))),13,99))</f>
        <v/>
      </c>
      <c r="BZ148">
        <f>IF(OR($C148="",$M148=""),"",COUNTIF($AJ148:$AW148,"&gt;=1"))</f>
        <v/>
      </c>
      <c r="CA148" s="90">
        <f>IF($BZ148="","",IF($BZ148&gt;=14,"",'設定'!$C$6+$BZ148))</f>
        <v/>
      </c>
      <c r="CB148">
        <f>IF(OR($C148="",$M148=""),"",MIN($BL148:$BY148))</f>
        <v/>
      </c>
      <c r="CC148" s="90">
        <f>IF($CB148="","",IF($CB148&gt;=99,"",'設定'!$C$6+$CB148))</f>
        <v/>
      </c>
      <c r="CD148">
        <f>IF(OR($C148="",$M148=""),"",AVERAGE($V148:$AI148))</f>
        <v/>
      </c>
      <c r="CE148">
        <f>IF($C148="","",IFERROR(IF(MATCH(IF(ISNUMBER($P148),$P148,'設定'!$C$6+N('設定'!$C$7)),$V$3:$AI$3,0)=1,MAX(0,N($L148)),INDEX($AJ148:$AW148,MATCH(IF(ISNUMBER($P148),$P148,'設定'!$C$6+N('設定'!$C$7)),$V$3:$AI$3,0)-1)),""))</f>
        <v/>
      </c>
      <c r="CF148">
        <f>IF(OR($C148="",$O148="",$CE148=""),"",IF($O148-$CE148&lt;=0,0,ROUNDUP(($O148-$CE148)/$G148,0)))</f>
        <v/>
      </c>
      <c r="CG148">
        <f>IF(OR($C148="",$CF148="",NOT(ISNUMBER($Q148))),0,MAX(0,$Q148-$CF148))</f>
        <v/>
      </c>
      <c r="CH148">
        <f>IF(OR($C148="",$O148="",$U148=0),0,IFERROR(ROUNDUP(MAX(0,IF(MATCH($S148,$V$3:$AI$3,0)=1,MAX(0,N($L148)),INDEX($AX148:$BK148,MATCH($S148,$V$3:$AI$3,0)-1))+$U148-$O148)/$G148,0),0))</f>
        <v/>
      </c>
      <c r="CI148">
        <f>IF($C148="","",IF(AND($P148="",$Q148=""),"",IF($P148="","⚠ 入庫日を ▼ から選んでください",IF(NOT(ISNUMBER($P148)),"⚠ 入庫日は ▼ から選んでください",IF($P148&lt;N('設定'!$C$6),"⚠ 入庫日が過去です（もう在庫に入っています）→ 消してください",IF($P148&gt;N('設定'!$C$6)+13,"⚠ 入庫日が14日より先です",IF(N($Q148)&lt;=0,"⚠ 入庫数を入れてください",IF($CG148&gt;0,"⚠ 目安より "&amp;$CG148&amp;" 多い（定数を超える）→ 減らす",""))))))))</f>
        <v/>
      </c>
      <c r="CJ148">
        <f>IF($C148="","",IF(AND($S148="",$T148=""),"",IF($S148="","⚠ 2便目：入庫日を ▼ から選んでください",IF(NOT(ISNUMBER($S148)),"⚠ 2便目：入庫日は ▼ から選んでください",IF($S148&lt;N('設定'!$C$6),"⚠ 2便目：入庫日が過去です（もう在庫に入っています）→ 消してください",IF($S148&gt;N('設定'!$C$6)+13,"⚠ 2便目：入庫日が14日より先です",IF(N($T148)&lt;=0,"⚠ 2便目：入庫数を入れてください",IF($CH148&gt;0,"⚠ 2便目：定数を "&amp;$CH148&amp;" ケース超える → 減らす",""))))))))</f>
        <v/>
      </c>
      <c r="CK148">
        <f>IF(AND($CI148="",N($Q148)&gt;0,ISNUMBER($P148)),1,0)</f>
        <v/>
      </c>
      <c r="CL148">
        <f>IF(AND($CJ148="",N($T148)&gt;0,ISNUMBER($S148)),1,0)</f>
        <v/>
      </c>
      <c r="CM148">
        <f>IF(OR($CK148=1,$CL148=1),1,0)</f>
        <v/>
      </c>
      <c r="CN148">
        <f>IF($C148="",0,($CK148*$R148+$CL148*$U148)*N($H148))</f>
        <v/>
      </c>
      <c r="CO148">
        <f>IF($C148="","",IF($CC148="","入庫後は 14日以上もつ",IF($CC148-N('設定'!$C$7)&lt;='設定'!$C$6,"入庫後も "&amp;TEXT($CC148,"m/d")&amp;"("&amp;CHOOSE(WEEKDAY($CC148),"日","月","火","水","木","金","土")&amp;")"&amp;" に切れる　もう1便を至急発注","入庫後も "&amp;TEXT($CC148,"m/d")&amp;"("&amp;CHOOSE(WEEKDAY($CC148),"日","月","火","水","木","金","土")&amp;")"&amp;" に切れる　"&amp;TEXT($CC148-N('設定'!$C$7),"m/d")&amp;"("&amp;CHOOSE(WEEKDAY($CC148-N('設定'!$C$7)),"日","月","火","水","木","金","土")&amp;")"&amp;" までに次を発注")))</f>
        <v/>
      </c>
      <c r="CP148">
        <f>IF($C148="","",IF('設定'!$C$6="","？ ①在庫を貼る に今日のCSVが貼られていない",IF($CS148=1,"－ 今日のCSVに無い（終売？）",IF($L148&lt;0,"● 在庫がマイナス　数えて「数えた在庫」に入れる",IF($L148=0,"● 在庫なし　至急発注",IF($M148="","？ 減り数が未設定（商品マスタ）",IF($B$3=0,"？ 動員が未入力（動員を入れる）",IF($CA148="","○ 14日以上もつ",IF($BZ148&lt;N('設定'!$C$7),"● "&amp;TEXT($CA148,"m/d")&amp;"("&amp;CHOOSE(WEEKDAY($CA148),"日","月","火","水","木","金","土")&amp;")"&amp;" に切れる　至急発注",IF($BZ148=N('設定'!$C$7),"● "&amp;TEXT($CA148,"m/d")&amp;"("&amp;CHOOSE(WEEKDAY($CA148),"日","月","火","水","木","金","土")&amp;")"&amp;" に切れる　今日発注","△ "&amp;TEXT($CA148,"m/d")&amp;"("&amp;CHOOSE(WEEKDAY($CA148),"日","月","火","水","木","金","土")&amp;")"&amp;" に切れる　"&amp;TEXT($CA148-N('設定'!$C$7),"m/d")&amp;"("&amp;CHOOSE(WEEKDAY($CA148-N('設定'!$C$7)),"日","月","火","水","木","金","土")&amp;")"&amp;" までに発注"))))))))))</f>
        <v/>
      </c>
      <c r="CQ148">
        <f>IF($C148="","",IF(AND($P148="",$Q148="",$S148="",$T148=""),"",IF(AND($P148="",$Q148=""),"⚠ 先に1便目（左の入庫日・入庫数）に入れてください",IF($CI148&lt;&gt;"",$CI148,IF($CJ148&lt;&gt;"",$CJ148,IF($M148="","？ 減り数が未設定（発注書には載ります）",IF($B$3=0,"？ 動員が未入力（発注書には載ります）",IF(AND($CA148&lt;&gt;"",$P148&gt;$CA148),IF($P148&gt;'設定'!$C$6+N('設定'!$C$7),"● "&amp;TEXT($P148,"m/d")&amp;"("&amp;CHOOSE(WEEKDAY($P148),"日","月","火","水","木","金","土")&amp;")"&amp;" の入庫では間に合わない（"&amp;TEXT($CA148,"m/d")&amp;"("&amp;CHOOSE(WEEKDAY($CA148),"日","月","火","水","木","金","土")&amp;")"&amp;" に切れる）　入庫日を早める","△ 欠品 "&amp;TEXT($CA148,"m/d")&amp;"("&amp;CHOOSE(WEEKDAY($CA148),"日","月","火","水","木","金","土")&amp;")"&amp;"〜"&amp;TEXT($P148-1,"m/d")&amp;"("&amp;CHOOSE(WEEKDAY($P148-1),"日","月","火","水","木","金","土")&amp;")"&amp;"　"&amp;$CO148),IF($CC148="","○ "&amp;TEXT($P148,"m/d")&amp;"("&amp;CHOOSE(WEEKDAY($P148),"日","月","火","水","木","金","土")&amp;")"&amp;" 入庫で 14日以上もつ",IF($CC148-N('設定'!$C$7)&lt;='設定'!$C$6,"● 入庫しても "&amp;TEXT($CC148,"m/d")&amp;"("&amp;CHOOSE(WEEKDAY($CC148),"日","月","火","水","木","金","土")&amp;")"&amp;" に切れる　もう1便を至急発注（2便目に入れる）","△ 入庫しても "&amp;TEXT($CC148,"m/d")&amp;"("&amp;CHOOSE(WEEKDAY($CC148),"日","月","火","水","木","金","土")&amp;")"&amp;" に切れる　"&amp;TEXT($CC148-N('設定'!$C$7),"m/d")&amp;"("&amp;CHOOSE(WEEKDAY($CC148-N('設定'!$C$7)),"日","月","火","水","木","金","土")&amp;")"&amp;" までに次を発注（2便目に入れる）"))))))))))</f>
        <v/>
      </c>
      <c r="CR148">
        <f>IF($C148="","",IF($G148&gt;1,"ｹｰｽ("&amp;$G148&amp;"入)","個"))</f>
        <v/>
      </c>
      <c r="CS148">
        <f>IF($C148="",0,IF(COUNTIFS('①在庫を貼る'!$V$6:$V$10005,'設定'!$C$4,'①在庫を貼る'!$W$6:$W$10005,$C148)=0,1,0))</f>
        <v/>
      </c>
      <c r="CT148">
        <f>IF(AND($CK148=1,OR('③発注書'!$C$4="すべて",'③発注書'!$C$4="",$F148='③発注書'!$C$4)),N($CT147)+1,N($CT147))</f>
        <v/>
      </c>
      <c r="CU148">
        <f>IF(AND($CL148=1,OR('③発注書'!$C$4="すべて",'③発注書'!$C$4="",$F148='③発注書'!$C$4)),N($CU147)+1,N($CU147))</f>
        <v/>
      </c>
      <c r="CV148">
        <f>IF($C148="",0,IF(COUNTIFS('①在庫を貼る'!$V$6:$V$10005,'設定'!$C$4,'①在庫を貼る'!$W$6:$W$10005,$C148)&gt;0,1,0))</f>
        <v/>
      </c>
      <c r="CW148">
        <f>IF($C148="",0,IF(COUNTIFS('月1回_1ヶ月前の在庫'!$V$6:$V$10005,'設定'!$C$4,'月1回_1ヶ月前の在庫'!$W$6:$W$10005,$C148)&gt;0,1,0))</f>
        <v/>
      </c>
      <c r="CX148">
        <f>IF($C148="",0,IF(COUNTIFS('月1回_2ヶ月前の在庫'!$V$6:$V$10005,'設定'!$C$4,'月1回_2ヶ月前の在庫'!$W$6:$W$10005,$C148)&gt;0,1,0))</f>
        <v/>
      </c>
      <c r="CY148">
        <f>IF(OR($C148="",'設定'!$C$12=""),"",IF('設定'!$C$13="",IF(AND($CV148=1,$CW148=0),"新商品（今月から）",IF(AND($CV148=0,$CW148=1),"終売（今月から）","")),IF(AND($CV148=1,$CW148=0,$CX148=0),"新商品（今月から）",IF(AND($CV148=1,$CW148=1,$CX148=0),"新商品（先月から）",IF(AND($CV148=0,$CW148=1,$CX148=1),"終売（今月から）",IF(AND($CV148=0,$CW148=0,$CX148=1),"終売（先月から）",IF(AND($CV148=1,$CW148=0,$CX148=1),"復活（先月は無し）","")))))))</f>
        <v/>
      </c>
    </row>
    <row r="149">
      <c r="B149">
        <f>IF(144&lt;='設定'!$C$11,144,"")</f>
        <v/>
      </c>
      <c r="C149">
        <f>IF($B149="","",IF($B149&lt;='設定'!$C$20,INDEX('商品マスタ'!$B$6:$B$1005,MATCH($B149,'商品マスタ'!$M$6:$M$1005,0)),IF($B149&lt;='設定'!$C$20+'設定'!$C$17,INDEX('①在庫を貼る'!$W$6:$W$10005,MATCH($B149-'設定'!$C$20,'①在庫を貼る'!$U$6:$U$10005,0)),IF($B149&lt;='設定'!$C$20+'設定'!$C$17+'設定'!$C$18,INDEX('月1回_1ヶ月前の在庫'!$W$6:$W$10005,MATCH($B149-'設定'!$C$20-'設定'!$C$17,'月1回_1ヶ月前の在庫'!$U$6:$U$10005,0)),INDEX('月1回_2ヶ月前の在庫'!$W$6:$W$10005,MATCH($B149-'設定'!$C$20-'設定'!$C$17-'設定'!$C$18,'月1回_2ヶ月前の在庫'!$U$6:$U$10005,0))))))</f>
        <v/>
      </c>
      <c r="D149">
        <f>IF($C149="","",IFERROR(IF(INDEX('商品マスタ'!$C$6:$C$1005,MATCH($C149,'商品マスタ'!$B$6:$B$1005,0))="",IFERROR(INDEX('①在庫を貼る'!$J$6:$J$10005,MATCH($C149,'①在庫を貼る'!$W$6:$W$10005,0)),IFERROR(INDEX('月1回_1ヶ月前の在庫'!$J$6:$J$10005,MATCH($C149,'月1回_1ヶ月前の在庫'!$W$6:$W$10005,0)),IFERROR(INDEX('月1回_2ヶ月前の在庫'!$J$6:$J$10005,MATCH($C149,'月1回_2ヶ月前の在庫'!$W$6:$W$10005,0)),""))),INDEX('商品マスタ'!$C$6:$C$1005,MATCH($C149,'商品マスタ'!$B$6:$B$1005,0))),IFERROR(INDEX('①在庫を貼る'!$J$6:$J$10005,MATCH($C149,'①在庫を貼る'!$W$6:$W$10005,0)),IFERROR(INDEX('月1回_1ヶ月前の在庫'!$J$6:$J$10005,MATCH($C149,'月1回_1ヶ月前の在庫'!$W$6:$W$10005,0)),IFERROR(INDEX('月1回_2ヶ月前の在庫'!$J$6:$J$10005,MATCH($C149,'月1回_2ヶ月前の在庫'!$W$6:$W$10005,0)),"")))))</f>
        <v/>
      </c>
      <c r="E149">
        <f>IF($C149="","",IFERROR(IF(INDEX('商品マスタ'!$D$6:$D$1005,MATCH($C149,'商品マスタ'!$B$6:$B$1005,0))="",IFERROR(INDEX('①在庫を貼る'!$H$6:$H$10005,MATCH($C149,'①在庫を貼る'!$W$6:$W$10005,0)),IFERROR(INDEX('月1回_1ヶ月前の在庫'!$H$6:$H$10005,MATCH($C149,'月1回_1ヶ月前の在庫'!$W$6:$W$10005,0)),IFERROR(INDEX('月1回_2ヶ月前の在庫'!$H$6:$H$10005,MATCH($C149,'月1回_2ヶ月前の在庫'!$W$6:$W$10005,0)),""))),INDEX('商品マスタ'!$D$6:$D$1005,MATCH($C149,'商品マスタ'!$B$6:$B$1005,0))),IFERROR(INDEX('①在庫を貼る'!$H$6:$H$10005,MATCH($C149,'①在庫を貼る'!$W$6:$W$10005,0)),IFERROR(INDEX('月1回_1ヶ月前の在庫'!$H$6:$H$10005,MATCH($C149,'月1回_1ヶ月前の在庫'!$W$6:$W$10005,0)),IFERROR(INDEX('月1回_2ヶ月前の在庫'!$H$6:$H$10005,MATCH($C149,'月1回_2ヶ月前の在庫'!$W$6:$W$10005,0)),"")))))</f>
        <v/>
      </c>
      <c r="F149">
        <f>IF($C149="","",IFERROR(IF(INDEX('商品マスタ'!$E$6:$E$1005,MATCH($C149,'商品マスタ'!$B$6:$B$1005,0))="",IFERROR(INDEX('①在庫を貼る'!$E$6:$E$10005,MATCH($C149,'①在庫を貼る'!$W$6:$W$10005,0)),IFERROR(INDEX('月1回_1ヶ月前の在庫'!$E$6:$E$10005,MATCH($C149,'月1回_1ヶ月前の在庫'!$W$6:$W$10005,0)),IFERROR(INDEX('月1回_2ヶ月前の在庫'!$E$6:$E$10005,MATCH($C149,'月1回_2ヶ月前の在庫'!$W$6:$W$10005,0)),""))),INDEX('商品マスタ'!$E$6:$E$1005,MATCH($C149,'商品マスタ'!$B$6:$B$1005,0))),IFERROR(INDEX('①在庫を貼る'!$E$6:$E$10005,MATCH($C149,'①在庫を貼る'!$W$6:$W$10005,0)),IFERROR(INDEX('月1回_1ヶ月前の在庫'!$E$6:$E$10005,MATCH($C149,'月1回_1ヶ月前の在庫'!$W$6:$W$10005,0)),IFERROR(INDEX('月1回_2ヶ月前の在庫'!$E$6:$E$10005,MATCH($C149,'月1回_2ヶ月前の在庫'!$W$6:$W$10005,0)),"")))))</f>
        <v/>
      </c>
      <c r="G149">
        <f>IF($C149="","",MAX(1,N(IFERROR(IF(INDEX('商品マスタ'!$F$6:$F$1005,MATCH($C149,'商品マスタ'!$B$6:$B$1005,0))="",IF(COUNTIFS('①在庫を貼る'!$V$6:$V$10005,'設定'!$C$4,'①在庫を貼る'!$W$6:$W$10005,$C149)&gt;0,SUMIFS('①在庫を貼る'!$K$6:$K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K$6:$K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K$6:$K$10005,'月1回_2ヶ月前の在庫'!$V$6:$V$10005,'設定'!$C$4,'月1回_2ヶ月前の在庫'!$W$6:$W$10005,$C149)/COUNTIFS('月1回_2ヶ月前の在庫'!$V$6:$V$10005,'設定'!$C$4,'月1回_2ヶ月前の在庫'!$W$6:$W$10005,$C149),0))),INDEX('商品マスタ'!$F$6:$F$1005,MATCH($C149,'商品マスタ'!$B$6:$B$1005,0))),IF(COUNTIFS('①在庫を貼る'!$V$6:$V$10005,'設定'!$C$4,'①在庫を貼る'!$W$6:$W$10005,$C149)&gt;0,SUMIFS('①在庫を貼る'!$K$6:$K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K$6:$K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K$6:$K$10005,'月1回_2ヶ月前の在庫'!$V$6:$V$10005,'設定'!$C$4,'月1回_2ヶ月前の在庫'!$W$6:$W$10005,$C149)/COUNTIFS('月1回_2ヶ月前の在庫'!$V$6:$V$10005,'設定'!$C$4,'月1回_2ヶ月前の在庫'!$W$6:$W$10005,$C149),0)))))))</f>
        <v/>
      </c>
      <c r="H149">
        <f>IF($C149="","",N(IFERROR(IF(INDEX('商品マスタ'!$G$6:$G$1005,MATCH($C149,'商品マスタ'!$B$6:$B$1005,0))="",IF(COUNTIFS('①在庫を貼る'!$V$6:$V$10005,'設定'!$C$4,'①在庫を貼る'!$W$6:$W$10005,$C149)&gt;0,SUMIFS('①在庫を貼る'!$Q$6:$Q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Q$6:$Q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Q$6:$Q$10005,'月1回_2ヶ月前の在庫'!$V$6:$V$10005,'設定'!$C$4,'月1回_2ヶ月前の在庫'!$W$6:$W$10005,$C149)/COUNTIFS('月1回_2ヶ月前の在庫'!$V$6:$V$10005,'設定'!$C$4,'月1回_2ヶ月前の在庫'!$W$6:$W$10005,$C149),0))),INDEX('商品マスタ'!$G$6:$G$1005,MATCH($C149,'商品マスタ'!$B$6:$B$1005,0))),IF(COUNTIFS('①在庫を貼る'!$V$6:$V$10005,'設定'!$C$4,'①在庫を貼る'!$W$6:$W$10005,$C149)&gt;0,SUMIFS('①在庫を貼る'!$Q$6:$Q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Q$6:$Q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Q$6:$Q$10005,'月1回_2ヶ月前の在庫'!$V$6:$V$10005,'設定'!$C$4,'月1回_2ヶ月前の在庫'!$W$6:$W$10005,$C149)/COUNTIFS('月1回_2ヶ月前の在庫'!$V$6:$V$10005,'設定'!$C$4,'月1回_2ヶ月前の在庫'!$W$6:$W$10005,$C149),0))))))</f>
        <v/>
      </c>
      <c r="I149">
        <f>IF($C149="","",IF(COUNTIFS('①在庫を貼る'!$V$6:$V$10005,'設定'!$C$4,'①在庫を貼る'!$W$6:$W$10005,$C149)=0,"",SUMIFS('①在庫を貼る'!$N$6:$N$10005,'①在庫を貼る'!$V$6:$V$10005,'設定'!$C$4,'①在庫を貼る'!$W$6:$W$10005,$C149)))</f>
        <v/>
      </c>
      <c r="J149">
        <f>IF($C149="","",IF('②発注する'!$AD153="","",'②発注する'!$AD153))</f>
        <v/>
      </c>
      <c r="K149" s="90">
        <f>IF($C149="","",IF('②発注する'!$AE153="","",'②発注する'!$AE153))</f>
        <v/>
      </c>
      <c r="L149">
        <f>IF($C149="","",IF(AND(ISNUMBER($J149),ISNUMBER($K149),$K149&gt;='設定'!$C$6),$J149,N($I149)))</f>
        <v/>
      </c>
      <c r="M149">
        <f>IF($C149="","",IFERROR(IF(N(INDEX('商品マスタ'!$J$6:$J$1005,MATCH($C149,'商品マスタ'!$B$6:$B$1005,0)))&gt;0,INDEX('商品マスタ'!$J$6:$J$1005,MATCH($C149,'商品マスタ'!$B$6:$B$1005,0)),""),""))</f>
        <v/>
      </c>
      <c r="N149">
        <f>IF($C149="","",IFERROR(IF(N(INDEX('商品マスタ'!$H$6:$H$1005,MATCH($C149,'商品マスタ'!$B$6:$B$1005,0)))&gt;0,INDEX('商品マスタ'!$H$6:$H$1005,MATCH($C149,'商品マスタ'!$B$6:$B$1005,0)),""),""))</f>
        <v/>
      </c>
      <c r="O149">
        <f>IF($C149="","",IF($N149&lt;&gt;"",$N149*$G149,IF(N(IF(COUNTIFS('①在庫を貼る'!$V$6:$V$10005,'設定'!$C$4,'①在庫を貼る'!$W$6:$W$10005,$C149)&gt;0,SUMIFS('①在庫を貼る'!$O$6:$O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O$6:$O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O$6:$O$10005,'月1回_2ヶ月前の在庫'!$V$6:$V$10005,'設定'!$C$4,'月1回_2ヶ月前の在庫'!$W$6:$W$10005,$C149)/COUNTIFS('月1回_2ヶ月前の在庫'!$V$6:$V$10005,'設定'!$C$4,'月1回_2ヶ月前の在庫'!$W$6:$W$10005,$C149),0))))&gt;0,N(IF(COUNTIFS('①在庫を貼る'!$V$6:$V$10005,'設定'!$C$4,'①在庫を貼る'!$W$6:$W$10005,$C149)&gt;0,SUMIFS('①在庫を貼る'!$O$6:$O$10005,'①在庫を貼る'!$V$6:$V$10005,'設定'!$C$4,'①在庫を貼る'!$W$6:$W$10005,$C149)/COUNTIFS('①在庫を貼る'!$V$6:$V$10005,'設定'!$C$4,'①在庫を貼る'!$W$6:$W$10005,$C149),IF(COUNTIFS('月1回_1ヶ月前の在庫'!$V$6:$V$10005,'設定'!$C$4,'月1回_1ヶ月前の在庫'!$W$6:$W$10005,$C149)&gt;0,SUMIFS('月1回_1ヶ月前の在庫'!$O$6:$O$10005,'月1回_1ヶ月前の在庫'!$V$6:$V$10005,'設定'!$C$4,'月1回_1ヶ月前の在庫'!$W$6:$W$10005,$C149)/COUNTIFS('月1回_1ヶ月前の在庫'!$V$6:$V$10005,'設定'!$C$4,'月1回_1ヶ月前の在庫'!$W$6:$W$10005,$C149),IF(COUNTIFS('月1回_2ヶ月前の在庫'!$V$6:$V$10005,'設定'!$C$4,'月1回_2ヶ月前の在庫'!$W$6:$W$10005,$C149)&gt;0,SUMIFS('月1回_2ヶ月前の在庫'!$O$6:$O$10005,'月1回_2ヶ月前の在庫'!$V$6:$V$10005,'設定'!$C$4,'月1回_2ヶ月前の在庫'!$W$6:$W$10005,$C149)/COUNTIFS('月1回_2ヶ月前の在庫'!$V$6:$V$10005,'設定'!$C$4,'月1回_2ヶ月前の在庫'!$W$6:$W$10005,$C149),0)))),"")))</f>
        <v/>
      </c>
      <c r="P149" s="90">
        <f>IF($C149="","",IF('②発注する'!$I153="","",'②発注する'!$I153))</f>
        <v/>
      </c>
      <c r="Q149">
        <f>IF($C149="","",IF('②発注する'!$J153="","",'②発注する'!$J153))</f>
        <v/>
      </c>
      <c r="R149">
        <f>IF($C149="",0,IF(AND(ISNUMBER($P149),ISNUMBER($Q149)),MAX(0,$Q149)*$G149,0))</f>
        <v/>
      </c>
      <c r="S149" s="90">
        <f>IF($C149="","",IF('②発注する'!$M153="","",'②発注する'!$M153))</f>
        <v/>
      </c>
      <c r="T149">
        <f>IF($C149="","",IF('②発注する'!$N153="","",'②発注する'!$N153))</f>
        <v/>
      </c>
      <c r="U149">
        <f>IF($C149="",0,IF(AND(ISNUMBER($S149),ISNUMBER($T149)),MAX(0,$T149)*$G149,0))</f>
        <v/>
      </c>
      <c r="V149">
        <f>IF($C149="",0,IF($M149="",0,MAX(0,$M149)*MAX(0,V$4)/100))</f>
        <v/>
      </c>
      <c r="W149">
        <f>IF($C149="",0,IF($M149="",0,MAX(0,$M149)*MAX(0,W$4)/100))</f>
        <v/>
      </c>
      <c r="X149">
        <f>IF($C149="",0,IF($M149="",0,MAX(0,$M149)*MAX(0,X$4)/100))</f>
        <v/>
      </c>
      <c r="Y149">
        <f>IF($C149="",0,IF($M149="",0,MAX(0,$M149)*MAX(0,Y$4)/100))</f>
        <v/>
      </c>
      <c r="Z149">
        <f>IF($C149="",0,IF($M149="",0,MAX(0,$M149)*MAX(0,Z$4)/100))</f>
        <v/>
      </c>
      <c r="AA149">
        <f>IF($C149="",0,IF($M149="",0,MAX(0,$M149)*MAX(0,AA$4)/100))</f>
        <v/>
      </c>
      <c r="AB149">
        <f>IF($C149="",0,IF($M149="",0,MAX(0,$M149)*MAX(0,AB$4)/100))</f>
        <v/>
      </c>
      <c r="AC149">
        <f>IF($C149="",0,IF($M149="",0,MAX(0,$M149)*MAX(0,AC$4)/100))</f>
        <v/>
      </c>
      <c r="AD149">
        <f>IF($C149="",0,IF($M149="",0,MAX(0,$M149)*MAX(0,AD$4)/100))</f>
        <v/>
      </c>
      <c r="AE149">
        <f>IF($C149="",0,IF($M149="",0,MAX(0,$M149)*MAX(0,AE$4)/100))</f>
        <v/>
      </c>
      <c r="AF149">
        <f>IF($C149="",0,IF($M149="",0,MAX(0,$M149)*MAX(0,AF$4)/100))</f>
        <v/>
      </c>
      <c r="AG149">
        <f>IF($C149="",0,IF($M149="",0,MAX(0,$M149)*MAX(0,AG$4)/100))</f>
        <v/>
      </c>
      <c r="AH149">
        <f>IF($C149="",0,IF($M149="",0,MAX(0,$M149)*MAX(0,AH$4)/100))</f>
        <v/>
      </c>
      <c r="AI149">
        <f>IF($C149="",0,IF($M149="",0,MAX(0,$M149)*MAX(0,AI$4)/100))</f>
        <v/>
      </c>
      <c r="AJ149">
        <f>IF($C149="",0,MAX(0,MAX(0,N($L149))-$V149))</f>
        <v/>
      </c>
      <c r="AK149">
        <f>IF($C149="",0,MAX(0,$AJ149-$W149))</f>
        <v/>
      </c>
      <c r="AL149">
        <f>IF($C149="",0,MAX(0,$AK149-$X149))</f>
        <v/>
      </c>
      <c r="AM149">
        <f>IF($C149="",0,MAX(0,$AL149-$Y149))</f>
        <v/>
      </c>
      <c r="AN149">
        <f>IF($C149="",0,MAX(0,$AM149-$Z149))</f>
        <v/>
      </c>
      <c r="AO149">
        <f>IF($C149="",0,MAX(0,$AN149-$AA149))</f>
        <v/>
      </c>
      <c r="AP149">
        <f>IF($C149="",0,MAX(0,$AO149-$AB149))</f>
        <v/>
      </c>
      <c r="AQ149">
        <f>IF($C149="",0,MAX(0,$AP149-$AC149))</f>
        <v/>
      </c>
      <c r="AR149">
        <f>IF($C149="",0,MAX(0,$AQ149-$AD149))</f>
        <v/>
      </c>
      <c r="AS149">
        <f>IF($C149="",0,MAX(0,$AR149-$AE149))</f>
        <v/>
      </c>
      <c r="AT149">
        <f>IF($C149="",0,MAX(0,$AS149-$AF149))</f>
        <v/>
      </c>
      <c r="AU149">
        <f>IF($C149="",0,MAX(0,$AT149-$AG149))</f>
        <v/>
      </c>
      <c r="AV149">
        <f>IF($C149="",0,MAX(0,$AU149-$AH149))</f>
        <v/>
      </c>
      <c r="AW149">
        <f>IF($C149="",0,MAX(0,$AV149-$AI149))</f>
        <v/>
      </c>
      <c r="AX149">
        <f>IF($C149="",0,MAX(0,MAX(0,N($L149))+IF($P149=V$3,$R149,0)+IF($S149=V$3,$U149,0)-$V149))</f>
        <v/>
      </c>
      <c r="AY149">
        <f>IF($C149="",0,MAX(0,$AX149+IF($P149=W$3,$R149,0)+IF($S149=W$3,$U149,0)-$W149))</f>
        <v/>
      </c>
      <c r="AZ149">
        <f>IF($C149="",0,MAX(0,$AY149+IF($P149=X$3,$R149,0)+IF($S149=X$3,$U149,0)-$X149))</f>
        <v/>
      </c>
      <c r="BA149">
        <f>IF($C149="",0,MAX(0,$AZ149+IF($P149=Y$3,$R149,0)+IF($S149=Y$3,$U149,0)-$Y149))</f>
        <v/>
      </c>
      <c r="BB149">
        <f>IF($C149="",0,MAX(0,$BA149+IF($P149=Z$3,$R149,0)+IF($S149=Z$3,$U149,0)-$Z149))</f>
        <v/>
      </c>
      <c r="BC149">
        <f>IF($C149="",0,MAX(0,$BB149+IF($P149=AA$3,$R149,0)+IF($S149=AA$3,$U149,0)-$AA149))</f>
        <v/>
      </c>
      <c r="BD149">
        <f>IF($C149="",0,MAX(0,$BC149+IF($P149=AB$3,$R149,0)+IF($S149=AB$3,$U149,0)-$AB149))</f>
        <v/>
      </c>
      <c r="BE149">
        <f>IF($C149="",0,MAX(0,$BD149+IF($P149=AC$3,$R149,0)+IF($S149=AC$3,$U149,0)-$AC149))</f>
        <v/>
      </c>
      <c r="BF149">
        <f>IF($C149="",0,MAX(0,$BE149+IF($P149=AD$3,$R149,0)+IF($S149=AD$3,$U149,0)-$AD149))</f>
        <v/>
      </c>
      <c r="BG149">
        <f>IF($C149="",0,MAX(0,$BF149+IF($P149=AE$3,$R149,0)+IF($S149=AE$3,$U149,0)-$AE149))</f>
        <v/>
      </c>
      <c r="BH149">
        <f>IF($C149="",0,MAX(0,$BG149+IF($P149=AF$3,$R149,0)+IF($S149=AF$3,$U149,0)-$AF149))</f>
        <v/>
      </c>
      <c r="BI149">
        <f>IF($C149="",0,MAX(0,$BH149+IF($P149=AG$3,$R149,0)+IF($S149=AG$3,$U149,0)-$AG149))</f>
        <v/>
      </c>
      <c r="BJ149">
        <f>IF($C149="",0,MAX(0,$BI149+IF($P149=AH$3,$R149,0)+IF($S149=AH$3,$U149,0)-$AH149))</f>
        <v/>
      </c>
      <c r="BK149">
        <f>IF($C149="",0,MAX(0,$BJ149+IF($P149=AI$3,$R149,0)+IF($S149=AI$3,$U149,0)-$AI149))</f>
        <v/>
      </c>
      <c r="BL149">
        <f>IF($C149="",99,IF(AND($AX149&lt;1,V$3&gt;=MAX(N($P149),N($S149))),0,99))</f>
        <v/>
      </c>
      <c r="BM149">
        <f>IF($C149="",99,IF(AND($AY149&lt;1,W$3&gt;=MAX(N($P149),N($S149))),1,99))</f>
        <v/>
      </c>
      <c r="BN149">
        <f>IF($C149="",99,IF(AND($AZ149&lt;1,X$3&gt;=MAX(N($P149),N($S149))),2,99))</f>
        <v/>
      </c>
      <c r="BO149">
        <f>IF($C149="",99,IF(AND($BA149&lt;1,Y$3&gt;=MAX(N($P149),N($S149))),3,99))</f>
        <v/>
      </c>
      <c r="BP149">
        <f>IF($C149="",99,IF(AND($BB149&lt;1,Z$3&gt;=MAX(N($P149),N($S149))),4,99))</f>
        <v/>
      </c>
      <c r="BQ149">
        <f>IF($C149="",99,IF(AND($BC149&lt;1,AA$3&gt;=MAX(N($P149),N($S149))),5,99))</f>
        <v/>
      </c>
      <c r="BR149">
        <f>IF($C149="",99,IF(AND($BD149&lt;1,AB$3&gt;=MAX(N($P149),N($S149))),6,99))</f>
        <v/>
      </c>
      <c r="BS149">
        <f>IF($C149="",99,IF(AND($BE149&lt;1,AC$3&gt;=MAX(N($P149),N($S149))),7,99))</f>
        <v/>
      </c>
      <c r="BT149">
        <f>IF($C149="",99,IF(AND($BF149&lt;1,AD$3&gt;=MAX(N($P149),N($S149))),8,99))</f>
        <v/>
      </c>
      <c r="BU149">
        <f>IF($C149="",99,IF(AND($BG149&lt;1,AE$3&gt;=MAX(N($P149),N($S149))),9,99))</f>
        <v/>
      </c>
      <c r="BV149">
        <f>IF($C149="",99,IF(AND($BH149&lt;1,AF$3&gt;=MAX(N($P149),N($S149))),10,99))</f>
        <v/>
      </c>
      <c r="BW149">
        <f>IF($C149="",99,IF(AND($BI149&lt;1,AG$3&gt;=MAX(N($P149),N($S149))),11,99))</f>
        <v/>
      </c>
      <c r="BX149">
        <f>IF($C149="",99,IF(AND($BJ149&lt;1,AH$3&gt;=MAX(N($P149),N($S149))),12,99))</f>
        <v/>
      </c>
      <c r="BY149">
        <f>IF($C149="",99,IF(AND($BK149&lt;1,AI$3&gt;=MAX(N($P149),N($S149))),13,99))</f>
        <v/>
      </c>
      <c r="BZ149">
        <f>IF(OR($C149="",$M149=""),"",COUNTIF($AJ149:$AW149,"&gt;=1"))</f>
        <v/>
      </c>
      <c r="CA149" s="90">
        <f>IF($BZ149="","",IF($BZ149&gt;=14,"",'設定'!$C$6+$BZ149))</f>
        <v/>
      </c>
      <c r="CB149">
        <f>IF(OR($C149="",$M149=""),"",MIN($BL149:$BY149))</f>
        <v/>
      </c>
      <c r="CC149" s="90">
        <f>IF($CB149="","",IF($CB149&gt;=99,"",'設定'!$C$6+$CB149))</f>
        <v/>
      </c>
      <c r="CD149">
        <f>IF(OR($C149="",$M149=""),"",AVERAGE($V149:$AI149))</f>
        <v/>
      </c>
      <c r="CE149">
        <f>IF($C149="","",IFERROR(IF(MATCH(IF(ISNUMBER($P149),$P149,'設定'!$C$6+N('設定'!$C$7)),$V$3:$AI$3,0)=1,MAX(0,N($L149)),INDEX($AJ149:$AW149,MATCH(IF(ISNUMBER($P149),$P149,'設定'!$C$6+N('設定'!$C$7)),$V$3:$AI$3,0)-1)),""))</f>
        <v/>
      </c>
      <c r="CF149">
        <f>IF(OR($C149="",$O149="",$CE149=""),"",IF($O149-$CE149&lt;=0,0,ROUNDUP(($O149-$CE149)/$G149,0)))</f>
        <v/>
      </c>
      <c r="CG149">
        <f>IF(OR($C149="",$CF149="",NOT(ISNUMBER($Q149))),0,MAX(0,$Q149-$CF149))</f>
        <v/>
      </c>
      <c r="CH149">
        <f>IF(OR($C149="",$O149="",$U149=0),0,IFERROR(ROUNDUP(MAX(0,IF(MATCH($S149,$V$3:$AI$3,0)=1,MAX(0,N($L149)),INDEX($AX149:$BK149,MATCH($S149,$V$3:$AI$3,0)-1))+$U149-$O149)/$G149,0),0))</f>
        <v/>
      </c>
      <c r="CI149">
        <f>IF($C149="","",IF(AND($P149="",$Q149=""),"",IF($P149="","⚠ 入庫日を ▼ から選んでください",IF(NOT(ISNUMBER($P149)),"⚠ 入庫日は ▼ から選んでください",IF($P149&lt;N('設定'!$C$6),"⚠ 入庫日が過去です（もう在庫に入っています）→ 消してください",IF($P149&gt;N('設定'!$C$6)+13,"⚠ 入庫日が14日より先です",IF(N($Q149)&lt;=0,"⚠ 入庫数を入れてください",IF($CG149&gt;0,"⚠ 目安より "&amp;$CG149&amp;" 多い（定数を超える）→ 減らす",""))))))))</f>
        <v/>
      </c>
      <c r="CJ149">
        <f>IF($C149="","",IF(AND($S149="",$T149=""),"",IF($S149="","⚠ 2便目：入庫日を ▼ から選んでください",IF(NOT(ISNUMBER($S149)),"⚠ 2便目：入庫日は ▼ から選んでください",IF($S149&lt;N('設定'!$C$6),"⚠ 2便目：入庫日が過去です（もう在庫に入っています）→ 消してください",IF($S149&gt;N('設定'!$C$6)+13,"⚠ 2便目：入庫日が14日より先です",IF(N($T149)&lt;=0,"⚠ 2便目：入庫数を入れてください",IF($CH149&gt;0,"⚠ 2便目：定数を "&amp;$CH149&amp;" ケース超える → 減らす",""))))))))</f>
        <v/>
      </c>
      <c r="CK149">
        <f>IF(AND($CI149="",N($Q149)&gt;0,ISNUMBER($P149)),1,0)</f>
        <v/>
      </c>
      <c r="CL149">
        <f>IF(AND($CJ149="",N($T149)&gt;0,ISNUMBER($S149)),1,0)</f>
        <v/>
      </c>
      <c r="CM149">
        <f>IF(OR($CK149=1,$CL149=1),1,0)</f>
        <v/>
      </c>
      <c r="CN149">
        <f>IF($C149="",0,($CK149*$R149+$CL149*$U149)*N($H149))</f>
        <v/>
      </c>
      <c r="CO149">
        <f>IF($C149="","",IF($CC149="","入庫後は 14日以上もつ",IF($CC149-N('設定'!$C$7)&lt;='設定'!$C$6,"入庫後も "&amp;TEXT($CC149,"m/d")&amp;"("&amp;CHOOSE(WEEKDAY($CC149),"日","月","火","水","木","金","土")&amp;")"&amp;" に切れる　もう1便を至急発注","入庫後も "&amp;TEXT($CC149,"m/d")&amp;"("&amp;CHOOSE(WEEKDAY($CC149),"日","月","火","水","木","金","土")&amp;")"&amp;" に切れる　"&amp;TEXT($CC149-N('設定'!$C$7),"m/d")&amp;"("&amp;CHOOSE(WEEKDAY($CC149-N('設定'!$C$7)),"日","月","火","水","木","金","土")&amp;")"&amp;" までに次を発注")))</f>
        <v/>
      </c>
      <c r="CP149">
        <f>IF($C149="","",IF('設定'!$C$6="","？ ①在庫を貼る に今日のCSVが貼られていない",IF($CS149=1,"－ 今日のCSVに無い（終売？）",IF($L149&lt;0,"● 在庫がマイナス　数えて「数えた在庫」に入れる",IF($L149=0,"● 在庫なし　至急発注",IF($M149="","？ 減り数が未設定（商品マスタ）",IF($B$3=0,"？ 動員が未入力（動員を入れる）",IF($CA149="","○ 14日以上もつ",IF($BZ149&lt;N('設定'!$C$7),"● "&amp;TEXT($CA149,"m/d")&amp;"("&amp;CHOOSE(WEEKDAY($CA149),"日","月","火","水","木","金","土")&amp;")"&amp;" に切れる　至急発注",IF($BZ149=N('設定'!$C$7),"● "&amp;TEXT($CA149,"m/d")&amp;"("&amp;CHOOSE(WEEKDAY($CA149),"日","月","火","水","木","金","土")&amp;")"&amp;" に切れる　今日発注","△ "&amp;TEXT($CA149,"m/d")&amp;"("&amp;CHOOSE(WEEKDAY($CA149),"日","月","火","水","木","金","土")&amp;")"&amp;" に切れる　"&amp;TEXT($CA149-N('設定'!$C$7),"m/d")&amp;"("&amp;CHOOSE(WEEKDAY($CA149-N('設定'!$C$7)),"日","月","火","水","木","金","土")&amp;")"&amp;" までに発注"))))))))))</f>
        <v/>
      </c>
      <c r="CQ149">
        <f>IF($C149="","",IF(AND($P149="",$Q149="",$S149="",$T149=""),"",IF(AND($P149="",$Q149=""),"⚠ 先に1便目（左の入庫日・入庫数）に入れてください",IF($CI149&lt;&gt;"",$CI149,IF($CJ149&lt;&gt;"",$CJ149,IF($M149="","？ 減り数が未設定（発注書には載ります）",IF($B$3=0,"？ 動員が未入力（発注書には載ります）",IF(AND($CA149&lt;&gt;"",$P149&gt;$CA149),IF($P149&gt;'設定'!$C$6+N('設定'!$C$7),"● "&amp;TEXT($P149,"m/d")&amp;"("&amp;CHOOSE(WEEKDAY($P149),"日","月","火","水","木","金","土")&amp;")"&amp;" の入庫では間に合わない（"&amp;TEXT($CA149,"m/d")&amp;"("&amp;CHOOSE(WEEKDAY($CA149),"日","月","火","水","木","金","土")&amp;")"&amp;" に切れる）　入庫日を早める","△ 欠品 "&amp;TEXT($CA149,"m/d")&amp;"("&amp;CHOOSE(WEEKDAY($CA149),"日","月","火","水","木","金","土")&amp;")"&amp;"〜"&amp;TEXT($P149-1,"m/d")&amp;"("&amp;CHOOSE(WEEKDAY($P149-1),"日","月","火","水","木","金","土")&amp;")"&amp;"　"&amp;$CO149),IF($CC149="","○ "&amp;TEXT($P149,"m/d")&amp;"("&amp;CHOOSE(WEEKDAY($P149),"日","月","火","水","木","金","土")&amp;")"&amp;" 入庫で 14日以上もつ",IF($CC149-N('設定'!$C$7)&lt;='設定'!$C$6,"● 入庫しても "&amp;TEXT($CC149,"m/d")&amp;"("&amp;CHOOSE(WEEKDAY($CC149),"日","月","火","水","木","金","土")&amp;")"&amp;" に切れる　もう1便を至急発注（2便目に入れる）","△ 入庫しても "&amp;TEXT($CC149,"m/d")&amp;"("&amp;CHOOSE(WEEKDAY($CC149),"日","月","火","水","木","金","土")&amp;")"&amp;" に切れる　"&amp;TEXT($CC149-N('設定'!$C$7),"m/d")&amp;"("&amp;CHOOSE(WEEKDAY($CC149-N('設定'!$C$7)),"日","月","火","水","木","金","土")&amp;")"&amp;" までに次を発注（2便目に入れる）"))))))))))</f>
        <v/>
      </c>
      <c r="CR149">
        <f>IF($C149="","",IF($G149&gt;1,"ｹｰｽ("&amp;$G149&amp;"入)","個"))</f>
        <v/>
      </c>
      <c r="CS149">
        <f>IF($C149="",0,IF(COUNTIFS('①在庫を貼る'!$V$6:$V$10005,'設定'!$C$4,'①在庫を貼る'!$W$6:$W$10005,$C149)=0,1,0))</f>
        <v/>
      </c>
      <c r="CT149">
        <f>IF(AND($CK149=1,OR('③発注書'!$C$4="すべて",'③発注書'!$C$4="",$F149='③発注書'!$C$4)),N($CT148)+1,N($CT148))</f>
        <v/>
      </c>
      <c r="CU149">
        <f>IF(AND($CL149=1,OR('③発注書'!$C$4="すべて",'③発注書'!$C$4="",$F149='③発注書'!$C$4)),N($CU148)+1,N($CU148))</f>
        <v/>
      </c>
      <c r="CV149">
        <f>IF($C149="",0,IF(COUNTIFS('①在庫を貼る'!$V$6:$V$10005,'設定'!$C$4,'①在庫を貼る'!$W$6:$W$10005,$C149)&gt;0,1,0))</f>
        <v/>
      </c>
      <c r="CW149">
        <f>IF($C149="",0,IF(COUNTIFS('月1回_1ヶ月前の在庫'!$V$6:$V$10005,'設定'!$C$4,'月1回_1ヶ月前の在庫'!$W$6:$W$10005,$C149)&gt;0,1,0))</f>
        <v/>
      </c>
      <c r="CX149">
        <f>IF($C149="",0,IF(COUNTIFS('月1回_2ヶ月前の在庫'!$V$6:$V$10005,'設定'!$C$4,'月1回_2ヶ月前の在庫'!$W$6:$W$10005,$C149)&gt;0,1,0))</f>
        <v/>
      </c>
      <c r="CY149">
        <f>IF(OR($C149="",'設定'!$C$12=""),"",IF('設定'!$C$13="",IF(AND($CV149=1,$CW149=0),"新商品（今月から）",IF(AND($CV149=0,$CW149=1),"終売（今月から）","")),IF(AND($CV149=1,$CW149=0,$CX149=0),"新商品（今月から）",IF(AND($CV149=1,$CW149=1,$CX149=0),"新商品（先月から）",IF(AND($CV149=0,$CW149=1,$CX149=1),"終売（今月から）",IF(AND($CV149=0,$CW149=0,$CX149=1),"終売（先月から）",IF(AND($CV149=1,$CW149=0,$CX149=1),"復活（先月は無し）","")))))))</f>
        <v/>
      </c>
    </row>
    <row r="150">
      <c r="B150">
        <f>IF(145&lt;='設定'!$C$11,145,"")</f>
        <v/>
      </c>
      <c r="C150">
        <f>IF($B150="","",IF($B150&lt;='設定'!$C$20,INDEX('商品マスタ'!$B$6:$B$1005,MATCH($B150,'商品マスタ'!$M$6:$M$1005,0)),IF($B150&lt;='設定'!$C$20+'設定'!$C$17,INDEX('①在庫を貼る'!$W$6:$W$10005,MATCH($B150-'設定'!$C$20,'①在庫を貼る'!$U$6:$U$10005,0)),IF($B150&lt;='設定'!$C$20+'設定'!$C$17+'設定'!$C$18,INDEX('月1回_1ヶ月前の在庫'!$W$6:$W$10005,MATCH($B150-'設定'!$C$20-'設定'!$C$17,'月1回_1ヶ月前の在庫'!$U$6:$U$10005,0)),INDEX('月1回_2ヶ月前の在庫'!$W$6:$W$10005,MATCH($B150-'設定'!$C$20-'設定'!$C$17-'設定'!$C$18,'月1回_2ヶ月前の在庫'!$U$6:$U$10005,0))))))</f>
        <v/>
      </c>
      <c r="D150">
        <f>IF($C150="","",IFERROR(IF(INDEX('商品マスタ'!$C$6:$C$1005,MATCH($C150,'商品マスタ'!$B$6:$B$1005,0))="",IFERROR(INDEX('①在庫を貼る'!$J$6:$J$10005,MATCH($C150,'①在庫を貼る'!$W$6:$W$10005,0)),IFERROR(INDEX('月1回_1ヶ月前の在庫'!$J$6:$J$10005,MATCH($C150,'月1回_1ヶ月前の在庫'!$W$6:$W$10005,0)),IFERROR(INDEX('月1回_2ヶ月前の在庫'!$J$6:$J$10005,MATCH($C150,'月1回_2ヶ月前の在庫'!$W$6:$W$10005,0)),""))),INDEX('商品マスタ'!$C$6:$C$1005,MATCH($C150,'商品マスタ'!$B$6:$B$1005,0))),IFERROR(INDEX('①在庫を貼る'!$J$6:$J$10005,MATCH($C150,'①在庫を貼る'!$W$6:$W$10005,0)),IFERROR(INDEX('月1回_1ヶ月前の在庫'!$J$6:$J$10005,MATCH($C150,'月1回_1ヶ月前の在庫'!$W$6:$W$10005,0)),IFERROR(INDEX('月1回_2ヶ月前の在庫'!$J$6:$J$10005,MATCH($C150,'月1回_2ヶ月前の在庫'!$W$6:$W$10005,0)),"")))))</f>
        <v/>
      </c>
      <c r="E150">
        <f>IF($C150="","",IFERROR(IF(INDEX('商品マスタ'!$D$6:$D$1005,MATCH($C150,'商品マスタ'!$B$6:$B$1005,0))="",IFERROR(INDEX('①在庫を貼る'!$H$6:$H$10005,MATCH($C150,'①在庫を貼る'!$W$6:$W$10005,0)),IFERROR(INDEX('月1回_1ヶ月前の在庫'!$H$6:$H$10005,MATCH($C150,'月1回_1ヶ月前の在庫'!$W$6:$W$10005,0)),IFERROR(INDEX('月1回_2ヶ月前の在庫'!$H$6:$H$10005,MATCH($C150,'月1回_2ヶ月前の在庫'!$W$6:$W$10005,0)),""))),INDEX('商品マスタ'!$D$6:$D$1005,MATCH($C150,'商品マスタ'!$B$6:$B$1005,0))),IFERROR(INDEX('①在庫を貼る'!$H$6:$H$10005,MATCH($C150,'①在庫を貼る'!$W$6:$W$10005,0)),IFERROR(INDEX('月1回_1ヶ月前の在庫'!$H$6:$H$10005,MATCH($C150,'月1回_1ヶ月前の在庫'!$W$6:$W$10005,0)),IFERROR(INDEX('月1回_2ヶ月前の在庫'!$H$6:$H$10005,MATCH($C150,'月1回_2ヶ月前の在庫'!$W$6:$W$10005,0)),"")))))</f>
        <v/>
      </c>
      <c r="F150">
        <f>IF($C150="","",IFERROR(IF(INDEX('商品マスタ'!$E$6:$E$1005,MATCH($C150,'商品マスタ'!$B$6:$B$1005,0))="",IFERROR(INDEX('①在庫を貼る'!$E$6:$E$10005,MATCH($C150,'①在庫を貼る'!$W$6:$W$10005,0)),IFERROR(INDEX('月1回_1ヶ月前の在庫'!$E$6:$E$10005,MATCH($C150,'月1回_1ヶ月前の在庫'!$W$6:$W$10005,0)),IFERROR(INDEX('月1回_2ヶ月前の在庫'!$E$6:$E$10005,MATCH($C150,'月1回_2ヶ月前の在庫'!$W$6:$W$10005,0)),""))),INDEX('商品マスタ'!$E$6:$E$1005,MATCH($C150,'商品マスタ'!$B$6:$B$1005,0))),IFERROR(INDEX('①在庫を貼る'!$E$6:$E$10005,MATCH($C150,'①在庫を貼る'!$W$6:$W$10005,0)),IFERROR(INDEX('月1回_1ヶ月前の在庫'!$E$6:$E$10005,MATCH($C150,'月1回_1ヶ月前の在庫'!$W$6:$W$10005,0)),IFERROR(INDEX('月1回_2ヶ月前の在庫'!$E$6:$E$10005,MATCH($C150,'月1回_2ヶ月前の在庫'!$W$6:$W$10005,0)),"")))))</f>
        <v/>
      </c>
      <c r="G150">
        <f>IF($C150="","",MAX(1,N(IFERROR(IF(INDEX('商品マスタ'!$F$6:$F$1005,MATCH($C150,'商品マスタ'!$B$6:$B$1005,0))="",IF(COUNTIFS('①在庫を貼る'!$V$6:$V$10005,'設定'!$C$4,'①在庫を貼る'!$W$6:$W$10005,$C150)&gt;0,SUMIFS('①在庫を貼る'!$K$6:$K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K$6:$K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K$6:$K$10005,'月1回_2ヶ月前の在庫'!$V$6:$V$10005,'設定'!$C$4,'月1回_2ヶ月前の在庫'!$W$6:$W$10005,$C150)/COUNTIFS('月1回_2ヶ月前の在庫'!$V$6:$V$10005,'設定'!$C$4,'月1回_2ヶ月前の在庫'!$W$6:$W$10005,$C150),0))),INDEX('商品マスタ'!$F$6:$F$1005,MATCH($C150,'商品マスタ'!$B$6:$B$1005,0))),IF(COUNTIFS('①在庫を貼る'!$V$6:$V$10005,'設定'!$C$4,'①在庫を貼る'!$W$6:$W$10005,$C150)&gt;0,SUMIFS('①在庫を貼る'!$K$6:$K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K$6:$K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K$6:$K$10005,'月1回_2ヶ月前の在庫'!$V$6:$V$10005,'設定'!$C$4,'月1回_2ヶ月前の在庫'!$W$6:$W$10005,$C150)/COUNTIFS('月1回_2ヶ月前の在庫'!$V$6:$V$10005,'設定'!$C$4,'月1回_2ヶ月前の在庫'!$W$6:$W$10005,$C150),0)))))))</f>
        <v/>
      </c>
      <c r="H150">
        <f>IF($C150="","",N(IFERROR(IF(INDEX('商品マスタ'!$G$6:$G$1005,MATCH($C150,'商品マスタ'!$B$6:$B$1005,0))="",IF(COUNTIFS('①在庫を貼る'!$V$6:$V$10005,'設定'!$C$4,'①在庫を貼る'!$W$6:$W$10005,$C150)&gt;0,SUMIFS('①在庫を貼る'!$Q$6:$Q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Q$6:$Q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Q$6:$Q$10005,'月1回_2ヶ月前の在庫'!$V$6:$V$10005,'設定'!$C$4,'月1回_2ヶ月前の在庫'!$W$6:$W$10005,$C150)/COUNTIFS('月1回_2ヶ月前の在庫'!$V$6:$V$10005,'設定'!$C$4,'月1回_2ヶ月前の在庫'!$W$6:$W$10005,$C150),0))),INDEX('商品マスタ'!$G$6:$G$1005,MATCH($C150,'商品マスタ'!$B$6:$B$1005,0))),IF(COUNTIFS('①在庫を貼る'!$V$6:$V$10005,'設定'!$C$4,'①在庫を貼る'!$W$6:$W$10005,$C150)&gt;0,SUMIFS('①在庫を貼る'!$Q$6:$Q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Q$6:$Q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Q$6:$Q$10005,'月1回_2ヶ月前の在庫'!$V$6:$V$10005,'設定'!$C$4,'月1回_2ヶ月前の在庫'!$W$6:$W$10005,$C150)/COUNTIFS('月1回_2ヶ月前の在庫'!$V$6:$V$10005,'設定'!$C$4,'月1回_2ヶ月前の在庫'!$W$6:$W$10005,$C150),0))))))</f>
        <v/>
      </c>
      <c r="I150">
        <f>IF($C150="","",IF(COUNTIFS('①在庫を貼る'!$V$6:$V$10005,'設定'!$C$4,'①在庫を貼る'!$W$6:$W$10005,$C150)=0,"",SUMIFS('①在庫を貼る'!$N$6:$N$10005,'①在庫を貼る'!$V$6:$V$10005,'設定'!$C$4,'①在庫を貼る'!$W$6:$W$10005,$C150)))</f>
        <v/>
      </c>
      <c r="J150">
        <f>IF($C150="","",IF('②発注する'!$AD154="","",'②発注する'!$AD154))</f>
        <v/>
      </c>
      <c r="K150" s="90">
        <f>IF($C150="","",IF('②発注する'!$AE154="","",'②発注する'!$AE154))</f>
        <v/>
      </c>
      <c r="L150">
        <f>IF($C150="","",IF(AND(ISNUMBER($J150),ISNUMBER($K150),$K150&gt;='設定'!$C$6),$J150,N($I150)))</f>
        <v/>
      </c>
      <c r="M150">
        <f>IF($C150="","",IFERROR(IF(N(INDEX('商品マスタ'!$J$6:$J$1005,MATCH($C150,'商品マスタ'!$B$6:$B$1005,0)))&gt;0,INDEX('商品マスタ'!$J$6:$J$1005,MATCH($C150,'商品マスタ'!$B$6:$B$1005,0)),""),""))</f>
        <v/>
      </c>
      <c r="N150">
        <f>IF($C150="","",IFERROR(IF(N(INDEX('商品マスタ'!$H$6:$H$1005,MATCH($C150,'商品マスタ'!$B$6:$B$1005,0)))&gt;0,INDEX('商品マスタ'!$H$6:$H$1005,MATCH($C150,'商品マスタ'!$B$6:$B$1005,0)),""),""))</f>
        <v/>
      </c>
      <c r="O150">
        <f>IF($C150="","",IF($N150&lt;&gt;"",$N150*$G150,IF(N(IF(COUNTIFS('①在庫を貼る'!$V$6:$V$10005,'設定'!$C$4,'①在庫を貼る'!$W$6:$W$10005,$C150)&gt;0,SUMIFS('①在庫を貼る'!$O$6:$O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O$6:$O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O$6:$O$10005,'月1回_2ヶ月前の在庫'!$V$6:$V$10005,'設定'!$C$4,'月1回_2ヶ月前の在庫'!$W$6:$W$10005,$C150)/COUNTIFS('月1回_2ヶ月前の在庫'!$V$6:$V$10005,'設定'!$C$4,'月1回_2ヶ月前の在庫'!$W$6:$W$10005,$C150),0))))&gt;0,N(IF(COUNTIFS('①在庫を貼る'!$V$6:$V$10005,'設定'!$C$4,'①在庫を貼る'!$W$6:$W$10005,$C150)&gt;0,SUMIFS('①在庫を貼る'!$O$6:$O$10005,'①在庫を貼る'!$V$6:$V$10005,'設定'!$C$4,'①在庫を貼る'!$W$6:$W$10005,$C150)/COUNTIFS('①在庫を貼る'!$V$6:$V$10005,'設定'!$C$4,'①在庫を貼る'!$W$6:$W$10005,$C150),IF(COUNTIFS('月1回_1ヶ月前の在庫'!$V$6:$V$10005,'設定'!$C$4,'月1回_1ヶ月前の在庫'!$W$6:$W$10005,$C150)&gt;0,SUMIFS('月1回_1ヶ月前の在庫'!$O$6:$O$10005,'月1回_1ヶ月前の在庫'!$V$6:$V$10005,'設定'!$C$4,'月1回_1ヶ月前の在庫'!$W$6:$W$10005,$C150)/COUNTIFS('月1回_1ヶ月前の在庫'!$V$6:$V$10005,'設定'!$C$4,'月1回_1ヶ月前の在庫'!$W$6:$W$10005,$C150),IF(COUNTIFS('月1回_2ヶ月前の在庫'!$V$6:$V$10005,'設定'!$C$4,'月1回_2ヶ月前の在庫'!$W$6:$W$10005,$C150)&gt;0,SUMIFS('月1回_2ヶ月前の在庫'!$O$6:$O$10005,'月1回_2ヶ月前の在庫'!$V$6:$V$10005,'設定'!$C$4,'月1回_2ヶ月前の在庫'!$W$6:$W$10005,$C150)/COUNTIFS('月1回_2ヶ月前の在庫'!$V$6:$V$10005,'設定'!$C$4,'月1回_2ヶ月前の在庫'!$W$6:$W$10005,$C150),0)))),"")))</f>
        <v/>
      </c>
      <c r="P150" s="90">
        <f>IF($C150="","",IF('②発注する'!$I154="","",'②発注する'!$I154))</f>
        <v/>
      </c>
      <c r="Q150">
        <f>IF($C150="","",IF('②発注する'!$J154="","",'②発注する'!$J154))</f>
        <v/>
      </c>
      <c r="R150">
        <f>IF($C150="",0,IF(AND(ISNUMBER($P150),ISNUMBER($Q150)),MAX(0,$Q150)*$G150,0))</f>
        <v/>
      </c>
      <c r="S150" s="90">
        <f>IF($C150="","",IF('②発注する'!$M154="","",'②発注する'!$M154))</f>
        <v/>
      </c>
      <c r="T150">
        <f>IF($C150="","",IF('②発注する'!$N154="","",'②発注する'!$N154))</f>
        <v/>
      </c>
      <c r="U150">
        <f>IF($C150="",0,IF(AND(ISNUMBER($S150),ISNUMBER($T150)),MAX(0,$T150)*$G150,0))</f>
        <v/>
      </c>
      <c r="V150">
        <f>IF($C150="",0,IF($M150="",0,MAX(0,$M150)*MAX(0,V$4)/100))</f>
        <v/>
      </c>
      <c r="W150">
        <f>IF($C150="",0,IF($M150="",0,MAX(0,$M150)*MAX(0,W$4)/100))</f>
        <v/>
      </c>
      <c r="X150">
        <f>IF($C150="",0,IF($M150="",0,MAX(0,$M150)*MAX(0,X$4)/100))</f>
        <v/>
      </c>
      <c r="Y150">
        <f>IF($C150="",0,IF($M150="",0,MAX(0,$M150)*MAX(0,Y$4)/100))</f>
        <v/>
      </c>
      <c r="Z150">
        <f>IF($C150="",0,IF($M150="",0,MAX(0,$M150)*MAX(0,Z$4)/100))</f>
        <v/>
      </c>
      <c r="AA150">
        <f>IF($C150="",0,IF($M150="",0,MAX(0,$M150)*MAX(0,AA$4)/100))</f>
        <v/>
      </c>
      <c r="AB150">
        <f>IF($C150="",0,IF($M150="",0,MAX(0,$M150)*MAX(0,AB$4)/100))</f>
        <v/>
      </c>
      <c r="AC150">
        <f>IF($C150="",0,IF($M150="",0,MAX(0,$M150)*MAX(0,AC$4)/100))</f>
        <v/>
      </c>
      <c r="AD150">
        <f>IF($C150="",0,IF($M150="",0,MAX(0,$M150)*MAX(0,AD$4)/100))</f>
        <v/>
      </c>
      <c r="AE150">
        <f>IF($C150="",0,IF($M150="",0,MAX(0,$M150)*MAX(0,AE$4)/100))</f>
        <v/>
      </c>
      <c r="AF150">
        <f>IF($C150="",0,IF($M150="",0,MAX(0,$M150)*MAX(0,AF$4)/100))</f>
        <v/>
      </c>
      <c r="AG150">
        <f>IF($C150="",0,IF($M150="",0,MAX(0,$M150)*MAX(0,AG$4)/100))</f>
        <v/>
      </c>
      <c r="AH150">
        <f>IF($C150="",0,IF($M150="",0,MAX(0,$M150)*MAX(0,AH$4)/100))</f>
        <v/>
      </c>
      <c r="AI150">
        <f>IF($C150="",0,IF($M150="",0,MAX(0,$M150)*MAX(0,AI$4)/100))</f>
        <v/>
      </c>
      <c r="AJ150">
        <f>IF($C150="",0,MAX(0,MAX(0,N($L150))-$V150))</f>
        <v/>
      </c>
      <c r="AK150">
        <f>IF($C150="",0,MAX(0,$AJ150-$W150))</f>
        <v/>
      </c>
      <c r="AL150">
        <f>IF($C150="",0,MAX(0,$AK150-$X150))</f>
        <v/>
      </c>
      <c r="AM150">
        <f>IF($C150="",0,MAX(0,$AL150-$Y150))</f>
        <v/>
      </c>
      <c r="AN150">
        <f>IF($C150="",0,MAX(0,$AM150-$Z150))</f>
        <v/>
      </c>
      <c r="AO150">
        <f>IF($C150="",0,MAX(0,$AN150-$AA150))</f>
        <v/>
      </c>
      <c r="AP150">
        <f>IF($C150="",0,MAX(0,$AO150-$AB150))</f>
        <v/>
      </c>
      <c r="AQ150">
        <f>IF($C150="",0,MAX(0,$AP150-$AC150))</f>
        <v/>
      </c>
      <c r="AR150">
        <f>IF($C150="",0,MAX(0,$AQ150-$AD150))</f>
        <v/>
      </c>
      <c r="AS150">
        <f>IF($C150="",0,MAX(0,$AR150-$AE150))</f>
        <v/>
      </c>
      <c r="AT150">
        <f>IF($C150="",0,MAX(0,$AS150-$AF150))</f>
        <v/>
      </c>
      <c r="AU150">
        <f>IF($C150="",0,MAX(0,$AT150-$AG150))</f>
        <v/>
      </c>
      <c r="AV150">
        <f>IF($C150="",0,MAX(0,$AU150-$AH150))</f>
        <v/>
      </c>
      <c r="AW150">
        <f>IF($C150="",0,MAX(0,$AV150-$AI150))</f>
        <v/>
      </c>
      <c r="AX150">
        <f>IF($C150="",0,MAX(0,MAX(0,N($L150))+IF($P150=V$3,$R150,0)+IF($S150=V$3,$U150,0)-$V150))</f>
        <v/>
      </c>
      <c r="AY150">
        <f>IF($C150="",0,MAX(0,$AX150+IF($P150=W$3,$R150,0)+IF($S150=W$3,$U150,0)-$W150))</f>
        <v/>
      </c>
      <c r="AZ150">
        <f>IF($C150="",0,MAX(0,$AY150+IF($P150=X$3,$R150,0)+IF($S150=X$3,$U150,0)-$X150))</f>
        <v/>
      </c>
      <c r="BA150">
        <f>IF($C150="",0,MAX(0,$AZ150+IF($P150=Y$3,$R150,0)+IF($S150=Y$3,$U150,0)-$Y150))</f>
        <v/>
      </c>
      <c r="BB150">
        <f>IF($C150="",0,MAX(0,$BA150+IF($P150=Z$3,$R150,0)+IF($S150=Z$3,$U150,0)-$Z150))</f>
        <v/>
      </c>
      <c r="BC150">
        <f>IF($C150="",0,MAX(0,$BB150+IF($P150=AA$3,$R150,0)+IF($S150=AA$3,$U150,0)-$AA150))</f>
        <v/>
      </c>
      <c r="BD150">
        <f>IF($C150="",0,MAX(0,$BC150+IF($P150=AB$3,$R150,0)+IF($S150=AB$3,$U150,0)-$AB150))</f>
        <v/>
      </c>
      <c r="BE150">
        <f>IF($C150="",0,MAX(0,$BD150+IF($P150=AC$3,$R150,0)+IF($S150=AC$3,$U150,0)-$AC150))</f>
        <v/>
      </c>
      <c r="BF150">
        <f>IF($C150="",0,MAX(0,$BE150+IF($P150=AD$3,$R150,0)+IF($S150=AD$3,$U150,0)-$AD150))</f>
        <v/>
      </c>
      <c r="BG150">
        <f>IF($C150="",0,MAX(0,$BF150+IF($P150=AE$3,$R150,0)+IF($S150=AE$3,$U150,0)-$AE150))</f>
        <v/>
      </c>
      <c r="BH150">
        <f>IF($C150="",0,MAX(0,$BG150+IF($P150=AF$3,$R150,0)+IF($S150=AF$3,$U150,0)-$AF150))</f>
        <v/>
      </c>
      <c r="BI150">
        <f>IF($C150="",0,MAX(0,$BH150+IF($P150=AG$3,$R150,0)+IF($S150=AG$3,$U150,0)-$AG150))</f>
        <v/>
      </c>
      <c r="BJ150">
        <f>IF($C150="",0,MAX(0,$BI150+IF($P150=AH$3,$R150,0)+IF($S150=AH$3,$U150,0)-$AH150))</f>
        <v/>
      </c>
      <c r="BK150">
        <f>IF($C150="",0,MAX(0,$BJ150+IF($P150=AI$3,$R150,0)+IF($S150=AI$3,$U150,0)-$AI150))</f>
        <v/>
      </c>
      <c r="BL150">
        <f>IF($C150="",99,IF(AND($AX150&lt;1,V$3&gt;=MAX(N($P150),N($S150))),0,99))</f>
        <v/>
      </c>
      <c r="BM150">
        <f>IF($C150="",99,IF(AND($AY150&lt;1,W$3&gt;=MAX(N($P150),N($S150))),1,99))</f>
        <v/>
      </c>
      <c r="BN150">
        <f>IF($C150="",99,IF(AND($AZ150&lt;1,X$3&gt;=MAX(N($P150),N($S150))),2,99))</f>
        <v/>
      </c>
      <c r="BO150">
        <f>IF($C150="",99,IF(AND($BA150&lt;1,Y$3&gt;=MAX(N($P150),N($S150))),3,99))</f>
        <v/>
      </c>
      <c r="BP150">
        <f>IF($C150="",99,IF(AND($BB150&lt;1,Z$3&gt;=MAX(N($P150),N($S150))),4,99))</f>
        <v/>
      </c>
      <c r="BQ150">
        <f>IF($C150="",99,IF(AND($BC150&lt;1,AA$3&gt;=MAX(N($P150),N($S150))),5,99))</f>
        <v/>
      </c>
      <c r="BR150">
        <f>IF($C150="",99,IF(AND($BD150&lt;1,AB$3&gt;=MAX(N($P150),N($S150))),6,99))</f>
        <v/>
      </c>
      <c r="BS150">
        <f>IF($C150="",99,IF(AND($BE150&lt;1,AC$3&gt;=MAX(N($P150),N($S150))),7,99))</f>
        <v/>
      </c>
      <c r="BT150">
        <f>IF($C150="",99,IF(AND($BF150&lt;1,AD$3&gt;=MAX(N($P150),N($S150))),8,99))</f>
        <v/>
      </c>
      <c r="BU150">
        <f>IF($C150="",99,IF(AND($BG150&lt;1,AE$3&gt;=MAX(N($P150),N($S150))),9,99))</f>
        <v/>
      </c>
      <c r="BV150">
        <f>IF($C150="",99,IF(AND($BH150&lt;1,AF$3&gt;=MAX(N($P150),N($S150))),10,99))</f>
        <v/>
      </c>
      <c r="BW150">
        <f>IF($C150="",99,IF(AND($BI150&lt;1,AG$3&gt;=MAX(N($P150),N($S150))),11,99))</f>
        <v/>
      </c>
      <c r="BX150">
        <f>IF($C150="",99,IF(AND($BJ150&lt;1,AH$3&gt;=MAX(N($P150),N($S150))),12,99))</f>
        <v/>
      </c>
      <c r="BY150">
        <f>IF($C150="",99,IF(AND($BK150&lt;1,AI$3&gt;=MAX(N($P150),N($S150))),13,99))</f>
        <v/>
      </c>
      <c r="BZ150">
        <f>IF(OR($C150="",$M150=""),"",COUNTIF($AJ150:$AW150,"&gt;=1"))</f>
        <v/>
      </c>
      <c r="CA150" s="90">
        <f>IF($BZ150="","",IF($BZ150&gt;=14,"",'設定'!$C$6+$BZ150))</f>
        <v/>
      </c>
      <c r="CB150">
        <f>IF(OR($C150="",$M150=""),"",MIN($BL150:$BY150))</f>
        <v/>
      </c>
      <c r="CC150" s="90">
        <f>IF($CB150="","",IF($CB150&gt;=99,"",'設定'!$C$6+$CB150))</f>
        <v/>
      </c>
      <c r="CD150">
        <f>IF(OR($C150="",$M150=""),"",AVERAGE($V150:$AI150))</f>
        <v/>
      </c>
      <c r="CE150">
        <f>IF($C150="","",IFERROR(IF(MATCH(IF(ISNUMBER($P150),$P150,'設定'!$C$6+N('設定'!$C$7)),$V$3:$AI$3,0)=1,MAX(0,N($L150)),INDEX($AJ150:$AW150,MATCH(IF(ISNUMBER($P150),$P150,'設定'!$C$6+N('設定'!$C$7)),$V$3:$AI$3,0)-1)),""))</f>
        <v/>
      </c>
      <c r="CF150">
        <f>IF(OR($C150="",$O150="",$CE150=""),"",IF($O150-$CE150&lt;=0,0,ROUNDUP(($O150-$CE150)/$G150,0)))</f>
        <v/>
      </c>
      <c r="CG150">
        <f>IF(OR($C150="",$CF150="",NOT(ISNUMBER($Q150))),0,MAX(0,$Q150-$CF150))</f>
        <v/>
      </c>
      <c r="CH150">
        <f>IF(OR($C150="",$O150="",$U150=0),0,IFERROR(ROUNDUP(MAX(0,IF(MATCH($S150,$V$3:$AI$3,0)=1,MAX(0,N($L150)),INDEX($AX150:$BK150,MATCH($S150,$V$3:$AI$3,0)-1))+$U150-$O150)/$G150,0),0))</f>
        <v/>
      </c>
      <c r="CI150">
        <f>IF($C150="","",IF(AND($P150="",$Q150=""),"",IF($P150="","⚠ 入庫日を ▼ から選んでください",IF(NOT(ISNUMBER($P150)),"⚠ 入庫日は ▼ から選んでください",IF($P150&lt;N('設定'!$C$6),"⚠ 入庫日が過去です（もう在庫に入っています）→ 消してください",IF($P150&gt;N('設定'!$C$6)+13,"⚠ 入庫日が14日より先です",IF(N($Q150)&lt;=0,"⚠ 入庫数を入れてください",IF($CG150&gt;0,"⚠ 目安より "&amp;$CG150&amp;" 多い（定数を超える）→ 減らす",""))))))))</f>
        <v/>
      </c>
      <c r="CJ150">
        <f>IF($C150="","",IF(AND($S150="",$T150=""),"",IF($S150="","⚠ 2便目：入庫日を ▼ から選んでください",IF(NOT(ISNUMBER($S150)),"⚠ 2便目：入庫日は ▼ から選んでください",IF($S150&lt;N('設定'!$C$6),"⚠ 2便目：入庫日が過去です（もう在庫に入っています）→ 消してください",IF($S150&gt;N('設定'!$C$6)+13,"⚠ 2便目：入庫日が14日より先です",IF(N($T150)&lt;=0,"⚠ 2便目：入庫数を入れてください",IF($CH150&gt;0,"⚠ 2便目：定数を "&amp;$CH150&amp;" ケース超える → 減らす",""))))))))</f>
        <v/>
      </c>
      <c r="CK150">
        <f>IF(AND($CI150="",N($Q150)&gt;0,ISNUMBER($P150)),1,0)</f>
        <v/>
      </c>
      <c r="CL150">
        <f>IF(AND($CJ150="",N($T150)&gt;0,ISNUMBER($S150)),1,0)</f>
        <v/>
      </c>
      <c r="CM150">
        <f>IF(OR($CK150=1,$CL150=1),1,0)</f>
        <v/>
      </c>
      <c r="CN150">
        <f>IF($C150="",0,($CK150*$R150+$CL150*$U150)*N($H150))</f>
        <v/>
      </c>
      <c r="CO150">
        <f>IF($C150="","",IF($CC150="","入庫後は 14日以上もつ",IF($CC150-N('設定'!$C$7)&lt;='設定'!$C$6,"入庫後も "&amp;TEXT($CC150,"m/d")&amp;"("&amp;CHOOSE(WEEKDAY($CC150),"日","月","火","水","木","金","土")&amp;")"&amp;" に切れる　もう1便を至急発注","入庫後も "&amp;TEXT($CC150,"m/d")&amp;"("&amp;CHOOSE(WEEKDAY($CC150),"日","月","火","水","木","金","土")&amp;")"&amp;" に切れる　"&amp;TEXT($CC150-N('設定'!$C$7),"m/d")&amp;"("&amp;CHOOSE(WEEKDAY($CC150-N('設定'!$C$7)),"日","月","火","水","木","金","土")&amp;")"&amp;" までに次を発注")))</f>
        <v/>
      </c>
      <c r="CP150">
        <f>IF($C150="","",IF('設定'!$C$6="","？ ①在庫を貼る に今日のCSVが貼られていない",IF($CS150=1,"－ 今日のCSVに無い（終売？）",IF($L150&lt;0,"● 在庫がマイナス　数えて「数えた在庫」に入れる",IF($L150=0,"● 在庫なし　至急発注",IF($M150="","？ 減り数が未設定（商品マスタ）",IF($B$3=0,"？ 動員が未入力（動員を入れる）",IF($CA150="","○ 14日以上もつ",IF($BZ150&lt;N('設定'!$C$7),"● "&amp;TEXT($CA150,"m/d")&amp;"("&amp;CHOOSE(WEEKDAY($CA150),"日","月","火","水","木","金","土")&amp;")"&amp;" に切れる　至急発注",IF($BZ150=N('設定'!$C$7),"● "&amp;TEXT($CA150,"m/d")&amp;"("&amp;CHOOSE(WEEKDAY($CA150),"日","月","火","水","木","金","土")&amp;")"&amp;" に切れる　今日発注","△ "&amp;TEXT($CA150,"m/d")&amp;"("&amp;CHOOSE(WEEKDAY($CA150),"日","月","火","水","木","金","土")&amp;")"&amp;" に切れる　"&amp;TEXT($CA150-N('設定'!$C$7),"m/d")&amp;"("&amp;CHOOSE(WEEKDAY($CA150-N('設定'!$C$7)),"日","月","火","水","木","金","土")&amp;")"&amp;" までに発注"))))))))))</f>
        <v/>
      </c>
      <c r="CQ150">
        <f>IF($C150="","",IF(AND($P150="",$Q150="",$S150="",$T150=""),"",IF(AND($P150="",$Q150=""),"⚠ 先に1便目（左の入庫日・入庫数）に入れてください",IF($CI150&lt;&gt;"",$CI150,IF($CJ150&lt;&gt;"",$CJ150,IF($M150="","？ 減り数が未設定（発注書には載ります）",IF($B$3=0,"？ 動員が未入力（発注書には載ります）",IF(AND($CA150&lt;&gt;"",$P150&gt;$CA150),IF($P150&gt;'設定'!$C$6+N('設定'!$C$7),"● "&amp;TEXT($P150,"m/d")&amp;"("&amp;CHOOSE(WEEKDAY($P150),"日","月","火","水","木","金","土")&amp;")"&amp;" の入庫では間に合わない（"&amp;TEXT($CA150,"m/d")&amp;"("&amp;CHOOSE(WEEKDAY($CA150),"日","月","火","水","木","金","土")&amp;")"&amp;" に切れる）　入庫日を早める","△ 欠品 "&amp;TEXT($CA150,"m/d")&amp;"("&amp;CHOOSE(WEEKDAY($CA150),"日","月","火","水","木","金","土")&amp;")"&amp;"〜"&amp;TEXT($P150-1,"m/d")&amp;"("&amp;CHOOSE(WEEKDAY($P150-1),"日","月","火","水","木","金","土")&amp;")"&amp;"　"&amp;$CO150),IF($CC150="","○ "&amp;TEXT($P150,"m/d")&amp;"("&amp;CHOOSE(WEEKDAY($P150),"日","月","火","水","木","金","土")&amp;")"&amp;" 入庫で 14日以上もつ",IF($CC150-N('設定'!$C$7)&lt;='設定'!$C$6,"● 入庫しても "&amp;TEXT($CC150,"m/d")&amp;"("&amp;CHOOSE(WEEKDAY($CC150),"日","月","火","水","木","金","土")&amp;")"&amp;" に切れる　もう1便を至急発注（2便目に入れる）","△ 入庫しても "&amp;TEXT($CC150,"m/d")&amp;"("&amp;CHOOSE(WEEKDAY($CC150),"日","月","火","水","木","金","土")&amp;")"&amp;" に切れる　"&amp;TEXT($CC150-N('設定'!$C$7),"m/d")&amp;"("&amp;CHOOSE(WEEKDAY($CC150-N('設定'!$C$7)),"日","月","火","水","木","金","土")&amp;")"&amp;" までに次を発注（2便目に入れる）"))))))))))</f>
        <v/>
      </c>
      <c r="CR150">
        <f>IF($C150="","",IF($G150&gt;1,"ｹｰｽ("&amp;$G150&amp;"入)","個"))</f>
        <v/>
      </c>
      <c r="CS150">
        <f>IF($C150="",0,IF(COUNTIFS('①在庫を貼る'!$V$6:$V$10005,'設定'!$C$4,'①在庫を貼る'!$W$6:$W$10005,$C150)=0,1,0))</f>
        <v/>
      </c>
      <c r="CT150">
        <f>IF(AND($CK150=1,OR('③発注書'!$C$4="すべて",'③発注書'!$C$4="",$F150='③発注書'!$C$4)),N($CT149)+1,N($CT149))</f>
        <v/>
      </c>
      <c r="CU150">
        <f>IF(AND($CL150=1,OR('③発注書'!$C$4="すべて",'③発注書'!$C$4="",$F150='③発注書'!$C$4)),N($CU149)+1,N($CU149))</f>
        <v/>
      </c>
      <c r="CV150">
        <f>IF($C150="",0,IF(COUNTIFS('①在庫を貼る'!$V$6:$V$10005,'設定'!$C$4,'①在庫を貼る'!$W$6:$W$10005,$C150)&gt;0,1,0))</f>
        <v/>
      </c>
      <c r="CW150">
        <f>IF($C150="",0,IF(COUNTIFS('月1回_1ヶ月前の在庫'!$V$6:$V$10005,'設定'!$C$4,'月1回_1ヶ月前の在庫'!$W$6:$W$10005,$C150)&gt;0,1,0))</f>
        <v/>
      </c>
      <c r="CX150">
        <f>IF($C150="",0,IF(COUNTIFS('月1回_2ヶ月前の在庫'!$V$6:$V$10005,'設定'!$C$4,'月1回_2ヶ月前の在庫'!$W$6:$W$10005,$C150)&gt;0,1,0))</f>
        <v/>
      </c>
      <c r="CY150">
        <f>IF(OR($C150="",'設定'!$C$12=""),"",IF('設定'!$C$13="",IF(AND($CV150=1,$CW150=0),"新商品（今月から）",IF(AND($CV150=0,$CW150=1),"終売（今月から）","")),IF(AND($CV150=1,$CW150=0,$CX150=0),"新商品（今月から）",IF(AND($CV150=1,$CW150=1,$CX150=0),"新商品（先月から）",IF(AND($CV150=0,$CW150=1,$CX150=1),"終売（今月から）",IF(AND($CV150=0,$CW150=0,$CX150=1),"終売（先月から）",IF(AND($CV150=1,$CW150=0,$CX150=1),"復活（先月は無し）","")))))))</f>
        <v/>
      </c>
    </row>
    <row r="151">
      <c r="B151">
        <f>IF(146&lt;='設定'!$C$11,146,"")</f>
        <v/>
      </c>
      <c r="C151">
        <f>IF($B151="","",IF($B151&lt;='設定'!$C$20,INDEX('商品マスタ'!$B$6:$B$1005,MATCH($B151,'商品マスタ'!$M$6:$M$1005,0)),IF($B151&lt;='設定'!$C$20+'設定'!$C$17,INDEX('①在庫を貼る'!$W$6:$W$10005,MATCH($B151-'設定'!$C$20,'①在庫を貼る'!$U$6:$U$10005,0)),IF($B151&lt;='設定'!$C$20+'設定'!$C$17+'設定'!$C$18,INDEX('月1回_1ヶ月前の在庫'!$W$6:$W$10005,MATCH($B151-'設定'!$C$20-'設定'!$C$17,'月1回_1ヶ月前の在庫'!$U$6:$U$10005,0)),INDEX('月1回_2ヶ月前の在庫'!$W$6:$W$10005,MATCH($B151-'設定'!$C$20-'設定'!$C$17-'設定'!$C$18,'月1回_2ヶ月前の在庫'!$U$6:$U$10005,0))))))</f>
        <v/>
      </c>
      <c r="D151">
        <f>IF($C151="","",IFERROR(IF(INDEX('商品マスタ'!$C$6:$C$1005,MATCH($C151,'商品マスタ'!$B$6:$B$1005,0))="",IFERROR(INDEX('①在庫を貼る'!$J$6:$J$10005,MATCH($C151,'①在庫を貼る'!$W$6:$W$10005,0)),IFERROR(INDEX('月1回_1ヶ月前の在庫'!$J$6:$J$10005,MATCH($C151,'月1回_1ヶ月前の在庫'!$W$6:$W$10005,0)),IFERROR(INDEX('月1回_2ヶ月前の在庫'!$J$6:$J$10005,MATCH($C151,'月1回_2ヶ月前の在庫'!$W$6:$W$10005,0)),""))),INDEX('商品マスタ'!$C$6:$C$1005,MATCH($C151,'商品マスタ'!$B$6:$B$1005,0))),IFERROR(INDEX('①在庫を貼る'!$J$6:$J$10005,MATCH($C151,'①在庫を貼る'!$W$6:$W$10005,0)),IFERROR(INDEX('月1回_1ヶ月前の在庫'!$J$6:$J$10005,MATCH($C151,'月1回_1ヶ月前の在庫'!$W$6:$W$10005,0)),IFERROR(INDEX('月1回_2ヶ月前の在庫'!$J$6:$J$10005,MATCH($C151,'月1回_2ヶ月前の在庫'!$W$6:$W$10005,0)),"")))))</f>
        <v/>
      </c>
      <c r="E151">
        <f>IF($C151="","",IFERROR(IF(INDEX('商品マスタ'!$D$6:$D$1005,MATCH($C151,'商品マスタ'!$B$6:$B$1005,0))="",IFERROR(INDEX('①在庫を貼る'!$H$6:$H$10005,MATCH($C151,'①在庫を貼る'!$W$6:$W$10005,0)),IFERROR(INDEX('月1回_1ヶ月前の在庫'!$H$6:$H$10005,MATCH($C151,'月1回_1ヶ月前の在庫'!$W$6:$W$10005,0)),IFERROR(INDEX('月1回_2ヶ月前の在庫'!$H$6:$H$10005,MATCH($C151,'月1回_2ヶ月前の在庫'!$W$6:$W$10005,0)),""))),INDEX('商品マスタ'!$D$6:$D$1005,MATCH($C151,'商品マスタ'!$B$6:$B$1005,0))),IFERROR(INDEX('①在庫を貼る'!$H$6:$H$10005,MATCH($C151,'①在庫を貼る'!$W$6:$W$10005,0)),IFERROR(INDEX('月1回_1ヶ月前の在庫'!$H$6:$H$10005,MATCH($C151,'月1回_1ヶ月前の在庫'!$W$6:$W$10005,0)),IFERROR(INDEX('月1回_2ヶ月前の在庫'!$H$6:$H$10005,MATCH($C151,'月1回_2ヶ月前の在庫'!$W$6:$W$10005,0)),"")))))</f>
        <v/>
      </c>
      <c r="F151">
        <f>IF($C151="","",IFERROR(IF(INDEX('商品マスタ'!$E$6:$E$1005,MATCH($C151,'商品マスタ'!$B$6:$B$1005,0))="",IFERROR(INDEX('①在庫を貼る'!$E$6:$E$10005,MATCH($C151,'①在庫を貼る'!$W$6:$W$10005,0)),IFERROR(INDEX('月1回_1ヶ月前の在庫'!$E$6:$E$10005,MATCH($C151,'月1回_1ヶ月前の在庫'!$W$6:$W$10005,0)),IFERROR(INDEX('月1回_2ヶ月前の在庫'!$E$6:$E$10005,MATCH($C151,'月1回_2ヶ月前の在庫'!$W$6:$W$10005,0)),""))),INDEX('商品マスタ'!$E$6:$E$1005,MATCH($C151,'商品マスタ'!$B$6:$B$1005,0))),IFERROR(INDEX('①在庫を貼る'!$E$6:$E$10005,MATCH($C151,'①在庫を貼る'!$W$6:$W$10005,0)),IFERROR(INDEX('月1回_1ヶ月前の在庫'!$E$6:$E$10005,MATCH($C151,'月1回_1ヶ月前の在庫'!$W$6:$W$10005,0)),IFERROR(INDEX('月1回_2ヶ月前の在庫'!$E$6:$E$10005,MATCH($C151,'月1回_2ヶ月前の在庫'!$W$6:$W$10005,0)),"")))))</f>
        <v/>
      </c>
      <c r="G151">
        <f>IF($C151="","",MAX(1,N(IFERROR(IF(INDEX('商品マスタ'!$F$6:$F$1005,MATCH($C151,'商品マスタ'!$B$6:$B$1005,0))="",IF(COUNTIFS('①在庫を貼る'!$V$6:$V$10005,'設定'!$C$4,'①在庫を貼る'!$W$6:$W$10005,$C151)&gt;0,SUMIFS('①在庫を貼る'!$K$6:$K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K$6:$K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K$6:$K$10005,'月1回_2ヶ月前の在庫'!$V$6:$V$10005,'設定'!$C$4,'月1回_2ヶ月前の在庫'!$W$6:$W$10005,$C151)/COUNTIFS('月1回_2ヶ月前の在庫'!$V$6:$V$10005,'設定'!$C$4,'月1回_2ヶ月前の在庫'!$W$6:$W$10005,$C151),0))),INDEX('商品マスタ'!$F$6:$F$1005,MATCH($C151,'商品マスタ'!$B$6:$B$1005,0))),IF(COUNTIFS('①在庫を貼る'!$V$6:$V$10005,'設定'!$C$4,'①在庫を貼る'!$W$6:$W$10005,$C151)&gt;0,SUMIFS('①在庫を貼る'!$K$6:$K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K$6:$K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K$6:$K$10005,'月1回_2ヶ月前の在庫'!$V$6:$V$10005,'設定'!$C$4,'月1回_2ヶ月前の在庫'!$W$6:$W$10005,$C151)/COUNTIFS('月1回_2ヶ月前の在庫'!$V$6:$V$10005,'設定'!$C$4,'月1回_2ヶ月前の在庫'!$W$6:$W$10005,$C151),0)))))))</f>
        <v/>
      </c>
      <c r="H151">
        <f>IF($C151="","",N(IFERROR(IF(INDEX('商品マスタ'!$G$6:$G$1005,MATCH($C151,'商品マスタ'!$B$6:$B$1005,0))="",IF(COUNTIFS('①在庫を貼る'!$V$6:$V$10005,'設定'!$C$4,'①在庫を貼る'!$W$6:$W$10005,$C151)&gt;0,SUMIFS('①在庫を貼る'!$Q$6:$Q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Q$6:$Q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Q$6:$Q$10005,'月1回_2ヶ月前の在庫'!$V$6:$V$10005,'設定'!$C$4,'月1回_2ヶ月前の在庫'!$W$6:$W$10005,$C151)/COUNTIFS('月1回_2ヶ月前の在庫'!$V$6:$V$10005,'設定'!$C$4,'月1回_2ヶ月前の在庫'!$W$6:$W$10005,$C151),0))),INDEX('商品マスタ'!$G$6:$G$1005,MATCH($C151,'商品マスタ'!$B$6:$B$1005,0))),IF(COUNTIFS('①在庫を貼る'!$V$6:$V$10005,'設定'!$C$4,'①在庫を貼る'!$W$6:$W$10005,$C151)&gt;0,SUMIFS('①在庫を貼る'!$Q$6:$Q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Q$6:$Q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Q$6:$Q$10005,'月1回_2ヶ月前の在庫'!$V$6:$V$10005,'設定'!$C$4,'月1回_2ヶ月前の在庫'!$W$6:$W$10005,$C151)/COUNTIFS('月1回_2ヶ月前の在庫'!$V$6:$V$10005,'設定'!$C$4,'月1回_2ヶ月前の在庫'!$W$6:$W$10005,$C151),0))))))</f>
        <v/>
      </c>
      <c r="I151">
        <f>IF($C151="","",IF(COUNTIFS('①在庫を貼る'!$V$6:$V$10005,'設定'!$C$4,'①在庫を貼る'!$W$6:$W$10005,$C151)=0,"",SUMIFS('①在庫を貼る'!$N$6:$N$10005,'①在庫を貼る'!$V$6:$V$10005,'設定'!$C$4,'①在庫を貼る'!$W$6:$W$10005,$C151)))</f>
        <v/>
      </c>
      <c r="J151">
        <f>IF($C151="","",IF('②発注する'!$AD155="","",'②発注する'!$AD155))</f>
        <v/>
      </c>
      <c r="K151" s="90">
        <f>IF($C151="","",IF('②発注する'!$AE155="","",'②発注する'!$AE155))</f>
        <v/>
      </c>
      <c r="L151">
        <f>IF($C151="","",IF(AND(ISNUMBER($J151),ISNUMBER($K151),$K151&gt;='設定'!$C$6),$J151,N($I151)))</f>
        <v/>
      </c>
      <c r="M151">
        <f>IF($C151="","",IFERROR(IF(N(INDEX('商品マスタ'!$J$6:$J$1005,MATCH($C151,'商品マスタ'!$B$6:$B$1005,0)))&gt;0,INDEX('商品マスタ'!$J$6:$J$1005,MATCH($C151,'商品マスタ'!$B$6:$B$1005,0)),""),""))</f>
        <v/>
      </c>
      <c r="N151">
        <f>IF($C151="","",IFERROR(IF(N(INDEX('商品マスタ'!$H$6:$H$1005,MATCH($C151,'商品マスタ'!$B$6:$B$1005,0)))&gt;0,INDEX('商品マスタ'!$H$6:$H$1005,MATCH($C151,'商品マスタ'!$B$6:$B$1005,0)),""),""))</f>
        <v/>
      </c>
      <c r="O151">
        <f>IF($C151="","",IF($N151&lt;&gt;"",$N151*$G151,IF(N(IF(COUNTIFS('①在庫を貼る'!$V$6:$V$10005,'設定'!$C$4,'①在庫を貼る'!$W$6:$W$10005,$C151)&gt;0,SUMIFS('①在庫を貼る'!$O$6:$O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O$6:$O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O$6:$O$10005,'月1回_2ヶ月前の在庫'!$V$6:$V$10005,'設定'!$C$4,'月1回_2ヶ月前の在庫'!$W$6:$W$10005,$C151)/COUNTIFS('月1回_2ヶ月前の在庫'!$V$6:$V$10005,'設定'!$C$4,'月1回_2ヶ月前の在庫'!$W$6:$W$10005,$C151),0))))&gt;0,N(IF(COUNTIFS('①在庫を貼る'!$V$6:$V$10005,'設定'!$C$4,'①在庫を貼る'!$W$6:$W$10005,$C151)&gt;0,SUMIFS('①在庫を貼る'!$O$6:$O$10005,'①在庫を貼る'!$V$6:$V$10005,'設定'!$C$4,'①在庫を貼る'!$W$6:$W$10005,$C151)/COUNTIFS('①在庫を貼る'!$V$6:$V$10005,'設定'!$C$4,'①在庫を貼る'!$W$6:$W$10005,$C151),IF(COUNTIFS('月1回_1ヶ月前の在庫'!$V$6:$V$10005,'設定'!$C$4,'月1回_1ヶ月前の在庫'!$W$6:$W$10005,$C151)&gt;0,SUMIFS('月1回_1ヶ月前の在庫'!$O$6:$O$10005,'月1回_1ヶ月前の在庫'!$V$6:$V$10005,'設定'!$C$4,'月1回_1ヶ月前の在庫'!$W$6:$W$10005,$C151)/COUNTIFS('月1回_1ヶ月前の在庫'!$V$6:$V$10005,'設定'!$C$4,'月1回_1ヶ月前の在庫'!$W$6:$W$10005,$C151),IF(COUNTIFS('月1回_2ヶ月前の在庫'!$V$6:$V$10005,'設定'!$C$4,'月1回_2ヶ月前の在庫'!$W$6:$W$10005,$C151)&gt;0,SUMIFS('月1回_2ヶ月前の在庫'!$O$6:$O$10005,'月1回_2ヶ月前の在庫'!$V$6:$V$10005,'設定'!$C$4,'月1回_2ヶ月前の在庫'!$W$6:$W$10005,$C151)/COUNTIFS('月1回_2ヶ月前の在庫'!$V$6:$V$10005,'設定'!$C$4,'月1回_2ヶ月前の在庫'!$W$6:$W$10005,$C151),0)))),"")))</f>
        <v/>
      </c>
      <c r="P151" s="90">
        <f>IF($C151="","",IF('②発注する'!$I155="","",'②発注する'!$I155))</f>
        <v/>
      </c>
      <c r="Q151">
        <f>IF($C151="","",IF('②発注する'!$J155="","",'②発注する'!$J155))</f>
        <v/>
      </c>
      <c r="R151">
        <f>IF($C151="",0,IF(AND(ISNUMBER($P151),ISNUMBER($Q151)),MAX(0,$Q151)*$G151,0))</f>
        <v/>
      </c>
      <c r="S151" s="90">
        <f>IF($C151="","",IF('②発注する'!$M155="","",'②発注する'!$M155))</f>
        <v/>
      </c>
      <c r="T151">
        <f>IF($C151="","",IF('②発注する'!$N155="","",'②発注する'!$N155))</f>
        <v/>
      </c>
      <c r="U151">
        <f>IF($C151="",0,IF(AND(ISNUMBER($S151),ISNUMBER($T151)),MAX(0,$T151)*$G151,0))</f>
        <v/>
      </c>
      <c r="V151">
        <f>IF($C151="",0,IF($M151="",0,MAX(0,$M151)*MAX(0,V$4)/100))</f>
        <v/>
      </c>
      <c r="W151">
        <f>IF($C151="",0,IF($M151="",0,MAX(0,$M151)*MAX(0,W$4)/100))</f>
        <v/>
      </c>
      <c r="X151">
        <f>IF($C151="",0,IF($M151="",0,MAX(0,$M151)*MAX(0,X$4)/100))</f>
        <v/>
      </c>
      <c r="Y151">
        <f>IF($C151="",0,IF($M151="",0,MAX(0,$M151)*MAX(0,Y$4)/100))</f>
        <v/>
      </c>
      <c r="Z151">
        <f>IF($C151="",0,IF($M151="",0,MAX(0,$M151)*MAX(0,Z$4)/100))</f>
        <v/>
      </c>
      <c r="AA151">
        <f>IF($C151="",0,IF($M151="",0,MAX(0,$M151)*MAX(0,AA$4)/100))</f>
        <v/>
      </c>
      <c r="AB151">
        <f>IF($C151="",0,IF($M151="",0,MAX(0,$M151)*MAX(0,AB$4)/100))</f>
        <v/>
      </c>
      <c r="AC151">
        <f>IF($C151="",0,IF($M151="",0,MAX(0,$M151)*MAX(0,AC$4)/100))</f>
        <v/>
      </c>
      <c r="AD151">
        <f>IF($C151="",0,IF($M151="",0,MAX(0,$M151)*MAX(0,AD$4)/100))</f>
        <v/>
      </c>
      <c r="AE151">
        <f>IF($C151="",0,IF($M151="",0,MAX(0,$M151)*MAX(0,AE$4)/100))</f>
        <v/>
      </c>
      <c r="AF151">
        <f>IF($C151="",0,IF($M151="",0,MAX(0,$M151)*MAX(0,AF$4)/100))</f>
        <v/>
      </c>
      <c r="AG151">
        <f>IF($C151="",0,IF($M151="",0,MAX(0,$M151)*MAX(0,AG$4)/100))</f>
        <v/>
      </c>
      <c r="AH151">
        <f>IF($C151="",0,IF($M151="",0,MAX(0,$M151)*MAX(0,AH$4)/100))</f>
        <v/>
      </c>
      <c r="AI151">
        <f>IF($C151="",0,IF($M151="",0,MAX(0,$M151)*MAX(0,AI$4)/100))</f>
        <v/>
      </c>
      <c r="AJ151">
        <f>IF($C151="",0,MAX(0,MAX(0,N($L151))-$V151))</f>
        <v/>
      </c>
      <c r="AK151">
        <f>IF($C151="",0,MAX(0,$AJ151-$W151))</f>
        <v/>
      </c>
      <c r="AL151">
        <f>IF($C151="",0,MAX(0,$AK151-$X151))</f>
        <v/>
      </c>
      <c r="AM151">
        <f>IF($C151="",0,MAX(0,$AL151-$Y151))</f>
        <v/>
      </c>
      <c r="AN151">
        <f>IF($C151="",0,MAX(0,$AM151-$Z151))</f>
        <v/>
      </c>
      <c r="AO151">
        <f>IF($C151="",0,MAX(0,$AN151-$AA151))</f>
        <v/>
      </c>
      <c r="AP151">
        <f>IF($C151="",0,MAX(0,$AO151-$AB151))</f>
        <v/>
      </c>
      <c r="AQ151">
        <f>IF($C151="",0,MAX(0,$AP151-$AC151))</f>
        <v/>
      </c>
      <c r="AR151">
        <f>IF($C151="",0,MAX(0,$AQ151-$AD151))</f>
        <v/>
      </c>
      <c r="AS151">
        <f>IF($C151="",0,MAX(0,$AR151-$AE151))</f>
        <v/>
      </c>
      <c r="AT151">
        <f>IF($C151="",0,MAX(0,$AS151-$AF151))</f>
        <v/>
      </c>
      <c r="AU151">
        <f>IF($C151="",0,MAX(0,$AT151-$AG151))</f>
        <v/>
      </c>
      <c r="AV151">
        <f>IF($C151="",0,MAX(0,$AU151-$AH151))</f>
        <v/>
      </c>
      <c r="AW151">
        <f>IF($C151="",0,MAX(0,$AV151-$AI151))</f>
        <v/>
      </c>
      <c r="AX151">
        <f>IF($C151="",0,MAX(0,MAX(0,N($L151))+IF($P151=V$3,$R151,0)+IF($S151=V$3,$U151,0)-$V151))</f>
        <v/>
      </c>
      <c r="AY151">
        <f>IF($C151="",0,MAX(0,$AX151+IF($P151=W$3,$R151,0)+IF($S151=W$3,$U151,0)-$W151))</f>
        <v/>
      </c>
      <c r="AZ151">
        <f>IF($C151="",0,MAX(0,$AY151+IF($P151=X$3,$R151,0)+IF($S151=X$3,$U151,0)-$X151))</f>
        <v/>
      </c>
      <c r="BA151">
        <f>IF($C151="",0,MAX(0,$AZ151+IF($P151=Y$3,$R151,0)+IF($S151=Y$3,$U151,0)-$Y151))</f>
        <v/>
      </c>
      <c r="BB151">
        <f>IF($C151="",0,MAX(0,$BA151+IF($P151=Z$3,$R151,0)+IF($S151=Z$3,$U151,0)-$Z151))</f>
        <v/>
      </c>
      <c r="BC151">
        <f>IF($C151="",0,MAX(0,$BB151+IF($P151=AA$3,$R151,0)+IF($S151=AA$3,$U151,0)-$AA151))</f>
        <v/>
      </c>
      <c r="BD151">
        <f>IF($C151="",0,MAX(0,$BC151+IF($P151=AB$3,$R151,0)+IF($S151=AB$3,$U151,0)-$AB151))</f>
        <v/>
      </c>
      <c r="BE151">
        <f>IF($C151="",0,MAX(0,$BD151+IF($P151=AC$3,$R151,0)+IF($S151=AC$3,$U151,0)-$AC151))</f>
        <v/>
      </c>
      <c r="BF151">
        <f>IF($C151="",0,MAX(0,$BE151+IF($P151=AD$3,$R151,0)+IF($S151=AD$3,$U151,0)-$AD151))</f>
        <v/>
      </c>
      <c r="BG151">
        <f>IF($C151="",0,MAX(0,$BF151+IF($P151=AE$3,$R151,0)+IF($S151=AE$3,$U151,0)-$AE151))</f>
        <v/>
      </c>
      <c r="BH151">
        <f>IF($C151="",0,MAX(0,$BG151+IF($P151=AF$3,$R151,0)+IF($S151=AF$3,$U151,0)-$AF151))</f>
        <v/>
      </c>
      <c r="BI151">
        <f>IF($C151="",0,MAX(0,$BH151+IF($P151=AG$3,$R151,0)+IF($S151=AG$3,$U151,0)-$AG151))</f>
        <v/>
      </c>
      <c r="BJ151">
        <f>IF($C151="",0,MAX(0,$BI151+IF($P151=AH$3,$R151,0)+IF($S151=AH$3,$U151,0)-$AH151))</f>
        <v/>
      </c>
      <c r="BK151">
        <f>IF($C151="",0,MAX(0,$BJ151+IF($P151=AI$3,$R151,0)+IF($S151=AI$3,$U151,0)-$AI151))</f>
        <v/>
      </c>
      <c r="BL151">
        <f>IF($C151="",99,IF(AND($AX151&lt;1,V$3&gt;=MAX(N($P151),N($S151))),0,99))</f>
        <v/>
      </c>
      <c r="BM151">
        <f>IF($C151="",99,IF(AND($AY151&lt;1,W$3&gt;=MAX(N($P151),N($S151))),1,99))</f>
        <v/>
      </c>
      <c r="BN151">
        <f>IF($C151="",99,IF(AND($AZ151&lt;1,X$3&gt;=MAX(N($P151),N($S151))),2,99))</f>
        <v/>
      </c>
      <c r="BO151">
        <f>IF($C151="",99,IF(AND($BA151&lt;1,Y$3&gt;=MAX(N($P151),N($S151))),3,99))</f>
        <v/>
      </c>
      <c r="BP151">
        <f>IF($C151="",99,IF(AND($BB151&lt;1,Z$3&gt;=MAX(N($P151),N($S151))),4,99))</f>
        <v/>
      </c>
      <c r="BQ151">
        <f>IF($C151="",99,IF(AND($BC151&lt;1,AA$3&gt;=MAX(N($P151),N($S151))),5,99))</f>
        <v/>
      </c>
      <c r="BR151">
        <f>IF($C151="",99,IF(AND($BD151&lt;1,AB$3&gt;=MAX(N($P151),N($S151))),6,99))</f>
        <v/>
      </c>
      <c r="BS151">
        <f>IF($C151="",99,IF(AND($BE151&lt;1,AC$3&gt;=MAX(N($P151),N($S151))),7,99))</f>
        <v/>
      </c>
      <c r="BT151">
        <f>IF($C151="",99,IF(AND($BF151&lt;1,AD$3&gt;=MAX(N($P151),N($S151))),8,99))</f>
        <v/>
      </c>
      <c r="BU151">
        <f>IF($C151="",99,IF(AND($BG151&lt;1,AE$3&gt;=MAX(N($P151),N($S151))),9,99))</f>
        <v/>
      </c>
      <c r="BV151">
        <f>IF($C151="",99,IF(AND($BH151&lt;1,AF$3&gt;=MAX(N($P151),N($S151))),10,99))</f>
        <v/>
      </c>
      <c r="BW151">
        <f>IF($C151="",99,IF(AND($BI151&lt;1,AG$3&gt;=MAX(N($P151),N($S151))),11,99))</f>
        <v/>
      </c>
      <c r="BX151">
        <f>IF($C151="",99,IF(AND($BJ151&lt;1,AH$3&gt;=MAX(N($P151),N($S151))),12,99))</f>
        <v/>
      </c>
      <c r="BY151">
        <f>IF($C151="",99,IF(AND($BK151&lt;1,AI$3&gt;=MAX(N($P151),N($S151))),13,99))</f>
        <v/>
      </c>
      <c r="BZ151">
        <f>IF(OR($C151="",$M151=""),"",COUNTIF($AJ151:$AW151,"&gt;=1"))</f>
        <v/>
      </c>
      <c r="CA151" s="90">
        <f>IF($BZ151="","",IF($BZ151&gt;=14,"",'設定'!$C$6+$BZ151))</f>
        <v/>
      </c>
      <c r="CB151">
        <f>IF(OR($C151="",$M151=""),"",MIN($BL151:$BY151))</f>
        <v/>
      </c>
      <c r="CC151" s="90">
        <f>IF($CB151="","",IF($CB151&gt;=99,"",'設定'!$C$6+$CB151))</f>
        <v/>
      </c>
      <c r="CD151">
        <f>IF(OR($C151="",$M151=""),"",AVERAGE($V151:$AI151))</f>
        <v/>
      </c>
      <c r="CE151">
        <f>IF($C151="","",IFERROR(IF(MATCH(IF(ISNUMBER($P151),$P151,'設定'!$C$6+N('設定'!$C$7)),$V$3:$AI$3,0)=1,MAX(0,N($L151)),INDEX($AJ151:$AW151,MATCH(IF(ISNUMBER($P151),$P151,'設定'!$C$6+N('設定'!$C$7)),$V$3:$AI$3,0)-1)),""))</f>
        <v/>
      </c>
      <c r="CF151">
        <f>IF(OR($C151="",$O151="",$CE151=""),"",IF($O151-$CE151&lt;=0,0,ROUNDUP(($O151-$CE151)/$G151,0)))</f>
        <v/>
      </c>
      <c r="CG151">
        <f>IF(OR($C151="",$CF151="",NOT(ISNUMBER($Q151))),0,MAX(0,$Q151-$CF151))</f>
        <v/>
      </c>
      <c r="CH151">
        <f>IF(OR($C151="",$O151="",$U151=0),0,IFERROR(ROUNDUP(MAX(0,IF(MATCH($S151,$V$3:$AI$3,0)=1,MAX(0,N($L151)),INDEX($AX151:$BK151,MATCH($S151,$V$3:$AI$3,0)-1))+$U151-$O151)/$G151,0),0))</f>
        <v/>
      </c>
      <c r="CI151">
        <f>IF($C151="","",IF(AND($P151="",$Q151=""),"",IF($P151="","⚠ 入庫日を ▼ から選んでください",IF(NOT(ISNUMBER($P151)),"⚠ 入庫日は ▼ から選んでください",IF($P151&lt;N('設定'!$C$6),"⚠ 入庫日が過去です（もう在庫に入っています）→ 消してください",IF($P151&gt;N('設定'!$C$6)+13,"⚠ 入庫日が14日より先です",IF(N($Q151)&lt;=0,"⚠ 入庫数を入れてください",IF($CG151&gt;0,"⚠ 目安より "&amp;$CG151&amp;" 多い（定数を超える）→ 減らす",""))))))))</f>
        <v/>
      </c>
      <c r="CJ151">
        <f>IF($C151="","",IF(AND($S151="",$T151=""),"",IF($S151="","⚠ 2便目：入庫日を ▼ から選んでください",IF(NOT(ISNUMBER($S151)),"⚠ 2便目：入庫日は ▼ から選んでください",IF($S151&lt;N('設定'!$C$6),"⚠ 2便目：入庫日が過去です（もう在庫に入っています）→ 消してください",IF($S151&gt;N('設定'!$C$6)+13,"⚠ 2便目：入庫日が14日より先です",IF(N($T151)&lt;=0,"⚠ 2便目：入庫数を入れてください",IF($CH151&gt;0,"⚠ 2便目：定数を "&amp;$CH151&amp;" ケース超える → 減らす",""))))))))</f>
        <v/>
      </c>
      <c r="CK151">
        <f>IF(AND($CI151="",N($Q151)&gt;0,ISNUMBER($P151)),1,0)</f>
        <v/>
      </c>
      <c r="CL151">
        <f>IF(AND($CJ151="",N($T151)&gt;0,ISNUMBER($S151)),1,0)</f>
        <v/>
      </c>
      <c r="CM151">
        <f>IF(OR($CK151=1,$CL151=1),1,0)</f>
        <v/>
      </c>
      <c r="CN151">
        <f>IF($C151="",0,($CK151*$R151+$CL151*$U151)*N($H151))</f>
        <v/>
      </c>
      <c r="CO151">
        <f>IF($C151="","",IF($CC151="","入庫後は 14日以上もつ",IF($CC151-N('設定'!$C$7)&lt;='設定'!$C$6,"入庫後も "&amp;TEXT($CC151,"m/d")&amp;"("&amp;CHOOSE(WEEKDAY($CC151),"日","月","火","水","木","金","土")&amp;")"&amp;" に切れる　もう1便を至急発注","入庫後も "&amp;TEXT($CC151,"m/d")&amp;"("&amp;CHOOSE(WEEKDAY($CC151),"日","月","火","水","木","金","土")&amp;")"&amp;" に切れる　"&amp;TEXT($CC151-N('設定'!$C$7),"m/d")&amp;"("&amp;CHOOSE(WEEKDAY($CC151-N('設定'!$C$7)),"日","月","火","水","木","金","土")&amp;")"&amp;" までに次を発注")))</f>
        <v/>
      </c>
      <c r="CP151">
        <f>IF($C151="","",IF('設定'!$C$6="","？ ①在庫を貼る に今日のCSVが貼られていない",IF($CS151=1,"－ 今日のCSVに無い（終売？）",IF($L151&lt;0,"● 在庫がマイナス　数えて「数えた在庫」に入れる",IF($L151=0,"● 在庫なし　至急発注",IF($M151="","？ 減り数が未設定（商品マスタ）",IF($B$3=0,"？ 動員が未入力（動員を入れる）",IF($CA151="","○ 14日以上もつ",IF($BZ151&lt;N('設定'!$C$7),"● "&amp;TEXT($CA151,"m/d")&amp;"("&amp;CHOOSE(WEEKDAY($CA151),"日","月","火","水","木","金","土")&amp;")"&amp;" に切れる　至急発注",IF($BZ151=N('設定'!$C$7),"● "&amp;TEXT($CA151,"m/d")&amp;"("&amp;CHOOSE(WEEKDAY($CA151),"日","月","火","水","木","金","土")&amp;")"&amp;" に切れる　今日発注","△ "&amp;TEXT($CA151,"m/d")&amp;"("&amp;CHOOSE(WEEKDAY($CA151),"日","月","火","水","木","金","土")&amp;")"&amp;" に切れる　"&amp;TEXT($CA151-N('設定'!$C$7),"m/d")&amp;"("&amp;CHOOSE(WEEKDAY($CA151-N('設定'!$C$7)),"日","月","火","水","木","金","土")&amp;")"&amp;" までに発注"))))))))))</f>
        <v/>
      </c>
      <c r="CQ151">
        <f>IF($C151="","",IF(AND($P151="",$Q151="",$S151="",$T151=""),"",IF(AND($P151="",$Q151=""),"⚠ 先に1便目（左の入庫日・入庫数）に入れてください",IF($CI151&lt;&gt;"",$CI151,IF($CJ151&lt;&gt;"",$CJ151,IF($M151="","？ 減り数が未設定（発注書には載ります）",IF($B$3=0,"？ 動員が未入力（発注書には載ります）",IF(AND($CA151&lt;&gt;"",$P151&gt;$CA151),IF($P151&gt;'設定'!$C$6+N('設定'!$C$7),"● "&amp;TEXT($P151,"m/d")&amp;"("&amp;CHOOSE(WEEKDAY($P151),"日","月","火","水","木","金","土")&amp;")"&amp;" の入庫では間に合わない（"&amp;TEXT($CA151,"m/d")&amp;"("&amp;CHOOSE(WEEKDAY($CA151),"日","月","火","水","木","金","土")&amp;")"&amp;" に切れる）　入庫日を早める","△ 欠品 "&amp;TEXT($CA151,"m/d")&amp;"("&amp;CHOOSE(WEEKDAY($CA151),"日","月","火","水","木","金","土")&amp;")"&amp;"〜"&amp;TEXT($P151-1,"m/d")&amp;"("&amp;CHOOSE(WEEKDAY($P151-1),"日","月","火","水","木","金","土")&amp;")"&amp;"　"&amp;$CO151),IF($CC151="","○ "&amp;TEXT($P151,"m/d")&amp;"("&amp;CHOOSE(WEEKDAY($P151),"日","月","火","水","木","金","土")&amp;")"&amp;" 入庫で 14日以上もつ",IF($CC151-N('設定'!$C$7)&lt;='設定'!$C$6,"● 入庫しても "&amp;TEXT($CC151,"m/d")&amp;"("&amp;CHOOSE(WEEKDAY($CC151),"日","月","火","水","木","金","土")&amp;")"&amp;" に切れる　もう1便を至急発注（2便目に入れる）","△ 入庫しても "&amp;TEXT($CC151,"m/d")&amp;"("&amp;CHOOSE(WEEKDAY($CC151),"日","月","火","水","木","金","土")&amp;")"&amp;" に切れる　"&amp;TEXT($CC151-N('設定'!$C$7),"m/d")&amp;"("&amp;CHOOSE(WEEKDAY($CC151-N('設定'!$C$7)),"日","月","火","水","木","金","土")&amp;")"&amp;" までに次を発注（2便目に入れる）"))))))))))</f>
        <v/>
      </c>
      <c r="CR151">
        <f>IF($C151="","",IF($G151&gt;1,"ｹｰｽ("&amp;$G151&amp;"入)","個"))</f>
        <v/>
      </c>
      <c r="CS151">
        <f>IF($C151="",0,IF(COUNTIFS('①在庫を貼る'!$V$6:$V$10005,'設定'!$C$4,'①在庫を貼る'!$W$6:$W$10005,$C151)=0,1,0))</f>
        <v/>
      </c>
      <c r="CT151">
        <f>IF(AND($CK151=1,OR('③発注書'!$C$4="すべて",'③発注書'!$C$4="",$F151='③発注書'!$C$4)),N($CT150)+1,N($CT150))</f>
        <v/>
      </c>
      <c r="CU151">
        <f>IF(AND($CL151=1,OR('③発注書'!$C$4="すべて",'③発注書'!$C$4="",$F151='③発注書'!$C$4)),N($CU150)+1,N($CU150))</f>
        <v/>
      </c>
      <c r="CV151">
        <f>IF($C151="",0,IF(COUNTIFS('①在庫を貼る'!$V$6:$V$10005,'設定'!$C$4,'①在庫を貼る'!$W$6:$W$10005,$C151)&gt;0,1,0))</f>
        <v/>
      </c>
      <c r="CW151">
        <f>IF($C151="",0,IF(COUNTIFS('月1回_1ヶ月前の在庫'!$V$6:$V$10005,'設定'!$C$4,'月1回_1ヶ月前の在庫'!$W$6:$W$10005,$C151)&gt;0,1,0))</f>
        <v/>
      </c>
      <c r="CX151">
        <f>IF($C151="",0,IF(COUNTIFS('月1回_2ヶ月前の在庫'!$V$6:$V$10005,'設定'!$C$4,'月1回_2ヶ月前の在庫'!$W$6:$W$10005,$C151)&gt;0,1,0))</f>
        <v/>
      </c>
      <c r="CY151">
        <f>IF(OR($C151="",'設定'!$C$12=""),"",IF('設定'!$C$13="",IF(AND($CV151=1,$CW151=0),"新商品（今月から）",IF(AND($CV151=0,$CW151=1),"終売（今月から）","")),IF(AND($CV151=1,$CW151=0,$CX151=0),"新商品（今月から）",IF(AND($CV151=1,$CW151=1,$CX151=0),"新商品（先月から）",IF(AND($CV151=0,$CW151=1,$CX151=1),"終売（今月から）",IF(AND($CV151=0,$CW151=0,$CX151=1),"終売（先月から）",IF(AND($CV151=1,$CW151=0,$CX151=1),"復活（先月は無し）","")))))))</f>
        <v/>
      </c>
    </row>
    <row r="152">
      <c r="B152">
        <f>IF(147&lt;='設定'!$C$11,147,"")</f>
        <v/>
      </c>
      <c r="C152">
        <f>IF($B152="","",IF($B152&lt;='設定'!$C$20,INDEX('商品マスタ'!$B$6:$B$1005,MATCH($B152,'商品マスタ'!$M$6:$M$1005,0)),IF($B152&lt;='設定'!$C$20+'設定'!$C$17,INDEX('①在庫を貼る'!$W$6:$W$10005,MATCH($B152-'設定'!$C$20,'①在庫を貼る'!$U$6:$U$10005,0)),IF($B152&lt;='設定'!$C$20+'設定'!$C$17+'設定'!$C$18,INDEX('月1回_1ヶ月前の在庫'!$W$6:$W$10005,MATCH($B152-'設定'!$C$20-'設定'!$C$17,'月1回_1ヶ月前の在庫'!$U$6:$U$10005,0)),INDEX('月1回_2ヶ月前の在庫'!$W$6:$W$10005,MATCH($B152-'設定'!$C$20-'設定'!$C$17-'設定'!$C$18,'月1回_2ヶ月前の在庫'!$U$6:$U$10005,0))))))</f>
        <v/>
      </c>
      <c r="D152">
        <f>IF($C152="","",IFERROR(IF(INDEX('商品マスタ'!$C$6:$C$1005,MATCH($C152,'商品マスタ'!$B$6:$B$1005,0))="",IFERROR(INDEX('①在庫を貼る'!$J$6:$J$10005,MATCH($C152,'①在庫を貼る'!$W$6:$W$10005,0)),IFERROR(INDEX('月1回_1ヶ月前の在庫'!$J$6:$J$10005,MATCH($C152,'月1回_1ヶ月前の在庫'!$W$6:$W$10005,0)),IFERROR(INDEX('月1回_2ヶ月前の在庫'!$J$6:$J$10005,MATCH($C152,'月1回_2ヶ月前の在庫'!$W$6:$W$10005,0)),""))),INDEX('商品マスタ'!$C$6:$C$1005,MATCH($C152,'商品マスタ'!$B$6:$B$1005,0))),IFERROR(INDEX('①在庫を貼る'!$J$6:$J$10005,MATCH($C152,'①在庫を貼る'!$W$6:$W$10005,0)),IFERROR(INDEX('月1回_1ヶ月前の在庫'!$J$6:$J$10005,MATCH($C152,'月1回_1ヶ月前の在庫'!$W$6:$W$10005,0)),IFERROR(INDEX('月1回_2ヶ月前の在庫'!$J$6:$J$10005,MATCH($C152,'月1回_2ヶ月前の在庫'!$W$6:$W$10005,0)),"")))))</f>
        <v/>
      </c>
      <c r="E152">
        <f>IF($C152="","",IFERROR(IF(INDEX('商品マスタ'!$D$6:$D$1005,MATCH($C152,'商品マスタ'!$B$6:$B$1005,0))="",IFERROR(INDEX('①在庫を貼る'!$H$6:$H$10005,MATCH($C152,'①在庫を貼る'!$W$6:$W$10005,0)),IFERROR(INDEX('月1回_1ヶ月前の在庫'!$H$6:$H$10005,MATCH($C152,'月1回_1ヶ月前の在庫'!$W$6:$W$10005,0)),IFERROR(INDEX('月1回_2ヶ月前の在庫'!$H$6:$H$10005,MATCH($C152,'月1回_2ヶ月前の在庫'!$W$6:$W$10005,0)),""))),INDEX('商品マスタ'!$D$6:$D$1005,MATCH($C152,'商品マスタ'!$B$6:$B$1005,0))),IFERROR(INDEX('①在庫を貼る'!$H$6:$H$10005,MATCH($C152,'①在庫を貼る'!$W$6:$W$10005,0)),IFERROR(INDEX('月1回_1ヶ月前の在庫'!$H$6:$H$10005,MATCH($C152,'月1回_1ヶ月前の在庫'!$W$6:$W$10005,0)),IFERROR(INDEX('月1回_2ヶ月前の在庫'!$H$6:$H$10005,MATCH($C152,'月1回_2ヶ月前の在庫'!$W$6:$W$10005,0)),"")))))</f>
        <v/>
      </c>
      <c r="F152">
        <f>IF($C152="","",IFERROR(IF(INDEX('商品マスタ'!$E$6:$E$1005,MATCH($C152,'商品マスタ'!$B$6:$B$1005,0))="",IFERROR(INDEX('①在庫を貼る'!$E$6:$E$10005,MATCH($C152,'①在庫を貼る'!$W$6:$W$10005,0)),IFERROR(INDEX('月1回_1ヶ月前の在庫'!$E$6:$E$10005,MATCH($C152,'月1回_1ヶ月前の在庫'!$W$6:$W$10005,0)),IFERROR(INDEX('月1回_2ヶ月前の在庫'!$E$6:$E$10005,MATCH($C152,'月1回_2ヶ月前の在庫'!$W$6:$W$10005,0)),""))),INDEX('商品マスタ'!$E$6:$E$1005,MATCH($C152,'商品マスタ'!$B$6:$B$1005,0))),IFERROR(INDEX('①在庫を貼る'!$E$6:$E$10005,MATCH($C152,'①在庫を貼る'!$W$6:$W$10005,0)),IFERROR(INDEX('月1回_1ヶ月前の在庫'!$E$6:$E$10005,MATCH($C152,'月1回_1ヶ月前の在庫'!$W$6:$W$10005,0)),IFERROR(INDEX('月1回_2ヶ月前の在庫'!$E$6:$E$10005,MATCH($C152,'月1回_2ヶ月前の在庫'!$W$6:$W$10005,0)),"")))))</f>
        <v/>
      </c>
      <c r="G152">
        <f>IF($C152="","",MAX(1,N(IFERROR(IF(INDEX('商品マスタ'!$F$6:$F$1005,MATCH($C152,'商品マスタ'!$B$6:$B$1005,0))="",IF(COUNTIFS('①在庫を貼る'!$V$6:$V$10005,'設定'!$C$4,'①在庫を貼る'!$W$6:$W$10005,$C152)&gt;0,SUMIFS('①在庫を貼る'!$K$6:$K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K$6:$K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K$6:$K$10005,'月1回_2ヶ月前の在庫'!$V$6:$V$10005,'設定'!$C$4,'月1回_2ヶ月前の在庫'!$W$6:$W$10005,$C152)/COUNTIFS('月1回_2ヶ月前の在庫'!$V$6:$V$10005,'設定'!$C$4,'月1回_2ヶ月前の在庫'!$W$6:$W$10005,$C152),0))),INDEX('商品マスタ'!$F$6:$F$1005,MATCH($C152,'商品マスタ'!$B$6:$B$1005,0))),IF(COUNTIFS('①在庫を貼る'!$V$6:$V$10005,'設定'!$C$4,'①在庫を貼る'!$W$6:$W$10005,$C152)&gt;0,SUMIFS('①在庫を貼る'!$K$6:$K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K$6:$K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K$6:$K$10005,'月1回_2ヶ月前の在庫'!$V$6:$V$10005,'設定'!$C$4,'月1回_2ヶ月前の在庫'!$W$6:$W$10005,$C152)/COUNTIFS('月1回_2ヶ月前の在庫'!$V$6:$V$10005,'設定'!$C$4,'月1回_2ヶ月前の在庫'!$W$6:$W$10005,$C152),0)))))))</f>
        <v/>
      </c>
      <c r="H152">
        <f>IF($C152="","",N(IFERROR(IF(INDEX('商品マスタ'!$G$6:$G$1005,MATCH($C152,'商品マスタ'!$B$6:$B$1005,0))="",IF(COUNTIFS('①在庫を貼る'!$V$6:$V$10005,'設定'!$C$4,'①在庫を貼る'!$W$6:$W$10005,$C152)&gt;0,SUMIFS('①在庫を貼る'!$Q$6:$Q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Q$6:$Q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Q$6:$Q$10005,'月1回_2ヶ月前の在庫'!$V$6:$V$10005,'設定'!$C$4,'月1回_2ヶ月前の在庫'!$W$6:$W$10005,$C152)/COUNTIFS('月1回_2ヶ月前の在庫'!$V$6:$V$10005,'設定'!$C$4,'月1回_2ヶ月前の在庫'!$W$6:$W$10005,$C152),0))),INDEX('商品マスタ'!$G$6:$G$1005,MATCH($C152,'商品マスタ'!$B$6:$B$1005,0))),IF(COUNTIFS('①在庫を貼る'!$V$6:$V$10005,'設定'!$C$4,'①在庫を貼る'!$W$6:$W$10005,$C152)&gt;0,SUMIFS('①在庫を貼る'!$Q$6:$Q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Q$6:$Q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Q$6:$Q$10005,'月1回_2ヶ月前の在庫'!$V$6:$V$10005,'設定'!$C$4,'月1回_2ヶ月前の在庫'!$W$6:$W$10005,$C152)/COUNTIFS('月1回_2ヶ月前の在庫'!$V$6:$V$10005,'設定'!$C$4,'月1回_2ヶ月前の在庫'!$W$6:$W$10005,$C152),0))))))</f>
        <v/>
      </c>
      <c r="I152">
        <f>IF($C152="","",IF(COUNTIFS('①在庫を貼る'!$V$6:$V$10005,'設定'!$C$4,'①在庫を貼る'!$W$6:$W$10005,$C152)=0,"",SUMIFS('①在庫を貼る'!$N$6:$N$10005,'①在庫を貼る'!$V$6:$V$10005,'設定'!$C$4,'①在庫を貼る'!$W$6:$W$10005,$C152)))</f>
        <v/>
      </c>
      <c r="J152">
        <f>IF($C152="","",IF('②発注する'!$AD156="","",'②発注する'!$AD156))</f>
        <v/>
      </c>
      <c r="K152" s="90">
        <f>IF($C152="","",IF('②発注する'!$AE156="","",'②発注する'!$AE156))</f>
        <v/>
      </c>
      <c r="L152">
        <f>IF($C152="","",IF(AND(ISNUMBER($J152),ISNUMBER($K152),$K152&gt;='設定'!$C$6),$J152,N($I152)))</f>
        <v/>
      </c>
      <c r="M152">
        <f>IF($C152="","",IFERROR(IF(N(INDEX('商品マスタ'!$J$6:$J$1005,MATCH($C152,'商品マスタ'!$B$6:$B$1005,0)))&gt;0,INDEX('商品マスタ'!$J$6:$J$1005,MATCH($C152,'商品マスタ'!$B$6:$B$1005,0)),""),""))</f>
        <v/>
      </c>
      <c r="N152">
        <f>IF($C152="","",IFERROR(IF(N(INDEX('商品マスタ'!$H$6:$H$1005,MATCH($C152,'商品マスタ'!$B$6:$B$1005,0)))&gt;0,INDEX('商品マスタ'!$H$6:$H$1005,MATCH($C152,'商品マスタ'!$B$6:$B$1005,0)),""),""))</f>
        <v/>
      </c>
      <c r="O152">
        <f>IF($C152="","",IF($N152&lt;&gt;"",$N152*$G152,IF(N(IF(COUNTIFS('①在庫を貼る'!$V$6:$V$10005,'設定'!$C$4,'①在庫を貼る'!$W$6:$W$10005,$C152)&gt;0,SUMIFS('①在庫を貼る'!$O$6:$O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O$6:$O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O$6:$O$10005,'月1回_2ヶ月前の在庫'!$V$6:$V$10005,'設定'!$C$4,'月1回_2ヶ月前の在庫'!$W$6:$W$10005,$C152)/COUNTIFS('月1回_2ヶ月前の在庫'!$V$6:$V$10005,'設定'!$C$4,'月1回_2ヶ月前の在庫'!$W$6:$W$10005,$C152),0))))&gt;0,N(IF(COUNTIFS('①在庫を貼る'!$V$6:$V$10005,'設定'!$C$4,'①在庫を貼る'!$W$6:$W$10005,$C152)&gt;0,SUMIFS('①在庫を貼る'!$O$6:$O$10005,'①在庫を貼る'!$V$6:$V$10005,'設定'!$C$4,'①在庫を貼る'!$W$6:$W$10005,$C152)/COUNTIFS('①在庫を貼る'!$V$6:$V$10005,'設定'!$C$4,'①在庫を貼る'!$W$6:$W$10005,$C152),IF(COUNTIFS('月1回_1ヶ月前の在庫'!$V$6:$V$10005,'設定'!$C$4,'月1回_1ヶ月前の在庫'!$W$6:$W$10005,$C152)&gt;0,SUMIFS('月1回_1ヶ月前の在庫'!$O$6:$O$10005,'月1回_1ヶ月前の在庫'!$V$6:$V$10005,'設定'!$C$4,'月1回_1ヶ月前の在庫'!$W$6:$W$10005,$C152)/COUNTIFS('月1回_1ヶ月前の在庫'!$V$6:$V$10005,'設定'!$C$4,'月1回_1ヶ月前の在庫'!$W$6:$W$10005,$C152),IF(COUNTIFS('月1回_2ヶ月前の在庫'!$V$6:$V$10005,'設定'!$C$4,'月1回_2ヶ月前の在庫'!$W$6:$W$10005,$C152)&gt;0,SUMIFS('月1回_2ヶ月前の在庫'!$O$6:$O$10005,'月1回_2ヶ月前の在庫'!$V$6:$V$10005,'設定'!$C$4,'月1回_2ヶ月前の在庫'!$W$6:$W$10005,$C152)/COUNTIFS('月1回_2ヶ月前の在庫'!$V$6:$V$10005,'設定'!$C$4,'月1回_2ヶ月前の在庫'!$W$6:$W$10005,$C152),0)))),"")))</f>
        <v/>
      </c>
      <c r="P152" s="90">
        <f>IF($C152="","",IF('②発注する'!$I156="","",'②発注する'!$I156))</f>
        <v/>
      </c>
      <c r="Q152">
        <f>IF($C152="","",IF('②発注する'!$J156="","",'②発注する'!$J156))</f>
        <v/>
      </c>
      <c r="R152">
        <f>IF($C152="",0,IF(AND(ISNUMBER($P152),ISNUMBER($Q152)),MAX(0,$Q152)*$G152,0))</f>
        <v/>
      </c>
      <c r="S152" s="90">
        <f>IF($C152="","",IF('②発注する'!$M156="","",'②発注する'!$M156))</f>
        <v/>
      </c>
      <c r="T152">
        <f>IF($C152="","",IF('②発注する'!$N156="","",'②発注する'!$N156))</f>
        <v/>
      </c>
      <c r="U152">
        <f>IF($C152="",0,IF(AND(ISNUMBER($S152),ISNUMBER($T152)),MAX(0,$T152)*$G152,0))</f>
        <v/>
      </c>
      <c r="V152">
        <f>IF($C152="",0,IF($M152="",0,MAX(0,$M152)*MAX(0,V$4)/100))</f>
        <v/>
      </c>
      <c r="W152">
        <f>IF($C152="",0,IF($M152="",0,MAX(0,$M152)*MAX(0,W$4)/100))</f>
        <v/>
      </c>
      <c r="X152">
        <f>IF($C152="",0,IF($M152="",0,MAX(0,$M152)*MAX(0,X$4)/100))</f>
        <v/>
      </c>
      <c r="Y152">
        <f>IF($C152="",0,IF($M152="",0,MAX(0,$M152)*MAX(0,Y$4)/100))</f>
        <v/>
      </c>
      <c r="Z152">
        <f>IF($C152="",0,IF($M152="",0,MAX(0,$M152)*MAX(0,Z$4)/100))</f>
        <v/>
      </c>
      <c r="AA152">
        <f>IF($C152="",0,IF($M152="",0,MAX(0,$M152)*MAX(0,AA$4)/100))</f>
        <v/>
      </c>
      <c r="AB152">
        <f>IF($C152="",0,IF($M152="",0,MAX(0,$M152)*MAX(0,AB$4)/100))</f>
        <v/>
      </c>
      <c r="AC152">
        <f>IF($C152="",0,IF($M152="",0,MAX(0,$M152)*MAX(0,AC$4)/100))</f>
        <v/>
      </c>
      <c r="AD152">
        <f>IF($C152="",0,IF($M152="",0,MAX(0,$M152)*MAX(0,AD$4)/100))</f>
        <v/>
      </c>
      <c r="AE152">
        <f>IF($C152="",0,IF($M152="",0,MAX(0,$M152)*MAX(0,AE$4)/100))</f>
        <v/>
      </c>
      <c r="AF152">
        <f>IF($C152="",0,IF($M152="",0,MAX(0,$M152)*MAX(0,AF$4)/100))</f>
        <v/>
      </c>
      <c r="AG152">
        <f>IF($C152="",0,IF($M152="",0,MAX(0,$M152)*MAX(0,AG$4)/100))</f>
        <v/>
      </c>
      <c r="AH152">
        <f>IF($C152="",0,IF($M152="",0,MAX(0,$M152)*MAX(0,AH$4)/100))</f>
        <v/>
      </c>
      <c r="AI152">
        <f>IF($C152="",0,IF($M152="",0,MAX(0,$M152)*MAX(0,AI$4)/100))</f>
        <v/>
      </c>
      <c r="AJ152">
        <f>IF($C152="",0,MAX(0,MAX(0,N($L152))-$V152))</f>
        <v/>
      </c>
      <c r="AK152">
        <f>IF($C152="",0,MAX(0,$AJ152-$W152))</f>
        <v/>
      </c>
      <c r="AL152">
        <f>IF($C152="",0,MAX(0,$AK152-$X152))</f>
        <v/>
      </c>
      <c r="AM152">
        <f>IF($C152="",0,MAX(0,$AL152-$Y152))</f>
        <v/>
      </c>
      <c r="AN152">
        <f>IF($C152="",0,MAX(0,$AM152-$Z152))</f>
        <v/>
      </c>
      <c r="AO152">
        <f>IF($C152="",0,MAX(0,$AN152-$AA152))</f>
        <v/>
      </c>
      <c r="AP152">
        <f>IF($C152="",0,MAX(0,$AO152-$AB152))</f>
        <v/>
      </c>
      <c r="AQ152">
        <f>IF($C152="",0,MAX(0,$AP152-$AC152))</f>
        <v/>
      </c>
      <c r="AR152">
        <f>IF($C152="",0,MAX(0,$AQ152-$AD152))</f>
        <v/>
      </c>
      <c r="AS152">
        <f>IF($C152="",0,MAX(0,$AR152-$AE152))</f>
        <v/>
      </c>
      <c r="AT152">
        <f>IF($C152="",0,MAX(0,$AS152-$AF152))</f>
        <v/>
      </c>
      <c r="AU152">
        <f>IF($C152="",0,MAX(0,$AT152-$AG152))</f>
        <v/>
      </c>
      <c r="AV152">
        <f>IF($C152="",0,MAX(0,$AU152-$AH152))</f>
        <v/>
      </c>
      <c r="AW152">
        <f>IF($C152="",0,MAX(0,$AV152-$AI152))</f>
        <v/>
      </c>
      <c r="AX152">
        <f>IF($C152="",0,MAX(0,MAX(0,N($L152))+IF($P152=V$3,$R152,0)+IF($S152=V$3,$U152,0)-$V152))</f>
        <v/>
      </c>
      <c r="AY152">
        <f>IF($C152="",0,MAX(0,$AX152+IF($P152=W$3,$R152,0)+IF($S152=W$3,$U152,0)-$W152))</f>
        <v/>
      </c>
      <c r="AZ152">
        <f>IF($C152="",0,MAX(0,$AY152+IF($P152=X$3,$R152,0)+IF($S152=X$3,$U152,0)-$X152))</f>
        <v/>
      </c>
      <c r="BA152">
        <f>IF($C152="",0,MAX(0,$AZ152+IF($P152=Y$3,$R152,0)+IF($S152=Y$3,$U152,0)-$Y152))</f>
        <v/>
      </c>
      <c r="BB152">
        <f>IF($C152="",0,MAX(0,$BA152+IF($P152=Z$3,$R152,0)+IF($S152=Z$3,$U152,0)-$Z152))</f>
        <v/>
      </c>
      <c r="BC152">
        <f>IF($C152="",0,MAX(0,$BB152+IF($P152=AA$3,$R152,0)+IF($S152=AA$3,$U152,0)-$AA152))</f>
        <v/>
      </c>
      <c r="BD152">
        <f>IF($C152="",0,MAX(0,$BC152+IF($P152=AB$3,$R152,0)+IF($S152=AB$3,$U152,0)-$AB152))</f>
        <v/>
      </c>
      <c r="BE152">
        <f>IF($C152="",0,MAX(0,$BD152+IF($P152=AC$3,$R152,0)+IF($S152=AC$3,$U152,0)-$AC152))</f>
        <v/>
      </c>
      <c r="BF152">
        <f>IF($C152="",0,MAX(0,$BE152+IF($P152=AD$3,$R152,0)+IF($S152=AD$3,$U152,0)-$AD152))</f>
        <v/>
      </c>
      <c r="BG152">
        <f>IF($C152="",0,MAX(0,$BF152+IF($P152=AE$3,$R152,0)+IF($S152=AE$3,$U152,0)-$AE152))</f>
        <v/>
      </c>
      <c r="BH152">
        <f>IF($C152="",0,MAX(0,$BG152+IF($P152=AF$3,$R152,0)+IF($S152=AF$3,$U152,0)-$AF152))</f>
        <v/>
      </c>
      <c r="BI152">
        <f>IF($C152="",0,MAX(0,$BH152+IF($P152=AG$3,$R152,0)+IF($S152=AG$3,$U152,0)-$AG152))</f>
        <v/>
      </c>
      <c r="BJ152">
        <f>IF($C152="",0,MAX(0,$BI152+IF($P152=AH$3,$R152,0)+IF($S152=AH$3,$U152,0)-$AH152))</f>
        <v/>
      </c>
      <c r="BK152">
        <f>IF($C152="",0,MAX(0,$BJ152+IF($P152=AI$3,$R152,0)+IF($S152=AI$3,$U152,0)-$AI152))</f>
        <v/>
      </c>
      <c r="BL152">
        <f>IF($C152="",99,IF(AND($AX152&lt;1,V$3&gt;=MAX(N($P152),N($S152))),0,99))</f>
        <v/>
      </c>
      <c r="BM152">
        <f>IF($C152="",99,IF(AND($AY152&lt;1,W$3&gt;=MAX(N($P152),N($S152))),1,99))</f>
        <v/>
      </c>
      <c r="BN152">
        <f>IF($C152="",99,IF(AND($AZ152&lt;1,X$3&gt;=MAX(N($P152),N($S152))),2,99))</f>
        <v/>
      </c>
      <c r="BO152">
        <f>IF($C152="",99,IF(AND($BA152&lt;1,Y$3&gt;=MAX(N($P152),N($S152))),3,99))</f>
        <v/>
      </c>
      <c r="BP152">
        <f>IF($C152="",99,IF(AND($BB152&lt;1,Z$3&gt;=MAX(N($P152),N($S152))),4,99))</f>
        <v/>
      </c>
      <c r="BQ152">
        <f>IF($C152="",99,IF(AND($BC152&lt;1,AA$3&gt;=MAX(N($P152),N($S152))),5,99))</f>
        <v/>
      </c>
      <c r="BR152">
        <f>IF($C152="",99,IF(AND($BD152&lt;1,AB$3&gt;=MAX(N($P152),N($S152))),6,99))</f>
        <v/>
      </c>
      <c r="BS152">
        <f>IF($C152="",99,IF(AND($BE152&lt;1,AC$3&gt;=MAX(N($P152),N($S152))),7,99))</f>
        <v/>
      </c>
      <c r="BT152">
        <f>IF($C152="",99,IF(AND($BF152&lt;1,AD$3&gt;=MAX(N($P152),N($S152))),8,99))</f>
        <v/>
      </c>
      <c r="BU152">
        <f>IF($C152="",99,IF(AND($BG152&lt;1,AE$3&gt;=MAX(N($P152),N($S152))),9,99))</f>
        <v/>
      </c>
      <c r="BV152">
        <f>IF($C152="",99,IF(AND($BH152&lt;1,AF$3&gt;=MAX(N($P152),N($S152))),10,99))</f>
        <v/>
      </c>
      <c r="BW152">
        <f>IF($C152="",99,IF(AND($BI152&lt;1,AG$3&gt;=MAX(N($P152),N($S152))),11,99))</f>
        <v/>
      </c>
      <c r="BX152">
        <f>IF($C152="",99,IF(AND($BJ152&lt;1,AH$3&gt;=MAX(N($P152),N($S152))),12,99))</f>
        <v/>
      </c>
      <c r="BY152">
        <f>IF($C152="",99,IF(AND($BK152&lt;1,AI$3&gt;=MAX(N($P152),N($S152))),13,99))</f>
        <v/>
      </c>
      <c r="BZ152">
        <f>IF(OR($C152="",$M152=""),"",COUNTIF($AJ152:$AW152,"&gt;=1"))</f>
        <v/>
      </c>
      <c r="CA152" s="90">
        <f>IF($BZ152="","",IF($BZ152&gt;=14,"",'設定'!$C$6+$BZ152))</f>
        <v/>
      </c>
      <c r="CB152">
        <f>IF(OR($C152="",$M152=""),"",MIN($BL152:$BY152))</f>
        <v/>
      </c>
      <c r="CC152" s="90">
        <f>IF($CB152="","",IF($CB152&gt;=99,"",'設定'!$C$6+$CB152))</f>
        <v/>
      </c>
      <c r="CD152">
        <f>IF(OR($C152="",$M152=""),"",AVERAGE($V152:$AI152))</f>
        <v/>
      </c>
      <c r="CE152">
        <f>IF($C152="","",IFERROR(IF(MATCH(IF(ISNUMBER($P152),$P152,'設定'!$C$6+N('設定'!$C$7)),$V$3:$AI$3,0)=1,MAX(0,N($L152)),INDEX($AJ152:$AW152,MATCH(IF(ISNUMBER($P152),$P152,'設定'!$C$6+N('設定'!$C$7)),$V$3:$AI$3,0)-1)),""))</f>
        <v/>
      </c>
      <c r="CF152">
        <f>IF(OR($C152="",$O152="",$CE152=""),"",IF($O152-$CE152&lt;=0,0,ROUNDUP(($O152-$CE152)/$G152,0)))</f>
        <v/>
      </c>
      <c r="CG152">
        <f>IF(OR($C152="",$CF152="",NOT(ISNUMBER($Q152))),0,MAX(0,$Q152-$CF152))</f>
        <v/>
      </c>
      <c r="CH152">
        <f>IF(OR($C152="",$O152="",$U152=0),0,IFERROR(ROUNDUP(MAX(0,IF(MATCH($S152,$V$3:$AI$3,0)=1,MAX(0,N($L152)),INDEX($AX152:$BK152,MATCH($S152,$V$3:$AI$3,0)-1))+$U152-$O152)/$G152,0),0))</f>
        <v/>
      </c>
      <c r="CI152">
        <f>IF($C152="","",IF(AND($P152="",$Q152=""),"",IF($P152="","⚠ 入庫日を ▼ から選んでください",IF(NOT(ISNUMBER($P152)),"⚠ 入庫日は ▼ から選んでください",IF($P152&lt;N('設定'!$C$6),"⚠ 入庫日が過去です（もう在庫に入っています）→ 消してください",IF($P152&gt;N('設定'!$C$6)+13,"⚠ 入庫日が14日より先です",IF(N($Q152)&lt;=0,"⚠ 入庫数を入れてください",IF($CG152&gt;0,"⚠ 目安より "&amp;$CG152&amp;" 多い（定数を超える）→ 減らす",""))))))))</f>
        <v/>
      </c>
      <c r="CJ152">
        <f>IF($C152="","",IF(AND($S152="",$T152=""),"",IF($S152="","⚠ 2便目：入庫日を ▼ から選んでください",IF(NOT(ISNUMBER($S152)),"⚠ 2便目：入庫日は ▼ から選んでください",IF($S152&lt;N('設定'!$C$6),"⚠ 2便目：入庫日が過去です（もう在庫に入っています）→ 消してください",IF($S152&gt;N('設定'!$C$6)+13,"⚠ 2便目：入庫日が14日より先です",IF(N($T152)&lt;=0,"⚠ 2便目：入庫数を入れてください",IF($CH152&gt;0,"⚠ 2便目：定数を "&amp;$CH152&amp;" ケース超える → 減らす",""))))))))</f>
        <v/>
      </c>
      <c r="CK152">
        <f>IF(AND($CI152="",N($Q152)&gt;0,ISNUMBER($P152)),1,0)</f>
        <v/>
      </c>
      <c r="CL152">
        <f>IF(AND($CJ152="",N($T152)&gt;0,ISNUMBER($S152)),1,0)</f>
        <v/>
      </c>
      <c r="CM152">
        <f>IF(OR($CK152=1,$CL152=1),1,0)</f>
        <v/>
      </c>
      <c r="CN152">
        <f>IF($C152="",0,($CK152*$R152+$CL152*$U152)*N($H152))</f>
        <v/>
      </c>
      <c r="CO152">
        <f>IF($C152="","",IF($CC152="","入庫後は 14日以上もつ",IF($CC152-N('設定'!$C$7)&lt;='設定'!$C$6,"入庫後も "&amp;TEXT($CC152,"m/d")&amp;"("&amp;CHOOSE(WEEKDAY($CC152),"日","月","火","水","木","金","土")&amp;")"&amp;" に切れる　もう1便を至急発注","入庫後も "&amp;TEXT($CC152,"m/d")&amp;"("&amp;CHOOSE(WEEKDAY($CC152),"日","月","火","水","木","金","土")&amp;")"&amp;" に切れる　"&amp;TEXT($CC152-N('設定'!$C$7),"m/d")&amp;"("&amp;CHOOSE(WEEKDAY($CC152-N('設定'!$C$7)),"日","月","火","水","木","金","土")&amp;")"&amp;" までに次を発注")))</f>
        <v/>
      </c>
      <c r="CP152">
        <f>IF($C152="","",IF('設定'!$C$6="","？ ①在庫を貼る に今日のCSVが貼られていない",IF($CS152=1,"－ 今日のCSVに無い（終売？）",IF($L152&lt;0,"● 在庫がマイナス　数えて「数えた在庫」に入れる",IF($L152=0,"● 在庫なし　至急発注",IF($M152="","？ 減り数が未設定（商品マスタ）",IF($B$3=0,"？ 動員が未入力（動員を入れる）",IF($CA152="","○ 14日以上もつ",IF($BZ152&lt;N('設定'!$C$7),"● "&amp;TEXT($CA152,"m/d")&amp;"("&amp;CHOOSE(WEEKDAY($CA152),"日","月","火","水","木","金","土")&amp;")"&amp;" に切れる　至急発注",IF($BZ152=N('設定'!$C$7),"● "&amp;TEXT($CA152,"m/d")&amp;"("&amp;CHOOSE(WEEKDAY($CA152),"日","月","火","水","木","金","土")&amp;")"&amp;" に切れる　今日発注","△ "&amp;TEXT($CA152,"m/d")&amp;"("&amp;CHOOSE(WEEKDAY($CA152),"日","月","火","水","木","金","土")&amp;")"&amp;" に切れる　"&amp;TEXT($CA152-N('設定'!$C$7),"m/d")&amp;"("&amp;CHOOSE(WEEKDAY($CA152-N('設定'!$C$7)),"日","月","火","水","木","金","土")&amp;")"&amp;" までに発注"))))))))))</f>
        <v/>
      </c>
      <c r="CQ152">
        <f>IF($C152="","",IF(AND($P152="",$Q152="",$S152="",$T152=""),"",IF(AND($P152="",$Q152=""),"⚠ 先に1便目（左の入庫日・入庫数）に入れてください",IF($CI152&lt;&gt;"",$CI152,IF($CJ152&lt;&gt;"",$CJ152,IF($M152="","？ 減り数が未設定（発注書には載ります）",IF($B$3=0,"？ 動員が未入力（発注書には載ります）",IF(AND($CA152&lt;&gt;"",$P152&gt;$CA152),IF($P152&gt;'設定'!$C$6+N('設定'!$C$7),"● "&amp;TEXT($P152,"m/d")&amp;"("&amp;CHOOSE(WEEKDAY($P152),"日","月","火","水","木","金","土")&amp;")"&amp;" の入庫では間に合わない（"&amp;TEXT($CA152,"m/d")&amp;"("&amp;CHOOSE(WEEKDAY($CA152),"日","月","火","水","木","金","土")&amp;")"&amp;" に切れる）　入庫日を早める","△ 欠品 "&amp;TEXT($CA152,"m/d")&amp;"("&amp;CHOOSE(WEEKDAY($CA152),"日","月","火","水","木","金","土")&amp;")"&amp;"〜"&amp;TEXT($P152-1,"m/d")&amp;"("&amp;CHOOSE(WEEKDAY($P152-1),"日","月","火","水","木","金","土")&amp;")"&amp;"　"&amp;$CO152),IF($CC152="","○ "&amp;TEXT($P152,"m/d")&amp;"("&amp;CHOOSE(WEEKDAY($P152),"日","月","火","水","木","金","土")&amp;")"&amp;" 入庫で 14日以上もつ",IF($CC152-N('設定'!$C$7)&lt;='設定'!$C$6,"● 入庫しても "&amp;TEXT($CC152,"m/d")&amp;"("&amp;CHOOSE(WEEKDAY($CC152),"日","月","火","水","木","金","土")&amp;")"&amp;" に切れる　もう1便を至急発注（2便目に入れる）","△ 入庫しても "&amp;TEXT($CC152,"m/d")&amp;"("&amp;CHOOSE(WEEKDAY($CC152),"日","月","火","水","木","金","土")&amp;")"&amp;" に切れる　"&amp;TEXT($CC152-N('設定'!$C$7),"m/d")&amp;"("&amp;CHOOSE(WEEKDAY($CC152-N('設定'!$C$7)),"日","月","火","水","木","金","土")&amp;")"&amp;" までに次を発注（2便目に入れる）"))))))))))</f>
        <v/>
      </c>
      <c r="CR152">
        <f>IF($C152="","",IF($G152&gt;1,"ｹｰｽ("&amp;$G152&amp;"入)","個"))</f>
        <v/>
      </c>
      <c r="CS152">
        <f>IF($C152="",0,IF(COUNTIFS('①在庫を貼る'!$V$6:$V$10005,'設定'!$C$4,'①在庫を貼る'!$W$6:$W$10005,$C152)=0,1,0))</f>
        <v/>
      </c>
      <c r="CT152">
        <f>IF(AND($CK152=1,OR('③発注書'!$C$4="すべて",'③発注書'!$C$4="",$F152='③発注書'!$C$4)),N($CT151)+1,N($CT151))</f>
        <v/>
      </c>
      <c r="CU152">
        <f>IF(AND($CL152=1,OR('③発注書'!$C$4="すべて",'③発注書'!$C$4="",$F152='③発注書'!$C$4)),N($CU151)+1,N($CU151))</f>
        <v/>
      </c>
      <c r="CV152">
        <f>IF($C152="",0,IF(COUNTIFS('①在庫を貼る'!$V$6:$V$10005,'設定'!$C$4,'①在庫を貼る'!$W$6:$W$10005,$C152)&gt;0,1,0))</f>
        <v/>
      </c>
      <c r="CW152">
        <f>IF($C152="",0,IF(COUNTIFS('月1回_1ヶ月前の在庫'!$V$6:$V$10005,'設定'!$C$4,'月1回_1ヶ月前の在庫'!$W$6:$W$10005,$C152)&gt;0,1,0))</f>
        <v/>
      </c>
      <c r="CX152">
        <f>IF($C152="",0,IF(COUNTIFS('月1回_2ヶ月前の在庫'!$V$6:$V$10005,'設定'!$C$4,'月1回_2ヶ月前の在庫'!$W$6:$W$10005,$C152)&gt;0,1,0))</f>
        <v/>
      </c>
      <c r="CY152">
        <f>IF(OR($C152="",'設定'!$C$12=""),"",IF('設定'!$C$13="",IF(AND($CV152=1,$CW152=0),"新商品（今月から）",IF(AND($CV152=0,$CW152=1),"終売（今月から）","")),IF(AND($CV152=1,$CW152=0,$CX152=0),"新商品（今月から）",IF(AND($CV152=1,$CW152=1,$CX152=0),"新商品（先月から）",IF(AND($CV152=0,$CW152=1,$CX152=1),"終売（今月から）",IF(AND($CV152=0,$CW152=0,$CX152=1),"終売（先月から）",IF(AND($CV152=1,$CW152=0,$CX152=1),"復活（先月は無し）","")))))))</f>
        <v/>
      </c>
    </row>
    <row r="153">
      <c r="B153">
        <f>IF(148&lt;='設定'!$C$11,148,"")</f>
        <v/>
      </c>
      <c r="C153">
        <f>IF($B153="","",IF($B153&lt;='設定'!$C$20,INDEX('商品マスタ'!$B$6:$B$1005,MATCH($B153,'商品マスタ'!$M$6:$M$1005,0)),IF($B153&lt;='設定'!$C$20+'設定'!$C$17,INDEX('①在庫を貼る'!$W$6:$W$10005,MATCH($B153-'設定'!$C$20,'①在庫を貼る'!$U$6:$U$10005,0)),IF($B153&lt;='設定'!$C$20+'設定'!$C$17+'設定'!$C$18,INDEX('月1回_1ヶ月前の在庫'!$W$6:$W$10005,MATCH($B153-'設定'!$C$20-'設定'!$C$17,'月1回_1ヶ月前の在庫'!$U$6:$U$10005,0)),INDEX('月1回_2ヶ月前の在庫'!$W$6:$W$10005,MATCH($B153-'設定'!$C$20-'設定'!$C$17-'設定'!$C$18,'月1回_2ヶ月前の在庫'!$U$6:$U$10005,0))))))</f>
        <v/>
      </c>
      <c r="D153">
        <f>IF($C153="","",IFERROR(IF(INDEX('商品マスタ'!$C$6:$C$1005,MATCH($C153,'商品マスタ'!$B$6:$B$1005,0))="",IFERROR(INDEX('①在庫を貼る'!$J$6:$J$10005,MATCH($C153,'①在庫を貼る'!$W$6:$W$10005,0)),IFERROR(INDEX('月1回_1ヶ月前の在庫'!$J$6:$J$10005,MATCH($C153,'月1回_1ヶ月前の在庫'!$W$6:$W$10005,0)),IFERROR(INDEX('月1回_2ヶ月前の在庫'!$J$6:$J$10005,MATCH($C153,'月1回_2ヶ月前の在庫'!$W$6:$W$10005,0)),""))),INDEX('商品マスタ'!$C$6:$C$1005,MATCH($C153,'商品マスタ'!$B$6:$B$1005,0))),IFERROR(INDEX('①在庫を貼る'!$J$6:$J$10005,MATCH($C153,'①在庫を貼る'!$W$6:$W$10005,0)),IFERROR(INDEX('月1回_1ヶ月前の在庫'!$J$6:$J$10005,MATCH($C153,'月1回_1ヶ月前の在庫'!$W$6:$W$10005,0)),IFERROR(INDEX('月1回_2ヶ月前の在庫'!$J$6:$J$10005,MATCH($C153,'月1回_2ヶ月前の在庫'!$W$6:$W$10005,0)),"")))))</f>
        <v/>
      </c>
      <c r="E153">
        <f>IF($C153="","",IFERROR(IF(INDEX('商品マスタ'!$D$6:$D$1005,MATCH($C153,'商品マスタ'!$B$6:$B$1005,0))="",IFERROR(INDEX('①在庫を貼る'!$H$6:$H$10005,MATCH($C153,'①在庫を貼る'!$W$6:$W$10005,0)),IFERROR(INDEX('月1回_1ヶ月前の在庫'!$H$6:$H$10005,MATCH($C153,'月1回_1ヶ月前の在庫'!$W$6:$W$10005,0)),IFERROR(INDEX('月1回_2ヶ月前の在庫'!$H$6:$H$10005,MATCH($C153,'月1回_2ヶ月前の在庫'!$W$6:$W$10005,0)),""))),INDEX('商品マスタ'!$D$6:$D$1005,MATCH($C153,'商品マスタ'!$B$6:$B$1005,0))),IFERROR(INDEX('①在庫を貼る'!$H$6:$H$10005,MATCH($C153,'①在庫を貼る'!$W$6:$W$10005,0)),IFERROR(INDEX('月1回_1ヶ月前の在庫'!$H$6:$H$10005,MATCH($C153,'月1回_1ヶ月前の在庫'!$W$6:$W$10005,0)),IFERROR(INDEX('月1回_2ヶ月前の在庫'!$H$6:$H$10005,MATCH($C153,'月1回_2ヶ月前の在庫'!$W$6:$W$10005,0)),"")))))</f>
        <v/>
      </c>
      <c r="F153">
        <f>IF($C153="","",IFERROR(IF(INDEX('商品マスタ'!$E$6:$E$1005,MATCH($C153,'商品マスタ'!$B$6:$B$1005,0))="",IFERROR(INDEX('①在庫を貼る'!$E$6:$E$10005,MATCH($C153,'①在庫を貼る'!$W$6:$W$10005,0)),IFERROR(INDEX('月1回_1ヶ月前の在庫'!$E$6:$E$10005,MATCH($C153,'月1回_1ヶ月前の在庫'!$W$6:$W$10005,0)),IFERROR(INDEX('月1回_2ヶ月前の在庫'!$E$6:$E$10005,MATCH($C153,'月1回_2ヶ月前の在庫'!$W$6:$W$10005,0)),""))),INDEX('商品マスタ'!$E$6:$E$1005,MATCH($C153,'商品マスタ'!$B$6:$B$1005,0))),IFERROR(INDEX('①在庫を貼る'!$E$6:$E$10005,MATCH($C153,'①在庫を貼る'!$W$6:$W$10005,0)),IFERROR(INDEX('月1回_1ヶ月前の在庫'!$E$6:$E$10005,MATCH($C153,'月1回_1ヶ月前の在庫'!$W$6:$W$10005,0)),IFERROR(INDEX('月1回_2ヶ月前の在庫'!$E$6:$E$10005,MATCH($C153,'月1回_2ヶ月前の在庫'!$W$6:$W$10005,0)),"")))))</f>
        <v/>
      </c>
      <c r="G153">
        <f>IF($C153="","",MAX(1,N(IFERROR(IF(INDEX('商品マスタ'!$F$6:$F$1005,MATCH($C153,'商品マスタ'!$B$6:$B$1005,0))="",IF(COUNTIFS('①在庫を貼る'!$V$6:$V$10005,'設定'!$C$4,'①在庫を貼る'!$W$6:$W$10005,$C153)&gt;0,SUMIFS('①在庫を貼る'!$K$6:$K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K$6:$K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K$6:$K$10005,'月1回_2ヶ月前の在庫'!$V$6:$V$10005,'設定'!$C$4,'月1回_2ヶ月前の在庫'!$W$6:$W$10005,$C153)/COUNTIFS('月1回_2ヶ月前の在庫'!$V$6:$V$10005,'設定'!$C$4,'月1回_2ヶ月前の在庫'!$W$6:$W$10005,$C153),0))),INDEX('商品マスタ'!$F$6:$F$1005,MATCH($C153,'商品マスタ'!$B$6:$B$1005,0))),IF(COUNTIFS('①在庫を貼る'!$V$6:$V$10005,'設定'!$C$4,'①在庫を貼る'!$W$6:$W$10005,$C153)&gt;0,SUMIFS('①在庫を貼る'!$K$6:$K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K$6:$K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K$6:$K$10005,'月1回_2ヶ月前の在庫'!$V$6:$V$10005,'設定'!$C$4,'月1回_2ヶ月前の在庫'!$W$6:$W$10005,$C153)/COUNTIFS('月1回_2ヶ月前の在庫'!$V$6:$V$10005,'設定'!$C$4,'月1回_2ヶ月前の在庫'!$W$6:$W$10005,$C153),0)))))))</f>
        <v/>
      </c>
      <c r="H153">
        <f>IF($C153="","",N(IFERROR(IF(INDEX('商品マスタ'!$G$6:$G$1005,MATCH($C153,'商品マスタ'!$B$6:$B$1005,0))="",IF(COUNTIFS('①在庫を貼る'!$V$6:$V$10005,'設定'!$C$4,'①在庫を貼る'!$W$6:$W$10005,$C153)&gt;0,SUMIFS('①在庫を貼る'!$Q$6:$Q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Q$6:$Q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Q$6:$Q$10005,'月1回_2ヶ月前の在庫'!$V$6:$V$10005,'設定'!$C$4,'月1回_2ヶ月前の在庫'!$W$6:$W$10005,$C153)/COUNTIFS('月1回_2ヶ月前の在庫'!$V$6:$V$10005,'設定'!$C$4,'月1回_2ヶ月前の在庫'!$W$6:$W$10005,$C153),0))),INDEX('商品マスタ'!$G$6:$G$1005,MATCH($C153,'商品マスタ'!$B$6:$B$1005,0))),IF(COUNTIFS('①在庫を貼る'!$V$6:$V$10005,'設定'!$C$4,'①在庫を貼る'!$W$6:$W$10005,$C153)&gt;0,SUMIFS('①在庫を貼る'!$Q$6:$Q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Q$6:$Q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Q$6:$Q$10005,'月1回_2ヶ月前の在庫'!$V$6:$V$10005,'設定'!$C$4,'月1回_2ヶ月前の在庫'!$W$6:$W$10005,$C153)/COUNTIFS('月1回_2ヶ月前の在庫'!$V$6:$V$10005,'設定'!$C$4,'月1回_2ヶ月前の在庫'!$W$6:$W$10005,$C153),0))))))</f>
        <v/>
      </c>
      <c r="I153">
        <f>IF($C153="","",IF(COUNTIFS('①在庫を貼る'!$V$6:$V$10005,'設定'!$C$4,'①在庫を貼る'!$W$6:$W$10005,$C153)=0,"",SUMIFS('①在庫を貼る'!$N$6:$N$10005,'①在庫を貼る'!$V$6:$V$10005,'設定'!$C$4,'①在庫を貼る'!$W$6:$W$10005,$C153)))</f>
        <v/>
      </c>
      <c r="J153">
        <f>IF($C153="","",IF('②発注する'!$AD157="","",'②発注する'!$AD157))</f>
        <v/>
      </c>
      <c r="K153" s="90">
        <f>IF($C153="","",IF('②発注する'!$AE157="","",'②発注する'!$AE157))</f>
        <v/>
      </c>
      <c r="L153">
        <f>IF($C153="","",IF(AND(ISNUMBER($J153),ISNUMBER($K153),$K153&gt;='設定'!$C$6),$J153,N($I153)))</f>
        <v/>
      </c>
      <c r="M153">
        <f>IF($C153="","",IFERROR(IF(N(INDEX('商品マスタ'!$J$6:$J$1005,MATCH($C153,'商品マスタ'!$B$6:$B$1005,0)))&gt;0,INDEX('商品マスタ'!$J$6:$J$1005,MATCH($C153,'商品マスタ'!$B$6:$B$1005,0)),""),""))</f>
        <v/>
      </c>
      <c r="N153">
        <f>IF($C153="","",IFERROR(IF(N(INDEX('商品マスタ'!$H$6:$H$1005,MATCH($C153,'商品マスタ'!$B$6:$B$1005,0)))&gt;0,INDEX('商品マスタ'!$H$6:$H$1005,MATCH($C153,'商品マスタ'!$B$6:$B$1005,0)),""),""))</f>
        <v/>
      </c>
      <c r="O153">
        <f>IF($C153="","",IF($N153&lt;&gt;"",$N153*$G153,IF(N(IF(COUNTIFS('①在庫を貼る'!$V$6:$V$10005,'設定'!$C$4,'①在庫を貼る'!$W$6:$W$10005,$C153)&gt;0,SUMIFS('①在庫を貼る'!$O$6:$O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O$6:$O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O$6:$O$10005,'月1回_2ヶ月前の在庫'!$V$6:$V$10005,'設定'!$C$4,'月1回_2ヶ月前の在庫'!$W$6:$W$10005,$C153)/COUNTIFS('月1回_2ヶ月前の在庫'!$V$6:$V$10005,'設定'!$C$4,'月1回_2ヶ月前の在庫'!$W$6:$W$10005,$C153),0))))&gt;0,N(IF(COUNTIFS('①在庫を貼る'!$V$6:$V$10005,'設定'!$C$4,'①在庫を貼る'!$W$6:$W$10005,$C153)&gt;0,SUMIFS('①在庫を貼る'!$O$6:$O$10005,'①在庫を貼る'!$V$6:$V$10005,'設定'!$C$4,'①在庫を貼る'!$W$6:$W$10005,$C153)/COUNTIFS('①在庫を貼る'!$V$6:$V$10005,'設定'!$C$4,'①在庫を貼る'!$W$6:$W$10005,$C153),IF(COUNTIFS('月1回_1ヶ月前の在庫'!$V$6:$V$10005,'設定'!$C$4,'月1回_1ヶ月前の在庫'!$W$6:$W$10005,$C153)&gt;0,SUMIFS('月1回_1ヶ月前の在庫'!$O$6:$O$10005,'月1回_1ヶ月前の在庫'!$V$6:$V$10005,'設定'!$C$4,'月1回_1ヶ月前の在庫'!$W$6:$W$10005,$C153)/COUNTIFS('月1回_1ヶ月前の在庫'!$V$6:$V$10005,'設定'!$C$4,'月1回_1ヶ月前の在庫'!$W$6:$W$10005,$C153),IF(COUNTIFS('月1回_2ヶ月前の在庫'!$V$6:$V$10005,'設定'!$C$4,'月1回_2ヶ月前の在庫'!$W$6:$W$10005,$C153)&gt;0,SUMIFS('月1回_2ヶ月前の在庫'!$O$6:$O$10005,'月1回_2ヶ月前の在庫'!$V$6:$V$10005,'設定'!$C$4,'月1回_2ヶ月前の在庫'!$W$6:$W$10005,$C153)/COUNTIFS('月1回_2ヶ月前の在庫'!$V$6:$V$10005,'設定'!$C$4,'月1回_2ヶ月前の在庫'!$W$6:$W$10005,$C153),0)))),"")))</f>
        <v/>
      </c>
      <c r="P153" s="90">
        <f>IF($C153="","",IF('②発注する'!$I157="","",'②発注する'!$I157))</f>
        <v/>
      </c>
      <c r="Q153">
        <f>IF($C153="","",IF('②発注する'!$J157="","",'②発注する'!$J157))</f>
        <v/>
      </c>
      <c r="R153">
        <f>IF($C153="",0,IF(AND(ISNUMBER($P153),ISNUMBER($Q153)),MAX(0,$Q153)*$G153,0))</f>
        <v/>
      </c>
      <c r="S153" s="90">
        <f>IF($C153="","",IF('②発注する'!$M157="","",'②発注する'!$M157))</f>
        <v/>
      </c>
      <c r="T153">
        <f>IF($C153="","",IF('②発注する'!$N157="","",'②発注する'!$N157))</f>
        <v/>
      </c>
      <c r="U153">
        <f>IF($C153="",0,IF(AND(ISNUMBER($S153),ISNUMBER($T153)),MAX(0,$T153)*$G153,0))</f>
        <v/>
      </c>
      <c r="V153">
        <f>IF($C153="",0,IF($M153="",0,MAX(0,$M153)*MAX(0,V$4)/100))</f>
        <v/>
      </c>
      <c r="W153">
        <f>IF($C153="",0,IF($M153="",0,MAX(0,$M153)*MAX(0,W$4)/100))</f>
        <v/>
      </c>
      <c r="X153">
        <f>IF($C153="",0,IF($M153="",0,MAX(0,$M153)*MAX(0,X$4)/100))</f>
        <v/>
      </c>
      <c r="Y153">
        <f>IF($C153="",0,IF($M153="",0,MAX(0,$M153)*MAX(0,Y$4)/100))</f>
        <v/>
      </c>
      <c r="Z153">
        <f>IF($C153="",0,IF($M153="",0,MAX(0,$M153)*MAX(0,Z$4)/100))</f>
        <v/>
      </c>
      <c r="AA153">
        <f>IF($C153="",0,IF($M153="",0,MAX(0,$M153)*MAX(0,AA$4)/100))</f>
        <v/>
      </c>
      <c r="AB153">
        <f>IF($C153="",0,IF($M153="",0,MAX(0,$M153)*MAX(0,AB$4)/100))</f>
        <v/>
      </c>
      <c r="AC153">
        <f>IF($C153="",0,IF($M153="",0,MAX(0,$M153)*MAX(0,AC$4)/100))</f>
        <v/>
      </c>
      <c r="AD153">
        <f>IF($C153="",0,IF($M153="",0,MAX(0,$M153)*MAX(0,AD$4)/100))</f>
        <v/>
      </c>
      <c r="AE153">
        <f>IF($C153="",0,IF($M153="",0,MAX(0,$M153)*MAX(0,AE$4)/100))</f>
        <v/>
      </c>
      <c r="AF153">
        <f>IF($C153="",0,IF($M153="",0,MAX(0,$M153)*MAX(0,AF$4)/100))</f>
        <v/>
      </c>
      <c r="AG153">
        <f>IF($C153="",0,IF($M153="",0,MAX(0,$M153)*MAX(0,AG$4)/100))</f>
        <v/>
      </c>
      <c r="AH153">
        <f>IF($C153="",0,IF($M153="",0,MAX(0,$M153)*MAX(0,AH$4)/100))</f>
        <v/>
      </c>
      <c r="AI153">
        <f>IF($C153="",0,IF($M153="",0,MAX(0,$M153)*MAX(0,AI$4)/100))</f>
        <v/>
      </c>
      <c r="AJ153">
        <f>IF($C153="",0,MAX(0,MAX(0,N($L153))-$V153))</f>
        <v/>
      </c>
      <c r="AK153">
        <f>IF($C153="",0,MAX(0,$AJ153-$W153))</f>
        <v/>
      </c>
      <c r="AL153">
        <f>IF($C153="",0,MAX(0,$AK153-$X153))</f>
        <v/>
      </c>
      <c r="AM153">
        <f>IF($C153="",0,MAX(0,$AL153-$Y153))</f>
        <v/>
      </c>
      <c r="AN153">
        <f>IF($C153="",0,MAX(0,$AM153-$Z153))</f>
        <v/>
      </c>
      <c r="AO153">
        <f>IF($C153="",0,MAX(0,$AN153-$AA153))</f>
        <v/>
      </c>
      <c r="AP153">
        <f>IF($C153="",0,MAX(0,$AO153-$AB153))</f>
        <v/>
      </c>
      <c r="AQ153">
        <f>IF($C153="",0,MAX(0,$AP153-$AC153))</f>
        <v/>
      </c>
      <c r="AR153">
        <f>IF($C153="",0,MAX(0,$AQ153-$AD153))</f>
        <v/>
      </c>
      <c r="AS153">
        <f>IF($C153="",0,MAX(0,$AR153-$AE153))</f>
        <v/>
      </c>
      <c r="AT153">
        <f>IF($C153="",0,MAX(0,$AS153-$AF153))</f>
        <v/>
      </c>
      <c r="AU153">
        <f>IF($C153="",0,MAX(0,$AT153-$AG153))</f>
        <v/>
      </c>
      <c r="AV153">
        <f>IF($C153="",0,MAX(0,$AU153-$AH153))</f>
        <v/>
      </c>
      <c r="AW153">
        <f>IF($C153="",0,MAX(0,$AV153-$AI153))</f>
        <v/>
      </c>
      <c r="AX153">
        <f>IF($C153="",0,MAX(0,MAX(0,N($L153))+IF($P153=V$3,$R153,0)+IF($S153=V$3,$U153,0)-$V153))</f>
        <v/>
      </c>
      <c r="AY153">
        <f>IF($C153="",0,MAX(0,$AX153+IF($P153=W$3,$R153,0)+IF($S153=W$3,$U153,0)-$W153))</f>
        <v/>
      </c>
      <c r="AZ153">
        <f>IF($C153="",0,MAX(0,$AY153+IF($P153=X$3,$R153,0)+IF($S153=X$3,$U153,0)-$X153))</f>
        <v/>
      </c>
      <c r="BA153">
        <f>IF($C153="",0,MAX(0,$AZ153+IF($P153=Y$3,$R153,0)+IF($S153=Y$3,$U153,0)-$Y153))</f>
        <v/>
      </c>
      <c r="BB153">
        <f>IF($C153="",0,MAX(0,$BA153+IF($P153=Z$3,$R153,0)+IF($S153=Z$3,$U153,0)-$Z153))</f>
        <v/>
      </c>
      <c r="BC153">
        <f>IF($C153="",0,MAX(0,$BB153+IF($P153=AA$3,$R153,0)+IF($S153=AA$3,$U153,0)-$AA153))</f>
        <v/>
      </c>
      <c r="BD153">
        <f>IF($C153="",0,MAX(0,$BC153+IF($P153=AB$3,$R153,0)+IF($S153=AB$3,$U153,0)-$AB153))</f>
        <v/>
      </c>
      <c r="BE153">
        <f>IF($C153="",0,MAX(0,$BD153+IF($P153=AC$3,$R153,0)+IF($S153=AC$3,$U153,0)-$AC153))</f>
        <v/>
      </c>
      <c r="BF153">
        <f>IF($C153="",0,MAX(0,$BE153+IF($P153=AD$3,$R153,0)+IF($S153=AD$3,$U153,0)-$AD153))</f>
        <v/>
      </c>
      <c r="BG153">
        <f>IF($C153="",0,MAX(0,$BF153+IF($P153=AE$3,$R153,0)+IF($S153=AE$3,$U153,0)-$AE153))</f>
        <v/>
      </c>
      <c r="BH153">
        <f>IF($C153="",0,MAX(0,$BG153+IF($P153=AF$3,$R153,0)+IF($S153=AF$3,$U153,0)-$AF153))</f>
        <v/>
      </c>
      <c r="BI153">
        <f>IF($C153="",0,MAX(0,$BH153+IF($P153=AG$3,$R153,0)+IF($S153=AG$3,$U153,0)-$AG153))</f>
        <v/>
      </c>
      <c r="BJ153">
        <f>IF($C153="",0,MAX(0,$BI153+IF($P153=AH$3,$R153,0)+IF($S153=AH$3,$U153,0)-$AH153))</f>
        <v/>
      </c>
      <c r="BK153">
        <f>IF($C153="",0,MAX(0,$BJ153+IF($P153=AI$3,$R153,0)+IF($S153=AI$3,$U153,0)-$AI153))</f>
        <v/>
      </c>
      <c r="BL153">
        <f>IF($C153="",99,IF(AND($AX153&lt;1,V$3&gt;=MAX(N($P153),N($S153))),0,99))</f>
        <v/>
      </c>
      <c r="BM153">
        <f>IF($C153="",99,IF(AND($AY153&lt;1,W$3&gt;=MAX(N($P153),N($S153))),1,99))</f>
        <v/>
      </c>
      <c r="BN153">
        <f>IF($C153="",99,IF(AND($AZ153&lt;1,X$3&gt;=MAX(N($P153),N($S153))),2,99))</f>
        <v/>
      </c>
      <c r="BO153">
        <f>IF($C153="",99,IF(AND($BA153&lt;1,Y$3&gt;=MAX(N($P153),N($S153))),3,99))</f>
        <v/>
      </c>
      <c r="BP153">
        <f>IF($C153="",99,IF(AND($BB153&lt;1,Z$3&gt;=MAX(N($P153),N($S153))),4,99))</f>
        <v/>
      </c>
      <c r="BQ153">
        <f>IF($C153="",99,IF(AND($BC153&lt;1,AA$3&gt;=MAX(N($P153),N($S153))),5,99))</f>
        <v/>
      </c>
      <c r="BR153">
        <f>IF($C153="",99,IF(AND($BD153&lt;1,AB$3&gt;=MAX(N($P153),N($S153))),6,99))</f>
        <v/>
      </c>
      <c r="BS153">
        <f>IF($C153="",99,IF(AND($BE153&lt;1,AC$3&gt;=MAX(N($P153),N($S153))),7,99))</f>
        <v/>
      </c>
      <c r="BT153">
        <f>IF($C153="",99,IF(AND($BF153&lt;1,AD$3&gt;=MAX(N($P153),N($S153))),8,99))</f>
        <v/>
      </c>
      <c r="BU153">
        <f>IF($C153="",99,IF(AND($BG153&lt;1,AE$3&gt;=MAX(N($P153),N($S153))),9,99))</f>
        <v/>
      </c>
      <c r="BV153">
        <f>IF($C153="",99,IF(AND($BH153&lt;1,AF$3&gt;=MAX(N($P153),N($S153))),10,99))</f>
        <v/>
      </c>
      <c r="BW153">
        <f>IF($C153="",99,IF(AND($BI153&lt;1,AG$3&gt;=MAX(N($P153),N($S153))),11,99))</f>
        <v/>
      </c>
      <c r="BX153">
        <f>IF($C153="",99,IF(AND($BJ153&lt;1,AH$3&gt;=MAX(N($P153),N($S153))),12,99))</f>
        <v/>
      </c>
      <c r="BY153">
        <f>IF($C153="",99,IF(AND($BK153&lt;1,AI$3&gt;=MAX(N($P153),N($S153))),13,99))</f>
        <v/>
      </c>
      <c r="BZ153">
        <f>IF(OR($C153="",$M153=""),"",COUNTIF($AJ153:$AW153,"&gt;=1"))</f>
        <v/>
      </c>
      <c r="CA153" s="90">
        <f>IF($BZ153="","",IF($BZ153&gt;=14,"",'設定'!$C$6+$BZ153))</f>
        <v/>
      </c>
      <c r="CB153">
        <f>IF(OR($C153="",$M153=""),"",MIN($BL153:$BY153))</f>
        <v/>
      </c>
      <c r="CC153" s="90">
        <f>IF($CB153="","",IF($CB153&gt;=99,"",'設定'!$C$6+$CB153))</f>
        <v/>
      </c>
      <c r="CD153">
        <f>IF(OR($C153="",$M153=""),"",AVERAGE($V153:$AI153))</f>
        <v/>
      </c>
      <c r="CE153">
        <f>IF($C153="","",IFERROR(IF(MATCH(IF(ISNUMBER($P153),$P153,'設定'!$C$6+N('設定'!$C$7)),$V$3:$AI$3,0)=1,MAX(0,N($L153)),INDEX($AJ153:$AW153,MATCH(IF(ISNUMBER($P153),$P153,'設定'!$C$6+N('設定'!$C$7)),$V$3:$AI$3,0)-1)),""))</f>
        <v/>
      </c>
      <c r="CF153">
        <f>IF(OR($C153="",$O153="",$CE153=""),"",IF($O153-$CE153&lt;=0,0,ROUNDUP(($O153-$CE153)/$G153,0)))</f>
        <v/>
      </c>
      <c r="CG153">
        <f>IF(OR($C153="",$CF153="",NOT(ISNUMBER($Q153))),0,MAX(0,$Q153-$CF153))</f>
        <v/>
      </c>
      <c r="CH153">
        <f>IF(OR($C153="",$O153="",$U153=0),0,IFERROR(ROUNDUP(MAX(0,IF(MATCH($S153,$V$3:$AI$3,0)=1,MAX(0,N($L153)),INDEX($AX153:$BK153,MATCH($S153,$V$3:$AI$3,0)-1))+$U153-$O153)/$G153,0),0))</f>
        <v/>
      </c>
      <c r="CI153">
        <f>IF($C153="","",IF(AND($P153="",$Q153=""),"",IF($P153="","⚠ 入庫日を ▼ から選んでください",IF(NOT(ISNUMBER($P153)),"⚠ 入庫日は ▼ から選んでください",IF($P153&lt;N('設定'!$C$6),"⚠ 入庫日が過去です（もう在庫に入っています）→ 消してください",IF($P153&gt;N('設定'!$C$6)+13,"⚠ 入庫日が14日より先です",IF(N($Q153)&lt;=0,"⚠ 入庫数を入れてください",IF($CG153&gt;0,"⚠ 目安より "&amp;$CG153&amp;" 多い（定数を超える）→ 減らす",""))))))))</f>
        <v/>
      </c>
      <c r="CJ153">
        <f>IF($C153="","",IF(AND($S153="",$T153=""),"",IF($S153="","⚠ 2便目：入庫日を ▼ から選んでください",IF(NOT(ISNUMBER($S153)),"⚠ 2便目：入庫日は ▼ から選んでください",IF($S153&lt;N('設定'!$C$6),"⚠ 2便目：入庫日が過去です（もう在庫に入っています）→ 消してください",IF($S153&gt;N('設定'!$C$6)+13,"⚠ 2便目：入庫日が14日より先です",IF(N($T153)&lt;=0,"⚠ 2便目：入庫数を入れてください",IF($CH153&gt;0,"⚠ 2便目：定数を "&amp;$CH153&amp;" ケース超える → 減らす",""))))))))</f>
        <v/>
      </c>
      <c r="CK153">
        <f>IF(AND($CI153="",N($Q153)&gt;0,ISNUMBER($P153)),1,0)</f>
        <v/>
      </c>
      <c r="CL153">
        <f>IF(AND($CJ153="",N($T153)&gt;0,ISNUMBER($S153)),1,0)</f>
        <v/>
      </c>
      <c r="CM153">
        <f>IF(OR($CK153=1,$CL153=1),1,0)</f>
        <v/>
      </c>
      <c r="CN153">
        <f>IF($C153="",0,($CK153*$R153+$CL153*$U153)*N($H153))</f>
        <v/>
      </c>
      <c r="CO153">
        <f>IF($C153="","",IF($CC153="","入庫後は 14日以上もつ",IF($CC153-N('設定'!$C$7)&lt;='設定'!$C$6,"入庫後も "&amp;TEXT($CC153,"m/d")&amp;"("&amp;CHOOSE(WEEKDAY($CC153),"日","月","火","水","木","金","土")&amp;")"&amp;" に切れる　もう1便を至急発注","入庫後も "&amp;TEXT($CC153,"m/d")&amp;"("&amp;CHOOSE(WEEKDAY($CC153),"日","月","火","水","木","金","土")&amp;")"&amp;" に切れる　"&amp;TEXT($CC153-N('設定'!$C$7),"m/d")&amp;"("&amp;CHOOSE(WEEKDAY($CC153-N('設定'!$C$7)),"日","月","火","水","木","金","土")&amp;")"&amp;" までに次を発注")))</f>
        <v/>
      </c>
      <c r="CP153">
        <f>IF($C153="","",IF('設定'!$C$6="","？ ①在庫を貼る に今日のCSVが貼られていない",IF($CS153=1,"－ 今日のCSVに無い（終売？）",IF($L153&lt;0,"● 在庫がマイナス　数えて「数えた在庫」に入れる",IF($L153=0,"● 在庫なし　至急発注",IF($M153="","？ 減り数が未設定（商品マスタ）",IF($B$3=0,"？ 動員が未入力（動員を入れる）",IF($CA153="","○ 14日以上もつ",IF($BZ153&lt;N('設定'!$C$7),"● "&amp;TEXT($CA153,"m/d")&amp;"("&amp;CHOOSE(WEEKDAY($CA153),"日","月","火","水","木","金","土")&amp;")"&amp;" に切れる　至急発注",IF($BZ153=N('設定'!$C$7),"● "&amp;TEXT($CA153,"m/d")&amp;"("&amp;CHOOSE(WEEKDAY($CA153),"日","月","火","水","木","金","土")&amp;")"&amp;" に切れる　今日発注","△ "&amp;TEXT($CA153,"m/d")&amp;"("&amp;CHOOSE(WEEKDAY($CA153),"日","月","火","水","木","金","土")&amp;")"&amp;" に切れる　"&amp;TEXT($CA153-N('設定'!$C$7),"m/d")&amp;"("&amp;CHOOSE(WEEKDAY($CA153-N('設定'!$C$7)),"日","月","火","水","木","金","土")&amp;")"&amp;" までに発注"))))))))))</f>
        <v/>
      </c>
      <c r="CQ153">
        <f>IF($C153="","",IF(AND($P153="",$Q153="",$S153="",$T153=""),"",IF(AND($P153="",$Q153=""),"⚠ 先に1便目（左の入庫日・入庫数）に入れてください",IF($CI153&lt;&gt;"",$CI153,IF($CJ153&lt;&gt;"",$CJ153,IF($M153="","？ 減り数が未設定（発注書には載ります）",IF($B$3=0,"？ 動員が未入力（発注書には載ります）",IF(AND($CA153&lt;&gt;"",$P153&gt;$CA153),IF($P153&gt;'設定'!$C$6+N('設定'!$C$7),"● "&amp;TEXT($P153,"m/d")&amp;"("&amp;CHOOSE(WEEKDAY($P153),"日","月","火","水","木","金","土")&amp;")"&amp;" の入庫では間に合わない（"&amp;TEXT($CA153,"m/d")&amp;"("&amp;CHOOSE(WEEKDAY($CA153),"日","月","火","水","木","金","土")&amp;")"&amp;" に切れる）　入庫日を早める","△ 欠品 "&amp;TEXT($CA153,"m/d")&amp;"("&amp;CHOOSE(WEEKDAY($CA153),"日","月","火","水","木","金","土")&amp;")"&amp;"〜"&amp;TEXT($P153-1,"m/d")&amp;"("&amp;CHOOSE(WEEKDAY($P153-1),"日","月","火","水","木","金","土")&amp;")"&amp;"　"&amp;$CO153),IF($CC153="","○ "&amp;TEXT($P153,"m/d")&amp;"("&amp;CHOOSE(WEEKDAY($P153),"日","月","火","水","木","金","土")&amp;")"&amp;" 入庫で 14日以上もつ",IF($CC153-N('設定'!$C$7)&lt;='設定'!$C$6,"● 入庫しても "&amp;TEXT($CC153,"m/d")&amp;"("&amp;CHOOSE(WEEKDAY($CC153),"日","月","火","水","木","金","土")&amp;")"&amp;" に切れる　もう1便を至急発注（2便目に入れる）","△ 入庫しても "&amp;TEXT($CC153,"m/d")&amp;"("&amp;CHOOSE(WEEKDAY($CC153),"日","月","火","水","木","金","土")&amp;")"&amp;" に切れる　"&amp;TEXT($CC153-N('設定'!$C$7),"m/d")&amp;"("&amp;CHOOSE(WEEKDAY($CC153-N('設定'!$C$7)),"日","月","火","水","木","金","土")&amp;")"&amp;" までに次を発注（2便目に入れる）"))))))))))</f>
        <v/>
      </c>
      <c r="CR153">
        <f>IF($C153="","",IF($G153&gt;1,"ｹｰｽ("&amp;$G153&amp;"入)","個"))</f>
        <v/>
      </c>
      <c r="CS153">
        <f>IF($C153="",0,IF(COUNTIFS('①在庫を貼る'!$V$6:$V$10005,'設定'!$C$4,'①在庫を貼る'!$W$6:$W$10005,$C153)=0,1,0))</f>
        <v/>
      </c>
      <c r="CT153">
        <f>IF(AND($CK153=1,OR('③発注書'!$C$4="すべて",'③発注書'!$C$4="",$F153='③発注書'!$C$4)),N($CT152)+1,N($CT152))</f>
        <v/>
      </c>
      <c r="CU153">
        <f>IF(AND($CL153=1,OR('③発注書'!$C$4="すべて",'③発注書'!$C$4="",$F153='③発注書'!$C$4)),N($CU152)+1,N($CU152))</f>
        <v/>
      </c>
      <c r="CV153">
        <f>IF($C153="",0,IF(COUNTIFS('①在庫を貼る'!$V$6:$V$10005,'設定'!$C$4,'①在庫を貼る'!$W$6:$W$10005,$C153)&gt;0,1,0))</f>
        <v/>
      </c>
      <c r="CW153">
        <f>IF($C153="",0,IF(COUNTIFS('月1回_1ヶ月前の在庫'!$V$6:$V$10005,'設定'!$C$4,'月1回_1ヶ月前の在庫'!$W$6:$W$10005,$C153)&gt;0,1,0))</f>
        <v/>
      </c>
      <c r="CX153">
        <f>IF($C153="",0,IF(COUNTIFS('月1回_2ヶ月前の在庫'!$V$6:$V$10005,'設定'!$C$4,'月1回_2ヶ月前の在庫'!$W$6:$W$10005,$C153)&gt;0,1,0))</f>
        <v/>
      </c>
      <c r="CY153">
        <f>IF(OR($C153="",'設定'!$C$12=""),"",IF('設定'!$C$13="",IF(AND($CV153=1,$CW153=0),"新商品（今月から）",IF(AND($CV153=0,$CW153=1),"終売（今月から）","")),IF(AND($CV153=1,$CW153=0,$CX153=0),"新商品（今月から）",IF(AND($CV153=1,$CW153=1,$CX153=0),"新商品（先月から）",IF(AND($CV153=0,$CW153=1,$CX153=1),"終売（今月から）",IF(AND($CV153=0,$CW153=0,$CX153=1),"終売（先月から）",IF(AND($CV153=1,$CW153=0,$CX153=1),"復活（先月は無し）","")))))))</f>
        <v/>
      </c>
    </row>
    <row r="154">
      <c r="B154">
        <f>IF(149&lt;='設定'!$C$11,149,"")</f>
        <v/>
      </c>
      <c r="C154">
        <f>IF($B154="","",IF($B154&lt;='設定'!$C$20,INDEX('商品マスタ'!$B$6:$B$1005,MATCH($B154,'商品マスタ'!$M$6:$M$1005,0)),IF($B154&lt;='設定'!$C$20+'設定'!$C$17,INDEX('①在庫を貼る'!$W$6:$W$10005,MATCH($B154-'設定'!$C$20,'①在庫を貼る'!$U$6:$U$10005,0)),IF($B154&lt;='設定'!$C$20+'設定'!$C$17+'設定'!$C$18,INDEX('月1回_1ヶ月前の在庫'!$W$6:$W$10005,MATCH($B154-'設定'!$C$20-'設定'!$C$17,'月1回_1ヶ月前の在庫'!$U$6:$U$10005,0)),INDEX('月1回_2ヶ月前の在庫'!$W$6:$W$10005,MATCH($B154-'設定'!$C$20-'設定'!$C$17-'設定'!$C$18,'月1回_2ヶ月前の在庫'!$U$6:$U$10005,0))))))</f>
        <v/>
      </c>
      <c r="D154">
        <f>IF($C154="","",IFERROR(IF(INDEX('商品マスタ'!$C$6:$C$1005,MATCH($C154,'商品マスタ'!$B$6:$B$1005,0))="",IFERROR(INDEX('①在庫を貼る'!$J$6:$J$10005,MATCH($C154,'①在庫を貼る'!$W$6:$W$10005,0)),IFERROR(INDEX('月1回_1ヶ月前の在庫'!$J$6:$J$10005,MATCH($C154,'月1回_1ヶ月前の在庫'!$W$6:$W$10005,0)),IFERROR(INDEX('月1回_2ヶ月前の在庫'!$J$6:$J$10005,MATCH($C154,'月1回_2ヶ月前の在庫'!$W$6:$W$10005,0)),""))),INDEX('商品マスタ'!$C$6:$C$1005,MATCH($C154,'商品マスタ'!$B$6:$B$1005,0))),IFERROR(INDEX('①在庫を貼る'!$J$6:$J$10005,MATCH($C154,'①在庫を貼る'!$W$6:$W$10005,0)),IFERROR(INDEX('月1回_1ヶ月前の在庫'!$J$6:$J$10005,MATCH($C154,'月1回_1ヶ月前の在庫'!$W$6:$W$10005,0)),IFERROR(INDEX('月1回_2ヶ月前の在庫'!$J$6:$J$10005,MATCH($C154,'月1回_2ヶ月前の在庫'!$W$6:$W$10005,0)),"")))))</f>
        <v/>
      </c>
      <c r="E154">
        <f>IF($C154="","",IFERROR(IF(INDEX('商品マスタ'!$D$6:$D$1005,MATCH($C154,'商品マスタ'!$B$6:$B$1005,0))="",IFERROR(INDEX('①在庫を貼る'!$H$6:$H$10005,MATCH($C154,'①在庫を貼る'!$W$6:$W$10005,0)),IFERROR(INDEX('月1回_1ヶ月前の在庫'!$H$6:$H$10005,MATCH($C154,'月1回_1ヶ月前の在庫'!$W$6:$W$10005,0)),IFERROR(INDEX('月1回_2ヶ月前の在庫'!$H$6:$H$10005,MATCH($C154,'月1回_2ヶ月前の在庫'!$W$6:$W$10005,0)),""))),INDEX('商品マスタ'!$D$6:$D$1005,MATCH($C154,'商品マスタ'!$B$6:$B$1005,0))),IFERROR(INDEX('①在庫を貼る'!$H$6:$H$10005,MATCH($C154,'①在庫を貼る'!$W$6:$W$10005,0)),IFERROR(INDEX('月1回_1ヶ月前の在庫'!$H$6:$H$10005,MATCH($C154,'月1回_1ヶ月前の在庫'!$W$6:$W$10005,0)),IFERROR(INDEX('月1回_2ヶ月前の在庫'!$H$6:$H$10005,MATCH($C154,'月1回_2ヶ月前の在庫'!$W$6:$W$10005,0)),"")))))</f>
        <v/>
      </c>
      <c r="F154">
        <f>IF($C154="","",IFERROR(IF(INDEX('商品マスタ'!$E$6:$E$1005,MATCH($C154,'商品マスタ'!$B$6:$B$1005,0))="",IFERROR(INDEX('①在庫を貼る'!$E$6:$E$10005,MATCH($C154,'①在庫を貼る'!$W$6:$W$10005,0)),IFERROR(INDEX('月1回_1ヶ月前の在庫'!$E$6:$E$10005,MATCH($C154,'月1回_1ヶ月前の在庫'!$W$6:$W$10005,0)),IFERROR(INDEX('月1回_2ヶ月前の在庫'!$E$6:$E$10005,MATCH($C154,'月1回_2ヶ月前の在庫'!$W$6:$W$10005,0)),""))),INDEX('商品マスタ'!$E$6:$E$1005,MATCH($C154,'商品マスタ'!$B$6:$B$1005,0))),IFERROR(INDEX('①在庫を貼る'!$E$6:$E$10005,MATCH($C154,'①在庫を貼る'!$W$6:$W$10005,0)),IFERROR(INDEX('月1回_1ヶ月前の在庫'!$E$6:$E$10005,MATCH($C154,'月1回_1ヶ月前の在庫'!$W$6:$W$10005,0)),IFERROR(INDEX('月1回_2ヶ月前の在庫'!$E$6:$E$10005,MATCH($C154,'月1回_2ヶ月前の在庫'!$W$6:$W$10005,0)),"")))))</f>
        <v/>
      </c>
      <c r="G154">
        <f>IF($C154="","",MAX(1,N(IFERROR(IF(INDEX('商品マスタ'!$F$6:$F$1005,MATCH($C154,'商品マスタ'!$B$6:$B$1005,0))="",IF(COUNTIFS('①在庫を貼る'!$V$6:$V$10005,'設定'!$C$4,'①在庫を貼る'!$W$6:$W$10005,$C154)&gt;0,SUMIFS('①在庫を貼る'!$K$6:$K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K$6:$K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K$6:$K$10005,'月1回_2ヶ月前の在庫'!$V$6:$V$10005,'設定'!$C$4,'月1回_2ヶ月前の在庫'!$W$6:$W$10005,$C154)/COUNTIFS('月1回_2ヶ月前の在庫'!$V$6:$V$10005,'設定'!$C$4,'月1回_2ヶ月前の在庫'!$W$6:$W$10005,$C154),0))),INDEX('商品マスタ'!$F$6:$F$1005,MATCH($C154,'商品マスタ'!$B$6:$B$1005,0))),IF(COUNTIFS('①在庫を貼る'!$V$6:$V$10005,'設定'!$C$4,'①在庫を貼る'!$W$6:$W$10005,$C154)&gt;0,SUMIFS('①在庫を貼る'!$K$6:$K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K$6:$K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K$6:$K$10005,'月1回_2ヶ月前の在庫'!$V$6:$V$10005,'設定'!$C$4,'月1回_2ヶ月前の在庫'!$W$6:$W$10005,$C154)/COUNTIFS('月1回_2ヶ月前の在庫'!$V$6:$V$10005,'設定'!$C$4,'月1回_2ヶ月前の在庫'!$W$6:$W$10005,$C154),0)))))))</f>
        <v/>
      </c>
      <c r="H154">
        <f>IF($C154="","",N(IFERROR(IF(INDEX('商品マスタ'!$G$6:$G$1005,MATCH($C154,'商品マスタ'!$B$6:$B$1005,0))="",IF(COUNTIFS('①在庫を貼る'!$V$6:$V$10005,'設定'!$C$4,'①在庫を貼る'!$W$6:$W$10005,$C154)&gt;0,SUMIFS('①在庫を貼る'!$Q$6:$Q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Q$6:$Q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Q$6:$Q$10005,'月1回_2ヶ月前の在庫'!$V$6:$V$10005,'設定'!$C$4,'月1回_2ヶ月前の在庫'!$W$6:$W$10005,$C154)/COUNTIFS('月1回_2ヶ月前の在庫'!$V$6:$V$10005,'設定'!$C$4,'月1回_2ヶ月前の在庫'!$W$6:$W$10005,$C154),0))),INDEX('商品マスタ'!$G$6:$G$1005,MATCH($C154,'商品マスタ'!$B$6:$B$1005,0))),IF(COUNTIFS('①在庫を貼る'!$V$6:$V$10005,'設定'!$C$4,'①在庫を貼る'!$W$6:$W$10005,$C154)&gt;0,SUMIFS('①在庫を貼る'!$Q$6:$Q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Q$6:$Q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Q$6:$Q$10005,'月1回_2ヶ月前の在庫'!$V$6:$V$10005,'設定'!$C$4,'月1回_2ヶ月前の在庫'!$W$6:$W$10005,$C154)/COUNTIFS('月1回_2ヶ月前の在庫'!$V$6:$V$10005,'設定'!$C$4,'月1回_2ヶ月前の在庫'!$W$6:$W$10005,$C154),0))))))</f>
        <v/>
      </c>
      <c r="I154">
        <f>IF($C154="","",IF(COUNTIFS('①在庫を貼る'!$V$6:$V$10005,'設定'!$C$4,'①在庫を貼る'!$W$6:$W$10005,$C154)=0,"",SUMIFS('①在庫を貼る'!$N$6:$N$10005,'①在庫を貼る'!$V$6:$V$10005,'設定'!$C$4,'①在庫を貼る'!$W$6:$W$10005,$C154)))</f>
        <v/>
      </c>
      <c r="J154">
        <f>IF($C154="","",IF('②発注する'!$AD158="","",'②発注する'!$AD158))</f>
        <v/>
      </c>
      <c r="K154" s="90">
        <f>IF($C154="","",IF('②発注する'!$AE158="","",'②発注する'!$AE158))</f>
        <v/>
      </c>
      <c r="L154">
        <f>IF($C154="","",IF(AND(ISNUMBER($J154),ISNUMBER($K154),$K154&gt;='設定'!$C$6),$J154,N($I154)))</f>
        <v/>
      </c>
      <c r="M154">
        <f>IF($C154="","",IFERROR(IF(N(INDEX('商品マスタ'!$J$6:$J$1005,MATCH($C154,'商品マスタ'!$B$6:$B$1005,0)))&gt;0,INDEX('商品マスタ'!$J$6:$J$1005,MATCH($C154,'商品マスタ'!$B$6:$B$1005,0)),""),""))</f>
        <v/>
      </c>
      <c r="N154">
        <f>IF($C154="","",IFERROR(IF(N(INDEX('商品マスタ'!$H$6:$H$1005,MATCH($C154,'商品マスタ'!$B$6:$B$1005,0)))&gt;0,INDEX('商品マスタ'!$H$6:$H$1005,MATCH($C154,'商品マスタ'!$B$6:$B$1005,0)),""),""))</f>
        <v/>
      </c>
      <c r="O154">
        <f>IF($C154="","",IF($N154&lt;&gt;"",$N154*$G154,IF(N(IF(COUNTIFS('①在庫を貼る'!$V$6:$V$10005,'設定'!$C$4,'①在庫を貼る'!$W$6:$W$10005,$C154)&gt;0,SUMIFS('①在庫を貼る'!$O$6:$O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O$6:$O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O$6:$O$10005,'月1回_2ヶ月前の在庫'!$V$6:$V$10005,'設定'!$C$4,'月1回_2ヶ月前の在庫'!$W$6:$W$10005,$C154)/COUNTIFS('月1回_2ヶ月前の在庫'!$V$6:$V$10005,'設定'!$C$4,'月1回_2ヶ月前の在庫'!$W$6:$W$10005,$C154),0))))&gt;0,N(IF(COUNTIFS('①在庫を貼る'!$V$6:$V$10005,'設定'!$C$4,'①在庫を貼る'!$W$6:$W$10005,$C154)&gt;0,SUMIFS('①在庫を貼る'!$O$6:$O$10005,'①在庫を貼る'!$V$6:$V$10005,'設定'!$C$4,'①在庫を貼る'!$W$6:$W$10005,$C154)/COUNTIFS('①在庫を貼る'!$V$6:$V$10005,'設定'!$C$4,'①在庫を貼る'!$W$6:$W$10005,$C154),IF(COUNTIFS('月1回_1ヶ月前の在庫'!$V$6:$V$10005,'設定'!$C$4,'月1回_1ヶ月前の在庫'!$W$6:$W$10005,$C154)&gt;0,SUMIFS('月1回_1ヶ月前の在庫'!$O$6:$O$10005,'月1回_1ヶ月前の在庫'!$V$6:$V$10005,'設定'!$C$4,'月1回_1ヶ月前の在庫'!$W$6:$W$10005,$C154)/COUNTIFS('月1回_1ヶ月前の在庫'!$V$6:$V$10005,'設定'!$C$4,'月1回_1ヶ月前の在庫'!$W$6:$W$10005,$C154),IF(COUNTIFS('月1回_2ヶ月前の在庫'!$V$6:$V$10005,'設定'!$C$4,'月1回_2ヶ月前の在庫'!$W$6:$W$10005,$C154)&gt;0,SUMIFS('月1回_2ヶ月前の在庫'!$O$6:$O$10005,'月1回_2ヶ月前の在庫'!$V$6:$V$10005,'設定'!$C$4,'月1回_2ヶ月前の在庫'!$W$6:$W$10005,$C154)/COUNTIFS('月1回_2ヶ月前の在庫'!$V$6:$V$10005,'設定'!$C$4,'月1回_2ヶ月前の在庫'!$W$6:$W$10005,$C154),0)))),"")))</f>
        <v/>
      </c>
      <c r="P154" s="90">
        <f>IF($C154="","",IF('②発注する'!$I158="","",'②発注する'!$I158))</f>
        <v/>
      </c>
      <c r="Q154">
        <f>IF($C154="","",IF('②発注する'!$J158="","",'②発注する'!$J158))</f>
        <v/>
      </c>
      <c r="R154">
        <f>IF($C154="",0,IF(AND(ISNUMBER($P154),ISNUMBER($Q154)),MAX(0,$Q154)*$G154,0))</f>
        <v/>
      </c>
      <c r="S154" s="90">
        <f>IF($C154="","",IF('②発注する'!$M158="","",'②発注する'!$M158))</f>
        <v/>
      </c>
      <c r="T154">
        <f>IF($C154="","",IF('②発注する'!$N158="","",'②発注する'!$N158))</f>
        <v/>
      </c>
      <c r="U154">
        <f>IF($C154="",0,IF(AND(ISNUMBER($S154),ISNUMBER($T154)),MAX(0,$T154)*$G154,0))</f>
        <v/>
      </c>
      <c r="V154">
        <f>IF($C154="",0,IF($M154="",0,MAX(0,$M154)*MAX(0,V$4)/100))</f>
        <v/>
      </c>
      <c r="W154">
        <f>IF($C154="",0,IF($M154="",0,MAX(0,$M154)*MAX(0,W$4)/100))</f>
        <v/>
      </c>
      <c r="X154">
        <f>IF($C154="",0,IF($M154="",0,MAX(0,$M154)*MAX(0,X$4)/100))</f>
        <v/>
      </c>
      <c r="Y154">
        <f>IF($C154="",0,IF($M154="",0,MAX(0,$M154)*MAX(0,Y$4)/100))</f>
        <v/>
      </c>
      <c r="Z154">
        <f>IF($C154="",0,IF($M154="",0,MAX(0,$M154)*MAX(0,Z$4)/100))</f>
        <v/>
      </c>
      <c r="AA154">
        <f>IF($C154="",0,IF($M154="",0,MAX(0,$M154)*MAX(0,AA$4)/100))</f>
        <v/>
      </c>
      <c r="AB154">
        <f>IF($C154="",0,IF($M154="",0,MAX(0,$M154)*MAX(0,AB$4)/100))</f>
        <v/>
      </c>
      <c r="AC154">
        <f>IF($C154="",0,IF($M154="",0,MAX(0,$M154)*MAX(0,AC$4)/100))</f>
        <v/>
      </c>
      <c r="AD154">
        <f>IF($C154="",0,IF($M154="",0,MAX(0,$M154)*MAX(0,AD$4)/100))</f>
        <v/>
      </c>
      <c r="AE154">
        <f>IF($C154="",0,IF($M154="",0,MAX(0,$M154)*MAX(0,AE$4)/100))</f>
        <v/>
      </c>
      <c r="AF154">
        <f>IF($C154="",0,IF($M154="",0,MAX(0,$M154)*MAX(0,AF$4)/100))</f>
        <v/>
      </c>
      <c r="AG154">
        <f>IF($C154="",0,IF($M154="",0,MAX(0,$M154)*MAX(0,AG$4)/100))</f>
        <v/>
      </c>
      <c r="AH154">
        <f>IF($C154="",0,IF($M154="",0,MAX(0,$M154)*MAX(0,AH$4)/100))</f>
        <v/>
      </c>
      <c r="AI154">
        <f>IF($C154="",0,IF($M154="",0,MAX(0,$M154)*MAX(0,AI$4)/100))</f>
        <v/>
      </c>
      <c r="AJ154">
        <f>IF($C154="",0,MAX(0,MAX(0,N($L154))-$V154))</f>
        <v/>
      </c>
      <c r="AK154">
        <f>IF($C154="",0,MAX(0,$AJ154-$W154))</f>
        <v/>
      </c>
      <c r="AL154">
        <f>IF($C154="",0,MAX(0,$AK154-$X154))</f>
        <v/>
      </c>
      <c r="AM154">
        <f>IF($C154="",0,MAX(0,$AL154-$Y154))</f>
        <v/>
      </c>
      <c r="AN154">
        <f>IF($C154="",0,MAX(0,$AM154-$Z154))</f>
        <v/>
      </c>
      <c r="AO154">
        <f>IF($C154="",0,MAX(0,$AN154-$AA154))</f>
        <v/>
      </c>
      <c r="AP154">
        <f>IF($C154="",0,MAX(0,$AO154-$AB154))</f>
        <v/>
      </c>
      <c r="AQ154">
        <f>IF($C154="",0,MAX(0,$AP154-$AC154))</f>
        <v/>
      </c>
      <c r="AR154">
        <f>IF($C154="",0,MAX(0,$AQ154-$AD154))</f>
        <v/>
      </c>
      <c r="AS154">
        <f>IF($C154="",0,MAX(0,$AR154-$AE154))</f>
        <v/>
      </c>
      <c r="AT154">
        <f>IF($C154="",0,MAX(0,$AS154-$AF154))</f>
        <v/>
      </c>
      <c r="AU154">
        <f>IF($C154="",0,MAX(0,$AT154-$AG154))</f>
        <v/>
      </c>
      <c r="AV154">
        <f>IF($C154="",0,MAX(0,$AU154-$AH154))</f>
        <v/>
      </c>
      <c r="AW154">
        <f>IF($C154="",0,MAX(0,$AV154-$AI154))</f>
        <v/>
      </c>
      <c r="AX154">
        <f>IF($C154="",0,MAX(0,MAX(0,N($L154))+IF($P154=V$3,$R154,0)+IF($S154=V$3,$U154,0)-$V154))</f>
        <v/>
      </c>
      <c r="AY154">
        <f>IF($C154="",0,MAX(0,$AX154+IF($P154=W$3,$R154,0)+IF($S154=W$3,$U154,0)-$W154))</f>
        <v/>
      </c>
      <c r="AZ154">
        <f>IF($C154="",0,MAX(0,$AY154+IF($P154=X$3,$R154,0)+IF($S154=X$3,$U154,0)-$X154))</f>
        <v/>
      </c>
      <c r="BA154">
        <f>IF($C154="",0,MAX(0,$AZ154+IF($P154=Y$3,$R154,0)+IF($S154=Y$3,$U154,0)-$Y154))</f>
        <v/>
      </c>
      <c r="BB154">
        <f>IF($C154="",0,MAX(0,$BA154+IF($P154=Z$3,$R154,0)+IF($S154=Z$3,$U154,0)-$Z154))</f>
        <v/>
      </c>
      <c r="BC154">
        <f>IF($C154="",0,MAX(0,$BB154+IF($P154=AA$3,$R154,0)+IF($S154=AA$3,$U154,0)-$AA154))</f>
        <v/>
      </c>
      <c r="BD154">
        <f>IF($C154="",0,MAX(0,$BC154+IF($P154=AB$3,$R154,0)+IF($S154=AB$3,$U154,0)-$AB154))</f>
        <v/>
      </c>
      <c r="BE154">
        <f>IF($C154="",0,MAX(0,$BD154+IF($P154=AC$3,$R154,0)+IF($S154=AC$3,$U154,0)-$AC154))</f>
        <v/>
      </c>
      <c r="BF154">
        <f>IF($C154="",0,MAX(0,$BE154+IF($P154=AD$3,$R154,0)+IF($S154=AD$3,$U154,0)-$AD154))</f>
        <v/>
      </c>
      <c r="BG154">
        <f>IF($C154="",0,MAX(0,$BF154+IF($P154=AE$3,$R154,0)+IF($S154=AE$3,$U154,0)-$AE154))</f>
        <v/>
      </c>
      <c r="BH154">
        <f>IF($C154="",0,MAX(0,$BG154+IF($P154=AF$3,$R154,0)+IF($S154=AF$3,$U154,0)-$AF154))</f>
        <v/>
      </c>
      <c r="BI154">
        <f>IF($C154="",0,MAX(0,$BH154+IF($P154=AG$3,$R154,0)+IF($S154=AG$3,$U154,0)-$AG154))</f>
        <v/>
      </c>
      <c r="BJ154">
        <f>IF($C154="",0,MAX(0,$BI154+IF($P154=AH$3,$R154,0)+IF($S154=AH$3,$U154,0)-$AH154))</f>
        <v/>
      </c>
      <c r="BK154">
        <f>IF($C154="",0,MAX(0,$BJ154+IF($P154=AI$3,$R154,0)+IF($S154=AI$3,$U154,0)-$AI154))</f>
        <v/>
      </c>
      <c r="BL154">
        <f>IF($C154="",99,IF(AND($AX154&lt;1,V$3&gt;=MAX(N($P154),N($S154))),0,99))</f>
        <v/>
      </c>
      <c r="BM154">
        <f>IF($C154="",99,IF(AND($AY154&lt;1,W$3&gt;=MAX(N($P154),N($S154))),1,99))</f>
        <v/>
      </c>
      <c r="BN154">
        <f>IF($C154="",99,IF(AND($AZ154&lt;1,X$3&gt;=MAX(N($P154),N($S154))),2,99))</f>
        <v/>
      </c>
      <c r="BO154">
        <f>IF($C154="",99,IF(AND($BA154&lt;1,Y$3&gt;=MAX(N($P154),N($S154))),3,99))</f>
        <v/>
      </c>
      <c r="BP154">
        <f>IF($C154="",99,IF(AND($BB154&lt;1,Z$3&gt;=MAX(N($P154),N($S154))),4,99))</f>
        <v/>
      </c>
      <c r="BQ154">
        <f>IF($C154="",99,IF(AND($BC154&lt;1,AA$3&gt;=MAX(N($P154),N($S154))),5,99))</f>
        <v/>
      </c>
      <c r="BR154">
        <f>IF($C154="",99,IF(AND($BD154&lt;1,AB$3&gt;=MAX(N($P154),N($S154))),6,99))</f>
        <v/>
      </c>
      <c r="BS154">
        <f>IF($C154="",99,IF(AND($BE154&lt;1,AC$3&gt;=MAX(N($P154),N($S154))),7,99))</f>
        <v/>
      </c>
      <c r="BT154">
        <f>IF($C154="",99,IF(AND($BF154&lt;1,AD$3&gt;=MAX(N($P154),N($S154))),8,99))</f>
        <v/>
      </c>
      <c r="BU154">
        <f>IF($C154="",99,IF(AND($BG154&lt;1,AE$3&gt;=MAX(N($P154),N($S154))),9,99))</f>
        <v/>
      </c>
      <c r="BV154">
        <f>IF($C154="",99,IF(AND($BH154&lt;1,AF$3&gt;=MAX(N($P154),N($S154))),10,99))</f>
        <v/>
      </c>
      <c r="BW154">
        <f>IF($C154="",99,IF(AND($BI154&lt;1,AG$3&gt;=MAX(N($P154),N($S154))),11,99))</f>
        <v/>
      </c>
      <c r="BX154">
        <f>IF($C154="",99,IF(AND($BJ154&lt;1,AH$3&gt;=MAX(N($P154),N($S154))),12,99))</f>
        <v/>
      </c>
      <c r="BY154">
        <f>IF($C154="",99,IF(AND($BK154&lt;1,AI$3&gt;=MAX(N($P154),N($S154))),13,99))</f>
        <v/>
      </c>
      <c r="BZ154">
        <f>IF(OR($C154="",$M154=""),"",COUNTIF($AJ154:$AW154,"&gt;=1"))</f>
        <v/>
      </c>
      <c r="CA154" s="90">
        <f>IF($BZ154="","",IF($BZ154&gt;=14,"",'設定'!$C$6+$BZ154))</f>
        <v/>
      </c>
      <c r="CB154">
        <f>IF(OR($C154="",$M154=""),"",MIN($BL154:$BY154))</f>
        <v/>
      </c>
      <c r="CC154" s="90">
        <f>IF($CB154="","",IF($CB154&gt;=99,"",'設定'!$C$6+$CB154))</f>
        <v/>
      </c>
      <c r="CD154">
        <f>IF(OR($C154="",$M154=""),"",AVERAGE($V154:$AI154))</f>
        <v/>
      </c>
      <c r="CE154">
        <f>IF($C154="","",IFERROR(IF(MATCH(IF(ISNUMBER($P154),$P154,'設定'!$C$6+N('設定'!$C$7)),$V$3:$AI$3,0)=1,MAX(0,N($L154)),INDEX($AJ154:$AW154,MATCH(IF(ISNUMBER($P154),$P154,'設定'!$C$6+N('設定'!$C$7)),$V$3:$AI$3,0)-1)),""))</f>
        <v/>
      </c>
      <c r="CF154">
        <f>IF(OR($C154="",$O154="",$CE154=""),"",IF($O154-$CE154&lt;=0,0,ROUNDUP(($O154-$CE154)/$G154,0)))</f>
        <v/>
      </c>
      <c r="CG154">
        <f>IF(OR($C154="",$CF154="",NOT(ISNUMBER($Q154))),0,MAX(0,$Q154-$CF154))</f>
        <v/>
      </c>
      <c r="CH154">
        <f>IF(OR($C154="",$O154="",$U154=0),0,IFERROR(ROUNDUP(MAX(0,IF(MATCH($S154,$V$3:$AI$3,0)=1,MAX(0,N($L154)),INDEX($AX154:$BK154,MATCH($S154,$V$3:$AI$3,0)-1))+$U154-$O154)/$G154,0),0))</f>
        <v/>
      </c>
      <c r="CI154">
        <f>IF($C154="","",IF(AND($P154="",$Q154=""),"",IF($P154="","⚠ 入庫日を ▼ から選んでください",IF(NOT(ISNUMBER($P154)),"⚠ 入庫日は ▼ から選んでください",IF($P154&lt;N('設定'!$C$6),"⚠ 入庫日が過去です（もう在庫に入っています）→ 消してください",IF($P154&gt;N('設定'!$C$6)+13,"⚠ 入庫日が14日より先です",IF(N($Q154)&lt;=0,"⚠ 入庫数を入れてください",IF($CG154&gt;0,"⚠ 目安より "&amp;$CG154&amp;" 多い（定数を超える）→ 減らす",""))))))))</f>
        <v/>
      </c>
      <c r="CJ154">
        <f>IF($C154="","",IF(AND($S154="",$T154=""),"",IF($S154="","⚠ 2便目：入庫日を ▼ から選んでください",IF(NOT(ISNUMBER($S154)),"⚠ 2便目：入庫日は ▼ から選んでください",IF($S154&lt;N('設定'!$C$6),"⚠ 2便目：入庫日が過去です（もう在庫に入っています）→ 消してください",IF($S154&gt;N('設定'!$C$6)+13,"⚠ 2便目：入庫日が14日より先です",IF(N($T154)&lt;=0,"⚠ 2便目：入庫数を入れてください",IF($CH154&gt;0,"⚠ 2便目：定数を "&amp;$CH154&amp;" ケース超える → 減らす",""))))))))</f>
        <v/>
      </c>
      <c r="CK154">
        <f>IF(AND($CI154="",N($Q154)&gt;0,ISNUMBER($P154)),1,0)</f>
        <v/>
      </c>
      <c r="CL154">
        <f>IF(AND($CJ154="",N($T154)&gt;0,ISNUMBER($S154)),1,0)</f>
        <v/>
      </c>
      <c r="CM154">
        <f>IF(OR($CK154=1,$CL154=1),1,0)</f>
        <v/>
      </c>
      <c r="CN154">
        <f>IF($C154="",0,($CK154*$R154+$CL154*$U154)*N($H154))</f>
        <v/>
      </c>
      <c r="CO154">
        <f>IF($C154="","",IF($CC154="","入庫後は 14日以上もつ",IF($CC154-N('設定'!$C$7)&lt;='設定'!$C$6,"入庫後も "&amp;TEXT($CC154,"m/d")&amp;"("&amp;CHOOSE(WEEKDAY($CC154),"日","月","火","水","木","金","土")&amp;")"&amp;" に切れる　もう1便を至急発注","入庫後も "&amp;TEXT($CC154,"m/d")&amp;"("&amp;CHOOSE(WEEKDAY($CC154),"日","月","火","水","木","金","土")&amp;")"&amp;" に切れる　"&amp;TEXT($CC154-N('設定'!$C$7),"m/d")&amp;"("&amp;CHOOSE(WEEKDAY($CC154-N('設定'!$C$7)),"日","月","火","水","木","金","土")&amp;")"&amp;" までに次を発注")))</f>
        <v/>
      </c>
      <c r="CP154">
        <f>IF($C154="","",IF('設定'!$C$6="","？ ①在庫を貼る に今日のCSVが貼られていない",IF($CS154=1,"－ 今日のCSVに無い（終売？）",IF($L154&lt;0,"● 在庫がマイナス　数えて「数えた在庫」に入れる",IF($L154=0,"● 在庫なし　至急発注",IF($M154="","？ 減り数が未設定（商品マスタ）",IF($B$3=0,"？ 動員が未入力（動員を入れる）",IF($CA154="","○ 14日以上もつ",IF($BZ154&lt;N('設定'!$C$7),"● "&amp;TEXT($CA154,"m/d")&amp;"("&amp;CHOOSE(WEEKDAY($CA154),"日","月","火","水","木","金","土")&amp;")"&amp;" に切れる　至急発注",IF($BZ154=N('設定'!$C$7),"● "&amp;TEXT($CA154,"m/d")&amp;"("&amp;CHOOSE(WEEKDAY($CA154),"日","月","火","水","木","金","土")&amp;")"&amp;" に切れる　今日発注","△ "&amp;TEXT($CA154,"m/d")&amp;"("&amp;CHOOSE(WEEKDAY($CA154),"日","月","火","水","木","金","土")&amp;")"&amp;" に切れる　"&amp;TEXT($CA154-N('設定'!$C$7),"m/d")&amp;"("&amp;CHOOSE(WEEKDAY($CA154-N('設定'!$C$7)),"日","月","火","水","木","金","土")&amp;")"&amp;" までに発注"))))))))))</f>
        <v/>
      </c>
      <c r="CQ154">
        <f>IF($C154="","",IF(AND($P154="",$Q154="",$S154="",$T154=""),"",IF(AND($P154="",$Q154=""),"⚠ 先に1便目（左の入庫日・入庫数）に入れてください",IF($CI154&lt;&gt;"",$CI154,IF($CJ154&lt;&gt;"",$CJ154,IF($M154="","？ 減り数が未設定（発注書には載ります）",IF($B$3=0,"？ 動員が未入力（発注書には載ります）",IF(AND($CA154&lt;&gt;"",$P154&gt;$CA154),IF($P154&gt;'設定'!$C$6+N('設定'!$C$7),"● "&amp;TEXT($P154,"m/d")&amp;"("&amp;CHOOSE(WEEKDAY($P154),"日","月","火","水","木","金","土")&amp;")"&amp;" の入庫では間に合わない（"&amp;TEXT($CA154,"m/d")&amp;"("&amp;CHOOSE(WEEKDAY($CA154),"日","月","火","水","木","金","土")&amp;")"&amp;" に切れる）　入庫日を早める","△ 欠品 "&amp;TEXT($CA154,"m/d")&amp;"("&amp;CHOOSE(WEEKDAY($CA154),"日","月","火","水","木","金","土")&amp;")"&amp;"〜"&amp;TEXT($P154-1,"m/d")&amp;"("&amp;CHOOSE(WEEKDAY($P154-1),"日","月","火","水","木","金","土")&amp;")"&amp;"　"&amp;$CO154),IF($CC154="","○ "&amp;TEXT($P154,"m/d")&amp;"("&amp;CHOOSE(WEEKDAY($P154),"日","月","火","水","木","金","土")&amp;")"&amp;" 入庫で 14日以上もつ",IF($CC154-N('設定'!$C$7)&lt;='設定'!$C$6,"● 入庫しても "&amp;TEXT($CC154,"m/d")&amp;"("&amp;CHOOSE(WEEKDAY($CC154),"日","月","火","水","木","金","土")&amp;")"&amp;" に切れる　もう1便を至急発注（2便目に入れる）","△ 入庫しても "&amp;TEXT($CC154,"m/d")&amp;"("&amp;CHOOSE(WEEKDAY($CC154),"日","月","火","水","木","金","土")&amp;")"&amp;" に切れる　"&amp;TEXT($CC154-N('設定'!$C$7),"m/d")&amp;"("&amp;CHOOSE(WEEKDAY($CC154-N('設定'!$C$7)),"日","月","火","水","木","金","土")&amp;")"&amp;" までに次を発注（2便目に入れる）"))))))))))</f>
        <v/>
      </c>
      <c r="CR154">
        <f>IF($C154="","",IF($G154&gt;1,"ｹｰｽ("&amp;$G154&amp;"入)","個"))</f>
        <v/>
      </c>
      <c r="CS154">
        <f>IF($C154="",0,IF(COUNTIFS('①在庫を貼る'!$V$6:$V$10005,'設定'!$C$4,'①在庫を貼る'!$W$6:$W$10005,$C154)=0,1,0))</f>
        <v/>
      </c>
      <c r="CT154">
        <f>IF(AND($CK154=1,OR('③発注書'!$C$4="すべて",'③発注書'!$C$4="",$F154='③発注書'!$C$4)),N($CT153)+1,N($CT153))</f>
        <v/>
      </c>
      <c r="CU154">
        <f>IF(AND($CL154=1,OR('③発注書'!$C$4="すべて",'③発注書'!$C$4="",$F154='③発注書'!$C$4)),N($CU153)+1,N($CU153))</f>
        <v/>
      </c>
      <c r="CV154">
        <f>IF($C154="",0,IF(COUNTIFS('①在庫を貼る'!$V$6:$V$10005,'設定'!$C$4,'①在庫を貼る'!$W$6:$W$10005,$C154)&gt;0,1,0))</f>
        <v/>
      </c>
      <c r="CW154">
        <f>IF($C154="",0,IF(COUNTIFS('月1回_1ヶ月前の在庫'!$V$6:$V$10005,'設定'!$C$4,'月1回_1ヶ月前の在庫'!$W$6:$W$10005,$C154)&gt;0,1,0))</f>
        <v/>
      </c>
      <c r="CX154">
        <f>IF($C154="",0,IF(COUNTIFS('月1回_2ヶ月前の在庫'!$V$6:$V$10005,'設定'!$C$4,'月1回_2ヶ月前の在庫'!$W$6:$W$10005,$C154)&gt;0,1,0))</f>
        <v/>
      </c>
      <c r="CY154">
        <f>IF(OR($C154="",'設定'!$C$12=""),"",IF('設定'!$C$13="",IF(AND($CV154=1,$CW154=0),"新商品（今月から）",IF(AND($CV154=0,$CW154=1),"終売（今月から）","")),IF(AND($CV154=1,$CW154=0,$CX154=0),"新商品（今月から）",IF(AND($CV154=1,$CW154=1,$CX154=0),"新商品（先月から）",IF(AND($CV154=0,$CW154=1,$CX154=1),"終売（今月から）",IF(AND($CV154=0,$CW154=0,$CX154=1),"終売（先月から）",IF(AND($CV154=1,$CW154=0,$CX154=1),"復活（先月は無し）","")))))))</f>
        <v/>
      </c>
    </row>
    <row r="155">
      <c r="B155">
        <f>IF(150&lt;='設定'!$C$11,150,"")</f>
        <v/>
      </c>
      <c r="C155">
        <f>IF($B155="","",IF($B155&lt;='設定'!$C$20,INDEX('商品マスタ'!$B$6:$B$1005,MATCH($B155,'商品マスタ'!$M$6:$M$1005,0)),IF($B155&lt;='設定'!$C$20+'設定'!$C$17,INDEX('①在庫を貼る'!$W$6:$W$10005,MATCH($B155-'設定'!$C$20,'①在庫を貼る'!$U$6:$U$10005,0)),IF($B155&lt;='設定'!$C$20+'設定'!$C$17+'設定'!$C$18,INDEX('月1回_1ヶ月前の在庫'!$W$6:$W$10005,MATCH($B155-'設定'!$C$20-'設定'!$C$17,'月1回_1ヶ月前の在庫'!$U$6:$U$10005,0)),INDEX('月1回_2ヶ月前の在庫'!$W$6:$W$10005,MATCH($B155-'設定'!$C$20-'設定'!$C$17-'設定'!$C$18,'月1回_2ヶ月前の在庫'!$U$6:$U$10005,0))))))</f>
        <v/>
      </c>
      <c r="D155">
        <f>IF($C155="","",IFERROR(IF(INDEX('商品マスタ'!$C$6:$C$1005,MATCH($C155,'商品マスタ'!$B$6:$B$1005,0))="",IFERROR(INDEX('①在庫を貼る'!$J$6:$J$10005,MATCH($C155,'①在庫を貼る'!$W$6:$W$10005,0)),IFERROR(INDEX('月1回_1ヶ月前の在庫'!$J$6:$J$10005,MATCH($C155,'月1回_1ヶ月前の在庫'!$W$6:$W$10005,0)),IFERROR(INDEX('月1回_2ヶ月前の在庫'!$J$6:$J$10005,MATCH($C155,'月1回_2ヶ月前の在庫'!$W$6:$W$10005,0)),""))),INDEX('商品マスタ'!$C$6:$C$1005,MATCH($C155,'商品マスタ'!$B$6:$B$1005,0))),IFERROR(INDEX('①在庫を貼る'!$J$6:$J$10005,MATCH($C155,'①在庫を貼る'!$W$6:$W$10005,0)),IFERROR(INDEX('月1回_1ヶ月前の在庫'!$J$6:$J$10005,MATCH($C155,'月1回_1ヶ月前の在庫'!$W$6:$W$10005,0)),IFERROR(INDEX('月1回_2ヶ月前の在庫'!$J$6:$J$10005,MATCH($C155,'月1回_2ヶ月前の在庫'!$W$6:$W$10005,0)),"")))))</f>
        <v/>
      </c>
      <c r="E155">
        <f>IF($C155="","",IFERROR(IF(INDEX('商品マスタ'!$D$6:$D$1005,MATCH($C155,'商品マスタ'!$B$6:$B$1005,0))="",IFERROR(INDEX('①在庫を貼る'!$H$6:$H$10005,MATCH($C155,'①在庫を貼る'!$W$6:$W$10005,0)),IFERROR(INDEX('月1回_1ヶ月前の在庫'!$H$6:$H$10005,MATCH($C155,'月1回_1ヶ月前の在庫'!$W$6:$W$10005,0)),IFERROR(INDEX('月1回_2ヶ月前の在庫'!$H$6:$H$10005,MATCH($C155,'月1回_2ヶ月前の在庫'!$W$6:$W$10005,0)),""))),INDEX('商品マスタ'!$D$6:$D$1005,MATCH($C155,'商品マスタ'!$B$6:$B$1005,0))),IFERROR(INDEX('①在庫を貼る'!$H$6:$H$10005,MATCH($C155,'①在庫を貼る'!$W$6:$W$10005,0)),IFERROR(INDEX('月1回_1ヶ月前の在庫'!$H$6:$H$10005,MATCH($C155,'月1回_1ヶ月前の在庫'!$W$6:$W$10005,0)),IFERROR(INDEX('月1回_2ヶ月前の在庫'!$H$6:$H$10005,MATCH($C155,'月1回_2ヶ月前の在庫'!$W$6:$W$10005,0)),"")))))</f>
        <v/>
      </c>
      <c r="F155">
        <f>IF($C155="","",IFERROR(IF(INDEX('商品マスタ'!$E$6:$E$1005,MATCH($C155,'商品マスタ'!$B$6:$B$1005,0))="",IFERROR(INDEX('①在庫を貼る'!$E$6:$E$10005,MATCH($C155,'①在庫を貼る'!$W$6:$W$10005,0)),IFERROR(INDEX('月1回_1ヶ月前の在庫'!$E$6:$E$10005,MATCH($C155,'月1回_1ヶ月前の在庫'!$W$6:$W$10005,0)),IFERROR(INDEX('月1回_2ヶ月前の在庫'!$E$6:$E$10005,MATCH($C155,'月1回_2ヶ月前の在庫'!$W$6:$W$10005,0)),""))),INDEX('商品マスタ'!$E$6:$E$1005,MATCH($C155,'商品マスタ'!$B$6:$B$1005,0))),IFERROR(INDEX('①在庫を貼る'!$E$6:$E$10005,MATCH($C155,'①在庫を貼る'!$W$6:$W$10005,0)),IFERROR(INDEX('月1回_1ヶ月前の在庫'!$E$6:$E$10005,MATCH($C155,'月1回_1ヶ月前の在庫'!$W$6:$W$10005,0)),IFERROR(INDEX('月1回_2ヶ月前の在庫'!$E$6:$E$10005,MATCH($C155,'月1回_2ヶ月前の在庫'!$W$6:$W$10005,0)),"")))))</f>
        <v/>
      </c>
      <c r="G155">
        <f>IF($C155="","",MAX(1,N(IFERROR(IF(INDEX('商品マスタ'!$F$6:$F$1005,MATCH($C155,'商品マスタ'!$B$6:$B$1005,0))="",IF(COUNTIFS('①在庫を貼る'!$V$6:$V$10005,'設定'!$C$4,'①在庫を貼る'!$W$6:$W$10005,$C155)&gt;0,SUMIFS('①在庫を貼る'!$K$6:$K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K$6:$K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K$6:$K$10005,'月1回_2ヶ月前の在庫'!$V$6:$V$10005,'設定'!$C$4,'月1回_2ヶ月前の在庫'!$W$6:$W$10005,$C155)/COUNTIFS('月1回_2ヶ月前の在庫'!$V$6:$V$10005,'設定'!$C$4,'月1回_2ヶ月前の在庫'!$W$6:$W$10005,$C155),0))),INDEX('商品マスタ'!$F$6:$F$1005,MATCH($C155,'商品マスタ'!$B$6:$B$1005,0))),IF(COUNTIFS('①在庫を貼る'!$V$6:$V$10005,'設定'!$C$4,'①在庫を貼る'!$W$6:$W$10005,$C155)&gt;0,SUMIFS('①在庫を貼る'!$K$6:$K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K$6:$K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K$6:$K$10005,'月1回_2ヶ月前の在庫'!$V$6:$V$10005,'設定'!$C$4,'月1回_2ヶ月前の在庫'!$W$6:$W$10005,$C155)/COUNTIFS('月1回_2ヶ月前の在庫'!$V$6:$V$10005,'設定'!$C$4,'月1回_2ヶ月前の在庫'!$W$6:$W$10005,$C155),0)))))))</f>
        <v/>
      </c>
      <c r="H155">
        <f>IF($C155="","",N(IFERROR(IF(INDEX('商品マスタ'!$G$6:$G$1005,MATCH($C155,'商品マスタ'!$B$6:$B$1005,0))="",IF(COUNTIFS('①在庫を貼る'!$V$6:$V$10005,'設定'!$C$4,'①在庫を貼る'!$W$6:$W$10005,$C155)&gt;0,SUMIFS('①在庫を貼る'!$Q$6:$Q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Q$6:$Q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Q$6:$Q$10005,'月1回_2ヶ月前の在庫'!$V$6:$V$10005,'設定'!$C$4,'月1回_2ヶ月前の在庫'!$W$6:$W$10005,$C155)/COUNTIFS('月1回_2ヶ月前の在庫'!$V$6:$V$10005,'設定'!$C$4,'月1回_2ヶ月前の在庫'!$W$6:$W$10005,$C155),0))),INDEX('商品マスタ'!$G$6:$G$1005,MATCH($C155,'商品マスタ'!$B$6:$B$1005,0))),IF(COUNTIFS('①在庫を貼る'!$V$6:$V$10005,'設定'!$C$4,'①在庫を貼る'!$W$6:$W$10005,$C155)&gt;0,SUMIFS('①在庫を貼る'!$Q$6:$Q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Q$6:$Q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Q$6:$Q$10005,'月1回_2ヶ月前の在庫'!$V$6:$V$10005,'設定'!$C$4,'月1回_2ヶ月前の在庫'!$W$6:$W$10005,$C155)/COUNTIFS('月1回_2ヶ月前の在庫'!$V$6:$V$10005,'設定'!$C$4,'月1回_2ヶ月前の在庫'!$W$6:$W$10005,$C155),0))))))</f>
        <v/>
      </c>
      <c r="I155">
        <f>IF($C155="","",IF(COUNTIFS('①在庫を貼る'!$V$6:$V$10005,'設定'!$C$4,'①在庫を貼る'!$W$6:$W$10005,$C155)=0,"",SUMIFS('①在庫を貼る'!$N$6:$N$10005,'①在庫を貼る'!$V$6:$V$10005,'設定'!$C$4,'①在庫を貼る'!$W$6:$W$10005,$C155)))</f>
        <v/>
      </c>
      <c r="J155">
        <f>IF($C155="","",IF('②発注する'!$AD159="","",'②発注する'!$AD159))</f>
        <v/>
      </c>
      <c r="K155" s="90">
        <f>IF($C155="","",IF('②発注する'!$AE159="","",'②発注する'!$AE159))</f>
        <v/>
      </c>
      <c r="L155">
        <f>IF($C155="","",IF(AND(ISNUMBER($J155),ISNUMBER($K155),$K155&gt;='設定'!$C$6),$J155,N($I155)))</f>
        <v/>
      </c>
      <c r="M155">
        <f>IF($C155="","",IFERROR(IF(N(INDEX('商品マスタ'!$J$6:$J$1005,MATCH($C155,'商品マスタ'!$B$6:$B$1005,0)))&gt;0,INDEX('商品マスタ'!$J$6:$J$1005,MATCH($C155,'商品マスタ'!$B$6:$B$1005,0)),""),""))</f>
        <v/>
      </c>
      <c r="N155">
        <f>IF($C155="","",IFERROR(IF(N(INDEX('商品マスタ'!$H$6:$H$1005,MATCH($C155,'商品マスタ'!$B$6:$B$1005,0)))&gt;0,INDEX('商品マスタ'!$H$6:$H$1005,MATCH($C155,'商品マスタ'!$B$6:$B$1005,0)),""),""))</f>
        <v/>
      </c>
      <c r="O155">
        <f>IF($C155="","",IF($N155&lt;&gt;"",$N155*$G155,IF(N(IF(COUNTIFS('①在庫を貼る'!$V$6:$V$10005,'設定'!$C$4,'①在庫を貼る'!$W$6:$W$10005,$C155)&gt;0,SUMIFS('①在庫を貼る'!$O$6:$O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O$6:$O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O$6:$O$10005,'月1回_2ヶ月前の在庫'!$V$6:$V$10005,'設定'!$C$4,'月1回_2ヶ月前の在庫'!$W$6:$W$10005,$C155)/COUNTIFS('月1回_2ヶ月前の在庫'!$V$6:$V$10005,'設定'!$C$4,'月1回_2ヶ月前の在庫'!$W$6:$W$10005,$C155),0))))&gt;0,N(IF(COUNTIFS('①在庫を貼る'!$V$6:$V$10005,'設定'!$C$4,'①在庫を貼る'!$W$6:$W$10005,$C155)&gt;0,SUMIFS('①在庫を貼る'!$O$6:$O$10005,'①在庫を貼る'!$V$6:$V$10005,'設定'!$C$4,'①在庫を貼る'!$W$6:$W$10005,$C155)/COUNTIFS('①在庫を貼る'!$V$6:$V$10005,'設定'!$C$4,'①在庫を貼る'!$W$6:$W$10005,$C155),IF(COUNTIFS('月1回_1ヶ月前の在庫'!$V$6:$V$10005,'設定'!$C$4,'月1回_1ヶ月前の在庫'!$W$6:$W$10005,$C155)&gt;0,SUMIFS('月1回_1ヶ月前の在庫'!$O$6:$O$10005,'月1回_1ヶ月前の在庫'!$V$6:$V$10005,'設定'!$C$4,'月1回_1ヶ月前の在庫'!$W$6:$W$10005,$C155)/COUNTIFS('月1回_1ヶ月前の在庫'!$V$6:$V$10005,'設定'!$C$4,'月1回_1ヶ月前の在庫'!$W$6:$W$10005,$C155),IF(COUNTIFS('月1回_2ヶ月前の在庫'!$V$6:$V$10005,'設定'!$C$4,'月1回_2ヶ月前の在庫'!$W$6:$W$10005,$C155)&gt;0,SUMIFS('月1回_2ヶ月前の在庫'!$O$6:$O$10005,'月1回_2ヶ月前の在庫'!$V$6:$V$10005,'設定'!$C$4,'月1回_2ヶ月前の在庫'!$W$6:$W$10005,$C155)/COUNTIFS('月1回_2ヶ月前の在庫'!$V$6:$V$10005,'設定'!$C$4,'月1回_2ヶ月前の在庫'!$W$6:$W$10005,$C155),0)))),"")))</f>
        <v/>
      </c>
      <c r="P155" s="90">
        <f>IF($C155="","",IF('②発注する'!$I159="","",'②発注する'!$I159))</f>
        <v/>
      </c>
      <c r="Q155">
        <f>IF($C155="","",IF('②発注する'!$J159="","",'②発注する'!$J159))</f>
        <v/>
      </c>
      <c r="R155">
        <f>IF($C155="",0,IF(AND(ISNUMBER($P155),ISNUMBER($Q155)),MAX(0,$Q155)*$G155,0))</f>
        <v/>
      </c>
      <c r="S155" s="90">
        <f>IF($C155="","",IF('②発注する'!$M159="","",'②発注する'!$M159))</f>
        <v/>
      </c>
      <c r="T155">
        <f>IF($C155="","",IF('②発注する'!$N159="","",'②発注する'!$N159))</f>
        <v/>
      </c>
      <c r="U155">
        <f>IF($C155="",0,IF(AND(ISNUMBER($S155),ISNUMBER($T155)),MAX(0,$T155)*$G155,0))</f>
        <v/>
      </c>
      <c r="V155">
        <f>IF($C155="",0,IF($M155="",0,MAX(0,$M155)*MAX(0,V$4)/100))</f>
        <v/>
      </c>
      <c r="W155">
        <f>IF($C155="",0,IF($M155="",0,MAX(0,$M155)*MAX(0,W$4)/100))</f>
        <v/>
      </c>
      <c r="X155">
        <f>IF($C155="",0,IF($M155="",0,MAX(0,$M155)*MAX(0,X$4)/100))</f>
        <v/>
      </c>
      <c r="Y155">
        <f>IF($C155="",0,IF($M155="",0,MAX(0,$M155)*MAX(0,Y$4)/100))</f>
        <v/>
      </c>
      <c r="Z155">
        <f>IF($C155="",0,IF($M155="",0,MAX(0,$M155)*MAX(0,Z$4)/100))</f>
        <v/>
      </c>
      <c r="AA155">
        <f>IF($C155="",0,IF($M155="",0,MAX(0,$M155)*MAX(0,AA$4)/100))</f>
        <v/>
      </c>
      <c r="AB155">
        <f>IF($C155="",0,IF($M155="",0,MAX(0,$M155)*MAX(0,AB$4)/100))</f>
        <v/>
      </c>
      <c r="AC155">
        <f>IF($C155="",0,IF($M155="",0,MAX(0,$M155)*MAX(0,AC$4)/100))</f>
        <v/>
      </c>
      <c r="AD155">
        <f>IF($C155="",0,IF($M155="",0,MAX(0,$M155)*MAX(0,AD$4)/100))</f>
        <v/>
      </c>
      <c r="AE155">
        <f>IF($C155="",0,IF($M155="",0,MAX(0,$M155)*MAX(0,AE$4)/100))</f>
        <v/>
      </c>
      <c r="AF155">
        <f>IF($C155="",0,IF($M155="",0,MAX(0,$M155)*MAX(0,AF$4)/100))</f>
        <v/>
      </c>
      <c r="AG155">
        <f>IF($C155="",0,IF($M155="",0,MAX(0,$M155)*MAX(0,AG$4)/100))</f>
        <v/>
      </c>
      <c r="AH155">
        <f>IF($C155="",0,IF($M155="",0,MAX(0,$M155)*MAX(0,AH$4)/100))</f>
        <v/>
      </c>
      <c r="AI155">
        <f>IF($C155="",0,IF($M155="",0,MAX(0,$M155)*MAX(0,AI$4)/100))</f>
        <v/>
      </c>
      <c r="AJ155">
        <f>IF($C155="",0,MAX(0,MAX(0,N($L155))-$V155))</f>
        <v/>
      </c>
      <c r="AK155">
        <f>IF($C155="",0,MAX(0,$AJ155-$W155))</f>
        <v/>
      </c>
      <c r="AL155">
        <f>IF($C155="",0,MAX(0,$AK155-$X155))</f>
        <v/>
      </c>
      <c r="AM155">
        <f>IF($C155="",0,MAX(0,$AL155-$Y155))</f>
        <v/>
      </c>
      <c r="AN155">
        <f>IF($C155="",0,MAX(0,$AM155-$Z155))</f>
        <v/>
      </c>
      <c r="AO155">
        <f>IF($C155="",0,MAX(0,$AN155-$AA155))</f>
        <v/>
      </c>
      <c r="AP155">
        <f>IF($C155="",0,MAX(0,$AO155-$AB155))</f>
        <v/>
      </c>
      <c r="AQ155">
        <f>IF($C155="",0,MAX(0,$AP155-$AC155))</f>
        <v/>
      </c>
      <c r="AR155">
        <f>IF($C155="",0,MAX(0,$AQ155-$AD155))</f>
        <v/>
      </c>
      <c r="AS155">
        <f>IF($C155="",0,MAX(0,$AR155-$AE155))</f>
        <v/>
      </c>
      <c r="AT155">
        <f>IF($C155="",0,MAX(0,$AS155-$AF155))</f>
        <v/>
      </c>
      <c r="AU155">
        <f>IF($C155="",0,MAX(0,$AT155-$AG155))</f>
        <v/>
      </c>
      <c r="AV155">
        <f>IF($C155="",0,MAX(0,$AU155-$AH155))</f>
        <v/>
      </c>
      <c r="AW155">
        <f>IF($C155="",0,MAX(0,$AV155-$AI155))</f>
        <v/>
      </c>
      <c r="AX155">
        <f>IF($C155="",0,MAX(0,MAX(0,N($L155))+IF($P155=V$3,$R155,0)+IF($S155=V$3,$U155,0)-$V155))</f>
        <v/>
      </c>
      <c r="AY155">
        <f>IF($C155="",0,MAX(0,$AX155+IF($P155=W$3,$R155,0)+IF($S155=W$3,$U155,0)-$W155))</f>
        <v/>
      </c>
      <c r="AZ155">
        <f>IF($C155="",0,MAX(0,$AY155+IF($P155=X$3,$R155,0)+IF($S155=X$3,$U155,0)-$X155))</f>
        <v/>
      </c>
      <c r="BA155">
        <f>IF($C155="",0,MAX(0,$AZ155+IF($P155=Y$3,$R155,0)+IF($S155=Y$3,$U155,0)-$Y155))</f>
        <v/>
      </c>
      <c r="BB155">
        <f>IF($C155="",0,MAX(0,$BA155+IF($P155=Z$3,$R155,0)+IF($S155=Z$3,$U155,0)-$Z155))</f>
        <v/>
      </c>
      <c r="BC155">
        <f>IF($C155="",0,MAX(0,$BB155+IF($P155=AA$3,$R155,0)+IF($S155=AA$3,$U155,0)-$AA155))</f>
        <v/>
      </c>
      <c r="BD155">
        <f>IF($C155="",0,MAX(0,$BC155+IF($P155=AB$3,$R155,0)+IF($S155=AB$3,$U155,0)-$AB155))</f>
        <v/>
      </c>
      <c r="BE155">
        <f>IF($C155="",0,MAX(0,$BD155+IF($P155=AC$3,$R155,0)+IF($S155=AC$3,$U155,0)-$AC155))</f>
        <v/>
      </c>
      <c r="BF155">
        <f>IF($C155="",0,MAX(0,$BE155+IF($P155=AD$3,$R155,0)+IF($S155=AD$3,$U155,0)-$AD155))</f>
        <v/>
      </c>
      <c r="BG155">
        <f>IF($C155="",0,MAX(0,$BF155+IF($P155=AE$3,$R155,0)+IF($S155=AE$3,$U155,0)-$AE155))</f>
        <v/>
      </c>
      <c r="BH155">
        <f>IF($C155="",0,MAX(0,$BG155+IF($P155=AF$3,$R155,0)+IF($S155=AF$3,$U155,0)-$AF155))</f>
        <v/>
      </c>
      <c r="BI155">
        <f>IF($C155="",0,MAX(0,$BH155+IF($P155=AG$3,$R155,0)+IF($S155=AG$3,$U155,0)-$AG155))</f>
        <v/>
      </c>
      <c r="BJ155">
        <f>IF($C155="",0,MAX(0,$BI155+IF($P155=AH$3,$R155,0)+IF($S155=AH$3,$U155,0)-$AH155))</f>
        <v/>
      </c>
      <c r="BK155">
        <f>IF($C155="",0,MAX(0,$BJ155+IF($P155=AI$3,$R155,0)+IF($S155=AI$3,$U155,0)-$AI155))</f>
        <v/>
      </c>
      <c r="BL155">
        <f>IF($C155="",99,IF(AND($AX155&lt;1,V$3&gt;=MAX(N($P155),N($S155))),0,99))</f>
        <v/>
      </c>
      <c r="BM155">
        <f>IF($C155="",99,IF(AND($AY155&lt;1,W$3&gt;=MAX(N($P155),N($S155))),1,99))</f>
        <v/>
      </c>
      <c r="BN155">
        <f>IF($C155="",99,IF(AND($AZ155&lt;1,X$3&gt;=MAX(N($P155),N($S155))),2,99))</f>
        <v/>
      </c>
      <c r="BO155">
        <f>IF($C155="",99,IF(AND($BA155&lt;1,Y$3&gt;=MAX(N($P155),N($S155))),3,99))</f>
        <v/>
      </c>
      <c r="BP155">
        <f>IF($C155="",99,IF(AND($BB155&lt;1,Z$3&gt;=MAX(N($P155),N($S155))),4,99))</f>
        <v/>
      </c>
      <c r="BQ155">
        <f>IF($C155="",99,IF(AND($BC155&lt;1,AA$3&gt;=MAX(N($P155),N($S155))),5,99))</f>
        <v/>
      </c>
      <c r="BR155">
        <f>IF($C155="",99,IF(AND($BD155&lt;1,AB$3&gt;=MAX(N($P155),N($S155))),6,99))</f>
        <v/>
      </c>
      <c r="BS155">
        <f>IF($C155="",99,IF(AND($BE155&lt;1,AC$3&gt;=MAX(N($P155),N($S155))),7,99))</f>
        <v/>
      </c>
      <c r="BT155">
        <f>IF($C155="",99,IF(AND($BF155&lt;1,AD$3&gt;=MAX(N($P155),N($S155))),8,99))</f>
        <v/>
      </c>
      <c r="BU155">
        <f>IF($C155="",99,IF(AND($BG155&lt;1,AE$3&gt;=MAX(N($P155),N($S155))),9,99))</f>
        <v/>
      </c>
      <c r="BV155">
        <f>IF($C155="",99,IF(AND($BH155&lt;1,AF$3&gt;=MAX(N($P155),N($S155))),10,99))</f>
        <v/>
      </c>
      <c r="BW155">
        <f>IF($C155="",99,IF(AND($BI155&lt;1,AG$3&gt;=MAX(N($P155),N($S155))),11,99))</f>
        <v/>
      </c>
      <c r="BX155">
        <f>IF($C155="",99,IF(AND($BJ155&lt;1,AH$3&gt;=MAX(N($P155),N($S155))),12,99))</f>
        <v/>
      </c>
      <c r="BY155">
        <f>IF($C155="",99,IF(AND($BK155&lt;1,AI$3&gt;=MAX(N($P155),N($S155))),13,99))</f>
        <v/>
      </c>
      <c r="BZ155">
        <f>IF(OR($C155="",$M155=""),"",COUNTIF($AJ155:$AW155,"&gt;=1"))</f>
        <v/>
      </c>
      <c r="CA155" s="90">
        <f>IF($BZ155="","",IF($BZ155&gt;=14,"",'設定'!$C$6+$BZ155))</f>
        <v/>
      </c>
      <c r="CB155">
        <f>IF(OR($C155="",$M155=""),"",MIN($BL155:$BY155))</f>
        <v/>
      </c>
      <c r="CC155" s="90">
        <f>IF($CB155="","",IF($CB155&gt;=99,"",'設定'!$C$6+$CB155))</f>
        <v/>
      </c>
      <c r="CD155">
        <f>IF(OR($C155="",$M155=""),"",AVERAGE($V155:$AI155))</f>
        <v/>
      </c>
      <c r="CE155">
        <f>IF($C155="","",IFERROR(IF(MATCH(IF(ISNUMBER($P155),$P155,'設定'!$C$6+N('設定'!$C$7)),$V$3:$AI$3,0)=1,MAX(0,N($L155)),INDEX($AJ155:$AW155,MATCH(IF(ISNUMBER($P155),$P155,'設定'!$C$6+N('設定'!$C$7)),$V$3:$AI$3,0)-1)),""))</f>
        <v/>
      </c>
      <c r="CF155">
        <f>IF(OR($C155="",$O155="",$CE155=""),"",IF($O155-$CE155&lt;=0,0,ROUNDUP(($O155-$CE155)/$G155,0)))</f>
        <v/>
      </c>
      <c r="CG155">
        <f>IF(OR($C155="",$CF155="",NOT(ISNUMBER($Q155))),0,MAX(0,$Q155-$CF155))</f>
        <v/>
      </c>
      <c r="CH155">
        <f>IF(OR($C155="",$O155="",$U155=0),0,IFERROR(ROUNDUP(MAX(0,IF(MATCH($S155,$V$3:$AI$3,0)=1,MAX(0,N($L155)),INDEX($AX155:$BK155,MATCH($S155,$V$3:$AI$3,0)-1))+$U155-$O155)/$G155,0),0))</f>
        <v/>
      </c>
      <c r="CI155">
        <f>IF($C155="","",IF(AND($P155="",$Q155=""),"",IF($P155="","⚠ 入庫日を ▼ から選んでください",IF(NOT(ISNUMBER($P155)),"⚠ 入庫日は ▼ から選んでください",IF($P155&lt;N('設定'!$C$6),"⚠ 入庫日が過去です（もう在庫に入っています）→ 消してください",IF($P155&gt;N('設定'!$C$6)+13,"⚠ 入庫日が14日より先です",IF(N($Q155)&lt;=0,"⚠ 入庫数を入れてください",IF($CG155&gt;0,"⚠ 目安より "&amp;$CG155&amp;" 多い（定数を超える）→ 減らす",""))))))))</f>
        <v/>
      </c>
      <c r="CJ155">
        <f>IF($C155="","",IF(AND($S155="",$T155=""),"",IF($S155="","⚠ 2便目：入庫日を ▼ から選んでください",IF(NOT(ISNUMBER($S155)),"⚠ 2便目：入庫日は ▼ から選んでください",IF($S155&lt;N('設定'!$C$6),"⚠ 2便目：入庫日が過去です（もう在庫に入っています）→ 消してください",IF($S155&gt;N('設定'!$C$6)+13,"⚠ 2便目：入庫日が14日より先です",IF(N($T155)&lt;=0,"⚠ 2便目：入庫数を入れてください",IF($CH155&gt;0,"⚠ 2便目：定数を "&amp;$CH155&amp;" ケース超える → 減らす",""))))))))</f>
        <v/>
      </c>
      <c r="CK155">
        <f>IF(AND($CI155="",N($Q155)&gt;0,ISNUMBER($P155)),1,0)</f>
        <v/>
      </c>
      <c r="CL155">
        <f>IF(AND($CJ155="",N($T155)&gt;0,ISNUMBER($S155)),1,0)</f>
        <v/>
      </c>
      <c r="CM155">
        <f>IF(OR($CK155=1,$CL155=1),1,0)</f>
        <v/>
      </c>
      <c r="CN155">
        <f>IF($C155="",0,($CK155*$R155+$CL155*$U155)*N($H155))</f>
        <v/>
      </c>
      <c r="CO155">
        <f>IF($C155="","",IF($CC155="","入庫後は 14日以上もつ",IF($CC155-N('設定'!$C$7)&lt;='設定'!$C$6,"入庫後も "&amp;TEXT($CC155,"m/d")&amp;"("&amp;CHOOSE(WEEKDAY($CC155),"日","月","火","水","木","金","土")&amp;")"&amp;" に切れる　もう1便を至急発注","入庫後も "&amp;TEXT($CC155,"m/d")&amp;"("&amp;CHOOSE(WEEKDAY($CC155),"日","月","火","水","木","金","土")&amp;")"&amp;" に切れる　"&amp;TEXT($CC155-N('設定'!$C$7),"m/d")&amp;"("&amp;CHOOSE(WEEKDAY($CC155-N('設定'!$C$7)),"日","月","火","水","木","金","土")&amp;")"&amp;" までに次を発注")))</f>
        <v/>
      </c>
      <c r="CP155">
        <f>IF($C155="","",IF('設定'!$C$6="","？ ①在庫を貼る に今日のCSVが貼られていない",IF($CS155=1,"－ 今日のCSVに無い（終売？）",IF($L155&lt;0,"● 在庫がマイナス　数えて「数えた在庫」に入れる",IF($L155=0,"● 在庫なし　至急発注",IF($M155="","？ 減り数が未設定（商品マスタ）",IF($B$3=0,"？ 動員が未入力（動員を入れる）",IF($CA155="","○ 14日以上もつ",IF($BZ155&lt;N('設定'!$C$7),"● "&amp;TEXT($CA155,"m/d")&amp;"("&amp;CHOOSE(WEEKDAY($CA155),"日","月","火","水","木","金","土")&amp;")"&amp;" に切れる　至急発注",IF($BZ155=N('設定'!$C$7),"● "&amp;TEXT($CA155,"m/d")&amp;"("&amp;CHOOSE(WEEKDAY($CA155),"日","月","火","水","木","金","土")&amp;")"&amp;" に切れる　今日発注","△ "&amp;TEXT($CA155,"m/d")&amp;"("&amp;CHOOSE(WEEKDAY($CA155),"日","月","火","水","木","金","土")&amp;")"&amp;" に切れる　"&amp;TEXT($CA155-N('設定'!$C$7),"m/d")&amp;"("&amp;CHOOSE(WEEKDAY($CA155-N('設定'!$C$7)),"日","月","火","水","木","金","土")&amp;")"&amp;" までに発注"))))))))))</f>
        <v/>
      </c>
      <c r="CQ155">
        <f>IF($C155="","",IF(AND($P155="",$Q155="",$S155="",$T155=""),"",IF(AND($P155="",$Q155=""),"⚠ 先に1便目（左の入庫日・入庫数）に入れてください",IF($CI155&lt;&gt;"",$CI155,IF($CJ155&lt;&gt;"",$CJ155,IF($M155="","？ 減り数が未設定（発注書には載ります）",IF($B$3=0,"？ 動員が未入力（発注書には載ります）",IF(AND($CA155&lt;&gt;"",$P155&gt;$CA155),IF($P155&gt;'設定'!$C$6+N('設定'!$C$7),"● "&amp;TEXT($P155,"m/d")&amp;"("&amp;CHOOSE(WEEKDAY($P155),"日","月","火","水","木","金","土")&amp;")"&amp;" の入庫では間に合わない（"&amp;TEXT($CA155,"m/d")&amp;"("&amp;CHOOSE(WEEKDAY($CA155),"日","月","火","水","木","金","土")&amp;")"&amp;" に切れる）　入庫日を早める","△ 欠品 "&amp;TEXT($CA155,"m/d")&amp;"("&amp;CHOOSE(WEEKDAY($CA155),"日","月","火","水","木","金","土")&amp;")"&amp;"〜"&amp;TEXT($P155-1,"m/d")&amp;"("&amp;CHOOSE(WEEKDAY($P155-1),"日","月","火","水","木","金","土")&amp;")"&amp;"　"&amp;$CO155),IF($CC155="","○ "&amp;TEXT($P155,"m/d")&amp;"("&amp;CHOOSE(WEEKDAY($P155),"日","月","火","水","木","金","土")&amp;")"&amp;" 入庫で 14日以上もつ",IF($CC155-N('設定'!$C$7)&lt;='設定'!$C$6,"● 入庫しても "&amp;TEXT($CC155,"m/d")&amp;"("&amp;CHOOSE(WEEKDAY($CC155),"日","月","火","水","木","金","土")&amp;")"&amp;" に切れる　もう1便を至急発注（2便目に入れる）","△ 入庫しても "&amp;TEXT($CC155,"m/d")&amp;"("&amp;CHOOSE(WEEKDAY($CC155),"日","月","火","水","木","金","土")&amp;")"&amp;" に切れる　"&amp;TEXT($CC155-N('設定'!$C$7),"m/d")&amp;"("&amp;CHOOSE(WEEKDAY($CC155-N('設定'!$C$7)),"日","月","火","水","木","金","土")&amp;")"&amp;" までに次を発注（2便目に入れる）"))))))))))</f>
        <v/>
      </c>
      <c r="CR155">
        <f>IF($C155="","",IF($G155&gt;1,"ｹｰｽ("&amp;$G155&amp;"入)","個"))</f>
        <v/>
      </c>
      <c r="CS155">
        <f>IF($C155="",0,IF(COUNTIFS('①在庫を貼る'!$V$6:$V$10005,'設定'!$C$4,'①在庫を貼る'!$W$6:$W$10005,$C155)=0,1,0))</f>
        <v/>
      </c>
      <c r="CT155">
        <f>IF(AND($CK155=1,OR('③発注書'!$C$4="すべて",'③発注書'!$C$4="",$F155='③発注書'!$C$4)),N($CT154)+1,N($CT154))</f>
        <v/>
      </c>
      <c r="CU155">
        <f>IF(AND($CL155=1,OR('③発注書'!$C$4="すべて",'③発注書'!$C$4="",$F155='③発注書'!$C$4)),N($CU154)+1,N($CU154))</f>
        <v/>
      </c>
      <c r="CV155">
        <f>IF($C155="",0,IF(COUNTIFS('①在庫を貼る'!$V$6:$V$10005,'設定'!$C$4,'①在庫を貼る'!$W$6:$W$10005,$C155)&gt;0,1,0))</f>
        <v/>
      </c>
      <c r="CW155">
        <f>IF($C155="",0,IF(COUNTIFS('月1回_1ヶ月前の在庫'!$V$6:$V$10005,'設定'!$C$4,'月1回_1ヶ月前の在庫'!$W$6:$W$10005,$C155)&gt;0,1,0))</f>
        <v/>
      </c>
      <c r="CX155">
        <f>IF($C155="",0,IF(COUNTIFS('月1回_2ヶ月前の在庫'!$V$6:$V$10005,'設定'!$C$4,'月1回_2ヶ月前の在庫'!$W$6:$W$10005,$C155)&gt;0,1,0))</f>
        <v/>
      </c>
      <c r="CY155">
        <f>IF(OR($C155="",'設定'!$C$12=""),"",IF('設定'!$C$13="",IF(AND($CV155=1,$CW155=0),"新商品（今月から）",IF(AND($CV155=0,$CW155=1),"終売（今月から）","")),IF(AND($CV155=1,$CW155=0,$CX155=0),"新商品（今月から）",IF(AND($CV155=1,$CW155=1,$CX155=0),"新商品（先月から）",IF(AND($CV155=0,$CW155=1,$CX155=1),"終売（今月から）",IF(AND($CV155=0,$CW155=0,$CX155=1),"終売（先月から）",IF(AND($CV155=1,$CW155=0,$CX155=1),"復活（先月は無し）","")))))))</f>
        <v/>
      </c>
    </row>
    <row r="156">
      <c r="B156">
        <f>IF(151&lt;='設定'!$C$11,151,"")</f>
        <v/>
      </c>
      <c r="C156">
        <f>IF($B156="","",IF($B156&lt;='設定'!$C$20,INDEX('商品マスタ'!$B$6:$B$1005,MATCH($B156,'商品マスタ'!$M$6:$M$1005,0)),IF($B156&lt;='設定'!$C$20+'設定'!$C$17,INDEX('①在庫を貼る'!$W$6:$W$10005,MATCH($B156-'設定'!$C$20,'①在庫を貼る'!$U$6:$U$10005,0)),IF($B156&lt;='設定'!$C$20+'設定'!$C$17+'設定'!$C$18,INDEX('月1回_1ヶ月前の在庫'!$W$6:$W$10005,MATCH($B156-'設定'!$C$20-'設定'!$C$17,'月1回_1ヶ月前の在庫'!$U$6:$U$10005,0)),INDEX('月1回_2ヶ月前の在庫'!$W$6:$W$10005,MATCH($B156-'設定'!$C$20-'設定'!$C$17-'設定'!$C$18,'月1回_2ヶ月前の在庫'!$U$6:$U$10005,0))))))</f>
        <v/>
      </c>
      <c r="D156">
        <f>IF($C156="","",IFERROR(IF(INDEX('商品マスタ'!$C$6:$C$1005,MATCH($C156,'商品マスタ'!$B$6:$B$1005,0))="",IFERROR(INDEX('①在庫を貼る'!$J$6:$J$10005,MATCH($C156,'①在庫を貼る'!$W$6:$W$10005,0)),IFERROR(INDEX('月1回_1ヶ月前の在庫'!$J$6:$J$10005,MATCH($C156,'月1回_1ヶ月前の在庫'!$W$6:$W$10005,0)),IFERROR(INDEX('月1回_2ヶ月前の在庫'!$J$6:$J$10005,MATCH($C156,'月1回_2ヶ月前の在庫'!$W$6:$W$10005,0)),""))),INDEX('商品マスタ'!$C$6:$C$1005,MATCH($C156,'商品マスタ'!$B$6:$B$1005,0))),IFERROR(INDEX('①在庫を貼る'!$J$6:$J$10005,MATCH($C156,'①在庫を貼る'!$W$6:$W$10005,0)),IFERROR(INDEX('月1回_1ヶ月前の在庫'!$J$6:$J$10005,MATCH($C156,'月1回_1ヶ月前の在庫'!$W$6:$W$10005,0)),IFERROR(INDEX('月1回_2ヶ月前の在庫'!$J$6:$J$10005,MATCH($C156,'月1回_2ヶ月前の在庫'!$W$6:$W$10005,0)),"")))))</f>
        <v/>
      </c>
      <c r="E156">
        <f>IF($C156="","",IFERROR(IF(INDEX('商品マスタ'!$D$6:$D$1005,MATCH($C156,'商品マスタ'!$B$6:$B$1005,0))="",IFERROR(INDEX('①在庫を貼る'!$H$6:$H$10005,MATCH($C156,'①在庫を貼る'!$W$6:$W$10005,0)),IFERROR(INDEX('月1回_1ヶ月前の在庫'!$H$6:$H$10005,MATCH($C156,'月1回_1ヶ月前の在庫'!$W$6:$W$10005,0)),IFERROR(INDEX('月1回_2ヶ月前の在庫'!$H$6:$H$10005,MATCH($C156,'月1回_2ヶ月前の在庫'!$W$6:$W$10005,0)),""))),INDEX('商品マスタ'!$D$6:$D$1005,MATCH($C156,'商品マスタ'!$B$6:$B$1005,0))),IFERROR(INDEX('①在庫を貼る'!$H$6:$H$10005,MATCH($C156,'①在庫を貼る'!$W$6:$W$10005,0)),IFERROR(INDEX('月1回_1ヶ月前の在庫'!$H$6:$H$10005,MATCH($C156,'月1回_1ヶ月前の在庫'!$W$6:$W$10005,0)),IFERROR(INDEX('月1回_2ヶ月前の在庫'!$H$6:$H$10005,MATCH($C156,'月1回_2ヶ月前の在庫'!$W$6:$W$10005,0)),"")))))</f>
        <v/>
      </c>
      <c r="F156">
        <f>IF($C156="","",IFERROR(IF(INDEX('商品マスタ'!$E$6:$E$1005,MATCH($C156,'商品マスタ'!$B$6:$B$1005,0))="",IFERROR(INDEX('①在庫を貼る'!$E$6:$E$10005,MATCH($C156,'①在庫を貼る'!$W$6:$W$10005,0)),IFERROR(INDEX('月1回_1ヶ月前の在庫'!$E$6:$E$10005,MATCH($C156,'月1回_1ヶ月前の在庫'!$W$6:$W$10005,0)),IFERROR(INDEX('月1回_2ヶ月前の在庫'!$E$6:$E$10005,MATCH($C156,'月1回_2ヶ月前の在庫'!$W$6:$W$10005,0)),""))),INDEX('商品マスタ'!$E$6:$E$1005,MATCH($C156,'商品マスタ'!$B$6:$B$1005,0))),IFERROR(INDEX('①在庫を貼る'!$E$6:$E$10005,MATCH($C156,'①在庫を貼る'!$W$6:$W$10005,0)),IFERROR(INDEX('月1回_1ヶ月前の在庫'!$E$6:$E$10005,MATCH($C156,'月1回_1ヶ月前の在庫'!$W$6:$W$10005,0)),IFERROR(INDEX('月1回_2ヶ月前の在庫'!$E$6:$E$10005,MATCH($C156,'月1回_2ヶ月前の在庫'!$W$6:$W$10005,0)),"")))))</f>
        <v/>
      </c>
      <c r="G156">
        <f>IF($C156="","",MAX(1,N(IFERROR(IF(INDEX('商品マスタ'!$F$6:$F$1005,MATCH($C156,'商品マスタ'!$B$6:$B$1005,0))="",IF(COUNTIFS('①在庫を貼る'!$V$6:$V$10005,'設定'!$C$4,'①在庫を貼る'!$W$6:$W$10005,$C156)&gt;0,SUMIFS('①在庫を貼る'!$K$6:$K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K$6:$K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K$6:$K$10005,'月1回_2ヶ月前の在庫'!$V$6:$V$10005,'設定'!$C$4,'月1回_2ヶ月前の在庫'!$W$6:$W$10005,$C156)/COUNTIFS('月1回_2ヶ月前の在庫'!$V$6:$V$10005,'設定'!$C$4,'月1回_2ヶ月前の在庫'!$W$6:$W$10005,$C156),0))),INDEX('商品マスタ'!$F$6:$F$1005,MATCH($C156,'商品マスタ'!$B$6:$B$1005,0))),IF(COUNTIFS('①在庫を貼る'!$V$6:$V$10005,'設定'!$C$4,'①在庫を貼る'!$W$6:$W$10005,$C156)&gt;0,SUMIFS('①在庫を貼る'!$K$6:$K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K$6:$K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K$6:$K$10005,'月1回_2ヶ月前の在庫'!$V$6:$V$10005,'設定'!$C$4,'月1回_2ヶ月前の在庫'!$W$6:$W$10005,$C156)/COUNTIFS('月1回_2ヶ月前の在庫'!$V$6:$V$10005,'設定'!$C$4,'月1回_2ヶ月前の在庫'!$W$6:$W$10005,$C156),0)))))))</f>
        <v/>
      </c>
      <c r="H156">
        <f>IF($C156="","",N(IFERROR(IF(INDEX('商品マスタ'!$G$6:$G$1005,MATCH($C156,'商品マスタ'!$B$6:$B$1005,0))="",IF(COUNTIFS('①在庫を貼る'!$V$6:$V$10005,'設定'!$C$4,'①在庫を貼る'!$W$6:$W$10005,$C156)&gt;0,SUMIFS('①在庫を貼る'!$Q$6:$Q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Q$6:$Q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Q$6:$Q$10005,'月1回_2ヶ月前の在庫'!$V$6:$V$10005,'設定'!$C$4,'月1回_2ヶ月前の在庫'!$W$6:$W$10005,$C156)/COUNTIFS('月1回_2ヶ月前の在庫'!$V$6:$V$10005,'設定'!$C$4,'月1回_2ヶ月前の在庫'!$W$6:$W$10005,$C156),0))),INDEX('商品マスタ'!$G$6:$G$1005,MATCH($C156,'商品マスタ'!$B$6:$B$1005,0))),IF(COUNTIFS('①在庫を貼る'!$V$6:$V$10005,'設定'!$C$4,'①在庫を貼る'!$W$6:$W$10005,$C156)&gt;0,SUMIFS('①在庫を貼る'!$Q$6:$Q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Q$6:$Q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Q$6:$Q$10005,'月1回_2ヶ月前の在庫'!$V$6:$V$10005,'設定'!$C$4,'月1回_2ヶ月前の在庫'!$W$6:$W$10005,$C156)/COUNTIFS('月1回_2ヶ月前の在庫'!$V$6:$V$10005,'設定'!$C$4,'月1回_2ヶ月前の在庫'!$W$6:$W$10005,$C156),0))))))</f>
        <v/>
      </c>
      <c r="I156">
        <f>IF($C156="","",IF(COUNTIFS('①在庫を貼る'!$V$6:$V$10005,'設定'!$C$4,'①在庫を貼る'!$W$6:$W$10005,$C156)=0,"",SUMIFS('①在庫を貼る'!$N$6:$N$10005,'①在庫を貼る'!$V$6:$V$10005,'設定'!$C$4,'①在庫を貼る'!$W$6:$W$10005,$C156)))</f>
        <v/>
      </c>
      <c r="J156">
        <f>IF($C156="","",IF('②発注する'!$AD160="","",'②発注する'!$AD160))</f>
        <v/>
      </c>
      <c r="K156" s="90">
        <f>IF($C156="","",IF('②発注する'!$AE160="","",'②発注する'!$AE160))</f>
        <v/>
      </c>
      <c r="L156">
        <f>IF($C156="","",IF(AND(ISNUMBER($J156),ISNUMBER($K156),$K156&gt;='設定'!$C$6),$J156,N($I156)))</f>
        <v/>
      </c>
      <c r="M156">
        <f>IF($C156="","",IFERROR(IF(N(INDEX('商品マスタ'!$J$6:$J$1005,MATCH($C156,'商品マスタ'!$B$6:$B$1005,0)))&gt;0,INDEX('商品マスタ'!$J$6:$J$1005,MATCH($C156,'商品マスタ'!$B$6:$B$1005,0)),""),""))</f>
        <v/>
      </c>
      <c r="N156">
        <f>IF($C156="","",IFERROR(IF(N(INDEX('商品マスタ'!$H$6:$H$1005,MATCH($C156,'商品マスタ'!$B$6:$B$1005,0)))&gt;0,INDEX('商品マスタ'!$H$6:$H$1005,MATCH($C156,'商品マスタ'!$B$6:$B$1005,0)),""),""))</f>
        <v/>
      </c>
      <c r="O156">
        <f>IF($C156="","",IF($N156&lt;&gt;"",$N156*$G156,IF(N(IF(COUNTIFS('①在庫を貼る'!$V$6:$V$10005,'設定'!$C$4,'①在庫を貼る'!$W$6:$W$10005,$C156)&gt;0,SUMIFS('①在庫を貼る'!$O$6:$O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O$6:$O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O$6:$O$10005,'月1回_2ヶ月前の在庫'!$V$6:$V$10005,'設定'!$C$4,'月1回_2ヶ月前の在庫'!$W$6:$W$10005,$C156)/COUNTIFS('月1回_2ヶ月前の在庫'!$V$6:$V$10005,'設定'!$C$4,'月1回_2ヶ月前の在庫'!$W$6:$W$10005,$C156),0))))&gt;0,N(IF(COUNTIFS('①在庫を貼る'!$V$6:$V$10005,'設定'!$C$4,'①在庫を貼る'!$W$6:$W$10005,$C156)&gt;0,SUMIFS('①在庫を貼る'!$O$6:$O$10005,'①在庫を貼る'!$V$6:$V$10005,'設定'!$C$4,'①在庫を貼る'!$W$6:$W$10005,$C156)/COUNTIFS('①在庫を貼る'!$V$6:$V$10005,'設定'!$C$4,'①在庫を貼る'!$W$6:$W$10005,$C156),IF(COUNTIFS('月1回_1ヶ月前の在庫'!$V$6:$V$10005,'設定'!$C$4,'月1回_1ヶ月前の在庫'!$W$6:$W$10005,$C156)&gt;0,SUMIFS('月1回_1ヶ月前の在庫'!$O$6:$O$10005,'月1回_1ヶ月前の在庫'!$V$6:$V$10005,'設定'!$C$4,'月1回_1ヶ月前の在庫'!$W$6:$W$10005,$C156)/COUNTIFS('月1回_1ヶ月前の在庫'!$V$6:$V$10005,'設定'!$C$4,'月1回_1ヶ月前の在庫'!$W$6:$W$10005,$C156),IF(COUNTIFS('月1回_2ヶ月前の在庫'!$V$6:$V$10005,'設定'!$C$4,'月1回_2ヶ月前の在庫'!$W$6:$W$10005,$C156)&gt;0,SUMIFS('月1回_2ヶ月前の在庫'!$O$6:$O$10005,'月1回_2ヶ月前の在庫'!$V$6:$V$10005,'設定'!$C$4,'月1回_2ヶ月前の在庫'!$W$6:$W$10005,$C156)/COUNTIFS('月1回_2ヶ月前の在庫'!$V$6:$V$10005,'設定'!$C$4,'月1回_2ヶ月前の在庫'!$W$6:$W$10005,$C156),0)))),"")))</f>
        <v/>
      </c>
      <c r="P156" s="90">
        <f>IF($C156="","",IF('②発注する'!$I160="","",'②発注する'!$I160))</f>
        <v/>
      </c>
      <c r="Q156">
        <f>IF($C156="","",IF('②発注する'!$J160="","",'②発注する'!$J160))</f>
        <v/>
      </c>
      <c r="R156">
        <f>IF($C156="",0,IF(AND(ISNUMBER($P156),ISNUMBER($Q156)),MAX(0,$Q156)*$G156,0))</f>
        <v/>
      </c>
      <c r="S156" s="90">
        <f>IF($C156="","",IF('②発注する'!$M160="","",'②発注する'!$M160))</f>
        <v/>
      </c>
      <c r="T156">
        <f>IF($C156="","",IF('②発注する'!$N160="","",'②発注する'!$N160))</f>
        <v/>
      </c>
      <c r="U156">
        <f>IF($C156="",0,IF(AND(ISNUMBER($S156),ISNUMBER($T156)),MAX(0,$T156)*$G156,0))</f>
        <v/>
      </c>
      <c r="V156">
        <f>IF($C156="",0,IF($M156="",0,MAX(0,$M156)*MAX(0,V$4)/100))</f>
        <v/>
      </c>
      <c r="W156">
        <f>IF($C156="",0,IF($M156="",0,MAX(0,$M156)*MAX(0,W$4)/100))</f>
        <v/>
      </c>
      <c r="X156">
        <f>IF($C156="",0,IF($M156="",0,MAX(0,$M156)*MAX(0,X$4)/100))</f>
        <v/>
      </c>
      <c r="Y156">
        <f>IF($C156="",0,IF($M156="",0,MAX(0,$M156)*MAX(0,Y$4)/100))</f>
        <v/>
      </c>
      <c r="Z156">
        <f>IF($C156="",0,IF($M156="",0,MAX(0,$M156)*MAX(0,Z$4)/100))</f>
        <v/>
      </c>
      <c r="AA156">
        <f>IF($C156="",0,IF($M156="",0,MAX(0,$M156)*MAX(0,AA$4)/100))</f>
        <v/>
      </c>
      <c r="AB156">
        <f>IF($C156="",0,IF($M156="",0,MAX(0,$M156)*MAX(0,AB$4)/100))</f>
        <v/>
      </c>
      <c r="AC156">
        <f>IF($C156="",0,IF($M156="",0,MAX(0,$M156)*MAX(0,AC$4)/100))</f>
        <v/>
      </c>
      <c r="AD156">
        <f>IF($C156="",0,IF($M156="",0,MAX(0,$M156)*MAX(0,AD$4)/100))</f>
        <v/>
      </c>
      <c r="AE156">
        <f>IF($C156="",0,IF($M156="",0,MAX(0,$M156)*MAX(0,AE$4)/100))</f>
        <v/>
      </c>
      <c r="AF156">
        <f>IF($C156="",0,IF($M156="",0,MAX(0,$M156)*MAX(0,AF$4)/100))</f>
        <v/>
      </c>
      <c r="AG156">
        <f>IF($C156="",0,IF($M156="",0,MAX(0,$M156)*MAX(0,AG$4)/100))</f>
        <v/>
      </c>
      <c r="AH156">
        <f>IF($C156="",0,IF($M156="",0,MAX(0,$M156)*MAX(0,AH$4)/100))</f>
        <v/>
      </c>
      <c r="AI156">
        <f>IF($C156="",0,IF($M156="",0,MAX(0,$M156)*MAX(0,AI$4)/100))</f>
        <v/>
      </c>
      <c r="AJ156">
        <f>IF($C156="",0,MAX(0,MAX(0,N($L156))-$V156))</f>
        <v/>
      </c>
      <c r="AK156">
        <f>IF($C156="",0,MAX(0,$AJ156-$W156))</f>
        <v/>
      </c>
      <c r="AL156">
        <f>IF($C156="",0,MAX(0,$AK156-$X156))</f>
        <v/>
      </c>
      <c r="AM156">
        <f>IF($C156="",0,MAX(0,$AL156-$Y156))</f>
        <v/>
      </c>
      <c r="AN156">
        <f>IF($C156="",0,MAX(0,$AM156-$Z156))</f>
        <v/>
      </c>
      <c r="AO156">
        <f>IF($C156="",0,MAX(0,$AN156-$AA156))</f>
        <v/>
      </c>
      <c r="AP156">
        <f>IF($C156="",0,MAX(0,$AO156-$AB156))</f>
        <v/>
      </c>
      <c r="AQ156">
        <f>IF($C156="",0,MAX(0,$AP156-$AC156))</f>
        <v/>
      </c>
      <c r="AR156">
        <f>IF($C156="",0,MAX(0,$AQ156-$AD156))</f>
        <v/>
      </c>
      <c r="AS156">
        <f>IF($C156="",0,MAX(0,$AR156-$AE156))</f>
        <v/>
      </c>
      <c r="AT156">
        <f>IF($C156="",0,MAX(0,$AS156-$AF156))</f>
        <v/>
      </c>
      <c r="AU156">
        <f>IF($C156="",0,MAX(0,$AT156-$AG156))</f>
        <v/>
      </c>
      <c r="AV156">
        <f>IF($C156="",0,MAX(0,$AU156-$AH156))</f>
        <v/>
      </c>
      <c r="AW156">
        <f>IF($C156="",0,MAX(0,$AV156-$AI156))</f>
        <v/>
      </c>
      <c r="AX156">
        <f>IF($C156="",0,MAX(0,MAX(0,N($L156))+IF($P156=V$3,$R156,0)+IF($S156=V$3,$U156,0)-$V156))</f>
        <v/>
      </c>
      <c r="AY156">
        <f>IF($C156="",0,MAX(0,$AX156+IF($P156=W$3,$R156,0)+IF($S156=W$3,$U156,0)-$W156))</f>
        <v/>
      </c>
      <c r="AZ156">
        <f>IF($C156="",0,MAX(0,$AY156+IF($P156=X$3,$R156,0)+IF($S156=X$3,$U156,0)-$X156))</f>
        <v/>
      </c>
      <c r="BA156">
        <f>IF($C156="",0,MAX(0,$AZ156+IF($P156=Y$3,$R156,0)+IF($S156=Y$3,$U156,0)-$Y156))</f>
        <v/>
      </c>
      <c r="BB156">
        <f>IF($C156="",0,MAX(0,$BA156+IF($P156=Z$3,$R156,0)+IF($S156=Z$3,$U156,0)-$Z156))</f>
        <v/>
      </c>
      <c r="BC156">
        <f>IF($C156="",0,MAX(0,$BB156+IF($P156=AA$3,$R156,0)+IF($S156=AA$3,$U156,0)-$AA156))</f>
        <v/>
      </c>
      <c r="BD156">
        <f>IF($C156="",0,MAX(0,$BC156+IF($P156=AB$3,$R156,0)+IF($S156=AB$3,$U156,0)-$AB156))</f>
        <v/>
      </c>
      <c r="BE156">
        <f>IF($C156="",0,MAX(0,$BD156+IF($P156=AC$3,$R156,0)+IF($S156=AC$3,$U156,0)-$AC156))</f>
        <v/>
      </c>
      <c r="BF156">
        <f>IF($C156="",0,MAX(0,$BE156+IF($P156=AD$3,$R156,0)+IF($S156=AD$3,$U156,0)-$AD156))</f>
        <v/>
      </c>
      <c r="BG156">
        <f>IF($C156="",0,MAX(0,$BF156+IF($P156=AE$3,$R156,0)+IF($S156=AE$3,$U156,0)-$AE156))</f>
        <v/>
      </c>
      <c r="BH156">
        <f>IF($C156="",0,MAX(0,$BG156+IF($P156=AF$3,$R156,0)+IF($S156=AF$3,$U156,0)-$AF156))</f>
        <v/>
      </c>
      <c r="BI156">
        <f>IF($C156="",0,MAX(0,$BH156+IF($P156=AG$3,$R156,0)+IF($S156=AG$3,$U156,0)-$AG156))</f>
        <v/>
      </c>
      <c r="BJ156">
        <f>IF($C156="",0,MAX(0,$BI156+IF($P156=AH$3,$R156,0)+IF($S156=AH$3,$U156,0)-$AH156))</f>
        <v/>
      </c>
      <c r="BK156">
        <f>IF($C156="",0,MAX(0,$BJ156+IF($P156=AI$3,$R156,0)+IF($S156=AI$3,$U156,0)-$AI156))</f>
        <v/>
      </c>
      <c r="BL156">
        <f>IF($C156="",99,IF(AND($AX156&lt;1,V$3&gt;=MAX(N($P156),N($S156))),0,99))</f>
        <v/>
      </c>
      <c r="BM156">
        <f>IF($C156="",99,IF(AND($AY156&lt;1,W$3&gt;=MAX(N($P156),N($S156))),1,99))</f>
        <v/>
      </c>
      <c r="BN156">
        <f>IF($C156="",99,IF(AND($AZ156&lt;1,X$3&gt;=MAX(N($P156),N($S156))),2,99))</f>
        <v/>
      </c>
      <c r="BO156">
        <f>IF($C156="",99,IF(AND($BA156&lt;1,Y$3&gt;=MAX(N($P156),N($S156))),3,99))</f>
        <v/>
      </c>
      <c r="BP156">
        <f>IF($C156="",99,IF(AND($BB156&lt;1,Z$3&gt;=MAX(N($P156),N($S156))),4,99))</f>
        <v/>
      </c>
      <c r="BQ156">
        <f>IF($C156="",99,IF(AND($BC156&lt;1,AA$3&gt;=MAX(N($P156),N($S156))),5,99))</f>
        <v/>
      </c>
      <c r="BR156">
        <f>IF($C156="",99,IF(AND($BD156&lt;1,AB$3&gt;=MAX(N($P156),N($S156))),6,99))</f>
        <v/>
      </c>
      <c r="BS156">
        <f>IF($C156="",99,IF(AND($BE156&lt;1,AC$3&gt;=MAX(N($P156),N($S156))),7,99))</f>
        <v/>
      </c>
      <c r="BT156">
        <f>IF($C156="",99,IF(AND($BF156&lt;1,AD$3&gt;=MAX(N($P156),N($S156))),8,99))</f>
        <v/>
      </c>
      <c r="BU156">
        <f>IF($C156="",99,IF(AND($BG156&lt;1,AE$3&gt;=MAX(N($P156),N($S156))),9,99))</f>
        <v/>
      </c>
      <c r="BV156">
        <f>IF($C156="",99,IF(AND($BH156&lt;1,AF$3&gt;=MAX(N($P156),N($S156))),10,99))</f>
        <v/>
      </c>
      <c r="BW156">
        <f>IF($C156="",99,IF(AND($BI156&lt;1,AG$3&gt;=MAX(N($P156),N($S156))),11,99))</f>
        <v/>
      </c>
      <c r="BX156">
        <f>IF($C156="",99,IF(AND($BJ156&lt;1,AH$3&gt;=MAX(N($P156),N($S156))),12,99))</f>
        <v/>
      </c>
      <c r="BY156">
        <f>IF($C156="",99,IF(AND($BK156&lt;1,AI$3&gt;=MAX(N($P156),N($S156))),13,99))</f>
        <v/>
      </c>
      <c r="BZ156">
        <f>IF(OR($C156="",$M156=""),"",COUNTIF($AJ156:$AW156,"&gt;=1"))</f>
        <v/>
      </c>
      <c r="CA156" s="90">
        <f>IF($BZ156="","",IF($BZ156&gt;=14,"",'設定'!$C$6+$BZ156))</f>
        <v/>
      </c>
      <c r="CB156">
        <f>IF(OR($C156="",$M156=""),"",MIN($BL156:$BY156))</f>
        <v/>
      </c>
      <c r="CC156" s="90">
        <f>IF($CB156="","",IF($CB156&gt;=99,"",'設定'!$C$6+$CB156))</f>
        <v/>
      </c>
      <c r="CD156">
        <f>IF(OR($C156="",$M156=""),"",AVERAGE($V156:$AI156))</f>
        <v/>
      </c>
      <c r="CE156">
        <f>IF($C156="","",IFERROR(IF(MATCH(IF(ISNUMBER($P156),$P156,'設定'!$C$6+N('設定'!$C$7)),$V$3:$AI$3,0)=1,MAX(0,N($L156)),INDEX($AJ156:$AW156,MATCH(IF(ISNUMBER($P156),$P156,'設定'!$C$6+N('設定'!$C$7)),$V$3:$AI$3,0)-1)),""))</f>
        <v/>
      </c>
      <c r="CF156">
        <f>IF(OR($C156="",$O156="",$CE156=""),"",IF($O156-$CE156&lt;=0,0,ROUNDUP(($O156-$CE156)/$G156,0)))</f>
        <v/>
      </c>
      <c r="CG156">
        <f>IF(OR($C156="",$CF156="",NOT(ISNUMBER($Q156))),0,MAX(0,$Q156-$CF156))</f>
        <v/>
      </c>
      <c r="CH156">
        <f>IF(OR($C156="",$O156="",$U156=0),0,IFERROR(ROUNDUP(MAX(0,IF(MATCH($S156,$V$3:$AI$3,0)=1,MAX(0,N($L156)),INDEX($AX156:$BK156,MATCH($S156,$V$3:$AI$3,0)-1))+$U156-$O156)/$G156,0),0))</f>
        <v/>
      </c>
      <c r="CI156">
        <f>IF($C156="","",IF(AND($P156="",$Q156=""),"",IF($P156="","⚠ 入庫日を ▼ から選んでください",IF(NOT(ISNUMBER($P156)),"⚠ 入庫日は ▼ から選んでください",IF($P156&lt;N('設定'!$C$6),"⚠ 入庫日が過去です（もう在庫に入っています）→ 消してください",IF($P156&gt;N('設定'!$C$6)+13,"⚠ 入庫日が14日より先です",IF(N($Q156)&lt;=0,"⚠ 入庫数を入れてください",IF($CG156&gt;0,"⚠ 目安より "&amp;$CG156&amp;" 多い（定数を超える）→ 減らす",""))))))))</f>
        <v/>
      </c>
      <c r="CJ156">
        <f>IF($C156="","",IF(AND($S156="",$T156=""),"",IF($S156="","⚠ 2便目：入庫日を ▼ から選んでください",IF(NOT(ISNUMBER($S156)),"⚠ 2便目：入庫日は ▼ から選んでください",IF($S156&lt;N('設定'!$C$6),"⚠ 2便目：入庫日が過去です（もう在庫に入っています）→ 消してください",IF($S156&gt;N('設定'!$C$6)+13,"⚠ 2便目：入庫日が14日より先です",IF(N($T156)&lt;=0,"⚠ 2便目：入庫数を入れてください",IF($CH156&gt;0,"⚠ 2便目：定数を "&amp;$CH156&amp;" ケース超える → 減らす",""))))))))</f>
        <v/>
      </c>
      <c r="CK156">
        <f>IF(AND($CI156="",N($Q156)&gt;0,ISNUMBER($P156)),1,0)</f>
        <v/>
      </c>
      <c r="CL156">
        <f>IF(AND($CJ156="",N($T156)&gt;0,ISNUMBER($S156)),1,0)</f>
        <v/>
      </c>
      <c r="CM156">
        <f>IF(OR($CK156=1,$CL156=1),1,0)</f>
        <v/>
      </c>
      <c r="CN156">
        <f>IF($C156="",0,($CK156*$R156+$CL156*$U156)*N($H156))</f>
        <v/>
      </c>
      <c r="CO156">
        <f>IF($C156="","",IF($CC156="","入庫後は 14日以上もつ",IF($CC156-N('設定'!$C$7)&lt;='設定'!$C$6,"入庫後も "&amp;TEXT($CC156,"m/d")&amp;"("&amp;CHOOSE(WEEKDAY($CC156),"日","月","火","水","木","金","土")&amp;")"&amp;" に切れる　もう1便を至急発注","入庫後も "&amp;TEXT($CC156,"m/d")&amp;"("&amp;CHOOSE(WEEKDAY($CC156),"日","月","火","水","木","金","土")&amp;")"&amp;" に切れる　"&amp;TEXT($CC156-N('設定'!$C$7),"m/d")&amp;"("&amp;CHOOSE(WEEKDAY($CC156-N('設定'!$C$7)),"日","月","火","水","木","金","土")&amp;")"&amp;" までに次を発注")))</f>
        <v/>
      </c>
      <c r="CP156">
        <f>IF($C156="","",IF('設定'!$C$6="","？ ①在庫を貼る に今日のCSVが貼られていない",IF($CS156=1,"－ 今日のCSVに無い（終売？）",IF($L156&lt;0,"● 在庫がマイナス　数えて「数えた在庫」に入れる",IF($L156=0,"● 在庫なし　至急発注",IF($M156="","？ 減り数が未設定（商品マスタ）",IF($B$3=0,"？ 動員が未入力（動員を入れる）",IF($CA156="","○ 14日以上もつ",IF($BZ156&lt;N('設定'!$C$7),"● "&amp;TEXT($CA156,"m/d")&amp;"("&amp;CHOOSE(WEEKDAY($CA156),"日","月","火","水","木","金","土")&amp;")"&amp;" に切れる　至急発注",IF($BZ156=N('設定'!$C$7),"● "&amp;TEXT($CA156,"m/d")&amp;"("&amp;CHOOSE(WEEKDAY($CA156),"日","月","火","水","木","金","土")&amp;")"&amp;" に切れる　今日発注","△ "&amp;TEXT($CA156,"m/d")&amp;"("&amp;CHOOSE(WEEKDAY($CA156),"日","月","火","水","木","金","土")&amp;")"&amp;" に切れる　"&amp;TEXT($CA156-N('設定'!$C$7),"m/d")&amp;"("&amp;CHOOSE(WEEKDAY($CA156-N('設定'!$C$7)),"日","月","火","水","木","金","土")&amp;")"&amp;" までに発注"))))))))))</f>
        <v/>
      </c>
      <c r="CQ156">
        <f>IF($C156="","",IF(AND($P156="",$Q156="",$S156="",$T156=""),"",IF(AND($P156="",$Q156=""),"⚠ 先に1便目（左の入庫日・入庫数）に入れてください",IF($CI156&lt;&gt;"",$CI156,IF($CJ156&lt;&gt;"",$CJ156,IF($M156="","？ 減り数が未設定（発注書には載ります）",IF($B$3=0,"？ 動員が未入力（発注書には載ります）",IF(AND($CA156&lt;&gt;"",$P156&gt;$CA156),IF($P156&gt;'設定'!$C$6+N('設定'!$C$7),"● "&amp;TEXT($P156,"m/d")&amp;"("&amp;CHOOSE(WEEKDAY($P156),"日","月","火","水","木","金","土")&amp;")"&amp;" の入庫では間に合わない（"&amp;TEXT($CA156,"m/d")&amp;"("&amp;CHOOSE(WEEKDAY($CA156),"日","月","火","水","木","金","土")&amp;")"&amp;" に切れる）　入庫日を早める","△ 欠品 "&amp;TEXT($CA156,"m/d")&amp;"("&amp;CHOOSE(WEEKDAY($CA156),"日","月","火","水","木","金","土")&amp;")"&amp;"〜"&amp;TEXT($P156-1,"m/d")&amp;"("&amp;CHOOSE(WEEKDAY($P156-1),"日","月","火","水","木","金","土")&amp;")"&amp;"　"&amp;$CO156),IF($CC156="","○ "&amp;TEXT($P156,"m/d")&amp;"("&amp;CHOOSE(WEEKDAY($P156),"日","月","火","水","木","金","土")&amp;")"&amp;" 入庫で 14日以上もつ",IF($CC156-N('設定'!$C$7)&lt;='設定'!$C$6,"● 入庫しても "&amp;TEXT($CC156,"m/d")&amp;"("&amp;CHOOSE(WEEKDAY($CC156),"日","月","火","水","木","金","土")&amp;")"&amp;" に切れる　もう1便を至急発注（2便目に入れる）","△ 入庫しても "&amp;TEXT($CC156,"m/d")&amp;"("&amp;CHOOSE(WEEKDAY($CC156),"日","月","火","水","木","金","土")&amp;")"&amp;" に切れる　"&amp;TEXT($CC156-N('設定'!$C$7),"m/d")&amp;"("&amp;CHOOSE(WEEKDAY($CC156-N('設定'!$C$7)),"日","月","火","水","木","金","土")&amp;")"&amp;" までに次を発注（2便目に入れる）"))))))))))</f>
        <v/>
      </c>
      <c r="CR156">
        <f>IF($C156="","",IF($G156&gt;1,"ｹｰｽ("&amp;$G156&amp;"入)","個"))</f>
        <v/>
      </c>
      <c r="CS156">
        <f>IF($C156="",0,IF(COUNTIFS('①在庫を貼る'!$V$6:$V$10005,'設定'!$C$4,'①在庫を貼る'!$W$6:$W$10005,$C156)=0,1,0))</f>
        <v/>
      </c>
      <c r="CT156">
        <f>IF(AND($CK156=1,OR('③発注書'!$C$4="すべて",'③発注書'!$C$4="",$F156='③発注書'!$C$4)),N($CT155)+1,N($CT155))</f>
        <v/>
      </c>
      <c r="CU156">
        <f>IF(AND($CL156=1,OR('③発注書'!$C$4="すべて",'③発注書'!$C$4="",$F156='③発注書'!$C$4)),N($CU155)+1,N($CU155))</f>
        <v/>
      </c>
      <c r="CV156">
        <f>IF($C156="",0,IF(COUNTIFS('①在庫を貼る'!$V$6:$V$10005,'設定'!$C$4,'①在庫を貼る'!$W$6:$W$10005,$C156)&gt;0,1,0))</f>
        <v/>
      </c>
      <c r="CW156">
        <f>IF($C156="",0,IF(COUNTIFS('月1回_1ヶ月前の在庫'!$V$6:$V$10005,'設定'!$C$4,'月1回_1ヶ月前の在庫'!$W$6:$W$10005,$C156)&gt;0,1,0))</f>
        <v/>
      </c>
      <c r="CX156">
        <f>IF($C156="",0,IF(COUNTIFS('月1回_2ヶ月前の在庫'!$V$6:$V$10005,'設定'!$C$4,'月1回_2ヶ月前の在庫'!$W$6:$W$10005,$C156)&gt;0,1,0))</f>
        <v/>
      </c>
      <c r="CY156">
        <f>IF(OR($C156="",'設定'!$C$12=""),"",IF('設定'!$C$13="",IF(AND($CV156=1,$CW156=0),"新商品（今月から）",IF(AND($CV156=0,$CW156=1),"終売（今月から）","")),IF(AND($CV156=1,$CW156=0,$CX156=0),"新商品（今月から）",IF(AND($CV156=1,$CW156=1,$CX156=0),"新商品（先月から）",IF(AND($CV156=0,$CW156=1,$CX156=1),"終売（今月から）",IF(AND($CV156=0,$CW156=0,$CX156=1),"終売（先月から）",IF(AND($CV156=1,$CW156=0,$CX156=1),"復活（先月は無し）","")))))))</f>
        <v/>
      </c>
    </row>
    <row r="157">
      <c r="B157">
        <f>IF(152&lt;='設定'!$C$11,152,"")</f>
        <v/>
      </c>
      <c r="C157">
        <f>IF($B157="","",IF($B157&lt;='設定'!$C$20,INDEX('商品マスタ'!$B$6:$B$1005,MATCH($B157,'商品マスタ'!$M$6:$M$1005,0)),IF($B157&lt;='設定'!$C$20+'設定'!$C$17,INDEX('①在庫を貼る'!$W$6:$W$10005,MATCH($B157-'設定'!$C$20,'①在庫を貼る'!$U$6:$U$10005,0)),IF($B157&lt;='設定'!$C$20+'設定'!$C$17+'設定'!$C$18,INDEX('月1回_1ヶ月前の在庫'!$W$6:$W$10005,MATCH($B157-'設定'!$C$20-'設定'!$C$17,'月1回_1ヶ月前の在庫'!$U$6:$U$10005,0)),INDEX('月1回_2ヶ月前の在庫'!$W$6:$W$10005,MATCH($B157-'設定'!$C$20-'設定'!$C$17-'設定'!$C$18,'月1回_2ヶ月前の在庫'!$U$6:$U$10005,0))))))</f>
        <v/>
      </c>
      <c r="D157">
        <f>IF($C157="","",IFERROR(IF(INDEX('商品マスタ'!$C$6:$C$1005,MATCH($C157,'商品マスタ'!$B$6:$B$1005,0))="",IFERROR(INDEX('①在庫を貼る'!$J$6:$J$10005,MATCH($C157,'①在庫を貼る'!$W$6:$W$10005,0)),IFERROR(INDEX('月1回_1ヶ月前の在庫'!$J$6:$J$10005,MATCH($C157,'月1回_1ヶ月前の在庫'!$W$6:$W$10005,0)),IFERROR(INDEX('月1回_2ヶ月前の在庫'!$J$6:$J$10005,MATCH($C157,'月1回_2ヶ月前の在庫'!$W$6:$W$10005,0)),""))),INDEX('商品マスタ'!$C$6:$C$1005,MATCH($C157,'商品マスタ'!$B$6:$B$1005,0))),IFERROR(INDEX('①在庫を貼る'!$J$6:$J$10005,MATCH($C157,'①在庫を貼る'!$W$6:$W$10005,0)),IFERROR(INDEX('月1回_1ヶ月前の在庫'!$J$6:$J$10005,MATCH($C157,'月1回_1ヶ月前の在庫'!$W$6:$W$10005,0)),IFERROR(INDEX('月1回_2ヶ月前の在庫'!$J$6:$J$10005,MATCH($C157,'月1回_2ヶ月前の在庫'!$W$6:$W$10005,0)),"")))))</f>
        <v/>
      </c>
      <c r="E157">
        <f>IF($C157="","",IFERROR(IF(INDEX('商品マスタ'!$D$6:$D$1005,MATCH($C157,'商品マスタ'!$B$6:$B$1005,0))="",IFERROR(INDEX('①在庫を貼る'!$H$6:$H$10005,MATCH($C157,'①在庫を貼る'!$W$6:$W$10005,0)),IFERROR(INDEX('月1回_1ヶ月前の在庫'!$H$6:$H$10005,MATCH($C157,'月1回_1ヶ月前の在庫'!$W$6:$W$10005,0)),IFERROR(INDEX('月1回_2ヶ月前の在庫'!$H$6:$H$10005,MATCH($C157,'月1回_2ヶ月前の在庫'!$W$6:$W$10005,0)),""))),INDEX('商品マスタ'!$D$6:$D$1005,MATCH($C157,'商品マスタ'!$B$6:$B$1005,0))),IFERROR(INDEX('①在庫を貼る'!$H$6:$H$10005,MATCH($C157,'①在庫を貼る'!$W$6:$W$10005,0)),IFERROR(INDEX('月1回_1ヶ月前の在庫'!$H$6:$H$10005,MATCH($C157,'月1回_1ヶ月前の在庫'!$W$6:$W$10005,0)),IFERROR(INDEX('月1回_2ヶ月前の在庫'!$H$6:$H$10005,MATCH($C157,'月1回_2ヶ月前の在庫'!$W$6:$W$10005,0)),"")))))</f>
        <v/>
      </c>
      <c r="F157">
        <f>IF($C157="","",IFERROR(IF(INDEX('商品マスタ'!$E$6:$E$1005,MATCH($C157,'商品マスタ'!$B$6:$B$1005,0))="",IFERROR(INDEX('①在庫を貼る'!$E$6:$E$10005,MATCH($C157,'①在庫を貼る'!$W$6:$W$10005,0)),IFERROR(INDEX('月1回_1ヶ月前の在庫'!$E$6:$E$10005,MATCH($C157,'月1回_1ヶ月前の在庫'!$W$6:$W$10005,0)),IFERROR(INDEX('月1回_2ヶ月前の在庫'!$E$6:$E$10005,MATCH($C157,'月1回_2ヶ月前の在庫'!$W$6:$W$10005,0)),""))),INDEX('商品マスタ'!$E$6:$E$1005,MATCH($C157,'商品マスタ'!$B$6:$B$1005,0))),IFERROR(INDEX('①在庫を貼る'!$E$6:$E$10005,MATCH($C157,'①在庫を貼る'!$W$6:$W$10005,0)),IFERROR(INDEX('月1回_1ヶ月前の在庫'!$E$6:$E$10005,MATCH($C157,'月1回_1ヶ月前の在庫'!$W$6:$W$10005,0)),IFERROR(INDEX('月1回_2ヶ月前の在庫'!$E$6:$E$10005,MATCH($C157,'月1回_2ヶ月前の在庫'!$W$6:$W$10005,0)),"")))))</f>
        <v/>
      </c>
      <c r="G157">
        <f>IF($C157="","",MAX(1,N(IFERROR(IF(INDEX('商品マスタ'!$F$6:$F$1005,MATCH($C157,'商品マスタ'!$B$6:$B$1005,0))="",IF(COUNTIFS('①在庫を貼る'!$V$6:$V$10005,'設定'!$C$4,'①在庫を貼る'!$W$6:$W$10005,$C157)&gt;0,SUMIFS('①在庫を貼る'!$K$6:$K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K$6:$K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K$6:$K$10005,'月1回_2ヶ月前の在庫'!$V$6:$V$10005,'設定'!$C$4,'月1回_2ヶ月前の在庫'!$W$6:$W$10005,$C157)/COUNTIFS('月1回_2ヶ月前の在庫'!$V$6:$V$10005,'設定'!$C$4,'月1回_2ヶ月前の在庫'!$W$6:$W$10005,$C157),0))),INDEX('商品マスタ'!$F$6:$F$1005,MATCH($C157,'商品マスタ'!$B$6:$B$1005,0))),IF(COUNTIFS('①在庫を貼る'!$V$6:$V$10005,'設定'!$C$4,'①在庫を貼る'!$W$6:$W$10005,$C157)&gt;0,SUMIFS('①在庫を貼る'!$K$6:$K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K$6:$K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K$6:$K$10005,'月1回_2ヶ月前の在庫'!$V$6:$V$10005,'設定'!$C$4,'月1回_2ヶ月前の在庫'!$W$6:$W$10005,$C157)/COUNTIFS('月1回_2ヶ月前の在庫'!$V$6:$V$10005,'設定'!$C$4,'月1回_2ヶ月前の在庫'!$W$6:$W$10005,$C157),0)))))))</f>
        <v/>
      </c>
      <c r="H157">
        <f>IF($C157="","",N(IFERROR(IF(INDEX('商品マスタ'!$G$6:$G$1005,MATCH($C157,'商品マスタ'!$B$6:$B$1005,0))="",IF(COUNTIFS('①在庫を貼る'!$V$6:$V$10005,'設定'!$C$4,'①在庫を貼る'!$W$6:$W$10005,$C157)&gt;0,SUMIFS('①在庫を貼る'!$Q$6:$Q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Q$6:$Q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Q$6:$Q$10005,'月1回_2ヶ月前の在庫'!$V$6:$V$10005,'設定'!$C$4,'月1回_2ヶ月前の在庫'!$W$6:$W$10005,$C157)/COUNTIFS('月1回_2ヶ月前の在庫'!$V$6:$V$10005,'設定'!$C$4,'月1回_2ヶ月前の在庫'!$W$6:$W$10005,$C157),0))),INDEX('商品マスタ'!$G$6:$G$1005,MATCH($C157,'商品マスタ'!$B$6:$B$1005,0))),IF(COUNTIFS('①在庫を貼る'!$V$6:$V$10005,'設定'!$C$4,'①在庫を貼る'!$W$6:$W$10005,$C157)&gt;0,SUMIFS('①在庫を貼る'!$Q$6:$Q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Q$6:$Q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Q$6:$Q$10005,'月1回_2ヶ月前の在庫'!$V$6:$V$10005,'設定'!$C$4,'月1回_2ヶ月前の在庫'!$W$6:$W$10005,$C157)/COUNTIFS('月1回_2ヶ月前の在庫'!$V$6:$V$10005,'設定'!$C$4,'月1回_2ヶ月前の在庫'!$W$6:$W$10005,$C157),0))))))</f>
        <v/>
      </c>
      <c r="I157">
        <f>IF($C157="","",IF(COUNTIFS('①在庫を貼る'!$V$6:$V$10005,'設定'!$C$4,'①在庫を貼る'!$W$6:$W$10005,$C157)=0,"",SUMIFS('①在庫を貼る'!$N$6:$N$10005,'①在庫を貼る'!$V$6:$V$10005,'設定'!$C$4,'①在庫を貼る'!$W$6:$W$10005,$C157)))</f>
        <v/>
      </c>
      <c r="J157">
        <f>IF($C157="","",IF('②発注する'!$AD161="","",'②発注する'!$AD161))</f>
        <v/>
      </c>
      <c r="K157" s="90">
        <f>IF($C157="","",IF('②発注する'!$AE161="","",'②発注する'!$AE161))</f>
        <v/>
      </c>
      <c r="L157">
        <f>IF($C157="","",IF(AND(ISNUMBER($J157),ISNUMBER($K157),$K157&gt;='設定'!$C$6),$J157,N($I157)))</f>
        <v/>
      </c>
      <c r="M157">
        <f>IF($C157="","",IFERROR(IF(N(INDEX('商品マスタ'!$J$6:$J$1005,MATCH($C157,'商品マスタ'!$B$6:$B$1005,0)))&gt;0,INDEX('商品マスタ'!$J$6:$J$1005,MATCH($C157,'商品マスタ'!$B$6:$B$1005,0)),""),""))</f>
        <v/>
      </c>
      <c r="N157">
        <f>IF($C157="","",IFERROR(IF(N(INDEX('商品マスタ'!$H$6:$H$1005,MATCH($C157,'商品マスタ'!$B$6:$B$1005,0)))&gt;0,INDEX('商品マスタ'!$H$6:$H$1005,MATCH($C157,'商品マスタ'!$B$6:$B$1005,0)),""),""))</f>
        <v/>
      </c>
      <c r="O157">
        <f>IF($C157="","",IF($N157&lt;&gt;"",$N157*$G157,IF(N(IF(COUNTIFS('①在庫を貼る'!$V$6:$V$10005,'設定'!$C$4,'①在庫を貼る'!$W$6:$W$10005,$C157)&gt;0,SUMIFS('①在庫を貼る'!$O$6:$O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O$6:$O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O$6:$O$10005,'月1回_2ヶ月前の在庫'!$V$6:$V$10005,'設定'!$C$4,'月1回_2ヶ月前の在庫'!$W$6:$W$10005,$C157)/COUNTIFS('月1回_2ヶ月前の在庫'!$V$6:$V$10005,'設定'!$C$4,'月1回_2ヶ月前の在庫'!$W$6:$W$10005,$C157),0))))&gt;0,N(IF(COUNTIFS('①在庫を貼る'!$V$6:$V$10005,'設定'!$C$4,'①在庫を貼る'!$W$6:$W$10005,$C157)&gt;0,SUMIFS('①在庫を貼る'!$O$6:$O$10005,'①在庫を貼る'!$V$6:$V$10005,'設定'!$C$4,'①在庫を貼る'!$W$6:$W$10005,$C157)/COUNTIFS('①在庫を貼る'!$V$6:$V$10005,'設定'!$C$4,'①在庫を貼る'!$W$6:$W$10005,$C157),IF(COUNTIFS('月1回_1ヶ月前の在庫'!$V$6:$V$10005,'設定'!$C$4,'月1回_1ヶ月前の在庫'!$W$6:$W$10005,$C157)&gt;0,SUMIFS('月1回_1ヶ月前の在庫'!$O$6:$O$10005,'月1回_1ヶ月前の在庫'!$V$6:$V$10005,'設定'!$C$4,'月1回_1ヶ月前の在庫'!$W$6:$W$10005,$C157)/COUNTIFS('月1回_1ヶ月前の在庫'!$V$6:$V$10005,'設定'!$C$4,'月1回_1ヶ月前の在庫'!$W$6:$W$10005,$C157),IF(COUNTIFS('月1回_2ヶ月前の在庫'!$V$6:$V$10005,'設定'!$C$4,'月1回_2ヶ月前の在庫'!$W$6:$W$10005,$C157)&gt;0,SUMIFS('月1回_2ヶ月前の在庫'!$O$6:$O$10005,'月1回_2ヶ月前の在庫'!$V$6:$V$10005,'設定'!$C$4,'月1回_2ヶ月前の在庫'!$W$6:$W$10005,$C157)/COUNTIFS('月1回_2ヶ月前の在庫'!$V$6:$V$10005,'設定'!$C$4,'月1回_2ヶ月前の在庫'!$W$6:$W$10005,$C157),0)))),"")))</f>
        <v/>
      </c>
      <c r="P157" s="90">
        <f>IF($C157="","",IF('②発注する'!$I161="","",'②発注する'!$I161))</f>
        <v/>
      </c>
      <c r="Q157">
        <f>IF($C157="","",IF('②発注する'!$J161="","",'②発注する'!$J161))</f>
        <v/>
      </c>
      <c r="R157">
        <f>IF($C157="",0,IF(AND(ISNUMBER($P157),ISNUMBER($Q157)),MAX(0,$Q157)*$G157,0))</f>
        <v/>
      </c>
      <c r="S157" s="90">
        <f>IF($C157="","",IF('②発注する'!$M161="","",'②発注する'!$M161))</f>
        <v/>
      </c>
      <c r="T157">
        <f>IF($C157="","",IF('②発注する'!$N161="","",'②発注する'!$N161))</f>
        <v/>
      </c>
      <c r="U157">
        <f>IF($C157="",0,IF(AND(ISNUMBER($S157),ISNUMBER($T157)),MAX(0,$T157)*$G157,0))</f>
        <v/>
      </c>
      <c r="V157">
        <f>IF($C157="",0,IF($M157="",0,MAX(0,$M157)*MAX(0,V$4)/100))</f>
        <v/>
      </c>
      <c r="W157">
        <f>IF($C157="",0,IF($M157="",0,MAX(0,$M157)*MAX(0,W$4)/100))</f>
        <v/>
      </c>
      <c r="X157">
        <f>IF($C157="",0,IF($M157="",0,MAX(0,$M157)*MAX(0,X$4)/100))</f>
        <v/>
      </c>
      <c r="Y157">
        <f>IF($C157="",0,IF($M157="",0,MAX(0,$M157)*MAX(0,Y$4)/100))</f>
        <v/>
      </c>
      <c r="Z157">
        <f>IF($C157="",0,IF($M157="",0,MAX(0,$M157)*MAX(0,Z$4)/100))</f>
        <v/>
      </c>
      <c r="AA157">
        <f>IF($C157="",0,IF($M157="",0,MAX(0,$M157)*MAX(0,AA$4)/100))</f>
        <v/>
      </c>
      <c r="AB157">
        <f>IF($C157="",0,IF($M157="",0,MAX(0,$M157)*MAX(0,AB$4)/100))</f>
        <v/>
      </c>
      <c r="AC157">
        <f>IF($C157="",0,IF($M157="",0,MAX(0,$M157)*MAX(0,AC$4)/100))</f>
        <v/>
      </c>
      <c r="AD157">
        <f>IF($C157="",0,IF($M157="",0,MAX(0,$M157)*MAX(0,AD$4)/100))</f>
        <v/>
      </c>
      <c r="AE157">
        <f>IF($C157="",0,IF($M157="",0,MAX(0,$M157)*MAX(0,AE$4)/100))</f>
        <v/>
      </c>
      <c r="AF157">
        <f>IF($C157="",0,IF($M157="",0,MAX(0,$M157)*MAX(0,AF$4)/100))</f>
        <v/>
      </c>
      <c r="AG157">
        <f>IF($C157="",0,IF($M157="",0,MAX(0,$M157)*MAX(0,AG$4)/100))</f>
        <v/>
      </c>
      <c r="AH157">
        <f>IF($C157="",0,IF($M157="",0,MAX(0,$M157)*MAX(0,AH$4)/100))</f>
        <v/>
      </c>
      <c r="AI157">
        <f>IF($C157="",0,IF($M157="",0,MAX(0,$M157)*MAX(0,AI$4)/100))</f>
        <v/>
      </c>
      <c r="AJ157">
        <f>IF($C157="",0,MAX(0,MAX(0,N($L157))-$V157))</f>
        <v/>
      </c>
      <c r="AK157">
        <f>IF($C157="",0,MAX(0,$AJ157-$W157))</f>
        <v/>
      </c>
      <c r="AL157">
        <f>IF($C157="",0,MAX(0,$AK157-$X157))</f>
        <v/>
      </c>
      <c r="AM157">
        <f>IF($C157="",0,MAX(0,$AL157-$Y157))</f>
        <v/>
      </c>
      <c r="AN157">
        <f>IF($C157="",0,MAX(0,$AM157-$Z157))</f>
        <v/>
      </c>
      <c r="AO157">
        <f>IF($C157="",0,MAX(0,$AN157-$AA157))</f>
        <v/>
      </c>
      <c r="AP157">
        <f>IF($C157="",0,MAX(0,$AO157-$AB157))</f>
        <v/>
      </c>
      <c r="AQ157">
        <f>IF($C157="",0,MAX(0,$AP157-$AC157))</f>
        <v/>
      </c>
      <c r="AR157">
        <f>IF($C157="",0,MAX(0,$AQ157-$AD157))</f>
        <v/>
      </c>
      <c r="AS157">
        <f>IF($C157="",0,MAX(0,$AR157-$AE157))</f>
        <v/>
      </c>
      <c r="AT157">
        <f>IF($C157="",0,MAX(0,$AS157-$AF157))</f>
        <v/>
      </c>
      <c r="AU157">
        <f>IF($C157="",0,MAX(0,$AT157-$AG157))</f>
        <v/>
      </c>
      <c r="AV157">
        <f>IF($C157="",0,MAX(0,$AU157-$AH157))</f>
        <v/>
      </c>
      <c r="AW157">
        <f>IF($C157="",0,MAX(0,$AV157-$AI157))</f>
        <v/>
      </c>
      <c r="AX157">
        <f>IF($C157="",0,MAX(0,MAX(0,N($L157))+IF($P157=V$3,$R157,0)+IF($S157=V$3,$U157,0)-$V157))</f>
        <v/>
      </c>
      <c r="AY157">
        <f>IF($C157="",0,MAX(0,$AX157+IF($P157=W$3,$R157,0)+IF($S157=W$3,$U157,0)-$W157))</f>
        <v/>
      </c>
      <c r="AZ157">
        <f>IF($C157="",0,MAX(0,$AY157+IF($P157=X$3,$R157,0)+IF($S157=X$3,$U157,0)-$X157))</f>
        <v/>
      </c>
      <c r="BA157">
        <f>IF($C157="",0,MAX(0,$AZ157+IF($P157=Y$3,$R157,0)+IF($S157=Y$3,$U157,0)-$Y157))</f>
        <v/>
      </c>
      <c r="BB157">
        <f>IF($C157="",0,MAX(0,$BA157+IF($P157=Z$3,$R157,0)+IF($S157=Z$3,$U157,0)-$Z157))</f>
        <v/>
      </c>
      <c r="BC157">
        <f>IF($C157="",0,MAX(0,$BB157+IF($P157=AA$3,$R157,0)+IF($S157=AA$3,$U157,0)-$AA157))</f>
        <v/>
      </c>
      <c r="BD157">
        <f>IF($C157="",0,MAX(0,$BC157+IF($P157=AB$3,$R157,0)+IF($S157=AB$3,$U157,0)-$AB157))</f>
        <v/>
      </c>
      <c r="BE157">
        <f>IF($C157="",0,MAX(0,$BD157+IF($P157=AC$3,$R157,0)+IF($S157=AC$3,$U157,0)-$AC157))</f>
        <v/>
      </c>
      <c r="BF157">
        <f>IF($C157="",0,MAX(0,$BE157+IF($P157=AD$3,$R157,0)+IF($S157=AD$3,$U157,0)-$AD157))</f>
        <v/>
      </c>
      <c r="BG157">
        <f>IF($C157="",0,MAX(0,$BF157+IF($P157=AE$3,$R157,0)+IF($S157=AE$3,$U157,0)-$AE157))</f>
        <v/>
      </c>
      <c r="BH157">
        <f>IF($C157="",0,MAX(0,$BG157+IF($P157=AF$3,$R157,0)+IF($S157=AF$3,$U157,0)-$AF157))</f>
        <v/>
      </c>
      <c r="BI157">
        <f>IF($C157="",0,MAX(0,$BH157+IF($P157=AG$3,$R157,0)+IF($S157=AG$3,$U157,0)-$AG157))</f>
        <v/>
      </c>
      <c r="BJ157">
        <f>IF($C157="",0,MAX(0,$BI157+IF($P157=AH$3,$R157,0)+IF($S157=AH$3,$U157,0)-$AH157))</f>
        <v/>
      </c>
      <c r="BK157">
        <f>IF($C157="",0,MAX(0,$BJ157+IF($P157=AI$3,$R157,0)+IF($S157=AI$3,$U157,0)-$AI157))</f>
        <v/>
      </c>
      <c r="BL157">
        <f>IF($C157="",99,IF(AND($AX157&lt;1,V$3&gt;=MAX(N($P157),N($S157))),0,99))</f>
        <v/>
      </c>
      <c r="BM157">
        <f>IF($C157="",99,IF(AND($AY157&lt;1,W$3&gt;=MAX(N($P157),N($S157))),1,99))</f>
        <v/>
      </c>
      <c r="BN157">
        <f>IF($C157="",99,IF(AND($AZ157&lt;1,X$3&gt;=MAX(N($P157),N($S157))),2,99))</f>
        <v/>
      </c>
      <c r="BO157">
        <f>IF($C157="",99,IF(AND($BA157&lt;1,Y$3&gt;=MAX(N($P157),N($S157))),3,99))</f>
        <v/>
      </c>
      <c r="BP157">
        <f>IF($C157="",99,IF(AND($BB157&lt;1,Z$3&gt;=MAX(N($P157),N($S157))),4,99))</f>
        <v/>
      </c>
      <c r="BQ157">
        <f>IF($C157="",99,IF(AND($BC157&lt;1,AA$3&gt;=MAX(N($P157),N($S157))),5,99))</f>
        <v/>
      </c>
      <c r="BR157">
        <f>IF($C157="",99,IF(AND($BD157&lt;1,AB$3&gt;=MAX(N($P157),N($S157))),6,99))</f>
        <v/>
      </c>
      <c r="BS157">
        <f>IF($C157="",99,IF(AND($BE157&lt;1,AC$3&gt;=MAX(N($P157),N($S157))),7,99))</f>
        <v/>
      </c>
      <c r="BT157">
        <f>IF($C157="",99,IF(AND($BF157&lt;1,AD$3&gt;=MAX(N($P157),N($S157))),8,99))</f>
        <v/>
      </c>
      <c r="BU157">
        <f>IF($C157="",99,IF(AND($BG157&lt;1,AE$3&gt;=MAX(N($P157),N($S157))),9,99))</f>
        <v/>
      </c>
      <c r="BV157">
        <f>IF($C157="",99,IF(AND($BH157&lt;1,AF$3&gt;=MAX(N($P157),N($S157))),10,99))</f>
        <v/>
      </c>
      <c r="BW157">
        <f>IF($C157="",99,IF(AND($BI157&lt;1,AG$3&gt;=MAX(N($P157),N($S157))),11,99))</f>
        <v/>
      </c>
      <c r="BX157">
        <f>IF($C157="",99,IF(AND($BJ157&lt;1,AH$3&gt;=MAX(N($P157),N($S157))),12,99))</f>
        <v/>
      </c>
      <c r="BY157">
        <f>IF($C157="",99,IF(AND($BK157&lt;1,AI$3&gt;=MAX(N($P157),N($S157))),13,99))</f>
        <v/>
      </c>
      <c r="BZ157">
        <f>IF(OR($C157="",$M157=""),"",COUNTIF($AJ157:$AW157,"&gt;=1"))</f>
        <v/>
      </c>
      <c r="CA157" s="90">
        <f>IF($BZ157="","",IF($BZ157&gt;=14,"",'設定'!$C$6+$BZ157))</f>
        <v/>
      </c>
      <c r="CB157">
        <f>IF(OR($C157="",$M157=""),"",MIN($BL157:$BY157))</f>
        <v/>
      </c>
      <c r="CC157" s="90">
        <f>IF($CB157="","",IF($CB157&gt;=99,"",'設定'!$C$6+$CB157))</f>
        <v/>
      </c>
      <c r="CD157">
        <f>IF(OR($C157="",$M157=""),"",AVERAGE($V157:$AI157))</f>
        <v/>
      </c>
      <c r="CE157">
        <f>IF($C157="","",IFERROR(IF(MATCH(IF(ISNUMBER($P157),$P157,'設定'!$C$6+N('設定'!$C$7)),$V$3:$AI$3,0)=1,MAX(0,N($L157)),INDEX($AJ157:$AW157,MATCH(IF(ISNUMBER($P157),$P157,'設定'!$C$6+N('設定'!$C$7)),$V$3:$AI$3,0)-1)),""))</f>
        <v/>
      </c>
      <c r="CF157">
        <f>IF(OR($C157="",$O157="",$CE157=""),"",IF($O157-$CE157&lt;=0,0,ROUNDUP(($O157-$CE157)/$G157,0)))</f>
        <v/>
      </c>
      <c r="CG157">
        <f>IF(OR($C157="",$CF157="",NOT(ISNUMBER($Q157))),0,MAX(0,$Q157-$CF157))</f>
        <v/>
      </c>
      <c r="CH157">
        <f>IF(OR($C157="",$O157="",$U157=0),0,IFERROR(ROUNDUP(MAX(0,IF(MATCH($S157,$V$3:$AI$3,0)=1,MAX(0,N($L157)),INDEX($AX157:$BK157,MATCH($S157,$V$3:$AI$3,0)-1))+$U157-$O157)/$G157,0),0))</f>
        <v/>
      </c>
      <c r="CI157">
        <f>IF($C157="","",IF(AND($P157="",$Q157=""),"",IF($P157="","⚠ 入庫日を ▼ から選んでください",IF(NOT(ISNUMBER($P157)),"⚠ 入庫日は ▼ から選んでください",IF($P157&lt;N('設定'!$C$6),"⚠ 入庫日が過去です（もう在庫に入っています）→ 消してください",IF($P157&gt;N('設定'!$C$6)+13,"⚠ 入庫日が14日より先です",IF(N($Q157)&lt;=0,"⚠ 入庫数を入れてください",IF($CG157&gt;0,"⚠ 目安より "&amp;$CG157&amp;" 多い（定数を超える）→ 減らす",""))))))))</f>
        <v/>
      </c>
      <c r="CJ157">
        <f>IF($C157="","",IF(AND($S157="",$T157=""),"",IF($S157="","⚠ 2便目：入庫日を ▼ から選んでください",IF(NOT(ISNUMBER($S157)),"⚠ 2便目：入庫日は ▼ から選んでください",IF($S157&lt;N('設定'!$C$6),"⚠ 2便目：入庫日が過去です（もう在庫に入っています）→ 消してください",IF($S157&gt;N('設定'!$C$6)+13,"⚠ 2便目：入庫日が14日より先です",IF(N($T157)&lt;=0,"⚠ 2便目：入庫数を入れてください",IF($CH157&gt;0,"⚠ 2便目：定数を "&amp;$CH157&amp;" ケース超える → 減らす",""))))))))</f>
        <v/>
      </c>
      <c r="CK157">
        <f>IF(AND($CI157="",N($Q157)&gt;0,ISNUMBER($P157)),1,0)</f>
        <v/>
      </c>
      <c r="CL157">
        <f>IF(AND($CJ157="",N($T157)&gt;0,ISNUMBER($S157)),1,0)</f>
        <v/>
      </c>
      <c r="CM157">
        <f>IF(OR($CK157=1,$CL157=1),1,0)</f>
        <v/>
      </c>
      <c r="CN157">
        <f>IF($C157="",0,($CK157*$R157+$CL157*$U157)*N($H157))</f>
        <v/>
      </c>
      <c r="CO157">
        <f>IF($C157="","",IF($CC157="","入庫後は 14日以上もつ",IF($CC157-N('設定'!$C$7)&lt;='設定'!$C$6,"入庫後も "&amp;TEXT($CC157,"m/d")&amp;"("&amp;CHOOSE(WEEKDAY($CC157),"日","月","火","水","木","金","土")&amp;")"&amp;" に切れる　もう1便を至急発注","入庫後も "&amp;TEXT($CC157,"m/d")&amp;"("&amp;CHOOSE(WEEKDAY($CC157),"日","月","火","水","木","金","土")&amp;")"&amp;" に切れる　"&amp;TEXT($CC157-N('設定'!$C$7),"m/d")&amp;"("&amp;CHOOSE(WEEKDAY($CC157-N('設定'!$C$7)),"日","月","火","水","木","金","土")&amp;")"&amp;" までに次を発注")))</f>
        <v/>
      </c>
      <c r="CP157">
        <f>IF($C157="","",IF('設定'!$C$6="","？ ①在庫を貼る に今日のCSVが貼られていない",IF($CS157=1,"－ 今日のCSVに無い（終売？）",IF($L157&lt;0,"● 在庫がマイナス　数えて「数えた在庫」に入れる",IF($L157=0,"● 在庫なし　至急発注",IF($M157="","？ 減り数が未設定（商品マスタ）",IF($B$3=0,"？ 動員が未入力（動員を入れる）",IF($CA157="","○ 14日以上もつ",IF($BZ157&lt;N('設定'!$C$7),"● "&amp;TEXT($CA157,"m/d")&amp;"("&amp;CHOOSE(WEEKDAY($CA157),"日","月","火","水","木","金","土")&amp;")"&amp;" に切れる　至急発注",IF($BZ157=N('設定'!$C$7),"● "&amp;TEXT($CA157,"m/d")&amp;"("&amp;CHOOSE(WEEKDAY($CA157),"日","月","火","水","木","金","土")&amp;")"&amp;" に切れる　今日発注","△ "&amp;TEXT($CA157,"m/d")&amp;"("&amp;CHOOSE(WEEKDAY($CA157),"日","月","火","水","木","金","土")&amp;")"&amp;" に切れる　"&amp;TEXT($CA157-N('設定'!$C$7),"m/d")&amp;"("&amp;CHOOSE(WEEKDAY($CA157-N('設定'!$C$7)),"日","月","火","水","木","金","土")&amp;")"&amp;" までに発注"))))))))))</f>
        <v/>
      </c>
      <c r="CQ157">
        <f>IF($C157="","",IF(AND($P157="",$Q157="",$S157="",$T157=""),"",IF(AND($P157="",$Q157=""),"⚠ 先に1便目（左の入庫日・入庫数）に入れてください",IF($CI157&lt;&gt;"",$CI157,IF($CJ157&lt;&gt;"",$CJ157,IF($M157="","？ 減り数が未設定（発注書には載ります）",IF($B$3=0,"？ 動員が未入力（発注書には載ります）",IF(AND($CA157&lt;&gt;"",$P157&gt;$CA157),IF($P157&gt;'設定'!$C$6+N('設定'!$C$7),"● "&amp;TEXT($P157,"m/d")&amp;"("&amp;CHOOSE(WEEKDAY($P157),"日","月","火","水","木","金","土")&amp;")"&amp;" の入庫では間に合わない（"&amp;TEXT($CA157,"m/d")&amp;"("&amp;CHOOSE(WEEKDAY($CA157),"日","月","火","水","木","金","土")&amp;")"&amp;" に切れる）　入庫日を早める","△ 欠品 "&amp;TEXT($CA157,"m/d")&amp;"("&amp;CHOOSE(WEEKDAY($CA157),"日","月","火","水","木","金","土")&amp;")"&amp;"〜"&amp;TEXT($P157-1,"m/d")&amp;"("&amp;CHOOSE(WEEKDAY($P157-1),"日","月","火","水","木","金","土")&amp;")"&amp;"　"&amp;$CO157),IF($CC157="","○ "&amp;TEXT($P157,"m/d")&amp;"("&amp;CHOOSE(WEEKDAY($P157),"日","月","火","水","木","金","土")&amp;")"&amp;" 入庫で 14日以上もつ",IF($CC157-N('設定'!$C$7)&lt;='設定'!$C$6,"● 入庫しても "&amp;TEXT($CC157,"m/d")&amp;"("&amp;CHOOSE(WEEKDAY($CC157),"日","月","火","水","木","金","土")&amp;")"&amp;" に切れる　もう1便を至急発注（2便目に入れる）","△ 入庫しても "&amp;TEXT($CC157,"m/d")&amp;"("&amp;CHOOSE(WEEKDAY($CC157),"日","月","火","水","木","金","土")&amp;")"&amp;" に切れる　"&amp;TEXT($CC157-N('設定'!$C$7),"m/d")&amp;"("&amp;CHOOSE(WEEKDAY($CC157-N('設定'!$C$7)),"日","月","火","水","木","金","土")&amp;")"&amp;" までに次を発注（2便目に入れる）"))))))))))</f>
        <v/>
      </c>
      <c r="CR157">
        <f>IF($C157="","",IF($G157&gt;1,"ｹｰｽ("&amp;$G157&amp;"入)","個"))</f>
        <v/>
      </c>
      <c r="CS157">
        <f>IF($C157="",0,IF(COUNTIFS('①在庫を貼る'!$V$6:$V$10005,'設定'!$C$4,'①在庫を貼る'!$W$6:$W$10005,$C157)=0,1,0))</f>
        <v/>
      </c>
      <c r="CT157">
        <f>IF(AND($CK157=1,OR('③発注書'!$C$4="すべて",'③発注書'!$C$4="",$F157='③発注書'!$C$4)),N($CT156)+1,N($CT156))</f>
        <v/>
      </c>
      <c r="CU157">
        <f>IF(AND($CL157=1,OR('③発注書'!$C$4="すべて",'③発注書'!$C$4="",$F157='③発注書'!$C$4)),N($CU156)+1,N($CU156))</f>
        <v/>
      </c>
      <c r="CV157">
        <f>IF($C157="",0,IF(COUNTIFS('①在庫を貼る'!$V$6:$V$10005,'設定'!$C$4,'①在庫を貼る'!$W$6:$W$10005,$C157)&gt;0,1,0))</f>
        <v/>
      </c>
      <c r="CW157">
        <f>IF($C157="",0,IF(COUNTIFS('月1回_1ヶ月前の在庫'!$V$6:$V$10005,'設定'!$C$4,'月1回_1ヶ月前の在庫'!$W$6:$W$10005,$C157)&gt;0,1,0))</f>
        <v/>
      </c>
      <c r="CX157">
        <f>IF($C157="",0,IF(COUNTIFS('月1回_2ヶ月前の在庫'!$V$6:$V$10005,'設定'!$C$4,'月1回_2ヶ月前の在庫'!$W$6:$W$10005,$C157)&gt;0,1,0))</f>
        <v/>
      </c>
      <c r="CY157">
        <f>IF(OR($C157="",'設定'!$C$12=""),"",IF('設定'!$C$13="",IF(AND($CV157=1,$CW157=0),"新商品（今月から）",IF(AND($CV157=0,$CW157=1),"終売（今月から）","")),IF(AND($CV157=1,$CW157=0,$CX157=0),"新商品（今月から）",IF(AND($CV157=1,$CW157=1,$CX157=0),"新商品（先月から）",IF(AND($CV157=0,$CW157=1,$CX157=1),"終売（今月から）",IF(AND($CV157=0,$CW157=0,$CX157=1),"終売（先月から）",IF(AND($CV157=1,$CW157=0,$CX157=1),"復活（先月は無し）","")))))))</f>
        <v/>
      </c>
    </row>
    <row r="158">
      <c r="B158">
        <f>IF(153&lt;='設定'!$C$11,153,"")</f>
        <v/>
      </c>
      <c r="C158">
        <f>IF($B158="","",IF($B158&lt;='設定'!$C$20,INDEX('商品マスタ'!$B$6:$B$1005,MATCH($B158,'商品マスタ'!$M$6:$M$1005,0)),IF($B158&lt;='設定'!$C$20+'設定'!$C$17,INDEX('①在庫を貼る'!$W$6:$W$10005,MATCH($B158-'設定'!$C$20,'①在庫を貼る'!$U$6:$U$10005,0)),IF($B158&lt;='設定'!$C$20+'設定'!$C$17+'設定'!$C$18,INDEX('月1回_1ヶ月前の在庫'!$W$6:$W$10005,MATCH($B158-'設定'!$C$20-'設定'!$C$17,'月1回_1ヶ月前の在庫'!$U$6:$U$10005,0)),INDEX('月1回_2ヶ月前の在庫'!$W$6:$W$10005,MATCH($B158-'設定'!$C$20-'設定'!$C$17-'設定'!$C$18,'月1回_2ヶ月前の在庫'!$U$6:$U$10005,0))))))</f>
        <v/>
      </c>
      <c r="D158">
        <f>IF($C158="","",IFERROR(IF(INDEX('商品マスタ'!$C$6:$C$1005,MATCH($C158,'商品マスタ'!$B$6:$B$1005,0))="",IFERROR(INDEX('①在庫を貼る'!$J$6:$J$10005,MATCH($C158,'①在庫を貼る'!$W$6:$W$10005,0)),IFERROR(INDEX('月1回_1ヶ月前の在庫'!$J$6:$J$10005,MATCH($C158,'月1回_1ヶ月前の在庫'!$W$6:$W$10005,0)),IFERROR(INDEX('月1回_2ヶ月前の在庫'!$J$6:$J$10005,MATCH($C158,'月1回_2ヶ月前の在庫'!$W$6:$W$10005,0)),""))),INDEX('商品マスタ'!$C$6:$C$1005,MATCH($C158,'商品マスタ'!$B$6:$B$1005,0))),IFERROR(INDEX('①在庫を貼る'!$J$6:$J$10005,MATCH($C158,'①在庫を貼る'!$W$6:$W$10005,0)),IFERROR(INDEX('月1回_1ヶ月前の在庫'!$J$6:$J$10005,MATCH($C158,'月1回_1ヶ月前の在庫'!$W$6:$W$10005,0)),IFERROR(INDEX('月1回_2ヶ月前の在庫'!$J$6:$J$10005,MATCH($C158,'月1回_2ヶ月前の在庫'!$W$6:$W$10005,0)),"")))))</f>
        <v/>
      </c>
      <c r="E158">
        <f>IF($C158="","",IFERROR(IF(INDEX('商品マスタ'!$D$6:$D$1005,MATCH($C158,'商品マスタ'!$B$6:$B$1005,0))="",IFERROR(INDEX('①在庫を貼る'!$H$6:$H$10005,MATCH($C158,'①在庫を貼る'!$W$6:$W$10005,0)),IFERROR(INDEX('月1回_1ヶ月前の在庫'!$H$6:$H$10005,MATCH($C158,'月1回_1ヶ月前の在庫'!$W$6:$W$10005,0)),IFERROR(INDEX('月1回_2ヶ月前の在庫'!$H$6:$H$10005,MATCH($C158,'月1回_2ヶ月前の在庫'!$W$6:$W$10005,0)),""))),INDEX('商品マスタ'!$D$6:$D$1005,MATCH($C158,'商品マスタ'!$B$6:$B$1005,0))),IFERROR(INDEX('①在庫を貼る'!$H$6:$H$10005,MATCH($C158,'①在庫を貼る'!$W$6:$W$10005,0)),IFERROR(INDEX('月1回_1ヶ月前の在庫'!$H$6:$H$10005,MATCH($C158,'月1回_1ヶ月前の在庫'!$W$6:$W$10005,0)),IFERROR(INDEX('月1回_2ヶ月前の在庫'!$H$6:$H$10005,MATCH($C158,'月1回_2ヶ月前の在庫'!$W$6:$W$10005,0)),"")))))</f>
        <v/>
      </c>
      <c r="F158">
        <f>IF($C158="","",IFERROR(IF(INDEX('商品マスタ'!$E$6:$E$1005,MATCH($C158,'商品マスタ'!$B$6:$B$1005,0))="",IFERROR(INDEX('①在庫を貼る'!$E$6:$E$10005,MATCH($C158,'①在庫を貼る'!$W$6:$W$10005,0)),IFERROR(INDEX('月1回_1ヶ月前の在庫'!$E$6:$E$10005,MATCH($C158,'月1回_1ヶ月前の在庫'!$W$6:$W$10005,0)),IFERROR(INDEX('月1回_2ヶ月前の在庫'!$E$6:$E$10005,MATCH($C158,'月1回_2ヶ月前の在庫'!$W$6:$W$10005,0)),""))),INDEX('商品マスタ'!$E$6:$E$1005,MATCH($C158,'商品マスタ'!$B$6:$B$1005,0))),IFERROR(INDEX('①在庫を貼る'!$E$6:$E$10005,MATCH($C158,'①在庫を貼る'!$W$6:$W$10005,0)),IFERROR(INDEX('月1回_1ヶ月前の在庫'!$E$6:$E$10005,MATCH($C158,'月1回_1ヶ月前の在庫'!$W$6:$W$10005,0)),IFERROR(INDEX('月1回_2ヶ月前の在庫'!$E$6:$E$10005,MATCH($C158,'月1回_2ヶ月前の在庫'!$W$6:$W$10005,0)),"")))))</f>
        <v/>
      </c>
      <c r="G158">
        <f>IF($C158="","",MAX(1,N(IFERROR(IF(INDEX('商品マスタ'!$F$6:$F$1005,MATCH($C158,'商品マスタ'!$B$6:$B$1005,0))="",IF(COUNTIFS('①在庫を貼る'!$V$6:$V$10005,'設定'!$C$4,'①在庫を貼る'!$W$6:$W$10005,$C158)&gt;0,SUMIFS('①在庫を貼る'!$K$6:$K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K$6:$K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K$6:$K$10005,'月1回_2ヶ月前の在庫'!$V$6:$V$10005,'設定'!$C$4,'月1回_2ヶ月前の在庫'!$W$6:$W$10005,$C158)/COUNTIFS('月1回_2ヶ月前の在庫'!$V$6:$V$10005,'設定'!$C$4,'月1回_2ヶ月前の在庫'!$W$6:$W$10005,$C158),0))),INDEX('商品マスタ'!$F$6:$F$1005,MATCH($C158,'商品マスタ'!$B$6:$B$1005,0))),IF(COUNTIFS('①在庫を貼る'!$V$6:$V$10005,'設定'!$C$4,'①在庫を貼る'!$W$6:$W$10005,$C158)&gt;0,SUMIFS('①在庫を貼る'!$K$6:$K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K$6:$K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K$6:$K$10005,'月1回_2ヶ月前の在庫'!$V$6:$V$10005,'設定'!$C$4,'月1回_2ヶ月前の在庫'!$W$6:$W$10005,$C158)/COUNTIFS('月1回_2ヶ月前の在庫'!$V$6:$V$10005,'設定'!$C$4,'月1回_2ヶ月前の在庫'!$W$6:$W$10005,$C158),0)))))))</f>
        <v/>
      </c>
      <c r="H158">
        <f>IF($C158="","",N(IFERROR(IF(INDEX('商品マスタ'!$G$6:$G$1005,MATCH($C158,'商品マスタ'!$B$6:$B$1005,0))="",IF(COUNTIFS('①在庫を貼る'!$V$6:$V$10005,'設定'!$C$4,'①在庫を貼る'!$W$6:$W$10005,$C158)&gt;0,SUMIFS('①在庫を貼る'!$Q$6:$Q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Q$6:$Q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Q$6:$Q$10005,'月1回_2ヶ月前の在庫'!$V$6:$V$10005,'設定'!$C$4,'月1回_2ヶ月前の在庫'!$W$6:$W$10005,$C158)/COUNTIFS('月1回_2ヶ月前の在庫'!$V$6:$V$10005,'設定'!$C$4,'月1回_2ヶ月前の在庫'!$W$6:$W$10005,$C158),0))),INDEX('商品マスタ'!$G$6:$G$1005,MATCH($C158,'商品マスタ'!$B$6:$B$1005,0))),IF(COUNTIFS('①在庫を貼る'!$V$6:$V$10005,'設定'!$C$4,'①在庫を貼る'!$W$6:$W$10005,$C158)&gt;0,SUMIFS('①在庫を貼る'!$Q$6:$Q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Q$6:$Q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Q$6:$Q$10005,'月1回_2ヶ月前の在庫'!$V$6:$V$10005,'設定'!$C$4,'月1回_2ヶ月前の在庫'!$W$6:$W$10005,$C158)/COUNTIFS('月1回_2ヶ月前の在庫'!$V$6:$V$10005,'設定'!$C$4,'月1回_2ヶ月前の在庫'!$W$6:$W$10005,$C158),0))))))</f>
        <v/>
      </c>
      <c r="I158">
        <f>IF($C158="","",IF(COUNTIFS('①在庫を貼る'!$V$6:$V$10005,'設定'!$C$4,'①在庫を貼る'!$W$6:$W$10005,$C158)=0,"",SUMIFS('①在庫を貼る'!$N$6:$N$10005,'①在庫を貼る'!$V$6:$V$10005,'設定'!$C$4,'①在庫を貼る'!$W$6:$W$10005,$C158)))</f>
        <v/>
      </c>
      <c r="J158">
        <f>IF($C158="","",IF('②発注する'!$AD162="","",'②発注する'!$AD162))</f>
        <v/>
      </c>
      <c r="K158" s="90">
        <f>IF($C158="","",IF('②発注する'!$AE162="","",'②発注する'!$AE162))</f>
        <v/>
      </c>
      <c r="L158">
        <f>IF($C158="","",IF(AND(ISNUMBER($J158),ISNUMBER($K158),$K158&gt;='設定'!$C$6),$J158,N($I158)))</f>
        <v/>
      </c>
      <c r="M158">
        <f>IF($C158="","",IFERROR(IF(N(INDEX('商品マスタ'!$J$6:$J$1005,MATCH($C158,'商品マスタ'!$B$6:$B$1005,0)))&gt;0,INDEX('商品マスタ'!$J$6:$J$1005,MATCH($C158,'商品マスタ'!$B$6:$B$1005,0)),""),""))</f>
        <v/>
      </c>
      <c r="N158">
        <f>IF($C158="","",IFERROR(IF(N(INDEX('商品マスタ'!$H$6:$H$1005,MATCH($C158,'商品マスタ'!$B$6:$B$1005,0)))&gt;0,INDEX('商品マスタ'!$H$6:$H$1005,MATCH($C158,'商品マスタ'!$B$6:$B$1005,0)),""),""))</f>
        <v/>
      </c>
      <c r="O158">
        <f>IF($C158="","",IF($N158&lt;&gt;"",$N158*$G158,IF(N(IF(COUNTIFS('①在庫を貼る'!$V$6:$V$10005,'設定'!$C$4,'①在庫を貼る'!$W$6:$W$10005,$C158)&gt;0,SUMIFS('①在庫を貼る'!$O$6:$O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O$6:$O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O$6:$O$10005,'月1回_2ヶ月前の在庫'!$V$6:$V$10005,'設定'!$C$4,'月1回_2ヶ月前の在庫'!$W$6:$W$10005,$C158)/COUNTIFS('月1回_2ヶ月前の在庫'!$V$6:$V$10005,'設定'!$C$4,'月1回_2ヶ月前の在庫'!$W$6:$W$10005,$C158),0))))&gt;0,N(IF(COUNTIFS('①在庫を貼る'!$V$6:$V$10005,'設定'!$C$4,'①在庫を貼る'!$W$6:$W$10005,$C158)&gt;0,SUMIFS('①在庫を貼る'!$O$6:$O$10005,'①在庫を貼る'!$V$6:$V$10005,'設定'!$C$4,'①在庫を貼る'!$W$6:$W$10005,$C158)/COUNTIFS('①在庫を貼る'!$V$6:$V$10005,'設定'!$C$4,'①在庫を貼る'!$W$6:$W$10005,$C158),IF(COUNTIFS('月1回_1ヶ月前の在庫'!$V$6:$V$10005,'設定'!$C$4,'月1回_1ヶ月前の在庫'!$W$6:$W$10005,$C158)&gt;0,SUMIFS('月1回_1ヶ月前の在庫'!$O$6:$O$10005,'月1回_1ヶ月前の在庫'!$V$6:$V$10005,'設定'!$C$4,'月1回_1ヶ月前の在庫'!$W$6:$W$10005,$C158)/COUNTIFS('月1回_1ヶ月前の在庫'!$V$6:$V$10005,'設定'!$C$4,'月1回_1ヶ月前の在庫'!$W$6:$W$10005,$C158),IF(COUNTIFS('月1回_2ヶ月前の在庫'!$V$6:$V$10005,'設定'!$C$4,'月1回_2ヶ月前の在庫'!$W$6:$W$10005,$C158)&gt;0,SUMIFS('月1回_2ヶ月前の在庫'!$O$6:$O$10005,'月1回_2ヶ月前の在庫'!$V$6:$V$10005,'設定'!$C$4,'月1回_2ヶ月前の在庫'!$W$6:$W$10005,$C158)/COUNTIFS('月1回_2ヶ月前の在庫'!$V$6:$V$10005,'設定'!$C$4,'月1回_2ヶ月前の在庫'!$W$6:$W$10005,$C158),0)))),"")))</f>
        <v/>
      </c>
      <c r="P158" s="90">
        <f>IF($C158="","",IF('②発注する'!$I162="","",'②発注する'!$I162))</f>
        <v/>
      </c>
      <c r="Q158">
        <f>IF($C158="","",IF('②発注する'!$J162="","",'②発注する'!$J162))</f>
        <v/>
      </c>
      <c r="R158">
        <f>IF($C158="",0,IF(AND(ISNUMBER($P158),ISNUMBER($Q158)),MAX(0,$Q158)*$G158,0))</f>
        <v/>
      </c>
      <c r="S158" s="90">
        <f>IF($C158="","",IF('②発注する'!$M162="","",'②発注する'!$M162))</f>
        <v/>
      </c>
      <c r="T158">
        <f>IF($C158="","",IF('②発注する'!$N162="","",'②発注する'!$N162))</f>
        <v/>
      </c>
      <c r="U158">
        <f>IF($C158="",0,IF(AND(ISNUMBER($S158),ISNUMBER($T158)),MAX(0,$T158)*$G158,0))</f>
        <v/>
      </c>
      <c r="V158">
        <f>IF($C158="",0,IF($M158="",0,MAX(0,$M158)*MAX(0,V$4)/100))</f>
        <v/>
      </c>
      <c r="W158">
        <f>IF($C158="",0,IF($M158="",0,MAX(0,$M158)*MAX(0,W$4)/100))</f>
        <v/>
      </c>
      <c r="X158">
        <f>IF($C158="",0,IF($M158="",0,MAX(0,$M158)*MAX(0,X$4)/100))</f>
        <v/>
      </c>
      <c r="Y158">
        <f>IF($C158="",0,IF($M158="",0,MAX(0,$M158)*MAX(0,Y$4)/100))</f>
        <v/>
      </c>
      <c r="Z158">
        <f>IF($C158="",0,IF($M158="",0,MAX(0,$M158)*MAX(0,Z$4)/100))</f>
        <v/>
      </c>
      <c r="AA158">
        <f>IF($C158="",0,IF($M158="",0,MAX(0,$M158)*MAX(0,AA$4)/100))</f>
        <v/>
      </c>
      <c r="AB158">
        <f>IF($C158="",0,IF($M158="",0,MAX(0,$M158)*MAX(0,AB$4)/100))</f>
        <v/>
      </c>
      <c r="AC158">
        <f>IF($C158="",0,IF($M158="",0,MAX(0,$M158)*MAX(0,AC$4)/100))</f>
        <v/>
      </c>
      <c r="AD158">
        <f>IF($C158="",0,IF($M158="",0,MAX(0,$M158)*MAX(0,AD$4)/100))</f>
        <v/>
      </c>
      <c r="AE158">
        <f>IF($C158="",0,IF($M158="",0,MAX(0,$M158)*MAX(0,AE$4)/100))</f>
        <v/>
      </c>
      <c r="AF158">
        <f>IF($C158="",0,IF($M158="",0,MAX(0,$M158)*MAX(0,AF$4)/100))</f>
        <v/>
      </c>
      <c r="AG158">
        <f>IF($C158="",0,IF($M158="",0,MAX(0,$M158)*MAX(0,AG$4)/100))</f>
        <v/>
      </c>
      <c r="AH158">
        <f>IF($C158="",0,IF($M158="",0,MAX(0,$M158)*MAX(0,AH$4)/100))</f>
        <v/>
      </c>
      <c r="AI158">
        <f>IF($C158="",0,IF($M158="",0,MAX(0,$M158)*MAX(0,AI$4)/100))</f>
        <v/>
      </c>
      <c r="AJ158">
        <f>IF($C158="",0,MAX(0,MAX(0,N($L158))-$V158))</f>
        <v/>
      </c>
      <c r="AK158">
        <f>IF($C158="",0,MAX(0,$AJ158-$W158))</f>
        <v/>
      </c>
      <c r="AL158">
        <f>IF($C158="",0,MAX(0,$AK158-$X158))</f>
        <v/>
      </c>
      <c r="AM158">
        <f>IF($C158="",0,MAX(0,$AL158-$Y158))</f>
        <v/>
      </c>
      <c r="AN158">
        <f>IF($C158="",0,MAX(0,$AM158-$Z158))</f>
        <v/>
      </c>
      <c r="AO158">
        <f>IF($C158="",0,MAX(0,$AN158-$AA158))</f>
        <v/>
      </c>
      <c r="AP158">
        <f>IF($C158="",0,MAX(0,$AO158-$AB158))</f>
        <v/>
      </c>
      <c r="AQ158">
        <f>IF($C158="",0,MAX(0,$AP158-$AC158))</f>
        <v/>
      </c>
      <c r="AR158">
        <f>IF($C158="",0,MAX(0,$AQ158-$AD158))</f>
        <v/>
      </c>
      <c r="AS158">
        <f>IF($C158="",0,MAX(0,$AR158-$AE158))</f>
        <v/>
      </c>
      <c r="AT158">
        <f>IF($C158="",0,MAX(0,$AS158-$AF158))</f>
        <v/>
      </c>
      <c r="AU158">
        <f>IF($C158="",0,MAX(0,$AT158-$AG158))</f>
        <v/>
      </c>
      <c r="AV158">
        <f>IF($C158="",0,MAX(0,$AU158-$AH158))</f>
        <v/>
      </c>
      <c r="AW158">
        <f>IF($C158="",0,MAX(0,$AV158-$AI158))</f>
        <v/>
      </c>
      <c r="AX158">
        <f>IF($C158="",0,MAX(0,MAX(0,N($L158))+IF($P158=V$3,$R158,0)+IF($S158=V$3,$U158,0)-$V158))</f>
        <v/>
      </c>
      <c r="AY158">
        <f>IF($C158="",0,MAX(0,$AX158+IF($P158=W$3,$R158,0)+IF($S158=W$3,$U158,0)-$W158))</f>
        <v/>
      </c>
      <c r="AZ158">
        <f>IF($C158="",0,MAX(0,$AY158+IF($P158=X$3,$R158,0)+IF($S158=X$3,$U158,0)-$X158))</f>
        <v/>
      </c>
      <c r="BA158">
        <f>IF($C158="",0,MAX(0,$AZ158+IF($P158=Y$3,$R158,0)+IF($S158=Y$3,$U158,0)-$Y158))</f>
        <v/>
      </c>
      <c r="BB158">
        <f>IF($C158="",0,MAX(0,$BA158+IF($P158=Z$3,$R158,0)+IF($S158=Z$3,$U158,0)-$Z158))</f>
        <v/>
      </c>
      <c r="BC158">
        <f>IF($C158="",0,MAX(0,$BB158+IF($P158=AA$3,$R158,0)+IF($S158=AA$3,$U158,0)-$AA158))</f>
        <v/>
      </c>
      <c r="BD158">
        <f>IF($C158="",0,MAX(0,$BC158+IF($P158=AB$3,$R158,0)+IF($S158=AB$3,$U158,0)-$AB158))</f>
        <v/>
      </c>
      <c r="BE158">
        <f>IF($C158="",0,MAX(0,$BD158+IF($P158=AC$3,$R158,0)+IF($S158=AC$3,$U158,0)-$AC158))</f>
        <v/>
      </c>
      <c r="BF158">
        <f>IF($C158="",0,MAX(0,$BE158+IF($P158=AD$3,$R158,0)+IF($S158=AD$3,$U158,0)-$AD158))</f>
        <v/>
      </c>
      <c r="BG158">
        <f>IF($C158="",0,MAX(0,$BF158+IF($P158=AE$3,$R158,0)+IF($S158=AE$3,$U158,0)-$AE158))</f>
        <v/>
      </c>
      <c r="BH158">
        <f>IF($C158="",0,MAX(0,$BG158+IF($P158=AF$3,$R158,0)+IF($S158=AF$3,$U158,0)-$AF158))</f>
        <v/>
      </c>
      <c r="BI158">
        <f>IF($C158="",0,MAX(0,$BH158+IF($P158=AG$3,$R158,0)+IF($S158=AG$3,$U158,0)-$AG158))</f>
        <v/>
      </c>
      <c r="BJ158">
        <f>IF($C158="",0,MAX(0,$BI158+IF($P158=AH$3,$R158,0)+IF($S158=AH$3,$U158,0)-$AH158))</f>
        <v/>
      </c>
      <c r="BK158">
        <f>IF($C158="",0,MAX(0,$BJ158+IF($P158=AI$3,$R158,0)+IF($S158=AI$3,$U158,0)-$AI158))</f>
        <v/>
      </c>
      <c r="BL158">
        <f>IF($C158="",99,IF(AND($AX158&lt;1,V$3&gt;=MAX(N($P158),N($S158))),0,99))</f>
        <v/>
      </c>
      <c r="BM158">
        <f>IF($C158="",99,IF(AND($AY158&lt;1,W$3&gt;=MAX(N($P158),N($S158))),1,99))</f>
        <v/>
      </c>
      <c r="BN158">
        <f>IF($C158="",99,IF(AND($AZ158&lt;1,X$3&gt;=MAX(N($P158),N($S158))),2,99))</f>
        <v/>
      </c>
      <c r="BO158">
        <f>IF($C158="",99,IF(AND($BA158&lt;1,Y$3&gt;=MAX(N($P158),N($S158))),3,99))</f>
        <v/>
      </c>
      <c r="BP158">
        <f>IF($C158="",99,IF(AND($BB158&lt;1,Z$3&gt;=MAX(N($P158),N($S158))),4,99))</f>
        <v/>
      </c>
      <c r="BQ158">
        <f>IF($C158="",99,IF(AND($BC158&lt;1,AA$3&gt;=MAX(N($P158),N($S158))),5,99))</f>
        <v/>
      </c>
      <c r="BR158">
        <f>IF($C158="",99,IF(AND($BD158&lt;1,AB$3&gt;=MAX(N($P158),N($S158))),6,99))</f>
        <v/>
      </c>
      <c r="BS158">
        <f>IF($C158="",99,IF(AND($BE158&lt;1,AC$3&gt;=MAX(N($P158),N($S158))),7,99))</f>
        <v/>
      </c>
      <c r="BT158">
        <f>IF($C158="",99,IF(AND($BF158&lt;1,AD$3&gt;=MAX(N($P158),N($S158))),8,99))</f>
        <v/>
      </c>
      <c r="BU158">
        <f>IF($C158="",99,IF(AND($BG158&lt;1,AE$3&gt;=MAX(N($P158),N($S158))),9,99))</f>
        <v/>
      </c>
      <c r="BV158">
        <f>IF($C158="",99,IF(AND($BH158&lt;1,AF$3&gt;=MAX(N($P158),N($S158))),10,99))</f>
        <v/>
      </c>
      <c r="BW158">
        <f>IF($C158="",99,IF(AND($BI158&lt;1,AG$3&gt;=MAX(N($P158),N($S158))),11,99))</f>
        <v/>
      </c>
      <c r="BX158">
        <f>IF($C158="",99,IF(AND($BJ158&lt;1,AH$3&gt;=MAX(N($P158),N($S158))),12,99))</f>
        <v/>
      </c>
      <c r="BY158">
        <f>IF($C158="",99,IF(AND($BK158&lt;1,AI$3&gt;=MAX(N($P158),N($S158))),13,99))</f>
        <v/>
      </c>
      <c r="BZ158">
        <f>IF(OR($C158="",$M158=""),"",COUNTIF($AJ158:$AW158,"&gt;=1"))</f>
        <v/>
      </c>
      <c r="CA158" s="90">
        <f>IF($BZ158="","",IF($BZ158&gt;=14,"",'設定'!$C$6+$BZ158))</f>
        <v/>
      </c>
      <c r="CB158">
        <f>IF(OR($C158="",$M158=""),"",MIN($BL158:$BY158))</f>
        <v/>
      </c>
      <c r="CC158" s="90">
        <f>IF($CB158="","",IF($CB158&gt;=99,"",'設定'!$C$6+$CB158))</f>
        <v/>
      </c>
      <c r="CD158">
        <f>IF(OR($C158="",$M158=""),"",AVERAGE($V158:$AI158))</f>
        <v/>
      </c>
      <c r="CE158">
        <f>IF($C158="","",IFERROR(IF(MATCH(IF(ISNUMBER($P158),$P158,'設定'!$C$6+N('設定'!$C$7)),$V$3:$AI$3,0)=1,MAX(0,N($L158)),INDEX($AJ158:$AW158,MATCH(IF(ISNUMBER($P158),$P158,'設定'!$C$6+N('設定'!$C$7)),$V$3:$AI$3,0)-1)),""))</f>
        <v/>
      </c>
      <c r="CF158">
        <f>IF(OR($C158="",$O158="",$CE158=""),"",IF($O158-$CE158&lt;=0,0,ROUNDUP(($O158-$CE158)/$G158,0)))</f>
        <v/>
      </c>
      <c r="CG158">
        <f>IF(OR($C158="",$CF158="",NOT(ISNUMBER($Q158))),0,MAX(0,$Q158-$CF158))</f>
        <v/>
      </c>
      <c r="CH158">
        <f>IF(OR($C158="",$O158="",$U158=0),0,IFERROR(ROUNDUP(MAX(0,IF(MATCH($S158,$V$3:$AI$3,0)=1,MAX(0,N($L158)),INDEX($AX158:$BK158,MATCH($S158,$V$3:$AI$3,0)-1))+$U158-$O158)/$G158,0),0))</f>
        <v/>
      </c>
      <c r="CI158">
        <f>IF($C158="","",IF(AND($P158="",$Q158=""),"",IF($P158="","⚠ 入庫日を ▼ から選んでください",IF(NOT(ISNUMBER($P158)),"⚠ 入庫日は ▼ から選んでください",IF($P158&lt;N('設定'!$C$6),"⚠ 入庫日が過去です（もう在庫に入っています）→ 消してください",IF($P158&gt;N('設定'!$C$6)+13,"⚠ 入庫日が14日より先です",IF(N($Q158)&lt;=0,"⚠ 入庫数を入れてください",IF($CG158&gt;0,"⚠ 目安より "&amp;$CG158&amp;" 多い（定数を超える）→ 減らす",""))))))))</f>
        <v/>
      </c>
      <c r="CJ158">
        <f>IF($C158="","",IF(AND($S158="",$T158=""),"",IF($S158="","⚠ 2便目：入庫日を ▼ から選んでください",IF(NOT(ISNUMBER($S158)),"⚠ 2便目：入庫日は ▼ から選んでください",IF($S158&lt;N('設定'!$C$6),"⚠ 2便目：入庫日が過去です（もう在庫に入っています）→ 消してください",IF($S158&gt;N('設定'!$C$6)+13,"⚠ 2便目：入庫日が14日より先です",IF(N($T158)&lt;=0,"⚠ 2便目：入庫数を入れてください",IF($CH158&gt;0,"⚠ 2便目：定数を "&amp;$CH158&amp;" ケース超える → 減らす",""))))))))</f>
        <v/>
      </c>
      <c r="CK158">
        <f>IF(AND($CI158="",N($Q158)&gt;0,ISNUMBER($P158)),1,0)</f>
        <v/>
      </c>
      <c r="CL158">
        <f>IF(AND($CJ158="",N($T158)&gt;0,ISNUMBER($S158)),1,0)</f>
        <v/>
      </c>
      <c r="CM158">
        <f>IF(OR($CK158=1,$CL158=1),1,0)</f>
        <v/>
      </c>
      <c r="CN158">
        <f>IF($C158="",0,($CK158*$R158+$CL158*$U158)*N($H158))</f>
        <v/>
      </c>
      <c r="CO158">
        <f>IF($C158="","",IF($CC158="","入庫後は 14日以上もつ",IF($CC158-N('設定'!$C$7)&lt;='設定'!$C$6,"入庫後も "&amp;TEXT($CC158,"m/d")&amp;"("&amp;CHOOSE(WEEKDAY($CC158),"日","月","火","水","木","金","土")&amp;")"&amp;" に切れる　もう1便を至急発注","入庫後も "&amp;TEXT($CC158,"m/d")&amp;"("&amp;CHOOSE(WEEKDAY($CC158),"日","月","火","水","木","金","土")&amp;")"&amp;" に切れる　"&amp;TEXT($CC158-N('設定'!$C$7),"m/d")&amp;"("&amp;CHOOSE(WEEKDAY($CC158-N('設定'!$C$7)),"日","月","火","水","木","金","土")&amp;")"&amp;" までに次を発注")))</f>
        <v/>
      </c>
      <c r="CP158">
        <f>IF($C158="","",IF('設定'!$C$6="","？ ①在庫を貼る に今日のCSVが貼られていない",IF($CS158=1,"－ 今日のCSVに無い（終売？）",IF($L158&lt;0,"● 在庫がマイナス　数えて「数えた在庫」に入れる",IF($L158=0,"● 在庫なし　至急発注",IF($M158="","？ 減り数が未設定（商品マスタ）",IF($B$3=0,"？ 動員が未入力（動員を入れる）",IF($CA158="","○ 14日以上もつ",IF($BZ158&lt;N('設定'!$C$7),"● "&amp;TEXT($CA158,"m/d")&amp;"("&amp;CHOOSE(WEEKDAY($CA158),"日","月","火","水","木","金","土")&amp;")"&amp;" に切れる　至急発注",IF($BZ158=N('設定'!$C$7),"● "&amp;TEXT($CA158,"m/d")&amp;"("&amp;CHOOSE(WEEKDAY($CA158),"日","月","火","水","木","金","土")&amp;")"&amp;" に切れる　今日発注","△ "&amp;TEXT($CA158,"m/d")&amp;"("&amp;CHOOSE(WEEKDAY($CA158),"日","月","火","水","木","金","土")&amp;")"&amp;" に切れる　"&amp;TEXT($CA158-N('設定'!$C$7),"m/d")&amp;"("&amp;CHOOSE(WEEKDAY($CA158-N('設定'!$C$7)),"日","月","火","水","木","金","土")&amp;")"&amp;" までに発注"))))))))))</f>
        <v/>
      </c>
      <c r="CQ158">
        <f>IF($C158="","",IF(AND($P158="",$Q158="",$S158="",$T158=""),"",IF(AND($P158="",$Q158=""),"⚠ 先に1便目（左の入庫日・入庫数）に入れてください",IF($CI158&lt;&gt;"",$CI158,IF($CJ158&lt;&gt;"",$CJ158,IF($M158="","？ 減り数が未設定（発注書には載ります）",IF($B$3=0,"？ 動員が未入力（発注書には載ります）",IF(AND($CA158&lt;&gt;"",$P158&gt;$CA158),IF($P158&gt;'設定'!$C$6+N('設定'!$C$7),"● "&amp;TEXT($P158,"m/d")&amp;"("&amp;CHOOSE(WEEKDAY($P158),"日","月","火","水","木","金","土")&amp;")"&amp;" の入庫では間に合わない（"&amp;TEXT($CA158,"m/d")&amp;"("&amp;CHOOSE(WEEKDAY($CA158),"日","月","火","水","木","金","土")&amp;")"&amp;" に切れる）　入庫日を早める","△ 欠品 "&amp;TEXT($CA158,"m/d")&amp;"("&amp;CHOOSE(WEEKDAY($CA158),"日","月","火","水","木","金","土")&amp;")"&amp;"〜"&amp;TEXT($P158-1,"m/d")&amp;"("&amp;CHOOSE(WEEKDAY($P158-1),"日","月","火","水","木","金","土")&amp;")"&amp;"　"&amp;$CO158),IF($CC158="","○ "&amp;TEXT($P158,"m/d")&amp;"("&amp;CHOOSE(WEEKDAY($P158),"日","月","火","水","木","金","土")&amp;")"&amp;" 入庫で 14日以上もつ",IF($CC158-N('設定'!$C$7)&lt;='設定'!$C$6,"● 入庫しても "&amp;TEXT($CC158,"m/d")&amp;"("&amp;CHOOSE(WEEKDAY($CC158),"日","月","火","水","木","金","土")&amp;")"&amp;" に切れる　もう1便を至急発注（2便目に入れる）","△ 入庫しても "&amp;TEXT($CC158,"m/d")&amp;"("&amp;CHOOSE(WEEKDAY($CC158),"日","月","火","水","木","金","土")&amp;")"&amp;" に切れる　"&amp;TEXT($CC158-N('設定'!$C$7),"m/d")&amp;"("&amp;CHOOSE(WEEKDAY($CC158-N('設定'!$C$7)),"日","月","火","水","木","金","土")&amp;")"&amp;" までに次を発注（2便目に入れる）"))))))))))</f>
        <v/>
      </c>
      <c r="CR158">
        <f>IF($C158="","",IF($G158&gt;1,"ｹｰｽ("&amp;$G158&amp;"入)","個"))</f>
        <v/>
      </c>
      <c r="CS158">
        <f>IF($C158="",0,IF(COUNTIFS('①在庫を貼る'!$V$6:$V$10005,'設定'!$C$4,'①在庫を貼る'!$W$6:$W$10005,$C158)=0,1,0))</f>
        <v/>
      </c>
      <c r="CT158">
        <f>IF(AND($CK158=1,OR('③発注書'!$C$4="すべて",'③発注書'!$C$4="",$F158='③発注書'!$C$4)),N($CT157)+1,N($CT157))</f>
        <v/>
      </c>
      <c r="CU158">
        <f>IF(AND($CL158=1,OR('③発注書'!$C$4="すべて",'③発注書'!$C$4="",$F158='③発注書'!$C$4)),N($CU157)+1,N($CU157))</f>
        <v/>
      </c>
      <c r="CV158">
        <f>IF($C158="",0,IF(COUNTIFS('①在庫を貼る'!$V$6:$V$10005,'設定'!$C$4,'①在庫を貼る'!$W$6:$W$10005,$C158)&gt;0,1,0))</f>
        <v/>
      </c>
      <c r="CW158">
        <f>IF($C158="",0,IF(COUNTIFS('月1回_1ヶ月前の在庫'!$V$6:$V$10005,'設定'!$C$4,'月1回_1ヶ月前の在庫'!$W$6:$W$10005,$C158)&gt;0,1,0))</f>
        <v/>
      </c>
      <c r="CX158">
        <f>IF($C158="",0,IF(COUNTIFS('月1回_2ヶ月前の在庫'!$V$6:$V$10005,'設定'!$C$4,'月1回_2ヶ月前の在庫'!$W$6:$W$10005,$C158)&gt;0,1,0))</f>
        <v/>
      </c>
      <c r="CY158">
        <f>IF(OR($C158="",'設定'!$C$12=""),"",IF('設定'!$C$13="",IF(AND($CV158=1,$CW158=0),"新商品（今月から）",IF(AND($CV158=0,$CW158=1),"終売（今月から）","")),IF(AND($CV158=1,$CW158=0,$CX158=0),"新商品（今月から）",IF(AND($CV158=1,$CW158=1,$CX158=0),"新商品（先月から）",IF(AND($CV158=0,$CW158=1,$CX158=1),"終売（今月から）",IF(AND($CV158=0,$CW158=0,$CX158=1),"終売（先月から）",IF(AND($CV158=1,$CW158=0,$CX158=1),"復活（先月は無し）","")))))))</f>
        <v/>
      </c>
    </row>
    <row r="159">
      <c r="B159">
        <f>IF(154&lt;='設定'!$C$11,154,"")</f>
        <v/>
      </c>
      <c r="C159">
        <f>IF($B159="","",IF($B159&lt;='設定'!$C$20,INDEX('商品マスタ'!$B$6:$B$1005,MATCH($B159,'商品マスタ'!$M$6:$M$1005,0)),IF($B159&lt;='設定'!$C$20+'設定'!$C$17,INDEX('①在庫を貼る'!$W$6:$W$10005,MATCH($B159-'設定'!$C$20,'①在庫を貼る'!$U$6:$U$10005,0)),IF($B159&lt;='設定'!$C$20+'設定'!$C$17+'設定'!$C$18,INDEX('月1回_1ヶ月前の在庫'!$W$6:$W$10005,MATCH($B159-'設定'!$C$20-'設定'!$C$17,'月1回_1ヶ月前の在庫'!$U$6:$U$10005,0)),INDEX('月1回_2ヶ月前の在庫'!$W$6:$W$10005,MATCH($B159-'設定'!$C$20-'設定'!$C$17-'設定'!$C$18,'月1回_2ヶ月前の在庫'!$U$6:$U$10005,0))))))</f>
        <v/>
      </c>
      <c r="D159">
        <f>IF($C159="","",IFERROR(IF(INDEX('商品マスタ'!$C$6:$C$1005,MATCH($C159,'商品マスタ'!$B$6:$B$1005,0))="",IFERROR(INDEX('①在庫を貼る'!$J$6:$J$10005,MATCH($C159,'①在庫を貼る'!$W$6:$W$10005,0)),IFERROR(INDEX('月1回_1ヶ月前の在庫'!$J$6:$J$10005,MATCH($C159,'月1回_1ヶ月前の在庫'!$W$6:$W$10005,0)),IFERROR(INDEX('月1回_2ヶ月前の在庫'!$J$6:$J$10005,MATCH($C159,'月1回_2ヶ月前の在庫'!$W$6:$W$10005,0)),""))),INDEX('商品マスタ'!$C$6:$C$1005,MATCH($C159,'商品マスタ'!$B$6:$B$1005,0))),IFERROR(INDEX('①在庫を貼る'!$J$6:$J$10005,MATCH($C159,'①在庫を貼る'!$W$6:$W$10005,0)),IFERROR(INDEX('月1回_1ヶ月前の在庫'!$J$6:$J$10005,MATCH($C159,'月1回_1ヶ月前の在庫'!$W$6:$W$10005,0)),IFERROR(INDEX('月1回_2ヶ月前の在庫'!$J$6:$J$10005,MATCH($C159,'月1回_2ヶ月前の在庫'!$W$6:$W$10005,0)),"")))))</f>
        <v/>
      </c>
      <c r="E159">
        <f>IF($C159="","",IFERROR(IF(INDEX('商品マスタ'!$D$6:$D$1005,MATCH($C159,'商品マスタ'!$B$6:$B$1005,0))="",IFERROR(INDEX('①在庫を貼る'!$H$6:$H$10005,MATCH($C159,'①在庫を貼る'!$W$6:$W$10005,0)),IFERROR(INDEX('月1回_1ヶ月前の在庫'!$H$6:$H$10005,MATCH($C159,'月1回_1ヶ月前の在庫'!$W$6:$W$10005,0)),IFERROR(INDEX('月1回_2ヶ月前の在庫'!$H$6:$H$10005,MATCH($C159,'月1回_2ヶ月前の在庫'!$W$6:$W$10005,0)),""))),INDEX('商品マスタ'!$D$6:$D$1005,MATCH($C159,'商品マスタ'!$B$6:$B$1005,0))),IFERROR(INDEX('①在庫を貼る'!$H$6:$H$10005,MATCH($C159,'①在庫を貼る'!$W$6:$W$10005,0)),IFERROR(INDEX('月1回_1ヶ月前の在庫'!$H$6:$H$10005,MATCH($C159,'月1回_1ヶ月前の在庫'!$W$6:$W$10005,0)),IFERROR(INDEX('月1回_2ヶ月前の在庫'!$H$6:$H$10005,MATCH($C159,'月1回_2ヶ月前の在庫'!$W$6:$W$10005,0)),"")))))</f>
        <v/>
      </c>
      <c r="F159">
        <f>IF($C159="","",IFERROR(IF(INDEX('商品マスタ'!$E$6:$E$1005,MATCH($C159,'商品マスタ'!$B$6:$B$1005,0))="",IFERROR(INDEX('①在庫を貼る'!$E$6:$E$10005,MATCH($C159,'①在庫を貼る'!$W$6:$W$10005,0)),IFERROR(INDEX('月1回_1ヶ月前の在庫'!$E$6:$E$10005,MATCH($C159,'月1回_1ヶ月前の在庫'!$W$6:$W$10005,0)),IFERROR(INDEX('月1回_2ヶ月前の在庫'!$E$6:$E$10005,MATCH($C159,'月1回_2ヶ月前の在庫'!$W$6:$W$10005,0)),""))),INDEX('商品マスタ'!$E$6:$E$1005,MATCH($C159,'商品マスタ'!$B$6:$B$1005,0))),IFERROR(INDEX('①在庫を貼る'!$E$6:$E$10005,MATCH($C159,'①在庫を貼る'!$W$6:$W$10005,0)),IFERROR(INDEX('月1回_1ヶ月前の在庫'!$E$6:$E$10005,MATCH($C159,'月1回_1ヶ月前の在庫'!$W$6:$W$10005,0)),IFERROR(INDEX('月1回_2ヶ月前の在庫'!$E$6:$E$10005,MATCH($C159,'月1回_2ヶ月前の在庫'!$W$6:$W$10005,0)),"")))))</f>
        <v/>
      </c>
      <c r="G159">
        <f>IF($C159="","",MAX(1,N(IFERROR(IF(INDEX('商品マスタ'!$F$6:$F$1005,MATCH($C159,'商品マスタ'!$B$6:$B$1005,0))="",IF(COUNTIFS('①在庫を貼る'!$V$6:$V$10005,'設定'!$C$4,'①在庫を貼る'!$W$6:$W$10005,$C159)&gt;0,SUMIFS('①在庫を貼る'!$K$6:$K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K$6:$K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K$6:$K$10005,'月1回_2ヶ月前の在庫'!$V$6:$V$10005,'設定'!$C$4,'月1回_2ヶ月前の在庫'!$W$6:$W$10005,$C159)/COUNTIFS('月1回_2ヶ月前の在庫'!$V$6:$V$10005,'設定'!$C$4,'月1回_2ヶ月前の在庫'!$W$6:$W$10005,$C159),0))),INDEX('商品マスタ'!$F$6:$F$1005,MATCH($C159,'商品マスタ'!$B$6:$B$1005,0))),IF(COUNTIFS('①在庫を貼る'!$V$6:$V$10005,'設定'!$C$4,'①在庫を貼る'!$W$6:$W$10005,$C159)&gt;0,SUMIFS('①在庫を貼る'!$K$6:$K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K$6:$K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K$6:$K$10005,'月1回_2ヶ月前の在庫'!$V$6:$V$10005,'設定'!$C$4,'月1回_2ヶ月前の在庫'!$W$6:$W$10005,$C159)/COUNTIFS('月1回_2ヶ月前の在庫'!$V$6:$V$10005,'設定'!$C$4,'月1回_2ヶ月前の在庫'!$W$6:$W$10005,$C159),0)))))))</f>
        <v/>
      </c>
      <c r="H159">
        <f>IF($C159="","",N(IFERROR(IF(INDEX('商品マスタ'!$G$6:$G$1005,MATCH($C159,'商品マスタ'!$B$6:$B$1005,0))="",IF(COUNTIFS('①在庫を貼る'!$V$6:$V$10005,'設定'!$C$4,'①在庫を貼る'!$W$6:$W$10005,$C159)&gt;0,SUMIFS('①在庫を貼る'!$Q$6:$Q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Q$6:$Q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Q$6:$Q$10005,'月1回_2ヶ月前の在庫'!$V$6:$V$10005,'設定'!$C$4,'月1回_2ヶ月前の在庫'!$W$6:$W$10005,$C159)/COUNTIFS('月1回_2ヶ月前の在庫'!$V$6:$V$10005,'設定'!$C$4,'月1回_2ヶ月前の在庫'!$W$6:$W$10005,$C159),0))),INDEX('商品マスタ'!$G$6:$G$1005,MATCH($C159,'商品マスタ'!$B$6:$B$1005,0))),IF(COUNTIFS('①在庫を貼る'!$V$6:$V$10005,'設定'!$C$4,'①在庫を貼る'!$W$6:$W$10005,$C159)&gt;0,SUMIFS('①在庫を貼る'!$Q$6:$Q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Q$6:$Q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Q$6:$Q$10005,'月1回_2ヶ月前の在庫'!$V$6:$V$10005,'設定'!$C$4,'月1回_2ヶ月前の在庫'!$W$6:$W$10005,$C159)/COUNTIFS('月1回_2ヶ月前の在庫'!$V$6:$V$10005,'設定'!$C$4,'月1回_2ヶ月前の在庫'!$W$6:$W$10005,$C159),0))))))</f>
        <v/>
      </c>
      <c r="I159">
        <f>IF($C159="","",IF(COUNTIFS('①在庫を貼る'!$V$6:$V$10005,'設定'!$C$4,'①在庫を貼る'!$W$6:$W$10005,$C159)=0,"",SUMIFS('①在庫を貼る'!$N$6:$N$10005,'①在庫を貼る'!$V$6:$V$10005,'設定'!$C$4,'①在庫を貼る'!$W$6:$W$10005,$C159)))</f>
        <v/>
      </c>
      <c r="J159">
        <f>IF($C159="","",IF('②発注する'!$AD163="","",'②発注する'!$AD163))</f>
        <v/>
      </c>
      <c r="K159" s="90">
        <f>IF($C159="","",IF('②発注する'!$AE163="","",'②発注する'!$AE163))</f>
        <v/>
      </c>
      <c r="L159">
        <f>IF($C159="","",IF(AND(ISNUMBER($J159),ISNUMBER($K159),$K159&gt;='設定'!$C$6),$J159,N($I159)))</f>
        <v/>
      </c>
      <c r="M159">
        <f>IF($C159="","",IFERROR(IF(N(INDEX('商品マスタ'!$J$6:$J$1005,MATCH($C159,'商品マスタ'!$B$6:$B$1005,0)))&gt;0,INDEX('商品マスタ'!$J$6:$J$1005,MATCH($C159,'商品マスタ'!$B$6:$B$1005,0)),""),""))</f>
        <v/>
      </c>
      <c r="N159">
        <f>IF($C159="","",IFERROR(IF(N(INDEX('商品マスタ'!$H$6:$H$1005,MATCH($C159,'商品マスタ'!$B$6:$B$1005,0)))&gt;0,INDEX('商品マスタ'!$H$6:$H$1005,MATCH($C159,'商品マスタ'!$B$6:$B$1005,0)),""),""))</f>
        <v/>
      </c>
      <c r="O159">
        <f>IF($C159="","",IF($N159&lt;&gt;"",$N159*$G159,IF(N(IF(COUNTIFS('①在庫を貼る'!$V$6:$V$10005,'設定'!$C$4,'①在庫を貼る'!$W$6:$W$10005,$C159)&gt;0,SUMIFS('①在庫を貼る'!$O$6:$O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O$6:$O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O$6:$O$10005,'月1回_2ヶ月前の在庫'!$V$6:$V$10005,'設定'!$C$4,'月1回_2ヶ月前の在庫'!$W$6:$W$10005,$C159)/COUNTIFS('月1回_2ヶ月前の在庫'!$V$6:$V$10005,'設定'!$C$4,'月1回_2ヶ月前の在庫'!$W$6:$W$10005,$C159),0))))&gt;0,N(IF(COUNTIFS('①在庫を貼る'!$V$6:$V$10005,'設定'!$C$4,'①在庫を貼る'!$W$6:$W$10005,$C159)&gt;0,SUMIFS('①在庫を貼る'!$O$6:$O$10005,'①在庫を貼る'!$V$6:$V$10005,'設定'!$C$4,'①在庫を貼る'!$W$6:$W$10005,$C159)/COUNTIFS('①在庫を貼る'!$V$6:$V$10005,'設定'!$C$4,'①在庫を貼る'!$W$6:$W$10005,$C159),IF(COUNTIFS('月1回_1ヶ月前の在庫'!$V$6:$V$10005,'設定'!$C$4,'月1回_1ヶ月前の在庫'!$W$6:$W$10005,$C159)&gt;0,SUMIFS('月1回_1ヶ月前の在庫'!$O$6:$O$10005,'月1回_1ヶ月前の在庫'!$V$6:$V$10005,'設定'!$C$4,'月1回_1ヶ月前の在庫'!$W$6:$W$10005,$C159)/COUNTIFS('月1回_1ヶ月前の在庫'!$V$6:$V$10005,'設定'!$C$4,'月1回_1ヶ月前の在庫'!$W$6:$W$10005,$C159),IF(COUNTIFS('月1回_2ヶ月前の在庫'!$V$6:$V$10005,'設定'!$C$4,'月1回_2ヶ月前の在庫'!$W$6:$W$10005,$C159)&gt;0,SUMIFS('月1回_2ヶ月前の在庫'!$O$6:$O$10005,'月1回_2ヶ月前の在庫'!$V$6:$V$10005,'設定'!$C$4,'月1回_2ヶ月前の在庫'!$W$6:$W$10005,$C159)/COUNTIFS('月1回_2ヶ月前の在庫'!$V$6:$V$10005,'設定'!$C$4,'月1回_2ヶ月前の在庫'!$W$6:$W$10005,$C159),0)))),"")))</f>
        <v/>
      </c>
      <c r="P159" s="90">
        <f>IF($C159="","",IF('②発注する'!$I163="","",'②発注する'!$I163))</f>
        <v/>
      </c>
      <c r="Q159">
        <f>IF($C159="","",IF('②発注する'!$J163="","",'②発注する'!$J163))</f>
        <v/>
      </c>
      <c r="R159">
        <f>IF($C159="",0,IF(AND(ISNUMBER($P159),ISNUMBER($Q159)),MAX(0,$Q159)*$G159,0))</f>
        <v/>
      </c>
      <c r="S159" s="90">
        <f>IF($C159="","",IF('②発注する'!$M163="","",'②発注する'!$M163))</f>
        <v/>
      </c>
      <c r="T159">
        <f>IF($C159="","",IF('②発注する'!$N163="","",'②発注する'!$N163))</f>
        <v/>
      </c>
      <c r="U159">
        <f>IF($C159="",0,IF(AND(ISNUMBER($S159),ISNUMBER($T159)),MAX(0,$T159)*$G159,0))</f>
        <v/>
      </c>
      <c r="V159">
        <f>IF($C159="",0,IF($M159="",0,MAX(0,$M159)*MAX(0,V$4)/100))</f>
        <v/>
      </c>
      <c r="W159">
        <f>IF($C159="",0,IF($M159="",0,MAX(0,$M159)*MAX(0,W$4)/100))</f>
        <v/>
      </c>
      <c r="X159">
        <f>IF($C159="",0,IF($M159="",0,MAX(0,$M159)*MAX(0,X$4)/100))</f>
        <v/>
      </c>
      <c r="Y159">
        <f>IF($C159="",0,IF($M159="",0,MAX(0,$M159)*MAX(0,Y$4)/100))</f>
        <v/>
      </c>
      <c r="Z159">
        <f>IF($C159="",0,IF($M159="",0,MAX(0,$M159)*MAX(0,Z$4)/100))</f>
        <v/>
      </c>
      <c r="AA159">
        <f>IF($C159="",0,IF($M159="",0,MAX(0,$M159)*MAX(0,AA$4)/100))</f>
        <v/>
      </c>
      <c r="AB159">
        <f>IF($C159="",0,IF($M159="",0,MAX(0,$M159)*MAX(0,AB$4)/100))</f>
        <v/>
      </c>
      <c r="AC159">
        <f>IF($C159="",0,IF($M159="",0,MAX(0,$M159)*MAX(0,AC$4)/100))</f>
        <v/>
      </c>
      <c r="AD159">
        <f>IF($C159="",0,IF($M159="",0,MAX(0,$M159)*MAX(0,AD$4)/100))</f>
        <v/>
      </c>
      <c r="AE159">
        <f>IF($C159="",0,IF($M159="",0,MAX(0,$M159)*MAX(0,AE$4)/100))</f>
        <v/>
      </c>
      <c r="AF159">
        <f>IF($C159="",0,IF($M159="",0,MAX(0,$M159)*MAX(0,AF$4)/100))</f>
        <v/>
      </c>
      <c r="AG159">
        <f>IF($C159="",0,IF($M159="",0,MAX(0,$M159)*MAX(0,AG$4)/100))</f>
        <v/>
      </c>
      <c r="AH159">
        <f>IF($C159="",0,IF($M159="",0,MAX(0,$M159)*MAX(0,AH$4)/100))</f>
        <v/>
      </c>
      <c r="AI159">
        <f>IF($C159="",0,IF($M159="",0,MAX(0,$M159)*MAX(0,AI$4)/100))</f>
        <v/>
      </c>
      <c r="AJ159">
        <f>IF($C159="",0,MAX(0,MAX(0,N($L159))-$V159))</f>
        <v/>
      </c>
      <c r="AK159">
        <f>IF($C159="",0,MAX(0,$AJ159-$W159))</f>
        <v/>
      </c>
      <c r="AL159">
        <f>IF($C159="",0,MAX(0,$AK159-$X159))</f>
        <v/>
      </c>
      <c r="AM159">
        <f>IF($C159="",0,MAX(0,$AL159-$Y159))</f>
        <v/>
      </c>
      <c r="AN159">
        <f>IF($C159="",0,MAX(0,$AM159-$Z159))</f>
        <v/>
      </c>
      <c r="AO159">
        <f>IF($C159="",0,MAX(0,$AN159-$AA159))</f>
        <v/>
      </c>
      <c r="AP159">
        <f>IF($C159="",0,MAX(0,$AO159-$AB159))</f>
        <v/>
      </c>
      <c r="AQ159">
        <f>IF($C159="",0,MAX(0,$AP159-$AC159))</f>
        <v/>
      </c>
      <c r="AR159">
        <f>IF($C159="",0,MAX(0,$AQ159-$AD159))</f>
        <v/>
      </c>
      <c r="AS159">
        <f>IF($C159="",0,MAX(0,$AR159-$AE159))</f>
        <v/>
      </c>
      <c r="AT159">
        <f>IF($C159="",0,MAX(0,$AS159-$AF159))</f>
        <v/>
      </c>
      <c r="AU159">
        <f>IF($C159="",0,MAX(0,$AT159-$AG159))</f>
        <v/>
      </c>
      <c r="AV159">
        <f>IF($C159="",0,MAX(0,$AU159-$AH159))</f>
        <v/>
      </c>
      <c r="AW159">
        <f>IF($C159="",0,MAX(0,$AV159-$AI159))</f>
        <v/>
      </c>
      <c r="AX159">
        <f>IF($C159="",0,MAX(0,MAX(0,N($L159))+IF($P159=V$3,$R159,0)+IF($S159=V$3,$U159,0)-$V159))</f>
        <v/>
      </c>
      <c r="AY159">
        <f>IF($C159="",0,MAX(0,$AX159+IF($P159=W$3,$R159,0)+IF($S159=W$3,$U159,0)-$W159))</f>
        <v/>
      </c>
      <c r="AZ159">
        <f>IF($C159="",0,MAX(0,$AY159+IF($P159=X$3,$R159,0)+IF($S159=X$3,$U159,0)-$X159))</f>
        <v/>
      </c>
      <c r="BA159">
        <f>IF($C159="",0,MAX(0,$AZ159+IF($P159=Y$3,$R159,0)+IF($S159=Y$3,$U159,0)-$Y159))</f>
        <v/>
      </c>
      <c r="BB159">
        <f>IF($C159="",0,MAX(0,$BA159+IF($P159=Z$3,$R159,0)+IF($S159=Z$3,$U159,0)-$Z159))</f>
        <v/>
      </c>
      <c r="BC159">
        <f>IF($C159="",0,MAX(0,$BB159+IF($P159=AA$3,$R159,0)+IF($S159=AA$3,$U159,0)-$AA159))</f>
        <v/>
      </c>
      <c r="BD159">
        <f>IF($C159="",0,MAX(0,$BC159+IF($P159=AB$3,$R159,0)+IF($S159=AB$3,$U159,0)-$AB159))</f>
        <v/>
      </c>
      <c r="BE159">
        <f>IF($C159="",0,MAX(0,$BD159+IF($P159=AC$3,$R159,0)+IF($S159=AC$3,$U159,0)-$AC159))</f>
        <v/>
      </c>
      <c r="BF159">
        <f>IF($C159="",0,MAX(0,$BE159+IF($P159=AD$3,$R159,0)+IF($S159=AD$3,$U159,0)-$AD159))</f>
        <v/>
      </c>
      <c r="BG159">
        <f>IF($C159="",0,MAX(0,$BF159+IF($P159=AE$3,$R159,0)+IF($S159=AE$3,$U159,0)-$AE159))</f>
        <v/>
      </c>
      <c r="BH159">
        <f>IF($C159="",0,MAX(0,$BG159+IF($P159=AF$3,$R159,0)+IF($S159=AF$3,$U159,0)-$AF159))</f>
        <v/>
      </c>
      <c r="BI159">
        <f>IF($C159="",0,MAX(0,$BH159+IF($P159=AG$3,$R159,0)+IF($S159=AG$3,$U159,0)-$AG159))</f>
        <v/>
      </c>
      <c r="BJ159">
        <f>IF($C159="",0,MAX(0,$BI159+IF($P159=AH$3,$R159,0)+IF($S159=AH$3,$U159,0)-$AH159))</f>
        <v/>
      </c>
      <c r="BK159">
        <f>IF($C159="",0,MAX(0,$BJ159+IF($P159=AI$3,$R159,0)+IF($S159=AI$3,$U159,0)-$AI159))</f>
        <v/>
      </c>
      <c r="BL159">
        <f>IF($C159="",99,IF(AND($AX159&lt;1,V$3&gt;=MAX(N($P159),N($S159))),0,99))</f>
        <v/>
      </c>
      <c r="BM159">
        <f>IF($C159="",99,IF(AND($AY159&lt;1,W$3&gt;=MAX(N($P159),N($S159))),1,99))</f>
        <v/>
      </c>
      <c r="BN159">
        <f>IF($C159="",99,IF(AND($AZ159&lt;1,X$3&gt;=MAX(N($P159),N($S159))),2,99))</f>
        <v/>
      </c>
      <c r="BO159">
        <f>IF($C159="",99,IF(AND($BA159&lt;1,Y$3&gt;=MAX(N($P159),N($S159))),3,99))</f>
        <v/>
      </c>
      <c r="BP159">
        <f>IF($C159="",99,IF(AND($BB159&lt;1,Z$3&gt;=MAX(N($P159),N($S159))),4,99))</f>
        <v/>
      </c>
      <c r="BQ159">
        <f>IF($C159="",99,IF(AND($BC159&lt;1,AA$3&gt;=MAX(N($P159),N($S159))),5,99))</f>
        <v/>
      </c>
      <c r="BR159">
        <f>IF($C159="",99,IF(AND($BD159&lt;1,AB$3&gt;=MAX(N($P159),N($S159))),6,99))</f>
        <v/>
      </c>
      <c r="BS159">
        <f>IF($C159="",99,IF(AND($BE159&lt;1,AC$3&gt;=MAX(N($P159),N($S159))),7,99))</f>
        <v/>
      </c>
      <c r="BT159">
        <f>IF($C159="",99,IF(AND($BF159&lt;1,AD$3&gt;=MAX(N($P159),N($S159))),8,99))</f>
        <v/>
      </c>
      <c r="BU159">
        <f>IF($C159="",99,IF(AND($BG159&lt;1,AE$3&gt;=MAX(N($P159),N($S159))),9,99))</f>
        <v/>
      </c>
      <c r="BV159">
        <f>IF($C159="",99,IF(AND($BH159&lt;1,AF$3&gt;=MAX(N($P159),N($S159))),10,99))</f>
        <v/>
      </c>
      <c r="BW159">
        <f>IF($C159="",99,IF(AND($BI159&lt;1,AG$3&gt;=MAX(N($P159),N($S159))),11,99))</f>
        <v/>
      </c>
      <c r="BX159">
        <f>IF($C159="",99,IF(AND($BJ159&lt;1,AH$3&gt;=MAX(N($P159),N($S159))),12,99))</f>
        <v/>
      </c>
      <c r="BY159">
        <f>IF($C159="",99,IF(AND($BK159&lt;1,AI$3&gt;=MAX(N($P159),N($S159))),13,99))</f>
        <v/>
      </c>
      <c r="BZ159">
        <f>IF(OR($C159="",$M159=""),"",COUNTIF($AJ159:$AW159,"&gt;=1"))</f>
        <v/>
      </c>
      <c r="CA159" s="90">
        <f>IF($BZ159="","",IF($BZ159&gt;=14,"",'設定'!$C$6+$BZ159))</f>
        <v/>
      </c>
      <c r="CB159">
        <f>IF(OR($C159="",$M159=""),"",MIN($BL159:$BY159))</f>
        <v/>
      </c>
      <c r="CC159" s="90">
        <f>IF($CB159="","",IF($CB159&gt;=99,"",'設定'!$C$6+$CB159))</f>
        <v/>
      </c>
      <c r="CD159">
        <f>IF(OR($C159="",$M159=""),"",AVERAGE($V159:$AI159))</f>
        <v/>
      </c>
      <c r="CE159">
        <f>IF($C159="","",IFERROR(IF(MATCH(IF(ISNUMBER($P159),$P159,'設定'!$C$6+N('設定'!$C$7)),$V$3:$AI$3,0)=1,MAX(0,N($L159)),INDEX($AJ159:$AW159,MATCH(IF(ISNUMBER($P159),$P159,'設定'!$C$6+N('設定'!$C$7)),$V$3:$AI$3,0)-1)),""))</f>
        <v/>
      </c>
      <c r="CF159">
        <f>IF(OR($C159="",$O159="",$CE159=""),"",IF($O159-$CE159&lt;=0,0,ROUNDUP(($O159-$CE159)/$G159,0)))</f>
        <v/>
      </c>
      <c r="CG159">
        <f>IF(OR($C159="",$CF159="",NOT(ISNUMBER($Q159))),0,MAX(0,$Q159-$CF159))</f>
        <v/>
      </c>
      <c r="CH159">
        <f>IF(OR($C159="",$O159="",$U159=0),0,IFERROR(ROUNDUP(MAX(0,IF(MATCH($S159,$V$3:$AI$3,0)=1,MAX(0,N($L159)),INDEX($AX159:$BK159,MATCH($S159,$V$3:$AI$3,0)-1))+$U159-$O159)/$G159,0),0))</f>
        <v/>
      </c>
      <c r="CI159">
        <f>IF($C159="","",IF(AND($P159="",$Q159=""),"",IF($P159="","⚠ 入庫日を ▼ から選んでください",IF(NOT(ISNUMBER($P159)),"⚠ 入庫日は ▼ から選んでください",IF($P159&lt;N('設定'!$C$6),"⚠ 入庫日が過去です（もう在庫に入っています）→ 消してください",IF($P159&gt;N('設定'!$C$6)+13,"⚠ 入庫日が14日より先です",IF(N($Q159)&lt;=0,"⚠ 入庫数を入れてください",IF($CG159&gt;0,"⚠ 目安より "&amp;$CG159&amp;" 多い（定数を超える）→ 減らす",""))))))))</f>
        <v/>
      </c>
      <c r="CJ159">
        <f>IF($C159="","",IF(AND($S159="",$T159=""),"",IF($S159="","⚠ 2便目：入庫日を ▼ から選んでください",IF(NOT(ISNUMBER($S159)),"⚠ 2便目：入庫日は ▼ から選んでください",IF($S159&lt;N('設定'!$C$6),"⚠ 2便目：入庫日が過去です（もう在庫に入っています）→ 消してください",IF($S159&gt;N('設定'!$C$6)+13,"⚠ 2便目：入庫日が14日より先です",IF(N($T159)&lt;=0,"⚠ 2便目：入庫数を入れてください",IF($CH159&gt;0,"⚠ 2便目：定数を "&amp;$CH159&amp;" ケース超える → 減らす",""))))))))</f>
        <v/>
      </c>
      <c r="CK159">
        <f>IF(AND($CI159="",N($Q159)&gt;0,ISNUMBER($P159)),1,0)</f>
        <v/>
      </c>
      <c r="CL159">
        <f>IF(AND($CJ159="",N($T159)&gt;0,ISNUMBER($S159)),1,0)</f>
        <v/>
      </c>
      <c r="CM159">
        <f>IF(OR($CK159=1,$CL159=1),1,0)</f>
        <v/>
      </c>
      <c r="CN159">
        <f>IF($C159="",0,($CK159*$R159+$CL159*$U159)*N($H159))</f>
        <v/>
      </c>
      <c r="CO159">
        <f>IF($C159="","",IF($CC159="","入庫後は 14日以上もつ",IF($CC159-N('設定'!$C$7)&lt;='設定'!$C$6,"入庫後も "&amp;TEXT($CC159,"m/d")&amp;"("&amp;CHOOSE(WEEKDAY($CC159),"日","月","火","水","木","金","土")&amp;")"&amp;" に切れる　もう1便を至急発注","入庫後も "&amp;TEXT($CC159,"m/d")&amp;"("&amp;CHOOSE(WEEKDAY($CC159),"日","月","火","水","木","金","土")&amp;")"&amp;" に切れる　"&amp;TEXT($CC159-N('設定'!$C$7),"m/d")&amp;"("&amp;CHOOSE(WEEKDAY($CC159-N('設定'!$C$7)),"日","月","火","水","木","金","土")&amp;")"&amp;" までに次を発注")))</f>
        <v/>
      </c>
      <c r="CP159">
        <f>IF($C159="","",IF('設定'!$C$6="","？ ①在庫を貼る に今日のCSVが貼られていない",IF($CS159=1,"－ 今日のCSVに無い（終売？）",IF($L159&lt;0,"● 在庫がマイナス　数えて「数えた在庫」に入れる",IF($L159=0,"● 在庫なし　至急発注",IF($M159="","？ 減り数が未設定（商品マスタ）",IF($B$3=0,"？ 動員が未入力（動員を入れる）",IF($CA159="","○ 14日以上もつ",IF($BZ159&lt;N('設定'!$C$7),"● "&amp;TEXT($CA159,"m/d")&amp;"("&amp;CHOOSE(WEEKDAY($CA159),"日","月","火","水","木","金","土")&amp;")"&amp;" に切れる　至急発注",IF($BZ159=N('設定'!$C$7),"● "&amp;TEXT($CA159,"m/d")&amp;"("&amp;CHOOSE(WEEKDAY($CA159),"日","月","火","水","木","金","土")&amp;")"&amp;" に切れる　今日発注","△ "&amp;TEXT($CA159,"m/d")&amp;"("&amp;CHOOSE(WEEKDAY($CA159),"日","月","火","水","木","金","土")&amp;")"&amp;" に切れる　"&amp;TEXT($CA159-N('設定'!$C$7),"m/d")&amp;"("&amp;CHOOSE(WEEKDAY($CA159-N('設定'!$C$7)),"日","月","火","水","木","金","土")&amp;")"&amp;" までに発注"))))))))))</f>
        <v/>
      </c>
      <c r="CQ159">
        <f>IF($C159="","",IF(AND($P159="",$Q159="",$S159="",$T159=""),"",IF(AND($P159="",$Q159=""),"⚠ 先に1便目（左の入庫日・入庫数）に入れてください",IF($CI159&lt;&gt;"",$CI159,IF($CJ159&lt;&gt;"",$CJ159,IF($M159="","？ 減り数が未設定（発注書には載ります）",IF($B$3=0,"？ 動員が未入力（発注書には載ります）",IF(AND($CA159&lt;&gt;"",$P159&gt;$CA159),IF($P159&gt;'設定'!$C$6+N('設定'!$C$7),"● "&amp;TEXT($P159,"m/d")&amp;"("&amp;CHOOSE(WEEKDAY($P159),"日","月","火","水","木","金","土")&amp;")"&amp;" の入庫では間に合わない（"&amp;TEXT($CA159,"m/d")&amp;"("&amp;CHOOSE(WEEKDAY($CA159),"日","月","火","水","木","金","土")&amp;")"&amp;" に切れる）　入庫日を早める","△ 欠品 "&amp;TEXT($CA159,"m/d")&amp;"("&amp;CHOOSE(WEEKDAY($CA159),"日","月","火","水","木","金","土")&amp;")"&amp;"〜"&amp;TEXT($P159-1,"m/d")&amp;"("&amp;CHOOSE(WEEKDAY($P159-1),"日","月","火","水","木","金","土")&amp;")"&amp;"　"&amp;$CO159),IF($CC159="","○ "&amp;TEXT($P159,"m/d")&amp;"("&amp;CHOOSE(WEEKDAY($P159),"日","月","火","水","木","金","土")&amp;")"&amp;" 入庫で 14日以上もつ",IF($CC159-N('設定'!$C$7)&lt;='設定'!$C$6,"● 入庫しても "&amp;TEXT($CC159,"m/d")&amp;"("&amp;CHOOSE(WEEKDAY($CC159),"日","月","火","水","木","金","土")&amp;")"&amp;" に切れる　もう1便を至急発注（2便目に入れる）","△ 入庫しても "&amp;TEXT($CC159,"m/d")&amp;"("&amp;CHOOSE(WEEKDAY($CC159),"日","月","火","水","木","金","土")&amp;")"&amp;" に切れる　"&amp;TEXT($CC159-N('設定'!$C$7),"m/d")&amp;"("&amp;CHOOSE(WEEKDAY($CC159-N('設定'!$C$7)),"日","月","火","水","木","金","土")&amp;")"&amp;" までに次を発注（2便目に入れる）"))))))))))</f>
        <v/>
      </c>
      <c r="CR159">
        <f>IF($C159="","",IF($G159&gt;1,"ｹｰｽ("&amp;$G159&amp;"入)","個"))</f>
        <v/>
      </c>
      <c r="CS159">
        <f>IF($C159="",0,IF(COUNTIFS('①在庫を貼る'!$V$6:$V$10005,'設定'!$C$4,'①在庫を貼る'!$W$6:$W$10005,$C159)=0,1,0))</f>
        <v/>
      </c>
      <c r="CT159">
        <f>IF(AND($CK159=1,OR('③発注書'!$C$4="すべて",'③発注書'!$C$4="",$F159='③発注書'!$C$4)),N($CT158)+1,N($CT158))</f>
        <v/>
      </c>
      <c r="CU159">
        <f>IF(AND($CL159=1,OR('③発注書'!$C$4="すべて",'③発注書'!$C$4="",$F159='③発注書'!$C$4)),N($CU158)+1,N($CU158))</f>
        <v/>
      </c>
      <c r="CV159">
        <f>IF($C159="",0,IF(COUNTIFS('①在庫を貼る'!$V$6:$V$10005,'設定'!$C$4,'①在庫を貼る'!$W$6:$W$10005,$C159)&gt;0,1,0))</f>
        <v/>
      </c>
      <c r="CW159">
        <f>IF($C159="",0,IF(COUNTIFS('月1回_1ヶ月前の在庫'!$V$6:$V$10005,'設定'!$C$4,'月1回_1ヶ月前の在庫'!$W$6:$W$10005,$C159)&gt;0,1,0))</f>
        <v/>
      </c>
      <c r="CX159">
        <f>IF($C159="",0,IF(COUNTIFS('月1回_2ヶ月前の在庫'!$V$6:$V$10005,'設定'!$C$4,'月1回_2ヶ月前の在庫'!$W$6:$W$10005,$C159)&gt;0,1,0))</f>
        <v/>
      </c>
      <c r="CY159">
        <f>IF(OR($C159="",'設定'!$C$12=""),"",IF('設定'!$C$13="",IF(AND($CV159=1,$CW159=0),"新商品（今月から）",IF(AND($CV159=0,$CW159=1),"終売（今月から）","")),IF(AND($CV159=1,$CW159=0,$CX159=0),"新商品（今月から）",IF(AND($CV159=1,$CW159=1,$CX159=0),"新商品（先月から）",IF(AND($CV159=0,$CW159=1,$CX159=1),"終売（今月から）",IF(AND($CV159=0,$CW159=0,$CX159=1),"終売（先月から）",IF(AND($CV159=1,$CW159=0,$CX159=1),"復活（先月は無し）","")))))))</f>
        <v/>
      </c>
    </row>
    <row r="160">
      <c r="B160">
        <f>IF(155&lt;='設定'!$C$11,155,"")</f>
        <v/>
      </c>
      <c r="C160">
        <f>IF($B160="","",IF($B160&lt;='設定'!$C$20,INDEX('商品マスタ'!$B$6:$B$1005,MATCH($B160,'商品マスタ'!$M$6:$M$1005,0)),IF($B160&lt;='設定'!$C$20+'設定'!$C$17,INDEX('①在庫を貼る'!$W$6:$W$10005,MATCH($B160-'設定'!$C$20,'①在庫を貼る'!$U$6:$U$10005,0)),IF($B160&lt;='設定'!$C$20+'設定'!$C$17+'設定'!$C$18,INDEX('月1回_1ヶ月前の在庫'!$W$6:$W$10005,MATCH($B160-'設定'!$C$20-'設定'!$C$17,'月1回_1ヶ月前の在庫'!$U$6:$U$10005,0)),INDEX('月1回_2ヶ月前の在庫'!$W$6:$W$10005,MATCH($B160-'設定'!$C$20-'設定'!$C$17-'設定'!$C$18,'月1回_2ヶ月前の在庫'!$U$6:$U$10005,0))))))</f>
        <v/>
      </c>
      <c r="D160">
        <f>IF($C160="","",IFERROR(IF(INDEX('商品マスタ'!$C$6:$C$1005,MATCH($C160,'商品マスタ'!$B$6:$B$1005,0))="",IFERROR(INDEX('①在庫を貼る'!$J$6:$J$10005,MATCH($C160,'①在庫を貼る'!$W$6:$W$10005,0)),IFERROR(INDEX('月1回_1ヶ月前の在庫'!$J$6:$J$10005,MATCH($C160,'月1回_1ヶ月前の在庫'!$W$6:$W$10005,0)),IFERROR(INDEX('月1回_2ヶ月前の在庫'!$J$6:$J$10005,MATCH($C160,'月1回_2ヶ月前の在庫'!$W$6:$W$10005,0)),""))),INDEX('商品マスタ'!$C$6:$C$1005,MATCH($C160,'商品マスタ'!$B$6:$B$1005,0))),IFERROR(INDEX('①在庫を貼る'!$J$6:$J$10005,MATCH($C160,'①在庫を貼る'!$W$6:$W$10005,0)),IFERROR(INDEX('月1回_1ヶ月前の在庫'!$J$6:$J$10005,MATCH($C160,'月1回_1ヶ月前の在庫'!$W$6:$W$10005,0)),IFERROR(INDEX('月1回_2ヶ月前の在庫'!$J$6:$J$10005,MATCH($C160,'月1回_2ヶ月前の在庫'!$W$6:$W$10005,0)),"")))))</f>
        <v/>
      </c>
      <c r="E160">
        <f>IF($C160="","",IFERROR(IF(INDEX('商品マスタ'!$D$6:$D$1005,MATCH($C160,'商品マスタ'!$B$6:$B$1005,0))="",IFERROR(INDEX('①在庫を貼る'!$H$6:$H$10005,MATCH($C160,'①在庫を貼る'!$W$6:$W$10005,0)),IFERROR(INDEX('月1回_1ヶ月前の在庫'!$H$6:$H$10005,MATCH($C160,'月1回_1ヶ月前の在庫'!$W$6:$W$10005,0)),IFERROR(INDEX('月1回_2ヶ月前の在庫'!$H$6:$H$10005,MATCH($C160,'月1回_2ヶ月前の在庫'!$W$6:$W$10005,0)),""))),INDEX('商品マスタ'!$D$6:$D$1005,MATCH($C160,'商品マスタ'!$B$6:$B$1005,0))),IFERROR(INDEX('①在庫を貼る'!$H$6:$H$10005,MATCH($C160,'①在庫を貼る'!$W$6:$W$10005,0)),IFERROR(INDEX('月1回_1ヶ月前の在庫'!$H$6:$H$10005,MATCH($C160,'月1回_1ヶ月前の在庫'!$W$6:$W$10005,0)),IFERROR(INDEX('月1回_2ヶ月前の在庫'!$H$6:$H$10005,MATCH($C160,'月1回_2ヶ月前の在庫'!$W$6:$W$10005,0)),"")))))</f>
        <v/>
      </c>
      <c r="F160">
        <f>IF($C160="","",IFERROR(IF(INDEX('商品マスタ'!$E$6:$E$1005,MATCH($C160,'商品マスタ'!$B$6:$B$1005,0))="",IFERROR(INDEX('①在庫を貼る'!$E$6:$E$10005,MATCH($C160,'①在庫を貼る'!$W$6:$W$10005,0)),IFERROR(INDEX('月1回_1ヶ月前の在庫'!$E$6:$E$10005,MATCH($C160,'月1回_1ヶ月前の在庫'!$W$6:$W$10005,0)),IFERROR(INDEX('月1回_2ヶ月前の在庫'!$E$6:$E$10005,MATCH($C160,'月1回_2ヶ月前の在庫'!$W$6:$W$10005,0)),""))),INDEX('商品マスタ'!$E$6:$E$1005,MATCH($C160,'商品マスタ'!$B$6:$B$1005,0))),IFERROR(INDEX('①在庫を貼る'!$E$6:$E$10005,MATCH($C160,'①在庫を貼る'!$W$6:$W$10005,0)),IFERROR(INDEX('月1回_1ヶ月前の在庫'!$E$6:$E$10005,MATCH($C160,'月1回_1ヶ月前の在庫'!$W$6:$W$10005,0)),IFERROR(INDEX('月1回_2ヶ月前の在庫'!$E$6:$E$10005,MATCH($C160,'月1回_2ヶ月前の在庫'!$W$6:$W$10005,0)),"")))))</f>
        <v/>
      </c>
      <c r="G160">
        <f>IF($C160="","",MAX(1,N(IFERROR(IF(INDEX('商品マスタ'!$F$6:$F$1005,MATCH($C160,'商品マスタ'!$B$6:$B$1005,0))="",IF(COUNTIFS('①在庫を貼る'!$V$6:$V$10005,'設定'!$C$4,'①在庫を貼る'!$W$6:$W$10005,$C160)&gt;0,SUMIFS('①在庫を貼る'!$K$6:$K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K$6:$K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K$6:$K$10005,'月1回_2ヶ月前の在庫'!$V$6:$V$10005,'設定'!$C$4,'月1回_2ヶ月前の在庫'!$W$6:$W$10005,$C160)/COUNTIFS('月1回_2ヶ月前の在庫'!$V$6:$V$10005,'設定'!$C$4,'月1回_2ヶ月前の在庫'!$W$6:$W$10005,$C160),0))),INDEX('商品マスタ'!$F$6:$F$1005,MATCH($C160,'商品マスタ'!$B$6:$B$1005,0))),IF(COUNTIFS('①在庫を貼る'!$V$6:$V$10005,'設定'!$C$4,'①在庫を貼る'!$W$6:$W$10005,$C160)&gt;0,SUMIFS('①在庫を貼る'!$K$6:$K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K$6:$K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K$6:$K$10005,'月1回_2ヶ月前の在庫'!$V$6:$V$10005,'設定'!$C$4,'月1回_2ヶ月前の在庫'!$W$6:$W$10005,$C160)/COUNTIFS('月1回_2ヶ月前の在庫'!$V$6:$V$10005,'設定'!$C$4,'月1回_2ヶ月前の在庫'!$W$6:$W$10005,$C160),0)))))))</f>
        <v/>
      </c>
      <c r="H160">
        <f>IF($C160="","",N(IFERROR(IF(INDEX('商品マスタ'!$G$6:$G$1005,MATCH($C160,'商品マスタ'!$B$6:$B$1005,0))="",IF(COUNTIFS('①在庫を貼る'!$V$6:$V$10005,'設定'!$C$4,'①在庫を貼る'!$W$6:$W$10005,$C160)&gt;0,SUMIFS('①在庫を貼る'!$Q$6:$Q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Q$6:$Q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Q$6:$Q$10005,'月1回_2ヶ月前の在庫'!$V$6:$V$10005,'設定'!$C$4,'月1回_2ヶ月前の在庫'!$W$6:$W$10005,$C160)/COUNTIFS('月1回_2ヶ月前の在庫'!$V$6:$V$10005,'設定'!$C$4,'月1回_2ヶ月前の在庫'!$W$6:$W$10005,$C160),0))),INDEX('商品マスタ'!$G$6:$G$1005,MATCH($C160,'商品マスタ'!$B$6:$B$1005,0))),IF(COUNTIFS('①在庫を貼る'!$V$6:$V$10005,'設定'!$C$4,'①在庫を貼る'!$W$6:$W$10005,$C160)&gt;0,SUMIFS('①在庫を貼る'!$Q$6:$Q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Q$6:$Q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Q$6:$Q$10005,'月1回_2ヶ月前の在庫'!$V$6:$V$10005,'設定'!$C$4,'月1回_2ヶ月前の在庫'!$W$6:$W$10005,$C160)/COUNTIFS('月1回_2ヶ月前の在庫'!$V$6:$V$10005,'設定'!$C$4,'月1回_2ヶ月前の在庫'!$W$6:$W$10005,$C160),0))))))</f>
        <v/>
      </c>
      <c r="I160">
        <f>IF($C160="","",IF(COUNTIFS('①在庫を貼る'!$V$6:$V$10005,'設定'!$C$4,'①在庫を貼る'!$W$6:$W$10005,$C160)=0,"",SUMIFS('①在庫を貼る'!$N$6:$N$10005,'①在庫を貼る'!$V$6:$V$10005,'設定'!$C$4,'①在庫を貼る'!$W$6:$W$10005,$C160)))</f>
        <v/>
      </c>
      <c r="J160">
        <f>IF($C160="","",IF('②発注する'!$AD164="","",'②発注する'!$AD164))</f>
        <v/>
      </c>
      <c r="K160" s="90">
        <f>IF($C160="","",IF('②発注する'!$AE164="","",'②発注する'!$AE164))</f>
        <v/>
      </c>
      <c r="L160">
        <f>IF($C160="","",IF(AND(ISNUMBER($J160),ISNUMBER($K160),$K160&gt;='設定'!$C$6),$J160,N($I160)))</f>
        <v/>
      </c>
      <c r="M160">
        <f>IF($C160="","",IFERROR(IF(N(INDEX('商品マスタ'!$J$6:$J$1005,MATCH($C160,'商品マスタ'!$B$6:$B$1005,0)))&gt;0,INDEX('商品マスタ'!$J$6:$J$1005,MATCH($C160,'商品マスタ'!$B$6:$B$1005,0)),""),""))</f>
        <v/>
      </c>
      <c r="N160">
        <f>IF($C160="","",IFERROR(IF(N(INDEX('商品マスタ'!$H$6:$H$1005,MATCH($C160,'商品マスタ'!$B$6:$B$1005,0)))&gt;0,INDEX('商品マスタ'!$H$6:$H$1005,MATCH($C160,'商品マスタ'!$B$6:$B$1005,0)),""),""))</f>
        <v/>
      </c>
      <c r="O160">
        <f>IF($C160="","",IF($N160&lt;&gt;"",$N160*$G160,IF(N(IF(COUNTIFS('①在庫を貼る'!$V$6:$V$10005,'設定'!$C$4,'①在庫を貼る'!$W$6:$W$10005,$C160)&gt;0,SUMIFS('①在庫を貼る'!$O$6:$O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O$6:$O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O$6:$O$10005,'月1回_2ヶ月前の在庫'!$V$6:$V$10005,'設定'!$C$4,'月1回_2ヶ月前の在庫'!$W$6:$W$10005,$C160)/COUNTIFS('月1回_2ヶ月前の在庫'!$V$6:$V$10005,'設定'!$C$4,'月1回_2ヶ月前の在庫'!$W$6:$W$10005,$C160),0))))&gt;0,N(IF(COUNTIFS('①在庫を貼る'!$V$6:$V$10005,'設定'!$C$4,'①在庫を貼る'!$W$6:$W$10005,$C160)&gt;0,SUMIFS('①在庫を貼る'!$O$6:$O$10005,'①在庫を貼る'!$V$6:$V$10005,'設定'!$C$4,'①在庫を貼る'!$W$6:$W$10005,$C160)/COUNTIFS('①在庫を貼る'!$V$6:$V$10005,'設定'!$C$4,'①在庫を貼る'!$W$6:$W$10005,$C160),IF(COUNTIFS('月1回_1ヶ月前の在庫'!$V$6:$V$10005,'設定'!$C$4,'月1回_1ヶ月前の在庫'!$W$6:$W$10005,$C160)&gt;0,SUMIFS('月1回_1ヶ月前の在庫'!$O$6:$O$10005,'月1回_1ヶ月前の在庫'!$V$6:$V$10005,'設定'!$C$4,'月1回_1ヶ月前の在庫'!$W$6:$W$10005,$C160)/COUNTIFS('月1回_1ヶ月前の在庫'!$V$6:$V$10005,'設定'!$C$4,'月1回_1ヶ月前の在庫'!$W$6:$W$10005,$C160),IF(COUNTIFS('月1回_2ヶ月前の在庫'!$V$6:$V$10005,'設定'!$C$4,'月1回_2ヶ月前の在庫'!$W$6:$W$10005,$C160)&gt;0,SUMIFS('月1回_2ヶ月前の在庫'!$O$6:$O$10005,'月1回_2ヶ月前の在庫'!$V$6:$V$10005,'設定'!$C$4,'月1回_2ヶ月前の在庫'!$W$6:$W$10005,$C160)/COUNTIFS('月1回_2ヶ月前の在庫'!$V$6:$V$10005,'設定'!$C$4,'月1回_2ヶ月前の在庫'!$W$6:$W$10005,$C160),0)))),"")))</f>
        <v/>
      </c>
      <c r="P160" s="90">
        <f>IF($C160="","",IF('②発注する'!$I164="","",'②発注する'!$I164))</f>
        <v/>
      </c>
      <c r="Q160">
        <f>IF($C160="","",IF('②発注する'!$J164="","",'②発注する'!$J164))</f>
        <v/>
      </c>
      <c r="R160">
        <f>IF($C160="",0,IF(AND(ISNUMBER($P160),ISNUMBER($Q160)),MAX(0,$Q160)*$G160,0))</f>
        <v/>
      </c>
      <c r="S160" s="90">
        <f>IF($C160="","",IF('②発注する'!$M164="","",'②発注する'!$M164))</f>
        <v/>
      </c>
      <c r="T160">
        <f>IF($C160="","",IF('②発注する'!$N164="","",'②発注する'!$N164))</f>
        <v/>
      </c>
      <c r="U160">
        <f>IF($C160="",0,IF(AND(ISNUMBER($S160),ISNUMBER($T160)),MAX(0,$T160)*$G160,0))</f>
        <v/>
      </c>
      <c r="V160">
        <f>IF($C160="",0,IF($M160="",0,MAX(0,$M160)*MAX(0,V$4)/100))</f>
        <v/>
      </c>
      <c r="W160">
        <f>IF($C160="",0,IF($M160="",0,MAX(0,$M160)*MAX(0,W$4)/100))</f>
        <v/>
      </c>
      <c r="X160">
        <f>IF($C160="",0,IF($M160="",0,MAX(0,$M160)*MAX(0,X$4)/100))</f>
        <v/>
      </c>
      <c r="Y160">
        <f>IF($C160="",0,IF($M160="",0,MAX(0,$M160)*MAX(0,Y$4)/100))</f>
        <v/>
      </c>
      <c r="Z160">
        <f>IF($C160="",0,IF($M160="",0,MAX(0,$M160)*MAX(0,Z$4)/100))</f>
        <v/>
      </c>
      <c r="AA160">
        <f>IF($C160="",0,IF($M160="",0,MAX(0,$M160)*MAX(0,AA$4)/100))</f>
        <v/>
      </c>
      <c r="AB160">
        <f>IF($C160="",0,IF($M160="",0,MAX(0,$M160)*MAX(0,AB$4)/100))</f>
        <v/>
      </c>
      <c r="AC160">
        <f>IF($C160="",0,IF($M160="",0,MAX(0,$M160)*MAX(0,AC$4)/100))</f>
        <v/>
      </c>
      <c r="AD160">
        <f>IF($C160="",0,IF($M160="",0,MAX(0,$M160)*MAX(0,AD$4)/100))</f>
        <v/>
      </c>
      <c r="AE160">
        <f>IF($C160="",0,IF($M160="",0,MAX(0,$M160)*MAX(0,AE$4)/100))</f>
        <v/>
      </c>
      <c r="AF160">
        <f>IF($C160="",0,IF($M160="",0,MAX(0,$M160)*MAX(0,AF$4)/100))</f>
        <v/>
      </c>
      <c r="AG160">
        <f>IF($C160="",0,IF($M160="",0,MAX(0,$M160)*MAX(0,AG$4)/100))</f>
        <v/>
      </c>
      <c r="AH160">
        <f>IF($C160="",0,IF($M160="",0,MAX(0,$M160)*MAX(0,AH$4)/100))</f>
        <v/>
      </c>
      <c r="AI160">
        <f>IF($C160="",0,IF($M160="",0,MAX(0,$M160)*MAX(0,AI$4)/100))</f>
        <v/>
      </c>
      <c r="AJ160">
        <f>IF($C160="",0,MAX(0,MAX(0,N($L160))-$V160))</f>
        <v/>
      </c>
      <c r="AK160">
        <f>IF($C160="",0,MAX(0,$AJ160-$W160))</f>
        <v/>
      </c>
      <c r="AL160">
        <f>IF($C160="",0,MAX(0,$AK160-$X160))</f>
        <v/>
      </c>
      <c r="AM160">
        <f>IF($C160="",0,MAX(0,$AL160-$Y160))</f>
        <v/>
      </c>
      <c r="AN160">
        <f>IF($C160="",0,MAX(0,$AM160-$Z160))</f>
        <v/>
      </c>
      <c r="AO160">
        <f>IF($C160="",0,MAX(0,$AN160-$AA160))</f>
        <v/>
      </c>
      <c r="AP160">
        <f>IF($C160="",0,MAX(0,$AO160-$AB160))</f>
        <v/>
      </c>
      <c r="AQ160">
        <f>IF($C160="",0,MAX(0,$AP160-$AC160))</f>
        <v/>
      </c>
      <c r="AR160">
        <f>IF($C160="",0,MAX(0,$AQ160-$AD160))</f>
        <v/>
      </c>
      <c r="AS160">
        <f>IF($C160="",0,MAX(0,$AR160-$AE160))</f>
        <v/>
      </c>
      <c r="AT160">
        <f>IF($C160="",0,MAX(0,$AS160-$AF160))</f>
        <v/>
      </c>
      <c r="AU160">
        <f>IF($C160="",0,MAX(0,$AT160-$AG160))</f>
        <v/>
      </c>
      <c r="AV160">
        <f>IF($C160="",0,MAX(0,$AU160-$AH160))</f>
        <v/>
      </c>
      <c r="AW160">
        <f>IF($C160="",0,MAX(0,$AV160-$AI160))</f>
        <v/>
      </c>
      <c r="AX160">
        <f>IF($C160="",0,MAX(0,MAX(0,N($L160))+IF($P160=V$3,$R160,0)+IF($S160=V$3,$U160,0)-$V160))</f>
        <v/>
      </c>
      <c r="AY160">
        <f>IF($C160="",0,MAX(0,$AX160+IF($P160=W$3,$R160,0)+IF($S160=W$3,$U160,0)-$W160))</f>
        <v/>
      </c>
      <c r="AZ160">
        <f>IF($C160="",0,MAX(0,$AY160+IF($P160=X$3,$R160,0)+IF($S160=X$3,$U160,0)-$X160))</f>
        <v/>
      </c>
      <c r="BA160">
        <f>IF($C160="",0,MAX(0,$AZ160+IF($P160=Y$3,$R160,0)+IF($S160=Y$3,$U160,0)-$Y160))</f>
        <v/>
      </c>
      <c r="BB160">
        <f>IF($C160="",0,MAX(0,$BA160+IF($P160=Z$3,$R160,0)+IF($S160=Z$3,$U160,0)-$Z160))</f>
        <v/>
      </c>
      <c r="BC160">
        <f>IF($C160="",0,MAX(0,$BB160+IF($P160=AA$3,$R160,0)+IF($S160=AA$3,$U160,0)-$AA160))</f>
        <v/>
      </c>
      <c r="BD160">
        <f>IF($C160="",0,MAX(0,$BC160+IF($P160=AB$3,$R160,0)+IF($S160=AB$3,$U160,0)-$AB160))</f>
        <v/>
      </c>
      <c r="BE160">
        <f>IF($C160="",0,MAX(0,$BD160+IF($P160=AC$3,$R160,0)+IF($S160=AC$3,$U160,0)-$AC160))</f>
        <v/>
      </c>
      <c r="BF160">
        <f>IF($C160="",0,MAX(0,$BE160+IF($P160=AD$3,$R160,0)+IF($S160=AD$3,$U160,0)-$AD160))</f>
        <v/>
      </c>
      <c r="BG160">
        <f>IF($C160="",0,MAX(0,$BF160+IF($P160=AE$3,$R160,0)+IF($S160=AE$3,$U160,0)-$AE160))</f>
        <v/>
      </c>
      <c r="BH160">
        <f>IF($C160="",0,MAX(0,$BG160+IF($P160=AF$3,$R160,0)+IF($S160=AF$3,$U160,0)-$AF160))</f>
        <v/>
      </c>
      <c r="BI160">
        <f>IF($C160="",0,MAX(0,$BH160+IF($P160=AG$3,$R160,0)+IF($S160=AG$3,$U160,0)-$AG160))</f>
        <v/>
      </c>
      <c r="BJ160">
        <f>IF($C160="",0,MAX(0,$BI160+IF($P160=AH$3,$R160,0)+IF($S160=AH$3,$U160,0)-$AH160))</f>
        <v/>
      </c>
      <c r="BK160">
        <f>IF($C160="",0,MAX(0,$BJ160+IF($P160=AI$3,$R160,0)+IF($S160=AI$3,$U160,0)-$AI160))</f>
        <v/>
      </c>
      <c r="BL160">
        <f>IF($C160="",99,IF(AND($AX160&lt;1,V$3&gt;=MAX(N($P160),N($S160))),0,99))</f>
        <v/>
      </c>
      <c r="BM160">
        <f>IF($C160="",99,IF(AND($AY160&lt;1,W$3&gt;=MAX(N($P160),N($S160))),1,99))</f>
        <v/>
      </c>
      <c r="BN160">
        <f>IF($C160="",99,IF(AND($AZ160&lt;1,X$3&gt;=MAX(N($P160),N($S160))),2,99))</f>
        <v/>
      </c>
      <c r="BO160">
        <f>IF($C160="",99,IF(AND($BA160&lt;1,Y$3&gt;=MAX(N($P160),N($S160))),3,99))</f>
        <v/>
      </c>
      <c r="BP160">
        <f>IF($C160="",99,IF(AND($BB160&lt;1,Z$3&gt;=MAX(N($P160),N($S160))),4,99))</f>
        <v/>
      </c>
      <c r="BQ160">
        <f>IF($C160="",99,IF(AND($BC160&lt;1,AA$3&gt;=MAX(N($P160),N($S160))),5,99))</f>
        <v/>
      </c>
      <c r="BR160">
        <f>IF($C160="",99,IF(AND($BD160&lt;1,AB$3&gt;=MAX(N($P160),N($S160))),6,99))</f>
        <v/>
      </c>
      <c r="BS160">
        <f>IF($C160="",99,IF(AND($BE160&lt;1,AC$3&gt;=MAX(N($P160),N($S160))),7,99))</f>
        <v/>
      </c>
      <c r="BT160">
        <f>IF($C160="",99,IF(AND($BF160&lt;1,AD$3&gt;=MAX(N($P160),N($S160))),8,99))</f>
        <v/>
      </c>
      <c r="BU160">
        <f>IF($C160="",99,IF(AND($BG160&lt;1,AE$3&gt;=MAX(N($P160),N($S160))),9,99))</f>
        <v/>
      </c>
      <c r="BV160">
        <f>IF($C160="",99,IF(AND($BH160&lt;1,AF$3&gt;=MAX(N($P160),N($S160))),10,99))</f>
        <v/>
      </c>
      <c r="BW160">
        <f>IF($C160="",99,IF(AND($BI160&lt;1,AG$3&gt;=MAX(N($P160),N($S160))),11,99))</f>
        <v/>
      </c>
      <c r="BX160">
        <f>IF($C160="",99,IF(AND($BJ160&lt;1,AH$3&gt;=MAX(N($P160),N($S160))),12,99))</f>
        <v/>
      </c>
      <c r="BY160">
        <f>IF($C160="",99,IF(AND($BK160&lt;1,AI$3&gt;=MAX(N($P160),N($S160))),13,99))</f>
        <v/>
      </c>
      <c r="BZ160">
        <f>IF(OR($C160="",$M160=""),"",COUNTIF($AJ160:$AW160,"&gt;=1"))</f>
        <v/>
      </c>
      <c r="CA160" s="90">
        <f>IF($BZ160="","",IF($BZ160&gt;=14,"",'設定'!$C$6+$BZ160))</f>
        <v/>
      </c>
      <c r="CB160">
        <f>IF(OR($C160="",$M160=""),"",MIN($BL160:$BY160))</f>
        <v/>
      </c>
      <c r="CC160" s="90">
        <f>IF($CB160="","",IF($CB160&gt;=99,"",'設定'!$C$6+$CB160))</f>
        <v/>
      </c>
      <c r="CD160">
        <f>IF(OR($C160="",$M160=""),"",AVERAGE($V160:$AI160))</f>
        <v/>
      </c>
      <c r="CE160">
        <f>IF($C160="","",IFERROR(IF(MATCH(IF(ISNUMBER($P160),$P160,'設定'!$C$6+N('設定'!$C$7)),$V$3:$AI$3,0)=1,MAX(0,N($L160)),INDEX($AJ160:$AW160,MATCH(IF(ISNUMBER($P160),$P160,'設定'!$C$6+N('設定'!$C$7)),$V$3:$AI$3,0)-1)),""))</f>
        <v/>
      </c>
      <c r="CF160">
        <f>IF(OR($C160="",$O160="",$CE160=""),"",IF($O160-$CE160&lt;=0,0,ROUNDUP(($O160-$CE160)/$G160,0)))</f>
        <v/>
      </c>
      <c r="CG160">
        <f>IF(OR($C160="",$CF160="",NOT(ISNUMBER($Q160))),0,MAX(0,$Q160-$CF160))</f>
        <v/>
      </c>
      <c r="CH160">
        <f>IF(OR($C160="",$O160="",$U160=0),0,IFERROR(ROUNDUP(MAX(0,IF(MATCH($S160,$V$3:$AI$3,0)=1,MAX(0,N($L160)),INDEX($AX160:$BK160,MATCH($S160,$V$3:$AI$3,0)-1))+$U160-$O160)/$G160,0),0))</f>
        <v/>
      </c>
      <c r="CI160">
        <f>IF($C160="","",IF(AND($P160="",$Q160=""),"",IF($P160="","⚠ 入庫日を ▼ から選んでください",IF(NOT(ISNUMBER($P160)),"⚠ 入庫日は ▼ から選んでください",IF($P160&lt;N('設定'!$C$6),"⚠ 入庫日が過去です（もう在庫に入っています）→ 消してください",IF($P160&gt;N('設定'!$C$6)+13,"⚠ 入庫日が14日より先です",IF(N($Q160)&lt;=0,"⚠ 入庫数を入れてください",IF($CG160&gt;0,"⚠ 目安より "&amp;$CG160&amp;" 多い（定数を超える）→ 減らす",""))))))))</f>
        <v/>
      </c>
      <c r="CJ160">
        <f>IF($C160="","",IF(AND($S160="",$T160=""),"",IF($S160="","⚠ 2便目：入庫日を ▼ から選んでください",IF(NOT(ISNUMBER($S160)),"⚠ 2便目：入庫日は ▼ から選んでください",IF($S160&lt;N('設定'!$C$6),"⚠ 2便目：入庫日が過去です（もう在庫に入っています）→ 消してください",IF($S160&gt;N('設定'!$C$6)+13,"⚠ 2便目：入庫日が14日より先です",IF(N($T160)&lt;=0,"⚠ 2便目：入庫数を入れてください",IF($CH160&gt;0,"⚠ 2便目：定数を "&amp;$CH160&amp;" ケース超える → 減らす",""))))))))</f>
        <v/>
      </c>
      <c r="CK160">
        <f>IF(AND($CI160="",N($Q160)&gt;0,ISNUMBER($P160)),1,0)</f>
        <v/>
      </c>
      <c r="CL160">
        <f>IF(AND($CJ160="",N($T160)&gt;0,ISNUMBER($S160)),1,0)</f>
        <v/>
      </c>
      <c r="CM160">
        <f>IF(OR($CK160=1,$CL160=1),1,0)</f>
        <v/>
      </c>
      <c r="CN160">
        <f>IF($C160="",0,($CK160*$R160+$CL160*$U160)*N($H160))</f>
        <v/>
      </c>
      <c r="CO160">
        <f>IF($C160="","",IF($CC160="","入庫後は 14日以上もつ",IF($CC160-N('設定'!$C$7)&lt;='設定'!$C$6,"入庫後も "&amp;TEXT($CC160,"m/d")&amp;"("&amp;CHOOSE(WEEKDAY($CC160),"日","月","火","水","木","金","土")&amp;")"&amp;" に切れる　もう1便を至急発注","入庫後も "&amp;TEXT($CC160,"m/d")&amp;"("&amp;CHOOSE(WEEKDAY($CC160),"日","月","火","水","木","金","土")&amp;")"&amp;" に切れる　"&amp;TEXT($CC160-N('設定'!$C$7),"m/d")&amp;"("&amp;CHOOSE(WEEKDAY($CC160-N('設定'!$C$7)),"日","月","火","水","木","金","土")&amp;")"&amp;" までに次を発注")))</f>
        <v/>
      </c>
      <c r="CP160">
        <f>IF($C160="","",IF('設定'!$C$6="","？ ①在庫を貼る に今日のCSVが貼られていない",IF($CS160=1,"－ 今日のCSVに無い（終売？）",IF($L160&lt;0,"● 在庫がマイナス　数えて「数えた在庫」に入れる",IF($L160=0,"● 在庫なし　至急発注",IF($M160="","？ 減り数が未設定（商品マスタ）",IF($B$3=0,"？ 動員が未入力（動員を入れる）",IF($CA160="","○ 14日以上もつ",IF($BZ160&lt;N('設定'!$C$7),"● "&amp;TEXT($CA160,"m/d")&amp;"("&amp;CHOOSE(WEEKDAY($CA160),"日","月","火","水","木","金","土")&amp;")"&amp;" に切れる　至急発注",IF($BZ160=N('設定'!$C$7),"● "&amp;TEXT($CA160,"m/d")&amp;"("&amp;CHOOSE(WEEKDAY($CA160),"日","月","火","水","木","金","土")&amp;")"&amp;" に切れる　今日発注","△ "&amp;TEXT($CA160,"m/d")&amp;"("&amp;CHOOSE(WEEKDAY($CA160),"日","月","火","水","木","金","土")&amp;")"&amp;" に切れる　"&amp;TEXT($CA160-N('設定'!$C$7),"m/d")&amp;"("&amp;CHOOSE(WEEKDAY($CA160-N('設定'!$C$7)),"日","月","火","水","木","金","土")&amp;")"&amp;" までに発注"))))))))))</f>
        <v/>
      </c>
      <c r="CQ160">
        <f>IF($C160="","",IF(AND($P160="",$Q160="",$S160="",$T160=""),"",IF(AND($P160="",$Q160=""),"⚠ 先に1便目（左の入庫日・入庫数）に入れてください",IF($CI160&lt;&gt;"",$CI160,IF($CJ160&lt;&gt;"",$CJ160,IF($M160="","？ 減り数が未設定（発注書には載ります）",IF($B$3=0,"？ 動員が未入力（発注書には載ります）",IF(AND($CA160&lt;&gt;"",$P160&gt;$CA160),IF($P160&gt;'設定'!$C$6+N('設定'!$C$7),"● "&amp;TEXT($P160,"m/d")&amp;"("&amp;CHOOSE(WEEKDAY($P160),"日","月","火","水","木","金","土")&amp;")"&amp;" の入庫では間に合わない（"&amp;TEXT($CA160,"m/d")&amp;"("&amp;CHOOSE(WEEKDAY($CA160),"日","月","火","水","木","金","土")&amp;")"&amp;" に切れる）　入庫日を早める","△ 欠品 "&amp;TEXT($CA160,"m/d")&amp;"("&amp;CHOOSE(WEEKDAY($CA160),"日","月","火","水","木","金","土")&amp;")"&amp;"〜"&amp;TEXT($P160-1,"m/d")&amp;"("&amp;CHOOSE(WEEKDAY($P160-1),"日","月","火","水","木","金","土")&amp;")"&amp;"　"&amp;$CO160),IF($CC160="","○ "&amp;TEXT($P160,"m/d")&amp;"("&amp;CHOOSE(WEEKDAY($P160),"日","月","火","水","木","金","土")&amp;")"&amp;" 入庫で 14日以上もつ",IF($CC160-N('設定'!$C$7)&lt;='設定'!$C$6,"● 入庫しても "&amp;TEXT($CC160,"m/d")&amp;"("&amp;CHOOSE(WEEKDAY($CC160),"日","月","火","水","木","金","土")&amp;")"&amp;" に切れる　もう1便を至急発注（2便目に入れる）","△ 入庫しても "&amp;TEXT($CC160,"m/d")&amp;"("&amp;CHOOSE(WEEKDAY($CC160),"日","月","火","水","木","金","土")&amp;")"&amp;" に切れる　"&amp;TEXT($CC160-N('設定'!$C$7),"m/d")&amp;"("&amp;CHOOSE(WEEKDAY($CC160-N('設定'!$C$7)),"日","月","火","水","木","金","土")&amp;")"&amp;" までに次を発注（2便目に入れる）"))))))))))</f>
        <v/>
      </c>
      <c r="CR160">
        <f>IF($C160="","",IF($G160&gt;1,"ｹｰｽ("&amp;$G160&amp;"入)","個"))</f>
        <v/>
      </c>
      <c r="CS160">
        <f>IF($C160="",0,IF(COUNTIFS('①在庫を貼る'!$V$6:$V$10005,'設定'!$C$4,'①在庫を貼る'!$W$6:$W$10005,$C160)=0,1,0))</f>
        <v/>
      </c>
      <c r="CT160">
        <f>IF(AND($CK160=1,OR('③発注書'!$C$4="すべて",'③発注書'!$C$4="",$F160='③発注書'!$C$4)),N($CT159)+1,N($CT159))</f>
        <v/>
      </c>
      <c r="CU160">
        <f>IF(AND($CL160=1,OR('③発注書'!$C$4="すべて",'③発注書'!$C$4="",$F160='③発注書'!$C$4)),N($CU159)+1,N($CU159))</f>
        <v/>
      </c>
      <c r="CV160">
        <f>IF($C160="",0,IF(COUNTIFS('①在庫を貼る'!$V$6:$V$10005,'設定'!$C$4,'①在庫を貼る'!$W$6:$W$10005,$C160)&gt;0,1,0))</f>
        <v/>
      </c>
      <c r="CW160">
        <f>IF($C160="",0,IF(COUNTIFS('月1回_1ヶ月前の在庫'!$V$6:$V$10005,'設定'!$C$4,'月1回_1ヶ月前の在庫'!$W$6:$W$10005,$C160)&gt;0,1,0))</f>
        <v/>
      </c>
      <c r="CX160">
        <f>IF($C160="",0,IF(COUNTIFS('月1回_2ヶ月前の在庫'!$V$6:$V$10005,'設定'!$C$4,'月1回_2ヶ月前の在庫'!$W$6:$W$10005,$C160)&gt;0,1,0))</f>
        <v/>
      </c>
      <c r="CY160">
        <f>IF(OR($C160="",'設定'!$C$12=""),"",IF('設定'!$C$13="",IF(AND($CV160=1,$CW160=0),"新商品（今月から）",IF(AND($CV160=0,$CW160=1),"終売（今月から）","")),IF(AND($CV160=1,$CW160=0,$CX160=0),"新商品（今月から）",IF(AND($CV160=1,$CW160=1,$CX160=0),"新商品（先月から）",IF(AND($CV160=0,$CW160=1,$CX160=1),"終売（今月から）",IF(AND($CV160=0,$CW160=0,$CX160=1),"終売（先月から）",IF(AND($CV160=1,$CW160=0,$CX160=1),"復活（先月は無し）","")))))))</f>
        <v/>
      </c>
    </row>
    <row r="161">
      <c r="B161">
        <f>IF(156&lt;='設定'!$C$11,156,"")</f>
        <v/>
      </c>
      <c r="C161">
        <f>IF($B161="","",IF($B161&lt;='設定'!$C$20,INDEX('商品マスタ'!$B$6:$B$1005,MATCH($B161,'商品マスタ'!$M$6:$M$1005,0)),IF($B161&lt;='設定'!$C$20+'設定'!$C$17,INDEX('①在庫を貼る'!$W$6:$W$10005,MATCH($B161-'設定'!$C$20,'①在庫を貼る'!$U$6:$U$10005,0)),IF($B161&lt;='設定'!$C$20+'設定'!$C$17+'設定'!$C$18,INDEX('月1回_1ヶ月前の在庫'!$W$6:$W$10005,MATCH($B161-'設定'!$C$20-'設定'!$C$17,'月1回_1ヶ月前の在庫'!$U$6:$U$10005,0)),INDEX('月1回_2ヶ月前の在庫'!$W$6:$W$10005,MATCH($B161-'設定'!$C$20-'設定'!$C$17-'設定'!$C$18,'月1回_2ヶ月前の在庫'!$U$6:$U$10005,0))))))</f>
        <v/>
      </c>
      <c r="D161">
        <f>IF($C161="","",IFERROR(IF(INDEX('商品マスタ'!$C$6:$C$1005,MATCH($C161,'商品マスタ'!$B$6:$B$1005,0))="",IFERROR(INDEX('①在庫を貼る'!$J$6:$J$10005,MATCH($C161,'①在庫を貼る'!$W$6:$W$10005,0)),IFERROR(INDEX('月1回_1ヶ月前の在庫'!$J$6:$J$10005,MATCH($C161,'月1回_1ヶ月前の在庫'!$W$6:$W$10005,0)),IFERROR(INDEX('月1回_2ヶ月前の在庫'!$J$6:$J$10005,MATCH($C161,'月1回_2ヶ月前の在庫'!$W$6:$W$10005,0)),""))),INDEX('商品マスタ'!$C$6:$C$1005,MATCH($C161,'商品マスタ'!$B$6:$B$1005,0))),IFERROR(INDEX('①在庫を貼る'!$J$6:$J$10005,MATCH($C161,'①在庫を貼る'!$W$6:$W$10005,0)),IFERROR(INDEX('月1回_1ヶ月前の在庫'!$J$6:$J$10005,MATCH($C161,'月1回_1ヶ月前の在庫'!$W$6:$W$10005,0)),IFERROR(INDEX('月1回_2ヶ月前の在庫'!$J$6:$J$10005,MATCH($C161,'月1回_2ヶ月前の在庫'!$W$6:$W$10005,0)),"")))))</f>
        <v/>
      </c>
      <c r="E161">
        <f>IF($C161="","",IFERROR(IF(INDEX('商品マスタ'!$D$6:$D$1005,MATCH($C161,'商品マスタ'!$B$6:$B$1005,0))="",IFERROR(INDEX('①在庫を貼る'!$H$6:$H$10005,MATCH($C161,'①在庫を貼る'!$W$6:$W$10005,0)),IFERROR(INDEX('月1回_1ヶ月前の在庫'!$H$6:$H$10005,MATCH($C161,'月1回_1ヶ月前の在庫'!$W$6:$W$10005,0)),IFERROR(INDEX('月1回_2ヶ月前の在庫'!$H$6:$H$10005,MATCH($C161,'月1回_2ヶ月前の在庫'!$W$6:$W$10005,0)),""))),INDEX('商品マスタ'!$D$6:$D$1005,MATCH($C161,'商品マスタ'!$B$6:$B$1005,0))),IFERROR(INDEX('①在庫を貼る'!$H$6:$H$10005,MATCH($C161,'①在庫を貼る'!$W$6:$W$10005,0)),IFERROR(INDEX('月1回_1ヶ月前の在庫'!$H$6:$H$10005,MATCH($C161,'月1回_1ヶ月前の在庫'!$W$6:$W$10005,0)),IFERROR(INDEX('月1回_2ヶ月前の在庫'!$H$6:$H$10005,MATCH($C161,'月1回_2ヶ月前の在庫'!$W$6:$W$10005,0)),"")))))</f>
        <v/>
      </c>
      <c r="F161">
        <f>IF($C161="","",IFERROR(IF(INDEX('商品マスタ'!$E$6:$E$1005,MATCH($C161,'商品マスタ'!$B$6:$B$1005,0))="",IFERROR(INDEX('①在庫を貼る'!$E$6:$E$10005,MATCH($C161,'①在庫を貼る'!$W$6:$W$10005,0)),IFERROR(INDEX('月1回_1ヶ月前の在庫'!$E$6:$E$10005,MATCH($C161,'月1回_1ヶ月前の在庫'!$W$6:$W$10005,0)),IFERROR(INDEX('月1回_2ヶ月前の在庫'!$E$6:$E$10005,MATCH($C161,'月1回_2ヶ月前の在庫'!$W$6:$W$10005,0)),""))),INDEX('商品マスタ'!$E$6:$E$1005,MATCH($C161,'商品マスタ'!$B$6:$B$1005,0))),IFERROR(INDEX('①在庫を貼る'!$E$6:$E$10005,MATCH($C161,'①在庫を貼る'!$W$6:$W$10005,0)),IFERROR(INDEX('月1回_1ヶ月前の在庫'!$E$6:$E$10005,MATCH($C161,'月1回_1ヶ月前の在庫'!$W$6:$W$10005,0)),IFERROR(INDEX('月1回_2ヶ月前の在庫'!$E$6:$E$10005,MATCH($C161,'月1回_2ヶ月前の在庫'!$W$6:$W$10005,0)),"")))))</f>
        <v/>
      </c>
      <c r="G161">
        <f>IF($C161="","",MAX(1,N(IFERROR(IF(INDEX('商品マスタ'!$F$6:$F$1005,MATCH($C161,'商品マスタ'!$B$6:$B$1005,0))="",IF(COUNTIFS('①在庫を貼る'!$V$6:$V$10005,'設定'!$C$4,'①在庫を貼る'!$W$6:$W$10005,$C161)&gt;0,SUMIFS('①在庫を貼る'!$K$6:$K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K$6:$K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K$6:$K$10005,'月1回_2ヶ月前の在庫'!$V$6:$V$10005,'設定'!$C$4,'月1回_2ヶ月前の在庫'!$W$6:$W$10005,$C161)/COUNTIFS('月1回_2ヶ月前の在庫'!$V$6:$V$10005,'設定'!$C$4,'月1回_2ヶ月前の在庫'!$W$6:$W$10005,$C161),0))),INDEX('商品マスタ'!$F$6:$F$1005,MATCH($C161,'商品マスタ'!$B$6:$B$1005,0))),IF(COUNTIFS('①在庫を貼る'!$V$6:$V$10005,'設定'!$C$4,'①在庫を貼る'!$W$6:$W$10005,$C161)&gt;0,SUMIFS('①在庫を貼る'!$K$6:$K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K$6:$K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K$6:$K$10005,'月1回_2ヶ月前の在庫'!$V$6:$V$10005,'設定'!$C$4,'月1回_2ヶ月前の在庫'!$W$6:$W$10005,$C161)/COUNTIFS('月1回_2ヶ月前の在庫'!$V$6:$V$10005,'設定'!$C$4,'月1回_2ヶ月前の在庫'!$W$6:$W$10005,$C161),0)))))))</f>
        <v/>
      </c>
      <c r="H161">
        <f>IF($C161="","",N(IFERROR(IF(INDEX('商品マスタ'!$G$6:$G$1005,MATCH($C161,'商品マスタ'!$B$6:$B$1005,0))="",IF(COUNTIFS('①在庫を貼る'!$V$6:$V$10005,'設定'!$C$4,'①在庫を貼る'!$W$6:$W$10005,$C161)&gt;0,SUMIFS('①在庫を貼る'!$Q$6:$Q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Q$6:$Q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Q$6:$Q$10005,'月1回_2ヶ月前の在庫'!$V$6:$V$10005,'設定'!$C$4,'月1回_2ヶ月前の在庫'!$W$6:$W$10005,$C161)/COUNTIFS('月1回_2ヶ月前の在庫'!$V$6:$V$10005,'設定'!$C$4,'月1回_2ヶ月前の在庫'!$W$6:$W$10005,$C161),0))),INDEX('商品マスタ'!$G$6:$G$1005,MATCH($C161,'商品マスタ'!$B$6:$B$1005,0))),IF(COUNTIFS('①在庫を貼る'!$V$6:$V$10005,'設定'!$C$4,'①在庫を貼る'!$W$6:$W$10005,$C161)&gt;0,SUMIFS('①在庫を貼る'!$Q$6:$Q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Q$6:$Q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Q$6:$Q$10005,'月1回_2ヶ月前の在庫'!$V$6:$V$10005,'設定'!$C$4,'月1回_2ヶ月前の在庫'!$W$6:$W$10005,$C161)/COUNTIFS('月1回_2ヶ月前の在庫'!$V$6:$V$10005,'設定'!$C$4,'月1回_2ヶ月前の在庫'!$W$6:$W$10005,$C161),0))))))</f>
        <v/>
      </c>
      <c r="I161">
        <f>IF($C161="","",IF(COUNTIFS('①在庫を貼る'!$V$6:$V$10005,'設定'!$C$4,'①在庫を貼る'!$W$6:$W$10005,$C161)=0,"",SUMIFS('①在庫を貼る'!$N$6:$N$10005,'①在庫を貼る'!$V$6:$V$10005,'設定'!$C$4,'①在庫を貼る'!$W$6:$W$10005,$C161)))</f>
        <v/>
      </c>
      <c r="J161">
        <f>IF($C161="","",IF('②発注する'!$AD165="","",'②発注する'!$AD165))</f>
        <v/>
      </c>
      <c r="K161" s="90">
        <f>IF($C161="","",IF('②発注する'!$AE165="","",'②発注する'!$AE165))</f>
        <v/>
      </c>
      <c r="L161">
        <f>IF($C161="","",IF(AND(ISNUMBER($J161),ISNUMBER($K161),$K161&gt;='設定'!$C$6),$J161,N($I161)))</f>
        <v/>
      </c>
      <c r="M161">
        <f>IF($C161="","",IFERROR(IF(N(INDEX('商品マスタ'!$J$6:$J$1005,MATCH($C161,'商品マスタ'!$B$6:$B$1005,0)))&gt;0,INDEX('商品マスタ'!$J$6:$J$1005,MATCH($C161,'商品マスタ'!$B$6:$B$1005,0)),""),""))</f>
        <v/>
      </c>
      <c r="N161">
        <f>IF($C161="","",IFERROR(IF(N(INDEX('商品マスタ'!$H$6:$H$1005,MATCH($C161,'商品マスタ'!$B$6:$B$1005,0)))&gt;0,INDEX('商品マスタ'!$H$6:$H$1005,MATCH($C161,'商品マスタ'!$B$6:$B$1005,0)),""),""))</f>
        <v/>
      </c>
      <c r="O161">
        <f>IF($C161="","",IF($N161&lt;&gt;"",$N161*$G161,IF(N(IF(COUNTIFS('①在庫を貼る'!$V$6:$V$10005,'設定'!$C$4,'①在庫を貼る'!$W$6:$W$10005,$C161)&gt;0,SUMIFS('①在庫を貼る'!$O$6:$O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O$6:$O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O$6:$O$10005,'月1回_2ヶ月前の在庫'!$V$6:$V$10005,'設定'!$C$4,'月1回_2ヶ月前の在庫'!$W$6:$W$10005,$C161)/COUNTIFS('月1回_2ヶ月前の在庫'!$V$6:$V$10005,'設定'!$C$4,'月1回_2ヶ月前の在庫'!$W$6:$W$10005,$C161),0))))&gt;0,N(IF(COUNTIFS('①在庫を貼る'!$V$6:$V$10005,'設定'!$C$4,'①在庫を貼る'!$W$6:$W$10005,$C161)&gt;0,SUMIFS('①在庫を貼る'!$O$6:$O$10005,'①在庫を貼る'!$V$6:$V$10005,'設定'!$C$4,'①在庫を貼る'!$W$6:$W$10005,$C161)/COUNTIFS('①在庫を貼る'!$V$6:$V$10005,'設定'!$C$4,'①在庫を貼る'!$W$6:$W$10005,$C161),IF(COUNTIFS('月1回_1ヶ月前の在庫'!$V$6:$V$10005,'設定'!$C$4,'月1回_1ヶ月前の在庫'!$W$6:$W$10005,$C161)&gt;0,SUMIFS('月1回_1ヶ月前の在庫'!$O$6:$O$10005,'月1回_1ヶ月前の在庫'!$V$6:$V$10005,'設定'!$C$4,'月1回_1ヶ月前の在庫'!$W$6:$W$10005,$C161)/COUNTIFS('月1回_1ヶ月前の在庫'!$V$6:$V$10005,'設定'!$C$4,'月1回_1ヶ月前の在庫'!$W$6:$W$10005,$C161),IF(COUNTIFS('月1回_2ヶ月前の在庫'!$V$6:$V$10005,'設定'!$C$4,'月1回_2ヶ月前の在庫'!$W$6:$W$10005,$C161)&gt;0,SUMIFS('月1回_2ヶ月前の在庫'!$O$6:$O$10005,'月1回_2ヶ月前の在庫'!$V$6:$V$10005,'設定'!$C$4,'月1回_2ヶ月前の在庫'!$W$6:$W$10005,$C161)/COUNTIFS('月1回_2ヶ月前の在庫'!$V$6:$V$10005,'設定'!$C$4,'月1回_2ヶ月前の在庫'!$W$6:$W$10005,$C161),0)))),"")))</f>
        <v/>
      </c>
      <c r="P161" s="90">
        <f>IF($C161="","",IF('②発注する'!$I165="","",'②発注する'!$I165))</f>
        <v/>
      </c>
      <c r="Q161">
        <f>IF($C161="","",IF('②発注する'!$J165="","",'②発注する'!$J165))</f>
        <v/>
      </c>
      <c r="R161">
        <f>IF($C161="",0,IF(AND(ISNUMBER($P161),ISNUMBER($Q161)),MAX(0,$Q161)*$G161,0))</f>
        <v/>
      </c>
      <c r="S161" s="90">
        <f>IF($C161="","",IF('②発注する'!$M165="","",'②発注する'!$M165))</f>
        <v/>
      </c>
      <c r="T161">
        <f>IF($C161="","",IF('②発注する'!$N165="","",'②発注する'!$N165))</f>
        <v/>
      </c>
      <c r="U161">
        <f>IF($C161="",0,IF(AND(ISNUMBER($S161),ISNUMBER($T161)),MAX(0,$T161)*$G161,0))</f>
        <v/>
      </c>
      <c r="V161">
        <f>IF($C161="",0,IF($M161="",0,MAX(0,$M161)*MAX(0,V$4)/100))</f>
        <v/>
      </c>
      <c r="W161">
        <f>IF($C161="",0,IF($M161="",0,MAX(0,$M161)*MAX(0,W$4)/100))</f>
        <v/>
      </c>
      <c r="X161">
        <f>IF($C161="",0,IF($M161="",0,MAX(0,$M161)*MAX(0,X$4)/100))</f>
        <v/>
      </c>
      <c r="Y161">
        <f>IF($C161="",0,IF($M161="",0,MAX(0,$M161)*MAX(0,Y$4)/100))</f>
        <v/>
      </c>
      <c r="Z161">
        <f>IF($C161="",0,IF($M161="",0,MAX(0,$M161)*MAX(0,Z$4)/100))</f>
        <v/>
      </c>
      <c r="AA161">
        <f>IF($C161="",0,IF($M161="",0,MAX(0,$M161)*MAX(0,AA$4)/100))</f>
        <v/>
      </c>
      <c r="AB161">
        <f>IF($C161="",0,IF($M161="",0,MAX(0,$M161)*MAX(0,AB$4)/100))</f>
        <v/>
      </c>
      <c r="AC161">
        <f>IF($C161="",0,IF($M161="",0,MAX(0,$M161)*MAX(0,AC$4)/100))</f>
        <v/>
      </c>
      <c r="AD161">
        <f>IF($C161="",0,IF($M161="",0,MAX(0,$M161)*MAX(0,AD$4)/100))</f>
        <v/>
      </c>
      <c r="AE161">
        <f>IF($C161="",0,IF($M161="",0,MAX(0,$M161)*MAX(0,AE$4)/100))</f>
        <v/>
      </c>
      <c r="AF161">
        <f>IF($C161="",0,IF($M161="",0,MAX(0,$M161)*MAX(0,AF$4)/100))</f>
        <v/>
      </c>
      <c r="AG161">
        <f>IF($C161="",0,IF($M161="",0,MAX(0,$M161)*MAX(0,AG$4)/100))</f>
        <v/>
      </c>
      <c r="AH161">
        <f>IF($C161="",0,IF($M161="",0,MAX(0,$M161)*MAX(0,AH$4)/100))</f>
        <v/>
      </c>
      <c r="AI161">
        <f>IF($C161="",0,IF($M161="",0,MAX(0,$M161)*MAX(0,AI$4)/100))</f>
        <v/>
      </c>
      <c r="AJ161">
        <f>IF($C161="",0,MAX(0,MAX(0,N($L161))-$V161))</f>
        <v/>
      </c>
      <c r="AK161">
        <f>IF($C161="",0,MAX(0,$AJ161-$W161))</f>
        <v/>
      </c>
      <c r="AL161">
        <f>IF($C161="",0,MAX(0,$AK161-$X161))</f>
        <v/>
      </c>
      <c r="AM161">
        <f>IF($C161="",0,MAX(0,$AL161-$Y161))</f>
        <v/>
      </c>
      <c r="AN161">
        <f>IF($C161="",0,MAX(0,$AM161-$Z161))</f>
        <v/>
      </c>
      <c r="AO161">
        <f>IF($C161="",0,MAX(0,$AN161-$AA161))</f>
        <v/>
      </c>
      <c r="AP161">
        <f>IF($C161="",0,MAX(0,$AO161-$AB161))</f>
        <v/>
      </c>
      <c r="AQ161">
        <f>IF($C161="",0,MAX(0,$AP161-$AC161))</f>
        <v/>
      </c>
      <c r="AR161">
        <f>IF($C161="",0,MAX(0,$AQ161-$AD161))</f>
        <v/>
      </c>
      <c r="AS161">
        <f>IF($C161="",0,MAX(0,$AR161-$AE161))</f>
        <v/>
      </c>
      <c r="AT161">
        <f>IF($C161="",0,MAX(0,$AS161-$AF161))</f>
        <v/>
      </c>
      <c r="AU161">
        <f>IF($C161="",0,MAX(0,$AT161-$AG161))</f>
        <v/>
      </c>
      <c r="AV161">
        <f>IF($C161="",0,MAX(0,$AU161-$AH161))</f>
        <v/>
      </c>
      <c r="AW161">
        <f>IF($C161="",0,MAX(0,$AV161-$AI161))</f>
        <v/>
      </c>
      <c r="AX161">
        <f>IF($C161="",0,MAX(0,MAX(0,N($L161))+IF($P161=V$3,$R161,0)+IF($S161=V$3,$U161,0)-$V161))</f>
        <v/>
      </c>
      <c r="AY161">
        <f>IF($C161="",0,MAX(0,$AX161+IF($P161=W$3,$R161,0)+IF($S161=W$3,$U161,0)-$W161))</f>
        <v/>
      </c>
      <c r="AZ161">
        <f>IF($C161="",0,MAX(0,$AY161+IF($P161=X$3,$R161,0)+IF($S161=X$3,$U161,0)-$X161))</f>
        <v/>
      </c>
      <c r="BA161">
        <f>IF($C161="",0,MAX(0,$AZ161+IF($P161=Y$3,$R161,0)+IF($S161=Y$3,$U161,0)-$Y161))</f>
        <v/>
      </c>
      <c r="BB161">
        <f>IF($C161="",0,MAX(0,$BA161+IF($P161=Z$3,$R161,0)+IF($S161=Z$3,$U161,0)-$Z161))</f>
        <v/>
      </c>
      <c r="BC161">
        <f>IF($C161="",0,MAX(0,$BB161+IF($P161=AA$3,$R161,0)+IF($S161=AA$3,$U161,0)-$AA161))</f>
        <v/>
      </c>
      <c r="BD161">
        <f>IF($C161="",0,MAX(0,$BC161+IF($P161=AB$3,$R161,0)+IF($S161=AB$3,$U161,0)-$AB161))</f>
        <v/>
      </c>
      <c r="BE161">
        <f>IF($C161="",0,MAX(0,$BD161+IF($P161=AC$3,$R161,0)+IF($S161=AC$3,$U161,0)-$AC161))</f>
        <v/>
      </c>
      <c r="BF161">
        <f>IF($C161="",0,MAX(0,$BE161+IF($P161=AD$3,$R161,0)+IF($S161=AD$3,$U161,0)-$AD161))</f>
        <v/>
      </c>
      <c r="BG161">
        <f>IF($C161="",0,MAX(0,$BF161+IF($P161=AE$3,$R161,0)+IF($S161=AE$3,$U161,0)-$AE161))</f>
        <v/>
      </c>
      <c r="BH161">
        <f>IF($C161="",0,MAX(0,$BG161+IF($P161=AF$3,$R161,0)+IF($S161=AF$3,$U161,0)-$AF161))</f>
        <v/>
      </c>
      <c r="BI161">
        <f>IF($C161="",0,MAX(0,$BH161+IF($P161=AG$3,$R161,0)+IF($S161=AG$3,$U161,0)-$AG161))</f>
        <v/>
      </c>
      <c r="BJ161">
        <f>IF($C161="",0,MAX(0,$BI161+IF($P161=AH$3,$R161,0)+IF($S161=AH$3,$U161,0)-$AH161))</f>
        <v/>
      </c>
      <c r="BK161">
        <f>IF($C161="",0,MAX(0,$BJ161+IF($P161=AI$3,$R161,0)+IF($S161=AI$3,$U161,0)-$AI161))</f>
        <v/>
      </c>
      <c r="BL161">
        <f>IF($C161="",99,IF(AND($AX161&lt;1,V$3&gt;=MAX(N($P161),N($S161))),0,99))</f>
        <v/>
      </c>
      <c r="BM161">
        <f>IF($C161="",99,IF(AND($AY161&lt;1,W$3&gt;=MAX(N($P161),N($S161))),1,99))</f>
        <v/>
      </c>
      <c r="BN161">
        <f>IF($C161="",99,IF(AND($AZ161&lt;1,X$3&gt;=MAX(N($P161),N($S161))),2,99))</f>
        <v/>
      </c>
      <c r="BO161">
        <f>IF($C161="",99,IF(AND($BA161&lt;1,Y$3&gt;=MAX(N($P161),N($S161))),3,99))</f>
        <v/>
      </c>
      <c r="BP161">
        <f>IF($C161="",99,IF(AND($BB161&lt;1,Z$3&gt;=MAX(N($P161),N($S161))),4,99))</f>
        <v/>
      </c>
      <c r="BQ161">
        <f>IF($C161="",99,IF(AND($BC161&lt;1,AA$3&gt;=MAX(N($P161),N($S161))),5,99))</f>
        <v/>
      </c>
      <c r="BR161">
        <f>IF($C161="",99,IF(AND($BD161&lt;1,AB$3&gt;=MAX(N($P161),N($S161))),6,99))</f>
        <v/>
      </c>
      <c r="BS161">
        <f>IF($C161="",99,IF(AND($BE161&lt;1,AC$3&gt;=MAX(N($P161),N($S161))),7,99))</f>
        <v/>
      </c>
      <c r="BT161">
        <f>IF($C161="",99,IF(AND($BF161&lt;1,AD$3&gt;=MAX(N($P161),N($S161))),8,99))</f>
        <v/>
      </c>
      <c r="BU161">
        <f>IF($C161="",99,IF(AND($BG161&lt;1,AE$3&gt;=MAX(N($P161),N($S161))),9,99))</f>
        <v/>
      </c>
      <c r="BV161">
        <f>IF($C161="",99,IF(AND($BH161&lt;1,AF$3&gt;=MAX(N($P161),N($S161))),10,99))</f>
        <v/>
      </c>
      <c r="BW161">
        <f>IF($C161="",99,IF(AND($BI161&lt;1,AG$3&gt;=MAX(N($P161),N($S161))),11,99))</f>
        <v/>
      </c>
      <c r="BX161">
        <f>IF($C161="",99,IF(AND($BJ161&lt;1,AH$3&gt;=MAX(N($P161),N($S161))),12,99))</f>
        <v/>
      </c>
      <c r="BY161">
        <f>IF($C161="",99,IF(AND($BK161&lt;1,AI$3&gt;=MAX(N($P161),N($S161))),13,99))</f>
        <v/>
      </c>
      <c r="BZ161">
        <f>IF(OR($C161="",$M161=""),"",COUNTIF($AJ161:$AW161,"&gt;=1"))</f>
        <v/>
      </c>
      <c r="CA161" s="90">
        <f>IF($BZ161="","",IF($BZ161&gt;=14,"",'設定'!$C$6+$BZ161))</f>
        <v/>
      </c>
      <c r="CB161">
        <f>IF(OR($C161="",$M161=""),"",MIN($BL161:$BY161))</f>
        <v/>
      </c>
      <c r="CC161" s="90">
        <f>IF($CB161="","",IF($CB161&gt;=99,"",'設定'!$C$6+$CB161))</f>
        <v/>
      </c>
      <c r="CD161">
        <f>IF(OR($C161="",$M161=""),"",AVERAGE($V161:$AI161))</f>
        <v/>
      </c>
      <c r="CE161">
        <f>IF($C161="","",IFERROR(IF(MATCH(IF(ISNUMBER($P161),$P161,'設定'!$C$6+N('設定'!$C$7)),$V$3:$AI$3,0)=1,MAX(0,N($L161)),INDEX($AJ161:$AW161,MATCH(IF(ISNUMBER($P161),$P161,'設定'!$C$6+N('設定'!$C$7)),$V$3:$AI$3,0)-1)),""))</f>
        <v/>
      </c>
      <c r="CF161">
        <f>IF(OR($C161="",$O161="",$CE161=""),"",IF($O161-$CE161&lt;=0,0,ROUNDUP(($O161-$CE161)/$G161,0)))</f>
        <v/>
      </c>
      <c r="CG161">
        <f>IF(OR($C161="",$CF161="",NOT(ISNUMBER($Q161))),0,MAX(0,$Q161-$CF161))</f>
        <v/>
      </c>
      <c r="CH161">
        <f>IF(OR($C161="",$O161="",$U161=0),0,IFERROR(ROUNDUP(MAX(0,IF(MATCH($S161,$V$3:$AI$3,0)=1,MAX(0,N($L161)),INDEX($AX161:$BK161,MATCH($S161,$V$3:$AI$3,0)-1))+$U161-$O161)/$G161,0),0))</f>
        <v/>
      </c>
      <c r="CI161">
        <f>IF($C161="","",IF(AND($P161="",$Q161=""),"",IF($P161="","⚠ 入庫日を ▼ から選んでください",IF(NOT(ISNUMBER($P161)),"⚠ 入庫日は ▼ から選んでください",IF($P161&lt;N('設定'!$C$6),"⚠ 入庫日が過去です（もう在庫に入っています）→ 消してください",IF($P161&gt;N('設定'!$C$6)+13,"⚠ 入庫日が14日より先です",IF(N($Q161)&lt;=0,"⚠ 入庫数を入れてください",IF($CG161&gt;0,"⚠ 目安より "&amp;$CG161&amp;" 多い（定数を超える）→ 減らす",""))))))))</f>
        <v/>
      </c>
      <c r="CJ161">
        <f>IF($C161="","",IF(AND($S161="",$T161=""),"",IF($S161="","⚠ 2便目：入庫日を ▼ から選んでください",IF(NOT(ISNUMBER($S161)),"⚠ 2便目：入庫日は ▼ から選んでください",IF($S161&lt;N('設定'!$C$6),"⚠ 2便目：入庫日が過去です（もう在庫に入っています）→ 消してください",IF($S161&gt;N('設定'!$C$6)+13,"⚠ 2便目：入庫日が14日より先です",IF(N($T161)&lt;=0,"⚠ 2便目：入庫数を入れてください",IF($CH161&gt;0,"⚠ 2便目：定数を "&amp;$CH161&amp;" ケース超える → 減らす",""))))))))</f>
        <v/>
      </c>
      <c r="CK161">
        <f>IF(AND($CI161="",N($Q161)&gt;0,ISNUMBER($P161)),1,0)</f>
        <v/>
      </c>
      <c r="CL161">
        <f>IF(AND($CJ161="",N($T161)&gt;0,ISNUMBER($S161)),1,0)</f>
        <v/>
      </c>
      <c r="CM161">
        <f>IF(OR($CK161=1,$CL161=1),1,0)</f>
        <v/>
      </c>
      <c r="CN161">
        <f>IF($C161="",0,($CK161*$R161+$CL161*$U161)*N($H161))</f>
        <v/>
      </c>
      <c r="CO161">
        <f>IF($C161="","",IF($CC161="","入庫後は 14日以上もつ",IF($CC161-N('設定'!$C$7)&lt;='設定'!$C$6,"入庫後も "&amp;TEXT($CC161,"m/d")&amp;"("&amp;CHOOSE(WEEKDAY($CC161),"日","月","火","水","木","金","土")&amp;")"&amp;" に切れる　もう1便を至急発注","入庫後も "&amp;TEXT($CC161,"m/d")&amp;"("&amp;CHOOSE(WEEKDAY($CC161),"日","月","火","水","木","金","土")&amp;")"&amp;" に切れる　"&amp;TEXT($CC161-N('設定'!$C$7),"m/d")&amp;"("&amp;CHOOSE(WEEKDAY($CC161-N('設定'!$C$7)),"日","月","火","水","木","金","土")&amp;")"&amp;" までに次を発注")))</f>
        <v/>
      </c>
      <c r="CP161">
        <f>IF($C161="","",IF('設定'!$C$6="","？ ①在庫を貼る に今日のCSVが貼られていない",IF($CS161=1,"－ 今日のCSVに無い（終売？）",IF($L161&lt;0,"● 在庫がマイナス　数えて「数えた在庫」に入れる",IF($L161=0,"● 在庫なし　至急発注",IF($M161="","？ 減り数が未設定（商品マスタ）",IF($B$3=0,"？ 動員が未入力（動員を入れる）",IF($CA161="","○ 14日以上もつ",IF($BZ161&lt;N('設定'!$C$7),"● "&amp;TEXT($CA161,"m/d")&amp;"("&amp;CHOOSE(WEEKDAY($CA161),"日","月","火","水","木","金","土")&amp;")"&amp;" に切れる　至急発注",IF($BZ161=N('設定'!$C$7),"● "&amp;TEXT($CA161,"m/d")&amp;"("&amp;CHOOSE(WEEKDAY($CA161),"日","月","火","水","木","金","土")&amp;")"&amp;" に切れる　今日発注","△ "&amp;TEXT($CA161,"m/d")&amp;"("&amp;CHOOSE(WEEKDAY($CA161),"日","月","火","水","木","金","土")&amp;")"&amp;" に切れる　"&amp;TEXT($CA161-N('設定'!$C$7),"m/d")&amp;"("&amp;CHOOSE(WEEKDAY($CA161-N('設定'!$C$7)),"日","月","火","水","木","金","土")&amp;")"&amp;" までに発注"))))))))))</f>
        <v/>
      </c>
      <c r="CQ161">
        <f>IF($C161="","",IF(AND($P161="",$Q161="",$S161="",$T161=""),"",IF(AND($P161="",$Q161=""),"⚠ 先に1便目（左の入庫日・入庫数）に入れてください",IF($CI161&lt;&gt;"",$CI161,IF($CJ161&lt;&gt;"",$CJ161,IF($M161="","？ 減り数が未設定（発注書には載ります）",IF($B$3=0,"？ 動員が未入力（発注書には載ります）",IF(AND($CA161&lt;&gt;"",$P161&gt;$CA161),IF($P161&gt;'設定'!$C$6+N('設定'!$C$7),"● "&amp;TEXT($P161,"m/d")&amp;"("&amp;CHOOSE(WEEKDAY($P161),"日","月","火","水","木","金","土")&amp;")"&amp;" の入庫では間に合わない（"&amp;TEXT($CA161,"m/d")&amp;"("&amp;CHOOSE(WEEKDAY($CA161),"日","月","火","水","木","金","土")&amp;")"&amp;" に切れる）　入庫日を早める","△ 欠品 "&amp;TEXT($CA161,"m/d")&amp;"("&amp;CHOOSE(WEEKDAY($CA161),"日","月","火","水","木","金","土")&amp;")"&amp;"〜"&amp;TEXT($P161-1,"m/d")&amp;"("&amp;CHOOSE(WEEKDAY($P161-1),"日","月","火","水","木","金","土")&amp;")"&amp;"　"&amp;$CO161),IF($CC161="","○ "&amp;TEXT($P161,"m/d")&amp;"("&amp;CHOOSE(WEEKDAY($P161),"日","月","火","水","木","金","土")&amp;")"&amp;" 入庫で 14日以上もつ",IF($CC161-N('設定'!$C$7)&lt;='設定'!$C$6,"● 入庫しても "&amp;TEXT($CC161,"m/d")&amp;"("&amp;CHOOSE(WEEKDAY($CC161),"日","月","火","水","木","金","土")&amp;")"&amp;" に切れる　もう1便を至急発注（2便目に入れる）","△ 入庫しても "&amp;TEXT($CC161,"m/d")&amp;"("&amp;CHOOSE(WEEKDAY($CC161),"日","月","火","水","木","金","土")&amp;")"&amp;" に切れる　"&amp;TEXT($CC161-N('設定'!$C$7),"m/d")&amp;"("&amp;CHOOSE(WEEKDAY($CC161-N('設定'!$C$7)),"日","月","火","水","木","金","土")&amp;")"&amp;" までに次を発注（2便目に入れる）"))))))))))</f>
        <v/>
      </c>
      <c r="CR161">
        <f>IF($C161="","",IF($G161&gt;1,"ｹｰｽ("&amp;$G161&amp;"入)","個"))</f>
        <v/>
      </c>
      <c r="CS161">
        <f>IF($C161="",0,IF(COUNTIFS('①在庫を貼る'!$V$6:$V$10005,'設定'!$C$4,'①在庫を貼る'!$W$6:$W$10005,$C161)=0,1,0))</f>
        <v/>
      </c>
      <c r="CT161">
        <f>IF(AND($CK161=1,OR('③発注書'!$C$4="すべて",'③発注書'!$C$4="",$F161='③発注書'!$C$4)),N($CT160)+1,N($CT160))</f>
        <v/>
      </c>
      <c r="CU161">
        <f>IF(AND($CL161=1,OR('③発注書'!$C$4="すべて",'③発注書'!$C$4="",$F161='③発注書'!$C$4)),N($CU160)+1,N($CU160))</f>
        <v/>
      </c>
      <c r="CV161">
        <f>IF($C161="",0,IF(COUNTIFS('①在庫を貼る'!$V$6:$V$10005,'設定'!$C$4,'①在庫を貼る'!$W$6:$W$10005,$C161)&gt;0,1,0))</f>
        <v/>
      </c>
      <c r="CW161">
        <f>IF($C161="",0,IF(COUNTIFS('月1回_1ヶ月前の在庫'!$V$6:$V$10005,'設定'!$C$4,'月1回_1ヶ月前の在庫'!$W$6:$W$10005,$C161)&gt;0,1,0))</f>
        <v/>
      </c>
      <c r="CX161">
        <f>IF($C161="",0,IF(COUNTIFS('月1回_2ヶ月前の在庫'!$V$6:$V$10005,'設定'!$C$4,'月1回_2ヶ月前の在庫'!$W$6:$W$10005,$C161)&gt;0,1,0))</f>
        <v/>
      </c>
      <c r="CY161">
        <f>IF(OR($C161="",'設定'!$C$12=""),"",IF('設定'!$C$13="",IF(AND($CV161=1,$CW161=0),"新商品（今月から）",IF(AND($CV161=0,$CW161=1),"終売（今月から）","")),IF(AND($CV161=1,$CW161=0,$CX161=0),"新商品（今月から）",IF(AND($CV161=1,$CW161=1,$CX161=0),"新商品（先月から）",IF(AND($CV161=0,$CW161=1,$CX161=1),"終売（今月から）",IF(AND($CV161=0,$CW161=0,$CX161=1),"終売（先月から）",IF(AND($CV161=1,$CW161=0,$CX161=1),"復活（先月は無し）","")))))))</f>
        <v/>
      </c>
    </row>
    <row r="162">
      <c r="B162">
        <f>IF(157&lt;='設定'!$C$11,157,"")</f>
        <v/>
      </c>
      <c r="C162">
        <f>IF($B162="","",IF($B162&lt;='設定'!$C$20,INDEX('商品マスタ'!$B$6:$B$1005,MATCH($B162,'商品マスタ'!$M$6:$M$1005,0)),IF($B162&lt;='設定'!$C$20+'設定'!$C$17,INDEX('①在庫を貼る'!$W$6:$W$10005,MATCH($B162-'設定'!$C$20,'①在庫を貼る'!$U$6:$U$10005,0)),IF($B162&lt;='設定'!$C$20+'設定'!$C$17+'設定'!$C$18,INDEX('月1回_1ヶ月前の在庫'!$W$6:$W$10005,MATCH($B162-'設定'!$C$20-'設定'!$C$17,'月1回_1ヶ月前の在庫'!$U$6:$U$10005,0)),INDEX('月1回_2ヶ月前の在庫'!$W$6:$W$10005,MATCH($B162-'設定'!$C$20-'設定'!$C$17-'設定'!$C$18,'月1回_2ヶ月前の在庫'!$U$6:$U$10005,0))))))</f>
        <v/>
      </c>
      <c r="D162">
        <f>IF($C162="","",IFERROR(IF(INDEX('商品マスタ'!$C$6:$C$1005,MATCH($C162,'商品マスタ'!$B$6:$B$1005,0))="",IFERROR(INDEX('①在庫を貼る'!$J$6:$J$10005,MATCH($C162,'①在庫を貼る'!$W$6:$W$10005,0)),IFERROR(INDEX('月1回_1ヶ月前の在庫'!$J$6:$J$10005,MATCH($C162,'月1回_1ヶ月前の在庫'!$W$6:$W$10005,0)),IFERROR(INDEX('月1回_2ヶ月前の在庫'!$J$6:$J$10005,MATCH($C162,'月1回_2ヶ月前の在庫'!$W$6:$W$10005,0)),""))),INDEX('商品マスタ'!$C$6:$C$1005,MATCH($C162,'商品マスタ'!$B$6:$B$1005,0))),IFERROR(INDEX('①在庫を貼る'!$J$6:$J$10005,MATCH($C162,'①在庫を貼る'!$W$6:$W$10005,0)),IFERROR(INDEX('月1回_1ヶ月前の在庫'!$J$6:$J$10005,MATCH($C162,'月1回_1ヶ月前の在庫'!$W$6:$W$10005,0)),IFERROR(INDEX('月1回_2ヶ月前の在庫'!$J$6:$J$10005,MATCH($C162,'月1回_2ヶ月前の在庫'!$W$6:$W$10005,0)),"")))))</f>
        <v/>
      </c>
      <c r="E162">
        <f>IF($C162="","",IFERROR(IF(INDEX('商品マスタ'!$D$6:$D$1005,MATCH($C162,'商品マスタ'!$B$6:$B$1005,0))="",IFERROR(INDEX('①在庫を貼る'!$H$6:$H$10005,MATCH($C162,'①在庫を貼る'!$W$6:$W$10005,0)),IFERROR(INDEX('月1回_1ヶ月前の在庫'!$H$6:$H$10005,MATCH($C162,'月1回_1ヶ月前の在庫'!$W$6:$W$10005,0)),IFERROR(INDEX('月1回_2ヶ月前の在庫'!$H$6:$H$10005,MATCH($C162,'月1回_2ヶ月前の在庫'!$W$6:$W$10005,0)),""))),INDEX('商品マスタ'!$D$6:$D$1005,MATCH($C162,'商品マスタ'!$B$6:$B$1005,0))),IFERROR(INDEX('①在庫を貼る'!$H$6:$H$10005,MATCH($C162,'①在庫を貼る'!$W$6:$W$10005,0)),IFERROR(INDEX('月1回_1ヶ月前の在庫'!$H$6:$H$10005,MATCH($C162,'月1回_1ヶ月前の在庫'!$W$6:$W$10005,0)),IFERROR(INDEX('月1回_2ヶ月前の在庫'!$H$6:$H$10005,MATCH($C162,'月1回_2ヶ月前の在庫'!$W$6:$W$10005,0)),"")))))</f>
        <v/>
      </c>
      <c r="F162">
        <f>IF($C162="","",IFERROR(IF(INDEX('商品マスタ'!$E$6:$E$1005,MATCH($C162,'商品マスタ'!$B$6:$B$1005,0))="",IFERROR(INDEX('①在庫を貼る'!$E$6:$E$10005,MATCH($C162,'①在庫を貼る'!$W$6:$W$10005,0)),IFERROR(INDEX('月1回_1ヶ月前の在庫'!$E$6:$E$10005,MATCH($C162,'月1回_1ヶ月前の在庫'!$W$6:$W$10005,0)),IFERROR(INDEX('月1回_2ヶ月前の在庫'!$E$6:$E$10005,MATCH($C162,'月1回_2ヶ月前の在庫'!$W$6:$W$10005,0)),""))),INDEX('商品マスタ'!$E$6:$E$1005,MATCH($C162,'商品マスタ'!$B$6:$B$1005,0))),IFERROR(INDEX('①在庫を貼る'!$E$6:$E$10005,MATCH($C162,'①在庫を貼る'!$W$6:$W$10005,0)),IFERROR(INDEX('月1回_1ヶ月前の在庫'!$E$6:$E$10005,MATCH($C162,'月1回_1ヶ月前の在庫'!$W$6:$W$10005,0)),IFERROR(INDEX('月1回_2ヶ月前の在庫'!$E$6:$E$10005,MATCH($C162,'月1回_2ヶ月前の在庫'!$W$6:$W$10005,0)),"")))))</f>
        <v/>
      </c>
      <c r="G162">
        <f>IF($C162="","",MAX(1,N(IFERROR(IF(INDEX('商品マスタ'!$F$6:$F$1005,MATCH($C162,'商品マスタ'!$B$6:$B$1005,0))="",IF(COUNTIFS('①在庫を貼る'!$V$6:$V$10005,'設定'!$C$4,'①在庫を貼る'!$W$6:$W$10005,$C162)&gt;0,SUMIFS('①在庫を貼る'!$K$6:$K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K$6:$K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K$6:$K$10005,'月1回_2ヶ月前の在庫'!$V$6:$V$10005,'設定'!$C$4,'月1回_2ヶ月前の在庫'!$W$6:$W$10005,$C162)/COUNTIFS('月1回_2ヶ月前の在庫'!$V$6:$V$10005,'設定'!$C$4,'月1回_2ヶ月前の在庫'!$W$6:$W$10005,$C162),0))),INDEX('商品マスタ'!$F$6:$F$1005,MATCH($C162,'商品マスタ'!$B$6:$B$1005,0))),IF(COUNTIFS('①在庫を貼る'!$V$6:$V$10005,'設定'!$C$4,'①在庫を貼る'!$W$6:$W$10005,$C162)&gt;0,SUMIFS('①在庫を貼る'!$K$6:$K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K$6:$K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K$6:$K$10005,'月1回_2ヶ月前の在庫'!$V$6:$V$10005,'設定'!$C$4,'月1回_2ヶ月前の在庫'!$W$6:$W$10005,$C162)/COUNTIFS('月1回_2ヶ月前の在庫'!$V$6:$V$10005,'設定'!$C$4,'月1回_2ヶ月前の在庫'!$W$6:$W$10005,$C162),0)))))))</f>
        <v/>
      </c>
      <c r="H162">
        <f>IF($C162="","",N(IFERROR(IF(INDEX('商品マスタ'!$G$6:$G$1005,MATCH($C162,'商品マスタ'!$B$6:$B$1005,0))="",IF(COUNTIFS('①在庫を貼る'!$V$6:$V$10005,'設定'!$C$4,'①在庫を貼る'!$W$6:$W$10005,$C162)&gt;0,SUMIFS('①在庫を貼る'!$Q$6:$Q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Q$6:$Q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Q$6:$Q$10005,'月1回_2ヶ月前の在庫'!$V$6:$V$10005,'設定'!$C$4,'月1回_2ヶ月前の在庫'!$W$6:$W$10005,$C162)/COUNTIFS('月1回_2ヶ月前の在庫'!$V$6:$V$10005,'設定'!$C$4,'月1回_2ヶ月前の在庫'!$W$6:$W$10005,$C162),0))),INDEX('商品マスタ'!$G$6:$G$1005,MATCH($C162,'商品マスタ'!$B$6:$B$1005,0))),IF(COUNTIFS('①在庫を貼る'!$V$6:$V$10005,'設定'!$C$4,'①在庫を貼る'!$W$6:$W$10005,$C162)&gt;0,SUMIFS('①在庫を貼る'!$Q$6:$Q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Q$6:$Q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Q$6:$Q$10005,'月1回_2ヶ月前の在庫'!$V$6:$V$10005,'設定'!$C$4,'月1回_2ヶ月前の在庫'!$W$6:$W$10005,$C162)/COUNTIFS('月1回_2ヶ月前の在庫'!$V$6:$V$10005,'設定'!$C$4,'月1回_2ヶ月前の在庫'!$W$6:$W$10005,$C162),0))))))</f>
        <v/>
      </c>
      <c r="I162">
        <f>IF($C162="","",IF(COUNTIFS('①在庫を貼る'!$V$6:$V$10005,'設定'!$C$4,'①在庫を貼る'!$W$6:$W$10005,$C162)=0,"",SUMIFS('①在庫を貼る'!$N$6:$N$10005,'①在庫を貼る'!$V$6:$V$10005,'設定'!$C$4,'①在庫を貼る'!$W$6:$W$10005,$C162)))</f>
        <v/>
      </c>
      <c r="J162">
        <f>IF($C162="","",IF('②発注する'!$AD166="","",'②発注する'!$AD166))</f>
        <v/>
      </c>
      <c r="K162" s="90">
        <f>IF($C162="","",IF('②発注する'!$AE166="","",'②発注する'!$AE166))</f>
        <v/>
      </c>
      <c r="L162">
        <f>IF($C162="","",IF(AND(ISNUMBER($J162),ISNUMBER($K162),$K162&gt;='設定'!$C$6),$J162,N($I162)))</f>
        <v/>
      </c>
      <c r="M162">
        <f>IF($C162="","",IFERROR(IF(N(INDEX('商品マスタ'!$J$6:$J$1005,MATCH($C162,'商品マスタ'!$B$6:$B$1005,0)))&gt;0,INDEX('商品マスタ'!$J$6:$J$1005,MATCH($C162,'商品マスタ'!$B$6:$B$1005,0)),""),""))</f>
        <v/>
      </c>
      <c r="N162">
        <f>IF($C162="","",IFERROR(IF(N(INDEX('商品マスタ'!$H$6:$H$1005,MATCH($C162,'商品マスタ'!$B$6:$B$1005,0)))&gt;0,INDEX('商品マスタ'!$H$6:$H$1005,MATCH($C162,'商品マスタ'!$B$6:$B$1005,0)),""),""))</f>
        <v/>
      </c>
      <c r="O162">
        <f>IF($C162="","",IF($N162&lt;&gt;"",$N162*$G162,IF(N(IF(COUNTIFS('①在庫を貼る'!$V$6:$V$10005,'設定'!$C$4,'①在庫を貼る'!$W$6:$W$10005,$C162)&gt;0,SUMIFS('①在庫を貼る'!$O$6:$O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O$6:$O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O$6:$O$10005,'月1回_2ヶ月前の在庫'!$V$6:$V$10005,'設定'!$C$4,'月1回_2ヶ月前の在庫'!$W$6:$W$10005,$C162)/COUNTIFS('月1回_2ヶ月前の在庫'!$V$6:$V$10005,'設定'!$C$4,'月1回_2ヶ月前の在庫'!$W$6:$W$10005,$C162),0))))&gt;0,N(IF(COUNTIFS('①在庫を貼る'!$V$6:$V$10005,'設定'!$C$4,'①在庫を貼る'!$W$6:$W$10005,$C162)&gt;0,SUMIFS('①在庫を貼る'!$O$6:$O$10005,'①在庫を貼る'!$V$6:$V$10005,'設定'!$C$4,'①在庫を貼る'!$W$6:$W$10005,$C162)/COUNTIFS('①在庫を貼る'!$V$6:$V$10005,'設定'!$C$4,'①在庫を貼る'!$W$6:$W$10005,$C162),IF(COUNTIFS('月1回_1ヶ月前の在庫'!$V$6:$V$10005,'設定'!$C$4,'月1回_1ヶ月前の在庫'!$W$6:$W$10005,$C162)&gt;0,SUMIFS('月1回_1ヶ月前の在庫'!$O$6:$O$10005,'月1回_1ヶ月前の在庫'!$V$6:$V$10005,'設定'!$C$4,'月1回_1ヶ月前の在庫'!$W$6:$W$10005,$C162)/COUNTIFS('月1回_1ヶ月前の在庫'!$V$6:$V$10005,'設定'!$C$4,'月1回_1ヶ月前の在庫'!$W$6:$W$10005,$C162),IF(COUNTIFS('月1回_2ヶ月前の在庫'!$V$6:$V$10005,'設定'!$C$4,'月1回_2ヶ月前の在庫'!$W$6:$W$10005,$C162)&gt;0,SUMIFS('月1回_2ヶ月前の在庫'!$O$6:$O$10005,'月1回_2ヶ月前の在庫'!$V$6:$V$10005,'設定'!$C$4,'月1回_2ヶ月前の在庫'!$W$6:$W$10005,$C162)/COUNTIFS('月1回_2ヶ月前の在庫'!$V$6:$V$10005,'設定'!$C$4,'月1回_2ヶ月前の在庫'!$W$6:$W$10005,$C162),0)))),"")))</f>
        <v/>
      </c>
      <c r="P162" s="90">
        <f>IF($C162="","",IF('②発注する'!$I166="","",'②発注する'!$I166))</f>
        <v/>
      </c>
      <c r="Q162">
        <f>IF($C162="","",IF('②発注する'!$J166="","",'②発注する'!$J166))</f>
        <v/>
      </c>
      <c r="R162">
        <f>IF($C162="",0,IF(AND(ISNUMBER($P162),ISNUMBER($Q162)),MAX(0,$Q162)*$G162,0))</f>
        <v/>
      </c>
      <c r="S162" s="90">
        <f>IF($C162="","",IF('②発注する'!$M166="","",'②発注する'!$M166))</f>
        <v/>
      </c>
      <c r="T162">
        <f>IF($C162="","",IF('②発注する'!$N166="","",'②発注する'!$N166))</f>
        <v/>
      </c>
      <c r="U162">
        <f>IF($C162="",0,IF(AND(ISNUMBER($S162),ISNUMBER($T162)),MAX(0,$T162)*$G162,0))</f>
        <v/>
      </c>
      <c r="V162">
        <f>IF($C162="",0,IF($M162="",0,MAX(0,$M162)*MAX(0,V$4)/100))</f>
        <v/>
      </c>
      <c r="W162">
        <f>IF($C162="",0,IF($M162="",0,MAX(0,$M162)*MAX(0,W$4)/100))</f>
        <v/>
      </c>
      <c r="X162">
        <f>IF($C162="",0,IF($M162="",0,MAX(0,$M162)*MAX(0,X$4)/100))</f>
        <v/>
      </c>
      <c r="Y162">
        <f>IF($C162="",0,IF($M162="",0,MAX(0,$M162)*MAX(0,Y$4)/100))</f>
        <v/>
      </c>
      <c r="Z162">
        <f>IF($C162="",0,IF($M162="",0,MAX(0,$M162)*MAX(0,Z$4)/100))</f>
        <v/>
      </c>
      <c r="AA162">
        <f>IF($C162="",0,IF($M162="",0,MAX(0,$M162)*MAX(0,AA$4)/100))</f>
        <v/>
      </c>
      <c r="AB162">
        <f>IF($C162="",0,IF($M162="",0,MAX(0,$M162)*MAX(0,AB$4)/100))</f>
        <v/>
      </c>
      <c r="AC162">
        <f>IF($C162="",0,IF($M162="",0,MAX(0,$M162)*MAX(0,AC$4)/100))</f>
        <v/>
      </c>
      <c r="AD162">
        <f>IF($C162="",0,IF($M162="",0,MAX(0,$M162)*MAX(0,AD$4)/100))</f>
        <v/>
      </c>
      <c r="AE162">
        <f>IF($C162="",0,IF($M162="",0,MAX(0,$M162)*MAX(0,AE$4)/100))</f>
        <v/>
      </c>
      <c r="AF162">
        <f>IF($C162="",0,IF($M162="",0,MAX(0,$M162)*MAX(0,AF$4)/100))</f>
        <v/>
      </c>
      <c r="AG162">
        <f>IF($C162="",0,IF($M162="",0,MAX(0,$M162)*MAX(0,AG$4)/100))</f>
        <v/>
      </c>
      <c r="AH162">
        <f>IF($C162="",0,IF($M162="",0,MAX(0,$M162)*MAX(0,AH$4)/100))</f>
        <v/>
      </c>
      <c r="AI162">
        <f>IF($C162="",0,IF($M162="",0,MAX(0,$M162)*MAX(0,AI$4)/100))</f>
        <v/>
      </c>
      <c r="AJ162">
        <f>IF($C162="",0,MAX(0,MAX(0,N($L162))-$V162))</f>
        <v/>
      </c>
      <c r="AK162">
        <f>IF($C162="",0,MAX(0,$AJ162-$W162))</f>
        <v/>
      </c>
      <c r="AL162">
        <f>IF($C162="",0,MAX(0,$AK162-$X162))</f>
        <v/>
      </c>
      <c r="AM162">
        <f>IF($C162="",0,MAX(0,$AL162-$Y162))</f>
        <v/>
      </c>
      <c r="AN162">
        <f>IF($C162="",0,MAX(0,$AM162-$Z162))</f>
        <v/>
      </c>
      <c r="AO162">
        <f>IF($C162="",0,MAX(0,$AN162-$AA162))</f>
        <v/>
      </c>
      <c r="AP162">
        <f>IF($C162="",0,MAX(0,$AO162-$AB162))</f>
        <v/>
      </c>
      <c r="AQ162">
        <f>IF($C162="",0,MAX(0,$AP162-$AC162))</f>
        <v/>
      </c>
      <c r="AR162">
        <f>IF($C162="",0,MAX(0,$AQ162-$AD162))</f>
        <v/>
      </c>
      <c r="AS162">
        <f>IF($C162="",0,MAX(0,$AR162-$AE162))</f>
        <v/>
      </c>
      <c r="AT162">
        <f>IF($C162="",0,MAX(0,$AS162-$AF162))</f>
        <v/>
      </c>
      <c r="AU162">
        <f>IF($C162="",0,MAX(0,$AT162-$AG162))</f>
        <v/>
      </c>
      <c r="AV162">
        <f>IF($C162="",0,MAX(0,$AU162-$AH162))</f>
        <v/>
      </c>
      <c r="AW162">
        <f>IF($C162="",0,MAX(0,$AV162-$AI162))</f>
        <v/>
      </c>
      <c r="AX162">
        <f>IF($C162="",0,MAX(0,MAX(0,N($L162))+IF($P162=V$3,$R162,0)+IF($S162=V$3,$U162,0)-$V162))</f>
        <v/>
      </c>
      <c r="AY162">
        <f>IF($C162="",0,MAX(0,$AX162+IF($P162=W$3,$R162,0)+IF($S162=W$3,$U162,0)-$W162))</f>
        <v/>
      </c>
      <c r="AZ162">
        <f>IF($C162="",0,MAX(0,$AY162+IF($P162=X$3,$R162,0)+IF($S162=X$3,$U162,0)-$X162))</f>
        <v/>
      </c>
      <c r="BA162">
        <f>IF($C162="",0,MAX(0,$AZ162+IF($P162=Y$3,$R162,0)+IF($S162=Y$3,$U162,0)-$Y162))</f>
        <v/>
      </c>
      <c r="BB162">
        <f>IF($C162="",0,MAX(0,$BA162+IF($P162=Z$3,$R162,0)+IF($S162=Z$3,$U162,0)-$Z162))</f>
        <v/>
      </c>
      <c r="BC162">
        <f>IF($C162="",0,MAX(0,$BB162+IF($P162=AA$3,$R162,0)+IF($S162=AA$3,$U162,0)-$AA162))</f>
        <v/>
      </c>
      <c r="BD162">
        <f>IF($C162="",0,MAX(0,$BC162+IF($P162=AB$3,$R162,0)+IF($S162=AB$3,$U162,0)-$AB162))</f>
        <v/>
      </c>
      <c r="BE162">
        <f>IF($C162="",0,MAX(0,$BD162+IF($P162=AC$3,$R162,0)+IF($S162=AC$3,$U162,0)-$AC162))</f>
        <v/>
      </c>
      <c r="BF162">
        <f>IF($C162="",0,MAX(0,$BE162+IF($P162=AD$3,$R162,0)+IF($S162=AD$3,$U162,0)-$AD162))</f>
        <v/>
      </c>
      <c r="BG162">
        <f>IF($C162="",0,MAX(0,$BF162+IF($P162=AE$3,$R162,0)+IF($S162=AE$3,$U162,0)-$AE162))</f>
        <v/>
      </c>
      <c r="BH162">
        <f>IF($C162="",0,MAX(0,$BG162+IF($P162=AF$3,$R162,0)+IF($S162=AF$3,$U162,0)-$AF162))</f>
        <v/>
      </c>
      <c r="BI162">
        <f>IF($C162="",0,MAX(0,$BH162+IF($P162=AG$3,$R162,0)+IF($S162=AG$3,$U162,0)-$AG162))</f>
        <v/>
      </c>
      <c r="BJ162">
        <f>IF($C162="",0,MAX(0,$BI162+IF($P162=AH$3,$R162,0)+IF($S162=AH$3,$U162,0)-$AH162))</f>
        <v/>
      </c>
      <c r="BK162">
        <f>IF($C162="",0,MAX(0,$BJ162+IF($P162=AI$3,$R162,0)+IF($S162=AI$3,$U162,0)-$AI162))</f>
        <v/>
      </c>
      <c r="BL162">
        <f>IF($C162="",99,IF(AND($AX162&lt;1,V$3&gt;=MAX(N($P162),N($S162))),0,99))</f>
        <v/>
      </c>
      <c r="BM162">
        <f>IF($C162="",99,IF(AND($AY162&lt;1,W$3&gt;=MAX(N($P162),N($S162))),1,99))</f>
        <v/>
      </c>
      <c r="BN162">
        <f>IF($C162="",99,IF(AND($AZ162&lt;1,X$3&gt;=MAX(N($P162),N($S162))),2,99))</f>
        <v/>
      </c>
      <c r="BO162">
        <f>IF($C162="",99,IF(AND($BA162&lt;1,Y$3&gt;=MAX(N($P162),N($S162))),3,99))</f>
        <v/>
      </c>
      <c r="BP162">
        <f>IF($C162="",99,IF(AND($BB162&lt;1,Z$3&gt;=MAX(N($P162),N($S162))),4,99))</f>
        <v/>
      </c>
      <c r="BQ162">
        <f>IF($C162="",99,IF(AND($BC162&lt;1,AA$3&gt;=MAX(N($P162),N($S162))),5,99))</f>
        <v/>
      </c>
      <c r="BR162">
        <f>IF($C162="",99,IF(AND($BD162&lt;1,AB$3&gt;=MAX(N($P162),N($S162))),6,99))</f>
        <v/>
      </c>
      <c r="BS162">
        <f>IF($C162="",99,IF(AND($BE162&lt;1,AC$3&gt;=MAX(N($P162),N($S162))),7,99))</f>
        <v/>
      </c>
      <c r="BT162">
        <f>IF($C162="",99,IF(AND($BF162&lt;1,AD$3&gt;=MAX(N($P162),N($S162))),8,99))</f>
        <v/>
      </c>
      <c r="BU162">
        <f>IF($C162="",99,IF(AND($BG162&lt;1,AE$3&gt;=MAX(N($P162),N($S162))),9,99))</f>
        <v/>
      </c>
      <c r="BV162">
        <f>IF($C162="",99,IF(AND($BH162&lt;1,AF$3&gt;=MAX(N($P162),N($S162))),10,99))</f>
        <v/>
      </c>
      <c r="BW162">
        <f>IF($C162="",99,IF(AND($BI162&lt;1,AG$3&gt;=MAX(N($P162),N($S162))),11,99))</f>
        <v/>
      </c>
      <c r="BX162">
        <f>IF($C162="",99,IF(AND($BJ162&lt;1,AH$3&gt;=MAX(N($P162),N($S162))),12,99))</f>
        <v/>
      </c>
      <c r="BY162">
        <f>IF($C162="",99,IF(AND($BK162&lt;1,AI$3&gt;=MAX(N($P162),N($S162))),13,99))</f>
        <v/>
      </c>
      <c r="BZ162">
        <f>IF(OR($C162="",$M162=""),"",COUNTIF($AJ162:$AW162,"&gt;=1"))</f>
        <v/>
      </c>
      <c r="CA162" s="90">
        <f>IF($BZ162="","",IF($BZ162&gt;=14,"",'設定'!$C$6+$BZ162))</f>
        <v/>
      </c>
      <c r="CB162">
        <f>IF(OR($C162="",$M162=""),"",MIN($BL162:$BY162))</f>
        <v/>
      </c>
      <c r="CC162" s="90">
        <f>IF($CB162="","",IF($CB162&gt;=99,"",'設定'!$C$6+$CB162))</f>
        <v/>
      </c>
      <c r="CD162">
        <f>IF(OR($C162="",$M162=""),"",AVERAGE($V162:$AI162))</f>
        <v/>
      </c>
      <c r="CE162">
        <f>IF($C162="","",IFERROR(IF(MATCH(IF(ISNUMBER($P162),$P162,'設定'!$C$6+N('設定'!$C$7)),$V$3:$AI$3,0)=1,MAX(0,N($L162)),INDEX($AJ162:$AW162,MATCH(IF(ISNUMBER($P162),$P162,'設定'!$C$6+N('設定'!$C$7)),$V$3:$AI$3,0)-1)),""))</f>
        <v/>
      </c>
      <c r="CF162">
        <f>IF(OR($C162="",$O162="",$CE162=""),"",IF($O162-$CE162&lt;=0,0,ROUNDUP(($O162-$CE162)/$G162,0)))</f>
        <v/>
      </c>
      <c r="CG162">
        <f>IF(OR($C162="",$CF162="",NOT(ISNUMBER($Q162))),0,MAX(0,$Q162-$CF162))</f>
        <v/>
      </c>
      <c r="CH162">
        <f>IF(OR($C162="",$O162="",$U162=0),0,IFERROR(ROUNDUP(MAX(0,IF(MATCH($S162,$V$3:$AI$3,0)=1,MAX(0,N($L162)),INDEX($AX162:$BK162,MATCH($S162,$V$3:$AI$3,0)-1))+$U162-$O162)/$G162,0),0))</f>
        <v/>
      </c>
      <c r="CI162">
        <f>IF($C162="","",IF(AND($P162="",$Q162=""),"",IF($P162="","⚠ 入庫日を ▼ から選んでください",IF(NOT(ISNUMBER($P162)),"⚠ 入庫日は ▼ から選んでください",IF($P162&lt;N('設定'!$C$6),"⚠ 入庫日が過去です（もう在庫に入っています）→ 消してください",IF($P162&gt;N('設定'!$C$6)+13,"⚠ 入庫日が14日より先です",IF(N($Q162)&lt;=0,"⚠ 入庫数を入れてください",IF($CG162&gt;0,"⚠ 目安より "&amp;$CG162&amp;" 多い（定数を超える）→ 減らす",""))))))))</f>
        <v/>
      </c>
      <c r="CJ162">
        <f>IF($C162="","",IF(AND($S162="",$T162=""),"",IF($S162="","⚠ 2便目：入庫日を ▼ から選んでください",IF(NOT(ISNUMBER($S162)),"⚠ 2便目：入庫日は ▼ から選んでください",IF($S162&lt;N('設定'!$C$6),"⚠ 2便目：入庫日が過去です（もう在庫に入っています）→ 消してください",IF($S162&gt;N('設定'!$C$6)+13,"⚠ 2便目：入庫日が14日より先です",IF(N($T162)&lt;=0,"⚠ 2便目：入庫数を入れてください",IF($CH162&gt;0,"⚠ 2便目：定数を "&amp;$CH162&amp;" ケース超える → 減らす",""))))))))</f>
        <v/>
      </c>
      <c r="CK162">
        <f>IF(AND($CI162="",N($Q162)&gt;0,ISNUMBER($P162)),1,0)</f>
        <v/>
      </c>
      <c r="CL162">
        <f>IF(AND($CJ162="",N($T162)&gt;0,ISNUMBER($S162)),1,0)</f>
        <v/>
      </c>
      <c r="CM162">
        <f>IF(OR($CK162=1,$CL162=1),1,0)</f>
        <v/>
      </c>
      <c r="CN162">
        <f>IF($C162="",0,($CK162*$R162+$CL162*$U162)*N($H162))</f>
        <v/>
      </c>
      <c r="CO162">
        <f>IF($C162="","",IF($CC162="","入庫後は 14日以上もつ",IF($CC162-N('設定'!$C$7)&lt;='設定'!$C$6,"入庫後も "&amp;TEXT($CC162,"m/d")&amp;"("&amp;CHOOSE(WEEKDAY($CC162),"日","月","火","水","木","金","土")&amp;")"&amp;" に切れる　もう1便を至急発注","入庫後も "&amp;TEXT($CC162,"m/d")&amp;"("&amp;CHOOSE(WEEKDAY($CC162),"日","月","火","水","木","金","土")&amp;")"&amp;" に切れる　"&amp;TEXT($CC162-N('設定'!$C$7),"m/d")&amp;"("&amp;CHOOSE(WEEKDAY($CC162-N('設定'!$C$7)),"日","月","火","水","木","金","土")&amp;")"&amp;" までに次を発注")))</f>
        <v/>
      </c>
      <c r="CP162">
        <f>IF($C162="","",IF('設定'!$C$6="","？ ①在庫を貼る に今日のCSVが貼られていない",IF($CS162=1,"－ 今日のCSVに無い（終売？）",IF($L162&lt;0,"● 在庫がマイナス　数えて「数えた在庫」に入れる",IF($L162=0,"● 在庫なし　至急発注",IF($M162="","？ 減り数が未設定（商品マスタ）",IF($B$3=0,"？ 動員が未入力（動員を入れる）",IF($CA162="","○ 14日以上もつ",IF($BZ162&lt;N('設定'!$C$7),"● "&amp;TEXT($CA162,"m/d")&amp;"("&amp;CHOOSE(WEEKDAY($CA162),"日","月","火","水","木","金","土")&amp;")"&amp;" に切れる　至急発注",IF($BZ162=N('設定'!$C$7),"● "&amp;TEXT($CA162,"m/d")&amp;"("&amp;CHOOSE(WEEKDAY($CA162),"日","月","火","水","木","金","土")&amp;")"&amp;" に切れる　今日発注","△ "&amp;TEXT($CA162,"m/d")&amp;"("&amp;CHOOSE(WEEKDAY($CA162),"日","月","火","水","木","金","土")&amp;")"&amp;" に切れる　"&amp;TEXT($CA162-N('設定'!$C$7),"m/d")&amp;"("&amp;CHOOSE(WEEKDAY($CA162-N('設定'!$C$7)),"日","月","火","水","木","金","土")&amp;")"&amp;" までに発注"))))))))))</f>
        <v/>
      </c>
      <c r="CQ162">
        <f>IF($C162="","",IF(AND($P162="",$Q162="",$S162="",$T162=""),"",IF(AND($P162="",$Q162=""),"⚠ 先に1便目（左の入庫日・入庫数）に入れてください",IF($CI162&lt;&gt;"",$CI162,IF($CJ162&lt;&gt;"",$CJ162,IF($M162="","？ 減り数が未設定（発注書には載ります）",IF($B$3=0,"？ 動員が未入力（発注書には載ります）",IF(AND($CA162&lt;&gt;"",$P162&gt;$CA162),IF($P162&gt;'設定'!$C$6+N('設定'!$C$7),"● "&amp;TEXT($P162,"m/d")&amp;"("&amp;CHOOSE(WEEKDAY($P162),"日","月","火","水","木","金","土")&amp;")"&amp;" の入庫では間に合わない（"&amp;TEXT($CA162,"m/d")&amp;"("&amp;CHOOSE(WEEKDAY($CA162),"日","月","火","水","木","金","土")&amp;")"&amp;" に切れる）　入庫日を早める","△ 欠品 "&amp;TEXT($CA162,"m/d")&amp;"("&amp;CHOOSE(WEEKDAY($CA162),"日","月","火","水","木","金","土")&amp;")"&amp;"〜"&amp;TEXT($P162-1,"m/d")&amp;"("&amp;CHOOSE(WEEKDAY($P162-1),"日","月","火","水","木","金","土")&amp;")"&amp;"　"&amp;$CO162),IF($CC162="","○ "&amp;TEXT($P162,"m/d")&amp;"("&amp;CHOOSE(WEEKDAY($P162),"日","月","火","水","木","金","土")&amp;")"&amp;" 入庫で 14日以上もつ",IF($CC162-N('設定'!$C$7)&lt;='設定'!$C$6,"● 入庫しても "&amp;TEXT($CC162,"m/d")&amp;"("&amp;CHOOSE(WEEKDAY($CC162),"日","月","火","水","木","金","土")&amp;")"&amp;" に切れる　もう1便を至急発注（2便目に入れる）","△ 入庫しても "&amp;TEXT($CC162,"m/d")&amp;"("&amp;CHOOSE(WEEKDAY($CC162),"日","月","火","水","木","金","土")&amp;")"&amp;" に切れる　"&amp;TEXT($CC162-N('設定'!$C$7),"m/d")&amp;"("&amp;CHOOSE(WEEKDAY($CC162-N('設定'!$C$7)),"日","月","火","水","木","金","土")&amp;")"&amp;" までに次を発注（2便目に入れる）"))))))))))</f>
        <v/>
      </c>
      <c r="CR162">
        <f>IF($C162="","",IF($G162&gt;1,"ｹｰｽ("&amp;$G162&amp;"入)","個"))</f>
        <v/>
      </c>
      <c r="CS162">
        <f>IF($C162="",0,IF(COUNTIFS('①在庫を貼る'!$V$6:$V$10005,'設定'!$C$4,'①在庫を貼る'!$W$6:$W$10005,$C162)=0,1,0))</f>
        <v/>
      </c>
      <c r="CT162">
        <f>IF(AND($CK162=1,OR('③発注書'!$C$4="すべて",'③発注書'!$C$4="",$F162='③発注書'!$C$4)),N($CT161)+1,N($CT161))</f>
        <v/>
      </c>
      <c r="CU162">
        <f>IF(AND($CL162=1,OR('③発注書'!$C$4="すべて",'③発注書'!$C$4="",$F162='③発注書'!$C$4)),N($CU161)+1,N($CU161))</f>
        <v/>
      </c>
      <c r="CV162">
        <f>IF($C162="",0,IF(COUNTIFS('①在庫を貼る'!$V$6:$V$10005,'設定'!$C$4,'①在庫を貼る'!$W$6:$W$10005,$C162)&gt;0,1,0))</f>
        <v/>
      </c>
      <c r="CW162">
        <f>IF($C162="",0,IF(COUNTIFS('月1回_1ヶ月前の在庫'!$V$6:$V$10005,'設定'!$C$4,'月1回_1ヶ月前の在庫'!$W$6:$W$10005,$C162)&gt;0,1,0))</f>
        <v/>
      </c>
      <c r="CX162">
        <f>IF($C162="",0,IF(COUNTIFS('月1回_2ヶ月前の在庫'!$V$6:$V$10005,'設定'!$C$4,'月1回_2ヶ月前の在庫'!$W$6:$W$10005,$C162)&gt;0,1,0))</f>
        <v/>
      </c>
      <c r="CY162">
        <f>IF(OR($C162="",'設定'!$C$12=""),"",IF('設定'!$C$13="",IF(AND($CV162=1,$CW162=0),"新商品（今月から）",IF(AND($CV162=0,$CW162=1),"終売（今月から）","")),IF(AND($CV162=1,$CW162=0,$CX162=0),"新商品（今月から）",IF(AND($CV162=1,$CW162=1,$CX162=0),"新商品（先月から）",IF(AND($CV162=0,$CW162=1,$CX162=1),"終売（今月から）",IF(AND($CV162=0,$CW162=0,$CX162=1),"終売（先月から）",IF(AND($CV162=1,$CW162=0,$CX162=1),"復活（先月は無し）","")))))))</f>
        <v/>
      </c>
    </row>
    <row r="163">
      <c r="B163">
        <f>IF(158&lt;='設定'!$C$11,158,"")</f>
        <v/>
      </c>
      <c r="C163">
        <f>IF($B163="","",IF($B163&lt;='設定'!$C$20,INDEX('商品マスタ'!$B$6:$B$1005,MATCH($B163,'商品マスタ'!$M$6:$M$1005,0)),IF($B163&lt;='設定'!$C$20+'設定'!$C$17,INDEX('①在庫を貼る'!$W$6:$W$10005,MATCH($B163-'設定'!$C$20,'①在庫を貼る'!$U$6:$U$10005,0)),IF($B163&lt;='設定'!$C$20+'設定'!$C$17+'設定'!$C$18,INDEX('月1回_1ヶ月前の在庫'!$W$6:$W$10005,MATCH($B163-'設定'!$C$20-'設定'!$C$17,'月1回_1ヶ月前の在庫'!$U$6:$U$10005,0)),INDEX('月1回_2ヶ月前の在庫'!$W$6:$W$10005,MATCH($B163-'設定'!$C$20-'設定'!$C$17-'設定'!$C$18,'月1回_2ヶ月前の在庫'!$U$6:$U$10005,0))))))</f>
        <v/>
      </c>
      <c r="D163">
        <f>IF($C163="","",IFERROR(IF(INDEX('商品マスタ'!$C$6:$C$1005,MATCH($C163,'商品マスタ'!$B$6:$B$1005,0))="",IFERROR(INDEX('①在庫を貼る'!$J$6:$J$10005,MATCH($C163,'①在庫を貼る'!$W$6:$W$10005,0)),IFERROR(INDEX('月1回_1ヶ月前の在庫'!$J$6:$J$10005,MATCH($C163,'月1回_1ヶ月前の在庫'!$W$6:$W$10005,0)),IFERROR(INDEX('月1回_2ヶ月前の在庫'!$J$6:$J$10005,MATCH($C163,'月1回_2ヶ月前の在庫'!$W$6:$W$10005,0)),""))),INDEX('商品マスタ'!$C$6:$C$1005,MATCH($C163,'商品マスタ'!$B$6:$B$1005,0))),IFERROR(INDEX('①在庫を貼る'!$J$6:$J$10005,MATCH($C163,'①在庫を貼る'!$W$6:$W$10005,0)),IFERROR(INDEX('月1回_1ヶ月前の在庫'!$J$6:$J$10005,MATCH($C163,'月1回_1ヶ月前の在庫'!$W$6:$W$10005,0)),IFERROR(INDEX('月1回_2ヶ月前の在庫'!$J$6:$J$10005,MATCH($C163,'月1回_2ヶ月前の在庫'!$W$6:$W$10005,0)),"")))))</f>
        <v/>
      </c>
      <c r="E163">
        <f>IF($C163="","",IFERROR(IF(INDEX('商品マスタ'!$D$6:$D$1005,MATCH($C163,'商品マスタ'!$B$6:$B$1005,0))="",IFERROR(INDEX('①在庫を貼る'!$H$6:$H$10005,MATCH($C163,'①在庫を貼る'!$W$6:$W$10005,0)),IFERROR(INDEX('月1回_1ヶ月前の在庫'!$H$6:$H$10005,MATCH($C163,'月1回_1ヶ月前の在庫'!$W$6:$W$10005,0)),IFERROR(INDEX('月1回_2ヶ月前の在庫'!$H$6:$H$10005,MATCH($C163,'月1回_2ヶ月前の在庫'!$W$6:$W$10005,0)),""))),INDEX('商品マスタ'!$D$6:$D$1005,MATCH($C163,'商品マスタ'!$B$6:$B$1005,0))),IFERROR(INDEX('①在庫を貼る'!$H$6:$H$10005,MATCH($C163,'①在庫を貼る'!$W$6:$W$10005,0)),IFERROR(INDEX('月1回_1ヶ月前の在庫'!$H$6:$H$10005,MATCH($C163,'月1回_1ヶ月前の在庫'!$W$6:$W$10005,0)),IFERROR(INDEX('月1回_2ヶ月前の在庫'!$H$6:$H$10005,MATCH($C163,'月1回_2ヶ月前の在庫'!$W$6:$W$10005,0)),"")))))</f>
        <v/>
      </c>
      <c r="F163">
        <f>IF($C163="","",IFERROR(IF(INDEX('商品マスタ'!$E$6:$E$1005,MATCH($C163,'商品マスタ'!$B$6:$B$1005,0))="",IFERROR(INDEX('①在庫を貼る'!$E$6:$E$10005,MATCH($C163,'①在庫を貼る'!$W$6:$W$10005,0)),IFERROR(INDEX('月1回_1ヶ月前の在庫'!$E$6:$E$10005,MATCH($C163,'月1回_1ヶ月前の在庫'!$W$6:$W$10005,0)),IFERROR(INDEX('月1回_2ヶ月前の在庫'!$E$6:$E$10005,MATCH($C163,'月1回_2ヶ月前の在庫'!$W$6:$W$10005,0)),""))),INDEX('商品マスタ'!$E$6:$E$1005,MATCH($C163,'商品マスタ'!$B$6:$B$1005,0))),IFERROR(INDEX('①在庫を貼る'!$E$6:$E$10005,MATCH($C163,'①在庫を貼る'!$W$6:$W$10005,0)),IFERROR(INDEX('月1回_1ヶ月前の在庫'!$E$6:$E$10005,MATCH($C163,'月1回_1ヶ月前の在庫'!$W$6:$W$10005,0)),IFERROR(INDEX('月1回_2ヶ月前の在庫'!$E$6:$E$10005,MATCH($C163,'月1回_2ヶ月前の在庫'!$W$6:$W$10005,0)),"")))))</f>
        <v/>
      </c>
      <c r="G163">
        <f>IF($C163="","",MAX(1,N(IFERROR(IF(INDEX('商品マスタ'!$F$6:$F$1005,MATCH($C163,'商品マスタ'!$B$6:$B$1005,0))="",IF(COUNTIFS('①在庫を貼る'!$V$6:$V$10005,'設定'!$C$4,'①在庫を貼る'!$W$6:$W$10005,$C163)&gt;0,SUMIFS('①在庫を貼る'!$K$6:$K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K$6:$K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K$6:$K$10005,'月1回_2ヶ月前の在庫'!$V$6:$V$10005,'設定'!$C$4,'月1回_2ヶ月前の在庫'!$W$6:$W$10005,$C163)/COUNTIFS('月1回_2ヶ月前の在庫'!$V$6:$V$10005,'設定'!$C$4,'月1回_2ヶ月前の在庫'!$W$6:$W$10005,$C163),0))),INDEX('商品マスタ'!$F$6:$F$1005,MATCH($C163,'商品マスタ'!$B$6:$B$1005,0))),IF(COUNTIFS('①在庫を貼る'!$V$6:$V$10005,'設定'!$C$4,'①在庫を貼る'!$W$6:$W$10005,$C163)&gt;0,SUMIFS('①在庫を貼る'!$K$6:$K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K$6:$K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K$6:$K$10005,'月1回_2ヶ月前の在庫'!$V$6:$V$10005,'設定'!$C$4,'月1回_2ヶ月前の在庫'!$W$6:$W$10005,$C163)/COUNTIFS('月1回_2ヶ月前の在庫'!$V$6:$V$10005,'設定'!$C$4,'月1回_2ヶ月前の在庫'!$W$6:$W$10005,$C163),0)))))))</f>
        <v/>
      </c>
      <c r="H163">
        <f>IF($C163="","",N(IFERROR(IF(INDEX('商品マスタ'!$G$6:$G$1005,MATCH($C163,'商品マスタ'!$B$6:$B$1005,0))="",IF(COUNTIFS('①在庫を貼る'!$V$6:$V$10005,'設定'!$C$4,'①在庫を貼る'!$W$6:$W$10005,$C163)&gt;0,SUMIFS('①在庫を貼る'!$Q$6:$Q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Q$6:$Q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Q$6:$Q$10005,'月1回_2ヶ月前の在庫'!$V$6:$V$10005,'設定'!$C$4,'月1回_2ヶ月前の在庫'!$W$6:$W$10005,$C163)/COUNTIFS('月1回_2ヶ月前の在庫'!$V$6:$V$10005,'設定'!$C$4,'月1回_2ヶ月前の在庫'!$W$6:$W$10005,$C163),0))),INDEX('商品マスタ'!$G$6:$G$1005,MATCH($C163,'商品マスタ'!$B$6:$B$1005,0))),IF(COUNTIFS('①在庫を貼る'!$V$6:$V$10005,'設定'!$C$4,'①在庫を貼る'!$W$6:$W$10005,$C163)&gt;0,SUMIFS('①在庫を貼る'!$Q$6:$Q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Q$6:$Q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Q$6:$Q$10005,'月1回_2ヶ月前の在庫'!$V$6:$V$10005,'設定'!$C$4,'月1回_2ヶ月前の在庫'!$W$6:$W$10005,$C163)/COUNTIFS('月1回_2ヶ月前の在庫'!$V$6:$V$10005,'設定'!$C$4,'月1回_2ヶ月前の在庫'!$W$6:$W$10005,$C163),0))))))</f>
        <v/>
      </c>
      <c r="I163">
        <f>IF($C163="","",IF(COUNTIFS('①在庫を貼る'!$V$6:$V$10005,'設定'!$C$4,'①在庫を貼る'!$W$6:$W$10005,$C163)=0,"",SUMIFS('①在庫を貼る'!$N$6:$N$10005,'①在庫を貼る'!$V$6:$V$10005,'設定'!$C$4,'①在庫を貼る'!$W$6:$W$10005,$C163)))</f>
        <v/>
      </c>
      <c r="J163">
        <f>IF($C163="","",IF('②発注する'!$AD167="","",'②発注する'!$AD167))</f>
        <v/>
      </c>
      <c r="K163" s="90">
        <f>IF($C163="","",IF('②発注する'!$AE167="","",'②発注する'!$AE167))</f>
        <v/>
      </c>
      <c r="L163">
        <f>IF($C163="","",IF(AND(ISNUMBER($J163),ISNUMBER($K163),$K163&gt;='設定'!$C$6),$J163,N($I163)))</f>
        <v/>
      </c>
      <c r="M163">
        <f>IF($C163="","",IFERROR(IF(N(INDEX('商品マスタ'!$J$6:$J$1005,MATCH($C163,'商品マスタ'!$B$6:$B$1005,0)))&gt;0,INDEX('商品マスタ'!$J$6:$J$1005,MATCH($C163,'商品マスタ'!$B$6:$B$1005,0)),""),""))</f>
        <v/>
      </c>
      <c r="N163">
        <f>IF($C163="","",IFERROR(IF(N(INDEX('商品マスタ'!$H$6:$H$1005,MATCH($C163,'商品マスタ'!$B$6:$B$1005,0)))&gt;0,INDEX('商品マスタ'!$H$6:$H$1005,MATCH($C163,'商品マスタ'!$B$6:$B$1005,0)),""),""))</f>
        <v/>
      </c>
      <c r="O163">
        <f>IF($C163="","",IF($N163&lt;&gt;"",$N163*$G163,IF(N(IF(COUNTIFS('①在庫を貼る'!$V$6:$V$10005,'設定'!$C$4,'①在庫を貼る'!$W$6:$W$10005,$C163)&gt;0,SUMIFS('①在庫を貼る'!$O$6:$O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O$6:$O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O$6:$O$10005,'月1回_2ヶ月前の在庫'!$V$6:$V$10005,'設定'!$C$4,'月1回_2ヶ月前の在庫'!$W$6:$W$10005,$C163)/COUNTIFS('月1回_2ヶ月前の在庫'!$V$6:$V$10005,'設定'!$C$4,'月1回_2ヶ月前の在庫'!$W$6:$W$10005,$C163),0))))&gt;0,N(IF(COUNTIFS('①在庫を貼る'!$V$6:$V$10005,'設定'!$C$4,'①在庫を貼る'!$W$6:$W$10005,$C163)&gt;0,SUMIFS('①在庫を貼る'!$O$6:$O$10005,'①在庫を貼る'!$V$6:$V$10005,'設定'!$C$4,'①在庫を貼る'!$W$6:$W$10005,$C163)/COUNTIFS('①在庫を貼る'!$V$6:$V$10005,'設定'!$C$4,'①在庫を貼る'!$W$6:$W$10005,$C163),IF(COUNTIFS('月1回_1ヶ月前の在庫'!$V$6:$V$10005,'設定'!$C$4,'月1回_1ヶ月前の在庫'!$W$6:$W$10005,$C163)&gt;0,SUMIFS('月1回_1ヶ月前の在庫'!$O$6:$O$10005,'月1回_1ヶ月前の在庫'!$V$6:$V$10005,'設定'!$C$4,'月1回_1ヶ月前の在庫'!$W$6:$W$10005,$C163)/COUNTIFS('月1回_1ヶ月前の在庫'!$V$6:$V$10005,'設定'!$C$4,'月1回_1ヶ月前の在庫'!$W$6:$W$10005,$C163),IF(COUNTIFS('月1回_2ヶ月前の在庫'!$V$6:$V$10005,'設定'!$C$4,'月1回_2ヶ月前の在庫'!$W$6:$W$10005,$C163)&gt;0,SUMIFS('月1回_2ヶ月前の在庫'!$O$6:$O$10005,'月1回_2ヶ月前の在庫'!$V$6:$V$10005,'設定'!$C$4,'月1回_2ヶ月前の在庫'!$W$6:$W$10005,$C163)/COUNTIFS('月1回_2ヶ月前の在庫'!$V$6:$V$10005,'設定'!$C$4,'月1回_2ヶ月前の在庫'!$W$6:$W$10005,$C163),0)))),"")))</f>
        <v/>
      </c>
      <c r="P163" s="90">
        <f>IF($C163="","",IF('②発注する'!$I167="","",'②発注する'!$I167))</f>
        <v/>
      </c>
      <c r="Q163">
        <f>IF($C163="","",IF('②発注する'!$J167="","",'②発注する'!$J167))</f>
        <v/>
      </c>
      <c r="R163">
        <f>IF($C163="",0,IF(AND(ISNUMBER($P163),ISNUMBER($Q163)),MAX(0,$Q163)*$G163,0))</f>
        <v/>
      </c>
      <c r="S163" s="90">
        <f>IF($C163="","",IF('②発注する'!$M167="","",'②発注する'!$M167))</f>
        <v/>
      </c>
      <c r="T163">
        <f>IF($C163="","",IF('②発注する'!$N167="","",'②発注する'!$N167))</f>
        <v/>
      </c>
      <c r="U163">
        <f>IF($C163="",0,IF(AND(ISNUMBER($S163),ISNUMBER($T163)),MAX(0,$T163)*$G163,0))</f>
        <v/>
      </c>
      <c r="V163">
        <f>IF($C163="",0,IF($M163="",0,MAX(0,$M163)*MAX(0,V$4)/100))</f>
        <v/>
      </c>
      <c r="W163">
        <f>IF($C163="",0,IF($M163="",0,MAX(0,$M163)*MAX(0,W$4)/100))</f>
        <v/>
      </c>
      <c r="X163">
        <f>IF($C163="",0,IF($M163="",0,MAX(0,$M163)*MAX(0,X$4)/100))</f>
        <v/>
      </c>
      <c r="Y163">
        <f>IF($C163="",0,IF($M163="",0,MAX(0,$M163)*MAX(0,Y$4)/100))</f>
        <v/>
      </c>
      <c r="Z163">
        <f>IF($C163="",0,IF($M163="",0,MAX(0,$M163)*MAX(0,Z$4)/100))</f>
        <v/>
      </c>
      <c r="AA163">
        <f>IF($C163="",0,IF($M163="",0,MAX(0,$M163)*MAX(0,AA$4)/100))</f>
        <v/>
      </c>
      <c r="AB163">
        <f>IF($C163="",0,IF($M163="",0,MAX(0,$M163)*MAX(0,AB$4)/100))</f>
        <v/>
      </c>
      <c r="AC163">
        <f>IF($C163="",0,IF($M163="",0,MAX(0,$M163)*MAX(0,AC$4)/100))</f>
        <v/>
      </c>
      <c r="AD163">
        <f>IF($C163="",0,IF($M163="",0,MAX(0,$M163)*MAX(0,AD$4)/100))</f>
        <v/>
      </c>
      <c r="AE163">
        <f>IF($C163="",0,IF($M163="",0,MAX(0,$M163)*MAX(0,AE$4)/100))</f>
        <v/>
      </c>
      <c r="AF163">
        <f>IF($C163="",0,IF($M163="",0,MAX(0,$M163)*MAX(0,AF$4)/100))</f>
        <v/>
      </c>
      <c r="AG163">
        <f>IF($C163="",0,IF($M163="",0,MAX(0,$M163)*MAX(0,AG$4)/100))</f>
        <v/>
      </c>
      <c r="AH163">
        <f>IF($C163="",0,IF($M163="",0,MAX(0,$M163)*MAX(0,AH$4)/100))</f>
        <v/>
      </c>
      <c r="AI163">
        <f>IF($C163="",0,IF($M163="",0,MAX(0,$M163)*MAX(0,AI$4)/100))</f>
        <v/>
      </c>
      <c r="AJ163">
        <f>IF($C163="",0,MAX(0,MAX(0,N($L163))-$V163))</f>
        <v/>
      </c>
      <c r="AK163">
        <f>IF($C163="",0,MAX(0,$AJ163-$W163))</f>
        <v/>
      </c>
      <c r="AL163">
        <f>IF($C163="",0,MAX(0,$AK163-$X163))</f>
        <v/>
      </c>
      <c r="AM163">
        <f>IF($C163="",0,MAX(0,$AL163-$Y163))</f>
        <v/>
      </c>
      <c r="AN163">
        <f>IF($C163="",0,MAX(0,$AM163-$Z163))</f>
        <v/>
      </c>
      <c r="AO163">
        <f>IF($C163="",0,MAX(0,$AN163-$AA163))</f>
        <v/>
      </c>
      <c r="AP163">
        <f>IF($C163="",0,MAX(0,$AO163-$AB163))</f>
        <v/>
      </c>
      <c r="AQ163">
        <f>IF($C163="",0,MAX(0,$AP163-$AC163))</f>
        <v/>
      </c>
      <c r="AR163">
        <f>IF($C163="",0,MAX(0,$AQ163-$AD163))</f>
        <v/>
      </c>
      <c r="AS163">
        <f>IF($C163="",0,MAX(0,$AR163-$AE163))</f>
        <v/>
      </c>
      <c r="AT163">
        <f>IF($C163="",0,MAX(0,$AS163-$AF163))</f>
        <v/>
      </c>
      <c r="AU163">
        <f>IF($C163="",0,MAX(0,$AT163-$AG163))</f>
        <v/>
      </c>
      <c r="AV163">
        <f>IF($C163="",0,MAX(0,$AU163-$AH163))</f>
        <v/>
      </c>
      <c r="AW163">
        <f>IF($C163="",0,MAX(0,$AV163-$AI163))</f>
        <v/>
      </c>
      <c r="AX163">
        <f>IF($C163="",0,MAX(0,MAX(0,N($L163))+IF($P163=V$3,$R163,0)+IF($S163=V$3,$U163,0)-$V163))</f>
        <v/>
      </c>
      <c r="AY163">
        <f>IF($C163="",0,MAX(0,$AX163+IF($P163=W$3,$R163,0)+IF($S163=W$3,$U163,0)-$W163))</f>
        <v/>
      </c>
      <c r="AZ163">
        <f>IF($C163="",0,MAX(0,$AY163+IF($P163=X$3,$R163,0)+IF($S163=X$3,$U163,0)-$X163))</f>
        <v/>
      </c>
      <c r="BA163">
        <f>IF($C163="",0,MAX(0,$AZ163+IF($P163=Y$3,$R163,0)+IF($S163=Y$3,$U163,0)-$Y163))</f>
        <v/>
      </c>
      <c r="BB163">
        <f>IF($C163="",0,MAX(0,$BA163+IF($P163=Z$3,$R163,0)+IF($S163=Z$3,$U163,0)-$Z163))</f>
        <v/>
      </c>
      <c r="BC163">
        <f>IF($C163="",0,MAX(0,$BB163+IF($P163=AA$3,$R163,0)+IF($S163=AA$3,$U163,0)-$AA163))</f>
        <v/>
      </c>
      <c r="BD163">
        <f>IF($C163="",0,MAX(0,$BC163+IF($P163=AB$3,$R163,0)+IF($S163=AB$3,$U163,0)-$AB163))</f>
        <v/>
      </c>
      <c r="BE163">
        <f>IF($C163="",0,MAX(0,$BD163+IF($P163=AC$3,$R163,0)+IF($S163=AC$3,$U163,0)-$AC163))</f>
        <v/>
      </c>
      <c r="BF163">
        <f>IF($C163="",0,MAX(0,$BE163+IF($P163=AD$3,$R163,0)+IF($S163=AD$3,$U163,0)-$AD163))</f>
        <v/>
      </c>
      <c r="BG163">
        <f>IF($C163="",0,MAX(0,$BF163+IF($P163=AE$3,$R163,0)+IF($S163=AE$3,$U163,0)-$AE163))</f>
        <v/>
      </c>
      <c r="BH163">
        <f>IF($C163="",0,MAX(0,$BG163+IF($P163=AF$3,$R163,0)+IF($S163=AF$3,$U163,0)-$AF163))</f>
        <v/>
      </c>
      <c r="BI163">
        <f>IF($C163="",0,MAX(0,$BH163+IF($P163=AG$3,$R163,0)+IF($S163=AG$3,$U163,0)-$AG163))</f>
        <v/>
      </c>
      <c r="BJ163">
        <f>IF($C163="",0,MAX(0,$BI163+IF($P163=AH$3,$R163,0)+IF($S163=AH$3,$U163,0)-$AH163))</f>
        <v/>
      </c>
      <c r="BK163">
        <f>IF($C163="",0,MAX(0,$BJ163+IF($P163=AI$3,$R163,0)+IF($S163=AI$3,$U163,0)-$AI163))</f>
        <v/>
      </c>
      <c r="BL163">
        <f>IF($C163="",99,IF(AND($AX163&lt;1,V$3&gt;=MAX(N($P163),N($S163))),0,99))</f>
        <v/>
      </c>
      <c r="BM163">
        <f>IF($C163="",99,IF(AND($AY163&lt;1,W$3&gt;=MAX(N($P163),N($S163))),1,99))</f>
        <v/>
      </c>
      <c r="BN163">
        <f>IF($C163="",99,IF(AND($AZ163&lt;1,X$3&gt;=MAX(N($P163),N($S163))),2,99))</f>
        <v/>
      </c>
      <c r="BO163">
        <f>IF($C163="",99,IF(AND($BA163&lt;1,Y$3&gt;=MAX(N($P163),N($S163))),3,99))</f>
        <v/>
      </c>
      <c r="BP163">
        <f>IF($C163="",99,IF(AND($BB163&lt;1,Z$3&gt;=MAX(N($P163),N($S163))),4,99))</f>
        <v/>
      </c>
      <c r="BQ163">
        <f>IF($C163="",99,IF(AND($BC163&lt;1,AA$3&gt;=MAX(N($P163),N($S163))),5,99))</f>
        <v/>
      </c>
      <c r="BR163">
        <f>IF($C163="",99,IF(AND($BD163&lt;1,AB$3&gt;=MAX(N($P163),N($S163))),6,99))</f>
        <v/>
      </c>
      <c r="BS163">
        <f>IF($C163="",99,IF(AND($BE163&lt;1,AC$3&gt;=MAX(N($P163),N($S163))),7,99))</f>
        <v/>
      </c>
      <c r="BT163">
        <f>IF($C163="",99,IF(AND($BF163&lt;1,AD$3&gt;=MAX(N($P163),N($S163))),8,99))</f>
        <v/>
      </c>
      <c r="BU163">
        <f>IF($C163="",99,IF(AND($BG163&lt;1,AE$3&gt;=MAX(N($P163),N($S163))),9,99))</f>
        <v/>
      </c>
      <c r="BV163">
        <f>IF($C163="",99,IF(AND($BH163&lt;1,AF$3&gt;=MAX(N($P163),N($S163))),10,99))</f>
        <v/>
      </c>
      <c r="BW163">
        <f>IF($C163="",99,IF(AND($BI163&lt;1,AG$3&gt;=MAX(N($P163),N($S163))),11,99))</f>
        <v/>
      </c>
      <c r="BX163">
        <f>IF($C163="",99,IF(AND($BJ163&lt;1,AH$3&gt;=MAX(N($P163),N($S163))),12,99))</f>
        <v/>
      </c>
      <c r="BY163">
        <f>IF($C163="",99,IF(AND($BK163&lt;1,AI$3&gt;=MAX(N($P163),N($S163))),13,99))</f>
        <v/>
      </c>
      <c r="BZ163">
        <f>IF(OR($C163="",$M163=""),"",COUNTIF($AJ163:$AW163,"&gt;=1"))</f>
        <v/>
      </c>
      <c r="CA163" s="90">
        <f>IF($BZ163="","",IF($BZ163&gt;=14,"",'設定'!$C$6+$BZ163))</f>
        <v/>
      </c>
      <c r="CB163">
        <f>IF(OR($C163="",$M163=""),"",MIN($BL163:$BY163))</f>
        <v/>
      </c>
      <c r="CC163" s="90">
        <f>IF($CB163="","",IF($CB163&gt;=99,"",'設定'!$C$6+$CB163))</f>
        <v/>
      </c>
      <c r="CD163">
        <f>IF(OR($C163="",$M163=""),"",AVERAGE($V163:$AI163))</f>
        <v/>
      </c>
      <c r="CE163">
        <f>IF($C163="","",IFERROR(IF(MATCH(IF(ISNUMBER($P163),$P163,'設定'!$C$6+N('設定'!$C$7)),$V$3:$AI$3,0)=1,MAX(0,N($L163)),INDEX($AJ163:$AW163,MATCH(IF(ISNUMBER($P163),$P163,'設定'!$C$6+N('設定'!$C$7)),$V$3:$AI$3,0)-1)),""))</f>
        <v/>
      </c>
      <c r="CF163">
        <f>IF(OR($C163="",$O163="",$CE163=""),"",IF($O163-$CE163&lt;=0,0,ROUNDUP(($O163-$CE163)/$G163,0)))</f>
        <v/>
      </c>
      <c r="CG163">
        <f>IF(OR($C163="",$CF163="",NOT(ISNUMBER($Q163))),0,MAX(0,$Q163-$CF163))</f>
        <v/>
      </c>
      <c r="CH163">
        <f>IF(OR($C163="",$O163="",$U163=0),0,IFERROR(ROUNDUP(MAX(0,IF(MATCH($S163,$V$3:$AI$3,0)=1,MAX(0,N($L163)),INDEX($AX163:$BK163,MATCH($S163,$V$3:$AI$3,0)-1))+$U163-$O163)/$G163,0),0))</f>
        <v/>
      </c>
      <c r="CI163">
        <f>IF($C163="","",IF(AND($P163="",$Q163=""),"",IF($P163="","⚠ 入庫日を ▼ から選んでください",IF(NOT(ISNUMBER($P163)),"⚠ 入庫日は ▼ から選んでください",IF($P163&lt;N('設定'!$C$6),"⚠ 入庫日が過去です（もう在庫に入っています）→ 消してください",IF($P163&gt;N('設定'!$C$6)+13,"⚠ 入庫日が14日より先です",IF(N($Q163)&lt;=0,"⚠ 入庫数を入れてください",IF($CG163&gt;0,"⚠ 目安より "&amp;$CG163&amp;" 多い（定数を超える）→ 減らす",""))))))))</f>
        <v/>
      </c>
      <c r="CJ163">
        <f>IF($C163="","",IF(AND($S163="",$T163=""),"",IF($S163="","⚠ 2便目：入庫日を ▼ から選んでください",IF(NOT(ISNUMBER($S163)),"⚠ 2便目：入庫日は ▼ から選んでください",IF($S163&lt;N('設定'!$C$6),"⚠ 2便目：入庫日が過去です（もう在庫に入っています）→ 消してください",IF($S163&gt;N('設定'!$C$6)+13,"⚠ 2便目：入庫日が14日より先です",IF(N($T163)&lt;=0,"⚠ 2便目：入庫数を入れてください",IF($CH163&gt;0,"⚠ 2便目：定数を "&amp;$CH163&amp;" ケース超える → 減らす",""))))))))</f>
        <v/>
      </c>
      <c r="CK163">
        <f>IF(AND($CI163="",N($Q163)&gt;0,ISNUMBER($P163)),1,0)</f>
        <v/>
      </c>
      <c r="CL163">
        <f>IF(AND($CJ163="",N($T163)&gt;0,ISNUMBER($S163)),1,0)</f>
        <v/>
      </c>
      <c r="CM163">
        <f>IF(OR($CK163=1,$CL163=1),1,0)</f>
        <v/>
      </c>
      <c r="CN163">
        <f>IF($C163="",0,($CK163*$R163+$CL163*$U163)*N($H163))</f>
        <v/>
      </c>
      <c r="CO163">
        <f>IF($C163="","",IF($CC163="","入庫後は 14日以上もつ",IF($CC163-N('設定'!$C$7)&lt;='設定'!$C$6,"入庫後も "&amp;TEXT($CC163,"m/d")&amp;"("&amp;CHOOSE(WEEKDAY($CC163),"日","月","火","水","木","金","土")&amp;")"&amp;" に切れる　もう1便を至急発注","入庫後も "&amp;TEXT($CC163,"m/d")&amp;"("&amp;CHOOSE(WEEKDAY($CC163),"日","月","火","水","木","金","土")&amp;")"&amp;" に切れる　"&amp;TEXT($CC163-N('設定'!$C$7),"m/d")&amp;"("&amp;CHOOSE(WEEKDAY($CC163-N('設定'!$C$7)),"日","月","火","水","木","金","土")&amp;")"&amp;" までに次を発注")))</f>
        <v/>
      </c>
      <c r="CP163">
        <f>IF($C163="","",IF('設定'!$C$6="","？ ①在庫を貼る に今日のCSVが貼られていない",IF($CS163=1,"－ 今日のCSVに無い（終売？）",IF($L163&lt;0,"● 在庫がマイナス　数えて「数えた在庫」に入れる",IF($L163=0,"● 在庫なし　至急発注",IF($M163="","？ 減り数が未設定（商品マスタ）",IF($B$3=0,"？ 動員が未入力（動員を入れる）",IF($CA163="","○ 14日以上もつ",IF($BZ163&lt;N('設定'!$C$7),"● "&amp;TEXT($CA163,"m/d")&amp;"("&amp;CHOOSE(WEEKDAY($CA163),"日","月","火","水","木","金","土")&amp;")"&amp;" に切れる　至急発注",IF($BZ163=N('設定'!$C$7),"● "&amp;TEXT($CA163,"m/d")&amp;"("&amp;CHOOSE(WEEKDAY($CA163),"日","月","火","水","木","金","土")&amp;")"&amp;" に切れる　今日発注","△ "&amp;TEXT($CA163,"m/d")&amp;"("&amp;CHOOSE(WEEKDAY($CA163),"日","月","火","水","木","金","土")&amp;")"&amp;" に切れる　"&amp;TEXT($CA163-N('設定'!$C$7),"m/d")&amp;"("&amp;CHOOSE(WEEKDAY($CA163-N('設定'!$C$7)),"日","月","火","水","木","金","土")&amp;")"&amp;" までに発注"))))))))))</f>
        <v/>
      </c>
      <c r="CQ163">
        <f>IF($C163="","",IF(AND($P163="",$Q163="",$S163="",$T163=""),"",IF(AND($P163="",$Q163=""),"⚠ 先に1便目（左の入庫日・入庫数）に入れてください",IF($CI163&lt;&gt;"",$CI163,IF($CJ163&lt;&gt;"",$CJ163,IF($M163="","？ 減り数が未設定（発注書には載ります）",IF($B$3=0,"？ 動員が未入力（発注書には載ります）",IF(AND($CA163&lt;&gt;"",$P163&gt;$CA163),IF($P163&gt;'設定'!$C$6+N('設定'!$C$7),"● "&amp;TEXT($P163,"m/d")&amp;"("&amp;CHOOSE(WEEKDAY($P163),"日","月","火","水","木","金","土")&amp;")"&amp;" の入庫では間に合わない（"&amp;TEXT($CA163,"m/d")&amp;"("&amp;CHOOSE(WEEKDAY($CA163),"日","月","火","水","木","金","土")&amp;")"&amp;" に切れる）　入庫日を早める","△ 欠品 "&amp;TEXT($CA163,"m/d")&amp;"("&amp;CHOOSE(WEEKDAY($CA163),"日","月","火","水","木","金","土")&amp;")"&amp;"〜"&amp;TEXT($P163-1,"m/d")&amp;"("&amp;CHOOSE(WEEKDAY($P163-1),"日","月","火","水","木","金","土")&amp;")"&amp;"　"&amp;$CO163),IF($CC163="","○ "&amp;TEXT($P163,"m/d")&amp;"("&amp;CHOOSE(WEEKDAY($P163),"日","月","火","水","木","金","土")&amp;")"&amp;" 入庫で 14日以上もつ",IF($CC163-N('設定'!$C$7)&lt;='設定'!$C$6,"● 入庫しても "&amp;TEXT($CC163,"m/d")&amp;"("&amp;CHOOSE(WEEKDAY($CC163),"日","月","火","水","木","金","土")&amp;")"&amp;" に切れる　もう1便を至急発注（2便目に入れる）","△ 入庫しても "&amp;TEXT($CC163,"m/d")&amp;"("&amp;CHOOSE(WEEKDAY($CC163),"日","月","火","水","木","金","土")&amp;")"&amp;" に切れる　"&amp;TEXT($CC163-N('設定'!$C$7),"m/d")&amp;"("&amp;CHOOSE(WEEKDAY($CC163-N('設定'!$C$7)),"日","月","火","水","木","金","土")&amp;")"&amp;" までに次を発注（2便目に入れる）"))))))))))</f>
        <v/>
      </c>
      <c r="CR163">
        <f>IF($C163="","",IF($G163&gt;1,"ｹｰｽ("&amp;$G163&amp;"入)","個"))</f>
        <v/>
      </c>
      <c r="CS163">
        <f>IF($C163="",0,IF(COUNTIFS('①在庫を貼る'!$V$6:$V$10005,'設定'!$C$4,'①在庫を貼る'!$W$6:$W$10005,$C163)=0,1,0))</f>
        <v/>
      </c>
      <c r="CT163">
        <f>IF(AND($CK163=1,OR('③発注書'!$C$4="すべて",'③発注書'!$C$4="",$F163='③発注書'!$C$4)),N($CT162)+1,N($CT162))</f>
        <v/>
      </c>
      <c r="CU163">
        <f>IF(AND($CL163=1,OR('③発注書'!$C$4="すべて",'③発注書'!$C$4="",$F163='③発注書'!$C$4)),N($CU162)+1,N($CU162))</f>
        <v/>
      </c>
      <c r="CV163">
        <f>IF($C163="",0,IF(COUNTIFS('①在庫を貼る'!$V$6:$V$10005,'設定'!$C$4,'①在庫を貼る'!$W$6:$W$10005,$C163)&gt;0,1,0))</f>
        <v/>
      </c>
      <c r="CW163">
        <f>IF($C163="",0,IF(COUNTIFS('月1回_1ヶ月前の在庫'!$V$6:$V$10005,'設定'!$C$4,'月1回_1ヶ月前の在庫'!$W$6:$W$10005,$C163)&gt;0,1,0))</f>
        <v/>
      </c>
      <c r="CX163">
        <f>IF($C163="",0,IF(COUNTIFS('月1回_2ヶ月前の在庫'!$V$6:$V$10005,'設定'!$C$4,'月1回_2ヶ月前の在庫'!$W$6:$W$10005,$C163)&gt;0,1,0))</f>
        <v/>
      </c>
      <c r="CY163">
        <f>IF(OR($C163="",'設定'!$C$12=""),"",IF('設定'!$C$13="",IF(AND($CV163=1,$CW163=0),"新商品（今月から）",IF(AND($CV163=0,$CW163=1),"終売（今月から）","")),IF(AND($CV163=1,$CW163=0,$CX163=0),"新商品（今月から）",IF(AND($CV163=1,$CW163=1,$CX163=0),"新商品（先月から）",IF(AND($CV163=0,$CW163=1,$CX163=1),"終売（今月から）",IF(AND($CV163=0,$CW163=0,$CX163=1),"終売（先月から）",IF(AND($CV163=1,$CW163=0,$CX163=1),"復活（先月は無し）","")))))))</f>
        <v/>
      </c>
    </row>
    <row r="164">
      <c r="B164">
        <f>IF(159&lt;='設定'!$C$11,159,"")</f>
        <v/>
      </c>
      <c r="C164">
        <f>IF($B164="","",IF($B164&lt;='設定'!$C$20,INDEX('商品マスタ'!$B$6:$B$1005,MATCH($B164,'商品マスタ'!$M$6:$M$1005,0)),IF($B164&lt;='設定'!$C$20+'設定'!$C$17,INDEX('①在庫を貼る'!$W$6:$W$10005,MATCH($B164-'設定'!$C$20,'①在庫を貼る'!$U$6:$U$10005,0)),IF($B164&lt;='設定'!$C$20+'設定'!$C$17+'設定'!$C$18,INDEX('月1回_1ヶ月前の在庫'!$W$6:$W$10005,MATCH($B164-'設定'!$C$20-'設定'!$C$17,'月1回_1ヶ月前の在庫'!$U$6:$U$10005,0)),INDEX('月1回_2ヶ月前の在庫'!$W$6:$W$10005,MATCH($B164-'設定'!$C$20-'設定'!$C$17-'設定'!$C$18,'月1回_2ヶ月前の在庫'!$U$6:$U$10005,0))))))</f>
        <v/>
      </c>
      <c r="D164">
        <f>IF($C164="","",IFERROR(IF(INDEX('商品マスタ'!$C$6:$C$1005,MATCH($C164,'商品マスタ'!$B$6:$B$1005,0))="",IFERROR(INDEX('①在庫を貼る'!$J$6:$J$10005,MATCH($C164,'①在庫を貼る'!$W$6:$W$10005,0)),IFERROR(INDEX('月1回_1ヶ月前の在庫'!$J$6:$J$10005,MATCH($C164,'月1回_1ヶ月前の在庫'!$W$6:$W$10005,0)),IFERROR(INDEX('月1回_2ヶ月前の在庫'!$J$6:$J$10005,MATCH($C164,'月1回_2ヶ月前の在庫'!$W$6:$W$10005,0)),""))),INDEX('商品マスタ'!$C$6:$C$1005,MATCH($C164,'商品マスタ'!$B$6:$B$1005,0))),IFERROR(INDEX('①在庫を貼る'!$J$6:$J$10005,MATCH($C164,'①在庫を貼る'!$W$6:$W$10005,0)),IFERROR(INDEX('月1回_1ヶ月前の在庫'!$J$6:$J$10005,MATCH($C164,'月1回_1ヶ月前の在庫'!$W$6:$W$10005,0)),IFERROR(INDEX('月1回_2ヶ月前の在庫'!$J$6:$J$10005,MATCH($C164,'月1回_2ヶ月前の在庫'!$W$6:$W$10005,0)),"")))))</f>
        <v/>
      </c>
      <c r="E164">
        <f>IF($C164="","",IFERROR(IF(INDEX('商品マスタ'!$D$6:$D$1005,MATCH($C164,'商品マスタ'!$B$6:$B$1005,0))="",IFERROR(INDEX('①在庫を貼る'!$H$6:$H$10005,MATCH($C164,'①在庫を貼る'!$W$6:$W$10005,0)),IFERROR(INDEX('月1回_1ヶ月前の在庫'!$H$6:$H$10005,MATCH($C164,'月1回_1ヶ月前の在庫'!$W$6:$W$10005,0)),IFERROR(INDEX('月1回_2ヶ月前の在庫'!$H$6:$H$10005,MATCH($C164,'月1回_2ヶ月前の在庫'!$W$6:$W$10005,0)),""))),INDEX('商品マスタ'!$D$6:$D$1005,MATCH($C164,'商品マスタ'!$B$6:$B$1005,0))),IFERROR(INDEX('①在庫を貼る'!$H$6:$H$10005,MATCH($C164,'①在庫を貼る'!$W$6:$W$10005,0)),IFERROR(INDEX('月1回_1ヶ月前の在庫'!$H$6:$H$10005,MATCH($C164,'月1回_1ヶ月前の在庫'!$W$6:$W$10005,0)),IFERROR(INDEX('月1回_2ヶ月前の在庫'!$H$6:$H$10005,MATCH($C164,'月1回_2ヶ月前の在庫'!$W$6:$W$10005,0)),"")))))</f>
        <v/>
      </c>
      <c r="F164">
        <f>IF($C164="","",IFERROR(IF(INDEX('商品マスタ'!$E$6:$E$1005,MATCH($C164,'商品マスタ'!$B$6:$B$1005,0))="",IFERROR(INDEX('①在庫を貼る'!$E$6:$E$10005,MATCH($C164,'①在庫を貼る'!$W$6:$W$10005,0)),IFERROR(INDEX('月1回_1ヶ月前の在庫'!$E$6:$E$10005,MATCH($C164,'月1回_1ヶ月前の在庫'!$W$6:$W$10005,0)),IFERROR(INDEX('月1回_2ヶ月前の在庫'!$E$6:$E$10005,MATCH($C164,'月1回_2ヶ月前の在庫'!$W$6:$W$10005,0)),""))),INDEX('商品マスタ'!$E$6:$E$1005,MATCH($C164,'商品マスタ'!$B$6:$B$1005,0))),IFERROR(INDEX('①在庫を貼る'!$E$6:$E$10005,MATCH($C164,'①在庫を貼る'!$W$6:$W$10005,0)),IFERROR(INDEX('月1回_1ヶ月前の在庫'!$E$6:$E$10005,MATCH($C164,'月1回_1ヶ月前の在庫'!$W$6:$W$10005,0)),IFERROR(INDEX('月1回_2ヶ月前の在庫'!$E$6:$E$10005,MATCH($C164,'月1回_2ヶ月前の在庫'!$W$6:$W$10005,0)),"")))))</f>
        <v/>
      </c>
      <c r="G164">
        <f>IF($C164="","",MAX(1,N(IFERROR(IF(INDEX('商品マスタ'!$F$6:$F$1005,MATCH($C164,'商品マスタ'!$B$6:$B$1005,0))="",IF(COUNTIFS('①在庫を貼る'!$V$6:$V$10005,'設定'!$C$4,'①在庫を貼る'!$W$6:$W$10005,$C164)&gt;0,SUMIFS('①在庫を貼る'!$K$6:$K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K$6:$K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K$6:$K$10005,'月1回_2ヶ月前の在庫'!$V$6:$V$10005,'設定'!$C$4,'月1回_2ヶ月前の在庫'!$W$6:$W$10005,$C164)/COUNTIFS('月1回_2ヶ月前の在庫'!$V$6:$V$10005,'設定'!$C$4,'月1回_2ヶ月前の在庫'!$W$6:$W$10005,$C164),0))),INDEX('商品マスタ'!$F$6:$F$1005,MATCH($C164,'商品マスタ'!$B$6:$B$1005,0))),IF(COUNTIFS('①在庫を貼る'!$V$6:$V$10005,'設定'!$C$4,'①在庫を貼る'!$W$6:$W$10005,$C164)&gt;0,SUMIFS('①在庫を貼る'!$K$6:$K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K$6:$K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K$6:$K$10005,'月1回_2ヶ月前の在庫'!$V$6:$V$10005,'設定'!$C$4,'月1回_2ヶ月前の在庫'!$W$6:$W$10005,$C164)/COUNTIFS('月1回_2ヶ月前の在庫'!$V$6:$V$10005,'設定'!$C$4,'月1回_2ヶ月前の在庫'!$W$6:$W$10005,$C164),0)))))))</f>
        <v/>
      </c>
      <c r="H164">
        <f>IF($C164="","",N(IFERROR(IF(INDEX('商品マスタ'!$G$6:$G$1005,MATCH($C164,'商品マスタ'!$B$6:$B$1005,0))="",IF(COUNTIFS('①在庫を貼る'!$V$6:$V$10005,'設定'!$C$4,'①在庫を貼る'!$W$6:$W$10005,$C164)&gt;0,SUMIFS('①在庫を貼る'!$Q$6:$Q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Q$6:$Q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Q$6:$Q$10005,'月1回_2ヶ月前の在庫'!$V$6:$V$10005,'設定'!$C$4,'月1回_2ヶ月前の在庫'!$W$6:$W$10005,$C164)/COUNTIFS('月1回_2ヶ月前の在庫'!$V$6:$V$10005,'設定'!$C$4,'月1回_2ヶ月前の在庫'!$W$6:$W$10005,$C164),0))),INDEX('商品マスタ'!$G$6:$G$1005,MATCH($C164,'商品マスタ'!$B$6:$B$1005,0))),IF(COUNTIFS('①在庫を貼る'!$V$6:$V$10005,'設定'!$C$4,'①在庫を貼る'!$W$6:$W$10005,$C164)&gt;0,SUMIFS('①在庫を貼る'!$Q$6:$Q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Q$6:$Q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Q$6:$Q$10005,'月1回_2ヶ月前の在庫'!$V$6:$V$10005,'設定'!$C$4,'月1回_2ヶ月前の在庫'!$W$6:$W$10005,$C164)/COUNTIFS('月1回_2ヶ月前の在庫'!$V$6:$V$10005,'設定'!$C$4,'月1回_2ヶ月前の在庫'!$W$6:$W$10005,$C164),0))))))</f>
        <v/>
      </c>
      <c r="I164">
        <f>IF($C164="","",IF(COUNTIFS('①在庫を貼る'!$V$6:$V$10005,'設定'!$C$4,'①在庫を貼る'!$W$6:$W$10005,$C164)=0,"",SUMIFS('①在庫を貼る'!$N$6:$N$10005,'①在庫を貼る'!$V$6:$V$10005,'設定'!$C$4,'①在庫を貼る'!$W$6:$W$10005,$C164)))</f>
        <v/>
      </c>
      <c r="J164">
        <f>IF($C164="","",IF('②発注する'!$AD168="","",'②発注する'!$AD168))</f>
        <v/>
      </c>
      <c r="K164" s="90">
        <f>IF($C164="","",IF('②発注する'!$AE168="","",'②発注する'!$AE168))</f>
        <v/>
      </c>
      <c r="L164">
        <f>IF($C164="","",IF(AND(ISNUMBER($J164),ISNUMBER($K164),$K164&gt;='設定'!$C$6),$J164,N($I164)))</f>
        <v/>
      </c>
      <c r="M164">
        <f>IF($C164="","",IFERROR(IF(N(INDEX('商品マスタ'!$J$6:$J$1005,MATCH($C164,'商品マスタ'!$B$6:$B$1005,0)))&gt;0,INDEX('商品マスタ'!$J$6:$J$1005,MATCH($C164,'商品マスタ'!$B$6:$B$1005,0)),""),""))</f>
        <v/>
      </c>
      <c r="N164">
        <f>IF($C164="","",IFERROR(IF(N(INDEX('商品マスタ'!$H$6:$H$1005,MATCH($C164,'商品マスタ'!$B$6:$B$1005,0)))&gt;0,INDEX('商品マスタ'!$H$6:$H$1005,MATCH($C164,'商品マスタ'!$B$6:$B$1005,0)),""),""))</f>
        <v/>
      </c>
      <c r="O164">
        <f>IF($C164="","",IF($N164&lt;&gt;"",$N164*$G164,IF(N(IF(COUNTIFS('①在庫を貼る'!$V$6:$V$10005,'設定'!$C$4,'①在庫を貼る'!$W$6:$W$10005,$C164)&gt;0,SUMIFS('①在庫を貼る'!$O$6:$O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O$6:$O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O$6:$O$10005,'月1回_2ヶ月前の在庫'!$V$6:$V$10005,'設定'!$C$4,'月1回_2ヶ月前の在庫'!$W$6:$W$10005,$C164)/COUNTIFS('月1回_2ヶ月前の在庫'!$V$6:$V$10005,'設定'!$C$4,'月1回_2ヶ月前の在庫'!$W$6:$W$10005,$C164),0))))&gt;0,N(IF(COUNTIFS('①在庫を貼る'!$V$6:$V$10005,'設定'!$C$4,'①在庫を貼る'!$W$6:$W$10005,$C164)&gt;0,SUMIFS('①在庫を貼る'!$O$6:$O$10005,'①在庫を貼る'!$V$6:$V$10005,'設定'!$C$4,'①在庫を貼る'!$W$6:$W$10005,$C164)/COUNTIFS('①在庫を貼る'!$V$6:$V$10005,'設定'!$C$4,'①在庫を貼る'!$W$6:$W$10005,$C164),IF(COUNTIFS('月1回_1ヶ月前の在庫'!$V$6:$V$10005,'設定'!$C$4,'月1回_1ヶ月前の在庫'!$W$6:$W$10005,$C164)&gt;0,SUMIFS('月1回_1ヶ月前の在庫'!$O$6:$O$10005,'月1回_1ヶ月前の在庫'!$V$6:$V$10005,'設定'!$C$4,'月1回_1ヶ月前の在庫'!$W$6:$W$10005,$C164)/COUNTIFS('月1回_1ヶ月前の在庫'!$V$6:$V$10005,'設定'!$C$4,'月1回_1ヶ月前の在庫'!$W$6:$W$10005,$C164),IF(COUNTIFS('月1回_2ヶ月前の在庫'!$V$6:$V$10005,'設定'!$C$4,'月1回_2ヶ月前の在庫'!$W$6:$W$10005,$C164)&gt;0,SUMIFS('月1回_2ヶ月前の在庫'!$O$6:$O$10005,'月1回_2ヶ月前の在庫'!$V$6:$V$10005,'設定'!$C$4,'月1回_2ヶ月前の在庫'!$W$6:$W$10005,$C164)/COUNTIFS('月1回_2ヶ月前の在庫'!$V$6:$V$10005,'設定'!$C$4,'月1回_2ヶ月前の在庫'!$W$6:$W$10005,$C164),0)))),"")))</f>
        <v/>
      </c>
      <c r="P164" s="90">
        <f>IF($C164="","",IF('②発注する'!$I168="","",'②発注する'!$I168))</f>
        <v/>
      </c>
      <c r="Q164">
        <f>IF($C164="","",IF('②発注する'!$J168="","",'②発注する'!$J168))</f>
        <v/>
      </c>
      <c r="R164">
        <f>IF($C164="",0,IF(AND(ISNUMBER($P164),ISNUMBER($Q164)),MAX(0,$Q164)*$G164,0))</f>
        <v/>
      </c>
      <c r="S164" s="90">
        <f>IF($C164="","",IF('②発注する'!$M168="","",'②発注する'!$M168))</f>
        <v/>
      </c>
      <c r="T164">
        <f>IF($C164="","",IF('②発注する'!$N168="","",'②発注する'!$N168))</f>
        <v/>
      </c>
      <c r="U164">
        <f>IF($C164="",0,IF(AND(ISNUMBER($S164),ISNUMBER($T164)),MAX(0,$T164)*$G164,0))</f>
        <v/>
      </c>
      <c r="V164">
        <f>IF($C164="",0,IF($M164="",0,MAX(0,$M164)*MAX(0,V$4)/100))</f>
        <v/>
      </c>
      <c r="W164">
        <f>IF($C164="",0,IF($M164="",0,MAX(0,$M164)*MAX(0,W$4)/100))</f>
        <v/>
      </c>
      <c r="X164">
        <f>IF($C164="",0,IF($M164="",0,MAX(0,$M164)*MAX(0,X$4)/100))</f>
        <v/>
      </c>
      <c r="Y164">
        <f>IF($C164="",0,IF($M164="",0,MAX(0,$M164)*MAX(0,Y$4)/100))</f>
        <v/>
      </c>
      <c r="Z164">
        <f>IF($C164="",0,IF($M164="",0,MAX(0,$M164)*MAX(0,Z$4)/100))</f>
        <v/>
      </c>
      <c r="AA164">
        <f>IF($C164="",0,IF($M164="",0,MAX(0,$M164)*MAX(0,AA$4)/100))</f>
        <v/>
      </c>
      <c r="AB164">
        <f>IF($C164="",0,IF($M164="",0,MAX(0,$M164)*MAX(0,AB$4)/100))</f>
        <v/>
      </c>
      <c r="AC164">
        <f>IF($C164="",0,IF($M164="",0,MAX(0,$M164)*MAX(0,AC$4)/100))</f>
        <v/>
      </c>
      <c r="AD164">
        <f>IF($C164="",0,IF($M164="",0,MAX(0,$M164)*MAX(0,AD$4)/100))</f>
        <v/>
      </c>
      <c r="AE164">
        <f>IF($C164="",0,IF($M164="",0,MAX(0,$M164)*MAX(0,AE$4)/100))</f>
        <v/>
      </c>
      <c r="AF164">
        <f>IF($C164="",0,IF($M164="",0,MAX(0,$M164)*MAX(0,AF$4)/100))</f>
        <v/>
      </c>
      <c r="AG164">
        <f>IF($C164="",0,IF($M164="",0,MAX(0,$M164)*MAX(0,AG$4)/100))</f>
        <v/>
      </c>
      <c r="AH164">
        <f>IF($C164="",0,IF($M164="",0,MAX(0,$M164)*MAX(0,AH$4)/100))</f>
        <v/>
      </c>
      <c r="AI164">
        <f>IF($C164="",0,IF($M164="",0,MAX(0,$M164)*MAX(0,AI$4)/100))</f>
        <v/>
      </c>
      <c r="AJ164">
        <f>IF($C164="",0,MAX(0,MAX(0,N($L164))-$V164))</f>
        <v/>
      </c>
      <c r="AK164">
        <f>IF($C164="",0,MAX(0,$AJ164-$W164))</f>
        <v/>
      </c>
      <c r="AL164">
        <f>IF($C164="",0,MAX(0,$AK164-$X164))</f>
        <v/>
      </c>
      <c r="AM164">
        <f>IF($C164="",0,MAX(0,$AL164-$Y164))</f>
        <v/>
      </c>
      <c r="AN164">
        <f>IF($C164="",0,MAX(0,$AM164-$Z164))</f>
        <v/>
      </c>
      <c r="AO164">
        <f>IF($C164="",0,MAX(0,$AN164-$AA164))</f>
        <v/>
      </c>
      <c r="AP164">
        <f>IF($C164="",0,MAX(0,$AO164-$AB164))</f>
        <v/>
      </c>
      <c r="AQ164">
        <f>IF($C164="",0,MAX(0,$AP164-$AC164))</f>
        <v/>
      </c>
      <c r="AR164">
        <f>IF($C164="",0,MAX(0,$AQ164-$AD164))</f>
        <v/>
      </c>
      <c r="AS164">
        <f>IF($C164="",0,MAX(0,$AR164-$AE164))</f>
        <v/>
      </c>
      <c r="AT164">
        <f>IF($C164="",0,MAX(0,$AS164-$AF164))</f>
        <v/>
      </c>
      <c r="AU164">
        <f>IF($C164="",0,MAX(0,$AT164-$AG164))</f>
        <v/>
      </c>
      <c r="AV164">
        <f>IF($C164="",0,MAX(0,$AU164-$AH164))</f>
        <v/>
      </c>
      <c r="AW164">
        <f>IF($C164="",0,MAX(0,$AV164-$AI164))</f>
        <v/>
      </c>
      <c r="AX164">
        <f>IF($C164="",0,MAX(0,MAX(0,N($L164))+IF($P164=V$3,$R164,0)+IF($S164=V$3,$U164,0)-$V164))</f>
        <v/>
      </c>
      <c r="AY164">
        <f>IF($C164="",0,MAX(0,$AX164+IF($P164=W$3,$R164,0)+IF($S164=W$3,$U164,0)-$W164))</f>
        <v/>
      </c>
      <c r="AZ164">
        <f>IF($C164="",0,MAX(0,$AY164+IF($P164=X$3,$R164,0)+IF($S164=X$3,$U164,0)-$X164))</f>
        <v/>
      </c>
      <c r="BA164">
        <f>IF($C164="",0,MAX(0,$AZ164+IF($P164=Y$3,$R164,0)+IF($S164=Y$3,$U164,0)-$Y164))</f>
        <v/>
      </c>
      <c r="BB164">
        <f>IF($C164="",0,MAX(0,$BA164+IF($P164=Z$3,$R164,0)+IF($S164=Z$3,$U164,0)-$Z164))</f>
        <v/>
      </c>
      <c r="BC164">
        <f>IF($C164="",0,MAX(0,$BB164+IF($P164=AA$3,$R164,0)+IF($S164=AA$3,$U164,0)-$AA164))</f>
        <v/>
      </c>
      <c r="BD164">
        <f>IF($C164="",0,MAX(0,$BC164+IF($P164=AB$3,$R164,0)+IF($S164=AB$3,$U164,0)-$AB164))</f>
        <v/>
      </c>
      <c r="BE164">
        <f>IF($C164="",0,MAX(0,$BD164+IF($P164=AC$3,$R164,0)+IF($S164=AC$3,$U164,0)-$AC164))</f>
        <v/>
      </c>
      <c r="BF164">
        <f>IF($C164="",0,MAX(0,$BE164+IF($P164=AD$3,$R164,0)+IF($S164=AD$3,$U164,0)-$AD164))</f>
        <v/>
      </c>
      <c r="BG164">
        <f>IF($C164="",0,MAX(0,$BF164+IF($P164=AE$3,$R164,0)+IF($S164=AE$3,$U164,0)-$AE164))</f>
        <v/>
      </c>
      <c r="BH164">
        <f>IF($C164="",0,MAX(0,$BG164+IF($P164=AF$3,$R164,0)+IF($S164=AF$3,$U164,0)-$AF164))</f>
        <v/>
      </c>
      <c r="BI164">
        <f>IF($C164="",0,MAX(0,$BH164+IF($P164=AG$3,$R164,0)+IF($S164=AG$3,$U164,0)-$AG164))</f>
        <v/>
      </c>
      <c r="BJ164">
        <f>IF($C164="",0,MAX(0,$BI164+IF($P164=AH$3,$R164,0)+IF($S164=AH$3,$U164,0)-$AH164))</f>
        <v/>
      </c>
      <c r="BK164">
        <f>IF($C164="",0,MAX(0,$BJ164+IF($P164=AI$3,$R164,0)+IF($S164=AI$3,$U164,0)-$AI164))</f>
        <v/>
      </c>
      <c r="BL164">
        <f>IF($C164="",99,IF(AND($AX164&lt;1,V$3&gt;=MAX(N($P164),N($S164))),0,99))</f>
        <v/>
      </c>
      <c r="BM164">
        <f>IF($C164="",99,IF(AND($AY164&lt;1,W$3&gt;=MAX(N($P164),N($S164))),1,99))</f>
        <v/>
      </c>
      <c r="BN164">
        <f>IF($C164="",99,IF(AND($AZ164&lt;1,X$3&gt;=MAX(N($P164),N($S164))),2,99))</f>
        <v/>
      </c>
      <c r="BO164">
        <f>IF($C164="",99,IF(AND($BA164&lt;1,Y$3&gt;=MAX(N($P164),N($S164))),3,99))</f>
        <v/>
      </c>
      <c r="BP164">
        <f>IF($C164="",99,IF(AND($BB164&lt;1,Z$3&gt;=MAX(N($P164),N($S164))),4,99))</f>
        <v/>
      </c>
      <c r="BQ164">
        <f>IF($C164="",99,IF(AND($BC164&lt;1,AA$3&gt;=MAX(N($P164),N($S164))),5,99))</f>
        <v/>
      </c>
      <c r="BR164">
        <f>IF($C164="",99,IF(AND($BD164&lt;1,AB$3&gt;=MAX(N($P164),N($S164))),6,99))</f>
        <v/>
      </c>
      <c r="BS164">
        <f>IF($C164="",99,IF(AND($BE164&lt;1,AC$3&gt;=MAX(N($P164),N($S164))),7,99))</f>
        <v/>
      </c>
      <c r="BT164">
        <f>IF($C164="",99,IF(AND($BF164&lt;1,AD$3&gt;=MAX(N($P164),N($S164))),8,99))</f>
        <v/>
      </c>
      <c r="BU164">
        <f>IF($C164="",99,IF(AND($BG164&lt;1,AE$3&gt;=MAX(N($P164),N($S164))),9,99))</f>
        <v/>
      </c>
      <c r="BV164">
        <f>IF($C164="",99,IF(AND($BH164&lt;1,AF$3&gt;=MAX(N($P164),N($S164))),10,99))</f>
        <v/>
      </c>
      <c r="BW164">
        <f>IF($C164="",99,IF(AND($BI164&lt;1,AG$3&gt;=MAX(N($P164),N($S164))),11,99))</f>
        <v/>
      </c>
      <c r="BX164">
        <f>IF($C164="",99,IF(AND($BJ164&lt;1,AH$3&gt;=MAX(N($P164),N($S164))),12,99))</f>
        <v/>
      </c>
      <c r="BY164">
        <f>IF($C164="",99,IF(AND($BK164&lt;1,AI$3&gt;=MAX(N($P164),N($S164))),13,99))</f>
        <v/>
      </c>
      <c r="BZ164">
        <f>IF(OR($C164="",$M164=""),"",COUNTIF($AJ164:$AW164,"&gt;=1"))</f>
        <v/>
      </c>
      <c r="CA164" s="90">
        <f>IF($BZ164="","",IF($BZ164&gt;=14,"",'設定'!$C$6+$BZ164))</f>
        <v/>
      </c>
      <c r="CB164">
        <f>IF(OR($C164="",$M164=""),"",MIN($BL164:$BY164))</f>
        <v/>
      </c>
      <c r="CC164" s="90">
        <f>IF($CB164="","",IF($CB164&gt;=99,"",'設定'!$C$6+$CB164))</f>
        <v/>
      </c>
      <c r="CD164">
        <f>IF(OR($C164="",$M164=""),"",AVERAGE($V164:$AI164))</f>
        <v/>
      </c>
      <c r="CE164">
        <f>IF($C164="","",IFERROR(IF(MATCH(IF(ISNUMBER($P164),$P164,'設定'!$C$6+N('設定'!$C$7)),$V$3:$AI$3,0)=1,MAX(0,N($L164)),INDEX($AJ164:$AW164,MATCH(IF(ISNUMBER($P164),$P164,'設定'!$C$6+N('設定'!$C$7)),$V$3:$AI$3,0)-1)),""))</f>
        <v/>
      </c>
      <c r="CF164">
        <f>IF(OR($C164="",$O164="",$CE164=""),"",IF($O164-$CE164&lt;=0,0,ROUNDUP(($O164-$CE164)/$G164,0)))</f>
        <v/>
      </c>
      <c r="CG164">
        <f>IF(OR($C164="",$CF164="",NOT(ISNUMBER($Q164))),0,MAX(0,$Q164-$CF164))</f>
        <v/>
      </c>
      <c r="CH164">
        <f>IF(OR($C164="",$O164="",$U164=0),0,IFERROR(ROUNDUP(MAX(0,IF(MATCH($S164,$V$3:$AI$3,0)=1,MAX(0,N($L164)),INDEX($AX164:$BK164,MATCH($S164,$V$3:$AI$3,0)-1))+$U164-$O164)/$G164,0),0))</f>
        <v/>
      </c>
      <c r="CI164">
        <f>IF($C164="","",IF(AND($P164="",$Q164=""),"",IF($P164="","⚠ 入庫日を ▼ から選んでください",IF(NOT(ISNUMBER($P164)),"⚠ 入庫日は ▼ から選んでください",IF($P164&lt;N('設定'!$C$6),"⚠ 入庫日が過去です（もう在庫に入っています）→ 消してください",IF($P164&gt;N('設定'!$C$6)+13,"⚠ 入庫日が14日より先です",IF(N($Q164)&lt;=0,"⚠ 入庫数を入れてください",IF($CG164&gt;0,"⚠ 目安より "&amp;$CG164&amp;" 多い（定数を超える）→ 減らす",""))))))))</f>
        <v/>
      </c>
      <c r="CJ164">
        <f>IF($C164="","",IF(AND($S164="",$T164=""),"",IF($S164="","⚠ 2便目：入庫日を ▼ から選んでください",IF(NOT(ISNUMBER($S164)),"⚠ 2便目：入庫日は ▼ から選んでください",IF($S164&lt;N('設定'!$C$6),"⚠ 2便目：入庫日が過去です（もう在庫に入っています）→ 消してください",IF($S164&gt;N('設定'!$C$6)+13,"⚠ 2便目：入庫日が14日より先です",IF(N($T164)&lt;=0,"⚠ 2便目：入庫数を入れてください",IF($CH164&gt;0,"⚠ 2便目：定数を "&amp;$CH164&amp;" ケース超える → 減らす",""))))))))</f>
        <v/>
      </c>
      <c r="CK164">
        <f>IF(AND($CI164="",N($Q164)&gt;0,ISNUMBER($P164)),1,0)</f>
        <v/>
      </c>
      <c r="CL164">
        <f>IF(AND($CJ164="",N($T164)&gt;0,ISNUMBER($S164)),1,0)</f>
        <v/>
      </c>
      <c r="CM164">
        <f>IF(OR($CK164=1,$CL164=1),1,0)</f>
        <v/>
      </c>
      <c r="CN164">
        <f>IF($C164="",0,($CK164*$R164+$CL164*$U164)*N($H164))</f>
        <v/>
      </c>
      <c r="CO164">
        <f>IF($C164="","",IF($CC164="","入庫後は 14日以上もつ",IF($CC164-N('設定'!$C$7)&lt;='設定'!$C$6,"入庫後も "&amp;TEXT($CC164,"m/d")&amp;"("&amp;CHOOSE(WEEKDAY($CC164),"日","月","火","水","木","金","土")&amp;")"&amp;" に切れる　もう1便を至急発注","入庫後も "&amp;TEXT($CC164,"m/d")&amp;"("&amp;CHOOSE(WEEKDAY($CC164),"日","月","火","水","木","金","土")&amp;")"&amp;" に切れる　"&amp;TEXT($CC164-N('設定'!$C$7),"m/d")&amp;"("&amp;CHOOSE(WEEKDAY($CC164-N('設定'!$C$7)),"日","月","火","水","木","金","土")&amp;")"&amp;" までに次を発注")))</f>
        <v/>
      </c>
      <c r="CP164">
        <f>IF($C164="","",IF('設定'!$C$6="","？ ①在庫を貼る に今日のCSVが貼られていない",IF($CS164=1,"－ 今日のCSVに無い（終売？）",IF($L164&lt;0,"● 在庫がマイナス　数えて「数えた在庫」に入れる",IF($L164=0,"● 在庫なし　至急発注",IF($M164="","？ 減り数が未設定（商品マスタ）",IF($B$3=0,"？ 動員が未入力（動員を入れる）",IF($CA164="","○ 14日以上もつ",IF($BZ164&lt;N('設定'!$C$7),"● "&amp;TEXT($CA164,"m/d")&amp;"("&amp;CHOOSE(WEEKDAY($CA164),"日","月","火","水","木","金","土")&amp;")"&amp;" に切れる　至急発注",IF($BZ164=N('設定'!$C$7),"● "&amp;TEXT($CA164,"m/d")&amp;"("&amp;CHOOSE(WEEKDAY($CA164),"日","月","火","水","木","金","土")&amp;")"&amp;" に切れる　今日発注","△ "&amp;TEXT($CA164,"m/d")&amp;"("&amp;CHOOSE(WEEKDAY($CA164),"日","月","火","水","木","金","土")&amp;")"&amp;" に切れる　"&amp;TEXT($CA164-N('設定'!$C$7),"m/d")&amp;"("&amp;CHOOSE(WEEKDAY($CA164-N('設定'!$C$7)),"日","月","火","水","木","金","土")&amp;")"&amp;" までに発注"))))))))))</f>
        <v/>
      </c>
      <c r="CQ164">
        <f>IF($C164="","",IF(AND($P164="",$Q164="",$S164="",$T164=""),"",IF(AND($P164="",$Q164=""),"⚠ 先に1便目（左の入庫日・入庫数）に入れてください",IF($CI164&lt;&gt;"",$CI164,IF($CJ164&lt;&gt;"",$CJ164,IF($M164="","？ 減り数が未設定（発注書には載ります）",IF($B$3=0,"？ 動員が未入力（発注書には載ります）",IF(AND($CA164&lt;&gt;"",$P164&gt;$CA164),IF($P164&gt;'設定'!$C$6+N('設定'!$C$7),"● "&amp;TEXT($P164,"m/d")&amp;"("&amp;CHOOSE(WEEKDAY($P164),"日","月","火","水","木","金","土")&amp;")"&amp;" の入庫では間に合わない（"&amp;TEXT($CA164,"m/d")&amp;"("&amp;CHOOSE(WEEKDAY($CA164),"日","月","火","水","木","金","土")&amp;")"&amp;" に切れる）　入庫日を早める","△ 欠品 "&amp;TEXT($CA164,"m/d")&amp;"("&amp;CHOOSE(WEEKDAY($CA164),"日","月","火","水","木","金","土")&amp;")"&amp;"〜"&amp;TEXT($P164-1,"m/d")&amp;"("&amp;CHOOSE(WEEKDAY($P164-1),"日","月","火","水","木","金","土")&amp;")"&amp;"　"&amp;$CO164),IF($CC164="","○ "&amp;TEXT($P164,"m/d")&amp;"("&amp;CHOOSE(WEEKDAY($P164),"日","月","火","水","木","金","土")&amp;")"&amp;" 入庫で 14日以上もつ",IF($CC164-N('設定'!$C$7)&lt;='設定'!$C$6,"● 入庫しても "&amp;TEXT($CC164,"m/d")&amp;"("&amp;CHOOSE(WEEKDAY($CC164),"日","月","火","水","木","金","土")&amp;")"&amp;" に切れる　もう1便を至急発注（2便目に入れる）","△ 入庫しても "&amp;TEXT($CC164,"m/d")&amp;"("&amp;CHOOSE(WEEKDAY($CC164),"日","月","火","水","木","金","土")&amp;")"&amp;" に切れる　"&amp;TEXT($CC164-N('設定'!$C$7),"m/d")&amp;"("&amp;CHOOSE(WEEKDAY($CC164-N('設定'!$C$7)),"日","月","火","水","木","金","土")&amp;")"&amp;" までに次を発注（2便目に入れる）"))))))))))</f>
        <v/>
      </c>
      <c r="CR164">
        <f>IF($C164="","",IF($G164&gt;1,"ｹｰｽ("&amp;$G164&amp;"入)","個"))</f>
        <v/>
      </c>
      <c r="CS164">
        <f>IF($C164="",0,IF(COUNTIFS('①在庫を貼る'!$V$6:$V$10005,'設定'!$C$4,'①在庫を貼る'!$W$6:$W$10005,$C164)=0,1,0))</f>
        <v/>
      </c>
      <c r="CT164">
        <f>IF(AND($CK164=1,OR('③発注書'!$C$4="すべて",'③発注書'!$C$4="",$F164='③発注書'!$C$4)),N($CT163)+1,N($CT163))</f>
        <v/>
      </c>
      <c r="CU164">
        <f>IF(AND($CL164=1,OR('③発注書'!$C$4="すべて",'③発注書'!$C$4="",$F164='③発注書'!$C$4)),N($CU163)+1,N($CU163))</f>
        <v/>
      </c>
      <c r="CV164">
        <f>IF($C164="",0,IF(COUNTIFS('①在庫を貼る'!$V$6:$V$10005,'設定'!$C$4,'①在庫を貼る'!$W$6:$W$10005,$C164)&gt;0,1,0))</f>
        <v/>
      </c>
      <c r="CW164">
        <f>IF($C164="",0,IF(COUNTIFS('月1回_1ヶ月前の在庫'!$V$6:$V$10005,'設定'!$C$4,'月1回_1ヶ月前の在庫'!$W$6:$W$10005,$C164)&gt;0,1,0))</f>
        <v/>
      </c>
      <c r="CX164">
        <f>IF($C164="",0,IF(COUNTIFS('月1回_2ヶ月前の在庫'!$V$6:$V$10005,'設定'!$C$4,'月1回_2ヶ月前の在庫'!$W$6:$W$10005,$C164)&gt;0,1,0))</f>
        <v/>
      </c>
      <c r="CY164">
        <f>IF(OR($C164="",'設定'!$C$12=""),"",IF('設定'!$C$13="",IF(AND($CV164=1,$CW164=0),"新商品（今月から）",IF(AND($CV164=0,$CW164=1),"終売（今月から）","")),IF(AND($CV164=1,$CW164=0,$CX164=0),"新商品（今月から）",IF(AND($CV164=1,$CW164=1,$CX164=0),"新商品（先月から）",IF(AND($CV164=0,$CW164=1,$CX164=1),"終売（今月から）",IF(AND($CV164=0,$CW164=0,$CX164=1),"終売（先月から）",IF(AND($CV164=1,$CW164=0,$CX164=1),"復活（先月は無し）","")))))))</f>
        <v/>
      </c>
    </row>
    <row r="165">
      <c r="B165">
        <f>IF(160&lt;='設定'!$C$11,160,"")</f>
        <v/>
      </c>
      <c r="C165">
        <f>IF($B165="","",IF($B165&lt;='設定'!$C$20,INDEX('商品マスタ'!$B$6:$B$1005,MATCH($B165,'商品マスタ'!$M$6:$M$1005,0)),IF($B165&lt;='設定'!$C$20+'設定'!$C$17,INDEX('①在庫を貼る'!$W$6:$W$10005,MATCH($B165-'設定'!$C$20,'①在庫を貼る'!$U$6:$U$10005,0)),IF($B165&lt;='設定'!$C$20+'設定'!$C$17+'設定'!$C$18,INDEX('月1回_1ヶ月前の在庫'!$W$6:$W$10005,MATCH($B165-'設定'!$C$20-'設定'!$C$17,'月1回_1ヶ月前の在庫'!$U$6:$U$10005,0)),INDEX('月1回_2ヶ月前の在庫'!$W$6:$W$10005,MATCH($B165-'設定'!$C$20-'設定'!$C$17-'設定'!$C$18,'月1回_2ヶ月前の在庫'!$U$6:$U$10005,0))))))</f>
        <v/>
      </c>
      <c r="D165">
        <f>IF($C165="","",IFERROR(IF(INDEX('商品マスタ'!$C$6:$C$1005,MATCH($C165,'商品マスタ'!$B$6:$B$1005,0))="",IFERROR(INDEX('①在庫を貼る'!$J$6:$J$10005,MATCH($C165,'①在庫を貼る'!$W$6:$W$10005,0)),IFERROR(INDEX('月1回_1ヶ月前の在庫'!$J$6:$J$10005,MATCH($C165,'月1回_1ヶ月前の在庫'!$W$6:$W$10005,0)),IFERROR(INDEX('月1回_2ヶ月前の在庫'!$J$6:$J$10005,MATCH($C165,'月1回_2ヶ月前の在庫'!$W$6:$W$10005,0)),""))),INDEX('商品マスタ'!$C$6:$C$1005,MATCH($C165,'商品マスタ'!$B$6:$B$1005,0))),IFERROR(INDEX('①在庫を貼る'!$J$6:$J$10005,MATCH($C165,'①在庫を貼る'!$W$6:$W$10005,0)),IFERROR(INDEX('月1回_1ヶ月前の在庫'!$J$6:$J$10005,MATCH($C165,'月1回_1ヶ月前の在庫'!$W$6:$W$10005,0)),IFERROR(INDEX('月1回_2ヶ月前の在庫'!$J$6:$J$10005,MATCH($C165,'月1回_2ヶ月前の在庫'!$W$6:$W$10005,0)),"")))))</f>
        <v/>
      </c>
      <c r="E165">
        <f>IF($C165="","",IFERROR(IF(INDEX('商品マスタ'!$D$6:$D$1005,MATCH($C165,'商品マスタ'!$B$6:$B$1005,0))="",IFERROR(INDEX('①在庫を貼る'!$H$6:$H$10005,MATCH($C165,'①在庫を貼る'!$W$6:$W$10005,0)),IFERROR(INDEX('月1回_1ヶ月前の在庫'!$H$6:$H$10005,MATCH($C165,'月1回_1ヶ月前の在庫'!$W$6:$W$10005,0)),IFERROR(INDEX('月1回_2ヶ月前の在庫'!$H$6:$H$10005,MATCH($C165,'月1回_2ヶ月前の在庫'!$W$6:$W$10005,0)),""))),INDEX('商品マスタ'!$D$6:$D$1005,MATCH($C165,'商品マスタ'!$B$6:$B$1005,0))),IFERROR(INDEX('①在庫を貼る'!$H$6:$H$10005,MATCH($C165,'①在庫を貼る'!$W$6:$W$10005,0)),IFERROR(INDEX('月1回_1ヶ月前の在庫'!$H$6:$H$10005,MATCH($C165,'月1回_1ヶ月前の在庫'!$W$6:$W$10005,0)),IFERROR(INDEX('月1回_2ヶ月前の在庫'!$H$6:$H$10005,MATCH($C165,'月1回_2ヶ月前の在庫'!$W$6:$W$10005,0)),"")))))</f>
        <v/>
      </c>
      <c r="F165">
        <f>IF($C165="","",IFERROR(IF(INDEX('商品マスタ'!$E$6:$E$1005,MATCH($C165,'商品マスタ'!$B$6:$B$1005,0))="",IFERROR(INDEX('①在庫を貼る'!$E$6:$E$10005,MATCH($C165,'①在庫を貼る'!$W$6:$W$10005,0)),IFERROR(INDEX('月1回_1ヶ月前の在庫'!$E$6:$E$10005,MATCH($C165,'月1回_1ヶ月前の在庫'!$W$6:$W$10005,0)),IFERROR(INDEX('月1回_2ヶ月前の在庫'!$E$6:$E$10005,MATCH($C165,'月1回_2ヶ月前の在庫'!$W$6:$W$10005,0)),""))),INDEX('商品マスタ'!$E$6:$E$1005,MATCH($C165,'商品マスタ'!$B$6:$B$1005,0))),IFERROR(INDEX('①在庫を貼る'!$E$6:$E$10005,MATCH($C165,'①在庫を貼る'!$W$6:$W$10005,0)),IFERROR(INDEX('月1回_1ヶ月前の在庫'!$E$6:$E$10005,MATCH($C165,'月1回_1ヶ月前の在庫'!$W$6:$W$10005,0)),IFERROR(INDEX('月1回_2ヶ月前の在庫'!$E$6:$E$10005,MATCH($C165,'月1回_2ヶ月前の在庫'!$W$6:$W$10005,0)),"")))))</f>
        <v/>
      </c>
      <c r="G165">
        <f>IF($C165="","",MAX(1,N(IFERROR(IF(INDEX('商品マスタ'!$F$6:$F$1005,MATCH($C165,'商品マスタ'!$B$6:$B$1005,0))="",IF(COUNTIFS('①在庫を貼る'!$V$6:$V$10005,'設定'!$C$4,'①在庫を貼る'!$W$6:$W$10005,$C165)&gt;0,SUMIFS('①在庫を貼る'!$K$6:$K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K$6:$K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K$6:$K$10005,'月1回_2ヶ月前の在庫'!$V$6:$V$10005,'設定'!$C$4,'月1回_2ヶ月前の在庫'!$W$6:$W$10005,$C165)/COUNTIFS('月1回_2ヶ月前の在庫'!$V$6:$V$10005,'設定'!$C$4,'月1回_2ヶ月前の在庫'!$W$6:$W$10005,$C165),0))),INDEX('商品マスタ'!$F$6:$F$1005,MATCH($C165,'商品マスタ'!$B$6:$B$1005,0))),IF(COUNTIFS('①在庫を貼る'!$V$6:$V$10005,'設定'!$C$4,'①在庫を貼る'!$W$6:$W$10005,$C165)&gt;0,SUMIFS('①在庫を貼る'!$K$6:$K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K$6:$K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K$6:$K$10005,'月1回_2ヶ月前の在庫'!$V$6:$V$10005,'設定'!$C$4,'月1回_2ヶ月前の在庫'!$W$6:$W$10005,$C165)/COUNTIFS('月1回_2ヶ月前の在庫'!$V$6:$V$10005,'設定'!$C$4,'月1回_2ヶ月前の在庫'!$W$6:$W$10005,$C165),0)))))))</f>
        <v/>
      </c>
      <c r="H165">
        <f>IF($C165="","",N(IFERROR(IF(INDEX('商品マスタ'!$G$6:$G$1005,MATCH($C165,'商品マスタ'!$B$6:$B$1005,0))="",IF(COUNTIFS('①在庫を貼る'!$V$6:$V$10005,'設定'!$C$4,'①在庫を貼る'!$W$6:$W$10005,$C165)&gt;0,SUMIFS('①在庫を貼る'!$Q$6:$Q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Q$6:$Q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Q$6:$Q$10005,'月1回_2ヶ月前の在庫'!$V$6:$V$10005,'設定'!$C$4,'月1回_2ヶ月前の在庫'!$W$6:$W$10005,$C165)/COUNTIFS('月1回_2ヶ月前の在庫'!$V$6:$V$10005,'設定'!$C$4,'月1回_2ヶ月前の在庫'!$W$6:$W$10005,$C165),0))),INDEX('商品マスタ'!$G$6:$G$1005,MATCH($C165,'商品マスタ'!$B$6:$B$1005,0))),IF(COUNTIFS('①在庫を貼る'!$V$6:$V$10005,'設定'!$C$4,'①在庫を貼る'!$W$6:$W$10005,$C165)&gt;0,SUMIFS('①在庫を貼る'!$Q$6:$Q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Q$6:$Q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Q$6:$Q$10005,'月1回_2ヶ月前の在庫'!$V$6:$V$10005,'設定'!$C$4,'月1回_2ヶ月前の在庫'!$W$6:$W$10005,$C165)/COUNTIFS('月1回_2ヶ月前の在庫'!$V$6:$V$10005,'設定'!$C$4,'月1回_2ヶ月前の在庫'!$W$6:$W$10005,$C165),0))))))</f>
        <v/>
      </c>
      <c r="I165">
        <f>IF($C165="","",IF(COUNTIFS('①在庫を貼る'!$V$6:$V$10005,'設定'!$C$4,'①在庫を貼る'!$W$6:$W$10005,$C165)=0,"",SUMIFS('①在庫を貼る'!$N$6:$N$10005,'①在庫を貼る'!$V$6:$V$10005,'設定'!$C$4,'①在庫を貼る'!$W$6:$W$10005,$C165)))</f>
        <v/>
      </c>
      <c r="J165">
        <f>IF($C165="","",IF('②発注する'!$AD169="","",'②発注する'!$AD169))</f>
        <v/>
      </c>
      <c r="K165" s="90">
        <f>IF($C165="","",IF('②発注する'!$AE169="","",'②発注する'!$AE169))</f>
        <v/>
      </c>
      <c r="L165">
        <f>IF($C165="","",IF(AND(ISNUMBER($J165),ISNUMBER($K165),$K165&gt;='設定'!$C$6),$J165,N($I165)))</f>
        <v/>
      </c>
      <c r="M165">
        <f>IF($C165="","",IFERROR(IF(N(INDEX('商品マスタ'!$J$6:$J$1005,MATCH($C165,'商品マスタ'!$B$6:$B$1005,0)))&gt;0,INDEX('商品マスタ'!$J$6:$J$1005,MATCH($C165,'商品マスタ'!$B$6:$B$1005,0)),""),""))</f>
        <v/>
      </c>
      <c r="N165">
        <f>IF($C165="","",IFERROR(IF(N(INDEX('商品マスタ'!$H$6:$H$1005,MATCH($C165,'商品マスタ'!$B$6:$B$1005,0)))&gt;0,INDEX('商品マスタ'!$H$6:$H$1005,MATCH($C165,'商品マスタ'!$B$6:$B$1005,0)),""),""))</f>
        <v/>
      </c>
      <c r="O165">
        <f>IF($C165="","",IF($N165&lt;&gt;"",$N165*$G165,IF(N(IF(COUNTIFS('①在庫を貼る'!$V$6:$V$10005,'設定'!$C$4,'①在庫を貼る'!$W$6:$W$10005,$C165)&gt;0,SUMIFS('①在庫を貼る'!$O$6:$O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O$6:$O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O$6:$O$10005,'月1回_2ヶ月前の在庫'!$V$6:$V$10005,'設定'!$C$4,'月1回_2ヶ月前の在庫'!$W$6:$W$10005,$C165)/COUNTIFS('月1回_2ヶ月前の在庫'!$V$6:$V$10005,'設定'!$C$4,'月1回_2ヶ月前の在庫'!$W$6:$W$10005,$C165),0))))&gt;0,N(IF(COUNTIFS('①在庫を貼る'!$V$6:$V$10005,'設定'!$C$4,'①在庫を貼る'!$W$6:$W$10005,$C165)&gt;0,SUMIFS('①在庫を貼る'!$O$6:$O$10005,'①在庫を貼る'!$V$6:$V$10005,'設定'!$C$4,'①在庫を貼る'!$W$6:$W$10005,$C165)/COUNTIFS('①在庫を貼る'!$V$6:$V$10005,'設定'!$C$4,'①在庫を貼る'!$W$6:$W$10005,$C165),IF(COUNTIFS('月1回_1ヶ月前の在庫'!$V$6:$V$10005,'設定'!$C$4,'月1回_1ヶ月前の在庫'!$W$6:$W$10005,$C165)&gt;0,SUMIFS('月1回_1ヶ月前の在庫'!$O$6:$O$10005,'月1回_1ヶ月前の在庫'!$V$6:$V$10005,'設定'!$C$4,'月1回_1ヶ月前の在庫'!$W$6:$W$10005,$C165)/COUNTIFS('月1回_1ヶ月前の在庫'!$V$6:$V$10005,'設定'!$C$4,'月1回_1ヶ月前の在庫'!$W$6:$W$10005,$C165),IF(COUNTIFS('月1回_2ヶ月前の在庫'!$V$6:$V$10005,'設定'!$C$4,'月1回_2ヶ月前の在庫'!$W$6:$W$10005,$C165)&gt;0,SUMIFS('月1回_2ヶ月前の在庫'!$O$6:$O$10005,'月1回_2ヶ月前の在庫'!$V$6:$V$10005,'設定'!$C$4,'月1回_2ヶ月前の在庫'!$W$6:$W$10005,$C165)/COUNTIFS('月1回_2ヶ月前の在庫'!$V$6:$V$10005,'設定'!$C$4,'月1回_2ヶ月前の在庫'!$W$6:$W$10005,$C165),0)))),"")))</f>
        <v/>
      </c>
      <c r="P165" s="90">
        <f>IF($C165="","",IF('②発注する'!$I169="","",'②発注する'!$I169))</f>
        <v/>
      </c>
      <c r="Q165">
        <f>IF($C165="","",IF('②発注する'!$J169="","",'②発注する'!$J169))</f>
        <v/>
      </c>
      <c r="R165">
        <f>IF($C165="",0,IF(AND(ISNUMBER($P165),ISNUMBER($Q165)),MAX(0,$Q165)*$G165,0))</f>
        <v/>
      </c>
      <c r="S165" s="90">
        <f>IF($C165="","",IF('②発注する'!$M169="","",'②発注する'!$M169))</f>
        <v/>
      </c>
      <c r="T165">
        <f>IF($C165="","",IF('②発注する'!$N169="","",'②発注する'!$N169))</f>
        <v/>
      </c>
      <c r="U165">
        <f>IF($C165="",0,IF(AND(ISNUMBER($S165),ISNUMBER($T165)),MAX(0,$T165)*$G165,0))</f>
        <v/>
      </c>
      <c r="V165">
        <f>IF($C165="",0,IF($M165="",0,MAX(0,$M165)*MAX(0,V$4)/100))</f>
        <v/>
      </c>
      <c r="W165">
        <f>IF($C165="",0,IF($M165="",0,MAX(0,$M165)*MAX(0,W$4)/100))</f>
        <v/>
      </c>
      <c r="X165">
        <f>IF($C165="",0,IF($M165="",0,MAX(0,$M165)*MAX(0,X$4)/100))</f>
        <v/>
      </c>
      <c r="Y165">
        <f>IF($C165="",0,IF($M165="",0,MAX(0,$M165)*MAX(0,Y$4)/100))</f>
        <v/>
      </c>
      <c r="Z165">
        <f>IF($C165="",0,IF($M165="",0,MAX(0,$M165)*MAX(0,Z$4)/100))</f>
        <v/>
      </c>
      <c r="AA165">
        <f>IF($C165="",0,IF($M165="",0,MAX(0,$M165)*MAX(0,AA$4)/100))</f>
        <v/>
      </c>
      <c r="AB165">
        <f>IF($C165="",0,IF($M165="",0,MAX(0,$M165)*MAX(0,AB$4)/100))</f>
        <v/>
      </c>
      <c r="AC165">
        <f>IF($C165="",0,IF($M165="",0,MAX(0,$M165)*MAX(0,AC$4)/100))</f>
        <v/>
      </c>
      <c r="AD165">
        <f>IF($C165="",0,IF($M165="",0,MAX(0,$M165)*MAX(0,AD$4)/100))</f>
        <v/>
      </c>
      <c r="AE165">
        <f>IF($C165="",0,IF($M165="",0,MAX(0,$M165)*MAX(0,AE$4)/100))</f>
        <v/>
      </c>
      <c r="AF165">
        <f>IF($C165="",0,IF($M165="",0,MAX(0,$M165)*MAX(0,AF$4)/100))</f>
        <v/>
      </c>
      <c r="AG165">
        <f>IF($C165="",0,IF($M165="",0,MAX(0,$M165)*MAX(0,AG$4)/100))</f>
        <v/>
      </c>
      <c r="AH165">
        <f>IF($C165="",0,IF($M165="",0,MAX(0,$M165)*MAX(0,AH$4)/100))</f>
        <v/>
      </c>
      <c r="AI165">
        <f>IF($C165="",0,IF($M165="",0,MAX(0,$M165)*MAX(0,AI$4)/100))</f>
        <v/>
      </c>
      <c r="AJ165">
        <f>IF($C165="",0,MAX(0,MAX(0,N($L165))-$V165))</f>
        <v/>
      </c>
      <c r="AK165">
        <f>IF($C165="",0,MAX(0,$AJ165-$W165))</f>
        <v/>
      </c>
      <c r="AL165">
        <f>IF($C165="",0,MAX(0,$AK165-$X165))</f>
        <v/>
      </c>
      <c r="AM165">
        <f>IF($C165="",0,MAX(0,$AL165-$Y165))</f>
        <v/>
      </c>
      <c r="AN165">
        <f>IF($C165="",0,MAX(0,$AM165-$Z165))</f>
        <v/>
      </c>
      <c r="AO165">
        <f>IF($C165="",0,MAX(0,$AN165-$AA165))</f>
        <v/>
      </c>
      <c r="AP165">
        <f>IF($C165="",0,MAX(0,$AO165-$AB165))</f>
        <v/>
      </c>
      <c r="AQ165">
        <f>IF($C165="",0,MAX(0,$AP165-$AC165))</f>
        <v/>
      </c>
      <c r="AR165">
        <f>IF($C165="",0,MAX(0,$AQ165-$AD165))</f>
        <v/>
      </c>
      <c r="AS165">
        <f>IF($C165="",0,MAX(0,$AR165-$AE165))</f>
        <v/>
      </c>
      <c r="AT165">
        <f>IF($C165="",0,MAX(0,$AS165-$AF165))</f>
        <v/>
      </c>
      <c r="AU165">
        <f>IF($C165="",0,MAX(0,$AT165-$AG165))</f>
        <v/>
      </c>
      <c r="AV165">
        <f>IF($C165="",0,MAX(0,$AU165-$AH165))</f>
        <v/>
      </c>
      <c r="AW165">
        <f>IF($C165="",0,MAX(0,$AV165-$AI165))</f>
        <v/>
      </c>
      <c r="AX165">
        <f>IF($C165="",0,MAX(0,MAX(0,N($L165))+IF($P165=V$3,$R165,0)+IF($S165=V$3,$U165,0)-$V165))</f>
        <v/>
      </c>
      <c r="AY165">
        <f>IF($C165="",0,MAX(0,$AX165+IF($P165=W$3,$R165,0)+IF($S165=W$3,$U165,0)-$W165))</f>
        <v/>
      </c>
      <c r="AZ165">
        <f>IF($C165="",0,MAX(0,$AY165+IF($P165=X$3,$R165,0)+IF($S165=X$3,$U165,0)-$X165))</f>
        <v/>
      </c>
      <c r="BA165">
        <f>IF($C165="",0,MAX(0,$AZ165+IF($P165=Y$3,$R165,0)+IF($S165=Y$3,$U165,0)-$Y165))</f>
        <v/>
      </c>
      <c r="BB165">
        <f>IF($C165="",0,MAX(0,$BA165+IF($P165=Z$3,$R165,0)+IF($S165=Z$3,$U165,0)-$Z165))</f>
        <v/>
      </c>
      <c r="BC165">
        <f>IF($C165="",0,MAX(0,$BB165+IF($P165=AA$3,$R165,0)+IF($S165=AA$3,$U165,0)-$AA165))</f>
        <v/>
      </c>
      <c r="BD165">
        <f>IF($C165="",0,MAX(0,$BC165+IF($P165=AB$3,$R165,0)+IF($S165=AB$3,$U165,0)-$AB165))</f>
        <v/>
      </c>
      <c r="BE165">
        <f>IF($C165="",0,MAX(0,$BD165+IF($P165=AC$3,$R165,0)+IF($S165=AC$3,$U165,0)-$AC165))</f>
        <v/>
      </c>
      <c r="BF165">
        <f>IF($C165="",0,MAX(0,$BE165+IF($P165=AD$3,$R165,0)+IF($S165=AD$3,$U165,0)-$AD165))</f>
        <v/>
      </c>
      <c r="BG165">
        <f>IF($C165="",0,MAX(0,$BF165+IF($P165=AE$3,$R165,0)+IF($S165=AE$3,$U165,0)-$AE165))</f>
        <v/>
      </c>
      <c r="BH165">
        <f>IF($C165="",0,MAX(0,$BG165+IF($P165=AF$3,$R165,0)+IF($S165=AF$3,$U165,0)-$AF165))</f>
        <v/>
      </c>
      <c r="BI165">
        <f>IF($C165="",0,MAX(0,$BH165+IF($P165=AG$3,$R165,0)+IF($S165=AG$3,$U165,0)-$AG165))</f>
        <v/>
      </c>
      <c r="BJ165">
        <f>IF($C165="",0,MAX(0,$BI165+IF($P165=AH$3,$R165,0)+IF($S165=AH$3,$U165,0)-$AH165))</f>
        <v/>
      </c>
      <c r="BK165">
        <f>IF($C165="",0,MAX(0,$BJ165+IF($P165=AI$3,$R165,0)+IF($S165=AI$3,$U165,0)-$AI165))</f>
        <v/>
      </c>
      <c r="BL165">
        <f>IF($C165="",99,IF(AND($AX165&lt;1,V$3&gt;=MAX(N($P165),N($S165))),0,99))</f>
        <v/>
      </c>
      <c r="BM165">
        <f>IF($C165="",99,IF(AND($AY165&lt;1,W$3&gt;=MAX(N($P165),N($S165))),1,99))</f>
        <v/>
      </c>
      <c r="BN165">
        <f>IF($C165="",99,IF(AND($AZ165&lt;1,X$3&gt;=MAX(N($P165),N($S165))),2,99))</f>
        <v/>
      </c>
      <c r="BO165">
        <f>IF($C165="",99,IF(AND($BA165&lt;1,Y$3&gt;=MAX(N($P165),N($S165))),3,99))</f>
        <v/>
      </c>
      <c r="BP165">
        <f>IF($C165="",99,IF(AND($BB165&lt;1,Z$3&gt;=MAX(N($P165),N($S165))),4,99))</f>
        <v/>
      </c>
      <c r="BQ165">
        <f>IF($C165="",99,IF(AND($BC165&lt;1,AA$3&gt;=MAX(N($P165),N($S165))),5,99))</f>
        <v/>
      </c>
      <c r="BR165">
        <f>IF($C165="",99,IF(AND($BD165&lt;1,AB$3&gt;=MAX(N($P165),N($S165))),6,99))</f>
        <v/>
      </c>
      <c r="BS165">
        <f>IF($C165="",99,IF(AND($BE165&lt;1,AC$3&gt;=MAX(N($P165),N($S165))),7,99))</f>
        <v/>
      </c>
      <c r="BT165">
        <f>IF($C165="",99,IF(AND($BF165&lt;1,AD$3&gt;=MAX(N($P165),N($S165))),8,99))</f>
        <v/>
      </c>
      <c r="BU165">
        <f>IF($C165="",99,IF(AND($BG165&lt;1,AE$3&gt;=MAX(N($P165),N($S165))),9,99))</f>
        <v/>
      </c>
      <c r="BV165">
        <f>IF($C165="",99,IF(AND($BH165&lt;1,AF$3&gt;=MAX(N($P165),N($S165))),10,99))</f>
        <v/>
      </c>
      <c r="BW165">
        <f>IF($C165="",99,IF(AND($BI165&lt;1,AG$3&gt;=MAX(N($P165),N($S165))),11,99))</f>
        <v/>
      </c>
      <c r="BX165">
        <f>IF($C165="",99,IF(AND($BJ165&lt;1,AH$3&gt;=MAX(N($P165),N($S165))),12,99))</f>
        <v/>
      </c>
      <c r="BY165">
        <f>IF($C165="",99,IF(AND($BK165&lt;1,AI$3&gt;=MAX(N($P165),N($S165))),13,99))</f>
        <v/>
      </c>
      <c r="BZ165">
        <f>IF(OR($C165="",$M165=""),"",COUNTIF($AJ165:$AW165,"&gt;=1"))</f>
        <v/>
      </c>
      <c r="CA165" s="90">
        <f>IF($BZ165="","",IF($BZ165&gt;=14,"",'設定'!$C$6+$BZ165))</f>
        <v/>
      </c>
      <c r="CB165">
        <f>IF(OR($C165="",$M165=""),"",MIN($BL165:$BY165))</f>
        <v/>
      </c>
      <c r="CC165" s="90">
        <f>IF($CB165="","",IF($CB165&gt;=99,"",'設定'!$C$6+$CB165))</f>
        <v/>
      </c>
      <c r="CD165">
        <f>IF(OR($C165="",$M165=""),"",AVERAGE($V165:$AI165))</f>
        <v/>
      </c>
      <c r="CE165">
        <f>IF($C165="","",IFERROR(IF(MATCH(IF(ISNUMBER($P165),$P165,'設定'!$C$6+N('設定'!$C$7)),$V$3:$AI$3,0)=1,MAX(0,N($L165)),INDEX($AJ165:$AW165,MATCH(IF(ISNUMBER($P165),$P165,'設定'!$C$6+N('設定'!$C$7)),$V$3:$AI$3,0)-1)),""))</f>
        <v/>
      </c>
      <c r="CF165">
        <f>IF(OR($C165="",$O165="",$CE165=""),"",IF($O165-$CE165&lt;=0,0,ROUNDUP(($O165-$CE165)/$G165,0)))</f>
        <v/>
      </c>
      <c r="CG165">
        <f>IF(OR($C165="",$CF165="",NOT(ISNUMBER($Q165))),0,MAX(0,$Q165-$CF165))</f>
        <v/>
      </c>
      <c r="CH165">
        <f>IF(OR($C165="",$O165="",$U165=0),0,IFERROR(ROUNDUP(MAX(0,IF(MATCH($S165,$V$3:$AI$3,0)=1,MAX(0,N($L165)),INDEX($AX165:$BK165,MATCH($S165,$V$3:$AI$3,0)-1))+$U165-$O165)/$G165,0),0))</f>
        <v/>
      </c>
      <c r="CI165">
        <f>IF($C165="","",IF(AND($P165="",$Q165=""),"",IF($P165="","⚠ 入庫日を ▼ から選んでください",IF(NOT(ISNUMBER($P165)),"⚠ 入庫日は ▼ から選んでください",IF($P165&lt;N('設定'!$C$6),"⚠ 入庫日が過去です（もう在庫に入っています）→ 消してください",IF($P165&gt;N('設定'!$C$6)+13,"⚠ 入庫日が14日より先です",IF(N($Q165)&lt;=0,"⚠ 入庫数を入れてください",IF($CG165&gt;0,"⚠ 目安より "&amp;$CG165&amp;" 多い（定数を超える）→ 減らす",""))))))))</f>
        <v/>
      </c>
      <c r="CJ165">
        <f>IF($C165="","",IF(AND($S165="",$T165=""),"",IF($S165="","⚠ 2便目：入庫日を ▼ から選んでください",IF(NOT(ISNUMBER($S165)),"⚠ 2便目：入庫日は ▼ から選んでください",IF($S165&lt;N('設定'!$C$6),"⚠ 2便目：入庫日が過去です（もう在庫に入っています）→ 消してください",IF($S165&gt;N('設定'!$C$6)+13,"⚠ 2便目：入庫日が14日より先です",IF(N($T165)&lt;=0,"⚠ 2便目：入庫数を入れてください",IF($CH165&gt;0,"⚠ 2便目：定数を "&amp;$CH165&amp;" ケース超える → 減らす",""))))))))</f>
        <v/>
      </c>
      <c r="CK165">
        <f>IF(AND($CI165="",N($Q165)&gt;0,ISNUMBER($P165)),1,0)</f>
        <v/>
      </c>
      <c r="CL165">
        <f>IF(AND($CJ165="",N($T165)&gt;0,ISNUMBER($S165)),1,0)</f>
        <v/>
      </c>
      <c r="CM165">
        <f>IF(OR($CK165=1,$CL165=1),1,0)</f>
        <v/>
      </c>
      <c r="CN165">
        <f>IF($C165="",0,($CK165*$R165+$CL165*$U165)*N($H165))</f>
        <v/>
      </c>
      <c r="CO165">
        <f>IF($C165="","",IF($CC165="","入庫後は 14日以上もつ",IF($CC165-N('設定'!$C$7)&lt;='設定'!$C$6,"入庫後も "&amp;TEXT($CC165,"m/d")&amp;"("&amp;CHOOSE(WEEKDAY($CC165),"日","月","火","水","木","金","土")&amp;")"&amp;" に切れる　もう1便を至急発注","入庫後も "&amp;TEXT($CC165,"m/d")&amp;"("&amp;CHOOSE(WEEKDAY($CC165),"日","月","火","水","木","金","土")&amp;")"&amp;" に切れる　"&amp;TEXT($CC165-N('設定'!$C$7),"m/d")&amp;"("&amp;CHOOSE(WEEKDAY($CC165-N('設定'!$C$7)),"日","月","火","水","木","金","土")&amp;")"&amp;" までに次を発注")))</f>
        <v/>
      </c>
      <c r="CP165">
        <f>IF($C165="","",IF('設定'!$C$6="","？ ①在庫を貼る に今日のCSVが貼られていない",IF($CS165=1,"－ 今日のCSVに無い（終売？）",IF($L165&lt;0,"● 在庫がマイナス　数えて「数えた在庫」に入れる",IF($L165=0,"● 在庫なし　至急発注",IF($M165="","？ 減り数が未設定（商品マスタ）",IF($B$3=0,"？ 動員が未入力（動員を入れる）",IF($CA165="","○ 14日以上もつ",IF($BZ165&lt;N('設定'!$C$7),"● "&amp;TEXT($CA165,"m/d")&amp;"("&amp;CHOOSE(WEEKDAY($CA165),"日","月","火","水","木","金","土")&amp;")"&amp;" に切れる　至急発注",IF($BZ165=N('設定'!$C$7),"● "&amp;TEXT($CA165,"m/d")&amp;"("&amp;CHOOSE(WEEKDAY($CA165),"日","月","火","水","木","金","土")&amp;")"&amp;" に切れる　今日発注","△ "&amp;TEXT($CA165,"m/d")&amp;"("&amp;CHOOSE(WEEKDAY($CA165),"日","月","火","水","木","金","土")&amp;")"&amp;" に切れる　"&amp;TEXT($CA165-N('設定'!$C$7),"m/d")&amp;"("&amp;CHOOSE(WEEKDAY($CA165-N('設定'!$C$7)),"日","月","火","水","木","金","土")&amp;")"&amp;" までに発注"))))))))))</f>
        <v/>
      </c>
      <c r="CQ165">
        <f>IF($C165="","",IF(AND($P165="",$Q165="",$S165="",$T165=""),"",IF(AND($P165="",$Q165=""),"⚠ 先に1便目（左の入庫日・入庫数）に入れてください",IF($CI165&lt;&gt;"",$CI165,IF($CJ165&lt;&gt;"",$CJ165,IF($M165="","？ 減り数が未設定（発注書には載ります）",IF($B$3=0,"？ 動員が未入力（発注書には載ります）",IF(AND($CA165&lt;&gt;"",$P165&gt;$CA165),IF($P165&gt;'設定'!$C$6+N('設定'!$C$7),"● "&amp;TEXT($P165,"m/d")&amp;"("&amp;CHOOSE(WEEKDAY($P165),"日","月","火","水","木","金","土")&amp;")"&amp;" の入庫では間に合わない（"&amp;TEXT($CA165,"m/d")&amp;"("&amp;CHOOSE(WEEKDAY($CA165),"日","月","火","水","木","金","土")&amp;")"&amp;" に切れる）　入庫日を早める","△ 欠品 "&amp;TEXT($CA165,"m/d")&amp;"("&amp;CHOOSE(WEEKDAY($CA165),"日","月","火","水","木","金","土")&amp;")"&amp;"〜"&amp;TEXT($P165-1,"m/d")&amp;"("&amp;CHOOSE(WEEKDAY($P165-1),"日","月","火","水","木","金","土")&amp;")"&amp;"　"&amp;$CO165),IF($CC165="","○ "&amp;TEXT($P165,"m/d")&amp;"("&amp;CHOOSE(WEEKDAY($P165),"日","月","火","水","木","金","土")&amp;")"&amp;" 入庫で 14日以上もつ",IF($CC165-N('設定'!$C$7)&lt;='設定'!$C$6,"● 入庫しても "&amp;TEXT($CC165,"m/d")&amp;"("&amp;CHOOSE(WEEKDAY($CC165),"日","月","火","水","木","金","土")&amp;")"&amp;" に切れる　もう1便を至急発注（2便目に入れる）","△ 入庫しても "&amp;TEXT($CC165,"m/d")&amp;"("&amp;CHOOSE(WEEKDAY($CC165),"日","月","火","水","木","金","土")&amp;")"&amp;" に切れる　"&amp;TEXT($CC165-N('設定'!$C$7),"m/d")&amp;"("&amp;CHOOSE(WEEKDAY($CC165-N('設定'!$C$7)),"日","月","火","水","木","金","土")&amp;")"&amp;" までに次を発注（2便目に入れる）"))))))))))</f>
        <v/>
      </c>
      <c r="CR165">
        <f>IF($C165="","",IF($G165&gt;1,"ｹｰｽ("&amp;$G165&amp;"入)","個"))</f>
        <v/>
      </c>
      <c r="CS165">
        <f>IF($C165="",0,IF(COUNTIFS('①在庫を貼る'!$V$6:$V$10005,'設定'!$C$4,'①在庫を貼る'!$W$6:$W$10005,$C165)=0,1,0))</f>
        <v/>
      </c>
      <c r="CT165">
        <f>IF(AND($CK165=1,OR('③発注書'!$C$4="すべて",'③発注書'!$C$4="",$F165='③発注書'!$C$4)),N($CT164)+1,N($CT164))</f>
        <v/>
      </c>
      <c r="CU165">
        <f>IF(AND($CL165=1,OR('③発注書'!$C$4="すべて",'③発注書'!$C$4="",$F165='③発注書'!$C$4)),N($CU164)+1,N($CU164))</f>
        <v/>
      </c>
      <c r="CV165">
        <f>IF($C165="",0,IF(COUNTIFS('①在庫を貼る'!$V$6:$V$10005,'設定'!$C$4,'①在庫を貼る'!$W$6:$W$10005,$C165)&gt;0,1,0))</f>
        <v/>
      </c>
      <c r="CW165">
        <f>IF($C165="",0,IF(COUNTIFS('月1回_1ヶ月前の在庫'!$V$6:$V$10005,'設定'!$C$4,'月1回_1ヶ月前の在庫'!$W$6:$W$10005,$C165)&gt;0,1,0))</f>
        <v/>
      </c>
      <c r="CX165">
        <f>IF($C165="",0,IF(COUNTIFS('月1回_2ヶ月前の在庫'!$V$6:$V$10005,'設定'!$C$4,'月1回_2ヶ月前の在庫'!$W$6:$W$10005,$C165)&gt;0,1,0))</f>
        <v/>
      </c>
      <c r="CY165">
        <f>IF(OR($C165="",'設定'!$C$12=""),"",IF('設定'!$C$13="",IF(AND($CV165=1,$CW165=0),"新商品（今月から）",IF(AND($CV165=0,$CW165=1),"終売（今月から）","")),IF(AND($CV165=1,$CW165=0,$CX165=0),"新商品（今月から）",IF(AND($CV165=1,$CW165=1,$CX165=0),"新商品（先月から）",IF(AND($CV165=0,$CW165=1,$CX165=1),"終売（今月から）",IF(AND($CV165=0,$CW165=0,$CX165=1),"終売（先月から）",IF(AND($CV165=1,$CW165=0,$CX165=1),"復活（先月は無し）","")))))))</f>
        <v/>
      </c>
    </row>
    <row r="166">
      <c r="B166">
        <f>IF(161&lt;='設定'!$C$11,161,"")</f>
        <v/>
      </c>
      <c r="C166">
        <f>IF($B166="","",IF($B166&lt;='設定'!$C$20,INDEX('商品マスタ'!$B$6:$B$1005,MATCH($B166,'商品マスタ'!$M$6:$M$1005,0)),IF($B166&lt;='設定'!$C$20+'設定'!$C$17,INDEX('①在庫を貼る'!$W$6:$W$10005,MATCH($B166-'設定'!$C$20,'①在庫を貼る'!$U$6:$U$10005,0)),IF($B166&lt;='設定'!$C$20+'設定'!$C$17+'設定'!$C$18,INDEX('月1回_1ヶ月前の在庫'!$W$6:$W$10005,MATCH($B166-'設定'!$C$20-'設定'!$C$17,'月1回_1ヶ月前の在庫'!$U$6:$U$10005,0)),INDEX('月1回_2ヶ月前の在庫'!$W$6:$W$10005,MATCH($B166-'設定'!$C$20-'設定'!$C$17-'設定'!$C$18,'月1回_2ヶ月前の在庫'!$U$6:$U$10005,0))))))</f>
        <v/>
      </c>
      <c r="D166">
        <f>IF($C166="","",IFERROR(IF(INDEX('商品マスタ'!$C$6:$C$1005,MATCH($C166,'商品マスタ'!$B$6:$B$1005,0))="",IFERROR(INDEX('①在庫を貼る'!$J$6:$J$10005,MATCH($C166,'①在庫を貼る'!$W$6:$W$10005,0)),IFERROR(INDEX('月1回_1ヶ月前の在庫'!$J$6:$J$10005,MATCH($C166,'月1回_1ヶ月前の在庫'!$W$6:$W$10005,0)),IFERROR(INDEX('月1回_2ヶ月前の在庫'!$J$6:$J$10005,MATCH($C166,'月1回_2ヶ月前の在庫'!$W$6:$W$10005,0)),""))),INDEX('商品マスタ'!$C$6:$C$1005,MATCH($C166,'商品マスタ'!$B$6:$B$1005,0))),IFERROR(INDEX('①在庫を貼る'!$J$6:$J$10005,MATCH($C166,'①在庫を貼る'!$W$6:$W$10005,0)),IFERROR(INDEX('月1回_1ヶ月前の在庫'!$J$6:$J$10005,MATCH($C166,'月1回_1ヶ月前の在庫'!$W$6:$W$10005,0)),IFERROR(INDEX('月1回_2ヶ月前の在庫'!$J$6:$J$10005,MATCH($C166,'月1回_2ヶ月前の在庫'!$W$6:$W$10005,0)),"")))))</f>
        <v/>
      </c>
      <c r="E166">
        <f>IF($C166="","",IFERROR(IF(INDEX('商品マスタ'!$D$6:$D$1005,MATCH($C166,'商品マスタ'!$B$6:$B$1005,0))="",IFERROR(INDEX('①在庫を貼る'!$H$6:$H$10005,MATCH($C166,'①在庫を貼る'!$W$6:$W$10005,0)),IFERROR(INDEX('月1回_1ヶ月前の在庫'!$H$6:$H$10005,MATCH($C166,'月1回_1ヶ月前の在庫'!$W$6:$W$10005,0)),IFERROR(INDEX('月1回_2ヶ月前の在庫'!$H$6:$H$10005,MATCH($C166,'月1回_2ヶ月前の在庫'!$W$6:$W$10005,0)),""))),INDEX('商品マスタ'!$D$6:$D$1005,MATCH($C166,'商品マスタ'!$B$6:$B$1005,0))),IFERROR(INDEX('①在庫を貼る'!$H$6:$H$10005,MATCH($C166,'①在庫を貼る'!$W$6:$W$10005,0)),IFERROR(INDEX('月1回_1ヶ月前の在庫'!$H$6:$H$10005,MATCH($C166,'月1回_1ヶ月前の在庫'!$W$6:$W$10005,0)),IFERROR(INDEX('月1回_2ヶ月前の在庫'!$H$6:$H$10005,MATCH($C166,'月1回_2ヶ月前の在庫'!$W$6:$W$10005,0)),"")))))</f>
        <v/>
      </c>
      <c r="F166">
        <f>IF($C166="","",IFERROR(IF(INDEX('商品マスタ'!$E$6:$E$1005,MATCH($C166,'商品マスタ'!$B$6:$B$1005,0))="",IFERROR(INDEX('①在庫を貼る'!$E$6:$E$10005,MATCH($C166,'①在庫を貼る'!$W$6:$W$10005,0)),IFERROR(INDEX('月1回_1ヶ月前の在庫'!$E$6:$E$10005,MATCH($C166,'月1回_1ヶ月前の在庫'!$W$6:$W$10005,0)),IFERROR(INDEX('月1回_2ヶ月前の在庫'!$E$6:$E$10005,MATCH($C166,'月1回_2ヶ月前の在庫'!$W$6:$W$10005,0)),""))),INDEX('商品マスタ'!$E$6:$E$1005,MATCH($C166,'商品マスタ'!$B$6:$B$1005,0))),IFERROR(INDEX('①在庫を貼る'!$E$6:$E$10005,MATCH($C166,'①在庫を貼る'!$W$6:$W$10005,0)),IFERROR(INDEX('月1回_1ヶ月前の在庫'!$E$6:$E$10005,MATCH($C166,'月1回_1ヶ月前の在庫'!$W$6:$W$10005,0)),IFERROR(INDEX('月1回_2ヶ月前の在庫'!$E$6:$E$10005,MATCH($C166,'月1回_2ヶ月前の在庫'!$W$6:$W$10005,0)),"")))))</f>
        <v/>
      </c>
      <c r="G166">
        <f>IF($C166="","",MAX(1,N(IFERROR(IF(INDEX('商品マスタ'!$F$6:$F$1005,MATCH($C166,'商品マスタ'!$B$6:$B$1005,0))="",IF(COUNTIFS('①在庫を貼る'!$V$6:$V$10005,'設定'!$C$4,'①在庫を貼る'!$W$6:$W$10005,$C166)&gt;0,SUMIFS('①在庫を貼る'!$K$6:$K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K$6:$K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K$6:$K$10005,'月1回_2ヶ月前の在庫'!$V$6:$V$10005,'設定'!$C$4,'月1回_2ヶ月前の在庫'!$W$6:$W$10005,$C166)/COUNTIFS('月1回_2ヶ月前の在庫'!$V$6:$V$10005,'設定'!$C$4,'月1回_2ヶ月前の在庫'!$W$6:$W$10005,$C166),0))),INDEX('商品マスタ'!$F$6:$F$1005,MATCH($C166,'商品マスタ'!$B$6:$B$1005,0))),IF(COUNTIFS('①在庫を貼る'!$V$6:$V$10005,'設定'!$C$4,'①在庫を貼る'!$W$6:$W$10005,$C166)&gt;0,SUMIFS('①在庫を貼る'!$K$6:$K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K$6:$K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K$6:$K$10005,'月1回_2ヶ月前の在庫'!$V$6:$V$10005,'設定'!$C$4,'月1回_2ヶ月前の在庫'!$W$6:$W$10005,$C166)/COUNTIFS('月1回_2ヶ月前の在庫'!$V$6:$V$10005,'設定'!$C$4,'月1回_2ヶ月前の在庫'!$W$6:$W$10005,$C166),0)))))))</f>
        <v/>
      </c>
      <c r="H166">
        <f>IF($C166="","",N(IFERROR(IF(INDEX('商品マスタ'!$G$6:$G$1005,MATCH($C166,'商品マスタ'!$B$6:$B$1005,0))="",IF(COUNTIFS('①在庫を貼る'!$V$6:$V$10005,'設定'!$C$4,'①在庫を貼る'!$W$6:$W$10005,$C166)&gt;0,SUMIFS('①在庫を貼る'!$Q$6:$Q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Q$6:$Q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Q$6:$Q$10005,'月1回_2ヶ月前の在庫'!$V$6:$V$10005,'設定'!$C$4,'月1回_2ヶ月前の在庫'!$W$6:$W$10005,$C166)/COUNTIFS('月1回_2ヶ月前の在庫'!$V$6:$V$10005,'設定'!$C$4,'月1回_2ヶ月前の在庫'!$W$6:$W$10005,$C166),0))),INDEX('商品マスタ'!$G$6:$G$1005,MATCH($C166,'商品マスタ'!$B$6:$B$1005,0))),IF(COUNTIFS('①在庫を貼る'!$V$6:$V$10005,'設定'!$C$4,'①在庫を貼る'!$W$6:$W$10005,$C166)&gt;0,SUMIFS('①在庫を貼る'!$Q$6:$Q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Q$6:$Q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Q$6:$Q$10005,'月1回_2ヶ月前の在庫'!$V$6:$V$10005,'設定'!$C$4,'月1回_2ヶ月前の在庫'!$W$6:$W$10005,$C166)/COUNTIFS('月1回_2ヶ月前の在庫'!$V$6:$V$10005,'設定'!$C$4,'月1回_2ヶ月前の在庫'!$W$6:$W$10005,$C166),0))))))</f>
        <v/>
      </c>
      <c r="I166">
        <f>IF($C166="","",IF(COUNTIFS('①在庫を貼る'!$V$6:$V$10005,'設定'!$C$4,'①在庫を貼る'!$W$6:$W$10005,$C166)=0,"",SUMIFS('①在庫を貼る'!$N$6:$N$10005,'①在庫を貼る'!$V$6:$V$10005,'設定'!$C$4,'①在庫を貼る'!$W$6:$W$10005,$C166)))</f>
        <v/>
      </c>
      <c r="J166">
        <f>IF($C166="","",IF('②発注する'!$AD170="","",'②発注する'!$AD170))</f>
        <v/>
      </c>
      <c r="K166" s="90">
        <f>IF($C166="","",IF('②発注する'!$AE170="","",'②発注する'!$AE170))</f>
        <v/>
      </c>
      <c r="L166">
        <f>IF($C166="","",IF(AND(ISNUMBER($J166),ISNUMBER($K166),$K166&gt;='設定'!$C$6),$J166,N($I166)))</f>
        <v/>
      </c>
      <c r="M166">
        <f>IF($C166="","",IFERROR(IF(N(INDEX('商品マスタ'!$J$6:$J$1005,MATCH($C166,'商品マスタ'!$B$6:$B$1005,0)))&gt;0,INDEX('商品マスタ'!$J$6:$J$1005,MATCH($C166,'商品マスタ'!$B$6:$B$1005,0)),""),""))</f>
        <v/>
      </c>
      <c r="N166">
        <f>IF($C166="","",IFERROR(IF(N(INDEX('商品マスタ'!$H$6:$H$1005,MATCH($C166,'商品マスタ'!$B$6:$B$1005,0)))&gt;0,INDEX('商品マスタ'!$H$6:$H$1005,MATCH($C166,'商品マスタ'!$B$6:$B$1005,0)),""),""))</f>
        <v/>
      </c>
      <c r="O166">
        <f>IF($C166="","",IF($N166&lt;&gt;"",$N166*$G166,IF(N(IF(COUNTIFS('①在庫を貼る'!$V$6:$V$10005,'設定'!$C$4,'①在庫を貼る'!$W$6:$W$10005,$C166)&gt;0,SUMIFS('①在庫を貼る'!$O$6:$O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O$6:$O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O$6:$O$10005,'月1回_2ヶ月前の在庫'!$V$6:$V$10005,'設定'!$C$4,'月1回_2ヶ月前の在庫'!$W$6:$W$10005,$C166)/COUNTIFS('月1回_2ヶ月前の在庫'!$V$6:$V$10005,'設定'!$C$4,'月1回_2ヶ月前の在庫'!$W$6:$W$10005,$C166),0))))&gt;0,N(IF(COUNTIFS('①在庫を貼る'!$V$6:$V$10005,'設定'!$C$4,'①在庫を貼る'!$W$6:$W$10005,$C166)&gt;0,SUMIFS('①在庫を貼る'!$O$6:$O$10005,'①在庫を貼る'!$V$6:$V$10005,'設定'!$C$4,'①在庫を貼る'!$W$6:$W$10005,$C166)/COUNTIFS('①在庫を貼る'!$V$6:$V$10005,'設定'!$C$4,'①在庫を貼る'!$W$6:$W$10005,$C166),IF(COUNTIFS('月1回_1ヶ月前の在庫'!$V$6:$V$10005,'設定'!$C$4,'月1回_1ヶ月前の在庫'!$W$6:$W$10005,$C166)&gt;0,SUMIFS('月1回_1ヶ月前の在庫'!$O$6:$O$10005,'月1回_1ヶ月前の在庫'!$V$6:$V$10005,'設定'!$C$4,'月1回_1ヶ月前の在庫'!$W$6:$W$10005,$C166)/COUNTIFS('月1回_1ヶ月前の在庫'!$V$6:$V$10005,'設定'!$C$4,'月1回_1ヶ月前の在庫'!$W$6:$W$10005,$C166),IF(COUNTIFS('月1回_2ヶ月前の在庫'!$V$6:$V$10005,'設定'!$C$4,'月1回_2ヶ月前の在庫'!$W$6:$W$10005,$C166)&gt;0,SUMIFS('月1回_2ヶ月前の在庫'!$O$6:$O$10005,'月1回_2ヶ月前の在庫'!$V$6:$V$10005,'設定'!$C$4,'月1回_2ヶ月前の在庫'!$W$6:$W$10005,$C166)/COUNTIFS('月1回_2ヶ月前の在庫'!$V$6:$V$10005,'設定'!$C$4,'月1回_2ヶ月前の在庫'!$W$6:$W$10005,$C166),0)))),"")))</f>
        <v/>
      </c>
      <c r="P166" s="90">
        <f>IF($C166="","",IF('②発注する'!$I170="","",'②発注する'!$I170))</f>
        <v/>
      </c>
      <c r="Q166">
        <f>IF($C166="","",IF('②発注する'!$J170="","",'②発注する'!$J170))</f>
        <v/>
      </c>
      <c r="R166">
        <f>IF($C166="",0,IF(AND(ISNUMBER($P166),ISNUMBER($Q166)),MAX(0,$Q166)*$G166,0))</f>
        <v/>
      </c>
      <c r="S166" s="90">
        <f>IF($C166="","",IF('②発注する'!$M170="","",'②発注する'!$M170))</f>
        <v/>
      </c>
      <c r="T166">
        <f>IF($C166="","",IF('②発注する'!$N170="","",'②発注する'!$N170))</f>
        <v/>
      </c>
      <c r="U166">
        <f>IF($C166="",0,IF(AND(ISNUMBER($S166),ISNUMBER($T166)),MAX(0,$T166)*$G166,0))</f>
        <v/>
      </c>
      <c r="V166">
        <f>IF($C166="",0,IF($M166="",0,MAX(0,$M166)*MAX(0,V$4)/100))</f>
        <v/>
      </c>
      <c r="W166">
        <f>IF($C166="",0,IF($M166="",0,MAX(0,$M166)*MAX(0,W$4)/100))</f>
        <v/>
      </c>
      <c r="X166">
        <f>IF($C166="",0,IF($M166="",0,MAX(0,$M166)*MAX(0,X$4)/100))</f>
        <v/>
      </c>
      <c r="Y166">
        <f>IF($C166="",0,IF($M166="",0,MAX(0,$M166)*MAX(0,Y$4)/100))</f>
        <v/>
      </c>
      <c r="Z166">
        <f>IF($C166="",0,IF($M166="",0,MAX(0,$M166)*MAX(0,Z$4)/100))</f>
        <v/>
      </c>
      <c r="AA166">
        <f>IF($C166="",0,IF($M166="",0,MAX(0,$M166)*MAX(0,AA$4)/100))</f>
        <v/>
      </c>
      <c r="AB166">
        <f>IF($C166="",0,IF($M166="",0,MAX(0,$M166)*MAX(0,AB$4)/100))</f>
        <v/>
      </c>
      <c r="AC166">
        <f>IF($C166="",0,IF($M166="",0,MAX(0,$M166)*MAX(0,AC$4)/100))</f>
        <v/>
      </c>
      <c r="AD166">
        <f>IF($C166="",0,IF($M166="",0,MAX(0,$M166)*MAX(0,AD$4)/100))</f>
        <v/>
      </c>
      <c r="AE166">
        <f>IF($C166="",0,IF($M166="",0,MAX(0,$M166)*MAX(0,AE$4)/100))</f>
        <v/>
      </c>
      <c r="AF166">
        <f>IF($C166="",0,IF($M166="",0,MAX(0,$M166)*MAX(0,AF$4)/100))</f>
        <v/>
      </c>
      <c r="AG166">
        <f>IF($C166="",0,IF($M166="",0,MAX(0,$M166)*MAX(0,AG$4)/100))</f>
        <v/>
      </c>
      <c r="AH166">
        <f>IF($C166="",0,IF($M166="",0,MAX(0,$M166)*MAX(0,AH$4)/100))</f>
        <v/>
      </c>
      <c r="AI166">
        <f>IF($C166="",0,IF($M166="",0,MAX(0,$M166)*MAX(0,AI$4)/100))</f>
        <v/>
      </c>
      <c r="AJ166">
        <f>IF($C166="",0,MAX(0,MAX(0,N($L166))-$V166))</f>
        <v/>
      </c>
      <c r="AK166">
        <f>IF($C166="",0,MAX(0,$AJ166-$W166))</f>
        <v/>
      </c>
      <c r="AL166">
        <f>IF($C166="",0,MAX(0,$AK166-$X166))</f>
        <v/>
      </c>
      <c r="AM166">
        <f>IF($C166="",0,MAX(0,$AL166-$Y166))</f>
        <v/>
      </c>
      <c r="AN166">
        <f>IF($C166="",0,MAX(0,$AM166-$Z166))</f>
        <v/>
      </c>
      <c r="AO166">
        <f>IF($C166="",0,MAX(0,$AN166-$AA166))</f>
        <v/>
      </c>
      <c r="AP166">
        <f>IF($C166="",0,MAX(0,$AO166-$AB166))</f>
        <v/>
      </c>
      <c r="AQ166">
        <f>IF($C166="",0,MAX(0,$AP166-$AC166))</f>
        <v/>
      </c>
      <c r="AR166">
        <f>IF($C166="",0,MAX(0,$AQ166-$AD166))</f>
        <v/>
      </c>
      <c r="AS166">
        <f>IF($C166="",0,MAX(0,$AR166-$AE166))</f>
        <v/>
      </c>
      <c r="AT166">
        <f>IF($C166="",0,MAX(0,$AS166-$AF166))</f>
        <v/>
      </c>
      <c r="AU166">
        <f>IF($C166="",0,MAX(0,$AT166-$AG166))</f>
        <v/>
      </c>
      <c r="AV166">
        <f>IF($C166="",0,MAX(0,$AU166-$AH166))</f>
        <v/>
      </c>
      <c r="AW166">
        <f>IF($C166="",0,MAX(0,$AV166-$AI166))</f>
        <v/>
      </c>
      <c r="AX166">
        <f>IF($C166="",0,MAX(0,MAX(0,N($L166))+IF($P166=V$3,$R166,0)+IF($S166=V$3,$U166,0)-$V166))</f>
        <v/>
      </c>
      <c r="AY166">
        <f>IF($C166="",0,MAX(0,$AX166+IF($P166=W$3,$R166,0)+IF($S166=W$3,$U166,0)-$W166))</f>
        <v/>
      </c>
      <c r="AZ166">
        <f>IF($C166="",0,MAX(0,$AY166+IF($P166=X$3,$R166,0)+IF($S166=X$3,$U166,0)-$X166))</f>
        <v/>
      </c>
      <c r="BA166">
        <f>IF($C166="",0,MAX(0,$AZ166+IF($P166=Y$3,$R166,0)+IF($S166=Y$3,$U166,0)-$Y166))</f>
        <v/>
      </c>
      <c r="BB166">
        <f>IF($C166="",0,MAX(0,$BA166+IF($P166=Z$3,$R166,0)+IF($S166=Z$3,$U166,0)-$Z166))</f>
        <v/>
      </c>
      <c r="BC166">
        <f>IF($C166="",0,MAX(0,$BB166+IF($P166=AA$3,$R166,0)+IF($S166=AA$3,$U166,0)-$AA166))</f>
        <v/>
      </c>
      <c r="BD166">
        <f>IF($C166="",0,MAX(0,$BC166+IF($P166=AB$3,$R166,0)+IF($S166=AB$3,$U166,0)-$AB166))</f>
        <v/>
      </c>
      <c r="BE166">
        <f>IF($C166="",0,MAX(0,$BD166+IF($P166=AC$3,$R166,0)+IF($S166=AC$3,$U166,0)-$AC166))</f>
        <v/>
      </c>
      <c r="BF166">
        <f>IF($C166="",0,MAX(0,$BE166+IF($P166=AD$3,$R166,0)+IF($S166=AD$3,$U166,0)-$AD166))</f>
        <v/>
      </c>
      <c r="BG166">
        <f>IF($C166="",0,MAX(0,$BF166+IF($P166=AE$3,$R166,0)+IF($S166=AE$3,$U166,0)-$AE166))</f>
        <v/>
      </c>
      <c r="BH166">
        <f>IF($C166="",0,MAX(0,$BG166+IF($P166=AF$3,$R166,0)+IF($S166=AF$3,$U166,0)-$AF166))</f>
        <v/>
      </c>
      <c r="BI166">
        <f>IF($C166="",0,MAX(0,$BH166+IF($P166=AG$3,$R166,0)+IF($S166=AG$3,$U166,0)-$AG166))</f>
        <v/>
      </c>
      <c r="BJ166">
        <f>IF($C166="",0,MAX(0,$BI166+IF($P166=AH$3,$R166,0)+IF($S166=AH$3,$U166,0)-$AH166))</f>
        <v/>
      </c>
      <c r="BK166">
        <f>IF($C166="",0,MAX(0,$BJ166+IF($P166=AI$3,$R166,0)+IF($S166=AI$3,$U166,0)-$AI166))</f>
        <v/>
      </c>
      <c r="BL166">
        <f>IF($C166="",99,IF(AND($AX166&lt;1,V$3&gt;=MAX(N($P166),N($S166))),0,99))</f>
        <v/>
      </c>
      <c r="BM166">
        <f>IF($C166="",99,IF(AND($AY166&lt;1,W$3&gt;=MAX(N($P166),N($S166))),1,99))</f>
        <v/>
      </c>
      <c r="BN166">
        <f>IF($C166="",99,IF(AND($AZ166&lt;1,X$3&gt;=MAX(N($P166),N($S166))),2,99))</f>
        <v/>
      </c>
      <c r="BO166">
        <f>IF($C166="",99,IF(AND($BA166&lt;1,Y$3&gt;=MAX(N($P166),N($S166))),3,99))</f>
        <v/>
      </c>
      <c r="BP166">
        <f>IF($C166="",99,IF(AND($BB166&lt;1,Z$3&gt;=MAX(N($P166),N($S166))),4,99))</f>
        <v/>
      </c>
      <c r="BQ166">
        <f>IF($C166="",99,IF(AND($BC166&lt;1,AA$3&gt;=MAX(N($P166),N($S166))),5,99))</f>
        <v/>
      </c>
      <c r="BR166">
        <f>IF($C166="",99,IF(AND($BD166&lt;1,AB$3&gt;=MAX(N($P166),N($S166))),6,99))</f>
        <v/>
      </c>
      <c r="BS166">
        <f>IF($C166="",99,IF(AND($BE166&lt;1,AC$3&gt;=MAX(N($P166),N($S166))),7,99))</f>
        <v/>
      </c>
      <c r="BT166">
        <f>IF($C166="",99,IF(AND($BF166&lt;1,AD$3&gt;=MAX(N($P166),N($S166))),8,99))</f>
        <v/>
      </c>
      <c r="BU166">
        <f>IF($C166="",99,IF(AND($BG166&lt;1,AE$3&gt;=MAX(N($P166),N($S166))),9,99))</f>
        <v/>
      </c>
      <c r="BV166">
        <f>IF($C166="",99,IF(AND($BH166&lt;1,AF$3&gt;=MAX(N($P166),N($S166))),10,99))</f>
        <v/>
      </c>
      <c r="BW166">
        <f>IF($C166="",99,IF(AND($BI166&lt;1,AG$3&gt;=MAX(N($P166),N($S166))),11,99))</f>
        <v/>
      </c>
      <c r="BX166">
        <f>IF($C166="",99,IF(AND($BJ166&lt;1,AH$3&gt;=MAX(N($P166),N($S166))),12,99))</f>
        <v/>
      </c>
      <c r="BY166">
        <f>IF($C166="",99,IF(AND($BK166&lt;1,AI$3&gt;=MAX(N($P166),N($S166))),13,99))</f>
        <v/>
      </c>
      <c r="BZ166">
        <f>IF(OR($C166="",$M166=""),"",COUNTIF($AJ166:$AW166,"&gt;=1"))</f>
        <v/>
      </c>
      <c r="CA166" s="90">
        <f>IF($BZ166="","",IF($BZ166&gt;=14,"",'設定'!$C$6+$BZ166))</f>
        <v/>
      </c>
      <c r="CB166">
        <f>IF(OR($C166="",$M166=""),"",MIN($BL166:$BY166))</f>
        <v/>
      </c>
      <c r="CC166" s="90">
        <f>IF($CB166="","",IF($CB166&gt;=99,"",'設定'!$C$6+$CB166))</f>
        <v/>
      </c>
      <c r="CD166">
        <f>IF(OR($C166="",$M166=""),"",AVERAGE($V166:$AI166))</f>
        <v/>
      </c>
      <c r="CE166">
        <f>IF($C166="","",IFERROR(IF(MATCH(IF(ISNUMBER($P166),$P166,'設定'!$C$6+N('設定'!$C$7)),$V$3:$AI$3,0)=1,MAX(0,N($L166)),INDEX($AJ166:$AW166,MATCH(IF(ISNUMBER($P166),$P166,'設定'!$C$6+N('設定'!$C$7)),$V$3:$AI$3,0)-1)),""))</f>
        <v/>
      </c>
      <c r="CF166">
        <f>IF(OR($C166="",$O166="",$CE166=""),"",IF($O166-$CE166&lt;=0,0,ROUNDUP(($O166-$CE166)/$G166,0)))</f>
        <v/>
      </c>
      <c r="CG166">
        <f>IF(OR($C166="",$CF166="",NOT(ISNUMBER($Q166))),0,MAX(0,$Q166-$CF166))</f>
        <v/>
      </c>
      <c r="CH166">
        <f>IF(OR($C166="",$O166="",$U166=0),0,IFERROR(ROUNDUP(MAX(0,IF(MATCH($S166,$V$3:$AI$3,0)=1,MAX(0,N($L166)),INDEX($AX166:$BK166,MATCH($S166,$V$3:$AI$3,0)-1))+$U166-$O166)/$G166,0),0))</f>
        <v/>
      </c>
      <c r="CI166">
        <f>IF($C166="","",IF(AND($P166="",$Q166=""),"",IF($P166="","⚠ 入庫日を ▼ から選んでください",IF(NOT(ISNUMBER($P166)),"⚠ 入庫日は ▼ から選んでください",IF($P166&lt;N('設定'!$C$6),"⚠ 入庫日が過去です（もう在庫に入っています）→ 消してください",IF($P166&gt;N('設定'!$C$6)+13,"⚠ 入庫日が14日より先です",IF(N($Q166)&lt;=0,"⚠ 入庫数を入れてください",IF($CG166&gt;0,"⚠ 目安より "&amp;$CG166&amp;" 多い（定数を超える）→ 減らす",""))))))))</f>
        <v/>
      </c>
      <c r="CJ166">
        <f>IF($C166="","",IF(AND($S166="",$T166=""),"",IF($S166="","⚠ 2便目：入庫日を ▼ から選んでください",IF(NOT(ISNUMBER($S166)),"⚠ 2便目：入庫日は ▼ から選んでください",IF($S166&lt;N('設定'!$C$6),"⚠ 2便目：入庫日が過去です（もう在庫に入っています）→ 消してください",IF($S166&gt;N('設定'!$C$6)+13,"⚠ 2便目：入庫日が14日より先です",IF(N($T166)&lt;=0,"⚠ 2便目：入庫数を入れてください",IF($CH166&gt;0,"⚠ 2便目：定数を "&amp;$CH166&amp;" ケース超える → 減らす",""))))))))</f>
        <v/>
      </c>
      <c r="CK166">
        <f>IF(AND($CI166="",N($Q166)&gt;0,ISNUMBER($P166)),1,0)</f>
        <v/>
      </c>
      <c r="CL166">
        <f>IF(AND($CJ166="",N($T166)&gt;0,ISNUMBER($S166)),1,0)</f>
        <v/>
      </c>
      <c r="CM166">
        <f>IF(OR($CK166=1,$CL166=1),1,0)</f>
        <v/>
      </c>
      <c r="CN166">
        <f>IF($C166="",0,($CK166*$R166+$CL166*$U166)*N($H166))</f>
        <v/>
      </c>
      <c r="CO166">
        <f>IF($C166="","",IF($CC166="","入庫後は 14日以上もつ",IF($CC166-N('設定'!$C$7)&lt;='設定'!$C$6,"入庫後も "&amp;TEXT($CC166,"m/d")&amp;"("&amp;CHOOSE(WEEKDAY($CC166),"日","月","火","水","木","金","土")&amp;")"&amp;" に切れる　もう1便を至急発注","入庫後も "&amp;TEXT($CC166,"m/d")&amp;"("&amp;CHOOSE(WEEKDAY($CC166),"日","月","火","水","木","金","土")&amp;")"&amp;" に切れる　"&amp;TEXT($CC166-N('設定'!$C$7),"m/d")&amp;"("&amp;CHOOSE(WEEKDAY($CC166-N('設定'!$C$7)),"日","月","火","水","木","金","土")&amp;")"&amp;" までに次を発注")))</f>
        <v/>
      </c>
      <c r="CP166">
        <f>IF($C166="","",IF('設定'!$C$6="","？ ①在庫を貼る に今日のCSVが貼られていない",IF($CS166=1,"－ 今日のCSVに無い（終売？）",IF($L166&lt;0,"● 在庫がマイナス　数えて「数えた在庫」に入れる",IF($L166=0,"● 在庫なし　至急発注",IF($M166="","？ 減り数が未設定（商品マスタ）",IF($B$3=0,"？ 動員が未入力（動員を入れる）",IF($CA166="","○ 14日以上もつ",IF($BZ166&lt;N('設定'!$C$7),"● "&amp;TEXT($CA166,"m/d")&amp;"("&amp;CHOOSE(WEEKDAY($CA166),"日","月","火","水","木","金","土")&amp;")"&amp;" に切れる　至急発注",IF($BZ166=N('設定'!$C$7),"● "&amp;TEXT($CA166,"m/d")&amp;"("&amp;CHOOSE(WEEKDAY($CA166),"日","月","火","水","木","金","土")&amp;")"&amp;" に切れる　今日発注","△ "&amp;TEXT($CA166,"m/d")&amp;"("&amp;CHOOSE(WEEKDAY($CA166),"日","月","火","水","木","金","土")&amp;")"&amp;" に切れる　"&amp;TEXT($CA166-N('設定'!$C$7),"m/d")&amp;"("&amp;CHOOSE(WEEKDAY($CA166-N('設定'!$C$7)),"日","月","火","水","木","金","土")&amp;")"&amp;" までに発注"))))))))))</f>
        <v/>
      </c>
      <c r="CQ166">
        <f>IF($C166="","",IF(AND($P166="",$Q166="",$S166="",$T166=""),"",IF(AND($P166="",$Q166=""),"⚠ 先に1便目（左の入庫日・入庫数）に入れてください",IF($CI166&lt;&gt;"",$CI166,IF($CJ166&lt;&gt;"",$CJ166,IF($M166="","？ 減り数が未設定（発注書には載ります）",IF($B$3=0,"？ 動員が未入力（発注書には載ります）",IF(AND($CA166&lt;&gt;"",$P166&gt;$CA166),IF($P166&gt;'設定'!$C$6+N('設定'!$C$7),"● "&amp;TEXT($P166,"m/d")&amp;"("&amp;CHOOSE(WEEKDAY($P166),"日","月","火","水","木","金","土")&amp;")"&amp;" の入庫では間に合わない（"&amp;TEXT($CA166,"m/d")&amp;"("&amp;CHOOSE(WEEKDAY($CA166),"日","月","火","水","木","金","土")&amp;")"&amp;" に切れる）　入庫日を早める","△ 欠品 "&amp;TEXT($CA166,"m/d")&amp;"("&amp;CHOOSE(WEEKDAY($CA166),"日","月","火","水","木","金","土")&amp;")"&amp;"〜"&amp;TEXT($P166-1,"m/d")&amp;"("&amp;CHOOSE(WEEKDAY($P166-1),"日","月","火","水","木","金","土")&amp;")"&amp;"　"&amp;$CO166),IF($CC166="","○ "&amp;TEXT($P166,"m/d")&amp;"("&amp;CHOOSE(WEEKDAY($P166),"日","月","火","水","木","金","土")&amp;")"&amp;" 入庫で 14日以上もつ",IF($CC166-N('設定'!$C$7)&lt;='設定'!$C$6,"● 入庫しても "&amp;TEXT($CC166,"m/d")&amp;"("&amp;CHOOSE(WEEKDAY($CC166),"日","月","火","水","木","金","土")&amp;")"&amp;" に切れる　もう1便を至急発注（2便目に入れる）","△ 入庫しても "&amp;TEXT($CC166,"m/d")&amp;"("&amp;CHOOSE(WEEKDAY($CC166),"日","月","火","水","木","金","土")&amp;")"&amp;" に切れる　"&amp;TEXT($CC166-N('設定'!$C$7),"m/d")&amp;"("&amp;CHOOSE(WEEKDAY($CC166-N('設定'!$C$7)),"日","月","火","水","木","金","土")&amp;")"&amp;" までに次を発注（2便目に入れる）"))))))))))</f>
        <v/>
      </c>
      <c r="CR166">
        <f>IF($C166="","",IF($G166&gt;1,"ｹｰｽ("&amp;$G166&amp;"入)","個"))</f>
        <v/>
      </c>
      <c r="CS166">
        <f>IF($C166="",0,IF(COUNTIFS('①在庫を貼る'!$V$6:$V$10005,'設定'!$C$4,'①在庫を貼る'!$W$6:$W$10005,$C166)=0,1,0))</f>
        <v/>
      </c>
      <c r="CT166">
        <f>IF(AND($CK166=1,OR('③発注書'!$C$4="すべて",'③発注書'!$C$4="",$F166='③発注書'!$C$4)),N($CT165)+1,N($CT165))</f>
        <v/>
      </c>
      <c r="CU166">
        <f>IF(AND($CL166=1,OR('③発注書'!$C$4="すべて",'③発注書'!$C$4="",$F166='③発注書'!$C$4)),N($CU165)+1,N($CU165))</f>
        <v/>
      </c>
      <c r="CV166">
        <f>IF($C166="",0,IF(COUNTIFS('①在庫を貼る'!$V$6:$V$10005,'設定'!$C$4,'①在庫を貼る'!$W$6:$W$10005,$C166)&gt;0,1,0))</f>
        <v/>
      </c>
      <c r="CW166">
        <f>IF($C166="",0,IF(COUNTIFS('月1回_1ヶ月前の在庫'!$V$6:$V$10005,'設定'!$C$4,'月1回_1ヶ月前の在庫'!$W$6:$W$10005,$C166)&gt;0,1,0))</f>
        <v/>
      </c>
      <c r="CX166">
        <f>IF($C166="",0,IF(COUNTIFS('月1回_2ヶ月前の在庫'!$V$6:$V$10005,'設定'!$C$4,'月1回_2ヶ月前の在庫'!$W$6:$W$10005,$C166)&gt;0,1,0))</f>
        <v/>
      </c>
      <c r="CY166">
        <f>IF(OR($C166="",'設定'!$C$12=""),"",IF('設定'!$C$13="",IF(AND($CV166=1,$CW166=0),"新商品（今月から）",IF(AND($CV166=0,$CW166=1),"終売（今月から）","")),IF(AND($CV166=1,$CW166=0,$CX166=0),"新商品（今月から）",IF(AND($CV166=1,$CW166=1,$CX166=0),"新商品（先月から）",IF(AND($CV166=0,$CW166=1,$CX166=1),"終売（今月から）",IF(AND($CV166=0,$CW166=0,$CX166=1),"終売（先月から）",IF(AND($CV166=1,$CW166=0,$CX166=1),"復活（先月は無し）","")))))))</f>
        <v/>
      </c>
    </row>
    <row r="167">
      <c r="B167">
        <f>IF(162&lt;='設定'!$C$11,162,"")</f>
        <v/>
      </c>
      <c r="C167">
        <f>IF($B167="","",IF($B167&lt;='設定'!$C$20,INDEX('商品マスタ'!$B$6:$B$1005,MATCH($B167,'商品マスタ'!$M$6:$M$1005,0)),IF($B167&lt;='設定'!$C$20+'設定'!$C$17,INDEX('①在庫を貼る'!$W$6:$W$10005,MATCH($B167-'設定'!$C$20,'①在庫を貼る'!$U$6:$U$10005,0)),IF($B167&lt;='設定'!$C$20+'設定'!$C$17+'設定'!$C$18,INDEX('月1回_1ヶ月前の在庫'!$W$6:$W$10005,MATCH($B167-'設定'!$C$20-'設定'!$C$17,'月1回_1ヶ月前の在庫'!$U$6:$U$10005,0)),INDEX('月1回_2ヶ月前の在庫'!$W$6:$W$10005,MATCH($B167-'設定'!$C$20-'設定'!$C$17-'設定'!$C$18,'月1回_2ヶ月前の在庫'!$U$6:$U$10005,0))))))</f>
        <v/>
      </c>
      <c r="D167">
        <f>IF($C167="","",IFERROR(IF(INDEX('商品マスタ'!$C$6:$C$1005,MATCH($C167,'商品マスタ'!$B$6:$B$1005,0))="",IFERROR(INDEX('①在庫を貼る'!$J$6:$J$10005,MATCH($C167,'①在庫を貼る'!$W$6:$W$10005,0)),IFERROR(INDEX('月1回_1ヶ月前の在庫'!$J$6:$J$10005,MATCH($C167,'月1回_1ヶ月前の在庫'!$W$6:$W$10005,0)),IFERROR(INDEX('月1回_2ヶ月前の在庫'!$J$6:$J$10005,MATCH($C167,'月1回_2ヶ月前の在庫'!$W$6:$W$10005,0)),""))),INDEX('商品マスタ'!$C$6:$C$1005,MATCH($C167,'商品マスタ'!$B$6:$B$1005,0))),IFERROR(INDEX('①在庫を貼る'!$J$6:$J$10005,MATCH($C167,'①在庫を貼る'!$W$6:$W$10005,0)),IFERROR(INDEX('月1回_1ヶ月前の在庫'!$J$6:$J$10005,MATCH($C167,'月1回_1ヶ月前の在庫'!$W$6:$W$10005,0)),IFERROR(INDEX('月1回_2ヶ月前の在庫'!$J$6:$J$10005,MATCH($C167,'月1回_2ヶ月前の在庫'!$W$6:$W$10005,0)),"")))))</f>
        <v/>
      </c>
      <c r="E167">
        <f>IF($C167="","",IFERROR(IF(INDEX('商品マスタ'!$D$6:$D$1005,MATCH($C167,'商品マスタ'!$B$6:$B$1005,0))="",IFERROR(INDEX('①在庫を貼る'!$H$6:$H$10005,MATCH($C167,'①在庫を貼る'!$W$6:$W$10005,0)),IFERROR(INDEX('月1回_1ヶ月前の在庫'!$H$6:$H$10005,MATCH($C167,'月1回_1ヶ月前の在庫'!$W$6:$W$10005,0)),IFERROR(INDEX('月1回_2ヶ月前の在庫'!$H$6:$H$10005,MATCH($C167,'月1回_2ヶ月前の在庫'!$W$6:$W$10005,0)),""))),INDEX('商品マスタ'!$D$6:$D$1005,MATCH($C167,'商品マスタ'!$B$6:$B$1005,0))),IFERROR(INDEX('①在庫を貼る'!$H$6:$H$10005,MATCH($C167,'①在庫を貼る'!$W$6:$W$10005,0)),IFERROR(INDEX('月1回_1ヶ月前の在庫'!$H$6:$H$10005,MATCH($C167,'月1回_1ヶ月前の在庫'!$W$6:$W$10005,0)),IFERROR(INDEX('月1回_2ヶ月前の在庫'!$H$6:$H$10005,MATCH($C167,'月1回_2ヶ月前の在庫'!$W$6:$W$10005,0)),"")))))</f>
        <v/>
      </c>
      <c r="F167">
        <f>IF($C167="","",IFERROR(IF(INDEX('商品マスタ'!$E$6:$E$1005,MATCH($C167,'商品マスタ'!$B$6:$B$1005,0))="",IFERROR(INDEX('①在庫を貼る'!$E$6:$E$10005,MATCH($C167,'①在庫を貼る'!$W$6:$W$10005,0)),IFERROR(INDEX('月1回_1ヶ月前の在庫'!$E$6:$E$10005,MATCH($C167,'月1回_1ヶ月前の在庫'!$W$6:$W$10005,0)),IFERROR(INDEX('月1回_2ヶ月前の在庫'!$E$6:$E$10005,MATCH($C167,'月1回_2ヶ月前の在庫'!$W$6:$W$10005,0)),""))),INDEX('商品マスタ'!$E$6:$E$1005,MATCH($C167,'商品マスタ'!$B$6:$B$1005,0))),IFERROR(INDEX('①在庫を貼る'!$E$6:$E$10005,MATCH($C167,'①在庫を貼る'!$W$6:$W$10005,0)),IFERROR(INDEX('月1回_1ヶ月前の在庫'!$E$6:$E$10005,MATCH($C167,'月1回_1ヶ月前の在庫'!$W$6:$W$10005,0)),IFERROR(INDEX('月1回_2ヶ月前の在庫'!$E$6:$E$10005,MATCH($C167,'月1回_2ヶ月前の在庫'!$W$6:$W$10005,0)),"")))))</f>
        <v/>
      </c>
      <c r="G167">
        <f>IF($C167="","",MAX(1,N(IFERROR(IF(INDEX('商品マスタ'!$F$6:$F$1005,MATCH($C167,'商品マスタ'!$B$6:$B$1005,0))="",IF(COUNTIFS('①在庫を貼る'!$V$6:$V$10005,'設定'!$C$4,'①在庫を貼る'!$W$6:$W$10005,$C167)&gt;0,SUMIFS('①在庫を貼る'!$K$6:$K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K$6:$K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K$6:$K$10005,'月1回_2ヶ月前の在庫'!$V$6:$V$10005,'設定'!$C$4,'月1回_2ヶ月前の在庫'!$W$6:$W$10005,$C167)/COUNTIFS('月1回_2ヶ月前の在庫'!$V$6:$V$10005,'設定'!$C$4,'月1回_2ヶ月前の在庫'!$W$6:$W$10005,$C167),0))),INDEX('商品マスタ'!$F$6:$F$1005,MATCH($C167,'商品マスタ'!$B$6:$B$1005,0))),IF(COUNTIFS('①在庫を貼る'!$V$6:$V$10005,'設定'!$C$4,'①在庫を貼る'!$W$6:$W$10005,$C167)&gt;0,SUMIFS('①在庫を貼る'!$K$6:$K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K$6:$K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K$6:$K$10005,'月1回_2ヶ月前の在庫'!$V$6:$V$10005,'設定'!$C$4,'月1回_2ヶ月前の在庫'!$W$6:$W$10005,$C167)/COUNTIFS('月1回_2ヶ月前の在庫'!$V$6:$V$10005,'設定'!$C$4,'月1回_2ヶ月前の在庫'!$W$6:$W$10005,$C167),0)))))))</f>
        <v/>
      </c>
      <c r="H167">
        <f>IF($C167="","",N(IFERROR(IF(INDEX('商品マスタ'!$G$6:$G$1005,MATCH($C167,'商品マスタ'!$B$6:$B$1005,0))="",IF(COUNTIFS('①在庫を貼る'!$V$6:$V$10005,'設定'!$C$4,'①在庫を貼る'!$W$6:$W$10005,$C167)&gt;0,SUMIFS('①在庫を貼る'!$Q$6:$Q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Q$6:$Q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Q$6:$Q$10005,'月1回_2ヶ月前の在庫'!$V$6:$V$10005,'設定'!$C$4,'月1回_2ヶ月前の在庫'!$W$6:$W$10005,$C167)/COUNTIFS('月1回_2ヶ月前の在庫'!$V$6:$V$10005,'設定'!$C$4,'月1回_2ヶ月前の在庫'!$W$6:$W$10005,$C167),0))),INDEX('商品マスタ'!$G$6:$G$1005,MATCH($C167,'商品マスタ'!$B$6:$B$1005,0))),IF(COUNTIFS('①在庫を貼る'!$V$6:$V$10005,'設定'!$C$4,'①在庫を貼る'!$W$6:$W$10005,$C167)&gt;0,SUMIFS('①在庫を貼る'!$Q$6:$Q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Q$6:$Q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Q$6:$Q$10005,'月1回_2ヶ月前の在庫'!$V$6:$V$10005,'設定'!$C$4,'月1回_2ヶ月前の在庫'!$W$6:$W$10005,$C167)/COUNTIFS('月1回_2ヶ月前の在庫'!$V$6:$V$10005,'設定'!$C$4,'月1回_2ヶ月前の在庫'!$W$6:$W$10005,$C167),0))))))</f>
        <v/>
      </c>
      <c r="I167">
        <f>IF($C167="","",IF(COUNTIFS('①在庫を貼る'!$V$6:$V$10005,'設定'!$C$4,'①在庫を貼る'!$W$6:$W$10005,$C167)=0,"",SUMIFS('①在庫を貼る'!$N$6:$N$10005,'①在庫を貼る'!$V$6:$V$10005,'設定'!$C$4,'①在庫を貼る'!$W$6:$W$10005,$C167)))</f>
        <v/>
      </c>
      <c r="J167">
        <f>IF($C167="","",IF('②発注する'!$AD171="","",'②発注する'!$AD171))</f>
        <v/>
      </c>
      <c r="K167" s="90">
        <f>IF($C167="","",IF('②発注する'!$AE171="","",'②発注する'!$AE171))</f>
        <v/>
      </c>
      <c r="L167">
        <f>IF($C167="","",IF(AND(ISNUMBER($J167),ISNUMBER($K167),$K167&gt;='設定'!$C$6),$J167,N($I167)))</f>
        <v/>
      </c>
      <c r="M167">
        <f>IF($C167="","",IFERROR(IF(N(INDEX('商品マスタ'!$J$6:$J$1005,MATCH($C167,'商品マスタ'!$B$6:$B$1005,0)))&gt;0,INDEX('商品マスタ'!$J$6:$J$1005,MATCH($C167,'商品マスタ'!$B$6:$B$1005,0)),""),""))</f>
        <v/>
      </c>
      <c r="N167">
        <f>IF($C167="","",IFERROR(IF(N(INDEX('商品マスタ'!$H$6:$H$1005,MATCH($C167,'商品マスタ'!$B$6:$B$1005,0)))&gt;0,INDEX('商品マスタ'!$H$6:$H$1005,MATCH($C167,'商品マスタ'!$B$6:$B$1005,0)),""),""))</f>
        <v/>
      </c>
      <c r="O167">
        <f>IF($C167="","",IF($N167&lt;&gt;"",$N167*$G167,IF(N(IF(COUNTIFS('①在庫を貼る'!$V$6:$V$10005,'設定'!$C$4,'①在庫を貼る'!$W$6:$W$10005,$C167)&gt;0,SUMIFS('①在庫を貼る'!$O$6:$O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O$6:$O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O$6:$O$10005,'月1回_2ヶ月前の在庫'!$V$6:$V$10005,'設定'!$C$4,'月1回_2ヶ月前の在庫'!$W$6:$W$10005,$C167)/COUNTIFS('月1回_2ヶ月前の在庫'!$V$6:$V$10005,'設定'!$C$4,'月1回_2ヶ月前の在庫'!$W$6:$W$10005,$C167),0))))&gt;0,N(IF(COUNTIFS('①在庫を貼る'!$V$6:$V$10005,'設定'!$C$4,'①在庫を貼る'!$W$6:$W$10005,$C167)&gt;0,SUMIFS('①在庫を貼る'!$O$6:$O$10005,'①在庫を貼る'!$V$6:$V$10005,'設定'!$C$4,'①在庫を貼る'!$W$6:$W$10005,$C167)/COUNTIFS('①在庫を貼る'!$V$6:$V$10005,'設定'!$C$4,'①在庫を貼る'!$W$6:$W$10005,$C167),IF(COUNTIFS('月1回_1ヶ月前の在庫'!$V$6:$V$10005,'設定'!$C$4,'月1回_1ヶ月前の在庫'!$W$6:$W$10005,$C167)&gt;0,SUMIFS('月1回_1ヶ月前の在庫'!$O$6:$O$10005,'月1回_1ヶ月前の在庫'!$V$6:$V$10005,'設定'!$C$4,'月1回_1ヶ月前の在庫'!$W$6:$W$10005,$C167)/COUNTIFS('月1回_1ヶ月前の在庫'!$V$6:$V$10005,'設定'!$C$4,'月1回_1ヶ月前の在庫'!$W$6:$W$10005,$C167),IF(COUNTIFS('月1回_2ヶ月前の在庫'!$V$6:$V$10005,'設定'!$C$4,'月1回_2ヶ月前の在庫'!$W$6:$W$10005,$C167)&gt;0,SUMIFS('月1回_2ヶ月前の在庫'!$O$6:$O$10005,'月1回_2ヶ月前の在庫'!$V$6:$V$10005,'設定'!$C$4,'月1回_2ヶ月前の在庫'!$W$6:$W$10005,$C167)/COUNTIFS('月1回_2ヶ月前の在庫'!$V$6:$V$10005,'設定'!$C$4,'月1回_2ヶ月前の在庫'!$W$6:$W$10005,$C167),0)))),"")))</f>
        <v/>
      </c>
      <c r="P167" s="90">
        <f>IF($C167="","",IF('②発注する'!$I171="","",'②発注する'!$I171))</f>
        <v/>
      </c>
      <c r="Q167">
        <f>IF($C167="","",IF('②発注する'!$J171="","",'②発注する'!$J171))</f>
        <v/>
      </c>
      <c r="R167">
        <f>IF($C167="",0,IF(AND(ISNUMBER($P167),ISNUMBER($Q167)),MAX(0,$Q167)*$G167,0))</f>
        <v/>
      </c>
      <c r="S167" s="90">
        <f>IF($C167="","",IF('②発注する'!$M171="","",'②発注する'!$M171))</f>
        <v/>
      </c>
      <c r="T167">
        <f>IF($C167="","",IF('②発注する'!$N171="","",'②発注する'!$N171))</f>
        <v/>
      </c>
      <c r="U167">
        <f>IF($C167="",0,IF(AND(ISNUMBER($S167),ISNUMBER($T167)),MAX(0,$T167)*$G167,0))</f>
        <v/>
      </c>
      <c r="V167">
        <f>IF($C167="",0,IF($M167="",0,MAX(0,$M167)*MAX(0,V$4)/100))</f>
        <v/>
      </c>
      <c r="W167">
        <f>IF($C167="",0,IF($M167="",0,MAX(0,$M167)*MAX(0,W$4)/100))</f>
        <v/>
      </c>
      <c r="X167">
        <f>IF($C167="",0,IF($M167="",0,MAX(0,$M167)*MAX(0,X$4)/100))</f>
        <v/>
      </c>
      <c r="Y167">
        <f>IF($C167="",0,IF($M167="",0,MAX(0,$M167)*MAX(0,Y$4)/100))</f>
        <v/>
      </c>
      <c r="Z167">
        <f>IF($C167="",0,IF($M167="",0,MAX(0,$M167)*MAX(0,Z$4)/100))</f>
        <v/>
      </c>
      <c r="AA167">
        <f>IF($C167="",0,IF($M167="",0,MAX(0,$M167)*MAX(0,AA$4)/100))</f>
        <v/>
      </c>
      <c r="AB167">
        <f>IF($C167="",0,IF($M167="",0,MAX(0,$M167)*MAX(0,AB$4)/100))</f>
        <v/>
      </c>
      <c r="AC167">
        <f>IF($C167="",0,IF($M167="",0,MAX(0,$M167)*MAX(0,AC$4)/100))</f>
        <v/>
      </c>
      <c r="AD167">
        <f>IF($C167="",0,IF($M167="",0,MAX(0,$M167)*MAX(0,AD$4)/100))</f>
        <v/>
      </c>
      <c r="AE167">
        <f>IF($C167="",0,IF($M167="",0,MAX(0,$M167)*MAX(0,AE$4)/100))</f>
        <v/>
      </c>
      <c r="AF167">
        <f>IF($C167="",0,IF($M167="",0,MAX(0,$M167)*MAX(0,AF$4)/100))</f>
        <v/>
      </c>
      <c r="AG167">
        <f>IF($C167="",0,IF($M167="",0,MAX(0,$M167)*MAX(0,AG$4)/100))</f>
        <v/>
      </c>
      <c r="AH167">
        <f>IF($C167="",0,IF($M167="",0,MAX(0,$M167)*MAX(0,AH$4)/100))</f>
        <v/>
      </c>
      <c r="AI167">
        <f>IF($C167="",0,IF($M167="",0,MAX(0,$M167)*MAX(0,AI$4)/100))</f>
        <v/>
      </c>
      <c r="AJ167">
        <f>IF($C167="",0,MAX(0,MAX(0,N($L167))-$V167))</f>
        <v/>
      </c>
      <c r="AK167">
        <f>IF($C167="",0,MAX(0,$AJ167-$W167))</f>
        <v/>
      </c>
      <c r="AL167">
        <f>IF($C167="",0,MAX(0,$AK167-$X167))</f>
        <v/>
      </c>
      <c r="AM167">
        <f>IF($C167="",0,MAX(0,$AL167-$Y167))</f>
        <v/>
      </c>
      <c r="AN167">
        <f>IF($C167="",0,MAX(0,$AM167-$Z167))</f>
        <v/>
      </c>
      <c r="AO167">
        <f>IF($C167="",0,MAX(0,$AN167-$AA167))</f>
        <v/>
      </c>
      <c r="AP167">
        <f>IF($C167="",0,MAX(0,$AO167-$AB167))</f>
        <v/>
      </c>
      <c r="AQ167">
        <f>IF($C167="",0,MAX(0,$AP167-$AC167))</f>
        <v/>
      </c>
      <c r="AR167">
        <f>IF($C167="",0,MAX(0,$AQ167-$AD167))</f>
        <v/>
      </c>
      <c r="AS167">
        <f>IF($C167="",0,MAX(0,$AR167-$AE167))</f>
        <v/>
      </c>
      <c r="AT167">
        <f>IF($C167="",0,MAX(0,$AS167-$AF167))</f>
        <v/>
      </c>
      <c r="AU167">
        <f>IF($C167="",0,MAX(0,$AT167-$AG167))</f>
        <v/>
      </c>
      <c r="AV167">
        <f>IF($C167="",0,MAX(0,$AU167-$AH167))</f>
        <v/>
      </c>
      <c r="AW167">
        <f>IF($C167="",0,MAX(0,$AV167-$AI167))</f>
        <v/>
      </c>
      <c r="AX167">
        <f>IF($C167="",0,MAX(0,MAX(0,N($L167))+IF($P167=V$3,$R167,0)+IF($S167=V$3,$U167,0)-$V167))</f>
        <v/>
      </c>
      <c r="AY167">
        <f>IF($C167="",0,MAX(0,$AX167+IF($P167=W$3,$R167,0)+IF($S167=W$3,$U167,0)-$W167))</f>
        <v/>
      </c>
      <c r="AZ167">
        <f>IF($C167="",0,MAX(0,$AY167+IF($P167=X$3,$R167,0)+IF($S167=X$3,$U167,0)-$X167))</f>
        <v/>
      </c>
      <c r="BA167">
        <f>IF($C167="",0,MAX(0,$AZ167+IF($P167=Y$3,$R167,0)+IF($S167=Y$3,$U167,0)-$Y167))</f>
        <v/>
      </c>
      <c r="BB167">
        <f>IF($C167="",0,MAX(0,$BA167+IF($P167=Z$3,$R167,0)+IF($S167=Z$3,$U167,0)-$Z167))</f>
        <v/>
      </c>
      <c r="BC167">
        <f>IF($C167="",0,MAX(0,$BB167+IF($P167=AA$3,$R167,0)+IF($S167=AA$3,$U167,0)-$AA167))</f>
        <v/>
      </c>
      <c r="BD167">
        <f>IF($C167="",0,MAX(0,$BC167+IF($P167=AB$3,$R167,0)+IF($S167=AB$3,$U167,0)-$AB167))</f>
        <v/>
      </c>
      <c r="BE167">
        <f>IF($C167="",0,MAX(0,$BD167+IF($P167=AC$3,$R167,0)+IF($S167=AC$3,$U167,0)-$AC167))</f>
        <v/>
      </c>
      <c r="BF167">
        <f>IF($C167="",0,MAX(0,$BE167+IF($P167=AD$3,$R167,0)+IF($S167=AD$3,$U167,0)-$AD167))</f>
        <v/>
      </c>
      <c r="BG167">
        <f>IF($C167="",0,MAX(0,$BF167+IF($P167=AE$3,$R167,0)+IF($S167=AE$3,$U167,0)-$AE167))</f>
        <v/>
      </c>
      <c r="BH167">
        <f>IF($C167="",0,MAX(0,$BG167+IF($P167=AF$3,$R167,0)+IF($S167=AF$3,$U167,0)-$AF167))</f>
        <v/>
      </c>
      <c r="BI167">
        <f>IF($C167="",0,MAX(0,$BH167+IF($P167=AG$3,$R167,0)+IF($S167=AG$3,$U167,0)-$AG167))</f>
        <v/>
      </c>
      <c r="BJ167">
        <f>IF($C167="",0,MAX(0,$BI167+IF($P167=AH$3,$R167,0)+IF($S167=AH$3,$U167,0)-$AH167))</f>
        <v/>
      </c>
      <c r="BK167">
        <f>IF($C167="",0,MAX(0,$BJ167+IF($P167=AI$3,$R167,0)+IF($S167=AI$3,$U167,0)-$AI167))</f>
        <v/>
      </c>
      <c r="BL167">
        <f>IF($C167="",99,IF(AND($AX167&lt;1,V$3&gt;=MAX(N($P167),N($S167))),0,99))</f>
        <v/>
      </c>
      <c r="BM167">
        <f>IF($C167="",99,IF(AND($AY167&lt;1,W$3&gt;=MAX(N($P167),N($S167))),1,99))</f>
        <v/>
      </c>
      <c r="BN167">
        <f>IF($C167="",99,IF(AND($AZ167&lt;1,X$3&gt;=MAX(N($P167),N($S167))),2,99))</f>
        <v/>
      </c>
      <c r="BO167">
        <f>IF($C167="",99,IF(AND($BA167&lt;1,Y$3&gt;=MAX(N($P167),N($S167))),3,99))</f>
        <v/>
      </c>
      <c r="BP167">
        <f>IF($C167="",99,IF(AND($BB167&lt;1,Z$3&gt;=MAX(N($P167),N($S167))),4,99))</f>
        <v/>
      </c>
      <c r="BQ167">
        <f>IF($C167="",99,IF(AND($BC167&lt;1,AA$3&gt;=MAX(N($P167),N($S167))),5,99))</f>
        <v/>
      </c>
      <c r="BR167">
        <f>IF($C167="",99,IF(AND($BD167&lt;1,AB$3&gt;=MAX(N($P167),N($S167))),6,99))</f>
        <v/>
      </c>
      <c r="BS167">
        <f>IF($C167="",99,IF(AND($BE167&lt;1,AC$3&gt;=MAX(N($P167),N($S167))),7,99))</f>
        <v/>
      </c>
      <c r="BT167">
        <f>IF($C167="",99,IF(AND($BF167&lt;1,AD$3&gt;=MAX(N($P167),N($S167))),8,99))</f>
        <v/>
      </c>
      <c r="BU167">
        <f>IF($C167="",99,IF(AND($BG167&lt;1,AE$3&gt;=MAX(N($P167),N($S167))),9,99))</f>
        <v/>
      </c>
      <c r="BV167">
        <f>IF($C167="",99,IF(AND($BH167&lt;1,AF$3&gt;=MAX(N($P167),N($S167))),10,99))</f>
        <v/>
      </c>
      <c r="BW167">
        <f>IF($C167="",99,IF(AND($BI167&lt;1,AG$3&gt;=MAX(N($P167),N($S167))),11,99))</f>
        <v/>
      </c>
      <c r="BX167">
        <f>IF($C167="",99,IF(AND($BJ167&lt;1,AH$3&gt;=MAX(N($P167),N($S167))),12,99))</f>
        <v/>
      </c>
      <c r="BY167">
        <f>IF($C167="",99,IF(AND($BK167&lt;1,AI$3&gt;=MAX(N($P167),N($S167))),13,99))</f>
        <v/>
      </c>
      <c r="BZ167">
        <f>IF(OR($C167="",$M167=""),"",COUNTIF($AJ167:$AW167,"&gt;=1"))</f>
        <v/>
      </c>
      <c r="CA167" s="90">
        <f>IF($BZ167="","",IF($BZ167&gt;=14,"",'設定'!$C$6+$BZ167))</f>
        <v/>
      </c>
      <c r="CB167">
        <f>IF(OR($C167="",$M167=""),"",MIN($BL167:$BY167))</f>
        <v/>
      </c>
      <c r="CC167" s="90">
        <f>IF($CB167="","",IF($CB167&gt;=99,"",'設定'!$C$6+$CB167))</f>
        <v/>
      </c>
      <c r="CD167">
        <f>IF(OR($C167="",$M167=""),"",AVERAGE($V167:$AI167))</f>
        <v/>
      </c>
      <c r="CE167">
        <f>IF($C167="","",IFERROR(IF(MATCH(IF(ISNUMBER($P167),$P167,'設定'!$C$6+N('設定'!$C$7)),$V$3:$AI$3,0)=1,MAX(0,N($L167)),INDEX($AJ167:$AW167,MATCH(IF(ISNUMBER($P167),$P167,'設定'!$C$6+N('設定'!$C$7)),$V$3:$AI$3,0)-1)),""))</f>
        <v/>
      </c>
      <c r="CF167">
        <f>IF(OR($C167="",$O167="",$CE167=""),"",IF($O167-$CE167&lt;=0,0,ROUNDUP(($O167-$CE167)/$G167,0)))</f>
        <v/>
      </c>
      <c r="CG167">
        <f>IF(OR($C167="",$CF167="",NOT(ISNUMBER($Q167))),0,MAX(0,$Q167-$CF167))</f>
        <v/>
      </c>
      <c r="CH167">
        <f>IF(OR($C167="",$O167="",$U167=0),0,IFERROR(ROUNDUP(MAX(0,IF(MATCH($S167,$V$3:$AI$3,0)=1,MAX(0,N($L167)),INDEX($AX167:$BK167,MATCH($S167,$V$3:$AI$3,0)-1))+$U167-$O167)/$G167,0),0))</f>
        <v/>
      </c>
      <c r="CI167">
        <f>IF($C167="","",IF(AND($P167="",$Q167=""),"",IF($P167="","⚠ 入庫日を ▼ から選んでください",IF(NOT(ISNUMBER($P167)),"⚠ 入庫日は ▼ から選んでください",IF($P167&lt;N('設定'!$C$6),"⚠ 入庫日が過去です（もう在庫に入っています）→ 消してください",IF($P167&gt;N('設定'!$C$6)+13,"⚠ 入庫日が14日より先です",IF(N($Q167)&lt;=0,"⚠ 入庫数を入れてください",IF($CG167&gt;0,"⚠ 目安より "&amp;$CG167&amp;" 多い（定数を超える）→ 減らす",""))))))))</f>
        <v/>
      </c>
      <c r="CJ167">
        <f>IF($C167="","",IF(AND($S167="",$T167=""),"",IF($S167="","⚠ 2便目：入庫日を ▼ から選んでください",IF(NOT(ISNUMBER($S167)),"⚠ 2便目：入庫日は ▼ から選んでください",IF($S167&lt;N('設定'!$C$6),"⚠ 2便目：入庫日が過去です（もう在庫に入っています）→ 消してください",IF($S167&gt;N('設定'!$C$6)+13,"⚠ 2便目：入庫日が14日より先です",IF(N($T167)&lt;=0,"⚠ 2便目：入庫数を入れてください",IF($CH167&gt;0,"⚠ 2便目：定数を "&amp;$CH167&amp;" ケース超える → 減らす",""))))))))</f>
        <v/>
      </c>
      <c r="CK167">
        <f>IF(AND($CI167="",N($Q167)&gt;0,ISNUMBER($P167)),1,0)</f>
        <v/>
      </c>
      <c r="CL167">
        <f>IF(AND($CJ167="",N($T167)&gt;0,ISNUMBER($S167)),1,0)</f>
        <v/>
      </c>
      <c r="CM167">
        <f>IF(OR($CK167=1,$CL167=1),1,0)</f>
        <v/>
      </c>
      <c r="CN167">
        <f>IF($C167="",0,($CK167*$R167+$CL167*$U167)*N($H167))</f>
        <v/>
      </c>
      <c r="CO167">
        <f>IF($C167="","",IF($CC167="","入庫後は 14日以上もつ",IF($CC167-N('設定'!$C$7)&lt;='設定'!$C$6,"入庫後も "&amp;TEXT($CC167,"m/d")&amp;"("&amp;CHOOSE(WEEKDAY($CC167),"日","月","火","水","木","金","土")&amp;")"&amp;" に切れる　もう1便を至急発注","入庫後も "&amp;TEXT($CC167,"m/d")&amp;"("&amp;CHOOSE(WEEKDAY($CC167),"日","月","火","水","木","金","土")&amp;")"&amp;" に切れる　"&amp;TEXT($CC167-N('設定'!$C$7),"m/d")&amp;"("&amp;CHOOSE(WEEKDAY($CC167-N('設定'!$C$7)),"日","月","火","水","木","金","土")&amp;")"&amp;" までに次を発注")))</f>
        <v/>
      </c>
      <c r="CP167">
        <f>IF($C167="","",IF('設定'!$C$6="","？ ①在庫を貼る に今日のCSVが貼られていない",IF($CS167=1,"－ 今日のCSVに無い（終売？）",IF($L167&lt;0,"● 在庫がマイナス　数えて「数えた在庫」に入れる",IF($L167=0,"● 在庫なし　至急発注",IF($M167="","？ 減り数が未設定（商品マスタ）",IF($B$3=0,"？ 動員が未入力（動員を入れる）",IF($CA167="","○ 14日以上もつ",IF($BZ167&lt;N('設定'!$C$7),"● "&amp;TEXT($CA167,"m/d")&amp;"("&amp;CHOOSE(WEEKDAY($CA167),"日","月","火","水","木","金","土")&amp;")"&amp;" に切れる　至急発注",IF($BZ167=N('設定'!$C$7),"● "&amp;TEXT($CA167,"m/d")&amp;"("&amp;CHOOSE(WEEKDAY($CA167),"日","月","火","水","木","金","土")&amp;")"&amp;" に切れる　今日発注","△ "&amp;TEXT($CA167,"m/d")&amp;"("&amp;CHOOSE(WEEKDAY($CA167),"日","月","火","水","木","金","土")&amp;")"&amp;" に切れる　"&amp;TEXT($CA167-N('設定'!$C$7),"m/d")&amp;"("&amp;CHOOSE(WEEKDAY($CA167-N('設定'!$C$7)),"日","月","火","水","木","金","土")&amp;")"&amp;" までに発注"))))))))))</f>
        <v/>
      </c>
      <c r="CQ167">
        <f>IF($C167="","",IF(AND($P167="",$Q167="",$S167="",$T167=""),"",IF(AND($P167="",$Q167=""),"⚠ 先に1便目（左の入庫日・入庫数）に入れてください",IF($CI167&lt;&gt;"",$CI167,IF($CJ167&lt;&gt;"",$CJ167,IF($M167="","？ 減り数が未設定（発注書には載ります）",IF($B$3=0,"？ 動員が未入力（発注書には載ります）",IF(AND($CA167&lt;&gt;"",$P167&gt;$CA167),IF($P167&gt;'設定'!$C$6+N('設定'!$C$7),"● "&amp;TEXT($P167,"m/d")&amp;"("&amp;CHOOSE(WEEKDAY($P167),"日","月","火","水","木","金","土")&amp;")"&amp;" の入庫では間に合わない（"&amp;TEXT($CA167,"m/d")&amp;"("&amp;CHOOSE(WEEKDAY($CA167),"日","月","火","水","木","金","土")&amp;")"&amp;" に切れる）　入庫日を早める","△ 欠品 "&amp;TEXT($CA167,"m/d")&amp;"("&amp;CHOOSE(WEEKDAY($CA167),"日","月","火","水","木","金","土")&amp;")"&amp;"〜"&amp;TEXT($P167-1,"m/d")&amp;"("&amp;CHOOSE(WEEKDAY($P167-1),"日","月","火","水","木","金","土")&amp;")"&amp;"　"&amp;$CO167),IF($CC167="","○ "&amp;TEXT($P167,"m/d")&amp;"("&amp;CHOOSE(WEEKDAY($P167),"日","月","火","水","木","金","土")&amp;")"&amp;" 入庫で 14日以上もつ",IF($CC167-N('設定'!$C$7)&lt;='設定'!$C$6,"● 入庫しても "&amp;TEXT($CC167,"m/d")&amp;"("&amp;CHOOSE(WEEKDAY($CC167),"日","月","火","水","木","金","土")&amp;")"&amp;" に切れる　もう1便を至急発注（2便目に入れる）","△ 入庫しても "&amp;TEXT($CC167,"m/d")&amp;"("&amp;CHOOSE(WEEKDAY($CC167),"日","月","火","水","木","金","土")&amp;")"&amp;" に切れる　"&amp;TEXT($CC167-N('設定'!$C$7),"m/d")&amp;"("&amp;CHOOSE(WEEKDAY($CC167-N('設定'!$C$7)),"日","月","火","水","木","金","土")&amp;")"&amp;" までに次を発注（2便目に入れる）"))))))))))</f>
        <v/>
      </c>
      <c r="CR167">
        <f>IF($C167="","",IF($G167&gt;1,"ｹｰｽ("&amp;$G167&amp;"入)","個"))</f>
        <v/>
      </c>
      <c r="CS167">
        <f>IF($C167="",0,IF(COUNTIFS('①在庫を貼る'!$V$6:$V$10005,'設定'!$C$4,'①在庫を貼る'!$W$6:$W$10005,$C167)=0,1,0))</f>
        <v/>
      </c>
      <c r="CT167">
        <f>IF(AND($CK167=1,OR('③発注書'!$C$4="すべて",'③発注書'!$C$4="",$F167='③発注書'!$C$4)),N($CT166)+1,N($CT166))</f>
        <v/>
      </c>
      <c r="CU167">
        <f>IF(AND($CL167=1,OR('③発注書'!$C$4="すべて",'③発注書'!$C$4="",$F167='③発注書'!$C$4)),N($CU166)+1,N($CU166))</f>
        <v/>
      </c>
      <c r="CV167">
        <f>IF($C167="",0,IF(COUNTIFS('①在庫を貼る'!$V$6:$V$10005,'設定'!$C$4,'①在庫を貼る'!$W$6:$W$10005,$C167)&gt;0,1,0))</f>
        <v/>
      </c>
      <c r="CW167">
        <f>IF($C167="",0,IF(COUNTIFS('月1回_1ヶ月前の在庫'!$V$6:$V$10005,'設定'!$C$4,'月1回_1ヶ月前の在庫'!$W$6:$W$10005,$C167)&gt;0,1,0))</f>
        <v/>
      </c>
      <c r="CX167">
        <f>IF($C167="",0,IF(COUNTIFS('月1回_2ヶ月前の在庫'!$V$6:$V$10005,'設定'!$C$4,'月1回_2ヶ月前の在庫'!$W$6:$W$10005,$C167)&gt;0,1,0))</f>
        <v/>
      </c>
      <c r="CY167">
        <f>IF(OR($C167="",'設定'!$C$12=""),"",IF('設定'!$C$13="",IF(AND($CV167=1,$CW167=0),"新商品（今月から）",IF(AND($CV167=0,$CW167=1),"終売（今月から）","")),IF(AND($CV167=1,$CW167=0,$CX167=0),"新商品（今月から）",IF(AND($CV167=1,$CW167=1,$CX167=0),"新商品（先月から）",IF(AND($CV167=0,$CW167=1,$CX167=1),"終売（今月から）",IF(AND($CV167=0,$CW167=0,$CX167=1),"終売（先月から）",IF(AND($CV167=1,$CW167=0,$CX167=1),"復活（先月は無し）","")))))))</f>
        <v/>
      </c>
    </row>
    <row r="168">
      <c r="B168">
        <f>IF(163&lt;='設定'!$C$11,163,"")</f>
        <v/>
      </c>
      <c r="C168">
        <f>IF($B168="","",IF($B168&lt;='設定'!$C$20,INDEX('商品マスタ'!$B$6:$B$1005,MATCH($B168,'商品マスタ'!$M$6:$M$1005,0)),IF($B168&lt;='設定'!$C$20+'設定'!$C$17,INDEX('①在庫を貼る'!$W$6:$W$10005,MATCH($B168-'設定'!$C$20,'①在庫を貼る'!$U$6:$U$10005,0)),IF($B168&lt;='設定'!$C$20+'設定'!$C$17+'設定'!$C$18,INDEX('月1回_1ヶ月前の在庫'!$W$6:$W$10005,MATCH($B168-'設定'!$C$20-'設定'!$C$17,'月1回_1ヶ月前の在庫'!$U$6:$U$10005,0)),INDEX('月1回_2ヶ月前の在庫'!$W$6:$W$10005,MATCH($B168-'設定'!$C$20-'設定'!$C$17-'設定'!$C$18,'月1回_2ヶ月前の在庫'!$U$6:$U$10005,0))))))</f>
        <v/>
      </c>
      <c r="D168">
        <f>IF($C168="","",IFERROR(IF(INDEX('商品マスタ'!$C$6:$C$1005,MATCH($C168,'商品マスタ'!$B$6:$B$1005,0))="",IFERROR(INDEX('①在庫を貼る'!$J$6:$J$10005,MATCH($C168,'①在庫を貼る'!$W$6:$W$10005,0)),IFERROR(INDEX('月1回_1ヶ月前の在庫'!$J$6:$J$10005,MATCH($C168,'月1回_1ヶ月前の在庫'!$W$6:$W$10005,0)),IFERROR(INDEX('月1回_2ヶ月前の在庫'!$J$6:$J$10005,MATCH($C168,'月1回_2ヶ月前の在庫'!$W$6:$W$10005,0)),""))),INDEX('商品マスタ'!$C$6:$C$1005,MATCH($C168,'商品マスタ'!$B$6:$B$1005,0))),IFERROR(INDEX('①在庫を貼る'!$J$6:$J$10005,MATCH($C168,'①在庫を貼る'!$W$6:$W$10005,0)),IFERROR(INDEX('月1回_1ヶ月前の在庫'!$J$6:$J$10005,MATCH($C168,'月1回_1ヶ月前の在庫'!$W$6:$W$10005,0)),IFERROR(INDEX('月1回_2ヶ月前の在庫'!$J$6:$J$10005,MATCH($C168,'月1回_2ヶ月前の在庫'!$W$6:$W$10005,0)),"")))))</f>
        <v/>
      </c>
      <c r="E168">
        <f>IF($C168="","",IFERROR(IF(INDEX('商品マスタ'!$D$6:$D$1005,MATCH($C168,'商品マスタ'!$B$6:$B$1005,0))="",IFERROR(INDEX('①在庫を貼る'!$H$6:$H$10005,MATCH($C168,'①在庫を貼る'!$W$6:$W$10005,0)),IFERROR(INDEX('月1回_1ヶ月前の在庫'!$H$6:$H$10005,MATCH($C168,'月1回_1ヶ月前の在庫'!$W$6:$W$10005,0)),IFERROR(INDEX('月1回_2ヶ月前の在庫'!$H$6:$H$10005,MATCH($C168,'月1回_2ヶ月前の在庫'!$W$6:$W$10005,0)),""))),INDEX('商品マスタ'!$D$6:$D$1005,MATCH($C168,'商品マスタ'!$B$6:$B$1005,0))),IFERROR(INDEX('①在庫を貼る'!$H$6:$H$10005,MATCH($C168,'①在庫を貼る'!$W$6:$W$10005,0)),IFERROR(INDEX('月1回_1ヶ月前の在庫'!$H$6:$H$10005,MATCH($C168,'月1回_1ヶ月前の在庫'!$W$6:$W$10005,0)),IFERROR(INDEX('月1回_2ヶ月前の在庫'!$H$6:$H$10005,MATCH($C168,'月1回_2ヶ月前の在庫'!$W$6:$W$10005,0)),"")))))</f>
        <v/>
      </c>
      <c r="F168">
        <f>IF($C168="","",IFERROR(IF(INDEX('商品マスタ'!$E$6:$E$1005,MATCH($C168,'商品マスタ'!$B$6:$B$1005,0))="",IFERROR(INDEX('①在庫を貼る'!$E$6:$E$10005,MATCH($C168,'①在庫を貼る'!$W$6:$W$10005,0)),IFERROR(INDEX('月1回_1ヶ月前の在庫'!$E$6:$E$10005,MATCH($C168,'月1回_1ヶ月前の在庫'!$W$6:$W$10005,0)),IFERROR(INDEX('月1回_2ヶ月前の在庫'!$E$6:$E$10005,MATCH($C168,'月1回_2ヶ月前の在庫'!$W$6:$W$10005,0)),""))),INDEX('商品マスタ'!$E$6:$E$1005,MATCH($C168,'商品マスタ'!$B$6:$B$1005,0))),IFERROR(INDEX('①在庫を貼る'!$E$6:$E$10005,MATCH($C168,'①在庫を貼る'!$W$6:$W$10005,0)),IFERROR(INDEX('月1回_1ヶ月前の在庫'!$E$6:$E$10005,MATCH($C168,'月1回_1ヶ月前の在庫'!$W$6:$W$10005,0)),IFERROR(INDEX('月1回_2ヶ月前の在庫'!$E$6:$E$10005,MATCH($C168,'月1回_2ヶ月前の在庫'!$W$6:$W$10005,0)),"")))))</f>
        <v/>
      </c>
      <c r="G168">
        <f>IF($C168="","",MAX(1,N(IFERROR(IF(INDEX('商品マスタ'!$F$6:$F$1005,MATCH($C168,'商品マスタ'!$B$6:$B$1005,0))="",IF(COUNTIFS('①在庫を貼る'!$V$6:$V$10005,'設定'!$C$4,'①在庫を貼る'!$W$6:$W$10005,$C168)&gt;0,SUMIFS('①在庫を貼る'!$K$6:$K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K$6:$K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K$6:$K$10005,'月1回_2ヶ月前の在庫'!$V$6:$V$10005,'設定'!$C$4,'月1回_2ヶ月前の在庫'!$W$6:$W$10005,$C168)/COUNTIFS('月1回_2ヶ月前の在庫'!$V$6:$V$10005,'設定'!$C$4,'月1回_2ヶ月前の在庫'!$W$6:$W$10005,$C168),0))),INDEX('商品マスタ'!$F$6:$F$1005,MATCH($C168,'商品マスタ'!$B$6:$B$1005,0))),IF(COUNTIFS('①在庫を貼る'!$V$6:$V$10005,'設定'!$C$4,'①在庫を貼る'!$W$6:$W$10005,$C168)&gt;0,SUMIFS('①在庫を貼る'!$K$6:$K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K$6:$K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K$6:$K$10005,'月1回_2ヶ月前の在庫'!$V$6:$V$10005,'設定'!$C$4,'月1回_2ヶ月前の在庫'!$W$6:$W$10005,$C168)/COUNTIFS('月1回_2ヶ月前の在庫'!$V$6:$V$10005,'設定'!$C$4,'月1回_2ヶ月前の在庫'!$W$6:$W$10005,$C168),0)))))))</f>
        <v/>
      </c>
      <c r="H168">
        <f>IF($C168="","",N(IFERROR(IF(INDEX('商品マスタ'!$G$6:$G$1005,MATCH($C168,'商品マスタ'!$B$6:$B$1005,0))="",IF(COUNTIFS('①在庫を貼る'!$V$6:$V$10005,'設定'!$C$4,'①在庫を貼る'!$W$6:$W$10005,$C168)&gt;0,SUMIFS('①在庫を貼る'!$Q$6:$Q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Q$6:$Q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Q$6:$Q$10005,'月1回_2ヶ月前の在庫'!$V$6:$V$10005,'設定'!$C$4,'月1回_2ヶ月前の在庫'!$W$6:$W$10005,$C168)/COUNTIFS('月1回_2ヶ月前の在庫'!$V$6:$V$10005,'設定'!$C$4,'月1回_2ヶ月前の在庫'!$W$6:$W$10005,$C168),0))),INDEX('商品マスタ'!$G$6:$G$1005,MATCH($C168,'商品マスタ'!$B$6:$B$1005,0))),IF(COUNTIFS('①在庫を貼る'!$V$6:$V$10005,'設定'!$C$4,'①在庫を貼る'!$W$6:$W$10005,$C168)&gt;0,SUMIFS('①在庫を貼る'!$Q$6:$Q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Q$6:$Q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Q$6:$Q$10005,'月1回_2ヶ月前の在庫'!$V$6:$V$10005,'設定'!$C$4,'月1回_2ヶ月前の在庫'!$W$6:$W$10005,$C168)/COUNTIFS('月1回_2ヶ月前の在庫'!$V$6:$V$10005,'設定'!$C$4,'月1回_2ヶ月前の在庫'!$W$6:$W$10005,$C168),0))))))</f>
        <v/>
      </c>
      <c r="I168">
        <f>IF($C168="","",IF(COUNTIFS('①在庫を貼る'!$V$6:$V$10005,'設定'!$C$4,'①在庫を貼る'!$W$6:$W$10005,$C168)=0,"",SUMIFS('①在庫を貼る'!$N$6:$N$10005,'①在庫を貼る'!$V$6:$V$10005,'設定'!$C$4,'①在庫を貼る'!$W$6:$W$10005,$C168)))</f>
        <v/>
      </c>
      <c r="J168">
        <f>IF($C168="","",IF('②発注する'!$AD172="","",'②発注する'!$AD172))</f>
        <v/>
      </c>
      <c r="K168" s="90">
        <f>IF($C168="","",IF('②発注する'!$AE172="","",'②発注する'!$AE172))</f>
        <v/>
      </c>
      <c r="L168">
        <f>IF($C168="","",IF(AND(ISNUMBER($J168),ISNUMBER($K168),$K168&gt;='設定'!$C$6),$J168,N($I168)))</f>
        <v/>
      </c>
      <c r="M168">
        <f>IF($C168="","",IFERROR(IF(N(INDEX('商品マスタ'!$J$6:$J$1005,MATCH($C168,'商品マスタ'!$B$6:$B$1005,0)))&gt;0,INDEX('商品マスタ'!$J$6:$J$1005,MATCH($C168,'商品マスタ'!$B$6:$B$1005,0)),""),""))</f>
        <v/>
      </c>
      <c r="N168">
        <f>IF($C168="","",IFERROR(IF(N(INDEX('商品マスタ'!$H$6:$H$1005,MATCH($C168,'商品マスタ'!$B$6:$B$1005,0)))&gt;0,INDEX('商品マスタ'!$H$6:$H$1005,MATCH($C168,'商品マスタ'!$B$6:$B$1005,0)),""),""))</f>
        <v/>
      </c>
      <c r="O168">
        <f>IF($C168="","",IF($N168&lt;&gt;"",$N168*$G168,IF(N(IF(COUNTIFS('①在庫を貼る'!$V$6:$V$10005,'設定'!$C$4,'①在庫を貼る'!$W$6:$W$10005,$C168)&gt;0,SUMIFS('①在庫を貼る'!$O$6:$O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O$6:$O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O$6:$O$10005,'月1回_2ヶ月前の在庫'!$V$6:$V$10005,'設定'!$C$4,'月1回_2ヶ月前の在庫'!$W$6:$W$10005,$C168)/COUNTIFS('月1回_2ヶ月前の在庫'!$V$6:$V$10005,'設定'!$C$4,'月1回_2ヶ月前の在庫'!$W$6:$W$10005,$C168),0))))&gt;0,N(IF(COUNTIFS('①在庫を貼る'!$V$6:$V$10005,'設定'!$C$4,'①在庫を貼る'!$W$6:$W$10005,$C168)&gt;0,SUMIFS('①在庫を貼る'!$O$6:$O$10005,'①在庫を貼る'!$V$6:$V$10005,'設定'!$C$4,'①在庫を貼る'!$W$6:$W$10005,$C168)/COUNTIFS('①在庫を貼る'!$V$6:$V$10005,'設定'!$C$4,'①在庫を貼る'!$W$6:$W$10005,$C168),IF(COUNTIFS('月1回_1ヶ月前の在庫'!$V$6:$V$10005,'設定'!$C$4,'月1回_1ヶ月前の在庫'!$W$6:$W$10005,$C168)&gt;0,SUMIFS('月1回_1ヶ月前の在庫'!$O$6:$O$10005,'月1回_1ヶ月前の在庫'!$V$6:$V$10005,'設定'!$C$4,'月1回_1ヶ月前の在庫'!$W$6:$W$10005,$C168)/COUNTIFS('月1回_1ヶ月前の在庫'!$V$6:$V$10005,'設定'!$C$4,'月1回_1ヶ月前の在庫'!$W$6:$W$10005,$C168),IF(COUNTIFS('月1回_2ヶ月前の在庫'!$V$6:$V$10005,'設定'!$C$4,'月1回_2ヶ月前の在庫'!$W$6:$W$10005,$C168)&gt;0,SUMIFS('月1回_2ヶ月前の在庫'!$O$6:$O$10005,'月1回_2ヶ月前の在庫'!$V$6:$V$10005,'設定'!$C$4,'月1回_2ヶ月前の在庫'!$W$6:$W$10005,$C168)/COUNTIFS('月1回_2ヶ月前の在庫'!$V$6:$V$10005,'設定'!$C$4,'月1回_2ヶ月前の在庫'!$W$6:$W$10005,$C168),0)))),"")))</f>
        <v/>
      </c>
      <c r="P168" s="90">
        <f>IF($C168="","",IF('②発注する'!$I172="","",'②発注する'!$I172))</f>
        <v/>
      </c>
      <c r="Q168">
        <f>IF($C168="","",IF('②発注する'!$J172="","",'②発注する'!$J172))</f>
        <v/>
      </c>
      <c r="R168">
        <f>IF($C168="",0,IF(AND(ISNUMBER($P168),ISNUMBER($Q168)),MAX(0,$Q168)*$G168,0))</f>
        <v/>
      </c>
      <c r="S168" s="90">
        <f>IF($C168="","",IF('②発注する'!$M172="","",'②発注する'!$M172))</f>
        <v/>
      </c>
      <c r="T168">
        <f>IF($C168="","",IF('②発注する'!$N172="","",'②発注する'!$N172))</f>
        <v/>
      </c>
      <c r="U168">
        <f>IF($C168="",0,IF(AND(ISNUMBER($S168),ISNUMBER($T168)),MAX(0,$T168)*$G168,0))</f>
        <v/>
      </c>
      <c r="V168">
        <f>IF($C168="",0,IF($M168="",0,MAX(0,$M168)*MAX(0,V$4)/100))</f>
        <v/>
      </c>
      <c r="W168">
        <f>IF($C168="",0,IF($M168="",0,MAX(0,$M168)*MAX(0,W$4)/100))</f>
        <v/>
      </c>
      <c r="X168">
        <f>IF($C168="",0,IF($M168="",0,MAX(0,$M168)*MAX(0,X$4)/100))</f>
        <v/>
      </c>
      <c r="Y168">
        <f>IF($C168="",0,IF($M168="",0,MAX(0,$M168)*MAX(0,Y$4)/100))</f>
        <v/>
      </c>
      <c r="Z168">
        <f>IF($C168="",0,IF($M168="",0,MAX(0,$M168)*MAX(0,Z$4)/100))</f>
        <v/>
      </c>
      <c r="AA168">
        <f>IF($C168="",0,IF($M168="",0,MAX(0,$M168)*MAX(0,AA$4)/100))</f>
        <v/>
      </c>
      <c r="AB168">
        <f>IF($C168="",0,IF($M168="",0,MAX(0,$M168)*MAX(0,AB$4)/100))</f>
        <v/>
      </c>
      <c r="AC168">
        <f>IF($C168="",0,IF($M168="",0,MAX(0,$M168)*MAX(0,AC$4)/100))</f>
        <v/>
      </c>
      <c r="AD168">
        <f>IF($C168="",0,IF($M168="",0,MAX(0,$M168)*MAX(0,AD$4)/100))</f>
        <v/>
      </c>
      <c r="AE168">
        <f>IF($C168="",0,IF($M168="",0,MAX(0,$M168)*MAX(0,AE$4)/100))</f>
        <v/>
      </c>
      <c r="AF168">
        <f>IF($C168="",0,IF($M168="",0,MAX(0,$M168)*MAX(0,AF$4)/100))</f>
        <v/>
      </c>
      <c r="AG168">
        <f>IF($C168="",0,IF($M168="",0,MAX(0,$M168)*MAX(0,AG$4)/100))</f>
        <v/>
      </c>
      <c r="AH168">
        <f>IF($C168="",0,IF($M168="",0,MAX(0,$M168)*MAX(0,AH$4)/100))</f>
        <v/>
      </c>
      <c r="AI168">
        <f>IF($C168="",0,IF($M168="",0,MAX(0,$M168)*MAX(0,AI$4)/100))</f>
        <v/>
      </c>
      <c r="AJ168">
        <f>IF($C168="",0,MAX(0,MAX(0,N($L168))-$V168))</f>
        <v/>
      </c>
      <c r="AK168">
        <f>IF($C168="",0,MAX(0,$AJ168-$W168))</f>
        <v/>
      </c>
      <c r="AL168">
        <f>IF($C168="",0,MAX(0,$AK168-$X168))</f>
        <v/>
      </c>
      <c r="AM168">
        <f>IF($C168="",0,MAX(0,$AL168-$Y168))</f>
        <v/>
      </c>
      <c r="AN168">
        <f>IF($C168="",0,MAX(0,$AM168-$Z168))</f>
        <v/>
      </c>
      <c r="AO168">
        <f>IF($C168="",0,MAX(0,$AN168-$AA168))</f>
        <v/>
      </c>
      <c r="AP168">
        <f>IF($C168="",0,MAX(0,$AO168-$AB168))</f>
        <v/>
      </c>
      <c r="AQ168">
        <f>IF($C168="",0,MAX(0,$AP168-$AC168))</f>
        <v/>
      </c>
      <c r="AR168">
        <f>IF($C168="",0,MAX(0,$AQ168-$AD168))</f>
        <v/>
      </c>
      <c r="AS168">
        <f>IF($C168="",0,MAX(0,$AR168-$AE168))</f>
        <v/>
      </c>
      <c r="AT168">
        <f>IF($C168="",0,MAX(0,$AS168-$AF168))</f>
        <v/>
      </c>
      <c r="AU168">
        <f>IF($C168="",0,MAX(0,$AT168-$AG168))</f>
        <v/>
      </c>
      <c r="AV168">
        <f>IF($C168="",0,MAX(0,$AU168-$AH168))</f>
        <v/>
      </c>
      <c r="AW168">
        <f>IF($C168="",0,MAX(0,$AV168-$AI168))</f>
        <v/>
      </c>
      <c r="AX168">
        <f>IF($C168="",0,MAX(0,MAX(0,N($L168))+IF($P168=V$3,$R168,0)+IF($S168=V$3,$U168,0)-$V168))</f>
        <v/>
      </c>
      <c r="AY168">
        <f>IF($C168="",0,MAX(0,$AX168+IF($P168=W$3,$R168,0)+IF($S168=W$3,$U168,0)-$W168))</f>
        <v/>
      </c>
      <c r="AZ168">
        <f>IF($C168="",0,MAX(0,$AY168+IF($P168=X$3,$R168,0)+IF($S168=X$3,$U168,0)-$X168))</f>
        <v/>
      </c>
      <c r="BA168">
        <f>IF($C168="",0,MAX(0,$AZ168+IF($P168=Y$3,$R168,0)+IF($S168=Y$3,$U168,0)-$Y168))</f>
        <v/>
      </c>
      <c r="BB168">
        <f>IF($C168="",0,MAX(0,$BA168+IF($P168=Z$3,$R168,0)+IF($S168=Z$3,$U168,0)-$Z168))</f>
        <v/>
      </c>
      <c r="BC168">
        <f>IF($C168="",0,MAX(0,$BB168+IF($P168=AA$3,$R168,0)+IF($S168=AA$3,$U168,0)-$AA168))</f>
        <v/>
      </c>
      <c r="BD168">
        <f>IF($C168="",0,MAX(0,$BC168+IF($P168=AB$3,$R168,0)+IF($S168=AB$3,$U168,0)-$AB168))</f>
        <v/>
      </c>
      <c r="BE168">
        <f>IF($C168="",0,MAX(0,$BD168+IF($P168=AC$3,$R168,0)+IF($S168=AC$3,$U168,0)-$AC168))</f>
        <v/>
      </c>
      <c r="BF168">
        <f>IF($C168="",0,MAX(0,$BE168+IF($P168=AD$3,$R168,0)+IF($S168=AD$3,$U168,0)-$AD168))</f>
        <v/>
      </c>
      <c r="BG168">
        <f>IF($C168="",0,MAX(0,$BF168+IF($P168=AE$3,$R168,0)+IF($S168=AE$3,$U168,0)-$AE168))</f>
        <v/>
      </c>
      <c r="BH168">
        <f>IF($C168="",0,MAX(0,$BG168+IF($P168=AF$3,$R168,0)+IF($S168=AF$3,$U168,0)-$AF168))</f>
        <v/>
      </c>
      <c r="BI168">
        <f>IF($C168="",0,MAX(0,$BH168+IF($P168=AG$3,$R168,0)+IF($S168=AG$3,$U168,0)-$AG168))</f>
        <v/>
      </c>
      <c r="BJ168">
        <f>IF($C168="",0,MAX(0,$BI168+IF($P168=AH$3,$R168,0)+IF($S168=AH$3,$U168,0)-$AH168))</f>
        <v/>
      </c>
      <c r="BK168">
        <f>IF($C168="",0,MAX(0,$BJ168+IF($P168=AI$3,$R168,0)+IF($S168=AI$3,$U168,0)-$AI168))</f>
        <v/>
      </c>
      <c r="BL168">
        <f>IF($C168="",99,IF(AND($AX168&lt;1,V$3&gt;=MAX(N($P168),N($S168))),0,99))</f>
        <v/>
      </c>
      <c r="BM168">
        <f>IF($C168="",99,IF(AND($AY168&lt;1,W$3&gt;=MAX(N($P168),N($S168))),1,99))</f>
        <v/>
      </c>
      <c r="BN168">
        <f>IF($C168="",99,IF(AND($AZ168&lt;1,X$3&gt;=MAX(N($P168),N($S168))),2,99))</f>
        <v/>
      </c>
      <c r="BO168">
        <f>IF($C168="",99,IF(AND($BA168&lt;1,Y$3&gt;=MAX(N($P168),N($S168))),3,99))</f>
        <v/>
      </c>
      <c r="BP168">
        <f>IF($C168="",99,IF(AND($BB168&lt;1,Z$3&gt;=MAX(N($P168),N($S168))),4,99))</f>
        <v/>
      </c>
      <c r="BQ168">
        <f>IF($C168="",99,IF(AND($BC168&lt;1,AA$3&gt;=MAX(N($P168),N($S168))),5,99))</f>
        <v/>
      </c>
      <c r="BR168">
        <f>IF($C168="",99,IF(AND($BD168&lt;1,AB$3&gt;=MAX(N($P168),N($S168))),6,99))</f>
        <v/>
      </c>
      <c r="BS168">
        <f>IF($C168="",99,IF(AND($BE168&lt;1,AC$3&gt;=MAX(N($P168),N($S168))),7,99))</f>
        <v/>
      </c>
      <c r="BT168">
        <f>IF($C168="",99,IF(AND($BF168&lt;1,AD$3&gt;=MAX(N($P168),N($S168))),8,99))</f>
        <v/>
      </c>
      <c r="BU168">
        <f>IF($C168="",99,IF(AND($BG168&lt;1,AE$3&gt;=MAX(N($P168),N($S168))),9,99))</f>
        <v/>
      </c>
      <c r="BV168">
        <f>IF($C168="",99,IF(AND($BH168&lt;1,AF$3&gt;=MAX(N($P168),N($S168))),10,99))</f>
        <v/>
      </c>
      <c r="BW168">
        <f>IF($C168="",99,IF(AND($BI168&lt;1,AG$3&gt;=MAX(N($P168),N($S168))),11,99))</f>
        <v/>
      </c>
      <c r="BX168">
        <f>IF($C168="",99,IF(AND($BJ168&lt;1,AH$3&gt;=MAX(N($P168),N($S168))),12,99))</f>
        <v/>
      </c>
      <c r="BY168">
        <f>IF($C168="",99,IF(AND($BK168&lt;1,AI$3&gt;=MAX(N($P168),N($S168))),13,99))</f>
        <v/>
      </c>
      <c r="BZ168">
        <f>IF(OR($C168="",$M168=""),"",COUNTIF($AJ168:$AW168,"&gt;=1"))</f>
        <v/>
      </c>
      <c r="CA168" s="90">
        <f>IF($BZ168="","",IF($BZ168&gt;=14,"",'設定'!$C$6+$BZ168))</f>
        <v/>
      </c>
      <c r="CB168">
        <f>IF(OR($C168="",$M168=""),"",MIN($BL168:$BY168))</f>
        <v/>
      </c>
      <c r="CC168" s="90">
        <f>IF($CB168="","",IF($CB168&gt;=99,"",'設定'!$C$6+$CB168))</f>
        <v/>
      </c>
      <c r="CD168">
        <f>IF(OR($C168="",$M168=""),"",AVERAGE($V168:$AI168))</f>
        <v/>
      </c>
      <c r="CE168">
        <f>IF($C168="","",IFERROR(IF(MATCH(IF(ISNUMBER($P168),$P168,'設定'!$C$6+N('設定'!$C$7)),$V$3:$AI$3,0)=1,MAX(0,N($L168)),INDEX($AJ168:$AW168,MATCH(IF(ISNUMBER($P168),$P168,'設定'!$C$6+N('設定'!$C$7)),$V$3:$AI$3,0)-1)),""))</f>
        <v/>
      </c>
      <c r="CF168">
        <f>IF(OR($C168="",$O168="",$CE168=""),"",IF($O168-$CE168&lt;=0,0,ROUNDUP(($O168-$CE168)/$G168,0)))</f>
        <v/>
      </c>
      <c r="CG168">
        <f>IF(OR($C168="",$CF168="",NOT(ISNUMBER($Q168))),0,MAX(0,$Q168-$CF168))</f>
        <v/>
      </c>
      <c r="CH168">
        <f>IF(OR($C168="",$O168="",$U168=0),0,IFERROR(ROUNDUP(MAX(0,IF(MATCH($S168,$V$3:$AI$3,0)=1,MAX(0,N($L168)),INDEX($AX168:$BK168,MATCH($S168,$V$3:$AI$3,0)-1))+$U168-$O168)/$G168,0),0))</f>
        <v/>
      </c>
      <c r="CI168">
        <f>IF($C168="","",IF(AND($P168="",$Q168=""),"",IF($P168="","⚠ 入庫日を ▼ から選んでください",IF(NOT(ISNUMBER($P168)),"⚠ 入庫日は ▼ から選んでください",IF($P168&lt;N('設定'!$C$6),"⚠ 入庫日が過去です（もう在庫に入っています）→ 消してください",IF($P168&gt;N('設定'!$C$6)+13,"⚠ 入庫日が14日より先です",IF(N($Q168)&lt;=0,"⚠ 入庫数を入れてください",IF($CG168&gt;0,"⚠ 目安より "&amp;$CG168&amp;" 多い（定数を超える）→ 減らす",""))))))))</f>
        <v/>
      </c>
      <c r="CJ168">
        <f>IF($C168="","",IF(AND($S168="",$T168=""),"",IF($S168="","⚠ 2便目：入庫日を ▼ から選んでください",IF(NOT(ISNUMBER($S168)),"⚠ 2便目：入庫日は ▼ から選んでください",IF($S168&lt;N('設定'!$C$6),"⚠ 2便目：入庫日が過去です（もう在庫に入っています）→ 消してください",IF($S168&gt;N('設定'!$C$6)+13,"⚠ 2便目：入庫日が14日より先です",IF(N($T168)&lt;=0,"⚠ 2便目：入庫数を入れてください",IF($CH168&gt;0,"⚠ 2便目：定数を "&amp;$CH168&amp;" ケース超える → 減らす",""))))))))</f>
        <v/>
      </c>
      <c r="CK168">
        <f>IF(AND($CI168="",N($Q168)&gt;0,ISNUMBER($P168)),1,0)</f>
        <v/>
      </c>
      <c r="CL168">
        <f>IF(AND($CJ168="",N($T168)&gt;0,ISNUMBER($S168)),1,0)</f>
        <v/>
      </c>
      <c r="CM168">
        <f>IF(OR($CK168=1,$CL168=1),1,0)</f>
        <v/>
      </c>
      <c r="CN168">
        <f>IF($C168="",0,($CK168*$R168+$CL168*$U168)*N($H168))</f>
        <v/>
      </c>
      <c r="CO168">
        <f>IF($C168="","",IF($CC168="","入庫後は 14日以上もつ",IF($CC168-N('設定'!$C$7)&lt;='設定'!$C$6,"入庫後も "&amp;TEXT($CC168,"m/d")&amp;"("&amp;CHOOSE(WEEKDAY($CC168),"日","月","火","水","木","金","土")&amp;")"&amp;" に切れる　もう1便を至急発注","入庫後も "&amp;TEXT($CC168,"m/d")&amp;"("&amp;CHOOSE(WEEKDAY($CC168),"日","月","火","水","木","金","土")&amp;")"&amp;" に切れる　"&amp;TEXT($CC168-N('設定'!$C$7),"m/d")&amp;"("&amp;CHOOSE(WEEKDAY($CC168-N('設定'!$C$7)),"日","月","火","水","木","金","土")&amp;")"&amp;" までに次を発注")))</f>
        <v/>
      </c>
      <c r="CP168">
        <f>IF($C168="","",IF('設定'!$C$6="","？ ①在庫を貼る に今日のCSVが貼られていない",IF($CS168=1,"－ 今日のCSVに無い（終売？）",IF($L168&lt;0,"● 在庫がマイナス　数えて「数えた在庫」に入れる",IF($L168=0,"● 在庫なし　至急発注",IF($M168="","？ 減り数が未設定（商品マスタ）",IF($B$3=0,"？ 動員が未入力（動員を入れる）",IF($CA168="","○ 14日以上もつ",IF($BZ168&lt;N('設定'!$C$7),"● "&amp;TEXT($CA168,"m/d")&amp;"("&amp;CHOOSE(WEEKDAY($CA168),"日","月","火","水","木","金","土")&amp;")"&amp;" に切れる　至急発注",IF($BZ168=N('設定'!$C$7),"● "&amp;TEXT($CA168,"m/d")&amp;"("&amp;CHOOSE(WEEKDAY($CA168),"日","月","火","水","木","金","土")&amp;")"&amp;" に切れる　今日発注","△ "&amp;TEXT($CA168,"m/d")&amp;"("&amp;CHOOSE(WEEKDAY($CA168),"日","月","火","水","木","金","土")&amp;")"&amp;" に切れる　"&amp;TEXT($CA168-N('設定'!$C$7),"m/d")&amp;"("&amp;CHOOSE(WEEKDAY($CA168-N('設定'!$C$7)),"日","月","火","水","木","金","土")&amp;")"&amp;" までに発注"))))))))))</f>
        <v/>
      </c>
      <c r="CQ168">
        <f>IF($C168="","",IF(AND($P168="",$Q168="",$S168="",$T168=""),"",IF(AND($P168="",$Q168=""),"⚠ 先に1便目（左の入庫日・入庫数）に入れてください",IF($CI168&lt;&gt;"",$CI168,IF($CJ168&lt;&gt;"",$CJ168,IF($M168="","？ 減り数が未設定（発注書には載ります）",IF($B$3=0,"？ 動員が未入力（発注書には載ります）",IF(AND($CA168&lt;&gt;"",$P168&gt;$CA168),IF($P168&gt;'設定'!$C$6+N('設定'!$C$7),"● "&amp;TEXT($P168,"m/d")&amp;"("&amp;CHOOSE(WEEKDAY($P168),"日","月","火","水","木","金","土")&amp;")"&amp;" の入庫では間に合わない（"&amp;TEXT($CA168,"m/d")&amp;"("&amp;CHOOSE(WEEKDAY($CA168),"日","月","火","水","木","金","土")&amp;")"&amp;" に切れる）　入庫日を早める","△ 欠品 "&amp;TEXT($CA168,"m/d")&amp;"("&amp;CHOOSE(WEEKDAY($CA168),"日","月","火","水","木","金","土")&amp;")"&amp;"〜"&amp;TEXT($P168-1,"m/d")&amp;"("&amp;CHOOSE(WEEKDAY($P168-1),"日","月","火","水","木","金","土")&amp;")"&amp;"　"&amp;$CO168),IF($CC168="","○ "&amp;TEXT($P168,"m/d")&amp;"("&amp;CHOOSE(WEEKDAY($P168),"日","月","火","水","木","金","土")&amp;")"&amp;" 入庫で 14日以上もつ",IF($CC168-N('設定'!$C$7)&lt;='設定'!$C$6,"● 入庫しても "&amp;TEXT($CC168,"m/d")&amp;"("&amp;CHOOSE(WEEKDAY($CC168),"日","月","火","水","木","金","土")&amp;")"&amp;" に切れる　もう1便を至急発注（2便目に入れる）","△ 入庫しても "&amp;TEXT($CC168,"m/d")&amp;"("&amp;CHOOSE(WEEKDAY($CC168),"日","月","火","水","木","金","土")&amp;")"&amp;" に切れる　"&amp;TEXT($CC168-N('設定'!$C$7),"m/d")&amp;"("&amp;CHOOSE(WEEKDAY($CC168-N('設定'!$C$7)),"日","月","火","水","木","金","土")&amp;")"&amp;" までに次を発注（2便目に入れる）"))))))))))</f>
        <v/>
      </c>
      <c r="CR168">
        <f>IF($C168="","",IF($G168&gt;1,"ｹｰｽ("&amp;$G168&amp;"入)","個"))</f>
        <v/>
      </c>
      <c r="CS168">
        <f>IF($C168="",0,IF(COUNTIFS('①在庫を貼る'!$V$6:$V$10005,'設定'!$C$4,'①在庫を貼る'!$W$6:$W$10005,$C168)=0,1,0))</f>
        <v/>
      </c>
      <c r="CT168">
        <f>IF(AND($CK168=1,OR('③発注書'!$C$4="すべて",'③発注書'!$C$4="",$F168='③発注書'!$C$4)),N($CT167)+1,N($CT167))</f>
        <v/>
      </c>
      <c r="CU168">
        <f>IF(AND($CL168=1,OR('③発注書'!$C$4="すべて",'③発注書'!$C$4="",$F168='③発注書'!$C$4)),N($CU167)+1,N($CU167))</f>
        <v/>
      </c>
      <c r="CV168">
        <f>IF($C168="",0,IF(COUNTIFS('①在庫を貼る'!$V$6:$V$10005,'設定'!$C$4,'①在庫を貼る'!$W$6:$W$10005,$C168)&gt;0,1,0))</f>
        <v/>
      </c>
      <c r="CW168">
        <f>IF($C168="",0,IF(COUNTIFS('月1回_1ヶ月前の在庫'!$V$6:$V$10005,'設定'!$C$4,'月1回_1ヶ月前の在庫'!$W$6:$W$10005,$C168)&gt;0,1,0))</f>
        <v/>
      </c>
      <c r="CX168">
        <f>IF($C168="",0,IF(COUNTIFS('月1回_2ヶ月前の在庫'!$V$6:$V$10005,'設定'!$C$4,'月1回_2ヶ月前の在庫'!$W$6:$W$10005,$C168)&gt;0,1,0))</f>
        <v/>
      </c>
      <c r="CY168">
        <f>IF(OR($C168="",'設定'!$C$12=""),"",IF('設定'!$C$13="",IF(AND($CV168=1,$CW168=0),"新商品（今月から）",IF(AND($CV168=0,$CW168=1),"終売（今月から）","")),IF(AND($CV168=1,$CW168=0,$CX168=0),"新商品（今月から）",IF(AND($CV168=1,$CW168=1,$CX168=0),"新商品（先月から）",IF(AND($CV168=0,$CW168=1,$CX168=1),"終売（今月から）",IF(AND($CV168=0,$CW168=0,$CX168=1),"終売（先月から）",IF(AND($CV168=1,$CW168=0,$CX168=1),"復活（先月は無し）","")))))))</f>
        <v/>
      </c>
    </row>
    <row r="169">
      <c r="B169">
        <f>IF(164&lt;='設定'!$C$11,164,"")</f>
        <v/>
      </c>
      <c r="C169">
        <f>IF($B169="","",IF($B169&lt;='設定'!$C$20,INDEX('商品マスタ'!$B$6:$B$1005,MATCH($B169,'商品マスタ'!$M$6:$M$1005,0)),IF($B169&lt;='設定'!$C$20+'設定'!$C$17,INDEX('①在庫を貼る'!$W$6:$W$10005,MATCH($B169-'設定'!$C$20,'①在庫を貼る'!$U$6:$U$10005,0)),IF($B169&lt;='設定'!$C$20+'設定'!$C$17+'設定'!$C$18,INDEX('月1回_1ヶ月前の在庫'!$W$6:$W$10005,MATCH($B169-'設定'!$C$20-'設定'!$C$17,'月1回_1ヶ月前の在庫'!$U$6:$U$10005,0)),INDEX('月1回_2ヶ月前の在庫'!$W$6:$W$10005,MATCH($B169-'設定'!$C$20-'設定'!$C$17-'設定'!$C$18,'月1回_2ヶ月前の在庫'!$U$6:$U$10005,0))))))</f>
        <v/>
      </c>
      <c r="D169">
        <f>IF($C169="","",IFERROR(IF(INDEX('商品マスタ'!$C$6:$C$1005,MATCH($C169,'商品マスタ'!$B$6:$B$1005,0))="",IFERROR(INDEX('①在庫を貼る'!$J$6:$J$10005,MATCH($C169,'①在庫を貼る'!$W$6:$W$10005,0)),IFERROR(INDEX('月1回_1ヶ月前の在庫'!$J$6:$J$10005,MATCH($C169,'月1回_1ヶ月前の在庫'!$W$6:$W$10005,0)),IFERROR(INDEX('月1回_2ヶ月前の在庫'!$J$6:$J$10005,MATCH($C169,'月1回_2ヶ月前の在庫'!$W$6:$W$10005,0)),""))),INDEX('商品マスタ'!$C$6:$C$1005,MATCH($C169,'商品マスタ'!$B$6:$B$1005,0))),IFERROR(INDEX('①在庫を貼る'!$J$6:$J$10005,MATCH($C169,'①在庫を貼る'!$W$6:$W$10005,0)),IFERROR(INDEX('月1回_1ヶ月前の在庫'!$J$6:$J$10005,MATCH($C169,'月1回_1ヶ月前の在庫'!$W$6:$W$10005,0)),IFERROR(INDEX('月1回_2ヶ月前の在庫'!$J$6:$J$10005,MATCH($C169,'月1回_2ヶ月前の在庫'!$W$6:$W$10005,0)),"")))))</f>
        <v/>
      </c>
      <c r="E169">
        <f>IF($C169="","",IFERROR(IF(INDEX('商品マスタ'!$D$6:$D$1005,MATCH($C169,'商品マスタ'!$B$6:$B$1005,0))="",IFERROR(INDEX('①在庫を貼る'!$H$6:$H$10005,MATCH($C169,'①在庫を貼る'!$W$6:$W$10005,0)),IFERROR(INDEX('月1回_1ヶ月前の在庫'!$H$6:$H$10005,MATCH($C169,'月1回_1ヶ月前の在庫'!$W$6:$W$10005,0)),IFERROR(INDEX('月1回_2ヶ月前の在庫'!$H$6:$H$10005,MATCH($C169,'月1回_2ヶ月前の在庫'!$W$6:$W$10005,0)),""))),INDEX('商品マスタ'!$D$6:$D$1005,MATCH($C169,'商品マスタ'!$B$6:$B$1005,0))),IFERROR(INDEX('①在庫を貼る'!$H$6:$H$10005,MATCH($C169,'①在庫を貼る'!$W$6:$W$10005,0)),IFERROR(INDEX('月1回_1ヶ月前の在庫'!$H$6:$H$10005,MATCH($C169,'月1回_1ヶ月前の在庫'!$W$6:$W$10005,0)),IFERROR(INDEX('月1回_2ヶ月前の在庫'!$H$6:$H$10005,MATCH($C169,'月1回_2ヶ月前の在庫'!$W$6:$W$10005,0)),"")))))</f>
        <v/>
      </c>
      <c r="F169">
        <f>IF($C169="","",IFERROR(IF(INDEX('商品マスタ'!$E$6:$E$1005,MATCH($C169,'商品マスタ'!$B$6:$B$1005,0))="",IFERROR(INDEX('①在庫を貼る'!$E$6:$E$10005,MATCH($C169,'①在庫を貼る'!$W$6:$W$10005,0)),IFERROR(INDEX('月1回_1ヶ月前の在庫'!$E$6:$E$10005,MATCH($C169,'月1回_1ヶ月前の在庫'!$W$6:$W$10005,0)),IFERROR(INDEX('月1回_2ヶ月前の在庫'!$E$6:$E$10005,MATCH($C169,'月1回_2ヶ月前の在庫'!$W$6:$W$10005,0)),""))),INDEX('商品マスタ'!$E$6:$E$1005,MATCH($C169,'商品マスタ'!$B$6:$B$1005,0))),IFERROR(INDEX('①在庫を貼る'!$E$6:$E$10005,MATCH($C169,'①在庫を貼る'!$W$6:$W$10005,0)),IFERROR(INDEX('月1回_1ヶ月前の在庫'!$E$6:$E$10005,MATCH($C169,'月1回_1ヶ月前の在庫'!$W$6:$W$10005,0)),IFERROR(INDEX('月1回_2ヶ月前の在庫'!$E$6:$E$10005,MATCH($C169,'月1回_2ヶ月前の在庫'!$W$6:$W$10005,0)),"")))))</f>
        <v/>
      </c>
      <c r="G169">
        <f>IF($C169="","",MAX(1,N(IFERROR(IF(INDEX('商品マスタ'!$F$6:$F$1005,MATCH($C169,'商品マスタ'!$B$6:$B$1005,0))="",IF(COUNTIFS('①在庫を貼る'!$V$6:$V$10005,'設定'!$C$4,'①在庫を貼る'!$W$6:$W$10005,$C169)&gt;0,SUMIFS('①在庫を貼る'!$K$6:$K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K$6:$K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K$6:$K$10005,'月1回_2ヶ月前の在庫'!$V$6:$V$10005,'設定'!$C$4,'月1回_2ヶ月前の在庫'!$W$6:$W$10005,$C169)/COUNTIFS('月1回_2ヶ月前の在庫'!$V$6:$V$10005,'設定'!$C$4,'月1回_2ヶ月前の在庫'!$W$6:$W$10005,$C169),0))),INDEX('商品マスタ'!$F$6:$F$1005,MATCH($C169,'商品マスタ'!$B$6:$B$1005,0))),IF(COUNTIFS('①在庫を貼る'!$V$6:$V$10005,'設定'!$C$4,'①在庫を貼る'!$W$6:$W$10005,$C169)&gt;0,SUMIFS('①在庫を貼る'!$K$6:$K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K$6:$K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K$6:$K$10005,'月1回_2ヶ月前の在庫'!$V$6:$V$10005,'設定'!$C$4,'月1回_2ヶ月前の在庫'!$W$6:$W$10005,$C169)/COUNTIFS('月1回_2ヶ月前の在庫'!$V$6:$V$10005,'設定'!$C$4,'月1回_2ヶ月前の在庫'!$W$6:$W$10005,$C169),0)))))))</f>
        <v/>
      </c>
      <c r="H169">
        <f>IF($C169="","",N(IFERROR(IF(INDEX('商品マスタ'!$G$6:$G$1005,MATCH($C169,'商品マスタ'!$B$6:$B$1005,0))="",IF(COUNTIFS('①在庫を貼る'!$V$6:$V$10005,'設定'!$C$4,'①在庫を貼る'!$W$6:$W$10005,$C169)&gt;0,SUMIFS('①在庫を貼る'!$Q$6:$Q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Q$6:$Q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Q$6:$Q$10005,'月1回_2ヶ月前の在庫'!$V$6:$V$10005,'設定'!$C$4,'月1回_2ヶ月前の在庫'!$W$6:$W$10005,$C169)/COUNTIFS('月1回_2ヶ月前の在庫'!$V$6:$V$10005,'設定'!$C$4,'月1回_2ヶ月前の在庫'!$W$6:$W$10005,$C169),0))),INDEX('商品マスタ'!$G$6:$G$1005,MATCH($C169,'商品マスタ'!$B$6:$B$1005,0))),IF(COUNTIFS('①在庫を貼る'!$V$6:$V$10005,'設定'!$C$4,'①在庫を貼る'!$W$6:$W$10005,$C169)&gt;0,SUMIFS('①在庫を貼る'!$Q$6:$Q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Q$6:$Q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Q$6:$Q$10005,'月1回_2ヶ月前の在庫'!$V$6:$V$10005,'設定'!$C$4,'月1回_2ヶ月前の在庫'!$W$6:$W$10005,$C169)/COUNTIFS('月1回_2ヶ月前の在庫'!$V$6:$V$10005,'設定'!$C$4,'月1回_2ヶ月前の在庫'!$W$6:$W$10005,$C169),0))))))</f>
        <v/>
      </c>
      <c r="I169">
        <f>IF($C169="","",IF(COUNTIFS('①在庫を貼る'!$V$6:$V$10005,'設定'!$C$4,'①在庫を貼る'!$W$6:$W$10005,$C169)=0,"",SUMIFS('①在庫を貼る'!$N$6:$N$10005,'①在庫を貼る'!$V$6:$V$10005,'設定'!$C$4,'①在庫を貼る'!$W$6:$W$10005,$C169)))</f>
        <v/>
      </c>
      <c r="J169">
        <f>IF($C169="","",IF('②発注する'!$AD173="","",'②発注する'!$AD173))</f>
        <v/>
      </c>
      <c r="K169" s="90">
        <f>IF($C169="","",IF('②発注する'!$AE173="","",'②発注する'!$AE173))</f>
        <v/>
      </c>
      <c r="L169">
        <f>IF($C169="","",IF(AND(ISNUMBER($J169),ISNUMBER($K169),$K169&gt;='設定'!$C$6),$J169,N($I169)))</f>
        <v/>
      </c>
      <c r="M169">
        <f>IF($C169="","",IFERROR(IF(N(INDEX('商品マスタ'!$J$6:$J$1005,MATCH($C169,'商品マスタ'!$B$6:$B$1005,0)))&gt;0,INDEX('商品マスタ'!$J$6:$J$1005,MATCH($C169,'商品マスタ'!$B$6:$B$1005,0)),""),""))</f>
        <v/>
      </c>
      <c r="N169">
        <f>IF($C169="","",IFERROR(IF(N(INDEX('商品マスタ'!$H$6:$H$1005,MATCH($C169,'商品マスタ'!$B$6:$B$1005,0)))&gt;0,INDEX('商品マスタ'!$H$6:$H$1005,MATCH($C169,'商品マスタ'!$B$6:$B$1005,0)),""),""))</f>
        <v/>
      </c>
      <c r="O169">
        <f>IF($C169="","",IF($N169&lt;&gt;"",$N169*$G169,IF(N(IF(COUNTIFS('①在庫を貼る'!$V$6:$V$10005,'設定'!$C$4,'①在庫を貼る'!$W$6:$W$10005,$C169)&gt;0,SUMIFS('①在庫を貼る'!$O$6:$O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O$6:$O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O$6:$O$10005,'月1回_2ヶ月前の在庫'!$V$6:$V$10005,'設定'!$C$4,'月1回_2ヶ月前の在庫'!$W$6:$W$10005,$C169)/COUNTIFS('月1回_2ヶ月前の在庫'!$V$6:$V$10005,'設定'!$C$4,'月1回_2ヶ月前の在庫'!$W$6:$W$10005,$C169),0))))&gt;0,N(IF(COUNTIFS('①在庫を貼る'!$V$6:$V$10005,'設定'!$C$4,'①在庫を貼る'!$W$6:$W$10005,$C169)&gt;0,SUMIFS('①在庫を貼る'!$O$6:$O$10005,'①在庫を貼る'!$V$6:$V$10005,'設定'!$C$4,'①在庫を貼る'!$W$6:$W$10005,$C169)/COUNTIFS('①在庫を貼る'!$V$6:$V$10005,'設定'!$C$4,'①在庫を貼る'!$W$6:$W$10005,$C169),IF(COUNTIFS('月1回_1ヶ月前の在庫'!$V$6:$V$10005,'設定'!$C$4,'月1回_1ヶ月前の在庫'!$W$6:$W$10005,$C169)&gt;0,SUMIFS('月1回_1ヶ月前の在庫'!$O$6:$O$10005,'月1回_1ヶ月前の在庫'!$V$6:$V$10005,'設定'!$C$4,'月1回_1ヶ月前の在庫'!$W$6:$W$10005,$C169)/COUNTIFS('月1回_1ヶ月前の在庫'!$V$6:$V$10005,'設定'!$C$4,'月1回_1ヶ月前の在庫'!$W$6:$W$10005,$C169),IF(COUNTIFS('月1回_2ヶ月前の在庫'!$V$6:$V$10005,'設定'!$C$4,'月1回_2ヶ月前の在庫'!$W$6:$W$10005,$C169)&gt;0,SUMIFS('月1回_2ヶ月前の在庫'!$O$6:$O$10005,'月1回_2ヶ月前の在庫'!$V$6:$V$10005,'設定'!$C$4,'月1回_2ヶ月前の在庫'!$W$6:$W$10005,$C169)/COUNTIFS('月1回_2ヶ月前の在庫'!$V$6:$V$10005,'設定'!$C$4,'月1回_2ヶ月前の在庫'!$W$6:$W$10005,$C169),0)))),"")))</f>
        <v/>
      </c>
      <c r="P169" s="90">
        <f>IF($C169="","",IF('②発注する'!$I173="","",'②発注する'!$I173))</f>
        <v/>
      </c>
      <c r="Q169">
        <f>IF($C169="","",IF('②発注する'!$J173="","",'②発注する'!$J173))</f>
        <v/>
      </c>
      <c r="R169">
        <f>IF($C169="",0,IF(AND(ISNUMBER($P169),ISNUMBER($Q169)),MAX(0,$Q169)*$G169,0))</f>
        <v/>
      </c>
      <c r="S169" s="90">
        <f>IF($C169="","",IF('②発注する'!$M173="","",'②発注する'!$M173))</f>
        <v/>
      </c>
      <c r="T169">
        <f>IF($C169="","",IF('②発注する'!$N173="","",'②発注する'!$N173))</f>
        <v/>
      </c>
      <c r="U169">
        <f>IF($C169="",0,IF(AND(ISNUMBER($S169),ISNUMBER($T169)),MAX(0,$T169)*$G169,0))</f>
        <v/>
      </c>
      <c r="V169">
        <f>IF($C169="",0,IF($M169="",0,MAX(0,$M169)*MAX(0,V$4)/100))</f>
        <v/>
      </c>
      <c r="W169">
        <f>IF($C169="",0,IF($M169="",0,MAX(0,$M169)*MAX(0,W$4)/100))</f>
        <v/>
      </c>
      <c r="X169">
        <f>IF($C169="",0,IF($M169="",0,MAX(0,$M169)*MAX(0,X$4)/100))</f>
        <v/>
      </c>
      <c r="Y169">
        <f>IF($C169="",0,IF($M169="",0,MAX(0,$M169)*MAX(0,Y$4)/100))</f>
        <v/>
      </c>
      <c r="Z169">
        <f>IF($C169="",0,IF($M169="",0,MAX(0,$M169)*MAX(0,Z$4)/100))</f>
        <v/>
      </c>
      <c r="AA169">
        <f>IF($C169="",0,IF($M169="",0,MAX(0,$M169)*MAX(0,AA$4)/100))</f>
        <v/>
      </c>
      <c r="AB169">
        <f>IF($C169="",0,IF($M169="",0,MAX(0,$M169)*MAX(0,AB$4)/100))</f>
        <v/>
      </c>
      <c r="AC169">
        <f>IF($C169="",0,IF($M169="",0,MAX(0,$M169)*MAX(0,AC$4)/100))</f>
        <v/>
      </c>
      <c r="AD169">
        <f>IF($C169="",0,IF($M169="",0,MAX(0,$M169)*MAX(0,AD$4)/100))</f>
        <v/>
      </c>
      <c r="AE169">
        <f>IF($C169="",0,IF($M169="",0,MAX(0,$M169)*MAX(0,AE$4)/100))</f>
        <v/>
      </c>
      <c r="AF169">
        <f>IF($C169="",0,IF($M169="",0,MAX(0,$M169)*MAX(0,AF$4)/100))</f>
        <v/>
      </c>
      <c r="AG169">
        <f>IF($C169="",0,IF($M169="",0,MAX(0,$M169)*MAX(0,AG$4)/100))</f>
        <v/>
      </c>
      <c r="AH169">
        <f>IF($C169="",0,IF($M169="",0,MAX(0,$M169)*MAX(0,AH$4)/100))</f>
        <v/>
      </c>
      <c r="AI169">
        <f>IF($C169="",0,IF($M169="",0,MAX(0,$M169)*MAX(0,AI$4)/100))</f>
        <v/>
      </c>
      <c r="AJ169">
        <f>IF($C169="",0,MAX(0,MAX(0,N($L169))-$V169))</f>
        <v/>
      </c>
      <c r="AK169">
        <f>IF($C169="",0,MAX(0,$AJ169-$W169))</f>
        <v/>
      </c>
      <c r="AL169">
        <f>IF($C169="",0,MAX(0,$AK169-$X169))</f>
        <v/>
      </c>
      <c r="AM169">
        <f>IF($C169="",0,MAX(0,$AL169-$Y169))</f>
        <v/>
      </c>
      <c r="AN169">
        <f>IF($C169="",0,MAX(0,$AM169-$Z169))</f>
        <v/>
      </c>
      <c r="AO169">
        <f>IF($C169="",0,MAX(0,$AN169-$AA169))</f>
        <v/>
      </c>
      <c r="AP169">
        <f>IF($C169="",0,MAX(0,$AO169-$AB169))</f>
        <v/>
      </c>
      <c r="AQ169">
        <f>IF($C169="",0,MAX(0,$AP169-$AC169))</f>
        <v/>
      </c>
      <c r="AR169">
        <f>IF($C169="",0,MAX(0,$AQ169-$AD169))</f>
        <v/>
      </c>
      <c r="AS169">
        <f>IF($C169="",0,MAX(0,$AR169-$AE169))</f>
        <v/>
      </c>
      <c r="AT169">
        <f>IF($C169="",0,MAX(0,$AS169-$AF169))</f>
        <v/>
      </c>
      <c r="AU169">
        <f>IF($C169="",0,MAX(0,$AT169-$AG169))</f>
        <v/>
      </c>
      <c r="AV169">
        <f>IF($C169="",0,MAX(0,$AU169-$AH169))</f>
        <v/>
      </c>
      <c r="AW169">
        <f>IF($C169="",0,MAX(0,$AV169-$AI169))</f>
        <v/>
      </c>
      <c r="AX169">
        <f>IF($C169="",0,MAX(0,MAX(0,N($L169))+IF($P169=V$3,$R169,0)+IF($S169=V$3,$U169,0)-$V169))</f>
        <v/>
      </c>
      <c r="AY169">
        <f>IF($C169="",0,MAX(0,$AX169+IF($P169=W$3,$R169,0)+IF($S169=W$3,$U169,0)-$W169))</f>
        <v/>
      </c>
      <c r="AZ169">
        <f>IF($C169="",0,MAX(0,$AY169+IF($P169=X$3,$R169,0)+IF($S169=X$3,$U169,0)-$X169))</f>
        <v/>
      </c>
      <c r="BA169">
        <f>IF($C169="",0,MAX(0,$AZ169+IF($P169=Y$3,$R169,0)+IF($S169=Y$3,$U169,0)-$Y169))</f>
        <v/>
      </c>
      <c r="BB169">
        <f>IF($C169="",0,MAX(0,$BA169+IF($P169=Z$3,$R169,0)+IF($S169=Z$3,$U169,0)-$Z169))</f>
        <v/>
      </c>
      <c r="BC169">
        <f>IF($C169="",0,MAX(0,$BB169+IF($P169=AA$3,$R169,0)+IF($S169=AA$3,$U169,0)-$AA169))</f>
        <v/>
      </c>
      <c r="BD169">
        <f>IF($C169="",0,MAX(0,$BC169+IF($P169=AB$3,$R169,0)+IF($S169=AB$3,$U169,0)-$AB169))</f>
        <v/>
      </c>
      <c r="BE169">
        <f>IF($C169="",0,MAX(0,$BD169+IF($P169=AC$3,$R169,0)+IF($S169=AC$3,$U169,0)-$AC169))</f>
        <v/>
      </c>
      <c r="BF169">
        <f>IF($C169="",0,MAX(0,$BE169+IF($P169=AD$3,$R169,0)+IF($S169=AD$3,$U169,0)-$AD169))</f>
        <v/>
      </c>
      <c r="BG169">
        <f>IF($C169="",0,MAX(0,$BF169+IF($P169=AE$3,$R169,0)+IF($S169=AE$3,$U169,0)-$AE169))</f>
        <v/>
      </c>
      <c r="BH169">
        <f>IF($C169="",0,MAX(0,$BG169+IF($P169=AF$3,$R169,0)+IF($S169=AF$3,$U169,0)-$AF169))</f>
        <v/>
      </c>
      <c r="BI169">
        <f>IF($C169="",0,MAX(0,$BH169+IF($P169=AG$3,$R169,0)+IF($S169=AG$3,$U169,0)-$AG169))</f>
        <v/>
      </c>
      <c r="BJ169">
        <f>IF($C169="",0,MAX(0,$BI169+IF($P169=AH$3,$R169,0)+IF($S169=AH$3,$U169,0)-$AH169))</f>
        <v/>
      </c>
      <c r="BK169">
        <f>IF($C169="",0,MAX(0,$BJ169+IF($P169=AI$3,$R169,0)+IF($S169=AI$3,$U169,0)-$AI169))</f>
        <v/>
      </c>
      <c r="BL169">
        <f>IF($C169="",99,IF(AND($AX169&lt;1,V$3&gt;=MAX(N($P169),N($S169))),0,99))</f>
        <v/>
      </c>
      <c r="BM169">
        <f>IF($C169="",99,IF(AND($AY169&lt;1,W$3&gt;=MAX(N($P169),N($S169))),1,99))</f>
        <v/>
      </c>
      <c r="BN169">
        <f>IF($C169="",99,IF(AND($AZ169&lt;1,X$3&gt;=MAX(N($P169),N($S169))),2,99))</f>
        <v/>
      </c>
      <c r="BO169">
        <f>IF($C169="",99,IF(AND($BA169&lt;1,Y$3&gt;=MAX(N($P169),N($S169))),3,99))</f>
        <v/>
      </c>
      <c r="BP169">
        <f>IF($C169="",99,IF(AND($BB169&lt;1,Z$3&gt;=MAX(N($P169),N($S169))),4,99))</f>
        <v/>
      </c>
      <c r="BQ169">
        <f>IF($C169="",99,IF(AND($BC169&lt;1,AA$3&gt;=MAX(N($P169),N($S169))),5,99))</f>
        <v/>
      </c>
      <c r="BR169">
        <f>IF($C169="",99,IF(AND($BD169&lt;1,AB$3&gt;=MAX(N($P169),N($S169))),6,99))</f>
        <v/>
      </c>
      <c r="BS169">
        <f>IF($C169="",99,IF(AND($BE169&lt;1,AC$3&gt;=MAX(N($P169),N($S169))),7,99))</f>
        <v/>
      </c>
      <c r="BT169">
        <f>IF($C169="",99,IF(AND($BF169&lt;1,AD$3&gt;=MAX(N($P169),N($S169))),8,99))</f>
        <v/>
      </c>
      <c r="BU169">
        <f>IF($C169="",99,IF(AND($BG169&lt;1,AE$3&gt;=MAX(N($P169),N($S169))),9,99))</f>
        <v/>
      </c>
      <c r="BV169">
        <f>IF($C169="",99,IF(AND($BH169&lt;1,AF$3&gt;=MAX(N($P169),N($S169))),10,99))</f>
        <v/>
      </c>
      <c r="BW169">
        <f>IF($C169="",99,IF(AND($BI169&lt;1,AG$3&gt;=MAX(N($P169),N($S169))),11,99))</f>
        <v/>
      </c>
      <c r="BX169">
        <f>IF($C169="",99,IF(AND($BJ169&lt;1,AH$3&gt;=MAX(N($P169),N($S169))),12,99))</f>
        <v/>
      </c>
      <c r="BY169">
        <f>IF($C169="",99,IF(AND($BK169&lt;1,AI$3&gt;=MAX(N($P169),N($S169))),13,99))</f>
        <v/>
      </c>
      <c r="BZ169">
        <f>IF(OR($C169="",$M169=""),"",COUNTIF($AJ169:$AW169,"&gt;=1"))</f>
        <v/>
      </c>
      <c r="CA169" s="90">
        <f>IF($BZ169="","",IF($BZ169&gt;=14,"",'設定'!$C$6+$BZ169))</f>
        <v/>
      </c>
      <c r="CB169">
        <f>IF(OR($C169="",$M169=""),"",MIN($BL169:$BY169))</f>
        <v/>
      </c>
      <c r="CC169" s="90">
        <f>IF($CB169="","",IF($CB169&gt;=99,"",'設定'!$C$6+$CB169))</f>
        <v/>
      </c>
      <c r="CD169">
        <f>IF(OR($C169="",$M169=""),"",AVERAGE($V169:$AI169))</f>
        <v/>
      </c>
      <c r="CE169">
        <f>IF($C169="","",IFERROR(IF(MATCH(IF(ISNUMBER($P169),$P169,'設定'!$C$6+N('設定'!$C$7)),$V$3:$AI$3,0)=1,MAX(0,N($L169)),INDEX($AJ169:$AW169,MATCH(IF(ISNUMBER($P169),$P169,'設定'!$C$6+N('設定'!$C$7)),$V$3:$AI$3,0)-1)),""))</f>
        <v/>
      </c>
      <c r="CF169">
        <f>IF(OR($C169="",$O169="",$CE169=""),"",IF($O169-$CE169&lt;=0,0,ROUNDUP(($O169-$CE169)/$G169,0)))</f>
        <v/>
      </c>
      <c r="CG169">
        <f>IF(OR($C169="",$CF169="",NOT(ISNUMBER($Q169))),0,MAX(0,$Q169-$CF169))</f>
        <v/>
      </c>
      <c r="CH169">
        <f>IF(OR($C169="",$O169="",$U169=0),0,IFERROR(ROUNDUP(MAX(0,IF(MATCH($S169,$V$3:$AI$3,0)=1,MAX(0,N($L169)),INDEX($AX169:$BK169,MATCH($S169,$V$3:$AI$3,0)-1))+$U169-$O169)/$G169,0),0))</f>
        <v/>
      </c>
      <c r="CI169">
        <f>IF($C169="","",IF(AND($P169="",$Q169=""),"",IF($P169="","⚠ 入庫日を ▼ から選んでください",IF(NOT(ISNUMBER($P169)),"⚠ 入庫日は ▼ から選んでください",IF($P169&lt;N('設定'!$C$6),"⚠ 入庫日が過去です（もう在庫に入っています）→ 消してください",IF($P169&gt;N('設定'!$C$6)+13,"⚠ 入庫日が14日より先です",IF(N($Q169)&lt;=0,"⚠ 入庫数を入れてください",IF($CG169&gt;0,"⚠ 目安より "&amp;$CG169&amp;" 多い（定数を超える）→ 減らす",""))))))))</f>
        <v/>
      </c>
      <c r="CJ169">
        <f>IF($C169="","",IF(AND($S169="",$T169=""),"",IF($S169="","⚠ 2便目：入庫日を ▼ から選んでください",IF(NOT(ISNUMBER($S169)),"⚠ 2便目：入庫日は ▼ から選んでください",IF($S169&lt;N('設定'!$C$6),"⚠ 2便目：入庫日が過去です（もう在庫に入っています）→ 消してください",IF($S169&gt;N('設定'!$C$6)+13,"⚠ 2便目：入庫日が14日より先です",IF(N($T169)&lt;=0,"⚠ 2便目：入庫数を入れてください",IF($CH169&gt;0,"⚠ 2便目：定数を "&amp;$CH169&amp;" ケース超える → 減らす",""))))))))</f>
        <v/>
      </c>
      <c r="CK169">
        <f>IF(AND($CI169="",N($Q169)&gt;0,ISNUMBER($P169)),1,0)</f>
        <v/>
      </c>
      <c r="CL169">
        <f>IF(AND($CJ169="",N($T169)&gt;0,ISNUMBER($S169)),1,0)</f>
        <v/>
      </c>
      <c r="CM169">
        <f>IF(OR($CK169=1,$CL169=1),1,0)</f>
        <v/>
      </c>
      <c r="CN169">
        <f>IF($C169="",0,($CK169*$R169+$CL169*$U169)*N($H169))</f>
        <v/>
      </c>
      <c r="CO169">
        <f>IF($C169="","",IF($CC169="","入庫後は 14日以上もつ",IF($CC169-N('設定'!$C$7)&lt;='設定'!$C$6,"入庫後も "&amp;TEXT($CC169,"m/d")&amp;"("&amp;CHOOSE(WEEKDAY($CC169),"日","月","火","水","木","金","土")&amp;")"&amp;" に切れる　もう1便を至急発注","入庫後も "&amp;TEXT($CC169,"m/d")&amp;"("&amp;CHOOSE(WEEKDAY($CC169),"日","月","火","水","木","金","土")&amp;")"&amp;" に切れる　"&amp;TEXT($CC169-N('設定'!$C$7),"m/d")&amp;"("&amp;CHOOSE(WEEKDAY($CC169-N('設定'!$C$7)),"日","月","火","水","木","金","土")&amp;")"&amp;" までに次を発注")))</f>
        <v/>
      </c>
      <c r="CP169">
        <f>IF($C169="","",IF('設定'!$C$6="","？ ①在庫を貼る に今日のCSVが貼られていない",IF($CS169=1,"－ 今日のCSVに無い（終売？）",IF($L169&lt;0,"● 在庫がマイナス　数えて「数えた在庫」に入れる",IF($L169=0,"● 在庫なし　至急発注",IF($M169="","？ 減り数が未設定（商品マスタ）",IF($B$3=0,"？ 動員が未入力（動員を入れる）",IF($CA169="","○ 14日以上もつ",IF($BZ169&lt;N('設定'!$C$7),"● "&amp;TEXT($CA169,"m/d")&amp;"("&amp;CHOOSE(WEEKDAY($CA169),"日","月","火","水","木","金","土")&amp;")"&amp;" に切れる　至急発注",IF($BZ169=N('設定'!$C$7),"● "&amp;TEXT($CA169,"m/d")&amp;"("&amp;CHOOSE(WEEKDAY($CA169),"日","月","火","水","木","金","土")&amp;")"&amp;" に切れる　今日発注","△ "&amp;TEXT($CA169,"m/d")&amp;"("&amp;CHOOSE(WEEKDAY($CA169),"日","月","火","水","木","金","土")&amp;")"&amp;" に切れる　"&amp;TEXT($CA169-N('設定'!$C$7),"m/d")&amp;"("&amp;CHOOSE(WEEKDAY($CA169-N('設定'!$C$7)),"日","月","火","水","木","金","土")&amp;")"&amp;" までに発注"))))))))))</f>
        <v/>
      </c>
      <c r="CQ169">
        <f>IF($C169="","",IF(AND($P169="",$Q169="",$S169="",$T169=""),"",IF(AND($P169="",$Q169=""),"⚠ 先に1便目（左の入庫日・入庫数）に入れてください",IF($CI169&lt;&gt;"",$CI169,IF($CJ169&lt;&gt;"",$CJ169,IF($M169="","？ 減り数が未設定（発注書には載ります）",IF($B$3=0,"？ 動員が未入力（発注書には載ります）",IF(AND($CA169&lt;&gt;"",$P169&gt;$CA169),IF($P169&gt;'設定'!$C$6+N('設定'!$C$7),"● "&amp;TEXT($P169,"m/d")&amp;"("&amp;CHOOSE(WEEKDAY($P169),"日","月","火","水","木","金","土")&amp;")"&amp;" の入庫では間に合わない（"&amp;TEXT($CA169,"m/d")&amp;"("&amp;CHOOSE(WEEKDAY($CA169),"日","月","火","水","木","金","土")&amp;")"&amp;" に切れる）　入庫日を早める","△ 欠品 "&amp;TEXT($CA169,"m/d")&amp;"("&amp;CHOOSE(WEEKDAY($CA169),"日","月","火","水","木","金","土")&amp;")"&amp;"〜"&amp;TEXT($P169-1,"m/d")&amp;"("&amp;CHOOSE(WEEKDAY($P169-1),"日","月","火","水","木","金","土")&amp;")"&amp;"　"&amp;$CO169),IF($CC169="","○ "&amp;TEXT($P169,"m/d")&amp;"("&amp;CHOOSE(WEEKDAY($P169),"日","月","火","水","木","金","土")&amp;")"&amp;" 入庫で 14日以上もつ",IF($CC169-N('設定'!$C$7)&lt;='設定'!$C$6,"● 入庫しても "&amp;TEXT($CC169,"m/d")&amp;"("&amp;CHOOSE(WEEKDAY($CC169),"日","月","火","水","木","金","土")&amp;")"&amp;" に切れる　もう1便を至急発注（2便目に入れる）","△ 入庫しても "&amp;TEXT($CC169,"m/d")&amp;"("&amp;CHOOSE(WEEKDAY($CC169),"日","月","火","水","木","金","土")&amp;")"&amp;" に切れる　"&amp;TEXT($CC169-N('設定'!$C$7),"m/d")&amp;"("&amp;CHOOSE(WEEKDAY($CC169-N('設定'!$C$7)),"日","月","火","水","木","金","土")&amp;")"&amp;" までに次を発注（2便目に入れる）"))))))))))</f>
        <v/>
      </c>
      <c r="CR169">
        <f>IF($C169="","",IF($G169&gt;1,"ｹｰｽ("&amp;$G169&amp;"入)","個"))</f>
        <v/>
      </c>
      <c r="CS169">
        <f>IF($C169="",0,IF(COUNTIFS('①在庫を貼る'!$V$6:$V$10005,'設定'!$C$4,'①在庫を貼る'!$W$6:$W$10005,$C169)=0,1,0))</f>
        <v/>
      </c>
      <c r="CT169">
        <f>IF(AND($CK169=1,OR('③発注書'!$C$4="すべて",'③発注書'!$C$4="",$F169='③発注書'!$C$4)),N($CT168)+1,N($CT168))</f>
        <v/>
      </c>
      <c r="CU169">
        <f>IF(AND($CL169=1,OR('③発注書'!$C$4="すべて",'③発注書'!$C$4="",$F169='③発注書'!$C$4)),N($CU168)+1,N($CU168))</f>
        <v/>
      </c>
      <c r="CV169">
        <f>IF($C169="",0,IF(COUNTIFS('①在庫を貼る'!$V$6:$V$10005,'設定'!$C$4,'①在庫を貼る'!$W$6:$W$10005,$C169)&gt;0,1,0))</f>
        <v/>
      </c>
      <c r="CW169">
        <f>IF($C169="",0,IF(COUNTIFS('月1回_1ヶ月前の在庫'!$V$6:$V$10005,'設定'!$C$4,'月1回_1ヶ月前の在庫'!$W$6:$W$10005,$C169)&gt;0,1,0))</f>
        <v/>
      </c>
      <c r="CX169">
        <f>IF($C169="",0,IF(COUNTIFS('月1回_2ヶ月前の在庫'!$V$6:$V$10005,'設定'!$C$4,'月1回_2ヶ月前の在庫'!$W$6:$W$10005,$C169)&gt;0,1,0))</f>
        <v/>
      </c>
      <c r="CY169">
        <f>IF(OR($C169="",'設定'!$C$12=""),"",IF('設定'!$C$13="",IF(AND($CV169=1,$CW169=0),"新商品（今月から）",IF(AND($CV169=0,$CW169=1),"終売（今月から）","")),IF(AND($CV169=1,$CW169=0,$CX169=0),"新商品（今月から）",IF(AND($CV169=1,$CW169=1,$CX169=0),"新商品（先月から）",IF(AND($CV169=0,$CW169=1,$CX169=1),"終売（今月から）",IF(AND($CV169=0,$CW169=0,$CX169=1),"終売（先月から）",IF(AND($CV169=1,$CW169=0,$CX169=1),"復活（先月は無し）","")))))))</f>
        <v/>
      </c>
    </row>
    <row r="170">
      <c r="B170">
        <f>IF(165&lt;='設定'!$C$11,165,"")</f>
        <v/>
      </c>
      <c r="C170">
        <f>IF($B170="","",IF($B170&lt;='設定'!$C$20,INDEX('商品マスタ'!$B$6:$B$1005,MATCH($B170,'商品マスタ'!$M$6:$M$1005,0)),IF($B170&lt;='設定'!$C$20+'設定'!$C$17,INDEX('①在庫を貼る'!$W$6:$W$10005,MATCH($B170-'設定'!$C$20,'①在庫を貼る'!$U$6:$U$10005,0)),IF($B170&lt;='設定'!$C$20+'設定'!$C$17+'設定'!$C$18,INDEX('月1回_1ヶ月前の在庫'!$W$6:$W$10005,MATCH($B170-'設定'!$C$20-'設定'!$C$17,'月1回_1ヶ月前の在庫'!$U$6:$U$10005,0)),INDEX('月1回_2ヶ月前の在庫'!$W$6:$W$10005,MATCH($B170-'設定'!$C$20-'設定'!$C$17-'設定'!$C$18,'月1回_2ヶ月前の在庫'!$U$6:$U$10005,0))))))</f>
        <v/>
      </c>
      <c r="D170">
        <f>IF($C170="","",IFERROR(IF(INDEX('商品マスタ'!$C$6:$C$1005,MATCH($C170,'商品マスタ'!$B$6:$B$1005,0))="",IFERROR(INDEX('①在庫を貼る'!$J$6:$J$10005,MATCH($C170,'①在庫を貼る'!$W$6:$W$10005,0)),IFERROR(INDEX('月1回_1ヶ月前の在庫'!$J$6:$J$10005,MATCH($C170,'月1回_1ヶ月前の在庫'!$W$6:$W$10005,0)),IFERROR(INDEX('月1回_2ヶ月前の在庫'!$J$6:$J$10005,MATCH($C170,'月1回_2ヶ月前の在庫'!$W$6:$W$10005,0)),""))),INDEX('商品マスタ'!$C$6:$C$1005,MATCH($C170,'商品マスタ'!$B$6:$B$1005,0))),IFERROR(INDEX('①在庫を貼る'!$J$6:$J$10005,MATCH($C170,'①在庫を貼る'!$W$6:$W$10005,0)),IFERROR(INDEX('月1回_1ヶ月前の在庫'!$J$6:$J$10005,MATCH($C170,'月1回_1ヶ月前の在庫'!$W$6:$W$10005,0)),IFERROR(INDEX('月1回_2ヶ月前の在庫'!$J$6:$J$10005,MATCH($C170,'月1回_2ヶ月前の在庫'!$W$6:$W$10005,0)),"")))))</f>
        <v/>
      </c>
      <c r="E170">
        <f>IF($C170="","",IFERROR(IF(INDEX('商品マスタ'!$D$6:$D$1005,MATCH($C170,'商品マスタ'!$B$6:$B$1005,0))="",IFERROR(INDEX('①在庫を貼る'!$H$6:$H$10005,MATCH($C170,'①在庫を貼る'!$W$6:$W$10005,0)),IFERROR(INDEX('月1回_1ヶ月前の在庫'!$H$6:$H$10005,MATCH($C170,'月1回_1ヶ月前の在庫'!$W$6:$W$10005,0)),IFERROR(INDEX('月1回_2ヶ月前の在庫'!$H$6:$H$10005,MATCH($C170,'月1回_2ヶ月前の在庫'!$W$6:$W$10005,0)),""))),INDEX('商品マスタ'!$D$6:$D$1005,MATCH($C170,'商品マスタ'!$B$6:$B$1005,0))),IFERROR(INDEX('①在庫を貼る'!$H$6:$H$10005,MATCH($C170,'①在庫を貼る'!$W$6:$W$10005,0)),IFERROR(INDEX('月1回_1ヶ月前の在庫'!$H$6:$H$10005,MATCH($C170,'月1回_1ヶ月前の在庫'!$W$6:$W$10005,0)),IFERROR(INDEX('月1回_2ヶ月前の在庫'!$H$6:$H$10005,MATCH($C170,'月1回_2ヶ月前の在庫'!$W$6:$W$10005,0)),"")))))</f>
        <v/>
      </c>
      <c r="F170">
        <f>IF($C170="","",IFERROR(IF(INDEX('商品マスタ'!$E$6:$E$1005,MATCH($C170,'商品マスタ'!$B$6:$B$1005,0))="",IFERROR(INDEX('①在庫を貼る'!$E$6:$E$10005,MATCH($C170,'①在庫を貼る'!$W$6:$W$10005,0)),IFERROR(INDEX('月1回_1ヶ月前の在庫'!$E$6:$E$10005,MATCH($C170,'月1回_1ヶ月前の在庫'!$W$6:$W$10005,0)),IFERROR(INDEX('月1回_2ヶ月前の在庫'!$E$6:$E$10005,MATCH($C170,'月1回_2ヶ月前の在庫'!$W$6:$W$10005,0)),""))),INDEX('商品マスタ'!$E$6:$E$1005,MATCH($C170,'商品マスタ'!$B$6:$B$1005,0))),IFERROR(INDEX('①在庫を貼る'!$E$6:$E$10005,MATCH($C170,'①在庫を貼る'!$W$6:$W$10005,0)),IFERROR(INDEX('月1回_1ヶ月前の在庫'!$E$6:$E$10005,MATCH($C170,'月1回_1ヶ月前の在庫'!$W$6:$W$10005,0)),IFERROR(INDEX('月1回_2ヶ月前の在庫'!$E$6:$E$10005,MATCH($C170,'月1回_2ヶ月前の在庫'!$W$6:$W$10005,0)),"")))))</f>
        <v/>
      </c>
      <c r="G170">
        <f>IF($C170="","",MAX(1,N(IFERROR(IF(INDEX('商品マスタ'!$F$6:$F$1005,MATCH($C170,'商品マスタ'!$B$6:$B$1005,0))="",IF(COUNTIFS('①在庫を貼る'!$V$6:$V$10005,'設定'!$C$4,'①在庫を貼る'!$W$6:$W$10005,$C170)&gt;0,SUMIFS('①在庫を貼る'!$K$6:$K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K$6:$K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K$6:$K$10005,'月1回_2ヶ月前の在庫'!$V$6:$V$10005,'設定'!$C$4,'月1回_2ヶ月前の在庫'!$W$6:$W$10005,$C170)/COUNTIFS('月1回_2ヶ月前の在庫'!$V$6:$V$10005,'設定'!$C$4,'月1回_2ヶ月前の在庫'!$W$6:$W$10005,$C170),0))),INDEX('商品マスタ'!$F$6:$F$1005,MATCH($C170,'商品マスタ'!$B$6:$B$1005,0))),IF(COUNTIFS('①在庫を貼る'!$V$6:$V$10005,'設定'!$C$4,'①在庫を貼る'!$W$6:$W$10005,$C170)&gt;0,SUMIFS('①在庫を貼る'!$K$6:$K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K$6:$K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K$6:$K$10005,'月1回_2ヶ月前の在庫'!$V$6:$V$10005,'設定'!$C$4,'月1回_2ヶ月前の在庫'!$W$6:$W$10005,$C170)/COUNTIFS('月1回_2ヶ月前の在庫'!$V$6:$V$10005,'設定'!$C$4,'月1回_2ヶ月前の在庫'!$W$6:$W$10005,$C170),0)))))))</f>
        <v/>
      </c>
      <c r="H170">
        <f>IF($C170="","",N(IFERROR(IF(INDEX('商品マスタ'!$G$6:$G$1005,MATCH($C170,'商品マスタ'!$B$6:$B$1005,0))="",IF(COUNTIFS('①在庫を貼る'!$V$6:$V$10005,'設定'!$C$4,'①在庫を貼る'!$W$6:$W$10005,$C170)&gt;0,SUMIFS('①在庫を貼る'!$Q$6:$Q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Q$6:$Q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Q$6:$Q$10005,'月1回_2ヶ月前の在庫'!$V$6:$V$10005,'設定'!$C$4,'月1回_2ヶ月前の在庫'!$W$6:$W$10005,$C170)/COUNTIFS('月1回_2ヶ月前の在庫'!$V$6:$V$10005,'設定'!$C$4,'月1回_2ヶ月前の在庫'!$W$6:$W$10005,$C170),0))),INDEX('商品マスタ'!$G$6:$G$1005,MATCH($C170,'商品マスタ'!$B$6:$B$1005,0))),IF(COUNTIFS('①在庫を貼る'!$V$6:$V$10005,'設定'!$C$4,'①在庫を貼る'!$W$6:$W$10005,$C170)&gt;0,SUMIFS('①在庫を貼る'!$Q$6:$Q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Q$6:$Q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Q$6:$Q$10005,'月1回_2ヶ月前の在庫'!$V$6:$V$10005,'設定'!$C$4,'月1回_2ヶ月前の在庫'!$W$6:$W$10005,$C170)/COUNTIFS('月1回_2ヶ月前の在庫'!$V$6:$V$10005,'設定'!$C$4,'月1回_2ヶ月前の在庫'!$W$6:$W$10005,$C170),0))))))</f>
        <v/>
      </c>
      <c r="I170">
        <f>IF($C170="","",IF(COUNTIFS('①在庫を貼る'!$V$6:$V$10005,'設定'!$C$4,'①在庫を貼る'!$W$6:$W$10005,$C170)=0,"",SUMIFS('①在庫を貼る'!$N$6:$N$10005,'①在庫を貼る'!$V$6:$V$10005,'設定'!$C$4,'①在庫を貼る'!$W$6:$W$10005,$C170)))</f>
        <v/>
      </c>
      <c r="J170">
        <f>IF($C170="","",IF('②発注する'!$AD174="","",'②発注する'!$AD174))</f>
        <v/>
      </c>
      <c r="K170" s="90">
        <f>IF($C170="","",IF('②発注する'!$AE174="","",'②発注する'!$AE174))</f>
        <v/>
      </c>
      <c r="L170">
        <f>IF($C170="","",IF(AND(ISNUMBER($J170),ISNUMBER($K170),$K170&gt;='設定'!$C$6),$J170,N($I170)))</f>
        <v/>
      </c>
      <c r="M170">
        <f>IF($C170="","",IFERROR(IF(N(INDEX('商品マスタ'!$J$6:$J$1005,MATCH($C170,'商品マスタ'!$B$6:$B$1005,0)))&gt;0,INDEX('商品マスタ'!$J$6:$J$1005,MATCH($C170,'商品マスタ'!$B$6:$B$1005,0)),""),""))</f>
        <v/>
      </c>
      <c r="N170">
        <f>IF($C170="","",IFERROR(IF(N(INDEX('商品マスタ'!$H$6:$H$1005,MATCH($C170,'商品マスタ'!$B$6:$B$1005,0)))&gt;0,INDEX('商品マスタ'!$H$6:$H$1005,MATCH($C170,'商品マスタ'!$B$6:$B$1005,0)),""),""))</f>
        <v/>
      </c>
      <c r="O170">
        <f>IF($C170="","",IF($N170&lt;&gt;"",$N170*$G170,IF(N(IF(COUNTIFS('①在庫を貼る'!$V$6:$V$10005,'設定'!$C$4,'①在庫を貼る'!$W$6:$W$10005,$C170)&gt;0,SUMIFS('①在庫を貼る'!$O$6:$O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O$6:$O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O$6:$O$10005,'月1回_2ヶ月前の在庫'!$V$6:$V$10005,'設定'!$C$4,'月1回_2ヶ月前の在庫'!$W$6:$W$10005,$C170)/COUNTIFS('月1回_2ヶ月前の在庫'!$V$6:$V$10005,'設定'!$C$4,'月1回_2ヶ月前の在庫'!$W$6:$W$10005,$C170),0))))&gt;0,N(IF(COUNTIFS('①在庫を貼る'!$V$6:$V$10005,'設定'!$C$4,'①在庫を貼る'!$W$6:$W$10005,$C170)&gt;0,SUMIFS('①在庫を貼る'!$O$6:$O$10005,'①在庫を貼る'!$V$6:$V$10005,'設定'!$C$4,'①在庫を貼る'!$W$6:$W$10005,$C170)/COUNTIFS('①在庫を貼る'!$V$6:$V$10005,'設定'!$C$4,'①在庫を貼る'!$W$6:$W$10005,$C170),IF(COUNTIFS('月1回_1ヶ月前の在庫'!$V$6:$V$10005,'設定'!$C$4,'月1回_1ヶ月前の在庫'!$W$6:$W$10005,$C170)&gt;0,SUMIFS('月1回_1ヶ月前の在庫'!$O$6:$O$10005,'月1回_1ヶ月前の在庫'!$V$6:$V$10005,'設定'!$C$4,'月1回_1ヶ月前の在庫'!$W$6:$W$10005,$C170)/COUNTIFS('月1回_1ヶ月前の在庫'!$V$6:$V$10005,'設定'!$C$4,'月1回_1ヶ月前の在庫'!$W$6:$W$10005,$C170),IF(COUNTIFS('月1回_2ヶ月前の在庫'!$V$6:$V$10005,'設定'!$C$4,'月1回_2ヶ月前の在庫'!$W$6:$W$10005,$C170)&gt;0,SUMIFS('月1回_2ヶ月前の在庫'!$O$6:$O$10005,'月1回_2ヶ月前の在庫'!$V$6:$V$10005,'設定'!$C$4,'月1回_2ヶ月前の在庫'!$W$6:$W$10005,$C170)/COUNTIFS('月1回_2ヶ月前の在庫'!$V$6:$V$10005,'設定'!$C$4,'月1回_2ヶ月前の在庫'!$W$6:$W$10005,$C170),0)))),"")))</f>
        <v/>
      </c>
      <c r="P170" s="90">
        <f>IF($C170="","",IF('②発注する'!$I174="","",'②発注する'!$I174))</f>
        <v/>
      </c>
      <c r="Q170">
        <f>IF($C170="","",IF('②発注する'!$J174="","",'②発注する'!$J174))</f>
        <v/>
      </c>
      <c r="R170">
        <f>IF($C170="",0,IF(AND(ISNUMBER($P170),ISNUMBER($Q170)),MAX(0,$Q170)*$G170,0))</f>
        <v/>
      </c>
      <c r="S170" s="90">
        <f>IF($C170="","",IF('②発注する'!$M174="","",'②発注する'!$M174))</f>
        <v/>
      </c>
      <c r="T170">
        <f>IF($C170="","",IF('②発注する'!$N174="","",'②発注する'!$N174))</f>
        <v/>
      </c>
      <c r="U170">
        <f>IF($C170="",0,IF(AND(ISNUMBER($S170),ISNUMBER($T170)),MAX(0,$T170)*$G170,0))</f>
        <v/>
      </c>
      <c r="V170">
        <f>IF($C170="",0,IF($M170="",0,MAX(0,$M170)*MAX(0,V$4)/100))</f>
        <v/>
      </c>
      <c r="W170">
        <f>IF($C170="",0,IF($M170="",0,MAX(0,$M170)*MAX(0,W$4)/100))</f>
        <v/>
      </c>
      <c r="X170">
        <f>IF($C170="",0,IF($M170="",0,MAX(0,$M170)*MAX(0,X$4)/100))</f>
        <v/>
      </c>
      <c r="Y170">
        <f>IF($C170="",0,IF($M170="",0,MAX(0,$M170)*MAX(0,Y$4)/100))</f>
        <v/>
      </c>
      <c r="Z170">
        <f>IF($C170="",0,IF($M170="",0,MAX(0,$M170)*MAX(0,Z$4)/100))</f>
        <v/>
      </c>
      <c r="AA170">
        <f>IF($C170="",0,IF($M170="",0,MAX(0,$M170)*MAX(0,AA$4)/100))</f>
        <v/>
      </c>
      <c r="AB170">
        <f>IF($C170="",0,IF($M170="",0,MAX(0,$M170)*MAX(0,AB$4)/100))</f>
        <v/>
      </c>
      <c r="AC170">
        <f>IF($C170="",0,IF($M170="",0,MAX(0,$M170)*MAX(0,AC$4)/100))</f>
        <v/>
      </c>
      <c r="AD170">
        <f>IF($C170="",0,IF($M170="",0,MAX(0,$M170)*MAX(0,AD$4)/100))</f>
        <v/>
      </c>
      <c r="AE170">
        <f>IF($C170="",0,IF($M170="",0,MAX(0,$M170)*MAX(0,AE$4)/100))</f>
        <v/>
      </c>
      <c r="AF170">
        <f>IF($C170="",0,IF($M170="",0,MAX(0,$M170)*MAX(0,AF$4)/100))</f>
        <v/>
      </c>
      <c r="AG170">
        <f>IF($C170="",0,IF($M170="",0,MAX(0,$M170)*MAX(0,AG$4)/100))</f>
        <v/>
      </c>
      <c r="AH170">
        <f>IF($C170="",0,IF($M170="",0,MAX(0,$M170)*MAX(0,AH$4)/100))</f>
        <v/>
      </c>
      <c r="AI170">
        <f>IF($C170="",0,IF($M170="",0,MAX(0,$M170)*MAX(0,AI$4)/100))</f>
        <v/>
      </c>
      <c r="AJ170">
        <f>IF($C170="",0,MAX(0,MAX(0,N($L170))-$V170))</f>
        <v/>
      </c>
      <c r="AK170">
        <f>IF($C170="",0,MAX(0,$AJ170-$W170))</f>
        <v/>
      </c>
      <c r="AL170">
        <f>IF($C170="",0,MAX(0,$AK170-$X170))</f>
        <v/>
      </c>
      <c r="AM170">
        <f>IF($C170="",0,MAX(0,$AL170-$Y170))</f>
        <v/>
      </c>
      <c r="AN170">
        <f>IF($C170="",0,MAX(0,$AM170-$Z170))</f>
        <v/>
      </c>
      <c r="AO170">
        <f>IF($C170="",0,MAX(0,$AN170-$AA170))</f>
        <v/>
      </c>
      <c r="AP170">
        <f>IF($C170="",0,MAX(0,$AO170-$AB170))</f>
        <v/>
      </c>
      <c r="AQ170">
        <f>IF($C170="",0,MAX(0,$AP170-$AC170))</f>
        <v/>
      </c>
      <c r="AR170">
        <f>IF($C170="",0,MAX(0,$AQ170-$AD170))</f>
        <v/>
      </c>
      <c r="AS170">
        <f>IF($C170="",0,MAX(0,$AR170-$AE170))</f>
        <v/>
      </c>
      <c r="AT170">
        <f>IF($C170="",0,MAX(0,$AS170-$AF170))</f>
        <v/>
      </c>
      <c r="AU170">
        <f>IF($C170="",0,MAX(0,$AT170-$AG170))</f>
        <v/>
      </c>
      <c r="AV170">
        <f>IF($C170="",0,MAX(0,$AU170-$AH170))</f>
        <v/>
      </c>
      <c r="AW170">
        <f>IF($C170="",0,MAX(0,$AV170-$AI170))</f>
        <v/>
      </c>
      <c r="AX170">
        <f>IF($C170="",0,MAX(0,MAX(0,N($L170))+IF($P170=V$3,$R170,0)+IF($S170=V$3,$U170,0)-$V170))</f>
        <v/>
      </c>
      <c r="AY170">
        <f>IF($C170="",0,MAX(0,$AX170+IF($P170=W$3,$R170,0)+IF($S170=W$3,$U170,0)-$W170))</f>
        <v/>
      </c>
      <c r="AZ170">
        <f>IF($C170="",0,MAX(0,$AY170+IF($P170=X$3,$R170,0)+IF($S170=X$3,$U170,0)-$X170))</f>
        <v/>
      </c>
      <c r="BA170">
        <f>IF($C170="",0,MAX(0,$AZ170+IF($P170=Y$3,$R170,0)+IF($S170=Y$3,$U170,0)-$Y170))</f>
        <v/>
      </c>
      <c r="BB170">
        <f>IF($C170="",0,MAX(0,$BA170+IF($P170=Z$3,$R170,0)+IF($S170=Z$3,$U170,0)-$Z170))</f>
        <v/>
      </c>
      <c r="BC170">
        <f>IF($C170="",0,MAX(0,$BB170+IF($P170=AA$3,$R170,0)+IF($S170=AA$3,$U170,0)-$AA170))</f>
        <v/>
      </c>
      <c r="BD170">
        <f>IF($C170="",0,MAX(0,$BC170+IF($P170=AB$3,$R170,0)+IF($S170=AB$3,$U170,0)-$AB170))</f>
        <v/>
      </c>
      <c r="BE170">
        <f>IF($C170="",0,MAX(0,$BD170+IF($P170=AC$3,$R170,0)+IF($S170=AC$3,$U170,0)-$AC170))</f>
        <v/>
      </c>
      <c r="BF170">
        <f>IF($C170="",0,MAX(0,$BE170+IF($P170=AD$3,$R170,0)+IF($S170=AD$3,$U170,0)-$AD170))</f>
        <v/>
      </c>
      <c r="BG170">
        <f>IF($C170="",0,MAX(0,$BF170+IF($P170=AE$3,$R170,0)+IF($S170=AE$3,$U170,0)-$AE170))</f>
        <v/>
      </c>
      <c r="BH170">
        <f>IF($C170="",0,MAX(0,$BG170+IF($P170=AF$3,$R170,0)+IF($S170=AF$3,$U170,0)-$AF170))</f>
        <v/>
      </c>
      <c r="BI170">
        <f>IF($C170="",0,MAX(0,$BH170+IF($P170=AG$3,$R170,0)+IF($S170=AG$3,$U170,0)-$AG170))</f>
        <v/>
      </c>
      <c r="BJ170">
        <f>IF($C170="",0,MAX(0,$BI170+IF($P170=AH$3,$R170,0)+IF($S170=AH$3,$U170,0)-$AH170))</f>
        <v/>
      </c>
      <c r="BK170">
        <f>IF($C170="",0,MAX(0,$BJ170+IF($P170=AI$3,$R170,0)+IF($S170=AI$3,$U170,0)-$AI170))</f>
        <v/>
      </c>
      <c r="BL170">
        <f>IF($C170="",99,IF(AND($AX170&lt;1,V$3&gt;=MAX(N($P170),N($S170))),0,99))</f>
        <v/>
      </c>
      <c r="BM170">
        <f>IF($C170="",99,IF(AND($AY170&lt;1,W$3&gt;=MAX(N($P170),N($S170))),1,99))</f>
        <v/>
      </c>
      <c r="BN170">
        <f>IF($C170="",99,IF(AND($AZ170&lt;1,X$3&gt;=MAX(N($P170),N($S170))),2,99))</f>
        <v/>
      </c>
      <c r="BO170">
        <f>IF($C170="",99,IF(AND($BA170&lt;1,Y$3&gt;=MAX(N($P170),N($S170))),3,99))</f>
        <v/>
      </c>
      <c r="BP170">
        <f>IF($C170="",99,IF(AND($BB170&lt;1,Z$3&gt;=MAX(N($P170),N($S170))),4,99))</f>
        <v/>
      </c>
      <c r="BQ170">
        <f>IF($C170="",99,IF(AND($BC170&lt;1,AA$3&gt;=MAX(N($P170),N($S170))),5,99))</f>
        <v/>
      </c>
      <c r="BR170">
        <f>IF($C170="",99,IF(AND($BD170&lt;1,AB$3&gt;=MAX(N($P170),N($S170))),6,99))</f>
        <v/>
      </c>
      <c r="BS170">
        <f>IF($C170="",99,IF(AND($BE170&lt;1,AC$3&gt;=MAX(N($P170),N($S170))),7,99))</f>
        <v/>
      </c>
      <c r="BT170">
        <f>IF($C170="",99,IF(AND($BF170&lt;1,AD$3&gt;=MAX(N($P170),N($S170))),8,99))</f>
        <v/>
      </c>
      <c r="BU170">
        <f>IF($C170="",99,IF(AND($BG170&lt;1,AE$3&gt;=MAX(N($P170),N($S170))),9,99))</f>
        <v/>
      </c>
      <c r="BV170">
        <f>IF($C170="",99,IF(AND($BH170&lt;1,AF$3&gt;=MAX(N($P170),N($S170))),10,99))</f>
        <v/>
      </c>
      <c r="BW170">
        <f>IF($C170="",99,IF(AND($BI170&lt;1,AG$3&gt;=MAX(N($P170),N($S170))),11,99))</f>
        <v/>
      </c>
      <c r="BX170">
        <f>IF($C170="",99,IF(AND($BJ170&lt;1,AH$3&gt;=MAX(N($P170),N($S170))),12,99))</f>
        <v/>
      </c>
      <c r="BY170">
        <f>IF($C170="",99,IF(AND($BK170&lt;1,AI$3&gt;=MAX(N($P170),N($S170))),13,99))</f>
        <v/>
      </c>
      <c r="BZ170">
        <f>IF(OR($C170="",$M170=""),"",COUNTIF($AJ170:$AW170,"&gt;=1"))</f>
        <v/>
      </c>
      <c r="CA170" s="90">
        <f>IF($BZ170="","",IF($BZ170&gt;=14,"",'設定'!$C$6+$BZ170))</f>
        <v/>
      </c>
      <c r="CB170">
        <f>IF(OR($C170="",$M170=""),"",MIN($BL170:$BY170))</f>
        <v/>
      </c>
      <c r="CC170" s="90">
        <f>IF($CB170="","",IF($CB170&gt;=99,"",'設定'!$C$6+$CB170))</f>
        <v/>
      </c>
      <c r="CD170">
        <f>IF(OR($C170="",$M170=""),"",AVERAGE($V170:$AI170))</f>
        <v/>
      </c>
      <c r="CE170">
        <f>IF($C170="","",IFERROR(IF(MATCH(IF(ISNUMBER($P170),$P170,'設定'!$C$6+N('設定'!$C$7)),$V$3:$AI$3,0)=1,MAX(0,N($L170)),INDEX($AJ170:$AW170,MATCH(IF(ISNUMBER($P170),$P170,'設定'!$C$6+N('設定'!$C$7)),$V$3:$AI$3,0)-1)),""))</f>
        <v/>
      </c>
      <c r="CF170">
        <f>IF(OR($C170="",$O170="",$CE170=""),"",IF($O170-$CE170&lt;=0,0,ROUNDUP(($O170-$CE170)/$G170,0)))</f>
        <v/>
      </c>
      <c r="CG170">
        <f>IF(OR($C170="",$CF170="",NOT(ISNUMBER($Q170))),0,MAX(0,$Q170-$CF170))</f>
        <v/>
      </c>
      <c r="CH170">
        <f>IF(OR($C170="",$O170="",$U170=0),0,IFERROR(ROUNDUP(MAX(0,IF(MATCH($S170,$V$3:$AI$3,0)=1,MAX(0,N($L170)),INDEX($AX170:$BK170,MATCH($S170,$V$3:$AI$3,0)-1))+$U170-$O170)/$G170,0),0))</f>
        <v/>
      </c>
      <c r="CI170">
        <f>IF($C170="","",IF(AND($P170="",$Q170=""),"",IF($P170="","⚠ 入庫日を ▼ から選んでください",IF(NOT(ISNUMBER($P170)),"⚠ 入庫日は ▼ から選んでください",IF($P170&lt;N('設定'!$C$6),"⚠ 入庫日が過去です（もう在庫に入っています）→ 消してください",IF($P170&gt;N('設定'!$C$6)+13,"⚠ 入庫日が14日より先です",IF(N($Q170)&lt;=0,"⚠ 入庫数を入れてください",IF($CG170&gt;0,"⚠ 目安より "&amp;$CG170&amp;" 多い（定数を超える）→ 減らす",""))))))))</f>
        <v/>
      </c>
      <c r="CJ170">
        <f>IF($C170="","",IF(AND($S170="",$T170=""),"",IF($S170="","⚠ 2便目：入庫日を ▼ から選んでください",IF(NOT(ISNUMBER($S170)),"⚠ 2便目：入庫日は ▼ から選んでください",IF($S170&lt;N('設定'!$C$6),"⚠ 2便目：入庫日が過去です（もう在庫に入っています）→ 消してください",IF($S170&gt;N('設定'!$C$6)+13,"⚠ 2便目：入庫日が14日より先です",IF(N($T170)&lt;=0,"⚠ 2便目：入庫数を入れてください",IF($CH170&gt;0,"⚠ 2便目：定数を "&amp;$CH170&amp;" ケース超える → 減らす",""))))))))</f>
        <v/>
      </c>
      <c r="CK170">
        <f>IF(AND($CI170="",N($Q170)&gt;0,ISNUMBER($P170)),1,0)</f>
        <v/>
      </c>
      <c r="CL170">
        <f>IF(AND($CJ170="",N($T170)&gt;0,ISNUMBER($S170)),1,0)</f>
        <v/>
      </c>
      <c r="CM170">
        <f>IF(OR($CK170=1,$CL170=1),1,0)</f>
        <v/>
      </c>
      <c r="CN170">
        <f>IF($C170="",0,($CK170*$R170+$CL170*$U170)*N($H170))</f>
        <v/>
      </c>
      <c r="CO170">
        <f>IF($C170="","",IF($CC170="","入庫後は 14日以上もつ",IF($CC170-N('設定'!$C$7)&lt;='設定'!$C$6,"入庫後も "&amp;TEXT($CC170,"m/d")&amp;"("&amp;CHOOSE(WEEKDAY($CC170),"日","月","火","水","木","金","土")&amp;")"&amp;" に切れる　もう1便を至急発注","入庫後も "&amp;TEXT($CC170,"m/d")&amp;"("&amp;CHOOSE(WEEKDAY($CC170),"日","月","火","水","木","金","土")&amp;")"&amp;" に切れる　"&amp;TEXT($CC170-N('設定'!$C$7),"m/d")&amp;"("&amp;CHOOSE(WEEKDAY($CC170-N('設定'!$C$7)),"日","月","火","水","木","金","土")&amp;")"&amp;" までに次を発注")))</f>
        <v/>
      </c>
      <c r="CP170">
        <f>IF($C170="","",IF('設定'!$C$6="","？ ①在庫を貼る に今日のCSVが貼られていない",IF($CS170=1,"－ 今日のCSVに無い（終売？）",IF($L170&lt;0,"● 在庫がマイナス　数えて「数えた在庫」に入れる",IF($L170=0,"● 在庫なし　至急発注",IF($M170="","？ 減り数が未設定（商品マスタ）",IF($B$3=0,"？ 動員が未入力（動員を入れる）",IF($CA170="","○ 14日以上もつ",IF($BZ170&lt;N('設定'!$C$7),"● "&amp;TEXT($CA170,"m/d")&amp;"("&amp;CHOOSE(WEEKDAY($CA170),"日","月","火","水","木","金","土")&amp;")"&amp;" に切れる　至急発注",IF($BZ170=N('設定'!$C$7),"● "&amp;TEXT($CA170,"m/d")&amp;"("&amp;CHOOSE(WEEKDAY($CA170),"日","月","火","水","木","金","土")&amp;")"&amp;" に切れる　今日発注","△ "&amp;TEXT($CA170,"m/d")&amp;"("&amp;CHOOSE(WEEKDAY($CA170),"日","月","火","水","木","金","土")&amp;")"&amp;" に切れる　"&amp;TEXT($CA170-N('設定'!$C$7),"m/d")&amp;"("&amp;CHOOSE(WEEKDAY($CA170-N('設定'!$C$7)),"日","月","火","水","木","金","土")&amp;")"&amp;" までに発注"))))))))))</f>
        <v/>
      </c>
      <c r="CQ170">
        <f>IF($C170="","",IF(AND($P170="",$Q170="",$S170="",$T170=""),"",IF(AND($P170="",$Q170=""),"⚠ 先に1便目（左の入庫日・入庫数）に入れてください",IF($CI170&lt;&gt;"",$CI170,IF($CJ170&lt;&gt;"",$CJ170,IF($M170="","？ 減り数が未設定（発注書には載ります）",IF($B$3=0,"？ 動員が未入力（発注書には載ります）",IF(AND($CA170&lt;&gt;"",$P170&gt;$CA170),IF($P170&gt;'設定'!$C$6+N('設定'!$C$7),"● "&amp;TEXT($P170,"m/d")&amp;"("&amp;CHOOSE(WEEKDAY($P170),"日","月","火","水","木","金","土")&amp;")"&amp;" の入庫では間に合わない（"&amp;TEXT($CA170,"m/d")&amp;"("&amp;CHOOSE(WEEKDAY($CA170),"日","月","火","水","木","金","土")&amp;")"&amp;" に切れる）　入庫日を早める","△ 欠品 "&amp;TEXT($CA170,"m/d")&amp;"("&amp;CHOOSE(WEEKDAY($CA170),"日","月","火","水","木","金","土")&amp;")"&amp;"〜"&amp;TEXT($P170-1,"m/d")&amp;"("&amp;CHOOSE(WEEKDAY($P170-1),"日","月","火","水","木","金","土")&amp;")"&amp;"　"&amp;$CO170),IF($CC170="","○ "&amp;TEXT($P170,"m/d")&amp;"("&amp;CHOOSE(WEEKDAY($P170),"日","月","火","水","木","金","土")&amp;")"&amp;" 入庫で 14日以上もつ",IF($CC170-N('設定'!$C$7)&lt;='設定'!$C$6,"● 入庫しても "&amp;TEXT($CC170,"m/d")&amp;"("&amp;CHOOSE(WEEKDAY($CC170),"日","月","火","水","木","金","土")&amp;")"&amp;" に切れる　もう1便を至急発注（2便目に入れる）","△ 入庫しても "&amp;TEXT($CC170,"m/d")&amp;"("&amp;CHOOSE(WEEKDAY($CC170),"日","月","火","水","木","金","土")&amp;")"&amp;" に切れる　"&amp;TEXT($CC170-N('設定'!$C$7),"m/d")&amp;"("&amp;CHOOSE(WEEKDAY($CC170-N('設定'!$C$7)),"日","月","火","水","木","金","土")&amp;")"&amp;" までに次を発注（2便目に入れる）"))))))))))</f>
        <v/>
      </c>
      <c r="CR170">
        <f>IF($C170="","",IF($G170&gt;1,"ｹｰｽ("&amp;$G170&amp;"入)","個"))</f>
        <v/>
      </c>
      <c r="CS170">
        <f>IF($C170="",0,IF(COUNTIFS('①在庫を貼る'!$V$6:$V$10005,'設定'!$C$4,'①在庫を貼る'!$W$6:$W$10005,$C170)=0,1,0))</f>
        <v/>
      </c>
      <c r="CT170">
        <f>IF(AND($CK170=1,OR('③発注書'!$C$4="すべて",'③発注書'!$C$4="",$F170='③発注書'!$C$4)),N($CT169)+1,N($CT169))</f>
        <v/>
      </c>
      <c r="CU170">
        <f>IF(AND($CL170=1,OR('③発注書'!$C$4="すべて",'③発注書'!$C$4="",$F170='③発注書'!$C$4)),N($CU169)+1,N($CU169))</f>
        <v/>
      </c>
      <c r="CV170">
        <f>IF($C170="",0,IF(COUNTIFS('①在庫を貼る'!$V$6:$V$10005,'設定'!$C$4,'①在庫を貼る'!$W$6:$W$10005,$C170)&gt;0,1,0))</f>
        <v/>
      </c>
      <c r="CW170">
        <f>IF($C170="",0,IF(COUNTIFS('月1回_1ヶ月前の在庫'!$V$6:$V$10005,'設定'!$C$4,'月1回_1ヶ月前の在庫'!$W$6:$W$10005,$C170)&gt;0,1,0))</f>
        <v/>
      </c>
      <c r="CX170">
        <f>IF($C170="",0,IF(COUNTIFS('月1回_2ヶ月前の在庫'!$V$6:$V$10005,'設定'!$C$4,'月1回_2ヶ月前の在庫'!$W$6:$W$10005,$C170)&gt;0,1,0))</f>
        <v/>
      </c>
      <c r="CY170">
        <f>IF(OR($C170="",'設定'!$C$12=""),"",IF('設定'!$C$13="",IF(AND($CV170=1,$CW170=0),"新商品（今月から）",IF(AND($CV170=0,$CW170=1),"終売（今月から）","")),IF(AND($CV170=1,$CW170=0,$CX170=0),"新商品（今月から）",IF(AND($CV170=1,$CW170=1,$CX170=0),"新商品（先月から）",IF(AND($CV170=0,$CW170=1,$CX170=1),"終売（今月から）",IF(AND($CV170=0,$CW170=0,$CX170=1),"終売（先月から）",IF(AND($CV170=1,$CW170=0,$CX170=1),"復活（先月は無し）","")))))))</f>
        <v/>
      </c>
    </row>
    <row r="171">
      <c r="B171">
        <f>IF(166&lt;='設定'!$C$11,166,"")</f>
        <v/>
      </c>
      <c r="C171">
        <f>IF($B171="","",IF($B171&lt;='設定'!$C$20,INDEX('商品マスタ'!$B$6:$B$1005,MATCH($B171,'商品マスタ'!$M$6:$M$1005,0)),IF($B171&lt;='設定'!$C$20+'設定'!$C$17,INDEX('①在庫を貼る'!$W$6:$W$10005,MATCH($B171-'設定'!$C$20,'①在庫を貼る'!$U$6:$U$10005,0)),IF($B171&lt;='設定'!$C$20+'設定'!$C$17+'設定'!$C$18,INDEX('月1回_1ヶ月前の在庫'!$W$6:$W$10005,MATCH($B171-'設定'!$C$20-'設定'!$C$17,'月1回_1ヶ月前の在庫'!$U$6:$U$10005,0)),INDEX('月1回_2ヶ月前の在庫'!$W$6:$W$10005,MATCH($B171-'設定'!$C$20-'設定'!$C$17-'設定'!$C$18,'月1回_2ヶ月前の在庫'!$U$6:$U$10005,0))))))</f>
        <v/>
      </c>
      <c r="D171">
        <f>IF($C171="","",IFERROR(IF(INDEX('商品マスタ'!$C$6:$C$1005,MATCH($C171,'商品マスタ'!$B$6:$B$1005,0))="",IFERROR(INDEX('①在庫を貼る'!$J$6:$J$10005,MATCH($C171,'①在庫を貼る'!$W$6:$W$10005,0)),IFERROR(INDEX('月1回_1ヶ月前の在庫'!$J$6:$J$10005,MATCH($C171,'月1回_1ヶ月前の在庫'!$W$6:$W$10005,0)),IFERROR(INDEX('月1回_2ヶ月前の在庫'!$J$6:$J$10005,MATCH($C171,'月1回_2ヶ月前の在庫'!$W$6:$W$10005,0)),""))),INDEX('商品マスタ'!$C$6:$C$1005,MATCH($C171,'商品マスタ'!$B$6:$B$1005,0))),IFERROR(INDEX('①在庫を貼る'!$J$6:$J$10005,MATCH($C171,'①在庫を貼る'!$W$6:$W$10005,0)),IFERROR(INDEX('月1回_1ヶ月前の在庫'!$J$6:$J$10005,MATCH($C171,'月1回_1ヶ月前の在庫'!$W$6:$W$10005,0)),IFERROR(INDEX('月1回_2ヶ月前の在庫'!$J$6:$J$10005,MATCH($C171,'月1回_2ヶ月前の在庫'!$W$6:$W$10005,0)),"")))))</f>
        <v/>
      </c>
      <c r="E171">
        <f>IF($C171="","",IFERROR(IF(INDEX('商品マスタ'!$D$6:$D$1005,MATCH($C171,'商品マスタ'!$B$6:$B$1005,0))="",IFERROR(INDEX('①在庫を貼る'!$H$6:$H$10005,MATCH($C171,'①在庫を貼る'!$W$6:$W$10005,0)),IFERROR(INDEX('月1回_1ヶ月前の在庫'!$H$6:$H$10005,MATCH($C171,'月1回_1ヶ月前の在庫'!$W$6:$W$10005,0)),IFERROR(INDEX('月1回_2ヶ月前の在庫'!$H$6:$H$10005,MATCH($C171,'月1回_2ヶ月前の在庫'!$W$6:$W$10005,0)),""))),INDEX('商品マスタ'!$D$6:$D$1005,MATCH($C171,'商品マスタ'!$B$6:$B$1005,0))),IFERROR(INDEX('①在庫を貼る'!$H$6:$H$10005,MATCH($C171,'①在庫を貼る'!$W$6:$W$10005,0)),IFERROR(INDEX('月1回_1ヶ月前の在庫'!$H$6:$H$10005,MATCH($C171,'月1回_1ヶ月前の在庫'!$W$6:$W$10005,0)),IFERROR(INDEX('月1回_2ヶ月前の在庫'!$H$6:$H$10005,MATCH($C171,'月1回_2ヶ月前の在庫'!$W$6:$W$10005,0)),"")))))</f>
        <v/>
      </c>
      <c r="F171">
        <f>IF($C171="","",IFERROR(IF(INDEX('商品マスタ'!$E$6:$E$1005,MATCH($C171,'商品マスタ'!$B$6:$B$1005,0))="",IFERROR(INDEX('①在庫を貼る'!$E$6:$E$10005,MATCH($C171,'①在庫を貼る'!$W$6:$W$10005,0)),IFERROR(INDEX('月1回_1ヶ月前の在庫'!$E$6:$E$10005,MATCH($C171,'月1回_1ヶ月前の在庫'!$W$6:$W$10005,0)),IFERROR(INDEX('月1回_2ヶ月前の在庫'!$E$6:$E$10005,MATCH($C171,'月1回_2ヶ月前の在庫'!$W$6:$W$10005,0)),""))),INDEX('商品マスタ'!$E$6:$E$1005,MATCH($C171,'商品マスタ'!$B$6:$B$1005,0))),IFERROR(INDEX('①在庫を貼る'!$E$6:$E$10005,MATCH($C171,'①在庫を貼る'!$W$6:$W$10005,0)),IFERROR(INDEX('月1回_1ヶ月前の在庫'!$E$6:$E$10005,MATCH($C171,'月1回_1ヶ月前の在庫'!$W$6:$W$10005,0)),IFERROR(INDEX('月1回_2ヶ月前の在庫'!$E$6:$E$10005,MATCH($C171,'月1回_2ヶ月前の在庫'!$W$6:$W$10005,0)),"")))))</f>
        <v/>
      </c>
      <c r="G171">
        <f>IF($C171="","",MAX(1,N(IFERROR(IF(INDEX('商品マスタ'!$F$6:$F$1005,MATCH($C171,'商品マスタ'!$B$6:$B$1005,0))="",IF(COUNTIFS('①在庫を貼る'!$V$6:$V$10005,'設定'!$C$4,'①在庫を貼る'!$W$6:$W$10005,$C171)&gt;0,SUMIFS('①在庫を貼る'!$K$6:$K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K$6:$K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K$6:$K$10005,'月1回_2ヶ月前の在庫'!$V$6:$V$10005,'設定'!$C$4,'月1回_2ヶ月前の在庫'!$W$6:$W$10005,$C171)/COUNTIFS('月1回_2ヶ月前の在庫'!$V$6:$V$10005,'設定'!$C$4,'月1回_2ヶ月前の在庫'!$W$6:$W$10005,$C171),0))),INDEX('商品マスタ'!$F$6:$F$1005,MATCH($C171,'商品マスタ'!$B$6:$B$1005,0))),IF(COUNTIFS('①在庫を貼る'!$V$6:$V$10005,'設定'!$C$4,'①在庫を貼る'!$W$6:$W$10005,$C171)&gt;0,SUMIFS('①在庫を貼る'!$K$6:$K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K$6:$K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K$6:$K$10005,'月1回_2ヶ月前の在庫'!$V$6:$V$10005,'設定'!$C$4,'月1回_2ヶ月前の在庫'!$W$6:$W$10005,$C171)/COUNTIFS('月1回_2ヶ月前の在庫'!$V$6:$V$10005,'設定'!$C$4,'月1回_2ヶ月前の在庫'!$W$6:$W$10005,$C171),0)))))))</f>
        <v/>
      </c>
      <c r="H171">
        <f>IF($C171="","",N(IFERROR(IF(INDEX('商品マスタ'!$G$6:$G$1005,MATCH($C171,'商品マスタ'!$B$6:$B$1005,0))="",IF(COUNTIFS('①在庫を貼る'!$V$6:$V$10005,'設定'!$C$4,'①在庫を貼る'!$W$6:$W$10005,$C171)&gt;0,SUMIFS('①在庫を貼る'!$Q$6:$Q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Q$6:$Q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Q$6:$Q$10005,'月1回_2ヶ月前の在庫'!$V$6:$V$10005,'設定'!$C$4,'月1回_2ヶ月前の在庫'!$W$6:$W$10005,$C171)/COUNTIFS('月1回_2ヶ月前の在庫'!$V$6:$V$10005,'設定'!$C$4,'月1回_2ヶ月前の在庫'!$W$6:$W$10005,$C171),0))),INDEX('商品マスタ'!$G$6:$G$1005,MATCH($C171,'商品マスタ'!$B$6:$B$1005,0))),IF(COUNTIFS('①在庫を貼る'!$V$6:$V$10005,'設定'!$C$4,'①在庫を貼る'!$W$6:$W$10005,$C171)&gt;0,SUMIFS('①在庫を貼る'!$Q$6:$Q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Q$6:$Q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Q$6:$Q$10005,'月1回_2ヶ月前の在庫'!$V$6:$V$10005,'設定'!$C$4,'月1回_2ヶ月前の在庫'!$W$6:$W$10005,$C171)/COUNTIFS('月1回_2ヶ月前の在庫'!$V$6:$V$10005,'設定'!$C$4,'月1回_2ヶ月前の在庫'!$W$6:$W$10005,$C171),0))))))</f>
        <v/>
      </c>
      <c r="I171">
        <f>IF($C171="","",IF(COUNTIFS('①在庫を貼る'!$V$6:$V$10005,'設定'!$C$4,'①在庫を貼る'!$W$6:$W$10005,$C171)=0,"",SUMIFS('①在庫を貼る'!$N$6:$N$10005,'①在庫を貼る'!$V$6:$V$10005,'設定'!$C$4,'①在庫を貼る'!$W$6:$W$10005,$C171)))</f>
        <v/>
      </c>
      <c r="J171">
        <f>IF($C171="","",IF('②発注する'!$AD175="","",'②発注する'!$AD175))</f>
        <v/>
      </c>
      <c r="K171" s="90">
        <f>IF($C171="","",IF('②発注する'!$AE175="","",'②発注する'!$AE175))</f>
        <v/>
      </c>
      <c r="L171">
        <f>IF($C171="","",IF(AND(ISNUMBER($J171),ISNUMBER($K171),$K171&gt;='設定'!$C$6),$J171,N($I171)))</f>
        <v/>
      </c>
      <c r="M171">
        <f>IF($C171="","",IFERROR(IF(N(INDEX('商品マスタ'!$J$6:$J$1005,MATCH($C171,'商品マスタ'!$B$6:$B$1005,0)))&gt;0,INDEX('商品マスタ'!$J$6:$J$1005,MATCH($C171,'商品マスタ'!$B$6:$B$1005,0)),""),""))</f>
        <v/>
      </c>
      <c r="N171">
        <f>IF($C171="","",IFERROR(IF(N(INDEX('商品マスタ'!$H$6:$H$1005,MATCH($C171,'商品マスタ'!$B$6:$B$1005,0)))&gt;0,INDEX('商品マスタ'!$H$6:$H$1005,MATCH($C171,'商品マスタ'!$B$6:$B$1005,0)),""),""))</f>
        <v/>
      </c>
      <c r="O171">
        <f>IF($C171="","",IF($N171&lt;&gt;"",$N171*$G171,IF(N(IF(COUNTIFS('①在庫を貼る'!$V$6:$V$10005,'設定'!$C$4,'①在庫を貼る'!$W$6:$W$10005,$C171)&gt;0,SUMIFS('①在庫を貼る'!$O$6:$O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O$6:$O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O$6:$O$10005,'月1回_2ヶ月前の在庫'!$V$6:$V$10005,'設定'!$C$4,'月1回_2ヶ月前の在庫'!$W$6:$W$10005,$C171)/COUNTIFS('月1回_2ヶ月前の在庫'!$V$6:$V$10005,'設定'!$C$4,'月1回_2ヶ月前の在庫'!$W$6:$W$10005,$C171),0))))&gt;0,N(IF(COUNTIFS('①在庫を貼る'!$V$6:$V$10005,'設定'!$C$4,'①在庫を貼る'!$W$6:$W$10005,$C171)&gt;0,SUMIFS('①在庫を貼る'!$O$6:$O$10005,'①在庫を貼る'!$V$6:$V$10005,'設定'!$C$4,'①在庫を貼る'!$W$6:$W$10005,$C171)/COUNTIFS('①在庫を貼る'!$V$6:$V$10005,'設定'!$C$4,'①在庫を貼る'!$W$6:$W$10005,$C171),IF(COUNTIFS('月1回_1ヶ月前の在庫'!$V$6:$V$10005,'設定'!$C$4,'月1回_1ヶ月前の在庫'!$W$6:$W$10005,$C171)&gt;0,SUMIFS('月1回_1ヶ月前の在庫'!$O$6:$O$10005,'月1回_1ヶ月前の在庫'!$V$6:$V$10005,'設定'!$C$4,'月1回_1ヶ月前の在庫'!$W$6:$W$10005,$C171)/COUNTIFS('月1回_1ヶ月前の在庫'!$V$6:$V$10005,'設定'!$C$4,'月1回_1ヶ月前の在庫'!$W$6:$W$10005,$C171),IF(COUNTIFS('月1回_2ヶ月前の在庫'!$V$6:$V$10005,'設定'!$C$4,'月1回_2ヶ月前の在庫'!$W$6:$W$10005,$C171)&gt;0,SUMIFS('月1回_2ヶ月前の在庫'!$O$6:$O$10005,'月1回_2ヶ月前の在庫'!$V$6:$V$10005,'設定'!$C$4,'月1回_2ヶ月前の在庫'!$W$6:$W$10005,$C171)/COUNTIFS('月1回_2ヶ月前の在庫'!$V$6:$V$10005,'設定'!$C$4,'月1回_2ヶ月前の在庫'!$W$6:$W$10005,$C171),0)))),"")))</f>
        <v/>
      </c>
      <c r="P171" s="90">
        <f>IF($C171="","",IF('②発注する'!$I175="","",'②発注する'!$I175))</f>
        <v/>
      </c>
      <c r="Q171">
        <f>IF($C171="","",IF('②発注する'!$J175="","",'②発注する'!$J175))</f>
        <v/>
      </c>
      <c r="R171">
        <f>IF($C171="",0,IF(AND(ISNUMBER($P171),ISNUMBER($Q171)),MAX(0,$Q171)*$G171,0))</f>
        <v/>
      </c>
      <c r="S171" s="90">
        <f>IF($C171="","",IF('②発注する'!$M175="","",'②発注する'!$M175))</f>
        <v/>
      </c>
      <c r="T171">
        <f>IF($C171="","",IF('②発注する'!$N175="","",'②発注する'!$N175))</f>
        <v/>
      </c>
      <c r="U171">
        <f>IF($C171="",0,IF(AND(ISNUMBER($S171),ISNUMBER($T171)),MAX(0,$T171)*$G171,0))</f>
        <v/>
      </c>
      <c r="V171">
        <f>IF($C171="",0,IF($M171="",0,MAX(0,$M171)*MAX(0,V$4)/100))</f>
        <v/>
      </c>
      <c r="W171">
        <f>IF($C171="",0,IF($M171="",0,MAX(0,$M171)*MAX(0,W$4)/100))</f>
        <v/>
      </c>
      <c r="X171">
        <f>IF($C171="",0,IF($M171="",0,MAX(0,$M171)*MAX(0,X$4)/100))</f>
        <v/>
      </c>
      <c r="Y171">
        <f>IF($C171="",0,IF($M171="",0,MAX(0,$M171)*MAX(0,Y$4)/100))</f>
        <v/>
      </c>
      <c r="Z171">
        <f>IF($C171="",0,IF($M171="",0,MAX(0,$M171)*MAX(0,Z$4)/100))</f>
        <v/>
      </c>
      <c r="AA171">
        <f>IF($C171="",0,IF($M171="",0,MAX(0,$M171)*MAX(0,AA$4)/100))</f>
        <v/>
      </c>
      <c r="AB171">
        <f>IF($C171="",0,IF($M171="",0,MAX(0,$M171)*MAX(0,AB$4)/100))</f>
        <v/>
      </c>
      <c r="AC171">
        <f>IF($C171="",0,IF($M171="",0,MAX(0,$M171)*MAX(0,AC$4)/100))</f>
        <v/>
      </c>
      <c r="AD171">
        <f>IF($C171="",0,IF($M171="",0,MAX(0,$M171)*MAX(0,AD$4)/100))</f>
        <v/>
      </c>
      <c r="AE171">
        <f>IF($C171="",0,IF($M171="",0,MAX(0,$M171)*MAX(0,AE$4)/100))</f>
        <v/>
      </c>
      <c r="AF171">
        <f>IF($C171="",0,IF($M171="",0,MAX(0,$M171)*MAX(0,AF$4)/100))</f>
        <v/>
      </c>
      <c r="AG171">
        <f>IF($C171="",0,IF($M171="",0,MAX(0,$M171)*MAX(0,AG$4)/100))</f>
        <v/>
      </c>
      <c r="AH171">
        <f>IF($C171="",0,IF($M171="",0,MAX(0,$M171)*MAX(0,AH$4)/100))</f>
        <v/>
      </c>
      <c r="AI171">
        <f>IF($C171="",0,IF($M171="",0,MAX(0,$M171)*MAX(0,AI$4)/100))</f>
        <v/>
      </c>
      <c r="AJ171">
        <f>IF($C171="",0,MAX(0,MAX(0,N($L171))-$V171))</f>
        <v/>
      </c>
      <c r="AK171">
        <f>IF($C171="",0,MAX(0,$AJ171-$W171))</f>
        <v/>
      </c>
      <c r="AL171">
        <f>IF($C171="",0,MAX(0,$AK171-$X171))</f>
        <v/>
      </c>
      <c r="AM171">
        <f>IF($C171="",0,MAX(0,$AL171-$Y171))</f>
        <v/>
      </c>
      <c r="AN171">
        <f>IF($C171="",0,MAX(0,$AM171-$Z171))</f>
        <v/>
      </c>
      <c r="AO171">
        <f>IF($C171="",0,MAX(0,$AN171-$AA171))</f>
        <v/>
      </c>
      <c r="AP171">
        <f>IF($C171="",0,MAX(0,$AO171-$AB171))</f>
        <v/>
      </c>
      <c r="AQ171">
        <f>IF($C171="",0,MAX(0,$AP171-$AC171))</f>
        <v/>
      </c>
      <c r="AR171">
        <f>IF($C171="",0,MAX(0,$AQ171-$AD171))</f>
        <v/>
      </c>
      <c r="AS171">
        <f>IF($C171="",0,MAX(0,$AR171-$AE171))</f>
        <v/>
      </c>
      <c r="AT171">
        <f>IF($C171="",0,MAX(0,$AS171-$AF171))</f>
        <v/>
      </c>
      <c r="AU171">
        <f>IF($C171="",0,MAX(0,$AT171-$AG171))</f>
        <v/>
      </c>
      <c r="AV171">
        <f>IF($C171="",0,MAX(0,$AU171-$AH171))</f>
        <v/>
      </c>
      <c r="AW171">
        <f>IF($C171="",0,MAX(0,$AV171-$AI171))</f>
        <v/>
      </c>
      <c r="AX171">
        <f>IF($C171="",0,MAX(0,MAX(0,N($L171))+IF($P171=V$3,$R171,0)+IF($S171=V$3,$U171,0)-$V171))</f>
        <v/>
      </c>
      <c r="AY171">
        <f>IF($C171="",0,MAX(0,$AX171+IF($P171=W$3,$R171,0)+IF($S171=W$3,$U171,0)-$W171))</f>
        <v/>
      </c>
      <c r="AZ171">
        <f>IF($C171="",0,MAX(0,$AY171+IF($P171=X$3,$R171,0)+IF($S171=X$3,$U171,0)-$X171))</f>
        <v/>
      </c>
      <c r="BA171">
        <f>IF($C171="",0,MAX(0,$AZ171+IF($P171=Y$3,$R171,0)+IF($S171=Y$3,$U171,0)-$Y171))</f>
        <v/>
      </c>
      <c r="BB171">
        <f>IF($C171="",0,MAX(0,$BA171+IF($P171=Z$3,$R171,0)+IF($S171=Z$3,$U171,0)-$Z171))</f>
        <v/>
      </c>
      <c r="BC171">
        <f>IF($C171="",0,MAX(0,$BB171+IF($P171=AA$3,$R171,0)+IF($S171=AA$3,$U171,0)-$AA171))</f>
        <v/>
      </c>
      <c r="BD171">
        <f>IF($C171="",0,MAX(0,$BC171+IF($P171=AB$3,$R171,0)+IF($S171=AB$3,$U171,0)-$AB171))</f>
        <v/>
      </c>
      <c r="BE171">
        <f>IF($C171="",0,MAX(0,$BD171+IF($P171=AC$3,$R171,0)+IF($S171=AC$3,$U171,0)-$AC171))</f>
        <v/>
      </c>
      <c r="BF171">
        <f>IF($C171="",0,MAX(0,$BE171+IF($P171=AD$3,$R171,0)+IF($S171=AD$3,$U171,0)-$AD171))</f>
        <v/>
      </c>
      <c r="BG171">
        <f>IF($C171="",0,MAX(0,$BF171+IF($P171=AE$3,$R171,0)+IF($S171=AE$3,$U171,0)-$AE171))</f>
        <v/>
      </c>
      <c r="BH171">
        <f>IF($C171="",0,MAX(0,$BG171+IF($P171=AF$3,$R171,0)+IF($S171=AF$3,$U171,0)-$AF171))</f>
        <v/>
      </c>
      <c r="BI171">
        <f>IF($C171="",0,MAX(0,$BH171+IF($P171=AG$3,$R171,0)+IF($S171=AG$3,$U171,0)-$AG171))</f>
        <v/>
      </c>
      <c r="BJ171">
        <f>IF($C171="",0,MAX(0,$BI171+IF($P171=AH$3,$R171,0)+IF($S171=AH$3,$U171,0)-$AH171))</f>
        <v/>
      </c>
      <c r="BK171">
        <f>IF($C171="",0,MAX(0,$BJ171+IF($P171=AI$3,$R171,0)+IF($S171=AI$3,$U171,0)-$AI171))</f>
        <v/>
      </c>
      <c r="BL171">
        <f>IF($C171="",99,IF(AND($AX171&lt;1,V$3&gt;=MAX(N($P171),N($S171))),0,99))</f>
        <v/>
      </c>
      <c r="BM171">
        <f>IF($C171="",99,IF(AND($AY171&lt;1,W$3&gt;=MAX(N($P171),N($S171))),1,99))</f>
        <v/>
      </c>
      <c r="BN171">
        <f>IF($C171="",99,IF(AND($AZ171&lt;1,X$3&gt;=MAX(N($P171),N($S171))),2,99))</f>
        <v/>
      </c>
      <c r="BO171">
        <f>IF($C171="",99,IF(AND($BA171&lt;1,Y$3&gt;=MAX(N($P171),N($S171))),3,99))</f>
        <v/>
      </c>
      <c r="BP171">
        <f>IF($C171="",99,IF(AND($BB171&lt;1,Z$3&gt;=MAX(N($P171),N($S171))),4,99))</f>
        <v/>
      </c>
      <c r="BQ171">
        <f>IF($C171="",99,IF(AND($BC171&lt;1,AA$3&gt;=MAX(N($P171),N($S171))),5,99))</f>
        <v/>
      </c>
      <c r="BR171">
        <f>IF($C171="",99,IF(AND($BD171&lt;1,AB$3&gt;=MAX(N($P171),N($S171))),6,99))</f>
        <v/>
      </c>
      <c r="BS171">
        <f>IF($C171="",99,IF(AND($BE171&lt;1,AC$3&gt;=MAX(N($P171),N($S171))),7,99))</f>
        <v/>
      </c>
      <c r="BT171">
        <f>IF($C171="",99,IF(AND($BF171&lt;1,AD$3&gt;=MAX(N($P171),N($S171))),8,99))</f>
        <v/>
      </c>
      <c r="BU171">
        <f>IF($C171="",99,IF(AND($BG171&lt;1,AE$3&gt;=MAX(N($P171),N($S171))),9,99))</f>
        <v/>
      </c>
      <c r="BV171">
        <f>IF($C171="",99,IF(AND($BH171&lt;1,AF$3&gt;=MAX(N($P171),N($S171))),10,99))</f>
        <v/>
      </c>
      <c r="BW171">
        <f>IF($C171="",99,IF(AND($BI171&lt;1,AG$3&gt;=MAX(N($P171),N($S171))),11,99))</f>
        <v/>
      </c>
      <c r="BX171">
        <f>IF($C171="",99,IF(AND($BJ171&lt;1,AH$3&gt;=MAX(N($P171),N($S171))),12,99))</f>
        <v/>
      </c>
      <c r="BY171">
        <f>IF($C171="",99,IF(AND($BK171&lt;1,AI$3&gt;=MAX(N($P171),N($S171))),13,99))</f>
        <v/>
      </c>
      <c r="BZ171">
        <f>IF(OR($C171="",$M171=""),"",COUNTIF($AJ171:$AW171,"&gt;=1"))</f>
        <v/>
      </c>
      <c r="CA171" s="90">
        <f>IF($BZ171="","",IF($BZ171&gt;=14,"",'設定'!$C$6+$BZ171))</f>
        <v/>
      </c>
      <c r="CB171">
        <f>IF(OR($C171="",$M171=""),"",MIN($BL171:$BY171))</f>
        <v/>
      </c>
      <c r="CC171" s="90">
        <f>IF($CB171="","",IF($CB171&gt;=99,"",'設定'!$C$6+$CB171))</f>
        <v/>
      </c>
      <c r="CD171">
        <f>IF(OR($C171="",$M171=""),"",AVERAGE($V171:$AI171))</f>
        <v/>
      </c>
      <c r="CE171">
        <f>IF($C171="","",IFERROR(IF(MATCH(IF(ISNUMBER($P171),$P171,'設定'!$C$6+N('設定'!$C$7)),$V$3:$AI$3,0)=1,MAX(0,N($L171)),INDEX($AJ171:$AW171,MATCH(IF(ISNUMBER($P171),$P171,'設定'!$C$6+N('設定'!$C$7)),$V$3:$AI$3,0)-1)),""))</f>
        <v/>
      </c>
      <c r="CF171">
        <f>IF(OR($C171="",$O171="",$CE171=""),"",IF($O171-$CE171&lt;=0,0,ROUNDUP(($O171-$CE171)/$G171,0)))</f>
        <v/>
      </c>
      <c r="CG171">
        <f>IF(OR($C171="",$CF171="",NOT(ISNUMBER($Q171))),0,MAX(0,$Q171-$CF171))</f>
        <v/>
      </c>
      <c r="CH171">
        <f>IF(OR($C171="",$O171="",$U171=0),0,IFERROR(ROUNDUP(MAX(0,IF(MATCH($S171,$V$3:$AI$3,0)=1,MAX(0,N($L171)),INDEX($AX171:$BK171,MATCH($S171,$V$3:$AI$3,0)-1))+$U171-$O171)/$G171,0),0))</f>
        <v/>
      </c>
      <c r="CI171">
        <f>IF($C171="","",IF(AND($P171="",$Q171=""),"",IF($P171="","⚠ 入庫日を ▼ から選んでください",IF(NOT(ISNUMBER($P171)),"⚠ 入庫日は ▼ から選んでください",IF($P171&lt;N('設定'!$C$6),"⚠ 入庫日が過去です（もう在庫に入っています）→ 消してください",IF($P171&gt;N('設定'!$C$6)+13,"⚠ 入庫日が14日より先です",IF(N($Q171)&lt;=0,"⚠ 入庫数を入れてください",IF($CG171&gt;0,"⚠ 目安より "&amp;$CG171&amp;" 多い（定数を超える）→ 減らす",""))))))))</f>
        <v/>
      </c>
      <c r="CJ171">
        <f>IF($C171="","",IF(AND($S171="",$T171=""),"",IF($S171="","⚠ 2便目：入庫日を ▼ から選んでください",IF(NOT(ISNUMBER($S171)),"⚠ 2便目：入庫日は ▼ から選んでください",IF($S171&lt;N('設定'!$C$6),"⚠ 2便目：入庫日が過去です（もう在庫に入っています）→ 消してください",IF($S171&gt;N('設定'!$C$6)+13,"⚠ 2便目：入庫日が14日より先です",IF(N($T171)&lt;=0,"⚠ 2便目：入庫数を入れてください",IF($CH171&gt;0,"⚠ 2便目：定数を "&amp;$CH171&amp;" ケース超える → 減らす",""))))))))</f>
        <v/>
      </c>
      <c r="CK171">
        <f>IF(AND($CI171="",N($Q171)&gt;0,ISNUMBER($P171)),1,0)</f>
        <v/>
      </c>
      <c r="CL171">
        <f>IF(AND($CJ171="",N($T171)&gt;0,ISNUMBER($S171)),1,0)</f>
        <v/>
      </c>
      <c r="CM171">
        <f>IF(OR($CK171=1,$CL171=1),1,0)</f>
        <v/>
      </c>
      <c r="CN171">
        <f>IF($C171="",0,($CK171*$R171+$CL171*$U171)*N($H171))</f>
        <v/>
      </c>
      <c r="CO171">
        <f>IF($C171="","",IF($CC171="","入庫後は 14日以上もつ",IF($CC171-N('設定'!$C$7)&lt;='設定'!$C$6,"入庫後も "&amp;TEXT($CC171,"m/d")&amp;"("&amp;CHOOSE(WEEKDAY($CC171),"日","月","火","水","木","金","土")&amp;")"&amp;" に切れる　もう1便を至急発注","入庫後も "&amp;TEXT($CC171,"m/d")&amp;"("&amp;CHOOSE(WEEKDAY($CC171),"日","月","火","水","木","金","土")&amp;")"&amp;" に切れる　"&amp;TEXT($CC171-N('設定'!$C$7),"m/d")&amp;"("&amp;CHOOSE(WEEKDAY($CC171-N('設定'!$C$7)),"日","月","火","水","木","金","土")&amp;")"&amp;" までに次を発注")))</f>
        <v/>
      </c>
      <c r="CP171">
        <f>IF($C171="","",IF('設定'!$C$6="","？ ①在庫を貼る に今日のCSVが貼られていない",IF($CS171=1,"－ 今日のCSVに無い（終売？）",IF($L171&lt;0,"● 在庫がマイナス　数えて「数えた在庫」に入れる",IF($L171=0,"● 在庫なし　至急発注",IF($M171="","？ 減り数が未設定（商品マスタ）",IF($B$3=0,"？ 動員が未入力（動員を入れる）",IF($CA171="","○ 14日以上もつ",IF($BZ171&lt;N('設定'!$C$7),"● "&amp;TEXT($CA171,"m/d")&amp;"("&amp;CHOOSE(WEEKDAY($CA171),"日","月","火","水","木","金","土")&amp;")"&amp;" に切れる　至急発注",IF($BZ171=N('設定'!$C$7),"● "&amp;TEXT($CA171,"m/d")&amp;"("&amp;CHOOSE(WEEKDAY($CA171),"日","月","火","水","木","金","土")&amp;")"&amp;" に切れる　今日発注","△ "&amp;TEXT($CA171,"m/d")&amp;"("&amp;CHOOSE(WEEKDAY($CA171),"日","月","火","水","木","金","土")&amp;")"&amp;" に切れる　"&amp;TEXT($CA171-N('設定'!$C$7),"m/d")&amp;"("&amp;CHOOSE(WEEKDAY($CA171-N('設定'!$C$7)),"日","月","火","水","木","金","土")&amp;")"&amp;" までに発注"))))))))))</f>
        <v/>
      </c>
      <c r="CQ171">
        <f>IF($C171="","",IF(AND($P171="",$Q171="",$S171="",$T171=""),"",IF(AND($P171="",$Q171=""),"⚠ 先に1便目（左の入庫日・入庫数）に入れてください",IF($CI171&lt;&gt;"",$CI171,IF($CJ171&lt;&gt;"",$CJ171,IF($M171="","？ 減り数が未設定（発注書には載ります）",IF($B$3=0,"？ 動員が未入力（発注書には載ります）",IF(AND($CA171&lt;&gt;"",$P171&gt;$CA171),IF($P171&gt;'設定'!$C$6+N('設定'!$C$7),"● "&amp;TEXT($P171,"m/d")&amp;"("&amp;CHOOSE(WEEKDAY($P171),"日","月","火","水","木","金","土")&amp;")"&amp;" の入庫では間に合わない（"&amp;TEXT($CA171,"m/d")&amp;"("&amp;CHOOSE(WEEKDAY($CA171),"日","月","火","水","木","金","土")&amp;")"&amp;" に切れる）　入庫日を早める","△ 欠品 "&amp;TEXT($CA171,"m/d")&amp;"("&amp;CHOOSE(WEEKDAY($CA171),"日","月","火","水","木","金","土")&amp;")"&amp;"〜"&amp;TEXT($P171-1,"m/d")&amp;"("&amp;CHOOSE(WEEKDAY($P171-1),"日","月","火","水","木","金","土")&amp;")"&amp;"　"&amp;$CO171),IF($CC171="","○ "&amp;TEXT($P171,"m/d")&amp;"("&amp;CHOOSE(WEEKDAY($P171),"日","月","火","水","木","金","土")&amp;")"&amp;" 入庫で 14日以上もつ",IF($CC171-N('設定'!$C$7)&lt;='設定'!$C$6,"● 入庫しても "&amp;TEXT($CC171,"m/d")&amp;"("&amp;CHOOSE(WEEKDAY($CC171),"日","月","火","水","木","金","土")&amp;")"&amp;" に切れる　もう1便を至急発注（2便目に入れる）","△ 入庫しても "&amp;TEXT($CC171,"m/d")&amp;"("&amp;CHOOSE(WEEKDAY($CC171),"日","月","火","水","木","金","土")&amp;")"&amp;" に切れる　"&amp;TEXT($CC171-N('設定'!$C$7),"m/d")&amp;"("&amp;CHOOSE(WEEKDAY($CC171-N('設定'!$C$7)),"日","月","火","水","木","金","土")&amp;")"&amp;" までに次を発注（2便目に入れる）"))))))))))</f>
        <v/>
      </c>
      <c r="CR171">
        <f>IF($C171="","",IF($G171&gt;1,"ｹｰｽ("&amp;$G171&amp;"入)","個"))</f>
        <v/>
      </c>
      <c r="CS171">
        <f>IF($C171="",0,IF(COUNTIFS('①在庫を貼る'!$V$6:$V$10005,'設定'!$C$4,'①在庫を貼る'!$W$6:$W$10005,$C171)=0,1,0))</f>
        <v/>
      </c>
      <c r="CT171">
        <f>IF(AND($CK171=1,OR('③発注書'!$C$4="すべて",'③発注書'!$C$4="",$F171='③発注書'!$C$4)),N($CT170)+1,N($CT170))</f>
        <v/>
      </c>
      <c r="CU171">
        <f>IF(AND($CL171=1,OR('③発注書'!$C$4="すべて",'③発注書'!$C$4="",$F171='③発注書'!$C$4)),N($CU170)+1,N($CU170))</f>
        <v/>
      </c>
      <c r="CV171">
        <f>IF($C171="",0,IF(COUNTIFS('①在庫を貼る'!$V$6:$V$10005,'設定'!$C$4,'①在庫を貼る'!$W$6:$W$10005,$C171)&gt;0,1,0))</f>
        <v/>
      </c>
      <c r="CW171">
        <f>IF($C171="",0,IF(COUNTIFS('月1回_1ヶ月前の在庫'!$V$6:$V$10005,'設定'!$C$4,'月1回_1ヶ月前の在庫'!$W$6:$W$10005,$C171)&gt;0,1,0))</f>
        <v/>
      </c>
      <c r="CX171">
        <f>IF($C171="",0,IF(COUNTIFS('月1回_2ヶ月前の在庫'!$V$6:$V$10005,'設定'!$C$4,'月1回_2ヶ月前の在庫'!$W$6:$W$10005,$C171)&gt;0,1,0))</f>
        <v/>
      </c>
      <c r="CY171">
        <f>IF(OR($C171="",'設定'!$C$12=""),"",IF('設定'!$C$13="",IF(AND($CV171=1,$CW171=0),"新商品（今月から）",IF(AND($CV171=0,$CW171=1),"終売（今月から）","")),IF(AND($CV171=1,$CW171=0,$CX171=0),"新商品（今月から）",IF(AND($CV171=1,$CW171=1,$CX171=0),"新商品（先月から）",IF(AND($CV171=0,$CW171=1,$CX171=1),"終売（今月から）",IF(AND($CV171=0,$CW171=0,$CX171=1),"終売（先月から）",IF(AND($CV171=1,$CW171=0,$CX171=1),"復活（先月は無し）","")))))))</f>
        <v/>
      </c>
    </row>
    <row r="172">
      <c r="B172">
        <f>IF(167&lt;='設定'!$C$11,167,"")</f>
        <v/>
      </c>
      <c r="C172">
        <f>IF($B172="","",IF($B172&lt;='設定'!$C$20,INDEX('商品マスタ'!$B$6:$B$1005,MATCH($B172,'商品マスタ'!$M$6:$M$1005,0)),IF($B172&lt;='設定'!$C$20+'設定'!$C$17,INDEX('①在庫を貼る'!$W$6:$W$10005,MATCH($B172-'設定'!$C$20,'①在庫を貼る'!$U$6:$U$10005,0)),IF($B172&lt;='設定'!$C$20+'設定'!$C$17+'設定'!$C$18,INDEX('月1回_1ヶ月前の在庫'!$W$6:$W$10005,MATCH($B172-'設定'!$C$20-'設定'!$C$17,'月1回_1ヶ月前の在庫'!$U$6:$U$10005,0)),INDEX('月1回_2ヶ月前の在庫'!$W$6:$W$10005,MATCH($B172-'設定'!$C$20-'設定'!$C$17-'設定'!$C$18,'月1回_2ヶ月前の在庫'!$U$6:$U$10005,0))))))</f>
        <v/>
      </c>
      <c r="D172">
        <f>IF($C172="","",IFERROR(IF(INDEX('商品マスタ'!$C$6:$C$1005,MATCH($C172,'商品マスタ'!$B$6:$B$1005,0))="",IFERROR(INDEX('①在庫を貼る'!$J$6:$J$10005,MATCH($C172,'①在庫を貼る'!$W$6:$W$10005,0)),IFERROR(INDEX('月1回_1ヶ月前の在庫'!$J$6:$J$10005,MATCH($C172,'月1回_1ヶ月前の在庫'!$W$6:$W$10005,0)),IFERROR(INDEX('月1回_2ヶ月前の在庫'!$J$6:$J$10005,MATCH($C172,'月1回_2ヶ月前の在庫'!$W$6:$W$10005,0)),""))),INDEX('商品マスタ'!$C$6:$C$1005,MATCH($C172,'商品マスタ'!$B$6:$B$1005,0))),IFERROR(INDEX('①在庫を貼る'!$J$6:$J$10005,MATCH($C172,'①在庫を貼る'!$W$6:$W$10005,0)),IFERROR(INDEX('月1回_1ヶ月前の在庫'!$J$6:$J$10005,MATCH($C172,'月1回_1ヶ月前の在庫'!$W$6:$W$10005,0)),IFERROR(INDEX('月1回_2ヶ月前の在庫'!$J$6:$J$10005,MATCH($C172,'月1回_2ヶ月前の在庫'!$W$6:$W$10005,0)),"")))))</f>
        <v/>
      </c>
      <c r="E172">
        <f>IF($C172="","",IFERROR(IF(INDEX('商品マスタ'!$D$6:$D$1005,MATCH($C172,'商品マスタ'!$B$6:$B$1005,0))="",IFERROR(INDEX('①在庫を貼る'!$H$6:$H$10005,MATCH($C172,'①在庫を貼る'!$W$6:$W$10005,0)),IFERROR(INDEX('月1回_1ヶ月前の在庫'!$H$6:$H$10005,MATCH($C172,'月1回_1ヶ月前の在庫'!$W$6:$W$10005,0)),IFERROR(INDEX('月1回_2ヶ月前の在庫'!$H$6:$H$10005,MATCH($C172,'月1回_2ヶ月前の在庫'!$W$6:$W$10005,0)),""))),INDEX('商品マスタ'!$D$6:$D$1005,MATCH($C172,'商品マスタ'!$B$6:$B$1005,0))),IFERROR(INDEX('①在庫を貼る'!$H$6:$H$10005,MATCH($C172,'①在庫を貼る'!$W$6:$W$10005,0)),IFERROR(INDEX('月1回_1ヶ月前の在庫'!$H$6:$H$10005,MATCH($C172,'月1回_1ヶ月前の在庫'!$W$6:$W$10005,0)),IFERROR(INDEX('月1回_2ヶ月前の在庫'!$H$6:$H$10005,MATCH($C172,'月1回_2ヶ月前の在庫'!$W$6:$W$10005,0)),"")))))</f>
        <v/>
      </c>
      <c r="F172">
        <f>IF($C172="","",IFERROR(IF(INDEX('商品マスタ'!$E$6:$E$1005,MATCH($C172,'商品マスタ'!$B$6:$B$1005,0))="",IFERROR(INDEX('①在庫を貼る'!$E$6:$E$10005,MATCH($C172,'①在庫を貼る'!$W$6:$W$10005,0)),IFERROR(INDEX('月1回_1ヶ月前の在庫'!$E$6:$E$10005,MATCH($C172,'月1回_1ヶ月前の在庫'!$W$6:$W$10005,0)),IFERROR(INDEX('月1回_2ヶ月前の在庫'!$E$6:$E$10005,MATCH($C172,'月1回_2ヶ月前の在庫'!$W$6:$W$10005,0)),""))),INDEX('商品マスタ'!$E$6:$E$1005,MATCH($C172,'商品マスタ'!$B$6:$B$1005,0))),IFERROR(INDEX('①在庫を貼る'!$E$6:$E$10005,MATCH($C172,'①在庫を貼る'!$W$6:$W$10005,0)),IFERROR(INDEX('月1回_1ヶ月前の在庫'!$E$6:$E$10005,MATCH($C172,'月1回_1ヶ月前の在庫'!$W$6:$W$10005,0)),IFERROR(INDEX('月1回_2ヶ月前の在庫'!$E$6:$E$10005,MATCH($C172,'月1回_2ヶ月前の在庫'!$W$6:$W$10005,0)),"")))))</f>
        <v/>
      </c>
      <c r="G172">
        <f>IF($C172="","",MAX(1,N(IFERROR(IF(INDEX('商品マスタ'!$F$6:$F$1005,MATCH($C172,'商品マスタ'!$B$6:$B$1005,0))="",IF(COUNTIFS('①在庫を貼る'!$V$6:$V$10005,'設定'!$C$4,'①在庫を貼る'!$W$6:$W$10005,$C172)&gt;0,SUMIFS('①在庫を貼る'!$K$6:$K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K$6:$K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K$6:$K$10005,'月1回_2ヶ月前の在庫'!$V$6:$V$10005,'設定'!$C$4,'月1回_2ヶ月前の在庫'!$W$6:$W$10005,$C172)/COUNTIFS('月1回_2ヶ月前の在庫'!$V$6:$V$10005,'設定'!$C$4,'月1回_2ヶ月前の在庫'!$W$6:$W$10005,$C172),0))),INDEX('商品マスタ'!$F$6:$F$1005,MATCH($C172,'商品マスタ'!$B$6:$B$1005,0))),IF(COUNTIFS('①在庫を貼る'!$V$6:$V$10005,'設定'!$C$4,'①在庫を貼る'!$W$6:$W$10005,$C172)&gt;0,SUMIFS('①在庫を貼る'!$K$6:$K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K$6:$K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K$6:$K$10005,'月1回_2ヶ月前の在庫'!$V$6:$V$10005,'設定'!$C$4,'月1回_2ヶ月前の在庫'!$W$6:$W$10005,$C172)/COUNTIFS('月1回_2ヶ月前の在庫'!$V$6:$V$10005,'設定'!$C$4,'月1回_2ヶ月前の在庫'!$W$6:$W$10005,$C172),0)))))))</f>
        <v/>
      </c>
      <c r="H172">
        <f>IF($C172="","",N(IFERROR(IF(INDEX('商品マスタ'!$G$6:$G$1005,MATCH($C172,'商品マスタ'!$B$6:$B$1005,0))="",IF(COUNTIFS('①在庫を貼る'!$V$6:$V$10005,'設定'!$C$4,'①在庫を貼る'!$W$6:$W$10005,$C172)&gt;0,SUMIFS('①在庫を貼る'!$Q$6:$Q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Q$6:$Q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Q$6:$Q$10005,'月1回_2ヶ月前の在庫'!$V$6:$V$10005,'設定'!$C$4,'月1回_2ヶ月前の在庫'!$W$6:$W$10005,$C172)/COUNTIFS('月1回_2ヶ月前の在庫'!$V$6:$V$10005,'設定'!$C$4,'月1回_2ヶ月前の在庫'!$W$6:$W$10005,$C172),0))),INDEX('商品マスタ'!$G$6:$G$1005,MATCH($C172,'商品マスタ'!$B$6:$B$1005,0))),IF(COUNTIFS('①在庫を貼る'!$V$6:$V$10005,'設定'!$C$4,'①在庫を貼る'!$W$6:$W$10005,$C172)&gt;0,SUMIFS('①在庫を貼る'!$Q$6:$Q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Q$6:$Q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Q$6:$Q$10005,'月1回_2ヶ月前の在庫'!$V$6:$V$10005,'設定'!$C$4,'月1回_2ヶ月前の在庫'!$W$6:$W$10005,$C172)/COUNTIFS('月1回_2ヶ月前の在庫'!$V$6:$V$10005,'設定'!$C$4,'月1回_2ヶ月前の在庫'!$W$6:$W$10005,$C172),0))))))</f>
        <v/>
      </c>
      <c r="I172">
        <f>IF($C172="","",IF(COUNTIFS('①在庫を貼る'!$V$6:$V$10005,'設定'!$C$4,'①在庫を貼る'!$W$6:$W$10005,$C172)=0,"",SUMIFS('①在庫を貼る'!$N$6:$N$10005,'①在庫を貼る'!$V$6:$V$10005,'設定'!$C$4,'①在庫を貼る'!$W$6:$W$10005,$C172)))</f>
        <v/>
      </c>
      <c r="J172">
        <f>IF($C172="","",IF('②発注する'!$AD176="","",'②発注する'!$AD176))</f>
        <v/>
      </c>
      <c r="K172" s="90">
        <f>IF($C172="","",IF('②発注する'!$AE176="","",'②発注する'!$AE176))</f>
        <v/>
      </c>
      <c r="L172">
        <f>IF($C172="","",IF(AND(ISNUMBER($J172),ISNUMBER($K172),$K172&gt;='設定'!$C$6),$J172,N($I172)))</f>
        <v/>
      </c>
      <c r="M172">
        <f>IF($C172="","",IFERROR(IF(N(INDEX('商品マスタ'!$J$6:$J$1005,MATCH($C172,'商品マスタ'!$B$6:$B$1005,0)))&gt;0,INDEX('商品マスタ'!$J$6:$J$1005,MATCH($C172,'商品マスタ'!$B$6:$B$1005,0)),""),""))</f>
        <v/>
      </c>
      <c r="N172">
        <f>IF($C172="","",IFERROR(IF(N(INDEX('商品マスタ'!$H$6:$H$1005,MATCH($C172,'商品マスタ'!$B$6:$B$1005,0)))&gt;0,INDEX('商品マスタ'!$H$6:$H$1005,MATCH($C172,'商品マスタ'!$B$6:$B$1005,0)),""),""))</f>
        <v/>
      </c>
      <c r="O172">
        <f>IF($C172="","",IF($N172&lt;&gt;"",$N172*$G172,IF(N(IF(COUNTIFS('①在庫を貼る'!$V$6:$V$10005,'設定'!$C$4,'①在庫を貼る'!$W$6:$W$10005,$C172)&gt;0,SUMIFS('①在庫を貼る'!$O$6:$O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O$6:$O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O$6:$O$10005,'月1回_2ヶ月前の在庫'!$V$6:$V$10005,'設定'!$C$4,'月1回_2ヶ月前の在庫'!$W$6:$W$10005,$C172)/COUNTIFS('月1回_2ヶ月前の在庫'!$V$6:$V$10005,'設定'!$C$4,'月1回_2ヶ月前の在庫'!$W$6:$W$10005,$C172),0))))&gt;0,N(IF(COUNTIFS('①在庫を貼る'!$V$6:$V$10005,'設定'!$C$4,'①在庫を貼る'!$W$6:$W$10005,$C172)&gt;0,SUMIFS('①在庫を貼る'!$O$6:$O$10005,'①在庫を貼る'!$V$6:$V$10005,'設定'!$C$4,'①在庫を貼る'!$W$6:$W$10005,$C172)/COUNTIFS('①在庫を貼る'!$V$6:$V$10005,'設定'!$C$4,'①在庫を貼る'!$W$6:$W$10005,$C172),IF(COUNTIFS('月1回_1ヶ月前の在庫'!$V$6:$V$10005,'設定'!$C$4,'月1回_1ヶ月前の在庫'!$W$6:$W$10005,$C172)&gt;0,SUMIFS('月1回_1ヶ月前の在庫'!$O$6:$O$10005,'月1回_1ヶ月前の在庫'!$V$6:$V$10005,'設定'!$C$4,'月1回_1ヶ月前の在庫'!$W$6:$W$10005,$C172)/COUNTIFS('月1回_1ヶ月前の在庫'!$V$6:$V$10005,'設定'!$C$4,'月1回_1ヶ月前の在庫'!$W$6:$W$10005,$C172),IF(COUNTIFS('月1回_2ヶ月前の在庫'!$V$6:$V$10005,'設定'!$C$4,'月1回_2ヶ月前の在庫'!$W$6:$W$10005,$C172)&gt;0,SUMIFS('月1回_2ヶ月前の在庫'!$O$6:$O$10005,'月1回_2ヶ月前の在庫'!$V$6:$V$10005,'設定'!$C$4,'月1回_2ヶ月前の在庫'!$W$6:$W$10005,$C172)/COUNTIFS('月1回_2ヶ月前の在庫'!$V$6:$V$10005,'設定'!$C$4,'月1回_2ヶ月前の在庫'!$W$6:$W$10005,$C172),0)))),"")))</f>
        <v/>
      </c>
      <c r="P172" s="90">
        <f>IF($C172="","",IF('②発注する'!$I176="","",'②発注する'!$I176))</f>
        <v/>
      </c>
      <c r="Q172">
        <f>IF($C172="","",IF('②発注する'!$J176="","",'②発注する'!$J176))</f>
        <v/>
      </c>
      <c r="R172">
        <f>IF($C172="",0,IF(AND(ISNUMBER($P172),ISNUMBER($Q172)),MAX(0,$Q172)*$G172,0))</f>
        <v/>
      </c>
      <c r="S172" s="90">
        <f>IF($C172="","",IF('②発注する'!$M176="","",'②発注する'!$M176))</f>
        <v/>
      </c>
      <c r="T172">
        <f>IF($C172="","",IF('②発注する'!$N176="","",'②発注する'!$N176))</f>
        <v/>
      </c>
      <c r="U172">
        <f>IF($C172="",0,IF(AND(ISNUMBER($S172),ISNUMBER($T172)),MAX(0,$T172)*$G172,0))</f>
        <v/>
      </c>
      <c r="V172">
        <f>IF($C172="",0,IF($M172="",0,MAX(0,$M172)*MAX(0,V$4)/100))</f>
        <v/>
      </c>
      <c r="W172">
        <f>IF($C172="",0,IF($M172="",0,MAX(0,$M172)*MAX(0,W$4)/100))</f>
        <v/>
      </c>
      <c r="X172">
        <f>IF($C172="",0,IF($M172="",0,MAX(0,$M172)*MAX(0,X$4)/100))</f>
        <v/>
      </c>
      <c r="Y172">
        <f>IF($C172="",0,IF($M172="",0,MAX(0,$M172)*MAX(0,Y$4)/100))</f>
        <v/>
      </c>
      <c r="Z172">
        <f>IF($C172="",0,IF($M172="",0,MAX(0,$M172)*MAX(0,Z$4)/100))</f>
        <v/>
      </c>
      <c r="AA172">
        <f>IF($C172="",0,IF($M172="",0,MAX(0,$M172)*MAX(0,AA$4)/100))</f>
        <v/>
      </c>
      <c r="AB172">
        <f>IF($C172="",0,IF($M172="",0,MAX(0,$M172)*MAX(0,AB$4)/100))</f>
        <v/>
      </c>
      <c r="AC172">
        <f>IF($C172="",0,IF($M172="",0,MAX(0,$M172)*MAX(0,AC$4)/100))</f>
        <v/>
      </c>
      <c r="AD172">
        <f>IF($C172="",0,IF($M172="",0,MAX(0,$M172)*MAX(0,AD$4)/100))</f>
        <v/>
      </c>
      <c r="AE172">
        <f>IF($C172="",0,IF($M172="",0,MAX(0,$M172)*MAX(0,AE$4)/100))</f>
        <v/>
      </c>
      <c r="AF172">
        <f>IF($C172="",0,IF($M172="",0,MAX(0,$M172)*MAX(0,AF$4)/100))</f>
        <v/>
      </c>
      <c r="AG172">
        <f>IF($C172="",0,IF($M172="",0,MAX(0,$M172)*MAX(0,AG$4)/100))</f>
        <v/>
      </c>
      <c r="AH172">
        <f>IF($C172="",0,IF($M172="",0,MAX(0,$M172)*MAX(0,AH$4)/100))</f>
        <v/>
      </c>
      <c r="AI172">
        <f>IF($C172="",0,IF($M172="",0,MAX(0,$M172)*MAX(0,AI$4)/100))</f>
        <v/>
      </c>
      <c r="AJ172">
        <f>IF($C172="",0,MAX(0,MAX(0,N($L172))-$V172))</f>
        <v/>
      </c>
      <c r="AK172">
        <f>IF($C172="",0,MAX(0,$AJ172-$W172))</f>
        <v/>
      </c>
      <c r="AL172">
        <f>IF($C172="",0,MAX(0,$AK172-$X172))</f>
        <v/>
      </c>
      <c r="AM172">
        <f>IF($C172="",0,MAX(0,$AL172-$Y172))</f>
        <v/>
      </c>
      <c r="AN172">
        <f>IF($C172="",0,MAX(0,$AM172-$Z172))</f>
        <v/>
      </c>
      <c r="AO172">
        <f>IF($C172="",0,MAX(0,$AN172-$AA172))</f>
        <v/>
      </c>
      <c r="AP172">
        <f>IF($C172="",0,MAX(0,$AO172-$AB172))</f>
        <v/>
      </c>
      <c r="AQ172">
        <f>IF($C172="",0,MAX(0,$AP172-$AC172))</f>
        <v/>
      </c>
      <c r="AR172">
        <f>IF($C172="",0,MAX(0,$AQ172-$AD172))</f>
        <v/>
      </c>
      <c r="AS172">
        <f>IF($C172="",0,MAX(0,$AR172-$AE172))</f>
        <v/>
      </c>
      <c r="AT172">
        <f>IF($C172="",0,MAX(0,$AS172-$AF172))</f>
        <v/>
      </c>
      <c r="AU172">
        <f>IF($C172="",0,MAX(0,$AT172-$AG172))</f>
        <v/>
      </c>
      <c r="AV172">
        <f>IF($C172="",0,MAX(0,$AU172-$AH172))</f>
        <v/>
      </c>
      <c r="AW172">
        <f>IF($C172="",0,MAX(0,$AV172-$AI172))</f>
        <v/>
      </c>
      <c r="AX172">
        <f>IF($C172="",0,MAX(0,MAX(0,N($L172))+IF($P172=V$3,$R172,0)+IF($S172=V$3,$U172,0)-$V172))</f>
        <v/>
      </c>
      <c r="AY172">
        <f>IF($C172="",0,MAX(0,$AX172+IF($P172=W$3,$R172,0)+IF($S172=W$3,$U172,0)-$W172))</f>
        <v/>
      </c>
      <c r="AZ172">
        <f>IF($C172="",0,MAX(0,$AY172+IF($P172=X$3,$R172,0)+IF($S172=X$3,$U172,0)-$X172))</f>
        <v/>
      </c>
      <c r="BA172">
        <f>IF($C172="",0,MAX(0,$AZ172+IF($P172=Y$3,$R172,0)+IF($S172=Y$3,$U172,0)-$Y172))</f>
        <v/>
      </c>
      <c r="BB172">
        <f>IF($C172="",0,MAX(0,$BA172+IF($P172=Z$3,$R172,0)+IF($S172=Z$3,$U172,0)-$Z172))</f>
        <v/>
      </c>
      <c r="BC172">
        <f>IF($C172="",0,MAX(0,$BB172+IF($P172=AA$3,$R172,0)+IF($S172=AA$3,$U172,0)-$AA172))</f>
        <v/>
      </c>
      <c r="BD172">
        <f>IF($C172="",0,MAX(0,$BC172+IF($P172=AB$3,$R172,0)+IF($S172=AB$3,$U172,0)-$AB172))</f>
        <v/>
      </c>
      <c r="BE172">
        <f>IF($C172="",0,MAX(0,$BD172+IF($P172=AC$3,$R172,0)+IF($S172=AC$3,$U172,0)-$AC172))</f>
        <v/>
      </c>
      <c r="BF172">
        <f>IF($C172="",0,MAX(0,$BE172+IF($P172=AD$3,$R172,0)+IF($S172=AD$3,$U172,0)-$AD172))</f>
        <v/>
      </c>
      <c r="BG172">
        <f>IF($C172="",0,MAX(0,$BF172+IF($P172=AE$3,$R172,0)+IF($S172=AE$3,$U172,0)-$AE172))</f>
        <v/>
      </c>
      <c r="BH172">
        <f>IF($C172="",0,MAX(0,$BG172+IF($P172=AF$3,$R172,0)+IF($S172=AF$3,$U172,0)-$AF172))</f>
        <v/>
      </c>
      <c r="BI172">
        <f>IF($C172="",0,MAX(0,$BH172+IF($P172=AG$3,$R172,0)+IF($S172=AG$3,$U172,0)-$AG172))</f>
        <v/>
      </c>
      <c r="BJ172">
        <f>IF($C172="",0,MAX(0,$BI172+IF($P172=AH$3,$R172,0)+IF($S172=AH$3,$U172,0)-$AH172))</f>
        <v/>
      </c>
      <c r="BK172">
        <f>IF($C172="",0,MAX(0,$BJ172+IF($P172=AI$3,$R172,0)+IF($S172=AI$3,$U172,0)-$AI172))</f>
        <v/>
      </c>
      <c r="BL172">
        <f>IF($C172="",99,IF(AND($AX172&lt;1,V$3&gt;=MAX(N($P172),N($S172))),0,99))</f>
        <v/>
      </c>
      <c r="BM172">
        <f>IF($C172="",99,IF(AND($AY172&lt;1,W$3&gt;=MAX(N($P172),N($S172))),1,99))</f>
        <v/>
      </c>
      <c r="BN172">
        <f>IF($C172="",99,IF(AND($AZ172&lt;1,X$3&gt;=MAX(N($P172),N($S172))),2,99))</f>
        <v/>
      </c>
      <c r="BO172">
        <f>IF($C172="",99,IF(AND($BA172&lt;1,Y$3&gt;=MAX(N($P172),N($S172))),3,99))</f>
        <v/>
      </c>
      <c r="BP172">
        <f>IF($C172="",99,IF(AND($BB172&lt;1,Z$3&gt;=MAX(N($P172),N($S172))),4,99))</f>
        <v/>
      </c>
      <c r="BQ172">
        <f>IF($C172="",99,IF(AND($BC172&lt;1,AA$3&gt;=MAX(N($P172),N($S172))),5,99))</f>
        <v/>
      </c>
      <c r="BR172">
        <f>IF($C172="",99,IF(AND($BD172&lt;1,AB$3&gt;=MAX(N($P172),N($S172))),6,99))</f>
        <v/>
      </c>
      <c r="BS172">
        <f>IF($C172="",99,IF(AND($BE172&lt;1,AC$3&gt;=MAX(N($P172),N($S172))),7,99))</f>
        <v/>
      </c>
      <c r="BT172">
        <f>IF($C172="",99,IF(AND($BF172&lt;1,AD$3&gt;=MAX(N($P172),N($S172))),8,99))</f>
        <v/>
      </c>
      <c r="BU172">
        <f>IF($C172="",99,IF(AND($BG172&lt;1,AE$3&gt;=MAX(N($P172),N($S172))),9,99))</f>
        <v/>
      </c>
      <c r="BV172">
        <f>IF($C172="",99,IF(AND($BH172&lt;1,AF$3&gt;=MAX(N($P172),N($S172))),10,99))</f>
        <v/>
      </c>
      <c r="BW172">
        <f>IF($C172="",99,IF(AND($BI172&lt;1,AG$3&gt;=MAX(N($P172),N($S172))),11,99))</f>
        <v/>
      </c>
      <c r="BX172">
        <f>IF($C172="",99,IF(AND($BJ172&lt;1,AH$3&gt;=MAX(N($P172),N($S172))),12,99))</f>
        <v/>
      </c>
      <c r="BY172">
        <f>IF($C172="",99,IF(AND($BK172&lt;1,AI$3&gt;=MAX(N($P172),N($S172))),13,99))</f>
        <v/>
      </c>
      <c r="BZ172">
        <f>IF(OR($C172="",$M172=""),"",COUNTIF($AJ172:$AW172,"&gt;=1"))</f>
        <v/>
      </c>
      <c r="CA172" s="90">
        <f>IF($BZ172="","",IF($BZ172&gt;=14,"",'設定'!$C$6+$BZ172))</f>
        <v/>
      </c>
      <c r="CB172">
        <f>IF(OR($C172="",$M172=""),"",MIN($BL172:$BY172))</f>
        <v/>
      </c>
      <c r="CC172" s="90">
        <f>IF($CB172="","",IF($CB172&gt;=99,"",'設定'!$C$6+$CB172))</f>
        <v/>
      </c>
      <c r="CD172">
        <f>IF(OR($C172="",$M172=""),"",AVERAGE($V172:$AI172))</f>
        <v/>
      </c>
      <c r="CE172">
        <f>IF($C172="","",IFERROR(IF(MATCH(IF(ISNUMBER($P172),$P172,'設定'!$C$6+N('設定'!$C$7)),$V$3:$AI$3,0)=1,MAX(0,N($L172)),INDEX($AJ172:$AW172,MATCH(IF(ISNUMBER($P172),$P172,'設定'!$C$6+N('設定'!$C$7)),$V$3:$AI$3,0)-1)),""))</f>
        <v/>
      </c>
      <c r="CF172">
        <f>IF(OR($C172="",$O172="",$CE172=""),"",IF($O172-$CE172&lt;=0,0,ROUNDUP(($O172-$CE172)/$G172,0)))</f>
        <v/>
      </c>
      <c r="CG172">
        <f>IF(OR($C172="",$CF172="",NOT(ISNUMBER($Q172))),0,MAX(0,$Q172-$CF172))</f>
        <v/>
      </c>
      <c r="CH172">
        <f>IF(OR($C172="",$O172="",$U172=0),0,IFERROR(ROUNDUP(MAX(0,IF(MATCH($S172,$V$3:$AI$3,0)=1,MAX(0,N($L172)),INDEX($AX172:$BK172,MATCH($S172,$V$3:$AI$3,0)-1))+$U172-$O172)/$G172,0),0))</f>
        <v/>
      </c>
      <c r="CI172">
        <f>IF($C172="","",IF(AND($P172="",$Q172=""),"",IF($P172="","⚠ 入庫日を ▼ から選んでください",IF(NOT(ISNUMBER($P172)),"⚠ 入庫日は ▼ から選んでください",IF($P172&lt;N('設定'!$C$6),"⚠ 入庫日が過去です（もう在庫に入っています）→ 消してください",IF($P172&gt;N('設定'!$C$6)+13,"⚠ 入庫日が14日より先です",IF(N($Q172)&lt;=0,"⚠ 入庫数を入れてください",IF($CG172&gt;0,"⚠ 目安より "&amp;$CG172&amp;" 多い（定数を超える）→ 減らす",""))))))))</f>
        <v/>
      </c>
      <c r="CJ172">
        <f>IF($C172="","",IF(AND($S172="",$T172=""),"",IF($S172="","⚠ 2便目：入庫日を ▼ から選んでください",IF(NOT(ISNUMBER($S172)),"⚠ 2便目：入庫日は ▼ から選んでください",IF($S172&lt;N('設定'!$C$6),"⚠ 2便目：入庫日が過去です（もう在庫に入っています）→ 消してください",IF($S172&gt;N('設定'!$C$6)+13,"⚠ 2便目：入庫日が14日より先です",IF(N($T172)&lt;=0,"⚠ 2便目：入庫数を入れてください",IF($CH172&gt;0,"⚠ 2便目：定数を "&amp;$CH172&amp;" ケース超える → 減らす",""))))))))</f>
        <v/>
      </c>
      <c r="CK172">
        <f>IF(AND($CI172="",N($Q172)&gt;0,ISNUMBER($P172)),1,0)</f>
        <v/>
      </c>
      <c r="CL172">
        <f>IF(AND($CJ172="",N($T172)&gt;0,ISNUMBER($S172)),1,0)</f>
        <v/>
      </c>
      <c r="CM172">
        <f>IF(OR($CK172=1,$CL172=1),1,0)</f>
        <v/>
      </c>
      <c r="CN172">
        <f>IF($C172="",0,($CK172*$R172+$CL172*$U172)*N($H172))</f>
        <v/>
      </c>
      <c r="CO172">
        <f>IF($C172="","",IF($CC172="","入庫後は 14日以上もつ",IF($CC172-N('設定'!$C$7)&lt;='設定'!$C$6,"入庫後も "&amp;TEXT($CC172,"m/d")&amp;"("&amp;CHOOSE(WEEKDAY($CC172),"日","月","火","水","木","金","土")&amp;")"&amp;" に切れる　もう1便を至急発注","入庫後も "&amp;TEXT($CC172,"m/d")&amp;"("&amp;CHOOSE(WEEKDAY($CC172),"日","月","火","水","木","金","土")&amp;")"&amp;" に切れる　"&amp;TEXT($CC172-N('設定'!$C$7),"m/d")&amp;"("&amp;CHOOSE(WEEKDAY($CC172-N('設定'!$C$7)),"日","月","火","水","木","金","土")&amp;")"&amp;" までに次を発注")))</f>
        <v/>
      </c>
      <c r="CP172">
        <f>IF($C172="","",IF('設定'!$C$6="","？ ①在庫を貼る に今日のCSVが貼られていない",IF($CS172=1,"－ 今日のCSVに無い（終売？）",IF($L172&lt;0,"● 在庫がマイナス　数えて「数えた在庫」に入れる",IF($L172=0,"● 在庫なし　至急発注",IF($M172="","？ 減り数が未設定（商品マスタ）",IF($B$3=0,"？ 動員が未入力（動員を入れる）",IF($CA172="","○ 14日以上もつ",IF($BZ172&lt;N('設定'!$C$7),"● "&amp;TEXT($CA172,"m/d")&amp;"("&amp;CHOOSE(WEEKDAY($CA172),"日","月","火","水","木","金","土")&amp;")"&amp;" に切れる　至急発注",IF($BZ172=N('設定'!$C$7),"● "&amp;TEXT($CA172,"m/d")&amp;"("&amp;CHOOSE(WEEKDAY($CA172),"日","月","火","水","木","金","土")&amp;")"&amp;" に切れる　今日発注","△ "&amp;TEXT($CA172,"m/d")&amp;"("&amp;CHOOSE(WEEKDAY($CA172),"日","月","火","水","木","金","土")&amp;")"&amp;" に切れる　"&amp;TEXT($CA172-N('設定'!$C$7),"m/d")&amp;"("&amp;CHOOSE(WEEKDAY($CA172-N('設定'!$C$7)),"日","月","火","水","木","金","土")&amp;")"&amp;" までに発注"))))))))))</f>
        <v/>
      </c>
      <c r="CQ172">
        <f>IF($C172="","",IF(AND($P172="",$Q172="",$S172="",$T172=""),"",IF(AND($P172="",$Q172=""),"⚠ 先に1便目（左の入庫日・入庫数）に入れてください",IF($CI172&lt;&gt;"",$CI172,IF($CJ172&lt;&gt;"",$CJ172,IF($M172="","？ 減り数が未設定（発注書には載ります）",IF($B$3=0,"？ 動員が未入力（発注書には載ります）",IF(AND($CA172&lt;&gt;"",$P172&gt;$CA172),IF($P172&gt;'設定'!$C$6+N('設定'!$C$7),"● "&amp;TEXT($P172,"m/d")&amp;"("&amp;CHOOSE(WEEKDAY($P172),"日","月","火","水","木","金","土")&amp;")"&amp;" の入庫では間に合わない（"&amp;TEXT($CA172,"m/d")&amp;"("&amp;CHOOSE(WEEKDAY($CA172),"日","月","火","水","木","金","土")&amp;")"&amp;" に切れる）　入庫日を早める","△ 欠品 "&amp;TEXT($CA172,"m/d")&amp;"("&amp;CHOOSE(WEEKDAY($CA172),"日","月","火","水","木","金","土")&amp;")"&amp;"〜"&amp;TEXT($P172-1,"m/d")&amp;"("&amp;CHOOSE(WEEKDAY($P172-1),"日","月","火","水","木","金","土")&amp;")"&amp;"　"&amp;$CO172),IF($CC172="","○ "&amp;TEXT($P172,"m/d")&amp;"("&amp;CHOOSE(WEEKDAY($P172),"日","月","火","水","木","金","土")&amp;")"&amp;" 入庫で 14日以上もつ",IF($CC172-N('設定'!$C$7)&lt;='設定'!$C$6,"● 入庫しても "&amp;TEXT($CC172,"m/d")&amp;"("&amp;CHOOSE(WEEKDAY($CC172),"日","月","火","水","木","金","土")&amp;")"&amp;" に切れる　もう1便を至急発注（2便目に入れる）","△ 入庫しても "&amp;TEXT($CC172,"m/d")&amp;"("&amp;CHOOSE(WEEKDAY($CC172),"日","月","火","水","木","金","土")&amp;")"&amp;" に切れる　"&amp;TEXT($CC172-N('設定'!$C$7),"m/d")&amp;"("&amp;CHOOSE(WEEKDAY($CC172-N('設定'!$C$7)),"日","月","火","水","木","金","土")&amp;")"&amp;" までに次を発注（2便目に入れる）"))))))))))</f>
        <v/>
      </c>
      <c r="CR172">
        <f>IF($C172="","",IF($G172&gt;1,"ｹｰｽ("&amp;$G172&amp;"入)","個"))</f>
        <v/>
      </c>
      <c r="CS172">
        <f>IF($C172="",0,IF(COUNTIFS('①在庫を貼る'!$V$6:$V$10005,'設定'!$C$4,'①在庫を貼る'!$W$6:$W$10005,$C172)=0,1,0))</f>
        <v/>
      </c>
      <c r="CT172">
        <f>IF(AND($CK172=1,OR('③発注書'!$C$4="すべて",'③発注書'!$C$4="",$F172='③発注書'!$C$4)),N($CT171)+1,N($CT171))</f>
        <v/>
      </c>
      <c r="CU172">
        <f>IF(AND($CL172=1,OR('③発注書'!$C$4="すべて",'③発注書'!$C$4="",$F172='③発注書'!$C$4)),N($CU171)+1,N($CU171))</f>
        <v/>
      </c>
      <c r="CV172">
        <f>IF($C172="",0,IF(COUNTIFS('①在庫を貼る'!$V$6:$V$10005,'設定'!$C$4,'①在庫を貼る'!$W$6:$W$10005,$C172)&gt;0,1,0))</f>
        <v/>
      </c>
      <c r="CW172">
        <f>IF($C172="",0,IF(COUNTIFS('月1回_1ヶ月前の在庫'!$V$6:$V$10005,'設定'!$C$4,'月1回_1ヶ月前の在庫'!$W$6:$W$10005,$C172)&gt;0,1,0))</f>
        <v/>
      </c>
      <c r="CX172">
        <f>IF($C172="",0,IF(COUNTIFS('月1回_2ヶ月前の在庫'!$V$6:$V$10005,'設定'!$C$4,'月1回_2ヶ月前の在庫'!$W$6:$W$10005,$C172)&gt;0,1,0))</f>
        <v/>
      </c>
      <c r="CY172">
        <f>IF(OR($C172="",'設定'!$C$12=""),"",IF('設定'!$C$13="",IF(AND($CV172=1,$CW172=0),"新商品（今月から）",IF(AND($CV172=0,$CW172=1),"終売（今月から）","")),IF(AND($CV172=1,$CW172=0,$CX172=0),"新商品（今月から）",IF(AND($CV172=1,$CW172=1,$CX172=0),"新商品（先月から）",IF(AND($CV172=0,$CW172=1,$CX172=1),"終売（今月から）",IF(AND($CV172=0,$CW172=0,$CX172=1),"終売（先月から）",IF(AND($CV172=1,$CW172=0,$CX172=1),"復活（先月は無し）","")))))))</f>
        <v/>
      </c>
    </row>
    <row r="173">
      <c r="B173">
        <f>IF(168&lt;='設定'!$C$11,168,"")</f>
        <v/>
      </c>
      <c r="C173">
        <f>IF($B173="","",IF($B173&lt;='設定'!$C$20,INDEX('商品マスタ'!$B$6:$B$1005,MATCH($B173,'商品マスタ'!$M$6:$M$1005,0)),IF($B173&lt;='設定'!$C$20+'設定'!$C$17,INDEX('①在庫を貼る'!$W$6:$W$10005,MATCH($B173-'設定'!$C$20,'①在庫を貼る'!$U$6:$U$10005,0)),IF($B173&lt;='設定'!$C$20+'設定'!$C$17+'設定'!$C$18,INDEX('月1回_1ヶ月前の在庫'!$W$6:$W$10005,MATCH($B173-'設定'!$C$20-'設定'!$C$17,'月1回_1ヶ月前の在庫'!$U$6:$U$10005,0)),INDEX('月1回_2ヶ月前の在庫'!$W$6:$W$10005,MATCH($B173-'設定'!$C$20-'設定'!$C$17-'設定'!$C$18,'月1回_2ヶ月前の在庫'!$U$6:$U$10005,0))))))</f>
        <v/>
      </c>
      <c r="D173">
        <f>IF($C173="","",IFERROR(IF(INDEX('商品マスタ'!$C$6:$C$1005,MATCH($C173,'商品マスタ'!$B$6:$B$1005,0))="",IFERROR(INDEX('①在庫を貼る'!$J$6:$J$10005,MATCH($C173,'①在庫を貼る'!$W$6:$W$10005,0)),IFERROR(INDEX('月1回_1ヶ月前の在庫'!$J$6:$J$10005,MATCH($C173,'月1回_1ヶ月前の在庫'!$W$6:$W$10005,0)),IFERROR(INDEX('月1回_2ヶ月前の在庫'!$J$6:$J$10005,MATCH($C173,'月1回_2ヶ月前の在庫'!$W$6:$W$10005,0)),""))),INDEX('商品マスタ'!$C$6:$C$1005,MATCH($C173,'商品マスタ'!$B$6:$B$1005,0))),IFERROR(INDEX('①在庫を貼る'!$J$6:$J$10005,MATCH($C173,'①在庫を貼る'!$W$6:$W$10005,0)),IFERROR(INDEX('月1回_1ヶ月前の在庫'!$J$6:$J$10005,MATCH($C173,'月1回_1ヶ月前の在庫'!$W$6:$W$10005,0)),IFERROR(INDEX('月1回_2ヶ月前の在庫'!$J$6:$J$10005,MATCH($C173,'月1回_2ヶ月前の在庫'!$W$6:$W$10005,0)),"")))))</f>
        <v/>
      </c>
      <c r="E173">
        <f>IF($C173="","",IFERROR(IF(INDEX('商品マスタ'!$D$6:$D$1005,MATCH($C173,'商品マスタ'!$B$6:$B$1005,0))="",IFERROR(INDEX('①在庫を貼る'!$H$6:$H$10005,MATCH($C173,'①在庫を貼る'!$W$6:$W$10005,0)),IFERROR(INDEX('月1回_1ヶ月前の在庫'!$H$6:$H$10005,MATCH($C173,'月1回_1ヶ月前の在庫'!$W$6:$W$10005,0)),IFERROR(INDEX('月1回_2ヶ月前の在庫'!$H$6:$H$10005,MATCH($C173,'月1回_2ヶ月前の在庫'!$W$6:$W$10005,0)),""))),INDEX('商品マスタ'!$D$6:$D$1005,MATCH($C173,'商品マスタ'!$B$6:$B$1005,0))),IFERROR(INDEX('①在庫を貼る'!$H$6:$H$10005,MATCH($C173,'①在庫を貼る'!$W$6:$W$10005,0)),IFERROR(INDEX('月1回_1ヶ月前の在庫'!$H$6:$H$10005,MATCH($C173,'月1回_1ヶ月前の在庫'!$W$6:$W$10005,0)),IFERROR(INDEX('月1回_2ヶ月前の在庫'!$H$6:$H$10005,MATCH($C173,'月1回_2ヶ月前の在庫'!$W$6:$W$10005,0)),"")))))</f>
        <v/>
      </c>
      <c r="F173">
        <f>IF($C173="","",IFERROR(IF(INDEX('商品マスタ'!$E$6:$E$1005,MATCH($C173,'商品マスタ'!$B$6:$B$1005,0))="",IFERROR(INDEX('①在庫を貼る'!$E$6:$E$10005,MATCH($C173,'①在庫を貼る'!$W$6:$W$10005,0)),IFERROR(INDEX('月1回_1ヶ月前の在庫'!$E$6:$E$10005,MATCH($C173,'月1回_1ヶ月前の在庫'!$W$6:$W$10005,0)),IFERROR(INDEX('月1回_2ヶ月前の在庫'!$E$6:$E$10005,MATCH($C173,'月1回_2ヶ月前の在庫'!$W$6:$W$10005,0)),""))),INDEX('商品マスタ'!$E$6:$E$1005,MATCH($C173,'商品マスタ'!$B$6:$B$1005,0))),IFERROR(INDEX('①在庫を貼る'!$E$6:$E$10005,MATCH($C173,'①在庫を貼る'!$W$6:$W$10005,0)),IFERROR(INDEX('月1回_1ヶ月前の在庫'!$E$6:$E$10005,MATCH($C173,'月1回_1ヶ月前の在庫'!$W$6:$W$10005,0)),IFERROR(INDEX('月1回_2ヶ月前の在庫'!$E$6:$E$10005,MATCH($C173,'月1回_2ヶ月前の在庫'!$W$6:$W$10005,0)),"")))))</f>
        <v/>
      </c>
      <c r="G173">
        <f>IF($C173="","",MAX(1,N(IFERROR(IF(INDEX('商品マスタ'!$F$6:$F$1005,MATCH($C173,'商品マスタ'!$B$6:$B$1005,0))="",IF(COUNTIFS('①在庫を貼る'!$V$6:$V$10005,'設定'!$C$4,'①在庫を貼る'!$W$6:$W$10005,$C173)&gt;0,SUMIFS('①在庫を貼る'!$K$6:$K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K$6:$K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K$6:$K$10005,'月1回_2ヶ月前の在庫'!$V$6:$V$10005,'設定'!$C$4,'月1回_2ヶ月前の在庫'!$W$6:$W$10005,$C173)/COUNTIFS('月1回_2ヶ月前の在庫'!$V$6:$V$10005,'設定'!$C$4,'月1回_2ヶ月前の在庫'!$W$6:$W$10005,$C173),0))),INDEX('商品マスタ'!$F$6:$F$1005,MATCH($C173,'商品マスタ'!$B$6:$B$1005,0))),IF(COUNTIFS('①在庫を貼る'!$V$6:$V$10005,'設定'!$C$4,'①在庫を貼る'!$W$6:$W$10005,$C173)&gt;0,SUMIFS('①在庫を貼る'!$K$6:$K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K$6:$K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K$6:$K$10005,'月1回_2ヶ月前の在庫'!$V$6:$V$10005,'設定'!$C$4,'月1回_2ヶ月前の在庫'!$W$6:$W$10005,$C173)/COUNTIFS('月1回_2ヶ月前の在庫'!$V$6:$V$10005,'設定'!$C$4,'月1回_2ヶ月前の在庫'!$W$6:$W$10005,$C173),0)))))))</f>
        <v/>
      </c>
      <c r="H173">
        <f>IF($C173="","",N(IFERROR(IF(INDEX('商品マスタ'!$G$6:$G$1005,MATCH($C173,'商品マスタ'!$B$6:$B$1005,0))="",IF(COUNTIFS('①在庫を貼る'!$V$6:$V$10005,'設定'!$C$4,'①在庫を貼る'!$W$6:$W$10005,$C173)&gt;0,SUMIFS('①在庫を貼る'!$Q$6:$Q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Q$6:$Q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Q$6:$Q$10005,'月1回_2ヶ月前の在庫'!$V$6:$V$10005,'設定'!$C$4,'月1回_2ヶ月前の在庫'!$W$6:$W$10005,$C173)/COUNTIFS('月1回_2ヶ月前の在庫'!$V$6:$V$10005,'設定'!$C$4,'月1回_2ヶ月前の在庫'!$W$6:$W$10005,$C173),0))),INDEX('商品マスタ'!$G$6:$G$1005,MATCH($C173,'商品マスタ'!$B$6:$B$1005,0))),IF(COUNTIFS('①在庫を貼る'!$V$6:$V$10005,'設定'!$C$4,'①在庫を貼る'!$W$6:$W$10005,$C173)&gt;0,SUMIFS('①在庫を貼る'!$Q$6:$Q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Q$6:$Q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Q$6:$Q$10005,'月1回_2ヶ月前の在庫'!$V$6:$V$10005,'設定'!$C$4,'月1回_2ヶ月前の在庫'!$W$6:$W$10005,$C173)/COUNTIFS('月1回_2ヶ月前の在庫'!$V$6:$V$10005,'設定'!$C$4,'月1回_2ヶ月前の在庫'!$W$6:$W$10005,$C173),0))))))</f>
        <v/>
      </c>
      <c r="I173">
        <f>IF($C173="","",IF(COUNTIFS('①在庫を貼る'!$V$6:$V$10005,'設定'!$C$4,'①在庫を貼る'!$W$6:$W$10005,$C173)=0,"",SUMIFS('①在庫を貼る'!$N$6:$N$10005,'①在庫を貼る'!$V$6:$V$10005,'設定'!$C$4,'①在庫を貼る'!$W$6:$W$10005,$C173)))</f>
        <v/>
      </c>
      <c r="J173">
        <f>IF($C173="","",IF('②発注する'!$AD177="","",'②発注する'!$AD177))</f>
        <v/>
      </c>
      <c r="K173" s="90">
        <f>IF($C173="","",IF('②発注する'!$AE177="","",'②発注する'!$AE177))</f>
        <v/>
      </c>
      <c r="L173">
        <f>IF($C173="","",IF(AND(ISNUMBER($J173),ISNUMBER($K173),$K173&gt;='設定'!$C$6),$J173,N($I173)))</f>
        <v/>
      </c>
      <c r="M173">
        <f>IF($C173="","",IFERROR(IF(N(INDEX('商品マスタ'!$J$6:$J$1005,MATCH($C173,'商品マスタ'!$B$6:$B$1005,0)))&gt;0,INDEX('商品マスタ'!$J$6:$J$1005,MATCH($C173,'商品マスタ'!$B$6:$B$1005,0)),""),""))</f>
        <v/>
      </c>
      <c r="N173">
        <f>IF($C173="","",IFERROR(IF(N(INDEX('商品マスタ'!$H$6:$H$1005,MATCH($C173,'商品マスタ'!$B$6:$B$1005,0)))&gt;0,INDEX('商品マスタ'!$H$6:$H$1005,MATCH($C173,'商品マスタ'!$B$6:$B$1005,0)),""),""))</f>
        <v/>
      </c>
      <c r="O173">
        <f>IF($C173="","",IF($N173&lt;&gt;"",$N173*$G173,IF(N(IF(COUNTIFS('①在庫を貼る'!$V$6:$V$10005,'設定'!$C$4,'①在庫を貼る'!$W$6:$W$10005,$C173)&gt;0,SUMIFS('①在庫を貼る'!$O$6:$O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O$6:$O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O$6:$O$10005,'月1回_2ヶ月前の在庫'!$V$6:$V$10005,'設定'!$C$4,'月1回_2ヶ月前の在庫'!$W$6:$W$10005,$C173)/COUNTIFS('月1回_2ヶ月前の在庫'!$V$6:$V$10005,'設定'!$C$4,'月1回_2ヶ月前の在庫'!$W$6:$W$10005,$C173),0))))&gt;0,N(IF(COUNTIFS('①在庫を貼る'!$V$6:$V$10005,'設定'!$C$4,'①在庫を貼る'!$W$6:$W$10005,$C173)&gt;0,SUMIFS('①在庫を貼る'!$O$6:$O$10005,'①在庫を貼る'!$V$6:$V$10005,'設定'!$C$4,'①在庫を貼る'!$W$6:$W$10005,$C173)/COUNTIFS('①在庫を貼る'!$V$6:$V$10005,'設定'!$C$4,'①在庫を貼る'!$W$6:$W$10005,$C173),IF(COUNTIFS('月1回_1ヶ月前の在庫'!$V$6:$V$10005,'設定'!$C$4,'月1回_1ヶ月前の在庫'!$W$6:$W$10005,$C173)&gt;0,SUMIFS('月1回_1ヶ月前の在庫'!$O$6:$O$10005,'月1回_1ヶ月前の在庫'!$V$6:$V$10005,'設定'!$C$4,'月1回_1ヶ月前の在庫'!$W$6:$W$10005,$C173)/COUNTIFS('月1回_1ヶ月前の在庫'!$V$6:$V$10005,'設定'!$C$4,'月1回_1ヶ月前の在庫'!$W$6:$W$10005,$C173),IF(COUNTIFS('月1回_2ヶ月前の在庫'!$V$6:$V$10005,'設定'!$C$4,'月1回_2ヶ月前の在庫'!$W$6:$W$10005,$C173)&gt;0,SUMIFS('月1回_2ヶ月前の在庫'!$O$6:$O$10005,'月1回_2ヶ月前の在庫'!$V$6:$V$10005,'設定'!$C$4,'月1回_2ヶ月前の在庫'!$W$6:$W$10005,$C173)/COUNTIFS('月1回_2ヶ月前の在庫'!$V$6:$V$10005,'設定'!$C$4,'月1回_2ヶ月前の在庫'!$W$6:$W$10005,$C173),0)))),"")))</f>
        <v/>
      </c>
      <c r="P173" s="90">
        <f>IF($C173="","",IF('②発注する'!$I177="","",'②発注する'!$I177))</f>
        <v/>
      </c>
      <c r="Q173">
        <f>IF($C173="","",IF('②発注する'!$J177="","",'②発注する'!$J177))</f>
        <v/>
      </c>
      <c r="R173">
        <f>IF($C173="",0,IF(AND(ISNUMBER($P173),ISNUMBER($Q173)),MAX(0,$Q173)*$G173,0))</f>
        <v/>
      </c>
      <c r="S173" s="90">
        <f>IF($C173="","",IF('②発注する'!$M177="","",'②発注する'!$M177))</f>
        <v/>
      </c>
      <c r="T173">
        <f>IF($C173="","",IF('②発注する'!$N177="","",'②発注する'!$N177))</f>
        <v/>
      </c>
      <c r="U173">
        <f>IF($C173="",0,IF(AND(ISNUMBER($S173),ISNUMBER($T173)),MAX(0,$T173)*$G173,0))</f>
        <v/>
      </c>
      <c r="V173">
        <f>IF($C173="",0,IF($M173="",0,MAX(0,$M173)*MAX(0,V$4)/100))</f>
        <v/>
      </c>
      <c r="W173">
        <f>IF($C173="",0,IF($M173="",0,MAX(0,$M173)*MAX(0,W$4)/100))</f>
        <v/>
      </c>
      <c r="X173">
        <f>IF($C173="",0,IF($M173="",0,MAX(0,$M173)*MAX(0,X$4)/100))</f>
        <v/>
      </c>
      <c r="Y173">
        <f>IF($C173="",0,IF($M173="",0,MAX(0,$M173)*MAX(0,Y$4)/100))</f>
        <v/>
      </c>
      <c r="Z173">
        <f>IF($C173="",0,IF($M173="",0,MAX(0,$M173)*MAX(0,Z$4)/100))</f>
        <v/>
      </c>
      <c r="AA173">
        <f>IF($C173="",0,IF($M173="",0,MAX(0,$M173)*MAX(0,AA$4)/100))</f>
        <v/>
      </c>
      <c r="AB173">
        <f>IF($C173="",0,IF($M173="",0,MAX(0,$M173)*MAX(0,AB$4)/100))</f>
        <v/>
      </c>
      <c r="AC173">
        <f>IF($C173="",0,IF($M173="",0,MAX(0,$M173)*MAX(0,AC$4)/100))</f>
        <v/>
      </c>
      <c r="AD173">
        <f>IF($C173="",0,IF($M173="",0,MAX(0,$M173)*MAX(0,AD$4)/100))</f>
        <v/>
      </c>
      <c r="AE173">
        <f>IF($C173="",0,IF($M173="",0,MAX(0,$M173)*MAX(0,AE$4)/100))</f>
        <v/>
      </c>
      <c r="AF173">
        <f>IF($C173="",0,IF($M173="",0,MAX(0,$M173)*MAX(0,AF$4)/100))</f>
        <v/>
      </c>
      <c r="AG173">
        <f>IF($C173="",0,IF($M173="",0,MAX(0,$M173)*MAX(0,AG$4)/100))</f>
        <v/>
      </c>
      <c r="AH173">
        <f>IF($C173="",0,IF($M173="",0,MAX(0,$M173)*MAX(0,AH$4)/100))</f>
        <v/>
      </c>
      <c r="AI173">
        <f>IF($C173="",0,IF($M173="",0,MAX(0,$M173)*MAX(0,AI$4)/100))</f>
        <v/>
      </c>
      <c r="AJ173">
        <f>IF($C173="",0,MAX(0,MAX(0,N($L173))-$V173))</f>
        <v/>
      </c>
      <c r="AK173">
        <f>IF($C173="",0,MAX(0,$AJ173-$W173))</f>
        <v/>
      </c>
      <c r="AL173">
        <f>IF($C173="",0,MAX(0,$AK173-$X173))</f>
        <v/>
      </c>
      <c r="AM173">
        <f>IF($C173="",0,MAX(0,$AL173-$Y173))</f>
        <v/>
      </c>
      <c r="AN173">
        <f>IF($C173="",0,MAX(0,$AM173-$Z173))</f>
        <v/>
      </c>
      <c r="AO173">
        <f>IF($C173="",0,MAX(0,$AN173-$AA173))</f>
        <v/>
      </c>
      <c r="AP173">
        <f>IF($C173="",0,MAX(0,$AO173-$AB173))</f>
        <v/>
      </c>
      <c r="AQ173">
        <f>IF($C173="",0,MAX(0,$AP173-$AC173))</f>
        <v/>
      </c>
      <c r="AR173">
        <f>IF($C173="",0,MAX(0,$AQ173-$AD173))</f>
        <v/>
      </c>
      <c r="AS173">
        <f>IF($C173="",0,MAX(0,$AR173-$AE173))</f>
        <v/>
      </c>
      <c r="AT173">
        <f>IF($C173="",0,MAX(0,$AS173-$AF173))</f>
        <v/>
      </c>
      <c r="AU173">
        <f>IF($C173="",0,MAX(0,$AT173-$AG173))</f>
        <v/>
      </c>
      <c r="AV173">
        <f>IF($C173="",0,MAX(0,$AU173-$AH173))</f>
        <v/>
      </c>
      <c r="AW173">
        <f>IF($C173="",0,MAX(0,$AV173-$AI173))</f>
        <v/>
      </c>
      <c r="AX173">
        <f>IF($C173="",0,MAX(0,MAX(0,N($L173))+IF($P173=V$3,$R173,0)+IF($S173=V$3,$U173,0)-$V173))</f>
        <v/>
      </c>
      <c r="AY173">
        <f>IF($C173="",0,MAX(0,$AX173+IF($P173=W$3,$R173,0)+IF($S173=W$3,$U173,0)-$W173))</f>
        <v/>
      </c>
      <c r="AZ173">
        <f>IF($C173="",0,MAX(0,$AY173+IF($P173=X$3,$R173,0)+IF($S173=X$3,$U173,0)-$X173))</f>
        <v/>
      </c>
      <c r="BA173">
        <f>IF($C173="",0,MAX(0,$AZ173+IF($P173=Y$3,$R173,0)+IF($S173=Y$3,$U173,0)-$Y173))</f>
        <v/>
      </c>
      <c r="BB173">
        <f>IF($C173="",0,MAX(0,$BA173+IF($P173=Z$3,$R173,0)+IF($S173=Z$3,$U173,0)-$Z173))</f>
        <v/>
      </c>
      <c r="BC173">
        <f>IF($C173="",0,MAX(0,$BB173+IF($P173=AA$3,$R173,0)+IF($S173=AA$3,$U173,0)-$AA173))</f>
        <v/>
      </c>
      <c r="BD173">
        <f>IF($C173="",0,MAX(0,$BC173+IF($P173=AB$3,$R173,0)+IF($S173=AB$3,$U173,0)-$AB173))</f>
        <v/>
      </c>
      <c r="BE173">
        <f>IF($C173="",0,MAX(0,$BD173+IF($P173=AC$3,$R173,0)+IF($S173=AC$3,$U173,0)-$AC173))</f>
        <v/>
      </c>
      <c r="BF173">
        <f>IF($C173="",0,MAX(0,$BE173+IF($P173=AD$3,$R173,0)+IF($S173=AD$3,$U173,0)-$AD173))</f>
        <v/>
      </c>
      <c r="BG173">
        <f>IF($C173="",0,MAX(0,$BF173+IF($P173=AE$3,$R173,0)+IF($S173=AE$3,$U173,0)-$AE173))</f>
        <v/>
      </c>
      <c r="BH173">
        <f>IF($C173="",0,MAX(0,$BG173+IF($P173=AF$3,$R173,0)+IF($S173=AF$3,$U173,0)-$AF173))</f>
        <v/>
      </c>
      <c r="BI173">
        <f>IF($C173="",0,MAX(0,$BH173+IF($P173=AG$3,$R173,0)+IF($S173=AG$3,$U173,0)-$AG173))</f>
        <v/>
      </c>
      <c r="BJ173">
        <f>IF($C173="",0,MAX(0,$BI173+IF($P173=AH$3,$R173,0)+IF($S173=AH$3,$U173,0)-$AH173))</f>
        <v/>
      </c>
      <c r="BK173">
        <f>IF($C173="",0,MAX(0,$BJ173+IF($P173=AI$3,$R173,0)+IF($S173=AI$3,$U173,0)-$AI173))</f>
        <v/>
      </c>
      <c r="BL173">
        <f>IF($C173="",99,IF(AND($AX173&lt;1,V$3&gt;=MAX(N($P173),N($S173))),0,99))</f>
        <v/>
      </c>
      <c r="BM173">
        <f>IF($C173="",99,IF(AND($AY173&lt;1,W$3&gt;=MAX(N($P173),N($S173))),1,99))</f>
        <v/>
      </c>
      <c r="BN173">
        <f>IF($C173="",99,IF(AND($AZ173&lt;1,X$3&gt;=MAX(N($P173),N($S173))),2,99))</f>
        <v/>
      </c>
      <c r="BO173">
        <f>IF($C173="",99,IF(AND($BA173&lt;1,Y$3&gt;=MAX(N($P173),N($S173))),3,99))</f>
        <v/>
      </c>
      <c r="BP173">
        <f>IF($C173="",99,IF(AND($BB173&lt;1,Z$3&gt;=MAX(N($P173),N($S173))),4,99))</f>
        <v/>
      </c>
      <c r="BQ173">
        <f>IF($C173="",99,IF(AND($BC173&lt;1,AA$3&gt;=MAX(N($P173),N($S173))),5,99))</f>
        <v/>
      </c>
      <c r="BR173">
        <f>IF($C173="",99,IF(AND($BD173&lt;1,AB$3&gt;=MAX(N($P173),N($S173))),6,99))</f>
        <v/>
      </c>
      <c r="BS173">
        <f>IF($C173="",99,IF(AND($BE173&lt;1,AC$3&gt;=MAX(N($P173),N($S173))),7,99))</f>
        <v/>
      </c>
      <c r="BT173">
        <f>IF($C173="",99,IF(AND($BF173&lt;1,AD$3&gt;=MAX(N($P173),N($S173))),8,99))</f>
        <v/>
      </c>
      <c r="BU173">
        <f>IF($C173="",99,IF(AND($BG173&lt;1,AE$3&gt;=MAX(N($P173),N($S173))),9,99))</f>
        <v/>
      </c>
      <c r="BV173">
        <f>IF($C173="",99,IF(AND($BH173&lt;1,AF$3&gt;=MAX(N($P173),N($S173))),10,99))</f>
        <v/>
      </c>
      <c r="BW173">
        <f>IF($C173="",99,IF(AND($BI173&lt;1,AG$3&gt;=MAX(N($P173),N($S173))),11,99))</f>
        <v/>
      </c>
      <c r="BX173">
        <f>IF($C173="",99,IF(AND($BJ173&lt;1,AH$3&gt;=MAX(N($P173),N($S173))),12,99))</f>
        <v/>
      </c>
      <c r="BY173">
        <f>IF($C173="",99,IF(AND($BK173&lt;1,AI$3&gt;=MAX(N($P173),N($S173))),13,99))</f>
        <v/>
      </c>
      <c r="BZ173">
        <f>IF(OR($C173="",$M173=""),"",COUNTIF($AJ173:$AW173,"&gt;=1"))</f>
        <v/>
      </c>
      <c r="CA173" s="90">
        <f>IF($BZ173="","",IF($BZ173&gt;=14,"",'設定'!$C$6+$BZ173))</f>
        <v/>
      </c>
      <c r="CB173">
        <f>IF(OR($C173="",$M173=""),"",MIN($BL173:$BY173))</f>
        <v/>
      </c>
      <c r="CC173" s="90">
        <f>IF($CB173="","",IF($CB173&gt;=99,"",'設定'!$C$6+$CB173))</f>
        <v/>
      </c>
      <c r="CD173">
        <f>IF(OR($C173="",$M173=""),"",AVERAGE($V173:$AI173))</f>
        <v/>
      </c>
      <c r="CE173">
        <f>IF($C173="","",IFERROR(IF(MATCH(IF(ISNUMBER($P173),$P173,'設定'!$C$6+N('設定'!$C$7)),$V$3:$AI$3,0)=1,MAX(0,N($L173)),INDEX($AJ173:$AW173,MATCH(IF(ISNUMBER($P173),$P173,'設定'!$C$6+N('設定'!$C$7)),$V$3:$AI$3,0)-1)),""))</f>
        <v/>
      </c>
      <c r="CF173">
        <f>IF(OR($C173="",$O173="",$CE173=""),"",IF($O173-$CE173&lt;=0,0,ROUNDUP(($O173-$CE173)/$G173,0)))</f>
        <v/>
      </c>
      <c r="CG173">
        <f>IF(OR($C173="",$CF173="",NOT(ISNUMBER($Q173))),0,MAX(0,$Q173-$CF173))</f>
        <v/>
      </c>
      <c r="CH173">
        <f>IF(OR($C173="",$O173="",$U173=0),0,IFERROR(ROUNDUP(MAX(0,IF(MATCH($S173,$V$3:$AI$3,0)=1,MAX(0,N($L173)),INDEX($AX173:$BK173,MATCH($S173,$V$3:$AI$3,0)-1))+$U173-$O173)/$G173,0),0))</f>
        <v/>
      </c>
      <c r="CI173">
        <f>IF($C173="","",IF(AND($P173="",$Q173=""),"",IF($P173="","⚠ 入庫日を ▼ から選んでください",IF(NOT(ISNUMBER($P173)),"⚠ 入庫日は ▼ から選んでください",IF($P173&lt;N('設定'!$C$6),"⚠ 入庫日が過去です（もう在庫に入っています）→ 消してください",IF($P173&gt;N('設定'!$C$6)+13,"⚠ 入庫日が14日より先です",IF(N($Q173)&lt;=0,"⚠ 入庫数を入れてください",IF($CG173&gt;0,"⚠ 目安より "&amp;$CG173&amp;" 多い（定数を超える）→ 減らす",""))))))))</f>
        <v/>
      </c>
      <c r="CJ173">
        <f>IF($C173="","",IF(AND($S173="",$T173=""),"",IF($S173="","⚠ 2便目：入庫日を ▼ から選んでください",IF(NOT(ISNUMBER($S173)),"⚠ 2便目：入庫日は ▼ から選んでください",IF($S173&lt;N('設定'!$C$6),"⚠ 2便目：入庫日が過去です（もう在庫に入っています）→ 消してください",IF($S173&gt;N('設定'!$C$6)+13,"⚠ 2便目：入庫日が14日より先です",IF(N($T173)&lt;=0,"⚠ 2便目：入庫数を入れてください",IF($CH173&gt;0,"⚠ 2便目：定数を "&amp;$CH173&amp;" ケース超える → 減らす",""))))))))</f>
        <v/>
      </c>
      <c r="CK173">
        <f>IF(AND($CI173="",N($Q173)&gt;0,ISNUMBER($P173)),1,0)</f>
        <v/>
      </c>
      <c r="CL173">
        <f>IF(AND($CJ173="",N($T173)&gt;0,ISNUMBER($S173)),1,0)</f>
        <v/>
      </c>
      <c r="CM173">
        <f>IF(OR($CK173=1,$CL173=1),1,0)</f>
        <v/>
      </c>
      <c r="CN173">
        <f>IF($C173="",0,($CK173*$R173+$CL173*$U173)*N($H173))</f>
        <v/>
      </c>
      <c r="CO173">
        <f>IF($C173="","",IF($CC173="","入庫後は 14日以上もつ",IF($CC173-N('設定'!$C$7)&lt;='設定'!$C$6,"入庫後も "&amp;TEXT($CC173,"m/d")&amp;"("&amp;CHOOSE(WEEKDAY($CC173),"日","月","火","水","木","金","土")&amp;")"&amp;" に切れる　もう1便を至急発注","入庫後も "&amp;TEXT($CC173,"m/d")&amp;"("&amp;CHOOSE(WEEKDAY($CC173),"日","月","火","水","木","金","土")&amp;")"&amp;" に切れる　"&amp;TEXT($CC173-N('設定'!$C$7),"m/d")&amp;"("&amp;CHOOSE(WEEKDAY($CC173-N('設定'!$C$7)),"日","月","火","水","木","金","土")&amp;")"&amp;" までに次を発注")))</f>
        <v/>
      </c>
      <c r="CP173">
        <f>IF($C173="","",IF('設定'!$C$6="","？ ①在庫を貼る に今日のCSVが貼られていない",IF($CS173=1,"－ 今日のCSVに無い（終売？）",IF($L173&lt;0,"● 在庫がマイナス　数えて「数えた在庫」に入れる",IF($L173=0,"● 在庫なし　至急発注",IF($M173="","？ 減り数が未設定（商品マスタ）",IF($B$3=0,"？ 動員が未入力（動員を入れる）",IF($CA173="","○ 14日以上もつ",IF($BZ173&lt;N('設定'!$C$7),"● "&amp;TEXT($CA173,"m/d")&amp;"("&amp;CHOOSE(WEEKDAY($CA173),"日","月","火","水","木","金","土")&amp;")"&amp;" に切れる　至急発注",IF($BZ173=N('設定'!$C$7),"● "&amp;TEXT($CA173,"m/d")&amp;"("&amp;CHOOSE(WEEKDAY($CA173),"日","月","火","水","木","金","土")&amp;")"&amp;" に切れる　今日発注","△ "&amp;TEXT($CA173,"m/d")&amp;"("&amp;CHOOSE(WEEKDAY($CA173),"日","月","火","水","木","金","土")&amp;")"&amp;" に切れる　"&amp;TEXT($CA173-N('設定'!$C$7),"m/d")&amp;"("&amp;CHOOSE(WEEKDAY($CA173-N('設定'!$C$7)),"日","月","火","水","木","金","土")&amp;")"&amp;" までに発注"))))))))))</f>
        <v/>
      </c>
      <c r="CQ173">
        <f>IF($C173="","",IF(AND($P173="",$Q173="",$S173="",$T173=""),"",IF(AND($P173="",$Q173=""),"⚠ 先に1便目（左の入庫日・入庫数）に入れてください",IF($CI173&lt;&gt;"",$CI173,IF($CJ173&lt;&gt;"",$CJ173,IF($M173="","？ 減り数が未設定（発注書には載ります）",IF($B$3=0,"？ 動員が未入力（発注書には載ります）",IF(AND($CA173&lt;&gt;"",$P173&gt;$CA173),IF($P173&gt;'設定'!$C$6+N('設定'!$C$7),"● "&amp;TEXT($P173,"m/d")&amp;"("&amp;CHOOSE(WEEKDAY($P173),"日","月","火","水","木","金","土")&amp;")"&amp;" の入庫では間に合わない（"&amp;TEXT($CA173,"m/d")&amp;"("&amp;CHOOSE(WEEKDAY($CA173),"日","月","火","水","木","金","土")&amp;")"&amp;" に切れる）　入庫日を早める","△ 欠品 "&amp;TEXT($CA173,"m/d")&amp;"("&amp;CHOOSE(WEEKDAY($CA173),"日","月","火","水","木","金","土")&amp;")"&amp;"〜"&amp;TEXT($P173-1,"m/d")&amp;"("&amp;CHOOSE(WEEKDAY($P173-1),"日","月","火","水","木","金","土")&amp;")"&amp;"　"&amp;$CO173),IF($CC173="","○ "&amp;TEXT($P173,"m/d")&amp;"("&amp;CHOOSE(WEEKDAY($P173),"日","月","火","水","木","金","土")&amp;")"&amp;" 入庫で 14日以上もつ",IF($CC173-N('設定'!$C$7)&lt;='設定'!$C$6,"● 入庫しても "&amp;TEXT($CC173,"m/d")&amp;"("&amp;CHOOSE(WEEKDAY($CC173),"日","月","火","水","木","金","土")&amp;")"&amp;" に切れる　もう1便を至急発注（2便目に入れる）","△ 入庫しても "&amp;TEXT($CC173,"m/d")&amp;"("&amp;CHOOSE(WEEKDAY($CC173),"日","月","火","水","木","金","土")&amp;")"&amp;" に切れる　"&amp;TEXT($CC173-N('設定'!$C$7),"m/d")&amp;"("&amp;CHOOSE(WEEKDAY($CC173-N('設定'!$C$7)),"日","月","火","水","木","金","土")&amp;")"&amp;" までに次を発注（2便目に入れる）"))))))))))</f>
        <v/>
      </c>
      <c r="CR173">
        <f>IF($C173="","",IF($G173&gt;1,"ｹｰｽ("&amp;$G173&amp;"入)","個"))</f>
        <v/>
      </c>
      <c r="CS173">
        <f>IF($C173="",0,IF(COUNTIFS('①在庫を貼る'!$V$6:$V$10005,'設定'!$C$4,'①在庫を貼る'!$W$6:$W$10005,$C173)=0,1,0))</f>
        <v/>
      </c>
      <c r="CT173">
        <f>IF(AND($CK173=1,OR('③発注書'!$C$4="すべて",'③発注書'!$C$4="",$F173='③発注書'!$C$4)),N($CT172)+1,N($CT172))</f>
        <v/>
      </c>
      <c r="CU173">
        <f>IF(AND($CL173=1,OR('③発注書'!$C$4="すべて",'③発注書'!$C$4="",$F173='③発注書'!$C$4)),N($CU172)+1,N($CU172))</f>
        <v/>
      </c>
      <c r="CV173">
        <f>IF($C173="",0,IF(COUNTIFS('①在庫を貼る'!$V$6:$V$10005,'設定'!$C$4,'①在庫を貼る'!$W$6:$W$10005,$C173)&gt;0,1,0))</f>
        <v/>
      </c>
      <c r="CW173">
        <f>IF($C173="",0,IF(COUNTIFS('月1回_1ヶ月前の在庫'!$V$6:$V$10005,'設定'!$C$4,'月1回_1ヶ月前の在庫'!$W$6:$W$10005,$C173)&gt;0,1,0))</f>
        <v/>
      </c>
      <c r="CX173">
        <f>IF($C173="",0,IF(COUNTIFS('月1回_2ヶ月前の在庫'!$V$6:$V$10005,'設定'!$C$4,'月1回_2ヶ月前の在庫'!$W$6:$W$10005,$C173)&gt;0,1,0))</f>
        <v/>
      </c>
      <c r="CY173">
        <f>IF(OR($C173="",'設定'!$C$12=""),"",IF('設定'!$C$13="",IF(AND($CV173=1,$CW173=0),"新商品（今月から）",IF(AND($CV173=0,$CW173=1),"終売（今月から）","")),IF(AND($CV173=1,$CW173=0,$CX173=0),"新商品（今月から）",IF(AND($CV173=1,$CW173=1,$CX173=0),"新商品（先月から）",IF(AND($CV173=0,$CW173=1,$CX173=1),"終売（今月から）",IF(AND($CV173=0,$CW173=0,$CX173=1),"終売（先月から）",IF(AND($CV173=1,$CW173=0,$CX173=1),"復活（先月は無し）","")))))))</f>
        <v/>
      </c>
    </row>
    <row r="174">
      <c r="B174">
        <f>IF(169&lt;='設定'!$C$11,169,"")</f>
        <v/>
      </c>
      <c r="C174">
        <f>IF($B174="","",IF($B174&lt;='設定'!$C$20,INDEX('商品マスタ'!$B$6:$B$1005,MATCH($B174,'商品マスタ'!$M$6:$M$1005,0)),IF($B174&lt;='設定'!$C$20+'設定'!$C$17,INDEX('①在庫を貼る'!$W$6:$W$10005,MATCH($B174-'設定'!$C$20,'①在庫を貼る'!$U$6:$U$10005,0)),IF($B174&lt;='設定'!$C$20+'設定'!$C$17+'設定'!$C$18,INDEX('月1回_1ヶ月前の在庫'!$W$6:$W$10005,MATCH($B174-'設定'!$C$20-'設定'!$C$17,'月1回_1ヶ月前の在庫'!$U$6:$U$10005,0)),INDEX('月1回_2ヶ月前の在庫'!$W$6:$W$10005,MATCH($B174-'設定'!$C$20-'設定'!$C$17-'設定'!$C$18,'月1回_2ヶ月前の在庫'!$U$6:$U$10005,0))))))</f>
        <v/>
      </c>
      <c r="D174">
        <f>IF($C174="","",IFERROR(IF(INDEX('商品マスタ'!$C$6:$C$1005,MATCH($C174,'商品マスタ'!$B$6:$B$1005,0))="",IFERROR(INDEX('①在庫を貼る'!$J$6:$J$10005,MATCH($C174,'①在庫を貼る'!$W$6:$W$10005,0)),IFERROR(INDEX('月1回_1ヶ月前の在庫'!$J$6:$J$10005,MATCH($C174,'月1回_1ヶ月前の在庫'!$W$6:$W$10005,0)),IFERROR(INDEX('月1回_2ヶ月前の在庫'!$J$6:$J$10005,MATCH($C174,'月1回_2ヶ月前の在庫'!$W$6:$W$10005,0)),""))),INDEX('商品マスタ'!$C$6:$C$1005,MATCH($C174,'商品マスタ'!$B$6:$B$1005,0))),IFERROR(INDEX('①在庫を貼る'!$J$6:$J$10005,MATCH($C174,'①在庫を貼る'!$W$6:$W$10005,0)),IFERROR(INDEX('月1回_1ヶ月前の在庫'!$J$6:$J$10005,MATCH($C174,'月1回_1ヶ月前の在庫'!$W$6:$W$10005,0)),IFERROR(INDEX('月1回_2ヶ月前の在庫'!$J$6:$J$10005,MATCH($C174,'月1回_2ヶ月前の在庫'!$W$6:$W$10005,0)),"")))))</f>
        <v/>
      </c>
      <c r="E174">
        <f>IF($C174="","",IFERROR(IF(INDEX('商品マスタ'!$D$6:$D$1005,MATCH($C174,'商品マスタ'!$B$6:$B$1005,0))="",IFERROR(INDEX('①在庫を貼る'!$H$6:$H$10005,MATCH($C174,'①在庫を貼る'!$W$6:$W$10005,0)),IFERROR(INDEX('月1回_1ヶ月前の在庫'!$H$6:$H$10005,MATCH($C174,'月1回_1ヶ月前の在庫'!$W$6:$W$10005,0)),IFERROR(INDEX('月1回_2ヶ月前の在庫'!$H$6:$H$10005,MATCH($C174,'月1回_2ヶ月前の在庫'!$W$6:$W$10005,0)),""))),INDEX('商品マスタ'!$D$6:$D$1005,MATCH($C174,'商品マスタ'!$B$6:$B$1005,0))),IFERROR(INDEX('①在庫を貼る'!$H$6:$H$10005,MATCH($C174,'①在庫を貼る'!$W$6:$W$10005,0)),IFERROR(INDEX('月1回_1ヶ月前の在庫'!$H$6:$H$10005,MATCH($C174,'月1回_1ヶ月前の在庫'!$W$6:$W$10005,0)),IFERROR(INDEX('月1回_2ヶ月前の在庫'!$H$6:$H$10005,MATCH($C174,'月1回_2ヶ月前の在庫'!$W$6:$W$10005,0)),"")))))</f>
        <v/>
      </c>
      <c r="F174">
        <f>IF($C174="","",IFERROR(IF(INDEX('商品マスタ'!$E$6:$E$1005,MATCH($C174,'商品マスタ'!$B$6:$B$1005,0))="",IFERROR(INDEX('①在庫を貼る'!$E$6:$E$10005,MATCH($C174,'①在庫を貼る'!$W$6:$W$10005,0)),IFERROR(INDEX('月1回_1ヶ月前の在庫'!$E$6:$E$10005,MATCH($C174,'月1回_1ヶ月前の在庫'!$W$6:$W$10005,0)),IFERROR(INDEX('月1回_2ヶ月前の在庫'!$E$6:$E$10005,MATCH($C174,'月1回_2ヶ月前の在庫'!$W$6:$W$10005,0)),""))),INDEX('商品マスタ'!$E$6:$E$1005,MATCH($C174,'商品マスタ'!$B$6:$B$1005,0))),IFERROR(INDEX('①在庫を貼る'!$E$6:$E$10005,MATCH($C174,'①在庫を貼る'!$W$6:$W$10005,0)),IFERROR(INDEX('月1回_1ヶ月前の在庫'!$E$6:$E$10005,MATCH($C174,'月1回_1ヶ月前の在庫'!$W$6:$W$10005,0)),IFERROR(INDEX('月1回_2ヶ月前の在庫'!$E$6:$E$10005,MATCH($C174,'月1回_2ヶ月前の在庫'!$W$6:$W$10005,0)),"")))))</f>
        <v/>
      </c>
      <c r="G174">
        <f>IF($C174="","",MAX(1,N(IFERROR(IF(INDEX('商品マスタ'!$F$6:$F$1005,MATCH($C174,'商品マスタ'!$B$6:$B$1005,0))="",IF(COUNTIFS('①在庫を貼る'!$V$6:$V$10005,'設定'!$C$4,'①在庫を貼る'!$W$6:$W$10005,$C174)&gt;0,SUMIFS('①在庫を貼る'!$K$6:$K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K$6:$K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K$6:$K$10005,'月1回_2ヶ月前の在庫'!$V$6:$V$10005,'設定'!$C$4,'月1回_2ヶ月前の在庫'!$W$6:$W$10005,$C174)/COUNTIFS('月1回_2ヶ月前の在庫'!$V$6:$V$10005,'設定'!$C$4,'月1回_2ヶ月前の在庫'!$W$6:$W$10005,$C174),0))),INDEX('商品マスタ'!$F$6:$F$1005,MATCH($C174,'商品マスタ'!$B$6:$B$1005,0))),IF(COUNTIFS('①在庫を貼る'!$V$6:$V$10005,'設定'!$C$4,'①在庫を貼る'!$W$6:$W$10005,$C174)&gt;0,SUMIFS('①在庫を貼る'!$K$6:$K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K$6:$K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K$6:$K$10005,'月1回_2ヶ月前の在庫'!$V$6:$V$10005,'設定'!$C$4,'月1回_2ヶ月前の在庫'!$W$6:$W$10005,$C174)/COUNTIFS('月1回_2ヶ月前の在庫'!$V$6:$V$10005,'設定'!$C$4,'月1回_2ヶ月前の在庫'!$W$6:$W$10005,$C174),0)))))))</f>
        <v/>
      </c>
      <c r="H174">
        <f>IF($C174="","",N(IFERROR(IF(INDEX('商品マスタ'!$G$6:$G$1005,MATCH($C174,'商品マスタ'!$B$6:$B$1005,0))="",IF(COUNTIFS('①在庫を貼る'!$V$6:$V$10005,'設定'!$C$4,'①在庫を貼る'!$W$6:$W$10005,$C174)&gt;0,SUMIFS('①在庫を貼る'!$Q$6:$Q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Q$6:$Q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Q$6:$Q$10005,'月1回_2ヶ月前の在庫'!$V$6:$V$10005,'設定'!$C$4,'月1回_2ヶ月前の在庫'!$W$6:$W$10005,$C174)/COUNTIFS('月1回_2ヶ月前の在庫'!$V$6:$V$10005,'設定'!$C$4,'月1回_2ヶ月前の在庫'!$W$6:$W$10005,$C174),0))),INDEX('商品マスタ'!$G$6:$G$1005,MATCH($C174,'商品マスタ'!$B$6:$B$1005,0))),IF(COUNTIFS('①在庫を貼る'!$V$6:$V$10005,'設定'!$C$4,'①在庫を貼る'!$W$6:$W$10005,$C174)&gt;0,SUMIFS('①在庫を貼る'!$Q$6:$Q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Q$6:$Q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Q$6:$Q$10005,'月1回_2ヶ月前の在庫'!$V$6:$V$10005,'設定'!$C$4,'月1回_2ヶ月前の在庫'!$W$6:$W$10005,$C174)/COUNTIFS('月1回_2ヶ月前の在庫'!$V$6:$V$10005,'設定'!$C$4,'月1回_2ヶ月前の在庫'!$W$6:$W$10005,$C174),0))))))</f>
        <v/>
      </c>
      <c r="I174">
        <f>IF($C174="","",IF(COUNTIFS('①在庫を貼る'!$V$6:$V$10005,'設定'!$C$4,'①在庫を貼る'!$W$6:$W$10005,$C174)=0,"",SUMIFS('①在庫を貼る'!$N$6:$N$10005,'①在庫を貼る'!$V$6:$V$10005,'設定'!$C$4,'①在庫を貼る'!$W$6:$W$10005,$C174)))</f>
        <v/>
      </c>
      <c r="J174">
        <f>IF($C174="","",IF('②発注する'!$AD178="","",'②発注する'!$AD178))</f>
        <v/>
      </c>
      <c r="K174" s="90">
        <f>IF($C174="","",IF('②発注する'!$AE178="","",'②発注する'!$AE178))</f>
        <v/>
      </c>
      <c r="L174">
        <f>IF($C174="","",IF(AND(ISNUMBER($J174),ISNUMBER($K174),$K174&gt;='設定'!$C$6),$J174,N($I174)))</f>
        <v/>
      </c>
      <c r="M174">
        <f>IF($C174="","",IFERROR(IF(N(INDEX('商品マスタ'!$J$6:$J$1005,MATCH($C174,'商品マスタ'!$B$6:$B$1005,0)))&gt;0,INDEX('商品マスタ'!$J$6:$J$1005,MATCH($C174,'商品マスタ'!$B$6:$B$1005,0)),""),""))</f>
        <v/>
      </c>
      <c r="N174">
        <f>IF($C174="","",IFERROR(IF(N(INDEX('商品マスタ'!$H$6:$H$1005,MATCH($C174,'商品マスタ'!$B$6:$B$1005,0)))&gt;0,INDEX('商品マスタ'!$H$6:$H$1005,MATCH($C174,'商品マスタ'!$B$6:$B$1005,0)),""),""))</f>
        <v/>
      </c>
      <c r="O174">
        <f>IF($C174="","",IF($N174&lt;&gt;"",$N174*$G174,IF(N(IF(COUNTIFS('①在庫を貼る'!$V$6:$V$10005,'設定'!$C$4,'①在庫を貼る'!$W$6:$W$10005,$C174)&gt;0,SUMIFS('①在庫を貼る'!$O$6:$O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O$6:$O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O$6:$O$10005,'月1回_2ヶ月前の在庫'!$V$6:$V$10005,'設定'!$C$4,'月1回_2ヶ月前の在庫'!$W$6:$W$10005,$C174)/COUNTIFS('月1回_2ヶ月前の在庫'!$V$6:$V$10005,'設定'!$C$4,'月1回_2ヶ月前の在庫'!$W$6:$W$10005,$C174),0))))&gt;0,N(IF(COUNTIFS('①在庫を貼る'!$V$6:$V$10005,'設定'!$C$4,'①在庫を貼る'!$W$6:$W$10005,$C174)&gt;0,SUMIFS('①在庫を貼る'!$O$6:$O$10005,'①在庫を貼る'!$V$6:$V$10005,'設定'!$C$4,'①在庫を貼る'!$W$6:$W$10005,$C174)/COUNTIFS('①在庫を貼る'!$V$6:$V$10005,'設定'!$C$4,'①在庫を貼る'!$W$6:$W$10005,$C174),IF(COUNTIFS('月1回_1ヶ月前の在庫'!$V$6:$V$10005,'設定'!$C$4,'月1回_1ヶ月前の在庫'!$W$6:$W$10005,$C174)&gt;0,SUMIFS('月1回_1ヶ月前の在庫'!$O$6:$O$10005,'月1回_1ヶ月前の在庫'!$V$6:$V$10005,'設定'!$C$4,'月1回_1ヶ月前の在庫'!$W$6:$W$10005,$C174)/COUNTIFS('月1回_1ヶ月前の在庫'!$V$6:$V$10005,'設定'!$C$4,'月1回_1ヶ月前の在庫'!$W$6:$W$10005,$C174),IF(COUNTIFS('月1回_2ヶ月前の在庫'!$V$6:$V$10005,'設定'!$C$4,'月1回_2ヶ月前の在庫'!$W$6:$W$10005,$C174)&gt;0,SUMIFS('月1回_2ヶ月前の在庫'!$O$6:$O$10005,'月1回_2ヶ月前の在庫'!$V$6:$V$10005,'設定'!$C$4,'月1回_2ヶ月前の在庫'!$W$6:$W$10005,$C174)/COUNTIFS('月1回_2ヶ月前の在庫'!$V$6:$V$10005,'設定'!$C$4,'月1回_2ヶ月前の在庫'!$W$6:$W$10005,$C174),0)))),"")))</f>
        <v/>
      </c>
      <c r="P174" s="90">
        <f>IF($C174="","",IF('②発注する'!$I178="","",'②発注する'!$I178))</f>
        <v/>
      </c>
      <c r="Q174">
        <f>IF($C174="","",IF('②発注する'!$J178="","",'②発注する'!$J178))</f>
        <v/>
      </c>
      <c r="R174">
        <f>IF($C174="",0,IF(AND(ISNUMBER($P174),ISNUMBER($Q174)),MAX(0,$Q174)*$G174,0))</f>
        <v/>
      </c>
      <c r="S174" s="90">
        <f>IF($C174="","",IF('②発注する'!$M178="","",'②発注する'!$M178))</f>
        <v/>
      </c>
      <c r="T174">
        <f>IF($C174="","",IF('②発注する'!$N178="","",'②発注する'!$N178))</f>
        <v/>
      </c>
      <c r="U174">
        <f>IF($C174="",0,IF(AND(ISNUMBER($S174),ISNUMBER($T174)),MAX(0,$T174)*$G174,0))</f>
        <v/>
      </c>
      <c r="V174">
        <f>IF($C174="",0,IF($M174="",0,MAX(0,$M174)*MAX(0,V$4)/100))</f>
        <v/>
      </c>
      <c r="W174">
        <f>IF($C174="",0,IF($M174="",0,MAX(0,$M174)*MAX(0,W$4)/100))</f>
        <v/>
      </c>
      <c r="X174">
        <f>IF($C174="",0,IF($M174="",0,MAX(0,$M174)*MAX(0,X$4)/100))</f>
        <v/>
      </c>
      <c r="Y174">
        <f>IF($C174="",0,IF($M174="",0,MAX(0,$M174)*MAX(0,Y$4)/100))</f>
        <v/>
      </c>
      <c r="Z174">
        <f>IF($C174="",0,IF($M174="",0,MAX(0,$M174)*MAX(0,Z$4)/100))</f>
        <v/>
      </c>
      <c r="AA174">
        <f>IF($C174="",0,IF($M174="",0,MAX(0,$M174)*MAX(0,AA$4)/100))</f>
        <v/>
      </c>
      <c r="AB174">
        <f>IF($C174="",0,IF($M174="",0,MAX(0,$M174)*MAX(0,AB$4)/100))</f>
        <v/>
      </c>
      <c r="AC174">
        <f>IF($C174="",0,IF($M174="",0,MAX(0,$M174)*MAX(0,AC$4)/100))</f>
        <v/>
      </c>
      <c r="AD174">
        <f>IF($C174="",0,IF($M174="",0,MAX(0,$M174)*MAX(0,AD$4)/100))</f>
        <v/>
      </c>
      <c r="AE174">
        <f>IF($C174="",0,IF($M174="",0,MAX(0,$M174)*MAX(0,AE$4)/100))</f>
        <v/>
      </c>
      <c r="AF174">
        <f>IF($C174="",0,IF($M174="",0,MAX(0,$M174)*MAX(0,AF$4)/100))</f>
        <v/>
      </c>
      <c r="AG174">
        <f>IF($C174="",0,IF($M174="",0,MAX(0,$M174)*MAX(0,AG$4)/100))</f>
        <v/>
      </c>
      <c r="AH174">
        <f>IF($C174="",0,IF($M174="",0,MAX(0,$M174)*MAX(0,AH$4)/100))</f>
        <v/>
      </c>
      <c r="AI174">
        <f>IF($C174="",0,IF($M174="",0,MAX(0,$M174)*MAX(0,AI$4)/100))</f>
        <v/>
      </c>
      <c r="AJ174">
        <f>IF($C174="",0,MAX(0,MAX(0,N($L174))-$V174))</f>
        <v/>
      </c>
      <c r="AK174">
        <f>IF($C174="",0,MAX(0,$AJ174-$W174))</f>
        <v/>
      </c>
      <c r="AL174">
        <f>IF($C174="",0,MAX(0,$AK174-$X174))</f>
        <v/>
      </c>
      <c r="AM174">
        <f>IF($C174="",0,MAX(0,$AL174-$Y174))</f>
        <v/>
      </c>
      <c r="AN174">
        <f>IF($C174="",0,MAX(0,$AM174-$Z174))</f>
        <v/>
      </c>
      <c r="AO174">
        <f>IF($C174="",0,MAX(0,$AN174-$AA174))</f>
        <v/>
      </c>
      <c r="AP174">
        <f>IF($C174="",0,MAX(0,$AO174-$AB174))</f>
        <v/>
      </c>
      <c r="AQ174">
        <f>IF($C174="",0,MAX(0,$AP174-$AC174))</f>
        <v/>
      </c>
      <c r="AR174">
        <f>IF($C174="",0,MAX(0,$AQ174-$AD174))</f>
        <v/>
      </c>
      <c r="AS174">
        <f>IF($C174="",0,MAX(0,$AR174-$AE174))</f>
        <v/>
      </c>
      <c r="AT174">
        <f>IF($C174="",0,MAX(0,$AS174-$AF174))</f>
        <v/>
      </c>
      <c r="AU174">
        <f>IF($C174="",0,MAX(0,$AT174-$AG174))</f>
        <v/>
      </c>
      <c r="AV174">
        <f>IF($C174="",0,MAX(0,$AU174-$AH174))</f>
        <v/>
      </c>
      <c r="AW174">
        <f>IF($C174="",0,MAX(0,$AV174-$AI174))</f>
        <v/>
      </c>
      <c r="AX174">
        <f>IF($C174="",0,MAX(0,MAX(0,N($L174))+IF($P174=V$3,$R174,0)+IF($S174=V$3,$U174,0)-$V174))</f>
        <v/>
      </c>
      <c r="AY174">
        <f>IF($C174="",0,MAX(0,$AX174+IF($P174=W$3,$R174,0)+IF($S174=W$3,$U174,0)-$W174))</f>
        <v/>
      </c>
      <c r="AZ174">
        <f>IF($C174="",0,MAX(0,$AY174+IF($P174=X$3,$R174,0)+IF($S174=X$3,$U174,0)-$X174))</f>
        <v/>
      </c>
      <c r="BA174">
        <f>IF($C174="",0,MAX(0,$AZ174+IF($P174=Y$3,$R174,0)+IF($S174=Y$3,$U174,0)-$Y174))</f>
        <v/>
      </c>
      <c r="BB174">
        <f>IF($C174="",0,MAX(0,$BA174+IF($P174=Z$3,$R174,0)+IF($S174=Z$3,$U174,0)-$Z174))</f>
        <v/>
      </c>
      <c r="BC174">
        <f>IF($C174="",0,MAX(0,$BB174+IF($P174=AA$3,$R174,0)+IF($S174=AA$3,$U174,0)-$AA174))</f>
        <v/>
      </c>
      <c r="BD174">
        <f>IF($C174="",0,MAX(0,$BC174+IF($P174=AB$3,$R174,0)+IF($S174=AB$3,$U174,0)-$AB174))</f>
        <v/>
      </c>
      <c r="BE174">
        <f>IF($C174="",0,MAX(0,$BD174+IF($P174=AC$3,$R174,0)+IF($S174=AC$3,$U174,0)-$AC174))</f>
        <v/>
      </c>
      <c r="BF174">
        <f>IF($C174="",0,MAX(0,$BE174+IF($P174=AD$3,$R174,0)+IF($S174=AD$3,$U174,0)-$AD174))</f>
        <v/>
      </c>
      <c r="BG174">
        <f>IF($C174="",0,MAX(0,$BF174+IF($P174=AE$3,$R174,0)+IF($S174=AE$3,$U174,0)-$AE174))</f>
        <v/>
      </c>
      <c r="BH174">
        <f>IF($C174="",0,MAX(0,$BG174+IF($P174=AF$3,$R174,0)+IF($S174=AF$3,$U174,0)-$AF174))</f>
        <v/>
      </c>
      <c r="BI174">
        <f>IF($C174="",0,MAX(0,$BH174+IF($P174=AG$3,$R174,0)+IF($S174=AG$3,$U174,0)-$AG174))</f>
        <v/>
      </c>
      <c r="BJ174">
        <f>IF($C174="",0,MAX(0,$BI174+IF($P174=AH$3,$R174,0)+IF($S174=AH$3,$U174,0)-$AH174))</f>
        <v/>
      </c>
      <c r="BK174">
        <f>IF($C174="",0,MAX(0,$BJ174+IF($P174=AI$3,$R174,0)+IF($S174=AI$3,$U174,0)-$AI174))</f>
        <v/>
      </c>
      <c r="BL174">
        <f>IF($C174="",99,IF(AND($AX174&lt;1,V$3&gt;=MAX(N($P174),N($S174))),0,99))</f>
        <v/>
      </c>
      <c r="BM174">
        <f>IF($C174="",99,IF(AND($AY174&lt;1,W$3&gt;=MAX(N($P174),N($S174))),1,99))</f>
        <v/>
      </c>
      <c r="BN174">
        <f>IF($C174="",99,IF(AND($AZ174&lt;1,X$3&gt;=MAX(N($P174),N($S174))),2,99))</f>
        <v/>
      </c>
      <c r="BO174">
        <f>IF($C174="",99,IF(AND($BA174&lt;1,Y$3&gt;=MAX(N($P174),N($S174))),3,99))</f>
        <v/>
      </c>
      <c r="BP174">
        <f>IF($C174="",99,IF(AND($BB174&lt;1,Z$3&gt;=MAX(N($P174),N($S174))),4,99))</f>
        <v/>
      </c>
      <c r="BQ174">
        <f>IF($C174="",99,IF(AND($BC174&lt;1,AA$3&gt;=MAX(N($P174),N($S174))),5,99))</f>
        <v/>
      </c>
      <c r="BR174">
        <f>IF($C174="",99,IF(AND($BD174&lt;1,AB$3&gt;=MAX(N($P174),N($S174))),6,99))</f>
        <v/>
      </c>
      <c r="BS174">
        <f>IF($C174="",99,IF(AND($BE174&lt;1,AC$3&gt;=MAX(N($P174),N($S174))),7,99))</f>
        <v/>
      </c>
      <c r="BT174">
        <f>IF($C174="",99,IF(AND($BF174&lt;1,AD$3&gt;=MAX(N($P174),N($S174))),8,99))</f>
        <v/>
      </c>
      <c r="BU174">
        <f>IF($C174="",99,IF(AND($BG174&lt;1,AE$3&gt;=MAX(N($P174),N($S174))),9,99))</f>
        <v/>
      </c>
      <c r="BV174">
        <f>IF($C174="",99,IF(AND($BH174&lt;1,AF$3&gt;=MAX(N($P174),N($S174))),10,99))</f>
        <v/>
      </c>
      <c r="BW174">
        <f>IF($C174="",99,IF(AND($BI174&lt;1,AG$3&gt;=MAX(N($P174),N($S174))),11,99))</f>
        <v/>
      </c>
      <c r="BX174">
        <f>IF($C174="",99,IF(AND($BJ174&lt;1,AH$3&gt;=MAX(N($P174),N($S174))),12,99))</f>
        <v/>
      </c>
      <c r="BY174">
        <f>IF($C174="",99,IF(AND($BK174&lt;1,AI$3&gt;=MAX(N($P174),N($S174))),13,99))</f>
        <v/>
      </c>
      <c r="BZ174">
        <f>IF(OR($C174="",$M174=""),"",COUNTIF($AJ174:$AW174,"&gt;=1"))</f>
        <v/>
      </c>
      <c r="CA174" s="90">
        <f>IF($BZ174="","",IF($BZ174&gt;=14,"",'設定'!$C$6+$BZ174))</f>
        <v/>
      </c>
      <c r="CB174">
        <f>IF(OR($C174="",$M174=""),"",MIN($BL174:$BY174))</f>
        <v/>
      </c>
      <c r="CC174" s="90">
        <f>IF($CB174="","",IF($CB174&gt;=99,"",'設定'!$C$6+$CB174))</f>
        <v/>
      </c>
      <c r="CD174">
        <f>IF(OR($C174="",$M174=""),"",AVERAGE($V174:$AI174))</f>
        <v/>
      </c>
      <c r="CE174">
        <f>IF($C174="","",IFERROR(IF(MATCH(IF(ISNUMBER($P174),$P174,'設定'!$C$6+N('設定'!$C$7)),$V$3:$AI$3,0)=1,MAX(0,N($L174)),INDEX($AJ174:$AW174,MATCH(IF(ISNUMBER($P174),$P174,'設定'!$C$6+N('設定'!$C$7)),$V$3:$AI$3,0)-1)),""))</f>
        <v/>
      </c>
      <c r="CF174">
        <f>IF(OR($C174="",$O174="",$CE174=""),"",IF($O174-$CE174&lt;=0,0,ROUNDUP(($O174-$CE174)/$G174,0)))</f>
        <v/>
      </c>
      <c r="CG174">
        <f>IF(OR($C174="",$CF174="",NOT(ISNUMBER($Q174))),0,MAX(0,$Q174-$CF174))</f>
        <v/>
      </c>
      <c r="CH174">
        <f>IF(OR($C174="",$O174="",$U174=0),0,IFERROR(ROUNDUP(MAX(0,IF(MATCH($S174,$V$3:$AI$3,0)=1,MAX(0,N($L174)),INDEX($AX174:$BK174,MATCH($S174,$V$3:$AI$3,0)-1))+$U174-$O174)/$G174,0),0))</f>
        <v/>
      </c>
      <c r="CI174">
        <f>IF($C174="","",IF(AND($P174="",$Q174=""),"",IF($P174="","⚠ 入庫日を ▼ から選んでください",IF(NOT(ISNUMBER($P174)),"⚠ 入庫日は ▼ から選んでください",IF($P174&lt;N('設定'!$C$6),"⚠ 入庫日が過去です（もう在庫に入っています）→ 消してください",IF($P174&gt;N('設定'!$C$6)+13,"⚠ 入庫日が14日より先です",IF(N($Q174)&lt;=0,"⚠ 入庫数を入れてください",IF($CG174&gt;0,"⚠ 目安より "&amp;$CG174&amp;" 多い（定数を超える）→ 減らす",""))))))))</f>
        <v/>
      </c>
      <c r="CJ174">
        <f>IF($C174="","",IF(AND($S174="",$T174=""),"",IF($S174="","⚠ 2便目：入庫日を ▼ から選んでください",IF(NOT(ISNUMBER($S174)),"⚠ 2便目：入庫日は ▼ から選んでください",IF($S174&lt;N('設定'!$C$6),"⚠ 2便目：入庫日が過去です（もう在庫に入っています）→ 消してください",IF($S174&gt;N('設定'!$C$6)+13,"⚠ 2便目：入庫日が14日より先です",IF(N($T174)&lt;=0,"⚠ 2便目：入庫数を入れてください",IF($CH174&gt;0,"⚠ 2便目：定数を "&amp;$CH174&amp;" ケース超える → 減らす",""))))))))</f>
        <v/>
      </c>
      <c r="CK174">
        <f>IF(AND($CI174="",N($Q174)&gt;0,ISNUMBER($P174)),1,0)</f>
        <v/>
      </c>
      <c r="CL174">
        <f>IF(AND($CJ174="",N($T174)&gt;0,ISNUMBER($S174)),1,0)</f>
        <v/>
      </c>
      <c r="CM174">
        <f>IF(OR($CK174=1,$CL174=1),1,0)</f>
        <v/>
      </c>
      <c r="CN174">
        <f>IF($C174="",0,($CK174*$R174+$CL174*$U174)*N($H174))</f>
        <v/>
      </c>
      <c r="CO174">
        <f>IF($C174="","",IF($CC174="","入庫後は 14日以上もつ",IF($CC174-N('設定'!$C$7)&lt;='設定'!$C$6,"入庫後も "&amp;TEXT($CC174,"m/d")&amp;"("&amp;CHOOSE(WEEKDAY($CC174),"日","月","火","水","木","金","土")&amp;")"&amp;" に切れる　もう1便を至急発注","入庫後も "&amp;TEXT($CC174,"m/d")&amp;"("&amp;CHOOSE(WEEKDAY($CC174),"日","月","火","水","木","金","土")&amp;")"&amp;" に切れる　"&amp;TEXT($CC174-N('設定'!$C$7),"m/d")&amp;"("&amp;CHOOSE(WEEKDAY($CC174-N('設定'!$C$7)),"日","月","火","水","木","金","土")&amp;")"&amp;" までに次を発注")))</f>
        <v/>
      </c>
      <c r="CP174">
        <f>IF($C174="","",IF('設定'!$C$6="","？ ①在庫を貼る に今日のCSVが貼られていない",IF($CS174=1,"－ 今日のCSVに無い（終売？）",IF($L174&lt;0,"● 在庫がマイナス　数えて「数えた在庫」に入れる",IF($L174=0,"● 在庫なし　至急発注",IF($M174="","？ 減り数が未設定（商品マスタ）",IF($B$3=0,"？ 動員が未入力（動員を入れる）",IF($CA174="","○ 14日以上もつ",IF($BZ174&lt;N('設定'!$C$7),"● "&amp;TEXT($CA174,"m/d")&amp;"("&amp;CHOOSE(WEEKDAY($CA174),"日","月","火","水","木","金","土")&amp;")"&amp;" に切れる　至急発注",IF($BZ174=N('設定'!$C$7),"● "&amp;TEXT($CA174,"m/d")&amp;"("&amp;CHOOSE(WEEKDAY($CA174),"日","月","火","水","木","金","土")&amp;")"&amp;" に切れる　今日発注","△ "&amp;TEXT($CA174,"m/d")&amp;"("&amp;CHOOSE(WEEKDAY($CA174),"日","月","火","水","木","金","土")&amp;")"&amp;" に切れる　"&amp;TEXT($CA174-N('設定'!$C$7),"m/d")&amp;"("&amp;CHOOSE(WEEKDAY($CA174-N('設定'!$C$7)),"日","月","火","水","木","金","土")&amp;")"&amp;" までに発注"))))))))))</f>
        <v/>
      </c>
      <c r="CQ174">
        <f>IF($C174="","",IF(AND($P174="",$Q174="",$S174="",$T174=""),"",IF(AND($P174="",$Q174=""),"⚠ 先に1便目（左の入庫日・入庫数）に入れてください",IF($CI174&lt;&gt;"",$CI174,IF($CJ174&lt;&gt;"",$CJ174,IF($M174="","？ 減り数が未設定（発注書には載ります）",IF($B$3=0,"？ 動員が未入力（発注書には載ります）",IF(AND($CA174&lt;&gt;"",$P174&gt;$CA174),IF($P174&gt;'設定'!$C$6+N('設定'!$C$7),"● "&amp;TEXT($P174,"m/d")&amp;"("&amp;CHOOSE(WEEKDAY($P174),"日","月","火","水","木","金","土")&amp;")"&amp;" の入庫では間に合わない（"&amp;TEXT($CA174,"m/d")&amp;"("&amp;CHOOSE(WEEKDAY($CA174),"日","月","火","水","木","金","土")&amp;")"&amp;" に切れる）　入庫日を早める","△ 欠品 "&amp;TEXT($CA174,"m/d")&amp;"("&amp;CHOOSE(WEEKDAY($CA174),"日","月","火","水","木","金","土")&amp;")"&amp;"〜"&amp;TEXT($P174-1,"m/d")&amp;"("&amp;CHOOSE(WEEKDAY($P174-1),"日","月","火","水","木","金","土")&amp;")"&amp;"　"&amp;$CO174),IF($CC174="","○ "&amp;TEXT($P174,"m/d")&amp;"("&amp;CHOOSE(WEEKDAY($P174),"日","月","火","水","木","金","土")&amp;")"&amp;" 入庫で 14日以上もつ",IF($CC174-N('設定'!$C$7)&lt;='設定'!$C$6,"● 入庫しても "&amp;TEXT($CC174,"m/d")&amp;"("&amp;CHOOSE(WEEKDAY($CC174),"日","月","火","水","木","金","土")&amp;")"&amp;" に切れる　もう1便を至急発注（2便目に入れる）","△ 入庫しても "&amp;TEXT($CC174,"m/d")&amp;"("&amp;CHOOSE(WEEKDAY($CC174),"日","月","火","水","木","金","土")&amp;")"&amp;" に切れる　"&amp;TEXT($CC174-N('設定'!$C$7),"m/d")&amp;"("&amp;CHOOSE(WEEKDAY($CC174-N('設定'!$C$7)),"日","月","火","水","木","金","土")&amp;")"&amp;" までに次を発注（2便目に入れる）"))))))))))</f>
        <v/>
      </c>
      <c r="CR174">
        <f>IF($C174="","",IF($G174&gt;1,"ｹｰｽ("&amp;$G174&amp;"入)","個"))</f>
        <v/>
      </c>
      <c r="CS174">
        <f>IF($C174="",0,IF(COUNTIFS('①在庫を貼る'!$V$6:$V$10005,'設定'!$C$4,'①在庫を貼る'!$W$6:$W$10005,$C174)=0,1,0))</f>
        <v/>
      </c>
      <c r="CT174">
        <f>IF(AND($CK174=1,OR('③発注書'!$C$4="すべて",'③発注書'!$C$4="",$F174='③発注書'!$C$4)),N($CT173)+1,N($CT173))</f>
        <v/>
      </c>
      <c r="CU174">
        <f>IF(AND($CL174=1,OR('③発注書'!$C$4="すべて",'③発注書'!$C$4="",$F174='③発注書'!$C$4)),N($CU173)+1,N($CU173))</f>
        <v/>
      </c>
      <c r="CV174">
        <f>IF($C174="",0,IF(COUNTIFS('①在庫を貼る'!$V$6:$V$10005,'設定'!$C$4,'①在庫を貼る'!$W$6:$W$10005,$C174)&gt;0,1,0))</f>
        <v/>
      </c>
      <c r="CW174">
        <f>IF($C174="",0,IF(COUNTIFS('月1回_1ヶ月前の在庫'!$V$6:$V$10005,'設定'!$C$4,'月1回_1ヶ月前の在庫'!$W$6:$W$10005,$C174)&gt;0,1,0))</f>
        <v/>
      </c>
      <c r="CX174">
        <f>IF($C174="",0,IF(COUNTIFS('月1回_2ヶ月前の在庫'!$V$6:$V$10005,'設定'!$C$4,'月1回_2ヶ月前の在庫'!$W$6:$W$10005,$C174)&gt;0,1,0))</f>
        <v/>
      </c>
      <c r="CY174">
        <f>IF(OR($C174="",'設定'!$C$12=""),"",IF('設定'!$C$13="",IF(AND($CV174=1,$CW174=0),"新商品（今月から）",IF(AND($CV174=0,$CW174=1),"終売（今月から）","")),IF(AND($CV174=1,$CW174=0,$CX174=0),"新商品（今月から）",IF(AND($CV174=1,$CW174=1,$CX174=0),"新商品（先月から）",IF(AND($CV174=0,$CW174=1,$CX174=1),"終売（今月から）",IF(AND($CV174=0,$CW174=0,$CX174=1),"終売（先月から）",IF(AND($CV174=1,$CW174=0,$CX174=1),"復活（先月は無し）","")))))))</f>
        <v/>
      </c>
    </row>
    <row r="175">
      <c r="B175">
        <f>IF(170&lt;='設定'!$C$11,170,"")</f>
        <v/>
      </c>
      <c r="C175">
        <f>IF($B175="","",IF($B175&lt;='設定'!$C$20,INDEX('商品マスタ'!$B$6:$B$1005,MATCH($B175,'商品マスタ'!$M$6:$M$1005,0)),IF($B175&lt;='設定'!$C$20+'設定'!$C$17,INDEX('①在庫を貼る'!$W$6:$W$10005,MATCH($B175-'設定'!$C$20,'①在庫を貼る'!$U$6:$U$10005,0)),IF($B175&lt;='設定'!$C$20+'設定'!$C$17+'設定'!$C$18,INDEX('月1回_1ヶ月前の在庫'!$W$6:$W$10005,MATCH($B175-'設定'!$C$20-'設定'!$C$17,'月1回_1ヶ月前の在庫'!$U$6:$U$10005,0)),INDEX('月1回_2ヶ月前の在庫'!$W$6:$W$10005,MATCH($B175-'設定'!$C$20-'設定'!$C$17-'設定'!$C$18,'月1回_2ヶ月前の在庫'!$U$6:$U$10005,0))))))</f>
        <v/>
      </c>
      <c r="D175">
        <f>IF($C175="","",IFERROR(IF(INDEX('商品マスタ'!$C$6:$C$1005,MATCH($C175,'商品マスタ'!$B$6:$B$1005,0))="",IFERROR(INDEX('①在庫を貼る'!$J$6:$J$10005,MATCH($C175,'①在庫を貼る'!$W$6:$W$10005,0)),IFERROR(INDEX('月1回_1ヶ月前の在庫'!$J$6:$J$10005,MATCH($C175,'月1回_1ヶ月前の在庫'!$W$6:$W$10005,0)),IFERROR(INDEX('月1回_2ヶ月前の在庫'!$J$6:$J$10005,MATCH($C175,'月1回_2ヶ月前の在庫'!$W$6:$W$10005,0)),""))),INDEX('商品マスタ'!$C$6:$C$1005,MATCH($C175,'商品マスタ'!$B$6:$B$1005,0))),IFERROR(INDEX('①在庫を貼る'!$J$6:$J$10005,MATCH($C175,'①在庫を貼る'!$W$6:$W$10005,0)),IFERROR(INDEX('月1回_1ヶ月前の在庫'!$J$6:$J$10005,MATCH($C175,'月1回_1ヶ月前の在庫'!$W$6:$W$10005,0)),IFERROR(INDEX('月1回_2ヶ月前の在庫'!$J$6:$J$10005,MATCH($C175,'月1回_2ヶ月前の在庫'!$W$6:$W$10005,0)),"")))))</f>
        <v/>
      </c>
      <c r="E175">
        <f>IF($C175="","",IFERROR(IF(INDEX('商品マスタ'!$D$6:$D$1005,MATCH($C175,'商品マスタ'!$B$6:$B$1005,0))="",IFERROR(INDEX('①在庫を貼る'!$H$6:$H$10005,MATCH($C175,'①在庫を貼る'!$W$6:$W$10005,0)),IFERROR(INDEX('月1回_1ヶ月前の在庫'!$H$6:$H$10005,MATCH($C175,'月1回_1ヶ月前の在庫'!$W$6:$W$10005,0)),IFERROR(INDEX('月1回_2ヶ月前の在庫'!$H$6:$H$10005,MATCH($C175,'月1回_2ヶ月前の在庫'!$W$6:$W$10005,0)),""))),INDEX('商品マスタ'!$D$6:$D$1005,MATCH($C175,'商品マスタ'!$B$6:$B$1005,0))),IFERROR(INDEX('①在庫を貼る'!$H$6:$H$10005,MATCH($C175,'①在庫を貼る'!$W$6:$W$10005,0)),IFERROR(INDEX('月1回_1ヶ月前の在庫'!$H$6:$H$10005,MATCH($C175,'月1回_1ヶ月前の在庫'!$W$6:$W$10005,0)),IFERROR(INDEX('月1回_2ヶ月前の在庫'!$H$6:$H$10005,MATCH($C175,'月1回_2ヶ月前の在庫'!$W$6:$W$10005,0)),"")))))</f>
        <v/>
      </c>
      <c r="F175">
        <f>IF($C175="","",IFERROR(IF(INDEX('商品マスタ'!$E$6:$E$1005,MATCH($C175,'商品マスタ'!$B$6:$B$1005,0))="",IFERROR(INDEX('①在庫を貼る'!$E$6:$E$10005,MATCH($C175,'①在庫を貼る'!$W$6:$W$10005,0)),IFERROR(INDEX('月1回_1ヶ月前の在庫'!$E$6:$E$10005,MATCH($C175,'月1回_1ヶ月前の在庫'!$W$6:$W$10005,0)),IFERROR(INDEX('月1回_2ヶ月前の在庫'!$E$6:$E$10005,MATCH($C175,'月1回_2ヶ月前の在庫'!$W$6:$W$10005,0)),""))),INDEX('商品マスタ'!$E$6:$E$1005,MATCH($C175,'商品マスタ'!$B$6:$B$1005,0))),IFERROR(INDEX('①在庫を貼る'!$E$6:$E$10005,MATCH($C175,'①在庫を貼る'!$W$6:$W$10005,0)),IFERROR(INDEX('月1回_1ヶ月前の在庫'!$E$6:$E$10005,MATCH($C175,'月1回_1ヶ月前の在庫'!$W$6:$W$10005,0)),IFERROR(INDEX('月1回_2ヶ月前の在庫'!$E$6:$E$10005,MATCH($C175,'月1回_2ヶ月前の在庫'!$W$6:$W$10005,0)),"")))))</f>
        <v/>
      </c>
      <c r="G175">
        <f>IF($C175="","",MAX(1,N(IFERROR(IF(INDEX('商品マスタ'!$F$6:$F$1005,MATCH($C175,'商品マスタ'!$B$6:$B$1005,0))="",IF(COUNTIFS('①在庫を貼る'!$V$6:$V$10005,'設定'!$C$4,'①在庫を貼る'!$W$6:$W$10005,$C175)&gt;0,SUMIFS('①在庫を貼る'!$K$6:$K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K$6:$K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K$6:$K$10005,'月1回_2ヶ月前の在庫'!$V$6:$V$10005,'設定'!$C$4,'月1回_2ヶ月前の在庫'!$W$6:$W$10005,$C175)/COUNTIFS('月1回_2ヶ月前の在庫'!$V$6:$V$10005,'設定'!$C$4,'月1回_2ヶ月前の在庫'!$W$6:$W$10005,$C175),0))),INDEX('商品マスタ'!$F$6:$F$1005,MATCH($C175,'商品マスタ'!$B$6:$B$1005,0))),IF(COUNTIFS('①在庫を貼る'!$V$6:$V$10005,'設定'!$C$4,'①在庫を貼る'!$W$6:$W$10005,$C175)&gt;0,SUMIFS('①在庫を貼る'!$K$6:$K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K$6:$K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K$6:$K$10005,'月1回_2ヶ月前の在庫'!$V$6:$V$10005,'設定'!$C$4,'月1回_2ヶ月前の在庫'!$W$6:$W$10005,$C175)/COUNTIFS('月1回_2ヶ月前の在庫'!$V$6:$V$10005,'設定'!$C$4,'月1回_2ヶ月前の在庫'!$W$6:$W$10005,$C175),0)))))))</f>
        <v/>
      </c>
      <c r="H175">
        <f>IF($C175="","",N(IFERROR(IF(INDEX('商品マスタ'!$G$6:$G$1005,MATCH($C175,'商品マスタ'!$B$6:$B$1005,0))="",IF(COUNTIFS('①在庫を貼る'!$V$6:$V$10005,'設定'!$C$4,'①在庫を貼る'!$W$6:$W$10005,$C175)&gt;0,SUMIFS('①在庫を貼る'!$Q$6:$Q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Q$6:$Q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Q$6:$Q$10005,'月1回_2ヶ月前の在庫'!$V$6:$V$10005,'設定'!$C$4,'月1回_2ヶ月前の在庫'!$W$6:$W$10005,$C175)/COUNTIFS('月1回_2ヶ月前の在庫'!$V$6:$V$10005,'設定'!$C$4,'月1回_2ヶ月前の在庫'!$W$6:$W$10005,$C175),0))),INDEX('商品マスタ'!$G$6:$G$1005,MATCH($C175,'商品マスタ'!$B$6:$B$1005,0))),IF(COUNTIFS('①在庫を貼る'!$V$6:$V$10005,'設定'!$C$4,'①在庫を貼る'!$W$6:$W$10005,$C175)&gt;0,SUMIFS('①在庫を貼る'!$Q$6:$Q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Q$6:$Q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Q$6:$Q$10005,'月1回_2ヶ月前の在庫'!$V$6:$V$10005,'設定'!$C$4,'月1回_2ヶ月前の在庫'!$W$6:$W$10005,$C175)/COUNTIFS('月1回_2ヶ月前の在庫'!$V$6:$V$10005,'設定'!$C$4,'月1回_2ヶ月前の在庫'!$W$6:$W$10005,$C175),0))))))</f>
        <v/>
      </c>
      <c r="I175">
        <f>IF($C175="","",IF(COUNTIFS('①在庫を貼る'!$V$6:$V$10005,'設定'!$C$4,'①在庫を貼る'!$W$6:$W$10005,$C175)=0,"",SUMIFS('①在庫を貼る'!$N$6:$N$10005,'①在庫を貼る'!$V$6:$V$10005,'設定'!$C$4,'①在庫を貼る'!$W$6:$W$10005,$C175)))</f>
        <v/>
      </c>
      <c r="J175">
        <f>IF($C175="","",IF('②発注する'!$AD179="","",'②発注する'!$AD179))</f>
        <v/>
      </c>
      <c r="K175" s="90">
        <f>IF($C175="","",IF('②発注する'!$AE179="","",'②発注する'!$AE179))</f>
        <v/>
      </c>
      <c r="L175">
        <f>IF($C175="","",IF(AND(ISNUMBER($J175),ISNUMBER($K175),$K175&gt;='設定'!$C$6),$J175,N($I175)))</f>
        <v/>
      </c>
      <c r="M175">
        <f>IF($C175="","",IFERROR(IF(N(INDEX('商品マスタ'!$J$6:$J$1005,MATCH($C175,'商品マスタ'!$B$6:$B$1005,0)))&gt;0,INDEX('商品マスタ'!$J$6:$J$1005,MATCH($C175,'商品マスタ'!$B$6:$B$1005,0)),""),""))</f>
        <v/>
      </c>
      <c r="N175">
        <f>IF($C175="","",IFERROR(IF(N(INDEX('商品マスタ'!$H$6:$H$1005,MATCH($C175,'商品マスタ'!$B$6:$B$1005,0)))&gt;0,INDEX('商品マスタ'!$H$6:$H$1005,MATCH($C175,'商品マスタ'!$B$6:$B$1005,0)),""),""))</f>
        <v/>
      </c>
      <c r="O175">
        <f>IF($C175="","",IF($N175&lt;&gt;"",$N175*$G175,IF(N(IF(COUNTIFS('①在庫を貼る'!$V$6:$V$10005,'設定'!$C$4,'①在庫を貼る'!$W$6:$W$10005,$C175)&gt;0,SUMIFS('①在庫を貼る'!$O$6:$O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O$6:$O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O$6:$O$10005,'月1回_2ヶ月前の在庫'!$V$6:$V$10005,'設定'!$C$4,'月1回_2ヶ月前の在庫'!$W$6:$W$10005,$C175)/COUNTIFS('月1回_2ヶ月前の在庫'!$V$6:$V$10005,'設定'!$C$4,'月1回_2ヶ月前の在庫'!$W$6:$W$10005,$C175),0))))&gt;0,N(IF(COUNTIFS('①在庫を貼る'!$V$6:$V$10005,'設定'!$C$4,'①在庫を貼る'!$W$6:$W$10005,$C175)&gt;0,SUMIFS('①在庫を貼る'!$O$6:$O$10005,'①在庫を貼る'!$V$6:$V$10005,'設定'!$C$4,'①在庫を貼る'!$W$6:$W$10005,$C175)/COUNTIFS('①在庫を貼る'!$V$6:$V$10005,'設定'!$C$4,'①在庫を貼る'!$W$6:$W$10005,$C175),IF(COUNTIFS('月1回_1ヶ月前の在庫'!$V$6:$V$10005,'設定'!$C$4,'月1回_1ヶ月前の在庫'!$W$6:$W$10005,$C175)&gt;0,SUMIFS('月1回_1ヶ月前の在庫'!$O$6:$O$10005,'月1回_1ヶ月前の在庫'!$V$6:$V$10005,'設定'!$C$4,'月1回_1ヶ月前の在庫'!$W$6:$W$10005,$C175)/COUNTIFS('月1回_1ヶ月前の在庫'!$V$6:$V$10005,'設定'!$C$4,'月1回_1ヶ月前の在庫'!$W$6:$W$10005,$C175),IF(COUNTIFS('月1回_2ヶ月前の在庫'!$V$6:$V$10005,'設定'!$C$4,'月1回_2ヶ月前の在庫'!$W$6:$W$10005,$C175)&gt;0,SUMIFS('月1回_2ヶ月前の在庫'!$O$6:$O$10005,'月1回_2ヶ月前の在庫'!$V$6:$V$10005,'設定'!$C$4,'月1回_2ヶ月前の在庫'!$W$6:$W$10005,$C175)/COUNTIFS('月1回_2ヶ月前の在庫'!$V$6:$V$10005,'設定'!$C$4,'月1回_2ヶ月前の在庫'!$W$6:$W$10005,$C175),0)))),"")))</f>
        <v/>
      </c>
      <c r="P175" s="90">
        <f>IF($C175="","",IF('②発注する'!$I179="","",'②発注する'!$I179))</f>
        <v/>
      </c>
      <c r="Q175">
        <f>IF($C175="","",IF('②発注する'!$J179="","",'②発注する'!$J179))</f>
        <v/>
      </c>
      <c r="R175">
        <f>IF($C175="",0,IF(AND(ISNUMBER($P175),ISNUMBER($Q175)),MAX(0,$Q175)*$G175,0))</f>
        <v/>
      </c>
      <c r="S175" s="90">
        <f>IF($C175="","",IF('②発注する'!$M179="","",'②発注する'!$M179))</f>
        <v/>
      </c>
      <c r="T175">
        <f>IF($C175="","",IF('②発注する'!$N179="","",'②発注する'!$N179))</f>
        <v/>
      </c>
      <c r="U175">
        <f>IF($C175="",0,IF(AND(ISNUMBER($S175),ISNUMBER($T175)),MAX(0,$T175)*$G175,0))</f>
        <v/>
      </c>
      <c r="V175">
        <f>IF($C175="",0,IF($M175="",0,MAX(0,$M175)*MAX(0,V$4)/100))</f>
        <v/>
      </c>
      <c r="W175">
        <f>IF($C175="",0,IF($M175="",0,MAX(0,$M175)*MAX(0,W$4)/100))</f>
        <v/>
      </c>
      <c r="X175">
        <f>IF($C175="",0,IF($M175="",0,MAX(0,$M175)*MAX(0,X$4)/100))</f>
        <v/>
      </c>
      <c r="Y175">
        <f>IF($C175="",0,IF($M175="",0,MAX(0,$M175)*MAX(0,Y$4)/100))</f>
        <v/>
      </c>
      <c r="Z175">
        <f>IF($C175="",0,IF($M175="",0,MAX(0,$M175)*MAX(0,Z$4)/100))</f>
        <v/>
      </c>
      <c r="AA175">
        <f>IF($C175="",0,IF($M175="",0,MAX(0,$M175)*MAX(0,AA$4)/100))</f>
        <v/>
      </c>
      <c r="AB175">
        <f>IF($C175="",0,IF($M175="",0,MAX(0,$M175)*MAX(0,AB$4)/100))</f>
        <v/>
      </c>
      <c r="AC175">
        <f>IF($C175="",0,IF($M175="",0,MAX(0,$M175)*MAX(0,AC$4)/100))</f>
        <v/>
      </c>
      <c r="AD175">
        <f>IF($C175="",0,IF($M175="",0,MAX(0,$M175)*MAX(0,AD$4)/100))</f>
        <v/>
      </c>
      <c r="AE175">
        <f>IF($C175="",0,IF($M175="",0,MAX(0,$M175)*MAX(0,AE$4)/100))</f>
        <v/>
      </c>
      <c r="AF175">
        <f>IF($C175="",0,IF($M175="",0,MAX(0,$M175)*MAX(0,AF$4)/100))</f>
        <v/>
      </c>
      <c r="AG175">
        <f>IF($C175="",0,IF($M175="",0,MAX(0,$M175)*MAX(0,AG$4)/100))</f>
        <v/>
      </c>
      <c r="AH175">
        <f>IF($C175="",0,IF($M175="",0,MAX(0,$M175)*MAX(0,AH$4)/100))</f>
        <v/>
      </c>
      <c r="AI175">
        <f>IF($C175="",0,IF($M175="",0,MAX(0,$M175)*MAX(0,AI$4)/100))</f>
        <v/>
      </c>
      <c r="AJ175">
        <f>IF($C175="",0,MAX(0,MAX(0,N($L175))-$V175))</f>
        <v/>
      </c>
      <c r="AK175">
        <f>IF($C175="",0,MAX(0,$AJ175-$W175))</f>
        <v/>
      </c>
      <c r="AL175">
        <f>IF($C175="",0,MAX(0,$AK175-$X175))</f>
        <v/>
      </c>
      <c r="AM175">
        <f>IF($C175="",0,MAX(0,$AL175-$Y175))</f>
        <v/>
      </c>
      <c r="AN175">
        <f>IF($C175="",0,MAX(0,$AM175-$Z175))</f>
        <v/>
      </c>
      <c r="AO175">
        <f>IF($C175="",0,MAX(0,$AN175-$AA175))</f>
        <v/>
      </c>
      <c r="AP175">
        <f>IF($C175="",0,MAX(0,$AO175-$AB175))</f>
        <v/>
      </c>
      <c r="AQ175">
        <f>IF($C175="",0,MAX(0,$AP175-$AC175))</f>
        <v/>
      </c>
      <c r="AR175">
        <f>IF($C175="",0,MAX(0,$AQ175-$AD175))</f>
        <v/>
      </c>
      <c r="AS175">
        <f>IF($C175="",0,MAX(0,$AR175-$AE175))</f>
        <v/>
      </c>
      <c r="AT175">
        <f>IF($C175="",0,MAX(0,$AS175-$AF175))</f>
        <v/>
      </c>
      <c r="AU175">
        <f>IF($C175="",0,MAX(0,$AT175-$AG175))</f>
        <v/>
      </c>
      <c r="AV175">
        <f>IF($C175="",0,MAX(0,$AU175-$AH175))</f>
        <v/>
      </c>
      <c r="AW175">
        <f>IF($C175="",0,MAX(0,$AV175-$AI175))</f>
        <v/>
      </c>
      <c r="AX175">
        <f>IF($C175="",0,MAX(0,MAX(0,N($L175))+IF($P175=V$3,$R175,0)+IF($S175=V$3,$U175,0)-$V175))</f>
        <v/>
      </c>
      <c r="AY175">
        <f>IF($C175="",0,MAX(0,$AX175+IF($P175=W$3,$R175,0)+IF($S175=W$3,$U175,0)-$W175))</f>
        <v/>
      </c>
      <c r="AZ175">
        <f>IF($C175="",0,MAX(0,$AY175+IF($P175=X$3,$R175,0)+IF($S175=X$3,$U175,0)-$X175))</f>
        <v/>
      </c>
      <c r="BA175">
        <f>IF($C175="",0,MAX(0,$AZ175+IF($P175=Y$3,$R175,0)+IF($S175=Y$3,$U175,0)-$Y175))</f>
        <v/>
      </c>
      <c r="BB175">
        <f>IF($C175="",0,MAX(0,$BA175+IF($P175=Z$3,$R175,0)+IF($S175=Z$3,$U175,0)-$Z175))</f>
        <v/>
      </c>
      <c r="BC175">
        <f>IF($C175="",0,MAX(0,$BB175+IF($P175=AA$3,$R175,0)+IF($S175=AA$3,$U175,0)-$AA175))</f>
        <v/>
      </c>
      <c r="BD175">
        <f>IF($C175="",0,MAX(0,$BC175+IF($P175=AB$3,$R175,0)+IF($S175=AB$3,$U175,0)-$AB175))</f>
        <v/>
      </c>
      <c r="BE175">
        <f>IF($C175="",0,MAX(0,$BD175+IF($P175=AC$3,$R175,0)+IF($S175=AC$3,$U175,0)-$AC175))</f>
        <v/>
      </c>
      <c r="BF175">
        <f>IF($C175="",0,MAX(0,$BE175+IF($P175=AD$3,$R175,0)+IF($S175=AD$3,$U175,0)-$AD175))</f>
        <v/>
      </c>
      <c r="BG175">
        <f>IF($C175="",0,MAX(0,$BF175+IF($P175=AE$3,$R175,0)+IF($S175=AE$3,$U175,0)-$AE175))</f>
        <v/>
      </c>
      <c r="BH175">
        <f>IF($C175="",0,MAX(0,$BG175+IF($P175=AF$3,$R175,0)+IF($S175=AF$3,$U175,0)-$AF175))</f>
        <v/>
      </c>
      <c r="BI175">
        <f>IF($C175="",0,MAX(0,$BH175+IF($P175=AG$3,$R175,0)+IF($S175=AG$3,$U175,0)-$AG175))</f>
        <v/>
      </c>
      <c r="BJ175">
        <f>IF($C175="",0,MAX(0,$BI175+IF($P175=AH$3,$R175,0)+IF($S175=AH$3,$U175,0)-$AH175))</f>
        <v/>
      </c>
      <c r="BK175">
        <f>IF($C175="",0,MAX(0,$BJ175+IF($P175=AI$3,$R175,0)+IF($S175=AI$3,$U175,0)-$AI175))</f>
        <v/>
      </c>
      <c r="BL175">
        <f>IF($C175="",99,IF(AND($AX175&lt;1,V$3&gt;=MAX(N($P175),N($S175))),0,99))</f>
        <v/>
      </c>
      <c r="BM175">
        <f>IF($C175="",99,IF(AND($AY175&lt;1,W$3&gt;=MAX(N($P175),N($S175))),1,99))</f>
        <v/>
      </c>
      <c r="BN175">
        <f>IF($C175="",99,IF(AND($AZ175&lt;1,X$3&gt;=MAX(N($P175),N($S175))),2,99))</f>
        <v/>
      </c>
      <c r="BO175">
        <f>IF($C175="",99,IF(AND($BA175&lt;1,Y$3&gt;=MAX(N($P175),N($S175))),3,99))</f>
        <v/>
      </c>
      <c r="BP175">
        <f>IF($C175="",99,IF(AND($BB175&lt;1,Z$3&gt;=MAX(N($P175),N($S175))),4,99))</f>
        <v/>
      </c>
      <c r="BQ175">
        <f>IF($C175="",99,IF(AND($BC175&lt;1,AA$3&gt;=MAX(N($P175),N($S175))),5,99))</f>
        <v/>
      </c>
      <c r="BR175">
        <f>IF($C175="",99,IF(AND($BD175&lt;1,AB$3&gt;=MAX(N($P175),N($S175))),6,99))</f>
        <v/>
      </c>
      <c r="BS175">
        <f>IF($C175="",99,IF(AND($BE175&lt;1,AC$3&gt;=MAX(N($P175),N($S175))),7,99))</f>
        <v/>
      </c>
      <c r="BT175">
        <f>IF($C175="",99,IF(AND($BF175&lt;1,AD$3&gt;=MAX(N($P175),N($S175))),8,99))</f>
        <v/>
      </c>
      <c r="BU175">
        <f>IF($C175="",99,IF(AND($BG175&lt;1,AE$3&gt;=MAX(N($P175),N($S175))),9,99))</f>
        <v/>
      </c>
      <c r="BV175">
        <f>IF($C175="",99,IF(AND($BH175&lt;1,AF$3&gt;=MAX(N($P175),N($S175))),10,99))</f>
        <v/>
      </c>
      <c r="BW175">
        <f>IF($C175="",99,IF(AND($BI175&lt;1,AG$3&gt;=MAX(N($P175),N($S175))),11,99))</f>
        <v/>
      </c>
      <c r="BX175">
        <f>IF($C175="",99,IF(AND($BJ175&lt;1,AH$3&gt;=MAX(N($P175),N($S175))),12,99))</f>
        <v/>
      </c>
      <c r="BY175">
        <f>IF($C175="",99,IF(AND($BK175&lt;1,AI$3&gt;=MAX(N($P175),N($S175))),13,99))</f>
        <v/>
      </c>
      <c r="BZ175">
        <f>IF(OR($C175="",$M175=""),"",COUNTIF($AJ175:$AW175,"&gt;=1"))</f>
        <v/>
      </c>
      <c r="CA175" s="90">
        <f>IF($BZ175="","",IF($BZ175&gt;=14,"",'設定'!$C$6+$BZ175))</f>
        <v/>
      </c>
      <c r="CB175">
        <f>IF(OR($C175="",$M175=""),"",MIN($BL175:$BY175))</f>
        <v/>
      </c>
      <c r="CC175" s="90">
        <f>IF($CB175="","",IF($CB175&gt;=99,"",'設定'!$C$6+$CB175))</f>
        <v/>
      </c>
      <c r="CD175">
        <f>IF(OR($C175="",$M175=""),"",AVERAGE($V175:$AI175))</f>
        <v/>
      </c>
      <c r="CE175">
        <f>IF($C175="","",IFERROR(IF(MATCH(IF(ISNUMBER($P175),$P175,'設定'!$C$6+N('設定'!$C$7)),$V$3:$AI$3,0)=1,MAX(0,N($L175)),INDEX($AJ175:$AW175,MATCH(IF(ISNUMBER($P175),$P175,'設定'!$C$6+N('設定'!$C$7)),$V$3:$AI$3,0)-1)),""))</f>
        <v/>
      </c>
      <c r="CF175">
        <f>IF(OR($C175="",$O175="",$CE175=""),"",IF($O175-$CE175&lt;=0,0,ROUNDUP(($O175-$CE175)/$G175,0)))</f>
        <v/>
      </c>
      <c r="CG175">
        <f>IF(OR($C175="",$CF175="",NOT(ISNUMBER($Q175))),0,MAX(0,$Q175-$CF175))</f>
        <v/>
      </c>
      <c r="CH175">
        <f>IF(OR($C175="",$O175="",$U175=0),0,IFERROR(ROUNDUP(MAX(0,IF(MATCH($S175,$V$3:$AI$3,0)=1,MAX(0,N($L175)),INDEX($AX175:$BK175,MATCH($S175,$V$3:$AI$3,0)-1))+$U175-$O175)/$G175,0),0))</f>
        <v/>
      </c>
      <c r="CI175">
        <f>IF($C175="","",IF(AND($P175="",$Q175=""),"",IF($P175="","⚠ 入庫日を ▼ から選んでください",IF(NOT(ISNUMBER($P175)),"⚠ 入庫日は ▼ から選んでください",IF($P175&lt;N('設定'!$C$6),"⚠ 入庫日が過去です（もう在庫に入っています）→ 消してください",IF($P175&gt;N('設定'!$C$6)+13,"⚠ 入庫日が14日より先です",IF(N($Q175)&lt;=0,"⚠ 入庫数を入れてください",IF($CG175&gt;0,"⚠ 目安より "&amp;$CG175&amp;" 多い（定数を超える）→ 減らす",""))))))))</f>
        <v/>
      </c>
      <c r="CJ175">
        <f>IF($C175="","",IF(AND($S175="",$T175=""),"",IF($S175="","⚠ 2便目：入庫日を ▼ から選んでください",IF(NOT(ISNUMBER($S175)),"⚠ 2便目：入庫日は ▼ から選んでください",IF($S175&lt;N('設定'!$C$6),"⚠ 2便目：入庫日が過去です（もう在庫に入っています）→ 消してください",IF($S175&gt;N('設定'!$C$6)+13,"⚠ 2便目：入庫日が14日より先です",IF(N($T175)&lt;=0,"⚠ 2便目：入庫数を入れてください",IF($CH175&gt;0,"⚠ 2便目：定数を "&amp;$CH175&amp;" ケース超える → 減らす",""))))))))</f>
        <v/>
      </c>
      <c r="CK175">
        <f>IF(AND($CI175="",N($Q175)&gt;0,ISNUMBER($P175)),1,0)</f>
        <v/>
      </c>
      <c r="CL175">
        <f>IF(AND($CJ175="",N($T175)&gt;0,ISNUMBER($S175)),1,0)</f>
        <v/>
      </c>
      <c r="CM175">
        <f>IF(OR($CK175=1,$CL175=1),1,0)</f>
        <v/>
      </c>
      <c r="CN175">
        <f>IF($C175="",0,($CK175*$R175+$CL175*$U175)*N($H175))</f>
        <v/>
      </c>
      <c r="CO175">
        <f>IF($C175="","",IF($CC175="","入庫後は 14日以上もつ",IF($CC175-N('設定'!$C$7)&lt;='設定'!$C$6,"入庫後も "&amp;TEXT($CC175,"m/d")&amp;"("&amp;CHOOSE(WEEKDAY($CC175),"日","月","火","水","木","金","土")&amp;")"&amp;" に切れる　もう1便を至急発注","入庫後も "&amp;TEXT($CC175,"m/d")&amp;"("&amp;CHOOSE(WEEKDAY($CC175),"日","月","火","水","木","金","土")&amp;")"&amp;" に切れる　"&amp;TEXT($CC175-N('設定'!$C$7),"m/d")&amp;"("&amp;CHOOSE(WEEKDAY($CC175-N('設定'!$C$7)),"日","月","火","水","木","金","土")&amp;")"&amp;" までに次を発注")))</f>
        <v/>
      </c>
      <c r="CP175">
        <f>IF($C175="","",IF('設定'!$C$6="","？ ①在庫を貼る に今日のCSVが貼られていない",IF($CS175=1,"－ 今日のCSVに無い（終売？）",IF($L175&lt;0,"● 在庫がマイナス　数えて「数えた在庫」に入れる",IF($L175=0,"● 在庫なし　至急発注",IF($M175="","？ 減り数が未設定（商品マスタ）",IF($B$3=0,"？ 動員が未入力（動員を入れる）",IF($CA175="","○ 14日以上もつ",IF($BZ175&lt;N('設定'!$C$7),"● "&amp;TEXT($CA175,"m/d")&amp;"("&amp;CHOOSE(WEEKDAY($CA175),"日","月","火","水","木","金","土")&amp;")"&amp;" に切れる　至急発注",IF($BZ175=N('設定'!$C$7),"● "&amp;TEXT($CA175,"m/d")&amp;"("&amp;CHOOSE(WEEKDAY($CA175),"日","月","火","水","木","金","土")&amp;")"&amp;" に切れる　今日発注","△ "&amp;TEXT($CA175,"m/d")&amp;"("&amp;CHOOSE(WEEKDAY($CA175),"日","月","火","水","木","金","土")&amp;")"&amp;" に切れる　"&amp;TEXT($CA175-N('設定'!$C$7),"m/d")&amp;"("&amp;CHOOSE(WEEKDAY($CA175-N('設定'!$C$7)),"日","月","火","水","木","金","土")&amp;")"&amp;" までに発注"))))))))))</f>
        <v/>
      </c>
      <c r="CQ175">
        <f>IF($C175="","",IF(AND($P175="",$Q175="",$S175="",$T175=""),"",IF(AND($P175="",$Q175=""),"⚠ 先に1便目（左の入庫日・入庫数）に入れてください",IF($CI175&lt;&gt;"",$CI175,IF($CJ175&lt;&gt;"",$CJ175,IF($M175="","？ 減り数が未設定（発注書には載ります）",IF($B$3=0,"？ 動員が未入力（発注書には載ります）",IF(AND($CA175&lt;&gt;"",$P175&gt;$CA175),IF($P175&gt;'設定'!$C$6+N('設定'!$C$7),"● "&amp;TEXT($P175,"m/d")&amp;"("&amp;CHOOSE(WEEKDAY($P175),"日","月","火","水","木","金","土")&amp;")"&amp;" の入庫では間に合わない（"&amp;TEXT($CA175,"m/d")&amp;"("&amp;CHOOSE(WEEKDAY($CA175),"日","月","火","水","木","金","土")&amp;")"&amp;" に切れる）　入庫日を早める","△ 欠品 "&amp;TEXT($CA175,"m/d")&amp;"("&amp;CHOOSE(WEEKDAY($CA175),"日","月","火","水","木","金","土")&amp;")"&amp;"〜"&amp;TEXT($P175-1,"m/d")&amp;"("&amp;CHOOSE(WEEKDAY($P175-1),"日","月","火","水","木","金","土")&amp;")"&amp;"　"&amp;$CO175),IF($CC175="","○ "&amp;TEXT($P175,"m/d")&amp;"("&amp;CHOOSE(WEEKDAY($P175),"日","月","火","水","木","金","土")&amp;")"&amp;" 入庫で 14日以上もつ",IF($CC175-N('設定'!$C$7)&lt;='設定'!$C$6,"● 入庫しても "&amp;TEXT($CC175,"m/d")&amp;"("&amp;CHOOSE(WEEKDAY($CC175),"日","月","火","水","木","金","土")&amp;")"&amp;" に切れる　もう1便を至急発注（2便目に入れる）","△ 入庫しても "&amp;TEXT($CC175,"m/d")&amp;"("&amp;CHOOSE(WEEKDAY($CC175),"日","月","火","水","木","金","土")&amp;")"&amp;" に切れる　"&amp;TEXT($CC175-N('設定'!$C$7),"m/d")&amp;"("&amp;CHOOSE(WEEKDAY($CC175-N('設定'!$C$7)),"日","月","火","水","木","金","土")&amp;")"&amp;" までに次を発注（2便目に入れる）"))))))))))</f>
        <v/>
      </c>
      <c r="CR175">
        <f>IF($C175="","",IF($G175&gt;1,"ｹｰｽ("&amp;$G175&amp;"入)","個"))</f>
        <v/>
      </c>
      <c r="CS175">
        <f>IF($C175="",0,IF(COUNTIFS('①在庫を貼る'!$V$6:$V$10005,'設定'!$C$4,'①在庫を貼る'!$W$6:$W$10005,$C175)=0,1,0))</f>
        <v/>
      </c>
      <c r="CT175">
        <f>IF(AND($CK175=1,OR('③発注書'!$C$4="すべて",'③発注書'!$C$4="",$F175='③発注書'!$C$4)),N($CT174)+1,N($CT174))</f>
        <v/>
      </c>
      <c r="CU175">
        <f>IF(AND($CL175=1,OR('③発注書'!$C$4="すべて",'③発注書'!$C$4="",$F175='③発注書'!$C$4)),N($CU174)+1,N($CU174))</f>
        <v/>
      </c>
      <c r="CV175">
        <f>IF($C175="",0,IF(COUNTIFS('①在庫を貼る'!$V$6:$V$10005,'設定'!$C$4,'①在庫を貼る'!$W$6:$W$10005,$C175)&gt;0,1,0))</f>
        <v/>
      </c>
      <c r="CW175">
        <f>IF($C175="",0,IF(COUNTIFS('月1回_1ヶ月前の在庫'!$V$6:$V$10005,'設定'!$C$4,'月1回_1ヶ月前の在庫'!$W$6:$W$10005,$C175)&gt;0,1,0))</f>
        <v/>
      </c>
      <c r="CX175">
        <f>IF($C175="",0,IF(COUNTIFS('月1回_2ヶ月前の在庫'!$V$6:$V$10005,'設定'!$C$4,'月1回_2ヶ月前の在庫'!$W$6:$W$10005,$C175)&gt;0,1,0))</f>
        <v/>
      </c>
      <c r="CY175">
        <f>IF(OR($C175="",'設定'!$C$12=""),"",IF('設定'!$C$13="",IF(AND($CV175=1,$CW175=0),"新商品（今月から）",IF(AND($CV175=0,$CW175=1),"終売（今月から）","")),IF(AND($CV175=1,$CW175=0,$CX175=0),"新商品（今月から）",IF(AND($CV175=1,$CW175=1,$CX175=0),"新商品（先月から）",IF(AND($CV175=0,$CW175=1,$CX175=1),"終売（今月から）",IF(AND($CV175=0,$CW175=0,$CX175=1),"終売（先月から）",IF(AND($CV175=1,$CW175=0,$CX175=1),"復活（先月は無し）","")))))))</f>
        <v/>
      </c>
    </row>
    <row r="176">
      <c r="B176">
        <f>IF(171&lt;='設定'!$C$11,171,"")</f>
        <v/>
      </c>
      <c r="C176">
        <f>IF($B176="","",IF($B176&lt;='設定'!$C$20,INDEX('商品マスタ'!$B$6:$B$1005,MATCH($B176,'商品マスタ'!$M$6:$M$1005,0)),IF($B176&lt;='設定'!$C$20+'設定'!$C$17,INDEX('①在庫を貼る'!$W$6:$W$10005,MATCH($B176-'設定'!$C$20,'①在庫を貼る'!$U$6:$U$10005,0)),IF($B176&lt;='設定'!$C$20+'設定'!$C$17+'設定'!$C$18,INDEX('月1回_1ヶ月前の在庫'!$W$6:$W$10005,MATCH($B176-'設定'!$C$20-'設定'!$C$17,'月1回_1ヶ月前の在庫'!$U$6:$U$10005,0)),INDEX('月1回_2ヶ月前の在庫'!$W$6:$W$10005,MATCH($B176-'設定'!$C$20-'設定'!$C$17-'設定'!$C$18,'月1回_2ヶ月前の在庫'!$U$6:$U$10005,0))))))</f>
        <v/>
      </c>
      <c r="D176">
        <f>IF($C176="","",IFERROR(IF(INDEX('商品マスタ'!$C$6:$C$1005,MATCH($C176,'商品マスタ'!$B$6:$B$1005,0))="",IFERROR(INDEX('①在庫を貼る'!$J$6:$J$10005,MATCH($C176,'①在庫を貼る'!$W$6:$W$10005,0)),IFERROR(INDEX('月1回_1ヶ月前の在庫'!$J$6:$J$10005,MATCH($C176,'月1回_1ヶ月前の在庫'!$W$6:$W$10005,0)),IFERROR(INDEX('月1回_2ヶ月前の在庫'!$J$6:$J$10005,MATCH($C176,'月1回_2ヶ月前の在庫'!$W$6:$W$10005,0)),""))),INDEX('商品マスタ'!$C$6:$C$1005,MATCH($C176,'商品マスタ'!$B$6:$B$1005,0))),IFERROR(INDEX('①在庫を貼る'!$J$6:$J$10005,MATCH($C176,'①在庫を貼る'!$W$6:$W$10005,0)),IFERROR(INDEX('月1回_1ヶ月前の在庫'!$J$6:$J$10005,MATCH($C176,'月1回_1ヶ月前の在庫'!$W$6:$W$10005,0)),IFERROR(INDEX('月1回_2ヶ月前の在庫'!$J$6:$J$10005,MATCH($C176,'月1回_2ヶ月前の在庫'!$W$6:$W$10005,0)),"")))))</f>
        <v/>
      </c>
      <c r="E176">
        <f>IF($C176="","",IFERROR(IF(INDEX('商品マスタ'!$D$6:$D$1005,MATCH($C176,'商品マスタ'!$B$6:$B$1005,0))="",IFERROR(INDEX('①在庫を貼る'!$H$6:$H$10005,MATCH($C176,'①在庫を貼る'!$W$6:$W$10005,0)),IFERROR(INDEX('月1回_1ヶ月前の在庫'!$H$6:$H$10005,MATCH($C176,'月1回_1ヶ月前の在庫'!$W$6:$W$10005,0)),IFERROR(INDEX('月1回_2ヶ月前の在庫'!$H$6:$H$10005,MATCH($C176,'月1回_2ヶ月前の在庫'!$W$6:$W$10005,0)),""))),INDEX('商品マスタ'!$D$6:$D$1005,MATCH($C176,'商品マスタ'!$B$6:$B$1005,0))),IFERROR(INDEX('①在庫を貼る'!$H$6:$H$10005,MATCH($C176,'①在庫を貼る'!$W$6:$W$10005,0)),IFERROR(INDEX('月1回_1ヶ月前の在庫'!$H$6:$H$10005,MATCH($C176,'月1回_1ヶ月前の在庫'!$W$6:$W$10005,0)),IFERROR(INDEX('月1回_2ヶ月前の在庫'!$H$6:$H$10005,MATCH($C176,'月1回_2ヶ月前の在庫'!$W$6:$W$10005,0)),"")))))</f>
        <v/>
      </c>
      <c r="F176">
        <f>IF($C176="","",IFERROR(IF(INDEX('商品マスタ'!$E$6:$E$1005,MATCH($C176,'商品マスタ'!$B$6:$B$1005,0))="",IFERROR(INDEX('①在庫を貼る'!$E$6:$E$10005,MATCH($C176,'①在庫を貼る'!$W$6:$W$10005,0)),IFERROR(INDEX('月1回_1ヶ月前の在庫'!$E$6:$E$10005,MATCH($C176,'月1回_1ヶ月前の在庫'!$W$6:$W$10005,0)),IFERROR(INDEX('月1回_2ヶ月前の在庫'!$E$6:$E$10005,MATCH($C176,'月1回_2ヶ月前の在庫'!$W$6:$W$10005,0)),""))),INDEX('商品マスタ'!$E$6:$E$1005,MATCH($C176,'商品マスタ'!$B$6:$B$1005,0))),IFERROR(INDEX('①在庫を貼る'!$E$6:$E$10005,MATCH($C176,'①在庫を貼る'!$W$6:$W$10005,0)),IFERROR(INDEX('月1回_1ヶ月前の在庫'!$E$6:$E$10005,MATCH($C176,'月1回_1ヶ月前の在庫'!$W$6:$W$10005,0)),IFERROR(INDEX('月1回_2ヶ月前の在庫'!$E$6:$E$10005,MATCH($C176,'月1回_2ヶ月前の在庫'!$W$6:$W$10005,0)),"")))))</f>
        <v/>
      </c>
      <c r="G176">
        <f>IF($C176="","",MAX(1,N(IFERROR(IF(INDEX('商品マスタ'!$F$6:$F$1005,MATCH($C176,'商品マスタ'!$B$6:$B$1005,0))="",IF(COUNTIFS('①在庫を貼る'!$V$6:$V$10005,'設定'!$C$4,'①在庫を貼る'!$W$6:$W$10005,$C176)&gt;0,SUMIFS('①在庫を貼る'!$K$6:$K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K$6:$K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K$6:$K$10005,'月1回_2ヶ月前の在庫'!$V$6:$V$10005,'設定'!$C$4,'月1回_2ヶ月前の在庫'!$W$6:$W$10005,$C176)/COUNTIFS('月1回_2ヶ月前の在庫'!$V$6:$V$10005,'設定'!$C$4,'月1回_2ヶ月前の在庫'!$W$6:$W$10005,$C176),0))),INDEX('商品マスタ'!$F$6:$F$1005,MATCH($C176,'商品マスタ'!$B$6:$B$1005,0))),IF(COUNTIFS('①在庫を貼る'!$V$6:$V$10005,'設定'!$C$4,'①在庫を貼る'!$W$6:$W$10005,$C176)&gt;0,SUMIFS('①在庫を貼る'!$K$6:$K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K$6:$K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K$6:$K$10005,'月1回_2ヶ月前の在庫'!$V$6:$V$10005,'設定'!$C$4,'月1回_2ヶ月前の在庫'!$W$6:$W$10005,$C176)/COUNTIFS('月1回_2ヶ月前の在庫'!$V$6:$V$10005,'設定'!$C$4,'月1回_2ヶ月前の在庫'!$W$6:$W$10005,$C176),0)))))))</f>
        <v/>
      </c>
      <c r="H176">
        <f>IF($C176="","",N(IFERROR(IF(INDEX('商品マスタ'!$G$6:$G$1005,MATCH($C176,'商品マスタ'!$B$6:$B$1005,0))="",IF(COUNTIFS('①在庫を貼る'!$V$6:$V$10005,'設定'!$C$4,'①在庫を貼る'!$W$6:$W$10005,$C176)&gt;0,SUMIFS('①在庫を貼る'!$Q$6:$Q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Q$6:$Q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Q$6:$Q$10005,'月1回_2ヶ月前の在庫'!$V$6:$V$10005,'設定'!$C$4,'月1回_2ヶ月前の在庫'!$W$6:$W$10005,$C176)/COUNTIFS('月1回_2ヶ月前の在庫'!$V$6:$V$10005,'設定'!$C$4,'月1回_2ヶ月前の在庫'!$W$6:$W$10005,$C176),0))),INDEX('商品マスタ'!$G$6:$G$1005,MATCH($C176,'商品マスタ'!$B$6:$B$1005,0))),IF(COUNTIFS('①在庫を貼る'!$V$6:$V$10005,'設定'!$C$4,'①在庫を貼る'!$W$6:$W$10005,$C176)&gt;0,SUMIFS('①在庫を貼る'!$Q$6:$Q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Q$6:$Q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Q$6:$Q$10005,'月1回_2ヶ月前の在庫'!$V$6:$V$10005,'設定'!$C$4,'月1回_2ヶ月前の在庫'!$W$6:$W$10005,$C176)/COUNTIFS('月1回_2ヶ月前の在庫'!$V$6:$V$10005,'設定'!$C$4,'月1回_2ヶ月前の在庫'!$W$6:$W$10005,$C176),0))))))</f>
        <v/>
      </c>
      <c r="I176">
        <f>IF($C176="","",IF(COUNTIFS('①在庫を貼る'!$V$6:$V$10005,'設定'!$C$4,'①在庫を貼る'!$W$6:$W$10005,$C176)=0,"",SUMIFS('①在庫を貼る'!$N$6:$N$10005,'①在庫を貼る'!$V$6:$V$10005,'設定'!$C$4,'①在庫を貼る'!$W$6:$W$10005,$C176)))</f>
        <v/>
      </c>
      <c r="J176">
        <f>IF($C176="","",IF('②発注する'!$AD180="","",'②発注する'!$AD180))</f>
        <v/>
      </c>
      <c r="K176" s="90">
        <f>IF($C176="","",IF('②発注する'!$AE180="","",'②発注する'!$AE180))</f>
        <v/>
      </c>
      <c r="L176">
        <f>IF($C176="","",IF(AND(ISNUMBER($J176),ISNUMBER($K176),$K176&gt;='設定'!$C$6),$J176,N($I176)))</f>
        <v/>
      </c>
      <c r="M176">
        <f>IF($C176="","",IFERROR(IF(N(INDEX('商品マスタ'!$J$6:$J$1005,MATCH($C176,'商品マスタ'!$B$6:$B$1005,0)))&gt;0,INDEX('商品マスタ'!$J$6:$J$1005,MATCH($C176,'商品マスタ'!$B$6:$B$1005,0)),""),""))</f>
        <v/>
      </c>
      <c r="N176">
        <f>IF($C176="","",IFERROR(IF(N(INDEX('商品マスタ'!$H$6:$H$1005,MATCH($C176,'商品マスタ'!$B$6:$B$1005,0)))&gt;0,INDEX('商品マスタ'!$H$6:$H$1005,MATCH($C176,'商品マスタ'!$B$6:$B$1005,0)),""),""))</f>
        <v/>
      </c>
      <c r="O176">
        <f>IF($C176="","",IF($N176&lt;&gt;"",$N176*$G176,IF(N(IF(COUNTIFS('①在庫を貼る'!$V$6:$V$10005,'設定'!$C$4,'①在庫を貼る'!$W$6:$W$10005,$C176)&gt;0,SUMIFS('①在庫を貼る'!$O$6:$O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O$6:$O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O$6:$O$10005,'月1回_2ヶ月前の在庫'!$V$6:$V$10005,'設定'!$C$4,'月1回_2ヶ月前の在庫'!$W$6:$W$10005,$C176)/COUNTIFS('月1回_2ヶ月前の在庫'!$V$6:$V$10005,'設定'!$C$4,'月1回_2ヶ月前の在庫'!$W$6:$W$10005,$C176),0))))&gt;0,N(IF(COUNTIFS('①在庫を貼る'!$V$6:$V$10005,'設定'!$C$4,'①在庫を貼る'!$W$6:$W$10005,$C176)&gt;0,SUMIFS('①在庫を貼る'!$O$6:$O$10005,'①在庫を貼る'!$V$6:$V$10005,'設定'!$C$4,'①在庫を貼る'!$W$6:$W$10005,$C176)/COUNTIFS('①在庫を貼る'!$V$6:$V$10005,'設定'!$C$4,'①在庫を貼る'!$W$6:$W$10005,$C176),IF(COUNTIFS('月1回_1ヶ月前の在庫'!$V$6:$V$10005,'設定'!$C$4,'月1回_1ヶ月前の在庫'!$W$6:$W$10005,$C176)&gt;0,SUMIFS('月1回_1ヶ月前の在庫'!$O$6:$O$10005,'月1回_1ヶ月前の在庫'!$V$6:$V$10005,'設定'!$C$4,'月1回_1ヶ月前の在庫'!$W$6:$W$10005,$C176)/COUNTIFS('月1回_1ヶ月前の在庫'!$V$6:$V$10005,'設定'!$C$4,'月1回_1ヶ月前の在庫'!$W$6:$W$10005,$C176),IF(COUNTIFS('月1回_2ヶ月前の在庫'!$V$6:$V$10005,'設定'!$C$4,'月1回_2ヶ月前の在庫'!$W$6:$W$10005,$C176)&gt;0,SUMIFS('月1回_2ヶ月前の在庫'!$O$6:$O$10005,'月1回_2ヶ月前の在庫'!$V$6:$V$10005,'設定'!$C$4,'月1回_2ヶ月前の在庫'!$W$6:$W$10005,$C176)/COUNTIFS('月1回_2ヶ月前の在庫'!$V$6:$V$10005,'設定'!$C$4,'月1回_2ヶ月前の在庫'!$W$6:$W$10005,$C176),0)))),"")))</f>
        <v/>
      </c>
      <c r="P176" s="90">
        <f>IF($C176="","",IF('②発注する'!$I180="","",'②発注する'!$I180))</f>
        <v/>
      </c>
      <c r="Q176">
        <f>IF($C176="","",IF('②発注する'!$J180="","",'②発注する'!$J180))</f>
        <v/>
      </c>
      <c r="R176">
        <f>IF($C176="",0,IF(AND(ISNUMBER($P176),ISNUMBER($Q176)),MAX(0,$Q176)*$G176,0))</f>
        <v/>
      </c>
      <c r="S176" s="90">
        <f>IF($C176="","",IF('②発注する'!$M180="","",'②発注する'!$M180))</f>
        <v/>
      </c>
      <c r="T176">
        <f>IF($C176="","",IF('②発注する'!$N180="","",'②発注する'!$N180))</f>
        <v/>
      </c>
      <c r="U176">
        <f>IF($C176="",0,IF(AND(ISNUMBER($S176),ISNUMBER($T176)),MAX(0,$T176)*$G176,0))</f>
        <v/>
      </c>
      <c r="V176">
        <f>IF($C176="",0,IF($M176="",0,MAX(0,$M176)*MAX(0,V$4)/100))</f>
        <v/>
      </c>
      <c r="W176">
        <f>IF($C176="",0,IF($M176="",0,MAX(0,$M176)*MAX(0,W$4)/100))</f>
        <v/>
      </c>
      <c r="X176">
        <f>IF($C176="",0,IF($M176="",0,MAX(0,$M176)*MAX(0,X$4)/100))</f>
        <v/>
      </c>
      <c r="Y176">
        <f>IF($C176="",0,IF($M176="",0,MAX(0,$M176)*MAX(0,Y$4)/100))</f>
        <v/>
      </c>
      <c r="Z176">
        <f>IF($C176="",0,IF($M176="",0,MAX(0,$M176)*MAX(0,Z$4)/100))</f>
        <v/>
      </c>
      <c r="AA176">
        <f>IF($C176="",0,IF($M176="",0,MAX(0,$M176)*MAX(0,AA$4)/100))</f>
        <v/>
      </c>
      <c r="AB176">
        <f>IF($C176="",0,IF($M176="",0,MAX(0,$M176)*MAX(0,AB$4)/100))</f>
        <v/>
      </c>
      <c r="AC176">
        <f>IF($C176="",0,IF($M176="",0,MAX(0,$M176)*MAX(0,AC$4)/100))</f>
        <v/>
      </c>
      <c r="AD176">
        <f>IF($C176="",0,IF($M176="",0,MAX(0,$M176)*MAX(0,AD$4)/100))</f>
        <v/>
      </c>
      <c r="AE176">
        <f>IF($C176="",0,IF($M176="",0,MAX(0,$M176)*MAX(0,AE$4)/100))</f>
        <v/>
      </c>
      <c r="AF176">
        <f>IF($C176="",0,IF($M176="",0,MAX(0,$M176)*MAX(0,AF$4)/100))</f>
        <v/>
      </c>
      <c r="AG176">
        <f>IF($C176="",0,IF($M176="",0,MAX(0,$M176)*MAX(0,AG$4)/100))</f>
        <v/>
      </c>
      <c r="AH176">
        <f>IF($C176="",0,IF($M176="",0,MAX(0,$M176)*MAX(0,AH$4)/100))</f>
        <v/>
      </c>
      <c r="AI176">
        <f>IF($C176="",0,IF($M176="",0,MAX(0,$M176)*MAX(0,AI$4)/100))</f>
        <v/>
      </c>
      <c r="AJ176">
        <f>IF($C176="",0,MAX(0,MAX(0,N($L176))-$V176))</f>
        <v/>
      </c>
      <c r="AK176">
        <f>IF($C176="",0,MAX(0,$AJ176-$W176))</f>
        <v/>
      </c>
      <c r="AL176">
        <f>IF($C176="",0,MAX(0,$AK176-$X176))</f>
        <v/>
      </c>
      <c r="AM176">
        <f>IF($C176="",0,MAX(0,$AL176-$Y176))</f>
        <v/>
      </c>
      <c r="AN176">
        <f>IF($C176="",0,MAX(0,$AM176-$Z176))</f>
        <v/>
      </c>
      <c r="AO176">
        <f>IF($C176="",0,MAX(0,$AN176-$AA176))</f>
        <v/>
      </c>
      <c r="AP176">
        <f>IF($C176="",0,MAX(0,$AO176-$AB176))</f>
        <v/>
      </c>
      <c r="AQ176">
        <f>IF($C176="",0,MAX(0,$AP176-$AC176))</f>
        <v/>
      </c>
      <c r="AR176">
        <f>IF($C176="",0,MAX(0,$AQ176-$AD176))</f>
        <v/>
      </c>
      <c r="AS176">
        <f>IF($C176="",0,MAX(0,$AR176-$AE176))</f>
        <v/>
      </c>
      <c r="AT176">
        <f>IF($C176="",0,MAX(0,$AS176-$AF176))</f>
        <v/>
      </c>
      <c r="AU176">
        <f>IF($C176="",0,MAX(0,$AT176-$AG176))</f>
        <v/>
      </c>
      <c r="AV176">
        <f>IF($C176="",0,MAX(0,$AU176-$AH176))</f>
        <v/>
      </c>
      <c r="AW176">
        <f>IF($C176="",0,MAX(0,$AV176-$AI176))</f>
        <v/>
      </c>
      <c r="AX176">
        <f>IF($C176="",0,MAX(0,MAX(0,N($L176))+IF($P176=V$3,$R176,0)+IF($S176=V$3,$U176,0)-$V176))</f>
        <v/>
      </c>
      <c r="AY176">
        <f>IF($C176="",0,MAX(0,$AX176+IF($P176=W$3,$R176,0)+IF($S176=W$3,$U176,0)-$W176))</f>
        <v/>
      </c>
      <c r="AZ176">
        <f>IF($C176="",0,MAX(0,$AY176+IF($P176=X$3,$R176,0)+IF($S176=X$3,$U176,0)-$X176))</f>
        <v/>
      </c>
      <c r="BA176">
        <f>IF($C176="",0,MAX(0,$AZ176+IF($P176=Y$3,$R176,0)+IF($S176=Y$3,$U176,0)-$Y176))</f>
        <v/>
      </c>
      <c r="BB176">
        <f>IF($C176="",0,MAX(0,$BA176+IF($P176=Z$3,$R176,0)+IF($S176=Z$3,$U176,0)-$Z176))</f>
        <v/>
      </c>
      <c r="BC176">
        <f>IF($C176="",0,MAX(0,$BB176+IF($P176=AA$3,$R176,0)+IF($S176=AA$3,$U176,0)-$AA176))</f>
        <v/>
      </c>
      <c r="BD176">
        <f>IF($C176="",0,MAX(0,$BC176+IF($P176=AB$3,$R176,0)+IF($S176=AB$3,$U176,0)-$AB176))</f>
        <v/>
      </c>
      <c r="BE176">
        <f>IF($C176="",0,MAX(0,$BD176+IF($P176=AC$3,$R176,0)+IF($S176=AC$3,$U176,0)-$AC176))</f>
        <v/>
      </c>
      <c r="BF176">
        <f>IF($C176="",0,MAX(0,$BE176+IF($P176=AD$3,$R176,0)+IF($S176=AD$3,$U176,0)-$AD176))</f>
        <v/>
      </c>
      <c r="BG176">
        <f>IF($C176="",0,MAX(0,$BF176+IF($P176=AE$3,$R176,0)+IF($S176=AE$3,$U176,0)-$AE176))</f>
        <v/>
      </c>
      <c r="BH176">
        <f>IF($C176="",0,MAX(0,$BG176+IF($P176=AF$3,$R176,0)+IF($S176=AF$3,$U176,0)-$AF176))</f>
        <v/>
      </c>
      <c r="BI176">
        <f>IF($C176="",0,MAX(0,$BH176+IF($P176=AG$3,$R176,0)+IF($S176=AG$3,$U176,0)-$AG176))</f>
        <v/>
      </c>
      <c r="BJ176">
        <f>IF($C176="",0,MAX(0,$BI176+IF($P176=AH$3,$R176,0)+IF($S176=AH$3,$U176,0)-$AH176))</f>
        <v/>
      </c>
      <c r="BK176">
        <f>IF($C176="",0,MAX(0,$BJ176+IF($P176=AI$3,$R176,0)+IF($S176=AI$3,$U176,0)-$AI176))</f>
        <v/>
      </c>
      <c r="BL176">
        <f>IF($C176="",99,IF(AND($AX176&lt;1,V$3&gt;=MAX(N($P176),N($S176))),0,99))</f>
        <v/>
      </c>
      <c r="BM176">
        <f>IF($C176="",99,IF(AND($AY176&lt;1,W$3&gt;=MAX(N($P176),N($S176))),1,99))</f>
        <v/>
      </c>
      <c r="BN176">
        <f>IF($C176="",99,IF(AND($AZ176&lt;1,X$3&gt;=MAX(N($P176),N($S176))),2,99))</f>
        <v/>
      </c>
      <c r="BO176">
        <f>IF($C176="",99,IF(AND($BA176&lt;1,Y$3&gt;=MAX(N($P176),N($S176))),3,99))</f>
        <v/>
      </c>
      <c r="BP176">
        <f>IF($C176="",99,IF(AND($BB176&lt;1,Z$3&gt;=MAX(N($P176),N($S176))),4,99))</f>
        <v/>
      </c>
      <c r="BQ176">
        <f>IF($C176="",99,IF(AND($BC176&lt;1,AA$3&gt;=MAX(N($P176),N($S176))),5,99))</f>
        <v/>
      </c>
      <c r="BR176">
        <f>IF($C176="",99,IF(AND($BD176&lt;1,AB$3&gt;=MAX(N($P176),N($S176))),6,99))</f>
        <v/>
      </c>
      <c r="BS176">
        <f>IF($C176="",99,IF(AND($BE176&lt;1,AC$3&gt;=MAX(N($P176),N($S176))),7,99))</f>
        <v/>
      </c>
      <c r="BT176">
        <f>IF($C176="",99,IF(AND($BF176&lt;1,AD$3&gt;=MAX(N($P176),N($S176))),8,99))</f>
        <v/>
      </c>
      <c r="BU176">
        <f>IF($C176="",99,IF(AND($BG176&lt;1,AE$3&gt;=MAX(N($P176),N($S176))),9,99))</f>
        <v/>
      </c>
      <c r="BV176">
        <f>IF($C176="",99,IF(AND($BH176&lt;1,AF$3&gt;=MAX(N($P176),N($S176))),10,99))</f>
        <v/>
      </c>
      <c r="BW176">
        <f>IF($C176="",99,IF(AND($BI176&lt;1,AG$3&gt;=MAX(N($P176),N($S176))),11,99))</f>
        <v/>
      </c>
      <c r="BX176">
        <f>IF($C176="",99,IF(AND($BJ176&lt;1,AH$3&gt;=MAX(N($P176),N($S176))),12,99))</f>
        <v/>
      </c>
      <c r="BY176">
        <f>IF($C176="",99,IF(AND($BK176&lt;1,AI$3&gt;=MAX(N($P176),N($S176))),13,99))</f>
        <v/>
      </c>
      <c r="BZ176">
        <f>IF(OR($C176="",$M176=""),"",COUNTIF($AJ176:$AW176,"&gt;=1"))</f>
        <v/>
      </c>
      <c r="CA176" s="90">
        <f>IF($BZ176="","",IF($BZ176&gt;=14,"",'設定'!$C$6+$BZ176))</f>
        <v/>
      </c>
      <c r="CB176">
        <f>IF(OR($C176="",$M176=""),"",MIN($BL176:$BY176))</f>
        <v/>
      </c>
      <c r="CC176" s="90">
        <f>IF($CB176="","",IF($CB176&gt;=99,"",'設定'!$C$6+$CB176))</f>
        <v/>
      </c>
      <c r="CD176">
        <f>IF(OR($C176="",$M176=""),"",AVERAGE($V176:$AI176))</f>
        <v/>
      </c>
      <c r="CE176">
        <f>IF($C176="","",IFERROR(IF(MATCH(IF(ISNUMBER($P176),$P176,'設定'!$C$6+N('設定'!$C$7)),$V$3:$AI$3,0)=1,MAX(0,N($L176)),INDEX($AJ176:$AW176,MATCH(IF(ISNUMBER($P176),$P176,'設定'!$C$6+N('設定'!$C$7)),$V$3:$AI$3,0)-1)),""))</f>
        <v/>
      </c>
      <c r="CF176">
        <f>IF(OR($C176="",$O176="",$CE176=""),"",IF($O176-$CE176&lt;=0,0,ROUNDUP(($O176-$CE176)/$G176,0)))</f>
        <v/>
      </c>
      <c r="CG176">
        <f>IF(OR($C176="",$CF176="",NOT(ISNUMBER($Q176))),0,MAX(0,$Q176-$CF176))</f>
        <v/>
      </c>
      <c r="CH176">
        <f>IF(OR($C176="",$O176="",$U176=0),0,IFERROR(ROUNDUP(MAX(0,IF(MATCH($S176,$V$3:$AI$3,0)=1,MAX(0,N($L176)),INDEX($AX176:$BK176,MATCH($S176,$V$3:$AI$3,0)-1))+$U176-$O176)/$G176,0),0))</f>
        <v/>
      </c>
      <c r="CI176">
        <f>IF($C176="","",IF(AND($P176="",$Q176=""),"",IF($P176="","⚠ 入庫日を ▼ から選んでください",IF(NOT(ISNUMBER($P176)),"⚠ 入庫日は ▼ から選んでください",IF($P176&lt;N('設定'!$C$6),"⚠ 入庫日が過去です（もう在庫に入っています）→ 消してください",IF($P176&gt;N('設定'!$C$6)+13,"⚠ 入庫日が14日より先です",IF(N($Q176)&lt;=0,"⚠ 入庫数を入れてください",IF($CG176&gt;0,"⚠ 目安より "&amp;$CG176&amp;" 多い（定数を超える）→ 減らす",""))))))))</f>
        <v/>
      </c>
      <c r="CJ176">
        <f>IF($C176="","",IF(AND($S176="",$T176=""),"",IF($S176="","⚠ 2便目：入庫日を ▼ から選んでください",IF(NOT(ISNUMBER($S176)),"⚠ 2便目：入庫日は ▼ から選んでください",IF($S176&lt;N('設定'!$C$6),"⚠ 2便目：入庫日が過去です（もう在庫に入っています）→ 消してください",IF($S176&gt;N('設定'!$C$6)+13,"⚠ 2便目：入庫日が14日より先です",IF(N($T176)&lt;=0,"⚠ 2便目：入庫数を入れてください",IF($CH176&gt;0,"⚠ 2便目：定数を "&amp;$CH176&amp;" ケース超える → 減らす",""))))))))</f>
        <v/>
      </c>
      <c r="CK176">
        <f>IF(AND($CI176="",N($Q176)&gt;0,ISNUMBER($P176)),1,0)</f>
        <v/>
      </c>
      <c r="CL176">
        <f>IF(AND($CJ176="",N($T176)&gt;0,ISNUMBER($S176)),1,0)</f>
        <v/>
      </c>
      <c r="CM176">
        <f>IF(OR($CK176=1,$CL176=1),1,0)</f>
        <v/>
      </c>
      <c r="CN176">
        <f>IF($C176="",0,($CK176*$R176+$CL176*$U176)*N($H176))</f>
        <v/>
      </c>
      <c r="CO176">
        <f>IF($C176="","",IF($CC176="","入庫後は 14日以上もつ",IF($CC176-N('設定'!$C$7)&lt;='設定'!$C$6,"入庫後も "&amp;TEXT($CC176,"m/d")&amp;"("&amp;CHOOSE(WEEKDAY($CC176),"日","月","火","水","木","金","土")&amp;")"&amp;" に切れる　もう1便を至急発注","入庫後も "&amp;TEXT($CC176,"m/d")&amp;"("&amp;CHOOSE(WEEKDAY($CC176),"日","月","火","水","木","金","土")&amp;")"&amp;" に切れる　"&amp;TEXT($CC176-N('設定'!$C$7),"m/d")&amp;"("&amp;CHOOSE(WEEKDAY($CC176-N('設定'!$C$7)),"日","月","火","水","木","金","土")&amp;")"&amp;" までに次を発注")))</f>
        <v/>
      </c>
      <c r="CP176">
        <f>IF($C176="","",IF('設定'!$C$6="","？ ①在庫を貼る に今日のCSVが貼られていない",IF($CS176=1,"－ 今日のCSVに無い（終売？）",IF($L176&lt;0,"● 在庫がマイナス　数えて「数えた在庫」に入れる",IF($L176=0,"● 在庫なし　至急発注",IF($M176="","？ 減り数が未設定（商品マスタ）",IF($B$3=0,"？ 動員が未入力（動員を入れる）",IF($CA176="","○ 14日以上もつ",IF($BZ176&lt;N('設定'!$C$7),"● "&amp;TEXT($CA176,"m/d")&amp;"("&amp;CHOOSE(WEEKDAY($CA176),"日","月","火","水","木","金","土")&amp;")"&amp;" に切れる　至急発注",IF($BZ176=N('設定'!$C$7),"● "&amp;TEXT($CA176,"m/d")&amp;"("&amp;CHOOSE(WEEKDAY($CA176),"日","月","火","水","木","金","土")&amp;")"&amp;" に切れる　今日発注","△ "&amp;TEXT($CA176,"m/d")&amp;"("&amp;CHOOSE(WEEKDAY($CA176),"日","月","火","水","木","金","土")&amp;")"&amp;" に切れる　"&amp;TEXT($CA176-N('設定'!$C$7),"m/d")&amp;"("&amp;CHOOSE(WEEKDAY($CA176-N('設定'!$C$7)),"日","月","火","水","木","金","土")&amp;")"&amp;" までに発注"))))))))))</f>
        <v/>
      </c>
      <c r="CQ176">
        <f>IF($C176="","",IF(AND($P176="",$Q176="",$S176="",$T176=""),"",IF(AND($P176="",$Q176=""),"⚠ 先に1便目（左の入庫日・入庫数）に入れてください",IF($CI176&lt;&gt;"",$CI176,IF($CJ176&lt;&gt;"",$CJ176,IF($M176="","？ 減り数が未設定（発注書には載ります）",IF($B$3=0,"？ 動員が未入力（発注書には載ります）",IF(AND($CA176&lt;&gt;"",$P176&gt;$CA176),IF($P176&gt;'設定'!$C$6+N('設定'!$C$7),"● "&amp;TEXT($P176,"m/d")&amp;"("&amp;CHOOSE(WEEKDAY($P176),"日","月","火","水","木","金","土")&amp;")"&amp;" の入庫では間に合わない（"&amp;TEXT($CA176,"m/d")&amp;"("&amp;CHOOSE(WEEKDAY($CA176),"日","月","火","水","木","金","土")&amp;")"&amp;" に切れる）　入庫日を早める","△ 欠品 "&amp;TEXT($CA176,"m/d")&amp;"("&amp;CHOOSE(WEEKDAY($CA176),"日","月","火","水","木","金","土")&amp;")"&amp;"〜"&amp;TEXT($P176-1,"m/d")&amp;"("&amp;CHOOSE(WEEKDAY($P176-1),"日","月","火","水","木","金","土")&amp;")"&amp;"　"&amp;$CO176),IF($CC176="","○ "&amp;TEXT($P176,"m/d")&amp;"("&amp;CHOOSE(WEEKDAY($P176),"日","月","火","水","木","金","土")&amp;")"&amp;" 入庫で 14日以上もつ",IF($CC176-N('設定'!$C$7)&lt;='設定'!$C$6,"● 入庫しても "&amp;TEXT($CC176,"m/d")&amp;"("&amp;CHOOSE(WEEKDAY($CC176),"日","月","火","水","木","金","土")&amp;")"&amp;" に切れる　もう1便を至急発注（2便目に入れる）","△ 入庫しても "&amp;TEXT($CC176,"m/d")&amp;"("&amp;CHOOSE(WEEKDAY($CC176),"日","月","火","水","木","金","土")&amp;")"&amp;" に切れる　"&amp;TEXT($CC176-N('設定'!$C$7),"m/d")&amp;"("&amp;CHOOSE(WEEKDAY($CC176-N('設定'!$C$7)),"日","月","火","水","木","金","土")&amp;")"&amp;" までに次を発注（2便目に入れる）"))))))))))</f>
        <v/>
      </c>
      <c r="CR176">
        <f>IF($C176="","",IF($G176&gt;1,"ｹｰｽ("&amp;$G176&amp;"入)","個"))</f>
        <v/>
      </c>
      <c r="CS176">
        <f>IF($C176="",0,IF(COUNTIFS('①在庫を貼る'!$V$6:$V$10005,'設定'!$C$4,'①在庫を貼る'!$W$6:$W$10005,$C176)=0,1,0))</f>
        <v/>
      </c>
      <c r="CT176">
        <f>IF(AND($CK176=1,OR('③発注書'!$C$4="すべて",'③発注書'!$C$4="",$F176='③発注書'!$C$4)),N($CT175)+1,N($CT175))</f>
        <v/>
      </c>
      <c r="CU176">
        <f>IF(AND($CL176=1,OR('③発注書'!$C$4="すべて",'③発注書'!$C$4="",$F176='③発注書'!$C$4)),N($CU175)+1,N($CU175))</f>
        <v/>
      </c>
      <c r="CV176">
        <f>IF($C176="",0,IF(COUNTIFS('①在庫を貼る'!$V$6:$V$10005,'設定'!$C$4,'①在庫を貼る'!$W$6:$W$10005,$C176)&gt;0,1,0))</f>
        <v/>
      </c>
      <c r="CW176">
        <f>IF($C176="",0,IF(COUNTIFS('月1回_1ヶ月前の在庫'!$V$6:$V$10005,'設定'!$C$4,'月1回_1ヶ月前の在庫'!$W$6:$W$10005,$C176)&gt;0,1,0))</f>
        <v/>
      </c>
      <c r="CX176">
        <f>IF($C176="",0,IF(COUNTIFS('月1回_2ヶ月前の在庫'!$V$6:$V$10005,'設定'!$C$4,'月1回_2ヶ月前の在庫'!$W$6:$W$10005,$C176)&gt;0,1,0))</f>
        <v/>
      </c>
      <c r="CY176">
        <f>IF(OR($C176="",'設定'!$C$12=""),"",IF('設定'!$C$13="",IF(AND($CV176=1,$CW176=0),"新商品（今月から）",IF(AND($CV176=0,$CW176=1),"終売（今月から）","")),IF(AND($CV176=1,$CW176=0,$CX176=0),"新商品（今月から）",IF(AND($CV176=1,$CW176=1,$CX176=0),"新商品（先月から）",IF(AND($CV176=0,$CW176=1,$CX176=1),"終売（今月から）",IF(AND($CV176=0,$CW176=0,$CX176=1),"終売（先月から）",IF(AND($CV176=1,$CW176=0,$CX176=1),"復活（先月は無し）","")))))))</f>
        <v/>
      </c>
    </row>
    <row r="177">
      <c r="B177">
        <f>IF(172&lt;='設定'!$C$11,172,"")</f>
        <v/>
      </c>
      <c r="C177">
        <f>IF($B177="","",IF($B177&lt;='設定'!$C$20,INDEX('商品マスタ'!$B$6:$B$1005,MATCH($B177,'商品マスタ'!$M$6:$M$1005,0)),IF($B177&lt;='設定'!$C$20+'設定'!$C$17,INDEX('①在庫を貼る'!$W$6:$W$10005,MATCH($B177-'設定'!$C$20,'①在庫を貼る'!$U$6:$U$10005,0)),IF($B177&lt;='設定'!$C$20+'設定'!$C$17+'設定'!$C$18,INDEX('月1回_1ヶ月前の在庫'!$W$6:$W$10005,MATCH($B177-'設定'!$C$20-'設定'!$C$17,'月1回_1ヶ月前の在庫'!$U$6:$U$10005,0)),INDEX('月1回_2ヶ月前の在庫'!$W$6:$W$10005,MATCH($B177-'設定'!$C$20-'設定'!$C$17-'設定'!$C$18,'月1回_2ヶ月前の在庫'!$U$6:$U$10005,0))))))</f>
        <v/>
      </c>
      <c r="D177">
        <f>IF($C177="","",IFERROR(IF(INDEX('商品マスタ'!$C$6:$C$1005,MATCH($C177,'商品マスタ'!$B$6:$B$1005,0))="",IFERROR(INDEX('①在庫を貼る'!$J$6:$J$10005,MATCH($C177,'①在庫を貼る'!$W$6:$W$10005,0)),IFERROR(INDEX('月1回_1ヶ月前の在庫'!$J$6:$J$10005,MATCH($C177,'月1回_1ヶ月前の在庫'!$W$6:$W$10005,0)),IFERROR(INDEX('月1回_2ヶ月前の在庫'!$J$6:$J$10005,MATCH($C177,'月1回_2ヶ月前の在庫'!$W$6:$W$10005,0)),""))),INDEX('商品マスタ'!$C$6:$C$1005,MATCH($C177,'商品マスタ'!$B$6:$B$1005,0))),IFERROR(INDEX('①在庫を貼る'!$J$6:$J$10005,MATCH($C177,'①在庫を貼る'!$W$6:$W$10005,0)),IFERROR(INDEX('月1回_1ヶ月前の在庫'!$J$6:$J$10005,MATCH($C177,'月1回_1ヶ月前の在庫'!$W$6:$W$10005,0)),IFERROR(INDEX('月1回_2ヶ月前の在庫'!$J$6:$J$10005,MATCH($C177,'月1回_2ヶ月前の在庫'!$W$6:$W$10005,0)),"")))))</f>
        <v/>
      </c>
      <c r="E177">
        <f>IF($C177="","",IFERROR(IF(INDEX('商品マスタ'!$D$6:$D$1005,MATCH($C177,'商品マスタ'!$B$6:$B$1005,0))="",IFERROR(INDEX('①在庫を貼る'!$H$6:$H$10005,MATCH($C177,'①在庫を貼る'!$W$6:$W$10005,0)),IFERROR(INDEX('月1回_1ヶ月前の在庫'!$H$6:$H$10005,MATCH($C177,'月1回_1ヶ月前の在庫'!$W$6:$W$10005,0)),IFERROR(INDEX('月1回_2ヶ月前の在庫'!$H$6:$H$10005,MATCH($C177,'月1回_2ヶ月前の在庫'!$W$6:$W$10005,0)),""))),INDEX('商品マスタ'!$D$6:$D$1005,MATCH($C177,'商品マスタ'!$B$6:$B$1005,0))),IFERROR(INDEX('①在庫を貼る'!$H$6:$H$10005,MATCH($C177,'①在庫を貼る'!$W$6:$W$10005,0)),IFERROR(INDEX('月1回_1ヶ月前の在庫'!$H$6:$H$10005,MATCH($C177,'月1回_1ヶ月前の在庫'!$W$6:$W$10005,0)),IFERROR(INDEX('月1回_2ヶ月前の在庫'!$H$6:$H$10005,MATCH($C177,'月1回_2ヶ月前の在庫'!$W$6:$W$10005,0)),"")))))</f>
        <v/>
      </c>
      <c r="F177">
        <f>IF($C177="","",IFERROR(IF(INDEX('商品マスタ'!$E$6:$E$1005,MATCH($C177,'商品マスタ'!$B$6:$B$1005,0))="",IFERROR(INDEX('①在庫を貼る'!$E$6:$E$10005,MATCH($C177,'①在庫を貼る'!$W$6:$W$10005,0)),IFERROR(INDEX('月1回_1ヶ月前の在庫'!$E$6:$E$10005,MATCH($C177,'月1回_1ヶ月前の在庫'!$W$6:$W$10005,0)),IFERROR(INDEX('月1回_2ヶ月前の在庫'!$E$6:$E$10005,MATCH($C177,'月1回_2ヶ月前の在庫'!$W$6:$W$10005,0)),""))),INDEX('商品マスタ'!$E$6:$E$1005,MATCH($C177,'商品マスタ'!$B$6:$B$1005,0))),IFERROR(INDEX('①在庫を貼る'!$E$6:$E$10005,MATCH($C177,'①在庫を貼る'!$W$6:$W$10005,0)),IFERROR(INDEX('月1回_1ヶ月前の在庫'!$E$6:$E$10005,MATCH($C177,'月1回_1ヶ月前の在庫'!$W$6:$W$10005,0)),IFERROR(INDEX('月1回_2ヶ月前の在庫'!$E$6:$E$10005,MATCH($C177,'月1回_2ヶ月前の在庫'!$W$6:$W$10005,0)),"")))))</f>
        <v/>
      </c>
      <c r="G177">
        <f>IF($C177="","",MAX(1,N(IFERROR(IF(INDEX('商品マスタ'!$F$6:$F$1005,MATCH($C177,'商品マスタ'!$B$6:$B$1005,0))="",IF(COUNTIFS('①在庫を貼る'!$V$6:$V$10005,'設定'!$C$4,'①在庫を貼る'!$W$6:$W$10005,$C177)&gt;0,SUMIFS('①在庫を貼る'!$K$6:$K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K$6:$K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K$6:$K$10005,'月1回_2ヶ月前の在庫'!$V$6:$V$10005,'設定'!$C$4,'月1回_2ヶ月前の在庫'!$W$6:$W$10005,$C177)/COUNTIFS('月1回_2ヶ月前の在庫'!$V$6:$V$10005,'設定'!$C$4,'月1回_2ヶ月前の在庫'!$W$6:$W$10005,$C177),0))),INDEX('商品マスタ'!$F$6:$F$1005,MATCH($C177,'商品マスタ'!$B$6:$B$1005,0))),IF(COUNTIFS('①在庫を貼る'!$V$6:$V$10005,'設定'!$C$4,'①在庫を貼る'!$W$6:$W$10005,$C177)&gt;0,SUMIFS('①在庫を貼る'!$K$6:$K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K$6:$K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K$6:$K$10005,'月1回_2ヶ月前の在庫'!$V$6:$V$10005,'設定'!$C$4,'月1回_2ヶ月前の在庫'!$W$6:$W$10005,$C177)/COUNTIFS('月1回_2ヶ月前の在庫'!$V$6:$V$10005,'設定'!$C$4,'月1回_2ヶ月前の在庫'!$W$6:$W$10005,$C177),0)))))))</f>
        <v/>
      </c>
      <c r="H177">
        <f>IF($C177="","",N(IFERROR(IF(INDEX('商品マスタ'!$G$6:$G$1005,MATCH($C177,'商品マスタ'!$B$6:$B$1005,0))="",IF(COUNTIFS('①在庫を貼る'!$V$6:$V$10005,'設定'!$C$4,'①在庫を貼る'!$W$6:$W$10005,$C177)&gt;0,SUMIFS('①在庫を貼る'!$Q$6:$Q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Q$6:$Q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Q$6:$Q$10005,'月1回_2ヶ月前の在庫'!$V$6:$V$10005,'設定'!$C$4,'月1回_2ヶ月前の在庫'!$W$6:$W$10005,$C177)/COUNTIFS('月1回_2ヶ月前の在庫'!$V$6:$V$10005,'設定'!$C$4,'月1回_2ヶ月前の在庫'!$W$6:$W$10005,$C177),0))),INDEX('商品マスタ'!$G$6:$G$1005,MATCH($C177,'商品マスタ'!$B$6:$B$1005,0))),IF(COUNTIFS('①在庫を貼る'!$V$6:$V$10005,'設定'!$C$4,'①在庫を貼る'!$W$6:$W$10005,$C177)&gt;0,SUMIFS('①在庫を貼る'!$Q$6:$Q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Q$6:$Q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Q$6:$Q$10005,'月1回_2ヶ月前の在庫'!$V$6:$V$10005,'設定'!$C$4,'月1回_2ヶ月前の在庫'!$W$6:$W$10005,$C177)/COUNTIFS('月1回_2ヶ月前の在庫'!$V$6:$V$10005,'設定'!$C$4,'月1回_2ヶ月前の在庫'!$W$6:$W$10005,$C177),0))))))</f>
        <v/>
      </c>
      <c r="I177">
        <f>IF($C177="","",IF(COUNTIFS('①在庫を貼る'!$V$6:$V$10005,'設定'!$C$4,'①在庫を貼る'!$W$6:$W$10005,$C177)=0,"",SUMIFS('①在庫を貼る'!$N$6:$N$10005,'①在庫を貼る'!$V$6:$V$10005,'設定'!$C$4,'①在庫を貼る'!$W$6:$W$10005,$C177)))</f>
        <v/>
      </c>
      <c r="J177">
        <f>IF($C177="","",IF('②発注する'!$AD181="","",'②発注する'!$AD181))</f>
        <v/>
      </c>
      <c r="K177" s="90">
        <f>IF($C177="","",IF('②発注する'!$AE181="","",'②発注する'!$AE181))</f>
        <v/>
      </c>
      <c r="L177">
        <f>IF($C177="","",IF(AND(ISNUMBER($J177),ISNUMBER($K177),$K177&gt;='設定'!$C$6),$J177,N($I177)))</f>
        <v/>
      </c>
      <c r="M177">
        <f>IF($C177="","",IFERROR(IF(N(INDEX('商品マスタ'!$J$6:$J$1005,MATCH($C177,'商品マスタ'!$B$6:$B$1005,0)))&gt;0,INDEX('商品マスタ'!$J$6:$J$1005,MATCH($C177,'商品マスタ'!$B$6:$B$1005,0)),""),""))</f>
        <v/>
      </c>
      <c r="N177">
        <f>IF($C177="","",IFERROR(IF(N(INDEX('商品マスタ'!$H$6:$H$1005,MATCH($C177,'商品マスタ'!$B$6:$B$1005,0)))&gt;0,INDEX('商品マスタ'!$H$6:$H$1005,MATCH($C177,'商品マスタ'!$B$6:$B$1005,0)),""),""))</f>
        <v/>
      </c>
      <c r="O177">
        <f>IF($C177="","",IF($N177&lt;&gt;"",$N177*$G177,IF(N(IF(COUNTIFS('①在庫を貼る'!$V$6:$V$10005,'設定'!$C$4,'①在庫を貼る'!$W$6:$W$10005,$C177)&gt;0,SUMIFS('①在庫を貼る'!$O$6:$O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O$6:$O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O$6:$O$10005,'月1回_2ヶ月前の在庫'!$V$6:$V$10005,'設定'!$C$4,'月1回_2ヶ月前の在庫'!$W$6:$W$10005,$C177)/COUNTIFS('月1回_2ヶ月前の在庫'!$V$6:$V$10005,'設定'!$C$4,'月1回_2ヶ月前の在庫'!$W$6:$W$10005,$C177),0))))&gt;0,N(IF(COUNTIFS('①在庫を貼る'!$V$6:$V$10005,'設定'!$C$4,'①在庫を貼る'!$W$6:$W$10005,$C177)&gt;0,SUMIFS('①在庫を貼る'!$O$6:$O$10005,'①在庫を貼る'!$V$6:$V$10005,'設定'!$C$4,'①在庫を貼る'!$W$6:$W$10005,$C177)/COUNTIFS('①在庫を貼る'!$V$6:$V$10005,'設定'!$C$4,'①在庫を貼る'!$W$6:$W$10005,$C177),IF(COUNTIFS('月1回_1ヶ月前の在庫'!$V$6:$V$10005,'設定'!$C$4,'月1回_1ヶ月前の在庫'!$W$6:$W$10005,$C177)&gt;0,SUMIFS('月1回_1ヶ月前の在庫'!$O$6:$O$10005,'月1回_1ヶ月前の在庫'!$V$6:$V$10005,'設定'!$C$4,'月1回_1ヶ月前の在庫'!$W$6:$W$10005,$C177)/COUNTIFS('月1回_1ヶ月前の在庫'!$V$6:$V$10005,'設定'!$C$4,'月1回_1ヶ月前の在庫'!$W$6:$W$10005,$C177),IF(COUNTIFS('月1回_2ヶ月前の在庫'!$V$6:$V$10005,'設定'!$C$4,'月1回_2ヶ月前の在庫'!$W$6:$W$10005,$C177)&gt;0,SUMIFS('月1回_2ヶ月前の在庫'!$O$6:$O$10005,'月1回_2ヶ月前の在庫'!$V$6:$V$10005,'設定'!$C$4,'月1回_2ヶ月前の在庫'!$W$6:$W$10005,$C177)/COUNTIFS('月1回_2ヶ月前の在庫'!$V$6:$V$10005,'設定'!$C$4,'月1回_2ヶ月前の在庫'!$W$6:$W$10005,$C177),0)))),"")))</f>
        <v/>
      </c>
      <c r="P177" s="90">
        <f>IF($C177="","",IF('②発注する'!$I181="","",'②発注する'!$I181))</f>
        <v/>
      </c>
      <c r="Q177">
        <f>IF($C177="","",IF('②発注する'!$J181="","",'②発注する'!$J181))</f>
        <v/>
      </c>
      <c r="R177">
        <f>IF($C177="",0,IF(AND(ISNUMBER($P177),ISNUMBER($Q177)),MAX(0,$Q177)*$G177,0))</f>
        <v/>
      </c>
      <c r="S177" s="90">
        <f>IF($C177="","",IF('②発注する'!$M181="","",'②発注する'!$M181))</f>
        <v/>
      </c>
      <c r="T177">
        <f>IF($C177="","",IF('②発注する'!$N181="","",'②発注する'!$N181))</f>
        <v/>
      </c>
      <c r="U177">
        <f>IF($C177="",0,IF(AND(ISNUMBER($S177),ISNUMBER($T177)),MAX(0,$T177)*$G177,0))</f>
        <v/>
      </c>
      <c r="V177">
        <f>IF($C177="",0,IF($M177="",0,MAX(0,$M177)*MAX(0,V$4)/100))</f>
        <v/>
      </c>
      <c r="W177">
        <f>IF($C177="",0,IF($M177="",0,MAX(0,$M177)*MAX(0,W$4)/100))</f>
        <v/>
      </c>
      <c r="X177">
        <f>IF($C177="",0,IF($M177="",0,MAX(0,$M177)*MAX(0,X$4)/100))</f>
        <v/>
      </c>
      <c r="Y177">
        <f>IF($C177="",0,IF($M177="",0,MAX(0,$M177)*MAX(0,Y$4)/100))</f>
        <v/>
      </c>
      <c r="Z177">
        <f>IF($C177="",0,IF($M177="",0,MAX(0,$M177)*MAX(0,Z$4)/100))</f>
        <v/>
      </c>
      <c r="AA177">
        <f>IF($C177="",0,IF($M177="",0,MAX(0,$M177)*MAX(0,AA$4)/100))</f>
        <v/>
      </c>
      <c r="AB177">
        <f>IF($C177="",0,IF($M177="",0,MAX(0,$M177)*MAX(0,AB$4)/100))</f>
        <v/>
      </c>
      <c r="AC177">
        <f>IF($C177="",0,IF($M177="",0,MAX(0,$M177)*MAX(0,AC$4)/100))</f>
        <v/>
      </c>
      <c r="AD177">
        <f>IF($C177="",0,IF($M177="",0,MAX(0,$M177)*MAX(0,AD$4)/100))</f>
        <v/>
      </c>
      <c r="AE177">
        <f>IF($C177="",0,IF($M177="",0,MAX(0,$M177)*MAX(0,AE$4)/100))</f>
        <v/>
      </c>
      <c r="AF177">
        <f>IF($C177="",0,IF($M177="",0,MAX(0,$M177)*MAX(0,AF$4)/100))</f>
        <v/>
      </c>
      <c r="AG177">
        <f>IF($C177="",0,IF($M177="",0,MAX(0,$M177)*MAX(0,AG$4)/100))</f>
        <v/>
      </c>
      <c r="AH177">
        <f>IF($C177="",0,IF($M177="",0,MAX(0,$M177)*MAX(0,AH$4)/100))</f>
        <v/>
      </c>
      <c r="AI177">
        <f>IF($C177="",0,IF($M177="",0,MAX(0,$M177)*MAX(0,AI$4)/100))</f>
        <v/>
      </c>
      <c r="AJ177">
        <f>IF($C177="",0,MAX(0,MAX(0,N($L177))-$V177))</f>
        <v/>
      </c>
      <c r="AK177">
        <f>IF($C177="",0,MAX(0,$AJ177-$W177))</f>
        <v/>
      </c>
      <c r="AL177">
        <f>IF($C177="",0,MAX(0,$AK177-$X177))</f>
        <v/>
      </c>
      <c r="AM177">
        <f>IF($C177="",0,MAX(0,$AL177-$Y177))</f>
        <v/>
      </c>
      <c r="AN177">
        <f>IF($C177="",0,MAX(0,$AM177-$Z177))</f>
        <v/>
      </c>
      <c r="AO177">
        <f>IF($C177="",0,MAX(0,$AN177-$AA177))</f>
        <v/>
      </c>
      <c r="AP177">
        <f>IF($C177="",0,MAX(0,$AO177-$AB177))</f>
        <v/>
      </c>
      <c r="AQ177">
        <f>IF($C177="",0,MAX(0,$AP177-$AC177))</f>
        <v/>
      </c>
      <c r="AR177">
        <f>IF($C177="",0,MAX(0,$AQ177-$AD177))</f>
        <v/>
      </c>
      <c r="AS177">
        <f>IF($C177="",0,MAX(0,$AR177-$AE177))</f>
        <v/>
      </c>
      <c r="AT177">
        <f>IF($C177="",0,MAX(0,$AS177-$AF177))</f>
        <v/>
      </c>
      <c r="AU177">
        <f>IF($C177="",0,MAX(0,$AT177-$AG177))</f>
        <v/>
      </c>
      <c r="AV177">
        <f>IF($C177="",0,MAX(0,$AU177-$AH177))</f>
        <v/>
      </c>
      <c r="AW177">
        <f>IF($C177="",0,MAX(0,$AV177-$AI177))</f>
        <v/>
      </c>
      <c r="AX177">
        <f>IF($C177="",0,MAX(0,MAX(0,N($L177))+IF($P177=V$3,$R177,0)+IF($S177=V$3,$U177,0)-$V177))</f>
        <v/>
      </c>
      <c r="AY177">
        <f>IF($C177="",0,MAX(0,$AX177+IF($P177=W$3,$R177,0)+IF($S177=W$3,$U177,0)-$W177))</f>
        <v/>
      </c>
      <c r="AZ177">
        <f>IF($C177="",0,MAX(0,$AY177+IF($P177=X$3,$R177,0)+IF($S177=X$3,$U177,0)-$X177))</f>
        <v/>
      </c>
      <c r="BA177">
        <f>IF($C177="",0,MAX(0,$AZ177+IF($P177=Y$3,$R177,0)+IF($S177=Y$3,$U177,0)-$Y177))</f>
        <v/>
      </c>
      <c r="BB177">
        <f>IF($C177="",0,MAX(0,$BA177+IF($P177=Z$3,$R177,0)+IF($S177=Z$3,$U177,0)-$Z177))</f>
        <v/>
      </c>
      <c r="BC177">
        <f>IF($C177="",0,MAX(0,$BB177+IF($P177=AA$3,$R177,0)+IF($S177=AA$3,$U177,0)-$AA177))</f>
        <v/>
      </c>
      <c r="BD177">
        <f>IF($C177="",0,MAX(0,$BC177+IF($P177=AB$3,$R177,0)+IF($S177=AB$3,$U177,0)-$AB177))</f>
        <v/>
      </c>
      <c r="BE177">
        <f>IF($C177="",0,MAX(0,$BD177+IF($P177=AC$3,$R177,0)+IF($S177=AC$3,$U177,0)-$AC177))</f>
        <v/>
      </c>
      <c r="BF177">
        <f>IF($C177="",0,MAX(0,$BE177+IF($P177=AD$3,$R177,0)+IF($S177=AD$3,$U177,0)-$AD177))</f>
        <v/>
      </c>
      <c r="BG177">
        <f>IF($C177="",0,MAX(0,$BF177+IF($P177=AE$3,$R177,0)+IF($S177=AE$3,$U177,0)-$AE177))</f>
        <v/>
      </c>
      <c r="BH177">
        <f>IF($C177="",0,MAX(0,$BG177+IF($P177=AF$3,$R177,0)+IF($S177=AF$3,$U177,0)-$AF177))</f>
        <v/>
      </c>
      <c r="BI177">
        <f>IF($C177="",0,MAX(0,$BH177+IF($P177=AG$3,$R177,0)+IF($S177=AG$3,$U177,0)-$AG177))</f>
        <v/>
      </c>
      <c r="BJ177">
        <f>IF($C177="",0,MAX(0,$BI177+IF($P177=AH$3,$R177,0)+IF($S177=AH$3,$U177,0)-$AH177))</f>
        <v/>
      </c>
      <c r="BK177">
        <f>IF($C177="",0,MAX(0,$BJ177+IF($P177=AI$3,$R177,0)+IF($S177=AI$3,$U177,0)-$AI177))</f>
        <v/>
      </c>
      <c r="BL177">
        <f>IF($C177="",99,IF(AND($AX177&lt;1,V$3&gt;=MAX(N($P177),N($S177))),0,99))</f>
        <v/>
      </c>
      <c r="BM177">
        <f>IF($C177="",99,IF(AND($AY177&lt;1,W$3&gt;=MAX(N($P177),N($S177))),1,99))</f>
        <v/>
      </c>
      <c r="BN177">
        <f>IF($C177="",99,IF(AND($AZ177&lt;1,X$3&gt;=MAX(N($P177),N($S177))),2,99))</f>
        <v/>
      </c>
      <c r="BO177">
        <f>IF($C177="",99,IF(AND($BA177&lt;1,Y$3&gt;=MAX(N($P177),N($S177))),3,99))</f>
        <v/>
      </c>
      <c r="BP177">
        <f>IF($C177="",99,IF(AND($BB177&lt;1,Z$3&gt;=MAX(N($P177),N($S177))),4,99))</f>
        <v/>
      </c>
      <c r="BQ177">
        <f>IF($C177="",99,IF(AND($BC177&lt;1,AA$3&gt;=MAX(N($P177),N($S177))),5,99))</f>
        <v/>
      </c>
      <c r="BR177">
        <f>IF($C177="",99,IF(AND($BD177&lt;1,AB$3&gt;=MAX(N($P177),N($S177))),6,99))</f>
        <v/>
      </c>
      <c r="BS177">
        <f>IF($C177="",99,IF(AND($BE177&lt;1,AC$3&gt;=MAX(N($P177),N($S177))),7,99))</f>
        <v/>
      </c>
      <c r="BT177">
        <f>IF($C177="",99,IF(AND($BF177&lt;1,AD$3&gt;=MAX(N($P177),N($S177))),8,99))</f>
        <v/>
      </c>
      <c r="BU177">
        <f>IF($C177="",99,IF(AND($BG177&lt;1,AE$3&gt;=MAX(N($P177),N($S177))),9,99))</f>
        <v/>
      </c>
      <c r="BV177">
        <f>IF($C177="",99,IF(AND($BH177&lt;1,AF$3&gt;=MAX(N($P177),N($S177))),10,99))</f>
        <v/>
      </c>
      <c r="BW177">
        <f>IF($C177="",99,IF(AND($BI177&lt;1,AG$3&gt;=MAX(N($P177),N($S177))),11,99))</f>
        <v/>
      </c>
      <c r="BX177">
        <f>IF($C177="",99,IF(AND($BJ177&lt;1,AH$3&gt;=MAX(N($P177),N($S177))),12,99))</f>
        <v/>
      </c>
      <c r="BY177">
        <f>IF($C177="",99,IF(AND($BK177&lt;1,AI$3&gt;=MAX(N($P177),N($S177))),13,99))</f>
        <v/>
      </c>
      <c r="BZ177">
        <f>IF(OR($C177="",$M177=""),"",COUNTIF($AJ177:$AW177,"&gt;=1"))</f>
        <v/>
      </c>
      <c r="CA177" s="90">
        <f>IF($BZ177="","",IF($BZ177&gt;=14,"",'設定'!$C$6+$BZ177))</f>
        <v/>
      </c>
      <c r="CB177">
        <f>IF(OR($C177="",$M177=""),"",MIN($BL177:$BY177))</f>
        <v/>
      </c>
      <c r="CC177" s="90">
        <f>IF($CB177="","",IF($CB177&gt;=99,"",'設定'!$C$6+$CB177))</f>
        <v/>
      </c>
      <c r="CD177">
        <f>IF(OR($C177="",$M177=""),"",AVERAGE($V177:$AI177))</f>
        <v/>
      </c>
      <c r="CE177">
        <f>IF($C177="","",IFERROR(IF(MATCH(IF(ISNUMBER($P177),$P177,'設定'!$C$6+N('設定'!$C$7)),$V$3:$AI$3,0)=1,MAX(0,N($L177)),INDEX($AJ177:$AW177,MATCH(IF(ISNUMBER($P177),$P177,'設定'!$C$6+N('設定'!$C$7)),$V$3:$AI$3,0)-1)),""))</f>
        <v/>
      </c>
      <c r="CF177">
        <f>IF(OR($C177="",$O177="",$CE177=""),"",IF($O177-$CE177&lt;=0,0,ROUNDUP(($O177-$CE177)/$G177,0)))</f>
        <v/>
      </c>
      <c r="CG177">
        <f>IF(OR($C177="",$CF177="",NOT(ISNUMBER($Q177))),0,MAX(0,$Q177-$CF177))</f>
        <v/>
      </c>
      <c r="CH177">
        <f>IF(OR($C177="",$O177="",$U177=0),0,IFERROR(ROUNDUP(MAX(0,IF(MATCH($S177,$V$3:$AI$3,0)=1,MAX(0,N($L177)),INDEX($AX177:$BK177,MATCH($S177,$V$3:$AI$3,0)-1))+$U177-$O177)/$G177,0),0))</f>
        <v/>
      </c>
      <c r="CI177">
        <f>IF($C177="","",IF(AND($P177="",$Q177=""),"",IF($P177="","⚠ 入庫日を ▼ から選んでください",IF(NOT(ISNUMBER($P177)),"⚠ 入庫日は ▼ から選んでください",IF($P177&lt;N('設定'!$C$6),"⚠ 入庫日が過去です（もう在庫に入っています）→ 消してください",IF($P177&gt;N('設定'!$C$6)+13,"⚠ 入庫日が14日より先です",IF(N($Q177)&lt;=0,"⚠ 入庫数を入れてください",IF($CG177&gt;0,"⚠ 目安より "&amp;$CG177&amp;" 多い（定数を超える）→ 減らす",""))))))))</f>
        <v/>
      </c>
      <c r="CJ177">
        <f>IF($C177="","",IF(AND($S177="",$T177=""),"",IF($S177="","⚠ 2便目：入庫日を ▼ から選んでください",IF(NOT(ISNUMBER($S177)),"⚠ 2便目：入庫日は ▼ から選んでください",IF($S177&lt;N('設定'!$C$6),"⚠ 2便目：入庫日が過去です（もう在庫に入っています）→ 消してください",IF($S177&gt;N('設定'!$C$6)+13,"⚠ 2便目：入庫日が14日より先です",IF(N($T177)&lt;=0,"⚠ 2便目：入庫数を入れてください",IF($CH177&gt;0,"⚠ 2便目：定数を "&amp;$CH177&amp;" ケース超える → 減らす",""))))))))</f>
        <v/>
      </c>
      <c r="CK177">
        <f>IF(AND($CI177="",N($Q177)&gt;0,ISNUMBER($P177)),1,0)</f>
        <v/>
      </c>
      <c r="CL177">
        <f>IF(AND($CJ177="",N($T177)&gt;0,ISNUMBER($S177)),1,0)</f>
        <v/>
      </c>
      <c r="CM177">
        <f>IF(OR($CK177=1,$CL177=1),1,0)</f>
        <v/>
      </c>
      <c r="CN177">
        <f>IF($C177="",0,($CK177*$R177+$CL177*$U177)*N($H177))</f>
        <v/>
      </c>
      <c r="CO177">
        <f>IF($C177="","",IF($CC177="","入庫後は 14日以上もつ",IF($CC177-N('設定'!$C$7)&lt;='設定'!$C$6,"入庫後も "&amp;TEXT($CC177,"m/d")&amp;"("&amp;CHOOSE(WEEKDAY($CC177),"日","月","火","水","木","金","土")&amp;")"&amp;" に切れる　もう1便を至急発注","入庫後も "&amp;TEXT($CC177,"m/d")&amp;"("&amp;CHOOSE(WEEKDAY($CC177),"日","月","火","水","木","金","土")&amp;")"&amp;" に切れる　"&amp;TEXT($CC177-N('設定'!$C$7),"m/d")&amp;"("&amp;CHOOSE(WEEKDAY($CC177-N('設定'!$C$7)),"日","月","火","水","木","金","土")&amp;")"&amp;" までに次を発注")))</f>
        <v/>
      </c>
      <c r="CP177">
        <f>IF($C177="","",IF('設定'!$C$6="","？ ①在庫を貼る に今日のCSVが貼られていない",IF($CS177=1,"－ 今日のCSVに無い（終売？）",IF($L177&lt;0,"● 在庫がマイナス　数えて「数えた在庫」に入れる",IF($L177=0,"● 在庫なし　至急発注",IF($M177="","？ 減り数が未設定（商品マスタ）",IF($B$3=0,"？ 動員が未入力（動員を入れる）",IF($CA177="","○ 14日以上もつ",IF($BZ177&lt;N('設定'!$C$7),"● "&amp;TEXT($CA177,"m/d")&amp;"("&amp;CHOOSE(WEEKDAY($CA177),"日","月","火","水","木","金","土")&amp;")"&amp;" に切れる　至急発注",IF($BZ177=N('設定'!$C$7),"● "&amp;TEXT($CA177,"m/d")&amp;"("&amp;CHOOSE(WEEKDAY($CA177),"日","月","火","水","木","金","土")&amp;")"&amp;" に切れる　今日発注","△ "&amp;TEXT($CA177,"m/d")&amp;"("&amp;CHOOSE(WEEKDAY($CA177),"日","月","火","水","木","金","土")&amp;")"&amp;" に切れる　"&amp;TEXT($CA177-N('設定'!$C$7),"m/d")&amp;"("&amp;CHOOSE(WEEKDAY($CA177-N('設定'!$C$7)),"日","月","火","水","木","金","土")&amp;")"&amp;" までに発注"))))))))))</f>
        <v/>
      </c>
      <c r="CQ177">
        <f>IF($C177="","",IF(AND($P177="",$Q177="",$S177="",$T177=""),"",IF(AND($P177="",$Q177=""),"⚠ 先に1便目（左の入庫日・入庫数）に入れてください",IF($CI177&lt;&gt;"",$CI177,IF($CJ177&lt;&gt;"",$CJ177,IF($M177="","？ 減り数が未設定（発注書には載ります）",IF($B$3=0,"？ 動員が未入力（発注書には載ります）",IF(AND($CA177&lt;&gt;"",$P177&gt;$CA177),IF($P177&gt;'設定'!$C$6+N('設定'!$C$7),"● "&amp;TEXT($P177,"m/d")&amp;"("&amp;CHOOSE(WEEKDAY($P177),"日","月","火","水","木","金","土")&amp;")"&amp;" の入庫では間に合わない（"&amp;TEXT($CA177,"m/d")&amp;"("&amp;CHOOSE(WEEKDAY($CA177),"日","月","火","水","木","金","土")&amp;")"&amp;" に切れる）　入庫日を早める","△ 欠品 "&amp;TEXT($CA177,"m/d")&amp;"("&amp;CHOOSE(WEEKDAY($CA177),"日","月","火","水","木","金","土")&amp;")"&amp;"〜"&amp;TEXT($P177-1,"m/d")&amp;"("&amp;CHOOSE(WEEKDAY($P177-1),"日","月","火","水","木","金","土")&amp;")"&amp;"　"&amp;$CO177),IF($CC177="","○ "&amp;TEXT($P177,"m/d")&amp;"("&amp;CHOOSE(WEEKDAY($P177),"日","月","火","水","木","金","土")&amp;")"&amp;" 入庫で 14日以上もつ",IF($CC177-N('設定'!$C$7)&lt;='設定'!$C$6,"● 入庫しても "&amp;TEXT($CC177,"m/d")&amp;"("&amp;CHOOSE(WEEKDAY($CC177),"日","月","火","水","木","金","土")&amp;")"&amp;" に切れる　もう1便を至急発注（2便目に入れる）","△ 入庫しても "&amp;TEXT($CC177,"m/d")&amp;"("&amp;CHOOSE(WEEKDAY($CC177),"日","月","火","水","木","金","土")&amp;")"&amp;" に切れる　"&amp;TEXT($CC177-N('設定'!$C$7),"m/d")&amp;"("&amp;CHOOSE(WEEKDAY($CC177-N('設定'!$C$7)),"日","月","火","水","木","金","土")&amp;")"&amp;" までに次を発注（2便目に入れる）"))))))))))</f>
        <v/>
      </c>
      <c r="CR177">
        <f>IF($C177="","",IF($G177&gt;1,"ｹｰｽ("&amp;$G177&amp;"入)","個"))</f>
        <v/>
      </c>
      <c r="CS177">
        <f>IF($C177="",0,IF(COUNTIFS('①在庫を貼る'!$V$6:$V$10005,'設定'!$C$4,'①在庫を貼る'!$W$6:$W$10005,$C177)=0,1,0))</f>
        <v/>
      </c>
      <c r="CT177">
        <f>IF(AND($CK177=1,OR('③発注書'!$C$4="すべて",'③発注書'!$C$4="",$F177='③発注書'!$C$4)),N($CT176)+1,N($CT176))</f>
        <v/>
      </c>
      <c r="CU177">
        <f>IF(AND($CL177=1,OR('③発注書'!$C$4="すべて",'③発注書'!$C$4="",$F177='③発注書'!$C$4)),N($CU176)+1,N($CU176))</f>
        <v/>
      </c>
      <c r="CV177">
        <f>IF($C177="",0,IF(COUNTIFS('①在庫を貼る'!$V$6:$V$10005,'設定'!$C$4,'①在庫を貼る'!$W$6:$W$10005,$C177)&gt;0,1,0))</f>
        <v/>
      </c>
      <c r="CW177">
        <f>IF($C177="",0,IF(COUNTIFS('月1回_1ヶ月前の在庫'!$V$6:$V$10005,'設定'!$C$4,'月1回_1ヶ月前の在庫'!$W$6:$W$10005,$C177)&gt;0,1,0))</f>
        <v/>
      </c>
      <c r="CX177">
        <f>IF($C177="",0,IF(COUNTIFS('月1回_2ヶ月前の在庫'!$V$6:$V$10005,'設定'!$C$4,'月1回_2ヶ月前の在庫'!$W$6:$W$10005,$C177)&gt;0,1,0))</f>
        <v/>
      </c>
      <c r="CY177">
        <f>IF(OR($C177="",'設定'!$C$12=""),"",IF('設定'!$C$13="",IF(AND($CV177=1,$CW177=0),"新商品（今月から）",IF(AND($CV177=0,$CW177=1),"終売（今月から）","")),IF(AND($CV177=1,$CW177=0,$CX177=0),"新商品（今月から）",IF(AND($CV177=1,$CW177=1,$CX177=0),"新商品（先月から）",IF(AND($CV177=0,$CW177=1,$CX177=1),"終売（今月から）",IF(AND($CV177=0,$CW177=0,$CX177=1),"終売（先月から）",IF(AND($CV177=1,$CW177=0,$CX177=1),"復活（先月は無し）","")))))))</f>
        <v/>
      </c>
    </row>
    <row r="178">
      <c r="B178">
        <f>IF(173&lt;='設定'!$C$11,173,"")</f>
        <v/>
      </c>
      <c r="C178">
        <f>IF($B178="","",IF($B178&lt;='設定'!$C$20,INDEX('商品マスタ'!$B$6:$B$1005,MATCH($B178,'商品マスタ'!$M$6:$M$1005,0)),IF($B178&lt;='設定'!$C$20+'設定'!$C$17,INDEX('①在庫を貼る'!$W$6:$W$10005,MATCH($B178-'設定'!$C$20,'①在庫を貼る'!$U$6:$U$10005,0)),IF($B178&lt;='設定'!$C$20+'設定'!$C$17+'設定'!$C$18,INDEX('月1回_1ヶ月前の在庫'!$W$6:$W$10005,MATCH($B178-'設定'!$C$20-'設定'!$C$17,'月1回_1ヶ月前の在庫'!$U$6:$U$10005,0)),INDEX('月1回_2ヶ月前の在庫'!$W$6:$W$10005,MATCH($B178-'設定'!$C$20-'設定'!$C$17-'設定'!$C$18,'月1回_2ヶ月前の在庫'!$U$6:$U$10005,0))))))</f>
        <v/>
      </c>
      <c r="D178">
        <f>IF($C178="","",IFERROR(IF(INDEX('商品マスタ'!$C$6:$C$1005,MATCH($C178,'商品マスタ'!$B$6:$B$1005,0))="",IFERROR(INDEX('①在庫を貼る'!$J$6:$J$10005,MATCH($C178,'①在庫を貼る'!$W$6:$W$10005,0)),IFERROR(INDEX('月1回_1ヶ月前の在庫'!$J$6:$J$10005,MATCH($C178,'月1回_1ヶ月前の在庫'!$W$6:$W$10005,0)),IFERROR(INDEX('月1回_2ヶ月前の在庫'!$J$6:$J$10005,MATCH($C178,'月1回_2ヶ月前の在庫'!$W$6:$W$10005,0)),""))),INDEX('商品マスタ'!$C$6:$C$1005,MATCH($C178,'商品マスタ'!$B$6:$B$1005,0))),IFERROR(INDEX('①在庫を貼る'!$J$6:$J$10005,MATCH($C178,'①在庫を貼る'!$W$6:$W$10005,0)),IFERROR(INDEX('月1回_1ヶ月前の在庫'!$J$6:$J$10005,MATCH($C178,'月1回_1ヶ月前の在庫'!$W$6:$W$10005,0)),IFERROR(INDEX('月1回_2ヶ月前の在庫'!$J$6:$J$10005,MATCH($C178,'月1回_2ヶ月前の在庫'!$W$6:$W$10005,0)),"")))))</f>
        <v/>
      </c>
      <c r="E178">
        <f>IF($C178="","",IFERROR(IF(INDEX('商品マスタ'!$D$6:$D$1005,MATCH($C178,'商品マスタ'!$B$6:$B$1005,0))="",IFERROR(INDEX('①在庫を貼る'!$H$6:$H$10005,MATCH($C178,'①在庫を貼る'!$W$6:$W$10005,0)),IFERROR(INDEX('月1回_1ヶ月前の在庫'!$H$6:$H$10005,MATCH($C178,'月1回_1ヶ月前の在庫'!$W$6:$W$10005,0)),IFERROR(INDEX('月1回_2ヶ月前の在庫'!$H$6:$H$10005,MATCH($C178,'月1回_2ヶ月前の在庫'!$W$6:$W$10005,0)),""))),INDEX('商品マスタ'!$D$6:$D$1005,MATCH($C178,'商品マスタ'!$B$6:$B$1005,0))),IFERROR(INDEX('①在庫を貼る'!$H$6:$H$10005,MATCH($C178,'①在庫を貼る'!$W$6:$W$10005,0)),IFERROR(INDEX('月1回_1ヶ月前の在庫'!$H$6:$H$10005,MATCH($C178,'月1回_1ヶ月前の在庫'!$W$6:$W$10005,0)),IFERROR(INDEX('月1回_2ヶ月前の在庫'!$H$6:$H$10005,MATCH($C178,'月1回_2ヶ月前の在庫'!$W$6:$W$10005,0)),"")))))</f>
        <v/>
      </c>
      <c r="F178">
        <f>IF($C178="","",IFERROR(IF(INDEX('商品マスタ'!$E$6:$E$1005,MATCH($C178,'商品マスタ'!$B$6:$B$1005,0))="",IFERROR(INDEX('①在庫を貼る'!$E$6:$E$10005,MATCH($C178,'①在庫を貼る'!$W$6:$W$10005,0)),IFERROR(INDEX('月1回_1ヶ月前の在庫'!$E$6:$E$10005,MATCH($C178,'月1回_1ヶ月前の在庫'!$W$6:$W$10005,0)),IFERROR(INDEX('月1回_2ヶ月前の在庫'!$E$6:$E$10005,MATCH($C178,'月1回_2ヶ月前の在庫'!$W$6:$W$10005,0)),""))),INDEX('商品マスタ'!$E$6:$E$1005,MATCH($C178,'商品マスタ'!$B$6:$B$1005,0))),IFERROR(INDEX('①在庫を貼る'!$E$6:$E$10005,MATCH($C178,'①在庫を貼る'!$W$6:$W$10005,0)),IFERROR(INDEX('月1回_1ヶ月前の在庫'!$E$6:$E$10005,MATCH($C178,'月1回_1ヶ月前の在庫'!$W$6:$W$10005,0)),IFERROR(INDEX('月1回_2ヶ月前の在庫'!$E$6:$E$10005,MATCH($C178,'月1回_2ヶ月前の在庫'!$W$6:$W$10005,0)),"")))))</f>
        <v/>
      </c>
      <c r="G178">
        <f>IF($C178="","",MAX(1,N(IFERROR(IF(INDEX('商品マスタ'!$F$6:$F$1005,MATCH($C178,'商品マスタ'!$B$6:$B$1005,0))="",IF(COUNTIFS('①在庫を貼る'!$V$6:$V$10005,'設定'!$C$4,'①在庫を貼る'!$W$6:$W$10005,$C178)&gt;0,SUMIFS('①在庫を貼る'!$K$6:$K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K$6:$K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K$6:$K$10005,'月1回_2ヶ月前の在庫'!$V$6:$V$10005,'設定'!$C$4,'月1回_2ヶ月前の在庫'!$W$6:$W$10005,$C178)/COUNTIFS('月1回_2ヶ月前の在庫'!$V$6:$V$10005,'設定'!$C$4,'月1回_2ヶ月前の在庫'!$W$6:$W$10005,$C178),0))),INDEX('商品マスタ'!$F$6:$F$1005,MATCH($C178,'商品マスタ'!$B$6:$B$1005,0))),IF(COUNTIFS('①在庫を貼る'!$V$6:$V$10005,'設定'!$C$4,'①在庫を貼る'!$W$6:$W$10005,$C178)&gt;0,SUMIFS('①在庫を貼る'!$K$6:$K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K$6:$K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K$6:$K$10005,'月1回_2ヶ月前の在庫'!$V$6:$V$10005,'設定'!$C$4,'月1回_2ヶ月前の在庫'!$W$6:$W$10005,$C178)/COUNTIFS('月1回_2ヶ月前の在庫'!$V$6:$V$10005,'設定'!$C$4,'月1回_2ヶ月前の在庫'!$W$6:$W$10005,$C178),0)))))))</f>
        <v/>
      </c>
      <c r="H178">
        <f>IF($C178="","",N(IFERROR(IF(INDEX('商品マスタ'!$G$6:$G$1005,MATCH($C178,'商品マスタ'!$B$6:$B$1005,0))="",IF(COUNTIFS('①在庫を貼る'!$V$6:$V$10005,'設定'!$C$4,'①在庫を貼る'!$W$6:$W$10005,$C178)&gt;0,SUMIFS('①在庫を貼る'!$Q$6:$Q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Q$6:$Q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Q$6:$Q$10005,'月1回_2ヶ月前の在庫'!$V$6:$V$10005,'設定'!$C$4,'月1回_2ヶ月前の在庫'!$W$6:$W$10005,$C178)/COUNTIFS('月1回_2ヶ月前の在庫'!$V$6:$V$10005,'設定'!$C$4,'月1回_2ヶ月前の在庫'!$W$6:$W$10005,$C178),0))),INDEX('商品マスタ'!$G$6:$G$1005,MATCH($C178,'商品マスタ'!$B$6:$B$1005,0))),IF(COUNTIFS('①在庫を貼る'!$V$6:$V$10005,'設定'!$C$4,'①在庫を貼る'!$W$6:$W$10005,$C178)&gt;0,SUMIFS('①在庫を貼る'!$Q$6:$Q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Q$6:$Q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Q$6:$Q$10005,'月1回_2ヶ月前の在庫'!$V$6:$V$10005,'設定'!$C$4,'月1回_2ヶ月前の在庫'!$W$6:$W$10005,$C178)/COUNTIFS('月1回_2ヶ月前の在庫'!$V$6:$V$10005,'設定'!$C$4,'月1回_2ヶ月前の在庫'!$W$6:$W$10005,$C178),0))))))</f>
        <v/>
      </c>
      <c r="I178">
        <f>IF($C178="","",IF(COUNTIFS('①在庫を貼る'!$V$6:$V$10005,'設定'!$C$4,'①在庫を貼る'!$W$6:$W$10005,$C178)=0,"",SUMIFS('①在庫を貼る'!$N$6:$N$10005,'①在庫を貼る'!$V$6:$V$10005,'設定'!$C$4,'①在庫を貼る'!$W$6:$W$10005,$C178)))</f>
        <v/>
      </c>
      <c r="J178">
        <f>IF($C178="","",IF('②発注する'!$AD182="","",'②発注する'!$AD182))</f>
        <v/>
      </c>
      <c r="K178" s="90">
        <f>IF($C178="","",IF('②発注する'!$AE182="","",'②発注する'!$AE182))</f>
        <v/>
      </c>
      <c r="L178">
        <f>IF($C178="","",IF(AND(ISNUMBER($J178),ISNUMBER($K178),$K178&gt;='設定'!$C$6),$J178,N($I178)))</f>
        <v/>
      </c>
      <c r="M178">
        <f>IF($C178="","",IFERROR(IF(N(INDEX('商品マスタ'!$J$6:$J$1005,MATCH($C178,'商品マスタ'!$B$6:$B$1005,0)))&gt;0,INDEX('商品マスタ'!$J$6:$J$1005,MATCH($C178,'商品マスタ'!$B$6:$B$1005,0)),""),""))</f>
        <v/>
      </c>
      <c r="N178">
        <f>IF($C178="","",IFERROR(IF(N(INDEX('商品マスタ'!$H$6:$H$1005,MATCH($C178,'商品マスタ'!$B$6:$B$1005,0)))&gt;0,INDEX('商品マスタ'!$H$6:$H$1005,MATCH($C178,'商品マスタ'!$B$6:$B$1005,0)),""),""))</f>
        <v/>
      </c>
      <c r="O178">
        <f>IF($C178="","",IF($N178&lt;&gt;"",$N178*$G178,IF(N(IF(COUNTIFS('①在庫を貼る'!$V$6:$V$10005,'設定'!$C$4,'①在庫を貼る'!$W$6:$W$10005,$C178)&gt;0,SUMIFS('①在庫を貼る'!$O$6:$O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O$6:$O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O$6:$O$10005,'月1回_2ヶ月前の在庫'!$V$6:$V$10005,'設定'!$C$4,'月1回_2ヶ月前の在庫'!$W$6:$W$10005,$C178)/COUNTIFS('月1回_2ヶ月前の在庫'!$V$6:$V$10005,'設定'!$C$4,'月1回_2ヶ月前の在庫'!$W$6:$W$10005,$C178),0))))&gt;0,N(IF(COUNTIFS('①在庫を貼る'!$V$6:$V$10005,'設定'!$C$4,'①在庫を貼る'!$W$6:$W$10005,$C178)&gt;0,SUMIFS('①在庫を貼る'!$O$6:$O$10005,'①在庫を貼る'!$V$6:$V$10005,'設定'!$C$4,'①在庫を貼る'!$W$6:$W$10005,$C178)/COUNTIFS('①在庫を貼る'!$V$6:$V$10005,'設定'!$C$4,'①在庫を貼る'!$W$6:$W$10005,$C178),IF(COUNTIFS('月1回_1ヶ月前の在庫'!$V$6:$V$10005,'設定'!$C$4,'月1回_1ヶ月前の在庫'!$W$6:$W$10005,$C178)&gt;0,SUMIFS('月1回_1ヶ月前の在庫'!$O$6:$O$10005,'月1回_1ヶ月前の在庫'!$V$6:$V$10005,'設定'!$C$4,'月1回_1ヶ月前の在庫'!$W$6:$W$10005,$C178)/COUNTIFS('月1回_1ヶ月前の在庫'!$V$6:$V$10005,'設定'!$C$4,'月1回_1ヶ月前の在庫'!$W$6:$W$10005,$C178),IF(COUNTIFS('月1回_2ヶ月前の在庫'!$V$6:$V$10005,'設定'!$C$4,'月1回_2ヶ月前の在庫'!$W$6:$W$10005,$C178)&gt;0,SUMIFS('月1回_2ヶ月前の在庫'!$O$6:$O$10005,'月1回_2ヶ月前の在庫'!$V$6:$V$10005,'設定'!$C$4,'月1回_2ヶ月前の在庫'!$W$6:$W$10005,$C178)/COUNTIFS('月1回_2ヶ月前の在庫'!$V$6:$V$10005,'設定'!$C$4,'月1回_2ヶ月前の在庫'!$W$6:$W$10005,$C178),0)))),"")))</f>
        <v/>
      </c>
      <c r="P178" s="90">
        <f>IF($C178="","",IF('②発注する'!$I182="","",'②発注する'!$I182))</f>
        <v/>
      </c>
      <c r="Q178">
        <f>IF($C178="","",IF('②発注する'!$J182="","",'②発注する'!$J182))</f>
        <v/>
      </c>
      <c r="R178">
        <f>IF($C178="",0,IF(AND(ISNUMBER($P178),ISNUMBER($Q178)),MAX(0,$Q178)*$G178,0))</f>
        <v/>
      </c>
      <c r="S178" s="90">
        <f>IF($C178="","",IF('②発注する'!$M182="","",'②発注する'!$M182))</f>
        <v/>
      </c>
      <c r="T178">
        <f>IF($C178="","",IF('②発注する'!$N182="","",'②発注する'!$N182))</f>
        <v/>
      </c>
      <c r="U178">
        <f>IF($C178="",0,IF(AND(ISNUMBER($S178),ISNUMBER($T178)),MAX(0,$T178)*$G178,0))</f>
        <v/>
      </c>
      <c r="V178">
        <f>IF($C178="",0,IF($M178="",0,MAX(0,$M178)*MAX(0,V$4)/100))</f>
        <v/>
      </c>
      <c r="W178">
        <f>IF($C178="",0,IF($M178="",0,MAX(0,$M178)*MAX(0,W$4)/100))</f>
        <v/>
      </c>
      <c r="X178">
        <f>IF($C178="",0,IF($M178="",0,MAX(0,$M178)*MAX(0,X$4)/100))</f>
        <v/>
      </c>
      <c r="Y178">
        <f>IF($C178="",0,IF($M178="",0,MAX(0,$M178)*MAX(0,Y$4)/100))</f>
        <v/>
      </c>
      <c r="Z178">
        <f>IF($C178="",0,IF($M178="",0,MAX(0,$M178)*MAX(0,Z$4)/100))</f>
        <v/>
      </c>
      <c r="AA178">
        <f>IF($C178="",0,IF($M178="",0,MAX(0,$M178)*MAX(0,AA$4)/100))</f>
        <v/>
      </c>
      <c r="AB178">
        <f>IF($C178="",0,IF($M178="",0,MAX(0,$M178)*MAX(0,AB$4)/100))</f>
        <v/>
      </c>
      <c r="AC178">
        <f>IF($C178="",0,IF($M178="",0,MAX(0,$M178)*MAX(0,AC$4)/100))</f>
        <v/>
      </c>
      <c r="AD178">
        <f>IF($C178="",0,IF($M178="",0,MAX(0,$M178)*MAX(0,AD$4)/100))</f>
        <v/>
      </c>
      <c r="AE178">
        <f>IF($C178="",0,IF($M178="",0,MAX(0,$M178)*MAX(0,AE$4)/100))</f>
        <v/>
      </c>
      <c r="AF178">
        <f>IF($C178="",0,IF($M178="",0,MAX(0,$M178)*MAX(0,AF$4)/100))</f>
        <v/>
      </c>
      <c r="AG178">
        <f>IF($C178="",0,IF($M178="",0,MAX(0,$M178)*MAX(0,AG$4)/100))</f>
        <v/>
      </c>
      <c r="AH178">
        <f>IF($C178="",0,IF($M178="",0,MAX(0,$M178)*MAX(0,AH$4)/100))</f>
        <v/>
      </c>
      <c r="AI178">
        <f>IF($C178="",0,IF($M178="",0,MAX(0,$M178)*MAX(0,AI$4)/100))</f>
        <v/>
      </c>
      <c r="AJ178">
        <f>IF($C178="",0,MAX(0,MAX(0,N($L178))-$V178))</f>
        <v/>
      </c>
      <c r="AK178">
        <f>IF($C178="",0,MAX(0,$AJ178-$W178))</f>
        <v/>
      </c>
      <c r="AL178">
        <f>IF($C178="",0,MAX(0,$AK178-$X178))</f>
        <v/>
      </c>
      <c r="AM178">
        <f>IF($C178="",0,MAX(0,$AL178-$Y178))</f>
        <v/>
      </c>
      <c r="AN178">
        <f>IF($C178="",0,MAX(0,$AM178-$Z178))</f>
        <v/>
      </c>
      <c r="AO178">
        <f>IF($C178="",0,MAX(0,$AN178-$AA178))</f>
        <v/>
      </c>
      <c r="AP178">
        <f>IF($C178="",0,MAX(0,$AO178-$AB178))</f>
        <v/>
      </c>
      <c r="AQ178">
        <f>IF($C178="",0,MAX(0,$AP178-$AC178))</f>
        <v/>
      </c>
      <c r="AR178">
        <f>IF($C178="",0,MAX(0,$AQ178-$AD178))</f>
        <v/>
      </c>
      <c r="AS178">
        <f>IF($C178="",0,MAX(0,$AR178-$AE178))</f>
        <v/>
      </c>
      <c r="AT178">
        <f>IF($C178="",0,MAX(0,$AS178-$AF178))</f>
        <v/>
      </c>
      <c r="AU178">
        <f>IF($C178="",0,MAX(0,$AT178-$AG178))</f>
        <v/>
      </c>
      <c r="AV178">
        <f>IF($C178="",0,MAX(0,$AU178-$AH178))</f>
        <v/>
      </c>
      <c r="AW178">
        <f>IF($C178="",0,MAX(0,$AV178-$AI178))</f>
        <v/>
      </c>
      <c r="AX178">
        <f>IF($C178="",0,MAX(0,MAX(0,N($L178))+IF($P178=V$3,$R178,0)+IF($S178=V$3,$U178,0)-$V178))</f>
        <v/>
      </c>
      <c r="AY178">
        <f>IF($C178="",0,MAX(0,$AX178+IF($P178=W$3,$R178,0)+IF($S178=W$3,$U178,0)-$W178))</f>
        <v/>
      </c>
      <c r="AZ178">
        <f>IF($C178="",0,MAX(0,$AY178+IF($P178=X$3,$R178,0)+IF($S178=X$3,$U178,0)-$X178))</f>
        <v/>
      </c>
      <c r="BA178">
        <f>IF($C178="",0,MAX(0,$AZ178+IF($P178=Y$3,$R178,0)+IF($S178=Y$3,$U178,0)-$Y178))</f>
        <v/>
      </c>
      <c r="BB178">
        <f>IF($C178="",0,MAX(0,$BA178+IF($P178=Z$3,$R178,0)+IF($S178=Z$3,$U178,0)-$Z178))</f>
        <v/>
      </c>
      <c r="BC178">
        <f>IF($C178="",0,MAX(0,$BB178+IF($P178=AA$3,$R178,0)+IF($S178=AA$3,$U178,0)-$AA178))</f>
        <v/>
      </c>
      <c r="BD178">
        <f>IF($C178="",0,MAX(0,$BC178+IF($P178=AB$3,$R178,0)+IF($S178=AB$3,$U178,0)-$AB178))</f>
        <v/>
      </c>
      <c r="BE178">
        <f>IF($C178="",0,MAX(0,$BD178+IF($P178=AC$3,$R178,0)+IF($S178=AC$3,$U178,0)-$AC178))</f>
        <v/>
      </c>
      <c r="BF178">
        <f>IF($C178="",0,MAX(0,$BE178+IF($P178=AD$3,$R178,0)+IF($S178=AD$3,$U178,0)-$AD178))</f>
        <v/>
      </c>
      <c r="BG178">
        <f>IF($C178="",0,MAX(0,$BF178+IF($P178=AE$3,$R178,0)+IF($S178=AE$3,$U178,0)-$AE178))</f>
        <v/>
      </c>
      <c r="BH178">
        <f>IF($C178="",0,MAX(0,$BG178+IF($P178=AF$3,$R178,0)+IF($S178=AF$3,$U178,0)-$AF178))</f>
        <v/>
      </c>
      <c r="BI178">
        <f>IF($C178="",0,MAX(0,$BH178+IF($P178=AG$3,$R178,0)+IF($S178=AG$3,$U178,0)-$AG178))</f>
        <v/>
      </c>
      <c r="BJ178">
        <f>IF($C178="",0,MAX(0,$BI178+IF($P178=AH$3,$R178,0)+IF($S178=AH$3,$U178,0)-$AH178))</f>
        <v/>
      </c>
      <c r="BK178">
        <f>IF($C178="",0,MAX(0,$BJ178+IF($P178=AI$3,$R178,0)+IF($S178=AI$3,$U178,0)-$AI178))</f>
        <v/>
      </c>
      <c r="BL178">
        <f>IF($C178="",99,IF(AND($AX178&lt;1,V$3&gt;=MAX(N($P178),N($S178))),0,99))</f>
        <v/>
      </c>
      <c r="BM178">
        <f>IF($C178="",99,IF(AND($AY178&lt;1,W$3&gt;=MAX(N($P178),N($S178))),1,99))</f>
        <v/>
      </c>
      <c r="BN178">
        <f>IF($C178="",99,IF(AND($AZ178&lt;1,X$3&gt;=MAX(N($P178),N($S178))),2,99))</f>
        <v/>
      </c>
      <c r="BO178">
        <f>IF($C178="",99,IF(AND($BA178&lt;1,Y$3&gt;=MAX(N($P178),N($S178))),3,99))</f>
        <v/>
      </c>
      <c r="BP178">
        <f>IF($C178="",99,IF(AND($BB178&lt;1,Z$3&gt;=MAX(N($P178),N($S178))),4,99))</f>
        <v/>
      </c>
      <c r="BQ178">
        <f>IF($C178="",99,IF(AND($BC178&lt;1,AA$3&gt;=MAX(N($P178),N($S178))),5,99))</f>
        <v/>
      </c>
      <c r="BR178">
        <f>IF($C178="",99,IF(AND($BD178&lt;1,AB$3&gt;=MAX(N($P178),N($S178))),6,99))</f>
        <v/>
      </c>
      <c r="BS178">
        <f>IF($C178="",99,IF(AND($BE178&lt;1,AC$3&gt;=MAX(N($P178),N($S178))),7,99))</f>
        <v/>
      </c>
      <c r="BT178">
        <f>IF($C178="",99,IF(AND($BF178&lt;1,AD$3&gt;=MAX(N($P178),N($S178))),8,99))</f>
        <v/>
      </c>
      <c r="BU178">
        <f>IF($C178="",99,IF(AND($BG178&lt;1,AE$3&gt;=MAX(N($P178),N($S178))),9,99))</f>
        <v/>
      </c>
      <c r="BV178">
        <f>IF($C178="",99,IF(AND($BH178&lt;1,AF$3&gt;=MAX(N($P178),N($S178))),10,99))</f>
        <v/>
      </c>
      <c r="BW178">
        <f>IF($C178="",99,IF(AND($BI178&lt;1,AG$3&gt;=MAX(N($P178),N($S178))),11,99))</f>
        <v/>
      </c>
      <c r="BX178">
        <f>IF($C178="",99,IF(AND($BJ178&lt;1,AH$3&gt;=MAX(N($P178),N($S178))),12,99))</f>
        <v/>
      </c>
      <c r="BY178">
        <f>IF($C178="",99,IF(AND($BK178&lt;1,AI$3&gt;=MAX(N($P178),N($S178))),13,99))</f>
        <v/>
      </c>
      <c r="BZ178">
        <f>IF(OR($C178="",$M178=""),"",COUNTIF($AJ178:$AW178,"&gt;=1"))</f>
        <v/>
      </c>
      <c r="CA178" s="90">
        <f>IF($BZ178="","",IF($BZ178&gt;=14,"",'設定'!$C$6+$BZ178))</f>
        <v/>
      </c>
      <c r="CB178">
        <f>IF(OR($C178="",$M178=""),"",MIN($BL178:$BY178))</f>
        <v/>
      </c>
      <c r="CC178" s="90">
        <f>IF($CB178="","",IF($CB178&gt;=99,"",'設定'!$C$6+$CB178))</f>
        <v/>
      </c>
      <c r="CD178">
        <f>IF(OR($C178="",$M178=""),"",AVERAGE($V178:$AI178))</f>
        <v/>
      </c>
      <c r="CE178">
        <f>IF($C178="","",IFERROR(IF(MATCH(IF(ISNUMBER($P178),$P178,'設定'!$C$6+N('設定'!$C$7)),$V$3:$AI$3,0)=1,MAX(0,N($L178)),INDEX($AJ178:$AW178,MATCH(IF(ISNUMBER($P178),$P178,'設定'!$C$6+N('設定'!$C$7)),$V$3:$AI$3,0)-1)),""))</f>
        <v/>
      </c>
      <c r="CF178">
        <f>IF(OR($C178="",$O178="",$CE178=""),"",IF($O178-$CE178&lt;=0,0,ROUNDUP(($O178-$CE178)/$G178,0)))</f>
        <v/>
      </c>
      <c r="CG178">
        <f>IF(OR($C178="",$CF178="",NOT(ISNUMBER($Q178))),0,MAX(0,$Q178-$CF178))</f>
        <v/>
      </c>
      <c r="CH178">
        <f>IF(OR($C178="",$O178="",$U178=0),0,IFERROR(ROUNDUP(MAX(0,IF(MATCH($S178,$V$3:$AI$3,0)=1,MAX(0,N($L178)),INDEX($AX178:$BK178,MATCH($S178,$V$3:$AI$3,0)-1))+$U178-$O178)/$G178,0),0))</f>
        <v/>
      </c>
      <c r="CI178">
        <f>IF($C178="","",IF(AND($P178="",$Q178=""),"",IF($P178="","⚠ 入庫日を ▼ から選んでください",IF(NOT(ISNUMBER($P178)),"⚠ 入庫日は ▼ から選んでください",IF($P178&lt;N('設定'!$C$6),"⚠ 入庫日が過去です（もう在庫に入っています）→ 消してください",IF($P178&gt;N('設定'!$C$6)+13,"⚠ 入庫日が14日より先です",IF(N($Q178)&lt;=0,"⚠ 入庫数を入れてください",IF($CG178&gt;0,"⚠ 目安より "&amp;$CG178&amp;" 多い（定数を超える）→ 減らす",""))))))))</f>
        <v/>
      </c>
      <c r="CJ178">
        <f>IF($C178="","",IF(AND($S178="",$T178=""),"",IF($S178="","⚠ 2便目：入庫日を ▼ から選んでください",IF(NOT(ISNUMBER($S178)),"⚠ 2便目：入庫日は ▼ から選んでください",IF($S178&lt;N('設定'!$C$6),"⚠ 2便目：入庫日が過去です（もう在庫に入っています）→ 消してください",IF($S178&gt;N('設定'!$C$6)+13,"⚠ 2便目：入庫日が14日より先です",IF(N($T178)&lt;=0,"⚠ 2便目：入庫数を入れてください",IF($CH178&gt;0,"⚠ 2便目：定数を "&amp;$CH178&amp;" ケース超える → 減らす",""))))))))</f>
        <v/>
      </c>
      <c r="CK178">
        <f>IF(AND($CI178="",N($Q178)&gt;0,ISNUMBER($P178)),1,0)</f>
        <v/>
      </c>
      <c r="CL178">
        <f>IF(AND($CJ178="",N($T178)&gt;0,ISNUMBER($S178)),1,0)</f>
        <v/>
      </c>
      <c r="CM178">
        <f>IF(OR($CK178=1,$CL178=1),1,0)</f>
        <v/>
      </c>
      <c r="CN178">
        <f>IF($C178="",0,($CK178*$R178+$CL178*$U178)*N($H178))</f>
        <v/>
      </c>
      <c r="CO178">
        <f>IF($C178="","",IF($CC178="","入庫後は 14日以上もつ",IF($CC178-N('設定'!$C$7)&lt;='設定'!$C$6,"入庫後も "&amp;TEXT($CC178,"m/d")&amp;"("&amp;CHOOSE(WEEKDAY($CC178),"日","月","火","水","木","金","土")&amp;")"&amp;" に切れる　もう1便を至急発注","入庫後も "&amp;TEXT($CC178,"m/d")&amp;"("&amp;CHOOSE(WEEKDAY($CC178),"日","月","火","水","木","金","土")&amp;")"&amp;" に切れる　"&amp;TEXT($CC178-N('設定'!$C$7),"m/d")&amp;"("&amp;CHOOSE(WEEKDAY($CC178-N('設定'!$C$7)),"日","月","火","水","木","金","土")&amp;")"&amp;" までに次を発注")))</f>
        <v/>
      </c>
      <c r="CP178">
        <f>IF($C178="","",IF('設定'!$C$6="","？ ①在庫を貼る に今日のCSVが貼られていない",IF($CS178=1,"－ 今日のCSVに無い（終売？）",IF($L178&lt;0,"● 在庫がマイナス　数えて「数えた在庫」に入れる",IF($L178=0,"● 在庫なし　至急発注",IF($M178="","？ 減り数が未設定（商品マスタ）",IF($B$3=0,"？ 動員が未入力（動員を入れる）",IF($CA178="","○ 14日以上もつ",IF($BZ178&lt;N('設定'!$C$7),"● "&amp;TEXT($CA178,"m/d")&amp;"("&amp;CHOOSE(WEEKDAY($CA178),"日","月","火","水","木","金","土")&amp;")"&amp;" に切れる　至急発注",IF($BZ178=N('設定'!$C$7),"● "&amp;TEXT($CA178,"m/d")&amp;"("&amp;CHOOSE(WEEKDAY($CA178),"日","月","火","水","木","金","土")&amp;")"&amp;" に切れる　今日発注","△ "&amp;TEXT($CA178,"m/d")&amp;"("&amp;CHOOSE(WEEKDAY($CA178),"日","月","火","水","木","金","土")&amp;")"&amp;" に切れる　"&amp;TEXT($CA178-N('設定'!$C$7),"m/d")&amp;"("&amp;CHOOSE(WEEKDAY($CA178-N('設定'!$C$7)),"日","月","火","水","木","金","土")&amp;")"&amp;" までに発注"))))))))))</f>
        <v/>
      </c>
      <c r="CQ178">
        <f>IF($C178="","",IF(AND($P178="",$Q178="",$S178="",$T178=""),"",IF(AND($P178="",$Q178=""),"⚠ 先に1便目（左の入庫日・入庫数）に入れてください",IF($CI178&lt;&gt;"",$CI178,IF($CJ178&lt;&gt;"",$CJ178,IF($M178="","？ 減り数が未設定（発注書には載ります）",IF($B$3=0,"？ 動員が未入力（発注書には載ります）",IF(AND($CA178&lt;&gt;"",$P178&gt;$CA178),IF($P178&gt;'設定'!$C$6+N('設定'!$C$7),"● "&amp;TEXT($P178,"m/d")&amp;"("&amp;CHOOSE(WEEKDAY($P178),"日","月","火","水","木","金","土")&amp;")"&amp;" の入庫では間に合わない（"&amp;TEXT($CA178,"m/d")&amp;"("&amp;CHOOSE(WEEKDAY($CA178),"日","月","火","水","木","金","土")&amp;")"&amp;" に切れる）　入庫日を早める","△ 欠品 "&amp;TEXT($CA178,"m/d")&amp;"("&amp;CHOOSE(WEEKDAY($CA178),"日","月","火","水","木","金","土")&amp;")"&amp;"〜"&amp;TEXT($P178-1,"m/d")&amp;"("&amp;CHOOSE(WEEKDAY($P178-1),"日","月","火","水","木","金","土")&amp;")"&amp;"　"&amp;$CO178),IF($CC178="","○ "&amp;TEXT($P178,"m/d")&amp;"("&amp;CHOOSE(WEEKDAY($P178),"日","月","火","水","木","金","土")&amp;")"&amp;" 入庫で 14日以上もつ",IF($CC178-N('設定'!$C$7)&lt;='設定'!$C$6,"● 入庫しても "&amp;TEXT($CC178,"m/d")&amp;"("&amp;CHOOSE(WEEKDAY($CC178),"日","月","火","水","木","金","土")&amp;")"&amp;" に切れる　もう1便を至急発注（2便目に入れる）","△ 入庫しても "&amp;TEXT($CC178,"m/d")&amp;"("&amp;CHOOSE(WEEKDAY($CC178),"日","月","火","水","木","金","土")&amp;")"&amp;" に切れる　"&amp;TEXT($CC178-N('設定'!$C$7),"m/d")&amp;"("&amp;CHOOSE(WEEKDAY($CC178-N('設定'!$C$7)),"日","月","火","水","木","金","土")&amp;")"&amp;" までに次を発注（2便目に入れる）"))))))))))</f>
        <v/>
      </c>
      <c r="CR178">
        <f>IF($C178="","",IF($G178&gt;1,"ｹｰｽ("&amp;$G178&amp;"入)","個"))</f>
        <v/>
      </c>
      <c r="CS178">
        <f>IF($C178="",0,IF(COUNTIFS('①在庫を貼る'!$V$6:$V$10005,'設定'!$C$4,'①在庫を貼る'!$W$6:$W$10005,$C178)=0,1,0))</f>
        <v/>
      </c>
      <c r="CT178">
        <f>IF(AND($CK178=1,OR('③発注書'!$C$4="すべて",'③発注書'!$C$4="",$F178='③発注書'!$C$4)),N($CT177)+1,N($CT177))</f>
        <v/>
      </c>
      <c r="CU178">
        <f>IF(AND($CL178=1,OR('③発注書'!$C$4="すべて",'③発注書'!$C$4="",$F178='③発注書'!$C$4)),N($CU177)+1,N($CU177))</f>
        <v/>
      </c>
      <c r="CV178">
        <f>IF($C178="",0,IF(COUNTIFS('①在庫を貼る'!$V$6:$V$10005,'設定'!$C$4,'①在庫を貼る'!$W$6:$W$10005,$C178)&gt;0,1,0))</f>
        <v/>
      </c>
      <c r="CW178">
        <f>IF($C178="",0,IF(COUNTIFS('月1回_1ヶ月前の在庫'!$V$6:$V$10005,'設定'!$C$4,'月1回_1ヶ月前の在庫'!$W$6:$W$10005,$C178)&gt;0,1,0))</f>
        <v/>
      </c>
      <c r="CX178">
        <f>IF($C178="",0,IF(COUNTIFS('月1回_2ヶ月前の在庫'!$V$6:$V$10005,'設定'!$C$4,'月1回_2ヶ月前の在庫'!$W$6:$W$10005,$C178)&gt;0,1,0))</f>
        <v/>
      </c>
      <c r="CY178">
        <f>IF(OR($C178="",'設定'!$C$12=""),"",IF('設定'!$C$13="",IF(AND($CV178=1,$CW178=0),"新商品（今月から）",IF(AND($CV178=0,$CW178=1),"終売（今月から）","")),IF(AND($CV178=1,$CW178=0,$CX178=0),"新商品（今月から）",IF(AND($CV178=1,$CW178=1,$CX178=0),"新商品（先月から）",IF(AND($CV178=0,$CW178=1,$CX178=1),"終売（今月から）",IF(AND($CV178=0,$CW178=0,$CX178=1),"終売（先月から）",IF(AND($CV178=1,$CW178=0,$CX178=1),"復活（先月は無し）","")))))))</f>
        <v/>
      </c>
    </row>
    <row r="179">
      <c r="B179">
        <f>IF(174&lt;='設定'!$C$11,174,"")</f>
        <v/>
      </c>
      <c r="C179">
        <f>IF($B179="","",IF($B179&lt;='設定'!$C$20,INDEX('商品マスタ'!$B$6:$B$1005,MATCH($B179,'商品マスタ'!$M$6:$M$1005,0)),IF($B179&lt;='設定'!$C$20+'設定'!$C$17,INDEX('①在庫を貼る'!$W$6:$W$10005,MATCH($B179-'設定'!$C$20,'①在庫を貼る'!$U$6:$U$10005,0)),IF($B179&lt;='設定'!$C$20+'設定'!$C$17+'設定'!$C$18,INDEX('月1回_1ヶ月前の在庫'!$W$6:$W$10005,MATCH($B179-'設定'!$C$20-'設定'!$C$17,'月1回_1ヶ月前の在庫'!$U$6:$U$10005,0)),INDEX('月1回_2ヶ月前の在庫'!$W$6:$W$10005,MATCH($B179-'設定'!$C$20-'設定'!$C$17-'設定'!$C$18,'月1回_2ヶ月前の在庫'!$U$6:$U$10005,0))))))</f>
        <v/>
      </c>
      <c r="D179">
        <f>IF($C179="","",IFERROR(IF(INDEX('商品マスタ'!$C$6:$C$1005,MATCH($C179,'商品マスタ'!$B$6:$B$1005,0))="",IFERROR(INDEX('①在庫を貼る'!$J$6:$J$10005,MATCH($C179,'①在庫を貼る'!$W$6:$W$10005,0)),IFERROR(INDEX('月1回_1ヶ月前の在庫'!$J$6:$J$10005,MATCH($C179,'月1回_1ヶ月前の在庫'!$W$6:$W$10005,0)),IFERROR(INDEX('月1回_2ヶ月前の在庫'!$J$6:$J$10005,MATCH($C179,'月1回_2ヶ月前の在庫'!$W$6:$W$10005,0)),""))),INDEX('商品マスタ'!$C$6:$C$1005,MATCH($C179,'商品マスタ'!$B$6:$B$1005,0))),IFERROR(INDEX('①在庫を貼る'!$J$6:$J$10005,MATCH($C179,'①在庫を貼る'!$W$6:$W$10005,0)),IFERROR(INDEX('月1回_1ヶ月前の在庫'!$J$6:$J$10005,MATCH($C179,'月1回_1ヶ月前の在庫'!$W$6:$W$10005,0)),IFERROR(INDEX('月1回_2ヶ月前の在庫'!$J$6:$J$10005,MATCH($C179,'月1回_2ヶ月前の在庫'!$W$6:$W$10005,0)),"")))))</f>
        <v/>
      </c>
      <c r="E179">
        <f>IF($C179="","",IFERROR(IF(INDEX('商品マスタ'!$D$6:$D$1005,MATCH($C179,'商品マスタ'!$B$6:$B$1005,0))="",IFERROR(INDEX('①在庫を貼る'!$H$6:$H$10005,MATCH($C179,'①在庫を貼る'!$W$6:$W$10005,0)),IFERROR(INDEX('月1回_1ヶ月前の在庫'!$H$6:$H$10005,MATCH($C179,'月1回_1ヶ月前の在庫'!$W$6:$W$10005,0)),IFERROR(INDEX('月1回_2ヶ月前の在庫'!$H$6:$H$10005,MATCH($C179,'月1回_2ヶ月前の在庫'!$W$6:$W$10005,0)),""))),INDEX('商品マスタ'!$D$6:$D$1005,MATCH($C179,'商品マスタ'!$B$6:$B$1005,0))),IFERROR(INDEX('①在庫を貼る'!$H$6:$H$10005,MATCH($C179,'①在庫を貼る'!$W$6:$W$10005,0)),IFERROR(INDEX('月1回_1ヶ月前の在庫'!$H$6:$H$10005,MATCH($C179,'月1回_1ヶ月前の在庫'!$W$6:$W$10005,0)),IFERROR(INDEX('月1回_2ヶ月前の在庫'!$H$6:$H$10005,MATCH($C179,'月1回_2ヶ月前の在庫'!$W$6:$W$10005,0)),"")))))</f>
        <v/>
      </c>
      <c r="F179">
        <f>IF($C179="","",IFERROR(IF(INDEX('商品マスタ'!$E$6:$E$1005,MATCH($C179,'商品マスタ'!$B$6:$B$1005,0))="",IFERROR(INDEX('①在庫を貼る'!$E$6:$E$10005,MATCH($C179,'①在庫を貼る'!$W$6:$W$10005,0)),IFERROR(INDEX('月1回_1ヶ月前の在庫'!$E$6:$E$10005,MATCH($C179,'月1回_1ヶ月前の在庫'!$W$6:$W$10005,0)),IFERROR(INDEX('月1回_2ヶ月前の在庫'!$E$6:$E$10005,MATCH($C179,'月1回_2ヶ月前の在庫'!$W$6:$W$10005,0)),""))),INDEX('商品マスタ'!$E$6:$E$1005,MATCH($C179,'商品マスタ'!$B$6:$B$1005,0))),IFERROR(INDEX('①在庫を貼る'!$E$6:$E$10005,MATCH($C179,'①在庫を貼る'!$W$6:$W$10005,0)),IFERROR(INDEX('月1回_1ヶ月前の在庫'!$E$6:$E$10005,MATCH($C179,'月1回_1ヶ月前の在庫'!$W$6:$W$10005,0)),IFERROR(INDEX('月1回_2ヶ月前の在庫'!$E$6:$E$10005,MATCH($C179,'月1回_2ヶ月前の在庫'!$W$6:$W$10005,0)),"")))))</f>
        <v/>
      </c>
      <c r="G179">
        <f>IF($C179="","",MAX(1,N(IFERROR(IF(INDEX('商品マスタ'!$F$6:$F$1005,MATCH($C179,'商品マスタ'!$B$6:$B$1005,0))="",IF(COUNTIFS('①在庫を貼る'!$V$6:$V$10005,'設定'!$C$4,'①在庫を貼る'!$W$6:$W$10005,$C179)&gt;0,SUMIFS('①在庫を貼る'!$K$6:$K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K$6:$K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K$6:$K$10005,'月1回_2ヶ月前の在庫'!$V$6:$V$10005,'設定'!$C$4,'月1回_2ヶ月前の在庫'!$W$6:$W$10005,$C179)/COUNTIFS('月1回_2ヶ月前の在庫'!$V$6:$V$10005,'設定'!$C$4,'月1回_2ヶ月前の在庫'!$W$6:$W$10005,$C179),0))),INDEX('商品マスタ'!$F$6:$F$1005,MATCH($C179,'商品マスタ'!$B$6:$B$1005,0))),IF(COUNTIFS('①在庫を貼る'!$V$6:$V$10005,'設定'!$C$4,'①在庫を貼る'!$W$6:$W$10005,$C179)&gt;0,SUMIFS('①在庫を貼る'!$K$6:$K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K$6:$K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K$6:$K$10005,'月1回_2ヶ月前の在庫'!$V$6:$V$10005,'設定'!$C$4,'月1回_2ヶ月前の在庫'!$W$6:$W$10005,$C179)/COUNTIFS('月1回_2ヶ月前の在庫'!$V$6:$V$10005,'設定'!$C$4,'月1回_2ヶ月前の在庫'!$W$6:$W$10005,$C179),0)))))))</f>
        <v/>
      </c>
      <c r="H179">
        <f>IF($C179="","",N(IFERROR(IF(INDEX('商品マスタ'!$G$6:$G$1005,MATCH($C179,'商品マスタ'!$B$6:$B$1005,0))="",IF(COUNTIFS('①在庫を貼る'!$V$6:$V$10005,'設定'!$C$4,'①在庫を貼る'!$W$6:$W$10005,$C179)&gt;0,SUMIFS('①在庫を貼る'!$Q$6:$Q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Q$6:$Q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Q$6:$Q$10005,'月1回_2ヶ月前の在庫'!$V$6:$V$10005,'設定'!$C$4,'月1回_2ヶ月前の在庫'!$W$6:$W$10005,$C179)/COUNTIFS('月1回_2ヶ月前の在庫'!$V$6:$V$10005,'設定'!$C$4,'月1回_2ヶ月前の在庫'!$W$6:$W$10005,$C179),0))),INDEX('商品マスタ'!$G$6:$G$1005,MATCH($C179,'商品マスタ'!$B$6:$B$1005,0))),IF(COUNTIFS('①在庫を貼る'!$V$6:$V$10005,'設定'!$C$4,'①在庫を貼る'!$W$6:$W$10005,$C179)&gt;0,SUMIFS('①在庫を貼る'!$Q$6:$Q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Q$6:$Q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Q$6:$Q$10005,'月1回_2ヶ月前の在庫'!$V$6:$V$10005,'設定'!$C$4,'月1回_2ヶ月前の在庫'!$W$6:$W$10005,$C179)/COUNTIFS('月1回_2ヶ月前の在庫'!$V$6:$V$10005,'設定'!$C$4,'月1回_2ヶ月前の在庫'!$W$6:$W$10005,$C179),0))))))</f>
        <v/>
      </c>
      <c r="I179">
        <f>IF($C179="","",IF(COUNTIFS('①在庫を貼る'!$V$6:$V$10005,'設定'!$C$4,'①在庫を貼る'!$W$6:$W$10005,$C179)=0,"",SUMIFS('①在庫を貼る'!$N$6:$N$10005,'①在庫を貼る'!$V$6:$V$10005,'設定'!$C$4,'①在庫を貼る'!$W$6:$W$10005,$C179)))</f>
        <v/>
      </c>
      <c r="J179">
        <f>IF($C179="","",IF('②発注する'!$AD183="","",'②発注する'!$AD183))</f>
        <v/>
      </c>
      <c r="K179" s="90">
        <f>IF($C179="","",IF('②発注する'!$AE183="","",'②発注する'!$AE183))</f>
        <v/>
      </c>
      <c r="L179">
        <f>IF($C179="","",IF(AND(ISNUMBER($J179),ISNUMBER($K179),$K179&gt;='設定'!$C$6),$J179,N($I179)))</f>
        <v/>
      </c>
      <c r="M179">
        <f>IF($C179="","",IFERROR(IF(N(INDEX('商品マスタ'!$J$6:$J$1005,MATCH($C179,'商品マスタ'!$B$6:$B$1005,0)))&gt;0,INDEX('商品マスタ'!$J$6:$J$1005,MATCH($C179,'商品マスタ'!$B$6:$B$1005,0)),""),""))</f>
        <v/>
      </c>
      <c r="N179">
        <f>IF($C179="","",IFERROR(IF(N(INDEX('商品マスタ'!$H$6:$H$1005,MATCH($C179,'商品マスタ'!$B$6:$B$1005,0)))&gt;0,INDEX('商品マスタ'!$H$6:$H$1005,MATCH($C179,'商品マスタ'!$B$6:$B$1005,0)),""),""))</f>
        <v/>
      </c>
      <c r="O179">
        <f>IF($C179="","",IF($N179&lt;&gt;"",$N179*$G179,IF(N(IF(COUNTIFS('①在庫を貼る'!$V$6:$V$10005,'設定'!$C$4,'①在庫を貼る'!$W$6:$W$10005,$C179)&gt;0,SUMIFS('①在庫を貼る'!$O$6:$O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O$6:$O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O$6:$O$10005,'月1回_2ヶ月前の在庫'!$V$6:$V$10005,'設定'!$C$4,'月1回_2ヶ月前の在庫'!$W$6:$W$10005,$C179)/COUNTIFS('月1回_2ヶ月前の在庫'!$V$6:$V$10005,'設定'!$C$4,'月1回_2ヶ月前の在庫'!$W$6:$W$10005,$C179),0))))&gt;0,N(IF(COUNTIFS('①在庫を貼る'!$V$6:$V$10005,'設定'!$C$4,'①在庫を貼る'!$W$6:$W$10005,$C179)&gt;0,SUMIFS('①在庫を貼る'!$O$6:$O$10005,'①在庫を貼る'!$V$6:$V$10005,'設定'!$C$4,'①在庫を貼る'!$W$6:$W$10005,$C179)/COUNTIFS('①在庫を貼る'!$V$6:$V$10005,'設定'!$C$4,'①在庫を貼る'!$W$6:$W$10005,$C179),IF(COUNTIFS('月1回_1ヶ月前の在庫'!$V$6:$V$10005,'設定'!$C$4,'月1回_1ヶ月前の在庫'!$W$6:$W$10005,$C179)&gt;0,SUMIFS('月1回_1ヶ月前の在庫'!$O$6:$O$10005,'月1回_1ヶ月前の在庫'!$V$6:$V$10005,'設定'!$C$4,'月1回_1ヶ月前の在庫'!$W$6:$W$10005,$C179)/COUNTIFS('月1回_1ヶ月前の在庫'!$V$6:$V$10005,'設定'!$C$4,'月1回_1ヶ月前の在庫'!$W$6:$W$10005,$C179),IF(COUNTIFS('月1回_2ヶ月前の在庫'!$V$6:$V$10005,'設定'!$C$4,'月1回_2ヶ月前の在庫'!$W$6:$W$10005,$C179)&gt;0,SUMIFS('月1回_2ヶ月前の在庫'!$O$6:$O$10005,'月1回_2ヶ月前の在庫'!$V$6:$V$10005,'設定'!$C$4,'月1回_2ヶ月前の在庫'!$W$6:$W$10005,$C179)/COUNTIFS('月1回_2ヶ月前の在庫'!$V$6:$V$10005,'設定'!$C$4,'月1回_2ヶ月前の在庫'!$W$6:$W$10005,$C179),0)))),"")))</f>
        <v/>
      </c>
      <c r="P179" s="90">
        <f>IF($C179="","",IF('②発注する'!$I183="","",'②発注する'!$I183))</f>
        <v/>
      </c>
      <c r="Q179">
        <f>IF($C179="","",IF('②発注する'!$J183="","",'②発注する'!$J183))</f>
        <v/>
      </c>
      <c r="R179">
        <f>IF($C179="",0,IF(AND(ISNUMBER($P179),ISNUMBER($Q179)),MAX(0,$Q179)*$G179,0))</f>
        <v/>
      </c>
      <c r="S179" s="90">
        <f>IF($C179="","",IF('②発注する'!$M183="","",'②発注する'!$M183))</f>
        <v/>
      </c>
      <c r="T179">
        <f>IF($C179="","",IF('②発注する'!$N183="","",'②発注する'!$N183))</f>
        <v/>
      </c>
      <c r="U179">
        <f>IF($C179="",0,IF(AND(ISNUMBER($S179),ISNUMBER($T179)),MAX(0,$T179)*$G179,0))</f>
        <v/>
      </c>
      <c r="V179">
        <f>IF($C179="",0,IF($M179="",0,MAX(0,$M179)*MAX(0,V$4)/100))</f>
        <v/>
      </c>
      <c r="W179">
        <f>IF($C179="",0,IF($M179="",0,MAX(0,$M179)*MAX(0,W$4)/100))</f>
        <v/>
      </c>
      <c r="X179">
        <f>IF($C179="",0,IF($M179="",0,MAX(0,$M179)*MAX(0,X$4)/100))</f>
        <v/>
      </c>
      <c r="Y179">
        <f>IF($C179="",0,IF($M179="",0,MAX(0,$M179)*MAX(0,Y$4)/100))</f>
        <v/>
      </c>
      <c r="Z179">
        <f>IF($C179="",0,IF($M179="",0,MAX(0,$M179)*MAX(0,Z$4)/100))</f>
        <v/>
      </c>
      <c r="AA179">
        <f>IF($C179="",0,IF($M179="",0,MAX(0,$M179)*MAX(0,AA$4)/100))</f>
        <v/>
      </c>
      <c r="AB179">
        <f>IF($C179="",0,IF($M179="",0,MAX(0,$M179)*MAX(0,AB$4)/100))</f>
        <v/>
      </c>
      <c r="AC179">
        <f>IF($C179="",0,IF($M179="",0,MAX(0,$M179)*MAX(0,AC$4)/100))</f>
        <v/>
      </c>
      <c r="AD179">
        <f>IF($C179="",0,IF($M179="",0,MAX(0,$M179)*MAX(0,AD$4)/100))</f>
        <v/>
      </c>
      <c r="AE179">
        <f>IF($C179="",0,IF($M179="",0,MAX(0,$M179)*MAX(0,AE$4)/100))</f>
        <v/>
      </c>
      <c r="AF179">
        <f>IF($C179="",0,IF($M179="",0,MAX(0,$M179)*MAX(0,AF$4)/100))</f>
        <v/>
      </c>
      <c r="AG179">
        <f>IF($C179="",0,IF($M179="",0,MAX(0,$M179)*MAX(0,AG$4)/100))</f>
        <v/>
      </c>
      <c r="AH179">
        <f>IF($C179="",0,IF($M179="",0,MAX(0,$M179)*MAX(0,AH$4)/100))</f>
        <v/>
      </c>
      <c r="AI179">
        <f>IF($C179="",0,IF($M179="",0,MAX(0,$M179)*MAX(0,AI$4)/100))</f>
        <v/>
      </c>
      <c r="AJ179">
        <f>IF($C179="",0,MAX(0,MAX(0,N($L179))-$V179))</f>
        <v/>
      </c>
      <c r="AK179">
        <f>IF($C179="",0,MAX(0,$AJ179-$W179))</f>
        <v/>
      </c>
      <c r="AL179">
        <f>IF($C179="",0,MAX(0,$AK179-$X179))</f>
        <v/>
      </c>
      <c r="AM179">
        <f>IF($C179="",0,MAX(0,$AL179-$Y179))</f>
        <v/>
      </c>
      <c r="AN179">
        <f>IF($C179="",0,MAX(0,$AM179-$Z179))</f>
        <v/>
      </c>
      <c r="AO179">
        <f>IF($C179="",0,MAX(0,$AN179-$AA179))</f>
        <v/>
      </c>
      <c r="AP179">
        <f>IF($C179="",0,MAX(0,$AO179-$AB179))</f>
        <v/>
      </c>
      <c r="AQ179">
        <f>IF($C179="",0,MAX(0,$AP179-$AC179))</f>
        <v/>
      </c>
      <c r="AR179">
        <f>IF($C179="",0,MAX(0,$AQ179-$AD179))</f>
        <v/>
      </c>
      <c r="AS179">
        <f>IF($C179="",0,MAX(0,$AR179-$AE179))</f>
        <v/>
      </c>
      <c r="AT179">
        <f>IF($C179="",0,MAX(0,$AS179-$AF179))</f>
        <v/>
      </c>
      <c r="AU179">
        <f>IF($C179="",0,MAX(0,$AT179-$AG179))</f>
        <v/>
      </c>
      <c r="AV179">
        <f>IF($C179="",0,MAX(0,$AU179-$AH179))</f>
        <v/>
      </c>
      <c r="AW179">
        <f>IF($C179="",0,MAX(0,$AV179-$AI179))</f>
        <v/>
      </c>
      <c r="AX179">
        <f>IF($C179="",0,MAX(0,MAX(0,N($L179))+IF($P179=V$3,$R179,0)+IF($S179=V$3,$U179,0)-$V179))</f>
        <v/>
      </c>
      <c r="AY179">
        <f>IF($C179="",0,MAX(0,$AX179+IF($P179=W$3,$R179,0)+IF($S179=W$3,$U179,0)-$W179))</f>
        <v/>
      </c>
      <c r="AZ179">
        <f>IF($C179="",0,MAX(0,$AY179+IF($P179=X$3,$R179,0)+IF($S179=X$3,$U179,0)-$X179))</f>
        <v/>
      </c>
      <c r="BA179">
        <f>IF($C179="",0,MAX(0,$AZ179+IF($P179=Y$3,$R179,0)+IF($S179=Y$3,$U179,0)-$Y179))</f>
        <v/>
      </c>
      <c r="BB179">
        <f>IF($C179="",0,MAX(0,$BA179+IF($P179=Z$3,$R179,0)+IF($S179=Z$3,$U179,0)-$Z179))</f>
        <v/>
      </c>
      <c r="BC179">
        <f>IF($C179="",0,MAX(0,$BB179+IF($P179=AA$3,$R179,0)+IF($S179=AA$3,$U179,0)-$AA179))</f>
        <v/>
      </c>
      <c r="BD179">
        <f>IF($C179="",0,MAX(0,$BC179+IF($P179=AB$3,$R179,0)+IF($S179=AB$3,$U179,0)-$AB179))</f>
        <v/>
      </c>
      <c r="BE179">
        <f>IF($C179="",0,MAX(0,$BD179+IF($P179=AC$3,$R179,0)+IF($S179=AC$3,$U179,0)-$AC179))</f>
        <v/>
      </c>
      <c r="BF179">
        <f>IF($C179="",0,MAX(0,$BE179+IF($P179=AD$3,$R179,0)+IF($S179=AD$3,$U179,0)-$AD179))</f>
        <v/>
      </c>
      <c r="BG179">
        <f>IF($C179="",0,MAX(0,$BF179+IF($P179=AE$3,$R179,0)+IF($S179=AE$3,$U179,0)-$AE179))</f>
        <v/>
      </c>
      <c r="BH179">
        <f>IF($C179="",0,MAX(0,$BG179+IF($P179=AF$3,$R179,0)+IF($S179=AF$3,$U179,0)-$AF179))</f>
        <v/>
      </c>
      <c r="BI179">
        <f>IF($C179="",0,MAX(0,$BH179+IF($P179=AG$3,$R179,0)+IF($S179=AG$3,$U179,0)-$AG179))</f>
        <v/>
      </c>
      <c r="BJ179">
        <f>IF($C179="",0,MAX(0,$BI179+IF($P179=AH$3,$R179,0)+IF($S179=AH$3,$U179,0)-$AH179))</f>
        <v/>
      </c>
      <c r="BK179">
        <f>IF($C179="",0,MAX(0,$BJ179+IF($P179=AI$3,$R179,0)+IF($S179=AI$3,$U179,0)-$AI179))</f>
        <v/>
      </c>
      <c r="BL179">
        <f>IF($C179="",99,IF(AND($AX179&lt;1,V$3&gt;=MAX(N($P179),N($S179))),0,99))</f>
        <v/>
      </c>
      <c r="BM179">
        <f>IF($C179="",99,IF(AND($AY179&lt;1,W$3&gt;=MAX(N($P179),N($S179))),1,99))</f>
        <v/>
      </c>
      <c r="BN179">
        <f>IF($C179="",99,IF(AND($AZ179&lt;1,X$3&gt;=MAX(N($P179),N($S179))),2,99))</f>
        <v/>
      </c>
      <c r="BO179">
        <f>IF($C179="",99,IF(AND($BA179&lt;1,Y$3&gt;=MAX(N($P179),N($S179))),3,99))</f>
        <v/>
      </c>
      <c r="BP179">
        <f>IF($C179="",99,IF(AND($BB179&lt;1,Z$3&gt;=MAX(N($P179),N($S179))),4,99))</f>
        <v/>
      </c>
      <c r="BQ179">
        <f>IF($C179="",99,IF(AND($BC179&lt;1,AA$3&gt;=MAX(N($P179),N($S179))),5,99))</f>
        <v/>
      </c>
      <c r="BR179">
        <f>IF($C179="",99,IF(AND($BD179&lt;1,AB$3&gt;=MAX(N($P179),N($S179))),6,99))</f>
        <v/>
      </c>
      <c r="BS179">
        <f>IF($C179="",99,IF(AND($BE179&lt;1,AC$3&gt;=MAX(N($P179),N($S179))),7,99))</f>
        <v/>
      </c>
      <c r="BT179">
        <f>IF($C179="",99,IF(AND($BF179&lt;1,AD$3&gt;=MAX(N($P179),N($S179))),8,99))</f>
        <v/>
      </c>
      <c r="BU179">
        <f>IF($C179="",99,IF(AND($BG179&lt;1,AE$3&gt;=MAX(N($P179),N($S179))),9,99))</f>
        <v/>
      </c>
      <c r="BV179">
        <f>IF($C179="",99,IF(AND($BH179&lt;1,AF$3&gt;=MAX(N($P179),N($S179))),10,99))</f>
        <v/>
      </c>
      <c r="BW179">
        <f>IF($C179="",99,IF(AND($BI179&lt;1,AG$3&gt;=MAX(N($P179),N($S179))),11,99))</f>
        <v/>
      </c>
      <c r="BX179">
        <f>IF($C179="",99,IF(AND($BJ179&lt;1,AH$3&gt;=MAX(N($P179),N($S179))),12,99))</f>
        <v/>
      </c>
      <c r="BY179">
        <f>IF($C179="",99,IF(AND($BK179&lt;1,AI$3&gt;=MAX(N($P179),N($S179))),13,99))</f>
        <v/>
      </c>
      <c r="BZ179">
        <f>IF(OR($C179="",$M179=""),"",COUNTIF($AJ179:$AW179,"&gt;=1"))</f>
        <v/>
      </c>
      <c r="CA179" s="90">
        <f>IF($BZ179="","",IF($BZ179&gt;=14,"",'設定'!$C$6+$BZ179))</f>
        <v/>
      </c>
      <c r="CB179">
        <f>IF(OR($C179="",$M179=""),"",MIN($BL179:$BY179))</f>
        <v/>
      </c>
      <c r="CC179" s="90">
        <f>IF($CB179="","",IF($CB179&gt;=99,"",'設定'!$C$6+$CB179))</f>
        <v/>
      </c>
      <c r="CD179">
        <f>IF(OR($C179="",$M179=""),"",AVERAGE($V179:$AI179))</f>
        <v/>
      </c>
      <c r="CE179">
        <f>IF($C179="","",IFERROR(IF(MATCH(IF(ISNUMBER($P179),$P179,'設定'!$C$6+N('設定'!$C$7)),$V$3:$AI$3,0)=1,MAX(0,N($L179)),INDEX($AJ179:$AW179,MATCH(IF(ISNUMBER($P179),$P179,'設定'!$C$6+N('設定'!$C$7)),$V$3:$AI$3,0)-1)),""))</f>
        <v/>
      </c>
      <c r="CF179">
        <f>IF(OR($C179="",$O179="",$CE179=""),"",IF($O179-$CE179&lt;=0,0,ROUNDUP(($O179-$CE179)/$G179,0)))</f>
        <v/>
      </c>
      <c r="CG179">
        <f>IF(OR($C179="",$CF179="",NOT(ISNUMBER($Q179))),0,MAX(0,$Q179-$CF179))</f>
        <v/>
      </c>
      <c r="CH179">
        <f>IF(OR($C179="",$O179="",$U179=0),0,IFERROR(ROUNDUP(MAX(0,IF(MATCH($S179,$V$3:$AI$3,0)=1,MAX(0,N($L179)),INDEX($AX179:$BK179,MATCH($S179,$V$3:$AI$3,0)-1))+$U179-$O179)/$G179,0),0))</f>
        <v/>
      </c>
      <c r="CI179">
        <f>IF($C179="","",IF(AND($P179="",$Q179=""),"",IF($P179="","⚠ 入庫日を ▼ から選んでください",IF(NOT(ISNUMBER($P179)),"⚠ 入庫日は ▼ から選んでください",IF($P179&lt;N('設定'!$C$6),"⚠ 入庫日が過去です（もう在庫に入っています）→ 消してください",IF($P179&gt;N('設定'!$C$6)+13,"⚠ 入庫日が14日より先です",IF(N($Q179)&lt;=0,"⚠ 入庫数を入れてください",IF($CG179&gt;0,"⚠ 目安より "&amp;$CG179&amp;" 多い（定数を超える）→ 減らす",""))))))))</f>
        <v/>
      </c>
      <c r="CJ179">
        <f>IF($C179="","",IF(AND($S179="",$T179=""),"",IF($S179="","⚠ 2便目：入庫日を ▼ から選んでください",IF(NOT(ISNUMBER($S179)),"⚠ 2便目：入庫日は ▼ から選んでください",IF($S179&lt;N('設定'!$C$6),"⚠ 2便目：入庫日が過去です（もう在庫に入っています）→ 消してください",IF($S179&gt;N('設定'!$C$6)+13,"⚠ 2便目：入庫日が14日より先です",IF(N($T179)&lt;=0,"⚠ 2便目：入庫数を入れてください",IF($CH179&gt;0,"⚠ 2便目：定数を "&amp;$CH179&amp;" ケース超える → 減らす",""))))))))</f>
        <v/>
      </c>
      <c r="CK179">
        <f>IF(AND($CI179="",N($Q179)&gt;0,ISNUMBER($P179)),1,0)</f>
        <v/>
      </c>
      <c r="CL179">
        <f>IF(AND($CJ179="",N($T179)&gt;0,ISNUMBER($S179)),1,0)</f>
        <v/>
      </c>
      <c r="CM179">
        <f>IF(OR($CK179=1,$CL179=1),1,0)</f>
        <v/>
      </c>
      <c r="CN179">
        <f>IF($C179="",0,($CK179*$R179+$CL179*$U179)*N($H179))</f>
        <v/>
      </c>
      <c r="CO179">
        <f>IF($C179="","",IF($CC179="","入庫後は 14日以上もつ",IF($CC179-N('設定'!$C$7)&lt;='設定'!$C$6,"入庫後も "&amp;TEXT($CC179,"m/d")&amp;"("&amp;CHOOSE(WEEKDAY($CC179),"日","月","火","水","木","金","土")&amp;")"&amp;" に切れる　もう1便を至急発注","入庫後も "&amp;TEXT($CC179,"m/d")&amp;"("&amp;CHOOSE(WEEKDAY($CC179),"日","月","火","水","木","金","土")&amp;")"&amp;" に切れる　"&amp;TEXT($CC179-N('設定'!$C$7),"m/d")&amp;"("&amp;CHOOSE(WEEKDAY($CC179-N('設定'!$C$7)),"日","月","火","水","木","金","土")&amp;")"&amp;" までに次を発注")))</f>
        <v/>
      </c>
      <c r="CP179">
        <f>IF($C179="","",IF('設定'!$C$6="","？ ①在庫を貼る に今日のCSVが貼られていない",IF($CS179=1,"－ 今日のCSVに無い（終売？）",IF($L179&lt;0,"● 在庫がマイナス　数えて「数えた在庫」に入れる",IF($L179=0,"● 在庫なし　至急発注",IF($M179="","？ 減り数が未設定（商品マスタ）",IF($B$3=0,"？ 動員が未入力（動員を入れる）",IF($CA179="","○ 14日以上もつ",IF($BZ179&lt;N('設定'!$C$7),"● "&amp;TEXT($CA179,"m/d")&amp;"("&amp;CHOOSE(WEEKDAY($CA179),"日","月","火","水","木","金","土")&amp;")"&amp;" に切れる　至急発注",IF($BZ179=N('設定'!$C$7),"● "&amp;TEXT($CA179,"m/d")&amp;"("&amp;CHOOSE(WEEKDAY($CA179),"日","月","火","水","木","金","土")&amp;")"&amp;" に切れる　今日発注","△ "&amp;TEXT($CA179,"m/d")&amp;"("&amp;CHOOSE(WEEKDAY($CA179),"日","月","火","水","木","金","土")&amp;")"&amp;" に切れる　"&amp;TEXT($CA179-N('設定'!$C$7),"m/d")&amp;"("&amp;CHOOSE(WEEKDAY($CA179-N('設定'!$C$7)),"日","月","火","水","木","金","土")&amp;")"&amp;" までに発注"))))))))))</f>
        <v/>
      </c>
      <c r="CQ179">
        <f>IF($C179="","",IF(AND($P179="",$Q179="",$S179="",$T179=""),"",IF(AND($P179="",$Q179=""),"⚠ 先に1便目（左の入庫日・入庫数）に入れてください",IF($CI179&lt;&gt;"",$CI179,IF($CJ179&lt;&gt;"",$CJ179,IF($M179="","？ 減り数が未設定（発注書には載ります）",IF($B$3=0,"？ 動員が未入力（発注書には載ります）",IF(AND($CA179&lt;&gt;"",$P179&gt;$CA179),IF($P179&gt;'設定'!$C$6+N('設定'!$C$7),"● "&amp;TEXT($P179,"m/d")&amp;"("&amp;CHOOSE(WEEKDAY($P179),"日","月","火","水","木","金","土")&amp;")"&amp;" の入庫では間に合わない（"&amp;TEXT($CA179,"m/d")&amp;"("&amp;CHOOSE(WEEKDAY($CA179),"日","月","火","水","木","金","土")&amp;")"&amp;" に切れる）　入庫日を早める","△ 欠品 "&amp;TEXT($CA179,"m/d")&amp;"("&amp;CHOOSE(WEEKDAY($CA179),"日","月","火","水","木","金","土")&amp;")"&amp;"〜"&amp;TEXT($P179-1,"m/d")&amp;"("&amp;CHOOSE(WEEKDAY($P179-1),"日","月","火","水","木","金","土")&amp;")"&amp;"　"&amp;$CO179),IF($CC179="","○ "&amp;TEXT($P179,"m/d")&amp;"("&amp;CHOOSE(WEEKDAY($P179),"日","月","火","水","木","金","土")&amp;")"&amp;" 入庫で 14日以上もつ",IF($CC179-N('設定'!$C$7)&lt;='設定'!$C$6,"● 入庫しても "&amp;TEXT($CC179,"m/d")&amp;"("&amp;CHOOSE(WEEKDAY($CC179),"日","月","火","水","木","金","土")&amp;")"&amp;" に切れる　もう1便を至急発注（2便目に入れる）","△ 入庫しても "&amp;TEXT($CC179,"m/d")&amp;"("&amp;CHOOSE(WEEKDAY($CC179),"日","月","火","水","木","金","土")&amp;")"&amp;" に切れる　"&amp;TEXT($CC179-N('設定'!$C$7),"m/d")&amp;"("&amp;CHOOSE(WEEKDAY($CC179-N('設定'!$C$7)),"日","月","火","水","木","金","土")&amp;")"&amp;" までに次を発注（2便目に入れる）"))))))))))</f>
        <v/>
      </c>
      <c r="CR179">
        <f>IF($C179="","",IF($G179&gt;1,"ｹｰｽ("&amp;$G179&amp;"入)","個"))</f>
        <v/>
      </c>
      <c r="CS179">
        <f>IF($C179="",0,IF(COUNTIFS('①在庫を貼る'!$V$6:$V$10005,'設定'!$C$4,'①在庫を貼る'!$W$6:$W$10005,$C179)=0,1,0))</f>
        <v/>
      </c>
      <c r="CT179">
        <f>IF(AND($CK179=1,OR('③発注書'!$C$4="すべて",'③発注書'!$C$4="",$F179='③発注書'!$C$4)),N($CT178)+1,N($CT178))</f>
        <v/>
      </c>
      <c r="CU179">
        <f>IF(AND($CL179=1,OR('③発注書'!$C$4="すべて",'③発注書'!$C$4="",$F179='③発注書'!$C$4)),N($CU178)+1,N($CU178))</f>
        <v/>
      </c>
      <c r="CV179">
        <f>IF($C179="",0,IF(COUNTIFS('①在庫を貼る'!$V$6:$V$10005,'設定'!$C$4,'①在庫を貼る'!$W$6:$W$10005,$C179)&gt;0,1,0))</f>
        <v/>
      </c>
      <c r="CW179">
        <f>IF($C179="",0,IF(COUNTIFS('月1回_1ヶ月前の在庫'!$V$6:$V$10005,'設定'!$C$4,'月1回_1ヶ月前の在庫'!$W$6:$W$10005,$C179)&gt;0,1,0))</f>
        <v/>
      </c>
      <c r="CX179">
        <f>IF($C179="",0,IF(COUNTIFS('月1回_2ヶ月前の在庫'!$V$6:$V$10005,'設定'!$C$4,'月1回_2ヶ月前の在庫'!$W$6:$W$10005,$C179)&gt;0,1,0))</f>
        <v/>
      </c>
      <c r="CY179">
        <f>IF(OR($C179="",'設定'!$C$12=""),"",IF('設定'!$C$13="",IF(AND($CV179=1,$CW179=0),"新商品（今月から）",IF(AND($CV179=0,$CW179=1),"終売（今月から）","")),IF(AND($CV179=1,$CW179=0,$CX179=0),"新商品（今月から）",IF(AND($CV179=1,$CW179=1,$CX179=0),"新商品（先月から）",IF(AND($CV179=0,$CW179=1,$CX179=1),"終売（今月から）",IF(AND($CV179=0,$CW179=0,$CX179=1),"終売（先月から）",IF(AND($CV179=1,$CW179=0,$CX179=1),"復活（先月は無し）","")))))))</f>
        <v/>
      </c>
    </row>
    <row r="180">
      <c r="B180">
        <f>IF(175&lt;='設定'!$C$11,175,"")</f>
        <v/>
      </c>
      <c r="C180">
        <f>IF($B180="","",IF($B180&lt;='設定'!$C$20,INDEX('商品マスタ'!$B$6:$B$1005,MATCH($B180,'商品マスタ'!$M$6:$M$1005,0)),IF($B180&lt;='設定'!$C$20+'設定'!$C$17,INDEX('①在庫を貼る'!$W$6:$W$10005,MATCH($B180-'設定'!$C$20,'①在庫を貼る'!$U$6:$U$10005,0)),IF($B180&lt;='設定'!$C$20+'設定'!$C$17+'設定'!$C$18,INDEX('月1回_1ヶ月前の在庫'!$W$6:$W$10005,MATCH($B180-'設定'!$C$20-'設定'!$C$17,'月1回_1ヶ月前の在庫'!$U$6:$U$10005,0)),INDEX('月1回_2ヶ月前の在庫'!$W$6:$W$10005,MATCH($B180-'設定'!$C$20-'設定'!$C$17-'設定'!$C$18,'月1回_2ヶ月前の在庫'!$U$6:$U$10005,0))))))</f>
        <v/>
      </c>
      <c r="D180">
        <f>IF($C180="","",IFERROR(IF(INDEX('商品マスタ'!$C$6:$C$1005,MATCH($C180,'商品マスタ'!$B$6:$B$1005,0))="",IFERROR(INDEX('①在庫を貼る'!$J$6:$J$10005,MATCH($C180,'①在庫を貼る'!$W$6:$W$10005,0)),IFERROR(INDEX('月1回_1ヶ月前の在庫'!$J$6:$J$10005,MATCH($C180,'月1回_1ヶ月前の在庫'!$W$6:$W$10005,0)),IFERROR(INDEX('月1回_2ヶ月前の在庫'!$J$6:$J$10005,MATCH($C180,'月1回_2ヶ月前の在庫'!$W$6:$W$10005,0)),""))),INDEX('商品マスタ'!$C$6:$C$1005,MATCH($C180,'商品マスタ'!$B$6:$B$1005,0))),IFERROR(INDEX('①在庫を貼る'!$J$6:$J$10005,MATCH($C180,'①在庫を貼る'!$W$6:$W$10005,0)),IFERROR(INDEX('月1回_1ヶ月前の在庫'!$J$6:$J$10005,MATCH($C180,'月1回_1ヶ月前の在庫'!$W$6:$W$10005,0)),IFERROR(INDEX('月1回_2ヶ月前の在庫'!$J$6:$J$10005,MATCH($C180,'月1回_2ヶ月前の在庫'!$W$6:$W$10005,0)),"")))))</f>
        <v/>
      </c>
      <c r="E180">
        <f>IF($C180="","",IFERROR(IF(INDEX('商品マスタ'!$D$6:$D$1005,MATCH($C180,'商品マスタ'!$B$6:$B$1005,0))="",IFERROR(INDEX('①在庫を貼る'!$H$6:$H$10005,MATCH($C180,'①在庫を貼る'!$W$6:$W$10005,0)),IFERROR(INDEX('月1回_1ヶ月前の在庫'!$H$6:$H$10005,MATCH($C180,'月1回_1ヶ月前の在庫'!$W$6:$W$10005,0)),IFERROR(INDEX('月1回_2ヶ月前の在庫'!$H$6:$H$10005,MATCH($C180,'月1回_2ヶ月前の在庫'!$W$6:$W$10005,0)),""))),INDEX('商品マスタ'!$D$6:$D$1005,MATCH($C180,'商品マスタ'!$B$6:$B$1005,0))),IFERROR(INDEX('①在庫を貼る'!$H$6:$H$10005,MATCH($C180,'①在庫を貼る'!$W$6:$W$10005,0)),IFERROR(INDEX('月1回_1ヶ月前の在庫'!$H$6:$H$10005,MATCH($C180,'月1回_1ヶ月前の在庫'!$W$6:$W$10005,0)),IFERROR(INDEX('月1回_2ヶ月前の在庫'!$H$6:$H$10005,MATCH($C180,'月1回_2ヶ月前の在庫'!$W$6:$W$10005,0)),"")))))</f>
        <v/>
      </c>
      <c r="F180">
        <f>IF($C180="","",IFERROR(IF(INDEX('商品マスタ'!$E$6:$E$1005,MATCH($C180,'商品マスタ'!$B$6:$B$1005,0))="",IFERROR(INDEX('①在庫を貼る'!$E$6:$E$10005,MATCH($C180,'①在庫を貼る'!$W$6:$W$10005,0)),IFERROR(INDEX('月1回_1ヶ月前の在庫'!$E$6:$E$10005,MATCH($C180,'月1回_1ヶ月前の在庫'!$W$6:$W$10005,0)),IFERROR(INDEX('月1回_2ヶ月前の在庫'!$E$6:$E$10005,MATCH($C180,'月1回_2ヶ月前の在庫'!$W$6:$W$10005,0)),""))),INDEX('商品マスタ'!$E$6:$E$1005,MATCH($C180,'商品マスタ'!$B$6:$B$1005,0))),IFERROR(INDEX('①在庫を貼る'!$E$6:$E$10005,MATCH($C180,'①在庫を貼る'!$W$6:$W$10005,0)),IFERROR(INDEX('月1回_1ヶ月前の在庫'!$E$6:$E$10005,MATCH($C180,'月1回_1ヶ月前の在庫'!$W$6:$W$10005,0)),IFERROR(INDEX('月1回_2ヶ月前の在庫'!$E$6:$E$10005,MATCH($C180,'月1回_2ヶ月前の在庫'!$W$6:$W$10005,0)),"")))))</f>
        <v/>
      </c>
      <c r="G180">
        <f>IF($C180="","",MAX(1,N(IFERROR(IF(INDEX('商品マスタ'!$F$6:$F$1005,MATCH($C180,'商品マスタ'!$B$6:$B$1005,0))="",IF(COUNTIFS('①在庫を貼る'!$V$6:$V$10005,'設定'!$C$4,'①在庫を貼る'!$W$6:$W$10005,$C180)&gt;0,SUMIFS('①在庫を貼る'!$K$6:$K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K$6:$K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K$6:$K$10005,'月1回_2ヶ月前の在庫'!$V$6:$V$10005,'設定'!$C$4,'月1回_2ヶ月前の在庫'!$W$6:$W$10005,$C180)/COUNTIFS('月1回_2ヶ月前の在庫'!$V$6:$V$10005,'設定'!$C$4,'月1回_2ヶ月前の在庫'!$W$6:$W$10005,$C180),0))),INDEX('商品マスタ'!$F$6:$F$1005,MATCH($C180,'商品マスタ'!$B$6:$B$1005,0))),IF(COUNTIFS('①在庫を貼る'!$V$6:$V$10005,'設定'!$C$4,'①在庫を貼る'!$W$6:$W$10005,$C180)&gt;0,SUMIFS('①在庫を貼る'!$K$6:$K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K$6:$K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K$6:$K$10005,'月1回_2ヶ月前の在庫'!$V$6:$V$10005,'設定'!$C$4,'月1回_2ヶ月前の在庫'!$W$6:$W$10005,$C180)/COUNTIFS('月1回_2ヶ月前の在庫'!$V$6:$V$10005,'設定'!$C$4,'月1回_2ヶ月前の在庫'!$W$6:$W$10005,$C180),0)))))))</f>
        <v/>
      </c>
      <c r="H180">
        <f>IF($C180="","",N(IFERROR(IF(INDEX('商品マスタ'!$G$6:$G$1005,MATCH($C180,'商品マスタ'!$B$6:$B$1005,0))="",IF(COUNTIFS('①在庫を貼る'!$V$6:$V$10005,'設定'!$C$4,'①在庫を貼る'!$W$6:$W$10005,$C180)&gt;0,SUMIFS('①在庫を貼る'!$Q$6:$Q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Q$6:$Q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Q$6:$Q$10005,'月1回_2ヶ月前の在庫'!$V$6:$V$10005,'設定'!$C$4,'月1回_2ヶ月前の在庫'!$W$6:$W$10005,$C180)/COUNTIFS('月1回_2ヶ月前の在庫'!$V$6:$V$10005,'設定'!$C$4,'月1回_2ヶ月前の在庫'!$W$6:$W$10005,$C180),0))),INDEX('商品マスタ'!$G$6:$G$1005,MATCH($C180,'商品マスタ'!$B$6:$B$1005,0))),IF(COUNTIFS('①在庫を貼る'!$V$6:$V$10005,'設定'!$C$4,'①在庫を貼る'!$W$6:$W$10005,$C180)&gt;0,SUMIFS('①在庫を貼る'!$Q$6:$Q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Q$6:$Q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Q$6:$Q$10005,'月1回_2ヶ月前の在庫'!$V$6:$V$10005,'設定'!$C$4,'月1回_2ヶ月前の在庫'!$W$6:$W$10005,$C180)/COUNTIFS('月1回_2ヶ月前の在庫'!$V$6:$V$10005,'設定'!$C$4,'月1回_2ヶ月前の在庫'!$W$6:$W$10005,$C180),0))))))</f>
        <v/>
      </c>
      <c r="I180">
        <f>IF($C180="","",IF(COUNTIFS('①在庫を貼る'!$V$6:$V$10005,'設定'!$C$4,'①在庫を貼る'!$W$6:$W$10005,$C180)=0,"",SUMIFS('①在庫を貼る'!$N$6:$N$10005,'①在庫を貼る'!$V$6:$V$10005,'設定'!$C$4,'①在庫を貼る'!$W$6:$W$10005,$C180)))</f>
        <v/>
      </c>
      <c r="J180">
        <f>IF($C180="","",IF('②発注する'!$AD184="","",'②発注する'!$AD184))</f>
        <v/>
      </c>
      <c r="K180" s="90">
        <f>IF($C180="","",IF('②発注する'!$AE184="","",'②発注する'!$AE184))</f>
        <v/>
      </c>
      <c r="L180">
        <f>IF($C180="","",IF(AND(ISNUMBER($J180),ISNUMBER($K180),$K180&gt;='設定'!$C$6),$J180,N($I180)))</f>
        <v/>
      </c>
      <c r="M180">
        <f>IF($C180="","",IFERROR(IF(N(INDEX('商品マスタ'!$J$6:$J$1005,MATCH($C180,'商品マスタ'!$B$6:$B$1005,0)))&gt;0,INDEX('商品マスタ'!$J$6:$J$1005,MATCH($C180,'商品マスタ'!$B$6:$B$1005,0)),""),""))</f>
        <v/>
      </c>
      <c r="N180">
        <f>IF($C180="","",IFERROR(IF(N(INDEX('商品マスタ'!$H$6:$H$1005,MATCH($C180,'商品マスタ'!$B$6:$B$1005,0)))&gt;0,INDEX('商品マスタ'!$H$6:$H$1005,MATCH($C180,'商品マスタ'!$B$6:$B$1005,0)),""),""))</f>
        <v/>
      </c>
      <c r="O180">
        <f>IF($C180="","",IF($N180&lt;&gt;"",$N180*$G180,IF(N(IF(COUNTIFS('①在庫を貼る'!$V$6:$V$10005,'設定'!$C$4,'①在庫を貼る'!$W$6:$W$10005,$C180)&gt;0,SUMIFS('①在庫を貼る'!$O$6:$O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O$6:$O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O$6:$O$10005,'月1回_2ヶ月前の在庫'!$V$6:$V$10005,'設定'!$C$4,'月1回_2ヶ月前の在庫'!$W$6:$W$10005,$C180)/COUNTIFS('月1回_2ヶ月前の在庫'!$V$6:$V$10005,'設定'!$C$4,'月1回_2ヶ月前の在庫'!$W$6:$W$10005,$C180),0))))&gt;0,N(IF(COUNTIFS('①在庫を貼る'!$V$6:$V$10005,'設定'!$C$4,'①在庫を貼る'!$W$6:$W$10005,$C180)&gt;0,SUMIFS('①在庫を貼る'!$O$6:$O$10005,'①在庫を貼る'!$V$6:$V$10005,'設定'!$C$4,'①在庫を貼る'!$W$6:$W$10005,$C180)/COUNTIFS('①在庫を貼る'!$V$6:$V$10005,'設定'!$C$4,'①在庫を貼る'!$W$6:$W$10005,$C180),IF(COUNTIFS('月1回_1ヶ月前の在庫'!$V$6:$V$10005,'設定'!$C$4,'月1回_1ヶ月前の在庫'!$W$6:$W$10005,$C180)&gt;0,SUMIFS('月1回_1ヶ月前の在庫'!$O$6:$O$10005,'月1回_1ヶ月前の在庫'!$V$6:$V$10005,'設定'!$C$4,'月1回_1ヶ月前の在庫'!$W$6:$W$10005,$C180)/COUNTIFS('月1回_1ヶ月前の在庫'!$V$6:$V$10005,'設定'!$C$4,'月1回_1ヶ月前の在庫'!$W$6:$W$10005,$C180),IF(COUNTIFS('月1回_2ヶ月前の在庫'!$V$6:$V$10005,'設定'!$C$4,'月1回_2ヶ月前の在庫'!$W$6:$W$10005,$C180)&gt;0,SUMIFS('月1回_2ヶ月前の在庫'!$O$6:$O$10005,'月1回_2ヶ月前の在庫'!$V$6:$V$10005,'設定'!$C$4,'月1回_2ヶ月前の在庫'!$W$6:$W$10005,$C180)/COUNTIFS('月1回_2ヶ月前の在庫'!$V$6:$V$10005,'設定'!$C$4,'月1回_2ヶ月前の在庫'!$W$6:$W$10005,$C180),0)))),"")))</f>
        <v/>
      </c>
      <c r="P180" s="90">
        <f>IF($C180="","",IF('②発注する'!$I184="","",'②発注する'!$I184))</f>
        <v/>
      </c>
      <c r="Q180">
        <f>IF($C180="","",IF('②発注する'!$J184="","",'②発注する'!$J184))</f>
        <v/>
      </c>
      <c r="R180">
        <f>IF($C180="",0,IF(AND(ISNUMBER($P180),ISNUMBER($Q180)),MAX(0,$Q180)*$G180,0))</f>
        <v/>
      </c>
      <c r="S180" s="90">
        <f>IF($C180="","",IF('②発注する'!$M184="","",'②発注する'!$M184))</f>
        <v/>
      </c>
      <c r="T180">
        <f>IF($C180="","",IF('②発注する'!$N184="","",'②発注する'!$N184))</f>
        <v/>
      </c>
      <c r="U180">
        <f>IF($C180="",0,IF(AND(ISNUMBER($S180),ISNUMBER($T180)),MAX(0,$T180)*$G180,0))</f>
        <v/>
      </c>
      <c r="V180">
        <f>IF($C180="",0,IF($M180="",0,MAX(0,$M180)*MAX(0,V$4)/100))</f>
        <v/>
      </c>
      <c r="W180">
        <f>IF($C180="",0,IF($M180="",0,MAX(0,$M180)*MAX(0,W$4)/100))</f>
        <v/>
      </c>
      <c r="X180">
        <f>IF($C180="",0,IF($M180="",0,MAX(0,$M180)*MAX(0,X$4)/100))</f>
        <v/>
      </c>
      <c r="Y180">
        <f>IF($C180="",0,IF($M180="",0,MAX(0,$M180)*MAX(0,Y$4)/100))</f>
        <v/>
      </c>
      <c r="Z180">
        <f>IF($C180="",0,IF($M180="",0,MAX(0,$M180)*MAX(0,Z$4)/100))</f>
        <v/>
      </c>
      <c r="AA180">
        <f>IF($C180="",0,IF($M180="",0,MAX(0,$M180)*MAX(0,AA$4)/100))</f>
        <v/>
      </c>
      <c r="AB180">
        <f>IF($C180="",0,IF($M180="",0,MAX(0,$M180)*MAX(0,AB$4)/100))</f>
        <v/>
      </c>
      <c r="AC180">
        <f>IF($C180="",0,IF($M180="",0,MAX(0,$M180)*MAX(0,AC$4)/100))</f>
        <v/>
      </c>
      <c r="AD180">
        <f>IF($C180="",0,IF($M180="",0,MAX(0,$M180)*MAX(0,AD$4)/100))</f>
        <v/>
      </c>
      <c r="AE180">
        <f>IF($C180="",0,IF($M180="",0,MAX(0,$M180)*MAX(0,AE$4)/100))</f>
        <v/>
      </c>
      <c r="AF180">
        <f>IF($C180="",0,IF($M180="",0,MAX(0,$M180)*MAX(0,AF$4)/100))</f>
        <v/>
      </c>
      <c r="AG180">
        <f>IF($C180="",0,IF($M180="",0,MAX(0,$M180)*MAX(0,AG$4)/100))</f>
        <v/>
      </c>
      <c r="AH180">
        <f>IF($C180="",0,IF($M180="",0,MAX(0,$M180)*MAX(0,AH$4)/100))</f>
        <v/>
      </c>
      <c r="AI180">
        <f>IF($C180="",0,IF($M180="",0,MAX(0,$M180)*MAX(0,AI$4)/100))</f>
        <v/>
      </c>
      <c r="AJ180">
        <f>IF($C180="",0,MAX(0,MAX(0,N($L180))-$V180))</f>
        <v/>
      </c>
      <c r="AK180">
        <f>IF($C180="",0,MAX(0,$AJ180-$W180))</f>
        <v/>
      </c>
      <c r="AL180">
        <f>IF($C180="",0,MAX(0,$AK180-$X180))</f>
        <v/>
      </c>
      <c r="AM180">
        <f>IF($C180="",0,MAX(0,$AL180-$Y180))</f>
        <v/>
      </c>
      <c r="AN180">
        <f>IF($C180="",0,MAX(0,$AM180-$Z180))</f>
        <v/>
      </c>
      <c r="AO180">
        <f>IF($C180="",0,MAX(0,$AN180-$AA180))</f>
        <v/>
      </c>
      <c r="AP180">
        <f>IF($C180="",0,MAX(0,$AO180-$AB180))</f>
        <v/>
      </c>
      <c r="AQ180">
        <f>IF($C180="",0,MAX(0,$AP180-$AC180))</f>
        <v/>
      </c>
      <c r="AR180">
        <f>IF($C180="",0,MAX(0,$AQ180-$AD180))</f>
        <v/>
      </c>
      <c r="AS180">
        <f>IF($C180="",0,MAX(0,$AR180-$AE180))</f>
        <v/>
      </c>
      <c r="AT180">
        <f>IF($C180="",0,MAX(0,$AS180-$AF180))</f>
        <v/>
      </c>
      <c r="AU180">
        <f>IF($C180="",0,MAX(0,$AT180-$AG180))</f>
        <v/>
      </c>
      <c r="AV180">
        <f>IF($C180="",0,MAX(0,$AU180-$AH180))</f>
        <v/>
      </c>
      <c r="AW180">
        <f>IF($C180="",0,MAX(0,$AV180-$AI180))</f>
        <v/>
      </c>
      <c r="AX180">
        <f>IF($C180="",0,MAX(0,MAX(0,N($L180))+IF($P180=V$3,$R180,0)+IF($S180=V$3,$U180,0)-$V180))</f>
        <v/>
      </c>
      <c r="AY180">
        <f>IF($C180="",0,MAX(0,$AX180+IF($P180=W$3,$R180,0)+IF($S180=W$3,$U180,0)-$W180))</f>
        <v/>
      </c>
      <c r="AZ180">
        <f>IF($C180="",0,MAX(0,$AY180+IF($P180=X$3,$R180,0)+IF($S180=X$3,$U180,0)-$X180))</f>
        <v/>
      </c>
      <c r="BA180">
        <f>IF($C180="",0,MAX(0,$AZ180+IF($P180=Y$3,$R180,0)+IF($S180=Y$3,$U180,0)-$Y180))</f>
        <v/>
      </c>
      <c r="BB180">
        <f>IF($C180="",0,MAX(0,$BA180+IF($P180=Z$3,$R180,0)+IF($S180=Z$3,$U180,0)-$Z180))</f>
        <v/>
      </c>
      <c r="BC180">
        <f>IF($C180="",0,MAX(0,$BB180+IF($P180=AA$3,$R180,0)+IF($S180=AA$3,$U180,0)-$AA180))</f>
        <v/>
      </c>
      <c r="BD180">
        <f>IF($C180="",0,MAX(0,$BC180+IF($P180=AB$3,$R180,0)+IF($S180=AB$3,$U180,0)-$AB180))</f>
        <v/>
      </c>
      <c r="BE180">
        <f>IF($C180="",0,MAX(0,$BD180+IF($P180=AC$3,$R180,0)+IF($S180=AC$3,$U180,0)-$AC180))</f>
        <v/>
      </c>
      <c r="BF180">
        <f>IF($C180="",0,MAX(0,$BE180+IF($P180=AD$3,$R180,0)+IF($S180=AD$3,$U180,0)-$AD180))</f>
        <v/>
      </c>
      <c r="BG180">
        <f>IF($C180="",0,MAX(0,$BF180+IF($P180=AE$3,$R180,0)+IF($S180=AE$3,$U180,0)-$AE180))</f>
        <v/>
      </c>
      <c r="BH180">
        <f>IF($C180="",0,MAX(0,$BG180+IF($P180=AF$3,$R180,0)+IF($S180=AF$3,$U180,0)-$AF180))</f>
        <v/>
      </c>
      <c r="BI180">
        <f>IF($C180="",0,MAX(0,$BH180+IF($P180=AG$3,$R180,0)+IF($S180=AG$3,$U180,0)-$AG180))</f>
        <v/>
      </c>
      <c r="BJ180">
        <f>IF($C180="",0,MAX(0,$BI180+IF($P180=AH$3,$R180,0)+IF($S180=AH$3,$U180,0)-$AH180))</f>
        <v/>
      </c>
      <c r="BK180">
        <f>IF($C180="",0,MAX(0,$BJ180+IF($P180=AI$3,$R180,0)+IF($S180=AI$3,$U180,0)-$AI180))</f>
        <v/>
      </c>
      <c r="BL180">
        <f>IF($C180="",99,IF(AND($AX180&lt;1,V$3&gt;=MAX(N($P180),N($S180))),0,99))</f>
        <v/>
      </c>
      <c r="BM180">
        <f>IF($C180="",99,IF(AND($AY180&lt;1,W$3&gt;=MAX(N($P180),N($S180))),1,99))</f>
        <v/>
      </c>
      <c r="BN180">
        <f>IF($C180="",99,IF(AND($AZ180&lt;1,X$3&gt;=MAX(N($P180),N($S180))),2,99))</f>
        <v/>
      </c>
      <c r="BO180">
        <f>IF($C180="",99,IF(AND($BA180&lt;1,Y$3&gt;=MAX(N($P180),N($S180))),3,99))</f>
        <v/>
      </c>
      <c r="BP180">
        <f>IF($C180="",99,IF(AND($BB180&lt;1,Z$3&gt;=MAX(N($P180),N($S180))),4,99))</f>
        <v/>
      </c>
      <c r="BQ180">
        <f>IF($C180="",99,IF(AND($BC180&lt;1,AA$3&gt;=MAX(N($P180),N($S180))),5,99))</f>
        <v/>
      </c>
      <c r="BR180">
        <f>IF($C180="",99,IF(AND($BD180&lt;1,AB$3&gt;=MAX(N($P180),N($S180))),6,99))</f>
        <v/>
      </c>
      <c r="BS180">
        <f>IF($C180="",99,IF(AND($BE180&lt;1,AC$3&gt;=MAX(N($P180),N($S180))),7,99))</f>
        <v/>
      </c>
      <c r="BT180">
        <f>IF($C180="",99,IF(AND($BF180&lt;1,AD$3&gt;=MAX(N($P180),N($S180))),8,99))</f>
        <v/>
      </c>
      <c r="BU180">
        <f>IF($C180="",99,IF(AND($BG180&lt;1,AE$3&gt;=MAX(N($P180),N($S180))),9,99))</f>
        <v/>
      </c>
      <c r="BV180">
        <f>IF($C180="",99,IF(AND($BH180&lt;1,AF$3&gt;=MAX(N($P180),N($S180))),10,99))</f>
        <v/>
      </c>
      <c r="BW180">
        <f>IF($C180="",99,IF(AND($BI180&lt;1,AG$3&gt;=MAX(N($P180),N($S180))),11,99))</f>
        <v/>
      </c>
      <c r="BX180">
        <f>IF($C180="",99,IF(AND($BJ180&lt;1,AH$3&gt;=MAX(N($P180),N($S180))),12,99))</f>
        <v/>
      </c>
      <c r="BY180">
        <f>IF($C180="",99,IF(AND($BK180&lt;1,AI$3&gt;=MAX(N($P180),N($S180))),13,99))</f>
        <v/>
      </c>
      <c r="BZ180">
        <f>IF(OR($C180="",$M180=""),"",COUNTIF($AJ180:$AW180,"&gt;=1"))</f>
        <v/>
      </c>
      <c r="CA180" s="90">
        <f>IF($BZ180="","",IF($BZ180&gt;=14,"",'設定'!$C$6+$BZ180))</f>
        <v/>
      </c>
      <c r="CB180">
        <f>IF(OR($C180="",$M180=""),"",MIN($BL180:$BY180))</f>
        <v/>
      </c>
      <c r="CC180" s="90">
        <f>IF($CB180="","",IF($CB180&gt;=99,"",'設定'!$C$6+$CB180))</f>
        <v/>
      </c>
      <c r="CD180">
        <f>IF(OR($C180="",$M180=""),"",AVERAGE($V180:$AI180))</f>
        <v/>
      </c>
      <c r="CE180">
        <f>IF($C180="","",IFERROR(IF(MATCH(IF(ISNUMBER($P180),$P180,'設定'!$C$6+N('設定'!$C$7)),$V$3:$AI$3,0)=1,MAX(0,N($L180)),INDEX($AJ180:$AW180,MATCH(IF(ISNUMBER($P180),$P180,'設定'!$C$6+N('設定'!$C$7)),$V$3:$AI$3,0)-1)),""))</f>
        <v/>
      </c>
      <c r="CF180">
        <f>IF(OR($C180="",$O180="",$CE180=""),"",IF($O180-$CE180&lt;=0,0,ROUNDUP(($O180-$CE180)/$G180,0)))</f>
        <v/>
      </c>
      <c r="CG180">
        <f>IF(OR($C180="",$CF180="",NOT(ISNUMBER($Q180))),0,MAX(0,$Q180-$CF180))</f>
        <v/>
      </c>
      <c r="CH180">
        <f>IF(OR($C180="",$O180="",$U180=0),0,IFERROR(ROUNDUP(MAX(0,IF(MATCH($S180,$V$3:$AI$3,0)=1,MAX(0,N($L180)),INDEX($AX180:$BK180,MATCH($S180,$V$3:$AI$3,0)-1))+$U180-$O180)/$G180,0),0))</f>
        <v/>
      </c>
      <c r="CI180">
        <f>IF($C180="","",IF(AND($P180="",$Q180=""),"",IF($P180="","⚠ 入庫日を ▼ から選んでください",IF(NOT(ISNUMBER($P180)),"⚠ 入庫日は ▼ から選んでください",IF($P180&lt;N('設定'!$C$6),"⚠ 入庫日が過去です（もう在庫に入っています）→ 消してください",IF($P180&gt;N('設定'!$C$6)+13,"⚠ 入庫日が14日より先です",IF(N($Q180)&lt;=0,"⚠ 入庫数を入れてください",IF($CG180&gt;0,"⚠ 目安より "&amp;$CG180&amp;" 多い（定数を超える）→ 減らす",""))))))))</f>
        <v/>
      </c>
      <c r="CJ180">
        <f>IF($C180="","",IF(AND($S180="",$T180=""),"",IF($S180="","⚠ 2便目：入庫日を ▼ から選んでください",IF(NOT(ISNUMBER($S180)),"⚠ 2便目：入庫日は ▼ から選んでください",IF($S180&lt;N('設定'!$C$6),"⚠ 2便目：入庫日が過去です（もう在庫に入っています）→ 消してください",IF($S180&gt;N('設定'!$C$6)+13,"⚠ 2便目：入庫日が14日より先です",IF(N($T180)&lt;=0,"⚠ 2便目：入庫数を入れてください",IF($CH180&gt;0,"⚠ 2便目：定数を "&amp;$CH180&amp;" ケース超える → 減らす",""))))))))</f>
        <v/>
      </c>
      <c r="CK180">
        <f>IF(AND($CI180="",N($Q180)&gt;0,ISNUMBER($P180)),1,0)</f>
        <v/>
      </c>
      <c r="CL180">
        <f>IF(AND($CJ180="",N($T180)&gt;0,ISNUMBER($S180)),1,0)</f>
        <v/>
      </c>
      <c r="CM180">
        <f>IF(OR($CK180=1,$CL180=1),1,0)</f>
        <v/>
      </c>
      <c r="CN180">
        <f>IF($C180="",0,($CK180*$R180+$CL180*$U180)*N($H180))</f>
        <v/>
      </c>
      <c r="CO180">
        <f>IF($C180="","",IF($CC180="","入庫後は 14日以上もつ",IF($CC180-N('設定'!$C$7)&lt;='設定'!$C$6,"入庫後も "&amp;TEXT($CC180,"m/d")&amp;"("&amp;CHOOSE(WEEKDAY($CC180),"日","月","火","水","木","金","土")&amp;")"&amp;" に切れる　もう1便を至急発注","入庫後も "&amp;TEXT($CC180,"m/d")&amp;"("&amp;CHOOSE(WEEKDAY($CC180),"日","月","火","水","木","金","土")&amp;")"&amp;" に切れる　"&amp;TEXT($CC180-N('設定'!$C$7),"m/d")&amp;"("&amp;CHOOSE(WEEKDAY($CC180-N('設定'!$C$7)),"日","月","火","水","木","金","土")&amp;")"&amp;" までに次を発注")))</f>
        <v/>
      </c>
      <c r="CP180">
        <f>IF($C180="","",IF('設定'!$C$6="","？ ①在庫を貼る に今日のCSVが貼られていない",IF($CS180=1,"－ 今日のCSVに無い（終売？）",IF($L180&lt;0,"● 在庫がマイナス　数えて「数えた在庫」に入れる",IF($L180=0,"● 在庫なし　至急発注",IF($M180="","？ 減り数が未設定（商品マスタ）",IF($B$3=0,"？ 動員が未入力（動員を入れる）",IF($CA180="","○ 14日以上もつ",IF($BZ180&lt;N('設定'!$C$7),"● "&amp;TEXT($CA180,"m/d")&amp;"("&amp;CHOOSE(WEEKDAY($CA180),"日","月","火","水","木","金","土")&amp;")"&amp;" に切れる　至急発注",IF($BZ180=N('設定'!$C$7),"● "&amp;TEXT($CA180,"m/d")&amp;"("&amp;CHOOSE(WEEKDAY($CA180),"日","月","火","水","木","金","土")&amp;")"&amp;" に切れる　今日発注","△ "&amp;TEXT($CA180,"m/d")&amp;"("&amp;CHOOSE(WEEKDAY($CA180),"日","月","火","水","木","金","土")&amp;")"&amp;" に切れる　"&amp;TEXT($CA180-N('設定'!$C$7),"m/d")&amp;"("&amp;CHOOSE(WEEKDAY($CA180-N('設定'!$C$7)),"日","月","火","水","木","金","土")&amp;")"&amp;" までに発注"))))))))))</f>
        <v/>
      </c>
      <c r="CQ180">
        <f>IF($C180="","",IF(AND($P180="",$Q180="",$S180="",$T180=""),"",IF(AND($P180="",$Q180=""),"⚠ 先に1便目（左の入庫日・入庫数）に入れてください",IF($CI180&lt;&gt;"",$CI180,IF($CJ180&lt;&gt;"",$CJ180,IF($M180="","？ 減り数が未設定（発注書には載ります）",IF($B$3=0,"？ 動員が未入力（発注書には載ります）",IF(AND($CA180&lt;&gt;"",$P180&gt;$CA180),IF($P180&gt;'設定'!$C$6+N('設定'!$C$7),"● "&amp;TEXT($P180,"m/d")&amp;"("&amp;CHOOSE(WEEKDAY($P180),"日","月","火","水","木","金","土")&amp;")"&amp;" の入庫では間に合わない（"&amp;TEXT($CA180,"m/d")&amp;"("&amp;CHOOSE(WEEKDAY($CA180),"日","月","火","水","木","金","土")&amp;")"&amp;" に切れる）　入庫日を早める","△ 欠品 "&amp;TEXT($CA180,"m/d")&amp;"("&amp;CHOOSE(WEEKDAY($CA180),"日","月","火","水","木","金","土")&amp;")"&amp;"〜"&amp;TEXT($P180-1,"m/d")&amp;"("&amp;CHOOSE(WEEKDAY($P180-1),"日","月","火","水","木","金","土")&amp;")"&amp;"　"&amp;$CO180),IF($CC180="","○ "&amp;TEXT($P180,"m/d")&amp;"("&amp;CHOOSE(WEEKDAY($P180),"日","月","火","水","木","金","土")&amp;")"&amp;" 入庫で 14日以上もつ",IF($CC180-N('設定'!$C$7)&lt;='設定'!$C$6,"● 入庫しても "&amp;TEXT($CC180,"m/d")&amp;"("&amp;CHOOSE(WEEKDAY($CC180),"日","月","火","水","木","金","土")&amp;")"&amp;" に切れる　もう1便を至急発注（2便目に入れる）","△ 入庫しても "&amp;TEXT($CC180,"m/d")&amp;"("&amp;CHOOSE(WEEKDAY($CC180),"日","月","火","水","木","金","土")&amp;")"&amp;" に切れる　"&amp;TEXT($CC180-N('設定'!$C$7),"m/d")&amp;"("&amp;CHOOSE(WEEKDAY($CC180-N('設定'!$C$7)),"日","月","火","水","木","金","土")&amp;")"&amp;" までに次を発注（2便目に入れる）"))))))))))</f>
        <v/>
      </c>
      <c r="CR180">
        <f>IF($C180="","",IF($G180&gt;1,"ｹｰｽ("&amp;$G180&amp;"入)","個"))</f>
        <v/>
      </c>
      <c r="CS180">
        <f>IF($C180="",0,IF(COUNTIFS('①在庫を貼る'!$V$6:$V$10005,'設定'!$C$4,'①在庫を貼る'!$W$6:$W$10005,$C180)=0,1,0))</f>
        <v/>
      </c>
      <c r="CT180">
        <f>IF(AND($CK180=1,OR('③発注書'!$C$4="すべて",'③発注書'!$C$4="",$F180='③発注書'!$C$4)),N($CT179)+1,N($CT179))</f>
        <v/>
      </c>
      <c r="CU180">
        <f>IF(AND($CL180=1,OR('③発注書'!$C$4="すべて",'③発注書'!$C$4="",$F180='③発注書'!$C$4)),N($CU179)+1,N($CU179))</f>
        <v/>
      </c>
      <c r="CV180">
        <f>IF($C180="",0,IF(COUNTIFS('①在庫を貼る'!$V$6:$V$10005,'設定'!$C$4,'①在庫を貼る'!$W$6:$W$10005,$C180)&gt;0,1,0))</f>
        <v/>
      </c>
      <c r="CW180">
        <f>IF($C180="",0,IF(COUNTIFS('月1回_1ヶ月前の在庫'!$V$6:$V$10005,'設定'!$C$4,'月1回_1ヶ月前の在庫'!$W$6:$W$10005,$C180)&gt;0,1,0))</f>
        <v/>
      </c>
      <c r="CX180">
        <f>IF($C180="",0,IF(COUNTIFS('月1回_2ヶ月前の在庫'!$V$6:$V$10005,'設定'!$C$4,'月1回_2ヶ月前の在庫'!$W$6:$W$10005,$C180)&gt;0,1,0))</f>
        <v/>
      </c>
      <c r="CY180">
        <f>IF(OR($C180="",'設定'!$C$12=""),"",IF('設定'!$C$13="",IF(AND($CV180=1,$CW180=0),"新商品（今月から）",IF(AND($CV180=0,$CW180=1),"終売（今月から）","")),IF(AND($CV180=1,$CW180=0,$CX180=0),"新商品（今月から）",IF(AND($CV180=1,$CW180=1,$CX180=0),"新商品（先月から）",IF(AND($CV180=0,$CW180=1,$CX180=1),"終売（今月から）",IF(AND($CV180=0,$CW180=0,$CX180=1),"終売（先月から）",IF(AND($CV180=1,$CW180=0,$CX180=1),"復活（先月は無し）","")))))))</f>
        <v/>
      </c>
    </row>
    <row r="181">
      <c r="B181">
        <f>IF(176&lt;='設定'!$C$11,176,"")</f>
        <v/>
      </c>
      <c r="C181">
        <f>IF($B181="","",IF($B181&lt;='設定'!$C$20,INDEX('商品マスタ'!$B$6:$B$1005,MATCH($B181,'商品マスタ'!$M$6:$M$1005,0)),IF($B181&lt;='設定'!$C$20+'設定'!$C$17,INDEX('①在庫を貼る'!$W$6:$W$10005,MATCH($B181-'設定'!$C$20,'①在庫を貼る'!$U$6:$U$10005,0)),IF($B181&lt;='設定'!$C$20+'設定'!$C$17+'設定'!$C$18,INDEX('月1回_1ヶ月前の在庫'!$W$6:$W$10005,MATCH($B181-'設定'!$C$20-'設定'!$C$17,'月1回_1ヶ月前の在庫'!$U$6:$U$10005,0)),INDEX('月1回_2ヶ月前の在庫'!$W$6:$W$10005,MATCH($B181-'設定'!$C$20-'設定'!$C$17-'設定'!$C$18,'月1回_2ヶ月前の在庫'!$U$6:$U$10005,0))))))</f>
        <v/>
      </c>
      <c r="D181">
        <f>IF($C181="","",IFERROR(IF(INDEX('商品マスタ'!$C$6:$C$1005,MATCH($C181,'商品マスタ'!$B$6:$B$1005,0))="",IFERROR(INDEX('①在庫を貼る'!$J$6:$J$10005,MATCH($C181,'①在庫を貼る'!$W$6:$W$10005,0)),IFERROR(INDEX('月1回_1ヶ月前の在庫'!$J$6:$J$10005,MATCH($C181,'月1回_1ヶ月前の在庫'!$W$6:$W$10005,0)),IFERROR(INDEX('月1回_2ヶ月前の在庫'!$J$6:$J$10005,MATCH($C181,'月1回_2ヶ月前の在庫'!$W$6:$W$10005,0)),""))),INDEX('商品マスタ'!$C$6:$C$1005,MATCH($C181,'商品マスタ'!$B$6:$B$1005,0))),IFERROR(INDEX('①在庫を貼る'!$J$6:$J$10005,MATCH($C181,'①在庫を貼る'!$W$6:$W$10005,0)),IFERROR(INDEX('月1回_1ヶ月前の在庫'!$J$6:$J$10005,MATCH($C181,'月1回_1ヶ月前の在庫'!$W$6:$W$10005,0)),IFERROR(INDEX('月1回_2ヶ月前の在庫'!$J$6:$J$10005,MATCH($C181,'月1回_2ヶ月前の在庫'!$W$6:$W$10005,0)),"")))))</f>
        <v/>
      </c>
      <c r="E181">
        <f>IF($C181="","",IFERROR(IF(INDEX('商品マスタ'!$D$6:$D$1005,MATCH($C181,'商品マスタ'!$B$6:$B$1005,0))="",IFERROR(INDEX('①在庫を貼る'!$H$6:$H$10005,MATCH($C181,'①在庫を貼る'!$W$6:$W$10005,0)),IFERROR(INDEX('月1回_1ヶ月前の在庫'!$H$6:$H$10005,MATCH($C181,'月1回_1ヶ月前の在庫'!$W$6:$W$10005,0)),IFERROR(INDEX('月1回_2ヶ月前の在庫'!$H$6:$H$10005,MATCH($C181,'月1回_2ヶ月前の在庫'!$W$6:$W$10005,0)),""))),INDEX('商品マスタ'!$D$6:$D$1005,MATCH($C181,'商品マスタ'!$B$6:$B$1005,0))),IFERROR(INDEX('①在庫を貼る'!$H$6:$H$10005,MATCH($C181,'①在庫を貼る'!$W$6:$W$10005,0)),IFERROR(INDEX('月1回_1ヶ月前の在庫'!$H$6:$H$10005,MATCH($C181,'月1回_1ヶ月前の在庫'!$W$6:$W$10005,0)),IFERROR(INDEX('月1回_2ヶ月前の在庫'!$H$6:$H$10005,MATCH($C181,'月1回_2ヶ月前の在庫'!$W$6:$W$10005,0)),"")))))</f>
        <v/>
      </c>
      <c r="F181">
        <f>IF($C181="","",IFERROR(IF(INDEX('商品マスタ'!$E$6:$E$1005,MATCH($C181,'商品マスタ'!$B$6:$B$1005,0))="",IFERROR(INDEX('①在庫を貼る'!$E$6:$E$10005,MATCH($C181,'①在庫を貼る'!$W$6:$W$10005,0)),IFERROR(INDEX('月1回_1ヶ月前の在庫'!$E$6:$E$10005,MATCH($C181,'月1回_1ヶ月前の在庫'!$W$6:$W$10005,0)),IFERROR(INDEX('月1回_2ヶ月前の在庫'!$E$6:$E$10005,MATCH($C181,'月1回_2ヶ月前の在庫'!$W$6:$W$10005,0)),""))),INDEX('商品マスタ'!$E$6:$E$1005,MATCH($C181,'商品マスタ'!$B$6:$B$1005,0))),IFERROR(INDEX('①在庫を貼る'!$E$6:$E$10005,MATCH($C181,'①在庫を貼る'!$W$6:$W$10005,0)),IFERROR(INDEX('月1回_1ヶ月前の在庫'!$E$6:$E$10005,MATCH($C181,'月1回_1ヶ月前の在庫'!$W$6:$W$10005,0)),IFERROR(INDEX('月1回_2ヶ月前の在庫'!$E$6:$E$10005,MATCH($C181,'月1回_2ヶ月前の在庫'!$W$6:$W$10005,0)),"")))))</f>
        <v/>
      </c>
      <c r="G181">
        <f>IF($C181="","",MAX(1,N(IFERROR(IF(INDEX('商品マスタ'!$F$6:$F$1005,MATCH($C181,'商品マスタ'!$B$6:$B$1005,0))="",IF(COUNTIFS('①在庫を貼る'!$V$6:$V$10005,'設定'!$C$4,'①在庫を貼る'!$W$6:$W$10005,$C181)&gt;0,SUMIFS('①在庫を貼る'!$K$6:$K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K$6:$K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K$6:$K$10005,'月1回_2ヶ月前の在庫'!$V$6:$V$10005,'設定'!$C$4,'月1回_2ヶ月前の在庫'!$W$6:$W$10005,$C181)/COUNTIFS('月1回_2ヶ月前の在庫'!$V$6:$V$10005,'設定'!$C$4,'月1回_2ヶ月前の在庫'!$W$6:$W$10005,$C181),0))),INDEX('商品マスタ'!$F$6:$F$1005,MATCH($C181,'商品マスタ'!$B$6:$B$1005,0))),IF(COUNTIFS('①在庫を貼る'!$V$6:$V$10005,'設定'!$C$4,'①在庫を貼る'!$W$6:$W$10005,$C181)&gt;0,SUMIFS('①在庫を貼る'!$K$6:$K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K$6:$K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K$6:$K$10005,'月1回_2ヶ月前の在庫'!$V$6:$V$10005,'設定'!$C$4,'月1回_2ヶ月前の在庫'!$W$6:$W$10005,$C181)/COUNTIFS('月1回_2ヶ月前の在庫'!$V$6:$V$10005,'設定'!$C$4,'月1回_2ヶ月前の在庫'!$W$6:$W$10005,$C181),0)))))))</f>
        <v/>
      </c>
      <c r="H181">
        <f>IF($C181="","",N(IFERROR(IF(INDEX('商品マスタ'!$G$6:$G$1005,MATCH($C181,'商品マスタ'!$B$6:$B$1005,0))="",IF(COUNTIFS('①在庫を貼る'!$V$6:$V$10005,'設定'!$C$4,'①在庫を貼る'!$W$6:$W$10005,$C181)&gt;0,SUMIFS('①在庫を貼る'!$Q$6:$Q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Q$6:$Q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Q$6:$Q$10005,'月1回_2ヶ月前の在庫'!$V$6:$V$10005,'設定'!$C$4,'月1回_2ヶ月前の在庫'!$W$6:$W$10005,$C181)/COUNTIFS('月1回_2ヶ月前の在庫'!$V$6:$V$10005,'設定'!$C$4,'月1回_2ヶ月前の在庫'!$W$6:$W$10005,$C181),0))),INDEX('商品マスタ'!$G$6:$G$1005,MATCH($C181,'商品マスタ'!$B$6:$B$1005,0))),IF(COUNTIFS('①在庫を貼る'!$V$6:$V$10005,'設定'!$C$4,'①在庫を貼る'!$W$6:$W$10005,$C181)&gt;0,SUMIFS('①在庫を貼る'!$Q$6:$Q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Q$6:$Q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Q$6:$Q$10005,'月1回_2ヶ月前の在庫'!$V$6:$V$10005,'設定'!$C$4,'月1回_2ヶ月前の在庫'!$W$6:$W$10005,$C181)/COUNTIFS('月1回_2ヶ月前の在庫'!$V$6:$V$10005,'設定'!$C$4,'月1回_2ヶ月前の在庫'!$W$6:$W$10005,$C181),0))))))</f>
        <v/>
      </c>
      <c r="I181">
        <f>IF($C181="","",IF(COUNTIFS('①在庫を貼る'!$V$6:$V$10005,'設定'!$C$4,'①在庫を貼る'!$W$6:$W$10005,$C181)=0,"",SUMIFS('①在庫を貼る'!$N$6:$N$10005,'①在庫を貼る'!$V$6:$V$10005,'設定'!$C$4,'①在庫を貼る'!$W$6:$W$10005,$C181)))</f>
        <v/>
      </c>
      <c r="J181">
        <f>IF($C181="","",IF('②発注する'!$AD185="","",'②発注する'!$AD185))</f>
        <v/>
      </c>
      <c r="K181" s="90">
        <f>IF($C181="","",IF('②発注する'!$AE185="","",'②発注する'!$AE185))</f>
        <v/>
      </c>
      <c r="L181">
        <f>IF($C181="","",IF(AND(ISNUMBER($J181),ISNUMBER($K181),$K181&gt;='設定'!$C$6),$J181,N($I181)))</f>
        <v/>
      </c>
      <c r="M181">
        <f>IF($C181="","",IFERROR(IF(N(INDEX('商品マスタ'!$J$6:$J$1005,MATCH($C181,'商品マスタ'!$B$6:$B$1005,0)))&gt;0,INDEX('商品マスタ'!$J$6:$J$1005,MATCH($C181,'商品マスタ'!$B$6:$B$1005,0)),""),""))</f>
        <v/>
      </c>
      <c r="N181">
        <f>IF($C181="","",IFERROR(IF(N(INDEX('商品マスタ'!$H$6:$H$1005,MATCH($C181,'商品マスタ'!$B$6:$B$1005,0)))&gt;0,INDEX('商品マスタ'!$H$6:$H$1005,MATCH($C181,'商品マスタ'!$B$6:$B$1005,0)),""),""))</f>
        <v/>
      </c>
      <c r="O181">
        <f>IF($C181="","",IF($N181&lt;&gt;"",$N181*$G181,IF(N(IF(COUNTIFS('①在庫を貼る'!$V$6:$V$10005,'設定'!$C$4,'①在庫を貼る'!$W$6:$W$10005,$C181)&gt;0,SUMIFS('①在庫を貼る'!$O$6:$O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O$6:$O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O$6:$O$10005,'月1回_2ヶ月前の在庫'!$V$6:$V$10005,'設定'!$C$4,'月1回_2ヶ月前の在庫'!$W$6:$W$10005,$C181)/COUNTIFS('月1回_2ヶ月前の在庫'!$V$6:$V$10005,'設定'!$C$4,'月1回_2ヶ月前の在庫'!$W$6:$W$10005,$C181),0))))&gt;0,N(IF(COUNTIFS('①在庫を貼る'!$V$6:$V$10005,'設定'!$C$4,'①在庫を貼る'!$W$6:$W$10005,$C181)&gt;0,SUMIFS('①在庫を貼る'!$O$6:$O$10005,'①在庫を貼る'!$V$6:$V$10005,'設定'!$C$4,'①在庫を貼る'!$W$6:$W$10005,$C181)/COUNTIFS('①在庫を貼る'!$V$6:$V$10005,'設定'!$C$4,'①在庫を貼る'!$W$6:$W$10005,$C181),IF(COUNTIFS('月1回_1ヶ月前の在庫'!$V$6:$V$10005,'設定'!$C$4,'月1回_1ヶ月前の在庫'!$W$6:$W$10005,$C181)&gt;0,SUMIFS('月1回_1ヶ月前の在庫'!$O$6:$O$10005,'月1回_1ヶ月前の在庫'!$V$6:$V$10005,'設定'!$C$4,'月1回_1ヶ月前の在庫'!$W$6:$W$10005,$C181)/COUNTIFS('月1回_1ヶ月前の在庫'!$V$6:$V$10005,'設定'!$C$4,'月1回_1ヶ月前の在庫'!$W$6:$W$10005,$C181),IF(COUNTIFS('月1回_2ヶ月前の在庫'!$V$6:$V$10005,'設定'!$C$4,'月1回_2ヶ月前の在庫'!$W$6:$W$10005,$C181)&gt;0,SUMIFS('月1回_2ヶ月前の在庫'!$O$6:$O$10005,'月1回_2ヶ月前の在庫'!$V$6:$V$10005,'設定'!$C$4,'月1回_2ヶ月前の在庫'!$W$6:$W$10005,$C181)/COUNTIFS('月1回_2ヶ月前の在庫'!$V$6:$V$10005,'設定'!$C$4,'月1回_2ヶ月前の在庫'!$W$6:$W$10005,$C181),0)))),"")))</f>
        <v/>
      </c>
      <c r="P181" s="90">
        <f>IF($C181="","",IF('②発注する'!$I185="","",'②発注する'!$I185))</f>
        <v/>
      </c>
      <c r="Q181">
        <f>IF($C181="","",IF('②発注する'!$J185="","",'②発注する'!$J185))</f>
        <v/>
      </c>
      <c r="R181">
        <f>IF($C181="",0,IF(AND(ISNUMBER($P181),ISNUMBER($Q181)),MAX(0,$Q181)*$G181,0))</f>
        <v/>
      </c>
      <c r="S181" s="90">
        <f>IF($C181="","",IF('②発注する'!$M185="","",'②発注する'!$M185))</f>
        <v/>
      </c>
      <c r="T181">
        <f>IF($C181="","",IF('②発注する'!$N185="","",'②発注する'!$N185))</f>
        <v/>
      </c>
      <c r="U181">
        <f>IF($C181="",0,IF(AND(ISNUMBER($S181),ISNUMBER($T181)),MAX(0,$T181)*$G181,0))</f>
        <v/>
      </c>
      <c r="V181">
        <f>IF($C181="",0,IF($M181="",0,MAX(0,$M181)*MAX(0,V$4)/100))</f>
        <v/>
      </c>
      <c r="W181">
        <f>IF($C181="",0,IF($M181="",0,MAX(0,$M181)*MAX(0,W$4)/100))</f>
        <v/>
      </c>
      <c r="X181">
        <f>IF($C181="",0,IF($M181="",0,MAX(0,$M181)*MAX(0,X$4)/100))</f>
        <v/>
      </c>
      <c r="Y181">
        <f>IF($C181="",0,IF($M181="",0,MAX(0,$M181)*MAX(0,Y$4)/100))</f>
        <v/>
      </c>
      <c r="Z181">
        <f>IF($C181="",0,IF($M181="",0,MAX(0,$M181)*MAX(0,Z$4)/100))</f>
        <v/>
      </c>
      <c r="AA181">
        <f>IF($C181="",0,IF($M181="",0,MAX(0,$M181)*MAX(0,AA$4)/100))</f>
        <v/>
      </c>
      <c r="AB181">
        <f>IF($C181="",0,IF($M181="",0,MAX(0,$M181)*MAX(0,AB$4)/100))</f>
        <v/>
      </c>
      <c r="AC181">
        <f>IF($C181="",0,IF($M181="",0,MAX(0,$M181)*MAX(0,AC$4)/100))</f>
        <v/>
      </c>
      <c r="AD181">
        <f>IF($C181="",0,IF($M181="",0,MAX(0,$M181)*MAX(0,AD$4)/100))</f>
        <v/>
      </c>
      <c r="AE181">
        <f>IF($C181="",0,IF($M181="",0,MAX(0,$M181)*MAX(0,AE$4)/100))</f>
        <v/>
      </c>
      <c r="AF181">
        <f>IF($C181="",0,IF($M181="",0,MAX(0,$M181)*MAX(0,AF$4)/100))</f>
        <v/>
      </c>
      <c r="AG181">
        <f>IF($C181="",0,IF($M181="",0,MAX(0,$M181)*MAX(0,AG$4)/100))</f>
        <v/>
      </c>
      <c r="AH181">
        <f>IF($C181="",0,IF($M181="",0,MAX(0,$M181)*MAX(0,AH$4)/100))</f>
        <v/>
      </c>
      <c r="AI181">
        <f>IF($C181="",0,IF($M181="",0,MAX(0,$M181)*MAX(0,AI$4)/100))</f>
        <v/>
      </c>
      <c r="AJ181">
        <f>IF($C181="",0,MAX(0,MAX(0,N($L181))-$V181))</f>
        <v/>
      </c>
      <c r="AK181">
        <f>IF($C181="",0,MAX(0,$AJ181-$W181))</f>
        <v/>
      </c>
      <c r="AL181">
        <f>IF($C181="",0,MAX(0,$AK181-$X181))</f>
        <v/>
      </c>
      <c r="AM181">
        <f>IF($C181="",0,MAX(0,$AL181-$Y181))</f>
        <v/>
      </c>
      <c r="AN181">
        <f>IF($C181="",0,MAX(0,$AM181-$Z181))</f>
        <v/>
      </c>
      <c r="AO181">
        <f>IF($C181="",0,MAX(0,$AN181-$AA181))</f>
        <v/>
      </c>
      <c r="AP181">
        <f>IF($C181="",0,MAX(0,$AO181-$AB181))</f>
        <v/>
      </c>
      <c r="AQ181">
        <f>IF($C181="",0,MAX(0,$AP181-$AC181))</f>
        <v/>
      </c>
      <c r="AR181">
        <f>IF($C181="",0,MAX(0,$AQ181-$AD181))</f>
        <v/>
      </c>
      <c r="AS181">
        <f>IF($C181="",0,MAX(0,$AR181-$AE181))</f>
        <v/>
      </c>
      <c r="AT181">
        <f>IF($C181="",0,MAX(0,$AS181-$AF181))</f>
        <v/>
      </c>
      <c r="AU181">
        <f>IF($C181="",0,MAX(0,$AT181-$AG181))</f>
        <v/>
      </c>
      <c r="AV181">
        <f>IF($C181="",0,MAX(0,$AU181-$AH181))</f>
        <v/>
      </c>
      <c r="AW181">
        <f>IF($C181="",0,MAX(0,$AV181-$AI181))</f>
        <v/>
      </c>
      <c r="AX181">
        <f>IF($C181="",0,MAX(0,MAX(0,N($L181))+IF($P181=V$3,$R181,0)+IF($S181=V$3,$U181,0)-$V181))</f>
        <v/>
      </c>
      <c r="AY181">
        <f>IF($C181="",0,MAX(0,$AX181+IF($P181=W$3,$R181,0)+IF($S181=W$3,$U181,0)-$W181))</f>
        <v/>
      </c>
      <c r="AZ181">
        <f>IF($C181="",0,MAX(0,$AY181+IF($P181=X$3,$R181,0)+IF($S181=X$3,$U181,0)-$X181))</f>
        <v/>
      </c>
      <c r="BA181">
        <f>IF($C181="",0,MAX(0,$AZ181+IF($P181=Y$3,$R181,0)+IF($S181=Y$3,$U181,0)-$Y181))</f>
        <v/>
      </c>
      <c r="BB181">
        <f>IF($C181="",0,MAX(0,$BA181+IF($P181=Z$3,$R181,0)+IF($S181=Z$3,$U181,0)-$Z181))</f>
        <v/>
      </c>
      <c r="BC181">
        <f>IF($C181="",0,MAX(0,$BB181+IF($P181=AA$3,$R181,0)+IF($S181=AA$3,$U181,0)-$AA181))</f>
        <v/>
      </c>
      <c r="BD181">
        <f>IF($C181="",0,MAX(0,$BC181+IF($P181=AB$3,$R181,0)+IF($S181=AB$3,$U181,0)-$AB181))</f>
        <v/>
      </c>
      <c r="BE181">
        <f>IF($C181="",0,MAX(0,$BD181+IF($P181=AC$3,$R181,0)+IF($S181=AC$3,$U181,0)-$AC181))</f>
        <v/>
      </c>
      <c r="BF181">
        <f>IF($C181="",0,MAX(0,$BE181+IF($P181=AD$3,$R181,0)+IF($S181=AD$3,$U181,0)-$AD181))</f>
        <v/>
      </c>
      <c r="BG181">
        <f>IF($C181="",0,MAX(0,$BF181+IF($P181=AE$3,$R181,0)+IF($S181=AE$3,$U181,0)-$AE181))</f>
        <v/>
      </c>
      <c r="BH181">
        <f>IF($C181="",0,MAX(0,$BG181+IF($P181=AF$3,$R181,0)+IF($S181=AF$3,$U181,0)-$AF181))</f>
        <v/>
      </c>
      <c r="BI181">
        <f>IF($C181="",0,MAX(0,$BH181+IF($P181=AG$3,$R181,0)+IF($S181=AG$3,$U181,0)-$AG181))</f>
        <v/>
      </c>
      <c r="BJ181">
        <f>IF($C181="",0,MAX(0,$BI181+IF($P181=AH$3,$R181,0)+IF($S181=AH$3,$U181,0)-$AH181))</f>
        <v/>
      </c>
      <c r="BK181">
        <f>IF($C181="",0,MAX(0,$BJ181+IF($P181=AI$3,$R181,0)+IF($S181=AI$3,$U181,0)-$AI181))</f>
        <v/>
      </c>
      <c r="BL181">
        <f>IF($C181="",99,IF(AND($AX181&lt;1,V$3&gt;=MAX(N($P181),N($S181))),0,99))</f>
        <v/>
      </c>
      <c r="BM181">
        <f>IF($C181="",99,IF(AND($AY181&lt;1,W$3&gt;=MAX(N($P181),N($S181))),1,99))</f>
        <v/>
      </c>
      <c r="BN181">
        <f>IF($C181="",99,IF(AND($AZ181&lt;1,X$3&gt;=MAX(N($P181),N($S181))),2,99))</f>
        <v/>
      </c>
      <c r="BO181">
        <f>IF($C181="",99,IF(AND($BA181&lt;1,Y$3&gt;=MAX(N($P181),N($S181))),3,99))</f>
        <v/>
      </c>
      <c r="BP181">
        <f>IF($C181="",99,IF(AND($BB181&lt;1,Z$3&gt;=MAX(N($P181),N($S181))),4,99))</f>
        <v/>
      </c>
      <c r="BQ181">
        <f>IF($C181="",99,IF(AND($BC181&lt;1,AA$3&gt;=MAX(N($P181),N($S181))),5,99))</f>
        <v/>
      </c>
      <c r="BR181">
        <f>IF($C181="",99,IF(AND($BD181&lt;1,AB$3&gt;=MAX(N($P181),N($S181))),6,99))</f>
        <v/>
      </c>
      <c r="BS181">
        <f>IF($C181="",99,IF(AND($BE181&lt;1,AC$3&gt;=MAX(N($P181),N($S181))),7,99))</f>
        <v/>
      </c>
      <c r="BT181">
        <f>IF($C181="",99,IF(AND($BF181&lt;1,AD$3&gt;=MAX(N($P181),N($S181))),8,99))</f>
        <v/>
      </c>
      <c r="BU181">
        <f>IF($C181="",99,IF(AND($BG181&lt;1,AE$3&gt;=MAX(N($P181),N($S181))),9,99))</f>
        <v/>
      </c>
      <c r="BV181">
        <f>IF($C181="",99,IF(AND($BH181&lt;1,AF$3&gt;=MAX(N($P181),N($S181))),10,99))</f>
        <v/>
      </c>
      <c r="BW181">
        <f>IF($C181="",99,IF(AND($BI181&lt;1,AG$3&gt;=MAX(N($P181),N($S181))),11,99))</f>
        <v/>
      </c>
      <c r="BX181">
        <f>IF($C181="",99,IF(AND($BJ181&lt;1,AH$3&gt;=MAX(N($P181),N($S181))),12,99))</f>
        <v/>
      </c>
      <c r="BY181">
        <f>IF($C181="",99,IF(AND($BK181&lt;1,AI$3&gt;=MAX(N($P181),N($S181))),13,99))</f>
        <v/>
      </c>
      <c r="BZ181">
        <f>IF(OR($C181="",$M181=""),"",COUNTIF($AJ181:$AW181,"&gt;=1"))</f>
        <v/>
      </c>
      <c r="CA181" s="90">
        <f>IF($BZ181="","",IF($BZ181&gt;=14,"",'設定'!$C$6+$BZ181))</f>
        <v/>
      </c>
      <c r="CB181">
        <f>IF(OR($C181="",$M181=""),"",MIN($BL181:$BY181))</f>
        <v/>
      </c>
      <c r="CC181" s="90">
        <f>IF($CB181="","",IF($CB181&gt;=99,"",'設定'!$C$6+$CB181))</f>
        <v/>
      </c>
      <c r="CD181">
        <f>IF(OR($C181="",$M181=""),"",AVERAGE($V181:$AI181))</f>
        <v/>
      </c>
      <c r="CE181">
        <f>IF($C181="","",IFERROR(IF(MATCH(IF(ISNUMBER($P181),$P181,'設定'!$C$6+N('設定'!$C$7)),$V$3:$AI$3,0)=1,MAX(0,N($L181)),INDEX($AJ181:$AW181,MATCH(IF(ISNUMBER($P181),$P181,'設定'!$C$6+N('設定'!$C$7)),$V$3:$AI$3,0)-1)),""))</f>
        <v/>
      </c>
      <c r="CF181">
        <f>IF(OR($C181="",$O181="",$CE181=""),"",IF($O181-$CE181&lt;=0,0,ROUNDUP(($O181-$CE181)/$G181,0)))</f>
        <v/>
      </c>
      <c r="CG181">
        <f>IF(OR($C181="",$CF181="",NOT(ISNUMBER($Q181))),0,MAX(0,$Q181-$CF181))</f>
        <v/>
      </c>
      <c r="CH181">
        <f>IF(OR($C181="",$O181="",$U181=0),0,IFERROR(ROUNDUP(MAX(0,IF(MATCH($S181,$V$3:$AI$3,0)=1,MAX(0,N($L181)),INDEX($AX181:$BK181,MATCH($S181,$V$3:$AI$3,0)-1))+$U181-$O181)/$G181,0),0))</f>
        <v/>
      </c>
      <c r="CI181">
        <f>IF($C181="","",IF(AND($P181="",$Q181=""),"",IF($P181="","⚠ 入庫日を ▼ から選んでください",IF(NOT(ISNUMBER($P181)),"⚠ 入庫日は ▼ から選んでください",IF($P181&lt;N('設定'!$C$6),"⚠ 入庫日が過去です（もう在庫に入っています）→ 消してください",IF($P181&gt;N('設定'!$C$6)+13,"⚠ 入庫日が14日より先です",IF(N($Q181)&lt;=0,"⚠ 入庫数を入れてください",IF($CG181&gt;0,"⚠ 目安より "&amp;$CG181&amp;" 多い（定数を超える）→ 減らす",""))))))))</f>
        <v/>
      </c>
      <c r="CJ181">
        <f>IF($C181="","",IF(AND($S181="",$T181=""),"",IF($S181="","⚠ 2便目：入庫日を ▼ から選んでください",IF(NOT(ISNUMBER($S181)),"⚠ 2便目：入庫日は ▼ から選んでください",IF($S181&lt;N('設定'!$C$6),"⚠ 2便目：入庫日が過去です（もう在庫に入っています）→ 消してください",IF($S181&gt;N('設定'!$C$6)+13,"⚠ 2便目：入庫日が14日より先です",IF(N($T181)&lt;=0,"⚠ 2便目：入庫数を入れてください",IF($CH181&gt;0,"⚠ 2便目：定数を "&amp;$CH181&amp;" ケース超える → 減らす",""))))))))</f>
        <v/>
      </c>
      <c r="CK181">
        <f>IF(AND($CI181="",N($Q181)&gt;0,ISNUMBER($P181)),1,0)</f>
        <v/>
      </c>
      <c r="CL181">
        <f>IF(AND($CJ181="",N($T181)&gt;0,ISNUMBER($S181)),1,0)</f>
        <v/>
      </c>
      <c r="CM181">
        <f>IF(OR($CK181=1,$CL181=1),1,0)</f>
        <v/>
      </c>
      <c r="CN181">
        <f>IF($C181="",0,($CK181*$R181+$CL181*$U181)*N($H181))</f>
        <v/>
      </c>
      <c r="CO181">
        <f>IF($C181="","",IF($CC181="","入庫後は 14日以上もつ",IF($CC181-N('設定'!$C$7)&lt;='設定'!$C$6,"入庫後も "&amp;TEXT($CC181,"m/d")&amp;"("&amp;CHOOSE(WEEKDAY($CC181),"日","月","火","水","木","金","土")&amp;")"&amp;" に切れる　もう1便を至急発注","入庫後も "&amp;TEXT($CC181,"m/d")&amp;"("&amp;CHOOSE(WEEKDAY($CC181),"日","月","火","水","木","金","土")&amp;")"&amp;" に切れる　"&amp;TEXT($CC181-N('設定'!$C$7),"m/d")&amp;"("&amp;CHOOSE(WEEKDAY($CC181-N('設定'!$C$7)),"日","月","火","水","木","金","土")&amp;")"&amp;" までに次を発注")))</f>
        <v/>
      </c>
      <c r="CP181">
        <f>IF($C181="","",IF('設定'!$C$6="","？ ①在庫を貼る に今日のCSVが貼られていない",IF($CS181=1,"－ 今日のCSVに無い（終売？）",IF($L181&lt;0,"● 在庫がマイナス　数えて「数えた在庫」に入れる",IF($L181=0,"● 在庫なし　至急発注",IF($M181="","？ 減り数が未設定（商品マスタ）",IF($B$3=0,"？ 動員が未入力（動員を入れる）",IF($CA181="","○ 14日以上もつ",IF($BZ181&lt;N('設定'!$C$7),"● "&amp;TEXT($CA181,"m/d")&amp;"("&amp;CHOOSE(WEEKDAY($CA181),"日","月","火","水","木","金","土")&amp;")"&amp;" に切れる　至急発注",IF($BZ181=N('設定'!$C$7),"● "&amp;TEXT($CA181,"m/d")&amp;"("&amp;CHOOSE(WEEKDAY($CA181),"日","月","火","水","木","金","土")&amp;")"&amp;" に切れる　今日発注","△ "&amp;TEXT($CA181,"m/d")&amp;"("&amp;CHOOSE(WEEKDAY($CA181),"日","月","火","水","木","金","土")&amp;")"&amp;" に切れる　"&amp;TEXT($CA181-N('設定'!$C$7),"m/d")&amp;"("&amp;CHOOSE(WEEKDAY($CA181-N('設定'!$C$7)),"日","月","火","水","木","金","土")&amp;")"&amp;" までに発注"))))))))))</f>
        <v/>
      </c>
      <c r="CQ181">
        <f>IF($C181="","",IF(AND($P181="",$Q181="",$S181="",$T181=""),"",IF(AND($P181="",$Q181=""),"⚠ 先に1便目（左の入庫日・入庫数）に入れてください",IF($CI181&lt;&gt;"",$CI181,IF($CJ181&lt;&gt;"",$CJ181,IF($M181="","？ 減り数が未設定（発注書には載ります）",IF($B$3=0,"？ 動員が未入力（発注書には載ります）",IF(AND($CA181&lt;&gt;"",$P181&gt;$CA181),IF($P181&gt;'設定'!$C$6+N('設定'!$C$7),"● "&amp;TEXT($P181,"m/d")&amp;"("&amp;CHOOSE(WEEKDAY($P181),"日","月","火","水","木","金","土")&amp;")"&amp;" の入庫では間に合わない（"&amp;TEXT($CA181,"m/d")&amp;"("&amp;CHOOSE(WEEKDAY($CA181),"日","月","火","水","木","金","土")&amp;")"&amp;" に切れる）　入庫日を早める","△ 欠品 "&amp;TEXT($CA181,"m/d")&amp;"("&amp;CHOOSE(WEEKDAY($CA181),"日","月","火","水","木","金","土")&amp;")"&amp;"〜"&amp;TEXT($P181-1,"m/d")&amp;"("&amp;CHOOSE(WEEKDAY($P181-1),"日","月","火","水","木","金","土")&amp;")"&amp;"　"&amp;$CO181),IF($CC181="","○ "&amp;TEXT($P181,"m/d")&amp;"("&amp;CHOOSE(WEEKDAY($P181),"日","月","火","水","木","金","土")&amp;")"&amp;" 入庫で 14日以上もつ",IF($CC181-N('設定'!$C$7)&lt;='設定'!$C$6,"● 入庫しても "&amp;TEXT($CC181,"m/d")&amp;"("&amp;CHOOSE(WEEKDAY($CC181),"日","月","火","水","木","金","土")&amp;")"&amp;" に切れる　もう1便を至急発注（2便目に入れる）","△ 入庫しても "&amp;TEXT($CC181,"m/d")&amp;"("&amp;CHOOSE(WEEKDAY($CC181),"日","月","火","水","木","金","土")&amp;")"&amp;" に切れる　"&amp;TEXT($CC181-N('設定'!$C$7),"m/d")&amp;"("&amp;CHOOSE(WEEKDAY($CC181-N('設定'!$C$7)),"日","月","火","水","木","金","土")&amp;")"&amp;" までに次を発注（2便目に入れる）"))))))))))</f>
        <v/>
      </c>
      <c r="CR181">
        <f>IF($C181="","",IF($G181&gt;1,"ｹｰｽ("&amp;$G181&amp;"入)","個"))</f>
        <v/>
      </c>
      <c r="CS181">
        <f>IF($C181="",0,IF(COUNTIFS('①在庫を貼る'!$V$6:$V$10005,'設定'!$C$4,'①在庫を貼る'!$W$6:$W$10005,$C181)=0,1,0))</f>
        <v/>
      </c>
      <c r="CT181">
        <f>IF(AND($CK181=1,OR('③発注書'!$C$4="すべて",'③発注書'!$C$4="",$F181='③発注書'!$C$4)),N($CT180)+1,N($CT180))</f>
        <v/>
      </c>
      <c r="CU181">
        <f>IF(AND($CL181=1,OR('③発注書'!$C$4="すべて",'③発注書'!$C$4="",$F181='③発注書'!$C$4)),N($CU180)+1,N($CU180))</f>
        <v/>
      </c>
      <c r="CV181">
        <f>IF($C181="",0,IF(COUNTIFS('①在庫を貼る'!$V$6:$V$10005,'設定'!$C$4,'①在庫を貼る'!$W$6:$W$10005,$C181)&gt;0,1,0))</f>
        <v/>
      </c>
      <c r="CW181">
        <f>IF($C181="",0,IF(COUNTIFS('月1回_1ヶ月前の在庫'!$V$6:$V$10005,'設定'!$C$4,'月1回_1ヶ月前の在庫'!$W$6:$W$10005,$C181)&gt;0,1,0))</f>
        <v/>
      </c>
      <c r="CX181">
        <f>IF($C181="",0,IF(COUNTIFS('月1回_2ヶ月前の在庫'!$V$6:$V$10005,'設定'!$C$4,'月1回_2ヶ月前の在庫'!$W$6:$W$10005,$C181)&gt;0,1,0))</f>
        <v/>
      </c>
      <c r="CY181">
        <f>IF(OR($C181="",'設定'!$C$12=""),"",IF('設定'!$C$13="",IF(AND($CV181=1,$CW181=0),"新商品（今月から）",IF(AND($CV181=0,$CW181=1),"終売（今月から）","")),IF(AND($CV181=1,$CW181=0,$CX181=0),"新商品（今月から）",IF(AND($CV181=1,$CW181=1,$CX181=0),"新商品（先月から）",IF(AND($CV181=0,$CW181=1,$CX181=1),"終売（今月から）",IF(AND($CV181=0,$CW181=0,$CX181=1),"終売（先月から）",IF(AND($CV181=1,$CW181=0,$CX181=1),"復活（先月は無し）","")))))))</f>
        <v/>
      </c>
    </row>
    <row r="182">
      <c r="B182">
        <f>IF(177&lt;='設定'!$C$11,177,"")</f>
        <v/>
      </c>
      <c r="C182">
        <f>IF($B182="","",IF($B182&lt;='設定'!$C$20,INDEX('商品マスタ'!$B$6:$B$1005,MATCH($B182,'商品マスタ'!$M$6:$M$1005,0)),IF($B182&lt;='設定'!$C$20+'設定'!$C$17,INDEX('①在庫を貼る'!$W$6:$W$10005,MATCH($B182-'設定'!$C$20,'①在庫を貼る'!$U$6:$U$10005,0)),IF($B182&lt;='設定'!$C$20+'設定'!$C$17+'設定'!$C$18,INDEX('月1回_1ヶ月前の在庫'!$W$6:$W$10005,MATCH($B182-'設定'!$C$20-'設定'!$C$17,'月1回_1ヶ月前の在庫'!$U$6:$U$10005,0)),INDEX('月1回_2ヶ月前の在庫'!$W$6:$W$10005,MATCH($B182-'設定'!$C$20-'設定'!$C$17-'設定'!$C$18,'月1回_2ヶ月前の在庫'!$U$6:$U$10005,0))))))</f>
        <v/>
      </c>
      <c r="D182">
        <f>IF($C182="","",IFERROR(IF(INDEX('商品マスタ'!$C$6:$C$1005,MATCH($C182,'商品マスタ'!$B$6:$B$1005,0))="",IFERROR(INDEX('①在庫を貼る'!$J$6:$J$10005,MATCH($C182,'①在庫を貼る'!$W$6:$W$10005,0)),IFERROR(INDEX('月1回_1ヶ月前の在庫'!$J$6:$J$10005,MATCH($C182,'月1回_1ヶ月前の在庫'!$W$6:$W$10005,0)),IFERROR(INDEX('月1回_2ヶ月前の在庫'!$J$6:$J$10005,MATCH($C182,'月1回_2ヶ月前の在庫'!$W$6:$W$10005,0)),""))),INDEX('商品マスタ'!$C$6:$C$1005,MATCH($C182,'商品マスタ'!$B$6:$B$1005,0))),IFERROR(INDEX('①在庫を貼る'!$J$6:$J$10005,MATCH($C182,'①在庫を貼る'!$W$6:$W$10005,0)),IFERROR(INDEX('月1回_1ヶ月前の在庫'!$J$6:$J$10005,MATCH($C182,'月1回_1ヶ月前の在庫'!$W$6:$W$10005,0)),IFERROR(INDEX('月1回_2ヶ月前の在庫'!$J$6:$J$10005,MATCH($C182,'月1回_2ヶ月前の在庫'!$W$6:$W$10005,0)),"")))))</f>
        <v/>
      </c>
      <c r="E182">
        <f>IF($C182="","",IFERROR(IF(INDEX('商品マスタ'!$D$6:$D$1005,MATCH($C182,'商品マスタ'!$B$6:$B$1005,0))="",IFERROR(INDEX('①在庫を貼る'!$H$6:$H$10005,MATCH($C182,'①在庫を貼る'!$W$6:$W$10005,0)),IFERROR(INDEX('月1回_1ヶ月前の在庫'!$H$6:$H$10005,MATCH($C182,'月1回_1ヶ月前の在庫'!$W$6:$W$10005,0)),IFERROR(INDEX('月1回_2ヶ月前の在庫'!$H$6:$H$10005,MATCH($C182,'月1回_2ヶ月前の在庫'!$W$6:$W$10005,0)),""))),INDEX('商品マスタ'!$D$6:$D$1005,MATCH($C182,'商品マスタ'!$B$6:$B$1005,0))),IFERROR(INDEX('①在庫を貼る'!$H$6:$H$10005,MATCH($C182,'①在庫を貼る'!$W$6:$W$10005,0)),IFERROR(INDEX('月1回_1ヶ月前の在庫'!$H$6:$H$10005,MATCH($C182,'月1回_1ヶ月前の在庫'!$W$6:$W$10005,0)),IFERROR(INDEX('月1回_2ヶ月前の在庫'!$H$6:$H$10005,MATCH($C182,'月1回_2ヶ月前の在庫'!$W$6:$W$10005,0)),"")))))</f>
        <v/>
      </c>
      <c r="F182">
        <f>IF($C182="","",IFERROR(IF(INDEX('商品マスタ'!$E$6:$E$1005,MATCH($C182,'商品マスタ'!$B$6:$B$1005,0))="",IFERROR(INDEX('①在庫を貼る'!$E$6:$E$10005,MATCH($C182,'①在庫を貼る'!$W$6:$W$10005,0)),IFERROR(INDEX('月1回_1ヶ月前の在庫'!$E$6:$E$10005,MATCH($C182,'月1回_1ヶ月前の在庫'!$W$6:$W$10005,0)),IFERROR(INDEX('月1回_2ヶ月前の在庫'!$E$6:$E$10005,MATCH($C182,'月1回_2ヶ月前の在庫'!$W$6:$W$10005,0)),""))),INDEX('商品マスタ'!$E$6:$E$1005,MATCH($C182,'商品マスタ'!$B$6:$B$1005,0))),IFERROR(INDEX('①在庫を貼る'!$E$6:$E$10005,MATCH($C182,'①在庫を貼る'!$W$6:$W$10005,0)),IFERROR(INDEX('月1回_1ヶ月前の在庫'!$E$6:$E$10005,MATCH($C182,'月1回_1ヶ月前の在庫'!$W$6:$W$10005,0)),IFERROR(INDEX('月1回_2ヶ月前の在庫'!$E$6:$E$10005,MATCH($C182,'月1回_2ヶ月前の在庫'!$W$6:$W$10005,0)),"")))))</f>
        <v/>
      </c>
      <c r="G182">
        <f>IF($C182="","",MAX(1,N(IFERROR(IF(INDEX('商品マスタ'!$F$6:$F$1005,MATCH($C182,'商品マスタ'!$B$6:$B$1005,0))="",IF(COUNTIFS('①在庫を貼る'!$V$6:$V$10005,'設定'!$C$4,'①在庫を貼る'!$W$6:$W$10005,$C182)&gt;0,SUMIFS('①在庫を貼る'!$K$6:$K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K$6:$K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K$6:$K$10005,'月1回_2ヶ月前の在庫'!$V$6:$V$10005,'設定'!$C$4,'月1回_2ヶ月前の在庫'!$W$6:$W$10005,$C182)/COUNTIFS('月1回_2ヶ月前の在庫'!$V$6:$V$10005,'設定'!$C$4,'月1回_2ヶ月前の在庫'!$W$6:$W$10005,$C182),0))),INDEX('商品マスタ'!$F$6:$F$1005,MATCH($C182,'商品マスタ'!$B$6:$B$1005,0))),IF(COUNTIFS('①在庫を貼る'!$V$6:$V$10005,'設定'!$C$4,'①在庫を貼る'!$W$6:$W$10005,$C182)&gt;0,SUMIFS('①在庫を貼る'!$K$6:$K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K$6:$K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K$6:$K$10005,'月1回_2ヶ月前の在庫'!$V$6:$V$10005,'設定'!$C$4,'月1回_2ヶ月前の在庫'!$W$6:$W$10005,$C182)/COUNTIFS('月1回_2ヶ月前の在庫'!$V$6:$V$10005,'設定'!$C$4,'月1回_2ヶ月前の在庫'!$W$6:$W$10005,$C182),0)))))))</f>
        <v/>
      </c>
      <c r="H182">
        <f>IF($C182="","",N(IFERROR(IF(INDEX('商品マスタ'!$G$6:$G$1005,MATCH($C182,'商品マスタ'!$B$6:$B$1005,0))="",IF(COUNTIFS('①在庫を貼る'!$V$6:$V$10005,'設定'!$C$4,'①在庫を貼る'!$W$6:$W$10005,$C182)&gt;0,SUMIFS('①在庫を貼る'!$Q$6:$Q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Q$6:$Q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Q$6:$Q$10005,'月1回_2ヶ月前の在庫'!$V$6:$V$10005,'設定'!$C$4,'月1回_2ヶ月前の在庫'!$W$6:$W$10005,$C182)/COUNTIFS('月1回_2ヶ月前の在庫'!$V$6:$V$10005,'設定'!$C$4,'月1回_2ヶ月前の在庫'!$W$6:$W$10005,$C182),0))),INDEX('商品マスタ'!$G$6:$G$1005,MATCH($C182,'商品マスタ'!$B$6:$B$1005,0))),IF(COUNTIFS('①在庫を貼る'!$V$6:$V$10005,'設定'!$C$4,'①在庫を貼る'!$W$6:$W$10005,$C182)&gt;0,SUMIFS('①在庫を貼る'!$Q$6:$Q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Q$6:$Q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Q$6:$Q$10005,'月1回_2ヶ月前の在庫'!$V$6:$V$10005,'設定'!$C$4,'月1回_2ヶ月前の在庫'!$W$6:$W$10005,$C182)/COUNTIFS('月1回_2ヶ月前の在庫'!$V$6:$V$10005,'設定'!$C$4,'月1回_2ヶ月前の在庫'!$W$6:$W$10005,$C182),0))))))</f>
        <v/>
      </c>
      <c r="I182">
        <f>IF($C182="","",IF(COUNTIFS('①在庫を貼る'!$V$6:$V$10005,'設定'!$C$4,'①在庫を貼る'!$W$6:$W$10005,$C182)=0,"",SUMIFS('①在庫を貼る'!$N$6:$N$10005,'①在庫を貼る'!$V$6:$V$10005,'設定'!$C$4,'①在庫を貼る'!$W$6:$W$10005,$C182)))</f>
        <v/>
      </c>
      <c r="J182">
        <f>IF($C182="","",IF('②発注する'!$AD186="","",'②発注する'!$AD186))</f>
        <v/>
      </c>
      <c r="K182" s="90">
        <f>IF($C182="","",IF('②発注する'!$AE186="","",'②発注する'!$AE186))</f>
        <v/>
      </c>
      <c r="L182">
        <f>IF($C182="","",IF(AND(ISNUMBER($J182),ISNUMBER($K182),$K182&gt;='設定'!$C$6),$J182,N($I182)))</f>
        <v/>
      </c>
      <c r="M182">
        <f>IF($C182="","",IFERROR(IF(N(INDEX('商品マスタ'!$J$6:$J$1005,MATCH($C182,'商品マスタ'!$B$6:$B$1005,0)))&gt;0,INDEX('商品マスタ'!$J$6:$J$1005,MATCH($C182,'商品マスタ'!$B$6:$B$1005,0)),""),""))</f>
        <v/>
      </c>
      <c r="N182">
        <f>IF($C182="","",IFERROR(IF(N(INDEX('商品マスタ'!$H$6:$H$1005,MATCH($C182,'商品マスタ'!$B$6:$B$1005,0)))&gt;0,INDEX('商品マスタ'!$H$6:$H$1005,MATCH($C182,'商品マスタ'!$B$6:$B$1005,0)),""),""))</f>
        <v/>
      </c>
      <c r="O182">
        <f>IF($C182="","",IF($N182&lt;&gt;"",$N182*$G182,IF(N(IF(COUNTIFS('①在庫を貼る'!$V$6:$V$10005,'設定'!$C$4,'①在庫を貼る'!$W$6:$W$10005,$C182)&gt;0,SUMIFS('①在庫を貼る'!$O$6:$O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O$6:$O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O$6:$O$10005,'月1回_2ヶ月前の在庫'!$V$6:$V$10005,'設定'!$C$4,'月1回_2ヶ月前の在庫'!$W$6:$W$10005,$C182)/COUNTIFS('月1回_2ヶ月前の在庫'!$V$6:$V$10005,'設定'!$C$4,'月1回_2ヶ月前の在庫'!$W$6:$W$10005,$C182),0))))&gt;0,N(IF(COUNTIFS('①在庫を貼る'!$V$6:$V$10005,'設定'!$C$4,'①在庫を貼る'!$W$6:$W$10005,$C182)&gt;0,SUMIFS('①在庫を貼る'!$O$6:$O$10005,'①在庫を貼る'!$V$6:$V$10005,'設定'!$C$4,'①在庫を貼る'!$W$6:$W$10005,$C182)/COUNTIFS('①在庫を貼る'!$V$6:$V$10005,'設定'!$C$4,'①在庫を貼る'!$W$6:$W$10005,$C182),IF(COUNTIFS('月1回_1ヶ月前の在庫'!$V$6:$V$10005,'設定'!$C$4,'月1回_1ヶ月前の在庫'!$W$6:$W$10005,$C182)&gt;0,SUMIFS('月1回_1ヶ月前の在庫'!$O$6:$O$10005,'月1回_1ヶ月前の在庫'!$V$6:$V$10005,'設定'!$C$4,'月1回_1ヶ月前の在庫'!$W$6:$W$10005,$C182)/COUNTIFS('月1回_1ヶ月前の在庫'!$V$6:$V$10005,'設定'!$C$4,'月1回_1ヶ月前の在庫'!$W$6:$W$10005,$C182),IF(COUNTIFS('月1回_2ヶ月前の在庫'!$V$6:$V$10005,'設定'!$C$4,'月1回_2ヶ月前の在庫'!$W$6:$W$10005,$C182)&gt;0,SUMIFS('月1回_2ヶ月前の在庫'!$O$6:$O$10005,'月1回_2ヶ月前の在庫'!$V$6:$V$10005,'設定'!$C$4,'月1回_2ヶ月前の在庫'!$W$6:$W$10005,$C182)/COUNTIFS('月1回_2ヶ月前の在庫'!$V$6:$V$10005,'設定'!$C$4,'月1回_2ヶ月前の在庫'!$W$6:$W$10005,$C182),0)))),"")))</f>
        <v/>
      </c>
      <c r="P182" s="90">
        <f>IF($C182="","",IF('②発注する'!$I186="","",'②発注する'!$I186))</f>
        <v/>
      </c>
      <c r="Q182">
        <f>IF($C182="","",IF('②発注する'!$J186="","",'②発注する'!$J186))</f>
        <v/>
      </c>
      <c r="R182">
        <f>IF($C182="",0,IF(AND(ISNUMBER($P182),ISNUMBER($Q182)),MAX(0,$Q182)*$G182,0))</f>
        <v/>
      </c>
      <c r="S182" s="90">
        <f>IF($C182="","",IF('②発注する'!$M186="","",'②発注する'!$M186))</f>
        <v/>
      </c>
      <c r="T182">
        <f>IF($C182="","",IF('②発注する'!$N186="","",'②発注する'!$N186))</f>
        <v/>
      </c>
      <c r="U182">
        <f>IF($C182="",0,IF(AND(ISNUMBER($S182),ISNUMBER($T182)),MAX(0,$T182)*$G182,0))</f>
        <v/>
      </c>
      <c r="V182">
        <f>IF($C182="",0,IF($M182="",0,MAX(0,$M182)*MAX(0,V$4)/100))</f>
        <v/>
      </c>
      <c r="W182">
        <f>IF($C182="",0,IF($M182="",0,MAX(0,$M182)*MAX(0,W$4)/100))</f>
        <v/>
      </c>
      <c r="X182">
        <f>IF($C182="",0,IF($M182="",0,MAX(0,$M182)*MAX(0,X$4)/100))</f>
        <v/>
      </c>
      <c r="Y182">
        <f>IF($C182="",0,IF($M182="",0,MAX(0,$M182)*MAX(0,Y$4)/100))</f>
        <v/>
      </c>
      <c r="Z182">
        <f>IF($C182="",0,IF($M182="",0,MAX(0,$M182)*MAX(0,Z$4)/100))</f>
        <v/>
      </c>
      <c r="AA182">
        <f>IF($C182="",0,IF($M182="",0,MAX(0,$M182)*MAX(0,AA$4)/100))</f>
        <v/>
      </c>
      <c r="AB182">
        <f>IF($C182="",0,IF($M182="",0,MAX(0,$M182)*MAX(0,AB$4)/100))</f>
        <v/>
      </c>
      <c r="AC182">
        <f>IF($C182="",0,IF($M182="",0,MAX(0,$M182)*MAX(0,AC$4)/100))</f>
        <v/>
      </c>
      <c r="AD182">
        <f>IF($C182="",0,IF($M182="",0,MAX(0,$M182)*MAX(0,AD$4)/100))</f>
        <v/>
      </c>
      <c r="AE182">
        <f>IF($C182="",0,IF($M182="",0,MAX(0,$M182)*MAX(0,AE$4)/100))</f>
        <v/>
      </c>
      <c r="AF182">
        <f>IF($C182="",0,IF($M182="",0,MAX(0,$M182)*MAX(0,AF$4)/100))</f>
        <v/>
      </c>
      <c r="AG182">
        <f>IF($C182="",0,IF($M182="",0,MAX(0,$M182)*MAX(0,AG$4)/100))</f>
        <v/>
      </c>
      <c r="AH182">
        <f>IF($C182="",0,IF($M182="",0,MAX(0,$M182)*MAX(0,AH$4)/100))</f>
        <v/>
      </c>
      <c r="AI182">
        <f>IF($C182="",0,IF($M182="",0,MAX(0,$M182)*MAX(0,AI$4)/100))</f>
        <v/>
      </c>
      <c r="AJ182">
        <f>IF($C182="",0,MAX(0,MAX(0,N($L182))-$V182))</f>
        <v/>
      </c>
      <c r="AK182">
        <f>IF($C182="",0,MAX(0,$AJ182-$W182))</f>
        <v/>
      </c>
      <c r="AL182">
        <f>IF($C182="",0,MAX(0,$AK182-$X182))</f>
        <v/>
      </c>
      <c r="AM182">
        <f>IF($C182="",0,MAX(0,$AL182-$Y182))</f>
        <v/>
      </c>
      <c r="AN182">
        <f>IF($C182="",0,MAX(0,$AM182-$Z182))</f>
        <v/>
      </c>
      <c r="AO182">
        <f>IF($C182="",0,MAX(0,$AN182-$AA182))</f>
        <v/>
      </c>
      <c r="AP182">
        <f>IF($C182="",0,MAX(0,$AO182-$AB182))</f>
        <v/>
      </c>
      <c r="AQ182">
        <f>IF($C182="",0,MAX(0,$AP182-$AC182))</f>
        <v/>
      </c>
      <c r="AR182">
        <f>IF($C182="",0,MAX(0,$AQ182-$AD182))</f>
        <v/>
      </c>
      <c r="AS182">
        <f>IF($C182="",0,MAX(0,$AR182-$AE182))</f>
        <v/>
      </c>
      <c r="AT182">
        <f>IF($C182="",0,MAX(0,$AS182-$AF182))</f>
        <v/>
      </c>
      <c r="AU182">
        <f>IF($C182="",0,MAX(0,$AT182-$AG182))</f>
        <v/>
      </c>
      <c r="AV182">
        <f>IF($C182="",0,MAX(0,$AU182-$AH182))</f>
        <v/>
      </c>
      <c r="AW182">
        <f>IF($C182="",0,MAX(0,$AV182-$AI182))</f>
        <v/>
      </c>
      <c r="AX182">
        <f>IF($C182="",0,MAX(0,MAX(0,N($L182))+IF($P182=V$3,$R182,0)+IF($S182=V$3,$U182,0)-$V182))</f>
        <v/>
      </c>
      <c r="AY182">
        <f>IF($C182="",0,MAX(0,$AX182+IF($P182=W$3,$R182,0)+IF($S182=W$3,$U182,0)-$W182))</f>
        <v/>
      </c>
      <c r="AZ182">
        <f>IF($C182="",0,MAX(0,$AY182+IF($P182=X$3,$R182,0)+IF($S182=X$3,$U182,0)-$X182))</f>
        <v/>
      </c>
      <c r="BA182">
        <f>IF($C182="",0,MAX(0,$AZ182+IF($P182=Y$3,$R182,0)+IF($S182=Y$3,$U182,0)-$Y182))</f>
        <v/>
      </c>
      <c r="BB182">
        <f>IF($C182="",0,MAX(0,$BA182+IF($P182=Z$3,$R182,0)+IF($S182=Z$3,$U182,0)-$Z182))</f>
        <v/>
      </c>
      <c r="BC182">
        <f>IF($C182="",0,MAX(0,$BB182+IF($P182=AA$3,$R182,0)+IF($S182=AA$3,$U182,0)-$AA182))</f>
        <v/>
      </c>
      <c r="BD182">
        <f>IF($C182="",0,MAX(0,$BC182+IF($P182=AB$3,$R182,0)+IF($S182=AB$3,$U182,0)-$AB182))</f>
        <v/>
      </c>
      <c r="BE182">
        <f>IF($C182="",0,MAX(0,$BD182+IF($P182=AC$3,$R182,0)+IF($S182=AC$3,$U182,0)-$AC182))</f>
        <v/>
      </c>
      <c r="BF182">
        <f>IF($C182="",0,MAX(0,$BE182+IF($P182=AD$3,$R182,0)+IF($S182=AD$3,$U182,0)-$AD182))</f>
        <v/>
      </c>
      <c r="BG182">
        <f>IF($C182="",0,MAX(0,$BF182+IF($P182=AE$3,$R182,0)+IF($S182=AE$3,$U182,0)-$AE182))</f>
        <v/>
      </c>
      <c r="BH182">
        <f>IF($C182="",0,MAX(0,$BG182+IF($P182=AF$3,$R182,0)+IF($S182=AF$3,$U182,0)-$AF182))</f>
        <v/>
      </c>
      <c r="BI182">
        <f>IF($C182="",0,MAX(0,$BH182+IF($P182=AG$3,$R182,0)+IF($S182=AG$3,$U182,0)-$AG182))</f>
        <v/>
      </c>
      <c r="BJ182">
        <f>IF($C182="",0,MAX(0,$BI182+IF($P182=AH$3,$R182,0)+IF($S182=AH$3,$U182,0)-$AH182))</f>
        <v/>
      </c>
      <c r="BK182">
        <f>IF($C182="",0,MAX(0,$BJ182+IF($P182=AI$3,$R182,0)+IF($S182=AI$3,$U182,0)-$AI182))</f>
        <v/>
      </c>
      <c r="BL182">
        <f>IF($C182="",99,IF(AND($AX182&lt;1,V$3&gt;=MAX(N($P182),N($S182))),0,99))</f>
        <v/>
      </c>
      <c r="BM182">
        <f>IF($C182="",99,IF(AND($AY182&lt;1,W$3&gt;=MAX(N($P182),N($S182))),1,99))</f>
        <v/>
      </c>
      <c r="BN182">
        <f>IF($C182="",99,IF(AND($AZ182&lt;1,X$3&gt;=MAX(N($P182),N($S182))),2,99))</f>
        <v/>
      </c>
      <c r="BO182">
        <f>IF($C182="",99,IF(AND($BA182&lt;1,Y$3&gt;=MAX(N($P182),N($S182))),3,99))</f>
        <v/>
      </c>
      <c r="BP182">
        <f>IF($C182="",99,IF(AND($BB182&lt;1,Z$3&gt;=MAX(N($P182),N($S182))),4,99))</f>
        <v/>
      </c>
      <c r="BQ182">
        <f>IF($C182="",99,IF(AND($BC182&lt;1,AA$3&gt;=MAX(N($P182),N($S182))),5,99))</f>
        <v/>
      </c>
      <c r="BR182">
        <f>IF($C182="",99,IF(AND($BD182&lt;1,AB$3&gt;=MAX(N($P182),N($S182))),6,99))</f>
        <v/>
      </c>
      <c r="BS182">
        <f>IF($C182="",99,IF(AND($BE182&lt;1,AC$3&gt;=MAX(N($P182),N($S182))),7,99))</f>
        <v/>
      </c>
      <c r="BT182">
        <f>IF($C182="",99,IF(AND($BF182&lt;1,AD$3&gt;=MAX(N($P182),N($S182))),8,99))</f>
        <v/>
      </c>
      <c r="BU182">
        <f>IF($C182="",99,IF(AND($BG182&lt;1,AE$3&gt;=MAX(N($P182),N($S182))),9,99))</f>
        <v/>
      </c>
      <c r="BV182">
        <f>IF($C182="",99,IF(AND($BH182&lt;1,AF$3&gt;=MAX(N($P182),N($S182))),10,99))</f>
        <v/>
      </c>
      <c r="BW182">
        <f>IF($C182="",99,IF(AND($BI182&lt;1,AG$3&gt;=MAX(N($P182),N($S182))),11,99))</f>
        <v/>
      </c>
      <c r="BX182">
        <f>IF($C182="",99,IF(AND($BJ182&lt;1,AH$3&gt;=MAX(N($P182),N($S182))),12,99))</f>
        <v/>
      </c>
      <c r="BY182">
        <f>IF($C182="",99,IF(AND($BK182&lt;1,AI$3&gt;=MAX(N($P182),N($S182))),13,99))</f>
        <v/>
      </c>
      <c r="BZ182">
        <f>IF(OR($C182="",$M182=""),"",COUNTIF($AJ182:$AW182,"&gt;=1"))</f>
        <v/>
      </c>
      <c r="CA182" s="90">
        <f>IF($BZ182="","",IF($BZ182&gt;=14,"",'設定'!$C$6+$BZ182))</f>
        <v/>
      </c>
      <c r="CB182">
        <f>IF(OR($C182="",$M182=""),"",MIN($BL182:$BY182))</f>
        <v/>
      </c>
      <c r="CC182" s="90">
        <f>IF($CB182="","",IF($CB182&gt;=99,"",'設定'!$C$6+$CB182))</f>
        <v/>
      </c>
      <c r="CD182">
        <f>IF(OR($C182="",$M182=""),"",AVERAGE($V182:$AI182))</f>
        <v/>
      </c>
      <c r="CE182">
        <f>IF($C182="","",IFERROR(IF(MATCH(IF(ISNUMBER($P182),$P182,'設定'!$C$6+N('設定'!$C$7)),$V$3:$AI$3,0)=1,MAX(0,N($L182)),INDEX($AJ182:$AW182,MATCH(IF(ISNUMBER($P182),$P182,'設定'!$C$6+N('設定'!$C$7)),$V$3:$AI$3,0)-1)),""))</f>
        <v/>
      </c>
      <c r="CF182">
        <f>IF(OR($C182="",$O182="",$CE182=""),"",IF($O182-$CE182&lt;=0,0,ROUNDUP(($O182-$CE182)/$G182,0)))</f>
        <v/>
      </c>
      <c r="CG182">
        <f>IF(OR($C182="",$CF182="",NOT(ISNUMBER($Q182))),0,MAX(0,$Q182-$CF182))</f>
        <v/>
      </c>
      <c r="CH182">
        <f>IF(OR($C182="",$O182="",$U182=0),0,IFERROR(ROUNDUP(MAX(0,IF(MATCH($S182,$V$3:$AI$3,0)=1,MAX(0,N($L182)),INDEX($AX182:$BK182,MATCH($S182,$V$3:$AI$3,0)-1))+$U182-$O182)/$G182,0),0))</f>
        <v/>
      </c>
      <c r="CI182">
        <f>IF($C182="","",IF(AND($P182="",$Q182=""),"",IF($P182="","⚠ 入庫日を ▼ から選んでください",IF(NOT(ISNUMBER($P182)),"⚠ 入庫日は ▼ から選んでください",IF($P182&lt;N('設定'!$C$6),"⚠ 入庫日が過去です（もう在庫に入っています）→ 消してください",IF($P182&gt;N('設定'!$C$6)+13,"⚠ 入庫日が14日より先です",IF(N($Q182)&lt;=0,"⚠ 入庫数を入れてください",IF($CG182&gt;0,"⚠ 目安より "&amp;$CG182&amp;" 多い（定数を超える）→ 減らす",""))))))))</f>
        <v/>
      </c>
      <c r="CJ182">
        <f>IF($C182="","",IF(AND($S182="",$T182=""),"",IF($S182="","⚠ 2便目：入庫日を ▼ から選んでください",IF(NOT(ISNUMBER($S182)),"⚠ 2便目：入庫日は ▼ から選んでください",IF($S182&lt;N('設定'!$C$6),"⚠ 2便目：入庫日が過去です（もう在庫に入っています）→ 消してください",IF($S182&gt;N('設定'!$C$6)+13,"⚠ 2便目：入庫日が14日より先です",IF(N($T182)&lt;=0,"⚠ 2便目：入庫数を入れてください",IF($CH182&gt;0,"⚠ 2便目：定数を "&amp;$CH182&amp;" ケース超える → 減らす",""))))))))</f>
        <v/>
      </c>
      <c r="CK182">
        <f>IF(AND($CI182="",N($Q182)&gt;0,ISNUMBER($P182)),1,0)</f>
        <v/>
      </c>
      <c r="CL182">
        <f>IF(AND($CJ182="",N($T182)&gt;0,ISNUMBER($S182)),1,0)</f>
        <v/>
      </c>
      <c r="CM182">
        <f>IF(OR($CK182=1,$CL182=1),1,0)</f>
        <v/>
      </c>
      <c r="CN182">
        <f>IF($C182="",0,($CK182*$R182+$CL182*$U182)*N($H182))</f>
        <v/>
      </c>
      <c r="CO182">
        <f>IF($C182="","",IF($CC182="","入庫後は 14日以上もつ",IF($CC182-N('設定'!$C$7)&lt;='設定'!$C$6,"入庫後も "&amp;TEXT($CC182,"m/d")&amp;"("&amp;CHOOSE(WEEKDAY($CC182),"日","月","火","水","木","金","土")&amp;")"&amp;" に切れる　もう1便を至急発注","入庫後も "&amp;TEXT($CC182,"m/d")&amp;"("&amp;CHOOSE(WEEKDAY($CC182),"日","月","火","水","木","金","土")&amp;")"&amp;" に切れる　"&amp;TEXT($CC182-N('設定'!$C$7),"m/d")&amp;"("&amp;CHOOSE(WEEKDAY($CC182-N('設定'!$C$7)),"日","月","火","水","木","金","土")&amp;")"&amp;" までに次を発注")))</f>
        <v/>
      </c>
      <c r="CP182">
        <f>IF($C182="","",IF('設定'!$C$6="","？ ①在庫を貼る に今日のCSVが貼られていない",IF($CS182=1,"－ 今日のCSVに無い（終売？）",IF($L182&lt;0,"● 在庫がマイナス　数えて「数えた在庫」に入れる",IF($L182=0,"● 在庫なし　至急発注",IF($M182="","？ 減り数が未設定（商品マスタ）",IF($B$3=0,"？ 動員が未入力（動員を入れる）",IF($CA182="","○ 14日以上もつ",IF($BZ182&lt;N('設定'!$C$7),"● "&amp;TEXT($CA182,"m/d")&amp;"("&amp;CHOOSE(WEEKDAY($CA182),"日","月","火","水","木","金","土")&amp;")"&amp;" に切れる　至急発注",IF($BZ182=N('設定'!$C$7),"● "&amp;TEXT($CA182,"m/d")&amp;"("&amp;CHOOSE(WEEKDAY($CA182),"日","月","火","水","木","金","土")&amp;")"&amp;" に切れる　今日発注","△ "&amp;TEXT($CA182,"m/d")&amp;"("&amp;CHOOSE(WEEKDAY($CA182),"日","月","火","水","木","金","土")&amp;")"&amp;" に切れる　"&amp;TEXT($CA182-N('設定'!$C$7),"m/d")&amp;"("&amp;CHOOSE(WEEKDAY($CA182-N('設定'!$C$7)),"日","月","火","水","木","金","土")&amp;")"&amp;" までに発注"))))))))))</f>
        <v/>
      </c>
      <c r="CQ182">
        <f>IF($C182="","",IF(AND($P182="",$Q182="",$S182="",$T182=""),"",IF(AND($P182="",$Q182=""),"⚠ 先に1便目（左の入庫日・入庫数）に入れてください",IF($CI182&lt;&gt;"",$CI182,IF($CJ182&lt;&gt;"",$CJ182,IF($M182="","？ 減り数が未設定（発注書には載ります）",IF($B$3=0,"？ 動員が未入力（発注書には載ります）",IF(AND($CA182&lt;&gt;"",$P182&gt;$CA182),IF($P182&gt;'設定'!$C$6+N('設定'!$C$7),"● "&amp;TEXT($P182,"m/d")&amp;"("&amp;CHOOSE(WEEKDAY($P182),"日","月","火","水","木","金","土")&amp;")"&amp;" の入庫では間に合わない（"&amp;TEXT($CA182,"m/d")&amp;"("&amp;CHOOSE(WEEKDAY($CA182),"日","月","火","水","木","金","土")&amp;")"&amp;" に切れる）　入庫日を早める","△ 欠品 "&amp;TEXT($CA182,"m/d")&amp;"("&amp;CHOOSE(WEEKDAY($CA182),"日","月","火","水","木","金","土")&amp;")"&amp;"〜"&amp;TEXT($P182-1,"m/d")&amp;"("&amp;CHOOSE(WEEKDAY($P182-1),"日","月","火","水","木","金","土")&amp;")"&amp;"　"&amp;$CO182),IF($CC182="","○ "&amp;TEXT($P182,"m/d")&amp;"("&amp;CHOOSE(WEEKDAY($P182),"日","月","火","水","木","金","土")&amp;")"&amp;" 入庫で 14日以上もつ",IF($CC182-N('設定'!$C$7)&lt;='設定'!$C$6,"● 入庫しても "&amp;TEXT($CC182,"m/d")&amp;"("&amp;CHOOSE(WEEKDAY($CC182),"日","月","火","水","木","金","土")&amp;")"&amp;" に切れる　もう1便を至急発注（2便目に入れる）","△ 入庫しても "&amp;TEXT($CC182,"m/d")&amp;"("&amp;CHOOSE(WEEKDAY($CC182),"日","月","火","水","木","金","土")&amp;")"&amp;" に切れる　"&amp;TEXT($CC182-N('設定'!$C$7),"m/d")&amp;"("&amp;CHOOSE(WEEKDAY($CC182-N('設定'!$C$7)),"日","月","火","水","木","金","土")&amp;")"&amp;" までに次を発注（2便目に入れる）"))))))))))</f>
        <v/>
      </c>
      <c r="CR182">
        <f>IF($C182="","",IF($G182&gt;1,"ｹｰｽ("&amp;$G182&amp;"入)","個"))</f>
        <v/>
      </c>
      <c r="CS182">
        <f>IF($C182="",0,IF(COUNTIFS('①在庫を貼る'!$V$6:$V$10005,'設定'!$C$4,'①在庫を貼る'!$W$6:$W$10005,$C182)=0,1,0))</f>
        <v/>
      </c>
      <c r="CT182">
        <f>IF(AND($CK182=1,OR('③発注書'!$C$4="すべて",'③発注書'!$C$4="",$F182='③発注書'!$C$4)),N($CT181)+1,N($CT181))</f>
        <v/>
      </c>
      <c r="CU182">
        <f>IF(AND($CL182=1,OR('③発注書'!$C$4="すべて",'③発注書'!$C$4="",$F182='③発注書'!$C$4)),N($CU181)+1,N($CU181))</f>
        <v/>
      </c>
      <c r="CV182">
        <f>IF($C182="",0,IF(COUNTIFS('①在庫を貼る'!$V$6:$V$10005,'設定'!$C$4,'①在庫を貼る'!$W$6:$W$10005,$C182)&gt;0,1,0))</f>
        <v/>
      </c>
      <c r="CW182">
        <f>IF($C182="",0,IF(COUNTIFS('月1回_1ヶ月前の在庫'!$V$6:$V$10005,'設定'!$C$4,'月1回_1ヶ月前の在庫'!$W$6:$W$10005,$C182)&gt;0,1,0))</f>
        <v/>
      </c>
      <c r="CX182">
        <f>IF($C182="",0,IF(COUNTIFS('月1回_2ヶ月前の在庫'!$V$6:$V$10005,'設定'!$C$4,'月1回_2ヶ月前の在庫'!$W$6:$W$10005,$C182)&gt;0,1,0))</f>
        <v/>
      </c>
      <c r="CY182">
        <f>IF(OR($C182="",'設定'!$C$12=""),"",IF('設定'!$C$13="",IF(AND($CV182=1,$CW182=0),"新商品（今月から）",IF(AND($CV182=0,$CW182=1),"終売（今月から）","")),IF(AND($CV182=1,$CW182=0,$CX182=0),"新商品（今月から）",IF(AND($CV182=1,$CW182=1,$CX182=0),"新商品（先月から）",IF(AND($CV182=0,$CW182=1,$CX182=1),"終売（今月から）",IF(AND($CV182=0,$CW182=0,$CX182=1),"終売（先月から）",IF(AND($CV182=1,$CW182=0,$CX182=1),"復活（先月は無し）","")))))))</f>
        <v/>
      </c>
    </row>
    <row r="183">
      <c r="B183">
        <f>IF(178&lt;='設定'!$C$11,178,"")</f>
        <v/>
      </c>
      <c r="C183">
        <f>IF($B183="","",IF($B183&lt;='設定'!$C$20,INDEX('商品マスタ'!$B$6:$B$1005,MATCH($B183,'商品マスタ'!$M$6:$M$1005,0)),IF($B183&lt;='設定'!$C$20+'設定'!$C$17,INDEX('①在庫を貼る'!$W$6:$W$10005,MATCH($B183-'設定'!$C$20,'①在庫を貼る'!$U$6:$U$10005,0)),IF($B183&lt;='設定'!$C$20+'設定'!$C$17+'設定'!$C$18,INDEX('月1回_1ヶ月前の在庫'!$W$6:$W$10005,MATCH($B183-'設定'!$C$20-'設定'!$C$17,'月1回_1ヶ月前の在庫'!$U$6:$U$10005,0)),INDEX('月1回_2ヶ月前の在庫'!$W$6:$W$10005,MATCH($B183-'設定'!$C$20-'設定'!$C$17-'設定'!$C$18,'月1回_2ヶ月前の在庫'!$U$6:$U$10005,0))))))</f>
        <v/>
      </c>
      <c r="D183">
        <f>IF($C183="","",IFERROR(IF(INDEX('商品マスタ'!$C$6:$C$1005,MATCH($C183,'商品マスタ'!$B$6:$B$1005,0))="",IFERROR(INDEX('①在庫を貼る'!$J$6:$J$10005,MATCH($C183,'①在庫を貼る'!$W$6:$W$10005,0)),IFERROR(INDEX('月1回_1ヶ月前の在庫'!$J$6:$J$10005,MATCH($C183,'月1回_1ヶ月前の在庫'!$W$6:$W$10005,0)),IFERROR(INDEX('月1回_2ヶ月前の在庫'!$J$6:$J$10005,MATCH($C183,'月1回_2ヶ月前の在庫'!$W$6:$W$10005,0)),""))),INDEX('商品マスタ'!$C$6:$C$1005,MATCH($C183,'商品マスタ'!$B$6:$B$1005,0))),IFERROR(INDEX('①在庫を貼る'!$J$6:$J$10005,MATCH($C183,'①在庫を貼る'!$W$6:$W$10005,0)),IFERROR(INDEX('月1回_1ヶ月前の在庫'!$J$6:$J$10005,MATCH($C183,'月1回_1ヶ月前の在庫'!$W$6:$W$10005,0)),IFERROR(INDEX('月1回_2ヶ月前の在庫'!$J$6:$J$10005,MATCH($C183,'月1回_2ヶ月前の在庫'!$W$6:$W$10005,0)),"")))))</f>
        <v/>
      </c>
      <c r="E183">
        <f>IF($C183="","",IFERROR(IF(INDEX('商品マスタ'!$D$6:$D$1005,MATCH($C183,'商品マスタ'!$B$6:$B$1005,0))="",IFERROR(INDEX('①在庫を貼る'!$H$6:$H$10005,MATCH($C183,'①在庫を貼る'!$W$6:$W$10005,0)),IFERROR(INDEX('月1回_1ヶ月前の在庫'!$H$6:$H$10005,MATCH($C183,'月1回_1ヶ月前の在庫'!$W$6:$W$10005,0)),IFERROR(INDEX('月1回_2ヶ月前の在庫'!$H$6:$H$10005,MATCH($C183,'月1回_2ヶ月前の在庫'!$W$6:$W$10005,0)),""))),INDEX('商品マスタ'!$D$6:$D$1005,MATCH($C183,'商品マスタ'!$B$6:$B$1005,0))),IFERROR(INDEX('①在庫を貼る'!$H$6:$H$10005,MATCH($C183,'①在庫を貼る'!$W$6:$W$10005,0)),IFERROR(INDEX('月1回_1ヶ月前の在庫'!$H$6:$H$10005,MATCH($C183,'月1回_1ヶ月前の在庫'!$W$6:$W$10005,0)),IFERROR(INDEX('月1回_2ヶ月前の在庫'!$H$6:$H$10005,MATCH($C183,'月1回_2ヶ月前の在庫'!$W$6:$W$10005,0)),"")))))</f>
        <v/>
      </c>
      <c r="F183">
        <f>IF($C183="","",IFERROR(IF(INDEX('商品マスタ'!$E$6:$E$1005,MATCH($C183,'商品マスタ'!$B$6:$B$1005,0))="",IFERROR(INDEX('①在庫を貼る'!$E$6:$E$10005,MATCH($C183,'①在庫を貼る'!$W$6:$W$10005,0)),IFERROR(INDEX('月1回_1ヶ月前の在庫'!$E$6:$E$10005,MATCH($C183,'月1回_1ヶ月前の在庫'!$W$6:$W$10005,0)),IFERROR(INDEX('月1回_2ヶ月前の在庫'!$E$6:$E$10005,MATCH($C183,'月1回_2ヶ月前の在庫'!$W$6:$W$10005,0)),""))),INDEX('商品マスタ'!$E$6:$E$1005,MATCH($C183,'商品マスタ'!$B$6:$B$1005,0))),IFERROR(INDEX('①在庫を貼る'!$E$6:$E$10005,MATCH($C183,'①在庫を貼る'!$W$6:$W$10005,0)),IFERROR(INDEX('月1回_1ヶ月前の在庫'!$E$6:$E$10005,MATCH($C183,'月1回_1ヶ月前の在庫'!$W$6:$W$10005,0)),IFERROR(INDEX('月1回_2ヶ月前の在庫'!$E$6:$E$10005,MATCH($C183,'月1回_2ヶ月前の在庫'!$W$6:$W$10005,0)),"")))))</f>
        <v/>
      </c>
      <c r="G183">
        <f>IF($C183="","",MAX(1,N(IFERROR(IF(INDEX('商品マスタ'!$F$6:$F$1005,MATCH($C183,'商品マスタ'!$B$6:$B$1005,0))="",IF(COUNTIFS('①在庫を貼る'!$V$6:$V$10005,'設定'!$C$4,'①在庫を貼る'!$W$6:$W$10005,$C183)&gt;0,SUMIFS('①在庫を貼る'!$K$6:$K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K$6:$K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K$6:$K$10005,'月1回_2ヶ月前の在庫'!$V$6:$V$10005,'設定'!$C$4,'月1回_2ヶ月前の在庫'!$W$6:$W$10005,$C183)/COUNTIFS('月1回_2ヶ月前の在庫'!$V$6:$V$10005,'設定'!$C$4,'月1回_2ヶ月前の在庫'!$W$6:$W$10005,$C183),0))),INDEX('商品マスタ'!$F$6:$F$1005,MATCH($C183,'商品マスタ'!$B$6:$B$1005,0))),IF(COUNTIFS('①在庫を貼る'!$V$6:$V$10005,'設定'!$C$4,'①在庫を貼る'!$W$6:$W$10005,$C183)&gt;0,SUMIFS('①在庫を貼る'!$K$6:$K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K$6:$K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K$6:$K$10005,'月1回_2ヶ月前の在庫'!$V$6:$V$10005,'設定'!$C$4,'月1回_2ヶ月前の在庫'!$W$6:$W$10005,$C183)/COUNTIFS('月1回_2ヶ月前の在庫'!$V$6:$V$10005,'設定'!$C$4,'月1回_2ヶ月前の在庫'!$W$6:$W$10005,$C183),0)))))))</f>
        <v/>
      </c>
      <c r="H183">
        <f>IF($C183="","",N(IFERROR(IF(INDEX('商品マスタ'!$G$6:$G$1005,MATCH($C183,'商品マスタ'!$B$6:$B$1005,0))="",IF(COUNTIFS('①在庫を貼る'!$V$6:$V$10005,'設定'!$C$4,'①在庫を貼る'!$W$6:$W$10005,$C183)&gt;0,SUMIFS('①在庫を貼る'!$Q$6:$Q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Q$6:$Q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Q$6:$Q$10005,'月1回_2ヶ月前の在庫'!$V$6:$V$10005,'設定'!$C$4,'月1回_2ヶ月前の在庫'!$W$6:$W$10005,$C183)/COUNTIFS('月1回_2ヶ月前の在庫'!$V$6:$V$10005,'設定'!$C$4,'月1回_2ヶ月前の在庫'!$W$6:$W$10005,$C183),0))),INDEX('商品マスタ'!$G$6:$G$1005,MATCH($C183,'商品マスタ'!$B$6:$B$1005,0))),IF(COUNTIFS('①在庫を貼る'!$V$6:$V$10005,'設定'!$C$4,'①在庫を貼る'!$W$6:$W$10005,$C183)&gt;0,SUMIFS('①在庫を貼る'!$Q$6:$Q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Q$6:$Q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Q$6:$Q$10005,'月1回_2ヶ月前の在庫'!$V$6:$V$10005,'設定'!$C$4,'月1回_2ヶ月前の在庫'!$W$6:$W$10005,$C183)/COUNTIFS('月1回_2ヶ月前の在庫'!$V$6:$V$10005,'設定'!$C$4,'月1回_2ヶ月前の在庫'!$W$6:$W$10005,$C183),0))))))</f>
        <v/>
      </c>
      <c r="I183">
        <f>IF($C183="","",IF(COUNTIFS('①在庫を貼る'!$V$6:$V$10005,'設定'!$C$4,'①在庫を貼る'!$W$6:$W$10005,$C183)=0,"",SUMIFS('①在庫を貼る'!$N$6:$N$10005,'①在庫を貼る'!$V$6:$V$10005,'設定'!$C$4,'①在庫を貼る'!$W$6:$W$10005,$C183)))</f>
        <v/>
      </c>
      <c r="J183">
        <f>IF($C183="","",IF('②発注する'!$AD187="","",'②発注する'!$AD187))</f>
        <v/>
      </c>
      <c r="K183" s="90">
        <f>IF($C183="","",IF('②発注する'!$AE187="","",'②発注する'!$AE187))</f>
        <v/>
      </c>
      <c r="L183">
        <f>IF($C183="","",IF(AND(ISNUMBER($J183),ISNUMBER($K183),$K183&gt;='設定'!$C$6),$J183,N($I183)))</f>
        <v/>
      </c>
      <c r="M183">
        <f>IF($C183="","",IFERROR(IF(N(INDEX('商品マスタ'!$J$6:$J$1005,MATCH($C183,'商品マスタ'!$B$6:$B$1005,0)))&gt;0,INDEX('商品マスタ'!$J$6:$J$1005,MATCH($C183,'商品マスタ'!$B$6:$B$1005,0)),""),""))</f>
        <v/>
      </c>
      <c r="N183">
        <f>IF($C183="","",IFERROR(IF(N(INDEX('商品マスタ'!$H$6:$H$1005,MATCH($C183,'商品マスタ'!$B$6:$B$1005,0)))&gt;0,INDEX('商品マスタ'!$H$6:$H$1005,MATCH($C183,'商品マスタ'!$B$6:$B$1005,0)),""),""))</f>
        <v/>
      </c>
      <c r="O183">
        <f>IF($C183="","",IF($N183&lt;&gt;"",$N183*$G183,IF(N(IF(COUNTIFS('①在庫を貼る'!$V$6:$V$10005,'設定'!$C$4,'①在庫を貼る'!$W$6:$W$10005,$C183)&gt;0,SUMIFS('①在庫を貼る'!$O$6:$O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O$6:$O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O$6:$O$10005,'月1回_2ヶ月前の在庫'!$V$6:$V$10005,'設定'!$C$4,'月1回_2ヶ月前の在庫'!$W$6:$W$10005,$C183)/COUNTIFS('月1回_2ヶ月前の在庫'!$V$6:$V$10005,'設定'!$C$4,'月1回_2ヶ月前の在庫'!$W$6:$W$10005,$C183),0))))&gt;0,N(IF(COUNTIFS('①在庫を貼る'!$V$6:$V$10005,'設定'!$C$4,'①在庫を貼る'!$W$6:$W$10005,$C183)&gt;0,SUMIFS('①在庫を貼る'!$O$6:$O$10005,'①在庫を貼る'!$V$6:$V$10005,'設定'!$C$4,'①在庫を貼る'!$W$6:$W$10005,$C183)/COUNTIFS('①在庫を貼る'!$V$6:$V$10005,'設定'!$C$4,'①在庫を貼る'!$W$6:$W$10005,$C183),IF(COUNTIFS('月1回_1ヶ月前の在庫'!$V$6:$V$10005,'設定'!$C$4,'月1回_1ヶ月前の在庫'!$W$6:$W$10005,$C183)&gt;0,SUMIFS('月1回_1ヶ月前の在庫'!$O$6:$O$10005,'月1回_1ヶ月前の在庫'!$V$6:$V$10005,'設定'!$C$4,'月1回_1ヶ月前の在庫'!$W$6:$W$10005,$C183)/COUNTIFS('月1回_1ヶ月前の在庫'!$V$6:$V$10005,'設定'!$C$4,'月1回_1ヶ月前の在庫'!$W$6:$W$10005,$C183),IF(COUNTIFS('月1回_2ヶ月前の在庫'!$V$6:$V$10005,'設定'!$C$4,'月1回_2ヶ月前の在庫'!$W$6:$W$10005,$C183)&gt;0,SUMIFS('月1回_2ヶ月前の在庫'!$O$6:$O$10005,'月1回_2ヶ月前の在庫'!$V$6:$V$10005,'設定'!$C$4,'月1回_2ヶ月前の在庫'!$W$6:$W$10005,$C183)/COUNTIFS('月1回_2ヶ月前の在庫'!$V$6:$V$10005,'設定'!$C$4,'月1回_2ヶ月前の在庫'!$W$6:$W$10005,$C183),0)))),"")))</f>
        <v/>
      </c>
      <c r="P183" s="90">
        <f>IF($C183="","",IF('②発注する'!$I187="","",'②発注する'!$I187))</f>
        <v/>
      </c>
      <c r="Q183">
        <f>IF($C183="","",IF('②発注する'!$J187="","",'②発注する'!$J187))</f>
        <v/>
      </c>
      <c r="R183">
        <f>IF($C183="",0,IF(AND(ISNUMBER($P183),ISNUMBER($Q183)),MAX(0,$Q183)*$G183,0))</f>
        <v/>
      </c>
      <c r="S183" s="90">
        <f>IF($C183="","",IF('②発注する'!$M187="","",'②発注する'!$M187))</f>
        <v/>
      </c>
      <c r="T183">
        <f>IF($C183="","",IF('②発注する'!$N187="","",'②発注する'!$N187))</f>
        <v/>
      </c>
      <c r="U183">
        <f>IF($C183="",0,IF(AND(ISNUMBER($S183),ISNUMBER($T183)),MAX(0,$T183)*$G183,0))</f>
        <v/>
      </c>
      <c r="V183">
        <f>IF($C183="",0,IF($M183="",0,MAX(0,$M183)*MAX(0,V$4)/100))</f>
        <v/>
      </c>
      <c r="W183">
        <f>IF($C183="",0,IF($M183="",0,MAX(0,$M183)*MAX(0,W$4)/100))</f>
        <v/>
      </c>
      <c r="X183">
        <f>IF($C183="",0,IF($M183="",0,MAX(0,$M183)*MAX(0,X$4)/100))</f>
        <v/>
      </c>
      <c r="Y183">
        <f>IF($C183="",0,IF($M183="",0,MAX(0,$M183)*MAX(0,Y$4)/100))</f>
        <v/>
      </c>
      <c r="Z183">
        <f>IF($C183="",0,IF($M183="",0,MAX(0,$M183)*MAX(0,Z$4)/100))</f>
        <v/>
      </c>
      <c r="AA183">
        <f>IF($C183="",0,IF($M183="",0,MAX(0,$M183)*MAX(0,AA$4)/100))</f>
        <v/>
      </c>
      <c r="AB183">
        <f>IF($C183="",0,IF($M183="",0,MAX(0,$M183)*MAX(0,AB$4)/100))</f>
        <v/>
      </c>
      <c r="AC183">
        <f>IF($C183="",0,IF($M183="",0,MAX(0,$M183)*MAX(0,AC$4)/100))</f>
        <v/>
      </c>
      <c r="AD183">
        <f>IF($C183="",0,IF($M183="",0,MAX(0,$M183)*MAX(0,AD$4)/100))</f>
        <v/>
      </c>
      <c r="AE183">
        <f>IF($C183="",0,IF($M183="",0,MAX(0,$M183)*MAX(0,AE$4)/100))</f>
        <v/>
      </c>
      <c r="AF183">
        <f>IF($C183="",0,IF($M183="",0,MAX(0,$M183)*MAX(0,AF$4)/100))</f>
        <v/>
      </c>
      <c r="AG183">
        <f>IF($C183="",0,IF($M183="",0,MAX(0,$M183)*MAX(0,AG$4)/100))</f>
        <v/>
      </c>
      <c r="AH183">
        <f>IF($C183="",0,IF($M183="",0,MAX(0,$M183)*MAX(0,AH$4)/100))</f>
        <v/>
      </c>
      <c r="AI183">
        <f>IF($C183="",0,IF($M183="",0,MAX(0,$M183)*MAX(0,AI$4)/100))</f>
        <v/>
      </c>
      <c r="AJ183">
        <f>IF($C183="",0,MAX(0,MAX(0,N($L183))-$V183))</f>
        <v/>
      </c>
      <c r="AK183">
        <f>IF($C183="",0,MAX(0,$AJ183-$W183))</f>
        <v/>
      </c>
      <c r="AL183">
        <f>IF($C183="",0,MAX(0,$AK183-$X183))</f>
        <v/>
      </c>
      <c r="AM183">
        <f>IF($C183="",0,MAX(0,$AL183-$Y183))</f>
        <v/>
      </c>
      <c r="AN183">
        <f>IF($C183="",0,MAX(0,$AM183-$Z183))</f>
        <v/>
      </c>
      <c r="AO183">
        <f>IF($C183="",0,MAX(0,$AN183-$AA183))</f>
        <v/>
      </c>
      <c r="AP183">
        <f>IF($C183="",0,MAX(0,$AO183-$AB183))</f>
        <v/>
      </c>
      <c r="AQ183">
        <f>IF($C183="",0,MAX(0,$AP183-$AC183))</f>
        <v/>
      </c>
      <c r="AR183">
        <f>IF($C183="",0,MAX(0,$AQ183-$AD183))</f>
        <v/>
      </c>
      <c r="AS183">
        <f>IF($C183="",0,MAX(0,$AR183-$AE183))</f>
        <v/>
      </c>
      <c r="AT183">
        <f>IF($C183="",0,MAX(0,$AS183-$AF183))</f>
        <v/>
      </c>
      <c r="AU183">
        <f>IF($C183="",0,MAX(0,$AT183-$AG183))</f>
        <v/>
      </c>
      <c r="AV183">
        <f>IF($C183="",0,MAX(0,$AU183-$AH183))</f>
        <v/>
      </c>
      <c r="AW183">
        <f>IF($C183="",0,MAX(0,$AV183-$AI183))</f>
        <v/>
      </c>
      <c r="AX183">
        <f>IF($C183="",0,MAX(0,MAX(0,N($L183))+IF($P183=V$3,$R183,0)+IF($S183=V$3,$U183,0)-$V183))</f>
        <v/>
      </c>
      <c r="AY183">
        <f>IF($C183="",0,MAX(0,$AX183+IF($P183=W$3,$R183,0)+IF($S183=W$3,$U183,0)-$W183))</f>
        <v/>
      </c>
      <c r="AZ183">
        <f>IF($C183="",0,MAX(0,$AY183+IF($P183=X$3,$R183,0)+IF($S183=X$3,$U183,0)-$X183))</f>
        <v/>
      </c>
      <c r="BA183">
        <f>IF($C183="",0,MAX(0,$AZ183+IF($P183=Y$3,$R183,0)+IF($S183=Y$3,$U183,0)-$Y183))</f>
        <v/>
      </c>
      <c r="BB183">
        <f>IF($C183="",0,MAX(0,$BA183+IF($P183=Z$3,$R183,0)+IF($S183=Z$3,$U183,0)-$Z183))</f>
        <v/>
      </c>
      <c r="BC183">
        <f>IF($C183="",0,MAX(0,$BB183+IF($P183=AA$3,$R183,0)+IF($S183=AA$3,$U183,0)-$AA183))</f>
        <v/>
      </c>
      <c r="BD183">
        <f>IF($C183="",0,MAX(0,$BC183+IF($P183=AB$3,$R183,0)+IF($S183=AB$3,$U183,0)-$AB183))</f>
        <v/>
      </c>
      <c r="BE183">
        <f>IF($C183="",0,MAX(0,$BD183+IF($P183=AC$3,$R183,0)+IF($S183=AC$3,$U183,0)-$AC183))</f>
        <v/>
      </c>
      <c r="BF183">
        <f>IF($C183="",0,MAX(0,$BE183+IF($P183=AD$3,$R183,0)+IF($S183=AD$3,$U183,0)-$AD183))</f>
        <v/>
      </c>
      <c r="BG183">
        <f>IF($C183="",0,MAX(0,$BF183+IF($P183=AE$3,$R183,0)+IF($S183=AE$3,$U183,0)-$AE183))</f>
        <v/>
      </c>
      <c r="BH183">
        <f>IF($C183="",0,MAX(0,$BG183+IF($P183=AF$3,$R183,0)+IF($S183=AF$3,$U183,0)-$AF183))</f>
        <v/>
      </c>
      <c r="BI183">
        <f>IF($C183="",0,MAX(0,$BH183+IF($P183=AG$3,$R183,0)+IF($S183=AG$3,$U183,0)-$AG183))</f>
        <v/>
      </c>
      <c r="BJ183">
        <f>IF($C183="",0,MAX(0,$BI183+IF($P183=AH$3,$R183,0)+IF($S183=AH$3,$U183,0)-$AH183))</f>
        <v/>
      </c>
      <c r="BK183">
        <f>IF($C183="",0,MAX(0,$BJ183+IF($P183=AI$3,$R183,0)+IF($S183=AI$3,$U183,0)-$AI183))</f>
        <v/>
      </c>
      <c r="BL183">
        <f>IF($C183="",99,IF(AND($AX183&lt;1,V$3&gt;=MAX(N($P183),N($S183))),0,99))</f>
        <v/>
      </c>
      <c r="BM183">
        <f>IF($C183="",99,IF(AND($AY183&lt;1,W$3&gt;=MAX(N($P183),N($S183))),1,99))</f>
        <v/>
      </c>
      <c r="BN183">
        <f>IF($C183="",99,IF(AND($AZ183&lt;1,X$3&gt;=MAX(N($P183),N($S183))),2,99))</f>
        <v/>
      </c>
      <c r="BO183">
        <f>IF($C183="",99,IF(AND($BA183&lt;1,Y$3&gt;=MAX(N($P183),N($S183))),3,99))</f>
        <v/>
      </c>
      <c r="BP183">
        <f>IF($C183="",99,IF(AND($BB183&lt;1,Z$3&gt;=MAX(N($P183),N($S183))),4,99))</f>
        <v/>
      </c>
      <c r="BQ183">
        <f>IF($C183="",99,IF(AND($BC183&lt;1,AA$3&gt;=MAX(N($P183),N($S183))),5,99))</f>
        <v/>
      </c>
      <c r="BR183">
        <f>IF($C183="",99,IF(AND($BD183&lt;1,AB$3&gt;=MAX(N($P183),N($S183))),6,99))</f>
        <v/>
      </c>
      <c r="BS183">
        <f>IF($C183="",99,IF(AND($BE183&lt;1,AC$3&gt;=MAX(N($P183),N($S183))),7,99))</f>
        <v/>
      </c>
      <c r="BT183">
        <f>IF($C183="",99,IF(AND($BF183&lt;1,AD$3&gt;=MAX(N($P183),N($S183))),8,99))</f>
        <v/>
      </c>
      <c r="BU183">
        <f>IF($C183="",99,IF(AND($BG183&lt;1,AE$3&gt;=MAX(N($P183),N($S183))),9,99))</f>
        <v/>
      </c>
      <c r="BV183">
        <f>IF($C183="",99,IF(AND($BH183&lt;1,AF$3&gt;=MAX(N($P183),N($S183))),10,99))</f>
        <v/>
      </c>
      <c r="BW183">
        <f>IF($C183="",99,IF(AND($BI183&lt;1,AG$3&gt;=MAX(N($P183),N($S183))),11,99))</f>
        <v/>
      </c>
      <c r="BX183">
        <f>IF($C183="",99,IF(AND($BJ183&lt;1,AH$3&gt;=MAX(N($P183),N($S183))),12,99))</f>
        <v/>
      </c>
      <c r="BY183">
        <f>IF($C183="",99,IF(AND($BK183&lt;1,AI$3&gt;=MAX(N($P183),N($S183))),13,99))</f>
        <v/>
      </c>
      <c r="BZ183">
        <f>IF(OR($C183="",$M183=""),"",COUNTIF($AJ183:$AW183,"&gt;=1"))</f>
        <v/>
      </c>
      <c r="CA183" s="90">
        <f>IF($BZ183="","",IF($BZ183&gt;=14,"",'設定'!$C$6+$BZ183))</f>
        <v/>
      </c>
      <c r="CB183">
        <f>IF(OR($C183="",$M183=""),"",MIN($BL183:$BY183))</f>
        <v/>
      </c>
      <c r="CC183" s="90">
        <f>IF($CB183="","",IF($CB183&gt;=99,"",'設定'!$C$6+$CB183))</f>
        <v/>
      </c>
      <c r="CD183">
        <f>IF(OR($C183="",$M183=""),"",AVERAGE($V183:$AI183))</f>
        <v/>
      </c>
      <c r="CE183">
        <f>IF($C183="","",IFERROR(IF(MATCH(IF(ISNUMBER($P183),$P183,'設定'!$C$6+N('設定'!$C$7)),$V$3:$AI$3,0)=1,MAX(0,N($L183)),INDEX($AJ183:$AW183,MATCH(IF(ISNUMBER($P183),$P183,'設定'!$C$6+N('設定'!$C$7)),$V$3:$AI$3,0)-1)),""))</f>
        <v/>
      </c>
      <c r="CF183">
        <f>IF(OR($C183="",$O183="",$CE183=""),"",IF($O183-$CE183&lt;=0,0,ROUNDUP(($O183-$CE183)/$G183,0)))</f>
        <v/>
      </c>
      <c r="CG183">
        <f>IF(OR($C183="",$CF183="",NOT(ISNUMBER($Q183))),0,MAX(0,$Q183-$CF183))</f>
        <v/>
      </c>
      <c r="CH183">
        <f>IF(OR($C183="",$O183="",$U183=0),0,IFERROR(ROUNDUP(MAX(0,IF(MATCH($S183,$V$3:$AI$3,0)=1,MAX(0,N($L183)),INDEX($AX183:$BK183,MATCH($S183,$V$3:$AI$3,0)-1))+$U183-$O183)/$G183,0),0))</f>
        <v/>
      </c>
      <c r="CI183">
        <f>IF($C183="","",IF(AND($P183="",$Q183=""),"",IF($P183="","⚠ 入庫日を ▼ から選んでください",IF(NOT(ISNUMBER($P183)),"⚠ 入庫日は ▼ から選んでください",IF($P183&lt;N('設定'!$C$6),"⚠ 入庫日が過去です（もう在庫に入っています）→ 消してください",IF($P183&gt;N('設定'!$C$6)+13,"⚠ 入庫日が14日より先です",IF(N($Q183)&lt;=0,"⚠ 入庫数を入れてください",IF($CG183&gt;0,"⚠ 目安より "&amp;$CG183&amp;" 多い（定数を超える）→ 減らす",""))))))))</f>
        <v/>
      </c>
      <c r="CJ183">
        <f>IF($C183="","",IF(AND($S183="",$T183=""),"",IF($S183="","⚠ 2便目：入庫日を ▼ から選んでください",IF(NOT(ISNUMBER($S183)),"⚠ 2便目：入庫日は ▼ から選んでください",IF($S183&lt;N('設定'!$C$6),"⚠ 2便目：入庫日が過去です（もう在庫に入っています）→ 消してください",IF($S183&gt;N('設定'!$C$6)+13,"⚠ 2便目：入庫日が14日より先です",IF(N($T183)&lt;=0,"⚠ 2便目：入庫数を入れてください",IF($CH183&gt;0,"⚠ 2便目：定数を "&amp;$CH183&amp;" ケース超える → 減らす",""))))))))</f>
        <v/>
      </c>
      <c r="CK183">
        <f>IF(AND($CI183="",N($Q183)&gt;0,ISNUMBER($P183)),1,0)</f>
        <v/>
      </c>
      <c r="CL183">
        <f>IF(AND($CJ183="",N($T183)&gt;0,ISNUMBER($S183)),1,0)</f>
        <v/>
      </c>
      <c r="CM183">
        <f>IF(OR($CK183=1,$CL183=1),1,0)</f>
        <v/>
      </c>
      <c r="CN183">
        <f>IF($C183="",0,($CK183*$R183+$CL183*$U183)*N($H183))</f>
        <v/>
      </c>
      <c r="CO183">
        <f>IF($C183="","",IF($CC183="","入庫後は 14日以上もつ",IF($CC183-N('設定'!$C$7)&lt;='設定'!$C$6,"入庫後も "&amp;TEXT($CC183,"m/d")&amp;"("&amp;CHOOSE(WEEKDAY($CC183),"日","月","火","水","木","金","土")&amp;")"&amp;" に切れる　もう1便を至急発注","入庫後も "&amp;TEXT($CC183,"m/d")&amp;"("&amp;CHOOSE(WEEKDAY($CC183),"日","月","火","水","木","金","土")&amp;")"&amp;" に切れる　"&amp;TEXT($CC183-N('設定'!$C$7),"m/d")&amp;"("&amp;CHOOSE(WEEKDAY($CC183-N('設定'!$C$7)),"日","月","火","水","木","金","土")&amp;")"&amp;" までに次を発注")))</f>
        <v/>
      </c>
      <c r="CP183">
        <f>IF($C183="","",IF('設定'!$C$6="","？ ①在庫を貼る に今日のCSVが貼られていない",IF($CS183=1,"－ 今日のCSVに無い（終売？）",IF($L183&lt;0,"● 在庫がマイナス　数えて「数えた在庫」に入れる",IF($L183=0,"● 在庫なし　至急発注",IF($M183="","？ 減り数が未設定（商品マスタ）",IF($B$3=0,"？ 動員が未入力（動員を入れる）",IF($CA183="","○ 14日以上もつ",IF($BZ183&lt;N('設定'!$C$7),"● "&amp;TEXT($CA183,"m/d")&amp;"("&amp;CHOOSE(WEEKDAY($CA183),"日","月","火","水","木","金","土")&amp;")"&amp;" に切れる　至急発注",IF($BZ183=N('設定'!$C$7),"● "&amp;TEXT($CA183,"m/d")&amp;"("&amp;CHOOSE(WEEKDAY($CA183),"日","月","火","水","木","金","土")&amp;")"&amp;" に切れる　今日発注","△ "&amp;TEXT($CA183,"m/d")&amp;"("&amp;CHOOSE(WEEKDAY($CA183),"日","月","火","水","木","金","土")&amp;")"&amp;" に切れる　"&amp;TEXT($CA183-N('設定'!$C$7),"m/d")&amp;"("&amp;CHOOSE(WEEKDAY($CA183-N('設定'!$C$7)),"日","月","火","水","木","金","土")&amp;")"&amp;" までに発注"))))))))))</f>
        <v/>
      </c>
      <c r="CQ183">
        <f>IF($C183="","",IF(AND($P183="",$Q183="",$S183="",$T183=""),"",IF(AND($P183="",$Q183=""),"⚠ 先に1便目（左の入庫日・入庫数）に入れてください",IF($CI183&lt;&gt;"",$CI183,IF($CJ183&lt;&gt;"",$CJ183,IF($M183="","？ 減り数が未設定（発注書には載ります）",IF($B$3=0,"？ 動員が未入力（発注書には載ります）",IF(AND($CA183&lt;&gt;"",$P183&gt;$CA183),IF($P183&gt;'設定'!$C$6+N('設定'!$C$7),"● "&amp;TEXT($P183,"m/d")&amp;"("&amp;CHOOSE(WEEKDAY($P183),"日","月","火","水","木","金","土")&amp;")"&amp;" の入庫では間に合わない（"&amp;TEXT($CA183,"m/d")&amp;"("&amp;CHOOSE(WEEKDAY($CA183),"日","月","火","水","木","金","土")&amp;")"&amp;" に切れる）　入庫日を早める","△ 欠品 "&amp;TEXT($CA183,"m/d")&amp;"("&amp;CHOOSE(WEEKDAY($CA183),"日","月","火","水","木","金","土")&amp;")"&amp;"〜"&amp;TEXT($P183-1,"m/d")&amp;"("&amp;CHOOSE(WEEKDAY($P183-1),"日","月","火","水","木","金","土")&amp;")"&amp;"　"&amp;$CO183),IF($CC183="","○ "&amp;TEXT($P183,"m/d")&amp;"("&amp;CHOOSE(WEEKDAY($P183),"日","月","火","水","木","金","土")&amp;")"&amp;" 入庫で 14日以上もつ",IF($CC183-N('設定'!$C$7)&lt;='設定'!$C$6,"● 入庫しても "&amp;TEXT($CC183,"m/d")&amp;"("&amp;CHOOSE(WEEKDAY($CC183),"日","月","火","水","木","金","土")&amp;")"&amp;" に切れる　もう1便を至急発注（2便目に入れる）","△ 入庫しても "&amp;TEXT($CC183,"m/d")&amp;"("&amp;CHOOSE(WEEKDAY($CC183),"日","月","火","水","木","金","土")&amp;")"&amp;" に切れる　"&amp;TEXT($CC183-N('設定'!$C$7),"m/d")&amp;"("&amp;CHOOSE(WEEKDAY($CC183-N('設定'!$C$7)),"日","月","火","水","木","金","土")&amp;")"&amp;" までに次を発注（2便目に入れる）"))))))))))</f>
        <v/>
      </c>
      <c r="CR183">
        <f>IF($C183="","",IF($G183&gt;1,"ｹｰｽ("&amp;$G183&amp;"入)","個"))</f>
        <v/>
      </c>
      <c r="CS183">
        <f>IF($C183="",0,IF(COUNTIFS('①在庫を貼る'!$V$6:$V$10005,'設定'!$C$4,'①在庫を貼る'!$W$6:$W$10005,$C183)=0,1,0))</f>
        <v/>
      </c>
      <c r="CT183">
        <f>IF(AND($CK183=1,OR('③発注書'!$C$4="すべて",'③発注書'!$C$4="",$F183='③発注書'!$C$4)),N($CT182)+1,N($CT182))</f>
        <v/>
      </c>
      <c r="CU183">
        <f>IF(AND($CL183=1,OR('③発注書'!$C$4="すべて",'③発注書'!$C$4="",$F183='③発注書'!$C$4)),N($CU182)+1,N($CU182))</f>
        <v/>
      </c>
      <c r="CV183">
        <f>IF($C183="",0,IF(COUNTIFS('①在庫を貼る'!$V$6:$V$10005,'設定'!$C$4,'①在庫を貼る'!$W$6:$W$10005,$C183)&gt;0,1,0))</f>
        <v/>
      </c>
      <c r="CW183">
        <f>IF($C183="",0,IF(COUNTIFS('月1回_1ヶ月前の在庫'!$V$6:$V$10005,'設定'!$C$4,'月1回_1ヶ月前の在庫'!$W$6:$W$10005,$C183)&gt;0,1,0))</f>
        <v/>
      </c>
      <c r="CX183">
        <f>IF($C183="",0,IF(COUNTIFS('月1回_2ヶ月前の在庫'!$V$6:$V$10005,'設定'!$C$4,'月1回_2ヶ月前の在庫'!$W$6:$W$10005,$C183)&gt;0,1,0))</f>
        <v/>
      </c>
      <c r="CY183">
        <f>IF(OR($C183="",'設定'!$C$12=""),"",IF('設定'!$C$13="",IF(AND($CV183=1,$CW183=0),"新商品（今月から）",IF(AND($CV183=0,$CW183=1),"終売（今月から）","")),IF(AND($CV183=1,$CW183=0,$CX183=0),"新商品（今月から）",IF(AND($CV183=1,$CW183=1,$CX183=0),"新商品（先月から）",IF(AND($CV183=0,$CW183=1,$CX183=1),"終売（今月から）",IF(AND($CV183=0,$CW183=0,$CX183=1),"終売（先月から）",IF(AND($CV183=1,$CW183=0,$CX183=1),"復活（先月は無し）","")))))))</f>
        <v/>
      </c>
    </row>
    <row r="184">
      <c r="B184">
        <f>IF(179&lt;='設定'!$C$11,179,"")</f>
        <v/>
      </c>
      <c r="C184">
        <f>IF($B184="","",IF($B184&lt;='設定'!$C$20,INDEX('商品マスタ'!$B$6:$B$1005,MATCH($B184,'商品マスタ'!$M$6:$M$1005,0)),IF($B184&lt;='設定'!$C$20+'設定'!$C$17,INDEX('①在庫を貼る'!$W$6:$W$10005,MATCH($B184-'設定'!$C$20,'①在庫を貼る'!$U$6:$U$10005,0)),IF($B184&lt;='設定'!$C$20+'設定'!$C$17+'設定'!$C$18,INDEX('月1回_1ヶ月前の在庫'!$W$6:$W$10005,MATCH($B184-'設定'!$C$20-'設定'!$C$17,'月1回_1ヶ月前の在庫'!$U$6:$U$10005,0)),INDEX('月1回_2ヶ月前の在庫'!$W$6:$W$10005,MATCH($B184-'設定'!$C$20-'設定'!$C$17-'設定'!$C$18,'月1回_2ヶ月前の在庫'!$U$6:$U$10005,0))))))</f>
        <v/>
      </c>
      <c r="D184">
        <f>IF($C184="","",IFERROR(IF(INDEX('商品マスタ'!$C$6:$C$1005,MATCH($C184,'商品マスタ'!$B$6:$B$1005,0))="",IFERROR(INDEX('①在庫を貼る'!$J$6:$J$10005,MATCH($C184,'①在庫を貼る'!$W$6:$W$10005,0)),IFERROR(INDEX('月1回_1ヶ月前の在庫'!$J$6:$J$10005,MATCH($C184,'月1回_1ヶ月前の在庫'!$W$6:$W$10005,0)),IFERROR(INDEX('月1回_2ヶ月前の在庫'!$J$6:$J$10005,MATCH($C184,'月1回_2ヶ月前の在庫'!$W$6:$W$10005,0)),""))),INDEX('商品マスタ'!$C$6:$C$1005,MATCH($C184,'商品マスタ'!$B$6:$B$1005,0))),IFERROR(INDEX('①在庫を貼る'!$J$6:$J$10005,MATCH($C184,'①在庫を貼る'!$W$6:$W$10005,0)),IFERROR(INDEX('月1回_1ヶ月前の在庫'!$J$6:$J$10005,MATCH($C184,'月1回_1ヶ月前の在庫'!$W$6:$W$10005,0)),IFERROR(INDEX('月1回_2ヶ月前の在庫'!$J$6:$J$10005,MATCH($C184,'月1回_2ヶ月前の在庫'!$W$6:$W$10005,0)),"")))))</f>
        <v/>
      </c>
      <c r="E184">
        <f>IF($C184="","",IFERROR(IF(INDEX('商品マスタ'!$D$6:$D$1005,MATCH($C184,'商品マスタ'!$B$6:$B$1005,0))="",IFERROR(INDEX('①在庫を貼る'!$H$6:$H$10005,MATCH($C184,'①在庫を貼る'!$W$6:$W$10005,0)),IFERROR(INDEX('月1回_1ヶ月前の在庫'!$H$6:$H$10005,MATCH($C184,'月1回_1ヶ月前の在庫'!$W$6:$W$10005,0)),IFERROR(INDEX('月1回_2ヶ月前の在庫'!$H$6:$H$10005,MATCH($C184,'月1回_2ヶ月前の在庫'!$W$6:$W$10005,0)),""))),INDEX('商品マスタ'!$D$6:$D$1005,MATCH($C184,'商品マスタ'!$B$6:$B$1005,0))),IFERROR(INDEX('①在庫を貼る'!$H$6:$H$10005,MATCH($C184,'①在庫を貼る'!$W$6:$W$10005,0)),IFERROR(INDEX('月1回_1ヶ月前の在庫'!$H$6:$H$10005,MATCH($C184,'月1回_1ヶ月前の在庫'!$W$6:$W$10005,0)),IFERROR(INDEX('月1回_2ヶ月前の在庫'!$H$6:$H$10005,MATCH($C184,'月1回_2ヶ月前の在庫'!$W$6:$W$10005,0)),"")))))</f>
        <v/>
      </c>
      <c r="F184">
        <f>IF($C184="","",IFERROR(IF(INDEX('商品マスタ'!$E$6:$E$1005,MATCH($C184,'商品マスタ'!$B$6:$B$1005,0))="",IFERROR(INDEX('①在庫を貼る'!$E$6:$E$10005,MATCH($C184,'①在庫を貼る'!$W$6:$W$10005,0)),IFERROR(INDEX('月1回_1ヶ月前の在庫'!$E$6:$E$10005,MATCH($C184,'月1回_1ヶ月前の在庫'!$W$6:$W$10005,0)),IFERROR(INDEX('月1回_2ヶ月前の在庫'!$E$6:$E$10005,MATCH($C184,'月1回_2ヶ月前の在庫'!$W$6:$W$10005,0)),""))),INDEX('商品マスタ'!$E$6:$E$1005,MATCH($C184,'商品マスタ'!$B$6:$B$1005,0))),IFERROR(INDEX('①在庫を貼る'!$E$6:$E$10005,MATCH($C184,'①在庫を貼る'!$W$6:$W$10005,0)),IFERROR(INDEX('月1回_1ヶ月前の在庫'!$E$6:$E$10005,MATCH($C184,'月1回_1ヶ月前の在庫'!$W$6:$W$10005,0)),IFERROR(INDEX('月1回_2ヶ月前の在庫'!$E$6:$E$10005,MATCH($C184,'月1回_2ヶ月前の在庫'!$W$6:$W$10005,0)),"")))))</f>
        <v/>
      </c>
      <c r="G184">
        <f>IF($C184="","",MAX(1,N(IFERROR(IF(INDEX('商品マスタ'!$F$6:$F$1005,MATCH($C184,'商品マスタ'!$B$6:$B$1005,0))="",IF(COUNTIFS('①在庫を貼る'!$V$6:$V$10005,'設定'!$C$4,'①在庫を貼る'!$W$6:$W$10005,$C184)&gt;0,SUMIFS('①在庫を貼る'!$K$6:$K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K$6:$K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K$6:$K$10005,'月1回_2ヶ月前の在庫'!$V$6:$V$10005,'設定'!$C$4,'月1回_2ヶ月前の在庫'!$W$6:$W$10005,$C184)/COUNTIFS('月1回_2ヶ月前の在庫'!$V$6:$V$10005,'設定'!$C$4,'月1回_2ヶ月前の在庫'!$W$6:$W$10005,$C184),0))),INDEX('商品マスタ'!$F$6:$F$1005,MATCH($C184,'商品マスタ'!$B$6:$B$1005,0))),IF(COUNTIFS('①在庫を貼る'!$V$6:$V$10005,'設定'!$C$4,'①在庫を貼る'!$W$6:$W$10005,$C184)&gt;0,SUMIFS('①在庫を貼る'!$K$6:$K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K$6:$K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K$6:$K$10005,'月1回_2ヶ月前の在庫'!$V$6:$V$10005,'設定'!$C$4,'月1回_2ヶ月前の在庫'!$W$6:$W$10005,$C184)/COUNTIFS('月1回_2ヶ月前の在庫'!$V$6:$V$10005,'設定'!$C$4,'月1回_2ヶ月前の在庫'!$W$6:$W$10005,$C184),0)))))))</f>
        <v/>
      </c>
      <c r="H184">
        <f>IF($C184="","",N(IFERROR(IF(INDEX('商品マスタ'!$G$6:$G$1005,MATCH($C184,'商品マスタ'!$B$6:$B$1005,0))="",IF(COUNTIFS('①在庫を貼る'!$V$6:$V$10005,'設定'!$C$4,'①在庫を貼る'!$W$6:$W$10005,$C184)&gt;0,SUMIFS('①在庫を貼る'!$Q$6:$Q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Q$6:$Q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Q$6:$Q$10005,'月1回_2ヶ月前の在庫'!$V$6:$V$10005,'設定'!$C$4,'月1回_2ヶ月前の在庫'!$W$6:$W$10005,$C184)/COUNTIFS('月1回_2ヶ月前の在庫'!$V$6:$V$10005,'設定'!$C$4,'月1回_2ヶ月前の在庫'!$W$6:$W$10005,$C184),0))),INDEX('商品マスタ'!$G$6:$G$1005,MATCH($C184,'商品マスタ'!$B$6:$B$1005,0))),IF(COUNTIFS('①在庫を貼る'!$V$6:$V$10005,'設定'!$C$4,'①在庫を貼る'!$W$6:$W$10005,$C184)&gt;0,SUMIFS('①在庫を貼る'!$Q$6:$Q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Q$6:$Q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Q$6:$Q$10005,'月1回_2ヶ月前の在庫'!$V$6:$V$10005,'設定'!$C$4,'月1回_2ヶ月前の在庫'!$W$6:$W$10005,$C184)/COUNTIFS('月1回_2ヶ月前の在庫'!$V$6:$V$10005,'設定'!$C$4,'月1回_2ヶ月前の在庫'!$W$6:$W$10005,$C184),0))))))</f>
        <v/>
      </c>
      <c r="I184">
        <f>IF($C184="","",IF(COUNTIFS('①在庫を貼る'!$V$6:$V$10005,'設定'!$C$4,'①在庫を貼る'!$W$6:$W$10005,$C184)=0,"",SUMIFS('①在庫を貼る'!$N$6:$N$10005,'①在庫を貼る'!$V$6:$V$10005,'設定'!$C$4,'①在庫を貼る'!$W$6:$W$10005,$C184)))</f>
        <v/>
      </c>
      <c r="J184">
        <f>IF($C184="","",IF('②発注する'!$AD188="","",'②発注する'!$AD188))</f>
        <v/>
      </c>
      <c r="K184" s="90">
        <f>IF($C184="","",IF('②発注する'!$AE188="","",'②発注する'!$AE188))</f>
        <v/>
      </c>
      <c r="L184">
        <f>IF($C184="","",IF(AND(ISNUMBER($J184),ISNUMBER($K184),$K184&gt;='設定'!$C$6),$J184,N($I184)))</f>
        <v/>
      </c>
      <c r="M184">
        <f>IF($C184="","",IFERROR(IF(N(INDEX('商品マスタ'!$J$6:$J$1005,MATCH($C184,'商品マスタ'!$B$6:$B$1005,0)))&gt;0,INDEX('商品マスタ'!$J$6:$J$1005,MATCH($C184,'商品マスタ'!$B$6:$B$1005,0)),""),""))</f>
        <v/>
      </c>
      <c r="N184">
        <f>IF($C184="","",IFERROR(IF(N(INDEX('商品マスタ'!$H$6:$H$1005,MATCH($C184,'商品マスタ'!$B$6:$B$1005,0)))&gt;0,INDEX('商品マスタ'!$H$6:$H$1005,MATCH($C184,'商品マスタ'!$B$6:$B$1005,0)),""),""))</f>
        <v/>
      </c>
      <c r="O184">
        <f>IF($C184="","",IF($N184&lt;&gt;"",$N184*$G184,IF(N(IF(COUNTIFS('①在庫を貼る'!$V$6:$V$10005,'設定'!$C$4,'①在庫を貼る'!$W$6:$W$10005,$C184)&gt;0,SUMIFS('①在庫を貼る'!$O$6:$O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O$6:$O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O$6:$O$10005,'月1回_2ヶ月前の在庫'!$V$6:$V$10005,'設定'!$C$4,'月1回_2ヶ月前の在庫'!$W$6:$W$10005,$C184)/COUNTIFS('月1回_2ヶ月前の在庫'!$V$6:$V$10005,'設定'!$C$4,'月1回_2ヶ月前の在庫'!$W$6:$W$10005,$C184),0))))&gt;0,N(IF(COUNTIFS('①在庫を貼る'!$V$6:$V$10005,'設定'!$C$4,'①在庫を貼る'!$W$6:$W$10005,$C184)&gt;0,SUMIFS('①在庫を貼る'!$O$6:$O$10005,'①在庫を貼る'!$V$6:$V$10005,'設定'!$C$4,'①在庫を貼る'!$W$6:$W$10005,$C184)/COUNTIFS('①在庫を貼る'!$V$6:$V$10005,'設定'!$C$4,'①在庫を貼る'!$W$6:$W$10005,$C184),IF(COUNTIFS('月1回_1ヶ月前の在庫'!$V$6:$V$10005,'設定'!$C$4,'月1回_1ヶ月前の在庫'!$W$6:$W$10005,$C184)&gt;0,SUMIFS('月1回_1ヶ月前の在庫'!$O$6:$O$10005,'月1回_1ヶ月前の在庫'!$V$6:$V$10005,'設定'!$C$4,'月1回_1ヶ月前の在庫'!$W$6:$W$10005,$C184)/COUNTIFS('月1回_1ヶ月前の在庫'!$V$6:$V$10005,'設定'!$C$4,'月1回_1ヶ月前の在庫'!$W$6:$W$10005,$C184),IF(COUNTIFS('月1回_2ヶ月前の在庫'!$V$6:$V$10005,'設定'!$C$4,'月1回_2ヶ月前の在庫'!$W$6:$W$10005,$C184)&gt;0,SUMIFS('月1回_2ヶ月前の在庫'!$O$6:$O$10005,'月1回_2ヶ月前の在庫'!$V$6:$V$10005,'設定'!$C$4,'月1回_2ヶ月前の在庫'!$W$6:$W$10005,$C184)/COUNTIFS('月1回_2ヶ月前の在庫'!$V$6:$V$10005,'設定'!$C$4,'月1回_2ヶ月前の在庫'!$W$6:$W$10005,$C184),0)))),"")))</f>
        <v/>
      </c>
      <c r="P184" s="90">
        <f>IF($C184="","",IF('②発注する'!$I188="","",'②発注する'!$I188))</f>
        <v/>
      </c>
      <c r="Q184">
        <f>IF($C184="","",IF('②発注する'!$J188="","",'②発注する'!$J188))</f>
        <v/>
      </c>
      <c r="R184">
        <f>IF($C184="",0,IF(AND(ISNUMBER($P184),ISNUMBER($Q184)),MAX(0,$Q184)*$G184,0))</f>
        <v/>
      </c>
      <c r="S184" s="90">
        <f>IF($C184="","",IF('②発注する'!$M188="","",'②発注する'!$M188))</f>
        <v/>
      </c>
      <c r="T184">
        <f>IF($C184="","",IF('②発注する'!$N188="","",'②発注する'!$N188))</f>
        <v/>
      </c>
      <c r="U184">
        <f>IF($C184="",0,IF(AND(ISNUMBER($S184),ISNUMBER($T184)),MAX(0,$T184)*$G184,0))</f>
        <v/>
      </c>
      <c r="V184">
        <f>IF($C184="",0,IF($M184="",0,MAX(0,$M184)*MAX(0,V$4)/100))</f>
        <v/>
      </c>
      <c r="W184">
        <f>IF($C184="",0,IF($M184="",0,MAX(0,$M184)*MAX(0,W$4)/100))</f>
        <v/>
      </c>
      <c r="X184">
        <f>IF($C184="",0,IF($M184="",0,MAX(0,$M184)*MAX(0,X$4)/100))</f>
        <v/>
      </c>
      <c r="Y184">
        <f>IF($C184="",0,IF($M184="",0,MAX(0,$M184)*MAX(0,Y$4)/100))</f>
        <v/>
      </c>
      <c r="Z184">
        <f>IF($C184="",0,IF($M184="",0,MAX(0,$M184)*MAX(0,Z$4)/100))</f>
        <v/>
      </c>
      <c r="AA184">
        <f>IF($C184="",0,IF($M184="",0,MAX(0,$M184)*MAX(0,AA$4)/100))</f>
        <v/>
      </c>
      <c r="AB184">
        <f>IF($C184="",0,IF($M184="",0,MAX(0,$M184)*MAX(0,AB$4)/100))</f>
        <v/>
      </c>
      <c r="AC184">
        <f>IF($C184="",0,IF($M184="",0,MAX(0,$M184)*MAX(0,AC$4)/100))</f>
        <v/>
      </c>
      <c r="AD184">
        <f>IF($C184="",0,IF($M184="",0,MAX(0,$M184)*MAX(0,AD$4)/100))</f>
        <v/>
      </c>
      <c r="AE184">
        <f>IF($C184="",0,IF($M184="",0,MAX(0,$M184)*MAX(0,AE$4)/100))</f>
        <v/>
      </c>
      <c r="AF184">
        <f>IF($C184="",0,IF($M184="",0,MAX(0,$M184)*MAX(0,AF$4)/100))</f>
        <v/>
      </c>
      <c r="AG184">
        <f>IF($C184="",0,IF($M184="",0,MAX(0,$M184)*MAX(0,AG$4)/100))</f>
        <v/>
      </c>
      <c r="AH184">
        <f>IF($C184="",0,IF($M184="",0,MAX(0,$M184)*MAX(0,AH$4)/100))</f>
        <v/>
      </c>
      <c r="AI184">
        <f>IF($C184="",0,IF($M184="",0,MAX(0,$M184)*MAX(0,AI$4)/100))</f>
        <v/>
      </c>
      <c r="AJ184">
        <f>IF($C184="",0,MAX(0,MAX(0,N($L184))-$V184))</f>
        <v/>
      </c>
      <c r="AK184">
        <f>IF($C184="",0,MAX(0,$AJ184-$W184))</f>
        <v/>
      </c>
      <c r="AL184">
        <f>IF($C184="",0,MAX(0,$AK184-$X184))</f>
        <v/>
      </c>
      <c r="AM184">
        <f>IF($C184="",0,MAX(0,$AL184-$Y184))</f>
        <v/>
      </c>
      <c r="AN184">
        <f>IF($C184="",0,MAX(0,$AM184-$Z184))</f>
        <v/>
      </c>
      <c r="AO184">
        <f>IF($C184="",0,MAX(0,$AN184-$AA184))</f>
        <v/>
      </c>
      <c r="AP184">
        <f>IF($C184="",0,MAX(0,$AO184-$AB184))</f>
        <v/>
      </c>
      <c r="AQ184">
        <f>IF($C184="",0,MAX(0,$AP184-$AC184))</f>
        <v/>
      </c>
      <c r="AR184">
        <f>IF($C184="",0,MAX(0,$AQ184-$AD184))</f>
        <v/>
      </c>
      <c r="AS184">
        <f>IF($C184="",0,MAX(0,$AR184-$AE184))</f>
        <v/>
      </c>
      <c r="AT184">
        <f>IF($C184="",0,MAX(0,$AS184-$AF184))</f>
        <v/>
      </c>
      <c r="AU184">
        <f>IF($C184="",0,MAX(0,$AT184-$AG184))</f>
        <v/>
      </c>
      <c r="AV184">
        <f>IF($C184="",0,MAX(0,$AU184-$AH184))</f>
        <v/>
      </c>
      <c r="AW184">
        <f>IF($C184="",0,MAX(0,$AV184-$AI184))</f>
        <v/>
      </c>
      <c r="AX184">
        <f>IF($C184="",0,MAX(0,MAX(0,N($L184))+IF($P184=V$3,$R184,0)+IF($S184=V$3,$U184,0)-$V184))</f>
        <v/>
      </c>
      <c r="AY184">
        <f>IF($C184="",0,MAX(0,$AX184+IF($P184=W$3,$R184,0)+IF($S184=W$3,$U184,0)-$W184))</f>
        <v/>
      </c>
      <c r="AZ184">
        <f>IF($C184="",0,MAX(0,$AY184+IF($P184=X$3,$R184,0)+IF($S184=X$3,$U184,0)-$X184))</f>
        <v/>
      </c>
      <c r="BA184">
        <f>IF($C184="",0,MAX(0,$AZ184+IF($P184=Y$3,$R184,0)+IF($S184=Y$3,$U184,0)-$Y184))</f>
        <v/>
      </c>
      <c r="BB184">
        <f>IF($C184="",0,MAX(0,$BA184+IF($P184=Z$3,$R184,0)+IF($S184=Z$3,$U184,0)-$Z184))</f>
        <v/>
      </c>
      <c r="BC184">
        <f>IF($C184="",0,MAX(0,$BB184+IF($P184=AA$3,$R184,0)+IF($S184=AA$3,$U184,0)-$AA184))</f>
        <v/>
      </c>
      <c r="BD184">
        <f>IF($C184="",0,MAX(0,$BC184+IF($P184=AB$3,$R184,0)+IF($S184=AB$3,$U184,0)-$AB184))</f>
        <v/>
      </c>
      <c r="BE184">
        <f>IF($C184="",0,MAX(0,$BD184+IF($P184=AC$3,$R184,0)+IF($S184=AC$3,$U184,0)-$AC184))</f>
        <v/>
      </c>
      <c r="BF184">
        <f>IF($C184="",0,MAX(0,$BE184+IF($P184=AD$3,$R184,0)+IF($S184=AD$3,$U184,0)-$AD184))</f>
        <v/>
      </c>
      <c r="BG184">
        <f>IF($C184="",0,MAX(0,$BF184+IF($P184=AE$3,$R184,0)+IF($S184=AE$3,$U184,0)-$AE184))</f>
        <v/>
      </c>
      <c r="BH184">
        <f>IF($C184="",0,MAX(0,$BG184+IF($P184=AF$3,$R184,0)+IF($S184=AF$3,$U184,0)-$AF184))</f>
        <v/>
      </c>
      <c r="BI184">
        <f>IF($C184="",0,MAX(0,$BH184+IF($P184=AG$3,$R184,0)+IF($S184=AG$3,$U184,0)-$AG184))</f>
        <v/>
      </c>
      <c r="BJ184">
        <f>IF($C184="",0,MAX(0,$BI184+IF($P184=AH$3,$R184,0)+IF($S184=AH$3,$U184,0)-$AH184))</f>
        <v/>
      </c>
      <c r="BK184">
        <f>IF($C184="",0,MAX(0,$BJ184+IF($P184=AI$3,$R184,0)+IF($S184=AI$3,$U184,0)-$AI184))</f>
        <v/>
      </c>
      <c r="BL184">
        <f>IF($C184="",99,IF(AND($AX184&lt;1,V$3&gt;=MAX(N($P184),N($S184))),0,99))</f>
        <v/>
      </c>
      <c r="BM184">
        <f>IF($C184="",99,IF(AND($AY184&lt;1,W$3&gt;=MAX(N($P184),N($S184))),1,99))</f>
        <v/>
      </c>
      <c r="BN184">
        <f>IF($C184="",99,IF(AND($AZ184&lt;1,X$3&gt;=MAX(N($P184),N($S184))),2,99))</f>
        <v/>
      </c>
      <c r="BO184">
        <f>IF($C184="",99,IF(AND($BA184&lt;1,Y$3&gt;=MAX(N($P184),N($S184))),3,99))</f>
        <v/>
      </c>
      <c r="BP184">
        <f>IF($C184="",99,IF(AND($BB184&lt;1,Z$3&gt;=MAX(N($P184),N($S184))),4,99))</f>
        <v/>
      </c>
      <c r="BQ184">
        <f>IF($C184="",99,IF(AND($BC184&lt;1,AA$3&gt;=MAX(N($P184),N($S184))),5,99))</f>
        <v/>
      </c>
      <c r="BR184">
        <f>IF($C184="",99,IF(AND($BD184&lt;1,AB$3&gt;=MAX(N($P184),N($S184))),6,99))</f>
        <v/>
      </c>
      <c r="BS184">
        <f>IF($C184="",99,IF(AND($BE184&lt;1,AC$3&gt;=MAX(N($P184),N($S184))),7,99))</f>
        <v/>
      </c>
      <c r="BT184">
        <f>IF($C184="",99,IF(AND($BF184&lt;1,AD$3&gt;=MAX(N($P184),N($S184))),8,99))</f>
        <v/>
      </c>
      <c r="BU184">
        <f>IF($C184="",99,IF(AND($BG184&lt;1,AE$3&gt;=MAX(N($P184),N($S184))),9,99))</f>
        <v/>
      </c>
      <c r="BV184">
        <f>IF($C184="",99,IF(AND($BH184&lt;1,AF$3&gt;=MAX(N($P184),N($S184))),10,99))</f>
        <v/>
      </c>
      <c r="BW184">
        <f>IF($C184="",99,IF(AND($BI184&lt;1,AG$3&gt;=MAX(N($P184),N($S184))),11,99))</f>
        <v/>
      </c>
      <c r="BX184">
        <f>IF($C184="",99,IF(AND($BJ184&lt;1,AH$3&gt;=MAX(N($P184),N($S184))),12,99))</f>
        <v/>
      </c>
      <c r="BY184">
        <f>IF($C184="",99,IF(AND($BK184&lt;1,AI$3&gt;=MAX(N($P184),N($S184))),13,99))</f>
        <v/>
      </c>
      <c r="BZ184">
        <f>IF(OR($C184="",$M184=""),"",COUNTIF($AJ184:$AW184,"&gt;=1"))</f>
        <v/>
      </c>
      <c r="CA184" s="90">
        <f>IF($BZ184="","",IF($BZ184&gt;=14,"",'設定'!$C$6+$BZ184))</f>
        <v/>
      </c>
      <c r="CB184">
        <f>IF(OR($C184="",$M184=""),"",MIN($BL184:$BY184))</f>
        <v/>
      </c>
      <c r="CC184" s="90">
        <f>IF($CB184="","",IF($CB184&gt;=99,"",'設定'!$C$6+$CB184))</f>
        <v/>
      </c>
      <c r="CD184">
        <f>IF(OR($C184="",$M184=""),"",AVERAGE($V184:$AI184))</f>
        <v/>
      </c>
      <c r="CE184">
        <f>IF($C184="","",IFERROR(IF(MATCH(IF(ISNUMBER($P184),$P184,'設定'!$C$6+N('設定'!$C$7)),$V$3:$AI$3,0)=1,MAX(0,N($L184)),INDEX($AJ184:$AW184,MATCH(IF(ISNUMBER($P184),$P184,'設定'!$C$6+N('設定'!$C$7)),$V$3:$AI$3,0)-1)),""))</f>
        <v/>
      </c>
      <c r="CF184">
        <f>IF(OR($C184="",$O184="",$CE184=""),"",IF($O184-$CE184&lt;=0,0,ROUNDUP(($O184-$CE184)/$G184,0)))</f>
        <v/>
      </c>
      <c r="CG184">
        <f>IF(OR($C184="",$CF184="",NOT(ISNUMBER($Q184))),0,MAX(0,$Q184-$CF184))</f>
        <v/>
      </c>
      <c r="CH184">
        <f>IF(OR($C184="",$O184="",$U184=0),0,IFERROR(ROUNDUP(MAX(0,IF(MATCH($S184,$V$3:$AI$3,0)=1,MAX(0,N($L184)),INDEX($AX184:$BK184,MATCH($S184,$V$3:$AI$3,0)-1))+$U184-$O184)/$G184,0),0))</f>
        <v/>
      </c>
      <c r="CI184">
        <f>IF($C184="","",IF(AND($P184="",$Q184=""),"",IF($P184="","⚠ 入庫日を ▼ から選んでください",IF(NOT(ISNUMBER($P184)),"⚠ 入庫日は ▼ から選んでください",IF($P184&lt;N('設定'!$C$6),"⚠ 入庫日が過去です（もう在庫に入っています）→ 消してください",IF($P184&gt;N('設定'!$C$6)+13,"⚠ 入庫日が14日より先です",IF(N($Q184)&lt;=0,"⚠ 入庫数を入れてください",IF($CG184&gt;0,"⚠ 目安より "&amp;$CG184&amp;" 多い（定数を超える）→ 減らす",""))))))))</f>
        <v/>
      </c>
      <c r="CJ184">
        <f>IF($C184="","",IF(AND($S184="",$T184=""),"",IF($S184="","⚠ 2便目：入庫日を ▼ から選んでください",IF(NOT(ISNUMBER($S184)),"⚠ 2便目：入庫日は ▼ から選んでください",IF($S184&lt;N('設定'!$C$6),"⚠ 2便目：入庫日が過去です（もう在庫に入っています）→ 消してください",IF($S184&gt;N('設定'!$C$6)+13,"⚠ 2便目：入庫日が14日より先です",IF(N($T184)&lt;=0,"⚠ 2便目：入庫数を入れてください",IF($CH184&gt;0,"⚠ 2便目：定数を "&amp;$CH184&amp;" ケース超える → 減らす",""))))))))</f>
        <v/>
      </c>
      <c r="CK184">
        <f>IF(AND($CI184="",N($Q184)&gt;0,ISNUMBER($P184)),1,0)</f>
        <v/>
      </c>
      <c r="CL184">
        <f>IF(AND($CJ184="",N($T184)&gt;0,ISNUMBER($S184)),1,0)</f>
        <v/>
      </c>
      <c r="CM184">
        <f>IF(OR($CK184=1,$CL184=1),1,0)</f>
        <v/>
      </c>
      <c r="CN184">
        <f>IF($C184="",0,($CK184*$R184+$CL184*$U184)*N($H184))</f>
        <v/>
      </c>
      <c r="CO184">
        <f>IF($C184="","",IF($CC184="","入庫後は 14日以上もつ",IF($CC184-N('設定'!$C$7)&lt;='設定'!$C$6,"入庫後も "&amp;TEXT($CC184,"m/d")&amp;"("&amp;CHOOSE(WEEKDAY($CC184),"日","月","火","水","木","金","土")&amp;")"&amp;" に切れる　もう1便を至急発注","入庫後も "&amp;TEXT($CC184,"m/d")&amp;"("&amp;CHOOSE(WEEKDAY($CC184),"日","月","火","水","木","金","土")&amp;")"&amp;" に切れる　"&amp;TEXT($CC184-N('設定'!$C$7),"m/d")&amp;"("&amp;CHOOSE(WEEKDAY($CC184-N('設定'!$C$7)),"日","月","火","水","木","金","土")&amp;")"&amp;" までに次を発注")))</f>
        <v/>
      </c>
      <c r="CP184">
        <f>IF($C184="","",IF('設定'!$C$6="","？ ①在庫を貼る に今日のCSVが貼られていない",IF($CS184=1,"－ 今日のCSVに無い（終売？）",IF($L184&lt;0,"● 在庫がマイナス　数えて「数えた在庫」に入れる",IF($L184=0,"● 在庫なし　至急発注",IF($M184="","？ 減り数が未設定（商品マスタ）",IF($B$3=0,"？ 動員が未入力（動員を入れる）",IF($CA184="","○ 14日以上もつ",IF($BZ184&lt;N('設定'!$C$7),"● "&amp;TEXT($CA184,"m/d")&amp;"("&amp;CHOOSE(WEEKDAY($CA184),"日","月","火","水","木","金","土")&amp;")"&amp;" に切れる　至急発注",IF($BZ184=N('設定'!$C$7),"● "&amp;TEXT($CA184,"m/d")&amp;"("&amp;CHOOSE(WEEKDAY($CA184),"日","月","火","水","木","金","土")&amp;")"&amp;" に切れる　今日発注","△ "&amp;TEXT($CA184,"m/d")&amp;"("&amp;CHOOSE(WEEKDAY($CA184),"日","月","火","水","木","金","土")&amp;")"&amp;" に切れる　"&amp;TEXT($CA184-N('設定'!$C$7),"m/d")&amp;"("&amp;CHOOSE(WEEKDAY($CA184-N('設定'!$C$7)),"日","月","火","水","木","金","土")&amp;")"&amp;" までに発注"))))))))))</f>
        <v/>
      </c>
      <c r="CQ184">
        <f>IF($C184="","",IF(AND($P184="",$Q184="",$S184="",$T184=""),"",IF(AND($P184="",$Q184=""),"⚠ 先に1便目（左の入庫日・入庫数）に入れてください",IF($CI184&lt;&gt;"",$CI184,IF($CJ184&lt;&gt;"",$CJ184,IF($M184="","？ 減り数が未設定（発注書には載ります）",IF($B$3=0,"？ 動員が未入力（発注書には載ります）",IF(AND($CA184&lt;&gt;"",$P184&gt;$CA184),IF($P184&gt;'設定'!$C$6+N('設定'!$C$7),"● "&amp;TEXT($P184,"m/d")&amp;"("&amp;CHOOSE(WEEKDAY($P184),"日","月","火","水","木","金","土")&amp;")"&amp;" の入庫では間に合わない（"&amp;TEXT($CA184,"m/d")&amp;"("&amp;CHOOSE(WEEKDAY($CA184),"日","月","火","水","木","金","土")&amp;")"&amp;" に切れる）　入庫日を早める","△ 欠品 "&amp;TEXT($CA184,"m/d")&amp;"("&amp;CHOOSE(WEEKDAY($CA184),"日","月","火","水","木","金","土")&amp;")"&amp;"〜"&amp;TEXT($P184-1,"m/d")&amp;"("&amp;CHOOSE(WEEKDAY($P184-1),"日","月","火","水","木","金","土")&amp;")"&amp;"　"&amp;$CO184),IF($CC184="","○ "&amp;TEXT($P184,"m/d")&amp;"("&amp;CHOOSE(WEEKDAY($P184),"日","月","火","水","木","金","土")&amp;")"&amp;" 入庫で 14日以上もつ",IF($CC184-N('設定'!$C$7)&lt;='設定'!$C$6,"● 入庫しても "&amp;TEXT($CC184,"m/d")&amp;"("&amp;CHOOSE(WEEKDAY($CC184),"日","月","火","水","木","金","土")&amp;")"&amp;" に切れる　もう1便を至急発注（2便目に入れる）","△ 入庫しても "&amp;TEXT($CC184,"m/d")&amp;"("&amp;CHOOSE(WEEKDAY($CC184),"日","月","火","水","木","金","土")&amp;")"&amp;" に切れる　"&amp;TEXT($CC184-N('設定'!$C$7),"m/d")&amp;"("&amp;CHOOSE(WEEKDAY($CC184-N('設定'!$C$7)),"日","月","火","水","木","金","土")&amp;")"&amp;" までに次を発注（2便目に入れる）"))))))))))</f>
        <v/>
      </c>
      <c r="CR184">
        <f>IF($C184="","",IF($G184&gt;1,"ｹｰｽ("&amp;$G184&amp;"入)","個"))</f>
        <v/>
      </c>
      <c r="CS184">
        <f>IF($C184="",0,IF(COUNTIFS('①在庫を貼る'!$V$6:$V$10005,'設定'!$C$4,'①在庫を貼る'!$W$6:$W$10005,$C184)=0,1,0))</f>
        <v/>
      </c>
      <c r="CT184">
        <f>IF(AND($CK184=1,OR('③発注書'!$C$4="すべて",'③発注書'!$C$4="",$F184='③発注書'!$C$4)),N($CT183)+1,N($CT183))</f>
        <v/>
      </c>
      <c r="CU184">
        <f>IF(AND($CL184=1,OR('③発注書'!$C$4="すべて",'③発注書'!$C$4="",$F184='③発注書'!$C$4)),N($CU183)+1,N($CU183))</f>
        <v/>
      </c>
      <c r="CV184">
        <f>IF($C184="",0,IF(COUNTIFS('①在庫を貼る'!$V$6:$V$10005,'設定'!$C$4,'①在庫を貼る'!$W$6:$W$10005,$C184)&gt;0,1,0))</f>
        <v/>
      </c>
      <c r="CW184">
        <f>IF($C184="",0,IF(COUNTIFS('月1回_1ヶ月前の在庫'!$V$6:$V$10005,'設定'!$C$4,'月1回_1ヶ月前の在庫'!$W$6:$W$10005,$C184)&gt;0,1,0))</f>
        <v/>
      </c>
      <c r="CX184">
        <f>IF($C184="",0,IF(COUNTIFS('月1回_2ヶ月前の在庫'!$V$6:$V$10005,'設定'!$C$4,'月1回_2ヶ月前の在庫'!$W$6:$W$10005,$C184)&gt;0,1,0))</f>
        <v/>
      </c>
      <c r="CY184">
        <f>IF(OR($C184="",'設定'!$C$12=""),"",IF('設定'!$C$13="",IF(AND($CV184=1,$CW184=0),"新商品（今月から）",IF(AND($CV184=0,$CW184=1),"終売（今月から）","")),IF(AND($CV184=1,$CW184=0,$CX184=0),"新商品（今月から）",IF(AND($CV184=1,$CW184=1,$CX184=0),"新商品（先月から）",IF(AND($CV184=0,$CW184=1,$CX184=1),"終売（今月から）",IF(AND($CV184=0,$CW184=0,$CX184=1),"終売（先月から）",IF(AND($CV184=1,$CW184=0,$CX184=1),"復活（先月は無し）","")))))))</f>
        <v/>
      </c>
    </row>
    <row r="185">
      <c r="B185">
        <f>IF(180&lt;='設定'!$C$11,180,"")</f>
        <v/>
      </c>
      <c r="C185">
        <f>IF($B185="","",IF($B185&lt;='設定'!$C$20,INDEX('商品マスタ'!$B$6:$B$1005,MATCH($B185,'商品マスタ'!$M$6:$M$1005,0)),IF($B185&lt;='設定'!$C$20+'設定'!$C$17,INDEX('①在庫を貼る'!$W$6:$W$10005,MATCH($B185-'設定'!$C$20,'①在庫を貼る'!$U$6:$U$10005,0)),IF($B185&lt;='設定'!$C$20+'設定'!$C$17+'設定'!$C$18,INDEX('月1回_1ヶ月前の在庫'!$W$6:$W$10005,MATCH($B185-'設定'!$C$20-'設定'!$C$17,'月1回_1ヶ月前の在庫'!$U$6:$U$10005,0)),INDEX('月1回_2ヶ月前の在庫'!$W$6:$W$10005,MATCH($B185-'設定'!$C$20-'設定'!$C$17-'設定'!$C$18,'月1回_2ヶ月前の在庫'!$U$6:$U$10005,0))))))</f>
        <v/>
      </c>
      <c r="D185">
        <f>IF($C185="","",IFERROR(IF(INDEX('商品マスタ'!$C$6:$C$1005,MATCH($C185,'商品マスタ'!$B$6:$B$1005,0))="",IFERROR(INDEX('①在庫を貼る'!$J$6:$J$10005,MATCH($C185,'①在庫を貼る'!$W$6:$W$10005,0)),IFERROR(INDEX('月1回_1ヶ月前の在庫'!$J$6:$J$10005,MATCH($C185,'月1回_1ヶ月前の在庫'!$W$6:$W$10005,0)),IFERROR(INDEX('月1回_2ヶ月前の在庫'!$J$6:$J$10005,MATCH($C185,'月1回_2ヶ月前の在庫'!$W$6:$W$10005,0)),""))),INDEX('商品マスタ'!$C$6:$C$1005,MATCH($C185,'商品マスタ'!$B$6:$B$1005,0))),IFERROR(INDEX('①在庫を貼る'!$J$6:$J$10005,MATCH($C185,'①在庫を貼る'!$W$6:$W$10005,0)),IFERROR(INDEX('月1回_1ヶ月前の在庫'!$J$6:$J$10005,MATCH($C185,'月1回_1ヶ月前の在庫'!$W$6:$W$10005,0)),IFERROR(INDEX('月1回_2ヶ月前の在庫'!$J$6:$J$10005,MATCH($C185,'月1回_2ヶ月前の在庫'!$W$6:$W$10005,0)),"")))))</f>
        <v/>
      </c>
      <c r="E185">
        <f>IF($C185="","",IFERROR(IF(INDEX('商品マスタ'!$D$6:$D$1005,MATCH($C185,'商品マスタ'!$B$6:$B$1005,0))="",IFERROR(INDEX('①在庫を貼る'!$H$6:$H$10005,MATCH($C185,'①在庫を貼る'!$W$6:$W$10005,0)),IFERROR(INDEX('月1回_1ヶ月前の在庫'!$H$6:$H$10005,MATCH($C185,'月1回_1ヶ月前の在庫'!$W$6:$W$10005,0)),IFERROR(INDEX('月1回_2ヶ月前の在庫'!$H$6:$H$10005,MATCH($C185,'月1回_2ヶ月前の在庫'!$W$6:$W$10005,0)),""))),INDEX('商品マスタ'!$D$6:$D$1005,MATCH($C185,'商品マスタ'!$B$6:$B$1005,0))),IFERROR(INDEX('①在庫を貼る'!$H$6:$H$10005,MATCH($C185,'①在庫を貼る'!$W$6:$W$10005,0)),IFERROR(INDEX('月1回_1ヶ月前の在庫'!$H$6:$H$10005,MATCH($C185,'月1回_1ヶ月前の在庫'!$W$6:$W$10005,0)),IFERROR(INDEX('月1回_2ヶ月前の在庫'!$H$6:$H$10005,MATCH($C185,'月1回_2ヶ月前の在庫'!$W$6:$W$10005,0)),"")))))</f>
        <v/>
      </c>
      <c r="F185">
        <f>IF($C185="","",IFERROR(IF(INDEX('商品マスタ'!$E$6:$E$1005,MATCH($C185,'商品マスタ'!$B$6:$B$1005,0))="",IFERROR(INDEX('①在庫を貼る'!$E$6:$E$10005,MATCH($C185,'①在庫を貼る'!$W$6:$W$10005,0)),IFERROR(INDEX('月1回_1ヶ月前の在庫'!$E$6:$E$10005,MATCH($C185,'月1回_1ヶ月前の在庫'!$W$6:$W$10005,0)),IFERROR(INDEX('月1回_2ヶ月前の在庫'!$E$6:$E$10005,MATCH($C185,'月1回_2ヶ月前の在庫'!$W$6:$W$10005,0)),""))),INDEX('商品マスタ'!$E$6:$E$1005,MATCH($C185,'商品マスタ'!$B$6:$B$1005,0))),IFERROR(INDEX('①在庫を貼る'!$E$6:$E$10005,MATCH($C185,'①在庫を貼る'!$W$6:$W$10005,0)),IFERROR(INDEX('月1回_1ヶ月前の在庫'!$E$6:$E$10005,MATCH($C185,'月1回_1ヶ月前の在庫'!$W$6:$W$10005,0)),IFERROR(INDEX('月1回_2ヶ月前の在庫'!$E$6:$E$10005,MATCH($C185,'月1回_2ヶ月前の在庫'!$W$6:$W$10005,0)),"")))))</f>
        <v/>
      </c>
      <c r="G185">
        <f>IF($C185="","",MAX(1,N(IFERROR(IF(INDEX('商品マスタ'!$F$6:$F$1005,MATCH($C185,'商品マスタ'!$B$6:$B$1005,0))="",IF(COUNTIFS('①在庫を貼る'!$V$6:$V$10005,'設定'!$C$4,'①在庫を貼る'!$W$6:$W$10005,$C185)&gt;0,SUMIFS('①在庫を貼る'!$K$6:$K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K$6:$K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K$6:$K$10005,'月1回_2ヶ月前の在庫'!$V$6:$V$10005,'設定'!$C$4,'月1回_2ヶ月前の在庫'!$W$6:$W$10005,$C185)/COUNTIFS('月1回_2ヶ月前の在庫'!$V$6:$V$10005,'設定'!$C$4,'月1回_2ヶ月前の在庫'!$W$6:$W$10005,$C185),0))),INDEX('商品マスタ'!$F$6:$F$1005,MATCH($C185,'商品マスタ'!$B$6:$B$1005,0))),IF(COUNTIFS('①在庫を貼る'!$V$6:$V$10005,'設定'!$C$4,'①在庫を貼る'!$W$6:$W$10005,$C185)&gt;0,SUMIFS('①在庫を貼る'!$K$6:$K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K$6:$K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K$6:$K$10005,'月1回_2ヶ月前の在庫'!$V$6:$V$10005,'設定'!$C$4,'月1回_2ヶ月前の在庫'!$W$6:$W$10005,$C185)/COUNTIFS('月1回_2ヶ月前の在庫'!$V$6:$V$10005,'設定'!$C$4,'月1回_2ヶ月前の在庫'!$W$6:$W$10005,$C185),0)))))))</f>
        <v/>
      </c>
      <c r="H185">
        <f>IF($C185="","",N(IFERROR(IF(INDEX('商品マスタ'!$G$6:$G$1005,MATCH($C185,'商品マスタ'!$B$6:$B$1005,0))="",IF(COUNTIFS('①在庫を貼る'!$V$6:$V$10005,'設定'!$C$4,'①在庫を貼る'!$W$6:$W$10005,$C185)&gt;0,SUMIFS('①在庫を貼る'!$Q$6:$Q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Q$6:$Q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Q$6:$Q$10005,'月1回_2ヶ月前の在庫'!$V$6:$V$10005,'設定'!$C$4,'月1回_2ヶ月前の在庫'!$W$6:$W$10005,$C185)/COUNTIFS('月1回_2ヶ月前の在庫'!$V$6:$V$10005,'設定'!$C$4,'月1回_2ヶ月前の在庫'!$W$6:$W$10005,$C185),0))),INDEX('商品マスタ'!$G$6:$G$1005,MATCH($C185,'商品マスタ'!$B$6:$B$1005,0))),IF(COUNTIFS('①在庫を貼る'!$V$6:$V$10005,'設定'!$C$4,'①在庫を貼る'!$W$6:$W$10005,$C185)&gt;0,SUMIFS('①在庫を貼る'!$Q$6:$Q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Q$6:$Q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Q$6:$Q$10005,'月1回_2ヶ月前の在庫'!$V$6:$V$10005,'設定'!$C$4,'月1回_2ヶ月前の在庫'!$W$6:$W$10005,$C185)/COUNTIFS('月1回_2ヶ月前の在庫'!$V$6:$V$10005,'設定'!$C$4,'月1回_2ヶ月前の在庫'!$W$6:$W$10005,$C185),0))))))</f>
        <v/>
      </c>
      <c r="I185">
        <f>IF($C185="","",IF(COUNTIFS('①在庫を貼る'!$V$6:$V$10005,'設定'!$C$4,'①在庫を貼る'!$W$6:$W$10005,$C185)=0,"",SUMIFS('①在庫を貼る'!$N$6:$N$10005,'①在庫を貼る'!$V$6:$V$10005,'設定'!$C$4,'①在庫を貼る'!$W$6:$W$10005,$C185)))</f>
        <v/>
      </c>
      <c r="J185">
        <f>IF($C185="","",IF('②発注する'!$AD189="","",'②発注する'!$AD189))</f>
        <v/>
      </c>
      <c r="K185" s="90">
        <f>IF($C185="","",IF('②発注する'!$AE189="","",'②発注する'!$AE189))</f>
        <v/>
      </c>
      <c r="L185">
        <f>IF($C185="","",IF(AND(ISNUMBER($J185),ISNUMBER($K185),$K185&gt;='設定'!$C$6),$J185,N($I185)))</f>
        <v/>
      </c>
      <c r="M185">
        <f>IF($C185="","",IFERROR(IF(N(INDEX('商品マスタ'!$J$6:$J$1005,MATCH($C185,'商品マスタ'!$B$6:$B$1005,0)))&gt;0,INDEX('商品マスタ'!$J$6:$J$1005,MATCH($C185,'商品マスタ'!$B$6:$B$1005,0)),""),""))</f>
        <v/>
      </c>
      <c r="N185">
        <f>IF($C185="","",IFERROR(IF(N(INDEX('商品マスタ'!$H$6:$H$1005,MATCH($C185,'商品マスタ'!$B$6:$B$1005,0)))&gt;0,INDEX('商品マスタ'!$H$6:$H$1005,MATCH($C185,'商品マスタ'!$B$6:$B$1005,0)),""),""))</f>
        <v/>
      </c>
      <c r="O185">
        <f>IF($C185="","",IF($N185&lt;&gt;"",$N185*$G185,IF(N(IF(COUNTIFS('①在庫を貼る'!$V$6:$V$10005,'設定'!$C$4,'①在庫を貼る'!$W$6:$W$10005,$C185)&gt;0,SUMIFS('①在庫を貼る'!$O$6:$O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O$6:$O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O$6:$O$10005,'月1回_2ヶ月前の在庫'!$V$6:$V$10005,'設定'!$C$4,'月1回_2ヶ月前の在庫'!$W$6:$W$10005,$C185)/COUNTIFS('月1回_2ヶ月前の在庫'!$V$6:$V$10005,'設定'!$C$4,'月1回_2ヶ月前の在庫'!$W$6:$W$10005,$C185),0))))&gt;0,N(IF(COUNTIFS('①在庫を貼る'!$V$6:$V$10005,'設定'!$C$4,'①在庫を貼る'!$W$6:$W$10005,$C185)&gt;0,SUMIFS('①在庫を貼る'!$O$6:$O$10005,'①在庫を貼る'!$V$6:$V$10005,'設定'!$C$4,'①在庫を貼る'!$W$6:$W$10005,$C185)/COUNTIFS('①在庫を貼る'!$V$6:$V$10005,'設定'!$C$4,'①在庫を貼る'!$W$6:$W$10005,$C185),IF(COUNTIFS('月1回_1ヶ月前の在庫'!$V$6:$V$10005,'設定'!$C$4,'月1回_1ヶ月前の在庫'!$W$6:$W$10005,$C185)&gt;0,SUMIFS('月1回_1ヶ月前の在庫'!$O$6:$O$10005,'月1回_1ヶ月前の在庫'!$V$6:$V$10005,'設定'!$C$4,'月1回_1ヶ月前の在庫'!$W$6:$W$10005,$C185)/COUNTIFS('月1回_1ヶ月前の在庫'!$V$6:$V$10005,'設定'!$C$4,'月1回_1ヶ月前の在庫'!$W$6:$W$10005,$C185),IF(COUNTIFS('月1回_2ヶ月前の在庫'!$V$6:$V$10005,'設定'!$C$4,'月1回_2ヶ月前の在庫'!$W$6:$W$10005,$C185)&gt;0,SUMIFS('月1回_2ヶ月前の在庫'!$O$6:$O$10005,'月1回_2ヶ月前の在庫'!$V$6:$V$10005,'設定'!$C$4,'月1回_2ヶ月前の在庫'!$W$6:$W$10005,$C185)/COUNTIFS('月1回_2ヶ月前の在庫'!$V$6:$V$10005,'設定'!$C$4,'月1回_2ヶ月前の在庫'!$W$6:$W$10005,$C185),0)))),"")))</f>
        <v/>
      </c>
      <c r="P185" s="90">
        <f>IF($C185="","",IF('②発注する'!$I189="","",'②発注する'!$I189))</f>
        <v/>
      </c>
      <c r="Q185">
        <f>IF($C185="","",IF('②発注する'!$J189="","",'②発注する'!$J189))</f>
        <v/>
      </c>
      <c r="R185">
        <f>IF($C185="",0,IF(AND(ISNUMBER($P185),ISNUMBER($Q185)),MAX(0,$Q185)*$G185,0))</f>
        <v/>
      </c>
      <c r="S185" s="90">
        <f>IF($C185="","",IF('②発注する'!$M189="","",'②発注する'!$M189))</f>
        <v/>
      </c>
      <c r="T185">
        <f>IF($C185="","",IF('②発注する'!$N189="","",'②発注する'!$N189))</f>
        <v/>
      </c>
      <c r="U185">
        <f>IF($C185="",0,IF(AND(ISNUMBER($S185),ISNUMBER($T185)),MAX(0,$T185)*$G185,0))</f>
        <v/>
      </c>
      <c r="V185">
        <f>IF($C185="",0,IF($M185="",0,MAX(0,$M185)*MAX(0,V$4)/100))</f>
        <v/>
      </c>
      <c r="W185">
        <f>IF($C185="",0,IF($M185="",0,MAX(0,$M185)*MAX(0,W$4)/100))</f>
        <v/>
      </c>
      <c r="X185">
        <f>IF($C185="",0,IF($M185="",0,MAX(0,$M185)*MAX(0,X$4)/100))</f>
        <v/>
      </c>
      <c r="Y185">
        <f>IF($C185="",0,IF($M185="",0,MAX(0,$M185)*MAX(0,Y$4)/100))</f>
        <v/>
      </c>
      <c r="Z185">
        <f>IF($C185="",0,IF($M185="",0,MAX(0,$M185)*MAX(0,Z$4)/100))</f>
        <v/>
      </c>
      <c r="AA185">
        <f>IF($C185="",0,IF($M185="",0,MAX(0,$M185)*MAX(0,AA$4)/100))</f>
        <v/>
      </c>
      <c r="AB185">
        <f>IF($C185="",0,IF($M185="",0,MAX(0,$M185)*MAX(0,AB$4)/100))</f>
        <v/>
      </c>
      <c r="AC185">
        <f>IF($C185="",0,IF($M185="",0,MAX(0,$M185)*MAX(0,AC$4)/100))</f>
        <v/>
      </c>
      <c r="AD185">
        <f>IF($C185="",0,IF($M185="",0,MAX(0,$M185)*MAX(0,AD$4)/100))</f>
        <v/>
      </c>
      <c r="AE185">
        <f>IF($C185="",0,IF($M185="",0,MAX(0,$M185)*MAX(0,AE$4)/100))</f>
        <v/>
      </c>
      <c r="AF185">
        <f>IF($C185="",0,IF($M185="",0,MAX(0,$M185)*MAX(0,AF$4)/100))</f>
        <v/>
      </c>
      <c r="AG185">
        <f>IF($C185="",0,IF($M185="",0,MAX(0,$M185)*MAX(0,AG$4)/100))</f>
        <v/>
      </c>
      <c r="AH185">
        <f>IF($C185="",0,IF($M185="",0,MAX(0,$M185)*MAX(0,AH$4)/100))</f>
        <v/>
      </c>
      <c r="AI185">
        <f>IF($C185="",0,IF($M185="",0,MAX(0,$M185)*MAX(0,AI$4)/100))</f>
        <v/>
      </c>
      <c r="AJ185">
        <f>IF($C185="",0,MAX(0,MAX(0,N($L185))-$V185))</f>
        <v/>
      </c>
      <c r="AK185">
        <f>IF($C185="",0,MAX(0,$AJ185-$W185))</f>
        <v/>
      </c>
      <c r="AL185">
        <f>IF($C185="",0,MAX(0,$AK185-$X185))</f>
        <v/>
      </c>
      <c r="AM185">
        <f>IF($C185="",0,MAX(0,$AL185-$Y185))</f>
        <v/>
      </c>
      <c r="AN185">
        <f>IF($C185="",0,MAX(0,$AM185-$Z185))</f>
        <v/>
      </c>
      <c r="AO185">
        <f>IF($C185="",0,MAX(0,$AN185-$AA185))</f>
        <v/>
      </c>
      <c r="AP185">
        <f>IF($C185="",0,MAX(0,$AO185-$AB185))</f>
        <v/>
      </c>
      <c r="AQ185">
        <f>IF($C185="",0,MAX(0,$AP185-$AC185))</f>
        <v/>
      </c>
      <c r="AR185">
        <f>IF($C185="",0,MAX(0,$AQ185-$AD185))</f>
        <v/>
      </c>
      <c r="AS185">
        <f>IF($C185="",0,MAX(0,$AR185-$AE185))</f>
        <v/>
      </c>
      <c r="AT185">
        <f>IF($C185="",0,MAX(0,$AS185-$AF185))</f>
        <v/>
      </c>
      <c r="AU185">
        <f>IF($C185="",0,MAX(0,$AT185-$AG185))</f>
        <v/>
      </c>
      <c r="AV185">
        <f>IF($C185="",0,MAX(0,$AU185-$AH185))</f>
        <v/>
      </c>
      <c r="AW185">
        <f>IF($C185="",0,MAX(0,$AV185-$AI185))</f>
        <v/>
      </c>
      <c r="AX185">
        <f>IF($C185="",0,MAX(0,MAX(0,N($L185))+IF($P185=V$3,$R185,0)+IF($S185=V$3,$U185,0)-$V185))</f>
        <v/>
      </c>
      <c r="AY185">
        <f>IF($C185="",0,MAX(0,$AX185+IF($P185=W$3,$R185,0)+IF($S185=W$3,$U185,0)-$W185))</f>
        <v/>
      </c>
      <c r="AZ185">
        <f>IF($C185="",0,MAX(0,$AY185+IF($P185=X$3,$R185,0)+IF($S185=X$3,$U185,0)-$X185))</f>
        <v/>
      </c>
      <c r="BA185">
        <f>IF($C185="",0,MAX(0,$AZ185+IF($P185=Y$3,$R185,0)+IF($S185=Y$3,$U185,0)-$Y185))</f>
        <v/>
      </c>
      <c r="BB185">
        <f>IF($C185="",0,MAX(0,$BA185+IF($P185=Z$3,$R185,0)+IF($S185=Z$3,$U185,0)-$Z185))</f>
        <v/>
      </c>
      <c r="BC185">
        <f>IF($C185="",0,MAX(0,$BB185+IF($P185=AA$3,$R185,0)+IF($S185=AA$3,$U185,0)-$AA185))</f>
        <v/>
      </c>
      <c r="BD185">
        <f>IF($C185="",0,MAX(0,$BC185+IF($P185=AB$3,$R185,0)+IF($S185=AB$3,$U185,0)-$AB185))</f>
        <v/>
      </c>
      <c r="BE185">
        <f>IF($C185="",0,MAX(0,$BD185+IF($P185=AC$3,$R185,0)+IF($S185=AC$3,$U185,0)-$AC185))</f>
        <v/>
      </c>
      <c r="BF185">
        <f>IF($C185="",0,MAX(0,$BE185+IF($P185=AD$3,$R185,0)+IF($S185=AD$3,$U185,0)-$AD185))</f>
        <v/>
      </c>
      <c r="BG185">
        <f>IF($C185="",0,MAX(0,$BF185+IF($P185=AE$3,$R185,0)+IF($S185=AE$3,$U185,0)-$AE185))</f>
        <v/>
      </c>
      <c r="BH185">
        <f>IF($C185="",0,MAX(0,$BG185+IF($P185=AF$3,$R185,0)+IF($S185=AF$3,$U185,0)-$AF185))</f>
        <v/>
      </c>
      <c r="BI185">
        <f>IF($C185="",0,MAX(0,$BH185+IF($P185=AG$3,$R185,0)+IF($S185=AG$3,$U185,0)-$AG185))</f>
        <v/>
      </c>
      <c r="BJ185">
        <f>IF($C185="",0,MAX(0,$BI185+IF($P185=AH$3,$R185,0)+IF($S185=AH$3,$U185,0)-$AH185))</f>
        <v/>
      </c>
      <c r="BK185">
        <f>IF($C185="",0,MAX(0,$BJ185+IF($P185=AI$3,$R185,0)+IF($S185=AI$3,$U185,0)-$AI185))</f>
        <v/>
      </c>
      <c r="BL185">
        <f>IF($C185="",99,IF(AND($AX185&lt;1,V$3&gt;=MAX(N($P185),N($S185))),0,99))</f>
        <v/>
      </c>
      <c r="BM185">
        <f>IF($C185="",99,IF(AND($AY185&lt;1,W$3&gt;=MAX(N($P185),N($S185))),1,99))</f>
        <v/>
      </c>
      <c r="BN185">
        <f>IF($C185="",99,IF(AND($AZ185&lt;1,X$3&gt;=MAX(N($P185),N($S185))),2,99))</f>
        <v/>
      </c>
      <c r="BO185">
        <f>IF($C185="",99,IF(AND($BA185&lt;1,Y$3&gt;=MAX(N($P185),N($S185))),3,99))</f>
        <v/>
      </c>
      <c r="BP185">
        <f>IF($C185="",99,IF(AND($BB185&lt;1,Z$3&gt;=MAX(N($P185),N($S185))),4,99))</f>
        <v/>
      </c>
      <c r="BQ185">
        <f>IF($C185="",99,IF(AND($BC185&lt;1,AA$3&gt;=MAX(N($P185),N($S185))),5,99))</f>
        <v/>
      </c>
      <c r="BR185">
        <f>IF($C185="",99,IF(AND($BD185&lt;1,AB$3&gt;=MAX(N($P185),N($S185))),6,99))</f>
        <v/>
      </c>
      <c r="BS185">
        <f>IF($C185="",99,IF(AND($BE185&lt;1,AC$3&gt;=MAX(N($P185),N($S185))),7,99))</f>
        <v/>
      </c>
      <c r="BT185">
        <f>IF($C185="",99,IF(AND($BF185&lt;1,AD$3&gt;=MAX(N($P185),N($S185))),8,99))</f>
        <v/>
      </c>
      <c r="BU185">
        <f>IF($C185="",99,IF(AND($BG185&lt;1,AE$3&gt;=MAX(N($P185),N($S185))),9,99))</f>
        <v/>
      </c>
      <c r="BV185">
        <f>IF($C185="",99,IF(AND($BH185&lt;1,AF$3&gt;=MAX(N($P185),N($S185))),10,99))</f>
        <v/>
      </c>
      <c r="BW185">
        <f>IF($C185="",99,IF(AND($BI185&lt;1,AG$3&gt;=MAX(N($P185),N($S185))),11,99))</f>
        <v/>
      </c>
      <c r="BX185">
        <f>IF($C185="",99,IF(AND($BJ185&lt;1,AH$3&gt;=MAX(N($P185),N($S185))),12,99))</f>
        <v/>
      </c>
      <c r="BY185">
        <f>IF($C185="",99,IF(AND($BK185&lt;1,AI$3&gt;=MAX(N($P185),N($S185))),13,99))</f>
        <v/>
      </c>
      <c r="BZ185">
        <f>IF(OR($C185="",$M185=""),"",COUNTIF($AJ185:$AW185,"&gt;=1"))</f>
        <v/>
      </c>
      <c r="CA185" s="90">
        <f>IF($BZ185="","",IF($BZ185&gt;=14,"",'設定'!$C$6+$BZ185))</f>
        <v/>
      </c>
      <c r="CB185">
        <f>IF(OR($C185="",$M185=""),"",MIN($BL185:$BY185))</f>
        <v/>
      </c>
      <c r="CC185" s="90">
        <f>IF($CB185="","",IF($CB185&gt;=99,"",'設定'!$C$6+$CB185))</f>
        <v/>
      </c>
      <c r="CD185">
        <f>IF(OR($C185="",$M185=""),"",AVERAGE($V185:$AI185))</f>
        <v/>
      </c>
      <c r="CE185">
        <f>IF($C185="","",IFERROR(IF(MATCH(IF(ISNUMBER($P185),$P185,'設定'!$C$6+N('設定'!$C$7)),$V$3:$AI$3,0)=1,MAX(0,N($L185)),INDEX($AJ185:$AW185,MATCH(IF(ISNUMBER($P185),$P185,'設定'!$C$6+N('設定'!$C$7)),$V$3:$AI$3,0)-1)),""))</f>
        <v/>
      </c>
      <c r="CF185">
        <f>IF(OR($C185="",$O185="",$CE185=""),"",IF($O185-$CE185&lt;=0,0,ROUNDUP(($O185-$CE185)/$G185,0)))</f>
        <v/>
      </c>
      <c r="CG185">
        <f>IF(OR($C185="",$CF185="",NOT(ISNUMBER($Q185))),0,MAX(0,$Q185-$CF185))</f>
        <v/>
      </c>
      <c r="CH185">
        <f>IF(OR($C185="",$O185="",$U185=0),0,IFERROR(ROUNDUP(MAX(0,IF(MATCH($S185,$V$3:$AI$3,0)=1,MAX(0,N($L185)),INDEX($AX185:$BK185,MATCH($S185,$V$3:$AI$3,0)-1))+$U185-$O185)/$G185,0),0))</f>
        <v/>
      </c>
      <c r="CI185">
        <f>IF($C185="","",IF(AND($P185="",$Q185=""),"",IF($P185="","⚠ 入庫日を ▼ から選んでください",IF(NOT(ISNUMBER($P185)),"⚠ 入庫日は ▼ から選んでください",IF($P185&lt;N('設定'!$C$6),"⚠ 入庫日が過去です（もう在庫に入っています）→ 消してください",IF($P185&gt;N('設定'!$C$6)+13,"⚠ 入庫日が14日より先です",IF(N($Q185)&lt;=0,"⚠ 入庫数を入れてください",IF($CG185&gt;0,"⚠ 目安より "&amp;$CG185&amp;" 多い（定数を超える）→ 減らす",""))))))))</f>
        <v/>
      </c>
      <c r="CJ185">
        <f>IF($C185="","",IF(AND($S185="",$T185=""),"",IF($S185="","⚠ 2便目：入庫日を ▼ から選んでください",IF(NOT(ISNUMBER($S185)),"⚠ 2便目：入庫日は ▼ から選んでください",IF($S185&lt;N('設定'!$C$6),"⚠ 2便目：入庫日が過去です（もう在庫に入っています）→ 消してください",IF($S185&gt;N('設定'!$C$6)+13,"⚠ 2便目：入庫日が14日より先です",IF(N($T185)&lt;=0,"⚠ 2便目：入庫数を入れてください",IF($CH185&gt;0,"⚠ 2便目：定数を "&amp;$CH185&amp;" ケース超える → 減らす",""))))))))</f>
        <v/>
      </c>
      <c r="CK185">
        <f>IF(AND($CI185="",N($Q185)&gt;0,ISNUMBER($P185)),1,0)</f>
        <v/>
      </c>
      <c r="CL185">
        <f>IF(AND($CJ185="",N($T185)&gt;0,ISNUMBER($S185)),1,0)</f>
        <v/>
      </c>
      <c r="CM185">
        <f>IF(OR($CK185=1,$CL185=1),1,0)</f>
        <v/>
      </c>
      <c r="CN185">
        <f>IF($C185="",0,($CK185*$R185+$CL185*$U185)*N($H185))</f>
        <v/>
      </c>
      <c r="CO185">
        <f>IF($C185="","",IF($CC185="","入庫後は 14日以上もつ",IF($CC185-N('設定'!$C$7)&lt;='設定'!$C$6,"入庫後も "&amp;TEXT($CC185,"m/d")&amp;"("&amp;CHOOSE(WEEKDAY($CC185),"日","月","火","水","木","金","土")&amp;")"&amp;" に切れる　もう1便を至急発注","入庫後も "&amp;TEXT($CC185,"m/d")&amp;"("&amp;CHOOSE(WEEKDAY($CC185),"日","月","火","水","木","金","土")&amp;")"&amp;" に切れる　"&amp;TEXT($CC185-N('設定'!$C$7),"m/d")&amp;"("&amp;CHOOSE(WEEKDAY($CC185-N('設定'!$C$7)),"日","月","火","水","木","金","土")&amp;")"&amp;" までに次を発注")))</f>
        <v/>
      </c>
      <c r="CP185">
        <f>IF($C185="","",IF('設定'!$C$6="","？ ①在庫を貼る に今日のCSVが貼られていない",IF($CS185=1,"－ 今日のCSVに無い（終売？）",IF($L185&lt;0,"● 在庫がマイナス　数えて「数えた在庫」に入れる",IF($L185=0,"● 在庫なし　至急発注",IF($M185="","？ 減り数が未設定（商品マスタ）",IF($B$3=0,"？ 動員が未入力（動員を入れる）",IF($CA185="","○ 14日以上もつ",IF($BZ185&lt;N('設定'!$C$7),"● "&amp;TEXT($CA185,"m/d")&amp;"("&amp;CHOOSE(WEEKDAY($CA185),"日","月","火","水","木","金","土")&amp;")"&amp;" に切れる　至急発注",IF($BZ185=N('設定'!$C$7),"● "&amp;TEXT($CA185,"m/d")&amp;"("&amp;CHOOSE(WEEKDAY($CA185),"日","月","火","水","木","金","土")&amp;")"&amp;" に切れる　今日発注","△ "&amp;TEXT($CA185,"m/d")&amp;"("&amp;CHOOSE(WEEKDAY($CA185),"日","月","火","水","木","金","土")&amp;")"&amp;" に切れる　"&amp;TEXT($CA185-N('設定'!$C$7),"m/d")&amp;"("&amp;CHOOSE(WEEKDAY($CA185-N('設定'!$C$7)),"日","月","火","水","木","金","土")&amp;")"&amp;" までに発注"))))))))))</f>
        <v/>
      </c>
      <c r="CQ185">
        <f>IF($C185="","",IF(AND($P185="",$Q185="",$S185="",$T185=""),"",IF(AND($P185="",$Q185=""),"⚠ 先に1便目（左の入庫日・入庫数）に入れてください",IF($CI185&lt;&gt;"",$CI185,IF($CJ185&lt;&gt;"",$CJ185,IF($M185="","？ 減り数が未設定（発注書には載ります）",IF($B$3=0,"？ 動員が未入力（発注書には載ります）",IF(AND($CA185&lt;&gt;"",$P185&gt;$CA185),IF($P185&gt;'設定'!$C$6+N('設定'!$C$7),"● "&amp;TEXT($P185,"m/d")&amp;"("&amp;CHOOSE(WEEKDAY($P185),"日","月","火","水","木","金","土")&amp;")"&amp;" の入庫では間に合わない（"&amp;TEXT($CA185,"m/d")&amp;"("&amp;CHOOSE(WEEKDAY($CA185),"日","月","火","水","木","金","土")&amp;")"&amp;" に切れる）　入庫日を早める","△ 欠品 "&amp;TEXT($CA185,"m/d")&amp;"("&amp;CHOOSE(WEEKDAY($CA185),"日","月","火","水","木","金","土")&amp;")"&amp;"〜"&amp;TEXT($P185-1,"m/d")&amp;"("&amp;CHOOSE(WEEKDAY($P185-1),"日","月","火","水","木","金","土")&amp;")"&amp;"　"&amp;$CO185),IF($CC185="","○ "&amp;TEXT($P185,"m/d")&amp;"("&amp;CHOOSE(WEEKDAY($P185),"日","月","火","水","木","金","土")&amp;")"&amp;" 入庫で 14日以上もつ",IF($CC185-N('設定'!$C$7)&lt;='設定'!$C$6,"● 入庫しても "&amp;TEXT($CC185,"m/d")&amp;"("&amp;CHOOSE(WEEKDAY($CC185),"日","月","火","水","木","金","土")&amp;")"&amp;" に切れる　もう1便を至急発注（2便目に入れる）","△ 入庫しても "&amp;TEXT($CC185,"m/d")&amp;"("&amp;CHOOSE(WEEKDAY($CC185),"日","月","火","水","木","金","土")&amp;")"&amp;" に切れる　"&amp;TEXT($CC185-N('設定'!$C$7),"m/d")&amp;"("&amp;CHOOSE(WEEKDAY($CC185-N('設定'!$C$7)),"日","月","火","水","木","金","土")&amp;")"&amp;" までに次を発注（2便目に入れる）"))))))))))</f>
        <v/>
      </c>
      <c r="CR185">
        <f>IF($C185="","",IF($G185&gt;1,"ｹｰｽ("&amp;$G185&amp;"入)","個"))</f>
        <v/>
      </c>
      <c r="CS185">
        <f>IF($C185="",0,IF(COUNTIFS('①在庫を貼る'!$V$6:$V$10005,'設定'!$C$4,'①在庫を貼る'!$W$6:$W$10005,$C185)=0,1,0))</f>
        <v/>
      </c>
      <c r="CT185">
        <f>IF(AND($CK185=1,OR('③発注書'!$C$4="すべて",'③発注書'!$C$4="",$F185='③発注書'!$C$4)),N($CT184)+1,N($CT184))</f>
        <v/>
      </c>
      <c r="CU185">
        <f>IF(AND($CL185=1,OR('③発注書'!$C$4="すべて",'③発注書'!$C$4="",$F185='③発注書'!$C$4)),N($CU184)+1,N($CU184))</f>
        <v/>
      </c>
      <c r="CV185">
        <f>IF($C185="",0,IF(COUNTIFS('①在庫を貼る'!$V$6:$V$10005,'設定'!$C$4,'①在庫を貼る'!$W$6:$W$10005,$C185)&gt;0,1,0))</f>
        <v/>
      </c>
      <c r="CW185">
        <f>IF($C185="",0,IF(COUNTIFS('月1回_1ヶ月前の在庫'!$V$6:$V$10005,'設定'!$C$4,'月1回_1ヶ月前の在庫'!$W$6:$W$10005,$C185)&gt;0,1,0))</f>
        <v/>
      </c>
      <c r="CX185">
        <f>IF($C185="",0,IF(COUNTIFS('月1回_2ヶ月前の在庫'!$V$6:$V$10005,'設定'!$C$4,'月1回_2ヶ月前の在庫'!$W$6:$W$10005,$C185)&gt;0,1,0))</f>
        <v/>
      </c>
      <c r="CY185">
        <f>IF(OR($C185="",'設定'!$C$12=""),"",IF('設定'!$C$13="",IF(AND($CV185=1,$CW185=0),"新商品（今月から）",IF(AND($CV185=0,$CW185=1),"終売（今月から）","")),IF(AND($CV185=1,$CW185=0,$CX185=0),"新商品（今月から）",IF(AND($CV185=1,$CW185=1,$CX185=0),"新商品（先月から）",IF(AND($CV185=0,$CW185=1,$CX185=1),"終売（今月から）",IF(AND($CV185=0,$CW185=0,$CX185=1),"終売（先月から）",IF(AND($CV185=1,$CW185=0,$CX185=1),"復活（先月は無し）","")))))))</f>
        <v/>
      </c>
    </row>
    <row r="186">
      <c r="B186">
        <f>IF(181&lt;='設定'!$C$11,181,"")</f>
        <v/>
      </c>
      <c r="C186">
        <f>IF($B186="","",IF($B186&lt;='設定'!$C$20,INDEX('商品マスタ'!$B$6:$B$1005,MATCH($B186,'商品マスタ'!$M$6:$M$1005,0)),IF($B186&lt;='設定'!$C$20+'設定'!$C$17,INDEX('①在庫を貼る'!$W$6:$W$10005,MATCH($B186-'設定'!$C$20,'①在庫を貼る'!$U$6:$U$10005,0)),IF($B186&lt;='設定'!$C$20+'設定'!$C$17+'設定'!$C$18,INDEX('月1回_1ヶ月前の在庫'!$W$6:$W$10005,MATCH($B186-'設定'!$C$20-'設定'!$C$17,'月1回_1ヶ月前の在庫'!$U$6:$U$10005,0)),INDEX('月1回_2ヶ月前の在庫'!$W$6:$W$10005,MATCH($B186-'設定'!$C$20-'設定'!$C$17-'設定'!$C$18,'月1回_2ヶ月前の在庫'!$U$6:$U$10005,0))))))</f>
        <v/>
      </c>
      <c r="D186">
        <f>IF($C186="","",IFERROR(IF(INDEX('商品マスタ'!$C$6:$C$1005,MATCH($C186,'商品マスタ'!$B$6:$B$1005,0))="",IFERROR(INDEX('①在庫を貼る'!$J$6:$J$10005,MATCH($C186,'①在庫を貼る'!$W$6:$W$10005,0)),IFERROR(INDEX('月1回_1ヶ月前の在庫'!$J$6:$J$10005,MATCH($C186,'月1回_1ヶ月前の在庫'!$W$6:$W$10005,0)),IFERROR(INDEX('月1回_2ヶ月前の在庫'!$J$6:$J$10005,MATCH($C186,'月1回_2ヶ月前の在庫'!$W$6:$W$10005,0)),""))),INDEX('商品マスタ'!$C$6:$C$1005,MATCH($C186,'商品マスタ'!$B$6:$B$1005,0))),IFERROR(INDEX('①在庫を貼る'!$J$6:$J$10005,MATCH($C186,'①在庫を貼る'!$W$6:$W$10005,0)),IFERROR(INDEX('月1回_1ヶ月前の在庫'!$J$6:$J$10005,MATCH($C186,'月1回_1ヶ月前の在庫'!$W$6:$W$10005,0)),IFERROR(INDEX('月1回_2ヶ月前の在庫'!$J$6:$J$10005,MATCH($C186,'月1回_2ヶ月前の在庫'!$W$6:$W$10005,0)),"")))))</f>
        <v/>
      </c>
      <c r="E186">
        <f>IF($C186="","",IFERROR(IF(INDEX('商品マスタ'!$D$6:$D$1005,MATCH($C186,'商品マスタ'!$B$6:$B$1005,0))="",IFERROR(INDEX('①在庫を貼る'!$H$6:$H$10005,MATCH($C186,'①在庫を貼る'!$W$6:$W$10005,0)),IFERROR(INDEX('月1回_1ヶ月前の在庫'!$H$6:$H$10005,MATCH($C186,'月1回_1ヶ月前の在庫'!$W$6:$W$10005,0)),IFERROR(INDEX('月1回_2ヶ月前の在庫'!$H$6:$H$10005,MATCH($C186,'月1回_2ヶ月前の在庫'!$W$6:$W$10005,0)),""))),INDEX('商品マスタ'!$D$6:$D$1005,MATCH($C186,'商品マスタ'!$B$6:$B$1005,0))),IFERROR(INDEX('①在庫を貼る'!$H$6:$H$10005,MATCH($C186,'①在庫を貼る'!$W$6:$W$10005,0)),IFERROR(INDEX('月1回_1ヶ月前の在庫'!$H$6:$H$10005,MATCH($C186,'月1回_1ヶ月前の在庫'!$W$6:$W$10005,0)),IFERROR(INDEX('月1回_2ヶ月前の在庫'!$H$6:$H$10005,MATCH($C186,'月1回_2ヶ月前の在庫'!$W$6:$W$10005,0)),"")))))</f>
        <v/>
      </c>
      <c r="F186">
        <f>IF($C186="","",IFERROR(IF(INDEX('商品マスタ'!$E$6:$E$1005,MATCH($C186,'商品マスタ'!$B$6:$B$1005,0))="",IFERROR(INDEX('①在庫を貼る'!$E$6:$E$10005,MATCH($C186,'①在庫を貼る'!$W$6:$W$10005,0)),IFERROR(INDEX('月1回_1ヶ月前の在庫'!$E$6:$E$10005,MATCH($C186,'月1回_1ヶ月前の在庫'!$W$6:$W$10005,0)),IFERROR(INDEX('月1回_2ヶ月前の在庫'!$E$6:$E$10005,MATCH($C186,'月1回_2ヶ月前の在庫'!$W$6:$W$10005,0)),""))),INDEX('商品マスタ'!$E$6:$E$1005,MATCH($C186,'商品マスタ'!$B$6:$B$1005,0))),IFERROR(INDEX('①在庫を貼る'!$E$6:$E$10005,MATCH($C186,'①在庫を貼る'!$W$6:$W$10005,0)),IFERROR(INDEX('月1回_1ヶ月前の在庫'!$E$6:$E$10005,MATCH($C186,'月1回_1ヶ月前の在庫'!$W$6:$W$10005,0)),IFERROR(INDEX('月1回_2ヶ月前の在庫'!$E$6:$E$10005,MATCH($C186,'月1回_2ヶ月前の在庫'!$W$6:$W$10005,0)),"")))))</f>
        <v/>
      </c>
      <c r="G186">
        <f>IF($C186="","",MAX(1,N(IFERROR(IF(INDEX('商品マスタ'!$F$6:$F$1005,MATCH($C186,'商品マスタ'!$B$6:$B$1005,0))="",IF(COUNTIFS('①在庫を貼る'!$V$6:$V$10005,'設定'!$C$4,'①在庫を貼る'!$W$6:$W$10005,$C186)&gt;0,SUMIFS('①在庫を貼る'!$K$6:$K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K$6:$K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K$6:$K$10005,'月1回_2ヶ月前の在庫'!$V$6:$V$10005,'設定'!$C$4,'月1回_2ヶ月前の在庫'!$W$6:$W$10005,$C186)/COUNTIFS('月1回_2ヶ月前の在庫'!$V$6:$V$10005,'設定'!$C$4,'月1回_2ヶ月前の在庫'!$W$6:$W$10005,$C186),0))),INDEX('商品マスタ'!$F$6:$F$1005,MATCH($C186,'商品マスタ'!$B$6:$B$1005,0))),IF(COUNTIFS('①在庫を貼る'!$V$6:$V$10005,'設定'!$C$4,'①在庫を貼る'!$W$6:$W$10005,$C186)&gt;0,SUMIFS('①在庫を貼る'!$K$6:$K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K$6:$K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K$6:$K$10005,'月1回_2ヶ月前の在庫'!$V$6:$V$10005,'設定'!$C$4,'月1回_2ヶ月前の在庫'!$W$6:$W$10005,$C186)/COUNTIFS('月1回_2ヶ月前の在庫'!$V$6:$V$10005,'設定'!$C$4,'月1回_2ヶ月前の在庫'!$W$6:$W$10005,$C186),0)))))))</f>
        <v/>
      </c>
      <c r="H186">
        <f>IF($C186="","",N(IFERROR(IF(INDEX('商品マスタ'!$G$6:$G$1005,MATCH($C186,'商品マスタ'!$B$6:$B$1005,0))="",IF(COUNTIFS('①在庫を貼る'!$V$6:$V$10005,'設定'!$C$4,'①在庫を貼る'!$W$6:$W$10005,$C186)&gt;0,SUMIFS('①在庫を貼る'!$Q$6:$Q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Q$6:$Q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Q$6:$Q$10005,'月1回_2ヶ月前の在庫'!$V$6:$V$10005,'設定'!$C$4,'月1回_2ヶ月前の在庫'!$W$6:$W$10005,$C186)/COUNTIFS('月1回_2ヶ月前の在庫'!$V$6:$V$10005,'設定'!$C$4,'月1回_2ヶ月前の在庫'!$W$6:$W$10005,$C186),0))),INDEX('商品マスタ'!$G$6:$G$1005,MATCH($C186,'商品マスタ'!$B$6:$B$1005,0))),IF(COUNTIFS('①在庫を貼る'!$V$6:$V$10005,'設定'!$C$4,'①在庫を貼る'!$W$6:$W$10005,$C186)&gt;0,SUMIFS('①在庫を貼る'!$Q$6:$Q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Q$6:$Q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Q$6:$Q$10005,'月1回_2ヶ月前の在庫'!$V$6:$V$10005,'設定'!$C$4,'月1回_2ヶ月前の在庫'!$W$6:$W$10005,$C186)/COUNTIFS('月1回_2ヶ月前の在庫'!$V$6:$V$10005,'設定'!$C$4,'月1回_2ヶ月前の在庫'!$W$6:$W$10005,$C186),0))))))</f>
        <v/>
      </c>
      <c r="I186">
        <f>IF($C186="","",IF(COUNTIFS('①在庫を貼る'!$V$6:$V$10005,'設定'!$C$4,'①在庫を貼る'!$W$6:$W$10005,$C186)=0,"",SUMIFS('①在庫を貼る'!$N$6:$N$10005,'①在庫を貼る'!$V$6:$V$10005,'設定'!$C$4,'①在庫を貼る'!$W$6:$W$10005,$C186)))</f>
        <v/>
      </c>
      <c r="J186">
        <f>IF($C186="","",IF('②発注する'!$AD190="","",'②発注する'!$AD190))</f>
        <v/>
      </c>
      <c r="K186" s="90">
        <f>IF($C186="","",IF('②発注する'!$AE190="","",'②発注する'!$AE190))</f>
        <v/>
      </c>
      <c r="L186">
        <f>IF($C186="","",IF(AND(ISNUMBER($J186),ISNUMBER($K186),$K186&gt;='設定'!$C$6),$J186,N($I186)))</f>
        <v/>
      </c>
      <c r="M186">
        <f>IF($C186="","",IFERROR(IF(N(INDEX('商品マスタ'!$J$6:$J$1005,MATCH($C186,'商品マスタ'!$B$6:$B$1005,0)))&gt;0,INDEX('商品マスタ'!$J$6:$J$1005,MATCH($C186,'商品マスタ'!$B$6:$B$1005,0)),""),""))</f>
        <v/>
      </c>
      <c r="N186">
        <f>IF($C186="","",IFERROR(IF(N(INDEX('商品マスタ'!$H$6:$H$1005,MATCH($C186,'商品マスタ'!$B$6:$B$1005,0)))&gt;0,INDEX('商品マスタ'!$H$6:$H$1005,MATCH($C186,'商品マスタ'!$B$6:$B$1005,0)),""),""))</f>
        <v/>
      </c>
      <c r="O186">
        <f>IF($C186="","",IF($N186&lt;&gt;"",$N186*$G186,IF(N(IF(COUNTIFS('①在庫を貼る'!$V$6:$V$10005,'設定'!$C$4,'①在庫を貼る'!$W$6:$W$10005,$C186)&gt;0,SUMIFS('①在庫を貼る'!$O$6:$O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O$6:$O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O$6:$O$10005,'月1回_2ヶ月前の在庫'!$V$6:$V$10005,'設定'!$C$4,'月1回_2ヶ月前の在庫'!$W$6:$W$10005,$C186)/COUNTIFS('月1回_2ヶ月前の在庫'!$V$6:$V$10005,'設定'!$C$4,'月1回_2ヶ月前の在庫'!$W$6:$W$10005,$C186),0))))&gt;0,N(IF(COUNTIFS('①在庫を貼る'!$V$6:$V$10005,'設定'!$C$4,'①在庫を貼る'!$W$6:$W$10005,$C186)&gt;0,SUMIFS('①在庫を貼る'!$O$6:$O$10005,'①在庫を貼る'!$V$6:$V$10005,'設定'!$C$4,'①在庫を貼る'!$W$6:$W$10005,$C186)/COUNTIFS('①在庫を貼る'!$V$6:$V$10005,'設定'!$C$4,'①在庫を貼る'!$W$6:$W$10005,$C186),IF(COUNTIFS('月1回_1ヶ月前の在庫'!$V$6:$V$10005,'設定'!$C$4,'月1回_1ヶ月前の在庫'!$W$6:$W$10005,$C186)&gt;0,SUMIFS('月1回_1ヶ月前の在庫'!$O$6:$O$10005,'月1回_1ヶ月前の在庫'!$V$6:$V$10005,'設定'!$C$4,'月1回_1ヶ月前の在庫'!$W$6:$W$10005,$C186)/COUNTIFS('月1回_1ヶ月前の在庫'!$V$6:$V$10005,'設定'!$C$4,'月1回_1ヶ月前の在庫'!$W$6:$W$10005,$C186),IF(COUNTIFS('月1回_2ヶ月前の在庫'!$V$6:$V$10005,'設定'!$C$4,'月1回_2ヶ月前の在庫'!$W$6:$W$10005,$C186)&gt;0,SUMIFS('月1回_2ヶ月前の在庫'!$O$6:$O$10005,'月1回_2ヶ月前の在庫'!$V$6:$V$10005,'設定'!$C$4,'月1回_2ヶ月前の在庫'!$W$6:$W$10005,$C186)/COUNTIFS('月1回_2ヶ月前の在庫'!$V$6:$V$10005,'設定'!$C$4,'月1回_2ヶ月前の在庫'!$W$6:$W$10005,$C186),0)))),"")))</f>
        <v/>
      </c>
      <c r="P186" s="90">
        <f>IF($C186="","",IF('②発注する'!$I190="","",'②発注する'!$I190))</f>
        <v/>
      </c>
      <c r="Q186">
        <f>IF($C186="","",IF('②発注する'!$J190="","",'②発注する'!$J190))</f>
        <v/>
      </c>
      <c r="R186">
        <f>IF($C186="",0,IF(AND(ISNUMBER($P186),ISNUMBER($Q186)),MAX(0,$Q186)*$G186,0))</f>
        <v/>
      </c>
      <c r="S186" s="90">
        <f>IF($C186="","",IF('②発注する'!$M190="","",'②発注する'!$M190))</f>
        <v/>
      </c>
      <c r="T186">
        <f>IF($C186="","",IF('②発注する'!$N190="","",'②発注する'!$N190))</f>
        <v/>
      </c>
      <c r="U186">
        <f>IF($C186="",0,IF(AND(ISNUMBER($S186),ISNUMBER($T186)),MAX(0,$T186)*$G186,0))</f>
        <v/>
      </c>
      <c r="V186">
        <f>IF($C186="",0,IF($M186="",0,MAX(0,$M186)*MAX(0,V$4)/100))</f>
        <v/>
      </c>
      <c r="W186">
        <f>IF($C186="",0,IF($M186="",0,MAX(0,$M186)*MAX(0,W$4)/100))</f>
        <v/>
      </c>
      <c r="X186">
        <f>IF($C186="",0,IF($M186="",0,MAX(0,$M186)*MAX(0,X$4)/100))</f>
        <v/>
      </c>
      <c r="Y186">
        <f>IF($C186="",0,IF($M186="",0,MAX(0,$M186)*MAX(0,Y$4)/100))</f>
        <v/>
      </c>
      <c r="Z186">
        <f>IF($C186="",0,IF($M186="",0,MAX(0,$M186)*MAX(0,Z$4)/100))</f>
        <v/>
      </c>
      <c r="AA186">
        <f>IF($C186="",0,IF($M186="",0,MAX(0,$M186)*MAX(0,AA$4)/100))</f>
        <v/>
      </c>
      <c r="AB186">
        <f>IF($C186="",0,IF($M186="",0,MAX(0,$M186)*MAX(0,AB$4)/100))</f>
        <v/>
      </c>
      <c r="AC186">
        <f>IF($C186="",0,IF($M186="",0,MAX(0,$M186)*MAX(0,AC$4)/100))</f>
        <v/>
      </c>
      <c r="AD186">
        <f>IF($C186="",0,IF($M186="",0,MAX(0,$M186)*MAX(0,AD$4)/100))</f>
        <v/>
      </c>
      <c r="AE186">
        <f>IF($C186="",0,IF($M186="",0,MAX(0,$M186)*MAX(0,AE$4)/100))</f>
        <v/>
      </c>
      <c r="AF186">
        <f>IF($C186="",0,IF($M186="",0,MAX(0,$M186)*MAX(0,AF$4)/100))</f>
        <v/>
      </c>
      <c r="AG186">
        <f>IF($C186="",0,IF($M186="",0,MAX(0,$M186)*MAX(0,AG$4)/100))</f>
        <v/>
      </c>
      <c r="AH186">
        <f>IF($C186="",0,IF($M186="",0,MAX(0,$M186)*MAX(0,AH$4)/100))</f>
        <v/>
      </c>
      <c r="AI186">
        <f>IF($C186="",0,IF($M186="",0,MAX(0,$M186)*MAX(0,AI$4)/100))</f>
        <v/>
      </c>
      <c r="AJ186">
        <f>IF($C186="",0,MAX(0,MAX(0,N($L186))-$V186))</f>
        <v/>
      </c>
      <c r="AK186">
        <f>IF($C186="",0,MAX(0,$AJ186-$W186))</f>
        <v/>
      </c>
      <c r="AL186">
        <f>IF($C186="",0,MAX(0,$AK186-$X186))</f>
        <v/>
      </c>
      <c r="AM186">
        <f>IF($C186="",0,MAX(0,$AL186-$Y186))</f>
        <v/>
      </c>
      <c r="AN186">
        <f>IF($C186="",0,MAX(0,$AM186-$Z186))</f>
        <v/>
      </c>
      <c r="AO186">
        <f>IF($C186="",0,MAX(0,$AN186-$AA186))</f>
        <v/>
      </c>
      <c r="AP186">
        <f>IF($C186="",0,MAX(0,$AO186-$AB186))</f>
        <v/>
      </c>
      <c r="AQ186">
        <f>IF($C186="",0,MAX(0,$AP186-$AC186))</f>
        <v/>
      </c>
      <c r="AR186">
        <f>IF($C186="",0,MAX(0,$AQ186-$AD186))</f>
        <v/>
      </c>
      <c r="AS186">
        <f>IF($C186="",0,MAX(0,$AR186-$AE186))</f>
        <v/>
      </c>
      <c r="AT186">
        <f>IF($C186="",0,MAX(0,$AS186-$AF186))</f>
        <v/>
      </c>
      <c r="AU186">
        <f>IF($C186="",0,MAX(0,$AT186-$AG186))</f>
        <v/>
      </c>
      <c r="AV186">
        <f>IF($C186="",0,MAX(0,$AU186-$AH186))</f>
        <v/>
      </c>
      <c r="AW186">
        <f>IF($C186="",0,MAX(0,$AV186-$AI186))</f>
        <v/>
      </c>
      <c r="AX186">
        <f>IF($C186="",0,MAX(0,MAX(0,N($L186))+IF($P186=V$3,$R186,0)+IF($S186=V$3,$U186,0)-$V186))</f>
        <v/>
      </c>
      <c r="AY186">
        <f>IF($C186="",0,MAX(0,$AX186+IF($P186=W$3,$R186,0)+IF($S186=W$3,$U186,0)-$W186))</f>
        <v/>
      </c>
      <c r="AZ186">
        <f>IF($C186="",0,MAX(0,$AY186+IF($P186=X$3,$R186,0)+IF($S186=X$3,$U186,0)-$X186))</f>
        <v/>
      </c>
      <c r="BA186">
        <f>IF($C186="",0,MAX(0,$AZ186+IF($P186=Y$3,$R186,0)+IF($S186=Y$3,$U186,0)-$Y186))</f>
        <v/>
      </c>
      <c r="BB186">
        <f>IF($C186="",0,MAX(0,$BA186+IF($P186=Z$3,$R186,0)+IF($S186=Z$3,$U186,0)-$Z186))</f>
        <v/>
      </c>
      <c r="BC186">
        <f>IF($C186="",0,MAX(0,$BB186+IF($P186=AA$3,$R186,0)+IF($S186=AA$3,$U186,0)-$AA186))</f>
        <v/>
      </c>
      <c r="BD186">
        <f>IF($C186="",0,MAX(0,$BC186+IF($P186=AB$3,$R186,0)+IF($S186=AB$3,$U186,0)-$AB186))</f>
        <v/>
      </c>
      <c r="BE186">
        <f>IF($C186="",0,MAX(0,$BD186+IF($P186=AC$3,$R186,0)+IF($S186=AC$3,$U186,0)-$AC186))</f>
        <v/>
      </c>
      <c r="BF186">
        <f>IF($C186="",0,MAX(0,$BE186+IF($P186=AD$3,$R186,0)+IF($S186=AD$3,$U186,0)-$AD186))</f>
        <v/>
      </c>
      <c r="BG186">
        <f>IF($C186="",0,MAX(0,$BF186+IF($P186=AE$3,$R186,0)+IF($S186=AE$3,$U186,0)-$AE186))</f>
        <v/>
      </c>
      <c r="BH186">
        <f>IF($C186="",0,MAX(0,$BG186+IF($P186=AF$3,$R186,0)+IF($S186=AF$3,$U186,0)-$AF186))</f>
        <v/>
      </c>
      <c r="BI186">
        <f>IF($C186="",0,MAX(0,$BH186+IF($P186=AG$3,$R186,0)+IF($S186=AG$3,$U186,0)-$AG186))</f>
        <v/>
      </c>
      <c r="BJ186">
        <f>IF($C186="",0,MAX(0,$BI186+IF($P186=AH$3,$R186,0)+IF($S186=AH$3,$U186,0)-$AH186))</f>
        <v/>
      </c>
      <c r="BK186">
        <f>IF($C186="",0,MAX(0,$BJ186+IF($P186=AI$3,$R186,0)+IF($S186=AI$3,$U186,0)-$AI186))</f>
        <v/>
      </c>
      <c r="BL186">
        <f>IF($C186="",99,IF(AND($AX186&lt;1,V$3&gt;=MAX(N($P186),N($S186))),0,99))</f>
        <v/>
      </c>
      <c r="BM186">
        <f>IF($C186="",99,IF(AND($AY186&lt;1,W$3&gt;=MAX(N($P186),N($S186))),1,99))</f>
        <v/>
      </c>
      <c r="BN186">
        <f>IF($C186="",99,IF(AND($AZ186&lt;1,X$3&gt;=MAX(N($P186),N($S186))),2,99))</f>
        <v/>
      </c>
      <c r="BO186">
        <f>IF($C186="",99,IF(AND($BA186&lt;1,Y$3&gt;=MAX(N($P186),N($S186))),3,99))</f>
        <v/>
      </c>
      <c r="BP186">
        <f>IF($C186="",99,IF(AND($BB186&lt;1,Z$3&gt;=MAX(N($P186),N($S186))),4,99))</f>
        <v/>
      </c>
      <c r="BQ186">
        <f>IF($C186="",99,IF(AND($BC186&lt;1,AA$3&gt;=MAX(N($P186),N($S186))),5,99))</f>
        <v/>
      </c>
      <c r="BR186">
        <f>IF($C186="",99,IF(AND($BD186&lt;1,AB$3&gt;=MAX(N($P186),N($S186))),6,99))</f>
        <v/>
      </c>
      <c r="BS186">
        <f>IF($C186="",99,IF(AND($BE186&lt;1,AC$3&gt;=MAX(N($P186),N($S186))),7,99))</f>
        <v/>
      </c>
      <c r="BT186">
        <f>IF($C186="",99,IF(AND($BF186&lt;1,AD$3&gt;=MAX(N($P186),N($S186))),8,99))</f>
        <v/>
      </c>
      <c r="BU186">
        <f>IF($C186="",99,IF(AND($BG186&lt;1,AE$3&gt;=MAX(N($P186),N($S186))),9,99))</f>
        <v/>
      </c>
      <c r="BV186">
        <f>IF($C186="",99,IF(AND($BH186&lt;1,AF$3&gt;=MAX(N($P186),N($S186))),10,99))</f>
        <v/>
      </c>
      <c r="BW186">
        <f>IF($C186="",99,IF(AND($BI186&lt;1,AG$3&gt;=MAX(N($P186),N($S186))),11,99))</f>
        <v/>
      </c>
      <c r="BX186">
        <f>IF($C186="",99,IF(AND($BJ186&lt;1,AH$3&gt;=MAX(N($P186),N($S186))),12,99))</f>
        <v/>
      </c>
      <c r="BY186">
        <f>IF($C186="",99,IF(AND($BK186&lt;1,AI$3&gt;=MAX(N($P186),N($S186))),13,99))</f>
        <v/>
      </c>
      <c r="BZ186">
        <f>IF(OR($C186="",$M186=""),"",COUNTIF($AJ186:$AW186,"&gt;=1"))</f>
        <v/>
      </c>
      <c r="CA186" s="90">
        <f>IF($BZ186="","",IF($BZ186&gt;=14,"",'設定'!$C$6+$BZ186))</f>
        <v/>
      </c>
      <c r="CB186">
        <f>IF(OR($C186="",$M186=""),"",MIN($BL186:$BY186))</f>
        <v/>
      </c>
      <c r="CC186" s="90">
        <f>IF($CB186="","",IF($CB186&gt;=99,"",'設定'!$C$6+$CB186))</f>
        <v/>
      </c>
      <c r="CD186">
        <f>IF(OR($C186="",$M186=""),"",AVERAGE($V186:$AI186))</f>
        <v/>
      </c>
      <c r="CE186">
        <f>IF($C186="","",IFERROR(IF(MATCH(IF(ISNUMBER($P186),$P186,'設定'!$C$6+N('設定'!$C$7)),$V$3:$AI$3,0)=1,MAX(0,N($L186)),INDEX($AJ186:$AW186,MATCH(IF(ISNUMBER($P186),$P186,'設定'!$C$6+N('設定'!$C$7)),$V$3:$AI$3,0)-1)),""))</f>
        <v/>
      </c>
      <c r="CF186">
        <f>IF(OR($C186="",$O186="",$CE186=""),"",IF($O186-$CE186&lt;=0,0,ROUNDUP(($O186-$CE186)/$G186,0)))</f>
        <v/>
      </c>
      <c r="CG186">
        <f>IF(OR($C186="",$CF186="",NOT(ISNUMBER($Q186))),0,MAX(0,$Q186-$CF186))</f>
        <v/>
      </c>
      <c r="CH186">
        <f>IF(OR($C186="",$O186="",$U186=0),0,IFERROR(ROUNDUP(MAX(0,IF(MATCH($S186,$V$3:$AI$3,0)=1,MAX(0,N($L186)),INDEX($AX186:$BK186,MATCH($S186,$V$3:$AI$3,0)-1))+$U186-$O186)/$G186,0),0))</f>
        <v/>
      </c>
      <c r="CI186">
        <f>IF($C186="","",IF(AND($P186="",$Q186=""),"",IF($P186="","⚠ 入庫日を ▼ から選んでください",IF(NOT(ISNUMBER($P186)),"⚠ 入庫日は ▼ から選んでください",IF($P186&lt;N('設定'!$C$6),"⚠ 入庫日が過去です（もう在庫に入っています）→ 消してください",IF($P186&gt;N('設定'!$C$6)+13,"⚠ 入庫日が14日より先です",IF(N($Q186)&lt;=0,"⚠ 入庫数を入れてください",IF($CG186&gt;0,"⚠ 目安より "&amp;$CG186&amp;" 多い（定数を超える）→ 減らす",""))))))))</f>
        <v/>
      </c>
      <c r="CJ186">
        <f>IF($C186="","",IF(AND($S186="",$T186=""),"",IF($S186="","⚠ 2便目：入庫日を ▼ から選んでください",IF(NOT(ISNUMBER($S186)),"⚠ 2便目：入庫日は ▼ から選んでください",IF($S186&lt;N('設定'!$C$6),"⚠ 2便目：入庫日が過去です（もう在庫に入っています）→ 消してください",IF($S186&gt;N('設定'!$C$6)+13,"⚠ 2便目：入庫日が14日より先です",IF(N($T186)&lt;=0,"⚠ 2便目：入庫数を入れてください",IF($CH186&gt;0,"⚠ 2便目：定数を "&amp;$CH186&amp;" ケース超える → 減らす",""))))))))</f>
        <v/>
      </c>
      <c r="CK186">
        <f>IF(AND($CI186="",N($Q186)&gt;0,ISNUMBER($P186)),1,0)</f>
        <v/>
      </c>
      <c r="CL186">
        <f>IF(AND($CJ186="",N($T186)&gt;0,ISNUMBER($S186)),1,0)</f>
        <v/>
      </c>
      <c r="CM186">
        <f>IF(OR($CK186=1,$CL186=1),1,0)</f>
        <v/>
      </c>
      <c r="CN186">
        <f>IF($C186="",0,($CK186*$R186+$CL186*$U186)*N($H186))</f>
        <v/>
      </c>
      <c r="CO186">
        <f>IF($C186="","",IF($CC186="","入庫後は 14日以上もつ",IF($CC186-N('設定'!$C$7)&lt;='設定'!$C$6,"入庫後も "&amp;TEXT($CC186,"m/d")&amp;"("&amp;CHOOSE(WEEKDAY($CC186),"日","月","火","水","木","金","土")&amp;")"&amp;" に切れる　もう1便を至急発注","入庫後も "&amp;TEXT($CC186,"m/d")&amp;"("&amp;CHOOSE(WEEKDAY($CC186),"日","月","火","水","木","金","土")&amp;")"&amp;" に切れる　"&amp;TEXT($CC186-N('設定'!$C$7),"m/d")&amp;"("&amp;CHOOSE(WEEKDAY($CC186-N('設定'!$C$7)),"日","月","火","水","木","金","土")&amp;")"&amp;" までに次を発注")))</f>
        <v/>
      </c>
      <c r="CP186">
        <f>IF($C186="","",IF('設定'!$C$6="","？ ①在庫を貼る に今日のCSVが貼られていない",IF($CS186=1,"－ 今日のCSVに無い（終売？）",IF($L186&lt;0,"● 在庫がマイナス　数えて「数えた在庫」に入れる",IF($L186=0,"● 在庫なし　至急発注",IF($M186="","？ 減り数が未設定（商品マスタ）",IF($B$3=0,"？ 動員が未入力（動員を入れる）",IF($CA186="","○ 14日以上もつ",IF($BZ186&lt;N('設定'!$C$7),"● "&amp;TEXT($CA186,"m/d")&amp;"("&amp;CHOOSE(WEEKDAY($CA186),"日","月","火","水","木","金","土")&amp;")"&amp;" に切れる　至急発注",IF($BZ186=N('設定'!$C$7),"● "&amp;TEXT($CA186,"m/d")&amp;"("&amp;CHOOSE(WEEKDAY($CA186),"日","月","火","水","木","金","土")&amp;")"&amp;" に切れる　今日発注","△ "&amp;TEXT($CA186,"m/d")&amp;"("&amp;CHOOSE(WEEKDAY($CA186),"日","月","火","水","木","金","土")&amp;")"&amp;" に切れる　"&amp;TEXT($CA186-N('設定'!$C$7),"m/d")&amp;"("&amp;CHOOSE(WEEKDAY($CA186-N('設定'!$C$7)),"日","月","火","水","木","金","土")&amp;")"&amp;" までに発注"))))))))))</f>
        <v/>
      </c>
      <c r="CQ186">
        <f>IF($C186="","",IF(AND($P186="",$Q186="",$S186="",$T186=""),"",IF(AND($P186="",$Q186=""),"⚠ 先に1便目（左の入庫日・入庫数）に入れてください",IF($CI186&lt;&gt;"",$CI186,IF($CJ186&lt;&gt;"",$CJ186,IF($M186="","？ 減り数が未設定（発注書には載ります）",IF($B$3=0,"？ 動員が未入力（発注書には載ります）",IF(AND($CA186&lt;&gt;"",$P186&gt;$CA186),IF($P186&gt;'設定'!$C$6+N('設定'!$C$7),"● "&amp;TEXT($P186,"m/d")&amp;"("&amp;CHOOSE(WEEKDAY($P186),"日","月","火","水","木","金","土")&amp;")"&amp;" の入庫では間に合わない（"&amp;TEXT($CA186,"m/d")&amp;"("&amp;CHOOSE(WEEKDAY($CA186),"日","月","火","水","木","金","土")&amp;")"&amp;" に切れる）　入庫日を早める","△ 欠品 "&amp;TEXT($CA186,"m/d")&amp;"("&amp;CHOOSE(WEEKDAY($CA186),"日","月","火","水","木","金","土")&amp;")"&amp;"〜"&amp;TEXT($P186-1,"m/d")&amp;"("&amp;CHOOSE(WEEKDAY($P186-1),"日","月","火","水","木","金","土")&amp;")"&amp;"　"&amp;$CO186),IF($CC186="","○ "&amp;TEXT($P186,"m/d")&amp;"("&amp;CHOOSE(WEEKDAY($P186),"日","月","火","水","木","金","土")&amp;")"&amp;" 入庫で 14日以上もつ",IF($CC186-N('設定'!$C$7)&lt;='設定'!$C$6,"● 入庫しても "&amp;TEXT($CC186,"m/d")&amp;"("&amp;CHOOSE(WEEKDAY($CC186),"日","月","火","水","木","金","土")&amp;")"&amp;" に切れる　もう1便を至急発注（2便目に入れる）","△ 入庫しても "&amp;TEXT($CC186,"m/d")&amp;"("&amp;CHOOSE(WEEKDAY($CC186),"日","月","火","水","木","金","土")&amp;")"&amp;" に切れる　"&amp;TEXT($CC186-N('設定'!$C$7),"m/d")&amp;"("&amp;CHOOSE(WEEKDAY($CC186-N('設定'!$C$7)),"日","月","火","水","木","金","土")&amp;")"&amp;" までに次を発注（2便目に入れる）"))))))))))</f>
        <v/>
      </c>
      <c r="CR186">
        <f>IF($C186="","",IF($G186&gt;1,"ｹｰｽ("&amp;$G186&amp;"入)","個"))</f>
        <v/>
      </c>
      <c r="CS186">
        <f>IF($C186="",0,IF(COUNTIFS('①在庫を貼る'!$V$6:$V$10005,'設定'!$C$4,'①在庫を貼る'!$W$6:$W$10005,$C186)=0,1,0))</f>
        <v/>
      </c>
      <c r="CT186">
        <f>IF(AND($CK186=1,OR('③発注書'!$C$4="すべて",'③発注書'!$C$4="",$F186='③発注書'!$C$4)),N($CT185)+1,N($CT185))</f>
        <v/>
      </c>
      <c r="CU186">
        <f>IF(AND($CL186=1,OR('③発注書'!$C$4="すべて",'③発注書'!$C$4="",$F186='③発注書'!$C$4)),N($CU185)+1,N($CU185))</f>
        <v/>
      </c>
      <c r="CV186">
        <f>IF($C186="",0,IF(COUNTIFS('①在庫を貼る'!$V$6:$V$10005,'設定'!$C$4,'①在庫を貼る'!$W$6:$W$10005,$C186)&gt;0,1,0))</f>
        <v/>
      </c>
      <c r="CW186">
        <f>IF($C186="",0,IF(COUNTIFS('月1回_1ヶ月前の在庫'!$V$6:$V$10005,'設定'!$C$4,'月1回_1ヶ月前の在庫'!$W$6:$W$10005,$C186)&gt;0,1,0))</f>
        <v/>
      </c>
      <c r="CX186">
        <f>IF($C186="",0,IF(COUNTIFS('月1回_2ヶ月前の在庫'!$V$6:$V$10005,'設定'!$C$4,'月1回_2ヶ月前の在庫'!$W$6:$W$10005,$C186)&gt;0,1,0))</f>
        <v/>
      </c>
      <c r="CY186">
        <f>IF(OR($C186="",'設定'!$C$12=""),"",IF('設定'!$C$13="",IF(AND($CV186=1,$CW186=0),"新商品（今月から）",IF(AND($CV186=0,$CW186=1),"終売（今月から）","")),IF(AND($CV186=1,$CW186=0,$CX186=0),"新商品（今月から）",IF(AND($CV186=1,$CW186=1,$CX186=0),"新商品（先月から）",IF(AND($CV186=0,$CW186=1,$CX186=1),"終売（今月から）",IF(AND($CV186=0,$CW186=0,$CX186=1),"終売（先月から）",IF(AND($CV186=1,$CW186=0,$CX186=1),"復活（先月は無し）","")))))))</f>
        <v/>
      </c>
    </row>
    <row r="187">
      <c r="B187">
        <f>IF(182&lt;='設定'!$C$11,182,"")</f>
        <v/>
      </c>
      <c r="C187">
        <f>IF($B187="","",IF($B187&lt;='設定'!$C$20,INDEX('商品マスタ'!$B$6:$B$1005,MATCH($B187,'商品マスタ'!$M$6:$M$1005,0)),IF($B187&lt;='設定'!$C$20+'設定'!$C$17,INDEX('①在庫を貼る'!$W$6:$W$10005,MATCH($B187-'設定'!$C$20,'①在庫を貼る'!$U$6:$U$10005,0)),IF($B187&lt;='設定'!$C$20+'設定'!$C$17+'設定'!$C$18,INDEX('月1回_1ヶ月前の在庫'!$W$6:$W$10005,MATCH($B187-'設定'!$C$20-'設定'!$C$17,'月1回_1ヶ月前の在庫'!$U$6:$U$10005,0)),INDEX('月1回_2ヶ月前の在庫'!$W$6:$W$10005,MATCH($B187-'設定'!$C$20-'設定'!$C$17-'設定'!$C$18,'月1回_2ヶ月前の在庫'!$U$6:$U$10005,0))))))</f>
        <v/>
      </c>
      <c r="D187">
        <f>IF($C187="","",IFERROR(IF(INDEX('商品マスタ'!$C$6:$C$1005,MATCH($C187,'商品マスタ'!$B$6:$B$1005,0))="",IFERROR(INDEX('①在庫を貼る'!$J$6:$J$10005,MATCH($C187,'①在庫を貼る'!$W$6:$W$10005,0)),IFERROR(INDEX('月1回_1ヶ月前の在庫'!$J$6:$J$10005,MATCH($C187,'月1回_1ヶ月前の在庫'!$W$6:$W$10005,0)),IFERROR(INDEX('月1回_2ヶ月前の在庫'!$J$6:$J$10005,MATCH($C187,'月1回_2ヶ月前の在庫'!$W$6:$W$10005,0)),""))),INDEX('商品マスタ'!$C$6:$C$1005,MATCH($C187,'商品マスタ'!$B$6:$B$1005,0))),IFERROR(INDEX('①在庫を貼る'!$J$6:$J$10005,MATCH($C187,'①在庫を貼る'!$W$6:$W$10005,0)),IFERROR(INDEX('月1回_1ヶ月前の在庫'!$J$6:$J$10005,MATCH($C187,'月1回_1ヶ月前の在庫'!$W$6:$W$10005,0)),IFERROR(INDEX('月1回_2ヶ月前の在庫'!$J$6:$J$10005,MATCH($C187,'月1回_2ヶ月前の在庫'!$W$6:$W$10005,0)),"")))))</f>
        <v/>
      </c>
      <c r="E187">
        <f>IF($C187="","",IFERROR(IF(INDEX('商品マスタ'!$D$6:$D$1005,MATCH($C187,'商品マスタ'!$B$6:$B$1005,0))="",IFERROR(INDEX('①在庫を貼る'!$H$6:$H$10005,MATCH($C187,'①在庫を貼る'!$W$6:$W$10005,0)),IFERROR(INDEX('月1回_1ヶ月前の在庫'!$H$6:$H$10005,MATCH($C187,'月1回_1ヶ月前の在庫'!$W$6:$W$10005,0)),IFERROR(INDEX('月1回_2ヶ月前の在庫'!$H$6:$H$10005,MATCH($C187,'月1回_2ヶ月前の在庫'!$W$6:$W$10005,0)),""))),INDEX('商品マスタ'!$D$6:$D$1005,MATCH($C187,'商品マスタ'!$B$6:$B$1005,0))),IFERROR(INDEX('①在庫を貼る'!$H$6:$H$10005,MATCH($C187,'①在庫を貼る'!$W$6:$W$10005,0)),IFERROR(INDEX('月1回_1ヶ月前の在庫'!$H$6:$H$10005,MATCH($C187,'月1回_1ヶ月前の在庫'!$W$6:$W$10005,0)),IFERROR(INDEX('月1回_2ヶ月前の在庫'!$H$6:$H$10005,MATCH($C187,'月1回_2ヶ月前の在庫'!$W$6:$W$10005,0)),"")))))</f>
        <v/>
      </c>
      <c r="F187">
        <f>IF($C187="","",IFERROR(IF(INDEX('商品マスタ'!$E$6:$E$1005,MATCH($C187,'商品マスタ'!$B$6:$B$1005,0))="",IFERROR(INDEX('①在庫を貼る'!$E$6:$E$10005,MATCH($C187,'①在庫を貼る'!$W$6:$W$10005,0)),IFERROR(INDEX('月1回_1ヶ月前の在庫'!$E$6:$E$10005,MATCH($C187,'月1回_1ヶ月前の在庫'!$W$6:$W$10005,0)),IFERROR(INDEX('月1回_2ヶ月前の在庫'!$E$6:$E$10005,MATCH($C187,'月1回_2ヶ月前の在庫'!$W$6:$W$10005,0)),""))),INDEX('商品マスタ'!$E$6:$E$1005,MATCH($C187,'商品マスタ'!$B$6:$B$1005,0))),IFERROR(INDEX('①在庫を貼る'!$E$6:$E$10005,MATCH($C187,'①在庫を貼る'!$W$6:$W$10005,0)),IFERROR(INDEX('月1回_1ヶ月前の在庫'!$E$6:$E$10005,MATCH($C187,'月1回_1ヶ月前の在庫'!$W$6:$W$10005,0)),IFERROR(INDEX('月1回_2ヶ月前の在庫'!$E$6:$E$10005,MATCH($C187,'月1回_2ヶ月前の在庫'!$W$6:$W$10005,0)),"")))))</f>
        <v/>
      </c>
      <c r="G187">
        <f>IF($C187="","",MAX(1,N(IFERROR(IF(INDEX('商品マスタ'!$F$6:$F$1005,MATCH($C187,'商品マスタ'!$B$6:$B$1005,0))="",IF(COUNTIFS('①在庫を貼る'!$V$6:$V$10005,'設定'!$C$4,'①在庫を貼る'!$W$6:$W$10005,$C187)&gt;0,SUMIFS('①在庫を貼る'!$K$6:$K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K$6:$K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K$6:$K$10005,'月1回_2ヶ月前の在庫'!$V$6:$V$10005,'設定'!$C$4,'月1回_2ヶ月前の在庫'!$W$6:$W$10005,$C187)/COUNTIFS('月1回_2ヶ月前の在庫'!$V$6:$V$10005,'設定'!$C$4,'月1回_2ヶ月前の在庫'!$W$6:$W$10005,$C187),0))),INDEX('商品マスタ'!$F$6:$F$1005,MATCH($C187,'商品マスタ'!$B$6:$B$1005,0))),IF(COUNTIFS('①在庫を貼る'!$V$6:$V$10005,'設定'!$C$4,'①在庫を貼る'!$W$6:$W$10005,$C187)&gt;0,SUMIFS('①在庫を貼る'!$K$6:$K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K$6:$K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K$6:$K$10005,'月1回_2ヶ月前の在庫'!$V$6:$V$10005,'設定'!$C$4,'月1回_2ヶ月前の在庫'!$W$6:$W$10005,$C187)/COUNTIFS('月1回_2ヶ月前の在庫'!$V$6:$V$10005,'設定'!$C$4,'月1回_2ヶ月前の在庫'!$W$6:$W$10005,$C187),0)))))))</f>
        <v/>
      </c>
      <c r="H187">
        <f>IF($C187="","",N(IFERROR(IF(INDEX('商品マスタ'!$G$6:$G$1005,MATCH($C187,'商品マスタ'!$B$6:$B$1005,0))="",IF(COUNTIFS('①在庫を貼る'!$V$6:$V$10005,'設定'!$C$4,'①在庫を貼る'!$W$6:$W$10005,$C187)&gt;0,SUMIFS('①在庫を貼る'!$Q$6:$Q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Q$6:$Q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Q$6:$Q$10005,'月1回_2ヶ月前の在庫'!$V$6:$V$10005,'設定'!$C$4,'月1回_2ヶ月前の在庫'!$W$6:$W$10005,$C187)/COUNTIFS('月1回_2ヶ月前の在庫'!$V$6:$V$10005,'設定'!$C$4,'月1回_2ヶ月前の在庫'!$W$6:$W$10005,$C187),0))),INDEX('商品マスタ'!$G$6:$G$1005,MATCH($C187,'商品マスタ'!$B$6:$B$1005,0))),IF(COUNTIFS('①在庫を貼る'!$V$6:$V$10005,'設定'!$C$4,'①在庫を貼る'!$W$6:$W$10005,$C187)&gt;0,SUMIFS('①在庫を貼る'!$Q$6:$Q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Q$6:$Q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Q$6:$Q$10005,'月1回_2ヶ月前の在庫'!$V$6:$V$10005,'設定'!$C$4,'月1回_2ヶ月前の在庫'!$W$6:$W$10005,$C187)/COUNTIFS('月1回_2ヶ月前の在庫'!$V$6:$V$10005,'設定'!$C$4,'月1回_2ヶ月前の在庫'!$W$6:$W$10005,$C187),0))))))</f>
        <v/>
      </c>
      <c r="I187">
        <f>IF($C187="","",IF(COUNTIFS('①在庫を貼る'!$V$6:$V$10005,'設定'!$C$4,'①在庫を貼る'!$W$6:$W$10005,$C187)=0,"",SUMIFS('①在庫を貼る'!$N$6:$N$10005,'①在庫を貼る'!$V$6:$V$10005,'設定'!$C$4,'①在庫を貼る'!$W$6:$W$10005,$C187)))</f>
        <v/>
      </c>
      <c r="J187">
        <f>IF($C187="","",IF('②発注する'!$AD191="","",'②発注する'!$AD191))</f>
        <v/>
      </c>
      <c r="K187" s="90">
        <f>IF($C187="","",IF('②発注する'!$AE191="","",'②発注する'!$AE191))</f>
        <v/>
      </c>
      <c r="L187">
        <f>IF($C187="","",IF(AND(ISNUMBER($J187),ISNUMBER($K187),$K187&gt;='設定'!$C$6),$J187,N($I187)))</f>
        <v/>
      </c>
      <c r="M187">
        <f>IF($C187="","",IFERROR(IF(N(INDEX('商品マスタ'!$J$6:$J$1005,MATCH($C187,'商品マスタ'!$B$6:$B$1005,0)))&gt;0,INDEX('商品マスタ'!$J$6:$J$1005,MATCH($C187,'商品マスタ'!$B$6:$B$1005,0)),""),""))</f>
        <v/>
      </c>
      <c r="N187">
        <f>IF($C187="","",IFERROR(IF(N(INDEX('商品マスタ'!$H$6:$H$1005,MATCH($C187,'商品マスタ'!$B$6:$B$1005,0)))&gt;0,INDEX('商品マスタ'!$H$6:$H$1005,MATCH($C187,'商品マスタ'!$B$6:$B$1005,0)),""),""))</f>
        <v/>
      </c>
      <c r="O187">
        <f>IF($C187="","",IF($N187&lt;&gt;"",$N187*$G187,IF(N(IF(COUNTIFS('①在庫を貼る'!$V$6:$V$10005,'設定'!$C$4,'①在庫を貼る'!$W$6:$W$10005,$C187)&gt;0,SUMIFS('①在庫を貼る'!$O$6:$O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O$6:$O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O$6:$O$10005,'月1回_2ヶ月前の在庫'!$V$6:$V$10005,'設定'!$C$4,'月1回_2ヶ月前の在庫'!$W$6:$W$10005,$C187)/COUNTIFS('月1回_2ヶ月前の在庫'!$V$6:$V$10005,'設定'!$C$4,'月1回_2ヶ月前の在庫'!$W$6:$W$10005,$C187),0))))&gt;0,N(IF(COUNTIFS('①在庫を貼る'!$V$6:$V$10005,'設定'!$C$4,'①在庫を貼る'!$W$6:$W$10005,$C187)&gt;0,SUMIFS('①在庫を貼る'!$O$6:$O$10005,'①在庫を貼る'!$V$6:$V$10005,'設定'!$C$4,'①在庫を貼る'!$W$6:$W$10005,$C187)/COUNTIFS('①在庫を貼る'!$V$6:$V$10005,'設定'!$C$4,'①在庫を貼る'!$W$6:$W$10005,$C187),IF(COUNTIFS('月1回_1ヶ月前の在庫'!$V$6:$V$10005,'設定'!$C$4,'月1回_1ヶ月前の在庫'!$W$6:$W$10005,$C187)&gt;0,SUMIFS('月1回_1ヶ月前の在庫'!$O$6:$O$10005,'月1回_1ヶ月前の在庫'!$V$6:$V$10005,'設定'!$C$4,'月1回_1ヶ月前の在庫'!$W$6:$W$10005,$C187)/COUNTIFS('月1回_1ヶ月前の在庫'!$V$6:$V$10005,'設定'!$C$4,'月1回_1ヶ月前の在庫'!$W$6:$W$10005,$C187),IF(COUNTIFS('月1回_2ヶ月前の在庫'!$V$6:$V$10005,'設定'!$C$4,'月1回_2ヶ月前の在庫'!$W$6:$W$10005,$C187)&gt;0,SUMIFS('月1回_2ヶ月前の在庫'!$O$6:$O$10005,'月1回_2ヶ月前の在庫'!$V$6:$V$10005,'設定'!$C$4,'月1回_2ヶ月前の在庫'!$W$6:$W$10005,$C187)/COUNTIFS('月1回_2ヶ月前の在庫'!$V$6:$V$10005,'設定'!$C$4,'月1回_2ヶ月前の在庫'!$W$6:$W$10005,$C187),0)))),"")))</f>
        <v/>
      </c>
      <c r="P187" s="90">
        <f>IF($C187="","",IF('②発注する'!$I191="","",'②発注する'!$I191))</f>
        <v/>
      </c>
      <c r="Q187">
        <f>IF($C187="","",IF('②発注する'!$J191="","",'②発注する'!$J191))</f>
        <v/>
      </c>
      <c r="R187">
        <f>IF($C187="",0,IF(AND(ISNUMBER($P187),ISNUMBER($Q187)),MAX(0,$Q187)*$G187,0))</f>
        <v/>
      </c>
      <c r="S187" s="90">
        <f>IF($C187="","",IF('②発注する'!$M191="","",'②発注する'!$M191))</f>
        <v/>
      </c>
      <c r="T187">
        <f>IF($C187="","",IF('②発注する'!$N191="","",'②発注する'!$N191))</f>
        <v/>
      </c>
      <c r="U187">
        <f>IF($C187="",0,IF(AND(ISNUMBER($S187),ISNUMBER($T187)),MAX(0,$T187)*$G187,0))</f>
        <v/>
      </c>
      <c r="V187">
        <f>IF($C187="",0,IF($M187="",0,MAX(0,$M187)*MAX(0,V$4)/100))</f>
        <v/>
      </c>
      <c r="W187">
        <f>IF($C187="",0,IF($M187="",0,MAX(0,$M187)*MAX(0,W$4)/100))</f>
        <v/>
      </c>
      <c r="X187">
        <f>IF($C187="",0,IF($M187="",0,MAX(0,$M187)*MAX(0,X$4)/100))</f>
        <v/>
      </c>
      <c r="Y187">
        <f>IF($C187="",0,IF($M187="",0,MAX(0,$M187)*MAX(0,Y$4)/100))</f>
        <v/>
      </c>
      <c r="Z187">
        <f>IF($C187="",0,IF($M187="",0,MAX(0,$M187)*MAX(0,Z$4)/100))</f>
        <v/>
      </c>
      <c r="AA187">
        <f>IF($C187="",0,IF($M187="",0,MAX(0,$M187)*MAX(0,AA$4)/100))</f>
        <v/>
      </c>
      <c r="AB187">
        <f>IF($C187="",0,IF($M187="",0,MAX(0,$M187)*MAX(0,AB$4)/100))</f>
        <v/>
      </c>
      <c r="AC187">
        <f>IF($C187="",0,IF($M187="",0,MAX(0,$M187)*MAX(0,AC$4)/100))</f>
        <v/>
      </c>
      <c r="AD187">
        <f>IF($C187="",0,IF($M187="",0,MAX(0,$M187)*MAX(0,AD$4)/100))</f>
        <v/>
      </c>
      <c r="AE187">
        <f>IF($C187="",0,IF($M187="",0,MAX(0,$M187)*MAX(0,AE$4)/100))</f>
        <v/>
      </c>
      <c r="AF187">
        <f>IF($C187="",0,IF($M187="",0,MAX(0,$M187)*MAX(0,AF$4)/100))</f>
        <v/>
      </c>
      <c r="AG187">
        <f>IF($C187="",0,IF($M187="",0,MAX(0,$M187)*MAX(0,AG$4)/100))</f>
        <v/>
      </c>
      <c r="AH187">
        <f>IF($C187="",0,IF($M187="",0,MAX(0,$M187)*MAX(0,AH$4)/100))</f>
        <v/>
      </c>
      <c r="AI187">
        <f>IF($C187="",0,IF($M187="",0,MAX(0,$M187)*MAX(0,AI$4)/100))</f>
        <v/>
      </c>
      <c r="AJ187">
        <f>IF($C187="",0,MAX(0,MAX(0,N($L187))-$V187))</f>
        <v/>
      </c>
      <c r="AK187">
        <f>IF($C187="",0,MAX(0,$AJ187-$W187))</f>
        <v/>
      </c>
      <c r="AL187">
        <f>IF($C187="",0,MAX(0,$AK187-$X187))</f>
        <v/>
      </c>
      <c r="AM187">
        <f>IF($C187="",0,MAX(0,$AL187-$Y187))</f>
        <v/>
      </c>
      <c r="AN187">
        <f>IF($C187="",0,MAX(0,$AM187-$Z187))</f>
        <v/>
      </c>
      <c r="AO187">
        <f>IF($C187="",0,MAX(0,$AN187-$AA187))</f>
        <v/>
      </c>
      <c r="AP187">
        <f>IF($C187="",0,MAX(0,$AO187-$AB187))</f>
        <v/>
      </c>
      <c r="AQ187">
        <f>IF($C187="",0,MAX(0,$AP187-$AC187))</f>
        <v/>
      </c>
      <c r="AR187">
        <f>IF($C187="",0,MAX(0,$AQ187-$AD187))</f>
        <v/>
      </c>
      <c r="AS187">
        <f>IF($C187="",0,MAX(0,$AR187-$AE187))</f>
        <v/>
      </c>
      <c r="AT187">
        <f>IF($C187="",0,MAX(0,$AS187-$AF187))</f>
        <v/>
      </c>
      <c r="AU187">
        <f>IF($C187="",0,MAX(0,$AT187-$AG187))</f>
        <v/>
      </c>
      <c r="AV187">
        <f>IF($C187="",0,MAX(0,$AU187-$AH187))</f>
        <v/>
      </c>
      <c r="AW187">
        <f>IF($C187="",0,MAX(0,$AV187-$AI187))</f>
        <v/>
      </c>
      <c r="AX187">
        <f>IF($C187="",0,MAX(0,MAX(0,N($L187))+IF($P187=V$3,$R187,0)+IF($S187=V$3,$U187,0)-$V187))</f>
        <v/>
      </c>
      <c r="AY187">
        <f>IF($C187="",0,MAX(0,$AX187+IF($P187=W$3,$R187,0)+IF($S187=W$3,$U187,0)-$W187))</f>
        <v/>
      </c>
      <c r="AZ187">
        <f>IF($C187="",0,MAX(0,$AY187+IF($P187=X$3,$R187,0)+IF($S187=X$3,$U187,0)-$X187))</f>
        <v/>
      </c>
      <c r="BA187">
        <f>IF($C187="",0,MAX(0,$AZ187+IF($P187=Y$3,$R187,0)+IF($S187=Y$3,$U187,0)-$Y187))</f>
        <v/>
      </c>
      <c r="BB187">
        <f>IF($C187="",0,MAX(0,$BA187+IF($P187=Z$3,$R187,0)+IF($S187=Z$3,$U187,0)-$Z187))</f>
        <v/>
      </c>
      <c r="BC187">
        <f>IF($C187="",0,MAX(0,$BB187+IF($P187=AA$3,$R187,0)+IF($S187=AA$3,$U187,0)-$AA187))</f>
        <v/>
      </c>
      <c r="BD187">
        <f>IF($C187="",0,MAX(0,$BC187+IF($P187=AB$3,$R187,0)+IF($S187=AB$3,$U187,0)-$AB187))</f>
        <v/>
      </c>
      <c r="BE187">
        <f>IF($C187="",0,MAX(0,$BD187+IF($P187=AC$3,$R187,0)+IF($S187=AC$3,$U187,0)-$AC187))</f>
        <v/>
      </c>
      <c r="BF187">
        <f>IF($C187="",0,MAX(0,$BE187+IF($P187=AD$3,$R187,0)+IF($S187=AD$3,$U187,0)-$AD187))</f>
        <v/>
      </c>
      <c r="BG187">
        <f>IF($C187="",0,MAX(0,$BF187+IF($P187=AE$3,$R187,0)+IF($S187=AE$3,$U187,0)-$AE187))</f>
        <v/>
      </c>
      <c r="BH187">
        <f>IF($C187="",0,MAX(0,$BG187+IF($P187=AF$3,$R187,0)+IF($S187=AF$3,$U187,0)-$AF187))</f>
        <v/>
      </c>
      <c r="BI187">
        <f>IF($C187="",0,MAX(0,$BH187+IF($P187=AG$3,$R187,0)+IF($S187=AG$3,$U187,0)-$AG187))</f>
        <v/>
      </c>
      <c r="BJ187">
        <f>IF($C187="",0,MAX(0,$BI187+IF($P187=AH$3,$R187,0)+IF($S187=AH$3,$U187,0)-$AH187))</f>
        <v/>
      </c>
      <c r="BK187">
        <f>IF($C187="",0,MAX(0,$BJ187+IF($P187=AI$3,$R187,0)+IF($S187=AI$3,$U187,0)-$AI187))</f>
        <v/>
      </c>
      <c r="BL187">
        <f>IF($C187="",99,IF(AND($AX187&lt;1,V$3&gt;=MAX(N($P187),N($S187))),0,99))</f>
        <v/>
      </c>
      <c r="BM187">
        <f>IF($C187="",99,IF(AND($AY187&lt;1,W$3&gt;=MAX(N($P187),N($S187))),1,99))</f>
        <v/>
      </c>
      <c r="BN187">
        <f>IF($C187="",99,IF(AND($AZ187&lt;1,X$3&gt;=MAX(N($P187),N($S187))),2,99))</f>
        <v/>
      </c>
      <c r="BO187">
        <f>IF($C187="",99,IF(AND($BA187&lt;1,Y$3&gt;=MAX(N($P187),N($S187))),3,99))</f>
        <v/>
      </c>
      <c r="BP187">
        <f>IF($C187="",99,IF(AND($BB187&lt;1,Z$3&gt;=MAX(N($P187),N($S187))),4,99))</f>
        <v/>
      </c>
      <c r="BQ187">
        <f>IF($C187="",99,IF(AND($BC187&lt;1,AA$3&gt;=MAX(N($P187),N($S187))),5,99))</f>
        <v/>
      </c>
      <c r="BR187">
        <f>IF($C187="",99,IF(AND($BD187&lt;1,AB$3&gt;=MAX(N($P187),N($S187))),6,99))</f>
        <v/>
      </c>
      <c r="BS187">
        <f>IF($C187="",99,IF(AND($BE187&lt;1,AC$3&gt;=MAX(N($P187),N($S187))),7,99))</f>
        <v/>
      </c>
      <c r="BT187">
        <f>IF($C187="",99,IF(AND($BF187&lt;1,AD$3&gt;=MAX(N($P187),N($S187))),8,99))</f>
        <v/>
      </c>
      <c r="BU187">
        <f>IF($C187="",99,IF(AND($BG187&lt;1,AE$3&gt;=MAX(N($P187),N($S187))),9,99))</f>
        <v/>
      </c>
      <c r="BV187">
        <f>IF($C187="",99,IF(AND($BH187&lt;1,AF$3&gt;=MAX(N($P187),N($S187))),10,99))</f>
        <v/>
      </c>
      <c r="BW187">
        <f>IF($C187="",99,IF(AND($BI187&lt;1,AG$3&gt;=MAX(N($P187),N($S187))),11,99))</f>
        <v/>
      </c>
      <c r="BX187">
        <f>IF($C187="",99,IF(AND($BJ187&lt;1,AH$3&gt;=MAX(N($P187),N($S187))),12,99))</f>
        <v/>
      </c>
      <c r="BY187">
        <f>IF($C187="",99,IF(AND($BK187&lt;1,AI$3&gt;=MAX(N($P187),N($S187))),13,99))</f>
        <v/>
      </c>
      <c r="BZ187">
        <f>IF(OR($C187="",$M187=""),"",COUNTIF($AJ187:$AW187,"&gt;=1"))</f>
        <v/>
      </c>
      <c r="CA187" s="90">
        <f>IF($BZ187="","",IF($BZ187&gt;=14,"",'設定'!$C$6+$BZ187))</f>
        <v/>
      </c>
      <c r="CB187">
        <f>IF(OR($C187="",$M187=""),"",MIN($BL187:$BY187))</f>
        <v/>
      </c>
      <c r="CC187" s="90">
        <f>IF($CB187="","",IF($CB187&gt;=99,"",'設定'!$C$6+$CB187))</f>
        <v/>
      </c>
      <c r="CD187">
        <f>IF(OR($C187="",$M187=""),"",AVERAGE($V187:$AI187))</f>
        <v/>
      </c>
      <c r="CE187">
        <f>IF($C187="","",IFERROR(IF(MATCH(IF(ISNUMBER($P187),$P187,'設定'!$C$6+N('設定'!$C$7)),$V$3:$AI$3,0)=1,MAX(0,N($L187)),INDEX($AJ187:$AW187,MATCH(IF(ISNUMBER($P187),$P187,'設定'!$C$6+N('設定'!$C$7)),$V$3:$AI$3,0)-1)),""))</f>
        <v/>
      </c>
      <c r="CF187">
        <f>IF(OR($C187="",$O187="",$CE187=""),"",IF($O187-$CE187&lt;=0,0,ROUNDUP(($O187-$CE187)/$G187,0)))</f>
        <v/>
      </c>
      <c r="CG187">
        <f>IF(OR($C187="",$CF187="",NOT(ISNUMBER($Q187))),0,MAX(0,$Q187-$CF187))</f>
        <v/>
      </c>
      <c r="CH187">
        <f>IF(OR($C187="",$O187="",$U187=0),0,IFERROR(ROUNDUP(MAX(0,IF(MATCH($S187,$V$3:$AI$3,0)=1,MAX(0,N($L187)),INDEX($AX187:$BK187,MATCH($S187,$V$3:$AI$3,0)-1))+$U187-$O187)/$G187,0),0))</f>
        <v/>
      </c>
      <c r="CI187">
        <f>IF($C187="","",IF(AND($P187="",$Q187=""),"",IF($P187="","⚠ 入庫日を ▼ から選んでください",IF(NOT(ISNUMBER($P187)),"⚠ 入庫日は ▼ から選んでください",IF($P187&lt;N('設定'!$C$6),"⚠ 入庫日が過去です（もう在庫に入っています）→ 消してください",IF($P187&gt;N('設定'!$C$6)+13,"⚠ 入庫日が14日より先です",IF(N($Q187)&lt;=0,"⚠ 入庫数を入れてください",IF($CG187&gt;0,"⚠ 目安より "&amp;$CG187&amp;" 多い（定数を超える）→ 減らす",""))))))))</f>
        <v/>
      </c>
      <c r="CJ187">
        <f>IF($C187="","",IF(AND($S187="",$T187=""),"",IF($S187="","⚠ 2便目：入庫日を ▼ から選んでください",IF(NOT(ISNUMBER($S187)),"⚠ 2便目：入庫日は ▼ から選んでください",IF($S187&lt;N('設定'!$C$6),"⚠ 2便目：入庫日が過去です（もう在庫に入っています）→ 消してください",IF($S187&gt;N('設定'!$C$6)+13,"⚠ 2便目：入庫日が14日より先です",IF(N($T187)&lt;=0,"⚠ 2便目：入庫数を入れてください",IF($CH187&gt;0,"⚠ 2便目：定数を "&amp;$CH187&amp;" ケース超える → 減らす",""))))))))</f>
        <v/>
      </c>
      <c r="CK187">
        <f>IF(AND($CI187="",N($Q187)&gt;0,ISNUMBER($P187)),1,0)</f>
        <v/>
      </c>
      <c r="CL187">
        <f>IF(AND($CJ187="",N($T187)&gt;0,ISNUMBER($S187)),1,0)</f>
        <v/>
      </c>
      <c r="CM187">
        <f>IF(OR($CK187=1,$CL187=1),1,0)</f>
        <v/>
      </c>
      <c r="CN187">
        <f>IF($C187="",0,($CK187*$R187+$CL187*$U187)*N($H187))</f>
        <v/>
      </c>
      <c r="CO187">
        <f>IF($C187="","",IF($CC187="","入庫後は 14日以上もつ",IF($CC187-N('設定'!$C$7)&lt;='設定'!$C$6,"入庫後も "&amp;TEXT($CC187,"m/d")&amp;"("&amp;CHOOSE(WEEKDAY($CC187),"日","月","火","水","木","金","土")&amp;")"&amp;" に切れる　もう1便を至急発注","入庫後も "&amp;TEXT($CC187,"m/d")&amp;"("&amp;CHOOSE(WEEKDAY($CC187),"日","月","火","水","木","金","土")&amp;")"&amp;" に切れる　"&amp;TEXT($CC187-N('設定'!$C$7),"m/d")&amp;"("&amp;CHOOSE(WEEKDAY($CC187-N('設定'!$C$7)),"日","月","火","水","木","金","土")&amp;")"&amp;" までに次を発注")))</f>
        <v/>
      </c>
      <c r="CP187">
        <f>IF($C187="","",IF('設定'!$C$6="","？ ①在庫を貼る に今日のCSVが貼られていない",IF($CS187=1,"－ 今日のCSVに無い（終売？）",IF($L187&lt;0,"● 在庫がマイナス　数えて「数えた在庫」に入れる",IF($L187=0,"● 在庫なし　至急発注",IF($M187="","？ 減り数が未設定（商品マスタ）",IF($B$3=0,"？ 動員が未入力（動員を入れる）",IF($CA187="","○ 14日以上もつ",IF($BZ187&lt;N('設定'!$C$7),"● "&amp;TEXT($CA187,"m/d")&amp;"("&amp;CHOOSE(WEEKDAY($CA187),"日","月","火","水","木","金","土")&amp;")"&amp;" に切れる　至急発注",IF($BZ187=N('設定'!$C$7),"● "&amp;TEXT($CA187,"m/d")&amp;"("&amp;CHOOSE(WEEKDAY($CA187),"日","月","火","水","木","金","土")&amp;")"&amp;" に切れる　今日発注","△ "&amp;TEXT($CA187,"m/d")&amp;"("&amp;CHOOSE(WEEKDAY($CA187),"日","月","火","水","木","金","土")&amp;")"&amp;" に切れる　"&amp;TEXT($CA187-N('設定'!$C$7),"m/d")&amp;"("&amp;CHOOSE(WEEKDAY($CA187-N('設定'!$C$7)),"日","月","火","水","木","金","土")&amp;")"&amp;" までに発注"))))))))))</f>
        <v/>
      </c>
      <c r="CQ187">
        <f>IF($C187="","",IF(AND($P187="",$Q187="",$S187="",$T187=""),"",IF(AND($P187="",$Q187=""),"⚠ 先に1便目（左の入庫日・入庫数）に入れてください",IF($CI187&lt;&gt;"",$CI187,IF($CJ187&lt;&gt;"",$CJ187,IF($M187="","？ 減り数が未設定（発注書には載ります）",IF($B$3=0,"？ 動員が未入力（発注書には載ります）",IF(AND($CA187&lt;&gt;"",$P187&gt;$CA187),IF($P187&gt;'設定'!$C$6+N('設定'!$C$7),"● "&amp;TEXT($P187,"m/d")&amp;"("&amp;CHOOSE(WEEKDAY($P187),"日","月","火","水","木","金","土")&amp;")"&amp;" の入庫では間に合わない（"&amp;TEXT($CA187,"m/d")&amp;"("&amp;CHOOSE(WEEKDAY($CA187),"日","月","火","水","木","金","土")&amp;")"&amp;" に切れる）　入庫日を早める","△ 欠品 "&amp;TEXT($CA187,"m/d")&amp;"("&amp;CHOOSE(WEEKDAY($CA187),"日","月","火","水","木","金","土")&amp;")"&amp;"〜"&amp;TEXT($P187-1,"m/d")&amp;"("&amp;CHOOSE(WEEKDAY($P187-1),"日","月","火","水","木","金","土")&amp;")"&amp;"　"&amp;$CO187),IF($CC187="","○ "&amp;TEXT($P187,"m/d")&amp;"("&amp;CHOOSE(WEEKDAY($P187),"日","月","火","水","木","金","土")&amp;")"&amp;" 入庫で 14日以上もつ",IF($CC187-N('設定'!$C$7)&lt;='設定'!$C$6,"● 入庫しても "&amp;TEXT($CC187,"m/d")&amp;"("&amp;CHOOSE(WEEKDAY($CC187),"日","月","火","水","木","金","土")&amp;")"&amp;" に切れる　もう1便を至急発注（2便目に入れる）","△ 入庫しても "&amp;TEXT($CC187,"m/d")&amp;"("&amp;CHOOSE(WEEKDAY($CC187),"日","月","火","水","木","金","土")&amp;")"&amp;" に切れる　"&amp;TEXT($CC187-N('設定'!$C$7),"m/d")&amp;"("&amp;CHOOSE(WEEKDAY($CC187-N('設定'!$C$7)),"日","月","火","水","木","金","土")&amp;")"&amp;" までに次を発注（2便目に入れる）"))))))))))</f>
        <v/>
      </c>
      <c r="CR187">
        <f>IF($C187="","",IF($G187&gt;1,"ｹｰｽ("&amp;$G187&amp;"入)","個"))</f>
        <v/>
      </c>
      <c r="CS187">
        <f>IF($C187="",0,IF(COUNTIFS('①在庫を貼る'!$V$6:$V$10005,'設定'!$C$4,'①在庫を貼る'!$W$6:$W$10005,$C187)=0,1,0))</f>
        <v/>
      </c>
      <c r="CT187">
        <f>IF(AND($CK187=1,OR('③発注書'!$C$4="すべて",'③発注書'!$C$4="",$F187='③発注書'!$C$4)),N($CT186)+1,N($CT186))</f>
        <v/>
      </c>
      <c r="CU187">
        <f>IF(AND($CL187=1,OR('③発注書'!$C$4="すべて",'③発注書'!$C$4="",$F187='③発注書'!$C$4)),N($CU186)+1,N($CU186))</f>
        <v/>
      </c>
      <c r="CV187">
        <f>IF($C187="",0,IF(COUNTIFS('①在庫を貼る'!$V$6:$V$10005,'設定'!$C$4,'①在庫を貼る'!$W$6:$W$10005,$C187)&gt;0,1,0))</f>
        <v/>
      </c>
      <c r="CW187">
        <f>IF($C187="",0,IF(COUNTIFS('月1回_1ヶ月前の在庫'!$V$6:$V$10005,'設定'!$C$4,'月1回_1ヶ月前の在庫'!$W$6:$W$10005,$C187)&gt;0,1,0))</f>
        <v/>
      </c>
      <c r="CX187">
        <f>IF($C187="",0,IF(COUNTIFS('月1回_2ヶ月前の在庫'!$V$6:$V$10005,'設定'!$C$4,'月1回_2ヶ月前の在庫'!$W$6:$W$10005,$C187)&gt;0,1,0))</f>
        <v/>
      </c>
      <c r="CY187">
        <f>IF(OR($C187="",'設定'!$C$12=""),"",IF('設定'!$C$13="",IF(AND($CV187=1,$CW187=0),"新商品（今月から）",IF(AND($CV187=0,$CW187=1),"終売（今月から）","")),IF(AND($CV187=1,$CW187=0,$CX187=0),"新商品（今月から）",IF(AND($CV187=1,$CW187=1,$CX187=0),"新商品（先月から）",IF(AND($CV187=0,$CW187=1,$CX187=1),"終売（今月から）",IF(AND($CV187=0,$CW187=0,$CX187=1),"終売（先月から）",IF(AND($CV187=1,$CW187=0,$CX187=1),"復活（先月は無し）","")))))))</f>
        <v/>
      </c>
    </row>
    <row r="188">
      <c r="B188">
        <f>IF(183&lt;='設定'!$C$11,183,"")</f>
        <v/>
      </c>
      <c r="C188">
        <f>IF($B188="","",IF($B188&lt;='設定'!$C$20,INDEX('商品マスタ'!$B$6:$B$1005,MATCH($B188,'商品マスタ'!$M$6:$M$1005,0)),IF($B188&lt;='設定'!$C$20+'設定'!$C$17,INDEX('①在庫を貼る'!$W$6:$W$10005,MATCH($B188-'設定'!$C$20,'①在庫を貼る'!$U$6:$U$10005,0)),IF($B188&lt;='設定'!$C$20+'設定'!$C$17+'設定'!$C$18,INDEX('月1回_1ヶ月前の在庫'!$W$6:$W$10005,MATCH($B188-'設定'!$C$20-'設定'!$C$17,'月1回_1ヶ月前の在庫'!$U$6:$U$10005,0)),INDEX('月1回_2ヶ月前の在庫'!$W$6:$W$10005,MATCH($B188-'設定'!$C$20-'設定'!$C$17-'設定'!$C$18,'月1回_2ヶ月前の在庫'!$U$6:$U$10005,0))))))</f>
        <v/>
      </c>
      <c r="D188">
        <f>IF($C188="","",IFERROR(IF(INDEX('商品マスタ'!$C$6:$C$1005,MATCH($C188,'商品マスタ'!$B$6:$B$1005,0))="",IFERROR(INDEX('①在庫を貼る'!$J$6:$J$10005,MATCH($C188,'①在庫を貼る'!$W$6:$W$10005,0)),IFERROR(INDEX('月1回_1ヶ月前の在庫'!$J$6:$J$10005,MATCH($C188,'月1回_1ヶ月前の在庫'!$W$6:$W$10005,0)),IFERROR(INDEX('月1回_2ヶ月前の在庫'!$J$6:$J$10005,MATCH($C188,'月1回_2ヶ月前の在庫'!$W$6:$W$10005,0)),""))),INDEX('商品マスタ'!$C$6:$C$1005,MATCH($C188,'商品マスタ'!$B$6:$B$1005,0))),IFERROR(INDEX('①在庫を貼る'!$J$6:$J$10005,MATCH($C188,'①在庫を貼る'!$W$6:$W$10005,0)),IFERROR(INDEX('月1回_1ヶ月前の在庫'!$J$6:$J$10005,MATCH($C188,'月1回_1ヶ月前の在庫'!$W$6:$W$10005,0)),IFERROR(INDEX('月1回_2ヶ月前の在庫'!$J$6:$J$10005,MATCH($C188,'月1回_2ヶ月前の在庫'!$W$6:$W$10005,0)),"")))))</f>
        <v/>
      </c>
      <c r="E188">
        <f>IF($C188="","",IFERROR(IF(INDEX('商品マスタ'!$D$6:$D$1005,MATCH($C188,'商品マスタ'!$B$6:$B$1005,0))="",IFERROR(INDEX('①在庫を貼る'!$H$6:$H$10005,MATCH($C188,'①在庫を貼る'!$W$6:$W$10005,0)),IFERROR(INDEX('月1回_1ヶ月前の在庫'!$H$6:$H$10005,MATCH($C188,'月1回_1ヶ月前の在庫'!$W$6:$W$10005,0)),IFERROR(INDEX('月1回_2ヶ月前の在庫'!$H$6:$H$10005,MATCH($C188,'月1回_2ヶ月前の在庫'!$W$6:$W$10005,0)),""))),INDEX('商品マスタ'!$D$6:$D$1005,MATCH($C188,'商品マスタ'!$B$6:$B$1005,0))),IFERROR(INDEX('①在庫を貼る'!$H$6:$H$10005,MATCH($C188,'①在庫を貼る'!$W$6:$W$10005,0)),IFERROR(INDEX('月1回_1ヶ月前の在庫'!$H$6:$H$10005,MATCH($C188,'月1回_1ヶ月前の在庫'!$W$6:$W$10005,0)),IFERROR(INDEX('月1回_2ヶ月前の在庫'!$H$6:$H$10005,MATCH($C188,'月1回_2ヶ月前の在庫'!$W$6:$W$10005,0)),"")))))</f>
        <v/>
      </c>
      <c r="F188">
        <f>IF($C188="","",IFERROR(IF(INDEX('商品マスタ'!$E$6:$E$1005,MATCH($C188,'商品マスタ'!$B$6:$B$1005,0))="",IFERROR(INDEX('①在庫を貼る'!$E$6:$E$10005,MATCH($C188,'①在庫を貼る'!$W$6:$W$10005,0)),IFERROR(INDEX('月1回_1ヶ月前の在庫'!$E$6:$E$10005,MATCH($C188,'月1回_1ヶ月前の在庫'!$W$6:$W$10005,0)),IFERROR(INDEX('月1回_2ヶ月前の在庫'!$E$6:$E$10005,MATCH($C188,'月1回_2ヶ月前の在庫'!$W$6:$W$10005,0)),""))),INDEX('商品マスタ'!$E$6:$E$1005,MATCH($C188,'商品マスタ'!$B$6:$B$1005,0))),IFERROR(INDEX('①在庫を貼る'!$E$6:$E$10005,MATCH($C188,'①在庫を貼る'!$W$6:$W$10005,0)),IFERROR(INDEX('月1回_1ヶ月前の在庫'!$E$6:$E$10005,MATCH($C188,'月1回_1ヶ月前の在庫'!$W$6:$W$10005,0)),IFERROR(INDEX('月1回_2ヶ月前の在庫'!$E$6:$E$10005,MATCH($C188,'月1回_2ヶ月前の在庫'!$W$6:$W$10005,0)),"")))))</f>
        <v/>
      </c>
      <c r="G188">
        <f>IF($C188="","",MAX(1,N(IFERROR(IF(INDEX('商品マスタ'!$F$6:$F$1005,MATCH($C188,'商品マスタ'!$B$6:$B$1005,0))="",IF(COUNTIFS('①在庫を貼る'!$V$6:$V$10005,'設定'!$C$4,'①在庫を貼る'!$W$6:$W$10005,$C188)&gt;0,SUMIFS('①在庫を貼る'!$K$6:$K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K$6:$K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K$6:$K$10005,'月1回_2ヶ月前の在庫'!$V$6:$V$10005,'設定'!$C$4,'月1回_2ヶ月前の在庫'!$W$6:$W$10005,$C188)/COUNTIFS('月1回_2ヶ月前の在庫'!$V$6:$V$10005,'設定'!$C$4,'月1回_2ヶ月前の在庫'!$W$6:$W$10005,$C188),0))),INDEX('商品マスタ'!$F$6:$F$1005,MATCH($C188,'商品マスタ'!$B$6:$B$1005,0))),IF(COUNTIFS('①在庫を貼る'!$V$6:$V$10005,'設定'!$C$4,'①在庫を貼る'!$W$6:$W$10005,$C188)&gt;0,SUMIFS('①在庫を貼る'!$K$6:$K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K$6:$K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K$6:$K$10005,'月1回_2ヶ月前の在庫'!$V$6:$V$10005,'設定'!$C$4,'月1回_2ヶ月前の在庫'!$W$6:$W$10005,$C188)/COUNTIFS('月1回_2ヶ月前の在庫'!$V$6:$V$10005,'設定'!$C$4,'月1回_2ヶ月前の在庫'!$W$6:$W$10005,$C188),0)))))))</f>
        <v/>
      </c>
      <c r="H188">
        <f>IF($C188="","",N(IFERROR(IF(INDEX('商品マスタ'!$G$6:$G$1005,MATCH($C188,'商品マスタ'!$B$6:$B$1005,0))="",IF(COUNTIFS('①在庫を貼る'!$V$6:$V$10005,'設定'!$C$4,'①在庫を貼る'!$W$6:$W$10005,$C188)&gt;0,SUMIFS('①在庫を貼る'!$Q$6:$Q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Q$6:$Q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Q$6:$Q$10005,'月1回_2ヶ月前の在庫'!$V$6:$V$10005,'設定'!$C$4,'月1回_2ヶ月前の在庫'!$W$6:$W$10005,$C188)/COUNTIFS('月1回_2ヶ月前の在庫'!$V$6:$V$10005,'設定'!$C$4,'月1回_2ヶ月前の在庫'!$W$6:$W$10005,$C188),0))),INDEX('商品マスタ'!$G$6:$G$1005,MATCH($C188,'商品マスタ'!$B$6:$B$1005,0))),IF(COUNTIFS('①在庫を貼る'!$V$6:$V$10005,'設定'!$C$4,'①在庫を貼る'!$W$6:$W$10005,$C188)&gt;0,SUMIFS('①在庫を貼る'!$Q$6:$Q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Q$6:$Q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Q$6:$Q$10005,'月1回_2ヶ月前の在庫'!$V$6:$V$10005,'設定'!$C$4,'月1回_2ヶ月前の在庫'!$W$6:$W$10005,$C188)/COUNTIFS('月1回_2ヶ月前の在庫'!$V$6:$V$10005,'設定'!$C$4,'月1回_2ヶ月前の在庫'!$W$6:$W$10005,$C188),0))))))</f>
        <v/>
      </c>
      <c r="I188">
        <f>IF($C188="","",IF(COUNTIFS('①在庫を貼る'!$V$6:$V$10005,'設定'!$C$4,'①在庫を貼る'!$W$6:$W$10005,$C188)=0,"",SUMIFS('①在庫を貼る'!$N$6:$N$10005,'①在庫を貼る'!$V$6:$V$10005,'設定'!$C$4,'①在庫を貼る'!$W$6:$W$10005,$C188)))</f>
        <v/>
      </c>
      <c r="J188">
        <f>IF($C188="","",IF('②発注する'!$AD192="","",'②発注する'!$AD192))</f>
        <v/>
      </c>
      <c r="K188" s="90">
        <f>IF($C188="","",IF('②発注する'!$AE192="","",'②発注する'!$AE192))</f>
        <v/>
      </c>
      <c r="L188">
        <f>IF($C188="","",IF(AND(ISNUMBER($J188),ISNUMBER($K188),$K188&gt;='設定'!$C$6),$J188,N($I188)))</f>
        <v/>
      </c>
      <c r="M188">
        <f>IF($C188="","",IFERROR(IF(N(INDEX('商品マスタ'!$J$6:$J$1005,MATCH($C188,'商品マスタ'!$B$6:$B$1005,0)))&gt;0,INDEX('商品マスタ'!$J$6:$J$1005,MATCH($C188,'商品マスタ'!$B$6:$B$1005,0)),""),""))</f>
        <v/>
      </c>
      <c r="N188">
        <f>IF($C188="","",IFERROR(IF(N(INDEX('商品マスタ'!$H$6:$H$1005,MATCH($C188,'商品マスタ'!$B$6:$B$1005,0)))&gt;0,INDEX('商品マスタ'!$H$6:$H$1005,MATCH($C188,'商品マスタ'!$B$6:$B$1005,0)),""),""))</f>
        <v/>
      </c>
      <c r="O188">
        <f>IF($C188="","",IF($N188&lt;&gt;"",$N188*$G188,IF(N(IF(COUNTIFS('①在庫を貼る'!$V$6:$V$10005,'設定'!$C$4,'①在庫を貼る'!$W$6:$W$10005,$C188)&gt;0,SUMIFS('①在庫を貼る'!$O$6:$O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O$6:$O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O$6:$O$10005,'月1回_2ヶ月前の在庫'!$V$6:$V$10005,'設定'!$C$4,'月1回_2ヶ月前の在庫'!$W$6:$W$10005,$C188)/COUNTIFS('月1回_2ヶ月前の在庫'!$V$6:$V$10005,'設定'!$C$4,'月1回_2ヶ月前の在庫'!$W$6:$W$10005,$C188),0))))&gt;0,N(IF(COUNTIFS('①在庫を貼る'!$V$6:$V$10005,'設定'!$C$4,'①在庫を貼る'!$W$6:$W$10005,$C188)&gt;0,SUMIFS('①在庫を貼る'!$O$6:$O$10005,'①在庫を貼る'!$V$6:$V$10005,'設定'!$C$4,'①在庫を貼る'!$W$6:$W$10005,$C188)/COUNTIFS('①在庫を貼る'!$V$6:$V$10005,'設定'!$C$4,'①在庫を貼る'!$W$6:$W$10005,$C188),IF(COUNTIFS('月1回_1ヶ月前の在庫'!$V$6:$V$10005,'設定'!$C$4,'月1回_1ヶ月前の在庫'!$W$6:$W$10005,$C188)&gt;0,SUMIFS('月1回_1ヶ月前の在庫'!$O$6:$O$10005,'月1回_1ヶ月前の在庫'!$V$6:$V$10005,'設定'!$C$4,'月1回_1ヶ月前の在庫'!$W$6:$W$10005,$C188)/COUNTIFS('月1回_1ヶ月前の在庫'!$V$6:$V$10005,'設定'!$C$4,'月1回_1ヶ月前の在庫'!$W$6:$W$10005,$C188),IF(COUNTIFS('月1回_2ヶ月前の在庫'!$V$6:$V$10005,'設定'!$C$4,'月1回_2ヶ月前の在庫'!$W$6:$W$10005,$C188)&gt;0,SUMIFS('月1回_2ヶ月前の在庫'!$O$6:$O$10005,'月1回_2ヶ月前の在庫'!$V$6:$V$10005,'設定'!$C$4,'月1回_2ヶ月前の在庫'!$W$6:$W$10005,$C188)/COUNTIFS('月1回_2ヶ月前の在庫'!$V$6:$V$10005,'設定'!$C$4,'月1回_2ヶ月前の在庫'!$W$6:$W$10005,$C188),0)))),"")))</f>
        <v/>
      </c>
      <c r="P188" s="90">
        <f>IF($C188="","",IF('②発注する'!$I192="","",'②発注する'!$I192))</f>
        <v/>
      </c>
      <c r="Q188">
        <f>IF($C188="","",IF('②発注する'!$J192="","",'②発注する'!$J192))</f>
        <v/>
      </c>
      <c r="R188">
        <f>IF($C188="",0,IF(AND(ISNUMBER($P188),ISNUMBER($Q188)),MAX(0,$Q188)*$G188,0))</f>
        <v/>
      </c>
      <c r="S188" s="90">
        <f>IF($C188="","",IF('②発注する'!$M192="","",'②発注する'!$M192))</f>
        <v/>
      </c>
      <c r="T188">
        <f>IF($C188="","",IF('②発注する'!$N192="","",'②発注する'!$N192))</f>
        <v/>
      </c>
      <c r="U188">
        <f>IF($C188="",0,IF(AND(ISNUMBER($S188),ISNUMBER($T188)),MAX(0,$T188)*$G188,0))</f>
        <v/>
      </c>
      <c r="V188">
        <f>IF($C188="",0,IF($M188="",0,MAX(0,$M188)*MAX(0,V$4)/100))</f>
        <v/>
      </c>
      <c r="W188">
        <f>IF($C188="",0,IF($M188="",0,MAX(0,$M188)*MAX(0,W$4)/100))</f>
        <v/>
      </c>
      <c r="X188">
        <f>IF($C188="",0,IF($M188="",0,MAX(0,$M188)*MAX(0,X$4)/100))</f>
        <v/>
      </c>
      <c r="Y188">
        <f>IF($C188="",0,IF($M188="",0,MAX(0,$M188)*MAX(0,Y$4)/100))</f>
        <v/>
      </c>
      <c r="Z188">
        <f>IF($C188="",0,IF($M188="",0,MAX(0,$M188)*MAX(0,Z$4)/100))</f>
        <v/>
      </c>
      <c r="AA188">
        <f>IF($C188="",0,IF($M188="",0,MAX(0,$M188)*MAX(0,AA$4)/100))</f>
        <v/>
      </c>
      <c r="AB188">
        <f>IF($C188="",0,IF($M188="",0,MAX(0,$M188)*MAX(0,AB$4)/100))</f>
        <v/>
      </c>
      <c r="AC188">
        <f>IF($C188="",0,IF($M188="",0,MAX(0,$M188)*MAX(0,AC$4)/100))</f>
        <v/>
      </c>
      <c r="AD188">
        <f>IF($C188="",0,IF($M188="",0,MAX(0,$M188)*MAX(0,AD$4)/100))</f>
        <v/>
      </c>
      <c r="AE188">
        <f>IF($C188="",0,IF($M188="",0,MAX(0,$M188)*MAX(0,AE$4)/100))</f>
        <v/>
      </c>
      <c r="AF188">
        <f>IF($C188="",0,IF($M188="",0,MAX(0,$M188)*MAX(0,AF$4)/100))</f>
        <v/>
      </c>
      <c r="AG188">
        <f>IF($C188="",0,IF($M188="",0,MAX(0,$M188)*MAX(0,AG$4)/100))</f>
        <v/>
      </c>
      <c r="AH188">
        <f>IF($C188="",0,IF($M188="",0,MAX(0,$M188)*MAX(0,AH$4)/100))</f>
        <v/>
      </c>
      <c r="AI188">
        <f>IF($C188="",0,IF($M188="",0,MAX(0,$M188)*MAX(0,AI$4)/100))</f>
        <v/>
      </c>
      <c r="AJ188">
        <f>IF($C188="",0,MAX(0,MAX(0,N($L188))-$V188))</f>
        <v/>
      </c>
      <c r="AK188">
        <f>IF($C188="",0,MAX(0,$AJ188-$W188))</f>
        <v/>
      </c>
      <c r="AL188">
        <f>IF($C188="",0,MAX(0,$AK188-$X188))</f>
        <v/>
      </c>
      <c r="AM188">
        <f>IF($C188="",0,MAX(0,$AL188-$Y188))</f>
        <v/>
      </c>
      <c r="AN188">
        <f>IF($C188="",0,MAX(0,$AM188-$Z188))</f>
        <v/>
      </c>
      <c r="AO188">
        <f>IF($C188="",0,MAX(0,$AN188-$AA188))</f>
        <v/>
      </c>
      <c r="AP188">
        <f>IF($C188="",0,MAX(0,$AO188-$AB188))</f>
        <v/>
      </c>
      <c r="AQ188">
        <f>IF($C188="",0,MAX(0,$AP188-$AC188))</f>
        <v/>
      </c>
      <c r="AR188">
        <f>IF($C188="",0,MAX(0,$AQ188-$AD188))</f>
        <v/>
      </c>
      <c r="AS188">
        <f>IF($C188="",0,MAX(0,$AR188-$AE188))</f>
        <v/>
      </c>
      <c r="AT188">
        <f>IF($C188="",0,MAX(0,$AS188-$AF188))</f>
        <v/>
      </c>
      <c r="AU188">
        <f>IF($C188="",0,MAX(0,$AT188-$AG188))</f>
        <v/>
      </c>
      <c r="AV188">
        <f>IF($C188="",0,MAX(0,$AU188-$AH188))</f>
        <v/>
      </c>
      <c r="AW188">
        <f>IF($C188="",0,MAX(0,$AV188-$AI188))</f>
        <v/>
      </c>
      <c r="AX188">
        <f>IF($C188="",0,MAX(0,MAX(0,N($L188))+IF($P188=V$3,$R188,0)+IF($S188=V$3,$U188,0)-$V188))</f>
        <v/>
      </c>
      <c r="AY188">
        <f>IF($C188="",0,MAX(0,$AX188+IF($P188=W$3,$R188,0)+IF($S188=W$3,$U188,0)-$W188))</f>
        <v/>
      </c>
      <c r="AZ188">
        <f>IF($C188="",0,MAX(0,$AY188+IF($P188=X$3,$R188,0)+IF($S188=X$3,$U188,0)-$X188))</f>
        <v/>
      </c>
      <c r="BA188">
        <f>IF($C188="",0,MAX(0,$AZ188+IF($P188=Y$3,$R188,0)+IF($S188=Y$3,$U188,0)-$Y188))</f>
        <v/>
      </c>
      <c r="BB188">
        <f>IF($C188="",0,MAX(0,$BA188+IF($P188=Z$3,$R188,0)+IF($S188=Z$3,$U188,0)-$Z188))</f>
        <v/>
      </c>
      <c r="BC188">
        <f>IF($C188="",0,MAX(0,$BB188+IF($P188=AA$3,$R188,0)+IF($S188=AA$3,$U188,0)-$AA188))</f>
        <v/>
      </c>
      <c r="BD188">
        <f>IF($C188="",0,MAX(0,$BC188+IF($P188=AB$3,$R188,0)+IF($S188=AB$3,$U188,0)-$AB188))</f>
        <v/>
      </c>
      <c r="BE188">
        <f>IF($C188="",0,MAX(0,$BD188+IF($P188=AC$3,$R188,0)+IF($S188=AC$3,$U188,0)-$AC188))</f>
        <v/>
      </c>
      <c r="BF188">
        <f>IF($C188="",0,MAX(0,$BE188+IF($P188=AD$3,$R188,0)+IF($S188=AD$3,$U188,0)-$AD188))</f>
        <v/>
      </c>
      <c r="BG188">
        <f>IF($C188="",0,MAX(0,$BF188+IF($P188=AE$3,$R188,0)+IF($S188=AE$3,$U188,0)-$AE188))</f>
        <v/>
      </c>
      <c r="BH188">
        <f>IF($C188="",0,MAX(0,$BG188+IF($P188=AF$3,$R188,0)+IF($S188=AF$3,$U188,0)-$AF188))</f>
        <v/>
      </c>
      <c r="BI188">
        <f>IF($C188="",0,MAX(0,$BH188+IF($P188=AG$3,$R188,0)+IF($S188=AG$3,$U188,0)-$AG188))</f>
        <v/>
      </c>
      <c r="BJ188">
        <f>IF($C188="",0,MAX(0,$BI188+IF($P188=AH$3,$R188,0)+IF($S188=AH$3,$U188,0)-$AH188))</f>
        <v/>
      </c>
      <c r="BK188">
        <f>IF($C188="",0,MAX(0,$BJ188+IF($P188=AI$3,$R188,0)+IF($S188=AI$3,$U188,0)-$AI188))</f>
        <v/>
      </c>
      <c r="BL188">
        <f>IF($C188="",99,IF(AND($AX188&lt;1,V$3&gt;=MAX(N($P188),N($S188))),0,99))</f>
        <v/>
      </c>
      <c r="BM188">
        <f>IF($C188="",99,IF(AND($AY188&lt;1,W$3&gt;=MAX(N($P188),N($S188))),1,99))</f>
        <v/>
      </c>
      <c r="BN188">
        <f>IF($C188="",99,IF(AND($AZ188&lt;1,X$3&gt;=MAX(N($P188),N($S188))),2,99))</f>
        <v/>
      </c>
      <c r="BO188">
        <f>IF($C188="",99,IF(AND($BA188&lt;1,Y$3&gt;=MAX(N($P188),N($S188))),3,99))</f>
        <v/>
      </c>
      <c r="BP188">
        <f>IF($C188="",99,IF(AND($BB188&lt;1,Z$3&gt;=MAX(N($P188),N($S188))),4,99))</f>
        <v/>
      </c>
      <c r="BQ188">
        <f>IF($C188="",99,IF(AND($BC188&lt;1,AA$3&gt;=MAX(N($P188),N($S188))),5,99))</f>
        <v/>
      </c>
      <c r="BR188">
        <f>IF($C188="",99,IF(AND($BD188&lt;1,AB$3&gt;=MAX(N($P188),N($S188))),6,99))</f>
        <v/>
      </c>
      <c r="BS188">
        <f>IF($C188="",99,IF(AND($BE188&lt;1,AC$3&gt;=MAX(N($P188),N($S188))),7,99))</f>
        <v/>
      </c>
      <c r="BT188">
        <f>IF($C188="",99,IF(AND($BF188&lt;1,AD$3&gt;=MAX(N($P188),N($S188))),8,99))</f>
        <v/>
      </c>
      <c r="BU188">
        <f>IF($C188="",99,IF(AND($BG188&lt;1,AE$3&gt;=MAX(N($P188),N($S188))),9,99))</f>
        <v/>
      </c>
      <c r="BV188">
        <f>IF($C188="",99,IF(AND($BH188&lt;1,AF$3&gt;=MAX(N($P188),N($S188))),10,99))</f>
        <v/>
      </c>
      <c r="BW188">
        <f>IF($C188="",99,IF(AND($BI188&lt;1,AG$3&gt;=MAX(N($P188),N($S188))),11,99))</f>
        <v/>
      </c>
      <c r="BX188">
        <f>IF($C188="",99,IF(AND($BJ188&lt;1,AH$3&gt;=MAX(N($P188),N($S188))),12,99))</f>
        <v/>
      </c>
      <c r="BY188">
        <f>IF($C188="",99,IF(AND($BK188&lt;1,AI$3&gt;=MAX(N($P188),N($S188))),13,99))</f>
        <v/>
      </c>
      <c r="BZ188">
        <f>IF(OR($C188="",$M188=""),"",COUNTIF($AJ188:$AW188,"&gt;=1"))</f>
        <v/>
      </c>
      <c r="CA188" s="90">
        <f>IF($BZ188="","",IF($BZ188&gt;=14,"",'設定'!$C$6+$BZ188))</f>
        <v/>
      </c>
      <c r="CB188">
        <f>IF(OR($C188="",$M188=""),"",MIN($BL188:$BY188))</f>
        <v/>
      </c>
      <c r="CC188" s="90">
        <f>IF($CB188="","",IF($CB188&gt;=99,"",'設定'!$C$6+$CB188))</f>
        <v/>
      </c>
      <c r="CD188">
        <f>IF(OR($C188="",$M188=""),"",AVERAGE($V188:$AI188))</f>
        <v/>
      </c>
      <c r="CE188">
        <f>IF($C188="","",IFERROR(IF(MATCH(IF(ISNUMBER($P188),$P188,'設定'!$C$6+N('設定'!$C$7)),$V$3:$AI$3,0)=1,MAX(0,N($L188)),INDEX($AJ188:$AW188,MATCH(IF(ISNUMBER($P188),$P188,'設定'!$C$6+N('設定'!$C$7)),$V$3:$AI$3,0)-1)),""))</f>
        <v/>
      </c>
      <c r="CF188">
        <f>IF(OR($C188="",$O188="",$CE188=""),"",IF($O188-$CE188&lt;=0,0,ROUNDUP(($O188-$CE188)/$G188,0)))</f>
        <v/>
      </c>
      <c r="CG188">
        <f>IF(OR($C188="",$CF188="",NOT(ISNUMBER($Q188))),0,MAX(0,$Q188-$CF188))</f>
        <v/>
      </c>
      <c r="CH188">
        <f>IF(OR($C188="",$O188="",$U188=0),0,IFERROR(ROUNDUP(MAX(0,IF(MATCH($S188,$V$3:$AI$3,0)=1,MAX(0,N($L188)),INDEX($AX188:$BK188,MATCH($S188,$V$3:$AI$3,0)-1))+$U188-$O188)/$G188,0),0))</f>
        <v/>
      </c>
      <c r="CI188">
        <f>IF($C188="","",IF(AND($P188="",$Q188=""),"",IF($P188="","⚠ 入庫日を ▼ から選んでください",IF(NOT(ISNUMBER($P188)),"⚠ 入庫日は ▼ から選んでください",IF($P188&lt;N('設定'!$C$6),"⚠ 入庫日が過去です（もう在庫に入っています）→ 消してください",IF($P188&gt;N('設定'!$C$6)+13,"⚠ 入庫日が14日より先です",IF(N($Q188)&lt;=0,"⚠ 入庫数を入れてください",IF($CG188&gt;0,"⚠ 目安より "&amp;$CG188&amp;" 多い（定数を超える）→ 減らす",""))))))))</f>
        <v/>
      </c>
      <c r="CJ188">
        <f>IF($C188="","",IF(AND($S188="",$T188=""),"",IF($S188="","⚠ 2便目：入庫日を ▼ から選んでください",IF(NOT(ISNUMBER($S188)),"⚠ 2便目：入庫日は ▼ から選んでください",IF($S188&lt;N('設定'!$C$6),"⚠ 2便目：入庫日が過去です（もう在庫に入っています）→ 消してください",IF($S188&gt;N('設定'!$C$6)+13,"⚠ 2便目：入庫日が14日より先です",IF(N($T188)&lt;=0,"⚠ 2便目：入庫数を入れてください",IF($CH188&gt;0,"⚠ 2便目：定数を "&amp;$CH188&amp;" ケース超える → 減らす",""))))))))</f>
        <v/>
      </c>
      <c r="CK188">
        <f>IF(AND($CI188="",N($Q188)&gt;0,ISNUMBER($P188)),1,0)</f>
        <v/>
      </c>
      <c r="CL188">
        <f>IF(AND($CJ188="",N($T188)&gt;0,ISNUMBER($S188)),1,0)</f>
        <v/>
      </c>
      <c r="CM188">
        <f>IF(OR($CK188=1,$CL188=1),1,0)</f>
        <v/>
      </c>
      <c r="CN188">
        <f>IF($C188="",0,($CK188*$R188+$CL188*$U188)*N($H188))</f>
        <v/>
      </c>
      <c r="CO188">
        <f>IF($C188="","",IF($CC188="","入庫後は 14日以上もつ",IF($CC188-N('設定'!$C$7)&lt;='設定'!$C$6,"入庫後も "&amp;TEXT($CC188,"m/d")&amp;"("&amp;CHOOSE(WEEKDAY($CC188),"日","月","火","水","木","金","土")&amp;")"&amp;" に切れる　もう1便を至急発注","入庫後も "&amp;TEXT($CC188,"m/d")&amp;"("&amp;CHOOSE(WEEKDAY($CC188),"日","月","火","水","木","金","土")&amp;")"&amp;" に切れる　"&amp;TEXT($CC188-N('設定'!$C$7),"m/d")&amp;"("&amp;CHOOSE(WEEKDAY($CC188-N('設定'!$C$7)),"日","月","火","水","木","金","土")&amp;")"&amp;" までに次を発注")))</f>
        <v/>
      </c>
      <c r="CP188">
        <f>IF($C188="","",IF('設定'!$C$6="","？ ①在庫を貼る に今日のCSVが貼られていない",IF($CS188=1,"－ 今日のCSVに無い（終売？）",IF($L188&lt;0,"● 在庫がマイナス　数えて「数えた在庫」に入れる",IF($L188=0,"● 在庫なし　至急発注",IF($M188="","？ 減り数が未設定（商品マスタ）",IF($B$3=0,"？ 動員が未入力（動員を入れる）",IF($CA188="","○ 14日以上もつ",IF($BZ188&lt;N('設定'!$C$7),"● "&amp;TEXT($CA188,"m/d")&amp;"("&amp;CHOOSE(WEEKDAY($CA188),"日","月","火","水","木","金","土")&amp;")"&amp;" に切れる　至急発注",IF($BZ188=N('設定'!$C$7),"● "&amp;TEXT($CA188,"m/d")&amp;"("&amp;CHOOSE(WEEKDAY($CA188),"日","月","火","水","木","金","土")&amp;")"&amp;" に切れる　今日発注","△ "&amp;TEXT($CA188,"m/d")&amp;"("&amp;CHOOSE(WEEKDAY($CA188),"日","月","火","水","木","金","土")&amp;")"&amp;" に切れる　"&amp;TEXT($CA188-N('設定'!$C$7),"m/d")&amp;"("&amp;CHOOSE(WEEKDAY($CA188-N('設定'!$C$7)),"日","月","火","水","木","金","土")&amp;")"&amp;" までに発注"))))))))))</f>
        <v/>
      </c>
      <c r="CQ188">
        <f>IF($C188="","",IF(AND($P188="",$Q188="",$S188="",$T188=""),"",IF(AND($P188="",$Q188=""),"⚠ 先に1便目（左の入庫日・入庫数）に入れてください",IF($CI188&lt;&gt;"",$CI188,IF($CJ188&lt;&gt;"",$CJ188,IF($M188="","？ 減り数が未設定（発注書には載ります）",IF($B$3=0,"？ 動員が未入力（発注書には載ります）",IF(AND($CA188&lt;&gt;"",$P188&gt;$CA188),IF($P188&gt;'設定'!$C$6+N('設定'!$C$7),"● "&amp;TEXT($P188,"m/d")&amp;"("&amp;CHOOSE(WEEKDAY($P188),"日","月","火","水","木","金","土")&amp;")"&amp;" の入庫では間に合わない（"&amp;TEXT($CA188,"m/d")&amp;"("&amp;CHOOSE(WEEKDAY($CA188),"日","月","火","水","木","金","土")&amp;")"&amp;" に切れる）　入庫日を早める","△ 欠品 "&amp;TEXT($CA188,"m/d")&amp;"("&amp;CHOOSE(WEEKDAY($CA188),"日","月","火","水","木","金","土")&amp;")"&amp;"〜"&amp;TEXT($P188-1,"m/d")&amp;"("&amp;CHOOSE(WEEKDAY($P188-1),"日","月","火","水","木","金","土")&amp;")"&amp;"　"&amp;$CO188),IF($CC188="","○ "&amp;TEXT($P188,"m/d")&amp;"("&amp;CHOOSE(WEEKDAY($P188),"日","月","火","水","木","金","土")&amp;")"&amp;" 入庫で 14日以上もつ",IF($CC188-N('設定'!$C$7)&lt;='設定'!$C$6,"● 入庫しても "&amp;TEXT($CC188,"m/d")&amp;"("&amp;CHOOSE(WEEKDAY($CC188),"日","月","火","水","木","金","土")&amp;")"&amp;" に切れる　もう1便を至急発注（2便目に入れる）","△ 入庫しても "&amp;TEXT($CC188,"m/d")&amp;"("&amp;CHOOSE(WEEKDAY($CC188),"日","月","火","水","木","金","土")&amp;")"&amp;" に切れる　"&amp;TEXT($CC188-N('設定'!$C$7),"m/d")&amp;"("&amp;CHOOSE(WEEKDAY($CC188-N('設定'!$C$7)),"日","月","火","水","木","金","土")&amp;")"&amp;" までに次を発注（2便目に入れる）"))))))))))</f>
        <v/>
      </c>
      <c r="CR188">
        <f>IF($C188="","",IF($G188&gt;1,"ｹｰｽ("&amp;$G188&amp;"入)","個"))</f>
        <v/>
      </c>
      <c r="CS188">
        <f>IF($C188="",0,IF(COUNTIFS('①在庫を貼る'!$V$6:$V$10005,'設定'!$C$4,'①在庫を貼る'!$W$6:$W$10005,$C188)=0,1,0))</f>
        <v/>
      </c>
      <c r="CT188">
        <f>IF(AND($CK188=1,OR('③発注書'!$C$4="すべて",'③発注書'!$C$4="",$F188='③発注書'!$C$4)),N($CT187)+1,N($CT187))</f>
        <v/>
      </c>
      <c r="CU188">
        <f>IF(AND($CL188=1,OR('③発注書'!$C$4="すべて",'③発注書'!$C$4="",$F188='③発注書'!$C$4)),N($CU187)+1,N($CU187))</f>
        <v/>
      </c>
      <c r="CV188">
        <f>IF($C188="",0,IF(COUNTIFS('①在庫を貼る'!$V$6:$V$10005,'設定'!$C$4,'①在庫を貼る'!$W$6:$W$10005,$C188)&gt;0,1,0))</f>
        <v/>
      </c>
      <c r="CW188">
        <f>IF($C188="",0,IF(COUNTIFS('月1回_1ヶ月前の在庫'!$V$6:$V$10005,'設定'!$C$4,'月1回_1ヶ月前の在庫'!$W$6:$W$10005,$C188)&gt;0,1,0))</f>
        <v/>
      </c>
      <c r="CX188">
        <f>IF($C188="",0,IF(COUNTIFS('月1回_2ヶ月前の在庫'!$V$6:$V$10005,'設定'!$C$4,'月1回_2ヶ月前の在庫'!$W$6:$W$10005,$C188)&gt;0,1,0))</f>
        <v/>
      </c>
      <c r="CY188">
        <f>IF(OR($C188="",'設定'!$C$12=""),"",IF('設定'!$C$13="",IF(AND($CV188=1,$CW188=0),"新商品（今月から）",IF(AND($CV188=0,$CW188=1),"終売（今月から）","")),IF(AND($CV188=1,$CW188=0,$CX188=0),"新商品（今月から）",IF(AND($CV188=1,$CW188=1,$CX188=0),"新商品（先月から）",IF(AND($CV188=0,$CW188=1,$CX188=1),"終売（今月から）",IF(AND($CV188=0,$CW188=0,$CX188=1),"終売（先月から）",IF(AND($CV188=1,$CW188=0,$CX188=1),"復活（先月は無し）","")))))))</f>
        <v/>
      </c>
    </row>
    <row r="189">
      <c r="B189">
        <f>IF(184&lt;='設定'!$C$11,184,"")</f>
        <v/>
      </c>
      <c r="C189">
        <f>IF($B189="","",IF($B189&lt;='設定'!$C$20,INDEX('商品マスタ'!$B$6:$B$1005,MATCH($B189,'商品マスタ'!$M$6:$M$1005,0)),IF($B189&lt;='設定'!$C$20+'設定'!$C$17,INDEX('①在庫を貼る'!$W$6:$W$10005,MATCH($B189-'設定'!$C$20,'①在庫を貼る'!$U$6:$U$10005,0)),IF($B189&lt;='設定'!$C$20+'設定'!$C$17+'設定'!$C$18,INDEX('月1回_1ヶ月前の在庫'!$W$6:$W$10005,MATCH($B189-'設定'!$C$20-'設定'!$C$17,'月1回_1ヶ月前の在庫'!$U$6:$U$10005,0)),INDEX('月1回_2ヶ月前の在庫'!$W$6:$W$10005,MATCH($B189-'設定'!$C$20-'設定'!$C$17-'設定'!$C$18,'月1回_2ヶ月前の在庫'!$U$6:$U$10005,0))))))</f>
        <v/>
      </c>
      <c r="D189">
        <f>IF($C189="","",IFERROR(IF(INDEX('商品マスタ'!$C$6:$C$1005,MATCH($C189,'商品マスタ'!$B$6:$B$1005,0))="",IFERROR(INDEX('①在庫を貼る'!$J$6:$J$10005,MATCH($C189,'①在庫を貼る'!$W$6:$W$10005,0)),IFERROR(INDEX('月1回_1ヶ月前の在庫'!$J$6:$J$10005,MATCH($C189,'月1回_1ヶ月前の在庫'!$W$6:$W$10005,0)),IFERROR(INDEX('月1回_2ヶ月前の在庫'!$J$6:$J$10005,MATCH($C189,'月1回_2ヶ月前の在庫'!$W$6:$W$10005,0)),""))),INDEX('商品マスタ'!$C$6:$C$1005,MATCH($C189,'商品マスタ'!$B$6:$B$1005,0))),IFERROR(INDEX('①在庫を貼る'!$J$6:$J$10005,MATCH($C189,'①在庫を貼る'!$W$6:$W$10005,0)),IFERROR(INDEX('月1回_1ヶ月前の在庫'!$J$6:$J$10005,MATCH($C189,'月1回_1ヶ月前の在庫'!$W$6:$W$10005,0)),IFERROR(INDEX('月1回_2ヶ月前の在庫'!$J$6:$J$10005,MATCH($C189,'月1回_2ヶ月前の在庫'!$W$6:$W$10005,0)),"")))))</f>
        <v/>
      </c>
      <c r="E189">
        <f>IF($C189="","",IFERROR(IF(INDEX('商品マスタ'!$D$6:$D$1005,MATCH($C189,'商品マスタ'!$B$6:$B$1005,0))="",IFERROR(INDEX('①在庫を貼る'!$H$6:$H$10005,MATCH($C189,'①在庫を貼る'!$W$6:$W$10005,0)),IFERROR(INDEX('月1回_1ヶ月前の在庫'!$H$6:$H$10005,MATCH($C189,'月1回_1ヶ月前の在庫'!$W$6:$W$10005,0)),IFERROR(INDEX('月1回_2ヶ月前の在庫'!$H$6:$H$10005,MATCH($C189,'月1回_2ヶ月前の在庫'!$W$6:$W$10005,0)),""))),INDEX('商品マスタ'!$D$6:$D$1005,MATCH($C189,'商品マスタ'!$B$6:$B$1005,0))),IFERROR(INDEX('①在庫を貼る'!$H$6:$H$10005,MATCH($C189,'①在庫を貼る'!$W$6:$W$10005,0)),IFERROR(INDEX('月1回_1ヶ月前の在庫'!$H$6:$H$10005,MATCH($C189,'月1回_1ヶ月前の在庫'!$W$6:$W$10005,0)),IFERROR(INDEX('月1回_2ヶ月前の在庫'!$H$6:$H$10005,MATCH($C189,'月1回_2ヶ月前の在庫'!$W$6:$W$10005,0)),"")))))</f>
        <v/>
      </c>
      <c r="F189">
        <f>IF($C189="","",IFERROR(IF(INDEX('商品マスタ'!$E$6:$E$1005,MATCH($C189,'商品マスタ'!$B$6:$B$1005,0))="",IFERROR(INDEX('①在庫を貼る'!$E$6:$E$10005,MATCH($C189,'①在庫を貼る'!$W$6:$W$10005,0)),IFERROR(INDEX('月1回_1ヶ月前の在庫'!$E$6:$E$10005,MATCH($C189,'月1回_1ヶ月前の在庫'!$W$6:$W$10005,0)),IFERROR(INDEX('月1回_2ヶ月前の在庫'!$E$6:$E$10005,MATCH($C189,'月1回_2ヶ月前の在庫'!$W$6:$W$10005,0)),""))),INDEX('商品マスタ'!$E$6:$E$1005,MATCH($C189,'商品マスタ'!$B$6:$B$1005,0))),IFERROR(INDEX('①在庫を貼る'!$E$6:$E$10005,MATCH($C189,'①在庫を貼る'!$W$6:$W$10005,0)),IFERROR(INDEX('月1回_1ヶ月前の在庫'!$E$6:$E$10005,MATCH($C189,'月1回_1ヶ月前の在庫'!$W$6:$W$10005,0)),IFERROR(INDEX('月1回_2ヶ月前の在庫'!$E$6:$E$10005,MATCH($C189,'月1回_2ヶ月前の在庫'!$W$6:$W$10005,0)),"")))))</f>
        <v/>
      </c>
      <c r="G189">
        <f>IF($C189="","",MAX(1,N(IFERROR(IF(INDEX('商品マスタ'!$F$6:$F$1005,MATCH($C189,'商品マスタ'!$B$6:$B$1005,0))="",IF(COUNTIFS('①在庫を貼る'!$V$6:$V$10005,'設定'!$C$4,'①在庫を貼る'!$W$6:$W$10005,$C189)&gt;0,SUMIFS('①在庫を貼る'!$K$6:$K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K$6:$K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K$6:$K$10005,'月1回_2ヶ月前の在庫'!$V$6:$V$10005,'設定'!$C$4,'月1回_2ヶ月前の在庫'!$W$6:$W$10005,$C189)/COUNTIFS('月1回_2ヶ月前の在庫'!$V$6:$V$10005,'設定'!$C$4,'月1回_2ヶ月前の在庫'!$W$6:$W$10005,$C189),0))),INDEX('商品マスタ'!$F$6:$F$1005,MATCH($C189,'商品マスタ'!$B$6:$B$1005,0))),IF(COUNTIFS('①在庫を貼る'!$V$6:$V$10005,'設定'!$C$4,'①在庫を貼る'!$W$6:$W$10005,$C189)&gt;0,SUMIFS('①在庫を貼る'!$K$6:$K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K$6:$K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K$6:$K$10005,'月1回_2ヶ月前の在庫'!$V$6:$V$10005,'設定'!$C$4,'月1回_2ヶ月前の在庫'!$W$6:$W$10005,$C189)/COUNTIFS('月1回_2ヶ月前の在庫'!$V$6:$V$10005,'設定'!$C$4,'月1回_2ヶ月前の在庫'!$W$6:$W$10005,$C189),0)))))))</f>
        <v/>
      </c>
      <c r="H189">
        <f>IF($C189="","",N(IFERROR(IF(INDEX('商品マスタ'!$G$6:$G$1005,MATCH($C189,'商品マスタ'!$B$6:$B$1005,0))="",IF(COUNTIFS('①在庫を貼る'!$V$6:$V$10005,'設定'!$C$4,'①在庫を貼る'!$W$6:$W$10005,$C189)&gt;0,SUMIFS('①在庫を貼る'!$Q$6:$Q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Q$6:$Q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Q$6:$Q$10005,'月1回_2ヶ月前の在庫'!$V$6:$V$10005,'設定'!$C$4,'月1回_2ヶ月前の在庫'!$W$6:$W$10005,$C189)/COUNTIFS('月1回_2ヶ月前の在庫'!$V$6:$V$10005,'設定'!$C$4,'月1回_2ヶ月前の在庫'!$W$6:$W$10005,$C189),0))),INDEX('商品マスタ'!$G$6:$G$1005,MATCH($C189,'商品マスタ'!$B$6:$B$1005,0))),IF(COUNTIFS('①在庫を貼る'!$V$6:$V$10005,'設定'!$C$4,'①在庫を貼る'!$W$6:$W$10005,$C189)&gt;0,SUMIFS('①在庫を貼る'!$Q$6:$Q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Q$6:$Q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Q$6:$Q$10005,'月1回_2ヶ月前の在庫'!$V$6:$V$10005,'設定'!$C$4,'月1回_2ヶ月前の在庫'!$W$6:$W$10005,$C189)/COUNTIFS('月1回_2ヶ月前の在庫'!$V$6:$V$10005,'設定'!$C$4,'月1回_2ヶ月前の在庫'!$W$6:$W$10005,$C189),0))))))</f>
        <v/>
      </c>
      <c r="I189">
        <f>IF($C189="","",IF(COUNTIFS('①在庫を貼る'!$V$6:$V$10005,'設定'!$C$4,'①在庫を貼る'!$W$6:$W$10005,$C189)=0,"",SUMIFS('①在庫を貼る'!$N$6:$N$10005,'①在庫を貼る'!$V$6:$V$10005,'設定'!$C$4,'①在庫を貼る'!$W$6:$W$10005,$C189)))</f>
        <v/>
      </c>
      <c r="J189">
        <f>IF($C189="","",IF('②発注する'!$AD193="","",'②発注する'!$AD193))</f>
        <v/>
      </c>
      <c r="K189" s="90">
        <f>IF($C189="","",IF('②発注する'!$AE193="","",'②発注する'!$AE193))</f>
        <v/>
      </c>
      <c r="L189">
        <f>IF($C189="","",IF(AND(ISNUMBER($J189),ISNUMBER($K189),$K189&gt;='設定'!$C$6),$J189,N($I189)))</f>
        <v/>
      </c>
      <c r="M189">
        <f>IF($C189="","",IFERROR(IF(N(INDEX('商品マスタ'!$J$6:$J$1005,MATCH($C189,'商品マスタ'!$B$6:$B$1005,0)))&gt;0,INDEX('商品マスタ'!$J$6:$J$1005,MATCH($C189,'商品マスタ'!$B$6:$B$1005,0)),""),""))</f>
        <v/>
      </c>
      <c r="N189">
        <f>IF($C189="","",IFERROR(IF(N(INDEX('商品マスタ'!$H$6:$H$1005,MATCH($C189,'商品マスタ'!$B$6:$B$1005,0)))&gt;0,INDEX('商品マスタ'!$H$6:$H$1005,MATCH($C189,'商品マスタ'!$B$6:$B$1005,0)),""),""))</f>
        <v/>
      </c>
      <c r="O189">
        <f>IF($C189="","",IF($N189&lt;&gt;"",$N189*$G189,IF(N(IF(COUNTIFS('①在庫を貼る'!$V$6:$V$10005,'設定'!$C$4,'①在庫を貼る'!$W$6:$W$10005,$C189)&gt;0,SUMIFS('①在庫を貼る'!$O$6:$O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O$6:$O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O$6:$O$10005,'月1回_2ヶ月前の在庫'!$V$6:$V$10005,'設定'!$C$4,'月1回_2ヶ月前の在庫'!$W$6:$W$10005,$C189)/COUNTIFS('月1回_2ヶ月前の在庫'!$V$6:$V$10005,'設定'!$C$4,'月1回_2ヶ月前の在庫'!$W$6:$W$10005,$C189),0))))&gt;0,N(IF(COUNTIFS('①在庫を貼る'!$V$6:$V$10005,'設定'!$C$4,'①在庫を貼る'!$W$6:$W$10005,$C189)&gt;0,SUMIFS('①在庫を貼る'!$O$6:$O$10005,'①在庫を貼る'!$V$6:$V$10005,'設定'!$C$4,'①在庫を貼る'!$W$6:$W$10005,$C189)/COUNTIFS('①在庫を貼る'!$V$6:$V$10005,'設定'!$C$4,'①在庫を貼る'!$W$6:$W$10005,$C189),IF(COUNTIFS('月1回_1ヶ月前の在庫'!$V$6:$V$10005,'設定'!$C$4,'月1回_1ヶ月前の在庫'!$W$6:$W$10005,$C189)&gt;0,SUMIFS('月1回_1ヶ月前の在庫'!$O$6:$O$10005,'月1回_1ヶ月前の在庫'!$V$6:$V$10005,'設定'!$C$4,'月1回_1ヶ月前の在庫'!$W$6:$W$10005,$C189)/COUNTIFS('月1回_1ヶ月前の在庫'!$V$6:$V$10005,'設定'!$C$4,'月1回_1ヶ月前の在庫'!$W$6:$W$10005,$C189),IF(COUNTIFS('月1回_2ヶ月前の在庫'!$V$6:$V$10005,'設定'!$C$4,'月1回_2ヶ月前の在庫'!$W$6:$W$10005,$C189)&gt;0,SUMIFS('月1回_2ヶ月前の在庫'!$O$6:$O$10005,'月1回_2ヶ月前の在庫'!$V$6:$V$10005,'設定'!$C$4,'月1回_2ヶ月前の在庫'!$W$6:$W$10005,$C189)/COUNTIFS('月1回_2ヶ月前の在庫'!$V$6:$V$10005,'設定'!$C$4,'月1回_2ヶ月前の在庫'!$W$6:$W$10005,$C189),0)))),"")))</f>
        <v/>
      </c>
      <c r="P189" s="90">
        <f>IF($C189="","",IF('②発注する'!$I193="","",'②発注する'!$I193))</f>
        <v/>
      </c>
      <c r="Q189">
        <f>IF($C189="","",IF('②発注する'!$J193="","",'②発注する'!$J193))</f>
        <v/>
      </c>
      <c r="R189">
        <f>IF($C189="",0,IF(AND(ISNUMBER($P189),ISNUMBER($Q189)),MAX(0,$Q189)*$G189,0))</f>
        <v/>
      </c>
      <c r="S189" s="90">
        <f>IF($C189="","",IF('②発注する'!$M193="","",'②発注する'!$M193))</f>
        <v/>
      </c>
      <c r="T189">
        <f>IF($C189="","",IF('②発注する'!$N193="","",'②発注する'!$N193))</f>
        <v/>
      </c>
      <c r="U189">
        <f>IF($C189="",0,IF(AND(ISNUMBER($S189),ISNUMBER($T189)),MAX(0,$T189)*$G189,0))</f>
        <v/>
      </c>
      <c r="V189">
        <f>IF($C189="",0,IF($M189="",0,MAX(0,$M189)*MAX(0,V$4)/100))</f>
        <v/>
      </c>
      <c r="W189">
        <f>IF($C189="",0,IF($M189="",0,MAX(0,$M189)*MAX(0,W$4)/100))</f>
        <v/>
      </c>
      <c r="X189">
        <f>IF($C189="",0,IF($M189="",0,MAX(0,$M189)*MAX(0,X$4)/100))</f>
        <v/>
      </c>
      <c r="Y189">
        <f>IF($C189="",0,IF($M189="",0,MAX(0,$M189)*MAX(0,Y$4)/100))</f>
        <v/>
      </c>
      <c r="Z189">
        <f>IF($C189="",0,IF($M189="",0,MAX(0,$M189)*MAX(0,Z$4)/100))</f>
        <v/>
      </c>
      <c r="AA189">
        <f>IF($C189="",0,IF($M189="",0,MAX(0,$M189)*MAX(0,AA$4)/100))</f>
        <v/>
      </c>
      <c r="AB189">
        <f>IF($C189="",0,IF($M189="",0,MAX(0,$M189)*MAX(0,AB$4)/100))</f>
        <v/>
      </c>
      <c r="AC189">
        <f>IF($C189="",0,IF($M189="",0,MAX(0,$M189)*MAX(0,AC$4)/100))</f>
        <v/>
      </c>
      <c r="AD189">
        <f>IF($C189="",0,IF($M189="",0,MAX(0,$M189)*MAX(0,AD$4)/100))</f>
        <v/>
      </c>
      <c r="AE189">
        <f>IF($C189="",0,IF($M189="",0,MAX(0,$M189)*MAX(0,AE$4)/100))</f>
        <v/>
      </c>
      <c r="AF189">
        <f>IF($C189="",0,IF($M189="",0,MAX(0,$M189)*MAX(0,AF$4)/100))</f>
        <v/>
      </c>
      <c r="AG189">
        <f>IF($C189="",0,IF($M189="",0,MAX(0,$M189)*MAX(0,AG$4)/100))</f>
        <v/>
      </c>
      <c r="AH189">
        <f>IF($C189="",0,IF($M189="",0,MAX(0,$M189)*MAX(0,AH$4)/100))</f>
        <v/>
      </c>
      <c r="AI189">
        <f>IF($C189="",0,IF($M189="",0,MAX(0,$M189)*MAX(0,AI$4)/100))</f>
        <v/>
      </c>
      <c r="AJ189">
        <f>IF($C189="",0,MAX(0,MAX(0,N($L189))-$V189))</f>
        <v/>
      </c>
      <c r="AK189">
        <f>IF($C189="",0,MAX(0,$AJ189-$W189))</f>
        <v/>
      </c>
      <c r="AL189">
        <f>IF($C189="",0,MAX(0,$AK189-$X189))</f>
        <v/>
      </c>
      <c r="AM189">
        <f>IF($C189="",0,MAX(0,$AL189-$Y189))</f>
        <v/>
      </c>
      <c r="AN189">
        <f>IF($C189="",0,MAX(0,$AM189-$Z189))</f>
        <v/>
      </c>
      <c r="AO189">
        <f>IF($C189="",0,MAX(0,$AN189-$AA189))</f>
        <v/>
      </c>
      <c r="AP189">
        <f>IF($C189="",0,MAX(0,$AO189-$AB189))</f>
        <v/>
      </c>
      <c r="AQ189">
        <f>IF($C189="",0,MAX(0,$AP189-$AC189))</f>
        <v/>
      </c>
      <c r="AR189">
        <f>IF($C189="",0,MAX(0,$AQ189-$AD189))</f>
        <v/>
      </c>
      <c r="AS189">
        <f>IF($C189="",0,MAX(0,$AR189-$AE189))</f>
        <v/>
      </c>
      <c r="AT189">
        <f>IF($C189="",0,MAX(0,$AS189-$AF189))</f>
        <v/>
      </c>
      <c r="AU189">
        <f>IF($C189="",0,MAX(0,$AT189-$AG189))</f>
        <v/>
      </c>
      <c r="AV189">
        <f>IF($C189="",0,MAX(0,$AU189-$AH189))</f>
        <v/>
      </c>
      <c r="AW189">
        <f>IF($C189="",0,MAX(0,$AV189-$AI189))</f>
        <v/>
      </c>
      <c r="AX189">
        <f>IF($C189="",0,MAX(0,MAX(0,N($L189))+IF($P189=V$3,$R189,0)+IF($S189=V$3,$U189,0)-$V189))</f>
        <v/>
      </c>
      <c r="AY189">
        <f>IF($C189="",0,MAX(0,$AX189+IF($P189=W$3,$R189,0)+IF($S189=W$3,$U189,0)-$W189))</f>
        <v/>
      </c>
      <c r="AZ189">
        <f>IF($C189="",0,MAX(0,$AY189+IF($P189=X$3,$R189,0)+IF($S189=X$3,$U189,0)-$X189))</f>
        <v/>
      </c>
      <c r="BA189">
        <f>IF($C189="",0,MAX(0,$AZ189+IF($P189=Y$3,$R189,0)+IF($S189=Y$3,$U189,0)-$Y189))</f>
        <v/>
      </c>
      <c r="BB189">
        <f>IF($C189="",0,MAX(0,$BA189+IF($P189=Z$3,$R189,0)+IF($S189=Z$3,$U189,0)-$Z189))</f>
        <v/>
      </c>
      <c r="BC189">
        <f>IF($C189="",0,MAX(0,$BB189+IF($P189=AA$3,$R189,0)+IF($S189=AA$3,$U189,0)-$AA189))</f>
        <v/>
      </c>
      <c r="BD189">
        <f>IF($C189="",0,MAX(0,$BC189+IF($P189=AB$3,$R189,0)+IF($S189=AB$3,$U189,0)-$AB189))</f>
        <v/>
      </c>
      <c r="BE189">
        <f>IF($C189="",0,MAX(0,$BD189+IF($P189=AC$3,$R189,0)+IF($S189=AC$3,$U189,0)-$AC189))</f>
        <v/>
      </c>
      <c r="BF189">
        <f>IF($C189="",0,MAX(0,$BE189+IF($P189=AD$3,$R189,0)+IF($S189=AD$3,$U189,0)-$AD189))</f>
        <v/>
      </c>
      <c r="BG189">
        <f>IF($C189="",0,MAX(0,$BF189+IF($P189=AE$3,$R189,0)+IF($S189=AE$3,$U189,0)-$AE189))</f>
        <v/>
      </c>
      <c r="BH189">
        <f>IF($C189="",0,MAX(0,$BG189+IF($P189=AF$3,$R189,0)+IF($S189=AF$3,$U189,0)-$AF189))</f>
        <v/>
      </c>
      <c r="BI189">
        <f>IF($C189="",0,MAX(0,$BH189+IF($P189=AG$3,$R189,0)+IF($S189=AG$3,$U189,0)-$AG189))</f>
        <v/>
      </c>
      <c r="BJ189">
        <f>IF($C189="",0,MAX(0,$BI189+IF($P189=AH$3,$R189,0)+IF($S189=AH$3,$U189,0)-$AH189))</f>
        <v/>
      </c>
      <c r="BK189">
        <f>IF($C189="",0,MAX(0,$BJ189+IF($P189=AI$3,$R189,0)+IF($S189=AI$3,$U189,0)-$AI189))</f>
        <v/>
      </c>
      <c r="BL189">
        <f>IF($C189="",99,IF(AND($AX189&lt;1,V$3&gt;=MAX(N($P189),N($S189))),0,99))</f>
        <v/>
      </c>
      <c r="BM189">
        <f>IF($C189="",99,IF(AND($AY189&lt;1,W$3&gt;=MAX(N($P189),N($S189))),1,99))</f>
        <v/>
      </c>
      <c r="BN189">
        <f>IF($C189="",99,IF(AND($AZ189&lt;1,X$3&gt;=MAX(N($P189),N($S189))),2,99))</f>
        <v/>
      </c>
      <c r="BO189">
        <f>IF($C189="",99,IF(AND($BA189&lt;1,Y$3&gt;=MAX(N($P189),N($S189))),3,99))</f>
        <v/>
      </c>
      <c r="BP189">
        <f>IF($C189="",99,IF(AND($BB189&lt;1,Z$3&gt;=MAX(N($P189),N($S189))),4,99))</f>
        <v/>
      </c>
      <c r="BQ189">
        <f>IF($C189="",99,IF(AND($BC189&lt;1,AA$3&gt;=MAX(N($P189),N($S189))),5,99))</f>
        <v/>
      </c>
      <c r="BR189">
        <f>IF($C189="",99,IF(AND($BD189&lt;1,AB$3&gt;=MAX(N($P189),N($S189))),6,99))</f>
        <v/>
      </c>
      <c r="BS189">
        <f>IF($C189="",99,IF(AND($BE189&lt;1,AC$3&gt;=MAX(N($P189),N($S189))),7,99))</f>
        <v/>
      </c>
      <c r="BT189">
        <f>IF($C189="",99,IF(AND($BF189&lt;1,AD$3&gt;=MAX(N($P189),N($S189))),8,99))</f>
        <v/>
      </c>
      <c r="BU189">
        <f>IF($C189="",99,IF(AND($BG189&lt;1,AE$3&gt;=MAX(N($P189),N($S189))),9,99))</f>
        <v/>
      </c>
      <c r="BV189">
        <f>IF($C189="",99,IF(AND($BH189&lt;1,AF$3&gt;=MAX(N($P189),N($S189))),10,99))</f>
        <v/>
      </c>
      <c r="BW189">
        <f>IF($C189="",99,IF(AND($BI189&lt;1,AG$3&gt;=MAX(N($P189),N($S189))),11,99))</f>
        <v/>
      </c>
      <c r="BX189">
        <f>IF($C189="",99,IF(AND($BJ189&lt;1,AH$3&gt;=MAX(N($P189),N($S189))),12,99))</f>
        <v/>
      </c>
      <c r="BY189">
        <f>IF($C189="",99,IF(AND($BK189&lt;1,AI$3&gt;=MAX(N($P189),N($S189))),13,99))</f>
        <v/>
      </c>
      <c r="BZ189">
        <f>IF(OR($C189="",$M189=""),"",COUNTIF($AJ189:$AW189,"&gt;=1"))</f>
        <v/>
      </c>
      <c r="CA189" s="90">
        <f>IF($BZ189="","",IF($BZ189&gt;=14,"",'設定'!$C$6+$BZ189))</f>
        <v/>
      </c>
      <c r="CB189">
        <f>IF(OR($C189="",$M189=""),"",MIN($BL189:$BY189))</f>
        <v/>
      </c>
      <c r="CC189" s="90">
        <f>IF($CB189="","",IF($CB189&gt;=99,"",'設定'!$C$6+$CB189))</f>
        <v/>
      </c>
      <c r="CD189">
        <f>IF(OR($C189="",$M189=""),"",AVERAGE($V189:$AI189))</f>
        <v/>
      </c>
      <c r="CE189">
        <f>IF($C189="","",IFERROR(IF(MATCH(IF(ISNUMBER($P189),$P189,'設定'!$C$6+N('設定'!$C$7)),$V$3:$AI$3,0)=1,MAX(0,N($L189)),INDEX($AJ189:$AW189,MATCH(IF(ISNUMBER($P189),$P189,'設定'!$C$6+N('設定'!$C$7)),$V$3:$AI$3,0)-1)),""))</f>
        <v/>
      </c>
      <c r="CF189">
        <f>IF(OR($C189="",$O189="",$CE189=""),"",IF($O189-$CE189&lt;=0,0,ROUNDUP(($O189-$CE189)/$G189,0)))</f>
        <v/>
      </c>
      <c r="CG189">
        <f>IF(OR($C189="",$CF189="",NOT(ISNUMBER($Q189))),0,MAX(0,$Q189-$CF189))</f>
        <v/>
      </c>
      <c r="CH189">
        <f>IF(OR($C189="",$O189="",$U189=0),0,IFERROR(ROUNDUP(MAX(0,IF(MATCH($S189,$V$3:$AI$3,0)=1,MAX(0,N($L189)),INDEX($AX189:$BK189,MATCH($S189,$V$3:$AI$3,0)-1))+$U189-$O189)/$G189,0),0))</f>
        <v/>
      </c>
      <c r="CI189">
        <f>IF($C189="","",IF(AND($P189="",$Q189=""),"",IF($P189="","⚠ 入庫日を ▼ から選んでください",IF(NOT(ISNUMBER($P189)),"⚠ 入庫日は ▼ から選んでください",IF($P189&lt;N('設定'!$C$6),"⚠ 入庫日が過去です（もう在庫に入っています）→ 消してください",IF($P189&gt;N('設定'!$C$6)+13,"⚠ 入庫日が14日より先です",IF(N($Q189)&lt;=0,"⚠ 入庫数を入れてください",IF($CG189&gt;0,"⚠ 目安より "&amp;$CG189&amp;" 多い（定数を超える）→ 減らす",""))))))))</f>
        <v/>
      </c>
      <c r="CJ189">
        <f>IF($C189="","",IF(AND($S189="",$T189=""),"",IF($S189="","⚠ 2便目：入庫日を ▼ から選んでください",IF(NOT(ISNUMBER($S189)),"⚠ 2便目：入庫日は ▼ から選んでください",IF($S189&lt;N('設定'!$C$6),"⚠ 2便目：入庫日が過去です（もう在庫に入っています）→ 消してください",IF($S189&gt;N('設定'!$C$6)+13,"⚠ 2便目：入庫日が14日より先です",IF(N($T189)&lt;=0,"⚠ 2便目：入庫数を入れてください",IF($CH189&gt;0,"⚠ 2便目：定数を "&amp;$CH189&amp;" ケース超える → 減らす",""))))))))</f>
        <v/>
      </c>
      <c r="CK189">
        <f>IF(AND($CI189="",N($Q189)&gt;0,ISNUMBER($P189)),1,0)</f>
        <v/>
      </c>
      <c r="CL189">
        <f>IF(AND($CJ189="",N($T189)&gt;0,ISNUMBER($S189)),1,0)</f>
        <v/>
      </c>
      <c r="CM189">
        <f>IF(OR($CK189=1,$CL189=1),1,0)</f>
        <v/>
      </c>
      <c r="CN189">
        <f>IF($C189="",0,($CK189*$R189+$CL189*$U189)*N($H189))</f>
        <v/>
      </c>
      <c r="CO189">
        <f>IF($C189="","",IF($CC189="","入庫後は 14日以上もつ",IF($CC189-N('設定'!$C$7)&lt;='設定'!$C$6,"入庫後も "&amp;TEXT($CC189,"m/d")&amp;"("&amp;CHOOSE(WEEKDAY($CC189),"日","月","火","水","木","金","土")&amp;")"&amp;" に切れる　もう1便を至急発注","入庫後も "&amp;TEXT($CC189,"m/d")&amp;"("&amp;CHOOSE(WEEKDAY($CC189),"日","月","火","水","木","金","土")&amp;")"&amp;" に切れる　"&amp;TEXT($CC189-N('設定'!$C$7),"m/d")&amp;"("&amp;CHOOSE(WEEKDAY($CC189-N('設定'!$C$7)),"日","月","火","水","木","金","土")&amp;")"&amp;" までに次を発注")))</f>
        <v/>
      </c>
      <c r="CP189">
        <f>IF($C189="","",IF('設定'!$C$6="","？ ①在庫を貼る に今日のCSVが貼られていない",IF($CS189=1,"－ 今日のCSVに無い（終売？）",IF($L189&lt;0,"● 在庫がマイナス　数えて「数えた在庫」に入れる",IF($L189=0,"● 在庫なし　至急発注",IF($M189="","？ 減り数が未設定（商品マスタ）",IF($B$3=0,"？ 動員が未入力（動員を入れる）",IF($CA189="","○ 14日以上もつ",IF($BZ189&lt;N('設定'!$C$7),"● "&amp;TEXT($CA189,"m/d")&amp;"("&amp;CHOOSE(WEEKDAY($CA189),"日","月","火","水","木","金","土")&amp;")"&amp;" に切れる　至急発注",IF($BZ189=N('設定'!$C$7),"● "&amp;TEXT($CA189,"m/d")&amp;"("&amp;CHOOSE(WEEKDAY($CA189),"日","月","火","水","木","金","土")&amp;")"&amp;" に切れる　今日発注","△ "&amp;TEXT($CA189,"m/d")&amp;"("&amp;CHOOSE(WEEKDAY($CA189),"日","月","火","水","木","金","土")&amp;")"&amp;" に切れる　"&amp;TEXT($CA189-N('設定'!$C$7),"m/d")&amp;"("&amp;CHOOSE(WEEKDAY($CA189-N('設定'!$C$7)),"日","月","火","水","木","金","土")&amp;")"&amp;" までに発注"))))))))))</f>
        <v/>
      </c>
      <c r="CQ189">
        <f>IF($C189="","",IF(AND($P189="",$Q189="",$S189="",$T189=""),"",IF(AND($P189="",$Q189=""),"⚠ 先に1便目（左の入庫日・入庫数）に入れてください",IF($CI189&lt;&gt;"",$CI189,IF($CJ189&lt;&gt;"",$CJ189,IF($M189="","？ 減り数が未設定（発注書には載ります）",IF($B$3=0,"？ 動員が未入力（発注書には載ります）",IF(AND($CA189&lt;&gt;"",$P189&gt;$CA189),IF($P189&gt;'設定'!$C$6+N('設定'!$C$7),"● "&amp;TEXT($P189,"m/d")&amp;"("&amp;CHOOSE(WEEKDAY($P189),"日","月","火","水","木","金","土")&amp;")"&amp;" の入庫では間に合わない（"&amp;TEXT($CA189,"m/d")&amp;"("&amp;CHOOSE(WEEKDAY($CA189),"日","月","火","水","木","金","土")&amp;")"&amp;" に切れる）　入庫日を早める","△ 欠品 "&amp;TEXT($CA189,"m/d")&amp;"("&amp;CHOOSE(WEEKDAY($CA189),"日","月","火","水","木","金","土")&amp;")"&amp;"〜"&amp;TEXT($P189-1,"m/d")&amp;"("&amp;CHOOSE(WEEKDAY($P189-1),"日","月","火","水","木","金","土")&amp;")"&amp;"　"&amp;$CO189),IF($CC189="","○ "&amp;TEXT($P189,"m/d")&amp;"("&amp;CHOOSE(WEEKDAY($P189),"日","月","火","水","木","金","土")&amp;")"&amp;" 入庫で 14日以上もつ",IF($CC189-N('設定'!$C$7)&lt;='設定'!$C$6,"● 入庫しても "&amp;TEXT($CC189,"m/d")&amp;"("&amp;CHOOSE(WEEKDAY($CC189),"日","月","火","水","木","金","土")&amp;")"&amp;" に切れる　もう1便を至急発注（2便目に入れる）","△ 入庫しても "&amp;TEXT($CC189,"m/d")&amp;"("&amp;CHOOSE(WEEKDAY($CC189),"日","月","火","水","木","金","土")&amp;")"&amp;" に切れる　"&amp;TEXT($CC189-N('設定'!$C$7),"m/d")&amp;"("&amp;CHOOSE(WEEKDAY($CC189-N('設定'!$C$7)),"日","月","火","水","木","金","土")&amp;")"&amp;" までに次を発注（2便目に入れる）"))))))))))</f>
        <v/>
      </c>
      <c r="CR189">
        <f>IF($C189="","",IF($G189&gt;1,"ｹｰｽ("&amp;$G189&amp;"入)","個"))</f>
        <v/>
      </c>
      <c r="CS189">
        <f>IF($C189="",0,IF(COUNTIFS('①在庫を貼る'!$V$6:$V$10005,'設定'!$C$4,'①在庫を貼る'!$W$6:$W$10005,$C189)=0,1,0))</f>
        <v/>
      </c>
      <c r="CT189">
        <f>IF(AND($CK189=1,OR('③発注書'!$C$4="すべて",'③発注書'!$C$4="",$F189='③発注書'!$C$4)),N($CT188)+1,N($CT188))</f>
        <v/>
      </c>
      <c r="CU189">
        <f>IF(AND($CL189=1,OR('③発注書'!$C$4="すべて",'③発注書'!$C$4="",$F189='③発注書'!$C$4)),N($CU188)+1,N($CU188))</f>
        <v/>
      </c>
      <c r="CV189">
        <f>IF($C189="",0,IF(COUNTIFS('①在庫を貼る'!$V$6:$V$10005,'設定'!$C$4,'①在庫を貼る'!$W$6:$W$10005,$C189)&gt;0,1,0))</f>
        <v/>
      </c>
      <c r="CW189">
        <f>IF($C189="",0,IF(COUNTIFS('月1回_1ヶ月前の在庫'!$V$6:$V$10005,'設定'!$C$4,'月1回_1ヶ月前の在庫'!$W$6:$W$10005,$C189)&gt;0,1,0))</f>
        <v/>
      </c>
      <c r="CX189">
        <f>IF($C189="",0,IF(COUNTIFS('月1回_2ヶ月前の在庫'!$V$6:$V$10005,'設定'!$C$4,'月1回_2ヶ月前の在庫'!$W$6:$W$10005,$C189)&gt;0,1,0))</f>
        <v/>
      </c>
      <c r="CY189">
        <f>IF(OR($C189="",'設定'!$C$12=""),"",IF('設定'!$C$13="",IF(AND($CV189=1,$CW189=0),"新商品（今月から）",IF(AND($CV189=0,$CW189=1),"終売（今月から）","")),IF(AND($CV189=1,$CW189=0,$CX189=0),"新商品（今月から）",IF(AND($CV189=1,$CW189=1,$CX189=0),"新商品（先月から）",IF(AND($CV189=0,$CW189=1,$CX189=1),"終売（今月から）",IF(AND($CV189=0,$CW189=0,$CX189=1),"終売（先月から）",IF(AND($CV189=1,$CW189=0,$CX189=1),"復活（先月は無し）","")))))))</f>
        <v/>
      </c>
    </row>
    <row r="190">
      <c r="B190">
        <f>IF(185&lt;='設定'!$C$11,185,"")</f>
        <v/>
      </c>
      <c r="C190">
        <f>IF($B190="","",IF($B190&lt;='設定'!$C$20,INDEX('商品マスタ'!$B$6:$B$1005,MATCH($B190,'商品マスタ'!$M$6:$M$1005,0)),IF($B190&lt;='設定'!$C$20+'設定'!$C$17,INDEX('①在庫を貼る'!$W$6:$W$10005,MATCH($B190-'設定'!$C$20,'①在庫を貼る'!$U$6:$U$10005,0)),IF($B190&lt;='設定'!$C$20+'設定'!$C$17+'設定'!$C$18,INDEX('月1回_1ヶ月前の在庫'!$W$6:$W$10005,MATCH($B190-'設定'!$C$20-'設定'!$C$17,'月1回_1ヶ月前の在庫'!$U$6:$U$10005,0)),INDEX('月1回_2ヶ月前の在庫'!$W$6:$W$10005,MATCH($B190-'設定'!$C$20-'設定'!$C$17-'設定'!$C$18,'月1回_2ヶ月前の在庫'!$U$6:$U$10005,0))))))</f>
        <v/>
      </c>
      <c r="D190">
        <f>IF($C190="","",IFERROR(IF(INDEX('商品マスタ'!$C$6:$C$1005,MATCH($C190,'商品マスタ'!$B$6:$B$1005,0))="",IFERROR(INDEX('①在庫を貼る'!$J$6:$J$10005,MATCH($C190,'①在庫を貼る'!$W$6:$W$10005,0)),IFERROR(INDEX('月1回_1ヶ月前の在庫'!$J$6:$J$10005,MATCH($C190,'月1回_1ヶ月前の在庫'!$W$6:$W$10005,0)),IFERROR(INDEX('月1回_2ヶ月前の在庫'!$J$6:$J$10005,MATCH($C190,'月1回_2ヶ月前の在庫'!$W$6:$W$10005,0)),""))),INDEX('商品マスタ'!$C$6:$C$1005,MATCH($C190,'商品マスタ'!$B$6:$B$1005,0))),IFERROR(INDEX('①在庫を貼る'!$J$6:$J$10005,MATCH($C190,'①在庫を貼る'!$W$6:$W$10005,0)),IFERROR(INDEX('月1回_1ヶ月前の在庫'!$J$6:$J$10005,MATCH($C190,'月1回_1ヶ月前の在庫'!$W$6:$W$10005,0)),IFERROR(INDEX('月1回_2ヶ月前の在庫'!$J$6:$J$10005,MATCH($C190,'月1回_2ヶ月前の在庫'!$W$6:$W$10005,0)),"")))))</f>
        <v/>
      </c>
      <c r="E190">
        <f>IF($C190="","",IFERROR(IF(INDEX('商品マスタ'!$D$6:$D$1005,MATCH($C190,'商品マスタ'!$B$6:$B$1005,0))="",IFERROR(INDEX('①在庫を貼る'!$H$6:$H$10005,MATCH($C190,'①在庫を貼る'!$W$6:$W$10005,0)),IFERROR(INDEX('月1回_1ヶ月前の在庫'!$H$6:$H$10005,MATCH($C190,'月1回_1ヶ月前の在庫'!$W$6:$W$10005,0)),IFERROR(INDEX('月1回_2ヶ月前の在庫'!$H$6:$H$10005,MATCH($C190,'月1回_2ヶ月前の在庫'!$W$6:$W$10005,0)),""))),INDEX('商品マスタ'!$D$6:$D$1005,MATCH($C190,'商品マスタ'!$B$6:$B$1005,0))),IFERROR(INDEX('①在庫を貼る'!$H$6:$H$10005,MATCH($C190,'①在庫を貼る'!$W$6:$W$10005,0)),IFERROR(INDEX('月1回_1ヶ月前の在庫'!$H$6:$H$10005,MATCH($C190,'月1回_1ヶ月前の在庫'!$W$6:$W$10005,0)),IFERROR(INDEX('月1回_2ヶ月前の在庫'!$H$6:$H$10005,MATCH($C190,'月1回_2ヶ月前の在庫'!$W$6:$W$10005,0)),"")))))</f>
        <v/>
      </c>
      <c r="F190">
        <f>IF($C190="","",IFERROR(IF(INDEX('商品マスタ'!$E$6:$E$1005,MATCH($C190,'商品マスタ'!$B$6:$B$1005,0))="",IFERROR(INDEX('①在庫を貼る'!$E$6:$E$10005,MATCH($C190,'①在庫を貼る'!$W$6:$W$10005,0)),IFERROR(INDEX('月1回_1ヶ月前の在庫'!$E$6:$E$10005,MATCH($C190,'月1回_1ヶ月前の在庫'!$W$6:$W$10005,0)),IFERROR(INDEX('月1回_2ヶ月前の在庫'!$E$6:$E$10005,MATCH($C190,'月1回_2ヶ月前の在庫'!$W$6:$W$10005,0)),""))),INDEX('商品マスタ'!$E$6:$E$1005,MATCH($C190,'商品マスタ'!$B$6:$B$1005,0))),IFERROR(INDEX('①在庫を貼る'!$E$6:$E$10005,MATCH($C190,'①在庫を貼る'!$W$6:$W$10005,0)),IFERROR(INDEX('月1回_1ヶ月前の在庫'!$E$6:$E$10005,MATCH($C190,'月1回_1ヶ月前の在庫'!$W$6:$W$10005,0)),IFERROR(INDEX('月1回_2ヶ月前の在庫'!$E$6:$E$10005,MATCH($C190,'月1回_2ヶ月前の在庫'!$W$6:$W$10005,0)),"")))))</f>
        <v/>
      </c>
      <c r="G190">
        <f>IF($C190="","",MAX(1,N(IFERROR(IF(INDEX('商品マスタ'!$F$6:$F$1005,MATCH($C190,'商品マスタ'!$B$6:$B$1005,0))="",IF(COUNTIFS('①在庫を貼る'!$V$6:$V$10005,'設定'!$C$4,'①在庫を貼る'!$W$6:$W$10005,$C190)&gt;0,SUMIFS('①在庫を貼る'!$K$6:$K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K$6:$K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K$6:$K$10005,'月1回_2ヶ月前の在庫'!$V$6:$V$10005,'設定'!$C$4,'月1回_2ヶ月前の在庫'!$W$6:$W$10005,$C190)/COUNTIFS('月1回_2ヶ月前の在庫'!$V$6:$V$10005,'設定'!$C$4,'月1回_2ヶ月前の在庫'!$W$6:$W$10005,$C190),0))),INDEX('商品マスタ'!$F$6:$F$1005,MATCH($C190,'商品マスタ'!$B$6:$B$1005,0))),IF(COUNTIFS('①在庫を貼る'!$V$6:$V$10005,'設定'!$C$4,'①在庫を貼る'!$W$6:$W$10005,$C190)&gt;0,SUMIFS('①在庫を貼る'!$K$6:$K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K$6:$K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K$6:$K$10005,'月1回_2ヶ月前の在庫'!$V$6:$V$10005,'設定'!$C$4,'月1回_2ヶ月前の在庫'!$W$6:$W$10005,$C190)/COUNTIFS('月1回_2ヶ月前の在庫'!$V$6:$V$10005,'設定'!$C$4,'月1回_2ヶ月前の在庫'!$W$6:$W$10005,$C190),0)))))))</f>
        <v/>
      </c>
      <c r="H190">
        <f>IF($C190="","",N(IFERROR(IF(INDEX('商品マスタ'!$G$6:$G$1005,MATCH($C190,'商品マスタ'!$B$6:$B$1005,0))="",IF(COUNTIFS('①在庫を貼る'!$V$6:$V$10005,'設定'!$C$4,'①在庫を貼る'!$W$6:$W$10005,$C190)&gt;0,SUMIFS('①在庫を貼る'!$Q$6:$Q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Q$6:$Q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Q$6:$Q$10005,'月1回_2ヶ月前の在庫'!$V$6:$V$10005,'設定'!$C$4,'月1回_2ヶ月前の在庫'!$W$6:$W$10005,$C190)/COUNTIFS('月1回_2ヶ月前の在庫'!$V$6:$V$10005,'設定'!$C$4,'月1回_2ヶ月前の在庫'!$W$6:$W$10005,$C190),0))),INDEX('商品マスタ'!$G$6:$G$1005,MATCH($C190,'商品マスタ'!$B$6:$B$1005,0))),IF(COUNTIFS('①在庫を貼る'!$V$6:$V$10005,'設定'!$C$4,'①在庫を貼る'!$W$6:$W$10005,$C190)&gt;0,SUMIFS('①在庫を貼る'!$Q$6:$Q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Q$6:$Q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Q$6:$Q$10005,'月1回_2ヶ月前の在庫'!$V$6:$V$10005,'設定'!$C$4,'月1回_2ヶ月前の在庫'!$W$6:$W$10005,$C190)/COUNTIFS('月1回_2ヶ月前の在庫'!$V$6:$V$10005,'設定'!$C$4,'月1回_2ヶ月前の在庫'!$W$6:$W$10005,$C190),0))))))</f>
        <v/>
      </c>
      <c r="I190">
        <f>IF($C190="","",IF(COUNTIFS('①在庫を貼る'!$V$6:$V$10005,'設定'!$C$4,'①在庫を貼る'!$W$6:$W$10005,$C190)=0,"",SUMIFS('①在庫を貼る'!$N$6:$N$10005,'①在庫を貼る'!$V$6:$V$10005,'設定'!$C$4,'①在庫を貼る'!$W$6:$W$10005,$C190)))</f>
        <v/>
      </c>
      <c r="J190">
        <f>IF($C190="","",IF('②発注する'!$AD194="","",'②発注する'!$AD194))</f>
        <v/>
      </c>
      <c r="K190" s="90">
        <f>IF($C190="","",IF('②発注する'!$AE194="","",'②発注する'!$AE194))</f>
        <v/>
      </c>
      <c r="L190">
        <f>IF($C190="","",IF(AND(ISNUMBER($J190),ISNUMBER($K190),$K190&gt;='設定'!$C$6),$J190,N($I190)))</f>
        <v/>
      </c>
      <c r="M190">
        <f>IF($C190="","",IFERROR(IF(N(INDEX('商品マスタ'!$J$6:$J$1005,MATCH($C190,'商品マスタ'!$B$6:$B$1005,0)))&gt;0,INDEX('商品マスタ'!$J$6:$J$1005,MATCH($C190,'商品マスタ'!$B$6:$B$1005,0)),""),""))</f>
        <v/>
      </c>
      <c r="N190">
        <f>IF($C190="","",IFERROR(IF(N(INDEX('商品マスタ'!$H$6:$H$1005,MATCH($C190,'商品マスタ'!$B$6:$B$1005,0)))&gt;0,INDEX('商品マスタ'!$H$6:$H$1005,MATCH($C190,'商品マスタ'!$B$6:$B$1005,0)),""),""))</f>
        <v/>
      </c>
      <c r="O190">
        <f>IF($C190="","",IF($N190&lt;&gt;"",$N190*$G190,IF(N(IF(COUNTIFS('①在庫を貼る'!$V$6:$V$10005,'設定'!$C$4,'①在庫を貼る'!$W$6:$W$10005,$C190)&gt;0,SUMIFS('①在庫を貼る'!$O$6:$O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O$6:$O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O$6:$O$10005,'月1回_2ヶ月前の在庫'!$V$6:$V$10005,'設定'!$C$4,'月1回_2ヶ月前の在庫'!$W$6:$W$10005,$C190)/COUNTIFS('月1回_2ヶ月前の在庫'!$V$6:$V$10005,'設定'!$C$4,'月1回_2ヶ月前の在庫'!$W$6:$W$10005,$C190),0))))&gt;0,N(IF(COUNTIFS('①在庫を貼る'!$V$6:$V$10005,'設定'!$C$4,'①在庫を貼る'!$W$6:$W$10005,$C190)&gt;0,SUMIFS('①在庫を貼る'!$O$6:$O$10005,'①在庫を貼る'!$V$6:$V$10005,'設定'!$C$4,'①在庫を貼る'!$W$6:$W$10005,$C190)/COUNTIFS('①在庫を貼る'!$V$6:$V$10005,'設定'!$C$4,'①在庫を貼る'!$W$6:$W$10005,$C190),IF(COUNTIFS('月1回_1ヶ月前の在庫'!$V$6:$V$10005,'設定'!$C$4,'月1回_1ヶ月前の在庫'!$W$6:$W$10005,$C190)&gt;0,SUMIFS('月1回_1ヶ月前の在庫'!$O$6:$O$10005,'月1回_1ヶ月前の在庫'!$V$6:$V$10005,'設定'!$C$4,'月1回_1ヶ月前の在庫'!$W$6:$W$10005,$C190)/COUNTIFS('月1回_1ヶ月前の在庫'!$V$6:$V$10005,'設定'!$C$4,'月1回_1ヶ月前の在庫'!$W$6:$W$10005,$C190),IF(COUNTIFS('月1回_2ヶ月前の在庫'!$V$6:$V$10005,'設定'!$C$4,'月1回_2ヶ月前の在庫'!$W$6:$W$10005,$C190)&gt;0,SUMIFS('月1回_2ヶ月前の在庫'!$O$6:$O$10005,'月1回_2ヶ月前の在庫'!$V$6:$V$10005,'設定'!$C$4,'月1回_2ヶ月前の在庫'!$W$6:$W$10005,$C190)/COUNTIFS('月1回_2ヶ月前の在庫'!$V$6:$V$10005,'設定'!$C$4,'月1回_2ヶ月前の在庫'!$W$6:$W$10005,$C190),0)))),"")))</f>
        <v/>
      </c>
      <c r="P190" s="90">
        <f>IF($C190="","",IF('②発注する'!$I194="","",'②発注する'!$I194))</f>
        <v/>
      </c>
      <c r="Q190">
        <f>IF($C190="","",IF('②発注する'!$J194="","",'②発注する'!$J194))</f>
        <v/>
      </c>
      <c r="R190">
        <f>IF($C190="",0,IF(AND(ISNUMBER($P190),ISNUMBER($Q190)),MAX(0,$Q190)*$G190,0))</f>
        <v/>
      </c>
      <c r="S190" s="90">
        <f>IF($C190="","",IF('②発注する'!$M194="","",'②発注する'!$M194))</f>
        <v/>
      </c>
      <c r="T190">
        <f>IF($C190="","",IF('②発注する'!$N194="","",'②発注する'!$N194))</f>
        <v/>
      </c>
      <c r="U190">
        <f>IF($C190="",0,IF(AND(ISNUMBER($S190),ISNUMBER($T190)),MAX(0,$T190)*$G190,0))</f>
        <v/>
      </c>
      <c r="V190">
        <f>IF($C190="",0,IF($M190="",0,MAX(0,$M190)*MAX(0,V$4)/100))</f>
        <v/>
      </c>
      <c r="W190">
        <f>IF($C190="",0,IF($M190="",0,MAX(0,$M190)*MAX(0,W$4)/100))</f>
        <v/>
      </c>
      <c r="X190">
        <f>IF($C190="",0,IF($M190="",0,MAX(0,$M190)*MAX(0,X$4)/100))</f>
        <v/>
      </c>
      <c r="Y190">
        <f>IF($C190="",0,IF($M190="",0,MAX(0,$M190)*MAX(0,Y$4)/100))</f>
        <v/>
      </c>
      <c r="Z190">
        <f>IF($C190="",0,IF($M190="",0,MAX(0,$M190)*MAX(0,Z$4)/100))</f>
        <v/>
      </c>
      <c r="AA190">
        <f>IF($C190="",0,IF($M190="",0,MAX(0,$M190)*MAX(0,AA$4)/100))</f>
        <v/>
      </c>
      <c r="AB190">
        <f>IF($C190="",0,IF($M190="",0,MAX(0,$M190)*MAX(0,AB$4)/100))</f>
        <v/>
      </c>
      <c r="AC190">
        <f>IF($C190="",0,IF($M190="",0,MAX(0,$M190)*MAX(0,AC$4)/100))</f>
        <v/>
      </c>
      <c r="AD190">
        <f>IF($C190="",0,IF($M190="",0,MAX(0,$M190)*MAX(0,AD$4)/100))</f>
        <v/>
      </c>
      <c r="AE190">
        <f>IF($C190="",0,IF($M190="",0,MAX(0,$M190)*MAX(0,AE$4)/100))</f>
        <v/>
      </c>
      <c r="AF190">
        <f>IF($C190="",0,IF($M190="",0,MAX(0,$M190)*MAX(0,AF$4)/100))</f>
        <v/>
      </c>
      <c r="AG190">
        <f>IF($C190="",0,IF($M190="",0,MAX(0,$M190)*MAX(0,AG$4)/100))</f>
        <v/>
      </c>
      <c r="AH190">
        <f>IF($C190="",0,IF($M190="",0,MAX(0,$M190)*MAX(0,AH$4)/100))</f>
        <v/>
      </c>
      <c r="AI190">
        <f>IF($C190="",0,IF($M190="",0,MAX(0,$M190)*MAX(0,AI$4)/100))</f>
        <v/>
      </c>
      <c r="AJ190">
        <f>IF($C190="",0,MAX(0,MAX(0,N($L190))-$V190))</f>
        <v/>
      </c>
      <c r="AK190">
        <f>IF($C190="",0,MAX(0,$AJ190-$W190))</f>
        <v/>
      </c>
      <c r="AL190">
        <f>IF($C190="",0,MAX(0,$AK190-$X190))</f>
        <v/>
      </c>
      <c r="AM190">
        <f>IF($C190="",0,MAX(0,$AL190-$Y190))</f>
        <v/>
      </c>
      <c r="AN190">
        <f>IF($C190="",0,MAX(0,$AM190-$Z190))</f>
        <v/>
      </c>
      <c r="AO190">
        <f>IF($C190="",0,MAX(0,$AN190-$AA190))</f>
        <v/>
      </c>
      <c r="AP190">
        <f>IF($C190="",0,MAX(0,$AO190-$AB190))</f>
        <v/>
      </c>
      <c r="AQ190">
        <f>IF($C190="",0,MAX(0,$AP190-$AC190))</f>
        <v/>
      </c>
      <c r="AR190">
        <f>IF($C190="",0,MAX(0,$AQ190-$AD190))</f>
        <v/>
      </c>
      <c r="AS190">
        <f>IF($C190="",0,MAX(0,$AR190-$AE190))</f>
        <v/>
      </c>
      <c r="AT190">
        <f>IF($C190="",0,MAX(0,$AS190-$AF190))</f>
        <v/>
      </c>
      <c r="AU190">
        <f>IF($C190="",0,MAX(0,$AT190-$AG190))</f>
        <v/>
      </c>
      <c r="AV190">
        <f>IF($C190="",0,MAX(0,$AU190-$AH190))</f>
        <v/>
      </c>
      <c r="AW190">
        <f>IF($C190="",0,MAX(0,$AV190-$AI190))</f>
        <v/>
      </c>
      <c r="AX190">
        <f>IF($C190="",0,MAX(0,MAX(0,N($L190))+IF($P190=V$3,$R190,0)+IF($S190=V$3,$U190,0)-$V190))</f>
        <v/>
      </c>
      <c r="AY190">
        <f>IF($C190="",0,MAX(0,$AX190+IF($P190=W$3,$R190,0)+IF($S190=W$3,$U190,0)-$W190))</f>
        <v/>
      </c>
      <c r="AZ190">
        <f>IF($C190="",0,MAX(0,$AY190+IF($P190=X$3,$R190,0)+IF($S190=X$3,$U190,0)-$X190))</f>
        <v/>
      </c>
      <c r="BA190">
        <f>IF($C190="",0,MAX(0,$AZ190+IF($P190=Y$3,$R190,0)+IF($S190=Y$3,$U190,0)-$Y190))</f>
        <v/>
      </c>
      <c r="BB190">
        <f>IF($C190="",0,MAX(0,$BA190+IF($P190=Z$3,$R190,0)+IF($S190=Z$3,$U190,0)-$Z190))</f>
        <v/>
      </c>
      <c r="BC190">
        <f>IF($C190="",0,MAX(0,$BB190+IF($P190=AA$3,$R190,0)+IF($S190=AA$3,$U190,0)-$AA190))</f>
        <v/>
      </c>
      <c r="BD190">
        <f>IF($C190="",0,MAX(0,$BC190+IF($P190=AB$3,$R190,0)+IF($S190=AB$3,$U190,0)-$AB190))</f>
        <v/>
      </c>
      <c r="BE190">
        <f>IF($C190="",0,MAX(0,$BD190+IF($P190=AC$3,$R190,0)+IF($S190=AC$3,$U190,0)-$AC190))</f>
        <v/>
      </c>
      <c r="BF190">
        <f>IF($C190="",0,MAX(0,$BE190+IF($P190=AD$3,$R190,0)+IF($S190=AD$3,$U190,0)-$AD190))</f>
        <v/>
      </c>
      <c r="BG190">
        <f>IF($C190="",0,MAX(0,$BF190+IF($P190=AE$3,$R190,0)+IF($S190=AE$3,$U190,0)-$AE190))</f>
        <v/>
      </c>
      <c r="BH190">
        <f>IF($C190="",0,MAX(0,$BG190+IF($P190=AF$3,$R190,0)+IF($S190=AF$3,$U190,0)-$AF190))</f>
        <v/>
      </c>
      <c r="BI190">
        <f>IF($C190="",0,MAX(0,$BH190+IF($P190=AG$3,$R190,0)+IF($S190=AG$3,$U190,0)-$AG190))</f>
        <v/>
      </c>
      <c r="BJ190">
        <f>IF($C190="",0,MAX(0,$BI190+IF($P190=AH$3,$R190,0)+IF($S190=AH$3,$U190,0)-$AH190))</f>
        <v/>
      </c>
      <c r="BK190">
        <f>IF($C190="",0,MAX(0,$BJ190+IF($P190=AI$3,$R190,0)+IF($S190=AI$3,$U190,0)-$AI190))</f>
        <v/>
      </c>
      <c r="BL190">
        <f>IF($C190="",99,IF(AND($AX190&lt;1,V$3&gt;=MAX(N($P190),N($S190))),0,99))</f>
        <v/>
      </c>
      <c r="BM190">
        <f>IF($C190="",99,IF(AND($AY190&lt;1,W$3&gt;=MAX(N($P190),N($S190))),1,99))</f>
        <v/>
      </c>
      <c r="BN190">
        <f>IF($C190="",99,IF(AND($AZ190&lt;1,X$3&gt;=MAX(N($P190),N($S190))),2,99))</f>
        <v/>
      </c>
      <c r="BO190">
        <f>IF($C190="",99,IF(AND($BA190&lt;1,Y$3&gt;=MAX(N($P190),N($S190))),3,99))</f>
        <v/>
      </c>
      <c r="BP190">
        <f>IF($C190="",99,IF(AND($BB190&lt;1,Z$3&gt;=MAX(N($P190),N($S190))),4,99))</f>
        <v/>
      </c>
      <c r="BQ190">
        <f>IF($C190="",99,IF(AND($BC190&lt;1,AA$3&gt;=MAX(N($P190),N($S190))),5,99))</f>
        <v/>
      </c>
      <c r="BR190">
        <f>IF($C190="",99,IF(AND($BD190&lt;1,AB$3&gt;=MAX(N($P190),N($S190))),6,99))</f>
        <v/>
      </c>
      <c r="BS190">
        <f>IF($C190="",99,IF(AND($BE190&lt;1,AC$3&gt;=MAX(N($P190),N($S190))),7,99))</f>
        <v/>
      </c>
      <c r="BT190">
        <f>IF($C190="",99,IF(AND($BF190&lt;1,AD$3&gt;=MAX(N($P190),N($S190))),8,99))</f>
        <v/>
      </c>
      <c r="BU190">
        <f>IF($C190="",99,IF(AND($BG190&lt;1,AE$3&gt;=MAX(N($P190),N($S190))),9,99))</f>
        <v/>
      </c>
      <c r="BV190">
        <f>IF($C190="",99,IF(AND($BH190&lt;1,AF$3&gt;=MAX(N($P190),N($S190))),10,99))</f>
        <v/>
      </c>
      <c r="BW190">
        <f>IF($C190="",99,IF(AND($BI190&lt;1,AG$3&gt;=MAX(N($P190),N($S190))),11,99))</f>
        <v/>
      </c>
      <c r="BX190">
        <f>IF($C190="",99,IF(AND($BJ190&lt;1,AH$3&gt;=MAX(N($P190),N($S190))),12,99))</f>
        <v/>
      </c>
      <c r="BY190">
        <f>IF($C190="",99,IF(AND($BK190&lt;1,AI$3&gt;=MAX(N($P190),N($S190))),13,99))</f>
        <v/>
      </c>
      <c r="BZ190">
        <f>IF(OR($C190="",$M190=""),"",COUNTIF($AJ190:$AW190,"&gt;=1"))</f>
        <v/>
      </c>
      <c r="CA190" s="90">
        <f>IF($BZ190="","",IF($BZ190&gt;=14,"",'設定'!$C$6+$BZ190))</f>
        <v/>
      </c>
      <c r="CB190">
        <f>IF(OR($C190="",$M190=""),"",MIN($BL190:$BY190))</f>
        <v/>
      </c>
      <c r="CC190" s="90">
        <f>IF($CB190="","",IF($CB190&gt;=99,"",'設定'!$C$6+$CB190))</f>
        <v/>
      </c>
      <c r="CD190">
        <f>IF(OR($C190="",$M190=""),"",AVERAGE($V190:$AI190))</f>
        <v/>
      </c>
      <c r="CE190">
        <f>IF($C190="","",IFERROR(IF(MATCH(IF(ISNUMBER($P190),$P190,'設定'!$C$6+N('設定'!$C$7)),$V$3:$AI$3,0)=1,MAX(0,N($L190)),INDEX($AJ190:$AW190,MATCH(IF(ISNUMBER($P190),$P190,'設定'!$C$6+N('設定'!$C$7)),$V$3:$AI$3,0)-1)),""))</f>
        <v/>
      </c>
      <c r="CF190">
        <f>IF(OR($C190="",$O190="",$CE190=""),"",IF($O190-$CE190&lt;=0,0,ROUNDUP(($O190-$CE190)/$G190,0)))</f>
        <v/>
      </c>
      <c r="CG190">
        <f>IF(OR($C190="",$CF190="",NOT(ISNUMBER($Q190))),0,MAX(0,$Q190-$CF190))</f>
        <v/>
      </c>
      <c r="CH190">
        <f>IF(OR($C190="",$O190="",$U190=0),0,IFERROR(ROUNDUP(MAX(0,IF(MATCH($S190,$V$3:$AI$3,0)=1,MAX(0,N($L190)),INDEX($AX190:$BK190,MATCH($S190,$V$3:$AI$3,0)-1))+$U190-$O190)/$G190,0),0))</f>
        <v/>
      </c>
      <c r="CI190">
        <f>IF($C190="","",IF(AND($P190="",$Q190=""),"",IF($P190="","⚠ 入庫日を ▼ から選んでください",IF(NOT(ISNUMBER($P190)),"⚠ 入庫日は ▼ から選んでください",IF($P190&lt;N('設定'!$C$6),"⚠ 入庫日が過去です（もう在庫に入っています）→ 消してください",IF($P190&gt;N('設定'!$C$6)+13,"⚠ 入庫日が14日より先です",IF(N($Q190)&lt;=0,"⚠ 入庫数を入れてください",IF($CG190&gt;0,"⚠ 目安より "&amp;$CG190&amp;" 多い（定数を超える）→ 減らす",""))))))))</f>
        <v/>
      </c>
      <c r="CJ190">
        <f>IF($C190="","",IF(AND($S190="",$T190=""),"",IF($S190="","⚠ 2便目：入庫日を ▼ から選んでください",IF(NOT(ISNUMBER($S190)),"⚠ 2便目：入庫日は ▼ から選んでください",IF($S190&lt;N('設定'!$C$6),"⚠ 2便目：入庫日が過去です（もう在庫に入っています）→ 消してください",IF($S190&gt;N('設定'!$C$6)+13,"⚠ 2便目：入庫日が14日より先です",IF(N($T190)&lt;=0,"⚠ 2便目：入庫数を入れてください",IF($CH190&gt;0,"⚠ 2便目：定数を "&amp;$CH190&amp;" ケース超える → 減らす",""))))))))</f>
        <v/>
      </c>
      <c r="CK190">
        <f>IF(AND($CI190="",N($Q190)&gt;0,ISNUMBER($P190)),1,0)</f>
        <v/>
      </c>
      <c r="CL190">
        <f>IF(AND($CJ190="",N($T190)&gt;0,ISNUMBER($S190)),1,0)</f>
        <v/>
      </c>
      <c r="CM190">
        <f>IF(OR($CK190=1,$CL190=1),1,0)</f>
        <v/>
      </c>
      <c r="CN190">
        <f>IF($C190="",0,($CK190*$R190+$CL190*$U190)*N($H190))</f>
        <v/>
      </c>
      <c r="CO190">
        <f>IF($C190="","",IF($CC190="","入庫後は 14日以上もつ",IF($CC190-N('設定'!$C$7)&lt;='設定'!$C$6,"入庫後も "&amp;TEXT($CC190,"m/d")&amp;"("&amp;CHOOSE(WEEKDAY($CC190),"日","月","火","水","木","金","土")&amp;")"&amp;" に切れる　もう1便を至急発注","入庫後も "&amp;TEXT($CC190,"m/d")&amp;"("&amp;CHOOSE(WEEKDAY($CC190),"日","月","火","水","木","金","土")&amp;")"&amp;" に切れる　"&amp;TEXT($CC190-N('設定'!$C$7),"m/d")&amp;"("&amp;CHOOSE(WEEKDAY($CC190-N('設定'!$C$7)),"日","月","火","水","木","金","土")&amp;")"&amp;" までに次を発注")))</f>
        <v/>
      </c>
      <c r="CP190">
        <f>IF($C190="","",IF('設定'!$C$6="","？ ①在庫を貼る に今日のCSVが貼られていない",IF($CS190=1,"－ 今日のCSVに無い（終売？）",IF($L190&lt;0,"● 在庫がマイナス　数えて「数えた在庫」に入れる",IF($L190=0,"● 在庫なし　至急発注",IF($M190="","？ 減り数が未設定（商品マスタ）",IF($B$3=0,"？ 動員が未入力（動員を入れる）",IF($CA190="","○ 14日以上もつ",IF($BZ190&lt;N('設定'!$C$7),"● "&amp;TEXT($CA190,"m/d")&amp;"("&amp;CHOOSE(WEEKDAY($CA190),"日","月","火","水","木","金","土")&amp;")"&amp;" に切れる　至急発注",IF($BZ190=N('設定'!$C$7),"● "&amp;TEXT($CA190,"m/d")&amp;"("&amp;CHOOSE(WEEKDAY($CA190),"日","月","火","水","木","金","土")&amp;")"&amp;" に切れる　今日発注","△ "&amp;TEXT($CA190,"m/d")&amp;"("&amp;CHOOSE(WEEKDAY($CA190),"日","月","火","水","木","金","土")&amp;")"&amp;" に切れる　"&amp;TEXT($CA190-N('設定'!$C$7),"m/d")&amp;"("&amp;CHOOSE(WEEKDAY($CA190-N('設定'!$C$7)),"日","月","火","水","木","金","土")&amp;")"&amp;" までに発注"))))))))))</f>
        <v/>
      </c>
      <c r="CQ190">
        <f>IF($C190="","",IF(AND($P190="",$Q190="",$S190="",$T190=""),"",IF(AND($P190="",$Q190=""),"⚠ 先に1便目（左の入庫日・入庫数）に入れてください",IF($CI190&lt;&gt;"",$CI190,IF($CJ190&lt;&gt;"",$CJ190,IF($M190="","？ 減り数が未設定（発注書には載ります）",IF($B$3=0,"？ 動員が未入力（発注書には載ります）",IF(AND($CA190&lt;&gt;"",$P190&gt;$CA190),IF($P190&gt;'設定'!$C$6+N('設定'!$C$7),"● "&amp;TEXT($P190,"m/d")&amp;"("&amp;CHOOSE(WEEKDAY($P190),"日","月","火","水","木","金","土")&amp;")"&amp;" の入庫では間に合わない（"&amp;TEXT($CA190,"m/d")&amp;"("&amp;CHOOSE(WEEKDAY($CA190),"日","月","火","水","木","金","土")&amp;")"&amp;" に切れる）　入庫日を早める","△ 欠品 "&amp;TEXT($CA190,"m/d")&amp;"("&amp;CHOOSE(WEEKDAY($CA190),"日","月","火","水","木","金","土")&amp;")"&amp;"〜"&amp;TEXT($P190-1,"m/d")&amp;"("&amp;CHOOSE(WEEKDAY($P190-1),"日","月","火","水","木","金","土")&amp;")"&amp;"　"&amp;$CO190),IF($CC190="","○ "&amp;TEXT($P190,"m/d")&amp;"("&amp;CHOOSE(WEEKDAY($P190),"日","月","火","水","木","金","土")&amp;")"&amp;" 入庫で 14日以上もつ",IF($CC190-N('設定'!$C$7)&lt;='設定'!$C$6,"● 入庫しても "&amp;TEXT($CC190,"m/d")&amp;"("&amp;CHOOSE(WEEKDAY($CC190),"日","月","火","水","木","金","土")&amp;")"&amp;" に切れる　もう1便を至急発注（2便目に入れる）","△ 入庫しても "&amp;TEXT($CC190,"m/d")&amp;"("&amp;CHOOSE(WEEKDAY($CC190),"日","月","火","水","木","金","土")&amp;")"&amp;" に切れる　"&amp;TEXT($CC190-N('設定'!$C$7),"m/d")&amp;"("&amp;CHOOSE(WEEKDAY($CC190-N('設定'!$C$7)),"日","月","火","水","木","金","土")&amp;")"&amp;" までに次を発注（2便目に入れる）"))))))))))</f>
        <v/>
      </c>
      <c r="CR190">
        <f>IF($C190="","",IF($G190&gt;1,"ｹｰｽ("&amp;$G190&amp;"入)","個"))</f>
        <v/>
      </c>
      <c r="CS190">
        <f>IF($C190="",0,IF(COUNTIFS('①在庫を貼る'!$V$6:$V$10005,'設定'!$C$4,'①在庫を貼る'!$W$6:$W$10005,$C190)=0,1,0))</f>
        <v/>
      </c>
      <c r="CT190">
        <f>IF(AND($CK190=1,OR('③発注書'!$C$4="すべて",'③発注書'!$C$4="",$F190='③発注書'!$C$4)),N($CT189)+1,N($CT189))</f>
        <v/>
      </c>
      <c r="CU190">
        <f>IF(AND($CL190=1,OR('③発注書'!$C$4="すべて",'③発注書'!$C$4="",$F190='③発注書'!$C$4)),N($CU189)+1,N($CU189))</f>
        <v/>
      </c>
      <c r="CV190">
        <f>IF($C190="",0,IF(COUNTIFS('①在庫を貼る'!$V$6:$V$10005,'設定'!$C$4,'①在庫を貼る'!$W$6:$W$10005,$C190)&gt;0,1,0))</f>
        <v/>
      </c>
      <c r="CW190">
        <f>IF($C190="",0,IF(COUNTIFS('月1回_1ヶ月前の在庫'!$V$6:$V$10005,'設定'!$C$4,'月1回_1ヶ月前の在庫'!$W$6:$W$10005,$C190)&gt;0,1,0))</f>
        <v/>
      </c>
      <c r="CX190">
        <f>IF($C190="",0,IF(COUNTIFS('月1回_2ヶ月前の在庫'!$V$6:$V$10005,'設定'!$C$4,'月1回_2ヶ月前の在庫'!$W$6:$W$10005,$C190)&gt;0,1,0))</f>
        <v/>
      </c>
      <c r="CY190">
        <f>IF(OR($C190="",'設定'!$C$12=""),"",IF('設定'!$C$13="",IF(AND($CV190=1,$CW190=0),"新商品（今月から）",IF(AND($CV190=0,$CW190=1),"終売（今月から）","")),IF(AND($CV190=1,$CW190=0,$CX190=0),"新商品（今月から）",IF(AND($CV190=1,$CW190=1,$CX190=0),"新商品（先月から）",IF(AND($CV190=0,$CW190=1,$CX190=1),"終売（今月から）",IF(AND($CV190=0,$CW190=0,$CX190=1),"終売（先月から）",IF(AND($CV190=1,$CW190=0,$CX190=1),"復活（先月は無し）","")))))))</f>
        <v/>
      </c>
    </row>
    <row r="191">
      <c r="B191">
        <f>IF(186&lt;='設定'!$C$11,186,"")</f>
        <v/>
      </c>
      <c r="C191">
        <f>IF($B191="","",IF($B191&lt;='設定'!$C$20,INDEX('商品マスタ'!$B$6:$B$1005,MATCH($B191,'商品マスタ'!$M$6:$M$1005,0)),IF($B191&lt;='設定'!$C$20+'設定'!$C$17,INDEX('①在庫を貼る'!$W$6:$W$10005,MATCH($B191-'設定'!$C$20,'①在庫を貼る'!$U$6:$U$10005,0)),IF($B191&lt;='設定'!$C$20+'設定'!$C$17+'設定'!$C$18,INDEX('月1回_1ヶ月前の在庫'!$W$6:$W$10005,MATCH($B191-'設定'!$C$20-'設定'!$C$17,'月1回_1ヶ月前の在庫'!$U$6:$U$10005,0)),INDEX('月1回_2ヶ月前の在庫'!$W$6:$W$10005,MATCH($B191-'設定'!$C$20-'設定'!$C$17-'設定'!$C$18,'月1回_2ヶ月前の在庫'!$U$6:$U$10005,0))))))</f>
        <v/>
      </c>
      <c r="D191">
        <f>IF($C191="","",IFERROR(IF(INDEX('商品マスタ'!$C$6:$C$1005,MATCH($C191,'商品マスタ'!$B$6:$B$1005,0))="",IFERROR(INDEX('①在庫を貼る'!$J$6:$J$10005,MATCH($C191,'①在庫を貼る'!$W$6:$W$10005,0)),IFERROR(INDEX('月1回_1ヶ月前の在庫'!$J$6:$J$10005,MATCH($C191,'月1回_1ヶ月前の在庫'!$W$6:$W$10005,0)),IFERROR(INDEX('月1回_2ヶ月前の在庫'!$J$6:$J$10005,MATCH($C191,'月1回_2ヶ月前の在庫'!$W$6:$W$10005,0)),""))),INDEX('商品マスタ'!$C$6:$C$1005,MATCH($C191,'商品マスタ'!$B$6:$B$1005,0))),IFERROR(INDEX('①在庫を貼る'!$J$6:$J$10005,MATCH($C191,'①在庫を貼る'!$W$6:$W$10005,0)),IFERROR(INDEX('月1回_1ヶ月前の在庫'!$J$6:$J$10005,MATCH($C191,'月1回_1ヶ月前の在庫'!$W$6:$W$10005,0)),IFERROR(INDEX('月1回_2ヶ月前の在庫'!$J$6:$J$10005,MATCH($C191,'月1回_2ヶ月前の在庫'!$W$6:$W$10005,0)),"")))))</f>
        <v/>
      </c>
      <c r="E191">
        <f>IF($C191="","",IFERROR(IF(INDEX('商品マスタ'!$D$6:$D$1005,MATCH($C191,'商品マスタ'!$B$6:$B$1005,0))="",IFERROR(INDEX('①在庫を貼る'!$H$6:$H$10005,MATCH($C191,'①在庫を貼る'!$W$6:$W$10005,0)),IFERROR(INDEX('月1回_1ヶ月前の在庫'!$H$6:$H$10005,MATCH($C191,'月1回_1ヶ月前の在庫'!$W$6:$W$10005,0)),IFERROR(INDEX('月1回_2ヶ月前の在庫'!$H$6:$H$10005,MATCH($C191,'月1回_2ヶ月前の在庫'!$W$6:$W$10005,0)),""))),INDEX('商品マスタ'!$D$6:$D$1005,MATCH($C191,'商品マスタ'!$B$6:$B$1005,0))),IFERROR(INDEX('①在庫を貼る'!$H$6:$H$10005,MATCH($C191,'①在庫を貼る'!$W$6:$W$10005,0)),IFERROR(INDEX('月1回_1ヶ月前の在庫'!$H$6:$H$10005,MATCH($C191,'月1回_1ヶ月前の在庫'!$W$6:$W$10005,0)),IFERROR(INDEX('月1回_2ヶ月前の在庫'!$H$6:$H$10005,MATCH($C191,'月1回_2ヶ月前の在庫'!$W$6:$W$10005,0)),"")))))</f>
        <v/>
      </c>
      <c r="F191">
        <f>IF($C191="","",IFERROR(IF(INDEX('商品マスタ'!$E$6:$E$1005,MATCH($C191,'商品マスタ'!$B$6:$B$1005,0))="",IFERROR(INDEX('①在庫を貼る'!$E$6:$E$10005,MATCH($C191,'①在庫を貼る'!$W$6:$W$10005,0)),IFERROR(INDEX('月1回_1ヶ月前の在庫'!$E$6:$E$10005,MATCH($C191,'月1回_1ヶ月前の在庫'!$W$6:$W$10005,0)),IFERROR(INDEX('月1回_2ヶ月前の在庫'!$E$6:$E$10005,MATCH($C191,'月1回_2ヶ月前の在庫'!$W$6:$W$10005,0)),""))),INDEX('商品マスタ'!$E$6:$E$1005,MATCH($C191,'商品マスタ'!$B$6:$B$1005,0))),IFERROR(INDEX('①在庫を貼る'!$E$6:$E$10005,MATCH($C191,'①在庫を貼る'!$W$6:$W$10005,0)),IFERROR(INDEX('月1回_1ヶ月前の在庫'!$E$6:$E$10005,MATCH($C191,'月1回_1ヶ月前の在庫'!$W$6:$W$10005,0)),IFERROR(INDEX('月1回_2ヶ月前の在庫'!$E$6:$E$10005,MATCH($C191,'月1回_2ヶ月前の在庫'!$W$6:$W$10005,0)),"")))))</f>
        <v/>
      </c>
      <c r="G191">
        <f>IF($C191="","",MAX(1,N(IFERROR(IF(INDEX('商品マスタ'!$F$6:$F$1005,MATCH($C191,'商品マスタ'!$B$6:$B$1005,0))="",IF(COUNTIFS('①在庫を貼る'!$V$6:$V$10005,'設定'!$C$4,'①在庫を貼る'!$W$6:$W$10005,$C191)&gt;0,SUMIFS('①在庫を貼る'!$K$6:$K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K$6:$K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K$6:$K$10005,'月1回_2ヶ月前の在庫'!$V$6:$V$10005,'設定'!$C$4,'月1回_2ヶ月前の在庫'!$W$6:$W$10005,$C191)/COUNTIFS('月1回_2ヶ月前の在庫'!$V$6:$V$10005,'設定'!$C$4,'月1回_2ヶ月前の在庫'!$W$6:$W$10005,$C191),0))),INDEX('商品マスタ'!$F$6:$F$1005,MATCH($C191,'商品マスタ'!$B$6:$B$1005,0))),IF(COUNTIFS('①在庫を貼る'!$V$6:$V$10005,'設定'!$C$4,'①在庫を貼る'!$W$6:$W$10005,$C191)&gt;0,SUMIFS('①在庫を貼る'!$K$6:$K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K$6:$K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K$6:$K$10005,'月1回_2ヶ月前の在庫'!$V$6:$V$10005,'設定'!$C$4,'月1回_2ヶ月前の在庫'!$W$6:$W$10005,$C191)/COUNTIFS('月1回_2ヶ月前の在庫'!$V$6:$V$10005,'設定'!$C$4,'月1回_2ヶ月前の在庫'!$W$6:$W$10005,$C191),0)))))))</f>
        <v/>
      </c>
      <c r="H191">
        <f>IF($C191="","",N(IFERROR(IF(INDEX('商品マスタ'!$G$6:$G$1005,MATCH($C191,'商品マスタ'!$B$6:$B$1005,0))="",IF(COUNTIFS('①在庫を貼る'!$V$6:$V$10005,'設定'!$C$4,'①在庫を貼る'!$W$6:$W$10005,$C191)&gt;0,SUMIFS('①在庫を貼る'!$Q$6:$Q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Q$6:$Q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Q$6:$Q$10005,'月1回_2ヶ月前の在庫'!$V$6:$V$10005,'設定'!$C$4,'月1回_2ヶ月前の在庫'!$W$6:$W$10005,$C191)/COUNTIFS('月1回_2ヶ月前の在庫'!$V$6:$V$10005,'設定'!$C$4,'月1回_2ヶ月前の在庫'!$W$6:$W$10005,$C191),0))),INDEX('商品マスタ'!$G$6:$G$1005,MATCH($C191,'商品マスタ'!$B$6:$B$1005,0))),IF(COUNTIFS('①在庫を貼る'!$V$6:$V$10005,'設定'!$C$4,'①在庫を貼る'!$W$6:$W$10005,$C191)&gt;0,SUMIFS('①在庫を貼る'!$Q$6:$Q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Q$6:$Q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Q$6:$Q$10005,'月1回_2ヶ月前の在庫'!$V$6:$V$10005,'設定'!$C$4,'月1回_2ヶ月前の在庫'!$W$6:$W$10005,$C191)/COUNTIFS('月1回_2ヶ月前の在庫'!$V$6:$V$10005,'設定'!$C$4,'月1回_2ヶ月前の在庫'!$W$6:$W$10005,$C191),0))))))</f>
        <v/>
      </c>
      <c r="I191">
        <f>IF($C191="","",IF(COUNTIFS('①在庫を貼る'!$V$6:$V$10005,'設定'!$C$4,'①在庫を貼る'!$W$6:$W$10005,$C191)=0,"",SUMIFS('①在庫を貼る'!$N$6:$N$10005,'①在庫を貼る'!$V$6:$V$10005,'設定'!$C$4,'①在庫を貼る'!$W$6:$W$10005,$C191)))</f>
        <v/>
      </c>
      <c r="J191">
        <f>IF($C191="","",IF('②発注する'!$AD195="","",'②発注する'!$AD195))</f>
        <v/>
      </c>
      <c r="K191" s="90">
        <f>IF($C191="","",IF('②発注する'!$AE195="","",'②発注する'!$AE195))</f>
        <v/>
      </c>
      <c r="L191">
        <f>IF($C191="","",IF(AND(ISNUMBER($J191),ISNUMBER($K191),$K191&gt;='設定'!$C$6),$J191,N($I191)))</f>
        <v/>
      </c>
      <c r="M191">
        <f>IF($C191="","",IFERROR(IF(N(INDEX('商品マスタ'!$J$6:$J$1005,MATCH($C191,'商品マスタ'!$B$6:$B$1005,0)))&gt;0,INDEX('商品マスタ'!$J$6:$J$1005,MATCH($C191,'商品マスタ'!$B$6:$B$1005,0)),""),""))</f>
        <v/>
      </c>
      <c r="N191">
        <f>IF($C191="","",IFERROR(IF(N(INDEX('商品マスタ'!$H$6:$H$1005,MATCH($C191,'商品マスタ'!$B$6:$B$1005,0)))&gt;0,INDEX('商品マスタ'!$H$6:$H$1005,MATCH($C191,'商品マスタ'!$B$6:$B$1005,0)),""),""))</f>
        <v/>
      </c>
      <c r="O191">
        <f>IF($C191="","",IF($N191&lt;&gt;"",$N191*$G191,IF(N(IF(COUNTIFS('①在庫を貼る'!$V$6:$V$10005,'設定'!$C$4,'①在庫を貼る'!$W$6:$W$10005,$C191)&gt;0,SUMIFS('①在庫を貼る'!$O$6:$O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O$6:$O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O$6:$O$10005,'月1回_2ヶ月前の在庫'!$V$6:$V$10005,'設定'!$C$4,'月1回_2ヶ月前の在庫'!$W$6:$W$10005,$C191)/COUNTIFS('月1回_2ヶ月前の在庫'!$V$6:$V$10005,'設定'!$C$4,'月1回_2ヶ月前の在庫'!$W$6:$W$10005,$C191),0))))&gt;0,N(IF(COUNTIFS('①在庫を貼る'!$V$6:$V$10005,'設定'!$C$4,'①在庫を貼る'!$W$6:$W$10005,$C191)&gt;0,SUMIFS('①在庫を貼る'!$O$6:$O$10005,'①在庫を貼る'!$V$6:$V$10005,'設定'!$C$4,'①在庫を貼る'!$W$6:$W$10005,$C191)/COUNTIFS('①在庫を貼る'!$V$6:$V$10005,'設定'!$C$4,'①在庫を貼る'!$W$6:$W$10005,$C191),IF(COUNTIFS('月1回_1ヶ月前の在庫'!$V$6:$V$10005,'設定'!$C$4,'月1回_1ヶ月前の在庫'!$W$6:$W$10005,$C191)&gt;0,SUMIFS('月1回_1ヶ月前の在庫'!$O$6:$O$10005,'月1回_1ヶ月前の在庫'!$V$6:$V$10005,'設定'!$C$4,'月1回_1ヶ月前の在庫'!$W$6:$W$10005,$C191)/COUNTIFS('月1回_1ヶ月前の在庫'!$V$6:$V$10005,'設定'!$C$4,'月1回_1ヶ月前の在庫'!$W$6:$W$10005,$C191),IF(COUNTIFS('月1回_2ヶ月前の在庫'!$V$6:$V$10005,'設定'!$C$4,'月1回_2ヶ月前の在庫'!$W$6:$W$10005,$C191)&gt;0,SUMIFS('月1回_2ヶ月前の在庫'!$O$6:$O$10005,'月1回_2ヶ月前の在庫'!$V$6:$V$10005,'設定'!$C$4,'月1回_2ヶ月前の在庫'!$W$6:$W$10005,$C191)/COUNTIFS('月1回_2ヶ月前の在庫'!$V$6:$V$10005,'設定'!$C$4,'月1回_2ヶ月前の在庫'!$W$6:$W$10005,$C191),0)))),"")))</f>
        <v/>
      </c>
      <c r="P191" s="90">
        <f>IF($C191="","",IF('②発注する'!$I195="","",'②発注する'!$I195))</f>
        <v/>
      </c>
      <c r="Q191">
        <f>IF($C191="","",IF('②発注する'!$J195="","",'②発注する'!$J195))</f>
        <v/>
      </c>
      <c r="R191">
        <f>IF($C191="",0,IF(AND(ISNUMBER($P191),ISNUMBER($Q191)),MAX(0,$Q191)*$G191,0))</f>
        <v/>
      </c>
      <c r="S191" s="90">
        <f>IF($C191="","",IF('②発注する'!$M195="","",'②発注する'!$M195))</f>
        <v/>
      </c>
      <c r="T191">
        <f>IF($C191="","",IF('②発注する'!$N195="","",'②発注する'!$N195))</f>
        <v/>
      </c>
      <c r="U191">
        <f>IF($C191="",0,IF(AND(ISNUMBER($S191),ISNUMBER($T191)),MAX(0,$T191)*$G191,0))</f>
        <v/>
      </c>
      <c r="V191">
        <f>IF($C191="",0,IF($M191="",0,MAX(0,$M191)*MAX(0,V$4)/100))</f>
        <v/>
      </c>
      <c r="W191">
        <f>IF($C191="",0,IF($M191="",0,MAX(0,$M191)*MAX(0,W$4)/100))</f>
        <v/>
      </c>
      <c r="X191">
        <f>IF($C191="",0,IF($M191="",0,MAX(0,$M191)*MAX(0,X$4)/100))</f>
        <v/>
      </c>
      <c r="Y191">
        <f>IF($C191="",0,IF($M191="",0,MAX(0,$M191)*MAX(0,Y$4)/100))</f>
        <v/>
      </c>
      <c r="Z191">
        <f>IF($C191="",0,IF($M191="",0,MAX(0,$M191)*MAX(0,Z$4)/100))</f>
        <v/>
      </c>
      <c r="AA191">
        <f>IF($C191="",0,IF($M191="",0,MAX(0,$M191)*MAX(0,AA$4)/100))</f>
        <v/>
      </c>
      <c r="AB191">
        <f>IF($C191="",0,IF($M191="",0,MAX(0,$M191)*MAX(0,AB$4)/100))</f>
        <v/>
      </c>
      <c r="AC191">
        <f>IF($C191="",0,IF($M191="",0,MAX(0,$M191)*MAX(0,AC$4)/100))</f>
        <v/>
      </c>
      <c r="AD191">
        <f>IF($C191="",0,IF($M191="",0,MAX(0,$M191)*MAX(0,AD$4)/100))</f>
        <v/>
      </c>
      <c r="AE191">
        <f>IF($C191="",0,IF($M191="",0,MAX(0,$M191)*MAX(0,AE$4)/100))</f>
        <v/>
      </c>
      <c r="AF191">
        <f>IF($C191="",0,IF($M191="",0,MAX(0,$M191)*MAX(0,AF$4)/100))</f>
        <v/>
      </c>
      <c r="AG191">
        <f>IF($C191="",0,IF($M191="",0,MAX(0,$M191)*MAX(0,AG$4)/100))</f>
        <v/>
      </c>
      <c r="AH191">
        <f>IF($C191="",0,IF($M191="",0,MAX(0,$M191)*MAX(0,AH$4)/100))</f>
        <v/>
      </c>
      <c r="AI191">
        <f>IF($C191="",0,IF($M191="",0,MAX(0,$M191)*MAX(0,AI$4)/100))</f>
        <v/>
      </c>
      <c r="AJ191">
        <f>IF($C191="",0,MAX(0,MAX(0,N($L191))-$V191))</f>
        <v/>
      </c>
      <c r="AK191">
        <f>IF($C191="",0,MAX(0,$AJ191-$W191))</f>
        <v/>
      </c>
      <c r="AL191">
        <f>IF($C191="",0,MAX(0,$AK191-$X191))</f>
        <v/>
      </c>
      <c r="AM191">
        <f>IF($C191="",0,MAX(0,$AL191-$Y191))</f>
        <v/>
      </c>
      <c r="AN191">
        <f>IF($C191="",0,MAX(0,$AM191-$Z191))</f>
        <v/>
      </c>
      <c r="AO191">
        <f>IF($C191="",0,MAX(0,$AN191-$AA191))</f>
        <v/>
      </c>
      <c r="AP191">
        <f>IF($C191="",0,MAX(0,$AO191-$AB191))</f>
        <v/>
      </c>
      <c r="AQ191">
        <f>IF($C191="",0,MAX(0,$AP191-$AC191))</f>
        <v/>
      </c>
      <c r="AR191">
        <f>IF($C191="",0,MAX(0,$AQ191-$AD191))</f>
        <v/>
      </c>
      <c r="AS191">
        <f>IF($C191="",0,MAX(0,$AR191-$AE191))</f>
        <v/>
      </c>
      <c r="AT191">
        <f>IF($C191="",0,MAX(0,$AS191-$AF191))</f>
        <v/>
      </c>
      <c r="AU191">
        <f>IF($C191="",0,MAX(0,$AT191-$AG191))</f>
        <v/>
      </c>
      <c r="AV191">
        <f>IF($C191="",0,MAX(0,$AU191-$AH191))</f>
        <v/>
      </c>
      <c r="AW191">
        <f>IF($C191="",0,MAX(0,$AV191-$AI191))</f>
        <v/>
      </c>
      <c r="AX191">
        <f>IF($C191="",0,MAX(0,MAX(0,N($L191))+IF($P191=V$3,$R191,0)+IF($S191=V$3,$U191,0)-$V191))</f>
        <v/>
      </c>
      <c r="AY191">
        <f>IF($C191="",0,MAX(0,$AX191+IF($P191=W$3,$R191,0)+IF($S191=W$3,$U191,0)-$W191))</f>
        <v/>
      </c>
      <c r="AZ191">
        <f>IF($C191="",0,MAX(0,$AY191+IF($P191=X$3,$R191,0)+IF($S191=X$3,$U191,0)-$X191))</f>
        <v/>
      </c>
      <c r="BA191">
        <f>IF($C191="",0,MAX(0,$AZ191+IF($P191=Y$3,$R191,0)+IF($S191=Y$3,$U191,0)-$Y191))</f>
        <v/>
      </c>
      <c r="BB191">
        <f>IF($C191="",0,MAX(0,$BA191+IF($P191=Z$3,$R191,0)+IF($S191=Z$3,$U191,0)-$Z191))</f>
        <v/>
      </c>
      <c r="BC191">
        <f>IF($C191="",0,MAX(0,$BB191+IF($P191=AA$3,$R191,0)+IF($S191=AA$3,$U191,0)-$AA191))</f>
        <v/>
      </c>
      <c r="BD191">
        <f>IF($C191="",0,MAX(0,$BC191+IF($P191=AB$3,$R191,0)+IF($S191=AB$3,$U191,0)-$AB191))</f>
        <v/>
      </c>
      <c r="BE191">
        <f>IF($C191="",0,MAX(0,$BD191+IF($P191=AC$3,$R191,0)+IF($S191=AC$3,$U191,0)-$AC191))</f>
        <v/>
      </c>
      <c r="BF191">
        <f>IF($C191="",0,MAX(0,$BE191+IF($P191=AD$3,$R191,0)+IF($S191=AD$3,$U191,0)-$AD191))</f>
        <v/>
      </c>
      <c r="BG191">
        <f>IF($C191="",0,MAX(0,$BF191+IF($P191=AE$3,$R191,0)+IF($S191=AE$3,$U191,0)-$AE191))</f>
        <v/>
      </c>
      <c r="BH191">
        <f>IF($C191="",0,MAX(0,$BG191+IF($P191=AF$3,$R191,0)+IF($S191=AF$3,$U191,0)-$AF191))</f>
        <v/>
      </c>
      <c r="BI191">
        <f>IF($C191="",0,MAX(0,$BH191+IF($P191=AG$3,$R191,0)+IF($S191=AG$3,$U191,0)-$AG191))</f>
        <v/>
      </c>
      <c r="BJ191">
        <f>IF($C191="",0,MAX(0,$BI191+IF($P191=AH$3,$R191,0)+IF($S191=AH$3,$U191,0)-$AH191))</f>
        <v/>
      </c>
      <c r="BK191">
        <f>IF($C191="",0,MAX(0,$BJ191+IF($P191=AI$3,$R191,0)+IF($S191=AI$3,$U191,0)-$AI191))</f>
        <v/>
      </c>
      <c r="BL191">
        <f>IF($C191="",99,IF(AND($AX191&lt;1,V$3&gt;=MAX(N($P191),N($S191))),0,99))</f>
        <v/>
      </c>
      <c r="BM191">
        <f>IF($C191="",99,IF(AND($AY191&lt;1,W$3&gt;=MAX(N($P191),N($S191))),1,99))</f>
        <v/>
      </c>
      <c r="BN191">
        <f>IF($C191="",99,IF(AND($AZ191&lt;1,X$3&gt;=MAX(N($P191),N($S191))),2,99))</f>
        <v/>
      </c>
      <c r="BO191">
        <f>IF($C191="",99,IF(AND($BA191&lt;1,Y$3&gt;=MAX(N($P191),N($S191))),3,99))</f>
        <v/>
      </c>
      <c r="BP191">
        <f>IF($C191="",99,IF(AND($BB191&lt;1,Z$3&gt;=MAX(N($P191),N($S191))),4,99))</f>
        <v/>
      </c>
      <c r="BQ191">
        <f>IF($C191="",99,IF(AND($BC191&lt;1,AA$3&gt;=MAX(N($P191),N($S191))),5,99))</f>
        <v/>
      </c>
      <c r="BR191">
        <f>IF($C191="",99,IF(AND($BD191&lt;1,AB$3&gt;=MAX(N($P191),N($S191))),6,99))</f>
        <v/>
      </c>
      <c r="BS191">
        <f>IF($C191="",99,IF(AND($BE191&lt;1,AC$3&gt;=MAX(N($P191),N($S191))),7,99))</f>
        <v/>
      </c>
      <c r="BT191">
        <f>IF($C191="",99,IF(AND($BF191&lt;1,AD$3&gt;=MAX(N($P191),N($S191))),8,99))</f>
        <v/>
      </c>
      <c r="BU191">
        <f>IF($C191="",99,IF(AND($BG191&lt;1,AE$3&gt;=MAX(N($P191),N($S191))),9,99))</f>
        <v/>
      </c>
      <c r="BV191">
        <f>IF($C191="",99,IF(AND($BH191&lt;1,AF$3&gt;=MAX(N($P191),N($S191))),10,99))</f>
        <v/>
      </c>
      <c r="BW191">
        <f>IF($C191="",99,IF(AND($BI191&lt;1,AG$3&gt;=MAX(N($P191),N($S191))),11,99))</f>
        <v/>
      </c>
      <c r="BX191">
        <f>IF($C191="",99,IF(AND($BJ191&lt;1,AH$3&gt;=MAX(N($P191),N($S191))),12,99))</f>
        <v/>
      </c>
      <c r="BY191">
        <f>IF($C191="",99,IF(AND($BK191&lt;1,AI$3&gt;=MAX(N($P191),N($S191))),13,99))</f>
        <v/>
      </c>
      <c r="BZ191">
        <f>IF(OR($C191="",$M191=""),"",COUNTIF($AJ191:$AW191,"&gt;=1"))</f>
        <v/>
      </c>
      <c r="CA191" s="90">
        <f>IF($BZ191="","",IF($BZ191&gt;=14,"",'設定'!$C$6+$BZ191))</f>
        <v/>
      </c>
      <c r="CB191">
        <f>IF(OR($C191="",$M191=""),"",MIN($BL191:$BY191))</f>
        <v/>
      </c>
      <c r="CC191" s="90">
        <f>IF($CB191="","",IF($CB191&gt;=99,"",'設定'!$C$6+$CB191))</f>
        <v/>
      </c>
      <c r="CD191">
        <f>IF(OR($C191="",$M191=""),"",AVERAGE($V191:$AI191))</f>
        <v/>
      </c>
      <c r="CE191">
        <f>IF($C191="","",IFERROR(IF(MATCH(IF(ISNUMBER($P191),$P191,'設定'!$C$6+N('設定'!$C$7)),$V$3:$AI$3,0)=1,MAX(0,N($L191)),INDEX($AJ191:$AW191,MATCH(IF(ISNUMBER($P191),$P191,'設定'!$C$6+N('設定'!$C$7)),$V$3:$AI$3,0)-1)),""))</f>
        <v/>
      </c>
      <c r="CF191">
        <f>IF(OR($C191="",$O191="",$CE191=""),"",IF($O191-$CE191&lt;=0,0,ROUNDUP(($O191-$CE191)/$G191,0)))</f>
        <v/>
      </c>
      <c r="CG191">
        <f>IF(OR($C191="",$CF191="",NOT(ISNUMBER($Q191))),0,MAX(0,$Q191-$CF191))</f>
        <v/>
      </c>
      <c r="CH191">
        <f>IF(OR($C191="",$O191="",$U191=0),0,IFERROR(ROUNDUP(MAX(0,IF(MATCH($S191,$V$3:$AI$3,0)=1,MAX(0,N($L191)),INDEX($AX191:$BK191,MATCH($S191,$V$3:$AI$3,0)-1))+$U191-$O191)/$G191,0),0))</f>
        <v/>
      </c>
      <c r="CI191">
        <f>IF($C191="","",IF(AND($P191="",$Q191=""),"",IF($P191="","⚠ 入庫日を ▼ から選んでください",IF(NOT(ISNUMBER($P191)),"⚠ 入庫日は ▼ から選んでください",IF($P191&lt;N('設定'!$C$6),"⚠ 入庫日が過去です（もう在庫に入っています）→ 消してください",IF($P191&gt;N('設定'!$C$6)+13,"⚠ 入庫日が14日より先です",IF(N($Q191)&lt;=0,"⚠ 入庫数を入れてください",IF($CG191&gt;0,"⚠ 目安より "&amp;$CG191&amp;" 多い（定数を超える）→ 減らす",""))))))))</f>
        <v/>
      </c>
      <c r="CJ191">
        <f>IF($C191="","",IF(AND($S191="",$T191=""),"",IF($S191="","⚠ 2便目：入庫日を ▼ から選んでください",IF(NOT(ISNUMBER($S191)),"⚠ 2便目：入庫日は ▼ から選んでください",IF($S191&lt;N('設定'!$C$6),"⚠ 2便目：入庫日が過去です（もう在庫に入っています）→ 消してください",IF($S191&gt;N('設定'!$C$6)+13,"⚠ 2便目：入庫日が14日より先です",IF(N($T191)&lt;=0,"⚠ 2便目：入庫数を入れてください",IF($CH191&gt;0,"⚠ 2便目：定数を "&amp;$CH191&amp;" ケース超える → 減らす",""))))))))</f>
        <v/>
      </c>
      <c r="CK191">
        <f>IF(AND($CI191="",N($Q191)&gt;0,ISNUMBER($P191)),1,0)</f>
        <v/>
      </c>
      <c r="CL191">
        <f>IF(AND($CJ191="",N($T191)&gt;0,ISNUMBER($S191)),1,0)</f>
        <v/>
      </c>
      <c r="CM191">
        <f>IF(OR($CK191=1,$CL191=1),1,0)</f>
        <v/>
      </c>
      <c r="CN191">
        <f>IF($C191="",0,($CK191*$R191+$CL191*$U191)*N($H191))</f>
        <v/>
      </c>
      <c r="CO191">
        <f>IF($C191="","",IF($CC191="","入庫後は 14日以上もつ",IF($CC191-N('設定'!$C$7)&lt;='設定'!$C$6,"入庫後も "&amp;TEXT($CC191,"m/d")&amp;"("&amp;CHOOSE(WEEKDAY($CC191),"日","月","火","水","木","金","土")&amp;")"&amp;" に切れる　もう1便を至急発注","入庫後も "&amp;TEXT($CC191,"m/d")&amp;"("&amp;CHOOSE(WEEKDAY($CC191),"日","月","火","水","木","金","土")&amp;")"&amp;" に切れる　"&amp;TEXT($CC191-N('設定'!$C$7),"m/d")&amp;"("&amp;CHOOSE(WEEKDAY($CC191-N('設定'!$C$7)),"日","月","火","水","木","金","土")&amp;")"&amp;" までに次を発注")))</f>
        <v/>
      </c>
      <c r="CP191">
        <f>IF($C191="","",IF('設定'!$C$6="","？ ①在庫を貼る に今日のCSVが貼られていない",IF($CS191=1,"－ 今日のCSVに無い（終売？）",IF($L191&lt;0,"● 在庫がマイナス　数えて「数えた在庫」に入れる",IF($L191=0,"● 在庫なし　至急発注",IF($M191="","？ 減り数が未設定（商品マスタ）",IF($B$3=0,"？ 動員が未入力（動員を入れる）",IF($CA191="","○ 14日以上もつ",IF($BZ191&lt;N('設定'!$C$7),"● "&amp;TEXT($CA191,"m/d")&amp;"("&amp;CHOOSE(WEEKDAY($CA191),"日","月","火","水","木","金","土")&amp;")"&amp;" に切れる　至急発注",IF($BZ191=N('設定'!$C$7),"● "&amp;TEXT($CA191,"m/d")&amp;"("&amp;CHOOSE(WEEKDAY($CA191),"日","月","火","水","木","金","土")&amp;")"&amp;" に切れる　今日発注","△ "&amp;TEXT($CA191,"m/d")&amp;"("&amp;CHOOSE(WEEKDAY($CA191),"日","月","火","水","木","金","土")&amp;")"&amp;" に切れる　"&amp;TEXT($CA191-N('設定'!$C$7),"m/d")&amp;"("&amp;CHOOSE(WEEKDAY($CA191-N('設定'!$C$7)),"日","月","火","水","木","金","土")&amp;")"&amp;" までに発注"))))))))))</f>
        <v/>
      </c>
      <c r="CQ191">
        <f>IF($C191="","",IF(AND($P191="",$Q191="",$S191="",$T191=""),"",IF(AND($P191="",$Q191=""),"⚠ 先に1便目（左の入庫日・入庫数）に入れてください",IF($CI191&lt;&gt;"",$CI191,IF($CJ191&lt;&gt;"",$CJ191,IF($M191="","？ 減り数が未設定（発注書には載ります）",IF($B$3=0,"？ 動員が未入力（発注書には載ります）",IF(AND($CA191&lt;&gt;"",$P191&gt;$CA191),IF($P191&gt;'設定'!$C$6+N('設定'!$C$7),"● "&amp;TEXT($P191,"m/d")&amp;"("&amp;CHOOSE(WEEKDAY($P191),"日","月","火","水","木","金","土")&amp;")"&amp;" の入庫では間に合わない（"&amp;TEXT($CA191,"m/d")&amp;"("&amp;CHOOSE(WEEKDAY($CA191),"日","月","火","水","木","金","土")&amp;")"&amp;" に切れる）　入庫日を早める","△ 欠品 "&amp;TEXT($CA191,"m/d")&amp;"("&amp;CHOOSE(WEEKDAY($CA191),"日","月","火","水","木","金","土")&amp;")"&amp;"〜"&amp;TEXT($P191-1,"m/d")&amp;"("&amp;CHOOSE(WEEKDAY($P191-1),"日","月","火","水","木","金","土")&amp;")"&amp;"　"&amp;$CO191),IF($CC191="","○ "&amp;TEXT($P191,"m/d")&amp;"("&amp;CHOOSE(WEEKDAY($P191),"日","月","火","水","木","金","土")&amp;")"&amp;" 入庫で 14日以上もつ",IF($CC191-N('設定'!$C$7)&lt;='設定'!$C$6,"● 入庫しても "&amp;TEXT($CC191,"m/d")&amp;"("&amp;CHOOSE(WEEKDAY($CC191),"日","月","火","水","木","金","土")&amp;")"&amp;" に切れる　もう1便を至急発注（2便目に入れる）","△ 入庫しても "&amp;TEXT($CC191,"m/d")&amp;"("&amp;CHOOSE(WEEKDAY($CC191),"日","月","火","水","木","金","土")&amp;")"&amp;" に切れる　"&amp;TEXT($CC191-N('設定'!$C$7),"m/d")&amp;"("&amp;CHOOSE(WEEKDAY($CC191-N('設定'!$C$7)),"日","月","火","水","木","金","土")&amp;")"&amp;" までに次を発注（2便目に入れる）"))))))))))</f>
        <v/>
      </c>
      <c r="CR191">
        <f>IF($C191="","",IF($G191&gt;1,"ｹｰｽ("&amp;$G191&amp;"入)","個"))</f>
        <v/>
      </c>
      <c r="CS191">
        <f>IF($C191="",0,IF(COUNTIFS('①在庫を貼る'!$V$6:$V$10005,'設定'!$C$4,'①在庫を貼る'!$W$6:$W$10005,$C191)=0,1,0))</f>
        <v/>
      </c>
      <c r="CT191">
        <f>IF(AND($CK191=1,OR('③発注書'!$C$4="すべて",'③発注書'!$C$4="",$F191='③発注書'!$C$4)),N($CT190)+1,N($CT190))</f>
        <v/>
      </c>
      <c r="CU191">
        <f>IF(AND($CL191=1,OR('③発注書'!$C$4="すべて",'③発注書'!$C$4="",$F191='③発注書'!$C$4)),N($CU190)+1,N($CU190))</f>
        <v/>
      </c>
      <c r="CV191">
        <f>IF($C191="",0,IF(COUNTIFS('①在庫を貼る'!$V$6:$V$10005,'設定'!$C$4,'①在庫を貼る'!$W$6:$W$10005,$C191)&gt;0,1,0))</f>
        <v/>
      </c>
      <c r="CW191">
        <f>IF($C191="",0,IF(COUNTIFS('月1回_1ヶ月前の在庫'!$V$6:$V$10005,'設定'!$C$4,'月1回_1ヶ月前の在庫'!$W$6:$W$10005,$C191)&gt;0,1,0))</f>
        <v/>
      </c>
      <c r="CX191">
        <f>IF($C191="",0,IF(COUNTIFS('月1回_2ヶ月前の在庫'!$V$6:$V$10005,'設定'!$C$4,'月1回_2ヶ月前の在庫'!$W$6:$W$10005,$C191)&gt;0,1,0))</f>
        <v/>
      </c>
      <c r="CY191">
        <f>IF(OR($C191="",'設定'!$C$12=""),"",IF('設定'!$C$13="",IF(AND($CV191=1,$CW191=0),"新商品（今月から）",IF(AND($CV191=0,$CW191=1),"終売（今月から）","")),IF(AND($CV191=1,$CW191=0,$CX191=0),"新商品（今月から）",IF(AND($CV191=1,$CW191=1,$CX191=0),"新商品（先月から）",IF(AND($CV191=0,$CW191=1,$CX191=1),"終売（今月から）",IF(AND($CV191=0,$CW191=0,$CX191=1),"終売（先月から）",IF(AND($CV191=1,$CW191=0,$CX191=1),"復活（先月は無し）","")))))))</f>
        <v/>
      </c>
    </row>
    <row r="192">
      <c r="B192">
        <f>IF(187&lt;='設定'!$C$11,187,"")</f>
        <v/>
      </c>
      <c r="C192">
        <f>IF($B192="","",IF($B192&lt;='設定'!$C$20,INDEX('商品マスタ'!$B$6:$B$1005,MATCH($B192,'商品マスタ'!$M$6:$M$1005,0)),IF($B192&lt;='設定'!$C$20+'設定'!$C$17,INDEX('①在庫を貼る'!$W$6:$W$10005,MATCH($B192-'設定'!$C$20,'①在庫を貼る'!$U$6:$U$10005,0)),IF($B192&lt;='設定'!$C$20+'設定'!$C$17+'設定'!$C$18,INDEX('月1回_1ヶ月前の在庫'!$W$6:$W$10005,MATCH($B192-'設定'!$C$20-'設定'!$C$17,'月1回_1ヶ月前の在庫'!$U$6:$U$10005,0)),INDEX('月1回_2ヶ月前の在庫'!$W$6:$W$10005,MATCH($B192-'設定'!$C$20-'設定'!$C$17-'設定'!$C$18,'月1回_2ヶ月前の在庫'!$U$6:$U$10005,0))))))</f>
        <v/>
      </c>
      <c r="D192">
        <f>IF($C192="","",IFERROR(IF(INDEX('商品マスタ'!$C$6:$C$1005,MATCH($C192,'商品マスタ'!$B$6:$B$1005,0))="",IFERROR(INDEX('①在庫を貼る'!$J$6:$J$10005,MATCH($C192,'①在庫を貼る'!$W$6:$W$10005,0)),IFERROR(INDEX('月1回_1ヶ月前の在庫'!$J$6:$J$10005,MATCH($C192,'月1回_1ヶ月前の在庫'!$W$6:$W$10005,0)),IFERROR(INDEX('月1回_2ヶ月前の在庫'!$J$6:$J$10005,MATCH($C192,'月1回_2ヶ月前の在庫'!$W$6:$W$10005,0)),""))),INDEX('商品マスタ'!$C$6:$C$1005,MATCH($C192,'商品マスタ'!$B$6:$B$1005,0))),IFERROR(INDEX('①在庫を貼る'!$J$6:$J$10005,MATCH($C192,'①在庫を貼る'!$W$6:$W$10005,0)),IFERROR(INDEX('月1回_1ヶ月前の在庫'!$J$6:$J$10005,MATCH($C192,'月1回_1ヶ月前の在庫'!$W$6:$W$10005,0)),IFERROR(INDEX('月1回_2ヶ月前の在庫'!$J$6:$J$10005,MATCH($C192,'月1回_2ヶ月前の在庫'!$W$6:$W$10005,0)),"")))))</f>
        <v/>
      </c>
      <c r="E192">
        <f>IF($C192="","",IFERROR(IF(INDEX('商品マスタ'!$D$6:$D$1005,MATCH($C192,'商品マスタ'!$B$6:$B$1005,0))="",IFERROR(INDEX('①在庫を貼る'!$H$6:$H$10005,MATCH($C192,'①在庫を貼る'!$W$6:$W$10005,0)),IFERROR(INDEX('月1回_1ヶ月前の在庫'!$H$6:$H$10005,MATCH($C192,'月1回_1ヶ月前の在庫'!$W$6:$W$10005,0)),IFERROR(INDEX('月1回_2ヶ月前の在庫'!$H$6:$H$10005,MATCH($C192,'月1回_2ヶ月前の在庫'!$W$6:$W$10005,0)),""))),INDEX('商品マスタ'!$D$6:$D$1005,MATCH($C192,'商品マスタ'!$B$6:$B$1005,0))),IFERROR(INDEX('①在庫を貼る'!$H$6:$H$10005,MATCH($C192,'①在庫を貼る'!$W$6:$W$10005,0)),IFERROR(INDEX('月1回_1ヶ月前の在庫'!$H$6:$H$10005,MATCH($C192,'月1回_1ヶ月前の在庫'!$W$6:$W$10005,0)),IFERROR(INDEX('月1回_2ヶ月前の在庫'!$H$6:$H$10005,MATCH($C192,'月1回_2ヶ月前の在庫'!$W$6:$W$10005,0)),"")))))</f>
        <v/>
      </c>
      <c r="F192">
        <f>IF($C192="","",IFERROR(IF(INDEX('商品マスタ'!$E$6:$E$1005,MATCH($C192,'商品マスタ'!$B$6:$B$1005,0))="",IFERROR(INDEX('①在庫を貼る'!$E$6:$E$10005,MATCH($C192,'①在庫を貼る'!$W$6:$W$10005,0)),IFERROR(INDEX('月1回_1ヶ月前の在庫'!$E$6:$E$10005,MATCH($C192,'月1回_1ヶ月前の在庫'!$W$6:$W$10005,0)),IFERROR(INDEX('月1回_2ヶ月前の在庫'!$E$6:$E$10005,MATCH($C192,'月1回_2ヶ月前の在庫'!$W$6:$W$10005,0)),""))),INDEX('商品マスタ'!$E$6:$E$1005,MATCH($C192,'商品マスタ'!$B$6:$B$1005,0))),IFERROR(INDEX('①在庫を貼る'!$E$6:$E$10005,MATCH($C192,'①在庫を貼る'!$W$6:$W$10005,0)),IFERROR(INDEX('月1回_1ヶ月前の在庫'!$E$6:$E$10005,MATCH($C192,'月1回_1ヶ月前の在庫'!$W$6:$W$10005,0)),IFERROR(INDEX('月1回_2ヶ月前の在庫'!$E$6:$E$10005,MATCH($C192,'月1回_2ヶ月前の在庫'!$W$6:$W$10005,0)),"")))))</f>
        <v/>
      </c>
      <c r="G192">
        <f>IF($C192="","",MAX(1,N(IFERROR(IF(INDEX('商品マスタ'!$F$6:$F$1005,MATCH($C192,'商品マスタ'!$B$6:$B$1005,0))="",IF(COUNTIFS('①在庫を貼る'!$V$6:$V$10005,'設定'!$C$4,'①在庫を貼る'!$W$6:$W$10005,$C192)&gt;0,SUMIFS('①在庫を貼る'!$K$6:$K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K$6:$K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K$6:$K$10005,'月1回_2ヶ月前の在庫'!$V$6:$V$10005,'設定'!$C$4,'月1回_2ヶ月前の在庫'!$W$6:$W$10005,$C192)/COUNTIFS('月1回_2ヶ月前の在庫'!$V$6:$V$10005,'設定'!$C$4,'月1回_2ヶ月前の在庫'!$W$6:$W$10005,$C192),0))),INDEX('商品マスタ'!$F$6:$F$1005,MATCH($C192,'商品マスタ'!$B$6:$B$1005,0))),IF(COUNTIFS('①在庫を貼る'!$V$6:$V$10005,'設定'!$C$4,'①在庫を貼る'!$W$6:$W$10005,$C192)&gt;0,SUMIFS('①在庫を貼る'!$K$6:$K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K$6:$K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K$6:$K$10005,'月1回_2ヶ月前の在庫'!$V$6:$V$10005,'設定'!$C$4,'月1回_2ヶ月前の在庫'!$W$6:$W$10005,$C192)/COUNTIFS('月1回_2ヶ月前の在庫'!$V$6:$V$10005,'設定'!$C$4,'月1回_2ヶ月前の在庫'!$W$6:$W$10005,$C192),0)))))))</f>
        <v/>
      </c>
      <c r="H192">
        <f>IF($C192="","",N(IFERROR(IF(INDEX('商品マスタ'!$G$6:$G$1005,MATCH($C192,'商品マスタ'!$B$6:$B$1005,0))="",IF(COUNTIFS('①在庫を貼る'!$V$6:$V$10005,'設定'!$C$4,'①在庫を貼る'!$W$6:$W$10005,$C192)&gt;0,SUMIFS('①在庫を貼る'!$Q$6:$Q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Q$6:$Q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Q$6:$Q$10005,'月1回_2ヶ月前の在庫'!$V$6:$V$10005,'設定'!$C$4,'月1回_2ヶ月前の在庫'!$W$6:$W$10005,$C192)/COUNTIFS('月1回_2ヶ月前の在庫'!$V$6:$V$10005,'設定'!$C$4,'月1回_2ヶ月前の在庫'!$W$6:$W$10005,$C192),0))),INDEX('商品マスタ'!$G$6:$G$1005,MATCH($C192,'商品マスタ'!$B$6:$B$1005,0))),IF(COUNTIFS('①在庫を貼る'!$V$6:$V$10005,'設定'!$C$4,'①在庫を貼る'!$W$6:$W$10005,$C192)&gt;0,SUMIFS('①在庫を貼る'!$Q$6:$Q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Q$6:$Q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Q$6:$Q$10005,'月1回_2ヶ月前の在庫'!$V$6:$V$10005,'設定'!$C$4,'月1回_2ヶ月前の在庫'!$W$6:$W$10005,$C192)/COUNTIFS('月1回_2ヶ月前の在庫'!$V$6:$V$10005,'設定'!$C$4,'月1回_2ヶ月前の在庫'!$W$6:$W$10005,$C192),0))))))</f>
        <v/>
      </c>
      <c r="I192">
        <f>IF($C192="","",IF(COUNTIFS('①在庫を貼る'!$V$6:$V$10005,'設定'!$C$4,'①在庫を貼る'!$W$6:$W$10005,$C192)=0,"",SUMIFS('①在庫を貼る'!$N$6:$N$10005,'①在庫を貼る'!$V$6:$V$10005,'設定'!$C$4,'①在庫を貼る'!$W$6:$W$10005,$C192)))</f>
        <v/>
      </c>
      <c r="J192">
        <f>IF($C192="","",IF('②発注する'!$AD196="","",'②発注する'!$AD196))</f>
        <v/>
      </c>
      <c r="K192" s="90">
        <f>IF($C192="","",IF('②発注する'!$AE196="","",'②発注する'!$AE196))</f>
        <v/>
      </c>
      <c r="L192">
        <f>IF($C192="","",IF(AND(ISNUMBER($J192),ISNUMBER($K192),$K192&gt;='設定'!$C$6),$J192,N($I192)))</f>
        <v/>
      </c>
      <c r="M192">
        <f>IF($C192="","",IFERROR(IF(N(INDEX('商品マスタ'!$J$6:$J$1005,MATCH($C192,'商品マスタ'!$B$6:$B$1005,0)))&gt;0,INDEX('商品マスタ'!$J$6:$J$1005,MATCH($C192,'商品マスタ'!$B$6:$B$1005,0)),""),""))</f>
        <v/>
      </c>
      <c r="N192">
        <f>IF($C192="","",IFERROR(IF(N(INDEX('商品マスタ'!$H$6:$H$1005,MATCH($C192,'商品マスタ'!$B$6:$B$1005,0)))&gt;0,INDEX('商品マスタ'!$H$6:$H$1005,MATCH($C192,'商品マスタ'!$B$6:$B$1005,0)),""),""))</f>
        <v/>
      </c>
      <c r="O192">
        <f>IF($C192="","",IF($N192&lt;&gt;"",$N192*$G192,IF(N(IF(COUNTIFS('①在庫を貼る'!$V$6:$V$10005,'設定'!$C$4,'①在庫を貼る'!$W$6:$W$10005,$C192)&gt;0,SUMIFS('①在庫を貼る'!$O$6:$O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O$6:$O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O$6:$O$10005,'月1回_2ヶ月前の在庫'!$V$6:$V$10005,'設定'!$C$4,'月1回_2ヶ月前の在庫'!$W$6:$W$10005,$C192)/COUNTIFS('月1回_2ヶ月前の在庫'!$V$6:$V$10005,'設定'!$C$4,'月1回_2ヶ月前の在庫'!$W$6:$W$10005,$C192),0))))&gt;0,N(IF(COUNTIFS('①在庫を貼る'!$V$6:$V$10005,'設定'!$C$4,'①在庫を貼る'!$W$6:$W$10005,$C192)&gt;0,SUMIFS('①在庫を貼る'!$O$6:$O$10005,'①在庫を貼る'!$V$6:$V$10005,'設定'!$C$4,'①在庫を貼る'!$W$6:$W$10005,$C192)/COUNTIFS('①在庫を貼る'!$V$6:$V$10005,'設定'!$C$4,'①在庫を貼る'!$W$6:$W$10005,$C192),IF(COUNTIFS('月1回_1ヶ月前の在庫'!$V$6:$V$10005,'設定'!$C$4,'月1回_1ヶ月前の在庫'!$W$6:$W$10005,$C192)&gt;0,SUMIFS('月1回_1ヶ月前の在庫'!$O$6:$O$10005,'月1回_1ヶ月前の在庫'!$V$6:$V$10005,'設定'!$C$4,'月1回_1ヶ月前の在庫'!$W$6:$W$10005,$C192)/COUNTIFS('月1回_1ヶ月前の在庫'!$V$6:$V$10005,'設定'!$C$4,'月1回_1ヶ月前の在庫'!$W$6:$W$10005,$C192),IF(COUNTIFS('月1回_2ヶ月前の在庫'!$V$6:$V$10005,'設定'!$C$4,'月1回_2ヶ月前の在庫'!$W$6:$W$10005,$C192)&gt;0,SUMIFS('月1回_2ヶ月前の在庫'!$O$6:$O$10005,'月1回_2ヶ月前の在庫'!$V$6:$V$10005,'設定'!$C$4,'月1回_2ヶ月前の在庫'!$W$6:$W$10005,$C192)/COUNTIFS('月1回_2ヶ月前の在庫'!$V$6:$V$10005,'設定'!$C$4,'月1回_2ヶ月前の在庫'!$W$6:$W$10005,$C192),0)))),"")))</f>
        <v/>
      </c>
      <c r="P192" s="90">
        <f>IF($C192="","",IF('②発注する'!$I196="","",'②発注する'!$I196))</f>
        <v/>
      </c>
      <c r="Q192">
        <f>IF($C192="","",IF('②発注する'!$J196="","",'②発注する'!$J196))</f>
        <v/>
      </c>
      <c r="R192">
        <f>IF($C192="",0,IF(AND(ISNUMBER($P192),ISNUMBER($Q192)),MAX(0,$Q192)*$G192,0))</f>
        <v/>
      </c>
      <c r="S192" s="90">
        <f>IF($C192="","",IF('②発注する'!$M196="","",'②発注する'!$M196))</f>
        <v/>
      </c>
      <c r="T192">
        <f>IF($C192="","",IF('②発注する'!$N196="","",'②発注する'!$N196))</f>
        <v/>
      </c>
      <c r="U192">
        <f>IF($C192="",0,IF(AND(ISNUMBER($S192),ISNUMBER($T192)),MAX(0,$T192)*$G192,0))</f>
        <v/>
      </c>
      <c r="V192">
        <f>IF($C192="",0,IF($M192="",0,MAX(0,$M192)*MAX(0,V$4)/100))</f>
        <v/>
      </c>
      <c r="W192">
        <f>IF($C192="",0,IF($M192="",0,MAX(0,$M192)*MAX(0,W$4)/100))</f>
        <v/>
      </c>
      <c r="X192">
        <f>IF($C192="",0,IF($M192="",0,MAX(0,$M192)*MAX(0,X$4)/100))</f>
        <v/>
      </c>
      <c r="Y192">
        <f>IF($C192="",0,IF($M192="",0,MAX(0,$M192)*MAX(0,Y$4)/100))</f>
        <v/>
      </c>
      <c r="Z192">
        <f>IF($C192="",0,IF($M192="",0,MAX(0,$M192)*MAX(0,Z$4)/100))</f>
        <v/>
      </c>
      <c r="AA192">
        <f>IF($C192="",0,IF($M192="",0,MAX(0,$M192)*MAX(0,AA$4)/100))</f>
        <v/>
      </c>
      <c r="AB192">
        <f>IF($C192="",0,IF($M192="",0,MAX(0,$M192)*MAX(0,AB$4)/100))</f>
        <v/>
      </c>
      <c r="AC192">
        <f>IF($C192="",0,IF($M192="",0,MAX(0,$M192)*MAX(0,AC$4)/100))</f>
        <v/>
      </c>
      <c r="AD192">
        <f>IF($C192="",0,IF($M192="",0,MAX(0,$M192)*MAX(0,AD$4)/100))</f>
        <v/>
      </c>
      <c r="AE192">
        <f>IF($C192="",0,IF($M192="",0,MAX(0,$M192)*MAX(0,AE$4)/100))</f>
        <v/>
      </c>
      <c r="AF192">
        <f>IF($C192="",0,IF($M192="",0,MAX(0,$M192)*MAX(0,AF$4)/100))</f>
        <v/>
      </c>
      <c r="AG192">
        <f>IF($C192="",0,IF($M192="",0,MAX(0,$M192)*MAX(0,AG$4)/100))</f>
        <v/>
      </c>
      <c r="AH192">
        <f>IF($C192="",0,IF($M192="",0,MAX(0,$M192)*MAX(0,AH$4)/100))</f>
        <v/>
      </c>
      <c r="AI192">
        <f>IF($C192="",0,IF($M192="",0,MAX(0,$M192)*MAX(0,AI$4)/100))</f>
        <v/>
      </c>
      <c r="AJ192">
        <f>IF($C192="",0,MAX(0,MAX(0,N($L192))-$V192))</f>
        <v/>
      </c>
      <c r="AK192">
        <f>IF($C192="",0,MAX(0,$AJ192-$W192))</f>
        <v/>
      </c>
      <c r="AL192">
        <f>IF($C192="",0,MAX(0,$AK192-$X192))</f>
        <v/>
      </c>
      <c r="AM192">
        <f>IF($C192="",0,MAX(0,$AL192-$Y192))</f>
        <v/>
      </c>
      <c r="AN192">
        <f>IF($C192="",0,MAX(0,$AM192-$Z192))</f>
        <v/>
      </c>
      <c r="AO192">
        <f>IF($C192="",0,MAX(0,$AN192-$AA192))</f>
        <v/>
      </c>
      <c r="AP192">
        <f>IF($C192="",0,MAX(0,$AO192-$AB192))</f>
        <v/>
      </c>
      <c r="AQ192">
        <f>IF($C192="",0,MAX(0,$AP192-$AC192))</f>
        <v/>
      </c>
      <c r="AR192">
        <f>IF($C192="",0,MAX(0,$AQ192-$AD192))</f>
        <v/>
      </c>
      <c r="AS192">
        <f>IF($C192="",0,MAX(0,$AR192-$AE192))</f>
        <v/>
      </c>
      <c r="AT192">
        <f>IF($C192="",0,MAX(0,$AS192-$AF192))</f>
        <v/>
      </c>
      <c r="AU192">
        <f>IF($C192="",0,MAX(0,$AT192-$AG192))</f>
        <v/>
      </c>
      <c r="AV192">
        <f>IF($C192="",0,MAX(0,$AU192-$AH192))</f>
        <v/>
      </c>
      <c r="AW192">
        <f>IF($C192="",0,MAX(0,$AV192-$AI192))</f>
        <v/>
      </c>
      <c r="AX192">
        <f>IF($C192="",0,MAX(0,MAX(0,N($L192))+IF($P192=V$3,$R192,0)+IF($S192=V$3,$U192,0)-$V192))</f>
        <v/>
      </c>
      <c r="AY192">
        <f>IF($C192="",0,MAX(0,$AX192+IF($P192=W$3,$R192,0)+IF($S192=W$3,$U192,0)-$W192))</f>
        <v/>
      </c>
      <c r="AZ192">
        <f>IF($C192="",0,MAX(0,$AY192+IF($P192=X$3,$R192,0)+IF($S192=X$3,$U192,0)-$X192))</f>
        <v/>
      </c>
      <c r="BA192">
        <f>IF($C192="",0,MAX(0,$AZ192+IF($P192=Y$3,$R192,0)+IF($S192=Y$3,$U192,0)-$Y192))</f>
        <v/>
      </c>
      <c r="BB192">
        <f>IF($C192="",0,MAX(0,$BA192+IF($P192=Z$3,$R192,0)+IF($S192=Z$3,$U192,0)-$Z192))</f>
        <v/>
      </c>
      <c r="BC192">
        <f>IF($C192="",0,MAX(0,$BB192+IF($P192=AA$3,$R192,0)+IF($S192=AA$3,$U192,0)-$AA192))</f>
        <v/>
      </c>
      <c r="BD192">
        <f>IF($C192="",0,MAX(0,$BC192+IF($P192=AB$3,$R192,0)+IF($S192=AB$3,$U192,0)-$AB192))</f>
        <v/>
      </c>
      <c r="BE192">
        <f>IF($C192="",0,MAX(0,$BD192+IF($P192=AC$3,$R192,0)+IF($S192=AC$3,$U192,0)-$AC192))</f>
        <v/>
      </c>
      <c r="BF192">
        <f>IF($C192="",0,MAX(0,$BE192+IF($P192=AD$3,$R192,0)+IF($S192=AD$3,$U192,0)-$AD192))</f>
        <v/>
      </c>
      <c r="BG192">
        <f>IF($C192="",0,MAX(0,$BF192+IF($P192=AE$3,$R192,0)+IF($S192=AE$3,$U192,0)-$AE192))</f>
        <v/>
      </c>
      <c r="BH192">
        <f>IF($C192="",0,MAX(0,$BG192+IF($P192=AF$3,$R192,0)+IF($S192=AF$3,$U192,0)-$AF192))</f>
        <v/>
      </c>
      <c r="BI192">
        <f>IF($C192="",0,MAX(0,$BH192+IF($P192=AG$3,$R192,0)+IF($S192=AG$3,$U192,0)-$AG192))</f>
        <v/>
      </c>
      <c r="BJ192">
        <f>IF($C192="",0,MAX(0,$BI192+IF($P192=AH$3,$R192,0)+IF($S192=AH$3,$U192,0)-$AH192))</f>
        <v/>
      </c>
      <c r="BK192">
        <f>IF($C192="",0,MAX(0,$BJ192+IF($P192=AI$3,$R192,0)+IF($S192=AI$3,$U192,0)-$AI192))</f>
        <v/>
      </c>
      <c r="BL192">
        <f>IF($C192="",99,IF(AND($AX192&lt;1,V$3&gt;=MAX(N($P192),N($S192))),0,99))</f>
        <v/>
      </c>
      <c r="BM192">
        <f>IF($C192="",99,IF(AND($AY192&lt;1,W$3&gt;=MAX(N($P192),N($S192))),1,99))</f>
        <v/>
      </c>
      <c r="BN192">
        <f>IF($C192="",99,IF(AND($AZ192&lt;1,X$3&gt;=MAX(N($P192),N($S192))),2,99))</f>
        <v/>
      </c>
      <c r="BO192">
        <f>IF($C192="",99,IF(AND($BA192&lt;1,Y$3&gt;=MAX(N($P192),N($S192))),3,99))</f>
        <v/>
      </c>
      <c r="BP192">
        <f>IF($C192="",99,IF(AND($BB192&lt;1,Z$3&gt;=MAX(N($P192),N($S192))),4,99))</f>
        <v/>
      </c>
      <c r="BQ192">
        <f>IF($C192="",99,IF(AND($BC192&lt;1,AA$3&gt;=MAX(N($P192),N($S192))),5,99))</f>
        <v/>
      </c>
      <c r="BR192">
        <f>IF($C192="",99,IF(AND($BD192&lt;1,AB$3&gt;=MAX(N($P192),N($S192))),6,99))</f>
        <v/>
      </c>
      <c r="BS192">
        <f>IF($C192="",99,IF(AND($BE192&lt;1,AC$3&gt;=MAX(N($P192),N($S192))),7,99))</f>
        <v/>
      </c>
      <c r="BT192">
        <f>IF($C192="",99,IF(AND($BF192&lt;1,AD$3&gt;=MAX(N($P192),N($S192))),8,99))</f>
        <v/>
      </c>
      <c r="BU192">
        <f>IF($C192="",99,IF(AND($BG192&lt;1,AE$3&gt;=MAX(N($P192),N($S192))),9,99))</f>
        <v/>
      </c>
      <c r="BV192">
        <f>IF($C192="",99,IF(AND($BH192&lt;1,AF$3&gt;=MAX(N($P192),N($S192))),10,99))</f>
        <v/>
      </c>
      <c r="BW192">
        <f>IF($C192="",99,IF(AND($BI192&lt;1,AG$3&gt;=MAX(N($P192),N($S192))),11,99))</f>
        <v/>
      </c>
      <c r="BX192">
        <f>IF($C192="",99,IF(AND($BJ192&lt;1,AH$3&gt;=MAX(N($P192),N($S192))),12,99))</f>
        <v/>
      </c>
      <c r="BY192">
        <f>IF($C192="",99,IF(AND($BK192&lt;1,AI$3&gt;=MAX(N($P192),N($S192))),13,99))</f>
        <v/>
      </c>
      <c r="BZ192">
        <f>IF(OR($C192="",$M192=""),"",COUNTIF($AJ192:$AW192,"&gt;=1"))</f>
        <v/>
      </c>
      <c r="CA192" s="90">
        <f>IF($BZ192="","",IF($BZ192&gt;=14,"",'設定'!$C$6+$BZ192))</f>
        <v/>
      </c>
      <c r="CB192">
        <f>IF(OR($C192="",$M192=""),"",MIN($BL192:$BY192))</f>
        <v/>
      </c>
      <c r="CC192" s="90">
        <f>IF($CB192="","",IF($CB192&gt;=99,"",'設定'!$C$6+$CB192))</f>
        <v/>
      </c>
      <c r="CD192">
        <f>IF(OR($C192="",$M192=""),"",AVERAGE($V192:$AI192))</f>
        <v/>
      </c>
      <c r="CE192">
        <f>IF($C192="","",IFERROR(IF(MATCH(IF(ISNUMBER($P192),$P192,'設定'!$C$6+N('設定'!$C$7)),$V$3:$AI$3,0)=1,MAX(0,N($L192)),INDEX($AJ192:$AW192,MATCH(IF(ISNUMBER($P192),$P192,'設定'!$C$6+N('設定'!$C$7)),$V$3:$AI$3,0)-1)),""))</f>
        <v/>
      </c>
      <c r="CF192">
        <f>IF(OR($C192="",$O192="",$CE192=""),"",IF($O192-$CE192&lt;=0,0,ROUNDUP(($O192-$CE192)/$G192,0)))</f>
        <v/>
      </c>
      <c r="CG192">
        <f>IF(OR($C192="",$CF192="",NOT(ISNUMBER($Q192))),0,MAX(0,$Q192-$CF192))</f>
        <v/>
      </c>
      <c r="CH192">
        <f>IF(OR($C192="",$O192="",$U192=0),0,IFERROR(ROUNDUP(MAX(0,IF(MATCH($S192,$V$3:$AI$3,0)=1,MAX(0,N($L192)),INDEX($AX192:$BK192,MATCH($S192,$V$3:$AI$3,0)-1))+$U192-$O192)/$G192,0),0))</f>
        <v/>
      </c>
      <c r="CI192">
        <f>IF($C192="","",IF(AND($P192="",$Q192=""),"",IF($P192="","⚠ 入庫日を ▼ から選んでください",IF(NOT(ISNUMBER($P192)),"⚠ 入庫日は ▼ から選んでください",IF($P192&lt;N('設定'!$C$6),"⚠ 入庫日が過去です（もう在庫に入っています）→ 消してください",IF($P192&gt;N('設定'!$C$6)+13,"⚠ 入庫日が14日より先です",IF(N($Q192)&lt;=0,"⚠ 入庫数を入れてください",IF($CG192&gt;0,"⚠ 目安より "&amp;$CG192&amp;" 多い（定数を超える）→ 減らす",""))))))))</f>
        <v/>
      </c>
      <c r="CJ192">
        <f>IF($C192="","",IF(AND($S192="",$T192=""),"",IF($S192="","⚠ 2便目：入庫日を ▼ から選んでください",IF(NOT(ISNUMBER($S192)),"⚠ 2便目：入庫日は ▼ から選んでください",IF($S192&lt;N('設定'!$C$6),"⚠ 2便目：入庫日が過去です（もう在庫に入っています）→ 消してください",IF($S192&gt;N('設定'!$C$6)+13,"⚠ 2便目：入庫日が14日より先です",IF(N($T192)&lt;=0,"⚠ 2便目：入庫数を入れてください",IF($CH192&gt;0,"⚠ 2便目：定数を "&amp;$CH192&amp;" ケース超える → 減らす",""))))))))</f>
        <v/>
      </c>
      <c r="CK192">
        <f>IF(AND($CI192="",N($Q192)&gt;0,ISNUMBER($P192)),1,0)</f>
        <v/>
      </c>
      <c r="CL192">
        <f>IF(AND($CJ192="",N($T192)&gt;0,ISNUMBER($S192)),1,0)</f>
        <v/>
      </c>
      <c r="CM192">
        <f>IF(OR($CK192=1,$CL192=1),1,0)</f>
        <v/>
      </c>
      <c r="CN192">
        <f>IF($C192="",0,($CK192*$R192+$CL192*$U192)*N($H192))</f>
        <v/>
      </c>
      <c r="CO192">
        <f>IF($C192="","",IF($CC192="","入庫後は 14日以上もつ",IF($CC192-N('設定'!$C$7)&lt;='設定'!$C$6,"入庫後も "&amp;TEXT($CC192,"m/d")&amp;"("&amp;CHOOSE(WEEKDAY($CC192),"日","月","火","水","木","金","土")&amp;")"&amp;" に切れる　もう1便を至急発注","入庫後も "&amp;TEXT($CC192,"m/d")&amp;"("&amp;CHOOSE(WEEKDAY($CC192),"日","月","火","水","木","金","土")&amp;")"&amp;" に切れる　"&amp;TEXT($CC192-N('設定'!$C$7),"m/d")&amp;"("&amp;CHOOSE(WEEKDAY($CC192-N('設定'!$C$7)),"日","月","火","水","木","金","土")&amp;")"&amp;" までに次を発注")))</f>
        <v/>
      </c>
      <c r="CP192">
        <f>IF($C192="","",IF('設定'!$C$6="","？ ①在庫を貼る に今日のCSVが貼られていない",IF($CS192=1,"－ 今日のCSVに無い（終売？）",IF($L192&lt;0,"● 在庫がマイナス　数えて「数えた在庫」に入れる",IF($L192=0,"● 在庫なし　至急発注",IF($M192="","？ 減り数が未設定（商品マスタ）",IF($B$3=0,"？ 動員が未入力（動員を入れる）",IF($CA192="","○ 14日以上もつ",IF($BZ192&lt;N('設定'!$C$7),"● "&amp;TEXT($CA192,"m/d")&amp;"("&amp;CHOOSE(WEEKDAY($CA192),"日","月","火","水","木","金","土")&amp;")"&amp;" に切れる　至急発注",IF($BZ192=N('設定'!$C$7),"● "&amp;TEXT($CA192,"m/d")&amp;"("&amp;CHOOSE(WEEKDAY($CA192),"日","月","火","水","木","金","土")&amp;")"&amp;" に切れる　今日発注","△ "&amp;TEXT($CA192,"m/d")&amp;"("&amp;CHOOSE(WEEKDAY($CA192),"日","月","火","水","木","金","土")&amp;")"&amp;" に切れる　"&amp;TEXT($CA192-N('設定'!$C$7),"m/d")&amp;"("&amp;CHOOSE(WEEKDAY($CA192-N('設定'!$C$7)),"日","月","火","水","木","金","土")&amp;")"&amp;" までに発注"))))))))))</f>
        <v/>
      </c>
      <c r="CQ192">
        <f>IF($C192="","",IF(AND($P192="",$Q192="",$S192="",$T192=""),"",IF(AND($P192="",$Q192=""),"⚠ 先に1便目（左の入庫日・入庫数）に入れてください",IF($CI192&lt;&gt;"",$CI192,IF($CJ192&lt;&gt;"",$CJ192,IF($M192="","？ 減り数が未設定（発注書には載ります）",IF($B$3=0,"？ 動員が未入力（発注書には載ります）",IF(AND($CA192&lt;&gt;"",$P192&gt;$CA192),IF($P192&gt;'設定'!$C$6+N('設定'!$C$7),"● "&amp;TEXT($P192,"m/d")&amp;"("&amp;CHOOSE(WEEKDAY($P192),"日","月","火","水","木","金","土")&amp;")"&amp;" の入庫では間に合わない（"&amp;TEXT($CA192,"m/d")&amp;"("&amp;CHOOSE(WEEKDAY($CA192),"日","月","火","水","木","金","土")&amp;")"&amp;" に切れる）　入庫日を早める","△ 欠品 "&amp;TEXT($CA192,"m/d")&amp;"("&amp;CHOOSE(WEEKDAY($CA192),"日","月","火","水","木","金","土")&amp;")"&amp;"〜"&amp;TEXT($P192-1,"m/d")&amp;"("&amp;CHOOSE(WEEKDAY($P192-1),"日","月","火","水","木","金","土")&amp;")"&amp;"　"&amp;$CO192),IF($CC192="","○ "&amp;TEXT($P192,"m/d")&amp;"("&amp;CHOOSE(WEEKDAY($P192),"日","月","火","水","木","金","土")&amp;")"&amp;" 入庫で 14日以上もつ",IF($CC192-N('設定'!$C$7)&lt;='設定'!$C$6,"● 入庫しても "&amp;TEXT($CC192,"m/d")&amp;"("&amp;CHOOSE(WEEKDAY($CC192),"日","月","火","水","木","金","土")&amp;")"&amp;" に切れる　もう1便を至急発注（2便目に入れる）","△ 入庫しても "&amp;TEXT($CC192,"m/d")&amp;"("&amp;CHOOSE(WEEKDAY($CC192),"日","月","火","水","木","金","土")&amp;")"&amp;" に切れる　"&amp;TEXT($CC192-N('設定'!$C$7),"m/d")&amp;"("&amp;CHOOSE(WEEKDAY($CC192-N('設定'!$C$7)),"日","月","火","水","木","金","土")&amp;")"&amp;" までに次を発注（2便目に入れる）"))))))))))</f>
        <v/>
      </c>
      <c r="CR192">
        <f>IF($C192="","",IF($G192&gt;1,"ｹｰｽ("&amp;$G192&amp;"入)","個"))</f>
        <v/>
      </c>
      <c r="CS192">
        <f>IF($C192="",0,IF(COUNTIFS('①在庫を貼る'!$V$6:$V$10005,'設定'!$C$4,'①在庫を貼る'!$W$6:$W$10005,$C192)=0,1,0))</f>
        <v/>
      </c>
      <c r="CT192">
        <f>IF(AND($CK192=1,OR('③発注書'!$C$4="すべて",'③発注書'!$C$4="",$F192='③発注書'!$C$4)),N($CT191)+1,N($CT191))</f>
        <v/>
      </c>
      <c r="CU192">
        <f>IF(AND($CL192=1,OR('③発注書'!$C$4="すべて",'③発注書'!$C$4="",$F192='③発注書'!$C$4)),N($CU191)+1,N($CU191))</f>
        <v/>
      </c>
      <c r="CV192">
        <f>IF($C192="",0,IF(COUNTIFS('①在庫を貼る'!$V$6:$V$10005,'設定'!$C$4,'①在庫を貼る'!$W$6:$W$10005,$C192)&gt;0,1,0))</f>
        <v/>
      </c>
      <c r="CW192">
        <f>IF($C192="",0,IF(COUNTIFS('月1回_1ヶ月前の在庫'!$V$6:$V$10005,'設定'!$C$4,'月1回_1ヶ月前の在庫'!$W$6:$W$10005,$C192)&gt;0,1,0))</f>
        <v/>
      </c>
      <c r="CX192">
        <f>IF($C192="",0,IF(COUNTIFS('月1回_2ヶ月前の在庫'!$V$6:$V$10005,'設定'!$C$4,'月1回_2ヶ月前の在庫'!$W$6:$W$10005,$C192)&gt;0,1,0))</f>
        <v/>
      </c>
      <c r="CY192">
        <f>IF(OR($C192="",'設定'!$C$12=""),"",IF('設定'!$C$13="",IF(AND($CV192=1,$CW192=0),"新商品（今月から）",IF(AND($CV192=0,$CW192=1),"終売（今月から）","")),IF(AND($CV192=1,$CW192=0,$CX192=0),"新商品（今月から）",IF(AND($CV192=1,$CW192=1,$CX192=0),"新商品（先月から）",IF(AND($CV192=0,$CW192=1,$CX192=1),"終売（今月から）",IF(AND($CV192=0,$CW192=0,$CX192=1),"終売（先月から）",IF(AND($CV192=1,$CW192=0,$CX192=1),"復活（先月は無し）","")))))))</f>
        <v/>
      </c>
    </row>
    <row r="193">
      <c r="B193">
        <f>IF(188&lt;='設定'!$C$11,188,"")</f>
        <v/>
      </c>
      <c r="C193">
        <f>IF($B193="","",IF($B193&lt;='設定'!$C$20,INDEX('商品マスタ'!$B$6:$B$1005,MATCH($B193,'商品マスタ'!$M$6:$M$1005,0)),IF($B193&lt;='設定'!$C$20+'設定'!$C$17,INDEX('①在庫を貼る'!$W$6:$W$10005,MATCH($B193-'設定'!$C$20,'①在庫を貼る'!$U$6:$U$10005,0)),IF($B193&lt;='設定'!$C$20+'設定'!$C$17+'設定'!$C$18,INDEX('月1回_1ヶ月前の在庫'!$W$6:$W$10005,MATCH($B193-'設定'!$C$20-'設定'!$C$17,'月1回_1ヶ月前の在庫'!$U$6:$U$10005,0)),INDEX('月1回_2ヶ月前の在庫'!$W$6:$W$10005,MATCH($B193-'設定'!$C$20-'設定'!$C$17-'設定'!$C$18,'月1回_2ヶ月前の在庫'!$U$6:$U$10005,0))))))</f>
        <v/>
      </c>
      <c r="D193">
        <f>IF($C193="","",IFERROR(IF(INDEX('商品マスタ'!$C$6:$C$1005,MATCH($C193,'商品マスタ'!$B$6:$B$1005,0))="",IFERROR(INDEX('①在庫を貼る'!$J$6:$J$10005,MATCH($C193,'①在庫を貼る'!$W$6:$W$10005,0)),IFERROR(INDEX('月1回_1ヶ月前の在庫'!$J$6:$J$10005,MATCH($C193,'月1回_1ヶ月前の在庫'!$W$6:$W$10005,0)),IFERROR(INDEX('月1回_2ヶ月前の在庫'!$J$6:$J$10005,MATCH($C193,'月1回_2ヶ月前の在庫'!$W$6:$W$10005,0)),""))),INDEX('商品マスタ'!$C$6:$C$1005,MATCH($C193,'商品マスタ'!$B$6:$B$1005,0))),IFERROR(INDEX('①在庫を貼る'!$J$6:$J$10005,MATCH($C193,'①在庫を貼る'!$W$6:$W$10005,0)),IFERROR(INDEX('月1回_1ヶ月前の在庫'!$J$6:$J$10005,MATCH($C193,'月1回_1ヶ月前の在庫'!$W$6:$W$10005,0)),IFERROR(INDEX('月1回_2ヶ月前の在庫'!$J$6:$J$10005,MATCH($C193,'月1回_2ヶ月前の在庫'!$W$6:$W$10005,0)),"")))))</f>
        <v/>
      </c>
      <c r="E193">
        <f>IF($C193="","",IFERROR(IF(INDEX('商品マスタ'!$D$6:$D$1005,MATCH($C193,'商品マスタ'!$B$6:$B$1005,0))="",IFERROR(INDEX('①在庫を貼る'!$H$6:$H$10005,MATCH($C193,'①在庫を貼る'!$W$6:$W$10005,0)),IFERROR(INDEX('月1回_1ヶ月前の在庫'!$H$6:$H$10005,MATCH($C193,'月1回_1ヶ月前の在庫'!$W$6:$W$10005,0)),IFERROR(INDEX('月1回_2ヶ月前の在庫'!$H$6:$H$10005,MATCH($C193,'月1回_2ヶ月前の在庫'!$W$6:$W$10005,0)),""))),INDEX('商品マスタ'!$D$6:$D$1005,MATCH($C193,'商品マスタ'!$B$6:$B$1005,0))),IFERROR(INDEX('①在庫を貼る'!$H$6:$H$10005,MATCH($C193,'①在庫を貼る'!$W$6:$W$10005,0)),IFERROR(INDEX('月1回_1ヶ月前の在庫'!$H$6:$H$10005,MATCH($C193,'月1回_1ヶ月前の在庫'!$W$6:$W$10005,0)),IFERROR(INDEX('月1回_2ヶ月前の在庫'!$H$6:$H$10005,MATCH($C193,'月1回_2ヶ月前の在庫'!$W$6:$W$10005,0)),"")))))</f>
        <v/>
      </c>
      <c r="F193">
        <f>IF($C193="","",IFERROR(IF(INDEX('商品マスタ'!$E$6:$E$1005,MATCH($C193,'商品マスタ'!$B$6:$B$1005,0))="",IFERROR(INDEX('①在庫を貼る'!$E$6:$E$10005,MATCH($C193,'①在庫を貼る'!$W$6:$W$10005,0)),IFERROR(INDEX('月1回_1ヶ月前の在庫'!$E$6:$E$10005,MATCH($C193,'月1回_1ヶ月前の在庫'!$W$6:$W$10005,0)),IFERROR(INDEX('月1回_2ヶ月前の在庫'!$E$6:$E$10005,MATCH($C193,'月1回_2ヶ月前の在庫'!$W$6:$W$10005,0)),""))),INDEX('商品マスタ'!$E$6:$E$1005,MATCH($C193,'商品マスタ'!$B$6:$B$1005,0))),IFERROR(INDEX('①在庫を貼る'!$E$6:$E$10005,MATCH($C193,'①在庫を貼る'!$W$6:$W$10005,0)),IFERROR(INDEX('月1回_1ヶ月前の在庫'!$E$6:$E$10005,MATCH($C193,'月1回_1ヶ月前の在庫'!$W$6:$W$10005,0)),IFERROR(INDEX('月1回_2ヶ月前の在庫'!$E$6:$E$10005,MATCH($C193,'月1回_2ヶ月前の在庫'!$W$6:$W$10005,0)),"")))))</f>
        <v/>
      </c>
      <c r="G193">
        <f>IF($C193="","",MAX(1,N(IFERROR(IF(INDEX('商品マスタ'!$F$6:$F$1005,MATCH($C193,'商品マスタ'!$B$6:$B$1005,0))="",IF(COUNTIFS('①在庫を貼る'!$V$6:$V$10005,'設定'!$C$4,'①在庫を貼る'!$W$6:$W$10005,$C193)&gt;0,SUMIFS('①在庫を貼る'!$K$6:$K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K$6:$K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K$6:$K$10005,'月1回_2ヶ月前の在庫'!$V$6:$V$10005,'設定'!$C$4,'月1回_2ヶ月前の在庫'!$W$6:$W$10005,$C193)/COUNTIFS('月1回_2ヶ月前の在庫'!$V$6:$V$10005,'設定'!$C$4,'月1回_2ヶ月前の在庫'!$W$6:$W$10005,$C193),0))),INDEX('商品マスタ'!$F$6:$F$1005,MATCH($C193,'商品マスタ'!$B$6:$B$1005,0))),IF(COUNTIFS('①在庫を貼る'!$V$6:$V$10005,'設定'!$C$4,'①在庫を貼る'!$W$6:$W$10005,$C193)&gt;0,SUMIFS('①在庫を貼る'!$K$6:$K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K$6:$K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K$6:$K$10005,'月1回_2ヶ月前の在庫'!$V$6:$V$10005,'設定'!$C$4,'月1回_2ヶ月前の在庫'!$W$6:$W$10005,$C193)/COUNTIFS('月1回_2ヶ月前の在庫'!$V$6:$V$10005,'設定'!$C$4,'月1回_2ヶ月前の在庫'!$W$6:$W$10005,$C193),0)))))))</f>
        <v/>
      </c>
      <c r="H193">
        <f>IF($C193="","",N(IFERROR(IF(INDEX('商品マスタ'!$G$6:$G$1005,MATCH($C193,'商品マスタ'!$B$6:$B$1005,0))="",IF(COUNTIFS('①在庫を貼る'!$V$6:$V$10005,'設定'!$C$4,'①在庫を貼る'!$W$6:$W$10005,$C193)&gt;0,SUMIFS('①在庫を貼る'!$Q$6:$Q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Q$6:$Q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Q$6:$Q$10005,'月1回_2ヶ月前の在庫'!$V$6:$V$10005,'設定'!$C$4,'月1回_2ヶ月前の在庫'!$W$6:$W$10005,$C193)/COUNTIFS('月1回_2ヶ月前の在庫'!$V$6:$V$10005,'設定'!$C$4,'月1回_2ヶ月前の在庫'!$W$6:$W$10005,$C193),0))),INDEX('商品マスタ'!$G$6:$G$1005,MATCH($C193,'商品マスタ'!$B$6:$B$1005,0))),IF(COUNTIFS('①在庫を貼る'!$V$6:$V$10005,'設定'!$C$4,'①在庫を貼る'!$W$6:$W$10005,$C193)&gt;0,SUMIFS('①在庫を貼る'!$Q$6:$Q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Q$6:$Q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Q$6:$Q$10005,'月1回_2ヶ月前の在庫'!$V$6:$V$10005,'設定'!$C$4,'月1回_2ヶ月前の在庫'!$W$6:$W$10005,$C193)/COUNTIFS('月1回_2ヶ月前の在庫'!$V$6:$V$10005,'設定'!$C$4,'月1回_2ヶ月前の在庫'!$W$6:$W$10005,$C193),0))))))</f>
        <v/>
      </c>
      <c r="I193">
        <f>IF($C193="","",IF(COUNTIFS('①在庫を貼る'!$V$6:$V$10005,'設定'!$C$4,'①在庫を貼る'!$W$6:$W$10005,$C193)=0,"",SUMIFS('①在庫を貼る'!$N$6:$N$10005,'①在庫を貼る'!$V$6:$V$10005,'設定'!$C$4,'①在庫を貼る'!$W$6:$W$10005,$C193)))</f>
        <v/>
      </c>
      <c r="J193">
        <f>IF($C193="","",IF('②発注する'!$AD197="","",'②発注する'!$AD197))</f>
        <v/>
      </c>
      <c r="K193" s="90">
        <f>IF($C193="","",IF('②発注する'!$AE197="","",'②発注する'!$AE197))</f>
        <v/>
      </c>
      <c r="L193">
        <f>IF($C193="","",IF(AND(ISNUMBER($J193),ISNUMBER($K193),$K193&gt;='設定'!$C$6),$J193,N($I193)))</f>
        <v/>
      </c>
      <c r="M193">
        <f>IF($C193="","",IFERROR(IF(N(INDEX('商品マスタ'!$J$6:$J$1005,MATCH($C193,'商品マスタ'!$B$6:$B$1005,0)))&gt;0,INDEX('商品マスタ'!$J$6:$J$1005,MATCH($C193,'商品マスタ'!$B$6:$B$1005,0)),""),""))</f>
        <v/>
      </c>
      <c r="N193">
        <f>IF($C193="","",IFERROR(IF(N(INDEX('商品マスタ'!$H$6:$H$1005,MATCH($C193,'商品マスタ'!$B$6:$B$1005,0)))&gt;0,INDEX('商品マスタ'!$H$6:$H$1005,MATCH($C193,'商品マスタ'!$B$6:$B$1005,0)),""),""))</f>
        <v/>
      </c>
      <c r="O193">
        <f>IF($C193="","",IF($N193&lt;&gt;"",$N193*$G193,IF(N(IF(COUNTIFS('①在庫を貼る'!$V$6:$V$10005,'設定'!$C$4,'①在庫を貼る'!$W$6:$W$10005,$C193)&gt;0,SUMIFS('①在庫を貼る'!$O$6:$O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O$6:$O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O$6:$O$10005,'月1回_2ヶ月前の在庫'!$V$6:$V$10005,'設定'!$C$4,'月1回_2ヶ月前の在庫'!$W$6:$W$10005,$C193)/COUNTIFS('月1回_2ヶ月前の在庫'!$V$6:$V$10005,'設定'!$C$4,'月1回_2ヶ月前の在庫'!$W$6:$W$10005,$C193),0))))&gt;0,N(IF(COUNTIFS('①在庫を貼る'!$V$6:$V$10005,'設定'!$C$4,'①在庫を貼る'!$W$6:$W$10005,$C193)&gt;0,SUMIFS('①在庫を貼る'!$O$6:$O$10005,'①在庫を貼る'!$V$6:$V$10005,'設定'!$C$4,'①在庫を貼る'!$W$6:$W$10005,$C193)/COUNTIFS('①在庫を貼る'!$V$6:$V$10005,'設定'!$C$4,'①在庫を貼る'!$W$6:$W$10005,$C193),IF(COUNTIFS('月1回_1ヶ月前の在庫'!$V$6:$V$10005,'設定'!$C$4,'月1回_1ヶ月前の在庫'!$W$6:$W$10005,$C193)&gt;0,SUMIFS('月1回_1ヶ月前の在庫'!$O$6:$O$10005,'月1回_1ヶ月前の在庫'!$V$6:$V$10005,'設定'!$C$4,'月1回_1ヶ月前の在庫'!$W$6:$W$10005,$C193)/COUNTIFS('月1回_1ヶ月前の在庫'!$V$6:$V$10005,'設定'!$C$4,'月1回_1ヶ月前の在庫'!$W$6:$W$10005,$C193),IF(COUNTIFS('月1回_2ヶ月前の在庫'!$V$6:$V$10005,'設定'!$C$4,'月1回_2ヶ月前の在庫'!$W$6:$W$10005,$C193)&gt;0,SUMIFS('月1回_2ヶ月前の在庫'!$O$6:$O$10005,'月1回_2ヶ月前の在庫'!$V$6:$V$10005,'設定'!$C$4,'月1回_2ヶ月前の在庫'!$W$6:$W$10005,$C193)/COUNTIFS('月1回_2ヶ月前の在庫'!$V$6:$V$10005,'設定'!$C$4,'月1回_2ヶ月前の在庫'!$W$6:$W$10005,$C193),0)))),"")))</f>
        <v/>
      </c>
      <c r="P193" s="90">
        <f>IF($C193="","",IF('②発注する'!$I197="","",'②発注する'!$I197))</f>
        <v/>
      </c>
      <c r="Q193">
        <f>IF($C193="","",IF('②発注する'!$J197="","",'②発注する'!$J197))</f>
        <v/>
      </c>
      <c r="R193">
        <f>IF($C193="",0,IF(AND(ISNUMBER($P193),ISNUMBER($Q193)),MAX(0,$Q193)*$G193,0))</f>
        <v/>
      </c>
      <c r="S193" s="90">
        <f>IF($C193="","",IF('②発注する'!$M197="","",'②発注する'!$M197))</f>
        <v/>
      </c>
      <c r="T193">
        <f>IF($C193="","",IF('②発注する'!$N197="","",'②発注する'!$N197))</f>
        <v/>
      </c>
      <c r="U193">
        <f>IF($C193="",0,IF(AND(ISNUMBER($S193),ISNUMBER($T193)),MAX(0,$T193)*$G193,0))</f>
        <v/>
      </c>
      <c r="V193">
        <f>IF($C193="",0,IF($M193="",0,MAX(0,$M193)*MAX(0,V$4)/100))</f>
        <v/>
      </c>
      <c r="W193">
        <f>IF($C193="",0,IF($M193="",0,MAX(0,$M193)*MAX(0,W$4)/100))</f>
        <v/>
      </c>
      <c r="X193">
        <f>IF($C193="",0,IF($M193="",0,MAX(0,$M193)*MAX(0,X$4)/100))</f>
        <v/>
      </c>
      <c r="Y193">
        <f>IF($C193="",0,IF($M193="",0,MAX(0,$M193)*MAX(0,Y$4)/100))</f>
        <v/>
      </c>
      <c r="Z193">
        <f>IF($C193="",0,IF($M193="",0,MAX(0,$M193)*MAX(0,Z$4)/100))</f>
        <v/>
      </c>
      <c r="AA193">
        <f>IF($C193="",0,IF($M193="",0,MAX(0,$M193)*MAX(0,AA$4)/100))</f>
        <v/>
      </c>
      <c r="AB193">
        <f>IF($C193="",0,IF($M193="",0,MAX(0,$M193)*MAX(0,AB$4)/100))</f>
        <v/>
      </c>
      <c r="AC193">
        <f>IF($C193="",0,IF($M193="",0,MAX(0,$M193)*MAX(0,AC$4)/100))</f>
        <v/>
      </c>
      <c r="AD193">
        <f>IF($C193="",0,IF($M193="",0,MAX(0,$M193)*MAX(0,AD$4)/100))</f>
        <v/>
      </c>
      <c r="AE193">
        <f>IF($C193="",0,IF($M193="",0,MAX(0,$M193)*MAX(0,AE$4)/100))</f>
        <v/>
      </c>
      <c r="AF193">
        <f>IF($C193="",0,IF($M193="",0,MAX(0,$M193)*MAX(0,AF$4)/100))</f>
        <v/>
      </c>
      <c r="AG193">
        <f>IF($C193="",0,IF($M193="",0,MAX(0,$M193)*MAX(0,AG$4)/100))</f>
        <v/>
      </c>
      <c r="AH193">
        <f>IF($C193="",0,IF($M193="",0,MAX(0,$M193)*MAX(0,AH$4)/100))</f>
        <v/>
      </c>
      <c r="AI193">
        <f>IF($C193="",0,IF($M193="",0,MAX(0,$M193)*MAX(0,AI$4)/100))</f>
        <v/>
      </c>
      <c r="AJ193">
        <f>IF($C193="",0,MAX(0,MAX(0,N($L193))-$V193))</f>
        <v/>
      </c>
      <c r="AK193">
        <f>IF($C193="",0,MAX(0,$AJ193-$W193))</f>
        <v/>
      </c>
      <c r="AL193">
        <f>IF($C193="",0,MAX(0,$AK193-$X193))</f>
        <v/>
      </c>
      <c r="AM193">
        <f>IF($C193="",0,MAX(0,$AL193-$Y193))</f>
        <v/>
      </c>
      <c r="AN193">
        <f>IF($C193="",0,MAX(0,$AM193-$Z193))</f>
        <v/>
      </c>
      <c r="AO193">
        <f>IF($C193="",0,MAX(0,$AN193-$AA193))</f>
        <v/>
      </c>
      <c r="AP193">
        <f>IF($C193="",0,MAX(0,$AO193-$AB193))</f>
        <v/>
      </c>
      <c r="AQ193">
        <f>IF($C193="",0,MAX(0,$AP193-$AC193))</f>
        <v/>
      </c>
      <c r="AR193">
        <f>IF($C193="",0,MAX(0,$AQ193-$AD193))</f>
        <v/>
      </c>
      <c r="AS193">
        <f>IF($C193="",0,MAX(0,$AR193-$AE193))</f>
        <v/>
      </c>
      <c r="AT193">
        <f>IF($C193="",0,MAX(0,$AS193-$AF193))</f>
        <v/>
      </c>
      <c r="AU193">
        <f>IF($C193="",0,MAX(0,$AT193-$AG193))</f>
        <v/>
      </c>
      <c r="AV193">
        <f>IF($C193="",0,MAX(0,$AU193-$AH193))</f>
        <v/>
      </c>
      <c r="AW193">
        <f>IF($C193="",0,MAX(0,$AV193-$AI193))</f>
        <v/>
      </c>
      <c r="AX193">
        <f>IF($C193="",0,MAX(0,MAX(0,N($L193))+IF($P193=V$3,$R193,0)+IF($S193=V$3,$U193,0)-$V193))</f>
        <v/>
      </c>
      <c r="AY193">
        <f>IF($C193="",0,MAX(0,$AX193+IF($P193=W$3,$R193,0)+IF($S193=W$3,$U193,0)-$W193))</f>
        <v/>
      </c>
      <c r="AZ193">
        <f>IF($C193="",0,MAX(0,$AY193+IF($P193=X$3,$R193,0)+IF($S193=X$3,$U193,0)-$X193))</f>
        <v/>
      </c>
      <c r="BA193">
        <f>IF($C193="",0,MAX(0,$AZ193+IF($P193=Y$3,$R193,0)+IF($S193=Y$3,$U193,0)-$Y193))</f>
        <v/>
      </c>
      <c r="BB193">
        <f>IF($C193="",0,MAX(0,$BA193+IF($P193=Z$3,$R193,0)+IF($S193=Z$3,$U193,0)-$Z193))</f>
        <v/>
      </c>
      <c r="BC193">
        <f>IF($C193="",0,MAX(0,$BB193+IF($P193=AA$3,$R193,0)+IF($S193=AA$3,$U193,0)-$AA193))</f>
        <v/>
      </c>
      <c r="BD193">
        <f>IF($C193="",0,MAX(0,$BC193+IF($P193=AB$3,$R193,0)+IF($S193=AB$3,$U193,0)-$AB193))</f>
        <v/>
      </c>
      <c r="BE193">
        <f>IF($C193="",0,MAX(0,$BD193+IF($P193=AC$3,$R193,0)+IF($S193=AC$3,$U193,0)-$AC193))</f>
        <v/>
      </c>
      <c r="BF193">
        <f>IF($C193="",0,MAX(0,$BE193+IF($P193=AD$3,$R193,0)+IF($S193=AD$3,$U193,0)-$AD193))</f>
        <v/>
      </c>
      <c r="BG193">
        <f>IF($C193="",0,MAX(0,$BF193+IF($P193=AE$3,$R193,0)+IF($S193=AE$3,$U193,0)-$AE193))</f>
        <v/>
      </c>
      <c r="BH193">
        <f>IF($C193="",0,MAX(0,$BG193+IF($P193=AF$3,$R193,0)+IF($S193=AF$3,$U193,0)-$AF193))</f>
        <v/>
      </c>
      <c r="BI193">
        <f>IF($C193="",0,MAX(0,$BH193+IF($P193=AG$3,$R193,0)+IF($S193=AG$3,$U193,0)-$AG193))</f>
        <v/>
      </c>
      <c r="BJ193">
        <f>IF($C193="",0,MAX(0,$BI193+IF($P193=AH$3,$R193,0)+IF($S193=AH$3,$U193,0)-$AH193))</f>
        <v/>
      </c>
      <c r="BK193">
        <f>IF($C193="",0,MAX(0,$BJ193+IF($P193=AI$3,$R193,0)+IF($S193=AI$3,$U193,0)-$AI193))</f>
        <v/>
      </c>
      <c r="BL193">
        <f>IF($C193="",99,IF(AND($AX193&lt;1,V$3&gt;=MAX(N($P193),N($S193))),0,99))</f>
        <v/>
      </c>
      <c r="BM193">
        <f>IF($C193="",99,IF(AND($AY193&lt;1,W$3&gt;=MAX(N($P193),N($S193))),1,99))</f>
        <v/>
      </c>
      <c r="BN193">
        <f>IF($C193="",99,IF(AND($AZ193&lt;1,X$3&gt;=MAX(N($P193),N($S193))),2,99))</f>
        <v/>
      </c>
      <c r="BO193">
        <f>IF($C193="",99,IF(AND($BA193&lt;1,Y$3&gt;=MAX(N($P193),N($S193))),3,99))</f>
        <v/>
      </c>
      <c r="BP193">
        <f>IF($C193="",99,IF(AND($BB193&lt;1,Z$3&gt;=MAX(N($P193),N($S193))),4,99))</f>
        <v/>
      </c>
      <c r="BQ193">
        <f>IF($C193="",99,IF(AND($BC193&lt;1,AA$3&gt;=MAX(N($P193),N($S193))),5,99))</f>
        <v/>
      </c>
      <c r="BR193">
        <f>IF($C193="",99,IF(AND($BD193&lt;1,AB$3&gt;=MAX(N($P193),N($S193))),6,99))</f>
        <v/>
      </c>
      <c r="BS193">
        <f>IF($C193="",99,IF(AND($BE193&lt;1,AC$3&gt;=MAX(N($P193),N($S193))),7,99))</f>
        <v/>
      </c>
      <c r="BT193">
        <f>IF($C193="",99,IF(AND($BF193&lt;1,AD$3&gt;=MAX(N($P193),N($S193))),8,99))</f>
        <v/>
      </c>
      <c r="BU193">
        <f>IF($C193="",99,IF(AND($BG193&lt;1,AE$3&gt;=MAX(N($P193),N($S193))),9,99))</f>
        <v/>
      </c>
      <c r="BV193">
        <f>IF($C193="",99,IF(AND($BH193&lt;1,AF$3&gt;=MAX(N($P193),N($S193))),10,99))</f>
        <v/>
      </c>
      <c r="BW193">
        <f>IF($C193="",99,IF(AND($BI193&lt;1,AG$3&gt;=MAX(N($P193),N($S193))),11,99))</f>
        <v/>
      </c>
      <c r="BX193">
        <f>IF($C193="",99,IF(AND($BJ193&lt;1,AH$3&gt;=MAX(N($P193),N($S193))),12,99))</f>
        <v/>
      </c>
      <c r="BY193">
        <f>IF($C193="",99,IF(AND($BK193&lt;1,AI$3&gt;=MAX(N($P193),N($S193))),13,99))</f>
        <v/>
      </c>
      <c r="BZ193">
        <f>IF(OR($C193="",$M193=""),"",COUNTIF($AJ193:$AW193,"&gt;=1"))</f>
        <v/>
      </c>
      <c r="CA193" s="90">
        <f>IF($BZ193="","",IF($BZ193&gt;=14,"",'設定'!$C$6+$BZ193))</f>
        <v/>
      </c>
      <c r="CB193">
        <f>IF(OR($C193="",$M193=""),"",MIN($BL193:$BY193))</f>
        <v/>
      </c>
      <c r="CC193" s="90">
        <f>IF($CB193="","",IF($CB193&gt;=99,"",'設定'!$C$6+$CB193))</f>
        <v/>
      </c>
      <c r="CD193">
        <f>IF(OR($C193="",$M193=""),"",AVERAGE($V193:$AI193))</f>
        <v/>
      </c>
      <c r="CE193">
        <f>IF($C193="","",IFERROR(IF(MATCH(IF(ISNUMBER($P193),$P193,'設定'!$C$6+N('設定'!$C$7)),$V$3:$AI$3,0)=1,MAX(0,N($L193)),INDEX($AJ193:$AW193,MATCH(IF(ISNUMBER($P193),$P193,'設定'!$C$6+N('設定'!$C$7)),$V$3:$AI$3,0)-1)),""))</f>
        <v/>
      </c>
      <c r="CF193">
        <f>IF(OR($C193="",$O193="",$CE193=""),"",IF($O193-$CE193&lt;=0,0,ROUNDUP(($O193-$CE193)/$G193,0)))</f>
        <v/>
      </c>
      <c r="CG193">
        <f>IF(OR($C193="",$CF193="",NOT(ISNUMBER($Q193))),0,MAX(0,$Q193-$CF193))</f>
        <v/>
      </c>
      <c r="CH193">
        <f>IF(OR($C193="",$O193="",$U193=0),0,IFERROR(ROUNDUP(MAX(0,IF(MATCH($S193,$V$3:$AI$3,0)=1,MAX(0,N($L193)),INDEX($AX193:$BK193,MATCH($S193,$V$3:$AI$3,0)-1))+$U193-$O193)/$G193,0),0))</f>
        <v/>
      </c>
      <c r="CI193">
        <f>IF($C193="","",IF(AND($P193="",$Q193=""),"",IF($P193="","⚠ 入庫日を ▼ から選んでください",IF(NOT(ISNUMBER($P193)),"⚠ 入庫日は ▼ から選んでください",IF($P193&lt;N('設定'!$C$6),"⚠ 入庫日が過去です（もう在庫に入っています）→ 消してください",IF($P193&gt;N('設定'!$C$6)+13,"⚠ 入庫日が14日より先です",IF(N($Q193)&lt;=0,"⚠ 入庫数を入れてください",IF($CG193&gt;0,"⚠ 目安より "&amp;$CG193&amp;" 多い（定数を超える）→ 減らす",""))))))))</f>
        <v/>
      </c>
      <c r="CJ193">
        <f>IF($C193="","",IF(AND($S193="",$T193=""),"",IF($S193="","⚠ 2便目：入庫日を ▼ から選んでください",IF(NOT(ISNUMBER($S193)),"⚠ 2便目：入庫日は ▼ から選んでください",IF($S193&lt;N('設定'!$C$6),"⚠ 2便目：入庫日が過去です（もう在庫に入っています）→ 消してください",IF($S193&gt;N('設定'!$C$6)+13,"⚠ 2便目：入庫日が14日より先です",IF(N($T193)&lt;=0,"⚠ 2便目：入庫数を入れてください",IF($CH193&gt;0,"⚠ 2便目：定数を "&amp;$CH193&amp;" ケース超える → 減らす",""))))))))</f>
        <v/>
      </c>
      <c r="CK193">
        <f>IF(AND($CI193="",N($Q193)&gt;0,ISNUMBER($P193)),1,0)</f>
        <v/>
      </c>
      <c r="CL193">
        <f>IF(AND($CJ193="",N($T193)&gt;0,ISNUMBER($S193)),1,0)</f>
        <v/>
      </c>
      <c r="CM193">
        <f>IF(OR($CK193=1,$CL193=1),1,0)</f>
        <v/>
      </c>
      <c r="CN193">
        <f>IF($C193="",0,($CK193*$R193+$CL193*$U193)*N($H193))</f>
        <v/>
      </c>
      <c r="CO193">
        <f>IF($C193="","",IF($CC193="","入庫後は 14日以上もつ",IF($CC193-N('設定'!$C$7)&lt;='設定'!$C$6,"入庫後も "&amp;TEXT($CC193,"m/d")&amp;"("&amp;CHOOSE(WEEKDAY($CC193),"日","月","火","水","木","金","土")&amp;")"&amp;" に切れる　もう1便を至急発注","入庫後も "&amp;TEXT($CC193,"m/d")&amp;"("&amp;CHOOSE(WEEKDAY($CC193),"日","月","火","水","木","金","土")&amp;")"&amp;" に切れる　"&amp;TEXT($CC193-N('設定'!$C$7),"m/d")&amp;"("&amp;CHOOSE(WEEKDAY($CC193-N('設定'!$C$7)),"日","月","火","水","木","金","土")&amp;")"&amp;" までに次を発注")))</f>
        <v/>
      </c>
      <c r="CP193">
        <f>IF($C193="","",IF('設定'!$C$6="","？ ①在庫を貼る に今日のCSVが貼られていない",IF($CS193=1,"－ 今日のCSVに無い（終売？）",IF($L193&lt;0,"● 在庫がマイナス　数えて「数えた在庫」に入れる",IF($L193=0,"● 在庫なし　至急発注",IF($M193="","？ 減り数が未設定（商品マスタ）",IF($B$3=0,"？ 動員が未入力（動員を入れる）",IF($CA193="","○ 14日以上もつ",IF($BZ193&lt;N('設定'!$C$7),"● "&amp;TEXT($CA193,"m/d")&amp;"("&amp;CHOOSE(WEEKDAY($CA193),"日","月","火","水","木","金","土")&amp;")"&amp;" に切れる　至急発注",IF($BZ193=N('設定'!$C$7),"● "&amp;TEXT($CA193,"m/d")&amp;"("&amp;CHOOSE(WEEKDAY($CA193),"日","月","火","水","木","金","土")&amp;")"&amp;" に切れる　今日発注","△ "&amp;TEXT($CA193,"m/d")&amp;"("&amp;CHOOSE(WEEKDAY($CA193),"日","月","火","水","木","金","土")&amp;")"&amp;" に切れる　"&amp;TEXT($CA193-N('設定'!$C$7),"m/d")&amp;"("&amp;CHOOSE(WEEKDAY($CA193-N('設定'!$C$7)),"日","月","火","水","木","金","土")&amp;")"&amp;" までに発注"))))))))))</f>
        <v/>
      </c>
      <c r="CQ193">
        <f>IF($C193="","",IF(AND($P193="",$Q193="",$S193="",$T193=""),"",IF(AND($P193="",$Q193=""),"⚠ 先に1便目（左の入庫日・入庫数）に入れてください",IF($CI193&lt;&gt;"",$CI193,IF($CJ193&lt;&gt;"",$CJ193,IF($M193="","？ 減り数が未設定（発注書には載ります）",IF($B$3=0,"？ 動員が未入力（発注書には載ります）",IF(AND($CA193&lt;&gt;"",$P193&gt;$CA193),IF($P193&gt;'設定'!$C$6+N('設定'!$C$7),"● "&amp;TEXT($P193,"m/d")&amp;"("&amp;CHOOSE(WEEKDAY($P193),"日","月","火","水","木","金","土")&amp;")"&amp;" の入庫では間に合わない（"&amp;TEXT($CA193,"m/d")&amp;"("&amp;CHOOSE(WEEKDAY($CA193),"日","月","火","水","木","金","土")&amp;")"&amp;" に切れる）　入庫日を早める","△ 欠品 "&amp;TEXT($CA193,"m/d")&amp;"("&amp;CHOOSE(WEEKDAY($CA193),"日","月","火","水","木","金","土")&amp;")"&amp;"〜"&amp;TEXT($P193-1,"m/d")&amp;"("&amp;CHOOSE(WEEKDAY($P193-1),"日","月","火","水","木","金","土")&amp;")"&amp;"　"&amp;$CO193),IF($CC193="","○ "&amp;TEXT($P193,"m/d")&amp;"("&amp;CHOOSE(WEEKDAY($P193),"日","月","火","水","木","金","土")&amp;")"&amp;" 入庫で 14日以上もつ",IF($CC193-N('設定'!$C$7)&lt;='設定'!$C$6,"● 入庫しても "&amp;TEXT($CC193,"m/d")&amp;"("&amp;CHOOSE(WEEKDAY($CC193),"日","月","火","水","木","金","土")&amp;")"&amp;" に切れる　もう1便を至急発注（2便目に入れる）","△ 入庫しても "&amp;TEXT($CC193,"m/d")&amp;"("&amp;CHOOSE(WEEKDAY($CC193),"日","月","火","水","木","金","土")&amp;")"&amp;" に切れる　"&amp;TEXT($CC193-N('設定'!$C$7),"m/d")&amp;"("&amp;CHOOSE(WEEKDAY($CC193-N('設定'!$C$7)),"日","月","火","水","木","金","土")&amp;")"&amp;" までに次を発注（2便目に入れる）"))))))))))</f>
        <v/>
      </c>
      <c r="CR193">
        <f>IF($C193="","",IF($G193&gt;1,"ｹｰｽ("&amp;$G193&amp;"入)","個"))</f>
        <v/>
      </c>
      <c r="CS193">
        <f>IF($C193="",0,IF(COUNTIFS('①在庫を貼る'!$V$6:$V$10005,'設定'!$C$4,'①在庫を貼る'!$W$6:$W$10005,$C193)=0,1,0))</f>
        <v/>
      </c>
      <c r="CT193">
        <f>IF(AND($CK193=1,OR('③発注書'!$C$4="すべて",'③発注書'!$C$4="",$F193='③発注書'!$C$4)),N($CT192)+1,N($CT192))</f>
        <v/>
      </c>
      <c r="CU193">
        <f>IF(AND($CL193=1,OR('③発注書'!$C$4="すべて",'③発注書'!$C$4="",$F193='③発注書'!$C$4)),N($CU192)+1,N($CU192))</f>
        <v/>
      </c>
      <c r="CV193">
        <f>IF($C193="",0,IF(COUNTIFS('①在庫を貼る'!$V$6:$V$10005,'設定'!$C$4,'①在庫を貼る'!$W$6:$W$10005,$C193)&gt;0,1,0))</f>
        <v/>
      </c>
      <c r="CW193">
        <f>IF($C193="",0,IF(COUNTIFS('月1回_1ヶ月前の在庫'!$V$6:$V$10005,'設定'!$C$4,'月1回_1ヶ月前の在庫'!$W$6:$W$10005,$C193)&gt;0,1,0))</f>
        <v/>
      </c>
      <c r="CX193">
        <f>IF($C193="",0,IF(COUNTIFS('月1回_2ヶ月前の在庫'!$V$6:$V$10005,'設定'!$C$4,'月1回_2ヶ月前の在庫'!$W$6:$W$10005,$C193)&gt;0,1,0))</f>
        <v/>
      </c>
      <c r="CY193">
        <f>IF(OR($C193="",'設定'!$C$12=""),"",IF('設定'!$C$13="",IF(AND($CV193=1,$CW193=0),"新商品（今月から）",IF(AND($CV193=0,$CW193=1),"終売（今月から）","")),IF(AND($CV193=1,$CW193=0,$CX193=0),"新商品（今月から）",IF(AND($CV193=1,$CW193=1,$CX193=0),"新商品（先月から）",IF(AND($CV193=0,$CW193=1,$CX193=1),"終売（今月から）",IF(AND($CV193=0,$CW193=0,$CX193=1),"終売（先月から）",IF(AND($CV193=1,$CW193=0,$CX193=1),"復活（先月は無し）","")))))))</f>
        <v/>
      </c>
    </row>
    <row r="194">
      <c r="B194">
        <f>IF(189&lt;='設定'!$C$11,189,"")</f>
        <v/>
      </c>
      <c r="C194">
        <f>IF($B194="","",IF($B194&lt;='設定'!$C$20,INDEX('商品マスタ'!$B$6:$B$1005,MATCH($B194,'商品マスタ'!$M$6:$M$1005,0)),IF($B194&lt;='設定'!$C$20+'設定'!$C$17,INDEX('①在庫を貼る'!$W$6:$W$10005,MATCH($B194-'設定'!$C$20,'①在庫を貼る'!$U$6:$U$10005,0)),IF($B194&lt;='設定'!$C$20+'設定'!$C$17+'設定'!$C$18,INDEX('月1回_1ヶ月前の在庫'!$W$6:$W$10005,MATCH($B194-'設定'!$C$20-'設定'!$C$17,'月1回_1ヶ月前の在庫'!$U$6:$U$10005,0)),INDEX('月1回_2ヶ月前の在庫'!$W$6:$W$10005,MATCH($B194-'設定'!$C$20-'設定'!$C$17-'設定'!$C$18,'月1回_2ヶ月前の在庫'!$U$6:$U$10005,0))))))</f>
        <v/>
      </c>
      <c r="D194">
        <f>IF($C194="","",IFERROR(IF(INDEX('商品マスタ'!$C$6:$C$1005,MATCH($C194,'商品マスタ'!$B$6:$B$1005,0))="",IFERROR(INDEX('①在庫を貼る'!$J$6:$J$10005,MATCH($C194,'①在庫を貼る'!$W$6:$W$10005,0)),IFERROR(INDEX('月1回_1ヶ月前の在庫'!$J$6:$J$10005,MATCH($C194,'月1回_1ヶ月前の在庫'!$W$6:$W$10005,0)),IFERROR(INDEX('月1回_2ヶ月前の在庫'!$J$6:$J$10005,MATCH($C194,'月1回_2ヶ月前の在庫'!$W$6:$W$10005,0)),""))),INDEX('商品マスタ'!$C$6:$C$1005,MATCH($C194,'商品マスタ'!$B$6:$B$1005,0))),IFERROR(INDEX('①在庫を貼る'!$J$6:$J$10005,MATCH($C194,'①在庫を貼る'!$W$6:$W$10005,0)),IFERROR(INDEX('月1回_1ヶ月前の在庫'!$J$6:$J$10005,MATCH($C194,'月1回_1ヶ月前の在庫'!$W$6:$W$10005,0)),IFERROR(INDEX('月1回_2ヶ月前の在庫'!$J$6:$J$10005,MATCH($C194,'月1回_2ヶ月前の在庫'!$W$6:$W$10005,0)),"")))))</f>
        <v/>
      </c>
      <c r="E194">
        <f>IF($C194="","",IFERROR(IF(INDEX('商品マスタ'!$D$6:$D$1005,MATCH($C194,'商品マスタ'!$B$6:$B$1005,0))="",IFERROR(INDEX('①在庫を貼る'!$H$6:$H$10005,MATCH($C194,'①在庫を貼る'!$W$6:$W$10005,0)),IFERROR(INDEX('月1回_1ヶ月前の在庫'!$H$6:$H$10005,MATCH($C194,'月1回_1ヶ月前の在庫'!$W$6:$W$10005,0)),IFERROR(INDEX('月1回_2ヶ月前の在庫'!$H$6:$H$10005,MATCH($C194,'月1回_2ヶ月前の在庫'!$W$6:$W$10005,0)),""))),INDEX('商品マスタ'!$D$6:$D$1005,MATCH($C194,'商品マスタ'!$B$6:$B$1005,0))),IFERROR(INDEX('①在庫を貼る'!$H$6:$H$10005,MATCH($C194,'①在庫を貼る'!$W$6:$W$10005,0)),IFERROR(INDEX('月1回_1ヶ月前の在庫'!$H$6:$H$10005,MATCH($C194,'月1回_1ヶ月前の在庫'!$W$6:$W$10005,0)),IFERROR(INDEX('月1回_2ヶ月前の在庫'!$H$6:$H$10005,MATCH($C194,'月1回_2ヶ月前の在庫'!$W$6:$W$10005,0)),"")))))</f>
        <v/>
      </c>
      <c r="F194">
        <f>IF($C194="","",IFERROR(IF(INDEX('商品マスタ'!$E$6:$E$1005,MATCH($C194,'商品マスタ'!$B$6:$B$1005,0))="",IFERROR(INDEX('①在庫を貼る'!$E$6:$E$10005,MATCH($C194,'①在庫を貼る'!$W$6:$W$10005,0)),IFERROR(INDEX('月1回_1ヶ月前の在庫'!$E$6:$E$10005,MATCH($C194,'月1回_1ヶ月前の在庫'!$W$6:$W$10005,0)),IFERROR(INDEX('月1回_2ヶ月前の在庫'!$E$6:$E$10005,MATCH($C194,'月1回_2ヶ月前の在庫'!$W$6:$W$10005,0)),""))),INDEX('商品マスタ'!$E$6:$E$1005,MATCH($C194,'商品マスタ'!$B$6:$B$1005,0))),IFERROR(INDEX('①在庫を貼る'!$E$6:$E$10005,MATCH($C194,'①在庫を貼る'!$W$6:$W$10005,0)),IFERROR(INDEX('月1回_1ヶ月前の在庫'!$E$6:$E$10005,MATCH($C194,'月1回_1ヶ月前の在庫'!$W$6:$W$10005,0)),IFERROR(INDEX('月1回_2ヶ月前の在庫'!$E$6:$E$10005,MATCH($C194,'月1回_2ヶ月前の在庫'!$W$6:$W$10005,0)),"")))))</f>
        <v/>
      </c>
      <c r="G194">
        <f>IF($C194="","",MAX(1,N(IFERROR(IF(INDEX('商品マスタ'!$F$6:$F$1005,MATCH($C194,'商品マスタ'!$B$6:$B$1005,0))="",IF(COUNTIFS('①在庫を貼る'!$V$6:$V$10005,'設定'!$C$4,'①在庫を貼る'!$W$6:$W$10005,$C194)&gt;0,SUMIFS('①在庫を貼る'!$K$6:$K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K$6:$K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K$6:$K$10005,'月1回_2ヶ月前の在庫'!$V$6:$V$10005,'設定'!$C$4,'月1回_2ヶ月前の在庫'!$W$6:$W$10005,$C194)/COUNTIFS('月1回_2ヶ月前の在庫'!$V$6:$V$10005,'設定'!$C$4,'月1回_2ヶ月前の在庫'!$W$6:$W$10005,$C194),0))),INDEX('商品マスタ'!$F$6:$F$1005,MATCH($C194,'商品マスタ'!$B$6:$B$1005,0))),IF(COUNTIFS('①在庫を貼る'!$V$6:$V$10005,'設定'!$C$4,'①在庫を貼る'!$W$6:$W$10005,$C194)&gt;0,SUMIFS('①在庫を貼る'!$K$6:$K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K$6:$K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K$6:$K$10005,'月1回_2ヶ月前の在庫'!$V$6:$V$10005,'設定'!$C$4,'月1回_2ヶ月前の在庫'!$W$6:$W$10005,$C194)/COUNTIFS('月1回_2ヶ月前の在庫'!$V$6:$V$10005,'設定'!$C$4,'月1回_2ヶ月前の在庫'!$W$6:$W$10005,$C194),0)))))))</f>
        <v/>
      </c>
      <c r="H194">
        <f>IF($C194="","",N(IFERROR(IF(INDEX('商品マスタ'!$G$6:$G$1005,MATCH($C194,'商品マスタ'!$B$6:$B$1005,0))="",IF(COUNTIFS('①在庫を貼る'!$V$6:$V$10005,'設定'!$C$4,'①在庫を貼る'!$W$6:$W$10005,$C194)&gt;0,SUMIFS('①在庫を貼る'!$Q$6:$Q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Q$6:$Q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Q$6:$Q$10005,'月1回_2ヶ月前の在庫'!$V$6:$V$10005,'設定'!$C$4,'月1回_2ヶ月前の在庫'!$W$6:$W$10005,$C194)/COUNTIFS('月1回_2ヶ月前の在庫'!$V$6:$V$10005,'設定'!$C$4,'月1回_2ヶ月前の在庫'!$W$6:$W$10005,$C194),0))),INDEX('商品マスタ'!$G$6:$G$1005,MATCH($C194,'商品マスタ'!$B$6:$B$1005,0))),IF(COUNTIFS('①在庫を貼る'!$V$6:$V$10005,'設定'!$C$4,'①在庫を貼る'!$W$6:$W$10005,$C194)&gt;0,SUMIFS('①在庫を貼る'!$Q$6:$Q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Q$6:$Q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Q$6:$Q$10005,'月1回_2ヶ月前の在庫'!$V$6:$V$10005,'設定'!$C$4,'月1回_2ヶ月前の在庫'!$W$6:$W$10005,$C194)/COUNTIFS('月1回_2ヶ月前の在庫'!$V$6:$V$10005,'設定'!$C$4,'月1回_2ヶ月前の在庫'!$W$6:$W$10005,$C194),0))))))</f>
        <v/>
      </c>
      <c r="I194">
        <f>IF($C194="","",IF(COUNTIFS('①在庫を貼る'!$V$6:$V$10005,'設定'!$C$4,'①在庫を貼る'!$W$6:$W$10005,$C194)=0,"",SUMIFS('①在庫を貼る'!$N$6:$N$10005,'①在庫を貼る'!$V$6:$V$10005,'設定'!$C$4,'①在庫を貼る'!$W$6:$W$10005,$C194)))</f>
        <v/>
      </c>
      <c r="J194">
        <f>IF($C194="","",IF('②発注する'!$AD198="","",'②発注する'!$AD198))</f>
        <v/>
      </c>
      <c r="K194" s="90">
        <f>IF($C194="","",IF('②発注する'!$AE198="","",'②発注する'!$AE198))</f>
        <v/>
      </c>
      <c r="L194">
        <f>IF($C194="","",IF(AND(ISNUMBER($J194),ISNUMBER($K194),$K194&gt;='設定'!$C$6),$J194,N($I194)))</f>
        <v/>
      </c>
      <c r="M194">
        <f>IF($C194="","",IFERROR(IF(N(INDEX('商品マスタ'!$J$6:$J$1005,MATCH($C194,'商品マスタ'!$B$6:$B$1005,0)))&gt;0,INDEX('商品マスタ'!$J$6:$J$1005,MATCH($C194,'商品マスタ'!$B$6:$B$1005,0)),""),""))</f>
        <v/>
      </c>
      <c r="N194">
        <f>IF($C194="","",IFERROR(IF(N(INDEX('商品マスタ'!$H$6:$H$1005,MATCH($C194,'商品マスタ'!$B$6:$B$1005,0)))&gt;0,INDEX('商品マスタ'!$H$6:$H$1005,MATCH($C194,'商品マスタ'!$B$6:$B$1005,0)),""),""))</f>
        <v/>
      </c>
      <c r="O194">
        <f>IF($C194="","",IF($N194&lt;&gt;"",$N194*$G194,IF(N(IF(COUNTIFS('①在庫を貼る'!$V$6:$V$10005,'設定'!$C$4,'①在庫を貼る'!$W$6:$W$10005,$C194)&gt;0,SUMIFS('①在庫を貼る'!$O$6:$O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O$6:$O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O$6:$O$10005,'月1回_2ヶ月前の在庫'!$V$6:$V$10005,'設定'!$C$4,'月1回_2ヶ月前の在庫'!$W$6:$W$10005,$C194)/COUNTIFS('月1回_2ヶ月前の在庫'!$V$6:$V$10005,'設定'!$C$4,'月1回_2ヶ月前の在庫'!$W$6:$W$10005,$C194),0))))&gt;0,N(IF(COUNTIFS('①在庫を貼る'!$V$6:$V$10005,'設定'!$C$4,'①在庫を貼る'!$W$6:$W$10005,$C194)&gt;0,SUMIFS('①在庫を貼る'!$O$6:$O$10005,'①在庫を貼る'!$V$6:$V$10005,'設定'!$C$4,'①在庫を貼る'!$W$6:$W$10005,$C194)/COUNTIFS('①在庫を貼る'!$V$6:$V$10005,'設定'!$C$4,'①在庫を貼る'!$W$6:$W$10005,$C194),IF(COUNTIFS('月1回_1ヶ月前の在庫'!$V$6:$V$10005,'設定'!$C$4,'月1回_1ヶ月前の在庫'!$W$6:$W$10005,$C194)&gt;0,SUMIFS('月1回_1ヶ月前の在庫'!$O$6:$O$10005,'月1回_1ヶ月前の在庫'!$V$6:$V$10005,'設定'!$C$4,'月1回_1ヶ月前の在庫'!$W$6:$W$10005,$C194)/COUNTIFS('月1回_1ヶ月前の在庫'!$V$6:$V$10005,'設定'!$C$4,'月1回_1ヶ月前の在庫'!$W$6:$W$10005,$C194),IF(COUNTIFS('月1回_2ヶ月前の在庫'!$V$6:$V$10005,'設定'!$C$4,'月1回_2ヶ月前の在庫'!$W$6:$W$10005,$C194)&gt;0,SUMIFS('月1回_2ヶ月前の在庫'!$O$6:$O$10005,'月1回_2ヶ月前の在庫'!$V$6:$V$10005,'設定'!$C$4,'月1回_2ヶ月前の在庫'!$W$6:$W$10005,$C194)/COUNTIFS('月1回_2ヶ月前の在庫'!$V$6:$V$10005,'設定'!$C$4,'月1回_2ヶ月前の在庫'!$W$6:$W$10005,$C194),0)))),"")))</f>
        <v/>
      </c>
      <c r="P194" s="90">
        <f>IF($C194="","",IF('②発注する'!$I198="","",'②発注する'!$I198))</f>
        <v/>
      </c>
      <c r="Q194">
        <f>IF($C194="","",IF('②発注する'!$J198="","",'②発注する'!$J198))</f>
        <v/>
      </c>
      <c r="R194">
        <f>IF($C194="",0,IF(AND(ISNUMBER($P194),ISNUMBER($Q194)),MAX(0,$Q194)*$G194,0))</f>
        <v/>
      </c>
      <c r="S194" s="90">
        <f>IF($C194="","",IF('②発注する'!$M198="","",'②発注する'!$M198))</f>
        <v/>
      </c>
      <c r="T194">
        <f>IF($C194="","",IF('②発注する'!$N198="","",'②発注する'!$N198))</f>
        <v/>
      </c>
      <c r="U194">
        <f>IF($C194="",0,IF(AND(ISNUMBER($S194),ISNUMBER($T194)),MAX(0,$T194)*$G194,0))</f>
        <v/>
      </c>
      <c r="V194">
        <f>IF($C194="",0,IF($M194="",0,MAX(0,$M194)*MAX(0,V$4)/100))</f>
        <v/>
      </c>
      <c r="W194">
        <f>IF($C194="",0,IF($M194="",0,MAX(0,$M194)*MAX(0,W$4)/100))</f>
        <v/>
      </c>
      <c r="X194">
        <f>IF($C194="",0,IF($M194="",0,MAX(0,$M194)*MAX(0,X$4)/100))</f>
        <v/>
      </c>
      <c r="Y194">
        <f>IF($C194="",0,IF($M194="",0,MAX(0,$M194)*MAX(0,Y$4)/100))</f>
        <v/>
      </c>
      <c r="Z194">
        <f>IF($C194="",0,IF($M194="",0,MAX(0,$M194)*MAX(0,Z$4)/100))</f>
        <v/>
      </c>
      <c r="AA194">
        <f>IF($C194="",0,IF($M194="",0,MAX(0,$M194)*MAX(0,AA$4)/100))</f>
        <v/>
      </c>
      <c r="AB194">
        <f>IF($C194="",0,IF($M194="",0,MAX(0,$M194)*MAX(0,AB$4)/100))</f>
        <v/>
      </c>
      <c r="AC194">
        <f>IF($C194="",0,IF($M194="",0,MAX(0,$M194)*MAX(0,AC$4)/100))</f>
        <v/>
      </c>
      <c r="AD194">
        <f>IF($C194="",0,IF($M194="",0,MAX(0,$M194)*MAX(0,AD$4)/100))</f>
        <v/>
      </c>
      <c r="AE194">
        <f>IF($C194="",0,IF($M194="",0,MAX(0,$M194)*MAX(0,AE$4)/100))</f>
        <v/>
      </c>
      <c r="AF194">
        <f>IF($C194="",0,IF($M194="",0,MAX(0,$M194)*MAX(0,AF$4)/100))</f>
        <v/>
      </c>
      <c r="AG194">
        <f>IF($C194="",0,IF($M194="",0,MAX(0,$M194)*MAX(0,AG$4)/100))</f>
        <v/>
      </c>
      <c r="AH194">
        <f>IF($C194="",0,IF($M194="",0,MAX(0,$M194)*MAX(0,AH$4)/100))</f>
        <v/>
      </c>
      <c r="AI194">
        <f>IF($C194="",0,IF($M194="",0,MAX(0,$M194)*MAX(0,AI$4)/100))</f>
        <v/>
      </c>
      <c r="AJ194">
        <f>IF($C194="",0,MAX(0,MAX(0,N($L194))-$V194))</f>
        <v/>
      </c>
      <c r="AK194">
        <f>IF($C194="",0,MAX(0,$AJ194-$W194))</f>
        <v/>
      </c>
      <c r="AL194">
        <f>IF($C194="",0,MAX(0,$AK194-$X194))</f>
        <v/>
      </c>
      <c r="AM194">
        <f>IF($C194="",0,MAX(0,$AL194-$Y194))</f>
        <v/>
      </c>
      <c r="AN194">
        <f>IF($C194="",0,MAX(0,$AM194-$Z194))</f>
        <v/>
      </c>
      <c r="AO194">
        <f>IF($C194="",0,MAX(0,$AN194-$AA194))</f>
        <v/>
      </c>
      <c r="AP194">
        <f>IF($C194="",0,MAX(0,$AO194-$AB194))</f>
        <v/>
      </c>
      <c r="AQ194">
        <f>IF($C194="",0,MAX(0,$AP194-$AC194))</f>
        <v/>
      </c>
      <c r="AR194">
        <f>IF($C194="",0,MAX(0,$AQ194-$AD194))</f>
        <v/>
      </c>
      <c r="AS194">
        <f>IF($C194="",0,MAX(0,$AR194-$AE194))</f>
        <v/>
      </c>
      <c r="AT194">
        <f>IF($C194="",0,MAX(0,$AS194-$AF194))</f>
        <v/>
      </c>
      <c r="AU194">
        <f>IF($C194="",0,MAX(0,$AT194-$AG194))</f>
        <v/>
      </c>
      <c r="AV194">
        <f>IF($C194="",0,MAX(0,$AU194-$AH194))</f>
        <v/>
      </c>
      <c r="AW194">
        <f>IF($C194="",0,MAX(0,$AV194-$AI194))</f>
        <v/>
      </c>
      <c r="AX194">
        <f>IF($C194="",0,MAX(0,MAX(0,N($L194))+IF($P194=V$3,$R194,0)+IF($S194=V$3,$U194,0)-$V194))</f>
        <v/>
      </c>
      <c r="AY194">
        <f>IF($C194="",0,MAX(0,$AX194+IF($P194=W$3,$R194,0)+IF($S194=W$3,$U194,0)-$W194))</f>
        <v/>
      </c>
      <c r="AZ194">
        <f>IF($C194="",0,MAX(0,$AY194+IF($P194=X$3,$R194,0)+IF($S194=X$3,$U194,0)-$X194))</f>
        <v/>
      </c>
      <c r="BA194">
        <f>IF($C194="",0,MAX(0,$AZ194+IF($P194=Y$3,$R194,0)+IF($S194=Y$3,$U194,0)-$Y194))</f>
        <v/>
      </c>
      <c r="BB194">
        <f>IF($C194="",0,MAX(0,$BA194+IF($P194=Z$3,$R194,0)+IF($S194=Z$3,$U194,0)-$Z194))</f>
        <v/>
      </c>
      <c r="BC194">
        <f>IF($C194="",0,MAX(0,$BB194+IF($P194=AA$3,$R194,0)+IF($S194=AA$3,$U194,0)-$AA194))</f>
        <v/>
      </c>
      <c r="BD194">
        <f>IF($C194="",0,MAX(0,$BC194+IF($P194=AB$3,$R194,0)+IF($S194=AB$3,$U194,0)-$AB194))</f>
        <v/>
      </c>
      <c r="BE194">
        <f>IF($C194="",0,MAX(0,$BD194+IF($P194=AC$3,$R194,0)+IF($S194=AC$3,$U194,0)-$AC194))</f>
        <v/>
      </c>
      <c r="BF194">
        <f>IF($C194="",0,MAX(0,$BE194+IF($P194=AD$3,$R194,0)+IF($S194=AD$3,$U194,0)-$AD194))</f>
        <v/>
      </c>
      <c r="BG194">
        <f>IF($C194="",0,MAX(0,$BF194+IF($P194=AE$3,$R194,0)+IF($S194=AE$3,$U194,0)-$AE194))</f>
        <v/>
      </c>
      <c r="BH194">
        <f>IF($C194="",0,MAX(0,$BG194+IF($P194=AF$3,$R194,0)+IF($S194=AF$3,$U194,0)-$AF194))</f>
        <v/>
      </c>
      <c r="BI194">
        <f>IF($C194="",0,MAX(0,$BH194+IF($P194=AG$3,$R194,0)+IF($S194=AG$3,$U194,0)-$AG194))</f>
        <v/>
      </c>
      <c r="BJ194">
        <f>IF($C194="",0,MAX(0,$BI194+IF($P194=AH$3,$R194,0)+IF($S194=AH$3,$U194,0)-$AH194))</f>
        <v/>
      </c>
      <c r="BK194">
        <f>IF($C194="",0,MAX(0,$BJ194+IF($P194=AI$3,$R194,0)+IF($S194=AI$3,$U194,0)-$AI194))</f>
        <v/>
      </c>
      <c r="BL194">
        <f>IF($C194="",99,IF(AND($AX194&lt;1,V$3&gt;=MAX(N($P194),N($S194))),0,99))</f>
        <v/>
      </c>
      <c r="BM194">
        <f>IF($C194="",99,IF(AND($AY194&lt;1,W$3&gt;=MAX(N($P194),N($S194))),1,99))</f>
        <v/>
      </c>
      <c r="BN194">
        <f>IF($C194="",99,IF(AND($AZ194&lt;1,X$3&gt;=MAX(N($P194),N($S194))),2,99))</f>
        <v/>
      </c>
      <c r="BO194">
        <f>IF($C194="",99,IF(AND($BA194&lt;1,Y$3&gt;=MAX(N($P194),N($S194))),3,99))</f>
        <v/>
      </c>
      <c r="BP194">
        <f>IF($C194="",99,IF(AND($BB194&lt;1,Z$3&gt;=MAX(N($P194),N($S194))),4,99))</f>
        <v/>
      </c>
      <c r="BQ194">
        <f>IF($C194="",99,IF(AND($BC194&lt;1,AA$3&gt;=MAX(N($P194),N($S194))),5,99))</f>
        <v/>
      </c>
      <c r="BR194">
        <f>IF($C194="",99,IF(AND($BD194&lt;1,AB$3&gt;=MAX(N($P194),N($S194))),6,99))</f>
        <v/>
      </c>
      <c r="BS194">
        <f>IF($C194="",99,IF(AND($BE194&lt;1,AC$3&gt;=MAX(N($P194),N($S194))),7,99))</f>
        <v/>
      </c>
      <c r="BT194">
        <f>IF($C194="",99,IF(AND($BF194&lt;1,AD$3&gt;=MAX(N($P194),N($S194))),8,99))</f>
        <v/>
      </c>
      <c r="BU194">
        <f>IF($C194="",99,IF(AND($BG194&lt;1,AE$3&gt;=MAX(N($P194),N($S194))),9,99))</f>
        <v/>
      </c>
      <c r="BV194">
        <f>IF($C194="",99,IF(AND($BH194&lt;1,AF$3&gt;=MAX(N($P194),N($S194))),10,99))</f>
        <v/>
      </c>
      <c r="BW194">
        <f>IF($C194="",99,IF(AND($BI194&lt;1,AG$3&gt;=MAX(N($P194),N($S194))),11,99))</f>
        <v/>
      </c>
      <c r="BX194">
        <f>IF($C194="",99,IF(AND($BJ194&lt;1,AH$3&gt;=MAX(N($P194),N($S194))),12,99))</f>
        <v/>
      </c>
      <c r="BY194">
        <f>IF($C194="",99,IF(AND($BK194&lt;1,AI$3&gt;=MAX(N($P194),N($S194))),13,99))</f>
        <v/>
      </c>
      <c r="BZ194">
        <f>IF(OR($C194="",$M194=""),"",COUNTIF($AJ194:$AW194,"&gt;=1"))</f>
        <v/>
      </c>
      <c r="CA194" s="90">
        <f>IF($BZ194="","",IF($BZ194&gt;=14,"",'設定'!$C$6+$BZ194))</f>
        <v/>
      </c>
      <c r="CB194">
        <f>IF(OR($C194="",$M194=""),"",MIN($BL194:$BY194))</f>
        <v/>
      </c>
      <c r="CC194" s="90">
        <f>IF($CB194="","",IF($CB194&gt;=99,"",'設定'!$C$6+$CB194))</f>
        <v/>
      </c>
      <c r="CD194">
        <f>IF(OR($C194="",$M194=""),"",AVERAGE($V194:$AI194))</f>
        <v/>
      </c>
      <c r="CE194">
        <f>IF($C194="","",IFERROR(IF(MATCH(IF(ISNUMBER($P194),$P194,'設定'!$C$6+N('設定'!$C$7)),$V$3:$AI$3,0)=1,MAX(0,N($L194)),INDEX($AJ194:$AW194,MATCH(IF(ISNUMBER($P194),$P194,'設定'!$C$6+N('設定'!$C$7)),$V$3:$AI$3,0)-1)),""))</f>
        <v/>
      </c>
      <c r="CF194">
        <f>IF(OR($C194="",$O194="",$CE194=""),"",IF($O194-$CE194&lt;=0,0,ROUNDUP(($O194-$CE194)/$G194,0)))</f>
        <v/>
      </c>
      <c r="CG194">
        <f>IF(OR($C194="",$CF194="",NOT(ISNUMBER($Q194))),0,MAX(0,$Q194-$CF194))</f>
        <v/>
      </c>
      <c r="CH194">
        <f>IF(OR($C194="",$O194="",$U194=0),0,IFERROR(ROUNDUP(MAX(0,IF(MATCH($S194,$V$3:$AI$3,0)=1,MAX(0,N($L194)),INDEX($AX194:$BK194,MATCH($S194,$V$3:$AI$3,0)-1))+$U194-$O194)/$G194,0),0))</f>
        <v/>
      </c>
      <c r="CI194">
        <f>IF($C194="","",IF(AND($P194="",$Q194=""),"",IF($P194="","⚠ 入庫日を ▼ から選んでください",IF(NOT(ISNUMBER($P194)),"⚠ 入庫日は ▼ から選んでください",IF($P194&lt;N('設定'!$C$6),"⚠ 入庫日が過去です（もう在庫に入っています）→ 消してください",IF($P194&gt;N('設定'!$C$6)+13,"⚠ 入庫日が14日より先です",IF(N($Q194)&lt;=0,"⚠ 入庫数を入れてください",IF($CG194&gt;0,"⚠ 目安より "&amp;$CG194&amp;" 多い（定数を超える）→ 減らす",""))))))))</f>
        <v/>
      </c>
      <c r="CJ194">
        <f>IF($C194="","",IF(AND($S194="",$T194=""),"",IF($S194="","⚠ 2便目：入庫日を ▼ から選んでください",IF(NOT(ISNUMBER($S194)),"⚠ 2便目：入庫日は ▼ から選んでください",IF($S194&lt;N('設定'!$C$6),"⚠ 2便目：入庫日が過去です（もう在庫に入っています）→ 消してください",IF($S194&gt;N('設定'!$C$6)+13,"⚠ 2便目：入庫日が14日より先です",IF(N($T194)&lt;=0,"⚠ 2便目：入庫数を入れてください",IF($CH194&gt;0,"⚠ 2便目：定数を "&amp;$CH194&amp;" ケース超える → 減らす",""))))))))</f>
        <v/>
      </c>
      <c r="CK194">
        <f>IF(AND($CI194="",N($Q194)&gt;0,ISNUMBER($P194)),1,0)</f>
        <v/>
      </c>
      <c r="CL194">
        <f>IF(AND($CJ194="",N($T194)&gt;0,ISNUMBER($S194)),1,0)</f>
        <v/>
      </c>
      <c r="CM194">
        <f>IF(OR($CK194=1,$CL194=1),1,0)</f>
        <v/>
      </c>
      <c r="CN194">
        <f>IF($C194="",0,($CK194*$R194+$CL194*$U194)*N($H194))</f>
        <v/>
      </c>
      <c r="CO194">
        <f>IF($C194="","",IF($CC194="","入庫後は 14日以上もつ",IF($CC194-N('設定'!$C$7)&lt;='設定'!$C$6,"入庫後も "&amp;TEXT($CC194,"m/d")&amp;"("&amp;CHOOSE(WEEKDAY($CC194),"日","月","火","水","木","金","土")&amp;")"&amp;" に切れる　もう1便を至急発注","入庫後も "&amp;TEXT($CC194,"m/d")&amp;"("&amp;CHOOSE(WEEKDAY($CC194),"日","月","火","水","木","金","土")&amp;")"&amp;" に切れる　"&amp;TEXT($CC194-N('設定'!$C$7),"m/d")&amp;"("&amp;CHOOSE(WEEKDAY($CC194-N('設定'!$C$7)),"日","月","火","水","木","金","土")&amp;")"&amp;" までに次を発注")))</f>
        <v/>
      </c>
      <c r="CP194">
        <f>IF($C194="","",IF('設定'!$C$6="","？ ①在庫を貼る に今日のCSVが貼られていない",IF($CS194=1,"－ 今日のCSVに無い（終売？）",IF($L194&lt;0,"● 在庫がマイナス　数えて「数えた在庫」に入れる",IF($L194=0,"● 在庫なし　至急発注",IF($M194="","？ 減り数が未設定（商品マスタ）",IF($B$3=0,"？ 動員が未入力（動員を入れる）",IF($CA194="","○ 14日以上もつ",IF($BZ194&lt;N('設定'!$C$7),"● "&amp;TEXT($CA194,"m/d")&amp;"("&amp;CHOOSE(WEEKDAY($CA194),"日","月","火","水","木","金","土")&amp;")"&amp;" に切れる　至急発注",IF($BZ194=N('設定'!$C$7),"● "&amp;TEXT($CA194,"m/d")&amp;"("&amp;CHOOSE(WEEKDAY($CA194),"日","月","火","水","木","金","土")&amp;")"&amp;" に切れる　今日発注","△ "&amp;TEXT($CA194,"m/d")&amp;"("&amp;CHOOSE(WEEKDAY($CA194),"日","月","火","水","木","金","土")&amp;")"&amp;" に切れる　"&amp;TEXT($CA194-N('設定'!$C$7),"m/d")&amp;"("&amp;CHOOSE(WEEKDAY($CA194-N('設定'!$C$7)),"日","月","火","水","木","金","土")&amp;")"&amp;" までに発注"))))))))))</f>
        <v/>
      </c>
      <c r="CQ194">
        <f>IF($C194="","",IF(AND($P194="",$Q194="",$S194="",$T194=""),"",IF(AND($P194="",$Q194=""),"⚠ 先に1便目（左の入庫日・入庫数）に入れてください",IF($CI194&lt;&gt;"",$CI194,IF($CJ194&lt;&gt;"",$CJ194,IF($M194="","？ 減り数が未設定（発注書には載ります）",IF($B$3=0,"？ 動員が未入力（発注書には載ります）",IF(AND($CA194&lt;&gt;"",$P194&gt;$CA194),IF($P194&gt;'設定'!$C$6+N('設定'!$C$7),"● "&amp;TEXT($P194,"m/d")&amp;"("&amp;CHOOSE(WEEKDAY($P194),"日","月","火","水","木","金","土")&amp;")"&amp;" の入庫では間に合わない（"&amp;TEXT($CA194,"m/d")&amp;"("&amp;CHOOSE(WEEKDAY($CA194),"日","月","火","水","木","金","土")&amp;")"&amp;" に切れる）　入庫日を早める","△ 欠品 "&amp;TEXT($CA194,"m/d")&amp;"("&amp;CHOOSE(WEEKDAY($CA194),"日","月","火","水","木","金","土")&amp;")"&amp;"〜"&amp;TEXT($P194-1,"m/d")&amp;"("&amp;CHOOSE(WEEKDAY($P194-1),"日","月","火","水","木","金","土")&amp;")"&amp;"　"&amp;$CO194),IF($CC194="","○ "&amp;TEXT($P194,"m/d")&amp;"("&amp;CHOOSE(WEEKDAY($P194),"日","月","火","水","木","金","土")&amp;")"&amp;" 入庫で 14日以上もつ",IF($CC194-N('設定'!$C$7)&lt;='設定'!$C$6,"● 入庫しても "&amp;TEXT($CC194,"m/d")&amp;"("&amp;CHOOSE(WEEKDAY($CC194),"日","月","火","水","木","金","土")&amp;")"&amp;" に切れる　もう1便を至急発注（2便目に入れる）","△ 入庫しても "&amp;TEXT($CC194,"m/d")&amp;"("&amp;CHOOSE(WEEKDAY($CC194),"日","月","火","水","木","金","土")&amp;")"&amp;" に切れる　"&amp;TEXT($CC194-N('設定'!$C$7),"m/d")&amp;"("&amp;CHOOSE(WEEKDAY($CC194-N('設定'!$C$7)),"日","月","火","水","木","金","土")&amp;")"&amp;" までに次を発注（2便目に入れる）"))))))))))</f>
        <v/>
      </c>
      <c r="CR194">
        <f>IF($C194="","",IF($G194&gt;1,"ｹｰｽ("&amp;$G194&amp;"入)","個"))</f>
        <v/>
      </c>
      <c r="CS194">
        <f>IF($C194="",0,IF(COUNTIFS('①在庫を貼る'!$V$6:$V$10005,'設定'!$C$4,'①在庫を貼る'!$W$6:$W$10005,$C194)=0,1,0))</f>
        <v/>
      </c>
      <c r="CT194">
        <f>IF(AND($CK194=1,OR('③発注書'!$C$4="すべて",'③発注書'!$C$4="",$F194='③発注書'!$C$4)),N($CT193)+1,N($CT193))</f>
        <v/>
      </c>
      <c r="CU194">
        <f>IF(AND($CL194=1,OR('③発注書'!$C$4="すべて",'③発注書'!$C$4="",$F194='③発注書'!$C$4)),N($CU193)+1,N($CU193))</f>
        <v/>
      </c>
      <c r="CV194">
        <f>IF($C194="",0,IF(COUNTIFS('①在庫を貼る'!$V$6:$V$10005,'設定'!$C$4,'①在庫を貼る'!$W$6:$W$10005,$C194)&gt;0,1,0))</f>
        <v/>
      </c>
      <c r="CW194">
        <f>IF($C194="",0,IF(COUNTIFS('月1回_1ヶ月前の在庫'!$V$6:$V$10005,'設定'!$C$4,'月1回_1ヶ月前の在庫'!$W$6:$W$10005,$C194)&gt;0,1,0))</f>
        <v/>
      </c>
      <c r="CX194">
        <f>IF($C194="",0,IF(COUNTIFS('月1回_2ヶ月前の在庫'!$V$6:$V$10005,'設定'!$C$4,'月1回_2ヶ月前の在庫'!$W$6:$W$10005,$C194)&gt;0,1,0))</f>
        <v/>
      </c>
      <c r="CY194">
        <f>IF(OR($C194="",'設定'!$C$12=""),"",IF('設定'!$C$13="",IF(AND($CV194=1,$CW194=0),"新商品（今月から）",IF(AND($CV194=0,$CW194=1),"終売（今月から）","")),IF(AND($CV194=1,$CW194=0,$CX194=0),"新商品（今月から）",IF(AND($CV194=1,$CW194=1,$CX194=0),"新商品（先月から）",IF(AND($CV194=0,$CW194=1,$CX194=1),"終売（今月から）",IF(AND($CV194=0,$CW194=0,$CX194=1),"終売（先月から）",IF(AND($CV194=1,$CW194=0,$CX194=1),"復活（先月は無し）","")))))))</f>
        <v/>
      </c>
    </row>
    <row r="195">
      <c r="B195">
        <f>IF(190&lt;='設定'!$C$11,190,"")</f>
        <v/>
      </c>
      <c r="C195">
        <f>IF($B195="","",IF($B195&lt;='設定'!$C$20,INDEX('商品マスタ'!$B$6:$B$1005,MATCH($B195,'商品マスタ'!$M$6:$M$1005,0)),IF($B195&lt;='設定'!$C$20+'設定'!$C$17,INDEX('①在庫を貼る'!$W$6:$W$10005,MATCH($B195-'設定'!$C$20,'①在庫を貼る'!$U$6:$U$10005,0)),IF($B195&lt;='設定'!$C$20+'設定'!$C$17+'設定'!$C$18,INDEX('月1回_1ヶ月前の在庫'!$W$6:$W$10005,MATCH($B195-'設定'!$C$20-'設定'!$C$17,'月1回_1ヶ月前の在庫'!$U$6:$U$10005,0)),INDEX('月1回_2ヶ月前の在庫'!$W$6:$W$10005,MATCH($B195-'設定'!$C$20-'設定'!$C$17-'設定'!$C$18,'月1回_2ヶ月前の在庫'!$U$6:$U$10005,0))))))</f>
        <v/>
      </c>
      <c r="D195">
        <f>IF($C195="","",IFERROR(IF(INDEX('商品マスタ'!$C$6:$C$1005,MATCH($C195,'商品マスタ'!$B$6:$B$1005,0))="",IFERROR(INDEX('①在庫を貼る'!$J$6:$J$10005,MATCH($C195,'①在庫を貼る'!$W$6:$W$10005,0)),IFERROR(INDEX('月1回_1ヶ月前の在庫'!$J$6:$J$10005,MATCH($C195,'月1回_1ヶ月前の在庫'!$W$6:$W$10005,0)),IFERROR(INDEX('月1回_2ヶ月前の在庫'!$J$6:$J$10005,MATCH($C195,'月1回_2ヶ月前の在庫'!$W$6:$W$10005,0)),""))),INDEX('商品マスタ'!$C$6:$C$1005,MATCH($C195,'商品マスタ'!$B$6:$B$1005,0))),IFERROR(INDEX('①在庫を貼る'!$J$6:$J$10005,MATCH($C195,'①在庫を貼る'!$W$6:$W$10005,0)),IFERROR(INDEX('月1回_1ヶ月前の在庫'!$J$6:$J$10005,MATCH($C195,'月1回_1ヶ月前の在庫'!$W$6:$W$10005,0)),IFERROR(INDEX('月1回_2ヶ月前の在庫'!$J$6:$J$10005,MATCH($C195,'月1回_2ヶ月前の在庫'!$W$6:$W$10005,0)),"")))))</f>
        <v/>
      </c>
      <c r="E195">
        <f>IF($C195="","",IFERROR(IF(INDEX('商品マスタ'!$D$6:$D$1005,MATCH($C195,'商品マスタ'!$B$6:$B$1005,0))="",IFERROR(INDEX('①在庫を貼る'!$H$6:$H$10005,MATCH($C195,'①在庫を貼る'!$W$6:$W$10005,0)),IFERROR(INDEX('月1回_1ヶ月前の在庫'!$H$6:$H$10005,MATCH($C195,'月1回_1ヶ月前の在庫'!$W$6:$W$10005,0)),IFERROR(INDEX('月1回_2ヶ月前の在庫'!$H$6:$H$10005,MATCH($C195,'月1回_2ヶ月前の在庫'!$W$6:$W$10005,0)),""))),INDEX('商品マスタ'!$D$6:$D$1005,MATCH($C195,'商品マスタ'!$B$6:$B$1005,0))),IFERROR(INDEX('①在庫を貼る'!$H$6:$H$10005,MATCH($C195,'①在庫を貼る'!$W$6:$W$10005,0)),IFERROR(INDEX('月1回_1ヶ月前の在庫'!$H$6:$H$10005,MATCH($C195,'月1回_1ヶ月前の在庫'!$W$6:$W$10005,0)),IFERROR(INDEX('月1回_2ヶ月前の在庫'!$H$6:$H$10005,MATCH($C195,'月1回_2ヶ月前の在庫'!$W$6:$W$10005,0)),"")))))</f>
        <v/>
      </c>
      <c r="F195">
        <f>IF($C195="","",IFERROR(IF(INDEX('商品マスタ'!$E$6:$E$1005,MATCH($C195,'商品マスタ'!$B$6:$B$1005,0))="",IFERROR(INDEX('①在庫を貼る'!$E$6:$E$10005,MATCH($C195,'①在庫を貼る'!$W$6:$W$10005,0)),IFERROR(INDEX('月1回_1ヶ月前の在庫'!$E$6:$E$10005,MATCH($C195,'月1回_1ヶ月前の在庫'!$W$6:$W$10005,0)),IFERROR(INDEX('月1回_2ヶ月前の在庫'!$E$6:$E$10005,MATCH($C195,'月1回_2ヶ月前の在庫'!$W$6:$W$10005,0)),""))),INDEX('商品マスタ'!$E$6:$E$1005,MATCH($C195,'商品マスタ'!$B$6:$B$1005,0))),IFERROR(INDEX('①在庫を貼る'!$E$6:$E$10005,MATCH($C195,'①在庫を貼る'!$W$6:$W$10005,0)),IFERROR(INDEX('月1回_1ヶ月前の在庫'!$E$6:$E$10005,MATCH($C195,'月1回_1ヶ月前の在庫'!$W$6:$W$10005,0)),IFERROR(INDEX('月1回_2ヶ月前の在庫'!$E$6:$E$10005,MATCH($C195,'月1回_2ヶ月前の在庫'!$W$6:$W$10005,0)),"")))))</f>
        <v/>
      </c>
      <c r="G195">
        <f>IF($C195="","",MAX(1,N(IFERROR(IF(INDEX('商品マスタ'!$F$6:$F$1005,MATCH($C195,'商品マスタ'!$B$6:$B$1005,0))="",IF(COUNTIFS('①在庫を貼る'!$V$6:$V$10005,'設定'!$C$4,'①在庫を貼る'!$W$6:$W$10005,$C195)&gt;0,SUMIFS('①在庫を貼る'!$K$6:$K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K$6:$K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K$6:$K$10005,'月1回_2ヶ月前の在庫'!$V$6:$V$10005,'設定'!$C$4,'月1回_2ヶ月前の在庫'!$W$6:$W$10005,$C195)/COUNTIFS('月1回_2ヶ月前の在庫'!$V$6:$V$10005,'設定'!$C$4,'月1回_2ヶ月前の在庫'!$W$6:$W$10005,$C195),0))),INDEX('商品マスタ'!$F$6:$F$1005,MATCH($C195,'商品マスタ'!$B$6:$B$1005,0))),IF(COUNTIFS('①在庫を貼る'!$V$6:$V$10005,'設定'!$C$4,'①在庫を貼る'!$W$6:$W$10005,$C195)&gt;0,SUMIFS('①在庫を貼る'!$K$6:$K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K$6:$K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K$6:$K$10005,'月1回_2ヶ月前の在庫'!$V$6:$V$10005,'設定'!$C$4,'月1回_2ヶ月前の在庫'!$W$6:$W$10005,$C195)/COUNTIFS('月1回_2ヶ月前の在庫'!$V$6:$V$10005,'設定'!$C$4,'月1回_2ヶ月前の在庫'!$W$6:$W$10005,$C195),0)))))))</f>
        <v/>
      </c>
      <c r="H195">
        <f>IF($C195="","",N(IFERROR(IF(INDEX('商品マスタ'!$G$6:$G$1005,MATCH($C195,'商品マスタ'!$B$6:$B$1005,0))="",IF(COUNTIFS('①在庫を貼る'!$V$6:$V$10005,'設定'!$C$4,'①在庫を貼る'!$W$6:$W$10005,$C195)&gt;0,SUMIFS('①在庫を貼る'!$Q$6:$Q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Q$6:$Q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Q$6:$Q$10005,'月1回_2ヶ月前の在庫'!$V$6:$V$10005,'設定'!$C$4,'月1回_2ヶ月前の在庫'!$W$6:$W$10005,$C195)/COUNTIFS('月1回_2ヶ月前の在庫'!$V$6:$V$10005,'設定'!$C$4,'月1回_2ヶ月前の在庫'!$W$6:$W$10005,$C195),0))),INDEX('商品マスタ'!$G$6:$G$1005,MATCH($C195,'商品マスタ'!$B$6:$B$1005,0))),IF(COUNTIFS('①在庫を貼る'!$V$6:$V$10005,'設定'!$C$4,'①在庫を貼る'!$W$6:$W$10005,$C195)&gt;0,SUMIFS('①在庫を貼る'!$Q$6:$Q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Q$6:$Q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Q$6:$Q$10005,'月1回_2ヶ月前の在庫'!$V$6:$V$10005,'設定'!$C$4,'月1回_2ヶ月前の在庫'!$W$6:$W$10005,$C195)/COUNTIFS('月1回_2ヶ月前の在庫'!$V$6:$V$10005,'設定'!$C$4,'月1回_2ヶ月前の在庫'!$W$6:$W$10005,$C195),0))))))</f>
        <v/>
      </c>
      <c r="I195">
        <f>IF($C195="","",IF(COUNTIFS('①在庫を貼る'!$V$6:$V$10005,'設定'!$C$4,'①在庫を貼る'!$W$6:$W$10005,$C195)=0,"",SUMIFS('①在庫を貼る'!$N$6:$N$10005,'①在庫を貼る'!$V$6:$V$10005,'設定'!$C$4,'①在庫を貼る'!$W$6:$W$10005,$C195)))</f>
        <v/>
      </c>
      <c r="J195">
        <f>IF($C195="","",IF('②発注する'!$AD199="","",'②発注する'!$AD199))</f>
        <v/>
      </c>
      <c r="K195" s="90">
        <f>IF($C195="","",IF('②発注する'!$AE199="","",'②発注する'!$AE199))</f>
        <v/>
      </c>
      <c r="L195">
        <f>IF($C195="","",IF(AND(ISNUMBER($J195),ISNUMBER($K195),$K195&gt;='設定'!$C$6),$J195,N($I195)))</f>
        <v/>
      </c>
      <c r="M195">
        <f>IF($C195="","",IFERROR(IF(N(INDEX('商品マスタ'!$J$6:$J$1005,MATCH($C195,'商品マスタ'!$B$6:$B$1005,0)))&gt;0,INDEX('商品マスタ'!$J$6:$J$1005,MATCH($C195,'商品マスタ'!$B$6:$B$1005,0)),""),""))</f>
        <v/>
      </c>
      <c r="N195">
        <f>IF($C195="","",IFERROR(IF(N(INDEX('商品マスタ'!$H$6:$H$1005,MATCH($C195,'商品マスタ'!$B$6:$B$1005,0)))&gt;0,INDEX('商品マスタ'!$H$6:$H$1005,MATCH($C195,'商品マスタ'!$B$6:$B$1005,0)),""),""))</f>
        <v/>
      </c>
      <c r="O195">
        <f>IF($C195="","",IF($N195&lt;&gt;"",$N195*$G195,IF(N(IF(COUNTIFS('①在庫を貼る'!$V$6:$V$10005,'設定'!$C$4,'①在庫を貼る'!$W$6:$W$10005,$C195)&gt;0,SUMIFS('①在庫を貼る'!$O$6:$O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O$6:$O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O$6:$O$10005,'月1回_2ヶ月前の在庫'!$V$6:$V$10005,'設定'!$C$4,'月1回_2ヶ月前の在庫'!$W$6:$W$10005,$C195)/COUNTIFS('月1回_2ヶ月前の在庫'!$V$6:$V$10005,'設定'!$C$4,'月1回_2ヶ月前の在庫'!$W$6:$W$10005,$C195),0))))&gt;0,N(IF(COUNTIFS('①在庫を貼る'!$V$6:$V$10005,'設定'!$C$4,'①在庫を貼る'!$W$6:$W$10005,$C195)&gt;0,SUMIFS('①在庫を貼る'!$O$6:$O$10005,'①在庫を貼る'!$V$6:$V$10005,'設定'!$C$4,'①在庫を貼る'!$W$6:$W$10005,$C195)/COUNTIFS('①在庫を貼る'!$V$6:$V$10005,'設定'!$C$4,'①在庫を貼る'!$W$6:$W$10005,$C195),IF(COUNTIFS('月1回_1ヶ月前の在庫'!$V$6:$V$10005,'設定'!$C$4,'月1回_1ヶ月前の在庫'!$W$6:$W$10005,$C195)&gt;0,SUMIFS('月1回_1ヶ月前の在庫'!$O$6:$O$10005,'月1回_1ヶ月前の在庫'!$V$6:$V$10005,'設定'!$C$4,'月1回_1ヶ月前の在庫'!$W$6:$W$10005,$C195)/COUNTIFS('月1回_1ヶ月前の在庫'!$V$6:$V$10005,'設定'!$C$4,'月1回_1ヶ月前の在庫'!$W$6:$W$10005,$C195),IF(COUNTIFS('月1回_2ヶ月前の在庫'!$V$6:$V$10005,'設定'!$C$4,'月1回_2ヶ月前の在庫'!$W$6:$W$10005,$C195)&gt;0,SUMIFS('月1回_2ヶ月前の在庫'!$O$6:$O$10005,'月1回_2ヶ月前の在庫'!$V$6:$V$10005,'設定'!$C$4,'月1回_2ヶ月前の在庫'!$W$6:$W$10005,$C195)/COUNTIFS('月1回_2ヶ月前の在庫'!$V$6:$V$10005,'設定'!$C$4,'月1回_2ヶ月前の在庫'!$W$6:$W$10005,$C195),0)))),"")))</f>
        <v/>
      </c>
      <c r="P195" s="90">
        <f>IF($C195="","",IF('②発注する'!$I199="","",'②発注する'!$I199))</f>
        <v/>
      </c>
      <c r="Q195">
        <f>IF($C195="","",IF('②発注する'!$J199="","",'②発注する'!$J199))</f>
        <v/>
      </c>
      <c r="R195">
        <f>IF($C195="",0,IF(AND(ISNUMBER($P195),ISNUMBER($Q195)),MAX(0,$Q195)*$G195,0))</f>
        <v/>
      </c>
      <c r="S195" s="90">
        <f>IF($C195="","",IF('②発注する'!$M199="","",'②発注する'!$M199))</f>
        <v/>
      </c>
      <c r="T195">
        <f>IF($C195="","",IF('②発注する'!$N199="","",'②発注する'!$N199))</f>
        <v/>
      </c>
      <c r="U195">
        <f>IF($C195="",0,IF(AND(ISNUMBER($S195),ISNUMBER($T195)),MAX(0,$T195)*$G195,0))</f>
        <v/>
      </c>
      <c r="V195">
        <f>IF($C195="",0,IF($M195="",0,MAX(0,$M195)*MAX(0,V$4)/100))</f>
        <v/>
      </c>
      <c r="W195">
        <f>IF($C195="",0,IF($M195="",0,MAX(0,$M195)*MAX(0,W$4)/100))</f>
        <v/>
      </c>
      <c r="X195">
        <f>IF($C195="",0,IF($M195="",0,MAX(0,$M195)*MAX(0,X$4)/100))</f>
        <v/>
      </c>
      <c r="Y195">
        <f>IF($C195="",0,IF($M195="",0,MAX(0,$M195)*MAX(0,Y$4)/100))</f>
        <v/>
      </c>
      <c r="Z195">
        <f>IF($C195="",0,IF($M195="",0,MAX(0,$M195)*MAX(0,Z$4)/100))</f>
        <v/>
      </c>
      <c r="AA195">
        <f>IF($C195="",0,IF($M195="",0,MAX(0,$M195)*MAX(0,AA$4)/100))</f>
        <v/>
      </c>
      <c r="AB195">
        <f>IF($C195="",0,IF($M195="",0,MAX(0,$M195)*MAX(0,AB$4)/100))</f>
        <v/>
      </c>
      <c r="AC195">
        <f>IF($C195="",0,IF($M195="",0,MAX(0,$M195)*MAX(0,AC$4)/100))</f>
        <v/>
      </c>
      <c r="AD195">
        <f>IF($C195="",0,IF($M195="",0,MAX(0,$M195)*MAX(0,AD$4)/100))</f>
        <v/>
      </c>
      <c r="AE195">
        <f>IF($C195="",0,IF($M195="",0,MAX(0,$M195)*MAX(0,AE$4)/100))</f>
        <v/>
      </c>
      <c r="AF195">
        <f>IF($C195="",0,IF($M195="",0,MAX(0,$M195)*MAX(0,AF$4)/100))</f>
        <v/>
      </c>
      <c r="AG195">
        <f>IF($C195="",0,IF($M195="",0,MAX(0,$M195)*MAX(0,AG$4)/100))</f>
        <v/>
      </c>
      <c r="AH195">
        <f>IF($C195="",0,IF($M195="",0,MAX(0,$M195)*MAX(0,AH$4)/100))</f>
        <v/>
      </c>
      <c r="AI195">
        <f>IF($C195="",0,IF($M195="",0,MAX(0,$M195)*MAX(0,AI$4)/100))</f>
        <v/>
      </c>
      <c r="AJ195">
        <f>IF($C195="",0,MAX(0,MAX(0,N($L195))-$V195))</f>
        <v/>
      </c>
      <c r="AK195">
        <f>IF($C195="",0,MAX(0,$AJ195-$W195))</f>
        <v/>
      </c>
      <c r="AL195">
        <f>IF($C195="",0,MAX(0,$AK195-$X195))</f>
        <v/>
      </c>
      <c r="AM195">
        <f>IF($C195="",0,MAX(0,$AL195-$Y195))</f>
        <v/>
      </c>
      <c r="AN195">
        <f>IF($C195="",0,MAX(0,$AM195-$Z195))</f>
        <v/>
      </c>
      <c r="AO195">
        <f>IF($C195="",0,MAX(0,$AN195-$AA195))</f>
        <v/>
      </c>
      <c r="AP195">
        <f>IF($C195="",0,MAX(0,$AO195-$AB195))</f>
        <v/>
      </c>
      <c r="AQ195">
        <f>IF($C195="",0,MAX(0,$AP195-$AC195))</f>
        <v/>
      </c>
      <c r="AR195">
        <f>IF($C195="",0,MAX(0,$AQ195-$AD195))</f>
        <v/>
      </c>
      <c r="AS195">
        <f>IF($C195="",0,MAX(0,$AR195-$AE195))</f>
        <v/>
      </c>
      <c r="AT195">
        <f>IF($C195="",0,MAX(0,$AS195-$AF195))</f>
        <v/>
      </c>
      <c r="AU195">
        <f>IF($C195="",0,MAX(0,$AT195-$AG195))</f>
        <v/>
      </c>
      <c r="AV195">
        <f>IF($C195="",0,MAX(0,$AU195-$AH195))</f>
        <v/>
      </c>
      <c r="AW195">
        <f>IF($C195="",0,MAX(0,$AV195-$AI195))</f>
        <v/>
      </c>
      <c r="AX195">
        <f>IF($C195="",0,MAX(0,MAX(0,N($L195))+IF($P195=V$3,$R195,0)+IF($S195=V$3,$U195,0)-$V195))</f>
        <v/>
      </c>
      <c r="AY195">
        <f>IF($C195="",0,MAX(0,$AX195+IF($P195=W$3,$R195,0)+IF($S195=W$3,$U195,0)-$W195))</f>
        <v/>
      </c>
      <c r="AZ195">
        <f>IF($C195="",0,MAX(0,$AY195+IF($P195=X$3,$R195,0)+IF($S195=X$3,$U195,0)-$X195))</f>
        <v/>
      </c>
      <c r="BA195">
        <f>IF($C195="",0,MAX(0,$AZ195+IF($P195=Y$3,$R195,0)+IF($S195=Y$3,$U195,0)-$Y195))</f>
        <v/>
      </c>
      <c r="BB195">
        <f>IF($C195="",0,MAX(0,$BA195+IF($P195=Z$3,$R195,0)+IF($S195=Z$3,$U195,0)-$Z195))</f>
        <v/>
      </c>
      <c r="BC195">
        <f>IF($C195="",0,MAX(0,$BB195+IF($P195=AA$3,$R195,0)+IF($S195=AA$3,$U195,0)-$AA195))</f>
        <v/>
      </c>
      <c r="BD195">
        <f>IF($C195="",0,MAX(0,$BC195+IF($P195=AB$3,$R195,0)+IF($S195=AB$3,$U195,0)-$AB195))</f>
        <v/>
      </c>
      <c r="BE195">
        <f>IF($C195="",0,MAX(0,$BD195+IF($P195=AC$3,$R195,0)+IF($S195=AC$3,$U195,0)-$AC195))</f>
        <v/>
      </c>
      <c r="BF195">
        <f>IF($C195="",0,MAX(0,$BE195+IF($P195=AD$3,$R195,0)+IF($S195=AD$3,$U195,0)-$AD195))</f>
        <v/>
      </c>
      <c r="BG195">
        <f>IF($C195="",0,MAX(0,$BF195+IF($P195=AE$3,$R195,0)+IF($S195=AE$3,$U195,0)-$AE195))</f>
        <v/>
      </c>
      <c r="BH195">
        <f>IF($C195="",0,MAX(0,$BG195+IF($P195=AF$3,$R195,0)+IF($S195=AF$3,$U195,0)-$AF195))</f>
        <v/>
      </c>
      <c r="BI195">
        <f>IF($C195="",0,MAX(0,$BH195+IF($P195=AG$3,$R195,0)+IF($S195=AG$3,$U195,0)-$AG195))</f>
        <v/>
      </c>
      <c r="BJ195">
        <f>IF($C195="",0,MAX(0,$BI195+IF($P195=AH$3,$R195,0)+IF($S195=AH$3,$U195,0)-$AH195))</f>
        <v/>
      </c>
      <c r="BK195">
        <f>IF($C195="",0,MAX(0,$BJ195+IF($P195=AI$3,$R195,0)+IF($S195=AI$3,$U195,0)-$AI195))</f>
        <v/>
      </c>
      <c r="BL195">
        <f>IF($C195="",99,IF(AND($AX195&lt;1,V$3&gt;=MAX(N($P195),N($S195))),0,99))</f>
        <v/>
      </c>
      <c r="BM195">
        <f>IF($C195="",99,IF(AND($AY195&lt;1,W$3&gt;=MAX(N($P195),N($S195))),1,99))</f>
        <v/>
      </c>
      <c r="BN195">
        <f>IF($C195="",99,IF(AND($AZ195&lt;1,X$3&gt;=MAX(N($P195),N($S195))),2,99))</f>
        <v/>
      </c>
      <c r="BO195">
        <f>IF($C195="",99,IF(AND($BA195&lt;1,Y$3&gt;=MAX(N($P195),N($S195))),3,99))</f>
        <v/>
      </c>
      <c r="BP195">
        <f>IF($C195="",99,IF(AND($BB195&lt;1,Z$3&gt;=MAX(N($P195),N($S195))),4,99))</f>
        <v/>
      </c>
      <c r="BQ195">
        <f>IF($C195="",99,IF(AND($BC195&lt;1,AA$3&gt;=MAX(N($P195),N($S195))),5,99))</f>
        <v/>
      </c>
      <c r="BR195">
        <f>IF($C195="",99,IF(AND($BD195&lt;1,AB$3&gt;=MAX(N($P195),N($S195))),6,99))</f>
        <v/>
      </c>
      <c r="BS195">
        <f>IF($C195="",99,IF(AND($BE195&lt;1,AC$3&gt;=MAX(N($P195),N($S195))),7,99))</f>
        <v/>
      </c>
      <c r="BT195">
        <f>IF($C195="",99,IF(AND($BF195&lt;1,AD$3&gt;=MAX(N($P195),N($S195))),8,99))</f>
        <v/>
      </c>
      <c r="BU195">
        <f>IF($C195="",99,IF(AND($BG195&lt;1,AE$3&gt;=MAX(N($P195),N($S195))),9,99))</f>
        <v/>
      </c>
      <c r="BV195">
        <f>IF($C195="",99,IF(AND($BH195&lt;1,AF$3&gt;=MAX(N($P195),N($S195))),10,99))</f>
        <v/>
      </c>
      <c r="BW195">
        <f>IF($C195="",99,IF(AND($BI195&lt;1,AG$3&gt;=MAX(N($P195),N($S195))),11,99))</f>
        <v/>
      </c>
      <c r="BX195">
        <f>IF($C195="",99,IF(AND($BJ195&lt;1,AH$3&gt;=MAX(N($P195),N($S195))),12,99))</f>
        <v/>
      </c>
      <c r="BY195">
        <f>IF($C195="",99,IF(AND($BK195&lt;1,AI$3&gt;=MAX(N($P195),N($S195))),13,99))</f>
        <v/>
      </c>
      <c r="BZ195">
        <f>IF(OR($C195="",$M195=""),"",COUNTIF($AJ195:$AW195,"&gt;=1"))</f>
        <v/>
      </c>
      <c r="CA195" s="90">
        <f>IF($BZ195="","",IF($BZ195&gt;=14,"",'設定'!$C$6+$BZ195))</f>
        <v/>
      </c>
      <c r="CB195">
        <f>IF(OR($C195="",$M195=""),"",MIN($BL195:$BY195))</f>
        <v/>
      </c>
      <c r="CC195" s="90">
        <f>IF($CB195="","",IF($CB195&gt;=99,"",'設定'!$C$6+$CB195))</f>
        <v/>
      </c>
      <c r="CD195">
        <f>IF(OR($C195="",$M195=""),"",AVERAGE($V195:$AI195))</f>
        <v/>
      </c>
      <c r="CE195">
        <f>IF($C195="","",IFERROR(IF(MATCH(IF(ISNUMBER($P195),$P195,'設定'!$C$6+N('設定'!$C$7)),$V$3:$AI$3,0)=1,MAX(0,N($L195)),INDEX($AJ195:$AW195,MATCH(IF(ISNUMBER($P195),$P195,'設定'!$C$6+N('設定'!$C$7)),$V$3:$AI$3,0)-1)),""))</f>
        <v/>
      </c>
      <c r="CF195">
        <f>IF(OR($C195="",$O195="",$CE195=""),"",IF($O195-$CE195&lt;=0,0,ROUNDUP(($O195-$CE195)/$G195,0)))</f>
        <v/>
      </c>
      <c r="CG195">
        <f>IF(OR($C195="",$CF195="",NOT(ISNUMBER($Q195))),0,MAX(0,$Q195-$CF195))</f>
        <v/>
      </c>
      <c r="CH195">
        <f>IF(OR($C195="",$O195="",$U195=0),0,IFERROR(ROUNDUP(MAX(0,IF(MATCH($S195,$V$3:$AI$3,0)=1,MAX(0,N($L195)),INDEX($AX195:$BK195,MATCH($S195,$V$3:$AI$3,0)-1))+$U195-$O195)/$G195,0),0))</f>
        <v/>
      </c>
      <c r="CI195">
        <f>IF($C195="","",IF(AND($P195="",$Q195=""),"",IF($P195="","⚠ 入庫日を ▼ から選んでください",IF(NOT(ISNUMBER($P195)),"⚠ 入庫日は ▼ から選んでください",IF($P195&lt;N('設定'!$C$6),"⚠ 入庫日が過去です（もう在庫に入っています）→ 消してください",IF($P195&gt;N('設定'!$C$6)+13,"⚠ 入庫日が14日より先です",IF(N($Q195)&lt;=0,"⚠ 入庫数を入れてください",IF($CG195&gt;0,"⚠ 目安より "&amp;$CG195&amp;" 多い（定数を超える）→ 減らす",""))))))))</f>
        <v/>
      </c>
      <c r="CJ195">
        <f>IF($C195="","",IF(AND($S195="",$T195=""),"",IF($S195="","⚠ 2便目：入庫日を ▼ から選んでください",IF(NOT(ISNUMBER($S195)),"⚠ 2便目：入庫日は ▼ から選んでください",IF($S195&lt;N('設定'!$C$6),"⚠ 2便目：入庫日が過去です（もう在庫に入っています）→ 消してください",IF($S195&gt;N('設定'!$C$6)+13,"⚠ 2便目：入庫日が14日より先です",IF(N($T195)&lt;=0,"⚠ 2便目：入庫数を入れてください",IF($CH195&gt;0,"⚠ 2便目：定数を "&amp;$CH195&amp;" ケース超える → 減らす",""))))))))</f>
        <v/>
      </c>
      <c r="CK195">
        <f>IF(AND($CI195="",N($Q195)&gt;0,ISNUMBER($P195)),1,0)</f>
        <v/>
      </c>
      <c r="CL195">
        <f>IF(AND($CJ195="",N($T195)&gt;0,ISNUMBER($S195)),1,0)</f>
        <v/>
      </c>
      <c r="CM195">
        <f>IF(OR($CK195=1,$CL195=1),1,0)</f>
        <v/>
      </c>
      <c r="CN195">
        <f>IF($C195="",0,($CK195*$R195+$CL195*$U195)*N($H195))</f>
        <v/>
      </c>
      <c r="CO195">
        <f>IF($C195="","",IF($CC195="","入庫後は 14日以上もつ",IF($CC195-N('設定'!$C$7)&lt;='設定'!$C$6,"入庫後も "&amp;TEXT($CC195,"m/d")&amp;"("&amp;CHOOSE(WEEKDAY($CC195),"日","月","火","水","木","金","土")&amp;")"&amp;" に切れる　もう1便を至急発注","入庫後も "&amp;TEXT($CC195,"m/d")&amp;"("&amp;CHOOSE(WEEKDAY($CC195),"日","月","火","水","木","金","土")&amp;")"&amp;" に切れる　"&amp;TEXT($CC195-N('設定'!$C$7),"m/d")&amp;"("&amp;CHOOSE(WEEKDAY($CC195-N('設定'!$C$7)),"日","月","火","水","木","金","土")&amp;")"&amp;" までに次を発注")))</f>
        <v/>
      </c>
      <c r="CP195">
        <f>IF($C195="","",IF('設定'!$C$6="","？ ①在庫を貼る に今日のCSVが貼られていない",IF($CS195=1,"－ 今日のCSVに無い（終売？）",IF($L195&lt;0,"● 在庫がマイナス　数えて「数えた在庫」に入れる",IF($L195=0,"● 在庫なし　至急発注",IF($M195="","？ 減り数が未設定（商品マスタ）",IF($B$3=0,"？ 動員が未入力（動員を入れる）",IF($CA195="","○ 14日以上もつ",IF($BZ195&lt;N('設定'!$C$7),"● "&amp;TEXT($CA195,"m/d")&amp;"("&amp;CHOOSE(WEEKDAY($CA195),"日","月","火","水","木","金","土")&amp;")"&amp;" に切れる　至急発注",IF($BZ195=N('設定'!$C$7),"● "&amp;TEXT($CA195,"m/d")&amp;"("&amp;CHOOSE(WEEKDAY($CA195),"日","月","火","水","木","金","土")&amp;")"&amp;" に切れる　今日発注","△ "&amp;TEXT($CA195,"m/d")&amp;"("&amp;CHOOSE(WEEKDAY($CA195),"日","月","火","水","木","金","土")&amp;")"&amp;" に切れる　"&amp;TEXT($CA195-N('設定'!$C$7),"m/d")&amp;"("&amp;CHOOSE(WEEKDAY($CA195-N('設定'!$C$7)),"日","月","火","水","木","金","土")&amp;")"&amp;" までに発注"))))))))))</f>
        <v/>
      </c>
      <c r="CQ195">
        <f>IF($C195="","",IF(AND($P195="",$Q195="",$S195="",$T195=""),"",IF(AND($P195="",$Q195=""),"⚠ 先に1便目（左の入庫日・入庫数）に入れてください",IF($CI195&lt;&gt;"",$CI195,IF($CJ195&lt;&gt;"",$CJ195,IF($M195="","？ 減り数が未設定（発注書には載ります）",IF($B$3=0,"？ 動員が未入力（発注書には載ります）",IF(AND($CA195&lt;&gt;"",$P195&gt;$CA195),IF($P195&gt;'設定'!$C$6+N('設定'!$C$7),"● "&amp;TEXT($P195,"m/d")&amp;"("&amp;CHOOSE(WEEKDAY($P195),"日","月","火","水","木","金","土")&amp;")"&amp;" の入庫では間に合わない（"&amp;TEXT($CA195,"m/d")&amp;"("&amp;CHOOSE(WEEKDAY($CA195),"日","月","火","水","木","金","土")&amp;")"&amp;" に切れる）　入庫日を早める","△ 欠品 "&amp;TEXT($CA195,"m/d")&amp;"("&amp;CHOOSE(WEEKDAY($CA195),"日","月","火","水","木","金","土")&amp;")"&amp;"〜"&amp;TEXT($P195-1,"m/d")&amp;"("&amp;CHOOSE(WEEKDAY($P195-1),"日","月","火","水","木","金","土")&amp;")"&amp;"　"&amp;$CO195),IF($CC195="","○ "&amp;TEXT($P195,"m/d")&amp;"("&amp;CHOOSE(WEEKDAY($P195),"日","月","火","水","木","金","土")&amp;")"&amp;" 入庫で 14日以上もつ",IF($CC195-N('設定'!$C$7)&lt;='設定'!$C$6,"● 入庫しても "&amp;TEXT($CC195,"m/d")&amp;"("&amp;CHOOSE(WEEKDAY($CC195),"日","月","火","水","木","金","土")&amp;")"&amp;" に切れる　もう1便を至急発注（2便目に入れる）","△ 入庫しても "&amp;TEXT($CC195,"m/d")&amp;"("&amp;CHOOSE(WEEKDAY($CC195),"日","月","火","水","木","金","土")&amp;")"&amp;" に切れる　"&amp;TEXT($CC195-N('設定'!$C$7),"m/d")&amp;"("&amp;CHOOSE(WEEKDAY($CC195-N('設定'!$C$7)),"日","月","火","水","木","金","土")&amp;")"&amp;" までに次を発注（2便目に入れる）"))))))))))</f>
        <v/>
      </c>
      <c r="CR195">
        <f>IF($C195="","",IF($G195&gt;1,"ｹｰｽ("&amp;$G195&amp;"入)","個"))</f>
        <v/>
      </c>
      <c r="CS195">
        <f>IF($C195="",0,IF(COUNTIFS('①在庫を貼る'!$V$6:$V$10005,'設定'!$C$4,'①在庫を貼る'!$W$6:$W$10005,$C195)=0,1,0))</f>
        <v/>
      </c>
      <c r="CT195">
        <f>IF(AND($CK195=1,OR('③発注書'!$C$4="すべて",'③発注書'!$C$4="",$F195='③発注書'!$C$4)),N($CT194)+1,N($CT194))</f>
        <v/>
      </c>
      <c r="CU195">
        <f>IF(AND($CL195=1,OR('③発注書'!$C$4="すべて",'③発注書'!$C$4="",$F195='③発注書'!$C$4)),N($CU194)+1,N($CU194))</f>
        <v/>
      </c>
      <c r="CV195">
        <f>IF($C195="",0,IF(COUNTIFS('①在庫を貼る'!$V$6:$V$10005,'設定'!$C$4,'①在庫を貼る'!$W$6:$W$10005,$C195)&gt;0,1,0))</f>
        <v/>
      </c>
      <c r="CW195">
        <f>IF($C195="",0,IF(COUNTIFS('月1回_1ヶ月前の在庫'!$V$6:$V$10005,'設定'!$C$4,'月1回_1ヶ月前の在庫'!$W$6:$W$10005,$C195)&gt;0,1,0))</f>
        <v/>
      </c>
      <c r="CX195">
        <f>IF($C195="",0,IF(COUNTIFS('月1回_2ヶ月前の在庫'!$V$6:$V$10005,'設定'!$C$4,'月1回_2ヶ月前の在庫'!$W$6:$W$10005,$C195)&gt;0,1,0))</f>
        <v/>
      </c>
      <c r="CY195">
        <f>IF(OR($C195="",'設定'!$C$12=""),"",IF('設定'!$C$13="",IF(AND($CV195=1,$CW195=0),"新商品（今月から）",IF(AND($CV195=0,$CW195=1),"終売（今月から）","")),IF(AND($CV195=1,$CW195=0,$CX195=0),"新商品（今月から）",IF(AND($CV195=1,$CW195=1,$CX195=0),"新商品（先月から）",IF(AND($CV195=0,$CW195=1,$CX195=1),"終売（今月から）",IF(AND($CV195=0,$CW195=0,$CX195=1),"終売（先月から）",IF(AND($CV195=1,$CW195=0,$CX195=1),"復活（先月は無し）","")))))))</f>
        <v/>
      </c>
    </row>
    <row r="196">
      <c r="B196">
        <f>IF(191&lt;='設定'!$C$11,191,"")</f>
        <v/>
      </c>
      <c r="C196">
        <f>IF($B196="","",IF($B196&lt;='設定'!$C$20,INDEX('商品マスタ'!$B$6:$B$1005,MATCH($B196,'商品マスタ'!$M$6:$M$1005,0)),IF($B196&lt;='設定'!$C$20+'設定'!$C$17,INDEX('①在庫を貼る'!$W$6:$W$10005,MATCH($B196-'設定'!$C$20,'①在庫を貼る'!$U$6:$U$10005,0)),IF($B196&lt;='設定'!$C$20+'設定'!$C$17+'設定'!$C$18,INDEX('月1回_1ヶ月前の在庫'!$W$6:$W$10005,MATCH($B196-'設定'!$C$20-'設定'!$C$17,'月1回_1ヶ月前の在庫'!$U$6:$U$10005,0)),INDEX('月1回_2ヶ月前の在庫'!$W$6:$W$10005,MATCH($B196-'設定'!$C$20-'設定'!$C$17-'設定'!$C$18,'月1回_2ヶ月前の在庫'!$U$6:$U$10005,0))))))</f>
        <v/>
      </c>
      <c r="D196">
        <f>IF($C196="","",IFERROR(IF(INDEX('商品マスタ'!$C$6:$C$1005,MATCH($C196,'商品マスタ'!$B$6:$B$1005,0))="",IFERROR(INDEX('①在庫を貼る'!$J$6:$J$10005,MATCH($C196,'①在庫を貼る'!$W$6:$W$10005,0)),IFERROR(INDEX('月1回_1ヶ月前の在庫'!$J$6:$J$10005,MATCH($C196,'月1回_1ヶ月前の在庫'!$W$6:$W$10005,0)),IFERROR(INDEX('月1回_2ヶ月前の在庫'!$J$6:$J$10005,MATCH($C196,'月1回_2ヶ月前の在庫'!$W$6:$W$10005,0)),""))),INDEX('商品マスタ'!$C$6:$C$1005,MATCH($C196,'商品マスタ'!$B$6:$B$1005,0))),IFERROR(INDEX('①在庫を貼る'!$J$6:$J$10005,MATCH($C196,'①在庫を貼る'!$W$6:$W$10005,0)),IFERROR(INDEX('月1回_1ヶ月前の在庫'!$J$6:$J$10005,MATCH($C196,'月1回_1ヶ月前の在庫'!$W$6:$W$10005,0)),IFERROR(INDEX('月1回_2ヶ月前の在庫'!$J$6:$J$10005,MATCH($C196,'月1回_2ヶ月前の在庫'!$W$6:$W$10005,0)),"")))))</f>
        <v/>
      </c>
      <c r="E196">
        <f>IF($C196="","",IFERROR(IF(INDEX('商品マスタ'!$D$6:$D$1005,MATCH($C196,'商品マスタ'!$B$6:$B$1005,0))="",IFERROR(INDEX('①在庫を貼る'!$H$6:$H$10005,MATCH($C196,'①在庫を貼る'!$W$6:$W$10005,0)),IFERROR(INDEX('月1回_1ヶ月前の在庫'!$H$6:$H$10005,MATCH($C196,'月1回_1ヶ月前の在庫'!$W$6:$W$10005,0)),IFERROR(INDEX('月1回_2ヶ月前の在庫'!$H$6:$H$10005,MATCH($C196,'月1回_2ヶ月前の在庫'!$W$6:$W$10005,0)),""))),INDEX('商品マスタ'!$D$6:$D$1005,MATCH($C196,'商品マスタ'!$B$6:$B$1005,0))),IFERROR(INDEX('①在庫を貼る'!$H$6:$H$10005,MATCH($C196,'①在庫を貼る'!$W$6:$W$10005,0)),IFERROR(INDEX('月1回_1ヶ月前の在庫'!$H$6:$H$10005,MATCH($C196,'月1回_1ヶ月前の在庫'!$W$6:$W$10005,0)),IFERROR(INDEX('月1回_2ヶ月前の在庫'!$H$6:$H$10005,MATCH($C196,'月1回_2ヶ月前の在庫'!$W$6:$W$10005,0)),"")))))</f>
        <v/>
      </c>
      <c r="F196">
        <f>IF($C196="","",IFERROR(IF(INDEX('商品マスタ'!$E$6:$E$1005,MATCH($C196,'商品マスタ'!$B$6:$B$1005,0))="",IFERROR(INDEX('①在庫を貼る'!$E$6:$E$10005,MATCH($C196,'①在庫を貼る'!$W$6:$W$10005,0)),IFERROR(INDEX('月1回_1ヶ月前の在庫'!$E$6:$E$10005,MATCH($C196,'月1回_1ヶ月前の在庫'!$W$6:$W$10005,0)),IFERROR(INDEX('月1回_2ヶ月前の在庫'!$E$6:$E$10005,MATCH($C196,'月1回_2ヶ月前の在庫'!$W$6:$W$10005,0)),""))),INDEX('商品マスタ'!$E$6:$E$1005,MATCH($C196,'商品マスタ'!$B$6:$B$1005,0))),IFERROR(INDEX('①在庫を貼る'!$E$6:$E$10005,MATCH($C196,'①在庫を貼る'!$W$6:$W$10005,0)),IFERROR(INDEX('月1回_1ヶ月前の在庫'!$E$6:$E$10005,MATCH($C196,'月1回_1ヶ月前の在庫'!$W$6:$W$10005,0)),IFERROR(INDEX('月1回_2ヶ月前の在庫'!$E$6:$E$10005,MATCH($C196,'月1回_2ヶ月前の在庫'!$W$6:$W$10005,0)),"")))))</f>
        <v/>
      </c>
      <c r="G196">
        <f>IF($C196="","",MAX(1,N(IFERROR(IF(INDEX('商品マスタ'!$F$6:$F$1005,MATCH($C196,'商品マスタ'!$B$6:$B$1005,0))="",IF(COUNTIFS('①在庫を貼る'!$V$6:$V$10005,'設定'!$C$4,'①在庫を貼る'!$W$6:$W$10005,$C196)&gt;0,SUMIFS('①在庫を貼る'!$K$6:$K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K$6:$K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K$6:$K$10005,'月1回_2ヶ月前の在庫'!$V$6:$V$10005,'設定'!$C$4,'月1回_2ヶ月前の在庫'!$W$6:$W$10005,$C196)/COUNTIFS('月1回_2ヶ月前の在庫'!$V$6:$V$10005,'設定'!$C$4,'月1回_2ヶ月前の在庫'!$W$6:$W$10005,$C196),0))),INDEX('商品マスタ'!$F$6:$F$1005,MATCH($C196,'商品マスタ'!$B$6:$B$1005,0))),IF(COUNTIFS('①在庫を貼る'!$V$6:$V$10005,'設定'!$C$4,'①在庫を貼る'!$W$6:$W$10005,$C196)&gt;0,SUMIFS('①在庫を貼る'!$K$6:$K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K$6:$K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K$6:$K$10005,'月1回_2ヶ月前の在庫'!$V$6:$V$10005,'設定'!$C$4,'月1回_2ヶ月前の在庫'!$W$6:$W$10005,$C196)/COUNTIFS('月1回_2ヶ月前の在庫'!$V$6:$V$10005,'設定'!$C$4,'月1回_2ヶ月前の在庫'!$W$6:$W$10005,$C196),0)))))))</f>
        <v/>
      </c>
      <c r="H196">
        <f>IF($C196="","",N(IFERROR(IF(INDEX('商品マスタ'!$G$6:$G$1005,MATCH($C196,'商品マスタ'!$B$6:$B$1005,0))="",IF(COUNTIFS('①在庫を貼る'!$V$6:$V$10005,'設定'!$C$4,'①在庫を貼る'!$W$6:$W$10005,$C196)&gt;0,SUMIFS('①在庫を貼る'!$Q$6:$Q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Q$6:$Q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Q$6:$Q$10005,'月1回_2ヶ月前の在庫'!$V$6:$V$10005,'設定'!$C$4,'月1回_2ヶ月前の在庫'!$W$6:$W$10005,$C196)/COUNTIFS('月1回_2ヶ月前の在庫'!$V$6:$V$10005,'設定'!$C$4,'月1回_2ヶ月前の在庫'!$W$6:$W$10005,$C196),0))),INDEX('商品マスタ'!$G$6:$G$1005,MATCH($C196,'商品マスタ'!$B$6:$B$1005,0))),IF(COUNTIFS('①在庫を貼る'!$V$6:$V$10005,'設定'!$C$4,'①在庫を貼る'!$W$6:$W$10005,$C196)&gt;0,SUMIFS('①在庫を貼る'!$Q$6:$Q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Q$6:$Q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Q$6:$Q$10005,'月1回_2ヶ月前の在庫'!$V$6:$V$10005,'設定'!$C$4,'月1回_2ヶ月前の在庫'!$W$6:$W$10005,$C196)/COUNTIFS('月1回_2ヶ月前の在庫'!$V$6:$V$10005,'設定'!$C$4,'月1回_2ヶ月前の在庫'!$W$6:$W$10005,$C196),0))))))</f>
        <v/>
      </c>
      <c r="I196">
        <f>IF($C196="","",IF(COUNTIFS('①在庫を貼る'!$V$6:$V$10005,'設定'!$C$4,'①在庫を貼る'!$W$6:$W$10005,$C196)=0,"",SUMIFS('①在庫を貼る'!$N$6:$N$10005,'①在庫を貼る'!$V$6:$V$10005,'設定'!$C$4,'①在庫を貼る'!$W$6:$W$10005,$C196)))</f>
        <v/>
      </c>
      <c r="J196">
        <f>IF($C196="","",IF('②発注する'!$AD200="","",'②発注する'!$AD200))</f>
        <v/>
      </c>
      <c r="K196" s="90">
        <f>IF($C196="","",IF('②発注する'!$AE200="","",'②発注する'!$AE200))</f>
        <v/>
      </c>
      <c r="L196">
        <f>IF($C196="","",IF(AND(ISNUMBER($J196),ISNUMBER($K196),$K196&gt;='設定'!$C$6),$J196,N($I196)))</f>
        <v/>
      </c>
      <c r="M196">
        <f>IF($C196="","",IFERROR(IF(N(INDEX('商品マスタ'!$J$6:$J$1005,MATCH($C196,'商品マスタ'!$B$6:$B$1005,0)))&gt;0,INDEX('商品マスタ'!$J$6:$J$1005,MATCH($C196,'商品マスタ'!$B$6:$B$1005,0)),""),""))</f>
        <v/>
      </c>
      <c r="N196">
        <f>IF($C196="","",IFERROR(IF(N(INDEX('商品マスタ'!$H$6:$H$1005,MATCH($C196,'商品マスタ'!$B$6:$B$1005,0)))&gt;0,INDEX('商品マスタ'!$H$6:$H$1005,MATCH($C196,'商品マスタ'!$B$6:$B$1005,0)),""),""))</f>
        <v/>
      </c>
      <c r="O196">
        <f>IF($C196="","",IF($N196&lt;&gt;"",$N196*$G196,IF(N(IF(COUNTIFS('①在庫を貼る'!$V$6:$V$10005,'設定'!$C$4,'①在庫を貼る'!$W$6:$W$10005,$C196)&gt;0,SUMIFS('①在庫を貼る'!$O$6:$O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O$6:$O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O$6:$O$10005,'月1回_2ヶ月前の在庫'!$V$6:$V$10005,'設定'!$C$4,'月1回_2ヶ月前の在庫'!$W$6:$W$10005,$C196)/COUNTIFS('月1回_2ヶ月前の在庫'!$V$6:$V$10005,'設定'!$C$4,'月1回_2ヶ月前の在庫'!$W$6:$W$10005,$C196),0))))&gt;0,N(IF(COUNTIFS('①在庫を貼る'!$V$6:$V$10005,'設定'!$C$4,'①在庫を貼る'!$W$6:$W$10005,$C196)&gt;0,SUMIFS('①在庫を貼る'!$O$6:$O$10005,'①在庫を貼る'!$V$6:$V$10005,'設定'!$C$4,'①在庫を貼る'!$W$6:$W$10005,$C196)/COUNTIFS('①在庫を貼る'!$V$6:$V$10005,'設定'!$C$4,'①在庫を貼る'!$W$6:$W$10005,$C196),IF(COUNTIFS('月1回_1ヶ月前の在庫'!$V$6:$V$10005,'設定'!$C$4,'月1回_1ヶ月前の在庫'!$W$6:$W$10005,$C196)&gt;0,SUMIFS('月1回_1ヶ月前の在庫'!$O$6:$O$10005,'月1回_1ヶ月前の在庫'!$V$6:$V$10005,'設定'!$C$4,'月1回_1ヶ月前の在庫'!$W$6:$W$10005,$C196)/COUNTIFS('月1回_1ヶ月前の在庫'!$V$6:$V$10005,'設定'!$C$4,'月1回_1ヶ月前の在庫'!$W$6:$W$10005,$C196),IF(COUNTIFS('月1回_2ヶ月前の在庫'!$V$6:$V$10005,'設定'!$C$4,'月1回_2ヶ月前の在庫'!$W$6:$W$10005,$C196)&gt;0,SUMIFS('月1回_2ヶ月前の在庫'!$O$6:$O$10005,'月1回_2ヶ月前の在庫'!$V$6:$V$10005,'設定'!$C$4,'月1回_2ヶ月前の在庫'!$W$6:$W$10005,$C196)/COUNTIFS('月1回_2ヶ月前の在庫'!$V$6:$V$10005,'設定'!$C$4,'月1回_2ヶ月前の在庫'!$W$6:$W$10005,$C196),0)))),"")))</f>
        <v/>
      </c>
      <c r="P196" s="90">
        <f>IF($C196="","",IF('②発注する'!$I200="","",'②発注する'!$I200))</f>
        <v/>
      </c>
      <c r="Q196">
        <f>IF($C196="","",IF('②発注する'!$J200="","",'②発注する'!$J200))</f>
        <v/>
      </c>
      <c r="R196">
        <f>IF($C196="",0,IF(AND(ISNUMBER($P196),ISNUMBER($Q196)),MAX(0,$Q196)*$G196,0))</f>
        <v/>
      </c>
      <c r="S196" s="90">
        <f>IF($C196="","",IF('②発注する'!$M200="","",'②発注する'!$M200))</f>
        <v/>
      </c>
      <c r="T196">
        <f>IF($C196="","",IF('②発注する'!$N200="","",'②発注する'!$N200))</f>
        <v/>
      </c>
      <c r="U196">
        <f>IF($C196="",0,IF(AND(ISNUMBER($S196),ISNUMBER($T196)),MAX(0,$T196)*$G196,0))</f>
        <v/>
      </c>
      <c r="V196">
        <f>IF($C196="",0,IF($M196="",0,MAX(0,$M196)*MAX(0,V$4)/100))</f>
        <v/>
      </c>
      <c r="W196">
        <f>IF($C196="",0,IF($M196="",0,MAX(0,$M196)*MAX(0,W$4)/100))</f>
        <v/>
      </c>
      <c r="X196">
        <f>IF($C196="",0,IF($M196="",0,MAX(0,$M196)*MAX(0,X$4)/100))</f>
        <v/>
      </c>
      <c r="Y196">
        <f>IF($C196="",0,IF($M196="",0,MAX(0,$M196)*MAX(0,Y$4)/100))</f>
        <v/>
      </c>
      <c r="Z196">
        <f>IF($C196="",0,IF($M196="",0,MAX(0,$M196)*MAX(0,Z$4)/100))</f>
        <v/>
      </c>
      <c r="AA196">
        <f>IF($C196="",0,IF($M196="",0,MAX(0,$M196)*MAX(0,AA$4)/100))</f>
        <v/>
      </c>
      <c r="AB196">
        <f>IF($C196="",0,IF($M196="",0,MAX(0,$M196)*MAX(0,AB$4)/100))</f>
        <v/>
      </c>
      <c r="AC196">
        <f>IF($C196="",0,IF($M196="",0,MAX(0,$M196)*MAX(0,AC$4)/100))</f>
        <v/>
      </c>
      <c r="AD196">
        <f>IF($C196="",0,IF($M196="",0,MAX(0,$M196)*MAX(0,AD$4)/100))</f>
        <v/>
      </c>
      <c r="AE196">
        <f>IF($C196="",0,IF($M196="",0,MAX(0,$M196)*MAX(0,AE$4)/100))</f>
        <v/>
      </c>
      <c r="AF196">
        <f>IF($C196="",0,IF($M196="",0,MAX(0,$M196)*MAX(0,AF$4)/100))</f>
        <v/>
      </c>
      <c r="AG196">
        <f>IF($C196="",0,IF($M196="",0,MAX(0,$M196)*MAX(0,AG$4)/100))</f>
        <v/>
      </c>
      <c r="AH196">
        <f>IF($C196="",0,IF($M196="",0,MAX(0,$M196)*MAX(0,AH$4)/100))</f>
        <v/>
      </c>
      <c r="AI196">
        <f>IF($C196="",0,IF($M196="",0,MAX(0,$M196)*MAX(0,AI$4)/100))</f>
        <v/>
      </c>
      <c r="AJ196">
        <f>IF($C196="",0,MAX(0,MAX(0,N($L196))-$V196))</f>
        <v/>
      </c>
      <c r="AK196">
        <f>IF($C196="",0,MAX(0,$AJ196-$W196))</f>
        <v/>
      </c>
      <c r="AL196">
        <f>IF($C196="",0,MAX(0,$AK196-$X196))</f>
        <v/>
      </c>
      <c r="AM196">
        <f>IF($C196="",0,MAX(0,$AL196-$Y196))</f>
        <v/>
      </c>
      <c r="AN196">
        <f>IF($C196="",0,MAX(0,$AM196-$Z196))</f>
        <v/>
      </c>
      <c r="AO196">
        <f>IF($C196="",0,MAX(0,$AN196-$AA196))</f>
        <v/>
      </c>
      <c r="AP196">
        <f>IF($C196="",0,MAX(0,$AO196-$AB196))</f>
        <v/>
      </c>
      <c r="AQ196">
        <f>IF($C196="",0,MAX(0,$AP196-$AC196))</f>
        <v/>
      </c>
      <c r="AR196">
        <f>IF($C196="",0,MAX(0,$AQ196-$AD196))</f>
        <v/>
      </c>
      <c r="AS196">
        <f>IF($C196="",0,MAX(0,$AR196-$AE196))</f>
        <v/>
      </c>
      <c r="AT196">
        <f>IF($C196="",0,MAX(0,$AS196-$AF196))</f>
        <v/>
      </c>
      <c r="AU196">
        <f>IF($C196="",0,MAX(0,$AT196-$AG196))</f>
        <v/>
      </c>
      <c r="AV196">
        <f>IF($C196="",0,MAX(0,$AU196-$AH196))</f>
        <v/>
      </c>
      <c r="AW196">
        <f>IF($C196="",0,MAX(0,$AV196-$AI196))</f>
        <v/>
      </c>
      <c r="AX196">
        <f>IF($C196="",0,MAX(0,MAX(0,N($L196))+IF($P196=V$3,$R196,0)+IF($S196=V$3,$U196,0)-$V196))</f>
        <v/>
      </c>
      <c r="AY196">
        <f>IF($C196="",0,MAX(0,$AX196+IF($P196=W$3,$R196,0)+IF($S196=W$3,$U196,0)-$W196))</f>
        <v/>
      </c>
      <c r="AZ196">
        <f>IF($C196="",0,MAX(0,$AY196+IF($P196=X$3,$R196,0)+IF($S196=X$3,$U196,0)-$X196))</f>
        <v/>
      </c>
      <c r="BA196">
        <f>IF($C196="",0,MAX(0,$AZ196+IF($P196=Y$3,$R196,0)+IF($S196=Y$3,$U196,0)-$Y196))</f>
        <v/>
      </c>
      <c r="BB196">
        <f>IF($C196="",0,MAX(0,$BA196+IF($P196=Z$3,$R196,0)+IF($S196=Z$3,$U196,0)-$Z196))</f>
        <v/>
      </c>
      <c r="BC196">
        <f>IF($C196="",0,MAX(0,$BB196+IF($P196=AA$3,$R196,0)+IF($S196=AA$3,$U196,0)-$AA196))</f>
        <v/>
      </c>
      <c r="BD196">
        <f>IF($C196="",0,MAX(0,$BC196+IF($P196=AB$3,$R196,0)+IF($S196=AB$3,$U196,0)-$AB196))</f>
        <v/>
      </c>
      <c r="BE196">
        <f>IF($C196="",0,MAX(0,$BD196+IF($P196=AC$3,$R196,0)+IF($S196=AC$3,$U196,0)-$AC196))</f>
        <v/>
      </c>
      <c r="BF196">
        <f>IF($C196="",0,MAX(0,$BE196+IF($P196=AD$3,$R196,0)+IF($S196=AD$3,$U196,0)-$AD196))</f>
        <v/>
      </c>
      <c r="BG196">
        <f>IF($C196="",0,MAX(0,$BF196+IF($P196=AE$3,$R196,0)+IF($S196=AE$3,$U196,0)-$AE196))</f>
        <v/>
      </c>
      <c r="BH196">
        <f>IF($C196="",0,MAX(0,$BG196+IF($P196=AF$3,$R196,0)+IF($S196=AF$3,$U196,0)-$AF196))</f>
        <v/>
      </c>
      <c r="BI196">
        <f>IF($C196="",0,MAX(0,$BH196+IF($P196=AG$3,$R196,0)+IF($S196=AG$3,$U196,0)-$AG196))</f>
        <v/>
      </c>
      <c r="BJ196">
        <f>IF($C196="",0,MAX(0,$BI196+IF($P196=AH$3,$R196,0)+IF($S196=AH$3,$U196,0)-$AH196))</f>
        <v/>
      </c>
      <c r="BK196">
        <f>IF($C196="",0,MAX(0,$BJ196+IF($P196=AI$3,$R196,0)+IF($S196=AI$3,$U196,0)-$AI196))</f>
        <v/>
      </c>
      <c r="BL196">
        <f>IF($C196="",99,IF(AND($AX196&lt;1,V$3&gt;=MAX(N($P196),N($S196))),0,99))</f>
        <v/>
      </c>
      <c r="BM196">
        <f>IF($C196="",99,IF(AND($AY196&lt;1,W$3&gt;=MAX(N($P196),N($S196))),1,99))</f>
        <v/>
      </c>
      <c r="BN196">
        <f>IF($C196="",99,IF(AND($AZ196&lt;1,X$3&gt;=MAX(N($P196),N($S196))),2,99))</f>
        <v/>
      </c>
      <c r="BO196">
        <f>IF($C196="",99,IF(AND($BA196&lt;1,Y$3&gt;=MAX(N($P196),N($S196))),3,99))</f>
        <v/>
      </c>
      <c r="BP196">
        <f>IF($C196="",99,IF(AND($BB196&lt;1,Z$3&gt;=MAX(N($P196),N($S196))),4,99))</f>
        <v/>
      </c>
      <c r="BQ196">
        <f>IF($C196="",99,IF(AND($BC196&lt;1,AA$3&gt;=MAX(N($P196),N($S196))),5,99))</f>
        <v/>
      </c>
      <c r="BR196">
        <f>IF($C196="",99,IF(AND($BD196&lt;1,AB$3&gt;=MAX(N($P196),N($S196))),6,99))</f>
        <v/>
      </c>
      <c r="BS196">
        <f>IF($C196="",99,IF(AND($BE196&lt;1,AC$3&gt;=MAX(N($P196),N($S196))),7,99))</f>
        <v/>
      </c>
      <c r="BT196">
        <f>IF($C196="",99,IF(AND($BF196&lt;1,AD$3&gt;=MAX(N($P196),N($S196))),8,99))</f>
        <v/>
      </c>
      <c r="BU196">
        <f>IF($C196="",99,IF(AND($BG196&lt;1,AE$3&gt;=MAX(N($P196),N($S196))),9,99))</f>
        <v/>
      </c>
      <c r="BV196">
        <f>IF($C196="",99,IF(AND($BH196&lt;1,AF$3&gt;=MAX(N($P196),N($S196))),10,99))</f>
        <v/>
      </c>
      <c r="BW196">
        <f>IF($C196="",99,IF(AND($BI196&lt;1,AG$3&gt;=MAX(N($P196),N($S196))),11,99))</f>
        <v/>
      </c>
      <c r="BX196">
        <f>IF($C196="",99,IF(AND($BJ196&lt;1,AH$3&gt;=MAX(N($P196),N($S196))),12,99))</f>
        <v/>
      </c>
      <c r="BY196">
        <f>IF($C196="",99,IF(AND($BK196&lt;1,AI$3&gt;=MAX(N($P196),N($S196))),13,99))</f>
        <v/>
      </c>
      <c r="BZ196">
        <f>IF(OR($C196="",$M196=""),"",COUNTIF($AJ196:$AW196,"&gt;=1"))</f>
        <v/>
      </c>
      <c r="CA196" s="90">
        <f>IF($BZ196="","",IF($BZ196&gt;=14,"",'設定'!$C$6+$BZ196))</f>
        <v/>
      </c>
      <c r="CB196">
        <f>IF(OR($C196="",$M196=""),"",MIN($BL196:$BY196))</f>
        <v/>
      </c>
      <c r="CC196" s="90">
        <f>IF($CB196="","",IF($CB196&gt;=99,"",'設定'!$C$6+$CB196))</f>
        <v/>
      </c>
      <c r="CD196">
        <f>IF(OR($C196="",$M196=""),"",AVERAGE($V196:$AI196))</f>
        <v/>
      </c>
      <c r="CE196">
        <f>IF($C196="","",IFERROR(IF(MATCH(IF(ISNUMBER($P196),$P196,'設定'!$C$6+N('設定'!$C$7)),$V$3:$AI$3,0)=1,MAX(0,N($L196)),INDEX($AJ196:$AW196,MATCH(IF(ISNUMBER($P196),$P196,'設定'!$C$6+N('設定'!$C$7)),$V$3:$AI$3,0)-1)),""))</f>
        <v/>
      </c>
      <c r="CF196">
        <f>IF(OR($C196="",$O196="",$CE196=""),"",IF($O196-$CE196&lt;=0,0,ROUNDUP(($O196-$CE196)/$G196,0)))</f>
        <v/>
      </c>
      <c r="CG196">
        <f>IF(OR($C196="",$CF196="",NOT(ISNUMBER($Q196))),0,MAX(0,$Q196-$CF196))</f>
        <v/>
      </c>
      <c r="CH196">
        <f>IF(OR($C196="",$O196="",$U196=0),0,IFERROR(ROUNDUP(MAX(0,IF(MATCH($S196,$V$3:$AI$3,0)=1,MAX(0,N($L196)),INDEX($AX196:$BK196,MATCH($S196,$V$3:$AI$3,0)-1))+$U196-$O196)/$G196,0),0))</f>
        <v/>
      </c>
      <c r="CI196">
        <f>IF($C196="","",IF(AND($P196="",$Q196=""),"",IF($P196="","⚠ 入庫日を ▼ から選んでください",IF(NOT(ISNUMBER($P196)),"⚠ 入庫日は ▼ から選んでください",IF($P196&lt;N('設定'!$C$6),"⚠ 入庫日が過去です（もう在庫に入っています）→ 消してください",IF($P196&gt;N('設定'!$C$6)+13,"⚠ 入庫日が14日より先です",IF(N($Q196)&lt;=0,"⚠ 入庫数を入れてください",IF($CG196&gt;0,"⚠ 目安より "&amp;$CG196&amp;" 多い（定数を超える）→ 減らす",""))))))))</f>
        <v/>
      </c>
      <c r="CJ196">
        <f>IF($C196="","",IF(AND($S196="",$T196=""),"",IF($S196="","⚠ 2便目：入庫日を ▼ から選んでください",IF(NOT(ISNUMBER($S196)),"⚠ 2便目：入庫日は ▼ から選んでください",IF($S196&lt;N('設定'!$C$6),"⚠ 2便目：入庫日が過去です（もう在庫に入っています）→ 消してください",IF($S196&gt;N('設定'!$C$6)+13,"⚠ 2便目：入庫日が14日より先です",IF(N($T196)&lt;=0,"⚠ 2便目：入庫数を入れてください",IF($CH196&gt;0,"⚠ 2便目：定数を "&amp;$CH196&amp;" ケース超える → 減らす",""))))))))</f>
        <v/>
      </c>
      <c r="CK196">
        <f>IF(AND($CI196="",N($Q196)&gt;0,ISNUMBER($P196)),1,0)</f>
        <v/>
      </c>
      <c r="CL196">
        <f>IF(AND($CJ196="",N($T196)&gt;0,ISNUMBER($S196)),1,0)</f>
        <v/>
      </c>
      <c r="CM196">
        <f>IF(OR($CK196=1,$CL196=1),1,0)</f>
        <v/>
      </c>
      <c r="CN196">
        <f>IF($C196="",0,($CK196*$R196+$CL196*$U196)*N($H196))</f>
        <v/>
      </c>
      <c r="CO196">
        <f>IF($C196="","",IF($CC196="","入庫後は 14日以上もつ",IF($CC196-N('設定'!$C$7)&lt;='設定'!$C$6,"入庫後も "&amp;TEXT($CC196,"m/d")&amp;"("&amp;CHOOSE(WEEKDAY($CC196),"日","月","火","水","木","金","土")&amp;")"&amp;" に切れる　もう1便を至急発注","入庫後も "&amp;TEXT($CC196,"m/d")&amp;"("&amp;CHOOSE(WEEKDAY($CC196),"日","月","火","水","木","金","土")&amp;")"&amp;" に切れる　"&amp;TEXT($CC196-N('設定'!$C$7),"m/d")&amp;"("&amp;CHOOSE(WEEKDAY($CC196-N('設定'!$C$7)),"日","月","火","水","木","金","土")&amp;")"&amp;" までに次を発注")))</f>
        <v/>
      </c>
      <c r="CP196">
        <f>IF($C196="","",IF('設定'!$C$6="","？ ①在庫を貼る に今日のCSVが貼られていない",IF($CS196=1,"－ 今日のCSVに無い（終売？）",IF($L196&lt;0,"● 在庫がマイナス　数えて「数えた在庫」に入れる",IF($L196=0,"● 在庫なし　至急発注",IF($M196="","？ 減り数が未設定（商品マスタ）",IF($B$3=0,"？ 動員が未入力（動員を入れる）",IF($CA196="","○ 14日以上もつ",IF($BZ196&lt;N('設定'!$C$7),"● "&amp;TEXT($CA196,"m/d")&amp;"("&amp;CHOOSE(WEEKDAY($CA196),"日","月","火","水","木","金","土")&amp;")"&amp;" に切れる　至急発注",IF($BZ196=N('設定'!$C$7),"● "&amp;TEXT($CA196,"m/d")&amp;"("&amp;CHOOSE(WEEKDAY($CA196),"日","月","火","水","木","金","土")&amp;")"&amp;" に切れる　今日発注","△ "&amp;TEXT($CA196,"m/d")&amp;"("&amp;CHOOSE(WEEKDAY($CA196),"日","月","火","水","木","金","土")&amp;")"&amp;" に切れる　"&amp;TEXT($CA196-N('設定'!$C$7),"m/d")&amp;"("&amp;CHOOSE(WEEKDAY($CA196-N('設定'!$C$7)),"日","月","火","水","木","金","土")&amp;")"&amp;" までに発注"))))))))))</f>
        <v/>
      </c>
      <c r="CQ196">
        <f>IF($C196="","",IF(AND($P196="",$Q196="",$S196="",$T196=""),"",IF(AND($P196="",$Q196=""),"⚠ 先に1便目（左の入庫日・入庫数）に入れてください",IF($CI196&lt;&gt;"",$CI196,IF($CJ196&lt;&gt;"",$CJ196,IF($M196="","？ 減り数が未設定（発注書には載ります）",IF($B$3=0,"？ 動員が未入力（発注書には載ります）",IF(AND($CA196&lt;&gt;"",$P196&gt;$CA196),IF($P196&gt;'設定'!$C$6+N('設定'!$C$7),"● "&amp;TEXT($P196,"m/d")&amp;"("&amp;CHOOSE(WEEKDAY($P196),"日","月","火","水","木","金","土")&amp;")"&amp;" の入庫では間に合わない（"&amp;TEXT($CA196,"m/d")&amp;"("&amp;CHOOSE(WEEKDAY($CA196),"日","月","火","水","木","金","土")&amp;")"&amp;" に切れる）　入庫日を早める","△ 欠品 "&amp;TEXT($CA196,"m/d")&amp;"("&amp;CHOOSE(WEEKDAY($CA196),"日","月","火","水","木","金","土")&amp;")"&amp;"〜"&amp;TEXT($P196-1,"m/d")&amp;"("&amp;CHOOSE(WEEKDAY($P196-1),"日","月","火","水","木","金","土")&amp;")"&amp;"　"&amp;$CO196),IF($CC196="","○ "&amp;TEXT($P196,"m/d")&amp;"("&amp;CHOOSE(WEEKDAY($P196),"日","月","火","水","木","金","土")&amp;")"&amp;" 入庫で 14日以上もつ",IF($CC196-N('設定'!$C$7)&lt;='設定'!$C$6,"● 入庫しても "&amp;TEXT($CC196,"m/d")&amp;"("&amp;CHOOSE(WEEKDAY($CC196),"日","月","火","水","木","金","土")&amp;")"&amp;" に切れる　もう1便を至急発注（2便目に入れる）","△ 入庫しても "&amp;TEXT($CC196,"m/d")&amp;"("&amp;CHOOSE(WEEKDAY($CC196),"日","月","火","水","木","金","土")&amp;")"&amp;" に切れる　"&amp;TEXT($CC196-N('設定'!$C$7),"m/d")&amp;"("&amp;CHOOSE(WEEKDAY($CC196-N('設定'!$C$7)),"日","月","火","水","木","金","土")&amp;")"&amp;" までに次を発注（2便目に入れる）"))))))))))</f>
        <v/>
      </c>
      <c r="CR196">
        <f>IF($C196="","",IF($G196&gt;1,"ｹｰｽ("&amp;$G196&amp;"入)","個"))</f>
        <v/>
      </c>
      <c r="CS196">
        <f>IF($C196="",0,IF(COUNTIFS('①在庫を貼る'!$V$6:$V$10005,'設定'!$C$4,'①在庫を貼る'!$W$6:$W$10005,$C196)=0,1,0))</f>
        <v/>
      </c>
      <c r="CT196">
        <f>IF(AND($CK196=1,OR('③発注書'!$C$4="すべて",'③発注書'!$C$4="",$F196='③発注書'!$C$4)),N($CT195)+1,N($CT195))</f>
        <v/>
      </c>
      <c r="CU196">
        <f>IF(AND($CL196=1,OR('③発注書'!$C$4="すべて",'③発注書'!$C$4="",$F196='③発注書'!$C$4)),N($CU195)+1,N($CU195))</f>
        <v/>
      </c>
      <c r="CV196">
        <f>IF($C196="",0,IF(COUNTIFS('①在庫を貼る'!$V$6:$V$10005,'設定'!$C$4,'①在庫を貼る'!$W$6:$W$10005,$C196)&gt;0,1,0))</f>
        <v/>
      </c>
      <c r="CW196">
        <f>IF($C196="",0,IF(COUNTIFS('月1回_1ヶ月前の在庫'!$V$6:$V$10005,'設定'!$C$4,'月1回_1ヶ月前の在庫'!$W$6:$W$10005,$C196)&gt;0,1,0))</f>
        <v/>
      </c>
      <c r="CX196">
        <f>IF($C196="",0,IF(COUNTIFS('月1回_2ヶ月前の在庫'!$V$6:$V$10005,'設定'!$C$4,'月1回_2ヶ月前の在庫'!$W$6:$W$10005,$C196)&gt;0,1,0))</f>
        <v/>
      </c>
      <c r="CY196">
        <f>IF(OR($C196="",'設定'!$C$12=""),"",IF('設定'!$C$13="",IF(AND($CV196=1,$CW196=0),"新商品（今月から）",IF(AND($CV196=0,$CW196=1),"終売（今月から）","")),IF(AND($CV196=1,$CW196=0,$CX196=0),"新商品（今月から）",IF(AND($CV196=1,$CW196=1,$CX196=0),"新商品（先月から）",IF(AND($CV196=0,$CW196=1,$CX196=1),"終売（今月から）",IF(AND($CV196=0,$CW196=0,$CX196=1),"終売（先月から）",IF(AND($CV196=1,$CW196=0,$CX196=1),"復活（先月は無し）","")))))))</f>
        <v/>
      </c>
    </row>
    <row r="197">
      <c r="B197">
        <f>IF(192&lt;='設定'!$C$11,192,"")</f>
        <v/>
      </c>
      <c r="C197">
        <f>IF($B197="","",IF($B197&lt;='設定'!$C$20,INDEX('商品マスタ'!$B$6:$B$1005,MATCH($B197,'商品マスタ'!$M$6:$M$1005,0)),IF($B197&lt;='設定'!$C$20+'設定'!$C$17,INDEX('①在庫を貼る'!$W$6:$W$10005,MATCH($B197-'設定'!$C$20,'①在庫を貼る'!$U$6:$U$10005,0)),IF($B197&lt;='設定'!$C$20+'設定'!$C$17+'設定'!$C$18,INDEX('月1回_1ヶ月前の在庫'!$W$6:$W$10005,MATCH($B197-'設定'!$C$20-'設定'!$C$17,'月1回_1ヶ月前の在庫'!$U$6:$U$10005,0)),INDEX('月1回_2ヶ月前の在庫'!$W$6:$W$10005,MATCH($B197-'設定'!$C$20-'設定'!$C$17-'設定'!$C$18,'月1回_2ヶ月前の在庫'!$U$6:$U$10005,0))))))</f>
        <v/>
      </c>
      <c r="D197">
        <f>IF($C197="","",IFERROR(IF(INDEX('商品マスタ'!$C$6:$C$1005,MATCH($C197,'商品マスタ'!$B$6:$B$1005,0))="",IFERROR(INDEX('①在庫を貼る'!$J$6:$J$10005,MATCH($C197,'①在庫を貼る'!$W$6:$W$10005,0)),IFERROR(INDEX('月1回_1ヶ月前の在庫'!$J$6:$J$10005,MATCH($C197,'月1回_1ヶ月前の在庫'!$W$6:$W$10005,0)),IFERROR(INDEX('月1回_2ヶ月前の在庫'!$J$6:$J$10005,MATCH($C197,'月1回_2ヶ月前の在庫'!$W$6:$W$10005,0)),""))),INDEX('商品マスタ'!$C$6:$C$1005,MATCH($C197,'商品マスタ'!$B$6:$B$1005,0))),IFERROR(INDEX('①在庫を貼る'!$J$6:$J$10005,MATCH($C197,'①在庫を貼る'!$W$6:$W$10005,0)),IFERROR(INDEX('月1回_1ヶ月前の在庫'!$J$6:$J$10005,MATCH($C197,'月1回_1ヶ月前の在庫'!$W$6:$W$10005,0)),IFERROR(INDEX('月1回_2ヶ月前の在庫'!$J$6:$J$10005,MATCH($C197,'月1回_2ヶ月前の在庫'!$W$6:$W$10005,0)),"")))))</f>
        <v/>
      </c>
      <c r="E197">
        <f>IF($C197="","",IFERROR(IF(INDEX('商品マスタ'!$D$6:$D$1005,MATCH($C197,'商品マスタ'!$B$6:$B$1005,0))="",IFERROR(INDEX('①在庫を貼る'!$H$6:$H$10005,MATCH($C197,'①在庫を貼る'!$W$6:$W$10005,0)),IFERROR(INDEX('月1回_1ヶ月前の在庫'!$H$6:$H$10005,MATCH($C197,'月1回_1ヶ月前の在庫'!$W$6:$W$10005,0)),IFERROR(INDEX('月1回_2ヶ月前の在庫'!$H$6:$H$10005,MATCH($C197,'月1回_2ヶ月前の在庫'!$W$6:$W$10005,0)),""))),INDEX('商品マスタ'!$D$6:$D$1005,MATCH($C197,'商品マスタ'!$B$6:$B$1005,0))),IFERROR(INDEX('①在庫を貼る'!$H$6:$H$10005,MATCH($C197,'①在庫を貼る'!$W$6:$W$10005,0)),IFERROR(INDEX('月1回_1ヶ月前の在庫'!$H$6:$H$10005,MATCH($C197,'月1回_1ヶ月前の在庫'!$W$6:$W$10005,0)),IFERROR(INDEX('月1回_2ヶ月前の在庫'!$H$6:$H$10005,MATCH($C197,'月1回_2ヶ月前の在庫'!$W$6:$W$10005,0)),"")))))</f>
        <v/>
      </c>
      <c r="F197">
        <f>IF($C197="","",IFERROR(IF(INDEX('商品マスタ'!$E$6:$E$1005,MATCH($C197,'商品マスタ'!$B$6:$B$1005,0))="",IFERROR(INDEX('①在庫を貼る'!$E$6:$E$10005,MATCH($C197,'①在庫を貼る'!$W$6:$W$10005,0)),IFERROR(INDEX('月1回_1ヶ月前の在庫'!$E$6:$E$10005,MATCH($C197,'月1回_1ヶ月前の在庫'!$W$6:$W$10005,0)),IFERROR(INDEX('月1回_2ヶ月前の在庫'!$E$6:$E$10005,MATCH($C197,'月1回_2ヶ月前の在庫'!$W$6:$W$10005,0)),""))),INDEX('商品マスタ'!$E$6:$E$1005,MATCH($C197,'商品マスタ'!$B$6:$B$1005,0))),IFERROR(INDEX('①在庫を貼る'!$E$6:$E$10005,MATCH($C197,'①在庫を貼る'!$W$6:$W$10005,0)),IFERROR(INDEX('月1回_1ヶ月前の在庫'!$E$6:$E$10005,MATCH($C197,'月1回_1ヶ月前の在庫'!$W$6:$W$10005,0)),IFERROR(INDEX('月1回_2ヶ月前の在庫'!$E$6:$E$10005,MATCH($C197,'月1回_2ヶ月前の在庫'!$W$6:$W$10005,0)),"")))))</f>
        <v/>
      </c>
      <c r="G197">
        <f>IF($C197="","",MAX(1,N(IFERROR(IF(INDEX('商品マスタ'!$F$6:$F$1005,MATCH($C197,'商品マスタ'!$B$6:$B$1005,0))="",IF(COUNTIFS('①在庫を貼る'!$V$6:$V$10005,'設定'!$C$4,'①在庫を貼る'!$W$6:$W$10005,$C197)&gt;0,SUMIFS('①在庫を貼る'!$K$6:$K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K$6:$K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K$6:$K$10005,'月1回_2ヶ月前の在庫'!$V$6:$V$10005,'設定'!$C$4,'月1回_2ヶ月前の在庫'!$W$6:$W$10005,$C197)/COUNTIFS('月1回_2ヶ月前の在庫'!$V$6:$V$10005,'設定'!$C$4,'月1回_2ヶ月前の在庫'!$W$6:$W$10005,$C197),0))),INDEX('商品マスタ'!$F$6:$F$1005,MATCH($C197,'商品マスタ'!$B$6:$B$1005,0))),IF(COUNTIFS('①在庫を貼る'!$V$6:$V$10005,'設定'!$C$4,'①在庫を貼る'!$W$6:$W$10005,$C197)&gt;0,SUMIFS('①在庫を貼る'!$K$6:$K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K$6:$K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K$6:$K$10005,'月1回_2ヶ月前の在庫'!$V$6:$V$10005,'設定'!$C$4,'月1回_2ヶ月前の在庫'!$W$6:$W$10005,$C197)/COUNTIFS('月1回_2ヶ月前の在庫'!$V$6:$V$10005,'設定'!$C$4,'月1回_2ヶ月前の在庫'!$W$6:$W$10005,$C197),0)))))))</f>
        <v/>
      </c>
      <c r="H197">
        <f>IF($C197="","",N(IFERROR(IF(INDEX('商品マスタ'!$G$6:$G$1005,MATCH($C197,'商品マスタ'!$B$6:$B$1005,0))="",IF(COUNTIFS('①在庫を貼る'!$V$6:$V$10005,'設定'!$C$4,'①在庫を貼る'!$W$6:$W$10005,$C197)&gt;0,SUMIFS('①在庫を貼る'!$Q$6:$Q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Q$6:$Q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Q$6:$Q$10005,'月1回_2ヶ月前の在庫'!$V$6:$V$10005,'設定'!$C$4,'月1回_2ヶ月前の在庫'!$W$6:$W$10005,$C197)/COUNTIFS('月1回_2ヶ月前の在庫'!$V$6:$V$10005,'設定'!$C$4,'月1回_2ヶ月前の在庫'!$W$6:$W$10005,$C197),0))),INDEX('商品マスタ'!$G$6:$G$1005,MATCH($C197,'商品マスタ'!$B$6:$B$1005,0))),IF(COUNTIFS('①在庫を貼る'!$V$6:$V$10005,'設定'!$C$4,'①在庫を貼る'!$W$6:$W$10005,$C197)&gt;0,SUMIFS('①在庫を貼る'!$Q$6:$Q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Q$6:$Q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Q$6:$Q$10005,'月1回_2ヶ月前の在庫'!$V$6:$V$10005,'設定'!$C$4,'月1回_2ヶ月前の在庫'!$W$6:$W$10005,$C197)/COUNTIFS('月1回_2ヶ月前の在庫'!$V$6:$V$10005,'設定'!$C$4,'月1回_2ヶ月前の在庫'!$W$6:$W$10005,$C197),0))))))</f>
        <v/>
      </c>
      <c r="I197">
        <f>IF($C197="","",IF(COUNTIFS('①在庫を貼る'!$V$6:$V$10005,'設定'!$C$4,'①在庫を貼る'!$W$6:$W$10005,$C197)=0,"",SUMIFS('①在庫を貼る'!$N$6:$N$10005,'①在庫を貼る'!$V$6:$V$10005,'設定'!$C$4,'①在庫を貼る'!$W$6:$W$10005,$C197)))</f>
        <v/>
      </c>
      <c r="J197">
        <f>IF($C197="","",IF('②発注する'!$AD201="","",'②発注する'!$AD201))</f>
        <v/>
      </c>
      <c r="K197" s="90">
        <f>IF($C197="","",IF('②発注する'!$AE201="","",'②発注する'!$AE201))</f>
        <v/>
      </c>
      <c r="L197">
        <f>IF($C197="","",IF(AND(ISNUMBER($J197),ISNUMBER($K197),$K197&gt;='設定'!$C$6),$J197,N($I197)))</f>
        <v/>
      </c>
      <c r="M197">
        <f>IF($C197="","",IFERROR(IF(N(INDEX('商品マスタ'!$J$6:$J$1005,MATCH($C197,'商品マスタ'!$B$6:$B$1005,0)))&gt;0,INDEX('商品マスタ'!$J$6:$J$1005,MATCH($C197,'商品マスタ'!$B$6:$B$1005,0)),""),""))</f>
        <v/>
      </c>
      <c r="N197">
        <f>IF($C197="","",IFERROR(IF(N(INDEX('商品マスタ'!$H$6:$H$1005,MATCH($C197,'商品マスタ'!$B$6:$B$1005,0)))&gt;0,INDEX('商品マスタ'!$H$6:$H$1005,MATCH($C197,'商品マスタ'!$B$6:$B$1005,0)),""),""))</f>
        <v/>
      </c>
      <c r="O197">
        <f>IF($C197="","",IF($N197&lt;&gt;"",$N197*$G197,IF(N(IF(COUNTIFS('①在庫を貼る'!$V$6:$V$10005,'設定'!$C$4,'①在庫を貼る'!$W$6:$W$10005,$C197)&gt;0,SUMIFS('①在庫を貼る'!$O$6:$O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O$6:$O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O$6:$O$10005,'月1回_2ヶ月前の在庫'!$V$6:$V$10005,'設定'!$C$4,'月1回_2ヶ月前の在庫'!$W$6:$W$10005,$C197)/COUNTIFS('月1回_2ヶ月前の在庫'!$V$6:$V$10005,'設定'!$C$4,'月1回_2ヶ月前の在庫'!$W$6:$W$10005,$C197),0))))&gt;0,N(IF(COUNTIFS('①在庫を貼る'!$V$6:$V$10005,'設定'!$C$4,'①在庫を貼る'!$W$6:$W$10005,$C197)&gt;0,SUMIFS('①在庫を貼る'!$O$6:$O$10005,'①在庫を貼る'!$V$6:$V$10005,'設定'!$C$4,'①在庫を貼る'!$W$6:$W$10005,$C197)/COUNTIFS('①在庫を貼る'!$V$6:$V$10005,'設定'!$C$4,'①在庫を貼る'!$W$6:$W$10005,$C197),IF(COUNTIFS('月1回_1ヶ月前の在庫'!$V$6:$V$10005,'設定'!$C$4,'月1回_1ヶ月前の在庫'!$W$6:$W$10005,$C197)&gt;0,SUMIFS('月1回_1ヶ月前の在庫'!$O$6:$O$10005,'月1回_1ヶ月前の在庫'!$V$6:$V$10005,'設定'!$C$4,'月1回_1ヶ月前の在庫'!$W$6:$W$10005,$C197)/COUNTIFS('月1回_1ヶ月前の在庫'!$V$6:$V$10005,'設定'!$C$4,'月1回_1ヶ月前の在庫'!$W$6:$W$10005,$C197),IF(COUNTIFS('月1回_2ヶ月前の在庫'!$V$6:$V$10005,'設定'!$C$4,'月1回_2ヶ月前の在庫'!$W$6:$W$10005,$C197)&gt;0,SUMIFS('月1回_2ヶ月前の在庫'!$O$6:$O$10005,'月1回_2ヶ月前の在庫'!$V$6:$V$10005,'設定'!$C$4,'月1回_2ヶ月前の在庫'!$W$6:$W$10005,$C197)/COUNTIFS('月1回_2ヶ月前の在庫'!$V$6:$V$10005,'設定'!$C$4,'月1回_2ヶ月前の在庫'!$W$6:$W$10005,$C197),0)))),"")))</f>
        <v/>
      </c>
      <c r="P197" s="90">
        <f>IF($C197="","",IF('②発注する'!$I201="","",'②発注する'!$I201))</f>
        <v/>
      </c>
      <c r="Q197">
        <f>IF($C197="","",IF('②発注する'!$J201="","",'②発注する'!$J201))</f>
        <v/>
      </c>
      <c r="R197">
        <f>IF($C197="",0,IF(AND(ISNUMBER($P197),ISNUMBER($Q197)),MAX(0,$Q197)*$G197,0))</f>
        <v/>
      </c>
      <c r="S197" s="90">
        <f>IF($C197="","",IF('②発注する'!$M201="","",'②発注する'!$M201))</f>
        <v/>
      </c>
      <c r="T197">
        <f>IF($C197="","",IF('②発注する'!$N201="","",'②発注する'!$N201))</f>
        <v/>
      </c>
      <c r="U197">
        <f>IF($C197="",0,IF(AND(ISNUMBER($S197),ISNUMBER($T197)),MAX(0,$T197)*$G197,0))</f>
        <v/>
      </c>
      <c r="V197">
        <f>IF($C197="",0,IF($M197="",0,MAX(0,$M197)*MAX(0,V$4)/100))</f>
        <v/>
      </c>
      <c r="W197">
        <f>IF($C197="",0,IF($M197="",0,MAX(0,$M197)*MAX(0,W$4)/100))</f>
        <v/>
      </c>
      <c r="X197">
        <f>IF($C197="",0,IF($M197="",0,MAX(0,$M197)*MAX(0,X$4)/100))</f>
        <v/>
      </c>
      <c r="Y197">
        <f>IF($C197="",0,IF($M197="",0,MAX(0,$M197)*MAX(0,Y$4)/100))</f>
        <v/>
      </c>
      <c r="Z197">
        <f>IF($C197="",0,IF($M197="",0,MAX(0,$M197)*MAX(0,Z$4)/100))</f>
        <v/>
      </c>
      <c r="AA197">
        <f>IF($C197="",0,IF($M197="",0,MAX(0,$M197)*MAX(0,AA$4)/100))</f>
        <v/>
      </c>
      <c r="AB197">
        <f>IF($C197="",0,IF($M197="",0,MAX(0,$M197)*MAX(0,AB$4)/100))</f>
        <v/>
      </c>
      <c r="AC197">
        <f>IF($C197="",0,IF($M197="",0,MAX(0,$M197)*MAX(0,AC$4)/100))</f>
        <v/>
      </c>
      <c r="AD197">
        <f>IF($C197="",0,IF($M197="",0,MAX(0,$M197)*MAX(0,AD$4)/100))</f>
        <v/>
      </c>
      <c r="AE197">
        <f>IF($C197="",0,IF($M197="",0,MAX(0,$M197)*MAX(0,AE$4)/100))</f>
        <v/>
      </c>
      <c r="AF197">
        <f>IF($C197="",0,IF($M197="",0,MAX(0,$M197)*MAX(0,AF$4)/100))</f>
        <v/>
      </c>
      <c r="AG197">
        <f>IF($C197="",0,IF($M197="",0,MAX(0,$M197)*MAX(0,AG$4)/100))</f>
        <v/>
      </c>
      <c r="AH197">
        <f>IF($C197="",0,IF($M197="",0,MAX(0,$M197)*MAX(0,AH$4)/100))</f>
        <v/>
      </c>
      <c r="AI197">
        <f>IF($C197="",0,IF($M197="",0,MAX(0,$M197)*MAX(0,AI$4)/100))</f>
        <v/>
      </c>
      <c r="AJ197">
        <f>IF($C197="",0,MAX(0,MAX(0,N($L197))-$V197))</f>
        <v/>
      </c>
      <c r="AK197">
        <f>IF($C197="",0,MAX(0,$AJ197-$W197))</f>
        <v/>
      </c>
      <c r="AL197">
        <f>IF($C197="",0,MAX(0,$AK197-$X197))</f>
        <v/>
      </c>
      <c r="AM197">
        <f>IF($C197="",0,MAX(0,$AL197-$Y197))</f>
        <v/>
      </c>
      <c r="AN197">
        <f>IF($C197="",0,MAX(0,$AM197-$Z197))</f>
        <v/>
      </c>
      <c r="AO197">
        <f>IF($C197="",0,MAX(0,$AN197-$AA197))</f>
        <v/>
      </c>
      <c r="AP197">
        <f>IF($C197="",0,MAX(0,$AO197-$AB197))</f>
        <v/>
      </c>
      <c r="AQ197">
        <f>IF($C197="",0,MAX(0,$AP197-$AC197))</f>
        <v/>
      </c>
      <c r="AR197">
        <f>IF($C197="",0,MAX(0,$AQ197-$AD197))</f>
        <v/>
      </c>
      <c r="AS197">
        <f>IF($C197="",0,MAX(0,$AR197-$AE197))</f>
        <v/>
      </c>
      <c r="AT197">
        <f>IF($C197="",0,MAX(0,$AS197-$AF197))</f>
        <v/>
      </c>
      <c r="AU197">
        <f>IF($C197="",0,MAX(0,$AT197-$AG197))</f>
        <v/>
      </c>
      <c r="AV197">
        <f>IF($C197="",0,MAX(0,$AU197-$AH197))</f>
        <v/>
      </c>
      <c r="AW197">
        <f>IF($C197="",0,MAX(0,$AV197-$AI197))</f>
        <v/>
      </c>
      <c r="AX197">
        <f>IF($C197="",0,MAX(0,MAX(0,N($L197))+IF($P197=V$3,$R197,0)+IF($S197=V$3,$U197,0)-$V197))</f>
        <v/>
      </c>
      <c r="AY197">
        <f>IF($C197="",0,MAX(0,$AX197+IF($P197=W$3,$R197,0)+IF($S197=W$3,$U197,0)-$W197))</f>
        <v/>
      </c>
      <c r="AZ197">
        <f>IF($C197="",0,MAX(0,$AY197+IF($P197=X$3,$R197,0)+IF($S197=X$3,$U197,0)-$X197))</f>
        <v/>
      </c>
      <c r="BA197">
        <f>IF($C197="",0,MAX(0,$AZ197+IF($P197=Y$3,$R197,0)+IF($S197=Y$3,$U197,0)-$Y197))</f>
        <v/>
      </c>
      <c r="BB197">
        <f>IF($C197="",0,MAX(0,$BA197+IF($P197=Z$3,$R197,0)+IF($S197=Z$3,$U197,0)-$Z197))</f>
        <v/>
      </c>
      <c r="BC197">
        <f>IF($C197="",0,MAX(0,$BB197+IF($P197=AA$3,$R197,0)+IF($S197=AA$3,$U197,0)-$AA197))</f>
        <v/>
      </c>
      <c r="BD197">
        <f>IF($C197="",0,MAX(0,$BC197+IF($P197=AB$3,$R197,0)+IF($S197=AB$3,$U197,0)-$AB197))</f>
        <v/>
      </c>
      <c r="BE197">
        <f>IF($C197="",0,MAX(0,$BD197+IF($P197=AC$3,$R197,0)+IF($S197=AC$3,$U197,0)-$AC197))</f>
        <v/>
      </c>
      <c r="BF197">
        <f>IF($C197="",0,MAX(0,$BE197+IF($P197=AD$3,$R197,0)+IF($S197=AD$3,$U197,0)-$AD197))</f>
        <v/>
      </c>
      <c r="BG197">
        <f>IF($C197="",0,MAX(0,$BF197+IF($P197=AE$3,$R197,0)+IF($S197=AE$3,$U197,0)-$AE197))</f>
        <v/>
      </c>
      <c r="BH197">
        <f>IF($C197="",0,MAX(0,$BG197+IF($P197=AF$3,$R197,0)+IF($S197=AF$3,$U197,0)-$AF197))</f>
        <v/>
      </c>
      <c r="BI197">
        <f>IF($C197="",0,MAX(0,$BH197+IF($P197=AG$3,$R197,0)+IF($S197=AG$3,$U197,0)-$AG197))</f>
        <v/>
      </c>
      <c r="BJ197">
        <f>IF($C197="",0,MAX(0,$BI197+IF($P197=AH$3,$R197,0)+IF($S197=AH$3,$U197,0)-$AH197))</f>
        <v/>
      </c>
      <c r="BK197">
        <f>IF($C197="",0,MAX(0,$BJ197+IF($P197=AI$3,$R197,0)+IF($S197=AI$3,$U197,0)-$AI197))</f>
        <v/>
      </c>
      <c r="BL197">
        <f>IF($C197="",99,IF(AND($AX197&lt;1,V$3&gt;=MAX(N($P197),N($S197))),0,99))</f>
        <v/>
      </c>
      <c r="BM197">
        <f>IF($C197="",99,IF(AND($AY197&lt;1,W$3&gt;=MAX(N($P197),N($S197))),1,99))</f>
        <v/>
      </c>
      <c r="BN197">
        <f>IF($C197="",99,IF(AND($AZ197&lt;1,X$3&gt;=MAX(N($P197),N($S197))),2,99))</f>
        <v/>
      </c>
      <c r="BO197">
        <f>IF($C197="",99,IF(AND($BA197&lt;1,Y$3&gt;=MAX(N($P197),N($S197))),3,99))</f>
        <v/>
      </c>
      <c r="BP197">
        <f>IF($C197="",99,IF(AND($BB197&lt;1,Z$3&gt;=MAX(N($P197),N($S197))),4,99))</f>
        <v/>
      </c>
      <c r="BQ197">
        <f>IF($C197="",99,IF(AND($BC197&lt;1,AA$3&gt;=MAX(N($P197),N($S197))),5,99))</f>
        <v/>
      </c>
      <c r="BR197">
        <f>IF($C197="",99,IF(AND($BD197&lt;1,AB$3&gt;=MAX(N($P197),N($S197))),6,99))</f>
        <v/>
      </c>
      <c r="BS197">
        <f>IF($C197="",99,IF(AND($BE197&lt;1,AC$3&gt;=MAX(N($P197),N($S197))),7,99))</f>
        <v/>
      </c>
      <c r="BT197">
        <f>IF($C197="",99,IF(AND($BF197&lt;1,AD$3&gt;=MAX(N($P197),N($S197))),8,99))</f>
        <v/>
      </c>
      <c r="BU197">
        <f>IF($C197="",99,IF(AND($BG197&lt;1,AE$3&gt;=MAX(N($P197),N($S197))),9,99))</f>
        <v/>
      </c>
      <c r="BV197">
        <f>IF($C197="",99,IF(AND($BH197&lt;1,AF$3&gt;=MAX(N($P197),N($S197))),10,99))</f>
        <v/>
      </c>
      <c r="BW197">
        <f>IF($C197="",99,IF(AND($BI197&lt;1,AG$3&gt;=MAX(N($P197),N($S197))),11,99))</f>
        <v/>
      </c>
      <c r="BX197">
        <f>IF($C197="",99,IF(AND($BJ197&lt;1,AH$3&gt;=MAX(N($P197),N($S197))),12,99))</f>
        <v/>
      </c>
      <c r="BY197">
        <f>IF($C197="",99,IF(AND($BK197&lt;1,AI$3&gt;=MAX(N($P197),N($S197))),13,99))</f>
        <v/>
      </c>
      <c r="BZ197">
        <f>IF(OR($C197="",$M197=""),"",COUNTIF($AJ197:$AW197,"&gt;=1"))</f>
        <v/>
      </c>
      <c r="CA197" s="90">
        <f>IF($BZ197="","",IF($BZ197&gt;=14,"",'設定'!$C$6+$BZ197))</f>
        <v/>
      </c>
      <c r="CB197">
        <f>IF(OR($C197="",$M197=""),"",MIN($BL197:$BY197))</f>
        <v/>
      </c>
      <c r="CC197" s="90">
        <f>IF($CB197="","",IF($CB197&gt;=99,"",'設定'!$C$6+$CB197))</f>
        <v/>
      </c>
      <c r="CD197">
        <f>IF(OR($C197="",$M197=""),"",AVERAGE($V197:$AI197))</f>
        <v/>
      </c>
      <c r="CE197">
        <f>IF($C197="","",IFERROR(IF(MATCH(IF(ISNUMBER($P197),$P197,'設定'!$C$6+N('設定'!$C$7)),$V$3:$AI$3,0)=1,MAX(0,N($L197)),INDEX($AJ197:$AW197,MATCH(IF(ISNUMBER($P197),$P197,'設定'!$C$6+N('設定'!$C$7)),$V$3:$AI$3,0)-1)),""))</f>
        <v/>
      </c>
      <c r="CF197">
        <f>IF(OR($C197="",$O197="",$CE197=""),"",IF($O197-$CE197&lt;=0,0,ROUNDUP(($O197-$CE197)/$G197,0)))</f>
        <v/>
      </c>
      <c r="CG197">
        <f>IF(OR($C197="",$CF197="",NOT(ISNUMBER($Q197))),0,MAX(0,$Q197-$CF197))</f>
        <v/>
      </c>
      <c r="CH197">
        <f>IF(OR($C197="",$O197="",$U197=0),0,IFERROR(ROUNDUP(MAX(0,IF(MATCH($S197,$V$3:$AI$3,0)=1,MAX(0,N($L197)),INDEX($AX197:$BK197,MATCH($S197,$V$3:$AI$3,0)-1))+$U197-$O197)/$G197,0),0))</f>
        <v/>
      </c>
      <c r="CI197">
        <f>IF($C197="","",IF(AND($P197="",$Q197=""),"",IF($P197="","⚠ 入庫日を ▼ から選んでください",IF(NOT(ISNUMBER($P197)),"⚠ 入庫日は ▼ から選んでください",IF($P197&lt;N('設定'!$C$6),"⚠ 入庫日が過去です（もう在庫に入っています）→ 消してください",IF($P197&gt;N('設定'!$C$6)+13,"⚠ 入庫日が14日より先です",IF(N($Q197)&lt;=0,"⚠ 入庫数を入れてください",IF($CG197&gt;0,"⚠ 目安より "&amp;$CG197&amp;" 多い（定数を超える）→ 減らす",""))))))))</f>
        <v/>
      </c>
      <c r="CJ197">
        <f>IF($C197="","",IF(AND($S197="",$T197=""),"",IF($S197="","⚠ 2便目：入庫日を ▼ から選んでください",IF(NOT(ISNUMBER($S197)),"⚠ 2便目：入庫日は ▼ から選んでください",IF($S197&lt;N('設定'!$C$6),"⚠ 2便目：入庫日が過去です（もう在庫に入っています）→ 消してください",IF($S197&gt;N('設定'!$C$6)+13,"⚠ 2便目：入庫日が14日より先です",IF(N($T197)&lt;=0,"⚠ 2便目：入庫数を入れてください",IF($CH197&gt;0,"⚠ 2便目：定数を "&amp;$CH197&amp;" ケース超える → 減らす",""))))))))</f>
        <v/>
      </c>
      <c r="CK197">
        <f>IF(AND($CI197="",N($Q197)&gt;0,ISNUMBER($P197)),1,0)</f>
        <v/>
      </c>
      <c r="CL197">
        <f>IF(AND($CJ197="",N($T197)&gt;0,ISNUMBER($S197)),1,0)</f>
        <v/>
      </c>
      <c r="CM197">
        <f>IF(OR($CK197=1,$CL197=1),1,0)</f>
        <v/>
      </c>
      <c r="CN197">
        <f>IF($C197="",0,($CK197*$R197+$CL197*$U197)*N($H197))</f>
        <v/>
      </c>
      <c r="CO197">
        <f>IF($C197="","",IF($CC197="","入庫後は 14日以上もつ",IF($CC197-N('設定'!$C$7)&lt;='設定'!$C$6,"入庫後も "&amp;TEXT($CC197,"m/d")&amp;"("&amp;CHOOSE(WEEKDAY($CC197),"日","月","火","水","木","金","土")&amp;")"&amp;" に切れる　もう1便を至急発注","入庫後も "&amp;TEXT($CC197,"m/d")&amp;"("&amp;CHOOSE(WEEKDAY($CC197),"日","月","火","水","木","金","土")&amp;")"&amp;" に切れる　"&amp;TEXT($CC197-N('設定'!$C$7),"m/d")&amp;"("&amp;CHOOSE(WEEKDAY($CC197-N('設定'!$C$7)),"日","月","火","水","木","金","土")&amp;")"&amp;" までに次を発注")))</f>
        <v/>
      </c>
      <c r="CP197">
        <f>IF($C197="","",IF('設定'!$C$6="","？ ①在庫を貼る に今日のCSVが貼られていない",IF($CS197=1,"－ 今日のCSVに無い（終売？）",IF($L197&lt;0,"● 在庫がマイナス　数えて「数えた在庫」に入れる",IF($L197=0,"● 在庫なし　至急発注",IF($M197="","？ 減り数が未設定（商品マスタ）",IF($B$3=0,"？ 動員が未入力（動員を入れる）",IF($CA197="","○ 14日以上もつ",IF($BZ197&lt;N('設定'!$C$7),"● "&amp;TEXT($CA197,"m/d")&amp;"("&amp;CHOOSE(WEEKDAY($CA197),"日","月","火","水","木","金","土")&amp;")"&amp;" に切れる　至急発注",IF($BZ197=N('設定'!$C$7),"● "&amp;TEXT($CA197,"m/d")&amp;"("&amp;CHOOSE(WEEKDAY($CA197),"日","月","火","水","木","金","土")&amp;")"&amp;" に切れる　今日発注","△ "&amp;TEXT($CA197,"m/d")&amp;"("&amp;CHOOSE(WEEKDAY($CA197),"日","月","火","水","木","金","土")&amp;")"&amp;" に切れる　"&amp;TEXT($CA197-N('設定'!$C$7),"m/d")&amp;"("&amp;CHOOSE(WEEKDAY($CA197-N('設定'!$C$7)),"日","月","火","水","木","金","土")&amp;")"&amp;" までに発注"))))))))))</f>
        <v/>
      </c>
      <c r="CQ197">
        <f>IF($C197="","",IF(AND($P197="",$Q197="",$S197="",$T197=""),"",IF(AND($P197="",$Q197=""),"⚠ 先に1便目（左の入庫日・入庫数）に入れてください",IF($CI197&lt;&gt;"",$CI197,IF($CJ197&lt;&gt;"",$CJ197,IF($M197="","？ 減り数が未設定（発注書には載ります）",IF($B$3=0,"？ 動員が未入力（発注書には載ります）",IF(AND($CA197&lt;&gt;"",$P197&gt;$CA197),IF($P197&gt;'設定'!$C$6+N('設定'!$C$7),"● "&amp;TEXT($P197,"m/d")&amp;"("&amp;CHOOSE(WEEKDAY($P197),"日","月","火","水","木","金","土")&amp;")"&amp;" の入庫では間に合わない（"&amp;TEXT($CA197,"m/d")&amp;"("&amp;CHOOSE(WEEKDAY($CA197),"日","月","火","水","木","金","土")&amp;")"&amp;" に切れる）　入庫日を早める","△ 欠品 "&amp;TEXT($CA197,"m/d")&amp;"("&amp;CHOOSE(WEEKDAY($CA197),"日","月","火","水","木","金","土")&amp;")"&amp;"〜"&amp;TEXT($P197-1,"m/d")&amp;"("&amp;CHOOSE(WEEKDAY($P197-1),"日","月","火","水","木","金","土")&amp;")"&amp;"　"&amp;$CO197),IF($CC197="","○ "&amp;TEXT($P197,"m/d")&amp;"("&amp;CHOOSE(WEEKDAY($P197),"日","月","火","水","木","金","土")&amp;")"&amp;" 入庫で 14日以上もつ",IF($CC197-N('設定'!$C$7)&lt;='設定'!$C$6,"● 入庫しても "&amp;TEXT($CC197,"m/d")&amp;"("&amp;CHOOSE(WEEKDAY($CC197),"日","月","火","水","木","金","土")&amp;")"&amp;" に切れる　もう1便を至急発注（2便目に入れる）","△ 入庫しても "&amp;TEXT($CC197,"m/d")&amp;"("&amp;CHOOSE(WEEKDAY($CC197),"日","月","火","水","木","金","土")&amp;")"&amp;" に切れる　"&amp;TEXT($CC197-N('設定'!$C$7),"m/d")&amp;"("&amp;CHOOSE(WEEKDAY($CC197-N('設定'!$C$7)),"日","月","火","水","木","金","土")&amp;")"&amp;" までに次を発注（2便目に入れる）"))))))))))</f>
        <v/>
      </c>
      <c r="CR197">
        <f>IF($C197="","",IF($G197&gt;1,"ｹｰｽ("&amp;$G197&amp;"入)","個"))</f>
        <v/>
      </c>
      <c r="CS197">
        <f>IF($C197="",0,IF(COUNTIFS('①在庫を貼る'!$V$6:$V$10005,'設定'!$C$4,'①在庫を貼る'!$W$6:$W$10005,$C197)=0,1,0))</f>
        <v/>
      </c>
      <c r="CT197">
        <f>IF(AND($CK197=1,OR('③発注書'!$C$4="すべて",'③発注書'!$C$4="",$F197='③発注書'!$C$4)),N($CT196)+1,N($CT196))</f>
        <v/>
      </c>
      <c r="CU197">
        <f>IF(AND($CL197=1,OR('③発注書'!$C$4="すべて",'③発注書'!$C$4="",$F197='③発注書'!$C$4)),N($CU196)+1,N($CU196))</f>
        <v/>
      </c>
      <c r="CV197">
        <f>IF($C197="",0,IF(COUNTIFS('①在庫を貼る'!$V$6:$V$10005,'設定'!$C$4,'①在庫を貼る'!$W$6:$W$10005,$C197)&gt;0,1,0))</f>
        <v/>
      </c>
      <c r="CW197">
        <f>IF($C197="",0,IF(COUNTIFS('月1回_1ヶ月前の在庫'!$V$6:$V$10005,'設定'!$C$4,'月1回_1ヶ月前の在庫'!$W$6:$W$10005,$C197)&gt;0,1,0))</f>
        <v/>
      </c>
      <c r="CX197">
        <f>IF($C197="",0,IF(COUNTIFS('月1回_2ヶ月前の在庫'!$V$6:$V$10005,'設定'!$C$4,'月1回_2ヶ月前の在庫'!$W$6:$W$10005,$C197)&gt;0,1,0))</f>
        <v/>
      </c>
      <c r="CY197">
        <f>IF(OR($C197="",'設定'!$C$12=""),"",IF('設定'!$C$13="",IF(AND($CV197=1,$CW197=0),"新商品（今月から）",IF(AND($CV197=0,$CW197=1),"終売（今月から）","")),IF(AND($CV197=1,$CW197=0,$CX197=0),"新商品（今月から）",IF(AND($CV197=1,$CW197=1,$CX197=0),"新商品（先月から）",IF(AND($CV197=0,$CW197=1,$CX197=1),"終売（今月から）",IF(AND($CV197=0,$CW197=0,$CX197=1),"終売（先月から）",IF(AND($CV197=1,$CW197=0,$CX197=1),"復活（先月は無し）","")))))))</f>
        <v/>
      </c>
    </row>
    <row r="198">
      <c r="B198">
        <f>IF(193&lt;='設定'!$C$11,193,"")</f>
        <v/>
      </c>
      <c r="C198">
        <f>IF($B198="","",IF($B198&lt;='設定'!$C$20,INDEX('商品マスタ'!$B$6:$B$1005,MATCH($B198,'商品マスタ'!$M$6:$M$1005,0)),IF($B198&lt;='設定'!$C$20+'設定'!$C$17,INDEX('①在庫を貼る'!$W$6:$W$10005,MATCH($B198-'設定'!$C$20,'①在庫を貼る'!$U$6:$U$10005,0)),IF($B198&lt;='設定'!$C$20+'設定'!$C$17+'設定'!$C$18,INDEX('月1回_1ヶ月前の在庫'!$W$6:$W$10005,MATCH($B198-'設定'!$C$20-'設定'!$C$17,'月1回_1ヶ月前の在庫'!$U$6:$U$10005,0)),INDEX('月1回_2ヶ月前の在庫'!$W$6:$W$10005,MATCH($B198-'設定'!$C$20-'設定'!$C$17-'設定'!$C$18,'月1回_2ヶ月前の在庫'!$U$6:$U$10005,0))))))</f>
        <v/>
      </c>
      <c r="D198">
        <f>IF($C198="","",IFERROR(IF(INDEX('商品マスタ'!$C$6:$C$1005,MATCH($C198,'商品マスタ'!$B$6:$B$1005,0))="",IFERROR(INDEX('①在庫を貼る'!$J$6:$J$10005,MATCH($C198,'①在庫を貼る'!$W$6:$W$10005,0)),IFERROR(INDEX('月1回_1ヶ月前の在庫'!$J$6:$J$10005,MATCH($C198,'月1回_1ヶ月前の在庫'!$W$6:$W$10005,0)),IFERROR(INDEX('月1回_2ヶ月前の在庫'!$J$6:$J$10005,MATCH($C198,'月1回_2ヶ月前の在庫'!$W$6:$W$10005,0)),""))),INDEX('商品マスタ'!$C$6:$C$1005,MATCH($C198,'商品マスタ'!$B$6:$B$1005,0))),IFERROR(INDEX('①在庫を貼る'!$J$6:$J$10005,MATCH($C198,'①在庫を貼る'!$W$6:$W$10005,0)),IFERROR(INDEX('月1回_1ヶ月前の在庫'!$J$6:$J$10005,MATCH($C198,'月1回_1ヶ月前の在庫'!$W$6:$W$10005,0)),IFERROR(INDEX('月1回_2ヶ月前の在庫'!$J$6:$J$10005,MATCH($C198,'月1回_2ヶ月前の在庫'!$W$6:$W$10005,0)),"")))))</f>
        <v/>
      </c>
      <c r="E198">
        <f>IF($C198="","",IFERROR(IF(INDEX('商品マスタ'!$D$6:$D$1005,MATCH($C198,'商品マスタ'!$B$6:$B$1005,0))="",IFERROR(INDEX('①在庫を貼る'!$H$6:$H$10005,MATCH($C198,'①在庫を貼る'!$W$6:$W$10005,0)),IFERROR(INDEX('月1回_1ヶ月前の在庫'!$H$6:$H$10005,MATCH($C198,'月1回_1ヶ月前の在庫'!$W$6:$W$10005,0)),IFERROR(INDEX('月1回_2ヶ月前の在庫'!$H$6:$H$10005,MATCH($C198,'月1回_2ヶ月前の在庫'!$W$6:$W$10005,0)),""))),INDEX('商品マスタ'!$D$6:$D$1005,MATCH($C198,'商品マスタ'!$B$6:$B$1005,0))),IFERROR(INDEX('①在庫を貼る'!$H$6:$H$10005,MATCH($C198,'①在庫を貼る'!$W$6:$W$10005,0)),IFERROR(INDEX('月1回_1ヶ月前の在庫'!$H$6:$H$10005,MATCH($C198,'月1回_1ヶ月前の在庫'!$W$6:$W$10005,0)),IFERROR(INDEX('月1回_2ヶ月前の在庫'!$H$6:$H$10005,MATCH($C198,'月1回_2ヶ月前の在庫'!$W$6:$W$10005,0)),"")))))</f>
        <v/>
      </c>
      <c r="F198">
        <f>IF($C198="","",IFERROR(IF(INDEX('商品マスタ'!$E$6:$E$1005,MATCH($C198,'商品マスタ'!$B$6:$B$1005,0))="",IFERROR(INDEX('①在庫を貼る'!$E$6:$E$10005,MATCH($C198,'①在庫を貼る'!$W$6:$W$10005,0)),IFERROR(INDEX('月1回_1ヶ月前の在庫'!$E$6:$E$10005,MATCH($C198,'月1回_1ヶ月前の在庫'!$W$6:$W$10005,0)),IFERROR(INDEX('月1回_2ヶ月前の在庫'!$E$6:$E$10005,MATCH($C198,'月1回_2ヶ月前の在庫'!$W$6:$W$10005,0)),""))),INDEX('商品マスタ'!$E$6:$E$1005,MATCH($C198,'商品マスタ'!$B$6:$B$1005,0))),IFERROR(INDEX('①在庫を貼る'!$E$6:$E$10005,MATCH($C198,'①在庫を貼る'!$W$6:$W$10005,0)),IFERROR(INDEX('月1回_1ヶ月前の在庫'!$E$6:$E$10005,MATCH($C198,'月1回_1ヶ月前の在庫'!$W$6:$W$10005,0)),IFERROR(INDEX('月1回_2ヶ月前の在庫'!$E$6:$E$10005,MATCH($C198,'月1回_2ヶ月前の在庫'!$W$6:$W$10005,0)),"")))))</f>
        <v/>
      </c>
      <c r="G198">
        <f>IF($C198="","",MAX(1,N(IFERROR(IF(INDEX('商品マスタ'!$F$6:$F$1005,MATCH($C198,'商品マスタ'!$B$6:$B$1005,0))="",IF(COUNTIFS('①在庫を貼る'!$V$6:$V$10005,'設定'!$C$4,'①在庫を貼る'!$W$6:$W$10005,$C198)&gt;0,SUMIFS('①在庫を貼る'!$K$6:$K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K$6:$K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K$6:$K$10005,'月1回_2ヶ月前の在庫'!$V$6:$V$10005,'設定'!$C$4,'月1回_2ヶ月前の在庫'!$W$6:$W$10005,$C198)/COUNTIFS('月1回_2ヶ月前の在庫'!$V$6:$V$10005,'設定'!$C$4,'月1回_2ヶ月前の在庫'!$W$6:$W$10005,$C198),0))),INDEX('商品マスタ'!$F$6:$F$1005,MATCH($C198,'商品マスタ'!$B$6:$B$1005,0))),IF(COUNTIFS('①在庫を貼る'!$V$6:$V$10005,'設定'!$C$4,'①在庫を貼る'!$W$6:$W$10005,$C198)&gt;0,SUMIFS('①在庫を貼る'!$K$6:$K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K$6:$K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K$6:$K$10005,'月1回_2ヶ月前の在庫'!$V$6:$V$10005,'設定'!$C$4,'月1回_2ヶ月前の在庫'!$W$6:$W$10005,$C198)/COUNTIFS('月1回_2ヶ月前の在庫'!$V$6:$V$10005,'設定'!$C$4,'月1回_2ヶ月前の在庫'!$W$6:$W$10005,$C198),0)))))))</f>
        <v/>
      </c>
      <c r="H198">
        <f>IF($C198="","",N(IFERROR(IF(INDEX('商品マスタ'!$G$6:$G$1005,MATCH($C198,'商品マスタ'!$B$6:$B$1005,0))="",IF(COUNTIFS('①在庫を貼る'!$V$6:$V$10005,'設定'!$C$4,'①在庫を貼る'!$W$6:$W$10005,$C198)&gt;0,SUMIFS('①在庫を貼る'!$Q$6:$Q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Q$6:$Q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Q$6:$Q$10005,'月1回_2ヶ月前の在庫'!$V$6:$V$10005,'設定'!$C$4,'月1回_2ヶ月前の在庫'!$W$6:$W$10005,$C198)/COUNTIFS('月1回_2ヶ月前の在庫'!$V$6:$V$10005,'設定'!$C$4,'月1回_2ヶ月前の在庫'!$W$6:$W$10005,$C198),0))),INDEX('商品マスタ'!$G$6:$G$1005,MATCH($C198,'商品マスタ'!$B$6:$B$1005,0))),IF(COUNTIFS('①在庫を貼る'!$V$6:$V$10005,'設定'!$C$4,'①在庫を貼る'!$W$6:$W$10005,$C198)&gt;0,SUMIFS('①在庫を貼る'!$Q$6:$Q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Q$6:$Q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Q$6:$Q$10005,'月1回_2ヶ月前の在庫'!$V$6:$V$10005,'設定'!$C$4,'月1回_2ヶ月前の在庫'!$W$6:$W$10005,$C198)/COUNTIFS('月1回_2ヶ月前の在庫'!$V$6:$V$10005,'設定'!$C$4,'月1回_2ヶ月前の在庫'!$W$6:$W$10005,$C198),0))))))</f>
        <v/>
      </c>
      <c r="I198">
        <f>IF($C198="","",IF(COUNTIFS('①在庫を貼る'!$V$6:$V$10005,'設定'!$C$4,'①在庫を貼る'!$W$6:$W$10005,$C198)=0,"",SUMIFS('①在庫を貼る'!$N$6:$N$10005,'①在庫を貼る'!$V$6:$V$10005,'設定'!$C$4,'①在庫を貼る'!$W$6:$W$10005,$C198)))</f>
        <v/>
      </c>
      <c r="J198">
        <f>IF($C198="","",IF('②発注する'!$AD202="","",'②発注する'!$AD202))</f>
        <v/>
      </c>
      <c r="K198" s="90">
        <f>IF($C198="","",IF('②発注する'!$AE202="","",'②発注する'!$AE202))</f>
        <v/>
      </c>
      <c r="L198">
        <f>IF($C198="","",IF(AND(ISNUMBER($J198),ISNUMBER($K198),$K198&gt;='設定'!$C$6),$J198,N($I198)))</f>
        <v/>
      </c>
      <c r="M198">
        <f>IF($C198="","",IFERROR(IF(N(INDEX('商品マスタ'!$J$6:$J$1005,MATCH($C198,'商品マスタ'!$B$6:$B$1005,0)))&gt;0,INDEX('商品マスタ'!$J$6:$J$1005,MATCH($C198,'商品マスタ'!$B$6:$B$1005,0)),""),""))</f>
        <v/>
      </c>
      <c r="N198">
        <f>IF($C198="","",IFERROR(IF(N(INDEX('商品マスタ'!$H$6:$H$1005,MATCH($C198,'商品マスタ'!$B$6:$B$1005,0)))&gt;0,INDEX('商品マスタ'!$H$6:$H$1005,MATCH($C198,'商品マスタ'!$B$6:$B$1005,0)),""),""))</f>
        <v/>
      </c>
      <c r="O198">
        <f>IF($C198="","",IF($N198&lt;&gt;"",$N198*$G198,IF(N(IF(COUNTIFS('①在庫を貼る'!$V$6:$V$10005,'設定'!$C$4,'①在庫を貼る'!$W$6:$W$10005,$C198)&gt;0,SUMIFS('①在庫を貼る'!$O$6:$O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O$6:$O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O$6:$O$10005,'月1回_2ヶ月前の在庫'!$V$6:$V$10005,'設定'!$C$4,'月1回_2ヶ月前の在庫'!$W$6:$W$10005,$C198)/COUNTIFS('月1回_2ヶ月前の在庫'!$V$6:$V$10005,'設定'!$C$4,'月1回_2ヶ月前の在庫'!$W$6:$W$10005,$C198),0))))&gt;0,N(IF(COUNTIFS('①在庫を貼る'!$V$6:$V$10005,'設定'!$C$4,'①在庫を貼る'!$W$6:$W$10005,$C198)&gt;0,SUMIFS('①在庫を貼る'!$O$6:$O$10005,'①在庫を貼る'!$V$6:$V$10005,'設定'!$C$4,'①在庫を貼る'!$W$6:$W$10005,$C198)/COUNTIFS('①在庫を貼る'!$V$6:$V$10005,'設定'!$C$4,'①在庫を貼る'!$W$6:$W$10005,$C198),IF(COUNTIFS('月1回_1ヶ月前の在庫'!$V$6:$V$10005,'設定'!$C$4,'月1回_1ヶ月前の在庫'!$W$6:$W$10005,$C198)&gt;0,SUMIFS('月1回_1ヶ月前の在庫'!$O$6:$O$10005,'月1回_1ヶ月前の在庫'!$V$6:$V$10005,'設定'!$C$4,'月1回_1ヶ月前の在庫'!$W$6:$W$10005,$C198)/COUNTIFS('月1回_1ヶ月前の在庫'!$V$6:$V$10005,'設定'!$C$4,'月1回_1ヶ月前の在庫'!$W$6:$W$10005,$C198),IF(COUNTIFS('月1回_2ヶ月前の在庫'!$V$6:$V$10005,'設定'!$C$4,'月1回_2ヶ月前の在庫'!$W$6:$W$10005,$C198)&gt;0,SUMIFS('月1回_2ヶ月前の在庫'!$O$6:$O$10005,'月1回_2ヶ月前の在庫'!$V$6:$V$10005,'設定'!$C$4,'月1回_2ヶ月前の在庫'!$W$6:$W$10005,$C198)/COUNTIFS('月1回_2ヶ月前の在庫'!$V$6:$V$10005,'設定'!$C$4,'月1回_2ヶ月前の在庫'!$W$6:$W$10005,$C198),0)))),"")))</f>
        <v/>
      </c>
      <c r="P198" s="90">
        <f>IF($C198="","",IF('②発注する'!$I202="","",'②発注する'!$I202))</f>
        <v/>
      </c>
      <c r="Q198">
        <f>IF($C198="","",IF('②発注する'!$J202="","",'②発注する'!$J202))</f>
        <v/>
      </c>
      <c r="R198">
        <f>IF($C198="",0,IF(AND(ISNUMBER($P198),ISNUMBER($Q198)),MAX(0,$Q198)*$G198,0))</f>
        <v/>
      </c>
      <c r="S198" s="90">
        <f>IF($C198="","",IF('②発注する'!$M202="","",'②発注する'!$M202))</f>
        <v/>
      </c>
      <c r="T198">
        <f>IF($C198="","",IF('②発注する'!$N202="","",'②発注する'!$N202))</f>
        <v/>
      </c>
      <c r="U198">
        <f>IF($C198="",0,IF(AND(ISNUMBER($S198),ISNUMBER($T198)),MAX(0,$T198)*$G198,0))</f>
        <v/>
      </c>
      <c r="V198">
        <f>IF($C198="",0,IF($M198="",0,MAX(0,$M198)*MAX(0,V$4)/100))</f>
        <v/>
      </c>
      <c r="W198">
        <f>IF($C198="",0,IF($M198="",0,MAX(0,$M198)*MAX(0,W$4)/100))</f>
        <v/>
      </c>
      <c r="X198">
        <f>IF($C198="",0,IF($M198="",0,MAX(0,$M198)*MAX(0,X$4)/100))</f>
        <v/>
      </c>
      <c r="Y198">
        <f>IF($C198="",0,IF($M198="",0,MAX(0,$M198)*MAX(0,Y$4)/100))</f>
        <v/>
      </c>
      <c r="Z198">
        <f>IF($C198="",0,IF($M198="",0,MAX(0,$M198)*MAX(0,Z$4)/100))</f>
        <v/>
      </c>
      <c r="AA198">
        <f>IF($C198="",0,IF($M198="",0,MAX(0,$M198)*MAX(0,AA$4)/100))</f>
        <v/>
      </c>
      <c r="AB198">
        <f>IF($C198="",0,IF($M198="",0,MAX(0,$M198)*MAX(0,AB$4)/100))</f>
        <v/>
      </c>
      <c r="AC198">
        <f>IF($C198="",0,IF($M198="",0,MAX(0,$M198)*MAX(0,AC$4)/100))</f>
        <v/>
      </c>
      <c r="AD198">
        <f>IF($C198="",0,IF($M198="",0,MAX(0,$M198)*MAX(0,AD$4)/100))</f>
        <v/>
      </c>
      <c r="AE198">
        <f>IF($C198="",0,IF($M198="",0,MAX(0,$M198)*MAX(0,AE$4)/100))</f>
        <v/>
      </c>
      <c r="AF198">
        <f>IF($C198="",0,IF($M198="",0,MAX(0,$M198)*MAX(0,AF$4)/100))</f>
        <v/>
      </c>
      <c r="AG198">
        <f>IF($C198="",0,IF($M198="",0,MAX(0,$M198)*MAX(0,AG$4)/100))</f>
        <v/>
      </c>
      <c r="AH198">
        <f>IF($C198="",0,IF($M198="",0,MAX(0,$M198)*MAX(0,AH$4)/100))</f>
        <v/>
      </c>
      <c r="AI198">
        <f>IF($C198="",0,IF($M198="",0,MAX(0,$M198)*MAX(0,AI$4)/100))</f>
        <v/>
      </c>
      <c r="AJ198">
        <f>IF($C198="",0,MAX(0,MAX(0,N($L198))-$V198))</f>
        <v/>
      </c>
      <c r="AK198">
        <f>IF($C198="",0,MAX(0,$AJ198-$W198))</f>
        <v/>
      </c>
      <c r="AL198">
        <f>IF($C198="",0,MAX(0,$AK198-$X198))</f>
        <v/>
      </c>
      <c r="AM198">
        <f>IF($C198="",0,MAX(0,$AL198-$Y198))</f>
        <v/>
      </c>
      <c r="AN198">
        <f>IF($C198="",0,MAX(0,$AM198-$Z198))</f>
        <v/>
      </c>
      <c r="AO198">
        <f>IF($C198="",0,MAX(0,$AN198-$AA198))</f>
        <v/>
      </c>
      <c r="AP198">
        <f>IF($C198="",0,MAX(0,$AO198-$AB198))</f>
        <v/>
      </c>
      <c r="AQ198">
        <f>IF($C198="",0,MAX(0,$AP198-$AC198))</f>
        <v/>
      </c>
      <c r="AR198">
        <f>IF($C198="",0,MAX(0,$AQ198-$AD198))</f>
        <v/>
      </c>
      <c r="AS198">
        <f>IF($C198="",0,MAX(0,$AR198-$AE198))</f>
        <v/>
      </c>
      <c r="AT198">
        <f>IF($C198="",0,MAX(0,$AS198-$AF198))</f>
        <v/>
      </c>
      <c r="AU198">
        <f>IF($C198="",0,MAX(0,$AT198-$AG198))</f>
        <v/>
      </c>
      <c r="AV198">
        <f>IF($C198="",0,MAX(0,$AU198-$AH198))</f>
        <v/>
      </c>
      <c r="AW198">
        <f>IF($C198="",0,MAX(0,$AV198-$AI198))</f>
        <v/>
      </c>
      <c r="AX198">
        <f>IF($C198="",0,MAX(0,MAX(0,N($L198))+IF($P198=V$3,$R198,0)+IF($S198=V$3,$U198,0)-$V198))</f>
        <v/>
      </c>
      <c r="AY198">
        <f>IF($C198="",0,MAX(0,$AX198+IF($P198=W$3,$R198,0)+IF($S198=W$3,$U198,0)-$W198))</f>
        <v/>
      </c>
      <c r="AZ198">
        <f>IF($C198="",0,MAX(0,$AY198+IF($P198=X$3,$R198,0)+IF($S198=X$3,$U198,0)-$X198))</f>
        <v/>
      </c>
      <c r="BA198">
        <f>IF($C198="",0,MAX(0,$AZ198+IF($P198=Y$3,$R198,0)+IF($S198=Y$3,$U198,0)-$Y198))</f>
        <v/>
      </c>
      <c r="BB198">
        <f>IF($C198="",0,MAX(0,$BA198+IF($P198=Z$3,$R198,0)+IF($S198=Z$3,$U198,0)-$Z198))</f>
        <v/>
      </c>
      <c r="BC198">
        <f>IF($C198="",0,MAX(0,$BB198+IF($P198=AA$3,$R198,0)+IF($S198=AA$3,$U198,0)-$AA198))</f>
        <v/>
      </c>
      <c r="BD198">
        <f>IF($C198="",0,MAX(0,$BC198+IF($P198=AB$3,$R198,0)+IF($S198=AB$3,$U198,0)-$AB198))</f>
        <v/>
      </c>
      <c r="BE198">
        <f>IF($C198="",0,MAX(0,$BD198+IF($P198=AC$3,$R198,0)+IF($S198=AC$3,$U198,0)-$AC198))</f>
        <v/>
      </c>
      <c r="BF198">
        <f>IF($C198="",0,MAX(0,$BE198+IF($P198=AD$3,$R198,0)+IF($S198=AD$3,$U198,0)-$AD198))</f>
        <v/>
      </c>
      <c r="BG198">
        <f>IF($C198="",0,MAX(0,$BF198+IF($P198=AE$3,$R198,0)+IF($S198=AE$3,$U198,0)-$AE198))</f>
        <v/>
      </c>
      <c r="BH198">
        <f>IF($C198="",0,MAX(0,$BG198+IF($P198=AF$3,$R198,0)+IF($S198=AF$3,$U198,0)-$AF198))</f>
        <v/>
      </c>
      <c r="BI198">
        <f>IF($C198="",0,MAX(0,$BH198+IF($P198=AG$3,$R198,0)+IF($S198=AG$3,$U198,0)-$AG198))</f>
        <v/>
      </c>
      <c r="BJ198">
        <f>IF($C198="",0,MAX(0,$BI198+IF($P198=AH$3,$R198,0)+IF($S198=AH$3,$U198,0)-$AH198))</f>
        <v/>
      </c>
      <c r="BK198">
        <f>IF($C198="",0,MAX(0,$BJ198+IF($P198=AI$3,$R198,0)+IF($S198=AI$3,$U198,0)-$AI198))</f>
        <v/>
      </c>
      <c r="BL198">
        <f>IF($C198="",99,IF(AND($AX198&lt;1,V$3&gt;=MAX(N($P198),N($S198))),0,99))</f>
        <v/>
      </c>
      <c r="BM198">
        <f>IF($C198="",99,IF(AND($AY198&lt;1,W$3&gt;=MAX(N($P198),N($S198))),1,99))</f>
        <v/>
      </c>
      <c r="BN198">
        <f>IF($C198="",99,IF(AND($AZ198&lt;1,X$3&gt;=MAX(N($P198),N($S198))),2,99))</f>
        <v/>
      </c>
      <c r="BO198">
        <f>IF($C198="",99,IF(AND($BA198&lt;1,Y$3&gt;=MAX(N($P198),N($S198))),3,99))</f>
        <v/>
      </c>
      <c r="BP198">
        <f>IF($C198="",99,IF(AND($BB198&lt;1,Z$3&gt;=MAX(N($P198),N($S198))),4,99))</f>
        <v/>
      </c>
      <c r="BQ198">
        <f>IF($C198="",99,IF(AND($BC198&lt;1,AA$3&gt;=MAX(N($P198),N($S198))),5,99))</f>
        <v/>
      </c>
      <c r="BR198">
        <f>IF($C198="",99,IF(AND($BD198&lt;1,AB$3&gt;=MAX(N($P198),N($S198))),6,99))</f>
        <v/>
      </c>
      <c r="BS198">
        <f>IF($C198="",99,IF(AND($BE198&lt;1,AC$3&gt;=MAX(N($P198),N($S198))),7,99))</f>
        <v/>
      </c>
      <c r="BT198">
        <f>IF($C198="",99,IF(AND($BF198&lt;1,AD$3&gt;=MAX(N($P198),N($S198))),8,99))</f>
        <v/>
      </c>
      <c r="BU198">
        <f>IF($C198="",99,IF(AND($BG198&lt;1,AE$3&gt;=MAX(N($P198),N($S198))),9,99))</f>
        <v/>
      </c>
      <c r="BV198">
        <f>IF($C198="",99,IF(AND($BH198&lt;1,AF$3&gt;=MAX(N($P198),N($S198))),10,99))</f>
        <v/>
      </c>
      <c r="BW198">
        <f>IF($C198="",99,IF(AND($BI198&lt;1,AG$3&gt;=MAX(N($P198),N($S198))),11,99))</f>
        <v/>
      </c>
      <c r="BX198">
        <f>IF($C198="",99,IF(AND($BJ198&lt;1,AH$3&gt;=MAX(N($P198),N($S198))),12,99))</f>
        <v/>
      </c>
      <c r="BY198">
        <f>IF($C198="",99,IF(AND($BK198&lt;1,AI$3&gt;=MAX(N($P198),N($S198))),13,99))</f>
        <v/>
      </c>
      <c r="BZ198">
        <f>IF(OR($C198="",$M198=""),"",COUNTIF($AJ198:$AW198,"&gt;=1"))</f>
        <v/>
      </c>
      <c r="CA198" s="90">
        <f>IF($BZ198="","",IF($BZ198&gt;=14,"",'設定'!$C$6+$BZ198))</f>
        <v/>
      </c>
      <c r="CB198">
        <f>IF(OR($C198="",$M198=""),"",MIN($BL198:$BY198))</f>
        <v/>
      </c>
      <c r="CC198" s="90">
        <f>IF($CB198="","",IF($CB198&gt;=99,"",'設定'!$C$6+$CB198))</f>
        <v/>
      </c>
      <c r="CD198">
        <f>IF(OR($C198="",$M198=""),"",AVERAGE($V198:$AI198))</f>
        <v/>
      </c>
      <c r="CE198">
        <f>IF($C198="","",IFERROR(IF(MATCH(IF(ISNUMBER($P198),$P198,'設定'!$C$6+N('設定'!$C$7)),$V$3:$AI$3,0)=1,MAX(0,N($L198)),INDEX($AJ198:$AW198,MATCH(IF(ISNUMBER($P198),$P198,'設定'!$C$6+N('設定'!$C$7)),$V$3:$AI$3,0)-1)),""))</f>
        <v/>
      </c>
      <c r="CF198">
        <f>IF(OR($C198="",$O198="",$CE198=""),"",IF($O198-$CE198&lt;=0,0,ROUNDUP(($O198-$CE198)/$G198,0)))</f>
        <v/>
      </c>
      <c r="CG198">
        <f>IF(OR($C198="",$CF198="",NOT(ISNUMBER($Q198))),0,MAX(0,$Q198-$CF198))</f>
        <v/>
      </c>
      <c r="CH198">
        <f>IF(OR($C198="",$O198="",$U198=0),0,IFERROR(ROUNDUP(MAX(0,IF(MATCH($S198,$V$3:$AI$3,0)=1,MAX(0,N($L198)),INDEX($AX198:$BK198,MATCH($S198,$V$3:$AI$3,0)-1))+$U198-$O198)/$G198,0),0))</f>
        <v/>
      </c>
      <c r="CI198">
        <f>IF($C198="","",IF(AND($P198="",$Q198=""),"",IF($P198="","⚠ 入庫日を ▼ から選んでください",IF(NOT(ISNUMBER($P198)),"⚠ 入庫日は ▼ から選んでください",IF($P198&lt;N('設定'!$C$6),"⚠ 入庫日が過去です（もう在庫に入っています）→ 消してください",IF($P198&gt;N('設定'!$C$6)+13,"⚠ 入庫日が14日より先です",IF(N($Q198)&lt;=0,"⚠ 入庫数を入れてください",IF($CG198&gt;0,"⚠ 目安より "&amp;$CG198&amp;" 多い（定数を超える）→ 減らす",""))))))))</f>
        <v/>
      </c>
      <c r="CJ198">
        <f>IF($C198="","",IF(AND($S198="",$T198=""),"",IF($S198="","⚠ 2便目：入庫日を ▼ から選んでください",IF(NOT(ISNUMBER($S198)),"⚠ 2便目：入庫日は ▼ から選んでください",IF($S198&lt;N('設定'!$C$6),"⚠ 2便目：入庫日が過去です（もう在庫に入っています）→ 消してください",IF($S198&gt;N('設定'!$C$6)+13,"⚠ 2便目：入庫日が14日より先です",IF(N($T198)&lt;=0,"⚠ 2便目：入庫数を入れてください",IF($CH198&gt;0,"⚠ 2便目：定数を "&amp;$CH198&amp;" ケース超える → 減らす",""))))))))</f>
        <v/>
      </c>
      <c r="CK198">
        <f>IF(AND($CI198="",N($Q198)&gt;0,ISNUMBER($P198)),1,0)</f>
        <v/>
      </c>
      <c r="CL198">
        <f>IF(AND($CJ198="",N($T198)&gt;0,ISNUMBER($S198)),1,0)</f>
        <v/>
      </c>
      <c r="CM198">
        <f>IF(OR($CK198=1,$CL198=1),1,0)</f>
        <v/>
      </c>
      <c r="CN198">
        <f>IF($C198="",0,($CK198*$R198+$CL198*$U198)*N($H198))</f>
        <v/>
      </c>
      <c r="CO198">
        <f>IF($C198="","",IF($CC198="","入庫後は 14日以上もつ",IF($CC198-N('設定'!$C$7)&lt;='設定'!$C$6,"入庫後も "&amp;TEXT($CC198,"m/d")&amp;"("&amp;CHOOSE(WEEKDAY($CC198),"日","月","火","水","木","金","土")&amp;")"&amp;" に切れる　もう1便を至急発注","入庫後も "&amp;TEXT($CC198,"m/d")&amp;"("&amp;CHOOSE(WEEKDAY($CC198),"日","月","火","水","木","金","土")&amp;")"&amp;" に切れる　"&amp;TEXT($CC198-N('設定'!$C$7),"m/d")&amp;"("&amp;CHOOSE(WEEKDAY($CC198-N('設定'!$C$7)),"日","月","火","水","木","金","土")&amp;")"&amp;" までに次を発注")))</f>
        <v/>
      </c>
      <c r="CP198">
        <f>IF($C198="","",IF('設定'!$C$6="","？ ①在庫を貼る に今日のCSVが貼られていない",IF($CS198=1,"－ 今日のCSVに無い（終売？）",IF($L198&lt;0,"● 在庫がマイナス　数えて「数えた在庫」に入れる",IF($L198=0,"● 在庫なし　至急発注",IF($M198="","？ 減り数が未設定（商品マスタ）",IF($B$3=0,"？ 動員が未入力（動員を入れる）",IF($CA198="","○ 14日以上もつ",IF($BZ198&lt;N('設定'!$C$7),"● "&amp;TEXT($CA198,"m/d")&amp;"("&amp;CHOOSE(WEEKDAY($CA198),"日","月","火","水","木","金","土")&amp;")"&amp;" に切れる　至急発注",IF($BZ198=N('設定'!$C$7),"● "&amp;TEXT($CA198,"m/d")&amp;"("&amp;CHOOSE(WEEKDAY($CA198),"日","月","火","水","木","金","土")&amp;")"&amp;" に切れる　今日発注","△ "&amp;TEXT($CA198,"m/d")&amp;"("&amp;CHOOSE(WEEKDAY($CA198),"日","月","火","水","木","金","土")&amp;")"&amp;" に切れる　"&amp;TEXT($CA198-N('設定'!$C$7),"m/d")&amp;"("&amp;CHOOSE(WEEKDAY($CA198-N('設定'!$C$7)),"日","月","火","水","木","金","土")&amp;")"&amp;" までに発注"))))))))))</f>
        <v/>
      </c>
      <c r="CQ198">
        <f>IF($C198="","",IF(AND($P198="",$Q198="",$S198="",$T198=""),"",IF(AND($P198="",$Q198=""),"⚠ 先に1便目（左の入庫日・入庫数）に入れてください",IF($CI198&lt;&gt;"",$CI198,IF($CJ198&lt;&gt;"",$CJ198,IF($M198="","？ 減り数が未設定（発注書には載ります）",IF($B$3=0,"？ 動員が未入力（発注書には載ります）",IF(AND($CA198&lt;&gt;"",$P198&gt;$CA198),IF($P198&gt;'設定'!$C$6+N('設定'!$C$7),"● "&amp;TEXT($P198,"m/d")&amp;"("&amp;CHOOSE(WEEKDAY($P198),"日","月","火","水","木","金","土")&amp;")"&amp;" の入庫では間に合わない（"&amp;TEXT($CA198,"m/d")&amp;"("&amp;CHOOSE(WEEKDAY($CA198),"日","月","火","水","木","金","土")&amp;")"&amp;" に切れる）　入庫日を早める","△ 欠品 "&amp;TEXT($CA198,"m/d")&amp;"("&amp;CHOOSE(WEEKDAY($CA198),"日","月","火","水","木","金","土")&amp;")"&amp;"〜"&amp;TEXT($P198-1,"m/d")&amp;"("&amp;CHOOSE(WEEKDAY($P198-1),"日","月","火","水","木","金","土")&amp;")"&amp;"　"&amp;$CO198),IF($CC198="","○ "&amp;TEXT($P198,"m/d")&amp;"("&amp;CHOOSE(WEEKDAY($P198),"日","月","火","水","木","金","土")&amp;")"&amp;" 入庫で 14日以上もつ",IF($CC198-N('設定'!$C$7)&lt;='設定'!$C$6,"● 入庫しても "&amp;TEXT($CC198,"m/d")&amp;"("&amp;CHOOSE(WEEKDAY($CC198),"日","月","火","水","木","金","土")&amp;")"&amp;" に切れる　もう1便を至急発注（2便目に入れる）","△ 入庫しても "&amp;TEXT($CC198,"m/d")&amp;"("&amp;CHOOSE(WEEKDAY($CC198),"日","月","火","水","木","金","土")&amp;")"&amp;" に切れる　"&amp;TEXT($CC198-N('設定'!$C$7),"m/d")&amp;"("&amp;CHOOSE(WEEKDAY($CC198-N('設定'!$C$7)),"日","月","火","水","木","金","土")&amp;")"&amp;" までに次を発注（2便目に入れる）"))))))))))</f>
        <v/>
      </c>
      <c r="CR198">
        <f>IF($C198="","",IF($G198&gt;1,"ｹｰｽ("&amp;$G198&amp;"入)","個"))</f>
        <v/>
      </c>
      <c r="CS198">
        <f>IF($C198="",0,IF(COUNTIFS('①在庫を貼る'!$V$6:$V$10005,'設定'!$C$4,'①在庫を貼る'!$W$6:$W$10005,$C198)=0,1,0))</f>
        <v/>
      </c>
      <c r="CT198">
        <f>IF(AND($CK198=1,OR('③発注書'!$C$4="すべて",'③発注書'!$C$4="",$F198='③発注書'!$C$4)),N($CT197)+1,N($CT197))</f>
        <v/>
      </c>
      <c r="CU198">
        <f>IF(AND($CL198=1,OR('③発注書'!$C$4="すべて",'③発注書'!$C$4="",$F198='③発注書'!$C$4)),N($CU197)+1,N($CU197))</f>
        <v/>
      </c>
      <c r="CV198">
        <f>IF($C198="",0,IF(COUNTIFS('①在庫を貼る'!$V$6:$V$10005,'設定'!$C$4,'①在庫を貼る'!$W$6:$W$10005,$C198)&gt;0,1,0))</f>
        <v/>
      </c>
      <c r="CW198">
        <f>IF($C198="",0,IF(COUNTIFS('月1回_1ヶ月前の在庫'!$V$6:$V$10005,'設定'!$C$4,'月1回_1ヶ月前の在庫'!$W$6:$W$10005,$C198)&gt;0,1,0))</f>
        <v/>
      </c>
      <c r="CX198">
        <f>IF($C198="",0,IF(COUNTIFS('月1回_2ヶ月前の在庫'!$V$6:$V$10005,'設定'!$C$4,'月1回_2ヶ月前の在庫'!$W$6:$W$10005,$C198)&gt;0,1,0))</f>
        <v/>
      </c>
      <c r="CY198">
        <f>IF(OR($C198="",'設定'!$C$12=""),"",IF('設定'!$C$13="",IF(AND($CV198=1,$CW198=0),"新商品（今月から）",IF(AND($CV198=0,$CW198=1),"終売（今月から）","")),IF(AND($CV198=1,$CW198=0,$CX198=0),"新商品（今月から）",IF(AND($CV198=1,$CW198=1,$CX198=0),"新商品（先月から）",IF(AND($CV198=0,$CW198=1,$CX198=1),"終売（今月から）",IF(AND($CV198=0,$CW198=0,$CX198=1),"終売（先月から）",IF(AND($CV198=1,$CW198=0,$CX198=1),"復活（先月は無し）","")))))))</f>
        <v/>
      </c>
    </row>
    <row r="199">
      <c r="B199">
        <f>IF(194&lt;='設定'!$C$11,194,"")</f>
        <v/>
      </c>
      <c r="C199">
        <f>IF($B199="","",IF($B199&lt;='設定'!$C$20,INDEX('商品マスタ'!$B$6:$B$1005,MATCH($B199,'商品マスタ'!$M$6:$M$1005,0)),IF($B199&lt;='設定'!$C$20+'設定'!$C$17,INDEX('①在庫を貼る'!$W$6:$W$10005,MATCH($B199-'設定'!$C$20,'①在庫を貼る'!$U$6:$U$10005,0)),IF($B199&lt;='設定'!$C$20+'設定'!$C$17+'設定'!$C$18,INDEX('月1回_1ヶ月前の在庫'!$W$6:$W$10005,MATCH($B199-'設定'!$C$20-'設定'!$C$17,'月1回_1ヶ月前の在庫'!$U$6:$U$10005,0)),INDEX('月1回_2ヶ月前の在庫'!$W$6:$W$10005,MATCH($B199-'設定'!$C$20-'設定'!$C$17-'設定'!$C$18,'月1回_2ヶ月前の在庫'!$U$6:$U$10005,0))))))</f>
        <v/>
      </c>
      <c r="D199">
        <f>IF($C199="","",IFERROR(IF(INDEX('商品マスタ'!$C$6:$C$1005,MATCH($C199,'商品マスタ'!$B$6:$B$1005,0))="",IFERROR(INDEX('①在庫を貼る'!$J$6:$J$10005,MATCH($C199,'①在庫を貼る'!$W$6:$W$10005,0)),IFERROR(INDEX('月1回_1ヶ月前の在庫'!$J$6:$J$10005,MATCH($C199,'月1回_1ヶ月前の在庫'!$W$6:$W$10005,0)),IFERROR(INDEX('月1回_2ヶ月前の在庫'!$J$6:$J$10005,MATCH($C199,'月1回_2ヶ月前の在庫'!$W$6:$W$10005,0)),""))),INDEX('商品マスタ'!$C$6:$C$1005,MATCH($C199,'商品マスタ'!$B$6:$B$1005,0))),IFERROR(INDEX('①在庫を貼る'!$J$6:$J$10005,MATCH($C199,'①在庫を貼る'!$W$6:$W$10005,0)),IFERROR(INDEX('月1回_1ヶ月前の在庫'!$J$6:$J$10005,MATCH($C199,'月1回_1ヶ月前の在庫'!$W$6:$W$10005,0)),IFERROR(INDEX('月1回_2ヶ月前の在庫'!$J$6:$J$10005,MATCH($C199,'月1回_2ヶ月前の在庫'!$W$6:$W$10005,0)),"")))))</f>
        <v/>
      </c>
      <c r="E199">
        <f>IF($C199="","",IFERROR(IF(INDEX('商品マスタ'!$D$6:$D$1005,MATCH($C199,'商品マスタ'!$B$6:$B$1005,0))="",IFERROR(INDEX('①在庫を貼る'!$H$6:$H$10005,MATCH($C199,'①在庫を貼る'!$W$6:$W$10005,0)),IFERROR(INDEX('月1回_1ヶ月前の在庫'!$H$6:$H$10005,MATCH($C199,'月1回_1ヶ月前の在庫'!$W$6:$W$10005,0)),IFERROR(INDEX('月1回_2ヶ月前の在庫'!$H$6:$H$10005,MATCH($C199,'月1回_2ヶ月前の在庫'!$W$6:$W$10005,0)),""))),INDEX('商品マスタ'!$D$6:$D$1005,MATCH($C199,'商品マスタ'!$B$6:$B$1005,0))),IFERROR(INDEX('①在庫を貼る'!$H$6:$H$10005,MATCH($C199,'①在庫を貼る'!$W$6:$W$10005,0)),IFERROR(INDEX('月1回_1ヶ月前の在庫'!$H$6:$H$10005,MATCH($C199,'月1回_1ヶ月前の在庫'!$W$6:$W$10005,0)),IFERROR(INDEX('月1回_2ヶ月前の在庫'!$H$6:$H$10005,MATCH($C199,'月1回_2ヶ月前の在庫'!$W$6:$W$10005,0)),"")))))</f>
        <v/>
      </c>
      <c r="F199">
        <f>IF($C199="","",IFERROR(IF(INDEX('商品マスタ'!$E$6:$E$1005,MATCH($C199,'商品マスタ'!$B$6:$B$1005,0))="",IFERROR(INDEX('①在庫を貼る'!$E$6:$E$10005,MATCH($C199,'①在庫を貼る'!$W$6:$W$10005,0)),IFERROR(INDEX('月1回_1ヶ月前の在庫'!$E$6:$E$10005,MATCH($C199,'月1回_1ヶ月前の在庫'!$W$6:$W$10005,0)),IFERROR(INDEX('月1回_2ヶ月前の在庫'!$E$6:$E$10005,MATCH($C199,'月1回_2ヶ月前の在庫'!$W$6:$W$10005,0)),""))),INDEX('商品マスタ'!$E$6:$E$1005,MATCH($C199,'商品マスタ'!$B$6:$B$1005,0))),IFERROR(INDEX('①在庫を貼る'!$E$6:$E$10005,MATCH($C199,'①在庫を貼る'!$W$6:$W$10005,0)),IFERROR(INDEX('月1回_1ヶ月前の在庫'!$E$6:$E$10005,MATCH($C199,'月1回_1ヶ月前の在庫'!$W$6:$W$10005,0)),IFERROR(INDEX('月1回_2ヶ月前の在庫'!$E$6:$E$10005,MATCH($C199,'月1回_2ヶ月前の在庫'!$W$6:$W$10005,0)),"")))))</f>
        <v/>
      </c>
      <c r="G199">
        <f>IF($C199="","",MAX(1,N(IFERROR(IF(INDEX('商品マスタ'!$F$6:$F$1005,MATCH($C199,'商品マスタ'!$B$6:$B$1005,0))="",IF(COUNTIFS('①在庫を貼る'!$V$6:$V$10005,'設定'!$C$4,'①在庫を貼る'!$W$6:$W$10005,$C199)&gt;0,SUMIFS('①在庫を貼る'!$K$6:$K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K$6:$K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K$6:$K$10005,'月1回_2ヶ月前の在庫'!$V$6:$V$10005,'設定'!$C$4,'月1回_2ヶ月前の在庫'!$W$6:$W$10005,$C199)/COUNTIFS('月1回_2ヶ月前の在庫'!$V$6:$V$10005,'設定'!$C$4,'月1回_2ヶ月前の在庫'!$W$6:$W$10005,$C199),0))),INDEX('商品マスタ'!$F$6:$F$1005,MATCH($C199,'商品マスタ'!$B$6:$B$1005,0))),IF(COUNTIFS('①在庫を貼る'!$V$6:$V$10005,'設定'!$C$4,'①在庫を貼る'!$W$6:$W$10005,$C199)&gt;0,SUMIFS('①在庫を貼る'!$K$6:$K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K$6:$K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K$6:$K$10005,'月1回_2ヶ月前の在庫'!$V$6:$V$10005,'設定'!$C$4,'月1回_2ヶ月前の在庫'!$W$6:$W$10005,$C199)/COUNTIFS('月1回_2ヶ月前の在庫'!$V$6:$V$10005,'設定'!$C$4,'月1回_2ヶ月前の在庫'!$W$6:$W$10005,$C199),0)))))))</f>
        <v/>
      </c>
      <c r="H199">
        <f>IF($C199="","",N(IFERROR(IF(INDEX('商品マスタ'!$G$6:$G$1005,MATCH($C199,'商品マスタ'!$B$6:$B$1005,0))="",IF(COUNTIFS('①在庫を貼る'!$V$6:$V$10005,'設定'!$C$4,'①在庫を貼る'!$W$6:$W$10005,$C199)&gt;0,SUMIFS('①在庫を貼る'!$Q$6:$Q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Q$6:$Q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Q$6:$Q$10005,'月1回_2ヶ月前の在庫'!$V$6:$V$10005,'設定'!$C$4,'月1回_2ヶ月前の在庫'!$W$6:$W$10005,$C199)/COUNTIFS('月1回_2ヶ月前の在庫'!$V$6:$V$10005,'設定'!$C$4,'月1回_2ヶ月前の在庫'!$W$6:$W$10005,$C199),0))),INDEX('商品マスタ'!$G$6:$G$1005,MATCH($C199,'商品マスタ'!$B$6:$B$1005,0))),IF(COUNTIFS('①在庫を貼る'!$V$6:$V$10005,'設定'!$C$4,'①在庫を貼る'!$W$6:$W$10005,$C199)&gt;0,SUMIFS('①在庫を貼る'!$Q$6:$Q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Q$6:$Q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Q$6:$Q$10005,'月1回_2ヶ月前の在庫'!$V$6:$V$10005,'設定'!$C$4,'月1回_2ヶ月前の在庫'!$W$6:$W$10005,$C199)/COUNTIFS('月1回_2ヶ月前の在庫'!$V$6:$V$10005,'設定'!$C$4,'月1回_2ヶ月前の在庫'!$W$6:$W$10005,$C199),0))))))</f>
        <v/>
      </c>
      <c r="I199">
        <f>IF($C199="","",IF(COUNTIFS('①在庫を貼る'!$V$6:$V$10005,'設定'!$C$4,'①在庫を貼る'!$W$6:$W$10005,$C199)=0,"",SUMIFS('①在庫を貼る'!$N$6:$N$10005,'①在庫を貼る'!$V$6:$V$10005,'設定'!$C$4,'①在庫を貼る'!$W$6:$W$10005,$C199)))</f>
        <v/>
      </c>
      <c r="J199">
        <f>IF($C199="","",IF('②発注する'!$AD203="","",'②発注する'!$AD203))</f>
        <v/>
      </c>
      <c r="K199" s="90">
        <f>IF($C199="","",IF('②発注する'!$AE203="","",'②発注する'!$AE203))</f>
        <v/>
      </c>
      <c r="L199">
        <f>IF($C199="","",IF(AND(ISNUMBER($J199),ISNUMBER($K199),$K199&gt;='設定'!$C$6),$J199,N($I199)))</f>
        <v/>
      </c>
      <c r="M199">
        <f>IF($C199="","",IFERROR(IF(N(INDEX('商品マスタ'!$J$6:$J$1005,MATCH($C199,'商品マスタ'!$B$6:$B$1005,0)))&gt;0,INDEX('商品マスタ'!$J$6:$J$1005,MATCH($C199,'商品マスタ'!$B$6:$B$1005,0)),""),""))</f>
        <v/>
      </c>
      <c r="N199">
        <f>IF($C199="","",IFERROR(IF(N(INDEX('商品マスタ'!$H$6:$H$1005,MATCH($C199,'商品マスタ'!$B$6:$B$1005,0)))&gt;0,INDEX('商品マスタ'!$H$6:$H$1005,MATCH($C199,'商品マスタ'!$B$6:$B$1005,0)),""),""))</f>
        <v/>
      </c>
      <c r="O199">
        <f>IF($C199="","",IF($N199&lt;&gt;"",$N199*$G199,IF(N(IF(COUNTIFS('①在庫を貼る'!$V$6:$V$10005,'設定'!$C$4,'①在庫を貼る'!$W$6:$W$10005,$C199)&gt;0,SUMIFS('①在庫を貼る'!$O$6:$O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O$6:$O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O$6:$O$10005,'月1回_2ヶ月前の在庫'!$V$6:$V$10005,'設定'!$C$4,'月1回_2ヶ月前の在庫'!$W$6:$W$10005,$C199)/COUNTIFS('月1回_2ヶ月前の在庫'!$V$6:$V$10005,'設定'!$C$4,'月1回_2ヶ月前の在庫'!$W$6:$W$10005,$C199),0))))&gt;0,N(IF(COUNTIFS('①在庫を貼る'!$V$6:$V$10005,'設定'!$C$4,'①在庫を貼る'!$W$6:$W$10005,$C199)&gt;0,SUMIFS('①在庫を貼る'!$O$6:$O$10005,'①在庫を貼る'!$V$6:$V$10005,'設定'!$C$4,'①在庫を貼る'!$W$6:$W$10005,$C199)/COUNTIFS('①在庫を貼る'!$V$6:$V$10005,'設定'!$C$4,'①在庫を貼る'!$W$6:$W$10005,$C199),IF(COUNTIFS('月1回_1ヶ月前の在庫'!$V$6:$V$10005,'設定'!$C$4,'月1回_1ヶ月前の在庫'!$W$6:$W$10005,$C199)&gt;0,SUMIFS('月1回_1ヶ月前の在庫'!$O$6:$O$10005,'月1回_1ヶ月前の在庫'!$V$6:$V$10005,'設定'!$C$4,'月1回_1ヶ月前の在庫'!$W$6:$W$10005,$C199)/COUNTIFS('月1回_1ヶ月前の在庫'!$V$6:$V$10005,'設定'!$C$4,'月1回_1ヶ月前の在庫'!$W$6:$W$10005,$C199),IF(COUNTIFS('月1回_2ヶ月前の在庫'!$V$6:$V$10005,'設定'!$C$4,'月1回_2ヶ月前の在庫'!$W$6:$W$10005,$C199)&gt;0,SUMIFS('月1回_2ヶ月前の在庫'!$O$6:$O$10005,'月1回_2ヶ月前の在庫'!$V$6:$V$10005,'設定'!$C$4,'月1回_2ヶ月前の在庫'!$W$6:$W$10005,$C199)/COUNTIFS('月1回_2ヶ月前の在庫'!$V$6:$V$10005,'設定'!$C$4,'月1回_2ヶ月前の在庫'!$W$6:$W$10005,$C199),0)))),"")))</f>
        <v/>
      </c>
      <c r="P199" s="90">
        <f>IF($C199="","",IF('②発注する'!$I203="","",'②発注する'!$I203))</f>
        <v/>
      </c>
      <c r="Q199">
        <f>IF($C199="","",IF('②発注する'!$J203="","",'②発注する'!$J203))</f>
        <v/>
      </c>
      <c r="R199">
        <f>IF($C199="",0,IF(AND(ISNUMBER($P199),ISNUMBER($Q199)),MAX(0,$Q199)*$G199,0))</f>
        <v/>
      </c>
      <c r="S199" s="90">
        <f>IF($C199="","",IF('②発注する'!$M203="","",'②発注する'!$M203))</f>
        <v/>
      </c>
      <c r="T199">
        <f>IF($C199="","",IF('②発注する'!$N203="","",'②発注する'!$N203))</f>
        <v/>
      </c>
      <c r="U199">
        <f>IF($C199="",0,IF(AND(ISNUMBER($S199),ISNUMBER($T199)),MAX(0,$T199)*$G199,0))</f>
        <v/>
      </c>
      <c r="V199">
        <f>IF($C199="",0,IF($M199="",0,MAX(0,$M199)*MAX(0,V$4)/100))</f>
        <v/>
      </c>
      <c r="W199">
        <f>IF($C199="",0,IF($M199="",0,MAX(0,$M199)*MAX(0,W$4)/100))</f>
        <v/>
      </c>
      <c r="X199">
        <f>IF($C199="",0,IF($M199="",0,MAX(0,$M199)*MAX(0,X$4)/100))</f>
        <v/>
      </c>
      <c r="Y199">
        <f>IF($C199="",0,IF($M199="",0,MAX(0,$M199)*MAX(0,Y$4)/100))</f>
        <v/>
      </c>
      <c r="Z199">
        <f>IF($C199="",0,IF($M199="",0,MAX(0,$M199)*MAX(0,Z$4)/100))</f>
        <v/>
      </c>
      <c r="AA199">
        <f>IF($C199="",0,IF($M199="",0,MAX(0,$M199)*MAX(0,AA$4)/100))</f>
        <v/>
      </c>
      <c r="AB199">
        <f>IF($C199="",0,IF($M199="",0,MAX(0,$M199)*MAX(0,AB$4)/100))</f>
        <v/>
      </c>
      <c r="AC199">
        <f>IF($C199="",0,IF($M199="",0,MAX(0,$M199)*MAX(0,AC$4)/100))</f>
        <v/>
      </c>
      <c r="AD199">
        <f>IF($C199="",0,IF($M199="",0,MAX(0,$M199)*MAX(0,AD$4)/100))</f>
        <v/>
      </c>
      <c r="AE199">
        <f>IF($C199="",0,IF($M199="",0,MAX(0,$M199)*MAX(0,AE$4)/100))</f>
        <v/>
      </c>
      <c r="AF199">
        <f>IF($C199="",0,IF($M199="",0,MAX(0,$M199)*MAX(0,AF$4)/100))</f>
        <v/>
      </c>
      <c r="AG199">
        <f>IF($C199="",0,IF($M199="",0,MAX(0,$M199)*MAX(0,AG$4)/100))</f>
        <v/>
      </c>
      <c r="AH199">
        <f>IF($C199="",0,IF($M199="",0,MAX(0,$M199)*MAX(0,AH$4)/100))</f>
        <v/>
      </c>
      <c r="AI199">
        <f>IF($C199="",0,IF($M199="",0,MAX(0,$M199)*MAX(0,AI$4)/100))</f>
        <v/>
      </c>
      <c r="AJ199">
        <f>IF($C199="",0,MAX(0,MAX(0,N($L199))-$V199))</f>
        <v/>
      </c>
      <c r="AK199">
        <f>IF($C199="",0,MAX(0,$AJ199-$W199))</f>
        <v/>
      </c>
      <c r="AL199">
        <f>IF($C199="",0,MAX(0,$AK199-$X199))</f>
        <v/>
      </c>
      <c r="AM199">
        <f>IF($C199="",0,MAX(0,$AL199-$Y199))</f>
        <v/>
      </c>
      <c r="AN199">
        <f>IF($C199="",0,MAX(0,$AM199-$Z199))</f>
        <v/>
      </c>
      <c r="AO199">
        <f>IF($C199="",0,MAX(0,$AN199-$AA199))</f>
        <v/>
      </c>
      <c r="AP199">
        <f>IF($C199="",0,MAX(0,$AO199-$AB199))</f>
        <v/>
      </c>
      <c r="AQ199">
        <f>IF($C199="",0,MAX(0,$AP199-$AC199))</f>
        <v/>
      </c>
      <c r="AR199">
        <f>IF($C199="",0,MAX(0,$AQ199-$AD199))</f>
        <v/>
      </c>
      <c r="AS199">
        <f>IF($C199="",0,MAX(0,$AR199-$AE199))</f>
        <v/>
      </c>
      <c r="AT199">
        <f>IF($C199="",0,MAX(0,$AS199-$AF199))</f>
        <v/>
      </c>
      <c r="AU199">
        <f>IF($C199="",0,MAX(0,$AT199-$AG199))</f>
        <v/>
      </c>
      <c r="AV199">
        <f>IF($C199="",0,MAX(0,$AU199-$AH199))</f>
        <v/>
      </c>
      <c r="AW199">
        <f>IF($C199="",0,MAX(0,$AV199-$AI199))</f>
        <v/>
      </c>
      <c r="AX199">
        <f>IF($C199="",0,MAX(0,MAX(0,N($L199))+IF($P199=V$3,$R199,0)+IF($S199=V$3,$U199,0)-$V199))</f>
        <v/>
      </c>
      <c r="AY199">
        <f>IF($C199="",0,MAX(0,$AX199+IF($P199=W$3,$R199,0)+IF($S199=W$3,$U199,0)-$W199))</f>
        <v/>
      </c>
      <c r="AZ199">
        <f>IF($C199="",0,MAX(0,$AY199+IF($P199=X$3,$R199,0)+IF($S199=X$3,$U199,0)-$X199))</f>
        <v/>
      </c>
      <c r="BA199">
        <f>IF($C199="",0,MAX(0,$AZ199+IF($P199=Y$3,$R199,0)+IF($S199=Y$3,$U199,0)-$Y199))</f>
        <v/>
      </c>
      <c r="BB199">
        <f>IF($C199="",0,MAX(0,$BA199+IF($P199=Z$3,$R199,0)+IF($S199=Z$3,$U199,0)-$Z199))</f>
        <v/>
      </c>
      <c r="BC199">
        <f>IF($C199="",0,MAX(0,$BB199+IF($P199=AA$3,$R199,0)+IF($S199=AA$3,$U199,0)-$AA199))</f>
        <v/>
      </c>
      <c r="BD199">
        <f>IF($C199="",0,MAX(0,$BC199+IF($P199=AB$3,$R199,0)+IF($S199=AB$3,$U199,0)-$AB199))</f>
        <v/>
      </c>
      <c r="BE199">
        <f>IF($C199="",0,MAX(0,$BD199+IF($P199=AC$3,$R199,0)+IF($S199=AC$3,$U199,0)-$AC199))</f>
        <v/>
      </c>
      <c r="BF199">
        <f>IF($C199="",0,MAX(0,$BE199+IF($P199=AD$3,$R199,0)+IF($S199=AD$3,$U199,0)-$AD199))</f>
        <v/>
      </c>
      <c r="BG199">
        <f>IF($C199="",0,MAX(0,$BF199+IF($P199=AE$3,$R199,0)+IF($S199=AE$3,$U199,0)-$AE199))</f>
        <v/>
      </c>
      <c r="BH199">
        <f>IF($C199="",0,MAX(0,$BG199+IF($P199=AF$3,$R199,0)+IF($S199=AF$3,$U199,0)-$AF199))</f>
        <v/>
      </c>
      <c r="BI199">
        <f>IF($C199="",0,MAX(0,$BH199+IF($P199=AG$3,$R199,0)+IF($S199=AG$3,$U199,0)-$AG199))</f>
        <v/>
      </c>
      <c r="BJ199">
        <f>IF($C199="",0,MAX(0,$BI199+IF($P199=AH$3,$R199,0)+IF($S199=AH$3,$U199,0)-$AH199))</f>
        <v/>
      </c>
      <c r="BK199">
        <f>IF($C199="",0,MAX(0,$BJ199+IF($P199=AI$3,$R199,0)+IF($S199=AI$3,$U199,0)-$AI199))</f>
        <v/>
      </c>
      <c r="BL199">
        <f>IF($C199="",99,IF(AND($AX199&lt;1,V$3&gt;=MAX(N($P199),N($S199))),0,99))</f>
        <v/>
      </c>
      <c r="BM199">
        <f>IF($C199="",99,IF(AND($AY199&lt;1,W$3&gt;=MAX(N($P199),N($S199))),1,99))</f>
        <v/>
      </c>
      <c r="BN199">
        <f>IF($C199="",99,IF(AND($AZ199&lt;1,X$3&gt;=MAX(N($P199),N($S199))),2,99))</f>
        <v/>
      </c>
      <c r="BO199">
        <f>IF($C199="",99,IF(AND($BA199&lt;1,Y$3&gt;=MAX(N($P199),N($S199))),3,99))</f>
        <v/>
      </c>
      <c r="BP199">
        <f>IF($C199="",99,IF(AND($BB199&lt;1,Z$3&gt;=MAX(N($P199),N($S199))),4,99))</f>
        <v/>
      </c>
      <c r="BQ199">
        <f>IF($C199="",99,IF(AND($BC199&lt;1,AA$3&gt;=MAX(N($P199),N($S199))),5,99))</f>
        <v/>
      </c>
      <c r="BR199">
        <f>IF($C199="",99,IF(AND($BD199&lt;1,AB$3&gt;=MAX(N($P199),N($S199))),6,99))</f>
        <v/>
      </c>
      <c r="BS199">
        <f>IF($C199="",99,IF(AND($BE199&lt;1,AC$3&gt;=MAX(N($P199),N($S199))),7,99))</f>
        <v/>
      </c>
      <c r="BT199">
        <f>IF($C199="",99,IF(AND($BF199&lt;1,AD$3&gt;=MAX(N($P199),N($S199))),8,99))</f>
        <v/>
      </c>
      <c r="BU199">
        <f>IF($C199="",99,IF(AND($BG199&lt;1,AE$3&gt;=MAX(N($P199),N($S199))),9,99))</f>
        <v/>
      </c>
      <c r="BV199">
        <f>IF($C199="",99,IF(AND($BH199&lt;1,AF$3&gt;=MAX(N($P199),N($S199))),10,99))</f>
        <v/>
      </c>
      <c r="BW199">
        <f>IF($C199="",99,IF(AND($BI199&lt;1,AG$3&gt;=MAX(N($P199),N($S199))),11,99))</f>
        <v/>
      </c>
      <c r="BX199">
        <f>IF($C199="",99,IF(AND($BJ199&lt;1,AH$3&gt;=MAX(N($P199),N($S199))),12,99))</f>
        <v/>
      </c>
      <c r="BY199">
        <f>IF($C199="",99,IF(AND($BK199&lt;1,AI$3&gt;=MAX(N($P199),N($S199))),13,99))</f>
        <v/>
      </c>
      <c r="BZ199">
        <f>IF(OR($C199="",$M199=""),"",COUNTIF($AJ199:$AW199,"&gt;=1"))</f>
        <v/>
      </c>
      <c r="CA199" s="90">
        <f>IF($BZ199="","",IF($BZ199&gt;=14,"",'設定'!$C$6+$BZ199))</f>
        <v/>
      </c>
      <c r="CB199">
        <f>IF(OR($C199="",$M199=""),"",MIN($BL199:$BY199))</f>
        <v/>
      </c>
      <c r="CC199" s="90">
        <f>IF($CB199="","",IF($CB199&gt;=99,"",'設定'!$C$6+$CB199))</f>
        <v/>
      </c>
      <c r="CD199">
        <f>IF(OR($C199="",$M199=""),"",AVERAGE($V199:$AI199))</f>
        <v/>
      </c>
      <c r="CE199">
        <f>IF($C199="","",IFERROR(IF(MATCH(IF(ISNUMBER($P199),$P199,'設定'!$C$6+N('設定'!$C$7)),$V$3:$AI$3,0)=1,MAX(0,N($L199)),INDEX($AJ199:$AW199,MATCH(IF(ISNUMBER($P199),$P199,'設定'!$C$6+N('設定'!$C$7)),$V$3:$AI$3,0)-1)),""))</f>
        <v/>
      </c>
      <c r="CF199">
        <f>IF(OR($C199="",$O199="",$CE199=""),"",IF($O199-$CE199&lt;=0,0,ROUNDUP(($O199-$CE199)/$G199,0)))</f>
        <v/>
      </c>
      <c r="CG199">
        <f>IF(OR($C199="",$CF199="",NOT(ISNUMBER($Q199))),0,MAX(0,$Q199-$CF199))</f>
        <v/>
      </c>
      <c r="CH199">
        <f>IF(OR($C199="",$O199="",$U199=0),0,IFERROR(ROUNDUP(MAX(0,IF(MATCH($S199,$V$3:$AI$3,0)=1,MAX(0,N($L199)),INDEX($AX199:$BK199,MATCH($S199,$V$3:$AI$3,0)-1))+$U199-$O199)/$G199,0),0))</f>
        <v/>
      </c>
      <c r="CI199">
        <f>IF($C199="","",IF(AND($P199="",$Q199=""),"",IF($P199="","⚠ 入庫日を ▼ から選んでください",IF(NOT(ISNUMBER($P199)),"⚠ 入庫日は ▼ から選んでください",IF($P199&lt;N('設定'!$C$6),"⚠ 入庫日が過去です（もう在庫に入っています）→ 消してください",IF($P199&gt;N('設定'!$C$6)+13,"⚠ 入庫日が14日より先です",IF(N($Q199)&lt;=0,"⚠ 入庫数を入れてください",IF($CG199&gt;0,"⚠ 目安より "&amp;$CG199&amp;" 多い（定数を超える）→ 減らす",""))))))))</f>
        <v/>
      </c>
      <c r="CJ199">
        <f>IF($C199="","",IF(AND($S199="",$T199=""),"",IF($S199="","⚠ 2便目：入庫日を ▼ から選んでください",IF(NOT(ISNUMBER($S199)),"⚠ 2便目：入庫日は ▼ から選んでください",IF($S199&lt;N('設定'!$C$6),"⚠ 2便目：入庫日が過去です（もう在庫に入っています）→ 消してください",IF($S199&gt;N('設定'!$C$6)+13,"⚠ 2便目：入庫日が14日より先です",IF(N($T199)&lt;=0,"⚠ 2便目：入庫数を入れてください",IF($CH199&gt;0,"⚠ 2便目：定数を "&amp;$CH199&amp;" ケース超える → 減らす",""))))))))</f>
        <v/>
      </c>
      <c r="CK199">
        <f>IF(AND($CI199="",N($Q199)&gt;0,ISNUMBER($P199)),1,0)</f>
        <v/>
      </c>
      <c r="CL199">
        <f>IF(AND($CJ199="",N($T199)&gt;0,ISNUMBER($S199)),1,0)</f>
        <v/>
      </c>
      <c r="CM199">
        <f>IF(OR($CK199=1,$CL199=1),1,0)</f>
        <v/>
      </c>
      <c r="CN199">
        <f>IF($C199="",0,($CK199*$R199+$CL199*$U199)*N($H199))</f>
        <v/>
      </c>
      <c r="CO199">
        <f>IF($C199="","",IF($CC199="","入庫後は 14日以上もつ",IF($CC199-N('設定'!$C$7)&lt;='設定'!$C$6,"入庫後も "&amp;TEXT($CC199,"m/d")&amp;"("&amp;CHOOSE(WEEKDAY($CC199),"日","月","火","水","木","金","土")&amp;")"&amp;" に切れる　もう1便を至急発注","入庫後も "&amp;TEXT($CC199,"m/d")&amp;"("&amp;CHOOSE(WEEKDAY($CC199),"日","月","火","水","木","金","土")&amp;")"&amp;" に切れる　"&amp;TEXT($CC199-N('設定'!$C$7),"m/d")&amp;"("&amp;CHOOSE(WEEKDAY($CC199-N('設定'!$C$7)),"日","月","火","水","木","金","土")&amp;")"&amp;" までに次を発注")))</f>
        <v/>
      </c>
      <c r="CP199">
        <f>IF($C199="","",IF('設定'!$C$6="","？ ①在庫を貼る に今日のCSVが貼られていない",IF($CS199=1,"－ 今日のCSVに無い（終売？）",IF($L199&lt;0,"● 在庫がマイナス　数えて「数えた在庫」に入れる",IF($L199=0,"● 在庫なし　至急発注",IF($M199="","？ 減り数が未設定（商品マスタ）",IF($B$3=0,"？ 動員が未入力（動員を入れる）",IF($CA199="","○ 14日以上もつ",IF($BZ199&lt;N('設定'!$C$7),"● "&amp;TEXT($CA199,"m/d")&amp;"("&amp;CHOOSE(WEEKDAY($CA199),"日","月","火","水","木","金","土")&amp;")"&amp;" に切れる　至急発注",IF($BZ199=N('設定'!$C$7),"● "&amp;TEXT($CA199,"m/d")&amp;"("&amp;CHOOSE(WEEKDAY($CA199),"日","月","火","水","木","金","土")&amp;")"&amp;" に切れる　今日発注","△ "&amp;TEXT($CA199,"m/d")&amp;"("&amp;CHOOSE(WEEKDAY($CA199),"日","月","火","水","木","金","土")&amp;")"&amp;" に切れる　"&amp;TEXT($CA199-N('設定'!$C$7),"m/d")&amp;"("&amp;CHOOSE(WEEKDAY($CA199-N('設定'!$C$7)),"日","月","火","水","木","金","土")&amp;")"&amp;" までに発注"))))))))))</f>
        <v/>
      </c>
      <c r="CQ199">
        <f>IF($C199="","",IF(AND($P199="",$Q199="",$S199="",$T199=""),"",IF(AND($P199="",$Q199=""),"⚠ 先に1便目（左の入庫日・入庫数）に入れてください",IF($CI199&lt;&gt;"",$CI199,IF($CJ199&lt;&gt;"",$CJ199,IF($M199="","？ 減り数が未設定（発注書には載ります）",IF($B$3=0,"？ 動員が未入力（発注書には載ります）",IF(AND($CA199&lt;&gt;"",$P199&gt;$CA199),IF($P199&gt;'設定'!$C$6+N('設定'!$C$7),"● "&amp;TEXT($P199,"m/d")&amp;"("&amp;CHOOSE(WEEKDAY($P199),"日","月","火","水","木","金","土")&amp;")"&amp;" の入庫では間に合わない（"&amp;TEXT($CA199,"m/d")&amp;"("&amp;CHOOSE(WEEKDAY($CA199),"日","月","火","水","木","金","土")&amp;")"&amp;" に切れる）　入庫日を早める","△ 欠品 "&amp;TEXT($CA199,"m/d")&amp;"("&amp;CHOOSE(WEEKDAY($CA199),"日","月","火","水","木","金","土")&amp;")"&amp;"〜"&amp;TEXT($P199-1,"m/d")&amp;"("&amp;CHOOSE(WEEKDAY($P199-1),"日","月","火","水","木","金","土")&amp;")"&amp;"　"&amp;$CO199),IF($CC199="","○ "&amp;TEXT($P199,"m/d")&amp;"("&amp;CHOOSE(WEEKDAY($P199),"日","月","火","水","木","金","土")&amp;")"&amp;" 入庫で 14日以上もつ",IF($CC199-N('設定'!$C$7)&lt;='設定'!$C$6,"● 入庫しても "&amp;TEXT($CC199,"m/d")&amp;"("&amp;CHOOSE(WEEKDAY($CC199),"日","月","火","水","木","金","土")&amp;")"&amp;" に切れる　もう1便を至急発注（2便目に入れる）","△ 入庫しても "&amp;TEXT($CC199,"m/d")&amp;"("&amp;CHOOSE(WEEKDAY($CC199),"日","月","火","水","木","金","土")&amp;")"&amp;" に切れる　"&amp;TEXT($CC199-N('設定'!$C$7),"m/d")&amp;"("&amp;CHOOSE(WEEKDAY($CC199-N('設定'!$C$7)),"日","月","火","水","木","金","土")&amp;")"&amp;" までに次を発注（2便目に入れる）"))))))))))</f>
        <v/>
      </c>
      <c r="CR199">
        <f>IF($C199="","",IF($G199&gt;1,"ｹｰｽ("&amp;$G199&amp;"入)","個"))</f>
        <v/>
      </c>
      <c r="CS199">
        <f>IF($C199="",0,IF(COUNTIFS('①在庫を貼る'!$V$6:$V$10005,'設定'!$C$4,'①在庫を貼る'!$W$6:$W$10005,$C199)=0,1,0))</f>
        <v/>
      </c>
      <c r="CT199">
        <f>IF(AND($CK199=1,OR('③発注書'!$C$4="すべて",'③発注書'!$C$4="",$F199='③発注書'!$C$4)),N($CT198)+1,N($CT198))</f>
        <v/>
      </c>
      <c r="CU199">
        <f>IF(AND($CL199=1,OR('③発注書'!$C$4="すべて",'③発注書'!$C$4="",$F199='③発注書'!$C$4)),N($CU198)+1,N($CU198))</f>
        <v/>
      </c>
      <c r="CV199">
        <f>IF($C199="",0,IF(COUNTIFS('①在庫を貼る'!$V$6:$V$10005,'設定'!$C$4,'①在庫を貼る'!$W$6:$W$10005,$C199)&gt;0,1,0))</f>
        <v/>
      </c>
      <c r="CW199">
        <f>IF($C199="",0,IF(COUNTIFS('月1回_1ヶ月前の在庫'!$V$6:$V$10005,'設定'!$C$4,'月1回_1ヶ月前の在庫'!$W$6:$W$10005,$C199)&gt;0,1,0))</f>
        <v/>
      </c>
      <c r="CX199">
        <f>IF($C199="",0,IF(COUNTIFS('月1回_2ヶ月前の在庫'!$V$6:$V$10005,'設定'!$C$4,'月1回_2ヶ月前の在庫'!$W$6:$W$10005,$C199)&gt;0,1,0))</f>
        <v/>
      </c>
      <c r="CY199">
        <f>IF(OR($C199="",'設定'!$C$12=""),"",IF('設定'!$C$13="",IF(AND($CV199=1,$CW199=0),"新商品（今月から）",IF(AND($CV199=0,$CW199=1),"終売（今月から）","")),IF(AND($CV199=1,$CW199=0,$CX199=0),"新商品（今月から）",IF(AND($CV199=1,$CW199=1,$CX199=0),"新商品（先月から）",IF(AND($CV199=0,$CW199=1,$CX199=1),"終売（今月から）",IF(AND($CV199=0,$CW199=0,$CX199=1),"終売（先月から）",IF(AND($CV199=1,$CW199=0,$CX199=1),"復活（先月は無し）","")))))))</f>
        <v/>
      </c>
    </row>
    <row r="200">
      <c r="B200">
        <f>IF(195&lt;='設定'!$C$11,195,"")</f>
        <v/>
      </c>
      <c r="C200">
        <f>IF($B200="","",IF($B200&lt;='設定'!$C$20,INDEX('商品マスタ'!$B$6:$B$1005,MATCH($B200,'商品マスタ'!$M$6:$M$1005,0)),IF($B200&lt;='設定'!$C$20+'設定'!$C$17,INDEX('①在庫を貼る'!$W$6:$W$10005,MATCH($B200-'設定'!$C$20,'①在庫を貼る'!$U$6:$U$10005,0)),IF($B200&lt;='設定'!$C$20+'設定'!$C$17+'設定'!$C$18,INDEX('月1回_1ヶ月前の在庫'!$W$6:$W$10005,MATCH($B200-'設定'!$C$20-'設定'!$C$17,'月1回_1ヶ月前の在庫'!$U$6:$U$10005,0)),INDEX('月1回_2ヶ月前の在庫'!$W$6:$W$10005,MATCH($B200-'設定'!$C$20-'設定'!$C$17-'設定'!$C$18,'月1回_2ヶ月前の在庫'!$U$6:$U$10005,0))))))</f>
        <v/>
      </c>
      <c r="D200">
        <f>IF($C200="","",IFERROR(IF(INDEX('商品マスタ'!$C$6:$C$1005,MATCH($C200,'商品マスタ'!$B$6:$B$1005,0))="",IFERROR(INDEX('①在庫を貼る'!$J$6:$J$10005,MATCH($C200,'①在庫を貼る'!$W$6:$W$10005,0)),IFERROR(INDEX('月1回_1ヶ月前の在庫'!$J$6:$J$10005,MATCH($C200,'月1回_1ヶ月前の在庫'!$W$6:$W$10005,0)),IFERROR(INDEX('月1回_2ヶ月前の在庫'!$J$6:$J$10005,MATCH($C200,'月1回_2ヶ月前の在庫'!$W$6:$W$10005,0)),""))),INDEX('商品マスタ'!$C$6:$C$1005,MATCH($C200,'商品マスタ'!$B$6:$B$1005,0))),IFERROR(INDEX('①在庫を貼る'!$J$6:$J$10005,MATCH($C200,'①在庫を貼る'!$W$6:$W$10005,0)),IFERROR(INDEX('月1回_1ヶ月前の在庫'!$J$6:$J$10005,MATCH($C200,'月1回_1ヶ月前の在庫'!$W$6:$W$10005,0)),IFERROR(INDEX('月1回_2ヶ月前の在庫'!$J$6:$J$10005,MATCH($C200,'月1回_2ヶ月前の在庫'!$W$6:$W$10005,0)),"")))))</f>
        <v/>
      </c>
      <c r="E200">
        <f>IF($C200="","",IFERROR(IF(INDEX('商品マスタ'!$D$6:$D$1005,MATCH($C200,'商品マスタ'!$B$6:$B$1005,0))="",IFERROR(INDEX('①在庫を貼る'!$H$6:$H$10005,MATCH($C200,'①在庫を貼る'!$W$6:$W$10005,0)),IFERROR(INDEX('月1回_1ヶ月前の在庫'!$H$6:$H$10005,MATCH($C200,'月1回_1ヶ月前の在庫'!$W$6:$W$10005,0)),IFERROR(INDEX('月1回_2ヶ月前の在庫'!$H$6:$H$10005,MATCH($C200,'月1回_2ヶ月前の在庫'!$W$6:$W$10005,0)),""))),INDEX('商品マスタ'!$D$6:$D$1005,MATCH($C200,'商品マスタ'!$B$6:$B$1005,0))),IFERROR(INDEX('①在庫を貼る'!$H$6:$H$10005,MATCH($C200,'①在庫を貼る'!$W$6:$W$10005,0)),IFERROR(INDEX('月1回_1ヶ月前の在庫'!$H$6:$H$10005,MATCH($C200,'月1回_1ヶ月前の在庫'!$W$6:$W$10005,0)),IFERROR(INDEX('月1回_2ヶ月前の在庫'!$H$6:$H$10005,MATCH($C200,'月1回_2ヶ月前の在庫'!$W$6:$W$10005,0)),"")))))</f>
        <v/>
      </c>
      <c r="F200">
        <f>IF($C200="","",IFERROR(IF(INDEX('商品マスタ'!$E$6:$E$1005,MATCH($C200,'商品マスタ'!$B$6:$B$1005,0))="",IFERROR(INDEX('①在庫を貼る'!$E$6:$E$10005,MATCH($C200,'①在庫を貼る'!$W$6:$W$10005,0)),IFERROR(INDEX('月1回_1ヶ月前の在庫'!$E$6:$E$10005,MATCH($C200,'月1回_1ヶ月前の在庫'!$W$6:$W$10005,0)),IFERROR(INDEX('月1回_2ヶ月前の在庫'!$E$6:$E$10005,MATCH($C200,'月1回_2ヶ月前の在庫'!$W$6:$W$10005,0)),""))),INDEX('商品マスタ'!$E$6:$E$1005,MATCH($C200,'商品マスタ'!$B$6:$B$1005,0))),IFERROR(INDEX('①在庫を貼る'!$E$6:$E$10005,MATCH($C200,'①在庫を貼る'!$W$6:$W$10005,0)),IFERROR(INDEX('月1回_1ヶ月前の在庫'!$E$6:$E$10005,MATCH($C200,'月1回_1ヶ月前の在庫'!$W$6:$W$10005,0)),IFERROR(INDEX('月1回_2ヶ月前の在庫'!$E$6:$E$10005,MATCH($C200,'月1回_2ヶ月前の在庫'!$W$6:$W$10005,0)),"")))))</f>
        <v/>
      </c>
      <c r="G200">
        <f>IF($C200="","",MAX(1,N(IFERROR(IF(INDEX('商品マスタ'!$F$6:$F$1005,MATCH($C200,'商品マスタ'!$B$6:$B$1005,0))="",IF(COUNTIFS('①在庫を貼る'!$V$6:$V$10005,'設定'!$C$4,'①在庫を貼る'!$W$6:$W$10005,$C200)&gt;0,SUMIFS('①在庫を貼る'!$K$6:$K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K$6:$K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K$6:$K$10005,'月1回_2ヶ月前の在庫'!$V$6:$V$10005,'設定'!$C$4,'月1回_2ヶ月前の在庫'!$W$6:$W$10005,$C200)/COUNTIFS('月1回_2ヶ月前の在庫'!$V$6:$V$10005,'設定'!$C$4,'月1回_2ヶ月前の在庫'!$W$6:$W$10005,$C200),0))),INDEX('商品マスタ'!$F$6:$F$1005,MATCH($C200,'商品マスタ'!$B$6:$B$1005,0))),IF(COUNTIFS('①在庫を貼る'!$V$6:$V$10005,'設定'!$C$4,'①在庫を貼る'!$W$6:$W$10005,$C200)&gt;0,SUMIFS('①在庫を貼る'!$K$6:$K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K$6:$K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K$6:$K$10005,'月1回_2ヶ月前の在庫'!$V$6:$V$10005,'設定'!$C$4,'月1回_2ヶ月前の在庫'!$W$6:$W$10005,$C200)/COUNTIFS('月1回_2ヶ月前の在庫'!$V$6:$V$10005,'設定'!$C$4,'月1回_2ヶ月前の在庫'!$W$6:$W$10005,$C200),0)))))))</f>
        <v/>
      </c>
      <c r="H200">
        <f>IF($C200="","",N(IFERROR(IF(INDEX('商品マスタ'!$G$6:$G$1005,MATCH($C200,'商品マスタ'!$B$6:$B$1005,0))="",IF(COUNTIFS('①在庫を貼る'!$V$6:$V$10005,'設定'!$C$4,'①在庫を貼る'!$W$6:$W$10005,$C200)&gt;0,SUMIFS('①在庫を貼る'!$Q$6:$Q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Q$6:$Q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Q$6:$Q$10005,'月1回_2ヶ月前の在庫'!$V$6:$V$10005,'設定'!$C$4,'月1回_2ヶ月前の在庫'!$W$6:$W$10005,$C200)/COUNTIFS('月1回_2ヶ月前の在庫'!$V$6:$V$10005,'設定'!$C$4,'月1回_2ヶ月前の在庫'!$W$6:$W$10005,$C200),0))),INDEX('商品マスタ'!$G$6:$G$1005,MATCH($C200,'商品マスタ'!$B$6:$B$1005,0))),IF(COUNTIFS('①在庫を貼る'!$V$6:$V$10005,'設定'!$C$4,'①在庫を貼る'!$W$6:$W$10005,$C200)&gt;0,SUMIFS('①在庫を貼る'!$Q$6:$Q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Q$6:$Q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Q$6:$Q$10005,'月1回_2ヶ月前の在庫'!$V$6:$V$10005,'設定'!$C$4,'月1回_2ヶ月前の在庫'!$W$6:$W$10005,$C200)/COUNTIFS('月1回_2ヶ月前の在庫'!$V$6:$V$10005,'設定'!$C$4,'月1回_2ヶ月前の在庫'!$W$6:$W$10005,$C200),0))))))</f>
        <v/>
      </c>
      <c r="I200">
        <f>IF($C200="","",IF(COUNTIFS('①在庫を貼る'!$V$6:$V$10005,'設定'!$C$4,'①在庫を貼る'!$W$6:$W$10005,$C200)=0,"",SUMIFS('①在庫を貼る'!$N$6:$N$10005,'①在庫を貼る'!$V$6:$V$10005,'設定'!$C$4,'①在庫を貼る'!$W$6:$W$10005,$C200)))</f>
        <v/>
      </c>
      <c r="J200">
        <f>IF($C200="","",IF('②発注する'!$AD204="","",'②発注する'!$AD204))</f>
        <v/>
      </c>
      <c r="K200" s="90">
        <f>IF($C200="","",IF('②発注する'!$AE204="","",'②発注する'!$AE204))</f>
        <v/>
      </c>
      <c r="L200">
        <f>IF($C200="","",IF(AND(ISNUMBER($J200),ISNUMBER($K200),$K200&gt;='設定'!$C$6),$J200,N($I200)))</f>
        <v/>
      </c>
      <c r="M200">
        <f>IF($C200="","",IFERROR(IF(N(INDEX('商品マスタ'!$J$6:$J$1005,MATCH($C200,'商品マスタ'!$B$6:$B$1005,0)))&gt;0,INDEX('商品マスタ'!$J$6:$J$1005,MATCH($C200,'商品マスタ'!$B$6:$B$1005,0)),""),""))</f>
        <v/>
      </c>
      <c r="N200">
        <f>IF($C200="","",IFERROR(IF(N(INDEX('商品マスタ'!$H$6:$H$1005,MATCH($C200,'商品マスタ'!$B$6:$B$1005,0)))&gt;0,INDEX('商品マスタ'!$H$6:$H$1005,MATCH($C200,'商品マスタ'!$B$6:$B$1005,0)),""),""))</f>
        <v/>
      </c>
      <c r="O200">
        <f>IF($C200="","",IF($N200&lt;&gt;"",$N200*$G200,IF(N(IF(COUNTIFS('①在庫を貼る'!$V$6:$V$10005,'設定'!$C$4,'①在庫を貼る'!$W$6:$W$10005,$C200)&gt;0,SUMIFS('①在庫を貼る'!$O$6:$O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O$6:$O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O$6:$O$10005,'月1回_2ヶ月前の在庫'!$V$6:$V$10005,'設定'!$C$4,'月1回_2ヶ月前の在庫'!$W$6:$W$10005,$C200)/COUNTIFS('月1回_2ヶ月前の在庫'!$V$6:$V$10005,'設定'!$C$4,'月1回_2ヶ月前の在庫'!$W$6:$W$10005,$C200),0))))&gt;0,N(IF(COUNTIFS('①在庫を貼る'!$V$6:$V$10005,'設定'!$C$4,'①在庫を貼る'!$W$6:$W$10005,$C200)&gt;0,SUMIFS('①在庫を貼る'!$O$6:$O$10005,'①在庫を貼る'!$V$6:$V$10005,'設定'!$C$4,'①在庫を貼る'!$W$6:$W$10005,$C200)/COUNTIFS('①在庫を貼る'!$V$6:$V$10005,'設定'!$C$4,'①在庫を貼る'!$W$6:$W$10005,$C200),IF(COUNTIFS('月1回_1ヶ月前の在庫'!$V$6:$V$10005,'設定'!$C$4,'月1回_1ヶ月前の在庫'!$W$6:$W$10005,$C200)&gt;0,SUMIFS('月1回_1ヶ月前の在庫'!$O$6:$O$10005,'月1回_1ヶ月前の在庫'!$V$6:$V$10005,'設定'!$C$4,'月1回_1ヶ月前の在庫'!$W$6:$W$10005,$C200)/COUNTIFS('月1回_1ヶ月前の在庫'!$V$6:$V$10005,'設定'!$C$4,'月1回_1ヶ月前の在庫'!$W$6:$W$10005,$C200),IF(COUNTIFS('月1回_2ヶ月前の在庫'!$V$6:$V$10005,'設定'!$C$4,'月1回_2ヶ月前の在庫'!$W$6:$W$10005,$C200)&gt;0,SUMIFS('月1回_2ヶ月前の在庫'!$O$6:$O$10005,'月1回_2ヶ月前の在庫'!$V$6:$V$10005,'設定'!$C$4,'月1回_2ヶ月前の在庫'!$W$6:$W$10005,$C200)/COUNTIFS('月1回_2ヶ月前の在庫'!$V$6:$V$10005,'設定'!$C$4,'月1回_2ヶ月前の在庫'!$W$6:$W$10005,$C200),0)))),"")))</f>
        <v/>
      </c>
      <c r="P200" s="90">
        <f>IF($C200="","",IF('②発注する'!$I204="","",'②発注する'!$I204))</f>
        <v/>
      </c>
      <c r="Q200">
        <f>IF($C200="","",IF('②発注する'!$J204="","",'②発注する'!$J204))</f>
        <v/>
      </c>
      <c r="R200">
        <f>IF($C200="",0,IF(AND(ISNUMBER($P200),ISNUMBER($Q200)),MAX(0,$Q200)*$G200,0))</f>
        <v/>
      </c>
      <c r="S200" s="90">
        <f>IF($C200="","",IF('②発注する'!$M204="","",'②発注する'!$M204))</f>
        <v/>
      </c>
      <c r="T200">
        <f>IF($C200="","",IF('②発注する'!$N204="","",'②発注する'!$N204))</f>
        <v/>
      </c>
      <c r="U200">
        <f>IF($C200="",0,IF(AND(ISNUMBER($S200),ISNUMBER($T200)),MAX(0,$T200)*$G200,0))</f>
        <v/>
      </c>
      <c r="V200">
        <f>IF($C200="",0,IF($M200="",0,MAX(0,$M200)*MAX(0,V$4)/100))</f>
        <v/>
      </c>
      <c r="W200">
        <f>IF($C200="",0,IF($M200="",0,MAX(0,$M200)*MAX(0,W$4)/100))</f>
        <v/>
      </c>
      <c r="X200">
        <f>IF($C200="",0,IF($M200="",0,MAX(0,$M200)*MAX(0,X$4)/100))</f>
        <v/>
      </c>
      <c r="Y200">
        <f>IF($C200="",0,IF($M200="",0,MAX(0,$M200)*MAX(0,Y$4)/100))</f>
        <v/>
      </c>
      <c r="Z200">
        <f>IF($C200="",0,IF($M200="",0,MAX(0,$M200)*MAX(0,Z$4)/100))</f>
        <v/>
      </c>
      <c r="AA200">
        <f>IF($C200="",0,IF($M200="",0,MAX(0,$M200)*MAX(0,AA$4)/100))</f>
        <v/>
      </c>
      <c r="AB200">
        <f>IF($C200="",0,IF($M200="",0,MAX(0,$M200)*MAX(0,AB$4)/100))</f>
        <v/>
      </c>
      <c r="AC200">
        <f>IF($C200="",0,IF($M200="",0,MAX(0,$M200)*MAX(0,AC$4)/100))</f>
        <v/>
      </c>
      <c r="AD200">
        <f>IF($C200="",0,IF($M200="",0,MAX(0,$M200)*MAX(0,AD$4)/100))</f>
        <v/>
      </c>
      <c r="AE200">
        <f>IF($C200="",0,IF($M200="",0,MAX(0,$M200)*MAX(0,AE$4)/100))</f>
        <v/>
      </c>
      <c r="AF200">
        <f>IF($C200="",0,IF($M200="",0,MAX(0,$M200)*MAX(0,AF$4)/100))</f>
        <v/>
      </c>
      <c r="AG200">
        <f>IF($C200="",0,IF($M200="",0,MAX(0,$M200)*MAX(0,AG$4)/100))</f>
        <v/>
      </c>
      <c r="AH200">
        <f>IF($C200="",0,IF($M200="",0,MAX(0,$M200)*MAX(0,AH$4)/100))</f>
        <v/>
      </c>
      <c r="AI200">
        <f>IF($C200="",0,IF($M200="",0,MAX(0,$M200)*MAX(0,AI$4)/100))</f>
        <v/>
      </c>
      <c r="AJ200">
        <f>IF($C200="",0,MAX(0,MAX(0,N($L200))-$V200))</f>
        <v/>
      </c>
      <c r="AK200">
        <f>IF($C200="",0,MAX(0,$AJ200-$W200))</f>
        <v/>
      </c>
      <c r="AL200">
        <f>IF($C200="",0,MAX(0,$AK200-$X200))</f>
        <v/>
      </c>
      <c r="AM200">
        <f>IF($C200="",0,MAX(0,$AL200-$Y200))</f>
        <v/>
      </c>
      <c r="AN200">
        <f>IF($C200="",0,MAX(0,$AM200-$Z200))</f>
        <v/>
      </c>
      <c r="AO200">
        <f>IF($C200="",0,MAX(0,$AN200-$AA200))</f>
        <v/>
      </c>
      <c r="AP200">
        <f>IF($C200="",0,MAX(0,$AO200-$AB200))</f>
        <v/>
      </c>
      <c r="AQ200">
        <f>IF($C200="",0,MAX(0,$AP200-$AC200))</f>
        <v/>
      </c>
      <c r="AR200">
        <f>IF($C200="",0,MAX(0,$AQ200-$AD200))</f>
        <v/>
      </c>
      <c r="AS200">
        <f>IF($C200="",0,MAX(0,$AR200-$AE200))</f>
        <v/>
      </c>
      <c r="AT200">
        <f>IF($C200="",0,MAX(0,$AS200-$AF200))</f>
        <v/>
      </c>
      <c r="AU200">
        <f>IF($C200="",0,MAX(0,$AT200-$AG200))</f>
        <v/>
      </c>
      <c r="AV200">
        <f>IF($C200="",0,MAX(0,$AU200-$AH200))</f>
        <v/>
      </c>
      <c r="AW200">
        <f>IF($C200="",0,MAX(0,$AV200-$AI200))</f>
        <v/>
      </c>
      <c r="AX200">
        <f>IF($C200="",0,MAX(0,MAX(0,N($L200))+IF($P200=V$3,$R200,0)+IF($S200=V$3,$U200,0)-$V200))</f>
        <v/>
      </c>
      <c r="AY200">
        <f>IF($C200="",0,MAX(0,$AX200+IF($P200=W$3,$R200,0)+IF($S200=W$3,$U200,0)-$W200))</f>
        <v/>
      </c>
      <c r="AZ200">
        <f>IF($C200="",0,MAX(0,$AY200+IF($P200=X$3,$R200,0)+IF($S200=X$3,$U200,0)-$X200))</f>
        <v/>
      </c>
      <c r="BA200">
        <f>IF($C200="",0,MAX(0,$AZ200+IF($P200=Y$3,$R200,0)+IF($S200=Y$3,$U200,0)-$Y200))</f>
        <v/>
      </c>
      <c r="BB200">
        <f>IF($C200="",0,MAX(0,$BA200+IF($P200=Z$3,$R200,0)+IF($S200=Z$3,$U200,0)-$Z200))</f>
        <v/>
      </c>
      <c r="BC200">
        <f>IF($C200="",0,MAX(0,$BB200+IF($P200=AA$3,$R200,0)+IF($S200=AA$3,$U200,0)-$AA200))</f>
        <v/>
      </c>
      <c r="BD200">
        <f>IF($C200="",0,MAX(0,$BC200+IF($P200=AB$3,$R200,0)+IF($S200=AB$3,$U200,0)-$AB200))</f>
        <v/>
      </c>
      <c r="BE200">
        <f>IF($C200="",0,MAX(0,$BD200+IF($P200=AC$3,$R200,0)+IF($S200=AC$3,$U200,0)-$AC200))</f>
        <v/>
      </c>
      <c r="BF200">
        <f>IF($C200="",0,MAX(0,$BE200+IF($P200=AD$3,$R200,0)+IF($S200=AD$3,$U200,0)-$AD200))</f>
        <v/>
      </c>
      <c r="BG200">
        <f>IF($C200="",0,MAX(0,$BF200+IF($P200=AE$3,$R200,0)+IF($S200=AE$3,$U200,0)-$AE200))</f>
        <v/>
      </c>
      <c r="BH200">
        <f>IF($C200="",0,MAX(0,$BG200+IF($P200=AF$3,$R200,0)+IF($S200=AF$3,$U200,0)-$AF200))</f>
        <v/>
      </c>
      <c r="BI200">
        <f>IF($C200="",0,MAX(0,$BH200+IF($P200=AG$3,$R200,0)+IF($S200=AG$3,$U200,0)-$AG200))</f>
        <v/>
      </c>
      <c r="BJ200">
        <f>IF($C200="",0,MAX(0,$BI200+IF($P200=AH$3,$R200,0)+IF($S200=AH$3,$U200,0)-$AH200))</f>
        <v/>
      </c>
      <c r="BK200">
        <f>IF($C200="",0,MAX(0,$BJ200+IF($P200=AI$3,$R200,0)+IF($S200=AI$3,$U200,0)-$AI200))</f>
        <v/>
      </c>
      <c r="BL200">
        <f>IF($C200="",99,IF(AND($AX200&lt;1,V$3&gt;=MAX(N($P200),N($S200))),0,99))</f>
        <v/>
      </c>
      <c r="BM200">
        <f>IF($C200="",99,IF(AND($AY200&lt;1,W$3&gt;=MAX(N($P200),N($S200))),1,99))</f>
        <v/>
      </c>
      <c r="BN200">
        <f>IF($C200="",99,IF(AND($AZ200&lt;1,X$3&gt;=MAX(N($P200),N($S200))),2,99))</f>
        <v/>
      </c>
      <c r="BO200">
        <f>IF($C200="",99,IF(AND($BA200&lt;1,Y$3&gt;=MAX(N($P200),N($S200))),3,99))</f>
        <v/>
      </c>
      <c r="BP200">
        <f>IF($C200="",99,IF(AND($BB200&lt;1,Z$3&gt;=MAX(N($P200),N($S200))),4,99))</f>
        <v/>
      </c>
      <c r="BQ200">
        <f>IF($C200="",99,IF(AND($BC200&lt;1,AA$3&gt;=MAX(N($P200),N($S200))),5,99))</f>
        <v/>
      </c>
      <c r="BR200">
        <f>IF($C200="",99,IF(AND($BD200&lt;1,AB$3&gt;=MAX(N($P200),N($S200))),6,99))</f>
        <v/>
      </c>
      <c r="BS200">
        <f>IF($C200="",99,IF(AND($BE200&lt;1,AC$3&gt;=MAX(N($P200),N($S200))),7,99))</f>
        <v/>
      </c>
      <c r="BT200">
        <f>IF($C200="",99,IF(AND($BF200&lt;1,AD$3&gt;=MAX(N($P200),N($S200))),8,99))</f>
        <v/>
      </c>
      <c r="BU200">
        <f>IF($C200="",99,IF(AND($BG200&lt;1,AE$3&gt;=MAX(N($P200),N($S200))),9,99))</f>
        <v/>
      </c>
      <c r="BV200">
        <f>IF($C200="",99,IF(AND($BH200&lt;1,AF$3&gt;=MAX(N($P200),N($S200))),10,99))</f>
        <v/>
      </c>
      <c r="BW200">
        <f>IF($C200="",99,IF(AND($BI200&lt;1,AG$3&gt;=MAX(N($P200),N($S200))),11,99))</f>
        <v/>
      </c>
      <c r="BX200">
        <f>IF($C200="",99,IF(AND($BJ200&lt;1,AH$3&gt;=MAX(N($P200),N($S200))),12,99))</f>
        <v/>
      </c>
      <c r="BY200">
        <f>IF($C200="",99,IF(AND($BK200&lt;1,AI$3&gt;=MAX(N($P200),N($S200))),13,99))</f>
        <v/>
      </c>
      <c r="BZ200">
        <f>IF(OR($C200="",$M200=""),"",COUNTIF($AJ200:$AW200,"&gt;=1"))</f>
        <v/>
      </c>
      <c r="CA200" s="90">
        <f>IF($BZ200="","",IF($BZ200&gt;=14,"",'設定'!$C$6+$BZ200))</f>
        <v/>
      </c>
      <c r="CB200">
        <f>IF(OR($C200="",$M200=""),"",MIN($BL200:$BY200))</f>
        <v/>
      </c>
      <c r="CC200" s="90">
        <f>IF($CB200="","",IF($CB200&gt;=99,"",'設定'!$C$6+$CB200))</f>
        <v/>
      </c>
      <c r="CD200">
        <f>IF(OR($C200="",$M200=""),"",AVERAGE($V200:$AI200))</f>
        <v/>
      </c>
      <c r="CE200">
        <f>IF($C200="","",IFERROR(IF(MATCH(IF(ISNUMBER($P200),$P200,'設定'!$C$6+N('設定'!$C$7)),$V$3:$AI$3,0)=1,MAX(0,N($L200)),INDEX($AJ200:$AW200,MATCH(IF(ISNUMBER($P200),$P200,'設定'!$C$6+N('設定'!$C$7)),$V$3:$AI$3,0)-1)),""))</f>
        <v/>
      </c>
      <c r="CF200">
        <f>IF(OR($C200="",$O200="",$CE200=""),"",IF($O200-$CE200&lt;=0,0,ROUNDUP(($O200-$CE200)/$G200,0)))</f>
        <v/>
      </c>
      <c r="CG200">
        <f>IF(OR($C200="",$CF200="",NOT(ISNUMBER($Q200))),0,MAX(0,$Q200-$CF200))</f>
        <v/>
      </c>
      <c r="CH200">
        <f>IF(OR($C200="",$O200="",$U200=0),0,IFERROR(ROUNDUP(MAX(0,IF(MATCH($S200,$V$3:$AI$3,0)=1,MAX(0,N($L200)),INDEX($AX200:$BK200,MATCH($S200,$V$3:$AI$3,0)-1))+$U200-$O200)/$G200,0),0))</f>
        <v/>
      </c>
      <c r="CI200">
        <f>IF($C200="","",IF(AND($P200="",$Q200=""),"",IF($P200="","⚠ 入庫日を ▼ から選んでください",IF(NOT(ISNUMBER($P200)),"⚠ 入庫日は ▼ から選んでください",IF($P200&lt;N('設定'!$C$6),"⚠ 入庫日が過去です（もう在庫に入っています）→ 消してください",IF($P200&gt;N('設定'!$C$6)+13,"⚠ 入庫日が14日より先です",IF(N($Q200)&lt;=0,"⚠ 入庫数を入れてください",IF($CG200&gt;0,"⚠ 目安より "&amp;$CG200&amp;" 多い（定数を超える）→ 減らす",""))))))))</f>
        <v/>
      </c>
      <c r="CJ200">
        <f>IF($C200="","",IF(AND($S200="",$T200=""),"",IF($S200="","⚠ 2便目：入庫日を ▼ から選んでください",IF(NOT(ISNUMBER($S200)),"⚠ 2便目：入庫日は ▼ から選んでください",IF($S200&lt;N('設定'!$C$6),"⚠ 2便目：入庫日が過去です（もう在庫に入っています）→ 消してください",IF($S200&gt;N('設定'!$C$6)+13,"⚠ 2便目：入庫日が14日より先です",IF(N($T200)&lt;=0,"⚠ 2便目：入庫数を入れてください",IF($CH200&gt;0,"⚠ 2便目：定数を "&amp;$CH200&amp;" ケース超える → 減らす",""))))))))</f>
        <v/>
      </c>
      <c r="CK200">
        <f>IF(AND($CI200="",N($Q200)&gt;0,ISNUMBER($P200)),1,0)</f>
        <v/>
      </c>
      <c r="CL200">
        <f>IF(AND($CJ200="",N($T200)&gt;0,ISNUMBER($S200)),1,0)</f>
        <v/>
      </c>
      <c r="CM200">
        <f>IF(OR($CK200=1,$CL200=1),1,0)</f>
        <v/>
      </c>
      <c r="CN200">
        <f>IF($C200="",0,($CK200*$R200+$CL200*$U200)*N($H200))</f>
        <v/>
      </c>
      <c r="CO200">
        <f>IF($C200="","",IF($CC200="","入庫後は 14日以上もつ",IF($CC200-N('設定'!$C$7)&lt;='設定'!$C$6,"入庫後も "&amp;TEXT($CC200,"m/d")&amp;"("&amp;CHOOSE(WEEKDAY($CC200),"日","月","火","水","木","金","土")&amp;")"&amp;" に切れる　もう1便を至急発注","入庫後も "&amp;TEXT($CC200,"m/d")&amp;"("&amp;CHOOSE(WEEKDAY($CC200),"日","月","火","水","木","金","土")&amp;")"&amp;" に切れる　"&amp;TEXT($CC200-N('設定'!$C$7),"m/d")&amp;"("&amp;CHOOSE(WEEKDAY($CC200-N('設定'!$C$7)),"日","月","火","水","木","金","土")&amp;")"&amp;" までに次を発注")))</f>
        <v/>
      </c>
      <c r="CP200">
        <f>IF($C200="","",IF('設定'!$C$6="","？ ①在庫を貼る に今日のCSVが貼られていない",IF($CS200=1,"－ 今日のCSVに無い（終売？）",IF($L200&lt;0,"● 在庫がマイナス　数えて「数えた在庫」に入れる",IF($L200=0,"● 在庫なし　至急発注",IF($M200="","？ 減り数が未設定（商品マスタ）",IF($B$3=0,"？ 動員が未入力（動員を入れる）",IF($CA200="","○ 14日以上もつ",IF($BZ200&lt;N('設定'!$C$7),"● "&amp;TEXT($CA200,"m/d")&amp;"("&amp;CHOOSE(WEEKDAY($CA200),"日","月","火","水","木","金","土")&amp;")"&amp;" に切れる　至急発注",IF($BZ200=N('設定'!$C$7),"● "&amp;TEXT($CA200,"m/d")&amp;"("&amp;CHOOSE(WEEKDAY($CA200),"日","月","火","水","木","金","土")&amp;")"&amp;" に切れる　今日発注","△ "&amp;TEXT($CA200,"m/d")&amp;"("&amp;CHOOSE(WEEKDAY($CA200),"日","月","火","水","木","金","土")&amp;")"&amp;" に切れる　"&amp;TEXT($CA200-N('設定'!$C$7),"m/d")&amp;"("&amp;CHOOSE(WEEKDAY($CA200-N('設定'!$C$7)),"日","月","火","水","木","金","土")&amp;")"&amp;" までに発注"))))))))))</f>
        <v/>
      </c>
      <c r="CQ200">
        <f>IF($C200="","",IF(AND($P200="",$Q200="",$S200="",$T200=""),"",IF(AND($P200="",$Q200=""),"⚠ 先に1便目（左の入庫日・入庫数）に入れてください",IF($CI200&lt;&gt;"",$CI200,IF($CJ200&lt;&gt;"",$CJ200,IF($M200="","？ 減り数が未設定（発注書には載ります）",IF($B$3=0,"？ 動員が未入力（発注書には載ります）",IF(AND($CA200&lt;&gt;"",$P200&gt;$CA200),IF($P200&gt;'設定'!$C$6+N('設定'!$C$7),"● "&amp;TEXT($P200,"m/d")&amp;"("&amp;CHOOSE(WEEKDAY($P200),"日","月","火","水","木","金","土")&amp;")"&amp;" の入庫では間に合わない（"&amp;TEXT($CA200,"m/d")&amp;"("&amp;CHOOSE(WEEKDAY($CA200),"日","月","火","水","木","金","土")&amp;")"&amp;" に切れる）　入庫日を早める","△ 欠品 "&amp;TEXT($CA200,"m/d")&amp;"("&amp;CHOOSE(WEEKDAY($CA200),"日","月","火","水","木","金","土")&amp;")"&amp;"〜"&amp;TEXT($P200-1,"m/d")&amp;"("&amp;CHOOSE(WEEKDAY($P200-1),"日","月","火","水","木","金","土")&amp;")"&amp;"　"&amp;$CO200),IF($CC200="","○ "&amp;TEXT($P200,"m/d")&amp;"("&amp;CHOOSE(WEEKDAY($P200),"日","月","火","水","木","金","土")&amp;")"&amp;" 入庫で 14日以上もつ",IF($CC200-N('設定'!$C$7)&lt;='設定'!$C$6,"● 入庫しても "&amp;TEXT($CC200,"m/d")&amp;"("&amp;CHOOSE(WEEKDAY($CC200),"日","月","火","水","木","金","土")&amp;")"&amp;" に切れる　もう1便を至急発注（2便目に入れる）","△ 入庫しても "&amp;TEXT($CC200,"m/d")&amp;"("&amp;CHOOSE(WEEKDAY($CC200),"日","月","火","水","木","金","土")&amp;")"&amp;" に切れる　"&amp;TEXT($CC200-N('設定'!$C$7),"m/d")&amp;"("&amp;CHOOSE(WEEKDAY($CC200-N('設定'!$C$7)),"日","月","火","水","木","金","土")&amp;")"&amp;" までに次を発注（2便目に入れる）"))))))))))</f>
        <v/>
      </c>
      <c r="CR200">
        <f>IF($C200="","",IF($G200&gt;1,"ｹｰｽ("&amp;$G200&amp;"入)","個"))</f>
        <v/>
      </c>
      <c r="CS200">
        <f>IF($C200="",0,IF(COUNTIFS('①在庫を貼る'!$V$6:$V$10005,'設定'!$C$4,'①在庫を貼る'!$W$6:$W$10005,$C200)=0,1,0))</f>
        <v/>
      </c>
      <c r="CT200">
        <f>IF(AND($CK200=1,OR('③発注書'!$C$4="すべて",'③発注書'!$C$4="",$F200='③発注書'!$C$4)),N($CT199)+1,N($CT199))</f>
        <v/>
      </c>
      <c r="CU200">
        <f>IF(AND($CL200=1,OR('③発注書'!$C$4="すべて",'③発注書'!$C$4="",$F200='③発注書'!$C$4)),N($CU199)+1,N($CU199))</f>
        <v/>
      </c>
      <c r="CV200">
        <f>IF($C200="",0,IF(COUNTIFS('①在庫を貼る'!$V$6:$V$10005,'設定'!$C$4,'①在庫を貼る'!$W$6:$W$10005,$C200)&gt;0,1,0))</f>
        <v/>
      </c>
      <c r="CW200">
        <f>IF($C200="",0,IF(COUNTIFS('月1回_1ヶ月前の在庫'!$V$6:$V$10005,'設定'!$C$4,'月1回_1ヶ月前の在庫'!$W$6:$W$10005,$C200)&gt;0,1,0))</f>
        <v/>
      </c>
      <c r="CX200">
        <f>IF($C200="",0,IF(COUNTIFS('月1回_2ヶ月前の在庫'!$V$6:$V$10005,'設定'!$C$4,'月1回_2ヶ月前の在庫'!$W$6:$W$10005,$C200)&gt;0,1,0))</f>
        <v/>
      </c>
      <c r="CY200">
        <f>IF(OR($C200="",'設定'!$C$12=""),"",IF('設定'!$C$13="",IF(AND($CV200=1,$CW200=0),"新商品（今月から）",IF(AND($CV200=0,$CW200=1),"終売（今月から）","")),IF(AND($CV200=1,$CW200=0,$CX200=0),"新商品（今月から）",IF(AND($CV200=1,$CW200=1,$CX200=0),"新商品（先月から）",IF(AND($CV200=0,$CW200=1,$CX200=1),"終売（今月から）",IF(AND($CV200=0,$CW200=0,$CX200=1),"終売（先月から）",IF(AND($CV200=1,$CW200=0,$CX200=1),"復活（先月は無し）","")))))))</f>
        <v/>
      </c>
    </row>
    <row r="201">
      <c r="B201">
        <f>IF(196&lt;='設定'!$C$11,196,"")</f>
        <v/>
      </c>
      <c r="C201">
        <f>IF($B201="","",IF($B201&lt;='設定'!$C$20,INDEX('商品マスタ'!$B$6:$B$1005,MATCH($B201,'商品マスタ'!$M$6:$M$1005,0)),IF($B201&lt;='設定'!$C$20+'設定'!$C$17,INDEX('①在庫を貼る'!$W$6:$W$10005,MATCH($B201-'設定'!$C$20,'①在庫を貼る'!$U$6:$U$10005,0)),IF($B201&lt;='設定'!$C$20+'設定'!$C$17+'設定'!$C$18,INDEX('月1回_1ヶ月前の在庫'!$W$6:$W$10005,MATCH($B201-'設定'!$C$20-'設定'!$C$17,'月1回_1ヶ月前の在庫'!$U$6:$U$10005,0)),INDEX('月1回_2ヶ月前の在庫'!$W$6:$W$10005,MATCH($B201-'設定'!$C$20-'設定'!$C$17-'設定'!$C$18,'月1回_2ヶ月前の在庫'!$U$6:$U$10005,0))))))</f>
        <v/>
      </c>
      <c r="D201">
        <f>IF($C201="","",IFERROR(IF(INDEX('商品マスタ'!$C$6:$C$1005,MATCH($C201,'商品マスタ'!$B$6:$B$1005,0))="",IFERROR(INDEX('①在庫を貼る'!$J$6:$J$10005,MATCH($C201,'①在庫を貼る'!$W$6:$W$10005,0)),IFERROR(INDEX('月1回_1ヶ月前の在庫'!$J$6:$J$10005,MATCH($C201,'月1回_1ヶ月前の在庫'!$W$6:$W$10005,0)),IFERROR(INDEX('月1回_2ヶ月前の在庫'!$J$6:$J$10005,MATCH($C201,'月1回_2ヶ月前の在庫'!$W$6:$W$10005,0)),""))),INDEX('商品マスタ'!$C$6:$C$1005,MATCH($C201,'商品マスタ'!$B$6:$B$1005,0))),IFERROR(INDEX('①在庫を貼る'!$J$6:$J$10005,MATCH($C201,'①在庫を貼る'!$W$6:$W$10005,0)),IFERROR(INDEX('月1回_1ヶ月前の在庫'!$J$6:$J$10005,MATCH($C201,'月1回_1ヶ月前の在庫'!$W$6:$W$10005,0)),IFERROR(INDEX('月1回_2ヶ月前の在庫'!$J$6:$J$10005,MATCH($C201,'月1回_2ヶ月前の在庫'!$W$6:$W$10005,0)),"")))))</f>
        <v/>
      </c>
      <c r="E201">
        <f>IF($C201="","",IFERROR(IF(INDEX('商品マスタ'!$D$6:$D$1005,MATCH($C201,'商品マスタ'!$B$6:$B$1005,0))="",IFERROR(INDEX('①在庫を貼る'!$H$6:$H$10005,MATCH($C201,'①在庫を貼る'!$W$6:$W$10005,0)),IFERROR(INDEX('月1回_1ヶ月前の在庫'!$H$6:$H$10005,MATCH($C201,'月1回_1ヶ月前の在庫'!$W$6:$W$10005,0)),IFERROR(INDEX('月1回_2ヶ月前の在庫'!$H$6:$H$10005,MATCH($C201,'月1回_2ヶ月前の在庫'!$W$6:$W$10005,0)),""))),INDEX('商品マスタ'!$D$6:$D$1005,MATCH($C201,'商品マスタ'!$B$6:$B$1005,0))),IFERROR(INDEX('①在庫を貼る'!$H$6:$H$10005,MATCH($C201,'①在庫を貼る'!$W$6:$W$10005,0)),IFERROR(INDEX('月1回_1ヶ月前の在庫'!$H$6:$H$10005,MATCH($C201,'月1回_1ヶ月前の在庫'!$W$6:$W$10005,0)),IFERROR(INDEX('月1回_2ヶ月前の在庫'!$H$6:$H$10005,MATCH($C201,'月1回_2ヶ月前の在庫'!$W$6:$W$10005,0)),"")))))</f>
        <v/>
      </c>
      <c r="F201">
        <f>IF($C201="","",IFERROR(IF(INDEX('商品マスタ'!$E$6:$E$1005,MATCH($C201,'商品マスタ'!$B$6:$B$1005,0))="",IFERROR(INDEX('①在庫を貼る'!$E$6:$E$10005,MATCH($C201,'①在庫を貼る'!$W$6:$W$10005,0)),IFERROR(INDEX('月1回_1ヶ月前の在庫'!$E$6:$E$10005,MATCH($C201,'月1回_1ヶ月前の在庫'!$W$6:$W$10005,0)),IFERROR(INDEX('月1回_2ヶ月前の在庫'!$E$6:$E$10005,MATCH($C201,'月1回_2ヶ月前の在庫'!$W$6:$W$10005,0)),""))),INDEX('商品マスタ'!$E$6:$E$1005,MATCH($C201,'商品マスタ'!$B$6:$B$1005,0))),IFERROR(INDEX('①在庫を貼る'!$E$6:$E$10005,MATCH($C201,'①在庫を貼る'!$W$6:$W$10005,0)),IFERROR(INDEX('月1回_1ヶ月前の在庫'!$E$6:$E$10005,MATCH($C201,'月1回_1ヶ月前の在庫'!$W$6:$W$10005,0)),IFERROR(INDEX('月1回_2ヶ月前の在庫'!$E$6:$E$10005,MATCH($C201,'月1回_2ヶ月前の在庫'!$W$6:$W$10005,0)),"")))))</f>
        <v/>
      </c>
      <c r="G201">
        <f>IF($C201="","",MAX(1,N(IFERROR(IF(INDEX('商品マスタ'!$F$6:$F$1005,MATCH($C201,'商品マスタ'!$B$6:$B$1005,0))="",IF(COUNTIFS('①在庫を貼る'!$V$6:$V$10005,'設定'!$C$4,'①在庫を貼る'!$W$6:$W$10005,$C201)&gt;0,SUMIFS('①在庫を貼る'!$K$6:$K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K$6:$K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K$6:$K$10005,'月1回_2ヶ月前の在庫'!$V$6:$V$10005,'設定'!$C$4,'月1回_2ヶ月前の在庫'!$W$6:$W$10005,$C201)/COUNTIFS('月1回_2ヶ月前の在庫'!$V$6:$V$10005,'設定'!$C$4,'月1回_2ヶ月前の在庫'!$W$6:$W$10005,$C201),0))),INDEX('商品マスタ'!$F$6:$F$1005,MATCH($C201,'商品マスタ'!$B$6:$B$1005,0))),IF(COUNTIFS('①在庫を貼る'!$V$6:$V$10005,'設定'!$C$4,'①在庫を貼る'!$W$6:$W$10005,$C201)&gt;0,SUMIFS('①在庫を貼る'!$K$6:$K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K$6:$K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K$6:$K$10005,'月1回_2ヶ月前の在庫'!$V$6:$V$10005,'設定'!$C$4,'月1回_2ヶ月前の在庫'!$W$6:$W$10005,$C201)/COUNTIFS('月1回_2ヶ月前の在庫'!$V$6:$V$10005,'設定'!$C$4,'月1回_2ヶ月前の在庫'!$W$6:$W$10005,$C201),0)))))))</f>
        <v/>
      </c>
      <c r="H201">
        <f>IF($C201="","",N(IFERROR(IF(INDEX('商品マスタ'!$G$6:$G$1005,MATCH($C201,'商品マスタ'!$B$6:$B$1005,0))="",IF(COUNTIFS('①在庫を貼る'!$V$6:$V$10005,'設定'!$C$4,'①在庫を貼る'!$W$6:$W$10005,$C201)&gt;0,SUMIFS('①在庫を貼る'!$Q$6:$Q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Q$6:$Q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Q$6:$Q$10005,'月1回_2ヶ月前の在庫'!$V$6:$V$10005,'設定'!$C$4,'月1回_2ヶ月前の在庫'!$W$6:$W$10005,$C201)/COUNTIFS('月1回_2ヶ月前の在庫'!$V$6:$V$10005,'設定'!$C$4,'月1回_2ヶ月前の在庫'!$W$6:$W$10005,$C201),0))),INDEX('商品マスタ'!$G$6:$G$1005,MATCH($C201,'商品マスタ'!$B$6:$B$1005,0))),IF(COUNTIFS('①在庫を貼る'!$V$6:$V$10005,'設定'!$C$4,'①在庫を貼る'!$W$6:$W$10005,$C201)&gt;0,SUMIFS('①在庫を貼る'!$Q$6:$Q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Q$6:$Q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Q$6:$Q$10005,'月1回_2ヶ月前の在庫'!$V$6:$V$10005,'設定'!$C$4,'月1回_2ヶ月前の在庫'!$W$6:$W$10005,$C201)/COUNTIFS('月1回_2ヶ月前の在庫'!$V$6:$V$10005,'設定'!$C$4,'月1回_2ヶ月前の在庫'!$W$6:$W$10005,$C201),0))))))</f>
        <v/>
      </c>
      <c r="I201">
        <f>IF($C201="","",IF(COUNTIFS('①在庫を貼る'!$V$6:$V$10005,'設定'!$C$4,'①在庫を貼る'!$W$6:$W$10005,$C201)=0,"",SUMIFS('①在庫を貼る'!$N$6:$N$10005,'①在庫を貼る'!$V$6:$V$10005,'設定'!$C$4,'①在庫を貼る'!$W$6:$W$10005,$C201)))</f>
        <v/>
      </c>
      <c r="J201">
        <f>IF($C201="","",IF('②発注する'!$AD205="","",'②発注する'!$AD205))</f>
        <v/>
      </c>
      <c r="K201" s="90">
        <f>IF($C201="","",IF('②発注する'!$AE205="","",'②発注する'!$AE205))</f>
        <v/>
      </c>
      <c r="L201">
        <f>IF($C201="","",IF(AND(ISNUMBER($J201),ISNUMBER($K201),$K201&gt;='設定'!$C$6),$J201,N($I201)))</f>
        <v/>
      </c>
      <c r="M201">
        <f>IF($C201="","",IFERROR(IF(N(INDEX('商品マスタ'!$J$6:$J$1005,MATCH($C201,'商品マスタ'!$B$6:$B$1005,0)))&gt;0,INDEX('商品マスタ'!$J$6:$J$1005,MATCH($C201,'商品マスタ'!$B$6:$B$1005,0)),""),""))</f>
        <v/>
      </c>
      <c r="N201">
        <f>IF($C201="","",IFERROR(IF(N(INDEX('商品マスタ'!$H$6:$H$1005,MATCH($C201,'商品マスタ'!$B$6:$B$1005,0)))&gt;0,INDEX('商品マスタ'!$H$6:$H$1005,MATCH($C201,'商品マスタ'!$B$6:$B$1005,0)),""),""))</f>
        <v/>
      </c>
      <c r="O201">
        <f>IF($C201="","",IF($N201&lt;&gt;"",$N201*$G201,IF(N(IF(COUNTIFS('①在庫を貼る'!$V$6:$V$10005,'設定'!$C$4,'①在庫を貼る'!$W$6:$W$10005,$C201)&gt;0,SUMIFS('①在庫を貼る'!$O$6:$O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O$6:$O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O$6:$O$10005,'月1回_2ヶ月前の在庫'!$V$6:$V$10005,'設定'!$C$4,'月1回_2ヶ月前の在庫'!$W$6:$W$10005,$C201)/COUNTIFS('月1回_2ヶ月前の在庫'!$V$6:$V$10005,'設定'!$C$4,'月1回_2ヶ月前の在庫'!$W$6:$W$10005,$C201),0))))&gt;0,N(IF(COUNTIFS('①在庫を貼る'!$V$6:$V$10005,'設定'!$C$4,'①在庫を貼る'!$W$6:$W$10005,$C201)&gt;0,SUMIFS('①在庫を貼る'!$O$6:$O$10005,'①在庫を貼る'!$V$6:$V$10005,'設定'!$C$4,'①在庫を貼る'!$W$6:$W$10005,$C201)/COUNTIFS('①在庫を貼る'!$V$6:$V$10005,'設定'!$C$4,'①在庫を貼る'!$W$6:$W$10005,$C201),IF(COUNTIFS('月1回_1ヶ月前の在庫'!$V$6:$V$10005,'設定'!$C$4,'月1回_1ヶ月前の在庫'!$W$6:$W$10005,$C201)&gt;0,SUMIFS('月1回_1ヶ月前の在庫'!$O$6:$O$10005,'月1回_1ヶ月前の在庫'!$V$6:$V$10005,'設定'!$C$4,'月1回_1ヶ月前の在庫'!$W$6:$W$10005,$C201)/COUNTIFS('月1回_1ヶ月前の在庫'!$V$6:$V$10005,'設定'!$C$4,'月1回_1ヶ月前の在庫'!$W$6:$W$10005,$C201),IF(COUNTIFS('月1回_2ヶ月前の在庫'!$V$6:$V$10005,'設定'!$C$4,'月1回_2ヶ月前の在庫'!$W$6:$W$10005,$C201)&gt;0,SUMIFS('月1回_2ヶ月前の在庫'!$O$6:$O$10005,'月1回_2ヶ月前の在庫'!$V$6:$V$10005,'設定'!$C$4,'月1回_2ヶ月前の在庫'!$W$6:$W$10005,$C201)/COUNTIFS('月1回_2ヶ月前の在庫'!$V$6:$V$10005,'設定'!$C$4,'月1回_2ヶ月前の在庫'!$W$6:$W$10005,$C201),0)))),"")))</f>
        <v/>
      </c>
      <c r="P201" s="90">
        <f>IF($C201="","",IF('②発注する'!$I205="","",'②発注する'!$I205))</f>
        <v/>
      </c>
      <c r="Q201">
        <f>IF($C201="","",IF('②発注する'!$J205="","",'②発注する'!$J205))</f>
        <v/>
      </c>
      <c r="R201">
        <f>IF($C201="",0,IF(AND(ISNUMBER($P201),ISNUMBER($Q201)),MAX(0,$Q201)*$G201,0))</f>
        <v/>
      </c>
      <c r="S201" s="90">
        <f>IF($C201="","",IF('②発注する'!$M205="","",'②発注する'!$M205))</f>
        <v/>
      </c>
      <c r="T201">
        <f>IF($C201="","",IF('②発注する'!$N205="","",'②発注する'!$N205))</f>
        <v/>
      </c>
      <c r="U201">
        <f>IF($C201="",0,IF(AND(ISNUMBER($S201),ISNUMBER($T201)),MAX(0,$T201)*$G201,0))</f>
        <v/>
      </c>
      <c r="V201">
        <f>IF($C201="",0,IF($M201="",0,MAX(0,$M201)*MAX(0,V$4)/100))</f>
        <v/>
      </c>
      <c r="W201">
        <f>IF($C201="",0,IF($M201="",0,MAX(0,$M201)*MAX(0,W$4)/100))</f>
        <v/>
      </c>
      <c r="X201">
        <f>IF($C201="",0,IF($M201="",0,MAX(0,$M201)*MAX(0,X$4)/100))</f>
        <v/>
      </c>
      <c r="Y201">
        <f>IF($C201="",0,IF($M201="",0,MAX(0,$M201)*MAX(0,Y$4)/100))</f>
        <v/>
      </c>
      <c r="Z201">
        <f>IF($C201="",0,IF($M201="",0,MAX(0,$M201)*MAX(0,Z$4)/100))</f>
        <v/>
      </c>
      <c r="AA201">
        <f>IF($C201="",0,IF($M201="",0,MAX(0,$M201)*MAX(0,AA$4)/100))</f>
        <v/>
      </c>
      <c r="AB201">
        <f>IF($C201="",0,IF($M201="",0,MAX(0,$M201)*MAX(0,AB$4)/100))</f>
        <v/>
      </c>
      <c r="AC201">
        <f>IF($C201="",0,IF($M201="",0,MAX(0,$M201)*MAX(0,AC$4)/100))</f>
        <v/>
      </c>
      <c r="AD201">
        <f>IF($C201="",0,IF($M201="",0,MAX(0,$M201)*MAX(0,AD$4)/100))</f>
        <v/>
      </c>
      <c r="AE201">
        <f>IF($C201="",0,IF($M201="",0,MAX(0,$M201)*MAX(0,AE$4)/100))</f>
        <v/>
      </c>
      <c r="AF201">
        <f>IF($C201="",0,IF($M201="",0,MAX(0,$M201)*MAX(0,AF$4)/100))</f>
        <v/>
      </c>
      <c r="AG201">
        <f>IF($C201="",0,IF($M201="",0,MAX(0,$M201)*MAX(0,AG$4)/100))</f>
        <v/>
      </c>
      <c r="AH201">
        <f>IF($C201="",0,IF($M201="",0,MAX(0,$M201)*MAX(0,AH$4)/100))</f>
        <v/>
      </c>
      <c r="AI201">
        <f>IF($C201="",0,IF($M201="",0,MAX(0,$M201)*MAX(0,AI$4)/100))</f>
        <v/>
      </c>
      <c r="AJ201">
        <f>IF($C201="",0,MAX(0,MAX(0,N($L201))-$V201))</f>
        <v/>
      </c>
      <c r="AK201">
        <f>IF($C201="",0,MAX(0,$AJ201-$W201))</f>
        <v/>
      </c>
      <c r="AL201">
        <f>IF($C201="",0,MAX(0,$AK201-$X201))</f>
        <v/>
      </c>
      <c r="AM201">
        <f>IF($C201="",0,MAX(0,$AL201-$Y201))</f>
        <v/>
      </c>
      <c r="AN201">
        <f>IF($C201="",0,MAX(0,$AM201-$Z201))</f>
        <v/>
      </c>
      <c r="AO201">
        <f>IF($C201="",0,MAX(0,$AN201-$AA201))</f>
        <v/>
      </c>
      <c r="AP201">
        <f>IF($C201="",0,MAX(0,$AO201-$AB201))</f>
        <v/>
      </c>
      <c r="AQ201">
        <f>IF($C201="",0,MAX(0,$AP201-$AC201))</f>
        <v/>
      </c>
      <c r="AR201">
        <f>IF($C201="",0,MAX(0,$AQ201-$AD201))</f>
        <v/>
      </c>
      <c r="AS201">
        <f>IF($C201="",0,MAX(0,$AR201-$AE201))</f>
        <v/>
      </c>
      <c r="AT201">
        <f>IF($C201="",0,MAX(0,$AS201-$AF201))</f>
        <v/>
      </c>
      <c r="AU201">
        <f>IF($C201="",0,MAX(0,$AT201-$AG201))</f>
        <v/>
      </c>
      <c r="AV201">
        <f>IF($C201="",0,MAX(0,$AU201-$AH201))</f>
        <v/>
      </c>
      <c r="AW201">
        <f>IF($C201="",0,MAX(0,$AV201-$AI201))</f>
        <v/>
      </c>
      <c r="AX201">
        <f>IF($C201="",0,MAX(0,MAX(0,N($L201))+IF($P201=V$3,$R201,0)+IF($S201=V$3,$U201,0)-$V201))</f>
        <v/>
      </c>
      <c r="AY201">
        <f>IF($C201="",0,MAX(0,$AX201+IF($P201=W$3,$R201,0)+IF($S201=W$3,$U201,0)-$W201))</f>
        <v/>
      </c>
      <c r="AZ201">
        <f>IF($C201="",0,MAX(0,$AY201+IF($P201=X$3,$R201,0)+IF($S201=X$3,$U201,0)-$X201))</f>
        <v/>
      </c>
      <c r="BA201">
        <f>IF($C201="",0,MAX(0,$AZ201+IF($P201=Y$3,$R201,0)+IF($S201=Y$3,$U201,0)-$Y201))</f>
        <v/>
      </c>
      <c r="BB201">
        <f>IF($C201="",0,MAX(0,$BA201+IF($P201=Z$3,$R201,0)+IF($S201=Z$3,$U201,0)-$Z201))</f>
        <v/>
      </c>
      <c r="BC201">
        <f>IF($C201="",0,MAX(0,$BB201+IF($P201=AA$3,$R201,0)+IF($S201=AA$3,$U201,0)-$AA201))</f>
        <v/>
      </c>
      <c r="BD201">
        <f>IF($C201="",0,MAX(0,$BC201+IF($P201=AB$3,$R201,0)+IF($S201=AB$3,$U201,0)-$AB201))</f>
        <v/>
      </c>
      <c r="BE201">
        <f>IF($C201="",0,MAX(0,$BD201+IF($P201=AC$3,$R201,0)+IF($S201=AC$3,$U201,0)-$AC201))</f>
        <v/>
      </c>
      <c r="BF201">
        <f>IF($C201="",0,MAX(0,$BE201+IF($P201=AD$3,$R201,0)+IF($S201=AD$3,$U201,0)-$AD201))</f>
        <v/>
      </c>
      <c r="BG201">
        <f>IF($C201="",0,MAX(0,$BF201+IF($P201=AE$3,$R201,0)+IF($S201=AE$3,$U201,0)-$AE201))</f>
        <v/>
      </c>
      <c r="BH201">
        <f>IF($C201="",0,MAX(0,$BG201+IF($P201=AF$3,$R201,0)+IF($S201=AF$3,$U201,0)-$AF201))</f>
        <v/>
      </c>
      <c r="BI201">
        <f>IF($C201="",0,MAX(0,$BH201+IF($P201=AG$3,$R201,0)+IF($S201=AG$3,$U201,0)-$AG201))</f>
        <v/>
      </c>
      <c r="BJ201">
        <f>IF($C201="",0,MAX(0,$BI201+IF($P201=AH$3,$R201,0)+IF($S201=AH$3,$U201,0)-$AH201))</f>
        <v/>
      </c>
      <c r="BK201">
        <f>IF($C201="",0,MAX(0,$BJ201+IF($P201=AI$3,$R201,0)+IF($S201=AI$3,$U201,0)-$AI201))</f>
        <v/>
      </c>
      <c r="BL201">
        <f>IF($C201="",99,IF(AND($AX201&lt;1,V$3&gt;=MAX(N($P201),N($S201))),0,99))</f>
        <v/>
      </c>
      <c r="BM201">
        <f>IF($C201="",99,IF(AND($AY201&lt;1,W$3&gt;=MAX(N($P201),N($S201))),1,99))</f>
        <v/>
      </c>
      <c r="BN201">
        <f>IF($C201="",99,IF(AND($AZ201&lt;1,X$3&gt;=MAX(N($P201),N($S201))),2,99))</f>
        <v/>
      </c>
      <c r="BO201">
        <f>IF($C201="",99,IF(AND($BA201&lt;1,Y$3&gt;=MAX(N($P201),N($S201))),3,99))</f>
        <v/>
      </c>
      <c r="BP201">
        <f>IF($C201="",99,IF(AND($BB201&lt;1,Z$3&gt;=MAX(N($P201),N($S201))),4,99))</f>
        <v/>
      </c>
      <c r="BQ201">
        <f>IF($C201="",99,IF(AND($BC201&lt;1,AA$3&gt;=MAX(N($P201),N($S201))),5,99))</f>
        <v/>
      </c>
      <c r="BR201">
        <f>IF($C201="",99,IF(AND($BD201&lt;1,AB$3&gt;=MAX(N($P201),N($S201))),6,99))</f>
        <v/>
      </c>
      <c r="BS201">
        <f>IF($C201="",99,IF(AND($BE201&lt;1,AC$3&gt;=MAX(N($P201),N($S201))),7,99))</f>
        <v/>
      </c>
      <c r="BT201">
        <f>IF($C201="",99,IF(AND($BF201&lt;1,AD$3&gt;=MAX(N($P201),N($S201))),8,99))</f>
        <v/>
      </c>
      <c r="BU201">
        <f>IF($C201="",99,IF(AND($BG201&lt;1,AE$3&gt;=MAX(N($P201),N($S201))),9,99))</f>
        <v/>
      </c>
      <c r="BV201">
        <f>IF($C201="",99,IF(AND($BH201&lt;1,AF$3&gt;=MAX(N($P201),N($S201))),10,99))</f>
        <v/>
      </c>
      <c r="BW201">
        <f>IF($C201="",99,IF(AND($BI201&lt;1,AG$3&gt;=MAX(N($P201),N($S201))),11,99))</f>
        <v/>
      </c>
      <c r="BX201">
        <f>IF($C201="",99,IF(AND($BJ201&lt;1,AH$3&gt;=MAX(N($P201),N($S201))),12,99))</f>
        <v/>
      </c>
      <c r="BY201">
        <f>IF($C201="",99,IF(AND($BK201&lt;1,AI$3&gt;=MAX(N($P201),N($S201))),13,99))</f>
        <v/>
      </c>
      <c r="BZ201">
        <f>IF(OR($C201="",$M201=""),"",COUNTIF($AJ201:$AW201,"&gt;=1"))</f>
        <v/>
      </c>
      <c r="CA201" s="90">
        <f>IF($BZ201="","",IF($BZ201&gt;=14,"",'設定'!$C$6+$BZ201))</f>
        <v/>
      </c>
      <c r="CB201">
        <f>IF(OR($C201="",$M201=""),"",MIN($BL201:$BY201))</f>
        <v/>
      </c>
      <c r="CC201" s="90">
        <f>IF($CB201="","",IF($CB201&gt;=99,"",'設定'!$C$6+$CB201))</f>
        <v/>
      </c>
      <c r="CD201">
        <f>IF(OR($C201="",$M201=""),"",AVERAGE($V201:$AI201))</f>
        <v/>
      </c>
      <c r="CE201">
        <f>IF($C201="","",IFERROR(IF(MATCH(IF(ISNUMBER($P201),$P201,'設定'!$C$6+N('設定'!$C$7)),$V$3:$AI$3,0)=1,MAX(0,N($L201)),INDEX($AJ201:$AW201,MATCH(IF(ISNUMBER($P201),$P201,'設定'!$C$6+N('設定'!$C$7)),$V$3:$AI$3,0)-1)),""))</f>
        <v/>
      </c>
      <c r="CF201">
        <f>IF(OR($C201="",$O201="",$CE201=""),"",IF($O201-$CE201&lt;=0,0,ROUNDUP(($O201-$CE201)/$G201,0)))</f>
        <v/>
      </c>
      <c r="CG201">
        <f>IF(OR($C201="",$CF201="",NOT(ISNUMBER($Q201))),0,MAX(0,$Q201-$CF201))</f>
        <v/>
      </c>
      <c r="CH201">
        <f>IF(OR($C201="",$O201="",$U201=0),0,IFERROR(ROUNDUP(MAX(0,IF(MATCH($S201,$V$3:$AI$3,0)=1,MAX(0,N($L201)),INDEX($AX201:$BK201,MATCH($S201,$V$3:$AI$3,0)-1))+$U201-$O201)/$G201,0),0))</f>
        <v/>
      </c>
      <c r="CI201">
        <f>IF($C201="","",IF(AND($P201="",$Q201=""),"",IF($P201="","⚠ 入庫日を ▼ から選んでください",IF(NOT(ISNUMBER($P201)),"⚠ 入庫日は ▼ から選んでください",IF($P201&lt;N('設定'!$C$6),"⚠ 入庫日が過去です（もう在庫に入っています）→ 消してください",IF($P201&gt;N('設定'!$C$6)+13,"⚠ 入庫日が14日より先です",IF(N($Q201)&lt;=0,"⚠ 入庫数を入れてください",IF($CG201&gt;0,"⚠ 目安より "&amp;$CG201&amp;" 多い（定数を超える）→ 減らす",""))))))))</f>
        <v/>
      </c>
      <c r="CJ201">
        <f>IF($C201="","",IF(AND($S201="",$T201=""),"",IF($S201="","⚠ 2便目：入庫日を ▼ から選んでください",IF(NOT(ISNUMBER($S201)),"⚠ 2便目：入庫日は ▼ から選んでください",IF($S201&lt;N('設定'!$C$6),"⚠ 2便目：入庫日が過去です（もう在庫に入っています）→ 消してください",IF($S201&gt;N('設定'!$C$6)+13,"⚠ 2便目：入庫日が14日より先です",IF(N($T201)&lt;=0,"⚠ 2便目：入庫数を入れてください",IF($CH201&gt;0,"⚠ 2便目：定数を "&amp;$CH201&amp;" ケース超える → 減らす",""))))))))</f>
        <v/>
      </c>
      <c r="CK201">
        <f>IF(AND($CI201="",N($Q201)&gt;0,ISNUMBER($P201)),1,0)</f>
        <v/>
      </c>
      <c r="CL201">
        <f>IF(AND($CJ201="",N($T201)&gt;0,ISNUMBER($S201)),1,0)</f>
        <v/>
      </c>
      <c r="CM201">
        <f>IF(OR($CK201=1,$CL201=1),1,0)</f>
        <v/>
      </c>
      <c r="CN201">
        <f>IF($C201="",0,($CK201*$R201+$CL201*$U201)*N($H201))</f>
        <v/>
      </c>
      <c r="CO201">
        <f>IF($C201="","",IF($CC201="","入庫後は 14日以上もつ",IF($CC201-N('設定'!$C$7)&lt;='設定'!$C$6,"入庫後も "&amp;TEXT($CC201,"m/d")&amp;"("&amp;CHOOSE(WEEKDAY($CC201),"日","月","火","水","木","金","土")&amp;")"&amp;" に切れる　もう1便を至急発注","入庫後も "&amp;TEXT($CC201,"m/d")&amp;"("&amp;CHOOSE(WEEKDAY($CC201),"日","月","火","水","木","金","土")&amp;")"&amp;" に切れる　"&amp;TEXT($CC201-N('設定'!$C$7),"m/d")&amp;"("&amp;CHOOSE(WEEKDAY($CC201-N('設定'!$C$7)),"日","月","火","水","木","金","土")&amp;")"&amp;" までに次を発注")))</f>
        <v/>
      </c>
      <c r="CP201">
        <f>IF($C201="","",IF('設定'!$C$6="","？ ①在庫を貼る に今日のCSVが貼られていない",IF($CS201=1,"－ 今日のCSVに無い（終売？）",IF($L201&lt;0,"● 在庫がマイナス　数えて「数えた在庫」に入れる",IF($L201=0,"● 在庫なし　至急発注",IF($M201="","？ 減り数が未設定（商品マスタ）",IF($B$3=0,"？ 動員が未入力（動員を入れる）",IF($CA201="","○ 14日以上もつ",IF($BZ201&lt;N('設定'!$C$7),"● "&amp;TEXT($CA201,"m/d")&amp;"("&amp;CHOOSE(WEEKDAY($CA201),"日","月","火","水","木","金","土")&amp;")"&amp;" に切れる　至急発注",IF($BZ201=N('設定'!$C$7),"● "&amp;TEXT($CA201,"m/d")&amp;"("&amp;CHOOSE(WEEKDAY($CA201),"日","月","火","水","木","金","土")&amp;")"&amp;" に切れる　今日発注","△ "&amp;TEXT($CA201,"m/d")&amp;"("&amp;CHOOSE(WEEKDAY($CA201),"日","月","火","水","木","金","土")&amp;")"&amp;" に切れる　"&amp;TEXT($CA201-N('設定'!$C$7),"m/d")&amp;"("&amp;CHOOSE(WEEKDAY($CA201-N('設定'!$C$7)),"日","月","火","水","木","金","土")&amp;")"&amp;" までに発注"))))))))))</f>
        <v/>
      </c>
      <c r="CQ201">
        <f>IF($C201="","",IF(AND($P201="",$Q201="",$S201="",$T201=""),"",IF(AND($P201="",$Q201=""),"⚠ 先に1便目（左の入庫日・入庫数）に入れてください",IF($CI201&lt;&gt;"",$CI201,IF($CJ201&lt;&gt;"",$CJ201,IF($M201="","？ 減り数が未設定（発注書には載ります）",IF($B$3=0,"？ 動員が未入力（発注書には載ります）",IF(AND($CA201&lt;&gt;"",$P201&gt;$CA201),IF($P201&gt;'設定'!$C$6+N('設定'!$C$7),"● "&amp;TEXT($P201,"m/d")&amp;"("&amp;CHOOSE(WEEKDAY($P201),"日","月","火","水","木","金","土")&amp;")"&amp;" の入庫では間に合わない（"&amp;TEXT($CA201,"m/d")&amp;"("&amp;CHOOSE(WEEKDAY($CA201),"日","月","火","水","木","金","土")&amp;")"&amp;" に切れる）　入庫日を早める","△ 欠品 "&amp;TEXT($CA201,"m/d")&amp;"("&amp;CHOOSE(WEEKDAY($CA201),"日","月","火","水","木","金","土")&amp;")"&amp;"〜"&amp;TEXT($P201-1,"m/d")&amp;"("&amp;CHOOSE(WEEKDAY($P201-1),"日","月","火","水","木","金","土")&amp;")"&amp;"　"&amp;$CO201),IF($CC201="","○ "&amp;TEXT($P201,"m/d")&amp;"("&amp;CHOOSE(WEEKDAY($P201),"日","月","火","水","木","金","土")&amp;")"&amp;" 入庫で 14日以上もつ",IF($CC201-N('設定'!$C$7)&lt;='設定'!$C$6,"● 入庫しても "&amp;TEXT($CC201,"m/d")&amp;"("&amp;CHOOSE(WEEKDAY($CC201),"日","月","火","水","木","金","土")&amp;")"&amp;" に切れる　もう1便を至急発注（2便目に入れる）","△ 入庫しても "&amp;TEXT($CC201,"m/d")&amp;"("&amp;CHOOSE(WEEKDAY($CC201),"日","月","火","水","木","金","土")&amp;")"&amp;" に切れる　"&amp;TEXT($CC201-N('設定'!$C$7),"m/d")&amp;"("&amp;CHOOSE(WEEKDAY($CC201-N('設定'!$C$7)),"日","月","火","水","木","金","土")&amp;")"&amp;" までに次を発注（2便目に入れる）"))))))))))</f>
        <v/>
      </c>
      <c r="CR201">
        <f>IF($C201="","",IF($G201&gt;1,"ｹｰｽ("&amp;$G201&amp;"入)","個"))</f>
        <v/>
      </c>
      <c r="CS201">
        <f>IF($C201="",0,IF(COUNTIFS('①在庫を貼る'!$V$6:$V$10005,'設定'!$C$4,'①在庫を貼る'!$W$6:$W$10005,$C201)=0,1,0))</f>
        <v/>
      </c>
      <c r="CT201">
        <f>IF(AND($CK201=1,OR('③発注書'!$C$4="すべて",'③発注書'!$C$4="",$F201='③発注書'!$C$4)),N($CT200)+1,N($CT200))</f>
        <v/>
      </c>
      <c r="CU201">
        <f>IF(AND($CL201=1,OR('③発注書'!$C$4="すべて",'③発注書'!$C$4="",$F201='③発注書'!$C$4)),N($CU200)+1,N($CU200))</f>
        <v/>
      </c>
      <c r="CV201">
        <f>IF($C201="",0,IF(COUNTIFS('①在庫を貼る'!$V$6:$V$10005,'設定'!$C$4,'①在庫を貼る'!$W$6:$W$10005,$C201)&gt;0,1,0))</f>
        <v/>
      </c>
      <c r="CW201">
        <f>IF($C201="",0,IF(COUNTIFS('月1回_1ヶ月前の在庫'!$V$6:$V$10005,'設定'!$C$4,'月1回_1ヶ月前の在庫'!$W$6:$W$10005,$C201)&gt;0,1,0))</f>
        <v/>
      </c>
      <c r="CX201">
        <f>IF($C201="",0,IF(COUNTIFS('月1回_2ヶ月前の在庫'!$V$6:$V$10005,'設定'!$C$4,'月1回_2ヶ月前の在庫'!$W$6:$W$10005,$C201)&gt;0,1,0))</f>
        <v/>
      </c>
      <c r="CY201">
        <f>IF(OR($C201="",'設定'!$C$12=""),"",IF('設定'!$C$13="",IF(AND($CV201=1,$CW201=0),"新商品（今月から）",IF(AND($CV201=0,$CW201=1),"終売（今月から）","")),IF(AND($CV201=1,$CW201=0,$CX201=0),"新商品（今月から）",IF(AND($CV201=1,$CW201=1,$CX201=0),"新商品（先月から）",IF(AND($CV201=0,$CW201=1,$CX201=1),"終売（今月から）",IF(AND($CV201=0,$CW201=0,$CX201=1),"終売（先月から）",IF(AND($CV201=1,$CW201=0,$CX201=1),"復活（先月は無し）","")))))))</f>
        <v/>
      </c>
    </row>
    <row r="202">
      <c r="B202">
        <f>IF(197&lt;='設定'!$C$11,197,"")</f>
        <v/>
      </c>
      <c r="C202">
        <f>IF($B202="","",IF($B202&lt;='設定'!$C$20,INDEX('商品マスタ'!$B$6:$B$1005,MATCH($B202,'商品マスタ'!$M$6:$M$1005,0)),IF($B202&lt;='設定'!$C$20+'設定'!$C$17,INDEX('①在庫を貼る'!$W$6:$W$10005,MATCH($B202-'設定'!$C$20,'①在庫を貼る'!$U$6:$U$10005,0)),IF($B202&lt;='設定'!$C$20+'設定'!$C$17+'設定'!$C$18,INDEX('月1回_1ヶ月前の在庫'!$W$6:$W$10005,MATCH($B202-'設定'!$C$20-'設定'!$C$17,'月1回_1ヶ月前の在庫'!$U$6:$U$10005,0)),INDEX('月1回_2ヶ月前の在庫'!$W$6:$W$10005,MATCH($B202-'設定'!$C$20-'設定'!$C$17-'設定'!$C$18,'月1回_2ヶ月前の在庫'!$U$6:$U$10005,0))))))</f>
        <v/>
      </c>
      <c r="D202">
        <f>IF($C202="","",IFERROR(IF(INDEX('商品マスタ'!$C$6:$C$1005,MATCH($C202,'商品マスタ'!$B$6:$B$1005,0))="",IFERROR(INDEX('①在庫を貼る'!$J$6:$J$10005,MATCH($C202,'①在庫を貼る'!$W$6:$W$10005,0)),IFERROR(INDEX('月1回_1ヶ月前の在庫'!$J$6:$J$10005,MATCH($C202,'月1回_1ヶ月前の在庫'!$W$6:$W$10005,0)),IFERROR(INDEX('月1回_2ヶ月前の在庫'!$J$6:$J$10005,MATCH($C202,'月1回_2ヶ月前の在庫'!$W$6:$W$10005,0)),""))),INDEX('商品マスタ'!$C$6:$C$1005,MATCH($C202,'商品マスタ'!$B$6:$B$1005,0))),IFERROR(INDEX('①在庫を貼る'!$J$6:$J$10005,MATCH($C202,'①在庫を貼る'!$W$6:$W$10005,0)),IFERROR(INDEX('月1回_1ヶ月前の在庫'!$J$6:$J$10005,MATCH($C202,'月1回_1ヶ月前の在庫'!$W$6:$W$10005,0)),IFERROR(INDEX('月1回_2ヶ月前の在庫'!$J$6:$J$10005,MATCH($C202,'月1回_2ヶ月前の在庫'!$W$6:$W$10005,0)),"")))))</f>
        <v/>
      </c>
      <c r="E202">
        <f>IF($C202="","",IFERROR(IF(INDEX('商品マスタ'!$D$6:$D$1005,MATCH($C202,'商品マスタ'!$B$6:$B$1005,0))="",IFERROR(INDEX('①在庫を貼る'!$H$6:$H$10005,MATCH($C202,'①在庫を貼る'!$W$6:$W$10005,0)),IFERROR(INDEX('月1回_1ヶ月前の在庫'!$H$6:$H$10005,MATCH($C202,'月1回_1ヶ月前の在庫'!$W$6:$W$10005,0)),IFERROR(INDEX('月1回_2ヶ月前の在庫'!$H$6:$H$10005,MATCH($C202,'月1回_2ヶ月前の在庫'!$W$6:$W$10005,0)),""))),INDEX('商品マスタ'!$D$6:$D$1005,MATCH($C202,'商品マスタ'!$B$6:$B$1005,0))),IFERROR(INDEX('①在庫を貼る'!$H$6:$H$10005,MATCH($C202,'①在庫を貼る'!$W$6:$W$10005,0)),IFERROR(INDEX('月1回_1ヶ月前の在庫'!$H$6:$H$10005,MATCH($C202,'月1回_1ヶ月前の在庫'!$W$6:$W$10005,0)),IFERROR(INDEX('月1回_2ヶ月前の在庫'!$H$6:$H$10005,MATCH($C202,'月1回_2ヶ月前の在庫'!$W$6:$W$10005,0)),"")))))</f>
        <v/>
      </c>
      <c r="F202">
        <f>IF($C202="","",IFERROR(IF(INDEX('商品マスタ'!$E$6:$E$1005,MATCH($C202,'商品マスタ'!$B$6:$B$1005,0))="",IFERROR(INDEX('①在庫を貼る'!$E$6:$E$10005,MATCH($C202,'①在庫を貼る'!$W$6:$W$10005,0)),IFERROR(INDEX('月1回_1ヶ月前の在庫'!$E$6:$E$10005,MATCH($C202,'月1回_1ヶ月前の在庫'!$W$6:$W$10005,0)),IFERROR(INDEX('月1回_2ヶ月前の在庫'!$E$6:$E$10005,MATCH($C202,'月1回_2ヶ月前の在庫'!$W$6:$W$10005,0)),""))),INDEX('商品マスタ'!$E$6:$E$1005,MATCH($C202,'商品マスタ'!$B$6:$B$1005,0))),IFERROR(INDEX('①在庫を貼る'!$E$6:$E$10005,MATCH($C202,'①在庫を貼る'!$W$6:$W$10005,0)),IFERROR(INDEX('月1回_1ヶ月前の在庫'!$E$6:$E$10005,MATCH($C202,'月1回_1ヶ月前の在庫'!$W$6:$W$10005,0)),IFERROR(INDEX('月1回_2ヶ月前の在庫'!$E$6:$E$10005,MATCH($C202,'月1回_2ヶ月前の在庫'!$W$6:$W$10005,0)),"")))))</f>
        <v/>
      </c>
      <c r="G202">
        <f>IF($C202="","",MAX(1,N(IFERROR(IF(INDEX('商品マスタ'!$F$6:$F$1005,MATCH($C202,'商品マスタ'!$B$6:$B$1005,0))="",IF(COUNTIFS('①在庫を貼る'!$V$6:$V$10005,'設定'!$C$4,'①在庫を貼る'!$W$6:$W$10005,$C202)&gt;0,SUMIFS('①在庫を貼る'!$K$6:$K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K$6:$K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K$6:$K$10005,'月1回_2ヶ月前の在庫'!$V$6:$V$10005,'設定'!$C$4,'月1回_2ヶ月前の在庫'!$W$6:$W$10005,$C202)/COUNTIFS('月1回_2ヶ月前の在庫'!$V$6:$V$10005,'設定'!$C$4,'月1回_2ヶ月前の在庫'!$W$6:$W$10005,$C202),0))),INDEX('商品マスタ'!$F$6:$F$1005,MATCH($C202,'商品マスタ'!$B$6:$B$1005,0))),IF(COUNTIFS('①在庫を貼る'!$V$6:$V$10005,'設定'!$C$4,'①在庫を貼る'!$W$6:$W$10005,$C202)&gt;0,SUMIFS('①在庫を貼る'!$K$6:$K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K$6:$K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K$6:$K$10005,'月1回_2ヶ月前の在庫'!$V$6:$V$10005,'設定'!$C$4,'月1回_2ヶ月前の在庫'!$W$6:$W$10005,$C202)/COUNTIFS('月1回_2ヶ月前の在庫'!$V$6:$V$10005,'設定'!$C$4,'月1回_2ヶ月前の在庫'!$W$6:$W$10005,$C202),0)))))))</f>
        <v/>
      </c>
      <c r="H202">
        <f>IF($C202="","",N(IFERROR(IF(INDEX('商品マスタ'!$G$6:$G$1005,MATCH($C202,'商品マスタ'!$B$6:$B$1005,0))="",IF(COUNTIFS('①在庫を貼る'!$V$6:$V$10005,'設定'!$C$4,'①在庫を貼る'!$W$6:$W$10005,$C202)&gt;0,SUMIFS('①在庫を貼る'!$Q$6:$Q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Q$6:$Q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Q$6:$Q$10005,'月1回_2ヶ月前の在庫'!$V$6:$V$10005,'設定'!$C$4,'月1回_2ヶ月前の在庫'!$W$6:$W$10005,$C202)/COUNTIFS('月1回_2ヶ月前の在庫'!$V$6:$V$10005,'設定'!$C$4,'月1回_2ヶ月前の在庫'!$W$6:$W$10005,$C202),0))),INDEX('商品マスタ'!$G$6:$G$1005,MATCH($C202,'商品マスタ'!$B$6:$B$1005,0))),IF(COUNTIFS('①在庫を貼る'!$V$6:$V$10005,'設定'!$C$4,'①在庫を貼る'!$W$6:$W$10005,$C202)&gt;0,SUMIFS('①在庫を貼る'!$Q$6:$Q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Q$6:$Q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Q$6:$Q$10005,'月1回_2ヶ月前の在庫'!$V$6:$V$10005,'設定'!$C$4,'月1回_2ヶ月前の在庫'!$W$6:$W$10005,$C202)/COUNTIFS('月1回_2ヶ月前の在庫'!$V$6:$V$10005,'設定'!$C$4,'月1回_2ヶ月前の在庫'!$W$6:$W$10005,$C202),0))))))</f>
        <v/>
      </c>
      <c r="I202">
        <f>IF($C202="","",IF(COUNTIFS('①在庫を貼る'!$V$6:$V$10005,'設定'!$C$4,'①在庫を貼る'!$W$6:$W$10005,$C202)=0,"",SUMIFS('①在庫を貼る'!$N$6:$N$10005,'①在庫を貼る'!$V$6:$V$10005,'設定'!$C$4,'①在庫を貼る'!$W$6:$W$10005,$C202)))</f>
        <v/>
      </c>
      <c r="J202">
        <f>IF($C202="","",IF('②発注する'!$AD206="","",'②発注する'!$AD206))</f>
        <v/>
      </c>
      <c r="K202" s="90">
        <f>IF($C202="","",IF('②発注する'!$AE206="","",'②発注する'!$AE206))</f>
        <v/>
      </c>
      <c r="L202">
        <f>IF($C202="","",IF(AND(ISNUMBER($J202),ISNUMBER($K202),$K202&gt;='設定'!$C$6),$J202,N($I202)))</f>
        <v/>
      </c>
      <c r="M202">
        <f>IF($C202="","",IFERROR(IF(N(INDEX('商品マスタ'!$J$6:$J$1005,MATCH($C202,'商品マスタ'!$B$6:$B$1005,0)))&gt;0,INDEX('商品マスタ'!$J$6:$J$1005,MATCH($C202,'商品マスタ'!$B$6:$B$1005,0)),""),""))</f>
        <v/>
      </c>
      <c r="N202">
        <f>IF($C202="","",IFERROR(IF(N(INDEX('商品マスタ'!$H$6:$H$1005,MATCH($C202,'商品マスタ'!$B$6:$B$1005,0)))&gt;0,INDEX('商品マスタ'!$H$6:$H$1005,MATCH($C202,'商品マスタ'!$B$6:$B$1005,0)),""),""))</f>
        <v/>
      </c>
      <c r="O202">
        <f>IF($C202="","",IF($N202&lt;&gt;"",$N202*$G202,IF(N(IF(COUNTIFS('①在庫を貼る'!$V$6:$V$10005,'設定'!$C$4,'①在庫を貼る'!$W$6:$W$10005,$C202)&gt;0,SUMIFS('①在庫を貼る'!$O$6:$O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O$6:$O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O$6:$O$10005,'月1回_2ヶ月前の在庫'!$V$6:$V$10005,'設定'!$C$4,'月1回_2ヶ月前の在庫'!$W$6:$W$10005,$C202)/COUNTIFS('月1回_2ヶ月前の在庫'!$V$6:$V$10005,'設定'!$C$4,'月1回_2ヶ月前の在庫'!$W$6:$W$10005,$C202),0))))&gt;0,N(IF(COUNTIFS('①在庫を貼る'!$V$6:$V$10005,'設定'!$C$4,'①在庫を貼る'!$W$6:$W$10005,$C202)&gt;0,SUMIFS('①在庫を貼る'!$O$6:$O$10005,'①在庫を貼る'!$V$6:$V$10005,'設定'!$C$4,'①在庫を貼る'!$W$6:$W$10005,$C202)/COUNTIFS('①在庫を貼る'!$V$6:$V$10005,'設定'!$C$4,'①在庫を貼る'!$W$6:$W$10005,$C202),IF(COUNTIFS('月1回_1ヶ月前の在庫'!$V$6:$V$10005,'設定'!$C$4,'月1回_1ヶ月前の在庫'!$W$6:$W$10005,$C202)&gt;0,SUMIFS('月1回_1ヶ月前の在庫'!$O$6:$O$10005,'月1回_1ヶ月前の在庫'!$V$6:$V$10005,'設定'!$C$4,'月1回_1ヶ月前の在庫'!$W$6:$W$10005,$C202)/COUNTIFS('月1回_1ヶ月前の在庫'!$V$6:$V$10005,'設定'!$C$4,'月1回_1ヶ月前の在庫'!$W$6:$W$10005,$C202),IF(COUNTIFS('月1回_2ヶ月前の在庫'!$V$6:$V$10005,'設定'!$C$4,'月1回_2ヶ月前の在庫'!$W$6:$W$10005,$C202)&gt;0,SUMIFS('月1回_2ヶ月前の在庫'!$O$6:$O$10005,'月1回_2ヶ月前の在庫'!$V$6:$V$10005,'設定'!$C$4,'月1回_2ヶ月前の在庫'!$W$6:$W$10005,$C202)/COUNTIFS('月1回_2ヶ月前の在庫'!$V$6:$V$10005,'設定'!$C$4,'月1回_2ヶ月前の在庫'!$W$6:$W$10005,$C202),0)))),"")))</f>
        <v/>
      </c>
      <c r="P202" s="90">
        <f>IF($C202="","",IF('②発注する'!$I206="","",'②発注する'!$I206))</f>
        <v/>
      </c>
      <c r="Q202">
        <f>IF($C202="","",IF('②発注する'!$J206="","",'②発注する'!$J206))</f>
        <v/>
      </c>
      <c r="R202">
        <f>IF($C202="",0,IF(AND(ISNUMBER($P202),ISNUMBER($Q202)),MAX(0,$Q202)*$G202,0))</f>
        <v/>
      </c>
      <c r="S202" s="90">
        <f>IF($C202="","",IF('②発注する'!$M206="","",'②発注する'!$M206))</f>
        <v/>
      </c>
      <c r="T202">
        <f>IF($C202="","",IF('②発注する'!$N206="","",'②発注する'!$N206))</f>
        <v/>
      </c>
      <c r="U202">
        <f>IF($C202="",0,IF(AND(ISNUMBER($S202),ISNUMBER($T202)),MAX(0,$T202)*$G202,0))</f>
        <v/>
      </c>
      <c r="V202">
        <f>IF($C202="",0,IF($M202="",0,MAX(0,$M202)*MAX(0,V$4)/100))</f>
        <v/>
      </c>
      <c r="W202">
        <f>IF($C202="",0,IF($M202="",0,MAX(0,$M202)*MAX(0,W$4)/100))</f>
        <v/>
      </c>
      <c r="X202">
        <f>IF($C202="",0,IF($M202="",0,MAX(0,$M202)*MAX(0,X$4)/100))</f>
        <v/>
      </c>
      <c r="Y202">
        <f>IF($C202="",0,IF($M202="",0,MAX(0,$M202)*MAX(0,Y$4)/100))</f>
        <v/>
      </c>
      <c r="Z202">
        <f>IF($C202="",0,IF($M202="",0,MAX(0,$M202)*MAX(0,Z$4)/100))</f>
        <v/>
      </c>
      <c r="AA202">
        <f>IF($C202="",0,IF($M202="",0,MAX(0,$M202)*MAX(0,AA$4)/100))</f>
        <v/>
      </c>
      <c r="AB202">
        <f>IF($C202="",0,IF($M202="",0,MAX(0,$M202)*MAX(0,AB$4)/100))</f>
        <v/>
      </c>
      <c r="AC202">
        <f>IF($C202="",0,IF($M202="",0,MAX(0,$M202)*MAX(0,AC$4)/100))</f>
        <v/>
      </c>
      <c r="AD202">
        <f>IF($C202="",0,IF($M202="",0,MAX(0,$M202)*MAX(0,AD$4)/100))</f>
        <v/>
      </c>
      <c r="AE202">
        <f>IF($C202="",0,IF($M202="",0,MAX(0,$M202)*MAX(0,AE$4)/100))</f>
        <v/>
      </c>
      <c r="AF202">
        <f>IF($C202="",0,IF($M202="",0,MAX(0,$M202)*MAX(0,AF$4)/100))</f>
        <v/>
      </c>
      <c r="AG202">
        <f>IF($C202="",0,IF($M202="",0,MAX(0,$M202)*MAX(0,AG$4)/100))</f>
        <v/>
      </c>
      <c r="AH202">
        <f>IF($C202="",0,IF($M202="",0,MAX(0,$M202)*MAX(0,AH$4)/100))</f>
        <v/>
      </c>
      <c r="AI202">
        <f>IF($C202="",0,IF($M202="",0,MAX(0,$M202)*MAX(0,AI$4)/100))</f>
        <v/>
      </c>
      <c r="AJ202">
        <f>IF($C202="",0,MAX(0,MAX(0,N($L202))-$V202))</f>
        <v/>
      </c>
      <c r="AK202">
        <f>IF($C202="",0,MAX(0,$AJ202-$W202))</f>
        <v/>
      </c>
      <c r="AL202">
        <f>IF($C202="",0,MAX(0,$AK202-$X202))</f>
        <v/>
      </c>
      <c r="AM202">
        <f>IF($C202="",0,MAX(0,$AL202-$Y202))</f>
        <v/>
      </c>
      <c r="AN202">
        <f>IF($C202="",0,MAX(0,$AM202-$Z202))</f>
        <v/>
      </c>
      <c r="AO202">
        <f>IF($C202="",0,MAX(0,$AN202-$AA202))</f>
        <v/>
      </c>
      <c r="AP202">
        <f>IF($C202="",0,MAX(0,$AO202-$AB202))</f>
        <v/>
      </c>
      <c r="AQ202">
        <f>IF($C202="",0,MAX(0,$AP202-$AC202))</f>
        <v/>
      </c>
      <c r="AR202">
        <f>IF($C202="",0,MAX(0,$AQ202-$AD202))</f>
        <v/>
      </c>
      <c r="AS202">
        <f>IF($C202="",0,MAX(0,$AR202-$AE202))</f>
        <v/>
      </c>
      <c r="AT202">
        <f>IF($C202="",0,MAX(0,$AS202-$AF202))</f>
        <v/>
      </c>
      <c r="AU202">
        <f>IF($C202="",0,MAX(0,$AT202-$AG202))</f>
        <v/>
      </c>
      <c r="AV202">
        <f>IF($C202="",0,MAX(0,$AU202-$AH202))</f>
        <v/>
      </c>
      <c r="AW202">
        <f>IF($C202="",0,MAX(0,$AV202-$AI202))</f>
        <v/>
      </c>
      <c r="AX202">
        <f>IF($C202="",0,MAX(0,MAX(0,N($L202))+IF($P202=V$3,$R202,0)+IF($S202=V$3,$U202,0)-$V202))</f>
        <v/>
      </c>
      <c r="AY202">
        <f>IF($C202="",0,MAX(0,$AX202+IF($P202=W$3,$R202,0)+IF($S202=W$3,$U202,0)-$W202))</f>
        <v/>
      </c>
      <c r="AZ202">
        <f>IF($C202="",0,MAX(0,$AY202+IF($P202=X$3,$R202,0)+IF($S202=X$3,$U202,0)-$X202))</f>
        <v/>
      </c>
      <c r="BA202">
        <f>IF($C202="",0,MAX(0,$AZ202+IF($P202=Y$3,$R202,0)+IF($S202=Y$3,$U202,0)-$Y202))</f>
        <v/>
      </c>
      <c r="BB202">
        <f>IF($C202="",0,MAX(0,$BA202+IF($P202=Z$3,$R202,0)+IF($S202=Z$3,$U202,0)-$Z202))</f>
        <v/>
      </c>
      <c r="BC202">
        <f>IF($C202="",0,MAX(0,$BB202+IF($P202=AA$3,$R202,0)+IF($S202=AA$3,$U202,0)-$AA202))</f>
        <v/>
      </c>
      <c r="BD202">
        <f>IF($C202="",0,MAX(0,$BC202+IF($P202=AB$3,$R202,0)+IF($S202=AB$3,$U202,0)-$AB202))</f>
        <v/>
      </c>
      <c r="BE202">
        <f>IF($C202="",0,MAX(0,$BD202+IF($P202=AC$3,$R202,0)+IF($S202=AC$3,$U202,0)-$AC202))</f>
        <v/>
      </c>
      <c r="BF202">
        <f>IF($C202="",0,MAX(0,$BE202+IF($P202=AD$3,$R202,0)+IF($S202=AD$3,$U202,0)-$AD202))</f>
        <v/>
      </c>
      <c r="BG202">
        <f>IF($C202="",0,MAX(0,$BF202+IF($P202=AE$3,$R202,0)+IF($S202=AE$3,$U202,0)-$AE202))</f>
        <v/>
      </c>
      <c r="BH202">
        <f>IF($C202="",0,MAX(0,$BG202+IF($P202=AF$3,$R202,0)+IF($S202=AF$3,$U202,0)-$AF202))</f>
        <v/>
      </c>
      <c r="BI202">
        <f>IF($C202="",0,MAX(0,$BH202+IF($P202=AG$3,$R202,0)+IF($S202=AG$3,$U202,0)-$AG202))</f>
        <v/>
      </c>
      <c r="BJ202">
        <f>IF($C202="",0,MAX(0,$BI202+IF($P202=AH$3,$R202,0)+IF($S202=AH$3,$U202,0)-$AH202))</f>
        <v/>
      </c>
      <c r="BK202">
        <f>IF($C202="",0,MAX(0,$BJ202+IF($P202=AI$3,$R202,0)+IF($S202=AI$3,$U202,0)-$AI202))</f>
        <v/>
      </c>
      <c r="BL202">
        <f>IF($C202="",99,IF(AND($AX202&lt;1,V$3&gt;=MAX(N($P202),N($S202))),0,99))</f>
        <v/>
      </c>
      <c r="BM202">
        <f>IF($C202="",99,IF(AND($AY202&lt;1,W$3&gt;=MAX(N($P202),N($S202))),1,99))</f>
        <v/>
      </c>
      <c r="BN202">
        <f>IF($C202="",99,IF(AND($AZ202&lt;1,X$3&gt;=MAX(N($P202),N($S202))),2,99))</f>
        <v/>
      </c>
      <c r="BO202">
        <f>IF($C202="",99,IF(AND($BA202&lt;1,Y$3&gt;=MAX(N($P202),N($S202))),3,99))</f>
        <v/>
      </c>
      <c r="BP202">
        <f>IF($C202="",99,IF(AND($BB202&lt;1,Z$3&gt;=MAX(N($P202),N($S202))),4,99))</f>
        <v/>
      </c>
      <c r="BQ202">
        <f>IF($C202="",99,IF(AND($BC202&lt;1,AA$3&gt;=MAX(N($P202),N($S202))),5,99))</f>
        <v/>
      </c>
      <c r="BR202">
        <f>IF($C202="",99,IF(AND($BD202&lt;1,AB$3&gt;=MAX(N($P202),N($S202))),6,99))</f>
        <v/>
      </c>
      <c r="BS202">
        <f>IF($C202="",99,IF(AND($BE202&lt;1,AC$3&gt;=MAX(N($P202),N($S202))),7,99))</f>
        <v/>
      </c>
      <c r="BT202">
        <f>IF($C202="",99,IF(AND($BF202&lt;1,AD$3&gt;=MAX(N($P202),N($S202))),8,99))</f>
        <v/>
      </c>
      <c r="BU202">
        <f>IF($C202="",99,IF(AND($BG202&lt;1,AE$3&gt;=MAX(N($P202),N($S202))),9,99))</f>
        <v/>
      </c>
      <c r="BV202">
        <f>IF($C202="",99,IF(AND($BH202&lt;1,AF$3&gt;=MAX(N($P202),N($S202))),10,99))</f>
        <v/>
      </c>
      <c r="BW202">
        <f>IF($C202="",99,IF(AND($BI202&lt;1,AG$3&gt;=MAX(N($P202),N($S202))),11,99))</f>
        <v/>
      </c>
      <c r="BX202">
        <f>IF($C202="",99,IF(AND($BJ202&lt;1,AH$3&gt;=MAX(N($P202),N($S202))),12,99))</f>
        <v/>
      </c>
      <c r="BY202">
        <f>IF($C202="",99,IF(AND($BK202&lt;1,AI$3&gt;=MAX(N($P202),N($S202))),13,99))</f>
        <v/>
      </c>
      <c r="BZ202">
        <f>IF(OR($C202="",$M202=""),"",COUNTIF($AJ202:$AW202,"&gt;=1"))</f>
        <v/>
      </c>
      <c r="CA202" s="90">
        <f>IF($BZ202="","",IF($BZ202&gt;=14,"",'設定'!$C$6+$BZ202))</f>
        <v/>
      </c>
      <c r="CB202">
        <f>IF(OR($C202="",$M202=""),"",MIN($BL202:$BY202))</f>
        <v/>
      </c>
      <c r="CC202" s="90">
        <f>IF($CB202="","",IF($CB202&gt;=99,"",'設定'!$C$6+$CB202))</f>
        <v/>
      </c>
      <c r="CD202">
        <f>IF(OR($C202="",$M202=""),"",AVERAGE($V202:$AI202))</f>
        <v/>
      </c>
      <c r="CE202">
        <f>IF($C202="","",IFERROR(IF(MATCH(IF(ISNUMBER($P202),$P202,'設定'!$C$6+N('設定'!$C$7)),$V$3:$AI$3,0)=1,MAX(0,N($L202)),INDEX($AJ202:$AW202,MATCH(IF(ISNUMBER($P202),$P202,'設定'!$C$6+N('設定'!$C$7)),$V$3:$AI$3,0)-1)),""))</f>
        <v/>
      </c>
      <c r="CF202">
        <f>IF(OR($C202="",$O202="",$CE202=""),"",IF($O202-$CE202&lt;=0,0,ROUNDUP(($O202-$CE202)/$G202,0)))</f>
        <v/>
      </c>
      <c r="CG202">
        <f>IF(OR($C202="",$CF202="",NOT(ISNUMBER($Q202))),0,MAX(0,$Q202-$CF202))</f>
        <v/>
      </c>
      <c r="CH202">
        <f>IF(OR($C202="",$O202="",$U202=0),0,IFERROR(ROUNDUP(MAX(0,IF(MATCH($S202,$V$3:$AI$3,0)=1,MAX(0,N($L202)),INDEX($AX202:$BK202,MATCH($S202,$V$3:$AI$3,0)-1))+$U202-$O202)/$G202,0),0))</f>
        <v/>
      </c>
      <c r="CI202">
        <f>IF($C202="","",IF(AND($P202="",$Q202=""),"",IF($P202="","⚠ 入庫日を ▼ から選んでください",IF(NOT(ISNUMBER($P202)),"⚠ 入庫日は ▼ から選んでください",IF($P202&lt;N('設定'!$C$6),"⚠ 入庫日が過去です（もう在庫に入っています）→ 消してください",IF($P202&gt;N('設定'!$C$6)+13,"⚠ 入庫日が14日より先です",IF(N($Q202)&lt;=0,"⚠ 入庫数を入れてください",IF($CG202&gt;0,"⚠ 目安より "&amp;$CG202&amp;" 多い（定数を超える）→ 減らす",""))))))))</f>
        <v/>
      </c>
      <c r="CJ202">
        <f>IF($C202="","",IF(AND($S202="",$T202=""),"",IF($S202="","⚠ 2便目：入庫日を ▼ から選んでください",IF(NOT(ISNUMBER($S202)),"⚠ 2便目：入庫日は ▼ から選んでください",IF($S202&lt;N('設定'!$C$6),"⚠ 2便目：入庫日が過去です（もう在庫に入っています）→ 消してください",IF($S202&gt;N('設定'!$C$6)+13,"⚠ 2便目：入庫日が14日より先です",IF(N($T202)&lt;=0,"⚠ 2便目：入庫数を入れてください",IF($CH202&gt;0,"⚠ 2便目：定数を "&amp;$CH202&amp;" ケース超える → 減らす",""))))))))</f>
        <v/>
      </c>
      <c r="CK202">
        <f>IF(AND($CI202="",N($Q202)&gt;0,ISNUMBER($P202)),1,0)</f>
        <v/>
      </c>
      <c r="CL202">
        <f>IF(AND($CJ202="",N($T202)&gt;0,ISNUMBER($S202)),1,0)</f>
        <v/>
      </c>
      <c r="CM202">
        <f>IF(OR($CK202=1,$CL202=1),1,0)</f>
        <v/>
      </c>
      <c r="CN202">
        <f>IF($C202="",0,($CK202*$R202+$CL202*$U202)*N($H202))</f>
        <v/>
      </c>
      <c r="CO202">
        <f>IF($C202="","",IF($CC202="","入庫後は 14日以上もつ",IF($CC202-N('設定'!$C$7)&lt;='設定'!$C$6,"入庫後も "&amp;TEXT($CC202,"m/d")&amp;"("&amp;CHOOSE(WEEKDAY($CC202),"日","月","火","水","木","金","土")&amp;")"&amp;" に切れる　もう1便を至急発注","入庫後も "&amp;TEXT($CC202,"m/d")&amp;"("&amp;CHOOSE(WEEKDAY($CC202),"日","月","火","水","木","金","土")&amp;")"&amp;" に切れる　"&amp;TEXT($CC202-N('設定'!$C$7),"m/d")&amp;"("&amp;CHOOSE(WEEKDAY($CC202-N('設定'!$C$7)),"日","月","火","水","木","金","土")&amp;")"&amp;" までに次を発注")))</f>
        <v/>
      </c>
      <c r="CP202">
        <f>IF($C202="","",IF('設定'!$C$6="","？ ①在庫を貼る に今日のCSVが貼られていない",IF($CS202=1,"－ 今日のCSVに無い（終売？）",IF($L202&lt;0,"● 在庫がマイナス　数えて「数えた在庫」に入れる",IF($L202=0,"● 在庫なし　至急発注",IF($M202="","？ 減り数が未設定（商品マスタ）",IF($B$3=0,"？ 動員が未入力（動員を入れる）",IF($CA202="","○ 14日以上もつ",IF($BZ202&lt;N('設定'!$C$7),"● "&amp;TEXT($CA202,"m/d")&amp;"("&amp;CHOOSE(WEEKDAY($CA202),"日","月","火","水","木","金","土")&amp;")"&amp;" に切れる　至急発注",IF($BZ202=N('設定'!$C$7),"● "&amp;TEXT($CA202,"m/d")&amp;"("&amp;CHOOSE(WEEKDAY($CA202),"日","月","火","水","木","金","土")&amp;")"&amp;" に切れる　今日発注","△ "&amp;TEXT($CA202,"m/d")&amp;"("&amp;CHOOSE(WEEKDAY($CA202),"日","月","火","水","木","金","土")&amp;")"&amp;" に切れる　"&amp;TEXT($CA202-N('設定'!$C$7),"m/d")&amp;"("&amp;CHOOSE(WEEKDAY($CA202-N('設定'!$C$7)),"日","月","火","水","木","金","土")&amp;")"&amp;" までに発注"))))))))))</f>
        <v/>
      </c>
      <c r="CQ202">
        <f>IF($C202="","",IF(AND($P202="",$Q202="",$S202="",$T202=""),"",IF(AND($P202="",$Q202=""),"⚠ 先に1便目（左の入庫日・入庫数）に入れてください",IF($CI202&lt;&gt;"",$CI202,IF($CJ202&lt;&gt;"",$CJ202,IF($M202="","？ 減り数が未設定（発注書には載ります）",IF($B$3=0,"？ 動員が未入力（発注書には載ります）",IF(AND($CA202&lt;&gt;"",$P202&gt;$CA202),IF($P202&gt;'設定'!$C$6+N('設定'!$C$7),"● "&amp;TEXT($P202,"m/d")&amp;"("&amp;CHOOSE(WEEKDAY($P202),"日","月","火","水","木","金","土")&amp;")"&amp;" の入庫では間に合わない（"&amp;TEXT($CA202,"m/d")&amp;"("&amp;CHOOSE(WEEKDAY($CA202),"日","月","火","水","木","金","土")&amp;")"&amp;" に切れる）　入庫日を早める","△ 欠品 "&amp;TEXT($CA202,"m/d")&amp;"("&amp;CHOOSE(WEEKDAY($CA202),"日","月","火","水","木","金","土")&amp;")"&amp;"〜"&amp;TEXT($P202-1,"m/d")&amp;"("&amp;CHOOSE(WEEKDAY($P202-1),"日","月","火","水","木","金","土")&amp;")"&amp;"　"&amp;$CO202),IF($CC202="","○ "&amp;TEXT($P202,"m/d")&amp;"("&amp;CHOOSE(WEEKDAY($P202),"日","月","火","水","木","金","土")&amp;")"&amp;" 入庫で 14日以上もつ",IF($CC202-N('設定'!$C$7)&lt;='設定'!$C$6,"● 入庫しても "&amp;TEXT($CC202,"m/d")&amp;"("&amp;CHOOSE(WEEKDAY($CC202),"日","月","火","水","木","金","土")&amp;")"&amp;" に切れる　もう1便を至急発注（2便目に入れる）","△ 入庫しても "&amp;TEXT($CC202,"m/d")&amp;"("&amp;CHOOSE(WEEKDAY($CC202),"日","月","火","水","木","金","土")&amp;")"&amp;" に切れる　"&amp;TEXT($CC202-N('設定'!$C$7),"m/d")&amp;"("&amp;CHOOSE(WEEKDAY($CC202-N('設定'!$C$7)),"日","月","火","水","木","金","土")&amp;")"&amp;" までに次を発注（2便目に入れる）"))))))))))</f>
        <v/>
      </c>
      <c r="CR202">
        <f>IF($C202="","",IF($G202&gt;1,"ｹｰｽ("&amp;$G202&amp;"入)","個"))</f>
        <v/>
      </c>
      <c r="CS202">
        <f>IF($C202="",0,IF(COUNTIFS('①在庫を貼る'!$V$6:$V$10005,'設定'!$C$4,'①在庫を貼る'!$W$6:$W$10005,$C202)=0,1,0))</f>
        <v/>
      </c>
      <c r="CT202">
        <f>IF(AND($CK202=1,OR('③発注書'!$C$4="すべて",'③発注書'!$C$4="",$F202='③発注書'!$C$4)),N($CT201)+1,N($CT201))</f>
        <v/>
      </c>
      <c r="CU202">
        <f>IF(AND($CL202=1,OR('③発注書'!$C$4="すべて",'③発注書'!$C$4="",$F202='③発注書'!$C$4)),N($CU201)+1,N($CU201))</f>
        <v/>
      </c>
      <c r="CV202">
        <f>IF($C202="",0,IF(COUNTIFS('①在庫を貼る'!$V$6:$V$10005,'設定'!$C$4,'①在庫を貼る'!$W$6:$W$10005,$C202)&gt;0,1,0))</f>
        <v/>
      </c>
      <c r="CW202">
        <f>IF($C202="",0,IF(COUNTIFS('月1回_1ヶ月前の在庫'!$V$6:$V$10005,'設定'!$C$4,'月1回_1ヶ月前の在庫'!$W$6:$W$10005,$C202)&gt;0,1,0))</f>
        <v/>
      </c>
      <c r="CX202">
        <f>IF($C202="",0,IF(COUNTIFS('月1回_2ヶ月前の在庫'!$V$6:$V$10005,'設定'!$C$4,'月1回_2ヶ月前の在庫'!$W$6:$W$10005,$C202)&gt;0,1,0))</f>
        <v/>
      </c>
      <c r="CY202">
        <f>IF(OR($C202="",'設定'!$C$12=""),"",IF('設定'!$C$13="",IF(AND($CV202=1,$CW202=0),"新商品（今月から）",IF(AND($CV202=0,$CW202=1),"終売（今月から）","")),IF(AND($CV202=1,$CW202=0,$CX202=0),"新商品（今月から）",IF(AND($CV202=1,$CW202=1,$CX202=0),"新商品（先月から）",IF(AND($CV202=0,$CW202=1,$CX202=1),"終売（今月から）",IF(AND($CV202=0,$CW202=0,$CX202=1),"終売（先月から）",IF(AND($CV202=1,$CW202=0,$CX202=1),"復活（先月は無し）","")))))))</f>
        <v/>
      </c>
    </row>
    <row r="203">
      <c r="B203">
        <f>IF(198&lt;='設定'!$C$11,198,"")</f>
        <v/>
      </c>
      <c r="C203">
        <f>IF($B203="","",IF($B203&lt;='設定'!$C$20,INDEX('商品マスタ'!$B$6:$B$1005,MATCH($B203,'商品マスタ'!$M$6:$M$1005,0)),IF($B203&lt;='設定'!$C$20+'設定'!$C$17,INDEX('①在庫を貼る'!$W$6:$W$10005,MATCH($B203-'設定'!$C$20,'①在庫を貼る'!$U$6:$U$10005,0)),IF($B203&lt;='設定'!$C$20+'設定'!$C$17+'設定'!$C$18,INDEX('月1回_1ヶ月前の在庫'!$W$6:$W$10005,MATCH($B203-'設定'!$C$20-'設定'!$C$17,'月1回_1ヶ月前の在庫'!$U$6:$U$10005,0)),INDEX('月1回_2ヶ月前の在庫'!$W$6:$W$10005,MATCH($B203-'設定'!$C$20-'設定'!$C$17-'設定'!$C$18,'月1回_2ヶ月前の在庫'!$U$6:$U$10005,0))))))</f>
        <v/>
      </c>
      <c r="D203">
        <f>IF($C203="","",IFERROR(IF(INDEX('商品マスタ'!$C$6:$C$1005,MATCH($C203,'商品マスタ'!$B$6:$B$1005,0))="",IFERROR(INDEX('①在庫を貼る'!$J$6:$J$10005,MATCH($C203,'①在庫を貼る'!$W$6:$W$10005,0)),IFERROR(INDEX('月1回_1ヶ月前の在庫'!$J$6:$J$10005,MATCH($C203,'月1回_1ヶ月前の在庫'!$W$6:$W$10005,0)),IFERROR(INDEX('月1回_2ヶ月前の在庫'!$J$6:$J$10005,MATCH($C203,'月1回_2ヶ月前の在庫'!$W$6:$W$10005,0)),""))),INDEX('商品マスタ'!$C$6:$C$1005,MATCH($C203,'商品マスタ'!$B$6:$B$1005,0))),IFERROR(INDEX('①在庫を貼る'!$J$6:$J$10005,MATCH($C203,'①在庫を貼る'!$W$6:$W$10005,0)),IFERROR(INDEX('月1回_1ヶ月前の在庫'!$J$6:$J$10005,MATCH($C203,'月1回_1ヶ月前の在庫'!$W$6:$W$10005,0)),IFERROR(INDEX('月1回_2ヶ月前の在庫'!$J$6:$J$10005,MATCH($C203,'月1回_2ヶ月前の在庫'!$W$6:$W$10005,0)),"")))))</f>
        <v/>
      </c>
      <c r="E203">
        <f>IF($C203="","",IFERROR(IF(INDEX('商品マスタ'!$D$6:$D$1005,MATCH($C203,'商品マスタ'!$B$6:$B$1005,0))="",IFERROR(INDEX('①在庫を貼る'!$H$6:$H$10005,MATCH($C203,'①在庫を貼る'!$W$6:$W$10005,0)),IFERROR(INDEX('月1回_1ヶ月前の在庫'!$H$6:$H$10005,MATCH($C203,'月1回_1ヶ月前の在庫'!$W$6:$W$10005,0)),IFERROR(INDEX('月1回_2ヶ月前の在庫'!$H$6:$H$10005,MATCH($C203,'月1回_2ヶ月前の在庫'!$W$6:$W$10005,0)),""))),INDEX('商品マスタ'!$D$6:$D$1005,MATCH($C203,'商品マスタ'!$B$6:$B$1005,0))),IFERROR(INDEX('①在庫を貼る'!$H$6:$H$10005,MATCH($C203,'①在庫を貼る'!$W$6:$W$10005,0)),IFERROR(INDEX('月1回_1ヶ月前の在庫'!$H$6:$H$10005,MATCH($C203,'月1回_1ヶ月前の在庫'!$W$6:$W$10005,0)),IFERROR(INDEX('月1回_2ヶ月前の在庫'!$H$6:$H$10005,MATCH($C203,'月1回_2ヶ月前の在庫'!$W$6:$W$10005,0)),"")))))</f>
        <v/>
      </c>
      <c r="F203">
        <f>IF($C203="","",IFERROR(IF(INDEX('商品マスタ'!$E$6:$E$1005,MATCH($C203,'商品マスタ'!$B$6:$B$1005,0))="",IFERROR(INDEX('①在庫を貼る'!$E$6:$E$10005,MATCH($C203,'①在庫を貼る'!$W$6:$W$10005,0)),IFERROR(INDEX('月1回_1ヶ月前の在庫'!$E$6:$E$10005,MATCH($C203,'月1回_1ヶ月前の在庫'!$W$6:$W$10005,0)),IFERROR(INDEX('月1回_2ヶ月前の在庫'!$E$6:$E$10005,MATCH($C203,'月1回_2ヶ月前の在庫'!$W$6:$W$10005,0)),""))),INDEX('商品マスタ'!$E$6:$E$1005,MATCH($C203,'商品マスタ'!$B$6:$B$1005,0))),IFERROR(INDEX('①在庫を貼る'!$E$6:$E$10005,MATCH($C203,'①在庫を貼る'!$W$6:$W$10005,0)),IFERROR(INDEX('月1回_1ヶ月前の在庫'!$E$6:$E$10005,MATCH($C203,'月1回_1ヶ月前の在庫'!$W$6:$W$10005,0)),IFERROR(INDEX('月1回_2ヶ月前の在庫'!$E$6:$E$10005,MATCH($C203,'月1回_2ヶ月前の在庫'!$W$6:$W$10005,0)),"")))))</f>
        <v/>
      </c>
      <c r="G203">
        <f>IF($C203="","",MAX(1,N(IFERROR(IF(INDEX('商品マスタ'!$F$6:$F$1005,MATCH($C203,'商品マスタ'!$B$6:$B$1005,0))="",IF(COUNTIFS('①在庫を貼る'!$V$6:$V$10005,'設定'!$C$4,'①在庫を貼る'!$W$6:$W$10005,$C203)&gt;0,SUMIFS('①在庫を貼る'!$K$6:$K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K$6:$K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K$6:$K$10005,'月1回_2ヶ月前の在庫'!$V$6:$V$10005,'設定'!$C$4,'月1回_2ヶ月前の在庫'!$W$6:$W$10005,$C203)/COUNTIFS('月1回_2ヶ月前の在庫'!$V$6:$V$10005,'設定'!$C$4,'月1回_2ヶ月前の在庫'!$W$6:$W$10005,$C203),0))),INDEX('商品マスタ'!$F$6:$F$1005,MATCH($C203,'商品マスタ'!$B$6:$B$1005,0))),IF(COUNTIFS('①在庫を貼る'!$V$6:$V$10005,'設定'!$C$4,'①在庫を貼る'!$W$6:$W$10005,$C203)&gt;0,SUMIFS('①在庫を貼る'!$K$6:$K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K$6:$K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K$6:$K$10005,'月1回_2ヶ月前の在庫'!$V$6:$V$10005,'設定'!$C$4,'月1回_2ヶ月前の在庫'!$W$6:$W$10005,$C203)/COUNTIFS('月1回_2ヶ月前の在庫'!$V$6:$V$10005,'設定'!$C$4,'月1回_2ヶ月前の在庫'!$W$6:$W$10005,$C203),0)))))))</f>
        <v/>
      </c>
      <c r="H203">
        <f>IF($C203="","",N(IFERROR(IF(INDEX('商品マスタ'!$G$6:$G$1005,MATCH($C203,'商品マスタ'!$B$6:$B$1005,0))="",IF(COUNTIFS('①在庫を貼る'!$V$6:$V$10005,'設定'!$C$4,'①在庫を貼る'!$W$6:$W$10005,$C203)&gt;0,SUMIFS('①在庫を貼る'!$Q$6:$Q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Q$6:$Q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Q$6:$Q$10005,'月1回_2ヶ月前の在庫'!$V$6:$V$10005,'設定'!$C$4,'月1回_2ヶ月前の在庫'!$W$6:$W$10005,$C203)/COUNTIFS('月1回_2ヶ月前の在庫'!$V$6:$V$10005,'設定'!$C$4,'月1回_2ヶ月前の在庫'!$W$6:$W$10005,$C203),0))),INDEX('商品マスタ'!$G$6:$G$1005,MATCH($C203,'商品マスタ'!$B$6:$B$1005,0))),IF(COUNTIFS('①在庫を貼る'!$V$6:$V$10005,'設定'!$C$4,'①在庫を貼る'!$W$6:$W$10005,$C203)&gt;0,SUMIFS('①在庫を貼る'!$Q$6:$Q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Q$6:$Q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Q$6:$Q$10005,'月1回_2ヶ月前の在庫'!$V$6:$V$10005,'設定'!$C$4,'月1回_2ヶ月前の在庫'!$W$6:$W$10005,$C203)/COUNTIFS('月1回_2ヶ月前の在庫'!$V$6:$V$10005,'設定'!$C$4,'月1回_2ヶ月前の在庫'!$W$6:$W$10005,$C203),0))))))</f>
        <v/>
      </c>
      <c r="I203">
        <f>IF($C203="","",IF(COUNTIFS('①在庫を貼る'!$V$6:$V$10005,'設定'!$C$4,'①在庫を貼る'!$W$6:$W$10005,$C203)=0,"",SUMIFS('①在庫を貼る'!$N$6:$N$10005,'①在庫を貼る'!$V$6:$V$10005,'設定'!$C$4,'①在庫を貼る'!$W$6:$W$10005,$C203)))</f>
        <v/>
      </c>
      <c r="J203">
        <f>IF($C203="","",IF('②発注する'!$AD207="","",'②発注する'!$AD207))</f>
        <v/>
      </c>
      <c r="K203" s="90">
        <f>IF($C203="","",IF('②発注する'!$AE207="","",'②発注する'!$AE207))</f>
        <v/>
      </c>
      <c r="L203">
        <f>IF($C203="","",IF(AND(ISNUMBER($J203),ISNUMBER($K203),$K203&gt;='設定'!$C$6),$J203,N($I203)))</f>
        <v/>
      </c>
      <c r="M203">
        <f>IF($C203="","",IFERROR(IF(N(INDEX('商品マスタ'!$J$6:$J$1005,MATCH($C203,'商品マスタ'!$B$6:$B$1005,0)))&gt;0,INDEX('商品マスタ'!$J$6:$J$1005,MATCH($C203,'商品マスタ'!$B$6:$B$1005,0)),""),""))</f>
        <v/>
      </c>
      <c r="N203">
        <f>IF($C203="","",IFERROR(IF(N(INDEX('商品マスタ'!$H$6:$H$1005,MATCH($C203,'商品マスタ'!$B$6:$B$1005,0)))&gt;0,INDEX('商品マスタ'!$H$6:$H$1005,MATCH($C203,'商品マスタ'!$B$6:$B$1005,0)),""),""))</f>
        <v/>
      </c>
      <c r="O203">
        <f>IF($C203="","",IF($N203&lt;&gt;"",$N203*$G203,IF(N(IF(COUNTIFS('①在庫を貼る'!$V$6:$V$10005,'設定'!$C$4,'①在庫を貼る'!$W$6:$W$10005,$C203)&gt;0,SUMIFS('①在庫を貼る'!$O$6:$O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O$6:$O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O$6:$O$10005,'月1回_2ヶ月前の在庫'!$V$6:$V$10005,'設定'!$C$4,'月1回_2ヶ月前の在庫'!$W$6:$W$10005,$C203)/COUNTIFS('月1回_2ヶ月前の在庫'!$V$6:$V$10005,'設定'!$C$4,'月1回_2ヶ月前の在庫'!$W$6:$W$10005,$C203),0))))&gt;0,N(IF(COUNTIFS('①在庫を貼る'!$V$6:$V$10005,'設定'!$C$4,'①在庫を貼る'!$W$6:$W$10005,$C203)&gt;0,SUMIFS('①在庫を貼る'!$O$6:$O$10005,'①在庫を貼る'!$V$6:$V$10005,'設定'!$C$4,'①在庫を貼る'!$W$6:$W$10005,$C203)/COUNTIFS('①在庫を貼る'!$V$6:$V$10005,'設定'!$C$4,'①在庫を貼る'!$W$6:$W$10005,$C203),IF(COUNTIFS('月1回_1ヶ月前の在庫'!$V$6:$V$10005,'設定'!$C$4,'月1回_1ヶ月前の在庫'!$W$6:$W$10005,$C203)&gt;0,SUMIFS('月1回_1ヶ月前の在庫'!$O$6:$O$10005,'月1回_1ヶ月前の在庫'!$V$6:$V$10005,'設定'!$C$4,'月1回_1ヶ月前の在庫'!$W$6:$W$10005,$C203)/COUNTIFS('月1回_1ヶ月前の在庫'!$V$6:$V$10005,'設定'!$C$4,'月1回_1ヶ月前の在庫'!$W$6:$W$10005,$C203),IF(COUNTIFS('月1回_2ヶ月前の在庫'!$V$6:$V$10005,'設定'!$C$4,'月1回_2ヶ月前の在庫'!$W$6:$W$10005,$C203)&gt;0,SUMIFS('月1回_2ヶ月前の在庫'!$O$6:$O$10005,'月1回_2ヶ月前の在庫'!$V$6:$V$10005,'設定'!$C$4,'月1回_2ヶ月前の在庫'!$W$6:$W$10005,$C203)/COUNTIFS('月1回_2ヶ月前の在庫'!$V$6:$V$10005,'設定'!$C$4,'月1回_2ヶ月前の在庫'!$W$6:$W$10005,$C203),0)))),"")))</f>
        <v/>
      </c>
      <c r="P203" s="90">
        <f>IF($C203="","",IF('②発注する'!$I207="","",'②発注する'!$I207))</f>
        <v/>
      </c>
      <c r="Q203">
        <f>IF($C203="","",IF('②発注する'!$J207="","",'②発注する'!$J207))</f>
        <v/>
      </c>
      <c r="R203">
        <f>IF($C203="",0,IF(AND(ISNUMBER($P203),ISNUMBER($Q203)),MAX(0,$Q203)*$G203,0))</f>
        <v/>
      </c>
      <c r="S203" s="90">
        <f>IF($C203="","",IF('②発注する'!$M207="","",'②発注する'!$M207))</f>
        <v/>
      </c>
      <c r="T203">
        <f>IF($C203="","",IF('②発注する'!$N207="","",'②発注する'!$N207))</f>
        <v/>
      </c>
      <c r="U203">
        <f>IF($C203="",0,IF(AND(ISNUMBER($S203),ISNUMBER($T203)),MAX(0,$T203)*$G203,0))</f>
        <v/>
      </c>
      <c r="V203">
        <f>IF($C203="",0,IF($M203="",0,MAX(0,$M203)*MAX(0,V$4)/100))</f>
        <v/>
      </c>
      <c r="W203">
        <f>IF($C203="",0,IF($M203="",0,MAX(0,$M203)*MAX(0,W$4)/100))</f>
        <v/>
      </c>
      <c r="X203">
        <f>IF($C203="",0,IF($M203="",0,MAX(0,$M203)*MAX(0,X$4)/100))</f>
        <v/>
      </c>
      <c r="Y203">
        <f>IF($C203="",0,IF($M203="",0,MAX(0,$M203)*MAX(0,Y$4)/100))</f>
        <v/>
      </c>
      <c r="Z203">
        <f>IF($C203="",0,IF($M203="",0,MAX(0,$M203)*MAX(0,Z$4)/100))</f>
        <v/>
      </c>
      <c r="AA203">
        <f>IF($C203="",0,IF($M203="",0,MAX(0,$M203)*MAX(0,AA$4)/100))</f>
        <v/>
      </c>
      <c r="AB203">
        <f>IF($C203="",0,IF($M203="",0,MAX(0,$M203)*MAX(0,AB$4)/100))</f>
        <v/>
      </c>
      <c r="AC203">
        <f>IF($C203="",0,IF($M203="",0,MAX(0,$M203)*MAX(0,AC$4)/100))</f>
        <v/>
      </c>
      <c r="AD203">
        <f>IF($C203="",0,IF($M203="",0,MAX(0,$M203)*MAX(0,AD$4)/100))</f>
        <v/>
      </c>
      <c r="AE203">
        <f>IF($C203="",0,IF($M203="",0,MAX(0,$M203)*MAX(0,AE$4)/100))</f>
        <v/>
      </c>
      <c r="AF203">
        <f>IF($C203="",0,IF($M203="",0,MAX(0,$M203)*MAX(0,AF$4)/100))</f>
        <v/>
      </c>
      <c r="AG203">
        <f>IF($C203="",0,IF($M203="",0,MAX(0,$M203)*MAX(0,AG$4)/100))</f>
        <v/>
      </c>
      <c r="AH203">
        <f>IF($C203="",0,IF($M203="",0,MAX(0,$M203)*MAX(0,AH$4)/100))</f>
        <v/>
      </c>
      <c r="AI203">
        <f>IF($C203="",0,IF($M203="",0,MAX(0,$M203)*MAX(0,AI$4)/100))</f>
        <v/>
      </c>
      <c r="AJ203">
        <f>IF($C203="",0,MAX(0,MAX(0,N($L203))-$V203))</f>
        <v/>
      </c>
      <c r="AK203">
        <f>IF($C203="",0,MAX(0,$AJ203-$W203))</f>
        <v/>
      </c>
      <c r="AL203">
        <f>IF($C203="",0,MAX(0,$AK203-$X203))</f>
        <v/>
      </c>
      <c r="AM203">
        <f>IF($C203="",0,MAX(0,$AL203-$Y203))</f>
        <v/>
      </c>
      <c r="AN203">
        <f>IF($C203="",0,MAX(0,$AM203-$Z203))</f>
        <v/>
      </c>
      <c r="AO203">
        <f>IF($C203="",0,MAX(0,$AN203-$AA203))</f>
        <v/>
      </c>
      <c r="AP203">
        <f>IF($C203="",0,MAX(0,$AO203-$AB203))</f>
        <v/>
      </c>
      <c r="AQ203">
        <f>IF($C203="",0,MAX(0,$AP203-$AC203))</f>
        <v/>
      </c>
      <c r="AR203">
        <f>IF($C203="",0,MAX(0,$AQ203-$AD203))</f>
        <v/>
      </c>
      <c r="AS203">
        <f>IF($C203="",0,MAX(0,$AR203-$AE203))</f>
        <v/>
      </c>
      <c r="AT203">
        <f>IF($C203="",0,MAX(0,$AS203-$AF203))</f>
        <v/>
      </c>
      <c r="AU203">
        <f>IF($C203="",0,MAX(0,$AT203-$AG203))</f>
        <v/>
      </c>
      <c r="AV203">
        <f>IF($C203="",0,MAX(0,$AU203-$AH203))</f>
        <v/>
      </c>
      <c r="AW203">
        <f>IF($C203="",0,MAX(0,$AV203-$AI203))</f>
        <v/>
      </c>
      <c r="AX203">
        <f>IF($C203="",0,MAX(0,MAX(0,N($L203))+IF($P203=V$3,$R203,0)+IF($S203=V$3,$U203,0)-$V203))</f>
        <v/>
      </c>
      <c r="AY203">
        <f>IF($C203="",0,MAX(0,$AX203+IF($P203=W$3,$R203,0)+IF($S203=W$3,$U203,0)-$W203))</f>
        <v/>
      </c>
      <c r="AZ203">
        <f>IF($C203="",0,MAX(0,$AY203+IF($P203=X$3,$R203,0)+IF($S203=X$3,$U203,0)-$X203))</f>
        <v/>
      </c>
      <c r="BA203">
        <f>IF($C203="",0,MAX(0,$AZ203+IF($P203=Y$3,$R203,0)+IF($S203=Y$3,$U203,0)-$Y203))</f>
        <v/>
      </c>
      <c r="BB203">
        <f>IF($C203="",0,MAX(0,$BA203+IF($P203=Z$3,$R203,0)+IF($S203=Z$3,$U203,0)-$Z203))</f>
        <v/>
      </c>
      <c r="BC203">
        <f>IF($C203="",0,MAX(0,$BB203+IF($P203=AA$3,$R203,0)+IF($S203=AA$3,$U203,0)-$AA203))</f>
        <v/>
      </c>
      <c r="BD203">
        <f>IF($C203="",0,MAX(0,$BC203+IF($P203=AB$3,$R203,0)+IF($S203=AB$3,$U203,0)-$AB203))</f>
        <v/>
      </c>
      <c r="BE203">
        <f>IF($C203="",0,MAX(0,$BD203+IF($P203=AC$3,$R203,0)+IF($S203=AC$3,$U203,0)-$AC203))</f>
        <v/>
      </c>
      <c r="BF203">
        <f>IF($C203="",0,MAX(0,$BE203+IF($P203=AD$3,$R203,0)+IF($S203=AD$3,$U203,0)-$AD203))</f>
        <v/>
      </c>
      <c r="BG203">
        <f>IF($C203="",0,MAX(0,$BF203+IF($P203=AE$3,$R203,0)+IF($S203=AE$3,$U203,0)-$AE203))</f>
        <v/>
      </c>
      <c r="BH203">
        <f>IF($C203="",0,MAX(0,$BG203+IF($P203=AF$3,$R203,0)+IF($S203=AF$3,$U203,0)-$AF203))</f>
        <v/>
      </c>
      <c r="BI203">
        <f>IF($C203="",0,MAX(0,$BH203+IF($P203=AG$3,$R203,0)+IF($S203=AG$3,$U203,0)-$AG203))</f>
        <v/>
      </c>
      <c r="BJ203">
        <f>IF($C203="",0,MAX(0,$BI203+IF($P203=AH$3,$R203,0)+IF($S203=AH$3,$U203,0)-$AH203))</f>
        <v/>
      </c>
      <c r="BK203">
        <f>IF($C203="",0,MAX(0,$BJ203+IF($P203=AI$3,$R203,0)+IF($S203=AI$3,$U203,0)-$AI203))</f>
        <v/>
      </c>
      <c r="BL203">
        <f>IF($C203="",99,IF(AND($AX203&lt;1,V$3&gt;=MAX(N($P203),N($S203))),0,99))</f>
        <v/>
      </c>
      <c r="BM203">
        <f>IF($C203="",99,IF(AND($AY203&lt;1,W$3&gt;=MAX(N($P203),N($S203))),1,99))</f>
        <v/>
      </c>
      <c r="BN203">
        <f>IF($C203="",99,IF(AND($AZ203&lt;1,X$3&gt;=MAX(N($P203),N($S203))),2,99))</f>
        <v/>
      </c>
      <c r="BO203">
        <f>IF($C203="",99,IF(AND($BA203&lt;1,Y$3&gt;=MAX(N($P203),N($S203))),3,99))</f>
        <v/>
      </c>
      <c r="BP203">
        <f>IF($C203="",99,IF(AND($BB203&lt;1,Z$3&gt;=MAX(N($P203),N($S203))),4,99))</f>
        <v/>
      </c>
      <c r="BQ203">
        <f>IF($C203="",99,IF(AND($BC203&lt;1,AA$3&gt;=MAX(N($P203),N($S203))),5,99))</f>
        <v/>
      </c>
      <c r="BR203">
        <f>IF($C203="",99,IF(AND($BD203&lt;1,AB$3&gt;=MAX(N($P203),N($S203))),6,99))</f>
        <v/>
      </c>
      <c r="BS203">
        <f>IF($C203="",99,IF(AND($BE203&lt;1,AC$3&gt;=MAX(N($P203),N($S203))),7,99))</f>
        <v/>
      </c>
      <c r="BT203">
        <f>IF($C203="",99,IF(AND($BF203&lt;1,AD$3&gt;=MAX(N($P203),N($S203))),8,99))</f>
        <v/>
      </c>
      <c r="BU203">
        <f>IF($C203="",99,IF(AND($BG203&lt;1,AE$3&gt;=MAX(N($P203),N($S203))),9,99))</f>
        <v/>
      </c>
      <c r="BV203">
        <f>IF($C203="",99,IF(AND($BH203&lt;1,AF$3&gt;=MAX(N($P203),N($S203))),10,99))</f>
        <v/>
      </c>
      <c r="BW203">
        <f>IF($C203="",99,IF(AND($BI203&lt;1,AG$3&gt;=MAX(N($P203),N($S203))),11,99))</f>
        <v/>
      </c>
      <c r="BX203">
        <f>IF($C203="",99,IF(AND($BJ203&lt;1,AH$3&gt;=MAX(N($P203),N($S203))),12,99))</f>
        <v/>
      </c>
      <c r="BY203">
        <f>IF($C203="",99,IF(AND($BK203&lt;1,AI$3&gt;=MAX(N($P203),N($S203))),13,99))</f>
        <v/>
      </c>
      <c r="BZ203">
        <f>IF(OR($C203="",$M203=""),"",COUNTIF($AJ203:$AW203,"&gt;=1"))</f>
        <v/>
      </c>
      <c r="CA203" s="90">
        <f>IF($BZ203="","",IF($BZ203&gt;=14,"",'設定'!$C$6+$BZ203))</f>
        <v/>
      </c>
      <c r="CB203">
        <f>IF(OR($C203="",$M203=""),"",MIN($BL203:$BY203))</f>
        <v/>
      </c>
      <c r="CC203" s="90">
        <f>IF($CB203="","",IF($CB203&gt;=99,"",'設定'!$C$6+$CB203))</f>
        <v/>
      </c>
      <c r="CD203">
        <f>IF(OR($C203="",$M203=""),"",AVERAGE($V203:$AI203))</f>
        <v/>
      </c>
      <c r="CE203">
        <f>IF($C203="","",IFERROR(IF(MATCH(IF(ISNUMBER($P203),$P203,'設定'!$C$6+N('設定'!$C$7)),$V$3:$AI$3,0)=1,MAX(0,N($L203)),INDEX($AJ203:$AW203,MATCH(IF(ISNUMBER($P203),$P203,'設定'!$C$6+N('設定'!$C$7)),$V$3:$AI$3,0)-1)),""))</f>
        <v/>
      </c>
      <c r="CF203">
        <f>IF(OR($C203="",$O203="",$CE203=""),"",IF($O203-$CE203&lt;=0,0,ROUNDUP(($O203-$CE203)/$G203,0)))</f>
        <v/>
      </c>
      <c r="CG203">
        <f>IF(OR($C203="",$CF203="",NOT(ISNUMBER($Q203))),0,MAX(0,$Q203-$CF203))</f>
        <v/>
      </c>
      <c r="CH203">
        <f>IF(OR($C203="",$O203="",$U203=0),0,IFERROR(ROUNDUP(MAX(0,IF(MATCH($S203,$V$3:$AI$3,0)=1,MAX(0,N($L203)),INDEX($AX203:$BK203,MATCH($S203,$V$3:$AI$3,0)-1))+$U203-$O203)/$G203,0),0))</f>
        <v/>
      </c>
      <c r="CI203">
        <f>IF($C203="","",IF(AND($P203="",$Q203=""),"",IF($P203="","⚠ 入庫日を ▼ から選んでください",IF(NOT(ISNUMBER($P203)),"⚠ 入庫日は ▼ から選んでください",IF($P203&lt;N('設定'!$C$6),"⚠ 入庫日が過去です（もう在庫に入っています）→ 消してください",IF($P203&gt;N('設定'!$C$6)+13,"⚠ 入庫日が14日より先です",IF(N($Q203)&lt;=0,"⚠ 入庫数を入れてください",IF($CG203&gt;0,"⚠ 目安より "&amp;$CG203&amp;" 多い（定数を超える）→ 減らす",""))))))))</f>
        <v/>
      </c>
      <c r="CJ203">
        <f>IF($C203="","",IF(AND($S203="",$T203=""),"",IF($S203="","⚠ 2便目：入庫日を ▼ から選んでください",IF(NOT(ISNUMBER($S203)),"⚠ 2便目：入庫日は ▼ から選んでください",IF($S203&lt;N('設定'!$C$6),"⚠ 2便目：入庫日が過去です（もう在庫に入っています）→ 消してください",IF($S203&gt;N('設定'!$C$6)+13,"⚠ 2便目：入庫日が14日より先です",IF(N($T203)&lt;=0,"⚠ 2便目：入庫数を入れてください",IF($CH203&gt;0,"⚠ 2便目：定数を "&amp;$CH203&amp;" ケース超える → 減らす",""))))))))</f>
        <v/>
      </c>
      <c r="CK203">
        <f>IF(AND($CI203="",N($Q203)&gt;0,ISNUMBER($P203)),1,0)</f>
        <v/>
      </c>
      <c r="CL203">
        <f>IF(AND($CJ203="",N($T203)&gt;0,ISNUMBER($S203)),1,0)</f>
        <v/>
      </c>
      <c r="CM203">
        <f>IF(OR($CK203=1,$CL203=1),1,0)</f>
        <v/>
      </c>
      <c r="CN203">
        <f>IF($C203="",0,($CK203*$R203+$CL203*$U203)*N($H203))</f>
        <v/>
      </c>
      <c r="CO203">
        <f>IF($C203="","",IF($CC203="","入庫後は 14日以上もつ",IF($CC203-N('設定'!$C$7)&lt;='設定'!$C$6,"入庫後も "&amp;TEXT($CC203,"m/d")&amp;"("&amp;CHOOSE(WEEKDAY($CC203),"日","月","火","水","木","金","土")&amp;")"&amp;" に切れる　もう1便を至急発注","入庫後も "&amp;TEXT($CC203,"m/d")&amp;"("&amp;CHOOSE(WEEKDAY($CC203),"日","月","火","水","木","金","土")&amp;")"&amp;" に切れる　"&amp;TEXT($CC203-N('設定'!$C$7),"m/d")&amp;"("&amp;CHOOSE(WEEKDAY($CC203-N('設定'!$C$7)),"日","月","火","水","木","金","土")&amp;")"&amp;" までに次を発注")))</f>
        <v/>
      </c>
      <c r="CP203">
        <f>IF($C203="","",IF('設定'!$C$6="","？ ①在庫を貼る に今日のCSVが貼られていない",IF($CS203=1,"－ 今日のCSVに無い（終売？）",IF($L203&lt;0,"● 在庫がマイナス　数えて「数えた在庫」に入れる",IF($L203=0,"● 在庫なし　至急発注",IF($M203="","？ 減り数が未設定（商品マスタ）",IF($B$3=0,"？ 動員が未入力（動員を入れる）",IF($CA203="","○ 14日以上もつ",IF($BZ203&lt;N('設定'!$C$7),"● "&amp;TEXT($CA203,"m/d")&amp;"("&amp;CHOOSE(WEEKDAY($CA203),"日","月","火","水","木","金","土")&amp;")"&amp;" に切れる　至急発注",IF($BZ203=N('設定'!$C$7),"● "&amp;TEXT($CA203,"m/d")&amp;"("&amp;CHOOSE(WEEKDAY($CA203),"日","月","火","水","木","金","土")&amp;")"&amp;" に切れる　今日発注","△ "&amp;TEXT($CA203,"m/d")&amp;"("&amp;CHOOSE(WEEKDAY($CA203),"日","月","火","水","木","金","土")&amp;")"&amp;" に切れる　"&amp;TEXT($CA203-N('設定'!$C$7),"m/d")&amp;"("&amp;CHOOSE(WEEKDAY($CA203-N('設定'!$C$7)),"日","月","火","水","木","金","土")&amp;")"&amp;" までに発注"))))))))))</f>
        <v/>
      </c>
      <c r="CQ203">
        <f>IF($C203="","",IF(AND($P203="",$Q203="",$S203="",$T203=""),"",IF(AND($P203="",$Q203=""),"⚠ 先に1便目（左の入庫日・入庫数）に入れてください",IF($CI203&lt;&gt;"",$CI203,IF($CJ203&lt;&gt;"",$CJ203,IF($M203="","？ 減り数が未設定（発注書には載ります）",IF($B$3=0,"？ 動員が未入力（発注書には載ります）",IF(AND($CA203&lt;&gt;"",$P203&gt;$CA203),IF($P203&gt;'設定'!$C$6+N('設定'!$C$7),"● "&amp;TEXT($P203,"m/d")&amp;"("&amp;CHOOSE(WEEKDAY($P203),"日","月","火","水","木","金","土")&amp;")"&amp;" の入庫では間に合わない（"&amp;TEXT($CA203,"m/d")&amp;"("&amp;CHOOSE(WEEKDAY($CA203),"日","月","火","水","木","金","土")&amp;")"&amp;" に切れる）　入庫日を早める","△ 欠品 "&amp;TEXT($CA203,"m/d")&amp;"("&amp;CHOOSE(WEEKDAY($CA203),"日","月","火","水","木","金","土")&amp;")"&amp;"〜"&amp;TEXT($P203-1,"m/d")&amp;"("&amp;CHOOSE(WEEKDAY($P203-1),"日","月","火","水","木","金","土")&amp;")"&amp;"　"&amp;$CO203),IF($CC203="","○ "&amp;TEXT($P203,"m/d")&amp;"("&amp;CHOOSE(WEEKDAY($P203),"日","月","火","水","木","金","土")&amp;")"&amp;" 入庫で 14日以上もつ",IF($CC203-N('設定'!$C$7)&lt;='設定'!$C$6,"● 入庫しても "&amp;TEXT($CC203,"m/d")&amp;"("&amp;CHOOSE(WEEKDAY($CC203),"日","月","火","水","木","金","土")&amp;")"&amp;" に切れる　もう1便を至急発注（2便目に入れる）","△ 入庫しても "&amp;TEXT($CC203,"m/d")&amp;"("&amp;CHOOSE(WEEKDAY($CC203),"日","月","火","水","木","金","土")&amp;")"&amp;" に切れる　"&amp;TEXT($CC203-N('設定'!$C$7),"m/d")&amp;"("&amp;CHOOSE(WEEKDAY($CC203-N('設定'!$C$7)),"日","月","火","水","木","金","土")&amp;")"&amp;" までに次を発注（2便目に入れる）"))))))))))</f>
        <v/>
      </c>
      <c r="CR203">
        <f>IF($C203="","",IF($G203&gt;1,"ｹｰｽ("&amp;$G203&amp;"入)","個"))</f>
        <v/>
      </c>
      <c r="CS203">
        <f>IF($C203="",0,IF(COUNTIFS('①在庫を貼る'!$V$6:$V$10005,'設定'!$C$4,'①在庫を貼る'!$W$6:$W$10005,$C203)=0,1,0))</f>
        <v/>
      </c>
      <c r="CT203">
        <f>IF(AND($CK203=1,OR('③発注書'!$C$4="すべて",'③発注書'!$C$4="",$F203='③発注書'!$C$4)),N($CT202)+1,N($CT202))</f>
        <v/>
      </c>
      <c r="CU203">
        <f>IF(AND($CL203=1,OR('③発注書'!$C$4="すべて",'③発注書'!$C$4="",$F203='③発注書'!$C$4)),N($CU202)+1,N($CU202))</f>
        <v/>
      </c>
      <c r="CV203">
        <f>IF($C203="",0,IF(COUNTIFS('①在庫を貼る'!$V$6:$V$10005,'設定'!$C$4,'①在庫を貼る'!$W$6:$W$10005,$C203)&gt;0,1,0))</f>
        <v/>
      </c>
      <c r="CW203">
        <f>IF($C203="",0,IF(COUNTIFS('月1回_1ヶ月前の在庫'!$V$6:$V$10005,'設定'!$C$4,'月1回_1ヶ月前の在庫'!$W$6:$W$10005,$C203)&gt;0,1,0))</f>
        <v/>
      </c>
      <c r="CX203">
        <f>IF($C203="",0,IF(COUNTIFS('月1回_2ヶ月前の在庫'!$V$6:$V$10005,'設定'!$C$4,'月1回_2ヶ月前の在庫'!$W$6:$W$10005,$C203)&gt;0,1,0))</f>
        <v/>
      </c>
      <c r="CY203">
        <f>IF(OR($C203="",'設定'!$C$12=""),"",IF('設定'!$C$13="",IF(AND($CV203=1,$CW203=0),"新商品（今月から）",IF(AND($CV203=0,$CW203=1),"終売（今月から）","")),IF(AND($CV203=1,$CW203=0,$CX203=0),"新商品（今月から）",IF(AND($CV203=1,$CW203=1,$CX203=0),"新商品（先月から）",IF(AND($CV203=0,$CW203=1,$CX203=1),"終売（今月から）",IF(AND($CV203=0,$CW203=0,$CX203=1),"終売（先月から）",IF(AND($CV203=1,$CW203=0,$CX203=1),"復活（先月は無し）","")))))))</f>
        <v/>
      </c>
    </row>
    <row r="204">
      <c r="B204">
        <f>IF(199&lt;='設定'!$C$11,199,"")</f>
        <v/>
      </c>
      <c r="C204">
        <f>IF($B204="","",IF($B204&lt;='設定'!$C$20,INDEX('商品マスタ'!$B$6:$B$1005,MATCH($B204,'商品マスタ'!$M$6:$M$1005,0)),IF($B204&lt;='設定'!$C$20+'設定'!$C$17,INDEX('①在庫を貼る'!$W$6:$W$10005,MATCH($B204-'設定'!$C$20,'①在庫を貼る'!$U$6:$U$10005,0)),IF($B204&lt;='設定'!$C$20+'設定'!$C$17+'設定'!$C$18,INDEX('月1回_1ヶ月前の在庫'!$W$6:$W$10005,MATCH($B204-'設定'!$C$20-'設定'!$C$17,'月1回_1ヶ月前の在庫'!$U$6:$U$10005,0)),INDEX('月1回_2ヶ月前の在庫'!$W$6:$W$10005,MATCH($B204-'設定'!$C$20-'設定'!$C$17-'設定'!$C$18,'月1回_2ヶ月前の在庫'!$U$6:$U$10005,0))))))</f>
        <v/>
      </c>
      <c r="D204">
        <f>IF($C204="","",IFERROR(IF(INDEX('商品マスタ'!$C$6:$C$1005,MATCH($C204,'商品マスタ'!$B$6:$B$1005,0))="",IFERROR(INDEX('①在庫を貼る'!$J$6:$J$10005,MATCH($C204,'①在庫を貼る'!$W$6:$W$10005,0)),IFERROR(INDEX('月1回_1ヶ月前の在庫'!$J$6:$J$10005,MATCH($C204,'月1回_1ヶ月前の在庫'!$W$6:$W$10005,0)),IFERROR(INDEX('月1回_2ヶ月前の在庫'!$J$6:$J$10005,MATCH($C204,'月1回_2ヶ月前の在庫'!$W$6:$W$10005,0)),""))),INDEX('商品マスタ'!$C$6:$C$1005,MATCH($C204,'商品マスタ'!$B$6:$B$1005,0))),IFERROR(INDEX('①在庫を貼る'!$J$6:$J$10005,MATCH($C204,'①在庫を貼る'!$W$6:$W$10005,0)),IFERROR(INDEX('月1回_1ヶ月前の在庫'!$J$6:$J$10005,MATCH($C204,'月1回_1ヶ月前の在庫'!$W$6:$W$10005,0)),IFERROR(INDEX('月1回_2ヶ月前の在庫'!$J$6:$J$10005,MATCH($C204,'月1回_2ヶ月前の在庫'!$W$6:$W$10005,0)),"")))))</f>
        <v/>
      </c>
      <c r="E204">
        <f>IF($C204="","",IFERROR(IF(INDEX('商品マスタ'!$D$6:$D$1005,MATCH($C204,'商品マスタ'!$B$6:$B$1005,0))="",IFERROR(INDEX('①在庫を貼る'!$H$6:$H$10005,MATCH($C204,'①在庫を貼る'!$W$6:$W$10005,0)),IFERROR(INDEX('月1回_1ヶ月前の在庫'!$H$6:$H$10005,MATCH($C204,'月1回_1ヶ月前の在庫'!$W$6:$W$10005,0)),IFERROR(INDEX('月1回_2ヶ月前の在庫'!$H$6:$H$10005,MATCH($C204,'月1回_2ヶ月前の在庫'!$W$6:$W$10005,0)),""))),INDEX('商品マスタ'!$D$6:$D$1005,MATCH($C204,'商品マスタ'!$B$6:$B$1005,0))),IFERROR(INDEX('①在庫を貼る'!$H$6:$H$10005,MATCH($C204,'①在庫を貼る'!$W$6:$W$10005,0)),IFERROR(INDEX('月1回_1ヶ月前の在庫'!$H$6:$H$10005,MATCH($C204,'月1回_1ヶ月前の在庫'!$W$6:$W$10005,0)),IFERROR(INDEX('月1回_2ヶ月前の在庫'!$H$6:$H$10005,MATCH($C204,'月1回_2ヶ月前の在庫'!$W$6:$W$10005,0)),"")))))</f>
        <v/>
      </c>
      <c r="F204">
        <f>IF($C204="","",IFERROR(IF(INDEX('商品マスタ'!$E$6:$E$1005,MATCH($C204,'商品マスタ'!$B$6:$B$1005,0))="",IFERROR(INDEX('①在庫を貼る'!$E$6:$E$10005,MATCH($C204,'①在庫を貼る'!$W$6:$W$10005,0)),IFERROR(INDEX('月1回_1ヶ月前の在庫'!$E$6:$E$10005,MATCH($C204,'月1回_1ヶ月前の在庫'!$W$6:$W$10005,0)),IFERROR(INDEX('月1回_2ヶ月前の在庫'!$E$6:$E$10005,MATCH($C204,'月1回_2ヶ月前の在庫'!$W$6:$W$10005,0)),""))),INDEX('商品マスタ'!$E$6:$E$1005,MATCH($C204,'商品マスタ'!$B$6:$B$1005,0))),IFERROR(INDEX('①在庫を貼る'!$E$6:$E$10005,MATCH($C204,'①在庫を貼る'!$W$6:$W$10005,0)),IFERROR(INDEX('月1回_1ヶ月前の在庫'!$E$6:$E$10005,MATCH($C204,'月1回_1ヶ月前の在庫'!$W$6:$W$10005,0)),IFERROR(INDEX('月1回_2ヶ月前の在庫'!$E$6:$E$10005,MATCH($C204,'月1回_2ヶ月前の在庫'!$W$6:$W$10005,0)),"")))))</f>
        <v/>
      </c>
      <c r="G204">
        <f>IF($C204="","",MAX(1,N(IFERROR(IF(INDEX('商品マスタ'!$F$6:$F$1005,MATCH($C204,'商品マスタ'!$B$6:$B$1005,0))="",IF(COUNTIFS('①在庫を貼る'!$V$6:$V$10005,'設定'!$C$4,'①在庫を貼る'!$W$6:$W$10005,$C204)&gt;0,SUMIFS('①在庫を貼る'!$K$6:$K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K$6:$K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K$6:$K$10005,'月1回_2ヶ月前の在庫'!$V$6:$V$10005,'設定'!$C$4,'月1回_2ヶ月前の在庫'!$W$6:$W$10005,$C204)/COUNTIFS('月1回_2ヶ月前の在庫'!$V$6:$V$10005,'設定'!$C$4,'月1回_2ヶ月前の在庫'!$W$6:$W$10005,$C204),0))),INDEX('商品マスタ'!$F$6:$F$1005,MATCH($C204,'商品マスタ'!$B$6:$B$1005,0))),IF(COUNTIFS('①在庫を貼る'!$V$6:$V$10005,'設定'!$C$4,'①在庫を貼る'!$W$6:$W$10005,$C204)&gt;0,SUMIFS('①在庫を貼る'!$K$6:$K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K$6:$K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K$6:$K$10005,'月1回_2ヶ月前の在庫'!$V$6:$V$10005,'設定'!$C$4,'月1回_2ヶ月前の在庫'!$W$6:$W$10005,$C204)/COUNTIFS('月1回_2ヶ月前の在庫'!$V$6:$V$10005,'設定'!$C$4,'月1回_2ヶ月前の在庫'!$W$6:$W$10005,$C204),0)))))))</f>
        <v/>
      </c>
      <c r="H204">
        <f>IF($C204="","",N(IFERROR(IF(INDEX('商品マスタ'!$G$6:$G$1005,MATCH($C204,'商品マスタ'!$B$6:$B$1005,0))="",IF(COUNTIFS('①在庫を貼る'!$V$6:$V$10005,'設定'!$C$4,'①在庫を貼る'!$W$6:$W$10005,$C204)&gt;0,SUMIFS('①在庫を貼る'!$Q$6:$Q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Q$6:$Q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Q$6:$Q$10005,'月1回_2ヶ月前の在庫'!$V$6:$V$10005,'設定'!$C$4,'月1回_2ヶ月前の在庫'!$W$6:$W$10005,$C204)/COUNTIFS('月1回_2ヶ月前の在庫'!$V$6:$V$10005,'設定'!$C$4,'月1回_2ヶ月前の在庫'!$W$6:$W$10005,$C204),0))),INDEX('商品マスタ'!$G$6:$G$1005,MATCH($C204,'商品マスタ'!$B$6:$B$1005,0))),IF(COUNTIFS('①在庫を貼る'!$V$6:$V$10005,'設定'!$C$4,'①在庫を貼る'!$W$6:$W$10005,$C204)&gt;0,SUMIFS('①在庫を貼る'!$Q$6:$Q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Q$6:$Q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Q$6:$Q$10005,'月1回_2ヶ月前の在庫'!$V$6:$V$10005,'設定'!$C$4,'月1回_2ヶ月前の在庫'!$W$6:$W$10005,$C204)/COUNTIFS('月1回_2ヶ月前の在庫'!$V$6:$V$10005,'設定'!$C$4,'月1回_2ヶ月前の在庫'!$W$6:$W$10005,$C204),0))))))</f>
        <v/>
      </c>
      <c r="I204">
        <f>IF($C204="","",IF(COUNTIFS('①在庫を貼る'!$V$6:$V$10005,'設定'!$C$4,'①在庫を貼る'!$W$6:$W$10005,$C204)=0,"",SUMIFS('①在庫を貼る'!$N$6:$N$10005,'①在庫を貼る'!$V$6:$V$10005,'設定'!$C$4,'①在庫を貼る'!$W$6:$W$10005,$C204)))</f>
        <v/>
      </c>
      <c r="J204">
        <f>IF($C204="","",IF('②発注する'!$AD208="","",'②発注する'!$AD208))</f>
        <v/>
      </c>
      <c r="K204" s="90">
        <f>IF($C204="","",IF('②発注する'!$AE208="","",'②発注する'!$AE208))</f>
        <v/>
      </c>
      <c r="L204">
        <f>IF($C204="","",IF(AND(ISNUMBER($J204),ISNUMBER($K204),$K204&gt;='設定'!$C$6),$J204,N($I204)))</f>
        <v/>
      </c>
      <c r="M204">
        <f>IF($C204="","",IFERROR(IF(N(INDEX('商品マスタ'!$J$6:$J$1005,MATCH($C204,'商品マスタ'!$B$6:$B$1005,0)))&gt;0,INDEX('商品マスタ'!$J$6:$J$1005,MATCH($C204,'商品マスタ'!$B$6:$B$1005,0)),""),""))</f>
        <v/>
      </c>
      <c r="N204">
        <f>IF($C204="","",IFERROR(IF(N(INDEX('商品マスタ'!$H$6:$H$1005,MATCH($C204,'商品マスタ'!$B$6:$B$1005,0)))&gt;0,INDEX('商品マスタ'!$H$6:$H$1005,MATCH($C204,'商品マスタ'!$B$6:$B$1005,0)),""),""))</f>
        <v/>
      </c>
      <c r="O204">
        <f>IF($C204="","",IF($N204&lt;&gt;"",$N204*$G204,IF(N(IF(COUNTIFS('①在庫を貼る'!$V$6:$V$10005,'設定'!$C$4,'①在庫を貼る'!$W$6:$W$10005,$C204)&gt;0,SUMIFS('①在庫を貼る'!$O$6:$O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O$6:$O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O$6:$O$10005,'月1回_2ヶ月前の在庫'!$V$6:$V$10005,'設定'!$C$4,'月1回_2ヶ月前の在庫'!$W$6:$W$10005,$C204)/COUNTIFS('月1回_2ヶ月前の在庫'!$V$6:$V$10005,'設定'!$C$4,'月1回_2ヶ月前の在庫'!$W$6:$W$10005,$C204),0))))&gt;0,N(IF(COUNTIFS('①在庫を貼る'!$V$6:$V$10005,'設定'!$C$4,'①在庫を貼る'!$W$6:$W$10005,$C204)&gt;0,SUMIFS('①在庫を貼る'!$O$6:$O$10005,'①在庫を貼る'!$V$6:$V$10005,'設定'!$C$4,'①在庫を貼る'!$W$6:$W$10005,$C204)/COUNTIFS('①在庫を貼る'!$V$6:$V$10005,'設定'!$C$4,'①在庫を貼る'!$W$6:$W$10005,$C204),IF(COUNTIFS('月1回_1ヶ月前の在庫'!$V$6:$V$10005,'設定'!$C$4,'月1回_1ヶ月前の在庫'!$W$6:$W$10005,$C204)&gt;0,SUMIFS('月1回_1ヶ月前の在庫'!$O$6:$O$10005,'月1回_1ヶ月前の在庫'!$V$6:$V$10005,'設定'!$C$4,'月1回_1ヶ月前の在庫'!$W$6:$W$10005,$C204)/COUNTIFS('月1回_1ヶ月前の在庫'!$V$6:$V$10005,'設定'!$C$4,'月1回_1ヶ月前の在庫'!$W$6:$W$10005,$C204),IF(COUNTIFS('月1回_2ヶ月前の在庫'!$V$6:$V$10005,'設定'!$C$4,'月1回_2ヶ月前の在庫'!$W$6:$W$10005,$C204)&gt;0,SUMIFS('月1回_2ヶ月前の在庫'!$O$6:$O$10005,'月1回_2ヶ月前の在庫'!$V$6:$V$10005,'設定'!$C$4,'月1回_2ヶ月前の在庫'!$W$6:$W$10005,$C204)/COUNTIFS('月1回_2ヶ月前の在庫'!$V$6:$V$10005,'設定'!$C$4,'月1回_2ヶ月前の在庫'!$W$6:$W$10005,$C204),0)))),"")))</f>
        <v/>
      </c>
      <c r="P204" s="90">
        <f>IF($C204="","",IF('②発注する'!$I208="","",'②発注する'!$I208))</f>
        <v/>
      </c>
      <c r="Q204">
        <f>IF($C204="","",IF('②発注する'!$J208="","",'②発注する'!$J208))</f>
        <v/>
      </c>
      <c r="R204">
        <f>IF($C204="",0,IF(AND(ISNUMBER($P204),ISNUMBER($Q204)),MAX(0,$Q204)*$G204,0))</f>
        <v/>
      </c>
      <c r="S204" s="90">
        <f>IF($C204="","",IF('②発注する'!$M208="","",'②発注する'!$M208))</f>
        <v/>
      </c>
      <c r="T204">
        <f>IF($C204="","",IF('②発注する'!$N208="","",'②発注する'!$N208))</f>
        <v/>
      </c>
      <c r="U204">
        <f>IF($C204="",0,IF(AND(ISNUMBER($S204),ISNUMBER($T204)),MAX(0,$T204)*$G204,0))</f>
        <v/>
      </c>
      <c r="V204">
        <f>IF($C204="",0,IF($M204="",0,MAX(0,$M204)*MAX(0,V$4)/100))</f>
        <v/>
      </c>
      <c r="W204">
        <f>IF($C204="",0,IF($M204="",0,MAX(0,$M204)*MAX(0,W$4)/100))</f>
        <v/>
      </c>
      <c r="X204">
        <f>IF($C204="",0,IF($M204="",0,MAX(0,$M204)*MAX(0,X$4)/100))</f>
        <v/>
      </c>
      <c r="Y204">
        <f>IF($C204="",0,IF($M204="",0,MAX(0,$M204)*MAX(0,Y$4)/100))</f>
        <v/>
      </c>
      <c r="Z204">
        <f>IF($C204="",0,IF($M204="",0,MAX(0,$M204)*MAX(0,Z$4)/100))</f>
        <v/>
      </c>
      <c r="AA204">
        <f>IF($C204="",0,IF($M204="",0,MAX(0,$M204)*MAX(0,AA$4)/100))</f>
        <v/>
      </c>
      <c r="AB204">
        <f>IF($C204="",0,IF($M204="",0,MAX(0,$M204)*MAX(0,AB$4)/100))</f>
        <v/>
      </c>
      <c r="AC204">
        <f>IF($C204="",0,IF($M204="",0,MAX(0,$M204)*MAX(0,AC$4)/100))</f>
        <v/>
      </c>
      <c r="AD204">
        <f>IF($C204="",0,IF($M204="",0,MAX(0,$M204)*MAX(0,AD$4)/100))</f>
        <v/>
      </c>
      <c r="AE204">
        <f>IF($C204="",0,IF($M204="",0,MAX(0,$M204)*MAX(0,AE$4)/100))</f>
        <v/>
      </c>
      <c r="AF204">
        <f>IF($C204="",0,IF($M204="",0,MAX(0,$M204)*MAX(0,AF$4)/100))</f>
        <v/>
      </c>
      <c r="AG204">
        <f>IF($C204="",0,IF($M204="",0,MAX(0,$M204)*MAX(0,AG$4)/100))</f>
        <v/>
      </c>
      <c r="AH204">
        <f>IF($C204="",0,IF($M204="",0,MAX(0,$M204)*MAX(0,AH$4)/100))</f>
        <v/>
      </c>
      <c r="AI204">
        <f>IF($C204="",0,IF($M204="",0,MAX(0,$M204)*MAX(0,AI$4)/100))</f>
        <v/>
      </c>
      <c r="AJ204">
        <f>IF($C204="",0,MAX(0,MAX(0,N($L204))-$V204))</f>
        <v/>
      </c>
      <c r="AK204">
        <f>IF($C204="",0,MAX(0,$AJ204-$W204))</f>
        <v/>
      </c>
      <c r="AL204">
        <f>IF($C204="",0,MAX(0,$AK204-$X204))</f>
        <v/>
      </c>
      <c r="AM204">
        <f>IF($C204="",0,MAX(0,$AL204-$Y204))</f>
        <v/>
      </c>
      <c r="AN204">
        <f>IF($C204="",0,MAX(0,$AM204-$Z204))</f>
        <v/>
      </c>
      <c r="AO204">
        <f>IF($C204="",0,MAX(0,$AN204-$AA204))</f>
        <v/>
      </c>
      <c r="AP204">
        <f>IF($C204="",0,MAX(0,$AO204-$AB204))</f>
        <v/>
      </c>
      <c r="AQ204">
        <f>IF($C204="",0,MAX(0,$AP204-$AC204))</f>
        <v/>
      </c>
      <c r="AR204">
        <f>IF($C204="",0,MAX(0,$AQ204-$AD204))</f>
        <v/>
      </c>
      <c r="AS204">
        <f>IF($C204="",0,MAX(0,$AR204-$AE204))</f>
        <v/>
      </c>
      <c r="AT204">
        <f>IF($C204="",0,MAX(0,$AS204-$AF204))</f>
        <v/>
      </c>
      <c r="AU204">
        <f>IF($C204="",0,MAX(0,$AT204-$AG204))</f>
        <v/>
      </c>
      <c r="AV204">
        <f>IF($C204="",0,MAX(0,$AU204-$AH204))</f>
        <v/>
      </c>
      <c r="AW204">
        <f>IF($C204="",0,MAX(0,$AV204-$AI204))</f>
        <v/>
      </c>
      <c r="AX204">
        <f>IF($C204="",0,MAX(0,MAX(0,N($L204))+IF($P204=V$3,$R204,0)+IF($S204=V$3,$U204,0)-$V204))</f>
        <v/>
      </c>
      <c r="AY204">
        <f>IF($C204="",0,MAX(0,$AX204+IF($P204=W$3,$R204,0)+IF($S204=W$3,$U204,0)-$W204))</f>
        <v/>
      </c>
      <c r="AZ204">
        <f>IF($C204="",0,MAX(0,$AY204+IF($P204=X$3,$R204,0)+IF($S204=X$3,$U204,0)-$X204))</f>
        <v/>
      </c>
      <c r="BA204">
        <f>IF($C204="",0,MAX(0,$AZ204+IF($P204=Y$3,$R204,0)+IF($S204=Y$3,$U204,0)-$Y204))</f>
        <v/>
      </c>
      <c r="BB204">
        <f>IF($C204="",0,MAX(0,$BA204+IF($P204=Z$3,$R204,0)+IF($S204=Z$3,$U204,0)-$Z204))</f>
        <v/>
      </c>
      <c r="BC204">
        <f>IF($C204="",0,MAX(0,$BB204+IF($P204=AA$3,$R204,0)+IF($S204=AA$3,$U204,0)-$AA204))</f>
        <v/>
      </c>
      <c r="BD204">
        <f>IF($C204="",0,MAX(0,$BC204+IF($P204=AB$3,$R204,0)+IF($S204=AB$3,$U204,0)-$AB204))</f>
        <v/>
      </c>
      <c r="BE204">
        <f>IF($C204="",0,MAX(0,$BD204+IF($P204=AC$3,$R204,0)+IF($S204=AC$3,$U204,0)-$AC204))</f>
        <v/>
      </c>
      <c r="BF204">
        <f>IF($C204="",0,MAX(0,$BE204+IF($P204=AD$3,$R204,0)+IF($S204=AD$3,$U204,0)-$AD204))</f>
        <v/>
      </c>
      <c r="BG204">
        <f>IF($C204="",0,MAX(0,$BF204+IF($P204=AE$3,$R204,0)+IF($S204=AE$3,$U204,0)-$AE204))</f>
        <v/>
      </c>
      <c r="BH204">
        <f>IF($C204="",0,MAX(0,$BG204+IF($P204=AF$3,$R204,0)+IF($S204=AF$3,$U204,0)-$AF204))</f>
        <v/>
      </c>
      <c r="BI204">
        <f>IF($C204="",0,MAX(0,$BH204+IF($P204=AG$3,$R204,0)+IF($S204=AG$3,$U204,0)-$AG204))</f>
        <v/>
      </c>
      <c r="BJ204">
        <f>IF($C204="",0,MAX(0,$BI204+IF($P204=AH$3,$R204,0)+IF($S204=AH$3,$U204,0)-$AH204))</f>
        <v/>
      </c>
      <c r="BK204">
        <f>IF($C204="",0,MAX(0,$BJ204+IF($P204=AI$3,$R204,0)+IF($S204=AI$3,$U204,0)-$AI204))</f>
        <v/>
      </c>
      <c r="BL204">
        <f>IF($C204="",99,IF(AND($AX204&lt;1,V$3&gt;=MAX(N($P204),N($S204))),0,99))</f>
        <v/>
      </c>
      <c r="BM204">
        <f>IF($C204="",99,IF(AND($AY204&lt;1,W$3&gt;=MAX(N($P204),N($S204))),1,99))</f>
        <v/>
      </c>
      <c r="BN204">
        <f>IF($C204="",99,IF(AND($AZ204&lt;1,X$3&gt;=MAX(N($P204),N($S204))),2,99))</f>
        <v/>
      </c>
      <c r="BO204">
        <f>IF($C204="",99,IF(AND($BA204&lt;1,Y$3&gt;=MAX(N($P204),N($S204))),3,99))</f>
        <v/>
      </c>
      <c r="BP204">
        <f>IF($C204="",99,IF(AND($BB204&lt;1,Z$3&gt;=MAX(N($P204),N($S204))),4,99))</f>
        <v/>
      </c>
      <c r="BQ204">
        <f>IF($C204="",99,IF(AND($BC204&lt;1,AA$3&gt;=MAX(N($P204),N($S204))),5,99))</f>
        <v/>
      </c>
      <c r="BR204">
        <f>IF($C204="",99,IF(AND($BD204&lt;1,AB$3&gt;=MAX(N($P204),N($S204))),6,99))</f>
        <v/>
      </c>
      <c r="BS204">
        <f>IF($C204="",99,IF(AND($BE204&lt;1,AC$3&gt;=MAX(N($P204),N($S204))),7,99))</f>
        <v/>
      </c>
      <c r="BT204">
        <f>IF($C204="",99,IF(AND($BF204&lt;1,AD$3&gt;=MAX(N($P204),N($S204))),8,99))</f>
        <v/>
      </c>
      <c r="BU204">
        <f>IF($C204="",99,IF(AND($BG204&lt;1,AE$3&gt;=MAX(N($P204),N($S204))),9,99))</f>
        <v/>
      </c>
      <c r="BV204">
        <f>IF($C204="",99,IF(AND($BH204&lt;1,AF$3&gt;=MAX(N($P204),N($S204))),10,99))</f>
        <v/>
      </c>
      <c r="BW204">
        <f>IF($C204="",99,IF(AND($BI204&lt;1,AG$3&gt;=MAX(N($P204),N($S204))),11,99))</f>
        <v/>
      </c>
      <c r="BX204">
        <f>IF($C204="",99,IF(AND($BJ204&lt;1,AH$3&gt;=MAX(N($P204),N($S204))),12,99))</f>
        <v/>
      </c>
      <c r="BY204">
        <f>IF($C204="",99,IF(AND($BK204&lt;1,AI$3&gt;=MAX(N($P204),N($S204))),13,99))</f>
        <v/>
      </c>
      <c r="BZ204">
        <f>IF(OR($C204="",$M204=""),"",COUNTIF($AJ204:$AW204,"&gt;=1"))</f>
        <v/>
      </c>
      <c r="CA204" s="90">
        <f>IF($BZ204="","",IF($BZ204&gt;=14,"",'設定'!$C$6+$BZ204))</f>
        <v/>
      </c>
      <c r="CB204">
        <f>IF(OR($C204="",$M204=""),"",MIN($BL204:$BY204))</f>
        <v/>
      </c>
      <c r="CC204" s="90">
        <f>IF($CB204="","",IF($CB204&gt;=99,"",'設定'!$C$6+$CB204))</f>
        <v/>
      </c>
      <c r="CD204">
        <f>IF(OR($C204="",$M204=""),"",AVERAGE($V204:$AI204))</f>
        <v/>
      </c>
      <c r="CE204">
        <f>IF($C204="","",IFERROR(IF(MATCH(IF(ISNUMBER($P204),$P204,'設定'!$C$6+N('設定'!$C$7)),$V$3:$AI$3,0)=1,MAX(0,N($L204)),INDEX($AJ204:$AW204,MATCH(IF(ISNUMBER($P204),$P204,'設定'!$C$6+N('設定'!$C$7)),$V$3:$AI$3,0)-1)),""))</f>
        <v/>
      </c>
      <c r="CF204">
        <f>IF(OR($C204="",$O204="",$CE204=""),"",IF($O204-$CE204&lt;=0,0,ROUNDUP(($O204-$CE204)/$G204,0)))</f>
        <v/>
      </c>
      <c r="CG204">
        <f>IF(OR($C204="",$CF204="",NOT(ISNUMBER($Q204))),0,MAX(0,$Q204-$CF204))</f>
        <v/>
      </c>
      <c r="CH204">
        <f>IF(OR($C204="",$O204="",$U204=0),0,IFERROR(ROUNDUP(MAX(0,IF(MATCH($S204,$V$3:$AI$3,0)=1,MAX(0,N($L204)),INDEX($AX204:$BK204,MATCH($S204,$V$3:$AI$3,0)-1))+$U204-$O204)/$G204,0),0))</f>
        <v/>
      </c>
      <c r="CI204">
        <f>IF($C204="","",IF(AND($P204="",$Q204=""),"",IF($P204="","⚠ 入庫日を ▼ から選んでください",IF(NOT(ISNUMBER($P204)),"⚠ 入庫日は ▼ から選んでください",IF($P204&lt;N('設定'!$C$6),"⚠ 入庫日が過去です（もう在庫に入っています）→ 消してください",IF($P204&gt;N('設定'!$C$6)+13,"⚠ 入庫日が14日より先です",IF(N($Q204)&lt;=0,"⚠ 入庫数を入れてください",IF($CG204&gt;0,"⚠ 目安より "&amp;$CG204&amp;" 多い（定数を超える）→ 減らす",""))))))))</f>
        <v/>
      </c>
      <c r="CJ204">
        <f>IF($C204="","",IF(AND($S204="",$T204=""),"",IF($S204="","⚠ 2便目：入庫日を ▼ から選んでください",IF(NOT(ISNUMBER($S204)),"⚠ 2便目：入庫日は ▼ から選んでください",IF($S204&lt;N('設定'!$C$6),"⚠ 2便目：入庫日が過去です（もう在庫に入っています）→ 消してください",IF($S204&gt;N('設定'!$C$6)+13,"⚠ 2便目：入庫日が14日より先です",IF(N($T204)&lt;=0,"⚠ 2便目：入庫数を入れてください",IF($CH204&gt;0,"⚠ 2便目：定数を "&amp;$CH204&amp;" ケース超える → 減らす",""))))))))</f>
        <v/>
      </c>
      <c r="CK204">
        <f>IF(AND($CI204="",N($Q204)&gt;0,ISNUMBER($P204)),1,0)</f>
        <v/>
      </c>
      <c r="CL204">
        <f>IF(AND($CJ204="",N($T204)&gt;0,ISNUMBER($S204)),1,0)</f>
        <v/>
      </c>
      <c r="CM204">
        <f>IF(OR($CK204=1,$CL204=1),1,0)</f>
        <v/>
      </c>
      <c r="CN204">
        <f>IF($C204="",0,($CK204*$R204+$CL204*$U204)*N($H204))</f>
        <v/>
      </c>
      <c r="CO204">
        <f>IF($C204="","",IF($CC204="","入庫後は 14日以上もつ",IF($CC204-N('設定'!$C$7)&lt;='設定'!$C$6,"入庫後も "&amp;TEXT($CC204,"m/d")&amp;"("&amp;CHOOSE(WEEKDAY($CC204),"日","月","火","水","木","金","土")&amp;")"&amp;" に切れる　もう1便を至急発注","入庫後も "&amp;TEXT($CC204,"m/d")&amp;"("&amp;CHOOSE(WEEKDAY($CC204),"日","月","火","水","木","金","土")&amp;")"&amp;" に切れる　"&amp;TEXT($CC204-N('設定'!$C$7),"m/d")&amp;"("&amp;CHOOSE(WEEKDAY($CC204-N('設定'!$C$7)),"日","月","火","水","木","金","土")&amp;")"&amp;" までに次を発注")))</f>
        <v/>
      </c>
      <c r="CP204">
        <f>IF($C204="","",IF('設定'!$C$6="","？ ①在庫を貼る に今日のCSVが貼られていない",IF($CS204=1,"－ 今日のCSVに無い（終売？）",IF($L204&lt;0,"● 在庫がマイナス　数えて「数えた在庫」に入れる",IF($L204=0,"● 在庫なし　至急発注",IF($M204="","？ 減り数が未設定（商品マスタ）",IF($B$3=0,"？ 動員が未入力（動員を入れる）",IF($CA204="","○ 14日以上もつ",IF($BZ204&lt;N('設定'!$C$7),"● "&amp;TEXT($CA204,"m/d")&amp;"("&amp;CHOOSE(WEEKDAY($CA204),"日","月","火","水","木","金","土")&amp;")"&amp;" に切れる　至急発注",IF($BZ204=N('設定'!$C$7),"● "&amp;TEXT($CA204,"m/d")&amp;"("&amp;CHOOSE(WEEKDAY($CA204),"日","月","火","水","木","金","土")&amp;")"&amp;" に切れる　今日発注","△ "&amp;TEXT($CA204,"m/d")&amp;"("&amp;CHOOSE(WEEKDAY($CA204),"日","月","火","水","木","金","土")&amp;")"&amp;" に切れる　"&amp;TEXT($CA204-N('設定'!$C$7),"m/d")&amp;"("&amp;CHOOSE(WEEKDAY($CA204-N('設定'!$C$7)),"日","月","火","水","木","金","土")&amp;")"&amp;" までに発注"))))))))))</f>
        <v/>
      </c>
      <c r="CQ204">
        <f>IF($C204="","",IF(AND($P204="",$Q204="",$S204="",$T204=""),"",IF(AND($P204="",$Q204=""),"⚠ 先に1便目（左の入庫日・入庫数）に入れてください",IF($CI204&lt;&gt;"",$CI204,IF($CJ204&lt;&gt;"",$CJ204,IF($M204="","？ 減り数が未設定（発注書には載ります）",IF($B$3=0,"？ 動員が未入力（発注書には載ります）",IF(AND($CA204&lt;&gt;"",$P204&gt;$CA204),IF($P204&gt;'設定'!$C$6+N('設定'!$C$7),"● "&amp;TEXT($P204,"m/d")&amp;"("&amp;CHOOSE(WEEKDAY($P204),"日","月","火","水","木","金","土")&amp;")"&amp;" の入庫では間に合わない（"&amp;TEXT($CA204,"m/d")&amp;"("&amp;CHOOSE(WEEKDAY($CA204),"日","月","火","水","木","金","土")&amp;")"&amp;" に切れる）　入庫日を早める","△ 欠品 "&amp;TEXT($CA204,"m/d")&amp;"("&amp;CHOOSE(WEEKDAY($CA204),"日","月","火","水","木","金","土")&amp;")"&amp;"〜"&amp;TEXT($P204-1,"m/d")&amp;"("&amp;CHOOSE(WEEKDAY($P204-1),"日","月","火","水","木","金","土")&amp;")"&amp;"　"&amp;$CO204),IF($CC204="","○ "&amp;TEXT($P204,"m/d")&amp;"("&amp;CHOOSE(WEEKDAY($P204),"日","月","火","水","木","金","土")&amp;")"&amp;" 入庫で 14日以上もつ",IF($CC204-N('設定'!$C$7)&lt;='設定'!$C$6,"● 入庫しても "&amp;TEXT($CC204,"m/d")&amp;"("&amp;CHOOSE(WEEKDAY($CC204),"日","月","火","水","木","金","土")&amp;")"&amp;" に切れる　もう1便を至急発注（2便目に入れる）","△ 入庫しても "&amp;TEXT($CC204,"m/d")&amp;"("&amp;CHOOSE(WEEKDAY($CC204),"日","月","火","水","木","金","土")&amp;")"&amp;" に切れる　"&amp;TEXT($CC204-N('設定'!$C$7),"m/d")&amp;"("&amp;CHOOSE(WEEKDAY($CC204-N('設定'!$C$7)),"日","月","火","水","木","金","土")&amp;")"&amp;" までに次を発注（2便目に入れる）"))))))))))</f>
        <v/>
      </c>
      <c r="CR204">
        <f>IF($C204="","",IF($G204&gt;1,"ｹｰｽ("&amp;$G204&amp;"入)","個"))</f>
        <v/>
      </c>
      <c r="CS204">
        <f>IF($C204="",0,IF(COUNTIFS('①在庫を貼る'!$V$6:$V$10005,'設定'!$C$4,'①在庫を貼る'!$W$6:$W$10005,$C204)=0,1,0))</f>
        <v/>
      </c>
      <c r="CT204">
        <f>IF(AND($CK204=1,OR('③発注書'!$C$4="すべて",'③発注書'!$C$4="",$F204='③発注書'!$C$4)),N($CT203)+1,N($CT203))</f>
        <v/>
      </c>
      <c r="CU204">
        <f>IF(AND($CL204=1,OR('③発注書'!$C$4="すべて",'③発注書'!$C$4="",$F204='③発注書'!$C$4)),N($CU203)+1,N($CU203))</f>
        <v/>
      </c>
      <c r="CV204">
        <f>IF($C204="",0,IF(COUNTIFS('①在庫を貼る'!$V$6:$V$10005,'設定'!$C$4,'①在庫を貼る'!$W$6:$W$10005,$C204)&gt;0,1,0))</f>
        <v/>
      </c>
      <c r="CW204">
        <f>IF($C204="",0,IF(COUNTIFS('月1回_1ヶ月前の在庫'!$V$6:$V$10005,'設定'!$C$4,'月1回_1ヶ月前の在庫'!$W$6:$W$10005,$C204)&gt;0,1,0))</f>
        <v/>
      </c>
      <c r="CX204">
        <f>IF($C204="",0,IF(COUNTIFS('月1回_2ヶ月前の在庫'!$V$6:$V$10005,'設定'!$C$4,'月1回_2ヶ月前の在庫'!$W$6:$W$10005,$C204)&gt;0,1,0))</f>
        <v/>
      </c>
      <c r="CY204">
        <f>IF(OR($C204="",'設定'!$C$12=""),"",IF('設定'!$C$13="",IF(AND($CV204=1,$CW204=0),"新商品（今月から）",IF(AND($CV204=0,$CW204=1),"終売（今月から）","")),IF(AND($CV204=1,$CW204=0,$CX204=0),"新商品（今月から）",IF(AND($CV204=1,$CW204=1,$CX204=0),"新商品（先月から）",IF(AND($CV204=0,$CW204=1,$CX204=1),"終売（今月から）",IF(AND($CV204=0,$CW204=0,$CX204=1),"終売（先月から）",IF(AND($CV204=1,$CW204=0,$CX204=1),"復活（先月は無し）","")))))))</f>
        <v/>
      </c>
    </row>
    <row r="205">
      <c r="B205">
        <f>IF(200&lt;='設定'!$C$11,200,"")</f>
        <v/>
      </c>
      <c r="C205">
        <f>IF($B205="","",IF($B205&lt;='設定'!$C$20,INDEX('商品マスタ'!$B$6:$B$1005,MATCH($B205,'商品マスタ'!$M$6:$M$1005,0)),IF($B205&lt;='設定'!$C$20+'設定'!$C$17,INDEX('①在庫を貼る'!$W$6:$W$10005,MATCH($B205-'設定'!$C$20,'①在庫を貼る'!$U$6:$U$10005,0)),IF($B205&lt;='設定'!$C$20+'設定'!$C$17+'設定'!$C$18,INDEX('月1回_1ヶ月前の在庫'!$W$6:$W$10005,MATCH($B205-'設定'!$C$20-'設定'!$C$17,'月1回_1ヶ月前の在庫'!$U$6:$U$10005,0)),INDEX('月1回_2ヶ月前の在庫'!$W$6:$W$10005,MATCH($B205-'設定'!$C$20-'設定'!$C$17-'設定'!$C$18,'月1回_2ヶ月前の在庫'!$U$6:$U$10005,0))))))</f>
        <v/>
      </c>
      <c r="D205">
        <f>IF($C205="","",IFERROR(IF(INDEX('商品マスタ'!$C$6:$C$1005,MATCH($C205,'商品マスタ'!$B$6:$B$1005,0))="",IFERROR(INDEX('①在庫を貼る'!$J$6:$J$10005,MATCH($C205,'①在庫を貼る'!$W$6:$W$10005,0)),IFERROR(INDEX('月1回_1ヶ月前の在庫'!$J$6:$J$10005,MATCH($C205,'月1回_1ヶ月前の在庫'!$W$6:$W$10005,0)),IFERROR(INDEX('月1回_2ヶ月前の在庫'!$J$6:$J$10005,MATCH($C205,'月1回_2ヶ月前の在庫'!$W$6:$W$10005,0)),""))),INDEX('商品マスタ'!$C$6:$C$1005,MATCH($C205,'商品マスタ'!$B$6:$B$1005,0))),IFERROR(INDEX('①在庫を貼る'!$J$6:$J$10005,MATCH($C205,'①在庫を貼る'!$W$6:$W$10005,0)),IFERROR(INDEX('月1回_1ヶ月前の在庫'!$J$6:$J$10005,MATCH($C205,'月1回_1ヶ月前の在庫'!$W$6:$W$10005,0)),IFERROR(INDEX('月1回_2ヶ月前の在庫'!$J$6:$J$10005,MATCH($C205,'月1回_2ヶ月前の在庫'!$W$6:$W$10005,0)),"")))))</f>
        <v/>
      </c>
      <c r="E205">
        <f>IF($C205="","",IFERROR(IF(INDEX('商品マスタ'!$D$6:$D$1005,MATCH($C205,'商品マスタ'!$B$6:$B$1005,0))="",IFERROR(INDEX('①在庫を貼る'!$H$6:$H$10005,MATCH($C205,'①在庫を貼る'!$W$6:$W$10005,0)),IFERROR(INDEX('月1回_1ヶ月前の在庫'!$H$6:$H$10005,MATCH($C205,'月1回_1ヶ月前の在庫'!$W$6:$W$10005,0)),IFERROR(INDEX('月1回_2ヶ月前の在庫'!$H$6:$H$10005,MATCH($C205,'月1回_2ヶ月前の在庫'!$W$6:$W$10005,0)),""))),INDEX('商品マスタ'!$D$6:$D$1005,MATCH($C205,'商品マスタ'!$B$6:$B$1005,0))),IFERROR(INDEX('①在庫を貼る'!$H$6:$H$10005,MATCH($C205,'①在庫を貼る'!$W$6:$W$10005,0)),IFERROR(INDEX('月1回_1ヶ月前の在庫'!$H$6:$H$10005,MATCH($C205,'月1回_1ヶ月前の在庫'!$W$6:$W$10005,0)),IFERROR(INDEX('月1回_2ヶ月前の在庫'!$H$6:$H$10005,MATCH($C205,'月1回_2ヶ月前の在庫'!$W$6:$W$10005,0)),"")))))</f>
        <v/>
      </c>
      <c r="F205">
        <f>IF($C205="","",IFERROR(IF(INDEX('商品マスタ'!$E$6:$E$1005,MATCH($C205,'商品マスタ'!$B$6:$B$1005,0))="",IFERROR(INDEX('①在庫を貼る'!$E$6:$E$10005,MATCH($C205,'①在庫を貼る'!$W$6:$W$10005,0)),IFERROR(INDEX('月1回_1ヶ月前の在庫'!$E$6:$E$10005,MATCH($C205,'月1回_1ヶ月前の在庫'!$W$6:$W$10005,0)),IFERROR(INDEX('月1回_2ヶ月前の在庫'!$E$6:$E$10005,MATCH($C205,'月1回_2ヶ月前の在庫'!$W$6:$W$10005,0)),""))),INDEX('商品マスタ'!$E$6:$E$1005,MATCH($C205,'商品マスタ'!$B$6:$B$1005,0))),IFERROR(INDEX('①在庫を貼る'!$E$6:$E$10005,MATCH($C205,'①在庫を貼る'!$W$6:$W$10005,0)),IFERROR(INDEX('月1回_1ヶ月前の在庫'!$E$6:$E$10005,MATCH($C205,'月1回_1ヶ月前の在庫'!$W$6:$W$10005,0)),IFERROR(INDEX('月1回_2ヶ月前の在庫'!$E$6:$E$10005,MATCH($C205,'月1回_2ヶ月前の在庫'!$W$6:$W$10005,0)),"")))))</f>
        <v/>
      </c>
      <c r="G205">
        <f>IF($C205="","",MAX(1,N(IFERROR(IF(INDEX('商品マスタ'!$F$6:$F$1005,MATCH($C205,'商品マスタ'!$B$6:$B$1005,0))="",IF(COUNTIFS('①在庫を貼る'!$V$6:$V$10005,'設定'!$C$4,'①在庫を貼る'!$W$6:$W$10005,$C205)&gt;0,SUMIFS('①在庫を貼る'!$K$6:$K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K$6:$K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K$6:$K$10005,'月1回_2ヶ月前の在庫'!$V$6:$V$10005,'設定'!$C$4,'月1回_2ヶ月前の在庫'!$W$6:$W$10005,$C205)/COUNTIFS('月1回_2ヶ月前の在庫'!$V$6:$V$10005,'設定'!$C$4,'月1回_2ヶ月前の在庫'!$W$6:$W$10005,$C205),0))),INDEX('商品マスタ'!$F$6:$F$1005,MATCH($C205,'商品マスタ'!$B$6:$B$1005,0))),IF(COUNTIFS('①在庫を貼る'!$V$6:$V$10005,'設定'!$C$4,'①在庫を貼る'!$W$6:$W$10005,$C205)&gt;0,SUMIFS('①在庫を貼る'!$K$6:$K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K$6:$K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K$6:$K$10005,'月1回_2ヶ月前の在庫'!$V$6:$V$10005,'設定'!$C$4,'月1回_2ヶ月前の在庫'!$W$6:$W$10005,$C205)/COUNTIFS('月1回_2ヶ月前の在庫'!$V$6:$V$10005,'設定'!$C$4,'月1回_2ヶ月前の在庫'!$W$6:$W$10005,$C205),0)))))))</f>
        <v/>
      </c>
      <c r="H205">
        <f>IF($C205="","",N(IFERROR(IF(INDEX('商品マスタ'!$G$6:$G$1005,MATCH($C205,'商品マスタ'!$B$6:$B$1005,0))="",IF(COUNTIFS('①在庫を貼る'!$V$6:$V$10005,'設定'!$C$4,'①在庫を貼る'!$W$6:$W$10005,$C205)&gt;0,SUMIFS('①在庫を貼る'!$Q$6:$Q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Q$6:$Q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Q$6:$Q$10005,'月1回_2ヶ月前の在庫'!$V$6:$V$10005,'設定'!$C$4,'月1回_2ヶ月前の在庫'!$W$6:$W$10005,$C205)/COUNTIFS('月1回_2ヶ月前の在庫'!$V$6:$V$10005,'設定'!$C$4,'月1回_2ヶ月前の在庫'!$W$6:$W$10005,$C205),0))),INDEX('商品マスタ'!$G$6:$G$1005,MATCH($C205,'商品マスタ'!$B$6:$B$1005,0))),IF(COUNTIFS('①在庫を貼る'!$V$6:$V$10005,'設定'!$C$4,'①在庫を貼る'!$W$6:$W$10005,$C205)&gt;0,SUMIFS('①在庫を貼る'!$Q$6:$Q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Q$6:$Q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Q$6:$Q$10005,'月1回_2ヶ月前の在庫'!$V$6:$V$10005,'設定'!$C$4,'月1回_2ヶ月前の在庫'!$W$6:$W$10005,$C205)/COUNTIFS('月1回_2ヶ月前の在庫'!$V$6:$V$10005,'設定'!$C$4,'月1回_2ヶ月前の在庫'!$W$6:$W$10005,$C205),0))))))</f>
        <v/>
      </c>
      <c r="I205">
        <f>IF($C205="","",IF(COUNTIFS('①在庫を貼る'!$V$6:$V$10005,'設定'!$C$4,'①在庫を貼る'!$W$6:$W$10005,$C205)=0,"",SUMIFS('①在庫を貼る'!$N$6:$N$10005,'①在庫を貼る'!$V$6:$V$10005,'設定'!$C$4,'①在庫を貼る'!$W$6:$W$10005,$C205)))</f>
        <v/>
      </c>
      <c r="J205">
        <f>IF($C205="","",IF('②発注する'!$AD209="","",'②発注する'!$AD209))</f>
        <v/>
      </c>
      <c r="K205" s="90">
        <f>IF($C205="","",IF('②発注する'!$AE209="","",'②発注する'!$AE209))</f>
        <v/>
      </c>
      <c r="L205">
        <f>IF($C205="","",IF(AND(ISNUMBER($J205),ISNUMBER($K205),$K205&gt;='設定'!$C$6),$J205,N($I205)))</f>
        <v/>
      </c>
      <c r="M205">
        <f>IF($C205="","",IFERROR(IF(N(INDEX('商品マスタ'!$J$6:$J$1005,MATCH($C205,'商品マスタ'!$B$6:$B$1005,0)))&gt;0,INDEX('商品マスタ'!$J$6:$J$1005,MATCH($C205,'商品マスタ'!$B$6:$B$1005,0)),""),""))</f>
        <v/>
      </c>
      <c r="N205">
        <f>IF($C205="","",IFERROR(IF(N(INDEX('商品マスタ'!$H$6:$H$1005,MATCH($C205,'商品マスタ'!$B$6:$B$1005,0)))&gt;0,INDEX('商品マスタ'!$H$6:$H$1005,MATCH($C205,'商品マスタ'!$B$6:$B$1005,0)),""),""))</f>
        <v/>
      </c>
      <c r="O205">
        <f>IF($C205="","",IF($N205&lt;&gt;"",$N205*$G205,IF(N(IF(COUNTIFS('①在庫を貼る'!$V$6:$V$10005,'設定'!$C$4,'①在庫を貼る'!$W$6:$W$10005,$C205)&gt;0,SUMIFS('①在庫を貼る'!$O$6:$O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O$6:$O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O$6:$O$10005,'月1回_2ヶ月前の在庫'!$V$6:$V$10005,'設定'!$C$4,'月1回_2ヶ月前の在庫'!$W$6:$W$10005,$C205)/COUNTIFS('月1回_2ヶ月前の在庫'!$V$6:$V$10005,'設定'!$C$4,'月1回_2ヶ月前の在庫'!$W$6:$W$10005,$C205),0))))&gt;0,N(IF(COUNTIFS('①在庫を貼る'!$V$6:$V$10005,'設定'!$C$4,'①在庫を貼る'!$W$6:$W$10005,$C205)&gt;0,SUMIFS('①在庫を貼る'!$O$6:$O$10005,'①在庫を貼る'!$V$6:$V$10005,'設定'!$C$4,'①在庫を貼る'!$W$6:$W$10005,$C205)/COUNTIFS('①在庫を貼る'!$V$6:$V$10005,'設定'!$C$4,'①在庫を貼る'!$W$6:$W$10005,$C205),IF(COUNTIFS('月1回_1ヶ月前の在庫'!$V$6:$V$10005,'設定'!$C$4,'月1回_1ヶ月前の在庫'!$W$6:$W$10005,$C205)&gt;0,SUMIFS('月1回_1ヶ月前の在庫'!$O$6:$O$10005,'月1回_1ヶ月前の在庫'!$V$6:$V$10005,'設定'!$C$4,'月1回_1ヶ月前の在庫'!$W$6:$W$10005,$C205)/COUNTIFS('月1回_1ヶ月前の在庫'!$V$6:$V$10005,'設定'!$C$4,'月1回_1ヶ月前の在庫'!$W$6:$W$10005,$C205),IF(COUNTIFS('月1回_2ヶ月前の在庫'!$V$6:$V$10005,'設定'!$C$4,'月1回_2ヶ月前の在庫'!$W$6:$W$10005,$C205)&gt;0,SUMIFS('月1回_2ヶ月前の在庫'!$O$6:$O$10005,'月1回_2ヶ月前の在庫'!$V$6:$V$10005,'設定'!$C$4,'月1回_2ヶ月前の在庫'!$W$6:$W$10005,$C205)/COUNTIFS('月1回_2ヶ月前の在庫'!$V$6:$V$10005,'設定'!$C$4,'月1回_2ヶ月前の在庫'!$W$6:$W$10005,$C205),0)))),"")))</f>
        <v/>
      </c>
      <c r="P205" s="90">
        <f>IF($C205="","",IF('②発注する'!$I209="","",'②発注する'!$I209))</f>
        <v/>
      </c>
      <c r="Q205">
        <f>IF($C205="","",IF('②発注する'!$J209="","",'②発注する'!$J209))</f>
        <v/>
      </c>
      <c r="R205">
        <f>IF($C205="",0,IF(AND(ISNUMBER($P205),ISNUMBER($Q205)),MAX(0,$Q205)*$G205,0))</f>
        <v/>
      </c>
      <c r="S205" s="90">
        <f>IF($C205="","",IF('②発注する'!$M209="","",'②発注する'!$M209))</f>
        <v/>
      </c>
      <c r="T205">
        <f>IF($C205="","",IF('②発注する'!$N209="","",'②発注する'!$N209))</f>
        <v/>
      </c>
      <c r="U205">
        <f>IF($C205="",0,IF(AND(ISNUMBER($S205),ISNUMBER($T205)),MAX(0,$T205)*$G205,0))</f>
        <v/>
      </c>
      <c r="V205">
        <f>IF($C205="",0,IF($M205="",0,MAX(0,$M205)*MAX(0,V$4)/100))</f>
        <v/>
      </c>
      <c r="W205">
        <f>IF($C205="",0,IF($M205="",0,MAX(0,$M205)*MAX(0,W$4)/100))</f>
        <v/>
      </c>
      <c r="X205">
        <f>IF($C205="",0,IF($M205="",0,MAX(0,$M205)*MAX(0,X$4)/100))</f>
        <v/>
      </c>
      <c r="Y205">
        <f>IF($C205="",0,IF($M205="",0,MAX(0,$M205)*MAX(0,Y$4)/100))</f>
        <v/>
      </c>
      <c r="Z205">
        <f>IF($C205="",0,IF($M205="",0,MAX(0,$M205)*MAX(0,Z$4)/100))</f>
        <v/>
      </c>
      <c r="AA205">
        <f>IF($C205="",0,IF($M205="",0,MAX(0,$M205)*MAX(0,AA$4)/100))</f>
        <v/>
      </c>
      <c r="AB205">
        <f>IF($C205="",0,IF($M205="",0,MAX(0,$M205)*MAX(0,AB$4)/100))</f>
        <v/>
      </c>
      <c r="AC205">
        <f>IF($C205="",0,IF($M205="",0,MAX(0,$M205)*MAX(0,AC$4)/100))</f>
        <v/>
      </c>
      <c r="AD205">
        <f>IF($C205="",0,IF($M205="",0,MAX(0,$M205)*MAX(0,AD$4)/100))</f>
        <v/>
      </c>
      <c r="AE205">
        <f>IF($C205="",0,IF($M205="",0,MAX(0,$M205)*MAX(0,AE$4)/100))</f>
        <v/>
      </c>
      <c r="AF205">
        <f>IF($C205="",0,IF($M205="",0,MAX(0,$M205)*MAX(0,AF$4)/100))</f>
        <v/>
      </c>
      <c r="AG205">
        <f>IF($C205="",0,IF($M205="",0,MAX(0,$M205)*MAX(0,AG$4)/100))</f>
        <v/>
      </c>
      <c r="AH205">
        <f>IF($C205="",0,IF($M205="",0,MAX(0,$M205)*MAX(0,AH$4)/100))</f>
        <v/>
      </c>
      <c r="AI205">
        <f>IF($C205="",0,IF($M205="",0,MAX(0,$M205)*MAX(0,AI$4)/100))</f>
        <v/>
      </c>
      <c r="AJ205">
        <f>IF($C205="",0,MAX(0,MAX(0,N($L205))-$V205))</f>
        <v/>
      </c>
      <c r="AK205">
        <f>IF($C205="",0,MAX(0,$AJ205-$W205))</f>
        <v/>
      </c>
      <c r="AL205">
        <f>IF($C205="",0,MAX(0,$AK205-$X205))</f>
        <v/>
      </c>
      <c r="AM205">
        <f>IF($C205="",0,MAX(0,$AL205-$Y205))</f>
        <v/>
      </c>
      <c r="AN205">
        <f>IF($C205="",0,MAX(0,$AM205-$Z205))</f>
        <v/>
      </c>
      <c r="AO205">
        <f>IF($C205="",0,MAX(0,$AN205-$AA205))</f>
        <v/>
      </c>
      <c r="AP205">
        <f>IF($C205="",0,MAX(0,$AO205-$AB205))</f>
        <v/>
      </c>
      <c r="AQ205">
        <f>IF($C205="",0,MAX(0,$AP205-$AC205))</f>
        <v/>
      </c>
      <c r="AR205">
        <f>IF($C205="",0,MAX(0,$AQ205-$AD205))</f>
        <v/>
      </c>
      <c r="AS205">
        <f>IF($C205="",0,MAX(0,$AR205-$AE205))</f>
        <v/>
      </c>
      <c r="AT205">
        <f>IF($C205="",0,MAX(0,$AS205-$AF205))</f>
        <v/>
      </c>
      <c r="AU205">
        <f>IF($C205="",0,MAX(0,$AT205-$AG205))</f>
        <v/>
      </c>
      <c r="AV205">
        <f>IF($C205="",0,MAX(0,$AU205-$AH205))</f>
        <v/>
      </c>
      <c r="AW205">
        <f>IF($C205="",0,MAX(0,$AV205-$AI205))</f>
        <v/>
      </c>
      <c r="AX205">
        <f>IF($C205="",0,MAX(0,MAX(0,N($L205))+IF($P205=V$3,$R205,0)+IF($S205=V$3,$U205,0)-$V205))</f>
        <v/>
      </c>
      <c r="AY205">
        <f>IF($C205="",0,MAX(0,$AX205+IF($P205=W$3,$R205,0)+IF($S205=W$3,$U205,0)-$W205))</f>
        <v/>
      </c>
      <c r="AZ205">
        <f>IF($C205="",0,MAX(0,$AY205+IF($P205=X$3,$R205,0)+IF($S205=X$3,$U205,0)-$X205))</f>
        <v/>
      </c>
      <c r="BA205">
        <f>IF($C205="",0,MAX(0,$AZ205+IF($P205=Y$3,$R205,0)+IF($S205=Y$3,$U205,0)-$Y205))</f>
        <v/>
      </c>
      <c r="BB205">
        <f>IF($C205="",0,MAX(0,$BA205+IF($P205=Z$3,$R205,0)+IF($S205=Z$3,$U205,0)-$Z205))</f>
        <v/>
      </c>
      <c r="BC205">
        <f>IF($C205="",0,MAX(0,$BB205+IF($P205=AA$3,$R205,0)+IF($S205=AA$3,$U205,0)-$AA205))</f>
        <v/>
      </c>
      <c r="BD205">
        <f>IF($C205="",0,MAX(0,$BC205+IF($P205=AB$3,$R205,0)+IF($S205=AB$3,$U205,0)-$AB205))</f>
        <v/>
      </c>
      <c r="BE205">
        <f>IF($C205="",0,MAX(0,$BD205+IF($P205=AC$3,$R205,0)+IF($S205=AC$3,$U205,0)-$AC205))</f>
        <v/>
      </c>
      <c r="BF205">
        <f>IF($C205="",0,MAX(0,$BE205+IF($P205=AD$3,$R205,0)+IF($S205=AD$3,$U205,0)-$AD205))</f>
        <v/>
      </c>
      <c r="BG205">
        <f>IF($C205="",0,MAX(0,$BF205+IF($P205=AE$3,$R205,0)+IF($S205=AE$3,$U205,0)-$AE205))</f>
        <v/>
      </c>
      <c r="BH205">
        <f>IF($C205="",0,MAX(0,$BG205+IF($P205=AF$3,$R205,0)+IF($S205=AF$3,$U205,0)-$AF205))</f>
        <v/>
      </c>
      <c r="BI205">
        <f>IF($C205="",0,MAX(0,$BH205+IF($P205=AG$3,$R205,0)+IF($S205=AG$3,$U205,0)-$AG205))</f>
        <v/>
      </c>
      <c r="BJ205">
        <f>IF($C205="",0,MAX(0,$BI205+IF($P205=AH$3,$R205,0)+IF($S205=AH$3,$U205,0)-$AH205))</f>
        <v/>
      </c>
      <c r="BK205">
        <f>IF($C205="",0,MAX(0,$BJ205+IF($P205=AI$3,$R205,0)+IF($S205=AI$3,$U205,0)-$AI205))</f>
        <v/>
      </c>
      <c r="BL205">
        <f>IF($C205="",99,IF(AND($AX205&lt;1,V$3&gt;=MAX(N($P205),N($S205))),0,99))</f>
        <v/>
      </c>
      <c r="BM205">
        <f>IF($C205="",99,IF(AND($AY205&lt;1,W$3&gt;=MAX(N($P205),N($S205))),1,99))</f>
        <v/>
      </c>
      <c r="BN205">
        <f>IF($C205="",99,IF(AND($AZ205&lt;1,X$3&gt;=MAX(N($P205),N($S205))),2,99))</f>
        <v/>
      </c>
      <c r="BO205">
        <f>IF($C205="",99,IF(AND($BA205&lt;1,Y$3&gt;=MAX(N($P205),N($S205))),3,99))</f>
        <v/>
      </c>
      <c r="BP205">
        <f>IF($C205="",99,IF(AND($BB205&lt;1,Z$3&gt;=MAX(N($P205),N($S205))),4,99))</f>
        <v/>
      </c>
      <c r="BQ205">
        <f>IF($C205="",99,IF(AND($BC205&lt;1,AA$3&gt;=MAX(N($P205),N($S205))),5,99))</f>
        <v/>
      </c>
      <c r="BR205">
        <f>IF($C205="",99,IF(AND($BD205&lt;1,AB$3&gt;=MAX(N($P205),N($S205))),6,99))</f>
        <v/>
      </c>
      <c r="BS205">
        <f>IF($C205="",99,IF(AND($BE205&lt;1,AC$3&gt;=MAX(N($P205),N($S205))),7,99))</f>
        <v/>
      </c>
      <c r="BT205">
        <f>IF($C205="",99,IF(AND($BF205&lt;1,AD$3&gt;=MAX(N($P205),N($S205))),8,99))</f>
        <v/>
      </c>
      <c r="BU205">
        <f>IF($C205="",99,IF(AND($BG205&lt;1,AE$3&gt;=MAX(N($P205),N($S205))),9,99))</f>
        <v/>
      </c>
      <c r="BV205">
        <f>IF($C205="",99,IF(AND($BH205&lt;1,AF$3&gt;=MAX(N($P205),N($S205))),10,99))</f>
        <v/>
      </c>
      <c r="BW205">
        <f>IF($C205="",99,IF(AND($BI205&lt;1,AG$3&gt;=MAX(N($P205),N($S205))),11,99))</f>
        <v/>
      </c>
      <c r="BX205">
        <f>IF($C205="",99,IF(AND($BJ205&lt;1,AH$3&gt;=MAX(N($P205),N($S205))),12,99))</f>
        <v/>
      </c>
      <c r="BY205">
        <f>IF($C205="",99,IF(AND($BK205&lt;1,AI$3&gt;=MAX(N($P205),N($S205))),13,99))</f>
        <v/>
      </c>
      <c r="BZ205">
        <f>IF(OR($C205="",$M205=""),"",COUNTIF($AJ205:$AW205,"&gt;=1"))</f>
        <v/>
      </c>
      <c r="CA205" s="90">
        <f>IF($BZ205="","",IF($BZ205&gt;=14,"",'設定'!$C$6+$BZ205))</f>
        <v/>
      </c>
      <c r="CB205">
        <f>IF(OR($C205="",$M205=""),"",MIN($BL205:$BY205))</f>
        <v/>
      </c>
      <c r="CC205" s="90">
        <f>IF($CB205="","",IF($CB205&gt;=99,"",'設定'!$C$6+$CB205))</f>
        <v/>
      </c>
      <c r="CD205">
        <f>IF(OR($C205="",$M205=""),"",AVERAGE($V205:$AI205))</f>
        <v/>
      </c>
      <c r="CE205">
        <f>IF($C205="","",IFERROR(IF(MATCH(IF(ISNUMBER($P205),$P205,'設定'!$C$6+N('設定'!$C$7)),$V$3:$AI$3,0)=1,MAX(0,N($L205)),INDEX($AJ205:$AW205,MATCH(IF(ISNUMBER($P205),$P205,'設定'!$C$6+N('設定'!$C$7)),$V$3:$AI$3,0)-1)),""))</f>
        <v/>
      </c>
      <c r="CF205">
        <f>IF(OR($C205="",$O205="",$CE205=""),"",IF($O205-$CE205&lt;=0,0,ROUNDUP(($O205-$CE205)/$G205,0)))</f>
        <v/>
      </c>
      <c r="CG205">
        <f>IF(OR($C205="",$CF205="",NOT(ISNUMBER($Q205))),0,MAX(0,$Q205-$CF205))</f>
        <v/>
      </c>
      <c r="CH205">
        <f>IF(OR($C205="",$O205="",$U205=0),0,IFERROR(ROUNDUP(MAX(0,IF(MATCH($S205,$V$3:$AI$3,0)=1,MAX(0,N($L205)),INDEX($AX205:$BK205,MATCH($S205,$V$3:$AI$3,0)-1))+$U205-$O205)/$G205,0),0))</f>
        <v/>
      </c>
      <c r="CI205">
        <f>IF($C205="","",IF(AND($P205="",$Q205=""),"",IF($P205="","⚠ 入庫日を ▼ から選んでください",IF(NOT(ISNUMBER($P205)),"⚠ 入庫日は ▼ から選んでください",IF($P205&lt;N('設定'!$C$6),"⚠ 入庫日が過去です（もう在庫に入っています）→ 消してください",IF($P205&gt;N('設定'!$C$6)+13,"⚠ 入庫日が14日より先です",IF(N($Q205)&lt;=0,"⚠ 入庫数を入れてください",IF($CG205&gt;0,"⚠ 目安より "&amp;$CG205&amp;" 多い（定数を超える）→ 減らす",""))))))))</f>
        <v/>
      </c>
      <c r="CJ205">
        <f>IF($C205="","",IF(AND($S205="",$T205=""),"",IF($S205="","⚠ 2便目：入庫日を ▼ から選んでください",IF(NOT(ISNUMBER($S205)),"⚠ 2便目：入庫日は ▼ から選んでください",IF($S205&lt;N('設定'!$C$6),"⚠ 2便目：入庫日が過去です（もう在庫に入っています）→ 消してください",IF($S205&gt;N('設定'!$C$6)+13,"⚠ 2便目：入庫日が14日より先です",IF(N($T205)&lt;=0,"⚠ 2便目：入庫数を入れてください",IF($CH205&gt;0,"⚠ 2便目：定数を "&amp;$CH205&amp;" ケース超える → 減らす",""))))))))</f>
        <v/>
      </c>
      <c r="CK205">
        <f>IF(AND($CI205="",N($Q205)&gt;0,ISNUMBER($P205)),1,0)</f>
        <v/>
      </c>
      <c r="CL205">
        <f>IF(AND($CJ205="",N($T205)&gt;0,ISNUMBER($S205)),1,0)</f>
        <v/>
      </c>
      <c r="CM205">
        <f>IF(OR($CK205=1,$CL205=1),1,0)</f>
        <v/>
      </c>
      <c r="CN205">
        <f>IF($C205="",0,($CK205*$R205+$CL205*$U205)*N($H205))</f>
        <v/>
      </c>
      <c r="CO205">
        <f>IF($C205="","",IF($CC205="","入庫後は 14日以上もつ",IF($CC205-N('設定'!$C$7)&lt;='設定'!$C$6,"入庫後も "&amp;TEXT($CC205,"m/d")&amp;"("&amp;CHOOSE(WEEKDAY($CC205),"日","月","火","水","木","金","土")&amp;")"&amp;" に切れる　もう1便を至急発注","入庫後も "&amp;TEXT($CC205,"m/d")&amp;"("&amp;CHOOSE(WEEKDAY($CC205),"日","月","火","水","木","金","土")&amp;")"&amp;" に切れる　"&amp;TEXT($CC205-N('設定'!$C$7),"m/d")&amp;"("&amp;CHOOSE(WEEKDAY($CC205-N('設定'!$C$7)),"日","月","火","水","木","金","土")&amp;")"&amp;" までに次を発注")))</f>
        <v/>
      </c>
      <c r="CP205">
        <f>IF($C205="","",IF('設定'!$C$6="","？ ①在庫を貼る に今日のCSVが貼られていない",IF($CS205=1,"－ 今日のCSVに無い（終売？）",IF($L205&lt;0,"● 在庫がマイナス　数えて「数えた在庫」に入れる",IF($L205=0,"● 在庫なし　至急発注",IF($M205="","？ 減り数が未設定（商品マスタ）",IF($B$3=0,"？ 動員が未入力（動員を入れる）",IF($CA205="","○ 14日以上もつ",IF($BZ205&lt;N('設定'!$C$7),"● "&amp;TEXT($CA205,"m/d")&amp;"("&amp;CHOOSE(WEEKDAY($CA205),"日","月","火","水","木","金","土")&amp;")"&amp;" に切れる　至急発注",IF($BZ205=N('設定'!$C$7),"● "&amp;TEXT($CA205,"m/d")&amp;"("&amp;CHOOSE(WEEKDAY($CA205),"日","月","火","水","木","金","土")&amp;")"&amp;" に切れる　今日発注","△ "&amp;TEXT($CA205,"m/d")&amp;"("&amp;CHOOSE(WEEKDAY($CA205),"日","月","火","水","木","金","土")&amp;")"&amp;" に切れる　"&amp;TEXT($CA205-N('設定'!$C$7),"m/d")&amp;"("&amp;CHOOSE(WEEKDAY($CA205-N('設定'!$C$7)),"日","月","火","水","木","金","土")&amp;")"&amp;" までに発注"))))))))))</f>
        <v/>
      </c>
      <c r="CQ205">
        <f>IF($C205="","",IF(AND($P205="",$Q205="",$S205="",$T205=""),"",IF(AND($P205="",$Q205=""),"⚠ 先に1便目（左の入庫日・入庫数）に入れてください",IF($CI205&lt;&gt;"",$CI205,IF($CJ205&lt;&gt;"",$CJ205,IF($M205="","？ 減り数が未設定（発注書には載ります）",IF($B$3=0,"？ 動員が未入力（発注書には載ります）",IF(AND($CA205&lt;&gt;"",$P205&gt;$CA205),IF($P205&gt;'設定'!$C$6+N('設定'!$C$7),"● "&amp;TEXT($P205,"m/d")&amp;"("&amp;CHOOSE(WEEKDAY($P205),"日","月","火","水","木","金","土")&amp;")"&amp;" の入庫では間に合わない（"&amp;TEXT($CA205,"m/d")&amp;"("&amp;CHOOSE(WEEKDAY($CA205),"日","月","火","水","木","金","土")&amp;")"&amp;" に切れる）　入庫日を早める","△ 欠品 "&amp;TEXT($CA205,"m/d")&amp;"("&amp;CHOOSE(WEEKDAY($CA205),"日","月","火","水","木","金","土")&amp;")"&amp;"〜"&amp;TEXT($P205-1,"m/d")&amp;"("&amp;CHOOSE(WEEKDAY($P205-1),"日","月","火","水","木","金","土")&amp;")"&amp;"　"&amp;$CO205),IF($CC205="","○ "&amp;TEXT($P205,"m/d")&amp;"("&amp;CHOOSE(WEEKDAY($P205),"日","月","火","水","木","金","土")&amp;")"&amp;" 入庫で 14日以上もつ",IF($CC205-N('設定'!$C$7)&lt;='設定'!$C$6,"● 入庫しても "&amp;TEXT($CC205,"m/d")&amp;"("&amp;CHOOSE(WEEKDAY($CC205),"日","月","火","水","木","金","土")&amp;")"&amp;" に切れる　もう1便を至急発注（2便目に入れる）","△ 入庫しても "&amp;TEXT($CC205,"m/d")&amp;"("&amp;CHOOSE(WEEKDAY($CC205),"日","月","火","水","木","金","土")&amp;")"&amp;" に切れる　"&amp;TEXT($CC205-N('設定'!$C$7),"m/d")&amp;"("&amp;CHOOSE(WEEKDAY($CC205-N('設定'!$C$7)),"日","月","火","水","木","金","土")&amp;")"&amp;" までに次を発注（2便目に入れる）"))))))))))</f>
        <v/>
      </c>
      <c r="CR205">
        <f>IF($C205="","",IF($G205&gt;1,"ｹｰｽ("&amp;$G205&amp;"入)","個"))</f>
        <v/>
      </c>
      <c r="CS205">
        <f>IF($C205="",0,IF(COUNTIFS('①在庫を貼る'!$V$6:$V$10005,'設定'!$C$4,'①在庫を貼る'!$W$6:$W$10005,$C205)=0,1,0))</f>
        <v/>
      </c>
      <c r="CT205">
        <f>IF(AND($CK205=1,OR('③発注書'!$C$4="すべて",'③発注書'!$C$4="",$F205='③発注書'!$C$4)),N($CT204)+1,N($CT204))</f>
        <v/>
      </c>
      <c r="CU205">
        <f>IF(AND($CL205=1,OR('③発注書'!$C$4="すべて",'③発注書'!$C$4="",$F205='③発注書'!$C$4)),N($CU204)+1,N($CU204))</f>
        <v/>
      </c>
      <c r="CV205">
        <f>IF($C205="",0,IF(COUNTIFS('①在庫を貼る'!$V$6:$V$10005,'設定'!$C$4,'①在庫を貼る'!$W$6:$W$10005,$C205)&gt;0,1,0))</f>
        <v/>
      </c>
      <c r="CW205">
        <f>IF($C205="",0,IF(COUNTIFS('月1回_1ヶ月前の在庫'!$V$6:$V$10005,'設定'!$C$4,'月1回_1ヶ月前の在庫'!$W$6:$W$10005,$C205)&gt;0,1,0))</f>
        <v/>
      </c>
      <c r="CX205">
        <f>IF($C205="",0,IF(COUNTIFS('月1回_2ヶ月前の在庫'!$V$6:$V$10005,'設定'!$C$4,'月1回_2ヶ月前の在庫'!$W$6:$W$10005,$C205)&gt;0,1,0))</f>
        <v/>
      </c>
      <c r="CY205">
        <f>IF(OR($C205="",'設定'!$C$12=""),"",IF('設定'!$C$13="",IF(AND($CV205=1,$CW205=0),"新商品（今月から）",IF(AND($CV205=0,$CW205=1),"終売（今月から）","")),IF(AND($CV205=1,$CW205=0,$CX205=0),"新商品（今月から）",IF(AND($CV205=1,$CW205=1,$CX205=0),"新商品（先月から）",IF(AND($CV205=0,$CW205=1,$CX205=1),"終売（今月から）",IF(AND($CV205=0,$CW205=0,$CX205=1),"終売（先月から）",IF(AND($CV205=1,$CW205=0,$CX205=1),"復活（先月は無し）","")))))))</f>
        <v/>
      </c>
    </row>
    <row r="206">
      <c r="B206">
        <f>IF(201&lt;='設定'!$C$11,201,"")</f>
        <v/>
      </c>
      <c r="C206">
        <f>IF($B206="","",IF($B206&lt;='設定'!$C$20,INDEX('商品マスタ'!$B$6:$B$1005,MATCH($B206,'商品マスタ'!$M$6:$M$1005,0)),IF($B206&lt;='設定'!$C$20+'設定'!$C$17,INDEX('①在庫を貼る'!$W$6:$W$10005,MATCH($B206-'設定'!$C$20,'①在庫を貼る'!$U$6:$U$10005,0)),IF($B206&lt;='設定'!$C$20+'設定'!$C$17+'設定'!$C$18,INDEX('月1回_1ヶ月前の在庫'!$W$6:$W$10005,MATCH($B206-'設定'!$C$20-'設定'!$C$17,'月1回_1ヶ月前の在庫'!$U$6:$U$10005,0)),INDEX('月1回_2ヶ月前の在庫'!$W$6:$W$10005,MATCH($B206-'設定'!$C$20-'設定'!$C$17-'設定'!$C$18,'月1回_2ヶ月前の在庫'!$U$6:$U$10005,0))))))</f>
        <v/>
      </c>
      <c r="D206">
        <f>IF($C206="","",IFERROR(IF(INDEX('商品マスタ'!$C$6:$C$1005,MATCH($C206,'商品マスタ'!$B$6:$B$1005,0))="",IFERROR(INDEX('①在庫を貼る'!$J$6:$J$10005,MATCH($C206,'①在庫を貼る'!$W$6:$W$10005,0)),IFERROR(INDEX('月1回_1ヶ月前の在庫'!$J$6:$J$10005,MATCH($C206,'月1回_1ヶ月前の在庫'!$W$6:$W$10005,0)),IFERROR(INDEX('月1回_2ヶ月前の在庫'!$J$6:$J$10005,MATCH($C206,'月1回_2ヶ月前の在庫'!$W$6:$W$10005,0)),""))),INDEX('商品マスタ'!$C$6:$C$1005,MATCH($C206,'商品マスタ'!$B$6:$B$1005,0))),IFERROR(INDEX('①在庫を貼る'!$J$6:$J$10005,MATCH($C206,'①在庫を貼る'!$W$6:$W$10005,0)),IFERROR(INDEX('月1回_1ヶ月前の在庫'!$J$6:$J$10005,MATCH($C206,'月1回_1ヶ月前の在庫'!$W$6:$W$10005,0)),IFERROR(INDEX('月1回_2ヶ月前の在庫'!$J$6:$J$10005,MATCH($C206,'月1回_2ヶ月前の在庫'!$W$6:$W$10005,0)),"")))))</f>
        <v/>
      </c>
      <c r="E206">
        <f>IF($C206="","",IFERROR(IF(INDEX('商品マスタ'!$D$6:$D$1005,MATCH($C206,'商品マスタ'!$B$6:$B$1005,0))="",IFERROR(INDEX('①在庫を貼る'!$H$6:$H$10005,MATCH($C206,'①在庫を貼る'!$W$6:$W$10005,0)),IFERROR(INDEX('月1回_1ヶ月前の在庫'!$H$6:$H$10005,MATCH($C206,'月1回_1ヶ月前の在庫'!$W$6:$W$10005,0)),IFERROR(INDEX('月1回_2ヶ月前の在庫'!$H$6:$H$10005,MATCH($C206,'月1回_2ヶ月前の在庫'!$W$6:$W$10005,0)),""))),INDEX('商品マスタ'!$D$6:$D$1005,MATCH($C206,'商品マスタ'!$B$6:$B$1005,0))),IFERROR(INDEX('①在庫を貼る'!$H$6:$H$10005,MATCH($C206,'①在庫を貼る'!$W$6:$W$10005,0)),IFERROR(INDEX('月1回_1ヶ月前の在庫'!$H$6:$H$10005,MATCH($C206,'月1回_1ヶ月前の在庫'!$W$6:$W$10005,0)),IFERROR(INDEX('月1回_2ヶ月前の在庫'!$H$6:$H$10005,MATCH($C206,'月1回_2ヶ月前の在庫'!$W$6:$W$10005,0)),"")))))</f>
        <v/>
      </c>
      <c r="F206">
        <f>IF($C206="","",IFERROR(IF(INDEX('商品マスタ'!$E$6:$E$1005,MATCH($C206,'商品マスタ'!$B$6:$B$1005,0))="",IFERROR(INDEX('①在庫を貼る'!$E$6:$E$10005,MATCH($C206,'①在庫を貼る'!$W$6:$W$10005,0)),IFERROR(INDEX('月1回_1ヶ月前の在庫'!$E$6:$E$10005,MATCH($C206,'月1回_1ヶ月前の在庫'!$W$6:$W$10005,0)),IFERROR(INDEX('月1回_2ヶ月前の在庫'!$E$6:$E$10005,MATCH($C206,'月1回_2ヶ月前の在庫'!$W$6:$W$10005,0)),""))),INDEX('商品マスタ'!$E$6:$E$1005,MATCH($C206,'商品マスタ'!$B$6:$B$1005,0))),IFERROR(INDEX('①在庫を貼る'!$E$6:$E$10005,MATCH($C206,'①在庫を貼る'!$W$6:$W$10005,0)),IFERROR(INDEX('月1回_1ヶ月前の在庫'!$E$6:$E$10005,MATCH($C206,'月1回_1ヶ月前の在庫'!$W$6:$W$10005,0)),IFERROR(INDEX('月1回_2ヶ月前の在庫'!$E$6:$E$10005,MATCH($C206,'月1回_2ヶ月前の在庫'!$W$6:$W$10005,0)),"")))))</f>
        <v/>
      </c>
      <c r="G206">
        <f>IF($C206="","",MAX(1,N(IFERROR(IF(INDEX('商品マスタ'!$F$6:$F$1005,MATCH($C206,'商品マスタ'!$B$6:$B$1005,0))="",IF(COUNTIFS('①在庫を貼る'!$V$6:$V$10005,'設定'!$C$4,'①在庫を貼る'!$W$6:$W$10005,$C206)&gt;0,SUMIFS('①在庫を貼る'!$K$6:$K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K$6:$K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K$6:$K$10005,'月1回_2ヶ月前の在庫'!$V$6:$V$10005,'設定'!$C$4,'月1回_2ヶ月前の在庫'!$W$6:$W$10005,$C206)/COUNTIFS('月1回_2ヶ月前の在庫'!$V$6:$V$10005,'設定'!$C$4,'月1回_2ヶ月前の在庫'!$W$6:$W$10005,$C206),0))),INDEX('商品マスタ'!$F$6:$F$1005,MATCH($C206,'商品マスタ'!$B$6:$B$1005,0))),IF(COUNTIFS('①在庫を貼る'!$V$6:$V$10005,'設定'!$C$4,'①在庫を貼る'!$W$6:$W$10005,$C206)&gt;0,SUMIFS('①在庫を貼る'!$K$6:$K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K$6:$K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K$6:$K$10005,'月1回_2ヶ月前の在庫'!$V$6:$V$10005,'設定'!$C$4,'月1回_2ヶ月前の在庫'!$W$6:$W$10005,$C206)/COUNTIFS('月1回_2ヶ月前の在庫'!$V$6:$V$10005,'設定'!$C$4,'月1回_2ヶ月前の在庫'!$W$6:$W$10005,$C206),0)))))))</f>
        <v/>
      </c>
      <c r="H206">
        <f>IF($C206="","",N(IFERROR(IF(INDEX('商品マスタ'!$G$6:$G$1005,MATCH($C206,'商品マスタ'!$B$6:$B$1005,0))="",IF(COUNTIFS('①在庫を貼る'!$V$6:$V$10005,'設定'!$C$4,'①在庫を貼る'!$W$6:$W$10005,$C206)&gt;0,SUMIFS('①在庫を貼る'!$Q$6:$Q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Q$6:$Q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Q$6:$Q$10005,'月1回_2ヶ月前の在庫'!$V$6:$V$10005,'設定'!$C$4,'月1回_2ヶ月前の在庫'!$W$6:$W$10005,$C206)/COUNTIFS('月1回_2ヶ月前の在庫'!$V$6:$V$10005,'設定'!$C$4,'月1回_2ヶ月前の在庫'!$W$6:$W$10005,$C206),0))),INDEX('商品マスタ'!$G$6:$G$1005,MATCH($C206,'商品マスタ'!$B$6:$B$1005,0))),IF(COUNTIFS('①在庫を貼る'!$V$6:$V$10005,'設定'!$C$4,'①在庫を貼る'!$W$6:$W$10005,$C206)&gt;0,SUMIFS('①在庫を貼る'!$Q$6:$Q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Q$6:$Q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Q$6:$Q$10005,'月1回_2ヶ月前の在庫'!$V$6:$V$10005,'設定'!$C$4,'月1回_2ヶ月前の在庫'!$W$6:$W$10005,$C206)/COUNTIFS('月1回_2ヶ月前の在庫'!$V$6:$V$10005,'設定'!$C$4,'月1回_2ヶ月前の在庫'!$W$6:$W$10005,$C206),0))))))</f>
        <v/>
      </c>
      <c r="I206">
        <f>IF($C206="","",IF(COUNTIFS('①在庫を貼る'!$V$6:$V$10005,'設定'!$C$4,'①在庫を貼る'!$W$6:$W$10005,$C206)=0,"",SUMIFS('①在庫を貼る'!$N$6:$N$10005,'①在庫を貼る'!$V$6:$V$10005,'設定'!$C$4,'①在庫を貼る'!$W$6:$W$10005,$C206)))</f>
        <v/>
      </c>
      <c r="J206">
        <f>IF($C206="","",IF('②発注する'!$AD210="","",'②発注する'!$AD210))</f>
        <v/>
      </c>
      <c r="K206" s="90">
        <f>IF($C206="","",IF('②発注する'!$AE210="","",'②発注する'!$AE210))</f>
        <v/>
      </c>
      <c r="L206">
        <f>IF($C206="","",IF(AND(ISNUMBER($J206),ISNUMBER($K206),$K206&gt;='設定'!$C$6),$J206,N($I206)))</f>
        <v/>
      </c>
      <c r="M206">
        <f>IF($C206="","",IFERROR(IF(N(INDEX('商品マスタ'!$J$6:$J$1005,MATCH($C206,'商品マスタ'!$B$6:$B$1005,0)))&gt;0,INDEX('商品マスタ'!$J$6:$J$1005,MATCH($C206,'商品マスタ'!$B$6:$B$1005,0)),""),""))</f>
        <v/>
      </c>
      <c r="N206">
        <f>IF($C206="","",IFERROR(IF(N(INDEX('商品マスタ'!$H$6:$H$1005,MATCH($C206,'商品マスタ'!$B$6:$B$1005,0)))&gt;0,INDEX('商品マスタ'!$H$6:$H$1005,MATCH($C206,'商品マスタ'!$B$6:$B$1005,0)),""),""))</f>
        <v/>
      </c>
      <c r="O206">
        <f>IF($C206="","",IF($N206&lt;&gt;"",$N206*$G206,IF(N(IF(COUNTIFS('①在庫を貼る'!$V$6:$V$10005,'設定'!$C$4,'①在庫を貼る'!$W$6:$W$10005,$C206)&gt;0,SUMIFS('①在庫を貼る'!$O$6:$O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O$6:$O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O$6:$O$10005,'月1回_2ヶ月前の在庫'!$V$6:$V$10005,'設定'!$C$4,'月1回_2ヶ月前の在庫'!$W$6:$W$10005,$C206)/COUNTIFS('月1回_2ヶ月前の在庫'!$V$6:$V$10005,'設定'!$C$4,'月1回_2ヶ月前の在庫'!$W$6:$W$10005,$C206),0))))&gt;0,N(IF(COUNTIFS('①在庫を貼る'!$V$6:$V$10005,'設定'!$C$4,'①在庫を貼る'!$W$6:$W$10005,$C206)&gt;0,SUMIFS('①在庫を貼る'!$O$6:$O$10005,'①在庫を貼る'!$V$6:$V$10005,'設定'!$C$4,'①在庫を貼る'!$W$6:$W$10005,$C206)/COUNTIFS('①在庫を貼る'!$V$6:$V$10005,'設定'!$C$4,'①在庫を貼る'!$W$6:$W$10005,$C206),IF(COUNTIFS('月1回_1ヶ月前の在庫'!$V$6:$V$10005,'設定'!$C$4,'月1回_1ヶ月前の在庫'!$W$6:$W$10005,$C206)&gt;0,SUMIFS('月1回_1ヶ月前の在庫'!$O$6:$O$10005,'月1回_1ヶ月前の在庫'!$V$6:$V$10005,'設定'!$C$4,'月1回_1ヶ月前の在庫'!$W$6:$W$10005,$C206)/COUNTIFS('月1回_1ヶ月前の在庫'!$V$6:$V$10005,'設定'!$C$4,'月1回_1ヶ月前の在庫'!$W$6:$W$10005,$C206),IF(COUNTIFS('月1回_2ヶ月前の在庫'!$V$6:$V$10005,'設定'!$C$4,'月1回_2ヶ月前の在庫'!$W$6:$W$10005,$C206)&gt;0,SUMIFS('月1回_2ヶ月前の在庫'!$O$6:$O$10005,'月1回_2ヶ月前の在庫'!$V$6:$V$10005,'設定'!$C$4,'月1回_2ヶ月前の在庫'!$W$6:$W$10005,$C206)/COUNTIFS('月1回_2ヶ月前の在庫'!$V$6:$V$10005,'設定'!$C$4,'月1回_2ヶ月前の在庫'!$W$6:$W$10005,$C206),0)))),"")))</f>
        <v/>
      </c>
      <c r="P206" s="90">
        <f>IF($C206="","",IF('②発注する'!$I210="","",'②発注する'!$I210))</f>
        <v/>
      </c>
      <c r="Q206">
        <f>IF($C206="","",IF('②発注する'!$J210="","",'②発注する'!$J210))</f>
        <v/>
      </c>
      <c r="R206">
        <f>IF($C206="",0,IF(AND(ISNUMBER($P206),ISNUMBER($Q206)),MAX(0,$Q206)*$G206,0))</f>
        <v/>
      </c>
      <c r="S206" s="90">
        <f>IF($C206="","",IF('②発注する'!$M210="","",'②発注する'!$M210))</f>
        <v/>
      </c>
      <c r="T206">
        <f>IF($C206="","",IF('②発注する'!$N210="","",'②発注する'!$N210))</f>
        <v/>
      </c>
      <c r="U206">
        <f>IF($C206="",0,IF(AND(ISNUMBER($S206),ISNUMBER($T206)),MAX(0,$T206)*$G206,0))</f>
        <v/>
      </c>
      <c r="V206">
        <f>IF($C206="",0,IF($M206="",0,MAX(0,$M206)*MAX(0,V$4)/100))</f>
        <v/>
      </c>
      <c r="W206">
        <f>IF($C206="",0,IF($M206="",0,MAX(0,$M206)*MAX(0,W$4)/100))</f>
        <v/>
      </c>
      <c r="X206">
        <f>IF($C206="",0,IF($M206="",0,MAX(0,$M206)*MAX(0,X$4)/100))</f>
        <v/>
      </c>
      <c r="Y206">
        <f>IF($C206="",0,IF($M206="",0,MAX(0,$M206)*MAX(0,Y$4)/100))</f>
        <v/>
      </c>
      <c r="Z206">
        <f>IF($C206="",0,IF($M206="",0,MAX(0,$M206)*MAX(0,Z$4)/100))</f>
        <v/>
      </c>
      <c r="AA206">
        <f>IF($C206="",0,IF($M206="",0,MAX(0,$M206)*MAX(0,AA$4)/100))</f>
        <v/>
      </c>
      <c r="AB206">
        <f>IF($C206="",0,IF($M206="",0,MAX(0,$M206)*MAX(0,AB$4)/100))</f>
        <v/>
      </c>
      <c r="AC206">
        <f>IF($C206="",0,IF($M206="",0,MAX(0,$M206)*MAX(0,AC$4)/100))</f>
        <v/>
      </c>
      <c r="AD206">
        <f>IF($C206="",0,IF($M206="",0,MAX(0,$M206)*MAX(0,AD$4)/100))</f>
        <v/>
      </c>
      <c r="AE206">
        <f>IF($C206="",0,IF($M206="",0,MAX(0,$M206)*MAX(0,AE$4)/100))</f>
        <v/>
      </c>
      <c r="AF206">
        <f>IF($C206="",0,IF($M206="",0,MAX(0,$M206)*MAX(0,AF$4)/100))</f>
        <v/>
      </c>
      <c r="AG206">
        <f>IF($C206="",0,IF($M206="",0,MAX(0,$M206)*MAX(0,AG$4)/100))</f>
        <v/>
      </c>
      <c r="AH206">
        <f>IF($C206="",0,IF($M206="",0,MAX(0,$M206)*MAX(0,AH$4)/100))</f>
        <v/>
      </c>
      <c r="AI206">
        <f>IF($C206="",0,IF($M206="",0,MAX(0,$M206)*MAX(0,AI$4)/100))</f>
        <v/>
      </c>
      <c r="AJ206">
        <f>IF($C206="",0,MAX(0,MAX(0,N($L206))-$V206))</f>
        <v/>
      </c>
      <c r="AK206">
        <f>IF($C206="",0,MAX(0,$AJ206-$W206))</f>
        <v/>
      </c>
      <c r="AL206">
        <f>IF($C206="",0,MAX(0,$AK206-$X206))</f>
        <v/>
      </c>
      <c r="AM206">
        <f>IF($C206="",0,MAX(0,$AL206-$Y206))</f>
        <v/>
      </c>
      <c r="AN206">
        <f>IF($C206="",0,MAX(0,$AM206-$Z206))</f>
        <v/>
      </c>
      <c r="AO206">
        <f>IF($C206="",0,MAX(0,$AN206-$AA206))</f>
        <v/>
      </c>
      <c r="AP206">
        <f>IF($C206="",0,MAX(0,$AO206-$AB206))</f>
        <v/>
      </c>
      <c r="AQ206">
        <f>IF($C206="",0,MAX(0,$AP206-$AC206))</f>
        <v/>
      </c>
      <c r="AR206">
        <f>IF($C206="",0,MAX(0,$AQ206-$AD206))</f>
        <v/>
      </c>
      <c r="AS206">
        <f>IF($C206="",0,MAX(0,$AR206-$AE206))</f>
        <v/>
      </c>
      <c r="AT206">
        <f>IF($C206="",0,MAX(0,$AS206-$AF206))</f>
        <v/>
      </c>
      <c r="AU206">
        <f>IF($C206="",0,MAX(0,$AT206-$AG206))</f>
        <v/>
      </c>
      <c r="AV206">
        <f>IF($C206="",0,MAX(0,$AU206-$AH206))</f>
        <v/>
      </c>
      <c r="AW206">
        <f>IF($C206="",0,MAX(0,$AV206-$AI206))</f>
        <v/>
      </c>
      <c r="AX206">
        <f>IF($C206="",0,MAX(0,MAX(0,N($L206))+IF($P206=V$3,$R206,0)+IF($S206=V$3,$U206,0)-$V206))</f>
        <v/>
      </c>
      <c r="AY206">
        <f>IF($C206="",0,MAX(0,$AX206+IF($P206=W$3,$R206,0)+IF($S206=W$3,$U206,0)-$W206))</f>
        <v/>
      </c>
      <c r="AZ206">
        <f>IF($C206="",0,MAX(0,$AY206+IF($P206=X$3,$R206,0)+IF($S206=X$3,$U206,0)-$X206))</f>
        <v/>
      </c>
      <c r="BA206">
        <f>IF($C206="",0,MAX(0,$AZ206+IF($P206=Y$3,$R206,0)+IF($S206=Y$3,$U206,0)-$Y206))</f>
        <v/>
      </c>
      <c r="BB206">
        <f>IF($C206="",0,MAX(0,$BA206+IF($P206=Z$3,$R206,0)+IF($S206=Z$3,$U206,0)-$Z206))</f>
        <v/>
      </c>
      <c r="BC206">
        <f>IF($C206="",0,MAX(0,$BB206+IF($P206=AA$3,$R206,0)+IF($S206=AA$3,$U206,0)-$AA206))</f>
        <v/>
      </c>
      <c r="BD206">
        <f>IF($C206="",0,MAX(0,$BC206+IF($P206=AB$3,$R206,0)+IF($S206=AB$3,$U206,0)-$AB206))</f>
        <v/>
      </c>
      <c r="BE206">
        <f>IF($C206="",0,MAX(0,$BD206+IF($P206=AC$3,$R206,0)+IF($S206=AC$3,$U206,0)-$AC206))</f>
        <v/>
      </c>
      <c r="BF206">
        <f>IF($C206="",0,MAX(0,$BE206+IF($P206=AD$3,$R206,0)+IF($S206=AD$3,$U206,0)-$AD206))</f>
        <v/>
      </c>
      <c r="BG206">
        <f>IF($C206="",0,MAX(0,$BF206+IF($P206=AE$3,$R206,0)+IF($S206=AE$3,$U206,0)-$AE206))</f>
        <v/>
      </c>
      <c r="BH206">
        <f>IF($C206="",0,MAX(0,$BG206+IF($P206=AF$3,$R206,0)+IF($S206=AF$3,$U206,0)-$AF206))</f>
        <v/>
      </c>
      <c r="BI206">
        <f>IF($C206="",0,MAX(0,$BH206+IF($P206=AG$3,$R206,0)+IF($S206=AG$3,$U206,0)-$AG206))</f>
        <v/>
      </c>
      <c r="BJ206">
        <f>IF($C206="",0,MAX(0,$BI206+IF($P206=AH$3,$R206,0)+IF($S206=AH$3,$U206,0)-$AH206))</f>
        <v/>
      </c>
      <c r="BK206">
        <f>IF($C206="",0,MAX(0,$BJ206+IF($P206=AI$3,$R206,0)+IF($S206=AI$3,$U206,0)-$AI206))</f>
        <v/>
      </c>
      <c r="BL206">
        <f>IF($C206="",99,IF(AND($AX206&lt;1,V$3&gt;=MAX(N($P206),N($S206))),0,99))</f>
        <v/>
      </c>
      <c r="BM206">
        <f>IF($C206="",99,IF(AND($AY206&lt;1,W$3&gt;=MAX(N($P206),N($S206))),1,99))</f>
        <v/>
      </c>
      <c r="BN206">
        <f>IF($C206="",99,IF(AND($AZ206&lt;1,X$3&gt;=MAX(N($P206),N($S206))),2,99))</f>
        <v/>
      </c>
      <c r="BO206">
        <f>IF($C206="",99,IF(AND($BA206&lt;1,Y$3&gt;=MAX(N($P206),N($S206))),3,99))</f>
        <v/>
      </c>
      <c r="BP206">
        <f>IF($C206="",99,IF(AND($BB206&lt;1,Z$3&gt;=MAX(N($P206),N($S206))),4,99))</f>
        <v/>
      </c>
      <c r="BQ206">
        <f>IF($C206="",99,IF(AND($BC206&lt;1,AA$3&gt;=MAX(N($P206),N($S206))),5,99))</f>
        <v/>
      </c>
      <c r="BR206">
        <f>IF($C206="",99,IF(AND($BD206&lt;1,AB$3&gt;=MAX(N($P206),N($S206))),6,99))</f>
        <v/>
      </c>
      <c r="BS206">
        <f>IF($C206="",99,IF(AND($BE206&lt;1,AC$3&gt;=MAX(N($P206),N($S206))),7,99))</f>
        <v/>
      </c>
      <c r="BT206">
        <f>IF($C206="",99,IF(AND($BF206&lt;1,AD$3&gt;=MAX(N($P206),N($S206))),8,99))</f>
        <v/>
      </c>
      <c r="BU206">
        <f>IF($C206="",99,IF(AND($BG206&lt;1,AE$3&gt;=MAX(N($P206),N($S206))),9,99))</f>
        <v/>
      </c>
      <c r="BV206">
        <f>IF($C206="",99,IF(AND($BH206&lt;1,AF$3&gt;=MAX(N($P206),N($S206))),10,99))</f>
        <v/>
      </c>
      <c r="BW206">
        <f>IF($C206="",99,IF(AND($BI206&lt;1,AG$3&gt;=MAX(N($P206),N($S206))),11,99))</f>
        <v/>
      </c>
      <c r="BX206">
        <f>IF($C206="",99,IF(AND($BJ206&lt;1,AH$3&gt;=MAX(N($P206),N($S206))),12,99))</f>
        <v/>
      </c>
      <c r="BY206">
        <f>IF($C206="",99,IF(AND($BK206&lt;1,AI$3&gt;=MAX(N($P206),N($S206))),13,99))</f>
        <v/>
      </c>
      <c r="BZ206">
        <f>IF(OR($C206="",$M206=""),"",COUNTIF($AJ206:$AW206,"&gt;=1"))</f>
        <v/>
      </c>
      <c r="CA206" s="90">
        <f>IF($BZ206="","",IF($BZ206&gt;=14,"",'設定'!$C$6+$BZ206))</f>
        <v/>
      </c>
      <c r="CB206">
        <f>IF(OR($C206="",$M206=""),"",MIN($BL206:$BY206))</f>
        <v/>
      </c>
      <c r="CC206" s="90">
        <f>IF($CB206="","",IF($CB206&gt;=99,"",'設定'!$C$6+$CB206))</f>
        <v/>
      </c>
      <c r="CD206">
        <f>IF(OR($C206="",$M206=""),"",AVERAGE($V206:$AI206))</f>
        <v/>
      </c>
      <c r="CE206">
        <f>IF($C206="","",IFERROR(IF(MATCH(IF(ISNUMBER($P206),$P206,'設定'!$C$6+N('設定'!$C$7)),$V$3:$AI$3,0)=1,MAX(0,N($L206)),INDEX($AJ206:$AW206,MATCH(IF(ISNUMBER($P206),$P206,'設定'!$C$6+N('設定'!$C$7)),$V$3:$AI$3,0)-1)),""))</f>
        <v/>
      </c>
      <c r="CF206">
        <f>IF(OR($C206="",$O206="",$CE206=""),"",IF($O206-$CE206&lt;=0,0,ROUNDUP(($O206-$CE206)/$G206,0)))</f>
        <v/>
      </c>
      <c r="CG206">
        <f>IF(OR($C206="",$CF206="",NOT(ISNUMBER($Q206))),0,MAX(0,$Q206-$CF206))</f>
        <v/>
      </c>
      <c r="CH206">
        <f>IF(OR($C206="",$O206="",$U206=0),0,IFERROR(ROUNDUP(MAX(0,IF(MATCH($S206,$V$3:$AI$3,0)=1,MAX(0,N($L206)),INDEX($AX206:$BK206,MATCH($S206,$V$3:$AI$3,0)-1))+$U206-$O206)/$G206,0),0))</f>
        <v/>
      </c>
      <c r="CI206">
        <f>IF($C206="","",IF(AND($P206="",$Q206=""),"",IF($P206="","⚠ 入庫日を ▼ から選んでください",IF(NOT(ISNUMBER($P206)),"⚠ 入庫日は ▼ から選んでください",IF($P206&lt;N('設定'!$C$6),"⚠ 入庫日が過去です（もう在庫に入っています）→ 消してください",IF($P206&gt;N('設定'!$C$6)+13,"⚠ 入庫日が14日より先です",IF(N($Q206)&lt;=0,"⚠ 入庫数を入れてください",IF($CG206&gt;0,"⚠ 目安より "&amp;$CG206&amp;" 多い（定数を超える）→ 減らす",""))))))))</f>
        <v/>
      </c>
      <c r="CJ206">
        <f>IF($C206="","",IF(AND($S206="",$T206=""),"",IF($S206="","⚠ 2便目：入庫日を ▼ から選んでください",IF(NOT(ISNUMBER($S206)),"⚠ 2便目：入庫日は ▼ から選んでください",IF($S206&lt;N('設定'!$C$6),"⚠ 2便目：入庫日が過去です（もう在庫に入っています）→ 消してください",IF($S206&gt;N('設定'!$C$6)+13,"⚠ 2便目：入庫日が14日より先です",IF(N($T206)&lt;=0,"⚠ 2便目：入庫数を入れてください",IF($CH206&gt;0,"⚠ 2便目：定数を "&amp;$CH206&amp;" ケース超える → 減らす",""))))))))</f>
        <v/>
      </c>
      <c r="CK206">
        <f>IF(AND($CI206="",N($Q206)&gt;0,ISNUMBER($P206)),1,0)</f>
        <v/>
      </c>
      <c r="CL206">
        <f>IF(AND($CJ206="",N($T206)&gt;0,ISNUMBER($S206)),1,0)</f>
        <v/>
      </c>
      <c r="CM206">
        <f>IF(OR($CK206=1,$CL206=1),1,0)</f>
        <v/>
      </c>
      <c r="CN206">
        <f>IF($C206="",0,($CK206*$R206+$CL206*$U206)*N($H206))</f>
        <v/>
      </c>
      <c r="CO206">
        <f>IF($C206="","",IF($CC206="","入庫後は 14日以上もつ",IF($CC206-N('設定'!$C$7)&lt;='設定'!$C$6,"入庫後も "&amp;TEXT($CC206,"m/d")&amp;"("&amp;CHOOSE(WEEKDAY($CC206),"日","月","火","水","木","金","土")&amp;")"&amp;" に切れる　もう1便を至急発注","入庫後も "&amp;TEXT($CC206,"m/d")&amp;"("&amp;CHOOSE(WEEKDAY($CC206),"日","月","火","水","木","金","土")&amp;")"&amp;" に切れる　"&amp;TEXT($CC206-N('設定'!$C$7),"m/d")&amp;"("&amp;CHOOSE(WEEKDAY($CC206-N('設定'!$C$7)),"日","月","火","水","木","金","土")&amp;")"&amp;" までに次を発注")))</f>
        <v/>
      </c>
      <c r="CP206">
        <f>IF($C206="","",IF('設定'!$C$6="","？ ①在庫を貼る に今日のCSVが貼られていない",IF($CS206=1,"－ 今日のCSVに無い（終売？）",IF($L206&lt;0,"● 在庫がマイナス　数えて「数えた在庫」に入れる",IF($L206=0,"● 在庫なし　至急発注",IF($M206="","？ 減り数が未設定（商品マスタ）",IF($B$3=0,"？ 動員が未入力（動員を入れる）",IF($CA206="","○ 14日以上もつ",IF($BZ206&lt;N('設定'!$C$7),"● "&amp;TEXT($CA206,"m/d")&amp;"("&amp;CHOOSE(WEEKDAY($CA206),"日","月","火","水","木","金","土")&amp;")"&amp;" に切れる　至急発注",IF($BZ206=N('設定'!$C$7),"● "&amp;TEXT($CA206,"m/d")&amp;"("&amp;CHOOSE(WEEKDAY($CA206),"日","月","火","水","木","金","土")&amp;")"&amp;" に切れる　今日発注","△ "&amp;TEXT($CA206,"m/d")&amp;"("&amp;CHOOSE(WEEKDAY($CA206),"日","月","火","水","木","金","土")&amp;")"&amp;" に切れる　"&amp;TEXT($CA206-N('設定'!$C$7),"m/d")&amp;"("&amp;CHOOSE(WEEKDAY($CA206-N('設定'!$C$7)),"日","月","火","水","木","金","土")&amp;")"&amp;" までに発注"))))))))))</f>
        <v/>
      </c>
      <c r="CQ206">
        <f>IF($C206="","",IF(AND($P206="",$Q206="",$S206="",$T206=""),"",IF(AND($P206="",$Q206=""),"⚠ 先に1便目（左の入庫日・入庫数）に入れてください",IF($CI206&lt;&gt;"",$CI206,IF($CJ206&lt;&gt;"",$CJ206,IF($M206="","？ 減り数が未設定（発注書には載ります）",IF($B$3=0,"？ 動員が未入力（発注書には載ります）",IF(AND($CA206&lt;&gt;"",$P206&gt;$CA206),IF($P206&gt;'設定'!$C$6+N('設定'!$C$7),"● "&amp;TEXT($P206,"m/d")&amp;"("&amp;CHOOSE(WEEKDAY($P206),"日","月","火","水","木","金","土")&amp;")"&amp;" の入庫では間に合わない（"&amp;TEXT($CA206,"m/d")&amp;"("&amp;CHOOSE(WEEKDAY($CA206),"日","月","火","水","木","金","土")&amp;")"&amp;" に切れる）　入庫日を早める","△ 欠品 "&amp;TEXT($CA206,"m/d")&amp;"("&amp;CHOOSE(WEEKDAY($CA206),"日","月","火","水","木","金","土")&amp;")"&amp;"〜"&amp;TEXT($P206-1,"m/d")&amp;"("&amp;CHOOSE(WEEKDAY($P206-1),"日","月","火","水","木","金","土")&amp;")"&amp;"　"&amp;$CO206),IF($CC206="","○ "&amp;TEXT($P206,"m/d")&amp;"("&amp;CHOOSE(WEEKDAY($P206),"日","月","火","水","木","金","土")&amp;")"&amp;" 入庫で 14日以上もつ",IF($CC206-N('設定'!$C$7)&lt;='設定'!$C$6,"● 入庫しても "&amp;TEXT($CC206,"m/d")&amp;"("&amp;CHOOSE(WEEKDAY($CC206),"日","月","火","水","木","金","土")&amp;")"&amp;" に切れる　もう1便を至急発注（2便目に入れる）","△ 入庫しても "&amp;TEXT($CC206,"m/d")&amp;"("&amp;CHOOSE(WEEKDAY($CC206),"日","月","火","水","木","金","土")&amp;")"&amp;" に切れる　"&amp;TEXT($CC206-N('設定'!$C$7),"m/d")&amp;"("&amp;CHOOSE(WEEKDAY($CC206-N('設定'!$C$7)),"日","月","火","水","木","金","土")&amp;")"&amp;" までに次を発注（2便目に入れる）"))))))))))</f>
        <v/>
      </c>
      <c r="CR206">
        <f>IF($C206="","",IF($G206&gt;1,"ｹｰｽ("&amp;$G206&amp;"入)","個"))</f>
        <v/>
      </c>
      <c r="CS206">
        <f>IF($C206="",0,IF(COUNTIFS('①在庫を貼る'!$V$6:$V$10005,'設定'!$C$4,'①在庫を貼る'!$W$6:$W$10005,$C206)=0,1,0))</f>
        <v/>
      </c>
      <c r="CT206">
        <f>IF(AND($CK206=1,OR('③発注書'!$C$4="すべて",'③発注書'!$C$4="",$F206='③発注書'!$C$4)),N($CT205)+1,N($CT205))</f>
        <v/>
      </c>
      <c r="CU206">
        <f>IF(AND($CL206=1,OR('③発注書'!$C$4="すべて",'③発注書'!$C$4="",$F206='③発注書'!$C$4)),N($CU205)+1,N($CU205))</f>
        <v/>
      </c>
      <c r="CV206">
        <f>IF($C206="",0,IF(COUNTIFS('①在庫を貼る'!$V$6:$V$10005,'設定'!$C$4,'①在庫を貼る'!$W$6:$W$10005,$C206)&gt;0,1,0))</f>
        <v/>
      </c>
      <c r="CW206">
        <f>IF($C206="",0,IF(COUNTIFS('月1回_1ヶ月前の在庫'!$V$6:$V$10005,'設定'!$C$4,'月1回_1ヶ月前の在庫'!$W$6:$W$10005,$C206)&gt;0,1,0))</f>
        <v/>
      </c>
      <c r="CX206">
        <f>IF($C206="",0,IF(COUNTIFS('月1回_2ヶ月前の在庫'!$V$6:$V$10005,'設定'!$C$4,'月1回_2ヶ月前の在庫'!$W$6:$W$10005,$C206)&gt;0,1,0))</f>
        <v/>
      </c>
      <c r="CY206">
        <f>IF(OR($C206="",'設定'!$C$12=""),"",IF('設定'!$C$13="",IF(AND($CV206=1,$CW206=0),"新商品（今月から）",IF(AND($CV206=0,$CW206=1),"終売（今月から）","")),IF(AND($CV206=1,$CW206=0,$CX206=0),"新商品（今月から）",IF(AND($CV206=1,$CW206=1,$CX206=0),"新商品（先月から）",IF(AND($CV206=0,$CW206=1,$CX206=1),"終売（今月から）",IF(AND($CV206=0,$CW206=0,$CX206=1),"終売（先月から）",IF(AND($CV206=1,$CW206=0,$CX206=1),"復活（先月は無し）","")))))))</f>
        <v/>
      </c>
    </row>
    <row r="207">
      <c r="B207">
        <f>IF(202&lt;='設定'!$C$11,202,"")</f>
        <v/>
      </c>
      <c r="C207">
        <f>IF($B207="","",IF($B207&lt;='設定'!$C$20,INDEX('商品マスタ'!$B$6:$B$1005,MATCH($B207,'商品マスタ'!$M$6:$M$1005,0)),IF($B207&lt;='設定'!$C$20+'設定'!$C$17,INDEX('①在庫を貼る'!$W$6:$W$10005,MATCH($B207-'設定'!$C$20,'①在庫を貼る'!$U$6:$U$10005,0)),IF($B207&lt;='設定'!$C$20+'設定'!$C$17+'設定'!$C$18,INDEX('月1回_1ヶ月前の在庫'!$W$6:$W$10005,MATCH($B207-'設定'!$C$20-'設定'!$C$17,'月1回_1ヶ月前の在庫'!$U$6:$U$10005,0)),INDEX('月1回_2ヶ月前の在庫'!$W$6:$W$10005,MATCH($B207-'設定'!$C$20-'設定'!$C$17-'設定'!$C$18,'月1回_2ヶ月前の在庫'!$U$6:$U$10005,0))))))</f>
        <v/>
      </c>
      <c r="D207">
        <f>IF($C207="","",IFERROR(IF(INDEX('商品マスタ'!$C$6:$C$1005,MATCH($C207,'商品マスタ'!$B$6:$B$1005,0))="",IFERROR(INDEX('①在庫を貼る'!$J$6:$J$10005,MATCH($C207,'①在庫を貼る'!$W$6:$W$10005,0)),IFERROR(INDEX('月1回_1ヶ月前の在庫'!$J$6:$J$10005,MATCH($C207,'月1回_1ヶ月前の在庫'!$W$6:$W$10005,0)),IFERROR(INDEX('月1回_2ヶ月前の在庫'!$J$6:$J$10005,MATCH($C207,'月1回_2ヶ月前の在庫'!$W$6:$W$10005,0)),""))),INDEX('商品マスタ'!$C$6:$C$1005,MATCH($C207,'商品マスタ'!$B$6:$B$1005,0))),IFERROR(INDEX('①在庫を貼る'!$J$6:$J$10005,MATCH($C207,'①在庫を貼る'!$W$6:$W$10005,0)),IFERROR(INDEX('月1回_1ヶ月前の在庫'!$J$6:$J$10005,MATCH($C207,'月1回_1ヶ月前の在庫'!$W$6:$W$10005,0)),IFERROR(INDEX('月1回_2ヶ月前の在庫'!$J$6:$J$10005,MATCH($C207,'月1回_2ヶ月前の在庫'!$W$6:$W$10005,0)),"")))))</f>
        <v/>
      </c>
      <c r="E207">
        <f>IF($C207="","",IFERROR(IF(INDEX('商品マスタ'!$D$6:$D$1005,MATCH($C207,'商品マスタ'!$B$6:$B$1005,0))="",IFERROR(INDEX('①在庫を貼る'!$H$6:$H$10005,MATCH($C207,'①在庫を貼る'!$W$6:$W$10005,0)),IFERROR(INDEX('月1回_1ヶ月前の在庫'!$H$6:$H$10005,MATCH($C207,'月1回_1ヶ月前の在庫'!$W$6:$W$10005,0)),IFERROR(INDEX('月1回_2ヶ月前の在庫'!$H$6:$H$10005,MATCH($C207,'月1回_2ヶ月前の在庫'!$W$6:$W$10005,0)),""))),INDEX('商品マスタ'!$D$6:$D$1005,MATCH($C207,'商品マスタ'!$B$6:$B$1005,0))),IFERROR(INDEX('①在庫を貼る'!$H$6:$H$10005,MATCH($C207,'①在庫を貼る'!$W$6:$W$10005,0)),IFERROR(INDEX('月1回_1ヶ月前の在庫'!$H$6:$H$10005,MATCH($C207,'月1回_1ヶ月前の在庫'!$W$6:$W$10005,0)),IFERROR(INDEX('月1回_2ヶ月前の在庫'!$H$6:$H$10005,MATCH($C207,'月1回_2ヶ月前の在庫'!$W$6:$W$10005,0)),"")))))</f>
        <v/>
      </c>
      <c r="F207">
        <f>IF($C207="","",IFERROR(IF(INDEX('商品マスタ'!$E$6:$E$1005,MATCH($C207,'商品マスタ'!$B$6:$B$1005,0))="",IFERROR(INDEX('①在庫を貼る'!$E$6:$E$10005,MATCH($C207,'①在庫を貼る'!$W$6:$W$10005,0)),IFERROR(INDEX('月1回_1ヶ月前の在庫'!$E$6:$E$10005,MATCH($C207,'月1回_1ヶ月前の在庫'!$W$6:$W$10005,0)),IFERROR(INDEX('月1回_2ヶ月前の在庫'!$E$6:$E$10005,MATCH($C207,'月1回_2ヶ月前の在庫'!$W$6:$W$10005,0)),""))),INDEX('商品マスタ'!$E$6:$E$1005,MATCH($C207,'商品マスタ'!$B$6:$B$1005,0))),IFERROR(INDEX('①在庫を貼る'!$E$6:$E$10005,MATCH($C207,'①在庫を貼る'!$W$6:$W$10005,0)),IFERROR(INDEX('月1回_1ヶ月前の在庫'!$E$6:$E$10005,MATCH($C207,'月1回_1ヶ月前の在庫'!$W$6:$W$10005,0)),IFERROR(INDEX('月1回_2ヶ月前の在庫'!$E$6:$E$10005,MATCH($C207,'月1回_2ヶ月前の在庫'!$W$6:$W$10005,0)),"")))))</f>
        <v/>
      </c>
      <c r="G207">
        <f>IF($C207="","",MAX(1,N(IFERROR(IF(INDEX('商品マスタ'!$F$6:$F$1005,MATCH($C207,'商品マスタ'!$B$6:$B$1005,0))="",IF(COUNTIFS('①在庫を貼る'!$V$6:$V$10005,'設定'!$C$4,'①在庫を貼る'!$W$6:$W$10005,$C207)&gt;0,SUMIFS('①在庫を貼る'!$K$6:$K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K$6:$K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K$6:$K$10005,'月1回_2ヶ月前の在庫'!$V$6:$V$10005,'設定'!$C$4,'月1回_2ヶ月前の在庫'!$W$6:$W$10005,$C207)/COUNTIFS('月1回_2ヶ月前の在庫'!$V$6:$V$10005,'設定'!$C$4,'月1回_2ヶ月前の在庫'!$W$6:$W$10005,$C207),0))),INDEX('商品マスタ'!$F$6:$F$1005,MATCH($C207,'商品マスタ'!$B$6:$B$1005,0))),IF(COUNTIFS('①在庫を貼る'!$V$6:$V$10005,'設定'!$C$4,'①在庫を貼る'!$W$6:$W$10005,$C207)&gt;0,SUMIFS('①在庫を貼る'!$K$6:$K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K$6:$K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K$6:$K$10005,'月1回_2ヶ月前の在庫'!$V$6:$V$10005,'設定'!$C$4,'月1回_2ヶ月前の在庫'!$W$6:$W$10005,$C207)/COUNTIFS('月1回_2ヶ月前の在庫'!$V$6:$V$10005,'設定'!$C$4,'月1回_2ヶ月前の在庫'!$W$6:$W$10005,$C207),0)))))))</f>
        <v/>
      </c>
      <c r="H207">
        <f>IF($C207="","",N(IFERROR(IF(INDEX('商品マスタ'!$G$6:$G$1005,MATCH($C207,'商品マスタ'!$B$6:$B$1005,0))="",IF(COUNTIFS('①在庫を貼る'!$V$6:$V$10005,'設定'!$C$4,'①在庫を貼る'!$W$6:$W$10005,$C207)&gt;0,SUMIFS('①在庫を貼る'!$Q$6:$Q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Q$6:$Q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Q$6:$Q$10005,'月1回_2ヶ月前の在庫'!$V$6:$V$10005,'設定'!$C$4,'月1回_2ヶ月前の在庫'!$W$6:$W$10005,$C207)/COUNTIFS('月1回_2ヶ月前の在庫'!$V$6:$V$10005,'設定'!$C$4,'月1回_2ヶ月前の在庫'!$W$6:$W$10005,$C207),0))),INDEX('商品マスタ'!$G$6:$G$1005,MATCH($C207,'商品マスタ'!$B$6:$B$1005,0))),IF(COUNTIFS('①在庫を貼る'!$V$6:$V$10005,'設定'!$C$4,'①在庫を貼る'!$W$6:$W$10005,$C207)&gt;0,SUMIFS('①在庫を貼る'!$Q$6:$Q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Q$6:$Q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Q$6:$Q$10005,'月1回_2ヶ月前の在庫'!$V$6:$V$10005,'設定'!$C$4,'月1回_2ヶ月前の在庫'!$W$6:$W$10005,$C207)/COUNTIFS('月1回_2ヶ月前の在庫'!$V$6:$V$10005,'設定'!$C$4,'月1回_2ヶ月前の在庫'!$W$6:$W$10005,$C207),0))))))</f>
        <v/>
      </c>
      <c r="I207">
        <f>IF($C207="","",IF(COUNTIFS('①在庫を貼る'!$V$6:$V$10005,'設定'!$C$4,'①在庫を貼る'!$W$6:$W$10005,$C207)=0,"",SUMIFS('①在庫を貼る'!$N$6:$N$10005,'①在庫を貼る'!$V$6:$V$10005,'設定'!$C$4,'①在庫を貼る'!$W$6:$W$10005,$C207)))</f>
        <v/>
      </c>
      <c r="J207">
        <f>IF($C207="","",IF('②発注する'!$AD211="","",'②発注する'!$AD211))</f>
        <v/>
      </c>
      <c r="K207" s="90">
        <f>IF($C207="","",IF('②発注する'!$AE211="","",'②発注する'!$AE211))</f>
        <v/>
      </c>
      <c r="L207">
        <f>IF($C207="","",IF(AND(ISNUMBER($J207),ISNUMBER($K207),$K207&gt;='設定'!$C$6),$J207,N($I207)))</f>
        <v/>
      </c>
      <c r="M207">
        <f>IF($C207="","",IFERROR(IF(N(INDEX('商品マスタ'!$J$6:$J$1005,MATCH($C207,'商品マスタ'!$B$6:$B$1005,0)))&gt;0,INDEX('商品マスタ'!$J$6:$J$1005,MATCH($C207,'商品マスタ'!$B$6:$B$1005,0)),""),""))</f>
        <v/>
      </c>
      <c r="N207">
        <f>IF($C207="","",IFERROR(IF(N(INDEX('商品マスタ'!$H$6:$H$1005,MATCH($C207,'商品マスタ'!$B$6:$B$1005,0)))&gt;0,INDEX('商品マスタ'!$H$6:$H$1005,MATCH($C207,'商品マスタ'!$B$6:$B$1005,0)),""),""))</f>
        <v/>
      </c>
      <c r="O207">
        <f>IF($C207="","",IF($N207&lt;&gt;"",$N207*$G207,IF(N(IF(COUNTIFS('①在庫を貼る'!$V$6:$V$10005,'設定'!$C$4,'①在庫を貼る'!$W$6:$W$10005,$C207)&gt;0,SUMIFS('①在庫を貼る'!$O$6:$O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O$6:$O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O$6:$O$10005,'月1回_2ヶ月前の在庫'!$V$6:$V$10005,'設定'!$C$4,'月1回_2ヶ月前の在庫'!$W$6:$W$10005,$C207)/COUNTIFS('月1回_2ヶ月前の在庫'!$V$6:$V$10005,'設定'!$C$4,'月1回_2ヶ月前の在庫'!$W$6:$W$10005,$C207),0))))&gt;0,N(IF(COUNTIFS('①在庫を貼る'!$V$6:$V$10005,'設定'!$C$4,'①在庫を貼る'!$W$6:$W$10005,$C207)&gt;0,SUMIFS('①在庫を貼る'!$O$6:$O$10005,'①在庫を貼る'!$V$6:$V$10005,'設定'!$C$4,'①在庫を貼る'!$W$6:$W$10005,$C207)/COUNTIFS('①在庫を貼る'!$V$6:$V$10005,'設定'!$C$4,'①在庫を貼る'!$W$6:$W$10005,$C207),IF(COUNTIFS('月1回_1ヶ月前の在庫'!$V$6:$V$10005,'設定'!$C$4,'月1回_1ヶ月前の在庫'!$W$6:$W$10005,$C207)&gt;0,SUMIFS('月1回_1ヶ月前の在庫'!$O$6:$O$10005,'月1回_1ヶ月前の在庫'!$V$6:$V$10005,'設定'!$C$4,'月1回_1ヶ月前の在庫'!$W$6:$W$10005,$C207)/COUNTIFS('月1回_1ヶ月前の在庫'!$V$6:$V$10005,'設定'!$C$4,'月1回_1ヶ月前の在庫'!$W$6:$W$10005,$C207),IF(COUNTIFS('月1回_2ヶ月前の在庫'!$V$6:$V$10005,'設定'!$C$4,'月1回_2ヶ月前の在庫'!$W$6:$W$10005,$C207)&gt;0,SUMIFS('月1回_2ヶ月前の在庫'!$O$6:$O$10005,'月1回_2ヶ月前の在庫'!$V$6:$V$10005,'設定'!$C$4,'月1回_2ヶ月前の在庫'!$W$6:$W$10005,$C207)/COUNTIFS('月1回_2ヶ月前の在庫'!$V$6:$V$10005,'設定'!$C$4,'月1回_2ヶ月前の在庫'!$W$6:$W$10005,$C207),0)))),"")))</f>
        <v/>
      </c>
      <c r="P207" s="90">
        <f>IF($C207="","",IF('②発注する'!$I211="","",'②発注する'!$I211))</f>
        <v/>
      </c>
      <c r="Q207">
        <f>IF($C207="","",IF('②発注する'!$J211="","",'②発注する'!$J211))</f>
        <v/>
      </c>
      <c r="R207">
        <f>IF($C207="",0,IF(AND(ISNUMBER($P207),ISNUMBER($Q207)),MAX(0,$Q207)*$G207,0))</f>
        <v/>
      </c>
      <c r="S207" s="90">
        <f>IF($C207="","",IF('②発注する'!$M211="","",'②発注する'!$M211))</f>
        <v/>
      </c>
      <c r="T207">
        <f>IF($C207="","",IF('②発注する'!$N211="","",'②発注する'!$N211))</f>
        <v/>
      </c>
      <c r="U207">
        <f>IF($C207="",0,IF(AND(ISNUMBER($S207),ISNUMBER($T207)),MAX(0,$T207)*$G207,0))</f>
        <v/>
      </c>
      <c r="V207">
        <f>IF($C207="",0,IF($M207="",0,MAX(0,$M207)*MAX(0,V$4)/100))</f>
        <v/>
      </c>
      <c r="W207">
        <f>IF($C207="",0,IF($M207="",0,MAX(0,$M207)*MAX(0,W$4)/100))</f>
        <v/>
      </c>
      <c r="X207">
        <f>IF($C207="",0,IF($M207="",0,MAX(0,$M207)*MAX(0,X$4)/100))</f>
        <v/>
      </c>
      <c r="Y207">
        <f>IF($C207="",0,IF($M207="",0,MAX(0,$M207)*MAX(0,Y$4)/100))</f>
        <v/>
      </c>
      <c r="Z207">
        <f>IF($C207="",0,IF($M207="",0,MAX(0,$M207)*MAX(0,Z$4)/100))</f>
        <v/>
      </c>
      <c r="AA207">
        <f>IF($C207="",0,IF($M207="",0,MAX(0,$M207)*MAX(0,AA$4)/100))</f>
        <v/>
      </c>
      <c r="AB207">
        <f>IF($C207="",0,IF($M207="",0,MAX(0,$M207)*MAX(0,AB$4)/100))</f>
        <v/>
      </c>
      <c r="AC207">
        <f>IF($C207="",0,IF($M207="",0,MAX(0,$M207)*MAX(0,AC$4)/100))</f>
        <v/>
      </c>
      <c r="AD207">
        <f>IF($C207="",0,IF($M207="",0,MAX(0,$M207)*MAX(0,AD$4)/100))</f>
        <v/>
      </c>
      <c r="AE207">
        <f>IF($C207="",0,IF($M207="",0,MAX(0,$M207)*MAX(0,AE$4)/100))</f>
        <v/>
      </c>
      <c r="AF207">
        <f>IF($C207="",0,IF($M207="",0,MAX(0,$M207)*MAX(0,AF$4)/100))</f>
        <v/>
      </c>
      <c r="AG207">
        <f>IF($C207="",0,IF($M207="",0,MAX(0,$M207)*MAX(0,AG$4)/100))</f>
        <v/>
      </c>
      <c r="AH207">
        <f>IF($C207="",0,IF($M207="",0,MAX(0,$M207)*MAX(0,AH$4)/100))</f>
        <v/>
      </c>
      <c r="AI207">
        <f>IF($C207="",0,IF($M207="",0,MAX(0,$M207)*MAX(0,AI$4)/100))</f>
        <v/>
      </c>
      <c r="AJ207">
        <f>IF($C207="",0,MAX(0,MAX(0,N($L207))-$V207))</f>
        <v/>
      </c>
      <c r="AK207">
        <f>IF($C207="",0,MAX(0,$AJ207-$W207))</f>
        <v/>
      </c>
      <c r="AL207">
        <f>IF($C207="",0,MAX(0,$AK207-$X207))</f>
        <v/>
      </c>
      <c r="AM207">
        <f>IF($C207="",0,MAX(0,$AL207-$Y207))</f>
        <v/>
      </c>
      <c r="AN207">
        <f>IF($C207="",0,MAX(0,$AM207-$Z207))</f>
        <v/>
      </c>
      <c r="AO207">
        <f>IF($C207="",0,MAX(0,$AN207-$AA207))</f>
        <v/>
      </c>
      <c r="AP207">
        <f>IF($C207="",0,MAX(0,$AO207-$AB207))</f>
        <v/>
      </c>
      <c r="AQ207">
        <f>IF($C207="",0,MAX(0,$AP207-$AC207))</f>
        <v/>
      </c>
      <c r="AR207">
        <f>IF($C207="",0,MAX(0,$AQ207-$AD207))</f>
        <v/>
      </c>
      <c r="AS207">
        <f>IF($C207="",0,MAX(0,$AR207-$AE207))</f>
        <v/>
      </c>
      <c r="AT207">
        <f>IF($C207="",0,MAX(0,$AS207-$AF207))</f>
        <v/>
      </c>
      <c r="AU207">
        <f>IF($C207="",0,MAX(0,$AT207-$AG207))</f>
        <v/>
      </c>
      <c r="AV207">
        <f>IF($C207="",0,MAX(0,$AU207-$AH207))</f>
        <v/>
      </c>
      <c r="AW207">
        <f>IF($C207="",0,MAX(0,$AV207-$AI207))</f>
        <v/>
      </c>
      <c r="AX207">
        <f>IF($C207="",0,MAX(0,MAX(0,N($L207))+IF($P207=V$3,$R207,0)+IF($S207=V$3,$U207,0)-$V207))</f>
        <v/>
      </c>
      <c r="AY207">
        <f>IF($C207="",0,MAX(0,$AX207+IF($P207=W$3,$R207,0)+IF($S207=W$3,$U207,0)-$W207))</f>
        <v/>
      </c>
      <c r="AZ207">
        <f>IF($C207="",0,MAX(0,$AY207+IF($P207=X$3,$R207,0)+IF($S207=X$3,$U207,0)-$X207))</f>
        <v/>
      </c>
      <c r="BA207">
        <f>IF($C207="",0,MAX(0,$AZ207+IF($P207=Y$3,$R207,0)+IF($S207=Y$3,$U207,0)-$Y207))</f>
        <v/>
      </c>
      <c r="BB207">
        <f>IF($C207="",0,MAX(0,$BA207+IF($P207=Z$3,$R207,0)+IF($S207=Z$3,$U207,0)-$Z207))</f>
        <v/>
      </c>
      <c r="BC207">
        <f>IF($C207="",0,MAX(0,$BB207+IF($P207=AA$3,$R207,0)+IF($S207=AA$3,$U207,0)-$AA207))</f>
        <v/>
      </c>
      <c r="BD207">
        <f>IF($C207="",0,MAX(0,$BC207+IF($P207=AB$3,$R207,0)+IF($S207=AB$3,$U207,0)-$AB207))</f>
        <v/>
      </c>
      <c r="BE207">
        <f>IF($C207="",0,MAX(0,$BD207+IF($P207=AC$3,$R207,0)+IF($S207=AC$3,$U207,0)-$AC207))</f>
        <v/>
      </c>
      <c r="BF207">
        <f>IF($C207="",0,MAX(0,$BE207+IF($P207=AD$3,$R207,0)+IF($S207=AD$3,$U207,0)-$AD207))</f>
        <v/>
      </c>
      <c r="BG207">
        <f>IF($C207="",0,MAX(0,$BF207+IF($P207=AE$3,$R207,0)+IF($S207=AE$3,$U207,0)-$AE207))</f>
        <v/>
      </c>
      <c r="BH207">
        <f>IF($C207="",0,MAX(0,$BG207+IF($P207=AF$3,$R207,0)+IF($S207=AF$3,$U207,0)-$AF207))</f>
        <v/>
      </c>
      <c r="BI207">
        <f>IF($C207="",0,MAX(0,$BH207+IF($P207=AG$3,$R207,0)+IF($S207=AG$3,$U207,0)-$AG207))</f>
        <v/>
      </c>
      <c r="BJ207">
        <f>IF($C207="",0,MAX(0,$BI207+IF($P207=AH$3,$R207,0)+IF($S207=AH$3,$U207,0)-$AH207))</f>
        <v/>
      </c>
      <c r="BK207">
        <f>IF($C207="",0,MAX(0,$BJ207+IF($P207=AI$3,$R207,0)+IF($S207=AI$3,$U207,0)-$AI207))</f>
        <v/>
      </c>
      <c r="BL207">
        <f>IF($C207="",99,IF(AND($AX207&lt;1,V$3&gt;=MAX(N($P207),N($S207))),0,99))</f>
        <v/>
      </c>
      <c r="BM207">
        <f>IF($C207="",99,IF(AND($AY207&lt;1,W$3&gt;=MAX(N($P207),N($S207))),1,99))</f>
        <v/>
      </c>
      <c r="BN207">
        <f>IF($C207="",99,IF(AND($AZ207&lt;1,X$3&gt;=MAX(N($P207),N($S207))),2,99))</f>
        <v/>
      </c>
      <c r="BO207">
        <f>IF($C207="",99,IF(AND($BA207&lt;1,Y$3&gt;=MAX(N($P207),N($S207))),3,99))</f>
        <v/>
      </c>
      <c r="BP207">
        <f>IF($C207="",99,IF(AND($BB207&lt;1,Z$3&gt;=MAX(N($P207),N($S207))),4,99))</f>
        <v/>
      </c>
      <c r="BQ207">
        <f>IF($C207="",99,IF(AND($BC207&lt;1,AA$3&gt;=MAX(N($P207),N($S207))),5,99))</f>
        <v/>
      </c>
      <c r="BR207">
        <f>IF($C207="",99,IF(AND($BD207&lt;1,AB$3&gt;=MAX(N($P207),N($S207))),6,99))</f>
        <v/>
      </c>
      <c r="BS207">
        <f>IF($C207="",99,IF(AND($BE207&lt;1,AC$3&gt;=MAX(N($P207),N($S207))),7,99))</f>
        <v/>
      </c>
      <c r="BT207">
        <f>IF($C207="",99,IF(AND($BF207&lt;1,AD$3&gt;=MAX(N($P207),N($S207))),8,99))</f>
        <v/>
      </c>
      <c r="BU207">
        <f>IF($C207="",99,IF(AND($BG207&lt;1,AE$3&gt;=MAX(N($P207),N($S207))),9,99))</f>
        <v/>
      </c>
      <c r="BV207">
        <f>IF($C207="",99,IF(AND($BH207&lt;1,AF$3&gt;=MAX(N($P207),N($S207))),10,99))</f>
        <v/>
      </c>
      <c r="BW207">
        <f>IF($C207="",99,IF(AND($BI207&lt;1,AG$3&gt;=MAX(N($P207),N($S207))),11,99))</f>
        <v/>
      </c>
      <c r="BX207">
        <f>IF($C207="",99,IF(AND($BJ207&lt;1,AH$3&gt;=MAX(N($P207),N($S207))),12,99))</f>
        <v/>
      </c>
      <c r="BY207">
        <f>IF($C207="",99,IF(AND($BK207&lt;1,AI$3&gt;=MAX(N($P207),N($S207))),13,99))</f>
        <v/>
      </c>
      <c r="BZ207">
        <f>IF(OR($C207="",$M207=""),"",COUNTIF($AJ207:$AW207,"&gt;=1"))</f>
        <v/>
      </c>
      <c r="CA207" s="90">
        <f>IF($BZ207="","",IF($BZ207&gt;=14,"",'設定'!$C$6+$BZ207))</f>
        <v/>
      </c>
      <c r="CB207">
        <f>IF(OR($C207="",$M207=""),"",MIN($BL207:$BY207))</f>
        <v/>
      </c>
      <c r="CC207" s="90">
        <f>IF($CB207="","",IF($CB207&gt;=99,"",'設定'!$C$6+$CB207))</f>
        <v/>
      </c>
      <c r="CD207">
        <f>IF(OR($C207="",$M207=""),"",AVERAGE($V207:$AI207))</f>
        <v/>
      </c>
      <c r="CE207">
        <f>IF($C207="","",IFERROR(IF(MATCH(IF(ISNUMBER($P207),$P207,'設定'!$C$6+N('設定'!$C$7)),$V$3:$AI$3,0)=1,MAX(0,N($L207)),INDEX($AJ207:$AW207,MATCH(IF(ISNUMBER($P207),$P207,'設定'!$C$6+N('設定'!$C$7)),$V$3:$AI$3,0)-1)),""))</f>
        <v/>
      </c>
      <c r="CF207">
        <f>IF(OR($C207="",$O207="",$CE207=""),"",IF($O207-$CE207&lt;=0,0,ROUNDUP(($O207-$CE207)/$G207,0)))</f>
        <v/>
      </c>
      <c r="CG207">
        <f>IF(OR($C207="",$CF207="",NOT(ISNUMBER($Q207))),0,MAX(0,$Q207-$CF207))</f>
        <v/>
      </c>
      <c r="CH207">
        <f>IF(OR($C207="",$O207="",$U207=0),0,IFERROR(ROUNDUP(MAX(0,IF(MATCH($S207,$V$3:$AI$3,0)=1,MAX(0,N($L207)),INDEX($AX207:$BK207,MATCH($S207,$V$3:$AI$3,0)-1))+$U207-$O207)/$G207,0),0))</f>
        <v/>
      </c>
      <c r="CI207">
        <f>IF($C207="","",IF(AND($P207="",$Q207=""),"",IF($P207="","⚠ 入庫日を ▼ から選んでください",IF(NOT(ISNUMBER($P207)),"⚠ 入庫日は ▼ から選んでください",IF($P207&lt;N('設定'!$C$6),"⚠ 入庫日が過去です（もう在庫に入っています）→ 消してください",IF($P207&gt;N('設定'!$C$6)+13,"⚠ 入庫日が14日より先です",IF(N($Q207)&lt;=0,"⚠ 入庫数を入れてください",IF($CG207&gt;0,"⚠ 目安より "&amp;$CG207&amp;" 多い（定数を超える）→ 減らす",""))))))))</f>
        <v/>
      </c>
      <c r="CJ207">
        <f>IF($C207="","",IF(AND($S207="",$T207=""),"",IF($S207="","⚠ 2便目：入庫日を ▼ から選んでください",IF(NOT(ISNUMBER($S207)),"⚠ 2便目：入庫日は ▼ から選んでください",IF($S207&lt;N('設定'!$C$6),"⚠ 2便目：入庫日が過去です（もう在庫に入っています）→ 消してください",IF($S207&gt;N('設定'!$C$6)+13,"⚠ 2便目：入庫日が14日より先です",IF(N($T207)&lt;=0,"⚠ 2便目：入庫数を入れてください",IF($CH207&gt;0,"⚠ 2便目：定数を "&amp;$CH207&amp;" ケース超える → 減らす",""))))))))</f>
        <v/>
      </c>
      <c r="CK207">
        <f>IF(AND($CI207="",N($Q207)&gt;0,ISNUMBER($P207)),1,0)</f>
        <v/>
      </c>
      <c r="CL207">
        <f>IF(AND($CJ207="",N($T207)&gt;0,ISNUMBER($S207)),1,0)</f>
        <v/>
      </c>
      <c r="CM207">
        <f>IF(OR($CK207=1,$CL207=1),1,0)</f>
        <v/>
      </c>
      <c r="CN207">
        <f>IF($C207="",0,($CK207*$R207+$CL207*$U207)*N($H207))</f>
        <v/>
      </c>
      <c r="CO207">
        <f>IF($C207="","",IF($CC207="","入庫後は 14日以上もつ",IF($CC207-N('設定'!$C$7)&lt;='設定'!$C$6,"入庫後も "&amp;TEXT($CC207,"m/d")&amp;"("&amp;CHOOSE(WEEKDAY($CC207),"日","月","火","水","木","金","土")&amp;")"&amp;" に切れる　もう1便を至急発注","入庫後も "&amp;TEXT($CC207,"m/d")&amp;"("&amp;CHOOSE(WEEKDAY($CC207),"日","月","火","水","木","金","土")&amp;")"&amp;" に切れる　"&amp;TEXT($CC207-N('設定'!$C$7),"m/d")&amp;"("&amp;CHOOSE(WEEKDAY($CC207-N('設定'!$C$7)),"日","月","火","水","木","金","土")&amp;")"&amp;" までに次を発注")))</f>
        <v/>
      </c>
      <c r="CP207">
        <f>IF($C207="","",IF('設定'!$C$6="","？ ①在庫を貼る に今日のCSVが貼られていない",IF($CS207=1,"－ 今日のCSVに無い（終売？）",IF($L207&lt;0,"● 在庫がマイナス　数えて「数えた在庫」に入れる",IF($L207=0,"● 在庫なし　至急発注",IF($M207="","？ 減り数が未設定（商品マスタ）",IF($B$3=0,"？ 動員が未入力（動員を入れる）",IF($CA207="","○ 14日以上もつ",IF($BZ207&lt;N('設定'!$C$7),"● "&amp;TEXT($CA207,"m/d")&amp;"("&amp;CHOOSE(WEEKDAY($CA207),"日","月","火","水","木","金","土")&amp;")"&amp;" に切れる　至急発注",IF($BZ207=N('設定'!$C$7),"● "&amp;TEXT($CA207,"m/d")&amp;"("&amp;CHOOSE(WEEKDAY($CA207),"日","月","火","水","木","金","土")&amp;")"&amp;" に切れる　今日発注","△ "&amp;TEXT($CA207,"m/d")&amp;"("&amp;CHOOSE(WEEKDAY($CA207),"日","月","火","水","木","金","土")&amp;")"&amp;" に切れる　"&amp;TEXT($CA207-N('設定'!$C$7),"m/d")&amp;"("&amp;CHOOSE(WEEKDAY($CA207-N('設定'!$C$7)),"日","月","火","水","木","金","土")&amp;")"&amp;" までに発注"))))))))))</f>
        <v/>
      </c>
      <c r="CQ207">
        <f>IF($C207="","",IF(AND($P207="",$Q207="",$S207="",$T207=""),"",IF(AND($P207="",$Q207=""),"⚠ 先に1便目（左の入庫日・入庫数）に入れてください",IF($CI207&lt;&gt;"",$CI207,IF($CJ207&lt;&gt;"",$CJ207,IF($M207="","？ 減り数が未設定（発注書には載ります）",IF($B$3=0,"？ 動員が未入力（発注書には載ります）",IF(AND($CA207&lt;&gt;"",$P207&gt;$CA207),IF($P207&gt;'設定'!$C$6+N('設定'!$C$7),"● "&amp;TEXT($P207,"m/d")&amp;"("&amp;CHOOSE(WEEKDAY($P207),"日","月","火","水","木","金","土")&amp;")"&amp;" の入庫では間に合わない（"&amp;TEXT($CA207,"m/d")&amp;"("&amp;CHOOSE(WEEKDAY($CA207),"日","月","火","水","木","金","土")&amp;")"&amp;" に切れる）　入庫日を早める","△ 欠品 "&amp;TEXT($CA207,"m/d")&amp;"("&amp;CHOOSE(WEEKDAY($CA207),"日","月","火","水","木","金","土")&amp;")"&amp;"〜"&amp;TEXT($P207-1,"m/d")&amp;"("&amp;CHOOSE(WEEKDAY($P207-1),"日","月","火","水","木","金","土")&amp;")"&amp;"　"&amp;$CO207),IF($CC207="","○ "&amp;TEXT($P207,"m/d")&amp;"("&amp;CHOOSE(WEEKDAY($P207),"日","月","火","水","木","金","土")&amp;")"&amp;" 入庫で 14日以上もつ",IF($CC207-N('設定'!$C$7)&lt;='設定'!$C$6,"● 入庫しても "&amp;TEXT($CC207,"m/d")&amp;"("&amp;CHOOSE(WEEKDAY($CC207),"日","月","火","水","木","金","土")&amp;")"&amp;" に切れる　もう1便を至急発注（2便目に入れる）","△ 入庫しても "&amp;TEXT($CC207,"m/d")&amp;"("&amp;CHOOSE(WEEKDAY($CC207),"日","月","火","水","木","金","土")&amp;")"&amp;" に切れる　"&amp;TEXT($CC207-N('設定'!$C$7),"m/d")&amp;"("&amp;CHOOSE(WEEKDAY($CC207-N('設定'!$C$7)),"日","月","火","水","木","金","土")&amp;")"&amp;" までに次を発注（2便目に入れる）"))))))))))</f>
        <v/>
      </c>
      <c r="CR207">
        <f>IF($C207="","",IF($G207&gt;1,"ｹｰｽ("&amp;$G207&amp;"入)","個"))</f>
        <v/>
      </c>
      <c r="CS207">
        <f>IF($C207="",0,IF(COUNTIFS('①在庫を貼る'!$V$6:$V$10005,'設定'!$C$4,'①在庫を貼る'!$W$6:$W$10005,$C207)=0,1,0))</f>
        <v/>
      </c>
      <c r="CT207">
        <f>IF(AND($CK207=1,OR('③発注書'!$C$4="すべて",'③発注書'!$C$4="",$F207='③発注書'!$C$4)),N($CT206)+1,N($CT206))</f>
        <v/>
      </c>
      <c r="CU207">
        <f>IF(AND($CL207=1,OR('③発注書'!$C$4="すべて",'③発注書'!$C$4="",$F207='③発注書'!$C$4)),N($CU206)+1,N($CU206))</f>
        <v/>
      </c>
      <c r="CV207">
        <f>IF($C207="",0,IF(COUNTIFS('①在庫を貼る'!$V$6:$V$10005,'設定'!$C$4,'①在庫を貼る'!$W$6:$W$10005,$C207)&gt;0,1,0))</f>
        <v/>
      </c>
      <c r="CW207">
        <f>IF($C207="",0,IF(COUNTIFS('月1回_1ヶ月前の在庫'!$V$6:$V$10005,'設定'!$C$4,'月1回_1ヶ月前の在庫'!$W$6:$W$10005,$C207)&gt;0,1,0))</f>
        <v/>
      </c>
      <c r="CX207">
        <f>IF($C207="",0,IF(COUNTIFS('月1回_2ヶ月前の在庫'!$V$6:$V$10005,'設定'!$C$4,'月1回_2ヶ月前の在庫'!$W$6:$W$10005,$C207)&gt;0,1,0))</f>
        <v/>
      </c>
      <c r="CY207">
        <f>IF(OR($C207="",'設定'!$C$12=""),"",IF('設定'!$C$13="",IF(AND($CV207=1,$CW207=0),"新商品（今月から）",IF(AND($CV207=0,$CW207=1),"終売（今月から）","")),IF(AND($CV207=1,$CW207=0,$CX207=0),"新商品（今月から）",IF(AND($CV207=1,$CW207=1,$CX207=0),"新商品（先月から）",IF(AND($CV207=0,$CW207=1,$CX207=1),"終売（今月から）",IF(AND($CV207=0,$CW207=0,$CX207=1),"終売（先月から）",IF(AND($CV207=1,$CW207=0,$CX207=1),"復活（先月は無し）","")))))))</f>
        <v/>
      </c>
    </row>
    <row r="208">
      <c r="B208">
        <f>IF(203&lt;='設定'!$C$11,203,"")</f>
        <v/>
      </c>
      <c r="C208">
        <f>IF($B208="","",IF($B208&lt;='設定'!$C$20,INDEX('商品マスタ'!$B$6:$B$1005,MATCH($B208,'商品マスタ'!$M$6:$M$1005,0)),IF($B208&lt;='設定'!$C$20+'設定'!$C$17,INDEX('①在庫を貼る'!$W$6:$W$10005,MATCH($B208-'設定'!$C$20,'①在庫を貼る'!$U$6:$U$10005,0)),IF($B208&lt;='設定'!$C$20+'設定'!$C$17+'設定'!$C$18,INDEX('月1回_1ヶ月前の在庫'!$W$6:$W$10005,MATCH($B208-'設定'!$C$20-'設定'!$C$17,'月1回_1ヶ月前の在庫'!$U$6:$U$10005,0)),INDEX('月1回_2ヶ月前の在庫'!$W$6:$W$10005,MATCH($B208-'設定'!$C$20-'設定'!$C$17-'設定'!$C$18,'月1回_2ヶ月前の在庫'!$U$6:$U$10005,0))))))</f>
        <v/>
      </c>
      <c r="D208">
        <f>IF($C208="","",IFERROR(IF(INDEX('商品マスタ'!$C$6:$C$1005,MATCH($C208,'商品マスタ'!$B$6:$B$1005,0))="",IFERROR(INDEX('①在庫を貼る'!$J$6:$J$10005,MATCH($C208,'①在庫を貼る'!$W$6:$W$10005,0)),IFERROR(INDEX('月1回_1ヶ月前の在庫'!$J$6:$J$10005,MATCH($C208,'月1回_1ヶ月前の在庫'!$W$6:$W$10005,0)),IFERROR(INDEX('月1回_2ヶ月前の在庫'!$J$6:$J$10005,MATCH($C208,'月1回_2ヶ月前の在庫'!$W$6:$W$10005,0)),""))),INDEX('商品マスタ'!$C$6:$C$1005,MATCH($C208,'商品マスタ'!$B$6:$B$1005,0))),IFERROR(INDEX('①在庫を貼る'!$J$6:$J$10005,MATCH($C208,'①在庫を貼る'!$W$6:$W$10005,0)),IFERROR(INDEX('月1回_1ヶ月前の在庫'!$J$6:$J$10005,MATCH($C208,'月1回_1ヶ月前の在庫'!$W$6:$W$10005,0)),IFERROR(INDEX('月1回_2ヶ月前の在庫'!$J$6:$J$10005,MATCH($C208,'月1回_2ヶ月前の在庫'!$W$6:$W$10005,0)),"")))))</f>
        <v/>
      </c>
      <c r="E208">
        <f>IF($C208="","",IFERROR(IF(INDEX('商品マスタ'!$D$6:$D$1005,MATCH($C208,'商品マスタ'!$B$6:$B$1005,0))="",IFERROR(INDEX('①在庫を貼る'!$H$6:$H$10005,MATCH($C208,'①在庫を貼る'!$W$6:$W$10005,0)),IFERROR(INDEX('月1回_1ヶ月前の在庫'!$H$6:$H$10005,MATCH($C208,'月1回_1ヶ月前の在庫'!$W$6:$W$10005,0)),IFERROR(INDEX('月1回_2ヶ月前の在庫'!$H$6:$H$10005,MATCH($C208,'月1回_2ヶ月前の在庫'!$W$6:$W$10005,0)),""))),INDEX('商品マスタ'!$D$6:$D$1005,MATCH($C208,'商品マスタ'!$B$6:$B$1005,0))),IFERROR(INDEX('①在庫を貼る'!$H$6:$H$10005,MATCH($C208,'①在庫を貼る'!$W$6:$W$10005,0)),IFERROR(INDEX('月1回_1ヶ月前の在庫'!$H$6:$H$10005,MATCH($C208,'月1回_1ヶ月前の在庫'!$W$6:$W$10005,0)),IFERROR(INDEX('月1回_2ヶ月前の在庫'!$H$6:$H$10005,MATCH($C208,'月1回_2ヶ月前の在庫'!$W$6:$W$10005,0)),"")))))</f>
        <v/>
      </c>
      <c r="F208">
        <f>IF($C208="","",IFERROR(IF(INDEX('商品マスタ'!$E$6:$E$1005,MATCH($C208,'商品マスタ'!$B$6:$B$1005,0))="",IFERROR(INDEX('①在庫を貼る'!$E$6:$E$10005,MATCH($C208,'①在庫を貼る'!$W$6:$W$10005,0)),IFERROR(INDEX('月1回_1ヶ月前の在庫'!$E$6:$E$10005,MATCH($C208,'月1回_1ヶ月前の在庫'!$W$6:$W$10005,0)),IFERROR(INDEX('月1回_2ヶ月前の在庫'!$E$6:$E$10005,MATCH($C208,'月1回_2ヶ月前の在庫'!$W$6:$W$10005,0)),""))),INDEX('商品マスタ'!$E$6:$E$1005,MATCH($C208,'商品マスタ'!$B$6:$B$1005,0))),IFERROR(INDEX('①在庫を貼る'!$E$6:$E$10005,MATCH($C208,'①在庫を貼る'!$W$6:$W$10005,0)),IFERROR(INDEX('月1回_1ヶ月前の在庫'!$E$6:$E$10005,MATCH($C208,'月1回_1ヶ月前の在庫'!$W$6:$W$10005,0)),IFERROR(INDEX('月1回_2ヶ月前の在庫'!$E$6:$E$10005,MATCH($C208,'月1回_2ヶ月前の在庫'!$W$6:$W$10005,0)),"")))))</f>
        <v/>
      </c>
      <c r="G208">
        <f>IF($C208="","",MAX(1,N(IFERROR(IF(INDEX('商品マスタ'!$F$6:$F$1005,MATCH($C208,'商品マスタ'!$B$6:$B$1005,0))="",IF(COUNTIFS('①在庫を貼る'!$V$6:$V$10005,'設定'!$C$4,'①在庫を貼る'!$W$6:$W$10005,$C208)&gt;0,SUMIFS('①在庫を貼る'!$K$6:$K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K$6:$K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K$6:$K$10005,'月1回_2ヶ月前の在庫'!$V$6:$V$10005,'設定'!$C$4,'月1回_2ヶ月前の在庫'!$W$6:$W$10005,$C208)/COUNTIFS('月1回_2ヶ月前の在庫'!$V$6:$V$10005,'設定'!$C$4,'月1回_2ヶ月前の在庫'!$W$6:$W$10005,$C208),0))),INDEX('商品マスタ'!$F$6:$F$1005,MATCH($C208,'商品マスタ'!$B$6:$B$1005,0))),IF(COUNTIFS('①在庫を貼る'!$V$6:$V$10005,'設定'!$C$4,'①在庫を貼る'!$W$6:$W$10005,$C208)&gt;0,SUMIFS('①在庫を貼る'!$K$6:$K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K$6:$K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K$6:$K$10005,'月1回_2ヶ月前の在庫'!$V$6:$V$10005,'設定'!$C$4,'月1回_2ヶ月前の在庫'!$W$6:$W$10005,$C208)/COUNTIFS('月1回_2ヶ月前の在庫'!$V$6:$V$10005,'設定'!$C$4,'月1回_2ヶ月前の在庫'!$W$6:$W$10005,$C208),0)))))))</f>
        <v/>
      </c>
      <c r="H208">
        <f>IF($C208="","",N(IFERROR(IF(INDEX('商品マスタ'!$G$6:$G$1005,MATCH($C208,'商品マスタ'!$B$6:$B$1005,0))="",IF(COUNTIFS('①在庫を貼る'!$V$6:$V$10005,'設定'!$C$4,'①在庫を貼る'!$W$6:$W$10005,$C208)&gt;0,SUMIFS('①在庫を貼る'!$Q$6:$Q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Q$6:$Q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Q$6:$Q$10005,'月1回_2ヶ月前の在庫'!$V$6:$V$10005,'設定'!$C$4,'月1回_2ヶ月前の在庫'!$W$6:$W$10005,$C208)/COUNTIFS('月1回_2ヶ月前の在庫'!$V$6:$V$10005,'設定'!$C$4,'月1回_2ヶ月前の在庫'!$W$6:$W$10005,$C208),0))),INDEX('商品マスタ'!$G$6:$G$1005,MATCH($C208,'商品マスタ'!$B$6:$B$1005,0))),IF(COUNTIFS('①在庫を貼る'!$V$6:$V$10005,'設定'!$C$4,'①在庫を貼る'!$W$6:$W$10005,$C208)&gt;0,SUMIFS('①在庫を貼る'!$Q$6:$Q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Q$6:$Q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Q$6:$Q$10005,'月1回_2ヶ月前の在庫'!$V$6:$V$10005,'設定'!$C$4,'月1回_2ヶ月前の在庫'!$W$6:$W$10005,$C208)/COUNTIFS('月1回_2ヶ月前の在庫'!$V$6:$V$10005,'設定'!$C$4,'月1回_2ヶ月前の在庫'!$W$6:$W$10005,$C208),0))))))</f>
        <v/>
      </c>
      <c r="I208">
        <f>IF($C208="","",IF(COUNTIFS('①在庫を貼る'!$V$6:$V$10005,'設定'!$C$4,'①在庫を貼る'!$W$6:$W$10005,$C208)=0,"",SUMIFS('①在庫を貼る'!$N$6:$N$10005,'①在庫を貼る'!$V$6:$V$10005,'設定'!$C$4,'①在庫を貼る'!$W$6:$W$10005,$C208)))</f>
        <v/>
      </c>
      <c r="J208">
        <f>IF($C208="","",IF('②発注する'!$AD212="","",'②発注する'!$AD212))</f>
        <v/>
      </c>
      <c r="K208" s="90">
        <f>IF($C208="","",IF('②発注する'!$AE212="","",'②発注する'!$AE212))</f>
        <v/>
      </c>
      <c r="L208">
        <f>IF($C208="","",IF(AND(ISNUMBER($J208),ISNUMBER($K208),$K208&gt;='設定'!$C$6),$J208,N($I208)))</f>
        <v/>
      </c>
      <c r="M208">
        <f>IF($C208="","",IFERROR(IF(N(INDEX('商品マスタ'!$J$6:$J$1005,MATCH($C208,'商品マスタ'!$B$6:$B$1005,0)))&gt;0,INDEX('商品マスタ'!$J$6:$J$1005,MATCH($C208,'商品マスタ'!$B$6:$B$1005,0)),""),""))</f>
        <v/>
      </c>
      <c r="N208">
        <f>IF($C208="","",IFERROR(IF(N(INDEX('商品マスタ'!$H$6:$H$1005,MATCH($C208,'商品マスタ'!$B$6:$B$1005,0)))&gt;0,INDEX('商品マスタ'!$H$6:$H$1005,MATCH($C208,'商品マスタ'!$B$6:$B$1005,0)),""),""))</f>
        <v/>
      </c>
      <c r="O208">
        <f>IF($C208="","",IF($N208&lt;&gt;"",$N208*$G208,IF(N(IF(COUNTIFS('①在庫を貼る'!$V$6:$V$10005,'設定'!$C$4,'①在庫を貼る'!$W$6:$W$10005,$C208)&gt;0,SUMIFS('①在庫を貼る'!$O$6:$O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O$6:$O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O$6:$O$10005,'月1回_2ヶ月前の在庫'!$V$6:$V$10005,'設定'!$C$4,'月1回_2ヶ月前の在庫'!$W$6:$W$10005,$C208)/COUNTIFS('月1回_2ヶ月前の在庫'!$V$6:$V$10005,'設定'!$C$4,'月1回_2ヶ月前の在庫'!$W$6:$W$10005,$C208),0))))&gt;0,N(IF(COUNTIFS('①在庫を貼る'!$V$6:$V$10005,'設定'!$C$4,'①在庫を貼る'!$W$6:$W$10005,$C208)&gt;0,SUMIFS('①在庫を貼る'!$O$6:$O$10005,'①在庫を貼る'!$V$6:$V$10005,'設定'!$C$4,'①在庫を貼る'!$W$6:$W$10005,$C208)/COUNTIFS('①在庫を貼る'!$V$6:$V$10005,'設定'!$C$4,'①在庫を貼る'!$W$6:$W$10005,$C208),IF(COUNTIFS('月1回_1ヶ月前の在庫'!$V$6:$V$10005,'設定'!$C$4,'月1回_1ヶ月前の在庫'!$W$6:$W$10005,$C208)&gt;0,SUMIFS('月1回_1ヶ月前の在庫'!$O$6:$O$10005,'月1回_1ヶ月前の在庫'!$V$6:$V$10005,'設定'!$C$4,'月1回_1ヶ月前の在庫'!$W$6:$W$10005,$C208)/COUNTIFS('月1回_1ヶ月前の在庫'!$V$6:$V$10005,'設定'!$C$4,'月1回_1ヶ月前の在庫'!$W$6:$W$10005,$C208),IF(COUNTIFS('月1回_2ヶ月前の在庫'!$V$6:$V$10005,'設定'!$C$4,'月1回_2ヶ月前の在庫'!$W$6:$W$10005,$C208)&gt;0,SUMIFS('月1回_2ヶ月前の在庫'!$O$6:$O$10005,'月1回_2ヶ月前の在庫'!$V$6:$V$10005,'設定'!$C$4,'月1回_2ヶ月前の在庫'!$W$6:$W$10005,$C208)/COUNTIFS('月1回_2ヶ月前の在庫'!$V$6:$V$10005,'設定'!$C$4,'月1回_2ヶ月前の在庫'!$W$6:$W$10005,$C208),0)))),"")))</f>
        <v/>
      </c>
      <c r="P208" s="90">
        <f>IF($C208="","",IF('②発注する'!$I212="","",'②発注する'!$I212))</f>
        <v/>
      </c>
      <c r="Q208">
        <f>IF($C208="","",IF('②発注する'!$J212="","",'②発注する'!$J212))</f>
        <v/>
      </c>
      <c r="R208">
        <f>IF($C208="",0,IF(AND(ISNUMBER($P208),ISNUMBER($Q208)),MAX(0,$Q208)*$G208,0))</f>
        <v/>
      </c>
      <c r="S208" s="90">
        <f>IF($C208="","",IF('②発注する'!$M212="","",'②発注する'!$M212))</f>
        <v/>
      </c>
      <c r="T208">
        <f>IF($C208="","",IF('②発注する'!$N212="","",'②発注する'!$N212))</f>
        <v/>
      </c>
      <c r="U208">
        <f>IF($C208="",0,IF(AND(ISNUMBER($S208),ISNUMBER($T208)),MAX(0,$T208)*$G208,0))</f>
        <v/>
      </c>
      <c r="V208">
        <f>IF($C208="",0,IF($M208="",0,MAX(0,$M208)*MAX(0,V$4)/100))</f>
        <v/>
      </c>
      <c r="W208">
        <f>IF($C208="",0,IF($M208="",0,MAX(0,$M208)*MAX(0,W$4)/100))</f>
        <v/>
      </c>
      <c r="X208">
        <f>IF($C208="",0,IF($M208="",0,MAX(0,$M208)*MAX(0,X$4)/100))</f>
        <v/>
      </c>
      <c r="Y208">
        <f>IF($C208="",0,IF($M208="",0,MAX(0,$M208)*MAX(0,Y$4)/100))</f>
        <v/>
      </c>
      <c r="Z208">
        <f>IF($C208="",0,IF($M208="",0,MAX(0,$M208)*MAX(0,Z$4)/100))</f>
        <v/>
      </c>
      <c r="AA208">
        <f>IF($C208="",0,IF($M208="",0,MAX(0,$M208)*MAX(0,AA$4)/100))</f>
        <v/>
      </c>
      <c r="AB208">
        <f>IF($C208="",0,IF($M208="",0,MAX(0,$M208)*MAX(0,AB$4)/100))</f>
        <v/>
      </c>
      <c r="AC208">
        <f>IF($C208="",0,IF($M208="",0,MAX(0,$M208)*MAX(0,AC$4)/100))</f>
        <v/>
      </c>
      <c r="AD208">
        <f>IF($C208="",0,IF($M208="",0,MAX(0,$M208)*MAX(0,AD$4)/100))</f>
        <v/>
      </c>
      <c r="AE208">
        <f>IF($C208="",0,IF($M208="",0,MAX(0,$M208)*MAX(0,AE$4)/100))</f>
        <v/>
      </c>
      <c r="AF208">
        <f>IF($C208="",0,IF($M208="",0,MAX(0,$M208)*MAX(0,AF$4)/100))</f>
        <v/>
      </c>
      <c r="AG208">
        <f>IF($C208="",0,IF($M208="",0,MAX(0,$M208)*MAX(0,AG$4)/100))</f>
        <v/>
      </c>
      <c r="AH208">
        <f>IF($C208="",0,IF($M208="",0,MAX(0,$M208)*MAX(0,AH$4)/100))</f>
        <v/>
      </c>
      <c r="AI208">
        <f>IF($C208="",0,IF($M208="",0,MAX(0,$M208)*MAX(0,AI$4)/100))</f>
        <v/>
      </c>
      <c r="AJ208">
        <f>IF($C208="",0,MAX(0,MAX(0,N($L208))-$V208))</f>
        <v/>
      </c>
      <c r="AK208">
        <f>IF($C208="",0,MAX(0,$AJ208-$W208))</f>
        <v/>
      </c>
      <c r="AL208">
        <f>IF($C208="",0,MAX(0,$AK208-$X208))</f>
        <v/>
      </c>
      <c r="AM208">
        <f>IF($C208="",0,MAX(0,$AL208-$Y208))</f>
        <v/>
      </c>
      <c r="AN208">
        <f>IF($C208="",0,MAX(0,$AM208-$Z208))</f>
        <v/>
      </c>
      <c r="AO208">
        <f>IF($C208="",0,MAX(0,$AN208-$AA208))</f>
        <v/>
      </c>
      <c r="AP208">
        <f>IF($C208="",0,MAX(0,$AO208-$AB208))</f>
        <v/>
      </c>
      <c r="AQ208">
        <f>IF($C208="",0,MAX(0,$AP208-$AC208))</f>
        <v/>
      </c>
      <c r="AR208">
        <f>IF($C208="",0,MAX(0,$AQ208-$AD208))</f>
        <v/>
      </c>
      <c r="AS208">
        <f>IF($C208="",0,MAX(0,$AR208-$AE208))</f>
        <v/>
      </c>
      <c r="AT208">
        <f>IF($C208="",0,MAX(0,$AS208-$AF208))</f>
        <v/>
      </c>
      <c r="AU208">
        <f>IF($C208="",0,MAX(0,$AT208-$AG208))</f>
        <v/>
      </c>
      <c r="AV208">
        <f>IF($C208="",0,MAX(0,$AU208-$AH208))</f>
        <v/>
      </c>
      <c r="AW208">
        <f>IF($C208="",0,MAX(0,$AV208-$AI208))</f>
        <v/>
      </c>
      <c r="AX208">
        <f>IF($C208="",0,MAX(0,MAX(0,N($L208))+IF($P208=V$3,$R208,0)+IF($S208=V$3,$U208,0)-$V208))</f>
        <v/>
      </c>
      <c r="AY208">
        <f>IF($C208="",0,MAX(0,$AX208+IF($P208=W$3,$R208,0)+IF($S208=W$3,$U208,0)-$W208))</f>
        <v/>
      </c>
      <c r="AZ208">
        <f>IF($C208="",0,MAX(0,$AY208+IF($P208=X$3,$R208,0)+IF($S208=X$3,$U208,0)-$X208))</f>
        <v/>
      </c>
      <c r="BA208">
        <f>IF($C208="",0,MAX(0,$AZ208+IF($P208=Y$3,$R208,0)+IF($S208=Y$3,$U208,0)-$Y208))</f>
        <v/>
      </c>
      <c r="BB208">
        <f>IF($C208="",0,MAX(0,$BA208+IF($P208=Z$3,$R208,0)+IF($S208=Z$3,$U208,0)-$Z208))</f>
        <v/>
      </c>
      <c r="BC208">
        <f>IF($C208="",0,MAX(0,$BB208+IF($P208=AA$3,$R208,0)+IF($S208=AA$3,$U208,0)-$AA208))</f>
        <v/>
      </c>
      <c r="BD208">
        <f>IF($C208="",0,MAX(0,$BC208+IF($P208=AB$3,$R208,0)+IF($S208=AB$3,$U208,0)-$AB208))</f>
        <v/>
      </c>
      <c r="BE208">
        <f>IF($C208="",0,MAX(0,$BD208+IF($P208=AC$3,$R208,0)+IF($S208=AC$3,$U208,0)-$AC208))</f>
        <v/>
      </c>
      <c r="BF208">
        <f>IF($C208="",0,MAX(0,$BE208+IF($P208=AD$3,$R208,0)+IF($S208=AD$3,$U208,0)-$AD208))</f>
        <v/>
      </c>
      <c r="BG208">
        <f>IF($C208="",0,MAX(0,$BF208+IF($P208=AE$3,$R208,0)+IF($S208=AE$3,$U208,0)-$AE208))</f>
        <v/>
      </c>
      <c r="BH208">
        <f>IF($C208="",0,MAX(0,$BG208+IF($P208=AF$3,$R208,0)+IF($S208=AF$3,$U208,0)-$AF208))</f>
        <v/>
      </c>
      <c r="BI208">
        <f>IF($C208="",0,MAX(0,$BH208+IF($P208=AG$3,$R208,0)+IF($S208=AG$3,$U208,0)-$AG208))</f>
        <v/>
      </c>
      <c r="BJ208">
        <f>IF($C208="",0,MAX(0,$BI208+IF($P208=AH$3,$R208,0)+IF($S208=AH$3,$U208,0)-$AH208))</f>
        <v/>
      </c>
      <c r="BK208">
        <f>IF($C208="",0,MAX(0,$BJ208+IF($P208=AI$3,$R208,0)+IF($S208=AI$3,$U208,0)-$AI208))</f>
        <v/>
      </c>
      <c r="BL208">
        <f>IF($C208="",99,IF(AND($AX208&lt;1,V$3&gt;=MAX(N($P208),N($S208))),0,99))</f>
        <v/>
      </c>
      <c r="BM208">
        <f>IF($C208="",99,IF(AND($AY208&lt;1,W$3&gt;=MAX(N($P208),N($S208))),1,99))</f>
        <v/>
      </c>
      <c r="BN208">
        <f>IF($C208="",99,IF(AND($AZ208&lt;1,X$3&gt;=MAX(N($P208),N($S208))),2,99))</f>
        <v/>
      </c>
      <c r="BO208">
        <f>IF($C208="",99,IF(AND($BA208&lt;1,Y$3&gt;=MAX(N($P208),N($S208))),3,99))</f>
        <v/>
      </c>
      <c r="BP208">
        <f>IF($C208="",99,IF(AND($BB208&lt;1,Z$3&gt;=MAX(N($P208),N($S208))),4,99))</f>
        <v/>
      </c>
      <c r="BQ208">
        <f>IF($C208="",99,IF(AND($BC208&lt;1,AA$3&gt;=MAX(N($P208),N($S208))),5,99))</f>
        <v/>
      </c>
      <c r="BR208">
        <f>IF($C208="",99,IF(AND($BD208&lt;1,AB$3&gt;=MAX(N($P208),N($S208))),6,99))</f>
        <v/>
      </c>
      <c r="BS208">
        <f>IF($C208="",99,IF(AND($BE208&lt;1,AC$3&gt;=MAX(N($P208),N($S208))),7,99))</f>
        <v/>
      </c>
      <c r="BT208">
        <f>IF($C208="",99,IF(AND($BF208&lt;1,AD$3&gt;=MAX(N($P208),N($S208))),8,99))</f>
        <v/>
      </c>
      <c r="BU208">
        <f>IF($C208="",99,IF(AND($BG208&lt;1,AE$3&gt;=MAX(N($P208),N($S208))),9,99))</f>
        <v/>
      </c>
      <c r="BV208">
        <f>IF($C208="",99,IF(AND($BH208&lt;1,AF$3&gt;=MAX(N($P208),N($S208))),10,99))</f>
        <v/>
      </c>
      <c r="BW208">
        <f>IF($C208="",99,IF(AND($BI208&lt;1,AG$3&gt;=MAX(N($P208),N($S208))),11,99))</f>
        <v/>
      </c>
      <c r="BX208">
        <f>IF($C208="",99,IF(AND($BJ208&lt;1,AH$3&gt;=MAX(N($P208),N($S208))),12,99))</f>
        <v/>
      </c>
      <c r="BY208">
        <f>IF($C208="",99,IF(AND($BK208&lt;1,AI$3&gt;=MAX(N($P208),N($S208))),13,99))</f>
        <v/>
      </c>
      <c r="BZ208">
        <f>IF(OR($C208="",$M208=""),"",COUNTIF($AJ208:$AW208,"&gt;=1"))</f>
        <v/>
      </c>
      <c r="CA208" s="90">
        <f>IF($BZ208="","",IF($BZ208&gt;=14,"",'設定'!$C$6+$BZ208))</f>
        <v/>
      </c>
      <c r="CB208">
        <f>IF(OR($C208="",$M208=""),"",MIN($BL208:$BY208))</f>
        <v/>
      </c>
      <c r="CC208" s="90">
        <f>IF($CB208="","",IF($CB208&gt;=99,"",'設定'!$C$6+$CB208))</f>
        <v/>
      </c>
      <c r="CD208">
        <f>IF(OR($C208="",$M208=""),"",AVERAGE($V208:$AI208))</f>
        <v/>
      </c>
      <c r="CE208">
        <f>IF($C208="","",IFERROR(IF(MATCH(IF(ISNUMBER($P208),$P208,'設定'!$C$6+N('設定'!$C$7)),$V$3:$AI$3,0)=1,MAX(0,N($L208)),INDEX($AJ208:$AW208,MATCH(IF(ISNUMBER($P208),$P208,'設定'!$C$6+N('設定'!$C$7)),$V$3:$AI$3,0)-1)),""))</f>
        <v/>
      </c>
      <c r="CF208">
        <f>IF(OR($C208="",$O208="",$CE208=""),"",IF($O208-$CE208&lt;=0,0,ROUNDUP(($O208-$CE208)/$G208,0)))</f>
        <v/>
      </c>
      <c r="CG208">
        <f>IF(OR($C208="",$CF208="",NOT(ISNUMBER($Q208))),0,MAX(0,$Q208-$CF208))</f>
        <v/>
      </c>
      <c r="CH208">
        <f>IF(OR($C208="",$O208="",$U208=0),0,IFERROR(ROUNDUP(MAX(0,IF(MATCH($S208,$V$3:$AI$3,0)=1,MAX(0,N($L208)),INDEX($AX208:$BK208,MATCH($S208,$V$3:$AI$3,0)-1))+$U208-$O208)/$G208,0),0))</f>
        <v/>
      </c>
      <c r="CI208">
        <f>IF($C208="","",IF(AND($P208="",$Q208=""),"",IF($P208="","⚠ 入庫日を ▼ から選んでください",IF(NOT(ISNUMBER($P208)),"⚠ 入庫日は ▼ から選んでください",IF($P208&lt;N('設定'!$C$6),"⚠ 入庫日が過去です（もう在庫に入っています）→ 消してください",IF($P208&gt;N('設定'!$C$6)+13,"⚠ 入庫日が14日より先です",IF(N($Q208)&lt;=0,"⚠ 入庫数を入れてください",IF($CG208&gt;0,"⚠ 目安より "&amp;$CG208&amp;" 多い（定数を超える）→ 減らす",""))))))))</f>
        <v/>
      </c>
      <c r="CJ208">
        <f>IF($C208="","",IF(AND($S208="",$T208=""),"",IF($S208="","⚠ 2便目：入庫日を ▼ から選んでください",IF(NOT(ISNUMBER($S208)),"⚠ 2便目：入庫日は ▼ から選んでください",IF($S208&lt;N('設定'!$C$6),"⚠ 2便目：入庫日が過去です（もう在庫に入っています）→ 消してください",IF($S208&gt;N('設定'!$C$6)+13,"⚠ 2便目：入庫日が14日より先です",IF(N($T208)&lt;=0,"⚠ 2便目：入庫数を入れてください",IF($CH208&gt;0,"⚠ 2便目：定数を "&amp;$CH208&amp;" ケース超える → 減らす",""))))))))</f>
        <v/>
      </c>
      <c r="CK208">
        <f>IF(AND($CI208="",N($Q208)&gt;0,ISNUMBER($P208)),1,0)</f>
        <v/>
      </c>
      <c r="CL208">
        <f>IF(AND($CJ208="",N($T208)&gt;0,ISNUMBER($S208)),1,0)</f>
        <v/>
      </c>
      <c r="CM208">
        <f>IF(OR($CK208=1,$CL208=1),1,0)</f>
        <v/>
      </c>
      <c r="CN208">
        <f>IF($C208="",0,($CK208*$R208+$CL208*$U208)*N($H208))</f>
        <v/>
      </c>
      <c r="CO208">
        <f>IF($C208="","",IF($CC208="","入庫後は 14日以上もつ",IF($CC208-N('設定'!$C$7)&lt;='設定'!$C$6,"入庫後も "&amp;TEXT($CC208,"m/d")&amp;"("&amp;CHOOSE(WEEKDAY($CC208),"日","月","火","水","木","金","土")&amp;")"&amp;" に切れる　もう1便を至急発注","入庫後も "&amp;TEXT($CC208,"m/d")&amp;"("&amp;CHOOSE(WEEKDAY($CC208),"日","月","火","水","木","金","土")&amp;")"&amp;" に切れる　"&amp;TEXT($CC208-N('設定'!$C$7),"m/d")&amp;"("&amp;CHOOSE(WEEKDAY($CC208-N('設定'!$C$7)),"日","月","火","水","木","金","土")&amp;")"&amp;" までに次を発注")))</f>
        <v/>
      </c>
      <c r="CP208">
        <f>IF($C208="","",IF('設定'!$C$6="","？ ①在庫を貼る に今日のCSVが貼られていない",IF($CS208=1,"－ 今日のCSVに無い（終売？）",IF($L208&lt;0,"● 在庫がマイナス　数えて「数えた在庫」に入れる",IF($L208=0,"● 在庫なし　至急発注",IF($M208="","？ 減り数が未設定（商品マスタ）",IF($B$3=0,"？ 動員が未入力（動員を入れる）",IF($CA208="","○ 14日以上もつ",IF($BZ208&lt;N('設定'!$C$7),"● "&amp;TEXT($CA208,"m/d")&amp;"("&amp;CHOOSE(WEEKDAY($CA208),"日","月","火","水","木","金","土")&amp;")"&amp;" に切れる　至急発注",IF($BZ208=N('設定'!$C$7),"● "&amp;TEXT($CA208,"m/d")&amp;"("&amp;CHOOSE(WEEKDAY($CA208),"日","月","火","水","木","金","土")&amp;")"&amp;" に切れる　今日発注","△ "&amp;TEXT($CA208,"m/d")&amp;"("&amp;CHOOSE(WEEKDAY($CA208),"日","月","火","水","木","金","土")&amp;")"&amp;" に切れる　"&amp;TEXT($CA208-N('設定'!$C$7),"m/d")&amp;"("&amp;CHOOSE(WEEKDAY($CA208-N('設定'!$C$7)),"日","月","火","水","木","金","土")&amp;")"&amp;" までに発注"))))))))))</f>
        <v/>
      </c>
      <c r="CQ208">
        <f>IF($C208="","",IF(AND($P208="",$Q208="",$S208="",$T208=""),"",IF(AND($P208="",$Q208=""),"⚠ 先に1便目（左の入庫日・入庫数）に入れてください",IF($CI208&lt;&gt;"",$CI208,IF($CJ208&lt;&gt;"",$CJ208,IF($M208="","？ 減り数が未設定（発注書には載ります）",IF($B$3=0,"？ 動員が未入力（発注書には載ります）",IF(AND($CA208&lt;&gt;"",$P208&gt;$CA208),IF($P208&gt;'設定'!$C$6+N('設定'!$C$7),"● "&amp;TEXT($P208,"m/d")&amp;"("&amp;CHOOSE(WEEKDAY($P208),"日","月","火","水","木","金","土")&amp;")"&amp;" の入庫では間に合わない（"&amp;TEXT($CA208,"m/d")&amp;"("&amp;CHOOSE(WEEKDAY($CA208),"日","月","火","水","木","金","土")&amp;")"&amp;" に切れる）　入庫日を早める","△ 欠品 "&amp;TEXT($CA208,"m/d")&amp;"("&amp;CHOOSE(WEEKDAY($CA208),"日","月","火","水","木","金","土")&amp;")"&amp;"〜"&amp;TEXT($P208-1,"m/d")&amp;"("&amp;CHOOSE(WEEKDAY($P208-1),"日","月","火","水","木","金","土")&amp;")"&amp;"　"&amp;$CO208),IF($CC208="","○ "&amp;TEXT($P208,"m/d")&amp;"("&amp;CHOOSE(WEEKDAY($P208),"日","月","火","水","木","金","土")&amp;")"&amp;" 入庫で 14日以上もつ",IF($CC208-N('設定'!$C$7)&lt;='設定'!$C$6,"● 入庫しても "&amp;TEXT($CC208,"m/d")&amp;"("&amp;CHOOSE(WEEKDAY($CC208),"日","月","火","水","木","金","土")&amp;")"&amp;" に切れる　もう1便を至急発注（2便目に入れる）","△ 入庫しても "&amp;TEXT($CC208,"m/d")&amp;"("&amp;CHOOSE(WEEKDAY($CC208),"日","月","火","水","木","金","土")&amp;")"&amp;" に切れる　"&amp;TEXT($CC208-N('設定'!$C$7),"m/d")&amp;"("&amp;CHOOSE(WEEKDAY($CC208-N('設定'!$C$7)),"日","月","火","水","木","金","土")&amp;")"&amp;" までに次を発注（2便目に入れる）"))))))))))</f>
        <v/>
      </c>
      <c r="CR208">
        <f>IF($C208="","",IF($G208&gt;1,"ｹｰｽ("&amp;$G208&amp;"入)","個"))</f>
        <v/>
      </c>
      <c r="CS208">
        <f>IF($C208="",0,IF(COUNTIFS('①在庫を貼る'!$V$6:$V$10005,'設定'!$C$4,'①在庫を貼る'!$W$6:$W$10005,$C208)=0,1,0))</f>
        <v/>
      </c>
      <c r="CT208">
        <f>IF(AND($CK208=1,OR('③発注書'!$C$4="すべて",'③発注書'!$C$4="",$F208='③発注書'!$C$4)),N($CT207)+1,N($CT207))</f>
        <v/>
      </c>
      <c r="CU208">
        <f>IF(AND($CL208=1,OR('③発注書'!$C$4="すべて",'③発注書'!$C$4="",$F208='③発注書'!$C$4)),N($CU207)+1,N($CU207))</f>
        <v/>
      </c>
      <c r="CV208">
        <f>IF($C208="",0,IF(COUNTIFS('①在庫を貼る'!$V$6:$V$10005,'設定'!$C$4,'①在庫を貼る'!$W$6:$W$10005,$C208)&gt;0,1,0))</f>
        <v/>
      </c>
      <c r="CW208">
        <f>IF($C208="",0,IF(COUNTIFS('月1回_1ヶ月前の在庫'!$V$6:$V$10005,'設定'!$C$4,'月1回_1ヶ月前の在庫'!$W$6:$W$10005,$C208)&gt;0,1,0))</f>
        <v/>
      </c>
      <c r="CX208">
        <f>IF($C208="",0,IF(COUNTIFS('月1回_2ヶ月前の在庫'!$V$6:$V$10005,'設定'!$C$4,'月1回_2ヶ月前の在庫'!$W$6:$W$10005,$C208)&gt;0,1,0))</f>
        <v/>
      </c>
      <c r="CY208">
        <f>IF(OR($C208="",'設定'!$C$12=""),"",IF('設定'!$C$13="",IF(AND($CV208=1,$CW208=0),"新商品（今月から）",IF(AND($CV208=0,$CW208=1),"終売（今月から）","")),IF(AND($CV208=1,$CW208=0,$CX208=0),"新商品（今月から）",IF(AND($CV208=1,$CW208=1,$CX208=0),"新商品（先月から）",IF(AND($CV208=0,$CW208=1,$CX208=1),"終売（今月から）",IF(AND($CV208=0,$CW208=0,$CX208=1),"終売（先月から）",IF(AND($CV208=1,$CW208=0,$CX208=1),"復活（先月は無し）","")))))))</f>
        <v/>
      </c>
    </row>
    <row r="209">
      <c r="B209">
        <f>IF(204&lt;='設定'!$C$11,204,"")</f>
        <v/>
      </c>
      <c r="C209">
        <f>IF($B209="","",IF($B209&lt;='設定'!$C$20,INDEX('商品マスタ'!$B$6:$B$1005,MATCH($B209,'商品マスタ'!$M$6:$M$1005,0)),IF($B209&lt;='設定'!$C$20+'設定'!$C$17,INDEX('①在庫を貼る'!$W$6:$W$10005,MATCH($B209-'設定'!$C$20,'①在庫を貼る'!$U$6:$U$10005,0)),IF($B209&lt;='設定'!$C$20+'設定'!$C$17+'設定'!$C$18,INDEX('月1回_1ヶ月前の在庫'!$W$6:$W$10005,MATCH($B209-'設定'!$C$20-'設定'!$C$17,'月1回_1ヶ月前の在庫'!$U$6:$U$10005,0)),INDEX('月1回_2ヶ月前の在庫'!$W$6:$W$10005,MATCH($B209-'設定'!$C$20-'設定'!$C$17-'設定'!$C$18,'月1回_2ヶ月前の在庫'!$U$6:$U$10005,0))))))</f>
        <v/>
      </c>
      <c r="D209">
        <f>IF($C209="","",IFERROR(IF(INDEX('商品マスタ'!$C$6:$C$1005,MATCH($C209,'商品マスタ'!$B$6:$B$1005,0))="",IFERROR(INDEX('①在庫を貼る'!$J$6:$J$10005,MATCH($C209,'①在庫を貼る'!$W$6:$W$10005,0)),IFERROR(INDEX('月1回_1ヶ月前の在庫'!$J$6:$J$10005,MATCH($C209,'月1回_1ヶ月前の在庫'!$W$6:$W$10005,0)),IFERROR(INDEX('月1回_2ヶ月前の在庫'!$J$6:$J$10005,MATCH($C209,'月1回_2ヶ月前の在庫'!$W$6:$W$10005,0)),""))),INDEX('商品マスタ'!$C$6:$C$1005,MATCH($C209,'商品マスタ'!$B$6:$B$1005,0))),IFERROR(INDEX('①在庫を貼る'!$J$6:$J$10005,MATCH($C209,'①在庫を貼る'!$W$6:$W$10005,0)),IFERROR(INDEX('月1回_1ヶ月前の在庫'!$J$6:$J$10005,MATCH($C209,'月1回_1ヶ月前の在庫'!$W$6:$W$10005,0)),IFERROR(INDEX('月1回_2ヶ月前の在庫'!$J$6:$J$10005,MATCH($C209,'月1回_2ヶ月前の在庫'!$W$6:$W$10005,0)),"")))))</f>
        <v/>
      </c>
      <c r="E209">
        <f>IF($C209="","",IFERROR(IF(INDEX('商品マスタ'!$D$6:$D$1005,MATCH($C209,'商品マスタ'!$B$6:$B$1005,0))="",IFERROR(INDEX('①在庫を貼る'!$H$6:$H$10005,MATCH($C209,'①在庫を貼る'!$W$6:$W$10005,0)),IFERROR(INDEX('月1回_1ヶ月前の在庫'!$H$6:$H$10005,MATCH($C209,'月1回_1ヶ月前の在庫'!$W$6:$W$10005,0)),IFERROR(INDEX('月1回_2ヶ月前の在庫'!$H$6:$H$10005,MATCH($C209,'月1回_2ヶ月前の在庫'!$W$6:$W$10005,0)),""))),INDEX('商品マスタ'!$D$6:$D$1005,MATCH($C209,'商品マスタ'!$B$6:$B$1005,0))),IFERROR(INDEX('①在庫を貼る'!$H$6:$H$10005,MATCH($C209,'①在庫を貼る'!$W$6:$W$10005,0)),IFERROR(INDEX('月1回_1ヶ月前の在庫'!$H$6:$H$10005,MATCH($C209,'月1回_1ヶ月前の在庫'!$W$6:$W$10005,0)),IFERROR(INDEX('月1回_2ヶ月前の在庫'!$H$6:$H$10005,MATCH($C209,'月1回_2ヶ月前の在庫'!$W$6:$W$10005,0)),"")))))</f>
        <v/>
      </c>
      <c r="F209">
        <f>IF($C209="","",IFERROR(IF(INDEX('商品マスタ'!$E$6:$E$1005,MATCH($C209,'商品マスタ'!$B$6:$B$1005,0))="",IFERROR(INDEX('①在庫を貼る'!$E$6:$E$10005,MATCH($C209,'①在庫を貼る'!$W$6:$W$10005,0)),IFERROR(INDEX('月1回_1ヶ月前の在庫'!$E$6:$E$10005,MATCH($C209,'月1回_1ヶ月前の在庫'!$W$6:$W$10005,0)),IFERROR(INDEX('月1回_2ヶ月前の在庫'!$E$6:$E$10005,MATCH($C209,'月1回_2ヶ月前の在庫'!$W$6:$W$10005,0)),""))),INDEX('商品マスタ'!$E$6:$E$1005,MATCH($C209,'商品マスタ'!$B$6:$B$1005,0))),IFERROR(INDEX('①在庫を貼る'!$E$6:$E$10005,MATCH($C209,'①在庫を貼る'!$W$6:$W$10005,0)),IFERROR(INDEX('月1回_1ヶ月前の在庫'!$E$6:$E$10005,MATCH($C209,'月1回_1ヶ月前の在庫'!$W$6:$W$10005,0)),IFERROR(INDEX('月1回_2ヶ月前の在庫'!$E$6:$E$10005,MATCH($C209,'月1回_2ヶ月前の在庫'!$W$6:$W$10005,0)),"")))))</f>
        <v/>
      </c>
      <c r="G209">
        <f>IF($C209="","",MAX(1,N(IFERROR(IF(INDEX('商品マスタ'!$F$6:$F$1005,MATCH($C209,'商品マスタ'!$B$6:$B$1005,0))="",IF(COUNTIFS('①在庫を貼る'!$V$6:$V$10005,'設定'!$C$4,'①在庫を貼る'!$W$6:$W$10005,$C209)&gt;0,SUMIFS('①在庫を貼る'!$K$6:$K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K$6:$K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K$6:$K$10005,'月1回_2ヶ月前の在庫'!$V$6:$V$10005,'設定'!$C$4,'月1回_2ヶ月前の在庫'!$W$6:$W$10005,$C209)/COUNTIFS('月1回_2ヶ月前の在庫'!$V$6:$V$10005,'設定'!$C$4,'月1回_2ヶ月前の在庫'!$W$6:$W$10005,$C209),0))),INDEX('商品マスタ'!$F$6:$F$1005,MATCH($C209,'商品マスタ'!$B$6:$B$1005,0))),IF(COUNTIFS('①在庫を貼る'!$V$6:$V$10005,'設定'!$C$4,'①在庫を貼る'!$W$6:$W$10005,$C209)&gt;0,SUMIFS('①在庫を貼る'!$K$6:$K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K$6:$K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K$6:$K$10005,'月1回_2ヶ月前の在庫'!$V$6:$V$10005,'設定'!$C$4,'月1回_2ヶ月前の在庫'!$W$6:$W$10005,$C209)/COUNTIFS('月1回_2ヶ月前の在庫'!$V$6:$V$10005,'設定'!$C$4,'月1回_2ヶ月前の在庫'!$W$6:$W$10005,$C209),0)))))))</f>
        <v/>
      </c>
      <c r="H209">
        <f>IF($C209="","",N(IFERROR(IF(INDEX('商品マスタ'!$G$6:$G$1005,MATCH($C209,'商品マスタ'!$B$6:$B$1005,0))="",IF(COUNTIFS('①在庫を貼る'!$V$6:$V$10005,'設定'!$C$4,'①在庫を貼る'!$W$6:$W$10005,$C209)&gt;0,SUMIFS('①在庫を貼る'!$Q$6:$Q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Q$6:$Q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Q$6:$Q$10005,'月1回_2ヶ月前の在庫'!$V$6:$V$10005,'設定'!$C$4,'月1回_2ヶ月前の在庫'!$W$6:$W$10005,$C209)/COUNTIFS('月1回_2ヶ月前の在庫'!$V$6:$V$10005,'設定'!$C$4,'月1回_2ヶ月前の在庫'!$W$6:$W$10005,$C209),0))),INDEX('商品マスタ'!$G$6:$G$1005,MATCH($C209,'商品マスタ'!$B$6:$B$1005,0))),IF(COUNTIFS('①在庫を貼る'!$V$6:$V$10005,'設定'!$C$4,'①在庫を貼る'!$W$6:$W$10005,$C209)&gt;0,SUMIFS('①在庫を貼る'!$Q$6:$Q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Q$6:$Q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Q$6:$Q$10005,'月1回_2ヶ月前の在庫'!$V$6:$V$10005,'設定'!$C$4,'月1回_2ヶ月前の在庫'!$W$6:$W$10005,$C209)/COUNTIFS('月1回_2ヶ月前の在庫'!$V$6:$V$10005,'設定'!$C$4,'月1回_2ヶ月前の在庫'!$W$6:$W$10005,$C209),0))))))</f>
        <v/>
      </c>
      <c r="I209">
        <f>IF($C209="","",IF(COUNTIFS('①在庫を貼る'!$V$6:$V$10005,'設定'!$C$4,'①在庫を貼る'!$W$6:$W$10005,$C209)=0,"",SUMIFS('①在庫を貼る'!$N$6:$N$10005,'①在庫を貼る'!$V$6:$V$10005,'設定'!$C$4,'①在庫を貼る'!$W$6:$W$10005,$C209)))</f>
        <v/>
      </c>
      <c r="J209">
        <f>IF($C209="","",IF('②発注する'!$AD213="","",'②発注する'!$AD213))</f>
        <v/>
      </c>
      <c r="K209" s="90">
        <f>IF($C209="","",IF('②発注する'!$AE213="","",'②発注する'!$AE213))</f>
        <v/>
      </c>
      <c r="L209">
        <f>IF($C209="","",IF(AND(ISNUMBER($J209),ISNUMBER($K209),$K209&gt;='設定'!$C$6),$J209,N($I209)))</f>
        <v/>
      </c>
      <c r="M209">
        <f>IF($C209="","",IFERROR(IF(N(INDEX('商品マスタ'!$J$6:$J$1005,MATCH($C209,'商品マスタ'!$B$6:$B$1005,0)))&gt;0,INDEX('商品マスタ'!$J$6:$J$1005,MATCH($C209,'商品マスタ'!$B$6:$B$1005,0)),""),""))</f>
        <v/>
      </c>
      <c r="N209">
        <f>IF($C209="","",IFERROR(IF(N(INDEX('商品マスタ'!$H$6:$H$1005,MATCH($C209,'商品マスタ'!$B$6:$B$1005,0)))&gt;0,INDEX('商品マスタ'!$H$6:$H$1005,MATCH($C209,'商品マスタ'!$B$6:$B$1005,0)),""),""))</f>
        <v/>
      </c>
      <c r="O209">
        <f>IF($C209="","",IF($N209&lt;&gt;"",$N209*$G209,IF(N(IF(COUNTIFS('①在庫を貼る'!$V$6:$V$10005,'設定'!$C$4,'①在庫を貼る'!$W$6:$W$10005,$C209)&gt;0,SUMIFS('①在庫を貼る'!$O$6:$O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O$6:$O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O$6:$O$10005,'月1回_2ヶ月前の在庫'!$V$6:$V$10005,'設定'!$C$4,'月1回_2ヶ月前の在庫'!$W$6:$W$10005,$C209)/COUNTIFS('月1回_2ヶ月前の在庫'!$V$6:$V$10005,'設定'!$C$4,'月1回_2ヶ月前の在庫'!$W$6:$W$10005,$C209),0))))&gt;0,N(IF(COUNTIFS('①在庫を貼る'!$V$6:$V$10005,'設定'!$C$4,'①在庫を貼る'!$W$6:$W$10005,$C209)&gt;0,SUMIFS('①在庫を貼る'!$O$6:$O$10005,'①在庫を貼る'!$V$6:$V$10005,'設定'!$C$4,'①在庫を貼る'!$W$6:$W$10005,$C209)/COUNTIFS('①在庫を貼る'!$V$6:$V$10005,'設定'!$C$4,'①在庫を貼る'!$W$6:$W$10005,$C209),IF(COUNTIFS('月1回_1ヶ月前の在庫'!$V$6:$V$10005,'設定'!$C$4,'月1回_1ヶ月前の在庫'!$W$6:$W$10005,$C209)&gt;0,SUMIFS('月1回_1ヶ月前の在庫'!$O$6:$O$10005,'月1回_1ヶ月前の在庫'!$V$6:$V$10005,'設定'!$C$4,'月1回_1ヶ月前の在庫'!$W$6:$W$10005,$C209)/COUNTIFS('月1回_1ヶ月前の在庫'!$V$6:$V$10005,'設定'!$C$4,'月1回_1ヶ月前の在庫'!$W$6:$W$10005,$C209),IF(COUNTIFS('月1回_2ヶ月前の在庫'!$V$6:$V$10005,'設定'!$C$4,'月1回_2ヶ月前の在庫'!$W$6:$W$10005,$C209)&gt;0,SUMIFS('月1回_2ヶ月前の在庫'!$O$6:$O$10005,'月1回_2ヶ月前の在庫'!$V$6:$V$10005,'設定'!$C$4,'月1回_2ヶ月前の在庫'!$W$6:$W$10005,$C209)/COUNTIFS('月1回_2ヶ月前の在庫'!$V$6:$V$10005,'設定'!$C$4,'月1回_2ヶ月前の在庫'!$W$6:$W$10005,$C209),0)))),"")))</f>
        <v/>
      </c>
      <c r="P209" s="90">
        <f>IF($C209="","",IF('②発注する'!$I213="","",'②発注する'!$I213))</f>
        <v/>
      </c>
      <c r="Q209">
        <f>IF($C209="","",IF('②発注する'!$J213="","",'②発注する'!$J213))</f>
        <v/>
      </c>
      <c r="R209">
        <f>IF($C209="",0,IF(AND(ISNUMBER($P209),ISNUMBER($Q209)),MAX(0,$Q209)*$G209,0))</f>
        <v/>
      </c>
      <c r="S209" s="90">
        <f>IF($C209="","",IF('②発注する'!$M213="","",'②発注する'!$M213))</f>
        <v/>
      </c>
      <c r="T209">
        <f>IF($C209="","",IF('②発注する'!$N213="","",'②発注する'!$N213))</f>
        <v/>
      </c>
      <c r="U209">
        <f>IF($C209="",0,IF(AND(ISNUMBER($S209),ISNUMBER($T209)),MAX(0,$T209)*$G209,0))</f>
        <v/>
      </c>
      <c r="V209">
        <f>IF($C209="",0,IF($M209="",0,MAX(0,$M209)*MAX(0,V$4)/100))</f>
        <v/>
      </c>
      <c r="W209">
        <f>IF($C209="",0,IF($M209="",0,MAX(0,$M209)*MAX(0,W$4)/100))</f>
        <v/>
      </c>
      <c r="X209">
        <f>IF($C209="",0,IF($M209="",0,MAX(0,$M209)*MAX(0,X$4)/100))</f>
        <v/>
      </c>
      <c r="Y209">
        <f>IF($C209="",0,IF($M209="",0,MAX(0,$M209)*MAX(0,Y$4)/100))</f>
        <v/>
      </c>
      <c r="Z209">
        <f>IF($C209="",0,IF($M209="",0,MAX(0,$M209)*MAX(0,Z$4)/100))</f>
        <v/>
      </c>
      <c r="AA209">
        <f>IF($C209="",0,IF($M209="",0,MAX(0,$M209)*MAX(0,AA$4)/100))</f>
        <v/>
      </c>
      <c r="AB209">
        <f>IF($C209="",0,IF($M209="",0,MAX(0,$M209)*MAX(0,AB$4)/100))</f>
        <v/>
      </c>
      <c r="AC209">
        <f>IF($C209="",0,IF($M209="",0,MAX(0,$M209)*MAX(0,AC$4)/100))</f>
        <v/>
      </c>
      <c r="AD209">
        <f>IF($C209="",0,IF($M209="",0,MAX(0,$M209)*MAX(0,AD$4)/100))</f>
        <v/>
      </c>
      <c r="AE209">
        <f>IF($C209="",0,IF($M209="",0,MAX(0,$M209)*MAX(0,AE$4)/100))</f>
        <v/>
      </c>
      <c r="AF209">
        <f>IF($C209="",0,IF($M209="",0,MAX(0,$M209)*MAX(0,AF$4)/100))</f>
        <v/>
      </c>
      <c r="AG209">
        <f>IF($C209="",0,IF($M209="",0,MAX(0,$M209)*MAX(0,AG$4)/100))</f>
        <v/>
      </c>
      <c r="AH209">
        <f>IF($C209="",0,IF($M209="",0,MAX(0,$M209)*MAX(0,AH$4)/100))</f>
        <v/>
      </c>
      <c r="AI209">
        <f>IF($C209="",0,IF($M209="",0,MAX(0,$M209)*MAX(0,AI$4)/100))</f>
        <v/>
      </c>
      <c r="AJ209">
        <f>IF($C209="",0,MAX(0,MAX(0,N($L209))-$V209))</f>
        <v/>
      </c>
      <c r="AK209">
        <f>IF($C209="",0,MAX(0,$AJ209-$W209))</f>
        <v/>
      </c>
      <c r="AL209">
        <f>IF($C209="",0,MAX(0,$AK209-$X209))</f>
        <v/>
      </c>
      <c r="AM209">
        <f>IF($C209="",0,MAX(0,$AL209-$Y209))</f>
        <v/>
      </c>
      <c r="AN209">
        <f>IF($C209="",0,MAX(0,$AM209-$Z209))</f>
        <v/>
      </c>
      <c r="AO209">
        <f>IF($C209="",0,MAX(0,$AN209-$AA209))</f>
        <v/>
      </c>
      <c r="AP209">
        <f>IF($C209="",0,MAX(0,$AO209-$AB209))</f>
        <v/>
      </c>
      <c r="AQ209">
        <f>IF($C209="",0,MAX(0,$AP209-$AC209))</f>
        <v/>
      </c>
      <c r="AR209">
        <f>IF($C209="",0,MAX(0,$AQ209-$AD209))</f>
        <v/>
      </c>
      <c r="AS209">
        <f>IF($C209="",0,MAX(0,$AR209-$AE209))</f>
        <v/>
      </c>
      <c r="AT209">
        <f>IF($C209="",0,MAX(0,$AS209-$AF209))</f>
        <v/>
      </c>
      <c r="AU209">
        <f>IF($C209="",0,MAX(0,$AT209-$AG209))</f>
        <v/>
      </c>
      <c r="AV209">
        <f>IF($C209="",0,MAX(0,$AU209-$AH209))</f>
        <v/>
      </c>
      <c r="AW209">
        <f>IF($C209="",0,MAX(0,$AV209-$AI209))</f>
        <v/>
      </c>
      <c r="AX209">
        <f>IF($C209="",0,MAX(0,MAX(0,N($L209))+IF($P209=V$3,$R209,0)+IF($S209=V$3,$U209,0)-$V209))</f>
        <v/>
      </c>
      <c r="AY209">
        <f>IF($C209="",0,MAX(0,$AX209+IF($P209=W$3,$R209,0)+IF($S209=W$3,$U209,0)-$W209))</f>
        <v/>
      </c>
      <c r="AZ209">
        <f>IF($C209="",0,MAX(0,$AY209+IF($P209=X$3,$R209,0)+IF($S209=X$3,$U209,0)-$X209))</f>
        <v/>
      </c>
      <c r="BA209">
        <f>IF($C209="",0,MAX(0,$AZ209+IF($P209=Y$3,$R209,0)+IF($S209=Y$3,$U209,0)-$Y209))</f>
        <v/>
      </c>
      <c r="BB209">
        <f>IF($C209="",0,MAX(0,$BA209+IF($P209=Z$3,$R209,0)+IF($S209=Z$3,$U209,0)-$Z209))</f>
        <v/>
      </c>
      <c r="BC209">
        <f>IF($C209="",0,MAX(0,$BB209+IF($P209=AA$3,$R209,0)+IF($S209=AA$3,$U209,0)-$AA209))</f>
        <v/>
      </c>
      <c r="BD209">
        <f>IF($C209="",0,MAX(0,$BC209+IF($P209=AB$3,$R209,0)+IF($S209=AB$3,$U209,0)-$AB209))</f>
        <v/>
      </c>
      <c r="BE209">
        <f>IF($C209="",0,MAX(0,$BD209+IF($P209=AC$3,$R209,0)+IF($S209=AC$3,$U209,0)-$AC209))</f>
        <v/>
      </c>
      <c r="BF209">
        <f>IF($C209="",0,MAX(0,$BE209+IF($P209=AD$3,$R209,0)+IF($S209=AD$3,$U209,0)-$AD209))</f>
        <v/>
      </c>
      <c r="BG209">
        <f>IF($C209="",0,MAX(0,$BF209+IF($P209=AE$3,$R209,0)+IF($S209=AE$3,$U209,0)-$AE209))</f>
        <v/>
      </c>
      <c r="BH209">
        <f>IF($C209="",0,MAX(0,$BG209+IF($P209=AF$3,$R209,0)+IF($S209=AF$3,$U209,0)-$AF209))</f>
        <v/>
      </c>
      <c r="BI209">
        <f>IF($C209="",0,MAX(0,$BH209+IF($P209=AG$3,$R209,0)+IF($S209=AG$3,$U209,0)-$AG209))</f>
        <v/>
      </c>
      <c r="BJ209">
        <f>IF($C209="",0,MAX(0,$BI209+IF($P209=AH$3,$R209,0)+IF($S209=AH$3,$U209,0)-$AH209))</f>
        <v/>
      </c>
      <c r="BK209">
        <f>IF($C209="",0,MAX(0,$BJ209+IF($P209=AI$3,$R209,0)+IF($S209=AI$3,$U209,0)-$AI209))</f>
        <v/>
      </c>
      <c r="BL209">
        <f>IF($C209="",99,IF(AND($AX209&lt;1,V$3&gt;=MAX(N($P209),N($S209))),0,99))</f>
        <v/>
      </c>
      <c r="BM209">
        <f>IF($C209="",99,IF(AND($AY209&lt;1,W$3&gt;=MAX(N($P209),N($S209))),1,99))</f>
        <v/>
      </c>
      <c r="BN209">
        <f>IF($C209="",99,IF(AND($AZ209&lt;1,X$3&gt;=MAX(N($P209),N($S209))),2,99))</f>
        <v/>
      </c>
      <c r="BO209">
        <f>IF($C209="",99,IF(AND($BA209&lt;1,Y$3&gt;=MAX(N($P209),N($S209))),3,99))</f>
        <v/>
      </c>
      <c r="BP209">
        <f>IF($C209="",99,IF(AND($BB209&lt;1,Z$3&gt;=MAX(N($P209),N($S209))),4,99))</f>
        <v/>
      </c>
      <c r="BQ209">
        <f>IF($C209="",99,IF(AND($BC209&lt;1,AA$3&gt;=MAX(N($P209),N($S209))),5,99))</f>
        <v/>
      </c>
      <c r="BR209">
        <f>IF($C209="",99,IF(AND($BD209&lt;1,AB$3&gt;=MAX(N($P209),N($S209))),6,99))</f>
        <v/>
      </c>
      <c r="BS209">
        <f>IF($C209="",99,IF(AND($BE209&lt;1,AC$3&gt;=MAX(N($P209),N($S209))),7,99))</f>
        <v/>
      </c>
      <c r="BT209">
        <f>IF($C209="",99,IF(AND($BF209&lt;1,AD$3&gt;=MAX(N($P209),N($S209))),8,99))</f>
        <v/>
      </c>
      <c r="BU209">
        <f>IF($C209="",99,IF(AND($BG209&lt;1,AE$3&gt;=MAX(N($P209),N($S209))),9,99))</f>
        <v/>
      </c>
      <c r="BV209">
        <f>IF($C209="",99,IF(AND($BH209&lt;1,AF$3&gt;=MAX(N($P209),N($S209))),10,99))</f>
        <v/>
      </c>
      <c r="BW209">
        <f>IF($C209="",99,IF(AND($BI209&lt;1,AG$3&gt;=MAX(N($P209),N($S209))),11,99))</f>
        <v/>
      </c>
      <c r="BX209">
        <f>IF($C209="",99,IF(AND($BJ209&lt;1,AH$3&gt;=MAX(N($P209),N($S209))),12,99))</f>
        <v/>
      </c>
      <c r="BY209">
        <f>IF($C209="",99,IF(AND($BK209&lt;1,AI$3&gt;=MAX(N($P209),N($S209))),13,99))</f>
        <v/>
      </c>
      <c r="BZ209">
        <f>IF(OR($C209="",$M209=""),"",COUNTIF($AJ209:$AW209,"&gt;=1"))</f>
        <v/>
      </c>
      <c r="CA209" s="90">
        <f>IF($BZ209="","",IF($BZ209&gt;=14,"",'設定'!$C$6+$BZ209))</f>
        <v/>
      </c>
      <c r="CB209">
        <f>IF(OR($C209="",$M209=""),"",MIN($BL209:$BY209))</f>
        <v/>
      </c>
      <c r="CC209" s="90">
        <f>IF($CB209="","",IF($CB209&gt;=99,"",'設定'!$C$6+$CB209))</f>
        <v/>
      </c>
      <c r="CD209">
        <f>IF(OR($C209="",$M209=""),"",AVERAGE($V209:$AI209))</f>
        <v/>
      </c>
      <c r="CE209">
        <f>IF($C209="","",IFERROR(IF(MATCH(IF(ISNUMBER($P209),$P209,'設定'!$C$6+N('設定'!$C$7)),$V$3:$AI$3,0)=1,MAX(0,N($L209)),INDEX($AJ209:$AW209,MATCH(IF(ISNUMBER($P209),$P209,'設定'!$C$6+N('設定'!$C$7)),$V$3:$AI$3,0)-1)),""))</f>
        <v/>
      </c>
      <c r="CF209">
        <f>IF(OR($C209="",$O209="",$CE209=""),"",IF($O209-$CE209&lt;=0,0,ROUNDUP(($O209-$CE209)/$G209,0)))</f>
        <v/>
      </c>
      <c r="CG209">
        <f>IF(OR($C209="",$CF209="",NOT(ISNUMBER($Q209))),0,MAX(0,$Q209-$CF209))</f>
        <v/>
      </c>
      <c r="CH209">
        <f>IF(OR($C209="",$O209="",$U209=0),0,IFERROR(ROUNDUP(MAX(0,IF(MATCH($S209,$V$3:$AI$3,0)=1,MAX(0,N($L209)),INDEX($AX209:$BK209,MATCH($S209,$V$3:$AI$3,0)-1))+$U209-$O209)/$G209,0),0))</f>
        <v/>
      </c>
      <c r="CI209">
        <f>IF($C209="","",IF(AND($P209="",$Q209=""),"",IF($P209="","⚠ 入庫日を ▼ から選んでください",IF(NOT(ISNUMBER($P209)),"⚠ 入庫日は ▼ から選んでください",IF($P209&lt;N('設定'!$C$6),"⚠ 入庫日が過去です（もう在庫に入っています）→ 消してください",IF($P209&gt;N('設定'!$C$6)+13,"⚠ 入庫日が14日より先です",IF(N($Q209)&lt;=0,"⚠ 入庫数を入れてください",IF($CG209&gt;0,"⚠ 目安より "&amp;$CG209&amp;" 多い（定数を超える）→ 減らす",""))))))))</f>
        <v/>
      </c>
      <c r="CJ209">
        <f>IF($C209="","",IF(AND($S209="",$T209=""),"",IF($S209="","⚠ 2便目：入庫日を ▼ から選んでください",IF(NOT(ISNUMBER($S209)),"⚠ 2便目：入庫日は ▼ から選んでください",IF($S209&lt;N('設定'!$C$6),"⚠ 2便目：入庫日が過去です（もう在庫に入っています）→ 消してください",IF($S209&gt;N('設定'!$C$6)+13,"⚠ 2便目：入庫日が14日より先です",IF(N($T209)&lt;=0,"⚠ 2便目：入庫数を入れてください",IF($CH209&gt;0,"⚠ 2便目：定数を "&amp;$CH209&amp;" ケース超える → 減らす",""))))))))</f>
        <v/>
      </c>
      <c r="CK209">
        <f>IF(AND($CI209="",N($Q209)&gt;0,ISNUMBER($P209)),1,0)</f>
        <v/>
      </c>
      <c r="CL209">
        <f>IF(AND($CJ209="",N($T209)&gt;0,ISNUMBER($S209)),1,0)</f>
        <v/>
      </c>
      <c r="CM209">
        <f>IF(OR($CK209=1,$CL209=1),1,0)</f>
        <v/>
      </c>
      <c r="CN209">
        <f>IF($C209="",0,($CK209*$R209+$CL209*$U209)*N($H209))</f>
        <v/>
      </c>
      <c r="CO209">
        <f>IF($C209="","",IF($CC209="","入庫後は 14日以上もつ",IF($CC209-N('設定'!$C$7)&lt;='設定'!$C$6,"入庫後も "&amp;TEXT($CC209,"m/d")&amp;"("&amp;CHOOSE(WEEKDAY($CC209),"日","月","火","水","木","金","土")&amp;")"&amp;" に切れる　もう1便を至急発注","入庫後も "&amp;TEXT($CC209,"m/d")&amp;"("&amp;CHOOSE(WEEKDAY($CC209),"日","月","火","水","木","金","土")&amp;")"&amp;" に切れる　"&amp;TEXT($CC209-N('設定'!$C$7),"m/d")&amp;"("&amp;CHOOSE(WEEKDAY($CC209-N('設定'!$C$7)),"日","月","火","水","木","金","土")&amp;")"&amp;" までに次を発注")))</f>
        <v/>
      </c>
      <c r="CP209">
        <f>IF($C209="","",IF('設定'!$C$6="","？ ①在庫を貼る に今日のCSVが貼られていない",IF($CS209=1,"－ 今日のCSVに無い（終売？）",IF($L209&lt;0,"● 在庫がマイナス　数えて「数えた在庫」に入れる",IF($L209=0,"● 在庫なし　至急発注",IF($M209="","？ 減り数が未設定（商品マスタ）",IF($B$3=0,"？ 動員が未入力（動員を入れる）",IF($CA209="","○ 14日以上もつ",IF($BZ209&lt;N('設定'!$C$7),"● "&amp;TEXT($CA209,"m/d")&amp;"("&amp;CHOOSE(WEEKDAY($CA209),"日","月","火","水","木","金","土")&amp;")"&amp;" に切れる　至急発注",IF($BZ209=N('設定'!$C$7),"● "&amp;TEXT($CA209,"m/d")&amp;"("&amp;CHOOSE(WEEKDAY($CA209),"日","月","火","水","木","金","土")&amp;")"&amp;" に切れる　今日発注","△ "&amp;TEXT($CA209,"m/d")&amp;"("&amp;CHOOSE(WEEKDAY($CA209),"日","月","火","水","木","金","土")&amp;")"&amp;" に切れる　"&amp;TEXT($CA209-N('設定'!$C$7),"m/d")&amp;"("&amp;CHOOSE(WEEKDAY($CA209-N('設定'!$C$7)),"日","月","火","水","木","金","土")&amp;")"&amp;" までに発注"))))))))))</f>
        <v/>
      </c>
      <c r="CQ209">
        <f>IF($C209="","",IF(AND($P209="",$Q209="",$S209="",$T209=""),"",IF(AND($P209="",$Q209=""),"⚠ 先に1便目（左の入庫日・入庫数）に入れてください",IF($CI209&lt;&gt;"",$CI209,IF($CJ209&lt;&gt;"",$CJ209,IF($M209="","？ 減り数が未設定（発注書には載ります）",IF($B$3=0,"？ 動員が未入力（発注書には載ります）",IF(AND($CA209&lt;&gt;"",$P209&gt;$CA209),IF($P209&gt;'設定'!$C$6+N('設定'!$C$7),"● "&amp;TEXT($P209,"m/d")&amp;"("&amp;CHOOSE(WEEKDAY($P209),"日","月","火","水","木","金","土")&amp;")"&amp;" の入庫では間に合わない（"&amp;TEXT($CA209,"m/d")&amp;"("&amp;CHOOSE(WEEKDAY($CA209),"日","月","火","水","木","金","土")&amp;")"&amp;" に切れる）　入庫日を早める","△ 欠品 "&amp;TEXT($CA209,"m/d")&amp;"("&amp;CHOOSE(WEEKDAY($CA209),"日","月","火","水","木","金","土")&amp;")"&amp;"〜"&amp;TEXT($P209-1,"m/d")&amp;"("&amp;CHOOSE(WEEKDAY($P209-1),"日","月","火","水","木","金","土")&amp;")"&amp;"　"&amp;$CO209),IF($CC209="","○ "&amp;TEXT($P209,"m/d")&amp;"("&amp;CHOOSE(WEEKDAY($P209),"日","月","火","水","木","金","土")&amp;")"&amp;" 入庫で 14日以上もつ",IF($CC209-N('設定'!$C$7)&lt;='設定'!$C$6,"● 入庫しても "&amp;TEXT($CC209,"m/d")&amp;"("&amp;CHOOSE(WEEKDAY($CC209),"日","月","火","水","木","金","土")&amp;")"&amp;" に切れる　もう1便を至急発注（2便目に入れる）","△ 入庫しても "&amp;TEXT($CC209,"m/d")&amp;"("&amp;CHOOSE(WEEKDAY($CC209),"日","月","火","水","木","金","土")&amp;")"&amp;" に切れる　"&amp;TEXT($CC209-N('設定'!$C$7),"m/d")&amp;"("&amp;CHOOSE(WEEKDAY($CC209-N('設定'!$C$7)),"日","月","火","水","木","金","土")&amp;")"&amp;" までに次を発注（2便目に入れる）"))))))))))</f>
        <v/>
      </c>
      <c r="CR209">
        <f>IF($C209="","",IF($G209&gt;1,"ｹｰｽ("&amp;$G209&amp;"入)","個"))</f>
        <v/>
      </c>
      <c r="CS209">
        <f>IF($C209="",0,IF(COUNTIFS('①在庫を貼る'!$V$6:$V$10005,'設定'!$C$4,'①在庫を貼る'!$W$6:$W$10005,$C209)=0,1,0))</f>
        <v/>
      </c>
      <c r="CT209">
        <f>IF(AND($CK209=1,OR('③発注書'!$C$4="すべて",'③発注書'!$C$4="",$F209='③発注書'!$C$4)),N($CT208)+1,N($CT208))</f>
        <v/>
      </c>
      <c r="CU209">
        <f>IF(AND($CL209=1,OR('③発注書'!$C$4="すべて",'③発注書'!$C$4="",$F209='③発注書'!$C$4)),N($CU208)+1,N($CU208))</f>
        <v/>
      </c>
      <c r="CV209">
        <f>IF($C209="",0,IF(COUNTIFS('①在庫を貼る'!$V$6:$V$10005,'設定'!$C$4,'①在庫を貼る'!$W$6:$W$10005,$C209)&gt;0,1,0))</f>
        <v/>
      </c>
      <c r="CW209">
        <f>IF($C209="",0,IF(COUNTIFS('月1回_1ヶ月前の在庫'!$V$6:$V$10005,'設定'!$C$4,'月1回_1ヶ月前の在庫'!$W$6:$W$10005,$C209)&gt;0,1,0))</f>
        <v/>
      </c>
      <c r="CX209">
        <f>IF($C209="",0,IF(COUNTIFS('月1回_2ヶ月前の在庫'!$V$6:$V$10005,'設定'!$C$4,'月1回_2ヶ月前の在庫'!$W$6:$W$10005,$C209)&gt;0,1,0))</f>
        <v/>
      </c>
      <c r="CY209">
        <f>IF(OR($C209="",'設定'!$C$12=""),"",IF('設定'!$C$13="",IF(AND($CV209=1,$CW209=0),"新商品（今月から）",IF(AND($CV209=0,$CW209=1),"終売（今月から）","")),IF(AND($CV209=1,$CW209=0,$CX209=0),"新商品（今月から）",IF(AND($CV209=1,$CW209=1,$CX209=0),"新商品（先月から）",IF(AND($CV209=0,$CW209=1,$CX209=1),"終売（今月から）",IF(AND($CV209=0,$CW209=0,$CX209=1),"終売（先月から）",IF(AND($CV209=1,$CW209=0,$CX209=1),"復活（先月は無し）","")))))))</f>
        <v/>
      </c>
    </row>
    <row r="210">
      <c r="B210">
        <f>IF(205&lt;='設定'!$C$11,205,"")</f>
        <v/>
      </c>
      <c r="C210">
        <f>IF($B210="","",IF($B210&lt;='設定'!$C$20,INDEX('商品マスタ'!$B$6:$B$1005,MATCH($B210,'商品マスタ'!$M$6:$M$1005,0)),IF($B210&lt;='設定'!$C$20+'設定'!$C$17,INDEX('①在庫を貼る'!$W$6:$W$10005,MATCH($B210-'設定'!$C$20,'①在庫を貼る'!$U$6:$U$10005,0)),IF($B210&lt;='設定'!$C$20+'設定'!$C$17+'設定'!$C$18,INDEX('月1回_1ヶ月前の在庫'!$W$6:$W$10005,MATCH($B210-'設定'!$C$20-'設定'!$C$17,'月1回_1ヶ月前の在庫'!$U$6:$U$10005,0)),INDEX('月1回_2ヶ月前の在庫'!$W$6:$W$10005,MATCH($B210-'設定'!$C$20-'設定'!$C$17-'設定'!$C$18,'月1回_2ヶ月前の在庫'!$U$6:$U$10005,0))))))</f>
        <v/>
      </c>
      <c r="D210">
        <f>IF($C210="","",IFERROR(IF(INDEX('商品マスタ'!$C$6:$C$1005,MATCH($C210,'商品マスタ'!$B$6:$B$1005,0))="",IFERROR(INDEX('①在庫を貼る'!$J$6:$J$10005,MATCH($C210,'①在庫を貼る'!$W$6:$W$10005,0)),IFERROR(INDEX('月1回_1ヶ月前の在庫'!$J$6:$J$10005,MATCH($C210,'月1回_1ヶ月前の在庫'!$W$6:$W$10005,0)),IFERROR(INDEX('月1回_2ヶ月前の在庫'!$J$6:$J$10005,MATCH($C210,'月1回_2ヶ月前の在庫'!$W$6:$W$10005,0)),""))),INDEX('商品マスタ'!$C$6:$C$1005,MATCH($C210,'商品マスタ'!$B$6:$B$1005,0))),IFERROR(INDEX('①在庫を貼る'!$J$6:$J$10005,MATCH($C210,'①在庫を貼る'!$W$6:$W$10005,0)),IFERROR(INDEX('月1回_1ヶ月前の在庫'!$J$6:$J$10005,MATCH($C210,'月1回_1ヶ月前の在庫'!$W$6:$W$10005,0)),IFERROR(INDEX('月1回_2ヶ月前の在庫'!$J$6:$J$10005,MATCH($C210,'月1回_2ヶ月前の在庫'!$W$6:$W$10005,0)),"")))))</f>
        <v/>
      </c>
      <c r="E210">
        <f>IF($C210="","",IFERROR(IF(INDEX('商品マスタ'!$D$6:$D$1005,MATCH($C210,'商品マスタ'!$B$6:$B$1005,0))="",IFERROR(INDEX('①在庫を貼る'!$H$6:$H$10005,MATCH($C210,'①在庫を貼る'!$W$6:$W$10005,0)),IFERROR(INDEX('月1回_1ヶ月前の在庫'!$H$6:$H$10005,MATCH($C210,'月1回_1ヶ月前の在庫'!$W$6:$W$10005,0)),IFERROR(INDEX('月1回_2ヶ月前の在庫'!$H$6:$H$10005,MATCH($C210,'月1回_2ヶ月前の在庫'!$W$6:$W$10005,0)),""))),INDEX('商品マスタ'!$D$6:$D$1005,MATCH($C210,'商品マスタ'!$B$6:$B$1005,0))),IFERROR(INDEX('①在庫を貼る'!$H$6:$H$10005,MATCH($C210,'①在庫を貼る'!$W$6:$W$10005,0)),IFERROR(INDEX('月1回_1ヶ月前の在庫'!$H$6:$H$10005,MATCH($C210,'月1回_1ヶ月前の在庫'!$W$6:$W$10005,0)),IFERROR(INDEX('月1回_2ヶ月前の在庫'!$H$6:$H$10005,MATCH($C210,'月1回_2ヶ月前の在庫'!$W$6:$W$10005,0)),"")))))</f>
        <v/>
      </c>
      <c r="F210">
        <f>IF($C210="","",IFERROR(IF(INDEX('商品マスタ'!$E$6:$E$1005,MATCH($C210,'商品マスタ'!$B$6:$B$1005,0))="",IFERROR(INDEX('①在庫を貼る'!$E$6:$E$10005,MATCH($C210,'①在庫を貼る'!$W$6:$W$10005,0)),IFERROR(INDEX('月1回_1ヶ月前の在庫'!$E$6:$E$10005,MATCH($C210,'月1回_1ヶ月前の在庫'!$W$6:$W$10005,0)),IFERROR(INDEX('月1回_2ヶ月前の在庫'!$E$6:$E$10005,MATCH($C210,'月1回_2ヶ月前の在庫'!$W$6:$W$10005,0)),""))),INDEX('商品マスタ'!$E$6:$E$1005,MATCH($C210,'商品マスタ'!$B$6:$B$1005,0))),IFERROR(INDEX('①在庫を貼る'!$E$6:$E$10005,MATCH($C210,'①在庫を貼る'!$W$6:$W$10005,0)),IFERROR(INDEX('月1回_1ヶ月前の在庫'!$E$6:$E$10005,MATCH($C210,'月1回_1ヶ月前の在庫'!$W$6:$W$10005,0)),IFERROR(INDEX('月1回_2ヶ月前の在庫'!$E$6:$E$10005,MATCH($C210,'月1回_2ヶ月前の在庫'!$W$6:$W$10005,0)),"")))))</f>
        <v/>
      </c>
      <c r="G210">
        <f>IF($C210="","",MAX(1,N(IFERROR(IF(INDEX('商品マスタ'!$F$6:$F$1005,MATCH($C210,'商品マスタ'!$B$6:$B$1005,0))="",IF(COUNTIFS('①在庫を貼る'!$V$6:$V$10005,'設定'!$C$4,'①在庫を貼る'!$W$6:$W$10005,$C210)&gt;0,SUMIFS('①在庫を貼る'!$K$6:$K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K$6:$K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K$6:$K$10005,'月1回_2ヶ月前の在庫'!$V$6:$V$10005,'設定'!$C$4,'月1回_2ヶ月前の在庫'!$W$6:$W$10005,$C210)/COUNTIFS('月1回_2ヶ月前の在庫'!$V$6:$V$10005,'設定'!$C$4,'月1回_2ヶ月前の在庫'!$W$6:$W$10005,$C210),0))),INDEX('商品マスタ'!$F$6:$F$1005,MATCH($C210,'商品マスタ'!$B$6:$B$1005,0))),IF(COUNTIFS('①在庫を貼る'!$V$6:$V$10005,'設定'!$C$4,'①在庫を貼る'!$W$6:$W$10005,$C210)&gt;0,SUMIFS('①在庫を貼る'!$K$6:$K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K$6:$K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K$6:$K$10005,'月1回_2ヶ月前の在庫'!$V$6:$V$10005,'設定'!$C$4,'月1回_2ヶ月前の在庫'!$W$6:$W$10005,$C210)/COUNTIFS('月1回_2ヶ月前の在庫'!$V$6:$V$10005,'設定'!$C$4,'月1回_2ヶ月前の在庫'!$W$6:$W$10005,$C210),0)))))))</f>
        <v/>
      </c>
      <c r="H210">
        <f>IF($C210="","",N(IFERROR(IF(INDEX('商品マスタ'!$G$6:$G$1005,MATCH($C210,'商品マスタ'!$B$6:$B$1005,0))="",IF(COUNTIFS('①在庫を貼る'!$V$6:$V$10005,'設定'!$C$4,'①在庫を貼る'!$W$6:$W$10005,$C210)&gt;0,SUMIFS('①在庫を貼る'!$Q$6:$Q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Q$6:$Q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Q$6:$Q$10005,'月1回_2ヶ月前の在庫'!$V$6:$V$10005,'設定'!$C$4,'月1回_2ヶ月前の在庫'!$W$6:$W$10005,$C210)/COUNTIFS('月1回_2ヶ月前の在庫'!$V$6:$V$10005,'設定'!$C$4,'月1回_2ヶ月前の在庫'!$W$6:$W$10005,$C210),0))),INDEX('商品マスタ'!$G$6:$G$1005,MATCH($C210,'商品マスタ'!$B$6:$B$1005,0))),IF(COUNTIFS('①在庫を貼る'!$V$6:$V$10005,'設定'!$C$4,'①在庫を貼る'!$W$6:$W$10005,$C210)&gt;0,SUMIFS('①在庫を貼る'!$Q$6:$Q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Q$6:$Q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Q$6:$Q$10005,'月1回_2ヶ月前の在庫'!$V$6:$V$10005,'設定'!$C$4,'月1回_2ヶ月前の在庫'!$W$6:$W$10005,$C210)/COUNTIFS('月1回_2ヶ月前の在庫'!$V$6:$V$10005,'設定'!$C$4,'月1回_2ヶ月前の在庫'!$W$6:$W$10005,$C210),0))))))</f>
        <v/>
      </c>
      <c r="I210">
        <f>IF($C210="","",IF(COUNTIFS('①在庫を貼る'!$V$6:$V$10005,'設定'!$C$4,'①在庫を貼る'!$W$6:$W$10005,$C210)=0,"",SUMIFS('①在庫を貼る'!$N$6:$N$10005,'①在庫を貼る'!$V$6:$V$10005,'設定'!$C$4,'①在庫を貼る'!$W$6:$W$10005,$C210)))</f>
        <v/>
      </c>
      <c r="J210">
        <f>IF($C210="","",IF('②発注する'!$AD214="","",'②発注する'!$AD214))</f>
        <v/>
      </c>
      <c r="K210" s="90">
        <f>IF($C210="","",IF('②発注する'!$AE214="","",'②発注する'!$AE214))</f>
        <v/>
      </c>
      <c r="L210">
        <f>IF($C210="","",IF(AND(ISNUMBER($J210),ISNUMBER($K210),$K210&gt;='設定'!$C$6),$J210,N($I210)))</f>
        <v/>
      </c>
      <c r="M210">
        <f>IF($C210="","",IFERROR(IF(N(INDEX('商品マスタ'!$J$6:$J$1005,MATCH($C210,'商品マスタ'!$B$6:$B$1005,0)))&gt;0,INDEX('商品マスタ'!$J$6:$J$1005,MATCH($C210,'商品マスタ'!$B$6:$B$1005,0)),""),""))</f>
        <v/>
      </c>
      <c r="N210">
        <f>IF($C210="","",IFERROR(IF(N(INDEX('商品マスタ'!$H$6:$H$1005,MATCH($C210,'商品マスタ'!$B$6:$B$1005,0)))&gt;0,INDEX('商品マスタ'!$H$6:$H$1005,MATCH($C210,'商品マスタ'!$B$6:$B$1005,0)),""),""))</f>
        <v/>
      </c>
      <c r="O210">
        <f>IF($C210="","",IF($N210&lt;&gt;"",$N210*$G210,IF(N(IF(COUNTIFS('①在庫を貼る'!$V$6:$V$10005,'設定'!$C$4,'①在庫を貼る'!$W$6:$W$10005,$C210)&gt;0,SUMIFS('①在庫を貼る'!$O$6:$O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O$6:$O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O$6:$O$10005,'月1回_2ヶ月前の在庫'!$V$6:$V$10005,'設定'!$C$4,'月1回_2ヶ月前の在庫'!$W$6:$W$10005,$C210)/COUNTIFS('月1回_2ヶ月前の在庫'!$V$6:$V$10005,'設定'!$C$4,'月1回_2ヶ月前の在庫'!$W$6:$W$10005,$C210),0))))&gt;0,N(IF(COUNTIFS('①在庫を貼る'!$V$6:$V$10005,'設定'!$C$4,'①在庫を貼る'!$W$6:$W$10005,$C210)&gt;0,SUMIFS('①在庫を貼る'!$O$6:$O$10005,'①在庫を貼る'!$V$6:$V$10005,'設定'!$C$4,'①在庫を貼る'!$W$6:$W$10005,$C210)/COUNTIFS('①在庫を貼る'!$V$6:$V$10005,'設定'!$C$4,'①在庫を貼る'!$W$6:$W$10005,$C210),IF(COUNTIFS('月1回_1ヶ月前の在庫'!$V$6:$V$10005,'設定'!$C$4,'月1回_1ヶ月前の在庫'!$W$6:$W$10005,$C210)&gt;0,SUMIFS('月1回_1ヶ月前の在庫'!$O$6:$O$10005,'月1回_1ヶ月前の在庫'!$V$6:$V$10005,'設定'!$C$4,'月1回_1ヶ月前の在庫'!$W$6:$W$10005,$C210)/COUNTIFS('月1回_1ヶ月前の在庫'!$V$6:$V$10005,'設定'!$C$4,'月1回_1ヶ月前の在庫'!$W$6:$W$10005,$C210),IF(COUNTIFS('月1回_2ヶ月前の在庫'!$V$6:$V$10005,'設定'!$C$4,'月1回_2ヶ月前の在庫'!$W$6:$W$10005,$C210)&gt;0,SUMIFS('月1回_2ヶ月前の在庫'!$O$6:$O$10005,'月1回_2ヶ月前の在庫'!$V$6:$V$10005,'設定'!$C$4,'月1回_2ヶ月前の在庫'!$W$6:$W$10005,$C210)/COUNTIFS('月1回_2ヶ月前の在庫'!$V$6:$V$10005,'設定'!$C$4,'月1回_2ヶ月前の在庫'!$W$6:$W$10005,$C210),0)))),"")))</f>
        <v/>
      </c>
      <c r="P210" s="90">
        <f>IF($C210="","",IF('②発注する'!$I214="","",'②発注する'!$I214))</f>
        <v/>
      </c>
      <c r="Q210">
        <f>IF($C210="","",IF('②発注する'!$J214="","",'②発注する'!$J214))</f>
        <v/>
      </c>
      <c r="R210">
        <f>IF($C210="",0,IF(AND(ISNUMBER($P210),ISNUMBER($Q210)),MAX(0,$Q210)*$G210,0))</f>
        <v/>
      </c>
      <c r="S210" s="90">
        <f>IF($C210="","",IF('②発注する'!$M214="","",'②発注する'!$M214))</f>
        <v/>
      </c>
      <c r="T210">
        <f>IF($C210="","",IF('②発注する'!$N214="","",'②発注する'!$N214))</f>
        <v/>
      </c>
      <c r="U210">
        <f>IF($C210="",0,IF(AND(ISNUMBER($S210),ISNUMBER($T210)),MAX(0,$T210)*$G210,0))</f>
        <v/>
      </c>
      <c r="V210">
        <f>IF($C210="",0,IF($M210="",0,MAX(0,$M210)*MAX(0,V$4)/100))</f>
        <v/>
      </c>
      <c r="W210">
        <f>IF($C210="",0,IF($M210="",0,MAX(0,$M210)*MAX(0,W$4)/100))</f>
        <v/>
      </c>
      <c r="X210">
        <f>IF($C210="",0,IF($M210="",0,MAX(0,$M210)*MAX(0,X$4)/100))</f>
        <v/>
      </c>
      <c r="Y210">
        <f>IF($C210="",0,IF($M210="",0,MAX(0,$M210)*MAX(0,Y$4)/100))</f>
        <v/>
      </c>
      <c r="Z210">
        <f>IF($C210="",0,IF($M210="",0,MAX(0,$M210)*MAX(0,Z$4)/100))</f>
        <v/>
      </c>
      <c r="AA210">
        <f>IF($C210="",0,IF($M210="",0,MAX(0,$M210)*MAX(0,AA$4)/100))</f>
        <v/>
      </c>
      <c r="AB210">
        <f>IF($C210="",0,IF($M210="",0,MAX(0,$M210)*MAX(0,AB$4)/100))</f>
        <v/>
      </c>
      <c r="AC210">
        <f>IF($C210="",0,IF($M210="",0,MAX(0,$M210)*MAX(0,AC$4)/100))</f>
        <v/>
      </c>
      <c r="AD210">
        <f>IF($C210="",0,IF($M210="",0,MAX(0,$M210)*MAX(0,AD$4)/100))</f>
        <v/>
      </c>
      <c r="AE210">
        <f>IF($C210="",0,IF($M210="",0,MAX(0,$M210)*MAX(0,AE$4)/100))</f>
        <v/>
      </c>
      <c r="AF210">
        <f>IF($C210="",0,IF($M210="",0,MAX(0,$M210)*MAX(0,AF$4)/100))</f>
        <v/>
      </c>
      <c r="AG210">
        <f>IF($C210="",0,IF($M210="",0,MAX(0,$M210)*MAX(0,AG$4)/100))</f>
        <v/>
      </c>
      <c r="AH210">
        <f>IF($C210="",0,IF($M210="",0,MAX(0,$M210)*MAX(0,AH$4)/100))</f>
        <v/>
      </c>
      <c r="AI210">
        <f>IF($C210="",0,IF($M210="",0,MAX(0,$M210)*MAX(0,AI$4)/100))</f>
        <v/>
      </c>
      <c r="AJ210">
        <f>IF($C210="",0,MAX(0,MAX(0,N($L210))-$V210))</f>
        <v/>
      </c>
      <c r="AK210">
        <f>IF($C210="",0,MAX(0,$AJ210-$W210))</f>
        <v/>
      </c>
      <c r="AL210">
        <f>IF($C210="",0,MAX(0,$AK210-$X210))</f>
        <v/>
      </c>
      <c r="AM210">
        <f>IF($C210="",0,MAX(0,$AL210-$Y210))</f>
        <v/>
      </c>
      <c r="AN210">
        <f>IF($C210="",0,MAX(0,$AM210-$Z210))</f>
        <v/>
      </c>
      <c r="AO210">
        <f>IF($C210="",0,MAX(0,$AN210-$AA210))</f>
        <v/>
      </c>
      <c r="AP210">
        <f>IF($C210="",0,MAX(0,$AO210-$AB210))</f>
        <v/>
      </c>
      <c r="AQ210">
        <f>IF($C210="",0,MAX(0,$AP210-$AC210))</f>
        <v/>
      </c>
      <c r="AR210">
        <f>IF($C210="",0,MAX(0,$AQ210-$AD210))</f>
        <v/>
      </c>
      <c r="AS210">
        <f>IF($C210="",0,MAX(0,$AR210-$AE210))</f>
        <v/>
      </c>
      <c r="AT210">
        <f>IF($C210="",0,MAX(0,$AS210-$AF210))</f>
        <v/>
      </c>
      <c r="AU210">
        <f>IF($C210="",0,MAX(0,$AT210-$AG210))</f>
        <v/>
      </c>
      <c r="AV210">
        <f>IF($C210="",0,MAX(0,$AU210-$AH210))</f>
        <v/>
      </c>
      <c r="AW210">
        <f>IF($C210="",0,MAX(0,$AV210-$AI210))</f>
        <v/>
      </c>
      <c r="AX210">
        <f>IF($C210="",0,MAX(0,MAX(0,N($L210))+IF($P210=V$3,$R210,0)+IF($S210=V$3,$U210,0)-$V210))</f>
        <v/>
      </c>
      <c r="AY210">
        <f>IF($C210="",0,MAX(0,$AX210+IF($P210=W$3,$R210,0)+IF($S210=W$3,$U210,0)-$W210))</f>
        <v/>
      </c>
      <c r="AZ210">
        <f>IF($C210="",0,MAX(0,$AY210+IF($P210=X$3,$R210,0)+IF($S210=X$3,$U210,0)-$X210))</f>
        <v/>
      </c>
      <c r="BA210">
        <f>IF($C210="",0,MAX(0,$AZ210+IF($P210=Y$3,$R210,0)+IF($S210=Y$3,$U210,0)-$Y210))</f>
        <v/>
      </c>
      <c r="BB210">
        <f>IF($C210="",0,MAX(0,$BA210+IF($P210=Z$3,$R210,0)+IF($S210=Z$3,$U210,0)-$Z210))</f>
        <v/>
      </c>
      <c r="BC210">
        <f>IF($C210="",0,MAX(0,$BB210+IF($P210=AA$3,$R210,0)+IF($S210=AA$3,$U210,0)-$AA210))</f>
        <v/>
      </c>
      <c r="BD210">
        <f>IF($C210="",0,MAX(0,$BC210+IF($P210=AB$3,$R210,0)+IF($S210=AB$3,$U210,0)-$AB210))</f>
        <v/>
      </c>
      <c r="BE210">
        <f>IF($C210="",0,MAX(0,$BD210+IF($P210=AC$3,$R210,0)+IF($S210=AC$3,$U210,0)-$AC210))</f>
        <v/>
      </c>
      <c r="BF210">
        <f>IF($C210="",0,MAX(0,$BE210+IF($P210=AD$3,$R210,0)+IF($S210=AD$3,$U210,0)-$AD210))</f>
        <v/>
      </c>
      <c r="BG210">
        <f>IF($C210="",0,MAX(0,$BF210+IF($P210=AE$3,$R210,0)+IF($S210=AE$3,$U210,0)-$AE210))</f>
        <v/>
      </c>
      <c r="BH210">
        <f>IF($C210="",0,MAX(0,$BG210+IF($P210=AF$3,$R210,0)+IF($S210=AF$3,$U210,0)-$AF210))</f>
        <v/>
      </c>
      <c r="BI210">
        <f>IF($C210="",0,MAX(0,$BH210+IF($P210=AG$3,$R210,0)+IF($S210=AG$3,$U210,0)-$AG210))</f>
        <v/>
      </c>
      <c r="BJ210">
        <f>IF($C210="",0,MAX(0,$BI210+IF($P210=AH$3,$R210,0)+IF($S210=AH$3,$U210,0)-$AH210))</f>
        <v/>
      </c>
      <c r="BK210">
        <f>IF($C210="",0,MAX(0,$BJ210+IF($P210=AI$3,$R210,0)+IF($S210=AI$3,$U210,0)-$AI210))</f>
        <v/>
      </c>
      <c r="BL210">
        <f>IF($C210="",99,IF(AND($AX210&lt;1,V$3&gt;=MAX(N($P210),N($S210))),0,99))</f>
        <v/>
      </c>
      <c r="BM210">
        <f>IF($C210="",99,IF(AND($AY210&lt;1,W$3&gt;=MAX(N($P210),N($S210))),1,99))</f>
        <v/>
      </c>
      <c r="BN210">
        <f>IF($C210="",99,IF(AND($AZ210&lt;1,X$3&gt;=MAX(N($P210),N($S210))),2,99))</f>
        <v/>
      </c>
      <c r="BO210">
        <f>IF($C210="",99,IF(AND($BA210&lt;1,Y$3&gt;=MAX(N($P210),N($S210))),3,99))</f>
        <v/>
      </c>
      <c r="BP210">
        <f>IF($C210="",99,IF(AND($BB210&lt;1,Z$3&gt;=MAX(N($P210),N($S210))),4,99))</f>
        <v/>
      </c>
      <c r="BQ210">
        <f>IF($C210="",99,IF(AND($BC210&lt;1,AA$3&gt;=MAX(N($P210),N($S210))),5,99))</f>
        <v/>
      </c>
      <c r="BR210">
        <f>IF($C210="",99,IF(AND($BD210&lt;1,AB$3&gt;=MAX(N($P210),N($S210))),6,99))</f>
        <v/>
      </c>
      <c r="BS210">
        <f>IF($C210="",99,IF(AND($BE210&lt;1,AC$3&gt;=MAX(N($P210),N($S210))),7,99))</f>
        <v/>
      </c>
      <c r="BT210">
        <f>IF($C210="",99,IF(AND($BF210&lt;1,AD$3&gt;=MAX(N($P210),N($S210))),8,99))</f>
        <v/>
      </c>
      <c r="BU210">
        <f>IF($C210="",99,IF(AND($BG210&lt;1,AE$3&gt;=MAX(N($P210),N($S210))),9,99))</f>
        <v/>
      </c>
      <c r="BV210">
        <f>IF($C210="",99,IF(AND($BH210&lt;1,AF$3&gt;=MAX(N($P210),N($S210))),10,99))</f>
        <v/>
      </c>
      <c r="BW210">
        <f>IF($C210="",99,IF(AND($BI210&lt;1,AG$3&gt;=MAX(N($P210),N($S210))),11,99))</f>
        <v/>
      </c>
      <c r="BX210">
        <f>IF($C210="",99,IF(AND($BJ210&lt;1,AH$3&gt;=MAX(N($P210),N($S210))),12,99))</f>
        <v/>
      </c>
      <c r="BY210">
        <f>IF($C210="",99,IF(AND($BK210&lt;1,AI$3&gt;=MAX(N($P210),N($S210))),13,99))</f>
        <v/>
      </c>
      <c r="BZ210">
        <f>IF(OR($C210="",$M210=""),"",COUNTIF($AJ210:$AW210,"&gt;=1"))</f>
        <v/>
      </c>
      <c r="CA210" s="90">
        <f>IF($BZ210="","",IF($BZ210&gt;=14,"",'設定'!$C$6+$BZ210))</f>
        <v/>
      </c>
      <c r="CB210">
        <f>IF(OR($C210="",$M210=""),"",MIN($BL210:$BY210))</f>
        <v/>
      </c>
      <c r="CC210" s="90">
        <f>IF($CB210="","",IF($CB210&gt;=99,"",'設定'!$C$6+$CB210))</f>
        <v/>
      </c>
      <c r="CD210">
        <f>IF(OR($C210="",$M210=""),"",AVERAGE($V210:$AI210))</f>
        <v/>
      </c>
      <c r="CE210">
        <f>IF($C210="","",IFERROR(IF(MATCH(IF(ISNUMBER($P210),$P210,'設定'!$C$6+N('設定'!$C$7)),$V$3:$AI$3,0)=1,MAX(0,N($L210)),INDEX($AJ210:$AW210,MATCH(IF(ISNUMBER($P210),$P210,'設定'!$C$6+N('設定'!$C$7)),$V$3:$AI$3,0)-1)),""))</f>
        <v/>
      </c>
      <c r="CF210">
        <f>IF(OR($C210="",$O210="",$CE210=""),"",IF($O210-$CE210&lt;=0,0,ROUNDUP(($O210-$CE210)/$G210,0)))</f>
        <v/>
      </c>
      <c r="CG210">
        <f>IF(OR($C210="",$CF210="",NOT(ISNUMBER($Q210))),0,MAX(0,$Q210-$CF210))</f>
        <v/>
      </c>
      <c r="CH210">
        <f>IF(OR($C210="",$O210="",$U210=0),0,IFERROR(ROUNDUP(MAX(0,IF(MATCH($S210,$V$3:$AI$3,0)=1,MAX(0,N($L210)),INDEX($AX210:$BK210,MATCH($S210,$V$3:$AI$3,0)-1))+$U210-$O210)/$G210,0),0))</f>
        <v/>
      </c>
      <c r="CI210">
        <f>IF($C210="","",IF(AND($P210="",$Q210=""),"",IF($P210="","⚠ 入庫日を ▼ から選んでください",IF(NOT(ISNUMBER($P210)),"⚠ 入庫日は ▼ から選んでください",IF($P210&lt;N('設定'!$C$6),"⚠ 入庫日が過去です（もう在庫に入っています）→ 消してください",IF($P210&gt;N('設定'!$C$6)+13,"⚠ 入庫日が14日より先です",IF(N($Q210)&lt;=0,"⚠ 入庫数を入れてください",IF($CG210&gt;0,"⚠ 目安より "&amp;$CG210&amp;" 多い（定数を超える）→ 減らす",""))))))))</f>
        <v/>
      </c>
      <c r="CJ210">
        <f>IF($C210="","",IF(AND($S210="",$T210=""),"",IF($S210="","⚠ 2便目：入庫日を ▼ から選んでください",IF(NOT(ISNUMBER($S210)),"⚠ 2便目：入庫日は ▼ から選んでください",IF($S210&lt;N('設定'!$C$6),"⚠ 2便目：入庫日が過去です（もう在庫に入っています）→ 消してください",IF($S210&gt;N('設定'!$C$6)+13,"⚠ 2便目：入庫日が14日より先です",IF(N($T210)&lt;=0,"⚠ 2便目：入庫数を入れてください",IF($CH210&gt;0,"⚠ 2便目：定数を "&amp;$CH210&amp;" ケース超える → 減らす",""))))))))</f>
        <v/>
      </c>
      <c r="CK210">
        <f>IF(AND($CI210="",N($Q210)&gt;0,ISNUMBER($P210)),1,0)</f>
        <v/>
      </c>
      <c r="CL210">
        <f>IF(AND($CJ210="",N($T210)&gt;0,ISNUMBER($S210)),1,0)</f>
        <v/>
      </c>
      <c r="CM210">
        <f>IF(OR($CK210=1,$CL210=1),1,0)</f>
        <v/>
      </c>
      <c r="CN210">
        <f>IF($C210="",0,($CK210*$R210+$CL210*$U210)*N($H210))</f>
        <v/>
      </c>
      <c r="CO210">
        <f>IF($C210="","",IF($CC210="","入庫後は 14日以上もつ",IF($CC210-N('設定'!$C$7)&lt;='設定'!$C$6,"入庫後も "&amp;TEXT($CC210,"m/d")&amp;"("&amp;CHOOSE(WEEKDAY($CC210),"日","月","火","水","木","金","土")&amp;")"&amp;" に切れる　もう1便を至急発注","入庫後も "&amp;TEXT($CC210,"m/d")&amp;"("&amp;CHOOSE(WEEKDAY($CC210),"日","月","火","水","木","金","土")&amp;")"&amp;" に切れる　"&amp;TEXT($CC210-N('設定'!$C$7),"m/d")&amp;"("&amp;CHOOSE(WEEKDAY($CC210-N('設定'!$C$7)),"日","月","火","水","木","金","土")&amp;")"&amp;" までに次を発注")))</f>
        <v/>
      </c>
      <c r="CP210">
        <f>IF($C210="","",IF('設定'!$C$6="","？ ①在庫を貼る に今日のCSVが貼られていない",IF($CS210=1,"－ 今日のCSVに無い（終売？）",IF($L210&lt;0,"● 在庫がマイナス　数えて「数えた在庫」に入れる",IF($L210=0,"● 在庫なし　至急発注",IF($M210="","？ 減り数が未設定（商品マスタ）",IF($B$3=0,"？ 動員が未入力（動員を入れる）",IF($CA210="","○ 14日以上もつ",IF($BZ210&lt;N('設定'!$C$7),"● "&amp;TEXT($CA210,"m/d")&amp;"("&amp;CHOOSE(WEEKDAY($CA210),"日","月","火","水","木","金","土")&amp;")"&amp;" に切れる　至急発注",IF($BZ210=N('設定'!$C$7),"● "&amp;TEXT($CA210,"m/d")&amp;"("&amp;CHOOSE(WEEKDAY($CA210),"日","月","火","水","木","金","土")&amp;")"&amp;" に切れる　今日発注","△ "&amp;TEXT($CA210,"m/d")&amp;"("&amp;CHOOSE(WEEKDAY($CA210),"日","月","火","水","木","金","土")&amp;")"&amp;" に切れる　"&amp;TEXT($CA210-N('設定'!$C$7),"m/d")&amp;"("&amp;CHOOSE(WEEKDAY($CA210-N('設定'!$C$7)),"日","月","火","水","木","金","土")&amp;")"&amp;" までに発注"))))))))))</f>
        <v/>
      </c>
      <c r="CQ210">
        <f>IF($C210="","",IF(AND($P210="",$Q210="",$S210="",$T210=""),"",IF(AND($P210="",$Q210=""),"⚠ 先に1便目（左の入庫日・入庫数）に入れてください",IF($CI210&lt;&gt;"",$CI210,IF($CJ210&lt;&gt;"",$CJ210,IF($M210="","？ 減り数が未設定（発注書には載ります）",IF($B$3=0,"？ 動員が未入力（発注書には載ります）",IF(AND($CA210&lt;&gt;"",$P210&gt;$CA210),IF($P210&gt;'設定'!$C$6+N('設定'!$C$7),"● "&amp;TEXT($P210,"m/d")&amp;"("&amp;CHOOSE(WEEKDAY($P210),"日","月","火","水","木","金","土")&amp;")"&amp;" の入庫では間に合わない（"&amp;TEXT($CA210,"m/d")&amp;"("&amp;CHOOSE(WEEKDAY($CA210),"日","月","火","水","木","金","土")&amp;")"&amp;" に切れる）　入庫日を早める","△ 欠品 "&amp;TEXT($CA210,"m/d")&amp;"("&amp;CHOOSE(WEEKDAY($CA210),"日","月","火","水","木","金","土")&amp;")"&amp;"〜"&amp;TEXT($P210-1,"m/d")&amp;"("&amp;CHOOSE(WEEKDAY($P210-1),"日","月","火","水","木","金","土")&amp;")"&amp;"　"&amp;$CO210),IF($CC210="","○ "&amp;TEXT($P210,"m/d")&amp;"("&amp;CHOOSE(WEEKDAY($P210),"日","月","火","水","木","金","土")&amp;")"&amp;" 入庫で 14日以上もつ",IF($CC210-N('設定'!$C$7)&lt;='設定'!$C$6,"● 入庫しても "&amp;TEXT($CC210,"m/d")&amp;"("&amp;CHOOSE(WEEKDAY($CC210),"日","月","火","水","木","金","土")&amp;")"&amp;" に切れる　もう1便を至急発注（2便目に入れる）","△ 入庫しても "&amp;TEXT($CC210,"m/d")&amp;"("&amp;CHOOSE(WEEKDAY($CC210),"日","月","火","水","木","金","土")&amp;")"&amp;" に切れる　"&amp;TEXT($CC210-N('設定'!$C$7),"m/d")&amp;"("&amp;CHOOSE(WEEKDAY($CC210-N('設定'!$C$7)),"日","月","火","水","木","金","土")&amp;")"&amp;" までに次を発注（2便目に入れる）"))))))))))</f>
        <v/>
      </c>
      <c r="CR210">
        <f>IF($C210="","",IF($G210&gt;1,"ｹｰｽ("&amp;$G210&amp;"入)","個"))</f>
        <v/>
      </c>
      <c r="CS210">
        <f>IF($C210="",0,IF(COUNTIFS('①在庫を貼る'!$V$6:$V$10005,'設定'!$C$4,'①在庫を貼る'!$W$6:$W$10005,$C210)=0,1,0))</f>
        <v/>
      </c>
      <c r="CT210">
        <f>IF(AND($CK210=1,OR('③発注書'!$C$4="すべて",'③発注書'!$C$4="",$F210='③発注書'!$C$4)),N($CT209)+1,N($CT209))</f>
        <v/>
      </c>
      <c r="CU210">
        <f>IF(AND($CL210=1,OR('③発注書'!$C$4="すべて",'③発注書'!$C$4="",$F210='③発注書'!$C$4)),N($CU209)+1,N($CU209))</f>
        <v/>
      </c>
      <c r="CV210">
        <f>IF($C210="",0,IF(COUNTIFS('①在庫を貼る'!$V$6:$V$10005,'設定'!$C$4,'①在庫を貼る'!$W$6:$W$10005,$C210)&gt;0,1,0))</f>
        <v/>
      </c>
      <c r="CW210">
        <f>IF($C210="",0,IF(COUNTIFS('月1回_1ヶ月前の在庫'!$V$6:$V$10005,'設定'!$C$4,'月1回_1ヶ月前の在庫'!$W$6:$W$10005,$C210)&gt;0,1,0))</f>
        <v/>
      </c>
      <c r="CX210">
        <f>IF($C210="",0,IF(COUNTIFS('月1回_2ヶ月前の在庫'!$V$6:$V$10005,'設定'!$C$4,'月1回_2ヶ月前の在庫'!$W$6:$W$10005,$C210)&gt;0,1,0))</f>
        <v/>
      </c>
      <c r="CY210">
        <f>IF(OR($C210="",'設定'!$C$12=""),"",IF('設定'!$C$13="",IF(AND($CV210=1,$CW210=0),"新商品（今月から）",IF(AND($CV210=0,$CW210=1),"終売（今月から）","")),IF(AND($CV210=1,$CW210=0,$CX210=0),"新商品（今月から）",IF(AND($CV210=1,$CW210=1,$CX210=0),"新商品（先月から）",IF(AND($CV210=0,$CW210=1,$CX210=1),"終売（今月から）",IF(AND($CV210=0,$CW210=0,$CX210=1),"終売（先月から）",IF(AND($CV210=1,$CW210=0,$CX210=1),"復活（先月は無し）","")))))))</f>
        <v/>
      </c>
    </row>
    <row r="211">
      <c r="B211">
        <f>IF(206&lt;='設定'!$C$11,206,"")</f>
        <v/>
      </c>
      <c r="C211">
        <f>IF($B211="","",IF($B211&lt;='設定'!$C$20,INDEX('商品マスタ'!$B$6:$B$1005,MATCH($B211,'商品マスタ'!$M$6:$M$1005,0)),IF($B211&lt;='設定'!$C$20+'設定'!$C$17,INDEX('①在庫を貼る'!$W$6:$W$10005,MATCH($B211-'設定'!$C$20,'①在庫を貼る'!$U$6:$U$10005,0)),IF($B211&lt;='設定'!$C$20+'設定'!$C$17+'設定'!$C$18,INDEX('月1回_1ヶ月前の在庫'!$W$6:$W$10005,MATCH($B211-'設定'!$C$20-'設定'!$C$17,'月1回_1ヶ月前の在庫'!$U$6:$U$10005,0)),INDEX('月1回_2ヶ月前の在庫'!$W$6:$W$10005,MATCH($B211-'設定'!$C$20-'設定'!$C$17-'設定'!$C$18,'月1回_2ヶ月前の在庫'!$U$6:$U$10005,0))))))</f>
        <v/>
      </c>
      <c r="D211">
        <f>IF($C211="","",IFERROR(IF(INDEX('商品マスタ'!$C$6:$C$1005,MATCH($C211,'商品マスタ'!$B$6:$B$1005,0))="",IFERROR(INDEX('①在庫を貼る'!$J$6:$J$10005,MATCH($C211,'①在庫を貼る'!$W$6:$W$10005,0)),IFERROR(INDEX('月1回_1ヶ月前の在庫'!$J$6:$J$10005,MATCH($C211,'月1回_1ヶ月前の在庫'!$W$6:$W$10005,0)),IFERROR(INDEX('月1回_2ヶ月前の在庫'!$J$6:$J$10005,MATCH($C211,'月1回_2ヶ月前の在庫'!$W$6:$W$10005,0)),""))),INDEX('商品マスタ'!$C$6:$C$1005,MATCH($C211,'商品マスタ'!$B$6:$B$1005,0))),IFERROR(INDEX('①在庫を貼る'!$J$6:$J$10005,MATCH($C211,'①在庫を貼る'!$W$6:$W$10005,0)),IFERROR(INDEX('月1回_1ヶ月前の在庫'!$J$6:$J$10005,MATCH($C211,'月1回_1ヶ月前の在庫'!$W$6:$W$10005,0)),IFERROR(INDEX('月1回_2ヶ月前の在庫'!$J$6:$J$10005,MATCH($C211,'月1回_2ヶ月前の在庫'!$W$6:$W$10005,0)),"")))))</f>
        <v/>
      </c>
      <c r="E211">
        <f>IF($C211="","",IFERROR(IF(INDEX('商品マスタ'!$D$6:$D$1005,MATCH($C211,'商品マスタ'!$B$6:$B$1005,0))="",IFERROR(INDEX('①在庫を貼る'!$H$6:$H$10005,MATCH($C211,'①在庫を貼る'!$W$6:$W$10005,0)),IFERROR(INDEX('月1回_1ヶ月前の在庫'!$H$6:$H$10005,MATCH($C211,'月1回_1ヶ月前の在庫'!$W$6:$W$10005,0)),IFERROR(INDEX('月1回_2ヶ月前の在庫'!$H$6:$H$10005,MATCH($C211,'月1回_2ヶ月前の在庫'!$W$6:$W$10005,0)),""))),INDEX('商品マスタ'!$D$6:$D$1005,MATCH($C211,'商品マスタ'!$B$6:$B$1005,0))),IFERROR(INDEX('①在庫を貼る'!$H$6:$H$10005,MATCH($C211,'①在庫を貼る'!$W$6:$W$10005,0)),IFERROR(INDEX('月1回_1ヶ月前の在庫'!$H$6:$H$10005,MATCH($C211,'月1回_1ヶ月前の在庫'!$W$6:$W$10005,0)),IFERROR(INDEX('月1回_2ヶ月前の在庫'!$H$6:$H$10005,MATCH($C211,'月1回_2ヶ月前の在庫'!$W$6:$W$10005,0)),"")))))</f>
        <v/>
      </c>
      <c r="F211">
        <f>IF($C211="","",IFERROR(IF(INDEX('商品マスタ'!$E$6:$E$1005,MATCH($C211,'商品マスタ'!$B$6:$B$1005,0))="",IFERROR(INDEX('①在庫を貼る'!$E$6:$E$10005,MATCH($C211,'①在庫を貼る'!$W$6:$W$10005,0)),IFERROR(INDEX('月1回_1ヶ月前の在庫'!$E$6:$E$10005,MATCH($C211,'月1回_1ヶ月前の在庫'!$W$6:$W$10005,0)),IFERROR(INDEX('月1回_2ヶ月前の在庫'!$E$6:$E$10005,MATCH($C211,'月1回_2ヶ月前の在庫'!$W$6:$W$10005,0)),""))),INDEX('商品マスタ'!$E$6:$E$1005,MATCH($C211,'商品マスタ'!$B$6:$B$1005,0))),IFERROR(INDEX('①在庫を貼る'!$E$6:$E$10005,MATCH($C211,'①在庫を貼る'!$W$6:$W$10005,0)),IFERROR(INDEX('月1回_1ヶ月前の在庫'!$E$6:$E$10005,MATCH($C211,'月1回_1ヶ月前の在庫'!$W$6:$W$10005,0)),IFERROR(INDEX('月1回_2ヶ月前の在庫'!$E$6:$E$10005,MATCH($C211,'月1回_2ヶ月前の在庫'!$W$6:$W$10005,0)),"")))))</f>
        <v/>
      </c>
      <c r="G211">
        <f>IF($C211="","",MAX(1,N(IFERROR(IF(INDEX('商品マスタ'!$F$6:$F$1005,MATCH($C211,'商品マスタ'!$B$6:$B$1005,0))="",IF(COUNTIFS('①在庫を貼る'!$V$6:$V$10005,'設定'!$C$4,'①在庫を貼る'!$W$6:$W$10005,$C211)&gt;0,SUMIFS('①在庫を貼る'!$K$6:$K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K$6:$K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K$6:$K$10005,'月1回_2ヶ月前の在庫'!$V$6:$V$10005,'設定'!$C$4,'月1回_2ヶ月前の在庫'!$W$6:$W$10005,$C211)/COUNTIFS('月1回_2ヶ月前の在庫'!$V$6:$V$10005,'設定'!$C$4,'月1回_2ヶ月前の在庫'!$W$6:$W$10005,$C211),0))),INDEX('商品マスタ'!$F$6:$F$1005,MATCH($C211,'商品マスタ'!$B$6:$B$1005,0))),IF(COUNTIFS('①在庫を貼る'!$V$6:$V$10005,'設定'!$C$4,'①在庫を貼る'!$W$6:$W$10005,$C211)&gt;0,SUMIFS('①在庫を貼る'!$K$6:$K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K$6:$K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K$6:$K$10005,'月1回_2ヶ月前の在庫'!$V$6:$V$10005,'設定'!$C$4,'月1回_2ヶ月前の在庫'!$W$6:$W$10005,$C211)/COUNTIFS('月1回_2ヶ月前の在庫'!$V$6:$V$10005,'設定'!$C$4,'月1回_2ヶ月前の在庫'!$W$6:$W$10005,$C211),0)))))))</f>
        <v/>
      </c>
      <c r="H211">
        <f>IF($C211="","",N(IFERROR(IF(INDEX('商品マスタ'!$G$6:$G$1005,MATCH($C211,'商品マスタ'!$B$6:$B$1005,0))="",IF(COUNTIFS('①在庫を貼る'!$V$6:$V$10005,'設定'!$C$4,'①在庫を貼る'!$W$6:$W$10005,$C211)&gt;0,SUMIFS('①在庫を貼る'!$Q$6:$Q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Q$6:$Q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Q$6:$Q$10005,'月1回_2ヶ月前の在庫'!$V$6:$V$10005,'設定'!$C$4,'月1回_2ヶ月前の在庫'!$W$6:$W$10005,$C211)/COUNTIFS('月1回_2ヶ月前の在庫'!$V$6:$V$10005,'設定'!$C$4,'月1回_2ヶ月前の在庫'!$W$6:$W$10005,$C211),0))),INDEX('商品マスタ'!$G$6:$G$1005,MATCH($C211,'商品マスタ'!$B$6:$B$1005,0))),IF(COUNTIFS('①在庫を貼る'!$V$6:$V$10005,'設定'!$C$4,'①在庫を貼る'!$W$6:$W$10005,$C211)&gt;0,SUMIFS('①在庫を貼る'!$Q$6:$Q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Q$6:$Q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Q$6:$Q$10005,'月1回_2ヶ月前の在庫'!$V$6:$V$10005,'設定'!$C$4,'月1回_2ヶ月前の在庫'!$W$6:$W$10005,$C211)/COUNTIFS('月1回_2ヶ月前の在庫'!$V$6:$V$10005,'設定'!$C$4,'月1回_2ヶ月前の在庫'!$W$6:$W$10005,$C211),0))))))</f>
        <v/>
      </c>
      <c r="I211">
        <f>IF($C211="","",IF(COUNTIFS('①在庫を貼る'!$V$6:$V$10005,'設定'!$C$4,'①在庫を貼る'!$W$6:$W$10005,$C211)=0,"",SUMIFS('①在庫を貼る'!$N$6:$N$10005,'①在庫を貼る'!$V$6:$V$10005,'設定'!$C$4,'①在庫を貼る'!$W$6:$W$10005,$C211)))</f>
        <v/>
      </c>
      <c r="J211">
        <f>IF($C211="","",IF('②発注する'!$AD215="","",'②発注する'!$AD215))</f>
        <v/>
      </c>
      <c r="K211" s="90">
        <f>IF($C211="","",IF('②発注する'!$AE215="","",'②発注する'!$AE215))</f>
        <v/>
      </c>
      <c r="L211">
        <f>IF($C211="","",IF(AND(ISNUMBER($J211),ISNUMBER($K211),$K211&gt;='設定'!$C$6),$J211,N($I211)))</f>
        <v/>
      </c>
      <c r="M211">
        <f>IF($C211="","",IFERROR(IF(N(INDEX('商品マスタ'!$J$6:$J$1005,MATCH($C211,'商品マスタ'!$B$6:$B$1005,0)))&gt;0,INDEX('商品マスタ'!$J$6:$J$1005,MATCH($C211,'商品マスタ'!$B$6:$B$1005,0)),""),""))</f>
        <v/>
      </c>
      <c r="N211">
        <f>IF($C211="","",IFERROR(IF(N(INDEX('商品マスタ'!$H$6:$H$1005,MATCH($C211,'商品マスタ'!$B$6:$B$1005,0)))&gt;0,INDEX('商品マスタ'!$H$6:$H$1005,MATCH($C211,'商品マスタ'!$B$6:$B$1005,0)),""),""))</f>
        <v/>
      </c>
      <c r="O211">
        <f>IF($C211="","",IF($N211&lt;&gt;"",$N211*$G211,IF(N(IF(COUNTIFS('①在庫を貼る'!$V$6:$V$10005,'設定'!$C$4,'①在庫を貼る'!$W$6:$W$10005,$C211)&gt;0,SUMIFS('①在庫を貼る'!$O$6:$O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O$6:$O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O$6:$O$10005,'月1回_2ヶ月前の在庫'!$V$6:$V$10005,'設定'!$C$4,'月1回_2ヶ月前の在庫'!$W$6:$W$10005,$C211)/COUNTIFS('月1回_2ヶ月前の在庫'!$V$6:$V$10005,'設定'!$C$4,'月1回_2ヶ月前の在庫'!$W$6:$W$10005,$C211),0))))&gt;0,N(IF(COUNTIFS('①在庫を貼る'!$V$6:$V$10005,'設定'!$C$4,'①在庫を貼る'!$W$6:$W$10005,$C211)&gt;0,SUMIFS('①在庫を貼る'!$O$6:$O$10005,'①在庫を貼る'!$V$6:$V$10005,'設定'!$C$4,'①在庫を貼る'!$W$6:$W$10005,$C211)/COUNTIFS('①在庫を貼る'!$V$6:$V$10005,'設定'!$C$4,'①在庫を貼る'!$W$6:$W$10005,$C211),IF(COUNTIFS('月1回_1ヶ月前の在庫'!$V$6:$V$10005,'設定'!$C$4,'月1回_1ヶ月前の在庫'!$W$6:$W$10005,$C211)&gt;0,SUMIFS('月1回_1ヶ月前の在庫'!$O$6:$O$10005,'月1回_1ヶ月前の在庫'!$V$6:$V$10005,'設定'!$C$4,'月1回_1ヶ月前の在庫'!$W$6:$W$10005,$C211)/COUNTIFS('月1回_1ヶ月前の在庫'!$V$6:$V$10005,'設定'!$C$4,'月1回_1ヶ月前の在庫'!$W$6:$W$10005,$C211),IF(COUNTIFS('月1回_2ヶ月前の在庫'!$V$6:$V$10005,'設定'!$C$4,'月1回_2ヶ月前の在庫'!$W$6:$W$10005,$C211)&gt;0,SUMIFS('月1回_2ヶ月前の在庫'!$O$6:$O$10005,'月1回_2ヶ月前の在庫'!$V$6:$V$10005,'設定'!$C$4,'月1回_2ヶ月前の在庫'!$W$6:$W$10005,$C211)/COUNTIFS('月1回_2ヶ月前の在庫'!$V$6:$V$10005,'設定'!$C$4,'月1回_2ヶ月前の在庫'!$W$6:$W$10005,$C211),0)))),"")))</f>
        <v/>
      </c>
      <c r="P211" s="90">
        <f>IF($C211="","",IF('②発注する'!$I215="","",'②発注する'!$I215))</f>
        <v/>
      </c>
      <c r="Q211">
        <f>IF($C211="","",IF('②発注する'!$J215="","",'②発注する'!$J215))</f>
        <v/>
      </c>
      <c r="R211">
        <f>IF($C211="",0,IF(AND(ISNUMBER($P211),ISNUMBER($Q211)),MAX(0,$Q211)*$G211,0))</f>
        <v/>
      </c>
      <c r="S211" s="90">
        <f>IF($C211="","",IF('②発注する'!$M215="","",'②発注する'!$M215))</f>
        <v/>
      </c>
      <c r="T211">
        <f>IF($C211="","",IF('②発注する'!$N215="","",'②発注する'!$N215))</f>
        <v/>
      </c>
      <c r="U211">
        <f>IF($C211="",0,IF(AND(ISNUMBER($S211),ISNUMBER($T211)),MAX(0,$T211)*$G211,0))</f>
        <v/>
      </c>
      <c r="V211">
        <f>IF($C211="",0,IF($M211="",0,MAX(0,$M211)*MAX(0,V$4)/100))</f>
        <v/>
      </c>
      <c r="W211">
        <f>IF($C211="",0,IF($M211="",0,MAX(0,$M211)*MAX(0,W$4)/100))</f>
        <v/>
      </c>
      <c r="X211">
        <f>IF($C211="",0,IF($M211="",0,MAX(0,$M211)*MAX(0,X$4)/100))</f>
        <v/>
      </c>
      <c r="Y211">
        <f>IF($C211="",0,IF($M211="",0,MAX(0,$M211)*MAX(0,Y$4)/100))</f>
        <v/>
      </c>
      <c r="Z211">
        <f>IF($C211="",0,IF($M211="",0,MAX(0,$M211)*MAX(0,Z$4)/100))</f>
        <v/>
      </c>
      <c r="AA211">
        <f>IF($C211="",0,IF($M211="",0,MAX(0,$M211)*MAX(0,AA$4)/100))</f>
        <v/>
      </c>
      <c r="AB211">
        <f>IF($C211="",0,IF($M211="",0,MAX(0,$M211)*MAX(0,AB$4)/100))</f>
        <v/>
      </c>
      <c r="AC211">
        <f>IF($C211="",0,IF($M211="",0,MAX(0,$M211)*MAX(0,AC$4)/100))</f>
        <v/>
      </c>
      <c r="AD211">
        <f>IF($C211="",0,IF($M211="",0,MAX(0,$M211)*MAX(0,AD$4)/100))</f>
        <v/>
      </c>
      <c r="AE211">
        <f>IF($C211="",0,IF($M211="",0,MAX(0,$M211)*MAX(0,AE$4)/100))</f>
        <v/>
      </c>
      <c r="AF211">
        <f>IF($C211="",0,IF($M211="",0,MAX(0,$M211)*MAX(0,AF$4)/100))</f>
        <v/>
      </c>
      <c r="AG211">
        <f>IF($C211="",0,IF($M211="",0,MAX(0,$M211)*MAX(0,AG$4)/100))</f>
        <v/>
      </c>
      <c r="AH211">
        <f>IF($C211="",0,IF($M211="",0,MAX(0,$M211)*MAX(0,AH$4)/100))</f>
        <v/>
      </c>
      <c r="AI211">
        <f>IF($C211="",0,IF($M211="",0,MAX(0,$M211)*MAX(0,AI$4)/100))</f>
        <v/>
      </c>
      <c r="AJ211">
        <f>IF($C211="",0,MAX(0,MAX(0,N($L211))-$V211))</f>
        <v/>
      </c>
      <c r="AK211">
        <f>IF($C211="",0,MAX(0,$AJ211-$W211))</f>
        <v/>
      </c>
      <c r="AL211">
        <f>IF($C211="",0,MAX(0,$AK211-$X211))</f>
        <v/>
      </c>
      <c r="AM211">
        <f>IF($C211="",0,MAX(0,$AL211-$Y211))</f>
        <v/>
      </c>
      <c r="AN211">
        <f>IF($C211="",0,MAX(0,$AM211-$Z211))</f>
        <v/>
      </c>
      <c r="AO211">
        <f>IF($C211="",0,MAX(0,$AN211-$AA211))</f>
        <v/>
      </c>
      <c r="AP211">
        <f>IF($C211="",0,MAX(0,$AO211-$AB211))</f>
        <v/>
      </c>
      <c r="AQ211">
        <f>IF($C211="",0,MAX(0,$AP211-$AC211))</f>
        <v/>
      </c>
      <c r="AR211">
        <f>IF($C211="",0,MAX(0,$AQ211-$AD211))</f>
        <v/>
      </c>
      <c r="AS211">
        <f>IF($C211="",0,MAX(0,$AR211-$AE211))</f>
        <v/>
      </c>
      <c r="AT211">
        <f>IF($C211="",0,MAX(0,$AS211-$AF211))</f>
        <v/>
      </c>
      <c r="AU211">
        <f>IF($C211="",0,MAX(0,$AT211-$AG211))</f>
        <v/>
      </c>
      <c r="AV211">
        <f>IF($C211="",0,MAX(0,$AU211-$AH211))</f>
        <v/>
      </c>
      <c r="AW211">
        <f>IF($C211="",0,MAX(0,$AV211-$AI211))</f>
        <v/>
      </c>
      <c r="AX211">
        <f>IF($C211="",0,MAX(0,MAX(0,N($L211))+IF($P211=V$3,$R211,0)+IF($S211=V$3,$U211,0)-$V211))</f>
        <v/>
      </c>
      <c r="AY211">
        <f>IF($C211="",0,MAX(0,$AX211+IF($P211=W$3,$R211,0)+IF($S211=W$3,$U211,0)-$W211))</f>
        <v/>
      </c>
      <c r="AZ211">
        <f>IF($C211="",0,MAX(0,$AY211+IF($P211=X$3,$R211,0)+IF($S211=X$3,$U211,0)-$X211))</f>
        <v/>
      </c>
      <c r="BA211">
        <f>IF($C211="",0,MAX(0,$AZ211+IF($P211=Y$3,$R211,0)+IF($S211=Y$3,$U211,0)-$Y211))</f>
        <v/>
      </c>
      <c r="BB211">
        <f>IF($C211="",0,MAX(0,$BA211+IF($P211=Z$3,$R211,0)+IF($S211=Z$3,$U211,0)-$Z211))</f>
        <v/>
      </c>
      <c r="BC211">
        <f>IF($C211="",0,MAX(0,$BB211+IF($P211=AA$3,$R211,0)+IF($S211=AA$3,$U211,0)-$AA211))</f>
        <v/>
      </c>
      <c r="BD211">
        <f>IF($C211="",0,MAX(0,$BC211+IF($P211=AB$3,$R211,0)+IF($S211=AB$3,$U211,0)-$AB211))</f>
        <v/>
      </c>
      <c r="BE211">
        <f>IF($C211="",0,MAX(0,$BD211+IF($P211=AC$3,$R211,0)+IF($S211=AC$3,$U211,0)-$AC211))</f>
        <v/>
      </c>
      <c r="BF211">
        <f>IF($C211="",0,MAX(0,$BE211+IF($P211=AD$3,$R211,0)+IF($S211=AD$3,$U211,0)-$AD211))</f>
        <v/>
      </c>
      <c r="BG211">
        <f>IF($C211="",0,MAX(0,$BF211+IF($P211=AE$3,$R211,0)+IF($S211=AE$3,$U211,0)-$AE211))</f>
        <v/>
      </c>
      <c r="BH211">
        <f>IF($C211="",0,MAX(0,$BG211+IF($P211=AF$3,$R211,0)+IF($S211=AF$3,$U211,0)-$AF211))</f>
        <v/>
      </c>
      <c r="BI211">
        <f>IF($C211="",0,MAX(0,$BH211+IF($P211=AG$3,$R211,0)+IF($S211=AG$3,$U211,0)-$AG211))</f>
        <v/>
      </c>
      <c r="BJ211">
        <f>IF($C211="",0,MAX(0,$BI211+IF($P211=AH$3,$R211,0)+IF($S211=AH$3,$U211,0)-$AH211))</f>
        <v/>
      </c>
      <c r="BK211">
        <f>IF($C211="",0,MAX(0,$BJ211+IF($P211=AI$3,$R211,0)+IF($S211=AI$3,$U211,0)-$AI211))</f>
        <v/>
      </c>
      <c r="BL211">
        <f>IF($C211="",99,IF(AND($AX211&lt;1,V$3&gt;=MAX(N($P211),N($S211))),0,99))</f>
        <v/>
      </c>
      <c r="BM211">
        <f>IF($C211="",99,IF(AND($AY211&lt;1,W$3&gt;=MAX(N($P211),N($S211))),1,99))</f>
        <v/>
      </c>
      <c r="BN211">
        <f>IF($C211="",99,IF(AND($AZ211&lt;1,X$3&gt;=MAX(N($P211),N($S211))),2,99))</f>
        <v/>
      </c>
      <c r="BO211">
        <f>IF($C211="",99,IF(AND($BA211&lt;1,Y$3&gt;=MAX(N($P211),N($S211))),3,99))</f>
        <v/>
      </c>
      <c r="BP211">
        <f>IF($C211="",99,IF(AND($BB211&lt;1,Z$3&gt;=MAX(N($P211),N($S211))),4,99))</f>
        <v/>
      </c>
      <c r="BQ211">
        <f>IF($C211="",99,IF(AND($BC211&lt;1,AA$3&gt;=MAX(N($P211),N($S211))),5,99))</f>
        <v/>
      </c>
      <c r="BR211">
        <f>IF($C211="",99,IF(AND($BD211&lt;1,AB$3&gt;=MAX(N($P211),N($S211))),6,99))</f>
        <v/>
      </c>
      <c r="BS211">
        <f>IF($C211="",99,IF(AND($BE211&lt;1,AC$3&gt;=MAX(N($P211),N($S211))),7,99))</f>
        <v/>
      </c>
      <c r="BT211">
        <f>IF($C211="",99,IF(AND($BF211&lt;1,AD$3&gt;=MAX(N($P211),N($S211))),8,99))</f>
        <v/>
      </c>
      <c r="BU211">
        <f>IF($C211="",99,IF(AND($BG211&lt;1,AE$3&gt;=MAX(N($P211),N($S211))),9,99))</f>
        <v/>
      </c>
      <c r="BV211">
        <f>IF($C211="",99,IF(AND($BH211&lt;1,AF$3&gt;=MAX(N($P211),N($S211))),10,99))</f>
        <v/>
      </c>
      <c r="BW211">
        <f>IF($C211="",99,IF(AND($BI211&lt;1,AG$3&gt;=MAX(N($P211),N($S211))),11,99))</f>
        <v/>
      </c>
      <c r="BX211">
        <f>IF($C211="",99,IF(AND($BJ211&lt;1,AH$3&gt;=MAX(N($P211),N($S211))),12,99))</f>
        <v/>
      </c>
      <c r="BY211">
        <f>IF($C211="",99,IF(AND($BK211&lt;1,AI$3&gt;=MAX(N($P211),N($S211))),13,99))</f>
        <v/>
      </c>
      <c r="BZ211">
        <f>IF(OR($C211="",$M211=""),"",COUNTIF($AJ211:$AW211,"&gt;=1"))</f>
        <v/>
      </c>
      <c r="CA211" s="90">
        <f>IF($BZ211="","",IF($BZ211&gt;=14,"",'設定'!$C$6+$BZ211))</f>
        <v/>
      </c>
      <c r="CB211">
        <f>IF(OR($C211="",$M211=""),"",MIN($BL211:$BY211))</f>
        <v/>
      </c>
      <c r="CC211" s="90">
        <f>IF($CB211="","",IF($CB211&gt;=99,"",'設定'!$C$6+$CB211))</f>
        <v/>
      </c>
      <c r="CD211">
        <f>IF(OR($C211="",$M211=""),"",AVERAGE($V211:$AI211))</f>
        <v/>
      </c>
      <c r="CE211">
        <f>IF($C211="","",IFERROR(IF(MATCH(IF(ISNUMBER($P211),$P211,'設定'!$C$6+N('設定'!$C$7)),$V$3:$AI$3,0)=1,MAX(0,N($L211)),INDEX($AJ211:$AW211,MATCH(IF(ISNUMBER($P211),$P211,'設定'!$C$6+N('設定'!$C$7)),$V$3:$AI$3,0)-1)),""))</f>
        <v/>
      </c>
      <c r="CF211">
        <f>IF(OR($C211="",$O211="",$CE211=""),"",IF($O211-$CE211&lt;=0,0,ROUNDUP(($O211-$CE211)/$G211,0)))</f>
        <v/>
      </c>
      <c r="CG211">
        <f>IF(OR($C211="",$CF211="",NOT(ISNUMBER($Q211))),0,MAX(0,$Q211-$CF211))</f>
        <v/>
      </c>
      <c r="CH211">
        <f>IF(OR($C211="",$O211="",$U211=0),0,IFERROR(ROUNDUP(MAX(0,IF(MATCH($S211,$V$3:$AI$3,0)=1,MAX(0,N($L211)),INDEX($AX211:$BK211,MATCH($S211,$V$3:$AI$3,0)-1))+$U211-$O211)/$G211,0),0))</f>
        <v/>
      </c>
      <c r="CI211">
        <f>IF($C211="","",IF(AND($P211="",$Q211=""),"",IF($P211="","⚠ 入庫日を ▼ から選んでください",IF(NOT(ISNUMBER($P211)),"⚠ 入庫日は ▼ から選んでください",IF($P211&lt;N('設定'!$C$6),"⚠ 入庫日が過去です（もう在庫に入っています）→ 消してください",IF($P211&gt;N('設定'!$C$6)+13,"⚠ 入庫日が14日より先です",IF(N($Q211)&lt;=0,"⚠ 入庫数を入れてください",IF($CG211&gt;0,"⚠ 目安より "&amp;$CG211&amp;" 多い（定数を超える）→ 減らす",""))))))))</f>
        <v/>
      </c>
      <c r="CJ211">
        <f>IF($C211="","",IF(AND($S211="",$T211=""),"",IF($S211="","⚠ 2便目：入庫日を ▼ から選んでください",IF(NOT(ISNUMBER($S211)),"⚠ 2便目：入庫日は ▼ から選んでください",IF($S211&lt;N('設定'!$C$6),"⚠ 2便目：入庫日が過去です（もう在庫に入っています）→ 消してください",IF($S211&gt;N('設定'!$C$6)+13,"⚠ 2便目：入庫日が14日より先です",IF(N($T211)&lt;=0,"⚠ 2便目：入庫数を入れてください",IF($CH211&gt;0,"⚠ 2便目：定数を "&amp;$CH211&amp;" ケース超える → 減らす",""))))))))</f>
        <v/>
      </c>
      <c r="CK211">
        <f>IF(AND($CI211="",N($Q211)&gt;0,ISNUMBER($P211)),1,0)</f>
        <v/>
      </c>
      <c r="CL211">
        <f>IF(AND($CJ211="",N($T211)&gt;0,ISNUMBER($S211)),1,0)</f>
        <v/>
      </c>
      <c r="CM211">
        <f>IF(OR($CK211=1,$CL211=1),1,0)</f>
        <v/>
      </c>
      <c r="CN211">
        <f>IF($C211="",0,($CK211*$R211+$CL211*$U211)*N($H211))</f>
        <v/>
      </c>
      <c r="CO211">
        <f>IF($C211="","",IF($CC211="","入庫後は 14日以上もつ",IF($CC211-N('設定'!$C$7)&lt;='設定'!$C$6,"入庫後も "&amp;TEXT($CC211,"m/d")&amp;"("&amp;CHOOSE(WEEKDAY($CC211),"日","月","火","水","木","金","土")&amp;")"&amp;" に切れる　もう1便を至急発注","入庫後も "&amp;TEXT($CC211,"m/d")&amp;"("&amp;CHOOSE(WEEKDAY($CC211),"日","月","火","水","木","金","土")&amp;")"&amp;" に切れる　"&amp;TEXT($CC211-N('設定'!$C$7),"m/d")&amp;"("&amp;CHOOSE(WEEKDAY($CC211-N('設定'!$C$7)),"日","月","火","水","木","金","土")&amp;")"&amp;" までに次を発注")))</f>
        <v/>
      </c>
      <c r="CP211">
        <f>IF($C211="","",IF('設定'!$C$6="","？ ①在庫を貼る に今日のCSVが貼られていない",IF($CS211=1,"－ 今日のCSVに無い（終売？）",IF($L211&lt;0,"● 在庫がマイナス　数えて「数えた在庫」に入れる",IF($L211=0,"● 在庫なし　至急発注",IF($M211="","？ 減り数が未設定（商品マスタ）",IF($B$3=0,"？ 動員が未入力（動員を入れる）",IF($CA211="","○ 14日以上もつ",IF($BZ211&lt;N('設定'!$C$7),"● "&amp;TEXT($CA211,"m/d")&amp;"("&amp;CHOOSE(WEEKDAY($CA211),"日","月","火","水","木","金","土")&amp;")"&amp;" に切れる　至急発注",IF($BZ211=N('設定'!$C$7),"● "&amp;TEXT($CA211,"m/d")&amp;"("&amp;CHOOSE(WEEKDAY($CA211),"日","月","火","水","木","金","土")&amp;")"&amp;" に切れる　今日発注","△ "&amp;TEXT($CA211,"m/d")&amp;"("&amp;CHOOSE(WEEKDAY($CA211),"日","月","火","水","木","金","土")&amp;")"&amp;" に切れる　"&amp;TEXT($CA211-N('設定'!$C$7),"m/d")&amp;"("&amp;CHOOSE(WEEKDAY($CA211-N('設定'!$C$7)),"日","月","火","水","木","金","土")&amp;")"&amp;" までに発注"))))))))))</f>
        <v/>
      </c>
      <c r="CQ211">
        <f>IF($C211="","",IF(AND($P211="",$Q211="",$S211="",$T211=""),"",IF(AND($P211="",$Q211=""),"⚠ 先に1便目（左の入庫日・入庫数）に入れてください",IF($CI211&lt;&gt;"",$CI211,IF($CJ211&lt;&gt;"",$CJ211,IF($M211="","？ 減り数が未設定（発注書には載ります）",IF($B$3=0,"？ 動員が未入力（発注書には載ります）",IF(AND($CA211&lt;&gt;"",$P211&gt;$CA211),IF($P211&gt;'設定'!$C$6+N('設定'!$C$7),"● "&amp;TEXT($P211,"m/d")&amp;"("&amp;CHOOSE(WEEKDAY($P211),"日","月","火","水","木","金","土")&amp;")"&amp;" の入庫では間に合わない（"&amp;TEXT($CA211,"m/d")&amp;"("&amp;CHOOSE(WEEKDAY($CA211),"日","月","火","水","木","金","土")&amp;")"&amp;" に切れる）　入庫日を早める","△ 欠品 "&amp;TEXT($CA211,"m/d")&amp;"("&amp;CHOOSE(WEEKDAY($CA211),"日","月","火","水","木","金","土")&amp;")"&amp;"〜"&amp;TEXT($P211-1,"m/d")&amp;"("&amp;CHOOSE(WEEKDAY($P211-1),"日","月","火","水","木","金","土")&amp;")"&amp;"　"&amp;$CO211),IF($CC211="","○ "&amp;TEXT($P211,"m/d")&amp;"("&amp;CHOOSE(WEEKDAY($P211),"日","月","火","水","木","金","土")&amp;")"&amp;" 入庫で 14日以上もつ",IF($CC211-N('設定'!$C$7)&lt;='設定'!$C$6,"● 入庫しても "&amp;TEXT($CC211,"m/d")&amp;"("&amp;CHOOSE(WEEKDAY($CC211),"日","月","火","水","木","金","土")&amp;")"&amp;" に切れる　もう1便を至急発注（2便目に入れる）","△ 入庫しても "&amp;TEXT($CC211,"m/d")&amp;"("&amp;CHOOSE(WEEKDAY($CC211),"日","月","火","水","木","金","土")&amp;")"&amp;" に切れる　"&amp;TEXT($CC211-N('設定'!$C$7),"m/d")&amp;"("&amp;CHOOSE(WEEKDAY($CC211-N('設定'!$C$7)),"日","月","火","水","木","金","土")&amp;")"&amp;" までに次を発注（2便目に入れる）"))))))))))</f>
        <v/>
      </c>
      <c r="CR211">
        <f>IF($C211="","",IF($G211&gt;1,"ｹｰｽ("&amp;$G211&amp;"入)","個"))</f>
        <v/>
      </c>
      <c r="CS211">
        <f>IF($C211="",0,IF(COUNTIFS('①在庫を貼る'!$V$6:$V$10005,'設定'!$C$4,'①在庫を貼る'!$W$6:$W$10005,$C211)=0,1,0))</f>
        <v/>
      </c>
      <c r="CT211">
        <f>IF(AND($CK211=1,OR('③発注書'!$C$4="すべて",'③発注書'!$C$4="",$F211='③発注書'!$C$4)),N($CT210)+1,N($CT210))</f>
        <v/>
      </c>
      <c r="CU211">
        <f>IF(AND($CL211=1,OR('③発注書'!$C$4="すべて",'③発注書'!$C$4="",$F211='③発注書'!$C$4)),N($CU210)+1,N($CU210))</f>
        <v/>
      </c>
      <c r="CV211">
        <f>IF($C211="",0,IF(COUNTIFS('①在庫を貼る'!$V$6:$V$10005,'設定'!$C$4,'①在庫を貼る'!$W$6:$W$10005,$C211)&gt;0,1,0))</f>
        <v/>
      </c>
      <c r="CW211">
        <f>IF($C211="",0,IF(COUNTIFS('月1回_1ヶ月前の在庫'!$V$6:$V$10005,'設定'!$C$4,'月1回_1ヶ月前の在庫'!$W$6:$W$10005,$C211)&gt;0,1,0))</f>
        <v/>
      </c>
      <c r="CX211">
        <f>IF($C211="",0,IF(COUNTIFS('月1回_2ヶ月前の在庫'!$V$6:$V$10005,'設定'!$C$4,'月1回_2ヶ月前の在庫'!$W$6:$W$10005,$C211)&gt;0,1,0))</f>
        <v/>
      </c>
      <c r="CY211">
        <f>IF(OR($C211="",'設定'!$C$12=""),"",IF('設定'!$C$13="",IF(AND($CV211=1,$CW211=0),"新商品（今月から）",IF(AND($CV211=0,$CW211=1),"終売（今月から）","")),IF(AND($CV211=1,$CW211=0,$CX211=0),"新商品（今月から）",IF(AND($CV211=1,$CW211=1,$CX211=0),"新商品（先月から）",IF(AND($CV211=0,$CW211=1,$CX211=1),"終売（今月から）",IF(AND($CV211=0,$CW211=0,$CX211=1),"終売（先月から）",IF(AND($CV211=1,$CW211=0,$CX211=1),"復活（先月は無し）","")))))))</f>
        <v/>
      </c>
    </row>
    <row r="212">
      <c r="B212">
        <f>IF(207&lt;='設定'!$C$11,207,"")</f>
        <v/>
      </c>
      <c r="C212">
        <f>IF($B212="","",IF($B212&lt;='設定'!$C$20,INDEX('商品マスタ'!$B$6:$B$1005,MATCH($B212,'商品マスタ'!$M$6:$M$1005,0)),IF($B212&lt;='設定'!$C$20+'設定'!$C$17,INDEX('①在庫を貼る'!$W$6:$W$10005,MATCH($B212-'設定'!$C$20,'①在庫を貼る'!$U$6:$U$10005,0)),IF($B212&lt;='設定'!$C$20+'設定'!$C$17+'設定'!$C$18,INDEX('月1回_1ヶ月前の在庫'!$W$6:$W$10005,MATCH($B212-'設定'!$C$20-'設定'!$C$17,'月1回_1ヶ月前の在庫'!$U$6:$U$10005,0)),INDEX('月1回_2ヶ月前の在庫'!$W$6:$W$10005,MATCH($B212-'設定'!$C$20-'設定'!$C$17-'設定'!$C$18,'月1回_2ヶ月前の在庫'!$U$6:$U$10005,0))))))</f>
        <v/>
      </c>
      <c r="D212">
        <f>IF($C212="","",IFERROR(IF(INDEX('商品マスタ'!$C$6:$C$1005,MATCH($C212,'商品マスタ'!$B$6:$B$1005,0))="",IFERROR(INDEX('①在庫を貼る'!$J$6:$J$10005,MATCH($C212,'①在庫を貼る'!$W$6:$W$10005,0)),IFERROR(INDEX('月1回_1ヶ月前の在庫'!$J$6:$J$10005,MATCH($C212,'月1回_1ヶ月前の在庫'!$W$6:$W$10005,0)),IFERROR(INDEX('月1回_2ヶ月前の在庫'!$J$6:$J$10005,MATCH($C212,'月1回_2ヶ月前の在庫'!$W$6:$W$10005,0)),""))),INDEX('商品マスタ'!$C$6:$C$1005,MATCH($C212,'商品マスタ'!$B$6:$B$1005,0))),IFERROR(INDEX('①在庫を貼る'!$J$6:$J$10005,MATCH($C212,'①在庫を貼る'!$W$6:$W$10005,0)),IFERROR(INDEX('月1回_1ヶ月前の在庫'!$J$6:$J$10005,MATCH($C212,'月1回_1ヶ月前の在庫'!$W$6:$W$10005,0)),IFERROR(INDEX('月1回_2ヶ月前の在庫'!$J$6:$J$10005,MATCH($C212,'月1回_2ヶ月前の在庫'!$W$6:$W$10005,0)),"")))))</f>
        <v/>
      </c>
      <c r="E212">
        <f>IF($C212="","",IFERROR(IF(INDEX('商品マスタ'!$D$6:$D$1005,MATCH($C212,'商品マスタ'!$B$6:$B$1005,0))="",IFERROR(INDEX('①在庫を貼る'!$H$6:$H$10005,MATCH($C212,'①在庫を貼る'!$W$6:$W$10005,0)),IFERROR(INDEX('月1回_1ヶ月前の在庫'!$H$6:$H$10005,MATCH($C212,'月1回_1ヶ月前の在庫'!$W$6:$W$10005,0)),IFERROR(INDEX('月1回_2ヶ月前の在庫'!$H$6:$H$10005,MATCH($C212,'月1回_2ヶ月前の在庫'!$W$6:$W$10005,0)),""))),INDEX('商品マスタ'!$D$6:$D$1005,MATCH($C212,'商品マスタ'!$B$6:$B$1005,0))),IFERROR(INDEX('①在庫を貼る'!$H$6:$H$10005,MATCH($C212,'①在庫を貼る'!$W$6:$W$10005,0)),IFERROR(INDEX('月1回_1ヶ月前の在庫'!$H$6:$H$10005,MATCH($C212,'月1回_1ヶ月前の在庫'!$W$6:$W$10005,0)),IFERROR(INDEX('月1回_2ヶ月前の在庫'!$H$6:$H$10005,MATCH($C212,'月1回_2ヶ月前の在庫'!$W$6:$W$10005,0)),"")))))</f>
        <v/>
      </c>
      <c r="F212">
        <f>IF($C212="","",IFERROR(IF(INDEX('商品マスタ'!$E$6:$E$1005,MATCH($C212,'商品マスタ'!$B$6:$B$1005,0))="",IFERROR(INDEX('①在庫を貼る'!$E$6:$E$10005,MATCH($C212,'①在庫を貼る'!$W$6:$W$10005,0)),IFERROR(INDEX('月1回_1ヶ月前の在庫'!$E$6:$E$10005,MATCH($C212,'月1回_1ヶ月前の在庫'!$W$6:$W$10005,0)),IFERROR(INDEX('月1回_2ヶ月前の在庫'!$E$6:$E$10005,MATCH($C212,'月1回_2ヶ月前の在庫'!$W$6:$W$10005,0)),""))),INDEX('商品マスタ'!$E$6:$E$1005,MATCH($C212,'商品マスタ'!$B$6:$B$1005,0))),IFERROR(INDEX('①在庫を貼る'!$E$6:$E$10005,MATCH($C212,'①在庫を貼る'!$W$6:$W$10005,0)),IFERROR(INDEX('月1回_1ヶ月前の在庫'!$E$6:$E$10005,MATCH($C212,'月1回_1ヶ月前の在庫'!$W$6:$W$10005,0)),IFERROR(INDEX('月1回_2ヶ月前の在庫'!$E$6:$E$10005,MATCH($C212,'月1回_2ヶ月前の在庫'!$W$6:$W$10005,0)),"")))))</f>
        <v/>
      </c>
      <c r="G212">
        <f>IF($C212="","",MAX(1,N(IFERROR(IF(INDEX('商品マスタ'!$F$6:$F$1005,MATCH($C212,'商品マスタ'!$B$6:$B$1005,0))="",IF(COUNTIFS('①在庫を貼る'!$V$6:$V$10005,'設定'!$C$4,'①在庫を貼る'!$W$6:$W$10005,$C212)&gt;0,SUMIFS('①在庫を貼る'!$K$6:$K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K$6:$K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K$6:$K$10005,'月1回_2ヶ月前の在庫'!$V$6:$V$10005,'設定'!$C$4,'月1回_2ヶ月前の在庫'!$W$6:$W$10005,$C212)/COUNTIFS('月1回_2ヶ月前の在庫'!$V$6:$V$10005,'設定'!$C$4,'月1回_2ヶ月前の在庫'!$W$6:$W$10005,$C212),0))),INDEX('商品マスタ'!$F$6:$F$1005,MATCH($C212,'商品マスタ'!$B$6:$B$1005,0))),IF(COUNTIFS('①在庫を貼る'!$V$6:$V$10005,'設定'!$C$4,'①在庫を貼る'!$W$6:$W$10005,$C212)&gt;0,SUMIFS('①在庫を貼る'!$K$6:$K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K$6:$K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K$6:$K$10005,'月1回_2ヶ月前の在庫'!$V$6:$V$10005,'設定'!$C$4,'月1回_2ヶ月前の在庫'!$W$6:$W$10005,$C212)/COUNTIFS('月1回_2ヶ月前の在庫'!$V$6:$V$10005,'設定'!$C$4,'月1回_2ヶ月前の在庫'!$W$6:$W$10005,$C212),0)))))))</f>
        <v/>
      </c>
      <c r="H212">
        <f>IF($C212="","",N(IFERROR(IF(INDEX('商品マスタ'!$G$6:$G$1005,MATCH($C212,'商品マスタ'!$B$6:$B$1005,0))="",IF(COUNTIFS('①在庫を貼る'!$V$6:$V$10005,'設定'!$C$4,'①在庫を貼る'!$W$6:$W$10005,$C212)&gt;0,SUMIFS('①在庫を貼る'!$Q$6:$Q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Q$6:$Q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Q$6:$Q$10005,'月1回_2ヶ月前の在庫'!$V$6:$V$10005,'設定'!$C$4,'月1回_2ヶ月前の在庫'!$W$6:$W$10005,$C212)/COUNTIFS('月1回_2ヶ月前の在庫'!$V$6:$V$10005,'設定'!$C$4,'月1回_2ヶ月前の在庫'!$W$6:$W$10005,$C212),0))),INDEX('商品マスタ'!$G$6:$G$1005,MATCH($C212,'商品マスタ'!$B$6:$B$1005,0))),IF(COUNTIFS('①在庫を貼る'!$V$6:$V$10005,'設定'!$C$4,'①在庫を貼る'!$W$6:$W$10005,$C212)&gt;0,SUMIFS('①在庫を貼る'!$Q$6:$Q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Q$6:$Q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Q$6:$Q$10005,'月1回_2ヶ月前の在庫'!$V$6:$V$10005,'設定'!$C$4,'月1回_2ヶ月前の在庫'!$W$6:$W$10005,$C212)/COUNTIFS('月1回_2ヶ月前の在庫'!$V$6:$V$10005,'設定'!$C$4,'月1回_2ヶ月前の在庫'!$W$6:$W$10005,$C212),0))))))</f>
        <v/>
      </c>
      <c r="I212">
        <f>IF($C212="","",IF(COUNTIFS('①在庫を貼る'!$V$6:$V$10005,'設定'!$C$4,'①在庫を貼る'!$W$6:$W$10005,$C212)=0,"",SUMIFS('①在庫を貼る'!$N$6:$N$10005,'①在庫を貼る'!$V$6:$V$10005,'設定'!$C$4,'①在庫を貼る'!$W$6:$W$10005,$C212)))</f>
        <v/>
      </c>
      <c r="J212">
        <f>IF($C212="","",IF('②発注する'!$AD216="","",'②発注する'!$AD216))</f>
        <v/>
      </c>
      <c r="K212" s="90">
        <f>IF($C212="","",IF('②発注する'!$AE216="","",'②発注する'!$AE216))</f>
        <v/>
      </c>
      <c r="L212">
        <f>IF($C212="","",IF(AND(ISNUMBER($J212),ISNUMBER($K212),$K212&gt;='設定'!$C$6),$J212,N($I212)))</f>
        <v/>
      </c>
      <c r="M212">
        <f>IF($C212="","",IFERROR(IF(N(INDEX('商品マスタ'!$J$6:$J$1005,MATCH($C212,'商品マスタ'!$B$6:$B$1005,0)))&gt;0,INDEX('商品マスタ'!$J$6:$J$1005,MATCH($C212,'商品マスタ'!$B$6:$B$1005,0)),""),""))</f>
        <v/>
      </c>
      <c r="N212">
        <f>IF($C212="","",IFERROR(IF(N(INDEX('商品マスタ'!$H$6:$H$1005,MATCH($C212,'商品マスタ'!$B$6:$B$1005,0)))&gt;0,INDEX('商品マスタ'!$H$6:$H$1005,MATCH($C212,'商品マスタ'!$B$6:$B$1005,0)),""),""))</f>
        <v/>
      </c>
      <c r="O212">
        <f>IF($C212="","",IF($N212&lt;&gt;"",$N212*$G212,IF(N(IF(COUNTIFS('①在庫を貼る'!$V$6:$V$10005,'設定'!$C$4,'①在庫を貼る'!$W$6:$W$10005,$C212)&gt;0,SUMIFS('①在庫を貼る'!$O$6:$O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O$6:$O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O$6:$O$10005,'月1回_2ヶ月前の在庫'!$V$6:$V$10005,'設定'!$C$4,'月1回_2ヶ月前の在庫'!$W$6:$W$10005,$C212)/COUNTIFS('月1回_2ヶ月前の在庫'!$V$6:$V$10005,'設定'!$C$4,'月1回_2ヶ月前の在庫'!$W$6:$W$10005,$C212),0))))&gt;0,N(IF(COUNTIFS('①在庫を貼る'!$V$6:$V$10005,'設定'!$C$4,'①在庫を貼る'!$W$6:$W$10005,$C212)&gt;0,SUMIFS('①在庫を貼る'!$O$6:$O$10005,'①在庫を貼る'!$V$6:$V$10005,'設定'!$C$4,'①在庫を貼る'!$W$6:$W$10005,$C212)/COUNTIFS('①在庫を貼る'!$V$6:$V$10005,'設定'!$C$4,'①在庫を貼る'!$W$6:$W$10005,$C212),IF(COUNTIFS('月1回_1ヶ月前の在庫'!$V$6:$V$10005,'設定'!$C$4,'月1回_1ヶ月前の在庫'!$W$6:$W$10005,$C212)&gt;0,SUMIFS('月1回_1ヶ月前の在庫'!$O$6:$O$10005,'月1回_1ヶ月前の在庫'!$V$6:$V$10005,'設定'!$C$4,'月1回_1ヶ月前の在庫'!$W$6:$W$10005,$C212)/COUNTIFS('月1回_1ヶ月前の在庫'!$V$6:$V$10005,'設定'!$C$4,'月1回_1ヶ月前の在庫'!$W$6:$W$10005,$C212),IF(COUNTIFS('月1回_2ヶ月前の在庫'!$V$6:$V$10005,'設定'!$C$4,'月1回_2ヶ月前の在庫'!$W$6:$W$10005,$C212)&gt;0,SUMIFS('月1回_2ヶ月前の在庫'!$O$6:$O$10005,'月1回_2ヶ月前の在庫'!$V$6:$V$10005,'設定'!$C$4,'月1回_2ヶ月前の在庫'!$W$6:$W$10005,$C212)/COUNTIFS('月1回_2ヶ月前の在庫'!$V$6:$V$10005,'設定'!$C$4,'月1回_2ヶ月前の在庫'!$W$6:$W$10005,$C212),0)))),"")))</f>
        <v/>
      </c>
      <c r="P212" s="90">
        <f>IF($C212="","",IF('②発注する'!$I216="","",'②発注する'!$I216))</f>
        <v/>
      </c>
      <c r="Q212">
        <f>IF($C212="","",IF('②発注する'!$J216="","",'②発注する'!$J216))</f>
        <v/>
      </c>
      <c r="R212">
        <f>IF($C212="",0,IF(AND(ISNUMBER($P212),ISNUMBER($Q212)),MAX(0,$Q212)*$G212,0))</f>
        <v/>
      </c>
      <c r="S212" s="90">
        <f>IF($C212="","",IF('②発注する'!$M216="","",'②発注する'!$M216))</f>
        <v/>
      </c>
      <c r="T212">
        <f>IF($C212="","",IF('②発注する'!$N216="","",'②発注する'!$N216))</f>
        <v/>
      </c>
      <c r="U212">
        <f>IF($C212="",0,IF(AND(ISNUMBER($S212),ISNUMBER($T212)),MAX(0,$T212)*$G212,0))</f>
        <v/>
      </c>
      <c r="V212">
        <f>IF($C212="",0,IF($M212="",0,MAX(0,$M212)*MAX(0,V$4)/100))</f>
        <v/>
      </c>
      <c r="W212">
        <f>IF($C212="",0,IF($M212="",0,MAX(0,$M212)*MAX(0,W$4)/100))</f>
        <v/>
      </c>
      <c r="X212">
        <f>IF($C212="",0,IF($M212="",0,MAX(0,$M212)*MAX(0,X$4)/100))</f>
        <v/>
      </c>
      <c r="Y212">
        <f>IF($C212="",0,IF($M212="",0,MAX(0,$M212)*MAX(0,Y$4)/100))</f>
        <v/>
      </c>
      <c r="Z212">
        <f>IF($C212="",0,IF($M212="",0,MAX(0,$M212)*MAX(0,Z$4)/100))</f>
        <v/>
      </c>
      <c r="AA212">
        <f>IF($C212="",0,IF($M212="",0,MAX(0,$M212)*MAX(0,AA$4)/100))</f>
        <v/>
      </c>
      <c r="AB212">
        <f>IF($C212="",0,IF($M212="",0,MAX(0,$M212)*MAX(0,AB$4)/100))</f>
        <v/>
      </c>
      <c r="AC212">
        <f>IF($C212="",0,IF($M212="",0,MAX(0,$M212)*MAX(0,AC$4)/100))</f>
        <v/>
      </c>
      <c r="AD212">
        <f>IF($C212="",0,IF($M212="",0,MAX(0,$M212)*MAX(0,AD$4)/100))</f>
        <v/>
      </c>
      <c r="AE212">
        <f>IF($C212="",0,IF($M212="",0,MAX(0,$M212)*MAX(0,AE$4)/100))</f>
        <v/>
      </c>
      <c r="AF212">
        <f>IF($C212="",0,IF($M212="",0,MAX(0,$M212)*MAX(0,AF$4)/100))</f>
        <v/>
      </c>
      <c r="AG212">
        <f>IF($C212="",0,IF($M212="",0,MAX(0,$M212)*MAX(0,AG$4)/100))</f>
        <v/>
      </c>
      <c r="AH212">
        <f>IF($C212="",0,IF($M212="",0,MAX(0,$M212)*MAX(0,AH$4)/100))</f>
        <v/>
      </c>
      <c r="AI212">
        <f>IF($C212="",0,IF($M212="",0,MAX(0,$M212)*MAX(0,AI$4)/100))</f>
        <v/>
      </c>
      <c r="AJ212">
        <f>IF($C212="",0,MAX(0,MAX(0,N($L212))-$V212))</f>
        <v/>
      </c>
      <c r="AK212">
        <f>IF($C212="",0,MAX(0,$AJ212-$W212))</f>
        <v/>
      </c>
      <c r="AL212">
        <f>IF($C212="",0,MAX(0,$AK212-$X212))</f>
        <v/>
      </c>
      <c r="AM212">
        <f>IF($C212="",0,MAX(0,$AL212-$Y212))</f>
        <v/>
      </c>
      <c r="AN212">
        <f>IF($C212="",0,MAX(0,$AM212-$Z212))</f>
        <v/>
      </c>
      <c r="AO212">
        <f>IF($C212="",0,MAX(0,$AN212-$AA212))</f>
        <v/>
      </c>
      <c r="AP212">
        <f>IF($C212="",0,MAX(0,$AO212-$AB212))</f>
        <v/>
      </c>
      <c r="AQ212">
        <f>IF($C212="",0,MAX(0,$AP212-$AC212))</f>
        <v/>
      </c>
      <c r="AR212">
        <f>IF($C212="",0,MAX(0,$AQ212-$AD212))</f>
        <v/>
      </c>
      <c r="AS212">
        <f>IF($C212="",0,MAX(0,$AR212-$AE212))</f>
        <v/>
      </c>
      <c r="AT212">
        <f>IF($C212="",0,MAX(0,$AS212-$AF212))</f>
        <v/>
      </c>
      <c r="AU212">
        <f>IF($C212="",0,MAX(0,$AT212-$AG212))</f>
        <v/>
      </c>
      <c r="AV212">
        <f>IF($C212="",0,MAX(0,$AU212-$AH212))</f>
        <v/>
      </c>
      <c r="AW212">
        <f>IF($C212="",0,MAX(0,$AV212-$AI212))</f>
        <v/>
      </c>
      <c r="AX212">
        <f>IF($C212="",0,MAX(0,MAX(0,N($L212))+IF($P212=V$3,$R212,0)+IF($S212=V$3,$U212,0)-$V212))</f>
        <v/>
      </c>
      <c r="AY212">
        <f>IF($C212="",0,MAX(0,$AX212+IF($P212=W$3,$R212,0)+IF($S212=W$3,$U212,0)-$W212))</f>
        <v/>
      </c>
      <c r="AZ212">
        <f>IF($C212="",0,MAX(0,$AY212+IF($P212=X$3,$R212,0)+IF($S212=X$3,$U212,0)-$X212))</f>
        <v/>
      </c>
      <c r="BA212">
        <f>IF($C212="",0,MAX(0,$AZ212+IF($P212=Y$3,$R212,0)+IF($S212=Y$3,$U212,0)-$Y212))</f>
        <v/>
      </c>
      <c r="BB212">
        <f>IF($C212="",0,MAX(0,$BA212+IF($P212=Z$3,$R212,0)+IF($S212=Z$3,$U212,0)-$Z212))</f>
        <v/>
      </c>
      <c r="BC212">
        <f>IF($C212="",0,MAX(0,$BB212+IF($P212=AA$3,$R212,0)+IF($S212=AA$3,$U212,0)-$AA212))</f>
        <v/>
      </c>
      <c r="BD212">
        <f>IF($C212="",0,MAX(0,$BC212+IF($P212=AB$3,$R212,0)+IF($S212=AB$3,$U212,0)-$AB212))</f>
        <v/>
      </c>
      <c r="BE212">
        <f>IF($C212="",0,MAX(0,$BD212+IF($P212=AC$3,$R212,0)+IF($S212=AC$3,$U212,0)-$AC212))</f>
        <v/>
      </c>
      <c r="BF212">
        <f>IF($C212="",0,MAX(0,$BE212+IF($P212=AD$3,$R212,0)+IF($S212=AD$3,$U212,0)-$AD212))</f>
        <v/>
      </c>
      <c r="BG212">
        <f>IF($C212="",0,MAX(0,$BF212+IF($P212=AE$3,$R212,0)+IF($S212=AE$3,$U212,0)-$AE212))</f>
        <v/>
      </c>
      <c r="BH212">
        <f>IF($C212="",0,MAX(0,$BG212+IF($P212=AF$3,$R212,0)+IF($S212=AF$3,$U212,0)-$AF212))</f>
        <v/>
      </c>
      <c r="BI212">
        <f>IF($C212="",0,MAX(0,$BH212+IF($P212=AG$3,$R212,0)+IF($S212=AG$3,$U212,0)-$AG212))</f>
        <v/>
      </c>
      <c r="BJ212">
        <f>IF($C212="",0,MAX(0,$BI212+IF($P212=AH$3,$R212,0)+IF($S212=AH$3,$U212,0)-$AH212))</f>
        <v/>
      </c>
      <c r="BK212">
        <f>IF($C212="",0,MAX(0,$BJ212+IF($P212=AI$3,$R212,0)+IF($S212=AI$3,$U212,0)-$AI212))</f>
        <v/>
      </c>
      <c r="BL212">
        <f>IF($C212="",99,IF(AND($AX212&lt;1,V$3&gt;=MAX(N($P212),N($S212))),0,99))</f>
        <v/>
      </c>
      <c r="BM212">
        <f>IF($C212="",99,IF(AND($AY212&lt;1,W$3&gt;=MAX(N($P212),N($S212))),1,99))</f>
        <v/>
      </c>
      <c r="BN212">
        <f>IF($C212="",99,IF(AND($AZ212&lt;1,X$3&gt;=MAX(N($P212),N($S212))),2,99))</f>
        <v/>
      </c>
      <c r="BO212">
        <f>IF($C212="",99,IF(AND($BA212&lt;1,Y$3&gt;=MAX(N($P212),N($S212))),3,99))</f>
        <v/>
      </c>
      <c r="BP212">
        <f>IF($C212="",99,IF(AND($BB212&lt;1,Z$3&gt;=MAX(N($P212),N($S212))),4,99))</f>
        <v/>
      </c>
      <c r="BQ212">
        <f>IF($C212="",99,IF(AND($BC212&lt;1,AA$3&gt;=MAX(N($P212),N($S212))),5,99))</f>
        <v/>
      </c>
      <c r="BR212">
        <f>IF($C212="",99,IF(AND($BD212&lt;1,AB$3&gt;=MAX(N($P212),N($S212))),6,99))</f>
        <v/>
      </c>
      <c r="BS212">
        <f>IF($C212="",99,IF(AND($BE212&lt;1,AC$3&gt;=MAX(N($P212),N($S212))),7,99))</f>
        <v/>
      </c>
      <c r="BT212">
        <f>IF($C212="",99,IF(AND($BF212&lt;1,AD$3&gt;=MAX(N($P212),N($S212))),8,99))</f>
        <v/>
      </c>
      <c r="BU212">
        <f>IF($C212="",99,IF(AND($BG212&lt;1,AE$3&gt;=MAX(N($P212),N($S212))),9,99))</f>
        <v/>
      </c>
      <c r="BV212">
        <f>IF($C212="",99,IF(AND($BH212&lt;1,AF$3&gt;=MAX(N($P212),N($S212))),10,99))</f>
        <v/>
      </c>
      <c r="BW212">
        <f>IF($C212="",99,IF(AND($BI212&lt;1,AG$3&gt;=MAX(N($P212),N($S212))),11,99))</f>
        <v/>
      </c>
      <c r="BX212">
        <f>IF($C212="",99,IF(AND($BJ212&lt;1,AH$3&gt;=MAX(N($P212),N($S212))),12,99))</f>
        <v/>
      </c>
      <c r="BY212">
        <f>IF($C212="",99,IF(AND($BK212&lt;1,AI$3&gt;=MAX(N($P212),N($S212))),13,99))</f>
        <v/>
      </c>
      <c r="BZ212">
        <f>IF(OR($C212="",$M212=""),"",COUNTIF($AJ212:$AW212,"&gt;=1"))</f>
        <v/>
      </c>
      <c r="CA212" s="90">
        <f>IF($BZ212="","",IF($BZ212&gt;=14,"",'設定'!$C$6+$BZ212))</f>
        <v/>
      </c>
      <c r="CB212">
        <f>IF(OR($C212="",$M212=""),"",MIN($BL212:$BY212))</f>
        <v/>
      </c>
      <c r="CC212" s="90">
        <f>IF($CB212="","",IF($CB212&gt;=99,"",'設定'!$C$6+$CB212))</f>
        <v/>
      </c>
      <c r="CD212">
        <f>IF(OR($C212="",$M212=""),"",AVERAGE($V212:$AI212))</f>
        <v/>
      </c>
      <c r="CE212">
        <f>IF($C212="","",IFERROR(IF(MATCH(IF(ISNUMBER($P212),$P212,'設定'!$C$6+N('設定'!$C$7)),$V$3:$AI$3,0)=1,MAX(0,N($L212)),INDEX($AJ212:$AW212,MATCH(IF(ISNUMBER($P212),$P212,'設定'!$C$6+N('設定'!$C$7)),$V$3:$AI$3,0)-1)),""))</f>
        <v/>
      </c>
      <c r="CF212">
        <f>IF(OR($C212="",$O212="",$CE212=""),"",IF($O212-$CE212&lt;=0,0,ROUNDUP(($O212-$CE212)/$G212,0)))</f>
        <v/>
      </c>
      <c r="CG212">
        <f>IF(OR($C212="",$CF212="",NOT(ISNUMBER($Q212))),0,MAX(0,$Q212-$CF212))</f>
        <v/>
      </c>
      <c r="CH212">
        <f>IF(OR($C212="",$O212="",$U212=0),0,IFERROR(ROUNDUP(MAX(0,IF(MATCH($S212,$V$3:$AI$3,0)=1,MAX(0,N($L212)),INDEX($AX212:$BK212,MATCH($S212,$V$3:$AI$3,0)-1))+$U212-$O212)/$G212,0),0))</f>
        <v/>
      </c>
      <c r="CI212">
        <f>IF($C212="","",IF(AND($P212="",$Q212=""),"",IF($P212="","⚠ 入庫日を ▼ から選んでください",IF(NOT(ISNUMBER($P212)),"⚠ 入庫日は ▼ から選んでください",IF($P212&lt;N('設定'!$C$6),"⚠ 入庫日が過去です（もう在庫に入っています）→ 消してください",IF($P212&gt;N('設定'!$C$6)+13,"⚠ 入庫日が14日より先です",IF(N($Q212)&lt;=0,"⚠ 入庫数を入れてください",IF($CG212&gt;0,"⚠ 目安より "&amp;$CG212&amp;" 多い（定数を超える）→ 減らす",""))))))))</f>
        <v/>
      </c>
      <c r="CJ212">
        <f>IF($C212="","",IF(AND($S212="",$T212=""),"",IF($S212="","⚠ 2便目：入庫日を ▼ から選んでください",IF(NOT(ISNUMBER($S212)),"⚠ 2便目：入庫日は ▼ から選んでください",IF($S212&lt;N('設定'!$C$6),"⚠ 2便目：入庫日が過去です（もう在庫に入っています）→ 消してください",IF($S212&gt;N('設定'!$C$6)+13,"⚠ 2便目：入庫日が14日より先です",IF(N($T212)&lt;=0,"⚠ 2便目：入庫数を入れてください",IF($CH212&gt;0,"⚠ 2便目：定数を "&amp;$CH212&amp;" ケース超える → 減らす",""))))))))</f>
        <v/>
      </c>
      <c r="CK212">
        <f>IF(AND($CI212="",N($Q212)&gt;0,ISNUMBER($P212)),1,0)</f>
        <v/>
      </c>
      <c r="CL212">
        <f>IF(AND($CJ212="",N($T212)&gt;0,ISNUMBER($S212)),1,0)</f>
        <v/>
      </c>
      <c r="CM212">
        <f>IF(OR($CK212=1,$CL212=1),1,0)</f>
        <v/>
      </c>
      <c r="CN212">
        <f>IF($C212="",0,($CK212*$R212+$CL212*$U212)*N($H212))</f>
        <v/>
      </c>
      <c r="CO212">
        <f>IF($C212="","",IF($CC212="","入庫後は 14日以上もつ",IF($CC212-N('設定'!$C$7)&lt;='設定'!$C$6,"入庫後も "&amp;TEXT($CC212,"m/d")&amp;"("&amp;CHOOSE(WEEKDAY($CC212),"日","月","火","水","木","金","土")&amp;")"&amp;" に切れる　もう1便を至急発注","入庫後も "&amp;TEXT($CC212,"m/d")&amp;"("&amp;CHOOSE(WEEKDAY($CC212),"日","月","火","水","木","金","土")&amp;")"&amp;" に切れる　"&amp;TEXT($CC212-N('設定'!$C$7),"m/d")&amp;"("&amp;CHOOSE(WEEKDAY($CC212-N('設定'!$C$7)),"日","月","火","水","木","金","土")&amp;")"&amp;" までに次を発注")))</f>
        <v/>
      </c>
      <c r="CP212">
        <f>IF($C212="","",IF('設定'!$C$6="","？ ①在庫を貼る に今日のCSVが貼られていない",IF($CS212=1,"－ 今日のCSVに無い（終売？）",IF($L212&lt;0,"● 在庫がマイナス　数えて「数えた在庫」に入れる",IF($L212=0,"● 在庫なし　至急発注",IF($M212="","？ 減り数が未設定（商品マスタ）",IF($B$3=0,"？ 動員が未入力（動員を入れる）",IF($CA212="","○ 14日以上もつ",IF($BZ212&lt;N('設定'!$C$7),"● "&amp;TEXT($CA212,"m/d")&amp;"("&amp;CHOOSE(WEEKDAY($CA212),"日","月","火","水","木","金","土")&amp;")"&amp;" に切れる　至急発注",IF($BZ212=N('設定'!$C$7),"● "&amp;TEXT($CA212,"m/d")&amp;"("&amp;CHOOSE(WEEKDAY($CA212),"日","月","火","水","木","金","土")&amp;")"&amp;" に切れる　今日発注","△ "&amp;TEXT($CA212,"m/d")&amp;"("&amp;CHOOSE(WEEKDAY($CA212),"日","月","火","水","木","金","土")&amp;")"&amp;" に切れる　"&amp;TEXT($CA212-N('設定'!$C$7),"m/d")&amp;"("&amp;CHOOSE(WEEKDAY($CA212-N('設定'!$C$7)),"日","月","火","水","木","金","土")&amp;")"&amp;" までに発注"))))))))))</f>
        <v/>
      </c>
      <c r="CQ212">
        <f>IF($C212="","",IF(AND($P212="",$Q212="",$S212="",$T212=""),"",IF(AND($P212="",$Q212=""),"⚠ 先に1便目（左の入庫日・入庫数）に入れてください",IF($CI212&lt;&gt;"",$CI212,IF($CJ212&lt;&gt;"",$CJ212,IF($M212="","？ 減り数が未設定（発注書には載ります）",IF($B$3=0,"？ 動員が未入力（発注書には載ります）",IF(AND($CA212&lt;&gt;"",$P212&gt;$CA212),IF($P212&gt;'設定'!$C$6+N('設定'!$C$7),"● "&amp;TEXT($P212,"m/d")&amp;"("&amp;CHOOSE(WEEKDAY($P212),"日","月","火","水","木","金","土")&amp;")"&amp;" の入庫では間に合わない（"&amp;TEXT($CA212,"m/d")&amp;"("&amp;CHOOSE(WEEKDAY($CA212),"日","月","火","水","木","金","土")&amp;")"&amp;" に切れる）　入庫日を早める","△ 欠品 "&amp;TEXT($CA212,"m/d")&amp;"("&amp;CHOOSE(WEEKDAY($CA212),"日","月","火","水","木","金","土")&amp;")"&amp;"〜"&amp;TEXT($P212-1,"m/d")&amp;"("&amp;CHOOSE(WEEKDAY($P212-1),"日","月","火","水","木","金","土")&amp;")"&amp;"　"&amp;$CO212),IF($CC212="","○ "&amp;TEXT($P212,"m/d")&amp;"("&amp;CHOOSE(WEEKDAY($P212),"日","月","火","水","木","金","土")&amp;")"&amp;" 入庫で 14日以上もつ",IF($CC212-N('設定'!$C$7)&lt;='設定'!$C$6,"● 入庫しても "&amp;TEXT($CC212,"m/d")&amp;"("&amp;CHOOSE(WEEKDAY($CC212),"日","月","火","水","木","金","土")&amp;")"&amp;" に切れる　もう1便を至急発注（2便目に入れる）","△ 入庫しても "&amp;TEXT($CC212,"m/d")&amp;"("&amp;CHOOSE(WEEKDAY($CC212),"日","月","火","水","木","金","土")&amp;")"&amp;" に切れる　"&amp;TEXT($CC212-N('設定'!$C$7),"m/d")&amp;"("&amp;CHOOSE(WEEKDAY($CC212-N('設定'!$C$7)),"日","月","火","水","木","金","土")&amp;")"&amp;" までに次を発注（2便目に入れる）"))))))))))</f>
        <v/>
      </c>
      <c r="CR212">
        <f>IF($C212="","",IF($G212&gt;1,"ｹｰｽ("&amp;$G212&amp;"入)","個"))</f>
        <v/>
      </c>
      <c r="CS212">
        <f>IF($C212="",0,IF(COUNTIFS('①在庫を貼る'!$V$6:$V$10005,'設定'!$C$4,'①在庫を貼る'!$W$6:$W$10005,$C212)=0,1,0))</f>
        <v/>
      </c>
      <c r="CT212">
        <f>IF(AND($CK212=1,OR('③発注書'!$C$4="すべて",'③発注書'!$C$4="",$F212='③発注書'!$C$4)),N($CT211)+1,N($CT211))</f>
        <v/>
      </c>
      <c r="CU212">
        <f>IF(AND($CL212=1,OR('③発注書'!$C$4="すべて",'③発注書'!$C$4="",$F212='③発注書'!$C$4)),N($CU211)+1,N($CU211))</f>
        <v/>
      </c>
      <c r="CV212">
        <f>IF($C212="",0,IF(COUNTIFS('①在庫を貼る'!$V$6:$V$10005,'設定'!$C$4,'①在庫を貼る'!$W$6:$W$10005,$C212)&gt;0,1,0))</f>
        <v/>
      </c>
      <c r="CW212">
        <f>IF($C212="",0,IF(COUNTIFS('月1回_1ヶ月前の在庫'!$V$6:$V$10005,'設定'!$C$4,'月1回_1ヶ月前の在庫'!$W$6:$W$10005,$C212)&gt;0,1,0))</f>
        <v/>
      </c>
      <c r="CX212">
        <f>IF($C212="",0,IF(COUNTIFS('月1回_2ヶ月前の在庫'!$V$6:$V$10005,'設定'!$C$4,'月1回_2ヶ月前の在庫'!$W$6:$W$10005,$C212)&gt;0,1,0))</f>
        <v/>
      </c>
      <c r="CY212">
        <f>IF(OR($C212="",'設定'!$C$12=""),"",IF('設定'!$C$13="",IF(AND($CV212=1,$CW212=0),"新商品（今月から）",IF(AND($CV212=0,$CW212=1),"終売（今月から）","")),IF(AND($CV212=1,$CW212=0,$CX212=0),"新商品（今月から）",IF(AND($CV212=1,$CW212=1,$CX212=0),"新商品（先月から）",IF(AND($CV212=0,$CW212=1,$CX212=1),"終売（今月から）",IF(AND($CV212=0,$CW212=0,$CX212=1),"終売（先月から）",IF(AND($CV212=1,$CW212=0,$CX212=1),"復活（先月は無し）","")))))))</f>
        <v/>
      </c>
    </row>
    <row r="213">
      <c r="B213">
        <f>IF(208&lt;='設定'!$C$11,208,"")</f>
        <v/>
      </c>
      <c r="C213">
        <f>IF($B213="","",IF($B213&lt;='設定'!$C$20,INDEX('商品マスタ'!$B$6:$B$1005,MATCH($B213,'商品マスタ'!$M$6:$M$1005,0)),IF($B213&lt;='設定'!$C$20+'設定'!$C$17,INDEX('①在庫を貼る'!$W$6:$W$10005,MATCH($B213-'設定'!$C$20,'①在庫を貼る'!$U$6:$U$10005,0)),IF($B213&lt;='設定'!$C$20+'設定'!$C$17+'設定'!$C$18,INDEX('月1回_1ヶ月前の在庫'!$W$6:$W$10005,MATCH($B213-'設定'!$C$20-'設定'!$C$17,'月1回_1ヶ月前の在庫'!$U$6:$U$10005,0)),INDEX('月1回_2ヶ月前の在庫'!$W$6:$W$10005,MATCH($B213-'設定'!$C$20-'設定'!$C$17-'設定'!$C$18,'月1回_2ヶ月前の在庫'!$U$6:$U$10005,0))))))</f>
        <v/>
      </c>
      <c r="D213">
        <f>IF($C213="","",IFERROR(IF(INDEX('商品マスタ'!$C$6:$C$1005,MATCH($C213,'商品マスタ'!$B$6:$B$1005,0))="",IFERROR(INDEX('①在庫を貼る'!$J$6:$J$10005,MATCH($C213,'①在庫を貼る'!$W$6:$W$10005,0)),IFERROR(INDEX('月1回_1ヶ月前の在庫'!$J$6:$J$10005,MATCH($C213,'月1回_1ヶ月前の在庫'!$W$6:$W$10005,0)),IFERROR(INDEX('月1回_2ヶ月前の在庫'!$J$6:$J$10005,MATCH($C213,'月1回_2ヶ月前の在庫'!$W$6:$W$10005,0)),""))),INDEX('商品マスタ'!$C$6:$C$1005,MATCH($C213,'商品マスタ'!$B$6:$B$1005,0))),IFERROR(INDEX('①在庫を貼る'!$J$6:$J$10005,MATCH($C213,'①在庫を貼る'!$W$6:$W$10005,0)),IFERROR(INDEX('月1回_1ヶ月前の在庫'!$J$6:$J$10005,MATCH($C213,'月1回_1ヶ月前の在庫'!$W$6:$W$10005,0)),IFERROR(INDEX('月1回_2ヶ月前の在庫'!$J$6:$J$10005,MATCH($C213,'月1回_2ヶ月前の在庫'!$W$6:$W$10005,0)),"")))))</f>
        <v/>
      </c>
      <c r="E213">
        <f>IF($C213="","",IFERROR(IF(INDEX('商品マスタ'!$D$6:$D$1005,MATCH($C213,'商品マスタ'!$B$6:$B$1005,0))="",IFERROR(INDEX('①在庫を貼る'!$H$6:$H$10005,MATCH($C213,'①在庫を貼る'!$W$6:$W$10005,0)),IFERROR(INDEX('月1回_1ヶ月前の在庫'!$H$6:$H$10005,MATCH($C213,'月1回_1ヶ月前の在庫'!$W$6:$W$10005,0)),IFERROR(INDEX('月1回_2ヶ月前の在庫'!$H$6:$H$10005,MATCH($C213,'月1回_2ヶ月前の在庫'!$W$6:$W$10005,0)),""))),INDEX('商品マスタ'!$D$6:$D$1005,MATCH($C213,'商品マスタ'!$B$6:$B$1005,0))),IFERROR(INDEX('①在庫を貼る'!$H$6:$H$10005,MATCH($C213,'①在庫を貼る'!$W$6:$W$10005,0)),IFERROR(INDEX('月1回_1ヶ月前の在庫'!$H$6:$H$10005,MATCH($C213,'月1回_1ヶ月前の在庫'!$W$6:$W$10005,0)),IFERROR(INDEX('月1回_2ヶ月前の在庫'!$H$6:$H$10005,MATCH($C213,'月1回_2ヶ月前の在庫'!$W$6:$W$10005,0)),"")))))</f>
        <v/>
      </c>
      <c r="F213">
        <f>IF($C213="","",IFERROR(IF(INDEX('商品マスタ'!$E$6:$E$1005,MATCH($C213,'商品マスタ'!$B$6:$B$1005,0))="",IFERROR(INDEX('①在庫を貼る'!$E$6:$E$10005,MATCH($C213,'①在庫を貼る'!$W$6:$W$10005,0)),IFERROR(INDEX('月1回_1ヶ月前の在庫'!$E$6:$E$10005,MATCH($C213,'月1回_1ヶ月前の在庫'!$W$6:$W$10005,0)),IFERROR(INDEX('月1回_2ヶ月前の在庫'!$E$6:$E$10005,MATCH($C213,'月1回_2ヶ月前の在庫'!$W$6:$W$10005,0)),""))),INDEX('商品マスタ'!$E$6:$E$1005,MATCH($C213,'商品マスタ'!$B$6:$B$1005,0))),IFERROR(INDEX('①在庫を貼る'!$E$6:$E$10005,MATCH($C213,'①在庫を貼る'!$W$6:$W$10005,0)),IFERROR(INDEX('月1回_1ヶ月前の在庫'!$E$6:$E$10005,MATCH($C213,'月1回_1ヶ月前の在庫'!$W$6:$W$10005,0)),IFERROR(INDEX('月1回_2ヶ月前の在庫'!$E$6:$E$10005,MATCH($C213,'月1回_2ヶ月前の在庫'!$W$6:$W$10005,0)),"")))))</f>
        <v/>
      </c>
      <c r="G213">
        <f>IF($C213="","",MAX(1,N(IFERROR(IF(INDEX('商品マスタ'!$F$6:$F$1005,MATCH($C213,'商品マスタ'!$B$6:$B$1005,0))="",IF(COUNTIFS('①在庫を貼る'!$V$6:$V$10005,'設定'!$C$4,'①在庫を貼る'!$W$6:$W$10005,$C213)&gt;0,SUMIFS('①在庫を貼る'!$K$6:$K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K$6:$K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K$6:$K$10005,'月1回_2ヶ月前の在庫'!$V$6:$V$10005,'設定'!$C$4,'月1回_2ヶ月前の在庫'!$W$6:$W$10005,$C213)/COUNTIFS('月1回_2ヶ月前の在庫'!$V$6:$V$10005,'設定'!$C$4,'月1回_2ヶ月前の在庫'!$W$6:$W$10005,$C213),0))),INDEX('商品マスタ'!$F$6:$F$1005,MATCH($C213,'商品マスタ'!$B$6:$B$1005,0))),IF(COUNTIFS('①在庫を貼る'!$V$6:$V$10005,'設定'!$C$4,'①在庫を貼る'!$W$6:$W$10005,$C213)&gt;0,SUMIFS('①在庫を貼る'!$K$6:$K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K$6:$K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K$6:$K$10005,'月1回_2ヶ月前の在庫'!$V$6:$V$10005,'設定'!$C$4,'月1回_2ヶ月前の在庫'!$W$6:$W$10005,$C213)/COUNTIFS('月1回_2ヶ月前の在庫'!$V$6:$V$10005,'設定'!$C$4,'月1回_2ヶ月前の在庫'!$W$6:$W$10005,$C213),0)))))))</f>
        <v/>
      </c>
      <c r="H213">
        <f>IF($C213="","",N(IFERROR(IF(INDEX('商品マスタ'!$G$6:$G$1005,MATCH($C213,'商品マスタ'!$B$6:$B$1005,0))="",IF(COUNTIFS('①在庫を貼る'!$V$6:$V$10005,'設定'!$C$4,'①在庫を貼る'!$W$6:$W$10005,$C213)&gt;0,SUMIFS('①在庫を貼る'!$Q$6:$Q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Q$6:$Q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Q$6:$Q$10005,'月1回_2ヶ月前の在庫'!$V$6:$V$10005,'設定'!$C$4,'月1回_2ヶ月前の在庫'!$W$6:$W$10005,$C213)/COUNTIFS('月1回_2ヶ月前の在庫'!$V$6:$V$10005,'設定'!$C$4,'月1回_2ヶ月前の在庫'!$W$6:$W$10005,$C213),0))),INDEX('商品マスタ'!$G$6:$G$1005,MATCH($C213,'商品マスタ'!$B$6:$B$1005,0))),IF(COUNTIFS('①在庫を貼る'!$V$6:$V$10005,'設定'!$C$4,'①在庫を貼る'!$W$6:$W$10005,$C213)&gt;0,SUMIFS('①在庫を貼る'!$Q$6:$Q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Q$6:$Q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Q$6:$Q$10005,'月1回_2ヶ月前の在庫'!$V$6:$V$10005,'設定'!$C$4,'月1回_2ヶ月前の在庫'!$W$6:$W$10005,$C213)/COUNTIFS('月1回_2ヶ月前の在庫'!$V$6:$V$10005,'設定'!$C$4,'月1回_2ヶ月前の在庫'!$W$6:$W$10005,$C213),0))))))</f>
        <v/>
      </c>
      <c r="I213">
        <f>IF($C213="","",IF(COUNTIFS('①在庫を貼る'!$V$6:$V$10005,'設定'!$C$4,'①在庫を貼る'!$W$6:$W$10005,$C213)=0,"",SUMIFS('①在庫を貼る'!$N$6:$N$10005,'①在庫を貼る'!$V$6:$V$10005,'設定'!$C$4,'①在庫を貼る'!$W$6:$W$10005,$C213)))</f>
        <v/>
      </c>
      <c r="J213">
        <f>IF($C213="","",IF('②発注する'!$AD217="","",'②発注する'!$AD217))</f>
        <v/>
      </c>
      <c r="K213" s="90">
        <f>IF($C213="","",IF('②発注する'!$AE217="","",'②発注する'!$AE217))</f>
        <v/>
      </c>
      <c r="L213">
        <f>IF($C213="","",IF(AND(ISNUMBER($J213),ISNUMBER($K213),$K213&gt;='設定'!$C$6),$J213,N($I213)))</f>
        <v/>
      </c>
      <c r="M213">
        <f>IF($C213="","",IFERROR(IF(N(INDEX('商品マスタ'!$J$6:$J$1005,MATCH($C213,'商品マスタ'!$B$6:$B$1005,0)))&gt;0,INDEX('商品マスタ'!$J$6:$J$1005,MATCH($C213,'商品マスタ'!$B$6:$B$1005,0)),""),""))</f>
        <v/>
      </c>
      <c r="N213">
        <f>IF($C213="","",IFERROR(IF(N(INDEX('商品マスタ'!$H$6:$H$1005,MATCH($C213,'商品マスタ'!$B$6:$B$1005,0)))&gt;0,INDEX('商品マスタ'!$H$6:$H$1005,MATCH($C213,'商品マスタ'!$B$6:$B$1005,0)),""),""))</f>
        <v/>
      </c>
      <c r="O213">
        <f>IF($C213="","",IF($N213&lt;&gt;"",$N213*$G213,IF(N(IF(COUNTIFS('①在庫を貼る'!$V$6:$V$10005,'設定'!$C$4,'①在庫を貼る'!$W$6:$W$10005,$C213)&gt;0,SUMIFS('①在庫を貼る'!$O$6:$O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O$6:$O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O$6:$O$10005,'月1回_2ヶ月前の在庫'!$V$6:$V$10005,'設定'!$C$4,'月1回_2ヶ月前の在庫'!$W$6:$W$10005,$C213)/COUNTIFS('月1回_2ヶ月前の在庫'!$V$6:$V$10005,'設定'!$C$4,'月1回_2ヶ月前の在庫'!$W$6:$W$10005,$C213),0))))&gt;0,N(IF(COUNTIFS('①在庫を貼る'!$V$6:$V$10005,'設定'!$C$4,'①在庫を貼る'!$W$6:$W$10005,$C213)&gt;0,SUMIFS('①在庫を貼る'!$O$6:$O$10005,'①在庫を貼る'!$V$6:$V$10005,'設定'!$C$4,'①在庫を貼る'!$W$6:$W$10005,$C213)/COUNTIFS('①在庫を貼る'!$V$6:$V$10005,'設定'!$C$4,'①在庫を貼る'!$W$6:$W$10005,$C213),IF(COUNTIFS('月1回_1ヶ月前の在庫'!$V$6:$V$10005,'設定'!$C$4,'月1回_1ヶ月前の在庫'!$W$6:$W$10005,$C213)&gt;0,SUMIFS('月1回_1ヶ月前の在庫'!$O$6:$O$10005,'月1回_1ヶ月前の在庫'!$V$6:$V$10005,'設定'!$C$4,'月1回_1ヶ月前の在庫'!$W$6:$W$10005,$C213)/COUNTIFS('月1回_1ヶ月前の在庫'!$V$6:$V$10005,'設定'!$C$4,'月1回_1ヶ月前の在庫'!$W$6:$W$10005,$C213),IF(COUNTIFS('月1回_2ヶ月前の在庫'!$V$6:$V$10005,'設定'!$C$4,'月1回_2ヶ月前の在庫'!$W$6:$W$10005,$C213)&gt;0,SUMIFS('月1回_2ヶ月前の在庫'!$O$6:$O$10005,'月1回_2ヶ月前の在庫'!$V$6:$V$10005,'設定'!$C$4,'月1回_2ヶ月前の在庫'!$W$6:$W$10005,$C213)/COUNTIFS('月1回_2ヶ月前の在庫'!$V$6:$V$10005,'設定'!$C$4,'月1回_2ヶ月前の在庫'!$W$6:$W$10005,$C213),0)))),"")))</f>
        <v/>
      </c>
      <c r="P213" s="90">
        <f>IF($C213="","",IF('②発注する'!$I217="","",'②発注する'!$I217))</f>
        <v/>
      </c>
      <c r="Q213">
        <f>IF($C213="","",IF('②発注する'!$J217="","",'②発注する'!$J217))</f>
        <v/>
      </c>
      <c r="R213">
        <f>IF($C213="",0,IF(AND(ISNUMBER($P213),ISNUMBER($Q213)),MAX(0,$Q213)*$G213,0))</f>
        <v/>
      </c>
      <c r="S213" s="90">
        <f>IF($C213="","",IF('②発注する'!$M217="","",'②発注する'!$M217))</f>
        <v/>
      </c>
      <c r="T213">
        <f>IF($C213="","",IF('②発注する'!$N217="","",'②発注する'!$N217))</f>
        <v/>
      </c>
      <c r="U213">
        <f>IF($C213="",0,IF(AND(ISNUMBER($S213),ISNUMBER($T213)),MAX(0,$T213)*$G213,0))</f>
        <v/>
      </c>
      <c r="V213">
        <f>IF($C213="",0,IF($M213="",0,MAX(0,$M213)*MAX(0,V$4)/100))</f>
        <v/>
      </c>
      <c r="W213">
        <f>IF($C213="",0,IF($M213="",0,MAX(0,$M213)*MAX(0,W$4)/100))</f>
        <v/>
      </c>
      <c r="X213">
        <f>IF($C213="",0,IF($M213="",0,MAX(0,$M213)*MAX(0,X$4)/100))</f>
        <v/>
      </c>
      <c r="Y213">
        <f>IF($C213="",0,IF($M213="",0,MAX(0,$M213)*MAX(0,Y$4)/100))</f>
        <v/>
      </c>
      <c r="Z213">
        <f>IF($C213="",0,IF($M213="",0,MAX(0,$M213)*MAX(0,Z$4)/100))</f>
        <v/>
      </c>
      <c r="AA213">
        <f>IF($C213="",0,IF($M213="",0,MAX(0,$M213)*MAX(0,AA$4)/100))</f>
        <v/>
      </c>
      <c r="AB213">
        <f>IF($C213="",0,IF($M213="",0,MAX(0,$M213)*MAX(0,AB$4)/100))</f>
        <v/>
      </c>
      <c r="AC213">
        <f>IF($C213="",0,IF($M213="",0,MAX(0,$M213)*MAX(0,AC$4)/100))</f>
        <v/>
      </c>
      <c r="AD213">
        <f>IF($C213="",0,IF($M213="",0,MAX(0,$M213)*MAX(0,AD$4)/100))</f>
        <v/>
      </c>
      <c r="AE213">
        <f>IF($C213="",0,IF($M213="",0,MAX(0,$M213)*MAX(0,AE$4)/100))</f>
        <v/>
      </c>
      <c r="AF213">
        <f>IF($C213="",0,IF($M213="",0,MAX(0,$M213)*MAX(0,AF$4)/100))</f>
        <v/>
      </c>
      <c r="AG213">
        <f>IF($C213="",0,IF($M213="",0,MAX(0,$M213)*MAX(0,AG$4)/100))</f>
        <v/>
      </c>
      <c r="AH213">
        <f>IF($C213="",0,IF($M213="",0,MAX(0,$M213)*MAX(0,AH$4)/100))</f>
        <v/>
      </c>
      <c r="AI213">
        <f>IF($C213="",0,IF($M213="",0,MAX(0,$M213)*MAX(0,AI$4)/100))</f>
        <v/>
      </c>
      <c r="AJ213">
        <f>IF($C213="",0,MAX(0,MAX(0,N($L213))-$V213))</f>
        <v/>
      </c>
      <c r="AK213">
        <f>IF($C213="",0,MAX(0,$AJ213-$W213))</f>
        <v/>
      </c>
      <c r="AL213">
        <f>IF($C213="",0,MAX(0,$AK213-$X213))</f>
        <v/>
      </c>
      <c r="AM213">
        <f>IF($C213="",0,MAX(0,$AL213-$Y213))</f>
        <v/>
      </c>
      <c r="AN213">
        <f>IF($C213="",0,MAX(0,$AM213-$Z213))</f>
        <v/>
      </c>
      <c r="AO213">
        <f>IF($C213="",0,MAX(0,$AN213-$AA213))</f>
        <v/>
      </c>
      <c r="AP213">
        <f>IF($C213="",0,MAX(0,$AO213-$AB213))</f>
        <v/>
      </c>
      <c r="AQ213">
        <f>IF($C213="",0,MAX(0,$AP213-$AC213))</f>
        <v/>
      </c>
      <c r="AR213">
        <f>IF($C213="",0,MAX(0,$AQ213-$AD213))</f>
        <v/>
      </c>
      <c r="AS213">
        <f>IF($C213="",0,MAX(0,$AR213-$AE213))</f>
        <v/>
      </c>
      <c r="AT213">
        <f>IF($C213="",0,MAX(0,$AS213-$AF213))</f>
        <v/>
      </c>
      <c r="AU213">
        <f>IF($C213="",0,MAX(0,$AT213-$AG213))</f>
        <v/>
      </c>
      <c r="AV213">
        <f>IF($C213="",0,MAX(0,$AU213-$AH213))</f>
        <v/>
      </c>
      <c r="AW213">
        <f>IF($C213="",0,MAX(0,$AV213-$AI213))</f>
        <v/>
      </c>
      <c r="AX213">
        <f>IF($C213="",0,MAX(0,MAX(0,N($L213))+IF($P213=V$3,$R213,0)+IF($S213=V$3,$U213,0)-$V213))</f>
        <v/>
      </c>
      <c r="AY213">
        <f>IF($C213="",0,MAX(0,$AX213+IF($P213=W$3,$R213,0)+IF($S213=W$3,$U213,0)-$W213))</f>
        <v/>
      </c>
      <c r="AZ213">
        <f>IF($C213="",0,MAX(0,$AY213+IF($P213=X$3,$R213,0)+IF($S213=X$3,$U213,0)-$X213))</f>
        <v/>
      </c>
      <c r="BA213">
        <f>IF($C213="",0,MAX(0,$AZ213+IF($P213=Y$3,$R213,0)+IF($S213=Y$3,$U213,0)-$Y213))</f>
        <v/>
      </c>
      <c r="BB213">
        <f>IF($C213="",0,MAX(0,$BA213+IF($P213=Z$3,$R213,0)+IF($S213=Z$3,$U213,0)-$Z213))</f>
        <v/>
      </c>
      <c r="BC213">
        <f>IF($C213="",0,MAX(0,$BB213+IF($P213=AA$3,$R213,0)+IF($S213=AA$3,$U213,0)-$AA213))</f>
        <v/>
      </c>
      <c r="BD213">
        <f>IF($C213="",0,MAX(0,$BC213+IF($P213=AB$3,$R213,0)+IF($S213=AB$3,$U213,0)-$AB213))</f>
        <v/>
      </c>
      <c r="BE213">
        <f>IF($C213="",0,MAX(0,$BD213+IF($P213=AC$3,$R213,0)+IF($S213=AC$3,$U213,0)-$AC213))</f>
        <v/>
      </c>
      <c r="BF213">
        <f>IF($C213="",0,MAX(0,$BE213+IF($P213=AD$3,$R213,0)+IF($S213=AD$3,$U213,0)-$AD213))</f>
        <v/>
      </c>
      <c r="BG213">
        <f>IF($C213="",0,MAX(0,$BF213+IF($P213=AE$3,$R213,0)+IF($S213=AE$3,$U213,0)-$AE213))</f>
        <v/>
      </c>
      <c r="BH213">
        <f>IF($C213="",0,MAX(0,$BG213+IF($P213=AF$3,$R213,0)+IF($S213=AF$3,$U213,0)-$AF213))</f>
        <v/>
      </c>
      <c r="BI213">
        <f>IF($C213="",0,MAX(0,$BH213+IF($P213=AG$3,$R213,0)+IF($S213=AG$3,$U213,0)-$AG213))</f>
        <v/>
      </c>
      <c r="BJ213">
        <f>IF($C213="",0,MAX(0,$BI213+IF($P213=AH$3,$R213,0)+IF($S213=AH$3,$U213,0)-$AH213))</f>
        <v/>
      </c>
      <c r="BK213">
        <f>IF($C213="",0,MAX(0,$BJ213+IF($P213=AI$3,$R213,0)+IF($S213=AI$3,$U213,0)-$AI213))</f>
        <v/>
      </c>
      <c r="BL213">
        <f>IF($C213="",99,IF(AND($AX213&lt;1,V$3&gt;=MAX(N($P213),N($S213))),0,99))</f>
        <v/>
      </c>
      <c r="BM213">
        <f>IF($C213="",99,IF(AND($AY213&lt;1,W$3&gt;=MAX(N($P213),N($S213))),1,99))</f>
        <v/>
      </c>
      <c r="BN213">
        <f>IF($C213="",99,IF(AND($AZ213&lt;1,X$3&gt;=MAX(N($P213),N($S213))),2,99))</f>
        <v/>
      </c>
      <c r="BO213">
        <f>IF($C213="",99,IF(AND($BA213&lt;1,Y$3&gt;=MAX(N($P213),N($S213))),3,99))</f>
        <v/>
      </c>
      <c r="BP213">
        <f>IF($C213="",99,IF(AND($BB213&lt;1,Z$3&gt;=MAX(N($P213),N($S213))),4,99))</f>
        <v/>
      </c>
      <c r="BQ213">
        <f>IF($C213="",99,IF(AND($BC213&lt;1,AA$3&gt;=MAX(N($P213),N($S213))),5,99))</f>
        <v/>
      </c>
      <c r="BR213">
        <f>IF($C213="",99,IF(AND($BD213&lt;1,AB$3&gt;=MAX(N($P213),N($S213))),6,99))</f>
        <v/>
      </c>
      <c r="BS213">
        <f>IF($C213="",99,IF(AND($BE213&lt;1,AC$3&gt;=MAX(N($P213),N($S213))),7,99))</f>
        <v/>
      </c>
      <c r="BT213">
        <f>IF($C213="",99,IF(AND($BF213&lt;1,AD$3&gt;=MAX(N($P213),N($S213))),8,99))</f>
        <v/>
      </c>
      <c r="BU213">
        <f>IF($C213="",99,IF(AND($BG213&lt;1,AE$3&gt;=MAX(N($P213),N($S213))),9,99))</f>
        <v/>
      </c>
      <c r="BV213">
        <f>IF($C213="",99,IF(AND($BH213&lt;1,AF$3&gt;=MAX(N($P213),N($S213))),10,99))</f>
        <v/>
      </c>
      <c r="BW213">
        <f>IF($C213="",99,IF(AND($BI213&lt;1,AG$3&gt;=MAX(N($P213),N($S213))),11,99))</f>
        <v/>
      </c>
      <c r="BX213">
        <f>IF($C213="",99,IF(AND($BJ213&lt;1,AH$3&gt;=MAX(N($P213),N($S213))),12,99))</f>
        <v/>
      </c>
      <c r="BY213">
        <f>IF($C213="",99,IF(AND($BK213&lt;1,AI$3&gt;=MAX(N($P213),N($S213))),13,99))</f>
        <v/>
      </c>
      <c r="BZ213">
        <f>IF(OR($C213="",$M213=""),"",COUNTIF($AJ213:$AW213,"&gt;=1"))</f>
        <v/>
      </c>
      <c r="CA213" s="90">
        <f>IF($BZ213="","",IF($BZ213&gt;=14,"",'設定'!$C$6+$BZ213))</f>
        <v/>
      </c>
      <c r="CB213">
        <f>IF(OR($C213="",$M213=""),"",MIN($BL213:$BY213))</f>
        <v/>
      </c>
      <c r="CC213" s="90">
        <f>IF($CB213="","",IF($CB213&gt;=99,"",'設定'!$C$6+$CB213))</f>
        <v/>
      </c>
      <c r="CD213">
        <f>IF(OR($C213="",$M213=""),"",AVERAGE($V213:$AI213))</f>
        <v/>
      </c>
      <c r="CE213">
        <f>IF($C213="","",IFERROR(IF(MATCH(IF(ISNUMBER($P213),$P213,'設定'!$C$6+N('設定'!$C$7)),$V$3:$AI$3,0)=1,MAX(0,N($L213)),INDEX($AJ213:$AW213,MATCH(IF(ISNUMBER($P213),$P213,'設定'!$C$6+N('設定'!$C$7)),$V$3:$AI$3,0)-1)),""))</f>
        <v/>
      </c>
      <c r="CF213">
        <f>IF(OR($C213="",$O213="",$CE213=""),"",IF($O213-$CE213&lt;=0,0,ROUNDUP(($O213-$CE213)/$G213,0)))</f>
        <v/>
      </c>
      <c r="CG213">
        <f>IF(OR($C213="",$CF213="",NOT(ISNUMBER($Q213))),0,MAX(0,$Q213-$CF213))</f>
        <v/>
      </c>
      <c r="CH213">
        <f>IF(OR($C213="",$O213="",$U213=0),0,IFERROR(ROUNDUP(MAX(0,IF(MATCH($S213,$V$3:$AI$3,0)=1,MAX(0,N($L213)),INDEX($AX213:$BK213,MATCH($S213,$V$3:$AI$3,0)-1))+$U213-$O213)/$G213,0),0))</f>
        <v/>
      </c>
      <c r="CI213">
        <f>IF($C213="","",IF(AND($P213="",$Q213=""),"",IF($P213="","⚠ 入庫日を ▼ から選んでください",IF(NOT(ISNUMBER($P213)),"⚠ 入庫日は ▼ から選んでください",IF($P213&lt;N('設定'!$C$6),"⚠ 入庫日が過去です（もう在庫に入っています）→ 消してください",IF($P213&gt;N('設定'!$C$6)+13,"⚠ 入庫日が14日より先です",IF(N($Q213)&lt;=0,"⚠ 入庫数を入れてください",IF($CG213&gt;0,"⚠ 目安より "&amp;$CG213&amp;" 多い（定数を超える）→ 減らす",""))))))))</f>
        <v/>
      </c>
      <c r="CJ213">
        <f>IF($C213="","",IF(AND($S213="",$T213=""),"",IF($S213="","⚠ 2便目：入庫日を ▼ から選んでください",IF(NOT(ISNUMBER($S213)),"⚠ 2便目：入庫日は ▼ から選んでください",IF($S213&lt;N('設定'!$C$6),"⚠ 2便目：入庫日が過去です（もう在庫に入っています）→ 消してください",IF($S213&gt;N('設定'!$C$6)+13,"⚠ 2便目：入庫日が14日より先です",IF(N($T213)&lt;=0,"⚠ 2便目：入庫数を入れてください",IF($CH213&gt;0,"⚠ 2便目：定数を "&amp;$CH213&amp;" ケース超える → 減らす",""))))))))</f>
        <v/>
      </c>
      <c r="CK213">
        <f>IF(AND($CI213="",N($Q213)&gt;0,ISNUMBER($P213)),1,0)</f>
        <v/>
      </c>
      <c r="CL213">
        <f>IF(AND($CJ213="",N($T213)&gt;0,ISNUMBER($S213)),1,0)</f>
        <v/>
      </c>
      <c r="CM213">
        <f>IF(OR($CK213=1,$CL213=1),1,0)</f>
        <v/>
      </c>
      <c r="CN213">
        <f>IF($C213="",0,($CK213*$R213+$CL213*$U213)*N($H213))</f>
        <v/>
      </c>
      <c r="CO213">
        <f>IF($C213="","",IF($CC213="","入庫後は 14日以上もつ",IF($CC213-N('設定'!$C$7)&lt;='設定'!$C$6,"入庫後も "&amp;TEXT($CC213,"m/d")&amp;"("&amp;CHOOSE(WEEKDAY($CC213),"日","月","火","水","木","金","土")&amp;")"&amp;" に切れる　もう1便を至急発注","入庫後も "&amp;TEXT($CC213,"m/d")&amp;"("&amp;CHOOSE(WEEKDAY($CC213),"日","月","火","水","木","金","土")&amp;")"&amp;" に切れる　"&amp;TEXT($CC213-N('設定'!$C$7),"m/d")&amp;"("&amp;CHOOSE(WEEKDAY($CC213-N('設定'!$C$7)),"日","月","火","水","木","金","土")&amp;")"&amp;" までに次を発注")))</f>
        <v/>
      </c>
      <c r="CP213">
        <f>IF($C213="","",IF('設定'!$C$6="","？ ①在庫を貼る に今日のCSVが貼られていない",IF($CS213=1,"－ 今日のCSVに無い（終売？）",IF($L213&lt;0,"● 在庫がマイナス　数えて「数えた在庫」に入れる",IF($L213=0,"● 在庫なし　至急発注",IF($M213="","？ 減り数が未設定（商品マスタ）",IF($B$3=0,"？ 動員が未入力（動員を入れる）",IF($CA213="","○ 14日以上もつ",IF($BZ213&lt;N('設定'!$C$7),"● "&amp;TEXT($CA213,"m/d")&amp;"("&amp;CHOOSE(WEEKDAY($CA213),"日","月","火","水","木","金","土")&amp;")"&amp;" に切れる　至急発注",IF($BZ213=N('設定'!$C$7),"● "&amp;TEXT($CA213,"m/d")&amp;"("&amp;CHOOSE(WEEKDAY($CA213),"日","月","火","水","木","金","土")&amp;")"&amp;" に切れる　今日発注","△ "&amp;TEXT($CA213,"m/d")&amp;"("&amp;CHOOSE(WEEKDAY($CA213),"日","月","火","水","木","金","土")&amp;")"&amp;" に切れる　"&amp;TEXT($CA213-N('設定'!$C$7),"m/d")&amp;"("&amp;CHOOSE(WEEKDAY($CA213-N('設定'!$C$7)),"日","月","火","水","木","金","土")&amp;")"&amp;" までに発注"))))))))))</f>
        <v/>
      </c>
      <c r="CQ213">
        <f>IF($C213="","",IF(AND($P213="",$Q213="",$S213="",$T213=""),"",IF(AND($P213="",$Q213=""),"⚠ 先に1便目（左の入庫日・入庫数）に入れてください",IF($CI213&lt;&gt;"",$CI213,IF($CJ213&lt;&gt;"",$CJ213,IF($M213="","？ 減り数が未設定（発注書には載ります）",IF($B$3=0,"？ 動員が未入力（発注書には載ります）",IF(AND($CA213&lt;&gt;"",$P213&gt;$CA213),IF($P213&gt;'設定'!$C$6+N('設定'!$C$7),"● "&amp;TEXT($P213,"m/d")&amp;"("&amp;CHOOSE(WEEKDAY($P213),"日","月","火","水","木","金","土")&amp;")"&amp;" の入庫では間に合わない（"&amp;TEXT($CA213,"m/d")&amp;"("&amp;CHOOSE(WEEKDAY($CA213),"日","月","火","水","木","金","土")&amp;")"&amp;" に切れる）　入庫日を早める","△ 欠品 "&amp;TEXT($CA213,"m/d")&amp;"("&amp;CHOOSE(WEEKDAY($CA213),"日","月","火","水","木","金","土")&amp;")"&amp;"〜"&amp;TEXT($P213-1,"m/d")&amp;"("&amp;CHOOSE(WEEKDAY($P213-1),"日","月","火","水","木","金","土")&amp;")"&amp;"　"&amp;$CO213),IF($CC213="","○ "&amp;TEXT($P213,"m/d")&amp;"("&amp;CHOOSE(WEEKDAY($P213),"日","月","火","水","木","金","土")&amp;")"&amp;" 入庫で 14日以上もつ",IF($CC213-N('設定'!$C$7)&lt;='設定'!$C$6,"● 入庫しても "&amp;TEXT($CC213,"m/d")&amp;"("&amp;CHOOSE(WEEKDAY($CC213),"日","月","火","水","木","金","土")&amp;")"&amp;" に切れる　もう1便を至急発注（2便目に入れる）","△ 入庫しても "&amp;TEXT($CC213,"m/d")&amp;"("&amp;CHOOSE(WEEKDAY($CC213),"日","月","火","水","木","金","土")&amp;")"&amp;" に切れる　"&amp;TEXT($CC213-N('設定'!$C$7),"m/d")&amp;"("&amp;CHOOSE(WEEKDAY($CC213-N('設定'!$C$7)),"日","月","火","水","木","金","土")&amp;")"&amp;" までに次を発注（2便目に入れる）"))))))))))</f>
        <v/>
      </c>
      <c r="CR213">
        <f>IF($C213="","",IF($G213&gt;1,"ｹｰｽ("&amp;$G213&amp;"入)","個"))</f>
        <v/>
      </c>
      <c r="CS213">
        <f>IF($C213="",0,IF(COUNTIFS('①在庫を貼る'!$V$6:$V$10005,'設定'!$C$4,'①在庫を貼る'!$W$6:$W$10005,$C213)=0,1,0))</f>
        <v/>
      </c>
      <c r="CT213">
        <f>IF(AND($CK213=1,OR('③発注書'!$C$4="すべて",'③発注書'!$C$4="",$F213='③発注書'!$C$4)),N($CT212)+1,N($CT212))</f>
        <v/>
      </c>
      <c r="CU213">
        <f>IF(AND($CL213=1,OR('③発注書'!$C$4="すべて",'③発注書'!$C$4="",$F213='③発注書'!$C$4)),N($CU212)+1,N($CU212))</f>
        <v/>
      </c>
      <c r="CV213">
        <f>IF($C213="",0,IF(COUNTIFS('①在庫を貼る'!$V$6:$V$10005,'設定'!$C$4,'①在庫を貼る'!$W$6:$W$10005,$C213)&gt;0,1,0))</f>
        <v/>
      </c>
      <c r="CW213">
        <f>IF($C213="",0,IF(COUNTIFS('月1回_1ヶ月前の在庫'!$V$6:$V$10005,'設定'!$C$4,'月1回_1ヶ月前の在庫'!$W$6:$W$10005,$C213)&gt;0,1,0))</f>
        <v/>
      </c>
      <c r="CX213">
        <f>IF($C213="",0,IF(COUNTIFS('月1回_2ヶ月前の在庫'!$V$6:$V$10005,'設定'!$C$4,'月1回_2ヶ月前の在庫'!$W$6:$W$10005,$C213)&gt;0,1,0))</f>
        <v/>
      </c>
      <c r="CY213">
        <f>IF(OR($C213="",'設定'!$C$12=""),"",IF('設定'!$C$13="",IF(AND($CV213=1,$CW213=0),"新商品（今月から）",IF(AND($CV213=0,$CW213=1),"終売（今月から）","")),IF(AND($CV213=1,$CW213=0,$CX213=0),"新商品（今月から）",IF(AND($CV213=1,$CW213=1,$CX213=0),"新商品（先月から）",IF(AND($CV213=0,$CW213=1,$CX213=1),"終売（今月から）",IF(AND($CV213=0,$CW213=0,$CX213=1),"終売（先月から）",IF(AND($CV213=1,$CW213=0,$CX213=1),"復活（先月は無し）","")))))))</f>
        <v/>
      </c>
    </row>
    <row r="214">
      <c r="B214">
        <f>IF(209&lt;='設定'!$C$11,209,"")</f>
        <v/>
      </c>
      <c r="C214">
        <f>IF($B214="","",IF($B214&lt;='設定'!$C$20,INDEX('商品マスタ'!$B$6:$B$1005,MATCH($B214,'商品マスタ'!$M$6:$M$1005,0)),IF($B214&lt;='設定'!$C$20+'設定'!$C$17,INDEX('①在庫を貼る'!$W$6:$W$10005,MATCH($B214-'設定'!$C$20,'①在庫を貼る'!$U$6:$U$10005,0)),IF($B214&lt;='設定'!$C$20+'設定'!$C$17+'設定'!$C$18,INDEX('月1回_1ヶ月前の在庫'!$W$6:$W$10005,MATCH($B214-'設定'!$C$20-'設定'!$C$17,'月1回_1ヶ月前の在庫'!$U$6:$U$10005,0)),INDEX('月1回_2ヶ月前の在庫'!$W$6:$W$10005,MATCH($B214-'設定'!$C$20-'設定'!$C$17-'設定'!$C$18,'月1回_2ヶ月前の在庫'!$U$6:$U$10005,0))))))</f>
        <v/>
      </c>
      <c r="D214">
        <f>IF($C214="","",IFERROR(IF(INDEX('商品マスタ'!$C$6:$C$1005,MATCH($C214,'商品マスタ'!$B$6:$B$1005,0))="",IFERROR(INDEX('①在庫を貼る'!$J$6:$J$10005,MATCH($C214,'①在庫を貼る'!$W$6:$W$10005,0)),IFERROR(INDEX('月1回_1ヶ月前の在庫'!$J$6:$J$10005,MATCH($C214,'月1回_1ヶ月前の在庫'!$W$6:$W$10005,0)),IFERROR(INDEX('月1回_2ヶ月前の在庫'!$J$6:$J$10005,MATCH($C214,'月1回_2ヶ月前の在庫'!$W$6:$W$10005,0)),""))),INDEX('商品マスタ'!$C$6:$C$1005,MATCH($C214,'商品マスタ'!$B$6:$B$1005,0))),IFERROR(INDEX('①在庫を貼る'!$J$6:$J$10005,MATCH($C214,'①在庫を貼る'!$W$6:$W$10005,0)),IFERROR(INDEX('月1回_1ヶ月前の在庫'!$J$6:$J$10005,MATCH($C214,'月1回_1ヶ月前の在庫'!$W$6:$W$10005,0)),IFERROR(INDEX('月1回_2ヶ月前の在庫'!$J$6:$J$10005,MATCH($C214,'月1回_2ヶ月前の在庫'!$W$6:$W$10005,0)),"")))))</f>
        <v/>
      </c>
      <c r="E214">
        <f>IF($C214="","",IFERROR(IF(INDEX('商品マスタ'!$D$6:$D$1005,MATCH($C214,'商品マスタ'!$B$6:$B$1005,0))="",IFERROR(INDEX('①在庫を貼る'!$H$6:$H$10005,MATCH($C214,'①在庫を貼る'!$W$6:$W$10005,0)),IFERROR(INDEX('月1回_1ヶ月前の在庫'!$H$6:$H$10005,MATCH($C214,'月1回_1ヶ月前の在庫'!$W$6:$W$10005,0)),IFERROR(INDEX('月1回_2ヶ月前の在庫'!$H$6:$H$10005,MATCH($C214,'月1回_2ヶ月前の在庫'!$W$6:$W$10005,0)),""))),INDEX('商品マスタ'!$D$6:$D$1005,MATCH($C214,'商品マスタ'!$B$6:$B$1005,0))),IFERROR(INDEX('①在庫を貼る'!$H$6:$H$10005,MATCH($C214,'①在庫を貼る'!$W$6:$W$10005,0)),IFERROR(INDEX('月1回_1ヶ月前の在庫'!$H$6:$H$10005,MATCH($C214,'月1回_1ヶ月前の在庫'!$W$6:$W$10005,0)),IFERROR(INDEX('月1回_2ヶ月前の在庫'!$H$6:$H$10005,MATCH($C214,'月1回_2ヶ月前の在庫'!$W$6:$W$10005,0)),"")))))</f>
        <v/>
      </c>
      <c r="F214">
        <f>IF($C214="","",IFERROR(IF(INDEX('商品マスタ'!$E$6:$E$1005,MATCH($C214,'商品マスタ'!$B$6:$B$1005,0))="",IFERROR(INDEX('①在庫を貼る'!$E$6:$E$10005,MATCH($C214,'①在庫を貼る'!$W$6:$W$10005,0)),IFERROR(INDEX('月1回_1ヶ月前の在庫'!$E$6:$E$10005,MATCH($C214,'月1回_1ヶ月前の在庫'!$W$6:$W$10005,0)),IFERROR(INDEX('月1回_2ヶ月前の在庫'!$E$6:$E$10005,MATCH($C214,'月1回_2ヶ月前の在庫'!$W$6:$W$10005,0)),""))),INDEX('商品マスタ'!$E$6:$E$1005,MATCH($C214,'商品マスタ'!$B$6:$B$1005,0))),IFERROR(INDEX('①在庫を貼る'!$E$6:$E$10005,MATCH($C214,'①在庫を貼る'!$W$6:$W$10005,0)),IFERROR(INDEX('月1回_1ヶ月前の在庫'!$E$6:$E$10005,MATCH($C214,'月1回_1ヶ月前の在庫'!$W$6:$W$10005,0)),IFERROR(INDEX('月1回_2ヶ月前の在庫'!$E$6:$E$10005,MATCH($C214,'月1回_2ヶ月前の在庫'!$W$6:$W$10005,0)),"")))))</f>
        <v/>
      </c>
      <c r="G214">
        <f>IF($C214="","",MAX(1,N(IFERROR(IF(INDEX('商品マスタ'!$F$6:$F$1005,MATCH($C214,'商品マスタ'!$B$6:$B$1005,0))="",IF(COUNTIFS('①在庫を貼る'!$V$6:$V$10005,'設定'!$C$4,'①在庫を貼る'!$W$6:$W$10005,$C214)&gt;0,SUMIFS('①在庫を貼る'!$K$6:$K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K$6:$K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K$6:$K$10005,'月1回_2ヶ月前の在庫'!$V$6:$V$10005,'設定'!$C$4,'月1回_2ヶ月前の在庫'!$W$6:$W$10005,$C214)/COUNTIFS('月1回_2ヶ月前の在庫'!$V$6:$V$10005,'設定'!$C$4,'月1回_2ヶ月前の在庫'!$W$6:$W$10005,$C214),0))),INDEX('商品マスタ'!$F$6:$F$1005,MATCH($C214,'商品マスタ'!$B$6:$B$1005,0))),IF(COUNTIFS('①在庫を貼る'!$V$6:$V$10005,'設定'!$C$4,'①在庫を貼る'!$W$6:$W$10005,$C214)&gt;0,SUMIFS('①在庫を貼る'!$K$6:$K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K$6:$K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K$6:$K$10005,'月1回_2ヶ月前の在庫'!$V$6:$V$10005,'設定'!$C$4,'月1回_2ヶ月前の在庫'!$W$6:$W$10005,$C214)/COUNTIFS('月1回_2ヶ月前の在庫'!$V$6:$V$10005,'設定'!$C$4,'月1回_2ヶ月前の在庫'!$W$6:$W$10005,$C214),0)))))))</f>
        <v/>
      </c>
      <c r="H214">
        <f>IF($C214="","",N(IFERROR(IF(INDEX('商品マスタ'!$G$6:$G$1005,MATCH($C214,'商品マスタ'!$B$6:$B$1005,0))="",IF(COUNTIFS('①在庫を貼る'!$V$6:$V$10005,'設定'!$C$4,'①在庫を貼る'!$W$6:$W$10005,$C214)&gt;0,SUMIFS('①在庫を貼る'!$Q$6:$Q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Q$6:$Q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Q$6:$Q$10005,'月1回_2ヶ月前の在庫'!$V$6:$V$10005,'設定'!$C$4,'月1回_2ヶ月前の在庫'!$W$6:$W$10005,$C214)/COUNTIFS('月1回_2ヶ月前の在庫'!$V$6:$V$10005,'設定'!$C$4,'月1回_2ヶ月前の在庫'!$W$6:$W$10005,$C214),0))),INDEX('商品マスタ'!$G$6:$G$1005,MATCH($C214,'商品マスタ'!$B$6:$B$1005,0))),IF(COUNTIFS('①在庫を貼る'!$V$6:$V$10005,'設定'!$C$4,'①在庫を貼る'!$W$6:$W$10005,$C214)&gt;0,SUMIFS('①在庫を貼る'!$Q$6:$Q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Q$6:$Q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Q$6:$Q$10005,'月1回_2ヶ月前の在庫'!$V$6:$V$10005,'設定'!$C$4,'月1回_2ヶ月前の在庫'!$W$6:$W$10005,$C214)/COUNTIFS('月1回_2ヶ月前の在庫'!$V$6:$V$10005,'設定'!$C$4,'月1回_2ヶ月前の在庫'!$W$6:$W$10005,$C214),0))))))</f>
        <v/>
      </c>
      <c r="I214">
        <f>IF($C214="","",IF(COUNTIFS('①在庫を貼る'!$V$6:$V$10005,'設定'!$C$4,'①在庫を貼る'!$W$6:$W$10005,$C214)=0,"",SUMIFS('①在庫を貼る'!$N$6:$N$10005,'①在庫を貼る'!$V$6:$V$10005,'設定'!$C$4,'①在庫を貼る'!$W$6:$W$10005,$C214)))</f>
        <v/>
      </c>
      <c r="J214">
        <f>IF($C214="","",IF('②発注する'!$AD218="","",'②発注する'!$AD218))</f>
        <v/>
      </c>
      <c r="K214" s="90">
        <f>IF($C214="","",IF('②発注する'!$AE218="","",'②発注する'!$AE218))</f>
        <v/>
      </c>
      <c r="L214">
        <f>IF($C214="","",IF(AND(ISNUMBER($J214),ISNUMBER($K214),$K214&gt;='設定'!$C$6),$J214,N($I214)))</f>
        <v/>
      </c>
      <c r="M214">
        <f>IF($C214="","",IFERROR(IF(N(INDEX('商品マスタ'!$J$6:$J$1005,MATCH($C214,'商品マスタ'!$B$6:$B$1005,0)))&gt;0,INDEX('商品マスタ'!$J$6:$J$1005,MATCH($C214,'商品マスタ'!$B$6:$B$1005,0)),""),""))</f>
        <v/>
      </c>
      <c r="N214">
        <f>IF($C214="","",IFERROR(IF(N(INDEX('商品マスタ'!$H$6:$H$1005,MATCH($C214,'商品マスタ'!$B$6:$B$1005,0)))&gt;0,INDEX('商品マスタ'!$H$6:$H$1005,MATCH($C214,'商品マスタ'!$B$6:$B$1005,0)),""),""))</f>
        <v/>
      </c>
      <c r="O214">
        <f>IF($C214="","",IF($N214&lt;&gt;"",$N214*$G214,IF(N(IF(COUNTIFS('①在庫を貼る'!$V$6:$V$10005,'設定'!$C$4,'①在庫を貼る'!$W$6:$W$10005,$C214)&gt;0,SUMIFS('①在庫を貼る'!$O$6:$O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O$6:$O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O$6:$O$10005,'月1回_2ヶ月前の在庫'!$V$6:$V$10005,'設定'!$C$4,'月1回_2ヶ月前の在庫'!$W$6:$W$10005,$C214)/COUNTIFS('月1回_2ヶ月前の在庫'!$V$6:$V$10005,'設定'!$C$4,'月1回_2ヶ月前の在庫'!$W$6:$W$10005,$C214),0))))&gt;0,N(IF(COUNTIFS('①在庫を貼る'!$V$6:$V$10005,'設定'!$C$4,'①在庫を貼る'!$W$6:$W$10005,$C214)&gt;0,SUMIFS('①在庫を貼る'!$O$6:$O$10005,'①在庫を貼る'!$V$6:$V$10005,'設定'!$C$4,'①在庫を貼る'!$W$6:$W$10005,$C214)/COUNTIFS('①在庫を貼る'!$V$6:$V$10005,'設定'!$C$4,'①在庫を貼る'!$W$6:$W$10005,$C214),IF(COUNTIFS('月1回_1ヶ月前の在庫'!$V$6:$V$10005,'設定'!$C$4,'月1回_1ヶ月前の在庫'!$W$6:$W$10005,$C214)&gt;0,SUMIFS('月1回_1ヶ月前の在庫'!$O$6:$O$10005,'月1回_1ヶ月前の在庫'!$V$6:$V$10005,'設定'!$C$4,'月1回_1ヶ月前の在庫'!$W$6:$W$10005,$C214)/COUNTIFS('月1回_1ヶ月前の在庫'!$V$6:$V$10005,'設定'!$C$4,'月1回_1ヶ月前の在庫'!$W$6:$W$10005,$C214),IF(COUNTIFS('月1回_2ヶ月前の在庫'!$V$6:$V$10005,'設定'!$C$4,'月1回_2ヶ月前の在庫'!$W$6:$W$10005,$C214)&gt;0,SUMIFS('月1回_2ヶ月前の在庫'!$O$6:$O$10005,'月1回_2ヶ月前の在庫'!$V$6:$V$10005,'設定'!$C$4,'月1回_2ヶ月前の在庫'!$W$6:$W$10005,$C214)/COUNTIFS('月1回_2ヶ月前の在庫'!$V$6:$V$10005,'設定'!$C$4,'月1回_2ヶ月前の在庫'!$W$6:$W$10005,$C214),0)))),"")))</f>
        <v/>
      </c>
      <c r="P214" s="90">
        <f>IF($C214="","",IF('②発注する'!$I218="","",'②発注する'!$I218))</f>
        <v/>
      </c>
      <c r="Q214">
        <f>IF($C214="","",IF('②発注する'!$J218="","",'②発注する'!$J218))</f>
        <v/>
      </c>
      <c r="R214">
        <f>IF($C214="",0,IF(AND(ISNUMBER($P214),ISNUMBER($Q214)),MAX(0,$Q214)*$G214,0))</f>
        <v/>
      </c>
      <c r="S214" s="90">
        <f>IF($C214="","",IF('②発注する'!$M218="","",'②発注する'!$M218))</f>
        <v/>
      </c>
      <c r="T214">
        <f>IF($C214="","",IF('②発注する'!$N218="","",'②発注する'!$N218))</f>
        <v/>
      </c>
      <c r="U214">
        <f>IF($C214="",0,IF(AND(ISNUMBER($S214),ISNUMBER($T214)),MAX(0,$T214)*$G214,0))</f>
        <v/>
      </c>
      <c r="V214">
        <f>IF($C214="",0,IF($M214="",0,MAX(0,$M214)*MAX(0,V$4)/100))</f>
        <v/>
      </c>
      <c r="W214">
        <f>IF($C214="",0,IF($M214="",0,MAX(0,$M214)*MAX(0,W$4)/100))</f>
        <v/>
      </c>
      <c r="X214">
        <f>IF($C214="",0,IF($M214="",0,MAX(0,$M214)*MAX(0,X$4)/100))</f>
        <v/>
      </c>
      <c r="Y214">
        <f>IF($C214="",0,IF($M214="",0,MAX(0,$M214)*MAX(0,Y$4)/100))</f>
        <v/>
      </c>
      <c r="Z214">
        <f>IF($C214="",0,IF($M214="",0,MAX(0,$M214)*MAX(0,Z$4)/100))</f>
        <v/>
      </c>
      <c r="AA214">
        <f>IF($C214="",0,IF($M214="",0,MAX(0,$M214)*MAX(0,AA$4)/100))</f>
        <v/>
      </c>
      <c r="AB214">
        <f>IF($C214="",0,IF($M214="",0,MAX(0,$M214)*MAX(0,AB$4)/100))</f>
        <v/>
      </c>
      <c r="AC214">
        <f>IF($C214="",0,IF($M214="",0,MAX(0,$M214)*MAX(0,AC$4)/100))</f>
        <v/>
      </c>
      <c r="AD214">
        <f>IF($C214="",0,IF($M214="",0,MAX(0,$M214)*MAX(0,AD$4)/100))</f>
        <v/>
      </c>
      <c r="AE214">
        <f>IF($C214="",0,IF($M214="",0,MAX(0,$M214)*MAX(0,AE$4)/100))</f>
        <v/>
      </c>
      <c r="AF214">
        <f>IF($C214="",0,IF($M214="",0,MAX(0,$M214)*MAX(0,AF$4)/100))</f>
        <v/>
      </c>
      <c r="AG214">
        <f>IF($C214="",0,IF($M214="",0,MAX(0,$M214)*MAX(0,AG$4)/100))</f>
        <v/>
      </c>
      <c r="AH214">
        <f>IF($C214="",0,IF($M214="",0,MAX(0,$M214)*MAX(0,AH$4)/100))</f>
        <v/>
      </c>
      <c r="AI214">
        <f>IF($C214="",0,IF($M214="",0,MAX(0,$M214)*MAX(0,AI$4)/100))</f>
        <v/>
      </c>
      <c r="AJ214">
        <f>IF($C214="",0,MAX(0,MAX(0,N($L214))-$V214))</f>
        <v/>
      </c>
      <c r="AK214">
        <f>IF($C214="",0,MAX(0,$AJ214-$W214))</f>
        <v/>
      </c>
      <c r="AL214">
        <f>IF($C214="",0,MAX(0,$AK214-$X214))</f>
        <v/>
      </c>
      <c r="AM214">
        <f>IF($C214="",0,MAX(0,$AL214-$Y214))</f>
        <v/>
      </c>
      <c r="AN214">
        <f>IF($C214="",0,MAX(0,$AM214-$Z214))</f>
        <v/>
      </c>
      <c r="AO214">
        <f>IF($C214="",0,MAX(0,$AN214-$AA214))</f>
        <v/>
      </c>
      <c r="AP214">
        <f>IF($C214="",0,MAX(0,$AO214-$AB214))</f>
        <v/>
      </c>
      <c r="AQ214">
        <f>IF($C214="",0,MAX(0,$AP214-$AC214))</f>
        <v/>
      </c>
      <c r="AR214">
        <f>IF($C214="",0,MAX(0,$AQ214-$AD214))</f>
        <v/>
      </c>
      <c r="AS214">
        <f>IF($C214="",0,MAX(0,$AR214-$AE214))</f>
        <v/>
      </c>
      <c r="AT214">
        <f>IF($C214="",0,MAX(0,$AS214-$AF214))</f>
        <v/>
      </c>
      <c r="AU214">
        <f>IF($C214="",0,MAX(0,$AT214-$AG214))</f>
        <v/>
      </c>
      <c r="AV214">
        <f>IF($C214="",0,MAX(0,$AU214-$AH214))</f>
        <v/>
      </c>
      <c r="AW214">
        <f>IF($C214="",0,MAX(0,$AV214-$AI214))</f>
        <v/>
      </c>
      <c r="AX214">
        <f>IF($C214="",0,MAX(0,MAX(0,N($L214))+IF($P214=V$3,$R214,0)+IF($S214=V$3,$U214,0)-$V214))</f>
        <v/>
      </c>
      <c r="AY214">
        <f>IF($C214="",0,MAX(0,$AX214+IF($P214=W$3,$R214,0)+IF($S214=W$3,$U214,0)-$W214))</f>
        <v/>
      </c>
      <c r="AZ214">
        <f>IF($C214="",0,MAX(0,$AY214+IF($P214=X$3,$R214,0)+IF($S214=X$3,$U214,0)-$X214))</f>
        <v/>
      </c>
      <c r="BA214">
        <f>IF($C214="",0,MAX(0,$AZ214+IF($P214=Y$3,$R214,0)+IF($S214=Y$3,$U214,0)-$Y214))</f>
        <v/>
      </c>
      <c r="BB214">
        <f>IF($C214="",0,MAX(0,$BA214+IF($P214=Z$3,$R214,0)+IF($S214=Z$3,$U214,0)-$Z214))</f>
        <v/>
      </c>
      <c r="BC214">
        <f>IF($C214="",0,MAX(0,$BB214+IF($P214=AA$3,$R214,0)+IF($S214=AA$3,$U214,0)-$AA214))</f>
        <v/>
      </c>
      <c r="BD214">
        <f>IF($C214="",0,MAX(0,$BC214+IF($P214=AB$3,$R214,0)+IF($S214=AB$3,$U214,0)-$AB214))</f>
        <v/>
      </c>
      <c r="BE214">
        <f>IF($C214="",0,MAX(0,$BD214+IF($P214=AC$3,$R214,0)+IF($S214=AC$3,$U214,0)-$AC214))</f>
        <v/>
      </c>
      <c r="BF214">
        <f>IF($C214="",0,MAX(0,$BE214+IF($P214=AD$3,$R214,0)+IF($S214=AD$3,$U214,0)-$AD214))</f>
        <v/>
      </c>
      <c r="BG214">
        <f>IF($C214="",0,MAX(0,$BF214+IF($P214=AE$3,$R214,0)+IF($S214=AE$3,$U214,0)-$AE214))</f>
        <v/>
      </c>
      <c r="BH214">
        <f>IF($C214="",0,MAX(0,$BG214+IF($P214=AF$3,$R214,0)+IF($S214=AF$3,$U214,0)-$AF214))</f>
        <v/>
      </c>
      <c r="BI214">
        <f>IF($C214="",0,MAX(0,$BH214+IF($P214=AG$3,$R214,0)+IF($S214=AG$3,$U214,0)-$AG214))</f>
        <v/>
      </c>
      <c r="BJ214">
        <f>IF($C214="",0,MAX(0,$BI214+IF($P214=AH$3,$R214,0)+IF($S214=AH$3,$U214,0)-$AH214))</f>
        <v/>
      </c>
      <c r="BK214">
        <f>IF($C214="",0,MAX(0,$BJ214+IF($P214=AI$3,$R214,0)+IF($S214=AI$3,$U214,0)-$AI214))</f>
        <v/>
      </c>
      <c r="BL214">
        <f>IF($C214="",99,IF(AND($AX214&lt;1,V$3&gt;=MAX(N($P214),N($S214))),0,99))</f>
        <v/>
      </c>
      <c r="BM214">
        <f>IF($C214="",99,IF(AND($AY214&lt;1,W$3&gt;=MAX(N($P214),N($S214))),1,99))</f>
        <v/>
      </c>
      <c r="BN214">
        <f>IF($C214="",99,IF(AND($AZ214&lt;1,X$3&gt;=MAX(N($P214),N($S214))),2,99))</f>
        <v/>
      </c>
      <c r="BO214">
        <f>IF($C214="",99,IF(AND($BA214&lt;1,Y$3&gt;=MAX(N($P214),N($S214))),3,99))</f>
        <v/>
      </c>
      <c r="BP214">
        <f>IF($C214="",99,IF(AND($BB214&lt;1,Z$3&gt;=MAX(N($P214),N($S214))),4,99))</f>
        <v/>
      </c>
      <c r="BQ214">
        <f>IF($C214="",99,IF(AND($BC214&lt;1,AA$3&gt;=MAX(N($P214),N($S214))),5,99))</f>
        <v/>
      </c>
      <c r="BR214">
        <f>IF($C214="",99,IF(AND($BD214&lt;1,AB$3&gt;=MAX(N($P214),N($S214))),6,99))</f>
        <v/>
      </c>
      <c r="BS214">
        <f>IF($C214="",99,IF(AND($BE214&lt;1,AC$3&gt;=MAX(N($P214),N($S214))),7,99))</f>
        <v/>
      </c>
      <c r="BT214">
        <f>IF($C214="",99,IF(AND($BF214&lt;1,AD$3&gt;=MAX(N($P214),N($S214))),8,99))</f>
        <v/>
      </c>
      <c r="BU214">
        <f>IF($C214="",99,IF(AND($BG214&lt;1,AE$3&gt;=MAX(N($P214),N($S214))),9,99))</f>
        <v/>
      </c>
      <c r="BV214">
        <f>IF($C214="",99,IF(AND($BH214&lt;1,AF$3&gt;=MAX(N($P214),N($S214))),10,99))</f>
        <v/>
      </c>
      <c r="BW214">
        <f>IF($C214="",99,IF(AND($BI214&lt;1,AG$3&gt;=MAX(N($P214),N($S214))),11,99))</f>
        <v/>
      </c>
      <c r="BX214">
        <f>IF($C214="",99,IF(AND($BJ214&lt;1,AH$3&gt;=MAX(N($P214),N($S214))),12,99))</f>
        <v/>
      </c>
      <c r="BY214">
        <f>IF($C214="",99,IF(AND($BK214&lt;1,AI$3&gt;=MAX(N($P214),N($S214))),13,99))</f>
        <v/>
      </c>
      <c r="BZ214">
        <f>IF(OR($C214="",$M214=""),"",COUNTIF($AJ214:$AW214,"&gt;=1"))</f>
        <v/>
      </c>
      <c r="CA214" s="90">
        <f>IF($BZ214="","",IF($BZ214&gt;=14,"",'設定'!$C$6+$BZ214))</f>
        <v/>
      </c>
      <c r="CB214">
        <f>IF(OR($C214="",$M214=""),"",MIN($BL214:$BY214))</f>
        <v/>
      </c>
      <c r="CC214" s="90">
        <f>IF($CB214="","",IF($CB214&gt;=99,"",'設定'!$C$6+$CB214))</f>
        <v/>
      </c>
      <c r="CD214">
        <f>IF(OR($C214="",$M214=""),"",AVERAGE($V214:$AI214))</f>
        <v/>
      </c>
      <c r="CE214">
        <f>IF($C214="","",IFERROR(IF(MATCH(IF(ISNUMBER($P214),$P214,'設定'!$C$6+N('設定'!$C$7)),$V$3:$AI$3,0)=1,MAX(0,N($L214)),INDEX($AJ214:$AW214,MATCH(IF(ISNUMBER($P214),$P214,'設定'!$C$6+N('設定'!$C$7)),$V$3:$AI$3,0)-1)),""))</f>
        <v/>
      </c>
      <c r="CF214">
        <f>IF(OR($C214="",$O214="",$CE214=""),"",IF($O214-$CE214&lt;=0,0,ROUNDUP(($O214-$CE214)/$G214,0)))</f>
        <v/>
      </c>
      <c r="CG214">
        <f>IF(OR($C214="",$CF214="",NOT(ISNUMBER($Q214))),0,MAX(0,$Q214-$CF214))</f>
        <v/>
      </c>
      <c r="CH214">
        <f>IF(OR($C214="",$O214="",$U214=0),0,IFERROR(ROUNDUP(MAX(0,IF(MATCH($S214,$V$3:$AI$3,0)=1,MAX(0,N($L214)),INDEX($AX214:$BK214,MATCH($S214,$V$3:$AI$3,0)-1))+$U214-$O214)/$G214,0),0))</f>
        <v/>
      </c>
      <c r="CI214">
        <f>IF($C214="","",IF(AND($P214="",$Q214=""),"",IF($P214="","⚠ 入庫日を ▼ から選んでください",IF(NOT(ISNUMBER($P214)),"⚠ 入庫日は ▼ から選んでください",IF($P214&lt;N('設定'!$C$6),"⚠ 入庫日が過去です（もう在庫に入っています）→ 消してください",IF($P214&gt;N('設定'!$C$6)+13,"⚠ 入庫日が14日より先です",IF(N($Q214)&lt;=0,"⚠ 入庫数を入れてください",IF($CG214&gt;0,"⚠ 目安より "&amp;$CG214&amp;" 多い（定数を超える）→ 減らす",""))))))))</f>
        <v/>
      </c>
      <c r="CJ214">
        <f>IF($C214="","",IF(AND($S214="",$T214=""),"",IF($S214="","⚠ 2便目：入庫日を ▼ から選んでください",IF(NOT(ISNUMBER($S214)),"⚠ 2便目：入庫日は ▼ から選んでください",IF($S214&lt;N('設定'!$C$6),"⚠ 2便目：入庫日が過去です（もう在庫に入っています）→ 消してください",IF($S214&gt;N('設定'!$C$6)+13,"⚠ 2便目：入庫日が14日より先です",IF(N($T214)&lt;=0,"⚠ 2便目：入庫数を入れてください",IF($CH214&gt;0,"⚠ 2便目：定数を "&amp;$CH214&amp;" ケース超える → 減らす",""))))))))</f>
        <v/>
      </c>
      <c r="CK214">
        <f>IF(AND($CI214="",N($Q214)&gt;0,ISNUMBER($P214)),1,0)</f>
        <v/>
      </c>
      <c r="CL214">
        <f>IF(AND($CJ214="",N($T214)&gt;0,ISNUMBER($S214)),1,0)</f>
        <v/>
      </c>
      <c r="CM214">
        <f>IF(OR($CK214=1,$CL214=1),1,0)</f>
        <v/>
      </c>
      <c r="CN214">
        <f>IF($C214="",0,($CK214*$R214+$CL214*$U214)*N($H214))</f>
        <v/>
      </c>
      <c r="CO214">
        <f>IF($C214="","",IF($CC214="","入庫後は 14日以上もつ",IF($CC214-N('設定'!$C$7)&lt;='設定'!$C$6,"入庫後も "&amp;TEXT($CC214,"m/d")&amp;"("&amp;CHOOSE(WEEKDAY($CC214),"日","月","火","水","木","金","土")&amp;")"&amp;" に切れる　もう1便を至急発注","入庫後も "&amp;TEXT($CC214,"m/d")&amp;"("&amp;CHOOSE(WEEKDAY($CC214),"日","月","火","水","木","金","土")&amp;")"&amp;" に切れる　"&amp;TEXT($CC214-N('設定'!$C$7),"m/d")&amp;"("&amp;CHOOSE(WEEKDAY($CC214-N('設定'!$C$7)),"日","月","火","水","木","金","土")&amp;")"&amp;" までに次を発注")))</f>
        <v/>
      </c>
      <c r="CP214">
        <f>IF($C214="","",IF('設定'!$C$6="","？ ①在庫を貼る に今日のCSVが貼られていない",IF($CS214=1,"－ 今日のCSVに無い（終売？）",IF($L214&lt;0,"● 在庫がマイナス　数えて「数えた在庫」に入れる",IF($L214=0,"● 在庫なし　至急発注",IF($M214="","？ 減り数が未設定（商品マスタ）",IF($B$3=0,"？ 動員が未入力（動員を入れる）",IF($CA214="","○ 14日以上もつ",IF($BZ214&lt;N('設定'!$C$7),"● "&amp;TEXT($CA214,"m/d")&amp;"("&amp;CHOOSE(WEEKDAY($CA214),"日","月","火","水","木","金","土")&amp;")"&amp;" に切れる　至急発注",IF($BZ214=N('設定'!$C$7),"● "&amp;TEXT($CA214,"m/d")&amp;"("&amp;CHOOSE(WEEKDAY($CA214),"日","月","火","水","木","金","土")&amp;")"&amp;" に切れる　今日発注","△ "&amp;TEXT($CA214,"m/d")&amp;"("&amp;CHOOSE(WEEKDAY($CA214),"日","月","火","水","木","金","土")&amp;")"&amp;" に切れる　"&amp;TEXT($CA214-N('設定'!$C$7),"m/d")&amp;"("&amp;CHOOSE(WEEKDAY($CA214-N('設定'!$C$7)),"日","月","火","水","木","金","土")&amp;")"&amp;" までに発注"))))))))))</f>
        <v/>
      </c>
      <c r="CQ214">
        <f>IF($C214="","",IF(AND($P214="",$Q214="",$S214="",$T214=""),"",IF(AND($P214="",$Q214=""),"⚠ 先に1便目（左の入庫日・入庫数）に入れてください",IF($CI214&lt;&gt;"",$CI214,IF($CJ214&lt;&gt;"",$CJ214,IF($M214="","？ 減り数が未設定（発注書には載ります）",IF($B$3=0,"？ 動員が未入力（発注書には載ります）",IF(AND($CA214&lt;&gt;"",$P214&gt;$CA214),IF($P214&gt;'設定'!$C$6+N('設定'!$C$7),"● "&amp;TEXT($P214,"m/d")&amp;"("&amp;CHOOSE(WEEKDAY($P214),"日","月","火","水","木","金","土")&amp;")"&amp;" の入庫では間に合わない（"&amp;TEXT($CA214,"m/d")&amp;"("&amp;CHOOSE(WEEKDAY($CA214),"日","月","火","水","木","金","土")&amp;")"&amp;" に切れる）　入庫日を早める","△ 欠品 "&amp;TEXT($CA214,"m/d")&amp;"("&amp;CHOOSE(WEEKDAY($CA214),"日","月","火","水","木","金","土")&amp;")"&amp;"〜"&amp;TEXT($P214-1,"m/d")&amp;"("&amp;CHOOSE(WEEKDAY($P214-1),"日","月","火","水","木","金","土")&amp;")"&amp;"　"&amp;$CO214),IF($CC214="","○ "&amp;TEXT($P214,"m/d")&amp;"("&amp;CHOOSE(WEEKDAY($P214),"日","月","火","水","木","金","土")&amp;")"&amp;" 入庫で 14日以上もつ",IF($CC214-N('設定'!$C$7)&lt;='設定'!$C$6,"● 入庫しても "&amp;TEXT($CC214,"m/d")&amp;"("&amp;CHOOSE(WEEKDAY($CC214),"日","月","火","水","木","金","土")&amp;")"&amp;" に切れる　もう1便を至急発注（2便目に入れる）","△ 入庫しても "&amp;TEXT($CC214,"m/d")&amp;"("&amp;CHOOSE(WEEKDAY($CC214),"日","月","火","水","木","金","土")&amp;")"&amp;" に切れる　"&amp;TEXT($CC214-N('設定'!$C$7),"m/d")&amp;"("&amp;CHOOSE(WEEKDAY($CC214-N('設定'!$C$7)),"日","月","火","水","木","金","土")&amp;")"&amp;" までに次を発注（2便目に入れる）"))))))))))</f>
        <v/>
      </c>
      <c r="CR214">
        <f>IF($C214="","",IF($G214&gt;1,"ｹｰｽ("&amp;$G214&amp;"入)","個"))</f>
        <v/>
      </c>
      <c r="CS214">
        <f>IF($C214="",0,IF(COUNTIFS('①在庫を貼る'!$V$6:$V$10005,'設定'!$C$4,'①在庫を貼る'!$W$6:$W$10005,$C214)=0,1,0))</f>
        <v/>
      </c>
      <c r="CT214">
        <f>IF(AND($CK214=1,OR('③発注書'!$C$4="すべて",'③発注書'!$C$4="",$F214='③発注書'!$C$4)),N($CT213)+1,N($CT213))</f>
        <v/>
      </c>
      <c r="CU214">
        <f>IF(AND($CL214=1,OR('③発注書'!$C$4="すべて",'③発注書'!$C$4="",$F214='③発注書'!$C$4)),N($CU213)+1,N($CU213))</f>
        <v/>
      </c>
      <c r="CV214">
        <f>IF($C214="",0,IF(COUNTIFS('①在庫を貼る'!$V$6:$V$10005,'設定'!$C$4,'①在庫を貼る'!$W$6:$W$10005,$C214)&gt;0,1,0))</f>
        <v/>
      </c>
      <c r="CW214">
        <f>IF($C214="",0,IF(COUNTIFS('月1回_1ヶ月前の在庫'!$V$6:$V$10005,'設定'!$C$4,'月1回_1ヶ月前の在庫'!$W$6:$W$10005,$C214)&gt;0,1,0))</f>
        <v/>
      </c>
      <c r="CX214">
        <f>IF($C214="",0,IF(COUNTIFS('月1回_2ヶ月前の在庫'!$V$6:$V$10005,'設定'!$C$4,'月1回_2ヶ月前の在庫'!$W$6:$W$10005,$C214)&gt;0,1,0))</f>
        <v/>
      </c>
      <c r="CY214">
        <f>IF(OR($C214="",'設定'!$C$12=""),"",IF('設定'!$C$13="",IF(AND($CV214=1,$CW214=0),"新商品（今月から）",IF(AND($CV214=0,$CW214=1),"終売（今月から）","")),IF(AND($CV214=1,$CW214=0,$CX214=0),"新商品（今月から）",IF(AND($CV214=1,$CW214=1,$CX214=0),"新商品（先月から）",IF(AND($CV214=0,$CW214=1,$CX214=1),"終売（今月から）",IF(AND($CV214=0,$CW214=0,$CX214=1),"終売（先月から）",IF(AND($CV214=1,$CW214=0,$CX214=1),"復活（先月は無し）","")))))))</f>
        <v/>
      </c>
    </row>
    <row r="215">
      <c r="B215">
        <f>IF(210&lt;='設定'!$C$11,210,"")</f>
        <v/>
      </c>
      <c r="C215">
        <f>IF($B215="","",IF($B215&lt;='設定'!$C$20,INDEX('商品マスタ'!$B$6:$B$1005,MATCH($B215,'商品マスタ'!$M$6:$M$1005,0)),IF($B215&lt;='設定'!$C$20+'設定'!$C$17,INDEX('①在庫を貼る'!$W$6:$W$10005,MATCH($B215-'設定'!$C$20,'①在庫を貼る'!$U$6:$U$10005,0)),IF($B215&lt;='設定'!$C$20+'設定'!$C$17+'設定'!$C$18,INDEX('月1回_1ヶ月前の在庫'!$W$6:$W$10005,MATCH($B215-'設定'!$C$20-'設定'!$C$17,'月1回_1ヶ月前の在庫'!$U$6:$U$10005,0)),INDEX('月1回_2ヶ月前の在庫'!$W$6:$W$10005,MATCH($B215-'設定'!$C$20-'設定'!$C$17-'設定'!$C$18,'月1回_2ヶ月前の在庫'!$U$6:$U$10005,0))))))</f>
        <v/>
      </c>
      <c r="D215">
        <f>IF($C215="","",IFERROR(IF(INDEX('商品マスタ'!$C$6:$C$1005,MATCH($C215,'商品マスタ'!$B$6:$B$1005,0))="",IFERROR(INDEX('①在庫を貼る'!$J$6:$J$10005,MATCH($C215,'①在庫を貼る'!$W$6:$W$10005,0)),IFERROR(INDEX('月1回_1ヶ月前の在庫'!$J$6:$J$10005,MATCH($C215,'月1回_1ヶ月前の在庫'!$W$6:$W$10005,0)),IFERROR(INDEX('月1回_2ヶ月前の在庫'!$J$6:$J$10005,MATCH($C215,'月1回_2ヶ月前の在庫'!$W$6:$W$10005,0)),""))),INDEX('商品マスタ'!$C$6:$C$1005,MATCH($C215,'商品マスタ'!$B$6:$B$1005,0))),IFERROR(INDEX('①在庫を貼る'!$J$6:$J$10005,MATCH($C215,'①在庫を貼る'!$W$6:$W$10005,0)),IFERROR(INDEX('月1回_1ヶ月前の在庫'!$J$6:$J$10005,MATCH($C215,'月1回_1ヶ月前の在庫'!$W$6:$W$10005,0)),IFERROR(INDEX('月1回_2ヶ月前の在庫'!$J$6:$J$10005,MATCH($C215,'月1回_2ヶ月前の在庫'!$W$6:$W$10005,0)),"")))))</f>
        <v/>
      </c>
      <c r="E215">
        <f>IF($C215="","",IFERROR(IF(INDEX('商品マスタ'!$D$6:$D$1005,MATCH($C215,'商品マスタ'!$B$6:$B$1005,0))="",IFERROR(INDEX('①在庫を貼る'!$H$6:$H$10005,MATCH($C215,'①在庫を貼る'!$W$6:$W$10005,0)),IFERROR(INDEX('月1回_1ヶ月前の在庫'!$H$6:$H$10005,MATCH($C215,'月1回_1ヶ月前の在庫'!$W$6:$W$10005,0)),IFERROR(INDEX('月1回_2ヶ月前の在庫'!$H$6:$H$10005,MATCH($C215,'月1回_2ヶ月前の在庫'!$W$6:$W$10005,0)),""))),INDEX('商品マスタ'!$D$6:$D$1005,MATCH($C215,'商品マスタ'!$B$6:$B$1005,0))),IFERROR(INDEX('①在庫を貼る'!$H$6:$H$10005,MATCH($C215,'①在庫を貼る'!$W$6:$W$10005,0)),IFERROR(INDEX('月1回_1ヶ月前の在庫'!$H$6:$H$10005,MATCH($C215,'月1回_1ヶ月前の在庫'!$W$6:$W$10005,0)),IFERROR(INDEX('月1回_2ヶ月前の在庫'!$H$6:$H$10005,MATCH($C215,'月1回_2ヶ月前の在庫'!$W$6:$W$10005,0)),"")))))</f>
        <v/>
      </c>
      <c r="F215">
        <f>IF($C215="","",IFERROR(IF(INDEX('商品マスタ'!$E$6:$E$1005,MATCH($C215,'商品マスタ'!$B$6:$B$1005,0))="",IFERROR(INDEX('①在庫を貼る'!$E$6:$E$10005,MATCH($C215,'①在庫を貼る'!$W$6:$W$10005,0)),IFERROR(INDEX('月1回_1ヶ月前の在庫'!$E$6:$E$10005,MATCH($C215,'月1回_1ヶ月前の在庫'!$W$6:$W$10005,0)),IFERROR(INDEX('月1回_2ヶ月前の在庫'!$E$6:$E$10005,MATCH($C215,'月1回_2ヶ月前の在庫'!$W$6:$W$10005,0)),""))),INDEX('商品マスタ'!$E$6:$E$1005,MATCH($C215,'商品マスタ'!$B$6:$B$1005,0))),IFERROR(INDEX('①在庫を貼る'!$E$6:$E$10005,MATCH($C215,'①在庫を貼る'!$W$6:$W$10005,0)),IFERROR(INDEX('月1回_1ヶ月前の在庫'!$E$6:$E$10005,MATCH($C215,'月1回_1ヶ月前の在庫'!$W$6:$W$10005,0)),IFERROR(INDEX('月1回_2ヶ月前の在庫'!$E$6:$E$10005,MATCH($C215,'月1回_2ヶ月前の在庫'!$W$6:$W$10005,0)),"")))))</f>
        <v/>
      </c>
      <c r="G215">
        <f>IF($C215="","",MAX(1,N(IFERROR(IF(INDEX('商品マスタ'!$F$6:$F$1005,MATCH($C215,'商品マスタ'!$B$6:$B$1005,0))="",IF(COUNTIFS('①在庫を貼る'!$V$6:$V$10005,'設定'!$C$4,'①在庫を貼る'!$W$6:$W$10005,$C215)&gt;0,SUMIFS('①在庫を貼る'!$K$6:$K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K$6:$K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K$6:$K$10005,'月1回_2ヶ月前の在庫'!$V$6:$V$10005,'設定'!$C$4,'月1回_2ヶ月前の在庫'!$W$6:$W$10005,$C215)/COUNTIFS('月1回_2ヶ月前の在庫'!$V$6:$V$10005,'設定'!$C$4,'月1回_2ヶ月前の在庫'!$W$6:$W$10005,$C215),0))),INDEX('商品マスタ'!$F$6:$F$1005,MATCH($C215,'商品マスタ'!$B$6:$B$1005,0))),IF(COUNTIFS('①在庫を貼る'!$V$6:$V$10005,'設定'!$C$4,'①在庫を貼る'!$W$6:$W$10005,$C215)&gt;0,SUMIFS('①在庫を貼る'!$K$6:$K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K$6:$K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K$6:$K$10005,'月1回_2ヶ月前の在庫'!$V$6:$V$10005,'設定'!$C$4,'月1回_2ヶ月前の在庫'!$W$6:$W$10005,$C215)/COUNTIFS('月1回_2ヶ月前の在庫'!$V$6:$V$10005,'設定'!$C$4,'月1回_2ヶ月前の在庫'!$W$6:$W$10005,$C215),0)))))))</f>
        <v/>
      </c>
      <c r="H215">
        <f>IF($C215="","",N(IFERROR(IF(INDEX('商品マスタ'!$G$6:$G$1005,MATCH($C215,'商品マスタ'!$B$6:$B$1005,0))="",IF(COUNTIFS('①在庫を貼る'!$V$6:$V$10005,'設定'!$C$4,'①在庫を貼る'!$W$6:$W$10005,$C215)&gt;0,SUMIFS('①在庫を貼る'!$Q$6:$Q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Q$6:$Q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Q$6:$Q$10005,'月1回_2ヶ月前の在庫'!$V$6:$V$10005,'設定'!$C$4,'月1回_2ヶ月前の在庫'!$W$6:$W$10005,$C215)/COUNTIFS('月1回_2ヶ月前の在庫'!$V$6:$V$10005,'設定'!$C$4,'月1回_2ヶ月前の在庫'!$W$6:$W$10005,$C215),0))),INDEX('商品マスタ'!$G$6:$G$1005,MATCH($C215,'商品マスタ'!$B$6:$B$1005,0))),IF(COUNTIFS('①在庫を貼る'!$V$6:$V$10005,'設定'!$C$4,'①在庫を貼る'!$W$6:$W$10005,$C215)&gt;0,SUMIFS('①在庫を貼る'!$Q$6:$Q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Q$6:$Q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Q$6:$Q$10005,'月1回_2ヶ月前の在庫'!$V$6:$V$10005,'設定'!$C$4,'月1回_2ヶ月前の在庫'!$W$6:$W$10005,$C215)/COUNTIFS('月1回_2ヶ月前の在庫'!$V$6:$V$10005,'設定'!$C$4,'月1回_2ヶ月前の在庫'!$W$6:$W$10005,$C215),0))))))</f>
        <v/>
      </c>
      <c r="I215">
        <f>IF($C215="","",IF(COUNTIFS('①在庫を貼る'!$V$6:$V$10005,'設定'!$C$4,'①在庫を貼る'!$W$6:$W$10005,$C215)=0,"",SUMIFS('①在庫を貼る'!$N$6:$N$10005,'①在庫を貼る'!$V$6:$V$10005,'設定'!$C$4,'①在庫を貼る'!$W$6:$W$10005,$C215)))</f>
        <v/>
      </c>
      <c r="J215">
        <f>IF($C215="","",IF('②発注する'!$AD219="","",'②発注する'!$AD219))</f>
        <v/>
      </c>
      <c r="K215" s="90">
        <f>IF($C215="","",IF('②発注する'!$AE219="","",'②発注する'!$AE219))</f>
        <v/>
      </c>
      <c r="L215">
        <f>IF($C215="","",IF(AND(ISNUMBER($J215),ISNUMBER($K215),$K215&gt;='設定'!$C$6),$J215,N($I215)))</f>
        <v/>
      </c>
      <c r="M215">
        <f>IF($C215="","",IFERROR(IF(N(INDEX('商品マスタ'!$J$6:$J$1005,MATCH($C215,'商品マスタ'!$B$6:$B$1005,0)))&gt;0,INDEX('商品マスタ'!$J$6:$J$1005,MATCH($C215,'商品マスタ'!$B$6:$B$1005,0)),""),""))</f>
        <v/>
      </c>
      <c r="N215">
        <f>IF($C215="","",IFERROR(IF(N(INDEX('商品マスタ'!$H$6:$H$1005,MATCH($C215,'商品マスタ'!$B$6:$B$1005,0)))&gt;0,INDEX('商品マスタ'!$H$6:$H$1005,MATCH($C215,'商品マスタ'!$B$6:$B$1005,0)),""),""))</f>
        <v/>
      </c>
      <c r="O215">
        <f>IF($C215="","",IF($N215&lt;&gt;"",$N215*$G215,IF(N(IF(COUNTIFS('①在庫を貼る'!$V$6:$V$10005,'設定'!$C$4,'①在庫を貼る'!$W$6:$W$10005,$C215)&gt;0,SUMIFS('①在庫を貼る'!$O$6:$O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O$6:$O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O$6:$O$10005,'月1回_2ヶ月前の在庫'!$V$6:$V$10005,'設定'!$C$4,'月1回_2ヶ月前の在庫'!$W$6:$W$10005,$C215)/COUNTIFS('月1回_2ヶ月前の在庫'!$V$6:$V$10005,'設定'!$C$4,'月1回_2ヶ月前の在庫'!$W$6:$W$10005,$C215),0))))&gt;0,N(IF(COUNTIFS('①在庫を貼る'!$V$6:$V$10005,'設定'!$C$4,'①在庫を貼る'!$W$6:$W$10005,$C215)&gt;0,SUMIFS('①在庫を貼る'!$O$6:$O$10005,'①在庫を貼る'!$V$6:$V$10005,'設定'!$C$4,'①在庫を貼る'!$W$6:$W$10005,$C215)/COUNTIFS('①在庫を貼る'!$V$6:$V$10005,'設定'!$C$4,'①在庫を貼る'!$W$6:$W$10005,$C215),IF(COUNTIFS('月1回_1ヶ月前の在庫'!$V$6:$V$10005,'設定'!$C$4,'月1回_1ヶ月前の在庫'!$W$6:$W$10005,$C215)&gt;0,SUMIFS('月1回_1ヶ月前の在庫'!$O$6:$O$10005,'月1回_1ヶ月前の在庫'!$V$6:$V$10005,'設定'!$C$4,'月1回_1ヶ月前の在庫'!$W$6:$W$10005,$C215)/COUNTIFS('月1回_1ヶ月前の在庫'!$V$6:$V$10005,'設定'!$C$4,'月1回_1ヶ月前の在庫'!$W$6:$W$10005,$C215),IF(COUNTIFS('月1回_2ヶ月前の在庫'!$V$6:$V$10005,'設定'!$C$4,'月1回_2ヶ月前の在庫'!$W$6:$W$10005,$C215)&gt;0,SUMIFS('月1回_2ヶ月前の在庫'!$O$6:$O$10005,'月1回_2ヶ月前の在庫'!$V$6:$V$10005,'設定'!$C$4,'月1回_2ヶ月前の在庫'!$W$6:$W$10005,$C215)/COUNTIFS('月1回_2ヶ月前の在庫'!$V$6:$V$10005,'設定'!$C$4,'月1回_2ヶ月前の在庫'!$W$6:$W$10005,$C215),0)))),"")))</f>
        <v/>
      </c>
      <c r="P215" s="90">
        <f>IF($C215="","",IF('②発注する'!$I219="","",'②発注する'!$I219))</f>
        <v/>
      </c>
      <c r="Q215">
        <f>IF($C215="","",IF('②発注する'!$J219="","",'②発注する'!$J219))</f>
        <v/>
      </c>
      <c r="R215">
        <f>IF($C215="",0,IF(AND(ISNUMBER($P215),ISNUMBER($Q215)),MAX(0,$Q215)*$G215,0))</f>
        <v/>
      </c>
      <c r="S215" s="90">
        <f>IF($C215="","",IF('②発注する'!$M219="","",'②発注する'!$M219))</f>
        <v/>
      </c>
      <c r="T215">
        <f>IF($C215="","",IF('②発注する'!$N219="","",'②発注する'!$N219))</f>
        <v/>
      </c>
      <c r="U215">
        <f>IF($C215="",0,IF(AND(ISNUMBER($S215),ISNUMBER($T215)),MAX(0,$T215)*$G215,0))</f>
        <v/>
      </c>
      <c r="V215">
        <f>IF($C215="",0,IF($M215="",0,MAX(0,$M215)*MAX(0,V$4)/100))</f>
        <v/>
      </c>
      <c r="W215">
        <f>IF($C215="",0,IF($M215="",0,MAX(0,$M215)*MAX(0,W$4)/100))</f>
        <v/>
      </c>
      <c r="X215">
        <f>IF($C215="",0,IF($M215="",0,MAX(0,$M215)*MAX(0,X$4)/100))</f>
        <v/>
      </c>
      <c r="Y215">
        <f>IF($C215="",0,IF($M215="",0,MAX(0,$M215)*MAX(0,Y$4)/100))</f>
        <v/>
      </c>
      <c r="Z215">
        <f>IF($C215="",0,IF($M215="",0,MAX(0,$M215)*MAX(0,Z$4)/100))</f>
        <v/>
      </c>
      <c r="AA215">
        <f>IF($C215="",0,IF($M215="",0,MAX(0,$M215)*MAX(0,AA$4)/100))</f>
        <v/>
      </c>
      <c r="AB215">
        <f>IF($C215="",0,IF($M215="",0,MAX(0,$M215)*MAX(0,AB$4)/100))</f>
        <v/>
      </c>
      <c r="AC215">
        <f>IF($C215="",0,IF($M215="",0,MAX(0,$M215)*MAX(0,AC$4)/100))</f>
        <v/>
      </c>
      <c r="AD215">
        <f>IF($C215="",0,IF($M215="",0,MAX(0,$M215)*MAX(0,AD$4)/100))</f>
        <v/>
      </c>
      <c r="AE215">
        <f>IF($C215="",0,IF($M215="",0,MAX(0,$M215)*MAX(0,AE$4)/100))</f>
        <v/>
      </c>
      <c r="AF215">
        <f>IF($C215="",0,IF($M215="",0,MAX(0,$M215)*MAX(0,AF$4)/100))</f>
        <v/>
      </c>
      <c r="AG215">
        <f>IF($C215="",0,IF($M215="",0,MAX(0,$M215)*MAX(0,AG$4)/100))</f>
        <v/>
      </c>
      <c r="AH215">
        <f>IF($C215="",0,IF($M215="",0,MAX(0,$M215)*MAX(0,AH$4)/100))</f>
        <v/>
      </c>
      <c r="AI215">
        <f>IF($C215="",0,IF($M215="",0,MAX(0,$M215)*MAX(0,AI$4)/100))</f>
        <v/>
      </c>
      <c r="AJ215">
        <f>IF($C215="",0,MAX(0,MAX(0,N($L215))-$V215))</f>
        <v/>
      </c>
      <c r="AK215">
        <f>IF($C215="",0,MAX(0,$AJ215-$W215))</f>
        <v/>
      </c>
      <c r="AL215">
        <f>IF($C215="",0,MAX(0,$AK215-$X215))</f>
        <v/>
      </c>
      <c r="AM215">
        <f>IF($C215="",0,MAX(0,$AL215-$Y215))</f>
        <v/>
      </c>
      <c r="AN215">
        <f>IF($C215="",0,MAX(0,$AM215-$Z215))</f>
        <v/>
      </c>
      <c r="AO215">
        <f>IF($C215="",0,MAX(0,$AN215-$AA215))</f>
        <v/>
      </c>
      <c r="AP215">
        <f>IF($C215="",0,MAX(0,$AO215-$AB215))</f>
        <v/>
      </c>
      <c r="AQ215">
        <f>IF($C215="",0,MAX(0,$AP215-$AC215))</f>
        <v/>
      </c>
      <c r="AR215">
        <f>IF($C215="",0,MAX(0,$AQ215-$AD215))</f>
        <v/>
      </c>
      <c r="AS215">
        <f>IF($C215="",0,MAX(0,$AR215-$AE215))</f>
        <v/>
      </c>
      <c r="AT215">
        <f>IF($C215="",0,MAX(0,$AS215-$AF215))</f>
        <v/>
      </c>
      <c r="AU215">
        <f>IF($C215="",0,MAX(0,$AT215-$AG215))</f>
        <v/>
      </c>
      <c r="AV215">
        <f>IF($C215="",0,MAX(0,$AU215-$AH215))</f>
        <v/>
      </c>
      <c r="AW215">
        <f>IF($C215="",0,MAX(0,$AV215-$AI215))</f>
        <v/>
      </c>
      <c r="AX215">
        <f>IF($C215="",0,MAX(0,MAX(0,N($L215))+IF($P215=V$3,$R215,0)+IF($S215=V$3,$U215,0)-$V215))</f>
        <v/>
      </c>
      <c r="AY215">
        <f>IF($C215="",0,MAX(0,$AX215+IF($P215=W$3,$R215,0)+IF($S215=W$3,$U215,0)-$W215))</f>
        <v/>
      </c>
      <c r="AZ215">
        <f>IF($C215="",0,MAX(0,$AY215+IF($P215=X$3,$R215,0)+IF($S215=X$3,$U215,0)-$X215))</f>
        <v/>
      </c>
      <c r="BA215">
        <f>IF($C215="",0,MAX(0,$AZ215+IF($P215=Y$3,$R215,0)+IF($S215=Y$3,$U215,0)-$Y215))</f>
        <v/>
      </c>
      <c r="BB215">
        <f>IF($C215="",0,MAX(0,$BA215+IF($P215=Z$3,$R215,0)+IF($S215=Z$3,$U215,0)-$Z215))</f>
        <v/>
      </c>
      <c r="BC215">
        <f>IF($C215="",0,MAX(0,$BB215+IF($P215=AA$3,$R215,0)+IF($S215=AA$3,$U215,0)-$AA215))</f>
        <v/>
      </c>
      <c r="BD215">
        <f>IF($C215="",0,MAX(0,$BC215+IF($P215=AB$3,$R215,0)+IF($S215=AB$3,$U215,0)-$AB215))</f>
        <v/>
      </c>
      <c r="BE215">
        <f>IF($C215="",0,MAX(0,$BD215+IF($P215=AC$3,$R215,0)+IF($S215=AC$3,$U215,0)-$AC215))</f>
        <v/>
      </c>
      <c r="BF215">
        <f>IF($C215="",0,MAX(0,$BE215+IF($P215=AD$3,$R215,0)+IF($S215=AD$3,$U215,0)-$AD215))</f>
        <v/>
      </c>
      <c r="BG215">
        <f>IF($C215="",0,MAX(0,$BF215+IF($P215=AE$3,$R215,0)+IF($S215=AE$3,$U215,0)-$AE215))</f>
        <v/>
      </c>
      <c r="BH215">
        <f>IF($C215="",0,MAX(0,$BG215+IF($P215=AF$3,$R215,0)+IF($S215=AF$3,$U215,0)-$AF215))</f>
        <v/>
      </c>
      <c r="BI215">
        <f>IF($C215="",0,MAX(0,$BH215+IF($P215=AG$3,$R215,0)+IF($S215=AG$3,$U215,0)-$AG215))</f>
        <v/>
      </c>
      <c r="BJ215">
        <f>IF($C215="",0,MAX(0,$BI215+IF($P215=AH$3,$R215,0)+IF($S215=AH$3,$U215,0)-$AH215))</f>
        <v/>
      </c>
      <c r="BK215">
        <f>IF($C215="",0,MAX(0,$BJ215+IF($P215=AI$3,$R215,0)+IF($S215=AI$3,$U215,0)-$AI215))</f>
        <v/>
      </c>
      <c r="BL215">
        <f>IF($C215="",99,IF(AND($AX215&lt;1,V$3&gt;=MAX(N($P215),N($S215))),0,99))</f>
        <v/>
      </c>
      <c r="BM215">
        <f>IF($C215="",99,IF(AND($AY215&lt;1,W$3&gt;=MAX(N($P215),N($S215))),1,99))</f>
        <v/>
      </c>
      <c r="BN215">
        <f>IF($C215="",99,IF(AND($AZ215&lt;1,X$3&gt;=MAX(N($P215),N($S215))),2,99))</f>
        <v/>
      </c>
      <c r="BO215">
        <f>IF($C215="",99,IF(AND($BA215&lt;1,Y$3&gt;=MAX(N($P215),N($S215))),3,99))</f>
        <v/>
      </c>
      <c r="BP215">
        <f>IF($C215="",99,IF(AND($BB215&lt;1,Z$3&gt;=MAX(N($P215),N($S215))),4,99))</f>
        <v/>
      </c>
      <c r="BQ215">
        <f>IF($C215="",99,IF(AND($BC215&lt;1,AA$3&gt;=MAX(N($P215),N($S215))),5,99))</f>
        <v/>
      </c>
      <c r="BR215">
        <f>IF($C215="",99,IF(AND($BD215&lt;1,AB$3&gt;=MAX(N($P215),N($S215))),6,99))</f>
        <v/>
      </c>
      <c r="BS215">
        <f>IF($C215="",99,IF(AND($BE215&lt;1,AC$3&gt;=MAX(N($P215),N($S215))),7,99))</f>
        <v/>
      </c>
      <c r="BT215">
        <f>IF($C215="",99,IF(AND($BF215&lt;1,AD$3&gt;=MAX(N($P215),N($S215))),8,99))</f>
        <v/>
      </c>
      <c r="BU215">
        <f>IF($C215="",99,IF(AND($BG215&lt;1,AE$3&gt;=MAX(N($P215),N($S215))),9,99))</f>
        <v/>
      </c>
      <c r="BV215">
        <f>IF($C215="",99,IF(AND($BH215&lt;1,AF$3&gt;=MAX(N($P215),N($S215))),10,99))</f>
        <v/>
      </c>
      <c r="BW215">
        <f>IF($C215="",99,IF(AND($BI215&lt;1,AG$3&gt;=MAX(N($P215),N($S215))),11,99))</f>
        <v/>
      </c>
      <c r="BX215">
        <f>IF($C215="",99,IF(AND($BJ215&lt;1,AH$3&gt;=MAX(N($P215),N($S215))),12,99))</f>
        <v/>
      </c>
      <c r="BY215">
        <f>IF($C215="",99,IF(AND($BK215&lt;1,AI$3&gt;=MAX(N($P215),N($S215))),13,99))</f>
        <v/>
      </c>
      <c r="BZ215">
        <f>IF(OR($C215="",$M215=""),"",COUNTIF($AJ215:$AW215,"&gt;=1"))</f>
        <v/>
      </c>
      <c r="CA215" s="90">
        <f>IF($BZ215="","",IF($BZ215&gt;=14,"",'設定'!$C$6+$BZ215))</f>
        <v/>
      </c>
      <c r="CB215">
        <f>IF(OR($C215="",$M215=""),"",MIN($BL215:$BY215))</f>
        <v/>
      </c>
      <c r="CC215" s="90">
        <f>IF($CB215="","",IF($CB215&gt;=99,"",'設定'!$C$6+$CB215))</f>
        <v/>
      </c>
      <c r="CD215">
        <f>IF(OR($C215="",$M215=""),"",AVERAGE($V215:$AI215))</f>
        <v/>
      </c>
      <c r="CE215">
        <f>IF($C215="","",IFERROR(IF(MATCH(IF(ISNUMBER($P215),$P215,'設定'!$C$6+N('設定'!$C$7)),$V$3:$AI$3,0)=1,MAX(0,N($L215)),INDEX($AJ215:$AW215,MATCH(IF(ISNUMBER($P215),$P215,'設定'!$C$6+N('設定'!$C$7)),$V$3:$AI$3,0)-1)),""))</f>
        <v/>
      </c>
      <c r="CF215">
        <f>IF(OR($C215="",$O215="",$CE215=""),"",IF($O215-$CE215&lt;=0,0,ROUNDUP(($O215-$CE215)/$G215,0)))</f>
        <v/>
      </c>
      <c r="CG215">
        <f>IF(OR($C215="",$CF215="",NOT(ISNUMBER($Q215))),0,MAX(0,$Q215-$CF215))</f>
        <v/>
      </c>
      <c r="CH215">
        <f>IF(OR($C215="",$O215="",$U215=0),0,IFERROR(ROUNDUP(MAX(0,IF(MATCH($S215,$V$3:$AI$3,0)=1,MAX(0,N($L215)),INDEX($AX215:$BK215,MATCH($S215,$V$3:$AI$3,0)-1))+$U215-$O215)/$G215,0),0))</f>
        <v/>
      </c>
      <c r="CI215">
        <f>IF($C215="","",IF(AND($P215="",$Q215=""),"",IF($P215="","⚠ 入庫日を ▼ から選んでください",IF(NOT(ISNUMBER($P215)),"⚠ 入庫日は ▼ から選んでください",IF($P215&lt;N('設定'!$C$6),"⚠ 入庫日が過去です（もう在庫に入っています）→ 消してください",IF($P215&gt;N('設定'!$C$6)+13,"⚠ 入庫日が14日より先です",IF(N($Q215)&lt;=0,"⚠ 入庫数を入れてください",IF($CG215&gt;0,"⚠ 目安より "&amp;$CG215&amp;" 多い（定数を超える）→ 減らす",""))))))))</f>
        <v/>
      </c>
      <c r="CJ215">
        <f>IF($C215="","",IF(AND($S215="",$T215=""),"",IF($S215="","⚠ 2便目：入庫日を ▼ から選んでください",IF(NOT(ISNUMBER($S215)),"⚠ 2便目：入庫日は ▼ から選んでください",IF($S215&lt;N('設定'!$C$6),"⚠ 2便目：入庫日が過去です（もう在庫に入っています）→ 消してください",IF($S215&gt;N('設定'!$C$6)+13,"⚠ 2便目：入庫日が14日より先です",IF(N($T215)&lt;=0,"⚠ 2便目：入庫数を入れてください",IF($CH215&gt;0,"⚠ 2便目：定数を "&amp;$CH215&amp;" ケース超える → 減らす",""))))))))</f>
        <v/>
      </c>
      <c r="CK215">
        <f>IF(AND($CI215="",N($Q215)&gt;0,ISNUMBER($P215)),1,0)</f>
        <v/>
      </c>
      <c r="CL215">
        <f>IF(AND($CJ215="",N($T215)&gt;0,ISNUMBER($S215)),1,0)</f>
        <v/>
      </c>
      <c r="CM215">
        <f>IF(OR($CK215=1,$CL215=1),1,0)</f>
        <v/>
      </c>
      <c r="CN215">
        <f>IF($C215="",0,($CK215*$R215+$CL215*$U215)*N($H215))</f>
        <v/>
      </c>
      <c r="CO215">
        <f>IF($C215="","",IF($CC215="","入庫後は 14日以上もつ",IF($CC215-N('設定'!$C$7)&lt;='設定'!$C$6,"入庫後も "&amp;TEXT($CC215,"m/d")&amp;"("&amp;CHOOSE(WEEKDAY($CC215),"日","月","火","水","木","金","土")&amp;")"&amp;" に切れる　もう1便を至急発注","入庫後も "&amp;TEXT($CC215,"m/d")&amp;"("&amp;CHOOSE(WEEKDAY($CC215),"日","月","火","水","木","金","土")&amp;")"&amp;" に切れる　"&amp;TEXT($CC215-N('設定'!$C$7),"m/d")&amp;"("&amp;CHOOSE(WEEKDAY($CC215-N('設定'!$C$7)),"日","月","火","水","木","金","土")&amp;")"&amp;" までに次を発注")))</f>
        <v/>
      </c>
      <c r="CP215">
        <f>IF($C215="","",IF('設定'!$C$6="","？ ①在庫を貼る に今日のCSVが貼られていない",IF($CS215=1,"－ 今日のCSVに無い（終売？）",IF($L215&lt;0,"● 在庫がマイナス　数えて「数えた在庫」に入れる",IF($L215=0,"● 在庫なし　至急発注",IF($M215="","？ 減り数が未設定（商品マスタ）",IF($B$3=0,"？ 動員が未入力（動員を入れる）",IF($CA215="","○ 14日以上もつ",IF($BZ215&lt;N('設定'!$C$7),"● "&amp;TEXT($CA215,"m/d")&amp;"("&amp;CHOOSE(WEEKDAY($CA215),"日","月","火","水","木","金","土")&amp;")"&amp;" に切れる　至急発注",IF($BZ215=N('設定'!$C$7),"● "&amp;TEXT($CA215,"m/d")&amp;"("&amp;CHOOSE(WEEKDAY($CA215),"日","月","火","水","木","金","土")&amp;")"&amp;" に切れる　今日発注","△ "&amp;TEXT($CA215,"m/d")&amp;"("&amp;CHOOSE(WEEKDAY($CA215),"日","月","火","水","木","金","土")&amp;")"&amp;" に切れる　"&amp;TEXT($CA215-N('設定'!$C$7),"m/d")&amp;"("&amp;CHOOSE(WEEKDAY($CA215-N('設定'!$C$7)),"日","月","火","水","木","金","土")&amp;")"&amp;" までに発注"))))))))))</f>
        <v/>
      </c>
      <c r="CQ215">
        <f>IF($C215="","",IF(AND($P215="",$Q215="",$S215="",$T215=""),"",IF(AND($P215="",$Q215=""),"⚠ 先に1便目（左の入庫日・入庫数）に入れてください",IF($CI215&lt;&gt;"",$CI215,IF($CJ215&lt;&gt;"",$CJ215,IF($M215="","？ 減り数が未設定（発注書には載ります）",IF($B$3=0,"？ 動員が未入力（発注書には載ります）",IF(AND($CA215&lt;&gt;"",$P215&gt;$CA215),IF($P215&gt;'設定'!$C$6+N('設定'!$C$7),"● "&amp;TEXT($P215,"m/d")&amp;"("&amp;CHOOSE(WEEKDAY($P215),"日","月","火","水","木","金","土")&amp;")"&amp;" の入庫では間に合わない（"&amp;TEXT($CA215,"m/d")&amp;"("&amp;CHOOSE(WEEKDAY($CA215),"日","月","火","水","木","金","土")&amp;")"&amp;" に切れる）　入庫日を早める","△ 欠品 "&amp;TEXT($CA215,"m/d")&amp;"("&amp;CHOOSE(WEEKDAY($CA215),"日","月","火","水","木","金","土")&amp;")"&amp;"〜"&amp;TEXT($P215-1,"m/d")&amp;"("&amp;CHOOSE(WEEKDAY($P215-1),"日","月","火","水","木","金","土")&amp;")"&amp;"　"&amp;$CO215),IF($CC215="","○ "&amp;TEXT($P215,"m/d")&amp;"("&amp;CHOOSE(WEEKDAY($P215),"日","月","火","水","木","金","土")&amp;")"&amp;" 入庫で 14日以上もつ",IF($CC215-N('設定'!$C$7)&lt;='設定'!$C$6,"● 入庫しても "&amp;TEXT($CC215,"m/d")&amp;"("&amp;CHOOSE(WEEKDAY($CC215),"日","月","火","水","木","金","土")&amp;")"&amp;" に切れる　もう1便を至急発注（2便目に入れる）","△ 入庫しても "&amp;TEXT($CC215,"m/d")&amp;"("&amp;CHOOSE(WEEKDAY($CC215),"日","月","火","水","木","金","土")&amp;")"&amp;" に切れる　"&amp;TEXT($CC215-N('設定'!$C$7),"m/d")&amp;"("&amp;CHOOSE(WEEKDAY($CC215-N('設定'!$C$7)),"日","月","火","水","木","金","土")&amp;")"&amp;" までに次を発注（2便目に入れる）"))))))))))</f>
        <v/>
      </c>
      <c r="CR215">
        <f>IF($C215="","",IF($G215&gt;1,"ｹｰｽ("&amp;$G215&amp;"入)","個"))</f>
        <v/>
      </c>
      <c r="CS215">
        <f>IF($C215="",0,IF(COUNTIFS('①在庫を貼る'!$V$6:$V$10005,'設定'!$C$4,'①在庫を貼る'!$W$6:$W$10005,$C215)=0,1,0))</f>
        <v/>
      </c>
      <c r="CT215">
        <f>IF(AND($CK215=1,OR('③発注書'!$C$4="すべて",'③発注書'!$C$4="",$F215='③発注書'!$C$4)),N($CT214)+1,N($CT214))</f>
        <v/>
      </c>
      <c r="CU215">
        <f>IF(AND($CL215=1,OR('③発注書'!$C$4="すべて",'③発注書'!$C$4="",$F215='③発注書'!$C$4)),N($CU214)+1,N($CU214))</f>
        <v/>
      </c>
      <c r="CV215">
        <f>IF($C215="",0,IF(COUNTIFS('①在庫を貼る'!$V$6:$V$10005,'設定'!$C$4,'①在庫を貼る'!$W$6:$W$10005,$C215)&gt;0,1,0))</f>
        <v/>
      </c>
      <c r="CW215">
        <f>IF($C215="",0,IF(COUNTIFS('月1回_1ヶ月前の在庫'!$V$6:$V$10005,'設定'!$C$4,'月1回_1ヶ月前の在庫'!$W$6:$W$10005,$C215)&gt;0,1,0))</f>
        <v/>
      </c>
      <c r="CX215">
        <f>IF($C215="",0,IF(COUNTIFS('月1回_2ヶ月前の在庫'!$V$6:$V$10005,'設定'!$C$4,'月1回_2ヶ月前の在庫'!$W$6:$W$10005,$C215)&gt;0,1,0))</f>
        <v/>
      </c>
      <c r="CY215">
        <f>IF(OR($C215="",'設定'!$C$12=""),"",IF('設定'!$C$13="",IF(AND($CV215=1,$CW215=0),"新商品（今月から）",IF(AND($CV215=0,$CW215=1),"終売（今月から）","")),IF(AND($CV215=1,$CW215=0,$CX215=0),"新商品（今月から）",IF(AND($CV215=1,$CW215=1,$CX215=0),"新商品（先月から）",IF(AND($CV215=0,$CW215=1,$CX215=1),"終売（今月から）",IF(AND($CV215=0,$CW215=0,$CX215=1),"終売（先月から）",IF(AND($CV215=1,$CW215=0,$CX215=1),"復活（先月は無し）","")))))))</f>
        <v/>
      </c>
    </row>
    <row r="216">
      <c r="B216">
        <f>IF(211&lt;='設定'!$C$11,211,"")</f>
        <v/>
      </c>
      <c r="C216">
        <f>IF($B216="","",IF($B216&lt;='設定'!$C$20,INDEX('商品マスタ'!$B$6:$B$1005,MATCH($B216,'商品マスタ'!$M$6:$M$1005,0)),IF($B216&lt;='設定'!$C$20+'設定'!$C$17,INDEX('①在庫を貼る'!$W$6:$W$10005,MATCH($B216-'設定'!$C$20,'①在庫を貼る'!$U$6:$U$10005,0)),IF($B216&lt;='設定'!$C$20+'設定'!$C$17+'設定'!$C$18,INDEX('月1回_1ヶ月前の在庫'!$W$6:$W$10005,MATCH($B216-'設定'!$C$20-'設定'!$C$17,'月1回_1ヶ月前の在庫'!$U$6:$U$10005,0)),INDEX('月1回_2ヶ月前の在庫'!$W$6:$W$10005,MATCH($B216-'設定'!$C$20-'設定'!$C$17-'設定'!$C$18,'月1回_2ヶ月前の在庫'!$U$6:$U$10005,0))))))</f>
        <v/>
      </c>
      <c r="D216">
        <f>IF($C216="","",IFERROR(IF(INDEX('商品マスタ'!$C$6:$C$1005,MATCH($C216,'商品マスタ'!$B$6:$B$1005,0))="",IFERROR(INDEX('①在庫を貼る'!$J$6:$J$10005,MATCH($C216,'①在庫を貼る'!$W$6:$W$10005,0)),IFERROR(INDEX('月1回_1ヶ月前の在庫'!$J$6:$J$10005,MATCH($C216,'月1回_1ヶ月前の在庫'!$W$6:$W$10005,0)),IFERROR(INDEX('月1回_2ヶ月前の在庫'!$J$6:$J$10005,MATCH($C216,'月1回_2ヶ月前の在庫'!$W$6:$W$10005,0)),""))),INDEX('商品マスタ'!$C$6:$C$1005,MATCH($C216,'商品マスタ'!$B$6:$B$1005,0))),IFERROR(INDEX('①在庫を貼る'!$J$6:$J$10005,MATCH($C216,'①在庫を貼る'!$W$6:$W$10005,0)),IFERROR(INDEX('月1回_1ヶ月前の在庫'!$J$6:$J$10005,MATCH($C216,'月1回_1ヶ月前の在庫'!$W$6:$W$10005,0)),IFERROR(INDEX('月1回_2ヶ月前の在庫'!$J$6:$J$10005,MATCH($C216,'月1回_2ヶ月前の在庫'!$W$6:$W$10005,0)),"")))))</f>
        <v/>
      </c>
      <c r="E216">
        <f>IF($C216="","",IFERROR(IF(INDEX('商品マスタ'!$D$6:$D$1005,MATCH($C216,'商品マスタ'!$B$6:$B$1005,0))="",IFERROR(INDEX('①在庫を貼る'!$H$6:$H$10005,MATCH($C216,'①在庫を貼る'!$W$6:$W$10005,0)),IFERROR(INDEX('月1回_1ヶ月前の在庫'!$H$6:$H$10005,MATCH($C216,'月1回_1ヶ月前の在庫'!$W$6:$W$10005,0)),IFERROR(INDEX('月1回_2ヶ月前の在庫'!$H$6:$H$10005,MATCH($C216,'月1回_2ヶ月前の在庫'!$W$6:$W$10005,0)),""))),INDEX('商品マスタ'!$D$6:$D$1005,MATCH($C216,'商品マスタ'!$B$6:$B$1005,0))),IFERROR(INDEX('①在庫を貼る'!$H$6:$H$10005,MATCH($C216,'①在庫を貼る'!$W$6:$W$10005,0)),IFERROR(INDEX('月1回_1ヶ月前の在庫'!$H$6:$H$10005,MATCH($C216,'月1回_1ヶ月前の在庫'!$W$6:$W$10005,0)),IFERROR(INDEX('月1回_2ヶ月前の在庫'!$H$6:$H$10005,MATCH($C216,'月1回_2ヶ月前の在庫'!$W$6:$W$10005,0)),"")))))</f>
        <v/>
      </c>
      <c r="F216">
        <f>IF($C216="","",IFERROR(IF(INDEX('商品マスタ'!$E$6:$E$1005,MATCH($C216,'商品マスタ'!$B$6:$B$1005,0))="",IFERROR(INDEX('①在庫を貼る'!$E$6:$E$10005,MATCH($C216,'①在庫を貼る'!$W$6:$W$10005,0)),IFERROR(INDEX('月1回_1ヶ月前の在庫'!$E$6:$E$10005,MATCH($C216,'月1回_1ヶ月前の在庫'!$W$6:$W$10005,0)),IFERROR(INDEX('月1回_2ヶ月前の在庫'!$E$6:$E$10005,MATCH($C216,'月1回_2ヶ月前の在庫'!$W$6:$W$10005,0)),""))),INDEX('商品マスタ'!$E$6:$E$1005,MATCH($C216,'商品マスタ'!$B$6:$B$1005,0))),IFERROR(INDEX('①在庫を貼る'!$E$6:$E$10005,MATCH($C216,'①在庫を貼る'!$W$6:$W$10005,0)),IFERROR(INDEX('月1回_1ヶ月前の在庫'!$E$6:$E$10005,MATCH($C216,'月1回_1ヶ月前の在庫'!$W$6:$W$10005,0)),IFERROR(INDEX('月1回_2ヶ月前の在庫'!$E$6:$E$10005,MATCH($C216,'月1回_2ヶ月前の在庫'!$W$6:$W$10005,0)),"")))))</f>
        <v/>
      </c>
      <c r="G216">
        <f>IF($C216="","",MAX(1,N(IFERROR(IF(INDEX('商品マスタ'!$F$6:$F$1005,MATCH($C216,'商品マスタ'!$B$6:$B$1005,0))="",IF(COUNTIFS('①在庫を貼る'!$V$6:$V$10005,'設定'!$C$4,'①在庫を貼る'!$W$6:$W$10005,$C216)&gt;0,SUMIFS('①在庫を貼る'!$K$6:$K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K$6:$K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K$6:$K$10005,'月1回_2ヶ月前の在庫'!$V$6:$V$10005,'設定'!$C$4,'月1回_2ヶ月前の在庫'!$W$6:$W$10005,$C216)/COUNTIFS('月1回_2ヶ月前の在庫'!$V$6:$V$10005,'設定'!$C$4,'月1回_2ヶ月前の在庫'!$W$6:$W$10005,$C216),0))),INDEX('商品マスタ'!$F$6:$F$1005,MATCH($C216,'商品マスタ'!$B$6:$B$1005,0))),IF(COUNTIFS('①在庫を貼る'!$V$6:$V$10005,'設定'!$C$4,'①在庫を貼る'!$W$6:$W$10005,$C216)&gt;0,SUMIFS('①在庫を貼る'!$K$6:$K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K$6:$K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K$6:$K$10005,'月1回_2ヶ月前の在庫'!$V$6:$V$10005,'設定'!$C$4,'月1回_2ヶ月前の在庫'!$W$6:$W$10005,$C216)/COUNTIFS('月1回_2ヶ月前の在庫'!$V$6:$V$10005,'設定'!$C$4,'月1回_2ヶ月前の在庫'!$W$6:$W$10005,$C216),0)))))))</f>
        <v/>
      </c>
      <c r="H216">
        <f>IF($C216="","",N(IFERROR(IF(INDEX('商品マスタ'!$G$6:$G$1005,MATCH($C216,'商品マスタ'!$B$6:$B$1005,0))="",IF(COUNTIFS('①在庫を貼る'!$V$6:$V$10005,'設定'!$C$4,'①在庫を貼る'!$W$6:$W$10005,$C216)&gt;0,SUMIFS('①在庫を貼る'!$Q$6:$Q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Q$6:$Q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Q$6:$Q$10005,'月1回_2ヶ月前の在庫'!$V$6:$V$10005,'設定'!$C$4,'月1回_2ヶ月前の在庫'!$W$6:$W$10005,$C216)/COUNTIFS('月1回_2ヶ月前の在庫'!$V$6:$V$10005,'設定'!$C$4,'月1回_2ヶ月前の在庫'!$W$6:$W$10005,$C216),0))),INDEX('商品マスタ'!$G$6:$G$1005,MATCH($C216,'商品マスタ'!$B$6:$B$1005,0))),IF(COUNTIFS('①在庫を貼る'!$V$6:$V$10005,'設定'!$C$4,'①在庫を貼る'!$W$6:$W$10005,$C216)&gt;0,SUMIFS('①在庫を貼る'!$Q$6:$Q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Q$6:$Q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Q$6:$Q$10005,'月1回_2ヶ月前の在庫'!$V$6:$V$10005,'設定'!$C$4,'月1回_2ヶ月前の在庫'!$W$6:$W$10005,$C216)/COUNTIFS('月1回_2ヶ月前の在庫'!$V$6:$V$10005,'設定'!$C$4,'月1回_2ヶ月前の在庫'!$W$6:$W$10005,$C216),0))))))</f>
        <v/>
      </c>
      <c r="I216">
        <f>IF($C216="","",IF(COUNTIFS('①在庫を貼る'!$V$6:$V$10005,'設定'!$C$4,'①在庫を貼る'!$W$6:$W$10005,$C216)=0,"",SUMIFS('①在庫を貼る'!$N$6:$N$10005,'①在庫を貼る'!$V$6:$V$10005,'設定'!$C$4,'①在庫を貼る'!$W$6:$W$10005,$C216)))</f>
        <v/>
      </c>
      <c r="J216">
        <f>IF($C216="","",IF('②発注する'!$AD220="","",'②発注する'!$AD220))</f>
        <v/>
      </c>
      <c r="K216" s="90">
        <f>IF($C216="","",IF('②発注する'!$AE220="","",'②発注する'!$AE220))</f>
        <v/>
      </c>
      <c r="L216">
        <f>IF($C216="","",IF(AND(ISNUMBER($J216),ISNUMBER($K216),$K216&gt;='設定'!$C$6),$J216,N($I216)))</f>
        <v/>
      </c>
      <c r="M216">
        <f>IF($C216="","",IFERROR(IF(N(INDEX('商品マスタ'!$J$6:$J$1005,MATCH($C216,'商品マスタ'!$B$6:$B$1005,0)))&gt;0,INDEX('商品マスタ'!$J$6:$J$1005,MATCH($C216,'商品マスタ'!$B$6:$B$1005,0)),""),""))</f>
        <v/>
      </c>
      <c r="N216">
        <f>IF($C216="","",IFERROR(IF(N(INDEX('商品マスタ'!$H$6:$H$1005,MATCH($C216,'商品マスタ'!$B$6:$B$1005,0)))&gt;0,INDEX('商品マスタ'!$H$6:$H$1005,MATCH($C216,'商品マスタ'!$B$6:$B$1005,0)),""),""))</f>
        <v/>
      </c>
      <c r="O216">
        <f>IF($C216="","",IF($N216&lt;&gt;"",$N216*$G216,IF(N(IF(COUNTIFS('①在庫を貼る'!$V$6:$V$10005,'設定'!$C$4,'①在庫を貼る'!$W$6:$W$10005,$C216)&gt;0,SUMIFS('①在庫を貼る'!$O$6:$O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O$6:$O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O$6:$O$10005,'月1回_2ヶ月前の在庫'!$V$6:$V$10005,'設定'!$C$4,'月1回_2ヶ月前の在庫'!$W$6:$W$10005,$C216)/COUNTIFS('月1回_2ヶ月前の在庫'!$V$6:$V$10005,'設定'!$C$4,'月1回_2ヶ月前の在庫'!$W$6:$W$10005,$C216),0))))&gt;0,N(IF(COUNTIFS('①在庫を貼る'!$V$6:$V$10005,'設定'!$C$4,'①在庫を貼る'!$W$6:$W$10005,$C216)&gt;0,SUMIFS('①在庫を貼る'!$O$6:$O$10005,'①在庫を貼る'!$V$6:$V$10005,'設定'!$C$4,'①在庫を貼る'!$W$6:$W$10005,$C216)/COUNTIFS('①在庫を貼る'!$V$6:$V$10005,'設定'!$C$4,'①在庫を貼る'!$W$6:$W$10005,$C216),IF(COUNTIFS('月1回_1ヶ月前の在庫'!$V$6:$V$10005,'設定'!$C$4,'月1回_1ヶ月前の在庫'!$W$6:$W$10005,$C216)&gt;0,SUMIFS('月1回_1ヶ月前の在庫'!$O$6:$O$10005,'月1回_1ヶ月前の在庫'!$V$6:$V$10005,'設定'!$C$4,'月1回_1ヶ月前の在庫'!$W$6:$W$10005,$C216)/COUNTIFS('月1回_1ヶ月前の在庫'!$V$6:$V$10005,'設定'!$C$4,'月1回_1ヶ月前の在庫'!$W$6:$W$10005,$C216),IF(COUNTIFS('月1回_2ヶ月前の在庫'!$V$6:$V$10005,'設定'!$C$4,'月1回_2ヶ月前の在庫'!$W$6:$W$10005,$C216)&gt;0,SUMIFS('月1回_2ヶ月前の在庫'!$O$6:$O$10005,'月1回_2ヶ月前の在庫'!$V$6:$V$10005,'設定'!$C$4,'月1回_2ヶ月前の在庫'!$W$6:$W$10005,$C216)/COUNTIFS('月1回_2ヶ月前の在庫'!$V$6:$V$10005,'設定'!$C$4,'月1回_2ヶ月前の在庫'!$W$6:$W$10005,$C216),0)))),"")))</f>
        <v/>
      </c>
      <c r="P216" s="90">
        <f>IF($C216="","",IF('②発注する'!$I220="","",'②発注する'!$I220))</f>
        <v/>
      </c>
      <c r="Q216">
        <f>IF($C216="","",IF('②発注する'!$J220="","",'②発注する'!$J220))</f>
        <v/>
      </c>
      <c r="R216">
        <f>IF($C216="",0,IF(AND(ISNUMBER($P216),ISNUMBER($Q216)),MAX(0,$Q216)*$G216,0))</f>
        <v/>
      </c>
      <c r="S216" s="90">
        <f>IF($C216="","",IF('②発注する'!$M220="","",'②発注する'!$M220))</f>
        <v/>
      </c>
      <c r="T216">
        <f>IF($C216="","",IF('②発注する'!$N220="","",'②発注する'!$N220))</f>
        <v/>
      </c>
      <c r="U216">
        <f>IF($C216="",0,IF(AND(ISNUMBER($S216),ISNUMBER($T216)),MAX(0,$T216)*$G216,0))</f>
        <v/>
      </c>
      <c r="V216">
        <f>IF($C216="",0,IF($M216="",0,MAX(0,$M216)*MAX(0,V$4)/100))</f>
        <v/>
      </c>
      <c r="W216">
        <f>IF($C216="",0,IF($M216="",0,MAX(0,$M216)*MAX(0,W$4)/100))</f>
        <v/>
      </c>
      <c r="X216">
        <f>IF($C216="",0,IF($M216="",0,MAX(0,$M216)*MAX(0,X$4)/100))</f>
        <v/>
      </c>
      <c r="Y216">
        <f>IF($C216="",0,IF($M216="",0,MAX(0,$M216)*MAX(0,Y$4)/100))</f>
        <v/>
      </c>
      <c r="Z216">
        <f>IF($C216="",0,IF($M216="",0,MAX(0,$M216)*MAX(0,Z$4)/100))</f>
        <v/>
      </c>
      <c r="AA216">
        <f>IF($C216="",0,IF($M216="",0,MAX(0,$M216)*MAX(0,AA$4)/100))</f>
        <v/>
      </c>
      <c r="AB216">
        <f>IF($C216="",0,IF($M216="",0,MAX(0,$M216)*MAX(0,AB$4)/100))</f>
        <v/>
      </c>
      <c r="AC216">
        <f>IF($C216="",0,IF($M216="",0,MAX(0,$M216)*MAX(0,AC$4)/100))</f>
        <v/>
      </c>
      <c r="AD216">
        <f>IF($C216="",0,IF($M216="",0,MAX(0,$M216)*MAX(0,AD$4)/100))</f>
        <v/>
      </c>
      <c r="AE216">
        <f>IF($C216="",0,IF($M216="",0,MAX(0,$M216)*MAX(0,AE$4)/100))</f>
        <v/>
      </c>
      <c r="AF216">
        <f>IF($C216="",0,IF($M216="",0,MAX(0,$M216)*MAX(0,AF$4)/100))</f>
        <v/>
      </c>
      <c r="AG216">
        <f>IF($C216="",0,IF($M216="",0,MAX(0,$M216)*MAX(0,AG$4)/100))</f>
        <v/>
      </c>
      <c r="AH216">
        <f>IF($C216="",0,IF($M216="",0,MAX(0,$M216)*MAX(0,AH$4)/100))</f>
        <v/>
      </c>
      <c r="AI216">
        <f>IF($C216="",0,IF($M216="",0,MAX(0,$M216)*MAX(0,AI$4)/100))</f>
        <v/>
      </c>
      <c r="AJ216">
        <f>IF($C216="",0,MAX(0,MAX(0,N($L216))-$V216))</f>
        <v/>
      </c>
      <c r="AK216">
        <f>IF($C216="",0,MAX(0,$AJ216-$W216))</f>
        <v/>
      </c>
      <c r="AL216">
        <f>IF($C216="",0,MAX(0,$AK216-$X216))</f>
        <v/>
      </c>
      <c r="AM216">
        <f>IF($C216="",0,MAX(0,$AL216-$Y216))</f>
        <v/>
      </c>
      <c r="AN216">
        <f>IF($C216="",0,MAX(0,$AM216-$Z216))</f>
        <v/>
      </c>
      <c r="AO216">
        <f>IF($C216="",0,MAX(0,$AN216-$AA216))</f>
        <v/>
      </c>
      <c r="AP216">
        <f>IF($C216="",0,MAX(0,$AO216-$AB216))</f>
        <v/>
      </c>
      <c r="AQ216">
        <f>IF($C216="",0,MAX(0,$AP216-$AC216))</f>
        <v/>
      </c>
      <c r="AR216">
        <f>IF($C216="",0,MAX(0,$AQ216-$AD216))</f>
        <v/>
      </c>
      <c r="AS216">
        <f>IF($C216="",0,MAX(0,$AR216-$AE216))</f>
        <v/>
      </c>
      <c r="AT216">
        <f>IF($C216="",0,MAX(0,$AS216-$AF216))</f>
        <v/>
      </c>
      <c r="AU216">
        <f>IF($C216="",0,MAX(0,$AT216-$AG216))</f>
        <v/>
      </c>
      <c r="AV216">
        <f>IF($C216="",0,MAX(0,$AU216-$AH216))</f>
        <v/>
      </c>
      <c r="AW216">
        <f>IF($C216="",0,MAX(0,$AV216-$AI216))</f>
        <v/>
      </c>
      <c r="AX216">
        <f>IF($C216="",0,MAX(0,MAX(0,N($L216))+IF($P216=V$3,$R216,0)+IF($S216=V$3,$U216,0)-$V216))</f>
        <v/>
      </c>
      <c r="AY216">
        <f>IF($C216="",0,MAX(0,$AX216+IF($P216=W$3,$R216,0)+IF($S216=W$3,$U216,0)-$W216))</f>
        <v/>
      </c>
      <c r="AZ216">
        <f>IF($C216="",0,MAX(0,$AY216+IF($P216=X$3,$R216,0)+IF($S216=X$3,$U216,0)-$X216))</f>
        <v/>
      </c>
      <c r="BA216">
        <f>IF($C216="",0,MAX(0,$AZ216+IF($P216=Y$3,$R216,0)+IF($S216=Y$3,$U216,0)-$Y216))</f>
        <v/>
      </c>
      <c r="BB216">
        <f>IF($C216="",0,MAX(0,$BA216+IF($P216=Z$3,$R216,0)+IF($S216=Z$3,$U216,0)-$Z216))</f>
        <v/>
      </c>
      <c r="BC216">
        <f>IF($C216="",0,MAX(0,$BB216+IF($P216=AA$3,$R216,0)+IF($S216=AA$3,$U216,0)-$AA216))</f>
        <v/>
      </c>
      <c r="BD216">
        <f>IF($C216="",0,MAX(0,$BC216+IF($P216=AB$3,$R216,0)+IF($S216=AB$3,$U216,0)-$AB216))</f>
        <v/>
      </c>
      <c r="BE216">
        <f>IF($C216="",0,MAX(0,$BD216+IF($P216=AC$3,$R216,0)+IF($S216=AC$3,$U216,0)-$AC216))</f>
        <v/>
      </c>
      <c r="BF216">
        <f>IF($C216="",0,MAX(0,$BE216+IF($P216=AD$3,$R216,0)+IF($S216=AD$3,$U216,0)-$AD216))</f>
        <v/>
      </c>
      <c r="BG216">
        <f>IF($C216="",0,MAX(0,$BF216+IF($P216=AE$3,$R216,0)+IF($S216=AE$3,$U216,0)-$AE216))</f>
        <v/>
      </c>
      <c r="BH216">
        <f>IF($C216="",0,MAX(0,$BG216+IF($P216=AF$3,$R216,0)+IF($S216=AF$3,$U216,0)-$AF216))</f>
        <v/>
      </c>
      <c r="BI216">
        <f>IF($C216="",0,MAX(0,$BH216+IF($P216=AG$3,$R216,0)+IF($S216=AG$3,$U216,0)-$AG216))</f>
        <v/>
      </c>
      <c r="BJ216">
        <f>IF($C216="",0,MAX(0,$BI216+IF($P216=AH$3,$R216,0)+IF($S216=AH$3,$U216,0)-$AH216))</f>
        <v/>
      </c>
      <c r="BK216">
        <f>IF($C216="",0,MAX(0,$BJ216+IF($P216=AI$3,$R216,0)+IF($S216=AI$3,$U216,0)-$AI216))</f>
        <v/>
      </c>
      <c r="BL216">
        <f>IF($C216="",99,IF(AND($AX216&lt;1,V$3&gt;=MAX(N($P216),N($S216))),0,99))</f>
        <v/>
      </c>
      <c r="BM216">
        <f>IF($C216="",99,IF(AND($AY216&lt;1,W$3&gt;=MAX(N($P216),N($S216))),1,99))</f>
        <v/>
      </c>
      <c r="BN216">
        <f>IF($C216="",99,IF(AND($AZ216&lt;1,X$3&gt;=MAX(N($P216),N($S216))),2,99))</f>
        <v/>
      </c>
      <c r="BO216">
        <f>IF($C216="",99,IF(AND($BA216&lt;1,Y$3&gt;=MAX(N($P216),N($S216))),3,99))</f>
        <v/>
      </c>
      <c r="BP216">
        <f>IF($C216="",99,IF(AND($BB216&lt;1,Z$3&gt;=MAX(N($P216),N($S216))),4,99))</f>
        <v/>
      </c>
      <c r="BQ216">
        <f>IF($C216="",99,IF(AND($BC216&lt;1,AA$3&gt;=MAX(N($P216),N($S216))),5,99))</f>
        <v/>
      </c>
      <c r="BR216">
        <f>IF($C216="",99,IF(AND($BD216&lt;1,AB$3&gt;=MAX(N($P216),N($S216))),6,99))</f>
        <v/>
      </c>
      <c r="BS216">
        <f>IF($C216="",99,IF(AND($BE216&lt;1,AC$3&gt;=MAX(N($P216),N($S216))),7,99))</f>
        <v/>
      </c>
      <c r="BT216">
        <f>IF($C216="",99,IF(AND($BF216&lt;1,AD$3&gt;=MAX(N($P216),N($S216))),8,99))</f>
        <v/>
      </c>
      <c r="BU216">
        <f>IF($C216="",99,IF(AND($BG216&lt;1,AE$3&gt;=MAX(N($P216),N($S216))),9,99))</f>
        <v/>
      </c>
      <c r="BV216">
        <f>IF($C216="",99,IF(AND($BH216&lt;1,AF$3&gt;=MAX(N($P216),N($S216))),10,99))</f>
        <v/>
      </c>
      <c r="BW216">
        <f>IF($C216="",99,IF(AND($BI216&lt;1,AG$3&gt;=MAX(N($P216),N($S216))),11,99))</f>
        <v/>
      </c>
      <c r="BX216">
        <f>IF($C216="",99,IF(AND($BJ216&lt;1,AH$3&gt;=MAX(N($P216),N($S216))),12,99))</f>
        <v/>
      </c>
      <c r="BY216">
        <f>IF($C216="",99,IF(AND($BK216&lt;1,AI$3&gt;=MAX(N($P216),N($S216))),13,99))</f>
        <v/>
      </c>
      <c r="BZ216">
        <f>IF(OR($C216="",$M216=""),"",COUNTIF($AJ216:$AW216,"&gt;=1"))</f>
        <v/>
      </c>
      <c r="CA216" s="90">
        <f>IF($BZ216="","",IF($BZ216&gt;=14,"",'設定'!$C$6+$BZ216))</f>
        <v/>
      </c>
      <c r="CB216">
        <f>IF(OR($C216="",$M216=""),"",MIN($BL216:$BY216))</f>
        <v/>
      </c>
      <c r="CC216" s="90">
        <f>IF($CB216="","",IF($CB216&gt;=99,"",'設定'!$C$6+$CB216))</f>
        <v/>
      </c>
      <c r="CD216">
        <f>IF(OR($C216="",$M216=""),"",AVERAGE($V216:$AI216))</f>
        <v/>
      </c>
      <c r="CE216">
        <f>IF($C216="","",IFERROR(IF(MATCH(IF(ISNUMBER($P216),$P216,'設定'!$C$6+N('設定'!$C$7)),$V$3:$AI$3,0)=1,MAX(0,N($L216)),INDEX($AJ216:$AW216,MATCH(IF(ISNUMBER($P216),$P216,'設定'!$C$6+N('設定'!$C$7)),$V$3:$AI$3,0)-1)),""))</f>
        <v/>
      </c>
      <c r="CF216">
        <f>IF(OR($C216="",$O216="",$CE216=""),"",IF($O216-$CE216&lt;=0,0,ROUNDUP(($O216-$CE216)/$G216,0)))</f>
        <v/>
      </c>
      <c r="CG216">
        <f>IF(OR($C216="",$CF216="",NOT(ISNUMBER($Q216))),0,MAX(0,$Q216-$CF216))</f>
        <v/>
      </c>
      <c r="CH216">
        <f>IF(OR($C216="",$O216="",$U216=0),0,IFERROR(ROUNDUP(MAX(0,IF(MATCH($S216,$V$3:$AI$3,0)=1,MAX(0,N($L216)),INDEX($AX216:$BK216,MATCH($S216,$V$3:$AI$3,0)-1))+$U216-$O216)/$G216,0),0))</f>
        <v/>
      </c>
      <c r="CI216">
        <f>IF($C216="","",IF(AND($P216="",$Q216=""),"",IF($P216="","⚠ 入庫日を ▼ から選んでください",IF(NOT(ISNUMBER($P216)),"⚠ 入庫日は ▼ から選んでください",IF($P216&lt;N('設定'!$C$6),"⚠ 入庫日が過去です（もう在庫に入っています）→ 消してください",IF($P216&gt;N('設定'!$C$6)+13,"⚠ 入庫日が14日より先です",IF(N($Q216)&lt;=0,"⚠ 入庫数を入れてください",IF($CG216&gt;0,"⚠ 目安より "&amp;$CG216&amp;" 多い（定数を超える）→ 減らす",""))))))))</f>
        <v/>
      </c>
      <c r="CJ216">
        <f>IF($C216="","",IF(AND($S216="",$T216=""),"",IF($S216="","⚠ 2便目：入庫日を ▼ から選んでください",IF(NOT(ISNUMBER($S216)),"⚠ 2便目：入庫日は ▼ から選んでください",IF($S216&lt;N('設定'!$C$6),"⚠ 2便目：入庫日が過去です（もう在庫に入っています）→ 消してください",IF($S216&gt;N('設定'!$C$6)+13,"⚠ 2便目：入庫日が14日より先です",IF(N($T216)&lt;=0,"⚠ 2便目：入庫数を入れてください",IF($CH216&gt;0,"⚠ 2便目：定数を "&amp;$CH216&amp;" ケース超える → 減らす",""))))))))</f>
        <v/>
      </c>
      <c r="CK216">
        <f>IF(AND($CI216="",N($Q216)&gt;0,ISNUMBER($P216)),1,0)</f>
        <v/>
      </c>
      <c r="CL216">
        <f>IF(AND($CJ216="",N($T216)&gt;0,ISNUMBER($S216)),1,0)</f>
        <v/>
      </c>
      <c r="CM216">
        <f>IF(OR($CK216=1,$CL216=1),1,0)</f>
        <v/>
      </c>
      <c r="CN216">
        <f>IF($C216="",0,($CK216*$R216+$CL216*$U216)*N($H216))</f>
        <v/>
      </c>
      <c r="CO216">
        <f>IF($C216="","",IF($CC216="","入庫後は 14日以上もつ",IF($CC216-N('設定'!$C$7)&lt;='設定'!$C$6,"入庫後も "&amp;TEXT($CC216,"m/d")&amp;"("&amp;CHOOSE(WEEKDAY($CC216),"日","月","火","水","木","金","土")&amp;")"&amp;" に切れる　もう1便を至急発注","入庫後も "&amp;TEXT($CC216,"m/d")&amp;"("&amp;CHOOSE(WEEKDAY($CC216),"日","月","火","水","木","金","土")&amp;")"&amp;" に切れる　"&amp;TEXT($CC216-N('設定'!$C$7),"m/d")&amp;"("&amp;CHOOSE(WEEKDAY($CC216-N('設定'!$C$7)),"日","月","火","水","木","金","土")&amp;")"&amp;" までに次を発注")))</f>
        <v/>
      </c>
      <c r="CP216">
        <f>IF($C216="","",IF('設定'!$C$6="","？ ①在庫を貼る に今日のCSVが貼られていない",IF($CS216=1,"－ 今日のCSVに無い（終売？）",IF($L216&lt;0,"● 在庫がマイナス　数えて「数えた在庫」に入れる",IF($L216=0,"● 在庫なし　至急発注",IF($M216="","？ 減り数が未設定（商品マスタ）",IF($B$3=0,"？ 動員が未入力（動員を入れる）",IF($CA216="","○ 14日以上もつ",IF($BZ216&lt;N('設定'!$C$7),"● "&amp;TEXT($CA216,"m/d")&amp;"("&amp;CHOOSE(WEEKDAY($CA216),"日","月","火","水","木","金","土")&amp;")"&amp;" に切れる　至急発注",IF($BZ216=N('設定'!$C$7),"● "&amp;TEXT($CA216,"m/d")&amp;"("&amp;CHOOSE(WEEKDAY($CA216),"日","月","火","水","木","金","土")&amp;")"&amp;" に切れる　今日発注","△ "&amp;TEXT($CA216,"m/d")&amp;"("&amp;CHOOSE(WEEKDAY($CA216),"日","月","火","水","木","金","土")&amp;")"&amp;" に切れる　"&amp;TEXT($CA216-N('設定'!$C$7),"m/d")&amp;"("&amp;CHOOSE(WEEKDAY($CA216-N('設定'!$C$7)),"日","月","火","水","木","金","土")&amp;")"&amp;" までに発注"))))))))))</f>
        <v/>
      </c>
      <c r="CQ216">
        <f>IF($C216="","",IF(AND($P216="",$Q216="",$S216="",$T216=""),"",IF(AND($P216="",$Q216=""),"⚠ 先に1便目（左の入庫日・入庫数）に入れてください",IF($CI216&lt;&gt;"",$CI216,IF($CJ216&lt;&gt;"",$CJ216,IF($M216="","？ 減り数が未設定（発注書には載ります）",IF($B$3=0,"？ 動員が未入力（発注書には載ります）",IF(AND($CA216&lt;&gt;"",$P216&gt;$CA216),IF($P216&gt;'設定'!$C$6+N('設定'!$C$7),"● "&amp;TEXT($P216,"m/d")&amp;"("&amp;CHOOSE(WEEKDAY($P216),"日","月","火","水","木","金","土")&amp;")"&amp;" の入庫では間に合わない（"&amp;TEXT($CA216,"m/d")&amp;"("&amp;CHOOSE(WEEKDAY($CA216),"日","月","火","水","木","金","土")&amp;")"&amp;" に切れる）　入庫日を早める","△ 欠品 "&amp;TEXT($CA216,"m/d")&amp;"("&amp;CHOOSE(WEEKDAY($CA216),"日","月","火","水","木","金","土")&amp;")"&amp;"〜"&amp;TEXT($P216-1,"m/d")&amp;"("&amp;CHOOSE(WEEKDAY($P216-1),"日","月","火","水","木","金","土")&amp;")"&amp;"　"&amp;$CO216),IF($CC216="","○ "&amp;TEXT($P216,"m/d")&amp;"("&amp;CHOOSE(WEEKDAY($P216),"日","月","火","水","木","金","土")&amp;")"&amp;" 入庫で 14日以上もつ",IF($CC216-N('設定'!$C$7)&lt;='設定'!$C$6,"● 入庫しても "&amp;TEXT($CC216,"m/d")&amp;"("&amp;CHOOSE(WEEKDAY($CC216),"日","月","火","水","木","金","土")&amp;")"&amp;" に切れる　もう1便を至急発注（2便目に入れる）","△ 入庫しても "&amp;TEXT($CC216,"m/d")&amp;"("&amp;CHOOSE(WEEKDAY($CC216),"日","月","火","水","木","金","土")&amp;")"&amp;" に切れる　"&amp;TEXT($CC216-N('設定'!$C$7),"m/d")&amp;"("&amp;CHOOSE(WEEKDAY($CC216-N('設定'!$C$7)),"日","月","火","水","木","金","土")&amp;")"&amp;" までに次を発注（2便目に入れる）"))))))))))</f>
        <v/>
      </c>
      <c r="CR216">
        <f>IF($C216="","",IF($G216&gt;1,"ｹｰｽ("&amp;$G216&amp;"入)","個"))</f>
        <v/>
      </c>
      <c r="CS216">
        <f>IF($C216="",0,IF(COUNTIFS('①在庫を貼る'!$V$6:$V$10005,'設定'!$C$4,'①在庫を貼る'!$W$6:$W$10005,$C216)=0,1,0))</f>
        <v/>
      </c>
      <c r="CT216">
        <f>IF(AND($CK216=1,OR('③発注書'!$C$4="すべて",'③発注書'!$C$4="",$F216='③発注書'!$C$4)),N($CT215)+1,N($CT215))</f>
        <v/>
      </c>
      <c r="CU216">
        <f>IF(AND($CL216=1,OR('③発注書'!$C$4="すべて",'③発注書'!$C$4="",$F216='③発注書'!$C$4)),N($CU215)+1,N($CU215))</f>
        <v/>
      </c>
      <c r="CV216">
        <f>IF($C216="",0,IF(COUNTIFS('①在庫を貼る'!$V$6:$V$10005,'設定'!$C$4,'①在庫を貼る'!$W$6:$W$10005,$C216)&gt;0,1,0))</f>
        <v/>
      </c>
      <c r="CW216">
        <f>IF($C216="",0,IF(COUNTIFS('月1回_1ヶ月前の在庫'!$V$6:$V$10005,'設定'!$C$4,'月1回_1ヶ月前の在庫'!$W$6:$W$10005,$C216)&gt;0,1,0))</f>
        <v/>
      </c>
      <c r="CX216">
        <f>IF($C216="",0,IF(COUNTIFS('月1回_2ヶ月前の在庫'!$V$6:$V$10005,'設定'!$C$4,'月1回_2ヶ月前の在庫'!$W$6:$W$10005,$C216)&gt;0,1,0))</f>
        <v/>
      </c>
      <c r="CY216">
        <f>IF(OR($C216="",'設定'!$C$12=""),"",IF('設定'!$C$13="",IF(AND($CV216=1,$CW216=0),"新商品（今月から）",IF(AND($CV216=0,$CW216=1),"終売（今月から）","")),IF(AND($CV216=1,$CW216=0,$CX216=0),"新商品（今月から）",IF(AND($CV216=1,$CW216=1,$CX216=0),"新商品（先月から）",IF(AND($CV216=0,$CW216=1,$CX216=1),"終売（今月から）",IF(AND($CV216=0,$CW216=0,$CX216=1),"終売（先月から）",IF(AND($CV216=1,$CW216=0,$CX216=1),"復活（先月は無し）","")))))))</f>
        <v/>
      </c>
    </row>
    <row r="217">
      <c r="B217">
        <f>IF(212&lt;='設定'!$C$11,212,"")</f>
        <v/>
      </c>
      <c r="C217">
        <f>IF($B217="","",IF($B217&lt;='設定'!$C$20,INDEX('商品マスタ'!$B$6:$B$1005,MATCH($B217,'商品マスタ'!$M$6:$M$1005,0)),IF($B217&lt;='設定'!$C$20+'設定'!$C$17,INDEX('①在庫を貼る'!$W$6:$W$10005,MATCH($B217-'設定'!$C$20,'①在庫を貼る'!$U$6:$U$10005,0)),IF($B217&lt;='設定'!$C$20+'設定'!$C$17+'設定'!$C$18,INDEX('月1回_1ヶ月前の在庫'!$W$6:$W$10005,MATCH($B217-'設定'!$C$20-'設定'!$C$17,'月1回_1ヶ月前の在庫'!$U$6:$U$10005,0)),INDEX('月1回_2ヶ月前の在庫'!$W$6:$W$10005,MATCH($B217-'設定'!$C$20-'設定'!$C$17-'設定'!$C$18,'月1回_2ヶ月前の在庫'!$U$6:$U$10005,0))))))</f>
        <v/>
      </c>
      <c r="D217">
        <f>IF($C217="","",IFERROR(IF(INDEX('商品マスタ'!$C$6:$C$1005,MATCH($C217,'商品マスタ'!$B$6:$B$1005,0))="",IFERROR(INDEX('①在庫を貼る'!$J$6:$J$10005,MATCH($C217,'①在庫を貼る'!$W$6:$W$10005,0)),IFERROR(INDEX('月1回_1ヶ月前の在庫'!$J$6:$J$10005,MATCH($C217,'月1回_1ヶ月前の在庫'!$W$6:$W$10005,0)),IFERROR(INDEX('月1回_2ヶ月前の在庫'!$J$6:$J$10005,MATCH($C217,'月1回_2ヶ月前の在庫'!$W$6:$W$10005,0)),""))),INDEX('商品マスタ'!$C$6:$C$1005,MATCH($C217,'商品マスタ'!$B$6:$B$1005,0))),IFERROR(INDEX('①在庫を貼る'!$J$6:$J$10005,MATCH($C217,'①在庫を貼る'!$W$6:$W$10005,0)),IFERROR(INDEX('月1回_1ヶ月前の在庫'!$J$6:$J$10005,MATCH($C217,'月1回_1ヶ月前の在庫'!$W$6:$W$10005,0)),IFERROR(INDEX('月1回_2ヶ月前の在庫'!$J$6:$J$10005,MATCH($C217,'月1回_2ヶ月前の在庫'!$W$6:$W$10005,0)),"")))))</f>
        <v/>
      </c>
      <c r="E217">
        <f>IF($C217="","",IFERROR(IF(INDEX('商品マスタ'!$D$6:$D$1005,MATCH($C217,'商品マスタ'!$B$6:$B$1005,0))="",IFERROR(INDEX('①在庫を貼る'!$H$6:$H$10005,MATCH($C217,'①在庫を貼る'!$W$6:$W$10005,0)),IFERROR(INDEX('月1回_1ヶ月前の在庫'!$H$6:$H$10005,MATCH($C217,'月1回_1ヶ月前の在庫'!$W$6:$W$10005,0)),IFERROR(INDEX('月1回_2ヶ月前の在庫'!$H$6:$H$10005,MATCH($C217,'月1回_2ヶ月前の在庫'!$W$6:$W$10005,0)),""))),INDEX('商品マスタ'!$D$6:$D$1005,MATCH($C217,'商品マスタ'!$B$6:$B$1005,0))),IFERROR(INDEX('①在庫を貼る'!$H$6:$H$10005,MATCH($C217,'①在庫を貼る'!$W$6:$W$10005,0)),IFERROR(INDEX('月1回_1ヶ月前の在庫'!$H$6:$H$10005,MATCH($C217,'月1回_1ヶ月前の在庫'!$W$6:$W$10005,0)),IFERROR(INDEX('月1回_2ヶ月前の在庫'!$H$6:$H$10005,MATCH($C217,'月1回_2ヶ月前の在庫'!$W$6:$W$10005,0)),"")))))</f>
        <v/>
      </c>
      <c r="F217">
        <f>IF($C217="","",IFERROR(IF(INDEX('商品マスタ'!$E$6:$E$1005,MATCH($C217,'商品マスタ'!$B$6:$B$1005,0))="",IFERROR(INDEX('①在庫を貼る'!$E$6:$E$10005,MATCH($C217,'①在庫を貼る'!$W$6:$W$10005,0)),IFERROR(INDEX('月1回_1ヶ月前の在庫'!$E$6:$E$10005,MATCH($C217,'月1回_1ヶ月前の在庫'!$W$6:$W$10005,0)),IFERROR(INDEX('月1回_2ヶ月前の在庫'!$E$6:$E$10005,MATCH($C217,'月1回_2ヶ月前の在庫'!$W$6:$W$10005,0)),""))),INDEX('商品マスタ'!$E$6:$E$1005,MATCH($C217,'商品マスタ'!$B$6:$B$1005,0))),IFERROR(INDEX('①在庫を貼る'!$E$6:$E$10005,MATCH($C217,'①在庫を貼る'!$W$6:$W$10005,0)),IFERROR(INDEX('月1回_1ヶ月前の在庫'!$E$6:$E$10005,MATCH($C217,'月1回_1ヶ月前の在庫'!$W$6:$W$10005,0)),IFERROR(INDEX('月1回_2ヶ月前の在庫'!$E$6:$E$10005,MATCH($C217,'月1回_2ヶ月前の在庫'!$W$6:$W$10005,0)),"")))))</f>
        <v/>
      </c>
      <c r="G217">
        <f>IF($C217="","",MAX(1,N(IFERROR(IF(INDEX('商品マスタ'!$F$6:$F$1005,MATCH($C217,'商品マスタ'!$B$6:$B$1005,0))="",IF(COUNTIFS('①在庫を貼る'!$V$6:$V$10005,'設定'!$C$4,'①在庫を貼る'!$W$6:$W$10005,$C217)&gt;0,SUMIFS('①在庫を貼る'!$K$6:$K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K$6:$K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K$6:$K$10005,'月1回_2ヶ月前の在庫'!$V$6:$V$10005,'設定'!$C$4,'月1回_2ヶ月前の在庫'!$W$6:$W$10005,$C217)/COUNTIFS('月1回_2ヶ月前の在庫'!$V$6:$V$10005,'設定'!$C$4,'月1回_2ヶ月前の在庫'!$W$6:$W$10005,$C217),0))),INDEX('商品マスタ'!$F$6:$F$1005,MATCH($C217,'商品マスタ'!$B$6:$B$1005,0))),IF(COUNTIFS('①在庫を貼る'!$V$6:$V$10005,'設定'!$C$4,'①在庫を貼る'!$W$6:$W$10005,$C217)&gt;0,SUMIFS('①在庫を貼る'!$K$6:$K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K$6:$K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K$6:$K$10005,'月1回_2ヶ月前の在庫'!$V$6:$V$10005,'設定'!$C$4,'月1回_2ヶ月前の在庫'!$W$6:$W$10005,$C217)/COUNTIFS('月1回_2ヶ月前の在庫'!$V$6:$V$10005,'設定'!$C$4,'月1回_2ヶ月前の在庫'!$W$6:$W$10005,$C217),0)))))))</f>
        <v/>
      </c>
      <c r="H217">
        <f>IF($C217="","",N(IFERROR(IF(INDEX('商品マスタ'!$G$6:$G$1005,MATCH($C217,'商品マスタ'!$B$6:$B$1005,0))="",IF(COUNTIFS('①在庫を貼る'!$V$6:$V$10005,'設定'!$C$4,'①在庫を貼る'!$W$6:$W$10005,$C217)&gt;0,SUMIFS('①在庫を貼る'!$Q$6:$Q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Q$6:$Q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Q$6:$Q$10005,'月1回_2ヶ月前の在庫'!$V$6:$V$10005,'設定'!$C$4,'月1回_2ヶ月前の在庫'!$W$6:$W$10005,$C217)/COUNTIFS('月1回_2ヶ月前の在庫'!$V$6:$V$10005,'設定'!$C$4,'月1回_2ヶ月前の在庫'!$W$6:$W$10005,$C217),0))),INDEX('商品マスタ'!$G$6:$G$1005,MATCH($C217,'商品マスタ'!$B$6:$B$1005,0))),IF(COUNTIFS('①在庫を貼る'!$V$6:$V$10005,'設定'!$C$4,'①在庫を貼る'!$W$6:$W$10005,$C217)&gt;0,SUMIFS('①在庫を貼る'!$Q$6:$Q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Q$6:$Q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Q$6:$Q$10005,'月1回_2ヶ月前の在庫'!$V$6:$V$10005,'設定'!$C$4,'月1回_2ヶ月前の在庫'!$W$6:$W$10005,$C217)/COUNTIFS('月1回_2ヶ月前の在庫'!$V$6:$V$10005,'設定'!$C$4,'月1回_2ヶ月前の在庫'!$W$6:$W$10005,$C217),0))))))</f>
        <v/>
      </c>
      <c r="I217">
        <f>IF($C217="","",IF(COUNTIFS('①在庫を貼る'!$V$6:$V$10005,'設定'!$C$4,'①在庫を貼る'!$W$6:$W$10005,$C217)=0,"",SUMIFS('①在庫を貼る'!$N$6:$N$10005,'①在庫を貼る'!$V$6:$V$10005,'設定'!$C$4,'①在庫を貼る'!$W$6:$W$10005,$C217)))</f>
        <v/>
      </c>
      <c r="J217">
        <f>IF($C217="","",IF('②発注する'!$AD221="","",'②発注する'!$AD221))</f>
        <v/>
      </c>
      <c r="K217" s="90">
        <f>IF($C217="","",IF('②発注する'!$AE221="","",'②発注する'!$AE221))</f>
        <v/>
      </c>
      <c r="L217">
        <f>IF($C217="","",IF(AND(ISNUMBER($J217),ISNUMBER($K217),$K217&gt;='設定'!$C$6),$J217,N($I217)))</f>
        <v/>
      </c>
      <c r="M217">
        <f>IF($C217="","",IFERROR(IF(N(INDEX('商品マスタ'!$J$6:$J$1005,MATCH($C217,'商品マスタ'!$B$6:$B$1005,0)))&gt;0,INDEX('商品マスタ'!$J$6:$J$1005,MATCH($C217,'商品マスタ'!$B$6:$B$1005,0)),""),""))</f>
        <v/>
      </c>
      <c r="N217">
        <f>IF($C217="","",IFERROR(IF(N(INDEX('商品マスタ'!$H$6:$H$1005,MATCH($C217,'商品マスタ'!$B$6:$B$1005,0)))&gt;0,INDEX('商品マスタ'!$H$6:$H$1005,MATCH($C217,'商品マスタ'!$B$6:$B$1005,0)),""),""))</f>
        <v/>
      </c>
      <c r="O217">
        <f>IF($C217="","",IF($N217&lt;&gt;"",$N217*$G217,IF(N(IF(COUNTIFS('①在庫を貼る'!$V$6:$V$10005,'設定'!$C$4,'①在庫を貼る'!$W$6:$W$10005,$C217)&gt;0,SUMIFS('①在庫を貼る'!$O$6:$O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O$6:$O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O$6:$O$10005,'月1回_2ヶ月前の在庫'!$V$6:$V$10005,'設定'!$C$4,'月1回_2ヶ月前の在庫'!$W$6:$W$10005,$C217)/COUNTIFS('月1回_2ヶ月前の在庫'!$V$6:$V$10005,'設定'!$C$4,'月1回_2ヶ月前の在庫'!$W$6:$W$10005,$C217),0))))&gt;0,N(IF(COUNTIFS('①在庫を貼る'!$V$6:$V$10005,'設定'!$C$4,'①在庫を貼る'!$W$6:$W$10005,$C217)&gt;0,SUMIFS('①在庫を貼る'!$O$6:$O$10005,'①在庫を貼る'!$V$6:$V$10005,'設定'!$C$4,'①在庫を貼る'!$W$6:$W$10005,$C217)/COUNTIFS('①在庫を貼る'!$V$6:$V$10005,'設定'!$C$4,'①在庫を貼る'!$W$6:$W$10005,$C217),IF(COUNTIFS('月1回_1ヶ月前の在庫'!$V$6:$V$10005,'設定'!$C$4,'月1回_1ヶ月前の在庫'!$W$6:$W$10005,$C217)&gt;0,SUMIFS('月1回_1ヶ月前の在庫'!$O$6:$O$10005,'月1回_1ヶ月前の在庫'!$V$6:$V$10005,'設定'!$C$4,'月1回_1ヶ月前の在庫'!$W$6:$W$10005,$C217)/COUNTIFS('月1回_1ヶ月前の在庫'!$V$6:$V$10005,'設定'!$C$4,'月1回_1ヶ月前の在庫'!$W$6:$W$10005,$C217),IF(COUNTIFS('月1回_2ヶ月前の在庫'!$V$6:$V$10005,'設定'!$C$4,'月1回_2ヶ月前の在庫'!$W$6:$W$10005,$C217)&gt;0,SUMIFS('月1回_2ヶ月前の在庫'!$O$6:$O$10005,'月1回_2ヶ月前の在庫'!$V$6:$V$10005,'設定'!$C$4,'月1回_2ヶ月前の在庫'!$W$6:$W$10005,$C217)/COUNTIFS('月1回_2ヶ月前の在庫'!$V$6:$V$10005,'設定'!$C$4,'月1回_2ヶ月前の在庫'!$W$6:$W$10005,$C217),0)))),"")))</f>
        <v/>
      </c>
      <c r="P217" s="90">
        <f>IF($C217="","",IF('②発注する'!$I221="","",'②発注する'!$I221))</f>
        <v/>
      </c>
      <c r="Q217">
        <f>IF($C217="","",IF('②発注する'!$J221="","",'②発注する'!$J221))</f>
        <v/>
      </c>
      <c r="R217">
        <f>IF($C217="",0,IF(AND(ISNUMBER($P217),ISNUMBER($Q217)),MAX(0,$Q217)*$G217,0))</f>
        <v/>
      </c>
      <c r="S217" s="90">
        <f>IF($C217="","",IF('②発注する'!$M221="","",'②発注する'!$M221))</f>
        <v/>
      </c>
      <c r="T217">
        <f>IF($C217="","",IF('②発注する'!$N221="","",'②発注する'!$N221))</f>
        <v/>
      </c>
      <c r="U217">
        <f>IF($C217="",0,IF(AND(ISNUMBER($S217),ISNUMBER($T217)),MAX(0,$T217)*$G217,0))</f>
        <v/>
      </c>
      <c r="V217">
        <f>IF($C217="",0,IF($M217="",0,MAX(0,$M217)*MAX(0,V$4)/100))</f>
        <v/>
      </c>
      <c r="W217">
        <f>IF($C217="",0,IF($M217="",0,MAX(0,$M217)*MAX(0,W$4)/100))</f>
        <v/>
      </c>
      <c r="X217">
        <f>IF($C217="",0,IF($M217="",0,MAX(0,$M217)*MAX(0,X$4)/100))</f>
        <v/>
      </c>
      <c r="Y217">
        <f>IF($C217="",0,IF($M217="",0,MAX(0,$M217)*MAX(0,Y$4)/100))</f>
        <v/>
      </c>
      <c r="Z217">
        <f>IF($C217="",0,IF($M217="",0,MAX(0,$M217)*MAX(0,Z$4)/100))</f>
        <v/>
      </c>
      <c r="AA217">
        <f>IF($C217="",0,IF($M217="",0,MAX(0,$M217)*MAX(0,AA$4)/100))</f>
        <v/>
      </c>
      <c r="AB217">
        <f>IF($C217="",0,IF($M217="",0,MAX(0,$M217)*MAX(0,AB$4)/100))</f>
        <v/>
      </c>
      <c r="AC217">
        <f>IF($C217="",0,IF($M217="",0,MAX(0,$M217)*MAX(0,AC$4)/100))</f>
        <v/>
      </c>
      <c r="AD217">
        <f>IF($C217="",0,IF($M217="",0,MAX(0,$M217)*MAX(0,AD$4)/100))</f>
        <v/>
      </c>
      <c r="AE217">
        <f>IF($C217="",0,IF($M217="",0,MAX(0,$M217)*MAX(0,AE$4)/100))</f>
        <v/>
      </c>
      <c r="AF217">
        <f>IF($C217="",0,IF($M217="",0,MAX(0,$M217)*MAX(0,AF$4)/100))</f>
        <v/>
      </c>
      <c r="AG217">
        <f>IF($C217="",0,IF($M217="",0,MAX(0,$M217)*MAX(0,AG$4)/100))</f>
        <v/>
      </c>
      <c r="AH217">
        <f>IF($C217="",0,IF($M217="",0,MAX(0,$M217)*MAX(0,AH$4)/100))</f>
        <v/>
      </c>
      <c r="AI217">
        <f>IF($C217="",0,IF($M217="",0,MAX(0,$M217)*MAX(0,AI$4)/100))</f>
        <v/>
      </c>
      <c r="AJ217">
        <f>IF($C217="",0,MAX(0,MAX(0,N($L217))-$V217))</f>
        <v/>
      </c>
      <c r="AK217">
        <f>IF($C217="",0,MAX(0,$AJ217-$W217))</f>
        <v/>
      </c>
      <c r="AL217">
        <f>IF($C217="",0,MAX(0,$AK217-$X217))</f>
        <v/>
      </c>
      <c r="AM217">
        <f>IF($C217="",0,MAX(0,$AL217-$Y217))</f>
        <v/>
      </c>
      <c r="AN217">
        <f>IF($C217="",0,MAX(0,$AM217-$Z217))</f>
        <v/>
      </c>
      <c r="AO217">
        <f>IF($C217="",0,MAX(0,$AN217-$AA217))</f>
        <v/>
      </c>
      <c r="AP217">
        <f>IF($C217="",0,MAX(0,$AO217-$AB217))</f>
        <v/>
      </c>
      <c r="AQ217">
        <f>IF($C217="",0,MAX(0,$AP217-$AC217))</f>
        <v/>
      </c>
      <c r="AR217">
        <f>IF($C217="",0,MAX(0,$AQ217-$AD217))</f>
        <v/>
      </c>
      <c r="AS217">
        <f>IF($C217="",0,MAX(0,$AR217-$AE217))</f>
        <v/>
      </c>
      <c r="AT217">
        <f>IF($C217="",0,MAX(0,$AS217-$AF217))</f>
        <v/>
      </c>
      <c r="AU217">
        <f>IF($C217="",0,MAX(0,$AT217-$AG217))</f>
        <v/>
      </c>
      <c r="AV217">
        <f>IF($C217="",0,MAX(0,$AU217-$AH217))</f>
        <v/>
      </c>
      <c r="AW217">
        <f>IF($C217="",0,MAX(0,$AV217-$AI217))</f>
        <v/>
      </c>
      <c r="AX217">
        <f>IF($C217="",0,MAX(0,MAX(0,N($L217))+IF($P217=V$3,$R217,0)+IF($S217=V$3,$U217,0)-$V217))</f>
        <v/>
      </c>
      <c r="AY217">
        <f>IF($C217="",0,MAX(0,$AX217+IF($P217=W$3,$R217,0)+IF($S217=W$3,$U217,0)-$W217))</f>
        <v/>
      </c>
      <c r="AZ217">
        <f>IF($C217="",0,MAX(0,$AY217+IF($P217=X$3,$R217,0)+IF($S217=X$3,$U217,0)-$X217))</f>
        <v/>
      </c>
      <c r="BA217">
        <f>IF($C217="",0,MAX(0,$AZ217+IF($P217=Y$3,$R217,0)+IF($S217=Y$3,$U217,0)-$Y217))</f>
        <v/>
      </c>
      <c r="BB217">
        <f>IF($C217="",0,MAX(0,$BA217+IF($P217=Z$3,$R217,0)+IF($S217=Z$3,$U217,0)-$Z217))</f>
        <v/>
      </c>
      <c r="BC217">
        <f>IF($C217="",0,MAX(0,$BB217+IF($P217=AA$3,$R217,0)+IF($S217=AA$3,$U217,0)-$AA217))</f>
        <v/>
      </c>
      <c r="BD217">
        <f>IF($C217="",0,MAX(0,$BC217+IF($P217=AB$3,$R217,0)+IF($S217=AB$3,$U217,0)-$AB217))</f>
        <v/>
      </c>
      <c r="BE217">
        <f>IF($C217="",0,MAX(0,$BD217+IF($P217=AC$3,$R217,0)+IF($S217=AC$3,$U217,0)-$AC217))</f>
        <v/>
      </c>
      <c r="BF217">
        <f>IF($C217="",0,MAX(0,$BE217+IF($P217=AD$3,$R217,0)+IF($S217=AD$3,$U217,0)-$AD217))</f>
        <v/>
      </c>
      <c r="BG217">
        <f>IF($C217="",0,MAX(0,$BF217+IF($P217=AE$3,$R217,0)+IF($S217=AE$3,$U217,0)-$AE217))</f>
        <v/>
      </c>
      <c r="BH217">
        <f>IF($C217="",0,MAX(0,$BG217+IF($P217=AF$3,$R217,0)+IF($S217=AF$3,$U217,0)-$AF217))</f>
        <v/>
      </c>
      <c r="BI217">
        <f>IF($C217="",0,MAX(0,$BH217+IF($P217=AG$3,$R217,0)+IF($S217=AG$3,$U217,0)-$AG217))</f>
        <v/>
      </c>
      <c r="BJ217">
        <f>IF($C217="",0,MAX(0,$BI217+IF($P217=AH$3,$R217,0)+IF($S217=AH$3,$U217,0)-$AH217))</f>
        <v/>
      </c>
      <c r="BK217">
        <f>IF($C217="",0,MAX(0,$BJ217+IF($P217=AI$3,$R217,0)+IF($S217=AI$3,$U217,0)-$AI217))</f>
        <v/>
      </c>
      <c r="BL217">
        <f>IF($C217="",99,IF(AND($AX217&lt;1,V$3&gt;=MAX(N($P217),N($S217))),0,99))</f>
        <v/>
      </c>
      <c r="BM217">
        <f>IF($C217="",99,IF(AND($AY217&lt;1,W$3&gt;=MAX(N($P217),N($S217))),1,99))</f>
        <v/>
      </c>
      <c r="BN217">
        <f>IF($C217="",99,IF(AND($AZ217&lt;1,X$3&gt;=MAX(N($P217),N($S217))),2,99))</f>
        <v/>
      </c>
      <c r="BO217">
        <f>IF($C217="",99,IF(AND($BA217&lt;1,Y$3&gt;=MAX(N($P217),N($S217))),3,99))</f>
        <v/>
      </c>
      <c r="BP217">
        <f>IF($C217="",99,IF(AND($BB217&lt;1,Z$3&gt;=MAX(N($P217),N($S217))),4,99))</f>
        <v/>
      </c>
      <c r="BQ217">
        <f>IF($C217="",99,IF(AND($BC217&lt;1,AA$3&gt;=MAX(N($P217),N($S217))),5,99))</f>
        <v/>
      </c>
      <c r="BR217">
        <f>IF($C217="",99,IF(AND($BD217&lt;1,AB$3&gt;=MAX(N($P217),N($S217))),6,99))</f>
        <v/>
      </c>
      <c r="BS217">
        <f>IF($C217="",99,IF(AND($BE217&lt;1,AC$3&gt;=MAX(N($P217),N($S217))),7,99))</f>
        <v/>
      </c>
      <c r="BT217">
        <f>IF($C217="",99,IF(AND($BF217&lt;1,AD$3&gt;=MAX(N($P217),N($S217))),8,99))</f>
        <v/>
      </c>
      <c r="BU217">
        <f>IF($C217="",99,IF(AND($BG217&lt;1,AE$3&gt;=MAX(N($P217),N($S217))),9,99))</f>
        <v/>
      </c>
      <c r="BV217">
        <f>IF($C217="",99,IF(AND($BH217&lt;1,AF$3&gt;=MAX(N($P217),N($S217))),10,99))</f>
        <v/>
      </c>
      <c r="BW217">
        <f>IF($C217="",99,IF(AND($BI217&lt;1,AG$3&gt;=MAX(N($P217),N($S217))),11,99))</f>
        <v/>
      </c>
      <c r="BX217">
        <f>IF($C217="",99,IF(AND($BJ217&lt;1,AH$3&gt;=MAX(N($P217),N($S217))),12,99))</f>
        <v/>
      </c>
      <c r="BY217">
        <f>IF($C217="",99,IF(AND($BK217&lt;1,AI$3&gt;=MAX(N($P217),N($S217))),13,99))</f>
        <v/>
      </c>
      <c r="BZ217">
        <f>IF(OR($C217="",$M217=""),"",COUNTIF($AJ217:$AW217,"&gt;=1"))</f>
        <v/>
      </c>
      <c r="CA217" s="90">
        <f>IF($BZ217="","",IF($BZ217&gt;=14,"",'設定'!$C$6+$BZ217))</f>
        <v/>
      </c>
      <c r="CB217">
        <f>IF(OR($C217="",$M217=""),"",MIN($BL217:$BY217))</f>
        <v/>
      </c>
      <c r="CC217" s="90">
        <f>IF($CB217="","",IF($CB217&gt;=99,"",'設定'!$C$6+$CB217))</f>
        <v/>
      </c>
      <c r="CD217">
        <f>IF(OR($C217="",$M217=""),"",AVERAGE($V217:$AI217))</f>
        <v/>
      </c>
      <c r="CE217">
        <f>IF($C217="","",IFERROR(IF(MATCH(IF(ISNUMBER($P217),$P217,'設定'!$C$6+N('設定'!$C$7)),$V$3:$AI$3,0)=1,MAX(0,N($L217)),INDEX($AJ217:$AW217,MATCH(IF(ISNUMBER($P217),$P217,'設定'!$C$6+N('設定'!$C$7)),$V$3:$AI$3,0)-1)),""))</f>
        <v/>
      </c>
      <c r="CF217">
        <f>IF(OR($C217="",$O217="",$CE217=""),"",IF($O217-$CE217&lt;=0,0,ROUNDUP(($O217-$CE217)/$G217,0)))</f>
        <v/>
      </c>
      <c r="CG217">
        <f>IF(OR($C217="",$CF217="",NOT(ISNUMBER($Q217))),0,MAX(0,$Q217-$CF217))</f>
        <v/>
      </c>
      <c r="CH217">
        <f>IF(OR($C217="",$O217="",$U217=0),0,IFERROR(ROUNDUP(MAX(0,IF(MATCH($S217,$V$3:$AI$3,0)=1,MAX(0,N($L217)),INDEX($AX217:$BK217,MATCH($S217,$V$3:$AI$3,0)-1))+$U217-$O217)/$G217,0),0))</f>
        <v/>
      </c>
      <c r="CI217">
        <f>IF($C217="","",IF(AND($P217="",$Q217=""),"",IF($P217="","⚠ 入庫日を ▼ から選んでください",IF(NOT(ISNUMBER($P217)),"⚠ 入庫日は ▼ から選んでください",IF($P217&lt;N('設定'!$C$6),"⚠ 入庫日が過去です（もう在庫に入っています）→ 消してください",IF($P217&gt;N('設定'!$C$6)+13,"⚠ 入庫日が14日より先です",IF(N($Q217)&lt;=0,"⚠ 入庫数を入れてください",IF($CG217&gt;0,"⚠ 目安より "&amp;$CG217&amp;" 多い（定数を超える）→ 減らす",""))))))))</f>
        <v/>
      </c>
      <c r="CJ217">
        <f>IF($C217="","",IF(AND($S217="",$T217=""),"",IF($S217="","⚠ 2便目：入庫日を ▼ から選んでください",IF(NOT(ISNUMBER($S217)),"⚠ 2便目：入庫日は ▼ から選んでください",IF($S217&lt;N('設定'!$C$6),"⚠ 2便目：入庫日が過去です（もう在庫に入っています）→ 消してください",IF($S217&gt;N('設定'!$C$6)+13,"⚠ 2便目：入庫日が14日より先です",IF(N($T217)&lt;=0,"⚠ 2便目：入庫数を入れてください",IF($CH217&gt;0,"⚠ 2便目：定数を "&amp;$CH217&amp;" ケース超える → 減らす",""))))))))</f>
        <v/>
      </c>
      <c r="CK217">
        <f>IF(AND($CI217="",N($Q217)&gt;0,ISNUMBER($P217)),1,0)</f>
        <v/>
      </c>
      <c r="CL217">
        <f>IF(AND($CJ217="",N($T217)&gt;0,ISNUMBER($S217)),1,0)</f>
        <v/>
      </c>
      <c r="CM217">
        <f>IF(OR($CK217=1,$CL217=1),1,0)</f>
        <v/>
      </c>
      <c r="CN217">
        <f>IF($C217="",0,($CK217*$R217+$CL217*$U217)*N($H217))</f>
        <v/>
      </c>
      <c r="CO217">
        <f>IF($C217="","",IF($CC217="","入庫後は 14日以上もつ",IF($CC217-N('設定'!$C$7)&lt;='設定'!$C$6,"入庫後も "&amp;TEXT($CC217,"m/d")&amp;"("&amp;CHOOSE(WEEKDAY($CC217),"日","月","火","水","木","金","土")&amp;")"&amp;" に切れる　もう1便を至急発注","入庫後も "&amp;TEXT($CC217,"m/d")&amp;"("&amp;CHOOSE(WEEKDAY($CC217),"日","月","火","水","木","金","土")&amp;")"&amp;" に切れる　"&amp;TEXT($CC217-N('設定'!$C$7),"m/d")&amp;"("&amp;CHOOSE(WEEKDAY($CC217-N('設定'!$C$7)),"日","月","火","水","木","金","土")&amp;")"&amp;" までに次を発注")))</f>
        <v/>
      </c>
      <c r="CP217">
        <f>IF($C217="","",IF('設定'!$C$6="","？ ①在庫を貼る に今日のCSVが貼られていない",IF($CS217=1,"－ 今日のCSVに無い（終売？）",IF($L217&lt;0,"● 在庫がマイナス　数えて「数えた在庫」に入れる",IF($L217=0,"● 在庫なし　至急発注",IF($M217="","？ 減り数が未設定（商品マスタ）",IF($B$3=0,"？ 動員が未入力（動員を入れる）",IF($CA217="","○ 14日以上もつ",IF($BZ217&lt;N('設定'!$C$7),"● "&amp;TEXT($CA217,"m/d")&amp;"("&amp;CHOOSE(WEEKDAY($CA217),"日","月","火","水","木","金","土")&amp;")"&amp;" に切れる　至急発注",IF($BZ217=N('設定'!$C$7),"● "&amp;TEXT($CA217,"m/d")&amp;"("&amp;CHOOSE(WEEKDAY($CA217),"日","月","火","水","木","金","土")&amp;")"&amp;" に切れる　今日発注","△ "&amp;TEXT($CA217,"m/d")&amp;"("&amp;CHOOSE(WEEKDAY($CA217),"日","月","火","水","木","金","土")&amp;")"&amp;" に切れる　"&amp;TEXT($CA217-N('設定'!$C$7),"m/d")&amp;"("&amp;CHOOSE(WEEKDAY($CA217-N('設定'!$C$7)),"日","月","火","水","木","金","土")&amp;")"&amp;" までに発注"))))))))))</f>
        <v/>
      </c>
      <c r="CQ217">
        <f>IF($C217="","",IF(AND($P217="",$Q217="",$S217="",$T217=""),"",IF(AND($P217="",$Q217=""),"⚠ 先に1便目（左の入庫日・入庫数）に入れてください",IF($CI217&lt;&gt;"",$CI217,IF($CJ217&lt;&gt;"",$CJ217,IF($M217="","？ 減り数が未設定（発注書には載ります）",IF($B$3=0,"？ 動員が未入力（発注書には載ります）",IF(AND($CA217&lt;&gt;"",$P217&gt;$CA217),IF($P217&gt;'設定'!$C$6+N('設定'!$C$7),"● "&amp;TEXT($P217,"m/d")&amp;"("&amp;CHOOSE(WEEKDAY($P217),"日","月","火","水","木","金","土")&amp;")"&amp;" の入庫では間に合わない（"&amp;TEXT($CA217,"m/d")&amp;"("&amp;CHOOSE(WEEKDAY($CA217),"日","月","火","水","木","金","土")&amp;")"&amp;" に切れる）　入庫日を早める","△ 欠品 "&amp;TEXT($CA217,"m/d")&amp;"("&amp;CHOOSE(WEEKDAY($CA217),"日","月","火","水","木","金","土")&amp;")"&amp;"〜"&amp;TEXT($P217-1,"m/d")&amp;"("&amp;CHOOSE(WEEKDAY($P217-1),"日","月","火","水","木","金","土")&amp;")"&amp;"　"&amp;$CO217),IF($CC217="","○ "&amp;TEXT($P217,"m/d")&amp;"("&amp;CHOOSE(WEEKDAY($P217),"日","月","火","水","木","金","土")&amp;")"&amp;" 入庫で 14日以上もつ",IF($CC217-N('設定'!$C$7)&lt;='設定'!$C$6,"● 入庫しても "&amp;TEXT($CC217,"m/d")&amp;"("&amp;CHOOSE(WEEKDAY($CC217),"日","月","火","水","木","金","土")&amp;")"&amp;" に切れる　もう1便を至急発注（2便目に入れる）","△ 入庫しても "&amp;TEXT($CC217,"m/d")&amp;"("&amp;CHOOSE(WEEKDAY($CC217),"日","月","火","水","木","金","土")&amp;")"&amp;" に切れる　"&amp;TEXT($CC217-N('設定'!$C$7),"m/d")&amp;"("&amp;CHOOSE(WEEKDAY($CC217-N('設定'!$C$7)),"日","月","火","水","木","金","土")&amp;")"&amp;" までに次を発注（2便目に入れる）"))))))))))</f>
        <v/>
      </c>
      <c r="CR217">
        <f>IF($C217="","",IF($G217&gt;1,"ｹｰｽ("&amp;$G217&amp;"入)","個"))</f>
        <v/>
      </c>
      <c r="CS217">
        <f>IF($C217="",0,IF(COUNTIFS('①在庫を貼る'!$V$6:$V$10005,'設定'!$C$4,'①在庫を貼る'!$W$6:$W$10005,$C217)=0,1,0))</f>
        <v/>
      </c>
      <c r="CT217">
        <f>IF(AND($CK217=1,OR('③発注書'!$C$4="すべて",'③発注書'!$C$4="",$F217='③発注書'!$C$4)),N($CT216)+1,N($CT216))</f>
        <v/>
      </c>
      <c r="CU217">
        <f>IF(AND($CL217=1,OR('③発注書'!$C$4="すべて",'③発注書'!$C$4="",$F217='③発注書'!$C$4)),N($CU216)+1,N($CU216))</f>
        <v/>
      </c>
      <c r="CV217">
        <f>IF($C217="",0,IF(COUNTIFS('①在庫を貼る'!$V$6:$V$10005,'設定'!$C$4,'①在庫を貼る'!$W$6:$W$10005,$C217)&gt;0,1,0))</f>
        <v/>
      </c>
      <c r="CW217">
        <f>IF($C217="",0,IF(COUNTIFS('月1回_1ヶ月前の在庫'!$V$6:$V$10005,'設定'!$C$4,'月1回_1ヶ月前の在庫'!$W$6:$W$10005,$C217)&gt;0,1,0))</f>
        <v/>
      </c>
      <c r="CX217">
        <f>IF($C217="",0,IF(COUNTIFS('月1回_2ヶ月前の在庫'!$V$6:$V$10005,'設定'!$C$4,'月1回_2ヶ月前の在庫'!$W$6:$W$10005,$C217)&gt;0,1,0))</f>
        <v/>
      </c>
      <c r="CY217">
        <f>IF(OR($C217="",'設定'!$C$12=""),"",IF('設定'!$C$13="",IF(AND($CV217=1,$CW217=0),"新商品（今月から）",IF(AND($CV217=0,$CW217=1),"終売（今月から）","")),IF(AND($CV217=1,$CW217=0,$CX217=0),"新商品（今月から）",IF(AND($CV217=1,$CW217=1,$CX217=0),"新商品（先月から）",IF(AND($CV217=0,$CW217=1,$CX217=1),"終売（今月から）",IF(AND($CV217=0,$CW217=0,$CX217=1),"終売（先月から）",IF(AND($CV217=1,$CW217=0,$CX217=1),"復活（先月は無し）","")))))))</f>
        <v/>
      </c>
    </row>
    <row r="218">
      <c r="B218">
        <f>IF(213&lt;='設定'!$C$11,213,"")</f>
        <v/>
      </c>
      <c r="C218">
        <f>IF($B218="","",IF($B218&lt;='設定'!$C$20,INDEX('商品マスタ'!$B$6:$B$1005,MATCH($B218,'商品マスタ'!$M$6:$M$1005,0)),IF($B218&lt;='設定'!$C$20+'設定'!$C$17,INDEX('①在庫を貼る'!$W$6:$W$10005,MATCH($B218-'設定'!$C$20,'①在庫を貼る'!$U$6:$U$10005,0)),IF($B218&lt;='設定'!$C$20+'設定'!$C$17+'設定'!$C$18,INDEX('月1回_1ヶ月前の在庫'!$W$6:$W$10005,MATCH($B218-'設定'!$C$20-'設定'!$C$17,'月1回_1ヶ月前の在庫'!$U$6:$U$10005,0)),INDEX('月1回_2ヶ月前の在庫'!$W$6:$W$10005,MATCH($B218-'設定'!$C$20-'設定'!$C$17-'設定'!$C$18,'月1回_2ヶ月前の在庫'!$U$6:$U$10005,0))))))</f>
        <v/>
      </c>
      <c r="D218">
        <f>IF($C218="","",IFERROR(IF(INDEX('商品マスタ'!$C$6:$C$1005,MATCH($C218,'商品マスタ'!$B$6:$B$1005,0))="",IFERROR(INDEX('①在庫を貼る'!$J$6:$J$10005,MATCH($C218,'①在庫を貼る'!$W$6:$W$10005,0)),IFERROR(INDEX('月1回_1ヶ月前の在庫'!$J$6:$J$10005,MATCH($C218,'月1回_1ヶ月前の在庫'!$W$6:$W$10005,0)),IFERROR(INDEX('月1回_2ヶ月前の在庫'!$J$6:$J$10005,MATCH($C218,'月1回_2ヶ月前の在庫'!$W$6:$W$10005,0)),""))),INDEX('商品マスタ'!$C$6:$C$1005,MATCH($C218,'商品マスタ'!$B$6:$B$1005,0))),IFERROR(INDEX('①在庫を貼る'!$J$6:$J$10005,MATCH($C218,'①在庫を貼る'!$W$6:$W$10005,0)),IFERROR(INDEX('月1回_1ヶ月前の在庫'!$J$6:$J$10005,MATCH($C218,'月1回_1ヶ月前の在庫'!$W$6:$W$10005,0)),IFERROR(INDEX('月1回_2ヶ月前の在庫'!$J$6:$J$10005,MATCH($C218,'月1回_2ヶ月前の在庫'!$W$6:$W$10005,0)),"")))))</f>
        <v/>
      </c>
      <c r="E218">
        <f>IF($C218="","",IFERROR(IF(INDEX('商品マスタ'!$D$6:$D$1005,MATCH($C218,'商品マスタ'!$B$6:$B$1005,0))="",IFERROR(INDEX('①在庫を貼る'!$H$6:$H$10005,MATCH($C218,'①在庫を貼る'!$W$6:$W$10005,0)),IFERROR(INDEX('月1回_1ヶ月前の在庫'!$H$6:$H$10005,MATCH($C218,'月1回_1ヶ月前の在庫'!$W$6:$W$10005,0)),IFERROR(INDEX('月1回_2ヶ月前の在庫'!$H$6:$H$10005,MATCH($C218,'月1回_2ヶ月前の在庫'!$W$6:$W$10005,0)),""))),INDEX('商品マスタ'!$D$6:$D$1005,MATCH($C218,'商品マスタ'!$B$6:$B$1005,0))),IFERROR(INDEX('①在庫を貼る'!$H$6:$H$10005,MATCH($C218,'①在庫を貼る'!$W$6:$W$10005,0)),IFERROR(INDEX('月1回_1ヶ月前の在庫'!$H$6:$H$10005,MATCH($C218,'月1回_1ヶ月前の在庫'!$W$6:$W$10005,0)),IFERROR(INDEX('月1回_2ヶ月前の在庫'!$H$6:$H$10005,MATCH($C218,'月1回_2ヶ月前の在庫'!$W$6:$W$10005,0)),"")))))</f>
        <v/>
      </c>
      <c r="F218">
        <f>IF($C218="","",IFERROR(IF(INDEX('商品マスタ'!$E$6:$E$1005,MATCH($C218,'商品マスタ'!$B$6:$B$1005,0))="",IFERROR(INDEX('①在庫を貼る'!$E$6:$E$10005,MATCH($C218,'①在庫を貼る'!$W$6:$W$10005,0)),IFERROR(INDEX('月1回_1ヶ月前の在庫'!$E$6:$E$10005,MATCH($C218,'月1回_1ヶ月前の在庫'!$W$6:$W$10005,0)),IFERROR(INDEX('月1回_2ヶ月前の在庫'!$E$6:$E$10005,MATCH($C218,'月1回_2ヶ月前の在庫'!$W$6:$W$10005,0)),""))),INDEX('商品マスタ'!$E$6:$E$1005,MATCH($C218,'商品マスタ'!$B$6:$B$1005,0))),IFERROR(INDEX('①在庫を貼る'!$E$6:$E$10005,MATCH($C218,'①在庫を貼る'!$W$6:$W$10005,0)),IFERROR(INDEX('月1回_1ヶ月前の在庫'!$E$6:$E$10005,MATCH($C218,'月1回_1ヶ月前の在庫'!$W$6:$W$10005,0)),IFERROR(INDEX('月1回_2ヶ月前の在庫'!$E$6:$E$10005,MATCH($C218,'月1回_2ヶ月前の在庫'!$W$6:$W$10005,0)),"")))))</f>
        <v/>
      </c>
      <c r="G218">
        <f>IF($C218="","",MAX(1,N(IFERROR(IF(INDEX('商品マスタ'!$F$6:$F$1005,MATCH($C218,'商品マスタ'!$B$6:$B$1005,0))="",IF(COUNTIFS('①在庫を貼る'!$V$6:$V$10005,'設定'!$C$4,'①在庫を貼る'!$W$6:$W$10005,$C218)&gt;0,SUMIFS('①在庫を貼る'!$K$6:$K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K$6:$K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K$6:$K$10005,'月1回_2ヶ月前の在庫'!$V$6:$V$10005,'設定'!$C$4,'月1回_2ヶ月前の在庫'!$W$6:$W$10005,$C218)/COUNTIFS('月1回_2ヶ月前の在庫'!$V$6:$V$10005,'設定'!$C$4,'月1回_2ヶ月前の在庫'!$W$6:$W$10005,$C218),0))),INDEX('商品マスタ'!$F$6:$F$1005,MATCH($C218,'商品マスタ'!$B$6:$B$1005,0))),IF(COUNTIFS('①在庫を貼る'!$V$6:$V$10005,'設定'!$C$4,'①在庫を貼る'!$W$6:$W$10005,$C218)&gt;0,SUMIFS('①在庫を貼る'!$K$6:$K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K$6:$K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K$6:$K$10005,'月1回_2ヶ月前の在庫'!$V$6:$V$10005,'設定'!$C$4,'月1回_2ヶ月前の在庫'!$W$6:$W$10005,$C218)/COUNTIFS('月1回_2ヶ月前の在庫'!$V$6:$V$10005,'設定'!$C$4,'月1回_2ヶ月前の在庫'!$W$6:$W$10005,$C218),0)))))))</f>
        <v/>
      </c>
      <c r="H218">
        <f>IF($C218="","",N(IFERROR(IF(INDEX('商品マスタ'!$G$6:$G$1005,MATCH($C218,'商品マスタ'!$B$6:$B$1005,0))="",IF(COUNTIFS('①在庫を貼る'!$V$6:$V$10005,'設定'!$C$4,'①在庫を貼る'!$W$6:$W$10005,$C218)&gt;0,SUMIFS('①在庫を貼る'!$Q$6:$Q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Q$6:$Q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Q$6:$Q$10005,'月1回_2ヶ月前の在庫'!$V$6:$V$10005,'設定'!$C$4,'月1回_2ヶ月前の在庫'!$W$6:$W$10005,$C218)/COUNTIFS('月1回_2ヶ月前の在庫'!$V$6:$V$10005,'設定'!$C$4,'月1回_2ヶ月前の在庫'!$W$6:$W$10005,$C218),0))),INDEX('商品マスタ'!$G$6:$G$1005,MATCH($C218,'商品マスタ'!$B$6:$B$1005,0))),IF(COUNTIFS('①在庫を貼る'!$V$6:$V$10005,'設定'!$C$4,'①在庫を貼る'!$W$6:$W$10005,$C218)&gt;0,SUMIFS('①在庫を貼る'!$Q$6:$Q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Q$6:$Q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Q$6:$Q$10005,'月1回_2ヶ月前の在庫'!$V$6:$V$10005,'設定'!$C$4,'月1回_2ヶ月前の在庫'!$W$6:$W$10005,$C218)/COUNTIFS('月1回_2ヶ月前の在庫'!$V$6:$V$10005,'設定'!$C$4,'月1回_2ヶ月前の在庫'!$W$6:$W$10005,$C218),0))))))</f>
        <v/>
      </c>
      <c r="I218">
        <f>IF($C218="","",IF(COUNTIFS('①在庫を貼る'!$V$6:$V$10005,'設定'!$C$4,'①在庫を貼る'!$W$6:$W$10005,$C218)=0,"",SUMIFS('①在庫を貼る'!$N$6:$N$10005,'①在庫を貼る'!$V$6:$V$10005,'設定'!$C$4,'①在庫を貼る'!$W$6:$W$10005,$C218)))</f>
        <v/>
      </c>
      <c r="J218">
        <f>IF($C218="","",IF('②発注する'!$AD222="","",'②発注する'!$AD222))</f>
        <v/>
      </c>
      <c r="K218" s="90">
        <f>IF($C218="","",IF('②発注する'!$AE222="","",'②発注する'!$AE222))</f>
        <v/>
      </c>
      <c r="L218">
        <f>IF($C218="","",IF(AND(ISNUMBER($J218),ISNUMBER($K218),$K218&gt;='設定'!$C$6),$J218,N($I218)))</f>
        <v/>
      </c>
      <c r="M218">
        <f>IF($C218="","",IFERROR(IF(N(INDEX('商品マスタ'!$J$6:$J$1005,MATCH($C218,'商品マスタ'!$B$6:$B$1005,0)))&gt;0,INDEX('商品マスタ'!$J$6:$J$1005,MATCH($C218,'商品マスタ'!$B$6:$B$1005,0)),""),""))</f>
        <v/>
      </c>
      <c r="N218">
        <f>IF($C218="","",IFERROR(IF(N(INDEX('商品マスタ'!$H$6:$H$1005,MATCH($C218,'商品マスタ'!$B$6:$B$1005,0)))&gt;0,INDEX('商品マスタ'!$H$6:$H$1005,MATCH($C218,'商品マスタ'!$B$6:$B$1005,0)),""),""))</f>
        <v/>
      </c>
      <c r="O218">
        <f>IF($C218="","",IF($N218&lt;&gt;"",$N218*$G218,IF(N(IF(COUNTIFS('①在庫を貼る'!$V$6:$V$10005,'設定'!$C$4,'①在庫を貼る'!$W$6:$W$10005,$C218)&gt;0,SUMIFS('①在庫を貼る'!$O$6:$O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O$6:$O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O$6:$O$10005,'月1回_2ヶ月前の在庫'!$V$6:$V$10005,'設定'!$C$4,'月1回_2ヶ月前の在庫'!$W$6:$W$10005,$C218)/COUNTIFS('月1回_2ヶ月前の在庫'!$V$6:$V$10005,'設定'!$C$4,'月1回_2ヶ月前の在庫'!$W$6:$W$10005,$C218),0))))&gt;0,N(IF(COUNTIFS('①在庫を貼る'!$V$6:$V$10005,'設定'!$C$4,'①在庫を貼る'!$W$6:$W$10005,$C218)&gt;0,SUMIFS('①在庫を貼る'!$O$6:$O$10005,'①在庫を貼る'!$V$6:$V$10005,'設定'!$C$4,'①在庫を貼る'!$W$6:$W$10005,$C218)/COUNTIFS('①在庫を貼る'!$V$6:$V$10005,'設定'!$C$4,'①在庫を貼る'!$W$6:$W$10005,$C218),IF(COUNTIFS('月1回_1ヶ月前の在庫'!$V$6:$V$10005,'設定'!$C$4,'月1回_1ヶ月前の在庫'!$W$6:$W$10005,$C218)&gt;0,SUMIFS('月1回_1ヶ月前の在庫'!$O$6:$O$10005,'月1回_1ヶ月前の在庫'!$V$6:$V$10005,'設定'!$C$4,'月1回_1ヶ月前の在庫'!$W$6:$W$10005,$C218)/COUNTIFS('月1回_1ヶ月前の在庫'!$V$6:$V$10005,'設定'!$C$4,'月1回_1ヶ月前の在庫'!$W$6:$W$10005,$C218),IF(COUNTIFS('月1回_2ヶ月前の在庫'!$V$6:$V$10005,'設定'!$C$4,'月1回_2ヶ月前の在庫'!$W$6:$W$10005,$C218)&gt;0,SUMIFS('月1回_2ヶ月前の在庫'!$O$6:$O$10005,'月1回_2ヶ月前の在庫'!$V$6:$V$10005,'設定'!$C$4,'月1回_2ヶ月前の在庫'!$W$6:$W$10005,$C218)/COUNTIFS('月1回_2ヶ月前の在庫'!$V$6:$V$10005,'設定'!$C$4,'月1回_2ヶ月前の在庫'!$W$6:$W$10005,$C218),0)))),"")))</f>
        <v/>
      </c>
      <c r="P218" s="90">
        <f>IF($C218="","",IF('②発注する'!$I222="","",'②発注する'!$I222))</f>
        <v/>
      </c>
      <c r="Q218">
        <f>IF($C218="","",IF('②発注する'!$J222="","",'②発注する'!$J222))</f>
        <v/>
      </c>
      <c r="R218">
        <f>IF($C218="",0,IF(AND(ISNUMBER($P218),ISNUMBER($Q218)),MAX(0,$Q218)*$G218,0))</f>
        <v/>
      </c>
      <c r="S218" s="90">
        <f>IF($C218="","",IF('②発注する'!$M222="","",'②発注する'!$M222))</f>
        <v/>
      </c>
      <c r="T218">
        <f>IF($C218="","",IF('②発注する'!$N222="","",'②発注する'!$N222))</f>
        <v/>
      </c>
      <c r="U218">
        <f>IF($C218="",0,IF(AND(ISNUMBER($S218),ISNUMBER($T218)),MAX(0,$T218)*$G218,0))</f>
        <v/>
      </c>
      <c r="V218">
        <f>IF($C218="",0,IF($M218="",0,MAX(0,$M218)*MAX(0,V$4)/100))</f>
        <v/>
      </c>
      <c r="W218">
        <f>IF($C218="",0,IF($M218="",0,MAX(0,$M218)*MAX(0,W$4)/100))</f>
        <v/>
      </c>
      <c r="X218">
        <f>IF($C218="",0,IF($M218="",0,MAX(0,$M218)*MAX(0,X$4)/100))</f>
        <v/>
      </c>
      <c r="Y218">
        <f>IF($C218="",0,IF($M218="",0,MAX(0,$M218)*MAX(0,Y$4)/100))</f>
        <v/>
      </c>
      <c r="Z218">
        <f>IF($C218="",0,IF($M218="",0,MAX(0,$M218)*MAX(0,Z$4)/100))</f>
        <v/>
      </c>
      <c r="AA218">
        <f>IF($C218="",0,IF($M218="",0,MAX(0,$M218)*MAX(0,AA$4)/100))</f>
        <v/>
      </c>
      <c r="AB218">
        <f>IF($C218="",0,IF($M218="",0,MAX(0,$M218)*MAX(0,AB$4)/100))</f>
        <v/>
      </c>
      <c r="AC218">
        <f>IF($C218="",0,IF($M218="",0,MAX(0,$M218)*MAX(0,AC$4)/100))</f>
        <v/>
      </c>
      <c r="AD218">
        <f>IF($C218="",0,IF($M218="",0,MAX(0,$M218)*MAX(0,AD$4)/100))</f>
        <v/>
      </c>
      <c r="AE218">
        <f>IF($C218="",0,IF($M218="",0,MAX(0,$M218)*MAX(0,AE$4)/100))</f>
        <v/>
      </c>
      <c r="AF218">
        <f>IF($C218="",0,IF($M218="",0,MAX(0,$M218)*MAX(0,AF$4)/100))</f>
        <v/>
      </c>
      <c r="AG218">
        <f>IF($C218="",0,IF($M218="",0,MAX(0,$M218)*MAX(0,AG$4)/100))</f>
        <v/>
      </c>
      <c r="AH218">
        <f>IF($C218="",0,IF($M218="",0,MAX(0,$M218)*MAX(0,AH$4)/100))</f>
        <v/>
      </c>
      <c r="AI218">
        <f>IF($C218="",0,IF($M218="",0,MAX(0,$M218)*MAX(0,AI$4)/100))</f>
        <v/>
      </c>
      <c r="AJ218">
        <f>IF($C218="",0,MAX(0,MAX(0,N($L218))-$V218))</f>
        <v/>
      </c>
      <c r="AK218">
        <f>IF($C218="",0,MAX(0,$AJ218-$W218))</f>
        <v/>
      </c>
      <c r="AL218">
        <f>IF($C218="",0,MAX(0,$AK218-$X218))</f>
        <v/>
      </c>
      <c r="AM218">
        <f>IF($C218="",0,MAX(0,$AL218-$Y218))</f>
        <v/>
      </c>
      <c r="AN218">
        <f>IF($C218="",0,MAX(0,$AM218-$Z218))</f>
        <v/>
      </c>
      <c r="AO218">
        <f>IF($C218="",0,MAX(0,$AN218-$AA218))</f>
        <v/>
      </c>
      <c r="AP218">
        <f>IF($C218="",0,MAX(0,$AO218-$AB218))</f>
        <v/>
      </c>
      <c r="AQ218">
        <f>IF($C218="",0,MAX(0,$AP218-$AC218))</f>
        <v/>
      </c>
      <c r="AR218">
        <f>IF($C218="",0,MAX(0,$AQ218-$AD218))</f>
        <v/>
      </c>
      <c r="AS218">
        <f>IF($C218="",0,MAX(0,$AR218-$AE218))</f>
        <v/>
      </c>
      <c r="AT218">
        <f>IF($C218="",0,MAX(0,$AS218-$AF218))</f>
        <v/>
      </c>
      <c r="AU218">
        <f>IF($C218="",0,MAX(0,$AT218-$AG218))</f>
        <v/>
      </c>
      <c r="AV218">
        <f>IF($C218="",0,MAX(0,$AU218-$AH218))</f>
        <v/>
      </c>
      <c r="AW218">
        <f>IF($C218="",0,MAX(0,$AV218-$AI218))</f>
        <v/>
      </c>
      <c r="AX218">
        <f>IF($C218="",0,MAX(0,MAX(0,N($L218))+IF($P218=V$3,$R218,0)+IF($S218=V$3,$U218,0)-$V218))</f>
        <v/>
      </c>
      <c r="AY218">
        <f>IF($C218="",0,MAX(0,$AX218+IF($P218=W$3,$R218,0)+IF($S218=W$3,$U218,0)-$W218))</f>
        <v/>
      </c>
      <c r="AZ218">
        <f>IF($C218="",0,MAX(0,$AY218+IF($P218=X$3,$R218,0)+IF($S218=X$3,$U218,0)-$X218))</f>
        <v/>
      </c>
      <c r="BA218">
        <f>IF($C218="",0,MAX(0,$AZ218+IF($P218=Y$3,$R218,0)+IF($S218=Y$3,$U218,0)-$Y218))</f>
        <v/>
      </c>
      <c r="BB218">
        <f>IF($C218="",0,MAX(0,$BA218+IF($P218=Z$3,$R218,0)+IF($S218=Z$3,$U218,0)-$Z218))</f>
        <v/>
      </c>
      <c r="BC218">
        <f>IF($C218="",0,MAX(0,$BB218+IF($P218=AA$3,$R218,0)+IF($S218=AA$3,$U218,0)-$AA218))</f>
        <v/>
      </c>
      <c r="BD218">
        <f>IF($C218="",0,MAX(0,$BC218+IF($P218=AB$3,$R218,0)+IF($S218=AB$3,$U218,0)-$AB218))</f>
        <v/>
      </c>
      <c r="BE218">
        <f>IF($C218="",0,MAX(0,$BD218+IF($P218=AC$3,$R218,0)+IF($S218=AC$3,$U218,0)-$AC218))</f>
        <v/>
      </c>
      <c r="BF218">
        <f>IF($C218="",0,MAX(0,$BE218+IF($P218=AD$3,$R218,0)+IF($S218=AD$3,$U218,0)-$AD218))</f>
        <v/>
      </c>
      <c r="BG218">
        <f>IF($C218="",0,MAX(0,$BF218+IF($P218=AE$3,$R218,0)+IF($S218=AE$3,$U218,0)-$AE218))</f>
        <v/>
      </c>
      <c r="BH218">
        <f>IF($C218="",0,MAX(0,$BG218+IF($P218=AF$3,$R218,0)+IF($S218=AF$3,$U218,0)-$AF218))</f>
        <v/>
      </c>
      <c r="BI218">
        <f>IF($C218="",0,MAX(0,$BH218+IF($P218=AG$3,$R218,0)+IF($S218=AG$3,$U218,0)-$AG218))</f>
        <v/>
      </c>
      <c r="BJ218">
        <f>IF($C218="",0,MAX(0,$BI218+IF($P218=AH$3,$R218,0)+IF($S218=AH$3,$U218,0)-$AH218))</f>
        <v/>
      </c>
      <c r="BK218">
        <f>IF($C218="",0,MAX(0,$BJ218+IF($P218=AI$3,$R218,0)+IF($S218=AI$3,$U218,0)-$AI218))</f>
        <v/>
      </c>
      <c r="BL218">
        <f>IF($C218="",99,IF(AND($AX218&lt;1,V$3&gt;=MAX(N($P218),N($S218))),0,99))</f>
        <v/>
      </c>
      <c r="BM218">
        <f>IF($C218="",99,IF(AND($AY218&lt;1,W$3&gt;=MAX(N($P218),N($S218))),1,99))</f>
        <v/>
      </c>
      <c r="BN218">
        <f>IF($C218="",99,IF(AND($AZ218&lt;1,X$3&gt;=MAX(N($P218),N($S218))),2,99))</f>
        <v/>
      </c>
      <c r="BO218">
        <f>IF($C218="",99,IF(AND($BA218&lt;1,Y$3&gt;=MAX(N($P218),N($S218))),3,99))</f>
        <v/>
      </c>
      <c r="BP218">
        <f>IF($C218="",99,IF(AND($BB218&lt;1,Z$3&gt;=MAX(N($P218),N($S218))),4,99))</f>
        <v/>
      </c>
      <c r="BQ218">
        <f>IF($C218="",99,IF(AND($BC218&lt;1,AA$3&gt;=MAX(N($P218),N($S218))),5,99))</f>
        <v/>
      </c>
      <c r="BR218">
        <f>IF($C218="",99,IF(AND($BD218&lt;1,AB$3&gt;=MAX(N($P218),N($S218))),6,99))</f>
        <v/>
      </c>
      <c r="BS218">
        <f>IF($C218="",99,IF(AND($BE218&lt;1,AC$3&gt;=MAX(N($P218),N($S218))),7,99))</f>
        <v/>
      </c>
      <c r="BT218">
        <f>IF($C218="",99,IF(AND($BF218&lt;1,AD$3&gt;=MAX(N($P218),N($S218))),8,99))</f>
        <v/>
      </c>
      <c r="BU218">
        <f>IF($C218="",99,IF(AND($BG218&lt;1,AE$3&gt;=MAX(N($P218),N($S218))),9,99))</f>
        <v/>
      </c>
      <c r="BV218">
        <f>IF($C218="",99,IF(AND($BH218&lt;1,AF$3&gt;=MAX(N($P218),N($S218))),10,99))</f>
        <v/>
      </c>
      <c r="BW218">
        <f>IF($C218="",99,IF(AND($BI218&lt;1,AG$3&gt;=MAX(N($P218),N($S218))),11,99))</f>
        <v/>
      </c>
      <c r="BX218">
        <f>IF($C218="",99,IF(AND($BJ218&lt;1,AH$3&gt;=MAX(N($P218),N($S218))),12,99))</f>
        <v/>
      </c>
      <c r="BY218">
        <f>IF($C218="",99,IF(AND($BK218&lt;1,AI$3&gt;=MAX(N($P218),N($S218))),13,99))</f>
        <v/>
      </c>
      <c r="BZ218">
        <f>IF(OR($C218="",$M218=""),"",COUNTIF($AJ218:$AW218,"&gt;=1"))</f>
        <v/>
      </c>
      <c r="CA218" s="90">
        <f>IF($BZ218="","",IF($BZ218&gt;=14,"",'設定'!$C$6+$BZ218))</f>
        <v/>
      </c>
      <c r="CB218">
        <f>IF(OR($C218="",$M218=""),"",MIN($BL218:$BY218))</f>
        <v/>
      </c>
      <c r="CC218" s="90">
        <f>IF($CB218="","",IF($CB218&gt;=99,"",'設定'!$C$6+$CB218))</f>
        <v/>
      </c>
      <c r="CD218">
        <f>IF(OR($C218="",$M218=""),"",AVERAGE($V218:$AI218))</f>
        <v/>
      </c>
      <c r="CE218">
        <f>IF($C218="","",IFERROR(IF(MATCH(IF(ISNUMBER($P218),$P218,'設定'!$C$6+N('設定'!$C$7)),$V$3:$AI$3,0)=1,MAX(0,N($L218)),INDEX($AJ218:$AW218,MATCH(IF(ISNUMBER($P218),$P218,'設定'!$C$6+N('設定'!$C$7)),$V$3:$AI$3,0)-1)),""))</f>
        <v/>
      </c>
      <c r="CF218">
        <f>IF(OR($C218="",$O218="",$CE218=""),"",IF($O218-$CE218&lt;=0,0,ROUNDUP(($O218-$CE218)/$G218,0)))</f>
        <v/>
      </c>
      <c r="CG218">
        <f>IF(OR($C218="",$CF218="",NOT(ISNUMBER($Q218))),0,MAX(0,$Q218-$CF218))</f>
        <v/>
      </c>
      <c r="CH218">
        <f>IF(OR($C218="",$O218="",$U218=0),0,IFERROR(ROUNDUP(MAX(0,IF(MATCH($S218,$V$3:$AI$3,0)=1,MAX(0,N($L218)),INDEX($AX218:$BK218,MATCH($S218,$V$3:$AI$3,0)-1))+$U218-$O218)/$G218,0),0))</f>
        <v/>
      </c>
      <c r="CI218">
        <f>IF($C218="","",IF(AND($P218="",$Q218=""),"",IF($P218="","⚠ 入庫日を ▼ から選んでください",IF(NOT(ISNUMBER($P218)),"⚠ 入庫日は ▼ から選んでください",IF($P218&lt;N('設定'!$C$6),"⚠ 入庫日が過去です（もう在庫に入っています）→ 消してください",IF($P218&gt;N('設定'!$C$6)+13,"⚠ 入庫日が14日より先です",IF(N($Q218)&lt;=0,"⚠ 入庫数を入れてください",IF($CG218&gt;0,"⚠ 目安より "&amp;$CG218&amp;" 多い（定数を超える）→ 減らす",""))))))))</f>
        <v/>
      </c>
      <c r="CJ218">
        <f>IF($C218="","",IF(AND($S218="",$T218=""),"",IF($S218="","⚠ 2便目：入庫日を ▼ から選んでください",IF(NOT(ISNUMBER($S218)),"⚠ 2便目：入庫日は ▼ から選んでください",IF($S218&lt;N('設定'!$C$6),"⚠ 2便目：入庫日が過去です（もう在庫に入っています）→ 消してください",IF($S218&gt;N('設定'!$C$6)+13,"⚠ 2便目：入庫日が14日より先です",IF(N($T218)&lt;=0,"⚠ 2便目：入庫数を入れてください",IF($CH218&gt;0,"⚠ 2便目：定数を "&amp;$CH218&amp;" ケース超える → 減らす",""))))))))</f>
        <v/>
      </c>
      <c r="CK218">
        <f>IF(AND($CI218="",N($Q218)&gt;0,ISNUMBER($P218)),1,0)</f>
        <v/>
      </c>
      <c r="CL218">
        <f>IF(AND($CJ218="",N($T218)&gt;0,ISNUMBER($S218)),1,0)</f>
        <v/>
      </c>
      <c r="CM218">
        <f>IF(OR($CK218=1,$CL218=1),1,0)</f>
        <v/>
      </c>
      <c r="CN218">
        <f>IF($C218="",0,($CK218*$R218+$CL218*$U218)*N($H218))</f>
        <v/>
      </c>
      <c r="CO218">
        <f>IF($C218="","",IF($CC218="","入庫後は 14日以上もつ",IF($CC218-N('設定'!$C$7)&lt;='設定'!$C$6,"入庫後も "&amp;TEXT($CC218,"m/d")&amp;"("&amp;CHOOSE(WEEKDAY($CC218),"日","月","火","水","木","金","土")&amp;")"&amp;" に切れる　もう1便を至急発注","入庫後も "&amp;TEXT($CC218,"m/d")&amp;"("&amp;CHOOSE(WEEKDAY($CC218),"日","月","火","水","木","金","土")&amp;")"&amp;" に切れる　"&amp;TEXT($CC218-N('設定'!$C$7),"m/d")&amp;"("&amp;CHOOSE(WEEKDAY($CC218-N('設定'!$C$7)),"日","月","火","水","木","金","土")&amp;")"&amp;" までに次を発注")))</f>
        <v/>
      </c>
      <c r="CP218">
        <f>IF($C218="","",IF('設定'!$C$6="","？ ①在庫を貼る に今日のCSVが貼られていない",IF($CS218=1,"－ 今日のCSVに無い（終売？）",IF($L218&lt;0,"● 在庫がマイナス　数えて「数えた在庫」に入れる",IF($L218=0,"● 在庫なし　至急発注",IF($M218="","？ 減り数が未設定（商品マスタ）",IF($B$3=0,"？ 動員が未入力（動員を入れる）",IF($CA218="","○ 14日以上もつ",IF($BZ218&lt;N('設定'!$C$7),"● "&amp;TEXT($CA218,"m/d")&amp;"("&amp;CHOOSE(WEEKDAY($CA218),"日","月","火","水","木","金","土")&amp;")"&amp;" に切れる　至急発注",IF($BZ218=N('設定'!$C$7),"● "&amp;TEXT($CA218,"m/d")&amp;"("&amp;CHOOSE(WEEKDAY($CA218),"日","月","火","水","木","金","土")&amp;")"&amp;" に切れる　今日発注","△ "&amp;TEXT($CA218,"m/d")&amp;"("&amp;CHOOSE(WEEKDAY($CA218),"日","月","火","水","木","金","土")&amp;")"&amp;" に切れる　"&amp;TEXT($CA218-N('設定'!$C$7),"m/d")&amp;"("&amp;CHOOSE(WEEKDAY($CA218-N('設定'!$C$7)),"日","月","火","水","木","金","土")&amp;")"&amp;" までに発注"))))))))))</f>
        <v/>
      </c>
      <c r="CQ218">
        <f>IF($C218="","",IF(AND($P218="",$Q218="",$S218="",$T218=""),"",IF(AND($P218="",$Q218=""),"⚠ 先に1便目（左の入庫日・入庫数）に入れてください",IF($CI218&lt;&gt;"",$CI218,IF($CJ218&lt;&gt;"",$CJ218,IF($M218="","？ 減り数が未設定（発注書には載ります）",IF($B$3=0,"？ 動員が未入力（発注書には載ります）",IF(AND($CA218&lt;&gt;"",$P218&gt;$CA218),IF($P218&gt;'設定'!$C$6+N('設定'!$C$7),"● "&amp;TEXT($P218,"m/d")&amp;"("&amp;CHOOSE(WEEKDAY($P218),"日","月","火","水","木","金","土")&amp;")"&amp;" の入庫では間に合わない（"&amp;TEXT($CA218,"m/d")&amp;"("&amp;CHOOSE(WEEKDAY($CA218),"日","月","火","水","木","金","土")&amp;")"&amp;" に切れる）　入庫日を早める","△ 欠品 "&amp;TEXT($CA218,"m/d")&amp;"("&amp;CHOOSE(WEEKDAY($CA218),"日","月","火","水","木","金","土")&amp;")"&amp;"〜"&amp;TEXT($P218-1,"m/d")&amp;"("&amp;CHOOSE(WEEKDAY($P218-1),"日","月","火","水","木","金","土")&amp;")"&amp;"　"&amp;$CO218),IF($CC218="","○ "&amp;TEXT($P218,"m/d")&amp;"("&amp;CHOOSE(WEEKDAY($P218),"日","月","火","水","木","金","土")&amp;")"&amp;" 入庫で 14日以上もつ",IF($CC218-N('設定'!$C$7)&lt;='設定'!$C$6,"● 入庫しても "&amp;TEXT($CC218,"m/d")&amp;"("&amp;CHOOSE(WEEKDAY($CC218),"日","月","火","水","木","金","土")&amp;")"&amp;" に切れる　もう1便を至急発注（2便目に入れる）","△ 入庫しても "&amp;TEXT($CC218,"m/d")&amp;"("&amp;CHOOSE(WEEKDAY($CC218),"日","月","火","水","木","金","土")&amp;")"&amp;" に切れる　"&amp;TEXT($CC218-N('設定'!$C$7),"m/d")&amp;"("&amp;CHOOSE(WEEKDAY($CC218-N('設定'!$C$7)),"日","月","火","水","木","金","土")&amp;")"&amp;" までに次を発注（2便目に入れる）"))))))))))</f>
        <v/>
      </c>
      <c r="CR218">
        <f>IF($C218="","",IF($G218&gt;1,"ｹｰｽ("&amp;$G218&amp;"入)","個"))</f>
        <v/>
      </c>
      <c r="CS218">
        <f>IF($C218="",0,IF(COUNTIFS('①在庫を貼る'!$V$6:$V$10005,'設定'!$C$4,'①在庫を貼る'!$W$6:$W$10005,$C218)=0,1,0))</f>
        <v/>
      </c>
      <c r="CT218">
        <f>IF(AND($CK218=1,OR('③発注書'!$C$4="すべて",'③発注書'!$C$4="",$F218='③発注書'!$C$4)),N($CT217)+1,N($CT217))</f>
        <v/>
      </c>
      <c r="CU218">
        <f>IF(AND($CL218=1,OR('③発注書'!$C$4="すべて",'③発注書'!$C$4="",$F218='③発注書'!$C$4)),N($CU217)+1,N($CU217))</f>
        <v/>
      </c>
      <c r="CV218">
        <f>IF($C218="",0,IF(COUNTIFS('①在庫を貼る'!$V$6:$V$10005,'設定'!$C$4,'①在庫を貼る'!$W$6:$W$10005,$C218)&gt;0,1,0))</f>
        <v/>
      </c>
      <c r="CW218">
        <f>IF($C218="",0,IF(COUNTIFS('月1回_1ヶ月前の在庫'!$V$6:$V$10005,'設定'!$C$4,'月1回_1ヶ月前の在庫'!$W$6:$W$10005,$C218)&gt;0,1,0))</f>
        <v/>
      </c>
      <c r="CX218">
        <f>IF($C218="",0,IF(COUNTIFS('月1回_2ヶ月前の在庫'!$V$6:$V$10005,'設定'!$C$4,'月1回_2ヶ月前の在庫'!$W$6:$W$10005,$C218)&gt;0,1,0))</f>
        <v/>
      </c>
      <c r="CY218">
        <f>IF(OR($C218="",'設定'!$C$12=""),"",IF('設定'!$C$13="",IF(AND($CV218=1,$CW218=0),"新商品（今月から）",IF(AND($CV218=0,$CW218=1),"終売（今月から）","")),IF(AND($CV218=1,$CW218=0,$CX218=0),"新商品（今月から）",IF(AND($CV218=1,$CW218=1,$CX218=0),"新商品（先月から）",IF(AND($CV218=0,$CW218=1,$CX218=1),"終売（今月から）",IF(AND($CV218=0,$CW218=0,$CX218=1),"終売（先月から）",IF(AND($CV218=1,$CW218=0,$CX218=1),"復活（先月は無し）","")))))))</f>
        <v/>
      </c>
    </row>
    <row r="219">
      <c r="B219">
        <f>IF(214&lt;='設定'!$C$11,214,"")</f>
        <v/>
      </c>
      <c r="C219">
        <f>IF($B219="","",IF($B219&lt;='設定'!$C$20,INDEX('商品マスタ'!$B$6:$B$1005,MATCH($B219,'商品マスタ'!$M$6:$M$1005,0)),IF($B219&lt;='設定'!$C$20+'設定'!$C$17,INDEX('①在庫を貼る'!$W$6:$W$10005,MATCH($B219-'設定'!$C$20,'①在庫を貼る'!$U$6:$U$10005,0)),IF($B219&lt;='設定'!$C$20+'設定'!$C$17+'設定'!$C$18,INDEX('月1回_1ヶ月前の在庫'!$W$6:$W$10005,MATCH($B219-'設定'!$C$20-'設定'!$C$17,'月1回_1ヶ月前の在庫'!$U$6:$U$10005,0)),INDEX('月1回_2ヶ月前の在庫'!$W$6:$W$10005,MATCH($B219-'設定'!$C$20-'設定'!$C$17-'設定'!$C$18,'月1回_2ヶ月前の在庫'!$U$6:$U$10005,0))))))</f>
        <v/>
      </c>
      <c r="D219">
        <f>IF($C219="","",IFERROR(IF(INDEX('商品マスタ'!$C$6:$C$1005,MATCH($C219,'商品マスタ'!$B$6:$B$1005,0))="",IFERROR(INDEX('①在庫を貼る'!$J$6:$J$10005,MATCH($C219,'①在庫を貼る'!$W$6:$W$10005,0)),IFERROR(INDEX('月1回_1ヶ月前の在庫'!$J$6:$J$10005,MATCH($C219,'月1回_1ヶ月前の在庫'!$W$6:$W$10005,0)),IFERROR(INDEX('月1回_2ヶ月前の在庫'!$J$6:$J$10005,MATCH($C219,'月1回_2ヶ月前の在庫'!$W$6:$W$10005,0)),""))),INDEX('商品マスタ'!$C$6:$C$1005,MATCH($C219,'商品マスタ'!$B$6:$B$1005,0))),IFERROR(INDEX('①在庫を貼る'!$J$6:$J$10005,MATCH($C219,'①在庫を貼る'!$W$6:$W$10005,0)),IFERROR(INDEX('月1回_1ヶ月前の在庫'!$J$6:$J$10005,MATCH($C219,'月1回_1ヶ月前の在庫'!$W$6:$W$10005,0)),IFERROR(INDEX('月1回_2ヶ月前の在庫'!$J$6:$J$10005,MATCH($C219,'月1回_2ヶ月前の在庫'!$W$6:$W$10005,0)),"")))))</f>
        <v/>
      </c>
      <c r="E219">
        <f>IF($C219="","",IFERROR(IF(INDEX('商品マスタ'!$D$6:$D$1005,MATCH($C219,'商品マスタ'!$B$6:$B$1005,0))="",IFERROR(INDEX('①在庫を貼る'!$H$6:$H$10005,MATCH($C219,'①在庫を貼る'!$W$6:$W$10005,0)),IFERROR(INDEX('月1回_1ヶ月前の在庫'!$H$6:$H$10005,MATCH($C219,'月1回_1ヶ月前の在庫'!$W$6:$W$10005,0)),IFERROR(INDEX('月1回_2ヶ月前の在庫'!$H$6:$H$10005,MATCH($C219,'月1回_2ヶ月前の在庫'!$W$6:$W$10005,0)),""))),INDEX('商品マスタ'!$D$6:$D$1005,MATCH($C219,'商品マスタ'!$B$6:$B$1005,0))),IFERROR(INDEX('①在庫を貼る'!$H$6:$H$10005,MATCH($C219,'①在庫を貼る'!$W$6:$W$10005,0)),IFERROR(INDEX('月1回_1ヶ月前の在庫'!$H$6:$H$10005,MATCH($C219,'月1回_1ヶ月前の在庫'!$W$6:$W$10005,0)),IFERROR(INDEX('月1回_2ヶ月前の在庫'!$H$6:$H$10005,MATCH($C219,'月1回_2ヶ月前の在庫'!$W$6:$W$10005,0)),"")))))</f>
        <v/>
      </c>
      <c r="F219">
        <f>IF($C219="","",IFERROR(IF(INDEX('商品マスタ'!$E$6:$E$1005,MATCH($C219,'商品マスタ'!$B$6:$B$1005,0))="",IFERROR(INDEX('①在庫を貼る'!$E$6:$E$10005,MATCH($C219,'①在庫を貼る'!$W$6:$W$10005,0)),IFERROR(INDEX('月1回_1ヶ月前の在庫'!$E$6:$E$10005,MATCH($C219,'月1回_1ヶ月前の在庫'!$W$6:$W$10005,0)),IFERROR(INDEX('月1回_2ヶ月前の在庫'!$E$6:$E$10005,MATCH($C219,'月1回_2ヶ月前の在庫'!$W$6:$W$10005,0)),""))),INDEX('商品マスタ'!$E$6:$E$1005,MATCH($C219,'商品マスタ'!$B$6:$B$1005,0))),IFERROR(INDEX('①在庫を貼る'!$E$6:$E$10005,MATCH($C219,'①在庫を貼る'!$W$6:$W$10005,0)),IFERROR(INDEX('月1回_1ヶ月前の在庫'!$E$6:$E$10005,MATCH($C219,'月1回_1ヶ月前の在庫'!$W$6:$W$10005,0)),IFERROR(INDEX('月1回_2ヶ月前の在庫'!$E$6:$E$10005,MATCH($C219,'月1回_2ヶ月前の在庫'!$W$6:$W$10005,0)),"")))))</f>
        <v/>
      </c>
      <c r="G219">
        <f>IF($C219="","",MAX(1,N(IFERROR(IF(INDEX('商品マスタ'!$F$6:$F$1005,MATCH($C219,'商品マスタ'!$B$6:$B$1005,0))="",IF(COUNTIFS('①在庫を貼る'!$V$6:$V$10005,'設定'!$C$4,'①在庫を貼る'!$W$6:$W$10005,$C219)&gt;0,SUMIFS('①在庫を貼る'!$K$6:$K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K$6:$K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K$6:$K$10005,'月1回_2ヶ月前の在庫'!$V$6:$V$10005,'設定'!$C$4,'月1回_2ヶ月前の在庫'!$W$6:$W$10005,$C219)/COUNTIFS('月1回_2ヶ月前の在庫'!$V$6:$V$10005,'設定'!$C$4,'月1回_2ヶ月前の在庫'!$W$6:$W$10005,$C219),0))),INDEX('商品マスタ'!$F$6:$F$1005,MATCH($C219,'商品マスタ'!$B$6:$B$1005,0))),IF(COUNTIFS('①在庫を貼る'!$V$6:$V$10005,'設定'!$C$4,'①在庫を貼る'!$W$6:$W$10005,$C219)&gt;0,SUMIFS('①在庫を貼る'!$K$6:$K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K$6:$K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K$6:$K$10005,'月1回_2ヶ月前の在庫'!$V$6:$V$10005,'設定'!$C$4,'月1回_2ヶ月前の在庫'!$W$6:$W$10005,$C219)/COUNTIFS('月1回_2ヶ月前の在庫'!$V$6:$V$10005,'設定'!$C$4,'月1回_2ヶ月前の在庫'!$W$6:$W$10005,$C219),0)))))))</f>
        <v/>
      </c>
      <c r="H219">
        <f>IF($C219="","",N(IFERROR(IF(INDEX('商品マスタ'!$G$6:$G$1005,MATCH($C219,'商品マスタ'!$B$6:$B$1005,0))="",IF(COUNTIFS('①在庫を貼る'!$V$6:$V$10005,'設定'!$C$4,'①在庫を貼る'!$W$6:$W$10005,$C219)&gt;0,SUMIFS('①在庫を貼る'!$Q$6:$Q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Q$6:$Q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Q$6:$Q$10005,'月1回_2ヶ月前の在庫'!$V$6:$V$10005,'設定'!$C$4,'月1回_2ヶ月前の在庫'!$W$6:$W$10005,$C219)/COUNTIFS('月1回_2ヶ月前の在庫'!$V$6:$V$10005,'設定'!$C$4,'月1回_2ヶ月前の在庫'!$W$6:$W$10005,$C219),0))),INDEX('商品マスタ'!$G$6:$G$1005,MATCH($C219,'商品マスタ'!$B$6:$B$1005,0))),IF(COUNTIFS('①在庫を貼る'!$V$6:$V$10005,'設定'!$C$4,'①在庫を貼る'!$W$6:$W$10005,$C219)&gt;0,SUMIFS('①在庫を貼る'!$Q$6:$Q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Q$6:$Q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Q$6:$Q$10005,'月1回_2ヶ月前の在庫'!$V$6:$V$10005,'設定'!$C$4,'月1回_2ヶ月前の在庫'!$W$6:$W$10005,$C219)/COUNTIFS('月1回_2ヶ月前の在庫'!$V$6:$V$10005,'設定'!$C$4,'月1回_2ヶ月前の在庫'!$W$6:$W$10005,$C219),0))))))</f>
        <v/>
      </c>
      <c r="I219">
        <f>IF($C219="","",IF(COUNTIFS('①在庫を貼る'!$V$6:$V$10005,'設定'!$C$4,'①在庫を貼る'!$W$6:$W$10005,$C219)=0,"",SUMIFS('①在庫を貼る'!$N$6:$N$10005,'①在庫を貼る'!$V$6:$V$10005,'設定'!$C$4,'①在庫を貼る'!$W$6:$W$10005,$C219)))</f>
        <v/>
      </c>
      <c r="J219">
        <f>IF($C219="","",IF('②発注する'!$AD223="","",'②発注する'!$AD223))</f>
        <v/>
      </c>
      <c r="K219" s="90">
        <f>IF($C219="","",IF('②発注する'!$AE223="","",'②発注する'!$AE223))</f>
        <v/>
      </c>
      <c r="L219">
        <f>IF($C219="","",IF(AND(ISNUMBER($J219),ISNUMBER($K219),$K219&gt;='設定'!$C$6),$J219,N($I219)))</f>
        <v/>
      </c>
      <c r="M219">
        <f>IF($C219="","",IFERROR(IF(N(INDEX('商品マスタ'!$J$6:$J$1005,MATCH($C219,'商品マスタ'!$B$6:$B$1005,0)))&gt;0,INDEX('商品マスタ'!$J$6:$J$1005,MATCH($C219,'商品マスタ'!$B$6:$B$1005,0)),""),""))</f>
        <v/>
      </c>
      <c r="N219">
        <f>IF($C219="","",IFERROR(IF(N(INDEX('商品マスタ'!$H$6:$H$1005,MATCH($C219,'商品マスタ'!$B$6:$B$1005,0)))&gt;0,INDEX('商品マスタ'!$H$6:$H$1005,MATCH($C219,'商品マスタ'!$B$6:$B$1005,0)),""),""))</f>
        <v/>
      </c>
      <c r="O219">
        <f>IF($C219="","",IF($N219&lt;&gt;"",$N219*$G219,IF(N(IF(COUNTIFS('①在庫を貼る'!$V$6:$V$10005,'設定'!$C$4,'①在庫を貼る'!$W$6:$W$10005,$C219)&gt;0,SUMIFS('①在庫を貼る'!$O$6:$O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O$6:$O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O$6:$O$10005,'月1回_2ヶ月前の在庫'!$V$6:$V$10005,'設定'!$C$4,'月1回_2ヶ月前の在庫'!$W$6:$W$10005,$C219)/COUNTIFS('月1回_2ヶ月前の在庫'!$V$6:$V$10005,'設定'!$C$4,'月1回_2ヶ月前の在庫'!$W$6:$W$10005,$C219),0))))&gt;0,N(IF(COUNTIFS('①在庫を貼る'!$V$6:$V$10005,'設定'!$C$4,'①在庫を貼る'!$W$6:$W$10005,$C219)&gt;0,SUMIFS('①在庫を貼る'!$O$6:$O$10005,'①在庫を貼る'!$V$6:$V$10005,'設定'!$C$4,'①在庫を貼る'!$W$6:$W$10005,$C219)/COUNTIFS('①在庫を貼る'!$V$6:$V$10005,'設定'!$C$4,'①在庫を貼る'!$W$6:$W$10005,$C219),IF(COUNTIFS('月1回_1ヶ月前の在庫'!$V$6:$V$10005,'設定'!$C$4,'月1回_1ヶ月前の在庫'!$W$6:$W$10005,$C219)&gt;0,SUMIFS('月1回_1ヶ月前の在庫'!$O$6:$O$10005,'月1回_1ヶ月前の在庫'!$V$6:$V$10005,'設定'!$C$4,'月1回_1ヶ月前の在庫'!$W$6:$W$10005,$C219)/COUNTIFS('月1回_1ヶ月前の在庫'!$V$6:$V$10005,'設定'!$C$4,'月1回_1ヶ月前の在庫'!$W$6:$W$10005,$C219),IF(COUNTIFS('月1回_2ヶ月前の在庫'!$V$6:$V$10005,'設定'!$C$4,'月1回_2ヶ月前の在庫'!$W$6:$W$10005,$C219)&gt;0,SUMIFS('月1回_2ヶ月前の在庫'!$O$6:$O$10005,'月1回_2ヶ月前の在庫'!$V$6:$V$10005,'設定'!$C$4,'月1回_2ヶ月前の在庫'!$W$6:$W$10005,$C219)/COUNTIFS('月1回_2ヶ月前の在庫'!$V$6:$V$10005,'設定'!$C$4,'月1回_2ヶ月前の在庫'!$W$6:$W$10005,$C219),0)))),"")))</f>
        <v/>
      </c>
      <c r="P219" s="90">
        <f>IF($C219="","",IF('②発注する'!$I223="","",'②発注する'!$I223))</f>
        <v/>
      </c>
      <c r="Q219">
        <f>IF($C219="","",IF('②発注する'!$J223="","",'②発注する'!$J223))</f>
        <v/>
      </c>
      <c r="R219">
        <f>IF($C219="",0,IF(AND(ISNUMBER($P219),ISNUMBER($Q219)),MAX(0,$Q219)*$G219,0))</f>
        <v/>
      </c>
      <c r="S219" s="90">
        <f>IF($C219="","",IF('②発注する'!$M223="","",'②発注する'!$M223))</f>
        <v/>
      </c>
      <c r="T219">
        <f>IF($C219="","",IF('②発注する'!$N223="","",'②発注する'!$N223))</f>
        <v/>
      </c>
      <c r="U219">
        <f>IF($C219="",0,IF(AND(ISNUMBER($S219),ISNUMBER($T219)),MAX(0,$T219)*$G219,0))</f>
        <v/>
      </c>
      <c r="V219">
        <f>IF($C219="",0,IF($M219="",0,MAX(0,$M219)*MAX(0,V$4)/100))</f>
        <v/>
      </c>
      <c r="W219">
        <f>IF($C219="",0,IF($M219="",0,MAX(0,$M219)*MAX(0,W$4)/100))</f>
        <v/>
      </c>
      <c r="X219">
        <f>IF($C219="",0,IF($M219="",0,MAX(0,$M219)*MAX(0,X$4)/100))</f>
        <v/>
      </c>
      <c r="Y219">
        <f>IF($C219="",0,IF($M219="",0,MAX(0,$M219)*MAX(0,Y$4)/100))</f>
        <v/>
      </c>
      <c r="Z219">
        <f>IF($C219="",0,IF($M219="",0,MAX(0,$M219)*MAX(0,Z$4)/100))</f>
        <v/>
      </c>
      <c r="AA219">
        <f>IF($C219="",0,IF($M219="",0,MAX(0,$M219)*MAX(0,AA$4)/100))</f>
        <v/>
      </c>
      <c r="AB219">
        <f>IF($C219="",0,IF($M219="",0,MAX(0,$M219)*MAX(0,AB$4)/100))</f>
        <v/>
      </c>
      <c r="AC219">
        <f>IF($C219="",0,IF($M219="",0,MAX(0,$M219)*MAX(0,AC$4)/100))</f>
        <v/>
      </c>
      <c r="AD219">
        <f>IF($C219="",0,IF($M219="",0,MAX(0,$M219)*MAX(0,AD$4)/100))</f>
        <v/>
      </c>
      <c r="AE219">
        <f>IF($C219="",0,IF($M219="",0,MAX(0,$M219)*MAX(0,AE$4)/100))</f>
        <v/>
      </c>
      <c r="AF219">
        <f>IF($C219="",0,IF($M219="",0,MAX(0,$M219)*MAX(0,AF$4)/100))</f>
        <v/>
      </c>
      <c r="AG219">
        <f>IF($C219="",0,IF($M219="",0,MAX(0,$M219)*MAX(0,AG$4)/100))</f>
        <v/>
      </c>
      <c r="AH219">
        <f>IF($C219="",0,IF($M219="",0,MAX(0,$M219)*MAX(0,AH$4)/100))</f>
        <v/>
      </c>
      <c r="AI219">
        <f>IF($C219="",0,IF($M219="",0,MAX(0,$M219)*MAX(0,AI$4)/100))</f>
        <v/>
      </c>
      <c r="AJ219">
        <f>IF($C219="",0,MAX(0,MAX(0,N($L219))-$V219))</f>
        <v/>
      </c>
      <c r="AK219">
        <f>IF($C219="",0,MAX(0,$AJ219-$W219))</f>
        <v/>
      </c>
      <c r="AL219">
        <f>IF($C219="",0,MAX(0,$AK219-$X219))</f>
        <v/>
      </c>
      <c r="AM219">
        <f>IF($C219="",0,MAX(0,$AL219-$Y219))</f>
        <v/>
      </c>
      <c r="AN219">
        <f>IF($C219="",0,MAX(0,$AM219-$Z219))</f>
        <v/>
      </c>
      <c r="AO219">
        <f>IF($C219="",0,MAX(0,$AN219-$AA219))</f>
        <v/>
      </c>
      <c r="AP219">
        <f>IF($C219="",0,MAX(0,$AO219-$AB219))</f>
        <v/>
      </c>
      <c r="AQ219">
        <f>IF($C219="",0,MAX(0,$AP219-$AC219))</f>
        <v/>
      </c>
      <c r="AR219">
        <f>IF($C219="",0,MAX(0,$AQ219-$AD219))</f>
        <v/>
      </c>
      <c r="AS219">
        <f>IF($C219="",0,MAX(0,$AR219-$AE219))</f>
        <v/>
      </c>
      <c r="AT219">
        <f>IF($C219="",0,MAX(0,$AS219-$AF219))</f>
        <v/>
      </c>
      <c r="AU219">
        <f>IF($C219="",0,MAX(0,$AT219-$AG219))</f>
        <v/>
      </c>
      <c r="AV219">
        <f>IF($C219="",0,MAX(0,$AU219-$AH219))</f>
        <v/>
      </c>
      <c r="AW219">
        <f>IF($C219="",0,MAX(0,$AV219-$AI219))</f>
        <v/>
      </c>
      <c r="AX219">
        <f>IF($C219="",0,MAX(0,MAX(0,N($L219))+IF($P219=V$3,$R219,0)+IF($S219=V$3,$U219,0)-$V219))</f>
        <v/>
      </c>
      <c r="AY219">
        <f>IF($C219="",0,MAX(0,$AX219+IF($P219=W$3,$R219,0)+IF($S219=W$3,$U219,0)-$W219))</f>
        <v/>
      </c>
      <c r="AZ219">
        <f>IF($C219="",0,MAX(0,$AY219+IF($P219=X$3,$R219,0)+IF($S219=X$3,$U219,0)-$X219))</f>
        <v/>
      </c>
      <c r="BA219">
        <f>IF($C219="",0,MAX(0,$AZ219+IF($P219=Y$3,$R219,0)+IF($S219=Y$3,$U219,0)-$Y219))</f>
        <v/>
      </c>
      <c r="BB219">
        <f>IF($C219="",0,MAX(0,$BA219+IF($P219=Z$3,$R219,0)+IF($S219=Z$3,$U219,0)-$Z219))</f>
        <v/>
      </c>
      <c r="BC219">
        <f>IF($C219="",0,MAX(0,$BB219+IF($P219=AA$3,$R219,0)+IF($S219=AA$3,$U219,0)-$AA219))</f>
        <v/>
      </c>
      <c r="BD219">
        <f>IF($C219="",0,MAX(0,$BC219+IF($P219=AB$3,$R219,0)+IF($S219=AB$3,$U219,0)-$AB219))</f>
        <v/>
      </c>
      <c r="BE219">
        <f>IF($C219="",0,MAX(0,$BD219+IF($P219=AC$3,$R219,0)+IF($S219=AC$3,$U219,0)-$AC219))</f>
        <v/>
      </c>
      <c r="BF219">
        <f>IF($C219="",0,MAX(0,$BE219+IF($P219=AD$3,$R219,0)+IF($S219=AD$3,$U219,0)-$AD219))</f>
        <v/>
      </c>
      <c r="BG219">
        <f>IF($C219="",0,MAX(0,$BF219+IF($P219=AE$3,$R219,0)+IF($S219=AE$3,$U219,0)-$AE219))</f>
        <v/>
      </c>
      <c r="BH219">
        <f>IF($C219="",0,MAX(0,$BG219+IF($P219=AF$3,$R219,0)+IF($S219=AF$3,$U219,0)-$AF219))</f>
        <v/>
      </c>
      <c r="BI219">
        <f>IF($C219="",0,MAX(0,$BH219+IF($P219=AG$3,$R219,0)+IF($S219=AG$3,$U219,0)-$AG219))</f>
        <v/>
      </c>
      <c r="BJ219">
        <f>IF($C219="",0,MAX(0,$BI219+IF($P219=AH$3,$R219,0)+IF($S219=AH$3,$U219,0)-$AH219))</f>
        <v/>
      </c>
      <c r="BK219">
        <f>IF($C219="",0,MAX(0,$BJ219+IF($P219=AI$3,$R219,0)+IF($S219=AI$3,$U219,0)-$AI219))</f>
        <v/>
      </c>
      <c r="BL219">
        <f>IF($C219="",99,IF(AND($AX219&lt;1,V$3&gt;=MAX(N($P219),N($S219))),0,99))</f>
        <v/>
      </c>
      <c r="BM219">
        <f>IF($C219="",99,IF(AND($AY219&lt;1,W$3&gt;=MAX(N($P219),N($S219))),1,99))</f>
        <v/>
      </c>
      <c r="BN219">
        <f>IF($C219="",99,IF(AND($AZ219&lt;1,X$3&gt;=MAX(N($P219),N($S219))),2,99))</f>
        <v/>
      </c>
      <c r="BO219">
        <f>IF($C219="",99,IF(AND($BA219&lt;1,Y$3&gt;=MAX(N($P219),N($S219))),3,99))</f>
        <v/>
      </c>
      <c r="BP219">
        <f>IF($C219="",99,IF(AND($BB219&lt;1,Z$3&gt;=MAX(N($P219),N($S219))),4,99))</f>
        <v/>
      </c>
      <c r="BQ219">
        <f>IF($C219="",99,IF(AND($BC219&lt;1,AA$3&gt;=MAX(N($P219),N($S219))),5,99))</f>
        <v/>
      </c>
      <c r="BR219">
        <f>IF($C219="",99,IF(AND($BD219&lt;1,AB$3&gt;=MAX(N($P219),N($S219))),6,99))</f>
        <v/>
      </c>
      <c r="BS219">
        <f>IF($C219="",99,IF(AND($BE219&lt;1,AC$3&gt;=MAX(N($P219),N($S219))),7,99))</f>
        <v/>
      </c>
      <c r="BT219">
        <f>IF($C219="",99,IF(AND($BF219&lt;1,AD$3&gt;=MAX(N($P219),N($S219))),8,99))</f>
        <v/>
      </c>
      <c r="BU219">
        <f>IF($C219="",99,IF(AND($BG219&lt;1,AE$3&gt;=MAX(N($P219),N($S219))),9,99))</f>
        <v/>
      </c>
      <c r="BV219">
        <f>IF($C219="",99,IF(AND($BH219&lt;1,AF$3&gt;=MAX(N($P219),N($S219))),10,99))</f>
        <v/>
      </c>
      <c r="BW219">
        <f>IF($C219="",99,IF(AND($BI219&lt;1,AG$3&gt;=MAX(N($P219),N($S219))),11,99))</f>
        <v/>
      </c>
      <c r="BX219">
        <f>IF($C219="",99,IF(AND($BJ219&lt;1,AH$3&gt;=MAX(N($P219),N($S219))),12,99))</f>
        <v/>
      </c>
      <c r="BY219">
        <f>IF($C219="",99,IF(AND($BK219&lt;1,AI$3&gt;=MAX(N($P219),N($S219))),13,99))</f>
        <v/>
      </c>
      <c r="BZ219">
        <f>IF(OR($C219="",$M219=""),"",COUNTIF($AJ219:$AW219,"&gt;=1"))</f>
        <v/>
      </c>
      <c r="CA219" s="90">
        <f>IF($BZ219="","",IF($BZ219&gt;=14,"",'設定'!$C$6+$BZ219))</f>
        <v/>
      </c>
      <c r="CB219">
        <f>IF(OR($C219="",$M219=""),"",MIN($BL219:$BY219))</f>
        <v/>
      </c>
      <c r="CC219" s="90">
        <f>IF($CB219="","",IF($CB219&gt;=99,"",'設定'!$C$6+$CB219))</f>
        <v/>
      </c>
      <c r="CD219">
        <f>IF(OR($C219="",$M219=""),"",AVERAGE($V219:$AI219))</f>
        <v/>
      </c>
      <c r="CE219">
        <f>IF($C219="","",IFERROR(IF(MATCH(IF(ISNUMBER($P219),$P219,'設定'!$C$6+N('設定'!$C$7)),$V$3:$AI$3,0)=1,MAX(0,N($L219)),INDEX($AJ219:$AW219,MATCH(IF(ISNUMBER($P219),$P219,'設定'!$C$6+N('設定'!$C$7)),$V$3:$AI$3,0)-1)),""))</f>
        <v/>
      </c>
      <c r="CF219">
        <f>IF(OR($C219="",$O219="",$CE219=""),"",IF($O219-$CE219&lt;=0,0,ROUNDUP(($O219-$CE219)/$G219,0)))</f>
        <v/>
      </c>
      <c r="CG219">
        <f>IF(OR($C219="",$CF219="",NOT(ISNUMBER($Q219))),0,MAX(0,$Q219-$CF219))</f>
        <v/>
      </c>
      <c r="CH219">
        <f>IF(OR($C219="",$O219="",$U219=0),0,IFERROR(ROUNDUP(MAX(0,IF(MATCH($S219,$V$3:$AI$3,0)=1,MAX(0,N($L219)),INDEX($AX219:$BK219,MATCH($S219,$V$3:$AI$3,0)-1))+$U219-$O219)/$G219,0),0))</f>
        <v/>
      </c>
      <c r="CI219">
        <f>IF($C219="","",IF(AND($P219="",$Q219=""),"",IF($P219="","⚠ 入庫日を ▼ から選んでください",IF(NOT(ISNUMBER($P219)),"⚠ 入庫日は ▼ から選んでください",IF($P219&lt;N('設定'!$C$6),"⚠ 入庫日が過去です（もう在庫に入っています）→ 消してください",IF($P219&gt;N('設定'!$C$6)+13,"⚠ 入庫日が14日より先です",IF(N($Q219)&lt;=0,"⚠ 入庫数を入れてください",IF($CG219&gt;0,"⚠ 目安より "&amp;$CG219&amp;" 多い（定数を超える）→ 減らす",""))))))))</f>
        <v/>
      </c>
      <c r="CJ219">
        <f>IF($C219="","",IF(AND($S219="",$T219=""),"",IF($S219="","⚠ 2便目：入庫日を ▼ から選んでください",IF(NOT(ISNUMBER($S219)),"⚠ 2便目：入庫日は ▼ から選んでください",IF($S219&lt;N('設定'!$C$6),"⚠ 2便目：入庫日が過去です（もう在庫に入っています）→ 消してください",IF($S219&gt;N('設定'!$C$6)+13,"⚠ 2便目：入庫日が14日より先です",IF(N($T219)&lt;=0,"⚠ 2便目：入庫数を入れてください",IF($CH219&gt;0,"⚠ 2便目：定数を "&amp;$CH219&amp;" ケース超える → 減らす",""))))))))</f>
        <v/>
      </c>
      <c r="CK219">
        <f>IF(AND($CI219="",N($Q219)&gt;0,ISNUMBER($P219)),1,0)</f>
        <v/>
      </c>
      <c r="CL219">
        <f>IF(AND($CJ219="",N($T219)&gt;0,ISNUMBER($S219)),1,0)</f>
        <v/>
      </c>
      <c r="CM219">
        <f>IF(OR($CK219=1,$CL219=1),1,0)</f>
        <v/>
      </c>
      <c r="CN219">
        <f>IF($C219="",0,($CK219*$R219+$CL219*$U219)*N($H219))</f>
        <v/>
      </c>
      <c r="CO219">
        <f>IF($C219="","",IF($CC219="","入庫後は 14日以上もつ",IF($CC219-N('設定'!$C$7)&lt;='設定'!$C$6,"入庫後も "&amp;TEXT($CC219,"m/d")&amp;"("&amp;CHOOSE(WEEKDAY($CC219),"日","月","火","水","木","金","土")&amp;")"&amp;" に切れる　もう1便を至急発注","入庫後も "&amp;TEXT($CC219,"m/d")&amp;"("&amp;CHOOSE(WEEKDAY($CC219),"日","月","火","水","木","金","土")&amp;")"&amp;" に切れる　"&amp;TEXT($CC219-N('設定'!$C$7),"m/d")&amp;"("&amp;CHOOSE(WEEKDAY($CC219-N('設定'!$C$7)),"日","月","火","水","木","金","土")&amp;")"&amp;" までに次を発注")))</f>
        <v/>
      </c>
      <c r="CP219">
        <f>IF($C219="","",IF('設定'!$C$6="","？ ①在庫を貼る に今日のCSVが貼られていない",IF($CS219=1,"－ 今日のCSVに無い（終売？）",IF($L219&lt;0,"● 在庫がマイナス　数えて「数えた在庫」に入れる",IF($L219=0,"● 在庫なし　至急発注",IF($M219="","？ 減り数が未設定（商品マスタ）",IF($B$3=0,"？ 動員が未入力（動員を入れる）",IF($CA219="","○ 14日以上もつ",IF($BZ219&lt;N('設定'!$C$7),"● "&amp;TEXT($CA219,"m/d")&amp;"("&amp;CHOOSE(WEEKDAY($CA219),"日","月","火","水","木","金","土")&amp;")"&amp;" に切れる　至急発注",IF($BZ219=N('設定'!$C$7),"● "&amp;TEXT($CA219,"m/d")&amp;"("&amp;CHOOSE(WEEKDAY($CA219),"日","月","火","水","木","金","土")&amp;")"&amp;" に切れる　今日発注","△ "&amp;TEXT($CA219,"m/d")&amp;"("&amp;CHOOSE(WEEKDAY($CA219),"日","月","火","水","木","金","土")&amp;")"&amp;" に切れる　"&amp;TEXT($CA219-N('設定'!$C$7),"m/d")&amp;"("&amp;CHOOSE(WEEKDAY($CA219-N('設定'!$C$7)),"日","月","火","水","木","金","土")&amp;")"&amp;" までに発注"))))))))))</f>
        <v/>
      </c>
      <c r="CQ219">
        <f>IF($C219="","",IF(AND($P219="",$Q219="",$S219="",$T219=""),"",IF(AND($P219="",$Q219=""),"⚠ 先に1便目（左の入庫日・入庫数）に入れてください",IF($CI219&lt;&gt;"",$CI219,IF($CJ219&lt;&gt;"",$CJ219,IF($M219="","？ 減り数が未設定（発注書には載ります）",IF($B$3=0,"？ 動員が未入力（発注書には載ります）",IF(AND($CA219&lt;&gt;"",$P219&gt;$CA219),IF($P219&gt;'設定'!$C$6+N('設定'!$C$7),"● "&amp;TEXT($P219,"m/d")&amp;"("&amp;CHOOSE(WEEKDAY($P219),"日","月","火","水","木","金","土")&amp;")"&amp;" の入庫では間に合わない（"&amp;TEXT($CA219,"m/d")&amp;"("&amp;CHOOSE(WEEKDAY($CA219),"日","月","火","水","木","金","土")&amp;")"&amp;" に切れる）　入庫日を早める","△ 欠品 "&amp;TEXT($CA219,"m/d")&amp;"("&amp;CHOOSE(WEEKDAY($CA219),"日","月","火","水","木","金","土")&amp;")"&amp;"〜"&amp;TEXT($P219-1,"m/d")&amp;"("&amp;CHOOSE(WEEKDAY($P219-1),"日","月","火","水","木","金","土")&amp;")"&amp;"　"&amp;$CO219),IF($CC219="","○ "&amp;TEXT($P219,"m/d")&amp;"("&amp;CHOOSE(WEEKDAY($P219),"日","月","火","水","木","金","土")&amp;")"&amp;" 入庫で 14日以上もつ",IF($CC219-N('設定'!$C$7)&lt;='設定'!$C$6,"● 入庫しても "&amp;TEXT($CC219,"m/d")&amp;"("&amp;CHOOSE(WEEKDAY($CC219),"日","月","火","水","木","金","土")&amp;")"&amp;" に切れる　もう1便を至急発注（2便目に入れる）","△ 入庫しても "&amp;TEXT($CC219,"m/d")&amp;"("&amp;CHOOSE(WEEKDAY($CC219),"日","月","火","水","木","金","土")&amp;")"&amp;" に切れる　"&amp;TEXT($CC219-N('設定'!$C$7),"m/d")&amp;"("&amp;CHOOSE(WEEKDAY($CC219-N('設定'!$C$7)),"日","月","火","水","木","金","土")&amp;")"&amp;" までに次を発注（2便目に入れる）"))))))))))</f>
        <v/>
      </c>
      <c r="CR219">
        <f>IF($C219="","",IF($G219&gt;1,"ｹｰｽ("&amp;$G219&amp;"入)","個"))</f>
        <v/>
      </c>
      <c r="CS219">
        <f>IF($C219="",0,IF(COUNTIFS('①在庫を貼る'!$V$6:$V$10005,'設定'!$C$4,'①在庫を貼る'!$W$6:$W$10005,$C219)=0,1,0))</f>
        <v/>
      </c>
      <c r="CT219">
        <f>IF(AND($CK219=1,OR('③発注書'!$C$4="すべて",'③発注書'!$C$4="",$F219='③発注書'!$C$4)),N($CT218)+1,N($CT218))</f>
        <v/>
      </c>
      <c r="CU219">
        <f>IF(AND($CL219=1,OR('③発注書'!$C$4="すべて",'③発注書'!$C$4="",$F219='③発注書'!$C$4)),N($CU218)+1,N($CU218))</f>
        <v/>
      </c>
      <c r="CV219">
        <f>IF($C219="",0,IF(COUNTIFS('①在庫を貼る'!$V$6:$V$10005,'設定'!$C$4,'①在庫を貼る'!$W$6:$W$10005,$C219)&gt;0,1,0))</f>
        <v/>
      </c>
      <c r="CW219">
        <f>IF($C219="",0,IF(COUNTIFS('月1回_1ヶ月前の在庫'!$V$6:$V$10005,'設定'!$C$4,'月1回_1ヶ月前の在庫'!$W$6:$W$10005,$C219)&gt;0,1,0))</f>
        <v/>
      </c>
      <c r="CX219">
        <f>IF($C219="",0,IF(COUNTIFS('月1回_2ヶ月前の在庫'!$V$6:$V$10005,'設定'!$C$4,'月1回_2ヶ月前の在庫'!$W$6:$W$10005,$C219)&gt;0,1,0))</f>
        <v/>
      </c>
      <c r="CY219">
        <f>IF(OR($C219="",'設定'!$C$12=""),"",IF('設定'!$C$13="",IF(AND($CV219=1,$CW219=0),"新商品（今月から）",IF(AND($CV219=0,$CW219=1),"終売（今月から）","")),IF(AND($CV219=1,$CW219=0,$CX219=0),"新商品（今月から）",IF(AND($CV219=1,$CW219=1,$CX219=0),"新商品（先月から）",IF(AND($CV219=0,$CW219=1,$CX219=1),"終売（今月から）",IF(AND($CV219=0,$CW219=0,$CX219=1),"終売（先月から）",IF(AND($CV219=1,$CW219=0,$CX219=1),"復活（先月は無し）","")))))))</f>
        <v/>
      </c>
    </row>
    <row r="220">
      <c r="B220">
        <f>IF(215&lt;='設定'!$C$11,215,"")</f>
        <v/>
      </c>
      <c r="C220">
        <f>IF($B220="","",IF($B220&lt;='設定'!$C$20,INDEX('商品マスタ'!$B$6:$B$1005,MATCH($B220,'商品マスタ'!$M$6:$M$1005,0)),IF($B220&lt;='設定'!$C$20+'設定'!$C$17,INDEX('①在庫を貼る'!$W$6:$W$10005,MATCH($B220-'設定'!$C$20,'①在庫を貼る'!$U$6:$U$10005,0)),IF($B220&lt;='設定'!$C$20+'設定'!$C$17+'設定'!$C$18,INDEX('月1回_1ヶ月前の在庫'!$W$6:$W$10005,MATCH($B220-'設定'!$C$20-'設定'!$C$17,'月1回_1ヶ月前の在庫'!$U$6:$U$10005,0)),INDEX('月1回_2ヶ月前の在庫'!$W$6:$W$10005,MATCH($B220-'設定'!$C$20-'設定'!$C$17-'設定'!$C$18,'月1回_2ヶ月前の在庫'!$U$6:$U$10005,0))))))</f>
        <v/>
      </c>
      <c r="D220">
        <f>IF($C220="","",IFERROR(IF(INDEX('商品マスタ'!$C$6:$C$1005,MATCH($C220,'商品マスタ'!$B$6:$B$1005,0))="",IFERROR(INDEX('①在庫を貼る'!$J$6:$J$10005,MATCH($C220,'①在庫を貼る'!$W$6:$W$10005,0)),IFERROR(INDEX('月1回_1ヶ月前の在庫'!$J$6:$J$10005,MATCH($C220,'月1回_1ヶ月前の在庫'!$W$6:$W$10005,0)),IFERROR(INDEX('月1回_2ヶ月前の在庫'!$J$6:$J$10005,MATCH($C220,'月1回_2ヶ月前の在庫'!$W$6:$W$10005,0)),""))),INDEX('商品マスタ'!$C$6:$C$1005,MATCH($C220,'商品マスタ'!$B$6:$B$1005,0))),IFERROR(INDEX('①在庫を貼る'!$J$6:$J$10005,MATCH($C220,'①在庫を貼る'!$W$6:$W$10005,0)),IFERROR(INDEX('月1回_1ヶ月前の在庫'!$J$6:$J$10005,MATCH($C220,'月1回_1ヶ月前の在庫'!$W$6:$W$10005,0)),IFERROR(INDEX('月1回_2ヶ月前の在庫'!$J$6:$J$10005,MATCH($C220,'月1回_2ヶ月前の在庫'!$W$6:$W$10005,0)),"")))))</f>
        <v/>
      </c>
      <c r="E220">
        <f>IF($C220="","",IFERROR(IF(INDEX('商品マスタ'!$D$6:$D$1005,MATCH($C220,'商品マスタ'!$B$6:$B$1005,0))="",IFERROR(INDEX('①在庫を貼る'!$H$6:$H$10005,MATCH($C220,'①在庫を貼る'!$W$6:$W$10005,0)),IFERROR(INDEX('月1回_1ヶ月前の在庫'!$H$6:$H$10005,MATCH($C220,'月1回_1ヶ月前の在庫'!$W$6:$W$10005,0)),IFERROR(INDEX('月1回_2ヶ月前の在庫'!$H$6:$H$10005,MATCH($C220,'月1回_2ヶ月前の在庫'!$W$6:$W$10005,0)),""))),INDEX('商品マスタ'!$D$6:$D$1005,MATCH($C220,'商品マスタ'!$B$6:$B$1005,0))),IFERROR(INDEX('①在庫を貼る'!$H$6:$H$10005,MATCH($C220,'①在庫を貼る'!$W$6:$W$10005,0)),IFERROR(INDEX('月1回_1ヶ月前の在庫'!$H$6:$H$10005,MATCH($C220,'月1回_1ヶ月前の在庫'!$W$6:$W$10005,0)),IFERROR(INDEX('月1回_2ヶ月前の在庫'!$H$6:$H$10005,MATCH($C220,'月1回_2ヶ月前の在庫'!$W$6:$W$10005,0)),"")))))</f>
        <v/>
      </c>
      <c r="F220">
        <f>IF($C220="","",IFERROR(IF(INDEX('商品マスタ'!$E$6:$E$1005,MATCH($C220,'商品マスタ'!$B$6:$B$1005,0))="",IFERROR(INDEX('①在庫を貼る'!$E$6:$E$10005,MATCH($C220,'①在庫を貼る'!$W$6:$W$10005,0)),IFERROR(INDEX('月1回_1ヶ月前の在庫'!$E$6:$E$10005,MATCH($C220,'月1回_1ヶ月前の在庫'!$W$6:$W$10005,0)),IFERROR(INDEX('月1回_2ヶ月前の在庫'!$E$6:$E$10005,MATCH($C220,'月1回_2ヶ月前の在庫'!$W$6:$W$10005,0)),""))),INDEX('商品マスタ'!$E$6:$E$1005,MATCH($C220,'商品マスタ'!$B$6:$B$1005,0))),IFERROR(INDEX('①在庫を貼る'!$E$6:$E$10005,MATCH($C220,'①在庫を貼る'!$W$6:$W$10005,0)),IFERROR(INDEX('月1回_1ヶ月前の在庫'!$E$6:$E$10005,MATCH($C220,'月1回_1ヶ月前の在庫'!$W$6:$W$10005,0)),IFERROR(INDEX('月1回_2ヶ月前の在庫'!$E$6:$E$10005,MATCH($C220,'月1回_2ヶ月前の在庫'!$W$6:$W$10005,0)),"")))))</f>
        <v/>
      </c>
      <c r="G220">
        <f>IF($C220="","",MAX(1,N(IFERROR(IF(INDEX('商品マスタ'!$F$6:$F$1005,MATCH($C220,'商品マスタ'!$B$6:$B$1005,0))="",IF(COUNTIFS('①在庫を貼る'!$V$6:$V$10005,'設定'!$C$4,'①在庫を貼る'!$W$6:$W$10005,$C220)&gt;0,SUMIFS('①在庫を貼る'!$K$6:$K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K$6:$K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K$6:$K$10005,'月1回_2ヶ月前の在庫'!$V$6:$V$10005,'設定'!$C$4,'月1回_2ヶ月前の在庫'!$W$6:$W$10005,$C220)/COUNTIFS('月1回_2ヶ月前の在庫'!$V$6:$V$10005,'設定'!$C$4,'月1回_2ヶ月前の在庫'!$W$6:$W$10005,$C220),0))),INDEX('商品マスタ'!$F$6:$F$1005,MATCH($C220,'商品マスタ'!$B$6:$B$1005,0))),IF(COUNTIFS('①在庫を貼る'!$V$6:$V$10005,'設定'!$C$4,'①在庫を貼る'!$W$6:$W$10005,$C220)&gt;0,SUMIFS('①在庫を貼る'!$K$6:$K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K$6:$K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K$6:$K$10005,'月1回_2ヶ月前の在庫'!$V$6:$V$10005,'設定'!$C$4,'月1回_2ヶ月前の在庫'!$W$6:$W$10005,$C220)/COUNTIFS('月1回_2ヶ月前の在庫'!$V$6:$V$10005,'設定'!$C$4,'月1回_2ヶ月前の在庫'!$W$6:$W$10005,$C220),0)))))))</f>
        <v/>
      </c>
      <c r="H220">
        <f>IF($C220="","",N(IFERROR(IF(INDEX('商品マスタ'!$G$6:$G$1005,MATCH($C220,'商品マスタ'!$B$6:$B$1005,0))="",IF(COUNTIFS('①在庫を貼る'!$V$6:$V$10005,'設定'!$C$4,'①在庫を貼る'!$W$6:$W$10005,$C220)&gt;0,SUMIFS('①在庫を貼る'!$Q$6:$Q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Q$6:$Q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Q$6:$Q$10005,'月1回_2ヶ月前の在庫'!$V$6:$V$10005,'設定'!$C$4,'月1回_2ヶ月前の在庫'!$W$6:$W$10005,$C220)/COUNTIFS('月1回_2ヶ月前の在庫'!$V$6:$V$10005,'設定'!$C$4,'月1回_2ヶ月前の在庫'!$W$6:$W$10005,$C220),0))),INDEX('商品マスタ'!$G$6:$G$1005,MATCH($C220,'商品マスタ'!$B$6:$B$1005,0))),IF(COUNTIFS('①在庫を貼る'!$V$6:$V$10005,'設定'!$C$4,'①在庫を貼る'!$W$6:$W$10005,$C220)&gt;0,SUMIFS('①在庫を貼る'!$Q$6:$Q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Q$6:$Q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Q$6:$Q$10005,'月1回_2ヶ月前の在庫'!$V$6:$V$10005,'設定'!$C$4,'月1回_2ヶ月前の在庫'!$W$6:$W$10005,$C220)/COUNTIFS('月1回_2ヶ月前の在庫'!$V$6:$V$10005,'設定'!$C$4,'月1回_2ヶ月前の在庫'!$W$6:$W$10005,$C220),0))))))</f>
        <v/>
      </c>
      <c r="I220">
        <f>IF($C220="","",IF(COUNTIFS('①在庫を貼る'!$V$6:$V$10005,'設定'!$C$4,'①在庫を貼る'!$W$6:$W$10005,$C220)=0,"",SUMIFS('①在庫を貼る'!$N$6:$N$10005,'①在庫を貼る'!$V$6:$V$10005,'設定'!$C$4,'①在庫を貼る'!$W$6:$W$10005,$C220)))</f>
        <v/>
      </c>
      <c r="J220">
        <f>IF($C220="","",IF('②発注する'!$AD224="","",'②発注する'!$AD224))</f>
        <v/>
      </c>
      <c r="K220" s="90">
        <f>IF($C220="","",IF('②発注する'!$AE224="","",'②発注する'!$AE224))</f>
        <v/>
      </c>
      <c r="L220">
        <f>IF($C220="","",IF(AND(ISNUMBER($J220),ISNUMBER($K220),$K220&gt;='設定'!$C$6),$J220,N($I220)))</f>
        <v/>
      </c>
      <c r="M220">
        <f>IF($C220="","",IFERROR(IF(N(INDEX('商品マスタ'!$J$6:$J$1005,MATCH($C220,'商品マスタ'!$B$6:$B$1005,0)))&gt;0,INDEX('商品マスタ'!$J$6:$J$1005,MATCH($C220,'商品マスタ'!$B$6:$B$1005,0)),""),""))</f>
        <v/>
      </c>
      <c r="N220">
        <f>IF($C220="","",IFERROR(IF(N(INDEX('商品マスタ'!$H$6:$H$1005,MATCH($C220,'商品マスタ'!$B$6:$B$1005,0)))&gt;0,INDEX('商品マスタ'!$H$6:$H$1005,MATCH($C220,'商品マスタ'!$B$6:$B$1005,0)),""),""))</f>
        <v/>
      </c>
      <c r="O220">
        <f>IF($C220="","",IF($N220&lt;&gt;"",$N220*$G220,IF(N(IF(COUNTIFS('①在庫を貼る'!$V$6:$V$10005,'設定'!$C$4,'①在庫を貼る'!$W$6:$W$10005,$C220)&gt;0,SUMIFS('①在庫を貼る'!$O$6:$O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O$6:$O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O$6:$O$10005,'月1回_2ヶ月前の在庫'!$V$6:$V$10005,'設定'!$C$4,'月1回_2ヶ月前の在庫'!$W$6:$W$10005,$C220)/COUNTIFS('月1回_2ヶ月前の在庫'!$V$6:$V$10005,'設定'!$C$4,'月1回_2ヶ月前の在庫'!$W$6:$W$10005,$C220),0))))&gt;0,N(IF(COUNTIFS('①在庫を貼る'!$V$6:$V$10005,'設定'!$C$4,'①在庫を貼る'!$W$6:$W$10005,$C220)&gt;0,SUMIFS('①在庫を貼る'!$O$6:$O$10005,'①在庫を貼る'!$V$6:$V$10005,'設定'!$C$4,'①在庫を貼る'!$W$6:$W$10005,$C220)/COUNTIFS('①在庫を貼る'!$V$6:$V$10005,'設定'!$C$4,'①在庫を貼る'!$W$6:$W$10005,$C220),IF(COUNTIFS('月1回_1ヶ月前の在庫'!$V$6:$V$10005,'設定'!$C$4,'月1回_1ヶ月前の在庫'!$W$6:$W$10005,$C220)&gt;0,SUMIFS('月1回_1ヶ月前の在庫'!$O$6:$O$10005,'月1回_1ヶ月前の在庫'!$V$6:$V$10005,'設定'!$C$4,'月1回_1ヶ月前の在庫'!$W$6:$W$10005,$C220)/COUNTIFS('月1回_1ヶ月前の在庫'!$V$6:$V$10005,'設定'!$C$4,'月1回_1ヶ月前の在庫'!$W$6:$W$10005,$C220),IF(COUNTIFS('月1回_2ヶ月前の在庫'!$V$6:$V$10005,'設定'!$C$4,'月1回_2ヶ月前の在庫'!$W$6:$W$10005,$C220)&gt;0,SUMIFS('月1回_2ヶ月前の在庫'!$O$6:$O$10005,'月1回_2ヶ月前の在庫'!$V$6:$V$10005,'設定'!$C$4,'月1回_2ヶ月前の在庫'!$W$6:$W$10005,$C220)/COUNTIFS('月1回_2ヶ月前の在庫'!$V$6:$V$10005,'設定'!$C$4,'月1回_2ヶ月前の在庫'!$W$6:$W$10005,$C220),0)))),"")))</f>
        <v/>
      </c>
      <c r="P220" s="90">
        <f>IF($C220="","",IF('②発注する'!$I224="","",'②発注する'!$I224))</f>
        <v/>
      </c>
      <c r="Q220">
        <f>IF($C220="","",IF('②発注する'!$J224="","",'②発注する'!$J224))</f>
        <v/>
      </c>
      <c r="R220">
        <f>IF($C220="",0,IF(AND(ISNUMBER($P220),ISNUMBER($Q220)),MAX(0,$Q220)*$G220,0))</f>
        <v/>
      </c>
      <c r="S220" s="90">
        <f>IF($C220="","",IF('②発注する'!$M224="","",'②発注する'!$M224))</f>
        <v/>
      </c>
      <c r="T220">
        <f>IF($C220="","",IF('②発注する'!$N224="","",'②発注する'!$N224))</f>
        <v/>
      </c>
      <c r="U220">
        <f>IF($C220="",0,IF(AND(ISNUMBER($S220),ISNUMBER($T220)),MAX(0,$T220)*$G220,0))</f>
        <v/>
      </c>
      <c r="V220">
        <f>IF($C220="",0,IF($M220="",0,MAX(0,$M220)*MAX(0,V$4)/100))</f>
        <v/>
      </c>
      <c r="W220">
        <f>IF($C220="",0,IF($M220="",0,MAX(0,$M220)*MAX(0,W$4)/100))</f>
        <v/>
      </c>
      <c r="X220">
        <f>IF($C220="",0,IF($M220="",0,MAX(0,$M220)*MAX(0,X$4)/100))</f>
        <v/>
      </c>
      <c r="Y220">
        <f>IF($C220="",0,IF($M220="",0,MAX(0,$M220)*MAX(0,Y$4)/100))</f>
        <v/>
      </c>
      <c r="Z220">
        <f>IF($C220="",0,IF($M220="",0,MAX(0,$M220)*MAX(0,Z$4)/100))</f>
        <v/>
      </c>
      <c r="AA220">
        <f>IF($C220="",0,IF($M220="",0,MAX(0,$M220)*MAX(0,AA$4)/100))</f>
        <v/>
      </c>
      <c r="AB220">
        <f>IF($C220="",0,IF($M220="",0,MAX(0,$M220)*MAX(0,AB$4)/100))</f>
        <v/>
      </c>
      <c r="AC220">
        <f>IF($C220="",0,IF($M220="",0,MAX(0,$M220)*MAX(0,AC$4)/100))</f>
        <v/>
      </c>
      <c r="AD220">
        <f>IF($C220="",0,IF($M220="",0,MAX(0,$M220)*MAX(0,AD$4)/100))</f>
        <v/>
      </c>
      <c r="AE220">
        <f>IF($C220="",0,IF($M220="",0,MAX(0,$M220)*MAX(0,AE$4)/100))</f>
        <v/>
      </c>
      <c r="AF220">
        <f>IF($C220="",0,IF($M220="",0,MAX(0,$M220)*MAX(0,AF$4)/100))</f>
        <v/>
      </c>
      <c r="AG220">
        <f>IF($C220="",0,IF($M220="",0,MAX(0,$M220)*MAX(0,AG$4)/100))</f>
        <v/>
      </c>
      <c r="AH220">
        <f>IF($C220="",0,IF($M220="",0,MAX(0,$M220)*MAX(0,AH$4)/100))</f>
        <v/>
      </c>
      <c r="AI220">
        <f>IF($C220="",0,IF($M220="",0,MAX(0,$M220)*MAX(0,AI$4)/100))</f>
        <v/>
      </c>
      <c r="AJ220">
        <f>IF($C220="",0,MAX(0,MAX(0,N($L220))-$V220))</f>
        <v/>
      </c>
      <c r="AK220">
        <f>IF($C220="",0,MAX(0,$AJ220-$W220))</f>
        <v/>
      </c>
      <c r="AL220">
        <f>IF($C220="",0,MAX(0,$AK220-$X220))</f>
        <v/>
      </c>
      <c r="AM220">
        <f>IF($C220="",0,MAX(0,$AL220-$Y220))</f>
        <v/>
      </c>
      <c r="AN220">
        <f>IF($C220="",0,MAX(0,$AM220-$Z220))</f>
        <v/>
      </c>
      <c r="AO220">
        <f>IF($C220="",0,MAX(0,$AN220-$AA220))</f>
        <v/>
      </c>
      <c r="AP220">
        <f>IF($C220="",0,MAX(0,$AO220-$AB220))</f>
        <v/>
      </c>
      <c r="AQ220">
        <f>IF($C220="",0,MAX(0,$AP220-$AC220))</f>
        <v/>
      </c>
      <c r="AR220">
        <f>IF($C220="",0,MAX(0,$AQ220-$AD220))</f>
        <v/>
      </c>
      <c r="AS220">
        <f>IF($C220="",0,MAX(0,$AR220-$AE220))</f>
        <v/>
      </c>
      <c r="AT220">
        <f>IF($C220="",0,MAX(0,$AS220-$AF220))</f>
        <v/>
      </c>
      <c r="AU220">
        <f>IF($C220="",0,MAX(0,$AT220-$AG220))</f>
        <v/>
      </c>
      <c r="AV220">
        <f>IF($C220="",0,MAX(0,$AU220-$AH220))</f>
        <v/>
      </c>
      <c r="AW220">
        <f>IF($C220="",0,MAX(0,$AV220-$AI220))</f>
        <v/>
      </c>
      <c r="AX220">
        <f>IF($C220="",0,MAX(0,MAX(0,N($L220))+IF($P220=V$3,$R220,0)+IF($S220=V$3,$U220,0)-$V220))</f>
        <v/>
      </c>
      <c r="AY220">
        <f>IF($C220="",0,MAX(0,$AX220+IF($P220=W$3,$R220,0)+IF($S220=W$3,$U220,0)-$W220))</f>
        <v/>
      </c>
      <c r="AZ220">
        <f>IF($C220="",0,MAX(0,$AY220+IF($P220=X$3,$R220,0)+IF($S220=X$3,$U220,0)-$X220))</f>
        <v/>
      </c>
      <c r="BA220">
        <f>IF($C220="",0,MAX(0,$AZ220+IF($P220=Y$3,$R220,0)+IF($S220=Y$3,$U220,0)-$Y220))</f>
        <v/>
      </c>
      <c r="BB220">
        <f>IF($C220="",0,MAX(0,$BA220+IF($P220=Z$3,$R220,0)+IF($S220=Z$3,$U220,0)-$Z220))</f>
        <v/>
      </c>
      <c r="BC220">
        <f>IF($C220="",0,MAX(0,$BB220+IF($P220=AA$3,$R220,0)+IF($S220=AA$3,$U220,0)-$AA220))</f>
        <v/>
      </c>
      <c r="BD220">
        <f>IF($C220="",0,MAX(0,$BC220+IF($P220=AB$3,$R220,0)+IF($S220=AB$3,$U220,0)-$AB220))</f>
        <v/>
      </c>
      <c r="BE220">
        <f>IF($C220="",0,MAX(0,$BD220+IF($P220=AC$3,$R220,0)+IF($S220=AC$3,$U220,0)-$AC220))</f>
        <v/>
      </c>
      <c r="BF220">
        <f>IF($C220="",0,MAX(0,$BE220+IF($P220=AD$3,$R220,0)+IF($S220=AD$3,$U220,0)-$AD220))</f>
        <v/>
      </c>
      <c r="BG220">
        <f>IF($C220="",0,MAX(0,$BF220+IF($P220=AE$3,$R220,0)+IF($S220=AE$3,$U220,0)-$AE220))</f>
        <v/>
      </c>
      <c r="BH220">
        <f>IF($C220="",0,MAX(0,$BG220+IF($P220=AF$3,$R220,0)+IF($S220=AF$3,$U220,0)-$AF220))</f>
        <v/>
      </c>
      <c r="BI220">
        <f>IF($C220="",0,MAX(0,$BH220+IF($P220=AG$3,$R220,0)+IF($S220=AG$3,$U220,0)-$AG220))</f>
        <v/>
      </c>
      <c r="BJ220">
        <f>IF($C220="",0,MAX(0,$BI220+IF($P220=AH$3,$R220,0)+IF($S220=AH$3,$U220,0)-$AH220))</f>
        <v/>
      </c>
      <c r="BK220">
        <f>IF($C220="",0,MAX(0,$BJ220+IF($P220=AI$3,$R220,0)+IF($S220=AI$3,$U220,0)-$AI220))</f>
        <v/>
      </c>
      <c r="BL220">
        <f>IF($C220="",99,IF(AND($AX220&lt;1,V$3&gt;=MAX(N($P220),N($S220))),0,99))</f>
        <v/>
      </c>
      <c r="BM220">
        <f>IF($C220="",99,IF(AND($AY220&lt;1,W$3&gt;=MAX(N($P220),N($S220))),1,99))</f>
        <v/>
      </c>
      <c r="BN220">
        <f>IF($C220="",99,IF(AND($AZ220&lt;1,X$3&gt;=MAX(N($P220),N($S220))),2,99))</f>
        <v/>
      </c>
      <c r="BO220">
        <f>IF($C220="",99,IF(AND($BA220&lt;1,Y$3&gt;=MAX(N($P220),N($S220))),3,99))</f>
        <v/>
      </c>
      <c r="BP220">
        <f>IF($C220="",99,IF(AND($BB220&lt;1,Z$3&gt;=MAX(N($P220),N($S220))),4,99))</f>
        <v/>
      </c>
      <c r="BQ220">
        <f>IF($C220="",99,IF(AND($BC220&lt;1,AA$3&gt;=MAX(N($P220),N($S220))),5,99))</f>
        <v/>
      </c>
      <c r="BR220">
        <f>IF($C220="",99,IF(AND($BD220&lt;1,AB$3&gt;=MAX(N($P220),N($S220))),6,99))</f>
        <v/>
      </c>
      <c r="BS220">
        <f>IF($C220="",99,IF(AND($BE220&lt;1,AC$3&gt;=MAX(N($P220),N($S220))),7,99))</f>
        <v/>
      </c>
      <c r="BT220">
        <f>IF($C220="",99,IF(AND($BF220&lt;1,AD$3&gt;=MAX(N($P220),N($S220))),8,99))</f>
        <v/>
      </c>
      <c r="BU220">
        <f>IF($C220="",99,IF(AND($BG220&lt;1,AE$3&gt;=MAX(N($P220),N($S220))),9,99))</f>
        <v/>
      </c>
      <c r="BV220">
        <f>IF($C220="",99,IF(AND($BH220&lt;1,AF$3&gt;=MAX(N($P220),N($S220))),10,99))</f>
        <v/>
      </c>
      <c r="BW220">
        <f>IF($C220="",99,IF(AND($BI220&lt;1,AG$3&gt;=MAX(N($P220),N($S220))),11,99))</f>
        <v/>
      </c>
      <c r="BX220">
        <f>IF($C220="",99,IF(AND($BJ220&lt;1,AH$3&gt;=MAX(N($P220),N($S220))),12,99))</f>
        <v/>
      </c>
      <c r="BY220">
        <f>IF($C220="",99,IF(AND($BK220&lt;1,AI$3&gt;=MAX(N($P220),N($S220))),13,99))</f>
        <v/>
      </c>
      <c r="BZ220">
        <f>IF(OR($C220="",$M220=""),"",COUNTIF($AJ220:$AW220,"&gt;=1"))</f>
        <v/>
      </c>
      <c r="CA220" s="90">
        <f>IF($BZ220="","",IF($BZ220&gt;=14,"",'設定'!$C$6+$BZ220))</f>
        <v/>
      </c>
      <c r="CB220">
        <f>IF(OR($C220="",$M220=""),"",MIN($BL220:$BY220))</f>
        <v/>
      </c>
      <c r="CC220" s="90">
        <f>IF($CB220="","",IF($CB220&gt;=99,"",'設定'!$C$6+$CB220))</f>
        <v/>
      </c>
      <c r="CD220">
        <f>IF(OR($C220="",$M220=""),"",AVERAGE($V220:$AI220))</f>
        <v/>
      </c>
      <c r="CE220">
        <f>IF($C220="","",IFERROR(IF(MATCH(IF(ISNUMBER($P220),$P220,'設定'!$C$6+N('設定'!$C$7)),$V$3:$AI$3,0)=1,MAX(0,N($L220)),INDEX($AJ220:$AW220,MATCH(IF(ISNUMBER($P220),$P220,'設定'!$C$6+N('設定'!$C$7)),$V$3:$AI$3,0)-1)),""))</f>
        <v/>
      </c>
      <c r="CF220">
        <f>IF(OR($C220="",$O220="",$CE220=""),"",IF($O220-$CE220&lt;=0,0,ROUNDUP(($O220-$CE220)/$G220,0)))</f>
        <v/>
      </c>
      <c r="CG220">
        <f>IF(OR($C220="",$CF220="",NOT(ISNUMBER($Q220))),0,MAX(0,$Q220-$CF220))</f>
        <v/>
      </c>
      <c r="CH220">
        <f>IF(OR($C220="",$O220="",$U220=0),0,IFERROR(ROUNDUP(MAX(0,IF(MATCH($S220,$V$3:$AI$3,0)=1,MAX(0,N($L220)),INDEX($AX220:$BK220,MATCH($S220,$V$3:$AI$3,0)-1))+$U220-$O220)/$G220,0),0))</f>
        <v/>
      </c>
      <c r="CI220">
        <f>IF($C220="","",IF(AND($P220="",$Q220=""),"",IF($P220="","⚠ 入庫日を ▼ から選んでください",IF(NOT(ISNUMBER($P220)),"⚠ 入庫日は ▼ から選んでください",IF($P220&lt;N('設定'!$C$6),"⚠ 入庫日が過去です（もう在庫に入っています）→ 消してください",IF($P220&gt;N('設定'!$C$6)+13,"⚠ 入庫日が14日より先です",IF(N($Q220)&lt;=0,"⚠ 入庫数を入れてください",IF($CG220&gt;0,"⚠ 目安より "&amp;$CG220&amp;" 多い（定数を超える）→ 減らす",""))))))))</f>
        <v/>
      </c>
      <c r="CJ220">
        <f>IF($C220="","",IF(AND($S220="",$T220=""),"",IF($S220="","⚠ 2便目：入庫日を ▼ から選んでください",IF(NOT(ISNUMBER($S220)),"⚠ 2便目：入庫日は ▼ から選んでください",IF($S220&lt;N('設定'!$C$6),"⚠ 2便目：入庫日が過去です（もう在庫に入っています）→ 消してください",IF($S220&gt;N('設定'!$C$6)+13,"⚠ 2便目：入庫日が14日より先です",IF(N($T220)&lt;=0,"⚠ 2便目：入庫数を入れてください",IF($CH220&gt;0,"⚠ 2便目：定数を "&amp;$CH220&amp;" ケース超える → 減らす",""))))))))</f>
        <v/>
      </c>
      <c r="CK220">
        <f>IF(AND($CI220="",N($Q220)&gt;0,ISNUMBER($P220)),1,0)</f>
        <v/>
      </c>
      <c r="CL220">
        <f>IF(AND($CJ220="",N($T220)&gt;0,ISNUMBER($S220)),1,0)</f>
        <v/>
      </c>
      <c r="CM220">
        <f>IF(OR($CK220=1,$CL220=1),1,0)</f>
        <v/>
      </c>
      <c r="CN220">
        <f>IF($C220="",0,($CK220*$R220+$CL220*$U220)*N($H220))</f>
        <v/>
      </c>
      <c r="CO220">
        <f>IF($C220="","",IF($CC220="","入庫後は 14日以上もつ",IF($CC220-N('設定'!$C$7)&lt;='設定'!$C$6,"入庫後も "&amp;TEXT($CC220,"m/d")&amp;"("&amp;CHOOSE(WEEKDAY($CC220),"日","月","火","水","木","金","土")&amp;")"&amp;" に切れる　もう1便を至急発注","入庫後も "&amp;TEXT($CC220,"m/d")&amp;"("&amp;CHOOSE(WEEKDAY($CC220),"日","月","火","水","木","金","土")&amp;")"&amp;" に切れる　"&amp;TEXT($CC220-N('設定'!$C$7),"m/d")&amp;"("&amp;CHOOSE(WEEKDAY($CC220-N('設定'!$C$7)),"日","月","火","水","木","金","土")&amp;")"&amp;" までに次を発注")))</f>
        <v/>
      </c>
      <c r="CP220">
        <f>IF($C220="","",IF('設定'!$C$6="","？ ①在庫を貼る に今日のCSVが貼られていない",IF($CS220=1,"－ 今日のCSVに無い（終売？）",IF($L220&lt;0,"● 在庫がマイナス　数えて「数えた在庫」に入れる",IF($L220=0,"● 在庫なし　至急発注",IF($M220="","？ 減り数が未設定（商品マスタ）",IF($B$3=0,"？ 動員が未入力（動員を入れる）",IF($CA220="","○ 14日以上もつ",IF($BZ220&lt;N('設定'!$C$7),"● "&amp;TEXT($CA220,"m/d")&amp;"("&amp;CHOOSE(WEEKDAY($CA220),"日","月","火","水","木","金","土")&amp;")"&amp;" に切れる　至急発注",IF($BZ220=N('設定'!$C$7),"● "&amp;TEXT($CA220,"m/d")&amp;"("&amp;CHOOSE(WEEKDAY($CA220),"日","月","火","水","木","金","土")&amp;")"&amp;" に切れる　今日発注","△ "&amp;TEXT($CA220,"m/d")&amp;"("&amp;CHOOSE(WEEKDAY($CA220),"日","月","火","水","木","金","土")&amp;")"&amp;" に切れる　"&amp;TEXT($CA220-N('設定'!$C$7),"m/d")&amp;"("&amp;CHOOSE(WEEKDAY($CA220-N('設定'!$C$7)),"日","月","火","水","木","金","土")&amp;")"&amp;" までに発注"))))))))))</f>
        <v/>
      </c>
      <c r="CQ220">
        <f>IF($C220="","",IF(AND($P220="",$Q220="",$S220="",$T220=""),"",IF(AND($P220="",$Q220=""),"⚠ 先に1便目（左の入庫日・入庫数）に入れてください",IF($CI220&lt;&gt;"",$CI220,IF($CJ220&lt;&gt;"",$CJ220,IF($M220="","？ 減り数が未設定（発注書には載ります）",IF($B$3=0,"？ 動員が未入力（発注書には載ります）",IF(AND($CA220&lt;&gt;"",$P220&gt;$CA220),IF($P220&gt;'設定'!$C$6+N('設定'!$C$7),"● "&amp;TEXT($P220,"m/d")&amp;"("&amp;CHOOSE(WEEKDAY($P220),"日","月","火","水","木","金","土")&amp;")"&amp;" の入庫では間に合わない（"&amp;TEXT($CA220,"m/d")&amp;"("&amp;CHOOSE(WEEKDAY($CA220),"日","月","火","水","木","金","土")&amp;")"&amp;" に切れる）　入庫日を早める","△ 欠品 "&amp;TEXT($CA220,"m/d")&amp;"("&amp;CHOOSE(WEEKDAY($CA220),"日","月","火","水","木","金","土")&amp;")"&amp;"〜"&amp;TEXT($P220-1,"m/d")&amp;"("&amp;CHOOSE(WEEKDAY($P220-1),"日","月","火","水","木","金","土")&amp;")"&amp;"　"&amp;$CO220),IF($CC220="","○ "&amp;TEXT($P220,"m/d")&amp;"("&amp;CHOOSE(WEEKDAY($P220),"日","月","火","水","木","金","土")&amp;")"&amp;" 入庫で 14日以上もつ",IF($CC220-N('設定'!$C$7)&lt;='設定'!$C$6,"● 入庫しても "&amp;TEXT($CC220,"m/d")&amp;"("&amp;CHOOSE(WEEKDAY($CC220),"日","月","火","水","木","金","土")&amp;")"&amp;" に切れる　もう1便を至急発注（2便目に入れる）","△ 入庫しても "&amp;TEXT($CC220,"m/d")&amp;"("&amp;CHOOSE(WEEKDAY($CC220),"日","月","火","水","木","金","土")&amp;")"&amp;" に切れる　"&amp;TEXT($CC220-N('設定'!$C$7),"m/d")&amp;"("&amp;CHOOSE(WEEKDAY($CC220-N('設定'!$C$7)),"日","月","火","水","木","金","土")&amp;")"&amp;" までに次を発注（2便目に入れる）"))))))))))</f>
        <v/>
      </c>
      <c r="CR220">
        <f>IF($C220="","",IF($G220&gt;1,"ｹｰｽ("&amp;$G220&amp;"入)","個"))</f>
        <v/>
      </c>
      <c r="CS220">
        <f>IF($C220="",0,IF(COUNTIFS('①在庫を貼る'!$V$6:$V$10005,'設定'!$C$4,'①在庫を貼る'!$W$6:$W$10005,$C220)=0,1,0))</f>
        <v/>
      </c>
      <c r="CT220">
        <f>IF(AND($CK220=1,OR('③発注書'!$C$4="すべて",'③発注書'!$C$4="",$F220='③発注書'!$C$4)),N($CT219)+1,N($CT219))</f>
        <v/>
      </c>
      <c r="CU220">
        <f>IF(AND($CL220=1,OR('③発注書'!$C$4="すべて",'③発注書'!$C$4="",$F220='③発注書'!$C$4)),N($CU219)+1,N($CU219))</f>
        <v/>
      </c>
      <c r="CV220">
        <f>IF($C220="",0,IF(COUNTIFS('①在庫を貼る'!$V$6:$V$10005,'設定'!$C$4,'①在庫を貼る'!$W$6:$W$10005,$C220)&gt;0,1,0))</f>
        <v/>
      </c>
      <c r="CW220">
        <f>IF($C220="",0,IF(COUNTIFS('月1回_1ヶ月前の在庫'!$V$6:$V$10005,'設定'!$C$4,'月1回_1ヶ月前の在庫'!$W$6:$W$10005,$C220)&gt;0,1,0))</f>
        <v/>
      </c>
      <c r="CX220">
        <f>IF($C220="",0,IF(COUNTIFS('月1回_2ヶ月前の在庫'!$V$6:$V$10005,'設定'!$C$4,'月1回_2ヶ月前の在庫'!$W$6:$W$10005,$C220)&gt;0,1,0))</f>
        <v/>
      </c>
      <c r="CY220">
        <f>IF(OR($C220="",'設定'!$C$12=""),"",IF('設定'!$C$13="",IF(AND($CV220=1,$CW220=0),"新商品（今月から）",IF(AND($CV220=0,$CW220=1),"終売（今月から）","")),IF(AND($CV220=1,$CW220=0,$CX220=0),"新商品（今月から）",IF(AND($CV220=1,$CW220=1,$CX220=0),"新商品（先月から）",IF(AND($CV220=0,$CW220=1,$CX220=1),"終売（今月から）",IF(AND($CV220=0,$CW220=0,$CX220=1),"終売（先月から）",IF(AND($CV220=1,$CW220=0,$CX220=1),"復活（先月は無し）","")))))))</f>
        <v/>
      </c>
    </row>
    <row r="221">
      <c r="B221">
        <f>IF(216&lt;='設定'!$C$11,216,"")</f>
        <v/>
      </c>
      <c r="C221">
        <f>IF($B221="","",IF($B221&lt;='設定'!$C$20,INDEX('商品マスタ'!$B$6:$B$1005,MATCH($B221,'商品マスタ'!$M$6:$M$1005,0)),IF($B221&lt;='設定'!$C$20+'設定'!$C$17,INDEX('①在庫を貼る'!$W$6:$W$10005,MATCH($B221-'設定'!$C$20,'①在庫を貼る'!$U$6:$U$10005,0)),IF($B221&lt;='設定'!$C$20+'設定'!$C$17+'設定'!$C$18,INDEX('月1回_1ヶ月前の在庫'!$W$6:$W$10005,MATCH($B221-'設定'!$C$20-'設定'!$C$17,'月1回_1ヶ月前の在庫'!$U$6:$U$10005,0)),INDEX('月1回_2ヶ月前の在庫'!$W$6:$W$10005,MATCH($B221-'設定'!$C$20-'設定'!$C$17-'設定'!$C$18,'月1回_2ヶ月前の在庫'!$U$6:$U$10005,0))))))</f>
        <v/>
      </c>
      <c r="D221">
        <f>IF($C221="","",IFERROR(IF(INDEX('商品マスタ'!$C$6:$C$1005,MATCH($C221,'商品マスタ'!$B$6:$B$1005,0))="",IFERROR(INDEX('①在庫を貼る'!$J$6:$J$10005,MATCH($C221,'①在庫を貼る'!$W$6:$W$10005,0)),IFERROR(INDEX('月1回_1ヶ月前の在庫'!$J$6:$J$10005,MATCH($C221,'月1回_1ヶ月前の在庫'!$W$6:$W$10005,0)),IFERROR(INDEX('月1回_2ヶ月前の在庫'!$J$6:$J$10005,MATCH($C221,'月1回_2ヶ月前の在庫'!$W$6:$W$10005,0)),""))),INDEX('商品マスタ'!$C$6:$C$1005,MATCH($C221,'商品マスタ'!$B$6:$B$1005,0))),IFERROR(INDEX('①在庫を貼る'!$J$6:$J$10005,MATCH($C221,'①在庫を貼る'!$W$6:$W$10005,0)),IFERROR(INDEX('月1回_1ヶ月前の在庫'!$J$6:$J$10005,MATCH($C221,'月1回_1ヶ月前の在庫'!$W$6:$W$10005,0)),IFERROR(INDEX('月1回_2ヶ月前の在庫'!$J$6:$J$10005,MATCH($C221,'月1回_2ヶ月前の在庫'!$W$6:$W$10005,0)),"")))))</f>
        <v/>
      </c>
      <c r="E221">
        <f>IF($C221="","",IFERROR(IF(INDEX('商品マスタ'!$D$6:$D$1005,MATCH($C221,'商品マスタ'!$B$6:$B$1005,0))="",IFERROR(INDEX('①在庫を貼る'!$H$6:$H$10005,MATCH($C221,'①在庫を貼る'!$W$6:$W$10005,0)),IFERROR(INDEX('月1回_1ヶ月前の在庫'!$H$6:$H$10005,MATCH($C221,'月1回_1ヶ月前の在庫'!$W$6:$W$10005,0)),IFERROR(INDEX('月1回_2ヶ月前の在庫'!$H$6:$H$10005,MATCH($C221,'月1回_2ヶ月前の在庫'!$W$6:$W$10005,0)),""))),INDEX('商品マスタ'!$D$6:$D$1005,MATCH($C221,'商品マスタ'!$B$6:$B$1005,0))),IFERROR(INDEX('①在庫を貼る'!$H$6:$H$10005,MATCH($C221,'①在庫を貼る'!$W$6:$W$10005,0)),IFERROR(INDEX('月1回_1ヶ月前の在庫'!$H$6:$H$10005,MATCH($C221,'月1回_1ヶ月前の在庫'!$W$6:$W$10005,0)),IFERROR(INDEX('月1回_2ヶ月前の在庫'!$H$6:$H$10005,MATCH($C221,'月1回_2ヶ月前の在庫'!$W$6:$W$10005,0)),"")))))</f>
        <v/>
      </c>
      <c r="F221">
        <f>IF($C221="","",IFERROR(IF(INDEX('商品マスタ'!$E$6:$E$1005,MATCH($C221,'商品マスタ'!$B$6:$B$1005,0))="",IFERROR(INDEX('①在庫を貼る'!$E$6:$E$10005,MATCH($C221,'①在庫を貼る'!$W$6:$W$10005,0)),IFERROR(INDEX('月1回_1ヶ月前の在庫'!$E$6:$E$10005,MATCH($C221,'月1回_1ヶ月前の在庫'!$W$6:$W$10005,0)),IFERROR(INDEX('月1回_2ヶ月前の在庫'!$E$6:$E$10005,MATCH($C221,'月1回_2ヶ月前の在庫'!$W$6:$W$10005,0)),""))),INDEX('商品マスタ'!$E$6:$E$1005,MATCH($C221,'商品マスタ'!$B$6:$B$1005,0))),IFERROR(INDEX('①在庫を貼る'!$E$6:$E$10005,MATCH($C221,'①在庫を貼る'!$W$6:$W$10005,0)),IFERROR(INDEX('月1回_1ヶ月前の在庫'!$E$6:$E$10005,MATCH($C221,'月1回_1ヶ月前の在庫'!$W$6:$W$10005,0)),IFERROR(INDEX('月1回_2ヶ月前の在庫'!$E$6:$E$10005,MATCH($C221,'月1回_2ヶ月前の在庫'!$W$6:$W$10005,0)),"")))))</f>
        <v/>
      </c>
      <c r="G221">
        <f>IF($C221="","",MAX(1,N(IFERROR(IF(INDEX('商品マスタ'!$F$6:$F$1005,MATCH($C221,'商品マスタ'!$B$6:$B$1005,0))="",IF(COUNTIFS('①在庫を貼る'!$V$6:$V$10005,'設定'!$C$4,'①在庫を貼る'!$W$6:$W$10005,$C221)&gt;0,SUMIFS('①在庫を貼る'!$K$6:$K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K$6:$K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K$6:$K$10005,'月1回_2ヶ月前の在庫'!$V$6:$V$10005,'設定'!$C$4,'月1回_2ヶ月前の在庫'!$W$6:$W$10005,$C221)/COUNTIFS('月1回_2ヶ月前の在庫'!$V$6:$V$10005,'設定'!$C$4,'月1回_2ヶ月前の在庫'!$W$6:$W$10005,$C221),0))),INDEX('商品マスタ'!$F$6:$F$1005,MATCH($C221,'商品マスタ'!$B$6:$B$1005,0))),IF(COUNTIFS('①在庫を貼る'!$V$6:$V$10005,'設定'!$C$4,'①在庫を貼る'!$W$6:$W$10005,$C221)&gt;0,SUMIFS('①在庫を貼る'!$K$6:$K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K$6:$K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K$6:$K$10005,'月1回_2ヶ月前の在庫'!$V$6:$V$10005,'設定'!$C$4,'月1回_2ヶ月前の在庫'!$W$6:$W$10005,$C221)/COUNTIFS('月1回_2ヶ月前の在庫'!$V$6:$V$10005,'設定'!$C$4,'月1回_2ヶ月前の在庫'!$W$6:$W$10005,$C221),0)))))))</f>
        <v/>
      </c>
      <c r="H221">
        <f>IF($C221="","",N(IFERROR(IF(INDEX('商品マスタ'!$G$6:$G$1005,MATCH($C221,'商品マスタ'!$B$6:$B$1005,0))="",IF(COUNTIFS('①在庫を貼る'!$V$6:$V$10005,'設定'!$C$4,'①在庫を貼る'!$W$6:$W$10005,$C221)&gt;0,SUMIFS('①在庫を貼る'!$Q$6:$Q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Q$6:$Q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Q$6:$Q$10005,'月1回_2ヶ月前の在庫'!$V$6:$V$10005,'設定'!$C$4,'月1回_2ヶ月前の在庫'!$W$6:$W$10005,$C221)/COUNTIFS('月1回_2ヶ月前の在庫'!$V$6:$V$10005,'設定'!$C$4,'月1回_2ヶ月前の在庫'!$W$6:$W$10005,$C221),0))),INDEX('商品マスタ'!$G$6:$G$1005,MATCH($C221,'商品マスタ'!$B$6:$B$1005,0))),IF(COUNTIFS('①在庫を貼る'!$V$6:$V$10005,'設定'!$C$4,'①在庫を貼る'!$W$6:$W$10005,$C221)&gt;0,SUMIFS('①在庫を貼る'!$Q$6:$Q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Q$6:$Q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Q$6:$Q$10005,'月1回_2ヶ月前の在庫'!$V$6:$V$10005,'設定'!$C$4,'月1回_2ヶ月前の在庫'!$W$6:$W$10005,$C221)/COUNTIFS('月1回_2ヶ月前の在庫'!$V$6:$V$10005,'設定'!$C$4,'月1回_2ヶ月前の在庫'!$W$6:$W$10005,$C221),0))))))</f>
        <v/>
      </c>
      <c r="I221">
        <f>IF($C221="","",IF(COUNTIFS('①在庫を貼る'!$V$6:$V$10005,'設定'!$C$4,'①在庫を貼る'!$W$6:$W$10005,$C221)=0,"",SUMIFS('①在庫を貼る'!$N$6:$N$10005,'①在庫を貼る'!$V$6:$V$10005,'設定'!$C$4,'①在庫を貼る'!$W$6:$W$10005,$C221)))</f>
        <v/>
      </c>
      <c r="J221">
        <f>IF($C221="","",IF('②発注する'!$AD225="","",'②発注する'!$AD225))</f>
        <v/>
      </c>
      <c r="K221" s="90">
        <f>IF($C221="","",IF('②発注する'!$AE225="","",'②発注する'!$AE225))</f>
        <v/>
      </c>
      <c r="L221">
        <f>IF($C221="","",IF(AND(ISNUMBER($J221),ISNUMBER($K221),$K221&gt;='設定'!$C$6),$J221,N($I221)))</f>
        <v/>
      </c>
      <c r="M221">
        <f>IF($C221="","",IFERROR(IF(N(INDEX('商品マスタ'!$J$6:$J$1005,MATCH($C221,'商品マスタ'!$B$6:$B$1005,0)))&gt;0,INDEX('商品マスタ'!$J$6:$J$1005,MATCH($C221,'商品マスタ'!$B$6:$B$1005,0)),""),""))</f>
        <v/>
      </c>
      <c r="N221">
        <f>IF($C221="","",IFERROR(IF(N(INDEX('商品マスタ'!$H$6:$H$1005,MATCH($C221,'商品マスタ'!$B$6:$B$1005,0)))&gt;0,INDEX('商品マスタ'!$H$6:$H$1005,MATCH($C221,'商品マスタ'!$B$6:$B$1005,0)),""),""))</f>
        <v/>
      </c>
      <c r="O221">
        <f>IF($C221="","",IF($N221&lt;&gt;"",$N221*$G221,IF(N(IF(COUNTIFS('①在庫を貼る'!$V$6:$V$10005,'設定'!$C$4,'①在庫を貼る'!$W$6:$W$10005,$C221)&gt;0,SUMIFS('①在庫を貼る'!$O$6:$O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O$6:$O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O$6:$O$10005,'月1回_2ヶ月前の在庫'!$V$6:$V$10005,'設定'!$C$4,'月1回_2ヶ月前の在庫'!$W$6:$W$10005,$C221)/COUNTIFS('月1回_2ヶ月前の在庫'!$V$6:$V$10005,'設定'!$C$4,'月1回_2ヶ月前の在庫'!$W$6:$W$10005,$C221),0))))&gt;0,N(IF(COUNTIFS('①在庫を貼る'!$V$6:$V$10005,'設定'!$C$4,'①在庫を貼る'!$W$6:$W$10005,$C221)&gt;0,SUMIFS('①在庫を貼る'!$O$6:$O$10005,'①在庫を貼る'!$V$6:$V$10005,'設定'!$C$4,'①在庫を貼る'!$W$6:$W$10005,$C221)/COUNTIFS('①在庫を貼る'!$V$6:$V$10005,'設定'!$C$4,'①在庫を貼る'!$W$6:$W$10005,$C221),IF(COUNTIFS('月1回_1ヶ月前の在庫'!$V$6:$V$10005,'設定'!$C$4,'月1回_1ヶ月前の在庫'!$W$6:$W$10005,$C221)&gt;0,SUMIFS('月1回_1ヶ月前の在庫'!$O$6:$O$10005,'月1回_1ヶ月前の在庫'!$V$6:$V$10005,'設定'!$C$4,'月1回_1ヶ月前の在庫'!$W$6:$W$10005,$C221)/COUNTIFS('月1回_1ヶ月前の在庫'!$V$6:$V$10005,'設定'!$C$4,'月1回_1ヶ月前の在庫'!$W$6:$W$10005,$C221),IF(COUNTIFS('月1回_2ヶ月前の在庫'!$V$6:$V$10005,'設定'!$C$4,'月1回_2ヶ月前の在庫'!$W$6:$W$10005,$C221)&gt;0,SUMIFS('月1回_2ヶ月前の在庫'!$O$6:$O$10005,'月1回_2ヶ月前の在庫'!$V$6:$V$10005,'設定'!$C$4,'月1回_2ヶ月前の在庫'!$W$6:$W$10005,$C221)/COUNTIFS('月1回_2ヶ月前の在庫'!$V$6:$V$10005,'設定'!$C$4,'月1回_2ヶ月前の在庫'!$W$6:$W$10005,$C221),0)))),"")))</f>
        <v/>
      </c>
      <c r="P221" s="90">
        <f>IF($C221="","",IF('②発注する'!$I225="","",'②発注する'!$I225))</f>
        <v/>
      </c>
      <c r="Q221">
        <f>IF($C221="","",IF('②発注する'!$J225="","",'②発注する'!$J225))</f>
        <v/>
      </c>
      <c r="R221">
        <f>IF($C221="",0,IF(AND(ISNUMBER($P221),ISNUMBER($Q221)),MAX(0,$Q221)*$G221,0))</f>
        <v/>
      </c>
      <c r="S221" s="90">
        <f>IF($C221="","",IF('②発注する'!$M225="","",'②発注する'!$M225))</f>
        <v/>
      </c>
      <c r="T221">
        <f>IF($C221="","",IF('②発注する'!$N225="","",'②発注する'!$N225))</f>
        <v/>
      </c>
      <c r="U221">
        <f>IF($C221="",0,IF(AND(ISNUMBER($S221),ISNUMBER($T221)),MAX(0,$T221)*$G221,0))</f>
        <v/>
      </c>
      <c r="V221">
        <f>IF($C221="",0,IF($M221="",0,MAX(0,$M221)*MAX(0,V$4)/100))</f>
        <v/>
      </c>
      <c r="W221">
        <f>IF($C221="",0,IF($M221="",0,MAX(0,$M221)*MAX(0,W$4)/100))</f>
        <v/>
      </c>
      <c r="X221">
        <f>IF($C221="",0,IF($M221="",0,MAX(0,$M221)*MAX(0,X$4)/100))</f>
        <v/>
      </c>
      <c r="Y221">
        <f>IF($C221="",0,IF($M221="",0,MAX(0,$M221)*MAX(0,Y$4)/100))</f>
        <v/>
      </c>
      <c r="Z221">
        <f>IF($C221="",0,IF($M221="",0,MAX(0,$M221)*MAX(0,Z$4)/100))</f>
        <v/>
      </c>
      <c r="AA221">
        <f>IF($C221="",0,IF($M221="",0,MAX(0,$M221)*MAX(0,AA$4)/100))</f>
        <v/>
      </c>
      <c r="AB221">
        <f>IF($C221="",0,IF($M221="",0,MAX(0,$M221)*MAX(0,AB$4)/100))</f>
        <v/>
      </c>
      <c r="AC221">
        <f>IF($C221="",0,IF($M221="",0,MAX(0,$M221)*MAX(0,AC$4)/100))</f>
        <v/>
      </c>
      <c r="AD221">
        <f>IF($C221="",0,IF($M221="",0,MAX(0,$M221)*MAX(0,AD$4)/100))</f>
        <v/>
      </c>
      <c r="AE221">
        <f>IF($C221="",0,IF($M221="",0,MAX(0,$M221)*MAX(0,AE$4)/100))</f>
        <v/>
      </c>
      <c r="AF221">
        <f>IF($C221="",0,IF($M221="",0,MAX(0,$M221)*MAX(0,AF$4)/100))</f>
        <v/>
      </c>
      <c r="AG221">
        <f>IF($C221="",0,IF($M221="",0,MAX(0,$M221)*MAX(0,AG$4)/100))</f>
        <v/>
      </c>
      <c r="AH221">
        <f>IF($C221="",0,IF($M221="",0,MAX(0,$M221)*MAX(0,AH$4)/100))</f>
        <v/>
      </c>
      <c r="AI221">
        <f>IF($C221="",0,IF($M221="",0,MAX(0,$M221)*MAX(0,AI$4)/100))</f>
        <v/>
      </c>
      <c r="AJ221">
        <f>IF($C221="",0,MAX(0,MAX(0,N($L221))-$V221))</f>
        <v/>
      </c>
      <c r="AK221">
        <f>IF($C221="",0,MAX(0,$AJ221-$W221))</f>
        <v/>
      </c>
      <c r="AL221">
        <f>IF($C221="",0,MAX(0,$AK221-$X221))</f>
        <v/>
      </c>
      <c r="AM221">
        <f>IF($C221="",0,MAX(0,$AL221-$Y221))</f>
        <v/>
      </c>
      <c r="AN221">
        <f>IF($C221="",0,MAX(0,$AM221-$Z221))</f>
        <v/>
      </c>
      <c r="AO221">
        <f>IF($C221="",0,MAX(0,$AN221-$AA221))</f>
        <v/>
      </c>
      <c r="AP221">
        <f>IF($C221="",0,MAX(0,$AO221-$AB221))</f>
        <v/>
      </c>
      <c r="AQ221">
        <f>IF($C221="",0,MAX(0,$AP221-$AC221))</f>
        <v/>
      </c>
      <c r="AR221">
        <f>IF($C221="",0,MAX(0,$AQ221-$AD221))</f>
        <v/>
      </c>
      <c r="AS221">
        <f>IF($C221="",0,MAX(0,$AR221-$AE221))</f>
        <v/>
      </c>
      <c r="AT221">
        <f>IF($C221="",0,MAX(0,$AS221-$AF221))</f>
        <v/>
      </c>
      <c r="AU221">
        <f>IF($C221="",0,MAX(0,$AT221-$AG221))</f>
        <v/>
      </c>
      <c r="AV221">
        <f>IF($C221="",0,MAX(0,$AU221-$AH221))</f>
        <v/>
      </c>
      <c r="AW221">
        <f>IF($C221="",0,MAX(0,$AV221-$AI221))</f>
        <v/>
      </c>
      <c r="AX221">
        <f>IF($C221="",0,MAX(0,MAX(0,N($L221))+IF($P221=V$3,$R221,0)+IF($S221=V$3,$U221,0)-$V221))</f>
        <v/>
      </c>
      <c r="AY221">
        <f>IF($C221="",0,MAX(0,$AX221+IF($P221=W$3,$R221,0)+IF($S221=W$3,$U221,0)-$W221))</f>
        <v/>
      </c>
      <c r="AZ221">
        <f>IF($C221="",0,MAX(0,$AY221+IF($P221=X$3,$R221,0)+IF($S221=X$3,$U221,0)-$X221))</f>
        <v/>
      </c>
      <c r="BA221">
        <f>IF($C221="",0,MAX(0,$AZ221+IF($P221=Y$3,$R221,0)+IF($S221=Y$3,$U221,0)-$Y221))</f>
        <v/>
      </c>
      <c r="BB221">
        <f>IF($C221="",0,MAX(0,$BA221+IF($P221=Z$3,$R221,0)+IF($S221=Z$3,$U221,0)-$Z221))</f>
        <v/>
      </c>
      <c r="BC221">
        <f>IF($C221="",0,MAX(0,$BB221+IF($P221=AA$3,$R221,0)+IF($S221=AA$3,$U221,0)-$AA221))</f>
        <v/>
      </c>
      <c r="BD221">
        <f>IF($C221="",0,MAX(0,$BC221+IF($P221=AB$3,$R221,0)+IF($S221=AB$3,$U221,0)-$AB221))</f>
        <v/>
      </c>
      <c r="BE221">
        <f>IF($C221="",0,MAX(0,$BD221+IF($P221=AC$3,$R221,0)+IF($S221=AC$3,$U221,0)-$AC221))</f>
        <v/>
      </c>
      <c r="BF221">
        <f>IF($C221="",0,MAX(0,$BE221+IF($P221=AD$3,$R221,0)+IF($S221=AD$3,$U221,0)-$AD221))</f>
        <v/>
      </c>
      <c r="BG221">
        <f>IF($C221="",0,MAX(0,$BF221+IF($P221=AE$3,$R221,0)+IF($S221=AE$3,$U221,0)-$AE221))</f>
        <v/>
      </c>
      <c r="BH221">
        <f>IF($C221="",0,MAX(0,$BG221+IF($P221=AF$3,$R221,0)+IF($S221=AF$3,$U221,0)-$AF221))</f>
        <v/>
      </c>
      <c r="BI221">
        <f>IF($C221="",0,MAX(0,$BH221+IF($P221=AG$3,$R221,0)+IF($S221=AG$3,$U221,0)-$AG221))</f>
        <v/>
      </c>
      <c r="BJ221">
        <f>IF($C221="",0,MAX(0,$BI221+IF($P221=AH$3,$R221,0)+IF($S221=AH$3,$U221,0)-$AH221))</f>
        <v/>
      </c>
      <c r="BK221">
        <f>IF($C221="",0,MAX(0,$BJ221+IF($P221=AI$3,$R221,0)+IF($S221=AI$3,$U221,0)-$AI221))</f>
        <v/>
      </c>
      <c r="BL221">
        <f>IF($C221="",99,IF(AND($AX221&lt;1,V$3&gt;=MAX(N($P221),N($S221))),0,99))</f>
        <v/>
      </c>
      <c r="BM221">
        <f>IF($C221="",99,IF(AND($AY221&lt;1,W$3&gt;=MAX(N($P221),N($S221))),1,99))</f>
        <v/>
      </c>
      <c r="BN221">
        <f>IF($C221="",99,IF(AND($AZ221&lt;1,X$3&gt;=MAX(N($P221),N($S221))),2,99))</f>
        <v/>
      </c>
      <c r="BO221">
        <f>IF($C221="",99,IF(AND($BA221&lt;1,Y$3&gt;=MAX(N($P221),N($S221))),3,99))</f>
        <v/>
      </c>
      <c r="BP221">
        <f>IF($C221="",99,IF(AND($BB221&lt;1,Z$3&gt;=MAX(N($P221),N($S221))),4,99))</f>
        <v/>
      </c>
      <c r="BQ221">
        <f>IF($C221="",99,IF(AND($BC221&lt;1,AA$3&gt;=MAX(N($P221),N($S221))),5,99))</f>
        <v/>
      </c>
      <c r="BR221">
        <f>IF($C221="",99,IF(AND($BD221&lt;1,AB$3&gt;=MAX(N($P221),N($S221))),6,99))</f>
        <v/>
      </c>
      <c r="BS221">
        <f>IF($C221="",99,IF(AND($BE221&lt;1,AC$3&gt;=MAX(N($P221),N($S221))),7,99))</f>
        <v/>
      </c>
      <c r="BT221">
        <f>IF($C221="",99,IF(AND($BF221&lt;1,AD$3&gt;=MAX(N($P221),N($S221))),8,99))</f>
        <v/>
      </c>
      <c r="BU221">
        <f>IF($C221="",99,IF(AND($BG221&lt;1,AE$3&gt;=MAX(N($P221),N($S221))),9,99))</f>
        <v/>
      </c>
      <c r="BV221">
        <f>IF($C221="",99,IF(AND($BH221&lt;1,AF$3&gt;=MAX(N($P221),N($S221))),10,99))</f>
        <v/>
      </c>
      <c r="BW221">
        <f>IF($C221="",99,IF(AND($BI221&lt;1,AG$3&gt;=MAX(N($P221),N($S221))),11,99))</f>
        <v/>
      </c>
      <c r="BX221">
        <f>IF($C221="",99,IF(AND($BJ221&lt;1,AH$3&gt;=MAX(N($P221),N($S221))),12,99))</f>
        <v/>
      </c>
      <c r="BY221">
        <f>IF($C221="",99,IF(AND($BK221&lt;1,AI$3&gt;=MAX(N($P221),N($S221))),13,99))</f>
        <v/>
      </c>
      <c r="BZ221">
        <f>IF(OR($C221="",$M221=""),"",COUNTIF($AJ221:$AW221,"&gt;=1"))</f>
        <v/>
      </c>
      <c r="CA221" s="90">
        <f>IF($BZ221="","",IF($BZ221&gt;=14,"",'設定'!$C$6+$BZ221))</f>
        <v/>
      </c>
      <c r="CB221">
        <f>IF(OR($C221="",$M221=""),"",MIN($BL221:$BY221))</f>
        <v/>
      </c>
      <c r="CC221" s="90">
        <f>IF($CB221="","",IF($CB221&gt;=99,"",'設定'!$C$6+$CB221))</f>
        <v/>
      </c>
      <c r="CD221">
        <f>IF(OR($C221="",$M221=""),"",AVERAGE($V221:$AI221))</f>
        <v/>
      </c>
      <c r="CE221">
        <f>IF($C221="","",IFERROR(IF(MATCH(IF(ISNUMBER($P221),$P221,'設定'!$C$6+N('設定'!$C$7)),$V$3:$AI$3,0)=1,MAX(0,N($L221)),INDEX($AJ221:$AW221,MATCH(IF(ISNUMBER($P221),$P221,'設定'!$C$6+N('設定'!$C$7)),$V$3:$AI$3,0)-1)),""))</f>
        <v/>
      </c>
      <c r="CF221">
        <f>IF(OR($C221="",$O221="",$CE221=""),"",IF($O221-$CE221&lt;=0,0,ROUNDUP(($O221-$CE221)/$G221,0)))</f>
        <v/>
      </c>
      <c r="CG221">
        <f>IF(OR($C221="",$CF221="",NOT(ISNUMBER($Q221))),0,MAX(0,$Q221-$CF221))</f>
        <v/>
      </c>
      <c r="CH221">
        <f>IF(OR($C221="",$O221="",$U221=0),0,IFERROR(ROUNDUP(MAX(0,IF(MATCH($S221,$V$3:$AI$3,0)=1,MAX(0,N($L221)),INDEX($AX221:$BK221,MATCH($S221,$V$3:$AI$3,0)-1))+$U221-$O221)/$G221,0),0))</f>
        <v/>
      </c>
      <c r="CI221">
        <f>IF($C221="","",IF(AND($P221="",$Q221=""),"",IF($P221="","⚠ 入庫日を ▼ から選んでください",IF(NOT(ISNUMBER($P221)),"⚠ 入庫日は ▼ から選んでください",IF($P221&lt;N('設定'!$C$6),"⚠ 入庫日が過去です（もう在庫に入っています）→ 消してください",IF($P221&gt;N('設定'!$C$6)+13,"⚠ 入庫日が14日より先です",IF(N($Q221)&lt;=0,"⚠ 入庫数を入れてください",IF($CG221&gt;0,"⚠ 目安より "&amp;$CG221&amp;" 多い（定数を超える）→ 減らす",""))))))))</f>
        <v/>
      </c>
      <c r="CJ221">
        <f>IF($C221="","",IF(AND($S221="",$T221=""),"",IF($S221="","⚠ 2便目：入庫日を ▼ から選んでください",IF(NOT(ISNUMBER($S221)),"⚠ 2便目：入庫日は ▼ から選んでください",IF($S221&lt;N('設定'!$C$6),"⚠ 2便目：入庫日が過去です（もう在庫に入っています）→ 消してください",IF($S221&gt;N('設定'!$C$6)+13,"⚠ 2便目：入庫日が14日より先です",IF(N($T221)&lt;=0,"⚠ 2便目：入庫数を入れてください",IF($CH221&gt;0,"⚠ 2便目：定数を "&amp;$CH221&amp;" ケース超える → 減らす",""))))))))</f>
        <v/>
      </c>
      <c r="CK221">
        <f>IF(AND($CI221="",N($Q221)&gt;0,ISNUMBER($P221)),1,0)</f>
        <v/>
      </c>
      <c r="CL221">
        <f>IF(AND($CJ221="",N($T221)&gt;0,ISNUMBER($S221)),1,0)</f>
        <v/>
      </c>
      <c r="CM221">
        <f>IF(OR($CK221=1,$CL221=1),1,0)</f>
        <v/>
      </c>
      <c r="CN221">
        <f>IF($C221="",0,($CK221*$R221+$CL221*$U221)*N($H221))</f>
        <v/>
      </c>
      <c r="CO221">
        <f>IF($C221="","",IF($CC221="","入庫後は 14日以上もつ",IF($CC221-N('設定'!$C$7)&lt;='設定'!$C$6,"入庫後も "&amp;TEXT($CC221,"m/d")&amp;"("&amp;CHOOSE(WEEKDAY($CC221),"日","月","火","水","木","金","土")&amp;")"&amp;" に切れる　もう1便を至急発注","入庫後も "&amp;TEXT($CC221,"m/d")&amp;"("&amp;CHOOSE(WEEKDAY($CC221),"日","月","火","水","木","金","土")&amp;")"&amp;" に切れる　"&amp;TEXT($CC221-N('設定'!$C$7),"m/d")&amp;"("&amp;CHOOSE(WEEKDAY($CC221-N('設定'!$C$7)),"日","月","火","水","木","金","土")&amp;")"&amp;" までに次を発注")))</f>
        <v/>
      </c>
      <c r="CP221">
        <f>IF($C221="","",IF('設定'!$C$6="","？ ①在庫を貼る に今日のCSVが貼られていない",IF($CS221=1,"－ 今日のCSVに無い（終売？）",IF($L221&lt;0,"● 在庫がマイナス　数えて「数えた在庫」に入れる",IF($L221=0,"● 在庫なし　至急発注",IF($M221="","？ 減り数が未設定（商品マスタ）",IF($B$3=0,"？ 動員が未入力（動員を入れる）",IF($CA221="","○ 14日以上もつ",IF($BZ221&lt;N('設定'!$C$7),"● "&amp;TEXT($CA221,"m/d")&amp;"("&amp;CHOOSE(WEEKDAY($CA221),"日","月","火","水","木","金","土")&amp;")"&amp;" に切れる　至急発注",IF($BZ221=N('設定'!$C$7),"● "&amp;TEXT($CA221,"m/d")&amp;"("&amp;CHOOSE(WEEKDAY($CA221),"日","月","火","水","木","金","土")&amp;")"&amp;" に切れる　今日発注","△ "&amp;TEXT($CA221,"m/d")&amp;"("&amp;CHOOSE(WEEKDAY($CA221),"日","月","火","水","木","金","土")&amp;")"&amp;" に切れる　"&amp;TEXT($CA221-N('設定'!$C$7),"m/d")&amp;"("&amp;CHOOSE(WEEKDAY($CA221-N('設定'!$C$7)),"日","月","火","水","木","金","土")&amp;")"&amp;" までに発注"))))))))))</f>
        <v/>
      </c>
      <c r="CQ221">
        <f>IF($C221="","",IF(AND($P221="",$Q221="",$S221="",$T221=""),"",IF(AND($P221="",$Q221=""),"⚠ 先に1便目（左の入庫日・入庫数）に入れてください",IF($CI221&lt;&gt;"",$CI221,IF($CJ221&lt;&gt;"",$CJ221,IF($M221="","？ 減り数が未設定（発注書には載ります）",IF($B$3=0,"？ 動員が未入力（発注書には載ります）",IF(AND($CA221&lt;&gt;"",$P221&gt;$CA221),IF($P221&gt;'設定'!$C$6+N('設定'!$C$7),"● "&amp;TEXT($P221,"m/d")&amp;"("&amp;CHOOSE(WEEKDAY($P221),"日","月","火","水","木","金","土")&amp;")"&amp;" の入庫では間に合わない（"&amp;TEXT($CA221,"m/d")&amp;"("&amp;CHOOSE(WEEKDAY($CA221),"日","月","火","水","木","金","土")&amp;")"&amp;" に切れる）　入庫日を早める","△ 欠品 "&amp;TEXT($CA221,"m/d")&amp;"("&amp;CHOOSE(WEEKDAY($CA221),"日","月","火","水","木","金","土")&amp;")"&amp;"〜"&amp;TEXT($P221-1,"m/d")&amp;"("&amp;CHOOSE(WEEKDAY($P221-1),"日","月","火","水","木","金","土")&amp;")"&amp;"　"&amp;$CO221),IF($CC221="","○ "&amp;TEXT($P221,"m/d")&amp;"("&amp;CHOOSE(WEEKDAY($P221),"日","月","火","水","木","金","土")&amp;")"&amp;" 入庫で 14日以上もつ",IF($CC221-N('設定'!$C$7)&lt;='設定'!$C$6,"● 入庫しても "&amp;TEXT($CC221,"m/d")&amp;"("&amp;CHOOSE(WEEKDAY($CC221),"日","月","火","水","木","金","土")&amp;")"&amp;" に切れる　もう1便を至急発注（2便目に入れる）","△ 入庫しても "&amp;TEXT($CC221,"m/d")&amp;"("&amp;CHOOSE(WEEKDAY($CC221),"日","月","火","水","木","金","土")&amp;")"&amp;" に切れる　"&amp;TEXT($CC221-N('設定'!$C$7),"m/d")&amp;"("&amp;CHOOSE(WEEKDAY($CC221-N('設定'!$C$7)),"日","月","火","水","木","金","土")&amp;")"&amp;" までに次を発注（2便目に入れる）"))))))))))</f>
        <v/>
      </c>
      <c r="CR221">
        <f>IF($C221="","",IF($G221&gt;1,"ｹｰｽ("&amp;$G221&amp;"入)","個"))</f>
        <v/>
      </c>
      <c r="CS221">
        <f>IF($C221="",0,IF(COUNTIFS('①在庫を貼る'!$V$6:$V$10005,'設定'!$C$4,'①在庫を貼る'!$W$6:$W$10005,$C221)=0,1,0))</f>
        <v/>
      </c>
      <c r="CT221">
        <f>IF(AND($CK221=1,OR('③発注書'!$C$4="すべて",'③発注書'!$C$4="",$F221='③発注書'!$C$4)),N($CT220)+1,N($CT220))</f>
        <v/>
      </c>
      <c r="CU221">
        <f>IF(AND($CL221=1,OR('③発注書'!$C$4="すべて",'③発注書'!$C$4="",$F221='③発注書'!$C$4)),N($CU220)+1,N($CU220))</f>
        <v/>
      </c>
      <c r="CV221">
        <f>IF($C221="",0,IF(COUNTIFS('①在庫を貼る'!$V$6:$V$10005,'設定'!$C$4,'①在庫を貼る'!$W$6:$W$10005,$C221)&gt;0,1,0))</f>
        <v/>
      </c>
      <c r="CW221">
        <f>IF($C221="",0,IF(COUNTIFS('月1回_1ヶ月前の在庫'!$V$6:$V$10005,'設定'!$C$4,'月1回_1ヶ月前の在庫'!$W$6:$W$10005,$C221)&gt;0,1,0))</f>
        <v/>
      </c>
      <c r="CX221">
        <f>IF($C221="",0,IF(COUNTIFS('月1回_2ヶ月前の在庫'!$V$6:$V$10005,'設定'!$C$4,'月1回_2ヶ月前の在庫'!$W$6:$W$10005,$C221)&gt;0,1,0))</f>
        <v/>
      </c>
      <c r="CY221">
        <f>IF(OR($C221="",'設定'!$C$12=""),"",IF('設定'!$C$13="",IF(AND($CV221=1,$CW221=0),"新商品（今月から）",IF(AND($CV221=0,$CW221=1),"終売（今月から）","")),IF(AND($CV221=1,$CW221=0,$CX221=0),"新商品（今月から）",IF(AND($CV221=1,$CW221=1,$CX221=0),"新商品（先月から）",IF(AND($CV221=0,$CW221=1,$CX221=1),"終売（今月から）",IF(AND($CV221=0,$CW221=0,$CX221=1),"終売（先月から）",IF(AND($CV221=1,$CW221=0,$CX221=1),"復活（先月は無し）","")))))))</f>
        <v/>
      </c>
    </row>
    <row r="222">
      <c r="B222">
        <f>IF(217&lt;='設定'!$C$11,217,"")</f>
        <v/>
      </c>
      <c r="C222">
        <f>IF($B222="","",IF($B222&lt;='設定'!$C$20,INDEX('商品マスタ'!$B$6:$B$1005,MATCH($B222,'商品マスタ'!$M$6:$M$1005,0)),IF($B222&lt;='設定'!$C$20+'設定'!$C$17,INDEX('①在庫を貼る'!$W$6:$W$10005,MATCH($B222-'設定'!$C$20,'①在庫を貼る'!$U$6:$U$10005,0)),IF($B222&lt;='設定'!$C$20+'設定'!$C$17+'設定'!$C$18,INDEX('月1回_1ヶ月前の在庫'!$W$6:$W$10005,MATCH($B222-'設定'!$C$20-'設定'!$C$17,'月1回_1ヶ月前の在庫'!$U$6:$U$10005,0)),INDEX('月1回_2ヶ月前の在庫'!$W$6:$W$10005,MATCH($B222-'設定'!$C$20-'設定'!$C$17-'設定'!$C$18,'月1回_2ヶ月前の在庫'!$U$6:$U$10005,0))))))</f>
        <v/>
      </c>
      <c r="D222">
        <f>IF($C222="","",IFERROR(IF(INDEX('商品マスタ'!$C$6:$C$1005,MATCH($C222,'商品マスタ'!$B$6:$B$1005,0))="",IFERROR(INDEX('①在庫を貼る'!$J$6:$J$10005,MATCH($C222,'①在庫を貼る'!$W$6:$W$10005,0)),IFERROR(INDEX('月1回_1ヶ月前の在庫'!$J$6:$J$10005,MATCH($C222,'月1回_1ヶ月前の在庫'!$W$6:$W$10005,0)),IFERROR(INDEX('月1回_2ヶ月前の在庫'!$J$6:$J$10005,MATCH($C222,'月1回_2ヶ月前の在庫'!$W$6:$W$10005,0)),""))),INDEX('商品マスタ'!$C$6:$C$1005,MATCH($C222,'商品マスタ'!$B$6:$B$1005,0))),IFERROR(INDEX('①在庫を貼る'!$J$6:$J$10005,MATCH($C222,'①在庫を貼る'!$W$6:$W$10005,0)),IFERROR(INDEX('月1回_1ヶ月前の在庫'!$J$6:$J$10005,MATCH($C222,'月1回_1ヶ月前の在庫'!$W$6:$W$10005,0)),IFERROR(INDEX('月1回_2ヶ月前の在庫'!$J$6:$J$10005,MATCH($C222,'月1回_2ヶ月前の在庫'!$W$6:$W$10005,0)),"")))))</f>
        <v/>
      </c>
      <c r="E222">
        <f>IF($C222="","",IFERROR(IF(INDEX('商品マスタ'!$D$6:$D$1005,MATCH($C222,'商品マスタ'!$B$6:$B$1005,0))="",IFERROR(INDEX('①在庫を貼る'!$H$6:$H$10005,MATCH($C222,'①在庫を貼る'!$W$6:$W$10005,0)),IFERROR(INDEX('月1回_1ヶ月前の在庫'!$H$6:$H$10005,MATCH($C222,'月1回_1ヶ月前の在庫'!$W$6:$W$10005,0)),IFERROR(INDEX('月1回_2ヶ月前の在庫'!$H$6:$H$10005,MATCH($C222,'月1回_2ヶ月前の在庫'!$W$6:$W$10005,0)),""))),INDEX('商品マスタ'!$D$6:$D$1005,MATCH($C222,'商品マスタ'!$B$6:$B$1005,0))),IFERROR(INDEX('①在庫を貼る'!$H$6:$H$10005,MATCH($C222,'①在庫を貼る'!$W$6:$W$10005,0)),IFERROR(INDEX('月1回_1ヶ月前の在庫'!$H$6:$H$10005,MATCH($C222,'月1回_1ヶ月前の在庫'!$W$6:$W$10005,0)),IFERROR(INDEX('月1回_2ヶ月前の在庫'!$H$6:$H$10005,MATCH($C222,'月1回_2ヶ月前の在庫'!$W$6:$W$10005,0)),"")))))</f>
        <v/>
      </c>
      <c r="F222">
        <f>IF($C222="","",IFERROR(IF(INDEX('商品マスタ'!$E$6:$E$1005,MATCH($C222,'商品マスタ'!$B$6:$B$1005,0))="",IFERROR(INDEX('①在庫を貼る'!$E$6:$E$10005,MATCH($C222,'①在庫を貼る'!$W$6:$W$10005,0)),IFERROR(INDEX('月1回_1ヶ月前の在庫'!$E$6:$E$10005,MATCH($C222,'月1回_1ヶ月前の在庫'!$W$6:$W$10005,0)),IFERROR(INDEX('月1回_2ヶ月前の在庫'!$E$6:$E$10005,MATCH($C222,'月1回_2ヶ月前の在庫'!$W$6:$W$10005,0)),""))),INDEX('商品マスタ'!$E$6:$E$1005,MATCH($C222,'商品マスタ'!$B$6:$B$1005,0))),IFERROR(INDEX('①在庫を貼る'!$E$6:$E$10005,MATCH($C222,'①在庫を貼る'!$W$6:$W$10005,0)),IFERROR(INDEX('月1回_1ヶ月前の在庫'!$E$6:$E$10005,MATCH($C222,'月1回_1ヶ月前の在庫'!$W$6:$W$10005,0)),IFERROR(INDEX('月1回_2ヶ月前の在庫'!$E$6:$E$10005,MATCH($C222,'月1回_2ヶ月前の在庫'!$W$6:$W$10005,0)),"")))))</f>
        <v/>
      </c>
      <c r="G222">
        <f>IF($C222="","",MAX(1,N(IFERROR(IF(INDEX('商品マスタ'!$F$6:$F$1005,MATCH($C222,'商品マスタ'!$B$6:$B$1005,0))="",IF(COUNTIFS('①在庫を貼る'!$V$6:$V$10005,'設定'!$C$4,'①在庫を貼る'!$W$6:$W$10005,$C222)&gt;0,SUMIFS('①在庫を貼る'!$K$6:$K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K$6:$K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K$6:$K$10005,'月1回_2ヶ月前の在庫'!$V$6:$V$10005,'設定'!$C$4,'月1回_2ヶ月前の在庫'!$W$6:$W$10005,$C222)/COUNTIFS('月1回_2ヶ月前の在庫'!$V$6:$V$10005,'設定'!$C$4,'月1回_2ヶ月前の在庫'!$W$6:$W$10005,$C222),0))),INDEX('商品マスタ'!$F$6:$F$1005,MATCH($C222,'商品マスタ'!$B$6:$B$1005,0))),IF(COUNTIFS('①在庫を貼る'!$V$6:$V$10005,'設定'!$C$4,'①在庫を貼る'!$W$6:$W$10005,$C222)&gt;0,SUMIFS('①在庫を貼る'!$K$6:$K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K$6:$K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K$6:$K$10005,'月1回_2ヶ月前の在庫'!$V$6:$V$10005,'設定'!$C$4,'月1回_2ヶ月前の在庫'!$W$6:$W$10005,$C222)/COUNTIFS('月1回_2ヶ月前の在庫'!$V$6:$V$10005,'設定'!$C$4,'月1回_2ヶ月前の在庫'!$W$6:$W$10005,$C222),0)))))))</f>
        <v/>
      </c>
      <c r="H222">
        <f>IF($C222="","",N(IFERROR(IF(INDEX('商品マスタ'!$G$6:$G$1005,MATCH($C222,'商品マスタ'!$B$6:$B$1005,0))="",IF(COUNTIFS('①在庫を貼る'!$V$6:$V$10005,'設定'!$C$4,'①在庫を貼る'!$W$6:$W$10005,$C222)&gt;0,SUMIFS('①在庫を貼る'!$Q$6:$Q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Q$6:$Q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Q$6:$Q$10005,'月1回_2ヶ月前の在庫'!$V$6:$V$10005,'設定'!$C$4,'月1回_2ヶ月前の在庫'!$W$6:$W$10005,$C222)/COUNTIFS('月1回_2ヶ月前の在庫'!$V$6:$V$10005,'設定'!$C$4,'月1回_2ヶ月前の在庫'!$W$6:$W$10005,$C222),0))),INDEX('商品マスタ'!$G$6:$G$1005,MATCH($C222,'商品マスタ'!$B$6:$B$1005,0))),IF(COUNTIFS('①在庫を貼る'!$V$6:$V$10005,'設定'!$C$4,'①在庫を貼る'!$W$6:$W$10005,$C222)&gt;0,SUMIFS('①在庫を貼る'!$Q$6:$Q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Q$6:$Q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Q$6:$Q$10005,'月1回_2ヶ月前の在庫'!$V$6:$V$10005,'設定'!$C$4,'月1回_2ヶ月前の在庫'!$W$6:$W$10005,$C222)/COUNTIFS('月1回_2ヶ月前の在庫'!$V$6:$V$10005,'設定'!$C$4,'月1回_2ヶ月前の在庫'!$W$6:$W$10005,$C222),0))))))</f>
        <v/>
      </c>
      <c r="I222">
        <f>IF($C222="","",IF(COUNTIFS('①在庫を貼る'!$V$6:$V$10005,'設定'!$C$4,'①在庫を貼る'!$W$6:$W$10005,$C222)=0,"",SUMIFS('①在庫を貼る'!$N$6:$N$10005,'①在庫を貼る'!$V$6:$V$10005,'設定'!$C$4,'①在庫を貼る'!$W$6:$W$10005,$C222)))</f>
        <v/>
      </c>
      <c r="J222">
        <f>IF($C222="","",IF('②発注する'!$AD226="","",'②発注する'!$AD226))</f>
        <v/>
      </c>
      <c r="K222" s="90">
        <f>IF($C222="","",IF('②発注する'!$AE226="","",'②発注する'!$AE226))</f>
        <v/>
      </c>
      <c r="L222">
        <f>IF($C222="","",IF(AND(ISNUMBER($J222),ISNUMBER($K222),$K222&gt;='設定'!$C$6),$J222,N($I222)))</f>
        <v/>
      </c>
      <c r="M222">
        <f>IF($C222="","",IFERROR(IF(N(INDEX('商品マスタ'!$J$6:$J$1005,MATCH($C222,'商品マスタ'!$B$6:$B$1005,0)))&gt;0,INDEX('商品マスタ'!$J$6:$J$1005,MATCH($C222,'商品マスタ'!$B$6:$B$1005,0)),""),""))</f>
        <v/>
      </c>
      <c r="N222">
        <f>IF($C222="","",IFERROR(IF(N(INDEX('商品マスタ'!$H$6:$H$1005,MATCH($C222,'商品マスタ'!$B$6:$B$1005,0)))&gt;0,INDEX('商品マスタ'!$H$6:$H$1005,MATCH($C222,'商品マスタ'!$B$6:$B$1005,0)),""),""))</f>
        <v/>
      </c>
      <c r="O222">
        <f>IF($C222="","",IF($N222&lt;&gt;"",$N222*$G222,IF(N(IF(COUNTIFS('①在庫を貼る'!$V$6:$V$10005,'設定'!$C$4,'①在庫を貼る'!$W$6:$W$10005,$C222)&gt;0,SUMIFS('①在庫を貼る'!$O$6:$O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O$6:$O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O$6:$O$10005,'月1回_2ヶ月前の在庫'!$V$6:$V$10005,'設定'!$C$4,'月1回_2ヶ月前の在庫'!$W$6:$W$10005,$C222)/COUNTIFS('月1回_2ヶ月前の在庫'!$V$6:$V$10005,'設定'!$C$4,'月1回_2ヶ月前の在庫'!$W$6:$W$10005,$C222),0))))&gt;0,N(IF(COUNTIFS('①在庫を貼る'!$V$6:$V$10005,'設定'!$C$4,'①在庫を貼る'!$W$6:$W$10005,$C222)&gt;0,SUMIFS('①在庫を貼る'!$O$6:$O$10005,'①在庫を貼る'!$V$6:$V$10005,'設定'!$C$4,'①在庫を貼る'!$W$6:$W$10005,$C222)/COUNTIFS('①在庫を貼る'!$V$6:$V$10005,'設定'!$C$4,'①在庫を貼る'!$W$6:$W$10005,$C222),IF(COUNTIFS('月1回_1ヶ月前の在庫'!$V$6:$V$10005,'設定'!$C$4,'月1回_1ヶ月前の在庫'!$W$6:$W$10005,$C222)&gt;0,SUMIFS('月1回_1ヶ月前の在庫'!$O$6:$O$10005,'月1回_1ヶ月前の在庫'!$V$6:$V$10005,'設定'!$C$4,'月1回_1ヶ月前の在庫'!$W$6:$W$10005,$C222)/COUNTIFS('月1回_1ヶ月前の在庫'!$V$6:$V$10005,'設定'!$C$4,'月1回_1ヶ月前の在庫'!$W$6:$W$10005,$C222),IF(COUNTIFS('月1回_2ヶ月前の在庫'!$V$6:$V$10005,'設定'!$C$4,'月1回_2ヶ月前の在庫'!$W$6:$W$10005,$C222)&gt;0,SUMIFS('月1回_2ヶ月前の在庫'!$O$6:$O$10005,'月1回_2ヶ月前の在庫'!$V$6:$V$10005,'設定'!$C$4,'月1回_2ヶ月前の在庫'!$W$6:$W$10005,$C222)/COUNTIFS('月1回_2ヶ月前の在庫'!$V$6:$V$10005,'設定'!$C$4,'月1回_2ヶ月前の在庫'!$W$6:$W$10005,$C222),0)))),"")))</f>
        <v/>
      </c>
      <c r="P222" s="90">
        <f>IF($C222="","",IF('②発注する'!$I226="","",'②発注する'!$I226))</f>
        <v/>
      </c>
      <c r="Q222">
        <f>IF($C222="","",IF('②発注する'!$J226="","",'②発注する'!$J226))</f>
        <v/>
      </c>
      <c r="R222">
        <f>IF($C222="",0,IF(AND(ISNUMBER($P222),ISNUMBER($Q222)),MAX(0,$Q222)*$G222,0))</f>
        <v/>
      </c>
      <c r="S222" s="90">
        <f>IF($C222="","",IF('②発注する'!$M226="","",'②発注する'!$M226))</f>
        <v/>
      </c>
      <c r="T222">
        <f>IF($C222="","",IF('②発注する'!$N226="","",'②発注する'!$N226))</f>
        <v/>
      </c>
      <c r="U222">
        <f>IF($C222="",0,IF(AND(ISNUMBER($S222),ISNUMBER($T222)),MAX(0,$T222)*$G222,0))</f>
        <v/>
      </c>
      <c r="V222">
        <f>IF($C222="",0,IF($M222="",0,MAX(0,$M222)*MAX(0,V$4)/100))</f>
        <v/>
      </c>
      <c r="W222">
        <f>IF($C222="",0,IF($M222="",0,MAX(0,$M222)*MAX(0,W$4)/100))</f>
        <v/>
      </c>
      <c r="X222">
        <f>IF($C222="",0,IF($M222="",0,MAX(0,$M222)*MAX(0,X$4)/100))</f>
        <v/>
      </c>
      <c r="Y222">
        <f>IF($C222="",0,IF($M222="",0,MAX(0,$M222)*MAX(0,Y$4)/100))</f>
        <v/>
      </c>
      <c r="Z222">
        <f>IF($C222="",0,IF($M222="",0,MAX(0,$M222)*MAX(0,Z$4)/100))</f>
        <v/>
      </c>
      <c r="AA222">
        <f>IF($C222="",0,IF($M222="",0,MAX(0,$M222)*MAX(0,AA$4)/100))</f>
        <v/>
      </c>
      <c r="AB222">
        <f>IF($C222="",0,IF($M222="",0,MAX(0,$M222)*MAX(0,AB$4)/100))</f>
        <v/>
      </c>
      <c r="AC222">
        <f>IF($C222="",0,IF($M222="",0,MAX(0,$M222)*MAX(0,AC$4)/100))</f>
        <v/>
      </c>
      <c r="AD222">
        <f>IF($C222="",0,IF($M222="",0,MAX(0,$M222)*MAX(0,AD$4)/100))</f>
        <v/>
      </c>
      <c r="AE222">
        <f>IF($C222="",0,IF($M222="",0,MAX(0,$M222)*MAX(0,AE$4)/100))</f>
        <v/>
      </c>
      <c r="AF222">
        <f>IF($C222="",0,IF($M222="",0,MAX(0,$M222)*MAX(0,AF$4)/100))</f>
        <v/>
      </c>
      <c r="AG222">
        <f>IF($C222="",0,IF($M222="",0,MAX(0,$M222)*MAX(0,AG$4)/100))</f>
        <v/>
      </c>
      <c r="AH222">
        <f>IF($C222="",0,IF($M222="",0,MAX(0,$M222)*MAX(0,AH$4)/100))</f>
        <v/>
      </c>
      <c r="AI222">
        <f>IF($C222="",0,IF($M222="",0,MAX(0,$M222)*MAX(0,AI$4)/100))</f>
        <v/>
      </c>
      <c r="AJ222">
        <f>IF($C222="",0,MAX(0,MAX(0,N($L222))-$V222))</f>
        <v/>
      </c>
      <c r="AK222">
        <f>IF($C222="",0,MAX(0,$AJ222-$W222))</f>
        <v/>
      </c>
      <c r="AL222">
        <f>IF($C222="",0,MAX(0,$AK222-$X222))</f>
        <v/>
      </c>
      <c r="AM222">
        <f>IF($C222="",0,MAX(0,$AL222-$Y222))</f>
        <v/>
      </c>
      <c r="AN222">
        <f>IF($C222="",0,MAX(0,$AM222-$Z222))</f>
        <v/>
      </c>
      <c r="AO222">
        <f>IF($C222="",0,MAX(0,$AN222-$AA222))</f>
        <v/>
      </c>
      <c r="AP222">
        <f>IF($C222="",0,MAX(0,$AO222-$AB222))</f>
        <v/>
      </c>
      <c r="AQ222">
        <f>IF($C222="",0,MAX(0,$AP222-$AC222))</f>
        <v/>
      </c>
      <c r="AR222">
        <f>IF($C222="",0,MAX(0,$AQ222-$AD222))</f>
        <v/>
      </c>
      <c r="AS222">
        <f>IF($C222="",0,MAX(0,$AR222-$AE222))</f>
        <v/>
      </c>
      <c r="AT222">
        <f>IF($C222="",0,MAX(0,$AS222-$AF222))</f>
        <v/>
      </c>
      <c r="AU222">
        <f>IF($C222="",0,MAX(0,$AT222-$AG222))</f>
        <v/>
      </c>
      <c r="AV222">
        <f>IF($C222="",0,MAX(0,$AU222-$AH222))</f>
        <v/>
      </c>
      <c r="AW222">
        <f>IF($C222="",0,MAX(0,$AV222-$AI222))</f>
        <v/>
      </c>
      <c r="AX222">
        <f>IF($C222="",0,MAX(0,MAX(0,N($L222))+IF($P222=V$3,$R222,0)+IF($S222=V$3,$U222,0)-$V222))</f>
        <v/>
      </c>
      <c r="AY222">
        <f>IF($C222="",0,MAX(0,$AX222+IF($P222=W$3,$R222,0)+IF($S222=W$3,$U222,0)-$W222))</f>
        <v/>
      </c>
      <c r="AZ222">
        <f>IF($C222="",0,MAX(0,$AY222+IF($P222=X$3,$R222,0)+IF($S222=X$3,$U222,0)-$X222))</f>
        <v/>
      </c>
      <c r="BA222">
        <f>IF($C222="",0,MAX(0,$AZ222+IF($P222=Y$3,$R222,0)+IF($S222=Y$3,$U222,0)-$Y222))</f>
        <v/>
      </c>
      <c r="BB222">
        <f>IF($C222="",0,MAX(0,$BA222+IF($P222=Z$3,$R222,0)+IF($S222=Z$3,$U222,0)-$Z222))</f>
        <v/>
      </c>
      <c r="BC222">
        <f>IF($C222="",0,MAX(0,$BB222+IF($P222=AA$3,$R222,0)+IF($S222=AA$3,$U222,0)-$AA222))</f>
        <v/>
      </c>
      <c r="BD222">
        <f>IF($C222="",0,MAX(0,$BC222+IF($P222=AB$3,$R222,0)+IF($S222=AB$3,$U222,0)-$AB222))</f>
        <v/>
      </c>
      <c r="BE222">
        <f>IF($C222="",0,MAX(0,$BD222+IF($P222=AC$3,$R222,0)+IF($S222=AC$3,$U222,0)-$AC222))</f>
        <v/>
      </c>
      <c r="BF222">
        <f>IF($C222="",0,MAX(0,$BE222+IF($P222=AD$3,$R222,0)+IF($S222=AD$3,$U222,0)-$AD222))</f>
        <v/>
      </c>
      <c r="BG222">
        <f>IF($C222="",0,MAX(0,$BF222+IF($P222=AE$3,$R222,0)+IF($S222=AE$3,$U222,0)-$AE222))</f>
        <v/>
      </c>
      <c r="BH222">
        <f>IF($C222="",0,MAX(0,$BG222+IF($P222=AF$3,$R222,0)+IF($S222=AF$3,$U222,0)-$AF222))</f>
        <v/>
      </c>
      <c r="BI222">
        <f>IF($C222="",0,MAX(0,$BH222+IF($P222=AG$3,$R222,0)+IF($S222=AG$3,$U222,0)-$AG222))</f>
        <v/>
      </c>
      <c r="BJ222">
        <f>IF($C222="",0,MAX(0,$BI222+IF($P222=AH$3,$R222,0)+IF($S222=AH$3,$U222,0)-$AH222))</f>
        <v/>
      </c>
      <c r="BK222">
        <f>IF($C222="",0,MAX(0,$BJ222+IF($P222=AI$3,$R222,0)+IF($S222=AI$3,$U222,0)-$AI222))</f>
        <v/>
      </c>
      <c r="BL222">
        <f>IF($C222="",99,IF(AND($AX222&lt;1,V$3&gt;=MAX(N($P222),N($S222))),0,99))</f>
        <v/>
      </c>
      <c r="BM222">
        <f>IF($C222="",99,IF(AND($AY222&lt;1,W$3&gt;=MAX(N($P222),N($S222))),1,99))</f>
        <v/>
      </c>
      <c r="BN222">
        <f>IF($C222="",99,IF(AND($AZ222&lt;1,X$3&gt;=MAX(N($P222),N($S222))),2,99))</f>
        <v/>
      </c>
      <c r="BO222">
        <f>IF($C222="",99,IF(AND($BA222&lt;1,Y$3&gt;=MAX(N($P222),N($S222))),3,99))</f>
        <v/>
      </c>
      <c r="BP222">
        <f>IF($C222="",99,IF(AND($BB222&lt;1,Z$3&gt;=MAX(N($P222),N($S222))),4,99))</f>
        <v/>
      </c>
      <c r="BQ222">
        <f>IF($C222="",99,IF(AND($BC222&lt;1,AA$3&gt;=MAX(N($P222),N($S222))),5,99))</f>
        <v/>
      </c>
      <c r="BR222">
        <f>IF($C222="",99,IF(AND($BD222&lt;1,AB$3&gt;=MAX(N($P222),N($S222))),6,99))</f>
        <v/>
      </c>
      <c r="BS222">
        <f>IF($C222="",99,IF(AND($BE222&lt;1,AC$3&gt;=MAX(N($P222),N($S222))),7,99))</f>
        <v/>
      </c>
      <c r="BT222">
        <f>IF($C222="",99,IF(AND($BF222&lt;1,AD$3&gt;=MAX(N($P222),N($S222))),8,99))</f>
        <v/>
      </c>
      <c r="BU222">
        <f>IF($C222="",99,IF(AND($BG222&lt;1,AE$3&gt;=MAX(N($P222),N($S222))),9,99))</f>
        <v/>
      </c>
      <c r="BV222">
        <f>IF($C222="",99,IF(AND($BH222&lt;1,AF$3&gt;=MAX(N($P222),N($S222))),10,99))</f>
        <v/>
      </c>
      <c r="BW222">
        <f>IF($C222="",99,IF(AND($BI222&lt;1,AG$3&gt;=MAX(N($P222),N($S222))),11,99))</f>
        <v/>
      </c>
      <c r="BX222">
        <f>IF($C222="",99,IF(AND($BJ222&lt;1,AH$3&gt;=MAX(N($P222),N($S222))),12,99))</f>
        <v/>
      </c>
      <c r="BY222">
        <f>IF($C222="",99,IF(AND($BK222&lt;1,AI$3&gt;=MAX(N($P222),N($S222))),13,99))</f>
        <v/>
      </c>
      <c r="BZ222">
        <f>IF(OR($C222="",$M222=""),"",COUNTIF($AJ222:$AW222,"&gt;=1"))</f>
        <v/>
      </c>
      <c r="CA222" s="90">
        <f>IF($BZ222="","",IF($BZ222&gt;=14,"",'設定'!$C$6+$BZ222))</f>
        <v/>
      </c>
      <c r="CB222">
        <f>IF(OR($C222="",$M222=""),"",MIN($BL222:$BY222))</f>
        <v/>
      </c>
      <c r="CC222" s="90">
        <f>IF($CB222="","",IF($CB222&gt;=99,"",'設定'!$C$6+$CB222))</f>
        <v/>
      </c>
      <c r="CD222">
        <f>IF(OR($C222="",$M222=""),"",AVERAGE($V222:$AI222))</f>
        <v/>
      </c>
      <c r="CE222">
        <f>IF($C222="","",IFERROR(IF(MATCH(IF(ISNUMBER($P222),$P222,'設定'!$C$6+N('設定'!$C$7)),$V$3:$AI$3,0)=1,MAX(0,N($L222)),INDEX($AJ222:$AW222,MATCH(IF(ISNUMBER($P222),$P222,'設定'!$C$6+N('設定'!$C$7)),$V$3:$AI$3,0)-1)),""))</f>
        <v/>
      </c>
      <c r="CF222">
        <f>IF(OR($C222="",$O222="",$CE222=""),"",IF($O222-$CE222&lt;=0,0,ROUNDUP(($O222-$CE222)/$G222,0)))</f>
        <v/>
      </c>
      <c r="CG222">
        <f>IF(OR($C222="",$CF222="",NOT(ISNUMBER($Q222))),0,MAX(0,$Q222-$CF222))</f>
        <v/>
      </c>
      <c r="CH222">
        <f>IF(OR($C222="",$O222="",$U222=0),0,IFERROR(ROUNDUP(MAX(0,IF(MATCH($S222,$V$3:$AI$3,0)=1,MAX(0,N($L222)),INDEX($AX222:$BK222,MATCH($S222,$V$3:$AI$3,0)-1))+$U222-$O222)/$G222,0),0))</f>
        <v/>
      </c>
      <c r="CI222">
        <f>IF($C222="","",IF(AND($P222="",$Q222=""),"",IF($P222="","⚠ 入庫日を ▼ から選んでください",IF(NOT(ISNUMBER($P222)),"⚠ 入庫日は ▼ から選んでください",IF($P222&lt;N('設定'!$C$6),"⚠ 入庫日が過去です（もう在庫に入っています）→ 消してください",IF($P222&gt;N('設定'!$C$6)+13,"⚠ 入庫日が14日より先です",IF(N($Q222)&lt;=0,"⚠ 入庫数を入れてください",IF($CG222&gt;0,"⚠ 目安より "&amp;$CG222&amp;" 多い（定数を超える）→ 減らす",""))))))))</f>
        <v/>
      </c>
      <c r="CJ222">
        <f>IF($C222="","",IF(AND($S222="",$T222=""),"",IF($S222="","⚠ 2便目：入庫日を ▼ から選んでください",IF(NOT(ISNUMBER($S222)),"⚠ 2便目：入庫日は ▼ から選んでください",IF($S222&lt;N('設定'!$C$6),"⚠ 2便目：入庫日が過去です（もう在庫に入っています）→ 消してください",IF($S222&gt;N('設定'!$C$6)+13,"⚠ 2便目：入庫日が14日より先です",IF(N($T222)&lt;=0,"⚠ 2便目：入庫数を入れてください",IF($CH222&gt;0,"⚠ 2便目：定数を "&amp;$CH222&amp;" ケース超える → 減らす",""))))))))</f>
        <v/>
      </c>
      <c r="CK222">
        <f>IF(AND($CI222="",N($Q222)&gt;0,ISNUMBER($P222)),1,0)</f>
        <v/>
      </c>
      <c r="CL222">
        <f>IF(AND($CJ222="",N($T222)&gt;0,ISNUMBER($S222)),1,0)</f>
        <v/>
      </c>
      <c r="CM222">
        <f>IF(OR($CK222=1,$CL222=1),1,0)</f>
        <v/>
      </c>
      <c r="CN222">
        <f>IF($C222="",0,($CK222*$R222+$CL222*$U222)*N($H222))</f>
        <v/>
      </c>
      <c r="CO222">
        <f>IF($C222="","",IF($CC222="","入庫後は 14日以上もつ",IF($CC222-N('設定'!$C$7)&lt;='設定'!$C$6,"入庫後も "&amp;TEXT($CC222,"m/d")&amp;"("&amp;CHOOSE(WEEKDAY($CC222),"日","月","火","水","木","金","土")&amp;")"&amp;" に切れる　もう1便を至急発注","入庫後も "&amp;TEXT($CC222,"m/d")&amp;"("&amp;CHOOSE(WEEKDAY($CC222),"日","月","火","水","木","金","土")&amp;")"&amp;" に切れる　"&amp;TEXT($CC222-N('設定'!$C$7),"m/d")&amp;"("&amp;CHOOSE(WEEKDAY($CC222-N('設定'!$C$7)),"日","月","火","水","木","金","土")&amp;")"&amp;" までに次を発注")))</f>
        <v/>
      </c>
      <c r="CP222">
        <f>IF($C222="","",IF('設定'!$C$6="","？ ①在庫を貼る に今日のCSVが貼られていない",IF($CS222=1,"－ 今日のCSVに無い（終売？）",IF($L222&lt;0,"● 在庫がマイナス　数えて「数えた在庫」に入れる",IF($L222=0,"● 在庫なし　至急発注",IF($M222="","？ 減り数が未設定（商品マスタ）",IF($B$3=0,"？ 動員が未入力（動員を入れる）",IF($CA222="","○ 14日以上もつ",IF($BZ222&lt;N('設定'!$C$7),"● "&amp;TEXT($CA222,"m/d")&amp;"("&amp;CHOOSE(WEEKDAY($CA222),"日","月","火","水","木","金","土")&amp;")"&amp;" に切れる　至急発注",IF($BZ222=N('設定'!$C$7),"● "&amp;TEXT($CA222,"m/d")&amp;"("&amp;CHOOSE(WEEKDAY($CA222),"日","月","火","水","木","金","土")&amp;")"&amp;" に切れる　今日発注","△ "&amp;TEXT($CA222,"m/d")&amp;"("&amp;CHOOSE(WEEKDAY($CA222),"日","月","火","水","木","金","土")&amp;")"&amp;" に切れる　"&amp;TEXT($CA222-N('設定'!$C$7),"m/d")&amp;"("&amp;CHOOSE(WEEKDAY($CA222-N('設定'!$C$7)),"日","月","火","水","木","金","土")&amp;")"&amp;" までに発注"))))))))))</f>
        <v/>
      </c>
      <c r="CQ222">
        <f>IF($C222="","",IF(AND($P222="",$Q222="",$S222="",$T222=""),"",IF(AND($P222="",$Q222=""),"⚠ 先に1便目（左の入庫日・入庫数）に入れてください",IF($CI222&lt;&gt;"",$CI222,IF($CJ222&lt;&gt;"",$CJ222,IF($M222="","？ 減り数が未設定（発注書には載ります）",IF($B$3=0,"？ 動員が未入力（発注書には載ります）",IF(AND($CA222&lt;&gt;"",$P222&gt;$CA222),IF($P222&gt;'設定'!$C$6+N('設定'!$C$7),"● "&amp;TEXT($P222,"m/d")&amp;"("&amp;CHOOSE(WEEKDAY($P222),"日","月","火","水","木","金","土")&amp;")"&amp;" の入庫では間に合わない（"&amp;TEXT($CA222,"m/d")&amp;"("&amp;CHOOSE(WEEKDAY($CA222),"日","月","火","水","木","金","土")&amp;")"&amp;" に切れる）　入庫日を早める","△ 欠品 "&amp;TEXT($CA222,"m/d")&amp;"("&amp;CHOOSE(WEEKDAY($CA222),"日","月","火","水","木","金","土")&amp;")"&amp;"〜"&amp;TEXT($P222-1,"m/d")&amp;"("&amp;CHOOSE(WEEKDAY($P222-1),"日","月","火","水","木","金","土")&amp;")"&amp;"　"&amp;$CO222),IF($CC222="","○ "&amp;TEXT($P222,"m/d")&amp;"("&amp;CHOOSE(WEEKDAY($P222),"日","月","火","水","木","金","土")&amp;")"&amp;" 入庫で 14日以上もつ",IF($CC222-N('設定'!$C$7)&lt;='設定'!$C$6,"● 入庫しても "&amp;TEXT($CC222,"m/d")&amp;"("&amp;CHOOSE(WEEKDAY($CC222),"日","月","火","水","木","金","土")&amp;")"&amp;" に切れる　もう1便を至急発注（2便目に入れる）","△ 入庫しても "&amp;TEXT($CC222,"m/d")&amp;"("&amp;CHOOSE(WEEKDAY($CC222),"日","月","火","水","木","金","土")&amp;")"&amp;" に切れる　"&amp;TEXT($CC222-N('設定'!$C$7),"m/d")&amp;"("&amp;CHOOSE(WEEKDAY($CC222-N('設定'!$C$7)),"日","月","火","水","木","金","土")&amp;")"&amp;" までに次を発注（2便目に入れる）"))))))))))</f>
        <v/>
      </c>
      <c r="CR222">
        <f>IF($C222="","",IF($G222&gt;1,"ｹｰｽ("&amp;$G222&amp;"入)","個"))</f>
        <v/>
      </c>
      <c r="CS222">
        <f>IF($C222="",0,IF(COUNTIFS('①在庫を貼る'!$V$6:$V$10005,'設定'!$C$4,'①在庫を貼る'!$W$6:$W$10005,$C222)=0,1,0))</f>
        <v/>
      </c>
      <c r="CT222">
        <f>IF(AND($CK222=1,OR('③発注書'!$C$4="すべて",'③発注書'!$C$4="",$F222='③発注書'!$C$4)),N($CT221)+1,N($CT221))</f>
        <v/>
      </c>
      <c r="CU222">
        <f>IF(AND($CL222=1,OR('③発注書'!$C$4="すべて",'③発注書'!$C$4="",$F222='③発注書'!$C$4)),N($CU221)+1,N($CU221))</f>
        <v/>
      </c>
      <c r="CV222">
        <f>IF($C222="",0,IF(COUNTIFS('①在庫を貼る'!$V$6:$V$10005,'設定'!$C$4,'①在庫を貼る'!$W$6:$W$10005,$C222)&gt;0,1,0))</f>
        <v/>
      </c>
      <c r="CW222">
        <f>IF($C222="",0,IF(COUNTIFS('月1回_1ヶ月前の在庫'!$V$6:$V$10005,'設定'!$C$4,'月1回_1ヶ月前の在庫'!$W$6:$W$10005,$C222)&gt;0,1,0))</f>
        <v/>
      </c>
      <c r="CX222">
        <f>IF($C222="",0,IF(COUNTIFS('月1回_2ヶ月前の在庫'!$V$6:$V$10005,'設定'!$C$4,'月1回_2ヶ月前の在庫'!$W$6:$W$10005,$C222)&gt;0,1,0))</f>
        <v/>
      </c>
      <c r="CY222">
        <f>IF(OR($C222="",'設定'!$C$12=""),"",IF('設定'!$C$13="",IF(AND($CV222=1,$CW222=0),"新商品（今月から）",IF(AND($CV222=0,$CW222=1),"終売（今月から）","")),IF(AND($CV222=1,$CW222=0,$CX222=0),"新商品（今月から）",IF(AND($CV222=1,$CW222=1,$CX222=0),"新商品（先月から）",IF(AND($CV222=0,$CW222=1,$CX222=1),"終売（今月から）",IF(AND($CV222=0,$CW222=0,$CX222=1),"終売（先月から）",IF(AND($CV222=1,$CW222=0,$CX222=1),"復活（先月は無し）","")))))))</f>
        <v/>
      </c>
    </row>
    <row r="223">
      <c r="B223">
        <f>IF(218&lt;='設定'!$C$11,218,"")</f>
        <v/>
      </c>
      <c r="C223">
        <f>IF($B223="","",IF($B223&lt;='設定'!$C$20,INDEX('商品マスタ'!$B$6:$B$1005,MATCH($B223,'商品マスタ'!$M$6:$M$1005,0)),IF($B223&lt;='設定'!$C$20+'設定'!$C$17,INDEX('①在庫を貼る'!$W$6:$W$10005,MATCH($B223-'設定'!$C$20,'①在庫を貼る'!$U$6:$U$10005,0)),IF($B223&lt;='設定'!$C$20+'設定'!$C$17+'設定'!$C$18,INDEX('月1回_1ヶ月前の在庫'!$W$6:$W$10005,MATCH($B223-'設定'!$C$20-'設定'!$C$17,'月1回_1ヶ月前の在庫'!$U$6:$U$10005,0)),INDEX('月1回_2ヶ月前の在庫'!$W$6:$W$10005,MATCH($B223-'設定'!$C$20-'設定'!$C$17-'設定'!$C$18,'月1回_2ヶ月前の在庫'!$U$6:$U$10005,0))))))</f>
        <v/>
      </c>
      <c r="D223">
        <f>IF($C223="","",IFERROR(IF(INDEX('商品マスタ'!$C$6:$C$1005,MATCH($C223,'商品マスタ'!$B$6:$B$1005,0))="",IFERROR(INDEX('①在庫を貼る'!$J$6:$J$10005,MATCH($C223,'①在庫を貼る'!$W$6:$W$10005,0)),IFERROR(INDEX('月1回_1ヶ月前の在庫'!$J$6:$J$10005,MATCH($C223,'月1回_1ヶ月前の在庫'!$W$6:$W$10005,0)),IFERROR(INDEX('月1回_2ヶ月前の在庫'!$J$6:$J$10005,MATCH($C223,'月1回_2ヶ月前の在庫'!$W$6:$W$10005,0)),""))),INDEX('商品マスタ'!$C$6:$C$1005,MATCH($C223,'商品マスタ'!$B$6:$B$1005,0))),IFERROR(INDEX('①在庫を貼る'!$J$6:$J$10005,MATCH($C223,'①在庫を貼る'!$W$6:$W$10005,0)),IFERROR(INDEX('月1回_1ヶ月前の在庫'!$J$6:$J$10005,MATCH($C223,'月1回_1ヶ月前の在庫'!$W$6:$W$10005,0)),IFERROR(INDEX('月1回_2ヶ月前の在庫'!$J$6:$J$10005,MATCH($C223,'月1回_2ヶ月前の在庫'!$W$6:$W$10005,0)),"")))))</f>
        <v/>
      </c>
      <c r="E223">
        <f>IF($C223="","",IFERROR(IF(INDEX('商品マスタ'!$D$6:$D$1005,MATCH($C223,'商品マスタ'!$B$6:$B$1005,0))="",IFERROR(INDEX('①在庫を貼る'!$H$6:$H$10005,MATCH($C223,'①在庫を貼る'!$W$6:$W$10005,0)),IFERROR(INDEX('月1回_1ヶ月前の在庫'!$H$6:$H$10005,MATCH($C223,'月1回_1ヶ月前の在庫'!$W$6:$W$10005,0)),IFERROR(INDEX('月1回_2ヶ月前の在庫'!$H$6:$H$10005,MATCH($C223,'月1回_2ヶ月前の在庫'!$W$6:$W$10005,0)),""))),INDEX('商品マスタ'!$D$6:$D$1005,MATCH($C223,'商品マスタ'!$B$6:$B$1005,0))),IFERROR(INDEX('①在庫を貼る'!$H$6:$H$10005,MATCH($C223,'①在庫を貼る'!$W$6:$W$10005,0)),IFERROR(INDEX('月1回_1ヶ月前の在庫'!$H$6:$H$10005,MATCH($C223,'月1回_1ヶ月前の在庫'!$W$6:$W$10005,0)),IFERROR(INDEX('月1回_2ヶ月前の在庫'!$H$6:$H$10005,MATCH($C223,'月1回_2ヶ月前の在庫'!$W$6:$W$10005,0)),"")))))</f>
        <v/>
      </c>
      <c r="F223">
        <f>IF($C223="","",IFERROR(IF(INDEX('商品マスタ'!$E$6:$E$1005,MATCH($C223,'商品マスタ'!$B$6:$B$1005,0))="",IFERROR(INDEX('①在庫を貼る'!$E$6:$E$10005,MATCH($C223,'①在庫を貼る'!$W$6:$W$10005,0)),IFERROR(INDEX('月1回_1ヶ月前の在庫'!$E$6:$E$10005,MATCH($C223,'月1回_1ヶ月前の在庫'!$W$6:$W$10005,0)),IFERROR(INDEX('月1回_2ヶ月前の在庫'!$E$6:$E$10005,MATCH($C223,'月1回_2ヶ月前の在庫'!$W$6:$W$10005,0)),""))),INDEX('商品マスタ'!$E$6:$E$1005,MATCH($C223,'商品マスタ'!$B$6:$B$1005,0))),IFERROR(INDEX('①在庫を貼る'!$E$6:$E$10005,MATCH($C223,'①在庫を貼る'!$W$6:$W$10005,0)),IFERROR(INDEX('月1回_1ヶ月前の在庫'!$E$6:$E$10005,MATCH($C223,'月1回_1ヶ月前の在庫'!$W$6:$W$10005,0)),IFERROR(INDEX('月1回_2ヶ月前の在庫'!$E$6:$E$10005,MATCH($C223,'月1回_2ヶ月前の在庫'!$W$6:$W$10005,0)),"")))))</f>
        <v/>
      </c>
      <c r="G223">
        <f>IF($C223="","",MAX(1,N(IFERROR(IF(INDEX('商品マスタ'!$F$6:$F$1005,MATCH($C223,'商品マスタ'!$B$6:$B$1005,0))="",IF(COUNTIFS('①在庫を貼る'!$V$6:$V$10005,'設定'!$C$4,'①在庫を貼る'!$W$6:$W$10005,$C223)&gt;0,SUMIFS('①在庫を貼る'!$K$6:$K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K$6:$K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K$6:$K$10005,'月1回_2ヶ月前の在庫'!$V$6:$V$10005,'設定'!$C$4,'月1回_2ヶ月前の在庫'!$W$6:$W$10005,$C223)/COUNTIFS('月1回_2ヶ月前の在庫'!$V$6:$V$10005,'設定'!$C$4,'月1回_2ヶ月前の在庫'!$W$6:$W$10005,$C223),0))),INDEX('商品マスタ'!$F$6:$F$1005,MATCH($C223,'商品マスタ'!$B$6:$B$1005,0))),IF(COUNTIFS('①在庫を貼る'!$V$6:$V$10005,'設定'!$C$4,'①在庫を貼る'!$W$6:$W$10005,$C223)&gt;0,SUMIFS('①在庫を貼る'!$K$6:$K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K$6:$K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K$6:$K$10005,'月1回_2ヶ月前の在庫'!$V$6:$V$10005,'設定'!$C$4,'月1回_2ヶ月前の在庫'!$W$6:$W$10005,$C223)/COUNTIFS('月1回_2ヶ月前の在庫'!$V$6:$V$10005,'設定'!$C$4,'月1回_2ヶ月前の在庫'!$W$6:$W$10005,$C223),0)))))))</f>
        <v/>
      </c>
      <c r="H223">
        <f>IF($C223="","",N(IFERROR(IF(INDEX('商品マスタ'!$G$6:$G$1005,MATCH($C223,'商品マスタ'!$B$6:$B$1005,0))="",IF(COUNTIFS('①在庫を貼る'!$V$6:$V$10005,'設定'!$C$4,'①在庫を貼る'!$W$6:$W$10005,$C223)&gt;0,SUMIFS('①在庫を貼る'!$Q$6:$Q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Q$6:$Q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Q$6:$Q$10005,'月1回_2ヶ月前の在庫'!$V$6:$V$10005,'設定'!$C$4,'月1回_2ヶ月前の在庫'!$W$6:$W$10005,$C223)/COUNTIFS('月1回_2ヶ月前の在庫'!$V$6:$V$10005,'設定'!$C$4,'月1回_2ヶ月前の在庫'!$W$6:$W$10005,$C223),0))),INDEX('商品マスタ'!$G$6:$G$1005,MATCH($C223,'商品マスタ'!$B$6:$B$1005,0))),IF(COUNTIFS('①在庫を貼る'!$V$6:$V$10005,'設定'!$C$4,'①在庫を貼る'!$W$6:$W$10005,$C223)&gt;0,SUMIFS('①在庫を貼る'!$Q$6:$Q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Q$6:$Q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Q$6:$Q$10005,'月1回_2ヶ月前の在庫'!$V$6:$V$10005,'設定'!$C$4,'月1回_2ヶ月前の在庫'!$W$6:$W$10005,$C223)/COUNTIFS('月1回_2ヶ月前の在庫'!$V$6:$V$10005,'設定'!$C$4,'月1回_2ヶ月前の在庫'!$W$6:$W$10005,$C223),0))))))</f>
        <v/>
      </c>
      <c r="I223">
        <f>IF($C223="","",IF(COUNTIFS('①在庫を貼る'!$V$6:$V$10005,'設定'!$C$4,'①在庫を貼る'!$W$6:$W$10005,$C223)=0,"",SUMIFS('①在庫を貼る'!$N$6:$N$10005,'①在庫を貼る'!$V$6:$V$10005,'設定'!$C$4,'①在庫を貼る'!$W$6:$W$10005,$C223)))</f>
        <v/>
      </c>
      <c r="J223">
        <f>IF($C223="","",IF('②発注する'!$AD227="","",'②発注する'!$AD227))</f>
        <v/>
      </c>
      <c r="K223" s="90">
        <f>IF($C223="","",IF('②発注する'!$AE227="","",'②発注する'!$AE227))</f>
        <v/>
      </c>
      <c r="L223">
        <f>IF($C223="","",IF(AND(ISNUMBER($J223),ISNUMBER($K223),$K223&gt;='設定'!$C$6),$J223,N($I223)))</f>
        <v/>
      </c>
      <c r="M223">
        <f>IF($C223="","",IFERROR(IF(N(INDEX('商品マスタ'!$J$6:$J$1005,MATCH($C223,'商品マスタ'!$B$6:$B$1005,0)))&gt;0,INDEX('商品マスタ'!$J$6:$J$1005,MATCH($C223,'商品マスタ'!$B$6:$B$1005,0)),""),""))</f>
        <v/>
      </c>
      <c r="N223">
        <f>IF($C223="","",IFERROR(IF(N(INDEX('商品マスタ'!$H$6:$H$1005,MATCH($C223,'商品マスタ'!$B$6:$B$1005,0)))&gt;0,INDEX('商品マスタ'!$H$6:$H$1005,MATCH($C223,'商品マスタ'!$B$6:$B$1005,0)),""),""))</f>
        <v/>
      </c>
      <c r="O223">
        <f>IF($C223="","",IF($N223&lt;&gt;"",$N223*$G223,IF(N(IF(COUNTIFS('①在庫を貼る'!$V$6:$V$10005,'設定'!$C$4,'①在庫を貼る'!$W$6:$W$10005,$C223)&gt;0,SUMIFS('①在庫を貼る'!$O$6:$O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O$6:$O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O$6:$O$10005,'月1回_2ヶ月前の在庫'!$V$6:$V$10005,'設定'!$C$4,'月1回_2ヶ月前の在庫'!$W$6:$W$10005,$C223)/COUNTIFS('月1回_2ヶ月前の在庫'!$V$6:$V$10005,'設定'!$C$4,'月1回_2ヶ月前の在庫'!$W$6:$W$10005,$C223),0))))&gt;0,N(IF(COUNTIFS('①在庫を貼る'!$V$6:$V$10005,'設定'!$C$4,'①在庫を貼る'!$W$6:$W$10005,$C223)&gt;0,SUMIFS('①在庫を貼る'!$O$6:$O$10005,'①在庫を貼る'!$V$6:$V$10005,'設定'!$C$4,'①在庫を貼る'!$W$6:$W$10005,$C223)/COUNTIFS('①在庫を貼る'!$V$6:$V$10005,'設定'!$C$4,'①在庫を貼る'!$W$6:$W$10005,$C223),IF(COUNTIFS('月1回_1ヶ月前の在庫'!$V$6:$V$10005,'設定'!$C$4,'月1回_1ヶ月前の在庫'!$W$6:$W$10005,$C223)&gt;0,SUMIFS('月1回_1ヶ月前の在庫'!$O$6:$O$10005,'月1回_1ヶ月前の在庫'!$V$6:$V$10005,'設定'!$C$4,'月1回_1ヶ月前の在庫'!$W$6:$W$10005,$C223)/COUNTIFS('月1回_1ヶ月前の在庫'!$V$6:$V$10005,'設定'!$C$4,'月1回_1ヶ月前の在庫'!$W$6:$W$10005,$C223),IF(COUNTIFS('月1回_2ヶ月前の在庫'!$V$6:$V$10005,'設定'!$C$4,'月1回_2ヶ月前の在庫'!$W$6:$W$10005,$C223)&gt;0,SUMIFS('月1回_2ヶ月前の在庫'!$O$6:$O$10005,'月1回_2ヶ月前の在庫'!$V$6:$V$10005,'設定'!$C$4,'月1回_2ヶ月前の在庫'!$W$6:$W$10005,$C223)/COUNTIFS('月1回_2ヶ月前の在庫'!$V$6:$V$10005,'設定'!$C$4,'月1回_2ヶ月前の在庫'!$W$6:$W$10005,$C223),0)))),"")))</f>
        <v/>
      </c>
      <c r="P223" s="90">
        <f>IF($C223="","",IF('②発注する'!$I227="","",'②発注する'!$I227))</f>
        <v/>
      </c>
      <c r="Q223">
        <f>IF($C223="","",IF('②発注する'!$J227="","",'②発注する'!$J227))</f>
        <v/>
      </c>
      <c r="R223">
        <f>IF($C223="",0,IF(AND(ISNUMBER($P223),ISNUMBER($Q223)),MAX(0,$Q223)*$G223,0))</f>
        <v/>
      </c>
      <c r="S223" s="90">
        <f>IF($C223="","",IF('②発注する'!$M227="","",'②発注する'!$M227))</f>
        <v/>
      </c>
      <c r="T223">
        <f>IF($C223="","",IF('②発注する'!$N227="","",'②発注する'!$N227))</f>
        <v/>
      </c>
      <c r="U223">
        <f>IF($C223="",0,IF(AND(ISNUMBER($S223),ISNUMBER($T223)),MAX(0,$T223)*$G223,0))</f>
        <v/>
      </c>
      <c r="V223">
        <f>IF($C223="",0,IF($M223="",0,MAX(0,$M223)*MAX(0,V$4)/100))</f>
        <v/>
      </c>
      <c r="W223">
        <f>IF($C223="",0,IF($M223="",0,MAX(0,$M223)*MAX(0,W$4)/100))</f>
        <v/>
      </c>
      <c r="X223">
        <f>IF($C223="",0,IF($M223="",0,MAX(0,$M223)*MAX(0,X$4)/100))</f>
        <v/>
      </c>
      <c r="Y223">
        <f>IF($C223="",0,IF($M223="",0,MAX(0,$M223)*MAX(0,Y$4)/100))</f>
        <v/>
      </c>
      <c r="Z223">
        <f>IF($C223="",0,IF($M223="",0,MAX(0,$M223)*MAX(0,Z$4)/100))</f>
        <v/>
      </c>
      <c r="AA223">
        <f>IF($C223="",0,IF($M223="",0,MAX(0,$M223)*MAX(0,AA$4)/100))</f>
        <v/>
      </c>
      <c r="AB223">
        <f>IF($C223="",0,IF($M223="",0,MAX(0,$M223)*MAX(0,AB$4)/100))</f>
        <v/>
      </c>
      <c r="AC223">
        <f>IF($C223="",0,IF($M223="",0,MAX(0,$M223)*MAX(0,AC$4)/100))</f>
        <v/>
      </c>
      <c r="AD223">
        <f>IF($C223="",0,IF($M223="",0,MAX(0,$M223)*MAX(0,AD$4)/100))</f>
        <v/>
      </c>
      <c r="AE223">
        <f>IF($C223="",0,IF($M223="",0,MAX(0,$M223)*MAX(0,AE$4)/100))</f>
        <v/>
      </c>
      <c r="AF223">
        <f>IF($C223="",0,IF($M223="",0,MAX(0,$M223)*MAX(0,AF$4)/100))</f>
        <v/>
      </c>
      <c r="AG223">
        <f>IF($C223="",0,IF($M223="",0,MAX(0,$M223)*MAX(0,AG$4)/100))</f>
        <v/>
      </c>
      <c r="AH223">
        <f>IF($C223="",0,IF($M223="",0,MAX(0,$M223)*MAX(0,AH$4)/100))</f>
        <v/>
      </c>
      <c r="AI223">
        <f>IF($C223="",0,IF($M223="",0,MAX(0,$M223)*MAX(0,AI$4)/100))</f>
        <v/>
      </c>
      <c r="AJ223">
        <f>IF($C223="",0,MAX(0,MAX(0,N($L223))-$V223))</f>
        <v/>
      </c>
      <c r="AK223">
        <f>IF($C223="",0,MAX(0,$AJ223-$W223))</f>
        <v/>
      </c>
      <c r="AL223">
        <f>IF($C223="",0,MAX(0,$AK223-$X223))</f>
        <v/>
      </c>
      <c r="AM223">
        <f>IF($C223="",0,MAX(0,$AL223-$Y223))</f>
        <v/>
      </c>
      <c r="AN223">
        <f>IF($C223="",0,MAX(0,$AM223-$Z223))</f>
        <v/>
      </c>
      <c r="AO223">
        <f>IF($C223="",0,MAX(0,$AN223-$AA223))</f>
        <v/>
      </c>
      <c r="AP223">
        <f>IF($C223="",0,MAX(0,$AO223-$AB223))</f>
        <v/>
      </c>
      <c r="AQ223">
        <f>IF($C223="",0,MAX(0,$AP223-$AC223))</f>
        <v/>
      </c>
      <c r="AR223">
        <f>IF($C223="",0,MAX(0,$AQ223-$AD223))</f>
        <v/>
      </c>
      <c r="AS223">
        <f>IF($C223="",0,MAX(0,$AR223-$AE223))</f>
        <v/>
      </c>
      <c r="AT223">
        <f>IF($C223="",0,MAX(0,$AS223-$AF223))</f>
        <v/>
      </c>
      <c r="AU223">
        <f>IF($C223="",0,MAX(0,$AT223-$AG223))</f>
        <v/>
      </c>
      <c r="AV223">
        <f>IF($C223="",0,MAX(0,$AU223-$AH223))</f>
        <v/>
      </c>
      <c r="AW223">
        <f>IF($C223="",0,MAX(0,$AV223-$AI223))</f>
        <v/>
      </c>
      <c r="AX223">
        <f>IF($C223="",0,MAX(0,MAX(0,N($L223))+IF($P223=V$3,$R223,0)+IF($S223=V$3,$U223,0)-$V223))</f>
        <v/>
      </c>
      <c r="AY223">
        <f>IF($C223="",0,MAX(0,$AX223+IF($P223=W$3,$R223,0)+IF($S223=W$3,$U223,0)-$W223))</f>
        <v/>
      </c>
      <c r="AZ223">
        <f>IF($C223="",0,MAX(0,$AY223+IF($P223=X$3,$R223,0)+IF($S223=X$3,$U223,0)-$X223))</f>
        <v/>
      </c>
      <c r="BA223">
        <f>IF($C223="",0,MAX(0,$AZ223+IF($P223=Y$3,$R223,0)+IF($S223=Y$3,$U223,0)-$Y223))</f>
        <v/>
      </c>
      <c r="BB223">
        <f>IF($C223="",0,MAX(0,$BA223+IF($P223=Z$3,$R223,0)+IF($S223=Z$3,$U223,0)-$Z223))</f>
        <v/>
      </c>
      <c r="BC223">
        <f>IF($C223="",0,MAX(0,$BB223+IF($P223=AA$3,$R223,0)+IF($S223=AA$3,$U223,0)-$AA223))</f>
        <v/>
      </c>
      <c r="BD223">
        <f>IF($C223="",0,MAX(0,$BC223+IF($P223=AB$3,$R223,0)+IF($S223=AB$3,$U223,0)-$AB223))</f>
        <v/>
      </c>
      <c r="BE223">
        <f>IF($C223="",0,MAX(0,$BD223+IF($P223=AC$3,$R223,0)+IF($S223=AC$3,$U223,0)-$AC223))</f>
        <v/>
      </c>
      <c r="BF223">
        <f>IF($C223="",0,MAX(0,$BE223+IF($P223=AD$3,$R223,0)+IF($S223=AD$3,$U223,0)-$AD223))</f>
        <v/>
      </c>
      <c r="BG223">
        <f>IF($C223="",0,MAX(0,$BF223+IF($P223=AE$3,$R223,0)+IF($S223=AE$3,$U223,0)-$AE223))</f>
        <v/>
      </c>
      <c r="BH223">
        <f>IF($C223="",0,MAX(0,$BG223+IF($P223=AF$3,$R223,0)+IF($S223=AF$3,$U223,0)-$AF223))</f>
        <v/>
      </c>
      <c r="BI223">
        <f>IF($C223="",0,MAX(0,$BH223+IF($P223=AG$3,$R223,0)+IF($S223=AG$3,$U223,0)-$AG223))</f>
        <v/>
      </c>
      <c r="BJ223">
        <f>IF($C223="",0,MAX(0,$BI223+IF($P223=AH$3,$R223,0)+IF($S223=AH$3,$U223,0)-$AH223))</f>
        <v/>
      </c>
      <c r="BK223">
        <f>IF($C223="",0,MAX(0,$BJ223+IF($P223=AI$3,$R223,0)+IF($S223=AI$3,$U223,0)-$AI223))</f>
        <v/>
      </c>
      <c r="BL223">
        <f>IF($C223="",99,IF(AND($AX223&lt;1,V$3&gt;=MAX(N($P223),N($S223))),0,99))</f>
        <v/>
      </c>
      <c r="BM223">
        <f>IF($C223="",99,IF(AND($AY223&lt;1,W$3&gt;=MAX(N($P223),N($S223))),1,99))</f>
        <v/>
      </c>
      <c r="BN223">
        <f>IF($C223="",99,IF(AND($AZ223&lt;1,X$3&gt;=MAX(N($P223),N($S223))),2,99))</f>
        <v/>
      </c>
      <c r="BO223">
        <f>IF($C223="",99,IF(AND($BA223&lt;1,Y$3&gt;=MAX(N($P223),N($S223))),3,99))</f>
        <v/>
      </c>
      <c r="BP223">
        <f>IF($C223="",99,IF(AND($BB223&lt;1,Z$3&gt;=MAX(N($P223),N($S223))),4,99))</f>
        <v/>
      </c>
      <c r="BQ223">
        <f>IF($C223="",99,IF(AND($BC223&lt;1,AA$3&gt;=MAX(N($P223),N($S223))),5,99))</f>
        <v/>
      </c>
      <c r="BR223">
        <f>IF($C223="",99,IF(AND($BD223&lt;1,AB$3&gt;=MAX(N($P223),N($S223))),6,99))</f>
        <v/>
      </c>
      <c r="BS223">
        <f>IF($C223="",99,IF(AND($BE223&lt;1,AC$3&gt;=MAX(N($P223),N($S223))),7,99))</f>
        <v/>
      </c>
      <c r="BT223">
        <f>IF($C223="",99,IF(AND($BF223&lt;1,AD$3&gt;=MAX(N($P223),N($S223))),8,99))</f>
        <v/>
      </c>
      <c r="BU223">
        <f>IF($C223="",99,IF(AND($BG223&lt;1,AE$3&gt;=MAX(N($P223),N($S223))),9,99))</f>
        <v/>
      </c>
      <c r="BV223">
        <f>IF($C223="",99,IF(AND($BH223&lt;1,AF$3&gt;=MAX(N($P223),N($S223))),10,99))</f>
        <v/>
      </c>
      <c r="BW223">
        <f>IF($C223="",99,IF(AND($BI223&lt;1,AG$3&gt;=MAX(N($P223),N($S223))),11,99))</f>
        <v/>
      </c>
      <c r="BX223">
        <f>IF($C223="",99,IF(AND($BJ223&lt;1,AH$3&gt;=MAX(N($P223),N($S223))),12,99))</f>
        <v/>
      </c>
      <c r="BY223">
        <f>IF($C223="",99,IF(AND($BK223&lt;1,AI$3&gt;=MAX(N($P223),N($S223))),13,99))</f>
        <v/>
      </c>
      <c r="BZ223">
        <f>IF(OR($C223="",$M223=""),"",COUNTIF($AJ223:$AW223,"&gt;=1"))</f>
        <v/>
      </c>
      <c r="CA223" s="90">
        <f>IF($BZ223="","",IF($BZ223&gt;=14,"",'設定'!$C$6+$BZ223))</f>
        <v/>
      </c>
      <c r="CB223">
        <f>IF(OR($C223="",$M223=""),"",MIN($BL223:$BY223))</f>
        <v/>
      </c>
      <c r="CC223" s="90">
        <f>IF($CB223="","",IF($CB223&gt;=99,"",'設定'!$C$6+$CB223))</f>
        <v/>
      </c>
      <c r="CD223">
        <f>IF(OR($C223="",$M223=""),"",AVERAGE($V223:$AI223))</f>
        <v/>
      </c>
      <c r="CE223">
        <f>IF($C223="","",IFERROR(IF(MATCH(IF(ISNUMBER($P223),$P223,'設定'!$C$6+N('設定'!$C$7)),$V$3:$AI$3,0)=1,MAX(0,N($L223)),INDEX($AJ223:$AW223,MATCH(IF(ISNUMBER($P223),$P223,'設定'!$C$6+N('設定'!$C$7)),$V$3:$AI$3,0)-1)),""))</f>
        <v/>
      </c>
      <c r="CF223">
        <f>IF(OR($C223="",$O223="",$CE223=""),"",IF($O223-$CE223&lt;=0,0,ROUNDUP(($O223-$CE223)/$G223,0)))</f>
        <v/>
      </c>
      <c r="CG223">
        <f>IF(OR($C223="",$CF223="",NOT(ISNUMBER($Q223))),0,MAX(0,$Q223-$CF223))</f>
        <v/>
      </c>
      <c r="CH223">
        <f>IF(OR($C223="",$O223="",$U223=0),0,IFERROR(ROUNDUP(MAX(0,IF(MATCH($S223,$V$3:$AI$3,0)=1,MAX(0,N($L223)),INDEX($AX223:$BK223,MATCH($S223,$V$3:$AI$3,0)-1))+$U223-$O223)/$G223,0),0))</f>
        <v/>
      </c>
      <c r="CI223">
        <f>IF($C223="","",IF(AND($P223="",$Q223=""),"",IF($P223="","⚠ 入庫日を ▼ から選んでください",IF(NOT(ISNUMBER($P223)),"⚠ 入庫日は ▼ から選んでください",IF($P223&lt;N('設定'!$C$6),"⚠ 入庫日が過去です（もう在庫に入っています）→ 消してください",IF($P223&gt;N('設定'!$C$6)+13,"⚠ 入庫日が14日より先です",IF(N($Q223)&lt;=0,"⚠ 入庫数を入れてください",IF($CG223&gt;0,"⚠ 目安より "&amp;$CG223&amp;" 多い（定数を超える）→ 減らす",""))))))))</f>
        <v/>
      </c>
      <c r="CJ223">
        <f>IF($C223="","",IF(AND($S223="",$T223=""),"",IF($S223="","⚠ 2便目：入庫日を ▼ から選んでください",IF(NOT(ISNUMBER($S223)),"⚠ 2便目：入庫日は ▼ から選んでください",IF($S223&lt;N('設定'!$C$6),"⚠ 2便目：入庫日が過去です（もう在庫に入っています）→ 消してください",IF($S223&gt;N('設定'!$C$6)+13,"⚠ 2便目：入庫日が14日より先です",IF(N($T223)&lt;=0,"⚠ 2便目：入庫数を入れてください",IF($CH223&gt;0,"⚠ 2便目：定数を "&amp;$CH223&amp;" ケース超える → 減らす",""))))))))</f>
        <v/>
      </c>
      <c r="CK223">
        <f>IF(AND($CI223="",N($Q223)&gt;0,ISNUMBER($P223)),1,0)</f>
        <v/>
      </c>
      <c r="CL223">
        <f>IF(AND($CJ223="",N($T223)&gt;0,ISNUMBER($S223)),1,0)</f>
        <v/>
      </c>
      <c r="CM223">
        <f>IF(OR($CK223=1,$CL223=1),1,0)</f>
        <v/>
      </c>
      <c r="CN223">
        <f>IF($C223="",0,($CK223*$R223+$CL223*$U223)*N($H223))</f>
        <v/>
      </c>
      <c r="CO223">
        <f>IF($C223="","",IF($CC223="","入庫後は 14日以上もつ",IF($CC223-N('設定'!$C$7)&lt;='設定'!$C$6,"入庫後も "&amp;TEXT($CC223,"m/d")&amp;"("&amp;CHOOSE(WEEKDAY($CC223),"日","月","火","水","木","金","土")&amp;")"&amp;" に切れる　もう1便を至急発注","入庫後も "&amp;TEXT($CC223,"m/d")&amp;"("&amp;CHOOSE(WEEKDAY($CC223),"日","月","火","水","木","金","土")&amp;")"&amp;" に切れる　"&amp;TEXT($CC223-N('設定'!$C$7),"m/d")&amp;"("&amp;CHOOSE(WEEKDAY($CC223-N('設定'!$C$7)),"日","月","火","水","木","金","土")&amp;")"&amp;" までに次を発注")))</f>
        <v/>
      </c>
      <c r="CP223">
        <f>IF($C223="","",IF('設定'!$C$6="","？ ①在庫を貼る に今日のCSVが貼られていない",IF($CS223=1,"－ 今日のCSVに無い（終売？）",IF($L223&lt;0,"● 在庫がマイナス　数えて「数えた在庫」に入れる",IF($L223=0,"● 在庫なし　至急発注",IF($M223="","？ 減り数が未設定（商品マスタ）",IF($B$3=0,"？ 動員が未入力（動員を入れる）",IF($CA223="","○ 14日以上もつ",IF($BZ223&lt;N('設定'!$C$7),"● "&amp;TEXT($CA223,"m/d")&amp;"("&amp;CHOOSE(WEEKDAY($CA223),"日","月","火","水","木","金","土")&amp;")"&amp;" に切れる　至急発注",IF($BZ223=N('設定'!$C$7),"● "&amp;TEXT($CA223,"m/d")&amp;"("&amp;CHOOSE(WEEKDAY($CA223),"日","月","火","水","木","金","土")&amp;")"&amp;" に切れる　今日発注","△ "&amp;TEXT($CA223,"m/d")&amp;"("&amp;CHOOSE(WEEKDAY($CA223),"日","月","火","水","木","金","土")&amp;")"&amp;" に切れる　"&amp;TEXT($CA223-N('設定'!$C$7),"m/d")&amp;"("&amp;CHOOSE(WEEKDAY($CA223-N('設定'!$C$7)),"日","月","火","水","木","金","土")&amp;")"&amp;" までに発注"))))))))))</f>
        <v/>
      </c>
      <c r="CQ223">
        <f>IF($C223="","",IF(AND($P223="",$Q223="",$S223="",$T223=""),"",IF(AND($P223="",$Q223=""),"⚠ 先に1便目（左の入庫日・入庫数）に入れてください",IF($CI223&lt;&gt;"",$CI223,IF($CJ223&lt;&gt;"",$CJ223,IF($M223="","？ 減り数が未設定（発注書には載ります）",IF($B$3=0,"？ 動員が未入力（発注書には載ります）",IF(AND($CA223&lt;&gt;"",$P223&gt;$CA223),IF($P223&gt;'設定'!$C$6+N('設定'!$C$7),"● "&amp;TEXT($P223,"m/d")&amp;"("&amp;CHOOSE(WEEKDAY($P223),"日","月","火","水","木","金","土")&amp;")"&amp;" の入庫では間に合わない（"&amp;TEXT($CA223,"m/d")&amp;"("&amp;CHOOSE(WEEKDAY($CA223),"日","月","火","水","木","金","土")&amp;")"&amp;" に切れる）　入庫日を早める","△ 欠品 "&amp;TEXT($CA223,"m/d")&amp;"("&amp;CHOOSE(WEEKDAY($CA223),"日","月","火","水","木","金","土")&amp;")"&amp;"〜"&amp;TEXT($P223-1,"m/d")&amp;"("&amp;CHOOSE(WEEKDAY($P223-1),"日","月","火","水","木","金","土")&amp;")"&amp;"　"&amp;$CO223),IF($CC223="","○ "&amp;TEXT($P223,"m/d")&amp;"("&amp;CHOOSE(WEEKDAY($P223),"日","月","火","水","木","金","土")&amp;")"&amp;" 入庫で 14日以上もつ",IF($CC223-N('設定'!$C$7)&lt;='設定'!$C$6,"● 入庫しても "&amp;TEXT($CC223,"m/d")&amp;"("&amp;CHOOSE(WEEKDAY($CC223),"日","月","火","水","木","金","土")&amp;")"&amp;" に切れる　もう1便を至急発注（2便目に入れる）","△ 入庫しても "&amp;TEXT($CC223,"m/d")&amp;"("&amp;CHOOSE(WEEKDAY($CC223),"日","月","火","水","木","金","土")&amp;")"&amp;" に切れる　"&amp;TEXT($CC223-N('設定'!$C$7),"m/d")&amp;"("&amp;CHOOSE(WEEKDAY($CC223-N('設定'!$C$7)),"日","月","火","水","木","金","土")&amp;")"&amp;" までに次を発注（2便目に入れる）"))))))))))</f>
        <v/>
      </c>
      <c r="CR223">
        <f>IF($C223="","",IF($G223&gt;1,"ｹｰｽ("&amp;$G223&amp;"入)","個"))</f>
        <v/>
      </c>
      <c r="CS223">
        <f>IF($C223="",0,IF(COUNTIFS('①在庫を貼る'!$V$6:$V$10005,'設定'!$C$4,'①在庫を貼る'!$W$6:$W$10005,$C223)=0,1,0))</f>
        <v/>
      </c>
      <c r="CT223">
        <f>IF(AND($CK223=1,OR('③発注書'!$C$4="すべて",'③発注書'!$C$4="",$F223='③発注書'!$C$4)),N($CT222)+1,N($CT222))</f>
        <v/>
      </c>
      <c r="CU223">
        <f>IF(AND($CL223=1,OR('③発注書'!$C$4="すべて",'③発注書'!$C$4="",$F223='③発注書'!$C$4)),N($CU222)+1,N($CU222))</f>
        <v/>
      </c>
      <c r="CV223">
        <f>IF($C223="",0,IF(COUNTIFS('①在庫を貼る'!$V$6:$V$10005,'設定'!$C$4,'①在庫を貼る'!$W$6:$W$10005,$C223)&gt;0,1,0))</f>
        <v/>
      </c>
      <c r="CW223">
        <f>IF($C223="",0,IF(COUNTIFS('月1回_1ヶ月前の在庫'!$V$6:$V$10005,'設定'!$C$4,'月1回_1ヶ月前の在庫'!$W$6:$W$10005,$C223)&gt;0,1,0))</f>
        <v/>
      </c>
      <c r="CX223">
        <f>IF($C223="",0,IF(COUNTIFS('月1回_2ヶ月前の在庫'!$V$6:$V$10005,'設定'!$C$4,'月1回_2ヶ月前の在庫'!$W$6:$W$10005,$C223)&gt;0,1,0))</f>
        <v/>
      </c>
      <c r="CY223">
        <f>IF(OR($C223="",'設定'!$C$12=""),"",IF('設定'!$C$13="",IF(AND($CV223=1,$CW223=0),"新商品（今月から）",IF(AND($CV223=0,$CW223=1),"終売（今月から）","")),IF(AND($CV223=1,$CW223=0,$CX223=0),"新商品（今月から）",IF(AND($CV223=1,$CW223=1,$CX223=0),"新商品（先月から）",IF(AND($CV223=0,$CW223=1,$CX223=1),"終売（今月から）",IF(AND($CV223=0,$CW223=0,$CX223=1),"終売（先月から）",IF(AND($CV223=1,$CW223=0,$CX223=1),"復活（先月は無し）","")))))))</f>
        <v/>
      </c>
    </row>
    <row r="224">
      <c r="B224">
        <f>IF(219&lt;='設定'!$C$11,219,"")</f>
        <v/>
      </c>
      <c r="C224">
        <f>IF($B224="","",IF($B224&lt;='設定'!$C$20,INDEX('商品マスタ'!$B$6:$B$1005,MATCH($B224,'商品マスタ'!$M$6:$M$1005,0)),IF($B224&lt;='設定'!$C$20+'設定'!$C$17,INDEX('①在庫を貼る'!$W$6:$W$10005,MATCH($B224-'設定'!$C$20,'①在庫を貼る'!$U$6:$U$10005,0)),IF($B224&lt;='設定'!$C$20+'設定'!$C$17+'設定'!$C$18,INDEX('月1回_1ヶ月前の在庫'!$W$6:$W$10005,MATCH($B224-'設定'!$C$20-'設定'!$C$17,'月1回_1ヶ月前の在庫'!$U$6:$U$10005,0)),INDEX('月1回_2ヶ月前の在庫'!$W$6:$W$10005,MATCH($B224-'設定'!$C$20-'設定'!$C$17-'設定'!$C$18,'月1回_2ヶ月前の在庫'!$U$6:$U$10005,0))))))</f>
        <v/>
      </c>
      <c r="D224">
        <f>IF($C224="","",IFERROR(IF(INDEX('商品マスタ'!$C$6:$C$1005,MATCH($C224,'商品マスタ'!$B$6:$B$1005,0))="",IFERROR(INDEX('①在庫を貼る'!$J$6:$J$10005,MATCH($C224,'①在庫を貼る'!$W$6:$W$10005,0)),IFERROR(INDEX('月1回_1ヶ月前の在庫'!$J$6:$J$10005,MATCH($C224,'月1回_1ヶ月前の在庫'!$W$6:$W$10005,0)),IFERROR(INDEX('月1回_2ヶ月前の在庫'!$J$6:$J$10005,MATCH($C224,'月1回_2ヶ月前の在庫'!$W$6:$W$10005,0)),""))),INDEX('商品マスタ'!$C$6:$C$1005,MATCH($C224,'商品マスタ'!$B$6:$B$1005,0))),IFERROR(INDEX('①在庫を貼る'!$J$6:$J$10005,MATCH($C224,'①在庫を貼る'!$W$6:$W$10005,0)),IFERROR(INDEX('月1回_1ヶ月前の在庫'!$J$6:$J$10005,MATCH($C224,'月1回_1ヶ月前の在庫'!$W$6:$W$10005,0)),IFERROR(INDEX('月1回_2ヶ月前の在庫'!$J$6:$J$10005,MATCH($C224,'月1回_2ヶ月前の在庫'!$W$6:$W$10005,0)),"")))))</f>
        <v/>
      </c>
      <c r="E224">
        <f>IF($C224="","",IFERROR(IF(INDEX('商品マスタ'!$D$6:$D$1005,MATCH($C224,'商品マスタ'!$B$6:$B$1005,0))="",IFERROR(INDEX('①在庫を貼る'!$H$6:$H$10005,MATCH($C224,'①在庫を貼る'!$W$6:$W$10005,0)),IFERROR(INDEX('月1回_1ヶ月前の在庫'!$H$6:$H$10005,MATCH($C224,'月1回_1ヶ月前の在庫'!$W$6:$W$10005,0)),IFERROR(INDEX('月1回_2ヶ月前の在庫'!$H$6:$H$10005,MATCH($C224,'月1回_2ヶ月前の在庫'!$W$6:$W$10005,0)),""))),INDEX('商品マスタ'!$D$6:$D$1005,MATCH($C224,'商品マスタ'!$B$6:$B$1005,0))),IFERROR(INDEX('①在庫を貼る'!$H$6:$H$10005,MATCH($C224,'①在庫を貼る'!$W$6:$W$10005,0)),IFERROR(INDEX('月1回_1ヶ月前の在庫'!$H$6:$H$10005,MATCH($C224,'月1回_1ヶ月前の在庫'!$W$6:$W$10005,0)),IFERROR(INDEX('月1回_2ヶ月前の在庫'!$H$6:$H$10005,MATCH($C224,'月1回_2ヶ月前の在庫'!$W$6:$W$10005,0)),"")))))</f>
        <v/>
      </c>
      <c r="F224">
        <f>IF($C224="","",IFERROR(IF(INDEX('商品マスタ'!$E$6:$E$1005,MATCH($C224,'商品マスタ'!$B$6:$B$1005,0))="",IFERROR(INDEX('①在庫を貼る'!$E$6:$E$10005,MATCH($C224,'①在庫を貼る'!$W$6:$W$10005,0)),IFERROR(INDEX('月1回_1ヶ月前の在庫'!$E$6:$E$10005,MATCH($C224,'月1回_1ヶ月前の在庫'!$W$6:$W$10005,0)),IFERROR(INDEX('月1回_2ヶ月前の在庫'!$E$6:$E$10005,MATCH($C224,'月1回_2ヶ月前の在庫'!$W$6:$W$10005,0)),""))),INDEX('商品マスタ'!$E$6:$E$1005,MATCH($C224,'商品マスタ'!$B$6:$B$1005,0))),IFERROR(INDEX('①在庫を貼る'!$E$6:$E$10005,MATCH($C224,'①在庫を貼る'!$W$6:$W$10005,0)),IFERROR(INDEX('月1回_1ヶ月前の在庫'!$E$6:$E$10005,MATCH($C224,'月1回_1ヶ月前の在庫'!$W$6:$W$10005,0)),IFERROR(INDEX('月1回_2ヶ月前の在庫'!$E$6:$E$10005,MATCH($C224,'月1回_2ヶ月前の在庫'!$W$6:$W$10005,0)),"")))))</f>
        <v/>
      </c>
      <c r="G224">
        <f>IF($C224="","",MAX(1,N(IFERROR(IF(INDEX('商品マスタ'!$F$6:$F$1005,MATCH($C224,'商品マスタ'!$B$6:$B$1005,0))="",IF(COUNTIFS('①在庫を貼る'!$V$6:$V$10005,'設定'!$C$4,'①在庫を貼る'!$W$6:$W$10005,$C224)&gt;0,SUMIFS('①在庫を貼る'!$K$6:$K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K$6:$K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K$6:$K$10005,'月1回_2ヶ月前の在庫'!$V$6:$V$10005,'設定'!$C$4,'月1回_2ヶ月前の在庫'!$W$6:$W$10005,$C224)/COUNTIFS('月1回_2ヶ月前の在庫'!$V$6:$V$10005,'設定'!$C$4,'月1回_2ヶ月前の在庫'!$W$6:$W$10005,$C224),0))),INDEX('商品マスタ'!$F$6:$F$1005,MATCH($C224,'商品マスタ'!$B$6:$B$1005,0))),IF(COUNTIFS('①在庫を貼る'!$V$6:$V$10005,'設定'!$C$4,'①在庫を貼る'!$W$6:$W$10005,$C224)&gt;0,SUMIFS('①在庫を貼る'!$K$6:$K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K$6:$K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K$6:$K$10005,'月1回_2ヶ月前の在庫'!$V$6:$V$10005,'設定'!$C$4,'月1回_2ヶ月前の在庫'!$W$6:$W$10005,$C224)/COUNTIFS('月1回_2ヶ月前の在庫'!$V$6:$V$10005,'設定'!$C$4,'月1回_2ヶ月前の在庫'!$W$6:$W$10005,$C224),0)))))))</f>
        <v/>
      </c>
      <c r="H224">
        <f>IF($C224="","",N(IFERROR(IF(INDEX('商品マスタ'!$G$6:$G$1005,MATCH($C224,'商品マスタ'!$B$6:$B$1005,0))="",IF(COUNTIFS('①在庫を貼る'!$V$6:$V$10005,'設定'!$C$4,'①在庫を貼る'!$W$6:$W$10005,$C224)&gt;0,SUMIFS('①在庫を貼る'!$Q$6:$Q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Q$6:$Q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Q$6:$Q$10005,'月1回_2ヶ月前の在庫'!$V$6:$V$10005,'設定'!$C$4,'月1回_2ヶ月前の在庫'!$W$6:$W$10005,$C224)/COUNTIFS('月1回_2ヶ月前の在庫'!$V$6:$V$10005,'設定'!$C$4,'月1回_2ヶ月前の在庫'!$W$6:$W$10005,$C224),0))),INDEX('商品マスタ'!$G$6:$G$1005,MATCH($C224,'商品マスタ'!$B$6:$B$1005,0))),IF(COUNTIFS('①在庫を貼る'!$V$6:$V$10005,'設定'!$C$4,'①在庫を貼る'!$W$6:$W$10005,$C224)&gt;0,SUMIFS('①在庫を貼る'!$Q$6:$Q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Q$6:$Q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Q$6:$Q$10005,'月1回_2ヶ月前の在庫'!$V$6:$V$10005,'設定'!$C$4,'月1回_2ヶ月前の在庫'!$W$6:$W$10005,$C224)/COUNTIFS('月1回_2ヶ月前の在庫'!$V$6:$V$10005,'設定'!$C$4,'月1回_2ヶ月前の在庫'!$W$6:$W$10005,$C224),0))))))</f>
        <v/>
      </c>
      <c r="I224">
        <f>IF($C224="","",IF(COUNTIFS('①在庫を貼る'!$V$6:$V$10005,'設定'!$C$4,'①在庫を貼る'!$W$6:$W$10005,$C224)=0,"",SUMIFS('①在庫を貼る'!$N$6:$N$10005,'①在庫を貼る'!$V$6:$V$10005,'設定'!$C$4,'①在庫を貼る'!$W$6:$W$10005,$C224)))</f>
        <v/>
      </c>
      <c r="J224">
        <f>IF($C224="","",IF('②発注する'!$AD228="","",'②発注する'!$AD228))</f>
        <v/>
      </c>
      <c r="K224" s="90">
        <f>IF($C224="","",IF('②発注する'!$AE228="","",'②発注する'!$AE228))</f>
        <v/>
      </c>
      <c r="L224">
        <f>IF($C224="","",IF(AND(ISNUMBER($J224),ISNUMBER($K224),$K224&gt;='設定'!$C$6),$J224,N($I224)))</f>
        <v/>
      </c>
      <c r="M224">
        <f>IF($C224="","",IFERROR(IF(N(INDEX('商品マスタ'!$J$6:$J$1005,MATCH($C224,'商品マスタ'!$B$6:$B$1005,0)))&gt;0,INDEX('商品マスタ'!$J$6:$J$1005,MATCH($C224,'商品マスタ'!$B$6:$B$1005,0)),""),""))</f>
        <v/>
      </c>
      <c r="N224">
        <f>IF($C224="","",IFERROR(IF(N(INDEX('商品マスタ'!$H$6:$H$1005,MATCH($C224,'商品マスタ'!$B$6:$B$1005,0)))&gt;0,INDEX('商品マスタ'!$H$6:$H$1005,MATCH($C224,'商品マスタ'!$B$6:$B$1005,0)),""),""))</f>
        <v/>
      </c>
      <c r="O224">
        <f>IF($C224="","",IF($N224&lt;&gt;"",$N224*$G224,IF(N(IF(COUNTIFS('①在庫を貼る'!$V$6:$V$10005,'設定'!$C$4,'①在庫を貼る'!$W$6:$W$10005,$C224)&gt;0,SUMIFS('①在庫を貼る'!$O$6:$O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O$6:$O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O$6:$O$10005,'月1回_2ヶ月前の在庫'!$V$6:$V$10005,'設定'!$C$4,'月1回_2ヶ月前の在庫'!$W$6:$W$10005,$C224)/COUNTIFS('月1回_2ヶ月前の在庫'!$V$6:$V$10005,'設定'!$C$4,'月1回_2ヶ月前の在庫'!$W$6:$W$10005,$C224),0))))&gt;0,N(IF(COUNTIFS('①在庫を貼る'!$V$6:$V$10005,'設定'!$C$4,'①在庫を貼る'!$W$6:$W$10005,$C224)&gt;0,SUMIFS('①在庫を貼る'!$O$6:$O$10005,'①在庫を貼る'!$V$6:$V$10005,'設定'!$C$4,'①在庫を貼る'!$W$6:$W$10005,$C224)/COUNTIFS('①在庫を貼る'!$V$6:$V$10005,'設定'!$C$4,'①在庫を貼る'!$W$6:$W$10005,$C224),IF(COUNTIFS('月1回_1ヶ月前の在庫'!$V$6:$V$10005,'設定'!$C$4,'月1回_1ヶ月前の在庫'!$W$6:$W$10005,$C224)&gt;0,SUMIFS('月1回_1ヶ月前の在庫'!$O$6:$O$10005,'月1回_1ヶ月前の在庫'!$V$6:$V$10005,'設定'!$C$4,'月1回_1ヶ月前の在庫'!$W$6:$W$10005,$C224)/COUNTIFS('月1回_1ヶ月前の在庫'!$V$6:$V$10005,'設定'!$C$4,'月1回_1ヶ月前の在庫'!$W$6:$W$10005,$C224),IF(COUNTIFS('月1回_2ヶ月前の在庫'!$V$6:$V$10005,'設定'!$C$4,'月1回_2ヶ月前の在庫'!$W$6:$W$10005,$C224)&gt;0,SUMIFS('月1回_2ヶ月前の在庫'!$O$6:$O$10005,'月1回_2ヶ月前の在庫'!$V$6:$V$10005,'設定'!$C$4,'月1回_2ヶ月前の在庫'!$W$6:$W$10005,$C224)/COUNTIFS('月1回_2ヶ月前の在庫'!$V$6:$V$10005,'設定'!$C$4,'月1回_2ヶ月前の在庫'!$W$6:$W$10005,$C224),0)))),"")))</f>
        <v/>
      </c>
      <c r="P224" s="90">
        <f>IF($C224="","",IF('②発注する'!$I228="","",'②発注する'!$I228))</f>
        <v/>
      </c>
      <c r="Q224">
        <f>IF($C224="","",IF('②発注する'!$J228="","",'②発注する'!$J228))</f>
        <v/>
      </c>
      <c r="R224">
        <f>IF($C224="",0,IF(AND(ISNUMBER($P224),ISNUMBER($Q224)),MAX(0,$Q224)*$G224,0))</f>
        <v/>
      </c>
      <c r="S224" s="90">
        <f>IF($C224="","",IF('②発注する'!$M228="","",'②発注する'!$M228))</f>
        <v/>
      </c>
      <c r="T224">
        <f>IF($C224="","",IF('②発注する'!$N228="","",'②発注する'!$N228))</f>
        <v/>
      </c>
      <c r="U224">
        <f>IF($C224="",0,IF(AND(ISNUMBER($S224),ISNUMBER($T224)),MAX(0,$T224)*$G224,0))</f>
        <v/>
      </c>
      <c r="V224">
        <f>IF($C224="",0,IF($M224="",0,MAX(0,$M224)*MAX(0,V$4)/100))</f>
        <v/>
      </c>
      <c r="W224">
        <f>IF($C224="",0,IF($M224="",0,MAX(0,$M224)*MAX(0,W$4)/100))</f>
        <v/>
      </c>
      <c r="X224">
        <f>IF($C224="",0,IF($M224="",0,MAX(0,$M224)*MAX(0,X$4)/100))</f>
        <v/>
      </c>
      <c r="Y224">
        <f>IF($C224="",0,IF($M224="",0,MAX(0,$M224)*MAX(0,Y$4)/100))</f>
        <v/>
      </c>
      <c r="Z224">
        <f>IF($C224="",0,IF($M224="",0,MAX(0,$M224)*MAX(0,Z$4)/100))</f>
        <v/>
      </c>
      <c r="AA224">
        <f>IF($C224="",0,IF($M224="",0,MAX(0,$M224)*MAX(0,AA$4)/100))</f>
        <v/>
      </c>
      <c r="AB224">
        <f>IF($C224="",0,IF($M224="",0,MAX(0,$M224)*MAX(0,AB$4)/100))</f>
        <v/>
      </c>
      <c r="AC224">
        <f>IF($C224="",0,IF($M224="",0,MAX(0,$M224)*MAX(0,AC$4)/100))</f>
        <v/>
      </c>
      <c r="AD224">
        <f>IF($C224="",0,IF($M224="",0,MAX(0,$M224)*MAX(0,AD$4)/100))</f>
        <v/>
      </c>
      <c r="AE224">
        <f>IF($C224="",0,IF($M224="",0,MAX(0,$M224)*MAX(0,AE$4)/100))</f>
        <v/>
      </c>
      <c r="AF224">
        <f>IF($C224="",0,IF($M224="",0,MAX(0,$M224)*MAX(0,AF$4)/100))</f>
        <v/>
      </c>
      <c r="AG224">
        <f>IF($C224="",0,IF($M224="",0,MAX(0,$M224)*MAX(0,AG$4)/100))</f>
        <v/>
      </c>
      <c r="AH224">
        <f>IF($C224="",0,IF($M224="",0,MAX(0,$M224)*MAX(0,AH$4)/100))</f>
        <v/>
      </c>
      <c r="AI224">
        <f>IF($C224="",0,IF($M224="",0,MAX(0,$M224)*MAX(0,AI$4)/100))</f>
        <v/>
      </c>
      <c r="AJ224">
        <f>IF($C224="",0,MAX(0,MAX(0,N($L224))-$V224))</f>
        <v/>
      </c>
      <c r="AK224">
        <f>IF($C224="",0,MAX(0,$AJ224-$W224))</f>
        <v/>
      </c>
      <c r="AL224">
        <f>IF($C224="",0,MAX(0,$AK224-$X224))</f>
        <v/>
      </c>
      <c r="AM224">
        <f>IF($C224="",0,MAX(0,$AL224-$Y224))</f>
        <v/>
      </c>
      <c r="AN224">
        <f>IF($C224="",0,MAX(0,$AM224-$Z224))</f>
        <v/>
      </c>
      <c r="AO224">
        <f>IF($C224="",0,MAX(0,$AN224-$AA224))</f>
        <v/>
      </c>
      <c r="AP224">
        <f>IF($C224="",0,MAX(0,$AO224-$AB224))</f>
        <v/>
      </c>
      <c r="AQ224">
        <f>IF($C224="",0,MAX(0,$AP224-$AC224))</f>
        <v/>
      </c>
      <c r="AR224">
        <f>IF($C224="",0,MAX(0,$AQ224-$AD224))</f>
        <v/>
      </c>
      <c r="AS224">
        <f>IF($C224="",0,MAX(0,$AR224-$AE224))</f>
        <v/>
      </c>
      <c r="AT224">
        <f>IF($C224="",0,MAX(0,$AS224-$AF224))</f>
        <v/>
      </c>
      <c r="AU224">
        <f>IF($C224="",0,MAX(0,$AT224-$AG224))</f>
        <v/>
      </c>
      <c r="AV224">
        <f>IF($C224="",0,MAX(0,$AU224-$AH224))</f>
        <v/>
      </c>
      <c r="AW224">
        <f>IF($C224="",0,MAX(0,$AV224-$AI224))</f>
        <v/>
      </c>
      <c r="AX224">
        <f>IF($C224="",0,MAX(0,MAX(0,N($L224))+IF($P224=V$3,$R224,0)+IF($S224=V$3,$U224,0)-$V224))</f>
        <v/>
      </c>
      <c r="AY224">
        <f>IF($C224="",0,MAX(0,$AX224+IF($P224=W$3,$R224,0)+IF($S224=W$3,$U224,0)-$W224))</f>
        <v/>
      </c>
      <c r="AZ224">
        <f>IF($C224="",0,MAX(0,$AY224+IF($P224=X$3,$R224,0)+IF($S224=X$3,$U224,0)-$X224))</f>
        <v/>
      </c>
      <c r="BA224">
        <f>IF($C224="",0,MAX(0,$AZ224+IF($P224=Y$3,$R224,0)+IF($S224=Y$3,$U224,0)-$Y224))</f>
        <v/>
      </c>
      <c r="BB224">
        <f>IF($C224="",0,MAX(0,$BA224+IF($P224=Z$3,$R224,0)+IF($S224=Z$3,$U224,0)-$Z224))</f>
        <v/>
      </c>
      <c r="BC224">
        <f>IF($C224="",0,MAX(0,$BB224+IF($P224=AA$3,$R224,0)+IF($S224=AA$3,$U224,0)-$AA224))</f>
        <v/>
      </c>
      <c r="BD224">
        <f>IF($C224="",0,MAX(0,$BC224+IF($P224=AB$3,$R224,0)+IF($S224=AB$3,$U224,0)-$AB224))</f>
        <v/>
      </c>
      <c r="BE224">
        <f>IF($C224="",0,MAX(0,$BD224+IF($P224=AC$3,$R224,0)+IF($S224=AC$3,$U224,0)-$AC224))</f>
        <v/>
      </c>
      <c r="BF224">
        <f>IF($C224="",0,MAX(0,$BE224+IF($P224=AD$3,$R224,0)+IF($S224=AD$3,$U224,0)-$AD224))</f>
        <v/>
      </c>
      <c r="BG224">
        <f>IF($C224="",0,MAX(0,$BF224+IF($P224=AE$3,$R224,0)+IF($S224=AE$3,$U224,0)-$AE224))</f>
        <v/>
      </c>
      <c r="BH224">
        <f>IF($C224="",0,MAX(0,$BG224+IF($P224=AF$3,$R224,0)+IF($S224=AF$3,$U224,0)-$AF224))</f>
        <v/>
      </c>
      <c r="BI224">
        <f>IF($C224="",0,MAX(0,$BH224+IF($P224=AG$3,$R224,0)+IF($S224=AG$3,$U224,0)-$AG224))</f>
        <v/>
      </c>
      <c r="BJ224">
        <f>IF($C224="",0,MAX(0,$BI224+IF($P224=AH$3,$R224,0)+IF($S224=AH$3,$U224,0)-$AH224))</f>
        <v/>
      </c>
      <c r="BK224">
        <f>IF($C224="",0,MAX(0,$BJ224+IF($P224=AI$3,$R224,0)+IF($S224=AI$3,$U224,0)-$AI224))</f>
        <v/>
      </c>
      <c r="BL224">
        <f>IF($C224="",99,IF(AND($AX224&lt;1,V$3&gt;=MAX(N($P224),N($S224))),0,99))</f>
        <v/>
      </c>
      <c r="BM224">
        <f>IF($C224="",99,IF(AND($AY224&lt;1,W$3&gt;=MAX(N($P224),N($S224))),1,99))</f>
        <v/>
      </c>
      <c r="BN224">
        <f>IF($C224="",99,IF(AND($AZ224&lt;1,X$3&gt;=MAX(N($P224),N($S224))),2,99))</f>
        <v/>
      </c>
      <c r="BO224">
        <f>IF($C224="",99,IF(AND($BA224&lt;1,Y$3&gt;=MAX(N($P224),N($S224))),3,99))</f>
        <v/>
      </c>
      <c r="BP224">
        <f>IF($C224="",99,IF(AND($BB224&lt;1,Z$3&gt;=MAX(N($P224),N($S224))),4,99))</f>
        <v/>
      </c>
      <c r="BQ224">
        <f>IF($C224="",99,IF(AND($BC224&lt;1,AA$3&gt;=MAX(N($P224),N($S224))),5,99))</f>
        <v/>
      </c>
      <c r="BR224">
        <f>IF($C224="",99,IF(AND($BD224&lt;1,AB$3&gt;=MAX(N($P224),N($S224))),6,99))</f>
        <v/>
      </c>
      <c r="BS224">
        <f>IF($C224="",99,IF(AND($BE224&lt;1,AC$3&gt;=MAX(N($P224),N($S224))),7,99))</f>
        <v/>
      </c>
      <c r="BT224">
        <f>IF($C224="",99,IF(AND($BF224&lt;1,AD$3&gt;=MAX(N($P224),N($S224))),8,99))</f>
        <v/>
      </c>
      <c r="BU224">
        <f>IF($C224="",99,IF(AND($BG224&lt;1,AE$3&gt;=MAX(N($P224),N($S224))),9,99))</f>
        <v/>
      </c>
      <c r="BV224">
        <f>IF($C224="",99,IF(AND($BH224&lt;1,AF$3&gt;=MAX(N($P224),N($S224))),10,99))</f>
        <v/>
      </c>
      <c r="BW224">
        <f>IF($C224="",99,IF(AND($BI224&lt;1,AG$3&gt;=MAX(N($P224),N($S224))),11,99))</f>
        <v/>
      </c>
      <c r="BX224">
        <f>IF($C224="",99,IF(AND($BJ224&lt;1,AH$3&gt;=MAX(N($P224),N($S224))),12,99))</f>
        <v/>
      </c>
      <c r="BY224">
        <f>IF($C224="",99,IF(AND($BK224&lt;1,AI$3&gt;=MAX(N($P224),N($S224))),13,99))</f>
        <v/>
      </c>
      <c r="BZ224">
        <f>IF(OR($C224="",$M224=""),"",COUNTIF($AJ224:$AW224,"&gt;=1"))</f>
        <v/>
      </c>
      <c r="CA224" s="90">
        <f>IF($BZ224="","",IF($BZ224&gt;=14,"",'設定'!$C$6+$BZ224))</f>
        <v/>
      </c>
      <c r="CB224">
        <f>IF(OR($C224="",$M224=""),"",MIN($BL224:$BY224))</f>
        <v/>
      </c>
      <c r="CC224" s="90">
        <f>IF($CB224="","",IF($CB224&gt;=99,"",'設定'!$C$6+$CB224))</f>
        <v/>
      </c>
      <c r="CD224">
        <f>IF(OR($C224="",$M224=""),"",AVERAGE($V224:$AI224))</f>
        <v/>
      </c>
      <c r="CE224">
        <f>IF($C224="","",IFERROR(IF(MATCH(IF(ISNUMBER($P224),$P224,'設定'!$C$6+N('設定'!$C$7)),$V$3:$AI$3,0)=1,MAX(0,N($L224)),INDEX($AJ224:$AW224,MATCH(IF(ISNUMBER($P224),$P224,'設定'!$C$6+N('設定'!$C$7)),$V$3:$AI$3,0)-1)),""))</f>
        <v/>
      </c>
      <c r="CF224">
        <f>IF(OR($C224="",$O224="",$CE224=""),"",IF($O224-$CE224&lt;=0,0,ROUNDUP(($O224-$CE224)/$G224,0)))</f>
        <v/>
      </c>
      <c r="CG224">
        <f>IF(OR($C224="",$CF224="",NOT(ISNUMBER($Q224))),0,MAX(0,$Q224-$CF224))</f>
        <v/>
      </c>
      <c r="CH224">
        <f>IF(OR($C224="",$O224="",$U224=0),0,IFERROR(ROUNDUP(MAX(0,IF(MATCH($S224,$V$3:$AI$3,0)=1,MAX(0,N($L224)),INDEX($AX224:$BK224,MATCH($S224,$V$3:$AI$3,0)-1))+$U224-$O224)/$G224,0),0))</f>
        <v/>
      </c>
      <c r="CI224">
        <f>IF($C224="","",IF(AND($P224="",$Q224=""),"",IF($P224="","⚠ 入庫日を ▼ から選んでください",IF(NOT(ISNUMBER($P224)),"⚠ 入庫日は ▼ から選んでください",IF($P224&lt;N('設定'!$C$6),"⚠ 入庫日が過去です（もう在庫に入っています）→ 消してください",IF($P224&gt;N('設定'!$C$6)+13,"⚠ 入庫日が14日より先です",IF(N($Q224)&lt;=0,"⚠ 入庫数を入れてください",IF($CG224&gt;0,"⚠ 目安より "&amp;$CG224&amp;" 多い（定数を超える）→ 減らす",""))))))))</f>
        <v/>
      </c>
      <c r="CJ224">
        <f>IF($C224="","",IF(AND($S224="",$T224=""),"",IF($S224="","⚠ 2便目：入庫日を ▼ から選んでください",IF(NOT(ISNUMBER($S224)),"⚠ 2便目：入庫日は ▼ から選んでください",IF($S224&lt;N('設定'!$C$6),"⚠ 2便目：入庫日が過去です（もう在庫に入っています）→ 消してください",IF($S224&gt;N('設定'!$C$6)+13,"⚠ 2便目：入庫日が14日より先です",IF(N($T224)&lt;=0,"⚠ 2便目：入庫数を入れてください",IF($CH224&gt;0,"⚠ 2便目：定数を "&amp;$CH224&amp;" ケース超える → 減らす",""))))))))</f>
        <v/>
      </c>
      <c r="CK224">
        <f>IF(AND($CI224="",N($Q224)&gt;0,ISNUMBER($P224)),1,0)</f>
        <v/>
      </c>
      <c r="CL224">
        <f>IF(AND($CJ224="",N($T224)&gt;0,ISNUMBER($S224)),1,0)</f>
        <v/>
      </c>
      <c r="CM224">
        <f>IF(OR($CK224=1,$CL224=1),1,0)</f>
        <v/>
      </c>
      <c r="CN224">
        <f>IF($C224="",0,($CK224*$R224+$CL224*$U224)*N($H224))</f>
        <v/>
      </c>
      <c r="CO224">
        <f>IF($C224="","",IF($CC224="","入庫後は 14日以上もつ",IF($CC224-N('設定'!$C$7)&lt;='設定'!$C$6,"入庫後も "&amp;TEXT($CC224,"m/d")&amp;"("&amp;CHOOSE(WEEKDAY($CC224),"日","月","火","水","木","金","土")&amp;")"&amp;" に切れる　もう1便を至急発注","入庫後も "&amp;TEXT($CC224,"m/d")&amp;"("&amp;CHOOSE(WEEKDAY($CC224),"日","月","火","水","木","金","土")&amp;")"&amp;" に切れる　"&amp;TEXT($CC224-N('設定'!$C$7),"m/d")&amp;"("&amp;CHOOSE(WEEKDAY($CC224-N('設定'!$C$7)),"日","月","火","水","木","金","土")&amp;")"&amp;" までに次を発注")))</f>
        <v/>
      </c>
      <c r="CP224">
        <f>IF($C224="","",IF('設定'!$C$6="","？ ①在庫を貼る に今日のCSVが貼られていない",IF($CS224=1,"－ 今日のCSVに無い（終売？）",IF($L224&lt;0,"● 在庫がマイナス　数えて「数えた在庫」に入れる",IF($L224=0,"● 在庫なし　至急発注",IF($M224="","？ 減り数が未設定（商品マスタ）",IF($B$3=0,"？ 動員が未入力（動員を入れる）",IF($CA224="","○ 14日以上もつ",IF($BZ224&lt;N('設定'!$C$7),"● "&amp;TEXT($CA224,"m/d")&amp;"("&amp;CHOOSE(WEEKDAY($CA224),"日","月","火","水","木","金","土")&amp;")"&amp;" に切れる　至急発注",IF($BZ224=N('設定'!$C$7),"● "&amp;TEXT($CA224,"m/d")&amp;"("&amp;CHOOSE(WEEKDAY($CA224),"日","月","火","水","木","金","土")&amp;")"&amp;" に切れる　今日発注","△ "&amp;TEXT($CA224,"m/d")&amp;"("&amp;CHOOSE(WEEKDAY($CA224),"日","月","火","水","木","金","土")&amp;")"&amp;" に切れる　"&amp;TEXT($CA224-N('設定'!$C$7),"m/d")&amp;"("&amp;CHOOSE(WEEKDAY($CA224-N('設定'!$C$7)),"日","月","火","水","木","金","土")&amp;")"&amp;" までに発注"))))))))))</f>
        <v/>
      </c>
      <c r="CQ224">
        <f>IF($C224="","",IF(AND($P224="",$Q224="",$S224="",$T224=""),"",IF(AND($P224="",$Q224=""),"⚠ 先に1便目（左の入庫日・入庫数）に入れてください",IF($CI224&lt;&gt;"",$CI224,IF($CJ224&lt;&gt;"",$CJ224,IF($M224="","？ 減り数が未設定（発注書には載ります）",IF($B$3=0,"？ 動員が未入力（発注書には載ります）",IF(AND($CA224&lt;&gt;"",$P224&gt;$CA224),IF($P224&gt;'設定'!$C$6+N('設定'!$C$7),"● "&amp;TEXT($P224,"m/d")&amp;"("&amp;CHOOSE(WEEKDAY($P224),"日","月","火","水","木","金","土")&amp;")"&amp;" の入庫では間に合わない（"&amp;TEXT($CA224,"m/d")&amp;"("&amp;CHOOSE(WEEKDAY($CA224),"日","月","火","水","木","金","土")&amp;")"&amp;" に切れる）　入庫日を早める","△ 欠品 "&amp;TEXT($CA224,"m/d")&amp;"("&amp;CHOOSE(WEEKDAY($CA224),"日","月","火","水","木","金","土")&amp;")"&amp;"〜"&amp;TEXT($P224-1,"m/d")&amp;"("&amp;CHOOSE(WEEKDAY($P224-1),"日","月","火","水","木","金","土")&amp;")"&amp;"　"&amp;$CO224),IF($CC224="","○ "&amp;TEXT($P224,"m/d")&amp;"("&amp;CHOOSE(WEEKDAY($P224),"日","月","火","水","木","金","土")&amp;")"&amp;" 入庫で 14日以上もつ",IF($CC224-N('設定'!$C$7)&lt;='設定'!$C$6,"● 入庫しても "&amp;TEXT($CC224,"m/d")&amp;"("&amp;CHOOSE(WEEKDAY($CC224),"日","月","火","水","木","金","土")&amp;")"&amp;" に切れる　もう1便を至急発注（2便目に入れる）","△ 入庫しても "&amp;TEXT($CC224,"m/d")&amp;"("&amp;CHOOSE(WEEKDAY($CC224),"日","月","火","水","木","金","土")&amp;")"&amp;" に切れる　"&amp;TEXT($CC224-N('設定'!$C$7),"m/d")&amp;"("&amp;CHOOSE(WEEKDAY($CC224-N('設定'!$C$7)),"日","月","火","水","木","金","土")&amp;")"&amp;" までに次を発注（2便目に入れる）"))))))))))</f>
        <v/>
      </c>
      <c r="CR224">
        <f>IF($C224="","",IF($G224&gt;1,"ｹｰｽ("&amp;$G224&amp;"入)","個"))</f>
        <v/>
      </c>
      <c r="CS224">
        <f>IF($C224="",0,IF(COUNTIFS('①在庫を貼る'!$V$6:$V$10005,'設定'!$C$4,'①在庫を貼る'!$W$6:$W$10005,$C224)=0,1,0))</f>
        <v/>
      </c>
      <c r="CT224">
        <f>IF(AND($CK224=1,OR('③発注書'!$C$4="すべて",'③発注書'!$C$4="",$F224='③発注書'!$C$4)),N($CT223)+1,N($CT223))</f>
        <v/>
      </c>
      <c r="CU224">
        <f>IF(AND($CL224=1,OR('③発注書'!$C$4="すべて",'③発注書'!$C$4="",$F224='③発注書'!$C$4)),N($CU223)+1,N($CU223))</f>
        <v/>
      </c>
      <c r="CV224">
        <f>IF($C224="",0,IF(COUNTIFS('①在庫を貼る'!$V$6:$V$10005,'設定'!$C$4,'①在庫を貼る'!$W$6:$W$10005,$C224)&gt;0,1,0))</f>
        <v/>
      </c>
      <c r="CW224">
        <f>IF($C224="",0,IF(COUNTIFS('月1回_1ヶ月前の在庫'!$V$6:$V$10005,'設定'!$C$4,'月1回_1ヶ月前の在庫'!$W$6:$W$10005,$C224)&gt;0,1,0))</f>
        <v/>
      </c>
      <c r="CX224">
        <f>IF($C224="",0,IF(COUNTIFS('月1回_2ヶ月前の在庫'!$V$6:$V$10005,'設定'!$C$4,'月1回_2ヶ月前の在庫'!$W$6:$W$10005,$C224)&gt;0,1,0))</f>
        <v/>
      </c>
      <c r="CY224">
        <f>IF(OR($C224="",'設定'!$C$12=""),"",IF('設定'!$C$13="",IF(AND($CV224=1,$CW224=0),"新商品（今月から）",IF(AND($CV224=0,$CW224=1),"終売（今月から）","")),IF(AND($CV224=1,$CW224=0,$CX224=0),"新商品（今月から）",IF(AND($CV224=1,$CW224=1,$CX224=0),"新商品（先月から）",IF(AND($CV224=0,$CW224=1,$CX224=1),"終売（今月から）",IF(AND($CV224=0,$CW224=0,$CX224=1),"終売（先月から）",IF(AND($CV224=1,$CW224=0,$CX224=1),"復活（先月は無し）","")))))))</f>
        <v/>
      </c>
    </row>
    <row r="225">
      <c r="B225">
        <f>IF(220&lt;='設定'!$C$11,220,"")</f>
        <v/>
      </c>
      <c r="C225">
        <f>IF($B225="","",IF($B225&lt;='設定'!$C$20,INDEX('商品マスタ'!$B$6:$B$1005,MATCH($B225,'商品マスタ'!$M$6:$M$1005,0)),IF($B225&lt;='設定'!$C$20+'設定'!$C$17,INDEX('①在庫を貼る'!$W$6:$W$10005,MATCH($B225-'設定'!$C$20,'①在庫を貼る'!$U$6:$U$10005,0)),IF($B225&lt;='設定'!$C$20+'設定'!$C$17+'設定'!$C$18,INDEX('月1回_1ヶ月前の在庫'!$W$6:$W$10005,MATCH($B225-'設定'!$C$20-'設定'!$C$17,'月1回_1ヶ月前の在庫'!$U$6:$U$10005,0)),INDEX('月1回_2ヶ月前の在庫'!$W$6:$W$10005,MATCH($B225-'設定'!$C$20-'設定'!$C$17-'設定'!$C$18,'月1回_2ヶ月前の在庫'!$U$6:$U$10005,0))))))</f>
        <v/>
      </c>
      <c r="D225">
        <f>IF($C225="","",IFERROR(IF(INDEX('商品マスタ'!$C$6:$C$1005,MATCH($C225,'商品マスタ'!$B$6:$B$1005,0))="",IFERROR(INDEX('①在庫を貼る'!$J$6:$J$10005,MATCH($C225,'①在庫を貼る'!$W$6:$W$10005,0)),IFERROR(INDEX('月1回_1ヶ月前の在庫'!$J$6:$J$10005,MATCH($C225,'月1回_1ヶ月前の在庫'!$W$6:$W$10005,0)),IFERROR(INDEX('月1回_2ヶ月前の在庫'!$J$6:$J$10005,MATCH($C225,'月1回_2ヶ月前の在庫'!$W$6:$W$10005,0)),""))),INDEX('商品マスタ'!$C$6:$C$1005,MATCH($C225,'商品マスタ'!$B$6:$B$1005,0))),IFERROR(INDEX('①在庫を貼る'!$J$6:$J$10005,MATCH($C225,'①在庫を貼る'!$W$6:$W$10005,0)),IFERROR(INDEX('月1回_1ヶ月前の在庫'!$J$6:$J$10005,MATCH($C225,'月1回_1ヶ月前の在庫'!$W$6:$W$10005,0)),IFERROR(INDEX('月1回_2ヶ月前の在庫'!$J$6:$J$10005,MATCH($C225,'月1回_2ヶ月前の在庫'!$W$6:$W$10005,0)),"")))))</f>
        <v/>
      </c>
      <c r="E225">
        <f>IF($C225="","",IFERROR(IF(INDEX('商品マスタ'!$D$6:$D$1005,MATCH($C225,'商品マスタ'!$B$6:$B$1005,0))="",IFERROR(INDEX('①在庫を貼る'!$H$6:$H$10005,MATCH($C225,'①在庫を貼る'!$W$6:$W$10005,0)),IFERROR(INDEX('月1回_1ヶ月前の在庫'!$H$6:$H$10005,MATCH($C225,'月1回_1ヶ月前の在庫'!$W$6:$W$10005,0)),IFERROR(INDEX('月1回_2ヶ月前の在庫'!$H$6:$H$10005,MATCH($C225,'月1回_2ヶ月前の在庫'!$W$6:$W$10005,0)),""))),INDEX('商品マスタ'!$D$6:$D$1005,MATCH($C225,'商品マスタ'!$B$6:$B$1005,0))),IFERROR(INDEX('①在庫を貼る'!$H$6:$H$10005,MATCH($C225,'①在庫を貼る'!$W$6:$W$10005,0)),IFERROR(INDEX('月1回_1ヶ月前の在庫'!$H$6:$H$10005,MATCH($C225,'月1回_1ヶ月前の在庫'!$W$6:$W$10005,0)),IFERROR(INDEX('月1回_2ヶ月前の在庫'!$H$6:$H$10005,MATCH($C225,'月1回_2ヶ月前の在庫'!$W$6:$W$10005,0)),"")))))</f>
        <v/>
      </c>
      <c r="F225">
        <f>IF($C225="","",IFERROR(IF(INDEX('商品マスタ'!$E$6:$E$1005,MATCH($C225,'商品マスタ'!$B$6:$B$1005,0))="",IFERROR(INDEX('①在庫を貼る'!$E$6:$E$10005,MATCH($C225,'①在庫を貼る'!$W$6:$W$10005,0)),IFERROR(INDEX('月1回_1ヶ月前の在庫'!$E$6:$E$10005,MATCH($C225,'月1回_1ヶ月前の在庫'!$W$6:$W$10005,0)),IFERROR(INDEX('月1回_2ヶ月前の在庫'!$E$6:$E$10005,MATCH($C225,'月1回_2ヶ月前の在庫'!$W$6:$W$10005,0)),""))),INDEX('商品マスタ'!$E$6:$E$1005,MATCH($C225,'商品マスタ'!$B$6:$B$1005,0))),IFERROR(INDEX('①在庫を貼る'!$E$6:$E$10005,MATCH($C225,'①在庫を貼る'!$W$6:$W$10005,0)),IFERROR(INDEX('月1回_1ヶ月前の在庫'!$E$6:$E$10005,MATCH($C225,'月1回_1ヶ月前の在庫'!$W$6:$W$10005,0)),IFERROR(INDEX('月1回_2ヶ月前の在庫'!$E$6:$E$10005,MATCH($C225,'月1回_2ヶ月前の在庫'!$W$6:$W$10005,0)),"")))))</f>
        <v/>
      </c>
      <c r="G225">
        <f>IF($C225="","",MAX(1,N(IFERROR(IF(INDEX('商品マスタ'!$F$6:$F$1005,MATCH($C225,'商品マスタ'!$B$6:$B$1005,0))="",IF(COUNTIFS('①在庫を貼る'!$V$6:$V$10005,'設定'!$C$4,'①在庫を貼る'!$W$6:$W$10005,$C225)&gt;0,SUMIFS('①在庫を貼る'!$K$6:$K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K$6:$K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K$6:$K$10005,'月1回_2ヶ月前の在庫'!$V$6:$V$10005,'設定'!$C$4,'月1回_2ヶ月前の在庫'!$W$6:$W$10005,$C225)/COUNTIFS('月1回_2ヶ月前の在庫'!$V$6:$V$10005,'設定'!$C$4,'月1回_2ヶ月前の在庫'!$W$6:$W$10005,$C225),0))),INDEX('商品マスタ'!$F$6:$F$1005,MATCH($C225,'商品マスタ'!$B$6:$B$1005,0))),IF(COUNTIFS('①在庫を貼る'!$V$6:$V$10005,'設定'!$C$4,'①在庫を貼る'!$W$6:$W$10005,$C225)&gt;0,SUMIFS('①在庫を貼る'!$K$6:$K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K$6:$K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K$6:$K$10005,'月1回_2ヶ月前の在庫'!$V$6:$V$10005,'設定'!$C$4,'月1回_2ヶ月前の在庫'!$W$6:$W$10005,$C225)/COUNTIFS('月1回_2ヶ月前の在庫'!$V$6:$V$10005,'設定'!$C$4,'月1回_2ヶ月前の在庫'!$W$6:$W$10005,$C225),0)))))))</f>
        <v/>
      </c>
      <c r="H225">
        <f>IF($C225="","",N(IFERROR(IF(INDEX('商品マスタ'!$G$6:$G$1005,MATCH($C225,'商品マスタ'!$B$6:$B$1005,0))="",IF(COUNTIFS('①在庫を貼る'!$V$6:$V$10005,'設定'!$C$4,'①在庫を貼る'!$W$6:$W$10005,$C225)&gt;0,SUMIFS('①在庫を貼る'!$Q$6:$Q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Q$6:$Q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Q$6:$Q$10005,'月1回_2ヶ月前の在庫'!$V$6:$V$10005,'設定'!$C$4,'月1回_2ヶ月前の在庫'!$W$6:$W$10005,$C225)/COUNTIFS('月1回_2ヶ月前の在庫'!$V$6:$V$10005,'設定'!$C$4,'月1回_2ヶ月前の在庫'!$W$6:$W$10005,$C225),0))),INDEX('商品マスタ'!$G$6:$G$1005,MATCH($C225,'商品マスタ'!$B$6:$B$1005,0))),IF(COUNTIFS('①在庫を貼る'!$V$6:$V$10005,'設定'!$C$4,'①在庫を貼る'!$W$6:$W$10005,$C225)&gt;0,SUMIFS('①在庫を貼る'!$Q$6:$Q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Q$6:$Q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Q$6:$Q$10005,'月1回_2ヶ月前の在庫'!$V$6:$V$10005,'設定'!$C$4,'月1回_2ヶ月前の在庫'!$W$6:$W$10005,$C225)/COUNTIFS('月1回_2ヶ月前の在庫'!$V$6:$V$10005,'設定'!$C$4,'月1回_2ヶ月前の在庫'!$W$6:$W$10005,$C225),0))))))</f>
        <v/>
      </c>
      <c r="I225">
        <f>IF($C225="","",IF(COUNTIFS('①在庫を貼る'!$V$6:$V$10005,'設定'!$C$4,'①在庫を貼る'!$W$6:$W$10005,$C225)=0,"",SUMIFS('①在庫を貼る'!$N$6:$N$10005,'①在庫を貼る'!$V$6:$V$10005,'設定'!$C$4,'①在庫を貼る'!$W$6:$W$10005,$C225)))</f>
        <v/>
      </c>
      <c r="J225">
        <f>IF($C225="","",IF('②発注する'!$AD229="","",'②発注する'!$AD229))</f>
        <v/>
      </c>
      <c r="K225" s="90">
        <f>IF($C225="","",IF('②発注する'!$AE229="","",'②発注する'!$AE229))</f>
        <v/>
      </c>
      <c r="L225">
        <f>IF($C225="","",IF(AND(ISNUMBER($J225),ISNUMBER($K225),$K225&gt;='設定'!$C$6),$J225,N($I225)))</f>
        <v/>
      </c>
      <c r="M225">
        <f>IF($C225="","",IFERROR(IF(N(INDEX('商品マスタ'!$J$6:$J$1005,MATCH($C225,'商品マスタ'!$B$6:$B$1005,0)))&gt;0,INDEX('商品マスタ'!$J$6:$J$1005,MATCH($C225,'商品マスタ'!$B$6:$B$1005,0)),""),""))</f>
        <v/>
      </c>
      <c r="N225">
        <f>IF($C225="","",IFERROR(IF(N(INDEX('商品マスタ'!$H$6:$H$1005,MATCH($C225,'商品マスタ'!$B$6:$B$1005,0)))&gt;0,INDEX('商品マスタ'!$H$6:$H$1005,MATCH($C225,'商品マスタ'!$B$6:$B$1005,0)),""),""))</f>
        <v/>
      </c>
      <c r="O225">
        <f>IF($C225="","",IF($N225&lt;&gt;"",$N225*$G225,IF(N(IF(COUNTIFS('①在庫を貼る'!$V$6:$V$10005,'設定'!$C$4,'①在庫を貼る'!$W$6:$W$10005,$C225)&gt;0,SUMIFS('①在庫を貼る'!$O$6:$O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O$6:$O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O$6:$O$10005,'月1回_2ヶ月前の在庫'!$V$6:$V$10005,'設定'!$C$4,'月1回_2ヶ月前の在庫'!$W$6:$W$10005,$C225)/COUNTIFS('月1回_2ヶ月前の在庫'!$V$6:$V$10005,'設定'!$C$4,'月1回_2ヶ月前の在庫'!$W$6:$W$10005,$C225),0))))&gt;0,N(IF(COUNTIFS('①在庫を貼る'!$V$6:$V$10005,'設定'!$C$4,'①在庫を貼る'!$W$6:$W$10005,$C225)&gt;0,SUMIFS('①在庫を貼る'!$O$6:$O$10005,'①在庫を貼る'!$V$6:$V$10005,'設定'!$C$4,'①在庫を貼る'!$W$6:$W$10005,$C225)/COUNTIFS('①在庫を貼る'!$V$6:$V$10005,'設定'!$C$4,'①在庫を貼る'!$W$6:$W$10005,$C225),IF(COUNTIFS('月1回_1ヶ月前の在庫'!$V$6:$V$10005,'設定'!$C$4,'月1回_1ヶ月前の在庫'!$W$6:$W$10005,$C225)&gt;0,SUMIFS('月1回_1ヶ月前の在庫'!$O$6:$O$10005,'月1回_1ヶ月前の在庫'!$V$6:$V$10005,'設定'!$C$4,'月1回_1ヶ月前の在庫'!$W$6:$W$10005,$C225)/COUNTIFS('月1回_1ヶ月前の在庫'!$V$6:$V$10005,'設定'!$C$4,'月1回_1ヶ月前の在庫'!$W$6:$W$10005,$C225),IF(COUNTIFS('月1回_2ヶ月前の在庫'!$V$6:$V$10005,'設定'!$C$4,'月1回_2ヶ月前の在庫'!$W$6:$W$10005,$C225)&gt;0,SUMIFS('月1回_2ヶ月前の在庫'!$O$6:$O$10005,'月1回_2ヶ月前の在庫'!$V$6:$V$10005,'設定'!$C$4,'月1回_2ヶ月前の在庫'!$W$6:$W$10005,$C225)/COUNTIFS('月1回_2ヶ月前の在庫'!$V$6:$V$10005,'設定'!$C$4,'月1回_2ヶ月前の在庫'!$W$6:$W$10005,$C225),0)))),"")))</f>
        <v/>
      </c>
      <c r="P225" s="90">
        <f>IF($C225="","",IF('②発注する'!$I229="","",'②発注する'!$I229))</f>
        <v/>
      </c>
      <c r="Q225">
        <f>IF($C225="","",IF('②発注する'!$J229="","",'②発注する'!$J229))</f>
        <v/>
      </c>
      <c r="R225">
        <f>IF($C225="",0,IF(AND(ISNUMBER($P225),ISNUMBER($Q225)),MAX(0,$Q225)*$G225,0))</f>
        <v/>
      </c>
      <c r="S225" s="90">
        <f>IF($C225="","",IF('②発注する'!$M229="","",'②発注する'!$M229))</f>
        <v/>
      </c>
      <c r="T225">
        <f>IF($C225="","",IF('②発注する'!$N229="","",'②発注する'!$N229))</f>
        <v/>
      </c>
      <c r="U225">
        <f>IF($C225="",0,IF(AND(ISNUMBER($S225),ISNUMBER($T225)),MAX(0,$T225)*$G225,0))</f>
        <v/>
      </c>
      <c r="V225">
        <f>IF($C225="",0,IF($M225="",0,MAX(0,$M225)*MAX(0,V$4)/100))</f>
        <v/>
      </c>
      <c r="W225">
        <f>IF($C225="",0,IF($M225="",0,MAX(0,$M225)*MAX(0,W$4)/100))</f>
        <v/>
      </c>
      <c r="X225">
        <f>IF($C225="",0,IF($M225="",0,MAX(0,$M225)*MAX(0,X$4)/100))</f>
        <v/>
      </c>
      <c r="Y225">
        <f>IF($C225="",0,IF($M225="",0,MAX(0,$M225)*MAX(0,Y$4)/100))</f>
        <v/>
      </c>
      <c r="Z225">
        <f>IF($C225="",0,IF($M225="",0,MAX(0,$M225)*MAX(0,Z$4)/100))</f>
        <v/>
      </c>
      <c r="AA225">
        <f>IF($C225="",0,IF($M225="",0,MAX(0,$M225)*MAX(0,AA$4)/100))</f>
        <v/>
      </c>
      <c r="AB225">
        <f>IF($C225="",0,IF($M225="",0,MAX(0,$M225)*MAX(0,AB$4)/100))</f>
        <v/>
      </c>
      <c r="AC225">
        <f>IF($C225="",0,IF($M225="",0,MAX(0,$M225)*MAX(0,AC$4)/100))</f>
        <v/>
      </c>
      <c r="AD225">
        <f>IF($C225="",0,IF($M225="",0,MAX(0,$M225)*MAX(0,AD$4)/100))</f>
        <v/>
      </c>
      <c r="AE225">
        <f>IF($C225="",0,IF($M225="",0,MAX(0,$M225)*MAX(0,AE$4)/100))</f>
        <v/>
      </c>
      <c r="AF225">
        <f>IF($C225="",0,IF($M225="",0,MAX(0,$M225)*MAX(0,AF$4)/100))</f>
        <v/>
      </c>
      <c r="AG225">
        <f>IF($C225="",0,IF($M225="",0,MAX(0,$M225)*MAX(0,AG$4)/100))</f>
        <v/>
      </c>
      <c r="AH225">
        <f>IF($C225="",0,IF($M225="",0,MAX(0,$M225)*MAX(0,AH$4)/100))</f>
        <v/>
      </c>
      <c r="AI225">
        <f>IF($C225="",0,IF($M225="",0,MAX(0,$M225)*MAX(0,AI$4)/100))</f>
        <v/>
      </c>
      <c r="AJ225">
        <f>IF($C225="",0,MAX(0,MAX(0,N($L225))-$V225))</f>
        <v/>
      </c>
      <c r="AK225">
        <f>IF($C225="",0,MAX(0,$AJ225-$W225))</f>
        <v/>
      </c>
      <c r="AL225">
        <f>IF($C225="",0,MAX(0,$AK225-$X225))</f>
        <v/>
      </c>
      <c r="AM225">
        <f>IF($C225="",0,MAX(0,$AL225-$Y225))</f>
        <v/>
      </c>
      <c r="AN225">
        <f>IF($C225="",0,MAX(0,$AM225-$Z225))</f>
        <v/>
      </c>
      <c r="AO225">
        <f>IF($C225="",0,MAX(0,$AN225-$AA225))</f>
        <v/>
      </c>
      <c r="AP225">
        <f>IF($C225="",0,MAX(0,$AO225-$AB225))</f>
        <v/>
      </c>
      <c r="AQ225">
        <f>IF($C225="",0,MAX(0,$AP225-$AC225))</f>
        <v/>
      </c>
      <c r="AR225">
        <f>IF($C225="",0,MAX(0,$AQ225-$AD225))</f>
        <v/>
      </c>
      <c r="AS225">
        <f>IF($C225="",0,MAX(0,$AR225-$AE225))</f>
        <v/>
      </c>
      <c r="AT225">
        <f>IF($C225="",0,MAX(0,$AS225-$AF225))</f>
        <v/>
      </c>
      <c r="AU225">
        <f>IF($C225="",0,MAX(0,$AT225-$AG225))</f>
        <v/>
      </c>
      <c r="AV225">
        <f>IF($C225="",0,MAX(0,$AU225-$AH225))</f>
        <v/>
      </c>
      <c r="AW225">
        <f>IF($C225="",0,MAX(0,$AV225-$AI225))</f>
        <v/>
      </c>
      <c r="AX225">
        <f>IF($C225="",0,MAX(0,MAX(0,N($L225))+IF($P225=V$3,$R225,0)+IF($S225=V$3,$U225,0)-$V225))</f>
        <v/>
      </c>
      <c r="AY225">
        <f>IF($C225="",0,MAX(0,$AX225+IF($P225=W$3,$R225,0)+IF($S225=W$3,$U225,0)-$W225))</f>
        <v/>
      </c>
      <c r="AZ225">
        <f>IF($C225="",0,MAX(0,$AY225+IF($P225=X$3,$R225,0)+IF($S225=X$3,$U225,0)-$X225))</f>
        <v/>
      </c>
      <c r="BA225">
        <f>IF($C225="",0,MAX(0,$AZ225+IF($P225=Y$3,$R225,0)+IF($S225=Y$3,$U225,0)-$Y225))</f>
        <v/>
      </c>
      <c r="BB225">
        <f>IF($C225="",0,MAX(0,$BA225+IF($P225=Z$3,$R225,0)+IF($S225=Z$3,$U225,0)-$Z225))</f>
        <v/>
      </c>
      <c r="BC225">
        <f>IF($C225="",0,MAX(0,$BB225+IF($P225=AA$3,$R225,0)+IF($S225=AA$3,$U225,0)-$AA225))</f>
        <v/>
      </c>
      <c r="BD225">
        <f>IF($C225="",0,MAX(0,$BC225+IF($P225=AB$3,$R225,0)+IF($S225=AB$3,$U225,0)-$AB225))</f>
        <v/>
      </c>
      <c r="BE225">
        <f>IF($C225="",0,MAX(0,$BD225+IF($P225=AC$3,$R225,0)+IF($S225=AC$3,$U225,0)-$AC225))</f>
        <v/>
      </c>
      <c r="BF225">
        <f>IF($C225="",0,MAX(0,$BE225+IF($P225=AD$3,$R225,0)+IF($S225=AD$3,$U225,0)-$AD225))</f>
        <v/>
      </c>
      <c r="BG225">
        <f>IF($C225="",0,MAX(0,$BF225+IF($P225=AE$3,$R225,0)+IF($S225=AE$3,$U225,0)-$AE225))</f>
        <v/>
      </c>
      <c r="BH225">
        <f>IF($C225="",0,MAX(0,$BG225+IF($P225=AF$3,$R225,0)+IF($S225=AF$3,$U225,0)-$AF225))</f>
        <v/>
      </c>
      <c r="BI225">
        <f>IF($C225="",0,MAX(0,$BH225+IF($P225=AG$3,$R225,0)+IF($S225=AG$3,$U225,0)-$AG225))</f>
        <v/>
      </c>
      <c r="BJ225">
        <f>IF($C225="",0,MAX(0,$BI225+IF($P225=AH$3,$R225,0)+IF($S225=AH$3,$U225,0)-$AH225))</f>
        <v/>
      </c>
      <c r="BK225">
        <f>IF($C225="",0,MAX(0,$BJ225+IF($P225=AI$3,$R225,0)+IF($S225=AI$3,$U225,0)-$AI225))</f>
        <v/>
      </c>
      <c r="BL225">
        <f>IF($C225="",99,IF(AND($AX225&lt;1,V$3&gt;=MAX(N($P225),N($S225))),0,99))</f>
        <v/>
      </c>
      <c r="BM225">
        <f>IF($C225="",99,IF(AND($AY225&lt;1,W$3&gt;=MAX(N($P225),N($S225))),1,99))</f>
        <v/>
      </c>
      <c r="BN225">
        <f>IF($C225="",99,IF(AND($AZ225&lt;1,X$3&gt;=MAX(N($P225),N($S225))),2,99))</f>
        <v/>
      </c>
      <c r="BO225">
        <f>IF($C225="",99,IF(AND($BA225&lt;1,Y$3&gt;=MAX(N($P225),N($S225))),3,99))</f>
        <v/>
      </c>
      <c r="BP225">
        <f>IF($C225="",99,IF(AND($BB225&lt;1,Z$3&gt;=MAX(N($P225),N($S225))),4,99))</f>
        <v/>
      </c>
      <c r="BQ225">
        <f>IF($C225="",99,IF(AND($BC225&lt;1,AA$3&gt;=MAX(N($P225),N($S225))),5,99))</f>
        <v/>
      </c>
      <c r="BR225">
        <f>IF($C225="",99,IF(AND($BD225&lt;1,AB$3&gt;=MAX(N($P225),N($S225))),6,99))</f>
        <v/>
      </c>
      <c r="BS225">
        <f>IF($C225="",99,IF(AND($BE225&lt;1,AC$3&gt;=MAX(N($P225),N($S225))),7,99))</f>
        <v/>
      </c>
      <c r="BT225">
        <f>IF($C225="",99,IF(AND($BF225&lt;1,AD$3&gt;=MAX(N($P225),N($S225))),8,99))</f>
        <v/>
      </c>
      <c r="BU225">
        <f>IF($C225="",99,IF(AND($BG225&lt;1,AE$3&gt;=MAX(N($P225),N($S225))),9,99))</f>
        <v/>
      </c>
      <c r="BV225">
        <f>IF($C225="",99,IF(AND($BH225&lt;1,AF$3&gt;=MAX(N($P225),N($S225))),10,99))</f>
        <v/>
      </c>
      <c r="BW225">
        <f>IF($C225="",99,IF(AND($BI225&lt;1,AG$3&gt;=MAX(N($P225),N($S225))),11,99))</f>
        <v/>
      </c>
      <c r="BX225">
        <f>IF($C225="",99,IF(AND($BJ225&lt;1,AH$3&gt;=MAX(N($P225),N($S225))),12,99))</f>
        <v/>
      </c>
      <c r="BY225">
        <f>IF($C225="",99,IF(AND($BK225&lt;1,AI$3&gt;=MAX(N($P225),N($S225))),13,99))</f>
        <v/>
      </c>
      <c r="BZ225">
        <f>IF(OR($C225="",$M225=""),"",COUNTIF($AJ225:$AW225,"&gt;=1"))</f>
        <v/>
      </c>
      <c r="CA225" s="90">
        <f>IF($BZ225="","",IF($BZ225&gt;=14,"",'設定'!$C$6+$BZ225))</f>
        <v/>
      </c>
      <c r="CB225">
        <f>IF(OR($C225="",$M225=""),"",MIN($BL225:$BY225))</f>
        <v/>
      </c>
      <c r="CC225" s="90">
        <f>IF($CB225="","",IF($CB225&gt;=99,"",'設定'!$C$6+$CB225))</f>
        <v/>
      </c>
      <c r="CD225">
        <f>IF(OR($C225="",$M225=""),"",AVERAGE($V225:$AI225))</f>
        <v/>
      </c>
      <c r="CE225">
        <f>IF($C225="","",IFERROR(IF(MATCH(IF(ISNUMBER($P225),$P225,'設定'!$C$6+N('設定'!$C$7)),$V$3:$AI$3,0)=1,MAX(0,N($L225)),INDEX($AJ225:$AW225,MATCH(IF(ISNUMBER($P225),$P225,'設定'!$C$6+N('設定'!$C$7)),$V$3:$AI$3,0)-1)),""))</f>
        <v/>
      </c>
      <c r="CF225">
        <f>IF(OR($C225="",$O225="",$CE225=""),"",IF($O225-$CE225&lt;=0,0,ROUNDUP(($O225-$CE225)/$G225,0)))</f>
        <v/>
      </c>
      <c r="CG225">
        <f>IF(OR($C225="",$CF225="",NOT(ISNUMBER($Q225))),0,MAX(0,$Q225-$CF225))</f>
        <v/>
      </c>
      <c r="CH225">
        <f>IF(OR($C225="",$O225="",$U225=0),0,IFERROR(ROUNDUP(MAX(0,IF(MATCH($S225,$V$3:$AI$3,0)=1,MAX(0,N($L225)),INDEX($AX225:$BK225,MATCH($S225,$V$3:$AI$3,0)-1))+$U225-$O225)/$G225,0),0))</f>
        <v/>
      </c>
      <c r="CI225">
        <f>IF($C225="","",IF(AND($P225="",$Q225=""),"",IF($P225="","⚠ 入庫日を ▼ から選んでください",IF(NOT(ISNUMBER($P225)),"⚠ 入庫日は ▼ から選んでください",IF($P225&lt;N('設定'!$C$6),"⚠ 入庫日が過去です（もう在庫に入っています）→ 消してください",IF($P225&gt;N('設定'!$C$6)+13,"⚠ 入庫日が14日より先です",IF(N($Q225)&lt;=0,"⚠ 入庫数を入れてください",IF($CG225&gt;0,"⚠ 目安より "&amp;$CG225&amp;" 多い（定数を超える）→ 減らす",""))))))))</f>
        <v/>
      </c>
      <c r="CJ225">
        <f>IF($C225="","",IF(AND($S225="",$T225=""),"",IF($S225="","⚠ 2便目：入庫日を ▼ から選んでください",IF(NOT(ISNUMBER($S225)),"⚠ 2便目：入庫日は ▼ から選んでください",IF($S225&lt;N('設定'!$C$6),"⚠ 2便目：入庫日が過去です（もう在庫に入っています）→ 消してください",IF($S225&gt;N('設定'!$C$6)+13,"⚠ 2便目：入庫日が14日より先です",IF(N($T225)&lt;=0,"⚠ 2便目：入庫数を入れてください",IF($CH225&gt;0,"⚠ 2便目：定数を "&amp;$CH225&amp;" ケース超える → 減らす",""))))))))</f>
        <v/>
      </c>
      <c r="CK225">
        <f>IF(AND($CI225="",N($Q225)&gt;0,ISNUMBER($P225)),1,0)</f>
        <v/>
      </c>
      <c r="CL225">
        <f>IF(AND($CJ225="",N($T225)&gt;0,ISNUMBER($S225)),1,0)</f>
        <v/>
      </c>
      <c r="CM225">
        <f>IF(OR($CK225=1,$CL225=1),1,0)</f>
        <v/>
      </c>
      <c r="CN225">
        <f>IF($C225="",0,($CK225*$R225+$CL225*$U225)*N($H225))</f>
        <v/>
      </c>
      <c r="CO225">
        <f>IF($C225="","",IF($CC225="","入庫後は 14日以上もつ",IF($CC225-N('設定'!$C$7)&lt;='設定'!$C$6,"入庫後も "&amp;TEXT($CC225,"m/d")&amp;"("&amp;CHOOSE(WEEKDAY($CC225),"日","月","火","水","木","金","土")&amp;")"&amp;" に切れる　もう1便を至急発注","入庫後も "&amp;TEXT($CC225,"m/d")&amp;"("&amp;CHOOSE(WEEKDAY($CC225),"日","月","火","水","木","金","土")&amp;")"&amp;" に切れる　"&amp;TEXT($CC225-N('設定'!$C$7),"m/d")&amp;"("&amp;CHOOSE(WEEKDAY($CC225-N('設定'!$C$7)),"日","月","火","水","木","金","土")&amp;")"&amp;" までに次を発注")))</f>
        <v/>
      </c>
      <c r="CP225">
        <f>IF($C225="","",IF('設定'!$C$6="","？ ①在庫を貼る に今日のCSVが貼られていない",IF($CS225=1,"－ 今日のCSVに無い（終売？）",IF($L225&lt;0,"● 在庫がマイナス　数えて「数えた在庫」に入れる",IF($L225=0,"● 在庫なし　至急発注",IF($M225="","？ 減り数が未設定（商品マスタ）",IF($B$3=0,"？ 動員が未入力（動員を入れる）",IF($CA225="","○ 14日以上もつ",IF($BZ225&lt;N('設定'!$C$7),"● "&amp;TEXT($CA225,"m/d")&amp;"("&amp;CHOOSE(WEEKDAY($CA225),"日","月","火","水","木","金","土")&amp;")"&amp;" に切れる　至急発注",IF($BZ225=N('設定'!$C$7),"● "&amp;TEXT($CA225,"m/d")&amp;"("&amp;CHOOSE(WEEKDAY($CA225),"日","月","火","水","木","金","土")&amp;")"&amp;" に切れる　今日発注","△ "&amp;TEXT($CA225,"m/d")&amp;"("&amp;CHOOSE(WEEKDAY($CA225),"日","月","火","水","木","金","土")&amp;")"&amp;" に切れる　"&amp;TEXT($CA225-N('設定'!$C$7),"m/d")&amp;"("&amp;CHOOSE(WEEKDAY($CA225-N('設定'!$C$7)),"日","月","火","水","木","金","土")&amp;")"&amp;" までに発注"))))))))))</f>
        <v/>
      </c>
      <c r="CQ225">
        <f>IF($C225="","",IF(AND($P225="",$Q225="",$S225="",$T225=""),"",IF(AND($P225="",$Q225=""),"⚠ 先に1便目（左の入庫日・入庫数）に入れてください",IF($CI225&lt;&gt;"",$CI225,IF($CJ225&lt;&gt;"",$CJ225,IF($M225="","？ 減り数が未設定（発注書には載ります）",IF($B$3=0,"？ 動員が未入力（発注書には載ります）",IF(AND($CA225&lt;&gt;"",$P225&gt;$CA225),IF($P225&gt;'設定'!$C$6+N('設定'!$C$7),"● "&amp;TEXT($P225,"m/d")&amp;"("&amp;CHOOSE(WEEKDAY($P225),"日","月","火","水","木","金","土")&amp;")"&amp;" の入庫では間に合わない（"&amp;TEXT($CA225,"m/d")&amp;"("&amp;CHOOSE(WEEKDAY($CA225),"日","月","火","水","木","金","土")&amp;")"&amp;" に切れる）　入庫日を早める","△ 欠品 "&amp;TEXT($CA225,"m/d")&amp;"("&amp;CHOOSE(WEEKDAY($CA225),"日","月","火","水","木","金","土")&amp;")"&amp;"〜"&amp;TEXT($P225-1,"m/d")&amp;"("&amp;CHOOSE(WEEKDAY($P225-1),"日","月","火","水","木","金","土")&amp;")"&amp;"　"&amp;$CO225),IF($CC225="","○ "&amp;TEXT($P225,"m/d")&amp;"("&amp;CHOOSE(WEEKDAY($P225),"日","月","火","水","木","金","土")&amp;")"&amp;" 入庫で 14日以上もつ",IF($CC225-N('設定'!$C$7)&lt;='設定'!$C$6,"● 入庫しても "&amp;TEXT($CC225,"m/d")&amp;"("&amp;CHOOSE(WEEKDAY($CC225),"日","月","火","水","木","金","土")&amp;")"&amp;" に切れる　もう1便を至急発注（2便目に入れる）","△ 入庫しても "&amp;TEXT($CC225,"m/d")&amp;"("&amp;CHOOSE(WEEKDAY($CC225),"日","月","火","水","木","金","土")&amp;")"&amp;" に切れる　"&amp;TEXT($CC225-N('設定'!$C$7),"m/d")&amp;"("&amp;CHOOSE(WEEKDAY($CC225-N('設定'!$C$7)),"日","月","火","水","木","金","土")&amp;")"&amp;" までに次を発注（2便目に入れる）"))))))))))</f>
        <v/>
      </c>
      <c r="CR225">
        <f>IF($C225="","",IF($G225&gt;1,"ｹｰｽ("&amp;$G225&amp;"入)","個"))</f>
        <v/>
      </c>
      <c r="CS225">
        <f>IF($C225="",0,IF(COUNTIFS('①在庫を貼る'!$V$6:$V$10005,'設定'!$C$4,'①在庫を貼る'!$W$6:$W$10005,$C225)=0,1,0))</f>
        <v/>
      </c>
      <c r="CT225">
        <f>IF(AND($CK225=1,OR('③発注書'!$C$4="すべて",'③発注書'!$C$4="",$F225='③発注書'!$C$4)),N($CT224)+1,N($CT224))</f>
        <v/>
      </c>
      <c r="CU225">
        <f>IF(AND($CL225=1,OR('③発注書'!$C$4="すべて",'③発注書'!$C$4="",$F225='③発注書'!$C$4)),N($CU224)+1,N($CU224))</f>
        <v/>
      </c>
      <c r="CV225">
        <f>IF($C225="",0,IF(COUNTIFS('①在庫を貼る'!$V$6:$V$10005,'設定'!$C$4,'①在庫を貼る'!$W$6:$W$10005,$C225)&gt;0,1,0))</f>
        <v/>
      </c>
      <c r="CW225">
        <f>IF($C225="",0,IF(COUNTIFS('月1回_1ヶ月前の在庫'!$V$6:$V$10005,'設定'!$C$4,'月1回_1ヶ月前の在庫'!$W$6:$W$10005,$C225)&gt;0,1,0))</f>
        <v/>
      </c>
      <c r="CX225">
        <f>IF($C225="",0,IF(COUNTIFS('月1回_2ヶ月前の在庫'!$V$6:$V$10005,'設定'!$C$4,'月1回_2ヶ月前の在庫'!$W$6:$W$10005,$C225)&gt;0,1,0))</f>
        <v/>
      </c>
      <c r="CY225">
        <f>IF(OR($C225="",'設定'!$C$12=""),"",IF('設定'!$C$13="",IF(AND($CV225=1,$CW225=0),"新商品（今月から）",IF(AND($CV225=0,$CW225=1),"終売（今月から）","")),IF(AND($CV225=1,$CW225=0,$CX225=0),"新商品（今月から）",IF(AND($CV225=1,$CW225=1,$CX225=0),"新商品（先月から）",IF(AND($CV225=0,$CW225=1,$CX225=1),"終売（今月から）",IF(AND($CV225=0,$CW225=0,$CX225=1),"終売（先月から）",IF(AND($CV225=1,$CW225=0,$CX225=1),"復活（先月は無し）","")))))))</f>
        <v/>
      </c>
    </row>
    <row r="226">
      <c r="B226">
        <f>IF(221&lt;='設定'!$C$11,221,"")</f>
        <v/>
      </c>
      <c r="C226">
        <f>IF($B226="","",IF($B226&lt;='設定'!$C$20,INDEX('商品マスタ'!$B$6:$B$1005,MATCH($B226,'商品マスタ'!$M$6:$M$1005,0)),IF($B226&lt;='設定'!$C$20+'設定'!$C$17,INDEX('①在庫を貼る'!$W$6:$W$10005,MATCH($B226-'設定'!$C$20,'①在庫を貼る'!$U$6:$U$10005,0)),IF($B226&lt;='設定'!$C$20+'設定'!$C$17+'設定'!$C$18,INDEX('月1回_1ヶ月前の在庫'!$W$6:$W$10005,MATCH($B226-'設定'!$C$20-'設定'!$C$17,'月1回_1ヶ月前の在庫'!$U$6:$U$10005,0)),INDEX('月1回_2ヶ月前の在庫'!$W$6:$W$10005,MATCH($B226-'設定'!$C$20-'設定'!$C$17-'設定'!$C$18,'月1回_2ヶ月前の在庫'!$U$6:$U$10005,0))))))</f>
        <v/>
      </c>
      <c r="D226">
        <f>IF($C226="","",IFERROR(IF(INDEX('商品マスタ'!$C$6:$C$1005,MATCH($C226,'商品マスタ'!$B$6:$B$1005,0))="",IFERROR(INDEX('①在庫を貼る'!$J$6:$J$10005,MATCH($C226,'①在庫を貼る'!$W$6:$W$10005,0)),IFERROR(INDEX('月1回_1ヶ月前の在庫'!$J$6:$J$10005,MATCH($C226,'月1回_1ヶ月前の在庫'!$W$6:$W$10005,0)),IFERROR(INDEX('月1回_2ヶ月前の在庫'!$J$6:$J$10005,MATCH($C226,'月1回_2ヶ月前の在庫'!$W$6:$W$10005,0)),""))),INDEX('商品マスタ'!$C$6:$C$1005,MATCH($C226,'商品マスタ'!$B$6:$B$1005,0))),IFERROR(INDEX('①在庫を貼る'!$J$6:$J$10005,MATCH($C226,'①在庫を貼る'!$W$6:$W$10005,0)),IFERROR(INDEX('月1回_1ヶ月前の在庫'!$J$6:$J$10005,MATCH($C226,'月1回_1ヶ月前の在庫'!$W$6:$W$10005,0)),IFERROR(INDEX('月1回_2ヶ月前の在庫'!$J$6:$J$10005,MATCH($C226,'月1回_2ヶ月前の在庫'!$W$6:$W$10005,0)),"")))))</f>
        <v/>
      </c>
      <c r="E226">
        <f>IF($C226="","",IFERROR(IF(INDEX('商品マスタ'!$D$6:$D$1005,MATCH($C226,'商品マスタ'!$B$6:$B$1005,0))="",IFERROR(INDEX('①在庫を貼る'!$H$6:$H$10005,MATCH($C226,'①在庫を貼る'!$W$6:$W$10005,0)),IFERROR(INDEX('月1回_1ヶ月前の在庫'!$H$6:$H$10005,MATCH($C226,'月1回_1ヶ月前の在庫'!$W$6:$W$10005,0)),IFERROR(INDEX('月1回_2ヶ月前の在庫'!$H$6:$H$10005,MATCH($C226,'月1回_2ヶ月前の在庫'!$W$6:$W$10005,0)),""))),INDEX('商品マスタ'!$D$6:$D$1005,MATCH($C226,'商品マスタ'!$B$6:$B$1005,0))),IFERROR(INDEX('①在庫を貼る'!$H$6:$H$10005,MATCH($C226,'①在庫を貼る'!$W$6:$W$10005,0)),IFERROR(INDEX('月1回_1ヶ月前の在庫'!$H$6:$H$10005,MATCH($C226,'月1回_1ヶ月前の在庫'!$W$6:$W$10005,0)),IFERROR(INDEX('月1回_2ヶ月前の在庫'!$H$6:$H$10005,MATCH($C226,'月1回_2ヶ月前の在庫'!$W$6:$W$10005,0)),"")))))</f>
        <v/>
      </c>
      <c r="F226">
        <f>IF($C226="","",IFERROR(IF(INDEX('商品マスタ'!$E$6:$E$1005,MATCH($C226,'商品マスタ'!$B$6:$B$1005,0))="",IFERROR(INDEX('①在庫を貼る'!$E$6:$E$10005,MATCH($C226,'①在庫を貼る'!$W$6:$W$10005,0)),IFERROR(INDEX('月1回_1ヶ月前の在庫'!$E$6:$E$10005,MATCH($C226,'月1回_1ヶ月前の在庫'!$W$6:$W$10005,0)),IFERROR(INDEX('月1回_2ヶ月前の在庫'!$E$6:$E$10005,MATCH($C226,'月1回_2ヶ月前の在庫'!$W$6:$W$10005,0)),""))),INDEX('商品マスタ'!$E$6:$E$1005,MATCH($C226,'商品マスタ'!$B$6:$B$1005,0))),IFERROR(INDEX('①在庫を貼る'!$E$6:$E$10005,MATCH($C226,'①在庫を貼る'!$W$6:$W$10005,0)),IFERROR(INDEX('月1回_1ヶ月前の在庫'!$E$6:$E$10005,MATCH($C226,'月1回_1ヶ月前の在庫'!$W$6:$W$10005,0)),IFERROR(INDEX('月1回_2ヶ月前の在庫'!$E$6:$E$10005,MATCH($C226,'月1回_2ヶ月前の在庫'!$W$6:$W$10005,0)),"")))))</f>
        <v/>
      </c>
      <c r="G226">
        <f>IF($C226="","",MAX(1,N(IFERROR(IF(INDEX('商品マスタ'!$F$6:$F$1005,MATCH($C226,'商品マスタ'!$B$6:$B$1005,0))="",IF(COUNTIFS('①在庫を貼る'!$V$6:$V$10005,'設定'!$C$4,'①在庫を貼る'!$W$6:$W$10005,$C226)&gt;0,SUMIFS('①在庫を貼る'!$K$6:$K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K$6:$K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K$6:$K$10005,'月1回_2ヶ月前の在庫'!$V$6:$V$10005,'設定'!$C$4,'月1回_2ヶ月前の在庫'!$W$6:$W$10005,$C226)/COUNTIFS('月1回_2ヶ月前の在庫'!$V$6:$V$10005,'設定'!$C$4,'月1回_2ヶ月前の在庫'!$W$6:$W$10005,$C226),0))),INDEX('商品マスタ'!$F$6:$F$1005,MATCH($C226,'商品マスタ'!$B$6:$B$1005,0))),IF(COUNTIFS('①在庫を貼る'!$V$6:$V$10005,'設定'!$C$4,'①在庫を貼る'!$W$6:$W$10005,$C226)&gt;0,SUMIFS('①在庫を貼る'!$K$6:$K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K$6:$K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K$6:$K$10005,'月1回_2ヶ月前の在庫'!$V$6:$V$10005,'設定'!$C$4,'月1回_2ヶ月前の在庫'!$W$6:$W$10005,$C226)/COUNTIFS('月1回_2ヶ月前の在庫'!$V$6:$V$10005,'設定'!$C$4,'月1回_2ヶ月前の在庫'!$W$6:$W$10005,$C226),0)))))))</f>
        <v/>
      </c>
      <c r="H226">
        <f>IF($C226="","",N(IFERROR(IF(INDEX('商品マスタ'!$G$6:$G$1005,MATCH($C226,'商品マスタ'!$B$6:$B$1005,0))="",IF(COUNTIFS('①在庫を貼る'!$V$6:$V$10005,'設定'!$C$4,'①在庫を貼る'!$W$6:$W$10005,$C226)&gt;0,SUMIFS('①在庫を貼る'!$Q$6:$Q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Q$6:$Q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Q$6:$Q$10005,'月1回_2ヶ月前の在庫'!$V$6:$V$10005,'設定'!$C$4,'月1回_2ヶ月前の在庫'!$W$6:$W$10005,$C226)/COUNTIFS('月1回_2ヶ月前の在庫'!$V$6:$V$10005,'設定'!$C$4,'月1回_2ヶ月前の在庫'!$W$6:$W$10005,$C226),0))),INDEX('商品マスタ'!$G$6:$G$1005,MATCH($C226,'商品マスタ'!$B$6:$B$1005,0))),IF(COUNTIFS('①在庫を貼る'!$V$6:$V$10005,'設定'!$C$4,'①在庫を貼る'!$W$6:$W$10005,$C226)&gt;0,SUMIFS('①在庫を貼る'!$Q$6:$Q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Q$6:$Q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Q$6:$Q$10005,'月1回_2ヶ月前の在庫'!$V$6:$V$10005,'設定'!$C$4,'月1回_2ヶ月前の在庫'!$W$6:$W$10005,$C226)/COUNTIFS('月1回_2ヶ月前の在庫'!$V$6:$V$10005,'設定'!$C$4,'月1回_2ヶ月前の在庫'!$W$6:$W$10005,$C226),0))))))</f>
        <v/>
      </c>
      <c r="I226">
        <f>IF($C226="","",IF(COUNTIFS('①在庫を貼る'!$V$6:$V$10005,'設定'!$C$4,'①在庫を貼る'!$W$6:$W$10005,$C226)=0,"",SUMIFS('①在庫を貼る'!$N$6:$N$10005,'①在庫を貼る'!$V$6:$V$10005,'設定'!$C$4,'①在庫を貼る'!$W$6:$W$10005,$C226)))</f>
        <v/>
      </c>
      <c r="J226">
        <f>IF($C226="","",IF('②発注する'!$AD230="","",'②発注する'!$AD230))</f>
        <v/>
      </c>
      <c r="K226" s="90">
        <f>IF($C226="","",IF('②発注する'!$AE230="","",'②発注する'!$AE230))</f>
        <v/>
      </c>
      <c r="L226">
        <f>IF($C226="","",IF(AND(ISNUMBER($J226),ISNUMBER($K226),$K226&gt;='設定'!$C$6),$J226,N($I226)))</f>
        <v/>
      </c>
      <c r="M226">
        <f>IF($C226="","",IFERROR(IF(N(INDEX('商品マスタ'!$J$6:$J$1005,MATCH($C226,'商品マスタ'!$B$6:$B$1005,0)))&gt;0,INDEX('商品マスタ'!$J$6:$J$1005,MATCH($C226,'商品マスタ'!$B$6:$B$1005,0)),""),""))</f>
        <v/>
      </c>
      <c r="N226">
        <f>IF($C226="","",IFERROR(IF(N(INDEX('商品マスタ'!$H$6:$H$1005,MATCH($C226,'商品マスタ'!$B$6:$B$1005,0)))&gt;0,INDEX('商品マスタ'!$H$6:$H$1005,MATCH($C226,'商品マスタ'!$B$6:$B$1005,0)),""),""))</f>
        <v/>
      </c>
      <c r="O226">
        <f>IF($C226="","",IF($N226&lt;&gt;"",$N226*$G226,IF(N(IF(COUNTIFS('①在庫を貼る'!$V$6:$V$10005,'設定'!$C$4,'①在庫を貼る'!$W$6:$W$10005,$C226)&gt;0,SUMIFS('①在庫を貼る'!$O$6:$O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O$6:$O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O$6:$O$10005,'月1回_2ヶ月前の在庫'!$V$6:$V$10005,'設定'!$C$4,'月1回_2ヶ月前の在庫'!$W$6:$W$10005,$C226)/COUNTIFS('月1回_2ヶ月前の在庫'!$V$6:$V$10005,'設定'!$C$4,'月1回_2ヶ月前の在庫'!$W$6:$W$10005,$C226),0))))&gt;0,N(IF(COUNTIFS('①在庫を貼る'!$V$6:$V$10005,'設定'!$C$4,'①在庫を貼る'!$W$6:$W$10005,$C226)&gt;0,SUMIFS('①在庫を貼る'!$O$6:$O$10005,'①在庫を貼る'!$V$6:$V$10005,'設定'!$C$4,'①在庫を貼る'!$W$6:$W$10005,$C226)/COUNTIFS('①在庫を貼る'!$V$6:$V$10005,'設定'!$C$4,'①在庫を貼る'!$W$6:$W$10005,$C226),IF(COUNTIFS('月1回_1ヶ月前の在庫'!$V$6:$V$10005,'設定'!$C$4,'月1回_1ヶ月前の在庫'!$W$6:$W$10005,$C226)&gt;0,SUMIFS('月1回_1ヶ月前の在庫'!$O$6:$O$10005,'月1回_1ヶ月前の在庫'!$V$6:$V$10005,'設定'!$C$4,'月1回_1ヶ月前の在庫'!$W$6:$W$10005,$C226)/COUNTIFS('月1回_1ヶ月前の在庫'!$V$6:$V$10005,'設定'!$C$4,'月1回_1ヶ月前の在庫'!$W$6:$W$10005,$C226),IF(COUNTIFS('月1回_2ヶ月前の在庫'!$V$6:$V$10005,'設定'!$C$4,'月1回_2ヶ月前の在庫'!$W$6:$W$10005,$C226)&gt;0,SUMIFS('月1回_2ヶ月前の在庫'!$O$6:$O$10005,'月1回_2ヶ月前の在庫'!$V$6:$V$10005,'設定'!$C$4,'月1回_2ヶ月前の在庫'!$W$6:$W$10005,$C226)/COUNTIFS('月1回_2ヶ月前の在庫'!$V$6:$V$10005,'設定'!$C$4,'月1回_2ヶ月前の在庫'!$W$6:$W$10005,$C226),0)))),"")))</f>
        <v/>
      </c>
      <c r="P226" s="90">
        <f>IF($C226="","",IF('②発注する'!$I230="","",'②発注する'!$I230))</f>
        <v/>
      </c>
      <c r="Q226">
        <f>IF($C226="","",IF('②発注する'!$J230="","",'②発注する'!$J230))</f>
        <v/>
      </c>
      <c r="R226">
        <f>IF($C226="",0,IF(AND(ISNUMBER($P226),ISNUMBER($Q226)),MAX(0,$Q226)*$G226,0))</f>
        <v/>
      </c>
      <c r="S226" s="90">
        <f>IF($C226="","",IF('②発注する'!$M230="","",'②発注する'!$M230))</f>
        <v/>
      </c>
      <c r="T226">
        <f>IF($C226="","",IF('②発注する'!$N230="","",'②発注する'!$N230))</f>
        <v/>
      </c>
      <c r="U226">
        <f>IF($C226="",0,IF(AND(ISNUMBER($S226),ISNUMBER($T226)),MAX(0,$T226)*$G226,0))</f>
        <v/>
      </c>
      <c r="V226">
        <f>IF($C226="",0,IF($M226="",0,MAX(0,$M226)*MAX(0,V$4)/100))</f>
        <v/>
      </c>
      <c r="W226">
        <f>IF($C226="",0,IF($M226="",0,MAX(0,$M226)*MAX(0,W$4)/100))</f>
        <v/>
      </c>
      <c r="X226">
        <f>IF($C226="",0,IF($M226="",0,MAX(0,$M226)*MAX(0,X$4)/100))</f>
        <v/>
      </c>
      <c r="Y226">
        <f>IF($C226="",0,IF($M226="",0,MAX(0,$M226)*MAX(0,Y$4)/100))</f>
        <v/>
      </c>
      <c r="Z226">
        <f>IF($C226="",0,IF($M226="",0,MAX(0,$M226)*MAX(0,Z$4)/100))</f>
        <v/>
      </c>
      <c r="AA226">
        <f>IF($C226="",0,IF($M226="",0,MAX(0,$M226)*MAX(0,AA$4)/100))</f>
        <v/>
      </c>
      <c r="AB226">
        <f>IF($C226="",0,IF($M226="",0,MAX(0,$M226)*MAX(0,AB$4)/100))</f>
        <v/>
      </c>
      <c r="AC226">
        <f>IF($C226="",0,IF($M226="",0,MAX(0,$M226)*MAX(0,AC$4)/100))</f>
        <v/>
      </c>
      <c r="AD226">
        <f>IF($C226="",0,IF($M226="",0,MAX(0,$M226)*MAX(0,AD$4)/100))</f>
        <v/>
      </c>
      <c r="AE226">
        <f>IF($C226="",0,IF($M226="",0,MAX(0,$M226)*MAX(0,AE$4)/100))</f>
        <v/>
      </c>
      <c r="AF226">
        <f>IF($C226="",0,IF($M226="",0,MAX(0,$M226)*MAX(0,AF$4)/100))</f>
        <v/>
      </c>
      <c r="AG226">
        <f>IF($C226="",0,IF($M226="",0,MAX(0,$M226)*MAX(0,AG$4)/100))</f>
        <v/>
      </c>
      <c r="AH226">
        <f>IF($C226="",0,IF($M226="",0,MAX(0,$M226)*MAX(0,AH$4)/100))</f>
        <v/>
      </c>
      <c r="AI226">
        <f>IF($C226="",0,IF($M226="",0,MAX(0,$M226)*MAX(0,AI$4)/100))</f>
        <v/>
      </c>
      <c r="AJ226">
        <f>IF($C226="",0,MAX(0,MAX(0,N($L226))-$V226))</f>
        <v/>
      </c>
      <c r="AK226">
        <f>IF($C226="",0,MAX(0,$AJ226-$W226))</f>
        <v/>
      </c>
      <c r="AL226">
        <f>IF($C226="",0,MAX(0,$AK226-$X226))</f>
        <v/>
      </c>
      <c r="AM226">
        <f>IF($C226="",0,MAX(0,$AL226-$Y226))</f>
        <v/>
      </c>
      <c r="AN226">
        <f>IF($C226="",0,MAX(0,$AM226-$Z226))</f>
        <v/>
      </c>
      <c r="AO226">
        <f>IF($C226="",0,MAX(0,$AN226-$AA226))</f>
        <v/>
      </c>
      <c r="AP226">
        <f>IF($C226="",0,MAX(0,$AO226-$AB226))</f>
        <v/>
      </c>
      <c r="AQ226">
        <f>IF($C226="",0,MAX(0,$AP226-$AC226))</f>
        <v/>
      </c>
      <c r="AR226">
        <f>IF($C226="",0,MAX(0,$AQ226-$AD226))</f>
        <v/>
      </c>
      <c r="AS226">
        <f>IF($C226="",0,MAX(0,$AR226-$AE226))</f>
        <v/>
      </c>
      <c r="AT226">
        <f>IF($C226="",0,MAX(0,$AS226-$AF226))</f>
        <v/>
      </c>
      <c r="AU226">
        <f>IF($C226="",0,MAX(0,$AT226-$AG226))</f>
        <v/>
      </c>
      <c r="AV226">
        <f>IF($C226="",0,MAX(0,$AU226-$AH226))</f>
        <v/>
      </c>
      <c r="AW226">
        <f>IF($C226="",0,MAX(0,$AV226-$AI226))</f>
        <v/>
      </c>
      <c r="AX226">
        <f>IF($C226="",0,MAX(0,MAX(0,N($L226))+IF($P226=V$3,$R226,0)+IF($S226=V$3,$U226,0)-$V226))</f>
        <v/>
      </c>
      <c r="AY226">
        <f>IF($C226="",0,MAX(0,$AX226+IF($P226=W$3,$R226,0)+IF($S226=W$3,$U226,0)-$W226))</f>
        <v/>
      </c>
      <c r="AZ226">
        <f>IF($C226="",0,MAX(0,$AY226+IF($P226=X$3,$R226,0)+IF($S226=X$3,$U226,0)-$X226))</f>
        <v/>
      </c>
      <c r="BA226">
        <f>IF($C226="",0,MAX(0,$AZ226+IF($P226=Y$3,$R226,0)+IF($S226=Y$3,$U226,0)-$Y226))</f>
        <v/>
      </c>
      <c r="BB226">
        <f>IF($C226="",0,MAX(0,$BA226+IF($P226=Z$3,$R226,0)+IF($S226=Z$3,$U226,0)-$Z226))</f>
        <v/>
      </c>
      <c r="BC226">
        <f>IF($C226="",0,MAX(0,$BB226+IF($P226=AA$3,$R226,0)+IF($S226=AA$3,$U226,0)-$AA226))</f>
        <v/>
      </c>
      <c r="BD226">
        <f>IF($C226="",0,MAX(0,$BC226+IF($P226=AB$3,$R226,0)+IF($S226=AB$3,$U226,0)-$AB226))</f>
        <v/>
      </c>
      <c r="BE226">
        <f>IF($C226="",0,MAX(0,$BD226+IF($P226=AC$3,$R226,0)+IF($S226=AC$3,$U226,0)-$AC226))</f>
        <v/>
      </c>
      <c r="BF226">
        <f>IF($C226="",0,MAX(0,$BE226+IF($P226=AD$3,$R226,0)+IF($S226=AD$3,$U226,0)-$AD226))</f>
        <v/>
      </c>
      <c r="BG226">
        <f>IF($C226="",0,MAX(0,$BF226+IF($P226=AE$3,$R226,0)+IF($S226=AE$3,$U226,0)-$AE226))</f>
        <v/>
      </c>
      <c r="BH226">
        <f>IF($C226="",0,MAX(0,$BG226+IF($P226=AF$3,$R226,0)+IF($S226=AF$3,$U226,0)-$AF226))</f>
        <v/>
      </c>
      <c r="BI226">
        <f>IF($C226="",0,MAX(0,$BH226+IF($P226=AG$3,$R226,0)+IF($S226=AG$3,$U226,0)-$AG226))</f>
        <v/>
      </c>
      <c r="BJ226">
        <f>IF($C226="",0,MAX(0,$BI226+IF($P226=AH$3,$R226,0)+IF($S226=AH$3,$U226,0)-$AH226))</f>
        <v/>
      </c>
      <c r="BK226">
        <f>IF($C226="",0,MAX(0,$BJ226+IF($P226=AI$3,$R226,0)+IF($S226=AI$3,$U226,0)-$AI226))</f>
        <v/>
      </c>
      <c r="BL226">
        <f>IF($C226="",99,IF(AND($AX226&lt;1,V$3&gt;=MAX(N($P226),N($S226))),0,99))</f>
        <v/>
      </c>
      <c r="BM226">
        <f>IF($C226="",99,IF(AND($AY226&lt;1,W$3&gt;=MAX(N($P226),N($S226))),1,99))</f>
        <v/>
      </c>
      <c r="BN226">
        <f>IF($C226="",99,IF(AND($AZ226&lt;1,X$3&gt;=MAX(N($P226),N($S226))),2,99))</f>
        <v/>
      </c>
      <c r="BO226">
        <f>IF($C226="",99,IF(AND($BA226&lt;1,Y$3&gt;=MAX(N($P226),N($S226))),3,99))</f>
        <v/>
      </c>
      <c r="BP226">
        <f>IF($C226="",99,IF(AND($BB226&lt;1,Z$3&gt;=MAX(N($P226),N($S226))),4,99))</f>
        <v/>
      </c>
      <c r="BQ226">
        <f>IF($C226="",99,IF(AND($BC226&lt;1,AA$3&gt;=MAX(N($P226),N($S226))),5,99))</f>
        <v/>
      </c>
      <c r="BR226">
        <f>IF($C226="",99,IF(AND($BD226&lt;1,AB$3&gt;=MAX(N($P226),N($S226))),6,99))</f>
        <v/>
      </c>
      <c r="BS226">
        <f>IF($C226="",99,IF(AND($BE226&lt;1,AC$3&gt;=MAX(N($P226),N($S226))),7,99))</f>
        <v/>
      </c>
      <c r="BT226">
        <f>IF($C226="",99,IF(AND($BF226&lt;1,AD$3&gt;=MAX(N($P226),N($S226))),8,99))</f>
        <v/>
      </c>
      <c r="BU226">
        <f>IF($C226="",99,IF(AND($BG226&lt;1,AE$3&gt;=MAX(N($P226),N($S226))),9,99))</f>
        <v/>
      </c>
      <c r="BV226">
        <f>IF($C226="",99,IF(AND($BH226&lt;1,AF$3&gt;=MAX(N($P226),N($S226))),10,99))</f>
        <v/>
      </c>
      <c r="BW226">
        <f>IF($C226="",99,IF(AND($BI226&lt;1,AG$3&gt;=MAX(N($P226),N($S226))),11,99))</f>
        <v/>
      </c>
      <c r="BX226">
        <f>IF($C226="",99,IF(AND($BJ226&lt;1,AH$3&gt;=MAX(N($P226),N($S226))),12,99))</f>
        <v/>
      </c>
      <c r="BY226">
        <f>IF($C226="",99,IF(AND($BK226&lt;1,AI$3&gt;=MAX(N($P226),N($S226))),13,99))</f>
        <v/>
      </c>
      <c r="BZ226">
        <f>IF(OR($C226="",$M226=""),"",COUNTIF($AJ226:$AW226,"&gt;=1"))</f>
        <v/>
      </c>
      <c r="CA226" s="90">
        <f>IF($BZ226="","",IF($BZ226&gt;=14,"",'設定'!$C$6+$BZ226))</f>
        <v/>
      </c>
      <c r="CB226">
        <f>IF(OR($C226="",$M226=""),"",MIN($BL226:$BY226))</f>
        <v/>
      </c>
      <c r="CC226" s="90">
        <f>IF($CB226="","",IF($CB226&gt;=99,"",'設定'!$C$6+$CB226))</f>
        <v/>
      </c>
      <c r="CD226">
        <f>IF(OR($C226="",$M226=""),"",AVERAGE($V226:$AI226))</f>
        <v/>
      </c>
      <c r="CE226">
        <f>IF($C226="","",IFERROR(IF(MATCH(IF(ISNUMBER($P226),$P226,'設定'!$C$6+N('設定'!$C$7)),$V$3:$AI$3,0)=1,MAX(0,N($L226)),INDEX($AJ226:$AW226,MATCH(IF(ISNUMBER($P226),$P226,'設定'!$C$6+N('設定'!$C$7)),$V$3:$AI$3,0)-1)),""))</f>
        <v/>
      </c>
      <c r="CF226">
        <f>IF(OR($C226="",$O226="",$CE226=""),"",IF($O226-$CE226&lt;=0,0,ROUNDUP(($O226-$CE226)/$G226,0)))</f>
        <v/>
      </c>
      <c r="CG226">
        <f>IF(OR($C226="",$CF226="",NOT(ISNUMBER($Q226))),0,MAX(0,$Q226-$CF226))</f>
        <v/>
      </c>
      <c r="CH226">
        <f>IF(OR($C226="",$O226="",$U226=0),0,IFERROR(ROUNDUP(MAX(0,IF(MATCH($S226,$V$3:$AI$3,0)=1,MAX(0,N($L226)),INDEX($AX226:$BK226,MATCH($S226,$V$3:$AI$3,0)-1))+$U226-$O226)/$G226,0),0))</f>
        <v/>
      </c>
      <c r="CI226">
        <f>IF($C226="","",IF(AND($P226="",$Q226=""),"",IF($P226="","⚠ 入庫日を ▼ から選んでください",IF(NOT(ISNUMBER($P226)),"⚠ 入庫日は ▼ から選んでください",IF($P226&lt;N('設定'!$C$6),"⚠ 入庫日が過去です（もう在庫に入っています）→ 消してください",IF($P226&gt;N('設定'!$C$6)+13,"⚠ 入庫日が14日より先です",IF(N($Q226)&lt;=0,"⚠ 入庫数を入れてください",IF($CG226&gt;0,"⚠ 目安より "&amp;$CG226&amp;" 多い（定数を超える）→ 減らす",""))))))))</f>
        <v/>
      </c>
      <c r="CJ226">
        <f>IF($C226="","",IF(AND($S226="",$T226=""),"",IF($S226="","⚠ 2便目：入庫日を ▼ から選んでください",IF(NOT(ISNUMBER($S226)),"⚠ 2便目：入庫日は ▼ から選んでください",IF($S226&lt;N('設定'!$C$6),"⚠ 2便目：入庫日が過去です（もう在庫に入っています）→ 消してください",IF($S226&gt;N('設定'!$C$6)+13,"⚠ 2便目：入庫日が14日より先です",IF(N($T226)&lt;=0,"⚠ 2便目：入庫数を入れてください",IF($CH226&gt;0,"⚠ 2便目：定数を "&amp;$CH226&amp;" ケース超える → 減らす",""))))))))</f>
        <v/>
      </c>
      <c r="CK226">
        <f>IF(AND($CI226="",N($Q226)&gt;0,ISNUMBER($P226)),1,0)</f>
        <v/>
      </c>
      <c r="CL226">
        <f>IF(AND($CJ226="",N($T226)&gt;0,ISNUMBER($S226)),1,0)</f>
        <v/>
      </c>
      <c r="CM226">
        <f>IF(OR($CK226=1,$CL226=1),1,0)</f>
        <v/>
      </c>
      <c r="CN226">
        <f>IF($C226="",0,($CK226*$R226+$CL226*$U226)*N($H226))</f>
        <v/>
      </c>
      <c r="CO226">
        <f>IF($C226="","",IF($CC226="","入庫後は 14日以上もつ",IF($CC226-N('設定'!$C$7)&lt;='設定'!$C$6,"入庫後も "&amp;TEXT($CC226,"m/d")&amp;"("&amp;CHOOSE(WEEKDAY($CC226),"日","月","火","水","木","金","土")&amp;")"&amp;" に切れる　もう1便を至急発注","入庫後も "&amp;TEXT($CC226,"m/d")&amp;"("&amp;CHOOSE(WEEKDAY($CC226),"日","月","火","水","木","金","土")&amp;")"&amp;" に切れる　"&amp;TEXT($CC226-N('設定'!$C$7),"m/d")&amp;"("&amp;CHOOSE(WEEKDAY($CC226-N('設定'!$C$7)),"日","月","火","水","木","金","土")&amp;")"&amp;" までに次を発注")))</f>
        <v/>
      </c>
      <c r="CP226">
        <f>IF($C226="","",IF('設定'!$C$6="","？ ①在庫を貼る に今日のCSVが貼られていない",IF($CS226=1,"－ 今日のCSVに無い（終売？）",IF($L226&lt;0,"● 在庫がマイナス　数えて「数えた在庫」に入れる",IF($L226=0,"● 在庫なし　至急発注",IF($M226="","？ 減り数が未設定（商品マスタ）",IF($B$3=0,"？ 動員が未入力（動員を入れる）",IF($CA226="","○ 14日以上もつ",IF($BZ226&lt;N('設定'!$C$7),"● "&amp;TEXT($CA226,"m/d")&amp;"("&amp;CHOOSE(WEEKDAY($CA226),"日","月","火","水","木","金","土")&amp;")"&amp;" に切れる　至急発注",IF($BZ226=N('設定'!$C$7),"● "&amp;TEXT($CA226,"m/d")&amp;"("&amp;CHOOSE(WEEKDAY($CA226),"日","月","火","水","木","金","土")&amp;")"&amp;" に切れる　今日発注","△ "&amp;TEXT($CA226,"m/d")&amp;"("&amp;CHOOSE(WEEKDAY($CA226),"日","月","火","水","木","金","土")&amp;")"&amp;" に切れる　"&amp;TEXT($CA226-N('設定'!$C$7),"m/d")&amp;"("&amp;CHOOSE(WEEKDAY($CA226-N('設定'!$C$7)),"日","月","火","水","木","金","土")&amp;")"&amp;" までに発注"))))))))))</f>
        <v/>
      </c>
      <c r="CQ226">
        <f>IF($C226="","",IF(AND($P226="",$Q226="",$S226="",$T226=""),"",IF(AND($P226="",$Q226=""),"⚠ 先に1便目（左の入庫日・入庫数）に入れてください",IF($CI226&lt;&gt;"",$CI226,IF($CJ226&lt;&gt;"",$CJ226,IF($M226="","？ 減り数が未設定（発注書には載ります）",IF($B$3=0,"？ 動員が未入力（発注書には載ります）",IF(AND($CA226&lt;&gt;"",$P226&gt;$CA226),IF($P226&gt;'設定'!$C$6+N('設定'!$C$7),"● "&amp;TEXT($P226,"m/d")&amp;"("&amp;CHOOSE(WEEKDAY($P226),"日","月","火","水","木","金","土")&amp;")"&amp;" の入庫では間に合わない（"&amp;TEXT($CA226,"m/d")&amp;"("&amp;CHOOSE(WEEKDAY($CA226),"日","月","火","水","木","金","土")&amp;")"&amp;" に切れる）　入庫日を早める","△ 欠品 "&amp;TEXT($CA226,"m/d")&amp;"("&amp;CHOOSE(WEEKDAY($CA226),"日","月","火","水","木","金","土")&amp;")"&amp;"〜"&amp;TEXT($P226-1,"m/d")&amp;"("&amp;CHOOSE(WEEKDAY($P226-1),"日","月","火","水","木","金","土")&amp;")"&amp;"　"&amp;$CO226),IF($CC226="","○ "&amp;TEXT($P226,"m/d")&amp;"("&amp;CHOOSE(WEEKDAY($P226),"日","月","火","水","木","金","土")&amp;")"&amp;" 入庫で 14日以上もつ",IF($CC226-N('設定'!$C$7)&lt;='設定'!$C$6,"● 入庫しても "&amp;TEXT($CC226,"m/d")&amp;"("&amp;CHOOSE(WEEKDAY($CC226),"日","月","火","水","木","金","土")&amp;")"&amp;" に切れる　もう1便を至急発注（2便目に入れる）","△ 入庫しても "&amp;TEXT($CC226,"m/d")&amp;"("&amp;CHOOSE(WEEKDAY($CC226),"日","月","火","水","木","金","土")&amp;")"&amp;" に切れる　"&amp;TEXT($CC226-N('設定'!$C$7),"m/d")&amp;"("&amp;CHOOSE(WEEKDAY($CC226-N('設定'!$C$7)),"日","月","火","水","木","金","土")&amp;")"&amp;" までに次を発注（2便目に入れる）"))))))))))</f>
        <v/>
      </c>
      <c r="CR226">
        <f>IF($C226="","",IF($G226&gt;1,"ｹｰｽ("&amp;$G226&amp;"入)","個"))</f>
        <v/>
      </c>
      <c r="CS226">
        <f>IF($C226="",0,IF(COUNTIFS('①在庫を貼る'!$V$6:$V$10005,'設定'!$C$4,'①在庫を貼る'!$W$6:$W$10005,$C226)=0,1,0))</f>
        <v/>
      </c>
      <c r="CT226">
        <f>IF(AND($CK226=1,OR('③発注書'!$C$4="すべて",'③発注書'!$C$4="",$F226='③発注書'!$C$4)),N($CT225)+1,N($CT225))</f>
        <v/>
      </c>
      <c r="CU226">
        <f>IF(AND($CL226=1,OR('③発注書'!$C$4="すべて",'③発注書'!$C$4="",$F226='③発注書'!$C$4)),N($CU225)+1,N($CU225))</f>
        <v/>
      </c>
      <c r="CV226">
        <f>IF($C226="",0,IF(COUNTIFS('①在庫を貼る'!$V$6:$V$10005,'設定'!$C$4,'①在庫を貼る'!$W$6:$W$10005,$C226)&gt;0,1,0))</f>
        <v/>
      </c>
      <c r="CW226">
        <f>IF($C226="",0,IF(COUNTIFS('月1回_1ヶ月前の在庫'!$V$6:$V$10005,'設定'!$C$4,'月1回_1ヶ月前の在庫'!$W$6:$W$10005,$C226)&gt;0,1,0))</f>
        <v/>
      </c>
      <c r="CX226">
        <f>IF($C226="",0,IF(COUNTIFS('月1回_2ヶ月前の在庫'!$V$6:$V$10005,'設定'!$C$4,'月1回_2ヶ月前の在庫'!$W$6:$W$10005,$C226)&gt;0,1,0))</f>
        <v/>
      </c>
      <c r="CY226">
        <f>IF(OR($C226="",'設定'!$C$12=""),"",IF('設定'!$C$13="",IF(AND($CV226=1,$CW226=0),"新商品（今月から）",IF(AND($CV226=0,$CW226=1),"終売（今月から）","")),IF(AND($CV226=1,$CW226=0,$CX226=0),"新商品（今月から）",IF(AND($CV226=1,$CW226=1,$CX226=0),"新商品（先月から）",IF(AND($CV226=0,$CW226=1,$CX226=1),"終売（今月から）",IF(AND($CV226=0,$CW226=0,$CX226=1),"終売（先月から）",IF(AND($CV226=1,$CW226=0,$CX226=1),"復活（先月は無し）","")))))))</f>
        <v/>
      </c>
    </row>
    <row r="227">
      <c r="B227">
        <f>IF(222&lt;='設定'!$C$11,222,"")</f>
        <v/>
      </c>
      <c r="C227">
        <f>IF($B227="","",IF($B227&lt;='設定'!$C$20,INDEX('商品マスタ'!$B$6:$B$1005,MATCH($B227,'商品マスタ'!$M$6:$M$1005,0)),IF($B227&lt;='設定'!$C$20+'設定'!$C$17,INDEX('①在庫を貼る'!$W$6:$W$10005,MATCH($B227-'設定'!$C$20,'①在庫を貼る'!$U$6:$U$10005,0)),IF($B227&lt;='設定'!$C$20+'設定'!$C$17+'設定'!$C$18,INDEX('月1回_1ヶ月前の在庫'!$W$6:$W$10005,MATCH($B227-'設定'!$C$20-'設定'!$C$17,'月1回_1ヶ月前の在庫'!$U$6:$U$10005,0)),INDEX('月1回_2ヶ月前の在庫'!$W$6:$W$10005,MATCH($B227-'設定'!$C$20-'設定'!$C$17-'設定'!$C$18,'月1回_2ヶ月前の在庫'!$U$6:$U$10005,0))))))</f>
        <v/>
      </c>
      <c r="D227">
        <f>IF($C227="","",IFERROR(IF(INDEX('商品マスタ'!$C$6:$C$1005,MATCH($C227,'商品マスタ'!$B$6:$B$1005,0))="",IFERROR(INDEX('①在庫を貼る'!$J$6:$J$10005,MATCH($C227,'①在庫を貼る'!$W$6:$W$10005,0)),IFERROR(INDEX('月1回_1ヶ月前の在庫'!$J$6:$J$10005,MATCH($C227,'月1回_1ヶ月前の在庫'!$W$6:$W$10005,0)),IFERROR(INDEX('月1回_2ヶ月前の在庫'!$J$6:$J$10005,MATCH($C227,'月1回_2ヶ月前の在庫'!$W$6:$W$10005,0)),""))),INDEX('商品マスタ'!$C$6:$C$1005,MATCH($C227,'商品マスタ'!$B$6:$B$1005,0))),IFERROR(INDEX('①在庫を貼る'!$J$6:$J$10005,MATCH($C227,'①在庫を貼る'!$W$6:$W$10005,0)),IFERROR(INDEX('月1回_1ヶ月前の在庫'!$J$6:$J$10005,MATCH($C227,'月1回_1ヶ月前の在庫'!$W$6:$W$10005,0)),IFERROR(INDEX('月1回_2ヶ月前の在庫'!$J$6:$J$10005,MATCH($C227,'月1回_2ヶ月前の在庫'!$W$6:$W$10005,0)),"")))))</f>
        <v/>
      </c>
      <c r="E227">
        <f>IF($C227="","",IFERROR(IF(INDEX('商品マスタ'!$D$6:$D$1005,MATCH($C227,'商品マスタ'!$B$6:$B$1005,0))="",IFERROR(INDEX('①在庫を貼る'!$H$6:$H$10005,MATCH($C227,'①在庫を貼る'!$W$6:$W$10005,0)),IFERROR(INDEX('月1回_1ヶ月前の在庫'!$H$6:$H$10005,MATCH($C227,'月1回_1ヶ月前の在庫'!$W$6:$W$10005,0)),IFERROR(INDEX('月1回_2ヶ月前の在庫'!$H$6:$H$10005,MATCH($C227,'月1回_2ヶ月前の在庫'!$W$6:$W$10005,0)),""))),INDEX('商品マスタ'!$D$6:$D$1005,MATCH($C227,'商品マスタ'!$B$6:$B$1005,0))),IFERROR(INDEX('①在庫を貼る'!$H$6:$H$10005,MATCH($C227,'①在庫を貼る'!$W$6:$W$10005,0)),IFERROR(INDEX('月1回_1ヶ月前の在庫'!$H$6:$H$10005,MATCH($C227,'月1回_1ヶ月前の在庫'!$W$6:$W$10005,0)),IFERROR(INDEX('月1回_2ヶ月前の在庫'!$H$6:$H$10005,MATCH($C227,'月1回_2ヶ月前の在庫'!$W$6:$W$10005,0)),"")))))</f>
        <v/>
      </c>
      <c r="F227">
        <f>IF($C227="","",IFERROR(IF(INDEX('商品マスタ'!$E$6:$E$1005,MATCH($C227,'商品マスタ'!$B$6:$B$1005,0))="",IFERROR(INDEX('①在庫を貼る'!$E$6:$E$10005,MATCH($C227,'①在庫を貼る'!$W$6:$W$10005,0)),IFERROR(INDEX('月1回_1ヶ月前の在庫'!$E$6:$E$10005,MATCH($C227,'月1回_1ヶ月前の在庫'!$W$6:$W$10005,0)),IFERROR(INDEX('月1回_2ヶ月前の在庫'!$E$6:$E$10005,MATCH($C227,'月1回_2ヶ月前の在庫'!$W$6:$W$10005,0)),""))),INDEX('商品マスタ'!$E$6:$E$1005,MATCH($C227,'商品マスタ'!$B$6:$B$1005,0))),IFERROR(INDEX('①在庫を貼る'!$E$6:$E$10005,MATCH($C227,'①在庫を貼る'!$W$6:$W$10005,0)),IFERROR(INDEX('月1回_1ヶ月前の在庫'!$E$6:$E$10005,MATCH($C227,'月1回_1ヶ月前の在庫'!$W$6:$W$10005,0)),IFERROR(INDEX('月1回_2ヶ月前の在庫'!$E$6:$E$10005,MATCH($C227,'月1回_2ヶ月前の在庫'!$W$6:$W$10005,0)),"")))))</f>
        <v/>
      </c>
      <c r="G227">
        <f>IF($C227="","",MAX(1,N(IFERROR(IF(INDEX('商品マスタ'!$F$6:$F$1005,MATCH($C227,'商品マスタ'!$B$6:$B$1005,0))="",IF(COUNTIFS('①在庫を貼る'!$V$6:$V$10005,'設定'!$C$4,'①在庫を貼る'!$W$6:$W$10005,$C227)&gt;0,SUMIFS('①在庫を貼る'!$K$6:$K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K$6:$K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K$6:$K$10005,'月1回_2ヶ月前の在庫'!$V$6:$V$10005,'設定'!$C$4,'月1回_2ヶ月前の在庫'!$W$6:$W$10005,$C227)/COUNTIFS('月1回_2ヶ月前の在庫'!$V$6:$V$10005,'設定'!$C$4,'月1回_2ヶ月前の在庫'!$W$6:$W$10005,$C227),0))),INDEX('商品マスタ'!$F$6:$F$1005,MATCH($C227,'商品マスタ'!$B$6:$B$1005,0))),IF(COUNTIFS('①在庫を貼る'!$V$6:$V$10005,'設定'!$C$4,'①在庫を貼る'!$W$6:$W$10005,$C227)&gt;0,SUMIFS('①在庫を貼る'!$K$6:$K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K$6:$K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K$6:$K$10005,'月1回_2ヶ月前の在庫'!$V$6:$V$10005,'設定'!$C$4,'月1回_2ヶ月前の在庫'!$W$6:$W$10005,$C227)/COUNTIFS('月1回_2ヶ月前の在庫'!$V$6:$V$10005,'設定'!$C$4,'月1回_2ヶ月前の在庫'!$W$6:$W$10005,$C227),0)))))))</f>
        <v/>
      </c>
      <c r="H227">
        <f>IF($C227="","",N(IFERROR(IF(INDEX('商品マスタ'!$G$6:$G$1005,MATCH($C227,'商品マスタ'!$B$6:$B$1005,0))="",IF(COUNTIFS('①在庫を貼る'!$V$6:$V$10005,'設定'!$C$4,'①在庫を貼る'!$W$6:$W$10005,$C227)&gt;0,SUMIFS('①在庫を貼る'!$Q$6:$Q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Q$6:$Q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Q$6:$Q$10005,'月1回_2ヶ月前の在庫'!$V$6:$V$10005,'設定'!$C$4,'月1回_2ヶ月前の在庫'!$W$6:$W$10005,$C227)/COUNTIFS('月1回_2ヶ月前の在庫'!$V$6:$V$10005,'設定'!$C$4,'月1回_2ヶ月前の在庫'!$W$6:$W$10005,$C227),0))),INDEX('商品マスタ'!$G$6:$G$1005,MATCH($C227,'商品マスタ'!$B$6:$B$1005,0))),IF(COUNTIFS('①在庫を貼る'!$V$6:$V$10005,'設定'!$C$4,'①在庫を貼る'!$W$6:$W$10005,$C227)&gt;0,SUMIFS('①在庫を貼る'!$Q$6:$Q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Q$6:$Q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Q$6:$Q$10005,'月1回_2ヶ月前の在庫'!$V$6:$V$10005,'設定'!$C$4,'月1回_2ヶ月前の在庫'!$W$6:$W$10005,$C227)/COUNTIFS('月1回_2ヶ月前の在庫'!$V$6:$V$10005,'設定'!$C$4,'月1回_2ヶ月前の在庫'!$W$6:$W$10005,$C227),0))))))</f>
        <v/>
      </c>
      <c r="I227">
        <f>IF($C227="","",IF(COUNTIFS('①在庫を貼る'!$V$6:$V$10005,'設定'!$C$4,'①在庫を貼る'!$W$6:$W$10005,$C227)=0,"",SUMIFS('①在庫を貼る'!$N$6:$N$10005,'①在庫を貼る'!$V$6:$V$10005,'設定'!$C$4,'①在庫を貼る'!$W$6:$W$10005,$C227)))</f>
        <v/>
      </c>
      <c r="J227">
        <f>IF($C227="","",IF('②発注する'!$AD231="","",'②発注する'!$AD231))</f>
        <v/>
      </c>
      <c r="K227" s="90">
        <f>IF($C227="","",IF('②発注する'!$AE231="","",'②発注する'!$AE231))</f>
        <v/>
      </c>
      <c r="L227">
        <f>IF($C227="","",IF(AND(ISNUMBER($J227),ISNUMBER($K227),$K227&gt;='設定'!$C$6),$J227,N($I227)))</f>
        <v/>
      </c>
      <c r="M227">
        <f>IF($C227="","",IFERROR(IF(N(INDEX('商品マスタ'!$J$6:$J$1005,MATCH($C227,'商品マスタ'!$B$6:$B$1005,0)))&gt;0,INDEX('商品マスタ'!$J$6:$J$1005,MATCH($C227,'商品マスタ'!$B$6:$B$1005,0)),""),""))</f>
        <v/>
      </c>
      <c r="N227">
        <f>IF($C227="","",IFERROR(IF(N(INDEX('商品マスタ'!$H$6:$H$1005,MATCH($C227,'商品マスタ'!$B$6:$B$1005,0)))&gt;0,INDEX('商品マスタ'!$H$6:$H$1005,MATCH($C227,'商品マスタ'!$B$6:$B$1005,0)),""),""))</f>
        <v/>
      </c>
      <c r="O227">
        <f>IF($C227="","",IF($N227&lt;&gt;"",$N227*$G227,IF(N(IF(COUNTIFS('①在庫を貼る'!$V$6:$V$10005,'設定'!$C$4,'①在庫を貼る'!$W$6:$W$10005,$C227)&gt;0,SUMIFS('①在庫を貼る'!$O$6:$O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O$6:$O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O$6:$O$10005,'月1回_2ヶ月前の在庫'!$V$6:$V$10005,'設定'!$C$4,'月1回_2ヶ月前の在庫'!$W$6:$W$10005,$C227)/COUNTIFS('月1回_2ヶ月前の在庫'!$V$6:$V$10005,'設定'!$C$4,'月1回_2ヶ月前の在庫'!$W$6:$W$10005,$C227),0))))&gt;0,N(IF(COUNTIFS('①在庫を貼る'!$V$6:$V$10005,'設定'!$C$4,'①在庫を貼る'!$W$6:$W$10005,$C227)&gt;0,SUMIFS('①在庫を貼る'!$O$6:$O$10005,'①在庫を貼る'!$V$6:$V$10005,'設定'!$C$4,'①在庫を貼る'!$W$6:$W$10005,$C227)/COUNTIFS('①在庫を貼る'!$V$6:$V$10005,'設定'!$C$4,'①在庫を貼る'!$W$6:$W$10005,$C227),IF(COUNTIFS('月1回_1ヶ月前の在庫'!$V$6:$V$10005,'設定'!$C$4,'月1回_1ヶ月前の在庫'!$W$6:$W$10005,$C227)&gt;0,SUMIFS('月1回_1ヶ月前の在庫'!$O$6:$O$10005,'月1回_1ヶ月前の在庫'!$V$6:$V$10005,'設定'!$C$4,'月1回_1ヶ月前の在庫'!$W$6:$W$10005,$C227)/COUNTIFS('月1回_1ヶ月前の在庫'!$V$6:$V$10005,'設定'!$C$4,'月1回_1ヶ月前の在庫'!$W$6:$W$10005,$C227),IF(COUNTIFS('月1回_2ヶ月前の在庫'!$V$6:$V$10005,'設定'!$C$4,'月1回_2ヶ月前の在庫'!$W$6:$W$10005,$C227)&gt;0,SUMIFS('月1回_2ヶ月前の在庫'!$O$6:$O$10005,'月1回_2ヶ月前の在庫'!$V$6:$V$10005,'設定'!$C$4,'月1回_2ヶ月前の在庫'!$W$6:$W$10005,$C227)/COUNTIFS('月1回_2ヶ月前の在庫'!$V$6:$V$10005,'設定'!$C$4,'月1回_2ヶ月前の在庫'!$W$6:$W$10005,$C227),0)))),"")))</f>
        <v/>
      </c>
      <c r="P227" s="90">
        <f>IF($C227="","",IF('②発注する'!$I231="","",'②発注する'!$I231))</f>
        <v/>
      </c>
      <c r="Q227">
        <f>IF($C227="","",IF('②発注する'!$J231="","",'②発注する'!$J231))</f>
        <v/>
      </c>
      <c r="R227">
        <f>IF($C227="",0,IF(AND(ISNUMBER($P227),ISNUMBER($Q227)),MAX(0,$Q227)*$G227,0))</f>
        <v/>
      </c>
      <c r="S227" s="90">
        <f>IF($C227="","",IF('②発注する'!$M231="","",'②発注する'!$M231))</f>
        <v/>
      </c>
      <c r="T227">
        <f>IF($C227="","",IF('②発注する'!$N231="","",'②発注する'!$N231))</f>
        <v/>
      </c>
      <c r="U227">
        <f>IF($C227="",0,IF(AND(ISNUMBER($S227),ISNUMBER($T227)),MAX(0,$T227)*$G227,0))</f>
        <v/>
      </c>
      <c r="V227">
        <f>IF($C227="",0,IF($M227="",0,MAX(0,$M227)*MAX(0,V$4)/100))</f>
        <v/>
      </c>
      <c r="W227">
        <f>IF($C227="",0,IF($M227="",0,MAX(0,$M227)*MAX(0,W$4)/100))</f>
        <v/>
      </c>
      <c r="X227">
        <f>IF($C227="",0,IF($M227="",0,MAX(0,$M227)*MAX(0,X$4)/100))</f>
        <v/>
      </c>
      <c r="Y227">
        <f>IF($C227="",0,IF($M227="",0,MAX(0,$M227)*MAX(0,Y$4)/100))</f>
        <v/>
      </c>
      <c r="Z227">
        <f>IF($C227="",0,IF($M227="",0,MAX(0,$M227)*MAX(0,Z$4)/100))</f>
        <v/>
      </c>
      <c r="AA227">
        <f>IF($C227="",0,IF($M227="",0,MAX(0,$M227)*MAX(0,AA$4)/100))</f>
        <v/>
      </c>
      <c r="AB227">
        <f>IF($C227="",0,IF($M227="",0,MAX(0,$M227)*MAX(0,AB$4)/100))</f>
        <v/>
      </c>
      <c r="AC227">
        <f>IF($C227="",0,IF($M227="",0,MAX(0,$M227)*MAX(0,AC$4)/100))</f>
        <v/>
      </c>
      <c r="AD227">
        <f>IF($C227="",0,IF($M227="",0,MAX(0,$M227)*MAX(0,AD$4)/100))</f>
        <v/>
      </c>
      <c r="AE227">
        <f>IF($C227="",0,IF($M227="",0,MAX(0,$M227)*MAX(0,AE$4)/100))</f>
        <v/>
      </c>
      <c r="AF227">
        <f>IF($C227="",0,IF($M227="",0,MAX(0,$M227)*MAX(0,AF$4)/100))</f>
        <v/>
      </c>
      <c r="AG227">
        <f>IF($C227="",0,IF($M227="",0,MAX(0,$M227)*MAX(0,AG$4)/100))</f>
        <v/>
      </c>
      <c r="AH227">
        <f>IF($C227="",0,IF($M227="",0,MAX(0,$M227)*MAX(0,AH$4)/100))</f>
        <v/>
      </c>
      <c r="AI227">
        <f>IF($C227="",0,IF($M227="",0,MAX(0,$M227)*MAX(0,AI$4)/100))</f>
        <v/>
      </c>
      <c r="AJ227">
        <f>IF($C227="",0,MAX(0,MAX(0,N($L227))-$V227))</f>
        <v/>
      </c>
      <c r="AK227">
        <f>IF($C227="",0,MAX(0,$AJ227-$W227))</f>
        <v/>
      </c>
      <c r="AL227">
        <f>IF($C227="",0,MAX(0,$AK227-$X227))</f>
        <v/>
      </c>
      <c r="AM227">
        <f>IF($C227="",0,MAX(0,$AL227-$Y227))</f>
        <v/>
      </c>
      <c r="AN227">
        <f>IF($C227="",0,MAX(0,$AM227-$Z227))</f>
        <v/>
      </c>
      <c r="AO227">
        <f>IF($C227="",0,MAX(0,$AN227-$AA227))</f>
        <v/>
      </c>
      <c r="AP227">
        <f>IF($C227="",0,MAX(0,$AO227-$AB227))</f>
        <v/>
      </c>
      <c r="AQ227">
        <f>IF($C227="",0,MAX(0,$AP227-$AC227))</f>
        <v/>
      </c>
      <c r="AR227">
        <f>IF($C227="",0,MAX(0,$AQ227-$AD227))</f>
        <v/>
      </c>
      <c r="AS227">
        <f>IF($C227="",0,MAX(0,$AR227-$AE227))</f>
        <v/>
      </c>
      <c r="AT227">
        <f>IF($C227="",0,MAX(0,$AS227-$AF227))</f>
        <v/>
      </c>
      <c r="AU227">
        <f>IF($C227="",0,MAX(0,$AT227-$AG227))</f>
        <v/>
      </c>
      <c r="AV227">
        <f>IF($C227="",0,MAX(0,$AU227-$AH227))</f>
        <v/>
      </c>
      <c r="AW227">
        <f>IF($C227="",0,MAX(0,$AV227-$AI227))</f>
        <v/>
      </c>
      <c r="AX227">
        <f>IF($C227="",0,MAX(0,MAX(0,N($L227))+IF($P227=V$3,$R227,0)+IF($S227=V$3,$U227,0)-$V227))</f>
        <v/>
      </c>
      <c r="AY227">
        <f>IF($C227="",0,MAX(0,$AX227+IF($P227=W$3,$R227,0)+IF($S227=W$3,$U227,0)-$W227))</f>
        <v/>
      </c>
      <c r="AZ227">
        <f>IF($C227="",0,MAX(0,$AY227+IF($P227=X$3,$R227,0)+IF($S227=X$3,$U227,0)-$X227))</f>
        <v/>
      </c>
      <c r="BA227">
        <f>IF($C227="",0,MAX(0,$AZ227+IF($P227=Y$3,$R227,0)+IF($S227=Y$3,$U227,0)-$Y227))</f>
        <v/>
      </c>
      <c r="BB227">
        <f>IF($C227="",0,MAX(0,$BA227+IF($P227=Z$3,$R227,0)+IF($S227=Z$3,$U227,0)-$Z227))</f>
        <v/>
      </c>
      <c r="BC227">
        <f>IF($C227="",0,MAX(0,$BB227+IF($P227=AA$3,$R227,0)+IF($S227=AA$3,$U227,0)-$AA227))</f>
        <v/>
      </c>
      <c r="BD227">
        <f>IF($C227="",0,MAX(0,$BC227+IF($P227=AB$3,$R227,0)+IF($S227=AB$3,$U227,0)-$AB227))</f>
        <v/>
      </c>
      <c r="BE227">
        <f>IF($C227="",0,MAX(0,$BD227+IF($P227=AC$3,$R227,0)+IF($S227=AC$3,$U227,0)-$AC227))</f>
        <v/>
      </c>
      <c r="BF227">
        <f>IF($C227="",0,MAX(0,$BE227+IF($P227=AD$3,$R227,0)+IF($S227=AD$3,$U227,0)-$AD227))</f>
        <v/>
      </c>
      <c r="BG227">
        <f>IF($C227="",0,MAX(0,$BF227+IF($P227=AE$3,$R227,0)+IF($S227=AE$3,$U227,0)-$AE227))</f>
        <v/>
      </c>
      <c r="BH227">
        <f>IF($C227="",0,MAX(0,$BG227+IF($P227=AF$3,$R227,0)+IF($S227=AF$3,$U227,0)-$AF227))</f>
        <v/>
      </c>
      <c r="BI227">
        <f>IF($C227="",0,MAX(0,$BH227+IF($P227=AG$3,$R227,0)+IF($S227=AG$3,$U227,0)-$AG227))</f>
        <v/>
      </c>
      <c r="BJ227">
        <f>IF($C227="",0,MAX(0,$BI227+IF($P227=AH$3,$R227,0)+IF($S227=AH$3,$U227,0)-$AH227))</f>
        <v/>
      </c>
      <c r="BK227">
        <f>IF($C227="",0,MAX(0,$BJ227+IF($P227=AI$3,$R227,0)+IF($S227=AI$3,$U227,0)-$AI227))</f>
        <v/>
      </c>
      <c r="BL227">
        <f>IF($C227="",99,IF(AND($AX227&lt;1,V$3&gt;=MAX(N($P227),N($S227))),0,99))</f>
        <v/>
      </c>
      <c r="BM227">
        <f>IF($C227="",99,IF(AND($AY227&lt;1,W$3&gt;=MAX(N($P227),N($S227))),1,99))</f>
        <v/>
      </c>
      <c r="BN227">
        <f>IF($C227="",99,IF(AND($AZ227&lt;1,X$3&gt;=MAX(N($P227),N($S227))),2,99))</f>
        <v/>
      </c>
      <c r="BO227">
        <f>IF($C227="",99,IF(AND($BA227&lt;1,Y$3&gt;=MAX(N($P227),N($S227))),3,99))</f>
        <v/>
      </c>
      <c r="BP227">
        <f>IF($C227="",99,IF(AND($BB227&lt;1,Z$3&gt;=MAX(N($P227),N($S227))),4,99))</f>
        <v/>
      </c>
      <c r="BQ227">
        <f>IF($C227="",99,IF(AND($BC227&lt;1,AA$3&gt;=MAX(N($P227),N($S227))),5,99))</f>
        <v/>
      </c>
      <c r="BR227">
        <f>IF($C227="",99,IF(AND($BD227&lt;1,AB$3&gt;=MAX(N($P227),N($S227))),6,99))</f>
        <v/>
      </c>
      <c r="BS227">
        <f>IF($C227="",99,IF(AND($BE227&lt;1,AC$3&gt;=MAX(N($P227),N($S227))),7,99))</f>
        <v/>
      </c>
      <c r="BT227">
        <f>IF($C227="",99,IF(AND($BF227&lt;1,AD$3&gt;=MAX(N($P227),N($S227))),8,99))</f>
        <v/>
      </c>
      <c r="BU227">
        <f>IF($C227="",99,IF(AND($BG227&lt;1,AE$3&gt;=MAX(N($P227),N($S227))),9,99))</f>
        <v/>
      </c>
      <c r="BV227">
        <f>IF($C227="",99,IF(AND($BH227&lt;1,AF$3&gt;=MAX(N($P227),N($S227))),10,99))</f>
        <v/>
      </c>
      <c r="BW227">
        <f>IF($C227="",99,IF(AND($BI227&lt;1,AG$3&gt;=MAX(N($P227),N($S227))),11,99))</f>
        <v/>
      </c>
      <c r="BX227">
        <f>IF($C227="",99,IF(AND($BJ227&lt;1,AH$3&gt;=MAX(N($P227),N($S227))),12,99))</f>
        <v/>
      </c>
      <c r="BY227">
        <f>IF($C227="",99,IF(AND($BK227&lt;1,AI$3&gt;=MAX(N($P227),N($S227))),13,99))</f>
        <v/>
      </c>
      <c r="BZ227">
        <f>IF(OR($C227="",$M227=""),"",COUNTIF($AJ227:$AW227,"&gt;=1"))</f>
        <v/>
      </c>
      <c r="CA227" s="90">
        <f>IF($BZ227="","",IF($BZ227&gt;=14,"",'設定'!$C$6+$BZ227))</f>
        <v/>
      </c>
      <c r="CB227">
        <f>IF(OR($C227="",$M227=""),"",MIN($BL227:$BY227))</f>
        <v/>
      </c>
      <c r="CC227" s="90">
        <f>IF($CB227="","",IF($CB227&gt;=99,"",'設定'!$C$6+$CB227))</f>
        <v/>
      </c>
      <c r="CD227">
        <f>IF(OR($C227="",$M227=""),"",AVERAGE($V227:$AI227))</f>
        <v/>
      </c>
      <c r="CE227">
        <f>IF($C227="","",IFERROR(IF(MATCH(IF(ISNUMBER($P227),$P227,'設定'!$C$6+N('設定'!$C$7)),$V$3:$AI$3,0)=1,MAX(0,N($L227)),INDEX($AJ227:$AW227,MATCH(IF(ISNUMBER($P227),$P227,'設定'!$C$6+N('設定'!$C$7)),$V$3:$AI$3,0)-1)),""))</f>
        <v/>
      </c>
      <c r="CF227">
        <f>IF(OR($C227="",$O227="",$CE227=""),"",IF($O227-$CE227&lt;=0,0,ROUNDUP(($O227-$CE227)/$G227,0)))</f>
        <v/>
      </c>
      <c r="CG227">
        <f>IF(OR($C227="",$CF227="",NOT(ISNUMBER($Q227))),0,MAX(0,$Q227-$CF227))</f>
        <v/>
      </c>
      <c r="CH227">
        <f>IF(OR($C227="",$O227="",$U227=0),0,IFERROR(ROUNDUP(MAX(0,IF(MATCH($S227,$V$3:$AI$3,0)=1,MAX(0,N($L227)),INDEX($AX227:$BK227,MATCH($S227,$V$3:$AI$3,0)-1))+$U227-$O227)/$G227,0),0))</f>
        <v/>
      </c>
      <c r="CI227">
        <f>IF($C227="","",IF(AND($P227="",$Q227=""),"",IF($P227="","⚠ 入庫日を ▼ から選んでください",IF(NOT(ISNUMBER($P227)),"⚠ 入庫日は ▼ から選んでください",IF($P227&lt;N('設定'!$C$6),"⚠ 入庫日が過去です（もう在庫に入っています）→ 消してください",IF($P227&gt;N('設定'!$C$6)+13,"⚠ 入庫日が14日より先です",IF(N($Q227)&lt;=0,"⚠ 入庫数を入れてください",IF($CG227&gt;0,"⚠ 目安より "&amp;$CG227&amp;" 多い（定数を超える）→ 減らす",""))))))))</f>
        <v/>
      </c>
      <c r="CJ227">
        <f>IF($C227="","",IF(AND($S227="",$T227=""),"",IF($S227="","⚠ 2便目：入庫日を ▼ から選んでください",IF(NOT(ISNUMBER($S227)),"⚠ 2便目：入庫日は ▼ から選んでください",IF($S227&lt;N('設定'!$C$6),"⚠ 2便目：入庫日が過去です（もう在庫に入っています）→ 消してください",IF($S227&gt;N('設定'!$C$6)+13,"⚠ 2便目：入庫日が14日より先です",IF(N($T227)&lt;=0,"⚠ 2便目：入庫数を入れてください",IF($CH227&gt;0,"⚠ 2便目：定数を "&amp;$CH227&amp;" ケース超える → 減らす",""))))))))</f>
        <v/>
      </c>
      <c r="CK227">
        <f>IF(AND($CI227="",N($Q227)&gt;0,ISNUMBER($P227)),1,0)</f>
        <v/>
      </c>
      <c r="CL227">
        <f>IF(AND($CJ227="",N($T227)&gt;0,ISNUMBER($S227)),1,0)</f>
        <v/>
      </c>
      <c r="CM227">
        <f>IF(OR($CK227=1,$CL227=1),1,0)</f>
        <v/>
      </c>
      <c r="CN227">
        <f>IF($C227="",0,($CK227*$R227+$CL227*$U227)*N($H227))</f>
        <v/>
      </c>
      <c r="CO227">
        <f>IF($C227="","",IF($CC227="","入庫後は 14日以上もつ",IF($CC227-N('設定'!$C$7)&lt;='設定'!$C$6,"入庫後も "&amp;TEXT($CC227,"m/d")&amp;"("&amp;CHOOSE(WEEKDAY($CC227),"日","月","火","水","木","金","土")&amp;")"&amp;" に切れる　もう1便を至急発注","入庫後も "&amp;TEXT($CC227,"m/d")&amp;"("&amp;CHOOSE(WEEKDAY($CC227),"日","月","火","水","木","金","土")&amp;")"&amp;" に切れる　"&amp;TEXT($CC227-N('設定'!$C$7),"m/d")&amp;"("&amp;CHOOSE(WEEKDAY($CC227-N('設定'!$C$7)),"日","月","火","水","木","金","土")&amp;")"&amp;" までに次を発注")))</f>
        <v/>
      </c>
      <c r="CP227">
        <f>IF($C227="","",IF('設定'!$C$6="","？ ①在庫を貼る に今日のCSVが貼られていない",IF($CS227=1,"－ 今日のCSVに無い（終売？）",IF($L227&lt;0,"● 在庫がマイナス　数えて「数えた在庫」に入れる",IF($L227=0,"● 在庫なし　至急発注",IF($M227="","？ 減り数が未設定（商品マスタ）",IF($B$3=0,"？ 動員が未入力（動員を入れる）",IF($CA227="","○ 14日以上もつ",IF($BZ227&lt;N('設定'!$C$7),"● "&amp;TEXT($CA227,"m/d")&amp;"("&amp;CHOOSE(WEEKDAY($CA227),"日","月","火","水","木","金","土")&amp;")"&amp;" に切れる　至急発注",IF($BZ227=N('設定'!$C$7),"● "&amp;TEXT($CA227,"m/d")&amp;"("&amp;CHOOSE(WEEKDAY($CA227),"日","月","火","水","木","金","土")&amp;")"&amp;" に切れる　今日発注","△ "&amp;TEXT($CA227,"m/d")&amp;"("&amp;CHOOSE(WEEKDAY($CA227),"日","月","火","水","木","金","土")&amp;")"&amp;" に切れる　"&amp;TEXT($CA227-N('設定'!$C$7),"m/d")&amp;"("&amp;CHOOSE(WEEKDAY($CA227-N('設定'!$C$7)),"日","月","火","水","木","金","土")&amp;")"&amp;" までに発注"))))))))))</f>
        <v/>
      </c>
      <c r="CQ227">
        <f>IF($C227="","",IF(AND($P227="",$Q227="",$S227="",$T227=""),"",IF(AND($P227="",$Q227=""),"⚠ 先に1便目（左の入庫日・入庫数）に入れてください",IF($CI227&lt;&gt;"",$CI227,IF($CJ227&lt;&gt;"",$CJ227,IF($M227="","？ 減り数が未設定（発注書には載ります）",IF($B$3=0,"？ 動員が未入力（発注書には載ります）",IF(AND($CA227&lt;&gt;"",$P227&gt;$CA227),IF($P227&gt;'設定'!$C$6+N('設定'!$C$7),"● "&amp;TEXT($P227,"m/d")&amp;"("&amp;CHOOSE(WEEKDAY($P227),"日","月","火","水","木","金","土")&amp;")"&amp;" の入庫では間に合わない（"&amp;TEXT($CA227,"m/d")&amp;"("&amp;CHOOSE(WEEKDAY($CA227),"日","月","火","水","木","金","土")&amp;")"&amp;" に切れる）　入庫日を早める","△ 欠品 "&amp;TEXT($CA227,"m/d")&amp;"("&amp;CHOOSE(WEEKDAY($CA227),"日","月","火","水","木","金","土")&amp;")"&amp;"〜"&amp;TEXT($P227-1,"m/d")&amp;"("&amp;CHOOSE(WEEKDAY($P227-1),"日","月","火","水","木","金","土")&amp;")"&amp;"　"&amp;$CO227),IF($CC227="","○ "&amp;TEXT($P227,"m/d")&amp;"("&amp;CHOOSE(WEEKDAY($P227),"日","月","火","水","木","金","土")&amp;")"&amp;" 入庫で 14日以上もつ",IF($CC227-N('設定'!$C$7)&lt;='設定'!$C$6,"● 入庫しても "&amp;TEXT($CC227,"m/d")&amp;"("&amp;CHOOSE(WEEKDAY($CC227),"日","月","火","水","木","金","土")&amp;")"&amp;" に切れる　もう1便を至急発注（2便目に入れる）","△ 入庫しても "&amp;TEXT($CC227,"m/d")&amp;"("&amp;CHOOSE(WEEKDAY($CC227),"日","月","火","水","木","金","土")&amp;")"&amp;" に切れる　"&amp;TEXT($CC227-N('設定'!$C$7),"m/d")&amp;"("&amp;CHOOSE(WEEKDAY($CC227-N('設定'!$C$7)),"日","月","火","水","木","金","土")&amp;")"&amp;" までに次を発注（2便目に入れる）"))))))))))</f>
        <v/>
      </c>
      <c r="CR227">
        <f>IF($C227="","",IF($G227&gt;1,"ｹｰｽ("&amp;$G227&amp;"入)","個"))</f>
        <v/>
      </c>
      <c r="CS227">
        <f>IF($C227="",0,IF(COUNTIFS('①在庫を貼る'!$V$6:$V$10005,'設定'!$C$4,'①在庫を貼る'!$W$6:$W$10005,$C227)=0,1,0))</f>
        <v/>
      </c>
      <c r="CT227">
        <f>IF(AND($CK227=1,OR('③発注書'!$C$4="すべて",'③発注書'!$C$4="",$F227='③発注書'!$C$4)),N($CT226)+1,N($CT226))</f>
        <v/>
      </c>
      <c r="CU227">
        <f>IF(AND($CL227=1,OR('③発注書'!$C$4="すべて",'③発注書'!$C$4="",$F227='③発注書'!$C$4)),N($CU226)+1,N($CU226))</f>
        <v/>
      </c>
      <c r="CV227">
        <f>IF($C227="",0,IF(COUNTIFS('①在庫を貼る'!$V$6:$V$10005,'設定'!$C$4,'①在庫を貼る'!$W$6:$W$10005,$C227)&gt;0,1,0))</f>
        <v/>
      </c>
      <c r="CW227">
        <f>IF($C227="",0,IF(COUNTIFS('月1回_1ヶ月前の在庫'!$V$6:$V$10005,'設定'!$C$4,'月1回_1ヶ月前の在庫'!$W$6:$W$10005,$C227)&gt;0,1,0))</f>
        <v/>
      </c>
      <c r="CX227">
        <f>IF($C227="",0,IF(COUNTIFS('月1回_2ヶ月前の在庫'!$V$6:$V$10005,'設定'!$C$4,'月1回_2ヶ月前の在庫'!$W$6:$W$10005,$C227)&gt;0,1,0))</f>
        <v/>
      </c>
      <c r="CY227">
        <f>IF(OR($C227="",'設定'!$C$12=""),"",IF('設定'!$C$13="",IF(AND($CV227=1,$CW227=0),"新商品（今月から）",IF(AND($CV227=0,$CW227=1),"終売（今月から）","")),IF(AND($CV227=1,$CW227=0,$CX227=0),"新商品（今月から）",IF(AND($CV227=1,$CW227=1,$CX227=0),"新商品（先月から）",IF(AND($CV227=0,$CW227=1,$CX227=1),"終売（今月から）",IF(AND($CV227=0,$CW227=0,$CX227=1),"終売（先月から）",IF(AND($CV227=1,$CW227=0,$CX227=1),"復活（先月は無し）","")))))))</f>
        <v/>
      </c>
    </row>
    <row r="228">
      <c r="B228">
        <f>IF(223&lt;='設定'!$C$11,223,"")</f>
        <v/>
      </c>
      <c r="C228">
        <f>IF($B228="","",IF($B228&lt;='設定'!$C$20,INDEX('商品マスタ'!$B$6:$B$1005,MATCH($B228,'商品マスタ'!$M$6:$M$1005,0)),IF($B228&lt;='設定'!$C$20+'設定'!$C$17,INDEX('①在庫を貼る'!$W$6:$W$10005,MATCH($B228-'設定'!$C$20,'①在庫を貼る'!$U$6:$U$10005,0)),IF($B228&lt;='設定'!$C$20+'設定'!$C$17+'設定'!$C$18,INDEX('月1回_1ヶ月前の在庫'!$W$6:$W$10005,MATCH($B228-'設定'!$C$20-'設定'!$C$17,'月1回_1ヶ月前の在庫'!$U$6:$U$10005,0)),INDEX('月1回_2ヶ月前の在庫'!$W$6:$W$10005,MATCH($B228-'設定'!$C$20-'設定'!$C$17-'設定'!$C$18,'月1回_2ヶ月前の在庫'!$U$6:$U$10005,0))))))</f>
        <v/>
      </c>
      <c r="D228">
        <f>IF($C228="","",IFERROR(IF(INDEX('商品マスタ'!$C$6:$C$1005,MATCH($C228,'商品マスタ'!$B$6:$B$1005,0))="",IFERROR(INDEX('①在庫を貼る'!$J$6:$J$10005,MATCH($C228,'①在庫を貼る'!$W$6:$W$10005,0)),IFERROR(INDEX('月1回_1ヶ月前の在庫'!$J$6:$J$10005,MATCH($C228,'月1回_1ヶ月前の在庫'!$W$6:$W$10005,0)),IFERROR(INDEX('月1回_2ヶ月前の在庫'!$J$6:$J$10005,MATCH($C228,'月1回_2ヶ月前の在庫'!$W$6:$W$10005,0)),""))),INDEX('商品マスタ'!$C$6:$C$1005,MATCH($C228,'商品マスタ'!$B$6:$B$1005,0))),IFERROR(INDEX('①在庫を貼る'!$J$6:$J$10005,MATCH($C228,'①在庫を貼る'!$W$6:$W$10005,0)),IFERROR(INDEX('月1回_1ヶ月前の在庫'!$J$6:$J$10005,MATCH($C228,'月1回_1ヶ月前の在庫'!$W$6:$W$10005,0)),IFERROR(INDEX('月1回_2ヶ月前の在庫'!$J$6:$J$10005,MATCH($C228,'月1回_2ヶ月前の在庫'!$W$6:$W$10005,0)),"")))))</f>
        <v/>
      </c>
      <c r="E228">
        <f>IF($C228="","",IFERROR(IF(INDEX('商品マスタ'!$D$6:$D$1005,MATCH($C228,'商品マスタ'!$B$6:$B$1005,0))="",IFERROR(INDEX('①在庫を貼る'!$H$6:$H$10005,MATCH($C228,'①在庫を貼る'!$W$6:$W$10005,0)),IFERROR(INDEX('月1回_1ヶ月前の在庫'!$H$6:$H$10005,MATCH($C228,'月1回_1ヶ月前の在庫'!$W$6:$W$10005,0)),IFERROR(INDEX('月1回_2ヶ月前の在庫'!$H$6:$H$10005,MATCH($C228,'月1回_2ヶ月前の在庫'!$W$6:$W$10005,0)),""))),INDEX('商品マスタ'!$D$6:$D$1005,MATCH($C228,'商品マスタ'!$B$6:$B$1005,0))),IFERROR(INDEX('①在庫を貼る'!$H$6:$H$10005,MATCH($C228,'①在庫を貼る'!$W$6:$W$10005,0)),IFERROR(INDEX('月1回_1ヶ月前の在庫'!$H$6:$H$10005,MATCH($C228,'月1回_1ヶ月前の在庫'!$W$6:$W$10005,0)),IFERROR(INDEX('月1回_2ヶ月前の在庫'!$H$6:$H$10005,MATCH($C228,'月1回_2ヶ月前の在庫'!$W$6:$W$10005,0)),"")))))</f>
        <v/>
      </c>
      <c r="F228">
        <f>IF($C228="","",IFERROR(IF(INDEX('商品マスタ'!$E$6:$E$1005,MATCH($C228,'商品マスタ'!$B$6:$B$1005,0))="",IFERROR(INDEX('①在庫を貼る'!$E$6:$E$10005,MATCH($C228,'①在庫を貼る'!$W$6:$W$10005,0)),IFERROR(INDEX('月1回_1ヶ月前の在庫'!$E$6:$E$10005,MATCH($C228,'月1回_1ヶ月前の在庫'!$W$6:$W$10005,0)),IFERROR(INDEX('月1回_2ヶ月前の在庫'!$E$6:$E$10005,MATCH($C228,'月1回_2ヶ月前の在庫'!$W$6:$W$10005,0)),""))),INDEX('商品マスタ'!$E$6:$E$1005,MATCH($C228,'商品マスタ'!$B$6:$B$1005,0))),IFERROR(INDEX('①在庫を貼る'!$E$6:$E$10005,MATCH($C228,'①在庫を貼る'!$W$6:$W$10005,0)),IFERROR(INDEX('月1回_1ヶ月前の在庫'!$E$6:$E$10005,MATCH($C228,'月1回_1ヶ月前の在庫'!$W$6:$W$10005,0)),IFERROR(INDEX('月1回_2ヶ月前の在庫'!$E$6:$E$10005,MATCH($C228,'月1回_2ヶ月前の在庫'!$W$6:$W$10005,0)),"")))))</f>
        <v/>
      </c>
      <c r="G228">
        <f>IF($C228="","",MAX(1,N(IFERROR(IF(INDEX('商品マスタ'!$F$6:$F$1005,MATCH($C228,'商品マスタ'!$B$6:$B$1005,0))="",IF(COUNTIFS('①在庫を貼る'!$V$6:$V$10005,'設定'!$C$4,'①在庫を貼る'!$W$6:$W$10005,$C228)&gt;0,SUMIFS('①在庫を貼る'!$K$6:$K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K$6:$K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K$6:$K$10005,'月1回_2ヶ月前の在庫'!$V$6:$V$10005,'設定'!$C$4,'月1回_2ヶ月前の在庫'!$W$6:$W$10005,$C228)/COUNTIFS('月1回_2ヶ月前の在庫'!$V$6:$V$10005,'設定'!$C$4,'月1回_2ヶ月前の在庫'!$W$6:$W$10005,$C228),0))),INDEX('商品マスタ'!$F$6:$F$1005,MATCH($C228,'商品マスタ'!$B$6:$B$1005,0))),IF(COUNTIFS('①在庫を貼る'!$V$6:$V$10005,'設定'!$C$4,'①在庫を貼る'!$W$6:$W$10005,$C228)&gt;0,SUMIFS('①在庫を貼る'!$K$6:$K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K$6:$K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K$6:$K$10005,'月1回_2ヶ月前の在庫'!$V$6:$V$10005,'設定'!$C$4,'月1回_2ヶ月前の在庫'!$W$6:$W$10005,$C228)/COUNTIFS('月1回_2ヶ月前の在庫'!$V$6:$V$10005,'設定'!$C$4,'月1回_2ヶ月前の在庫'!$W$6:$W$10005,$C228),0)))))))</f>
        <v/>
      </c>
      <c r="H228">
        <f>IF($C228="","",N(IFERROR(IF(INDEX('商品マスタ'!$G$6:$G$1005,MATCH($C228,'商品マスタ'!$B$6:$B$1005,0))="",IF(COUNTIFS('①在庫を貼る'!$V$6:$V$10005,'設定'!$C$4,'①在庫を貼る'!$W$6:$W$10005,$C228)&gt;0,SUMIFS('①在庫を貼る'!$Q$6:$Q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Q$6:$Q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Q$6:$Q$10005,'月1回_2ヶ月前の在庫'!$V$6:$V$10005,'設定'!$C$4,'月1回_2ヶ月前の在庫'!$W$6:$W$10005,$C228)/COUNTIFS('月1回_2ヶ月前の在庫'!$V$6:$V$10005,'設定'!$C$4,'月1回_2ヶ月前の在庫'!$W$6:$W$10005,$C228),0))),INDEX('商品マスタ'!$G$6:$G$1005,MATCH($C228,'商品マスタ'!$B$6:$B$1005,0))),IF(COUNTIFS('①在庫を貼る'!$V$6:$V$10005,'設定'!$C$4,'①在庫を貼る'!$W$6:$W$10005,$C228)&gt;0,SUMIFS('①在庫を貼る'!$Q$6:$Q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Q$6:$Q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Q$6:$Q$10005,'月1回_2ヶ月前の在庫'!$V$6:$V$10005,'設定'!$C$4,'月1回_2ヶ月前の在庫'!$W$6:$W$10005,$C228)/COUNTIFS('月1回_2ヶ月前の在庫'!$V$6:$V$10005,'設定'!$C$4,'月1回_2ヶ月前の在庫'!$W$6:$W$10005,$C228),0))))))</f>
        <v/>
      </c>
      <c r="I228">
        <f>IF($C228="","",IF(COUNTIFS('①在庫を貼る'!$V$6:$V$10005,'設定'!$C$4,'①在庫を貼る'!$W$6:$W$10005,$C228)=0,"",SUMIFS('①在庫を貼る'!$N$6:$N$10005,'①在庫を貼る'!$V$6:$V$10005,'設定'!$C$4,'①在庫を貼る'!$W$6:$W$10005,$C228)))</f>
        <v/>
      </c>
      <c r="J228">
        <f>IF($C228="","",IF('②発注する'!$AD232="","",'②発注する'!$AD232))</f>
        <v/>
      </c>
      <c r="K228" s="90">
        <f>IF($C228="","",IF('②発注する'!$AE232="","",'②発注する'!$AE232))</f>
        <v/>
      </c>
      <c r="L228">
        <f>IF($C228="","",IF(AND(ISNUMBER($J228),ISNUMBER($K228),$K228&gt;='設定'!$C$6),$J228,N($I228)))</f>
        <v/>
      </c>
      <c r="M228">
        <f>IF($C228="","",IFERROR(IF(N(INDEX('商品マスタ'!$J$6:$J$1005,MATCH($C228,'商品マスタ'!$B$6:$B$1005,0)))&gt;0,INDEX('商品マスタ'!$J$6:$J$1005,MATCH($C228,'商品マスタ'!$B$6:$B$1005,0)),""),""))</f>
        <v/>
      </c>
      <c r="N228">
        <f>IF($C228="","",IFERROR(IF(N(INDEX('商品マスタ'!$H$6:$H$1005,MATCH($C228,'商品マスタ'!$B$6:$B$1005,0)))&gt;0,INDEX('商品マスタ'!$H$6:$H$1005,MATCH($C228,'商品マスタ'!$B$6:$B$1005,0)),""),""))</f>
        <v/>
      </c>
      <c r="O228">
        <f>IF($C228="","",IF($N228&lt;&gt;"",$N228*$G228,IF(N(IF(COUNTIFS('①在庫を貼る'!$V$6:$V$10005,'設定'!$C$4,'①在庫を貼る'!$W$6:$W$10005,$C228)&gt;0,SUMIFS('①在庫を貼る'!$O$6:$O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O$6:$O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O$6:$O$10005,'月1回_2ヶ月前の在庫'!$V$6:$V$10005,'設定'!$C$4,'月1回_2ヶ月前の在庫'!$W$6:$W$10005,$C228)/COUNTIFS('月1回_2ヶ月前の在庫'!$V$6:$V$10005,'設定'!$C$4,'月1回_2ヶ月前の在庫'!$W$6:$W$10005,$C228),0))))&gt;0,N(IF(COUNTIFS('①在庫を貼る'!$V$6:$V$10005,'設定'!$C$4,'①在庫を貼る'!$W$6:$W$10005,$C228)&gt;0,SUMIFS('①在庫を貼る'!$O$6:$O$10005,'①在庫を貼る'!$V$6:$V$10005,'設定'!$C$4,'①在庫を貼る'!$W$6:$W$10005,$C228)/COUNTIFS('①在庫を貼る'!$V$6:$V$10005,'設定'!$C$4,'①在庫を貼る'!$W$6:$W$10005,$C228),IF(COUNTIFS('月1回_1ヶ月前の在庫'!$V$6:$V$10005,'設定'!$C$4,'月1回_1ヶ月前の在庫'!$W$6:$W$10005,$C228)&gt;0,SUMIFS('月1回_1ヶ月前の在庫'!$O$6:$O$10005,'月1回_1ヶ月前の在庫'!$V$6:$V$10005,'設定'!$C$4,'月1回_1ヶ月前の在庫'!$W$6:$W$10005,$C228)/COUNTIFS('月1回_1ヶ月前の在庫'!$V$6:$V$10005,'設定'!$C$4,'月1回_1ヶ月前の在庫'!$W$6:$W$10005,$C228),IF(COUNTIFS('月1回_2ヶ月前の在庫'!$V$6:$V$10005,'設定'!$C$4,'月1回_2ヶ月前の在庫'!$W$6:$W$10005,$C228)&gt;0,SUMIFS('月1回_2ヶ月前の在庫'!$O$6:$O$10005,'月1回_2ヶ月前の在庫'!$V$6:$V$10005,'設定'!$C$4,'月1回_2ヶ月前の在庫'!$W$6:$W$10005,$C228)/COUNTIFS('月1回_2ヶ月前の在庫'!$V$6:$V$10005,'設定'!$C$4,'月1回_2ヶ月前の在庫'!$W$6:$W$10005,$C228),0)))),"")))</f>
        <v/>
      </c>
      <c r="P228" s="90">
        <f>IF($C228="","",IF('②発注する'!$I232="","",'②発注する'!$I232))</f>
        <v/>
      </c>
      <c r="Q228">
        <f>IF($C228="","",IF('②発注する'!$J232="","",'②発注する'!$J232))</f>
        <v/>
      </c>
      <c r="R228">
        <f>IF($C228="",0,IF(AND(ISNUMBER($P228),ISNUMBER($Q228)),MAX(0,$Q228)*$G228,0))</f>
        <v/>
      </c>
      <c r="S228" s="90">
        <f>IF($C228="","",IF('②発注する'!$M232="","",'②発注する'!$M232))</f>
        <v/>
      </c>
      <c r="T228">
        <f>IF($C228="","",IF('②発注する'!$N232="","",'②発注する'!$N232))</f>
        <v/>
      </c>
      <c r="U228">
        <f>IF($C228="",0,IF(AND(ISNUMBER($S228),ISNUMBER($T228)),MAX(0,$T228)*$G228,0))</f>
        <v/>
      </c>
      <c r="V228">
        <f>IF($C228="",0,IF($M228="",0,MAX(0,$M228)*MAX(0,V$4)/100))</f>
        <v/>
      </c>
      <c r="W228">
        <f>IF($C228="",0,IF($M228="",0,MAX(0,$M228)*MAX(0,W$4)/100))</f>
        <v/>
      </c>
      <c r="X228">
        <f>IF($C228="",0,IF($M228="",0,MAX(0,$M228)*MAX(0,X$4)/100))</f>
        <v/>
      </c>
      <c r="Y228">
        <f>IF($C228="",0,IF($M228="",0,MAX(0,$M228)*MAX(0,Y$4)/100))</f>
        <v/>
      </c>
      <c r="Z228">
        <f>IF($C228="",0,IF($M228="",0,MAX(0,$M228)*MAX(0,Z$4)/100))</f>
        <v/>
      </c>
      <c r="AA228">
        <f>IF($C228="",0,IF($M228="",0,MAX(0,$M228)*MAX(0,AA$4)/100))</f>
        <v/>
      </c>
      <c r="AB228">
        <f>IF($C228="",0,IF($M228="",0,MAX(0,$M228)*MAX(0,AB$4)/100))</f>
        <v/>
      </c>
      <c r="AC228">
        <f>IF($C228="",0,IF($M228="",0,MAX(0,$M228)*MAX(0,AC$4)/100))</f>
        <v/>
      </c>
      <c r="AD228">
        <f>IF($C228="",0,IF($M228="",0,MAX(0,$M228)*MAX(0,AD$4)/100))</f>
        <v/>
      </c>
      <c r="AE228">
        <f>IF($C228="",0,IF($M228="",0,MAX(0,$M228)*MAX(0,AE$4)/100))</f>
        <v/>
      </c>
      <c r="AF228">
        <f>IF($C228="",0,IF($M228="",0,MAX(0,$M228)*MAX(0,AF$4)/100))</f>
        <v/>
      </c>
      <c r="AG228">
        <f>IF($C228="",0,IF($M228="",0,MAX(0,$M228)*MAX(0,AG$4)/100))</f>
        <v/>
      </c>
      <c r="AH228">
        <f>IF($C228="",0,IF($M228="",0,MAX(0,$M228)*MAX(0,AH$4)/100))</f>
        <v/>
      </c>
      <c r="AI228">
        <f>IF($C228="",0,IF($M228="",0,MAX(0,$M228)*MAX(0,AI$4)/100))</f>
        <v/>
      </c>
      <c r="AJ228">
        <f>IF($C228="",0,MAX(0,MAX(0,N($L228))-$V228))</f>
        <v/>
      </c>
      <c r="AK228">
        <f>IF($C228="",0,MAX(0,$AJ228-$W228))</f>
        <v/>
      </c>
      <c r="AL228">
        <f>IF($C228="",0,MAX(0,$AK228-$X228))</f>
        <v/>
      </c>
      <c r="AM228">
        <f>IF($C228="",0,MAX(0,$AL228-$Y228))</f>
        <v/>
      </c>
      <c r="AN228">
        <f>IF($C228="",0,MAX(0,$AM228-$Z228))</f>
        <v/>
      </c>
      <c r="AO228">
        <f>IF($C228="",0,MAX(0,$AN228-$AA228))</f>
        <v/>
      </c>
      <c r="AP228">
        <f>IF($C228="",0,MAX(0,$AO228-$AB228))</f>
        <v/>
      </c>
      <c r="AQ228">
        <f>IF($C228="",0,MAX(0,$AP228-$AC228))</f>
        <v/>
      </c>
      <c r="AR228">
        <f>IF($C228="",0,MAX(0,$AQ228-$AD228))</f>
        <v/>
      </c>
      <c r="AS228">
        <f>IF($C228="",0,MAX(0,$AR228-$AE228))</f>
        <v/>
      </c>
      <c r="AT228">
        <f>IF($C228="",0,MAX(0,$AS228-$AF228))</f>
        <v/>
      </c>
      <c r="AU228">
        <f>IF($C228="",0,MAX(0,$AT228-$AG228))</f>
        <v/>
      </c>
      <c r="AV228">
        <f>IF($C228="",0,MAX(0,$AU228-$AH228))</f>
        <v/>
      </c>
      <c r="AW228">
        <f>IF($C228="",0,MAX(0,$AV228-$AI228))</f>
        <v/>
      </c>
      <c r="AX228">
        <f>IF($C228="",0,MAX(0,MAX(0,N($L228))+IF($P228=V$3,$R228,0)+IF($S228=V$3,$U228,0)-$V228))</f>
        <v/>
      </c>
      <c r="AY228">
        <f>IF($C228="",0,MAX(0,$AX228+IF($P228=W$3,$R228,0)+IF($S228=W$3,$U228,0)-$W228))</f>
        <v/>
      </c>
      <c r="AZ228">
        <f>IF($C228="",0,MAX(0,$AY228+IF($P228=X$3,$R228,0)+IF($S228=X$3,$U228,0)-$X228))</f>
        <v/>
      </c>
      <c r="BA228">
        <f>IF($C228="",0,MAX(0,$AZ228+IF($P228=Y$3,$R228,0)+IF($S228=Y$3,$U228,0)-$Y228))</f>
        <v/>
      </c>
      <c r="BB228">
        <f>IF($C228="",0,MAX(0,$BA228+IF($P228=Z$3,$R228,0)+IF($S228=Z$3,$U228,0)-$Z228))</f>
        <v/>
      </c>
      <c r="BC228">
        <f>IF($C228="",0,MAX(0,$BB228+IF($P228=AA$3,$R228,0)+IF($S228=AA$3,$U228,0)-$AA228))</f>
        <v/>
      </c>
      <c r="BD228">
        <f>IF($C228="",0,MAX(0,$BC228+IF($P228=AB$3,$R228,0)+IF($S228=AB$3,$U228,0)-$AB228))</f>
        <v/>
      </c>
      <c r="BE228">
        <f>IF($C228="",0,MAX(0,$BD228+IF($P228=AC$3,$R228,0)+IF($S228=AC$3,$U228,0)-$AC228))</f>
        <v/>
      </c>
      <c r="BF228">
        <f>IF($C228="",0,MAX(0,$BE228+IF($P228=AD$3,$R228,0)+IF($S228=AD$3,$U228,0)-$AD228))</f>
        <v/>
      </c>
      <c r="BG228">
        <f>IF($C228="",0,MAX(0,$BF228+IF($P228=AE$3,$R228,0)+IF($S228=AE$3,$U228,0)-$AE228))</f>
        <v/>
      </c>
      <c r="BH228">
        <f>IF($C228="",0,MAX(0,$BG228+IF($P228=AF$3,$R228,0)+IF($S228=AF$3,$U228,0)-$AF228))</f>
        <v/>
      </c>
      <c r="BI228">
        <f>IF($C228="",0,MAX(0,$BH228+IF($P228=AG$3,$R228,0)+IF($S228=AG$3,$U228,0)-$AG228))</f>
        <v/>
      </c>
      <c r="BJ228">
        <f>IF($C228="",0,MAX(0,$BI228+IF($P228=AH$3,$R228,0)+IF($S228=AH$3,$U228,0)-$AH228))</f>
        <v/>
      </c>
      <c r="BK228">
        <f>IF($C228="",0,MAX(0,$BJ228+IF($P228=AI$3,$R228,0)+IF($S228=AI$3,$U228,0)-$AI228))</f>
        <v/>
      </c>
      <c r="BL228">
        <f>IF($C228="",99,IF(AND($AX228&lt;1,V$3&gt;=MAX(N($P228),N($S228))),0,99))</f>
        <v/>
      </c>
      <c r="BM228">
        <f>IF($C228="",99,IF(AND($AY228&lt;1,W$3&gt;=MAX(N($P228),N($S228))),1,99))</f>
        <v/>
      </c>
      <c r="BN228">
        <f>IF($C228="",99,IF(AND($AZ228&lt;1,X$3&gt;=MAX(N($P228),N($S228))),2,99))</f>
        <v/>
      </c>
      <c r="BO228">
        <f>IF($C228="",99,IF(AND($BA228&lt;1,Y$3&gt;=MAX(N($P228),N($S228))),3,99))</f>
        <v/>
      </c>
      <c r="BP228">
        <f>IF($C228="",99,IF(AND($BB228&lt;1,Z$3&gt;=MAX(N($P228),N($S228))),4,99))</f>
        <v/>
      </c>
      <c r="BQ228">
        <f>IF($C228="",99,IF(AND($BC228&lt;1,AA$3&gt;=MAX(N($P228),N($S228))),5,99))</f>
        <v/>
      </c>
      <c r="BR228">
        <f>IF($C228="",99,IF(AND($BD228&lt;1,AB$3&gt;=MAX(N($P228),N($S228))),6,99))</f>
        <v/>
      </c>
      <c r="BS228">
        <f>IF($C228="",99,IF(AND($BE228&lt;1,AC$3&gt;=MAX(N($P228),N($S228))),7,99))</f>
        <v/>
      </c>
      <c r="BT228">
        <f>IF($C228="",99,IF(AND($BF228&lt;1,AD$3&gt;=MAX(N($P228),N($S228))),8,99))</f>
        <v/>
      </c>
      <c r="BU228">
        <f>IF($C228="",99,IF(AND($BG228&lt;1,AE$3&gt;=MAX(N($P228),N($S228))),9,99))</f>
        <v/>
      </c>
      <c r="BV228">
        <f>IF($C228="",99,IF(AND($BH228&lt;1,AF$3&gt;=MAX(N($P228),N($S228))),10,99))</f>
        <v/>
      </c>
      <c r="BW228">
        <f>IF($C228="",99,IF(AND($BI228&lt;1,AG$3&gt;=MAX(N($P228),N($S228))),11,99))</f>
        <v/>
      </c>
      <c r="BX228">
        <f>IF($C228="",99,IF(AND($BJ228&lt;1,AH$3&gt;=MAX(N($P228),N($S228))),12,99))</f>
        <v/>
      </c>
      <c r="BY228">
        <f>IF($C228="",99,IF(AND($BK228&lt;1,AI$3&gt;=MAX(N($P228),N($S228))),13,99))</f>
        <v/>
      </c>
      <c r="BZ228">
        <f>IF(OR($C228="",$M228=""),"",COUNTIF($AJ228:$AW228,"&gt;=1"))</f>
        <v/>
      </c>
      <c r="CA228" s="90">
        <f>IF($BZ228="","",IF($BZ228&gt;=14,"",'設定'!$C$6+$BZ228))</f>
        <v/>
      </c>
      <c r="CB228">
        <f>IF(OR($C228="",$M228=""),"",MIN($BL228:$BY228))</f>
        <v/>
      </c>
      <c r="CC228" s="90">
        <f>IF($CB228="","",IF($CB228&gt;=99,"",'設定'!$C$6+$CB228))</f>
        <v/>
      </c>
      <c r="CD228">
        <f>IF(OR($C228="",$M228=""),"",AVERAGE($V228:$AI228))</f>
        <v/>
      </c>
      <c r="CE228">
        <f>IF($C228="","",IFERROR(IF(MATCH(IF(ISNUMBER($P228),$P228,'設定'!$C$6+N('設定'!$C$7)),$V$3:$AI$3,0)=1,MAX(0,N($L228)),INDEX($AJ228:$AW228,MATCH(IF(ISNUMBER($P228),$P228,'設定'!$C$6+N('設定'!$C$7)),$V$3:$AI$3,0)-1)),""))</f>
        <v/>
      </c>
      <c r="CF228">
        <f>IF(OR($C228="",$O228="",$CE228=""),"",IF($O228-$CE228&lt;=0,0,ROUNDUP(($O228-$CE228)/$G228,0)))</f>
        <v/>
      </c>
      <c r="CG228">
        <f>IF(OR($C228="",$CF228="",NOT(ISNUMBER($Q228))),0,MAX(0,$Q228-$CF228))</f>
        <v/>
      </c>
      <c r="CH228">
        <f>IF(OR($C228="",$O228="",$U228=0),0,IFERROR(ROUNDUP(MAX(0,IF(MATCH($S228,$V$3:$AI$3,0)=1,MAX(0,N($L228)),INDEX($AX228:$BK228,MATCH($S228,$V$3:$AI$3,0)-1))+$U228-$O228)/$G228,0),0))</f>
        <v/>
      </c>
      <c r="CI228">
        <f>IF($C228="","",IF(AND($P228="",$Q228=""),"",IF($P228="","⚠ 入庫日を ▼ から選んでください",IF(NOT(ISNUMBER($P228)),"⚠ 入庫日は ▼ から選んでください",IF($P228&lt;N('設定'!$C$6),"⚠ 入庫日が過去です（もう在庫に入っています）→ 消してください",IF($P228&gt;N('設定'!$C$6)+13,"⚠ 入庫日が14日より先です",IF(N($Q228)&lt;=0,"⚠ 入庫数を入れてください",IF($CG228&gt;0,"⚠ 目安より "&amp;$CG228&amp;" 多い（定数を超える）→ 減らす",""))))))))</f>
        <v/>
      </c>
      <c r="CJ228">
        <f>IF($C228="","",IF(AND($S228="",$T228=""),"",IF($S228="","⚠ 2便目：入庫日を ▼ から選んでください",IF(NOT(ISNUMBER($S228)),"⚠ 2便目：入庫日は ▼ から選んでください",IF($S228&lt;N('設定'!$C$6),"⚠ 2便目：入庫日が過去です（もう在庫に入っています）→ 消してください",IF($S228&gt;N('設定'!$C$6)+13,"⚠ 2便目：入庫日が14日より先です",IF(N($T228)&lt;=0,"⚠ 2便目：入庫数を入れてください",IF($CH228&gt;0,"⚠ 2便目：定数を "&amp;$CH228&amp;" ケース超える → 減らす",""))))))))</f>
        <v/>
      </c>
      <c r="CK228">
        <f>IF(AND($CI228="",N($Q228)&gt;0,ISNUMBER($P228)),1,0)</f>
        <v/>
      </c>
      <c r="CL228">
        <f>IF(AND($CJ228="",N($T228)&gt;0,ISNUMBER($S228)),1,0)</f>
        <v/>
      </c>
      <c r="CM228">
        <f>IF(OR($CK228=1,$CL228=1),1,0)</f>
        <v/>
      </c>
      <c r="CN228">
        <f>IF($C228="",0,($CK228*$R228+$CL228*$U228)*N($H228))</f>
        <v/>
      </c>
      <c r="CO228">
        <f>IF($C228="","",IF($CC228="","入庫後は 14日以上もつ",IF($CC228-N('設定'!$C$7)&lt;='設定'!$C$6,"入庫後も "&amp;TEXT($CC228,"m/d")&amp;"("&amp;CHOOSE(WEEKDAY($CC228),"日","月","火","水","木","金","土")&amp;")"&amp;" に切れる　もう1便を至急発注","入庫後も "&amp;TEXT($CC228,"m/d")&amp;"("&amp;CHOOSE(WEEKDAY($CC228),"日","月","火","水","木","金","土")&amp;")"&amp;" に切れる　"&amp;TEXT($CC228-N('設定'!$C$7),"m/d")&amp;"("&amp;CHOOSE(WEEKDAY($CC228-N('設定'!$C$7)),"日","月","火","水","木","金","土")&amp;")"&amp;" までに次を発注")))</f>
        <v/>
      </c>
      <c r="CP228">
        <f>IF($C228="","",IF('設定'!$C$6="","？ ①在庫を貼る に今日のCSVが貼られていない",IF($CS228=1,"－ 今日のCSVに無い（終売？）",IF($L228&lt;0,"● 在庫がマイナス　数えて「数えた在庫」に入れる",IF($L228=0,"● 在庫なし　至急発注",IF($M228="","？ 減り数が未設定（商品マスタ）",IF($B$3=0,"？ 動員が未入力（動員を入れる）",IF($CA228="","○ 14日以上もつ",IF($BZ228&lt;N('設定'!$C$7),"● "&amp;TEXT($CA228,"m/d")&amp;"("&amp;CHOOSE(WEEKDAY($CA228),"日","月","火","水","木","金","土")&amp;")"&amp;" に切れる　至急発注",IF($BZ228=N('設定'!$C$7),"● "&amp;TEXT($CA228,"m/d")&amp;"("&amp;CHOOSE(WEEKDAY($CA228),"日","月","火","水","木","金","土")&amp;")"&amp;" に切れる　今日発注","△ "&amp;TEXT($CA228,"m/d")&amp;"("&amp;CHOOSE(WEEKDAY($CA228),"日","月","火","水","木","金","土")&amp;")"&amp;" に切れる　"&amp;TEXT($CA228-N('設定'!$C$7),"m/d")&amp;"("&amp;CHOOSE(WEEKDAY($CA228-N('設定'!$C$7)),"日","月","火","水","木","金","土")&amp;")"&amp;" までに発注"))))))))))</f>
        <v/>
      </c>
      <c r="CQ228">
        <f>IF($C228="","",IF(AND($P228="",$Q228="",$S228="",$T228=""),"",IF(AND($P228="",$Q228=""),"⚠ 先に1便目（左の入庫日・入庫数）に入れてください",IF($CI228&lt;&gt;"",$CI228,IF($CJ228&lt;&gt;"",$CJ228,IF($M228="","？ 減り数が未設定（発注書には載ります）",IF($B$3=0,"？ 動員が未入力（発注書には載ります）",IF(AND($CA228&lt;&gt;"",$P228&gt;$CA228),IF($P228&gt;'設定'!$C$6+N('設定'!$C$7),"● "&amp;TEXT($P228,"m/d")&amp;"("&amp;CHOOSE(WEEKDAY($P228),"日","月","火","水","木","金","土")&amp;")"&amp;" の入庫では間に合わない（"&amp;TEXT($CA228,"m/d")&amp;"("&amp;CHOOSE(WEEKDAY($CA228),"日","月","火","水","木","金","土")&amp;")"&amp;" に切れる）　入庫日を早める","△ 欠品 "&amp;TEXT($CA228,"m/d")&amp;"("&amp;CHOOSE(WEEKDAY($CA228),"日","月","火","水","木","金","土")&amp;")"&amp;"〜"&amp;TEXT($P228-1,"m/d")&amp;"("&amp;CHOOSE(WEEKDAY($P228-1),"日","月","火","水","木","金","土")&amp;")"&amp;"　"&amp;$CO228),IF($CC228="","○ "&amp;TEXT($P228,"m/d")&amp;"("&amp;CHOOSE(WEEKDAY($P228),"日","月","火","水","木","金","土")&amp;")"&amp;" 入庫で 14日以上もつ",IF($CC228-N('設定'!$C$7)&lt;='設定'!$C$6,"● 入庫しても "&amp;TEXT($CC228,"m/d")&amp;"("&amp;CHOOSE(WEEKDAY($CC228),"日","月","火","水","木","金","土")&amp;")"&amp;" に切れる　もう1便を至急発注（2便目に入れる）","△ 入庫しても "&amp;TEXT($CC228,"m/d")&amp;"("&amp;CHOOSE(WEEKDAY($CC228),"日","月","火","水","木","金","土")&amp;")"&amp;" に切れる　"&amp;TEXT($CC228-N('設定'!$C$7),"m/d")&amp;"("&amp;CHOOSE(WEEKDAY($CC228-N('設定'!$C$7)),"日","月","火","水","木","金","土")&amp;")"&amp;" までに次を発注（2便目に入れる）"))))))))))</f>
        <v/>
      </c>
      <c r="CR228">
        <f>IF($C228="","",IF($G228&gt;1,"ｹｰｽ("&amp;$G228&amp;"入)","個"))</f>
        <v/>
      </c>
      <c r="CS228">
        <f>IF($C228="",0,IF(COUNTIFS('①在庫を貼る'!$V$6:$V$10005,'設定'!$C$4,'①在庫を貼る'!$W$6:$W$10005,$C228)=0,1,0))</f>
        <v/>
      </c>
      <c r="CT228">
        <f>IF(AND($CK228=1,OR('③発注書'!$C$4="すべて",'③発注書'!$C$4="",$F228='③発注書'!$C$4)),N($CT227)+1,N($CT227))</f>
        <v/>
      </c>
      <c r="CU228">
        <f>IF(AND($CL228=1,OR('③発注書'!$C$4="すべて",'③発注書'!$C$4="",$F228='③発注書'!$C$4)),N($CU227)+1,N($CU227))</f>
        <v/>
      </c>
      <c r="CV228">
        <f>IF($C228="",0,IF(COUNTIFS('①在庫を貼る'!$V$6:$V$10005,'設定'!$C$4,'①在庫を貼る'!$W$6:$W$10005,$C228)&gt;0,1,0))</f>
        <v/>
      </c>
      <c r="CW228">
        <f>IF($C228="",0,IF(COUNTIFS('月1回_1ヶ月前の在庫'!$V$6:$V$10005,'設定'!$C$4,'月1回_1ヶ月前の在庫'!$W$6:$W$10005,$C228)&gt;0,1,0))</f>
        <v/>
      </c>
      <c r="CX228">
        <f>IF($C228="",0,IF(COUNTIFS('月1回_2ヶ月前の在庫'!$V$6:$V$10005,'設定'!$C$4,'月1回_2ヶ月前の在庫'!$W$6:$W$10005,$C228)&gt;0,1,0))</f>
        <v/>
      </c>
      <c r="CY228">
        <f>IF(OR($C228="",'設定'!$C$12=""),"",IF('設定'!$C$13="",IF(AND($CV228=1,$CW228=0),"新商品（今月から）",IF(AND($CV228=0,$CW228=1),"終売（今月から）","")),IF(AND($CV228=1,$CW228=0,$CX228=0),"新商品（今月から）",IF(AND($CV228=1,$CW228=1,$CX228=0),"新商品（先月から）",IF(AND($CV228=0,$CW228=1,$CX228=1),"終売（今月から）",IF(AND($CV228=0,$CW228=0,$CX228=1),"終売（先月から）",IF(AND($CV228=1,$CW228=0,$CX228=1),"復活（先月は無し）","")))))))</f>
        <v/>
      </c>
    </row>
    <row r="229">
      <c r="B229">
        <f>IF(224&lt;='設定'!$C$11,224,"")</f>
        <v/>
      </c>
      <c r="C229">
        <f>IF($B229="","",IF($B229&lt;='設定'!$C$20,INDEX('商品マスタ'!$B$6:$B$1005,MATCH($B229,'商品マスタ'!$M$6:$M$1005,0)),IF($B229&lt;='設定'!$C$20+'設定'!$C$17,INDEX('①在庫を貼る'!$W$6:$W$10005,MATCH($B229-'設定'!$C$20,'①在庫を貼る'!$U$6:$U$10005,0)),IF($B229&lt;='設定'!$C$20+'設定'!$C$17+'設定'!$C$18,INDEX('月1回_1ヶ月前の在庫'!$W$6:$W$10005,MATCH($B229-'設定'!$C$20-'設定'!$C$17,'月1回_1ヶ月前の在庫'!$U$6:$U$10005,0)),INDEX('月1回_2ヶ月前の在庫'!$W$6:$W$10005,MATCH($B229-'設定'!$C$20-'設定'!$C$17-'設定'!$C$18,'月1回_2ヶ月前の在庫'!$U$6:$U$10005,0))))))</f>
        <v/>
      </c>
      <c r="D229">
        <f>IF($C229="","",IFERROR(IF(INDEX('商品マスタ'!$C$6:$C$1005,MATCH($C229,'商品マスタ'!$B$6:$B$1005,0))="",IFERROR(INDEX('①在庫を貼る'!$J$6:$J$10005,MATCH($C229,'①在庫を貼る'!$W$6:$W$10005,0)),IFERROR(INDEX('月1回_1ヶ月前の在庫'!$J$6:$J$10005,MATCH($C229,'月1回_1ヶ月前の在庫'!$W$6:$W$10005,0)),IFERROR(INDEX('月1回_2ヶ月前の在庫'!$J$6:$J$10005,MATCH($C229,'月1回_2ヶ月前の在庫'!$W$6:$W$10005,0)),""))),INDEX('商品マスタ'!$C$6:$C$1005,MATCH($C229,'商品マスタ'!$B$6:$B$1005,0))),IFERROR(INDEX('①在庫を貼る'!$J$6:$J$10005,MATCH($C229,'①在庫を貼る'!$W$6:$W$10005,0)),IFERROR(INDEX('月1回_1ヶ月前の在庫'!$J$6:$J$10005,MATCH($C229,'月1回_1ヶ月前の在庫'!$W$6:$W$10005,0)),IFERROR(INDEX('月1回_2ヶ月前の在庫'!$J$6:$J$10005,MATCH($C229,'月1回_2ヶ月前の在庫'!$W$6:$W$10005,0)),"")))))</f>
        <v/>
      </c>
      <c r="E229">
        <f>IF($C229="","",IFERROR(IF(INDEX('商品マスタ'!$D$6:$D$1005,MATCH($C229,'商品マスタ'!$B$6:$B$1005,0))="",IFERROR(INDEX('①在庫を貼る'!$H$6:$H$10005,MATCH($C229,'①在庫を貼る'!$W$6:$W$10005,0)),IFERROR(INDEX('月1回_1ヶ月前の在庫'!$H$6:$H$10005,MATCH($C229,'月1回_1ヶ月前の在庫'!$W$6:$W$10005,0)),IFERROR(INDEX('月1回_2ヶ月前の在庫'!$H$6:$H$10005,MATCH($C229,'月1回_2ヶ月前の在庫'!$W$6:$W$10005,0)),""))),INDEX('商品マスタ'!$D$6:$D$1005,MATCH($C229,'商品マスタ'!$B$6:$B$1005,0))),IFERROR(INDEX('①在庫を貼る'!$H$6:$H$10005,MATCH($C229,'①在庫を貼る'!$W$6:$W$10005,0)),IFERROR(INDEX('月1回_1ヶ月前の在庫'!$H$6:$H$10005,MATCH($C229,'月1回_1ヶ月前の在庫'!$W$6:$W$10005,0)),IFERROR(INDEX('月1回_2ヶ月前の在庫'!$H$6:$H$10005,MATCH($C229,'月1回_2ヶ月前の在庫'!$W$6:$W$10005,0)),"")))))</f>
        <v/>
      </c>
      <c r="F229">
        <f>IF($C229="","",IFERROR(IF(INDEX('商品マスタ'!$E$6:$E$1005,MATCH($C229,'商品マスタ'!$B$6:$B$1005,0))="",IFERROR(INDEX('①在庫を貼る'!$E$6:$E$10005,MATCH($C229,'①在庫を貼る'!$W$6:$W$10005,0)),IFERROR(INDEX('月1回_1ヶ月前の在庫'!$E$6:$E$10005,MATCH($C229,'月1回_1ヶ月前の在庫'!$W$6:$W$10005,0)),IFERROR(INDEX('月1回_2ヶ月前の在庫'!$E$6:$E$10005,MATCH($C229,'月1回_2ヶ月前の在庫'!$W$6:$W$10005,0)),""))),INDEX('商品マスタ'!$E$6:$E$1005,MATCH($C229,'商品マスタ'!$B$6:$B$1005,0))),IFERROR(INDEX('①在庫を貼る'!$E$6:$E$10005,MATCH($C229,'①在庫を貼る'!$W$6:$W$10005,0)),IFERROR(INDEX('月1回_1ヶ月前の在庫'!$E$6:$E$10005,MATCH($C229,'月1回_1ヶ月前の在庫'!$W$6:$W$10005,0)),IFERROR(INDEX('月1回_2ヶ月前の在庫'!$E$6:$E$10005,MATCH($C229,'月1回_2ヶ月前の在庫'!$W$6:$W$10005,0)),"")))))</f>
        <v/>
      </c>
      <c r="G229">
        <f>IF($C229="","",MAX(1,N(IFERROR(IF(INDEX('商品マスタ'!$F$6:$F$1005,MATCH($C229,'商品マスタ'!$B$6:$B$1005,0))="",IF(COUNTIFS('①在庫を貼る'!$V$6:$V$10005,'設定'!$C$4,'①在庫を貼る'!$W$6:$W$10005,$C229)&gt;0,SUMIFS('①在庫を貼る'!$K$6:$K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K$6:$K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K$6:$K$10005,'月1回_2ヶ月前の在庫'!$V$6:$V$10005,'設定'!$C$4,'月1回_2ヶ月前の在庫'!$W$6:$W$10005,$C229)/COUNTIFS('月1回_2ヶ月前の在庫'!$V$6:$V$10005,'設定'!$C$4,'月1回_2ヶ月前の在庫'!$W$6:$W$10005,$C229),0))),INDEX('商品マスタ'!$F$6:$F$1005,MATCH($C229,'商品マスタ'!$B$6:$B$1005,0))),IF(COUNTIFS('①在庫を貼る'!$V$6:$V$10005,'設定'!$C$4,'①在庫を貼る'!$W$6:$W$10005,$C229)&gt;0,SUMIFS('①在庫を貼る'!$K$6:$K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K$6:$K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K$6:$K$10005,'月1回_2ヶ月前の在庫'!$V$6:$V$10005,'設定'!$C$4,'月1回_2ヶ月前の在庫'!$W$6:$W$10005,$C229)/COUNTIFS('月1回_2ヶ月前の在庫'!$V$6:$V$10005,'設定'!$C$4,'月1回_2ヶ月前の在庫'!$W$6:$W$10005,$C229),0)))))))</f>
        <v/>
      </c>
      <c r="H229">
        <f>IF($C229="","",N(IFERROR(IF(INDEX('商品マスタ'!$G$6:$G$1005,MATCH($C229,'商品マスタ'!$B$6:$B$1005,0))="",IF(COUNTIFS('①在庫を貼る'!$V$6:$V$10005,'設定'!$C$4,'①在庫を貼る'!$W$6:$W$10005,$C229)&gt;0,SUMIFS('①在庫を貼る'!$Q$6:$Q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Q$6:$Q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Q$6:$Q$10005,'月1回_2ヶ月前の在庫'!$V$6:$V$10005,'設定'!$C$4,'月1回_2ヶ月前の在庫'!$W$6:$W$10005,$C229)/COUNTIFS('月1回_2ヶ月前の在庫'!$V$6:$V$10005,'設定'!$C$4,'月1回_2ヶ月前の在庫'!$W$6:$W$10005,$C229),0))),INDEX('商品マスタ'!$G$6:$G$1005,MATCH($C229,'商品マスタ'!$B$6:$B$1005,0))),IF(COUNTIFS('①在庫を貼る'!$V$6:$V$10005,'設定'!$C$4,'①在庫を貼る'!$W$6:$W$10005,$C229)&gt;0,SUMIFS('①在庫を貼る'!$Q$6:$Q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Q$6:$Q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Q$6:$Q$10005,'月1回_2ヶ月前の在庫'!$V$6:$V$10005,'設定'!$C$4,'月1回_2ヶ月前の在庫'!$W$6:$W$10005,$C229)/COUNTIFS('月1回_2ヶ月前の在庫'!$V$6:$V$10005,'設定'!$C$4,'月1回_2ヶ月前の在庫'!$W$6:$W$10005,$C229),0))))))</f>
        <v/>
      </c>
      <c r="I229">
        <f>IF($C229="","",IF(COUNTIFS('①在庫を貼る'!$V$6:$V$10005,'設定'!$C$4,'①在庫を貼る'!$W$6:$W$10005,$C229)=0,"",SUMIFS('①在庫を貼る'!$N$6:$N$10005,'①在庫を貼る'!$V$6:$V$10005,'設定'!$C$4,'①在庫を貼る'!$W$6:$W$10005,$C229)))</f>
        <v/>
      </c>
      <c r="J229">
        <f>IF($C229="","",IF('②発注する'!$AD233="","",'②発注する'!$AD233))</f>
        <v/>
      </c>
      <c r="K229" s="90">
        <f>IF($C229="","",IF('②発注する'!$AE233="","",'②発注する'!$AE233))</f>
        <v/>
      </c>
      <c r="L229">
        <f>IF($C229="","",IF(AND(ISNUMBER($J229),ISNUMBER($K229),$K229&gt;='設定'!$C$6),$J229,N($I229)))</f>
        <v/>
      </c>
      <c r="M229">
        <f>IF($C229="","",IFERROR(IF(N(INDEX('商品マスタ'!$J$6:$J$1005,MATCH($C229,'商品マスタ'!$B$6:$B$1005,0)))&gt;0,INDEX('商品マスタ'!$J$6:$J$1005,MATCH($C229,'商品マスタ'!$B$6:$B$1005,0)),""),""))</f>
        <v/>
      </c>
      <c r="N229">
        <f>IF($C229="","",IFERROR(IF(N(INDEX('商品マスタ'!$H$6:$H$1005,MATCH($C229,'商品マスタ'!$B$6:$B$1005,0)))&gt;0,INDEX('商品マスタ'!$H$6:$H$1005,MATCH($C229,'商品マスタ'!$B$6:$B$1005,0)),""),""))</f>
        <v/>
      </c>
      <c r="O229">
        <f>IF($C229="","",IF($N229&lt;&gt;"",$N229*$G229,IF(N(IF(COUNTIFS('①在庫を貼る'!$V$6:$V$10005,'設定'!$C$4,'①在庫を貼る'!$W$6:$W$10005,$C229)&gt;0,SUMIFS('①在庫を貼る'!$O$6:$O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O$6:$O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O$6:$O$10005,'月1回_2ヶ月前の在庫'!$V$6:$V$10005,'設定'!$C$4,'月1回_2ヶ月前の在庫'!$W$6:$W$10005,$C229)/COUNTIFS('月1回_2ヶ月前の在庫'!$V$6:$V$10005,'設定'!$C$4,'月1回_2ヶ月前の在庫'!$W$6:$W$10005,$C229),0))))&gt;0,N(IF(COUNTIFS('①在庫を貼る'!$V$6:$V$10005,'設定'!$C$4,'①在庫を貼る'!$W$6:$W$10005,$C229)&gt;0,SUMIFS('①在庫を貼る'!$O$6:$O$10005,'①在庫を貼る'!$V$6:$V$10005,'設定'!$C$4,'①在庫を貼る'!$W$6:$W$10005,$C229)/COUNTIFS('①在庫を貼る'!$V$6:$V$10005,'設定'!$C$4,'①在庫を貼る'!$W$6:$W$10005,$C229),IF(COUNTIFS('月1回_1ヶ月前の在庫'!$V$6:$V$10005,'設定'!$C$4,'月1回_1ヶ月前の在庫'!$W$6:$W$10005,$C229)&gt;0,SUMIFS('月1回_1ヶ月前の在庫'!$O$6:$O$10005,'月1回_1ヶ月前の在庫'!$V$6:$V$10005,'設定'!$C$4,'月1回_1ヶ月前の在庫'!$W$6:$W$10005,$C229)/COUNTIFS('月1回_1ヶ月前の在庫'!$V$6:$V$10005,'設定'!$C$4,'月1回_1ヶ月前の在庫'!$W$6:$W$10005,$C229),IF(COUNTIFS('月1回_2ヶ月前の在庫'!$V$6:$V$10005,'設定'!$C$4,'月1回_2ヶ月前の在庫'!$W$6:$W$10005,$C229)&gt;0,SUMIFS('月1回_2ヶ月前の在庫'!$O$6:$O$10005,'月1回_2ヶ月前の在庫'!$V$6:$V$10005,'設定'!$C$4,'月1回_2ヶ月前の在庫'!$W$6:$W$10005,$C229)/COUNTIFS('月1回_2ヶ月前の在庫'!$V$6:$V$10005,'設定'!$C$4,'月1回_2ヶ月前の在庫'!$W$6:$W$10005,$C229),0)))),"")))</f>
        <v/>
      </c>
      <c r="P229" s="90">
        <f>IF($C229="","",IF('②発注する'!$I233="","",'②発注する'!$I233))</f>
        <v/>
      </c>
      <c r="Q229">
        <f>IF($C229="","",IF('②発注する'!$J233="","",'②発注する'!$J233))</f>
        <v/>
      </c>
      <c r="R229">
        <f>IF($C229="",0,IF(AND(ISNUMBER($P229),ISNUMBER($Q229)),MAX(0,$Q229)*$G229,0))</f>
        <v/>
      </c>
      <c r="S229" s="90">
        <f>IF($C229="","",IF('②発注する'!$M233="","",'②発注する'!$M233))</f>
        <v/>
      </c>
      <c r="T229">
        <f>IF($C229="","",IF('②発注する'!$N233="","",'②発注する'!$N233))</f>
        <v/>
      </c>
      <c r="U229">
        <f>IF($C229="",0,IF(AND(ISNUMBER($S229),ISNUMBER($T229)),MAX(0,$T229)*$G229,0))</f>
        <v/>
      </c>
      <c r="V229">
        <f>IF($C229="",0,IF($M229="",0,MAX(0,$M229)*MAX(0,V$4)/100))</f>
        <v/>
      </c>
      <c r="W229">
        <f>IF($C229="",0,IF($M229="",0,MAX(0,$M229)*MAX(0,W$4)/100))</f>
        <v/>
      </c>
      <c r="X229">
        <f>IF($C229="",0,IF($M229="",0,MAX(0,$M229)*MAX(0,X$4)/100))</f>
        <v/>
      </c>
      <c r="Y229">
        <f>IF($C229="",0,IF($M229="",0,MAX(0,$M229)*MAX(0,Y$4)/100))</f>
        <v/>
      </c>
      <c r="Z229">
        <f>IF($C229="",0,IF($M229="",0,MAX(0,$M229)*MAX(0,Z$4)/100))</f>
        <v/>
      </c>
      <c r="AA229">
        <f>IF($C229="",0,IF($M229="",0,MAX(0,$M229)*MAX(0,AA$4)/100))</f>
        <v/>
      </c>
      <c r="AB229">
        <f>IF($C229="",0,IF($M229="",0,MAX(0,$M229)*MAX(0,AB$4)/100))</f>
        <v/>
      </c>
      <c r="AC229">
        <f>IF($C229="",0,IF($M229="",0,MAX(0,$M229)*MAX(0,AC$4)/100))</f>
        <v/>
      </c>
      <c r="AD229">
        <f>IF($C229="",0,IF($M229="",0,MAX(0,$M229)*MAX(0,AD$4)/100))</f>
        <v/>
      </c>
      <c r="AE229">
        <f>IF($C229="",0,IF($M229="",0,MAX(0,$M229)*MAX(0,AE$4)/100))</f>
        <v/>
      </c>
      <c r="AF229">
        <f>IF($C229="",0,IF($M229="",0,MAX(0,$M229)*MAX(0,AF$4)/100))</f>
        <v/>
      </c>
      <c r="AG229">
        <f>IF($C229="",0,IF($M229="",0,MAX(0,$M229)*MAX(0,AG$4)/100))</f>
        <v/>
      </c>
      <c r="AH229">
        <f>IF($C229="",0,IF($M229="",0,MAX(0,$M229)*MAX(0,AH$4)/100))</f>
        <v/>
      </c>
      <c r="AI229">
        <f>IF($C229="",0,IF($M229="",0,MAX(0,$M229)*MAX(0,AI$4)/100))</f>
        <v/>
      </c>
      <c r="AJ229">
        <f>IF($C229="",0,MAX(0,MAX(0,N($L229))-$V229))</f>
        <v/>
      </c>
      <c r="AK229">
        <f>IF($C229="",0,MAX(0,$AJ229-$W229))</f>
        <v/>
      </c>
      <c r="AL229">
        <f>IF($C229="",0,MAX(0,$AK229-$X229))</f>
        <v/>
      </c>
      <c r="AM229">
        <f>IF($C229="",0,MAX(0,$AL229-$Y229))</f>
        <v/>
      </c>
      <c r="AN229">
        <f>IF($C229="",0,MAX(0,$AM229-$Z229))</f>
        <v/>
      </c>
      <c r="AO229">
        <f>IF($C229="",0,MAX(0,$AN229-$AA229))</f>
        <v/>
      </c>
      <c r="AP229">
        <f>IF($C229="",0,MAX(0,$AO229-$AB229))</f>
        <v/>
      </c>
      <c r="AQ229">
        <f>IF($C229="",0,MAX(0,$AP229-$AC229))</f>
        <v/>
      </c>
      <c r="AR229">
        <f>IF($C229="",0,MAX(0,$AQ229-$AD229))</f>
        <v/>
      </c>
      <c r="AS229">
        <f>IF($C229="",0,MAX(0,$AR229-$AE229))</f>
        <v/>
      </c>
      <c r="AT229">
        <f>IF($C229="",0,MAX(0,$AS229-$AF229))</f>
        <v/>
      </c>
      <c r="AU229">
        <f>IF($C229="",0,MAX(0,$AT229-$AG229))</f>
        <v/>
      </c>
      <c r="AV229">
        <f>IF($C229="",0,MAX(0,$AU229-$AH229))</f>
        <v/>
      </c>
      <c r="AW229">
        <f>IF($C229="",0,MAX(0,$AV229-$AI229))</f>
        <v/>
      </c>
      <c r="AX229">
        <f>IF($C229="",0,MAX(0,MAX(0,N($L229))+IF($P229=V$3,$R229,0)+IF($S229=V$3,$U229,0)-$V229))</f>
        <v/>
      </c>
      <c r="AY229">
        <f>IF($C229="",0,MAX(0,$AX229+IF($P229=W$3,$R229,0)+IF($S229=W$3,$U229,0)-$W229))</f>
        <v/>
      </c>
      <c r="AZ229">
        <f>IF($C229="",0,MAX(0,$AY229+IF($P229=X$3,$R229,0)+IF($S229=X$3,$U229,0)-$X229))</f>
        <v/>
      </c>
      <c r="BA229">
        <f>IF($C229="",0,MAX(0,$AZ229+IF($P229=Y$3,$R229,0)+IF($S229=Y$3,$U229,0)-$Y229))</f>
        <v/>
      </c>
      <c r="BB229">
        <f>IF($C229="",0,MAX(0,$BA229+IF($P229=Z$3,$R229,0)+IF($S229=Z$3,$U229,0)-$Z229))</f>
        <v/>
      </c>
      <c r="BC229">
        <f>IF($C229="",0,MAX(0,$BB229+IF($P229=AA$3,$R229,0)+IF($S229=AA$3,$U229,0)-$AA229))</f>
        <v/>
      </c>
      <c r="BD229">
        <f>IF($C229="",0,MAX(0,$BC229+IF($P229=AB$3,$R229,0)+IF($S229=AB$3,$U229,0)-$AB229))</f>
        <v/>
      </c>
      <c r="BE229">
        <f>IF($C229="",0,MAX(0,$BD229+IF($P229=AC$3,$R229,0)+IF($S229=AC$3,$U229,0)-$AC229))</f>
        <v/>
      </c>
      <c r="BF229">
        <f>IF($C229="",0,MAX(0,$BE229+IF($P229=AD$3,$R229,0)+IF($S229=AD$3,$U229,0)-$AD229))</f>
        <v/>
      </c>
      <c r="BG229">
        <f>IF($C229="",0,MAX(0,$BF229+IF($P229=AE$3,$R229,0)+IF($S229=AE$3,$U229,0)-$AE229))</f>
        <v/>
      </c>
      <c r="BH229">
        <f>IF($C229="",0,MAX(0,$BG229+IF($P229=AF$3,$R229,0)+IF($S229=AF$3,$U229,0)-$AF229))</f>
        <v/>
      </c>
      <c r="BI229">
        <f>IF($C229="",0,MAX(0,$BH229+IF($P229=AG$3,$R229,0)+IF($S229=AG$3,$U229,0)-$AG229))</f>
        <v/>
      </c>
      <c r="BJ229">
        <f>IF($C229="",0,MAX(0,$BI229+IF($P229=AH$3,$R229,0)+IF($S229=AH$3,$U229,0)-$AH229))</f>
        <v/>
      </c>
      <c r="BK229">
        <f>IF($C229="",0,MAX(0,$BJ229+IF($P229=AI$3,$R229,0)+IF($S229=AI$3,$U229,0)-$AI229))</f>
        <v/>
      </c>
      <c r="BL229">
        <f>IF($C229="",99,IF(AND($AX229&lt;1,V$3&gt;=MAX(N($P229),N($S229))),0,99))</f>
        <v/>
      </c>
      <c r="BM229">
        <f>IF($C229="",99,IF(AND($AY229&lt;1,W$3&gt;=MAX(N($P229),N($S229))),1,99))</f>
        <v/>
      </c>
      <c r="BN229">
        <f>IF($C229="",99,IF(AND($AZ229&lt;1,X$3&gt;=MAX(N($P229),N($S229))),2,99))</f>
        <v/>
      </c>
      <c r="BO229">
        <f>IF($C229="",99,IF(AND($BA229&lt;1,Y$3&gt;=MAX(N($P229),N($S229))),3,99))</f>
        <v/>
      </c>
      <c r="BP229">
        <f>IF($C229="",99,IF(AND($BB229&lt;1,Z$3&gt;=MAX(N($P229),N($S229))),4,99))</f>
        <v/>
      </c>
      <c r="BQ229">
        <f>IF($C229="",99,IF(AND($BC229&lt;1,AA$3&gt;=MAX(N($P229),N($S229))),5,99))</f>
        <v/>
      </c>
      <c r="BR229">
        <f>IF($C229="",99,IF(AND($BD229&lt;1,AB$3&gt;=MAX(N($P229),N($S229))),6,99))</f>
        <v/>
      </c>
      <c r="BS229">
        <f>IF($C229="",99,IF(AND($BE229&lt;1,AC$3&gt;=MAX(N($P229),N($S229))),7,99))</f>
        <v/>
      </c>
      <c r="BT229">
        <f>IF($C229="",99,IF(AND($BF229&lt;1,AD$3&gt;=MAX(N($P229),N($S229))),8,99))</f>
        <v/>
      </c>
      <c r="BU229">
        <f>IF($C229="",99,IF(AND($BG229&lt;1,AE$3&gt;=MAX(N($P229),N($S229))),9,99))</f>
        <v/>
      </c>
      <c r="BV229">
        <f>IF($C229="",99,IF(AND($BH229&lt;1,AF$3&gt;=MAX(N($P229),N($S229))),10,99))</f>
        <v/>
      </c>
      <c r="BW229">
        <f>IF($C229="",99,IF(AND($BI229&lt;1,AG$3&gt;=MAX(N($P229),N($S229))),11,99))</f>
        <v/>
      </c>
      <c r="BX229">
        <f>IF($C229="",99,IF(AND($BJ229&lt;1,AH$3&gt;=MAX(N($P229),N($S229))),12,99))</f>
        <v/>
      </c>
      <c r="BY229">
        <f>IF($C229="",99,IF(AND($BK229&lt;1,AI$3&gt;=MAX(N($P229),N($S229))),13,99))</f>
        <v/>
      </c>
      <c r="BZ229">
        <f>IF(OR($C229="",$M229=""),"",COUNTIF($AJ229:$AW229,"&gt;=1"))</f>
        <v/>
      </c>
      <c r="CA229" s="90">
        <f>IF($BZ229="","",IF($BZ229&gt;=14,"",'設定'!$C$6+$BZ229))</f>
        <v/>
      </c>
      <c r="CB229">
        <f>IF(OR($C229="",$M229=""),"",MIN($BL229:$BY229))</f>
        <v/>
      </c>
      <c r="CC229" s="90">
        <f>IF($CB229="","",IF($CB229&gt;=99,"",'設定'!$C$6+$CB229))</f>
        <v/>
      </c>
      <c r="CD229">
        <f>IF(OR($C229="",$M229=""),"",AVERAGE($V229:$AI229))</f>
        <v/>
      </c>
      <c r="CE229">
        <f>IF($C229="","",IFERROR(IF(MATCH(IF(ISNUMBER($P229),$P229,'設定'!$C$6+N('設定'!$C$7)),$V$3:$AI$3,0)=1,MAX(0,N($L229)),INDEX($AJ229:$AW229,MATCH(IF(ISNUMBER($P229),$P229,'設定'!$C$6+N('設定'!$C$7)),$V$3:$AI$3,0)-1)),""))</f>
        <v/>
      </c>
      <c r="CF229">
        <f>IF(OR($C229="",$O229="",$CE229=""),"",IF($O229-$CE229&lt;=0,0,ROUNDUP(($O229-$CE229)/$G229,0)))</f>
        <v/>
      </c>
      <c r="CG229">
        <f>IF(OR($C229="",$CF229="",NOT(ISNUMBER($Q229))),0,MAX(0,$Q229-$CF229))</f>
        <v/>
      </c>
      <c r="CH229">
        <f>IF(OR($C229="",$O229="",$U229=0),0,IFERROR(ROUNDUP(MAX(0,IF(MATCH($S229,$V$3:$AI$3,0)=1,MAX(0,N($L229)),INDEX($AX229:$BK229,MATCH($S229,$V$3:$AI$3,0)-1))+$U229-$O229)/$G229,0),0))</f>
        <v/>
      </c>
      <c r="CI229">
        <f>IF($C229="","",IF(AND($P229="",$Q229=""),"",IF($P229="","⚠ 入庫日を ▼ から選んでください",IF(NOT(ISNUMBER($P229)),"⚠ 入庫日は ▼ から選んでください",IF($P229&lt;N('設定'!$C$6),"⚠ 入庫日が過去です（もう在庫に入っています）→ 消してください",IF($P229&gt;N('設定'!$C$6)+13,"⚠ 入庫日が14日より先です",IF(N($Q229)&lt;=0,"⚠ 入庫数を入れてください",IF($CG229&gt;0,"⚠ 目安より "&amp;$CG229&amp;" 多い（定数を超える）→ 減らす",""))))))))</f>
        <v/>
      </c>
      <c r="CJ229">
        <f>IF($C229="","",IF(AND($S229="",$T229=""),"",IF($S229="","⚠ 2便目：入庫日を ▼ から選んでください",IF(NOT(ISNUMBER($S229)),"⚠ 2便目：入庫日は ▼ から選んでください",IF($S229&lt;N('設定'!$C$6),"⚠ 2便目：入庫日が過去です（もう在庫に入っています）→ 消してください",IF($S229&gt;N('設定'!$C$6)+13,"⚠ 2便目：入庫日が14日より先です",IF(N($T229)&lt;=0,"⚠ 2便目：入庫数を入れてください",IF($CH229&gt;0,"⚠ 2便目：定数を "&amp;$CH229&amp;" ケース超える → 減らす",""))))))))</f>
        <v/>
      </c>
      <c r="CK229">
        <f>IF(AND($CI229="",N($Q229)&gt;0,ISNUMBER($P229)),1,0)</f>
        <v/>
      </c>
      <c r="CL229">
        <f>IF(AND($CJ229="",N($T229)&gt;0,ISNUMBER($S229)),1,0)</f>
        <v/>
      </c>
      <c r="CM229">
        <f>IF(OR($CK229=1,$CL229=1),1,0)</f>
        <v/>
      </c>
      <c r="CN229">
        <f>IF($C229="",0,($CK229*$R229+$CL229*$U229)*N($H229))</f>
        <v/>
      </c>
      <c r="CO229">
        <f>IF($C229="","",IF($CC229="","入庫後は 14日以上もつ",IF($CC229-N('設定'!$C$7)&lt;='設定'!$C$6,"入庫後も "&amp;TEXT($CC229,"m/d")&amp;"("&amp;CHOOSE(WEEKDAY($CC229),"日","月","火","水","木","金","土")&amp;")"&amp;" に切れる　もう1便を至急発注","入庫後も "&amp;TEXT($CC229,"m/d")&amp;"("&amp;CHOOSE(WEEKDAY($CC229),"日","月","火","水","木","金","土")&amp;")"&amp;" に切れる　"&amp;TEXT($CC229-N('設定'!$C$7),"m/d")&amp;"("&amp;CHOOSE(WEEKDAY($CC229-N('設定'!$C$7)),"日","月","火","水","木","金","土")&amp;")"&amp;" までに次を発注")))</f>
        <v/>
      </c>
      <c r="CP229">
        <f>IF($C229="","",IF('設定'!$C$6="","？ ①在庫を貼る に今日のCSVが貼られていない",IF($CS229=1,"－ 今日のCSVに無い（終売？）",IF($L229&lt;0,"● 在庫がマイナス　数えて「数えた在庫」に入れる",IF($L229=0,"● 在庫なし　至急発注",IF($M229="","？ 減り数が未設定（商品マスタ）",IF($B$3=0,"？ 動員が未入力（動員を入れる）",IF($CA229="","○ 14日以上もつ",IF($BZ229&lt;N('設定'!$C$7),"● "&amp;TEXT($CA229,"m/d")&amp;"("&amp;CHOOSE(WEEKDAY($CA229),"日","月","火","水","木","金","土")&amp;")"&amp;" に切れる　至急発注",IF($BZ229=N('設定'!$C$7),"● "&amp;TEXT($CA229,"m/d")&amp;"("&amp;CHOOSE(WEEKDAY($CA229),"日","月","火","水","木","金","土")&amp;")"&amp;" に切れる　今日発注","△ "&amp;TEXT($CA229,"m/d")&amp;"("&amp;CHOOSE(WEEKDAY($CA229),"日","月","火","水","木","金","土")&amp;")"&amp;" に切れる　"&amp;TEXT($CA229-N('設定'!$C$7),"m/d")&amp;"("&amp;CHOOSE(WEEKDAY($CA229-N('設定'!$C$7)),"日","月","火","水","木","金","土")&amp;")"&amp;" までに発注"))))))))))</f>
        <v/>
      </c>
      <c r="CQ229">
        <f>IF($C229="","",IF(AND($P229="",$Q229="",$S229="",$T229=""),"",IF(AND($P229="",$Q229=""),"⚠ 先に1便目（左の入庫日・入庫数）に入れてください",IF($CI229&lt;&gt;"",$CI229,IF($CJ229&lt;&gt;"",$CJ229,IF($M229="","？ 減り数が未設定（発注書には載ります）",IF($B$3=0,"？ 動員が未入力（発注書には載ります）",IF(AND($CA229&lt;&gt;"",$P229&gt;$CA229),IF($P229&gt;'設定'!$C$6+N('設定'!$C$7),"● "&amp;TEXT($P229,"m/d")&amp;"("&amp;CHOOSE(WEEKDAY($P229),"日","月","火","水","木","金","土")&amp;")"&amp;" の入庫では間に合わない（"&amp;TEXT($CA229,"m/d")&amp;"("&amp;CHOOSE(WEEKDAY($CA229),"日","月","火","水","木","金","土")&amp;")"&amp;" に切れる）　入庫日を早める","△ 欠品 "&amp;TEXT($CA229,"m/d")&amp;"("&amp;CHOOSE(WEEKDAY($CA229),"日","月","火","水","木","金","土")&amp;")"&amp;"〜"&amp;TEXT($P229-1,"m/d")&amp;"("&amp;CHOOSE(WEEKDAY($P229-1),"日","月","火","水","木","金","土")&amp;")"&amp;"　"&amp;$CO229),IF($CC229="","○ "&amp;TEXT($P229,"m/d")&amp;"("&amp;CHOOSE(WEEKDAY($P229),"日","月","火","水","木","金","土")&amp;")"&amp;" 入庫で 14日以上もつ",IF($CC229-N('設定'!$C$7)&lt;='設定'!$C$6,"● 入庫しても "&amp;TEXT($CC229,"m/d")&amp;"("&amp;CHOOSE(WEEKDAY($CC229),"日","月","火","水","木","金","土")&amp;")"&amp;" に切れる　もう1便を至急発注（2便目に入れる）","△ 入庫しても "&amp;TEXT($CC229,"m/d")&amp;"("&amp;CHOOSE(WEEKDAY($CC229),"日","月","火","水","木","金","土")&amp;")"&amp;" に切れる　"&amp;TEXT($CC229-N('設定'!$C$7),"m/d")&amp;"("&amp;CHOOSE(WEEKDAY($CC229-N('設定'!$C$7)),"日","月","火","水","木","金","土")&amp;")"&amp;" までに次を発注（2便目に入れる）"))))))))))</f>
        <v/>
      </c>
      <c r="CR229">
        <f>IF($C229="","",IF($G229&gt;1,"ｹｰｽ("&amp;$G229&amp;"入)","個"))</f>
        <v/>
      </c>
      <c r="CS229">
        <f>IF($C229="",0,IF(COUNTIFS('①在庫を貼る'!$V$6:$V$10005,'設定'!$C$4,'①在庫を貼る'!$W$6:$W$10005,$C229)=0,1,0))</f>
        <v/>
      </c>
      <c r="CT229">
        <f>IF(AND($CK229=1,OR('③発注書'!$C$4="すべて",'③発注書'!$C$4="",$F229='③発注書'!$C$4)),N($CT228)+1,N($CT228))</f>
        <v/>
      </c>
      <c r="CU229">
        <f>IF(AND($CL229=1,OR('③発注書'!$C$4="すべて",'③発注書'!$C$4="",$F229='③発注書'!$C$4)),N($CU228)+1,N($CU228))</f>
        <v/>
      </c>
      <c r="CV229">
        <f>IF($C229="",0,IF(COUNTIFS('①在庫を貼る'!$V$6:$V$10005,'設定'!$C$4,'①在庫を貼る'!$W$6:$W$10005,$C229)&gt;0,1,0))</f>
        <v/>
      </c>
      <c r="CW229">
        <f>IF($C229="",0,IF(COUNTIFS('月1回_1ヶ月前の在庫'!$V$6:$V$10005,'設定'!$C$4,'月1回_1ヶ月前の在庫'!$W$6:$W$10005,$C229)&gt;0,1,0))</f>
        <v/>
      </c>
      <c r="CX229">
        <f>IF($C229="",0,IF(COUNTIFS('月1回_2ヶ月前の在庫'!$V$6:$V$10005,'設定'!$C$4,'月1回_2ヶ月前の在庫'!$W$6:$W$10005,$C229)&gt;0,1,0))</f>
        <v/>
      </c>
      <c r="CY229">
        <f>IF(OR($C229="",'設定'!$C$12=""),"",IF('設定'!$C$13="",IF(AND($CV229=1,$CW229=0),"新商品（今月から）",IF(AND($CV229=0,$CW229=1),"終売（今月から）","")),IF(AND($CV229=1,$CW229=0,$CX229=0),"新商品（今月から）",IF(AND($CV229=1,$CW229=1,$CX229=0),"新商品（先月から）",IF(AND($CV229=0,$CW229=1,$CX229=1),"終売（今月から）",IF(AND($CV229=0,$CW229=0,$CX229=1),"終売（先月から）",IF(AND($CV229=1,$CW229=0,$CX229=1),"復活（先月は無し）","")))))))</f>
        <v/>
      </c>
    </row>
    <row r="230">
      <c r="B230">
        <f>IF(225&lt;='設定'!$C$11,225,"")</f>
        <v/>
      </c>
      <c r="C230">
        <f>IF($B230="","",IF($B230&lt;='設定'!$C$20,INDEX('商品マスタ'!$B$6:$B$1005,MATCH($B230,'商品マスタ'!$M$6:$M$1005,0)),IF($B230&lt;='設定'!$C$20+'設定'!$C$17,INDEX('①在庫を貼る'!$W$6:$W$10005,MATCH($B230-'設定'!$C$20,'①在庫を貼る'!$U$6:$U$10005,0)),IF($B230&lt;='設定'!$C$20+'設定'!$C$17+'設定'!$C$18,INDEX('月1回_1ヶ月前の在庫'!$W$6:$W$10005,MATCH($B230-'設定'!$C$20-'設定'!$C$17,'月1回_1ヶ月前の在庫'!$U$6:$U$10005,0)),INDEX('月1回_2ヶ月前の在庫'!$W$6:$W$10005,MATCH($B230-'設定'!$C$20-'設定'!$C$17-'設定'!$C$18,'月1回_2ヶ月前の在庫'!$U$6:$U$10005,0))))))</f>
        <v/>
      </c>
      <c r="D230">
        <f>IF($C230="","",IFERROR(IF(INDEX('商品マスタ'!$C$6:$C$1005,MATCH($C230,'商品マスタ'!$B$6:$B$1005,0))="",IFERROR(INDEX('①在庫を貼る'!$J$6:$J$10005,MATCH($C230,'①在庫を貼る'!$W$6:$W$10005,0)),IFERROR(INDEX('月1回_1ヶ月前の在庫'!$J$6:$J$10005,MATCH($C230,'月1回_1ヶ月前の在庫'!$W$6:$W$10005,0)),IFERROR(INDEX('月1回_2ヶ月前の在庫'!$J$6:$J$10005,MATCH($C230,'月1回_2ヶ月前の在庫'!$W$6:$W$10005,0)),""))),INDEX('商品マスタ'!$C$6:$C$1005,MATCH($C230,'商品マスタ'!$B$6:$B$1005,0))),IFERROR(INDEX('①在庫を貼る'!$J$6:$J$10005,MATCH($C230,'①在庫を貼る'!$W$6:$W$10005,0)),IFERROR(INDEX('月1回_1ヶ月前の在庫'!$J$6:$J$10005,MATCH($C230,'月1回_1ヶ月前の在庫'!$W$6:$W$10005,0)),IFERROR(INDEX('月1回_2ヶ月前の在庫'!$J$6:$J$10005,MATCH($C230,'月1回_2ヶ月前の在庫'!$W$6:$W$10005,0)),"")))))</f>
        <v/>
      </c>
      <c r="E230">
        <f>IF($C230="","",IFERROR(IF(INDEX('商品マスタ'!$D$6:$D$1005,MATCH($C230,'商品マスタ'!$B$6:$B$1005,0))="",IFERROR(INDEX('①在庫を貼る'!$H$6:$H$10005,MATCH($C230,'①在庫を貼る'!$W$6:$W$10005,0)),IFERROR(INDEX('月1回_1ヶ月前の在庫'!$H$6:$H$10005,MATCH($C230,'月1回_1ヶ月前の在庫'!$W$6:$W$10005,0)),IFERROR(INDEX('月1回_2ヶ月前の在庫'!$H$6:$H$10005,MATCH($C230,'月1回_2ヶ月前の在庫'!$W$6:$W$10005,0)),""))),INDEX('商品マスタ'!$D$6:$D$1005,MATCH($C230,'商品マスタ'!$B$6:$B$1005,0))),IFERROR(INDEX('①在庫を貼る'!$H$6:$H$10005,MATCH($C230,'①在庫を貼る'!$W$6:$W$10005,0)),IFERROR(INDEX('月1回_1ヶ月前の在庫'!$H$6:$H$10005,MATCH($C230,'月1回_1ヶ月前の在庫'!$W$6:$W$10005,0)),IFERROR(INDEX('月1回_2ヶ月前の在庫'!$H$6:$H$10005,MATCH($C230,'月1回_2ヶ月前の在庫'!$W$6:$W$10005,0)),"")))))</f>
        <v/>
      </c>
      <c r="F230">
        <f>IF($C230="","",IFERROR(IF(INDEX('商品マスタ'!$E$6:$E$1005,MATCH($C230,'商品マスタ'!$B$6:$B$1005,0))="",IFERROR(INDEX('①在庫を貼る'!$E$6:$E$10005,MATCH($C230,'①在庫を貼る'!$W$6:$W$10005,0)),IFERROR(INDEX('月1回_1ヶ月前の在庫'!$E$6:$E$10005,MATCH($C230,'月1回_1ヶ月前の在庫'!$W$6:$W$10005,0)),IFERROR(INDEX('月1回_2ヶ月前の在庫'!$E$6:$E$10005,MATCH($C230,'月1回_2ヶ月前の在庫'!$W$6:$W$10005,0)),""))),INDEX('商品マスタ'!$E$6:$E$1005,MATCH($C230,'商品マスタ'!$B$6:$B$1005,0))),IFERROR(INDEX('①在庫を貼る'!$E$6:$E$10005,MATCH($C230,'①在庫を貼る'!$W$6:$W$10005,0)),IFERROR(INDEX('月1回_1ヶ月前の在庫'!$E$6:$E$10005,MATCH($C230,'月1回_1ヶ月前の在庫'!$W$6:$W$10005,0)),IFERROR(INDEX('月1回_2ヶ月前の在庫'!$E$6:$E$10005,MATCH($C230,'月1回_2ヶ月前の在庫'!$W$6:$W$10005,0)),"")))))</f>
        <v/>
      </c>
      <c r="G230">
        <f>IF($C230="","",MAX(1,N(IFERROR(IF(INDEX('商品マスタ'!$F$6:$F$1005,MATCH($C230,'商品マスタ'!$B$6:$B$1005,0))="",IF(COUNTIFS('①在庫を貼る'!$V$6:$V$10005,'設定'!$C$4,'①在庫を貼る'!$W$6:$W$10005,$C230)&gt;0,SUMIFS('①在庫を貼る'!$K$6:$K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K$6:$K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K$6:$K$10005,'月1回_2ヶ月前の在庫'!$V$6:$V$10005,'設定'!$C$4,'月1回_2ヶ月前の在庫'!$W$6:$W$10005,$C230)/COUNTIFS('月1回_2ヶ月前の在庫'!$V$6:$V$10005,'設定'!$C$4,'月1回_2ヶ月前の在庫'!$W$6:$W$10005,$C230),0))),INDEX('商品マスタ'!$F$6:$F$1005,MATCH($C230,'商品マスタ'!$B$6:$B$1005,0))),IF(COUNTIFS('①在庫を貼る'!$V$6:$V$10005,'設定'!$C$4,'①在庫を貼る'!$W$6:$W$10005,$C230)&gt;0,SUMIFS('①在庫を貼る'!$K$6:$K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K$6:$K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K$6:$K$10005,'月1回_2ヶ月前の在庫'!$V$6:$V$10005,'設定'!$C$4,'月1回_2ヶ月前の在庫'!$W$6:$W$10005,$C230)/COUNTIFS('月1回_2ヶ月前の在庫'!$V$6:$V$10005,'設定'!$C$4,'月1回_2ヶ月前の在庫'!$W$6:$W$10005,$C230),0)))))))</f>
        <v/>
      </c>
      <c r="H230">
        <f>IF($C230="","",N(IFERROR(IF(INDEX('商品マスタ'!$G$6:$G$1005,MATCH($C230,'商品マスタ'!$B$6:$B$1005,0))="",IF(COUNTIFS('①在庫を貼る'!$V$6:$V$10005,'設定'!$C$4,'①在庫を貼る'!$W$6:$W$10005,$C230)&gt;0,SUMIFS('①在庫を貼る'!$Q$6:$Q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Q$6:$Q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Q$6:$Q$10005,'月1回_2ヶ月前の在庫'!$V$6:$V$10005,'設定'!$C$4,'月1回_2ヶ月前の在庫'!$W$6:$W$10005,$C230)/COUNTIFS('月1回_2ヶ月前の在庫'!$V$6:$V$10005,'設定'!$C$4,'月1回_2ヶ月前の在庫'!$W$6:$W$10005,$C230),0))),INDEX('商品マスタ'!$G$6:$G$1005,MATCH($C230,'商品マスタ'!$B$6:$B$1005,0))),IF(COUNTIFS('①在庫を貼る'!$V$6:$V$10005,'設定'!$C$4,'①在庫を貼る'!$W$6:$W$10005,$C230)&gt;0,SUMIFS('①在庫を貼る'!$Q$6:$Q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Q$6:$Q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Q$6:$Q$10005,'月1回_2ヶ月前の在庫'!$V$6:$V$10005,'設定'!$C$4,'月1回_2ヶ月前の在庫'!$W$6:$W$10005,$C230)/COUNTIFS('月1回_2ヶ月前の在庫'!$V$6:$V$10005,'設定'!$C$4,'月1回_2ヶ月前の在庫'!$W$6:$W$10005,$C230),0))))))</f>
        <v/>
      </c>
      <c r="I230">
        <f>IF($C230="","",IF(COUNTIFS('①在庫を貼る'!$V$6:$V$10005,'設定'!$C$4,'①在庫を貼る'!$W$6:$W$10005,$C230)=0,"",SUMIFS('①在庫を貼る'!$N$6:$N$10005,'①在庫を貼る'!$V$6:$V$10005,'設定'!$C$4,'①在庫を貼る'!$W$6:$W$10005,$C230)))</f>
        <v/>
      </c>
      <c r="J230">
        <f>IF($C230="","",IF('②発注する'!$AD234="","",'②発注する'!$AD234))</f>
        <v/>
      </c>
      <c r="K230" s="90">
        <f>IF($C230="","",IF('②発注する'!$AE234="","",'②発注する'!$AE234))</f>
        <v/>
      </c>
      <c r="L230">
        <f>IF($C230="","",IF(AND(ISNUMBER($J230),ISNUMBER($K230),$K230&gt;='設定'!$C$6),$J230,N($I230)))</f>
        <v/>
      </c>
      <c r="M230">
        <f>IF($C230="","",IFERROR(IF(N(INDEX('商品マスタ'!$J$6:$J$1005,MATCH($C230,'商品マスタ'!$B$6:$B$1005,0)))&gt;0,INDEX('商品マスタ'!$J$6:$J$1005,MATCH($C230,'商品マスタ'!$B$6:$B$1005,0)),""),""))</f>
        <v/>
      </c>
      <c r="N230">
        <f>IF($C230="","",IFERROR(IF(N(INDEX('商品マスタ'!$H$6:$H$1005,MATCH($C230,'商品マスタ'!$B$6:$B$1005,0)))&gt;0,INDEX('商品マスタ'!$H$6:$H$1005,MATCH($C230,'商品マスタ'!$B$6:$B$1005,0)),""),""))</f>
        <v/>
      </c>
      <c r="O230">
        <f>IF($C230="","",IF($N230&lt;&gt;"",$N230*$G230,IF(N(IF(COUNTIFS('①在庫を貼る'!$V$6:$V$10005,'設定'!$C$4,'①在庫を貼る'!$W$6:$W$10005,$C230)&gt;0,SUMIFS('①在庫を貼る'!$O$6:$O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O$6:$O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O$6:$O$10005,'月1回_2ヶ月前の在庫'!$V$6:$V$10005,'設定'!$C$4,'月1回_2ヶ月前の在庫'!$W$6:$W$10005,$C230)/COUNTIFS('月1回_2ヶ月前の在庫'!$V$6:$V$10005,'設定'!$C$4,'月1回_2ヶ月前の在庫'!$W$6:$W$10005,$C230),0))))&gt;0,N(IF(COUNTIFS('①在庫を貼る'!$V$6:$V$10005,'設定'!$C$4,'①在庫を貼る'!$W$6:$W$10005,$C230)&gt;0,SUMIFS('①在庫を貼る'!$O$6:$O$10005,'①在庫を貼る'!$V$6:$V$10005,'設定'!$C$4,'①在庫を貼る'!$W$6:$W$10005,$C230)/COUNTIFS('①在庫を貼る'!$V$6:$V$10005,'設定'!$C$4,'①在庫を貼る'!$W$6:$W$10005,$C230),IF(COUNTIFS('月1回_1ヶ月前の在庫'!$V$6:$V$10005,'設定'!$C$4,'月1回_1ヶ月前の在庫'!$W$6:$W$10005,$C230)&gt;0,SUMIFS('月1回_1ヶ月前の在庫'!$O$6:$O$10005,'月1回_1ヶ月前の在庫'!$V$6:$V$10005,'設定'!$C$4,'月1回_1ヶ月前の在庫'!$W$6:$W$10005,$C230)/COUNTIFS('月1回_1ヶ月前の在庫'!$V$6:$V$10005,'設定'!$C$4,'月1回_1ヶ月前の在庫'!$W$6:$W$10005,$C230),IF(COUNTIFS('月1回_2ヶ月前の在庫'!$V$6:$V$10005,'設定'!$C$4,'月1回_2ヶ月前の在庫'!$W$6:$W$10005,$C230)&gt;0,SUMIFS('月1回_2ヶ月前の在庫'!$O$6:$O$10005,'月1回_2ヶ月前の在庫'!$V$6:$V$10005,'設定'!$C$4,'月1回_2ヶ月前の在庫'!$W$6:$W$10005,$C230)/COUNTIFS('月1回_2ヶ月前の在庫'!$V$6:$V$10005,'設定'!$C$4,'月1回_2ヶ月前の在庫'!$W$6:$W$10005,$C230),0)))),"")))</f>
        <v/>
      </c>
      <c r="P230" s="90">
        <f>IF($C230="","",IF('②発注する'!$I234="","",'②発注する'!$I234))</f>
        <v/>
      </c>
      <c r="Q230">
        <f>IF($C230="","",IF('②発注する'!$J234="","",'②発注する'!$J234))</f>
        <v/>
      </c>
      <c r="R230">
        <f>IF($C230="",0,IF(AND(ISNUMBER($P230),ISNUMBER($Q230)),MAX(0,$Q230)*$G230,0))</f>
        <v/>
      </c>
      <c r="S230" s="90">
        <f>IF($C230="","",IF('②発注する'!$M234="","",'②発注する'!$M234))</f>
        <v/>
      </c>
      <c r="T230">
        <f>IF($C230="","",IF('②発注する'!$N234="","",'②発注する'!$N234))</f>
        <v/>
      </c>
      <c r="U230">
        <f>IF($C230="",0,IF(AND(ISNUMBER($S230),ISNUMBER($T230)),MAX(0,$T230)*$G230,0))</f>
        <v/>
      </c>
      <c r="V230">
        <f>IF($C230="",0,IF($M230="",0,MAX(0,$M230)*MAX(0,V$4)/100))</f>
        <v/>
      </c>
      <c r="W230">
        <f>IF($C230="",0,IF($M230="",0,MAX(0,$M230)*MAX(0,W$4)/100))</f>
        <v/>
      </c>
      <c r="X230">
        <f>IF($C230="",0,IF($M230="",0,MAX(0,$M230)*MAX(0,X$4)/100))</f>
        <v/>
      </c>
      <c r="Y230">
        <f>IF($C230="",0,IF($M230="",0,MAX(0,$M230)*MAX(0,Y$4)/100))</f>
        <v/>
      </c>
      <c r="Z230">
        <f>IF($C230="",0,IF($M230="",0,MAX(0,$M230)*MAX(0,Z$4)/100))</f>
        <v/>
      </c>
      <c r="AA230">
        <f>IF($C230="",0,IF($M230="",0,MAX(0,$M230)*MAX(0,AA$4)/100))</f>
        <v/>
      </c>
      <c r="AB230">
        <f>IF($C230="",0,IF($M230="",0,MAX(0,$M230)*MAX(0,AB$4)/100))</f>
        <v/>
      </c>
      <c r="AC230">
        <f>IF($C230="",0,IF($M230="",0,MAX(0,$M230)*MAX(0,AC$4)/100))</f>
        <v/>
      </c>
      <c r="AD230">
        <f>IF($C230="",0,IF($M230="",0,MAX(0,$M230)*MAX(0,AD$4)/100))</f>
        <v/>
      </c>
      <c r="AE230">
        <f>IF($C230="",0,IF($M230="",0,MAX(0,$M230)*MAX(0,AE$4)/100))</f>
        <v/>
      </c>
      <c r="AF230">
        <f>IF($C230="",0,IF($M230="",0,MAX(0,$M230)*MAX(0,AF$4)/100))</f>
        <v/>
      </c>
      <c r="AG230">
        <f>IF($C230="",0,IF($M230="",0,MAX(0,$M230)*MAX(0,AG$4)/100))</f>
        <v/>
      </c>
      <c r="AH230">
        <f>IF($C230="",0,IF($M230="",0,MAX(0,$M230)*MAX(0,AH$4)/100))</f>
        <v/>
      </c>
      <c r="AI230">
        <f>IF($C230="",0,IF($M230="",0,MAX(0,$M230)*MAX(0,AI$4)/100))</f>
        <v/>
      </c>
      <c r="AJ230">
        <f>IF($C230="",0,MAX(0,MAX(0,N($L230))-$V230))</f>
        <v/>
      </c>
      <c r="AK230">
        <f>IF($C230="",0,MAX(0,$AJ230-$W230))</f>
        <v/>
      </c>
      <c r="AL230">
        <f>IF($C230="",0,MAX(0,$AK230-$X230))</f>
        <v/>
      </c>
      <c r="AM230">
        <f>IF($C230="",0,MAX(0,$AL230-$Y230))</f>
        <v/>
      </c>
      <c r="AN230">
        <f>IF($C230="",0,MAX(0,$AM230-$Z230))</f>
        <v/>
      </c>
      <c r="AO230">
        <f>IF($C230="",0,MAX(0,$AN230-$AA230))</f>
        <v/>
      </c>
      <c r="AP230">
        <f>IF($C230="",0,MAX(0,$AO230-$AB230))</f>
        <v/>
      </c>
      <c r="AQ230">
        <f>IF($C230="",0,MAX(0,$AP230-$AC230))</f>
        <v/>
      </c>
      <c r="AR230">
        <f>IF($C230="",0,MAX(0,$AQ230-$AD230))</f>
        <v/>
      </c>
      <c r="AS230">
        <f>IF($C230="",0,MAX(0,$AR230-$AE230))</f>
        <v/>
      </c>
      <c r="AT230">
        <f>IF($C230="",0,MAX(0,$AS230-$AF230))</f>
        <v/>
      </c>
      <c r="AU230">
        <f>IF($C230="",0,MAX(0,$AT230-$AG230))</f>
        <v/>
      </c>
      <c r="AV230">
        <f>IF($C230="",0,MAX(0,$AU230-$AH230))</f>
        <v/>
      </c>
      <c r="AW230">
        <f>IF($C230="",0,MAX(0,$AV230-$AI230))</f>
        <v/>
      </c>
      <c r="AX230">
        <f>IF($C230="",0,MAX(0,MAX(0,N($L230))+IF($P230=V$3,$R230,0)+IF($S230=V$3,$U230,0)-$V230))</f>
        <v/>
      </c>
      <c r="AY230">
        <f>IF($C230="",0,MAX(0,$AX230+IF($P230=W$3,$R230,0)+IF($S230=W$3,$U230,0)-$W230))</f>
        <v/>
      </c>
      <c r="AZ230">
        <f>IF($C230="",0,MAX(0,$AY230+IF($P230=X$3,$R230,0)+IF($S230=X$3,$U230,0)-$X230))</f>
        <v/>
      </c>
      <c r="BA230">
        <f>IF($C230="",0,MAX(0,$AZ230+IF($P230=Y$3,$R230,0)+IF($S230=Y$3,$U230,0)-$Y230))</f>
        <v/>
      </c>
      <c r="BB230">
        <f>IF($C230="",0,MAX(0,$BA230+IF($P230=Z$3,$R230,0)+IF($S230=Z$3,$U230,0)-$Z230))</f>
        <v/>
      </c>
      <c r="BC230">
        <f>IF($C230="",0,MAX(0,$BB230+IF($P230=AA$3,$R230,0)+IF($S230=AA$3,$U230,0)-$AA230))</f>
        <v/>
      </c>
      <c r="BD230">
        <f>IF($C230="",0,MAX(0,$BC230+IF($P230=AB$3,$R230,0)+IF($S230=AB$3,$U230,0)-$AB230))</f>
        <v/>
      </c>
      <c r="BE230">
        <f>IF($C230="",0,MAX(0,$BD230+IF($P230=AC$3,$R230,0)+IF($S230=AC$3,$U230,0)-$AC230))</f>
        <v/>
      </c>
      <c r="BF230">
        <f>IF($C230="",0,MAX(0,$BE230+IF($P230=AD$3,$R230,0)+IF($S230=AD$3,$U230,0)-$AD230))</f>
        <v/>
      </c>
      <c r="BG230">
        <f>IF($C230="",0,MAX(0,$BF230+IF($P230=AE$3,$R230,0)+IF($S230=AE$3,$U230,0)-$AE230))</f>
        <v/>
      </c>
      <c r="BH230">
        <f>IF($C230="",0,MAX(0,$BG230+IF($P230=AF$3,$R230,0)+IF($S230=AF$3,$U230,0)-$AF230))</f>
        <v/>
      </c>
      <c r="BI230">
        <f>IF($C230="",0,MAX(0,$BH230+IF($P230=AG$3,$R230,0)+IF($S230=AG$3,$U230,0)-$AG230))</f>
        <v/>
      </c>
      <c r="BJ230">
        <f>IF($C230="",0,MAX(0,$BI230+IF($P230=AH$3,$R230,0)+IF($S230=AH$3,$U230,0)-$AH230))</f>
        <v/>
      </c>
      <c r="BK230">
        <f>IF($C230="",0,MAX(0,$BJ230+IF($P230=AI$3,$R230,0)+IF($S230=AI$3,$U230,0)-$AI230))</f>
        <v/>
      </c>
      <c r="BL230">
        <f>IF($C230="",99,IF(AND($AX230&lt;1,V$3&gt;=MAX(N($P230),N($S230))),0,99))</f>
        <v/>
      </c>
      <c r="BM230">
        <f>IF($C230="",99,IF(AND($AY230&lt;1,W$3&gt;=MAX(N($P230),N($S230))),1,99))</f>
        <v/>
      </c>
      <c r="BN230">
        <f>IF($C230="",99,IF(AND($AZ230&lt;1,X$3&gt;=MAX(N($P230),N($S230))),2,99))</f>
        <v/>
      </c>
      <c r="BO230">
        <f>IF($C230="",99,IF(AND($BA230&lt;1,Y$3&gt;=MAX(N($P230),N($S230))),3,99))</f>
        <v/>
      </c>
      <c r="BP230">
        <f>IF($C230="",99,IF(AND($BB230&lt;1,Z$3&gt;=MAX(N($P230),N($S230))),4,99))</f>
        <v/>
      </c>
      <c r="BQ230">
        <f>IF($C230="",99,IF(AND($BC230&lt;1,AA$3&gt;=MAX(N($P230),N($S230))),5,99))</f>
        <v/>
      </c>
      <c r="BR230">
        <f>IF($C230="",99,IF(AND($BD230&lt;1,AB$3&gt;=MAX(N($P230),N($S230))),6,99))</f>
        <v/>
      </c>
      <c r="BS230">
        <f>IF($C230="",99,IF(AND($BE230&lt;1,AC$3&gt;=MAX(N($P230),N($S230))),7,99))</f>
        <v/>
      </c>
      <c r="BT230">
        <f>IF($C230="",99,IF(AND($BF230&lt;1,AD$3&gt;=MAX(N($P230),N($S230))),8,99))</f>
        <v/>
      </c>
      <c r="BU230">
        <f>IF($C230="",99,IF(AND($BG230&lt;1,AE$3&gt;=MAX(N($P230),N($S230))),9,99))</f>
        <v/>
      </c>
      <c r="BV230">
        <f>IF($C230="",99,IF(AND($BH230&lt;1,AF$3&gt;=MAX(N($P230),N($S230))),10,99))</f>
        <v/>
      </c>
      <c r="BW230">
        <f>IF($C230="",99,IF(AND($BI230&lt;1,AG$3&gt;=MAX(N($P230),N($S230))),11,99))</f>
        <v/>
      </c>
      <c r="BX230">
        <f>IF($C230="",99,IF(AND($BJ230&lt;1,AH$3&gt;=MAX(N($P230),N($S230))),12,99))</f>
        <v/>
      </c>
      <c r="BY230">
        <f>IF($C230="",99,IF(AND($BK230&lt;1,AI$3&gt;=MAX(N($P230),N($S230))),13,99))</f>
        <v/>
      </c>
      <c r="BZ230">
        <f>IF(OR($C230="",$M230=""),"",COUNTIF($AJ230:$AW230,"&gt;=1"))</f>
        <v/>
      </c>
      <c r="CA230" s="90">
        <f>IF($BZ230="","",IF($BZ230&gt;=14,"",'設定'!$C$6+$BZ230))</f>
        <v/>
      </c>
      <c r="CB230">
        <f>IF(OR($C230="",$M230=""),"",MIN($BL230:$BY230))</f>
        <v/>
      </c>
      <c r="CC230" s="90">
        <f>IF($CB230="","",IF($CB230&gt;=99,"",'設定'!$C$6+$CB230))</f>
        <v/>
      </c>
      <c r="CD230">
        <f>IF(OR($C230="",$M230=""),"",AVERAGE($V230:$AI230))</f>
        <v/>
      </c>
      <c r="CE230">
        <f>IF($C230="","",IFERROR(IF(MATCH(IF(ISNUMBER($P230),$P230,'設定'!$C$6+N('設定'!$C$7)),$V$3:$AI$3,0)=1,MAX(0,N($L230)),INDEX($AJ230:$AW230,MATCH(IF(ISNUMBER($P230),$P230,'設定'!$C$6+N('設定'!$C$7)),$V$3:$AI$3,0)-1)),""))</f>
        <v/>
      </c>
      <c r="CF230">
        <f>IF(OR($C230="",$O230="",$CE230=""),"",IF($O230-$CE230&lt;=0,0,ROUNDUP(($O230-$CE230)/$G230,0)))</f>
        <v/>
      </c>
      <c r="CG230">
        <f>IF(OR($C230="",$CF230="",NOT(ISNUMBER($Q230))),0,MAX(0,$Q230-$CF230))</f>
        <v/>
      </c>
      <c r="CH230">
        <f>IF(OR($C230="",$O230="",$U230=0),0,IFERROR(ROUNDUP(MAX(0,IF(MATCH($S230,$V$3:$AI$3,0)=1,MAX(0,N($L230)),INDEX($AX230:$BK230,MATCH($S230,$V$3:$AI$3,0)-1))+$U230-$O230)/$G230,0),0))</f>
        <v/>
      </c>
      <c r="CI230">
        <f>IF($C230="","",IF(AND($P230="",$Q230=""),"",IF($P230="","⚠ 入庫日を ▼ から選んでください",IF(NOT(ISNUMBER($P230)),"⚠ 入庫日は ▼ から選んでください",IF($P230&lt;N('設定'!$C$6),"⚠ 入庫日が過去です（もう在庫に入っています）→ 消してください",IF($P230&gt;N('設定'!$C$6)+13,"⚠ 入庫日が14日より先です",IF(N($Q230)&lt;=0,"⚠ 入庫数を入れてください",IF($CG230&gt;0,"⚠ 目安より "&amp;$CG230&amp;" 多い（定数を超える）→ 減らす",""))))))))</f>
        <v/>
      </c>
      <c r="CJ230">
        <f>IF($C230="","",IF(AND($S230="",$T230=""),"",IF($S230="","⚠ 2便目：入庫日を ▼ から選んでください",IF(NOT(ISNUMBER($S230)),"⚠ 2便目：入庫日は ▼ から選んでください",IF($S230&lt;N('設定'!$C$6),"⚠ 2便目：入庫日が過去です（もう在庫に入っています）→ 消してください",IF($S230&gt;N('設定'!$C$6)+13,"⚠ 2便目：入庫日が14日より先です",IF(N($T230)&lt;=0,"⚠ 2便目：入庫数を入れてください",IF($CH230&gt;0,"⚠ 2便目：定数を "&amp;$CH230&amp;" ケース超える → 減らす",""))))))))</f>
        <v/>
      </c>
      <c r="CK230">
        <f>IF(AND($CI230="",N($Q230)&gt;0,ISNUMBER($P230)),1,0)</f>
        <v/>
      </c>
      <c r="CL230">
        <f>IF(AND($CJ230="",N($T230)&gt;0,ISNUMBER($S230)),1,0)</f>
        <v/>
      </c>
      <c r="CM230">
        <f>IF(OR($CK230=1,$CL230=1),1,0)</f>
        <v/>
      </c>
      <c r="CN230">
        <f>IF($C230="",0,($CK230*$R230+$CL230*$U230)*N($H230))</f>
        <v/>
      </c>
      <c r="CO230">
        <f>IF($C230="","",IF($CC230="","入庫後は 14日以上もつ",IF($CC230-N('設定'!$C$7)&lt;='設定'!$C$6,"入庫後も "&amp;TEXT($CC230,"m/d")&amp;"("&amp;CHOOSE(WEEKDAY($CC230),"日","月","火","水","木","金","土")&amp;")"&amp;" に切れる　もう1便を至急発注","入庫後も "&amp;TEXT($CC230,"m/d")&amp;"("&amp;CHOOSE(WEEKDAY($CC230),"日","月","火","水","木","金","土")&amp;")"&amp;" に切れる　"&amp;TEXT($CC230-N('設定'!$C$7),"m/d")&amp;"("&amp;CHOOSE(WEEKDAY($CC230-N('設定'!$C$7)),"日","月","火","水","木","金","土")&amp;")"&amp;" までに次を発注")))</f>
        <v/>
      </c>
      <c r="CP230">
        <f>IF($C230="","",IF('設定'!$C$6="","？ ①在庫を貼る に今日のCSVが貼られていない",IF($CS230=1,"－ 今日のCSVに無い（終売？）",IF($L230&lt;0,"● 在庫がマイナス　数えて「数えた在庫」に入れる",IF($L230=0,"● 在庫なし　至急発注",IF($M230="","？ 減り数が未設定（商品マスタ）",IF($B$3=0,"？ 動員が未入力（動員を入れる）",IF($CA230="","○ 14日以上もつ",IF($BZ230&lt;N('設定'!$C$7),"● "&amp;TEXT($CA230,"m/d")&amp;"("&amp;CHOOSE(WEEKDAY($CA230),"日","月","火","水","木","金","土")&amp;")"&amp;" に切れる　至急発注",IF($BZ230=N('設定'!$C$7),"● "&amp;TEXT($CA230,"m/d")&amp;"("&amp;CHOOSE(WEEKDAY($CA230),"日","月","火","水","木","金","土")&amp;")"&amp;" に切れる　今日発注","△ "&amp;TEXT($CA230,"m/d")&amp;"("&amp;CHOOSE(WEEKDAY($CA230),"日","月","火","水","木","金","土")&amp;")"&amp;" に切れる　"&amp;TEXT($CA230-N('設定'!$C$7),"m/d")&amp;"("&amp;CHOOSE(WEEKDAY($CA230-N('設定'!$C$7)),"日","月","火","水","木","金","土")&amp;")"&amp;" までに発注"))))))))))</f>
        <v/>
      </c>
      <c r="CQ230">
        <f>IF($C230="","",IF(AND($P230="",$Q230="",$S230="",$T230=""),"",IF(AND($P230="",$Q230=""),"⚠ 先に1便目（左の入庫日・入庫数）に入れてください",IF($CI230&lt;&gt;"",$CI230,IF($CJ230&lt;&gt;"",$CJ230,IF($M230="","？ 減り数が未設定（発注書には載ります）",IF($B$3=0,"？ 動員が未入力（発注書には載ります）",IF(AND($CA230&lt;&gt;"",$P230&gt;$CA230),IF($P230&gt;'設定'!$C$6+N('設定'!$C$7),"● "&amp;TEXT($P230,"m/d")&amp;"("&amp;CHOOSE(WEEKDAY($P230),"日","月","火","水","木","金","土")&amp;")"&amp;" の入庫では間に合わない（"&amp;TEXT($CA230,"m/d")&amp;"("&amp;CHOOSE(WEEKDAY($CA230),"日","月","火","水","木","金","土")&amp;")"&amp;" に切れる）　入庫日を早める","△ 欠品 "&amp;TEXT($CA230,"m/d")&amp;"("&amp;CHOOSE(WEEKDAY($CA230),"日","月","火","水","木","金","土")&amp;")"&amp;"〜"&amp;TEXT($P230-1,"m/d")&amp;"("&amp;CHOOSE(WEEKDAY($P230-1),"日","月","火","水","木","金","土")&amp;")"&amp;"　"&amp;$CO230),IF($CC230="","○ "&amp;TEXT($P230,"m/d")&amp;"("&amp;CHOOSE(WEEKDAY($P230),"日","月","火","水","木","金","土")&amp;")"&amp;" 入庫で 14日以上もつ",IF($CC230-N('設定'!$C$7)&lt;='設定'!$C$6,"● 入庫しても "&amp;TEXT($CC230,"m/d")&amp;"("&amp;CHOOSE(WEEKDAY($CC230),"日","月","火","水","木","金","土")&amp;")"&amp;" に切れる　もう1便を至急発注（2便目に入れる）","△ 入庫しても "&amp;TEXT($CC230,"m/d")&amp;"("&amp;CHOOSE(WEEKDAY($CC230),"日","月","火","水","木","金","土")&amp;")"&amp;" に切れる　"&amp;TEXT($CC230-N('設定'!$C$7),"m/d")&amp;"("&amp;CHOOSE(WEEKDAY($CC230-N('設定'!$C$7)),"日","月","火","水","木","金","土")&amp;")"&amp;" までに次を発注（2便目に入れる）"))))))))))</f>
        <v/>
      </c>
      <c r="CR230">
        <f>IF($C230="","",IF($G230&gt;1,"ｹｰｽ("&amp;$G230&amp;"入)","個"))</f>
        <v/>
      </c>
      <c r="CS230">
        <f>IF($C230="",0,IF(COUNTIFS('①在庫を貼る'!$V$6:$V$10005,'設定'!$C$4,'①在庫を貼る'!$W$6:$W$10005,$C230)=0,1,0))</f>
        <v/>
      </c>
      <c r="CT230">
        <f>IF(AND($CK230=1,OR('③発注書'!$C$4="すべて",'③発注書'!$C$4="",$F230='③発注書'!$C$4)),N($CT229)+1,N($CT229))</f>
        <v/>
      </c>
      <c r="CU230">
        <f>IF(AND($CL230=1,OR('③発注書'!$C$4="すべて",'③発注書'!$C$4="",$F230='③発注書'!$C$4)),N($CU229)+1,N($CU229))</f>
        <v/>
      </c>
      <c r="CV230">
        <f>IF($C230="",0,IF(COUNTIFS('①在庫を貼る'!$V$6:$V$10005,'設定'!$C$4,'①在庫を貼る'!$W$6:$W$10005,$C230)&gt;0,1,0))</f>
        <v/>
      </c>
      <c r="CW230">
        <f>IF($C230="",0,IF(COUNTIFS('月1回_1ヶ月前の在庫'!$V$6:$V$10005,'設定'!$C$4,'月1回_1ヶ月前の在庫'!$W$6:$W$10005,$C230)&gt;0,1,0))</f>
        <v/>
      </c>
      <c r="CX230">
        <f>IF($C230="",0,IF(COUNTIFS('月1回_2ヶ月前の在庫'!$V$6:$V$10005,'設定'!$C$4,'月1回_2ヶ月前の在庫'!$W$6:$W$10005,$C230)&gt;0,1,0))</f>
        <v/>
      </c>
      <c r="CY230">
        <f>IF(OR($C230="",'設定'!$C$12=""),"",IF('設定'!$C$13="",IF(AND($CV230=1,$CW230=0),"新商品（今月から）",IF(AND($CV230=0,$CW230=1),"終売（今月から）","")),IF(AND($CV230=1,$CW230=0,$CX230=0),"新商品（今月から）",IF(AND($CV230=1,$CW230=1,$CX230=0),"新商品（先月から）",IF(AND($CV230=0,$CW230=1,$CX230=1),"終売（今月から）",IF(AND($CV230=0,$CW230=0,$CX230=1),"終売（先月から）",IF(AND($CV230=1,$CW230=0,$CX230=1),"復活（先月は無し）","")))))))</f>
        <v/>
      </c>
    </row>
    <row r="231">
      <c r="B231">
        <f>IF(226&lt;='設定'!$C$11,226,"")</f>
        <v/>
      </c>
      <c r="C231">
        <f>IF($B231="","",IF($B231&lt;='設定'!$C$20,INDEX('商品マスタ'!$B$6:$B$1005,MATCH($B231,'商品マスタ'!$M$6:$M$1005,0)),IF($B231&lt;='設定'!$C$20+'設定'!$C$17,INDEX('①在庫を貼る'!$W$6:$W$10005,MATCH($B231-'設定'!$C$20,'①在庫を貼る'!$U$6:$U$10005,0)),IF($B231&lt;='設定'!$C$20+'設定'!$C$17+'設定'!$C$18,INDEX('月1回_1ヶ月前の在庫'!$W$6:$W$10005,MATCH($B231-'設定'!$C$20-'設定'!$C$17,'月1回_1ヶ月前の在庫'!$U$6:$U$10005,0)),INDEX('月1回_2ヶ月前の在庫'!$W$6:$W$10005,MATCH($B231-'設定'!$C$20-'設定'!$C$17-'設定'!$C$18,'月1回_2ヶ月前の在庫'!$U$6:$U$10005,0))))))</f>
        <v/>
      </c>
      <c r="D231">
        <f>IF($C231="","",IFERROR(IF(INDEX('商品マスタ'!$C$6:$C$1005,MATCH($C231,'商品マスタ'!$B$6:$B$1005,0))="",IFERROR(INDEX('①在庫を貼る'!$J$6:$J$10005,MATCH($C231,'①在庫を貼る'!$W$6:$W$10005,0)),IFERROR(INDEX('月1回_1ヶ月前の在庫'!$J$6:$J$10005,MATCH($C231,'月1回_1ヶ月前の在庫'!$W$6:$W$10005,0)),IFERROR(INDEX('月1回_2ヶ月前の在庫'!$J$6:$J$10005,MATCH($C231,'月1回_2ヶ月前の在庫'!$W$6:$W$10005,0)),""))),INDEX('商品マスタ'!$C$6:$C$1005,MATCH($C231,'商品マスタ'!$B$6:$B$1005,0))),IFERROR(INDEX('①在庫を貼る'!$J$6:$J$10005,MATCH($C231,'①在庫を貼る'!$W$6:$W$10005,0)),IFERROR(INDEX('月1回_1ヶ月前の在庫'!$J$6:$J$10005,MATCH($C231,'月1回_1ヶ月前の在庫'!$W$6:$W$10005,0)),IFERROR(INDEX('月1回_2ヶ月前の在庫'!$J$6:$J$10005,MATCH($C231,'月1回_2ヶ月前の在庫'!$W$6:$W$10005,0)),"")))))</f>
        <v/>
      </c>
      <c r="E231">
        <f>IF($C231="","",IFERROR(IF(INDEX('商品マスタ'!$D$6:$D$1005,MATCH($C231,'商品マスタ'!$B$6:$B$1005,0))="",IFERROR(INDEX('①在庫を貼る'!$H$6:$H$10005,MATCH($C231,'①在庫を貼る'!$W$6:$W$10005,0)),IFERROR(INDEX('月1回_1ヶ月前の在庫'!$H$6:$H$10005,MATCH($C231,'月1回_1ヶ月前の在庫'!$W$6:$W$10005,0)),IFERROR(INDEX('月1回_2ヶ月前の在庫'!$H$6:$H$10005,MATCH($C231,'月1回_2ヶ月前の在庫'!$W$6:$W$10005,0)),""))),INDEX('商品マスタ'!$D$6:$D$1005,MATCH($C231,'商品マスタ'!$B$6:$B$1005,0))),IFERROR(INDEX('①在庫を貼る'!$H$6:$H$10005,MATCH($C231,'①在庫を貼る'!$W$6:$W$10005,0)),IFERROR(INDEX('月1回_1ヶ月前の在庫'!$H$6:$H$10005,MATCH($C231,'月1回_1ヶ月前の在庫'!$W$6:$W$10005,0)),IFERROR(INDEX('月1回_2ヶ月前の在庫'!$H$6:$H$10005,MATCH($C231,'月1回_2ヶ月前の在庫'!$W$6:$W$10005,0)),"")))))</f>
        <v/>
      </c>
      <c r="F231">
        <f>IF($C231="","",IFERROR(IF(INDEX('商品マスタ'!$E$6:$E$1005,MATCH($C231,'商品マスタ'!$B$6:$B$1005,0))="",IFERROR(INDEX('①在庫を貼る'!$E$6:$E$10005,MATCH($C231,'①在庫を貼る'!$W$6:$W$10005,0)),IFERROR(INDEX('月1回_1ヶ月前の在庫'!$E$6:$E$10005,MATCH($C231,'月1回_1ヶ月前の在庫'!$W$6:$W$10005,0)),IFERROR(INDEX('月1回_2ヶ月前の在庫'!$E$6:$E$10005,MATCH($C231,'月1回_2ヶ月前の在庫'!$W$6:$W$10005,0)),""))),INDEX('商品マスタ'!$E$6:$E$1005,MATCH($C231,'商品マスタ'!$B$6:$B$1005,0))),IFERROR(INDEX('①在庫を貼る'!$E$6:$E$10005,MATCH($C231,'①在庫を貼る'!$W$6:$W$10005,0)),IFERROR(INDEX('月1回_1ヶ月前の在庫'!$E$6:$E$10005,MATCH($C231,'月1回_1ヶ月前の在庫'!$W$6:$W$10005,0)),IFERROR(INDEX('月1回_2ヶ月前の在庫'!$E$6:$E$10005,MATCH($C231,'月1回_2ヶ月前の在庫'!$W$6:$W$10005,0)),"")))))</f>
        <v/>
      </c>
      <c r="G231">
        <f>IF($C231="","",MAX(1,N(IFERROR(IF(INDEX('商品マスタ'!$F$6:$F$1005,MATCH($C231,'商品マスタ'!$B$6:$B$1005,0))="",IF(COUNTIFS('①在庫を貼る'!$V$6:$V$10005,'設定'!$C$4,'①在庫を貼る'!$W$6:$W$10005,$C231)&gt;0,SUMIFS('①在庫を貼る'!$K$6:$K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K$6:$K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K$6:$K$10005,'月1回_2ヶ月前の在庫'!$V$6:$V$10005,'設定'!$C$4,'月1回_2ヶ月前の在庫'!$W$6:$W$10005,$C231)/COUNTIFS('月1回_2ヶ月前の在庫'!$V$6:$V$10005,'設定'!$C$4,'月1回_2ヶ月前の在庫'!$W$6:$W$10005,$C231),0))),INDEX('商品マスタ'!$F$6:$F$1005,MATCH($C231,'商品マスタ'!$B$6:$B$1005,0))),IF(COUNTIFS('①在庫を貼る'!$V$6:$V$10005,'設定'!$C$4,'①在庫を貼る'!$W$6:$W$10005,$C231)&gt;0,SUMIFS('①在庫を貼る'!$K$6:$K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K$6:$K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K$6:$K$10005,'月1回_2ヶ月前の在庫'!$V$6:$V$10005,'設定'!$C$4,'月1回_2ヶ月前の在庫'!$W$6:$W$10005,$C231)/COUNTIFS('月1回_2ヶ月前の在庫'!$V$6:$V$10005,'設定'!$C$4,'月1回_2ヶ月前の在庫'!$W$6:$W$10005,$C231),0)))))))</f>
        <v/>
      </c>
      <c r="H231">
        <f>IF($C231="","",N(IFERROR(IF(INDEX('商品マスタ'!$G$6:$G$1005,MATCH($C231,'商品マスタ'!$B$6:$B$1005,0))="",IF(COUNTIFS('①在庫を貼る'!$V$6:$V$10005,'設定'!$C$4,'①在庫を貼る'!$W$6:$W$10005,$C231)&gt;0,SUMIFS('①在庫を貼る'!$Q$6:$Q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Q$6:$Q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Q$6:$Q$10005,'月1回_2ヶ月前の在庫'!$V$6:$V$10005,'設定'!$C$4,'月1回_2ヶ月前の在庫'!$W$6:$W$10005,$C231)/COUNTIFS('月1回_2ヶ月前の在庫'!$V$6:$V$10005,'設定'!$C$4,'月1回_2ヶ月前の在庫'!$W$6:$W$10005,$C231),0))),INDEX('商品マスタ'!$G$6:$G$1005,MATCH($C231,'商品マスタ'!$B$6:$B$1005,0))),IF(COUNTIFS('①在庫を貼る'!$V$6:$V$10005,'設定'!$C$4,'①在庫を貼る'!$W$6:$W$10005,$C231)&gt;0,SUMIFS('①在庫を貼る'!$Q$6:$Q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Q$6:$Q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Q$6:$Q$10005,'月1回_2ヶ月前の在庫'!$V$6:$V$10005,'設定'!$C$4,'月1回_2ヶ月前の在庫'!$W$6:$W$10005,$C231)/COUNTIFS('月1回_2ヶ月前の在庫'!$V$6:$V$10005,'設定'!$C$4,'月1回_2ヶ月前の在庫'!$W$6:$W$10005,$C231),0))))))</f>
        <v/>
      </c>
      <c r="I231">
        <f>IF($C231="","",IF(COUNTIFS('①在庫を貼る'!$V$6:$V$10005,'設定'!$C$4,'①在庫を貼る'!$W$6:$W$10005,$C231)=0,"",SUMIFS('①在庫を貼る'!$N$6:$N$10005,'①在庫を貼る'!$V$6:$V$10005,'設定'!$C$4,'①在庫を貼る'!$W$6:$W$10005,$C231)))</f>
        <v/>
      </c>
      <c r="J231">
        <f>IF($C231="","",IF('②発注する'!$AD235="","",'②発注する'!$AD235))</f>
        <v/>
      </c>
      <c r="K231" s="90">
        <f>IF($C231="","",IF('②発注する'!$AE235="","",'②発注する'!$AE235))</f>
        <v/>
      </c>
      <c r="L231">
        <f>IF($C231="","",IF(AND(ISNUMBER($J231),ISNUMBER($K231),$K231&gt;='設定'!$C$6),$J231,N($I231)))</f>
        <v/>
      </c>
      <c r="M231">
        <f>IF($C231="","",IFERROR(IF(N(INDEX('商品マスタ'!$J$6:$J$1005,MATCH($C231,'商品マスタ'!$B$6:$B$1005,0)))&gt;0,INDEX('商品マスタ'!$J$6:$J$1005,MATCH($C231,'商品マスタ'!$B$6:$B$1005,0)),""),""))</f>
        <v/>
      </c>
      <c r="N231">
        <f>IF($C231="","",IFERROR(IF(N(INDEX('商品マスタ'!$H$6:$H$1005,MATCH($C231,'商品マスタ'!$B$6:$B$1005,0)))&gt;0,INDEX('商品マスタ'!$H$6:$H$1005,MATCH($C231,'商品マスタ'!$B$6:$B$1005,0)),""),""))</f>
        <v/>
      </c>
      <c r="O231">
        <f>IF($C231="","",IF($N231&lt;&gt;"",$N231*$G231,IF(N(IF(COUNTIFS('①在庫を貼る'!$V$6:$V$10005,'設定'!$C$4,'①在庫を貼る'!$W$6:$W$10005,$C231)&gt;0,SUMIFS('①在庫を貼る'!$O$6:$O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O$6:$O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O$6:$O$10005,'月1回_2ヶ月前の在庫'!$V$6:$V$10005,'設定'!$C$4,'月1回_2ヶ月前の在庫'!$W$6:$W$10005,$C231)/COUNTIFS('月1回_2ヶ月前の在庫'!$V$6:$V$10005,'設定'!$C$4,'月1回_2ヶ月前の在庫'!$W$6:$W$10005,$C231),0))))&gt;0,N(IF(COUNTIFS('①在庫を貼る'!$V$6:$V$10005,'設定'!$C$4,'①在庫を貼る'!$W$6:$W$10005,$C231)&gt;0,SUMIFS('①在庫を貼る'!$O$6:$O$10005,'①在庫を貼る'!$V$6:$V$10005,'設定'!$C$4,'①在庫を貼る'!$W$6:$W$10005,$C231)/COUNTIFS('①在庫を貼る'!$V$6:$V$10005,'設定'!$C$4,'①在庫を貼る'!$W$6:$W$10005,$C231),IF(COUNTIFS('月1回_1ヶ月前の在庫'!$V$6:$V$10005,'設定'!$C$4,'月1回_1ヶ月前の在庫'!$W$6:$W$10005,$C231)&gt;0,SUMIFS('月1回_1ヶ月前の在庫'!$O$6:$O$10005,'月1回_1ヶ月前の在庫'!$V$6:$V$10005,'設定'!$C$4,'月1回_1ヶ月前の在庫'!$W$6:$W$10005,$C231)/COUNTIFS('月1回_1ヶ月前の在庫'!$V$6:$V$10005,'設定'!$C$4,'月1回_1ヶ月前の在庫'!$W$6:$W$10005,$C231),IF(COUNTIFS('月1回_2ヶ月前の在庫'!$V$6:$V$10005,'設定'!$C$4,'月1回_2ヶ月前の在庫'!$W$6:$W$10005,$C231)&gt;0,SUMIFS('月1回_2ヶ月前の在庫'!$O$6:$O$10005,'月1回_2ヶ月前の在庫'!$V$6:$V$10005,'設定'!$C$4,'月1回_2ヶ月前の在庫'!$W$6:$W$10005,$C231)/COUNTIFS('月1回_2ヶ月前の在庫'!$V$6:$V$10005,'設定'!$C$4,'月1回_2ヶ月前の在庫'!$W$6:$W$10005,$C231),0)))),"")))</f>
        <v/>
      </c>
      <c r="P231" s="90">
        <f>IF($C231="","",IF('②発注する'!$I235="","",'②発注する'!$I235))</f>
        <v/>
      </c>
      <c r="Q231">
        <f>IF($C231="","",IF('②発注する'!$J235="","",'②発注する'!$J235))</f>
        <v/>
      </c>
      <c r="R231">
        <f>IF($C231="",0,IF(AND(ISNUMBER($P231),ISNUMBER($Q231)),MAX(0,$Q231)*$G231,0))</f>
        <v/>
      </c>
      <c r="S231" s="90">
        <f>IF($C231="","",IF('②発注する'!$M235="","",'②発注する'!$M235))</f>
        <v/>
      </c>
      <c r="T231">
        <f>IF($C231="","",IF('②発注する'!$N235="","",'②発注する'!$N235))</f>
        <v/>
      </c>
      <c r="U231">
        <f>IF($C231="",0,IF(AND(ISNUMBER($S231),ISNUMBER($T231)),MAX(0,$T231)*$G231,0))</f>
        <v/>
      </c>
      <c r="V231">
        <f>IF($C231="",0,IF($M231="",0,MAX(0,$M231)*MAX(0,V$4)/100))</f>
        <v/>
      </c>
      <c r="W231">
        <f>IF($C231="",0,IF($M231="",0,MAX(0,$M231)*MAX(0,W$4)/100))</f>
        <v/>
      </c>
      <c r="X231">
        <f>IF($C231="",0,IF($M231="",0,MAX(0,$M231)*MAX(0,X$4)/100))</f>
        <v/>
      </c>
      <c r="Y231">
        <f>IF($C231="",0,IF($M231="",0,MAX(0,$M231)*MAX(0,Y$4)/100))</f>
        <v/>
      </c>
      <c r="Z231">
        <f>IF($C231="",0,IF($M231="",0,MAX(0,$M231)*MAX(0,Z$4)/100))</f>
        <v/>
      </c>
      <c r="AA231">
        <f>IF($C231="",0,IF($M231="",0,MAX(0,$M231)*MAX(0,AA$4)/100))</f>
        <v/>
      </c>
      <c r="AB231">
        <f>IF($C231="",0,IF($M231="",0,MAX(0,$M231)*MAX(0,AB$4)/100))</f>
        <v/>
      </c>
      <c r="AC231">
        <f>IF($C231="",0,IF($M231="",0,MAX(0,$M231)*MAX(0,AC$4)/100))</f>
        <v/>
      </c>
      <c r="AD231">
        <f>IF($C231="",0,IF($M231="",0,MAX(0,$M231)*MAX(0,AD$4)/100))</f>
        <v/>
      </c>
      <c r="AE231">
        <f>IF($C231="",0,IF($M231="",0,MAX(0,$M231)*MAX(0,AE$4)/100))</f>
        <v/>
      </c>
      <c r="AF231">
        <f>IF($C231="",0,IF($M231="",0,MAX(0,$M231)*MAX(0,AF$4)/100))</f>
        <v/>
      </c>
      <c r="AG231">
        <f>IF($C231="",0,IF($M231="",0,MAX(0,$M231)*MAX(0,AG$4)/100))</f>
        <v/>
      </c>
      <c r="AH231">
        <f>IF($C231="",0,IF($M231="",0,MAX(0,$M231)*MAX(0,AH$4)/100))</f>
        <v/>
      </c>
      <c r="AI231">
        <f>IF($C231="",0,IF($M231="",0,MAX(0,$M231)*MAX(0,AI$4)/100))</f>
        <v/>
      </c>
      <c r="AJ231">
        <f>IF($C231="",0,MAX(0,MAX(0,N($L231))-$V231))</f>
        <v/>
      </c>
      <c r="AK231">
        <f>IF($C231="",0,MAX(0,$AJ231-$W231))</f>
        <v/>
      </c>
      <c r="AL231">
        <f>IF($C231="",0,MAX(0,$AK231-$X231))</f>
        <v/>
      </c>
      <c r="AM231">
        <f>IF($C231="",0,MAX(0,$AL231-$Y231))</f>
        <v/>
      </c>
      <c r="AN231">
        <f>IF($C231="",0,MAX(0,$AM231-$Z231))</f>
        <v/>
      </c>
      <c r="AO231">
        <f>IF($C231="",0,MAX(0,$AN231-$AA231))</f>
        <v/>
      </c>
      <c r="AP231">
        <f>IF($C231="",0,MAX(0,$AO231-$AB231))</f>
        <v/>
      </c>
      <c r="AQ231">
        <f>IF($C231="",0,MAX(0,$AP231-$AC231))</f>
        <v/>
      </c>
      <c r="AR231">
        <f>IF($C231="",0,MAX(0,$AQ231-$AD231))</f>
        <v/>
      </c>
      <c r="AS231">
        <f>IF($C231="",0,MAX(0,$AR231-$AE231))</f>
        <v/>
      </c>
      <c r="AT231">
        <f>IF($C231="",0,MAX(0,$AS231-$AF231))</f>
        <v/>
      </c>
      <c r="AU231">
        <f>IF($C231="",0,MAX(0,$AT231-$AG231))</f>
        <v/>
      </c>
      <c r="AV231">
        <f>IF($C231="",0,MAX(0,$AU231-$AH231))</f>
        <v/>
      </c>
      <c r="AW231">
        <f>IF($C231="",0,MAX(0,$AV231-$AI231))</f>
        <v/>
      </c>
      <c r="AX231">
        <f>IF($C231="",0,MAX(0,MAX(0,N($L231))+IF($P231=V$3,$R231,0)+IF($S231=V$3,$U231,0)-$V231))</f>
        <v/>
      </c>
      <c r="AY231">
        <f>IF($C231="",0,MAX(0,$AX231+IF($P231=W$3,$R231,0)+IF($S231=W$3,$U231,0)-$W231))</f>
        <v/>
      </c>
      <c r="AZ231">
        <f>IF($C231="",0,MAX(0,$AY231+IF($P231=X$3,$R231,0)+IF($S231=X$3,$U231,0)-$X231))</f>
        <v/>
      </c>
      <c r="BA231">
        <f>IF($C231="",0,MAX(0,$AZ231+IF($P231=Y$3,$R231,0)+IF($S231=Y$3,$U231,0)-$Y231))</f>
        <v/>
      </c>
      <c r="BB231">
        <f>IF($C231="",0,MAX(0,$BA231+IF($P231=Z$3,$R231,0)+IF($S231=Z$3,$U231,0)-$Z231))</f>
        <v/>
      </c>
      <c r="BC231">
        <f>IF($C231="",0,MAX(0,$BB231+IF($P231=AA$3,$R231,0)+IF($S231=AA$3,$U231,0)-$AA231))</f>
        <v/>
      </c>
      <c r="BD231">
        <f>IF($C231="",0,MAX(0,$BC231+IF($P231=AB$3,$R231,0)+IF($S231=AB$3,$U231,0)-$AB231))</f>
        <v/>
      </c>
      <c r="BE231">
        <f>IF($C231="",0,MAX(0,$BD231+IF($P231=AC$3,$R231,0)+IF($S231=AC$3,$U231,0)-$AC231))</f>
        <v/>
      </c>
      <c r="BF231">
        <f>IF($C231="",0,MAX(0,$BE231+IF($P231=AD$3,$R231,0)+IF($S231=AD$3,$U231,0)-$AD231))</f>
        <v/>
      </c>
      <c r="BG231">
        <f>IF($C231="",0,MAX(0,$BF231+IF($P231=AE$3,$R231,0)+IF($S231=AE$3,$U231,0)-$AE231))</f>
        <v/>
      </c>
      <c r="BH231">
        <f>IF($C231="",0,MAX(0,$BG231+IF($P231=AF$3,$R231,0)+IF($S231=AF$3,$U231,0)-$AF231))</f>
        <v/>
      </c>
      <c r="BI231">
        <f>IF($C231="",0,MAX(0,$BH231+IF($P231=AG$3,$R231,0)+IF($S231=AG$3,$U231,0)-$AG231))</f>
        <v/>
      </c>
      <c r="BJ231">
        <f>IF($C231="",0,MAX(0,$BI231+IF($P231=AH$3,$R231,0)+IF($S231=AH$3,$U231,0)-$AH231))</f>
        <v/>
      </c>
      <c r="BK231">
        <f>IF($C231="",0,MAX(0,$BJ231+IF($P231=AI$3,$R231,0)+IF($S231=AI$3,$U231,0)-$AI231))</f>
        <v/>
      </c>
      <c r="BL231">
        <f>IF($C231="",99,IF(AND($AX231&lt;1,V$3&gt;=MAX(N($P231),N($S231))),0,99))</f>
        <v/>
      </c>
      <c r="BM231">
        <f>IF($C231="",99,IF(AND($AY231&lt;1,W$3&gt;=MAX(N($P231),N($S231))),1,99))</f>
        <v/>
      </c>
      <c r="BN231">
        <f>IF($C231="",99,IF(AND($AZ231&lt;1,X$3&gt;=MAX(N($P231),N($S231))),2,99))</f>
        <v/>
      </c>
      <c r="BO231">
        <f>IF($C231="",99,IF(AND($BA231&lt;1,Y$3&gt;=MAX(N($P231),N($S231))),3,99))</f>
        <v/>
      </c>
      <c r="BP231">
        <f>IF($C231="",99,IF(AND($BB231&lt;1,Z$3&gt;=MAX(N($P231),N($S231))),4,99))</f>
        <v/>
      </c>
      <c r="BQ231">
        <f>IF($C231="",99,IF(AND($BC231&lt;1,AA$3&gt;=MAX(N($P231),N($S231))),5,99))</f>
        <v/>
      </c>
      <c r="BR231">
        <f>IF($C231="",99,IF(AND($BD231&lt;1,AB$3&gt;=MAX(N($P231),N($S231))),6,99))</f>
        <v/>
      </c>
      <c r="BS231">
        <f>IF($C231="",99,IF(AND($BE231&lt;1,AC$3&gt;=MAX(N($P231),N($S231))),7,99))</f>
        <v/>
      </c>
      <c r="BT231">
        <f>IF($C231="",99,IF(AND($BF231&lt;1,AD$3&gt;=MAX(N($P231),N($S231))),8,99))</f>
        <v/>
      </c>
      <c r="BU231">
        <f>IF($C231="",99,IF(AND($BG231&lt;1,AE$3&gt;=MAX(N($P231),N($S231))),9,99))</f>
        <v/>
      </c>
      <c r="BV231">
        <f>IF($C231="",99,IF(AND($BH231&lt;1,AF$3&gt;=MAX(N($P231),N($S231))),10,99))</f>
        <v/>
      </c>
      <c r="BW231">
        <f>IF($C231="",99,IF(AND($BI231&lt;1,AG$3&gt;=MAX(N($P231),N($S231))),11,99))</f>
        <v/>
      </c>
      <c r="BX231">
        <f>IF($C231="",99,IF(AND($BJ231&lt;1,AH$3&gt;=MAX(N($P231),N($S231))),12,99))</f>
        <v/>
      </c>
      <c r="BY231">
        <f>IF($C231="",99,IF(AND($BK231&lt;1,AI$3&gt;=MAX(N($P231),N($S231))),13,99))</f>
        <v/>
      </c>
      <c r="BZ231">
        <f>IF(OR($C231="",$M231=""),"",COUNTIF($AJ231:$AW231,"&gt;=1"))</f>
        <v/>
      </c>
      <c r="CA231" s="90">
        <f>IF($BZ231="","",IF($BZ231&gt;=14,"",'設定'!$C$6+$BZ231))</f>
        <v/>
      </c>
      <c r="CB231">
        <f>IF(OR($C231="",$M231=""),"",MIN($BL231:$BY231))</f>
        <v/>
      </c>
      <c r="CC231" s="90">
        <f>IF($CB231="","",IF($CB231&gt;=99,"",'設定'!$C$6+$CB231))</f>
        <v/>
      </c>
      <c r="CD231">
        <f>IF(OR($C231="",$M231=""),"",AVERAGE($V231:$AI231))</f>
        <v/>
      </c>
      <c r="CE231">
        <f>IF($C231="","",IFERROR(IF(MATCH(IF(ISNUMBER($P231),$P231,'設定'!$C$6+N('設定'!$C$7)),$V$3:$AI$3,0)=1,MAX(0,N($L231)),INDEX($AJ231:$AW231,MATCH(IF(ISNUMBER($P231),$P231,'設定'!$C$6+N('設定'!$C$7)),$V$3:$AI$3,0)-1)),""))</f>
        <v/>
      </c>
      <c r="CF231">
        <f>IF(OR($C231="",$O231="",$CE231=""),"",IF($O231-$CE231&lt;=0,0,ROUNDUP(($O231-$CE231)/$G231,0)))</f>
        <v/>
      </c>
      <c r="CG231">
        <f>IF(OR($C231="",$CF231="",NOT(ISNUMBER($Q231))),0,MAX(0,$Q231-$CF231))</f>
        <v/>
      </c>
      <c r="CH231">
        <f>IF(OR($C231="",$O231="",$U231=0),0,IFERROR(ROUNDUP(MAX(0,IF(MATCH($S231,$V$3:$AI$3,0)=1,MAX(0,N($L231)),INDEX($AX231:$BK231,MATCH($S231,$V$3:$AI$3,0)-1))+$U231-$O231)/$G231,0),0))</f>
        <v/>
      </c>
      <c r="CI231">
        <f>IF($C231="","",IF(AND($P231="",$Q231=""),"",IF($P231="","⚠ 入庫日を ▼ から選んでください",IF(NOT(ISNUMBER($P231)),"⚠ 入庫日は ▼ から選んでください",IF($P231&lt;N('設定'!$C$6),"⚠ 入庫日が過去です（もう在庫に入っています）→ 消してください",IF($P231&gt;N('設定'!$C$6)+13,"⚠ 入庫日が14日より先です",IF(N($Q231)&lt;=0,"⚠ 入庫数を入れてください",IF($CG231&gt;0,"⚠ 目安より "&amp;$CG231&amp;" 多い（定数を超える）→ 減らす",""))))))))</f>
        <v/>
      </c>
      <c r="CJ231">
        <f>IF($C231="","",IF(AND($S231="",$T231=""),"",IF($S231="","⚠ 2便目：入庫日を ▼ から選んでください",IF(NOT(ISNUMBER($S231)),"⚠ 2便目：入庫日は ▼ から選んでください",IF($S231&lt;N('設定'!$C$6),"⚠ 2便目：入庫日が過去です（もう在庫に入っています）→ 消してください",IF($S231&gt;N('設定'!$C$6)+13,"⚠ 2便目：入庫日が14日より先です",IF(N($T231)&lt;=0,"⚠ 2便目：入庫数を入れてください",IF($CH231&gt;0,"⚠ 2便目：定数を "&amp;$CH231&amp;" ケース超える → 減らす",""))))))))</f>
        <v/>
      </c>
      <c r="CK231">
        <f>IF(AND($CI231="",N($Q231)&gt;0,ISNUMBER($P231)),1,0)</f>
        <v/>
      </c>
      <c r="CL231">
        <f>IF(AND($CJ231="",N($T231)&gt;0,ISNUMBER($S231)),1,0)</f>
        <v/>
      </c>
      <c r="CM231">
        <f>IF(OR($CK231=1,$CL231=1),1,0)</f>
        <v/>
      </c>
      <c r="CN231">
        <f>IF($C231="",0,($CK231*$R231+$CL231*$U231)*N($H231))</f>
        <v/>
      </c>
      <c r="CO231">
        <f>IF($C231="","",IF($CC231="","入庫後は 14日以上もつ",IF($CC231-N('設定'!$C$7)&lt;='設定'!$C$6,"入庫後も "&amp;TEXT($CC231,"m/d")&amp;"("&amp;CHOOSE(WEEKDAY($CC231),"日","月","火","水","木","金","土")&amp;")"&amp;" に切れる　もう1便を至急発注","入庫後も "&amp;TEXT($CC231,"m/d")&amp;"("&amp;CHOOSE(WEEKDAY($CC231),"日","月","火","水","木","金","土")&amp;")"&amp;" に切れる　"&amp;TEXT($CC231-N('設定'!$C$7),"m/d")&amp;"("&amp;CHOOSE(WEEKDAY($CC231-N('設定'!$C$7)),"日","月","火","水","木","金","土")&amp;")"&amp;" までに次を発注")))</f>
        <v/>
      </c>
      <c r="CP231">
        <f>IF($C231="","",IF('設定'!$C$6="","？ ①在庫を貼る に今日のCSVが貼られていない",IF($CS231=1,"－ 今日のCSVに無い（終売？）",IF($L231&lt;0,"● 在庫がマイナス　数えて「数えた在庫」に入れる",IF($L231=0,"● 在庫なし　至急発注",IF($M231="","？ 減り数が未設定（商品マスタ）",IF($B$3=0,"？ 動員が未入力（動員を入れる）",IF($CA231="","○ 14日以上もつ",IF($BZ231&lt;N('設定'!$C$7),"● "&amp;TEXT($CA231,"m/d")&amp;"("&amp;CHOOSE(WEEKDAY($CA231),"日","月","火","水","木","金","土")&amp;")"&amp;" に切れる　至急発注",IF($BZ231=N('設定'!$C$7),"● "&amp;TEXT($CA231,"m/d")&amp;"("&amp;CHOOSE(WEEKDAY($CA231),"日","月","火","水","木","金","土")&amp;")"&amp;" に切れる　今日発注","△ "&amp;TEXT($CA231,"m/d")&amp;"("&amp;CHOOSE(WEEKDAY($CA231),"日","月","火","水","木","金","土")&amp;")"&amp;" に切れる　"&amp;TEXT($CA231-N('設定'!$C$7),"m/d")&amp;"("&amp;CHOOSE(WEEKDAY($CA231-N('設定'!$C$7)),"日","月","火","水","木","金","土")&amp;")"&amp;" までに発注"))))))))))</f>
        <v/>
      </c>
      <c r="CQ231">
        <f>IF($C231="","",IF(AND($P231="",$Q231="",$S231="",$T231=""),"",IF(AND($P231="",$Q231=""),"⚠ 先に1便目（左の入庫日・入庫数）に入れてください",IF($CI231&lt;&gt;"",$CI231,IF($CJ231&lt;&gt;"",$CJ231,IF($M231="","？ 減り数が未設定（発注書には載ります）",IF($B$3=0,"？ 動員が未入力（発注書には載ります）",IF(AND($CA231&lt;&gt;"",$P231&gt;$CA231),IF($P231&gt;'設定'!$C$6+N('設定'!$C$7),"● "&amp;TEXT($P231,"m/d")&amp;"("&amp;CHOOSE(WEEKDAY($P231),"日","月","火","水","木","金","土")&amp;")"&amp;" の入庫では間に合わない（"&amp;TEXT($CA231,"m/d")&amp;"("&amp;CHOOSE(WEEKDAY($CA231),"日","月","火","水","木","金","土")&amp;")"&amp;" に切れる）　入庫日を早める","△ 欠品 "&amp;TEXT($CA231,"m/d")&amp;"("&amp;CHOOSE(WEEKDAY($CA231),"日","月","火","水","木","金","土")&amp;")"&amp;"〜"&amp;TEXT($P231-1,"m/d")&amp;"("&amp;CHOOSE(WEEKDAY($P231-1),"日","月","火","水","木","金","土")&amp;")"&amp;"　"&amp;$CO231),IF($CC231="","○ "&amp;TEXT($P231,"m/d")&amp;"("&amp;CHOOSE(WEEKDAY($P231),"日","月","火","水","木","金","土")&amp;")"&amp;" 入庫で 14日以上もつ",IF($CC231-N('設定'!$C$7)&lt;='設定'!$C$6,"● 入庫しても "&amp;TEXT($CC231,"m/d")&amp;"("&amp;CHOOSE(WEEKDAY($CC231),"日","月","火","水","木","金","土")&amp;")"&amp;" に切れる　もう1便を至急発注（2便目に入れる）","△ 入庫しても "&amp;TEXT($CC231,"m/d")&amp;"("&amp;CHOOSE(WEEKDAY($CC231),"日","月","火","水","木","金","土")&amp;")"&amp;" に切れる　"&amp;TEXT($CC231-N('設定'!$C$7),"m/d")&amp;"("&amp;CHOOSE(WEEKDAY($CC231-N('設定'!$C$7)),"日","月","火","水","木","金","土")&amp;")"&amp;" までに次を発注（2便目に入れる）"))))))))))</f>
        <v/>
      </c>
      <c r="CR231">
        <f>IF($C231="","",IF($G231&gt;1,"ｹｰｽ("&amp;$G231&amp;"入)","個"))</f>
        <v/>
      </c>
      <c r="CS231">
        <f>IF($C231="",0,IF(COUNTIFS('①在庫を貼る'!$V$6:$V$10005,'設定'!$C$4,'①在庫を貼る'!$W$6:$W$10005,$C231)=0,1,0))</f>
        <v/>
      </c>
      <c r="CT231">
        <f>IF(AND($CK231=1,OR('③発注書'!$C$4="すべて",'③発注書'!$C$4="",$F231='③発注書'!$C$4)),N($CT230)+1,N($CT230))</f>
        <v/>
      </c>
      <c r="CU231">
        <f>IF(AND($CL231=1,OR('③発注書'!$C$4="すべて",'③発注書'!$C$4="",$F231='③発注書'!$C$4)),N($CU230)+1,N($CU230))</f>
        <v/>
      </c>
      <c r="CV231">
        <f>IF($C231="",0,IF(COUNTIFS('①在庫を貼る'!$V$6:$V$10005,'設定'!$C$4,'①在庫を貼る'!$W$6:$W$10005,$C231)&gt;0,1,0))</f>
        <v/>
      </c>
      <c r="CW231">
        <f>IF($C231="",0,IF(COUNTIFS('月1回_1ヶ月前の在庫'!$V$6:$V$10005,'設定'!$C$4,'月1回_1ヶ月前の在庫'!$W$6:$W$10005,$C231)&gt;0,1,0))</f>
        <v/>
      </c>
      <c r="CX231">
        <f>IF($C231="",0,IF(COUNTIFS('月1回_2ヶ月前の在庫'!$V$6:$V$10005,'設定'!$C$4,'月1回_2ヶ月前の在庫'!$W$6:$W$10005,$C231)&gt;0,1,0))</f>
        <v/>
      </c>
      <c r="CY231">
        <f>IF(OR($C231="",'設定'!$C$12=""),"",IF('設定'!$C$13="",IF(AND($CV231=1,$CW231=0),"新商品（今月から）",IF(AND($CV231=0,$CW231=1),"終売（今月から）","")),IF(AND($CV231=1,$CW231=0,$CX231=0),"新商品（今月から）",IF(AND($CV231=1,$CW231=1,$CX231=0),"新商品（先月から）",IF(AND($CV231=0,$CW231=1,$CX231=1),"終売（今月から）",IF(AND($CV231=0,$CW231=0,$CX231=1),"終売（先月から）",IF(AND($CV231=1,$CW231=0,$CX231=1),"復活（先月は無し）","")))))))</f>
        <v/>
      </c>
    </row>
    <row r="232">
      <c r="B232">
        <f>IF(227&lt;='設定'!$C$11,227,"")</f>
        <v/>
      </c>
      <c r="C232">
        <f>IF($B232="","",IF($B232&lt;='設定'!$C$20,INDEX('商品マスタ'!$B$6:$B$1005,MATCH($B232,'商品マスタ'!$M$6:$M$1005,0)),IF($B232&lt;='設定'!$C$20+'設定'!$C$17,INDEX('①在庫を貼る'!$W$6:$W$10005,MATCH($B232-'設定'!$C$20,'①在庫を貼る'!$U$6:$U$10005,0)),IF($B232&lt;='設定'!$C$20+'設定'!$C$17+'設定'!$C$18,INDEX('月1回_1ヶ月前の在庫'!$W$6:$W$10005,MATCH($B232-'設定'!$C$20-'設定'!$C$17,'月1回_1ヶ月前の在庫'!$U$6:$U$10005,0)),INDEX('月1回_2ヶ月前の在庫'!$W$6:$W$10005,MATCH($B232-'設定'!$C$20-'設定'!$C$17-'設定'!$C$18,'月1回_2ヶ月前の在庫'!$U$6:$U$10005,0))))))</f>
        <v/>
      </c>
      <c r="D232">
        <f>IF($C232="","",IFERROR(IF(INDEX('商品マスタ'!$C$6:$C$1005,MATCH($C232,'商品マスタ'!$B$6:$B$1005,0))="",IFERROR(INDEX('①在庫を貼る'!$J$6:$J$10005,MATCH($C232,'①在庫を貼る'!$W$6:$W$10005,0)),IFERROR(INDEX('月1回_1ヶ月前の在庫'!$J$6:$J$10005,MATCH($C232,'月1回_1ヶ月前の在庫'!$W$6:$W$10005,0)),IFERROR(INDEX('月1回_2ヶ月前の在庫'!$J$6:$J$10005,MATCH($C232,'月1回_2ヶ月前の在庫'!$W$6:$W$10005,0)),""))),INDEX('商品マスタ'!$C$6:$C$1005,MATCH($C232,'商品マスタ'!$B$6:$B$1005,0))),IFERROR(INDEX('①在庫を貼る'!$J$6:$J$10005,MATCH($C232,'①在庫を貼る'!$W$6:$W$10005,0)),IFERROR(INDEX('月1回_1ヶ月前の在庫'!$J$6:$J$10005,MATCH($C232,'月1回_1ヶ月前の在庫'!$W$6:$W$10005,0)),IFERROR(INDEX('月1回_2ヶ月前の在庫'!$J$6:$J$10005,MATCH($C232,'月1回_2ヶ月前の在庫'!$W$6:$W$10005,0)),"")))))</f>
        <v/>
      </c>
      <c r="E232">
        <f>IF($C232="","",IFERROR(IF(INDEX('商品マスタ'!$D$6:$D$1005,MATCH($C232,'商品マスタ'!$B$6:$B$1005,0))="",IFERROR(INDEX('①在庫を貼る'!$H$6:$H$10005,MATCH($C232,'①在庫を貼る'!$W$6:$W$10005,0)),IFERROR(INDEX('月1回_1ヶ月前の在庫'!$H$6:$H$10005,MATCH($C232,'月1回_1ヶ月前の在庫'!$W$6:$W$10005,0)),IFERROR(INDEX('月1回_2ヶ月前の在庫'!$H$6:$H$10005,MATCH($C232,'月1回_2ヶ月前の在庫'!$W$6:$W$10005,0)),""))),INDEX('商品マスタ'!$D$6:$D$1005,MATCH($C232,'商品マスタ'!$B$6:$B$1005,0))),IFERROR(INDEX('①在庫を貼る'!$H$6:$H$10005,MATCH($C232,'①在庫を貼る'!$W$6:$W$10005,0)),IFERROR(INDEX('月1回_1ヶ月前の在庫'!$H$6:$H$10005,MATCH($C232,'月1回_1ヶ月前の在庫'!$W$6:$W$10005,0)),IFERROR(INDEX('月1回_2ヶ月前の在庫'!$H$6:$H$10005,MATCH($C232,'月1回_2ヶ月前の在庫'!$W$6:$W$10005,0)),"")))))</f>
        <v/>
      </c>
      <c r="F232">
        <f>IF($C232="","",IFERROR(IF(INDEX('商品マスタ'!$E$6:$E$1005,MATCH($C232,'商品マスタ'!$B$6:$B$1005,0))="",IFERROR(INDEX('①在庫を貼る'!$E$6:$E$10005,MATCH($C232,'①在庫を貼る'!$W$6:$W$10005,0)),IFERROR(INDEX('月1回_1ヶ月前の在庫'!$E$6:$E$10005,MATCH($C232,'月1回_1ヶ月前の在庫'!$W$6:$W$10005,0)),IFERROR(INDEX('月1回_2ヶ月前の在庫'!$E$6:$E$10005,MATCH($C232,'月1回_2ヶ月前の在庫'!$W$6:$W$10005,0)),""))),INDEX('商品マスタ'!$E$6:$E$1005,MATCH($C232,'商品マスタ'!$B$6:$B$1005,0))),IFERROR(INDEX('①在庫を貼る'!$E$6:$E$10005,MATCH($C232,'①在庫を貼る'!$W$6:$W$10005,0)),IFERROR(INDEX('月1回_1ヶ月前の在庫'!$E$6:$E$10005,MATCH($C232,'月1回_1ヶ月前の在庫'!$W$6:$W$10005,0)),IFERROR(INDEX('月1回_2ヶ月前の在庫'!$E$6:$E$10005,MATCH($C232,'月1回_2ヶ月前の在庫'!$W$6:$W$10005,0)),"")))))</f>
        <v/>
      </c>
      <c r="G232">
        <f>IF($C232="","",MAX(1,N(IFERROR(IF(INDEX('商品マスタ'!$F$6:$F$1005,MATCH($C232,'商品マスタ'!$B$6:$B$1005,0))="",IF(COUNTIFS('①在庫を貼る'!$V$6:$V$10005,'設定'!$C$4,'①在庫を貼る'!$W$6:$W$10005,$C232)&gt;0,SUMIFS('①在庫を貼る'!$K$6:$K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K$6:$K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K$6:$K$10005,'月1回_2ヶ月前の在庫'!$V$6:$V$10005,'設定'!$C$4,'月1回_2ヶ月前の在庫'!$W$6:$W$10005,$C232)/COUNTIFS('月1回_2ヶ月前の在庫'!$V$6:$V$10005,'設定'!$C$4,'月1回_2ヶ月前の在庫'!$W$6:$W$10005,$C232),0))),INDEX('商品マスタ'!$F$6:$F$1005,MATCH($C232,'商品マスタ'!$B$6:$B$1005,0))),IF(COUNTIFS('①在庫を貼る'!$V$6:$V$10005,'設定'!$C$4,'①在庫を貼る'!$W$6:$W$10005,$C232)&gt;0,SUMIFS('①在庫を貼る'!$K$6:$K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K$6:$K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K$6:$K$10005,'月1回_2ヶ月前の在庫'!$V$6:$V$10005,'設定'!$C$4,'月1回_2ヶ月前の在庫'!$W$6:$W$10005,$C232)/COUNTIFS('月1回_2ヶ月前の在庫'!$V$6:$V$10005,'設定'!$C$4,'月1回_2ヶ月前の在庫'!$W$6:$W$10005,$C232),0)))))))</f>
        <v/>
      </c>
      <c r="H232">
        <f>IF($C232="","",N(IFERROR(IF(INDEX('商品マスタ'!$G$6:$G$1005,MATCH($C232,'商品マスタ'!$B$6:$B$1005,0))="",IF(COUNTIFS('①在庫を貼る'!$V$6:$V$10005,'設定'!$C$4,'①在庫を貼る'!$W$6:$W$10005,$C232)&gt;0,SUMIFS('①在庫を貼る'!$Q$6:$Q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Q$6:$Q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Q$6:$Q$10005,'月1回_2ヶ月前の在庫'!$V$6:$V$10005,'設定'!$C$4,'月1回_2ヶ月前の在庫'!$W$6:$W$10005,$C232)/COUNTIFS('月1回_2ヶ月前の在庫'!$V$6:$V$10005,'設定'!$C$4,'月1回_2ヶ月前の在庫'!$W$6:$W$10005,$C232),0))),INDEX('商品マスタ'!$G$6:$G$1005,MATCH($C232,'商品マスタ'!$B$6:$B$1005,0))),IF(COUNTIFS('①在庫を貼る'!$V$6:$V$10005,'設定'!$C$4,'①在庫を貼る'!$W$6:$W$10005,$C232)&gt;0,SUMIFS('①在庫を貼る'!$Q$6:$Q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Q$6:$Q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Q$6:$Q$10005,'月1回_2ヶ月前の在庫'!$V$6:$V$10005,'設定'!$C$4,'月1回_2ヶ月前の在庫'!$W$6:$W$10005,$C232)/COUNTIFS('月1回_2ヶ月前の在庫'!$V$6:$V$10005,'設定'!$C$4,'月1回_2ヶ月前の在庫'!$W$6:$W$10005,$C232),0))))))</f>
        <v/>
      </c>
      <c r="I232">
        <f>IF($C232="","",IF(COUNTIFS('①在庫を貼る'!$V$6:$V$10005,'設定'!$C$4,'①在庫を貼る'!$W$6:$W$10005,$C232)=0,"",SUMIFS('①在庫を貼る'!$N$6:$N$10005,'①在庫を貼る'!$V$6:$V$10005,'設定'!$C$4,'①在庫を貼る'!$W$6:$W$10005,$C232)))</f>
        <v/>
      </c>
      <c r="J232">
        <f>IF($C232="","",IF('②発注する'!$AD236="","",'②発注する'!$AD236))</f>
        <v/>
      </c>
      <c r="K232" s="90">
        <f>IF($C232="","",IF('②発注する'!$AE236="","",'②発注する'!$AE236))</f>
        <v/>
      </c>
      <c r="L232">
        <f>IF($C232="","",IF(AND(ISNUMBER($J232),ISNUMBER($K232),$K232&gt;='設定'!$C$6),$J232,N($I232)))</f>
        <v/>
      </c>
      <c r="M232">
        <f>IF($C232="","",IFERROR(IF(N(INDEX('商品マスタ'!$J$6:$J$1005,MATCH($C232,'商品マスタ'!$B$6:$B$1005,0)))&gt;0,INDEX('商品マスタ'!$J$6:$J$1005,MATCH($C232,'商品マスタ'!$B$6:$B$1005,0)),""),""))</f>
        <v/>
      </c>
      <c r="N232">
        <f>IF($C232="","",IFERROR(IF(N(INDEX('商品マスタ'!$H$6:$H$1005,MATCH($C232,'商品マスタ'!$B$6:$B$1005,0)))&gt;0,INDEX('商品マスタ'!$H$6:$H$1005,MATCH($C232,'商品マスタ'!$B$6:$B$1005,0)),""),""))</f>
        <v/>
      </c>
      <c r="O232">
        <f>IF($C232="","",IF($N232&lt;&gt;"",$N232*$G232,IF(N(IF(COUNTIFS('①在庫を貼る'!$V$6:$V$10005,'設定'!$C$4,'①在庫を貼る'!$W$6:$W$10005,$C232)&gt;0,SUMIFS('①在庫を貼る'!$O$6:$O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O$6:$O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O$6:$O$10005,'月1回_2ヶ月前の在庫'!$V$6:$V$10005,'設定'!$C$4,'月1回_2ヶ月前の在庫'!$W$6:$W$10005,$C232)/COUNTIFS('月1回_2ヶ月前の在庫'!$V$6:$V$10005,'設定'!$C$4,'月1回_2ヶ月前の在庫'!$W$6:$W$10005,$C232),0))))&gt;0,N(IF(COUNTIFS('①在庫を貼る'!$V$6:$V$10005,'設定'!$C$4,'①在庫を貼る'!$W$6:$W$10005,$C232)&gt;0,SUMIFS('①在庫を貼る'!$O$6:$O$10005,'①在庫を貼る'!$V$6:$V$10005,'設定'!$C$4,'①在庫を貼る'!$W$6:$W$10005,$C232)/COUNTIFS('①在庫を貼る'!$V$6:$V$10005,'設定'!$C$4,'①在庫を貼る'!$W$6:$W$10005,$C232),IF(COUNTIFS('月1回_1ヶ月前の在庫'!$V$6:$V$10005,'設定'!$C$4,'月1回_1ヶ月前の在庫'!$W$6:$W$10005,$C232)&gt;0,SUMIFS('月1回_1ヶ月前の在庫'!$O$6:$O$10005,'月1回_1ヶ月前の在庫'!$V$6:$V$10005,'設定'!$C$4,'月1回_1ヶ月前の在庫'!$W$6:$W$10005,$C232)/COUNTIFS('月1回_1ヶ月前の在庫'!$V$6:$V$10005,'設定'!$C$4,'月1回_1ヶ月前の在庫'!$W$6:$W$10005,$C232),IF(COUNTIFS('月1回_2ヶ月前の在庫'!$V$6:$V$10005,'設定'!$C$4,'月1回_2ヶ月前の在庫'!$W$6:$W$10005,$C232)&gt;0,SUMIFS('月1回_2ヶ月前の在庫'!$O$6:$O$10005,'月1回_2ヶ月前の在庫'!$V$6:$V$10005,'設定'!$C$4,'月1回_2ヶ月前の在庫'!$W$6:$W$10005,$C232)/COUNTIFS('月1回_2ヶ月前の在庫'!$V$6:$V$10005,'設定'!$C$4,'月1回_2ヶ月前の在庫'!$W$6:$W$10005,$C232),0)))),"")))</f>
        <v/>
      </c>
      <c r="P232" s="90">
        <f>IF($C232="","",IF('②発注する'!$I236="","",'②発注する'!$I236))</f>
        <v/>
      </c>
      <c r="Q232">
        <f>IF($C232="","",IF('②発注する'!$J236="","",'②発注する'!$J236))</f>
        <v/>
      </c>
      <c r="R232">
        <f>IF($C232="",0,IF(AND(ISNUMBER($P232),ISNUMBER($Q232)),MAX(0,$Q232)*$G232,0))</f>
        <v/>
      </c>
      <c r="S232" s="90">
        <f>IF($C232="","",IF('②発注する'!$M236="","",'②発注する'!$M236))</f>
        <v/>
      </c>
      <c r="T232">
        <f>IF($C232="","",IF('②発注する'!$N236="","",'②発注する'!$N236))</f>
        <v/>
      </c>
      <c r="U232">
        <f>IF($C232="",0,IF(AND(ISNUMBER($S232),ISNUMBER($T232)),MAX(0,$T232)*$G232,0))</f>
        <v/>
      </c>
      <c r="V232">
        <f>IF($C232="",0,IF($M232="",0,MAX(0,$M232)*MAX(0,V$4)/100))</f>
        <v/>
      </c>
      <c r="W232">
        <f>IF($C232="",0,IF($M232="",0,MAX(0,$M232)*MAX(0,W$4)/100))</f>
        <v/>
      </c>
      <c r="X232">
        <f>IF($C232="",0,IF($M232="",0,MAX(0,$M232)*MAX(0,X$4)/100))</f>
        <v/>
      </c>
      <c r="Y232">
        <f>IF($C232="",0,IF($M232="",0,MAX(0,$M232)*MAX(0,Y$4)/100))</f>
        <v/>
      </c>
      <c r="Z232">
        <f>IF($C232="",0,IF($M232="",0,MAX(0,$M232)*MAX(0,Z$4)/100))</f>
        <v/>
      </c>
      <c r="AA232">
        <f>IF($C232="",0,IF($M232="",0,MAX(0,$M232)*MAX(0,AA$4)/100))</f>
        <v/>
      </c>
      <c r="AB232">
        <f>IF($C232="",0,IF($M232="",0,MAX(0,$M232)*MAX(0,AB$4)/100))</f>
        <v/>
      </c>
      <c r="AC232">
        <f>IF($C232="",0,IF($M232="",0,MAX(0,$M232)*MAX(0,AC$4)/100))</f>
        <v/>
      </c>
      <c r="AD232">
        <f>IF($C232="",0,IF($M232="",0,MAX(0,$M232)*MAX(0,AD$4)/100))</f>
        <v/>
      </c>
      <c r="AE232">
        <f>IF($C232="",0,IF($M232="",0,MAX(0,$M232)*MAX(0,AE$4)/100))</f>
        <v/>
      </c>
      <c r="AF232">
        <f>IF($C232="",0,IF($M232="",0,MAX(0,$M232)*MAX(0,AF$4)/100))</f>
        <v/>
      </c>
      <c r="AG232">
        <f>IF($C232="",0,IF($M232="",0,MAX(0,$M232)*MAX(0,AG$4)/100))</f>
        <v/>
      </c>
      <c r="AH232">
        <f>IF($C232="",0,IF($M232="",0,MAX(0,$M232)*MAX(0,AH$4)/100))</f>
        <v/>
      </c>
      <c r="AI232">
        <f>IF($C232="",0,IF($M232="",0,MAX(0,$M232)*MAX(0,AI$4)/100))</f>
        <v/>
      </c>
      <c r="AJ232">
        <f>IF($C232="",0,MAX(0,MAX(0,N($L232))-$V232))</f>
        <v/>
      </c>
      <c r="AK232">
        <f>IF($C232="",0,MAX(0,$AJ232-$W232))</f>
        <v/>
      </c>
      <c r="AL232">
        <f>IF($C232="",0,MAX(0,$AK232-$X232))</f>
        <v/>
      </c>
      <c r="AM232">
        <f>IF($C232="",0,MAX(0,$AL232-$Y232))</f>
        <v/>
      </c>
      <c r="AN232">
        <f>IF($C232="",0,MAX(0,$AM232-$Z232))</f>
        <v/>
      </c>
      <c r="AO232">
        <f>IF($C232="",0,MAX(0,$AN232-$AA232))</f>
        <v/>
      </c>
      <c r="AP232">
        <f>IF($C232="",0,MAX(0,$AO232-$AB232))</f>
        <v/>
      </c>
      <c r="AQ232">
        <f>IF($C232="",0,MAX(0,$AP232-$AC232))</f>
        <v/>
      </c>
      <c r="AR232">
        <f>IF($C232="",0,MAX(0,$AQ232-$AD232))</f>
        <v/>
      </c>
      <c r="AS232">
        <f>IF($C232="",0,MAX(0,$AR232-$AE232))</f>
        <v/>
      </c>
      <c r="AT232">
        <f>IF($C232="",0,MAX(0,$AS232-$AF232))</f>
        <v/>
      </c>
      <c r="AU232">
        <f>IF($C232="",0,MAX(0,$AT232-$AG232))</f>
        <v/>
      </c>
      <c r="AV232">
        <f>IF($C232="",0,MAX(0,$AU232-$AH232))</f>
        <v/>
      </c>
      <c r="AW232">
        <f>IF($C232="",0,MAX(0,$AV232-$AI232))</f>
        <v/>
      </c>
      <c r="AX232">
        <f>IF($C232="",0,MAX(0,MAX(0,N($L232))+IF($P232=V$3,$R232,0)+IF($S232=V$3,$U232,0)-$V232))</f>
        <v/>
      </c>
      <c r="AY232">
        <f>IF($C232="",0,MAX(0,$AX232+IF($P232=W$3,$R232,0)+IF($S232=W$3,$U232,0)-$W232))</f>
        <v/>
      </c>
      <c r="AZ232">
        <f>IF($C232="",0,MAX(0,$AY232+IF($P232=X$3,$R232,0)+IF($S232=X$3,$U232,0)-$X232))</f>
        <v/>
      </c>
      <c r="BA232">
        <f>IF($C232="",0,MAX(0,$AZ232+IF($P232=Y$3,$R232,0)+IF($S232=Y$3,$U232,0)-$Y232))</f>
        <v/>
      </c>
      <c r="BB232">
        <f>IF($C232="",0,MAX(0,$BA232+IF($P232=Z$3,$R232,0)+IF($S232=Z$3,$U232,0)-$Z232))</f>
        <v/>
      </c>
      <c r="BC232">
        <f>IF($C232="",0,MAX(0,$BB232+IF($P232=AA$3,$R232,0)+IF($S232=AA$3,$U232,0)-$AA232))</f>
        <v/>
      </c>
      <c r="BD232">
        <f>IF($C232="",0,MAX(0,$BC232+IF($P232=AB$3,$R232,0)+IF($S232=AB$3,$U232,0)-$AB232))</f>
        <v/>
      </c>
      <c r="BE232">
        <f>IF($C232="",0,MAX(0,$BD232+IF($P232=AC$3,$R232,0)+IF($S232=AC$3,$U232,0)-$AC232))</f>
        <v/>
      </c>
      <c r="BF232">
        <f>IF($C232="",0,MAX(0,$BE232+IF($P232=AD$3,$R232,0)+IF($S232=AD$3,$U232,0)-$AD232))</f>
        <v/>
      </c>
      <c r="BG232">
        <f>IF($C232="",0,MAX(0,$BF232+IF($P232=AE$3,$R232,0)+IF($S232=AE$3,$U232,0)-$AE232))</f>
        <v/>
      </c>
      <c r="BH232">
        <f>IF($C232="",0,MAX(0,$BG232+IF($P232=AF$3,$R232,0)+IF($S232=AF$3,$U232,0)-$AF232))</f>
        <v/>
      </c>
      <c r="BI232">
        <f>IF($C232="",0,MAX(0,$BH232+IF($P232=AG$3,$R232,0)+IF($S232=AG$3,$U232,0)-$AG232))</f>
        <v/>
      </c>
      <c r="BJ232">
        <f>IF($C232="",0,MAX(0,$BI232+IF($P232=AH$3,$R232,0)+IF($S232=AH$3,$U232,0)-$AH232))</f>
        <v/>
      </c>
      <c r="BK232">
        <f>IF($C232="",0,MAX(0,$BJ232+IF($P232=AI$3,$R232,0)+IF($S232=AI$3,$U232,0)-$AI232))</f>
        <v/>
      </c>
      <c r="BL232">
        <f>IF($C232="",99,IF(AND($AX232&lt;1,V$3&gt;=MAX(N($P232),N($S232))),0,99))</f>
        <v/>
      </c>
      <c r="BM232">
        <f>IF($C232="",99,IF(AND($AY232&lt;1,W$3&gt;=MAX(N($P232),N($S232))),1,99))</f>
        <v/>
      </c>
      <c r="BN232">
        <f>IF($C232="",99,IF(AND($AZ232&lt;1,X$3&gt;=MAX(N($P232),N($S232))),2,99))</f>
        <v/>
      </c>
      <c r="BO232">
        <f>IF($C232="",99,IF(AND($BA232&lt;1,Y$3&gt;=MAX(N($P232),N($S232))),3,99))</f>
        <v/>
      </c>
      <c r="BP232">
        <f>IF($C232="",99,IF(AND($BB232&lt;1,Z$3&gt;=MAX(N($P232),N($S232))),4,99))</f>
        <v/>
      </c>
      <c r="BQ232">
        <f>IF($C232="",99,IF(AND($BC232&lt;1,AA$3&gt;=MAX(N($P232),N($S232))),5,99))</f>
        <v/>
      </c>
      <c r="BR232">
        <f>IF($C232="",99,IF(AND($BD232&lt;1,AB$3&gt;=MAX(N($P232),N($S232))),6,99))</f>
        <v/>
      </c>
      <c r="BS232">
        <f>IF($C232="",99,IF(AND($BE232&lt;1,AC$3&gt;=MAX(N($P232),N($S232))),7,99))</f>
        <v/>
      </c>
      <c r="BT232">
        <f>IF($C232="",99,IF(AND($BF232&lt;1,AD$3&gt;=MAX(N($P232),N($S232))),8,99))</f>
        <v/>
      </c>
      <c r="BU232">
        <f>IF($C232="",99,IF(AND($BG232&lt;1,AE$3&gt;=MAX(N($P232),N($S232))),9,99))</f>
        <v/>
      </c>
      <c r="BV232">
        <f>IF($C232="",99,IF(AND($BH232&lt;1,AF$3&gt;=MAX(N($P232),N($S232))),10,99))</f>
        <v/>
      </c>
      <c r="BW232">
        <f>IF($C232="",99,IF(AND($BI232&lt;1,AG$3&gt;=MAX(N($P232),N($S232))),11,99))</f>
        <v/>
      </c>
      <c r="BX232">
        <f>IF($C232="",99,IF(AND($BJ232&lt;1,AH$3&gt;=MAX(N($P232),N($S232))),12,99))</f>
        <v/>
      </c>
      <c r="BY232">
        <f>IF($C232="",99,IF(AND($BK232&lt;1,AI$3&gt;=MAX(N($P232),N($S232))),13,99))</f>
        <v/>
      </c>
      <c r="BZ232">
        <f>IF(OR($C232="",$M232=""),"",COUNTIF($AJ232:$AW232,"&gt;=1"))</f>
        <v/>
      </c>
      <c r="CA232" s="90">
        <f>IF($BZ232="","",IF($BZ232&gt;=14,"",'設定'!$C$6+$BZ232))</f>
        <v/>
      </c>
      <c r="CB232">
        <f>IF(OR($C232="",$M232=""),"",MIN($BL232:$BY232))</f>
        <v/>
      </c>
      <c r="CC232" s="90">
        <f>IF($CB232="","",IF($CB232&gt;=99,"",'設定'!$C$6+$CB232))</f>
        <v/>
      </c>
      <c r="CD232">
        <f>IF(OR($C232="",$M232=""),"",AVERAGE($V232:$AI232))</f>
        <v/>
      </c>
      <c r="CE232">
        <f>IF($C232="","",IFERROR(IF(MATCH(IF(ISNUMBER($P232),$P232,'設定'!$C$6+N('設定'!$C$7)),$V$3:$AI$3,0)=1,MAX(0,N($L232)),INDEX($AJ232:$AW232,MATCH(IF(ISNUMBER($P232),$P232,'設定'!$C$6+N('設定'!$C$7)),$V$3:$AI$3,0)-1)),""))</f>
        <v/>
      </c>
      <c r="CF232">
        <f>IF(OR($C232="",$O232="",$CE232=""),"",IF($O232-$CE232&lt;=0,0,ROUNDUP(($O232-$CE232)/$G232,0)))</f>
        <v/>
      </c>
      <c r="CG232">
        <f>IF(OR($C232="",$CF232="",NOT(ISNUMBER($Q232))),0,MAX(0,$Q232-$CF232))</f>
        <v/>
      </c>
      <c r="CH232">
        <f>IF(OR($C232="",$O232="",$U232=0),0,IFERROR(ROUNDUP(MAX(0,IF(MATCH($S232,$V$3:$AI$3,0)=1,MAX(0,N($L232)),INDEX($AX232:$BK232,MATCH($S232,$V$3:$AI$3,0)-1))+$U232-$O232)/$G232,0),0))</f>
        <v/>
      </c>
      <c r="CI232">
        <f>IF($C232="","",IF(AND($P232="",$Q232=""),"",IF($P232="","⚠ 入庫日を ▼ から選んでください",IF(NOT(ISNUMBER($P232)),"⚠ 入庫日は ▼ から選んでください",IF($P232&lt;N('設定'!$C$6),"⚠ 入庫日が過去です（もう在庫に入っています）→ 消してください",IF($P232&gt;N('設定'!$C$6)+13,"⚠ 入庫日が14日より先です",IF(N($Q232)&lt;=0,"⚠ 入庫数を入れてください",IF($CG232&gt;0,"⚠ 目安より "&amp;$CG232&amp;" 多い（定数を超える）→ 減らす",""))))))))</f>
        <v/>
      </c>
      <c r="CJ232">
        <f>IF($C232="","",IF(AND($S232="",$T232=""),"",IF($S232="","⚠ 2便目：入庫日を ▼ から選んでください",IF(NOT(ISNUMBER($S232)),"⚠ 2便目：入庫日は ▼ から選んでください",IF($S232&lt;N('設定'!$C$6),"⚠ 2便目：入庫日が過去です（もう在庫に入っています）→ 消してください",IF($S232&gt;N('設定'!$C$6)+13,"⚠ 2便目：入庫日が14日より先です",IF(N($T232)&lt;=0,"⚠ 2便目：入庫数を入れてください",IF($CH232&gt;0,"⚠ 2便目：定数を "&amp;$CH232&amp;" ケース超える → 減らす",""))))))))</f>
        <v/>
      </c>
      <c r="CK232">
        <f>IF(AND($CI232="",N($Q232)&gt;0,ISNUMBER($P232)),1,0)</f>
        <v/>
      </c>
      <c r="CL232">
        <f>IF(AND($CJ232="",N($T232)&gt;0,ISNUMBER($S232)),1,0)</f>
        <v/>
      </c>
      <c r="CM232">
        <f>IF(OR($CK232=1,$CL232=1),1,0)</f>
        <v/>
      </c>
      <c r="CN232">
        <f>IF($C232="",0,($CK232*$R232+$CL232*$U232)*N($H232))</f>
        <v/>
      </c>
      <c r="CO232">
        <f>IF($C232="","",IF($CC232="","入庫後は 14日以上もつ",IF($CC232-N('設定'!$C$7)&lt;='設定'!$C$6,"入庫後も "&amp;TEXT($CC232,"m/d")&amp;"("&amp;CHOOSE(WEEKDAY($CC232),"日","月","火","水","木","金","土")&amp;")"&amp;" に切れる　もう1便を至急発注","入庫後も "&amp;TEXT($CC232,"m/d")&amp;"("&amp;CHOOSE(WEEKDAY($CC232),"日","月","火","水","木","金","土")&amp;")"&amp;" に切れる　"&amp;TEXT($CC232-N('設定'!$C$7),"m/d")&amp;"("&amp;CHOOSE(WEEKDAY($CC232-N('設定'!$C$7)),"日","月","火","水","木","金","土")&amp;")"&amp;" までに次を発注")))</f>
        <v/>
      </c>
      <c r="CP232">
        <f>IF($C232="","",IF('設定'!$C$6="","？ ①在庫を貼る に今日のCSVが貼られていない",IF($CS232=1,"－ 今日のCSVに無い（終売？）",IF($L232&lt;0,"● 在庫がマイナス　数えて「数えた在庫」に入れる",IF($L232=0,"● 在庫なし　至急発注",IF($M232="","？ 減り数が未設定（商品マスタ）",IF($B$3=0,"？ 動員が未入力（動員を入れる）",IF($CA232="","○ 14日以上もつ",IF($BZ232&lt;N('設定'!$C$7),"● "&amp;TEXT($CA232,"m/d")&amp;"("&amp;CHOOSE(WEEKDAY($CA232),"日","月","火","水","木","金","土")&amp;")"&amp;" に切れる　至急発注",IF($BZ232=N('設定'!$C$7),"● "&amp;TEXT($CA232,"m/d")&amp;"("&amp;CHOOSE(WEEKDAY($CA232),"日","月","火","水","木","金","土")&amp;")"&amp;" に切れる　今日発注","△ "&amp;TEXT($CA232,"m/d")&amp;"("&amp;CHOOSE(WEEKDAY($CA232),"日","月","火","水","木","金","土")&amp;")"&amp;" に切れる　"&amp;TEXT($CA232-N('設定'!$C$7),"m/d")&amp;"("&amp;CHOOSE(WEEKDAY($CA232-N('設定'!$C$7)),"日","月","火","水","木","金","土")&amp;")"&amp;" までに発注"))))))))))</f>
        <v/>
      </c>
      <c r="CQ232">
        <f>IF($C232="","",IF(AND($P232="",$Q232="",$S232="",$T232=""),"",IF(AND($P232="",$Q232=""),"⚠ 先に1便目（左の入庫日・入庫数）に入れてください",IF($CI232&lt;&gt;"",$CI232,IF($CJ232&lt;&gt;"",$CJ232,IF($M232="","？ 減り数が未設定（発注書には載ります）",IF($B$3=0,"？ 動員が未入力（発注書には載ります）",IF(AND($CA232&lt;&gt;"",$P232&gt;$CA232),IF($P232&gt;'設定'!$C$6+N('設定'!$C$7),"● "&amp;TEXT($P232,"m/d")&amp;"("&amp;CHOOSE(WEEKDAY($P232),"日","月","火","水","木","金","土")&amp;")"&amp;" の入庫では間に合わない（"&amp;TEXT($CA232,"m/d")&amp;"("&amp;CHOOSE(WEEKDAY($CA232),"日","月","火","水","木","金","土")&amp;")"&amp;" に切れる）　入庫日を早める","△ 欠品 "&amp;TEXT($CA232,"m/d")&amp;"("&amp;CHOOSE(WEEKDAY($CA232),"日","月","火","水","木","金","土")&amp;")"&amp;"〜"&amp;TEXT($P232-1,"m/d")&amp;"("&amp;CHOOSE(WEEKDAY($P232-1),"日","月","火","水","木","金","土")&amp;")"&amp;"　"&amp;$CO232),IF($CC232="","○ "&amp;TEXT($P232,"m/d")&amp;"("&amp;CHOOSE(WEEKDAY($P232),"日","月","火","水","木","金","土")&amp;")"&amp;" 入庫で 14日以上もつ",IF($CC232-N('設定'!$C$7)&lt;='設定'!$C$6,"● 入庫しても "&amp;TEXT($CC232,"m/d")&amp;"("&amp;CHOOSE(WEEKDAY($CC232),"日","月","火","水","木","金","土")&amp;")"&amp;" に切れる　もう1便を至急発注（2便目に入れる）","△ 入庫しても "&amp;TEXT($CC232,"m/d")&amp;"("&amp;CHOOSE(WEEKDAY($CC232),"日","月","火","水","木","金","土")&amp;")"&amp;" に切れる　"&amp;TEXT($CC232-N('設定'!$C$7),"m/d")&amp;"("&amp;CHOOSE(WEEKDAY($CC232-N('設定'!$C$7)),"日","月","火","水","木","金","土")&amp;")"&amp;" までに次を発注（2便目に入れる）"))))))))))</f>
        <v/>
      </c>
      <c r="CR232">
        <f>IF($C232="","",IF($G232&gt;1,"ｹｰｽ("&amp;$G232&amp;"入)","個"))</f>
        <v/>
      </c>
      <c r="CS232">
        <f>IF($C232="",0,IF(COUNTIFS('①在庫を貼る'!$V$6:$V$10005,'設定'!$C$4,'①在庫を貼る'!$W$6:$W$10005,$C232)=0,1,0))</f>
        <v/>
      </c>
      <c r="CT232">
        <f>IF(AND($CK232=1,OR('③発注書'!$C$4="すべて",'③発注書'!$C$4="",$F232='③発注書'!$C$4)),N($CT231)+1,N($CT231))</f>
        <v/>
      </c>
      <c r="CU232">
        <f>IF(AND($CL232=1,OR('③発注書'!$C$4="すべて",'③発注書'!$C$4="",$F232='③発注書'!$C$4)),N($CU231)+1,N($CU231))</f>
        <v/>
      </c>
      <c r="CV232">
        <f>IF($C232="",0,IF(COUNTIFS('①在庫を貼る'!$V$6:$V$10005,'設定'!$C$4,'①在庫を貼る'!$W$6:$W$10005,$C232)&gt;0,1,0))</f>
        <v/>
      </c>
      <c r="CW232">
        <f>IF($C232="",0,IF(COUNTIFS('月1回_1ヶ月前の在庫'!$V$6:$V$10005,'設定'!$C$4,'月1回_1ヶ月前の在庫'!$W$6:$W$10005,$C232)&gt;0,1,0))</f>
        <v/>
      </c>
      <c r="CX232">
        <f>IF($C232="",0,IF(COUNTIFS('月1回_2ヶ月前の在庫'!$V$6:$V$10005,'設定'!$C$4,'月1回_2ヶ月前の在庫'!$W$6:$W$10005,$C232)&gt;0,1,0))</f>
        <v/>
      </c>
      <c r="CY232">
        <f>IF(OR($C232="",'設定'!$C$12=""),"",IF('設定'!$C$13="",IF(AND($CV232=1,$CW232=0),"新商品（今月から）",IF(AND($CV232=0,$CW232=1),"終売（今月から）","")),IF(AND($CV232=1,$CW232=0,$CX232=0),"新商品（今月から）",IF(AND($CV232=1,$CW232=1,$CX232=0),"新商品（先月から）",IF(AND($CV232=0,$CW232=1,$CX232=1),"終売（今月から）",IF(AND($CV232=0,$CW232=0,$CX232=1),"終売（先月から）",IF(AND($CV232=1,$CW232=0,$CX232=1),"復活（先月は無し）","")))))))</f>
        <v/>
      </c>
    </row>
    <row r="233">
      <c r="B233">
        <f>IF(228&lt;='設定'!$C$11,228,"")</f>
        <v/>
      </c>
      <c r="C233">
        <f>IF($B233="","",IF($B233&lt;='設定'!$C$20,INDEX('商品マスタ'!$B$6:$B$1005,MATCH($B233,'商品マスタ'!$M$6:$M$1005,0)),IF($B233&lt;='設定'!$C$20+'設定'!$C$17,INDEX('①在庫を貼る'!$W$6:$W$10005,MATCH($B233-'設定'!$C$20,'①在庫を貼る'!$U$6:$U$10005,0)),IF($B233&lt;='設定'!$C$20+'設定'!$C$17+'設定'!$C$18,INDEX('月1回_1ヶ月前の在庫'!$W$6:$W$10005,MATCH($B233-'設定'!$C$20-'設定'!$C$17,'月1回_1ヶ月前の在庫'!$U$6:$U$10005,0)),INDEX('月1回_2ヶ月前の在庫'!$W$6:$W$10005,MATCH($B233-'設定'!$C$20-'設定'!$C$17-'設定'!$C$18,'月1回_2ヶ月前の在庫'!$U$6:$U$10005,0))))))</f>
        <v/>
      </c>
      <c r="D233">
        <f>IF($C233="","",IFERROR(IF(INDEX('商品マスタ'!$C$6:$C$1005,MATCH($C233,'商品マスタ'!$B$6:$B$1005,0))="",IFERROR(INDEX('①在庫を貼る'!$J$6:$J$10005,MATCH($C233,'①在庫を貼る'!$W$6:$W$10005,0)),IFERROR(INDEX('月1回_1ヶ月前の在庫'!$J$6:$J$10005,MATCH($C233,'月1回_1ヶ月前の在庫'!$W$6:$W$10005,0)),IFERROR(INDEX('月1回_2ヶ月前の在庫'!$J$6:$J$10005,MATCH($C233,'月1回_2ヶ月前の在庫'!$W$6:$W$10005,0)),""))),INDEX('商品マスタ'!$C$6:$C$1005,MATCH($C233,'商品マスタ'!$B$6:$B$1005,0))),IFERROR(INDEX('①在庫を貼る'!$J$6:$J$10005,MATCH($C233,'①在庫を貼る'!$W$6:$W$10005,0)),IFERROR(INDEX('月1回_1ヶ月前の在庫'!$J$6:$J$10005,MATCH($C233,'月1回_1ヶ月前の在庫'!$W$6:$W$10005,0)),IFERROR(INDEX('月1回_2ヶ月前の在庫'!$J$6:$J$10005,MATCH($C233,'月1回_2ヶ月前の在庫'!$W$6:$W$10005,0)),"")))))</f>
        <v/>
      </c>
      <c r="E233">
        <f>IF($C233="","",IFERROR(IF(INDEX('商品マスタ'!$D$6:$D$1005,MATCH($C233,'商品マスタ'!$B$6:$B$1005,0))="",IFERROR(INDEX('①在庫を貼る'!$H$6:$H$10005,MATCH($C233,'①在庫を貼る'!$W$6:$W$10005,0)),IFERROR(INDEX('月1回_1ヶ月前の在庫'!$H$6:$H$10005,MATCH($C233,'月1回_1ヶ月前の在庫'!$W$6:$W$10005,0)),IFERROR(INDEX('月1回_2ヶ月前の在庫'!$H$6:$H$10005,MATCH($C233,'月1回_2ヶ月前の在庫'!$W$6:$W$10005,0)),""))),INDEX('商品マスタ'!$D$6:$D$1005,MATCH($C233,'商品マスタ'!$B$6:$B$1005,0))),IFERROR(INDEX('①在庫を貼る'!$H$6:$H$10005,MATCH($C233,'①在庫を貼る'!$W$6:$W$10005,0)),IFERROR(INDEX('月1回_1ヶ月前の在庫'!$H$6:$H$10005,MATCH($C233,'月1回_1ヶ月前の在庫'!$W$6:$W$10005,0)),IFERROR(INDEX('月1回_2ヶ月前の在庫'!$H$6:$H$10005,MATCH($C233,'月1回_2ヶ月前の在庫'!$W$6:$W$10005,0)),"")))))</f>
        <v/>
      </c>
      <c r="F233">
        <f>IF($C233="","",IFERROR(IF(INDEX('商品マスタ'!$E$6:$E$1005,MATCH($C233,'商品マスタ'!$B$6:$B$1005,0))="",IFERROR(INDEX('①在庫を貼る'!$E$6:$E$10005,MATCH($C233,'①在庫を貼る'!$W$6:$W$10005,0)),IFERROR(INDEX('月1回_1ヶ月前の在庫'!$E$6:$E$10005,MATCH($C233,'月1回_1ヶ月前の在庫'!$W$6:$W$10005,0)),IFERROR(INDEX('月1回_2ヶ月前の在庫'!$E$6:$E$10005,MATCH($C233,'月1回_2ヶ月前の在庫'!$W$6:$W$10005,0)),""))),INDEX('商品マスタ'!$E$6:$E$1005,MATCH($C233,'商品マスタ'!$B$6:$B$1005,0))),IFERROR(INDEX('①在庫を貼る'!$E$6:$E$10005,MATCH($C233,'①在庫を貼る'!$W$6:$W$10005,0)),IFERROR(INDEX('月1回_1ヶ月前の在庫'!$E$6:$E$10005,MATCH($C233,'月1回_1ヶ月前の在庫'!$W$6:$W$10005,0)),IFERROR(INDEX('月1回_2ヶ月前の在庫'!$E$6:$E$10005,MATCH($C233,'月1回_2ヶ月前の在庫'!$W$6:$W$10005,0)),"")))))</f>
        <v/>
      </c>
      <c r="G233">
        <f>IF($C233="","",MAX(1,N(IFERROR(IF(INDEX('商品マスタ'!$F$6:$F$1005,MATCH($C233,'商品マスタ'!$B$6:$B$1005,0))="",IF(COUNTIFS('①在庫を貼る'!$V$6:$V$10005,'設定'!$C$4,'①在庫を貼る'!$W$6:$W$10005,$C233)&gt;0,SUMIFS('①在庫を貼る'!$K$6:$K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K$6:$K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K$6:$K$10005,'月1回_2ヶ月前の在庫'!$V$6:$V$10005,'設定'!$C$4,'月1回_2ヶ月前の在庫'!$W$6:$W$10005,$C233)/COUNTIFS('月1回_2ヶ月前の在庫'!$V$6:$V$10005,'設定'!$C$4,'月1回_2ヶ月前の在庫'!$W$6:$W$10005,$C233),0))),INDEX('商品マスタ'!$F$6:$F$1005,MATCH($C233,'商品マスタ'!$B$6:$B$1005,0))),IF(COUNTIFS('①在庫を貼る'!$V$6:$V$10005,'設定'!$C$4,'①在庫を貼る'!$W$6:$W$10005,$C233)&gt;0,SUMIFS('①在庫を貼る'!$K$6:$K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K$6:$K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K$6:$K$10005,'月1回_2ヶ月前の在庫'!$V$6:$V$10005,'設定'!$C$4,'月1回_2ヶ月前の在庫'!$W$6:$W$10005,$C233)/COUNTIFS('月1回_2ヶ月前の在庫'!$V$6:$V$10005,'設定'!$C$4,'月1回_2ヶ月前の在庫'!$W$6:$W$10005,$C233),0)))))))</f>
        <v/>
      </c>
      <c r="H233">
        <f>IF($C233="","",N(IFERROR(IF(INDEX('商品マスタ'!$G$6:$G$1005,MATCH($C233,'商品マスタ'!$B$6:$B$1005,0))="",IF(COUNTIFS('①在庫を貼る'!$V$6:$V$10005,'設定'!$C$4,'①在庫を貼る'!$W$6:$W$10005,$C233)&gt;0,SUMIFS('①在庫を貼る'!$Q$6:$Q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Q$6:$Q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Q$6:$Q$10005,'月1回_2ヶ月前の在庫'!$V$6:$V$10005,'設定'!$C$4,'月1回_2ヶ月前の在庫'!$W$6:$W$10005,$C233)/COUNTIFS('月1回_2ヶ月前の在庫'!$V$6:$V$10005,'設定'!$C$4,'月1回_2ヶ月前の在庫'!$W$6:$W$10005,$C233),0))),INDEX('商品マスタ'!$G$6:$G$1005,MATCH($C233,'商品マスタ'!$B$6:$B$1005,0))),IF(COUNTIFS('①在庫を貼る'!$V$6:$V$10005,'設定'!$C$4,'①在庫を貼る'!$W$6:$W$10005,$C233)&gt;0,SUMIFS('①在庫を貼る'!$Q$6:$Q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Q$6:$Q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Q$6:$Q$10005,'月1回_2ヶ月前の在庫'!$V$6:$V$10005,'設定'!$C$4,'月1回_2ヶ月前の在庫'!$W$6:$W$10005,$C233)/COUNTIFS('月1回_2ヶ月前の在庫'!$V$6:$V$10005,'設定'!$C$4,'月1回_2ヶ月前の在庫'!$W$6:$W$10005,$C233),0))))))</f>
        <v/>
      </c>
      <c r="I233">
        <f>IF($C233="","",IF(COUNTIFS('①在庫を貼る'!$V$6:$V$10005,'設定'!$C$4,'①在庫を貼る'!$W$6:$W$10005,$C233)=0,"",SUMIFS('①在庫を貼る'!$N$6:$N$10005,'①在庫を貼る'!$V$6:$V$10005,'設定'!$C$4,'①在庫を貼る'!$W$6:$W$10005,$C233)))</f>
        <v/>
      </c>
      <c r="J233">
        <f>IF($C233="","",IF('②発注する'!$AD237="","",'②発注する'!$AD237))</f>
        <v/>
      </c>
      <c r="K233" s="90">
        <f>IF($C233="","",IF('②発注する'!$AE237="","",'②発注する'!$AE237))</f>
        <v/>
      </c>
      <c r="L233">
        <f>IF($C233="","",IF(AND(ISNUMBER($J233),ISNUMBER($K233),$K233&gt;='設定'!$C$6),$J233,N($I233)))</f>
        <v/>
      </c>
      <c r="M233">
        <f>IF($C233="","",IFERROR(IF(N(INDEX('商品マスタ'!$J$6:$J$1005,MATCH($C233,'商品マスタ'!$B$6:$B$1005,0)))&gt;0,INDEX('商品マスタ'!$J$6:$J$1005,MATCH($C233,'商品マスタ'!$B$6:$B$1005,0)),""),""))</f>
        <v/>
      </c>
      <c r="N233">
        <f>IF($C233="","",IFERROR(IF(N(INDEX('商品マスタ'!$H$6:$H$1005,MATCH($C233,'商品マスタ'!$B$6:$B$1005,0)))&gt;0,INDEX('商品マスタ'!$H$6:$H$1005,MATCH($C233,'商品マスタ'!$B$6:$B$1005,0)),""),""))</f>
        <v/>
      </c>
      <c r="O233">
        <f>IF($C233="","",IF($N233&lt;&gt;"",$N233*$G233,IF(N(IF(COUNTIFS('①在庫を貼る'!$V$6:$V$10005,'設定'!$C$4,'①在庫を貼る'!$W$6:$W$10005,$C233)&gt;0,SUMIFS('①在庫を貼る'!$O$6:$O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O$6:$O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O$6:$O$10005,'月1回_2ヶ月前の在庫'!$V$6:$V$10005,'設定'!$C$4,'月1回_2ヶ月前の在庫'!$W$6:$W$10005,$C233)/COUNTIFS('月1回_2ヶ月前の在庫'!$V$6:$V$10005,'設定'!$C$4,'月1回_2ヶ月前の在庫'!$W$6:$W$10005,$C233),0))))&gt;0,N(IF(COUNTIFS('①在庫を貼る'!$V$6:$V$10005,'設定'!$C$4,'①在庫を貼る'!$W$6:$W$10005,$C233)&gt;0,SUMIFS('①在庫を貼る'!$O$6:$O$10005,'①在庫を貼る'!$V$6:$V$10005,'設定'!$C$4,'①在庫を貼る'!$W$6:$W$10005,$C233)/COUNTIFS('①在庫を貼る'!$V$6:$V$10005,'設定'!$C$4,'①在庫を貼る'!$W$6:$W$10005,$C233),IF(COUNTIFS('月1回_1ヶ月前の在庫'!$V$6:$V$10005,'設定'!$C$4,'月1回_1ヶ月前の在庫'!$W$6:$W$10005,$C233)&gt;0,SUMIFS('月1回_1ヶ月前の在庫'!$O$6:$O$10005,'月1回_1ヶ月前の在庫'!$V$6:$V$10005,'設定'!$C$4,'月1回_1ヶ月前の在庫'!$W$6:$W$10005,$C233)/COUNTIFS('月1回_1ヶ月前の在庫'!$V$6:$V$10005,'設定'!$C$4,'月1回_1ヶ月前の在庫'!$W$6:$W$10005,$C233),IF(COUNTIFS('月1回_2ヶ月前の在庫'!$V$6:$V$10005,'設定'!$C$4,'月1回_2ヶ月前の在庫'!$W$6:$W$10005,$C233)&gt;0,SUMIFS('月1回_2ヶ月前の在庫'!$O$6:$O$10005,'月1回_2ヶ月前の在庫'!$V$6:$V$10005,'設定'!$C$4,'月1回_2ヶ月前の在庫'!$W$6:$W$10005,$C233)/COUNTIFS('月1回_2ヶ月前の在庫'!$V$6:$V$10005,'設定'!$C$4,'月1回_2ヶ月前の在庫'!$W$6:$W$10005,$C233),0)))),"")))</f>
        <v/>
      </c>
      <c r="P233" s="90">
        <f>IF($C233="","",IF('②発注する'!$I237="","",'②発注する'!$I237))</f>
        <v/>
      </c>
      <c r="Q233">
        <f>IF($C233="","",IF('②発注する'!$J237="","",'②発注する'!$J237))</f>
        <v/>
      </c>
      <c r="R233">
        <f>IF($C233="",0,IF(AND(ISNUMBER($P233),ISNUMBER($Q233)),MAX(0,$Q233)*$G233,0))</f>
        <v/>
      </c>
      <c r="S233" s="90">
        <f>IF($C233="","",IF('②発注する'!$M237="","",'②発注する'!$M237))</f>
        <v/>
      </c>
      <c r="T233">
        <f>IF($C233="","",IF('②発注する'!$N237="","",'②発注する'!$N237))</f>
        <v/>
      </c>
      <c r="U233">
        <f>IF($C233="",0,IF(AND(ISNUMBER($S233),ISNUMBER($T233)),MAX(0,$T233)*$G233,0))</f>
        <v/>
      </c>
      <c r="V233">
        <f>IF($C233="",0,IF($M233="",0,MAX(0,$M233)*MAX(0,V$4)/100))</f>
        <v/>
      </c>
      <c r="W233">
        <f>IF($C233="",0,IF($M233="",0,MAX(0,$M233)*MAX(0,W$4)/100))</f>
        <v/>
      </c>
      <c r="X233">
        <f>IF($C233="",0,IF($M233="",0,MAX(0,$M233)*MAX(0,X$4)/100))</f>
        <v/>
      </c>
      <c r="Y233">
        <f>IF($C233="",0,IF($M233="",0,MAX(0,$M233)*MAX(0,Y$4)/100))</f>
        <v/>
      </c>
      <c r="Z233">
        <f>IF($C233="",0,IF($M233="",0,MAX(0,$M233)*MAX(0,Z$4)/100))</f>
        <v/>
      </c>
      <c r="AA233">
        <f>IF($C233="",0,IF($M233="",0,MAX(0,$M233)*MAX(0,AA$4)/100))</f>
        <v/>
      </c>
      <c r="AB233">
        <f>IF($C233="",0,IF($M233="",0,MAX(0,$M233)*MAX(0,AB$4)/100))</f>
        <v/>
      </c>
      <c r="AC233">
        <f>IF($C233="",0,IF($M233="",0,MAX(0,$M233)*MAX(0,AC$4)/100))</f>
        <v/>
      </c>
      <c r="AD233">
        <f>IF($C233="",0,IF($M233="",0,MAX(0,$M233)*MAX(0,AD$4)/100))</f>
        <v/>
      </c>
      <c r="AE233">
        <f>IF($C233="",0,IF($M233="",0,MAX(0,$M233)*MAX(0,AE$4)/100))</f>
        <v/>
      </c>
      <c r="AF233">
        <f>IF($C233="",0,IF($M233="",0,MAX(0,$M233)*MAX(0,AF$4)/100))</f>
        <v/>
      </c>
      <c r="AG233">
        <f>IF($C233="",0,IF($M233="",0,MAX(0,$M233)*MAX(0,AG$4)/100))</f>
        <v/>
      </c>
      <c r="AH233">
        <f>IF($C233="",0,IF($M233="",0,MAX(0,$M233)*MAX(0,AH$4)/100))</f>
        <v/>
      </c>
      <c r="AI233">
        <f>IF($C233="",0,IF($M233="",0,MAX(0,$M233)*MAX(0,AI$4)/100))</f>
        <v/>
      </c>
      <c r="AJ233">
        <f>IF($C233="",0,MAX(0,MAX(0,N($L233))-$V233))</f>
        <v/>
      </c>
      <c r="AK233">
        <f>IF($C233="",0,MAX(0,$AJ233-$W233))</f>
        <v/>
      </c>
      <c r="AL233">
        <f>IF($C233="",0,MAX(0,$AK233-$X233))</f>
        <v/>
      </c>
      <c r="AM233">
        <f>IF($C233="",0,MAX(0,$AL233-$Y233))</f>
        <v/>
      </c>
      <c r="AN233">
        <f>IF($C233="",0,MAX(0,$AM233-$Z233))</f>
        <v/>
      </c>
      <c r="AO233">
        <f>IF($C233="",0,MAX(0,$AN233-$AA233))</f>
        <v/>
      </c>
      <c r="AP233">
        <f>IF($C233="",0,MAX(0,$AO233-$AB233))</f>
        <v/>
      </c>
      <c r="AQ233">
        <f>IF($C233="",0,MAX(0,$AP233-$AC233))</f>
        <v/>
      </c>
      <c r="AR233">
        <f>IF($C233="",0,MAX(0,$AQ233-$AD233))</f>
        <v/>
      </c>
      <c r="AS233">
        <f>IF($C233="",0,MAX(0,$AR233-$AE233))</f>
        <v/>
      </c>
      <c r="AT233">
        <f>IF($C233="",0,MAX(0,$AS233-$AF233))</f>
        <v/>
      </c>
      <c r="AU233">
        <f>IF($C233="",0,MAX(0,$AT233-$AG233))</f>
        <v/>
      </c>
      <c r="AV233">
        <f>IF($C233="",0,MAX(0,$AU233-$AH233))</f>
        <v/>
      </c>
      <c r="AW233">
        <f>IF($C233="",0,MAX(0,$AV233-$AI233))</f>
        <v/>
      </c>
      <c r="AX233">
        <f>IF($C233="",0,MAX(0,MAX(0,N($L233))+IF($P233=V$3,$R233,0)+IF($S233=V$3,$U233,0)-$V233))</f>
        <v/>
      </c>
      <c r="AY233">
        <f>IF($C233="",0,MAX(0,$AX233+IF($P233=W$3,$R233,0)+IF($S233=W$3,$U233,0)-$W233))</f>
        <v/>
      </c>
      <c r="AZ233">
        <f>IF($C233="",0,MAX(0,$AY233+IF($P233=X$3,$R233,0)+IF($S233=X$3,$U233,0)-$X233))</f>
        <v/>
      </c>
      <c r="BA233">
        <f>IF($C233="",0,MAX(0,$AZ233+IF($P233=Y$3,$R233,0)+IF($S233=Y$3,$U233,0)-$Y233))</f>
        <v/>
      </c>
      <c r="BB233">
        <f>IF($C233="",0,MAX(0,$BA233+IF($P233=Z$3,$R233,0)+IF($S233=Z$3,$U233,0)-$Z233))</f>
        <v/>
      </c>
      <c r="BC233">
        <f>IF($C233="",0,MAX(0,$BB233+IF($P233=AA$3,$R233,0)+IF($S233=AA$3,$U233,0)-$AA233))</f>
        <v/>
      </c>
      <c r="BD233">
        <f>IF($C233="",0,MAX(0,$BC233+IF($P233=AB$3,$R233,0)+IF($S233=AB$3,$U233,0)-$AB233))</f>
        <v/>
      </c>
      <c r="BE233">
        <f>IF($C233="",0,MAX(0,$BD233+IF($P233=AC$3,$R233,0)+IF($S233=AC$3,$U233,0)-$AC233))</f>
        <v/>
      </c>
      <c r="BF233">
        <f>IF($C233="",0,MAX(0,$BE233+IF($P233=AD$3,$R233,0)+IF($S233=AD$3,$U233,0)-$AD233))</f>
        <v/>
      </c>
      <c r="BG233">
        <f>IF($C233="",0,MAX(0,$BF233+IF($P233=AE$3,$R233,0)+IF($S233=AE$3,$U233,0)-$AE233))</f>
        <v/>
      </c>
      <c r="BH233">
        <f>IF($C233="",0,MAX(0,$BG233+IF($P233=AF$3,$R233,0)+IF($S233=AF$3,$U233,0)-$AF233))</f>
        <v/>
      </c>
      <c r="BI233">
        <f>IF($C233="",0,MAX(0,$BH233+IF($P233=AG$3,$R233,0)+IF($S233=AG$3,$U233,0)-$AG233))</f>
        <v/>
      </c>
      <c r="BJ233">
        <f>IF($C233="",0,MAX(0,$BI233+IF($P233=AH$3,$R233,0)+IF($S233=AH$3,$U233,0)-$AH233))</f>
        <v/>
      </c>
      <c r="BK233">
        <f>IF($C233="",0,MAX(0,$BJ233+IF($P233=AI$3,$R233,0)+IF($S233=AI$3,$U233,0)-$AI233))</f>
        <v/>
      </c>
      <c r="BL233">
        <f>IF($C233="",99,IF(AND($AX233&lt;1,V$3&gt;=MAX(N($P233),N($S233))),0,99))</f>
        <v/>
      </c>
      <c r="BM233">
        <f>IF($C233="",99,IF(AND($AY233&lt;1,W$3&gt;=MAX(N($P233),N($S233))),1,99))</f>
        <v/>
      </c>
      <c r="BN233">
        <f>IF($C233="",99,IF(AND($AZ233&lt;1,X$3&gt;=MAX(N($P233),N($S233))),2,99))</f>
        <v/>
      </c>
      <c r="BO233">
        <f>IF($C233="",99,IF(AND($BA233&lt;1,Y$3&gt;=MAX(N($P233),N($S233))),3,99))</f>
        <v/>
      </c>
      <c r="BP233">
        <f>IF($C233="",99,IF(AND($BB233&lt;1,Z$3&gt;=MAX(N($P233),N($S233))),4,99))</f>
        <v/>
      </c>
      <c r="BQ233">
        <f>IF($C233="",99,IF(AND($BC233&lt;1,AA$3&gt;=MAX(N($P233),N($S233))),5,99))</f>
        <v/>
      </c>
      <c r="BR233">
        <f>IF($C233="",99,IF(AND($BD233&lt;1,AB$3&gt;=MAX(N($P233),N($S233))),6,99))</f>
        <v/>
      </c>
      <c r="BS233">
        <f>IF($C233="",99,IF(AND($BE233&lt;1,AC$3&gt;=MAX(N($P233),N($S233))),7,99))</f>
        <v/>
      </c>
      <c r="BT233">
        <f>IF($C233="",99,IF(AND($BF233&lt;1,AD$3&gt;=MAX(N($P233),N($S233))),8,99))</f>
        <v/>
      </c>
      <c r="BU233">
        <f>IF($C233="",99,IF(AND($BG233&lt;1,AE$3&gt;=MAX(N($P233),N($S233))),9,99))</f>
        <v/>
      </c>
      <c r="BV233">
        <f>IF($C233="",99,IF(AND($BH233&lt;1,AF$3&gt;=MAX(N($P233),N($S233))),10,99))</f>
        <v/>
      </c>
      <c r="BW233">
        <f>IF($C233="",99,IF(AND($BI233&lt;1,AG$3&gt;=MAX(N($P233),N($S233))),11,99))</f>
        <v/>
      </c>
      <c r="BX233">
        <f>IF($C233="",99,IF(AND($BJ233&lt;1,AH$3&gt;=MAX(N($P233),N($S233))),12,99))</f>
        <v/>
      </c>
      <c r="BY233">
        <f>IF($C233="",99,IF(AND($BK233&lt;1,AI$3&gt;=MAX(N($P233),N($S233))),13,99))</f>
        <v/>
      </c>
      <c r="BZ233">
        <f>IF(OR($C233="",$M233=""),"",COUNTIF($AJ233:$AW233,"&gt;=1"))</f>
        <v/>
      </c>
      <c r="CA233" s="90">
        <f>IF($BZ233="","",IF($BZ233&gt;=14,"",'設定'!$C$6+$BZ233))</f>
        <v/>
      </c>
      <c r="CB233">
        <f>IF(OR($C233="",$M233=""),"",MIN($BL233:$BY233))</f>
        <v/>
      </c>
      <c r="CC233" s="90">
        <f>IF($CB233="","",IF($CB233&gt;=99,"",'設定'!$C$6+$CB233))</f>
        <v/>
      </c>
      <c r="CD233">
        <f>IF(OR($C233="",$M233=""),"",AVERAGE($V233:$AI233))</f>
        <v/>
      </c>
      <c r="CE233">
        <f>IF($C233="","",IFERROR(IF(MATCH(IF(ISNUMBER($P233),$P233,'設定'!$C$6+N('設定'!$C$7)),$V$3:$AI$3,0)=1,MAX(0,N($L233)),INDEX($AJ233:$AW233,MATCH(IF(ISNUMBER($P233),$P233,'設定'!$C$6+N('設定'!$C$7)),$V$3:$AI$3,0)-1)),""))</f>
        <v/>
      </c>
      <c r="CF233">
        <f>IF(OR($C233="",$O233="",$CE233=""),"",IF($O233-$CE233&lt;=0,0,ROUNDUP(($O233-$CE233)/$G233,0)))</f>
        <v/>
      </c>
      <c r="CG233">
        <f>IF(OR($C233="",$CF233="",NOT(ISNUMBER($Q233))),0,MAX(0,$Q233-$CF233))</f>
        <v/>
      </c>
      <c r="CH233">
        <f>IF(OR($C233="",$O233="",$U233=0),0,IFERROR(ROUNDUP(MAX(0,IF(MATCH($S233,$V$3:$AI$3,0)=1,MAX(0,N($L233)),INDEX($AX233:$BK233,MATCH($S233,$V$3:$AI$3,0)-1))+$U233-$O233)/$G233,0),0))</f>
        <v/>
      </c>
      <c r="CI233">
        <f>IF($C233="","",IF(AND($P233="",$Q233=""),"",IF($P233="","⚠ 入庫日を ▼ から選んでください",IF(NOT(ISNUMBER($P233)),"⚠ 入庫日は ▼ から選んでください",IF($P233&lt;N('設定'!$C$6),"⚠ 入庫日が過去です（もう在庫に入っています）→ 消してください",IF($P233&gt;N('設定'!$C$6)+13,"⚠ 入庫日が14日より先です",IF(N($Q233)&lt;=0,"⚠ 入庫数を入れてください",IF($CG233&gt;0,"⚠ 目安より "&amp;$CG233&amp;" 多い（定数を超える）→ 減らす",""))))))))</f>
        <v/>
      </c>
      <c r="CJ233">
        <f>IF($C233="","",IF(AND($S233="",$T233=""),"",IF($S233="","⚠ 2便目：入庫日を ▼ から選んでください",IF(NOT(ISNUMBER($S233)),"⚠ 2便目：入庫日は ▼ から選んでください",IF($S233&lt;N('設定'!$C$6),"⚠ 2便目：入庫日が過去です（もう在庫に入っています）→ 消してください",IF($S233&gt;N('設定'!$C$6)+13,"⚠ 2便目：入庫日が14日より先です",IF(N($T233)&lt;=0,"⚠ 2便目：入庫数を入れてください",IF($CH233&gt;0,"⚠ 2便目：定数を "&amp;$CH233&amp;" ケース超える → 減らす",""))))))))</f>
        <v/>
      </c>
      <c r="CK233">
        <f>IF(AND($CI233="",N($Q233)&gt;0,ISNUMBER($P233)),1,0)</f>
        <v/>
      </c>
      <c r="CL233">
        <f>IF(AND($CJ233="",N($T233)&gt;0,ISNUMBER($S233)),1,0)</f>
        <v/>
      </c>
      <c r="CM233">
        <f>IF(OR($CK233=1,$CL233=1),1,0)</f>
        <v/>
      </c>
      <c r="CN233">
        <f>IF($C233="",0,($CK233*$R233+$CL233*$U233)*N($H233))</f>
        <v/>
      </c>
      <c r="CO233">
        <f>IF($C233="","",IF($CC233="","入庫後は 14日以上もつ",IF($CC233-N('設定'!$C$7)&lt;='設定'!$C$6,"入庫後も "&amp;TEXT($CC233,"m/d")&amp;"("&amp;CHOOSE(WEEKDAY($CC233),"日","月","火","水","木","金","土")&amp;")"&amp;" に切れる　もう1便を至急発注","入庫後も "&amp;TEXT($CC233,"m/d")&amp;"("&amp;CHOOSE(WEEKDAY($CC233),"日","月","火","水","木","金","土")&amp;")"&amp;" に切れる　"&amp;TEXT($CC233-N('設定'!$C$7),"m/d")&amp;"("&amp;CHOOSE(WEEKDAY($CC233-N('設定'!$C$7)),"日","月","火","水","木","金","土")&amp;")"&amp;" までに次を発注")))</f>
        <v/>
      </c>
      <c r="CP233">
        <f>IF($C233="","",IF('設定'!$C$6="","？ ①在庫を貼る に今日のCSVが貼られていない",IF($CS233=1,"－ 今日のCSVに無い（終売？）",IF($L233&lt;0,"● 在庫がマイナス　数えて「数えた在庫」に入れる",IF($L233=0,"● 在庫なし　至急発注",IF($M233="","？ 減り数が未設定（商品マスタ）",IF($B$3=0,"？ 動員が未入力（動員を入れる）",IF($CA233="","○ 14日以上もつ",IF($BZ233&lt;N('設定'!$C$7),"● "&amp;TEXT($CA233,"m/d")&amp;"("&amp;CHOOSE(WEEKDAY($CA233),"日","月","火","水","木","金","土")&amp;")"&amp;" に切れる　至急発注",IF($BZ233=N('設定'!$C$7),"● "&amp;TEXT($CA233,"m/d")&amp;"("&amp;CHOOSE(WEEKDAY($CA233),"日","月","火","水","木","金","土")&amp;")"&amp;" に切れる　今日発注","△ "&amp;TEXT($CA233,"m/d")&amp;"("&amp;CHOOSE(WEEKDAY($CA233),"日","月","火","水","木","金","土")&amp;")"&amp;" に切れる　"&amp;TEXT($CA233-N('設定'!$C$7),"m/d")&amp;"("&amp;CHOOSE(WEEKDAY($CA233-N('設定'!$C$7)),"日","月","火","水","木","金","土")&amp;")"&amp;" までに発注"))))))))))</f>
        <v/>
      </c>
      <c r="CQ233">
        <f>IF($C233="","",IF(AND($P233="",$Q233="",$S233="",$T233=""),"",IF(AND($P233="",$Q233=""),"⚠ 先に1便目（左の入庫日・入庫数）に入れてください",IF($CI233&lt;&gt;"",$CI233,IF($CJ233&lt;&gt;"",$CJ233,IF($M233="","？ 減り数が未設定（発注書には載ります）",IF($B$3=0,"？ 動員が未入力（発注書には載ります）",IF(AND($CA233&lt;&gt;"",$P233&gt;$CA233),IF($P233&gt;'設定'!$C$6+N('設定'!$C$7),"● "&amp;TEXT($P233,"m/d")&amp;"("&amp;CHOOSE(WEEKDAY($P233),"日","月","火","水","木","金","土")&amp;")"&amp;" の入庫では間に合わない（"&amp;TEXT($CA233,"m/d")&amp;"("&amp;CHOOSE(WEEKDAY($CA233),"日","月","火","水","木","金","土")&amp;")"&amp;" に切れる）　入庫日を早める","△ 欠品 "&amp;TEXT($CA233,"m/d")&amp;"("&amp;CHOOSE(WEEKDAY($CA233),"日","月","火","水","木","金","土")&amp;")"&amp;"〜"&amp;TEXT($P233-1,"m/d")&amp;"("&amp;CHOOSE(WEEKDAY($P233-1),"日","月","火","水","木","金","土")&amp;")"&amp;"　"&amp;$CO233),IF($CC233="","○ "&amp;TEXT($P233,"m/d")&amp;"("&amp;CHOOSE(WEEKDAY($P233),"日","月","火","水","木","金","土")&amp;")"&amp;" 入庫で 14日以上もつ",IF($CC233-N('設定'!$C$7)&lt;='設定'!$C$6,"● 入庫しても "&amp;TEXT($CC233,"m/d")&amp;"("&amp;CHOOSE(WEEKDAY($CC233),"日","月","火","水","木","金","土")&amp;")"&amp;" に切れる　もう1便を至急発注（2便目に入れる）","△ 入庫しても "&amp;TEXT($CC233,"m/d")&amp;"("&amp;CHOOSE(WEEKDAY($CC233),"日","月","火","水","木","金","土")&amp;")"&amp;" に切れる　"&amp;TEXT($CC233-N('設定'!$C$7),"m/d")&amp;"("&amp;CHOOSE(WEEKDAY($CC233-N('設定'!$C$7)),"日","月","火","水","木","金","土")&amp;")"&amp;" までに次を発注（2便目に入れる）"))))))))))</f>
        <v/>
      </c>
      <c r="CR233">
        <f>IF($C233="","",IF($G233&gt;1,"ｹｰｽ("&amp;$G233&amp;"入)","個"))</f>
        <v/>
      </c>
      <c r="CS233">
        <f>IF($C233="",0,IF(COUNTIFS('①在庫を貼る'!$V$6:$V$10005,'設定'!$C$4,'①在庫を貼る'!$W$6:$W$10005,$C233)=0,1,0))</f>
        <v/>
      </c>
      <c r="CT233">
        <f>IF(AND($CK233=1,OR('③発注書'!$C$4="すべて",'③発注書'!$C$4="",$F233='③発注書'!$C$4)),N($CT232)+1,N($CT232))</f>
        <v/>
      </c>
      <c r="CU233">
        <f>IF(AND($CL233=1,OR('③発注書'!$C$4="すべて",'③発注書'!$C$4="",$F233='③発注書'!$C$4)),N($CU232)+1,N($CU232))</f>
        <v/>
      </c>
      <c r="CV233">
        <f>IF($C233="",0,IF(COUNTIFS('①在庫を貼る'!$V$6:$V$10005,'設定'!$C$4,'①在庫を貼る'!$W$6:$W$10005,$C233)&gt;0,1,0))</f>
        <v/>
      </c>
      <c r="CW233">
        <f>IF($C233="",0,IF(COUNTIFS('月1回_1ヶ月前の在庫'!$V$6:$V$10005,'設定'!$C$4,'月1回_1ヶ月前の在庫'!$W$6:$W$10005,$C233)&gt;0,1,0))</f>
        <v/>
      </c>
      <c r="CX233">
        <f>IF($C233="",0,IF(COUNTIFS('月1回_2ヶ月前の在庫'!$V$6:$V$10005,'設定'!$C$4,'月1回_2ヶ月前の在庫'!$W$6:$W$10005,$C233)&gt;0,1,0))</f>
        <v/>
      </c>
      <c r="CY233">
        <f>IF(OR($C233="",'設定'!$C$12=""),"",IF('設定'!$C$13="",IF(AND($CV233=1,$CW233=0),"新商品（今月から）",IF(AND($CV233=0,$CW233=1),"終売（今月から）","")),IF(AND($CV233=1,$CW233=0,$CX233=0),"新商品（今月から）",IF(AND($CV233=1,$CW233=1,$CX233=0),"新商品（先月から）",IF(AND($CV233=0,$CW233=1,$CX233=1),"終売（今月から）",IF(AND($CV233=0,$CW233=0,$CX233=1),"終売（先月から）",IF(AND($CV233=1,$CW233=0,$CX233=1),"復活（先月は無し）","")))))))</f>
        <v/>
      </c>
    </row>
    <row r="234">
      <c r="B234">
        <f>IF(229&lt;='設定'!$C$11,229,"")</f>
        <v/>
      </c>
      <c r="C234">
        <f>IF($B234="","",IF($B234&lt;='設定'!$C$20,INDEX('商品マスタ'!$B$6:$B$1005,MATCH($B234,'商品マスタ'!$M$6:$M$1005,0)),IF($B234&lt;='設定'!$C$20+'設定'!$C$17,INDEX('①在庫を貼る'!$W$6:$W$10005,MATCH($B234-'設定'!$C$20,'①在庫を貼る'!$U$6:$U$10005,0)),IF($B234&lt;='設定'!$C$20+'設定'!$C$17+'設定'!$C$18,INDEX('月1回_1ヶ月前の在庫'!$W$6:$W$10005,MATCH($B234-'設定'!$C$20-'設定'!$C$17,'月1回_1ヶ月前の在庫'!$U$6:$U$10005,0)),INDEX('月1回_2ヶ月前の在庫'!$W$6:$W$10005,MATCH($B234-'設定'!$C$20-'設定'!$C$17-'設定'!$C$18,'月1回_2ヶ月前の在庫'!$U$6:$U$10005,0))))))</f>
        <v/>
      </c>
      <c r="D234">
        <f>IF($C234="","",IFERROR(IF(INDEX('商品マスタ'!$C$6:$C$1005,MATCH($C234,'商品マスタ'!$B$6:$B$1005,0))="",IFERROR(INDEX('①在庫を貼る'!$J$6:$J$10005,MATCH($C234,'①在庫を貼る'!$W$6:$W$10005,0)),IFERROR(INDEX('月1回_1ヶ月前の在庫'!$J$6:$J$10005,MATCH($C234,'月1回_1ヶ月前の在庫'!$W$6:$W$10005,0)),IFERROR(INDEX('月1回_2ヶ月前の在庫'!$J$6:$J$10005,MATCH($C234,'月1回_2ヶ月前の在庫'!$W$6:$W$10005,0)),""))),INDEX('商品マスタ'!$C$6:$C$1005,MATCH($C234,'商品マスタ'!$B$6:$B$1005,0))),IFERROR(INDEX('①在庫を貼る'!$J$6:$J$10005,MATCH($C234,'①在庫を貼る'!$W$6:$W$10005,0)),IFERROR(INDEX('月1回_1ヶ月前の在庫'!$J$6:$J$10005,MATCH($C234,'月1回_1ヶ月前の在庫'!$W$6:$W$10005,0)),IFERROR(INDEX('月1回_2ヶ月前の在庫'!$J$6:$J$10005,MATCH($C234,'月1回_2ヶ月前の在庫'!$W$6:$W$10005,0)),"")))))</f>
        <v/>
      </c>
      <c r="E234">
        <f>IF($C234="","",IFERROR(IF(INDEX('商品マスタ'!$D$6:$D$1005,MATCH($C234,'商品マスタ'!$B$6:$B$1005,0))="",IFERROR(INDEX('①在庫を貼る'!$H$6:$H$10005,MATCH($C234,'①在庫を貼る'!$W$6:$W$10005,0)),IFERROR(INDEX('月1回_1ヶ月前の在庫'!$H$6:$H$10005,MATCH($C234,'月1回_1ヶ月前の在庫'!$W$6:$W$10005,0)),IFERROR(INDEX('月1回_2ヶ月前の在庫'!$H$6:$H$10005,MATCH($C234,'月1回_2ヶ月前の在庫'!$W$6:$W$10005,0)),""))),INDEX('商品マスタ'!$D$6:$D$1005,MATCH($C234,'商品マスタ'!$B$6:$B$1005,0))),IFERROR(INDEX('①在庫を貼る'!$H$6:$H$10005,MATCH($C234,'①在庫を貼る'!$W$6:$W$10005,0)),IFERROR(INDEX('月1回_1ヶ月前の在庫'!$H$6:$H$10005,MATCH($C234,'月1回_1ヶ月前の在庫'!$W$6:$W$10005,0)),IFERROR(INDEX('月1回_2ヶ月前の在庫'!$H$6:$H$10005,MATCH($C234,'月1回_2ヶ月前の在庫'!$W$6:$W$10005,0)),"")))))</f>
        <v/>
      </c>
      <c r="F234">
        <f>IF($C234="","",IFERROR(IF(INDEX('商品マスタ'!$E$6:$E$1005,MATCH($C234,'商品マスタ'!$B$6:$B$1005,0))="",IFERROR(INDEX('①在庫を貼る'!$E$6:$E$10005,MATCH($C234,'①在庫を貼る'!$W$6:$W$10005,0)),IFERROR(INDEX('月1回_1ヶ月前の在庫'!$E$6:$E$10005,MATCH($C234,'月1回_1ヶ月前の在庫'!$W$6:$W$10005,0)),IFERROR(INDEX('月1回_2ヶ月前の在庫'!$E$6:$E$10005,MATCH($C234,'月1回_2ヶ月前の在庫'!$W$6:$W$10005,0)),""))),INDEX('商品マスタ'!$E$6:$E$1005,MATCH($C234,'商品マスタ'!$B$6:$B$1005,0))),IFERROR(INDEX('①在庫を貼る'!$E$6:$E$10005,MATCH($C234,'①在庫を貼る'!$W$6:$W$10005,0)),IFERROR(INDEX('月1回_1ヶ月前の在庫'!$E$6:$E$10005,MATCH($C234,'月1回_1ヶ月前の在庫'!$W$6:$W$10005,0)),IFERROR(INDEX('月1回_2ヶ月前の在庫'!$E$6:$E$10005,MATCH($C234,'月1回_2ヶ月前の在庫'!$W$6:$W$10005,0)),"")))))</f>
        <v/>
      </c>
      <c r="G234">
        <f>IF($C234="","",MAX(1,N(IFERROR(IF(INDEX('商品マスタ'!$F$6:$F$1005,MATCH($C234,'商品マスタ'!$B$6:$B$1005,0))="",IF(COUNTIFS('①在庫を貼る'!$V$6:$V$10005,'設定'!$C$4,'①在庫を貼る'!$W$6:$W$10005,$C234)&gt;0,SUMIFS('①在庫を貼る'!$K$6:$K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K$6:$K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K$6:$K$10005,'月1回_2ヶ月前の在庫'!$V$6:$V$10005,'設定'!$C$4,'月1回_2ヶ月前の在庫'!$W$6:$W$10005,$C234)/COUNTIFS('月1回_2ヶ月前の在庫'!$V$6:$V$10005,'設定'!$C$4,'月1回_2ヶ月前の在庫'!$W$6:$W$10005,$C234),0))),INDEX('商品マスタ'!$F$6:$F$1005,MATCH($C234,'商品マスタ'!$B$6:$B$1005,0))),IF(COUNTIFS('①在庫を貼る'!$V$6:$V$10005,'設定'!$C$4,'①在庫を貼る'!$W$6:$W$10005,$C234)&gt;0,SUMIFS('①在庫を貼る'!$K$6:$K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K$6:$K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K$6:$K$10005,'月1回_2ヶ月前の在庫'!$V$6:$V$10005,'設定'!$C$4,'月1回_2ヶ月前の在庫'!$W$6:$W$10005,$C234)/COUNTIFS('月1回_2ヶ月前の在庫'!$V$6:$V$10005,'設定'!$C$4,'月1回_2ヶ月前の在庫'!$W$6:$W$10005,$C234),0)))))))</f>
        <v/>
      </c>
      <c r="H234">
        <f>IF($C234="","",N(IFERROR(IF(INDEX('商品マスタ'!$G$6:$G$1005,MATCH($C234,'商品マスタ'!$B$6:$B$1005,0))="",IF(COUNTIFS('①在庫を貼る'!$V$6:$V$10005,'設定'!$C$4,'①在庫を貼る'!$W$6:$W$10005,$C234)&gt;0,SUMIFS('①在庫を貼る'!$Q$6:$Q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Q$6:$Q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Q$6:$Q$10005,'月1回_2ヶ月前の在庫'!$V$6:$V$10005,'設定'!$C$4,'月1回_2ヶ月前の在庫'!$W$6:$W$10005,$C234)/COUNTIFS('月1回_2ヶ月前の在庫'!$V$6:$V$10005,'設定'!$C$4,'月1回_2ヶ月前の在庫'!$W$6:$W$10005,$C234),0))),INDEX('商品マスタ'!$G$6:$G$1005,MATCH($C234,'商品マスタ'!$B$6:$B$1005,0))),IF(COUNTIFS('①在庫を貼る'!$V$6:$V$10005,'設定'!$C$4,'①在庫を貼る'!$W$6:$W$10005,$C234)&gt;0,SUMIFS('①在庫を貼る'!$Q$6:$Q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Q$6:$Q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Q$6:$Q$10005,'月1回_2ヶ月前の在庫'!$V$6:$V$10005,'設定'!$C$4,'月1回_2ヶ月前の在庫'!$W$6:$W$10005,$C234)/COUNTIFS('月1回_2ヶ月前の在庫'!$V$6:$V$10005,'設定'!$C$4,'月1回_2ヶ月前の在庫'!$W$6:$W$10005,$C234),0))))))</f>
        <v/>
      </c>
      <c r="I234">
        <f>IF($C234="","",IF(COUNTIFS('①在庫を貼る'!$V$6:$V$10005,'設定'!$C$4,'①在庫を貼る'!$W$6:$W$10005,$C234)=0,"",SUMIFS('①在庫を貼る'!$N$6:$N$10005,'①在庫を貼る'!$V$6:$V$10005,'設定'!$C$4,'①在庫を貼る'!$W$6:$W$10005,$C234)))</f>
        <v/>
      </c>
      <c r="J234">
        <f>IF($C234="","",IF('②発注する'!$AD238="","",'②発注する'!$AD238))</f>
        <v/>
      </c>
      <c r="K234" s="90">
        <f>IF($C234="","",IF('②発注する'!$AE238="","",'②発注する'!$AE238))</f>
        <v/>
      </c>
      <c r="L234">
        <f>IF($C234="","",IF(AND(ISNUMBER($J234),ISNUMBER($K234),$K234&gt;='設定'!$C$6),$J234,N($I234)))</f>
        <v/>
      </c>
      <c r="M234">
        <f>IF($C234="","",IFERROR(IF(N(INDEX('商品マスタ'!$J$6:$J$1005,MATCH($C234,'商品マスタ'!$B$6:$B$1005,0)))&gt;0,INDEX('商品マスタ'!$J$6:$J$1005,MATCH($C234,'商品マスタ'!$B$6:$B$1005,0)),""),""))</f>
        <v/>
      </c>
      <c r="N234">
        <f>IF($C234="","",IFERROR(IF(N(INDEX('商品マスタ'!$H$6:$H$1005,MATCH($C234,'商品マスタ'!$B$6:$B$1005,0)))&gt;0,INDEX('商品マスタ'!$H$6:$H$1005,MATCH($C234,'商品マスタ'!$B$6:$B$1005,0)),""),""))</f>
        <v/>
      </c>
      <c r="O234">
        <f>IF($C234="","",IF($N234&lt;&gt;"",$N234*$G234,IF(N(IF(COUNTIFS('①在庫を貼る'!$V$6:$V$10005,'設定'!$C$4,'①在庫を貼る'!$W$6:$W$10005,$C234)&gt;0,SUMIFS('①在庫を貼る'!$O$6:$O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O$6:$O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O$6:$O$10005,'月1回_2ヶ月前の在庫'!$V$6:$V$10005,'設定'!$C$4,'月1回_2ヶ月前の在庫'!$W$6:$W$10005,$C234)/COUNTIFS('月1回_2ヶ月前の在庫'!$V$6:$V$10005,'設定'!$C$4,'月1回_2ヶ月前の在庫'!$W$6:$W$10005,$C234),0))))&gt;0,N(IF(COUNTIFS('①在庫を貼る'!$V$6:$V$10005,'設定'!$C$4,'①在庫を貼る'!$W$6:$W$10005,$C234)&gt;0,SUMIFS('①在庫を貼る'!$O$6:$O$10005,'①在庫を貼る'!$V$6:$V$10005,'設定'!$C$4,'①在庫を貼る'!$W$6:$W$10005,$C234)/COUNTIFS('①在庫を貼る'!$V$6:$V$10005,'設定'!$C$4,'①在庫を貼る'!$W$6:$W$10005,$C234),IF(COUNTIFS('月1回_1ヶ月前の在庫'!$V$6:$V$10005,'設定'!$C$4,'月1回_1ヶ月前の在庫'!$W$6:$W$10005,$C234)&gt;0,SUMIFS('月1回_1ヶ月前の在庫'!$O$6:$O$10005,'月1回_1ヶ月前の在庫'!$V$6:$V$10005,'設定'!$C$4,'月1回_1ヶ月前の在庫'!$W$6:$W$10005,$C234)/COUNTIFS('月1回_1ヶ月前の在庫'!$V$6:$V$10005,'設定'!$C$4,'月1回_1ヶ月前の在庫'!$W$6:$W$10005,$C234),IF(COUNTIFS('月1回_2ヶ月前の在庫'!$V$6:$V$10005,'設定'!$C$4,'月1回_2ヶ月前の在庫'!$W$6:$W$10005,$C234)&gt;0,SUMIFS('月1回_2ヶ月前の在庫'!$O$6:$O$10005,'月1回_2ヶ月前の在庫'!$V$6:$V$10005,'設定'!$C$4,'月1回_2ヶ月前の在庫'!$W$6:$W$10005,$C234)/COUNTIFS('月1回_2ヶ月前の在庫'!$V$6:$V$10005,'設定'!$C$4,'月1回_2ヶ月前の在庫'!$W$6:$W$10005,$C234),0)))),"")))</f>
        <v/>
      </c>
      <c r="P234" s="90">
        <f>IF($C234="","",IF('②発注する'!$I238="","",'②発注する'!$I238))</f>
        <v/>
      </c>
      <c r="Q234">
        <f>IF($C234="","",IF('②発注する'!$J238="","",'②発注する'!$J238))</f>
        <v/>
      </c>
      <c r="R234">
        <f>IF($C234="",0,IF(AND(ISNUMBER($P234),ISNUMBER($Q234)),MAX(0,$Q234)*$G234,0))</f>
        <v/>
      </c>
      <c r="S234" s="90">
        <f>IF($C234="","",IF('②発注する'!$M238="","",'②発注する'!$M238))</f>
        <v/>
      </c>
      <c r="T234">
        <f>IF($C234="","",IF('②発注する'!$N238="","",'②発注する'!$N238))</f>
        <v/>
      </c>
      <c r="U234">
        <f>IF($C234="",0,IF(AND(ISNUMBER($S234),ISNUMBER($T234)),MAX(0,$T234)*$G234,0))</f>
        <v/>
      </c>
      <c r="V234">
        <f>IF($C234="",0,IF($M234="",0,MAX(0,$M234)*MAX(0,V$4)/100))</f>
        <v/>
      </c>
      <c r="W234">
        <f>IF($C234="",0,IF($M234="",0,MAX(0,$M234)*MAX(0,W$4)/100))</f>
        <v/>
      </c>
      <c r="X234">
        <f>IF($C234="",0,IF($M234="",0,MAX(0,$M234)*MAX(0,X$4)/100))</f>
        <v/>
      </c>
      <c r="Y234">
        <f>IF($C234="",0,IF($M234="",0,MAX(0,$M234)*MAX(0,Y$4)/100))</f>
        <v/>
      </c>
      <c r="Z234">
        <f>IF($C234="",0,IF($M234="",0,MAX(0,$M234)*MAX(0,Z$4)/100))</f>
        <v/>
      </c>
      <c r="AA234">
        <f>IF($C234="",0,IF($M234="",0,MAX(0,$M234)*MAX(0,AA$4)/100))</f>
        <v/>
      </c>
      <c r="AB234">
        <f>IF($C234="",0,IF($M234="",0,MAX(0,$M234)*MAX(0,AB$4)/100))</f>
        <v/>
      </c>
      <c r="AC234">
        <f>IF($C234="",0,IF($M234="",0,MAX(0,$M234)*MAX(0,AC$4)/100))</f>
        <v/>
      </c>
      <c r="AD234">
        <f>IF($C234="",0,IF($M234="",0,MAX(0,$M234)*MAX(0,AD$4)/100))</f>
        <v/>
      </c>
      <c r="AE234">
        <f>IF($C234="",0,IF($M234="",0,MAX(0,$M234)*MAX(0,AE$4)/100))</f>
        <v/>
      </c>
      <c r="AF234">
        <f>IF($C234="",0,IF($M234="",0,MAX(0,$M234)*MAX(0,AF$4)/100))</f>
        <v/>
      </c>
      <c r="AG234">
        <f>IF($C234="",0,IF($M234="",0,MAX(0,$M234)*MAX(0,AG$4)/100))</f>
        <v/>
      </c>
      <c r="AH234">
        <f>IF($C234="",0,IF($M234="",0,MAX(0,$M234)*MAX(0,AH$4)/100))</f>
        <v/>
      </c>
      <c r="AI234">
        <f>IF($C234="",0,IF($M234="",0,MAX(0,$M234)*MAX(0,AI$4)/100))</f>
        <v/>
      </c>
      <c r="AJ234">
        <f>IF($C234="",0,MAX(0,MAX(0,N($L234))-$V234))</f>
        <v/>
      </c>
      <c r="AK234">
        <f>IF($C234="",0,MAX(0,$AJ234-$W234))</f>
        <v/>
      </c>
      <c r="AL234">
        <f>IF($C234="",0,MAX(0,$AK234-$X234))</f>
        <v/>
      </c>
      <c r="AM234">
        <f>IF($C234="",0,MAX(0,$AL234-$Y234))</f>
        <v/>
      </c>
      <c r="AN234">
        <f>IF($C234="",0,MAX(0,$AM234-$Z234))</f>
        <v/>
      </c>
      <c r="AO234">
        <f>IF($C234="",0,MAX(0,$AN234-$AA234))</f>
        <v/>
      </c>
      <c r="AP234">
        <f>IF($C234="",0,MAX(0,$AO234-$AB234))</f>
        <v/>
      </c>
      <c r="AQ234">
        <f>IF($C234="",0,MAX(0,$AP234-$AC234))</f>
        <v/>
      </c>
      <c r="AR234">
        <f>IF($C234="",0,MAX(0,$AQ234-$AD234))</f>
        <v/>
      </c>
      <c r="AS234">
        <f>IF($C234="",0,MAX(0,$AR234-$AE234))</f>
        <v/>
      </c>
      <c r="AT234">
        <f>IF($C234="",0,MAX(0,$AS234-$AF234))</f>
        <v/>
      </c>
      <c r="AU234">
        <f>IF($C234="",0,MAX(0,$AT234-$AG234))</f>
        <v/>
      </c>
      <c r="AV234">
        <f>IF($C234="",0,MAX(0,$AU234-$AH234))</f>
        <v/>
      </c>
      <c r="AW234">
        <f>IF($C234="",0,MAX(0,$AV234-$AI234))</f>
        <v/>
      </c>
      <c r="AX234">
        <f>IF($C234="",0,MAX(0,MAX(0,N($L234))+IF($P234=V$3,$R234,0)+IF($S234=V$3,$U234,0)-$V234))</f>
        <v/>
      </c>
      <c r="AY234">
        <f>IF($C234="",0,MAX(0,$AX234+IF($P234=W$3,$R234,0)+IF($S234=W$3,$U234,0)-$W234))</f>
        <v/>
      </c>
      <c r="AZ234">
        <f>IF($C234="",0,MAX(0,$AY234+IF($P234=X$3,$R234,0)+IF($S234=X$3,$U234,0)-$X234))</f>
        <v/>
      </c>
      <c r="BA234">
        <f>IF($C234="",0,MAX(0,$AZ234+IF($P234=Y$3,$R234,0)+IF($S234=Y$3,$U234,0)-$Y234))</f>
        <v/>
      </c>
      <c r="BB234">
        <f>IF($C234="",0,MAX(0,$BA234+IF($P234=Z$3,$R234,0)+IF($S234=Z$3,$U234,0)-$Z234))</f>
        <v/>
      </c>
      <c r="BC234">
        <f>IF($C234="",0,MAX(0,$BB234+IF($P234=AA$3,$R234,0)+IF($S234=AA$3,$U234,0)-$AA234))</f>
        <v/>
      </c>
      <c r="BD234">
        <f>IF($C234="",0,MAX(0,$BC234+IF($P234=AB$3,$R234,0)+IF($S234=AB$3,$U234,0)-$AB234))</f>
        <v/>
      </c>
      <c r="BE234">
        <f>IF($C234="",0,MAX(0,$BD234+IF($P234=AC$3,$R234,0)+IF($S234=AC$3,$U234,0)-$AC234))</f>
        <v/>
      </c>
      <c r="BF234">
        <f>IF($C234="",0,MAX(0,$BE234+IF($P234=AD$3,$R234,0)+IF($S234=AD$3,$U234,0)-$AD234))</f>
        <v/>
      </c>
      <c r="BG234">
        <f>IF($C234="",0,MAX(0,$BF234+IF($P234=AE$3,$R234,0)+IF($S234=AE$3,$U234,0)-$AE234))</f>
        <v/>
      </c>
      <c r="BH234">
        <f>IF($C234="",0,MAX(0,$BG234+IF($P234=AF$3,$R234,0)+IF($S234=AF$3,$U234,0)-$AF234))</f>
        <v/>
      </c>
      <c r="BI234">
        <f>IF($C234="",0,MAX(0,$BH234+IF($P234=AG$3,$R234,0)+IF($S234=AG$3,$U234,0)-$AG234))</f>
        <v/>
      </c>
      <c r="BJ234">
        <f>IF($C234="",0,MAX(0,$BI234+IF($P234=AH$3,$R234,0)+IF($S234=AH$3,$U234,0)-$AH234))</f>
        <v/>
      </c>
      <c r="BK234">
        <f>IF($C234="",0,MAX(0,$BJ234+IF($P234=AI$3,$R234,0)+IF($S234=AI$3,$U234,0)-$AI234))</f>
        <v/>
      </c>
      <c r="BL234">
        <f>IF($C234="",99,IF(AND($AX234&lt;1,V$3&gt;=MAX(N($P234),N($S234))),0,99))</f>
        <v/>
      </c>
      <c r="BM234">
        <f>IF($C234="",99,IF(AND($AY234&lt;1,W$3&gt;=MAX(N($P234),N($S234))),1,99))</f>
        <v/>
      </c>
      <c r="BN234">
        <f>IF($C234="",99,IF(AND($AZ234&lt;1,X$3&gt;=MAX(N($P234),N($S234))),2,99))</f>
        <v/>
      </c>
      <c r="BO234">
        <f>IF($C234="",99,IF(AND($BA234&lt;1,Y$3&gt;=MAX(N($P234),N($S234))),3,99))</f>
        <v/>
      </c>
      <c r="BP234">
        <f>IF($C234="",99,IF(AND($BB234&lt;1,Z$3&gt;=MAX(N($P234),N($S234))),4,99))</f>
        <v/>
      </c>
      <c r="BQ234">
        <f>IF($C234="",99,IF(AND($BC234&lt;1,AA$3&gt;=MAX(N($P234),N($S234))),5,99))</f>
        <v/>
      </c>
      <c r="BR234">
        <f>IF($C234="",99,IF(AND($BD234&lt;1,AB$3&gt;=MAX(N($P234),N($S234))),6,99))</f>
        <v/>
      </c>
      <c r="BS234">
        <f>IF($C234="",99,IF(AND($BE234&lt;1,AC$3&gt;=MAX(N($P234),N($S234))),7,99))</f>
        <v/>
      </c>
      <c r="BT234">
        <f>IF($C234="",99,IF(AND($BF234&lt;1,AD$3&gt;=MAX(N($P234),N($S234))),8,99))</f>
        <v/>
      </c>
      <c r="BU234">
        <f>IF($C234="",99,IF(AND($BG234&lt;1,AE$3&gt;=MAX(N($P234),N($S234))),9,99))</f>
        <v/>
      </c>
      <c r="BV234">
        <f>IF($C234="",99,IF(AND($BH234&lt;1,AF$3&gt;=MAX(N($P234),N($S234))),10,99))</f>
        <v/>
      </c>
      <c r="BW234">
        <f>IF($C234="",99,IF(AND($BI234&lt;1,AG$3&gt;=MAX(N($P234),N($S234))),11,99))</f>
        <v/>
      </c>
      <c r="BX234">
        <f>IF($C234="",99,IF(AND($BJ234&lt;1,AH$3&gt;=MAX(N($P234),N($S234))),12,99))</f>
        <v/>
      </c>
      <c r="BY234">
        <f>IF($C234="",99,IF(AND($BK234&lt;1,AI$3&gt;=MAX(N($P234),N($S234))),13,99))</f>
        <v/>
      </c>
      <c r="BZ234">
        <f>IF(OR($C234="",$M234=""),"",COUNTIF($AJ234:$AW234,"&gt;=1"))</f>
        <v/>
      </c>
      <c r="CA234" s="90">
        <f>IF($BZ234="","",IF($BZ234&gt;=14,"",'設定'!$C$6+$BZ234))</f>
        <v/>
      </c>
      <c r="CB234">
        <f>IF(OR($C234="",$M234=""),"",MIN($BL234:$BY234))</f>
        <v/>
      </c>
      <c r="CC234" s="90">
        <f>IF($CB234="","",IF($CB234&gt;=99,"",'設定'!$C$6+$CB234))</f>
        <v/>
      </c>
      <c r="CD234">
        <f>IF(OR($C234="",$M234=""),"",AVERAGE($V234:$AI234))</f>
        <v/>
      </c>
      <c r="CE234">
        <f>IF($C234="","",IFERROR(IF(MATCH(IF(ISNUMBER($P234),$P234,'設定'!$C$6+N('設定'!$C$7)),$V$3:$AI$3,0)=1,MAX(0,N($L234)),INDEX($AJ234:$AW234,MATCH(IF(ISNUMBER($P234),$P234,'設定'!$C$6+N('設定'!$C$7)),$V$3:$AI$3,0)-1)),""))</f>
        <v/>
      </c>
      <c r="CF234">
        <f>IF(OR($C234="",$O234="",$CE234=""),"",IF($O234-$CE234&lt;=0,0,ROUNDUP(($O234-$CE234)/$G234,0)))</f>
        <v/>
      </c>
      <c r="CG234">
        <f>IF(OR($C234="",$CF234="",NOT(ISNUMBER($Q234))),0,MAX(0,$Q234-$CF234))</f>
        <v/>
      </c>
      <c r="CH234">
        <f>IF(OR($C234="",$O234="",$U234=0),0,IFERROR(ROUNDUP(MAX(0,IF(MATCH($S234,$V$3:$AI$3,0)=1,MAX(0,N($L234)),INDEX($AX234:$BK234,MATCH($S234,$V$3:$AI$3,0)-1))+$U234-$O234)/$G234,0),0))</f>
        <v/>
      </c>
      <c r="CI234">
        <f>IF($C234="","",IF(AND($P234="",$Q234=""),"",IF($P234="","⚠ 入庫日を ▼ から選んでください",IF(NOT(ISNUMBER($P234)),"⚠ 入庫日は ▼ から選んでください",IF($P234&lt;N('設定'!$C$6),"⚠ 入庫日が過去です（もう在庫に入っています）→ 消してください",IF($P234&gt;N('設定'!$C$6)+13,"⚠ 入庫日が14日より先です",IF(N($Q234)&lt;=0,"⚠ 入庫数を入れてください",IF($CG234&gt;0,"⚠ 目安より "&amp;$CG234&amp;" 多い（定数を超える）→ 減らす",""))))))))</f>
        <v/>
      </c>
      <c r="CJ234">
        <f>IF($C234="","",IF(AND($S234="",$T234=""),"",IF($S234="","⚠ 2便目：入庫日を ▼ から選んでください",IF(NOT(ISNUMBER($S234)),"⚠ 2便目：入庫日は ▼ から選んでください",IF($S234&lt;N('設定'!$C$6),"⚠ 2便目：入庫日が過去です（もう在庫に入っています）→ 消してください",IF($S234&gt;N('設定'!$C$6)+13,"⚠ 2便目：入庫日が14日より先です",IF(N($T234)&lt;=0,"⚠ 2便目：入庫数を入れてください",IF($CH234&gt;0,"⚠ 2便目：定数を "&amp;$CH234&amp;" ケース超える → 減らす",""))))))))</f>
        <v/>
      </c>
      <c r="CK234">
        <f>IF(AND($CI234="",N($Q234)&gt;0,ISNUMBER($P234)),1,0)</f>
        <v/>
      </c>
      <c r="CL234">
        <f>IF(AND($CJ234="",N($T234)&gt;0,ISNUMBER($S234)),1,0)</f>
        <v/>
      </c>
      <c r="CM234">
        <f>IF(OR($CK234=1,$CL234=1),1,0)</f>
        <v/>
      </c>
      <c r="CN234">
        <f>IF($C234="",0,($CK234*$R234+$CL234*$U234)*N($H234))</f>
        <v/>
      </c>
      <c r="CO234">
        <f>IF($C234="","",IF($CC234="","入庫後は 14日以上もつ",IF($CC234-N('設定'!$C$7)&lt;='設定'!$C$6,"入庫後も "&amp;TEXT($CC234,"m/d")&amp;"("&amp;CHOOSE(WEEKDAY($CC234),"日","月","火","水","木","金","土")&amp;")"&amp;" に切れる　もう1便を至急発注","入庫後も "&amp;TEXT($CC234,"m/d")&amp;"("&amp;CHOOSE(WEEKDAY($CC234),"日","月","火","水","木","金","土")&amp;")"&amp;" に切れる　"&amp;TEXT($CC234-N('設定'!$C$7),"m/d")&amp;"("&amp;CHOOSE(WEEKDAY($CC234-N('設定'!$C$7)),"日","月","火","水","木","金","土")&amp;")"&amp;" までに次を発注")))</f>
        <v/>
      </c>
      <c r="CP234">
        <f>IF($C234="","",IF('設定'!$C$6="","？ ①在庫を貼る に今日のCSVが貼られていない",IF($CS234=1,"－ 今日のCSVに無い（終売？）",IF($L234&lt;0,"● 在庫がマイナス　数えて「数えた在庫」に入れる",IF($L234=0,"● 在庫なし　至急発注",IF($M234="","？ 減り数が未設定（商品マスタ）",IF($B$3=0,"？ 動員が未入力（動員を入れる）",IF($CA234="","○ 14日以上もつ",IF($BZ234&lt;N('設定'!$C$7),"● "&amp;TEXT($CA234,"m/d")&amp;"("&amp;CHOOSE(WEEKDAY($CA234),"日","月","火","水","木","金","土")&amp;")"&amp;" に切れる　至急発注",IF($BZ234=N('設定'!$C$7),"● "&amp;TEXT($CA234,"m/d")&amp;"("&amp;CHOOSE(WEEKDAY($CA234),"日","月","火","水","木","金","土")&amp;")"&amp;" に切れる　今日発注","△ "&amp;TEXT($CA234,"m/d")&amp;"("&amp;CHOOSE(WEEKDAY($CA234),"日","月","火","水","木","金","土")&amp;")"&amp;" に切れる　"&amp;TEXT($CA234-N('設定'!$C$7),"m/d")&amp;"("&amp;CHOOSE(WEEKDAY($CA234-N('設定'!$C$7)),"日","月","火","水","木","金","土")&amp;")"&amp;" までに発注"))))))))))</f>
        <v/>
      </c>
      <c r="CQ234">
        <f>IF($C234="","",IF(AND($P234="",$Q234="",$S234="",$T234=""),"",IF(AND($P234="",$Q234=""),"⚠ 先に1便目（左の入庫日・入庫数）に入れてください",IF($CI234&lt;&gt;"",$CI234,IF($CJ234&lt;&gt;"",$CJ234,IF($M234="","？ 減り数が未設定（発注書には載ります）",IF($B$3=0,"？ 動員が未入力（発注書には載ります）",IF(AND($CA234&lt;&gt;"",$P234&gt;$CA234),IF($P234&gt;'設定'!$C$6+N('設定'!$C$7),"● "&amp;TEXT($P234,"m/d")&amp;"("&amp;CHOOSE(WEEKDAY($P234),"日","月","火","水","木","金","土")&amp;")"&amp;" の入庫では間に合わない（"&amp;TEXT($CA234,"m/d")&amp;"("&amp;CHOOSE(WEEKDAY($CA234),"日","月","火","水","木","金","土")&amp;")"&amp;" に切れる）　入庫日を早める","△ 欠品 "&amp;TEXT($CA234,"m/d")&amp;"("&amp;CHOOSE(WEEKDAY($CA234),"日","月","火","水","木","金","土")&amp;")"&amp;"〜"&amp;TEXT($P234-1,"m/d")&amp;"("&amp;CHOOSE(WEEKDAY($P234-1),"日","月","火","水","木","金","土")&amp;")"&amp;"　"&amp;$CO234),IF($CC234="","○ "&amp;TEXT($P234,"m/d")&amp;"("&amp;CHOOSE(WEEKDAY($P234),"日","月","火","水","木","金","土")&amp;")"&amp;" 入庫で 14日以上もつ",IF($CC234-N('設定'!$C$7)&lt;='設定'!$C$6,"● 入庫しても "&amp;TEXT($CC234,"m/d")&amp;"("&amp;CHOOSE(WEEKDAY($CC234),"日","月","火","水","木","金","土")&amp;")"&amp;" に切れる　もう1便を至急発注（2便目に入れる）","△ 入庫しても "&amp;TEXT($CC234,"m/d")&amp;"("&amp;CHOOSE(WEEKDAY($CC234),"日","月","火","水","木","金","土")&amp;")"&amp;" に切れる　"&amp;TEXT($CC234-N('設定'!$C$7),"m/d")&amp;"("&amp;CHOOSE(WEEKDAY($CC234-N('設定'!$C$7)),"日","月","火","水","木","金","土")&amp;")"&amp;" までに次を発注（2便目に入れる）"))))))))))</f>
        <v/>
      </c>
      <c r="CR234">
        <f>IF($C234="","",IF($G234&gt;1,"ｹｰｽ("&amp;$G234&amp;"入)","個"))</f>
        <v/>
      </c>
      <c r="CS234">
        <f>IF($C234="",0,IF(COUNTIFS('①在庫を貼る'!$V$6:$V$10005,'設定'!$C$4,'①在庫を貼る'!$W$6:$W$10005,$C234)=0,1,0))</f>
        <v/>
      </c>
      <c r="CT234">
        <f>IF(AND($CK234=1,OR('③発注書'!$C$4="すべて",'③発注書'!$C$4="",$F234='③発注書'!$C$4)),N($CT233)+1,N($CT233))</f>
        <v/>
      </c>
      <c r="CU234">
        <f>IF(AND($CL234=1,OR('③発注書'!$C$4="すべて",'③発注書'!$C$4="",$F234='③発注書'!$C$4)),N($CU233)+1,N($CU233))</f>
        <v/>
      </c>
      <c r="CV234">
        <f>IF($C234="",0,IF(COUNTIFS('①在庫を貼る'!$V$6:$V$10005,'設定'!$C$4,'①在庫を貼る'!$W$6:$W$10005,$C234)&gt;0,1,0))</f>
        <v/>
      </c>
      <c r="CW234">
        <f>IF($C234="",0,IF(COUNTIFS('月1回_1ヶ月前の在庫'!$V$6:$V$10005,'設定'!$C$4,'月1回_1ヶ月前の在庫'!$W$6:$W$10005,$C234)&gt;0,1,0))</f>
        <v/>
      </c>
      <c r="CX234">
        <f>IF($C234="",0,IF(COUNTIFS('月1回_2ヶ月前の在庫'!$V$6:$V$10005,'設定'!$C$4,'月1回_2ヶ月前の在庫'!$W$6:$W$10005,$C234)&gt;0,1,0))</f>
        <v/>
      </c>
      <c r="CY234">
        <f>IF(OR($C234="",'設定'!$C$12=""),"",IF('設定'!$C$13="",IF(AND($CV234=1,$CW234=0),"新商品（今月から）",IF(AND($CV234=0,$CW234=1),"終売（今月から）","")),IF(AND($CV234=1,$CW234=0,$CX234=0),"新商品（今月から）",IF(AND($CV234=1,$CW234=1,$CX234=0),"新商品（先月から）",IF(AND($CV234=0,$CW234=1,$CX234=1),"終売（今月から）",IF(AND($CV234=0,$CW234=0,$CX234=1),"終売（先月から）",IF(AND($CV234=1,$CW234=0,$CX234=1),"復活（先月は無し）","")))))))</f>
        <v/>
      </c>
    </row>
    <row r="235">
      <c r="B235">
        <f>IF(230&lt;='設定'!$C$11,230,"")</f>
        <v/>
      </c>
      <c r="C235">
        <f>IF($B235="","",IF($B235&lt;='設定'!$C$20,INDEX('商品マスタ'!$B$6:$B$1005,MATCH($B235,'商品マスタ'!$M$6:$M$1005,0)),IF($B235&lt;='設定'!$C$20+'設定'!$C$17,INDEX('①在庫を貼る'!$W$6:$W$10005,MATCH($B235-'設定'!$C$20,'①在庫を貼る'!$U$6:$U$10005,0)),IF($B235&lt;='設定'!$C$20+'設定'!$C$17+'設定'!$C$18,INDEX('月1回_1ヶ月前の在庫'!$W$6:$W$10005,MATCH($B235-'設定'!$C$20-'設定'!$C$17,'月1回_1ヶ月前の在庫'!$U$6:$U$10005,0)),INDEX('月1回_2ヶ月前の在庫'!$W$6:$W$10005,MATCH($B235-'設定'!$C$20-'設定'!$C$17-'設定'!$C$18,'月1回_2ヶ月前の在庫'!$U$6:$U$10005,0))))))</f>
        <v/>
      </c>
      <c r="D235">
        <f>IF($C235="","",IFERROR(IF(INDEX('商品マスタ'!$C$6:$C$1005,MATCH($C235,'商品マスタ'!$B$6:$B$1005,0))="",IFERROR(INDEX('①在庫を貼る'!$J$6:$J$10005,MATCH($C235,'①在庫を貼る'!$W$6:$W$10005,0)),IFERROR(INDEX('月1回_1ヶ月前の在庫'!$J$6:$J$10005,MATCH($C235,'月1回_1ヶ月前の在庫'!$W$6:$W$10005,0)),IFERROR(INDEX('月1回_2ヶ月前の在庫'!$J$6:$J$10005,MATCH($C235,'月1回_2ヶ月前の在庫'!$W$6:$W$10005,0)),""))),INDEX('商品マスタ'!$C$6:$C$1005,MATCH($C235,'商品マスタ'!$B$6:$B$1005,0))),IFERROR(INDEX('①在庫を貼る'!$J$6:$J$10005,MATCH($C235,'①在庫を貼る'!$W$6:$W$10005,0)),IFERROR(INDEX('月1回_1ヶ月前の在庫'!$J$6:$J$10005,MATCH($C235,'月1回_1ヶ月前の在庫'!$W$6:$W$10005,0)),IFERROR(INDEX('月1回_2ヶ月前の在庫'!$J$6:$J$10005,MATCH($C235,'月1回_2ヶ月前の在庫'!$W$6:$W$10005,0)),"")))))</f>
        <v/>
      </c>
      <c r="E235">
        <f>IF($C235="","",IFERROR(IF(INDEX('商品マスタ'!$D$6:$D$1005,MATCH($C235,'商品マスタ'!$B$6:$B$1005,0))="",IFERROR(INDEX('①在庫を貼る'!$H$6:$H$10005,MATCH($C235,'①在庫を貼る'!$W$6:$W$10005,0)),IFERROR(INDEX('月1回_1ヶ月前の在庫'!$H$6:$H$10005,MATCH($C235,'月1回_1ヶ月前の在庫'!$W$6:$W$10005,0)),IFERROR(INDEX('月1回_2ヶ月前の在庫'!$H$6:$H$10005,MATCH($C235,'月1回_2ヶ月前の在庫'!$W$6:$W$10005,0)),""))),INDEX('商品マスタ'!$D$6:$D$1005,MATCH($C235,'商品マスタ'!$B$6:$B$1005,0))),IFERROR(INDEX('①在庫を貼る'!$H$6:$H$10005,MATCH($C235,'①在庫を貼る'!$W$6:$W$10005,0)),IFERROR(INDEX('月1回_1ヶ月前の在庫'!$H$6:$H$10005,MATCH($C235,'月1回_1ヶ月前の在庫'!$W$6:$W$10005,0)),IFERROR(INDEX('月1回_2ヶ月前の在庫'!$H$6:$H$10005,MATCH($C235,'月1回_2ヶ月前の在庫'!$W$6:$W$10005,0)),"")))))</f>
        <v/>
      </c>
      <c r="F235">
        <f>IF($C235="","",IFERROR(IF(INDEX('商品マスタ'!$E$6:$E$1005,MATCH($C235,'商品マスタ'!$B$6:$B$1005,0))="",IFERROR(INDEX('①在庫を貼る'!$E$6:$E$10005,MATCH($C235,'①在庫を貼る'!$W$6:$W$10005,0)),IFERROR(INDEX('月1回_1ヶ月前の在庫'!$E$6:$E$10005,MATCH($C235,'月1回_1ヶ月前の在庫'!$W$6:$W$10005,0)),IFERROR(INDEX('月1回_2ヶ月前の在庫'!$E$6:$E$10005,MATCH($C235,'月1回_2ヶ月前の在庫'!$W$6:$W$10005,0)),""))),INDEX('商品マスタ'!$E$6:$E$1005,MATCH($C235,'商品マスタ'!$B$6:$B$1005,0))),IFERROR(INDEX('①在庫を貼る'!$E$6:$E$10005,MATCH($C235,'①在庫を貼る'!$W$6:$W$10005,0)),IFERROR(INDEX('月1回_1ヶ月前の在庫'!$E$6:$E$10005,MATCH($C235,'月1回_1ヶ月前の在庫'!$W$6:$W$10005,0)),IFERROR(INDEX('月1回_2ヶ月前の在庫'!$E$6:$E$10005,MATCH($C235,'月1回_2ヶ月前の在庫'!$W$6:$W$10005,0)),"")))))</f>
        <v/>
      </c>
      <c r="G235">
        <f>IF($C235="","",MAX(1,N(IFERROR(IF(INDEX('商品マスタ'!$F$6:$F$1005,MATCH($C235,'商品マスタ'!$B$6:$B$1005,0))="",IF(COUNTIFS('①在庫を貼る'!$V$6:$V$10005,'設定'!$C$4,'①在庫を貼る'!$W$6:$W$10005,$C235)&gt;0,SUMIFS('①在庫を貼る'!$K$6:$K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K$6:$K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K$6:$K$10005,'月1回_2ヶ月前の在庫'!$V$6:$V$10005,'設定'!$C$4,'月1回_2ヶ月前の在庫'!$W$6:$W$10005,$C235)/COUNTIFS('月1回_2ヶ月前の在庫'!$V$6:$V$10005,'設定'!$C$4,'月1回_2ヶ月前の在庫'!$W$6:$W$10005,$C235),0))),INDEX('商品マスタ'!$F$6:$F$1005,MATCH($C235,'商品マスタ'!$B$6:$B$1005,0))),IF(COUNTIFS('①在庫を貼る'!$V$6:$V$10005,'設定'!$C$4,'①在庫を貼る'!$W$6:$W$10005,$C235)&gt;0,SUMIFS('①在庫を貼る'!$K$6:$K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K$6:$K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K$6:$K$10005,'月1回_2ヶ月前の在庫'!$V$6:$V$10005,'設定'!$C$4,'月1回_2ヶ月前の在庫'!$W$6:$W$10005,$C235)/COUNTIFS('月1回_2ヶ月前の在庫'!$V$6:$V$10005,'設定'!$C$4,'月1回_2ヶ月前の在庫'!$W$6:$W$10005,$C235),0)))))))</f>
        <v/>
      </c>
      <c r="H235">
        <f>IF($C235="","",N(IFERROR(IF(INDEX('商品マスタ'!$G$6:$G$1005,MATCH($C235,'商品マスタ'!$B$6:$B$1005,0))="",IF(COUNTIFS('①在庫を貼る'!$V$6:$V$10005,'設定'!$C$4,'①在庫を貼る'!$W$6:$W$10005,$C235)&gt;0,SUMIFS('①在庫を貼る'!$Q$6:$Q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Q$6:$Q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Q$6:$Q$10005,'月1回_2ヶ月前の在庫'!$V$6:$V$10005,'設定'!$C$4,'月1回_2ヶ月前の在庫'!$W$6:$W$10005,$C235)/COUNTIFS('月1回_2ヶ月前の在庫'!$V$6:$V$10005,'設定'!$C$4,'月1回_2ヶ月前の在庫'!$W$6:$W$10005,$C235),0))),INDEX('商品マスタ'!$G$6:$G$1005,MATCH($C235,'商品マスタ'!$B$6:$B$1005,0))),IF(COUNTIFS('①在庫を貼る'!$V$6:$V$10005,'設定'!$C$4,'①在庫を貼る'!$W$6:$W$10005,$C235)&gt;0,SUMIFS('①在庫を貼る'!$Q$6:$Q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Q$6:$Q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Q$6:$Q$10005,'月1回_2ヶ月前の在庫'!$V$6:$V$10005,'設定'!$C$4,'月1回_2ヶ月前の在庫'!$W$6:$W$10005,$C235)/COUNTIFS('月1回_2ヶ月前の在庫'!$V$6:$V$10005,'設定'!$C$4,'月1回_2ヶ月前の在庫'!$W$6:$W$10005,$C235),0))))))</f>
        <v/>
      </c>
      <c r="I235">
        <f>IF($C235="","",IF(COUNTIFS('①在庫を貼る'!$V$6:$V$10005,'設定'!$C$4,'①在庫を貼る'!$W$6:$W$10005,$C235)=0,"",SUMIFS('①在庫を貼る'!$N$6:$N$10005,'①在庫を貼る'!$V$6:$V$10005,'設定'!$C$4,'①在庫を貼る'!$W$6:$W$10005,$C235)))</f>
        <v/>
      </c>
      <c r="J235">
        <f>IF($C235="","",IF('②発注する'!$AD239="","",'②発注する'!$AD239))</f>
        <v/>
      </c>
      <c r="K235" s="90">
        <f>IF($C235="","",IF('②発注する'!$AE239="","",'②発注する'!$AE239))</f>
        <v/>
      </c>
      <c r="L235">
        <f>IF($C235="","",IF(AND(ISNUMBER($J235),ISNUMBER($K235),$K235&gt;='設定'!$C$6),$J235,N($I235)))</f>
        <v/>
      </c>
      <c r="M235">
        <f>IF($C235="","",IFERROR(IF(N(INDEX('商品マスタ'!$J$6:$J$1005,MATCH($C235,'商品マスタ'!$B$6:$B$1005,0)))&gt;0,INDEX('商品マスタ'!$J$6:$J$1005,MATCH($C235,'商品マスタ'!$B$6:$B$1005,0)),""),""))</f>
        <v/>
      </c>
      <c r="N235">
        <f>IF($C235="","",IFERROR(IF(N(INDEX('商品マスタ'!$H$6:$H$1005,MATCH($C235,'商品マスタ'!$B$6:$B$1005,0)))&gt;0,INDEX('商品マスタ'!$H$6:$H$1005,MATCH($C235,'商品マスタ'!$B$6:$B$1005,0)),""),""))</f>
        <v/>
      </c>
      <c r="O235">
        <f>IF($C235="","",IF($N235&lt;&gt;"",$N235*$G235,IF(N(IF(COUNTIFS('①在庫を貼る'!$V$6:$V$10005,'設定'!$C$4,'①在庫を貼る'!$W$6:$W$10005,$C235)&gt;0,SUMIFS('①在庫を貼る'!$O$6:$O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O$6:$O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O$6:$O$10005,'月1回_2ヶ月前の在庫'!$V$6:$V$10005,'設定'!$C$4,'月1回_2ヶ月前の在庫'!$W$6:$W$10005,$C235)/COUNTIFS('月1回_2ヶ月前の在庫'!$V$6:$V$10005,'設定'!$C$4,'月1回_2ヶ月前の在庫'!$W$6:$W$10005,$C235),0))))&gt;0,N(IF(COUNTIFS('①在庫を貼る'!$V$6:$V$10005,'設定'!$C$4,'①在庫を貼る'!$W$6:$W$10005,$C235)&gt;0,SUMIFS('①在庫を貼る'!$O$6:$O$10005,'①在庫を貼る'!$V$6:$V$10005,'設定'!$C$4,'①在庫を貼る'!$W$6:$W$10005,$C235)/COUNTIFS('①在庫を貼る'!$V$6:$V$10005,'設定'!$C$4,'①在庫を貼る'!$W$6:$W$10005,$C235),IF(COUNTIFS('月1回_1ヶ月前の在庫'!$V$6:$V$10005,'設定'!$C$4,'月1回_1ヶ月前の在庫'!$W$6:$W$10005,$C235)&gt;0,SUMIFS('月1回_1ヶ月前の在庫'!$O$6:$O$10005,'月1回_1ヶ月前の在庫'!$V$6:$V$10005,'設定'!$C$4,'月1回_1ヶ月前の在庫'!$W$6:$W$10005,$C235)/COUNTIFS('月1回_1ヶ月前の在庫'!$V$6:$V$10005,'設定'!$C$4,'月1回_1ヶ月前の在庫'!$W$6:$W$10005,$C235),IF(COUNTIFS('月1回_2ヶ月前の在庫'!$V$6:$V$10005,'設定'!$C$4,'月1回_2ヶ月前の在庫'!$W$6:$W$10005,$C235)&gt;0,SUMIFS('月1回_2ヶ月前の在庫'!$O$6:$O$10005,'月1回_2ヶ月前の在庫'!$V$6:$V$10005,'設定'!$C$4,'月1回_2ヶ月前の在庫'!$W$6:$W$10005,$C235)/COUNTIFS('月1回_2ヶ月前の在庫'!$V$6:$V$10005,'設定'!$C$4,'月1回_2ヶ月前の在庫'!$W$6:$W$10005,$C235),0)))),"")))</f>
        <v/>
      </c>
      <c r="P235" s="90">
        <f>IF($C235="","",IF('②発注する'!$I239="","",'②発注する'!$I239))</f>
        <v/>
      </c>
      <c r="Q235">
        <f>IF($C235="","",IF('②発注する'!$J239="","",'②発注する'!$J239))</f>
        <v/>
      </c>
      <c r="R235">
        <f>IF($C235="",0,IF(AND(ISNUMBER($P235),ISNUMBER($Q235)),MAX(0,$Q235)*$G235,0))</f>
        <v/>
      </c>
      <c r="S235" s="90">
        <f>IF($C235="","",IF('②発注する'!$M239="","",'②発注する'!$M239))</f>
        <v/>
      </c>
      <c r="T235">
        <f>IF($C235="","",IF('②発注する'!$N239="","",'②発注する'!$N239))</f>
        <v/>
      </c>
      <c r="U235">
        <f>IF($C235="",0,IF(AND(ISNUMBER($S235),ISNUMBER($T235)),MAX(0,$T235)*$G235,0))</f>
        <v/>
      </c>
      <c r="V235">
        <f>IF($C235="",0,IF($M235="",0,MAX(0,$M235)*MAX(0,V$4)/100))</f>
        <v/>
      </c>
      <c r="W235">
        <f>IF($C235="",0,IF($M235="",0,MAX(0,$M235)*MAX(0,W$4)/100))</f>
        <v/>
      </c>
      <c r="X235">
        <f>IF($C235="",0,IF($M235="",0,MAX(0,$M235)*MAX(0,X$4)/100))</f>
        <v/>
      </c>
      <c r="Y235">
        <f>IF($C235="",0,IF($M235="",0,MAX(0,$M235)*MAX(0,Y$4)/100))</f>
        <v/>
      </c>
      <c r="Z235">
        <f>IF($C235="",0,IF($M235="",0,MAX(0,$M235)*MAX(0,Z$4)/100))</f>
        <v/>
      </c>
      <c r="AA235">
        <f>IF($C235="",0,IF($M235="",0,MAX(0,$M235)*MAX(0,AA$4)/100))</f>
        <v/>
      </c>
      <c r="AB235">
        <f>IF($C235="",0,IF($M235="",0,MAX(0,$M235)*MAX(0,AB$4)/100))</f>
        <v/>
      </c>
      <c r="AC235">
        <f>IF($C235="",0,IF($M235="",0,MAX(0,$M235)*MAX(0,AC$4)/100))</f>
        <v/>
      </c>
      <c r="AD235">
        <f>IF($C235="",0,IF($M235="",0,MAX(0,$M235)*MAX(0,AD$4)/100))</f>
        <v/>
      </c>
      <c r="AE235">
        <f>IF($C235="",0,IF($M235="",0,MAX(0,$M235)*MAX(0,AE$4)/100))</f>
        <v/>
      </c>
      <c r="AF235">
        <f>IF($C235="",0,IF($M235="",0,MAX(0,$M235)*MAX(0,AF$4)/100))</f>
        <v/>
      </c>
      <c r="AG235">
        <f>IF($C235="",0,IF($M235="",0,MAX(0,$M235)*MAX(0,AG$4)/100))</f>
        <v/>
      </c>
      <c r="AH235">
        <f>IF($C235="",0,IF($M235="",0,MAX(0,$M235)*MAX(0,AH$4)/100))</f>
        <v/>
      </c>
      <c r="AI235">
        <f>IF($C235="",0,IF($M235="",0,MAX(0,$M235)*MAX(0,AI$4)/100))</f>
        <v/>
      </c>
      <c r="AJ235">
        <f>IF($C235="",0,MAX(0,MAX(0,N($L235))-$V235))</f>
        <v/>
      </c>
      <c r="AK235">
        <f>IF($C235="",0,MAX(0,$AJ235-$W235))</f>
        <v/>
      </c>
      <c r="AL235">
        <f>IF($C235="",0,MAX(0,$AK235-$X235))</f>
        <v/>
      </c>
      <c r="AM235">
        <f>IF($C235="",0,MAX(0,$AL235-$Y235))</f>
        <v/>
      </c>
      <c r="AN235">
        <f>IF($C235="",0,MAX(0,$AM235-$Z235))</f>
        <v/>
      </c>
      <c r="AO235">
        <f>IF($C235="",0,MAX(0,$AN235-$AA235))</f>
        <v/>
      </c>
      <c r="AP235">
        <f>IF($C235="",0,MAX(0,$AO235-$AB235))</f>
        <v/>
      </c>
      <c r="AQ235">
        <f>IF($C235="",0,MAX(0,$AP235-$AC235))</f>
        <v/>
      </c>
      <c r="AR235">
        <f>IF($C235="",0,MAX(0,$AQ235-$AD235))</f>
        <v/>
      </c>
      <c r="AS235">
        <f>IF($C235="",0,MAX(0,$AR235-$AE235))</f>
        <v/>
      </c>
      <c r="AT235">
        <f>IF($C235="",0,MAX(0,$AS235-$AF235))</f>
        <v/>
      </c>
      <c r="AU235">
        <f>IF($C235="",0,MAX(0,$AT235-$AG235))</f>
        <v/>
      </c>
      <c r="AV235">
        <f>IF($C235="",0,MAX(0,$AU235-$AH235))</f>
        <v/>
      </c>
      <c r="AW235">
        <f>IF($C235="",0,MAX(0,$AV235-$AI235))</f>
        <v/>
      </c>
      <c r="AX235">
        <f>IF($C235="",0,MAX(0,MAX(0,N($L235))+IF($P235=V$3,$R235,0)+IF($S235=V$3,$U235,0)-$V235))</f>
        <v/>
      </c>
      <c r="AY235">
        <f>IF($C235="",0,MAX(0,$AX235+IF($P235=W$3,$R235,0)+IF($S235=W$3,$U235,0)-$W235))</f>
        <v/>
      </c>
      <c r="AZ235">
        <f>IF($C235="",0,MAX(0,$AY235+IF($P235=X$3,$R235,0)+IF($S235=X$3,$U235,0)-$X235))</f>
        <v/>
      </c>
      <c r="BA235">
        <f>IF($C235="",0,MAX(0,$AZ235+IF($P235=Y$3,$R235,0)+IF($S235=Y$3,$U235,0)-$Y235))</f>
        <v/>
      </c>
      <c r="BB235">
        <f>IF($C235="",0,MAX(0,$BA235+IF($P235=Z$3,$R235,0)+IF($S235=Z$3,$U235,0)-$Z235))</f>
        <v/>
      </c>
      <c r="BC235">
        <f>IF($C235="",0,MAX(0,$BB235+IF($P235=AA$3,$R235,0)+IF($S235=AA$3,$U235,0)-$AA235))</f>
        <v/>
      </c>
      <c r="BD235">
        <f>IF($C235="",0,MAX(0,$BC235+IF($P235=AB$3,$R235,0)+IF($S235=AB$3,$U235,0)-$AB235))</f>
        <v/>
      </c>
      <c r="BE235">
        <f>IF($C235="",0,MAX(0,$BD235+IF($P235=AC$3,$R235,0)+IF($S235=AC$3,$U235,0)-$AC235))</f>
        <v/>
      </c>
      <c r="BF235">
        <f>IF($C235="",0,MAX(0,$BE235+IF($P235=AD$3,$R235,0)+IF($S235=AD$3,$U235,0)-$AD235))</f>
        <v/>
      </c>
      <c r="BG235">
        <f>IF($C235="",0,MAX(0,$BF235+IF($P235=AE$3,$R235,0)+IF($S235=AE$3,$U235,0)-$AE235))</f>
        <v/>
      </c>
      <c r="BH235">
        <f>IF($C235="",0,MAX(0,$BG235+IF($P235=AF$3,$R235,0)+IF($S235=AF$3,$U235,0)-$AF235))</f>
        <v/>
      </c>
      <c r="BI235">
        <f>IF($C235="",0,MAX(0,$BH235+IF($P235=AG$3,$R235,0)+IF($S235=AG$3,$U235,0)-$AG235))</f>
        <v/>
      </c>
      <c r="BJ235">
        <f>IF($C235="",0,MAX(0,$BI235+IF($P235=AH$3,$R235,0)+IF($S235=AH$3,$U235,0)-$AH235))</f>
        <v/>
      </c>
      <c r="BK235">
        <f>IF($C235="",0,MAX(0,$BJ235+IF($P235=AI$3,$R235,0)+IF($S235=AI$3,$U235,0)-$AI235))</f>
        <v/>
      </c>
      <c r="BL235">
        <f>IF($C235="",99,IF(AND($AX235&lt;1,V$3&gt;=MAX(N($P235),N($S235))),0,99))</f>
        <v/>
      </c>
      <c r="BM235">
        <f>IF($C235="",99,IF(AND($AY235&lt;1,W$3&gt;=MAX(N($P235),N($S235))),1,99))</f>
        <v/>
      </c>
      <c r="BN235">
        <f>IF($C235="",99,IF(AND($AZ235&lt;1,X$3&gt;=MAX(N($P235),N($S235))),2,99))</f>
        <v/>
      </c>
      <c r="BO235">
        <f>IF($C235="",99,IF(AND($BA235&lt;1,Y$3&gt;=MAX(N($P235),N($S235))),3,99))</f>
        <v/>
      </c>
      <c r="BP235">
        <f>IF($C235="",99,IF(AND($BB235&lt;1,Z$3&gt;=MAX(N($P235),N($S235))),4,99))</f>
        <v/>
      </c>
      <c r="BQ235">
        <f>IF($C235="",99,IF(AND($BC235&lt;1,AA$3&gt;=MAX(N($P235),N($S235))),5,99))</f>
        <v/>
      </c>
      <c r="BR235">
        <f>IF($C235="",99,IF(AND($BD235&lt;1,AB$3&gt;=MAX(N($P235),N($S235))),6,99))</f>
        <v/>
      </c>
      <c r="BS235">
        <f>IF($C235="",99,IF(AND($BE235&lt;1,AC$3&gt;=MAX(N($P235),N($S235))),7,99))</f>
        <v/>
      </c>
      <c r="BT235">
        <f>IF($C235="",99,IF(AND($BF235&lt;1,AD$3&gt;=MAX(N($P235),N($S235))),8,99))</f>
        <v/>
      </c>
      <c r="BU235">
        <f>IF($C235="",99,IF(AND($BG235&lt;1,AE$3&gt;=MAX(N($P235),N($S235))),9,99))</f>
        <v/>
      </c>
      <c r="BV235">
        <f>IF($C235="",99,IF(AND($BH235&lt;1,AF$3&gt;=MAX(N($P235),N($S235))),10,99))</f>
        <v/>
      </c>
      <c r="BW235">
        <f>IF($C235="",99,IF(AND($BI235&lt;1,AG$3&gt;=MAX(N($P235),N($S235))),11,99))</f>
        <v/>
      </c>
      <c r="BX235">
        <f>IF($C235="",99,IF(AND($BJ235&lt;1,AH$3&gt;=MAX(N($P235),N($S235))),12,99))</f>
        <v/>
      </c>
      <c r="BY235">
        <f>IF($C235="",99,IF(AND($BK235&lt;1,AI$3&gt;=MAX(N($P235),N($S235))),13,99))</f>
        <v/>
      </c>
      <c r="BZ235">
        <f>IF(OR($C235="",$M235=""),"",COUNTIF($AJ235:$AW235,"&gt;=1"))</f>
        <v/>
      </c>
      <c r="CA235" s="90">
        <f>IF($BZ235="","",IF($BZ235&gt;=14,"",'設定'!$C$6+$BZ235))</f>
        <v/>
      </c>
      <c r="CB235">
        <f>IF(OR($C235="",$M235=""),"",MIN($BL235:$BY235))</f>
        <v/>
      </c>
      <c r="CC235" s="90">
        <f>IF($CB235="","",IF($CB235&gt;=99,"",'設定'!$C$6+$CB235))</f>
        <v/>
      </c>
      <c r="CD235">
        <f>IF(OR($C235="",$M235=""),"",AVERAGE($V235:$AI235))</f>
        <v/>
      </c>
      <c r="CE235">
        <f>IF($C235="","",IFERROR(IF(MATCH(IF(ISNUMBER($P235),$P235,'設定'!$C$6+N('設定'!$C$7)),$V$3:$AI$3,0)=1,MAX(0,N($L235)),INDEX($AJ235:$AW235,MATCH(IF(ISNUMBER($P235),$P235,'設定'!$C$6+N('設定'!$C$7)),$V$3:$AI$3,0)-1)),""))</f>
        <v/>
      </c>
      <c r="CF235">
        <f>IF(OR($C235="",$O235="",$CE235=""),"",IF($O235-$CE235&lt;=0,0,ROUNDUP(($O235-$CE235)/$G235,0)))</f>
        <v/>
      </c>
      <c r="CG235">
        <f>IF(OR($C235="",$CF235="",NOT(ISNUMBER($Q235))),0,MAX(0,$Q235-$CF235))</f>
        <v/>
      </c>
      <c r="CH235">
        <f>IF(OR($C235="",$O235="",$U235=0),0,IFERROR(ROUNDUP(MAX(0,IF(MATCH($S235,$V$3:$AI$3,0)=1,MAX(0,N($L235)),INDEX($AX235:$BK235,MATCH($S235,$V$3:$AI$3,0)-1))+$U235-$O235)/$G235,0),0))</f>
        <v/>
      </c>
      <c r="CI235">
        <f>IF($C235="","",IF(AND($P235="",$Q235=""),"",IF($P235="","⚠ 入庫日を ▼ から選んでください",IF(NOT(ISNUMBER($P235)),"⚠ 入庫日は ▼ から選んでください",IF($P235&lt;N('設定'!$C$6),"⚠ 入庫日が過去です（もう在庫に入っています）→ 消してください",IF($P235&gt;N('設定'!$C$6)+13,"⚠ 入庫日が14日より先です",IF(N($Q235)&lt;=0,"⚠ 入庫数を入れてください",IF($CG235&gt;0,"⚠ 目安より "&amp;$CG235&amp;" 多い（定数を超える）→ 減らす",""))))))))</f>
        <v/>
      </c>
      <c r="CJ235">
        <f>IF($C235="","",IF(AND($S235="",$T235=""),"",IF($S235="","⚠ 2便目：入庫日を ▼ から選んでください",IF(NOT(ISNUMBER($S235)),"⚠ 2便目：入庫日は ▼ から選んでください",IF($S235&lt;N('設定'!$C$6),"⚠ 2便目：入庫日が過去です（もう在庫に入っています）→ 消してください",IF($S235&gt;N('設定'!$C$6)+13,"⚠ 2便目：入庫日が14日より先です",IF(N($T235)&lt;=0,"⚠ 2便目：入庫数を入れてください",IF($CH235&gt;0,"⚠ 2便目：定数を "&amp;$CH235&amp;" ケース超える → 減らす",""))))))))</f>
        <v/>
      </c>
      <c r="CK235">
        <f>IF(AND($CI235="",N($Q235)&gt;0,ISNUMBER($P235)),1,0)</f>
        <v/>
      </c>
      <c r="CL235">
        <f>IF(AND($CJ235="",N($T235)&gt;0,ISNUMBER($S235)),1,0)</f>
        <v/>
      </c>
      <c r="CM235">
        <f>IF(OR($CK235=1,$CL235=1),1,0)</f>
        <v/>
      </c>
      <c r="CN235">
        <f>IF($C235="",0,($CK235*$R235+$CL235*$U235)*N($H235))</f>
        <v/>
      </c>
      <c r="CO235">
        <f>IF($C235="","",IF($CC235="","入庫後は 14日以上もつ",IF($CC235-N('設定'!$C$7)&lt;='設定'!$C$6,"入庫後も "&amp;TEXT($CC235,"m/d")&amp;"("&amp;CHOOSE(WEEKDAY($CC235),"日","月","火","水","木","金","土")&amp;")"&amp;" に切れる　もう1便を至急発注","入庫後も "&amp;TEXT($CC235,"m/d")&amp;"("&amp;CHOOSE(WEEKDAY($CC235),"日","月","火","水","木","金","土")&amp;")"&amp;" に切れる　"&amp;TEXT($CC235-N('設定'!$C$7),"m/d")&amp;"("&amp;CHOOSE(WEEKDAY($CC235-N('設定'!$C$7)),"日","月","火","水","木","金","土")&amp;")"&amp;" までに次を発注")))</f>
        <v/>
      </c>
      <c r="CP235">
        <f>IF($C235="","",IF('設定'!$C$6="","？ ①在庫を貼る に今日のCSVが貼られていない",IF($CS235=1,"－ 今日のCSVに無い（終売？）",IF($L235&lt;0,"● 在庫がマイナス　数えて「数えた在庫」に入れる",IF($L235=0,"● 在庫なし　至急発注",IF($M235="","？ 減り数が未設定（商品マスタ）",IF($B$3=0,"？ 動員が未入力（動員を入れる）",IF($CA235="","○ 14日以上もつ",IF($BZ235&lt;N('設定'!$C$7),"● "&amp;TEXT($CA235,"m/d")&amp;"("&amp;CHOOSE(WEEKDAY($CA235),"日","月","火","水","木","金","土")&amp;")"&amp;" に切れる　至急発注",IF($BZ235=N('設定'!$C$7),"● "&amp;TEXT($CA235,"m/d")&amp;"("&amp;CHOOSE(WEEKDAY($CA235),"日","月","火","水","木","金","土")&amp;")"&amp;" に切れる　今日発注","△ "&amp;TEXT($CA235,"m/d")&amp;"("&amp;CHOOSE(WEEKDAY($CA235),"日","月","火","水","木","金","土")&amp;")"&amp;" に切れる　"&amp;TEXT($CA235-N('設定'!$C$7),"m/d")&amp;"("&amp;CHOOSE(WEEKDAY($CA235-N('設定'!$C$7)),"日","月","火","水","木","金","土")&amp;")"&amp;" までに発注"))))))))))</f>
        <v/>
      </c>
      <c r="CQ235">
        <f>IF($C235="","",IF(AND($P235="",$Q235="",$S235="",$T235=""),"",IF(AND($P235="",$Q235=""),"⚠ 先に1便目（左の入庫日・入庫数）に入れてください",IF($CI235&lt;&gt;"",$CI235,IF($CJ235&lt;&gt;"",$CJ235,IF($M235="","？ 減り数が未設定（発注書には載ります）",IF($B$3=0,"？ 動員が未入力（発注書には載ります）",IF(AND($CA235&lt;&gt;"",$P235&gt;$CA235),IF($P235&gt;'設定'!$C$6+N('設定'!$C$7),"● "&amp;TEXT($P235,"m/d")&amp;"("&amp;CHOOSE(WEEKDAY($P235),"日","月","火","水","木","金","土")&amp;")"&amp;" の入庫では間に合わない（"&amp;TEXT($CA235,"m/d")&amp;"("&amp;CHOOSE(WEEKDAY($CA235),"日","月","火","水","木","金","土")&amp;")"&amp;" に切れる）　入庫日を早める","△ 欠品 "&amp;TEXT($CA235,"m/d")&amp;"("&amp;CHOOSE(WEEKDAY($CA235),"日","月","火","水","木","金","土")&amp;")"&amp;"〜"&amp;TEXT($P235-1,"m/d")&amp;"("&amp;CHOOSE(WEEKDAY($P235-1),"日","月","火","水","木","金","土")&amp;")"&amp;"　"&amp;$CO235),IF($CC235="","○ "&amp;TEXT($P235,"m/d")&amp;"("&amp;CHOOSE(WEEKDAY($P235),"日","月","火","水","木","金","土")&amp;")"&amp;" 入庫で 14日以上もつ",IF($CC235-N('設定'!$C$7)&lt;='設定'!$C$6,"● 入庫しても "&amp;TEXT($CC235,"m/d")&amp;"("&amp;CHOOSE(WEEKDAY($CC235),"日","月","火","水","木","金","土")&amp;")"&amp;" に切れる　もう1便を至急発注（2便目に入れる）","△ 入庫しても "&amp;TEXT($CC235,"m/d")&amp;"("&amp;CHOOSE(WEEKDAY($CC235),"日","月","火","水","木","金","土")&amp;")"&amp;" に切れる　"&amp;TEXT($CC235-N('設定'!$C$7),"m/d")&amp;"("&amp;CHOOSE(WEEKDAY($CC235-N('設定'!$C$7)),"日","月","火","水","木","金","土")&amp;")"&amp;" までに次を発注（2便目に入れる）"))))))))))</f>
        <v/>
      </c>
      <c r="CR235">
        <f>IF($C235="","",IF($G235&gt;1,"ｹｰｽ("&amp;$G235&amp;"入)","個"))</f>
        <v/>
      </c>
      <c r="CS235">
        <f>IF($C235="",0,IF(COUNTIFS('①在庫を貼る'!$V$6:$V$10005,'設定'!$C$4,'①在庫を貼る'!$W$6:$W$10005,$C235)=0,1,0))</f>
        <v/>
      </c>
      <c r="CT235">
        <f>IF(AND($CK235=1,OR('③発注書'!$C$4="すべて",'③発注書'!$C$4="",$F235='③発注書'!$C$4)),N($CT234)+1,N($CT234))</f>
        <v/>
      </c>
      <c r="CU235">
        <f>IF(AND($CL235=1,OR('③発注書'!$C$4="すべて",'③発注書'!$C$4="",$F235='③発注書'!$C$4)),N($CU234)+1,N($CU234))</f>
        <v/>
      </c>
      <c r="CV235">
        <f>IF($C235="",0,IF(COUNTIFS('①在庫を貼る'!$V$6:$V$10005,'設定'!$C$4,'①在庫を貼る'!$W$6:$W$10005,$C235)&gt;0,1,0))</f>
        <v/>
      </c>
      <c r="CW235">
        <f>IF($C235="",0,IF(COUNTIFS('月1回_1ヶ月前の在庫'!$V$6:$V$10005,'設定'!$C$4,'月1回_1ヶ月前の在庫'!$W$6:$W$10005,$C235)&gt;0,1,0))</f>
        <v/>
      </c>
      <c r="CX235">
        <f>IF($C235="",0,IF(COUNTIFS('月1回_2ヶ月前の在庫'!$V$6:$V$10005,'設定'!$C$4,'月1回_2ヶ月前の在庫'!$W$6:$W$10005,$C235)&gt;0,1,0))</f>
        <v/>
      </c>
      <c r="CY235">
        <f>IF(OR($C235="",'設定'!$C$12=""),"",IF('設定'!$C$13="",IF(AND($CV235=1,$CW235=0),"新商品（今月から）",IF(AND($CV235=0,$CW235=1),"終売（今月から）","")),IF(AND($CV235=1,$CW235=0,$CX235=0),"新商品（今月から）",IF(AND($CV235=1,$CW235=1,$CX235=0),"新商品（先月から）",IF(AND($CV235=0,$CW235=1,$CX235=1),"終売（今月から）",IF(AND($CV235=0,$CW235=0,$CX235=1),"終売（先月から）",IF(AND($CV235=1,$CW235=0,$CX235=1),"復活（先月は無し）","")))))))</f>
        <v/>
      </c>
    </row>
    <row r="236">
      <c r="B236">
        <f>IF(231&lt;='設定'!$C$11,231,"")</f>
        <v/>
      </c>
      <c r="C236">
        <f>IF($B236="","",IF($B236&lt;='設定'!$C$20,INDEX('商品マスタ'!$B$6:$B$1005,MATCH($B236,'商品マスタ'!$M$6:$M$1005,0)),IF($B236&lt;='設定'!$C$20+'設定'!$C$17,INDEX('①在庫を貼る'!$W$6:$W$10005,MATCH($B236-'設定'!$C$20,'①在庫を貼る'!$U$6:$U$10005,0)),IF($B236&lt;='設定'!$C$20+'設定'!$C$17+'設定'!$C$18,INDEX('月1回_1ヶ月前の在庫'!$W$6:$W$10005,MATCH($B236-'設定'!$C$20-'設定'!$C$17,'月1回_1ヶ月前の在庫'!$U$6:$U$10005,0)),INDEX('月1回_2ヶ月前の在庫'!$W$6:$W$10005,MATCH($B236-'設定'!$C$20-'設定'!$C$17-'設定'!$C$18,'月1回_2ヶ月前の在庫'!$U$6:$U$10005,0))))))</f>
        <v/>
      </c>
      <c r="D236">
        <f>IF($C236="","",IFERROR(IF(INDEX('商品マスタ'!$C$6:$C$1005,MATCH($C236,'商品マスタ'!$B$6:$B$1005,0))="",IFERROR(INDEX('①在庫を貼る'!$J$6:$J$10005,MATCH($C236,'①在庫を貼る'!$W$6:$W$10005,0)),IFERROR(INDEX('月1回_1ヶ月前の在庫'!$J$6:$J$10005,MATCH($C236,'月1回_1ヶ月前の在庫'!$W$6:$W$10005,0)),IFERROR(INDEX('月1回_2ヶ月前の在庫'!$J$6:$J$10005,MATCH($C236,'月1回_2ヶ月前の在庫'!$W$6:$W$10005,0)),""))),INDEX('商品マスタ'!$C$6:$C$1005,MATCH($C236,'商品マスタ'!$B$6:$B$1005,0))),IFERROR(INDEX('①在庫を貼る'!$J$6:$J$10005,MATCH($C236,'①在庫を貼る'!$W$6:$W$10005,0)),IFERROR(INDEX('月1回_1ヶ月前の在庫'!$J$6:$J$10005,MATCH($C236,'月1回_1ヶ月前の在庫'!$W$6:$W$10005,0)),IFERROR(INDEX('月1回_2ヶ月前の在庫'!$J$6:$J$10005,MATCH($C236,'月1回_2ヶ月前の在庫'!$W$6:$W$10005,0)),"")))))</f>
        <v/>
      </c>
      <c r="E236">
        <f>IF($C236="","",IFERROR(IF(INDEX('商品マスタ'!$D$6:$D$1005,MATCH($C236,'商品マスタ'!$B$6:$B$1005,0))="",IFERROR(INDEX('①在庫を貼る'!$H$6:$H$10005,MATCH($C236,'①在庫を貼る'!$W$6:$W$10005,0)),IFERROR(INDEX('月1回_1ヶ月前の在庫'!$H$6:$H$10005,MATCH($C236,'月1回_1ヶ月前の在庫'!$W$6:$W$10005,0)),IFERROR(INDEX('月1回_2ヶ月前の在庫'!$H$6:$H$10005,MATCH($C236,'月1回_2ヶ月前の在庫'!$W$6:$W$10005,0)),""))),INDEX('商品マスタ'!$D$6:$D$1005,MATCH($C236,'商品マスタ'!$B$6:$B$1005,0))),IFERROR(INDEX('①在庫を貼る'!$H$6:$H$10005,MATCH($C236,'①在庫を貼る'!$W$6:$W$10005,0)),IFERROR(INDEX('月1回_1ヶ月前の在庫'!$H$6:$H$10005,MATCH($C236,'月1回_1ヶ月前の在庫'!$W$6:$W$10005,0)),IFERROR(INDEX('月1回_2ヶ月前の在庫'!$H$6:$H$10005,MATCH($C236,'月1回_2ヶ月前の在庫'!$W$6:$W$10005,0)),"")))))</f>
        <v/>
      </c>
      <c r="F236">
        <f>IF($C236="","",IFERROR(IF(INDEX('商品マスタ'!$E$6:$E$1005,MATCH($C236,'商品マスタ'!$B$6:$B$1005,0))="",IFERROR(INDEX('①在庫を貼る'!$E$6:$E$10005,MATCH($C236,'①在庫を貼る'!$W$6:$W$10005,0)),IFERROR(INDEX('月1回_1ヶ月前の在庫'!$E$6:$E$10005,MATCH($C236,'月1回_1ヶ月前の在庫'!$W$6:$W$10005,0)),IFERROR(INDEX('月1回_2ヶ月前の在庫'!$E$6:$E$10005,MATCH($C236,'月1回_2ヶ月前の在庫'!$W$6:$W$10005,0)),""))),INDEX('商品マスタ'!$E$6:$E$1005,MATCH($C236,'商品マスタ'!$B$6:$B$1005,0))),IFERROR(INDEX('①在庫を貼る'!$E$6:$E$10005,MATCH($C236,'①在庫を貼る'!$W$6:$W$10005,0)),IFERROR(INDEX('月1回_1ヶ月前の在庫'!$E$6:$E$10005,MATCH($C236,'月1回_1ヶ月前の在庫'!$W$6:$W$10005,0)),IFERROR(INDEX('月1回_2ヶ月前の在庫'!$E$6:$E$10005,MATCH($C236,'月1回_2ヶ月前の在庫'!$W$6:$W$10005,0)),"")))))</f>
        <v/>
      </c>
      <c r="G236">
        <f>IF($C236="","",MAX(1,N(IFERROR(IF(INDEX('商品マスタ'!$F$6:$F$1005,MATCH($C236,'商品マスタ'!$B$6:$B$1005,0))="",IF(COUNTIFS('①在庫を貼る'!$V$6:$V$10005,'設定'!$C$4,'①在庫を貼る'!$W$6:$W$10005,$C236)&gt;0,SUMIFS('①在庫を貼る'!$K$6:$K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K$6:$K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K$6:$K$10005,'月1回_2ヶ月前の在庫'!$V$6:$V$10005,'設定'!$C$4,'月1回_2ヶ月前の在庫'!$W$6:$W$10005,$C236)/COUNTIFS('月1回_2ヶ月前の在庫'!$V$6:$V$10005,'設定'!$C$4,'月1回_2ヶ月前の在庫'!$W$6:$W$10005,$C236),0))),INDEX('商品マスタ'!$F$6:$F$1005,MATCH($C236,'商品マスタ'!$B$6:$B$1005,0))),IF(COUNTIFS('①在庫を貼る'!$V$6:$V$10005,'設定'!$C$4,'①在庫を貼る'!$W$6:$W$10005,$C236)&gt;0,SUMIFS('①在庫を貼る'!$K$6:$K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K$6:$K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K$6:$K$10005,'月1回_2ヶ月前の在庫'!$V$6:$V$10005,'設定'!$C$4,'月1回_2ヶ月前の在庫'!$W$6:$W$10005,$C236)/COUNTIFS('月1回_2ヶ月前の在庫'!$V$6:$V$10005,'設定'!$C$4,'月1回_2ヶ月前の在庫'!$W$6:$W$10005,$C236),0)))))))</f>
        <v/>
      </c>
      <c r="H236">
        <f>IF($C236="","",N(IFERROR(IF(INDEX('商品マスタ'!$G$6:$G$1005,MATCH($C236,'商品マスタ'!$B$6:$B$1005,0))="",IF(COUNTIFS('①在庫を貼る'!$V$6:$V$10005,'設定'!$C$4,'①在庫を貼る'!$W$6:$W$10005,$C236)&gt;0,SUMIFS('①在庫を貼る'!$Q$6:$Q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Q$6:$Q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Q$6:$Q$10005,'月1回_2ヶ月前の在庫'!$V$6:$V$10005,'設定'!$C$4,'月1回_2ヶ月前の在庫'!$W$6:$W$10005,$C236)/COUNTIFS('月1回_2ヶ月前の在庫'!$V$6:$V$10005,'設定'!$C$4,'月1回_2ヶ月前の在庫'!$W$6:$W$10005,$C236),0))),INDEX('商品マスタ'!$G$6:$G$1005,MATCH($C236,'商品マスタ'!$B$6:$B$1005,0))),IF(COUNTIFS('①在庫を貼る'!$V$6:$V$10005,'設定'!$C$4,'①在庫を貼る'!$W$6:$W$10005,$C236)&gt;0,SUMIFS('①在庫を貼る'!$Q$6:$Q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Q$6:$Q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Q$6:$Q$10005,'月1回_2ヶ月前の在庫'!$V$6:$V$10005,'設定'!$C$4,'月1回_2ヶ月前の在庫'!$W$6:$W$10005,$C236)/COUNTIFS('月1回_2ヶ月前の在庫'!$V$6:$V$10005,'設定'!$C$4,'月1回_2ヶ月前の在庫'!$W$6:$W$10005,$C236),0))))))</f>
        <v/>
      </c>
      <c r="I236">
        <f>IF($C236="","",IF(COUNTIFS('①在庫を貼る'!$V$6:$V$10005,'設定'!$C$4,'①在庫を貼る'!$W$6:$W$10005,$C236)=0,"",SUMIFS('①在庫を貼る'!$N$6:$N$10005,'①在庫を貼る'!$V$6:$V$10005,'設定'!$C$4,'①在庫を貼る'!$W$6:$W$10005,$C236)))</f>
        <v/>
      </c>
      <c r="J236">
        <f>IF($C236="","",IF('②発注する'!$AD240="","",'②発注する'!$AD240))</f>
        <v/>
      </c>
      <c r="K236" s="90">
        <f>IF($C236="","",IF('②発注する'!$AE240="","",'②発注する'!$AE240))</f>
        <v/>
      </c>
      <c r="L236">
        <f>IF($C236="","",IF(AND(ISNUMBER($J236),ISNUMBER($K236),$K236&gt;='設定'!$C$6),$J236,N($I236)))</f>
        <v/>
      </c>
      <c r="M236">
        <f>IF($C236="","",IFERROR(IF(N(INDEX('商品マスタ'!$J$6:$J$1005,MATCH($C236,'商品マスタ'!$B$6:$B$1005,0)))&gt;0,INDEX('商品マスタ'!$J$6:$J$1005,MATCH($C236,'商品マスタ'!$B$6:$B$1005,0)),""),""))</f>
        <v/>
      </c>
      <c r="N236">
        <f>IF($C236="","",IFERROR(IF(N(INDEX('商品マスタ'!$H$6:$H$1005,MATCH($C236,'商品マスタ'!$B$6:$B$1005,0)))&gt;0,INDEX('商品マスタ'!$H$6:$H$1005,MATCH($C236,'商品マスタ'!$B$6:$B$1005,0)),""),""))</f>
        <v/>
      </c>
      <c r="O236">
        <f>IF($C236="","",IF($N236&lt;&gt;"",$N236*$G236,IF(N(IF(COUNTIFS('①在庫を貼る'!$V$6:$V$10005,'設定'!$C$4,'①在庫を貼る'!$W$6:$W$10005,$C236)&gt;0,SUMIFS('①在庫を貼る'!$O$6:$O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O$6:$O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O$6:$O$10005,'月1回_2ヶ月前の在庫'!$V$6:$V$10005,'設定'!$C$4,'月1回_2ヶ月前の在庫'!$W$6:$W$10005,$C236)/COUNTIFS('月1回_2ヶ月前の在庫'!$V$6:$V$10005,'設定'!$C$4,'月1回_2ヶ月前の在庫'!$W$6:$W$10005,$C236),0))))&gt;0,N(IF(COUNTIFS('①在庫を貼る'!$V$6:$V$10005,'設定'!$C$4,'①在庫を貼る'!$W$6:$W$10005,$C236)&gt;0,SUMIFS('①在庫を貼る'!$O$6:$O$10005,'①在庫を貼る'!$V$6:$V$10005,'設定'!$C$4,'①在庫を貼る'!$W$6:$W$10005,$C236)/COUNTIFS('①在庫を貼る'!$V$6:$V$10005,'設定'!$C$4,'①在庫を貼る'!$W$6:$W$10005,$C236),IF(COUNTIFS('月1回_1ヶ月前の在庫'!$V$6:$V$10005,'設定'!$C$4,'月1回_1ヶ月前の在庫'!$W$6:$W$10005,$C236)&gt;0,SUMIFS('月1回_1ヶ月前の在庫'!$O$6:$O$10005,'月1回_1ヶ月前の在庫'!$V$6:$V$10005,'設定'!$C$4,'月1回_1ヶ月前の在庫'!$W$6:$W$10005,$C236)/COUNTIFS('月1回_1ヶ月前の在庫'!$V$6:$V$10005,'設定'!$C$4,'月1回_1ヶ月前の在庫'!$W$6:$W$10005,$C236),IF(COUNTIFS('月1回_2ヶ月前の在庫'!$V$6:$V$10005,'設定'!$C$4,'月1回_2ヶ月前の在庫'!$W$6:$W$10005,$C236)&gt;0,SUMIFS('月1回_2ヶ月前の在庫'!$O$6:$O$10005,'月1回_2ヶ月前の在庫'!$V$6:$V$10005,'設定'!$C$4,'月1回_2ヶ月前の在庫'!$W$6:$W$10005,$C236)/COUNTIFS('月1回_2ヶ月前の在庫'!$V$6:$V$10005,'設定'!$C$4,'月1回_2ヶ月前の在庫'!$W$6:$W$10005,$C236),0)))),"")))</f>
        <v/>
      </c>
      <c r="P236" s="90">
        <f>IF($C236="","",IF('②発注する'!$I240="","",'②発注する'!$I240))</f>
        <v/>
      </c>
      <c r="Q236">
        <f>IF($C236="","",IF('②発注する'!$J240="","",'②発注する'!$J240))</f>
        <v/>
      </c>
      <c r="R236">
        <f>IF($C236="",0,IF(AND(ISNUMBER($P236),ISNUMBER($Q236)),MAX(0,$Q236)*$G236,0))</f>
        <v/>
      </c>
      <c r="S236" s="90">
        <f>IF($C236="","",IF('②発注する'!$M240="","",'②発注する'!$M240))</f>
        <v/>
      </c>
      <c r="T236">
        <f>IF($C236="","",IF('②発注する'!$N240="","",'②発注する'!$N240))</f>
        <v/>
      </c>
      <c r="U236">
        <f>IF($C236="",0,IF(AND(ISNUMBER($S236),ISNUMBER($T236)),MAX(0,$T236)*$G236,0))</f>
        <v/>
      </c>
      <c r="V236">
        <f>IF($C236="",0,IF($M236="",0,MAX(0,$M236)*MAX(0,V$4)/100))</f>
        <v/>
      </c>
      <c r="W236">
        <f>IF($C236="",0,IF($M236="",0,MAX(0,$M236)*MAX(0,W$4)/100))</f>
        <v/>
      </c>
      <c r="X236">
        <f>IF($C236="",0,IF($M236="",0,MAX(0,$M236)*MAX(0,X$4)/100))</f>
        <v/>
      </c>
      <c r="Y236">
        <f>IF($C236="",0,IF($M236="",0,MAX(0,$M236)*MAX(0,Y$4)/100))</f>
        <v/>
      </c>
      <c r="Z236">
        <f>IF($C236="",0,IF($M236="",0,MAX(0,$M236)*MAX(0,Z$4)/100))</f>
        <v/>
      </c>
      <c r="AA236">
        <f>IF($C236="",0,IF($M236="",0,MAX(0,$M236)*MAX(0,AA$4)/100))</f>
        <v/>
      </c>
      <c r="AB236">
        <f>IF($C236="",0,IF($M236="",0,MAX(0,$M236)*MAX(0,AB$4)/100))</f>
        <v/>
      </c>
      <c r="AC236">
        <f>IF($C236="",0,IF($M236="",0,MAX(0,$M236)*MAX(0,AC$4)/100))</f>
        <v/>
      </c>
      <c r="AD236">
        <f>IF($C236="",0,IF($M236="",0,MAX(0,$M236)*MAX(0,AD$4)/100))</f>
        <v/>
      </c>
      <c r="AE236">
        <f>IF($C236="",0,IF($M236="",0,MAX(0,$M236)*MAX(0,AE$4)/100))</f>
        <v/>
      </c>
      <c r="AF236">
        <f>IF($C236="",0,IF($M236="",0,MAX(0,$M236)*MAX(0,AF$4)/100))</f>
        <v/>
      </c>
      <c r="AG236">
        <f>IF($C236="",0,IF($M236="",0,MAX(0,$M236)*MAX(0,AG$4)/100))</f>
        <v/>
      </c>
      <c r="AH236">
        <f>IF($C236="",0,IF($M236="",0,MAX(0,$M236)*MAX(0,AH$4)/100))</f>
        <v/>
      </c>
      <c r="AI236">
        <f>IF($C236="",0,IF($M236="",0,MAX(0,$M236)*MAX(0,AI$4)/100))</f>
        <v/>
      </c>
      <c r="AJ236">
        <f>IF($C236="",0,MAX(0,MAX(0,N($L236))-$V236))</f>
        <v/>
      </c>
      <c r="AK236">
        <f>IF($C236="",0,MAX(0,$AJ236-$W236))</f>
        <v/>
      </c>
      <c r="AL236">
        <f>IF($C236="",0,MAX(0,$AK236-$X236))</f>
        <v/>
      </c>
      <c r="AM236">
        <f>IF($C236="",0,MAX(0,$AL236-$Y236))</f>
        <v/>
      </c>
      <c r="AN236">
        <f>IF($C236="",0,MAX(0,$AM236-$Z236))</f>
        <v/>
      </c>
      <c r="AO236">
        <f>IF($C236="",0,MAX(0,$AN236-$AA236))</f>
        <v/>
      </c>
      <c r="AP236">
        <f>IF($C236="",0,MAX(0,$AO236-$AB236))</f>
        <v/>
      </c>
      <c r="AQ236">
        <f>IF($C236="",0,MAX(0,$AP236-$AC236))</f>
        <v/>
      </c>
      <c r="AR236">
        <f>IF($C236="",0,MAX(0,$AQ236-$AD236))</f>
        <v/>
      </c>
      <c r="AS236">
        <f>IF($C236="",0,MAX(0,$AR236-$AE236))</f>
        <v/>
      </c>
      <c r="AT236">
        <f>IF($C236="",0,MAX(0,$AS236-$AF236))</f>
        <v/>
      </c>
      <c r="AU236">
        <f>IF($C236="",0,MAX(0,$AT236-$AG236))</f>
        <v/>
      </c>
      <c r="AV236">
        <f>IF($C236="",0,MAX(0,$AU236-$AH236))</f>
        <v/>
      </c>
      <c r="AW236">
        <f>IF($C236="",0,MAX(0,$AV236-$AI236))</f>
        <v/>
      </c>
      <c r="AX236">
        <f>IF($C236="",0,MAX(0,MAX(0,N($L236))+IF($P236=V$3,$R236,0)+IF($S236=V$3,$U236,0)-$V236))</f>
        <v/>
      </c>
      <c r="AY236">
        <f>IF($C236="",0,MAX(0,$AX236+IF($P236=W$3,$R236,0)+IF($S236=W$3,$U236,0)-$W236))</f>
        <v/>
      </c>
      <c r="AZ236">
        <f>IF($C236="",0,MAX(0,$AY236+IF($P236=X$3,$R236,0)+IF($S236=X$3,$U236,0)-$X236))</f>
        <v/>
      </c>
      <c r="BA236">
        <f>IF($C236="",0,MAX(0,$AZ236+IF($P236=Y$3,$R236,0)+IF($S236=Y$3,$U236,0)-$Y236))</f>
        <v/>
      </c>
      <c r="BB236">
        <f>IF($C236="",0,MAX(0,$BA236+IF($P236=Z$3,$R236,0)+IF($S236=Z$3,$U236,0)-$Z236))</f>
        <v/>
      </c>
      <c r="BC236">
        <f>IF($C236="",0,MAX(0,$BB236+IF($P236=AA$3,$R236,0)+IF($S236=AA$3,$U236,0)-$AA236))</f>
        <v/>
      </c>
      <c r="BD236">
        <f>IF($C236="",0,MAX(0,$BC236+IF($P236=AB$3,$R236,0)+IF($S236=AB$3,$U236,0)-$AB236))</f>
        <v/>
      </c>
      <c r="BE236">
        <f>IF($C236="",0,MAX(0,$BD236+IF($P236=AC$3,$R236,0)+IF($S236=AC$3,$U236,0)-$AC236))</f>
        <v/>
      </c>
      <c r="BF236">
        <f>IF($C236="",0,MAX(0,$BE236+IF($P236=AD$3,$R236,0)+IF($S236=AD$3,$U236,0)-$AD236))</f>
        <v/>
      </c>
      <c r="BG236">
        <f>IF($C236="",0,MAX(0,$BF236+IF($P236=AE$3,$R236,0)+IF($S236=AE$3,$U236,0)-$AE236))</f>
        <v/>
      </c>
      <c r="BH236">
        <f>IF($C236="",0,MAX(0,$BG236+IF($P236=AF$3,$R236,0)+IF($S236=AF$3,$U236,0)-$AF236))</f>
        <v/>
      </c>
      <c r="BI236">
        <f>IF($C236="",0,MAX(0,$BH236+IF($P236=AG$3,$R236,0)+IF($S236=AG$3,$U236,0)-$AG236))</f>
        <v/>
      </c>
      <c r="BJ236">
        <f>IF($C236="",0,MAX(0,$BI236+IF($P236=AH$3,$R236,0)+IF($S236=AH$3,$U236,0)-$AH236))</f>
        <v/>
      </c>
      <c r="BK236">
        <f>IF($C236="",0,MAX(0,$BJ236+IF($P236=AI$3,$R236,0)+IF($S236=AI$3,$U236,0)-$AI236))</f>
        <v/>
      </c>
      <c r="BL236">
        <f>IF($C236="",99,IF(AND($AX236&lt;1,V$3&gt;=MAX(N($P236),N($S236))),0,99))</f>
        <v/>
      </c>
      <c r="BM236">
        <f>IF($C236="",99,IF(AND($AY236&lt;1,W$3&gt;=MAX(N($P236),N($S236))),1,99))</f>
        <v/>
      </c>
      <c r="BN236">
        <f>IF($C236="",99,IF(AND($AZ236&lt;1,X$3&gt;=MAX(N($P236),N($S236))),2,99))</f>
        <v/>
      </c>
      <c r="BO236">
        <f>IF($C236="",99,IF(AND($BA236&lt;1,Y$3&gt;=MAX(N($P236),N($S236))),3,99))</f>
        <v/>
      </c>
      <c r="BP236">
        <f>IF($C236="",99,IF(AND($BB236&lt;1,Z$3&gt;=MAX(N($P236),N($S236))),4,99))</f>
        <v/>
      </c>
      <c r="BQ236">
        <f>IF($C236="",99,IF(AND($BC236&lt;1,AA$3&gt;=MAX(N($P236),N($S236))),5,99))</f>
        <v/>
      </c>
      <c r="BR236">
        <f>IF($C236="",99,IF(AND($BD236&lt;1,AB$3&gt;=MAX(N($P236),N($S236))),6,99))</f>
        <v/>
      </c>
      <c r="BS236">
        <f>IF($C236="",99,IF(AND($BE236&lt;1,AC$3&gt;=MAX(N($P236),N($S236))),7,99))</f>
        <v/>
      </c>
      <c r="BT236">
        <f>IF($C236="",99,IF(AND($BF236&lt;1,AD$3&gt;=MAX(N($P236),N($S236))),8,99))</f>
        <v/>
      </c>
      <c r="BU236">
        <f>IF($C236="",99,IF(AND($BG236&lt;1,AE$3&gt;=MAX(N($P236),N($S236))),9,99))</f>
        <v/>
      </c>
      <c r="BV236">
        <f>IF($C236="",99,IF(AND($BH236&lt;1,AF$3&gt;=MAX(N($P236),N($S236))),10,99))</f>
        <v/>
      </c>
      <c r="BW236">
        <f>IF($C236="",99,IF(AND($BI236&lt;1,AG$3&gt;=MAX(N($P236),N($S236))),11,99))</f>
        <v/>
      </c>
      <c r="BX236">
        <f>IF($C236="",99,IF(AND($BJ236&lt;1,AH$3&gt;=MAX(N($P236),N($S236))),12,99))</f>
        <v/>
      </c>
      <c r="BY236">
        <f>IF($C236="",99,IF(AND($BK236&lt;1,AI$3&gt;=MAX(N($P236),N($S236))),13,99))</f>
        <v/>
      </c>
      <c r="BZ236">
        <f>IF(OR($C236="",$M236=""),"",COUNTIF($AJ236:$AW236,"&gt;=1"))</f>
        <v/>
      </c>
      <c r="CA236" s="90">
        <f>IF($BZ236="","",IF($BZ236&gt;=14,"",'設定'!$C$6+$BZ236))</f>
        <v/>
      </c>
      <c r="CB236">
        <f>IF(OR($C236="",$M236=""),"",MIN($BL236:$BY236))</f>
        <v/>
      </c>
      <c r="CC236" s="90">
        <f>IF($CB236="","",IF($CB236&gt;=99,"",'設定'!$C$6+$CB236))</f>
        <v/>
      </c>
      <c r="CD236">
        <f>IF(OR($C236="",$M236=""),"",AVERAGE($V236:$AI236))</f>
        <v/>
      </c>
      <c r="CE236">
        <f>IF($C236="","",IFERROR(IF(MATCH(IF(ISNUMBER($P236),$P236,'設定'!$C$6+N('設定'!$C$7)),$V$3:$AI$3,0)=1,MAX(0,N($L236)),INDEX($AJ236:$AW236,MATCH(IF(ISNUMBER($P236),$P236,'設定'!$C$6+N('設定'!$C$7)),$V$3:$AI$3,0)-1)),""))</f>
        <v/>
      </c>
      <c r="CF236">
        <f>IF(OR($C236="",$O236="",$CE236=""),"",IF($O236-$CE236&lt;=0,0,ROUNDUP(($O236-$CE236)/$G236,0)))</f>
        <v/>
      </c>
      <c r="CG236">
        <f>IF(OR($C236="",$CF236="",NOT(ISNUMBER($Q236))),0,MAX(0,$Q236-$CF236))</f>
        <v/>
      </c>
      <c r="CH236">
        <f>IF(OR($C236="",$O236="",$U236=0),0,IFERROR(ROUNDUP(MAX(0,IF(MATCH($S236,$V$3:$AI$3,0)=1,MAX(0,N($L236)),INDEX($AX236:$BK236,MATCH($S236,$V$3:$AI$3,0)-1))+$U236-$O236)/$G236,0),0))</f>
        <v/>
      </c>
      <c r="CI236">
        <f>IF($C236="","",IF(AND($P236="",$Q236=""),"",IF($P236="","⚠ 入庫日を ▼ から選んでください",IF(NOT(ISNUMBER($P236)),"⚠ 入庫日は ▼ から選んでください",IF($P236&lt;N('設定'!$C$6),"⚠ 入庫日が過去です（もう在庫に入っています）→ 消してください",IF($P236&gt;N('設定'!$C$6)+13,"⚠ 入庫日が14日より先です",IF(N($Q236)&lt;=0,"⚠ 入庫数を入れてください",IF($CG236&gt;0,"⚠ 目安より "&amp;$CG236&amp;" 多い（定数を超える）→ 減らす",""))))))))</f>
        <v/>
      </c>
      <c r="CJ236">
        <f>IF($C236="","",IF(AND($S236="",$T236=""),"",IF($S236="","⚠ 2便目：入庫日を ▼ から選んでください",IF(NOT(ISNUMBER($S236)),"⚠ 2便目：入庫日は ▼ から選んでください",IF($S236&lt;N('設定'!$C$6),"⚠ 2便目：入庫日が過去です（もう在庫に入っています）→ 消してください",IF($S236&gt;N('設定'!$C$6)+13,"⚠ 2便目：入庫日が14日より先です",IF(N($T236)&lt;=0,"⚠ 2便目：入庫数を入れてください",IF($CH236&gt;0,"⚠ 2便目：定数を "&amp;$CH236&amp;" ケース超える → 減らす",""))))))))</f>
        <v/>
      </c>
      <c r="CK236">
        <f>IF(AND($CI236="",N($Q236)&gt;0,ISNUMBER($P236)),1,0)</f>
        <v/>
      </c>
      <c r="CL236">
        <f>IF(AND($CJ236="",N($T236)&gt;0,ISNUMBER($S236)),1,0)</f>
        <v/>
      </c>
      <c r="CM236">
        <f>IF(OR($CK236=1,$CL236=1),1,0)</f>
        <v/>
      </c>
      <c r="CN236">
        <f>IF($C236="",0,($CK236*$R236+$CL236*$U236)*N($H236))</f>
        <v/>
      </c>
      <c r="CO236">
        <f>IF($C236="","",IF($CC236="","入庫後は 14日以上もつ",IF($CC236-N('設定'!$C$7)&lt;='設定'!$C$6,"入庫後も "&amp;TEXT($CC236,"m/d")&amp;"("&amp;CHOOSE(WEEKDAY($CC236),"日","月","火","水","木","金","土")&amp;")"&amp;" に切れる　もう1便を至急発注","入庫後も "&amp;TEXT($CC236,"m/d")&amp;"("&amp;CHOOSE(WEEKDAY($CC236),"日","月","火","水","木","金","土")&amp;")"&amp;" に切れる　"&amp;TEXT($CC236-N('設定'!$C$7),"m/d")&amp;"("&amp;CHOOSE(WEEKDAY($CC236-N('設定'!$C$7)),"日","月","火","水","木","金","土")&amp;")"&amp;" までに次を発注")))</f>
        <v/>
      </c>
      <c r="CP236">
        <f>IF($C236="","",IF('設定'!$C$6="","？ ①在庫を貼る に今日のCSVが貼られていない",IF($CS236=1,"－ 今日のCSVに無い（終売？）",IF($L236&lt;0,"● 在庫がマイナス　数えて「数えた在庫」に入れる",IF($L236=0,"● 在庫なし　至急発注",IF($M236="","？ 減り数が未設定（商品マスタ）",IF($B$3=0,"？ 動員が未入力（動員を入れる）",IF($CA236="","○ 14日以上もつ",IF($BZ236&lt;N('設定'!$C$7),"● "&amp;TEXT($CA236,"m/d")&amp;"("&amp;CHOOSE(WEEKDAY($CA236),"日","月","火","水","木","金","土")&amp;")"&amp;" に切れる　至急発注",IF($BZ236=N('設定'!$C$7),"● "&amp;TEXT($CA236,"m/d")&amp;"("&amp;CHOOSE(WEEKDAY($CA236),"日","月","火","水","木","金","土")&amp;")"&amp;" に切れる　今日発注","△ "&amp;TEXT($CA236,"m/d")&amp;"("&amp;CHOOSE(WEEKDAY($CA236),"日","月","火","水","木","金","土")&amp;")"&amp;" に切れる　"&amp;TEXT($CA236-N('設定'!$C$7),"m/d")&amp;"("&amp;CHOOSE(WEEKDAY($CA236-N('設定'!$C$7)),"日","月","火","水","木","金","土")&amp;")"&amp;" までに発注"))))))))))</f>
        <v/>
      </c>
      <c r="CQ236">
        <f>IF($C236="","",IF(AND($P236="",$Q236="",$S236="",$T236=""),"",IF(AND($P236="",$Q236=""),"⚠ 先に1便目（左の入庫日・入庫数）に入れてください",IF($CI236&lt;&gt;"",$CI236,IF($CJ236&lt;&gt;"",$CJ236,IF($M236="","？ 減り数が未設定（発注書には載ります）",IF($B$3=0,"？ 動員が未入力（発注書には載ります）",IF(AND($CA236&lt;&gt;"",$P236&gt;$CA236),IF($P236&gt;'設定'!$C$6+N('設定'!$C$7),"● "&amp;TEXT($P236,"m/d")&amp;"("&amp;CHOOSE(WEEKDAY($P236),"日","月","火","水","木","金","土")&amp;")"&amp;" の入庫では間に合わない（"&amp;TEXT($CA236,"m/d")&amp;"("&amp;CHOOSE(WEEKDAY($CA236),"日","月","火","水","木","金","土")&amp;")"&amp;" に切れる）　入庫日を早める","△ 欠品 "&amp;TEXT($CA236,"m/d")&amp;"("&amp;CHOOSE(WEEKDAY($CA236),"日","月","火","水","木","金","土")&amp;")"&amp;"〜"&amp;TEXT($P236-1,"m/d")&amp;"("&amp;CHOOSE(WEEKDAY($P236-1),"日","月","火","水","木","金","土")&amp;")"&amp;"　"&amp;$CO236),IF($CC236="","○ "&amp;TEXT($P236,"m/d")&amp;"("&amp;CHOOSE(WEEKDAY($P236),"日","月","火","水","木","金","土")&amp;")"&amp;" 入庫で 14日以上もつ",IF($CC236-N('設定'!$C$7)&lt;='設定'!$C$6,"● 入庫しても "&amp;TEXT($CC236,"m/d")&amp;"("&amp;CHOOSE(WEEKDAY($CC236),"日","月","火","水","木","金","土")&amp;")"&amp;" に切れる　もう1便を至急発注（2便目に入れる）","△ 入庫しても "&amp;TEXT($CC236,"m/d")&amp;"("&amp;CHOOSE(WEEKDAY($CC236),"日","月","火","水","木","金","土")&amp;")"&amp;" に切れる　"&amp;TEXT($CC236-N('設定'!$C$7),"m/d")&amp;"("&amp;CHOOSE(WEEKDAY($CC236-N('設定'!$C$7)),"日","月","火","水","木","金","土")&amp;")"&amp;" までに次を発注（2便目に入れる）"))))))))))</f>
        <v/>
      </c>
      <c r="CR236">
        <f>IF($C236="","",IF($G236&gt;1,"ｹｰｽ("&amp;$G236&amp;"入)","個"))</f>
        <v/>
      </c>
      <c r="CS236">
        <f>IF($C236="",0,IF(COUNTIFS('①在庫を貼る'!$V$6:$V$10005,'設定'!$C$4,'①在庫を貼る'!$W$6:$W$10005,$C236)=0,1,0))</f>
        <v/>
      </c>
      <c r="CT236">
        <f>IF(AND($CK236=1,OR('③発注書'!$C$4="すべて",'③発注書'!$C$4="",$F236='③発注書'!$C$4)),N($CT235)+1,N($CT235))</f>
        <v/>
      </c>
      <c r="CU236">
        <f>IF(AND($CL236=1,OR('③発注書'!$C$4="すべて",'③発注書'!$C$4="",$F236='③発注書'!$C$4)),N($CU235)+1,N($CU235))</f>
        <v/>
      </c>
      <c r="CV236">
        <f>IF($C236="",0,IF(COUNTIFS('①在庫を貼る'!$V$6:$V$10005,'設定'!$C$4,'①在庫を貼る'!$W$6:$W$10005,$C236)&gt;0,1,0))</f>
        <v/>
      </c>
      <c r="CW236">
        <f>IF($C236="",0,IF(COUNTIFS('月1回_1ヶ月前の在庫'!$V$6:$V$10005,'設定'!$C$4,'月1回_1ヶ月前の在庫'!$W$6:$W$10005,$C236)&gt;0,1,0))</f>
        <v/>
      </c>
      <c r="CX236">
        <f>IF($C236="",0,IF(COUNTIFS('月1回_2ヶ月前の在庫'!$V$6:$V$10005,'設定'!$C$4,'月1回_2ヶ月前の在庫'!$W$6:$W$10005,$C236)&gt;0,1,0))</f>
        <v/>
      </c>
      <c r="CY236">
        <f>IF(OR($C236="",'設定'!$C$12=""),"",IF('設定'!$C$13="",IF(AND($CV236=1,$CW236=0),"新商品（今月から）",IF(AND($CV236=0,$CW236=1),"終売（今月から）","")),IF(AND($CV236=1,$CW236=0,$CX236=0),"新商品（今月から）",IF(AND($CV236=1,$CW236=1,$CX236=0),"新商品（先月から）",IF(AND($CV236=0,$CW236=1,$CX236=1),"終売（今月から）",IF(AND($CV236=0,$CW236=0,$CX236=1),"終売（先月から）",IF(AND($CV236=1,$CW236=0,$CX236=1),"復活（先月は無し）","")))))))</f>
        <v/>
      </c>
    </row>
    <row r="237">
      <c r="B237">
        <f>IF(232&lt;='設定'!$C$11,232,"")</f>
        <v/>
      </c>
      <c r="C237">
        <f>IF($B237="","",IF($B237&lt;='設定'!$C$20,INDEX('商品マスタ'!$B$6:$B$1005,MATCH($B237,'商品マスタ'!$M$6:$M$1005,0)),IF($B237&lt;='設定'!$C$20+'設定'!$C$17,INDEX('①在庫を貼る'!$W$6:$W$10005,MATCH($B237-'設定'!$C$20,'①在庫を貼る'!$U$6:$U$10005,0)),IF($B237&lt;='設定'!$C$20+'設定'!$C$17+'設定'!$C$18,INDEX('月1回_1ヶ月前の在庫'!$W$6:$W$10005,MATCH($B237-'設定'!$C$20-'設定'!$C$17,'月1回_1ヶ月前の在庫'!$U$6:$U$10005,0)),INDEX('月1回_2ヶ月前の在庫'!$W$6:$W$10005,MATCH($B237-'設定'!$C$20-'設定'!$C$17-'設定'!$C$18,'月1回_2ヶ月前の在庫'!$U$6:$U$10005,0))))))</f>
        <v/>
      </c>
      <c r="D237">
        <f>IF($C237="","",IFERROR(IF(INDEX('商品マスタ'!$C$6:$C$1005,MATCH($C237,'商品マスタ'!$B$6:$B$1005,0))="",IFERROR(INDEX('①在庫を貼る'!$J$6:$J$10005,MATCH($C237,'①在庫を貼る'!$W$6:$W$10005,0)),IFERROR(INDEX('月1回_1ヶ月前の在庫'!$J$6:$J$10005,MATCH($C237,'月1回_1ヶ月前の在庫'!$W$6:$W$10005,0)),IFERROR(INDEX('月1回_2ヶ月前の在庫'!$J$6:$J$10005,MATCH($C237,'月1回_2ヶ月前の在庫'!$W$6:$W$10005,0)),""))),INDEX('商品マスタ'!$C$6:$C$1005,MATCH($C237,'商品マスタ'!$B$6:$B$1005,0))),IFERROR(INDEX('①在庫を貼る'!$J$6:$J$10005,MATCH($C237,'①在庫を貼る'!$W$6:$W$10005,0)),IFERROR(INDEX('月1回_1ヶ月前の在庫'!$J$6:$J$10005,MATCH($C237,'月1回_1ヶ月前の在庫'!$W$6:$W$10005,0)),IFERROR(INDEX('月1回_2ヶ月前の在庫'!$J$6:$J$10005,MATCH($C237,'月1回_2ヶ月前の在庫'!$W$6:$W$10005,0)),"")))))</f>
        <v/>
      </c>
      <c r="E237">
        <f>IF($C237="","",IFERROR(IF(INDEX('商品マスタ'!$D$6:$D$1005,MATCH($C237,'商品マスタ'!$B$6:$B$1005,0))="",IFERROR(INDEX('①在庫を貼る'!$H$6:$H$10005,MATCH($C237,'①在庫を貼る'!$W$6:$W$10005,0)),IFERROR(INDEX('月1回_1ヶ月前の在庫'!$H$6:$H$10005,MATCH($C237,'月1回_1ヶ月前の在庫'!$W$6:$W$10005,0)),IFERROR(INDEX('月1回_2ヶ月前の在庫'!$H$6:$H$10005,MATCH($C237,'月1回_2ヶ月前の在庫'!$W$6:$W$10005,0)),""))),INDEX('商品マスタ'!$D$6:$D$1005,MATCH($C237,'商品マスタ'!$B$6:$B$1005,0))),IFERROR(INDEX('①在庫を貼る'!$H$6:$H$10005,MATCH($C237,'①在庫を貼る'!$W$6:$W$10005,0)),IFERROR(INDEX('月1回_1ヶ月前の在庫'!$H$6:$H$10005,MATCH($C237,'月1回_1ヶ月前の在庫'!$W$6:$W$10005,0)),IFERROR(INDEX('月1回_2ヶ月前の在庫'!$H$6:$H$10005,MATCH($C237,'月1回_2ヶ月前の在庫'!$W$6:$W$10005,0)),"")))))</f>
        <v/>
      </c>
      <c r="F237">
        <f>IF($C237="","",IFERROR(IF(INDEX('商品マスタ'!$E$6:$E$1005,MATCH($C237,'商品マスタ'!$B$6:$B$1005,0))="",IFERROR(INDEX('①在庫を貼る'!$E$6:$E$10005,MATCH($C237,'①在庫を貼る'!$W$6:$W$10005,0)),IFERROR(INDEX('月1回_1ヶ月前の在庫'!$E$6:$E$10005,MATCH($C237,'月1回_1ヶ月前の在庫'!$W$6:$W$10005,0)),IFERROR(INDEX('月1回_2ヶ月前の在庫'!$E$6:$E$10005,MATCH($C237,'月1回_2ヶ月前の在庫'!$W$6:$W$10005,0)),""))),INDEX('商品マスタ'!$E$6:$E$1005,MATCH($C237,'商品マスタ'!$B$6:$B$1005,0))),IFERROR(INDEX('①在庫を貼る'!$E$6:$E$10005,MATCH($C237,'①在庫を貼る'!$W$6:$W$10005,0)),IFERROR(INDEX('月1回_1ヶ月前の在庫'!$E$6:$E$10005,MATCH($C237,'月1回_1ヶ月前の在庫'!$W$6:$W$10005,0)),IFERROR(INDEX('月1回_2ヶ月前の在庫'!$E$6:$E$10005,MATCH($C237,'月1回_2ヶ月前の在庫'!$W$6:$W$10005,0)),"")))))</f>
        <v/>
      </c>
      <c r="G237">
        <f>IF($C237="","",MAX(1,N(IFERROR(IF(INDEX('商品マスタ'!$F$6:$F$1005,MATCH($C237,'商品マスタ'!$B$6:$B$1005,0))="",IF(COUNTIFS('①在庫を貼る'!$V$6:$V$10005,'設定'!$C$4,'①在庫を貼る'!$W$6:$W$10005,$C237)&gt;0,SUMIFS('①在庫を貼る'!$K$6:$K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K$6:$K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K$6:$K$10005,'月1回_2ヶ月前の在庫'!$V$6:$V$10005,'設定'!$C$4,'月1回_2ヶ月前の在庫'!$W$6:$W$10005,$C237)/COUNTIFS('月1回_2ヶ月前の在庫'!$V$6:$V$10005,'設定'!$C$4,'月1回_2ヶ月前の在庫'!$W$6:$W$10005,$C237),0))),INDEX('商品マスタ'!$F$6:$F$1005,MATCH($C237,'商品マスタ'!$B$6:$B$1005,0))),IF(COUNTIFS('①在庫を貼る'!$V$6:$V$10005,'設定'!$C$4,'①在庫を貼る'!$W$6:$W$10005,$C237)&gt;0,SUMIFS('①在庫を貼る'!$K$6:$K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K$6:$K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K$6:$K$10005,'月1回_2ヶ月前の在庫'!$V$6:$V$10005,'設定'!$C$4,'月1回_2ヶ月前の在庫'!$W$6:$W$10005,$C237)/COUNTIFS('月1回_2ヶ月前の在庫'!$V$6:$V$10005,'設定'!$C$4,'月1回_2ヶ月前の在庫'!$W$6:$W$10005,$C237),0)))))))</f>
        <v/>
      </c>
      <c r="H237">
        <f>IF($C237="","",N(IFERROR(IF(INDEX('商品マスタ'!$G$6:$G$1005,MATCH($C237,'商品マスタ'!$B$6:$B$1005,0))="",IF(COUNTIFS('①在庫を貼る'!$V$6:$V$10005,'設定'!$C$4,'①在庫を貼る'!$W$6:$W$10005,$C237)&gt;0,SUMIFS('①在庫を貼る'!$Q$6:$Q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Q$6:$Q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Q$6:$Q$10005,'月1回_2ヶ月前の在庫'!$V$6:$V$10005,'設定'!$C$4,'月1回_2ヶ月前の在庫'!$W$6:$W$10005,$C237)/COUNTIFS('月1回_2ヶ月前の在庫'!$V$6:$V$10005,'設定'!$C$4,'月1回_2ヶ月前の在庫'!$W$6:$W$10005,$C237),0))),INDEX('商品マスタ'!$G$6:$G$1005,MATCH($C237,'商品マスタ'!$B$6:$B$1005,0))),IF(COUNTIFS('①在庫を貼る'!$V$6:$V$10005,'設定'!$C$4,'①在庫を貼る'!$W$6:$W$10005,$C237)&gt;0,SUMIFS('①在庫を貼る'!$Q$6:$Q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Q$6:$Q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Q$6:$Q$10005,'月1回_2ヶ月前の在庫'!$V$6:$V$10005,'設定'!$C$4,'月1回_2ヶ月前の在庫'!$W$6:$W$10005,$C237)/COUNTIFS('月1回_2ヶ月前の在庫'!$V$6:$V$10005,'設定'!$C$4,'月1回_2ヶ月前の在庫'!$W$6:$W$10005,$C237),0))))))</f>
        <v/>
      </c>
      <c r="I237">
        <f>IF($C237="","",IF(COUNTIFS('①在庫を貼る'!$V$6:$V$10005,'設定'!$C$4,'①在庫を貼る'!$W$6:$W$10005,$C237)=0,"",SUMIFS('①在庫を貼る'!$N$6:$N$10005,'①在庫を貼る'!$V$6:$V$10005,'設定'!$C$4,'①在庫を貼る'!$W$6:$W$10005,$C237)))</f>
        <v/>
      </c>
      <c r="J237">
        <f>IF($C237="","",IF('②発注する'!$AD241="","",'②発注する'!$AD241))</f>
        <v/>
      </c>
      <c r="K237" s="90">
        <f>IF($C237="","",IF('②発注する'!$AE241="","",'②発注する'!$AE241))</f>
        <v/>
      </c>
      <c r="L237">
        <f>IF($C237="","",IF(AND(ISNUMBER($J237),ISNUMBER($K237),$K237&gt;='設定'!$C$6),$J237,N($I237)))</f>
        <v/>
      </c>
      <c r="M237">
        <f>IF($C237="","",IFERROR(IF(N(INDEX('商品マスタ'!$J$6:$J$1005,MATCH($C237,'商品マスタ'!$B$6:$B$1005,0)))&gt;0,INDEX('商品マスタ'!$J$6:$J$1005,MATCH($C237,'商品マスタ'!$B$6:$B$1005,0)),""),""))</f>
        <v/>
      </c>
      <c r="N237">
        <f>IF($C237="","",IFERROR(IF(N(INDEX('商品マスタ'!$H$6:$H$1005,MATCH($C237,'商品マスタ'!$B$6:$B$1005,0)))&gt;0,INDEX('商品マスタ'!$H$6:$H$1005,MATCH($C237,'商品マスタ'!$B$6:$B$1005,0)),""),""))</f>
        <v/>
      </c>
      <c r="O237">
        <f>IF($C237="","",IF($N237&lt;&gt;"",$N237*$G237,IF(N(IF(COUNTIFS('①在庫を貼る'!$V$6:$V$10005,'設定'!$C$4,'①在庫を貼る'!$W$6:$W$10005,$C237)&gt;0,SUMIFS('①在庫を貼る'!$O$6:$O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O$6:$O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O$6:$O$10005,'月1回_2ヶ月前の在庫'!$V$6:$V$10005,'設定'!$C$4,'月1回_2ヶ月前の在庫'!$W$6:$W$10005,$C237)/COUNTIFS('月1回_2ヶ月前の在庫'!$V$6:$V$10005,'設定'!$C$4,'月1回_2ヶ月前の在庫'!$W$6:$W$10005,$C237),0))))&gt;0,N(IF(COUNTIFS('①在庫を貼る'!$V$6:$V$10005,'設定'!$C$4,'①在庫を貼る'!$W$6:$W$10005,$C237)&gt;0,SUMIFS('①在庫を貼る'!$O$6:$O$10005,'①在庫を貼る'!$V$6:$V$10005,'設定'!$C$4,'①在庫を貼る'!$W$6:$W$10005,$C237)/COUNTIFS('①在庫を貼る'!$V$6:$V$10005,'設定'!$C$4,'①在庫を貼る'!$W$6:$W$10005,$C237),IF(COUNTIFS('月1回_1ヶ月前の在庫'!$V$6:$V$10005,'設定'!$C$4,'月1回_1ヶ月前の在庫'!$W$6:$W$10005,$C237)&gt;0,SUMIFS('月1回_1ヶ月前の在庫'!$O$6:$O$10005,'月1回_1ヶ月前の在庫'!$V$6:$V$10005,'設定'!$C$4,'月1回_1ヶ月前の在庫'!$W$6:$W$10005,$C237)/COUNTIFS('月1回_1ヶ月前の在庫'!$V$6:$V$10005,'設定'!$C$4,'月1回_1ヶ月前の在庫'!$W$6:$W$10005,$C237),IF(COUNTIFS('月1回_2ヶ月前の在庫'!$V$6:$V$10005,'設定'!$C$4,'月1回_2ヶ月前の在庫'!$W$6:$W$10005,$C237)&gt;0,SUMIFS('月1回_2ヶ月前の在庫'!$O$6:$O$10005,'月1回_2ヶ月前の在庫'!$V$6:$V$10005,'設定'!$C$4,'月1回_2ヶ月前の在庫'!$W$6:$W$10005,$C237)/COUNTIFS('月1回_2ヶ月前の在庫'!$V$6:$V$10005,'設定'!$C$4,'月1回_2ヶ月前の在庫'!$W$6:$W$10005,$C237),0)))),"")))</f>
        <v/>
      </c>
      <c r="P237" s="90">
        <f>IF($C237="","",IF('②発注する'!$I241="","",'②発注する'!$I241))</f>
        <v/>
      </c>
      <c r="Q237">
        <f>IF($C237="","",IF('②発注する'!$J241="","",'②発注する'!$J241))</f>
        <v/>
      </c>
      <c r="R237">
        <f>IF($C237="",0,IF(AND(ISNUMBER($P237),ISNUMBER($Q237)),MAX(0,$Q237)*$G237,0))</f>
        <v/>
      </c>
      <c r="S237" s="90">
        <f>IF($C237="","",IF('②発注する'!$M241="","",'②発注する'!$M241))</f>
        <v/>
      </c>
      <c r="T237">
        <f>IF($C237="","",IF('②発注する'!$N241="","",'②発注する'!$N241))</f>
        <v/>
      </c>
      <c r="U237">
        <f>IF($C237="",0,IF(AND(ISNUMBER($S237),ISNUMBER($T237)),MAX(0,$T237)*$G237,0))</f>
        <v/>
      </c>
      <c r="V237">
        <f>IF($C237="",0,IF($M237="",0,MAX(0,$M237)*MAX(0,V$4)/100))</f>
        <v/>
      </c>
      <c r="W237">
        <f>IF($C237="",0,IF($M237="",0,MAX(0,$M237)*MAX(0,W$4)/100))</f>
        <v/>
      </c>
      <c r="X237">
        <f>IF($C237="",0,IF($M237="",0,MAX(0,$M237)*MAX(0,X$4)/100))</f>
        <v/>
      </c>
      <c r="Y237">
        <f>IF($C237="",0,IF($M237="",0,MAX(0,$M237)*MAX(0,Y$4)/100))</f>
        <v/>
      </c>
      <c r="Z237">
        <f>IF($C237="",0,IF($M237="",0,MAX(0,$M237)*MAX(0,Z$4)/100))</f>
        <v/>
      </c>
      <c r="AA237">
        <f>IF($C237="",0,IF($M237="",0,MAX(0,$M237)*MAX(0,AA$4)/100))</f>
        <v/>
      </c>
      <c r="AB237">
        <f>IF($C237="",0,IF($M237="",0,MAX(0,$M237)*MAX(0,AB$4)/100))</f>
        <v/>
      </c>
      <c r="AC237">
        <f>IF($C237="",0,IF($M237="",0,MAX(0,$M237)*MAX(0,AC$4)/100))</f>
        <v/>
      </c>
      <c r="AD237">
        <f>IF($C237="",0,IF($M237="",0,MAX(0,$M237)*MAX(0,AD$4)/100))</f>
        <v/>
      </c>
      <c r="AE237">
        <f>IF($C237="",0,IF($M237="",0,MAX(0,$M237)*MAX(0,AE$4)/100))</f>
        <v/>
      </c>
      <c r="AF237">
        <f>IF($C237="",0,IF($M237="",0,MAX(0,$M237)*MAX(0,AF$4)/100))</f>
        <v/>
      </c>
      <c r="AG237">
        <f>IF($C237="",0,IF($M237="",0,MAX(0,$M237)*MAX(0,AG$4)/100))</f>
        <v/>
      </c>
      <c r="AH237">
        <f>IF($C237="",0,IF($M237="",0,MAX(0,$M237)*MAX(0,AH$4)/100))</f>
        <v/>
      </c>
      <c r="AI237">
        <f>IF($C237="",0,IF($M237="",0,MAX(0,$M237)*MAX(0,AI$4)/100))</f>
        <v/>
      </c>
      <c r="AJ237">
        <f>IF($C237="",0,MAX(0,MAX(0,N($L237))-$V237))</f>
        <v/>
      </c>
      <c r="AK237">
        <f>IF($C237="",0,MAX(0,$AJ237-$W237))</f>
        <v/>
      </c>
      <c r="AL237">
        <f>IF($C237="",0,MAX(0,$AK237-$X237))</f>
        <v/>
      </c>
      <c r="AM237">
        <f>IF($C237="",0,MAX(0,$AL237-$Y237))</f>
        <v/>
      </c>
      <c r="AN237">
        <f>IF($C237="",0,MAX(0,$AM237-$Z237))</f>
        <v/>
      </c>
      <c r="AO237">
        <f>IF($C237="",0,MAX(0,$AN237-$AA237))</f>
        <v/>
      </c>
      <c r="AP237">
        <f>IF($C237="",0,MAX(0,$AO237-$AB237))</f>
        <v/>
      </c>
      <c r="AQ237">
        <f>IF($C237="",0,MAX(0,$AP237-$AC237))</f>
        <v/>
      </c>
      <c r="AR237">
        <f>IF($C237="",0,MAX(0,$AQ237-$AD237))</f>
        <v/>
      </c>
      <c r="AS237">
        <f>IF($C237="",0,MAX(0,$AR237-$AE237))</f>
        <v/>
      </c>
      <c r="AT237">
        <f>IF($C237="",0,MAX(0,$AS237-$AF237))</f>
        <v/>
      </c>
      <c r="AU237">
        <f>IF($C237="",0,MAX(0,$AT237-$AG237))</f>
        <v/>
      </c>
      <c r="AV237">
        <f>IF($C237="",0,MAX(0,$AU237-$AH237))</f>
        <v/>
      </c>
      <c r="AW237">
        <f>IF($C237="",0,MAX(0,$AV237-$AI237))</f>
        <v/>
      </c>
      <c r="AX237">
        <f>IF($C237="",0,MAX(0,MAX(0,N($L237))+IF($P237=V$3,$R237,0)+IF($S237=V$3,$U237,0)-$V237))</f>
        <v/>
      </c>
      <c r="AY237">
        <f>IF($C237="",0,MAX(0,$AX237+IF($P237=W$3,$R237,0)+IF($S237=W$3,$U237,0)-$W237))</f>
        <v/>
      </c>
      <c r="AZ237">
        <f>IF($C237="",0,MAX(0,$AY237+IF($P237=X$3,$R237,0)+IF($S237=X$3,$U237,0)-$X237))</f>
        <v/>
      </c>
      <c r="BA237">
        <f>IF($C237="",0,MAX(0,$AZ237+IF($P237=Y$3,$R237,0)+IF($S237=Y$3,$U237,0)-$Y237))</f>
        <v/>
      </c>
      <c r="BB237">
        <f>IF($C237="",0,MAX(0,$BA237+IF($P237=Z$3,$R237,0)+IF($S237=Z$3,$U237,0)-$Z237))</f>
        <v/>
      </c>
      <c r="BC237">
        <f>IF($C237="",0,MAX(0,$BB237+IF($P237=AA$3,$R237,0)+IF($S237=AA$3,$U237,0)-$AA237))</f>
        <v/>
      </c>
      <c r="BD237">
        <f>IF($C237="",0,MAX(0,$BC237+IF($P237=AB$3,$R237,0)+IF($S237=AB$3,$U237,0)-$AB237))</f>
        <v/>
      </c>
      <c r="BE237">
        <f>IF($C237="",0,MAX(0,$BD237+IF($P237=AC$3,$R237,0)+IF($S237=AC$3,$U237,0)-$AC237))</f>
        <v/>
      </c>
      <c r="BF237">
        <f>IF($C237="",0,MAX(0,$BE237+IF($P237=AD$3,$R237,0)+IF($S237=AD$3,$U237,0)-$AD237))</f>
        <v/>
      </c>
      <c r="BG237">
        <f>IF($C237="",0,MAX(0,$BF237+IF($P237=AE$3,$R237,0)+IF($S237=AE$3,$U237,0)-$AE237))</f>
        <v/>
      </c>
      <c r="BH237">
        <f>IF($C237="",0,MAX(0,$BG237+IF($P237=AF$3,$R237,0)+IF($S237=AF$3,$U237,0)-$AF237))</f>
        <v/>
      </c>
      <c r="BI237">
        <f>IF($C237="",0,MAX(0,$BH237+IF($P237=AG$3,$R237,0)+IF($S237=AG$3,$U237,0)-$AG237))</f>
        <v/>
      </c>
      <c r="BJ237">
        <f>IF($C237="",0,MAX(0,$BI237+IF($P237=AH$3,$R237,0)+IF($S237=AH$3,$U237,0)-$AH237))</f>
        <v/>
      </c>
      <c r="BK237">
        <f>IF($C237="",0,MAX(0,$BJ237+IF($P237=AI$3,$R237,0)+IF($S237=AI$3,$U237,0)-$AI237))</f>
        <v/>
      </c>
      <c r="BL237">
        <f>IF($C237="",99,IF(AND($AX237&lt;1,V$3&gt;=MAX(N($P237),N($S237))),0,99))</f>
        <v/>
      </c>
      <c r="BM237">
        <f>IF($C237="",99,IF(AND($AY237&lt;1,W$3&gt;=MAX(N($P237),N($S237))),1,99))</f>
        <v/>
      </c>
      <c r="BN237">
        <f>IF($C237="",99,IF(AND($AZ237&lt;1,X$3&gt;=MAX(N($P237),N($S237))),2,99))</f>
        <v/>
      </c>
      <c r="BO237">
        <f>IF($C237="",99,IF(AND($BA237&lt;1,Y$3&gt;=MAX(N($P237),N($S237))),3,99))</f>
        <v/>
      </c>
      <c r="BP237">
        <f>IF($C237="",99,IF(AND($BB237&lt;1,Z$3&gt;=MAX(N($P237),N($S237))),4,99))</f>
        <v/>
      </c>
      <c r="BQ237">
        <f>IF($C237="",99,IF(AND($BC237&lt;1,AA$3&gt;=MAX(N($P237),N($S237))),5,99))</f>
        <v/>
      </c>
      <c r="BR237">
        <f>IF($C237="",99,IF(AND($BD237&lt;1,AB$3&gt;=MAX(N($P237),N($S237))),6,99))</f>
        <v/>
      </c>
      <c r="BS237">
        <f>IF($C237="",99,IF(AND($BE237&lt;1,AC$3&gt;=MAX(N($P237),N($S237))),7,99))</f>
        <v/>
      </c>
      <c r="BT237">
        <f>IF($C237="",99,IF(AND($BF237&lt;1,AD$3&gt;=MAX(N($P237),N($S237))),8,99))</f>
        <v/>
      </c>
      <c r="BU237">
        <f>IF($C237="",99,IF(AND($BG237&lt;1,AE$3&gt;=MAX(N($P237),N($S237))),9,99))</f>
        <v/>
      </c>
      <c r="BV237">
        <f>IF($C237="",99,IF(AND($BH237&lt;1,AF$3&gt;=MAX(N($P237),N($S237))),10,99))</f>
        <v/>
      </c>
      <c r="BW237">
        <f>IF($C237="",99,IF(AND($BI237&lt;1,AG$3&gt;=MAX(N($P237),N($S237))),11,99))</f>
        <v/>
      </c>
      <c r="BX237">
        <f>IF($C237="",99,IF(AND($BJ237&lt;1,AH$3&gt;=MAX(N($P237),N($S237))),12,99))</f>
        <v/>
      </c>
      <c r="BY237">
        <f>IF($C237="",99,IF(AND($BK237&lt;1,AI$3&gt;=MAX(N($P237),N($S237))),13,99))</f>
        <v/>
      </c>
      <c r="BZ237">
        <f>IF(OR($C237="",$M237=""),"",COUNTIF($AJ237:$AW237,"&gt;=1"))</f>
        <v/>
      </c>
      <c r="CA237" s="90">
        <f>IF($BZ237="","",IF($BZ237&gt;=14,"",'設定'!$C$6+$BZ237))</f>
        <v/>
      </c>
      <c r="CB237">
        <f>IF(OR($C237="",$M237=""),"",MIN($BL237:$BY237))</f>
        <v/>
      </c>
      <c r="CC237" s="90">
        <f>IF($CB237="","",IF($CB237&gt;=99,"",'設定'!$C$6+$CB237))</f>
        <v/>
      </c>
      <c r="CD237">
        <f>IF(OR($C237="",$M237=""),"",AVERAGE($V237:$AI237))</f>
        <v/>
      </c>
      <c r="CE237">
        <f>IF($C237="","",IFERROR(IF(MATCH(IF(ISNUMBER($P237),$P237,'設定'!$C$6+N('設定'!$C$7)),$V$3:$AI$3,0)=1,MAX(0,N($L237)),INDEX($AJ237:$AW237,MATCH(IF(ISNUMBER($P237),$P237,'設定'!$C$6+N('設定'!$C$7)),$V$3:$AI$3,0)-1)),""))</f>
        <v/>
      </c>
      <c r="CF237">
        <f>IF(OR($C237="",$O237="",$CE237=""),"",IF($O237-$CE237&lt;=0,0,ROUNDUP(($O237-$CE237)/$G237,0)))</f>
        <v/>
      </c>
      <c r="CG237">
        <f>IF(OR($C237="",$CF237="",NOT(ISNUMBER($Q237))),0,MAX(0,$Q237-$CF237))</f>
        <v/>
      </c>
      <c r="CH237">
        <f>IF(OR($C237="",$O237="",$U237=0),0,IFERROR(ROUNDUP(MAX(0,IF(MATCH($S237,$V$3:$AI$3,0)=1,MAX(0,N($L237)),INDEX($AX237:$BK237,MATCH($S237,$V$3:$AI$3,0)-1))+$U237-$O237)/$G237,0),0))</f>
        <v/>
      </c>
      <c r="CI237">
        <f>IF($C237="","",IF(AND($P237="",$Q237=""),"",IF($P237="","⚠ 入庫日を ▼ から選んでください",IF(NOT(ISNUMBER($P237)),"⚠ 入庫日は ▼ から選んでください",IF($P237&lt;N('設定'!$C$6),"⚠ 入庫日が過去です（もう在庫に入っています）→ 消してください",IF($P237&gt;N('設定'!$C$6)+13,"⚠ 入庫日が14日より先です",IF(N($Q237)&lt;=0,"⚠ 入庫数を入れてください",IF($CG237&gt;0,"⚠ 目安より "&amp;$CG237&amp;" 多い（定数を超える）→ 減らす",""))))))))</f>
        <v/>
      </c>
      <c r="CJ237">
        <f>IF($C237="","",IF(AND($S237="",$T237=""),"",IF($S237="","⚠ 2便目：入庫日を ▼ から選んでください",IF(NOT(ISNUMBER($S237)),"⚠ 2便目：入庫日は ▼ から選んでください",IF($S237&lt;N('設定'!$C$6),"⚠ 2便目：入庫日が過去です（もう在庫に入っています）→ 消してください",IF($S237&gt;N('設定'!$C$6)+13,"⚠ 2便目：入庫日が14日より先です",IF(N($T237)&lt;=0,"⚠ 2便目：入庫数を入れてください",IF($CH237&gt;0,"⚠ 2便目：定数を "&amp;$CH237&amp;" ケース超える → 減らす",""))))))))</f>
        <v/>
      </c>
      <c r="CK237">
        <f>IF(AND($CI237="",N($Q237)&gt;0,ISNUMBER($P237)),1,0)</f>
        <v/>
      </c>
      <c r="CL237">
        <f>IF(AND($CJ237="",N($T237)&gt;0,ISNUMBER($S237)),1,0)</f>
        <v/>
      </c>
      <c r="CM237">
        <f>IF(OR($CK237=1,$CL237=1),1,0)</f>
        <v/>
      </c>
      <c r="CN237">
        <f>IF($C237="",0,($CK237*$R237+$CL237*$U237)*N($H237))</f>
        <v/>
      </c>
      <c r="CO237">
        <f>IF($C237="","",IF($CC237="","入庫後は 14日以上もつ",IF($CC237-N('設定'!$C$7)&lt;='設定'!$C$6,"入庫後も "&amp;TEXT($CC237,"m/d")&amp;"("&amp;CHOOSE(WEEKDAY($CC237),"日","月","火","水","木","金","土")&amp;")"&amp;" に切れる　もう1便を至急発注","入庫後も "&amp;TEXT($CC237,"m/d")&amp;"("&amp;CHOOSE(WEEKDAY($CC237),"日","月","火","水","木","金","土")&amp;")"&amp;" に切れる　"&amp;TEXT($CC237-N('設定'!$C$7),"m/d")&amp;"("&amp;CHOOSE(WEEKDAY($CC237-N('設定'!$C$7)),"日","月","火","水","木","金","土")&amp;")"&amp;" までに次を発注")))</f>
        <v/>
      </c>
      <c r="CP237">
        <f>IF($C237="","",IF('設定'!$C$6="","？ ①在庫を貼る に今日のCSVが貼られていない",IF($CS237=1,"－ 今日のCSVに無い（終売？）",IF($L237&lt;0,"● 在庫がマイナス　数えて「数えた在庫」に入れる",IF($L237=0,"● 在庫なし　至急発注",IF($M237="","？ 減り数が未設定（商品マスタ）",IF($B$3=0,"？ 動員が未入力（動員を入れる）",IF($CA237="","○ 14日以上もつ",IF($BZ237&lt;N('設定'!$C$7),"● "&amp;TEXT($CA237,"m/d")&amp;"("&amp;CHOOSE(WEEKDAY($CA237),"日","月","火","水","木","金","土")&amp;")"&amp;" に切れる　至急発注",IF($BZ237=N('設定'!$C$7),"● "&amp;TEXT($CA237,"m/d")&amp;"("&amp;CHOOSE(WEEKDAY($CA237),"日","月","火","水","木","金","土")&amp;")"&amp;" に切れる　今日発注","△ "&amp;TEXT($CA237,"m/d")&amp;"("&amp;CHOOSE(WEEKDAY($CA237),"日","月","火","水","木","金","土")&amp;")"&amp;" に切れる　"&amp;TEXT($CA237-N('設定'!$C$7),"m/d")&amp;"("&amp;CHOOSE(WEEKDAY($CA237-N('設定'!$C$7)),"日","月","火","水","木","金","土")&amp;")"&amp;" までに発注"))))))))))</f>
        <v/>
      </c>
      <c r="CQ237">
        <f>IF($C237="","",IF(AND($P237="",$Q237="",$S237="",$T237=""),"",IF(AND($P237="",$Q237=""),"⚠ 先に1便目（左の入庫日・入庫数）に入れてください",IF($CI237&lt;&gt;"",$CI237,IF($CJ237&lt;&gt;"",$CJ237,IF($M237="","？ 減り数が未設定（発注書には載ります）",IF($B$3=0,"？ 動員が未入力（発注書には載ります）",IF(AND($CA237&lt;&gt;"",$P237&gt;$CA237),IF($P237&gt;'設定'!$C$6+N('設定'!$C$7),"● "&amp;TEXT($P237,"m/d")&amp;"("&amp;CHOOSE(WEEKDAY($P237),"日","月","火","水","木","金","土")&amp;")"&amp;" の入庫では間に合わない（"&amp;TEXT($CA237,"m/d")&amp;"("&amp;CHOOSE(WEEKDAY($CA237),"日","月","火","水","木","金","土")&amp;")"&amp;" に切れる）　入庫日を早める","△ 欠品 "&amp;TEXT($CA237,"m/d")&amp;"("&amp;CHOOSE(WEEKDAY($CA237),"日","月","火","水","木","金","土")&amp;")"&amp;"〜"&amp;TEXT($P237-1,"m/d")&amp;"("&amp;CHOOSE(WEEKDAY($P237-1),"日","月","火","水","木","金","土")&amp;")"&amp;"　"&amp;$CO237),IF($CC237="","○ "&amp;TEXT($P237,"m/d")&amp;"("&amp;CHOOSE(WEEKDAY($P237),"日","月","火","水","木","金","土")&amp;")"&amp;" 入庫で 14日以上もつ",IF($CC237-N('設定'!$C$7)&lt;='設定'!$C$6,"● 入庫しても "&amp;TEXT($CC237,"m/d")&amp;"("&amp;CHOOSE(WEEKDAY($CC237),"日","月","火","水","木","金","土")&amp;")"&amp;" に切れる　もう1便を至急発注（2便目に入れる）","△ 入庫しても "&amp;TEXT($CC237,"m/d")&amp;"("&amp;CHOOSE(WEEKDAY($CC237),"日","月","火","水","木","金","土")&amp;")"&amp;" に切れる　"&amp;TEXT($CC237-N('設定'!$C$7),"m/d")&amp;"("&amp;CHOOSE(WEEKDAY($CC237-N('設定'!$C$7)),"日","月","火","水","木","金","土")&amp;")"&amp;" までに次を発注（2便目に入れる）"))))))))))</f>
        <v/>
      </c>
      <c r="CR237">
        <f>IF($C237="","",IF($G237&gt;1,"ｹｰｽ("&amp;$G237&amp;"入)","個"))</f>
        <v/>
      </c>
      <c r="CS237">
        <f>IF($C237="",0,IF(COUNTIFS('①在庫を貼る'!$V$6:$V$10005,'設定'!$C$4,'①在庫を貼る'!$W$6:$W$10005,$C237)=0,1,0))</f>
        <v/>
      </c>
      <c r="CT237">
        <f>IF(AND($CK237=1,OR('③発注書'!$C$4="すべて",'③発注書'!$C$4="",$F237='③発注書'!$C$4)),N($CT236)+1,N($CT236))</f>
        <v/>
      </c>
      <c r="CU237">
        <f>IF(AND($CL237=1,OR('③発注書'!$C$4="すべて",'③発注書'!$C$4="",$F237='③発注書'!$C$4)),N($CU236)+1,N($CU236))</f>
        <v/>
      </c>
      <c r="CV237">
        <f>IF($C237="",0,IF(COUNTIFS('①在庫を貼る'!$V$6:$V$10005,'設定'!$C$4,'①在庫を貼る'!$W$6:$W$10005,$C237)&gt;0,1,0))</f>
        <v/>
      </c>
      <c r="CW237">
        <f>IF($C237="",0,IF(COUNTIFS('月1回_1ヶ月前の在庫'!$V$6:$V$10005,'設定'!$C$4,'月1回_1ヶ月前の在庫'!$W$6:$W$10005,$C237)&gt;0,1,0))</f>
        <v/>
      </c>
      <c r="CX237">
        <f>IF($C237="",0,IF(COUNTIFS('月1回_2ヶ月前の在庫'!$V$6:$V$10005,'設定'!$C$4,'月1回_2ヶ月前の在庫'!$W$6:$W$10005,$C237)&gt;0,1,0))</f>
        <v/>
      </c>
      <c r="CY237">
        <f>IF(OR($C237="",'設定'!$C$12=""),"",IF('設定'!$C$13="",IF(AND($CV237=1,$CW237=0),"新商品（今月から）",IF(AND($CV237=0,$CW237=1),"終売（今月から）","")),IF(AND($CV237=1,$CW237=0,$CX237=0),"新商品（今月から）",IF(AND($CV237=1,$CW237=1,$CX237=0),"新商品（先月から）",IF(AND($CV237=0,$CW237=1,$CX237=1),"終売（今月から）",IF(AND($CV237=0,$CW237=0,$CX237=1),"終売（先月から）",IF(AND($CV237=1,$CW237=0,$CX237=1),"復活（先月は無し）","")))))))</f>
        <v/>
      </c>
    </row>
    <row r="238">
      <c r="B238">
        <f>IF(233&lt;='設定'!$C$11,233,"")</f>
        <v/>
      </c>
      <c r="C238">
        <f>IF($B238="","",IF($B238&lt;='設定'!$C$20,INDEX('商品マスタ'!$B$6:$B$1005,MATCH($B238,'商品マスタ'!$M$6:$M$1005,0)),IF($B238&lt;='設定'!$C$20+'設定'!$C$17,INDEX('①在庫を貼る'!$W$6:$W$10005,MATCH($B238-'設定'!$C$20,'①在庫を貼る'!$U$6:$U$10005,0)),IF($B238&lt;='設定'!$C$20+'設定'!$C$17+'設定'!$C$18,INDEX('月1回_1ヶ月前の在庫'!$W$6:$W$10005,MATCH($B238-'設定'!$C$20-'設定'!$C$17,'月1回_1ヶ月前の在庫'!$U$6:$U$10005,0)),INDEX('月1回_2ヶ月前の在庫'!$W$6:$W$10005,MATCH($B238-'設定'!$C$20-'設定'!$C$17-'設定'!$C$18,'月1回_2ヶ月前の在庫'!$U$6:$U$10005,0))))))</f>
        <v/>
      </c>
      <c r="D238">
        <f>IF($C238="","",IFERROR(IF(INDEX('商品マスタ'!$C$6:$C$1005,MATCH($C238,'商品マスタ'!$B$6:$B$1005,0))="",IFERROR(INDEX('①在庫を貼る'!$J$6:$J$10005,MATCH($C238,'①在庫を貼る'!$W$6:$W$10005,0)),IFERROR(INDEX('月1回_1ヶ月前の在庫'!$J$6:$J$10005,MATCH($C238,'月1回_1ヶ月前の在庫'!$W$6:$W$10005,0)),IFERROR(INDEX('月1回_2ヶ月前の在庫'!$J$6:$J$10005,MATCH($C238,'月1回_2ヶ月前の在庫'!$W$6:$W$10005,0)),""))),INDEX('商品マスタ'!$C$6:$C$1005,MATCH($C238,'商品マスタ'!$B$6:$B$1005,0))),IFERROR(INDEX('①在庫を貼る'!$J$6:$J$10005,MATCH($C238,'①在庫を貼る'!$W$6:$W$10005,0)),IFERROR(INDEX('月1回_1ヶ月前の在庫'!$J$6:$J$10005,MATCH($C238,'月1回_1ヶ月前の在庫'!$W$6:$W$10005,0)),IFERROR(INDEX('月1回_2ヶ月前の在庫'!$J$6:$J$10005,MATCH($C238,'月1回_2ヶ月前の在庫'!$W$6:$W$10005,0)),"")))))</f>
        <v/>
      </c>
      <c r="E238">
        <f>IF($C238="","",IFERROR(IF(INDEX('商品マスタ'!$D$6:$D$1005,MATCH($C238,'商品マスタ'!$B$6:$B$1005,0))="",IFERROR(INDEX('①在庫を貼る'!$H$6:$H$10005,MATCH($C238,'①在庫を貼る'!$W$6:$W$10005,0)),IFERROR(INDEX('月1回_1ヶ月前の在庫'!$H$6:$H$10005,MATCH($C238,'月1回_1ヶ月前の在庫'!$W$6:$W$10005,0)),IFERROR(INDEX('月1回_2ヶ月前の在庫'!$H$6:$H$10005,MATCH($C238,'月1回_2ヶ月前の在庫'!$W$6:$W$10005,0)),""))),INDEX('商品マスタ'!$D$6:$D$1005,MATCH($C238,'商品マスタ'!$B$6:$B$1005,0))),IFERROR(INDEX('①在庫を貼る'!$H$6:$H$10005,MATCH($C238,'①在庫を貼る'!$W$6:$W$10005,0)),IFERROR(INDEX('月1回_1ヶ月前の在庫'!$H$6:$H$10005,MATCH($C238,'月1回_1ヶ月前の在庫'!$W$6:$W$10005,0)),IFERROR(INDEX('月1回_2ヶ月前の在庫'!$H$6:$H$10005,MATCH($C238,'月1回_2ヶ月前の在庫'!$W$6:$W$10005,0)),"")))))</f>
        <v/>
      </c>
      <c r="F238">
        <f>IF($C238="","",IFERROR(IF(INDEX('商品マスタ'!$E$6:$E$1005,MATCH($C238,'商品マスタ'!$B$6:$B$1005,0))="",IFERROR(INDEX('①在庫を貼る'!$E$6:$E$10005,MATCH($C238,'①在庫を貼る'!$W$6:$W$10005,0)),IFERROR(INDEX('月1回_1ヶ月前の在庫'!$E$6:$E$10005,MATCH($C238,'月1回_1ヶ月前の在庫'!$W$6:$W$10005,0)),IFERROR(INDEX('月1回_2ヶ月前の在庫'!$E$6:$E$10005,MATCH($C238,'月1回_2ヶ月前の在庫'!$W$6:$W$10005,0)),""))),INDEX('商品マスタ'!$E$6:$E$1005,MATCH($C238,'商品マスタ'!$B$6:$B$1005,0))),IFERROR(INDEX('①在庫を貼る'!$E$6:$E$10005,MATCH($C238,'①在庫を貼る'!$W$6:$W$10005,0)),IFERROR(INDEX('月1回_1ヶ月前の在庫'!$E$6:$E$10005,MATCH($C238,'月1回_1ヶ月前の在庫'!$W$6:$W$10005,0)),IFERROR(INDEX('月1回_2ヶ月前の在庫'!$E$6:$E$10005,MATCH($C238,'月1回_2ヶ月前の在庫'!$W$6:$W$10005,0)),"")))))</f>
        <v/>
      </c>
      <c r="G238">
        <f>IF($C238="","",MAX(1,N(IFERROR(IF(INDEX('商品マスタ'!$F$6:$F$1005,MATCH($C238,'商品マスタ'!$B$6:$B$1005,0))="",IF(COUNTIFS('①在庫を貼る'!$V$6:$V$10005,'設定'!$C$4,'①在庫を貼る'!$W$6:$W$10005,$C238)&gt;0,SUMIFS('①在庫を貼る'!$K$6:$K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K$6:$K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K$6:$K$10005,'月1回_2ヶ月前の在庫'!$V$6:$V$10005,'設定'!$C$4,'月1回_2ヶ月前の在庫'!$W$6:$W$10005,$C238)/COUNTIFS('月1回_2ヶ月前の在庫'!$V$6:$V$10005,'設定'!$C$4,'月1回_2ヶ月前の在庫'!$W$6:$W$10005,$C238),0))),INDEX('商品マスタ'!$F$6:$F$1005,MATCH($C238,'商品マスタ'!$B$6:$B$1005,0))),IF(COUNTIFS('①在庫を貼る'!$V$6:$V$10005,'設定'!$C$4,'①在庫を貼る'!$W$6:$W$10005,$C238)&gt;0,SUMIFS('①在庫を貼る'!$K$6:$K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K$6:$K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K$6:$K$10005,'月1回_2ヶ月前の在庫'!$V$6:$V$10005,'設定'!$C$4,'月1回_2ヶ月前の在庫'!$W$6:$W$10005,$C238)/COUNTIFS('月1回_2ヶ月前の在庫'!$V$6:$V$10005,'設定'!$C$4,'月1回_2ヶ月前の在庫'!$W$6:$W$10005,$C238),0)))))))</f>
        <v/>
      </c>
      <c r="H238">
        <f>IF($C238="","",N(IFERROR(IF(INDEX('商品マスタ'!$G$6:$G$1005,MATCH($C238,'商品マスタ'!$B$6:$B$1005,0))="",IF(COUNTIFS('①在庫を貼る'!$V$6:$V$10005,'設定'!$C$4,'①在庫を貼る'!$W$6:$W$10005,$C238)&gt;0,SUMIFS('①在庫を貼る'!$Q$6:$Q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Q$6:$Q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Q$6:$Q$10005,'月1回_2ヶ月前の在庫'!$V$6:$V$10005,'設定'!$C$4,'月1回_2ヶ月前の在庫'!$W$6:$W$10005,$C238)/COUNTIFS('月1回_2ヶ月前の在庫'!$V$6:$V$10005,'設定'!$C$4,'月1回_2ヶ月前の在庫'!$W$6:$W$10005,$C238),0))),INDEX('商品マスタ'!$G$6:$G$1005,MATCH($C238,'商品マスタ'!$B$6:$B$1005,0))),IF(COUNTIFS('①在庫を貼る'!$V$6:$V$10005,'設定'!$C$4,'①在庫を貼る'!$W$6:$W$10005,$C238)&gt;0,SUMIFS('①在庫を貼る'!$Q$6:$Q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Q$6:$Q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Q$6:$Q$10005,'月1回_2ヶ月前の在庫'!$V$6:$V$10005,'設定'!$C$4,'月1回_2ヶ月前の在庫'!$W$6:$W$10005,$C238)/COUNTIFS('月1回_2ヶ月前の在庫'!$V$6:$V$10005,'設定'!$C$4,'月1回_2ヶ月前の在庫'!$W$6:$W$10005,$C238),0))))))</f>
        <v/>
      </c>
      <c r="I238">
        <f>IF($C238="","",IF(COUNTIFS('①在庫を貼る'!$V$6:$V$10005,'設定'!$C$4,'①在庫を貼る'!$W$6:$W$10005,$C238)=0,"",SUMIFS('①在庫を貼る'!$N$6:$N$10005,'①在庫を貼る'!$V$6:$V$10005,'設定'!$C$4,'①在庫を貼る'!$W$6:$W$10005,$C238)))</f>
        <v/>
      </c>
      <c r="J238">
        <f>IF($C238="","",IF('②発注する'!$AD242="","",'②発注する'!$AD242))</f>
        <v/>
      </c>
      <c r="K238" s="90">
        <f>IF($C238="","",IF('②発注する'!$AE242="","",'②発注する'!$AE242))</f>
        <v/>
      </c>
      <c r="L238">
        <f>IF($C238="","",IF(AND(ISNUMBER($J238),ISNUMBER($K238),$K238&gt;='設定'!$C$6),$J238,N($I238)))</f>
        <v/>
      </c>
      <c r="M238">
        <f>IF($C238="","",IFERROR(IF(N(INDEX('商品マスタ'!$J$6:$J$1005,MATCH($C238,'商品マスタ'!$B$6:$B$1005,0)))&gt;0,INDEX('商品マスタ'!$J$6:$J$1005,MATCH($C238,'商品マスタ'!$B$6:$B$1005,0)),""),""))</f>
        <v/>
      </c>
      <c r="N238">
        <f>IF($C238="","",IFERROR(IF(N(INDEX('商品マスタ'!$H$6:$H$1005,MATCH($C238,'商品マスタ'!$B$6:$B$1005,0)))&gt;0,INDEX('商品マスタ'!$H$6:$H$1005,MATCH($C238,'商品マスタ'!$B$6:$B$1005,0)),""),""))</f>
        <v/>
      </c>
      <c r="O238">
        <f>IF($C238="","",IF($N238&lt;&gt;"",$N238*$G238,IF(N(IF(COUNTIFS('①在庫を貼る'!$V$6:$V$10005,'設定'!$C$4,'①在庫を貼る'!$W$6:$W$10005,$C238)&gt;0,SUMIFS('①在庫を貼る'!$O$6:$O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O$6:$O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O$6:$O$10005,'月1回_2ヶ月前の在庫'!$V$6:$V$10005,'設定'!$C$4,'月1回_2ヶ月前の在庫'!$W$6:$W$10005,$C238)/COUNTIFS('月1回_2ヶ月前の在庫'!$V$6:$V$10005,'設定'!$C$4,'月1回_2ヶ月前の在庫'!$W$6:$W$10005,$C238),0))))&gt;0,N(IF(COUNTIFS('①在庫を貼る'!$V$6:$V$10005,'設定'!$C$4,'①在庫を貼る'!$W$6:$W$10005,$C238)&gt;0,SUMIFS('①在庫を貼る'!$O$6:$O$10005,'①在庫を貼る'!$V$6:$V$10005,'設定'!$C$4,'①在庫を貼る'!$W$6:$W$10005,$C238)/COUNTIFS('①在庫を貼る'!$V$6:$V$10005,'設定'!$C$4,'①在庫を貼る'!$W$6:$W$10005,$C238),IF(COUNTIFS('月1回_1ヶ月前の在庫'!$V$6:$V$10005,'設定'!$C$4,'月1回_1ヶ月前の在庫'!$W$6:$W$10005,$C238)&gt;0,SUMIFS('月1回_1ヶ月前の在庫'!$O$6:$O$10005,'月1回_1ヶ月前の在庫'!$V$6:$V$10005,'設定'!$C$4,'月1回_1ヶ月前の在庫'!$W$6:$W$10005,$C238)/COUNTIFS('月1回_1ヶ月前の在庫'!$V$6:$V$10005,'設定'!$C$4,'月1回_1ヶ月前の在庫'!$W$6:$W$10005,$C238),IF(COUNTIFS('月1回_2ヶ月前の在庫'!$V$6:$V$10005,'設定'!$C$4,'月1回_2ヶ月前の在庫'!$W$6:$W$10005,$C238)&gt;0,SUMIFS('月1回_2ヶ月前の在庫'!$O$6:$O$10005,'月1回_2ヶ月前の在庫'!$V$6:$V$10005,'設定'!$C$4,'月1回_2ヶ月前の在庫'!$W$6:$W$10005,$C238)/COUNTIFS('月1回_2ヶ月前の在庫'!$V$6:$V$10005,'設定'!$C$4,'月1回_2ヶ月前の在庫'!$W$6:$W$10005,$C238),0)))),"")))</f>
        <v/>
      </c>
      <c r="P238" s="90">
        <f>IF($C238="","",IF('②発注する'!$I242="","",'②発注する'!$I242))</f>
        <v/>
      </c>
      <c r="Q238">
        <f>IF($C238="","",IF('②発注する'!$J242="","",'②発注する'!$J242))</f>
        <v/>
      </c>
      <c r="R238">
        <f>IF($C238="",0,IF(AND(ISNUMBER($P238),ISNUMBER($Q238)),MAX(0,$Q238)*$G238,0))</f>
        <v/>
      </c>
      <c r="S238" s="90">
        <f>IF($C238="","",IF('②発注する'!$M242="","",'②発注する'!$M242))</f>
        <v/>
      </c>
      <c r="T238">
        <f>IF($C238="","",IF('②発注する'!$N242="","",'②発注する'!$N242))</f>
        <v/>
      </c>
      <c r="U238">
        <f>IF($C238="",0,IF(AND(ISNUMBER($S238),ISNUMBER($T238)),MAX(0,$T238)*$G238,0))</f>
        <v/>
      </c>
      <c r="V238">
        <f>IF($C238="",0,IF($M238="",0,MAX(0,$M238)*MAX(0,V$4)/100))</f>
        <v/>
      </c>
      <c r="W238">
        <f>IF($C238="",0,IF($M238="",0,MAX(0,$M238)*MAX(0,W$4)/100))</f>
        <v/>
      </c>
      <c r="X238">
        <f>IF($C238="",0,IF($M238="",0,MAX(0,$M238)*MAX(0,X$4)/100))</f>
        <v/>
      </c>
      <c r="Y238">
        <f>IF($C238="",0,IF($M238="",0,MAX(0,$M238)*MAX(0,Y$4)/100))</f>
        <v/>
      </c>
      <c r="Z238">
        <f>IF($C238="",0,IF($M238="",0,MAX(0,$M238)*MAX(0,Z$4)/100))</f>
        <v/>
      </c>
      <c r="AA238">
        <f>IF($C238="",0,IF($M238="",0,MAX(0,$M238)*MAX(0,AA$4)/100))</f>
        <v/>
      </c>
      <c r="AB238">
        <f>IF($C238="",0,IF($M238="",0,MAX(0,$M238)*MAX(0,AB$4)/100))</f>
        <v/>
      </c>
      <c r="AC238">
        <f>IF($C238="",0,IF($M238="",0,MAX(0,$M238)*MAX(0,AC$4)/100))</f>
        <v/>
      </c>
      <c r="AD238">
        <f>IF($C238="",0,IF($M238="",0,MAX(0,$M238)*MAX(0,AD$4)/100))</f>
        <v/>
      </c>
      <c r="AE238">
        <f>IF($C238="",0,IF($M238="",0,MAX(0,$M238)*MAX(0,AE$4)/100))</f>
        <v/>
      </c>
      <c r="AF238">
        <f>IF($C238="",0,IF($M238="",0,MAX(0,$M238)*MAX(0,AF$4)/100))</f>
        <v/>
      </c>
      <c r="AG238">
        <f>IF($C238="",0,IF($M238="",0,MAX(0,$M238)*MAX(0,AG$4)/100))</f>
        <v/>
      </c>
      <c r="AH238">
        <f>IF($C238="",0,IF($M238="",0,MAX(0,$M238)*MAX(0,AH$4)/100))</f>
        <v/>
      </c>
      <c r="AI238">
        <f>IF($C238="",0,IF($M238="",0,MAX(0,$M238)*MAX(0,AI$4)/100))</f>
        <v/>
      </c>
      <c r="AJ238">
        <f>IF($C238="",0,MAX(0,MAX(0,N($L238))-$V238))</f>
        <v/>
      </c>
      <c r="AK238">
        <f>IF($C238="",0,MAX(0,$AJ238-$W238))</f>
        <v/>
      </c>
      <c r="AL238">
        <f>IF($C238="",0,MAX(0,$AK238-$X238))</f>
        <v/>
      </c>
      <c r="AM238">
        <f>IF($C238="",0,MAX(0,$AL238-$Y238))</f>
        <v/>
      </c>
      <c r="AN238">
        <f>IF($C238="",0,MAX(0,$AM238-$Z238))</f>
        <v/>
      </c>
      <c r="AO238">
        <f>IF($C238="",0,MAX(0,$AN238-$AA238))</f>
        <v/>
      </c>
      <c r="AP238">
        <f>IF($C238="",0,MAX(0,$AO238-$AB238))</f>
        <v/>
      </c>
      <c r="AQ238">
        <f>IF($C238="",0,MAX(0,$AP238-$AC238))</f>
        <v/>
      </c>
      <c r="AR238">
        <f>IF($C238="",0,MAX(0,$AQ238-$AD238))</f>
        <v/>
      </c>
      <c r="AS238">
        <f>IF($C238="",0,MAX(0,$AR238-$AE238))</f>
        <v/>
      </c>
      <c r="AT238">
        <f>IF($C238="",0,MAX(0,$AS238-$AF238))</f>
        <v/>
      </c>
      <c r="AU238">
        <f>IF($C238="",0,MAX(0,$AT238-$AG238))</f>
        <v/>
      </c>
      <c r="AV238">
        <f>IF($C238="",0,MAX(0,$AU238-$AH238))</f>
        <v/>
      </c>
      <c r="AW238">
        <f>IF($C238="",0,MAX(0,$AV238-$AI238))</f>
        <v/>
      </c>
      <c r="AX238">
        <f>IF($C238="",0,MAX(0,MAX(0,N($L238))+IF($P238=V$3,$R238,0)+IF($S238=V$3,$U238,0)-$V238))</f>
        <v/>
      </c>
      <c r="AY238">
        <f>IF($C238="",0,MAX(0,$AX238+IF($P238=W$3,$R238,0)+IF($S238=W$3,$U238,0)-$W238))</f>
        <v/>
      </c>
      <c r="AZ238">
        <f>IF($C238="",0,MAX(0,$AY238+IF($P238=X$3,$R238,0)+IF($S238=X$3,$U238,0)-$X238))</f>
        <v/>
      </c>
      <c r="BA238">
        <f>IF($C238="",0,MAX(0,$AZ238+IF($P238=Y$3,$R238,0)+IF($S238=Y$3,$U238,0)-$Y238))</f>
        <v/>
      </c>
      <c r="BB238">
        <f>IF($C238="",0,MAX(0,$BA238+IF($P238=Z$3,$R238,0)+IF($S238=Z$3,$U238,0)-$Z238))</f>
        <v/>
      </c>
      <c r="BC238">
        <f>IF($C238="",0,MAX(0,$BB238+IF($P238=AA$3,$R238,0)+IF($S238=AA$3,$U238,0)-$AA238))</f>
        <v/>
      </c>
      <c r="BD238">
        <f>IF($C238="",0,MAX(0,$BC238+IF($P238=AB$3,$R238,0)+IF($S238=AB$3,$U238,0)-$AB238))</f>
        <v/>
      </c>
      <c r="BE238">
        <f>IF($C238="",0,MAX(0,$BD238+IF($P238=AC$3,$R238,0)+IF($S238=AC$3,$U238,0)-$AC238))</f>
        <v/>
      </c>
      <c r="BF238">
        <f>IF($C238="",0,MAX(0,$BE238+IF($P238=AD$3,$R238,0)+IF($S238=AD$3,$U238,0)-$AD238))</f>
        <v/>
      </c>
      <c r="BG238">
        <f>IF($C238="",0,MAX(0,$BF238+IF($P238=AE$3,$R238,0)+IF($S238=AE$3,$U238,0)-$AE238))</f>
        <v/>
      </c>
      <c r="BH238">
        <f>IF($C238="",0,MAX(0,$BG238+IF($P238=AF$3,$R238,0)+IF($S238=AF$3,$U238,0)-$AF238))</f>
        <v/>
      </c>
      <c r="BI238">
        <f>IF($C238="",0,MAX(0,$BH238+IF($P238=AG$3,$R238,0)+IF($S238=AG$3,$U238,0)-$AG238))</f>
        <v/>
      </c>
      <c r="BJ238">
        <f>IF($C238="",0,MAX(0,$BI238+IF($P238=AH$3,$R238,0)+IF($S238=AH$3,$U238,0)-$AH238))</f>
        <v/>
      </c>
      <c r="BK238">
        <f>IF($C238="",0,MAX(0,$BJ238+IF($P238=AI$3,$R238,0)+IF($S238=AI$3,$U238,0)-$AI238))</f>
        <v/>
      </c>
      <c r="BL238">
        <f>IF($C238="",99,IF(AND($AX238&lt;1,V$3&gt;=MAX(N($P238),N($S238))),0,99))</f>
        <v/>
      </c>
      <c r="BM238">
        <f>IF($C238="",99,IF(AND($AY238&lt;1,W$3&gt;=MAX(N($P238),N($S238))),1,99))</f>
        <v/>
      </c>
      <c r="BN238">
        <f>IF($C238="",99,IF(AND($AZ238&lt;1,X$3&gt;=MAX(N($P238),N($S238))),2,99))</f>
        <v/>
      </c>
      <c r="BO238">
        <f>IF($C238="",99,IF(AND($BA238&lt;1,Y$3&gt;=MAX(N($P238),N($S238))),3,99))</f>
        <v/>
      </c>
      <c r="BP238">
        <f>IF($C238="",99,IF(AND($BB238&lt;1,Z$3&gt;=MAX(N($P238),N($S238))),4,99))</f>
        <v/>
      </c>
      <c r="BQ238">
        <f>IF($C238="",99,IF(AND($BC238&lt;1,AA$3&gt;=MAX(N($P238),N($S238))),5,99))</f>
        <v/>
      </c>
      <c r="BR238">
        <f>IF($C238="",99,IF(AND($BD238&lt;1,AB$3&gt;=MAX(N($P238),N($S238))),6,99))</f>
        <v/>
      </c>
      <c r="BS238">
        <f>IF($C238="",99,IF(AND($BE238&lt;1,AC$3&gt;=MAX(N($P238),N($S238))),7,99))</f>
        <v/>
      </c>
      <c r="BT238">
        <f>IF($C238="",99,IF(AND($BF238&lt;1,AD$3&gt;=MAX(N($P238),N($S238))),8,99))</f>
        <v/>
      </c>
      <c r="BU238">
        <f>IF($C238="",99,IF(AND($BG238&lt;1,AE$3&gt;=MAX(N($P238),N($S238))),9,99))</f>
        <v/>
      </c>
      <c r="BV238">
        <f>IF($C238="",99,IF(AND($BH238&lt;1,AF$3&gt;=MAX(N($P238),N($S238))),10,99))</f>
        <v/>
      </c>
      <c r="BW238">
        <f>IF($C238="",99,IF(AND($BI238&lt;1,AG$3&gt;=MAX(N($P238),N($S238))),11,99))</f>
        <v/>
      </c>
      <c r="BX238">
        <f>IF($C238="",99,IF(AND($BJ238&lt;1,AH$3&gt;=MAX(N($P238),N($S238))),12,99))</f>
        <v/>
      </c>
      <c r="BY238">
        <f>IF($C238="",99,IF(AND($BK238&lt;1,AI$3&gt;=MAX(N($P238),N($S238))),13,99))</f>
        <v/>
      </c>
      <c r="BZ238">
        <f>IF(OR($C238="",$M238=""),"",COUNTIF($AJ238:$AW238,"&gt;=1"))</f>
        <v/>
      </c>
      <c r="CA238" s="90">
        <f>IF($BZ238="","",IF($BZ238&gt;=14,"",'設定'!$C$6+$BZ238))</f>
        <v/>
      </c>
      <c r="CB238">
        <f>IF(OR($C238="",$M238=""),"",MIN($BL238:$BY238))</f>
        <v/>
      </c>
      <c r="CC238" s="90">
        <f>IF($CB238="","",IF($CB238&gt;=99,"",'設定'!$C$6+$CB238))</f>
        <v/>
      </c>
      <c r="CD238">
        <f>IF(OR($C238="",$M238=""),"",AVERAGE($V238:$AI238))</f>
        <v/>
      </c>
      <c r="CE238">
        <f>IF($C238="","",IFERROR(IF(MATCH(IF(ISNUMBER($P238),$P238,'設定'!$C$6+N('設定'!$C$7)),$V$3:$AI$3,0)=1,MAX(0,N($L238)),INDEX($AJ238:$AW238,MATCH(IF(ISNUMBER($P238),$P238,'設定'!$C$6+N('設定'!$C$7)),$V$3:$AI$3,0)-1)),""))</f>
        <v/>
      </c>
      <c r="CF238">
        <f>IF(OR($C238="",$O238="",$CE238=""),"",IF($O238-$CE238&lt;=0,0,ROUNDUP(($O238-$CE238)/$G238,0)))</f>
        <v/>
      </c>
      <c r="CG238">
        <f>IF(OR($C238="",$CF238="",NOT(ISNUMBER($Q238))),0,MAX(0,$Q238-$CF238))</f>
        <v/>
      </c>
      <c r="CH238">
        <f>IF(OR($C238="",$O238="",$U238=0),0,IFERROR(ROUNDUP(MAX(0,IF(MATCH($S238,$V$3:$AI$3,0)=1,MAX(0,N($L238)),INDEX($AX238:$BK238,MATCH($S238,$V$3:$AI$3,0)-1))+$U238-$O238)/$G238,0),0))</f>
        <v/>
      </c>
      <c r="CI238">
        <f>IF($C238="","",IF(AND($P238="",$Q238=""),"",IF($P238="","⚠ 入庫日を ▼ から選んでください",IF(NOT(ISNUMBER($P238)),"⚠ 入庫日は ▼ から選んでください",IF($P238&lt;N('設定'!$C$6),"⚠ 入庫日が過去です（もう在庫に入っています）→ 消してください",IF($P238&gt;N('設定'!$C$6)+13,"⚠ 入庫日が14日より先です",IF(N($Q238)&lt;=0,"⚠ 入庫数を入れてください",IF($CG238&gt;0,"⚠ 目安より "&amp;$CG238&amp;" 多い（定数を超える）→ 減らす",""))))))))</f>
        <v/>
      </c>
      <c r="CJ238">
        <f>IF($C238="","",IF(AND($S238="",$T238=""),"",IF($S238="","⚠ 2便目：入庫日を ▼ から選んでください",IF(NOT(ISNUMBER($S238)),"⚠ 2便目：入庫日は ▼ から選んでください",IF($S238&lt;N('設定'!$C$6),"⚠ 2便目：入庫日が過去です（もう在庫に入っています）→ 消してください",IF($S238&gt;N('設定'!$C$6)+13,"⚠ 2便目：入庫日が14日より先です",IF(N($T238)&lt;=0,"⚠ 2便目：入庫数を入れてください",IF($CH238&gt;0,"⚠ 2便目：定数を "&amp;$CH238&amp;" ケース超える → 減らす",""))))))))</f>
        <v/>
      </c>
      <c r="CK238">
        <f>IF(AND($CI238="",N($Q238)&gt;0,ISNUMBER($P238)),1,0)</f>
        <v/>
      </c>
      <c r="CL238">
        <f>IF(AND($CJ238="",N($T238)&gt;0,ISNUMBER($S238)),1,0)</f>
        <v/>
      </c>
      <c r="CM238">
        <f>IF(OR($CK238=1,$CL238=1),1,0)</f>
        <v/>
      </c>
      <c r="CN238">
        <f>IF($C238="",0,($CK238*$R238+$CL238*$U238)*N($H238))</f>
        <v/>
      </c>
      <c r="CO238">
        <f>IF($C238="","",IF($CC238="","入庫後は 14日以上もつ",IF($CC238-N('設定'!$C$7)&lt;='設定'!$C$6,"入庫後も "&amp;TEXT($CC238,"m/d")&amp;"("&amp;CHOOSE(WEEKDAY($CC238),"日","月","火","水","木","金","土")&amp;")"&amp;" に切れる　もう1便を至急発注","入庫後も "&amp;TEXT($CC238,"m/d")&amp;"("&amp;CHOOSE(WEEKDAY($CC238),"日","月","火","水","木","金","土")&amp;")"&amp;" に切れる　"&amp;TEXT($CC238-N('設定'!$C$7),"m/d")&amp;"("&amp;CHOOSE(WEEKDAY($CC238-N('設定'!$C$7)),"日","月","火","水","木","金","土")&amp;")"&amp;" までに次を発注")))</f>
        <v/>
      </c>
      <c r="CP238">
        <f>IF($C238="","",IF('設定'!$C$6="","？ ①在庫を貼る に今日のCSVが貼られていない",IF($CS238=1,"－ 今日のCSVに無い（終売？）",IF($L238&lt;0,"● 在庫がマイナス　数えて「数えた在庫」に入れる",IF($L238=0,"● 在庫なし　至急発注",IF($M238="","？ 減り数が未設定（商品マスタ）",IF($B$3=0,"？ 動員が未入力（動員を入れる）",IF($CA238="","○ 14日以上もつ",IF($BZ238&lt;N('設定'!$C$7),"● "&amp;TEXT($CA238,"m/d")&amp;"("&amp;CHOOSE(WEEKDAY($CA238),"日","月","火","水","木","金","土")&amp;")"&amp;" に切れる　至急発注",IF($BZ238=N('設定'!$C$7),"● "&amp;TEXT($CA238,"m/d")&amp;"("&amp;CHOOSE(WEEKDAY($CA238),"日","月","火","水","木","金","土")&amp;")"&amp;" に切れる　今日発注","△ "&amp;TEXT($CA238,"m/d")&amp;"("&amp;CHOOSE(WEEKDAY($CA238),"日","月","火","水","木","金","土")&amp;")"&amp;" に切れる　"&amp;TEXT($CA238-N('設定'!$C$7),"m/d")&amp;"("&amp;CHOOSE(WEEKDAY($CA238-N('設定'!$C$7)),"日","月","火","水","木","金","土")&amp;")"&amp;" までに発注"))))))))))</f>
        <v/>
      </c>
      <c r="CQ238">
        <f>IF($C238="","",IF(AND($P238="",$Q238="",$S238="",$T238=""),"",IF(AND($P238="",$Q238=""),"⚠ 先に1便目（左の入庫日・入庫数）に入れてください",IF($CI238&lt;&gt;"",$CI238,IF($CJ238&lt;&gt;"",$CJ238,IF($M238="","？ 減り数が未設定（発注書には載ります）",IF($B$3=0,"？ 動員が未入力（発注書には載ります）",IF(AND($CA238&lt;&gt;"",$P238&gt;$CA238),IF($P238&gt;'設定'!$C$6+N('設定'!$C$7),"● "&amp;TEXT($P238,"m/d")&amp;"("&amp;CHOOSE(WEEKDAY($P238),"日","月","火","水","木","金","土")&amp;")"&amp;" の入庫では間に合わない（"&amp;TEXT($CA238,"m/d")&amp;"("&amp;CHOOSE(WEEKDAY($CA238),"日","月","火","水","木","金","土")&amp;")"&amp;" に切れる）　入庫日を早める","△ 欠品 "&amp;TEXT($CA238,"m/d")&amp;"("&amp;CHOOSE(WEEKDAY($CA238),"日","月","火","水","木","金","土")&amp;")"&amp;"〜"&amp;TEXT($P238-1,"m/d")&amp;"("&amp;CHOOSE(WEEKDAY($P238-1),"日","月","火","水","木","金","土")&amp;")"&amp;"　"&amp;$CO238),IF($CC238="","○ "&amp;TEXT($P238,"m/d")&amp;"("&amp;CHOOSE(WEEKDAY($P238),"日","月","火","水","木","金","土")&amp;")"&amp;" 入庫で 14日以上もつ",IF($CC238-N('設定'!$C$7)&lt;='設定'!$C$6,"● 入庫しても "&amp;TEXT($CC238,"m/d")&amp;"("&amp;CHOOSE(WEEKDAY($CC238),"日","月","火","水","木","金","土")&amp;")"&amp;" に切れる　もう1便を至急発注（2便目に入れる）","△ 入庫しても "&amp;TEXT($CC238,"m/d")&amp;"("&amp;CHOOSE(WEEKDAY($CC238),"日","月","火","水","木","金","土")&amp;")"&amp;" に切れる　"&amp;TEXT($CC238-N('設定'!$C$7),"m/d")&amp;"("&amp;CHOOSE(WEEKDAY($CC238-N('設定'!$C$7)),"日","月","火","水","木","金","土")&amp;")"&amp;" までに次を発注（2便目に入れる）"))))))))))</f>
        <v/>
      </c>
      <c r="CR238">
        <f>IF($C238="","",IF($G238&gt;1,"ｹｰｽ("&amp;$G238&amp;"入)","個"))</f>
        <v/>
      </c>
      <c r="CS238">
        <f>IF($C238="",0,IF(COUNTIFS('①在庫を貼る'!$V$6:$V$10005,'設定'!$C$4,'①在庫を貼る'!$W$6:$W$10005,$C238)=0,1,0))</f>
        <v/>
      </c>
      <c r="CT238">
        <f>IF(AND($CK238=1,OR('③発注書'!$C$4="すべて",'③発注書'!$C$4="",$F238='③発注書'!$C$4)),N($CT237)+1,N($CT237))</f>
        <v/>
      </c>
      <c r="CU238">
        <f>IF(AND($CL238=1,OR('③発注書'!$C$4="すべて",'③発注書'!$C$4="",$F238='③発注書'!$C$4)),N($CU237)+1,N($CU237))</f>
        <v/>
      </c>
      <c r="CV238">
        <f>IF($C238="",0,IF(COUNTIFS('①在庫を貼る'!$V$6:$V$10005,'設定'!$C$4,'①在庫を貼る'!$W$6:$W$10005,$C238)&gt;0,1,0))</f>
        <v/>
      </c>
      <c r="CW238">
        <f>IF($C238="",0,IF(COUNTIFS('月1回_1ヶ月前の在庫'!$V$6:$V$10005,'設定'!$C$4,'月1回_1ヶ月前の在庫'!$W$6:$W$10005,$C238)&gt;0,1,0))</f>
        <v/>
      </c>
      <c r="CX238">
        <f>IF($C238="",0,IF(COUNTIFS('月1回_2ヶ月前の在庫'!$V$6:$V$10005,'設定'!$C$4,'月1回_2ヶ月前の在庫'!$W$6:$W$10005,$C238)&gt;0,1,0))</f>
        <v/>
      </c>
      <c r="CY238">
        <f>IF(OR($C238="",'設定'!$C$12=""),"",IF('設定'!$C$13="",IF(AND($CV238=1,$CW238=0),"新商品（今月から）",IF(AND($CV238=0,$CW238=1),"終売（今月から）","")),IF(AND($CV238=1,$CW238=0,$CX238=0),"新商品（今月から）",IF(AND($CV238=1,$CW238=1,$CX238=0),"新商品（先月から）",IF(AND($CV238=0,$CW238=1,$CX238=1),"終売（今月から）",IF(AND($CV238=0,$CW238=0,$CX238=1),"終売（先月から）",IF(AND($CV238=1,$CW238=0,$CX238=1),"復活（先月は無し）","")))))))</f>
        <v/>
      </c>
    </row>
    <row r="239">
      <c r="B239">
        <f>IF(234&lt;='設定'!$C$11,234,"")</f>
        <v/>
      </c>
      <c r="C239">
        <f>IF($B239="","",IF($B239&lt;='設定'!$C$20,INDEX('商品マスタ'!$B$6:$B$1005,MATCH($B239,'商品マスタ'!$M$6:$M$1005,0)),IF($B239&lt;='設定'!$C$20+'設定'!$C$17,INDEX('①在庫を貼る'!$W$6:$W$10005,MATCH($B239-'設定'!$C$20,'①在庫を貼る'!$U$6:$U$10005,0)),IF($B239&lt;='設定'!$C$20+'設定'!$C$17+'設定'!$C$18,INDEX('月1回_1ヶ月前の在庫'!$W$6:$W$10005,MATCH($B239-'設定'!$C$20-'設定'!$C$17,'月1回_1ヶ月前の在庫'!$U$6:$U$10005,0)),INDEX('月1回_2ヶ月前の在庫'!$W$6:$W$10005,MATCH($B239-'設定'!$C$20-'設定'!$C$17-'設定'!$C$18,'月1回_2ヶ月前の在庫'!$U$6:$U$10005,0))))))</f>
        <v/>
      </c>
      <c r="D239">
        <f>IF($C239="","",IFERROR(IF(INDEX('商品マスタ'!$C$6:$C$1005,MATCH($C239,'商品マスタ'!$B$6:$B$1005,0))="",IFERROR(INDEX('①在庫を貼る'!$J$6:$J$10005,MATCH($C239,'①在庫を貼る'!$W$6:$W$10005,0)),IFERROR(INDEX('月1回_1ヶ月前の在庫'!$J$6:$J$10005,MATCH($C239,'月1回_1ヶ月前の在庫'!$W$6:$W$10005,0)),IFERROR(INDEX('月1回_2ヶ月前の在庫'!$J$6:$J$10005,MATCH($C239,'月1回_2ヶ月前の在庫'!$W$6:$W$10005,0)),""))),INDEX('商品マスタ'!$C$6:$C$1005,MATCH($C239,'商品マスタ'!$B$6:$B$1005,0))),IFERROR(INDEX('①在庫を貼る'!$J$6:$J$10005,MATCH($C239,'①在庫を貼る'!$W$6:$W$10005,0)),IFERROR(INDEX('月1回_1ヶ月前の在庫'!$J$6:$J$10005,MATCH($C239,'月1回_1ヶ月前の在庫'!$W$6:$W$10005,0)),IFERROR(INDEX('月1回_2ヶ月前の在庫'!$J$6:$J$10005,MATCH($C239,'月1回_2ヶ月前の在庫'!$W$6:$W$10005,0)),"")))))</f>
        <v/>
      </c>
      <c r="E239">
        <f>IF($C239="","",IFERROR(IF(INDEX('商品マスタ'!$D$6:$D$1005,MATCH($C239,'商品マスタ'!$B$6:$B$1005,0))="",IFERROR(INDEX('①在庫を貼る'!$H$6:$H$10005,MATCH($C239,'①在庫を貼る'!$W$6:$W$10005,0)),IFERROR(INDEX('月1回_1ヶ月前の在庫'!$H$6:$H$10005,MATCH($C239,'月1回_1ヶ月前の在庫'!$W$6:$W$10005,0)),IFERROR(INDEX('月1回_2ヶ月前の在庫'!$H$6:$H$10005,MATCH($C239,'月1回_2ヶ月前の在庫'!$W$6:$W$10005,0)),""))),INDEX('商品マスタ'!$D$6:$D$1005,MATCH($C239,'商品マスタ'!$B$6:$B$1005,0))),IFERROR(INDEX('①在庫を貼る'!$H$6:$H$10005,MATCH($C239,'①在庫を貼る'!$W$6:$W$10005,0)),IFERROR(INDEX('月1回_1ヶ月前の在庫'!$H$6:$H$10005,MATCH($C239,'月1回_1ヶ月前の在庫'!$W$6:$W$10005,0)),IFERROR(INDEX('月1回_2ヶ月前の在庫'!$H$6:$H$10005,MATCH($C239,'月1回_2ヶ月前の在庫'!$W$6:$W$10005,0)),"")))))</f>
        <v/>
      </c>
      <c r="F239">
        <f>IF($C239="","",IFERROR(IF(INDEX('商品マスタ'!$E$6:$E$1005,MATCH($C239,'商品マスタ'!$B$6:$B$1005,0))="",IFERROR(INDEX('①在庫を貼る'!$E$6:$E$10005,MATCH($C239,'①在庫を貼る'!$W$6:$W$10005,0)),IFERROR(INDEX('月1回_1ヶ月前の在庫'!$E$6:$E$10005,MATCH($C239,'月1回_1ヶ月前の在庫'!$W$6:$W$10005,0)),IFERROR(INDEX('月1回_2ヶ月前の在庫'!$E$6:$E$10005,MATCH($C239,'月1回_2ヶ月前の在庫'!$W$6:$W$10005,0)),""))),INDEX('商品マスタ'!$E$6:$E$1005,MATCH($C239,'商品マスタ'!$B$6:$B$1005,0))),IFERROR(INDEX('①在庫を貼る'!$E$6:$E$10005,MATCH($C239,'①在庫を貼る'!$W$6:$W$10005,0)),IFERROR(INDEX('月1回_1ヶ月前の在庫'!$E$6:$E$10005,MATCH($C239,'月1回_1ヶ月前の在庫'!$W$6:$W$10005,0)),IFERROR(INDEX('月1回_2ヶ月前の在庫'!$E$6:$E$10005,MATCH($C239,'月1回_2ヶ月前の在庫'!$W$6:$W$10005,0)),"")))))</f>
        <v/>
      </c>
      <c r="G239">
        <f>IF($C239="","",MAX(1,N(IFERROR(IF(INDEX('商品マスタ'!$F$6:$F$1005,MATCH($C239,'商品マスタ'!$B$6:$B$1005,0))="",IF(COUNTIFS('①在庫を貼る'!$V$6:$V$10005,'設定'!$C$4,'①在庫を貼る'!$W$6:$W$10005,$C239)&gt;0,SUMIFS('①在庫を貼る'!$K$6:$K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K$6:$K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K$6:$K$10005,'月1回_2ヶ月前の在庫'!$V$6:$V$10005,'設定'!$C$4,'月1回_2ヶ月前の在庫'!$W$6:$W$10005,$C239)/COUNTIFS('月1回_2ヶ月前の在庫'!$V$6:$V$10005,'設定'!$C$4,'月1回_2ヶ月前の在庫'!$W$6:$W$10005,$C239),0))),INDEX('商品マスタ'!$F$6:$F$1005,MATCH($C239,'商品マスタ'!$B$6:$B$1005,0))),IF(COUNTIFS('①在庫を貼る'!$V$6:$V$10005,'設定'!$C$4,'①在庫を貼る'!$W$6:$W$10005,$C239)&gt;0,SUMIFS('①在庫を貼る'!$K$6:$K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K$6:$K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K$6:$K$10005,'月1回_2ヶ月前の在庫'!$V$6:$V$10005,'設定'!$C$4,'月1回_2ヶ月前の在庫'!$W$6:$W$10005,$C239)/COUNTIFS('月1回_2ヶ月前の在庫'!$V$6:$V$10005,'設定'!$C$4,'月1回_2ヶ月前の在庫'!$W$6:$W$10005,$C239),0)))))))</f>
        <v/>
      </c>
      <c r="H239">
        <f>IF($C239="","",N(IFERROR(IF(INDEX('商品マスタ'!$G$6:$G$1005,MATCH($C239,'商品マスタ'!$B$6:$B$1005,0))="",IF(COUNTIFS('①在庫を貼る'!$V$6:$V$10005,'設定'!$C$4,'①在庫を貼る'!$W$6:$W$10005,$C239)&gt;0,SUMIFS('①在庫を貼る'!$Q$6:$Q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Q$6:$Q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Q$6:$Q$10005,'月1回_2ヶ月前の在庫'!$V$6:$V$10005,'設定'!$C$4,'月1回_2ヶ月前の在庫'!$W$6:$W$10005,$C239)/COUNTIFS('月1回_2ヶ月前の在庫'!$V$6:$V$10005,'設定'!$C$4,'月1回_2ヶ月前の在庫'!$W$6:$W$10005,$C239),0))),INDEX('商品マスタ'!$G$6:$G$1005,MATCH($C239,'商品マスタ'!$B$6:$B$1005,0))),IF(COUNTIFS('①在庫を貼る'!$V$6:$V$10005,'設定'!$C$4,'①在庫を貼る'!$W$6:$W$10005,$C239)&gt;0,SUMIFS('①在庫を貼る'!$Q$6:$Q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Q$6:$Q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Q$6:$Q$10005,'月1回_2ヶ月前の在庫'!$V$6:$V$10005,'設定'!$C$4,'月1回_2ヶ月前の在庫'!$W$6:$W$10005,$C239)/COUNTIFS('月1回_2ヶ月前の在庫'!$V$6:$V$10005,'設定'!$C$4,'月1回_2ヶ月前の在庫'!$W$6:$W$10005,$C239),0))))))</f>
        <v/>
      </c>
      <c r="I239">
        <f>IF($C239="","",IF(COUNTIFS('①在庫を貼る'!$V$6:$V$10005,'設定'!$C$4,'①在庫を貼る'!$W$6:$W$10005,$C239)=0,"",SUMIFS('①在庫を貼る'!$N$6:$N$10005,'①在庫を貼る'!$V$6:$V$10005,'設定'!$C$4,'①在庫を貼る'!$W$6:$W$10005,$C239)))</f>
        <v/>
      </c>
      <c r="J239">
        <f>IF($C239="","",IF('②発注する'!$AD243="","",'②発注する'!$AD243))</f>
        <v/>
      </c>
      <c r="K239" s="90">
        <f>IF($C239="","",IF('②発注する'!$AE243="","",'②発注する'!$AE243))</f>
        <v/>
      </c>
      <c r="L239">
        <f>IF($C239="","",IF(AND(ISNUMBER($J239),ISNUMBER($K239),$K239&gt;='設定'!$C$6),$J239,N($I239)))</f>
        <v/>
      </c>
      <c r="M239">
        <f>IF($C239="","",IFERROR(IF(N(INDEX('商品マスタ'!$J$6:$J$1005,MATCH($C239,'商品マスタ'!$B$6:$B$1005,0)))&gt;0,INDEX('商品マスタ'!$J$6:$J$1005,MATCH($C239,'商品マスタ'!$B$6:$B$1005,0)),""),""))</f>
        <v/>
      </c>
      <c r="N239">
        <f>IF($C239="","",IFERROR(IF(N(INDEX('商品マスタ'!$H$6:$H$1005,MATCH($C239,'商品マスタ'!$B$6:$B$1005,0)))&gt;0,INDEX('商品マスタ'!$H$6:$H$1005,MATCH($C239,'商品マスタ'!$B$6:$B$1005,0)),""),""))</f>
        <v/>
      </c>
      <c r="O239">
        <f>IF($C239="","",IF($N239&lt;&gt;"",$N239*$G239,IF(N(IF(COUNTIFS('①在庫を貼る'!$V$6:$V$10005,'設定'!$C$4,'①在庫を貼る'!$W$6:$W$10005,$C239)&gt;0,SUMIFS('①在庫を貼る'!$O$6:$O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O$6:$O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O$6:$O$10005,'月1回_2ヶ月前の在庫'!$V$6:$V$10005,'設定'!$C$4,'月1回_2ヶ月前の在庫'!$W$6:$W$10005,$C239)/COUNTIFS('月1回_2ヶ月前の在庫'!$V$6:$V$10005,'設定'!$C$4,'月1回_2ヶ月前の在庫'!$W$6:$W$10005,$C239),0))))&gt;0,N(IF(COUNTIFS('①在庫を貼る'!$V$6:$V$10005,'設定'!$C$4,'①在庫を貼る'!$W$6:$W$10005,$C239)&gt;0,SUMIFS('①在庫を貼る'!$O$6:$O$10005,'①在庫を貼る'!$V$6:$V$10005,'設定'!$C$4,'①在庫を貼る'!$W$6:$W$10005,$C239)/COUNTIFS('①在庫を貼る'!$V$6:$V$10005,'設定'!$C$4,'①在庫を貼る'!$W$6:$W$10005,$C239),IF(COUNTIFS('月1回_1ヶ月前の在庫'!$V$6:$V$10005,'設定'!$C$4,'月1回_1ヶ月前の在庫'!$W$6:$W$10005,$C239)&gt;0,SUMIFS('月1回_1ヶ月前の在庫'!$O$6:$O$10005,'月1回_1ヶ月前の在庫'!$V$6:$V$10005,'設定'!$C$4,'月1回_1ヶ月前の在庫'!$W$6:$W$10005,$C239)/COUNTIFS('月1回_1ヶ月前の在庫'!$V$6:$V$10005,'設定'!$C$4,'月1回_1ヶ月前の在庫'!$W$6:$W$10005,$C239),IF(COUNTIFS('月1回_2ヶ月前の在庫'!$V$6:$V$10005,'設定'!$C$4,'月1回_2ヶ月前の在庫'!$W$6:$W$10005,$C239)&gt;0,SUMIFS('月1回_2ヶ月前の在庫'!$O$6:$O$10005,'月1回_2ヶ月前の在庫'!$V$6:$V$10005,'設定'!$C$4,'月1回_2ヶ月前の在庫'!$W$6:$W$10005,$C239)/COUNTIFS('月1回_2ヶ月前の在庫'!$V$6:$V$10005,'設定'!$C$4,'月1回_2ヶ月前の在庫'!$W$6:$W$10005,$C239),0)))),"")))</f>
        <v/>
      </c>
      <c r="P239" s="90">
        <f>IF($C239="","",IF('②発注する'!$I243="","",'②発注する'!$I243))</f>
        <v/>
      </c>
      <c r="Q239">
        <f>IF($C239="","",IF('②発注する'!$J243="","",'②発注する'!$J243))</f>
        <v/>
      </c>
      <c r="R239">
        <f>IF($C239="",0,IF(AND(ISNUMBER($P239),ISNUMBER($Q239)),MAX(0,$Q239)*$G239,0))</f>
        <v/>
      </c>
      <c r="S239" s="90">
        <f>IF($C239="","",IF('②発注する'!$M243="","",'②発注する'!$M243))</f>
        <v/>
      </c>
      <c r="T239">
        <f>IF($C239="","",IF('②発注する'!$N243="","",'②発注する'!$N243))</f>
        <v/>
      </c>
      <c r="U239">
        <f>IF($C239="",0,IF(AND(ISNUMBER($S239),ISNUMBER($T239)),MAX(0,$T239)*$G239,0))</f>
        <v/>
      </c>
      <c r="V239">
        <f>IF($C239="",0,IF($M239="",0,MAX(0,$M239)*MAX(0,V$4)/100))</f>
        <v/>
      </c>
      <c r="W239">
        <f>IF($C239="",0,IF($M239="",0,MAX(0,$M239)*MAX(0,W$4)/100))</f>
        <v/>
      </c>
      <c r="X239">
        <f>IF($C239="",0,IF($M239="",0,MAX(0,$M239)*MAX(0,X$4)/100))</f>
        <v/>
      </c>
      <c r="Y239">
        <f>IF($C239="",0,IF($M239="",0,MAX(0,$M239)*MAX(0,Y$4)/100))</f>
        <v/>
      </c>
      <c r="Z239">
        <f>IF($C239="",0,IF($M239="",0,MAX(0,$M239)*MAX(0,Z$4)/100))</f>
        <v/>
      </c>
      <c r="AA239">
        <f>IF($C239="",0,IF($M239="",0,MAX(0,$M239)*MAX(0,AA$4)/100))</f>
        <v/>
      </c>
      <c r="AB239">
        <f>IF($C239="",0,IF($M239="",0,MAX(0,$M239)*MAX(0,AB$4)/100))</f>
        <v/>
      </c>
      <c r="AC239">
        <f>IF($C239="",0,IF($M239="",0,MAX(0,$M239)*MAX(0,AC$4)/100))</f>
        <v/>
      </c>
      <c r="AD239">
        <f>IF($C239="",0,IF($M239="",0,MAX(0,$M239)*MAX(0,AD$4)/100))</f>
        <v/>
      </c>
      <c r="AE239">
        <f>IF($C239="",0,IF($M239="",0,MAX(0,$M239)*MAX(0,AE$4)/100))</f>
        <v/>
      </c>
      <c r="AF239">
        <f>IF($C239="",0,IF($M239="",0,MAX(0,$M239)*MAX(0,AF$4)/100))</f>
        <v/>
      </c>
      <c r="AG239">
        <f>IF($C239="",0,IF($M239="",0,MAX(0,$M239)*MAX(0,AG$4)/100))</f>
        <v/>
      </c>
      <c r="AH239">
        <f>IF($C239="",0,IF($M239="",0,MAX(0,$M239)*MAX(0,AH$4)/100))</f>
        <v/>
      </c>
      <c r="AI239">
        <f>IF($C239="",0,IF($M239="",0,MAX(0,$M239)*MAX(0,AI$4)/100))</f>
        <v/>
      </c>
      <c r="AJ239">
        <f>IF($C239="",0,MAX(0,MAX(0,N($L239))-$V239))</f>
        <v/>
      </c>
      <c r="AK239">
        <f>IF($C239="",0,MAX(0,$AJ239-$W239))</f>
        <v/>
      </c>
      <c r="AL239">
        <f>IF($C239="",0,MAX(0,$AK239-$X239))</f>
        <v/>
      </c>
      <c r="AM239">
        <f>IF($C239="",0,MAX(0,$AL239-$Y239))</f>
        <v/>
      </c>
      <c r="AN239">
        <f>IF($C239="",0,MAX(0,$AM239-$Z239))</f>
        <v/>
      </c>
      <c r="AO239">
        <f>IF($C239="",0,MAX(0,$AN239-$AA239))</f>
        <v/>
      </c>
      <c r="AP239">
        <f>IF($C239="",0,MAX(0,$AO239-$AB239))</f>
        <v/>
      </c>
      <c r="AQ239">
        <f>IF($C239="",0,MAX(0,$AP239-$AC239))</f>
        <v/>
      </c>
      <c r="AR239">
        <f>IF($C239="",0,MAX(0,$AQ239-$AD239))</f>
        <v/>
      </c>
      <c r="AS239">
        <f>IF($C239="",0,MAX(0,$AR239-$AE239))</f>
        <v/>
      </c>
      <c r="AT239">
        <f>IF($C239="",0,MAX(0,$AS239-$AF239))</f>
        <v/>
      </c>
      <c r="AU239">
        <f>IF($C239="",0,MAX(0,$AT239-$AG239))</f>
        <v/>
      </c>
      <c r="AV239">
        <f>IF($C239="",0,MAX(0,$AU239-$AH239))</f>
        <v/>
      </c>
      <c r="AW239">
        <f>IF($C239="",0,MAX(0,$AV239-$AI239))</f>
        <v/>
      </c>
      <c r="AX239">
        <f>IF($C239="",0,MAX(0,MAX(0,N($L239))+IF($P239=V$3,$R239,0)+IF($S239=V$3,$U239,0)-$V239))</f>
        <v/>
      </c>
      <c r="AY239">
        <f>IF($C239="",0,MAX(0,$AX239+IF($P239=W$3,$R239,0)+IF($S239=W$3,$U239,0)-$W239))</f>
        <v/>
      </c>
      <c r="AZ239">
        <f>IF($C239="",0,MAX(0,$AY239+IF($P239=X$3,$R239,0)+IF($S239=X$3,$U239,0)-$X239))</f>
        <v/>
      </c>
      <c r="BA239">
        <f>IF($C239="",0,MAX(0,$AZ239+IF($P239=Y$3,$R239,0)+IF($S239=Y$3,$U239,0)-$Y239))</f>
        <v/>
      </c>
      <c r="BB239">
        <f>IF($C239="",0,MAX(0,$BA239+IF($P239=Z$3,$R239,0)+IF($S239=Z$3,$U239,0)-$Z239))</f>
        <v/>
      </c>
      <c r="BC239">
        <f>IF($C239="",0,MAX(0,$BB239+IF($P239=AA$3,$R239,0)+IF($S239=AA$3,$U239,0)-$AA239))</f>
        <v/>
      </c>
      <c r="BD239">
        <f>IF($C239="",0,MAX(0,$BC239+IF($P239=AB$3,$R239,0)+IF($S239=AB$3,$U239,0)-$AB239))</f>
        <v/>
      </c>
      <c r="BE239">
        <f>IF($C239="",0,MAX(0,$BD239+IF($P239=AC$3,$R239,0)+IF($S239=AC$3,$U239,0)-$AC239))</f>
        <v/>
      </c>
      <c r="BF239">
        <f>IF($C239="",0,MAX(0,$BE239+IF($P239=AD$3,$R239,0)+IF($S239=AD$3,$U239,0)-$AD239))</f>
        <v/>
      </c>
      <c r="BG239">
        <f>IF($C239="",0,MAX(0,$BF239+IF($P239=AE$3,$R239,0)+IF($S239=AE$3,$U239,0)-$AE239))</f>
        <v/>
      </c>
      <c r="BH239">
        <f>IF($C239="",0,MAX(0,$BG239+IF($P239=AF$3,$R239,0)+IF($S239=AF$3,$U239,0)-$AF239))</f>
        <v/>
      </c>
      <c r="BI239">
        <f>IF($C239="",0,MAX(0,$BH239+IF($P239=AG$3,$R239,0)+IF($S239=AG$3,$U239,0)-$AG239))</f>
        <v/>
      </c>
      <c r="BJ239">
        <f>IF($C239="",0,MAX(0,$BI239+IF($P239=AH$3,$R239,0)+IF($S239=AH$3,$U239,0)-$AH239))</f>
        <v/>
      </c>
      <c r="BK239">
        <f>IF($C239="",0,MAX(0,$BJ239+IF($P239=AI$3,$R239,0)+IF($S239=AI$3,$U239,0)-$AI239))</f>
        <v/>
      </c>
      <c r="BL239">
        <f>IF($C239="",99,IF(AND($AX239&lt;1,V$3&gt;=MAX(N($P239),N($S239))),0,99))</f>
        <v/>
      </c>
      <c r="BM239">
        <f>IF($C239="",99,IF(AND($AY239&lt;1,W$3&gt;=MAX(N($P239),N($S239))),1,99))</f>
        <v/>
      </c>
      <c r="BN239">
        <f>IF($C239="",99,IF(AND($AZ239&lt;1,X$3&gt;=MAX(N($P239),N($S239))),2,99))</f>
        <v/>
      </c>
      <c r="BO239">
        <f>IF($C239="",99,IF(AND($BA239&lt;1,Y$3&gt;=MAX(N($P239),N($S239))),3,99))</f>
        <v/>
      </c>
      <c r="BP239">
        <f>IF($C239="",99,IF(AND($BB239&lt;1,Z$3&gt;=MAX(N($P239),N($S239))),4,99))</f>
        <v/>
      </c>
      <c r="BQ239">
        <f>IF($C239="",99,IF(AND($BC239&lt;1,AA$3&gt;=MAX(N($P239),N($S239))),5,99))</f>
        <v/>
      </c>
      <c r="BR239">
        <f>IF($C239="",99,IF(AND($BD239&lt;1,AB$3&gt;=MAX(N($P239),N($S239))),6,99))</f>
        <v/>
      </c>
      <c r="BS239">
        <f>IF($C239="",99,IF(AND($BE239&lt;1,AC$3&gt;=MAX(N($P239),N($S239))),7,99))</f>
        <v/>
      </c>
      <c r="BT239">
        <f>IF($C239="",99,IF(AND($BF239&lt;1,AD$3&gt;=MAX(N($P239),N($S239))),8,99))</f>
        <v/>
      </c>
      <c r="BU239">
        <f>IF($C239="",99,IF(AND($BG239&lt;1,AE$3&gt;=MAX(N($P239),N($S239))),9,99))</f>
        <v/>
      </c>
      <c r="BV239">
        <f>IF($C239="",99,IF(AND($BH239&lt;1,AF$3&gt;=MAX(N($P239),N($S239))),10,99))</f>
        <v/>
      </c>
      <c r="BW239">
        <f>IF($C239="",99,IF(AND($BI239&lt;1,AG$3&gt;=MAX(N($P239),N($S239))),11,99))</f>
        <v/>
      </c>
      <c r="BX239">
        <f>IF($C239="",99,IF(AND($BJ239&lt;1,AH$3&gt;=MAX(N($P239),N($S239))),12,99))</f>
        <v/>
      </c>
      <c r="BY239">
        <f>IF($C239="",99,IF(AND($BK239&lt;1,AI$3&gt;=MAX(N($P239),N($S239))),13,99))</f>
        <v/>
      </c>
      <c r="BZ239">
        <f>IF(OR($C239="",$M239=""),"",COUNTIF($AJ239:$AW239,"&gt;=1"))</f>
        <v/>
      </c>
      <c r="CA239" s="90">
        <f>IF($BZ239="","",IF($BZ239&gt;=14,"",'設定'!$C$6+$BZ239))</f>
        <v/>
      </c>
      <c r="CB239">
        <f>IF(OR($C239="",$M239=""),"",MIN($BL239:$BY239))</f>
        <v/>
      </c>
      <c r="CC239" s="90">
        <f>IF($CB239="","",IF($CB239&gt;=99,"",'設定'!$C$6+$CB239))</f>
        <v/>
      </c>
      <c r="CD239">
        <f>IF(OR($C239="",$M239=""),"",AVERAGE($V239:$AI239))</f>
        <v/>
      </c>
      <c r="CE239">
        <f>IF($C239="","",IFERROR(IF(MATCH(IF(ISNUMBER($P239),$P239,'設定'!$C$6+N('設定'!$C$7)),$V$3:$AI$3,0)=1,MAX(0,N($L239)),INDEX($AJ239:$AW239,MATCH(IF(ISNUMBER($P239),$P239,'設定'!$C$6+N('設定'!$C$7)),$V$3:$AI$3,0)-1)),""))</f>
        <v/>
      </c>
      <c r="CF239">
        <f>IF(OR($C239="",$O239="",$CE239=""),"",IF($O239-$CE239&lt;=0,0,ROUNDUP(($O239-$CE239)/$G239,0)))</f>
        <v/>
      </c>
      <c r="CG239">
        <f>IF(OR($C239="",$CF239="",NOT(ISNUMBER($Q239))),0,MAX(0,$Q239-$CF239))</f>
        <v/>
      </c>
      <c r="CH239">
        <f>IF(OR($C239="",$O239="",$U239=0),0,IFERROR(ROUNDUP(MAX(0,IF(MATCH($S239,$V$3:$AI$3,0)=1,MAX(0,N($L239)),INDEX($AX239:$BK239,MATCH($S239,$V$3:$AI$3,0)-1))+$U239-$O239)/$G239,0),0))</f>
        <v/>
      </c>
      <c r="CI239">
        <f>IF($C239="","",IF(AND($P239="",$Q239=""),"",IF($P239="","⚠ 入庫日を ▼ から選んでください",IF(NOT(ISNUMBER($P239)),"⚠ 入庫日は ▼ から選んでください",IF($P239&lt;N('設定'!$C$6),"⚠ 入庫日が過去です（もう在庫に入っています）→ 消してください",IF($P239&gt;N('設定'!$C$6)+13,"⚠ 入庫日が14日より先です",IF(N($Q239)&lt;=0,"⚠ 入庫数を入れてください",IF($CG239&gt;0,"⚠ 目安より "&amp;$CG239&amp;" 多い（定数を超える）→ 減らす",""))))))))</f>
        <v/>
      </c>
      <c r="CJ239">
        <f>IF($C239="","",IF(AND($S239="",$T239=""),"",IF($S239="","⚠ 2便目：入庫日を ▼ から選んでください",IF(NOT(ISNUMBER($S239)),"⚠ 2便目：入庫日は ▼ から選んでください",IF($S239&lt;N('設定'!$C$6),"⚠ 2便目：入庫日が過去です（もう在庫に入っています）→ 消してください",IF($S239&gt;N('設定'!$C$6)+13,"⚠ 2便目：入庫日が14日より先です",IF(N($T239)&lt;=0,"⚠ 2便目：入庫数を入れてください",IF($CH239&gt;0,"⚠ 2便目：定数を "&amp;$CH239&amp;" ケース超える → 減らす",""))))))))</f>
        <v/>
      </c>
      <c r="CK239">
        <f>IF(AND($CI239="",N($Q239)&gt;0,ISNUMBER($P239)),1,0)</f>
        <v/>
      </c>
      <c r="CL239">
        <f>IF(AND($CJ239="",N($T239)&gt;0,ISNUMBER($S239)),1,0)</f>
        <v/>
      </c>
      <c r="CM239">
        <f>IF(OR($CK239=1,$CL239=1),1,0)</f>
        <v/>
      </c>
      <c r="CN239">
        <f>IF($C239="",0,($CK239*$R239+$CL239*$U239)*N($H239))</f>
        <v/>
      </c>
      <c r="CO239">
        <f>IF($C239="","",IF($CC239="","入庫後は 14日以上もつ",IF($CC239-N('設定'!$C$7)&lt;='設定'!$C$6,"入庫後も "&amp;TEXT($CC239,"m/d")&amp;"("&amp;CHOOSE(WEEKDAY($CC239),"日","月","火","水","木","金","土")&amp;")"&amp;" に切れる　もう1便を至急発注","入庫後も "&amp;TEXT($CC239,"m/d")&amp;"("&amp;CHOOSE(WEEKDAY($CC239),"日","月","火","水","木","金","土")&amp;")"&amp;" に切れる　"&amp;TEXT($CC239-N('設定'!$C$7),"m/d")&amp;"("&amp;CHOOSE(WEEKDAY($CC239-N('設定'!$C$7)),"日","月","火","水","木","金","土")&amp;")"&amp;" までに次を発注")))</f>
        <v/>
      </c>
      <c r="CP239">
        <f>IF($C239="","",IF('設定'!$C$6="","？ ①在庫を貼る に今日のCSVが貼られていない",IF($CS239=1,"－ 今日のCSVに無い（終売？）",IF($L239&lt;0,"● 在庫がマイナス　数えて「数えた在庫」に入れる",IF($L239=0,"● 在庫なし　至急発注",IF($M239="","？ 減り数が未設定（商品マスタ）",IF($B$3=0,"？ 動員が未入力（動員を入れる）",IF($CA239="","○ 14日以上もつ",IF($BZ239&lt;N('設定'!$C$7),"● "&amp;TEXT($CA239,"m/d")&amp;"("&amp;CHOOSE(WEEKDAY($CA239),"日","月","火","水","木","金","土")&amp;")"&amp;" に切れる　至急発注",IF($BZ239=N('設定'!$C$7),"● "&amp;TEXT($CA239,"m/d")&amp;"("&amp;CHOOSE(WEEKDAY($CA239),"日","月","火","水","木","金","土")&amp;")"&amp;" に切れる　今日発注","△ "&amp;TEXT($CA239,"m/d")&amp;"("&amp;CHOOSE(WEEKDAY($CA239),"日","月","火","水","木","金","土")&amp;")"&amp;" に切れる　"&amp;TEXT($CA239-N('設定'!$C$7),"m/d")&amp;"("&amp;CHOOSE(WEEKDAY($CA239-N('設定'!$C$7)),"日","月","火","水","木","金","土")&amp;")"&amp;" までに発注"))))))))))</f>
        <v/>
      </c>
      <c r="CQ239">
        <f>IF($C239="","",IF(AND($P239="",$Q239="",$S239="",$T239=""),"",IF(AND($P239="",$Q239=""),"⚠ 先に1便目（左の入庫日・入庫数）に入れてください",IF($CI239&lt;&gt;"",$CI239,IF($CJ239&lt;&gt;"",$CJ239,IF($M239="","？ 減り数が未設定（発注書には載ります）",IF($B$3=0,"？ 動員が未入力（発注書には載ります）",IF(AND($CA239&lt;&gt;"",$P239&gt;$CA239),IF($P239&gt;'設定'!$C$6+N('設定'!$C$7),"● "&amp;TEXT($P239,"m/d")&amp;"("&amp;CHOOSE(WEEKDAY($P239),"日","月","火","水","木","金","土")&amp;")"&amp;" の入庫では間に合わない（"&amp;TEXT($CA239,"m/d")&amp;"("&amp;CHOOSE(WEEKDAY($CA239),"日","月","火","水","木","金","土")&amp;")"&amp;" に切れる）　入庫日を早める","△ 欠品 "&amp;TEXT($CA239,"m/d")&amp;"("&amp;CHOOSE(WEEKDAY($CA239),"日","月","火","水","木","金","土")&amp;")"&amp;"〜"&amp;TEXT($P239-1,"m/d")&amp;"("&amp;CHOOSE(WEEKDAY($P239-1),"日","月","火","水","木","金","土")&amp;")"&amp;"　"&amp;$CO239),IF($CC239="","○ "&amp;TEXT($P239,"m/d")&amp;"("&amp;CHOOSE(WEEKDAY($P239),"日","月","火","水","木","金","土")&amp;")"&amp;" 入庫で 14日以上もつ",IF($CC239-N('設定'!$C$7)&lt;='設定'!$C$6,"● 入庫しても "&amp;TEXT($CC239,"m/d")&amp;"("&amp;CHOOSE(WEEKDAY($CC239),"日","月","火","水","木","金","土")&amp;")"&amp;" に切れる　もう1便を至急発注（2便目に入れる）","△ 入庫しても "&amp;TEXT($CC239,"m/d")&amp;"("&amp;CHOOSE(WEEKDAY($CC239),"日","月","火","水","木","金","土")&amp;")"&amp;" に切れる　"&amp;TEXT($CC239-N('設定'!$C$7),"m/d")&amp;"("&amp;CHOOSE(WEEKDAY($CC239-N('設定'!$C$7)),"日","月","火","水","木","金","土")&amp;")"&amp;" までに次を発注（2便目に入れる）"))))))))))</f>
        <v/>
      </c>
      <c r="CR239">
        <f>IF($C239="","",IF($G239&gt;1,"ｹｰｽ("&amp;$G239&amp;"入)","個"))</f>
        <v/>
      </c>
      <c r="CS239">
        <f>IF($C239="",0,IF(COUNTIFS('①在庫を貼る'!$V$6:$V$10005,'設定'!$C$4,'①在庫を貼る'!$W$6:$W$10005,$C239)=0,1,0))</f>
        <v/>
      </c>
      <c r="CT239">
        <f>IF(AND($CK239=1,OR('③発注書'!$C$4="すべて",'③発注書'!$C$4="",$F239='③発注書'!$C$4)),N($CT238)+1,N($CT238))</f>
        <v/>
      </c>
      <c r="CU239">
        <f>IF(AND($CL239=1,OR('③発注書'!$C$4="すべて",'③発注書'!$C$4="",$F239='③発注書'!$C$4)),N($CU238)+1,N($CU238))</f>
        <v/>
      </c>
      <c r="CV239">
        <f>IF($C239="",0,IF(COUNTIFS('①在庫を貼る'!$V$6:$V$10005,'設定'!$C$4,'①在庫を貼る'!$W$6:$W$10005,$C239)&gt;0,1,0))</f>
        <v/>
      </c>
      <c r="CW239">
        <f>IF($C239="",0,IF(COUNTIFS('月1回_1ヶ月前の在庫'!$V$6:$V$10005,'設定'!$C$4,'月1回_1ヶ月前の在庫'!$W$6:$W$10005,$C239)&gt;0,1,0))</f>
        <v/>
      </c>
      <c r="CX239">
        <f>IF($C239="",0,IF(COUNTIFS('月1回_2ヶ月前の在庫'!$V$6:$V$10005,'設定'!$C$4,'月1回_2ヶ月前の在庫'!$W$6:$W$10005,$C239)&gt;0,1,0))</f>
        <v/>
      </c>
      <c r="CY239">
        <f>IF(OR($C239="",'設定'!$C$12=""),"",IF('設定'!$C$13="",IF(AND($CV239=1,$CW239=0),"新商品（今月から）",IF(AND($CV239=0,$CW239=1),"終売（今月から）","")),IF(AND($CV239=1,$CW239=0,$CX239=0),"新商品（今月から）",IF(AND($CV239=1,$CW239=1,$CX239=0),"新商品（先月から）",IF(AND($CV239=0,$CW239=1,$CX239=1),"終売（今月から）",IF(AND($CV239=0,$CW239=0,$CX239=1),"終売（先月から）",IF(AND($CV239=1,$CW239=0,$CX239=1),"復活（先月は無し）","")))))))</f>
        <v/>
      </c>
    </row>
    <row r="240">
      <c r="B240">
        <f>IF(235&lt;='設定'!$C$11,235,"")</f>
        <v/>
      </c>
      <c r="C240">
        <f>IF($B240="","",IF($B240&lt;='設定'!$C$20,INDEX('商品マスタ'!$B$6:$B$1005,MATCH($B240,'商品マスタ'!$M$6:$M$1005,0)),IF($B240&lt;='設定'!$C$20+'設定'!$C$17,INDEX('①在庫を貼る'!$W$6:$W$10005,MATCH($B240-'設定'!$C$20,'①在庫を貼る'!$U$6:$U$10005,0)),IF($B240&lt;='設定'!$C$20+'設定'!$C$17+'設定'!$C$18,INDEX('月1回_1ヶ月前の在庫'!$W$6:$W$10005,MATCH($B240-'設定'!$C$20-'設定'!$C$17,'月1回_1ヶ月前の在庫'!$U$6:$U$10005,0)),INDEX('月1回_2ヶ月前の在庫'!$W$6:$W$10005,MATCH($B240-'設定'!$C$20-'設定'!$C$17-'設定'!$C$18,'月1回_2ヶ月前の在庫'!$U$6:$U$10005,0))))))</f>
        <v/>
      </c>
      <c r="D240">
        <f>IF($C240="","",IFERROR(IF(INDEX('商品マスタ'!$C$6:$C$1005,MATCH($C240,'商品マスタ'!$B$6:$B$1005,0))="",IFERROR(INDEX('①在庫を貼る'!$J$6:$J$10005,MATCH($C240,'①在庫を貼る'!$W$6:$W$10005,0)),IFERROR(INDEX('月1回_1ヶ月前の在庫'!$J$6:$J$10005,MATCH($C240,'月1回_1ヶ月前の在庫'!$W$6:$W$10005,0)),IFERROR(INDEX('月1回_2ヶ月前の在庫'!$J$6:$J$10005,MATCH($C240,'月1回_2ヶ月前の在庫'!$W$6:$W$10005,0)),""))),INDEX('商品マスタ'!$C$6:$C$1005,MATCH($C240,'商品マスタ'!$B$6:$B$1005,0))),IFERROR(INDEX('①在庫を貼る'!$J$6:$J$10005,MATCH($C240,'①在庫を貼る'!$W$6:$W$10005,0)),IFERROR(INDEX('月1回_1ヶ月前の在庫'!$J$6:$J$10005,MATCH($C240,'月1回_1ヶ月前の在庫'!$W$6:$W$10005,0)),IFERROR(INDEX('月1回_2ヶ月前の在庫'!$J$6:$J$10005,MATCH($C240,'月1回_2ヶ月前の在庫'!$W$6:$W$10005,0)),"")))))</f>
        <v/>
      </c>
      <c r="E240">
        <f>IF($C240="","",IFERROR(IF(INDEX('商品マスタ'!$D$6:$D$1005,MATCH($C240,'商品マスタ'!$B$6:$B$1005,0))="",IFERROR(INDEX('①在庫を貼る'!$H$6:$H$10005,MATCH($C240,'①在庫を貼る'!$W$6:$W$10005,0)),IFERROR(INDEX('月1回_1ヶ月前の在庫'!$H$6:$H$10005,MATCH($C240,'月1回_1ヶ月前の在庫'!$W$6:$W$10005,0)),IFERROR(INDEX('月1回_2ヶ月前の在庫'!$H$6:$H$10005,MATCH($C240,'月1回_2ヶ月前の在庫'!$W$6:$W$10005,0)),""))),INDEX('商品マスタ'!$D$6:$D$1005,MATCH($C240,'商品マスタ'!$B$6:$B$1005,0))),IFERROR(INDEX('①在庫を貼る'!$H$6:$H$10005,MATCH($C240,'①在庫を貼る'!$W$6:$W$10005,0)),IFERROR(INDEX('月1回_1ヶ月前の在庫'!$H$6:$H$10005,MATCH($C240,'月1回_1ヶ月前の在庫'!$W$6:$W$10005,0)),IFERROR(INDEX('月1回_2ヶ月前の在庫'!$H$6:$H$10005,MATCH($C240,'月1回_2ヶ月前の在庫'!$W$6:$W$10005,0)),"")))))</f>
        <v/>
      </c>
      <c r="F240">
        <f>IF($C240="","",IFERROR(IF(INDEX('商品マスタ'!$E$6:$E$1005,MATCH($C240,'商品マスタ'!$B$6:$B$1005,0))="",IFERROR(INDEX('①在庫を貼る'!$E$6:$E$10005,MATCH($C240,'①在庫を貼る'!$W$6:$W$10005,0)),IFERROR(INDEX('月1回_1ヶ月前の在庫'!$E$6:$E$10005,MATCH($C240,'月1回_1ヶ月前の在庫'!$W$6:$W$10005,0)),IFERROR(INDEX('月1回_2ヶ月前の在庫'!$E$6:$E$10005,MATCH($C240,'月1回_2ヶ月前の在庫'!$W$6:$W$10005,0)),""))),INDEX('商品マスタ'!$E$6:$E$1005,MATCH($C240,'商品マスタ'!$B$6:$B$1005,0))),IFERROR(INDEX('①在庫を貼る'!$E$6:$E$10005,MATCH($C240,'①在庫を貼る'!$W$6:$W$10005,0)),IFERROR(INDEX('月1回_1ヶ月前の在庫'!$E$6:$E$10005,MATCH($C240,'月1回_1ヶ月前の在庫'!$W$6:$W$10005,0)),IFERROR(INDEX('月1回_2ヶ月前の在庫'!$E$6:$E$10005,MATCH($C240,'月1回_2ヶ月前の在庫'!$W$6:$W$10005,0)),"")))))</f>
        <v/>
      </c>
      <c r="G240">
        <f>IF($C240="","",MAX(1,N(IFERROR(IF(INDEX('商品マスタ'!$F$6:$F$1005,MATCH($C240,'商品マスタ'!$B$6:$B$1005,0))="",IF(COUNTIFS('①在庫を貼る'!$V$6:$V$10005,'設定'!$C$4,'①在庫を貼る'!$W$6:$W$10005,$C240)&gt;0,SUMIFS('①在庫を貼る'!$K$6:$K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K$6:$K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K$6:$K$10005,'月1回_2ヶ月前の在庫'!$V$6:$V$10005,'設定'!$C$4,'月1回_2ヶ月前の在庫'!$W$6:$W$10005,$C240)/COUNTIFS('月1回_2ヶ月前の在庫'!$V$6:$V$10005,'設定'!$C$4,'月1回_2ヶ月前の在庫'!$W$6:$W$10005,$C240),0))),INDEX('商品マスタ'!$F$6:$F$1005,MATCH($C240,'商品マスタ'!$B$6:$B$1005,0))),IF(COUNTIFS('①在庫を貼る'!$V$6:$V$10005,'設定'!$C$4,'①在庫を貼る'!$W$6:$W$10005,$C240)&gt;0,SUMIFS('①在庫を貼る'!$K$6:$K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K$6:$K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K$6:$K$10005,'月1回_2ヶ月前の在庫'!$V$6:$V$10005,'設定'!$C$4,'月1回_2ヶ月前の在庫'!$W$6:$W$10005,$C240)/COUNTIFS('月1回_2ヶ月前の在庫'!$V$6:$V$10005,'設定'!$C$4,'月1回_2ヶ月前の在庫'!$W$6:$W$10005,$C240),0)))))))</f>
        <v/>
      </c>
      <c r="H240">
        <f>IF($C240="","",N(IFERROR(IF(INDEX('商品マスタ'!$G$6:$G$1005,MATCH($C240,'商品マスタ'!$B$6:$B$1005,0))="",IF(COUNTIFS('①在庫を貼る'!$V$6:$V$10005,'設定'!$C$4,'①在庫を貼る'!$W$6:$W$10005,$C240)&gt;0,SUMIFS('①在庫を貼る'!$Q$6:$Q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Q$6:$Q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Q$6:$Q$10005,'月1回_2ヶ月前の在庫'!$V$6:$V$10005,'設定'!$C$4,'月1回_2ヶ月前の在庫'!$W$6:$W$10005,$C240)/COUNTIFS('月1回_2ヶ月前の在庫'!$V$6:$V$10005,'設定'!$C$4,'月1回_2ヶ月前の在庫'!$W$6:$W$10005,$C240),0))),INDEX('商品マスタ'!$G$6:$G$1005,MATCH($C240,'商品マスタ'!$B$6:$B$1005,0))),IF(COUNTIFS('①在庫を貼る'!$V$6:$V$10005,'設定'!$C$4,'①在庫を貼る'!$W$6:$W$10005,$C240)&gt;0,SUMIFS('①在庫を貼る'!$Q$6:$Q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Q$6:$Q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Q$6:$Q$10005,'月1回_2ヶ月前の在庫'!$V$6:$V$10005,'設定'!$C$4,'月1回_2ヶ月前の在庫'!$W$6:$W$10005,$C240)/COUNTIFS('月1回_2ヶ月前の在庫'!$V$6:$V$10005,'設定'!$C$4,'月1回_2ヶ月前の在庫'!$W$6:$W$10005,$C240),0))))))</f>
        <v/>
      </c>
      <c r="I240">
        <f>IF($C240="","",IF(COUNTIFS('①在庫を貼る'!$V$6:$V$10005,'設定'!$C$4,'①在庫を貼る'!$W$6:$W$10005,$C240)=0,"",SUMIFS('①在庫を貼る'!$N$6:$N$10005,'①在庫を貼る'!$V$6:$V$10005,'設定'!$C$4,'①在庫を貼る'!$W$6:$W$10005,$C240)))</f>
        <v/>
      </c>
      <c r="J240">
        <f>IF($C240="","",IF('②発注する'!$AD244="","",'②発注する'!$AD244))</f>
        <v/>
      </c>
      <c r="K240" s="90">
        <f>IF($C240="","",IF('②発注する'!$AE244="","",'②発注する'!$AE244))</f>
        <v/>
      </c>
      <c r="L240">
        <f>IF($C240="","",IF(AND(ISNUMBER($J240),ISNUMBER($K240),$K240&gt;='設定'!$C$6),$J240,N($I240)))</f>
        <v/>
      </c>
      <c r="M240">
        <f>IF($C240="","",IFERROR(IF(N(INDEX('商品マスタ'!$J$6:$J$1005,MATCH($C240,'商品マスタ'!$B$6:$B$1005,0)))&gt;0,INDEX('商品マスタ'!$J$6:$J$1005,MATCH($C240,'商品マスタ'!$B$6:$B$1005,0)),""),""))</f>
        <v/>
      </c>
      <c r="N240">
        <f>IF($C240="","",IFERROR(IF(N(INDEX('商品マスタ'!$H$6:$H$1005,MATCH($C240,'商品マスタ'!$B$6:$B$1005,0)))&gt;0,INDEX('商品マスタ'!$H$6:$H$1005,MATCH($C240,'商品マスタ'!$B$6:$B$1005,0)),""),""))</f>
        <v/>
      </c>
      <c r="O240">
        <f>IF($C240="","",IF($N240&lt;&gt;"",$N240*$G240,IF(N(IF(COUNTIFS('①在庫を貼る'!$V$6:$V$10005,'設定'!$C$4,'①在庫を貼る'!$W$6:$W$10005,$C240)&gt;0,SUMIFS('①在庫を貼る'!$O$6:$O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O$6:$O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O$6:$O$10005,'月1回_2ヶ月前の在庫'!$V$6:$V$10005,'設定'!$C$4,'月1回_2ヶ月前の在庫'!$W$6:$W$10005,$C240)/COUNTIFS('月1回_2ヶ月前の在庫'!$V$6:$V$10005,'設定'!$C$4,'月1回_2ヶ月前の在庫'!$W$6:$W$10005,$C240),0))))&gt;0,N(IF(COUNTIFS('①在庫を貼る'!$V$6:$V$10005,'設定'!$C$4,'①在庫を貼る'!$W$6:$W$10005,$C240)&gt;0,SUMIFS('①在庫を貼る'!$O$6:$O$10005,'①在庫を貼る'!$V$6:$V$10005,'設定'!$C$4,'①在庫を貼る'!$W$6:$W$10005,$C240)/COUNTIFS('①在庫を貼る'!$V$6:$V$10005,'設定'!$C$4,'①在庫を貼る'!$W$6:$W$10005,$C240),IF(COUNTIFS('月1回_1ヶ月前の在庫'!$V$6:$V$10005,'設定'!$C$4,'月1回_1ヶ月前の在庫'!$W$6:$W$10005,$C240)&gt;0,SUMIFS('月1回_1ヶ月前の在庫'!$O$6:$O$10005,'月1回_1ヶ月前の在庫'!$V$6:$V$10005,'設定'!$C$4,'月1回_1ヶ月前の在庫'!$W$6:$W$10005,$C240)/COUNTIFS('月1回_1ヶ月前の在庫'!$V$6:$V$10005,'設定'!$C$4,'月1回_1ヶ月前の在庫'!$W$6:$W$10005,$C240),IF(COUNTIFS('月1回_2ヶ月前の在庫'!$V$6:$V$10005,'設定'!$C$4,'月1回_2ヶ月前の在庫'!$W$6:$W$10005,$C240)&gt;0,SUMIFS('月1回_2ヶ月前の在庫'!$O$6:$O$10005,'月1回_2ヶ月前の在庫'!$V$6:$V$10005,'設定'!$C$4,'月1回_2ヶ月前の在庫'!$W$6:$W$10005,$C240)/COUNTIFS('月1回_2ヶ月前の在庫'!$V$6:$V$10005,'設定'!$C$4,'月1回_2ヶ月前の在庫'!$W$6:$W$10005,$C240),0)))),"")))</f>
        <v/>
      </c>
      <c r="P240" s="90">
        <f>IF($C240="","",IF('②発注する'!$I244="","",'②発注する'!$I244))</f>
        <v/>
      </c>
      <c r="Q240">
        <f>IF($C240="","",IF('②発注する'!$J244="","",'②発注する'!$J244))</f>
        <v/>
      </c>
      <c r="R240">
        <f>IF($C240="",0,IF(AND(ISNUMBER($P240),ISNUMBER($Q240)),MAX(0,$Q240)*$G240,0))</f>
        <v/>
      </c>
      <c r="S240" s="90">
        <f>IF($C240="","",IF('②発注する'!$M244="","",'②発注する'!$M244))</f>
        <v/>
      </c>
      <c r="T240">
        <f>IF($C240="","",IF('②発注する'!$N244="","",'②発注する'!$N244))</f>
        <v/>
      </c>
      <c r="U240">
        <f>IF($C240="",0,IF(AND(ISNUMBER($S240),ISNUMBER($T240)),MAX(0,$T240)*$G240,0))</f>
        <v/>
      </c>
      <c r="V240">
        <f>IF($C240="",0,IF($M240="",0,MAX(0,$M240)*MAX(0,V$4)/100))</f>
        <v/>
      </c>
      <c r="W240">
        <f>IF($C240="",0,IF($M240="",0,MAX(0,$M240)*MAX(0,W$4)/100))</f>
        <v/>
      </c>
      <c r="X240">
        <f>IF($C240="",0,IF($M240="",0,MAX(0,$M240)*MAX(0,X$4)/100))</f>
        <v/>
      </c>
      <c r="Y240">
        <f>IF($C240="",0,IF($M240="",0,MAX(0,$M240)*MAX(0,Y$4)/100))</f>
        <v/>
      </c>
      <c r="Z240">
        <f>IF($C240="",0,IF($M240="",0,MAX(0,$M240)*MAX(0,Z$4)/100))</f>
        <v/>
      </c>
      <c r="AA240">
        <f>IF($C240="",0,IF($M240="",0,MAX(0,$M240)*MAX(0,AA$4)/100))</f>
        <v/>
      </c>
      <c r="AB240">
        <f>IF($C240="",0,IF($M240="",0,MAX(0,$M240)*MAX(0,AB$4)/100))</f>
        <v/>
      </c>
      <c r="AC240">
        <f>IF($C240="",0,IF($M240="",0,MAX(0,$M240)*MAX(0,AC$4)/100))</f>
        <v/>
      </c>
      <c r="AD240">
        <f>IF($C240="",0,IF($M240="",0,MAX(0,$M240)*MAX(0,AD$4)/100))</f>
        <v/>
      </c>
      <c r="AE240">
        <f>IF($C240="",0,IF($M240="",0,MAX(0,$M240)*MAX(0,AE$4)/100))</f>
        <v/>
      </c>
      <c r="AF240">
        <f>IF($C240="",0,IF($M240="",0,MAX(0,$M240)*MAX(0,AF$4)/100))</f>
        <v/>
      </c>
      <c r="AG240">
        <f>IF($C240="",0,IF($M240="",0,MAX(0,$M240)*MAX(0,AG$4)/100))</f>
        <v/>
      </c>
      <c r="AH240">
        <f>IF($C240="",0,IF($M240="",0,MAX(0,$M240)*MAX(0,AH$4)/100))</f>
        <v/>
      </c>
      <c r="AI240">
        <f>IF($C240="",0,IF($M240="",0,MAX(0,$M240)*MAX(0,AI$4)/100))</f>
        <v/>
      </c>
      <c r="AJ240">
        <f>IF($C240="",0,MAX(0,MAX(0,N($L240))-$V240))</f>
        <v/>
      </c>
      <c r="AK240">
        <f>IF($C240="",0,MAX(0,$AJ240-$W240))</f>
        <v/>
      </c>
      <c r="AL240">
        <f>IF($C240="",0,MAX(0,$AK240-$X240))</f>
        <v/>
      </c>
      <c r="AM240">
        <f>IF($C240="",0,MAX(0,$AL240-$Y240))</f>
        <v/>
      </c>
      <c r="AN240">
        <f>IF($C240="",0,MAX(0,$AM240-$Z240))</f>
        <v/>
      </c>
      <c r="AO240">
        <f>IF($C240="",0,MAX(0,$AN240-$AA240))</f>
        <v/>
      </c>
      <c r="AP240">
        <f>IF($C240="",0,MAX(0,$AO240-$AB240))</f>
        <v/>
      </c>
      <c r="AQ240">
        <f>IF($C240="",0,MAX(0,$AP240-$AC240))</f>
        <v/>
      </c>
      <c r="AR240">
        <f>IF($C240="",0,MAX(0,$AQ240-$AD240))</f>
        <v/>
      </c>
      <c r="AS240">
        <f>IF($C240="",0,MAX(0,$AR240-$AE240))</f>
        <v/>
      </c>
      <c r="AT240">
        <f>IF($C240="",0,MAX(0,$AS240-$AF240))</f>
        <v/>
      </c>
      <c r="AU240">
        <f>IF($C240="",0,MAX(0,$AT240-$AG240))</f>
        <v/>
      </c>
      <c r="AV240">
        <f>IF($C240="",0,MAX(0,$AU240-$AH240))</f>
        <v/>
      </c>
      <c r="AW240">
        <f>IF($C240="",0,MAX(0,$AV240-$AI240))</f>
        <v/>
      </c>
      <c r="AX240">
        <f>IF($C240="",0,MAX(0,MAX(0,N($L240))+IF($P240=V$3,$R240,0)+IF($S240=V$3,$U240,0)-$V240))</f>
        <v/>
      </c>
      <c r="AY240">
        <f>IF($C240="",0,MAX(0,$AX240+IF($P240=W$3,$R240,0)+IF($S240=W$3,$U240,0)-$W240))</f>
        <v/>
      </c>
      <c r="AZ240">
        <f>IF($C240="",0,MAX(0,$AY240+IF($P240=X$3,$R240,0)+IF($S240=X$3,$U240,0)-$X240))</f>
        <v/>
      </c>
      <c r="BA240">
        <f>IF($C240="",0,MAX(0,$AZ240+IF($P240=Y$3,$R240,0)+IF($S240=Y$3,$U240,0)-$Y240))</f>
        <v/>
      </c>
      <c r="BB240">
        <f>IF($C240="",0,MAX(0,$BA240+IF($P240=Z$3,$R240,0)+IF($S240=Z$3,$U240,0)-$Z240))</f>
        <v/>
      </c>
      <c r="BC240">
        <f>IF($C240="",0,MAX(0,$BB240+IF($P240=AA$3,$R240,0)+IF($S240=AA$3,$U240,0)-$AA240))</f>
        <v/>
      </c>
      <c r="BD240">
        <f>IF($C240="",0,MAX(0,$BC240+IF($P240=AB$3,$R240,0)+IF($S240=AB$3,$U240,0)-$AB240))</f>
        <v/>
      </c>
      <c r="BE240">
        <f>IF($C240="",0,MAX(0,$BD240+IF($P240=AC$3,$R240,0)+IF($S240=AC$3,$U240,0)-$AC240))</f>
        <v/>
      </c>
      <c r="BF240">
        <f>IF($C240="",0,MAX(0,$BE240+IF($P240=AD$3,$R240,0)+IF($S240=AD$3,$U240,0)-$AD240))</f>
        <v/>
      </c>
      <c r="BG240">
        <f>IF($C240="",0,MAX(0,$BF240+IF($P240=AE$3,$R240,0)+IF($S240=AE$3,$U240,0)-$AE240))</f>
        <v/>
      </c>
      <c r="BH240">
        <f>IF($C240="",0,MAX(0,$BG240+IF($P240=AF$3,$R240,0)+IF($S240=AF$3,$U240,0)-$AF240))</f>
        <v/>
      </c>
      <c r="BI240">
        <f>IF($C240="",0,MAX(0,$BH240+IF($P240=AG$3,$R240,0)+IF($S240=AG$3,$U240,0)-$AG240))</f>
        <v/>
      </c>
      <c r="BJ240">
        <f>IF($C240="",0,MAX(0,$BI240+IF($P240=AH$3,$R240,0)+IF($S240=AH$3,$U240,0)-$AH240))</f>
        <v/>
      </c>
      <c r="BK240">
        <f>IF($C240="",0,MAX(0,$BJ240+IF($P240=AI$3,$R240,0)+IF($S240=AI$3,$U240,0)-$AI240))</f>
        <v/>
      </c>
      <c r="BL240">
        <f>IF($C240="",99,IF(AND($AX240&lt;1,V$3&gt;=MAX(N($P240),N($S240))),0,99))</f>
        <v/>
      </c>
      <c r="BM240">
        <f>IF($C240="",99,IF(AND($AY240&lt;1,W$3&gt;=MAX(N($P240),N($S240))),1,99))</f>
        <v/>
      </c>
      <c r="BN240">
        <f>IF($C240="",99,IF(AND($AZ240&lt;1,X$3&gt;=MAX(N($P240),N($S240))),2,99))</f>
        <v/>
      </c>
      <c r="BO240">
        <f>IF($C240="",99,IF(AND($BA240&lt;1,Y$3&gt;=MAX(N($P240),N($S240))),3,99))</f>
        <v/>
      </c>
      <c r="BP240">
        <f>IF($C240="",99,IF(AND($BB240&lt;1,Z$3&gt;=MAX(N($P240),N($S240))),4,99))</f>
        <v/>
      </c>
      <c r="BQ240">
        <f>IF($C240="",99,IF(AND($BC240&lt;1,AA$3&gt;=MAX(N($P240),N($S240))),5,99))</f>
        <v/>
      </c>
      <c r="BR240">
        <f>IF($C240="",99,IF(AND($BD240&lt;1,AB$3&gt;=MAX(N($P240),N($S240))),6,99))</f>
        <v/>
      </c>
      <c r="BS240">
        <f>IF($C240="",99,IF(AND($BE240&lt;1,AC$3&gt;=MAX(N($P240),N($S240))),7,99))</f>
        <v/>
      </c>
      <c r="BT240">
        <f>IF($C240="",99,IF(AND($BF240&lt;1,AD$3&gt;=MAX(N($P240),N($S240))),8,99))</f>
        <v/>
      </c>
      <c r="BU240">
        <f>IF($C240="",99,IF(AND($BG240&lt;1,AE$3&gt;=MAX(N($P240),N($S240))),9,99))</f>
        <v/>
      </c>
      <c r="BV240">
        <f>IF($C240="",99,IF(AND($BH240&lt;1,AF$3&gt;=MAX(N($P240),N($S240))),10,99))</f>
        <v/>
      </c>
      <c r="BW240">
        <f>IF($C240="",99,IF(AND($BI240&lt;1,AG$3&gt;=MAX(N($P240),N($S240))),11,99))</f>
        <v/>
      </c>
      <c r="BX240">
        <f>IF($C240="",99,IF(AND($BJ240&lt;1,AH$3&gt;=MAX(N($P240),N($S240))),12,99))</f>
        <v/>
      </c>
      <c r="BY240">
        <f>IF($C240="",99,IF(AND($BK240&lt;1,AI$3&gt;=MAX(N($P240),N($S240))),13,99))</f>
        <v/>
      </c>
      <c r="BZ240">
        <f>IF(OR($C240="",$M240=""),"",COUNTIF($AJ240:$AW240,"&gt;=1"))</f>
        <v/>
      </c>
      <c r="CA240" s="90">
        <f>IF($BZ240="","",IF($BZ240&gt;=14,"",'設定'!$C$6+$BZ240))</f>
        <v/>
      </c>
      <c r="CB240">
        <f>IF(OR($C240="",$M240=""),"",MIN($BL240:$BY240))</f>
        <v/>
      </c>
      <c r="CC240" s="90">
        <f>IF($CB240="","",IF($CB240&gt;=99,"",'設定'!$C$6+$CB240))</f>
        <v/>
      </c>
      <c r="CD240">
        <f>IF(OR($C240="",$M240=""),"",AVERAGE($V240:$AI240))</f>
        <v/>
      </c>
      <c r="CE240">
        <f>IF($C240="","",IFERROR(IF(MATCH(IF(ISNUMBER($P240),$P240,'設定'!$C$6+N('設定'!$C$7)),$V$3:$AI$3,0)=1,MAX(0,N($L240)),INDEX($AJ240:$AW240,MATCH(IF(ISNUMBER($P240),$P240,'設定'!$C$6+N('設定'!$C$7)),$V$3:$AI$3,0)-1)),""))</f>
        <v/>
      </c>
      <c r="CF240">
        <f>IF(OR($C240="",$O240="",$CE240=""),"",IF($O240-$CE240&lt;=0,0,ROUNDUP(($O240-$CE240)/$G240,0)))</f>
        <v/>
      </c>
      <c r="CG240">
        <f>IF(OR($C240="",$CF240="",NOT(ISNUMBER($Q240))),0,MAX(0,$Q240-$CF240))</f>
        <v/>
      </c>
      <c r="CH240">
        <f>IF(OR($C240="",$O240="",$U240=0),0,IFERROR(ROUNDUP(MAX(0,IF(MATCH($S240,$V$3:$AI$3,0)=1,MAX(0,N($L240)),INDEX($AX240:$BK240,MATCH($S240,$V$3:$AI$3,0)-1))+$U240-$O240)/$G240,0),0))</f>
        <v/>
      </c>
      <c r="CI240">
        <f>IF($C240="","",IF(AND($P240="",$Q240=""),"",IF($P240="","⚠ 入庫日を ▼ から選んでください",IF(NOT(ISNUMBER($P240)),"⚠ 入庫日は ▼ から選んでください",IF($P240&lt;N('設定'!$C$6),"⚠ 入庫日が過去です（もう在庫に入っています）→ 消してください",IF($P240&gt;N('設定'!$C$6)+13,"⚠ 入庫日が14日より先です",IF(N($Q240)&lt;=0,"⚠ 入庫数を入れてください",IF($CG240&gt;0,"⚠ 目安より "&amp;$CG240&amp;" 多い（定数を超える）→ 減らす",""))))))))</f>
        <v/>
      </c>
      <c r="CJ240">
        <f>IF($C240="","",IF(AND($S240="",$T240=""),"",IF($S240="","⚠ 2便目：入庫日を ▼ から選んでください",IF(NOT(ISNUMBER($S240)),"⚠ 2便目：入庫日は ▼ から選んでください",IF($S240&lt;N('設定'!$C$6),"⚠ 2便目：入庫日が過去です（もう在庫に入っています）→ 消してください",IF($S240&gt;N('設定'!$C$6)+13,"⚠ 2便目：入庫日が14日より先です",IF(N($T240)&lt;=0,"⚠ 2便目：入庫数を入れてください",IF($CH240&gt;0,"⚠ 2便目：定数を "&amp;$CH240&amp;" ケース超える → 減らす",""))))))))</f>
        <v/>
      </c>
      <c r="CK240">
        <f>IF(AND($CI240="",N($Q240)&gt;0,ISNUMBER($P240)),1,0)</f>
        <v/>
      </c>
      <c r="CL240">
        <f>IF(AND($CJ240="",N($T240)&gt;0,ISNUMBER($S240)),1,0)</f>
        <v/>
      </c>
      <c r="CM240">
        <f>IF(OR($CK240=1,$CL240=1),1,0)</f>
        <v/>
      </c>
      <c r="CN240">
        <f>IF($C240="",0,($CK240*$R240+$CL240*$U240)*N($H240))</f>
        <v/>
      </c>
      <c r="CO240">
        <f>IF($C240="","",IF($CC240="","入庫後は 14日以上もつ",IF($CC240-N('設定'!$C$7)&lt;='設定'!$C$6,"入庫後も "&amp;TEXT($CC240,"m/d")&amp;"("&amp;CHOOSE(WEEKDAY($CC240),"日","月","火","水","木","金","土")&amp;")"&amp;" に切れる　もう1便を至急発注","入庫後も "&amp;TEXT($CC240,"m/d")&amp;"("&amp;CHOOSE(WEEKDAY($CC240),"日","月","火","水","木","金","土")&amp;")"&amp;" に切れる　"&amp;TEXT($CC240-N('設定'!$C$7),"m/d")&amp;"("&amp;CHOOSE(WEEKDAY($CC240-N('設定'!$C$7)),"日","月","火","水","木","金","土")&amp;")"&amp;" までに次を発注")))</f>
        <v/>
      </c>
      <c r="CP240">
        <f>IF($C240="","",IF('設定'!$C$6="","？ ①在庫を貼る に今日のCSVが貼られていない",IF($CS240=1,"－ 今日のCSVに無い（終売？）",IF($L240&lt;0,"● 在庫がマイナス　数えて「数えた在庫」に入れる",IF($L240=0,"● 在庫なし　至急発注",IF($M240="","？ 減り数が未設定（商品マスタ）",IF($B$3=0,"？ 動員が未入力（動員を入れる）",IF($CA240="","○ 14日以上もつ",IF($BZ240&lt;N('設定'!$C$7),"● "&amp;TEXT($CA240,"m/d")&amp;"("&amp;CHOOSE(WEEKDAY($CA240),"日","月","火","水","木","金","土")&amp;")"&amp;" に切れる　至急発注",IF($BZ240=N('設定'!$C$7),"● "&amp;TEXT($CA240,"m/d")&amp;"("&amp;CHOOSE(WEEKDAY($CA240),"日","月","火","水","木","金","土")&amp;")"&amp;" に切れる　今日発注","△ "&amp;TEXT($CA240,"m/d")&amp;"("&amp;CHOOSE(WEEKDAY($CA240),"日","月","火","水","木","金","土")&amp;")"&amp;" に切れる　"&amp;TEXT($CA240-N('設定'!$C$7),"m/d")&amp;"("&amp;CHOOSE(WEEKDAY($CA240-N('設定'!$C$7)),"日","月","火","水","木","金","土")&amp;")"&amp;" までに発注"))))))))))</f>
        <v/>
      </c>
      <c r="CQ240">
        <f>IF($C240="","",IF(AND($P240="",$Q240="",$S240="",$T240=""),"",IF(AND($P240="",$Q240=""),"⚠ 先に1便目（左の入庫日・入庫数）に入れてください",IF($CI240&lt;&gt;"",$CI240,IF($CJ240&lt;&gt;"",$CJ240,IF($M240="","？ 減り数が未設定（発注書には載ります）",IF($B$3=0,"？ 動員が未入力（発注書には載ります）",IF(AND($CA240&lt;&gt;"",$P240&gt;$CA240),IF($P240&gt;'設定'!$C$6+N('設定'!$C$7),"● "&amp;TEXT($P240,"m/d")&amp;"("&amp;CHOOSE(WEEKDAY($P240),"日","月","火","水","木","金","土")&amp;")"&amp;" の入庫では間に合わない（"&amp;TEXT($CA240,"m/d")&amp;"("&amp;CHOOSE(WEEKDAY($CA240),"日","月","火","水","木","金","土")&amp;")"&amp;" に切れる）　入庫日を早める","△ 欠品 "&amp;TEXT($CA240,"m/d")&amp;"("&amp;CHOOSE(WEEKDAY($CA240),"日","月","火","水","木","金","土")&amp;")"&amp;"〜"&amp;TEXT($P240-1,"m/d")&amp;"("&amp;CHOOSE(WEEKDAY($P240-1),"日","月","火","水","木","金","土")&amp;")"&amp;"　"&amp;$CO240),IF($CC240="","○ "&amp;TEXT($P240,"m/d")&amp;"("&amp;CHOOSE(WEEKDAY($P240),"日","月","火","水","木","金","土")&amp;")"&amp;" 入庫で 14日以上もつ",IF($CC240-N('設定'!$C$7)&lt;='設定'!$C$6,"● 入庫しても "&amp;TEXT($CC240,"m/d")&amp;"("&amp;CHOOSE(WEEKDAY($CC240),"日","月","火","水","木","金","土")&amp;")"&amp;" に切れる　もう1便を至急発注（2便目に入れる）","△ 入庫しても "&amp;TEXT($CC240,"m/d")&amp;"("&amp;CHOOSE(WEEKDAY($CC240),"日","月","火","水","木","金","土")&amp;")"&amp;" に切れる　"&amp;TEXT($CC240-N('設定'!$C$7),"m/d")&amp;"("&amp;CHOOSE(WEEKDAY($CC240-N('設定'!$C$7)),"日","月","火","水","木","金","土")&amp;")"&amp;" までに次を発注（2便目に入れる）"))))))))))</f>
        <v/>
      </c>
      <c r="CR240">
        <f>IF($C240="","",IF($G240&gt;1,"ｹｰｽ("&amp;$G240&amp;"入)","個"))</f>
        <v/>
      </c>
      <c r="CS240">
        <f>IF($C240="",0,IF(COUNTIFS('①在庫を貼る'!$V$6:$V$10005,'設定'!$C$4,'①在庫を貼る'!$W$6:$W$10005,$C240)=0,1,0))</f>
        <v/>
      </c>
      <c r="CT240">
        <f>IF(AND($CK240=1,OR('③発注書'!$C$4="すべて",'③発注書'!$C$4="",$F240='③発注書'!$C$4)),N($CT239)+1,N($CT239))</f>
        <v/>
      </c>
      <c r="CU240">
        <f>IF(AND($CL240=1,OR('③発注書'!$C$4="すべて",'③発注書'!$C$4="",$F240='③発注書'!$C$4)),N($CU239)+1,N($CU239))</f>
        <v/>
      </c>
      <c r="CV240">
        <f>IF($C240="",0,IF(COUNTIFS('①在庫を貼る'!$V$6:$V$10005,'設定'!$C$4,'①在庫を貼る'!$W$6:$W$10005,$C240)&gt;0,1,0))</f>
        <v/>
      </c>
      <c r="CW240">
        <f>IF($C240="",0,IF(COUNTIFS('月1回_1ヶ月前の在庫'!$V$6:$V$10005,'設定'!$C$4,'月1回_1ヶ月前の在庫'!$W$6:$W$10005,$C240)&gt;0,1,0))</f>
        <v/>
      </c>
      <c r="CX240">
        <f>IF($C240="",0,IF(COUNTIFS('月1回_2ヶ月前の在庫'!$V$6:$V$10005,'設定'!$C$4,'月1回_2ヶ月前の在庫'!$W$6:$W$10005,$C240)&gt;0,1,0))</f>
        <v/>
      </c>
      <c r="CY240">
        <f>IF(OR($C240="",'設定'!$C$12=""),"",IF('設定'!$C$13="",IF(AND($CV240=1,$CW240=0),"新商品（今月から）",IF(AND($CV240=0,$CW240=1),"終売（今月から）","")),IF(AND($CV240=1,$CW240=0,$CX240=0),"新商品（今月から）",IF(AND($CV240=1,$CW240=1,$CX240=0),"新商品（先月から）",IF(AND($CV240=0,$CW240=1,$CX240=1),"終売（今月から）",IF(AND($CV240=0,$CW240=0,$CX240=1),"終売（先月から）",IF(AND($CV240=1,$CW240=0,$CX240=1),"復活（先月は無し）","")))))))</f>
        <v/>
      </c>
    </row>
    <row r="241">
      <c r="B241">
        <f>IF(236&lt;='設定'!$C$11,236,"")</f>
        <v/>
      </c>
      <c r="C241">
        <f>IF($B241="","",IF($B241&lt;='設定'!$C$20,INDEX('商品マスタ'!$B$6:$B$1005,MATCH($B241,'商品マスタ'!$M$6:$M$1005,0)),IF($B241&lt;='設定'!$C$20+'設定'!$C$17,INDEX('①在庫を貼る'!$W$6:$W$10005,MATCH($B241-'設定'!$C$20,'①在庫を貼る'!$U$6:$U$10005,0)),IF($B241&lt;='設定'!$C$20+'設定'!$C$17+'設定'!$C$18,INDEX('月1回_1ヶ月前の在庫'!$W$6:$W$10005,MATCH($B241-'設定'!$C$20-'設定'!$C$17,'月1回_1ヶ月前の在庫'!$U$6:$U$10005,0)),INDEX('月1回_2ヶ月前の在庫'!$W$6:$W$10005,MATCH($B241-'設定'!$C$20-'設定'!$C$17-'設定'!$C$18,'月1回_2ヶ月前の在庫'!$U$6:$U$10005,0))))))</f>
        <v/>
      </c>
      <c r="D241">
        <f>IF($C241="","",IFERROR(IF(INDEX('商品マスタ'!$C$6:$C$1005,MATCH($C241,'商品マスタ'!$B$6:$B$1005,0))="",IFERROR(INDEX('①在庫を貼る'!$J$6:$J$10005,MATCH($C241,'①在庫を貼る'!$W$6:$W$10005,0)),IFERROR(INDEX('月1回_1ヶ月前の在庫'!$J$6:$J$10005,MATCH($C241,'月1回_1ヶ月前の在庫'!$W$6:$W$10005,0)),IFERROR(INDEX('月1回_2ヶ月前の在庫'!$J$6:$J$10005,MATCH($C241,'月1回_2ヶ月前の在庫'!$W$6:$W$10005,0)),""))),INDEX('商品マスタ'!$C$6:$C$1005,MATCH($C241,'商品マスタ'!$B$6:$B$1005,0))),IFERROR(INDEX('①在庫を貼る'!$J$6:$J$10005,MATCH($C241,'①在庫を貼る'!$W$6:$W$10005,0)),IFERROR(INDEX('月1回_1ヶ月前の在庫'!$J$6:$J$10005,MATCH($C241,'月1回_1ヶ月前の在庫'!$W$6:$W$10005,0)),IFERROR(INDEX('月1回_2ヶ月前の在庫'!$J$6:$J$10005,MATCH($C241,'月1回_2ヶ月前の在庫'!$W$6:$W$10005,0)),"")))))</f>
        <v/>
      </c>
      <c r="E241">
        <f>IF($C241="","",IFERROR(IF(INDEX('商品マスタ'!$D$6:$D$1005,MATCH($C241,'商品マスタ'!$B$6:$B$1005,0))="",IFERROR(INDEX('①在庫を貼る'!$H$6:$H$10005,MATCH($C241,'①在庫を貼る'!$W$6:$W$10005,0)),IFERROR(INDEX('月1回_1ヶ月前の在庫'!$H$6:$H$10005,MATCH($C241,'月1回_1ヶ月前の在庫'!$W$6:$W$10005,0)),IFERROR(INDEX('月1回_2ヶ月前の在庫'!$H$6:$H$10005,MATCH($C241,'月1回_2ヶ月前の在庫'!$W$6:$W$10005,0)),""))),INDEX('商品マスタ'!$D$6:$D$1005,MATCH($C241,'商品マスタ'!$B$6:$B$1005,0))),IFERROR(INDEX('①在庫を貼る'!$H$6:$H$10005,MATCH($C241,'①在庫を貼る'!$W$6:$W$10005,0)),IFERROR(INDEX('月1回_1ヶ月前の在庫'!$H$6:$H$10005,MATCH($C241,'月1回_1ヶ月前の在庫'!$W$6:$W$10005,0)),IFERROR(INDEX('月1回_2ヶ月前の在庫'!$H$6:$H$10005,MATCH($C241,'月1回_2ヶ月前の在庫'!$W$6:$W$10005,0)),"")))))</f>
        <v/>
      </c>
      <c r="F241">
        <f>IF($C241="","",IFERROR(IF(INDEX('商品マスタ'!$E$6:$E$1005,MATCH($C241,'商品マスタ'!$B$6:$B$1005,0))="",IFERROR(INDEX('①在庫を貼る'!$E$6:$E$10005,MATCH($C241,'①在庫を貼る'!$W$6:$W$10005,0)),IFERROR(INDEX('月1回_1ヶ月前の在庫'!$E$6:$E$10005,MATCH($C241,'月1回_1ヶ月前の在庫'!$W$6:$W$10005,0)),IFERROR(INDEX('月1回_2ヶ月前の在庫'!$E$6:$E$10005,MATCH($C241,'月1回_2ヶ月前の在庫'!$W$6:$W$10005,0)),""))),INDEX('商品マスタ'!$E$6:$E$1005,MATCH($C241,'商品マスタ'!$B$6:$B$1005,0))),IFERROR(INDEX('①在庫を貼る'!$E$6:$E$10005,MATCH($C241,'①在庫を貼る'!$W$6:$W$10005,0)),IFERROR(INDEX('月1回_1ヶ月前の在庫'!$E$6:$E$10005,MATCH($C241,'月1回_1ヶ月前の在庫'!$W$6:$W$10005,0)),IFERROR(INDEX('月1回_2ヶ月前の在庫'!$E$6:$E$10005,MATCH($C241,'月1回_2ヶ月前の在庫'!$W$6:$W$10005,0)),"")))))</f>
        <v/>
      </c>
      <c r="G241">
        <f>IF($C241="","",MAX(1,N(IFERROR(IF(INDEX('商品マスタ'!$F$6:$F$1005,MATCH($C241,'商品マスタ'!$B$6:$B$1005,0))="",IF(COUNTIFS('①在庫を貼る'!$V$6:$V$10005,'設定'!$C$4,'①在庫を貼る'!$W$6:$W$10005,$C241)&gt;0,SUMIFS('①在庫を貼る'!$K$6:$K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K$6:$K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K$6:$K$10005,'月1回_2ヶ月前の在庫'!$V$6:$V$10005,'設定'!$C$4,'月1回_2ヶ月前の在庫'!$W$6:$W$10005,$C241)/COUNTIFS('月1回_2ヶ月前の在庫'!$V$6:$V$10005,'設定'!$C$4,'月1回_2ヶ月前の在庫'!$W$6:$W$10005,$C241),0))),INDEX('商品マスタ'!$F$6:$F$1005,MATCH($C241,'商品マスタ'!$B$6:$B$1005,0))),IF(COUNTIFS('①在庫を貼る'!$V$6:$V$10005,'設定'!$C$4,'①在庫を貼る'!$W$6:$W$10005,$C241)&gt;0,SUMIFS('①在庫を貼る'!$K$6:$K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K$6:$K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K$6:$K$10005,'月1回_2ヶ月前の在庫'!$V$6:$V$10005,'設定'!$C$4,'月1回_2ヶ月前の在庫'!$W$6:$W$10005,$C241)/COUNTIFS('月1回_2ヶ月前の在庫'!$V$6:$V$10005,'設定'!$C$4,'月1回_2ヶ月前の在庫'!$W$6:$W$10005,$C241),0)))))))</f>
        <v/>
      </c>
      <c r="H241">
        <f>IF($C241="","",N(IFERROR(IF(INDEX('商品マスタ'!$G$6:$G$1005,MATCH($C241,'商品マスタ'!$B$6:$B$1005,0))="",IF(COUNTIFS('①在庫を貼る'!$V$6:$V$10005,'設定'!$C$4,'①在庫を貼る'!$W$6:$W$10005,$C241)&gt;0,SUMIFS('①在庫を貼る'!$Q$6:$Q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Q$6:$Q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Q$6:$Q$10005,'月1回_2ヶ月前の在庫'!$V$6:$V$10005,'設定'!$C$4,'月1回_2ヶ月前の在庫'!$W$6:$W$10005,$C241)/COUNTIFS('月1回_2ヶ月前の在庫'!$V$6:$V$10005,'設定'!$C$4,'月1回_2ヶ月前の在庫'!$W$6:$W$10005,$C241),0))),INDEX('商品マスタ'!$G$6:$G$1005,MATCH($C241,'商品マスタ'!$B$6:$B$1005,0))),IF(COUNTIFS('①在庫を貼る'!$V$6:$V$10005,'設定'!$C$4,'①在庫を貼る'!$W$6:$W$10005,$C241)&gt;0,SUMIFS('①在庫を貼る'!$Q$6:$Q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Q$6:$Q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Q$6:$Q$10005,'月1回_2ヶ月前の在庫'!$V$6:$V$10005,'設定'!$C$4,'月1回_2ヶ月前の在庫'!$W$6:$W$10005,$C241)/COUNTIFS('月1回_2ヶ月前の在庫'!$V$6:$V$10005,'設定'!$C$4,'月1回_2ヶ月前の在庫'!$W$6:$W$10005,$C241),0))))))</f>
        <v/>
      </c>
      <c r="I241">
        <f>IF($C241="","",IF(COUNTIFS('①在庫を貼る'!$V$6:$V$10005,'設定'!$C$4,'①在庫を貼る'!$W$6:$W$10005,$C241)=0,"",SUMIFS('①在庫を貼る'!$N$6:$N$10005,'①在庫を貼る'!$V$6:$V$10005,'設定'!$C$4,'①在庫を貼る'!$W$6:$W$10005,$C241)))</f>
        <v/>
      </c>
      <c r="J241">
        <f>IF($C241="","",IF('②発注する'!$AD245="","",'②発注する'!$AD245))</f>
        <v/>
      </c>
      <c r="K241" s="90">
        <f>IF($C241="","",IF('②発注する'!$AE245="","",'②発注する'!$AE245))</f>
        <v/>
      </c>
      <c r="L241">
        <f>IF($C241="","",IF(AND(ISNUMBER($J241),ISNUMBER($K241),$K241&gt;='設定'!$C$6),$J241,N($I241)))</f>
        <v/>
      </c>
      <c r="M241">
        <f>IF($C241="","",IFERROR(IF(N(INDEX('商品マスタ'!$J$6:$J$1005,MATCH($C241,'商品マスタ'!$B$6:$B$1005,0)))&gt;0,INDEX('商品マスタ'!$J$6:$J$1005,MATCH($C241,'商品マスタ'!$B$6:$B$1005,0)),""),""))</f>
        <v/>
      </c>
      <c r="N241">
        <f>IF($C241="","",IFERROR(IF(N(INDEX('商品マスタ'!$H$6:$H$1005,MATCH($C241,'商品マスタ'!$B$6:$B$1005,0)))&gt;0,INDEX('商品マスタ'!$H$6:$H$1005,MATCH($C241,'商品マスタ'!$B$6:$B$1005,0)),""),""))</f>
        <v/>
      </c>
      <c r="O241">
        <f>IF($C241="","",IF($N241&lt;&gt;"",$N241*$G241,IF(N(IF(COUNTIFS('①在庫を貼る'!$V$6:$V$10005,'設定'!$C$4,'①在庫を貼る'!$W$6:$W$10005,$C241)&gt;0,SUMIFS('①在庫を貼る'!$O$6:$O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O$6:$O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O$6:$O$10005,'月1回_2ヶ月前の在庫'!$V$6:$V$10005,'設定'!$C$4,'月1回_2ヶ月前の在庫'!$W$6:$W$10005,$C241)/COUNTIFS('月1回_2ヶ月前の在庫'!$V$6:$V$10005,'設定'!$C$4,'月1回_2ヶ月前の在庫'!$W$6:$W$10005,$C241),0))))&gt;0,N(IF(COUNTIFS('①在庫を貼る'!$V$6:$V$10005,'設定'!$C$4,'①在庫を貼る'!$W$6:$W$10005,$C241)&gt;0,SUMIFS('①在庫を貼る'!$O$6:$O$10005,'①在庫を貼る'!$V$6:$V$10005,'設定'!$C$4,'①在庫を貼る'!$W$6:$W$10005,$C241)/COUNTIFS('①在庫を貼る'!$V$6:$V$10005,'設定'!$C$4,'①在庫を貼る'!$W$6:$W$10005,$C241),IF(COUNTIFS('月1回_1ヶ月前の在庫'!$V$6:$V$10005,'設定'!$C$4,'月1回_1ヶ月前の在庫'!$W$6:$W$10005,$C241)&gt;0,SUMIFS('月1回_1ヶ月前の在庫'!$O$6:$O$10005,'月1回_1ヶ月前の在庫'!$V$6:$V$10005,'設定'!$C$4,'月1回_1ヶ月前の在庫'!$W$6:$W$10005,$C241)/COUNTIFS('月1回_1ヶ月前の在庫'!$V$6:$V$10005,'設定'!$C$4,'月1回_1ヶ月前の在庫'!$W$6:$W$10005,$C241),IF(COUNTIFS('月1回_2ヶ月前の在庫'!$V$6:$V$10005,'設定'!$C$4,'月1回_2ヶ月前の在庫'!$W$6:$W$10005,$C241)&gt;0,SUMIFS('月1回_2ヶ月前の在庫'!$O$6:$O$10005,'月1回_2ヶ月前の在庫'!$V$6:$V$10005,'設定'!$C$4,'月1回_2ヶ月前の在庫'!$W$6:$W$10005,$C241)/COUNTIFS('月1回_2ヶ月前の在庫'!$V$6:$V$10005,'設定'!$C$4,'月1回_2ヶ月前の在庫'!$W$6:$W$10005,$C241),0)))),"")))</f>
        <v/>
      </c>
      <c r="P241" s="90">
        <f>IF($C241="","",IF('②発注する'!$I245="","",'②発注する'!$I245))</f>
        <v/>
      </c>
      <c r="Q241">
        <f>IF($C241="","",IF('②発注する'!$J245="","",'②発注する'!$J245))</f>
        <v/>
      </c>
      <c r="R241">
        <f>IF($C241="",0,IF(AND(ISNUMBER($P241),ISNUMBER($Q241)),MAX(0,$Q241)*$G241,0))</f>
        <v/>
      </c>
      <c r="S241" s="90">
        <f>IF($C241="","",IF('②発注する'!$M245="","",'②発注する'!$M245))</f>
        <v/>
      </c>
      <c r="T241">
        <f>IF($C241="","",IF('②発注する'!$N245="","",'②発注する'!$N245))</f>
        <v/>
      </c>
      <c r="U241">
        <f>IF($C241="",0,IF(AND(ISNUMBER($S241),ISNUMBER($T241)),MAX(0,$T241)*$G241,0))</f>
        <v/>
      </c>
      <c r="V241">
        <f>IF($C241="",0,IF($M241="",0,MAX(0,$M241)*MAX(0,V$4)/100))</f>
        <v/>
      </c>
      <c r="W241">
        <f>IF($C241="",0,IF($M241="",0,MAX(0,$M241)*MAX(0,W$4)/100))</f>
        <v/>
      </c>
      <c r="X241">
        <f>IF($C241="",0,IF($M241="",0,MAX(0,$M241)*MAX(0,X$4)/100))</f>
        <v/>
      </c>
      <c r="Y241">
        <f>IF($C241="",0,IF($M241="",0,MAX(0,$M241)*MAX(0,Y$4)/100))</f>
        <v/>
      </c>
      <c r="Z241">
        <f>IF($C241="",0,IF($M241="",0,MAX(0,$M241)*MAX(0,Z$4)/100))</f>
        <v/>
      </c>
      <c r="AA241">
        <f>IF($C241="",0,IF($M241="",0,MAX(0,$M241)*MAX(0,AA$4)/100))</f>
        <v/>
      </c>
      <c r="AB241">
        <f>IF($C241="",0,IF($M241="",0,MAX(0,$M241)*MAX(0,AB$4)/100))</f>
        <v/>
      </c>
      <c r="AC241">
        <f>IF($C241="",0,IF($M241="",0,MAX(0,$M241)*MAX(0,AC$4)/100))</f>
        <v/>
      </c>
      <c r="AD241">
        <f>IF($C241="",0,IF($M241="",0,MAX(0,$M241)*MAX(0,AD$4)/100))</f>
        <v/>
      </c>
      <c r="AE241">
        <f>IF($C241="",0,IF($M241="",0,MAX(0,$M241)*MAX(0,AE$4)/100))</f>
        <v/>
      </c>
      <c r="AF241">
        <f>IF($C241="",0,IF($M241="",0,MAX(0,$M241)*MAX(0,AF$4)/100))</f>
        <v/>
      </c>
      <c r="AG241">
        <f>IF($C241="",0,IF($M241="",0,MAX(0,$M241)*MAX(0,AG$4)/100))</f>
        <v/>
      </c>
      <c r="AH241">
        <f>IF($C241="",0,IF($M241="",0,MAX(0,$M241)*MAX(0,AH$4)/100))</f>
        <v/>
      </c>
      <c r="AI241">
        <f>IF($C241="",0,IF($M241="",0,MAX(0,$M241)*MAX(0,AI$4)/100))</f>
        <v/>
      </c>
      <c r="AJ241">
        <f>IF($C241="",0,MAX(0,MAX(0,N($L241))-$V241))</f>
        <v/>
      </c>
      <c r="AK241">
        <f>IF($C241="",0,MAX(0,$AJ241-$W241))</f>
        <v/>
      </c>
      <c r="AL241">
        <f>IF($C241="",0,MAX(0,$AK241-$X241))</f>
        <v/>
      </c>
      <c r="AM241">
        <f>IF($C241="",0,MAX(0,$AL241-$Y241))</f>
        <v/>
      </c>
      <c r="AN241">
        <f>IF($C241="",0,MAX(0,$AM241-$Z241))</f>
        <v/>
      </c>
      <c r="AO241">
        <f>IF($C241="",0,MAX(0,$AN241-$AA241))</f>
        <v/>
      </c>
      <c r="AP241">
        <f>IF($C241="",0,MAX(0,$AO241-$AB241))</f>
        <v/>
      </c>
      <c r="AQ241">
        <f>IF($C241="",0,MAX(0,$AP241-$AC241))</f>
        <v/>
      </c>
      <c r="AR241">
        <f>IF($C241="",0,MAX(0,$AQ241-$AD241))</f>
        <v/>
      </c>
      <c r="AS241">
        <f>IF($C241="",0,MAX(0,$AR241-$AE241))</f>
        <v/>
      </c>
      <c r="AT241">
        <f>IF($C241="",0,MAX(0,$AS241-$AF241))</f>
        <v/>
      </c>
      <c r="AU241">
        <f>IF($C241="",0,MAX(0,$AT241-$AG241))</f>
        <v/>
      </c>
      <c r="AV241">
        <f>IF($C241="",0,MAX(0,$AU241-$AH241))</f>
        <v/>
      </c>
      <c r="AW241">
        <f>IF($C241="",0,MAX(0,$AV241-$AI241))</f>
        <v/>
      </c>
      <c r="AX241">
        <f>IF($C241="",0,MAX(0,MAX(0,N($L241))+IF($P241=V$3,$R241,0)+IF($S241=V$3,$U241,0)-$V241))</f>
        <v/>
      </c>
      <c r="AY241">
        <f>IF($C241="",0,MAX(0,$AX241+IF($P241=W$3,$R241,0)+IF($S241=W$3,$U241,0)-$W241))</f>
        <v/>
      </c>
      <c r="AZ241">
        <f>IF($C241="",0,MAX(0,$AY241+IF($P241=X$3,$R241,0)+IF($S241=X$3,$U241,0)-$X241))</f>
        <v/>
      </c>
      <c r="BA241">
        <f>IF($C241="",0,MAX(0,$AZ241+IF($P241=Y$3,$R241,0)+IF($S241=Y$3,$U241,0)-$Y241))</f>
        <v/>
      </c>
      <c r="BB241">
        <f>IF($C241="",0,MAX(0,$BA241+IF($P241=Z$3,$R241,0)+IF($S241=Z$3,$U241,0)-$Z241))</f>
        <v/>
      </c>
      <c r="BC241">
        <f>IF($C241="",0,MAX(0,$BB241+IF($P241=AA$3,$R241,0)+IF($S241=AA$3,$U241,0)-$AA241))</f>
        <v/>
      </c>
      <c r="BD241">
        <f>IF($C241="",0,MAX(0,$BC241+IF($P241=AB$3,$R241,0)+IF($S241=AB$3,$U241,0)-$AB241))</f>
        <v/>
      </c>
      <c r="BE241">
        <f>IF($C241="",0,MAX(0,$BD241+IF($P241=AC$3,$R241,0)+IF($S241=AC$3,$U241,0)-$AC241))</f>
        <v/>
      </c>
      <c r="BF241">
        <f>IF($C241="",0,MAX(0,$BE241+IF($P241=AD$3,$R241,0)+IF($S241=AD$3,$U241,0)-$AD241))</f>
        <v/>
      </c>
      <c r="BG241">
        <f>IF($C241="",0,MAX(0,$BF241+IF($P241=AE$3,$R241,0)+IF($S241=AE$3,$U241,0)-$AE241))</f>
        <v/>
      </c>
      <c r="BH241">
        <f>IF($C241="",0,MAX(0,$BG241+IF($P241=AF$3,$R241,0)+IF($S241=AF$3,$U241,0)-$AF241))</f>
        <v/>
      </c>
      <c r="BI241">
        <f>IF($C241="",0,MAX(0,$BH241+IF($P241=AG$3,$R241,0)+IF($S241=AG$3,$U241,0)-$AG241))</f>
        <v/>
      </c>
      <c r="BJ241">
        <f>IF($C241="",0,MAX(0,$BI241+IF($P241=AH$3,$R241,0)+IF($S241=AH$3,$U241,0)-$AH241))</f>
        <v/>
      </c>
      <c r="BK241">
        <f>IF($C241="",0,MAX(0,$BJ241+IF($P241=AI$3,$R241,0)+IF($S241=AI$3,$U241,0)-$AI241))</f>
        <v/>
      </c>
      <c r="BL241">
        <f>IF($C241="",99,IF(AND($AX241&lt;1,V$3&gt;=MAX(N($P241),N($S241))),0,99))</f>
        <v/>
      </c>
      <c r="BM241">
        <f>IF($C241="",99,IF(AND($AY241&lt;1,W$3&gt;=MAX(N($P241),N($S241))),1,99))</f>
        <v/>
      </c>
      <c r="BN241">
        <f>IF($C241="",99,IF(AND($AZ241&lt;1,X$3&gt;=MAX(N($P241),N($S241))),2,99))</f>
        <v/>
      </c>
      <c r="BO241">
        <f>IF($C241="",99,IF(AND($BA241&lt;1,Y$3&gt;=MAX(N($P241),N($S241))),3,99))</f>
        <v/>
      </c>
      <c r="BP241">
        <f>IF($C241="",99,IF(AND($BB241&lt;1,Z$3&gt;=MAX(N($P241),N($S241))),4,99))</f>
        <v/>
      </c>
      <c r="BQ241">
        <f>IF($C241="",99,IF(AND($BC241&lt;1,AA$3&gt;=MAX(N($P241),N($S241))),5,99))</f>
        <v/>
      </c>
      <c r="BR241">
        <f>IF($C241="",99,IF(AND($BD241&lt;1,AB$3&gt;=MAX(N($P241),N($S241))),6,99))</f>
        <v/>
      </c>
      <c r="BS241">
        <f>IF($C241="",99,IF(AND($BE241&lt;1,AC$3&gt;=MAX(N($P241),N($S241))),7,99))</f>
        <v/>
      </c>
      <c r="BT241">
        <f>IF($C241="",99,IF(AND($BF241&lt;1,AD$3&gt;=MAX(N($P241),N($S241))),8,99))</f>
        <v/>
      </c>
      <c r="BU241">
        <f>IF($C241="",99,IF(AND($BG241&lt;1,AE$3&gt;=MAX(N($P241),N($S241))),9,99))</f>
        <v/>
      </c>
      <c r="BV241">
        <f>IF($C241="",99,IF(AND($BH241&lt;1,AF$3&gt;=MAX(N($P241),N($S241))),10,99))</f>
        <v/>
      </c>
      <c r="BW241">
        <f>IF($C241="",99,IF(AND($BI241&lt;1,AG$3&gt;=MAX(N($P241),N($S241))),11,99))</f>
        <v/>
      </c>
      <c r="BX241">
        <f>IF($C241="",99,IF(AND($BJ241&lt;1,AH$3&gt;=MAX(N($P241),N($S241))),12,99))</f>
        <v/>
      </c>
      <c r="BY241">
        <f>IF($C241="",99,IF(AND($BK241&lt;1,AI$3&gt;=MAX(N($P241),N($S241))),13,99))</f>
        <v/>
      </c>
      <c r="BZ241">
        <f>IF(OR($C241="",$M241=""),"",COUNTIF($AJ241:$AW241,"&gt;=1"))</f>
        <v/>
      </c>
      <c r="CA241" s="90">
        <f>IF($BZ241="","",IF($BZ241&gt;=14,"",'設定'!$C$6+$BZ241))</f>
        <v/>
      </c>
      <c r="CB241">
        <f>IF(OR($C241="",$M241=""),"",MIN($BL241:$BY241))</f>
        <v/>
      </c>
      <c r="CC241" s="90">
        <f>IF($CB241="","",IF($CB241&gt;=99,"",'設定'!$C$6+$CB241))</f>
        <v/>
      </c>
      <c r="CD241">
        <f>IF(OR($C241="",$M241=""),"",AVERAGE($V241:$AI241))</f>
        <v/>
      </c>
      <c r="CE241">
        <f>IF($C241="","",IFERROR(IF(MATCH(IF(ISNUMBER($P241),$P241,'設定'!$C$6+N('設定'!$C$7)),$V$3:$AI$3,0)=1,MAX(0,N($L241)),INDEX($AJ241:$AW241,MATCH(IF(ISNUMBER($P241),$P241,'設定'!$C$6+N('設定'!$C$7)),$V$3:$AI$3,0)-1)),""))</f>
        <v/>
      </c>
      <c r="CF241">
        <f>IF(OR($C241="",$O241="",$CE241=""),"",IF($O241-$CE241&lt;=0,0,ROUNDUP(($O241-$CE241)/$G241,0)))</f>
        <v/>
      </c>
      <c r="CG241">
        <f>IF(OR($C241="",$CF241="",NOT(ISNUMBER($Q241))),0,MAX(0,$Q241-$CF241))</f>
        <v/>
      </c>
      <c r="CH241">
        <f>IF(OR($C241="",$O241="",$U241=0),0,IFERROR(ROUNDUP(MAX(0,IF(MATCH($S241,$V$3:$AI$3,0)=1,MAX(0,N($L241)),INDEX($AX241:$BK241,MATCH($S241,$V$3:$AI$3,0)-1))+$U241-$O241)/$G241,0),0))</f>
        <v/>
      </c>
      <c r="CI241">
        <f>IF($C241="","",IF(AND($P241="",$Q241=""),"",IF($P241="","⚠ 入庫日を ▼ から選んでください",IF(NOT(ISNUMBER($P241)),"⚠ 入庫日は ▼ から選んでください",IF($P241&lt;N('設定'!$C$6),"⚠ 入庫日が過去です（もう在庫に入っています）→ 消してください",IF($P241&gt;N('設定'!$C$6)+13,"⚠ 入庫日が14日より先です",IF(N($Q241)&lt;=0,"⚠ 入庫数を入れてください",IF($CG241&gt;0,"⚠ 目安より "&amp;$CG241&amp;" 多い（定数を超える）→ 減らす",""))))))))</f>
        <v/>
      </c>
      <c r="CJ241">
        <f>IF($C241="","",IF(AND($S241="",$T241=""),"",IF($S241="","⚠ 2便目：入庫日を ▼ から選んでください",IF(NOT(ISNUMBER($S241)),"⚠ 2便目：入庫日は ▼ から選んでください",IF($S241&lt;N('設定'!$C$6),"⚠ 2便目：入庫日が過去です（もう在庫に入っています）→ 消してください",IF($S241&gt;N('設定'!$C$6)+13,"⚠ 2便目：入庫日が14日より先です",IF(N($T241)&lt;=0,"⚠ 2便目：入庫数を入れてください",IF($CH241&gt;0,"⚠ 2便目：定数を "&amp;$CH241&amp;" ケース超える → 減らす",""))))))))</f>
        <v/>
      </c>
      <c r="CK241">
        <f>IF(AND($CI241="",N($Q241)&gt;0,ISNUMBER($P241)),1,0)</f>
        <v/>
      </c>
      <c r="CL241">
        <f>IF(AND($CJ241="",N($T241)&gt;0,ISNUMBER($S241)),1,0)</f>
        <v/>
      </c>
      <c r="CM241">
        <f>IF(OR($CK241=1,$CL241=1),1,0)</f>
        <v/>
      </c>
      <c r="CN241">
        <f>IF($C241="",0,($CK241*$R241+$CL241*$U241)*N($H241))</f>
        <v/>
      </c>
      <c r="CO241">
        <f>IF($C241="","",IF($CC241="","入庫後は 14日以上もつ",IF($CC241-N('設定'!$C$7)&lt;='設定'!$C$6,"入庫後も "&amp;TEXT($CC241,"m/d")&amp;"("&amp;CHOOSE(WEEKDAY($CC241),"日","月","火","水","木","金","土")&amp;")"&amp;" に切れる　もう1便を至急発注","入庫後も "&amp;TEXT($CC241,"m/d")&amp;"("&amp;CHOOSE(WEEKDAY($CC241),"日","月","火","水","木","金","土")&amp;")"&amp;" に切れる　"&amp;TEXT($CC241-N('設定'!$C$7),"m/d")&amp;"("&amp;CHOOSE(WEEKDAY($CC241-N('設定'!$C$7)),"日","月","火","水","木","金","土")&amp;")"&amp;" までに次を発注")))</f>
        <v/>
      </c>
      <c r="CP241">
        <f>IF($C241="","",IF('設定'!$C$6="","？ ①在庫を貼る に今日のCSVが貼られていない",IF($CS241=1,"－ 今日のCSVに無い（終売？）",IF($L241&lt;0,"● 在庫がマイナス　数えて「数えた在庫」に入れる",IF($L241=0,"● 在庫なし　至急発注",IF($M241="","？ 減り数が未設定（商品マスタ）",IF($B$3=0,"？ 動員が未入力（動員を入れる）",IF($CA241="","○ 14日以上もつ",IF($BZ241&lt;N('設定'!$C$7),"● "&amp;TEXT($CA241,"m/d")&amp;"("&amp;CHOOSE(WEEKDAY($CA241),"日","月","火","水","木","金","土")&amp;")"&amp;" に切れる　至急発注",IF($BZ241=N('設定'!$C$7),"● "&amp;TEXT($CA241,"m/d")&amp;"("&amp;CHOOSE(WEEKDAY($CA241),"日","月","火","水","木","金","土")&amp;")"&amp;" に切れる　今日発注","△ "&amp;TEXT($CA241,"m/d")&amp;"("&amp;CHOOSE(WEEKDAY($CA241),"日","月","火","水","木","金","土")&amp;")"&amp;" に切れる　"&amp;TEXT($CA241-N('設定'!$C$7),"m/d")&amp;"("&amp;CHOOSE(WEEKDAY($CA241-N('設定'!$C$7)),"日","月","火","水","木","金","土")&amp;")"&amp;" までに発注"))))))))))</f>
        <v/>
      </c>
      <c r="CQ241">
        <f>IF($C241="","",IF(AND($P241="",$Q241="",$S241="",$T241=""),"",IF(AND($P241="",$Q241=""),"⚠ 先に1便目（左の入庫日・入庫数）に入れてください",IF($CI241&lt;&gt;"",$CI241,IF($CJ241&lt;&gt;"",$CJ241,IF($M241="","？ 減り数が未設定（発注書には載ります）",IF($B$3=0,"？ 動員が未入力（発注書には載ります）",IF(AND($CA241&lt;&gt;"",$P241&gt;$CA241),IF($P241&gt;'設定'!$C$6+N('設定'!$C$7),"● "&amp;TEXT($P241,"m/d")&amp;"("&amp;CHOOSE(WEEKDAY($P241),"日","月","火","水","木","金","土")&amp;")"&amp;" の入庫では間に合わない（"&amp;TEXT($CA241,"m/d")&amp;"("&amp;CHOOSE(WEEKDAY($CA241),"日","月","火","水","木","金","土")&amp;")"&amp;" に切れる）　入庫日を早める","△ 欠品 "&amp;TEXT($CA241,"m/d")&amp;"("&amp;CHOOSE(WEEKDAY($CA241),"日","月","火","水","木","金","土")&amp;")"&amp;"〜"&amp;TEXT($P241-1,"m/d")&amp;"("&amp;CHOOSE(WEEKDAY($P241-1),"日","月","火","水","木","金","土")&amp;")"&amp;"　"&amp;$CO241),IF($CC241="","○ "&amp;TEXT($P241,"m/d")&amp;"("&amp;CHOOSE(WEEKDAY($P241),"日","月","火","水","木","金","土")&amp;")"&amp;" 入庫で 14日以上もつ",IF($CC241-N('設定'!$C$7)&lt;='設定'!$C$6,"● 入庫しても "&amp;TEXT($CC241,"m/d")&amp;"("&amp;CHOOSE(WEEKDAY($CC241),"日","月","火","水","木","金","土")&amp;")"&amp;" に切れる　もう1便を至急発注（2便目に入れる）","△ 入庫しても "&amp;TEXT($CC241,"m/d")&amp;"("&amp;CHOOSE(WEEKDAY($CC241),"日","月","火","水","木","金","土")&amp;")"&amp;" に切れる　"&amp;TEXT($CC241-N('設定'!$C$7),"m/d")&amp;"("&amp;CHOOSE(WEEKDAY($CC241-N('設定'!$C$7)),"日","月","火","水","木","金","土")&amp;")"&amp;" までに次を発注（2便目に入れる）"))))))))))</f>
        <v/>
      </c>
      <c r="CR241">
        <f>IF($C241="","",IF($G241&gt;1,"ｹｰｽ("&amp;$G241&amp;"入)","個"))</f>
        <v/>
      </c>
      <c r="CS241">
        <f>IF($C241="",0,IF(COUNTIFS('①在庫を貼る'!$V$6:$V$10005,'設定'!$C$4,'①在庫を貼る'!$W$6:$W$10005,$C241)=0,1,0))</f>
        <v/>
      </c>
      <c r="CT241">
        <f>IF(AND($CK241=1,OR('③発注書'!$C$4="すべて",'③発注書'!$C$4="",$F241='③発注書'!$C$4)),N($CT240)+1,N($CT240))</f>
        <v/>
      </c>
      <c r="CU241">
        <f>IF(AND($CL241=1,OR('③発注書'!$C$4="すべて",'③発注書'!$C$4="",$F241='③発注書'!$C$4)),N($CU240)+1,N($CU240))</f>
        <v/>
      </c>
      <c r="CV241">
        <f>IF($C241="",0,IF(COUNTIFS('①在庫を貼る'!$V$6:$V$10005,'設定'!$C$4,'①在庫を貼る'!$W$6:$W$10005,$C241)&gt;0,1,0))</f>
        <v/>
      </c>
      <c r="CW241">
        <f>IF($C241="",0,IF(COUNTIFS('月1回_1ヶ月前の在庫'!$V$6:$V$10005,'設定'!$C$4,'月1回_1ヶ月前の在庫'!$W$6:$W$10005,$C241)&gt;0,1,0))</f>
        <v/>
      </c>
      <c r="CX241">
        <f>IF($C241="",0,IF(COUNTIFS('月1回_2ヶ月前の在庫'!$V$6:$V$10005,'設定'!$C$4,'月1回_2ヶ月前の在庫'!$W$6:$W$10005,$C241)&gt;0,1,0))</f>
        <v/>
      </c>
      <c r="CY241">
        <f>IF(OR($C241="",'設定'!$C$12=""),"",IF('設定'!$C$13="",IF(AND($CV241=1,$CW241=0),"新商品（今月から）",IF(AND($CV241=0,$CW241=1),"終売（今月から）","")),IF(AND($CV241=1,$CW241=0,$CX241=0),"新商品（今月から）",IF(AND($CV241=1,$CW241=1,$CX241=0),"新商品（先月から）",IF(AND($CV241=0,$CW241=1,$CX241=1),"終売（今月から）",IF(AND($CV241=0,$CW241=0,$CX241=1),"終売（先月から）",IF(AND($CV241=1,$CW241=0,$CX241=1),"復活（先月は無し）","")))))))</f>
        <v/>
      </c>
    </row>
    <row r="242">
      <c r="B242">
        <f>IF(237&lt;='設定'!$C$11,237,"")</f>
        <v/>
      </c>
      <c r="C242">
        <f>IF($B242="","",IF($B242&lt;='設定'!$C$20,INDEX('商品マスタ'!$B$6:$B$1005,MATCH($B242,'商品マスタ'!$M$6:$M$1005,0)),IF($B242&lt;='設定'!$C$20+'設定'!$C$17,INDEX('①在庫を貼る'!$W$6:$W$10005,MATCH($B242-'設定'!$C$20,'①在庫を貼る'!$U$6:$U$10005,0)),IF($B242&lt;='設定'!$C$20+'設定'!$C$17+'設定'!$C$18,INDEX('月1回_1ヶ月前の在庫'!$W$6:$W$10005,MATCH($B242-'設定'!$C$20-'設定'!$C$17,'月1回_1ヶ月前の在庫'!$U$6:$U$10005,0)),INDEX('月1回_2ヶ月前の在庫'!$W$6:$W$10005,MATCH($B242-'設定'!$C$20-'設定'!$C$17-'設定'!$C$18,'月1回_2ヶ月前の在庫'!$U$6:$U$10005,0))))))</f>
        <v/>
      </c>
      <c r="D242">
        <f>IF($C242="","",IFERROR(IF(INDEX('商品マスタ'!$C$6:$C$1005,MATCH($C242,'商品マスタ'!$B$6:$B$1005,0))="",IFERROR(INDEX('①在庫を貼る'!$J$6:$J$10005,MATCH($C242,'①在庫を貼る'!$W$6:$W$10005,0)),IFERROR(INDEX('月1回_1ヶ月前の在庫'!$J$6:$J$10005,MATCH($C242,'月1回_1ヶ月前の在庫'!$W$6:$W$10005,0)),IFERROR(INDEX('月1回_2ヶ月前の在庫'!$J$6:$J$10005,MATCH($C242,'月1回_2ヶ月前の在庫'!$W$6:$W$10005,0)),""))),INDEX('商品マスタ'!$C$6:$C$1005,MATCH($C242,'商品マスタ'!$B$6:$B$1005,0))),IFERROR(INDEX('①在庫を貼る'!$J$6:$J$10005,MATCH($C242,'①在庫を貼る'!$W$6:$W$10005,0)),IFERROR(INDEX('月1回_1ヶ月前の在庫'!$J$6:$J$10005,MATCH($C242,'月1回_1ヶ月前の在庫'!$W$6:$W$10005,0)),IFERROR(INDEX('月1回_2ヶ月前の在庫'!$J$6:$J$10005,MATCH($C242,'月1回_2ヶ月前の在庫'!$W$6:$W$10005,0)),"")))))</f>
        <v/>
      </c>
      <c r="E242">
        <f>IF($C242="","",IFERROR(IF(INDEX('商品マスタ'!$D$6:$D$1005,MATCH($C242,'商品マスタ'!$B$6:$B$1005,0))="",IFERROR(INDEX('①在庫を貼る'!$H$6:$H$10005,MATCH($C242,'①在庫を貼る'!$W$6:$W$10005,0)),IFERROR(INDEX('月1回_1ヶ月前の在庫'!$H$6:$H$10005,MATCH($C242,'月1回_1ヶ月前の在庫'!$W$6:$W$10005,0)),IFERROR(INDEX('月1回_2ヶ月前の在庫'!$H$6:$H$10005,MATCH($C242,'月1回_2ヶ月前の在庫'!$W$6:$W$10005,0)),""))),INDEX('商品マスタ'!$D$6:$D$1005,MATCH($C242,'商品マスタ'!$B$6:$B$1005,0))),IFERROR(INDEX('①在庫を貼る'!$H$6:$H$10005,MATCH($C242,'①在庫を貼る'!$W$6:$W$10005,0)),IFERROR(INDEX('月1回_1ヶ月前の在庫'!$H$6:$H$10005,MATCH($C242,'月1回_1ヶ月前の在庫'!$W$6:$W$10005,0)),IFERROR(INDEX('月1回_2ヶ月前の在庫'!$H$6:$H$10005,MATCH($C242,'月1回_2ヶ月前の在庫'!$W$6:$W$10005,0)),"")))))</f>
        <v/>
      </c>
      <c r="F242">
        <f>IF($C242="","",IFERROR(IF(INDEX('商品マスタ'!$E$6:$E$1005,MATCH($C242,'商品マスタ'!$B$6:$B$1005,0))="",IFERROR(INDEX('①在庫を貼る'!$E$6:$E$10005,MATCH($C242,'①在庫を貼る'!$W$6:$W$10005,0)),IFERROR(INDEX('月1回_1ヶ月前の在庫'!$E$6:$E$10005,MATCH($C242,'月1回_1ヶ月前の在庫'!$W$6:$W$10005,0)),IFERROR(INDEX('月1回_2ヶ月前の在庫'!$E$6:$E$10005,MATCH($C242,'月1回_2ヶ月前の在庫'!$W$6:$W$10005,0)),""))),INDEX('商品マスタ'!$E$6:$E$1005,MATCH($C242,'商品マスタ'!$B$6:$B$1005,0))),IFERROR(INDEX('①在庫を貼る'!$E$6:$E$10005,MATCH($C242,'①在庫を貼る'!$W$6:$W$10005,0)),IFERROR(INDEX('月1回_1ヶ月前の在庫'!$E$6:$E$10005,MATCH($C242,'月1回_1ヶ月前の在庫'!$W$6:$W$10005,0)),IFERROR(INDEX('月1回_2ヶ月前の在庫'!$E$6:$E$10005,MATCH($C242,'月1回_2ヶ月前の在庫'!$W$6:$W$10005,0)),"")))))</f>
        <v/>
      </c>
      <c r="G242">
        <f>IF($C242="","",MAX(1,N(IFERROR(IF(INDEX('商品マスタ'!$F$6:$F$1005,MATCH($C242,'商品マスタ'!$B$6:$B$1005,0))="",IF(COUNTIFS('①在庫を貼る'!$V$6:$V$10005,'設定'!$C$4,'①在庫を貼る'!$W$6:$W$10005,$C242)&gt;0,SUMIFS('①在庫を貼る'!$K$6:$K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K$6:$K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K$6:$K$10005,'月1回_2ヶ月前の在庫'!$V$6:$V$10005,'設定'!$C$4,'月1回_2ヶ月前の在庫'!$W$6:$W$10005,$C242)/COUNTIFS('月1回_2ヶ月前の在庫'!$V$6:$V$10005,'設定'!$C$4,'月1回_2ヶ月前の在庫'!$W$6:$W$10005,$C242),0))),INDEX('商品マスタ'!$F$6:$F$1005,MATCH($C242,'商品マスタ'!$B$6:$B$1005,0))),IF(COUNTIFS('①在庫を貼る'!$V$6:$V$10005,'設定'!$C$4,'①在庫を貼る'!$W$6:$W$10005,$C242)&gt;0,SUMIFS('①在庫を貼る'!$K$6:$K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K$6:$K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K$6:$K$10005,'月1回_2ヶ月前の在庫'!$V$6:$V$10005,'設定'!$C$4,'月1回_2ヶ月前の在庫'!$W$6:$W$10005,$C242)/COUNTIFS('月1回_2ヶ月前の在庫'!$V$6:$V$10005,'設定'!$C$4,'月1回_2ヶ月前の在庫'!$W$6:$W$10005,$C242),0)))))))</f>
        <v/>
      </c>
      <c r="H242">
        <f>IF($C242="","",N(IFERROR(IF(INDEX('商品マスタ'!$G$6:$G$1005,MATCH($C242,'商品マスタ'!$B$6:$B$1005,0))="",IF(COUNTIFS('①在庫を貼る'!$V$6:$V$10005,'設定'!$C$4,'①在庫を貼る'!$W$6:$W$10005,$C242)&gt;0,SUMIFS('①在庫を貼る'!$Q$6:$Q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Q$6:$Q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Q$6:$Q$10005,'月1回_2ヶ月前の在庫'!$V$6:$V$10005,'設定'!$C$4,'月1回_2ヶ月前の在庫'!$W$6:$W$10005,$C242)/COUNTIFS('月1回_2ヶ月前の在庫'!$V$6:$V$10005,'設定'!$C$4,'月1回_2ヶ月前の在庫'!$W$6:$W$10005,$C242),0))),INDEX('商品マスタ'!$G$6:$G$1005,MATCH($C242,'商品マスタ'!$B$6:$B$1005,0))),IF(COUNTIFS('①在庫を貼る'!$V$6:$V$10005,'設定'!$C$4,'①在庫を貼る'!$W$6:$W$10005,$C242)&gt;0,SUMIFS('①在庫を貼る'!$Q$6:$Q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Q$6:$Q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Q$6:$Q$10005,'月1回_2ヶ月前の在庫'!$V$6:$V$10005,'設定'!$C$4,'月1回_2ヶ月前の在庫'!$W$6:$W$10005,$C242)/COUNTIFS('月1回_2ヶ月前の在庫'!$V$6:$V$10005,'設定'!$C$4,'月1回_2ヶ月前の在庫'!$W$6:$W$10005,$C242),0))))))</f>
        <v/>
      </c>
      <c r="I242">
        <f>IF($C242="","",IF(COUNTIFS('①在庫を貼る'!$V$6:$V$10005,'設定'!$C$4,'①在庫を貼る'!$W$6:$W$10005,$C242)=0,"",SUMIFS('①在庫を貼る'!$N$6:$N$10005,'①在庫を貼る'!$V$6:$V$10005,'設定'!$C$4,'①在庫を貼る'!$W$6:$W$10005,$C242)))</f>
        <v/>
      </c>
      <c r="J242">
        <f>IF($C242="","",IF('②発注する'!$AD246="","",'②発注する'!$AD246))</f>
        <v/>
      </c>
      <c r="K242" s="90">
        <f>IF($C242="","",IF('②発注する'!$AE246="","",'②発注する'!$AE246))</f>
        <v/>
      </c>
      <c r="L242">
        <f>IF($C242="","",IF(AND(ISNUMBER($J242),ISNUMBER($K242),$K242&gt;='設定'!$C$6),$J242,N($I242)))</f>
        <v/>
      </c>
      <c r="M242">
        <f>IF($C242="","",IFERROR(IF(N(INDEX('商品マスタ'!$J$6:$J$1005,MATCH($C242,'商品マスタ'!$B$6:$B$1005,0)))&gt;0,INDEX('商品マスタ'!$J$6:$J$1005,MATCH($C242,'商品マスタ'!$B$6:$B$1005,0)),""),""))</f>
        <v/>
      </c>
      <c r="N242">
        <f>IF($C242="","",IFERROR(IF(N(INDEX('商品マスタ'!$H$6:$H$1005,MATCH($C242,'商品マスタ'!$B$6:$B$1005,0)))&gt;0,INDEX('商品マスタ'!$H$6:$H$1005,MATCH($C242,'商品マスタ'!$B$6:$B$1005,0)),""),""))</f>
        <v/>
      </c>
      <c r="O242">
        <f>IF($C242="","",IF($N242&lt;&gt;"",$N242*$G242,IF(N(IF(COUNTIFS('①在庫を貼る'!$V$6:$V$10005,'設定'!$C$4,'①在庫を貼る'!$W$6:$W$10005,$C242)&gt;0,SUMIFS('①在庫を貼る'!$O$6:$O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O$6:$O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O$6:$O$10005,'月1回_2ヶ月前の在庫'!$V$6:$V$10005,'設定'!$C$4,'月1回_2ヶ月前の在庫'!$W$6:$W$10005,$C242)/COUNTIFS('月1回_2ヶ月前の在庫'!$V$6:$V$10005,'設定'!$C$4,'月1回_2ヶ月前の在庫'!$W$6:$W$10005,$C242),0))))&gt;0,N(IF(COUNTIFS('①在庫を貼る'!$V$6:$V$10005,'設定'!$C$4,'①在庫を貼る'!$W$6:$W$10005,$C242)&gt;0,SUMIFS('①在庫を貼る'!$O$6:$O$10005,'①在庫を貼る'!$V$6:$V$10005,'設定'!$C$4,'①在庫を貼る'!$W$6:$W$10005,$C242)/COUNTIFS('①在庫を貼る'!$V$6:$V$10005,'設定'!$C$4,'①在庫を貼る'!$W$6:$W$10005,$C242),IF(COUNTIFS('月1回_1ヶ月前の在庫'!$V$6:$V$10005,'設定'!$C$4,'月1回_1ヶ月前の在庫'!$W$6:$W$10005,$C242)&gt;0,SUMIFS('月1回_1ヶ月前の在庫'!$O$6:$O$10005,'月1回_1ヶ月前の在庫'!$V$6:$V$10005,'設定'!$C$4,'月1回_1ヶ月前の在庫'!$W$6:$W$10005,$C242)/COUNTIFS('月1回_1ヶ月前の在庫'!$V$6:$V$10005,'設定'!$C$4,'月1回_1ヶ月前の在庫'!$W$6:$W$10005,$C242),IF(COUNTIFS('月1回_2ヶ月前の在庫'!$V$6:$V$10005,'設定'!$C$4,'月1回_2ヶ月前の在庫'!$W$6:$W$10005,$C242)&gt;0,SUMIFS('月1回_2ヶ月前の在庫'!$O$6:$O$10005,'月1回_2ヶ月前の在庫'!$V$6:$V$10005,'設定'!$C$4,'月1回_2ヶ月前の在庫'!$W$6:$W$10005,$C242)/COUNTIFS('月1回_2ヶ月前の在庫'!$V$6:$V$10005,'設定'!$C$4,'月1回_2ヶ月前の在庫'!$W$6:$W$10005,$C242),0)))),"")))</f>
        <v/>
      </c>
      <c r="P242" s="90">
        <f>IF($C242="","",IF('②発注する'!$I246="","",'②発注する'!$I246))</f>
        <v/>
      </c>
      <c r="Q242">
        <f>IF($C242="","",IF('②発注する'!$J246="","",'②発注する'!$J246))</f>
        <v/>
      </c>
      <c r="R242">
        <f>IF($C242="",0,IF(AND(ISNUMBER($P242),ISNUMBER($Q242)),MAX(0,$Q242)*$G242,0))</f>
        <v/>
      </c>
      <c r="S242" s="90">
        <f>IF($C242="","",IF('②発注する'!$M246="","",'②発注する'!$M246))</f>
        <v/>
      </c>
      <c r="T242">
        <f>IF($C242="","",IF('②発注する'!$N246="","",'②発注する'!$N246))</f>
        <v/>
      </c>
      <c r="U242">
        <f>IF($C242="",0,IF(AND(ISNUMBER($S242),ISNUMBER($T242)),MAX(0,$T242)*$G242,0))</f>
        <v/>
      </c>
      <c r="V242">
        <f>IF($C242="",0,IF($M242="",0,MAX(0,$M242)*MAX(0,V$4)/100))</f>
        <v/>
      </c>
      <c r="W242">
        <f>IF($C242="",0,IF($M242="",0,MAX(0,$M242)*MAX(0,W$4)/100))</f>
        <v/>
      </c>
      <c r="X242">
        <f>IF($C242="",0,IF($M242="",0,MAX(0,$M242)*MAX(0,X$4)/100))</f>
        <v/>
      </c>
      <c r="Y242">
        <f>IF($C242="",0,IF($M242="",0,MAX(0,$M242)*MAX(0,Y$4)/100))</f>
        <v/>
      </c>
      <c r="Z242">
        <f>IF($C242="",0,IF($M242="",0,MAX(0,$M242)*MAX(0,Z$4)/100))</f>
        <v/>
      </c>
      <c r="AA242">
        <f>IF($C242="",0,IF($M242="",0,MAX(0,$M242)*MAX(0,AA$4)/100))</f>
        <v/>
      </c>
      <c r="AB242">
        <f>IF($C242="",0,IF($M242="",0,MAX(0,$M242)*MAX(0,AB$4)/100))</f>
        <v/>
      </c>
      <c r="AC242">
        <f>IF($C242="",0,IF($M242="",0,MAX(0,$M242)*MAX(0,AC$4)/100))</f>
        <v/>
      </c>
      <c r="AD242">
        <f>IF($C242="",0,IF($M242="",0,MAX(0,$M242)*MAX(0,AD$4)/100))</f>
        <v/>
      </c>
      <c r="AE242">
        <f>IF($C242="",0,IF($M242="",0,MAX(0,$M242)*MAX(0,AE$4)/100))</f>
        <v/>
      </c>
      <c r="AF242">
        <f>IF($C242="",0,IF($M242="",0,MAX(0,$M242)*MAX(0,AF$4)/100))</f>
        <v/>
      </c>
      <c r="AG242">
        <f>IF($C242="",0,IF($M242="",0,MAX(0,$M242)*MAX(0,AG$4)/100))</f>
        <v/>
      </c>
      <c r="AH242">
        <f>IF($C242="",0,IF($M242="",0,MAX(0,$M242)*MAX(0,AH$4)/100))</f>
        <v/>
      </c>
      <c r="AI242">
        <f>IF($C242="",0,IF($M242="",0,MAX(0,$M242)*MAX(0,AI$4)/100))</f>
        <v/>
      </c>
      <c r="AJ242">
        <f>IF($C242="",0,MAX(0,MAX(0,N($L242))-$V242))</f>
        <v/>
      </c>
      <c r="AK242">
        <f>IF($C242="",0,MAX(0,$AJ242-$W242))</f>
        <v/>
      </c>
      <c r="AL242">
        <f>IF($C242="",0,MAX(0,$AK242-$X242))</f>
        <v/>
      </c>
      <c r="AM242">
        <f>IF($C242="",0,MAX(0,$AL242-$Y242))</f>
        <v/>
      </c>
      <c r="AN242">
        <f>IF($C242="",0,MAX(0,$AM242-$Z242))</f>
        <v/>
      </c>
      <c r="AO242">
        <f>IF($C242="",0,MAX(0,$AN242-$AA242))</f>
        <v/>
      </c>
      <c r="AP242">
        <f>IF($C242="",0,MAX(0,$AO242-$AB242))</f>
        <v/>
      </c>
      <c r="AQ242">
        <f>IF($C242="",0,MAX(0,$AP242-$AC242))</f>
        <v/>
      </c>
      <c r="AR242">
        <f>IF($C242="",0,MAX(0,$AQ242-$AD242))</f>
        <v/>
      </c>
      <c r="AS242">
        <f>IF($C242="",0,MAX(0,$AR242-$AE242))</f>
        <v/>
      </c>
      <c r="AT242">
        <f>IF($C242="",0,MAX(0,$AS242-$AF242))</f>
        <v/>
      </c>
      <c r="AU242">
        <f>IF($C242="",0,MAX(0,$AT242-$AG242))</f>
        <v/>
      </c>
      <c r="AV242">
        <f>IF($C242="",0,MAX(0,$AU242-$AH242))</f>
        <v/>
      </c>
      <c r="AW242">
        <f>IF($C242="",0,MAX(0,$AV242-$AI242))</f>
        <v/>
      </c>
      <c r="AX242">
        <f>IF($C242="",0,MAX(0,MAX(0,N($L242))+IF($P242=V$3,$R242,0)+IF($S242=V$3,$U242,0)-$V242))</f>
        <v/>
      </c>
      <c r="AY242">
        <f>IF($C242="",0,MAX(0,$AX242+IF($P242=W$3,$R242,0)+IF($S242=W$3,$U242,0)-$W242))</f>
        <v/>
      </c>
      <c r="AZ242">
        <f>IF($C242="",0,MAX(0,$AY242+IF($P242=X$3,$R242,0)+IF($S242=X$3,$U242,0)-$X242))</f>
        <v/>
      </c>
      <c r="BA242">
        <f>IF($C242="",0,MAX(0,$AZ242+IF($P242=Y$3,$R242,0)+IF($S242=Y$3,$U242,0)-$Y242))</f>
        <v/>
      </c>
      <c r="BB242">
        <f>IF($C242="",0,MAX(0,$BA242+IF($P242=Z$3,$R242,0)+IF($S242=Z$3,$U242,0)-$Z242))</f>
        <v/>
      </c>
      <c r="BC242">
        <f>IF($C242="",0,MAX(0,$BB242+IF($P242=AA$3,$R242,0)+IF($S242=AA$3,$U242,0)-$AA242))</f>
        <v/>
      </c>
      <c r="BD242">
        <f>IF($C242="",0,MAX(0,$BC242+IF($P242=AB$3,$R242,0)+IF($S242=AB$3,$U242,0)-$AB242))</f>
        <v/>
      </c>
      <c r="BE242">
        <f>IF($C242="",0,MAX(0,$BD242+IF($P242=AC$3,$R242,0)+IF($S242=AC$3,$U242,0)-$AC242))</f>
        <v/>
      </c>
      <c r="BF242">
        <f>IF($C242="",0,MAX(0,$BE242+IF($P242=AD$3,$R242,0)+IF($S242=AD$3,$U242,0)-$AD242))</f>
        <v/>
      </c>
      <c r="BG242">
        <f>IF($C242="",0,MAX(0,$BF242+IF($P242=AE$3,$R242,0)+IF($S242=AE$3,$U242,0)-$AE242))</f>
        <v/>
      </c>
      <c r="BH242">
        <f>IF($C242="",0,MAX(0,$BG242+IF($P242=AF$3,$R242,0)+IF($S242=AF$3,$U242,0)-$AF242))</f>
        <v/>
      </c>
      <c r="BI242">
        <f>IF($C242="",0,MAX(0,$BH242+IF($P242=AG$3,$R242,0)+IF($S242=AG$3,$U242,0)-$AG242))</f>
        <v/>
      </c>
      <c r="BJ242">
        <f>IF($C242="",0,MAX(0,$BI242+IF($P242=AH$3,$R242,0)+IF($S242=AH$3,$U242,0)-$AH242))</f>
        <v/>
      </c>
      <c r="BK242">
        <f>IF($C242="",0,MAX(0,$BJ242+IF($P242=AI$3,$R242,0)+IF($S242=AI$3,$U242,0)-$AI242))</f>
        <v/>
      </c>
      <c r="BL242">
        <f>IF($C242="",99,IF(AND($AX242&lt;1,V$3&gt;=MAX(N($P242),N($S242))),0,99))</f>
        <v/>
      </c>
      <c r="BM242">
        <f>IF($C242="",99,IF(AND($AY242&lt;1,W$3&gt;=MAX(N($P242),N($S242))),1,99))</f>
        <v/>
      </c>
      <c r="BN242">
        <f>IF($C242="",99,IF(AND($AZ242&lt;1,X$3&gt;=MAX(N($P242),N($S242))),2,99))</f>
        <v/>
      </c>
      <c r="BO242">
        <f>IF($C242="",99,IF(AND($BA242&lt;1,Y$3&gt;=MAX(N($P242),N($S242))),3,99))</f>
        <v/>
      </c>
      <c r="BP242">
        <f>IF($C242="",99,IF(AND($BB242&lt;1,Z$3&gt;=MAX(N($P242),N($S242))),4,99))</f>
        <v/>
      </c>
      <c r="BQ242">
        <f>IF($C242="",99,IF(AND($BC242&lt;1,AA$3&gt;=MAX(N($P242),N($S242))),5,99))</f>
        <v/>
      </c>
      <c r="BR242">
        <f>IF($C242="",99,IF(AND($BD242&lt;1,AB$3&gt;=MAX(N($P242),N($S242))),6,99))</f>
        <v/>
      </c>
      <c r="BS242">
        <f>IF($C242="",99,IF(AND($BE242&lt;1,AC$3&gt;=MAX(N($P242),N($S242))),7,99))</f>
        <v/>
      </c>
      <c r="BT242">
        <f>IF($C242="",99,IF(AND($BF242&lt;1,AD$3&gt;=MAX(N($P242),N($S242))),8,99))</f>
        <v/>
      </c>
      <c r="BU242">
        <f>IF($C242="",99,IF(AND($BG242&lt;1,AE$3&gt;=MAX(N($P242),N($S242))),9,99))</f>
        <v/>
      </c>
      <c r="BV242">
        <f>IF($C242="",99,IF(AND($BH242&lt;1,AF$3&gt;=MAX(N($P242),N($S242))),10,99))</f>
        <v/>
      </c>
      <c r="BW242">
        <f>IF($C242="",99,IF(AND($BI242&lt;1,AG$3&gt;=MAX(N($P242),N($S242))),11,99))</f>
        <v/>
      </c>
      <c r="BX242">
        <f>IF($C242="",99,IF(AND($BJ242&lt;1,AH$3&gt;=MAX(N($P242),N($S242))),12,99))</f>
        <v/>
      </c>
      <c r="BY242">
        <f>IF($C242="",99,IF(AND($BK242&lt;1,AI$3&gt;=MAX(N($P242),N($S242))),13,99))</f>
        <v/>
      </c>
      <c r="BZ242">
        <f>IF(OR($C242="",$M242=""),"",COUNTIF($AJ242:$AW242,"&gt;=1"))</f>
        <v/>
      </c>
      <c r="CA242" s="90">
        <f>IF($BZ242="","",IF($BZ242&gt;=14,"",'設定'!$C$6+$BZ242))</f>
        <v/>
      </c>
      <c r="CB242">
        <f>IF(OR($C242="",$M242=""),"",MIN($BL242:$BY242))</f>
        <v/>
      </c>
      <c r="CC242" s="90">
        <f>IF($CB242="","",IF($CB242&gt;=99,"",'設定'!$C$6+$CB242))</f>
        <v/>
      </c>
      <c r="CD242">
        <f>IF(OR($C242="",$M242=""),"",AVERAGE($V242:$AI242))</f>
        <v/>
      </c>
      <c r="CE242">
        <f>IF($C242="","",IFERROR(IF(MATCH(IF(ISNUMBER($P242),$P242,'設定'!$C$6+N('設定'!$C$7)),$V$3:$AI$3,0)=1,MAX(0,N($L242)),INDEX($AJ242:$AW242,MATCH(IF(ISNUMBER($P242),$P242,'設定'!$C$6+N('設定'!$C$7)),$V$3:$AI$3,0)-1)),""))</f>
        <v/>
      </c>
      <c r="CF242">
        <f>IF(OR($C242="",$O242="",$CE242=""),"",IF($O242-$CE242&lt;=0,0,ROUNDUP(($O242-$CE242)/$G242,0)))</f>
        <v/>
      </c>
      <c r="CG242">
        <f>IF(OR($C242="",$CF242="",NOT(ISNUMBER($Q242))),0,MAX(0,$Q242-$CF242))</f>
        <v/>
      </c>
      <c r="CH242">
        <f>IF(OR($C242="",$O242="",$U242=0),0,IFERROR(ROUNDUP(MAX(0,IF(MATCH($S242,$V$3:$AI$3,0)=1,MAX(0,N($L242)),INDEX($AX242:$BK242,MATCH($S242,$V$3:$AI$3,0)-1))+$U242-$O242)/$G242,0),0))</f>
        <v/>
      </c>
      <c r="CI242">
        <f>IF($C242="","",IF(AND($P242="",$Q242=""),"",IF($P242="","⚠ 入庫日を ▼ から選んでください",IF(NOT(ISNUMBER($P242)),"⚠ 入庫日は ▼ から選んでください",IF($P242&lt;N('設定'!$C$6),"⚠ 入庫日が過去です（もう在庫に入っています）→ 消してください",IF($P242&gt;N('設定'!$C$6)+13,"⚠ 入庫日が14日より先です",IF(N($Q242)&lt;=0,"⚠ 入庫数を入れてください",IF($CG242&gt;0,"⚠ 目安より "&amp;$CG242&amp;" 多い（定数を超える）→ 減らす",""))))))))</f>
        <v/>
      </c>
      <c r="CJ242">
        <f>IF($C242="","",IF(AND($S242="",$T242=""),"",IF($S242="","⚠ 2便目：入庫日を ▼ から選んでください",IF(NOT(ISNUMBER($S242)),"⚠ 2便目：入庫日は ▼ から選んでください",IF($S242&lt;N('設定'!$C$6),"⚠ 2便目：入庫日が過去です（もう在庫に入っています）→ 消してください",IF($S242&gt;N('設定'!$C$6)+13,"⚠ 2便目：入庫日が14日より先です",IF(N($T242)&lt;=0,"⚠ 2便目：入庫数を入れてください",IF($CH242&gt;0,"⚠ 2便目：定数を "&amp;$CH242&amp;" ケース超える → 減らす",""))))))))</f>
        <v/>
      </c>
      <c r="CK242">
        <f>IF(AND($CI242="",N($Q242)&gt;0,ISNUMBER($P242)),1,0)</f>
        <v/>
      </c>
      <c r="CL242">
        <f>IF(AND($CJ242="",N($T242)&gt;0,ISNUMBER($S242)),1,0)</f>
        <v/>
      </c>
      <c r="CM242">
        <f>IF(OR($CK242=1,$CL242=1),1,0)</f>
        <v/>
      </c>
      <c r="CN242">
        <f>IF($C242="",0,($CK242*$R242+$CL242*$U242)*N($H242))</f>
        <v/>
      </c>
      <c r="CO242">
        <f>IF($C242="","",IF($CC242="","入庫後は 14日以上もつ",IF($CC242-N('設定'!$C$7)&lt;='設定'!$C$6,"入庫後も "&amp;TEXT($CC242,"m/d")&amp;"("&amp;CHOOSE(WEEKDAY($CC242),"日","月","火","水","木","金","土")&amp;")"&amp;" に切れる　もう1便を至急発注","入庫後も "&amp;TEXT($CC242,"m/d")&amp;"("&amp;CHOOSE(WEEKDAY($CC242),"日","月","火","水","木","金","土")&amp;")"&amp;" に切れる　"&amp;TEXT($CC242-N('設定'!$C$7),"m/d")&amp;"("&amp;CHOOSE(WEEKDAY($CC242-N('設定'!$C$7)),"日","月","火","水","木","金","土")&amp;")"&amp;" までに次を発注")))</f>
        <v/>
      </c>
      <c r="CP242">
        <f>IF($C242="","",IF('設定'!$C$6="","？ ①在庫を貼る に今日のCSVが貼られていない",IF($CS242=1,"－ 今日のCSVに無い（終売？）",IF($L242&lt;0,"● 在庫がマイナス　数えて「数えた在庫」に入れる",IF($L242=0,"● 在庫なし　至急発注",IF($M242="","？ 減り数が未設定（商品マスタ）",IF($B$3=0,"？ 動員が未入力（動員を入れる）",IF($CA242="","○ 14日以上もつ",IF($BZ242&lt;N('設定'!$C$7),"● "&amp;TEXT($CA242,"m/d")&amp;"("&amp;CHOOSE(WEEKDAY($CA242),"日","月","火","水","木","金","土")&amp;")"&amp;" に切れる　至急発注",IF($BZ242=N('設定'!$C$7),"● "&amp;TEXT($CA242,"m/d")&amp;"("&amp;CHOOSE(WEEKDAY($CA242),"日","月","火","水","木","金","土")&amp;")"&amp;" に切れる　今日発注","△ "&amp;TEXT($CA242,"m/d")&amp;"("&amp;CHOOSE(WEEKDAY($CA242),"日","月","火","水","木","金","土")&amp;")"&amp;" に切れる　"&amp;TEXT($CA242-N('設定'!$C$7),"m/d")&amp;"("&amp;CHOOSE(WEEKDAY($CA242-N('設定'!$C$7)),"日","月","火","水","木","金","土")&amp;")"&amp;" までに発注"))))))))))</f>
        <v/>
      </c>
      <c r="CQ242">
        <f>IF($C242="","",IF(AND($P242="",$Q242="",$S242="",$T242=""),"",IF(AND($P242="",$Q242=""),"⚠ 先に1便目（左の入庫日・入庫数）に入れてください",IF($CI242&lt;&gt;"",$CI242,IF($CJ242&lt;&gt;"",$CJ242,IF($M242="","？ 減り数が未設定（発注書には載ります）",IF($B$3=0,"？ 動員が未入力（発注書には載ります）",IF(AND($CA242&lt;&gt;"",$P242&gt;$CA242),IF($P242&gt;'設定'!$C$6+N('設定'!$C$7),"● "&amp;TEXT($P242,"m/d")&amp;"("&amp;CHOOSE(WEEKDAY($P242),"日","月","火","水","木","金","土")&amp;")"&amp;" の入庫では間に合わない（"&amp;TEXT($CA242,"m/d")&amp;"("&amp;CHOOSE(WEEKDAY($CA242),"日","月","火","水","木","金","土")&amp;")"&amp;" に切れる）　入庫日を早める","△ 欠品 "&amp;TEXT($CA242,"m/d")&amp;"("&amp;CHOOSE(WEEKDAY($CA242),"日","月","火","水","木","金","土")&amp;")"&amp;"〜"&amp;TEXT($P242-1,"m/d")&amp;"("&amp;CHOOSE(WEEKDAY($P242-1),"日","月","火","水","木","金","土")&amp;")"&amp;"　"&amp;$CO242),IF($CC242="","○ "&amp;TEXT($P242,"m/d")&amp;"("&amp;CHOOSE(WEEKDAY($P242),"日","月","火","水","木","金","土")&amp;")"&amp;" 入庫で 14日以上もつ",IF($CC242-N('設定'!$C$7)&lt;='設定'!$C$6,"● 入庫しても "&amp;TEXT($CC242,"m/d")&amp;"("&amp;CHOOSE(WEEKDAY($CC242),"日","月","火","水","木","金","土")&amp;")"&amp;" に切れる　もう1便を至急発注（2便目に入れる）","△ 入庫しても "&amp;TEXT($CC242,"m/d")&amp;"("&amp;CHOOSE(WEEKDAY($CC242),"日","月","火","水","木","金","土")&amp;")"&amp;" に切れる　"&amp;TEXT($CC242-N('設定'!$C$7),"m/d")&amp;"("&amp;CHOOSE(WEEKDAY($CC242-N('設定'!$C$7)),"日","月","火","水","木","金","土")&amp;")"&amp;" までに次を発注（2便目に入れる）"))))))))))</f>
        <v/>
      </c>
      <c r="CR242">
        <f>IF($C242="","",IF($G242&gt;1,"ｹｰｽ("&amp;$G242&amp;"入)","個"))</f>
        <v/>
      </c>
      <c r="CS242">
        <f>IF($C242="",0,IF(COUNTIFS('①在庫を貼る'!$V$6:$V$10005,'設定'!$C$4,'①在庫を貼る'!$W$6:$W$10005,$C242)=0,1,0))</f>
        <v/>
      </c>
      <c r="CT242">
        <f>IF(AND($CK242=1,OR('③発注書'!$C$4="すべて",'③発注書'!$C$4="",$F242='③発注書'!$C$4)),N($CT241)+1,N($CT241))</f>
        <v/>
      </c>
      <c r="CU242">
        <f>IF(AND($CL242=1,OR('③発注書'!$C$4="すべて",'③発注書'!$C$4="",$F242='③発注書'!$C$4)),N($CU241)+1,N($CU241))</f>
        <v/>
      </c>
      <c r="CV242">
        <f>IF($C242="",0,IF(COUNTIFS('①在庫を貼る'!$V$6:$V$10005,'設定'!$C$4,'①在庫を貼る'!$W$6:$W$10005,$C242)&gt;0,1,0))</f>
        <v/>
      </c>
      <c r="CW242">
        <f>IF($C242="",0,IF(COUNTIFS('月1回_1ヶ月前の在庫'!$V$6:$V$10005,'設定'!$C$4,'月1回_1ヶ月前の在庫'!$W$6:$W$10005,$C242)&gt;0,1,0))</f>
        <v/>
      </c>
      <c r="CX242">
        <f>IF($C242="",0,IF(COUNTIFS('月1回_2ヶ月前の在庫'!$V$6:$V$10005,'設定'!$C$4,'月1回_2ヶ月前の在庫'!$W$6:$W$10005,$C242)&gt;0,1,0))</f>
        <v/>
      </c>
      <c r="CY242">
        <f>IF(OR($C242="",'設定'!$C$12=""),"",IF('設定'!$C$13="",IF(AND($CV242=1,$CW242=0),"新商品（今月から）",IF(AND($CV242=0,$CW242=1),"終売（今月から）","")),IF(AND($CV242=1,$CW242=0,$CX242=0),"新商品（今月から）",IF(AND($CV242=1,$CW242=1,$CX242=0),"新商品（先月から）",IF(AND($CV242=0,$CW242=1,$CX242=1),"終売（今月から）",IF(AND($CV242=0,$CW242=0,$CX242=1),"終売（先月から）",IF(AND($CV242=1,$CW242=0,$CX242=1),"復活（先月は無し）","")))))))</f>
        <v/>
      </c>
    </row>
    <row r="243">
      <c r="B243">
        <f>IF(238&lt;='設定'!$C$11,238,"")</f>
        <v/>
      </c>
      <c r="C243">
        <f>IF($B243="","",IF($B243&lt;='設定'!$C$20,INDEX('商品マスタ'!$B$6:$B$1005,MATCH($B243,'商品マスタ'!$M$6:$M$1005,0)),IF($B243&lt;='設定'!$C$20+'設定'!$C$17,INDEX('①在庫を貼る'!$W$6:$W$10005,MATCH($B243-'設定'!$C$20,'①在庫を貼る'!$U$6:$U$10005,0)),IF($B243&lt;='設定'!$C$20+'設定'!$C$17+'設定'!$C$18,INDEX('月1回_1ヶ月前の在庫'!$W$6:$W$10005,MATCH($B243-'設定'!$C$20-'設定'!$C$17,'月1回_1ヶ月前の在庫'!$U$6:$U$10005,0)),INDEX('月1回_2ヶ月前の在庫'!$W$6:$W$10005,MATCH($B243-'設定'!$C$20-'設定'!$C$17-'設定'!$C$18,'月1回_2ヶ月前の在庫'!$U$6:$U$10005,0))))))</f>
        <v/>
      </c>
      <c r="D243">
        <f>IF($C243="","",IFERROR(IF(INDEX('商品マスタ'!$C$6:$C$1005,MATCH($C243,'商品マスタ'!$B$6:$B$1005,0))="",IFERROR(INDEX('①在庫を貼る'!$J$6:$J$10005,MATCH($C243,'①在庫を貼る'!$W$6:$W$10005,0)),IFERROR(INDEX('月1回_1ヶ月前の在庫'!$J$6:$J$10005,MATCH($C243,'月1回_1ヶ月前の在庫'!$W$6:$W$10005,0)),IFERROR(INDEX('月1回_2ヶ月前の在庫'!$J$6:$J$10005,MATCH($C243,'月1回_2ヶ月前の在庫'!$W$6:$W$10005,0)),""))),INDEX('商品マスタ'!$C$6:$C$1005,MATCH($C243,'商品マスタ'!$B$6:$B$1005,0))),IFERROR(INDEX('①在庫を貼る'!$J$6:$J$10005,MATCH($C243,'①在庫を貼る'!$W$6:$W$10005,0)),IFERROR(INDEX('月1回_1ヶ月前の在庫'!$J$6:$J$10005,MATCH($C243,'月1回_1ヶ月前の在庫'!$W$6:$W$10005,0)),IFERROR(INDEX('月1回_2ヶ月前の在庫'!$J$6:$J$10005,MATCH($C243,'月1回_2ヶ月前の在庫'!$W$6:$W$10005,0)),"")))))</f>
        <v/>
      </c>
      <c r="E243">
        <f>IF($C243="","",IFERROR(IF(INDEX('商品マスタ'!$D$6:$D$1005,MATCH($C243,'商品マスタ'!$B$6:$B$1005,0))="",IFERROR(INDEX('①在庫を貼る'!$H$6:$H$10005,MATCH($C243,'①在庫を貼る'!$W$6:$W$10005,0)),IFERROR(INDEX('月1回_1ヶ月前の在庫'!$H$6:$H$10005,MATCH($C243,'月1回_1ヶ月前の在庫'!$W$6:$W$10005,0)),IFERROR(INDEX('月1回_2ヶ月前の在庫'!$H$6:$H$10005,MATCH($C243,'月1回_2ヶ月前の在庫'!$W$6:$W$10005,0)),""))),INDEX('商品マスタ'!$D$6:$D$1005,MATCH($C243,'商品マスタ'!$B$6:$B$1005,0))),IFERROR(INDEX('①在庫を貼る'!$H$6:$H$10005,MATCH($C243,'①在庫を貼る'!$W$6:$W$10005,0)),IFERROR(INDEX('月1回_1ヶ月前の在庫'!$H$6:$H$10005,MATCH($C243,'月1回_1ヶ月前の在庫'!$W$6:$W$10005,0)),IFERROR(INDEX('月1回_2ヶ月前の在庫'!$H$6:$H$10005,MATCH($C243,'月1回_2ヶ月前の在庫'!$W$6:$W$10005,0)),"")))))</f>
        <v/>
      </c>
      <c r="F243">
        <f>IF($C243="","",IFERROR(IF(INDEX('商品マスタ'!$E$6:$E$1005,MATCH($C243,'商品マスタ'!$B$6:$B$1005,0))="",IFERROR(INDEX('①在庫を貼る'!$E$6:$E$10005,MATCH($C243,'①在庫を貼る'!$W$6:$W$10005,0)),IFERROR(INDEX('月1回_1ヶ月前の在庫'!$E$6:$E$10005,MATCH($C243,'月1回_1ヶ月前の在庫'!$W$6:$W$10005,0)),IFERROR(INDEX('月1回_2ヶ月前の在庫'!$E$6:$E$10005,MATCH($C243,'月1回_2ヶ月前の在庫'!$W$6:$W$10005,0)),""))),INDEX('商品マスタ'!$E$6:$E$1005,MATCH($C243,'商品マスタ'!$B$6:$B$1005,0))),IFERROR(INDEX('①在庫を貼る'!$E$6:$E$10005,MATCH($C243,'①在庫を貼る'!$W$6:$W$10005,0)),IFERROR(INDEX('月1回_1ヶ月前の在庫'!$E$6:$E$10005,MATCH($C243,'月1回_1ヶ月前の在庫'!$W$6:$W$10005,0)),IFERROR(INDEX('月1回_2ヶ月前の在庫'!$E$6:$E$10005,MATCH($C243,'月1回_2ヶ月前の在庫'!$W$6:$W$10005,0)),"")))))</f>
        <v/>
      </c>
      <c r="G243">
        <f>IF($C243="","",MAX(1,N(IFERROR(IF(INDEX('商品マスタ'!$F$6:$F$1005,MATCH($C243,'商品マスタ'!$B$6:$B$1005,0))="",IF(COUNTIFS('①在庫を貼る'!$V$6:$V$10005,'設定'!$C$4,'①在庫を貼る'!$W$6:$W$10005,$C243)&gt;0,SUMIFS('①在庫を貼る'!$K$6:$K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K$6:$K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K$6:$K$10005,'月1回_2ヶ月前の在庫'!$V$6:$V$10005,'設定'!$C$4,'月1回_2ヶ月前の在庫'!$W$6:$W$10005,$C243)/COUNTIFS('月1回_2ヶ月前の在庫'!$V$6:$V$10005,'設定'!$C$4,'月1回_2ヶ月前の在庫'!$W$6:$W$10005,$C243),0))),INDEX('商品マスタ'!$F$6:$F$1005,MATCH($C243,'商品マスタ'!$B$6:$B$1005,0))),IF(COUNTIFS('①在庫を貼る'!$V$6:$V$10005,'設定'!$C$4,'①在庫を貼る'!$W$6:$W$10005,$C243)&gt;0,SUMIFS('①在庫を貼る'!$K$6:$K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K$6:$K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K$6:$K$10005,'月1回_2ヶ月前の在庫'!$V$6:$V$10005,'設定'!$C$4,'月1回_2ヶ月前の在庫'!$W$6:$W$10005,$C243)/COUNTIFS('月1回_2ヶ月前の在庫'!$V$6:$V$10005,'設定'!$C$4,'月1回_2ヶ月前の在庫'!$W$6:$W$10005,$C243),0)))))))</f>
        <v/>
      </c>
      <c r="H243">
        <f>IF($C243="","",N(IFERROR(IF(INDEX('商品マスタ'!$G$6:$G$1005,MATCH($C243,'商品マスタ'!$B$6:$B$1005,0))="",IF(COUNTIFS('①在庫を貼る'!$V$6:$V$10005,'設定'!$C$4,'①在庫を貼る'!$W$6:$W$10005,$C243)&gt;0,SUMIFS('①在庫を貼る'!$Q$6:$Q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Q$6:$Q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Q$6:$Q$10005,'月1回_2ヶ月前の在庫'!$V$6:$V$10005,'設定'!$C$4,'月1回_2ヶ月前の在庫'!$W$6:$W$10005,$C243)/COUNTIFS('月1回_2ヶ月前の在庫'!$V$6:$V$10005,'設定'!$C$4,'月1回_2ヶ月前の在庫'!$W$6:$W$10005,$C243),0))),INDEX('商品マスタ'!$G$6:$G$1005,MATCH($C243,'商品マスタ'!$B$6:$B$1005,0))),IF(COUNTIFS('①在庫を貼る'!$V$6:$V$10005,'設定'!$C$4,'①在庫を貼る'!$W$6:$W$10005,$C243)&gt;0,SUMIFS('①在庫を貼る'!$Q$6:$Q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Q$6:$Q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Q$6:$Q$10005,'月1回_2ヶ月前の在庫'!$V$6:$V$10005,'設定'!$C$4,'月1回_2ヶ月前の在庫'!$W$6:$W$10005,$C243)/COUNTIFS('月1回_2ヶ月前の在庫'!$V$6:$V$10005,'設定'!$C$4,'月1回_2ヶ月前の在庫'!$W$6:$W$10005,$C243),0))))))</f>
        <v/>
      </c>
      <c r="I243">
        <f>IF($C243="","",IF(COUNTIFS('①在庫を貼る'!$V$6:$V$10005,'設定'!$C$4,'①在庫を貼る'!$W$6:$W$10005,$C243)=0,"",SUMIFS('①在庫を貼る'!$N$6:$N$10005,'①在庫を貼る'!$V$6:$V$10005,'設定'!$C$4,'①在庫を貼る'!$W$6:$W$10005,$C243)))</f>
        <v/>
      </c>
      <c r="J243">
        <f>IF($C243="","",IF('②発注する'!$AD247="","",'②発注する'!$AD247))</f>
        <v/>
      </c>
      <c r="K243" s="90">
        <f>IF($C243="","",IF('②発注する'!$AE247="","",'②発注する'!$AE247))</f>
        <v/>
      </c>
      <c r="L243">
        <f>IF($C243="","",IF(AND(ISNUMBER($J243),ISNUMBER($K243),$K243&gt;='設定'!$C$6),$J243,N($I243)))</f>
        <v/>
      </c>
      <c r="M243">
        <f>IF($C243="","",IFERROR(IF(N(INDEX('商品マスタ'!$J$6:$J$1005,MATCH($C243,'商品マスタ'!$B$6:$B$1005,0)))&gt;0,INDEX('商品マスタ'!$J$6:$J$1005,MATCH($C243,'商品マスタ'!$B$6:$B$1005,0)),""),""))</f>
        <v/>
      </c>
      <c r="N243">
        <f>IF($C243="","",IFERROR(IF(N(INDEX('商品マスタ'!$H$6:$H$1005,MATCH($C243,'商品マスタ'!$B$6:$B$1005,0)))&gt;0,INDEX('商品マスタ'!$H$6:$H$1005,MATCH($C243,'商品マスタ'!$B$6:$B$1005,0)),""),""))</f>
        <v/>
      </c>
      <c r="O243">
        <f>IF($C243="","",IF($N243&lt;&gt;"",$N243*$G243,IF(N(IF(COUNTIFS('①在庫を貼る'!$V$6:$V$10005,'設定'!$C$4,'①在庫を貼る'!$W$6:$W$10005,$C243)&gt;0,SUMIFS('①在庫を貼る'!$O$6:$O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O$6:$O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O$6:$O$10005,'月1回_2ヶ月前の在庫'!$V$6:$V$10005,'設定'!$C$4,'月1回_2ヶ月前の在庫'!$W$6:$W$10005,$C243)/COUNTIFS('月1回_2ヶ月前の在庫'!$V$6:$V$10005,'設定'!$C$4,'月1回_2ヶ月前の在庫'!$W$6:$W$10005,$C243),0))))&gt;0,N(IF(COUNTIFS('①在庫を貼る'!$V$6:$V$10005,'設定'!$C$4,'①在庫を貼る'!$W$6:$W$10005,$C243)&gt;0,SUMIFS('①在庫を貼る'!$O$6:$O$10005,'①在庫を貼る'!$V$6:$V$10005,'設定'!$C$4,'①在庫を貼る'!$W$6:$W$10005,$C243)/COUNTIFS('①在庫を貼る'!$V$6:$V$10005,'設定'!$C$4,'①在庫を貼る'!$W$6:$W$10005,$C243),IF(COUNTIFS('月1回_1ヶ月前の在庫'!$V$6:$V$10005,'設定'!$C$4,'月1回_1ヶ月前の在庫'!$W$6:$W$10005,$C243)&gt;0,SUMIFS('月1回_1ヶ月前の在庫'!$O$6:$O$10005,'月1回_1ヶ月前の在庫'!$V$6:$V$10005,'設定'!$C$4,'月1回_1ヶ月前の在庫'!$W$6:$W$10005,$C243)/COUNTIFS('月1回_1ヶ月前の在庫'!$V$6:$V$10005,'設定'!$C$4,'月1回_1ヶ月前の在庫'!$W$6:$W$10005,$C243),IF(COUNTIFS('月1回_2ヶ月前の在庫'!$V$6:$V$10005,'設定'!$C$4,'月1回_2ヶ月前の在庫'!$W$6:$W$10005,$C243)&gt;0,SUMIFS('月1回_2ヶ月前の在庫'!$O$6:$O$10005,'月1回_2ヶ月前の在庫'!$V$6:$V$10005,'設定'!$C$4,'月1回_2ヶ月前の在庫'!$W$6:$W$10005,$C243)/COUNTIFS('月1回_2ヶ月前の在庫'!$V$6:$V$10005,'設定'!$C$4,'月1回_2ヶ月前の在庫'!$W$6:$W$10005,$C243),0)))),"")))</f>
        <v/>
      </c>
      <c r="P243" s="90">
        <f>IF($C243="","",IF('②発注する'!$I247="","",'②発注する'!$I247))</f>
        <v/>
      </c>
      <c r="Q243">
        <f>IF($C243="","",IF('②発注する'!$J247="","",'②発注する'!$J247))</f>
        <v/>
      </c>
      <c r="R243">
        <f>IF($C243="",0,IF(AND(ISNUMBER($P243),ISNUMBER($Q243)),MAX(0,$Q243)*$G243,0))</f>
        <v/>
      </c>
      <c r="S243" s="90">
        <f>IF($C243="","",IF('②発注する'!$M247="","",'②発注する'!$M247))</f>
        <v/>
      </c>
      <c r="T243">
        <f>IF($C243="","",IF('②発注する'!$N247="","",'②発注する'!$N247))</f>
        <v/>
      </c>
      <c r="U243">
        <f>IF($C243="",0,IF(AND(ISNUMBER($S243),ISNUMBER($T243)),MAX(0,$T243)*$G243,0))</f>
        <v/>
      </c>
      <c r="V243">
        <f>IF($C243="",0,IF($M243="",0,MAX(0,$M243)*MAX(0,V$4)/100))</f>
        <v/>
      </c>
      <c r="W243">
        <f>IF($C243="",0,IF($M243="",0,MAX(0,$M243)*MAX(0,W$4)/100))</f>
        <v/>
      </c>
      <c r="X243">
        <f>IF($C243="",0,IF($M243="",0,MAX(0,$M243)*MAX(0,X$4)/100))</f>
        <v/>
      </c>
      <c r="Y243">
        <f>IF($C243="",0,IF($M243="",0,MAX(0,$M243)*MAX(0,Y$4)/100))</f>
        <v/>
      </c>
      <c r="Z243">
        <f>IF($C243="",0,IF($M243="",0,MAX(0,$M243)*MAX(0,Z$4)/100))</f>
        <v/>
      </c>
      <c r="AA243">
        <f>IF($C243="",0,IF($M243="",0,MAX(0,$M243)*MAX(0,AA$4)/100))</f>
        <v/>
      </c>
      <c r="AB243">
        <f>IF($C243="",0,IF($M243="",0,MAX(0,$M243)*MAX(0,AB$4)/100))</f>
        <v/>
      </c>
      <c r="AC243">
        <f>IF($C243="",0,IF($M243="",0,MAX(0,$M243)*MAX(0,AC$4)/100))</f>
        <v/>
      </c>
      <c r="AD243">
        <f>IF($C243="",0,IF($M243="",0,MAX(0,$M243)*MAX(0,AD$4)/100))</f>
        <v/>
      </c>
      <c r="AE243">
        <f>IF($C243="",0,IF($M243="",0,MAX(0,$M243)*MAX(0,AE$4)/100))</f>
        <v/>
      </c>
      <c r="AF243">
        <f>IF($C243="",0,IF($M243="",0,MAX(0,$M243)*MAX(0,AF$4)/100))</f>
        <v/>
      </c>
      <c r="AG243">
        <f>IF($C243="",0,IF($M243="",0,MAX(0,$M243)*MAX(0,AG$4)/100))</f>
        <v/>
      </c>
      <c r="AH243">
        <f>IF($C243="",0,IF($M243="",0,MAX(0,$M243)*MAX(0,AH$4)/100))</f>
        <v/>
      </c>
      <c r="AI243">
        <f>IF($C243="",0,IF($M243="",0,MAX(0,$M243)*MAX(0,AI$4)/100))</f>
        <v/>
      </c>
      <c r="AJ243">
        <f>IF($C243="",0,MAX(0,MAX(0,N($L243))-$V243))</f>
        <v/>
      </c>
      <c r="AK243">
        <f>IF($C243="",0,MAX(0,$AJ243-$W243))</f>
        <v/>
      </c>
      <c r="AL243">
        <f>IF($C243="",0,MAX(0,$AK243-$X243))</f>
        <v/>
      </c>
      <c r="AM243">
        <f>IF($C243="",0,MAX(0,$AL243-$Y243))</f>
        <v/>
      </c>
      <c r="AN243">
        <f>IF($C243="",0,MAX(0,$AM243-$Z243))</f>
        <v/>
      </c>
      <c r="AO243">
        <f>IF($C243="",0,MAX(0,$AN243-$AA243))</f>
        <v/>
      </c>
      <c r="AP243">
        <f>IF($C243="",0,MAX(0,$AO243-$AB243))</f>
        <v/>
      </c>
      <c r="AQ243">
        <f>IF($C243="",0,MAX(0,$AP243-$AC243))</f>
        <v/>
      </c>
      <c r="AR243">
        <f>IF($C243="",0,MAX(0,$AQ243-$AD243))</f>
        <v/>
      </c>
      <c r="AS243">
        <f>IF($C243="",0,MAX(0,$AR243-$AE243))</f>
        <v/>
      </c>
      <c r="AT243">
        <f>IF($C243="",0,MAX(0,$AS243-$AF243))</f>
        <v/>
      </c>
      <c r="AU243">
        <f>IF($C243="",0,MAX(0,$AT243-$AG243))</f>
        <v/>
      </c>
      <c r="AV243">
        <f>IF($C243="",0,MAX(0,$AU243-$AH243))</f>
        <v/>
      </c>
      <c r="AW243">
        <f>IF($C243="",0,MAX(0,$AV243-$AI243))</f>
        <v/>
      </c>
      <c r="AX243">
        <f>IF($C243="",0,MAX(0,MAX(0,N($L243))+IF($P243=V$3,$R243,0)+IF($S243=V$3,$U243,0)-$V243))</f>
        <v/>
      </c>
      <c r="AY243">
        <f>IF($C243="",0,MAX(0,$AX243+IF($P243=W$3,$R243,0)+IF($S243=W$3,$U243,0)-$W243))</f>
        <v/>
      </c>
      <c r="AZ243">
        <f>IF($C243="",0,MAX(0,$AY243+IF($P243=X$3,$R243,0)+IF($S243=X$3,$U243,0)-$X243))</f>
        <v/>
      </c>
      <c r="BA243">
        <f>IF($C243="",0,MAX(0,$AZ243+IF($P243=Y$3,$R243,0)+IF($S243=Y$3,$U243,0)-$Y243))</f>
        <v/>
      </c>
      <c r="BB243">
        <f>IF($C243="",0,MAX(0,$BA243+IF($P243=Z$3,$R243,0)+IF($S243=Z$3,$U243,0)-$Z243))</f>
        <v/>
      </c>
      <c r="BC243">
        <f>IF($C243="",0,MAX(0,$BB243+IF($P243=AA$3,$R243,0)+IF($S243=AA$3,$U243,0)-$AA243))</f>
        <v/>
      </c>
      <c r="BD243">
        <f>IF($C243="",0,MAX(0,$BC243+IF($P243=AB$3,$R243,0)+IF($S243=AB$3,$U243,0)-$AB243))</f>
        <v/>
      </c>
      <c r="BE243">
        <f>IF($C243="",0,MAX(0,$BD243+IF($P243=AC$3,$R243,0)+IF($S243=AC$3,$U243,0)-$AC243))</f>
        <v/>
      </c>
      <c r="BF243">
        <f>IF($C243="",0,MAX(0,$BE243+IF($P243=AD$3,$R243,0)+IF($S243=AD$3,$U243,0)-$AD243))</f>
        <v/>
      </c>
      <c r="BG243">
        <f>IF($C243="",0,MAX(0,$BF243+IF($P243=AE$3,$R243,0)+IF($S243=AE$3,$U243,0)-$AE243))</f>
        <v/>
      </c>
      <c r="BH243">
        <f>IF($C243="",0,MAX(0,$BG243+IF($P243=AF$3,$R243,0)+IF($S243=AF$3,$U243,0)-$AF243))</f>
        <v/>
      </c>
      <c r="BI243">
        <f>IF($C243="",0,MAX(0,$BH243+IF($P243=AG$3,$R243,0)+IF($S243=AG$3,$U243,0)-$AG243))</f>
        <v/>
      </c>
      <c r="BJ243">
        <f>IF($C243="",0,MAX(0,$BI243+IF($P243=AH$3,$R243,0)+IF($S243=AH$3,$U243,0)-$AH243))</f>
        <v/>
      </c>
      <c r="BK243">
        <f>IF($C243="",0,MAX(0,$BJ243+IF($P243=AI$3,$R243,0)+IF($S243=AI$3,$U243,0)-$AI243))</f>
        <v/>
      </c>
      <c r="BL243">
        <f>IF($C243="",99,IF(AND($AX243&lt;1,V$3&gt;=MAX(N($P243),N($S243))),0,99))</f>
        <v/>
      </c>
      <c r="BM243">
        <f>IF($C243="",99,IF(AND($AY243&lt;1,W$3&gt;=MAX(N($P243),N($S243))),1,99))</f>
        <v/>
      </c>
      <c r="BN243">
        <f>IF($C243="",99,IF(AND($AZ243&lt;1,X$3&gt;=MAX(N($P243),N($S243))),2,99))</f>
        <v/>
      </c>
      <c r="BO243">
        <f>IF($C243="",99,IF(AND($BA243&lt;1,Y$3&gt;=MAX(N($P243),N($S243))),3,99))</f>
        <v/>
      </c>
      <c r="BP243">
        <f>IF($C243="",99,IF(AND($BB243&lt;1,Z$3&gt;=MAX(N($P243),N($S243))),4,99))</f>
        <v/>
      </c>
      <c r="BQ243">
        <f>IF($C243="",99,IF(AND($BC243&lt;1,AA$3&gt;=MAX(N($P243),N($S243))),5,99))</f>
        <v/>
      </c>
      <c r="BR243">
        <f>IF($C243="",99,IF(AND($BD243&lt;1,AB$3&gt;=MAX(N($P243),N($S243))),6,99))</f>
        <v/>
      </c>
      <c r="BS243">
        <f>IF($C243="",99,IF(AND($BE243&lt;1,AC$3&gt;=MAX(N($P243),N($S243))),7,99))</f>
        <v/>
      </c>
      <c r="BT243">
        <f>IF($C243="",99,IF(AND($BF243&lt;1,AD$3&gt;=MAX(N($P243),N($S243))),8,99))</f>
        <v/>
      </c>
      <c r="BU243">
        <f>IF($C243="",99,IF(AND($BG243&lt;1,AE$3&gt;=MAX(N($P243),N($S243))),9,99))</f>
        <v/>
      </c>
      <c r="BV243">
        <f>IF($C243="",99,IF(AND($BH243&lt;1,AF$3&gt;=MAX(N($P243),N($S243))),10,99))</f>
        <v/>
      </c>
      <c r="BW243">
        <f>IF($C243="",99,IF(AND($BI243&lt;1,AG$3&gt;=MAX(N($P243),N($S243))),11,99))</f>
        <v/>
      </c>
      <c r="BX243">
        <f>IF($C243="",99,IF(AND($BJ243&lt;1,AH$3&gt;=MAX(N($P243),N($S243))),12,99))</f>
        <v/>
      </c>
      <c r="BY243">
        <f>IF($C243="",99,IF(AND($BK243&lt;1,AI$3&gt;=MAX(N($P243),N($S243))),13,99))</f>
        <v/>
      </c>
      <c r="BZ243">
        <f>IF(OR($C243="",$M243=""),"",COUNTIF($AJ243:$AW243,"&gt;=1"))</f>
        <v/>
      </c>
      <c r="CA243" s="90">
        <f>IF($BZ243="","",IF($BZ243&gt;=14,"",'設定'!$C$6+$BZ243))</f>
        <v/>
      </c>
      <c r="CB243">
        <f>IF(OR($C243="",$M243=""),"",MIN($BL243:$BY243))</f>
        <v/>
      </c>
      <c r="CC243" s="90">
        <f>IF($CB243="","",IF($CB243&gt;=99,"",'設定'!$C$6+$CB243))</f>
        <v/>
      </c>
      <c r="CD243">
        <f>IF(OR($C243="",$M243=""),"",AVERAGE($V243:$AI243))</f>
        <v/>
      </c>
      <c r="CE243">
        <f>IF($C243="","",IFERROR(IF(MATCH(IF(ISNUMBER($P243),$P243,'設定'!$C$6+N('設定'!$C$7)),$V$3:$AI$3,0)=1,MAX(0,N($L243)),INDEX($AJ243:$AW243,MATCH(IF(ISNUMBER($P243),$P243,'設定'!$C$6+N('設定'!$C$7)),$V$3:$AI$3,0)-1)),""))</f>
        <v/>
      </c>
      <c r="CF243">
        <f>IF(OR($C243="",$O243="",$CE243=""),"",IF($O243-$CE243&lt;=0,0,ROUNDUP(($O243-$CE243)/$G243,0)))</f>
        <v/>
      </c>
      <c r="CG243">
        <f>IF(OR($C243="",$CF243="",NOT(ISNUMBER($Q243))),0,MAX(0,$Q243-$CF243))</f>
        <v/>
      </c>
      <c r="CH243">
        <f>IF(OR($C243="",$O243="",$U243=0),0,IFERROR(ROUNDUP(MAX(0,IF(MATCH($S243,$V$3:$AI$3,0)=1,MAX(0,N($L243)),INDEX($AX243:$BK243,MATCH($S243,$V$3:$AI$3,0)-1))+$U243-$O243)/$G243,0),0))</f>
        <v/>
      </c>
      <c r="CI243">
        <f>IF($C243="","",IF(AND($P243="",$Q243=""),"",IF($P243="","⚠ 入庫日を ▼ から選んでください",IF(NOT(ISNUMBER($P243)),"⚠ 入庫日は ▼ から選んでください",IF($P243&lt;N('設定'!$C$6),"⚠ 入庫日が過去です（もう在庫に入っています）→ 消してください",IF($P243&gt;N('設定'!$C$6)+13,"⚠ 入庫日が14日より先です",IF(N($Q243)&lt;=0,"⚠ 入庫数を入れてください",IF($CG243&gt;0,"⚠ 目安より "&amp;$CG243&amp;" 多い（定数を超える）→ 減らす",""))))))))</f>
        <v/>
      </c>
      <c r="CJ243">
        <f>IF($C243="","",IF(AND($S243="",$T243=""),"",IF($S243="","⚠ 2便目：入庫日を ▼ から選んでください",IF(NOT(ISNUMBER($S243)),"⚠ 2便目：入庫日は ▼ から選んでください",IF($S243&lt;N('設定'!$C$6),"⚠ 2便目：入庫日が過去です（もう在庫に入っています）→ 消してください",IF($S243&gt;N('設定'!$C$6)+13,"⚠ 2便目：入庫日が14日より先です",IF(N($T243)&lt;=0,"⚠ 2便目：入庫数を入れてください",IF($CH243&gt;0,"⚠ 2便目：定数を "&amp;$CH243&amp;" ケース超える → 減らす",""))))))))</f>
        <v/>
      </c>
      <c r="CK243">
        <f>IF(AND($CI243="",N($Q243)&gt;0,ISNUMBER($P243)),1,0)</f>
        <v/>
      </c>
      <c r="CL243">
        <f>IF(AND($CJ243="",N($T243)&gt;0,ISNUMBER($S243)),1,0)</f>
        <v/>
      </c>
      <c r="CM243">
        <f>IF(OR($CK243=1,$CL243=1),1,0)</f>
        <v/>
      </c>
      <c r="CN243">
        <f>IF($C243="",0,($CK243*$R243+$CL243*$U243)*N($H243))</f>
        <v/>
      </c>
      <c r="CO243">
        <f>IF($C243="","",IF($CC243="","入庫後は 14日以上もつ",IF($CC243-N('設定'!$C$7)&lt;='設定'!$C$6,"入庫後も "&amp;TEXT($CC243,"m/d")&amp;"("&amp;CHOOSE(WEEKDAY($CC243),"日","月","火","水","木","金","土")&amp;")"&amp;" に切れる　もう1便を至急発注","入庫後も "&amp;TEXT($CC243,"m/d")&amp;"("&amp;CHOOSE(WEEKDAY($CC243),"日","月","火","水","木","金","土")&amp;")"&amp;" に切れる　"&amp;TEXT($CC243-N('設定'!$C$7),"m/d")&amp;"("&amp;CHOOSE(WEEKDAY($CC243-N('設定'!$C$7)),"日","月","火","水","木","金","土")&amp;")"&amp;" までに次を発注")))</f>
        <v/>
      </c>
      <c r="CP243">
        <f>IF($C243="","",IF('設定'!$C$6="","？ ①在庫を貼る に今日のCSVが貼られていない",IF($CS243=1,"－ 今日のCSVに無い（終売？）",IF($L243&lt;0,"● 在庫がマイナス　数えて「数えた在庫」に入れる",IF($L243=0,"● 在庫なし　至急発注",IF($M243="","？ 減り数が未設定（商品マスタ）",IF($B$3=0,"？ 動員が未入力（動員を入れる）",IF($CA243="","○ 14日以上もつ",IF($BZ243&lt;N('設定'!$C$7),"● "&amp;TEXT($CA243,"m/d")&amp;"("&amp;CHOOSE(WEEKDAY($CA243),"日","月","火","水","木","金","土")&amp;")"&amp;" に切れる　至急発注",IF($BZ243=N('設定'!$C$7),"● "&amp;TEXT($CA243,"m/d")&amp;"("&amp;CHOOSE(WEEKDAY($CA243),"日","月","火","水","木","金","土")&amp;")"&amp;" に切れる　今日発注","△ "&amp;TEXT($CA243,"m/d")&amp;"("&amp;CHOOSE(WEEKDAY($CA243),"日","月","火","水","木","金","土")&amp;")"&amp;" に切れる　"&amp;TEXT($CA243-N('設定'!$C$7),"m/d")&amp;"("&amp;CHOOSE(WEEKDAY($CA243-N('設定'!$C$7)),"日","月","火","水","木","金","土")&amp;")"&amp;" までに発注"))))))))))</f>
        <v/>
      </c>
      <c r="CQ243">
        <f>IF($C243="","",IF(AND($P243="",$Q243="",$S243="",$T243=""),"",IF(AND($P243="",$Q243=""),"⚠ 先に1便目（左の入庫日・入庫数）に入れてください",IF($CI243&lt;&gt;"",$CI243,IF($CJ243&lt;&gt;"",$CJ243,IF($M243="","？ 減り数が未設定（発注書には載ります）",IF($B$3=0,"？ 動員が未入力（発注書には載ります）",IF(AND($CA243&lt;&gt;"",$P243&gt;$CA243),IF($P243&gt;'設定'!$C$6+N('設定'!$C$7),"● "&amp;TEXT($P243,"m/d")&amp;"("&amp;CHOOSE(WEEKDAY($P243),"日","月","火","水","木","金","土")&amp;")"&amp;" の入庫では間に合わない（"&amp;TEXT($CA243,"m/d")&amp;"("&amp;CHOOSE(WEEKDAY($CA243),"日","月","火","水","木","金","土")&amp;")"&amp;" に切れる）　入庫日を早める","△ 欠品 "&amp;TEXT($CA243,"m/d")&amp;"("&amp;CHOOSE(WEEKDAY($CA243),"日","月","火","水","木","金","土")&amp;")"&amp;"〜"&amp;TEXT($P243-1,"m/d")&amp;"("&amp;CHOOSE(WEEKDAY($P243-1),"日","月","火","水","木","金","土")&amp;")"&amp;"　"&amp;$CO243),IF($CC243="","○ "&amp;TEXT($P243,"m/d")&amp;"("&amp;CHOOSE(WEEKDAY($P243),"日","月","火","水","木","金","土")&amp;")"&amp;" 入庫で 14日以上もつ",IF($CC243-N('設定'!$C$7)&lt;='設定'!$C$6,"● 入庫しても "&amp;TEXT($CC243,"m/d")&amp;"("&amp;CHOOSE(WEEKDAY($CC243),"日","月","火","水","木","金","土")&amp;")"&amp;" に切れる　もう1便を至急発注（2便目に入れる）","△ 入庫しても "&amp;TEXT($CC243,"m/d")&amp;"("&amp;CHOOSE(WEEKDAY($CC243),"日","月","火","水","木","金","土")&amp;")"&amp;" に切れる　"&amp;TEXT($CC243-N('設定'!$C$7),"m/d")&amp;"("&amp;CHOOSE(WEEKDAY($CC243-N('設定'!$C$7)),"日","月","火","水","木","金","土")&amp;")"&amp;" までに次を発注（2便目に入れる）"))))))))))</f>
        <v/>
      </c>
      <c r="CR243">
        <f>IF($C243="","",IF($G243&gt;1,"ｹｰｽ("&amp;$G243&amp;"入)","個"))</f>
        <v/>
      </c>
      <c r="CS243">
        <f>IF($C243="",0,IF(COUNTIFS('①在庫を貼る'!$V$6:$V$10005,'設定'!$C$4,'①在庫を貼る'!$W$6:$W$10005,$C243)=0,1,0))</f>
        <v/>
      </c>
      <c r="CT243">
        <f>IF(AND($CK243=1,OR('③発注書'!$C$4="すべて",'③発注書'!$C$4="",$F243='③発注書'!$C$4)),N($CT242)+1,N($CT242))</f>
        <v/>
      </c>
      <c r="CU243">
        <f>IF(AND($CL243=1,OR('③発注書'!$C$4="すべて",'③発注書'!$C$4="",$F243='③発注書'!$C$4)),N($CU242)+1,N($CU242))</f>
        <v/>
      </c>
      <c r="CV243">
        <f>IF($C243="",0,IF(COUNTIFS('①在庫を貼る'!$V$6:$V$10005,'設定'!$C$4,'①在庫を貼る'!$W$6:$W$10005,$C243)&gt;0,1,0))</f>
        <v/>
      </c>
      <c r="CW243">
        <f>IF($C243="",0,IF(COUNTIFS('月1回_1ヶ月前の在庫'!$V$6:$V$10005,'設定'!$C$4,'月1回_1ヶ月前の在庫'!$W$6:$W$10005,$C243)&gt;0,1,0))</f>
        <v/>
      </c>
      <c r="CX243">
        <f>IF($C243="",0,IF(COUNTIFS('月1回_2ヶ月前の在庫'!$V$6:$V$10005,'設定'!$C$4,'月1回_2ヶ月前の在庫'!$W$6:$W$10005,$C243)&gt;0,1,0))</f>
        <v/>
      </c>
      <c r="CY243">
        <f>IF(OR($C243="",'設定'!$C$12=""),"",IF('設定'!$C$13="",IF(AND($CV243=1,$CW243=0),"新商品（今月から）",IF(AND($CV243=0,$CW243=1),"終売（今月から）","")),IF(AND($CV243=1,$CW243=0,$CX243=0),"新商品（今月から）",IF(AND($CV243=1,$CW243=1,$CX243=0),"新商品（先月から）",IF(AND($CV243=0,$CW243=1,$CX243=1),"終売（今月から）",IF(AND($CV243=0,$CW243=0,$CX243=1),"終売（先月から）",IF(AND($CV243=1,$CW243=0,$CX243=1),"復活（先月は無し）","")))))))</f>
        <v/>
      </c>
    </row>
    <row r="244">
      <c r="B244">
        <f>IF(239&lt;='設定'!$C$11,239,"")</f>
        <v/>
      </c>
      <c r="C244">
        <f>IF($B244="","",IF($B244&lt;='設定'!$C$20,INDEX('商品マスタ'!$B$6:$B$1005,MATCH($B244,'商品マスタ'!$M$6:$M$1005,0)),IF($B244&lt;='設定'!$C$20+'設定'!$C$17,INDEX('①在庫を貼る'!$W$6:$W$10005,MATCH($B244-'設定'!$C$20,'①在庫を貼る'!$U$6:$U$10005,0)),IF($B244&lt;='設定'!$C$20+'設定'!$C$17+'設定'!$C$18,INDEX('月1回_1ヶ月前の在庫'!$W$6:$W$10005,MATCH($B244-'設定'!$C$20-'設定'!$C$17,'月1回_1ヶ月前の在庫'!$U$6:$U$10005,0)),INDEX('月1回_2ヶ月前の在庫'!$W$6:$W$10005,MATCH($B244-'設定'!$C$20-'設定'!$C$17-'設定'!$C$18,'月1回_2ヶ月前の在庫'!$U$6:$U$10005,0))))))</f>
        <v/>
      </c>
      <c r="D244">
        <f>IF($C244="","",IFERROR(IF(INDEX('商品マスタ'!$C$6:$C$1005,MATCH($C244,'商品マスタ'!$B$6:$B$1005,0))="",IFERROR(INDEX('①在庫を貼る'!$J$6:$J$10005,MATCH($C244,'①在庫を貼る'!$W$6:$W$10005,0)),IFERROR(INDEX('月1回_1ヶ月前の在庫'!$J$6:$J$10005,MATCH($C244,'月1回_1ヶ月前の在庫'!$W$6:$W$10005,0)),IFERROR(INDEX('月1回_2ヶ月前の在庫'!$J$6:$J$10005,MATCH($C244,'月1回_2ヶ月前の在庫'!$W$6:$W$10005,0)),""))),INDEX('商品マスタ'!$C$6:$C$1005,MATCH($C244,'商品マスタ'!$B$6:$B$1005,0))),IFERROR(INDEX('①在庫を貼る'!$J$6:$J$10005,MATCH($C244,'①在庫を貼る'!$W$6:$W$10005,0)),IFERROR(INDEX('月1回_1ヶ月前の在庫'!$J$6:$J$10005,MATCH($C244,'月1回_1ヶ月前の在庫'!$W$6:$W$10005,0)),IFERROR(INDEX('月1回_2ヶ月前の在庫'!$J$6:$J$10005,MATCH($C244,'月1回_2ヶ月前の在庫'!$W$6:$W$10005,0)),"")))))</f>
        <v/>
      </c>
      <c r="E244">
        <f>IF($C244="","",IFERROR(IF(INDEX('商品マスタ'!$D$6:$D$1005,MATCH($C244,'商品マスタ'!$B$6:$B$1005,0))="",IFERROR(INDEX('①在庫を貼る'!$H$6:$H$10005,MATCH($C244,'①在庫を貼る'!$W$6:$W$10005,0)),IFERROR(INDEX('月1回_1ヶ月前の在庫'!$H$6:$H$10005,MATCH($C244,'月1回_1ヶ月前の在庫'!$W$6:$W$10005,0)),IFERROR(INDEX('月1回_2ヶ月前の在庫'!$H$6:$H$10005,MATCH($C244,'月1回_2ヶ月前の在庫'!$W$6:$W$10005,0)),""))),INDEX('商品マスタ'!$D$6:$D$1005,MATCH($C244,'商品マスタ'!$B$6:$B$1005,0))),IFERROR(INDEX('①在庫を貼る'!$H$6:$H$10005,MATCH($C244,'①在庫を貼る'!$W$6:$W$10005,0)),IFERROR(INDEX('月1回_1ヶ月前の在庫'!$H$6:$H$10005,MATCH($C244,'月1回_1ヶ月前の在庫'!$W$6:$W$10005,0)),IFERROR(INDEX('月1回_2ヶ月前の在庫'!$H$6:$H$10005,MATCH($C244,'月1回_2ヶ月前の在庫'!$W$6:$W$10005,0)),"")))))</f>
        <v/>
      </c>
      <c r="F244">
        <f>IF($C244="","",IFERROR(IF(INDEX('商品マスタ'!$E$6:$E$1005,MATCH($C244,'商品マスタ'!$B$6:$B$1005,0))="",IFERROR(INDEX('①在庫を貼る'!$E$6:$E$10005,MATCH($C244,'①在庫を貼る'!$W$6:$W$10005,0)),IFERROR(INDEX('月1回_1ヶ月前の在庫'!$E$6:$E$10005,MATCH($C244,'月1回_1ヶ月前の在庫'!$W$6:$W$10005,0)),IFERROR(INDEX('月1回_2ヶ月前の在庫'!$E$6:$E$10005,MATCH($C244,'月1回_2ヶ月前の在庫'!$W$6:$W$10005,0)),""))),INDEX('商品マスタ'!$E$6:$E$1005,MATCH($C244,'商品マスタ'!$B$6:$B$1005,0))),IFERROR(INDEX('①在庫を貼る'!$E$6:$E$10005,MATCH($C244,'①在庫を貼る'!$W$6:$W$10005,0)),IFERROR(INDEX('月1回_1ヶ月前の在庫'!$E$6:$E$10005,MATCH($C244,'月1回_1ヶ月前の在庫'!$W$6:$W$10005,0)),IFERROR(INDEX('月1回_2ヶ月前の在庫'!$E$6:$E$10005,MATCH($C244,'月1回_2ヶ月前の在庫'!$W$6:$W$10005,0)),"")))))</f>
        <v/>
      </c>
      <c r="G244">
        <f>IF($C244="","",MAX(1,N(IFERROR(IF(INDEX('商品マスタ'!$F$6:$F$1005,MATCH($C244,'商品マスタ'!$B$6:$B$1005,0))="",IF(COUNTIFS('①在庫を貼る'!$V$6:$V$10005,'設定'!$C$4,'①在庫を貼る'!$W$6:$W$10005,$C244)&gt;0,SUMIFS('①在庫を貼る'!$K$6:$K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K$6:$K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K$6:$K$10005,'月1回_2ヶ月前の在庫'!$V$6:$V$10005,'設定'!$C$4,'月1回_2ヶ月前の在庫'!$W$6:$W$10005,$C244)/COUNTIFS('月1回_2ヶ月前の在庫'!$V$6:$V$10005,'設定'!$C$4,'月1回_2ヶ月前の在庫'!$W$6:$W$10005,$C244),0))),INDEX('商品マスタ'!$F$6:$F$1005,MATCH($C244,'商品マスタ'!$B$6:$B$1005,0))),IF(COUNTIFS('①在庫を貼る'!$V$6:$V$10005,'設定'!$C$4,'①在庫を貼る'!$W$6:$W$10005,$C244)&gt;0,SUMIFS('①在庫を貼る'!$K$6:$K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K$6:$K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K$6:$K$10005,'月1回_2ヶ月前の在庫'!$V$6:$V$10005,'設定'!$C$4,'月1回_2ヶ月前の在庫'!$W$6:$W$10005,$C244)/COUNTIFS('月1回_2ヶ月前の在庫'!$V$6:$V$10005,'設定'!$C$4,'月1回_2ヶ月前の在庫'!$W$6:$W$10005,$C244),0)))))))</f>
        <v/>
      </c>
      <c r="H244">
        <f>IF($C244="","",N(IFERROR(IF(INDEX('商品マスタ'!$G$6:$G$1005,MATCH($C244,'商品マスタ'!$B$6:$B$1005,0))="",IF(COUNTIFS('①在庫を貼る'!$V$6:$V$10005,'設定'!$C$4,'①在庫を貼る'!$W$6:$W$10005,$C244)&gt;0,SUMIFS('①在庫を貼る'!$Q$6:$Q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Q$6:$Q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Q$6:$Q$10005,'月1回_2ヶ月前の在庫'!$V$6:$V$10005,'設定'!$C$4,'月1回_2ヶ月前の在庫'!$W$6:$W$10005,$C244)/COUNTIFS('月1回_2ヶ月前の在庫'!$V$6:$V$10005,'設定'!$C$4,'月1回_2ヶ月前の在庫'!$W$6:$W$10005,$C244),0))),INDEX('商品マスタ'!$G$6:$G$1005,MATCH($C244,'商品マスタ'!$B$6:$B$1005,0))),IF(COUNTIFS('①在庫を貼る'!$V$6:$V$10005,'設定'!$C$4,'①在庫を貼る'!$W$6:$W$10005,$C244)&gt;0,SUMIFS('①在庫を貼る'!$Q$6:$Q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Q$6:$Q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Q$6:$Q$10005,'月1回_2ヶ月前の在庫'!$V$6:$V$10005,'設定'!$C$4,'月1回_2ヶ月前の在庫'!$W$6:$W$10005,$C244)/COUNTIFS('月1回_2ヶ月前の在庫'!$V$6:$V$10005,'設定'!$C$4,'月1回_2ヶ月前の在庫'!$W$6:$W$10005,$C244),0))))))</f>
        <v/>
      </c>
      <c r="I244">
        <f>IF($C244="","",IF(COUNTIFS('①在庫を貼る'!$V$6:$V$10005,'設定'!$C$4,'①在庫を貼る'!$W$6:$W$10005,$C244)=0,"",SUMIFS('①在庫を貼る'!$N$6:$N$10005,'①在庫を貼る'!$V$6:$V$10005,'設定'!$C$4,'①在庫を貼る'!$W$6:$W$10005,$C244)))</f>
        <v/>
      </c>
      <c r="J244">
        <f>IF($C244="","",IF('②発注する'!$AD248="","",'②発注する'!$AD248))</f>
        <v/>
      </c>
      <c r="K244" s="90">
        <f>IF($C244="","",IF('②発注する'!$AE248="","",'②発注する'!$AE248))</f>
        <v/>
      </c>
      <c r="L244">
        <f>IF($C244="","",IF(AND(ISNUMBER($J244),ISNUMBER($K244),$K244&gt;='設定'!$C$6),$J244,N($I244)))</f>
        <v/>
      </c>
      <c r="M244">
        <f>IF($C244="","",IFERROR(IF(N(INDEX('商品マスタ'!$J$6:$J$1005,MATCH($C244,'商品マスタ'!$B$6:$B$1005,0)))&gt;0,INDEX('商品マスタ'!$J$6:$J$1005,MATCH($C244,'商品マスタ'!$B$6:$B$1005,0)),""),""))</f>
        <v/>
      </c>
      <c r="N244">
        <f>IF($C244="","",IFERROR(IF(N(INDEX('商品マスタ'!$H$6:$H$1005,MATCH($C244,'商品マスタ'!$B$6:$B$1005,0)))&gt;0,INDEX('商品マスタ'!$H$6:$H$1005,MATCH($C244,'商品マスタ'!$B$6:$B$1005,0)),""),""))</f>
        <v/>
      </c>
      <c r="O244">
        <f>IF($C244="","",IF($N244&lt;&gt;"",$N244*$G244,IF(N(IF(COUNTIFS('①在庫を貼る'!$V$6:$V$10005,'設定'!$C$4,'①在庫を貼る'!$W$6:$W$10005,$C244)&gt;0,SUMIFS('①在庫を貼る'!$O$6:$O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O$6:$O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O$6:$O$10005,'月1回_2ヶ月前の在庫'!$V$6:$V$10005,'設定'!$C$4,'月1回_2ヶ月前の在庫'!$W$6:$W$10005,$C244)/COUNTIFS('月1回_2ヶ月前の在庫'!$V$6:$V$10005,'設定'!$C$4,'月1回_2ヶ月前の在庫'!$W$6:$W$10005,$C244),0))))&gt;0,N(IF(COUNTIFS('①在庫を貼る'!$V$6:$V$10005,'設定'!$C$4,'①在庫を貼る'!$W$6:$W$10005,$C244)&gt;0,SUMIFS('①在庫を貼る'!$O$6:$O$10005,'①在庫を貼る'!$V$6:$V$10005,'設定'!$C$4,'①在庫を貼る'!$W$6:$W$10005,$C244)/COUNTIFS('①在庫を貼る'!$V$6:$V$10005,'設定'!$C$4,'①在庫を貼る'!$W$6:$W$10005,$C244),IF(COUNTIFS('月1回_1ヶ月前の在庫'!$V$6:$V$10005,'設定'!$C$4,'月1回_1ヶ月前の在庫'!$W$6:$W$10005,$C244)&gt;0,SUMIFS('月1回_1ヶ月前の在庫'!$O$6:$O$10005,'月1回_1ヶ月前の在庫'!$V$6:$V$10005,'設定'!$C$4,'月1回_1ヶ月前の在庫'!$W$6:$W$10005,$C244)/COUNTIFS('月1回_1ヶ月前の在庫'!$V$6:$V$10005,'設定'!$C$4,'月1回_1ヶ月前の在庫'!$W$6:$W$10005,$C244),IF(COUNTIFS('月1回_2ヶ月前の在庫'!$V$6:$V$10005,'設定'!$C$4,'月1回_2ヶ月前の在庫'!$W$6:$W$10005,$C244)&gt;0,SUMIFS('月1回_2ヶ月前の在庫'!$O$6:$O$10005,'月1回_2ヶ月前の在庫'!$V$6:$V$10005,'設定'!$C$4,'月1回_2ヶ月前の在庫'!$W$6:$W$10005,$C244)/COUNTIFS('月1回_2ヶ月前の在庫'!$V$6:$V$10005,'設定'!$C$4,'月1回_2ヶ月前の在庫'!$W$6:$W$10005,$C244),0)))),"")))</f>
        <v/>
      </c>
      <c r="P244" s="90">
        <f>IF($C244="","",IF('②発注する'!$I248="","",'②発注する'!$I248))</f>
        <v/>
      </c>
      <c r="Q244">
        <f>IF($C244="","",IF('②発注する'!$J248="","",'②発注する'!$J248))</f>
        <v/>
      </c>
      <c r="R244">
        <f>IF($C244="",0,IF(AND(ISNUMBER($P244),ISNUMBER($Q244)),MAX(0,$Q244)*$G244,0))</f>
        <v/>
      </c>
      <c r="S244" s="90">
        <f>IF($C244="","",IF('②発注する'!$M248="","",'②発注する'!$M248))</f>
        <v/>
      </c>
      <c r="T244">
        <f>IF($C244="","",IF('②発注する'!$N248="","",'②発注する'!$N248))</f>
        <v/>
      </c>
      <c r="U244">
        <f>IF($C244="",0,IF(AND(ISNUMBER($S244),ISNUMBER($T244)),MAX(0,$T244)*$G244,0))</f>
        <v/>
      </c>
      <c r="V244">
        <f>IF($C244="",0,IF($M244="",0,MAX(0,$M244)*MAX(0,V$4)/100))</f>
        <v/>
      </c>
      <c r="W244">
        <f>IF($C244="",0,IF($M244="",0,MAX(0,$M244)*MAX(0,W$4)/100))</f>
        <v/>
      </c>
      <c r="X244">
        <f>IF($C244="",0,IF($M244="",0,MAX(0,$M244)*MAX(0,X$4)/100))</f>
        <v/>
      </c>
      <c r="Y244">
        <f>IF($C244="",0,IF($M244="",0,MAX(0,$M244)*MAX(0,Y$4)/100))</f>
        <v/>
      </c>
      <c r="Z244">
        <f>IF($C244="",0,IF($M244="",0,MAX(0,$M244)*MAX(0,Z$4)/100))</f>
        <v/>
      </c>
      <c r="AA244">
        <f>IF($C244="",0,IF($M244="",0,MAX(0,$M244)*MAX(0,AA$4)/100))</f>
        <v/>
      </c>
      <c r="AB244">
        <f>IF($C244="",0,IF($M244="",0,MAX(0,$M244)*MAX(0,AB$4)/100))</f>
        <v/>
      </c>
      <c r="AC244">
        <f>IF($C244="",0,IF($M244="",0,MAX(0,$M244)*MAX(0,AC$4)/100))</f>
        <v/>
      </c>
      <c r="AD244">
        <f>IF($C244="",0,IF($M244="",0,MAX(0,$M244)*MAX(0,AD$4)/100))</f>
        <v/>
      </c>
      <c r="AE244">
        <f>IF($C244="",0,IF($M244="",0,MAX(0,$M244)*MAX(0,AE$4)/100))</f>
        <v/>
      </c>
      <c r="AF244">
        <f>IF($C244="",0,IF($M244="",0,MAX(0,$M244)*MAX(0,AF$4)/100))</f>
        <v/>
      </c>
      <c r="AG244">
        <f>IF($C244="",0,IF($M244="",0,MAX(0,$M244)*MAX(0,AG$4)/100))</f>
        <v/>
      </c>
      <c r="AH244">
        <f>IF($C244="",0,IF($M244="",0,MAX(0,$M244)*MAX(0,AH$4)/100))</f>
        <v/>
      </c>
      <c r="AI244">
        <f>IF($C244="",0,IF($M244="",0,MAX(0,$M244)*MAX(0,AI$4)/100))</f>
        <v/>
      </c>
      <c r="AJ244">
        <f>IF($C244="",0,MAX(0,MAX(0,N($L244))-$V244))</f>
        <v/>
      </c>
      <c r="AK244">
        <f>IF($C244="",0,MAX(0,$AJ244-$W244))</f>
        <v/>
      </c>
      <c r="AL244">
        <f>IF($C244="",0,MAX(0,$AK244-$X244))</f>
        <v/>
      </c>
      <c r="AM244">
        <f>IF($C244="",0,MAX(0,$AL244-$Y244))</f>
        <v/>
      </c>
      <c r="AN244">
        <f>IF($C244="",0,MAX(0,$AM244-$Z244))</f>
        <v/>
      </c>
      <c r="AO244">
        <f>IF($C244="",0,MAX(0,$AN244-$AA244))</f>
        <v/>
      </c>
      <c r="AP244">
        <f>IF($C244="",0,MAX(0,$AO244-$AB244))</f>
        <v/>
      </c>
      <c r="AQ244">
        <f>IF($C244="",0,MAX(0,$AP244-$AC244))</f>
        <v/>
      </c>
      <c r="AR244">
        <f>IF($C244="",0,MAX(0,$AQ244-$AD244))</f>
        <v/>
      </c>
      <c r="AS244">
        <f>IF($C244="",0,MAX(0,$AR244-$AE244))</f>
        <v/>
      </c>
      <c r="AT244">
        <f>IF($C244="",0,MAX(0,$AS244-$AF244))</f>
        <v/>
      </c>
      <c r="AU244">
        <f>IF($C244="",0,MAX(0,$AT244-$AG244))</f>
        <v/>
      </c>
      <c r="AV244">
        <f>IF($C244="",0,MAX(0,$AU244-$AH244))</f>
        <v/>
      </c>
      <c r="AW244">
        <f>IF($C244="",0,MAX(0,$AV244-$AI244))</f>
        <v/>
      </c>
      <c r="AX244">
        <f>IF($C244="",0,MAX(0,MAX(0,N($L244))+IF($P244=V$3,$R244,0)+IF($S244=V$3,$U244,0)-$V244))</f>
        <v/>
      </c>
      <c r="AY244">
        <f>IF($C244="",0,MAX(0,$AX244+IF($P244=W$3,$R244,0)+IF($S244=W$3,$U244,0)-$W244))</f>
        <v/>
      </c>
      <c r="AZ244">
        <f>IF($C244="",0,MAX(0,$AY244+IF($P244=X$3,$R244,0)+IF($S244=X$3,$U244,0)-$X244))</f>
        <v/>
      </c>
      <c r="BA244">
        <f>IF($C244="",0,MAX(0,$AZ244+IF($P244=Y$3,$R244,0)+IF($S244=Y$3,$U244,0)-$Y244))</f>
        <v/>
      </c>
      <c r="BB244">
        <f>IF($C244="",0,MAX(0,$BA244+IF($P244=Z$3,$R244,0)+IF($S244=Z$3,$U244,0)-$Z244))</f>
        <v/>
      </c>
      <c r="BC244">
        <f>IF($C244="",0,MAX(0,$BB244+IF($P244=AA$3,$R244,0)+IF($S244=AA$3,$U244,0)-$AA244))</f>
        <v/>
      </c>
      <c r="BD244">
        <f>IF($C244="",0,MAX(0,$BC244+IF($P244=AB$3,$R244,0)+IF($S244=AB$3,$U244,0)-$AB244))</f>
        <v/>
      </c>
      <c r="BE244">
        <f>IF($C244="",0,MAX(0,$BD244+IF($P244=AC$3,$R244,0)+IF($S244=AC$3,$U244,0)-$AC244))</f>
        <v/>
      </c>
      <c r="BF244">
        <f>IF($C244="",0,MAX(0,$BE244+IF($P244=AD$3,$R244,0)+IF($S244=AD$3,$U244,0)-$AD244))</f>
        <v/>
      </c>
      <c r="BG244">
        <f>IF($C244="",0,MAX(0,$BF244+IF($P244=AE$3,$R244,0)+IF($S244=AE$3,$U244,0)-$AE244))</f>
        <v/>
      </c>
      <c r="BH244">
        <f>IF($C244="",0,MAX(0,$BG244+IF($P244=AF$3,$R244,0)+IF($S244=AF$3,$U244,0)-$AF244))</f>
        <v/>
      </c>
      <c r="BI244">
        <f>IF($C244="",0,MAX(0,$BH244+IF($P244=AG$3,$R244,0)+IF($S244=AG$3,$U244,0)-$AG244))</f>
        <v/>
      </c>
      <c r="BJ244">
        <f>IF($C244="",0,MAX(0,$BI244+IF($P244=AH$3,$R244,0)+IF($S244=AH$3,$U244,0)-$AH244))</f>
        <v/>
      </c>
      <c r="BK244">
        <f>IF($C244="",0,MAX(0,$BJ244+IF($P244=AI$3,$R244,0)+IF($S244=AI$3,$U244,0)-$AI244))</f>
        <v/>
      </c>
      <c r="BL244">
        <f>IF($C244="",99,IF(AND($AX244&lt;1,V$3&gt;=MAX(N($P244),N($S244))),0,99))</f>
        <v/>
      </c>
      <c r="BM244">
        <f>IF($C244="",99,IF(AND($AY244&lt;1,W$3&gt;=MAX(N($P244),N($S244))),1,99))</f>
        <v/>
      </c>
      <c r="BN244">
        <f>IF($C244="",99,IF(AND($AZ244&lt;1,X$3&gt;=MAX(N($P244),N($S244))),2,99))</f>
        <v/>
      </c>
      <c r="BO244">
        <f>IF($C244="",99,IF(AND($BA244&lt;1,Y$3&gt;=MAX(N($P244),N($S244))),3,99))</f>
        <v/>
      </c>
      <c r="BP244">
        <f>IF($C244="",99,IF(AND($BB244&lt;1,Z$3&gt;=MAX(N($P244),N($S244))),4,99))</f>
        <v/>
      </c>
      <c r="BQ244">
        <f>IF($C244="",99,IF(AND($BC244&lt;1,AA$3&gt;=MAX(N($P244),N($S244))),5,99))</f>
        <v/>
      </c>
      <c r="BR244">
        <f>IF($C244="",99,IF(AND($BD244&lt;1,AB$3&gt;=MAX(N($P244),N($S244))),6,99))</f>
        <v/>
      </c>
      <c r="BS244">
        <f>IF($C244="",99,IF(AND($BE244&lt;1,AC$3&gt;=MAX(N($P244),N($S244))),7,99))</f>
        <v/>
      </c>
      <c r="BT244">
        <f>IF($C244="",99,IF(AND($BF244&lt;1,AD$3&gt;=MAX(N($P244),N($S244))),8,99))</f>
        <v/>
      </c>
      <c r="BU244">
        <f>IF($C244="",99,IF(AND($BG244&lt;1,AE$3&gt;=MAX(N($P244),N($S244))),9,99))</f>
        <v/>
      </c>
      <c r="BV244">
        <f>IF($C244="",99,IF(AND($BH244&lt;1,AF$3&gt;=MAX(N($P244),N($S244))),10,99))</f>
        <v/>
      </c>
      <c r="BW244">
        <f>IF($C244="",99,IF(AND($BI244&lt;1,AG$3&gt;=MAX(N($P244),N($S244))),11,99))</f>
        <v/>
      </c>
      <c r="BX244">
        <f>IF($C244="",99,IF(AND($BJ244&lt;1,AH$3&gt;=MAX(N($P244),N($S244))),12,99))</f>
        <v/>
      </c>
      <c r="BY244">
        <f>IF($C244="",99,IF(AND($BK244&lt;1,AI$3&gt;=MAX(N($P244),N($S244))),13,99))</f>
        <v/>
      </c>
      <c r="BZ244">
        <f>IF(OR($C244="",$M244=""),"",COUNTIF($AJ244:$AW244,"&gt;=1"))</f>
        <v/>
      </c>
      <c r="CA244" s="90">
        <f>IF($BZ244="","",IF($BZ244&gt;=14,"",'設定'!$C$6+$BZ244))</f>
        <v/>
      </c>
      <c r="CB244">
        <f>IF(OR($C244="",$M244=""),"",MIN($BL244:$BY244))</f>
        <v/>
      </c>
      <c r="CC244" s="90">
        <f>IF($CB244="","",IF($CB244&gt;=99,"",'設定'!$C$6+$CB244))</f>
        <v/>
      </c>
      <c r="CD244">
        <f>IF(OR($C244="",$M244=""),"",AVERAGE($V244:$AI244))</f>
        <v/>
      </c>
      <c r="CE244">
        <f>IF($C244="","",IFERROR(IF(MATCH(IF(ISNUMBER($P244),$P244,'設定'!$C$6+N('設定'!$C$7)),$V$3:$AI$3,0)=1,MAX(0,N($L244)),INDEX($AJ244:$AW244,MATCH(IF(ISNUMBER($P244),$P244,'設定'!$C$6+N('設定'!$C$7)),$V$3:$AI$3,0)-1)),""))</f>
        <v/>
      </c>
      <c r="CF244">
        <f>IF(OR($C244="",$O244="",$CE244=""),"",IF($O244-$CE244&lt;=0,0,ROUNDUP(($O244-$CE244)/$G244,0)))</f>
        <v/>
      </c>
      <c r="CG244">
        <f>IF(OR($C244="",$CF244="",NOT(ISNUMBER($Q244))),0,MAX(0,$Q244-$CF244))</f>
        <v/>
      </c>
      <c r="CH244">
        <f>IF(OR($C244="",$O244="",$U244=0),0,IFERROR(ROUNDUP(MAX(0,IF(MATCH($S244,$V$3:$AI$3,0)=1,MAX(0,N($L244)),INDEX($AX244:$BK244,MATCH($S244,$V$3:$AI$3,0)-1))+$U244-$O244)/$G244,0),0))</f>
        <v/>
      </c>
      <c r="CI244">
        <f>IF($C244="","",IF(AND($P244="",$Q244=""),"",IF($P244="","⚠ 入庫日を ▼ から選んでください",IF(NOT(ISNUMBER($P244)),"⚠ 入庫日は ▼ から選んでください",IF($P244&lt;N('設定'!$C$6),"⚠ 入庫日が過去です（もう在庫に入っています）→ 消してください",IF($P244&gt;N('設定'!$C$6)+13,"⚠ 入庫日が14日より先です",IF(N($Q244)&lt;=0,"⚠ 入庫数を入れてください",IF($CG244&gt;0,"⚠ 目安より "&amp;$CG244&amp;" 多い（定数を超える）→ 減らす",""))))))))</f>
        <v/>
      </c>
      <c r="CJ244">
        <f>IF($C244="","",IF(AND($S244="",$T244=""),"",IF($S244="","⚠ 2便目：入庫日を ▼ から選んでください",IF(NOT(ISNUMBER($S244)),"⚠ 2便目：入庫日は ▼ から選んでください",IF($S244&lt;N('設定'!$C$6),"⚠ 2便目：入庫日が過去です（もう在庫に入っています）→ 消してください",IF($S244&gt;N('設定'!$C$6)+13,"⚠ 2便目：入庫日が14日より先です",IF(N($T244)&lt;=0,"⚠ 2便目：入庫数を入れてください",IF($CH244&gt;0,"⚠ 2便目：定数を "&amp;$CH244&amp;" ケース超える → 減らす",""))))))))</f>
        <v/>
      </c>
      <c r="CK244">
        <f>IF(AND($CI244="",N($Q244)&gt;0,ISNUMBER($P244)),1,0)</f>
        <v/>
      </c>
      <c r="CL244">
        <f>IF(AND($CJ244="",N($T244)&gt;0,ISNUMBER($S244)),1,0)</f>
        <v/>
      </c>
      <c r="CM244">
        <f>IF(OR($CK244=1,$CL244=1),1,0)</f>
        <v/>
      </c>
      <c r="CN244">
        <f>IF($C244="",0,($CK244*$R244+$CL244*$U244)*N($H244))</f>
        <v/>
      </c>
      <c r="CO244">
        <f>IF($C244="","",IF($CC244="","入庫後は 14日以上もつ",IF($CC244-N('設定'!$C$7)&lt;='設定'!$C$6,"入庫後も "&amp;TEXT($CC244,"m/d")&amp;"("&amp;CHOOSE(WEEKDAY($CC244),"日","月","火","水","木","金","土")&amp;")"&amp;" に切れる　もう1便を至急発注","入庫後も "&amp;TEXT($CC244,"m/d")&amp;"("&amp;CHOOSE(WEEKDAY($CC244),"日","月","火","水","木","金","土")&amp;")"&amp;" に切れる　"&amp;TEXT($CC244-N('設定'!$C$7),"m/d")&amp;"("&amp;CHOOSE(WEEKDAY($CC244-N('設定'!$C$7)),"日","月","火","水","木","金","土")&amp;")"&amp;" までに次を発注")))</f>
        <v/>
      </c>
      <c r="CP244">
        <f>IF($C244="","",IF('設定'!$C$6="","？ ①在庫を貼る に今日のCSVが貼られていない",IF($CS244=1,"－ 今日のCSVに無い（終売？）",IF($L244&lt;0,"● 在庫がマイナス　数えて「数えた在庫」に入れる",IF($L244=0,"● 在庫なし　至急発注",IF($M244="","？ 減り数が未設定（商品マスタ）",IF($B$3=0,"？ 動員が未入力（動員を入れる）",IF($CA244="","○ 14日以上もつ",IF($BZ244&lt;N('設定'!$C$7),"● "&amp;TEXT($CA244,"m/d")&amp;"("&amp;CHOOSE(WEEKDAY($CA244),"日","月","火","水","木","金","土")&amp;")"&amp;" に切れる　至急発注",IF($BZ244=N('設定'!$C$7),"● "&amp;TEXT($CA244,"m/d")&amp;"("&amp;CHOOSE(WEEKDAY($CA244),"日","月","火","水","木","金","土")&amp;")"&amp;" に切れる　今日発注","△ "&amp;TEXT($CA244,"m/d")&amp;"("&amp;CHOOSE(WEEKDAY($CA244),"日","月","火","水","木","金","土")&amp;")"&amp;" に切れる　"&amp;TEXT($CA244-N('設定'!$C$7),"m/d")&amp;"("&amp;CHOOSE(WEEKDAY($CA244-N('設定'!$C$7)),"日","月","火","水","木","金","土")&amp;")"&amp;" までに発注"))))))))))</f>
        <v/>
      </c>
      <c r="CQ244">
        <f>IF($C244="","",IF(AND($P244="",$Q244="",$S244="",$T244=""),"",IF(AND($P244="",$Q244=""),"⚠ 先に1便目（左の入庫日・入庫数）に入れてください",IF($CI244&lt;&gt;"",$CI244,IF($CJ244&lt;&gt;"",$CJ244,IF($M244="","？ 減り数が未設定（発注書には載ります）",IF($B$3=0,"？ 動員が未入力（発注書には載ります）",IF(AND($CA244&lt;&gt;"",$P244&gt;$CA244),IF($P244&gt;'設定'!$C$6+N('設定'!$C$7),"● "&amp;TEXT($P244,"m/d")&amp;"("&amp;CHOOSE(WEEKDAY($P244),"日","月","火","水","木","金","土")&amp;")"&amp;" の入庫では間に合わない（"&amp;TEXT($CA244,"m/d")&amp;"("&amp;CHOOSE(WEEKDAY($CA244),"日","月","火","水","木","金","土")&amp;")"&amp;" に切れる）　入庫日を早める","△ 欠品 "&amp;TEXT($CA244,"m/d")&amp;"("&amp;CHOOSE(WEEKDAY($CA244),"日","月","火","水","木","金","土")&amp;")"&amp;"〜"&amp;TEXT($P244-1,"m/d")&amp;"("&amp;CHOOSE(WEEKDAY($P244-1),"日","月","火","水","木","金","土")&amp;")"&amp;"　"&amp;$CO244),IF($CC244="","○ "&amp;TEXT($P244,"m/d")&amp;"("&amp;CHOOSE(WEEKDAY($P244),"日","月","火","水","木","金","土")&amp;")"&amp;" 入庫で 14日以上もつ",IF($CC244-N('設定'!$C$7)&lt;='設定'!$C$6,"● 入庫しても "&amp;TEXT($CC244,"m/d")&amp;"("&amp;CHOOSE(WEEKDAY($CC244),"日","月","火","水","木","金","土")&amp;")"&amp;" に切れる　もう1便を至急発注（2便目に入れる）","△ 入庫しても "&amp;TEXT($CC244,"m/d")&amp;"("&amp;CHOOSE(WEEKDAY($CC244),"日","月","火","水","木","金","土")&amp;")"&amp;" に切れる　"&amp;TEXT($CC244-N('設定'!$C$7),"m/d")&amp;"("&amp;CHOOSE(WEEKDAY($CC244-N('設定'!$C$7)),"日","月","火","水","木","金","土")&amp;")"&amp;" までに次を発注（2便目に入れる）"))))))))))</f>
        <v/>
      </c>
      <c r="CR244">
        <f>IF($C244="","",IF($G244&gt;1,"ｹｰｽ("&amp;$G244&amp;"入)","個"))</f>
        <v/>
      </c>
      <c r="CS244">
        <f>IF($C244="",0,IF(COUNTIFS('①在庫を貼る'!$V$6:$V$10005,'設定'!$C$4,'①在庫を貼る'!$W$6:$W$10005,$C244)=0,1,0))</f>
        <v/>
      </c>
      <c r="CT244">
        <f>IF(AND($CK244=1,OR('③発注書'!$C$4="すべて",'③発注書'!$C$4="",$F244='③発注書'!$C$4)),N($CT243)+1,N($CT243))</f>
        <v/>
      </c>
      <c r="CU244">
        <f>IF(AND($CL244=1,OR('③発注書'!$C$4="すべて",'③発注書'!$C$4="",$F244='③発注書'!$C$4)),N($CU243)+1,N($CU243))</f>
        <v/>
      </c>
      <c r="CV244">
        <f>IF($C244="",0,IF(COUNTIFS('①在庫を貼る'!$V$6:$V$10005,'設定'!$C$4,'①在庫を貼る'!$W$6:$W$10005,$C244)&gt;0,1,0))</f>
        <v/>
      </c>
      <c r="CW244">
        <f>IF($C244="",0,IF(COUNTIFS('月1回_1ヶ月前の在庫'!$V$6:$V$10005,'設定'!$C$4,'月1回_1ヶ月前の在庫'!$W$6:$W$10005,$C244)&gt;0,1,0))</f>
        <v/>
      </c>
      <c r="CX244">
        <f>IF($C244="",0,IF(COUNTIFS('月1回_2ヶ月前の在庫'!$V$6:$V$10005,'設定'!$C$4,'月1回_2ヶ月前の在庫'!$W$6:$W$10005,$C244)&gt;0,1,0))</f>
        <v/>
      </c>
      <c r="CY244">
        <f>IF(OR($C244="",'設定'!$C$12=""),"",IF('設定'!$C$13="",IF(AND($CV244=1,$CW244=0),"新商品（今月から）",IF(AND($CV244=0,$CW244=1),"終売（今月から）","")),IF(AND($CV244=1,$CW244=0,$CX244=0),"新商品（今月から）",IF(AND($CV244=1,$CW244=1,$CX244=0),"新商品（先月から）",IF(AND($CV244=0,$CW244=1,$CX244=1),"終売（今月から）",IF(AND($CV244=0,$CW244=0,$CX244=1),"終売（先月から）",IF(AND($CV244=1,$CW244=0,$CX244=1),"復活（先月は無し）","")))))))</f>
        <v/>
      </c>
    </row>
    <row r="245">
      <c r="B245">
        <f>IF(240&lt;='設定'!$C$11,240,"")</f>
        <v/>
      </c>
      <c r="C245">
        <f>IF($B245="","",IF($B245&lt;='設定'!$C$20,INDEX('商品マスタ'!$B$6:$B$1005,MATCH($B245,'商品マスタ'!$M$6:$M$1005,0)),IF($B245&lt;='設定'!$C$20+'設定'!$C$17,INDEX('①在庫を貼る'!$W$6:$W$10005,MATCH($B245-'設定'!$C$20,'①在庫を貼る'!$U$6:$U$10005,0)),IF($B245&lt;='設定'!$C$20+'設定'!$C$17+'設定'!$C$18,INDEX('月1回_1ヶ月前の在庫'!$W$6:$W$10005,MATCH($B245-'設定'!$C$20-'設定'!$C$17,'月1回_1ヶ月前の在庫'!$U$6:$U$10005,0)),INDEX('月1回_2ヶ月前の在庫'!$W$6:$W$10005,MATCH($B245-'設定'!$C$20-'設定'!$C$17-'設定'!$C$18,'月1回_2ヶ月前の在庫'!$U$6:$U$10005,0))))))</f>
        <v/>
      </c>
      <c r="D245">
        <f>IF($C245="","",IFERROR(IF(INDEX('商品マスタ'!$C$6:$C$1005,MATCH($C245,'商品マスタ'!$B$6:$B$1005,0))="",IFERROR(INDEX('①在庫を貼る'!$J$6:$J$10005,MATCH($C245,'①在庫を貼る'!$W$6:$W$10005,0)),IFERROR(INDEX('月1回_1ヶ月前の在庫'!$J$6:$J$10005,MATCH($C245,'月1回_1ヶ月前の在庫'!$W$6:$W$10005,0)),IFERROR(INDEX('月1回_2ヶ月前の在庫'!$J$6:$J$10005,MATCH($C245,'月1回_2ヶ月前の在庫'!$W$6:$W$10005,0)),""))),INDEX('商品マスタ'!$C$6:$C$1005,MATCH($C245,'商品マスタ'!$B$6:$B$1005,0))),IFERROR(INDEX('①在庫を貼る'!$J$6:$J$10005,MATCH($C245,'①在庫を貼る'!$W$6:$W$10005,0)),IFERROR(INDEX('月1回_1ヶ月前の在庫'!$J$6:$J$10005,MATCH($C245,'月1回_1ヶ月前の在庫'!$W$6:$W$10005,0)),IFERROR(INDEX('月1回_2ヶ月前の在庫'!$J$6:$J$10005,MATCH($C245,'月1回_2ヶ月前の在庫'!$W$6:$W$10005,0)),"")))))</f>
        <v/>
      </c>
      <c r="E245">
        <f>IF($C245="","",IFERROR(IF(INDEX('商品マスタ'!$D$6:$D$1005,MATCH($C245,'商品マスタ'!$B$6:$B$1005,0))="",IFERROR(INDEX('①在庫を貼る'!$H$6:$H$10005,MATCH($C245,'①在庫を貼る'!$W$6:$W$10005,0)),IFERROR(INDEX('月1回_1ヶ月前の在庫'!$H$6:$H$10005,MATCH($C245,'月1回_1ヶ月前の在庫'!$W$6:$W$10005,0)),IFERROR(INDEX('月1回_2ヶ月前の在庫'!$H$6:$H$10005,MATCH($C245,'月1回_2ヶ月前の在庫'!$W$6:$W$10005,0)),""))),INDEX('商品マスタ'!$D$6:$D$1005,MATCH($C245,'商品マスタ'!$B$6:$B$1005,0))),IFERROR(INDEX('①在庫を貼る'!$H$6:$H$10005,MATCH($C245,'①在庫を貼る'!$W$6:$W$10005,0)),IFERROR(INDEX('月1回_1ヶ月前の在庫'!$H$6:$H$10005,MATCH($C245,'月1回_1ヶ月前の在庫'!$W$6:$W$10005,0)),IFERROR(INDEX('月1回_2ヶ月前の在庫'!$H$6:$H$10005,MATCH($C245,'月1回_2ヶ月前の在庫'!$W$6:$W$10005,0)),"")))))</f>
        <v/>
      </c>
      <c r="F245">
        <f>IF($C245="","",IFERROR(IF(INDEX('商品マスタ'!$E$6:$E$1005,MATCH($C245,'商品マスタ'!$B$6:$B$1005,0))="",IFERROR(INDEX('①在庫を貼る'!$E$6:$E$10005,MATCH($C245,'①在庫を貼る'!$W$6:$W$10005,0)),IFERROR(INDEX('月1回_1ヶ月前の在庫'!$E$6:$E$10005,MATCH($C245,'月1回_1ヶ月前の在庫'!$W$6:$W$10005,0)),IFERROR(INDEX('月1回_2ヶ月前の在庫'!$E$6:$E$10005,MATCH($C245,'月1回_2ヶ月前の在庫'!$W$6:$W$10005,0)),""))),INDEX('商品マスタ'!$E$6:$E$1005,MATCH($C245,'商品マスタ'!$B$6:$B$1005,0))),IFERROR(INDEX('①在庫を貼る'!$E$6:$E$10005,MATCH($C245,'①在庫を貼る'!$W$6:$W$10005,0)),IFERROR(INDEX('月1回_1ヶ月前の在庫'!$E$6:$E$10005,MATCH($C245,'月1回_1ヶ月前の在庫'!$W$6:$W$10005,0)),IFERROR(INDEX('月1回_2ヶ月前の在庫'!$E$6:$E$10005,MATCH($C245,'月1回_2ヶ月前の在庫'!$W$6:$W$10005,0)),"")))))</f>
        <v/>
      </c>
      <c r="G245">
        <f>IF($C245="","",MAX(1,N(IFERROR(IF(INDEX('商品マスタ'!$F$6:$F$1005,MATCH($C245,'商品マスタ'!$B$6:$B$1005,0))="",IF(COUNTIFS('①在庫を貼る'!$V$6:$V$10005,'設定'!$C$4,'①在庫を貼る'!$W$6:$W$10005,$C245)&gt;0,SUMIFS('①在庫を貼る'!$K$6:$K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K$6:$K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K$6:$K$10005,'月1回_2ヶ月前の在庫'!$V$6:$V$10005,'設定'!$C$4,'月1回_2ヶ月前の在庫'!$W$6:$W$10005,$C245)/COUNTIFS('月1回_2ヶ月前の在庫'!$V$6:$V$10005,'設定'!$C$4,'月1回_2ヶ月前の在庫'!$W$6:$W$10005,$C245),0))),INDEX('商品マスタ'!$F$6:$F$1005,MATCH($C245,'商品マスタ'!$B$6:$B$1005,0))),IF(COUNTIFS('①在庫を貼る'!$V$6:$V$10005,'設定'!$C$4,'①在庫を貼る'!$W$6:$W$10005,$C245)&gt;0,SUMIFS('①在庫を貼る'!$K$6:$K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K$6:$K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K$6:$K$10005,'月1回_2ヶ月前の在庫'!$V$6:$V$10005,'設定'!$C$4,'月1回_2ヶ月前の在庫'!$W$6:$W$10005,$C245)/COUNTIFS('月1回_2ヶ月前の在庫'!$V$6:$V$10005,'設定'!$C$4,'月1回_2ヶ月前の在庫'!$W$6:$W$10005,$C245),0)))))))</f>
        <v/>
      </c>
      <c r="H245">
        <f>IF($C245="","",N(IFERROR(IF(INDEX('商品マスタ'!$G$6:$G$1005,MATCH($C245,'商品マスタ'!$B$6:$B$1005,0))="",IF(COUNTIFS('①在庫を貼る'!$V$6:$V$10005,'設定'!$C$4,'①在庫を貼る'!$W$6:$W$10005,$C245)&gt;0,SUMIFS('①在庫を貼る'!$Q$6:$Q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Q$6:$Q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Q$6:$Q$10005,'月1回_2ヶ月前の在庫'!$V$6:$V$10005,'設定'!$C$4,'月1回_2ヶ月前の在庫'!$W$6:$W$10005,$C245)/COUNTIFS('月1回_2ヶ月前の在庫'!$V$6:$V$10005,'設定'!$C$4,'月1回_2ヶ月前の在庫'!$W$6:$W$10005,$C245),0))),INDEX('商品マスタ'!$G$6:$G$1005,MATCH($C245,'商品マスタ'!$B$6:$B$1005,0))),IF(COUNTIFS('①在庫を貼る'!$V$6:$V$10005,'設定'!$C$4,'①在庫を貼る'!$W$6:$W$10005,$C245)&gt;0,SUMIFS('①在庫を貼る'!$Q$6:$Q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Q$6:$Q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Q$6:$Q$10005,'月1回_2ヶ月前の在庫'!$V$6:$V$10005,'設定'!$C$4,'月1回_2ヶ月前の在庫'!$W$6:$W$10005,$C245)/COUNTIFS('月1回_2ヶ月前の在庫'!$V$6:$V$10005,'設定'!$C$4,'月1回_2ヶ月前の在庫'!$W$6:$W$10005,$C245),0))))))</f>
        <v/>
      </c>
      <c r="I245">
        <f>IF($C245="","",IF(COUNTIFS('①在庫を貼る'!$V$6:$V$10005,'設定'!$C$4,'①在庫を貼る'!$W$6:$W$10005,$C245)=0,"",SUMIFS('①在庫を貼る'!$N$6:$N$10005,'①在庫を貼る'!$V$6:$V$10005,'設定'!$C$4,'①在庫を貼る'!$W$6:$W$10005,$C245)))</f>
        <v/>
      </c>
      <c r="J245">
        <f>IF($C245="","",IF('②発注する'!$AD249="","",'②発注する'!$AD249))</f>
        <v/>
      </c>
      <c r="K245" s="90">
        <f>IF($C245="","",IF('②発注する'!$AE249="","",'②発注する'!$AE249))</f>
        <v/>
      </c>
      <c r="L245">
        <f>IF($C245="","",IF(AND(ISNUMBER($J245),ISNUMBER($K245),$K245&gt;='設定'!$C$6),$J245,N($I245)))</f>
        <v/>
      </c>
      <c r="M245">
        <f>IF($C245="","",IFERROR(IF(N(INDEX('商品マスタ'!$J$6:$J$1005,MATCH($C245,'商品マスタ'!$B$6:$B$1005,0)))&gt;0,INDEX('商品マスタ'!$J$6:$J$1005,MATCH($C245,'商品マスタ'!$B$6:$B$1005,0)),""),""))</f>
        <v/>
      </c>
      <c r="N245">
        <f>IF($C245="","",IFERROR(IF(N(INDEX('商品マスタ'!$H$6:$H$1005,MATCH($C245,'商品マスタ'!$B$6:$B$1005,0)))&gt;0,INDEX('商品マスタ'!$H$6:$H$1005,MATCH($C245,'商品マスタ'!$B$6:$B$1005,0)),""),""))</f>
        <v/>
      </c>
      <c r="O245">
        <f>IF($C245="","",IF($N245&lt;&gt;"",$N245*$G245,IF(N(IF(COUNTIFS('①在庫を貼る'!$V$6:$V$10005,'設定'!$C$4,'①在庫を貼る'!$W$6:$W$10005,$C245)&gt;0,SUMIFS('①在庫を貼る'!$O$6:$O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O$6:$O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O$6:$O$10005,'月1回_2ヶ月前の在庫'!$V$6:$V$10005,'設定'!$C$4,'月1回_2ヶ月前の在庫'!$W$6:$W$10005,$C245)/COUNTIFS('月1回_2ヶ月前の在庫'!$V$6:$V$10005,'設定'!$C$4,'月1回_2ヶ月前の在庫'!$W$6:$W$10005,$C245),0))))&gt;0,N(IF(COUNTIFS('①在庫を貼る'!$V$6:$V$10005,'設定'!$C$4,'①在庫を貼る'!$W$6:$W$10005,$C245)&gt;0,SUMIFS('①在庫を貼る'!$O$6:$O$10005,'①在庫を貼る'!$V$6:$V$10005,'設定'!$C$4,'①在庫を貼る'!$W$6:$W$10005,$C245)/COUNTIFS('①在庫を貼る'!$V$6:$V$10005,'設定'!$C$4,'①在庫を貼る'!$W$6:$W$10005,$C245),IF(COUNTIFS('月1回_1ヶ月前の在庫'!$V$6:$V$10005,'設定'!$C$4,'月1回_1ヶ月前の在庫'!$W$6:$W$10005,$C245)&gt;0,SUMIFS('月1回_1ヶ月前の在庫'!$O$6:$O$10005,'月1回_1ヶ月前の在庫'!$V$6:$V$10005,'設定'!$C$4,'月1回_1ヶ月前の在庫'!$W$6:$W$10005,$C245)/COUNTIFS('月1回_1ヶ月前の在庫'!$V$6:$V$10005,'設定'!$C$4,'月1回_1ヶ月前の在庫'!$W$6:$W$10005,$C245),IF(COUNTIFS('月1回_2ヶ月前の在庫'!$V$6:$V$10005,'設定'!$C$4,'月1回_2ヶ月前の在庫'!$W$6:$W$10005,$C245)&gt;0,SUMIFS('月1回_2ヶ月前の在庫'!$O$6:$O$10005,'月1回_2ヶ月前の在庫'!$V$6:$V$10005,'設定'!$C$4,'月1回_2ヶ月前の在庫'!$W$6:$W$10005,$C245)/COUNTIFS('月1回_2ヶ月前の在庫'!$V$6:$V$10005,'設定'!$C$4,'月1回_2ヶ月前の在庫'!$W$6:$W$10005,$C245),0)))),"")))</f>
        <v/>
      </c>
      <c r="P245" s="90">
        <f>IF($C245="","",IF('②発注する'!$I249="","",'②発注する'!$I249))</f>
        <v/>
      </c>
      <c r="Q245">
        <f>IF($C245="","",IF('②発注する'!$J249="","",'②発注する'!$J249))</f>
        <v/>
      </c>
      <c r="R245">
        <f>IF($C245="",0,IF(AND(ISNUMBER($P245),ISNUMBER($Q245)),MAX(0,$Q245)*$G245,0))</f>
        <v/>
      </c>
      <c r="S245" s="90">
        <f>IF($C245="","",IF('②発注する'!$M249="","",'②発注する'!$M249))</f>
        <v/>
      </c>
      <c r="T245">
        <f>IF($C245="","",IF('②発注する'!$N249="","",'②発注する'!$N249))</f>
        <v/>
      </c>
      <c r="U245">
        <f>IF($C245="",0,IF(AND(ISNUMBER($S245),ISNUMBER($T245)),MAX(0,$T245)*$G245,0))</f>
        <v/>
      </c>
      <c r="V245">
        <f>IF($C245="",0,IF($M245="",0,MAX(0,$M245)*MAX(0,V$4)/100))</f>
        <v/>
      </c>
      <c r="W245">
        <f>IF($C245="",0,IF($M245="",0,MAX(0,$M245)*MAX(0,W$4)/100))</f>
        <v/>
      </c>
      <c r="X245">
        <f>IF($C245="",0,IF($M245="",0,MAX(0,$M245)*MAX(0,X$4)/100))</f>
        <v/>
      </c>
      <c r="Y245">
        <f>IF($C245="",0,IF($M245="",0,MAX(0,$M245)*MAX(0,Y$4)/100))</f>
        <v/>
      </c>
      <c r="Z245">
        <f>IF($C245="",0,IF($M245="",0,MAX(0,$M245)*MAX(0,Z$4)/100))</f>
        <v/>
      </c>
      <c r="AA245">
        <f>IF($C245="",0,IF($M245="",0,MAX(0,$M245)*MAX(0,AA$4)/100))</f>
        <v/>
      </c>
      <c r="AB245">
        <f>IF($C245="",0,IF($M245="",0,MAX(0,$M245)*MAX(0,AB$4)/100))</f>
        <v/>
      </c>
      <c r="AC245">
        <f>IF($C245="",0,IF($M245="",0,MAX(0,$M245)*MAX(0,AC$4)/100))</f>
        <v/>
      </c>
      <c r="AD245">
        <f>IF($C245="",0,IF($M245="",0,MAX(0,$M245)*MAX(0,AD$4)/100))</f>
        <v/>
      </c>
      <c r="AE245">
        <f>IF($C245="",0,IF($M245="",0,MAX(0,$M245)*MAX(0,AE$4)/100))</f>
        <v/>
      </c>
      <c r="AF245">
        <f>IF($C245="",0,IF($M245="",0,MAX(0,$M245)*MAX(0,AF$4)/100))</f>
        <v/>
      </c>
      <c r="AG245">
        <f>IF($C245="",0,IF($M245="",0,MAX(0,$M245)*MAX(0,AG$4)/100))</f>
        <v/>
      </c>
      <c r="AH245">
        <f>IF($C245="",0,IF($M245="",0,MAX(0,$M245)*MAX(0,AH$4)/100))</f>
        <v/>
      </c>
      <c r="AI245">
        <f>IF($C245="",0,IF($M245="",0,MAX(0,$M245)*MAX(0,AI$4)/100))</f>
        <v/>
      </c>
      <c r="AJ245">
        <f>IF($C245="",0,MAX(0,MAX(0,N($L245))-$V245))</f>
        <v/>
      </c>
      <c r="AK245">
        <f>IF($C245="",0,MAX(0,$AJ245-$W245))</f>
        <v/>
      </c>
      <c r="AL245">
        <f>IF($C245="",0,MAX(0,$AK245-$X245))</f>
        <v/>
      </c>
      <c r="AM245">
        <f>IF($C245="",0,MAX(0,$AL245-$Y245))</f>
        <v/>
      </c>
      <c r="AN245">
        <f>IF($C245="",0,MAX(0,$AM245-$Z245))</f>
        <v/>
      </c>
      <c r="AO245">
        <f>IF($C245="",0,MAX(0,$AN245-$AA245))</f>
        <v/>
      </c>
      <c r="AP245">
        <f>IF($C245="",0,MAX(0,$AO245-$AB245))</f>
        <v/>
      </c>
      <c r="AQ245">
        <f>IF($C245="",0,MAX(0,$AP245-$AC245))</f>
        <v/>
      </c>
      <c r="AR245">
        <f>IF($C245="",0,MAX(0,$AQ245-$AD245))</f>
        <v/>
      </c>
      <c r="AS245">
        <f>IF($C245="",0,MAX(0,$AR245-$AE245))</f>
        <v/>
      </c>
      <c r="AT245">
        <f>IF($C245="",0,MAX(0,$AS245-$AF245))</f>
        <v/>
      </c>
      <c r="AU245">
        <f>IF($C245="",0,MAX(0,$AT245-$AG245))</f>
        <v/>
      </c>
      <c r="AV245">
        <f>IF($C245="",0,MAX(0,$AU245-$AH245))</f>
        <v/>
      </c>
      <c r="AW245">
        <f>IF($C245="",0,MAX(0,$AV245-$AI245))</f>
        <v/>
      </c>
      <c r="AX245">
        <f>IF($C245="",0,MAX(0,MAX(0,N($L245))+IF($P245=V$3,$R245,0)+IF($S245=V$3,$U245,0)-$V245))</f>
        <v/>
      </c>
      <c r="AY245">
        <f>IF($C245="",0,MAX(0,$AX245+IF($P245=W$3,$R245,0)+IF($S245=W$3,$U245,0)-$W245))</f>
        <v/>
      </c>
      <c r="AZ245">
        <f>IF($C245="",0,MAX(0,$AY245+IF($P245=X$3,$R245,0)+IF($S245=X$3,$U245,0)-$X245))</f>
        <v/>
      </c>
      <c r="BA245">
        <f>IF($C245="",0,MAX(0,$AZ245+IF($P245=Y$3,$R245,0)+IF($S245=Y$3,$U245,0)-$Y245))</f>
        <v/>
      </c>
      <c r="BB245">
        <f>IF($C245="",0,MAX(0,$BA245+IF($P245=Z$3,$R245,0)+IF($S245=Z$3,$U245,0)-$Z245))</f>
        <v/>
      </c>
      <c r="BC245">
        <f>IF($C245="",0,MAX(0,$BB245+IF($P245=AA$3,$R245,0)+IF($S245=AA$3,$U245,0)-$AA245))</f>
        <v/>
      </c>
      <c r="BD245">
        <f>IF($C245="",0,MAX(0,$BC245+IF($P245=AB$3,$R245,0)+IF($S245=AB$3,$U245,0)-$AB245))</f>
        <v/>
      </c>
      <c r="BE245">
        <f>IF($C245="",0,MAX(0,$BD245+IF($P245=AC$3,$R245,0)+IF($S245=AC$3,$U245,0)-$AC245))</f>
        <v/>
      </c>
      <c r="BF245">
        <f>IF($C245="",0,MAX(0,$BE245+IF($P245=AD$3,$R245,0)+IF($S245=AD$3,$U245,0)-$AD245))</f>
        <v/>
      </c>
      <c r="BG245">
        <f>IF($C245="",0,MAX(0,$BF245+IF($P245=AE$3,$R245,0)+IF($S245=AE$3,$U245,0)-$AE245))</f>
        <v/>
      </c>
      <c r="BH245">
        <f>IF($C245="",0,MAX(0,$BG245+IF($P245=AF$3,$R245,0)+IF($S245=AF$3,$U245,0)-$AF245))</f>
        <v/>
      </c>
      <c r="BI245">
        <f>IF($C245="",0,MAX(0,$BH245+IF($P245=AG$3,$R245,0)+IF($S245=AG$3,$U245,0)-$AG245))</f>
        <v/>
      </c>
      <c r="BJ245">
        <f>IF($C245="",0,MAX(0,$BI245+IF($P245=AH$3,$R245,0)+IF($S245=AH$3,$U245,0)-$AH245))</f>
        <v/>
      </c>
      <c r="BK245">
        <f>IF($C245="",0,MAX(0,$BJ245+IF($P245=AI$3,$R245,0)+IF($S245=AI$3,$U245,0)-$AI245))</f>
        <v/>
      </c>
      <c r="BL245">
        <f>IF($C245="",99,IF(AND($AX245&lt;1,V$3&gt;=MAX(N($P245),N($S245))),0,99))</f>
        <v/>
      </c>
      <c r="BM245">
        <f>IF($C245="",99,IF(AND($AY245&lt;1,W$3&gt;=MAX(N($P245),N($S245))),1,99))</f>
        <v/>
      </c>
      <c r="BN245">
        <f>IF($C245="",99,IF(AND($AZ245&lt;1,X$3&gt;=MAX(N($P245),N($S245))),2,99))</f>
        <v/>
      </c>
      <c r="BO245">
        <f>IF($C245="",99,IF(AND($BA245&lt;1,Y$3&gt;=MAX(N($P245),N($S245))),3,99))</f>
        <v/>
      </c>
      <c r="BP245">
        <f>IF($C245="",99,IF(AND($BB245&lt;1,Z$3&gt;=MAX(N($P245),N($S245))),4,99))</f>
        <v/>
      </c>
      <c r="BQ245">
        <f>IF($C245="",99,IF(AND($BC245&lt;1,AA$3&gt;=MAX(N($P245),N($S245))),5,99))</f>
        <v/>
      </c>
      <c r="BR245">
        <f>IF($C245="",99,IF(AND($BD245&lt;1,AB$3&gt;=MAX(N($P245),N($S245))),6,99))</f>
        <v/>
      </c>
      <c r="BS245">
        <f>IF($C245="",99,IF(AND($BE245&lt;1,AC$3&gt;=MAX(N($P245),N($S245))),7,99))</f>
        <v/>
      </c>
      <c r="BT245">
        <f>IF($C245="",99,IF(AND($BF245&lt;1,AD$3&gt;=MAX(N($P245),N($S245))),8,99))</f>
        <v/>
      </c>
      <c r="BU245">
        <f>IF($C245="",99,IF(AND($BG245&lt;1,AE$3&gt;=MAX(N($P245),N($S245))),9,99))</f>
        <v/>
      </c>
      <c r="BV245">
        <f>IF($C245="",99,IF(AND($BH245&lt;1,AF$3&gt;=MAX(N($P245),N($S245))),10,99))</f>
        <v/>
      </c>
      <c r="BW245">
        <f>IF($C245="",99,IF(AND($BI245&lt;1,AG$3&gt;=MAX(N($P245),N($S245))),11,99))</f>
        <v/>
      </c>
      <c r="BX245">
        <f>IF($C245="",99,IF(AND($BJ245&lt;1,AH$3&gt;=MAX(N($P245),N($S245))),12,99))</f>
        <v/>
      </c>
      <c r="BY245">
        <f>IF($C245="",99,IF(AND($BK245&lt;1,AI$3&gt;=MAX(N($P245),N($S245))),13,99))</f>
        <v/>
      </c>
      <c r="BZ245">
        <f>IF(OR($C245="",$M245=""),"",COUNTIF($AJ245:$AW245,"&gt;=1"))</f>
        <v/>
      </c>
      <c r="CA245" s="90">
        <f>IF($BZ245="","",IF($BZ245&gt;=14,"",'設定'!$C$6+$BZ245))</f>
        <v/>
      </c>
      <c r="CB245">
        <f>IF(OR($C245="",$M245=""),"",MIN($BL245:$BY245))</f>
        <v/>
      </c>
      <c r="CC245" s="90">
        <f>IF($CB245="","",IF($CB245&gt;=99,"",'設定'!$C$6+$CB245))</f>
        <v/>
      </c>
      <c r="CD245">
        <f>IF(OR($C245="",$M245=""),"",AVERAGE($V245:$AI245))</f>
        <v/>
      </c>
      <c r="CE245">
        <f>IF($C245="","",IFERROR(IF(MATCH(IF(ISNUMBER($P245),$P245,'設定'!$C$6+N('設定'!$C$7)),$V$3:$AI$3,0)=1,MAX(0,N($L245)),INDEX($AJ245:$AW245,MATCH(IF(ISNUMBER($P245),$P245,'設定'!$C$6+N('設定'!$C$7)),$V$3:$AI$3,0)-1)),""))</f>
        <v/>
      </c>
      <c r="CF245">
        <f>IF(OR($C245="",$O245="",$CE245=""),"",IF($O245-$CE245&lt;=0,0,ROUNDUP(($O245-$CE245)/$G245,0)))</f>
        <v/>
      </c>
      <c r="CG245">
        <f>IF(OR($C245="",$CF245="",NOT(ISNUMBER($Q245))),0,MAX(0,$Q245-$CF245))</f>
        <v/>
      </c>
      <c r="CH245">
        <f>IF(OR($C245="",$O245="",$U245=0),0,IFERROR(ROUNDUP(MAX(0,IF(MATCH($S245,$V$3:$AI$3,0)=1,MAX(0,N($L245)),INDEX($AX245:$BK245,MATCH($S245,$V$3:$AI$3,0)-1))+$U245-$O245)/$G245,0),0))</f>
        <v/>
      </c>
      <c r="CI245">
        <f>IF($C245="","",IF(AND($P245="",$Q245=""),"",IF($P245="","⚠ 入庫日を ▼ から選んでください",IF(NOT(ISNUMBER($P245)),"⚠ 入庫日は ▼ から選んでください",IF($P245&lt;N('設定'!$C$6),"⚠ 入庫日が過去です（もう在庫に入っています）→ 消してください",IF($P245&gt;N('設定'!$C$6)+13,"⚠ 入庫日が14日より先です",IF(N($Q245)&lt;=0,"⚠ 入庫数を入れてください",IF($CG245&gt;0,"⚠ 目安より "&amp;$CG245&amp;" 多い（定数を超える）→ 減らす",""))))))))</f>
        <v/>
      </c>
      <c r="CJ245">
        <f>IF($C245="","",IF(AND($S245="",$T245=""),"",IF($S245="","⚠ 2便目：入庫日を ▼ から選んでください",IF(NOT(ISNUMBER($S245)),"⚠ 2便目：入庫日は ▼ から選んでください",IF($S245&lt;N('設定'!$C$6),"⚠ 2便目：入庫日が過去です（もう在庫に入っています）→ 消してください",IF($S245&gt;N('設定'!$C$6)+13,"⚠ 2便目：入庫日が14日より先です",IF(N($T245)&lt;=0,"⚠ 2便目：入庫数を入れてください",IF($CH245&gt;0,"⚠ 2便目：定数を "&amp;$CH245&amp;" ケース超える → 減らす",""))))))))</f>
        <v/>
      </c>
      <c r="CK245">
        <f>IF(AND($CI245="",N($Q245)&gt;0,ISNUMBER($P245)),1,0)</f>
        <v/>
      </c>
      <c r="CL245">
        <f>IF(AND($CJ245="",N($T245)&gt;0,ISNUMBER($S245)),1,0)</f>
        <v/>
      </c>
      <c r="CM245">
        <f>IF(OR($CK245=1,$CL245=1),1,0)</f>
        <v/>
      </c>
      <c r="CN245">
        <f>IF($C245="",0,($CK245*$R245+$CL245*$U245)*N($H245))</f>
        <v/>
      </c>
      <c r="CO245">
        <f>IF($C245="","",IF($CC245="","入庫後は 14日以上もつ",IF($CC245-N('設定'!$C$7)&lt;='設定'!$C$6,"入庫後も "&amp;TEXT($CC245,"m/d")&amp;"("&amp;CHOOSE(WEEKDAY($CC245),"日","月","火","水","木","金","土")&amp;")"&amp;" に切れる　もう1便を至急発注","入庫後も "&amp;TEXT($CC245,"m/d")&amp;"("&amp;CHOOSE(WEEKDAY($CC245),"日","月","火","水","木","金","土")&amp;")"&amp;" に切れる　"&amp;TEXT($CC245-N('設定'!$C$7),"m/d")&amp;"("&amp;CHOOSE(WEEKDAY($CC245-N('設定'!$C$7)),"日","月","火","水","木","金","土")&amp;")"&amp;" までに次を発注")))</f>
        <v/>
      </c>
      <c r="CP245">
        <f>IF($C245="","",IF('設定'!$C$6="","？ ①在庫を貼る に今日のCSVが貼られていない",IF($CS245=1,"－ 今日のCSVに無い（終売？）",IF($L245&lt;0,"● 在庫がマイナス　数えて「数えた在庫」に入れる",IF($L245=0,"● 在庫なし　至急発注",IF($M245="","？ 減り数が未設定（商品マスタ）",IF($B$3=0,"？ 動員が未入力（動員を入れる）",IF($CA245="","○ 14日以上もつ",IF($BZ245&lt;N('設定'!$C$7),"● "&amp;TEXT($CA245,"m/d")&amp;"("&amp;CHOOSE(WEEKDAY($CA245),"日","月","火","水","木","金","土")&amp;")"&amp;" に切れる　至急発注",IF($BZ245=N('設定'!$C$7),"● "&amp;TEXT($CA245,"m/d")&amp;"("&amp;CHOOSE(WEEKDAY($CA245),"日","月","火","水","木","金","土")&amp;")"&amp;" に切れる　今日発注","△ "&amp;TEXT($CA245,"m/d")&amp;"("&amp;CHOOSE(WEEKDAY($CA245),"日","月","火","水","木","金","土")&amp;")"&amp;" に切れる　"&amp;TEXT($CA245-N('設定'!$C$7),"m/d")&amp;"("&amp;CHOOSE(WEEKDAY($CA245-N('設定'!$C$7)),"日","月","火","水","木","金","土")&amp;")"&amp;" までに発注"))))))))))</f>
        <v/>
      </c>
      <c r="CQ245">
        <f>IF($C245="","",IF(AND($P245="",$Q245="",$S245="",$T245=""),"",IF(AND($P245="",$Q245=""),"⚠ 先に1便目（左の入庫日・入庫数）に入れてください",IF($CI245&lt;&gt;"",$CI245,IF($CJ245&lt;&gt;"",$CJ245,IF($M245="","？ 減り数が未設定（発注書には載ります）",IF($B$3=0,"？ 動員が未入力（発注書には載ります）",IF(AND($CA245&lt;&gt;"",$P245&gt;$CA245),IF($P245&gt;'設定'!$C$6+N('設定'!$C$7),"● "&amp;TEXT($P245,"m/d")&amp;"("&amp;CHOOSE(WEEKDAY($P245),"日","月","火","水","木","金","土")&amp;")"&amp;" の入庫では間に合わない（"&amp;TEXT($CA245,"m/d")&amp;"("&amp;CHOOSE(WEEKDAY($CA245),"日","月","火","水","木","金","土")&amp;")"&amp;" に切れる）　入庫日を早める","△ 欠品 "&amp;TEXT($CA245,"m/d")&amp;"("&amp;CHOOSE(WEEKDAY($CA245),"日","月","火","水","木","金","土")&amp;")"&amp;"〜"&amp;TEXT($P245-1,"m/d")&amp;"("&amp;CHOOSE(WEEKDAY($P245-1),"日","月","火","水","木","金","土")&amp;")"&amp;"　"&amp;$CO245),IF($CC245="","○ "&amp;TEXT($P245,"m/d")&amp;"("&amp;CHOOSE(WEEKDAY($P245),"日","月","火","水","木","金","土")&amp;")"&amp;" 入庫で 14日以上もつ",IF($CC245-N('設定'!$C$7)&lt;='設定'!$C$6,"● 入庫しても "&amp;TEXT($CC245,"m/d")&amp;"("&amp;CHOOSE(WEEKDAY($CC245),"日","月","火","水","木","金","土")&amp;")"&amp;" に切れる　もう1便を至急発注（2便目に入れる）","△ 入庫しても "&amp;TEXT($CC245,"m/d")&amp;"("&amp;CHOOSE(WEEKDAY($CC245),"日","月","火","水","木","金","土")&amp;")"&amp;" に切れる　"&amp;TEXT($CC245-N('設定'!$C$7),"m/d")&amp;"("&amp;CHOOSE(WEEKDAY($CC245-N('設定'!$C$7)),"日","月","火","水","木","金","土")&amp;")"&amp;" までに次を発注（2便目に入れる）"))))))))))</f>
        <v/>
      </c>
      <c r="CR245">
        <f>IF($C245="","",IF($G245&gt;1,"ｹｰｽ("&amp;$G245&amp;"入)","個"))</f>
        <v/>
      </c>
      <c r="CS245">
        <f>IF($C245="",0,IF(COUNTIFS('①在庫を貼る'!$V$6:$V$10005,'設定'!$C$4,'①在庫を貼る'!$W$6:$W$10005,$C245)=0,1,0))</f>
        <v/>
      </c>
      <c r="CT245">
        <f>IF(AND($CK245=1,OR('③発注書'!$C$4="すべて",'③発注書'!$C$4="",$F245='③発注書'!$C$4)),N($CT244)+1,N($CT244))</f>
        <v/>
      </c>
      <c r="CU245">
        <f>IF(AND($CL245=1,OR('③発注書'!$C$4="すべて",'③発注書'!$C$4="",$F245='③発注書'!$C$4)),N($CU244)+1,N($CU244))</f>
        <v/>
      </c>
      <c r="CV245">
        <f>IF($C245="",0,IF(COUNTIFS('①在庫を貼る'!$V$6:$V$10005,'設定'!$C$4,'①在庫を貼る'!$W$6:$W$10005,$C245)&gt;0,1,0))</f>
        <v/>
      </c>
      <c r="CW245">
        <f>IF($C245="",0,IF(COUNTIFS('月1回_1ヶ月前の在庫'!$V$6:$V$10005,'設定'!$C$4,'月1回_1ヶ月前の在庫'!$W$6:$W$10005,$C245)&gt;0,1,0))</f>
        <v/>
      </c>
      <c r="CX245">
        <f>IF($C245="",0,IF(COUNTIFS('月1回_2ヶ月前の在庫'!$V$6:$V$10005,'設定'!$C$4,'月1回_2ヶ月前の在庫'!$W$6:$W$10005,$C245)&gt;0,1,0))</f>
        <v/>
      </c>
      <c r="CY245">
        <f>IF(OR($C245="",'設定'!$C$12=""),"",IF('設定'!$C$13="",IF(AND($CV245=1,$CW245=0),"新商品（今月から）",IF(AND($CV245=0,$CW245=1),"終売（今月から）","")),IF(AND($CV245=1,$CW245=0,$CX245=0),"新商品（今月から）",IF(AND($CV245=1,$CW245=1,$CX245=0),"新商品（先月から）",IF(AND($CV245=0,$CW245=1,$CX245=1),"終売（今月から）",IF(AND($CV245=0,$CW245=0,$CX245=1),"終売（先月から）",IF(AND($CV245=1,$CW245=0,$CX245=1),"復活（先月は無し）","")))))))</f>
        <v/>
      </c>
    </row>
    <row r="246">
      <c r="B246">
        <f>IF(241&lt;='設定'!$C$11,241,"")</f>
        <v/>
      </c>
      <c r="C246">
        <f>IF($B246="","",IF($B246&lt;='設定'!$C$20,INDEX('商品マスタ'!$B$6:$B$1005,MATCH($B246,'商品マスタ'!$M$6:$M$1005,0)),IF($B246&lt;='設定'!$C$20+'設定'!$C$17,INDEX('①在庫を貼る'!$W$6:$W$10005,MATCH($B246-'設定'!$C$20,'①在庫を貼る'!$U$6:$U$10005,0)),IF($B246&lt;='設定'!$C$20+'設定'!$C$17+'設定'!$C$18,INDEX('月1回_1ヶ月前の在庫'!$W$6:$W$10005,MATCH($B246-'設定'!$C$20-'設定'!$C$17,'月1回_1ヶ月前の在庫'!$U$6:$U$10005,0)),INDEX('月1回_2ヶ月前の在庫'!$W$6:$W$10005,MATCH($B246-'設定'!$C$20-'設定'!$C$17-'設定'!$C$18,'月1回_2ヶ月前の在庫'!$U$6:$U$10005,0))))))</f>
        <v/>
      </c>
      <c r="D246">
        <f>IF($C246="","",IFERROR(IF(INDEX('商品マスタ'!$C$6:$C$1005,MATCH($C246,'商品マスタ'!$B$6:$B$1005,0))="",IFERROR(INDEX('①在庫を貼る'!$J$6:$J$10005,MATCH($C246,'①在庫を貼る'!$W$6:$W$10005,0)),IFERROR(INDEX('月1回_1ヶ月前の在庫'!$J$6:$J$10005,MATCH($C246,'月1回_1ヶ月前の在庫'!$W$6:$W$10005,0)),IFERROR(INDEX('月1回_2ヶ月前の在庫'!$J$6:$J$10005,MATCH($C246,'月1回_2ヶ月前の在庫'!$W$6:$W$10005,0)),""))),INDEX('商品マスタ'!$C$6:$C$1005,MATCH($C246,'商品マスタ'!$B$6:$B$1005,0))),IFERROR(INDEX('①在庫を貼る'!$J$6:$J$10005,MATCH($C246,'①在庫を貼る'!$W$6:$W$10005,0)),IFERROR(INDEX('月1回_1ヶ月前の在庫'!$J$6:$J$10005,MATCH($C246,'月1回_1ヶ月前の在庫'!$W$6:$W$10005,0)),IFERROR(INDEX('月1回_2ヶ月前の在庫'!$J$6:$J$10005,MATCH($C246,'月1回_2ヶ月前の在庫'!$W$6:$W$10005,0)),"")))))</f>
        <v/>
      </c>
      <c r="E246">
        <f>IF($C246="","",IFERROR(IF(INDEX('商品マスタ'!$D$6:$D$1005,MATCH($C246,'商品マスタ'!$B$6:$B$1005,0))="",IFERROR(INDEX('①在庫を貼る'!$H$6:$H$10005,MATCH($C246,'①在庫を貼る'!$W$6:$W$10005,0)),IFERROR(INDEX('月1回_1ヶ月前の在庫'!$H$6:$H$10005,MATCH($C246,'月1回_1ヶ月前の在庫'!$W$6:$W$10005,0)),IFERROR(INDEX('月1回_2ヶ月前の在庫'!$H$6:$H$10005,MATCH($C246,'月1回_2ヶ月前の在庫'!$W$6:$W$10005,0)),""))),INDEX('商品マスタ'!$D$6:$D$1005,MATCH($C246,'商品マスタ'!$B$6:$B$1005,0))),IFERROR(INDEX('①在庫を貼る'!$H$6:$H$10005,MATCH($C246,'①在庫を貼る'!$W$6:$W$10005,0)),IFERROR(INDEX('月1回_1ヶ月前の在庫'!$H$6:$H$10005,MATCH($C246,'月1回_1ヶ月前の在庫'!$W$6:$W$10005,0)),IFERROR(INDEX('月1回_2ヶ月前の在庫'!$H$6:$H$10005,MATCH($C246,'月1回_2ヶ月前の在庫'!$W$6:$W$10005,0)),"")))))</f>
        <v/>
      </c>
      <c r="F246">
        <f>IF($C246="","",IFERROR(IF(INDEX('商品マスタ'!$E$6:$E$1005,MATCH($C246,'商品マスタ'!$B$6:$B$1005,0))="",IFERROR(INDEX('①在庫を貼る'!$E$6:$E$10005,MATCH($C246,'①在庫を貼る'!$W$6:$W$10005,0)),IFERROR(INDEX('月1回_1ヶ月前の在庫'!$E$6:$E$10005,MATCH($C246,'月1回_1ヶ月前の在庫'!$W$6:$W$10005,0)),IFERROR(INDEX('月1回_2ヶ月前の在庫'!$E$6:$E$10005,MATCH($C246,'月1回_2ヶ月前の在庫'!$W$6:$W$10005,0)),""))),INDEX('商品マスタ'!$E$6:$E$1005,MATCH($C246,'商品マスタ'!$B$6:$B$1005,0))),IFERROR(INDEX('①在庫を貼る'!$E$6:$E$10005,MATCH($C246,'①在庫を貼る'!$W$6:$W$10005,0)),IFERROR(INDEX('月1回_1ヶ月前の在庫'!$E$6:$E$10005,MATCH($C246,'月1回_1ヶ月前の在庫'!$W$6:$W$10005,0)),IFERROR(INDEX('月1回_2ヶ月前の在庫'!$E$6:$E$10005,MATCH($C246,'月1回_2ヶ月前の在庫'!$W$6:$W$10005,0)),"")))))</f>
        <v/>
      </c>
      <c r="G246">
        <f>IF($C246="","",MAX(1,N(IFERROR(IF(INDEX('商品マスタ'!$F$6:$F$1005,MATCH($C246,'商品マスタ'!$B$6:$B$1005,0))="",IF(COUNTIFS('①在庫を貼る'!$V$6:$V$10005,'設定'!$C$4,'①在庫を貼る'!$W$6:$W$10005,$C246)&gt;0,SUMIFS('①在庫を貼る'!$K$6:$K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K$6:$K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K$6:$K$10005,'月1回_2ヶ月前の在庫'!$V$6:$V$10005,'設定'!$C$4,'月1回_2ヶ月前の在庫'!$W$6:$W$10005,$C246)/COUNTIFS('月1回_2ヶ月前の在庫'!$V$6:$V$10005,'設定'!$C$4,'月1回_2ヶ月前の在庫'!$W$6:$W$10005,$C246),0))),INDEX('商品マスタ'!$F$6:$F$1005,MATCH($C246,'商品マスタ'!$B$6:$B$1005,0))),IF(COUNTIFS('①在庫を貼る'!$V$6:$V$10005,'設定'!$C$4,'①在庫を貼る'!$W$6:$W$10005,$C246)&gt;0,SUMIFS('①在庫を貼る'!$K$6:$K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K$6:$K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K$6:$K$10005,'月1回_2ヶ月前の在庫'!$V$6:$V$10005,'設定'!$C$4,'月1回_2ヶ月前の在庫'!$W$6:$W$10005,$C246)/COUNTIFS('月1回_2ヶ月前の在庫'!$V$6:$V$10005,'設定'!$C$4,'月1回_2ヶ月前の在庫'!$W$6:$W$10005,$C246),0)))))))</f>
        <v/>
      </c>
      <c r="H246">
        <f>IF($C246="","",N(IFERROR(IF(INDEX('商品マスタ'!$G$6:$G$1005,MATCH($C246,'商品マスタ'!$B$6:$B$1005,0))="",IF(COUNTIFS('①在庫を貼る'!$V$6:$V$10005,'設定'!$C$4,'①在庫を貼る'!$W$6:$W$10005,$C246)&gt;0,SUMIFS('①在庫を貼る'!$Q$6:$Q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Q$6:$Q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Q$6:$Q$10005,'月1回_2ヶ月前の在庫'!$V$6:$V$10005,'設定'!$C$4,'月1回_2ヶ月前の在庫'!$W$6:$W$10005,$C246)/COUNTIFS('月1回_2ヶ月前の在庫'!$V$6:$V$10005,'設定'!$C$4,'月1回_2ヶ月前の在庫'!$W$6:$W$10005,$C246),0))),INDEX('商品マスタ'!$G$6:$G$1005,MATCH($C246,'商品マスタ'!$B$6:$B$1005,0))),IF(COUNTIFS('①在庫を貼る'!$V$6:$V$10005,'設定'!$C$4,'①在庫を貼る'!$W$6:$W$10005,$C246)&gt;0,SUMIFS('①在庫を貼る'!$Q$6:$Q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Q$6:$Q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Q$6:$Q$10005,'月1回_2ヶ月前の在庫'!$V$6:$V$10005,'設定'!$C$4,'月1回_2ヶ月前の在庫'!$W$6:$W$10005,$C246)/COUNTIFS('月1回_2ヶ月前の在庫'!$V$6:$V$10005,'設定'!$C$4,'月1回_2ヶ月前の在庫'!$W$6:$W$10005,$C246),0))))))</f>
        <v/>
      </c>
      <c r="I246">
        <f>IF($C246="","",IF(COUNTIFS('①在庫を貼る'!$V$6:$V$10005,'設定'!$C$4,'①在庫を貼る'!$W$6:$W$10005,$C246)=0,"",SUMIFS('①在庫を貼る'!$N$6:$N$10005,'①在庫を貼る'!$V$6:$V$10005,'設定'!$C$4,'①在庫を貼る'!$W$6:$W$10005,$C246)))</f>
        <v/>
      </c>
      <c r="J246">
        <f>IF($C246="","",IF('②発注する'!$AD250="","",'②発注する'!$AD250))</f>
        <v/>
      </c>
      <c r="K246" s="90">
        <f>IF($C246="","",IF('②発注する'!$AE250="","",'②発注する'!$AE250))</f>
        <v/>
      </c>
      <c r="L246">
        <f>IF($C246="","",IF(AND(ISNUMBER($J246),ISNUMBER($K246),$K246&gt;='設定'!$C$6),$J246,N($I246)))</f>
        <v/>
      </c>
      <c r="M246">
        <f>IF($C246="","",IFERROR(IF(N(INDEX('商品マスタ'!$J$6:$J$1005,MATCH($C246,'商品マスタ'!$B$6:$B$1005,0)))&gt;0,INDEX('商品マスタ'!$J$6:$J$1005,MATCH($C246,'商品マスタ'!$B$6:$B$1005,0)),""),""))</f>
        <v/>
      </c>
      <c r="N246">
        <f>IF($C246="","",IFERROR(IF(N(INDEX('商品マスタ'!$H$6:$H$1005,MATCH($C246,'商品マスタ'!$B$6:$B$1005,0)))&gt;0,INDEX('商品マスタ'!$H$6:$H$1005,MATCH($C246,'商品マスタ'!$B$6:$B$1005,0)),""),""))</f>
        <v/>
      </c>
      <c r="O246">
        <f>IF($C246="","",IF($N246&lt;&gt;"",$N246*$G246,IF(N(IF(COUNTIFS('①在庫を貼る'!$V$6:$V$10005,'設定'!$C$4,'①在庫を貼る'!$W$6:$W$10005,$C246)&gt;0,SUMIFS('①在庫を貼る'!$O$6:$O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O$6:$O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O$6:$O$10005,'月1回_2ヶ月前の在庫'!$V$6:$V$10005,'設定'!$C$4,'月1回_2ヶ月前の在庫'!$W$6:$W$10005,$C246)/COUNTIFS('月1回_2ヶ月前の在庫'!$V$6:$V$10005,'設定'!$C$4,'月1回_2ヶ月前の在庫'!$W$6:$W$10005,$C246),0))))&gt;0,N(IF(COUNTIFS('①在庫を貼る'!$V$6:$V$10005,'設定'!$C$4,'①在庫を貼る'!$W$6:$W$10005,$C246)&gt;0,SUMIFS('①在庫を貼る'!$O$6:$O$10005,'①在庫を貼る'!$V$6:$V$10005,'設定'!$C$4,'①在庫を貼る'!$W$6:$W$10005,$C246)/COUNTIFS('①在庫を貼る'!$V$6:$V$10005,'設定'!$C$4,'①在庫を貼る'!$W$6:$W$10005,$C246),IF(COUNTIFS('月1回_1ヶ月前の在庫'!$V$6:$V$10005,'設定'!$C$4,'月1回_1ヶ月前の在庫'!$W$6:$W$10005,$C246)&gt;0,SUMIFS('月1回_1ヶ月前の在庫'!$O$6:$O$10005,'月1回_1ヶ月前の在庫'!$V$6:$V$10005,'設定'!$C$4,'月1回_1ヶ月前の在庫'!$W$6:$W$10005,$C246)/COUNTIFS('月1回_1ヶ月前の在庫'!$V$6:$V$10005,'設定'!$C$4,'月1回_1ヶ月前の在庫'!$W$6:$W$10005,$C246),IF(COUNTIFS('月1回_2ヶ月前の在庫'!$V$6:$V$10005,'設定'!$C$4,'月1回_2ヶ月前の在庫'!$W$6:$W$10005,$C246)&gt;0,SUMIFS('月1回_2ヶ月前の在庫'!$O$6:$O$10005,'月1回_2ヶ月前の在庫'!$V$6:$V$10005,'設定'!$C$4,'月1回_2ヶ月前の在庫'!$W$6:$W$10005,$C246)/COUNTIFS('月1回_2ヶ月前の在庫'!$V$6:$V$10005,'設定'!$C$4,'月1回_2ヶ月前の在庫'!$W$6:$W$10005,$C246),0)))),"")))</f>
        <v/>
      </c>
      <c r="P246" s="90">
        <f>IF($C246="","",IF('②発注する'!$I250="","",'②発注する'!$I250))</f>
        <v/>
      </c>
      <c r="Q246">
        <f>IF($C246="","",IF('②発注する'!$J250="","",'②発注する'!$J250))</f>
        <v/>
      </c>
      <c r="R246">
        <f>IF($C246="",0,IF(AND(ISNUMBER($P246),ISNUMBER($Q246)),MAX(0,$Q246)*$G246,0))</f>
        <v/>
      </c>
      <c r="S246" s="90">
        <f>IF($C246="","",IF('②発注する'!$M250="","",'②発注する'!$M250))</f>
        <v/>
      </c>
      <c r="T246">
        <f>IF($C246="","",IF('②発注する'!$N250="","",'②発注する'!$N250))</f>
        <v/>
      </c>
      <c r="U246">
        <f>IF($C246="",0,IF(AND(ISNUMBER($S246),ISNUMBER($T246)),MAX(0,$T246)*$G246,0))</f>
        <v/>
      </c>
      <c r="V246">
        <f>IF($C246="",0,IF($M246="",0,MAX(0,$M246)*MAX(0,V$4)/100))</f>
        <v/>
      </c>
      <c r="W246">
        <f>IF($C246="",0,IF($M246="",0,MAX(0,$M246)*MAX(0,W$4)/100))</f>
        <v/>
      </c>
      <c r="X246">
        <f>IF($C246="",0,IF($M246="",0,MAX(0,$M246)*MAX(0,X$4)/100))</f>
        <v/>
      </c>
      <c r="Y246">
        <f>IF($C246="",0,IF($M246="",0,MAX(0,$M246)*MAX(0,Y$4)/100))</f>
        <v/>
      </c>
      <c r="Z246">
        <f>IF($C246="",0,IF($M246="",0,MAX(0,$M246)*MAX(0,Z$4)/100))</f>
        <v/>
      </c>
      <c r="AA246">
        <f>IF($C246="",0,IF($M246="",0,MAX(0,$M246)*MAX(0,AA$4)/100))</f>
        <v/>
      </c>
      <c r="AB246">
        <f>IF($C246="",0,IF($M246="",0,MAX(0,$M246)*MAX(0,AB$4)/100))</f>
        <v/>
      </c>
      <c r="AC246">
        <f>IF($C246="",0,IF($M246="",0,MAX(0,$M246)*MAX(0,AC$4)/100))</f>
        <v/>
      </c>
      <c r="AD246">
        <f>IF($C246="",0,IF($M246="",0,MAX(0,$M246)*MAX(0,AD$4)/100))</f>
        <v/>
      </c>
      <c r="AE246">
        <f>IF($C246="",0,IF($M246="",0,MAX(0,$M246)*MAX(0,AE$4)/100))</f>
        <v/>
      </c>
      <c r="AF246">
        <f>IF($C246="",0,IF($M246="",0,MAX(0,$M246)*MAX(0,AF$4)/100))</f>
        <v/>
      </c>
      <c r="AG246">
        <f>IF($C246="",0,IF($M246="",0,MAX(0,$M246)*MAX(0,AG$4)/100))</f>
        <v/>
      </c>
      <c r="AH246">
        <f>IF($C246="",0,IF($M246="",0,MAX(0,$M246)*MAX(0,AH$4)/100))</f>
        <v/>
      </c>
      <c r="AI246">
        <f>IF($C246="",0,IF($M246="",0,MAX(0,$M246)*MAX(0,AI$4)/100))</f>
        <v/>
      </c>
      <c r="AJ246">
        <f>IF($C246="",0,MAX(0,MAX(0,N($L246))-$V246))</f>
        <v/>
      </c>
      <c r="AK246">
        <f>IF($C246="",0,MAX(0,$AJ246-$W246))</f>
        <v/>
      </c>
      <c r="AL246">
        <f>IF($C246="",0,MAX(0,$AK246-$X246))</f>
        <v/>
      </c>
      <c r="AM246">
        <f>IF($C246="",0,MAX(0,$AL246-$Y246))</f>
        <v/>
      </c>
      <c r="AN246">
        <f>IF($C246="",0,MAX(0,$AM246-$Z246))</f>
        <v/>
      </c>
      <c r="AO246">
        <f>IF($C246="",0,MAX(0,$AN246-$AA246))</f>
        <v/>
      </c>
      <c r="AP246">
        <f>IF($C246="",0,MAX(0,$AO246-$AB246))</f>
        <v/>
      </c>
      <c r="AQ246">
        <f>IF($C246="",0,MAX(0,$AP246-$AC246))</f>
        <v/>
      </c>
      <c r="AR246">
        <f>IF($C246="",0,MAX(0,$AQ246-$AD246))</f>
        <v/>
      </c>
      <c r="AS246">
        <f>IF($C246="",0,MAX(0,$AR246-$AE246))</f>
        <v/>
      </c>
      <c r="AT246">
        <f>IF($C246="",0,MAX(0,$AS246-$AF246))</f>
        <v/>
      </c>
      <c r="AU246">
        <f>IF($C246="",0,MAX(0,$AT246-$AG246))</f>
        <v/>
      </c>
      <c r="AV246">
        <f>IF($C246="",0,MAX(0,$AU246-$AH246))</f>
        <v/>
      </c>
      <c r="AW246">
        <f>IF($C246="",0,MAX(0,$AV246-$AI246))</f>
        <v/>
      </c>
      <c r="AX246">
        <f>IF($C246="",0,MAX(0,MAX(0,N($L246))+IF($P246=V$3,$R246,0)+IF($S246=V$3,$U246,0)-$V246))</f>
        <v/>
      </c>
      <c r="AY246">
        <f>IF($C246="",0,MAX(0,$AX246+IF($P246=W$3,$R246,0)+IF($S246=W$3,$U246,0)-$W246))</f>
        <v/>
      </c>
      <c r="AZ246">
        <f>IF($C246="",0,MAX(0,$AY246+IF($P246=X$3,$R246,0)+IF($S246=X$3,$U246,0)-$X246))</f>
        <v/>
      </c>
      <c r="BA246">
        <f>IF($C246="",0,MAX(0,$AZ246+IF($P246=Y$3,$R246,0)+IF($S246=Y$3,$U246,0)-$Y246))</f>
        <v/>
      </c>
      <c r="BB246">
        <f>IF($C246="",0,MAX(0,$BA246+IF($P246=Z$3,$R246,0)+IF($S246=Z$3,$U246,0)-$Z246))</f>
        <v/>
      </c>
      <c r="BC246">
        <f>IF($C246="",0,MAX(0,$BB246+IF($P246=AA$3,$R246,0)+IF($S246=AA$3,$U246,0)-$AA246))</f>
        <v/>
      </c>
      <c r="BD246">
        <f>IF($C246="",0,MAX(0,$BC246+IF($P246=AB$3,$R246,0)+IF($S246=AB$3,$U246,0)-$AB246))</f>
        <v/>
      </c>
      <c r="BE246">
        <f>IF($C246="",0,MAX(0,$BD246+IF($P246=AC$3,$R246,0)+IF($S246=AC$3,$U246,0)-$AC246))</f>
        <v/>
      </c>
      <c r="BF246">
        <f>IF($C246="",0,MAX(0,$BE246+IF($P246=AD$3,$R246,0)+IF($S246=AD$3,$U246,0)-$AD246))</f>
        <v/>
      </c>
      <c r="BG246">
        <f>IF($C246="",0,MAX(0,$BF246+IF($P246=AE$3,$R246,0)+IF($S246=AE$3,$U246,0)-$AE246))</f>
        <v/>
      </c>
      <c r="BH246">
        <f>IF($C246="",0,MAX(0,$BG246+IF($P246=AF$3,$R246,0)+IF($S246=AF$3,$U246,0)-$AF246))</f>
        <v/>
      </c>
      <c r="BI246">
        <f>IF($C246="",0,MAX(0,$BH246+IF($P246=AG$3,$R246,0)+IF($S246=AG$3,$U246,0)-$AG246))</f>
        <v/>
      </c>
      <c r="BJ246">
        <f>IF($C246="",0,MAX(0,$BI246+IF($P246=AH$3,$R246,0)+IF($S246=AH$3,$U246,0)-$AH246))</f>
        <v/>
      </c>
      <c r="BK246">
        <f>IF($C246="",0,MAX(0,$BJ246+IF($P246=AI$3,$R246,0)+IF($S246=AI$3,$U246,0)-$AI246))</f>
        <v/>
      </c>
      <c r="BL246">
        <f>IF($C246="",99,IF(AND($AX246&lt;1,V$3&gt;=MAX(N($P246),N($S246))),0,99))</f>
        <v/>
      </c>
      <c r="BM246">
        <f>IF($C246="",99,IF(AND($AY246&lt;1,W$3&gt;=MAX(N($P246),N($S246))),1,99))</f>
        <v/>
      </c>
      <c r="BN246">
        <f>IF($C246="",99,IF(AND($AZ246&lt;1,X$3&gt;=MAX(N($P246),N($S246))),2,99))</f>
        <v/>
      </c>
      <c r="BO246">
        <f>IF($C246="",99,IF(AND($BA246&lt;1,Y$3&gt;=MAX(N($P246),N($S246))),3,99))</f>
        <v/>
      </c>
      <c r="BP246">
        <f>IF($C246="",99,IF(AND($BB246&lt;1,Z$3&gt;=MAX(N($P246),N($S246))),4,99))</f>
        <v/>
      </c>
      <c r="BQ246">
        <f>IF($C246="",99,IF(AND($BC246&lt;1,AA$3&gt;=MAX(N($P246),N($S246))),5,99))</f>
        <v/>
      </c>
      <c r="BR246">
        <f>IF($C246="",99,IF(AND($BD246&lt;1,AB$3&gt;=MAX(N($P246),N($S246))),6,99))</f>
        <v/>
      </c>
      <c r="BS246">
        <f>IF($C246="",99,IF(AND($BE246&lt;1,AC$3&gt;=MAX(N($P246),N($S246))),7,99))</f>
        <v/>
      </c>
      <c r="BT246">
        <f>IF($C246="",99,IF(AND($BF246&lt;1,AD$3&gt;=MAX(N($P246),N($S246))),8,99))</f>
        <v/>
      </c>
      <c r="BU246">
        <f>IF($C246="",99,IF(AND($BG246&lt;1,AE$3&gt;=MAX(N($P246),N($S246))),9,99))</f>
        <v/>
      </c>
      <c r="BV246">
        <f>IF($C246="",99,IF(AND($BH246&lt;1,AF$3&gt;=MAX(N($P246),N($S246))),10,99))</f>
        <v/>
      </c>
      <c r="BW246">
        <f>IF($C246="",99,IF(AND($BI246&lt;1,AG$3&gt;=MAX(N($P246),N($S246))),11,99))</f>
        <v/>
      </c>
      <c r="BX246">
        <f>IF($C246="",99,IF(AND($BJ246&lt;1,AH$3&gt;=MAX(N($P246),N($S246))),12,99))</f>
        <v/>
      </c>
      <c r="BY246">
        <f>IF($C246="",99,IF(AND($BK246&lt;1,AI$3&gt;=MAX(N($P246),N($S246))),13,99))</f>
        <v/>
      </c>
      <c r="BZ246">
        <f>IF(OR($C246="",$M246=""),"",COUNTIF($AJ246:$AW246,"&gt;=1"))</f>
        <v/>
      </c>
      <c r="CA246" s="90">
        <f>IF($BZ246="","",IF($BZ246&gt;=14,"",'設定'!$C$6+$BZ246))</f>
        <v/>
      </c>
      <c r="CB246">
        <f>IF(OR($C246="",$M246=""),"",MIN($BL246:$BY246))</f>
        <v/>
      </c>
      <c r="CC246" s="90">
        <f>IF($CB246="","",IF($CB246&gt;=99,"",'設定'!$C$6+$CB246))</f>
        <v/>
      </c>
      <c r="CD246">
        <f>IF(OR($C246="",$M246=""),"",AVERAGE($V246:$AI246))</f>
        <v/>
      </c>
      <c r="CE246">
        <f>IF($C246="","",IFERROR(IF(MATCH(IF(ISNUMBER($P246),$P246,'設定'!$C$6+N('設定'!$C$7)),$V$3:$AI$3,0)=1,MAX(0,N($L246)),INDEX($AJ246:$AW246,MATCH(IF(ISNUMBER($P246),$P246,'設定'!$C$6+N('設定'!$C$7)),$V$3:$AI$3,0)-1)),""))</f>
        <v/>
      </c>
      <c r="CF246">
        <f>IF(OR($C246="",$O246="",$CE246=""),"",IF($O246-$CE246&lt;=0,0,ROUNDUP(($O246-$CE246)/$G246,0)))</f>
        <v/>
      </c>
      <c r="CG246">
        <f>IF(OR($C246="",$CF246="",NOT(ISNUMBER($Q246))),0,MAX(0,$Q246-$CF246))</f>
        <v/>
      </c>
      <c r="CH246">
        <f>IF(OR($C246="",$O246="",$U246=0),0,IFERROR(ROUNDUP(MAX(0,IF(MATCH($S246,$V$3:$AI$3,0)=1,MAX(0,N($L246)),INDEX($AX246:$BK246,MATCH($S246,$V$3:$AI$3,0)-1))+$U246-$O246)/$G246,0),0))</f>
        <v/>
      </c>
      <c r="CI246">
        <f>IF($C246="","",IF(AND($P246="",$Q246=""),"",IF($P246="","⚠ 入庫日を ▼ から選んでください",IF(NOT(ISNUMBER($P246)),"⚠ 入庫日は ▼ から選んでください",IF($P246&lt;N('設定'!$C$6),"⚠ 入庫日が過去です（もう在庫に入っています）→ 消してください",IF($P246&gt;N('設定'!$C$6)+13,"⚠ 入庫日が14日より先です",IF(N($Q246)&lt;=0,"⚠ 入庫数を入れてください",IF($CG246&gt;0,"⚠ 目安より "&amp;$CG246&amp;" 多い（定数を超える）→ 減らす",""))))))))</f>
        <v/>
      </c>
      <c r="CJ246">
        <f>IF($C246="","",IF(AND($S246="",$T246=""),"",IF($S246="","⚠ 2便目：入庫日を ▼ から選んでください",IF(NOT(ISNUMBER($S246)),"⚠ 2便目：入庫日は ▼ から選んでください",IF($S246&lt;N('設定'!$C$6),"⚠ 2便目：入庫日が過去です（もう在庫に入っています）→ 消してください",IF($S246&gt;N('設定'!$C$6)+13,"⚠ 2便目：入庫日が14日より先です",IF(N($T246)&lt;=0,"⚠ 2便目：入庫数を入れてください",IF($CH246&gt;0,"⚠ 2便目：定数を "&amp;$CH246&amp;" ケース超える → 減らす",""))))))))</f>
        <v/>
      </c>
      <c r="CK246">
        <f>IF(AND($CI246="",N($Q246)&gt;0,ISNUMBER($P246)),1,0)</f>
        <v/>
      </c>
      <c r="CL246">
        <f>IF(AND($CJ246="",N($T246)&gt;0,ISNUMBER($S246)),1,0)</f>
        <v/>
      </c>
      <c r="CM246">
        <f>IF(OR($CK246=1,$CL246=1),1,0)</f>
        <v/>
      </c>
      <c r="CN246">
        <f>IF($C246="",0,($CK246*$R246+$CL246*$U246)*N($H246))</f>
        <v/>
      </c>
      <c r="CO246">
        <f>IF($C246="","",IF($CC246="","入庫後は 14日以上もつ",IF($CC246-N('設定'!$C$7)&lt;='設定'!$C$6,"入庫後も "&amp;TEXT($CC246,"m/d")&amp;"("&amp;CHOOSE(WEEKDAY($CC246),"日","月","火","水","木","金","土")&amp;")"&amp;" に切れる　もう1便を至急発注","入庫後も "&amp;TEXT($CC246,"m/d")&amp;"("&amp;CHOOSE(WEEKDAY($CC246),"日","月","火","水","木","金","土")&amp;")"&amp;" に切れる　"&amp;TEXT($CC246-N('設定'!$C$7),"m/d")&amp;"("&amp;CHOOSE(WEEKDAY($CC246-N('設定'!$C$7)),"日","月","火","水","木","金","土")&amp;")"&amp;" までに次を発注")))</f>
        <v/>
      </c>
      <c r="CP246">
        <f>IF($C246="","",IF('設定'!$C$6="","？ ①在庫を貼る に今日のCSVが貼られていない",IF($CS246=1,"－ 今日のCSVに無い（終売？）",IF($L246&lt;0,"● 在庫がマイナス　数えて「数えた在庫」に入れる",IF($L246=0,"● 在庫なし　至急発注",IF($M246="","？ 減り数が未設定（商品マスタ）",IF($B$3=0,"？ 動員が未入力（動員を入れる）",IF($CA246="","○ 14日以上もつ",IF($BZ246&lt;N('設定'!$C$7),"● "&amp;TEXT($CA246,"m/d")&amp;"("&amp;CHOOSE(WEEKDAY($CA246),"日","月","火","水","木","金","土")&amp;")"&amp;" に切れる　至急発注",IF($BZ246=N('設定'!$C$7),"● "&amp;TEXT($CA246,"m/d")&amp;"("&amp;CHOOSE(WEEKDAY($CA246),"日","月","火","水","木","金","土")&amp;")"&amp;" に切れる　今日発注","△ "&amp;TEXT($CA246,"m/d")&amp;"("&amp;CHOOSE(WEEKDAY($CA246),"日","月","火","水","木","金","土")&amp;")"&amp;" に切れる　"&amp;TEXT($CA246-N('設定'!$C$7),"m/d")&amp;"("&amp;CHOOSE(WEEKDAY($CA246-N('設定'!$C$7)),"日","月","火","水","木","金","土")&amp;")"&amp;" までに発注"))))))))))</f>
        <v/>
      </c>
      <c r="CQ246">
        <f>IF($C246="","",IF(AND($P246="",$Q246="",$S246="",$T246=""),"",IF(AND($P246="",$Q246=""),"⚠ 先に1便目（左の入庫日・入庫数）に入れてください",IF($CI246&lt;&gt;"",$CI246,IF($CJ246&lt;&gt;"",$CJ246,IF($M246="","？ 減り数が未設定（発注書には載ります）",IF($B$3=0,"？ 動員が未入力（発注書には載ります）",IF(AND($CA246&lt;&gt;"",$P246&gt;$CA246),IF($P246&gt;'設定'!$C$6+N('設定'!$C$7),"● "&amp;TEXT($P246,"m/d")&amp;"("&amp;CHOOSE(WEEKDAY($P246),"日","月","火","水","木","金","土")&amp;")"&amp;" の入庫では間に合わない（"&amp;TEXT($CA246,"m/d")&amp;"("&amp;CHOOSE(WEEKDAY($CA246),"日","月","火","水","木","金","土")&amp;")"&amp;" に切れる）　入庫日を早める","△ 欠品 "&amp;TEXT($CA246,"m/d")&amp;"("&amp;CHOOSE(WEEKDAY($CA246),"日","月","火","水","木","金","土")&amp;")"&amp;"〜"&amp;TEXT($P246-1,"m/d")&amp;"("&amp;CHOOSE(WEEKDAY($P246-1),"日","月","火","水","木","金","土")&amp;")"&amp;"　"&amp;$CO246),IF($CC246="","○ "&amp;TEXT($P246,"m/d")&amp;"("&amp;CHOOSE(WEEKDAY($P246),"日","月","火","水","木","金","土")&amp;")"&amp;" 入庫で 14日以上もつ",IF($CC246-N('設定'!$C$7)&lt;='設定'!$C$6,"● 入庫しても "&amp;TEXT($CC246,"m/d")&amp;"("&amp;CHOOSE(WEEKDAY($CC246),"日","月","火","水","木","金","土")&amp;")"&amp;" に切れる　もう1便を至急発注（2便目に入れる）","△ 入庫しても "&amp;TEXT($CC246,"m/d")&amp;"("&amp;CHOOSE(WEEKDAY($CC246),"日","月","火","水","木","金","土")&amp;")"&amp;" に切れる　"&amp;TEXT($CC246-N('設定'!$C$7),"m/d")&amp;"("&amp;CHOOSE(WEEKDAY($CC246-N('設定'!$C$7)),"日","月","火","水","木","金","土")&amp;")"&amp;" までに次を発注（2便目に入れる）"))))))))))</f>
        <v/>
      </c>
      <c r="CR246">
        <f>IF($C246="","",IF($G246&gt;1,"ｹｰｽ("&amp;$G246&amp;"入)","個"))</f>
        <v/>
      </c>
      <c r="CS246">
        <f>IF($C246="",0,IF(COUNTIFS('①在庫を貼る'!$V$6:$V$10005,'設定'!$C$4,'①在庫を貼る'!$W$6:$W$10005,$C246)=0,1,0))</f>
        <v/>
      </c>
      <c r="CT246">
        <f>IF(AND($CK246=1,OR('③発注書'!$C$4="すべて",'③発注書'!$C$4="",$F246='③発注書'!$C$4)),N($CT245)+1,N($CT245))</f>
        <v/>
      </c>
      <c r="CU246">
        <f>IF(AND($CL246=1,OR('③発注書'!$C$4="すべて",'③発注書'!$C$4="",$F246='③発注書'!$C$4)),N($CU245)+1,N($CU245))</f>
        <v/>
      </c>
      <c r="CV246">
        <f>IF($C246="",0,IF(COUNTIFS('①在庫を貼る'!$V$6:$V$10005,'設定'!$C$4,'①在庫を貼る'!$W$6:$W$10005,$C246)&gt;0,1,0))</f>
        <v/>
      </c>
      <c r="CW246">
        <f>IF($C246="",0,IF(COUNTIFS('月1回_1ヶ月前の在庫'!$V$6:$V$10005,'設定'!$C$4,'月1回_1ヶ月前の在庫'!$W$6:$W$10005,$C246)&gt;0,1,0))</f>
        <v/>
      </c>
      <c r="CX246">
        <f>IF($C246="",0,IF(COUNTIFS('月1回_2ヶ月前の在庫'!$V$6:$V$10005,'設定'!$C$4,'月1回_2ヶ月前の在庫'!$W$6:$W$10005,$C246)&gt;0,1,0))</f>
        <v/>
      </c>
      <c r="CY246">
        <f>IF(OR($C246="",'設定'!$C$12=""),"",IF('設定'!$C$13="",IF(AND($CV246=1,$CW246=0),"新商品（今月から）",IF(AND($CV246=0,$CW246=1),"終売（今月から）","")),IF(AND($CV246=1,$CW246=0,$CX246=0),"新商品（今月から）",IF(AND($CV246=1,$CW246=1,$CX246=0),"新商品（先月から）",IF(AND($CV246=0,$CW246=1,$CX246=1),"終売（今月から）",IF(AND($CV246=0,$CW246=0,$CX246=1),"終売（先月から）",IF(AND($CV246=1,$CW246=0,$CX246=1),"復活（先月は無し）","")))))))</f>
        <v/>
      </c>
    </row>
    <row r="247">
      <c r="B247">
        <f>IF(242&lt;='設定'!$C$11,242,"")</f>
        <v/>
      </c>
      <c r="C247">
        <f>IF($B247="","",IF($B247&lt;='設定'!$C$20,INDEX('商品マスタ'!$B$6:$B$1005,MATCH($B247,'商品マスタ'!$M$6:$M$1005,0)),IF($B247&lt;='設定'!$C$20+'設定'!$C$17,INDEX('①在庫を貼る'!$W$6:$W$10005,MATCH($B247-'設定'!$C$20,'①在庫を貼る'!$U$6:$U$10005,0)),IF($B247&lt;='設定'!$C$20+'設定'!$C$17+'設定'!$C$18,INDEX('月1回_1ヶ月前の在庫'!$W$6:$W$10005,MATCH($B247-'設定'!$C$20-'設定'!$C$17,'月1回_1ヶ月前の在庫'!$U$6:$U$10005,0)),INDEX('月1回_2ヶ月前の在庫'!$W$6:$W$10005,MATCH($B247-'設定'!$C$20-'設定'!$C$17-'設定'!$C$18,'月1回_2ヶ月前の在庫'!$U$6:$U$10005,0))))))</f>
        <v/>
      </c>
      <c r="D247">
        <f>IF($C247="","",IFERROR(IF(INDEX('商品マスタ'!$C$6:$C$1005,MATCH($C247,'商品マスタ'!$B$6:$B$1005,0))="",IFERROR(INDEX('①在庫を貼る'!$J$6:$J$10005,MATCH($C247,'①在庫を貼る'!$W$6:$W$10005,0)),IFERROR(INDEX('月1回_1ヶ月前の在庫'!$J$6:$J$10005,MATCH($C247,'月1回_1ヶ月前の在庫'!$W$6:$W$10005,0)),IFERROR(INDEX('月1回_2ヶ月前の在庫'!$J$6:$J$10005,MATCH($C247,'月1回_2ヶ月前の在庫'!$W$6:$W$10005,0)),""))),INDEX('商品マスタ'!$C$6:$C$1005,MATCH($C247,'商品マスタ'!$B$6:$B$1005,0))),IFERROR(INDEX('①在庫を貼る'!$J$6:$J$10005,MATCH($C247,'①在庫を貼る'!$W$6:$W$10005,0)),IFERROR(INDEX('月1回_1ヶ月前の在庫'!$J$6:$J$10005,MATCH($C247,'月1回_1ヶ月前の在庫'!$W$6:$W$10005,0)),IFERROR(INDEX('月1回_2ヶ月前の在庫'!$J$6:$J$10005,MATCH($C247,'月1回_2ヶ月前の在庫'!$W$6:$W$10005,0)),"")))))</f>
        <v/>
      </c>
      <c r="E247">
        <f>IF($C247="","",IFERROR(IF(INDEX('商品マスタ'!$D$6:$D$1005,MATCH($C247,'商品マスタ'!$B$6:$B$1005,0))="",IFERROR(INDEX('①在庫を貼る'!$H$6:$H$10005,MATCH($C247,'①在庫を貼る'!$W$6:$W$10005,0)),IFERROR(INDEX('月1回_1ヶ月前の在庫'!$H$6:$H$10005,MATCH($C247,'月1回_1ヶ月前の在庫'!$W$6:$W$10005,0)),IFERROR(INDEX('月1回_2ヶ月前の在庫'!$H$6:$H$10005,MATCH($C247,'月1回_2ヶ月前の在庫'!$W$6:$W$10005,0)),""))),INDEX('商品マスタ'!$D$6:$D$1005,MATCH($C247,'商品マスタ'!$B$6:$B$1005,0))),IFERROR(INDEX('①在庫を貼る'!$H$6:$H$10005,MATCH($C247,'①在庫を貼る'!$W$6:$W$10005,0)),IFERROR(INDEX('月1回_1ヶ月前の在庫'!$H$6:$H$10005,MATCH($C247,'月1回_1ヶ月前の在庫'!$W$6:$W$10005,0)),IFERROR(INDEX('月1回_2ヶ月前の在庫'!$H$6:$H$10005,MATCH($C247,'月1回_2ヶ月前の在庫'!$W$6:$W$10005,0)),"")))))</f>
        <v/>
      </c>
      <c r="F247">
        <f>IF($C247="","",IFERROR(IF(INDEX('商品マスタ'!$E$6:$E$1005,MATCH($C247,'商品マスタ'!$B$6:$B$1005,0))="",IFERROR(INDEX('①在庫を貼る'!$E$6:$E$10005,MATCH($C247,'①在庫を貼る'!$W$6:$W$10005,0)),IFERROR(INDEX('月1回_1ヶ月前の在庫'!$E$6:$E$10005,MATCH($C247,'月1回_1ヶ月前の在庫'!$W$6:$W$10005,0)),IFERROR(INDEX('月1回_2ヶ月前の在庫'!$E$6:$E$10005,MATCH($C247,'月1回_2ヶ月前の在庫'!$W$6:$W$10005,0)),""))),INDEX('商品マスタ'!$E$6:$E$1005,MATCH($C247,'商品マスタ'!$B$6:$B$1005,0))),IFERROR(INDEX('①在庫を貼る'!$E$6:$E$10005,MATCH($C247,'①在庫を貼る'!$W$6:$W$10005,0)),IFERROR(INDEX('月1回_1ヶ月前の在庫'!$E$6:$E$10005,MATCH($C247,'月1回_1ヶ月前の在庫'!$W$6:$W$10005,0)),IFERROR(INDEX('月1回_2ヶ月前の在庫'!$E$6:$E$10005,MATCH($C247,'月1回_2ヶ月前の在庫'!$W$6:$W$10005,0)),"")))))</f>
        <v/>
      </c>
      <c r="G247">
        <f>IF($C247="","",MAX(1,N(IFERROR(IF(INDEX('商品マスタ'!$F$6:$F$1005,MATCH($C247,'商品マスタ'!$B$6:$B$1005,0))="",IF(COUNTIFS('①在庫を貼る'!$V$6:$V$10005,'設定'!$C$4,'①在庫を貼る'!$W$6:$W$10005,$C247)&gt;0,SUMIFS('①在庫を貼る'!$K$6:$K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K$6:$K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K$6:$K$10005,'月1回_2ヶ月前の在庫'!$V$6:$V$10005,'設定'!$C$4,'月1回_2ヶ月前の在庫'!$W$6:$W$10005,$C247)/COUNTIFS('月1回_2ヶ月前の在庫'!$V$6:$V$10005,'設定'!$C$4,'月1回_2ヶ月前の在庫'!$W$6:$W$10005,$C247),0))),INDEX('商品マスタ'!$F$6:$F$1005,MATCH($C247,'商品マスタ'!$B$6:$B$1005,0))),IF(COUNTIFS('①在庫を貼る'!$V$6:$V$10005,'設定'!$C$4,'①在庫を貼る'!$W$6:$W$10005,$C247)&gt;0,SUMIFS('①在庫を貼る'!$K$6:$K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K$6:$K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K$6:$K$10005,'月1回_2ヶ月前の在庫'!$V$6:$V$10005,'設定'!$C$4,'月1回_2ヶ月前の在庫'!$W$6:$W$10005,$C247)/COUNTIFS('月1回_2ヶ月前の在庫'!$V$6:$V$10005,'設定'!$C$4,'月1回_2ヶ月前の在庫'!$W$6:$W$10005,$C247),0)))))))</f>
        <v/>
      </c>
      <c r="H247">
        <f>IF($C247="","",N(IFERROR(IF(INDEX('商品マスタ'!$G$6:$G$1005,MATCH($C247,'商品マスタ'!$B$6:$B$1005,0))="",IF(COUNTIFS('①在庫を貼る'!$V$6:$V$10005,'設定'!$C$4,'①在庫を貼る'!$W$6:$W$10005,$C247)&gt;0,SUMIFS('①在庫を貼る'!$Q$6:$Q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Q$6:$Q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Q$6:$Q$10005,'月1回_2ヶ月前の在庫'!$V$6:$V$10005,'設定'!$C$4,'月1回_2ヶ月前の在庫'!$W$6:$W$10005,$C247)/COUNTIFS('月1回_2ヶ月前の在庫'!$V$6:$V$10005,'設定'!$C$4,'月1回_2ヶ月前の在庫'!$W$6:$W$10005,$C247),0))),INDEX('商品マスタ'!$G$6:$G$1005,MATCH($C247,'商品マスタ'!$B$6:$B$1005,0))),IF(COUNTIFS('①在庫を貼る'!$V$6:$V$10005,'設定'!$C$4,'①在庫を貼る'!$W$6:$W$10005,$C247)&gt;0,SUMIFS('①在庫を貼る'!$Q$6:$Q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Q$6:$Q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Q$6:$Q$10005,'月1回_2ヶ月前の在庫'!$V$6:$V$10005,'設定'!$C$4,'月1回_2ヶ月前の在庫'!$W$6:$W$10005,$C247)/COUNTIFS('月1回_2ヶ月前の在庫'!$V$6:$V$10005,'設定'!$C$4,'月1回_2ヶ月前の在庫'!$W$6:$W$10005,$C247),0))))))</f>
        <v/>
      </c>
      <c r="I247">
        <f>IF($C247="","",IF(COUNTIFS('①在庫を貼る'!$V$6:$V$10005,'設定'!$C$4,'①在庫を貼る'!$W$6:$W$10005,$C247)=0,"",SUMIFS('①在庫を貼る'!$N$6:$N$10005,'①在庫を貼る'!$V$6:$V$10005,'設定'!$C$4,'①在庫を貼る'!$W$6:$W$10005,$C247)))</f>
        <v/>
      </c>
      <c r="J247">
        <f>IF($C247="","",IF('②発注する'!$AD251="","",'②発注する'!$AD251))</f>
        <v/>
      </c>
      <c r="K247" s="90">
        <f>IF($C247="","",IF('②発注する'!$AE251="","",'②発注する'!$AE251))</f>
        <v/>
      </c>
      <c r="L247">
        <f>IF($C247="","",IF(AND(ISNUMBER($J247),ISNUMBER($K247),$K247&gt;='設定'!$C$6),$J247,N($I247)))</f>
        <v/>
      </c>
      <c r="M247">
        <f>IF($C247="","",IFERROR(IF(N(INDEX('商品マスタ'!$J$6:$J$1005,MATCH($C247,'商品マスタ'!$B$6:$B$1005,0)))&gt;0,INDEX('商品マスタ'!$J$6:$J$1005,MATCH($C247,'商品マスタ'!$B$6:$B$1005,0)),""),""))</f>
        <v/>
      </c>
      <c r="N247">
        <f>IF($C247="","",IFERROR(IF(N(INDEX('商品マスタ'!$H$6:$H$1005,MATCH($C247,'商品マスタ'!$B$6:$B$1005,0)))&gt;0,INDEX('商品マスタ'!$H$6:$H$1005,MATCH($C247,'商品マスタ'!$B$6:$B$1005,0)),""),""))</f>
        <v/>
      </c>
      <c r="O247">
        <f>IF($C247="","",IF($N247&lt;&gt;"",$N247*$G247,IF(N(IF(COUNTIFS('①在庫を貼る'!$V$6:$V$10005,'設定'!$C$4,'①在庫を貼る'!$W$6:$W$10005,$C247)&gt;0,SUMIFS('①在庫を貼る'!$O$6:$O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O$6:$O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O$6:$O$10005,'月1回_2ヶ月前の在庫'!$V$6:$V$10005,'設定'!$C$4,'月1回_2ヶ月前の在庫'!$W$6:$W$10005,$C247)/COUNTIFS('月1回_2ヶ月前の在庫'!$V$6:$V$10005,'設定'!$C$4,'月1回_2ヶ月前の在庫'!$W$6:$W$10005,$C247),0))))&gt;0,N(IF(COUNTIFS('①在庫を貼る'!$V$6:$V$10005,'設定'!$C$4,'①在庫を貼る'!$W$6:$W$10005,$C247)&gt;0,SUMIFS('①在庫を貼る'!$O$6:$O$10005,'①在庫を貼る'!$V$6:$V$10005,'設定'!$C$4,'①在庫を貼る'!$W$6:$W$10005,$C247)/COUNTIFS('①在庫を貼る'!$V$6:$V$10005,'設定'!$C$4,'①在庫を貼る'!$W$6:$W$10005,$C247),IF(COUNTIFS('月1回_1ヶ月前の在庫'!$V$6:$V$10005,'設定'!$C$4,'月1回_1ヶ月前の在庫'!$W$6:$W$10005,$C247)&gt;0,SUMIFS('月1回_1ヶ月前の在庫'!$O$6:$O$10005,'月1回_1ヶ月前の在庫'!$V$6:$V$10005,'設定'!$C$4,'月1回_1ヶ月前の在庫'!$W$6:$W$10005,$C247)/COUNTIFS('月1回_1ヶ月前の在庫'!$V$6:$V$10005,'設定'!$C$4,'月1回_1ヶ月前の在庫'!$W$6:$W$10005,$C247),IF(COUNTIFS('月1回_2ヶ月前の在庫'!$V$6:$V$10005,'設定'!$C$4,'月1回_2ヶ月前の在庫'!$W$6:$W$10005,$C247)&gt;0,SUMIFS('月1回_2ヶ月前の在庫'!$O$6:$O$10005,'月1回_2ヶ月前の在庫'!$V$6:$V$10005,'設定'!$C$4,'月1回_2ヶ月前の在庫'!$W$6:$W$10005,$C247)/COUNTIFS('月1回_2ヶ月前の在庫'!$V$6:$V$10005,'設定'!$C$4,'月1回_2ヶ月前の在庫'!$W$6:$W$10005,$C247),0)))),"")))</f>
        <v/>
      </c>
      <c r="P247" s="90">
        <f>IF($C247="","",IF('②発注する'!$I251="","",'②発注する'!$I251))</f>
        <v/>
      </c>
      <c r="Q247">
        <f>IF($C247="","",IF('②発注する'!$J251="","",'②発注する'!$J251))</f>
        <v/>
      </c>
      <c r="R247">
        <f>IF($C247="",0,IF(AND(ISNUMBER($P247),ISNUMBER($Q247)),MAX(0,$Q247)*$G247,0))</f>
        <v/>
      </c>
      <c r="S247" s="90">
        <f>IF($C247="","",IF('②発注する'!$M251="","",'②発注する'!$M251))</f>
        <v/>
      </c>
      <c r="T247">
        <f>IF($C247="","",IF('②発注する'!$N251="","",'②発注する'!$N251))</f>
        <v/>
      </c>
      <c r="U247">
        <f>IF($C247="",0,IF(AND(ISNUMBER($S247),ISNUMBER($T247)),MAX(0,$T247)*$G247,0))</f>
        <v/>
      </c>
      <c r="V247">
        <f>IF($C247="",0,IF($M247="",0,MAX(0,$M247)*MAX(0,V$4)/100))</f>
        <v/>
      </c>
      <c r="W247">
        <f>IF($C247="",0,IF($M247="",0,MAX(0,$M247)*MAX(0,W$4)/100))</f>
        <v/>
      </c>
      <c r="X247">
        <f>IF($C247="",0,IF($M247="",0,MAX(0,$M247)*MAX(0,X$4)/100))</f>
        <v/>
      </c>
      <c r="Y247">
        <f>IF($C247="",0,IF($M247="",0,MAX(0,$M247)*MAX(0,Y$4)/100))</f>
        <v/>
      </c>
      <c r="Z247">
        <f>IF($C247="",0,IF($M247="",0,MAX(0,$M247)*MAX(0,Z$4)/100))</f>
        <v/>
      </c>
      <c r="AA247">
        <f>IF($C247="",0,IF($M247="",0,MAX(0,$M247)*MAX(0,AA$4)/100))</f>
        <v/>
      </c>
      <c r="AB247">
        <f>IF($C247="",0,IF($M247="",0,MAX(0,$M247)*MAX(0,AB$4)/100))</f>
        <v/>
      </c>
      <c r="AC247">
        <f>IF($C247="",0,IF($M247="",0,MAX(0,$M247)*MAX(0,AC$4)/100))</f>
        <v/>
      </c>
      <c r="AD247">
        <f>IF($C247="",0,IF($M247="",0,MAX(0,$M247)*MAX(0,AD$4)/100))</f>
        <v/>
      </c>
      <c r="AE247">
        <f>IF($C247="",0,IF($M247="",0,MAX(0,$M247)*MAX(0,AE$4)/100))</f>
        <v/>
      </c>
      <c r="AF247">
        <f>IF($C247="",0,IF($M247="",0,MAX(0,$M247)*MAX(0,AF$4)/100))</f>
        <v/>
      </c>
      <c r="AG247">
        <f>IF($C247="",0,IF($M247="",0,MAX(0,$M247)*MAX(0,AG$4)/100))</f>
        <v/>
      </c>
      <c r="AH247">
        <f>IF($C247="",0,IF($M247="",0,MAX(0,$M247)*MAX(0,AH$4)/100))</f>
        <v/>
      </c>
      <c r="AI247">
        <f>IF($C247="",0,IF($M247="",0,MAX(0,$M247)*MAX(0,AI$4)/100))</f>
        <v/>
      </c>
      <c r="AJ247">
        <f>IF($C247="",0,MAX(0,MAX(0,N($L247))-$V247))</f>
        <v/>
      </c>
      <c r="AK247">
        <f>IF($C247="",0,MAX(0,$AJ247-$W247))</f>
        <v/>
      </c>
      <c r="AL247">
        <f>IF($C247="",0,MAX(0,$AK247-$X247))</f>
        <v/>
      </c>
      <c r="AM247">
        <f>IF($C247="",0,MAX(0,$AL247-$Y247))</f>
        <v/>
      </c>
      <c r="AN247">
        <f>IF($C247="",0,MAX(0,$AM247-$Z247))</f>
        <v/>
      </c>
      <c r="AO247">
        <f>IF($C247="",0,MAX(0,$AN247-$AA247))</f>
        <v/>
      </c>
      <c r="AP247">
        <f>IF($C247="",0,MAX(0,$AO247-$AB247))</f>
        <v/>
      </c>
      <c r="AQ247">
        <f>IF($C247="",0,MAX(0,$AP247-$AC247))</f>
        <v/>
      </c>
      <c r="AR247">
        <f>IF($C247="",0,MAX(0,$AQ247-$AD247))</f>
        <v/>
      </c>
      <c r="AS247">
        <f>IF($C247="",0,MAX(0,$AR247-$AE247))</f>
        <v/>
      </c>
      <c r="AT247">
        <f>IF($C247="",0,MAX(0,$AS247-$AF247))</f>
        <v/>
      </c>
      <c r="AU247">
        <f>IF($C247="",0,MAX(0,$AT247-$AG247))</f>
        <v/>
      </c>
      <c r="AV247">
        <f>IF($C247="",0,MAX(0,$AU247-$AH247))</f>
        <v/>
      </c>
      <c r="AW247">
        <f>IF($C247="",0,MAX(0,$AV247-$AI247))</f>
        <v/>
      </c>
      <c r="AX247">
        <f>IF($C247="",0,MAX(0,MAX(0,N($L247))+IF($P247=V$3,$R247,0)+IF($S247=V$3,$U247,0)-$V247))</f>
        <v/>
      </c>
      <c r="AY247">
        <f>IF($C247="",0,MAX(0,$AX247+IF($P247=W$3,$R247,0)+IF($S247=W$3,$U247,0)-$W247))</f>
        <v/>
      </c>
      <c r="AZ247">
        <f>IF($C247="",0,MAX(0,$AY247+IF($P247=X$3,$R247,0)+IF($S247=X$3,$U247,0)-$X247))</f>
        <v/>
      </c>
      <c r="BA247">
        <f>IF($C247="",0,MAX(0,$AZ247+IF($P247=Y$3,$R247,0)+IF($S247=Y$3,$U247,0)-$Y247))</f>
        <v/>
      </c>
      <c r="BB247">
        <f>IF($C247="",0,MAX(0,$BA247+IF($P247=Z$3,$R247,0)+IF($S247=Z$3,$U247,0)-$Z247))</f>
        <v/>
      </c>
      <c r="BC247">
        <f>IF($C247="",0,MAX(0,$BB247+IF($P247=AA$3,$R247,0)+IF($S247=AA$3,$U247,0)-$AA247))</f>
        <v/>
      </c>
      <c r="BD247">
        <f>IF($C247="",0,MAX(0,$BC247+IF($P247=AB$3,$R247,0)+IF($S247=AB$3,$U247,0)-$AB247))</f>
        <v/>
      </c>
      <c r="BE247">
        <f>IF($C247="",0,MAX(0,$BD247+IF($P247=AC$3,$R247,0)+IF($S247=AC$3,$U247,0)-$AC247))</f>
        <v/>
      </c>
      <c r="BF247">
        <f>IF($C247="",0,MAX(0,$BE247+IF($P247=AD$3,$R247,0)+IF($S247=AD$3,$U247,0)-$AD247))</f>
        <v/>
      </c>
      <c r="BG247">
        <f>IF($C247="",0,MAX(0,$BF247+IF($P247=AE$3,$R247,0)+IF($S247=AE$3,$U247,0)-$AE247))</f>
        <v/>
      </c>
      <c r="BH247">
        <f>IF($C247="",0,MAX(0,$BG247+IF($P247=AF$3,$R247,0)+IF($S247=AF$3,$U247,0)-$AF247))</f>
        <v/>
      </c>
      <c r="BI247">
        <f>IF($C247="",0,MAX(0,$BH247+IF($P247=AG$3,$R247,0)+IF($S247=AG$3,$U247,0)-$AG247))</f>
        <v/>
      </c>
      <c r="BJ247">
        <f>IF($C247="",0,MAX(0,$BI247+IF($P247=AH$3,$R247,0)+IF($S247=AH$3,$U247,0)-$AH247))</f>
        <v/>
      </c>
      <c r="BK247">
        <f>IF($C247="",0,MAX(0,$BJ247+IF($P247=AI$3,$R247,0)+IF($S247=AI$3,$U247,0)-$AI247))</f>
        <v/>
      </c>
      <c r="BL247">
        <f>IF($C247="",99,IF(AND($AX247&lt;1,V$3&gt;=MAX(N($P247),N($S247))),0,99))</f>
        <v/>
      </c>
      <c r="BM247">
        <f>IF($C247="",99,IF(AND($AY247&lt;1,W$3&gt;=MAX(N($P247),N($S247))),1,99))</f>
        <v/>
      </c>
      <c r="BN247">
        <f>IF($C247="",99,IF(AND($AZ247&lt;1,X$3&gt;=MAX(N($P247),N($S247))),2,99))</f>
        <v/>
      </c>
      <c r="BO247">
        <f>IF($C247="",99,IF(AND($BA247&lt;1,Y$3&gt;=MAX(N($P247),N($S247))),3,99))</f>
        <v/>
      </c>
      <c r="BP247">
        <f>IF($C247="",99,IF(AND($BB247&lt;1,Z$3&gt;=MAX(N($P247),N($S247))),4,99))</f>
        <v/>
      </c>
      <c r="BQ247">
        <f>IF($C247="",99,IF(AND($BC247&lt;1,AA$3&gt;=MAX(N($P247),N($S247))),5,99))</f>
        <v/>
      </c>
      <c r="BR247">
        <f>IF($C247="",99,IF(AND($BD247&lt;1,AB$3&gt;=MAX(N($P247),N($S247))),6,99))</f>
        <v/>
      </c>
      <c r="BS247">
        <f>IF($C247="",99,IF(AND($BE247&lt;1,AC$3&gt;=MAX(N($P247),N($S247))),7,99))</f>
        <v/>
      </c>
      <c r="BT247">
        <f>IF($C247="",99,IF(AND($BF247&lt;1,AD$3&gt;=MAX(N($P247),N($S247))),8,99))</f>
        <v/>
      </c>
      <c r="BU247">
        <f>IF($C247="",99,IF(AND($BG247&lt;1,AE$3&gt;=MAX(N($P247),N($S247))),9,99))</f>
        <v/>
      </c>
      <c r="BV247">
        <f>IF($C247="",99,IF(AND($BH247&lt;1,AF$3&gt;=MAX(N($P247),N($S247))),10,99))</f>
        <v/>
      </c>
      <c r="BW247">
        <f>IF($C247="",99,IF(AND($BI247&lt;1,AG$3&gt;=MAX(N($P247),N($S247))),11,99))</f>
        <v/>
      </c>
      <c r="BX247">
        <f>IF($C247="",99,IF(AND($BJ247&lt;1,AH$3&gt;=MAX(N($P247),N($S247))),12,99))</f>
        <v/>
      </c>
      <c r="BY247">
        <f>IF($C247="",99,IF(AND($BK247&lt;1,AI$3&gt;=MAX(N($P247),N($S247))),13,99))</f>
        <v/>
      </c>
      <c r="BZ247">
        <f>IF(OR($C247="",$M247=""),"",COUNTIF($AJ247:$AW247,"&gt;=1"))</f>
        <v/>
      </c>
      <c r="CA247" s="90">
        <f>IF($BZ247="","",IF($BZ247&gt;=14,"",'設定'!$C$6+$BZ247))</f>
        <v/>
      </c>
      <c r="CB247">
        <f>IF(OR($C247="",$M247=""),"",MIN($BL247:$BY247))</f>
        <v/>
      </c>
      <c r="CC247" s="90">
        <f>IF($CB247="","",IF($CB247&gt;=99,"",'設定'!$C$6+$CB247))</f>
        <v/>
      </c>
      <c r="CD247">
        <f>IF(OR($C247="",$M247=""),"",AVERAGE($V247:$AI247))</f>
        <v/>
      </c>
      <c r="CE247">
        <f>IF($C247="","",IFERROR(IF(MATCH(IF(ISNUMBER($P247),$P247,'設定'!$C$6+N('設定'!$C$7)),$V$3:$AI$3,0)=1,MAX(0,N($L247)),INDEX($AJ247:$AW247,MATCH(IF(ISNUMBER($P247),$P247,'設定'!$C$6+N('設定'!$C$7)),$V$3:$AI$3,0)-1)),""))</f>
        <v/>
      </c>
      <c r="CF247">
        <f>IF(OR($C247="",$O247="",$CE247=""),"",IF($O247-$CE247&lt;=0,0,ROUNDUP(($O247-$CE247)/$G247,0)))</f>
        <v/>
      </c>
      <c r="CG247">
        <f>IF(OR($C247="",$CF247="",NOT(ISNUMBER($Q247))),0,MAX(0,$Q247-$CF247))</f>
        <v/>
      </c>
      <c r="CH247">
        <f>IF(OR($C247="",$O247="",$U247=0),0,IFERROR(ROUNDUP(MAX(0,IF(MATCH($S247,$V$3:$AI$3,0)=1,MAX(0,N($L247)),INDEX($AX247:$BK247,MATCH($S247,$V$3:$AI$3,0)-1))+$U247-$O247)/$G247,0),0))</f>
        <v/>
      </c>
      <c r="CI247">
        <f>IF($C247="","",IF(AND($P247="",$Q247=""),"",IF($P247="","⚠ 入庫日を ▼ から選んでください",IF(NOT(ISNUMBER($P247)),"⚠ 入庫日は ▼ から選んでください",IF($P247&lt;N('設定'!$C$6),"⚠ 入庫日が過去です（もう在庫に入っています）→ 消してください",IF($P247&gt;N('設定'!$C$6)+13,"⚠ 入庫日が14日より先です",IF(N($Q247)&lt;=0,"⚠ 入庫数を入れてください",IF($CG247&gt;0,"⚠ 目安より "&amp;$CG247&amp;" 多い（定数を超える）→ 減らす",""))))))))</f>
        <v/>
      </c>
      <c r="CJ247">
        <f>IF($C247="","",IF(AND($S247="",$T247=""),"",IF($S247="","⚠ 2便目：入庫日を ▼ から選んでください",IF(NOT(ISNUMBER($S247)),"⚠ 2便目：入庫日は ▼ から選んでください",IF($S247&lt;N('設定'!$C$6),"⚠ 2便目：入庫日が過去です（もう在庫に入っています）→ 消してください",IF($S247&gt;N('設定'!$C$6)+13,"⚠ 2便目：入庫日が14日より先です",IF(N($T247)&lt;=0,"⚠ 2便目：入庫数を入れてください",IF($CH247&gt;0,"⚠ 2便目：定数を "&amp;$CH247&amp;" ケース超える → 減らす",""))))))))</f>
        <v/>
      </c>
      <c r="CK247">
        <f>IF(AND($CI247="",N($Q247)&gt;0,ISNUMBER($P247)),1,0)</f>
        <v/>
      </c>
      <c r="CL247">
        <f>IF(AND($CJ247="",N($T247)&gt;0,ISNUMBER($S247)),1,0)</f>
        <v/>
      </c>
      <c r="CM247">
        <f>IF(OR($CK247=1,$CL247=1),1,0)</f>
        <v/>
      </c>
      <c r="CN247">
        <f>IF($C247="",0,($CK247*$R247+$CL247*$U247)*N($H247))</f>
        <v/>
      </c>
      <c r="CO247">
        <f>IF($C247="","",IF($CC247="","入庫後は 14日以上もつ",IF($CC247-N('設定'!$C$7)&lt;='設定'!$C$6,"入庫後も "&amp;TEXT($CC247,"m/d")&amp;"("&amp;CHOOSE(WEEKDAY($CC247),"日","月","火","水","木","金","土")&amp;")"&amp;" に切れる　もう1便を至急発注","入庫後も "&amp;TEXT($CC247,"m/d")&amp;"("&amp;CHOOSE(WEEKDAY($CC247),"日","月","火","水","木","金","土")&amp;")"&amp;" に切れる　"&amp;TEXT($CC247-N('設定'!$C$7),"m/d")&amp;"("&amp;CHOOSE(WEEKDAY($CC247-N('設定'!$C$7)),"日","月","火","水","木","金","土")&amp;")"&amp;" までに次を発注")))</f>
        <v/>
      </c>
      <c r="CP247">
        <f>IF($C247="","",IF('設定'!$C$6="","？ ①在庫を貼る に今日のCSVが貼られていない",IF($CS247=1,"－ 今日のCSVに無い（終売？）",IF($L247&lt;0,"● 在庫がマイナス　数えて「数えた在庫」に入れる",IF($L247=0,"● 在庫なし　至急発注",IF($M247="","？ 減り数が未設定（商品マスタ）",IF($B$3=0,"？ 動員が未入力（動員を入れる）",IF($CA247="","○ 14日以上もつ",IF($BZ247&lt;N('設定'!$C$7),"● "&amp;TEXT($CA247,"m/d")&amp;"("&amp;CHOOSE(WEEKDAY($CA247),"日","月","火","水","木","金","土")&amp;")"&amp;" に切れる　至急発注",IF($BZ247=N('設定'!$C$7),"● "&amp;TEXT($CA247,"m/d")&amp;"("&amp;CHOOSE(WEEKDAY($CA247),"日","月","火","水","木","金","土")&amp;")"&amp;" に切れる　今日発注","△ "&amp;TEXT($CA247,"m/d")&amp;"("&amp;CHOOSE(WEEKDAY($CA247),"日","月","火","水","木","金","土")&amp;")"&amp;" に切れる　"&amp;TEXT($CA247-N('設定'!$C$7),"m/d")&amp;"("&amp;CHOOSE(WEEKDAY($CA247-N('設定'!$C$7)),"日","月","火","水","木","金","土")&amp;")"&amp;" までに発注"))))))))))</f>
        <v/>
      </c>
      <c r="CQ247">
        <f>IF($C247="","",IF(AND($P247="",$Q247="",$S247="",$T247=""),"",IF(AND($P247="",$Q247=""),"⚠ 先に1便目（左の入庫日・入庫数）に入れてください",IF($CI247&lt;&gt;"",$CI247,IF($CJ247&lt;&gt;"",$CJ247,IF($M247="","？ 減り数が未設定（発注書には載ります）",IF($B$3=0,"？ 動員が未入力（発注書には載ります）",IF(AND($CA247&lt;&gt;"",$P247&gt;$CA247),IF($P247&gt;'設定'!$C$6+N('設定'!$C$7),"● "&amp;TEXT($P247,"m/d")&amp;"("&amp;CHOOSE(WEEKDAY($P247),"日","月","火","水","木","金","土")&amp;")"&amp;" の入庫では間に合わない（"&amp;TEXT($CA247,"m/d")&amp;"("&amp;CHOOSE(WEEKDAY($CA247),"日","月","火","水","木","金","土")&amp;")"&amp;" に切れる）　入庫日を早める","△ 欠品 "&amp;TEXT($CA247,"m/d")&amp;"("&amp;CHOOSE(WEEKDAY($CA247),"日","月","火","水","木","金","土")&amp;")"&amp;"〜"&amp;TEXT($P247-1,"m/d")&amp;"("&amp;CHOOSE(WEEKDAY($P247-1),"日","月","火","水","木","金","土")&amp;")"&amp;"　"&amp;$CO247),IF($CC247="","○ "&amp;TEXT($P247,"m/d")&amp;"("&amp;CHOOSE(WEEKDAY($P247),"日","月","火","水","木","金","土")&amp;")"&amp;" 入庫で 14日以上もつ",IF($CC247-N('設定'!$C$7)&lt;='設定'!$C$6,"● 入庫しても "&amp;TEXT($CC247,"m/d")&amp;"("&amp;CHOOSE(WEEKDAY($CC247),"日","月","火","水","木","金","土")&amp;")"&amp;" に切れる　もう1便を至急発注（2便目に入れる）","△ 入庫しても "&amp;TEXT($CC247,"m/d")&amp;"("&amp;CHOOSE(WEEKDAY($CC247),"日","月","火","水","木","金","土")&amp;")"&amp;" に切れる　"&amp;TEXT($CC247-N('設定'!$C$7),"m/d")&amp;"("&amp;CHOOSE(WEEKDAY($CC247-N('設定'!$C$7)),"日","月","火","水","木","金","土")&amp;")"&amp;" までに次を発注（2便目に入れる）"))))))))))</f>
        <v/>
      </c>
      <c r="CR247">
        <f>IF($C247="","",IF($G247&gt;1,"ｹｰｽ("&amp;$G247&amp;"入)","個"))</f>
        <v/>
      </c>
      <c r="CS247">
        <f>IF($C247="",0,IF(COUNTIFS('①在庫を貼る'!$V$6:$V$10005,'設定'!$C$4,'①在庫を貼る'!$W$6:$W$10005,$C247)=0,1,0))</f>
        <v/>
      </c>
      <c r="CT247">
        <f>IF(AND($CK247=1,OR('③発注書'!$C$4="すべて",'③発注書'!$C$4="",$F247='③発注書'!$C$4)),N($CT246)+1,N($CT246))</f>
        <v/>
      </c>
      <c r="CU247">
        <f>IF(AND($CL247=1,OR('③発注書'!$C$4="すべて",'③発注書'!$C$4="",$F247='③発注書'!$C$4)),N($CU246)+1,N($CU246))</f>
        <v/>
      </c>
      <c r="CV247">
        <f>IF($C247="",0,IF(COUNTIFS('①在庫を貼る'!$V$6:$V$10005,'設定'!$C$4,'①在庫を貼る'!$W$6:$W$10005,$C247)&gt;0,1,0))</f>
        <v/>
      </c>
      <c r="CW247">
        <f>IF($C247="",0,IF(COUNTIFS('月1回_1ヶ月前の在庫'!$V$6:$V$10005,'設定'!$C$4,'月1回_1ヶ月前の在庫'!$W$6:$W$10005,$C247)&gt;0,1,0))</f>
        <v/>
      </c>
      <c r="CX247">
        <f>IF($C247="",0,IF(COUNTIFS('月1回_2ヶ月前の在庫'!$V$6:$V$10005,'設定'!$C$4,'月1回_2ヶ月前の在庫'!$W$6:$W$10005,$C247)&gt;0,1,0))</f>
        <v/>
      </c>
      <c r="CY247">
        <f>IF(OR($C247="",'設定'!$C$12=""),"",IF('設定'!$C$13="",IF(AND($CV247=1,$CW247=0),"新商品（今月から）",IF(AND($CV247=0,$CW247=1),"終売（今月から）","")),IF(AND($CV247=1,$CW247=0,$CX247=0),"新商品（今月から）",IF(AND($CV247=1,$CW247=1,$CX247=0),"新商品（先月から）",IF(AND($CV247=0,$CW247=1,$CX247=1),"終売（今月から）",IF(AND($CV247=0,$CW247=0,$CX247=1),"終売（先月から）",IF(AND($CV247=1,$CW247=0,$CX247=1),"復活（先月は無し）","")))))))</f>
        <v/>
      </c>
    </row>
    <row r="248">
      <c r="B248">
        <f>IF(243&lt;='設定'!$C$11,243,"")</f>
        <v/>
      </c>
      <c r="C248">
        <f>IF($B248="","",IF($B248&lt;='設定'!$C$20,INDEX('商品マスタ'!$B$6:$B$1005,MATCH($B248,'商品マスタ'!$M$6:$M$1005,0)),IF($B248&lt;='設定'!$C$20+'設定'!$C$17,INDEX('①在庫を貼る'!$W$6:$W$10005,MATCH($B248-'設定'!$C$20,'①在庫を貼る'!$U$6:$U$10005,0)),IF($B248&lt;='設定'!$C$20+'設定'!$C$17+'設定'!$C$18,INDEX('月1回_1ヶ月前の在庫'!$W$6:$W$10005,MATCH($B248-'設定'!$C$20-'設定'!$C$17,'月1回_1ヶ月前の在庫'!$U$6:$U$10005,0)),INDEX('月1回_2ヶ月前の在庫'!$W$6:$W$10005,MATCH($B248-'設定'!$C$20-'設定'!$C$17-'設定'!$C$18,'月1回_2ヶ月前の在庫'!$U$6:$U$10005,0))))))</f>
        <v/>
      </c>
      <c r="D248">
        <f>IF($C248="","",IFERROR(IF(INDEX('商品マスタ'!$C$6:$C$1005,MATCH($C248,'商品マスタ'!$B$6:$B$1005,0))="",IFERROR(INDEX('①在庫を貼る'!$J$6:$J$10005,MATCH($C248,'①在庫を貼る'!$W$6:$W$10005,0)),IFERROR(INDEX('月1回_1ヶ月前の在庫'!$J$6:$J$10005,MATCH($C248,'月1回_1ヶ月前の在庫'!$W$6:$W$10005,0)),IFERROR(INDEX('月1回_2ヶ月前の在庫'!$J$6:$J$10005,MATCH($C248,'月1回_2ヶ月前の在庫'!$W$6:$W$10005,0)),""))),INDEX('商品マスタ'!$C$6:$C$1005,MATCH($C248,'商品マスタ'!$B$6:$B$1005,0))),IFERROR(INDEX('①在庫を貼る'!$J$6:$J$10005,MATCH($C248,'①在庫を貼る'!$W$6:$W$10005,0)),IFERROR(INDEX('月1回_1ヶ月前の在庫'!$J$6:$J$10005,MATCH($C248,'月1回_1ヶ月前の在庫'!$W$6:$W$10005,0)),IFERROR(INDEX('月1回_2ヶ月前の在庫'!$J$6:$J$10005,MATCH($C248,'月1回_2ヶ月前の在庫'!$W$6:$W$10005,0)),"")))))</f>
        <v/>
      </c>
      <c r="E248">
        <f>IF($C248="","",IFERROR(IF(INDEX('商品マスタ'!$D$6:$D$1005,MATCH($C248,'商品マスタ'!$B$6:$B$1005,0))="",IFERROR(INDEX('①在庫を貼る'!$H$6:$H$10005,MATCH($C248,'①在庫を貼る'!$W$6:$W$10005,0)),IFERROR(INDEX('月1回_1ヶ月前の在庫'!$H$6:$H$10005,MATCH($C248,'月1回_1ヶ月前の在庫'!$W$6:$W$10005,0)),IFERROR(INDEX('月1回_2ヶ月前の在庫'!$H$6:$H$10005,MATCH($C248,'月1回_2ヶ月前の在庫'!$W$6:$W$10005,0)),""))),INDEX('商品マスタ'!$D$6:$D$1005,MATCH($C248,'商品マスタ'!$B$6:$B$1005,0))),IFERROR(INDEX('①在庫を貼る'!$H$6:$H$10005,MATCH($C248,'①在庫を貼る'!$W$6:$W$10005,0)),IFERROR(INDEX('月1回_1ヶ月前の在庫'!$H$6:$H$10005,MATCH($C248,'月1回_1ヶ月前の在庫'!$W$6:$W$10005,0)),IFERROR(INDEX('月1回_2ヶ月前の在庫'!$H$6:$H$10005,MATCH($C248,'月1回_2ヶ月前の在庫'!$W$6:$W$10005,0)),"")))))</f>
        <v/>
      </c>
      <c r="F248">
        <f>IF($C248="","",IFERROR(IF(INDEX('商品マスタ'!$E$6:$E$1005,MATCH($C248,'商品マスタ'!$B$6:$B$1005,0))="",IFERROR(INDEX('①在庫を貼る'!$E$6:$E$10005,MATCH($C248,'①在庫を貼る'!$W$6:$W$10005,0)),IFERROR(INDEX('月1回_1ヶ月前の在庫'!$E$6:$E$10005,MATCH($C248,'月1回_1ヶ月前の在庫'!$W$6:$W$10005,0)),IFERROR(INDEX('月1回_2ヶ月前の在庫'!$E$6:$E$10005,MATCH($C248,'月1回_2ヶ月前の在庫'!$W$6:$W$10005,0)),""))),INDEX('商品マスタ'!$E$6:$E$1005,MATCH($C248,'商品マスタ'!$B$6:$B$1005,0))),IFERROR(INDEX('①在庫を貼る'!$E$6:$E$10005,MATCH($C248,'①在庫を貼る'!$W$6:$W$10005,0)),IFERROR(INDEX('月1回_1ヶ月前の在庫'!$E$6:$E$10005,MATCH($C248,'月1回_1ヶ月前の在庫'!$W$6:$W$10005,0)),IFERROR(INDEX('月1回_2ヶ月前の在庫'!$E$6:$E$10005,MATCH($C248,'月1回_2ヶ月前の在庫'!$W$6:$W$10005,0)),"")))))</f>
        <v/>
      </c>
      <c r="G248">
        <f>IF($C248="","",MAX(1,N(IFERROR(IF(INDEX('商品マスタ'!$F$6:$F$1005,MATCH($C248,'商品マスタ'!$B$6:$B$1005,0))="",IF(COUNTIFS('①在庫を貼る'!$V$6:$V$10005,'設定'!$C$4,'①在庫を貼る'!$W$6:$W$10005,$C248)&gt;0,SUMIFS('①在庫を貼る'!$K$6:$K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K$6:$K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K$6:$K$10005,'月1回_2ヶ月前の在庫'!$V$6:$V$10005,'設定'!$C$4,'月1回_2ヶ月前の在庫'!$W$6:$W$10005,$C248)/COUNTIFS('月1回_2ヶ月前の在庫'!$V$6:$V$10005,'設定'!$C$4,'月1回_2ヶ月前の在庫'!$W$6:$W$10005,$C248),0))),INDEX('商品マスタ'!$F$6:$F$1005,MATCH($C248,'商品マスタ'!$B$6:$B$1005,0))),IF(COUNTIFS('①在庫を貼る'!$V$6:$V$10005,'設定'!$C$4,'①在庫を貼る'!$W$6:$W$10005,$C248)&gt;0,SUMIFS('①在庫を貼る'!$K$6:$K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K$6:$K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K$6:$K$10005,'月1回_2ヶ月前の在庫'!$V$6:$V$10005,'設定'!$C$4,'月1回_2ヶ月前の在庫'!$W$6:$W$10005,$C248)/COUNTIFS('月1回_2ヶ月前の在庫'!$V$6:$V$10005,'設定'!$C$4,'月1回_2ヶ月前の在庫'!$W$6:$W$10005,$C248),0)))))))</f>
        <v/>
      </c>
      <c r="H248">
        <f>IF($C248="","",N(IFERROR(IF(INDEX('商品マスタ'!$G$6:$G$1005,MATCH($C248,'商品マスタ'!$B$6:$B$1005,0))="",IF(COUNTIFS('①在庫を貼る'!$V$6:$V$10005,'設定'!$C$4,'①在庫を貼る'!$W$6:$W$10005,$C248)&gt;0,SUMIFS('①在庫を貼る'!$Q$6:$Q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Q$6:$Q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Q$6:$Q$10005,'月1回_2ヶ月前の在庫'!$V$6:$V$10005,'設定'!$C$4,'月1回_2ヶ月前の在庫'!$W$6:$W$10005,$C248)/COUNTIFS('月1回_2ヶ月前の在庫'!$V$6:$V$10005,'設定'!$C$4,'月1回_2ヶ月前の在庫'!$W$6:$W$10005,$C248),0))),INDEX('商品マスタ'!$G$6:$G$1005,MATCH($C248,'商品マスタ'!$B$6:$B$1005,0))),IF(COUNTIFS('①在庫を貼る'!$V$6:$V$10005,'設定'!$C$4,'①在庫を貼る'!$W$6:$W$10005,$C248)&gt;0,SUMIFS('①在庫を貼る'!$Q$6:$Q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Q$6:$Q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Q$6:$Q$10005,'月1回_2ヶ月前の在庫'!$V$6:$V$10005,'設定'!$C$4,'月1回_2ヶ月前の在庫'!$W$6:$W$10005,$C248)/COUNTIFS('月1回_2ヶ月前の在庫'!$V$6:$V$10005,'設定'!$C$4,'月1回_2ヶ月前の在庫'!$W$6:$W$10005,$C248),0))))))</f>
        <v/>
      </c>
      <c r="I248">
        <f>IF($C248="","",IF(COUNTIFS('①在庫を貼る'!$V$6:$V$10005,'設定'!$C$4,'①在庫を貼る'!$W$6:$W$10005,$C248)=0,"",SUMIFS('①在庫を貼る'!$N$6:$N$10005,'①在庫を貼る'!$V$6:$V$10005,'設定'!$C$4,'①在庫を貼る'!$W$6:$W$10005,$C248)))</f>
        <v/>
      </c>
      <c r="J248">
        <f>IF($C248="","",IF('②発注する'!$AD252="","",'②発注する'!$AD252))</f>
        <v/>
      </c>
      <c r="K248" s="90">
        <f>IF($C248="","",IF('②発注する'!$AE252="","",'②発注する'!$AE252))</f>
        <v/>
      </c>
      <c r="L248">
        <f>IF($C248="","",IF(AND(ISNUMBER($J248),ISNUMBER($K248),$K248&gt;='設定'!$C$6),$J248,N($I248)))</f>
        <v/>
      </c>
      <c r="M248">
        <f>IF($C248="","",IFERROR(IF(N(INDEX('商品マスタ'!$J$6:$J$1005,MATCH($C248,'商品マスタ'!$B$6:$B$1005,0)))&gt;0,INDEX('商品マスタ'!$J$6:$J$1005,MATCH($C248,'商品マスタ'!$B$6:$B$1005,0)),""),""))</f>
        <v/>
      </c>
      <c r="N248">
        <f>IF($C248="","",IFERROR(IF(N(INDEX('商品マスタ'!$H$6:$H$1005,MATCH($C248,'商品マスタ'!$B$6:$B$1005,0)))&gt;0,INDEX('商品マスタ'!$H$6:$H$1005,MATCH($C248,'商品マスタ'!$B$6:$B$1005,0)),""),""))</f>
        <v/>
      </c>
      <c r="O248">
        <f>IF($C248="","",IF($N248&lt;&gt;"",$N248*$G248,IF(N(IF(COUNTIFS('①在庫を貼る'!$V$6:$V$10005,'設定'!$C$4,'①在庫を貼る'!$W$6:$W$10005,$C248)&gt;0,SUMIFS('①在庫を貼る'!$O$6:$O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O$6:$O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O$6:$O$10005,'月1回_2ヶ月前の在庫'!$V$6:$V$10005,'設定'!$C$4,'月1回_2ヶ月前の在庫'!$W$6:$W$10005,$C248)/COUNTIFS('月1回_2ヶ月前の在庫'!$V$6:$V$10005,'設定'!$C$4,'月1回_2ヶ月前の在庫'!$W$6:$W$10005,$C248),0))))&gt;0,N(IF(COUNTIFS('①在庫を貼る'!$V$6:$V$10005,'設定'!$C$4,'①在庫を貼る'!$W$6:$W$10005,$C248)&gt;0,SUMIFS('①在庫を貼る'!$O$6:$O$10005,'①在庫を貼る'!$V$6:$V$10005,'設定'!$C$4,'①在庫を貼る'!$W$6:$W$10005,$C248)/COUNTIFS('①在庫を貼る'!$V$6:$V$10005,'設定'!$C$4,'①在庫を貼る'!$W$6:$W$10005,$C248),IF(COUNTIFS('月1回_1ヶ月前の在庫'!$V$6:$V$10005,'設定'!$C$4,'月1回_1ヶ月前の在庫'!$W$6:$W$10005,$C248)&gt;0,SUMIFS('月1回_1ヶ月前の在庫'!$O$6:$O$10005,'月1回_1ヶ月前の在庫'!$V$6:$V$10005,'設定'!$C$4,'月1回_1ヶ月前の在庫'!$W$6:$W$10005,$C248)/COUNTIFS('月1回_1ヶ月前の在庫'!$V$6:$V$10005,'設定'!$C$4,'月1回_1ヶ月前の在庫'!$W$6:$W$10005,$C248),IF(COUNTIFS('月1回_2ヶ月前の在庫'!$V$6:$V$10005,'設定'!$C$4,'月1回_2ヶ月前の在庫'!$W$6:$W$10005,$C248)&gt;0,SUMIFS('月1回_2ヶ月前の在庫'!$O$6:$O$10005,'月1回_2ヶ月前の在庫'!$V$6:$V$10005,'設定'!$C$4,'月1回_2ヶ月前の在庫'!$W$6:$W$10005,$C248)/COUNTIFS('月1回_2ヶ月前の在庫'!$V$6:$V$10005,'設定'!$C$4,'月1回_2ヶ月前の在庫'!$W$6:$W$10005,$C248),0)))),"")))</f>
        <v/>
      </c>
      <c r="P248" s="90">
        <f>IF($C248="","",IF('②発注する'!$I252="","",'②発注する'!$I252))</f>
        <v/>
      </c>
      <c r="Q248">
        <f>IF($C248="","",IF('②発注する'!$J252="","",'②発注する'!$J252))</f>
        <v/>
      </c>
      <c r="R248">
        <f>IF($C248="",0,IF(AND(ISNUMBER($P248),ISNUMBER($Q248)),MAX(0,$Q248)*$G248,0))</f>
        <v/>
      </c>
      <c r="S248" s="90">
        <f>IF($C248="","",IF('②発注する'!$M252="","",'②発注する'!$M252))</f>
        <v/>
      </c>
      <c r="T248">
        <f>IF($C248="","",IF('②発注する'!$N252="","",'②発注する'!$N252))</f>
        <v/>
      </c>
      <c r="U248">
        <f>IF($C248="",0,IF(AND(ISNUMBER($S248),ISNUMBER($T248)),MAX(0,$T248)*$G248,0))</f>
        <v/>
      </c>
      <c r="V248">
        <f>IF($C248="",0,IF($M248="",0,MAX(0,$M248)*MAX(0,V$4)/100))</f>
        <v/>
      </c>
      <c r="W248">
        <f>IF($C248="",0,IF($M248="",0,MAX(0,$M248)*MAX(0,W$4)/100))</f>
        <v/>
      </c>
      <c r="X248">
        <f>IF($C248="",0,IF($M248="",0,MAX(0,$M248)*MAX(0,X$4)/100))</f>
        <v/>
      </c>
      <c r="Y248">
        <f>IF($C248="",0,IF($M248="",0,MAX(0,$M248)*MAX(0,Y$4)/100))</f>
        <v/>
      </c>
      <c r="Z248">
        <f>IF($C248="",0,IF($M248="",0,MAX(0,$M248)*MAX(0,Z$4)/100))</f>
        <v/>
      </c>
      <c r="AA248">
        <f>IF($C248="",0,IF($M248="",0,MAX(0,$M248)*MAX(0,AA$4)/100))</f>
        <v/>
      </c>
      <c r="AB248">
        <f>IF($C248="",0,IF($M248="",0,MAX(0,$M248)*MAX(0,AB$4)/100))</f>
        <v/>
      </c>
      <c r="AC248">
        <f>IF($C248="",0,IF($M248="",0,MAX(0,$M248)*MAX(0,AC$4)/100))</f>
        <v/>
      </c>
      <c r="AD248">
        <f>IF($C248="",0,IF($M248="",0,MAX(0,$M248)*MAX(0,AD$4)/100))</f>
        <v/>
      </c>
      <c r="AE248">
        <f>IF($C248="",0,IF($M248="",0,MAX(0,$M248)*MAX(0,AE$4)/100))</f>
        <v/>
      </c>
      <c r="AF248">
        <f>IF($C248="",0,IF($M248="",0,MAX(0,$M248)*MAX(0,AF$4)/100))</f>
        <v/>
      </c>
      <c r="AG248">
        <f>IF($C248="",0,IF($M248="",0,MAX(0,$M248)*MAX(0,AG$4)/100))</f>
        <v/>
      </c>
      <c r="AH248">
        <f>IF($C248="",0,IF($M248="",0,MAX(0,$M248)*MAX(0,AH$4)/100))</f>
        <v/>
      </c>
      <c r="AI248">
        <f>IF($C248="",0,IF($M248="",0,MAX(0,$M248)*MAX(0,AI$4)/100))</f>
        <v/>
      </c>
      <c r="AJ248">
        <f>IF($C248="",0,MAX(0,MAX(0,N($L248))-$V248))</f>
        <v/>
      </c>
      <c r="AK248">
        <f>IF($C248="",0,MAX(0,$AJ248-$W248))</f>
        <v/>
      </c>
      <c r="AL248">
        <f>IF($C248="",0,MAX(0,$AK248-$X248))</f>
        <v/>
      </c>
      <c r="AM248">
        <f>IF($C248="",0,MAX(0,$AL248-$Y248))</f>
        <v/>
      </c>
      <c r="AN248">
        <f>IF($C248="",0,MAX(0,$AM248-$Z248))</f>
        <v/>
      </c>
      <c r="AO248">
        <f>IF($C248="",0,MAX(0,$AN248-$AA248))</f>
        <v/>
      </c>
      <c r="AP248">
        <f>IF($C248="",0,MAX(0,$AO248-$AB248))</f>
        <v/>
      </c>
      <c r="AQ248">
        <f>IF($C248="",0,MAX(0,$AP248-$AC248))</f>
        <v/>
      </c>
      <c r="AR248">
        <f>IF($C248="",0,MAX(0,$AQ248-$AD248))</f>
        <v/>
      </c>
      <c r="AS248">
        <f>IF($C248="",0,MAX(0,$AR248-$AE248))</f>
        <v/>
      </c>
      <c r="AT248">
        <f>IF($C248="",0,MAX(0,$AS248-$AF248))</f>
        <v/>
      </c>
      <c r="AU248">
        <f>IF($C248="",0,MAX(0,$AT248-$AG248))</f>
        <v/>
      </c>
      <c r="AV248">
        <f>IF($C248="",0,MAX(0,$AU248-$AH248))</f>
        <v/>
      </c>
      <c r="AW248">
        <f>IF($C248="",0,MAX(0,$AV248-$AI248))</f>
        <v/>
      </c>
      <c r="AX248">
        <f>IF($C248="",0,MAX(0,MAX(0,N($L248))+IF($P248=V$3,$R248,0)+IF($S248=V$3,$U248,0)-$V248))</f>
        <v/>
      </c>
      <c r="AY248">
        <f>IF($C248="",0,MAX(0,$AX248+IF($P248=W$3,$R248,0)+IF($S248=W$3,$U248,0)-$W248))</f>
        <v/>
      </c>
      <c r="AZ248">
        <f>IF($C248="",0,MAX(0,$AY248+IF($P248=X$3,$R248,0)+IF($S248=X$3,$U248,0)-$X248))</f>
        <v/>
      </c>
      <c r="BA248">
        <f>IF($C248="",0,MAX(0,$AZ248+IF($P248=Y$3,$R248,0)+IF($S248=Y$3,$U248,0)-$Y248))</f>
        <v/>
      </c>
      <c r="BB248">
        <f>IF($C248="",0,MAX(0,$BA248+IF($P248=Z$3,$R248,0)+IF($S248=Z$3,$U248,0)-$Z248))</f>
        <v/>
      </c>
      <c r="BC248">
        <f>IF($C248="",0,MAX(0,$BB248+IF($P248=AA$3,$R248,0)+IF($S248=AA$3,$U248,0)-$AA248))</f>
        <v/>
      </c>
      <c r="BD248">
        <f>IF($C248="",0,MAX(0,$BC248+IF($P248=AB$3,$R248,0)+IF($S248=AB$3,$U248,0)-$AB248))</f>
        <v/>
      </c>
      <c r="BE248">
        <f>IF($C248="",0,MAX(0,$BD248+IF($P248=AC$3,$R248,0)+IF($S248=AC$3,$U248,0)-$AC248))</f>
        <v/>
      </c>
      <c r="BF248">
        <f>IF($C248="",0,MAX(0,$BE248+IF($P248=AD$3,$R248,0)+IF($S248=AD$3,$U248,0)-$AD248))</f>
        <v/>
      </c>
      <c r="BG248">
        <f>IF($C248="",0,MAX(0,$BF248+IF($P248=AE$3,$R248,0)+IF($S248=AE$3,$U248,0)-$AE248))</f>
        <v/>
      </c>
      <c r="BH248">
        <f>IF($C248="",0,MAX(0,$BG248+IF($P248=AF$3,$R248,0)+IF($S248=AF$3,$U248,0)-$AF248))</f>
        <v/>
      </c>
      <c r="BI248">
        <f>IF($C248="",0,MAX(0,$BH248+IF($P248=AG$3,$R248,0)+IF($S248=AG$3,$U248,0)-$AG248))</f>
        <v/>
      </c>
      <c r="BJ248">
        <f>IF($C248="",0,MAX(0,$BI248+IF($P248=AH$3,$R248,0)+IF($S248=AH$3,$U248,0)-$AH248))</f>
        <v/>
      </c>
      <c r="BK248">
        <f>IF($C248="",0,MAX(0,$BJ248+IF($P248=AI$3,$R248,0)+IF($S248=AI$3,$U248,0)-$AI248))</f>
        <v/>
      </c>
      <c r="BL248">
        <f>IF($C248="",99,IF(AND($AX248&lt;1,V$3&gt;=MAX(N($P248),N($S248))),0,99))</f>
        <v/>
      </c>
      <c r="BM248">
        <f>IF($C248="",99,IF(AND($AY248&lt;1,W$3&gt;=MAX(N($P248),N($S248))),1,99))</f>
        <v/>
      </c>
      <c r="BN248">
        <f>IF($C248="",99,IF(AND($AZ248&lt;1,X$3&gt;=MAX(N($P248),N($S248))),2,99))</f>
        <v/>
      </c>
      <c r="BO248">
        <f>IF($C248="",99,IF(AND($BA248&lt;1,Y$3&gt;=MAX(N($P248),N($S248))),3,99))</f>
        <v/>
      </c>
      <c r="BP248">
        <f>IF($C248="",99,IF(AND($BB248&lt;1,Z$3&gt;=MAX(N($P248),N($S248))),4,99))</f>
        <v/>
      </c>
      <c r="BQ248">
        <f>IF($C248="",99,IF(AND($BC248&lt;1,AA$3&gt;=MAX(N($P248),N($S248))),5,99))</f>
        <v/>
      </c>
      <c r="BR248">
        <f>IF($C248="",99,IF(AND($BD248&lt;1,AB$3&gt;=MAX(N($P248),N($S248))),6,99))</f>
        <v/>
      </c>
      <c r="BS248">
        <f>IF($C248="",99,IF(AND($BE248&lt;1,AC$3&gt;=MAX(N($P248),N($S248))),7,99))</f>
        <v/>
      </c>
      <c r="BT248">
        <f>IF($C248="",99,IF(AND($BF248&lt;1,AD$3&gt;=MAX(N($P248),N($S248))),8,99))</f>
        <v/>
      </c>
      <c r="BU248">
        <f>IF($C248="",99,IF(AND($BG248&lt;1,AE$3&gt;=MAX(N($P248),N($S248))),9,99))</f>
        <v/>
      </c>
      <c r="BV248">
        <f>IF($C248="",99,IF(AND($BH248&lt;1,AF$3&gt;=MAX(N($P248),N($S248))),10,99))</f>
        <v/>
      </c>
      <c r="BW248">
        <f>IF($C248="",99,IF(AND($BI248&lt;1,AG$3&gt;=MAX(N($P248),N($S248))),11,99))</f>
        <v/>
      </c>
      <c r="BX248">
        <f>IF($C248="",99,IF(AND($BJ248&lt;1,AH$3&gt;=MAX(N($P248),N($S248))),12,99))</f>
        <v/>
      </c>
      <c r="BY248">
        <f>IF($C248="",99,IF(AND($BK248&lt;1,AI$3&gt;=MAX(N($P248),N($S248))),13,99))</f>
        <v/>
      </c>
      <c r="BZ248">
        <f>IF(OR($C248="",$M248=""),"",COUNTIF($AJ248:$AW248,"&gt;=1"))</f>
        <v/>
      </c>
      <c r="CA248" s="90">
        <f>IF($BZ248="","",IF($BZ248&gt;=14,"",'設定'!$C$6+$BZ248))</f>
        <v/>
      </c>
      <c r="CB248">
        <f>IF(OR($C248="",$M248=""),"",MIN($BL248:$BY248))</f>
        <v/>
      </c>
      <c r="CC248" s="90">
        <f>IF($CB248="","",IF($CB248&gt;=99,"",'設定'!$C$6+$CB248))</f>
        <v/>
      </c>
      <c r="CD248">
        <f>IF(OR($C248="",$M248=""),"",AVERAGE($V248:$AI248))</f>
        <v/>
      </c>
      <c r="CE248">
        <f>IF($C248="","",IFERROR(IF(MATCH(IF(ISNUMBER($P248),$P248,'設定'!$C$6+N('設定'!$C$7)),$V$3:$AI$3,0)=1,MAX(0,N($L248)),INDEX($AJ248:$AW248,MATCH(IF(ISNUMBER($P248),$P248,'設定'!$C$6+N('設定'!$C$7)),$V$3:$AI$3,0)-1)),""))</f>
        <v/>
      </c>
      <c r="CF248">
        <f>IF(OR($C248="",$O248="",$CE248=""),"",IF($O248-$CE248&lt;=0,0,ROUNDUP(($O248-$CE248)/$G248,0)))</f>
        <v/>
      </c>
      <c r="CG248">
        <f>IF(OR($C248="",$CF248="",NOT(ISNUMBER($Q248))),0,MAX(0,$Q248-$CF248))</f>
        <v/>
      </c>
      <c r="CH248">
        <f>IF(OR($C248="",$O248="",$U248=0),0,IFERROR(ROUNDUP(MAX(0,IF(MATCH($S248,$V$3:$AI$3,0)=1,MAX(0,N($L248)),INDEX($AX248:$BK248,MATCH($S248,$V$3:$AI$3,0)-1))+$U248-$O248)/$G248,0),0))</f>
        <v/>
      </c>
      <c r="CI248">
        <f>IF($C248="","",IF(AND($P248="",$Q248=""),"",IF($P248="","⚠ 入庫日を ▼ から選んでください",IF(NOT(ISNUMBER($P248)),"⚠ 入庫日は ▼ から選んでください",IF($P248&lt;N('設定'!$C$6),"⚠ 入庫日が過去です（もう在庫に入っています）→ 消してください",IF($P248&gt;N('設定'!$C$6)+13,"⚠ 入庫日が14日より先です",IF(N($Q248)&lt;=0,"⚠ 入庫数を入れてください",IF($CG248&gt;0,"⚠ 目安より "&amp;$CG248&amp;" 多い（定数を超える）→ 減らす",""))))))))</f>
        <v/>
      </c>
      <c r="CJ248">
        <f>IF($C248="","",IF(AND($S248="",$T248=""),"",IF($S248="","⚠ 2便目：入庫日を ▼ から選んでください",IF(NOT(ISNUMBER($S248)),"⚠ 2便目：入庫日は ▼ から選んでください",IF($S248&lt;N('設定'!$C$6),"⚠ 2便目：入庫日が過去です（もう在庫に入っています）→ 消してください",IF($S248&gt;N('設定'!$C$6)+13,"⚠ 2便目：入庫日が14日より先です",IF(N($T248)&lt;=0,"⚠ 2便目：入庫数を入れてください",IF($CH248&gt;0,"⚠ 2便目：定数を "&amp;$CH248&amp;" ケース超える → 減らす",""))))))))</f>
        <v/>
      </c>
      <c r="CK248">
        <f>IF(AND($CI248="",N($Q248)&gt;0,ISNUMBER($P248)),1,0)</f>
        <v/>
      </c>
      <c r="CL248">
        <f>IF(AND($CJ248="",N($T248)&gt;0,ISNUMBER($S248)),1,0)</f>
        <v/>
      </c>
      <c r="CM248">
        <f>IF(OR($CK248=1,$CL248=1),1,0)</f>
        <v/>
      </c>
      <c r="CN248">
        <f>IF($C248="",0,($CK248*$R248+$CL248*$U248)*N($H248))</f>
        <v/>
      </c>
      <c r="CO248">
        <f>IF($C248="","",IF($CC248="","入庫後は 14日以上もつ",IF($CC248-N('設定'!$C$7)&lt;='設定'!$C$6,"入庫後も "&amp;TEXT($CC248,"m/d")&amp;"("&amp;CHOOSE(WEEKDAY($CC248),"日","月","火","水","木","金","土")&amp;")"&amp;" に切れる　もう1便を至急発注","入庫後も "&amp;TEXT($CC248,"m/d")&amp;"("&amp;CHOOSE(WEEKDAY($CC248),"日","月","火","水","木","金","土")&amp;")"&amp;" に切れる　"&amp;TEXT($CC248-N('設定'!$C$7),"m/d")&amp;"("&amp;CHOOSE(WEEKDAY($CC248-N('設定'!$C$7)),"日","月","火","水","木","金","土")&amp;")"&amp;" までに次を発注")))</f>
        <v/>
      </c>
      <c r="CP248">
        <f>IF($C248="","",IF('設定'!$C$6="","？ ①在庫を貼る に今日のCSVが貼られていない",IF($CS248=1,"－ 今日のCSVに無い（終売？）",IF($L248&lt;0,"● 在庫がマイナス　数えて「数えた在庫」に入れる",IF($L248=0,"● 在庫なし　至急発注",IF($M248="","？ 減り数が未設定（商品マスタ）",IF($B$3=0,"？ 動員が未入力（動員を入れる）",IF($CA248="","○ 14日以上もつ",IF($BZ248&lt;N('設定'!$C$7),"● "&amp;TEXT($CA248,"m/d")&amp;"("&amp;CHOOSE(WEEKDAY($CA248),"日","月","火","水","木","金","土")&amp;")"&amp;" に切れる　至急発注",IF($BZ248=N('設定'!$C$7),"● "&amp;TEXT($CA248,"m/d")&amp;"("&amp;CHOOSE(WEEKDAY($CA248),"日","月","火","水","木","金","土")&amp;")"&amp;" に切れる　今日発注","△ "&amp;TEXT($CA248,"m/d")&amp;"("&amp;CHOOSE(WEEKDAY($CA248),"日","月","火","水","木","金","土")&amp;")"&amp;" に切れる　"&amp;TEXT($CA248-N('設定'!$C$7),"m/d")&amp;"("&amp;CHOOSE(WEEKDAY($CA248-N('設定'!$C$7)),"日","月","火","水","木","金","土")&amp;")"&amp;" までに発注"))))))))))</f>
        <v/>
      </c>
      <c r="CQ248">
        <f>IF($C248="","",IF(AND($P248="",$Q248="",$S248="",$T248=""),"",IF(AND($P248="",$Q248=""),"⚠ 先に1便目（左の入庫日・入庫数）に入れてください",IF($CI248&lt;&gt;"",$CI248,IF($CJ248&lt;&gt;"",$CJ248,IF($M248="","？ 減り数が未設定（発注書には載ります）",IF($B$3=0,"？ 動員が未入力（発注書には載ります）",IF(AND($CA248&lt;&gt;"",$P248&gt;$CA248),IF($P248&gt;'設定'!$C$6+N('設定'!$C$7),"● "&amp;TEXT($P248,"m/d")&amp;"("&amp;CHOOSE(WEEKDAY($P248),"日","月","火","水","木","金","土")&amp;")"&amp;" の入庫では間に合わない（"&amp;TEXT($CA248,"m/d")&amp;"("&amp;CHOOSE(WEEKDAY($CA248),"日","月","火","水","木","金","土")&amp;")"&amp;" に切れる）　入庫日を早める","△ 欠品 "&amp;TEXT($CA248,"m/d")&amp;"("&amp;CHOOSE(WEEKDAY($CA248),"日","月","火","水","木","金","土")&amp;")"&amp;"〜"&amp;TEXT($P248-1,"m/d")&amp;"("&amp;CHOOSE(WEEKDAY($P248-1),"日","月","火","水","木","金","土")&amp;")"&amp;"　"&amp;$CO248),IF($CC248="","○ "&amp;TEXT($P248,"m/d")&amp;"("&amp;CHOOSE(WEEKDAY($P248),"日","月","火","水","木","金","土")&amp;")"&amp;" 入庫で 14日以上もつ",IF($CC248-N('設定'!$C$7)&lt;='設定'!$C$6,"● 入庫しても "&amp;TEXT($CC248,"m/d")&amp;"("&amp;CHOOSE(WEEKDAY($CC248),"日","月","火","水","木","金","土")&amp;")"&amp;" に切れる　もう1便を至急発注（2便目に入れる）","△ 入庫しても "&amp;TEXT($CC248,"m/d")&amp;"("&amp;CHOOSE(WEEKDAY($CC248),"日","月","火","水","木","金","土")&amp;")"&amp;" に切れる　"&amp;TEXT($CC248-N('設定'!$C$7),"m/d")&amp;"("&amp;CHOOSE(WEEKDAY($CC248-N('設定'!$C$7)),"日","月","火","水","木","金","土")&amp;")"&amp;" までに次を発注（2便目に入れる）"))))))))))</f>
        <v/>
      </c>
      <c r="CR248">
        <f>IF($C248="","",IF($G248&gt;1,"ｹｰｽ("&amp;$G248&amp;"入)","個"))</f>
        <v/>
      </c>
      <c r="CS248">
        <f>IF($C248="",0,IF(COUNTIFS('①在庫を貼る'!$V$6:$V$10005,'設定'!$C$4,'①在庫を貼る'!$W$6:$W$10005,$C248)=0,1,0))</f>
        <v/>
      </c>
      <c r="CT248">
        <f>IF(AND($CK248=1,OR('③発注書'!$C$4="すべて",'③発注書'!$C$4="",$F248='③発注書'!$C$4)),N($CT247)+1,N($CT247))</f>
        <v/>
      </c>
      <c r="CU248">
        <f>IF(AND($CL248=1,OR('③発注書'!$C$4="すべて",'③発注書'!$C$4="",$F248='③発注書'!$C$4)),N($CU247)+1,N($CU247))</f>
        <v/>
      </c>
      <c r="CV248">
        <f>IF($C248="",0,IF(COUNTIFS('①在庫を貼る'!$V$6:$V$10005,'設定'!$C$4,'①在庫を貼る'!$W$6:$W$10005,$C248)&gt;0,1,0))</f>
        <v/>
      </c>
      <c r="CW248">
        <f>IF($C248="",0,IF(COUNTIFS('月1回_1ヶ月前の在庫'!$V$6:$V$10005,'設定'!$C$4,'月1回_1ヶ月前の在庫'!$W$6:$W$10005,$C248)&gt;0,1,0))</f>
        <v/>
      </c>
      <c r="CX248">
        <f>IF($C248="",0,IF(COUNTIFS('月1回_2ヶ月前の在庫'!$V$6:$V$10005,'設定'!$C$4,'月1回_2ヶ月前の在庫'!$W$6:$W$10005,$C248)&gt;0,1,0))</f>
        <v/>
      </c>
      <c r="CY248">
        <f>IF(OR($C248="",'設定'!$C$12=""),"",IF('設定'!$C$13="",IF(AND($CV248=1,$CW248=0),"新商品（今月から）",IF(AND($CV248=0,$CW248=1),"終売（今月から）","")),IF(AND($CV248=1,$CW248=0,$CX248=0),"新商品（今月から）",IF(AND($CV248=1,$CW248=1,$CX248=0),"新商品（先月から）",IF(AND($CV248=0,$CW248=1,$CX248=1),"終売（今月から）",IF(AND($CV248=0,$CW248=0,$CX248=1),"終売（先月から）",IF(AND($CV248=1,$CW248=0,$CX248=1),"復活（先月は無し）","")))))))</f>
        <v/>
      </c>
    </row>
    <row r="249">
      <c r="B249">
        <f>IF(244&lt;='設定'!$C$11,244,"")</f>
        <v/>
      </c>
      <c r="C249">
        <f>IF($B249="","",IF($B249&lt;='設定'!$C$20,INDEX('商品マスタ'!$B$6:$B$1005,MATCH($B249,'商品マスタ'!$M$6:$M$1005,0)),IF($B249&lt;='設定'!$C$20+'設定'!$C$17,INDEX('①在庫を貼る'!$W$6:$W$10005,MATCH($B249-'設定'!$C$20,'①在庫を貼る'!$U$6:$U$10005,0)),IF($B249&lt;='設定'!$C$20+'設定'!$C$17+'設定'!$C$18,INDEX('月1回_1ヶ月前の在庫'!$W$6:$W$10005,MATCH($B249-'設定'!$C$20-'設定'!$C$17,'月1回_1ヶ月前の在庫'!$U$6:$U$10005,0)),INDEX('月1回_2ヶ月前の在庫'!$W$6:$W$10005,MATCH($B249-'設定'!$C$20-'設定'!$C$17-'設定'!$C$18,'月1回_2ヶ月前の在庫'!$U$6:$U$10005,0))))))</f>
        <v/>
      </c>
      <c r="D249">
        <f>IF($C249="","",IFERROR(IF(INDEX('商品マスタ'!$C$6:$C$1005,MATCH($C249,'商品マスタ'!$B$6:$B$1005,0))="",IFERROR(INDEX('①在庫を貼る'!$J$6:$J$10005,MATCH($C249,'①在庫を貼る'!$W$6:$W$10005,0)),IFERROR(INDEX('月1回_1ヶ月前の在庫'!$J$6:$J$10005,MATCH($C249,'月1回_1ヶ月前の在庫'!$W$6:$W$10005,0)),IFERROR(INDEX('月1回_2ヶ月前の在庫'!$J$6:$J$10005,MATCH($C249,'月1回_2ヶ月前の在庫'!$W$6:$W$10005,0)),""))),INDEX('商品マスタ'!$C$6:$C$1005,MATCH($C249,'商品マスタ'!$B$6:$B$1005,0))),IFERROR(INDEX('①在庫を貼る'!$J$6:$J$10005,MATCH($C249,'①在庫を貼る'!$W$6:$W$10005,0)),IFERROR(INDEX('月1回_1ヶ月前の在庫'!$J$6:$J$10005,MATCH($C249,'月1回_1ヶ月前の在庫'!$W$6:$W$10005,0)),IFERROR(INDEX('月1回_2ヶ月前の在庫'!$J$6:$J$10005,MATCH($C249,'月1回_2ヶ月前の在庫'!$W$6:$W$10005,0)),"")))))</f>
        <v/>
      </c>
      <c r="E249">
        <f>IF($C249="","",IFERROR(IF(INDEX('商品マスタ'!$D$6:$D$1005,MATCH($C249,'商品マスタ'!$B$6:$B$1005,0))="",IFERROR(INDEX('①在庫を貼る'!$H$6:$H$10005,MATCH($C249,'①在庫を貼る'!$W$6:$W$10005,0)),IFERROR(INDEX('月1回_1ヶ月前の在庫'!$H$6:$H$10005,MATCH($C249,'月1回_1ヶ月前の在庫'!$W$6:$W$10005,0)),IFERROR(INDEX('月1回_2ヶ月前の在庫'!$H$6:$H$10005,MATCH($C249,'月1回_2ヶ月前の在庫'!$W$6:$W$10005,0)),""))),INDEX('商品マスタ'!$D$6:$D$1005,MATCH($C249,'商品マスタ'!$B$6:$B$1005,0))),IFERROR(INDEX('①在庫を貼る'!$H$6:$H$10005,MATCH($C249,'①在庫を貼る'!$W$6:$W$10005,0)),IFERROR(INDEX('月1回_1ヶ月前の在庫'!$H$6:$H$10005,MATCH($C249,'月1回_1ヶ月前の在庫'!$W$6:$W$10005,0)),IFERROR(INDEX('月1回_2ヶ月前の在庫'!$H$6:$H$10005,MATCH($C249,'月1回_2ヶ月前の在庫'!$W$6:$W$10005,0)),"")))))</f>
        <v/>
      </c>
      <c r="F249">
        <f>IF($C249="","",IFERROR(IF(INDEX('商品マスタ'!$E$6:$E$1005,MATCH($C249,'商品マスタ'!$B$6:$B$1005,0))="",IFERROR(INDEX('①在庫を貼る'!$E$6:$E$10005,MATCH($C249,'①在庫を貼る'!$W$6:$W$10005,0)),IFERROR(INDEX('月1回_1ヶ月前の在庫'!$E$6:$E$10005,MATCH($C249,'月1回_1ヶ月前の在庫'!$W$6:$W$10005,0)),IFERROR(INDEX('月1回_2ヶ月前の在庫'!$E$6:$E$10005,MATCH($C249,'月1回_2ヶ月前の在庫'!$W$6:$W$10005,0)),""))),INDEX('商品マスタ'!$E$6:$E$1005,MATCH($C249,'商品マスタ'!$B$6:$B$1005,0))),IFERROR(INDEX('①在庫を貼る'!$E$6:$E$10005,MATCH($C249,'①在庫を貼る'!$W$6:$W$10005,0)),IFERROR(INDEX('月1回_1ヶ月前の在庫'!$E$6:$E$10005,MATCH($C249,'月1回_1ヶ月前の在庫'!$W$6:$W$10005,0)),IFERROR(INDEX('月1回_2ヶ月前の在庫'!$E$6:$E$10005,MATCH($C249,'月1回_2ヶ月前の在庫'!$W$6:$W$10005,0)),"")))))</f>
        <v/>
      </c>
      <c r="G249">
        <f>IF($C249="","",MAX(1,N(IFERROR(IF(INDEX('商品マスタ'!$F$6:$F$1005,MATCH($C249,'商品マスタ'!$B$6:$B$1005,0))="",IF(COUNTIFS('①在庫を貼る'!$V$6:$V$10005,'設定'!$C$4,'①在庫を貼る'!$W$6:$W$10005,$C249)&gt;0,SUMIFS('①在庫を貼る'!$K$6:$K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K$6:$K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K$6:$K$10005,'月1回_2ヶ月前の在庫'!$V$6:$V$10005,'設定'!$C$4,'月1回_2ヶ月前の在庫'!$W$6:$W$10005,$C249)/COUNTIFS('月1回_2ヶ月前の在庫'!$V$6:$V$10005,'設定'!$C$4,'月1回_2ヶ月前の在庫'!$W$6:$W$10005,$C249),0))),INDEX('商品マスタ'!$F$6:$F$1005,MATCH($C249,'商品マスタ'!$B$6:$B$1005,0))),IF(COUNTIFS('①在庫を貼る'!$V$6:$V$10005,'設定'!$C$4,'①在庫を貼る'!$W$6:$W$10005,$C249)&gt;0,SUMIFS('①在庫を貼る'!$K$6:$K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K$6:$K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K$6:$K$10005,'月1回_2ヶ月前の在庫'!$V$6:$V$10005,'設定'!$C$4,'月1回_2ヶ月前の在庫'!$W$6:$W$10005,$C249)/COUNTIFS('月1回_2ヶ月前の在庫'!$V$6:$V$10005,'設定'!$C$4,'月1回_2ヶ月前の在庫'!$W$6:$W$10005,$C249),0)))))))</f>
        <v/>
      </c>
      <c r="H249">
        <f>IF($C249="","",N(IFERROR(IF(INDEX('商品マスタ'!$G$6:$G$1005,MATCH($C249,'商品マスタ'!$B$6:$B$1005,0))="",IF(COUNTIFS('①在庫を貼る'!$V$6:$V$10005,'設定'!$C$4,'①在庫を貼る'!$W$6:$W$10005,$C249)&gt;0,SUMIFS('①在庫を貼る'!$Q$6:$Q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Q$6:$Q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Q$6:$Q$10005,'月1回_2ヶ月前の在庫'!$V$6:$V$10005,'設定'!$C$4,'月1回_2ヶ月前の在庫'!$W$6:$W$10005,$C249)/COUNTIFS('月1回_2ヶ月前の在庫'!$V$6:$V$10005,'設定'!$C$4,'月1回_2ヶ月前の在庫'!$W$6:$W$10005,$C249),0))),INDEX('商品マスタ'!$G$6:$G$1005,MATCH($C249,'商品マスタ'!$B$6:$B$1005,0))),IF(COUNTIFS('①在庫を貼る'!$V$6:$V$10005,'設定'!$C$4,'①在庫を貼る'!$W$6:$W$10005,$C249)&gt;0,SUMIFS('①在庫を貼る'!$Q$6:$Q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Q$6:$Q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Q$6:$Q$10005,'月1回_2ヶ月前の在庫'!$V$6:$V$10005,'設定'!$C$4,'月1回_2ヶ月前の在庫'!$W$6:$W$10005,$C249)/COUNTIFS('月1回_2ヶ月前の在庫'!$V$6:$V$10005,'設定'!$C$4,'月1回_2ヶ月前の在庫'!$W$6:$W$10005,$C249),0))))))</f>
        <v/>
      </c>
      <c r="I249">
        <f>IF($C249="","",IF(COUNTIFS('①在庫を貼る'!$V$6:$V$10005,'設定'!$C$4,'①在庫を貼る'!$W$6:$W$10005,$C249)=0,"",SUMIFS('①在庫を貼る'!$N$6:$N$10005,'①在庫を貼る'!$V$6:$V$10005,'設定'!$C$4,'①在庫を貼る'!$W$6:$W$10005,$C249)))</f>
        <v/>
      </c>
      <c r="J249">
        <f>IF($C249="","",IF('②発注する'!$AD253="","",'②発注する'!$AD253))</f>
        <v/>
      </c>
      <c r="K249" s="90">
        <f>IF($C249="","",IF('②発注する'!$AE253="","",'②発注する'!$AE253))</f>
        <v/>
      </c>
      <c r="L249">
        <f>IF($C249="","",IF(AND(ISNUMBER($J249),ISNUMBER($K249),$K249&gt;='設定'!$C$6),$J249,N($I249)))</f>
        <v/>
      </c>
      <c r="M249">
        <f>IF($C249="","",IFERROR(IF(N(INDEX('商品マスタ'!$J$6:$J$1005,MATCH($C249,'商品マスタ'!$B$6:$B$1005,0)))&gt;0,INDEX('商品マスタ'!$J$6:$J$1005,MATCH($C249,'商品マスタ'!$B$6:$B$1005,0)),""),""))</f>
        <v/>
      </c>
      <c r="N249">
        <f>IF($C249="","",IFERROR(IF(N(INDEX('商品マスタ'!$H$6:$H$1005,MATCH($C249,'商品マスタ'!$B$6:$B$1005,0)))&gt;0,INDEX('商品マスタ'!$H$6:$H$1005,MATCH($C249,'商品マスタ'!$B$6:$B$1005,0)),""),""))</f>
        <v/>
      </c>
      <c r="O249">
        <f>IF($C249="","",IF($N249&lt;&gt;"",$N249*$G249,IF(N(IF(COUNTIFS('①在庫を貼る'!$V$6:$V$10005,'設定'!$C$4,'①在庫を貼る'!$W$6:$W$10005,$C249)&gt;0,SUMIFS('①在庫を貼る'!$O$6:$O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O$6:$O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O$6:$O$10005,'月1回_2ヶ月前の在庫'!$V$6:$V$10005,'設定'!$C$4,'月1回_2ヶ月前の在庫'!$W$6:$W$10005,$C249)/COUNTIFS('月1回_2ヶ月前の在庫'!$V$6:$V$10005,'設定'!$C$4,'月1回_2ヶ月前の在庫'!$W$6:$W$10005,$C249),0))))&gt;0,N(IF(COUNTIFS('①在庫を貼る'!$V$6:$V$10005,'設定'!$C$4,'①在庫を貼る'!$W$6:$W$10005,$C249)&gt;0,SUMIFS('①在庫を貼る'!$O$6:$O$10005,'①在庫を貼る'!$V$6:$V$10005,'設定'!$C$4,'①在庫を貼る'!$W$6:$W$10005,$C249)/COUNTIFS('①在庫を貼る'!$V$6:$V$10005,'設定'!$C$4,'①在庫を貼る'!$W$6:$W$10005,$C249),IF(COUNTIFS('月1回_1ヶ月前の在庫'!$V$6:$V$10005,'設定'!$C$4,'月1回_1ヶ月前の在庫'!$W$6:$W$10005,$C249)&gt;0,SUMIFS('月1回_1ヶ月前の在庫'!$O$6:$O$10005,'月1回_1ヶ月前の在庫'!$V$6:$V$10005,'設定'!$C$4,'月1回_1ヶ月前の在庫'!$W$6:$W$10005,$C249)/COUNTIFS('月1回_1ヶ月前の在庫'!$V$6:$V$10005,'設定'!$C$4,'月1回_1ヶ月前の在庫'!$W$6:$W$10005,$C249),IF(COUNTIFS('月1回_2ヶ月前の在庫'!$V$6:$V$10005,'設定'!$C$4,'月1回_2ヶ月前の在庫'!$W$6:$W$10005,$C249)&gt;0,SUMIFS('月1回_2ヶ月前の在庫'!$O$6:$O$10005,'月1回_2ヶ月前の在庫'!$V$6:$V$10005,'設定'!$C$4,'月1回_2ヶ月前の在庫'!$W$6:$W$10005,$C249)/COUNTIFS('月1回_2ヶ月前の在庫'!$V$6:$V$10005,'設定'!$C$4,'月1回_2ヶ月前の在庫'!$W$6:$W$10005,$C249),0)))),"")))</f>
        <v/>
      </c>
      <c r="P249" s="90">
        <f>IF($C249="","",IF('②発注する'!$I253="","",'②発注する'!$I253))</f>
        <v/>
      </c>
      <c r="Q249">
        <f>IF($C249="","",IF('②発注する'!$J253="","",'②発注する'!$J253))</f>
        <v/>
      </c>
      <c r="R249">
        <f>IF($C249="",0,IF(AND(ISNUMBER($P249),ISNUMBER($Q249)),MAX(0,$Q249)*$G249,0))</f>
        <v/>
      </c>
      <c r="S249" s="90">
        <f>IF($C249="","",IF('②発注する'!$M253="","",'②発注する'!$M253))</f>
        <v/>
      </c>
      <c r="T249">
        <f>IF($C249="","",IF('②発注する'!$N253="","",'②発注する'!$N253))</f>
        <v/>
      </c>
      <c r="U249">
        <f>IF($C249="",0,IF(AND(ISNUMBER($S249),ISNUMBER($T249)),MAX(0,$T249)*$G249,0))</f>
        <v/>
      </c>
      <c r="V249">
        <f>IF($C249="",0,IF($M249="",0,MAX(0,$M249)*MAX(0,V$4)/100))</f>
        <v/>
      </c>
      <c r="W249">
        <f>IF($C249="",0,IF($M249="",0,MAX(0,$M249)*MAX(0,W$4)/100))</f>
        <v/>
      </c>
      <c r="X249">
        <f>IF($C249="",0,IF($M249="",0,MAX(0,$M249)*MAX(0,X$4)/100))</f>
        <v/>
      </c>
      <c r="Y249">
        <f>IF($C249="",0,IF($M249="",0,MAX(0,$M249)*MAX(0,Y$4)/100))</f>
        <v/>
      </c>
      <c r="Z249">
        <f>IF($C249="",0,IF($M249="",0,MAX(0,$M249)*MAX(0,Z$4)/100))</f>
        <v/>
      </c>
      <c r="AA249">
        <f>IF($C249="",0,IF($M249="",0,MAX(0,$M249)*MAX(0,AA$4)/100))</f>
        <v/>
      </c>
      <c r="AB249">
        <f>IF($C249="",0,IF($M249="",0,MAX(0,$M249)*MAX(0,AB$4)/100))</f>
        <v/>
      </c>
      <c r="AC249">
        <f>IF($C249="",0,IF($M249="",0,MAX(0,$M249)*MAX(0,AC$4)/100))</f>
        <v/>
      </c>
      <c r="AD249">
        <f>IF($C249="",0,IF($M249="",0,MAX(0,$M249)*MAX(0,AD$4)/100))</f>
        <v/>
      </c>
      <c r="AE249">
        <f>IF($C249="",0,IF($M249="",0,MAX(0,$M249)*MAX(0,AE$4)/100))</f>
        <v/>
      </c>
      <c r="AF249">
        <f>IF($C249="",0,IF($M249="",0,MAX(0,$M249)*MAX(0,AF$4)/100))</f>
        <v/>
      </c>
      <c r="AG249">
        <f>IF($C249="",0,IF($M249="",0,MAX(0,$M249)*MAX(0,AG$4)/100))</f>
        <v/>
      </c>
      <c r="AH249">
        <f>IF($C249="",0,IF($M249="",0,MAX(0,$M249)*MAX(0,AH$4)/100))</f>
        <v/>
      </c>
      <c r="AI249">
        <f>IF($C249="",0,IF($M249="",0,MAX(0,$M249)*MAX(0,AI$4)/100))</f>
        <v/>
      </c>
      <c r="AJ249">
        <f>IF($C249="",0,MAX(0,MAX(0,N($L249))-$V249))</f>
        <v/>
      </c>
      <c r="AK249">
        <f>IF($C249="",0,MAX(0,$AJ249-$W249))</f>
        <v/>
      </c>
      <c r="AL249">
        <f>IF($C249="",0,MAX(0,$AK249-$X249))</f>
        <v/>
      </c>
      <c r="AM249">
        <f>IF($C249="",0,MAX(0,$AL249-$Y249))</f>
        <v/>
      </c>
      <c r="AN249">
        <f>IF($C249="",0,MAX(0,$AM249-$Z249))</f>
        <v/>
      </c>
      <c r="AO249">
        <f>IF($C249="",0,MAX(0,$AN249-$AA249))</f>
        <v/>
      </c>
      <c r="AP249">
        <f>IF($C249="",0,MAX(0,$AO249-$AB249))</f>
        <v/>
      </c>
      <c r="AQ249">
        <f>IF($C249="",0,MAX(0,$AP249-$AC249))</f>
        <v/>
      </c>
      <c r="AR249">
        <f>IF($C249="",0,MAX(0,$AQ249-$AD249))</f>
        <v/>
      </c>
      <c r="AS249">
        <f>IF($C249="",0,MAX(0,$AR249-$AE249))</f>
        <v/>
      </c>
      <c r="AT249">
        <f>IF($C249="",0,MAX(0,$AS249-$AF249))</f>
        <v/>
      </c>
      <c r="AU249">
        <f>IF($C249="",0,MAX(0,$AT249-$AG249))</f>
        <v/>
      </c>
      <c r="AV249">
        <f>IF($C249="",0,MAX(0,$AU249-$AH249))</f>
        <v/>
      </c>
      <c r="AW249">
        <f>IF($C249="",0,MAX(0,$AV249-$AI249))</f>
        <v/>
      </c>
      <c r="AX249">
        <f>IF($C249="",0,MAX(0,MAX(0,N($L249))+IF($P249=V$3,$R249,0)+IF($S249=V$3,$U249,0)-$V249))</f>
        <v/>
      </c>
      <c r="AY249">
        <f>IF($C249="",0,MAX(0,$AX249+IF($P249=W$3,$R249,0)+IF($S249=W$3,$U249,0)-$W249))</f>
        <v/>
      </c>
      <c r="AZ249">
        <f>IF($C249="",0,MAX(0,$AY249+IF($P249=X$3,$R249,0)+IF($S249=X$3,$U249,0)-$X249))</f>
        <v/>
      </c>
      <c r="BA249">
        <f>IF($C249="",0,MAX(0,$AZ249+IF($P249=Y$3,$R249,0)+IF($S249=Y$3,$U249,0)-$Y249))</f>
        <v/>
      </c>
      <c r="BB249">
        <f>IF($C249="",0,MAX(0,$BA249+IF($P249=Z$3,$R249,0)+IF($S249=Z$3,$U249,0)-$Z249))</f>
        <v/>
      </c>
      <c r="BC249">
        <f>IF($C249="",0,MAX(0,$BB249+IF($P249=AA$3,$R249,0)+IF($S249=AA$3,$U249,0)-$AA249))</f>
        <v/>
      </c>
      <c r="BD249">
        <f>IF($C249="",0,MAX(0,$BC249+IF($P249=AB$3,$R249,0)+IF($S249=AB$3,$U249,0)-$AB249))</f>
        <v/>
      </c>
      <c r="BE249">
        <f>IF($C249="",0,MAX(0,$BD249+IF($P249=AC$3,$R249,0)+IF($S249=AC$3,$U249,0)-$AC249))</f>
        <v/>
      </c>
      <c r="BF249">
        <f>IF($C249="",0,MAX(0,$BE249+IF($P249=AD$3,$R249,0)+IF($S249=AD$3,$U249,0)-$AD249))</f>
        <v/>
      </c>
      <c r="BG249">
        <f>IF($C249="",0,MAX(0,$BF249+IF($P249=AE$3,$R249,0)+IF($S249=AE$3,$U249,0)-$AE249))</f>
        <v/>
      </c>
      <c r="BH249">
        <f>IF($C249="",0,MAX(0,$BG249+IF($P249=AF$3,$R249,0)+IF($S249=AF$3,$U249,0)-$AF249))</f>
        <v/>
      </c>
      <c r="BI249">
        <f>IF($C249="",0,MAX(0,$BH249+IF($P249=AG$3,$R249,0)+IF($S249=AG$3,$U249,0)-$AG249))</f>
        <v/>
      </c>
      <c r="BJ249">
        <f>IF($C249="",0,MAX(0,$BI249+IF($P249=AH$3,$R249,0)+IF($S249=AH$3,$U249,0)-$AH249))</f>
        <v/>
      </c>
      <c r="BK249">
        <f>IF($C249="",0,MAX(0,$BJ249+IF($P249=AI$3,$R249,0)+IF($S249=AI$3,$U249,0)-$AI249))</f>
        <v/>
      </c>
      <c r="BL249">
        <f>IF($C249="",99,IF(AND($AX249&lt;1,V$3&gt;=MAX(N($P249),N($S249))),0,99))</f>
        <v/>
      </c>
      <c r="BM249">
        <f>IF($C249="",99,IF(AND($AY249&lt;1,W$3&gt;=MAX(N($P249),N($S249))),1,99))</f>
        <v/>
      </c>
      <c r="BN249">
        <f>IF($C249="",99,IF(AND($AZ249&lt;1,X$3&gt;=MAX(N($P249),N($S249))),2,99))</f>
        <v/>
      </c>
      <c r="BO249">
        <f>IF($C249="",99,IF(AND($BA249&lt;1,Y$3&gt;=MAX(N($P249),N($S249))),3,99))</f>
        <v/>
      </c>
      <c r="BP249">
        <f>IF($C249="",99,IF(AND($BB249&lt;1,Z$3&gt;=MAX(N($P249),N($S249))),4,99))</f>
        <v/>
      </c>
      <c r="BQ249">
        <f>IF($C249="",99,IF(AND($BC249&lt;1,AA$3&gt;=MAX(N($P249),N($S249))),5,99))</f>
        <v/>
      </c>
      <c r="BR249">
        <f>IF($C249="",99,IF(AND($BD249&lt;1,AB$3&gt;=MAX(N($P249),N($S249))),6,99))</f>
        <v/>
      </c>
      <c r="BS249">
        <f>IF($C249="",99,IF(AND($BE249&lt;1,AC$3&gt;=MAX(N($P249),N($S249))),7,99))</f>
        <v/>
      </c>
      <c r="BT249">
        <f>IF($C249="",99,IF(AND($BF249&lt;1,AD$3&gt;=MAX(N($P249),N($S249))),8,99))</f>
        <v/>
      </c>
      <c r="BU249">
        <f>IF($C249="",99,IF(AND($BG249&lt;1,AE$3&gt;=MAX(N($P249),N($S249))),9,99))</f>
        <v/>
      </c>
      <c r="BV249">
        <f>IF($C249="",99,IF(AND($BH249&lt;1,AF$3&gt;=MAX(N($P249),N($S249))),10,99))</f>
        <v/>
      </c>
      <c r="BW249">
        <f>IF($C249="",99,IF(AND($BI249&lt;1,AG$3&gt;=MAX(N($P249),N($S249))),11,99))</f>
        <v/>
      </c>
      <c r="BX249">
        <f>IF($C249="",99,IF(AND($BJ249&lt;1,AH$3&gt;=MAX(N($P249),N($S249))),12,99))</f>
        <v/>
      </c>
      <c r="BY249">
        <f>IF($C249="",99,IF(AND($BK249&lt;1,AI$3&gt;=MAX(N($P249),N($S249))),13,99))</f>
        <v/>
      </c>
      <c r="BZ249">
        <f>IF(OR($C249="",$M249=""),"",COUNTIF($AJ249:$AW249,"&gt;=1"))</f>
        <v/>
      </c>
      <c r="CA249" s="90">
        <f>IF($BZ249="","",IF($BZ249&gt;=14,"",'設定'!$C$6+$BZ249))</f>
        <v/>
      </c>
      <c r="CB249">
        <f>IF(OR($C249="",$M249=""),"",MIN($BL249:$BY249))</f>
        <v/>
      </c>
      <c r="CC249" s="90">
        <f>IF($CB249="","",IF($CB249&gt;=99,"",'設定'!$C$6+$CB249))</f>
        <v/>
      </c>
      <c r="CD249">
        <f>IF(OR($C249="",$M249=""),"",AVERAGE($V249:$AI249))</f>
        <v/>
      </c>
      <c r="CE249">
        <f>IF($C249="","",IFERROR(IF(MATCH(IF(ISNUMBER($P249),$P249,'設定'!$C$6+N('設定'!$C$7)),$V$3:$AI$3,0)=1,MAX(0,N($L249)),INDEX($AJ249:$AW249,MATCH(IF(ISNUMBER($P249),$P249,'設定'!$C$6+N('設定'!$C$7)),$V$3:$AI$3,0)-1)),""))</f>
        <v/>
      </c>
      <c r="CF249">
        <f>IF(OR($C249="",$O249="",$CE249=""),"",IF($O249-$CE249&lt;=0,0,ROUNDUP(($O249-$CE249)/$G249,0)))</f>
        <v/>
      </c>
      <c r="CG249">
        <f>IF(OR($C249="",$CF249="",NOT(ISNUMBER($Q249))),0,MAX(0,$Q249-$CF249))</f>
        <v/>
      </c>
      <c r="CH249">
        <f>IF(OR($C249="",$O249="",$U249=0),0,IFERROR(ROUNDUP(MAX(0,IF(MATCH($S249,$V$3:$AI$3,0)=1,MAX(0,N($L249)),INDEX($AX249:$BK249,MATCH($S249,$V$3:$AI$3,0)-1))+$U249-$O249)/$G249,0),0))</f>
        <v/>
      </c>
      <c r="CI249">
        <f>IF($C249="","",IF(AND($P249="",$Q249=""),"",IF($P249="","⚠ 入庫日を ▼ から選んでください",IF(NOT(ISNUMBER($P249)),"⚠ 入庫日は ▼ から選んでください",IF($P249&lt;N('設定'!$C$6),"⚠ 入庫日が過去です（もう在庫に入っています）→ 消してください",IF($P249&gt;N('設定'!$C$6)+13,"⚠ 入庫日が14日より先です",IF(N($Q249)&lt;=0,"⚠ 入庫数を入れてください",IF($CG249&gt;0,"⚠ 目安より "&amp;$CG249&amp;" 多い（定数を超える）→ 減らす",""))))))))</f>
        <v/>
      </c>
      <c r="CJ249">
        <f>IF($C249="","",IF(AND($S249="",$T249=""),"",IF($S249="","⚠ 2便目：入庫日を ▼ から選んでください",IF(NOT(ISNUMBER($S249)),"⚠ 2便目：入庫日は ▼ から選んでください",IF($S249&lt;N('設定'!$C$6),"⚠ 2便目：入庫日が過去です（もう在庫に入っています）→ 消してください",IF($S249&gt;N('設定'!$C$6)+13,"⚠ 2便目：入庫日が14日より先です",IF(N($T249)&lt;=0,"⚠ 2便目：入庫数を入れてください",IF($CH249&gt;0,"⚠ 2便目：定数を "&amp;$CH249&amp;" ケース超える → 減らす",""))))))))</f>
        <v/>
      </c>
      <c r="CK249">
        <f>IF(AND($CI249="",N($Q249)&gt;0,ISNUMBER($P249)),1,0)</f>
        <v/>
      </c>
      <c r="CL249">
        <f>IF(AND($CJ249="",N($T249)&gt;0,ISNUMBER($S249)),1,0)</f>
        <v/>
      </c>
      <c r="CM249">
        <f>IF(OR($CK249=1,$CL249=1),1,0)</f>
        <v/>
      </c>
      <c r="CN249">
        <f>IF($C249="",0,($CK249*$R249+$CL249*$U249)*N($H249))</f>
        <v/>
      </c>
      <c r="CO249">
        <f>IF($C249="","",IF($CC249="","入庫後は 14日以上もつ",IF($CC249-N('設定'!$C$7)&lt;='設定'!$C$6,"入庫後も "&amp;TEXT($CC249,"m/d")&amp;"("&amp;CHOOSE(WEEKDAY($CC249),"日","月","火","水","木","金","土")&amp;")"&amp;" に切れる　もう1便を至急発注","入庫後も "&amp;TEXT($CC249,"m/d")&amp;"("&amp;CHOOSE(WEEKDAY($CC249),"日","月","火","水","木","金","土")&amp;")"&amp;" に切れる　"&amp;TEXT($CC249-N('設定'!$C$7),"m/d")&amp;"("&amp;CHOOSE(WEEKDAY($CC249-N('設定'!$C$7)),"日","月","火","水","木","金","土")&amp;")"&amp;" までに次を発注")))</f>
        <v/>
      </c>
      <c r="CP249">
        <f>IF($C249="","",IF('設定'!$C$6="","？ ①在庫を貼る に今日のCSVが貼られていない",IF($CS249=1,"－ 今日のCSVに無い（終売？）",IF($L249&lt;0,"● 在庫がマイナス　数えて「数えた在庫」に入れる",IF($L249=0,"● 在庫なし　至急発注",IF($M249="","？ 減り数が未設定（商品マスタ）",IF($B$3=0,"？ 動員が未入力（動員を入れる）",IF($CA249="","○ 14日以上もつ",IF($BZ249&lt;N('設定'!$C$7),"● "&amp;TEXT($CA249,"m/d")&amp;"("&amp;CHOOSE(WEEKDAY($CA249),"日","月","火","水","木","金","土")&amp;")"&amp;" に切れる　至急発注",IF($BZ249=N('設定'!$C$7),"● "&amp;TEXT($CA249,"m/d")&amp;"("&amp;CHOOSE(WEEKDAY($CA249),"日","月","火","水","木","金","土")&amp;")"&amp;" に切れる　今日発注","△ "&amp;TEXT($CA249,"m/d")&amp;"("&amp;CHOOSE(WEEKDAY($CA249),"日","月","火","水","木","金","土")&amp;")"&amp;" に切れる　"&amp;TEXT($CA249-N('設定'!$C$7),"m/d")&amp;"("&amp;CHOOSE(WEEKDAY($CA249-N('設定'!$C$7)),"日","月","火","水","木","金","土")&amp;")"&amp;" までに発注"))))))))))</f>
        <v/>
      </c>
      <c r="CQ249">
        <f>IF($C249="","",IF(AND($P249="",$Q249="",$S249="",$T249=""),"",IF(AND($P249="",$Q249=""),"⚠ 先に1便目（左の入庫日・入庫数）に入れてください",IF($CI249&lt;&gt;"",$CI249,IF($CJ249&lt;&gt;"",$CJ249,IF($M249="","？ 減り数が未設定（発注書には載ります）",IF($B$3=0,"？ 動員が未入力（発注書には載ります）",IF(AND($CA249&lt;&gt;"",$P249&gt;$CA249),IF($P249&gt;'設定'!$C$6+N('設定'!$C$7),"● "&amp;TEXT($P249,"m/d")&amp;"("&amp;CHOOSE(WEEKDAY($P249),"日","月","火","水","木","金","土")&amp;")"&amp;" の入庫では間に合わない（"&amp;TEXT($CA249,"m/d")&amp;"("&amp;CHOOSE(WEEKDAY($CA249),"日","月","火","水","木","金","土")&amp;")"&amp;" に切れる）　入庫日を早める","△ 欠品 "&amp;TEXT($CA249,"m/d")&amp;"("&amp;CHOOSE(WEEKDAY($CA249),"日","月","火","水","木","金","土")&amp;")"&amp;"〜"&amp;TEXT($P249-1,"m/d")&amp;"("&amp;CHOOSE(WEEKDAY($P249-1),"日","月","火","水","木","金","土")&amp;")"&amp;"　"&amp;$CO249),IF($CC249="","○ "&amp;TEXT($P249,"m/d")&amp;"("&amp;CHOOSE(WEEKDAY($P249),"日","月","火","水","木","金","土")&amp;")"&amp;" 入庫で 14日以上もつ",IF($CC249-N('設定'!$C$7)&lt;='設定'!$C$6,"● 入庫しても "&amp;TEXT($CC249,"m/d")&amp;"("&amp;CHOOSE(WEEKDAY($CC249),"日","月","火","水","木","金","土")&amp;")"&amp;" に切れる　もう1便を至急発注（2便目に入れる）","△ 入庫しても "&amp;TEXT($CC249,"m/d")&amp;"("&amp;CHOOSE(WEEKDAY($CC249),"日","月","火","水","木","金","土")&amp;")"&amp;" に切れる　"&amp;TEXT($CC249-N('設定'!$C$7),"m/d")&amp;"("&amp;CHOOSE(WEEKDAY($CC249-N('設定'!$C$7)),"日","月","火","水","木","金","土")&amp;")"&amp;" までに次を発注（2便目に入れる）"))))))))))</f>
        <v/>
      </c>
      <c r="CR249">
        <f>IF($C249="","",IF($G249&gt;1,"ｹｰｽ("&amp;$G249&amp;"入)","個"))</f>
        <v/>
      </c>
      <c r="CS249">
        <f>IF($C249="",0,IF(COUNTIFS('①在庫を貼る'!$V$6:$V$10005,'設定'!$C$4,'①在庫を貼る'!$W$6:$W$10005,$C249)=0,1,0))</f>
        <v/>
      </c>
      <c r="CT249">
        <f>IF(AND($CK249=1,OR('③発注書'!$C$4="すべて",'③発注書'!$C$4="",$F249='③発注書'!$C$4)),N($CT248)+1,N($CT248))</f>
        <v/>
      </c>
      <c r="CU249">
        <f>IF(AND($CL249=1,OR('③発注書'!$C$4="すべて",'③発注書'!$C$4="",$F249='③発注書'!$C$4)),N($CU248)+1,N($CU248))</f>
        <v/>
      </c>
      <c r="CV249">
        <f>IF($C249="",0,IF(COUNTIFS('①在庫を貼る'!$V$6:$V$10005,'設定'!$C$4,'①在庫を貼る'!$W$6:$W$10005,$C249)&gt;0,1,0))</f>
        <v/>
      </c>
      <c r="CW249">
        <f>IF($C249="",0,IF(COUNTIFS('月1回_1ヶ月前の在庫'!$V$6:$V$10005,'設定'!$C$4,'月1回_1ヶ月前の在庫'!$W$6:$W$10005,$C249)&gt;0,1,0))</f>
        <v/>
      </c>
      <c r="CX249">
        <f>IF($C249="",0,IF(COUNTIFS('月1回_2ヶ月前の在庫'!$V$6:$V$10005,'設定'!$C$4,'月1回_2ヶ月前の在庫'!$W$6:$W$10005,$C249)&gt;0,1,0))</f>
        <v/>
      </c>
      <c r="CY249">
        <f>IF(OR($C249="",'設定'!$C$12=""),"",IF('設定'!$C$13="",IF(AND($CV249=1,$CW249=0),"新商品（今月から）",IF(AND($CV249=0,$CW249=1),"終売（今月から）","")),IF(AND($CV249=1,$CW249=0,$CX249=0),"新商品（今月から）",IF(AND($CV249=1,$CW249=1,$CX249=0),"新商品（先月から）",IF(AND($CV249=0,$CW249=1,$CX249=1),"終売（今月から）",IF(AND($CV249=0,$CW249=0,$CX249=1),"終売（先月から）",IF(AND($CV249=1,$CW249=0,$CX249=1),"復活（先月は無し）","")))))))</f>
        <v/>
      </c>
    </row>
    <row r="250">
      <c r="B250">
        <f>IF(245&lt;='設定'!$C$11,245,"")</f>
        <v/>
      </c>
      <c r="C250">
        <f>IF($B250="","",IF($B250&lt;='設定'!$C$20,INDEX('商品マスタ'!$B$6:$B$1005,MATCH($B250,'商品マスタ'!$M$6:$M$1005,0)),IF($B250&lt;='設定'!$C$20+'設定'!$C$17,INDEX('①在庫を貼る'!$W$6:$W$10005,MATCH($B250-'設定'!$C$20,'①在庫を貼る'!$U$6:$U$10005,0)),IF($B250&lt;='設定'!$C$20+'設定'!$C$17+'設定'!$C$18,INDEX('月1回_1ヶ月前の在庫'!$W$6:$W$10005,MATCH($B250-'設定'!$C$20-'設定'!$C$17,'月1回_1ヶ月前の在庫'!$U$6:$U$10005,0)),INDEX('月1回_2ヶ月前の在庫'!$W$6:$W$10005,MATCH($B250-'設定'!$C$20-'設定'!$C$17-'設定'!$C$18,'月1回_2ヶ月前の在庫'!$U$6:$U$10005,0))))))</f>
        <v/>
      </c>
      <c r="D250">
        <f>IF($C250="","",IFERROR(IF(INDEX('商品マスタ'!$C$6:$C$1005,MATCH($C250,'商品マスタ'!$B$6:$B$1005,0))="",IFERROR(INDEX('①在庫を貼る'!$J$6:$J$10005,MATCH($C250,'①在庫を貼る'!$W$6:$W$10005,0)),IFERROR(INDEX('月1回_1ヶ月前の在庫'!$J$6:$J$10005,MATCH($C250,'月1回_1ヶ月前の在庫'!$W$6:$W$10005,0)),IFERROR(INDEX('月1回_2ヶ月前の在庫'!$J$6:$J$10005,MATCH($C250,'月1回_2ヶ月前の在庫'!$W$6:$W$10005,0)),""))),INDEX('商品マスタ'!$C$6:$C$1005,MATCH($C250,'商品マスタ'!$B$6:$B$1005,0))),IFERROR(INDEX('①在庫を貼る'!$J$6:$J$10005,MATCH($C250,'①在庫を貼る'!$W$6:$W$10005,0)),IFERROR(INDEX('月1回_1ヶ月前の在庫'!$J$6:$J$10005,MATCH($C250,'月1回_1ヶ月前の在庫'!$W$6:$W$10005,0)),IFERROR(INDEX('月1回_2ヶ月前の在庫'!$J$6:$J$10005,MATCH($C250,'月1回_2ヶ月前の在庫'!$W$6:$W$10005,0)),"")))))</f>
        <v/>
      </c>
      <c r="E250">
        <f>IF($C250="","",IFERROR(IF(INDEX('商品マスタ'!$D$6:$D$1005,MATCH($C250,'商品マスタ'!$B$6:$B$1005,0))="",IFERROR(INDEX('①在庫を貼る'!$H$6:$H$10005,MATCH($C250,'①在庫を貼る'!$W$6:$W$10005,0)),IFERROR(INDEX('月1回_1ヶ月前の在庫'!$H$6:$H$10005,MATCH($C250,'月1回_1ヶ月前の在庫'!$W$6:$W$10005,0)),IFERROR(INDEX('月1回_2ヶ月前の在庫'!$H$6:$H$10005,MATCH($C250,'月1回_2ヶ月前の在庫'!$W$6:$W$10005,0)),""))),INDEX('商品マスタ'!$D$6:$D$1005,MATCH($C250,'商品マスタ'!$B$6:$B$1005,0))),IFERROR(INDEX('①在庫を貼る'!$H$6:$H$10005,MATCH($C250,'①在庫を貼る'!$W$6:$W$10005,0)),IFERROR(INDEX('月1回_1ヶ月前の在庫'!$H$6:$H$10005,MATCH($C250,'月1回_1ヶ月前の在庫'!$W$6:$W$10005,0)),IFERROR(INDEX('月1回_2ヶ月前の在庫'!$H$6:$H$10005,MATCH($C250,'月1回_2ヶ月前の在庫'!$W$6:$W$10005,0)),"")))))</f>
        <v/>
      </c>
      <c r="F250">
        <f>IF($C250="","",IFERROR(IF(INDEX('商品マスタ'!$E$6:$E$1005,MATCH($C250,'商品マスタ'!$B$6:$B$1005,0))="",IFERROR(INDEX('①在庫を貼る'!$E$6:$E$10005,MATCH($C250,'①在庫を貼る'!$W$6:$W$10005,0)),IFERROR(INDEX('月1回_1ヶ月前の在庫'!$E$6:$E$10005,MATCH($C250,'月1回_1ヶ月前の在庫'!$W$6:$W$10005,0)),IFERROR(INDEX('月1回_2ヶ月前の在庫'!$E$6:$E$10005,MATCH($C250,'月1回_2ヶ月前の在庫'!$W$6:$W$10005,0)),""))),INDEX('商品マスタ'!$E$6:$E$1005,MATCH($C250,'商品マスタ'!$B$6:$B$1005,0))),IFERROR(INDEX('①在庫を貼る'!$E$6:$E$10005,MATCH($C250,'①在庫を貼る'!$W$6:$W$10005,0)),IFERROR(INDEX('月1回_1ヶ月前の在庫'!$E$6:$E$10005,MATCH($C250,'月1回_1ヶ月前の在庫'!$W$6:$W$10005,0)),IFERROR(INDEX('月1回_2ヶ月前の在庫'!$E$6:$E$10005,MATCH($C250,'月1回_2ヶ月前の在庫'!$W$6:$W$10005,0)),"")))))</f>
        <v/>
      </c>
      <c r="G250">
        <f>IF($C250="","",MAX(1,N(IFERROR(IF(INDEX('商品マスタ'!$F$6:$F$1005,MATCH($C250,'商品マスタ'!$B$6:$B$1005,0))="",IF(COUNTIFS('①在庫を貼る'!$V$6:$V$10005,'設定'!$C$4,'①在庫を貼る'!$W$6:$W$10005,$C250)&gt;0,SUMIFS('①在庫を貼る'!$K$6:$K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K$6:$K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K$6:$K$10005,'月1回_2ヶ月前の在庫'!$V$6:$V$10005,'設定'!$C$4,'月1回_2ヶ月前の在庫'!$W$6:$W$10005,$C250)/COUNTIFS('月1回_2ヶ月前の在庫'!$V$6:$V$10005,'設定'!$C$4,'月1回_2ヶ月前の在庫'!$W$6:$W$10005,$C250),0))),INDEX('商品マスタ'!$F$6:$F$1005,MATCH($C250,'商品マスタ'!$B$6:$B$1005,0))),IF(COUNTIFS('①在庫を貼る'!$V$6:$V$10005,'設定'!$C$4,'①在庫を貼る'!$W$6:$W$10005,$C250)&gt;0,SUMIFS('①在庫を貼る'!$K$6:$K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K$6:$K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K$6:$K$10005,'月1回_2ヶ月前の在庫'!$V$6:$V$10005,'設定'!$C$4,'月1回_2ヶ月前の在庫'!$W$6:$W$10005,$C250)/COUNTIFS('月1回_2ヶ月前の在庫'!$V$6:$V$10005,'設定'!$C$4,'月1回_2ヶ月前の在庫'!$W$6:$W$10005,$C250),0)))))))</f>
        <v/>
      </c>
      <c r="H250">
        <f>IF($C250="","",N(IFERROR(IF(INDEX('商品マスタ'!$G$6:$G$1005,MATCH($C250,'商品マスタ'!$B$6:$B$1005,0))="",IF(COUNTIFS('①在庫を貼る'!$V$6:$V$10005,'設定'!$C$4,'①在庫を貼る'!$W$6:$W$10005,$C250)&gt;0,SUMIFS('①在庫を貼る'!$Q$6:$Q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Q$6:$Q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Q$6:$Q$10005,'月1回_2ヶ月前の在庫'!$V$6:$V$10005,'設定'!$C$4,'月1回_2ヶ月前の在庫'!$W$6:$W$10005,$C250)/COUNTIFS('月1回_2ヶ月前の在庫'!$V$6:$V$10005,'設定'!$C$4,'月1回_2ヶ月前の在庫'!$W$6:$W$10005,$C250),0))),INDEX('商品マスタ'!$G$6:$G$1005,MATCH($C250,'商品マスタ'!$B$6:$B$1005,0))),IF(COUNTIFS('①在庫を貼る'!$V$6:$V$10005,'設定'!$C$4,'①在庫を貼る'!$W$6:$W$10005,$C250)&gt;0,SUMIFS('①在庫を貼る'!$Q$6:$Q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Q$6:$Q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Q$6:$Q$10005,'月1回_2ヶ月前の在庫'!$V$6:$V$10005,'設定'!$C$4,'月1回_2ヶ月前の在庫'!$W$6:$W$10005,$C250)/COUNTIFS('月1回_2ヶ月前の在庫'!$V$6:$V$10005,'設定'!$C$4,'月1回_2ヶ月前の在庫'!$W$6:$W$10005,$C250),0))))))</f>
        <v/>
      </c>
      <c r="I250">
        <f>IF($C250="","",IF(COUNTIFS('①在庫を貼る'!$V$6:$V$10005,'設定'!$C$4,'①在庫を貼る'!$W$6:$W$10005,$C250)=0,"",SUMIFS('①在庫を貼る'!$N$6:$N$10005,'①在庫を貼る'!$V$6:$V$10005,'設定'!$C$4,'①在庫を貼る'!$W$6:$W$10005,$C250)))</f>
        <v/>
      </c>
      <c r="J250">
        <f>IF($C250="","",IF('②発注する'!$AD254="","",'②発注する'!$AD254))</f>
        <v/>
      </c>
      <c r="K250" s="90">
        <f>IF($C250="","",IF('②発注する'!$AE254="","",'②発注する'!$AE254))</f>
        <v/>
      </c>
      <c r="L250">
        <f>IF($C250="","",IF(AND(ISNUMBER($J250),ISNUMBER($K250),$K250&gt;='設定'!$C$6),$J250,N($I250)))</f>
        <v/>
      </c>
      <c r="M250">
        <f>IF($C250="","",IFERROR(IF(N(INDEX('商品マスタ'!$J$6:$J$1005,MATCH($C250,'商品マスタ'!$B$6:$B$1005,0)))&gt;0,INDEX('商品マスタ'!$J$6:$J$1005,MATCH($C250,'商品マスタ'!$B$6:$B$1005,0)),""),""))</f>
        <v/>
      </c>
      <c r="N250">
        <f>IF($C250="","",IFERROR(IF(N(INDEX('商品マスタ'!$H$6:$H$1005,MATCH($C250,'商品マスタ'!$B$6:$B$1005,0)))&gt;0,INDEX('商品マスタ'!$H$6:$H$1005,MATCH($C250,'商品マスタ'!$B$6:$B$1005,0)),""),""))</f>
        <v/>
      </c>
      <c r="O250">
        <f>IF($C250="","",IF($N250&lt;&gt;"",$N250*$G250,IF(N(IF(COUNTIFS('①在庫を貼る'!$V$6:$V$10005,'設定'!$C$4,'①在庫を貼る'!$W$6:$W$10005,$C250)&gt;0,SUMIFS('①在庫を貼る'!$O$6:$O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O$6:$O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O$6:$O$10005,'月1回_2ヶ月前の在庫'!$V$6:$V$10005,'設定'!$C$4,'月1回_2ヶ月前の在庫'!$W$6:$W$10005,$C250)/COUNTIFS('月1回_2ヶ月前の在庫'!$V$6:$V$10005,'設定'!$C$4,'月1回_2ヶ月前の在庫'!$W$6:$W$10005,$C250),0))))&gt;0,N(IF(COUNTIFS('①在庫を貼る'!$V$6:$V$10005,'設定'!$C$4,'①在庫を貼る'!$W$6:$W$10005,$C250)&gt;0,SUMIFS('①在庫を貼る'!$O$6:$O$10005,'①在庫を貼る'!$V$6:$V$10005,'設定'!$C$4,'①在庫を貼る'!$W$6:$W$10005,$C250)/COUNTIFS('①在庫を貼る'!$V$6:$V$10005,'設定'!$C$4,'①在庫を貼る'!$W$6:$W$10005,$C250),IF(COUNTIFS('月1回_1ヶ月前の在庫'!$V$6:$V$10005,'設定'!$C$4,'月1回_1ヶ月前の在庫'!$W$6:$W$10005,$C250)&gt;0,SUMIFS('月1回_1ヶ月前の在庫'!$O$6:$O$10005,'月1回_1ヶ月前の在庫'!$V$6:$V$10005,'設定'!$C$4,'月1回_1ヶ月前の在庫'!$W$6:$W$10005,$C250)/COUNTIFS('月1回_1ヶ月前の在庫'!$V$6:$V$10005,'設定'!$C$4,'月1回_1ヶ月前の在庫'!$W$6:$W$10005,$C250),IF(COUNTIFS('月1回_2ヶ月前の在庫'!$V$6:$V$10005,'設定'!$C$4,'月1回_2ヶ月前の在庫'!$W$6:$W$10005,$C250)&gt;0,SUMIFS('月1回_2ヶ月前の在庫'!$O$6:$O$10005,'月1回_2ヶ月前の在庫'!$V$6:$V$10005,'設定'!$C$4,'月1回_2ヶ月前の在庫'!$W$6:$W$10005,$C250)/COUNTIFS('月1回_2ヶ月前の在庫'!$V$6:$V$10005,'設定'!$C$4,'月1回_2ヶ月前の在庫'!$W$6:$W$10005,$C250),0)))),"")))</f>
        <v/>
      </c>
      <c r="P250" s="90">
        <f>IF($C250="","",IF('②発注する'!$I254="","",'②発注する'!$I254))</f>
        <v/>
      </c>
      <c r="Q250">
        <f>IF($C250="","",IF('②発注する'!$J254="","",'②発注する'!$J254))</f>
        <v/>
      </c>
      <c r="R250">
        <f>IF($C250="",0,IF(AND(ISNUMBER($P250),ISNUMBER($Q250)),MAX(0,$Q250)*$G250,0))</f>
        <v/>
      </c>
      <c r="S250" s="90">
        <f>IF($C250="","",IF('②発注する'!$M254="","",'②発注する'!$M254))</f>
        <v/>
      </c>
      <c r="T250">
        <f>IF($C250="","",IF('②発注する'!$N254="","",'②発注する'!$N254))</f>
        <v/>
      </c>
      <c r="U250">
        <f>IF($C250="",0,IF(AND(ISNUMBER($S250),ISNUMBER($T250)),MAX(0,$T250)*$G250,0))</f>
        <v/>
      </c>
      <c r="V250">
        <f>IF($C250="",0,IF($M250="",0,MAX(0,$M250)*MAX(0,V$4)/100))</f>
        <v/>
      </c>
      <c r="W250">
        <f>IF($C250="",0,IF($M250="",0,MAX(0,$M250)*MAX(0,W$4)/100))</f>
        <v/>
      </c>
      <c r="X250">
        <f>IF($C250="",0,IF($M250="",0,MAX(0,$M250)*MAX(0,X$4)/100))</f>
        <v/>
      </c>
      <c r="Y250">
        <f>IF($C250="",0,IF($M250="",0,MAX(0,$M250)*MAX(0,Y$4)/100))</f>
        <v/>
      </c>
      <c r="Z250">
        <f>IF($C250="",0,IF($M250="",0,MAX(0,$M250)*MAX(0,Z$4)/100))</f>
        <v/>
      </c>
      <c r="AA250">
        <f>IF($C250="",0,IF($M250="",0,MAX(0,$M250)*MAX(0,AA$4)/100))</f>
        <v/>
      </c>
      <c r="AB250">
        <f>IF($C250="",0,IF($M250="",0,MAX(0,$M250)*MAX(0,AB$4)/100))</f>
        <v/>
      </c>
      <c r="AC250">
        <f>IF($C250="",0,IF($M250="",0,MAX(0,$M250)*MAX(0,AC$4)/100))</f>
        <v/>
      </c>
      <c r="AD250">
        <f>IF($C250="",0,IF($M250="",0,MAX(0,$M250)*MAX(0,AD$4)/100))</f>
        <v/>
      </c>
      <c r="AE250">
        <f>IF($C250="",0,IF($M250="",0,MAX(0,$M250)*MAX(0,AE$4)/100))</f>
        <v/>
      </c>
      <c r="AF250">
        <f>IF($C250="",0,IF($M250="",0,MAX(0,$M250)*MAX(0,AF$4)/100))</f>
        <v/>
      </c>
      <c r="AG250">
        <f>IF($C250="",0,IF($M250="",0,MAX(0,$M250)*MAX(0,AG$4)/100))</f>
        <v/>
      </c>
      <c r="AH250">
        <f>IF($C250="",0,IF($M250="",0,MAX(0,$M250)*MAX(0,AH$4)/100))</f>
        <v/>
      </c>
      <c r="AI250">
        <f>IF($C250="",0,IF($M250="",0,MAX(0,$M250)*MAX(0,AI$4)/100))</f>
        <v/>
      </c>
      <c r="AJ250">
        <f>IF($C250="",0,MAX(0,MAX(0,N($L250))-$V250))</f>
        <v/>
      </c>
      <c r="AK250">
        <f>IF($C250="",0,MAX(0,$AJ250-$W250))</f>
        <v/>
      </c>
      <c r="AL250">
        <f>IF($C250="",0,MAX(0,$AK250-$X250))</f>
        <v/>
      </c>
      <c r="AM250">
        <f>IF($C250="",0,MAX(0,$AL250-$Y250))</f>
        <v/>
      </c>
      <c r="AN250">
        <f>IF($C250="",0,MAX(0,$AM250-$Z250))</f>
        <v/>
      </c>
      <c r="AO250">
        <f>IF($C250="",0,MAX(0,$AN250-$AA250))</f>
        <v/>
      </c>
      <c r="AP250">
        <f>IF($C250="",0,MAX(0,$AO250-$AB250))</f>
        <v/>
      </c>
      <c r="AQ250">
        <f>IF($C250="",0,MAX(0,$AP250-$AC250))</f>
        <v/>
      </c>
      <c r="AR250">
        <f>IF($C250="",0,MAX(0,$AQ250-$AD250))</f>
        <v/>
      </c>
      <c r="AS250">
        <f>IF($C250="",0,MAX(0,$AR250-$AE250))</f>
        <v/>
      </c>
      <c r="AT250">
        <f>IF($C250="",0,MAX(0,$AS250-$AF250))</f>
        <v/>
      </c>
      <c r="AU250">
        <f>IF($C250="",0,MAX(0,$AT250-$AG250))</f>
        <v/>
      </c>
      <c r="AV250">
        <f>IF($C250="",0,MAX(0,$AU250-$AH250))</f>
        <v/>
      </c>
      <c r="AW250">
        <f>IF($C250="",0,MAX(0,$AV250-$AI250))</f>
        <v/>
      </c>
      <c r="AX250">
        <f>IF($C250="",0,MAX(0,MAX(0,N($L250))+IF($P250=V$3,$R250,0)+IF($S250=V$3,$U250,0)-$V250))</f>
        <v/>
      </c>
      <c r="AY250">
        <f>IF($C250="",0,MAX(0,$AX250+IF($P250=W$3,$R250,0)+IF($S250=W$3,$U250,0)-$W250))</f>
        <v/>
      </c>
      <c r="AZ250">
        <f>IF($C250="",0,MAX(0,$AY250+IF($P250=X$3,$R250,0)+IF($S250=X$3,$U250,0)-$X250))</f>
        <v/>
      </c>
      <c r="BA250">
        <f>IF($C250="",0,MAX(0,$AZ250+IF($P250=Y$3,$R250,0)+IF($S250=Y$3,$U250,0)-$Y250))</f>
        <v/>
      </c>
      <c r="BB250">
        <f>IF($C250="",0,MAX(0,$BA250+IF($P250=Z$3,$R250,0)+IF($S250=Z$3,$U250,0)-$Z250))</f>
        <v/>
      </c>
      <c r="BC250">
        <f>IF($C250="",0,MAX(0,$BB250+IF($P250=AA$3,$R250,0)+IF($S250=AA$3,$U250,0)-$AA250))</f>
        <v/>
      </c>
      <c r="BD250">
        <f>IF($C250="",0,MAX(0,$BC250+IF($P250=AB$3,$R250,0)+IF($S250=AB$3,$U250,0)-$AB250))</f>
        <v/>
      </c>
      <c r="BE250">
        <f>IF($C250="",0,MAX(0,$BD250+IF($P250=AC$3,$R250,0)+IF($S250=AC$3,$U250,0)-$AC250))</f>
        <v/>
      </c>
      <c r="BF250">
        <f>IF($C250="",0,MAX(0,$BE250+IF($P250=AD$3,$R250,0)+IF($S250=AD$3,$U250,0)-$AD250))</f>
        <v/>
      </c>
      <c r="BG250">
        <f>IF($C250="",0,MAX(0,$BF250+IF($P250=AE$3,$R250,0)+IF($S250=AE$3,$U250,0)-$AE250))</f>
        <v/>
      </c>
      <c r="BH250">
        <f>IF($C250="",0,MAX(0,$BG250+IF($P250=AF$3,$R250,0)+IF($S250=AF$3,$U250,0)-$AF250))</f>
        <v/>
      </c>
      <c r="BI250">
        <f>IF($C250="",0,MAX(0,$BH250+IF($P250=AG$3,$R250,0)+IF($S250=AG$3,$U250,0)-$AG250))</f>
        <v/>
      </c>
      <c r="BJ250">
        <f>IF($C250="",0,MAX(0,$BI250+IF($P250=AH$3,$R250,0)+IF($S250=AH$3,$U250,0)-$AH250))</f>
        <v/>
      </c>
      <c r="BK250">
        <f>IF($C250="",0,MAX(0,$BJ250+IF($P250=AI$3,$R250,0)+IF($S250=AI$3,$U250,0)-$AI250))</f>
        <v/>
      </c>
      <c r="BL250">
        <f>IF($C250="",99,IF(AND($AX250&lt;1,V$3&gt;=MAX(N($P250),N($S250))),0,99))</f>
        <v/>
      </c>
      <c r="BM250">
        <f>IF($C250="",99,IF(AND($AY250&lt;1,W$3&gt;=MAX(N($P250),N($S250))),1,99))</f>
        <v/>
      </c>
      <c r="BN250">
        <f>IF($C250="",99,IF(AND($AZ250&lt;1,X$3&gt;=MAX(N($P250),N($S250))),2,99))</f>
        <v/>
      </c>
      <c r="BO250">
        <f>IF($C250="",99,IF(AND($BA250&lt;1,Y$3&gt;=MAX(N($P250),N($S250))),3,99))</f>
        <v/>
      </c>
      <c r="BP250">
        <f>IF($C250="",99,IF(AND($BB250&lt;1,Z$3&gt;=MAX(N($P250),N($S250))),4,99))</f>
        <v/>
      </c>
      <c r="BQ250">
        <f>IF($C250="",99,IF(AND($BC250&lt;1,AA$3&gt;=MAX(N($P250),N($S250))),5,99))</f>
        <v/>
      </c>
      <c r="BR250">
        <f>IF($C250="",99,IF(AND($BD250&lt;1,AB$3&gt;=MAX(N($P250),N($S250))),6,99))</f>
        <v/>
      </c>
      <c r="BS250">
        <f>IF($C250="",99,IF(AND($BE250&lt;1,AC$3&gt;=MAX(N($P250),N($S250))),7,99))</f>
        <v/>
      </c>
      <c r="BT250">
        <f>IF($C250="",99,IF(AND($BF250&lt;1,AD$3&gt;=MAX(N($P250),N($S250))),8,99))</f>
        <v/>
      </c>
      <c r="BU250">
        <f>IF($C250="",99,IF(AND($BG250&lt;1,AE$3&gt;=MAX(N($P250),N($S250))),9,99))</f>
        <v/>
      </c>
      <c r="BV250">
        <f>IF($C250="",99,IF(AND($BH250&lt;1,AF$3&gt;=MAX(N($P250),N($S250))),10,99))</f>
        <v/>
      </c>
      <c r="BW250">
        <f>IF($C250="",99,IF(AND($BI250&lt;1,AG$3&gt;=MAX(N($P250),N($S250))),11,99))</f>
        <v/>
      </c>
      <c r="BX250">
        <f>IF($C250="",99,IF(AND($BJ250&lt;1,AH$3&gt;=MAX(N($P250),N($S250))),12,99))</f>
        <v/>
      </c>
      <c r="BY250">
        <f>IF($C250="",99,IF(AND($BK250&lt;1,AI$3&gt;=MAX(N($P250),N($S250))),13,99))</f>
        <v/>
      </c>
      <c r="BZ250">
        <f>IF(OR($C250="",$M250=""),"",COUNTIF($AJ250:$AW250,"&gt;=1"))</f>
        <v/>
      </c>
      <c r="CA250" s="90">
        <f>IF($BZ250="","",IF($BZ250&gt;=14,"",'設定'!$C$6+$BZ250))</f>
        <v/>
      </c>
      <c r="CB250">
        <f>IF(OR($C250="",$M250=""),"",MIN($BL250:$BY250))</f>
        <v/>
      </c>
      <c r="CC250" s="90">
        <f>IF($CB250="","",IF($CB250&gt;=99,"",'設定'!$C$6+$CB250))</f>
        <v/>
      </c>
      <c r="CD250">
        <f>IF(OR($C250="",$M250=""),"",AVERAGE($V250:$AI250))</f>
        <v/>
      </c>
      <c r="CE250">
        <f>IF($C250="","",IFERROR(IF(MATCH(IF(ISNUMBER($P250),$P250,'設定'!$C$6+N('設定'!$C$7)),$V$3:$AI$3,0)=1,MAX(0,N($L250)),INDEX($AJ250:$AW250,MATCH(IF(ISNUMBER($P250),$P250,'設定'!$C$6+N('設定'!$C$7)),$V$3:$AI$3,0)-1)),""))</f>
        <v/>
      </c>
      <c r="CF250">
        <f>IF(OR($C250="",$O250="",$CE250=""),"",IF($O250-$CE250&lt;=0,0,ROUNDUP(($O250-$CE250)/$G250,0)))</f>
        <v/>
      </c>
      <c r="CG250">
        <f>IF(OR($C250="",$CF250="",NOT(ISNUMBER($Q250))),0,MAX(0,$Q250-$CF250))</f>
        <v/>
      </c>
      <c r="CH250">
        <f>IF(OR($C250="",$O250="",$U250=0),0,IFERROR(ROUNDUP(MAX(0,IF(MATCH($S250,$V$3:$AI$3,0)=1,MAX(0,N($L250)),INDEX($AX250:$BK250,MATCH($S250,$V$3:$AI$3,0)-1))+$U250-$O250)/$G250,0),0))</f>
        <v/>
      </c>
      <c r="CI250">
        <f>IF($C250="","",IF(AND($P250="",$Q250=""),"",IF($P250="","⚠ 入庫日を ▼ から選んでください",IF(NOT(ISNUMBER($P250)),"⚠ 入庫日は ▼ から選んでください",IF($P250&lt;N('設定'!$C$6),"⚠ 入庫日が過去です（もう在庫に入っています）→ 消してください",IF($P250&gt;N('設定'!$C$6)+13,"⚠ 入庫日が14日より先です",IF(N($Q250)&lt;=0,"⚠ 入庫数を入れてください",IF($CG250&gt;0,"⚠ 目安より "&amp;$CG250&amp;" 多い（定数を超える）→ 減らす",""))))))))</f>
        <v/>
      </c>
      <c r="CJ250">
        <f>IF($C250="","",IF(AND($S250="",$T250=""),"",IF($S250="","⚠ 2便目：入庫日を ▼ から選んでください",IF(NOT(ISNUMBER($S250)),"⚠ 2便目：入庫日は ▼ から選んでください",IF($S250&lt;N('設定'!$C$6),"⚠ 2便目：入庫日が過去です（もう在庫に入っています）→ 消してください",IF($S250&gt;N('設定'!$C$6)+13,"⚠ 2便目：入庫日が14日より先です",IF(N($T250)&lt;=0,"⚠ 2便目：入庫数を入れてください",IF($CH250&gt;0,"⚠ 2便目：定数を "&amp;$CH250&amp;" ケース超える → 減らす",""))))))))</f>
        <v/>
      </c>
      <c r="CK250">
        <f>IF(AND($CI250="",N($Q250)&gt;0,ISNUMBER($P250)),1,0)</f>
        <v/>
      </c>
      <c r="CL250">
        <f>IF(AND($CJ250="",N($T250)&gt;0,ISNUMBER($S250)),1,0)</f>
        <v/>
      </c>
      <c r="CM250">
        <f>IF(OR($CK250=1,$CL250=1),1,0)</f>
        <v/>
      </c>
      <c r="CN250">
        <f>IF($C250="",0,($CK250*$R250+$CL250*$U250)*N($H250))</f>
        <v/>
      </c>
      <c r="CO250">
        <f>IF($C250="","",IF($CC250="","入庫後は 14日以上もつ",IF($CC250-N('設定'!$C$7)&lt;='設定'!$C$6,"入庫後も "&amp;TEXT($CC250,"m/d")&amp;"("&amp;CHOOSE(WEEKDAY($CC250),"日","月","火","水","木","金","土")&amp;")"&amp;" に切れる　もう1便を至急発注","入庫後も "&amp;TEXT($CC250,"m/d")&amp;"("&amp;CHOOSE(WEEKDAY($CC250),"日","月","火","水","木","金","土")&amp;")"&amp;" に切れる　"&amp;TEXT($CC250-N('設定'!$C$7),"m/d")&amp;"("&amp;CHOOSE(WEEKDAY($CC250-N('設定'!$C$7)),"日","月","火","水","木","金","土")&amp;")"&amp;" までに次を発注")))</f>
        <v/>
      </c>
      <c r="CP250">
        <f>IF($C250="","",IF('設定'!$C$6="","？ ①在庫を貼る に今日のCSVが貼られていない",IF($CS250=1,"－ 今日のCSVに無い（終売？）",IF($L250&lt;0,"● 在庫がマイナス　数えて「数えた在庫」に入れる",IF($L250=0,"● 在庫なし　至急発注",IF($M250="","？ 減り数が未設定（商品マスタ）",IF($B$3=0,"？ 動員が未入力（動員を入れる）",IF($CA250="","○ 14日以上もつ",IF($BZ250&lt;N('設定'!$C$7),"● "&amp;TEXT($CA250,"m/d")&amp;"("&amp;CHOOSE(WEEKDAY($CA250),"日","月","火","水","木","金","土")&amp;")"&amp;" に切れる　至急発注",IF($BZ250=N('設定'!$C$7),"● "&amp;TEXT($CA250,"m/d")&amp;"("&amp;CHOOSE(WEEKDAY($CA250),"日","月","火","水","木","金","土")&amp;")"&amp;" に切れる　今日発注","△ "&amp;TEXT($CA250,"m/d")&amp;"("&amp;CHOOSE(WEEKDAY($CA250),"日","月","火","水","木","金","土")&amp;")"&amp;" に切れる　"&amp;TEXT($CA250-N('設定'!$C$7),"m/d")&amp;"("&amp;CHOOSE(WEEKDAY($CA250-N('設定'!$C$7)),"日","月","火","水","木","金","土")&amp;")"&amp;" までに発注"))))))))))</f>
        <v/>
      </c>
      <c r="CQ250">
        <f>IF($C250="","",IF(AND($P250="",$Q250="",$S250="",$T250=""),"",IF(AND($P250="",$Q250=""),"⚠ 先に1便目（左の入庫日・入庫数）に入れてください",IF($CI250&lt;&gt;"",$CI250,IF($CJ250&lt;&gt;"",$CJ250,IF($M250="","？ 減り数が未設定（発注書には載ります）",IF($B$3=0,"？ 動員が未入力（発注書には載ります）",IF(AND($CA250&lt;&gt;"",$P250&gt;$CA250),IF($P250&gt;'設定'!$C$6+N('設定'!$C$7),"● "&amp;TEXT($P250,"m/d")&amp;"("&amp;CHOOSE(WEEKDAY($P250),"日","月","火","水","木","金","土")&amp;")"&amp;" の入庫では間に合わない（"&amp;TEXT($CA250,"m/d")&amp;"("&amp;CHOOSE(WEEKDAY($CA250),"日","月","火","水","木","金","土")&amp;")"&amp;" に切れる）　入庫日を早める","△ 欠品 "&amp;TEXT($CA250,"m/d")&amp;"("&amp;CHOOSE(WEEKDAY($CA250),"日","月","火","水","木","金","土")&amp;")"&amp;"〜"&amp;TEXT($P250-1,"m/d")&amp;"("&amp;CHOOSE(WEEKDAY($P250-1),"日","月","火","水","木","金","土")&amp;")"&amp;"　"&amp;$CO250),IF($CC250="","○ "&amp;TEXT($P250,"m/d")&amp;"("&amp;CHOOSE(WEEKDAY($P250),"日","月","火","水","木","金","土")&amp;")"&amp;" 入庫で 14日以上もつ",IF($CC250-N('設定'!$C$7)&lt;='設定'!$C$6,"● 入庫しても "&amp;TEXT($CC250,"m/d")&amp;"("&amp;CHOOSE(WEEKDAY($CC250),"日","月","火","水","木","金","土")&amp;")"&amp;" に切れる　もう1便を至急発注（2便目に入れる）","△ 入庫しても "&amp;TEXT($CC250,"m/d")&amp;"("&amp;CHOOSE(WEEKDAY($CC250),"日","月","火","水","木","金","土")&amp;")"&amp;" に切れる　"&amp;TEXT($CC250-N('設定'!$C$7),"m/d")&amp;"("&amp;CHOOSE(WEEKDAY($CC250-N('設定'!$C$7)),"日","月","火","水","木","金","土")&amp;")"&amp;" までに次を発注（2便目に入れる）"))))))))))</f>
        <v/>
      </c>
      <c r="CR250">
        <f>IF($C250="","",IF($G250&gt;1,"ｹｰｽ("&amp;$G250&amp;"入)","個"))</f>
        <v/>
      </c>
      <c r="CS250">
        <f>IF($C250="",0,IF(COUNTIFS('①在庫を貼る'!$V$6:$V$10005,'設定'!$C$4,'①在庫を貼る'!$W$6:$W$10005,$C250)=0,1,0))</f>
        <v/>
      </c>
      <c r="CT250">
        <f>IF(AND($CK250=1,OR('③発注書'!$C$4="すべて",'③発注書'!$C$4="",$F250='③発注書'!$C$4)),N($CT249)+1,N($CT249))</f>
        <v/>
      </c>
      <c r="CU250">
        <f>IF(AND($CL250=1,OR('③発注書'!$C$4="すべて",'③発注書'!$C$4="",$F250='③発注書'!$C$4)),N($CU249)+1,N($CU249))</f>
        <v/>
      </c>
      <c r="CV250">
        <f>IF($C250="",0,IF(COUNTIFS('①在庫を貼る'!$V$6:$V$10005,'設定'!$C$4,'①在庫を貼る'!$W$6:$W$10005,$C250)&gt;0,1,0))</f>
        <v/>
      </c>
      <c r="CW250">
        <f>IF($C250="",0,IF(COUNTIFS('月1回_1ヶ月前の在庫'!$V$6:$V$10005,'設定'!$C$4,'月1回_1ヶ月前の在庫'!$W$6:$W$10005,$C250)&gt;0,1,0))</f>
        <v/>
      </c>
      <c r="CX250">
        <f>IF($C250="",0,IF(COUNTIFS('月1回_2ヶ月前の在庫'!$V$6:$V$10005,'設定'!$C$4,'月1回_2ヶ月前の在庫'!$W$6:$W$10005,$C250)&gt;0,1,0))</f>
        <v/>
      </c>
      <c r="CY250">
        <f>IF(OR($C250="",'設定'!$C$12=""),"",IF('設定'!$C$13="",IF(AND($CV250=1,$CW250=0),"新商品（今月から）",IF(AND($CV250=0,$CW250=1),"終売（今月から）","")),IF(AND($CV250=1,$CW250=0,$CX250=0),"新商品（今月から）",IF(AND($CV250=1,$CW250=1,$CX250=0),"新商品（先月から）",IF(AND($CV250=0,$CW250=1,$CX250=1),"終売（今月から）",IF(AND($CV250=0,$CW250=0,$CX250=1),"終売（先月から）",IF(AND($CV250=1,$CW250=0,$CX250=1),"復活（先月は無し）","")))))))</f>
        <v/>
      </c>
    </row>
    <row r="251">
      <c r="B251">
        <f>IF(246&lt;='設定'!$C$11,246,"")</f>
        <v/>
      </c>
      <c r="C251">
        <f>IF($B251="","",IF($B251&lt;='設定'!$C$20,INDEX('商品マスタ'!$B$6:$B$1005,MATCH($B251,'商品マスタ'!$M$6:$M$1005,0)),IF($B251&lt;='設定'!$C$20+'設定'!$C$17,INDEX('①在庫を貼る'!$W$6:$W$10005,MATCH($B251-'設定'!$C$20,'①在庫を貼る'!$U$6:$U$10005,0)),IF($B251&lt;='設定'!$C$20+'設定'!$C$17+'設定'!$C$18,INDEX('月1回_1ヶ月前の在庫'!$W$6:$W$10005,MATCH($B251-'設定'!$C$20-'設定'!$C$17,'月1回_1ヶ月前の在庫'!$U$6:$U$10005,0)),INDEX('月1回_2ヶ月前の在庫'!$W$6:$W$10005,MATCH($B251-'設定'!$C$20-'設定'!$C$17-'設定'!$C$18,'月1回_2ヶ月前の在庫'!$U$6:$U$10005,0))))))</f>
        <v/>
      </c>
      <c r="D251">
        <f>IF($C251="","",IFERROR(IF(INDEX('商品マスタ'!$C$6:$C$1005,MATCH($C251,'商品マスタ'!$B$6:$B$1005,0))="",IFERROR(INDEX('①在庫を貼る'!$J$6:$J$10005,MATCH($C251,'①在庫を貼る'!$W$6:$W$10005,0)),IFERROR(INDEX('月1回_1ヶ月前の在庫'!$J$6:$J$10005,MATCH($C251,'月1回_1ヶ月前の在庫'!$W$6:$W$10005,0)),IFERROR(INDEX('月1回_2ヶ月前の在庫'!$J$6:$J$10005,MATCH($C251,'月1回_2ヶ月前の在庫'!$W$6:$W$10005,0)),""))),INDEX('商品マスタ'!$C$6:$C$1005,MATCH($C251,'商品マスタ'!$B$6:$B$1005,0))),IFERROR(INDEX('①在庫を貼る'!$J$6:$J$10005,MATCH($C251,'①在庫を貼る'!$W$6:$W$10005,0)),IFERROR(INDEX('月1回_1ヶ月前の在庫'!$J$6:$J$10005,MATCH($C251,'月1回_1ヶ月前の在庫'!$W$6:$W$10005,0)),IFERROR(INDEX('月1回_2ヶ月前の在庫'!$J$6:$J$10005,MATCH($C251,'月1回_2ヶ月前の在庫'!$W$6:$W$10005,0)),"")))))</f>
        <v/>
      </c>
      <c r="E251">
        <f>IF($C251="","",IFERROR(IF(INDEX('商品マスタ'!$D$6:$D$1005,MATCH($C251,'商品マスタ'!$B$6:$B$1005,0))="",IFERROR(INDEX('①在庫を貼る'!$H$6:$H$10005,MATCH($C251,'①在庫を貼る'!$W$6:$W$10005,0)),IFERROR(INDEX('月1回_1ヶ月前の在庫'!$H$6:$H$10005,MATCH($C251,'月1回_1ヶ月前の在庫'!$W$6:$W$10005,0)),IFERROR(INDEX('月1回_2ヶ月前の在庫'!$H$6:$H$10005,MATCH($C251,'月1回_2ヶ月前の在庫'!$W$6:$W$10005,0)),""))),INDEX('商品マスタ'!$D$6:$D$1005,MATCH($C251,'商品マスタ'!$B$6:$B$1005,0))),IFERROR(INDEX('①在庫を貼る'!$H$6:$H$10005,MATCH($C251,'①在庫を貼る'!$W$6:$W$10005,0)),IFERROR(INDEX('月1回_1ヶ月前の在庫'!$H$6:$H$10005,MATCH($C251,'月1回_1ヶ月前の在庫'!$W$6:$W$10005,0)),IFERROR(INDEX('月1回_2ヶ月前の在庫'!$H$6:$H$10005,MATCH($C251,'月1回_2ヶ月前の在庫'!$W$6:$W$10005,0)),"")))))</f>
        <v/>
      </c>
      <c r="F251">
        <f>IF($C251="","",IFERROR(IF(INDEX('商品マスタ'!$E$6:$E$1005,MATCH($C251,'商品マスタ'!$B$6:$B$1005,0))="",IFERROR(INDEX('①在庫を貼る'!$E$6:$E$10005,MATCH($C251,'①在庫を貼る'!$W$6:$W$10005,0)),IFERROR(INDEX('月1回_1ヶ月前の在庫'!$E$6:$E$10005,MATCH($C251,'月1回_1ヶ月前の在庫'!$W$6:$W$10005,0)),IFERROR(INDEX('月1回_2ヶ月前の在庫'!$E$6:$E$10005,MATCH($C251,'月1回_2ヶ月前の在庫'!$W$6:$W$10005,0)),""))),INDEX('商品マスタ'!$E$6:$E$1005,MATCH($C251,'商品マスタ'!$B$6:$B$1005,0))),IFERROR(INDEX('①在庫を貼る'!$E$6:$E$10005,MATCH($C251,'①在庫を貼る'!$W$6:$W$10005,0)),IFERROR(INDEX('月1回_1ヶ月前の在庫'!$E$6:$E$10005,MATCH($C251,'月1回_1ヶ月前の在庫'!$W$6:$W$10005,0)),IFERROR(INDEX('月1回_2ヶ月前の在庫'!$E$6:$E$10005,MATCH($C251,'月1回_2ヶ月前の在庫'!$W$6:$W$10005,0)),"")))))</f>
        <v/>
      </c>
      <c r="G251">
        <f>IF($C251="","",MAX(1,N(IFERROR(IF(INDEX('商品マスタ'!$F$6:$F$1005,MATCH($C251,'商品マスタ'!$B$6:$B$1005,0))="",IF(COUNTIFS('①在庫を貼る'!$V$6:$V$10005,'設定'!$C$4,'①在庫を貼る'!$W$6:$W$10005,$C251)&gt;0,SUMIFS('①在庫を貼る'!$K$6:$K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K$6:$K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K$6:$K$10005,'月1回_2ヶ月前の在庫'!$V$6:$V$10005,'設定'!$C$4,'月1回_2ヶ月前の在庫'!$W$6:$W$10005,$C251)/COUNTIFS('月1回_2ヶ月前の在庫'!$V$6:$V$10005,'設定'!$C$4,'月1回_2ヶ月前の在庫'!$W$6:$W$10005,$C251),0))),INDEX('商品マスタ'!$F$6:$F$1005,MATCH($C251,'商品マスタ'!$B$6:$B$1005,0))),IF(COUNTIFS('①在庫を貼る'!$V$6:$V$10005,'設定'!$C$4,'①在庫を貼る'!$W$6:$W$10005,$C251)&gt;0,SUMIFS('①在庫を貼る'!$K$6:$K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K$6:$K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K$6:$K$10005,'月1回_2ヶ月前の在庫'!$V$6:$V$10005,'設定'!$C$4,'月1回_2ヶ月前の在庫'!$W$6:$W$10005,$C251)/COUNTIFS('月1回_2ヶ月前の在庫'!$V$6:$V$10005,'設定'!$C$4,'月1回_2ヶ月前の在庫'!$W$6:$W$10005,$C251),0)))))))</f>
        <v/>
      </c>
      <c r="H251">
        <f>IF($C251="","",N(IFERROR(IF(INDEX('商品マスタ'!$G$6:$G$1005,MATCH($C251,'商品マスタ'!$B$6:$B$1005,0))="",IF(COUNTIFS('①在庫を貼る'!$V$6:$V$10005,'設定'!$C$4,'①在庫を貼る'!$W$6:$W$10005,$C251)&gt;0,SUMIFS('①在庫を貼る'!$Q$6:$Q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Q$6:$Q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Q$6:$Q$10005,'月1回_2ヶ月前の在庫'!$V$6:$V$10005,'設定'!$C$4,'月1回_2ヶ月前の在庫'!$W$6:$W$10005,$C251)/COUNTIFS('月1回_2ヶ月前の在庫'!$V$6:$V$10005,'設定'!$C$4,'月1回_2ヶ月前の在庫'!$W$6:$W$10005,$C251),0))),INDEX('商品マスタ'!$G$6:$G$1005,MATCH($C251,'商品マスタ'!$B$6:$B$1005,0))),IF(COUNTIFS('①在庫を貼る'!$V$6:$V$10005,'設定'!$C$4,'①在庫を貼る'!$W$6:$W$10005,$C251)&gt;0,SUMIFS('①在庫を貼る'!$Q$6:$Q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Q$6:$Q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Q$6:$Q$10005,'月1回_2ヶ月前の在庫'!$V$6:$V$10005,'設定'!$C$4,'月1回_2ヶ月前の在庫'!$W$6:$W$10005,$C251)/COUNTIFS('月1回_2ヶ月前の在庫'!$V$6:$V$10005,'設定'!$C$4,'月1回_2ヶ月前の在庫'!$W$6:$W$10005,$C251),0))))))</f>
        <v/>
      </c>
      <c r="I251">
        <f>IF($C251="","",IF(COUNTIFS('①在庫を貼る'!$V$6:$V$10005,'設定'!$C$4,'①在庫を貼る'!$W$6:$W$10005,$C251)=0,"",SUMIFS('①在庫を貼る'!$N$6:$N$10005,'①在庫を貼る'!$V$6:$V$10005,'設定'!$C$4,'①在庫を貼る'!$W$6:$W$10005,$C251)))</f>
        <v/>
      </c>
      <c r="J251">
        <f>IF($C251="","",IF('②発注する'!$AD255="","",'②発注する'!$AD255))</f>
        <v/>
      </c>
      <c r="K251" s="90">
        <f>IF($C251="","",IF('②発注する'!$AE255="","",'②発注する'!$AE255))</f>
        <v/>
      </c>
      <c r="L251">
        <f>IF($C251="","",IF(AND(ISNUMBER($J251),ISNUMBER($K251),$K251&gt;='設定'!$C$6),$J251,N($I251)))</f>
        <v/>
      </c>
      <c r="M251">
        <f>IF($C251="","",IFERROR(IF(N(INDEX('商品マスタ'!$J$6:$J$1005,MATCH($C251,'商品マスタ'!$B$6:$B$1005,0)))&gt;0,INDEX('商品マスタ'!$J$6:$J$1005,MATCH($C251,'商品マスタ'!$B$6:$B$1005,0)),""),""))</f>
        <v/>
      </c>
      <c r="N251">
        <f>IF($C251="","",IFERROR(IF(N(INDEX('商品マスタ'!$H$6:$H$1005,MATCH($C251,'商品マスタ'!$B$6:$B$1005,0)))&gt;0,INDEX('商品マスタ'!$H$6:$H$1005,MATCH($C251,'商品マスタ'!$B$6:$B$1005,0)),""),""))</f>
        <v/>
      </c>
      <c r="O251">
        <f>IF($C251="","",IF($N251&lt;&gt;"",$N251*$G251,IF(N(IF(COUNTIFS('①在庫を貼る'!$V$6:$V$10005,'設定'!$C$4,'①在庫を貼る'!$W$6:$W$10005,$C251)&gt;0,SUMIFS('①在庫を貼る'!$O$6:$O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O$6:$O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O$6:$O$10005,'月1回_2ヶ月前の在庫'!$V$6:$V$10005,'設定'!$C$4,'月1回_2ヶ月前の在庫'!$W$6:$W$10005,$C251)/COUNTIFS('月1回_2ヶ月前の在庫'!$V$6:$V$10005,'設定'!$C$4,'月1回_2ヶ月前の在庫'!$W$6:$W$10005,$C251),0))))&gt;0,N(IF(COUNTIFS('①在庫を貼る'!$V$6:$V$10005,'設定'!$C$4,'①在庫を貼る'!$W$6:$W$10005,$C251)&gt;0,SUMIFS('①在庫を貼る'!$O$6:$O$10005,'①在庫を貼る'!$V$6:$V$10005,'設定'!$C$4,'①在庫を貼る'!$W$6:$W$10005,$C251)/COUNTIFS('①在庫を貼る'!$V$6:$V$10005,'設定'!$C$4,'①在庫を貼る'!$W$6:$W$10005,$C251),IF(COUNTIFS('月1回_1ヶ月前の在庫'!$V$6:$V$10005,'設定'!$C$4,'月1回_1ヶ月前の在庫'!$W$6:$W$10005,$C251)&gt;0,SUMIFS('月1回_1ヶ月前の在庫'!$O$6:$O$10005,'月1回_1ヶ月前の在庫'!$V$6:$V$10005,'設定'!$C$4,'月1回_1ヶ月前の在庫'!$W$6:$W$10005,$C251)/COUNTIFS('月1回_1ヶ月前の在庫'!$V$6:$V$10005,'設定'!$C$4,'月1回_1ヶ月前の在庫'!$W$6:$W$10005,$C251),IF(COUNTIFS('月1回_2ヶ月前の在庫'!$V$6:$V$10005,'設定'!$C$4,'月1回_2ヶ月前の在庫'!$W$6:$W$10005,$C251)&gt;0,SUMIFS('月1回_2ヶ月前の在庫'!$O$6:$O$10005,'月1回_2ヶ月前の在庫'!$V$6:$V$10005,'設定'!$C$4,'月1回_2ヶ月前の在庫'!$W$6:$W$10005,$C251)/COUNTIFS('月1回_2ヶ月前の在庫'!$V$6:$V$10005,'設定'!$C$4,'月1回_2ヶ月前の在庫'!$W$6:$W$10005,$C251),0)))),"")))</f>
        <v/>
      </c>
      <c r="P251" s="90">
        <f>IF($C251="","",IF('②発注する'!$I255="","",'②発注する'!$I255))</f>
        <v/>
      </c>
      <c r="Q251">
        <f>IF($C251="","",IF('②発注する'!$J255="","",'②発注する'!$J255))</f>
        <v/>
      </c>
      <c r="R251">
        <f>IF($C251="",0,IF(AND(ISNUMBER($P251),ISNUMBER($Q251)),MAX(0,$Q251)*$G251,0))</f>
        <v/>
      </c>
      <c r="S251" s="90">
        <f>IF($C251="","",IF('②発注する'!$M255="","",'②発注する'!$M255))</f>
        <v/>
      </c>
      <c r="T251">
        <f>IF($C251="","",IF('②発注する'!$N255="","",'②発注する'!$N255))</f>
        <v/>
      </c>
      <c r="U251">
        <f>IF($C251="",0,IF(AND(ISNUMBER($S251),ISNUMBER($T251)),MAX(0,$T251)*$G251,0))</f>
        <v/>
      </c>
      <c r="V251">
        <f>IF($C251="",0,IF($M251="",0,MAX(0,$M251)*MAX(0,V$4)/100))</f>
        <v/>
      </c>
      <c r="W251">
        <f>IF($C251="",0,IF($M251="",0,MAX(0,$M251)*MAX(0,W$4)/100))</f>
        <v/>
      </c>
      <c r="X251">
        <f>IF($C251="",0,IF($M251="",0,MAX(0,$M251)*MAX(0,X$4)/100))</f>
        <v/>
      </c>
      <c r="Y251">
        <f>IF($C251="",0,IF($M251="",0,MAX(0,$M251)*MAX(0,Y$4)/100))</f>
        <v/>
      </c>
      <c r="Z251">
        <f>IF($C251="",0,IF($M251="",0,MAX(0,$M251)*MAX(0,Z$4)/100))</f>
        <v/>
      </c>
      <c r="AA251">
        <f>IF($C251="",0,IF($M251="",0,MAX(0,$M251)*MAX(0,AA$4)/100))</f>
        <v/>
      </c>
      <c r="AB251">
        <f>IF($C251="",0,IF($M251="",0,MAX(0,$M251)*MAX(0,AB$4)/100))</f>
        <v/>
      </c>
      <c r="AC251">
        <f>IF($C251="",0,IF($M251="",0,MAX(0,$M251)*MAX(0,AC$4)/100))</f>
        <v/>
      </c>
      <c r="AD251">
        <f>IF($C251="",0,IF($M251="",0,MAX(0,$M251)*MAX(0,AD$4)/100))</f>
        <v/>
      </c>
      <c r="AE251">
        <f>IF($C251="",0,IF($M251="",0,MAX(0,$M251)*MAX(0,AE$4)/100))</f>
        <v/>
      </c>
      <c r="AF251">
        <f>IF($C251="",0,IF($M251="",0,MAX(0,$M251)*MAX(0,AF$4)/100))</f>
        <v/>
      </c>
      <c r="AG251">
        <f>IF($C251="",0,IF($M251="",0,MAX(0,$M251)*MAX(0,AG$4)/100))</f>
        <v/>
      </c>
      <c r="AH251">
        <f>IF($C251="",0,IF($M251="",0,MAX(0,$M251)*MAX(0,AH$4)/100))</f>
        <v/>
      </c>
      <c r="AI251">
        <f>IF($C251="",0,IF($M251="",0,MAX(0,$M251)*MAX(0,AI$4)/100))</f>
        <v/>
      </c>
      <c r="AJ251">
        <f>IF($C251="",0,MAX(0,MAX(0,N($L251))-$V251))</f>
        <v/>
      </c>
      <c r="AK251">
        <f>IF($C251="",0,MAX(0,$AJ251-$W251))</f>
        <v/>
      </c>
      <c r="AL251">
        <f>IF($C251="",0,MAX(0,$AK251-$X251))</f>
        <v/>
      </c>
      <c r="AM251">
        <f>IF($C251="",0,MAX(0,$AL251-$Y251))</f>
        <v/>
      </c>
      <c r="AN251">
        <f>IF($C251="",0,MAX(0,$AM251-$Z251))</f>
        <v/>
      </c>
      <c r="AO251">
        <f>IF($C251="",0,MAX(0,$AN251-$AA251))</f>
        <v/>
      </c>
      <c r="AP251">
        <f>IF($C251="",0,MAX(0,$AO251-$AB251))</f>
        <v/>
      </c>
      <c r="AQ251">
        <f>IF($C251="",0,MAX(0,$AP251-$AC251))</f>
        <v/>
      </c>
      <c r="AR251">
        <f>IF($C251="",0,MAX(0,$AQ251-$AD251))</f>
        <v/>
      </c>
      <c r="AS251">
        <f>IF($C251="",0,MAX(0,$AR251-$AE251))</f>
        <v/>
      </c>
      <c r="AT251">
        <f>IF($C251="",0,MAX(0,$AS251-$AF251))</f>
        <v/>
      </c>
      <c r="AU251">
        <f>IF($C251="",0,MAX(0,$AT251-$AG251))</f>
        <v/>
      </c>
      <c r="AV251">
        <f>IF($C251="",0,MAX(0,$AU251-$AH251))</f>
        <v/>
      </c>
      <c r="AW251">
        <f>IF($C251="",0,MAX(0,$AV251-$AI251))</f>
        <v/>
      </c>
      <c r="AX251">
        <f>IF($C251="",0,MAX(0,MAX(0,N($L251))+IF($P251=V$3,$R251,0)+IF($S251=V$3,$U251,0)-$V251))</f>
        <v/>
      </c>
      <c r="AY251">
        <f>IF($C251="",0,MAX(0,$AX251+IF($P251=W$3,$R251,0)+IF($S251=W$3,$U251,0)-$W251))</f>
        <v/>
      </c>
      <c r="AZ251">
        <f>IF($C251="",0,MAX(0,$AY251+IF($P251=X$3,$R251,0)+IF($S251=X$3,$U251,0)-$X251))</f>
        <v/>
      </c>
      <c r="BA251">
        <f>IF($C251="",0,MAX(0,$AZ251+IF($P251=Y$3,$R251,0)+IF($S251=Y$3,$U251,0)-$Y251))</f>
        <v/>
      </c>
      <c r="BB251">
        <f>IF($C251="",0,MAX(0,$BA251+IF($P251=Z$3,$R251,0)+IF($S251=Z$3,$U251,0)-$Z251))</f>
        <v/>
      </c>
      <c r="BC251">
        <f>IF($C251="",0,MAX(0,$BB251+IF($P251=AA$3,$R251,0)+IF($S251=AA$3,$U251,0)-$AA251))</f>
        <v/>
      </c>
      <c r="BD251">
        <f>IF($C251="",0,MAX(0,$BC251+IF($P251=AB$3,$R251,0)+IF($S251=AB$3,$U251,0)-$AB251))</f>
        <v/>
      </c>
      <c r="BE251">
        <f>IF($C251="",0,MAX(0,$BD251+IF($P251=AC$3,$R251,0)+IF($S251=AC$3,$U251,0)-$AC251))</f>
        <v/>
      </c>
      <c r="BF251">
        <f>IF($C251="",0,MAX(0,$BE251+IF($P251=AD$3,$R251,0)+IF($S251=AD$3,$U251,0)-$AD251))</f>
        <v/>
      </c>
      <c r="BG251">
        <f>IF($C251="",0,MAX(0,$BF251+IF($P251=AE$3,$R251,0)+IF($S251=AE$3,$U251,0)-$AE251))</f>
        <v/>
      </c>
      <c r="BH251">
        <f>IF($C251="",0,MAX(0,$BG251+IF($P251=AF$3,$R251,0)+IF($S251=AF$3,$U251,0)-$AF251))</f>
        <v/>
      </c>
      <c r="BI251">
        <f>IF($C251="",0,MAX(0,$BH251+IF($P251=AG$3,$R251,0)+IF($S251=AG$3,$U251,0)-$AG251))</f>
        <v/>
      </c>
      <c r="BJ251">
        <f>IF($C251="",0,MAX(0,$BI251+IF($P251=AH$3,$R251,0)+IF($S251=AH$3,$U251,0)-$AH251))</f>
        <v/>
      </c>
      <c r="BK251">
        <f>IF($C251="",0,MAX(0,$BJ251+IF($P251=AI$3,$R251,0)+IF($S251=AI$3,$U251,0)-$AI251))</f>
        <v/>
      </c>
      <c r="BL251">
        <f>IF($C251="",99,IF(AND($AX251&lt;1,V$3&gt;=MAX(N($P251),N($S251))),0,99))</f>
        <v/>
      </c>
      <c r="BM251">
        <f>IF($C251="",99,IF(AND($AY251&lt;1,W$3&gt;=MAX(N($P251),N($S251))),1,99))</f>
        <v/>
      </c>
      <c r="BN251">
        <f>IF($C251="",99,IF(AND($AZ251&lt;1,X$3&gt;=MAX(N($P251),N($S251))),2,99))</f>
        <v/>
      </c>
      <c r="BO251">
        <f>IF($C251="",99,IF(AND($BA251&lt;1,Y$3&gt;=MAX(N($P251),N($S251))),3,99))</f>
        <v/>
      </c>
      <c r="BP251">
        <f>IF($C251="",99,IF(AND($BB251&lt;1,Z$3&gt;=MAX(N($P251),N($S251))),4,99))</f>
        <v/>
      </c>
      <c r="BQ251">
        <f>IF($C251="",99,IF(AND($BC251&lt;1,AA$3&gt;=MAX(N($P251),N($S251))),5,99))</f>
        <v/>
      </c>
      <c r="BR251">
        <f>IF($C251="",99,IF(AND($BD251&lt;1,AB$3&gt;=MAX(N($P251),N($S251))),6,99))</f>
        <v/>
      </c>
      <c r="BS251">
        <f>IF($C251="",99,IF(AND($BE251&lt;1,AC$3&gt;=MAX(N($P251),N($S251))),7,99))</f>
        <v/>
      </c>
      <c r="BT251">
        <f>IF($C251="",99,IF(AND($BF251&lt;1,AD$3&gt;=MAX(N($P251),N($S251))),8,99))</f>
        <v/>
      </c>
      <c r="BU251">
        <f>IF($C251="",99,IF(AND($BG251&lt;1,AE$3&gt;=MAX(N($P251),N($S251))),9,99))</f>
        <v/>
      </c>
      <c r="BV251">
        <f>IF($C251="",99,IF(AND($BH251&lt;1,AF$3&gt;=MAX(N($P251),N($S251))),10,99))</f>
        <v/>
      </c>
      <c r="BW251">
        <f>IF($C251="",99,IF(AND($BI251&lt;1,AG$3&gt;=MAX(N($P251),N($S251))),11,99))</f>
        <v/>
      </c>
      <c r="BX251">
        <f>IF($C251="",99,IF(AND($BJ251&lt;1,AH$3&gt;=MAX(N($P251),N($S251))),12,99))</f>
        <v/>
      </c>
      <c r="BY251">
        <f>IF($C251="",99,IF(AND($BK251&lt;1,AI$3&gt;=MAX(N($P251),N($S251))),13,99))</f>
        <v/>
      </c>
      <c r="BZ251">
        <f>IF(OR($C251="",$M251=""),"",COUNTIF($AJ251:$AW251,"&gt;=1"))</f>
        <v/>
      </c>
      <c r="CA251" s="90">
        <f>IF($BZ251="","",IF($BZ251&gt;=14,"",'設定'!$C$6+$BZ251))</f>
        <v/>
      </c>
      <c r="CB251">
        <f>IF(OR($C251="",$M251=""),"",MIN($BL251:$BY251))</f>
        <v/>
      </c>
      <c r="CC251" s="90">
        <f>IF($CB251="","",IF($CB251&gt;=99,"",'設定'!$C$6+$CB251))</f>
        <v/>
      </c>
      <c r="CD251">
        <f>IF(OR($C251="",$M251=""),"",AVERAGE($V251:$AI251))</f>
        <v/>
      </c>
      <c r="CE251">
        <f>IF($C251="","",IFERROR(IF(MATCH(IF(ISNUMBER($P251),$P251,'設定'!$C$6+N('設定'!$C$7)),$V$3:$AI$3,0)=1,MAX(0,N($L251)),INDEX($AJ251:$AW251,MATCH(IF(ISNUMBER($P251),$P251,'設定'!$C$6+N('設定'!$C$7)),$V$3:$AI$3,0)-1)),""))</f>
        <v/>
      </c>
      <c r="CF251">
        <f>IF(OR($C251="",$O251="",$CE251=""),"",IF($O251-$CE251&lt;=0,0,ROUNDUP(($O251-$CE251)/$G251,0)))</f>
        <v/>
      </c>
      <c r="CG251">
        <f>IF(OR($C251="",$CF251="",NOT(ISNUMBER($Q251))),0,MAX(0,$Q251-$CF251))</f>
        <v/>
      </c>
      <c r="CH251">
        <f>IF(OR($C251="",$O251="",$U251=0),0,IFERROR(ROUNDUP(MAX(0,IF(MATCH($S251,$V$3:$AI$3,0)=1,MAX(0,N($L251)),INDEX($AX251:$BK251,MATCH($S251,$V$3:$AI$3,0)-1))+$U251-$O251)/$G251,0),0))</f>
        <v/>
      </c>
      <c r="CI251">
        <f>IF($C251="","",IF(AND($P251="",$Q251=""),"",IF($P251="","⚠ 入庫日を ▼ から選んでください",IF(NOT(ISNUMBER($P251)),"⚠ 入庫日は ▼ から選んでください",IF($P251&lt;N('設定'!$C$6),"⚠ 入庫日が過去です（もう在庫に入っています）→ 消してください",IF($P251&gt;N('設定'!$C$6)+13,"⚠ 入庫日が14日より先です",IF(N($Q251)&lt;=0,"⚠ 入庫数を入れてください",IF($CG251&gt;0,"⚠ 目安より "&amp;$CG251&amp;" 多い（定数を超える）→ 減らす",""))))))))</f>
        <v/>
      </c>
      <c r="CJ251">
        <f>IF($C251="","",IF(AND($S251="",$T251=""),"",IF($S251="","⚠ 2便目：入庫日を ▼ から選んでください",IF(NOT(ISNUMBER($S251)),"⚠ 2便目：入庫日は ▼ から選んでください",IF($S251&lt;N('設定'!$C$6),"⚠ 2便目：入庫日が過去です（もう在庫に入っています）→ 消してください",IF($S251&gt;N('設定'!$C$6)+13,"⚠ 2便目：入庫日が14日より先です",IF(N($T251)&lt;=0,"⚠ 2便目：入庫数を入れてください",IF($CH251&gt;0,"⚠ 2便目：定数を "&amp;$CH251&amp;" ケース超える → 減らす",""))))))))</f>
        <v/>
      </c>
      <c r="CK251">
        <f>IF(AND($CI251="",N($Q251)&gt;0,ISNUMBER($P251)),1,0)</f>
        <v/>
      </c>
      <c r="CL251">
        <f>IF(AND($CJ251="",N($T251)&gt;0,ISNUMBER($S251)),1,0)</f>
        <v/>
      </c>
      <c r="CM251">
        <f>IF(OR($CK251=1,$CL251=1),1,0)</f>
        <v/>
      </c>
      <c r="CN251">
        <f>IF($C251="",0,($CK251*$R251+$CL251*$U251)*N($H251))</f>
        <v/>
      </c>
      <c r="CO251">
        <f>IF($C251="","",IF($CC251="","入庫後は 14日以上もつ",IF($CC251-N('設定'!$C$7)&lt;='設定'!$C$6,"入庫後も "&amp;TEXT($CC251,"m/d")&amp;"("&amp;CHOOSE(WEEKDAY($CC251),"日","月","火","水","木","金","土")&amp;")"&amp;" に切れる　もう1便を至急発注","入庫後も "&amp;TEXT($CC251,"m/d")&amp;"("&amp;CHOOSE(WEEKDAY($CC251),"日","月","火","水","木","金","土")&amp;")"&amp;" に切れる　"&amp;TEXT($CC251-N('設定'!$C$7),"m/d")&amp;"("&amp;CHOOSE(WEEKDAY($CC251-N('設定'!$C$7)),"日","月","火","水","木","金","土")&amp;")"&amp;" までに次を発注")))</f>
        <v/>
      </c>
      <c r="CP251">
        <f>IF($C251="","",IF('設定'!$C$6="","？ ①在庫を貼る に今日のCSVが貼られていない",IF($CS251=1,"－ 今日のCSVに無い（終売？）",IF($L251&lt;0,"● 在庫がマイナス　数えて「数えた在庫」に入れる",IF($L251=0,"● 在庫なし　至急発注",IF($M251="","？ 減り数が未設定（商品マスタ）",IF($B$3=0,"？ 動員が未入力（動員を入れる）",IF($CA251="","○ 14日以上もつ",IF($BZ251&lt;N('設定'!$C$7),"● "&amp;TEXT($CA251,"m/d")&amp;"("&amp;CHOOSE(WEEKDAY($CA251),"日","月","火","水","木","金","土")&amp;")"&amp;" に切れる　至急発注",IF($BZ251=N('設定'!$C$7),"● "&amp;TEXT($CA251,"m/d")&amp;"("&amp;CHOOSE(WEEKDAY($CA251),"日","月","火","水","木","金","土")&amp;")"&amp;" に切れる　今日発注","△ "&amp;TEXT($CA251,"m/d")&amp;"("&amp;CHOOSE(WEEKDAY($CA251),"日","月","火","水","木","金","土")&amp;")"&amp;" に切れる　"&amp;TEXT($CA251-N('設定'!$C$7),"m/d")&amp;"("&amp;CHOOSE(WEEKDAY($CA251-N('設定'!$C$7)),"日","月","火","水","木","金","土")&amp;")"&amp;" までに発注"))))))))))</f>
        <v/>
      </c>
      <c r="CQ251">
        <f>IF($C251="","",IF(AND($P251="",$Q251="",$S251="",$T251=""),"",IF(AND($P251="",$Q251=""),"⚠ 先に1便目（左の入庫日・入庫数）に入れてください",IF($CI251&lt;&gt;"",$CI251,IF($CJ251&lt;&gt;"",$CJ251,IF($M251="","？ 減り数が未設定（発注書には載ります）",IF($B$3=0,"？ 動員が未入力（発注書には載ります）",IF(AND($CA251&lt;&gt;"",$P251&gt;$CA251),IF($P251&gt;'設定'!$C$6+N('設定'!$C$7),"● "&amp;TEXT($P251,"m/d")&amp;"("&amp;CHOOSE(WEEKDAY($P251),"日","月","火","水","木","金","土")&amp;")"&amp;" の入庫では間に合わない（"&amp;TEXT($CA251,"m/d")&amp;"("&amp;CHOOSE(WEEKDAY($CA251),"日","月","火","水","木","金","土")&amp;")"&amp;" に切れる）　入庫日を早める","△ 欠品 "&amp;TEXT($CA251,"m/d")&amp;"("&amp;CHOOSE(WEEKDAY($CA251),"日","月","火","水","木","金","土")&amp;")"&amp;"〜"&amp;TEXT($P251-1,"m/d")&amp;"("&amp;CHOOSE(WEEKDAY($P251-1),"日","月","火","水","木","金","土")&amp;")"&amp;"　"&amp;$CO251),IF($CC251="","○ "&amp;TEXT($P251,"m/d")&amp;"("&amp;CHOOSE(WEEKDAY($P251),"日","月","火","水","木","金","土")&amp;")"&amp;" 入庫で 14日以上もつ",IF($CC251-N('設定'!$C$7)&lt;='設定'!$C$6,"● 入庫しても "&amp;TEXT($CC251,"m/d")&amp;"("&amp;CHOOSE(WEEKDAY($CC251),"日","月","火","水","木","金","土")&amp;")"&amp;" に切れる　もう1便を至急発注（2便目に入れる）","△ 入庫しても "&amp;TEXT($CC251,"m/d")&amp;"("&amp;CHOOSE(WEEKDAY($CC251),"日","月","火","水","木","金","土")&amp;")"&amp;" に切れる　"&amp;TEXT($CC251-N('設定'!$C$7),"m/d")&amp;"("&amp;CHOOSE(WEEKDAY($CC251-N('設定'!$C$7)),"日","月","火","水","木","金","土")&amp;")"&amp;" までに次を発注（2便目に入れる）"))))))))))</f>
        <v/>
      </c>
      <c r="CR251">
        <f>IF($C251="","",IF($G251&gt;1,"ｹｰｽ("&amp;$G251&amp;"入)","個"))</f>
        <v/>
      </c>
      <c r="CS251">
        <f>IF($C251="",0,IF(COUNTIFS('①在庫を貼る'!$V$6:$V$10005,'設定'!$C$4,'①在庫を貼る'!$W$6:$W$10005,$C251)=0,1,0))</f>
        <v/>
      </c>
      <c r="CT251">
        <f>IF(AND($CK251=1,OR('③発注書'!$C$4="すべて",'③発注書'!$C$4="",$F251='③発注書'!$C$4)),N($CT250)+1,N($CT250))</f>
        <v/>
      </c>
      <c r="CU251">
        <f>IF(AND($CL251=1,OR('③発注書'!$C$4="すべて",'③発注書'!$C$4="",$F251='③発注書'!$C$4)),N($CU250)+1,N($CU250))</f>
        <v/>
      </c>
      <c r="CV251">
        <f>IF($C251="",0,IF(COUNTIFS('①在庫を貼る'!$V$6:$V$10005,'設定'!$C$4,'①在庫を貼る'!$W$6:$W$10005,$C251)&gt;0,1,0))</f>
        <v/>
      </c>
      <c r="CW251">
        <f>IF($C251="",0,IF(COUNTIFS('月1回_1ヶ月前の在庫'!$V$6:$V$10005,'設定'!$C$4,'月1回_1ヶ月前の在庫'!$W$6:$W$10005,$C251)&gt;0,1,0))</f>
        <v/>
      </c>
      <c r="CX251">
        <f>IF($C251="",0,IF(COUNTIFS('月1回_2ヶ月前の在庫'!$V$6:$V$10005,'設定'!$C$4,'月1回_2ヶ月前の在庫'!$W$6:$W$10005,$C251)&gt;0,1,0))</f>
        <v/>
      </c>
      <c r="CY251">
        <f>IF(OR($C251="",'設定'!$C$12=""),"",IF('設定'!$C$13="",IF(AND($CV251=1,$CW251=0),"新商品（今月から）",IF(AND($CV251=0,$CW251=1),"終売（今月から）","")),IF(AND($CV251=1,$CW251=0,$CX251=0),"新商品（今月から）",IF(AND($CV251=1,$CW251=1,$CX251=0),"新商品（先月から）",IF(AND($CV251=0,$CW251=1,$CX251=1),"終売（今月から）",IF(AND($CV251=0,$CW251=0,$CX251=1),"終売（先月から）",IF(AND($CV251=1,$CW251=0,$CX251=1),"復活（先月は無し）","")))))))</f>
        <v/>
      </c>
    </row>
    <row r="252">
      <c r="B252">
        <f>IF(247&lt;='設定'!$C$11,247,"")</f>
        <v/>
      </c>
      <c r="C252">
        <f>IF($B252="","",IF($B252&lt;='設定'!$C$20,INDEX('商品マスタ'!$B$6:$B$1005,MATCH($B252,'商品マスタ'!$M$6:$M$1005,0)),IF($B252&lt;='設定'!$C$20+'設定'!$C$17,INDEX('①在庫を貼る'!$W$6:$W$10005,MATCH($B252-'設定'!$C$20,'①在庫を貼る'!$U$6:$U$10005,0)),IF($B252&lt;='設定'!$C$20+'設定'!$C$17+'設定'!$C$18,INDEX('月1回_1ヶ月前の在庫'!$W$6:$W$10005,MATCH($B252-'設定'!$C$20-'設定'!$C$17,'月1回_1ヶ月前の在庫'!$U$6:$U$10005,0)),INDEX('月1回_2ヶ月前の在庫'!$W$6:$W$10005,MATCH($B252-'設定'!$C$20-'設定'!$C$17-'設定'!$C$18,'月1回_2ヶ月前の在庫'!$U$6:$U$10005,0))))))</f>
        <v/>
      </c>
      <c r="D252">
        <f>IF($C252="","",IFERROR(IF(INDEX('商品マスタ'!$C$6:$C$1005,MATCH($C252,'商品マスタ'!$B$6:$B$1005,0))="",IFERROR(INDEX('①在庫を貼る'!$J$6:$J$10005,MATCH($C252,'①在庫を貼る'!$W$6:$W$10005,0)),IFERROR(INDEX('月1回_1ヶ月前の在庫'!$J$6:$J$10005,MATCH($C252,'月1回_1ヶ月前の在庫'!$W$6:$W$10005,0)),IFERROR(INDEX('月1回_2ヶ月前の在庫'!$J$6:$J$10005,MATCH($C252,'月1回_2ヶ月前の在庫'!$W$6:$W$10005,0)),""))),INDEX('商品マスタ'!$C$6:$C$1005,MATCH($C252,'商品マスタ'!$B$6:$B$1005,0))),IFERROR(INDEX('①在庫を貼る'!$J$6:$J$10005,MATCH($C252,'①在庫を貼る'!$W$6:$W$10005,0)),IFERROR(INDEX('月1回_1ヶ月前の在庫'!$J$6:$J$10005,MATCH($C252,'月1回_1ヶ月前の在庫'!$W$6:$W$10005,0)),IFERROR(INDEX('月1回_2ヶ月前の在庫'!$J$6:$J$10005,MATCH($C252,'月1回_2ヶ月前の在庫'!$W$6:$W$10005,0)),"")))))</f>
        <v/>
      </c>
      <c r="E252">
        <f>IF($C252="","",IFERROR(IF(INDEX('商品マスタ'!$D$6:$D$1005,MATCH($C252,'商品マスタ'!$B$6:$B$1005,0))="",IFERROR(INDEX('①在庫を貼る'!$H$6:$H$10005,MATCH($C252,'①在庫を貼る'!$W$6:$W$10005,0)),IFERROR(INDEX('月1回_1ヶ月前の在庫'!$H$6:$H$10005,MATCH($C252,'月1回_1ヶ月前の在庫'!$W$6:$W$10005,0)),IFERROR(INDEX('月1回_2ヶ月前の在庫'!$H$6:$H$10005,MATCH($C252,'月1回_2ヶ月前の在庫'!$W$6:$W$10005,0)),""))),INDEX('商品マスタ'!$D$6:$D$1005,MATCH($C252,'商品マスタ'!$B$6:$B$1005,0))),IFERROR(INDEX('①在庫を貼る'!$H$6:$H$10005,MATCH($C252,'①在庫を貼る'!$W$6:$W$10005,0)),IFERROR(INDEX('月1回_1ヶ月前の在庫'!$H$6:$H$10005,MATCH($C252,'月1回_1ヶ月前の在庫'!$W$6:$W$10005,0)),IFERROR(INDEX('月1回_2ヶ月前の在庫'!$H$6:$H$10005,MATCH($C252,'月1回_2ヶ月前の在庫'!$W$6:$W$10005,0)),"")))))</f>
        <v/>
      </c>
      <c r="F252">
        <f>IF($C252="","",IFERROR(IF(INDEX('商品マスタ'!$E$6:$E$1005,MATCH($C252,'商品マスタ'!$B$6:$B$1005,0))="",IFERROR(INDEX('①在庫を貼る'!$E$6:$E$10005,MATCH($C252,'①在庫を貼る'!$W$6:$W$10005,0)),IFERROR(INDEX('月1回_1ヶ月前の在庫'!$E$6:$E$10005,MATCH($C252,'月1回_1ヶ月前の在庫'!$W$6:$W$10005,0)),IFERROR(INDEX('月1回_2ヶ月前の在庫'!$E$6:$E$10005,MATCH($C252,'月1回_2ヶ月前の在庫'!$W$6:$W$10005,0)),""))),INDEX('商品マスタ'!$E$6:$E$1005,MATCH($C252,'商品マスタ'!$B$6:$B$1005,0))),IFERROR(INDEX('①在庫を貼る'!$E$6:$E$10005,MATCH($C252,'①在庫を貼る'!$W$6:$W$10005,0)),IFERROR(INDEX('月1回_1ヶ月前の在庫'!$E$6:$E$10005,MATCH($C252,'月1回_1ヶ月前の在庫'!$W$6:$W$10005,0)),IFERROR(INDEX('月1回_2ヶ月前の在庫'!$E$6:$E$10005,MATCH($C252,'月1回_2ヶ月前の在庫'!$W$6:$W$10005,0)),"")))))</f>
        <v/>
      </c>
      <c r="G252">
        <f>IF($C252="","",MAX(1,N(IFERROR(IF(INDEX('商品マスタ'!$F$6:$F$1005,MATCH($C252,'商品マスタ'!$B$6:$B$1005,0))="",IF(COUNTIFS('①在庫を貼る'!$V$6:$V$10005,'設定'!$C$4,'①在庫を貼る'!$W$6:$W$10005,$C252)&gt;0,SUMIFS('①在庫を貼る'!$K$6:$K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K$6:$K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K$6:$K$10005,'月1回_2ヶ月前の在庫'!$V$6:$V$10005,'設定'!$C$4,'月1回_2ヶ月前の在庫'!$W$6:$W$10005,$C252)/COUNTIFS('月1回_2ヶ月前の在庫'!$V$6:$V$10005,'設定'!$C$4,'月1回_2ヶ月前の在庫'!$W$6:$W$10005,$C252),0))),INDEX('商品マスタ'!$F$6:$F$1005,MATCH($C252,'商品マスタ'!$B$6:$B$1005,0))),IF(COUNTIFS('①在庫を貼る'!$V$6:$V$10005,'設定'!$C$4,'①在庫を貼る'!$W$6:$W$10005,$C252)&gt;0,SUMIFS('①在庫を貼る'!$K$6:$K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K$6:$K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K$6:$K$10005,'月1回_2ヶ月前の在庫'!$V$6:$V$10005,'設定'!$C$4,'月1回_2ヶ月前の在庫'!$W$6:$W$10005,$C252)/COUNTIFS('月1回_2ヶ月前の在庫'!$V$6:$V$10005,'設定'!$C$4,'月1回_2ヶ月前の在庫'!$W$6:$W$10005,$C252),0)))))))</f>
        <v/>
      </c>
      <c r="H252">
        <f>IF($C252="","",N(IFERROR(IF(INDEX('商品マスタ'!$G$6:$G$1005,MATCH($C252,'商品マスタ'!$B$6:$B$1005,0))="",IF(COUNTIFS('①在庫を貼る'!$V$6:$V$10005,'設定'!$C$4,'①在庫を貼る'!$W$6:$W$10005,$C252)&gt;0,SUMIFS('①在庫を貼る'!$Q$6:$Q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Q$6:$Q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Q$6:$Q$10005,'月1回_2ヶ月前の在庫'!$V$6:$V$10005,'設定'!$C$4,'月1回_2ヶ月前の在庫'!$W$6:$W$10005,$C252)/COUNTIFS('月1回_2ヶ月前の在庫'!$V$6:$V$10005,'設定'!$C$4,'月1回_2ヶ月前の在庫'!$W$6:$W$10005,$C252),0))),INDEX('商品マスタ'!$G$6:$G$1005,MATCH($C252,'商品マスタ'!$B$6:$B$1005,0))),IF(COUNTIFS('①在庫を貼る'!$V$6:$V$10005,'設定'!$C$4,'①在庫を貼る'!$W$6:$W$10005,$C252)&gt;0,SUMIFS('①在庫を貼る'!$Q$6:$Q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Q$6:$Q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Q$6:$Q$10005,'月1回_2ヶ月前の在庫'!$V$6:$V$10005,'設定'!$C$4,'月1回_2ヶ月前の在庫'!$W$6:$W$10005,$C252)/COUNTIFS('月1回_2ヶ月前の在庫'!$V$6:$V$10005,'設定'!$C$4,'月1回_2ヶ月前の在庫'!$W$6:$W$10005,$C252),0))))))</f>
        <v/>
      </c>
      <c r="I252">
        <f>IF($C252="","",IF(COUNTIFS('①在庫を貼る'!$V$6:$V$10005,'設定'!$C$4,'①在庫を貼る'!$W$6:$W$10005,$C252)=0,"",SUMIFS('①在庫を貼る'!$N$6:$N$10005,'①在庫を貼る'!$V$6:$V$10005,'設定'!$C$4,'①在庫を貼る'!$W$6:$W$10005,$C252)))</f>
        <v/>
      </c>
      <c r="J252">
        <f>IF($C252="","",IF('②発注する'!$AD256="","",'②発注する'!$AD256))</f>
        <v/>
      </c>
      <c r="K252" s="90">
        <f>IF($C252="","",IF('②発注する'!$AE256="","",'②発注する'!$AE256))</f>
        <v/>
      </c>
      <c r="L252">
        <f>IF($C252="","",IF(AND(ISNUMBER($J252),ISNUMBER($K252),$K252&gt;='設定'!$C$6),$J252,N($I252)))</f>
        <v/>
      </c>
      <c r="M252">
        <f>IF($C252="","",IFERROR(IF(N(INDEX('商品マスタ'!$J$6:$J$1005,MATCH($C252,'商品マスタ'!$B$6:$B$1005,0)))&gt;0,INDEX('商品マスタ'!$J$6:$J$1005,MATCH($C252,'商品マスタ'!$B$6:$B$1005,0)),""),""))</f>
        <v/>
      </c>
      <c r="N252">
        <f>IF($C252="","",IFERROR(IF(N(INDEX('商品マスタ'!$H$6:$H$1005,MATCH($C252,'商品マスタ'!$B$6:$B$1005,0)))&gt;0,INDEX('商品マスタ'!$H$6:$H$1005,MATCH($C252,'商品マスタ'!$B$6:$B$1005,0)),""),""))</f>
        <v/>
      </c>
      <c r="O252">
        <f>IF($C252="","",IF($N252&lt;&gt;"",$N252*$G252,IF(N(IF(COUNTIFS('①在庫を貼る'!$V$6:$V$10005,'設定'!$C$4,'①在庫を貼る'!$W$6:$W$10005,$C252)&gt;0,SUMIFS('①在庫を貼る'!$O$6:$O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O$6:$O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O$6:$O$10005,'月1回_2ヶ月前の在庫'!$V$6:$V$10005,'設定'!$C$4,'月1回_2ヶ月前の在庫'!$W$6:$W$10005,$C252)/COUNTIFS('月1回_2ヶ月前の在庫'!$V$6:$V$10005,'設定'!$C$4,'月1回_2ヶ月前の在庫'!$W$6:$W$10005,$C252),0))))&gt;0,N(IF(COUNTIFS('①在庫を貼る'!$V$6:$V$10005,'設定'!$C$4,'①在庫を貼る'!$W$6:$W$10005,$C252)&gt;0,SUMIFS('①在庫を貼る'!$O$6:$O$10005,'①在庫を貼る'!$V$6:$V$10005,'設定'!$C$4,'①在庫を貼る'!$W$6:$W$10005,$C252)/COUNTIFS('①在庫を貼る'!$V$6:$V$10005,'設定'!$C$4,'①在庫を貼る'!$W$6:$W$10005,$C252),IF(COUNTIFS('月1回_1ヶ月前の在庫'!$V$6:$V$10005,'設定'!$C$4,'月1回_1ヶ月前の在庫'!$W$6:$W$10005,$C252)&gt;0,SUMIFS('月1回_1ヶ月前の在庫'!$O$6:$O$10005,'月1回_1ヶ月前の在庫'!$V$6:$V$10005,'設定'!$C$4,'月1回_1ヶ月前の在庫'!$W$6:$W$10005,$C252)/COUNTIFS('月1回_1ヶ月前の在庫'!$V$6:$V$10005,'設定'!$C$4,'月1回_1ヶ月前の在庫'!$W$6:$W$10005,$C252),IF(COUNTIFS('月1回_2ヶ月前の在庫'!$V$6:$V$10005,'設定'!$C$4,'月1回_2ヶ月前の在庫'!$W$6:$W$10005,$C252)&gt;0,SUMIFS('月1回_2ヶ月前の在庫'!$O$6:$O$10005,'月1回_2ヶ月前の在庫'!$V$6:$V$10005,'設定'!$C$4,'月1回_2ヶ月前の在庫'!$W$6:$W$10005,$C252)/COUNTIFS('月1回_2ヶ月前の在庫'!$V$6:$V$10005,'設定'!$C$4,'月1回_2ヶ月前の在庫'!$W$6:$W$10005,$C252),0)))),"")))</f>
        <v/>
      </c>
      <c r="P252" s="90">
        <f>IF($C252="","",IF('②発注する'!$I256="","",'②発注する'!$I256))</f>
        <v/>
      </c>
      <c r="Q252">
        <f>IF($C252="","",IF('②発注する'!$J256="","",'②発注する'!$J256))</f>
        <v/>
      </c>
      <c r="R252">
        <f>IF($C252="",0,IF(AND(ISNUMBER($P252),ISNUMBER($Q252)),MAX(0,$Q252)*$G252,0))</f>
        <v/>
      </c>
      <c r="S252" s="90">
        <f>IF($C252="","",IF('②発注する'!$M256="","",'②発注する'!$M256))</f>
        <v/>
      </c>
      <c r="T252">
        <f>IF($C252="","",IF('②発注する'!$N256="","",'②発注する'!$N256))</f>
        <v/>
      </c>
      <c r="U252">
        <f>IF($C252="",0,IF(AND(ISNUMBER($S252),ISNUMBER($T252)),MAX(0,$T252)*$G252,0))</f>
        <v/>
      </c>
      <c r="V252">
        <f>IF($C252="",0,IF($M252="",0,MAX(0,$M252)*MAX(0,V$4)/100))</f>
        <v/>
      </c>
      <c r="W252">
        <f>IF($C252="",0,IF($M252="",0,MAX(0,$M252)*MAX(0,W$4)/100))</f>
        <v/>
      </c>
      <c r="X252">
        <f>IF($C252="",0,IF($M252="",0,MAX(0,$M252)*MAX(0,X$4)/100))</f>
        <v/>
      </c>
      <c r="Y252">
        <f>IF($C252="",0,IF($M252="",0,MAX(0,$M252)*MAX(0,Y$4)/100))</f>
        <v/>
      </c>
      <c r="Z252">
        <f>IF($C252="",0,IF($M252="",0,MAX(0,$M252)*MAX(0,Z$4)/100))</f>
        <v/>
      </c>
      <c r="AA252">
        <f>IF($C252="",0,IF($M252="",0,MAX(0,$M252)*MAX(0,AA$4)/100))</f>
        <v/>
      </c>
      <c r="AB252">
        <f>IF($C252="",0,IF($M252="",0,MAX(0,$M252)*MAX(0,AB$4)/100))</f>
        <v/>
      </c>
      <c r="AC252">
        <f>IF($C252="",0,IF($M252="",0,MAX(0,$M252)*MAX(0,AC$4)/100))</f>
        <v/>
      </c>
      <c r="AD252">
        <f>IF($C252="",0,IF($M252="",0,MAX(0,$M252)*MAX(0,AD$4)/100))</f>
        <v/>
      </c>
      <c r="AE252">
        <f>IF($C252="",0,IF($M252="",0,MAX(0,$M252)*MAX(0,AE$4)/100))</f>
        <v/>
      </c>
      <c r="AF252">
        <f>IF($C252="",0,IF($M252="",0,MAX(0,$M252)*MAX(0,AF$4)/100))</f>
        <v/>
      </c>
      <c r="AG252">
        <f>IF($C252="",0,IF($M252="",0,MAX(0,$M252)*MAX(0,AG$4)/100))</f>
        <v/>
      </c>
      <c r="AH252">
        <f>IF($C252="",0,IF($M252="",0,MAX(0,$M252)*MAX(0,AH$4)/100))</f>
        <v/>
      </c>
      <c r="AI252">
        <f>IF($C252="",0,IF($M252="",0,MAX(0,$M252)*MAX(0,AI$4)/100))</f>
        <v/>
      </c>
      <c r="AJ252">
        <f>IF($C252="",0,MAX(0,MAX(0,N($L252))-$V252))</f>
        <v/>
      </c>
      <c r="AK252">
        <f>IF($C252="",0,MAX(0,$AJ252-$W252))</f>
        <v/>
      </c>
      <c r="AL252">
        <f>IF($C252="",0,MAX(0,$AK252-$X252))</f>
        <v/>
      </c>
      <c r="AM252">
        <f>IF($C252="",0,MAX(0,$AL252-$Y252))</f>
        <v/>
      </c>
      <c r="AN252">
        <f>IF($C252="",0,MAX(0,$AM252-$Z252))</f>
        <v/>
      </c>
      <c r="AO252">
        <f>IF($C252="",0,MAX(0,$AN252-$AA252))</f>
        <v/>
      </c>
      <c r="AP252">
        <f>IF($C252="",0,MAX(0,$AO252-$AB252))</f>
        <v/>
      </c>
      <c r="AQ252">
        <f>IF($C252="",0,MAX(0,$AP252-$AC252))</f>
        <v/>
      </c>
      <c r="AR252">
        <f>IF($C252="",0,MAX(0,$AQ252-$AD252))</f>
        <v/>
      </c>
      <c r="AS252">
        <f>IF($C252="",0,MAX(0,$AR252-$AE252))</f>
        <v/>
      </c>
      <c r="AT252">
        <f>IF($C252="",0,MAX(0,$AS252-$AF252))</f>
        <v/>
      </c>
      <c r="AU252">
        <f>IF($C252="",0,MAX(0,$AT252-$AG252))</f>
        <v/>
      </c>
      <c r="AV252">
        <f>IF($C252="",0,MAX(0,$AU252-$AH252))</f>
        <v/>
      </c>
      <c r="AW252">
        <f>IF($C252="",0,MAX(0,$AV252-$AI252))</f>
        <v/>
      </c>
      <c r="AX252">
        <f>IF($C252="",0,MAX(0,MAX(0,N($L252))+IF($P252=V$3,$R252,0)+IF($S252=V$3,$U252,0)-$V252))</f>
        <v/>
      </c>
      <c r="AY252">
        <f>IF($C252="",0,MAX(0,$AX252+IF($P252=W$3,$R252,0)+IF($S252=W$3,$U252,0)-$W252))</f>
        <v/>
      </c>
      <c r="AZ252">
        <f>IF($C252="",0,MAX(0,$AY252+IF($P252=X$3,$R252,0)+IF($S252=X$3,$U252,0)-$X252))</f>
        <v/>
      </c>
      <c r="BA252">
        <f>IF($C252="",0,MAX(0,$AZ252+IF($P252=Y$3,$R252,0)+IF($S252=Y$3,$U252,0)-$Y252))</f>
        <v/>
      </c>
      <c r="BB252">
        <f>IF($C252="",0,MAX(0,$BA252+IF($P252=Z$3,$R252,0)+IF($S252=Z$3,$U252,0)-$Z252))</f>
        <v/>
      </c>
      <c r="BC252">
        <f>IF($C252="",0,MAX(0,$BB252+IF($P252=AA$3,$R252,0)+IF($S252=AA$3,$U252,0)-$AA252))</f>
        <v/>
      </c>
      <c r="BD252">
        <f>IF($C252="",0,MAX(0,$BC252+IF($P252=AB$3,$R252,0)+IF($S252=AB$3,$U252,0)-$AB252))</f>
        <v/>
      </c>
      <c r="BE252">
        <f>IF($C252="",0,MAX(0,$BD252+IF($P252=AC$3,$R252,0)+IF($S252=AC$3,$U252,0)-$AC252))</f>
        <v/>
      </c>
      <c r="BF252">
        <f>IF($C252="",0,MAX(0,$BE252+IF($P252=AD$3,$R252,0)+IF($S252=AD$3,$U252,0)-$AD252))</f>
        <v/>
      </c>
      <c r="BG252">
        <f>IF($C252="",0,MAX(0,$BF252+IF($P252=AE$3,$R252,0)+IF($S252=AE$3,$U252,0)-$AE252))</f>
        <v/>
      </c>
      <c r="BH252">
        <f>IF($C252="",0,MAX(0,$BG252+IF($P252=AF$3,$R252,0)+IF($S252=AF$3,$U252,0)-$AF252))</f>
        <v/>
      </c>
      <c r="BI252">
        <f>IF($C252="",0,MAX(0,$BH252+IF($P252=AG$3,$R252,0)+IF($S252=AG$3,$U252,0)-$AG252))</f>
        <v/>
      </c>
      <c r="BJ252">
        <f>IF($C252="",0,MAX(0,$BI252+IF($P252=AH$3,$R252,0)+IF($S252=AH$3,$U252,0)-$AH252))</f>
        <v/>
      </c>
      <c r="BK252">
        <f>IF($C252="",0,MAX(0,$BJ252+IF($P252=AI$3,$R252,0)+IF($S252=AI$3,$U252,0)-$AI252))</f>
        <v/>
      </c>
      <c r="BL252">
        <f>IF($C252="",99,IF(AND($AX252&lt;1,V$3&gt;=MAX(N($P252),N($S252))),0,99))</f>
        <v/>
      </c>
      <c r="BM252">
        <f>IF($C252="",99,IF(AND($AY252&lt;1,W$3&gt;=MAX(N($P252),N($S252))),1,99))</f>
        <v/>
      </c>
      <c r="BN252">
        <f>IF($C252="",99,IF(AND($AZ252&lt;1,X$3&gt;=MAX(N($P252),N($S252))),2,99))</f>
        <v/>
      </c>
      <c r="BO252">
        <f>IF($C252="",99,IF(AND($BA252&lt;1,Y$3&gt;=MAX(N($P252),N($S252))),3,99))</f>
        <v/>
      </c>
      <c r="BP252">
        <f>IF($C252="",99,IF(AND($BB252&lt;1,Z$3&gt;=MAX(N($P252),N($S252))),4,99))</f>
        <v/>
      </c>
      <c r="BQ252">
        <f>IF($C252="",99,IF(AND($BC252&lt;1,AA$3&gt;=MAX(N($P252),N($S252))),5,99))</f>
        <v/>
      </c>
      <c r="BR252">
        <f>IF($C252="",99,IF(AND($BD252&lt;1,AB$3&gt;=MAX(N($P252),N($S252))),6,99))</f>
        <v/>
      </c>
      <c r="BS252">
        <f>IF($C252="",99,IF(AND($BE252&lt;1,AC$3&gt;=MAX(N($P252),N($S252))),7,99))</f>
        <v/>
      </c>
      <c r="BT252">
        <f>IF($C252="",99,IF(AND($BF252&lt;1,AD$3&gt;=MAX(N($P252),N($S252))),8,99))</f>
        <v/>
      </c>
      <c r="BU252">
        <f>IF($C252="",99,IF(AND($BG252&lt;1,AE$3&gt;=MAX(N($P252),N($S252))),9,99))</f>
        <v/>
      </c>
      <c r="BV252">
        <f>IF($C252="",99,IF(AND($BH252&lt;1,AF$3&gt;=MAX(N($P252),N($S252))),10,99))</f>
        <v/>
      </c>
      <c r="BW252">
        <f>IF($C252="",99,IF(AND($BI252&lt;1,AG$3&gt;=MAX(N($P252),N($S252))),11,99))</f>
        <v/>
      </c>
      <c r="BX252">
        <f>IF($C252="",99,IF(AND($BJ252&lt;1,AH$3&gt;=MAX(N($P252),N($S252))),12,99))</f>
        <v/>
      </c>
      <c r="BY252">
        <f>IF($C252="",99,IF(AND($BK252&lt;1,AI$3&gt;=MAX(N($P252),N($S252))),13,99))</f>
        <v/>
      </c>
      <c r="BZ252">
        <f>IF(OR($C252="",$M252=""),"",COUNTIF($AJ252:$AW252,"&gt;=1"))</f>
        <v/>
      </c>
      <c r="CA252" s="90">
        <f>IF($BZ252="","",IF($BZ252&gt;=14,"",'設定'!$C$6+$BZ252))</f>
        <v/>
      </c>
      <c r="CB252">
        <f>IF(OR($C252="",$M252=""),"",MIN($BL252:$BY252))</f>
        <v/>
      </c>
      <c r="CC252" s="90">
        <f>IF($CB252="","",IF($CB252&gt;=99,"",'設定'!$C$6+$CB252))</f>
        <v/>
      </c>
      <c r="CD252">
        <f>IF(OR($C252="",$M252=""),"",AVERAGE($V252:$AI252))</f>
        <v/>
      </c>
      <c r="CE252">
        <f>IF($C252="","",IFERROR(IF(MATCH(IF(ISNUMBER($P252),$P252,'設定'!$C$6+N('設定'!$C$7)),$V$3:$AI$3,0)=1,MAX(0,N($L252)),INDEX($AJ252:$AW252,MATCH(IF(ISNUMBER($P252),$P252,'設定'!$C$6+N('設定'!$C$7)),$V$3:$AI$3,0)-1)),""))</f>
        <v/>
      </c>
      <c r="CF252">
        <f>IF(OR($C252="",$O252="",$CE252=""),"",IF($O252-$CE252&lt;=0,0,ROUNDUP(($O252-$CE252)/$G252,0)))</f>
        <v/>
      </c>
      <c r="CG252">
        <f>IF(OR($C252="",$CF252="",NOT(ISNUMBER($Q252))),0,MAX(0,$Q252-$CF252))</f>
        <v/>
      </c>
      <c r="CH252">
        <f>IF(OR($C252="",$O252="",$U252=0),0,IFERROR(ROUNDUP(MAX(0,IF(MATCH($S252,$V$3:$AI$3,0)=1,MAX(0,N($L252)),INDEX($AX252:$BK252,MATCH($S252,$V$3:$AI$3,0)-1))+$U252-$O252)/$G252,0),0))</f>
        <v/>
      </c>
      <c r="CI252">
        <f>IF($C252="","",IF(AND($P252="",$Q252=""),"",IF($P252="","⚠ 入庫日を ▼ から選んでください",IF(NOT(ISNUMBER($P252)),"⚠ 入庫日は ▼ から選んでください",IF($P252&lt;N('設定'!$C$6),"⚠ 入庫日が過去です（もう在庫に入っています）→ 消してください",IF($P252&gt;N('設定'!$C$6)+13,"⚠ 入庫日が14日より先です",IF(N($Q252)&lt;=0,"⚠ 入庫数を入れてください",IF($CG252&gt;0,"⚠ 目安より "&amp;$CG252&amp;" 多い（定数を超える）→ 減らす",""))))))))</f>
        <v/>
      </c>
      <c r="CJ252">
        <f>IF($C252="","",IF(AND($S252="",$T252=""),"",IF($S252="","⚠ 2便目：入庫日を ▼ から選んでください",IF(NOT(ISNUMBER($S252)),"⚠ 2便目：入庫日は ▼ から選んでください",IF($S252&lt;N('設定'!$C$6),"⚠ 2便目：入庫日が過去です（もう在庫に入っています）→ 消してください",IF($S252&gt;N('設定'!$C$6)+13,"⚠ 2便目：入庫日が14日より先です",IF(N($T252)&lt;=0,"⚠ 2便目：入庫数を入れてください",IF($CH252&gt;0,"⚠ 2便目：定数を "&amp;$CH252&amp;" ケース超える → 減らす",""))))))))</f>
        <v/>
      </c>
      <c r="CK252">
        <f>IF(AND($CI252="",N($Q252)&gt;0,ISNUMBER($P252)),1,0)</f>
        <v/>
      </c>
      <c r="CL252">
        <f>IF(AND($CJ252="",N($T252)&gt;0,ISNUMBER($S252)),1,0)</f>
        <v/>
      </c>
      <c r="CM252">
        <f>IF(OR($CK252=1,$CL252=1),1,0)</f>
        <v/>
      </c>
      <c r="CN252">
        <f>IF($C252="",0,($CK252*$R252+$CL252*$U252)*N($H252))</f>
        <v/>
      </c>
      <c r="CO252">
        <f>IF($C252="","",IF($CC252="","入庫後は 14日以上もつ",IF($CC252-N('設定'!$C$7)&lt;='設定'!$C$6,"入庫後も "&amp;TEXT($CC252,"m/d")&amp;"("&amp;CHOOSE(WEEKDAY($CC252),"日","月","火","水","木","金","土")&amp;")"&amp;" に切れる　もう1便を至急発注","入庫後も "&amp;TEXT($CC252,"m/d")&amp;"("&amp;CHOOSE(WEEKDAY($CC252),"日","月","火","水","木","金","土")&amp;")"&amp;" に切れる　"&amp;TEXT($CC252-N('設定'!$C$7),"m/d")&amp;"("&amp;CHOOSE(WEEKDAY($CC252-N('設定'!$C$7)),"日","月","火","水","木","金","土")&amp;")"&amp;" までに次を発注")))</f>
        <v/>
      </c>
      <c r="CP252">
        <f>IF($C252="","",IF('設定'!$C$6="","？ ①在庫を貼る に今日のCSVが貼られていない",IF($CS252=1,"－ 今日のCSVに無い（終売？）",IF($L252&lt;0,"● 在庫がマイナス　数えて「数えた在庫」に入れる",IF($L252=0,"● 在庫なし　至急発注",IF($M252="","？ 減り数が未設定（商品マスタ）",IF($B$3=0,"？ 動員が未入力（動員を入れる）",IF($CA252="","○ 14日以上もつ",IF($BZ252&lt;N('設定'!$C$7),"● "&amp;TEXT($CA252,"m/d")&amp;"("&amp;CHOOSE(WEEKDAY($CA252),"日","月","火","水","木","金","土")&amp;")"&amp;" に切れる　至急発注",IF($BZ252=N('設定'!$C$7),"● "&amp;TEXT($CA252,"m/d")&amp;"("&amp;CHOOSE(WEEKDAY($CA252),"日","月","火","水","木","金","土")&amp;")"&amp;" に切れる　今日発注","△ "&amp;TEXT($CA252,"m/d")&amp;"("&amp;CHOOSE(WEEKDAY($CA252),"日","月","火","水","木","金","土")&amp;")"&amp;" に切れる　"&amp;TEXT($CA252-N('設定'!$C$7),"m/d")&amp;"("&amp;CHOOSE(WEEKDAY($CA252-N('設定'!$C$7)),"日","月","火","水","木","金","土")&amp;")"&amp;" までに発注"))))))))))</f>
        <v/>
      </c>
      <c r="CQ252">
        <f>IF($C252="","",IF(AND($P252="",$Q252="",$S252="",$T252=""),"",IF(AND($P252="",$Q252=""),"⚠ 先に1便目（左の入庫日・入庫数）に入れてください",IF($CI252&lt;&gt;"",$CI252,IF($CJ252&lt;&gt;"",$CJ252,IF($M252="","？ 減り数が未設定（発注書には載ります）",IF($B$3=0,"？ 動員が未入力（発注書には載ります）",IF(AND($CA252&lt;&gt;"",$P252&gt;$CA252),IF($P252&gt;'設定'!$C$6+N('設定'!$C$7),"● "&amp;TEXT($P252,"m/d")&amp;"("&amp;CHOOSE(WEEKDAY($P252),"日","月","火","水","木","金","土")&amp;")"&amp;" の入庫では間に合わない（"&amp;TEXT($CA252,"m/d")&amp;"("&amp;CHOOSE(WEEKDAY($CA252),"日","月","火","水","木","金","土")&amp;")"&amp;" に切れる）　入庫日を早める","△ 欠品 "&amp;TEXT($CA252,"m/d")&amp;"("&amp;CHOOSE(WEEKDAY($CA252),"日","月","火","水","木","金","土")&amp;")"&amp;"〜"&amp;TEXT($P252-1,"m/d")&amp;"("&amp;CHOOSE(WEEKDAY($P252-1),"日","月","火","水","木","金","土")&amp;")"&amp;"　"&amp;$CO252),IF($CC252="","○ "&amp;TEXT($P252,"m/d")&amp;"("&amp;CHOOSE(WEEKDAY($P252),"日","月","火","水","木","金","土")&amp;")"&amp;" 入庫で 14日以上もつ",IF($CC252-N('設定'!$C$7)&lt;='設定'!$C$6,"● 入庫しても "&amp;TEXT($CC252,"m/d")&amp;"("&amp;CHOOSE(WEEKDAY($CC252),"日","月","火","水","木","金","土")&amp;")"&amp;" に切れる　もう1便を至急発注（2便目に入れる）","△ 入庫しても "&amp;TEXT($CC252,"m/d")&amp;"("&amp;CHOOSE(WEEKDAY($CC252),"日","月","火","水","木","金","土")&amp;")"&amp;" に切れる　"&amp;TEXT($CC252-N('設定'!$C$7),"m/d")&amp;"("&amp;CHOOSE(WEEKDAY($CC252-N('設定'!$C$7)),"日","月","火","水","木","金","土")&amp;")"&amp;" までに次を発注（2便目に入れる）"))))))))))</f>
        <v/>
      </c>
      <c r="CR252">
        <f>IF($C252="","",IF($G252&gt;1,"ｹｰｽ("&amp;$G252&amp;"入)","個"))</f>
        <v/>
      </c>
      <c r="CS252">
        <f>IF($C252="",0,IF(COUNTIFS('①在庫を貼る'!$V$6:$V$10005,'設定'!$C$4,'①在庫を貼る'!$W$6:$W$10005,$C252)=0,1,0))</f>
        <v/>
      </c>
      <c r="CT252">
        <f>IF(AND($CK252=1,OR('③発注書'!$C$4="すべて",'③発注書'!$C$4="",$F252='③発注書'!$C$4)),N($CT251)+1,N($CT251))</f>
        <v/>
      </c>
      <c r="CU252">
        <f>IF(AND($CL252=1,OR('③発注書'!$C$4="すべて",'③発注書'!$C$4="",$F252='③発注書'!$C$4)),N($CU251)+1,N($CU251))</f>
        <v/>
      </c>
      <c r="CV252">
        <f>IF($C252="",0,IF(COUNTIFS('①在庫を貼る'!$V$6:$V$10005,'設定'!$C$4,'①在庫を貼る'!$W$6:$W$10005,$C252)&gt;0,1,0))</f>
        <v/>
      </c>
      <c r="CW252">
        <f>IF($C252="",0,IF(COUNTIFS('月1回_1ヶ月前の在庫'!$V$6:$V$10005,'設定'!$C$4,'月1回_1ヶ月前の在庫'!$W$6:$W$10005,$C252)&gt;0,1,0))</f>
        <v/>
      </c>
      <c r="CX252">
        <f>IF($C252="",0,IF(COUNTIFS('月1回_2ヶ月前の在庫'!$V$6:$V$10005,'設定'!$C$4,'月1回_2ヶ月前の在庫'!$W$6:$W$10005,$C252)&gt;0,1,0))</f>
        <v/>
      </c>
      <c r="CY252">
        <f>IF(OR($C252="",'設定'!$C$12=""),"",IF('設定'!$C$13="",IF(AND($CV252=1,$CW252=0),"新商品（今月から）",IF(AND($CV252=0,$CW252=1),"終売（今月から）","")),IF(AND($CV252=1,$CW252=0,$CX252=0),"新商品（今月から）",IF(AND($CV252=1,$CW252=1,$CX252=0),"新商品（先月から）",IF(AND($CV252=0,$CW252=1,$CX252=1),"終売（今月から）",IF(AND($CV252=0,$CW252=0,$CX252=1),"終売（先月から）",IF(AND($CV252=1,$CW252=0,$CX252=1),"復活（先月は無し）","")))))))</f>
        <v/>
      </c>
    </row>
    <row r="253">
      <c r="B253">
        <f>IF(248&lt;='設定'!$C$11,248,"")</f>
        <v/>
      </c>
      <c r="C253">
        <f>IF($B253="","",IF($B253&lt;='設定'!$C$20,INDEX('商品マスタ'!$B$6:$B$1005,MATCH($B253,'商品マスタ'!$M$6:$M$1005,0)),IF($B253&lt;='設定'!$C$20+'設定'!$C$17,INDEX('①在庫を貼る'!$W$6:$W$10005,MATCH($B253-'設定'!$C$20,'①在庫を貼る'!$U$6:$U$10005,0)),IF($B253&lt;='設定'!$C$20+'設定'!$C$17+'設定'!$C$18,INDEX('月1回_1ヶ月前の在庫'!$W$6:$W$10005,MATCH($B253-'設定'!$C$20-'設定'!$C$17,'月1回_1ヶ月前の在庫'!$U$6:$U$10005,0)),INDEX('月1回_2ヶ月前の在庫'!$W$6:$W$10005,MATCH($B253-'設定'!$C$20-'設定'!$C$17-'設定'!$C$18,'月1回_2ヶ月前の在庫'!$U$6:$U$10005,0))))))</f>
        <v/>
      </c>
      <c r="D253">
        <f>IF($C253="","",IFERROR(IF(INDEX('商品マスタ'!$C$6:$C$1005,MATCH($C253,'商品マスタ'!$B$6:$B$1005,0))="",IFERROR(INDEX('①在庫を貼る'!$J$6:$J$10005,MATCH($C253,'①在庫を貼る'!$W$6:$W$10005,0)),IFERROR(INDEX('月1回_1ヶ月前の在庫'!$J$6:$J$10005,MATCH($C253,'月1回_1ヶ月前の在庫'!$W$6:$W$10005,0)),IFERROR(INDEX('月1回_2ヶ月前の在庫'!$J$6:$J$10005,MATCH($C253,'月1回_2ヶ月前の在庫'!$W$6:$W$10005,0)),""))),INDEX('商品マスタ'!$C$6:$C$1005,MATCH($C253,'商品マスタ'!$B$6:$B$1005,0))),IFERROR(INDEX('①在庫を貼る'!$J$6:$J$10005,MATCH($C253,'①在庫を貼る'!$W$6:$W$10005,0)),IFERROR(INDEX('月1回_1ヶ月前の在庫'!$J$6:$J$10005,MATCH($C253,'月1回_1ヶ月前の在庫'!$W$6:$W$10005,0)),IFERROR(INDEX('月1回_2ヶ月前の在庫'!$J$6:$J$10005,MATCH($C253,'月1回_2ヶ月前の在庫'!$W$6:$W$10005,0)),"")))))</f>
        <v/>
      </c>
      <c r="E253">
        <f>IF($C253="","",IFERROR(IF(INDEX('商品マスタ'!$D$6:$D$1005,MATCH($C253,'商品マスタ'!$B$6:$B$1005,0))="",IFERROR(INDEX('①在庫を貼る'!$H$6:$H$10005,MATCH($C253,'①在庫を貼る'!$W$6:$W$10005,0)),IFERROR(INDEX('月1回_1ヶ月前の在庫'!$H$6:$H$10005,MATCH($C253,'月1回_1ヶ月前の在庫'!$W$6:$W$10005,0)),IFERROR(INDEX('月1回_2ヶ月前の在庫'!$H$6:$H$10005,MATCH($C253,'月1回_2ヶ月前の在庫'!$W$6:$W$10005,0)),""))),INDEX('商品マスタ'!$D$6:$D$1005,MATCH($C253,'商品マスタ'!$B$6:$B$1005,0))),IFERROR(INDEX('①在庫を貼る'!$H$6:$H$10005,MATCH($C253,'①在庫を貼る'!$W$6:$W$10005,0)),IFERROR(INDEX('月1回_1ヶ月前の在庫'!$H$6:$H$10005,MATCH($C253,'月1回_1ヶ月前の在庫'!$W$6:$W$10005,0)),IFERROR(INDEX('月1回_2ヶ月前の在庫'!$H$6:$H$10005,MATCH($C253,'月1回_2ヶ月前の在庫'!$W$6:$W$10005,0)),"")))))</f>
        <v/>
      </c>
      <c r="F253">
        <f>IF($C253="","",IFERROR(IF(INDEX('商品マスタ'!$E$6:$E$1005,MATCH($C253,'商品マスタ'!$B$6:$B$1005,0))="",IFERROR(INDEX('①在庫を貼る'!$E$6:$E$10005,MATCH($C253,'①在庫を貼る'!$W$6:$W$10005,0)),IFERROR(INDEX('月1回_1ヶ月前の在庫'!$E$6:$E$10005,MATCH($C253,'月1回_1ヶ月前の在庫'!$W$6:$W$10005,0)),IFERROR(INDEX('月1回_2ヶ月前の在庫'!$E$6:$E$10005,MATCH($C253,'月1回_2ヶ月前の在庫'!$W$6:$W$10005,0)),""))),INDEX('商品マスタ'!$E$6:$E$1005,MATCH($C253,'商品マスタ'!$B$6:$B$1005,0))),IFERROR(INDEX('①在庫を貼る'!$E$6:$E$10005,MATCH($C253,'①在庫を貼る'!$W$6:$W$10005,0)),IFERROR(INDEX('月1回_1ヶ月前の在庫'!$E$6:$E$10005,MATCH($C253,'月1回_1ヶ月前の在庫'!$W$6:$W$10005,0)),IFERROR(INDEX('月1回_2ヶ月前の在庫'!$E$6:$E$10005,MATCH($C253,'月1回_2ヶ月前の在庫'!$W$6:$W$10005,0)),"")))))</f>
        <v/>
      </c>
      <c r="G253">
        <f>IF($C253="","",MAX(1,N(IFERROR(IF(INDEX('商品マスタ'!$F$6:$F$1005,MATCH($C253,'商品マスタ'!$B$6:$B$1005,0))="",IF(COUNTIFS('①在庫を貼る'!$V$6:$V$10005,'設定'!$C$4,'①在庫を貼る'!$W$6:$W$10005,$C253)&gt;0,SUMIFS('①在庫を貼る'!$K$6:$K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K$6:$K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K$6:$K$10005,'月1回_2ヶ月前の在庫'!$V$6:$V$10005,'設定'!$C$4,'月1回_2ヶ月前の在庫'!$W$6:$W$10005,$C253)/COUNTIFS('月1回_2ヶ月前の在庫'!$V$6:$V$10005,'設定'!$C$4,'月1回_2ヶ月前の在庫'!$W$6:$W$10005,$C253),0))),INDEX('商品マスタ'!$F$6:$F$1005,MATCH($C253,'商品マスタ'!$B$6:$B$1005,0))),IF(COUNTIFS('①在庫を貼る'!$V$6:$V$10005,'設定'!$C$4,'①在庫を貼る'!$W$6:$W$10005,$C253)&gt;0,SUMIFS('①在庫を貼る'!$K$6:$K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K$6:$K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K$6:$K$10005,'月1回_2ヶ月前の在庫'!$V$6:$V$10005,'設定'!$C$4,'月1回_2ヶ月前の在庫'!$W$6:$W$10005,$C253)/COUNTIFS('月1回_2ヶ月前の在庫'!$V$6:$V$10005,'設定'!$C$4,'月1回_2ヶ月前の在庫'!$W$6:$W$10005,$C253),0)))))))</f>
        <v/>
      </c>
      <c r="H253">
        <f>IF($C253="","",N(IFERROR(IF(INDEX('商品マスタ'!$G$6:$G$1005,MATCH($C253,'商品マスタ'!$B$6:$B$1005,0))="",IF(COUNTIFS('①在庫を貼る'!$V$6:$V$10005,'設定'!$C$4,'①在庫を貼る'!$W$6:$W$10005,$C253)&gt;0,SUMIFS('①在庫を貼る'!$Q$6:$Q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Q$6:$Q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Q$6:$Q$10005,'月1回_2ヶ月前の在庫'!$V$6:$V$10005,'設定'!$C$4,'月1回_2ヶ月前の在庫'!$W$6:$W$10005,$C253)/COUNTIFS('月1回_2ヶ月前の在庫'!$V$6:$V$10005,'設定'!$C$4,'月1回_2ヶ月前の在庫'!$W$6:$W$10005,$C253),0))),INDEX('商品マスタ'!$G$6:$G$1005,MATCH($C253,'商品マスタ'!$B$6:$B$1005,0))),IF(COUNTIFS('①在庫を貼る'!$V$6:$V$10005,'設定'!$C$4,'①在庫を貼る'!$W$6:$W$10005,$C253)&gt;0,SUMIFS('①在庫を貼る'!$Q$6:$Q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Q$6:$Q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Q$6:$Q$10005,'月1回_2ヶ月前の在庫'!$V$6:$V$10005,'設定'!$C$4,'月1回_2ヶ月前の在庫'!$W$6:$W$10005,$C253)/COUNTIFS('月1回_2ヶ月前の在庫'!$V$6:$V$10005,'設定'!$C$4,'月1回_2ヶ月前の在庫'!$W$6:$W$10005,$C253),0))))))</f>
        <v/>
      </c>
      <c r="I253">
        <f>IF($C253="","",IF(COUNTIFS('①在庫を貼る'!$V$6:$V$10005,'設定'!$C$4,'①在庫を貼る'!$W$6:$W$10005,$C253)=0,"",SUMIFS('①在庫を貼る'!$N$6:$N$10005,'①在庫を貼る'!$V$6:$V$10005,'設定'!$C$4,'①在庫を貼る'!$W$6:$W$10005,$C253)))</f>
        <v/>
      </c>
      <c r="J253">
        <f>IF($C253="","",IF('②発注する'!$AD257="","",'②発注する'!$AD257))</f>
        <v/>
      </c>
      <c r="K253" s="90">
        <f>IF($C253="","",IF('②発注する'!$AE257="","",'②発注する'!$AE257))</f>
        <v/>
      </c>
      <c r="L253">
        <f>IF($C253="","",IF(AND(ISNUMBER($J253),ISNUMBER($K253),$K253&gt;='設定'!$C$6),$J253,N($I253)))</f>
        <v/>
      </c>
      <c r="M253">
        <f>IF($C253="","",IFERROR(IF(N(INDEX('商品マスタ'!$J$6:$J$1005,MATCH($C253,'商品マスタ'!$B$6:$B$1005,0)))&gt;0,INDEX('商品マスタ'!$J$6:$J$1005,MATCH($C253,'商品マスタ'!$B$6:$B$1005,0)),""),""))</f>
        <v/>
      </c>
      <c r="N253">
        <f>IF($C253="","",IFERROR(IF(N(INDEX('商品マスタ'!$H$6:$H$1005,MATCH($C253,'商品マスタ'!$B$6:$B$1005,0)))&gt;0,INDEX('商品マスタ'!$H$6:$H$1005,MATCH($C253,'商品マスタ'!$B$6:$B$1005,0)),""),""))</f>
        <v/>
      </c>
      <c r="O253">
        <f>IF($C253="","",IF($N253&lt;&gt;"",$N253*$G253,IF(N(IF(COUNTIFS('①在庫を貼る'!$V$6:$V$10005,'設定'!$C$4,'①在庫を貼る'!$W$6:$W$10005,$C253)&gt;0,SUMIFS('①在庫を貼る'!$O$6:$O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O$6:$O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O$6:$O$10005,'月1回_2ヶ月前の在庫'!$V$6:$V$10005,'設定'!$C$4,'月1回_2ヶ月前の在庫'!$W$6:$W$10005,$C253)/COUNTIFS('月1回_2ヶ月前の在庫'!$V$6:$V$10005,'設定'!$C$4,'月1回_2ヶ月前の在庫'!$W$6:$W$10005,$C253),0))))&gt;0,N(IF(COUNTIFS('①在庫を貼る'!$V$6:$V$10005,'設定'!$C$4,'①在庫を貼る'!$W$6:$W$10005,$C253)&gt;0,SUMIFS('①在庫を貼る'!$O$6:$O$10005,'①在庫を貼る'!$V$6:$V$10005,'設定'!$C$4,'①在庫を貼る'!$W$6:$W$10005,$C253)/COUNTIFS('①在庫を貼る'!$V$6:$V$10005,'設定'!$C$4,'①在庫を貼る'!$W$6:$W$10005,$C253),IF(COUNTIFS('月1回_1ヶ月前の在庫'!$V$6:$V$10005,'設定'!$C$4,'月1回_1ヶ月前の在庫'!$W$6:$W$10005,$C253)&gt;0,SUMIFS('月1回_1ヶ月前の在庫'!$O$6:$O$10005,'月1回_1ヶ月前の在庫'!$V$6:$V$10005,'設定'!$C$4,'月1回_1ヶ月前の在庫'!$W$6:$W$10005,$C253)/COUNTIFS('月1回_1ヶ月前の在庫'!$V$6:$V$10005,'設定'!$C$4,'月1回_1ヶ月前の在庫'!$W$6:$W$10005,$C253),IF(COUNTIFS('月1回_2ヶ月前の在庫'!$V$6:$V$10005,'設定'!$C$4,'月1回_2ヶ月前の在庫'!$W$6:$W$10005,$C253)&gt;0,SUMIFS('月1回_2ヶ月前の在庫'!$O$6:$O$10005,'月1回_2ヶ月前の在庫'!$V$6:$V$10005,'設定'!$C$4,'月1回_2ヶ月前の在庫'!$W$6:$W$10005,$C253)/COUNTIFS('月1回_2ヶ月前の在庫'!$V$6:$V$10005,'設定'!$C$4,'月1回_2ヶ月前の在庫'!$W$6:$W$10005,$C253),0)))),"")))</f>
        <v/>
      </c>
      <c r="P253" s="90">
        <f>IF($C253="","",IF('②発注する'!$I257="","",'②発注する'!$I257))</f>
        <v/>
      </c>
      <c r="Q253">
        <f>IF($C253="","",IF('②発注する'!$J257="","",'②発注する'!$J257))</f>
        <v/>
      </c>
      <c r="R253">
        <f>IF($C253="",0,IF(AND(ISNUMBER($P253),ISNUMBER($Q253)),MAX(0,$Q253)*$G253,0))</f>
        <v/>
      </c>
      <c r="S253" s="90">
        <f>IF($C253="","",IF('②発注する'!$M257="","",'②発注する'!$M257))</f>
        <v/>
      </c>
      <c r="T253">
        <f>IF($C253="","",IF('②発注する'!$N257="","",'②発注する'!$N257))</f>
        <v/>
      </c>
      <c r="U253">
        <f>IF($C253="",0,IF(AND(ISNUMBER($S253),ISNUMBER($T253)),MAX(0,$T253)*$G253,0))</f>
        <v/>
      </c>
      <c r="V253">
        <f>IF($C253="",0,IF($M253="",0,MAX(0,$M253)*MAX(0,V$4)/100))</f>
        <v/>
      </c>
      <c r="W253">
        <f>IF($C253="",0,IF($M253="",0,MAX(0,$M253)*MAX(0,W$4)/100))</f>
        <v/>
      </c>
      <c r="X253">
        <f>IF($C253="",0,IF($M253="",0,MAX(0,$M253)*MAX(0,X$4)/100))</f>
        <v/>
      </c>
      <c r="Y253">
        <f>IF($C253="",0,IF($M253="",0,MAX(0,$M253)*MAX(0,Y$4)/100))</f>
        <v/>
      </c>
      <c r="Z253">
        <f>IF($C253="",0,IF($M253="",0,MAX(0,$M253)*MAX(0,Z$4)/100))</f>
        <v/>
      </c>
      <c r="AA253">
        <f>IF($C253="",0,IF($M253="",0,MAX(0,$M253)*MAX(0,AA$4)/100))</f>
        <v/>
      </c>
      <c r="AB253">
        <f>IF($C253="",0,IF($M253="",0,MAX(0,$M253)*MAX(0,AB$4)/100))</f>
        <v/>
      </c>
      <c r="AC253">
        <f>IF($C253="",0,IF($M253="",0,MAX(0,$M253)*MAX(0,AC$4)/100))</f>
        <v/>
      </c>
      <c r="AD253">
        <f>IF($C253="",0,IF($M253="",0,MAX(0,$M253)*MAX(0,AD$4)/100))</f>
        <v/>
      </c>
      <c r="AE253">
        <f>IF($C253="",0,IF($M253="",0,MAX(0,$M253)*MAX(0,AE$4)/100))</f>
        <v/>
      </c>
      <c r="AF253">
        <f>IF($C253="",0,IF($M253="",0,MAX(0,$M253)*MAX(0,AF$4)/100))</f>
        <v/>
      </c>
      <c r="AG253">
        <f>IF($C253="",0,IF($M253="",0,MAX(0,$M253)*MAX(0,AG$4)/100))</f>
        <v/>
      </c>
      <c r="AH253">
        <f>IF($C253="",0,IF($M253="",0,MAX(0,$M253)*MAX(0,AH$4)/100))</f>
        <v/>
      </c>
      <c r="AI253">
        <f>IF($C253="",0,IF($M253="",0,MAX(0,$M253)*MAX(0,AI$4)/100))</f>
        <v/>
      </c>
      <c r="AJ253">
        <f>IF($C253="",0,MAX(0,MAX(0,N($L253))-$V253))</f>
        <v/>
      </c>
      <c r="AK253">
        <f>IF($C253="",0,MAX(0,$AJ253-$W253))</f>
        <v/>
      </c>
      <c r="AL253">
        <f>IF($C253="",0,MAX(0,$AK253-$X253))</f>
        <v/>
      </c>
      <c r="AM253">
        <f>IF($C253="",0,MAX(0,$AL253-$Y253))</f>
        <v/>
      </c>
      <c r="AN253">
        <f>IF($C253="",0,MAX(0,$AM253-$Z253))</f>
        <v/>
      </c>
      <c r="AO253">
        <f>IF($C253="",0,MAX(0,$AN253-$AA253))</f>
        <v/>
      </c>
      <c r="AP253">
        <f>IF($C253="",0,MAX(0,$AO253-$AB253))</f>
        <v/>
      </c>
      <c r="AQ253">
        <f>IF($C253="",0,MAX(0,$AP253-$AC253))</f>
        <v/>
      </c>
      <c r="AR253">
        <f>IF($C253="",0,MAX(0,$AQ253-$AD253))</f>
        <v/>
      </c>
      <c r="AS253">
        <f>IF($C253="",0,MAX(0,$AR253-$AE253))</f>
        <v/>
      </c>
      <c r="AT253">
        <f>IF($C253="",0,MAX(0,$AS253-$AF253))</f>
        <v/>
      </c>
      <c r="AU253">
        <f>IF($C253="",0,MAX(0,$AT253-$AG253))</f>
        <v/>
      </c>
      <c r="AV253">
        <f>IF($C253="",0,MAX(0,$AU253-$AH253))</f>
        <v/>
      </c>
      <c r="AW253">
        <f>IF($C253="",0,MAX(0,$AV253-$AI253))</f>
        <v/>
      </c>
      <c r="AX253">
        <f>IF($C253="",0,MAX(0,MAX(0,N($L253))+IF($P253=V$3,$R253,0)+IF($S253=V$3,$U253,0)-$V253))</f>
        <v/>
      </c>
      <c r="AY253">
        <f>IF($C253="",0,MAX(0,$AX253+IF($P253=W$3,$R253,0)+IF($S253=W$3,$U253,0)-$W253))</f>
        <v/>
      </c>
      <c r="AZ253">
        <f>IF($C253="",0,MAX(0,$AY253+IF($P253=X$3,$R253,0)+IF($S253=X$3,$U253,0)-$X253))</f>
        <v/>
      </c>
      <c r="BA253">
        <f>IF($C253="",0,MAX(0,$AZ253+IF($P253=Y$3,$R253,0)+IF($S253=Y$3,$U253,0)-$Y253))</f>
        <v/>
      </c>
      <c r="BB253">
        <f>IF($C253="",0,MAX(0,$BA253+IF($P253=Z$3,$R253,0)+IF($S253=Z$3,$U253,0)-$Z253))</f>
        <v/>
      </c>
      <c r="BC253">
        <f>IF($C253="",0,MAX(0,$BB253+IF($P253=AA$3,$R253,0)+IF($S253=AA$3,$U253,0)-$AA253))</f>
        <v/>
      </c>
      <c r="BD253">
        <f>IF($C253="",0,MAX(0,$BC253+IF($P253=AB$3,$R253,0)+IF($S253=AB$3,$U253,0)-$AB253))</f>
        <v/>
      </c>
      <c r="BE253">
        <f>IF($C253="",0,MAX(0,$BD253+IF($P253=AC$3,$R253,0)+IF($S253=AC$3,$U253,0)-$AC253))</f>
        <v/>
      </c>
      <c r="BF253">
        <f>IF($C253="",0,MAX(0,$BE253+IF($P253=AD$3,$R253,0)+IF($S253=AD$3,$U253,0)-$AD253))</f>
        <v/>
      </c>
      <c r="BG253">
        <f>IF($C253="",0,MAX(0,$BF253+IF($P253=AE$3,$R253,0)+IF($S253=AE$3,$U253,0)-$AE253))</f>
        <v/>
      </c>
      <c r="BH253">
        <f>IF($C253="",0,MAX(0,$BG253+IF($P253=AF$3,$R253,0)+IF($S253=AF$3,$U253,0)-$AF253))</f>
        <v/>
      </c>
      <c r="BI253">
        <f>IF($C253="",0,MAX(0,$BH253+IF($P253=AG$3,$R253,0)+IF($S253=AG$3,$U253,0)-$AG253))</f>
        <v/>
      </c>
      <c r="BJ253">
        <f>IF($C253="",0,MAX(0,$BI253+IF($P253=AH$3,$R253,0)+IF($S253=AH$3,$U253,0)-$AH253))</f>
        <v/>
      </c>
      <c r="BK253">
        <f>IF($C253="",0,MAX(0,$BJ253+IF($P253=AI$3,$R253,0)+IF($S253=AI$3,$U253,0)-$AI253))</f>
        <v/>
      </c>
      <c r="BL253">
        <f>IF($C253="",99,IF(AND($AX253&lt;1,V$3&gt;=MAX(N($P253),N($S253))),0,99))</f>
        <v/>
      </c>
      <c r="BM253">
        <f>IF($C253="",99,IF(AND($AY253&lt;1,W$3&gt;=MAX(N($P253),N($S253))),1,99))</f>
        <v/>
      </c>
      <c r="BN253">
        <f>IF($C253="",99,IF(AND($AZ253&lt;1,X$3&gt;=MAX(N($P253),N($S253))),2,99))</f>
        <v/>
      </c>
      <c r="BO253">
        <f>IF($C253="",99,IF(AND($BA253&lt;1,Y$3&gt;=MAX(N($P253),N($S253))),3,99))</f>
        <v/>
      </c>
      <c r="BP253">
        <f>IF($C253="",99,IF(AND($BB253&lt;1,Z$3&gt;=MAX(N($P253),N($S253))),4,99))</f>
        <v/>
      </c>
      <c r="BQ253">
        <f>IF($C253="",99,IF(AND($BC253&lt;1,AA$3&gt;=MAX(N($P253),N($S253))),5,99))</f>
        <v/>
      </c>
      <c r="BR253">
        <f>IF($C253="",99,IF(AND($BD253&lt;1,AB$3&gt;=MAX(N($P253),N($S253))),6,99))</f>
        <v/>
      </c>
      <c r="BS253">
        <f>IF($C253="",99,IF(AND($BE253&lt;1,AC$3&gt;=MAX(N($P253),N($S253))),7,99))</f>
        <v/>
      </c>
      <c r="BT253">
        <f>IF($C253="",99,IF(AND($BF253&lt;1,AD$3&gt;=MAX(N($P253),N($S253))),8,99))</f>
        <v/>
      </c>
      <c r="BU253">
        <f>IF($C253="",99,IF(AND($BG253&lt;1,AE$3&gt;=MAX(N($P253),N($S253))),9,99))</f>
        <v/>
      </c>
      <c r="BV253">
        <f>IF($C253="",99,IF(AND($BH253&lt;1,AF$3&gt;=MAX(N($P253),N($S253))),10,99))</f>
        <v/>
      </c>
      <c r="BW253">
        <f>IF($C253="",99,IF(AND($BI253&lt;1,AG$3&gt;=MAX(N($P253),N($S253))),11,99))</f>
        <v/>
      </c>
      <c r="BX253">
        <f>IF($C253="",99,IF(AND($BJ253&lt;1,AH$3&gt;=MAX(N($P253),N($S253))),12,99))</f>
        <v/>
      </c>
      <c r="BY253">
        <f>IF($C253="",99,IF(AND($BK253&lt;1,AI$3&gt;=MAX(N($P253),N($S253))),13,99))</f>
        <v/>
      </c>
      <c r="BZ253">
        <f>IF(OR($C253="",$M253=""),"",COUNTIF($AJ253:$AW253,"&gt;=1"))</f>
        <v/>
      </c>
      <c r="CA253" s="90">
        <f>IF($BZ253="","",IF($BZ253&gt;=14,"",'設定'!$C$6+$BZ253))</f>
        <v/>
      </c>
      <c r="CB253">
        <f>IF(OR($C253="",$M253=""),"",MIN($BL253:$BY253))</f>
        <v/>
      </c>
      <c r="CC253" s="90">
        <f>IF($CB253="","",IF($CB253&gt;=99,"",'設定'!$C$6+$CB253))</f>
        <v/>
      </c>
      <c r="CD253">
        <f>IF(OR($C253="",$M253=""),"",AVERAGE($V253:$AI253))</f>
        <v/>
      </c>
      <c r="CE253">
        <f>IF($C253="","",IFERROR(IF(MATCH(IF(ISNUMBER($P253),$P253,'設定'!$C$6+N('設定'!$C$7)),$V$3:$AI$3,0)=1,MAX(0,N($L253)),INDEX($AJ253:$AW253,MATCH(IF(ISNUMBER($P253),$P253,'設定'!$C$6+N('設定'!$C$7)),$V$3:$AI$3,0)-1)),""))</f>
        <v/>
      </c>
      <c r="CF253">
        <f>IF(OR($C253="",$O253="",$CE253=""),"",IF($O253-$CE253&lt;=0,0,ROUNDUP(($O253-$CE253)/$G253,0)))</f>
        <v/>
      </c>
      <c r="CG253">
        <f>IF(OR($C253="",$CF253="",NOT(ISNUMBER($Q253))),0,MAX(0,$Q253-$CF253))</f>
        <v/>
      </c>
      <c r="CH253">
        <f>IF(OR($C253="",$O253="",$U253=0),0,IFERROR(ROUNDUP(MAX(0,IF(MATCH($S253,$V$3:$AI$3,0)=1,MAX(0,N($L253)),INDEX($AX253:$BK253,MATCH($S253,$V$3:$AI$3,0)-1))+$U253-$O253)/$G253,0),0))</f>
        <v/>
      </c>
      <c r="CI253">
        <f>IF($C253="","",IF(AND($P253="",$Q253=""),"",IF($P253="","⚠ 入庫日を ▼ から選んでください",IF(NOT(ISNUMBER($P253)),"⚠ 入庫日は ▼ から選んでください",IF($P253&lt;N('設定'!$C$6),"⚠ 入庫日が過去です（もう在庫に入っています）→ 消してください",IF($P253&gt;N('設定'!$C$6)+13,"⚠ 入庫日が14日より先です",IF(N($Q253)&lt;=0,"⚠ 入庫数を入れてください",IF($CG253&gt;0,"⚠ 目安より "&amp;$CG253&amp;" 多い（定数を超える）→ 減らす",""))))))))</f>
        <v/>
      </c>
      <c r="CJ253">
        <f>IF($C253="","",IF(AND($S253="",$T253=""),"",IF($S253="","⚠ 2便目：入庫日を ▼ から選んでください",IF(NOT(ISNUMBER($S253)),"⚠ 2便目：入庫日は ▼ から選んでください",IF($S253&lt;N('設定'!$C$6),"⚠ 2便目：入庫日が過去です（もう在庫に入っています）→ 消してください",IF($S253&gt;N('設定'!$C$6)+13,"⚠ 2便目：入庫日が14日より先です",IF(N($T253)&lt;=0,"⚠ 2便目：入庫数を入れてください",IF($CH253&gt;0,"⚠ 2便目：定数を "&amp;$CH253&amp;" ケース超える → 減らす",""))))))))</f>
        <v/>
      </c>
      <c r="CK253">
        <f>IF(AND($CI253="",N($Q253)&gt;0,ISNUMBER($P253)),1,0)</f>
        <v/>
      </c>
      <c r="CL253">
        <f>IF(AND($CJ253="",N($T253)&gt;0,ISNUMBER($S253)),1,0)</f>
        <v/>
      </c>
      <c r="CM253">
        <f>IF(OR($CK253=1,$CL253=1),1,0)</f>
        <v/>
      </c>
      <c r="CN253">
        <f>IF($C253="",0,($CK253*$R253+$CL253*$U253)*N($H253))</f>
        <v/>
      </c>
      <c r="CO253">
        <f>IF($C253="","",IF($CC253="","入庫後は 14日以上もつ",IF($CC253-N('設定'!$C$7)&lt;='設定'!$C$6,"入庫後も "&amp;TEXT($CC253,"m/d")&amp;"("&amp;CHOOSE(WEEKDAY($CC253),"日","月","火","水","木","金","土")&amp;")"&amp;" に切れる　もう1便を至急発注","入庫後も "&amp;TEXT($CC253,"m/d")&amp;"("&amp;CHOOSE(WEEKDAY($CC253),"日","月","火","水","木","金","土")&amp;")"&amp;" に切れる　"&amp;TEXT($CC253-N('設定'!$C$7),"m/d")&amp;"("&amp;CHOOSE(WEEKDAY($CC253-N('設定'!$C$7)),"日","月","火","水","木","金","土")&amp;")"&amp;" までに次を発注")))</f>
        <v/>
      </c>
      <c r="CP253">
        <f>IF($C253="","",IF('設定'!$C$6="","？ ①在庫を貼る に今日のCSVが貼られていない",IF($CS253=1,"－ 今日のCSVに無い（終売？）",IF($L253&lt;0,"● 在庫がマイナス　数えて「数えた在庫」に入れる",IF($L253=0,"● 在庫なし　至急発注",IF($M253="","？ 減り数が未設定（商品マスタ）",IF($B$3=0,"？ 動員が未入力（動員を入れる）",IF($CA253="","○ 14日以上もつ",IF($BZ253&lt;N('設定'!$C$7),"● "&amp;TEXT($CA253,"m/d")&amp;"("&amp;CHOOSE(WEEKDAY($CA253),"日","月","火","水","木","金","土")&amp;")"&amp;" に切れる　至急発注",IF($BZ253=N('設定'!$C$7),"● "&amp;TEXT($CA253,"m/d")&amp;"("&amp;CHOOSE(WEEKDAY($CA253),"日","月","火","水","木","金","土")&amp;")"&amp;" に切れる　今日発注","△ "&amp;TEXT($CA253,"m/d")&amp;"("&amp;CHOOSE(WEEKDAY($CA253),"日","月","火","水","木","金","土")&amp;")"&amp;" に切れる　"&amp;TEXT($CA253-N('設定'!$C$7),"m/d")&amp;"("&amp;CHOOSE(WEEKDAY($CA253-N('設定'!$C$7)),"日","月","火","水","木","金","土")&amp;")"&amp;" までに発注"))))))))))</f>
        <v/>
      </c>
      <c r="CQ253">
        <f>IF($C253="","",IF(AND($P253="",$Q253="",$S253="",$T253=""),"",IF(AND($P253="",$Q253=""),"⚠ 先に1便目（左の入庫日・入庫数）に入れてください",IF($CI253&lt;&gt;"",$CI253,IF($CJ253&lt;&gt;"",$CJ253,IF($M253="","？ 減り数が未設定（発注書には載ります）",IF($B$3=0,"？ 動員が未入力（発注書には載ります）",IF(AND($CA253&lt;&gt;"",$P253&gt;$CA253),IF($P253&gt;'設定'!$C$6+N('設定'!$C$7),"● "&amp;TEXT($P253,"m/d")&amp;"("&amp;CHOOSE(WEEKDAY($P253),"日","月","火","水","木","金","土")&amp;")"&amp;" の入庫では間に合わない（"&amp;TEXT($CA253,"m/d")&amp;"("&amp;CHOOSE(WEEKDAY($CA253),"日","月","火","水","木","金","土")&amp;")"&amp;" に切れる）　入庫日を早める","△ 欠品 "&amp;TEXT($CA253,"m/d")&amp;"("&amp;CHOOSE(WEEKDAY($CA253),"日","月","火","水","木","金","土")&amp;")"&amp;"〜"&amp;TEXT($P253-1,"m/d")&amp;"("&amp;CHOOSE(WEEKDAY($P253-1),"日","月","火","水","木","金","土")&amp;")"&amp;"　"&amp;$CO253),IF($CC253="","○ "&amp;TEXT($P253,"m/d")&amp;"("&amp;CHOOSE(WEEKDAY($P253),"日","月","火","水","木","金","土")&amp;")"&amp;" 入庫で 14日以上もつ",IF($CC253-N('設定'!$C$7)&lt;='設定'!$C$6,"● 入庫しても "&amp;TEXT($CC253,"m/d")&amp;"("&amp;CHOOSE(WEEKDAY($CC253),"日","月","火","水","木","金","土")&amp;")"&amp;" に切れる　もう1便を至急発注（2便目に入れる）","△ 入庫しても "&amp;TEXT($CC253,"m/d")&amp;"("&amp;CHOOSE(WEEKDAY($CC253),"日","月","火","水","木","金","土")&amp;")"&amp;" に切れる　"&amp;TEXT($CC253-N('設定'!$C$7),"m/d")&amp;"("&amp;CHOOSE(WEEKDAY($CC253-N('設定'!$C$7)),"日","月","火","水","木","金","土")&amp;")"&amp;" までに次を発注（2便目に入れる）"))))))))))</f>
        <v/>
      </c>
      <c r="CR253">
        <f>IF($C253="","",IF($G253&gt;1,"ｹｰｽ("&amp;$G253&amp;"入)","個"))</f>
        <v/>
      </c>
      <c r="CS253">
        <f>IF($C253="",0,IF(COUNTIFS('①在庫を貼る'!$V$6:$V$10005,'設定'!$C$4,'①在庫を貼る'!$W$6:$W$10005,$C253)=0,1,0))</f>
        <v/>
      </c>
      <c r="CT253">
        <f>IF(AND($CK253=1,OR('③発注書'!$C$4="すべて",'③発注書'!$C$4="",$F253='③発注書'!$C$4)),N($CT252)+1,N($CT252))</f>
        <v/>
      </c>
      <c r="CU253">
        <f>IF(AND($CL253=1,OR('③発注書'!$C$4="すべて",'③発注書'!$C$4="",$F253='③発注書'!$C$4)),N($CU252)+1,N($CU252))</f>
        <v/>
      </c>
      <c r="CV253">
        <f>IF($C253="",0,IF(COUNTIFS('①在庫を貼る'!$V$6:$V$10005,'設定'!$C$4,'①在庫を貼る'!$W$6:$W$10005,$C253)&gt;0,1,0))</f>
        <v/>
      </c>
      <c r="CW253">
        <f>IF($C253="",0,IF(COUNTIFS('月1回_1ヶ月前の在庫'!$V$6:$V$10005,'設定'!$C$4,'月1回_1ヶ月前の在庫'!$W$6:$W$10005,$C253)&gt;0,1,0))</f>
        <v/>
      </c>
      <c r="CX253">
        <f>IF($C253="",0,IF(COUNTIFS('月1回_2ヶ月前の在庫'!$V$6:$V$10005,'設定'!$C$4,'月1回_2ヶ月前の在庫'!$W$6:$W$10005,$C253)&gt;0,1,0))</f>
        <v/>
      </c>
      <c r="CY253">
        <f>IF(OR($C253="",'設定'!$C$12=""),"",IF('設定'!$C$13="",IF(AND($CV253=1,$CW253=0),"新商品（今月から）",IF(AND($CV253=0,$CW253=1),"終売（今月から）","")),IF(AND($CV253=1,$CW253=0,$CX253=0),"新商品（今月から）",IF(AND($CV253=1,$CW253=1,$CX253=0),"新商品（先月から）",IF(AND($CV253=0,$CW253=1,$CX253=1),"終売（今月から）",IF(AND($CV253=0,$CW253=0,$CX253=1),"終売（先月から）",IF(AND($CV253=1,$CW253=0,$CX253=1),"復活（先月は無し）","")))))))</f>
        <v/>
      </c>
    </row>
    <row r="254">
      <c r="B254">
        <f>IF(249&lt;='設定'!$C$11,249,"")</f>
        <v/>
      </c>
      <c r="C254">
        <f>IF($B254="","",IF($B254&lt;='設定'!$C$20,INDEX('商品マスタ'!$B$6:$B$1005,MATCH($B254,'商品マスタ'!$M$6:$M$1005,0)),IF($B254&lt;='設定'!$C$20+'設定'!$C$17,INDEX('①在庫を貼る'!$W$6:$W$10005,MATCH($B254-'設定'!$C$20,'①在庫を貼る'!$U$6:$U$10005,0)),IF($B254&lt;='設定'!$C$20+'設定'!$C$17+'設定'!$C$18,INDEX('月1回_1ヶ月前の在庫'!$W$6:$W$10005,MATCH($B254-'設定'!$C$20-'設定'!$C$17,'月1回_1ヶ月前の在庫'!$U$6:$U$10005,0)),INDEX('月1回_2ヶ月前の在庫'!$W$6:$W$10005,MATCH($B254-'設定'!$C$20-'設定'!$C$17-'設定'!$C$18,'月1回_2ヶ月前の在庫'!$U$6:$U$10005,0))))))</f>
        <v/>
      </c>
      <c r="D254">
        <f>IF($C254="","",IFERROR(IF(INDEX('商品マスタ'!$C$6:$C$1005,MATCH($C254,'商品マスタ'!$B$6:$B$1005,0))="",IFERROR(INDEX('①在庫を貼る'!$J$6:$J$10005,MATCH($C254,'①在庫を貼る'!$W$6:$W$10005,0)),IFERROR(INDEX('月1回_1ヶ月前の在庫'!$J$6:$J$10005,MATCH($C254,'月1回_1ヶ月前の在庫'!$W$6:$W$10005,0)),IFERROR(INDEX('月1回_2ヶ月前の在庫'!$J$6:$J$10005,MATCH($C254,'月1回_2ヶ月前の在庫'!$W$6:$W$10005,0)),""))),INDEX('商品マスタ'!$C$6:$C$1005,MATCH($C254,'商品マスタ'!$B$6:$B$1005,0))),IFERROR(INDEX('①在庫を貼る'!$J$6:$J$10005,MATCH($C254,'①在庫を貼る'!$W$6:$W$10005,0)),IFERROR(INDEX('月1回_1ヶ月前の在庫'!$J$6:$J$10005,MATCH($C254,'月1回_1ヶ月前の在庫'!$W$6:$W$10005,0)),IFERROR(INDEX('月1回_2ヶ月前の在庫'!$J$6:$J$10005,MATCH($C254,'月1回_2ヶ月前の在庫'!$W$6:$W$10005,0)),"")))))</f>
        <v/>
      </c>
      <c r="E254">
        <f>IF($C254="","",IFERROR(IF(INDEX('商品マスタ'!$D$6:$D$1005,MATCH($C254,'商品マスタ'!$B$6:$B$1005,0))="",IFERROR(INDEX('①在庫を貼る'!$H$6:$H$10005,MATCH($C254,'①在庫を貼る'!$W$6:$W$10005,0)),IFERROR(INDEX('月1回_1ヶ月前の在庫'!$H$6:$H$10005,MATCH($C254,'月1回_1ヶ月前の在庫'!$W$6:$W$10005,0)),IFERROR(INDEX('月1回_2ヶ月前の在庫'!$H$6:$H$10005,MATCH($C254,'月1回_2ヶ月前の在庫'!$W$6:$W$10005,0)),""))),INDEX('商品マスタ'!$D$6:$D$1005,MATCH($C254,'商品マスタ'!$B$6:$B$1005,0))),IFERROR(INDEX('①在庫を貼る'!$H$6:$H$10005,MATCH($C254,'①在庫を貼る'!$W$6:$W$10005,0)),IFERROR(INDEX('月1回_1ヶ月前の在庫'!$H$6:$H$10005,MATCH($C254,'月1回_1ヶ月前の在庫'!$W$6:$W$10005,0)),IFERROR(INDEX('月1回_2ヶ月前の在庫'!$H$6:$H$10005,MATCH($C254,'月1回_2ヶ月前の在庫'!$W$6:$W$10005,0)),"")))))</f>
        <v/>
      </c>
      <c r="F254">
        <f>IF($C254="","",IFERROR(IF(INDEX('商品マスタ'!$E$6:$E$1005,MATCH($C254,'商品マスタ'!$B$6:$B$1005,0))="",IFERROR(INDEX('①在庫を貼る'!$E$6:$E$10005,MATCH($C254,'①在庫を貼る'!$W$6:$W$10005,0)),IFERROR(INDEX('月1回_1ヶ月前の在庫'!$E$6:$E$10005,MATCH($C254,'月1回_1ヶ月前の在庫'!$W$6:$W$10005,0)),IFERROR(INDEX('月1回_2ヶ月前の在庫'!$E$6:$E$10005,MATCH($C254,'月1回_2ヶ月前の在庫'!$W$6:$W$10005,0)),""))),INDEX('商品マスタ'!$E$6:$E$1005,MATCH($C254,'商品マスタ'!$B$6:$B$1005,0))),IFERROR(INDEX('①在庫を貼る'!$E$6:$E$10005,MATCH($C254,'①在庫を貼る'!$W$6:$W$10005,0)),IFERROR(INDEX('月1回_1ヶ月前の在庫'!$E$6:$E$10005,MATCH($C254,'月1回_1ヶ月前の在庫'!$W$6:$W$10005,0)),IFERROR(INDEX('月1回_2ヶ月前の在庫'!$E$6:$E$10005,MATCH($C254,'月1回_2ヶ月前の在庫'!$W$6:$W$10005,0)),"")))))</f>
        <v/>
      </c>
      <c r="G254">
        <f>IF($C254="","",MAX(1,N(IFERROR(IF(INDEX('商品マスタ'!$F$6:$F$1005,MATCH($C254,'商品マスタ'!$B$6:$B$1005,0))="",IF(COUNTIFS('①在庫を貼る'!$V$6:$V$10005,'設定'!$C$4,'①在庫を貼る'!$W$6:$W$10005,$C254)&gt;0,SUMIFS('①在庫を貼る'!$K$6:$K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K$6:$K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K$6:$K$10005,'月1回_2ヶ月前の在庫'!$V$6:$V$10005,'設定'!$C$4,'月1回_2ヶ月前の在庫'!$W$6:$W$10005,$C254)/COUNTIFS('月1回_2ヶ月前の在庫'!$V$6:$V$10005,'設定'!$C$4,'月1回_2ヶ月前の在庫'!$W$6:$W$10005,$C254),0))),INDEX('商品マスタ'!$F$6:$F$1005,MATCH($C254,'商品マスタ'!$B$6:$B$1005,0))),IF(COUNTIFS('①在庫を貼る'!$V$6:$V$10005,'設定'!$C$4,'①在庫を貼る'!$W$6:$W$10005,$C254)&gt;0,SUMIFS('①在庫を貼る'!$K$6:$K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K$6:$K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K$6:$K$10005,'月1回_2ヶ月前の在庫'!$V$6:$V$10005,'設定'!$C$4,'月1回_2ヶ月前の在庫'!$W$6:$W$10005,$C254)/COUNTIFS('月1回_2ヶ月前の在庫'!$V$6:$V$10005,'設定'!$C$4,'月1回_2ヶ月前の在庫'!$W$6:$W$10005,$C254),0)))))))</f>
        <v/>
      </c>
      <c r="H254">
        <f>IF($C254="","",N(IFERROR(IF(INDEX('商品マスタ'!$G$6:$G$1005,MATCH($C254,'商品マスタ'!$B$6:$B$1005,0))="",IF(COUNTIFS('①在庫を貼る'!$V$6:$V$10005,'設定'!$C$4,'①在庫を貼る'!$W$6:$W$10005,$C254)&gt;0,SUMIFS('①在庫を貼る'!$Q$6:$Q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Q$6:$Q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Q$6:$Q$10005,'月1回_2ヶ月前の在庫'!$V$6:$V$10005,'設定'!$C$4,'月1回_2ヶ月前の在庫'!$W$6:$W$10005,$C254)/COUNTIFS('月1回_2ヶ月前の在庫'!$V$6:$V$10005,'設定'!$C$4,'月1回_2ヶ月前の在庫'!$W$6:$W$10005,$C254),0))),INDEX('商品マスタ'!$G$6:$G$1005,MATCH($C254,'商品マスタ'!$B$6:$B$1005,0))),IF(COUNTIFS('①在庫を貼る'!$V$6:$V$10005,'設定'!$C$4,'①在庫を貼る'!$W$6:$W$10005,$C254)&gt;0,SUMIFS('①在庫を貼る'!$Q$6:$Q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Q$6:$Q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Q$6:$Q$10005,'月1回_2ヶ月前の在庫'!$V$6:$V$10005,'設定'!$C$4,'月1回_2ヶ月前の在庫'!$W$6:$W$10005,$C254)/COUNTIFS('月1回_2ヶ月前の在庫'!$V$6:$V$10005,'設定'!$C$4,'月1回_2ヶ月前の在庫'!$W$6:$W$10005,$C254),0))))))</f>
        <v/>
      </c>
      <c r="I254">
        <f>IF($C254="","",IF(COUNTIFS('①在庫を貼る'!$V$6:$V$10005,'設定'!$C$4,'①在庫を貼る'!$W$6:$W$10005,$C254)=0,"",SUMIFS('①在庫を貼る'!$N$6:$N$10005,'①在庫を貼る'!$V$6:$V$10005,'設定'!$C$4,'①在庫を貼る'!$W$6:$W$10005,$C254)))</f>
        <v/>
      </c>
      <c r="J254">
        <f>IF($C254="","",IF('②発注する'!$AD258="","",'②発注する'!$AD258))</f>
        <v/>
      </c>
      <c r="K254" s="90">
        <f>IF($C254="","",IF('②発注する'!$AE258="","",'②発注する'!$AE258))</f>
        <v/>
      </c>
      <c r="L254">
        <f>IF($C254="","",IF(AND(ISNUMBER($J254),ISNUMBER($K254),$K254&gt;='設定'!$C$6),$J254,N($I254)))</f>
        <v/>
      </c>
      <c r="M254">
        <f>IF($C254="","",IFERROR(IF(N(INDEX('商品マスタ'!$J$6:$J$1005,MATCH($C254,'商品マスタ'!$B$6:$B$1005,0)))&gt;0,INDEX('商品マスタ'!$J$6:$J$1005,MATCH($C254,'商品マスタ'!$B$6:$B$1005,0)),""),""))</f>
        <v/>
      </c>
      <c r="N254">
        <f>IF($C254="","",IFERROR(IF(N(INDEX('商品マスタ'!$H$6:$H$1005,MATCH($C254,'商品マスタ'!$B$6:$B$1005,0)))&gt;0,INDEX('商品マスタ'!$H$6:$H$1005,MATCH($C254,'商品マスタ'!$B$6:$B$1005,0)),""),""))</f>
        <v/>
      </c>
      <c r="O254">
        <f>IF($C254="","",IF($N254&lt;&gt;"",$N254*$G254,IF(N(IF(COUNTIFS('①在庫を貼る'!$V$6:$V$10005,'設定'!$C$4,'①在庫を貼る'!$W$6:$W$10005,$C254)&gt;0,SUMIFS('①在庫を貼る'!$O$6:$O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O$6:$O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O$6:$O$10005,'月1回_2ヶ月前の在庫'!$V$6:$V$10005,'設定'!$C$4,'月1回_2ヶ月前の在庫'!$W$6:$W$10005,$C254)/COUNTIFS('月1回_2ヶ月前の在庫'!$V$6:$V$10005,'設定'!$C$4,'月1回_2ヶ月前の在庫'!$W$6:$W$10005,$C254),0))))&gt;0,N(IF(COUNTIFS('①在庫を貼る'!$V$6:$V$10005,'設定'!$C$4,'①在庫を貼る'!$W$6:$W$10005,$C254)&gt;0,SUMIFS('①在庫を貼る'!$O$6:$O$10005,'①在庫を貼る'!$V$6:$V$10005,'設定'!$C$4,'①在庫を貼る'!$W$6:$W$10005,$C254)/COUNTIFS('①在庫を貼る'!$V$6:$V$10005,'設定'!$C$4,'①在庫を貼る'!$W$6:$W$10005,$C254),IF(COUNTIFS('月1回_1ヶ月前の在庫'!$V$6:$V$10005,'設定'!$C$4,'月1回_1ヶ月前の在庫'!$W$6:$W$10005,$C254)&gt;0,SUMIFS('月1回_1ヶ月前の在庫'!$O$6:$O$10005,'月1回_1ヶ月前の在庫'!$V$6:$V$10005,'設定'!$C$4,'月1回_1ヶ月前の在庫'!$W$6:$W$10005,$C254)/COUNTIFS('月1回_1ヶ月前の在庫'!$V$6:$V$10005,'設定'!$C$4,'月1回_1ヶ月前の在庫'!$W$6:$W$10005,$C254),IF(COUNTIFS('月1回_2ヶ月前の在庫'!$V$6:$V$10005,'設定'!$C$4,'月1回_2ヶ月前の在庫'!$W$6:$W$10005,$C254)&gt;0,SUMIFS('月1回_2ヶ月前の在庫'!$O$6:$O$10005,'月1回_2ヶ月前の在庫'!$V$6:$V$10005,'設定'!$C$4,'月1回_2ヶ月前の在庫'!$W$6:$W$10005,$C254)/COUNTIFS('月1回_2ヶ月前の在庫'!$V$6:$V$10005,'設定'!$C$4,'月1回_2ヶ月前の在庫'!$W$6:$W$10005,$C254),0)))),"")))</f>
        <v/>
      </c>
      <c r="P254" s="90">
        <f>IF($C254="","",IF('②発注する'!$I258="","",'②発注する'!$I258))</f>
        <v/>
      </c>
      <c r="Q254">
        <f>IF($C254="","",IF('②発注する'!$J258="","",'②発注する'!$J258))</f>
        <v/>
      </c>
      <c r="R254">
        <f>IF($C254="",0,IF(AND(ISNUMBER($P254),ISNUMBER($Q254)),MAX(0,$Q254)*$G254,0))</f>
        <v/>
      </c>
      <c r="S254" s="90">
        <f>IF($C254="","",IF('②発注する'!$M258="","",'②発注する'!$M258))</f>
        <v/>
      </c>
      <c r="T254">
        <f>IF($C254="","",IF('②発注する'!$N258="","",'②発注する'!$N258))</f>
        <v/>
      </c>
      <c r="U254">
        <f>IF($C254="",0,IF(AND(ISNUMBER($S254),ISNUMBER($T254)),MAX(0,$T254)*$G254,0))</f>
        <v/>
      </c>
      <c r="V254">
        <f>IF($C254="",0,IF($M254="",0,MAX(0,$M254)*MAX(0,V$4)/100))</f>
        <v/>
      </c>
      <c r="W254">
        <f>IF($C254="",0,IF($M254="",0,MAX(0,$M254)*MAX(0,W$4)/100))</f>
        <v/>
      </c>
      <c r="X254">
        <f>IF($C254="",0,IF($M254="",0,MAX(0,$M254)*MAX(0,X$4)/100))</f>
        <v/>
      </c>
      <c r="Y254">
        <f>IF($C254="",0,IF($M254="",0,MAX(0,$M254)*MAX(0,Y$4)/100))</f>
        <v/>
      </c>
      <c r="Z254">
        <f>IF($C254="",0,IF($M254="",0,MAX(0,$M254)*MAX(0,Z$4)/100))</f>
        <v/>
      </c>
      <c r="AA254">
        <f>IF($C254="",0,IF($M254="",0,MAX(0,$M254)*MAX(0,AA$4)/100))</f>
        <v/>
      </c>
      <c r="AB254">
        <f>IF($C254="",0,IF($M254="",0,MAX(0,$M254)*MAX(0,AB$4)/100))</f>
        <v/>
      </c>
      <c r="AC254">
        <f>IF($C254="",0,IF($M254="",0,MAX(0,$M254)*MAX(0,AC$4)/100))</f>
        <v/>
      </c>
      <c r="AD254">
        <f>IF($C254="",0,IF($M254="",0,MAX(0,$M254)*MAX(0,AD$4)/100))</f>
        <v/>
      </c>
      <c r="AE254">
        <f>IF($C254="",0,IF($M254="",0,MAX(0,$M254)*MAX(0,AE$4)/100))</f>
        <v/>
      </c>
      <c r="AF254">
        <f>IF($C254="",0,IF($M254="",0,MAX(0,$M254)*MAX(0,AF$4)/100))</f>
        <v/>
      </c>
      <c r="AG254">
        <f>IF($C254="",0,IF($M254="",0,MAX(0,$M254)*MAX(0,AG$4)/100))</f>
        <v/>
      </c>
      <c r="AH254">
        <f>IF($C254="",0,IF($M254="",0,MAX(0,$M254)*MAX(0,AH$4)/100))</f>
        <v/>
      </c>
      <c r="AI254">
        <f>IF($C254="",0,IF($M254="",0,MAX(0,$M254)*MAX(0,AI$4)/100))</f>
        <v/>
      </c>
      <c r="AJ254">
        <f>IF($C254="",0,MAX(0,MAX(0,N($L254))-$V254))</f>
        <v/>
      </c>
      <c r="AK254">
        <f>IF($C254="",0,MAX(0,$AJ254-$W254))</f>
        <v/>
      </c>
      <c r="AL254">
        <f>IF($C254="",0,MAX(0,$AK254-$X254))</f>
        <v/>
      </c>
      <c r="AM254">
        <f>IF($C254="",0,MAX(0,$AL254-$Y254))</f>
        <v/>
      </c>
      <c r="AN254">
        <f>IF($C254="",0,MAX(0,$AM254-$Z254))</f>
        <v/>
      </c>
      <c r="AO254">
        <f>IF($C254="",0,MAX(0,$AN254-$AA254))</f>
        <v/>
      </c>
      <c r="AP254">
        <f>IF($C254="",0,MAX(0,$AO254-$AB254))</f>
        <v/>
      </c>
      <c r="AQ254">
        <f>IF($C254="",0,MAX(0,$AP254-$AC254))</f>
        <v/>
      </c>
      <c r="AR254">
        <f>IF($C254="",0,MAX(0,$AQ254-$AD254))</f>
        <v/>
      </c>
      <c r="AS254">
        <f>IF($C254="",0,MAX(0,$AR254-$AE254))</f>
        <v/>
      </c>
      <c r="AT254">
        <f>IF($C254="",0,MAX(0,$AS254-$AF254))</f>
        <v/>
      </c>
      <c r="AU254">
        <f>IF($C254="",0,MAX(0,$AT254-$AG254))</f>
        <v/>
      </c>
      <c r="AV254">
        <f>IF($C254="",0,MAX(0,$AU254-$AH254))</f>
        <v/>
      </c>
      <c r="AW254">
        <f>IF($C254="",0,MAX(0,$AV254-$AI254))</f>
        <v/>
      </c>
      <c r="AX254">
        <f>IF($C254="",0,MAX(0,MAX(0,N($L254))+IF($P254=V$3,$R254,0)+IF($S254=V$3,$U254,0)-$V254))</f>
        <v/>
      </c>
      <c r="AY254">
        <f>IF($C254="",0,MAX(0,$AX254+IF($P254=W$3,$R254,0)+IF($S254=W$3,$U254,0)-$W254))</f>
        <v/>
      </c>
      <c r="AZ254">
        <f>IF($C254="",0,MAX(0,$AY254+IF($P254=X$3,$R254,0)+IF($S254=X$3,$U254,0)-$X254))</f>
        <v/>
      </c>
      <c r="BA254">
        <f>IF($C254="",0,MAX(0,$AZ254+IF($P254=Y$3,$R254,0)+IF($S254=Y$3,$U254,0)-$Y254))</f>
        <v/>
      </c>
      <c r="BB254">
        <f>IF($C254="",0,MAX(0,$BA254+IF($P254=Z$3,$R254,0)+IF($S254=Z$3,$U254,0)-$Z254))</f>
        <v/>
      </c>
      <c r="BC254">
        <f>IF($C254="",0,MAX(0,$BB254+IF($P254=AA$3,$R254,0)+IF($S254=AA$3,$U254,0)-$AA254))</f>
        <v/>
      </c>
      <c r="BD254">
        <f>IF($C254="",0,MAX(0,$BC254+IF($P254=AB$3,$R254,0)+IF($S254=AB$3,$U254,0)-$AB254))</f>
        <v/>
      </c>
      <c r="BE254">
        <f>IF($C254="",0,MAX(0,$BD254+IF($P254=AC$3,$R254,0)+IF($S254=AC$3,$U254,0)-$AC254))</f>
        <v/>
      </c>
      <c r="BF254">
        <f>IF($C254="",0,MAX(0,$BE254+IF($P254=AD$3,$R254,0)+IF($S254=AD$3,$U254,0)-$AD254))</f>
        <v/>
      </c>
      <c r="BG254">
        <f>IF($C254="",0,MAX(0,$BF254+IF($P254=AE$3,$R254,0)+IF($S254=AE$3,$U254,0)-$AE254))</f>
        <v/>
      </c>
      <c r="BH254">
        <f>IF($C254="",0,MAX(0,$BG254+IF($P254=AF$3,$R254,0)+IF($S254=AF$3,$U254,0)-$AF254))</f>
        <v/>
      </c>
      <c r="BI254">
        <f>IF($C254="",0,MAX(0,$BH254+IF($P254=AG$3,$R254,0)+IF($S254=AG$3,$U254,0)-$AG254))</f>
        <v/>
      </c>
      <c r="BJ254">
        <f>IF($C254="",0,MAX(0,$BI254+IF($P254=AH$3,$R254,0)+IF($S254=AH$3,$U254,0)-$AH254))</f>
        <v/>
      </c>
      <c r="BK254">
        <f>IF($C254="",0,MAX(0,$BJ254+IF($P254=AI$3,$R254,0)+IF($S254=AI$3,$U254,0)-$AI254))</f>
        <v/>
      </c>
      <c r="BL254">
        <f>IF($C254="",99,IF(AND($AX254&lt;1,V$3&gt;=MAX(N($P254),N($S254))),0,99))</f>
        <v/>
      </c>
      <c r="BM254">
        <f>IF($C254="",99,IF(AND($AY254&lt;1,W$3&gt;=MAX(N($P254),N($S254))),1,99))</f>
        <v/>
      </c>
      <c r="BN254">
        <f>IF($C254="",99,IF(AND($AZ254&lt;1,X$3&gt;=MAX(N($P254),N($S254))),2,99))</f>
        <v/>
      </c>
      <c r="BO254">
        <f>IF($C254="",99,IF(AND($BA254&lt;1,Y$3&gt;=MAX(N($P254),N($S254))),3,99))</f>
        <v/>
      </c>
      <c r="BP254">
        <f>IF($C254="",99,IF(AND($BB254&lt;1,Z$3&gt;=MAX(N($P254),N($S254))),4,99))</f>
        <v/>
      </c>
      <c r="BQ254">
        <f>IF($C254="",99,IF(AND($BC254&lt;1,AA$3&gt;=MAX(N($P254),N($S254))),5,99))</f>
        <v/>
      </c>
      <c r="BR254">
        <f>IF($C254="",99,IF(AND($BD254&lt;1,AB$3&gt;=MAX(N($P254),N($S254))),6,99))</f>
        <v/>
      </c>
      <c r="BS254">
        <f>IF($C254="",99,IF(AND($BE254&lt;1,AC$3&gt;=MAX(N($P254),N($S254))),7,99))</f>
        <v/>
      </c>
      <c r="BT254">
        <f>IF($C254="",99,IF(AND($BF254&lt;1,AD$3&gt;=MAX(N($P254),N($S254))),8,99))</f>
        <v/>
      </c>
      <c r="BU254">
        <f>IF($C254="",99,IF(AND($BG254&lt;1,AE$3&gt;=MAX(N($P254),N($S254))),9,99))</f>
        <v/>
      </c>
      <c r="BV254">
        <f>IF($C254="",99,IF(AND($BH254&lt;1,AF$3&gt;=MAX(N($P254),N($S254))),10,99))</f>
        <v/>
      </c>
      <c r="BW254">
        <f>IF($C254="",99,IF(AND($BI254&lt;1,AG$3&gt;=MAX(N($P254),N($S254))),11,99))</f>
        <v/>
      </c>
      <c r="BX254">
        <f>IF($C254="",99,IF(AND($BJ254&lt;1,AH$3&gt;=MAX(N($P254),N($S254))),12,99))</f>
        <v/>
      </c>
      <c r="BY254">
        <f>IF($C254="",99,IF(AND($BK254&lt;1,AI$3&gt;=MAX(N($P254),N($S254))),13,99))</f>
        <v/>
      </c>
      <c r="BZ254">
        <f>IF(OR($C254="",$M254=""),"",COUNTIF($AJ254:$AW254,"&gt;=1"))</f>
        <v/>
      </c>
      <c r="CA254" s="90">
        <f>IF($BZ254="","",IF($BZ254&gt;=14,"",'設定'!$C$6+$BZ254))</f>
        <v/>
      </c>
      <c r="CB254">
        <f>IF(OR($C254="",$M254=""),"",MIN($BL254:$BY254))</f>
        <v/>
      </c>
      <c r="CC254" s="90">
        <f>IF($CB254="","",IF($CB254&gt;=99,"",'設定'!$C$6+$CB254))</f>
        <v/>
      </c>
      <c r="CD254">
        <f>IF(OR($C254="",$M254=""),"",AVERAGE($V254:$AI254))</f>
        <v/>
      </c>
      <c r="CE254">
        <f>IF($C254="","",IFERROR(IF(MATCH(IF(ISNUMBER($P254),$P254,'設定'!$C$6+N('設定'!$C$7)),$V$3:$AI$3,0)=1,MAX(0,N($L254)),INDEX($AJ254:$AW254,MATCH(IF(ISNUMBER($P254),$P254,'設定'!$C$6+N('設定'!$C$7)),$V$3:$AI$3,0)-1)),""))</f>
        <v/>
      </c>
      <c r="CF254">
        <f>IF(OR($C254="",$O254="",$CE254=""),"",IF($O254-$CE254&lt;=0,0,ROUNDUP(($O254-$CE254)/$G254,0)))</f>
        <v/>
      </c>
      <c r="CG254">
        <f>IF(OR($C254="",$CF254="",NOT(ISNUMBER($Q254))),0,MAX(0,$Q254-$CF254))</f>
        <v/>
      </c>
      <c r="CH254">
        <f>IF(OR($C254="",$O254="",$U254=0),0,IFERROR(ROUNDUP(MAX(0,IF(MATCH($S254,$V$3:$AI$3,0)=1,MAX(0,N($L254)),INDEX($AX254:$BK254,MATCH($S254,$V$3:$AI$3,0)-1))+$U254-$O254)/$G254,0),0))</f>
        <v/>
      </c>
      <c r="CI254">
        <f>IF($C254="","",IF(AND($P254="",$Q254=""),"",IF($P254="","⚠ 入庫日を ▼ から選んでください",IF(NOT(ISNUMBER($P254)),"⚠ 入庫日は ▼ から選んでください",IF($P254&lt;N('設定'!$C$6),"⚠ 入庫日が過去です（もう在庫に入っています）→ 消してください",IF($P254&gt;N('設定'!$C$6)+13,"⚠ 入庫日が14日より先です",IF(N($Q254)&lt;=0,"⚠ 入庫数を入れてください",IF($CG254&gt;0,"⚠ 目安より "&amp;$CG254&amp;" 多い（定数を超える）→ 減らす",""))))))))</f>
        <v/>
      </c>
      <c r="CJ254">
        <f>IF($C254="","",IF(AND($S254="",$T254=""),"",IF($S254="","⚠ 2便目：入庫日を ▼ から選んでください",IF(NOT(ISNUMBER($S254)),"⚠ 2便目：入庫日は ▼ から選んでください",IF($S254&lt;N('設定'!$C$6),"⚠ 2便目：入庫日が過去です（もう在庫に入っています）→ 消してください",IF($S254&gt;N('設定'!$C$6)+13,"⚠ 2便目：入庫日が14日より先です",IF(N($T254)&lt;=0,"⚠ 2便目：入庫数を入れてください",IF($CH254&gt;0,"⚠ 2便目：定数を "&amp;$CH254&amp;" ケース超える → 減らす",""))))))))</f>
        <v/>
      </c>
      <c r="CK254">
        <f>IF(AND($CI254="",N($Q254)&gt;0,ISNUMBER($P254)),1,0)</f>
        <v/>
      </c>
      <c r="CL254">
        <f>IF(AND($CJ254="",N($T254)&gt;0,ISNUMBER($S254)),1,0)</f>
        <v/>
      </c>
      <c r="CM254">
        <f>IF(OR($CK254=1,$CL254=1),1,0)</f>
        <v/>
      </c>
      <c r="CN254">
        <f>IF($C254="",0,($CK254*$R254+$CL254*$U254)*N($H254))</f>
        <v/>
      </c>
      <c r="CO254">
        <f>IF($C254="","",IF($CC254="","入庫後は 14日以上もつ",IF($CC254-N('設定'!$C$7)&lt;='設定'!$C$6,"入庫後も "&amp;TEXT($CC254,"m/d")&amp;"("&amp;CHOOSE(WEEKDAY($CC254),"日","月","火","水","木","金","土")&amp;")"&amp;" に切れる　もう1便を至急発注","入庫後も "&amp;TEXT($CC254,"m/d")&amp;"("&amp;CHOOSE(WEEKDAY($CC254),"日","月","火","水","木","金","土")&amp;")"&amp;" に切れる　"&amp;TEXT($CC254-N('設定'!$C$7),"m/d")&amp;"("&amp;CHOOSE(WEEKDAY($CC254-N('設定'!$C$7)),"日","月","火","水","木","金","土")&amp;")"&amp;" までに次を発注")))</f>
        <v/>
      </c>
      <c r="CP254">
        <f>IF($C254="","",IF('設定'!$C$6="","？ ①在庫を貼る に今日のCSVが貼られていない",IF($CS254=1,"－ 今日のCSVに無い（終売？）",IF($L254&lt;0,"● 在庫がマイナス　数えて「数えた在庫」に入れる",IF($L254=0,"● 在庫なし　至急発注",IF($M254="","？ 減り数が未設定（商品マスタ）",IF($B$3=0,"？ 動員が未入力（動員を入れる）",IF($CA254="","○ 14日以上もつ",IF($BZ254&lt;N('設定'!$C$7),"● "&amp;TEXT($CA254,"m/d")&amp;"("&amp;CHOOSE(WEEKDAY($CA254),"日","月","火","水","木","金","土")&amp;")"&amp;" に切れる　至急発注",IF($BZ254=N('設定'!$C$7),"● "&amp;TEXT($CA254,"m/d")&amp;"("&amp;CHOOSE(WEEKDAY($CA254),"日","月","火","水","木","金","土")&amp;")"&amp;" に切れる　今日発注","△ "&amp;TEXT($CA254,"m/d")&amp;"("&amp;CHOOSE(WEEKDAY($CA254),"日","月","火","水","木","金","土")&amp;")"&amp;" に切れる　"&amp;TEXT($CA254-N('設定'!$C$7),"m/d")&amp;"("&amp;CHOOSE(WEEKDAY($CA254-N('設定'!$C$7)),"日","月","火","水","木","金","土")&amp;")"&amp;" までに発注"))))))))))</f>
        <v/>
      </c>
      <c r="CQ254">
        <f>IF($C254="","",IF(AND($P254="",$Q254="",$S254="",$T254=""),"",IF(AND($P254="",$Q254=""),"⚠ 先に1便目（左の入庫日・入庫数）に入れてください",IF($CI254&lt;&gt;"",$CI254,IF($CJ254&lt;&gt;"",$CJ254,IF($M254="","？ 減り数が未設定（発注書には載ります）",IF($B$3=0,"？ 動員が未入力（発注書には載ります）",IF(AND($CA254&lt;&gt;"",$P254&gt;$CA254),IF($P254&gt;'設定'!$C$6+N('設定'!$C$7),"● "&amp;TEXT($P254,"m/d")&amp;"("&amp;CHOOSE(WEEKDAY($P254),"日","月","火","水","木","金","土")&amp;")"&amp;" の入庫では間に合わない（"&amp;TEXT($CA254,"m/d")&amp;"("&amp;CHOOSE(WEEKDAY($CA254),"日","月","火","水","木","金","土")&amp;")"&amp;" に切れる）　入庫日を早める","△ 欠品 "&amp;TEXT($CA254,"m/d")&amp;"("&amp;CHOOSE(WEEKDAY($CA254),"日","月","火","水","木","金","土")&amp;")"&amp;"〜"&amp;TEXT($P254-1,"m/d")&amp;"("&amp;CHOOSE(WEEKDAY($P254-1),"日","月","火","水","木","金","土")&amp;")"&amp;"　"&amp;$CO254),IF($CC254="","○ "&amp;TEXT($P254,"m/d")&amp;"("&amp;CHOOSE(WEEKDAY($P254),"日","月","火","水","木","金","土")&amp;")"&amp;" 入庫で 14日以上もつ",IF($CC254-N('設定'!$C$7)&lt;='設定'!$C$6,"● 入庫しても "&amp;TEXT($CC254,"m/d")&amp;"("&amp;CHOOSE(WEEKDAY($CC254),"日","月","火","水","木","金","土")&amp;")"&amp;" に切れる　もう1便を至急発注（2便目に入れる）","△ 入庫しても "&amp;TEXT($CC254,"m/d")&amp;"("&amp;CHOOSE(WEEKDAY($CC254),"日","月","火","水","木","金","土")&amp;")"&amp;" に切れる　"&amp;TEXT($CC254-N('設定'!$C$7),"m/d")&amp;"("&amp;CHOOSE(WEEKDAY($CC254-N('設定'!$C$7)),"日","月","火","水","木","金","土")&amp;")"&amp;" までに次を発注（2便目に入れる）"))))))))))</f>
        <v/>
      </c>
      <c r="CR254">
        <f>IF($C254="","",IF($G254&gt;1,"ｹｰｽ("&amp;$G254&amp;"入)","個"))</f>
        <v/>
      </c>
      <c r="CS254">
        <f>IF($C254="",0,IF(COUNTIFS('①在庫を貼る'!$V$6:$V$10005,'設定'!$C$4,'①在庫を貼る'!$W$6:$W$10005,$C254)=0,1,0))</f>
        <v/>
      </c>
      <c r="CT254">
        <f>IF(AND($CK254=1,OR('③発注書'!$C$4="すべて",'③発注書'!$C$4="",$F254='③発注書'!$C$4)),N($CT253)+1,N($CT253))</f>
        <v/>
      </c>
      <c r="CU254">
        <f>IF(AND($CL254=1,OR('③発注書'!$C$4="すべて",'③発注書'!$C$4="",$F254='③発注書'!$C$4)),N($CU253)+1,N($CU253))</f>
        <v/>
      </c>
      <c r="CV254">
        <f>IF($C254="",0,IF(COUNTIFS('①在庫を貼る'!$V$6:$V$10005,'設定'!$C$4,'①在庫を貼る'!$W$6:$W$10005,$C254)&gt;0,1,0))</f>
        <v/>
      </c>
      <c r="CW254">
        <f>IF($C254="",0,IF(COUNTIFS('月1回_1ヶ月前の在庫'!$V$6:$V$10005,'設定'!$C$4,'月1回_1ヶ月前の在庫'!$W$6:$W$10005,$C254)&gt;0,1,0))</f>
        <v/>
      </c>
      <c r="CX254">
        <f>IF($C254="",0,IF(COUNTIFS('月1回_2ヶ月前の在庫'!$V$6:$V$10005,'設定'!$C$4,'月1回_2ヶ月前の在庫'!$W$6:$W$10005,$C254)&gt;0,1,0))</f>
        <v/>
      </c>
      <c r="CY254">
        <f>IF(OR($C254="",'設定'!$C$12=""),"",IF('設定'!$C$13="",IF(AND($CV254=1,$CW254=0),"新商品（今月から）",IF(AND($CV254=0,$CW254=1),"終売（今月から）","")),IF(AND($CV254=1,$CW254=0,$CX254=0),"新商品（今月から）",IF(AND($CV254=1,$CW254=1,$CX254=0),"新商品（先月から）",IF(AND($CV254=0,$CW254=1,$CX254=1),"終売（今月から）",IF(AND($CV254=0,$CW254=0,$CX254=1),"終売（先月から）",IF(AND($CV254=1,$CW254=0,$CX254=1),"復活（先月は無し）","")))))))</f>
        <v/>
      </c>
    </row>
    <row r="255">
      <c r="B255">
        <f>IF(250&lt;='設定'!$C$11,250,"")</f>
        <v/>
      </c>
      <c r="C255">
        <f>IF($B255="","",IF($B255&lt;='設定'!$C$20,INDEX('商品マスタ'!$B$6:$B$1005,MATCH($B255,'商品マスタ'!$M$6:$M$1005,0)),IF($B255&lt;='設定'!$C$20+'設定'!$C$17,INDEX('①在庫を貼る'!$W$6:$W$10005,MATCH($B255-'設定'!$C$20,'①在庫を貼る'!$U$6:$U$10005,0)),IF($B255&lt;='設定'!$C$20+'設定'!$C$17+'設定'!$C$18,INDEX('月1回_1ヶ月前の在庫'!$W$6:$W$10005,MATCH($B255-'設定'!$C$20-'設定'!$C$17,'月1回_1ヶ月前の在庫'!$U$6:$U$10005,0)),INDEX('月1回_2ヶ月前の在庫'!$W$6:$W$10005,MATCH($B255-'設定'!$C$20-'設定'!$C$17-'設定'!$C$18,'月1回_2ヶ月前の在庫'!$U$6:$U$10005,0))))))</f>
        <v/>
      </c>
      <c r="D255">
        <f>IF($C255="","",IFERROR(IF(INDEX('商品マスタ'!$C$6:$C$1005,MATCH($C255,'商品マスタ'!$B$6:$B$1005,0))="",IFERROR(INDEX('①在庫を貼る'!$J$6:$J$10005,MATCH($C255,'①在庫を貼る'!$W$6:$W$10005,0)),IFERROR(INDEX('月1回_1ヶ月前の在庫'!$J$6:$J$10005,MATCH($C255,'月1回_1ヶ月前の在庫'!$W$6:$W$10005,0)),IFERROR(INDEX('月1回_2ヶ月前の在庫'!$J$6:$J$10005,MATCH($C255,'月1回_2ヶ月前の在庫'!$W$6:$W$10005,0)),""))),INDEX('商品マスタ'!$C$6:$C$1005,MATCH($C255,'商品マスタ'!$B$6:$B$1005,0))),IFERROR(INDEX('①在庫を貼る'!$J$6:$J$10005,MATCH($C255,'①在庫を貼る'!$W$6:$W$10005,0)),IFERROR(INDEX('月1回_1ヶ月前の在庫'!$J$6:$J$10005,MATCH($C255,'月1回_1ヶ月前の在庫'!$W$6:$W$10005,0)),IFERROR(INDEX('月1回_2ヶ月前の在庫'!$J$6:$J$10005,MATCH($C255,'月1回_2ヶ月前の在庫'!$W$6:$W$10005,0)),"")))))</f>
        <v/>
      </c>
      <c r="E255">
        <f>IF($C255="","",IFERROR(IF(INDEX('商品マスタ'!$D$6:$D$1005,MATCH($C255,'商品マスタ'!$B$6:$B$1005,0))="",IFERROR(INDEX('①在庫を貼る'!$H$6:$H$10005,MATCH($C255,'①在庫を貼る'!$W$6:$W$10005,0)),IFERROR(INDEX('月1回_1ヶ月前の在庫'!$H$6:$H$10005,MATCH($C255,'月1回_1ヶ月前の在庫'!$W$6:$W$10005,0)),IFERROR(INDEX('月1回_2ヶ月前の在庫'!$H$6:$H$10005,MATCH($C255,'月1回_2ヶ月前の在庫'!$W$6:$W$10005,0)),""))),INDEX('商品マスタ'!$D$6:$D$1005,MATCH($C255,'商品マスタ'!$B$6:$B$1005,0))),IFERROR(INDEX('①在庫を貼る'!$H$6:$H$10005,MATCH($C255,'①在庫を貼る'!$W$6:$W$10005,0)),IFERROR(INDEX('月1回_1ヶ月前の在庫'!$H$6:$H$10005,MATCH($C255,'月1回_1ヶ月前の在庫'!$W$6:$W$10005,0)),IFERROR(INDEX('月1回_2ヶ月前の在庫'!$H$6:$H$10005,MATCH($C255,'月1回_2ヶ月前の在庫'!$W$6:$W$10005,0)),"")))))</f>
        <v/>
      </c>
      <c r="F255">
        <f>IF($C255="","",IFERROR(IF(INDEX('商品マスタ'!$E$6:$E$1005,MATCH($C255,'商品マスタ'!$B$6:$B$1005,0))="",IFERROR(INDEX('①在庫を貼る'!$E$6:$E$10005,MATCH($C255,'①在庫を貼る'!$W$6:$W$10005,0)),IFERROR(INDEX('月1回_1ヶ月前の在庫'!$E$6:$E$10005,MATCH($C255,'月1回_1ヶ月前の在庫'!$W$6:$W$10005,0)),IFERROR(INDEX('月1回_2ヶ月前の在庫'!$E$6:$E$10005,MATCH($C255,'月1回_2ヶ月前の在庫'!$W$6:$W$10005,0)),""))),INDEX('商品マスタ'!$E$6:$E$1005,MATCH($C255,'商品マスタ'!$B$6:$B$1005,0))),IFERROR(INDEX('①在庫を貼る'!$E$6:$E$10005,MATCH($C255,'①在庫を貼る'!$W$6:$W$10005,0)),IFERROR(INDEX('月1回_1ヶ月前の在庫'!$E$6:$E$10005,MATCH($C255,'月1回_1ヶ月前の在庫'!$W$6:$W$10005,0)),IFERROR(INDEX('月1回_2ヶ月前の在庫'!$E$6:$E$10005,MATCH($C255,'月1回_2ヶ月前の在庫'!$W$6:$W$10005,0)),"")))))</f>
        <v/>
      </c>
      <c r="G255">
        <f>IF($C255="","",MAX(1,N(IFERROR(IF(INDEX('商品マスタ'!$F$6:$F$1005,MATCH($C255,'商品マスタ'!$B$6:$B$1005,0))="",IF(COUNTIFS('①在庫を貼る'!$V$6:$V$10005,'設定'!$C$4,'①在庫を貼る'!$W$6:$W$10005,$C255)&gt;0,SUMIFS('①在庫を貼る'!$K$6:$K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K$6:$K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K$6:$K$10005,'月1回_2ヶ月前の在庫'!$V$6:$V$10005,'設定'!$C$4,'月1回_2ヶ月前の在庫'!$W$6:$W$10005,$C255)/COUNTIFS('月1回_2ヶ月前の在庫'!$V$6:$V$10005,'設定'!$C$4,'月1回_2ヶ月前の在庫'!$W$6:$W$10005,$C255),0))),INDEX('商品マスタ'!$F$6:$F$1005,MATCH($C255,'商品マスタ'!$B$6:$B$1005,0))),IF(COUNTIFS('①在庫を貼る'!$V$6:$V$10005,'設定'!$C$4,'①在庫を貼る'!$W$6:$W$10005,$C255)&gt;0,SUMIFS('①在庫を貼る'!$K$6:$K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K$6:$K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K$6:$K$10005,'月1回_2ヶ月前の在庫'!$V$6:$V$10005,'設定'!$C$4,'月1回_2ヶ月前の在庫'!$W$6:$W$10005,$C255)/COUNTIFS('月1回_2ヶ月前の在庫'!$V$6:$V$10005,'設定'!$C$4,'月1回_2ヶ月前の在庫'!$W$6:$W$10005,$C255),0)))))))</f>
        <v/>
      </c>
      <c r="H255">
        <f>IF($C255="","",N(IFERROR(IF(INDEX('商品マスタ'!$G$6:$G$1005,MATCH($C255,'商品マスタ'!$B$6:$B$1005,0))="",IF(COUNTIFS('①在庫を貼る'!$V$6:$V$10005,'設定'!$C$4,'①在庫を貼る'!$W$6:$W$10005,$C255)&gt;0,SUMIFS('①在庫を貼る'!$Q$6:$Q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Q$6:$Q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Q$6:$Q$10005,'月1回_2ヶ月前の在庫'!$V$6:$V$10005,'設定'!$C$4,'月1回_2ヶ月前の在庫'!$W$6:$W$10005,$C255)/COUNTIFS('月1回_2ヶ月前の在庫'!$V$6:$V$10005,'設定'!$C$4,'月1回_2ヶ月前の在庫'!$W$6:$W$10005,$C255),0))),INDEX('商品マスタ'!$G$6:$G$1005,MATCH($C255,'商品マスタ'!$B$6:$B$1005,0))),IF(COUNTIFS('①在庫を貼る'!$V$6:$V$10005,'設定'!$C$4,'①在庫を貼る'!$W$6:$W$10005,$C255)&gt;0,SUMIFS('①在庫を貼る'!$Q$6:$Q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Q$6:$Q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Q$6:$Q$10005,'月1回_2ヶ月前の在庫'!$V$6:$V$10005,'設定'!$C$4,'月1回_2ヶ月前の在庫'!$W$6:$W$10005,$C255)/COUNTIFS('月1回_2ヶ月前の在庫'!$V$6:$V$10005,'設定'!$C$4,'月1回_2ヶ月前の在庫'!$W$6:$W$10005,$C255),0))))))</f>
        <v/>
      </c>
      <c r="I255">
        <f>IF($C255="","",IF(COUNTIFS('①在庫を貼る'!$V$6:$V$10005,'設定'!$C$4,'①在庫を貼る'!$W$6:$W$10005,$C255)=0,"",SUMIFS('①在庫を貼る'!$N$6:$N$10005,'①在庫を貼る'!$V$6:$V$10005,'設定'!$C$4,'①在庫を貼る'!$W$6:$W$10005,$C255)))</f>
        <v/>
      </c>
      <c r="J255">
        <f>IF($C255="","",IF('②発注する'!$AD259="","",'②発注する'!$AD259))</f>
        <v/>
      </c>
      <c r="K255" s="90">
        <f>IF($C255="","",IF('②発注する'!$AE259="","",'②発注する'!$AE259))</f>
        <v/>
      </c>
      <c r="L255">
        <f>IF($C255="","",IF(AND(ISNUMBER($J255),ISNUMBER($K255),$K255&gt;='設定'!$C$6),$J255,N($I255)))</f>
        <v/>
      </c>
      <c r="M255">
        <f>IF($C255="","",IFERROR(IF(N(INDEX('商品マスタ'!$J$6:$J$1005,MATCH($C255,'商品マスタ'!$B$6:$B$1005,0)))&gt;0,INDEX('商品マスタ'!$J$6:$J$1005,MATCH($C255,'商品マスタ'!$B$6:$B$1005,0)),""),""))</f>
        <v/>
      </c>
      <c r="N255">
        <f>IF($C255="","",IFERROR(IF(N(INDEX('商品マスタ'!$H$6:$H$1005,MATCH($C255,'商品マスタ'!$B$6:$B$1005,0)))&gt;0,INDEX('商品マスタ'!$H$6:$H$1005,MATCH($C255,'商品マスタ'!$B$6:$B$1005,0)),""),""))</f>
        <v/>
      </c>
      <c r="O255">
        <f>IF($C255="","",IF($N255&lt;&gt;"",$N255*$G255,IF(N(IF(COUNTIFS('①在庫を貼る'!$V$6:$V$10005,'設定'!$C$4,'①在庫を貼る'!$W$6:$W$10005,$C255)&gt;0,SUMIFS('①在庫を貼る'!$O$6:$O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O$6:$O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O$6:$O$10005,'月1回_2ヶ月前の在庫'!$V$6:$V$10005,'設定'!$C$4,'月1回_2ヶ月前の在庫'!$W$6:$W$10005,$C255)/COUNTIFS('月1回_2ヶ月前の在庫'!$V$6:$V$10005,'設定'!$C$4,'月1回_2ヶ月前の在庫'!$W$6:$W$10005,$C255),0))))&gt;0,N(IF(COUNTIFS('①在庫を貼る'!$V$6:$V$10005,'設定'!$C$4,'①在庫を貼る'!$W$6:$W$10005,$C255)&gt;0,SUMIFS('①在庫を貼る'!$O$6:$O$10005,'①在庫を貼る'!$V$6:$V$10005,'設定'!$C$4,'①在庫を貼る'!$W$6:$W$10005,$C255)/COUNTIFS('①在庫を貼る'!$V$6:$V$10005,'設定'!$C$4,'①在庫を貼る'!$W$6:$W$10005,$C255),IF(COUNTIFS('月1回_1ヶ月前の在庫'!$V$6:$V$10005,'設定'!$C$4,'月1回_1ヶ月前の在庫'!$W$6:$W$10005,$C255)&gt;0,SUMIFS('月1回_1ヶ月前の在庫'!$O$6:$O$10005,'月1回_1ヶ月前の在庫'!$V$6:$V$10005,'設定'!$C$4,'月1回_1ヶ月前の在庫'!$W$6:$W$10005,$C255)/COUNTIFS('月1回_1ヶ月前の在庫'!$V$6:$V$10005,'設定'!$C$4,'月1回_1ヶ月前の在庫'!$W$6:$W$10005,$C255),IF(COUNTIFS('月1回_2ヶ月前の在庫'!$V$6:$V$10005,'設定'!$C$4,'月1回_2ヶ月前の在庫'!$W$6:$W$10005,$C255)&gt;0,SUMIFS('月1回_2ヶ月前の在庫'!$O$6:$O$10005,'月1回_2ヶ月前の在庫'!$V$6:$V$10005,'設定'!$C$4,'月1回_2ヶ月前の在庫'!$W$6:$W$10005,$C255)/COUNTIFS('月1回_2ヶ月前の在庫'!$V$6:$V$10005,'設定'!$C$4,'月1回_2ヶ月前の在庫'!$W$6:$W$10005,$C255),0)))),"")))</f>
        <v/>
      </c>
      <c r="P255" s="90">
        <f>IF($C255="","",IF('②発注する'!$I259="","",'②発注する'!$I259))</f>
        <v/>
      </c>
      <c r="Q255">
        <f>IF($C255="","",IF('②発注する'!$J259="","",'②発注する'!$J259))</f>
        <v/>
      </c>
      <c r="R255">
        <f>IF($C255="",0,IF(AND(ISNUMBER($P255),ISNUMBER($Q255)),MAX(0,$Q255)*$G255,0))</f>
        <v/>
      </c>
      <c r="S255" s="90">
        <f>IF($C255="","",IF('②発注する'!$M259="","",'②発注する'!$M259))</f>
        <v/>
      </c>
      <c r="T255">
        <f>IF($C255="","",IF('②発注する'!$N259="","",'②発注する'!$N259))</f>
        <v/>
      </c>
      <c r="U255">
        <f>IF($C255="",0,IF(AND(ISNUMBER($S255),ISNUMBER($T255)),MAX(0,$T255)*$G255,0))</f>
        <v/>
      </c>
      <c r="V255">
        <f>IF($C255="",0,IF($M255="",0,MAX(0,$M255)*MAX(0,V$4)/100))</f>
        <v/>
      </c>
      <c r="W255">
        <f>IF($C255="",0,IF($M255="",0,MAX(0,$M255)*MAX(0,W$4)/100))</f>
        <v/>
      </c>
      <c r="X255">
        <f>IF($C255="",0,IF($M255="",0,MAX(0,$M255)*MAX(0,X$4)/100))</f>
        <v/>
      </c>
      <c r="Y255">
        <f>IF($C255="",0,IF($M255="",0,MAX(0,$M255)*MAX(0,Y$4)/100))</f>
        <v/>
      </c>
      <c r="Z255">
        <f>IF($C255="",0,IF($M255="",0,MAX(0,$M255)*MAX(0,Z$4)/100))</f>
        <v/>
      </c>
      <c r="AA255">
        <f>IF($C255="",0,IF($M255="",0,MAX(0,$M255)*MAX(0,AA$4)/100))</f>
        <v/>
      </c>
      <c r="AB255">
        <f>IF($C255="",0,IF($M255="",0,MAX(0,$M255)*MAX(0,AB$4)/100))</f>
        <v/>
      </c>
      <c r="AC255">
        <f>IF($C255="",0,IF($M255="",0,MAX(0,$M255)*MAX(0,AC$4)/100))</f>
        <v/>
      </c>
      <c r="AD255">
        <f>IF($C255="",0,IF($M255="",0,MAX(0,$M255)*MAX(0,AD$4)/100))</f>
        <v/>
      </c>
      <c r="AE255">
        <f>IF($C255="",0,IF($M255="",0,MAX(0,$M255)*MAX(0,AE$4)/100))</f>
        <v/>
      </c>
      <c r="AF255">
        <f>IF($C255="",0,IF($M255="",0,MAX(0,$M255)*MAX(0,AF$4)/100))</f>
        <v/>
      </c>
      <c r="AG255">
        <f>IF($C255="",0,IF($M255="",0,MAX(0,$M255)*MAX(0,AG$4)/100))</f>
        <v/>
      </c>
      <c r="AH255">
        <f>IF($C255="",0,IF($M255="",0,MAX(0,$M255)*MAX(0,AH$4)/100))</f>
        <v/>
      </c>
      <c r="AI255">
        <f>IF($C255="",0,IF($M255="",0,MAX(0,$M255)*MAX(0,AI$4)/100))</f>
        <v/>
      </c>
      <c r="AJ255">
        <f>IF($C255="",0,MAX(0,MAX(0,N($L255))-$V255))</f>
        <v/>
      </c>
      <c r="AK255">
        <f>IF($C255="",0,MAX(0,$AJ255-$W255))</f>
        <v/>
      </c>
      <c r="AL255">
        <f>IF($C255="",0,MAX(0,$AK255-$X255))</f>
        <v/>
      </c>
      <c r="AM255">
        <f>IF($C255="",0,MAX(0,$AL255-$Y255))</f>
        <v/>
      </c>
      <c r="AN255">
        <f>IF($C255="",0,MAX(0,$AM255-$Z255))</f>
        <v/>
      </c>
      <c r="AO255">
        <f>IF($C255="",0,MAX(0,$AN255-$AA255))</f>
        <v/>
      </c>
      <c r="AP255">
        <f>IF($C255="",0,MAX(0,$AO255-$AB255))</f>
        <v/>
      </c>
      <c r="AQ255">
        <f>IF($C255="",0,MAX(0,$AP255-$AC255))</f>
        <v/>
      </c>
      <c r="AR255">
        <f>IF($C255="",0,MAX(0,$AQ255-$AD255))</f>
        <v/>
      </c>
      <c r="AS255">
        <f>IF($C255="",0,MAX(0,$AR255-$AE255))</f>
        <v/>
      </c>
      <c r="AT255">
        <f>IF($C255="",0,MAX(0,$AS255-$AF255))</f>
        <v/>
      </c>
      <c r="AU255">
        <f>IF($C255="",0,MAX(0,$AT255-$AG255))</f>
        <v/>
      </c>
      <c r="AV255">
        <f>IF($C255="",0,MAX(0,$AU255-$AH255))</f>
        <v/>
      </c>
      <c r="AW255">
        <f>IF($C255="",0,MAX(0,$AV255-$AI255))</f>
        <v/>
      </c>
      <c r="AX255">
        <f>IF($C255="",0,MAX(0,MAX(0,N($L255))+IF($P255=V$3,$R255,0)+IF($S255=V$3,$U255,0)-$V255))</f>
        <v/>
      </c>
      <c r="AY255">
        <f>IF($C255="",0,MAX(0,$AX255+IF($P255=W$3,$R255,0)+IF($S255=W$3,$U255,0)-$W255))</f>
        <v/>
      </c>
      <c r="AZ255">
        <f>IF($C255="",0,MAX(0,$AY255+IF($P255=X$3,$R255,0)+IF($S255=X$3,$U255,0)-$X255))</f>
        <v/>
      </c>
      <c r="BA255">
        <f>IF($C255="",0,MAX(0,$AZ255+IF($P255=Y$3,$R255,0)+IF($S255=Y$3,$U255,0)-$Y255))</f>
        <v/>
      </c>
      <c r="BB255">
        <f>IF($C255="",0,MAX(0,$BA255+IF($P255=Z$3,$R255,0)+IF($S255=Z$3,$U255,0)-$Z255))</f>
        <v/>
      </c>
      <c r="BC255">
        <f>IF($C255="",0,MAX(0,$BB255+IF($P255=AA$3,$R255,0)+IF($S255=AA$3,$U255,0)-$AA255))</f>
        <v/>
      </c>
      <c r="BD255">
        <f>IF($C255="",0,MAX(0,$BC255+IF($P255=AB$3,$R255,0)+IF($S255=AB$3,$U255,0)-$AB255))</f>
        <v/>
      </c>
      <c r="BE255">
        <f>IF($C255="",0,MAX(0,$BD255+IF($P255=AC$3,$R255,0)+IF($S255=AC$3,$U255,0)-$AC255))</f>
        <v/>
      </c>
      <c r="BF255">
        <f>IF($C255="",0,MAX(0,$BE255+IF($P255=AD$3,$R255,0)+IF($S255=AD$3,$U255,0)-$AD255))</f>
        <v/>
      </c>
      <c r="BG255">
        <f>IF($C255="",0,MAX(0,$BF255+IF($P255=AE$3,$R255,0)+IF($S255=AE$3,$U255,0)-$AE255))</f>
        <v/>
      </c>
      <c r="BH255">
        <f>IF($C255="",0,MAX(0,$BG255+IF($P255=AF$3,$R255,0)+IF($S255=AF$3,$U255,0)-$AF255))</f>
        <v/>
      </c>
      <c r="BI255">
        <f>IF($C255="",0,MAX(0,$BH255+IF($P255=AG$3,$R255,0)+IF($S255=AG$3,$U255,0)-$AG255))</f>
        <v/>
      </c>
      <c r="BJ255">
        <f>IF($C255="",0,MAX(0,$BI255+IF($P255=AH$3,$R255,0)+IF($S255=AH$3,$U255,0)-$AH255))</f>
        <v/>
      </c>
      <c r="BK255">
        <f>IF($C255="",0,MAX(0,$BJ255+IF($P255=AI$3,$R255,0)+IF($S255=AI$3,$U255,0)-$AI255))</f>
        <v/>
      </c>
      <c r="BL255">
        <f>IF($C255="",99,IF(AND($AX255&lt;1,V$3&gt;=MAX(N($P255),N($S255))),0,99))</f>
        <v/>
      </c>
      <c r="BM255">
        <f>IF($C255="",99,IF(AND($AY255&lt;1,W$3&gt;=MAX(N($P255),N($S255))),1,99))</f>
        <v/>
      </c>
      <c r="BN255">
        <f>IF($C255="",99,IF(AND($AZ255&lt;1,X$3&gt;=MAX(N($P255),N($S255))),2,99))</f>
        <v/>
      </c>
      <c r="BO255">
        <f>IF($C255="",99,IF(AND($BA255&lt;1,Y$3&gt;=MAX(N($P255),N($S255))),3,99))</f>
        <v/>
      </c>
      <c r="BP255">
        <f>IF($C255="",99,IF(AND($BB255&lt;1,Z$3&gt;=MAX(N($P255),N($S255))),4,99))</f>
        <v/>
      </c>
      <c r="BQ255">
        <f>IF($C255="",99,IF(AND($BC255&lt;1,AA$3&gt;=MAX(N($P255),N($S255))),5,99))</f>
        <v/>
      </c>
      <c r="BR255">
        <f>IF($C255="",99,IF(AND($BD255&lt;1,AB$3&gt;=MAX(N($P255),N($S255))),6,99))</f>
        <v/>
      </c>
      <c r="BS255">
        <f>IF($C255="",99,IF(AND($BE255&lt;1,AC$3&gt;=MAX(N($P255),N($S255))),7,99))</f>
        <v/>
      </c>
      <c r="BT255">
        <f>IF($C255="",99,IF(AND($BF255&lt;1,AD$3&gt;=MAX(N($P255),N($S255))),8,99))</f>
        <v/>
      </c>
      <c r="BU255">
        <f>IF($C255="",99,IF(AND($BG255&lt;1,AE$3&gt;=MAX(N($P255),N($S255))),9,99))</f>
        <v/>
      </c>
      <c r="BV255">
        <f>IF($C255="",99,IF(AND($BH255&lt;1,AF$3&gt;=MAX(N($P255),N($S255))),10,99))</f>
        <v/>
      </c>
      <c r="BW255">
        <f>IF($C255="",99,IF(AND($BI255&lt;1,AG$3&gt;=MAX(N($P255),N($S255))),11,99))</f>
        <v/>
      </c>
      <c r="BX255">
        <f>IF($C255="",99,IF(AND($BJ255&lt;1,AH$3&gt;=MAX(N($P255),N($S255))),12,99))</f>
        <v/>
      </c>
      <c r="BY255">
        <f>IF($C255="",99,IF(AND($BK255&lt;1,AI$3&gt;=MAX(N($P255),N($S255))),13,99))</f>
        <v/>
      </c>
      <c r="BZ255">
        <f>IF(OR($C255="",$M255=""),"",COUNTIF($AJ255:$AW255,"&gt;=1"))</f>
        <v/>
      </c>
      <c r="CA255" s="90">
        <f>IF($BZ255="","",IF($BZ255&gt;=14,"",'設定'!$C$6+$BZ255))</f>
        <v/>
      </c>
      <c r="CB255">
        <f>IF(OR($C255="",$M255=""),"",MIN($BL255:$BY255))</f>
        <v/>
      </c>
      <c r="CC255" s="90">
        <f>IF($CB255="","",IF($CB255&gt;=99,"",'設定'!$C$6+$CB255))</f>
        <v/>
      </c>
      <c r="CD255">
        <f>IF(OR($C255="",$M255=""),"",AVERAGE($V255:$AI255))</f>
        <v/>
      </c>
      <c r="CE255">
        <f>IF($C255="","",IFERROR(IF(MATCH(IF(ISNUMBER($P255),$P255,'設定'!$C$6+N('設定'!$C$7)),$V$3:$AI$3,0)=1,MAX(0,N($L255)),INDEX($AJ255:$AW255,MATCH(IF(ISNUMBER($P255),$P255,'設定'!$C$6+N('設定'!$C$7)),$V$3:$AI$3,0)-1)),""))</f>
        <v/>
      </c>
      <c r="CF255">
        <f>IF(OR($C255="",$O255="",$CE255=""),"",IF($O255-$CE255&lt;=0,0,ROUNDUP(($O255-$CE255)/$G255,0)))</f>
        <v/>
      </c>
      <c r="CG255">
        <f>IF(OR($C255="",$CF255="",NOT(ISNUMBER($Q255))),0,MAX(0,$Q255-$CF255))</f>
        <v/>
      </c>
      <c r="CH255">
        <f>IF(OR($C255="",$O255="",$U255=0),0,IFERROR(ROUNDUP(MAX(0,IF(MATCH($S255,$V$3:$AI$3,0)=1,MAX(0,N($L255)),INDEX($AX255:$BK255,MATCH($S255,$V$3:$AI$3,0)-1))+$U255-$O255)/$G255,0),0))</f>
        <v/>
      </c>
      <c r="CI255">
        <f>IF($C255="","",IF(AND($P255="",$Q255=""),"",IF($P255="","⚠ 入庫日を ▼ から選んでください",IF(NOT(ISNUMBER($P255)),"⚠ 入庫日は ▼ から選んでください",IF($P255&lt;N('設定'!$C$6),"⚠ 入庫日が過去です（もう在庫に入っています）→ 消してください",IF($P255&gt;N('設定'!$C$6)+13,"⚠ 入庫日が14日より先です",IF(N($Q255)&lt;=0,"⚠ 入庫数を入れてください",IF($CG255&gt;0,"⚠ 目安より "&amp;$CG255&amp;" 多い（定数を超える）→ 減らす",""))))))))</f>
        <v/>
      </c>
      <c r="CJ255">
        <f>IF($C255="","",IF(AND($S255="",$T255=""),"",IF($S255="","⚠ 2便目：入庫日を ▼ から選んでください",IF(NOT(ISNUMBER($S255)),"⚠ 2便目：入庫日は ▼ から選んでください",IF($S255&lt;N('設定'!$C$6),"⚠ 2便目：入庫日が過去です（もう在庫に入っています）→ 消してください",IF($S255&gt;N('設定'!$C$6)+13,"⚠ 2便目：入庫日が14日より先です",IF(N($T255)&lt;=0,"⚠ 2便目：入庫数を入れてください",IF($CH255&gt;0,"⚠ 2便目：定数を "&amp;$CH255&amp;" ケース超える → 減らす",""))))))))</f>
        <v/>
      </c>
      <c r="CK255">
        <f>IF(AND($CI255="",N($Q255)&gt;0,ISNUMBER($P255)),1,0)</f>
        <v/>
      </c>
      <c r="CL255">
        <f>IF(AND($CJ255="",N($T255)&gt;0,ISNUMBER($S255)),1,0)</f>
        <v/>
      </c>
      <c r="CM255">
        <f>IF(OR($CK255=1,$CL255=1),1,0)</f>
        <v/>
      </c>
      <c r="CN255">
        <f>IF($C255="",0,($CK255*$R255+$CL255*$U255)*N($H255))</f>
        <v/>
      </c>
      <c r="CO255">
        <f>IF($C255="","",IF($CC255="","入庫後は 14日以上もつ",IF($CC255-N('設定'!$C$7)&lt;='設定'!$C$6,"入庫後も "&amp;TEXT($CC255,"m/d")&amp;"("&amp;CHOOSE(WEEKDAY($CC255),"日","月","火","水","木","金","土")&amp;")"&amp;" に切れる　もう1便を至急発注","入庫後も "&amp;TEXT($CC255,"m/d")&amp;"("&amp;CHOOSE(WEEKDAY($CC255),"日","月","火","水","木","金","土")&amp;")"&amp;" に切れる　"&amp;TEXT($CC255-N('設定'!$C$7),"m/d")&amp;"("&amp;CHOOSE(WEEKDAY($CC255-N('設定'!$C$7)),"日","月","火","水","木","金","土")&amp;")"&amp;" までに次を発注")))</f>
        <v/>
      </c>
      <c r="CP255">
        <f>IF($C255="","",IF('設定'!$C$6="","？ ①在庫を貼る に今日のCSVが貼られていない",IF($CS255=1,"－ 今日のCSVに無い（終売？）",IF($L255&lt;0,"● 在庫がマイナス　数えて「数えた在庫」に入れる",IF($L255=0,"● 在庫なし　至急発注",IF($M255="","？ 減り数が未設定（商品マスタ）",IF($B$3=0,"？ 動員が未入力（動員を入れる）",IF($CA255="","○ 14日以上もつ",IF($BZ255&lt;N('設定'!$C$7),"● "&amp;TEXT($CA255,"m/d")&amp;"("&amp;CHOOSE(WEEKDAY($CA255),"日","月","火","水","木","金","土")&amp;")"&amp;" に切れる　至急発注",IF($BZ255=N('設定'!$C$7),"● "&amp;TEXT($CA255,"m/d")&amp;"("&amp;CHOOSE(WEEKDAY($CA255),"日","月","火","水","木","金","土")&amp;")"&amp;" に切れる　今日発注","△ "&amp;TEXT($CA255,"m/d")&amp;"("&amp;CHOOSE(WEEKDAY($CA255),"日","月","火","水","木","金","土")&amp;")"&amp;" に切れる　"&amp;TEXT($CA255-N('設定'!$C$7),"m/d")&amp;"("&amp;CHOOSE(WEEKDAY($CA255-N('設定'!$C$7)),"日","月","火","水","木","金","土")&amp;")"&amp;" までに発注"))))))))))</f>
        <v/>
      </c>
      <c r="CQ255">
        <f>IF($C255="","",IF(AND($P255="",$Q255="",$S255="",$T255=""),"",IF(AND($P255="",$Q255=""),"⚠ 先に1便目（左の入庫日・入庫数）に入れてください",IF($CI255&lt;&gt;"",$CI255,IF($CJ255&lt;&gt;"",$CJ255,IF($M255="","？ 減り数が未設定（発注書には載ります）",IF($B$3=0,"？ 動員が未入力（発注書には載ります）",IF(AND($CA255&lt;&gt;"",$P255&gt;$CA255),IF($P255&gt;'設定'!$C$6+N('設定'!$C$7),"● "&amp;TEXT($P255,"m/d")&amp;"("&amp;CHOOSE(WEEKDAY($P255),"日","月","火","水","木","金","土")&amp;")"&amp;" の入庫では間に合わない（"&amp;TEXT($CA255,"m/d")&amp;"("&amp;CHOOSE(WEEKDAY($CA255),"日","月","火","水","木","金","土")&amp;")"&amp;" に切れる）　入庫日を早める","△ 欠品 "&amp;TEXT($CA255,"m/d")&amp;"("&amp;CHOOSE(WEEKDAY($CA255),"日","月","火","水","木","金","土")&amp;")"&amp;"〜"&amp;TEXT($P255-1,"m/d")&amp;"("&amp;CHOOSE(WEEKDAY($P255-1),"日","月","火","水","木","金","土")&amp;")"&amp;"　"&amp;$CO255),IF($CC255="","○ "&amp;TEXT($P255,"m/d")&amp;"("&amp;CHOOSE(WEEKDAY($P255),"日","月","火","水","木","金","土")&amp;")"&amp;" 入庫で 14日以上もつ",IF($CC255-N('設定'!$C$7)&lt;='設定'!$C$6,"● 入庫しても "&amp;TEXT($CC255,"m/d")&amp;"("&amp;CHOOSE(WEEKDAY($CC255),"日","月","火","水","木","金","土")&amp;")"&amp;" に切れる　もう1便を至急発注（2便目に入れる）","△ 入庫しても "&amp;TEXT($CC255,"m/d")&amp;"("&amp;CHOOSE(WEEKDAY($CC255),"日","月","火","水","木","金","土")&amp;")"&amp;" に切れる　"&amp;TEXT($CC255-N('設定'!$C$7),"m/d")&amp;"("&amp;CHOOSE(WEEKDAY($CC255-N('設定'!$C$7)),"日","月","火","水","木","金","土")&amp;")"&amp;" までに次を発注（2便目に入れる）"))))))))))</f>
        <v/>
      </c>
      <c r="CR255">
        <f>IF($C255="","",IF($G255&gt;1,"ｹｰｽ("&amp;$G255&amp;"入)","個"))</f>
        <v/>
      </c>
      <c r="CS255">
        <f>IF($C255="",0,IF(COUNTIFS('①在庫を貼る'!$V$6:$V$10005,'設定'!$C$4,'①在庫を貼る'!$W$6:$W$10005,$C255)=0,1,0))</f>
        <v/>
      </c>
      <c r="CT255">
        <f>IF(AND($CK255=1,OR('③発注書'!$C$4="すべて",'③発注書'!$C$4="",$F255='③発注書'!$C$4)),N($CT254)+1,N($CT254))</f>
        <v/>
      </c>
      <c r="CU255">
        <f>IF(AND($CL255=1,OR('③発注書'!$C$4="すべて",'③発注書'!$C$4="",$F255='③発注書'!$C$4)),N($CU254)+1,N($CU254))</f>
        <v/>
      </c>
      <c r="CV255">
        <f>IF($C255="",0,IF(COUNTIFS('①在庫を貼る'!$V$6:$V$10005,'設定'!$C$4,'①在庫を貼る'!$W$6:$W$10005,$C255)&gt;0,1,0))</f>
        <v/>
      </c>
      <c r="CW255">
        <f>IF($C255="",0,IF(COUNTIFS('月1回_1ヶ月前の在庫'!$V$6:$V$10005,'設定'!$C$4,'月1回_1ヶ月前の在庫'!$W$6:$W$10005,$C255)&gt;0,1,0))</f>
        <v/>
      </c>
      <c r="CX255">
        <f>IF($C255="",0,IF(COUNTIFS('月1回_2ヶ月前の在庫'!$V$6:$V$10005,'設定'!$C$4,'月1回_2ヶ月前の在庫'!$W$6:$W$10005,$C255)&gt;0,1,0))</f>
        <v/>
      </c>
      <c r="CY255">
        <f>IF(OR($C255="",'設定'!$C$12=""),"",IF('設定'!$C$13="",IF(AND($CV255=1,$CW255=0),"新商品（今月から）",IF(AND($CV255=0,$CW255=1),"終売（今月から）","")),IF(AND($CV255=1,$CW255=0,$CX255=0),"新商品（今月から）",IF(AND($CV255=1,$CW255=1,$CX255=0),"新商品（先月から）",IF(AND($CV255=0,$CW255=1,$CX255=1),"終売（今月から）",IF(AND($CV255=0,$CW255=0,$CX255=1),"終売（先月から）",IF(AND($CV255=1,$CW255=0,$CX255=1),"復活（先月は無し）","")))))))</f>
        <v/>
      </c>
    </row>
    <row r="256">
      <c r="B256">
        <f>IF(251&lt;='設定'!$C$11,251,"")</f>
        <v/>
      </c>
      <c r="C256">
        <f>IF($B256="","",IF($B256&lt;='設定'!$C$20,INDEX('商品マスタ'!$B$6:$B$1005,MATCH($B256,'商品マスタ'!$M$6:$M$1005,0)),IF($B256&lt;='設定'!$C$20+'設定'!$C$17,INDEX('①在庫を貼る'!$W$6:$W$10005,MATCH($B256-'設定'!$C$20,'①在庫を貼る'!$U$6:$U$10005,0)),IF($B256&lt;='設定'!$C$20+'設定'!$C$17+'設定'!$C$18,INDEX('月1回_1ヶ月前の在庫'!$W$6:$W$10005,MATCH($B256-'設定'!$C$20-'設定'!$C$17,'月1回_1ヶ月前の在庫'!$U$6:$U$10005,0)),INDEX('月1回_2ヶ月前の在庫'!$W$6:$W$10005,MATCH($B256-'設定'!$C$20-'設定'!$C$17-'設定'!$C$18,'月1回_2ヶ月前の在庫'!$U$6:$U$10005,0))))))</f>
        <v/>
      </c>
      <c r="D256">
        <f>IF($C256="","",IFERROR(IF(INDEX('商品マスタ'!$C$6:$C$1005,MATCH($C256,'商品マスタ'!$B$6:$B$1005,0))="",IFERROR(INDEX('①在庫を貼る'!$J$6:$J$10005,MATCH($C256,'①在庫を貼る'!$W$6:$W$10005,0)),IFERROR(INDEX('月1回_1ヶ月前の在庫'!$J$6:$J$10005,MATCH($C256,'月1回_1ヶ月前の在庫'!$W$6:$W$10005,0)),IFERROR(INDEX('月1回_2ヶ月前の在庫'!$J$6:$J$10005,MATCH($C256,'月1回_2ヶ月前の在庫'!$W$6:$W$10005,0)),""))),INDEX('商品マスタ'!$C$6:$C$1005,MATCH($C256,'商品マスタ'!$B$6:$B$1005,0))),IFERROR(INDEX('①在庫を貼る'!$J$6:$J$10005,MATCH($C256,'①在庫を貼る'!$W$6:$W$10005,0)),IFERROR(INDEX('月1回_1ヶ月前の在庫'!$J$6:$J$10005,MATCH($C256,'月1回_1ヶ月前の在庫'!$W$6:$W$10005,0)),IFERROR(INDEX('月1回_2ヶ月前の在庫'!$J$6:$J$10005,MATCH($C256,'月1回_2ヶ月前の在庫'!$W$6:$W$10005,0)),"")))))</f>
        <v/>
      </c>
      <c r="E256">
        <f>IF($C256="","",IFERROR(IF(INDEX('商品マスタ'!$D$6:$D$1005,MATCH($C256,'商品マスタ'!$B$6:$B$1005,0))="",IFERROR(INDEX('①在庫を貼る'!$H$6:$H$10005,MATCH($C256,'①在庫を貼る'!$W$6:$W$10005,0)),IFERROR(INDEX('月1回_1ヶ月前の在庫'!$H$6:$H$10005,MATCH($C256,'月1回_1ヶ月前の在庫'!$W$6:$W$10005,0)),IFERROR(INDEX('月1回_2ヶ月前の在庫'!$H$6:$H$10005,MATCH($C256,'月1回_2ヶ月前の在庫'!$W$6:$W$10005,0)),""))),INDEX('商品マスタ'!$D$6:$D$1005,MATCH($C256,'商品マスタ'!$B$6:$B$1005,0))),IFERROR(INDEX('①在庫を貼る'!$H$6:$H$10005,MATCH($C256,'①在庫を貼る'!$W$6:$W$10005,0)),IFERROR(INDEX('月1回_1ヶ月前の在庫'!$H$6:$H$10005,MATCH($C256,'月1回_1ヶ月前の在庫'!$W$6:$W$10005,0)),IFERROR(INDEX('月1回_2ヶ月前の在庫'!$H$6:$H$10005,MATCH($C256,'月1回_2ヶ月前の在庫'!$W$6:$W$10005,0)),"")))))</f>
        <v/>
      </c>
      <c r="F256">
        <f>IF($C256="","",IFERROR(IF(INDEX('商品マスタ'!$E$6:$E$1005,MATCH($C256,'商品マスタ'!$B$6:$B$1005,0))="",IFERROR(INDEX('①在庫を貼る'!$E$6:$E$10005,MATCH($C256,'①在庫を貼る'!$W$6:$W$10005,0)),IFERROR(INDEX('月1回_1ヶ月前の在庫'!$E$6:$E$10005,MATCH($C256,'月1回_1ヶ月前の在庫'!$W$6:$W$10005,0)),IFERROR(INDEX('月1回_2ヶ月前の在庫'!$E$6:$E$10005,MATCH($C256,'月1回_2ヶ月前の在庫'!$W$6:$W$10005,0)),""))),INDEX('商品マスタ'!$E$6:$E$1005,MATCH($C256,'商品マスタ'!$B$6:$B$1005,0))),IFERROR(INDEX('①在庫を貼る'!$E$6:$E$10005,MATCH($C256,'①在庫を貼る'!$W$6:$W$10005,0)),IFERROR(INDEX('月1回_1ヶ月前の在庫'!$E$6:$E$10005,MATCH($C256,'月1回_1ヶ月前の在庫'!$W$6:$W$10005,0)),IFERROR(INDEX('月1回_2ヶ月前の在庫'!$E$6:$E$10005,MATCH($C256,'月1回_2ヶ月前の在庫'!$W$6:$W$10005,0)),"")))))</f>
        <v/>
      </c>
      <c r="G256">
        <f>IF($C256="","",MAX(1,N(IFERROR(IF(INDEX('商品マスタ'!$F$6:$F$1005,MATCH($C256,'商品マスタ'!$B$6:$B$1005,0))="",IF(COUNTIFS('①在庫を貼る'!$V$6:$V$10005,'設定'!$C$4,'①在庫を貼る'!$W$6:$W$10005,$C256)&gt;0,SUMIFS('①在庫を貼る'!$K$6:$K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K$6:$K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K$6:$K$10005,'月1回_2ヶ月前の在庫'!$V$6:$V$10005,'設定'!$C$4,'月1回_2ヶ月前の在庫'!$W$6:$W$10005,$C256)/COUNTIFS('月1回_2ヶ月前の在庫'!$V$6:$V$10005,'設定'!$C$4,'月1回_2ヶ月前の在庫'!$W$6:$W$10005,$C256),0))),INDEX('商品マスタ'!$F$6:$F$1005,MATCH($C256,'商品マスタ'!$B$6:$B$1005,0))),IF(COUNTIFS('①在庫を貼る'!$V$6:$V$10005,'設定'!$C$4,'①在庫を貼る'!$W$6:$W$10005,$C256)&gt;0,SUMIFS('①在庫を貼る'!$K$6:$K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K$6:$K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K$6:$K$10005,'月1回_2ヶ月前の在庫'!$V$6:$V$10005,'設定'!$C$4,'月1回_2ヶ月前の在庫'!$W$6:$W$10005,$C256)/COUNTIFS('月1回_2ヶ月前の在庫'!$V$6:$V$10005,'設定'!$C$4,'月1回_2ヶ月前の在庫'!$W$6:$W$10005,$C256),0)))))))</f>
        <v/>
      </c>
      <c r="H256">
        <f>IF($C256="","",N(IFERROR(IF(INDEX('商品マスタ'!$G$6:$G$1005,MATCH($C256,'商品マスタ'!$B$6:$B$1005,0))="",IF(COUNTIFS('①在庫を貼る'!$V$6:$V$10005,'設定'!$C$4,'①在庫を貼る'!$W$6:$W$10005,$C256)&gt;0,SUMIFS('①在庫を貼る'!$Q$6:$Q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Q$6:$Q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Q$6:$Q$10005,'月1回_2ヶ月前の在庫'!$V$6:$V$10005,'設定'!$C$4,'月1回_2ヶ月前の在庫'!$W$6:$W$10005,$C256)/COUNTIFS('月1回_2ヶ月前の在庫'!$V$6:$V$10005,'設定'!$C$4,'月1回_2ヶ月前の在庫'!$W$6:$W$10005,$C256),0))),INDEX('商品マスタ'!$G$6:$G$1005,MATCH($C256,'商品マスタ'!$B$6:$B$1005,0))),IF(COUNTIFS('①在庫を貼る'!$V$6:$V$10005,'設定'!$C$4,'①在庫を貼る'!$W$6:$W$10005,$C256)&gt;0,SUMIFS('①在庫を貼る'!$Q$6:$Q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Q$6:$Q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Q$6:$Q$10005,'月1回_2ヶ月前の在庫'!$V$6:$V$10005,'設定'!$C$4,'月1回_2ヶ月前の在庫'!$W$6:$W$10005,$C256)/COUNTIFS('月1回_2ヶ月前の在庫'!$V$6:$V$10005,'設定'!$C$4,'月1回_2ヶ月前の在庫'!$W$6:$W$10005,$C256),0))))))</f>
        <v/>
      </c>
      <c r="I256">
        <f>IF($C256="","",IF(COUNTIFS('①在庫を貼る'!$V$6:$V$10005,'設定'!$C$4,'①在庫を貼る'!$W$6:$W$10005,$C256)=0,"",SUMIFS('①在庫を貼る'!$N$6:$N$10005,'①在庫を貼る'!$V$6:$V$10005,'設定'!$C$4,'①在庫を貼る'!$W$6:$W$10005,$C256)))</f>
        <v/>
      </c>
      <c r="J256">
        <f>IF($C256="","",IF('②発注する'!$AD260="","",'②発注する'!$AD260))</f>
        <v/>
      </c>
      <c r="K256" s="90">
        <f>IF($C256="","",IF('②発注する'!$AE260="","",'②発注する'!$AE260))</f>
        <v/>
      </c>
      <c r="L256">
        <f>IF($C256="","",IF(AND(ISNUMBER($J256),ISNUMBER($K256),$K256&gt;='設定'!$C$6),$J256,N($I256)))</f>
        <v/>
      </c>
      <c r="M256">
        <f>IF($C256="","",IFERROR(IF(N(INDEX('商品マスタ'!$J$6:$J$1005,MATCH($C256,'商品マスタ'!$B$6:$B$1005,0)))&gt;0,INDEX('商品マスタ'!$J$6:$J$1005,MATCH($C256,'商品マスタ'!$B$6:$B$1005,0)),""),""))</f>
        <v/>
      </c>
      <c r="N256">
        <f>IF($C256="","",IFERROR(IF(N(INDEX('商品マスタ'!$H$6:$H$1005,MATCH($C256,'商品マスタ'!$B$6:$B$1005,0)))&gt;0,INDEX('商品マスタ'!$H$6:$H$1005,MATCH($C256,'商品マスタ'!$B$6:$B$1005,0)),""),""))</f>
        <v/>
      </c>
      <c r="O256">
        <f>IF($C256="","",IF($N256&lt;&gt;"",$N256*$G256,IF(N(IF(COUNTIFS('①在庫を貼る'!$V$6:$V$10005,'設定'!$C$4,'①在庫を貼る'!$W$6:$W$10005,$C256)&gt;0,SUMIFS('①在庫を貼る'!$O$6:$O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O$6:$O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O$6:$O$10005,'月1回_2ヶ月前の在庫'!$V$6:$V$10005,'設定'!$C$4,'月1回_2ヶ月前の在庫'!$W$6:$W$10005,$C256)/COUNTIFS('月1回_2ヶ月前の在庫'!$V$6:$V$10005,'設定'!$C$4,'月1回_2ヶ月前の在庫'!$W$6:$W$10005,$C256),0))))&gt;0,N(IF(COUNTIFS('①在庫を貼る'!$V$6:$V$10005,'設定'!$C$4,'①在庫を貼る'!$W$6:$W$10005,$C256)&gt;0,SUMIFS('①在庫を貼る'!$O$6:$O$10005,'①在庫を貼る'!$V$6:$V$10005,'設定'!$C$4,'①在庫を貼る'!$W$6:$W$10005,$C256)/COUNTIFS('①在庫を貼る'!$V$6:$V$10005,'設定'!$C$4,'①在庫を貼る'!$W$6:$W$10005,$C256),IF(COUNTIFS('月1回_1ヶ月前の在庫'!$V$6:$V$10005,'設定'!$C$4,'月1回_1ヶ月前の在庫'!$W$6:$W$10005,$C256)&gt;0,SUMIFS('月1回_1ヶ月前の在庫'!$O$6:$O$10005,'月1回_1ヶ月前の在庫'!$V$6:$V$10005,'設定'!$C$4,'月1回_1ヶ月前の在庫'!$W$6:$W$10005,$C256)/COUNTIFS('月1回_1ヶ月前の在庫'!$V$6:$V$10005,'設定'!$C$4,'月1回_1ヶ月前の在庫'!$W$6:$W$10005,$C256),IF(COUNTIFS('月1回_2ヶ月前の在庫'!$V$6:$V$10005,'設定'!$C$4,'月1回_2ヶ月前の在庫'!$W$6:$W$10005,$C256)&gt;0,SUMIFS('月1回_2ヶ月前の在庫'!$O$6:$O$10005,'月1回_2ヶ月前の在庫'!$V$6:$V$10005,'設定'!$C$4,'月1回_2ヶ月前の在庫'!$W$6:$W$10005,$C256)/COUNTIFS('月1回_2ヶ月前の在庫'!$V$6:$V$10005,'設定'!$C$4,'月1回_2ヶ月前の在庫'!$W$6:$W$10005,$C256),0)))),"")))</f>
        <v/>
      </c>
      <c r="P256" s="90">
        <f>IF($C256="","",IF('②発注する'!$I260="","",'②発注する'!$I260))</f>
        <v/>
      </c>
      <c r="Q256">
        <f>IF($C256="","",IF('②発注する'!$J260="","",'②発注する'!$J260))</f>
        <v/>
      </c>
      <c r="R256">
        <f>IF($C256="",0,IF(AND(ISNUMBER($P256),ISNUMBER($Q256)),MAX(0,$Q256)*$G256,0))</f>
        <v/>
      </c>
      <c r="S256" s="90">
        <f>IF($C256="","",IF('②発注する'!$M260="","",'②発注する'!$M260))</f>
        <v/>
      </c>
      <c r="T256">
        <f>IF($C256="","",IF('②発注する'!$N260="","",'②発注する'!$N260))</f>
        <v/>
      </c>
      <c r="U256">
        <f>IF($C256="",0,IF(AND(ISNUMBER($S256),ISNUMBER($T256)),MAX(0,$T256)*$G256,0))</f>
        <v/>
      </c>
      <c r="V256">
        <f>IF($C256="",0,IF($M256="",0,MAX(0,$M256)*MAX(0,V$4)/100))</f>
        <v/>
      </c>
      <c r="W256">
        <f>IF($C256="",0,IF($M256="",0,MAX(0,$M256)*MAX(0,W$4)/100))</f>
        <v/>
      </c>
      <c r="X256">
        <f>IF($C256="",0,IF($M256="",0,MAX(0,$M256)*MAX(0,X$4)/100))</f>
        <v/>
      </c>
      <c r="Y256">
        <f>IF($C256="",0,IF($M256="",0,MAX(0,$M256)*MAX(0,Y$4)/100))</f>
        <v/>
      </c>
      <c r="Z256">
        <f>IF($C256="",0,IF($M256="",0,MAX(0,$M256)*MAX(0,Z$4)/100))</f>
        <v/>
      </c>
      <c r="AA256">
        <f>IF($C256="",0,IF($M256="",0,MAX(0,$M256)*MAX(0,AA$4)/100))</f>
        <v/>
      </c>
      <c r="AB256">
        <f>IF($C256="",0,IF($M256="",0,MAX(0,$M256)*MAX(0,AB$4)/100))</f>
        <v/>
      </c>
      <c r="AC256">
        <f>IF($C256="",0,IF($M256="",0,MAX(0,$M256)*MAX(0,AC$4)/100))</f>
        <v/>
      </c>
      <c r="AD256">
        <f>IF($C256="",0,IF($M256="",0,MAX(0,$M256)*MAX(0,AD$4)/100))</f>
        <v/>
      </c>
      <c r="AE256">
        <f>IF($C256="",0,IF($M256="",0,MAX(0,$M256)*MAX(0,AE$4)/100))</f>
        <v/>
      </c>
      <c r="AF256">
        <f>IF($C256="",0,IF($M256="",0,MAX(0,$M256)*MAX(0,AF$4)/100))</f>
        <v/>
      </c>
      <c r="AG256">
        <f>IF($C256="",0,IF($M256="",0,MAX(0,$M256)*MAX(0,AG$4)/100))</f>
        <v/>
      </c>
      <c r="AH256">
        <f>IF($C256="",0,IF($M256="",0,MAX(0,$M256)*MAX(0,AH$4)/100))</f>
        <v/>
      </c>
      <c r="AI256">
        <f>IF($C256="",0,IF($M256="",0,MAX(0,$M256)*MAX(0,AI$4)/100))</f>
        <v/>
      </c>
      <c r="AJ256">
        <f>IF($C256="",0,MAX(0,MAX(0,N($L256))-$V256))</f>
        <v/>
      </c>
      <c r="AK256">
        <f>IF($C256="",0,MAX(0,$AJ256-$W256))</f>
        <v/>
      </c>
      <c r="AL256">
        <f>IF($C256="",0,MAX(0,$AK256-$X256))</f>
        <v/>
      </c>
      <c r="AM256">
        <f>IF($C256="",0,MAX(0,$AL256-$Y256))</f>
        <v/>
      </c>
      <c r="AN256">
        <f>IF($C256="",0,MAX(0,$AM256-$Z256))</f>
        <v/>
      </c>
      <c r="AO256">
        <f>IF($C256="",0,MAX(0,$AN256-$AA256))</f>
        <v/>
      </c>
      <c r="AP256">
        <f>IF($C256="",0,MAX(0,$AO256-$AB256))</f>
        <v/>
      </c>
      <c r="AQ256">
        <f>IF($C256="",0,MAX(0,$AP256-$AC256))</f>
        <v/>
      </c>
      <c r="AR256">
        <f>IF($C256="",0,MAX(0,$AQ256-$AD256))</f>
        <v/>
      </c>
      <c r="AS256">
        <f>IF($C256="",0,MAX(0,$AR256-$AE256))</f>
        <v/>
      </c>
      <c r="AT256">
        <f>IF($C256="",0,MAX(0,$AS256-$AF256))</f>
        <v/>
      </c>
      <c r="AU256">
        <f>IF($C256="",0,MAX(0,$AT256-$AG256))</f>
        <v/>
      </c>
      <c r="AV256">
        <f>IF($C256="",0,MAX(0,$AU256-$AH256))</f>
        <v/>
      </c>
      <c r="AW256">
        <f>IF($C256="",0,MAX(0,$AV256-$AI256))</f>
        <v/>
      </c>
      <c r="AX256">
        <f>IF($C256="",0,MAX(0,MAX(0,N($L256))+IF($P256=V$3,$R256,0)+IF($S256=V$3,$U256,0)-$V256))</f>
        <v/>
      </c>
      <c r="AY256">
        <f>IF($C256="",0,MAX(0,$AX256+IF($P256=W$3,$R256,0)+IF($S256=W$3,$U256,0)-$W256))</f>
        <v/>
      </c>
      <c r="AZ256">
        <f>IF($C256="",0,MAX(0,$AY256+IF($P256=X$3,$R256,0)+IF($S256=X$3,$U256,0)-$X256))</f>
        <v/>
      </c>
      <c r="BA256">
        <f>IF($C256="",0,MAX(0,$AZ256+IF($P256=Y$3,$R256,0)+IF($S256=Y$3,$U256,0)-$Y256))</f>
        <v/>
      </c>
      <c r="BB256">
        <f>IF($C256="",0,MAX(0,$BA256+IF($P256=Z$3,$R256,0)+IF($S256=Z$3,$U256,0)-$Z256))</f>
        <v/>
      </c>
      <c r="BC256">
        <f>IF($C256="",0,MAX(0,$BB256+IF($P256=AA$3,$R256,0)+IF($S256=AA$3,$U256,0)-$AA256))</f>
        <v/>
      </c>
      <c r="BD256">
        <f>IF($C256="",0,MAX(0,$BC256+IF($P256=AB$3,$R256,0)+IF($S256=AB$3,$U256,0)-$AB256))</f>
        <v/>
      </c>
      <c r="BE256">
        <f>IF($C256="",0,MAX(0,$BD256+IF($P256=AC$3,$R256,0)+IF($S256=AC$3,$U256,0)-$AC256))</f>
        <v/>
      </c>
      <c r="BF256">
        <f>IF($C256="",0,MAX(0,$BE256+IF($P256=AD$3,$R256,0)+IF($S256=AD$3,$U256,0)-$AD256))</f>
        <v/>
      </c>
      <c r="BG256">
        <f>IF($C256="",0,MAX(0,$BF256+IF($P256=AE$3,$R256,0)+IF($S256=AE$3,$U256,0)-$AE256))</f>
        <v/>
      </c>
      <c r="BH256">
        <f>IF($C256="",0,MAX(0,$BG256+IF($P256=AF$3,$R256,0)+IF($S256=AF$3,$U256,0)-$AF256))</f>
        <v/>
      </c>
      <c r="BI256">
        <f>IF($C256="",0,MAX(0,$BH256+IF($P256=AG$3,$R256,0)+IF($S256=AG$3,$U256,0)-$AG256))</f>
        <v/>
      </c>
      <c r="BJ256">
        <f>IF($C256="",0,MAX(0,$BI256+IF($P256=AH$3,$R256,0)+IF($S256=AH$3,$U256,0)-$AH256))</f>
        <v/>
      </c>
      <c r="BK256">
        <f>IF($C256="",0,MAX(0,$BJ256+IF($P256=AI$3,$R256,0)+IF($S256=AI$3,$U256,0)-$AI256))</f>
        <v/>
      </c>
      <c r="BL256">
        <f>IF($C256="",99,IF(AND($AX256&lt;1,V$3&gt;=MAX(N($P256),N($S256))),0,99))</f>
        <v/>
      </c>
      <c r="BM256">
        <f>IF($C256="",99,IF(AND($AY256&lt;1,W$3&gt;=MAX(N($P256),N($S256))),1,99))</f>
        <v/>
      </c>
      <c r="BN256">
        <f>IF($C256="",99,IF(AND($AZ256&lt;1,X$3&gt;=MAX(N($P256),N($S256))),2,99))</f>
        <v/>
      </c>
      <c r="BO256">
        <f>IF($C256="",99,IF(AND($BA256&lt;1,Y$3&gt;=MAX(N($P256),N($S256))),3,99))</f>
        <v/>
      </c>
      <c r="BP256">
        <f>IF($C256="",99,IF(AND($BB256&lt;1,Z$3&gt;=MAX(N($P256),N($S256))),4,99))</f>
        <v/>
      </c>
      <c r="BQ256">
        <f>IF($C256="",99,IF(AND($BC256&lt;1,AA$3&gt;=MAX(N($P256),N($S256))),5,99))</f>
        <v/>
      </c>
      <c r="BR256">
        <f>IF($C256="",99,IF(AND($BD256&lt;1,AB$3&gt;=MAX(N($P256),N($S256))),6,99))</f>
        <v/>
      </c>
      <c r="BS256">
        <f>IF($C256="",99,IF(AND($BE256&lt;1,AC$3&gt;=MAX(N($P256),N($S256))),7,99))</f>
        <v/>
      </c>
      <c r="BT256">
        <f>IF($C256="",99,IF(AND($BF256&lt;1,AD$3&gt;=MAX(N($P256),N($S256))),8,99))</f>
        <v/>
      </c>
      <c r="BU256">
        <f>IF($C256="",99,IF(AND($BG256&lt;1,AE$3&gt;=MAX(N($P256),N($S256))),9,99))</f>
        <v/>
      </c>
      <c r="BV256">
        <f>IF($C256="",99,IF(AND($BH256&lt;1,AF$3&gt;=MAX(N($P256),N($S256))),10,99))</f>
        <v/>
      </c>
      <c r="BW256">
        <f>IF($C256="",99,IF(AND($BI256&lt;1,AG$3&gt;=MAX(N($P256),N($S256))),11,99))</f>
        <v/>
      </c>
      <c r="BX256">
        <f>IF($C256="",99,IF(AND($BJ256&lt;1,AH$3&gt;=MAX(N($P256),N($S256))),12,99))</f>
        <v/>
      </c>
      <c r="BY256">
        <f>IF($C256="",99,IF(AND($BK256&lt;1,AI$3&gt;=MAX(N($P256),N($S256))),13,99))</f>
        <v/>
      </c>
      <c r="BZ256">
        <f>IF(OR($C256="",$M256=""),"",COUNTIF($AJ256:$AW256,"&gt;=1"))</f>
        <v/>
      </c>
      <c r="CA256" s="90">
        <f>IF($BZ256="","",IF($BZ256&gt;=14,"",'設定'!$C$6+$BZ256))</f>
        <v/>
      </c>
      <c r="CB256">
        <f>IF(OR($C256="",$M256=""),"",MIN($BL256:$BY256))</f>
        <v/>
      </c>
      <c r="CC256" s="90">
        <f>IF($CB256="","",IF($CB256&gt;=99,"",'設定'!$C$6+$CB256))</f>
        <v/>
      </c>
      <c r="CD256">
        <f>IF(OR($C256="",$M256=""),"",AVERAGE($V256:$AI256))</f>
        <v/>
      </c>
      <c r="CE256">
        <f>IF($C256="","",IFERROR(IF(MATCH(IF(ISNUMBER($P256),$P256,'設定'!$C$6+N('設定'!$C$7)),$V$3:$AI$3,0)=1,MAX(0,N($L256)),INDEX($AJ256:$AW256,MATCH(IF(ISNUMBER($P256),$P256,'設定'!$C$6+N('設定'!$C$7)),$V$3:$AI$3,0)-1)),""))</f>
        <v/>
      </c>
      <c r="CF256">
        <f>IF(OR($C256="",$O256="",$CE256=""),"",IF($O256-$CE256&lt;=0,0,ROUNDUP(($O256-$CE256)/$G256,0)))</f>
        <v/>
      </c>
      <c r="CG256">
        <f>IF(OR($C256="",$CF256="",NOT(ISNUMBER($Q256))),0,MAX(0,$Q256-$CF256))</f>
        <v/>
      </c>
      <c r="CH256">
        <f>IF(OR($C256="",$O256="",$U256=0),0,IFERROR(ROUNDUP(MAX(0,IF(MATCH($S256,$V$3:$AI$3,0)=1,MAX(0,N($L256)),INDEX($AX256:$BK256,MATCH($S256,$V$3:$AI$3,0)-1))+$U256-$O256)/$G256,0),0))</f>
        <v/>
      </c>
      <c r="CI256">
        <f>IF($C256="","",IF(AND($P256="",$Q256=""),"",IF($P256="","⚠ 入庫日を ▼ から選んでください",IF(NOT(ISNUMBER($P256)),"⚠ 入庫日は ▼ から選んでください",IF($P256&lt;N('設定'!$C$6),"⚠ 入庫日が過去です（もう在庫に入っています）→ 消してください",IF($P256&gt;N('設定'!$C$6)+13,"⚠ 入庫日が14日より先です",IF(N($Q256)&lt;=0,"⚠ 入庫数を入れてください",IF($CG256&gt;0,"⚠ 目安より "&amp;$CG256&amp;" 多い（定数を超える）→ 減らす",""))))))))</f>
        <v/>
      </c>
      <c r="CJ256">
        <f>IF($C256="","",IF(AND($S256="",$T256=""),"",IF($S256="","⚠ 2便目：入庫日を ▼ から選んでください",IF(NOT(ISNUMBER($S256)),"⚠ 2便目：入庫日は ▼ から選んでください",IF($S256&lt;N('設定'!$C$6),"⚠ 2便目：入庫日が過去です（もう在庫に入っています）→ 消してください",IF($S256&gt;N('設定'!$C$6)+13,"⚠ 2便目：入庫日が14日より先です",IF(N($T256)&lt;=0,"⚠ 2便目：入庫数を入れてください",IF($CH256&gt;0,"⚠ 2便目：定数を "&amp;$CH256&amp;" ケース超える → 減らす",""))))))))</f>
        <v/>
      </c>
      <c r="CK256">
        <f>IF(AND($CI256="",N($Q256)&gt;0,ISNUMBER($P256)),1,0)</f>
        <v/>
      </c>
      <c r="CL256">
        <f>IF(AND($CJ256="",N($T256)&gt;0,ISNUMBER($S256)),1,0)</f>
        <v/>
      </c>
      <c r="CM256">
        <f>IF(OR($CK256=1,$CL256=1),1,0)</f>
        <v/>
      </c>
      <c r="CN256">
        <f>IF($C256="",0,($CK256*$R256+$CL256*$U256)*N($H256))</f>
        <v/>
      </c>
      <c r="CO256">
        <f>IF($C256="","",IF($CC256="","入庫後は 14日以上もつ",IF($CC256-N('設定'!$C$7)&lt;='設定'!$C$6,"入庫後も "&amp;TEXT($CC256,"m/d")&amp;"("&amp;CHOOSE(WEEKDAY($CC256),"日","月","火","水","木","金","土")&amp;")"&amp;" に切れる　もう1便を至急発注","入庫後も "&amp;TEXT($CC256,"m/d")&amp;"("&amp;CHOOSE(WEEKDAY($CC256),"日","月","火","水","木","金","土")&amp;")"&amp;" に切れる　"&amp;TEXT($CC256-N('設定'!$C$7),"m/d")&amp;"("&amp;CHOOSE(WEEKDAY($CC256-N('設定'!$C$7)),"日","月","火","水","木","金","土")&amp;")"&amp;" までに次を発注")))</f>
        <v/>
      </c>
      <c r="CP256">
        <f>IF($C256="","",IF('設定'!$C$6="","？ ①在庫を貼る に今日のCSVが貼られていない",IF($CS256=1,"－ 今日のCSVに無い（終売？）",IF($L256&lt;0,"● 在庫がマイナス　数えて「数えた在庫」に入れる",IF($L256=0,"● 在庫なし　至急発注",IF($M256="","？ 減り数が未設定（商品マスタ）",IF($B$3=0,"？ 動員が未入力（動員を入れる）",IF($CA256="","○ 14日以上もつ",IF($BZ256&lt;N('設定'!$C$7),"● "&amp;TEXT($CA256,"m/d")&amp;"("&amp;CHOOSE(WEEKDAY($CA256),"日","月","火","水","木","金","土")&amp;")"&amp;" に切れる　至急発注",IF($BZ256=N('設定'!$C$7),"● "&amp;TEXT($CA256,"m/d")&amp;"("&amp;CHOOSE(WEEKDAY($CA256),"日","月","火","水","木","金","土")&amp;")"&amp;" に切れる　今日発注","△ "&amp;TEXT($CA256,"m/d")&amp;"("&amp;CHOOSE(WEEKDAY($CA256),"日","月","火","水","木","金","土")&amp;")"&amp;" に切れる　"&amp;TEXT($CA256-N('設定'!$C$7),"m/d")&amp;"("&amp;CHOOSE(WEEKDAY($CA256-N('設定'!$C$7)),"日","月","火","水","木","金","土")&amp;")"&amp;" までに発注"))))))))))</f>
        <v/>
      </c>
      <c r="CQ256">
        <f>IF($C256="","",IF(AND($P256="",$Q256="",$S256="",$T256=""),"",IF(AND($P256="",$Q256=""),"⚠ 先に1便目（左の入庫日・入庫数）に入れてください",IF($CI256&lt;&gt;"",$CI256,IF($CJ256&lt;&gt;"",$CJ256,IF($M256="","？ 減り数が未設定（発注書には載ります）",IF($B$3=0,"？ 動員が未入力（発注書には載ります）",IF(AND($CA256&lt;&gt;"",$P256&gt;$CA256),IF($P256&gt;'設定'!$C$6+N('設定'!$C$7),"● "&amp;TEXT($P256,"m/d")&amp;"("&amp;CHOOSE(WEEKDAY($P256),"日","月","火","水","木","金","土")&amp;")"&amp;" の入庫では間に合わない（"&amp;TEXT($CA256,"m/d")&amp;"("&amp;CHOOSE(WEEKDAY($CA256),"日","月","火","水","木","金","土")&amp;")"&amp;" に切れる）　入庫日を早める","△ 欠品 "&amp;TEXT($CA256,"m/d")&amp;"("&amp;CHOOSE(WEEKDAY($CA256),"日","月","火","水","木","金","土")&amp;")"&amp;"〜"&amp;TEXT($P256-1,"m/d")&amp;"("&amp;CHOOSE(WEEKDAY($P256-1),"日","月","火","水","木","金","土")&amp;")"&amp;"　"&amp;$CO256),IF($CC256="","○ "&amp;TEXT($P256,"m/d")&amp;"("&amp;CHOOSE(WEEKDAY($P256),"日","月","火","水","木","金","土")&amp;")"&amp;" 入庫で 14日以上もつ",IF($CC256-N('設定'!$C$7)&lt;='設定'!$C$6,"● 入庫しても "&amp;TEXT($CC256,"m/d")&amp;"("&amp;CHOOSE(WEEKDAY($CC256),"日","月","火","水","木","金","土")&amp;")"&amp;" に切れる　もう1便を至急発注（2便目に入れる）","△ 入庫しても "&amp;TEXT($CC256,"m/d")&amp;"("&amp;CHOOSE(WEEKDAY($CC256),"日","月","火","水","木","金","土")&amp;")"&amp;" に切れる　"&amp;TEXT($CC256-N('設定'!$C$7),"m/d")&amp;"("&amp;CHOOSE(WEEKDAY($CC256-N('設定'!$C$7)),"日","月","火","水","木","金","土")&amp;")"&amp;" までに次を発注（2便目に入れる）"))))))))))</f>
        <v/>
      </c>
      <c r="CR256">
        <f>IF($C256="","",IF($G256&gt;1,"ｹｰｽ("&amp;$G256&amp;"入)","個"))</f>
        <v/>
      </c>
      <c r="CS256">
        <f>IF($C256="",0,IF(COUNTIFS('①在庫を貼る'!$V$6:$V$10005,'設定'!$C$4,'①在庫を貼る'!$W$6:$W$10005,$C256)=0,1,0))</f>
        <v/>
      </c>
      <c r="CT256">
        <f>IF(AND($CK256=1,OR('③発注書'!$C$4="すべて",'③発注書'!$C$4="",$F256='③発注書'!$C$4)),N($CT255)+1,N($CT255))</f>
        <v/>
      </c>
      <c r="CU256">
        <f>IF(AND($CL256=1,OR('③発注書'!$C$4="すべて",'③発注書'!$C$4="",$F256='③発注書'!$C$4)),N($CU255)+1,N($CU255))</f>
        <v/>
      </c>
      <c r="CV256">
        <f>IF($C256="",0,IF(COUNTIFS('①在庫を貼る'!$V$6:$V$10005,'設定'!$C$4,'①在庫を貼る'!$W$6:$W$10005,$C256)&gt;0,1,0))</f>
        <v/>
      </c>
      <c r="CW256">
        <f>IF($C256="",0,IF(COUNTIFS('月1回_1ヶ月前の在庫'!$V$6:$V$10005,'設定'!$C$4,'月1回_1ヶ月前の在庫'!$W$6:$W$10005,$C256)&gt;0,1,0))</f>
        <v/>
      </c>
      <c r="CX256">
        <f>IF($C256="",0,IF(COUNTIFS('月1回_2ヶ月前の在庫'!$V$6:$V$10005,'設定'!$C$4,'月1回_2ヶ月前の在庫'!$W$6:$W$10005,$C256)&gt;0,1,0))</f>
        <v/>
      </c>
      <c r="CY256">
        <f>IF(OR($C256="",'設定'!$C$12=""),"",IF('設定'!$C$13="",IF(AND($CV256=1,$CW256=0),"新商品（今月から）",IF(AND($CV256=0,$CW256=1),"終売（今月から）","")),IF(AND($CV256=1,$CW256=0,$CX256=0),"新商品（今月から）",IF(AND($CV256=1,$CW256=1,$CX256=0),"新商品（先月から）",IF(AND($CV256=0,$CW256=1,$CX256=1),"終売（今月から）",IF(AND($CV256=0,$CW256=0,$CX256=1),"終売（先月から）",IF(AND($CV256=1,$CW256=0,$CX256=1),"復活（先月は無し）","")))))))</f>
        <v/>
      </c>
    </row>
    <row r="257">
      <c r="B257">
        <f>IF(252&lt;='設定'!$C$11,252,"")</f>
        <v/>
      </c>
      <c r="C257">
        <f>IF($B257="","",IF($B257&lt;='設定'!$C$20,INDEX('商品マスタ'!$B$6:$B$1005,MATCH($B257,'商品マスタ'!$M$6:$M$1005,0)),IF($B257&lt;='設定'!$C$20+'設定'!$C$17,INDEX('①在庫を貼る'!$W$6:$W$10005,MATCH($B257-'設定'!$C$20,'①在庫を貼る'!$U$6:$U$10005,0)),IF($B257&lt;='設定'!$C$20+'設定'!$C$17+'設定'!$C$18,INDEX('月1回_1ヶ月前の在庫'!$W$6:$W$10005,MATCH($B257-'設定'!$C$20-'設定'!$C$17,'月1回_1ヶ月前の在庫'!$U$6:$U$10005,0)),INDEX('月1回_2ヶ月前の在庫'!$W$6:$W$10005,MATCH($B257-'設定'!$C$20-'設定'!$C$17-'設定'!$C$18,'月1回_2ヶ月前の在庫'!$U$6:$U$10005,0))))))</f>
        <v/>
      </c>
      <c r="D257">
        <f>IF($C257="","",IFERROR(IF(INDEX('商品マスタ'!$C$6:$C$1005,MATCH($C257,'商品マスタ'!$B$6:$B$1005,0))="",IFERROR(INDEX('①在庫を貼る'!$J$6:$J$10005,MATCH($C257,'①在庫を貼る'!$W$6:$W$10005,0)),IFERROR(INDEX('月1回_1ヶ月前の在庫'!$J$6:$J$10005,MATCH($C257,'月1回_1ヶ月前の在庫'!$W$6:$W$10005,0)),IFERROR(INDEX('月1回_2ヶ月前の在庫'!$J$6:$J$10005,MATCH($C257,'月1回_2ヶ月前の在庫'!$W$6:$W$10005,0)),""))),INDEX('商品マスタ'!$C$6:$C$1005,MATCH($C257,'商品マスタ'!$B$6:$B$1005,0))),IFERROR(INDEX('①在庫を貼る'!$J$6:$J$10005,MATCH($C257,'①在庫を貼る'!$W$6:$W$10005,0)),IFERROR(INDEX('月1回_1ヶ月前の在庫'!$J$6:$J$10005,MATCH($C257,'月1回_1ヶ月前の在庫'!$W$6:$W$10005,0)),IFERROR(INDEX('月1回_2ヶ月前の在庫'!$J$6:$J$10005,MATCH($C257,'月1回_2ヶ月前の在庫'!$W$6:$W$10005,0)),"")))))</f>
        <v/>
      </c>
      <c r="E257">
        <f>IF($C257="","",IFERROR(IF(INDEX('商品マスタ'!$D$6:$D$1005,MATCH($C257,'商品マスタ'!$B$6:$B$1005,0))="",IFERROR(INDEX('①在庫を貼る'!$H$6:$H$10005,MATCH($C257,'①在庫を貼る'!$W$6:$W$10005,0)),IFERROR(INDEX('月1回_1ヶ月前の在庫'!$H$6:$H$10005,MATCH($C257,'月1回_1ヶ月前の在庫'!$W$6:$W$10005,0)),IFERROR(INDEX('月1回_2ヶ月前の在庫'!$H$6:$H$10005,MATCH($C257,'月1回_2ヶ月前の在庫'!$W$6:$W$10005,0)),""))),INDEX('商品マスタ'!$D$6:$D$1005,MATCH($C257,'商品マスタ'!$B$6:$B$1005,0))),IFERROR(INDEX('①在庫を貼る'!$H$6:$H$10005,MATCH($C257,'①在庫を貼る'!$W$6:$W$10005,0)),IFERROR(INDEX('月1回_1ヶ月前の在庫'!$H$6:$H$10005,MATCH($C257,'月1回_1ヶ月前の在庫'!$W$6:$W$10005,0)),IFERROR(INDEX('月1回_2ヶ月前の在庫'!$H$6:$H$10005,MATCH($C257,'月1回_2ヶ月前の在庫'!$W$6:$W$10005,0)),"")))))</f>
        <v/>
      </c>
      <c r="F257">
        <f>IF($C257="","",IFERROR(IF(INDEX('商品マスタ'!$E$6:$E$1005,MATCH($C257,'商品マスタ'!$B$6:$B$1005,0))="",IFERROR(INDEX('①在庫を貼る'!$E$6:$E$10005,MATCH($C257,'①在庫を貼る'!$W$6:$W$10005,0)),IFERROR(INDEX('月1回_1ヶ月前の在庫'!$E$6:$E$10005,MATCH($C257,'月1回_1ヶ月前の在庫'!$W$6:$W$10005,0)),IFERROR(INDEX('月1回_2ヶ月前の在庫'!$E$6:$E$10005,MATCH($C257,'月1回_2ヶ月前の在庫'!$W$6:$W$10005,0)),""))),INDEX('商品マスタ'!$E$6:$E$1005,MATCH($C257,'商品マスタ'!$B$6:$B$1005,0))),IFERROR(INDEX('①在庫を貼る'!$E$6:$E$10005,MATCH($C257,'①在庫を貼る'!$W$6:$W$10005,0)),IFERROR(INDEX('月1回_1ヶ月前の在庫'!$E$6:$E$10005,MATCH($C257,'月1回_1ヶ月前の在庫'!$W$6:$W$10005,0)),IFERROR(INDEX('月1回_2ヶ月前の在庫'!$E$6:$E$10005,MATCH($C257,'月1回_2ヶ月前の在庫'!$W$6:$W$10005,0)),"")))))</f>
        <v/>
      </c>
      <c r="G257">
        <f>IF($C257="","",MAX(1,N(IFERROR(IF(INDEX('商品マスタ'!$F$6:$F$1005,MATCH($C257,'商品マスタ'!$B$6:$B$1005,0))="",IF(COUNTIFS('①在庫を貼る'!$V$6:$V$10005,'設定'!$C$4,'①在庫を貼る'!$W$6:$W$10005,$C257)&gt;0,SUMIFS('①在庫を貼る'!$K$6:$K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K$6:$K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K$6:$K$10005,'月1回_2ヶ月前の在庫'!$V$6:$V$10005,'設定'!$C$4,'月1回_2ヶ月前の在庫'!$W$6:$W$10005,$C257)/COUNTIFS('月1回_2ヶ月前の在庫'!$V$6:$V$10005,'設定'!$C$4,'月1回_2ヶ月前の在庫'!$W$6:$W$10005,$C257),0))),INDEX('商品マスタ'!$F$6:$F$1005,MATCH($C257,'商品マスタ'!$B$6:$B$1005,0))),IF(COUNTIFS('①在庫を貼る'!$V$6:$V$10005,'設定'!$C$4,'①在庫を貼る'!$W$6:$W$10005,$C257)&gt;0,SUMIFS('①在庫を貼る'!$K$6:$K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K$6:$K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K$6:$K$10005,'月1回_2ヶ月前の在庫'!$V$6:$V$10005,'設定'!$C$4,'月1回_2ヶ月前の在庫'!$W$6:$W$10005,$C257)/COUNTIFS('月1回_2ヶ月前の在庫'!$V$6:$V$10005,'設定'!$C$4,'月1回_2ヶ月前の在庫'!$W$6:$W$10005,$C257),0)))))))</f>
        <v/>
      </c>
      <c r="H257">
        <f>IF($C257="","",N(IFERROR(IF(INDEX('商品マスタ'!$G$6:$G$1005,MATCH($C257,'商品マスタ'!$B$6:$B$1005,0))="",IF(COUNTIFS('①在庫を貼る'!$V$6:$V$10005,'設定'!$C$4,'①在庫を貼る'!$W$6:$W$10005,$C257)&gt;0,SUMIFS('①在庫を貼る'!$Q$6:$Q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Q$6:$Q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Q$6:$Q$10005,'月1回_2ヶ月前の在庫'!$V$6:$V$10005,'設定'!$C$4,'月1回_2ヶ月前の在庫'!$W$6:$W$10005,$C257)/COUNTIFS('月1回_2ヶ月前の在庫'!$V$6:$V$10005,'設定'!$C$4,'月1回_2ヶ月前の在庫'!$W$6:$W$10005,$C257),0))),INDEX('商品マスタ'!$G$6:$G$1005,MATCH($C257,'商品マスタ'!$B$6:$B$1005,0))),IF(COUNTIFS('①在庫を貼る'!$V$6:$V$10005,'設定'!$C$4,'①在庫を貼る'!$W$6:$W$10005,$C257)&gt;0,SUMIFS('①在庫を貼る'!$Q$6:$Q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Q$6:$Q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Q$6:$Q$10005,'月1回_2ヶ月前の在庫'!$V$6:$V$10005,'設定'!$C$4,'月1回_2ヶ月前の在庫'!$W$6:$W$10005,$C257)/COUNTIFS('月1回_2ヶ月前の在庫'!$V$6:$V$10005,'設定'!$C$4,'月1回_2ヶ月前の在庫'!$W$6:$W$10005,$C257),0))))))</f>
        <v/>
      </c>
      <c r="I257">
        <f>IF($C257="","",IF(COUNTIFS('①在庫を貼る'!$V$6:$V$10005,'設定'!$C$4,'①在庫を貼る'!$W$6:$W$10005,$C257)=0,"",SUMIFS('①在庫を貼る'!$N$6:$N$10005,'①在庫を貼る'!$V$6:$V$10005,'設定'!$C$4,'①在庫を貼る'!$W$6:$W$10005,$C257)))</f>
        <v/>
      </c>
      <c r="J257">
        <f>IF($C257="","",IF('②発注する'!$AD261="","",'②発注する'!$AD261))</f>
        <v/>
      </c>
      <c r="K257" s="90">
        <f>IF($C257="","",IF('②発注する'!$AE261="","",'②発注する'!$AE261))</f>
        <v/>
      </c>
      <c r="L257">
        <f>IF($C257="","",IF(AND(ISNUMBER($J257),ISNUMBER($K257),$K257&gt;='設定'!$C$6),$J257,N($I257)))</f>
        <v/>
      </c>
      <c r="M257">
        <f>IF($C257="","",IFERROR(IF(N(INDEX('商品マスタ'!$J$6:$J$1005,MATCH($C257,'商品マスタ'!$B$6:$B$1005,0)))&gt;0,INDEX('商品マスタ'!$J$6:$J$1005,MATCH($C257,'商品マスタ'!$B$6:$B$1005,0)),""),""))</f>
        <v/>
      </c>
      <c r="N257">
        <f>IF($C257="","",IFERROR(IF(N(INDEX('商品マスタ'!$H$6:$H$1005,MATCH($C257,'商品マスタ'!$B$6:$B$1005,0)))&gt;0,INDEX('商品マスタ'!$H$6:$H$1005,MATCH($C257,'商品マスタ'!$B$6:$B$1005,0)),""),""))</f>
        <v/>
      </c>
      <c r="O257">
        <f>IF($C257="","",IF($N257&lt;&gt;"",$N257*$G257,IF(N(IF(COUNTIFS('①在庫を貼る'!$V$6:$V$10005,'設定'!$C$4,'①在庫を貼る'!$W$6:$W$10005,$C257)&gt;0,SUMIFS('①在庫を貼る'!$O$6:$O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O$6:$O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O$6:$O$10005,'月1回_2ヶ月前の在庫'!$V$6:$V$10005,'設定'!$C$4,'月1回_2ヶ月前の在庫'!$W$6:$W$10005,$C257)/COUNTIFS('月1回_2ヶ月前の在庫'!$V$6:$V$10005,'設定'!$C$4,'月1回_2ヶ月前の在庫'!$W$6:$W$10005,$C257),0))))&gt;0,N(IF(COUNTIFS('①在庫を貼る'!$V$6:$V$10005,'設定'!$C$4,'①在庫を貼る'!$W$6:$W$10005,$C257)&gt;0,SUMIFS('①在庫を貼る'!$O$6:$O$10005,'①在庫を貼る'!$V$6:$V$10005,'設定'!$C$4,'①在庫を貼る'!$W$6:$W$10005,$C257)/COUNTIFS('①在庫を貼る'!$V$6:$V$10005,'設定'!$C$4,'①在庫を貼る'!$W$6:$W$10005,$C257),IF(COUNTIFS('月1回_1ヶ月前の在庫'!$V$6:$V$10005,'設定'!$C$4,'月1回_1ヶ月前の在庫'!$W$6:$W$10005,$C257)&gt;0,SUMIFS('月1回_1ヶ月前の在庫'!$O$6:$O$10005,'月1回_1ヶ月前の在庫'!$V$6:$V$10005,'設定'!$C$4,'月1回_1ヶ月前の在庫'!$W$6:$W$10005,$C257)/COUNTIFS('月1回_1ヶ月前の在庫'!$V$6:$V$10005,'設定'!$C$4,'月1回_1ヶ月前の在庫'!$W$6:$W$10005,$C257),IF(COUNTIFS('月1回_2ヶ月前の在庫'!$V$6:$V$10005,'設定'!$C$4,'月1回_2ヶ月前の在庫'!$W$6:$W$10005,$C257)&gt;0,SUMIFS('月1回_2ヶ月前の在庫'!$O$6:$O$10005,'月1回_2ヶ月前の在庫'!$V$6:$V$10005,'設定'!$C$4,'月1回_2ヶ月前の在庫'!$W$6:$W$10005,$C257)/COUNTIFS('月1回_2ヶ月前の在庫'!$V$6:$V$10005,'設定'!$C$4,'月1回_2ヶ月前の在庫'!$W$6:$W$10005,$C257),0)))),"")))</f>
        <v/>
      </c>
      <c r="P257" s="90">
        <f>IF($C257="","",IF('②発注する'!$I261="","",'②発注する'!$I261))</f>
        <v/>
      </c>
      <c r="Q257">
        <f>IF($C257="","",IF('②発注する'!$J261="","",'②発注する'!$J261))</f>
        <v/>
      </c>
      <c r="R257">
        <f>IF($C257="",0,IF(AND(ISNUMBER($P257),ISNUMBER($Q257)),MAX(0,$Q257)*$G257,0))</f>
        <v/>
      </c>
      <c r="S257" s="90">
        <f>IF($C257="","",IF('②発注する'!$M261="","",'②発注する'!$M261))</f>
        <v/>
      </c>
      <c r="T257">
        <f>IF($C257="","",IF('②発注する'!$N261="","",'②発注する'!$N261))</f>
        <v/>
      </c>
      <c r="U257">
        <f>IF($C257="",0,IF(AND(ISNUMBER($S257),ISNUMBER($T257)),MAX(0,$T257)*$G257,0))</f>
        <v/>
      </c>
      <c r="V257">
        <f>IF($C257="",0,IF($M257="",0,MAX(0,$M257)*MAX(0,V$4)/100))</f>
        <v/>
      </c>
      <c r="W257">
        <f>IF($C257="",0,IF($M257="",0,MAX(0,$M257)*MAX(0,W$4)/100))</f>
        <v/>
      </c>
      <c r="X257">
        <f>IF($C257="",0,IF($M257="",0,MAX(0,$M257)*MAX(0,X$4)/100))</f>
        <v/>
      </c>
      <c r="Y257">
        <f>IF($C257="",0,IF($M257="",0,MAX(0,$M257)*MAX(0,Y$4)/100))</f>
        <v/>
      </c>
      <c r="Z257">
        <f>IF($C257="",0,IF($M257="",0,MAX(0,$M257)*MAX(0,Z$4)/100))</f>
        <v/>
      </c>
      <c r="AA257">
        <f>IF($C257="",0,IF($M257="",0,MAX(0,$M257)*MAX(0,AA$4)/100))</f>
        <v/>
      </c>
      <c r="AB257">
        <f>IF($C257="",0,IF($M257="",0,MAX(0,$M257)*MAX(0,AB$4)/100))</f>
        <v/>
      </c>
      <c r="AC257">
        <f>IF($C257="",0,IF($M257="",0,MAX(0,$M257)*MAX(0,AC$4)/100))</f>
        <v/>
      </c>
      <c r="AD257">
        <f>IF($C257="",0,IF($M257="",0,MAX(0,$M257)*MAX(0,AD$4)/100))</f>
        <v/>
      </c>
      <c r="AE257">
        <f>IF($C257="",0,IF($M257="",0,MAX(0,$M257)*MAX(0,AE$4)/100))</f>
        <v/>
      </c>
      <c r="AF257">
        <f>IF($C257="",0,IF($M257="",0,MAX(0,$M257)*MAX(0,AF$4)/100))</f>
        <v/>
      </c>
      <c r="AG257">
        <f>IF($C257="",0,IF($M257="",0,MAX(0,$M257)*MAX(0,AG$4)/100))</f>
        <v/>
      </c>
      <c r="AH257">
        <f>IF($C257="",0,IF($M257="",0,MAX(0,$M257)*MAX(0,AH$4)/100))</f>
        <v/>
      </c>
      <c r="AI257">
        <f>IF($C257="",0,IF($M257="",0,MAX(0,$M257)*MAX(0,AI$4)/100))</f>
        <v/>
      </c>
      <c r="AJ257">
        <f>IF($C257="",0,MAX(0,MAX(0,N($L257))-$V257))</f>
        <v/>
      </c>
      <c r="AK257">
        <f>IF($C257="",0,MAX(0,$AJ257-$W257))</f>
        <v/>
      </c>
      <c r="AL257">
        <f>IF($C257="",0,MAX(0,$AK257-$X257))</f>
        <v/>
      </c>
      <c r="AM257">
        <f>IF($C257="",0,MAX(0,$AL257-$Y257))</f>
        <v/>
      </c>
      <c r="AN257">
        <f>IF($C257="",0,MAX(0,$AM257-$Z257))</f>
        <v/>
      </c>
      <c r="AO257">
        <f>IF($C257="",0,MAX(0,$AN257-$AA257))</f>
        <v/>
      </c>
      <c r="AP257">
        <f>IF($C257="",0,MAX(0,$AO257-$AB257))</f>
        <v/>
      </c>
      <c r="AQ257">
        <f>IF($C257="",0,MAX(0,$AP257-$AC257))</f>
        <v/>
      </c>
      <c r="AR257">
        <f>IF($C257="",0,MAX(0,$AQ257-$AD257))</f>
        <v/>
      </c>
      <c r="AS257">
        <f>IF($C257="",0,MAX(0,$AR257-$AE257))</f>
        <v/>
      </c>
      <c r="AT257">
        <f>IF($C257="",0,MAX(0,$AS257-$AF257))</f>
        <v/>
      </c>
      <c r="AU257">
        <f>IF($C257="",0,MAX(0,$AT257-$AG257))</f>
        <v/>
      </c>
      <c r="AV257">
        <f>IF($C257="",0,MAX(0,$AU257-$AH257))</f>
        <v/>
      </c>
      <c r="AW257">
        <f>IF($C257="",0,MAX(0,$AV257-$AI257))</f>
        <v/>
      </c>
      <c r="AX257">
        <f>IF($C257="",0,MAX(0,MAX(0,N($L257))+IF($P257=V$3,$R257,0)+IF($S257=V$3,$U257,0)-$V257))</f>
        <v/>
      </c>
      <c r="AY257">
        <f>IF($C257="",0,MAX(0,$AX257+IF($P257=W$3,$R257,0)+IF($S257=W$3,$U257,0)-$W257))</f>
        <v/>
      </c>
      <c r="AZ257">
        <f>IF($C257="",0,MAX(0,$AY257+IF($P257=X$3,$R257,0)+IF($S257=X$3,$U257,0)-$X257))</f>
        <v/>
      </c>
      <c r="BA257">
        <f>IF($C257="",0,MAX(0,$AZ257+IF($P257=Y$3,$R257,0)+IF($S257=Y$3,$U257,0)-$Y257))</f>
        <v/>
      </c>
      <c r="BB257">
        <f>IF($C257="",0,MAX(0,$BA257+IF($P257=Z$3,$R257,0)+IF($S257=Z$3,$U257,0)-$Z257))</f>
        <v/>
      </c>
      <c r="BC257">
        <f>IF($C257="",0,MAX(0,$BB257+IF($P257=AA$3,$R257,0)+IF($S257=AA$3,$U257,0)-$AA257))</f>
        <v/>
      </c>
      <c r="BD257">
        <f>IF($C257="",0,MAX(0,$BC257+IF($P257=AB$3,$R257,0)+IF($S257=AB$3,$U257,0)-$AB257))</f>
        <v/>
      </c>
      <c r="BE257">
        <f>IF($C257="",0,MAX(0,$BD257+IF($P257=AC$3,$R257,0)+IF($S257=AC$3,$U257,0)-$AC257))</f>
        <v/>
      </c>
      <c r="BF257">
        <f>IF($C257="",0,MAX(0,$BE257+IF($P257=AD$3,$R257,0)+IF($S257=AD$3,$U257,0)-$AD257))</f>
        <v/>
      </c>
      <c r="BG257">
        <f>IF($C257="",0,MAX(0,$BF257+IF($P257=AE$3,$R257,0)+IF($S257=AE$3,$U257,0)-$AE257))</f>
        <v/>
      </c>
      <c r="BH257">
        <f>IF($C257="",0,MAX(0,$BG257+IF($P257=AF$3,$R257,0)+IF($S257=AF$3,$U257,0)-$AF257))</f>
        <v/>
      </c>
      <c r="BI257">
        <f>IF($C257="",0,MAX(0,$BH257+IF($P257=AG$3,$R257,0)+IF($S257=AG$3,$U257,0)-$AG257))</f>
        <v/>
      </c>
      <c r="BJ257">
        <f>IF($C257="",0,MAX(0,$BI257+IF($P257=AH$3,$R257,0)+IF($S257=AH$3,$U257,0)-$AH257))</f>
        <v/>
      </c>
      <c r="BK257">
        <f>IF($C257="",0,MAX(0,$BJ257+IF($P257=AI$3,$R257,0)+IF($S257=AI$3,$U257,0)-$AI257))</f>
        <v/>
      </c>
      <c r="BL257">
        <f>IF($C257="",99,IF(AND($AX257&lt;1,V$3&gt;=MAX(N($P257),N($S257))),0,99))</f>
        <v/>
      </c>
      <c r="BM257">
        <f>IF($C257="",99,IF(AND($AY257&lt;1,W$3&gt;=MAX(N($P257),N($S257))),1,99))</f>
        <v/>
      </c>
      <c r="BN257">
        <f>IF($C257="",99,IF(AND($AZ257&lt;1,X$3&gt;=MAX(N($P257),N($S257))),2,99))</f>
        <v/>
      </c>
      <c r="BO257">
        <f>IF($C257="",99,IF(AND($BA257&lt;1,Y$3&gt;=MAX(N($P257),N($S257))),3,99))</f>
        <v/>
      </c>
      <c r="BP257">
        <f>IF($C257="",99,IF(AND($BB257&lt;1,Z$3&gt;=MAX(N($P257),N($S257))),4,99))</f>
        <v/>
      </c>
      <c r="BQ257">
        <f>IF($C257="",99,IF(AND($BC257&lt;1,AA$3&gt;=MAX(N($P257),N($S257))),5,99))</f>
        <v/>
      </c>
      <c r="BR257">
        <f>IF($C257="",99,IF(AND($BD257&lt;1,AB$3&gt;=MAX(N($P257),N($S257))),6,99))</f>
        <v/>
      </c>
      <c r="BS257">
        <f>IF($C257="",99,IF(AND($BE257&lt;1,AC$3&gt;=MAX(N($P257),N($S257))),7,99))</f>
        <v/>
      </c>
      <c r="BT257">
        <f>IF($C257="",99,IF(AND($BF257&lt;1,AD$3&gt;=MAX(N($P257),N($S257))),8,99))</f>
        <v/>
      </c>
      <c r="BU257">
        <f>IF($C257="",99,IF(AND($BG257&lt;1,AE$3&gt;=MAX(N($P257),N($S257))),9,99))</f>
        <v/>
      </c>
      <c r="BV257">
        <f>IF($C257="",99,IF(AND($BH257&lt;1,AF$3&gt;=MAX(N($P257),N($S257))),10,99))</f>
        <v/>
      </c>
      <c r="BW257">
        <f>IF($C257="",99,IF(AND($BI257&lt;1,AG$3&gt;=MAX(N($P257),N($S257))),11,99))</f>
        <v/>
      </c>
      <c r="BX257">
        <f>IF($C257="",99,IF(AND($BJ257&lt;1,AH$3&gt;=MAX(N($P257),N($S257))),12,99))</f>
        <v/>
      </c>
      <c r="BY257">
        <f>IF($C257="",99,IF(AND($BK257&lt;1,AI$3&gt;=MAX(N($P257),N($S257))),13,99))</f>
        <v/>
      </c>
      <c r="BZ257">
        <f>IF(OR($C257="",$M257=""),"",COUNTIF($AJ257:$AW257,"&gt;=1"))</f>
        <v/>
      </c>
      <c r="CA257" s="90">
        <f>IF($BZ257="","",IF($BZ257&gt;=14,"",'設定'!$C$6+$BZ257))</f>
        <v/>
      </c>
      <c r="CB257">
        <f>IF(OR($C257="",$M257=""),"",MIN($BL257:$BY257))</f>
        <v/>
      </c>
      <c r="CC257" s="90">
        <f>IF($CB257="","",IF($CB257&gt;=99,"",'設定'!$C$6+$CB257))</f>
        <v/>
      </c>
      <c r="CD257">
        <f>IF(OR($C257="",$M257=""),"",AVERAGE($V257:$AI257))</f>
        <v/>
      </c>
      <c r="CE257">
        <f>IF($C257="","",IFERROR(IF(MATCH(IF(ISNUMBER($P257),$P257,'設定'!$C$6+N('設定'!$C$7)),$V$3:$AI$3,0)=1,MAX(0,N($L257)),INDEX($AJ257:$AW257,MATCH(IF(ISNUMBER($P257),$P257,'設定'!$C$6+N('設定'!$C$7)),$V$3:$AI$3,0)-1)),""))</f>
        <v/>
      </c>
      <c r="CF257">
        <f>IF(OR($C257="",$O257="",$CE257=""),"",IF($O257-$CE257&lt;=0,0,ROUNDUP(($O257-$CE257)/$G257,0)))</f>
        <v/>
      </c>
      <c r="CG257">
        <f>IF(OR($C257="",$CF257="",NOT(ISNUMBER($Q257))),0,MAX(0,$Q257-$CF257))</f>
        <v/>
      </c>
      <c r="CH257">
        <f>IF(OR($C257="",$O257="",$U257=0),0,IFERROR(ROUNDUP(MAX(0,IF(MATCH($S257,$V$3:$AI$3,0)=1,MAX(0,N($L257)),INDEX($AX257:$BK257,MATCH($S257,$V$3:$AI$3,0)-1))+$U257-$O257)/$G257,0),0))</f>
        <v/>
      </c>
      <c r="CI257">
        <f>IF($C257="","",IF(AND($P257="",$Q257=""),"",IF($P257="","⚠ 入庫日を ▼ から選んでください",IF(NOT(ISNUMBER($P257)),"⚠ 入庫日は ▼ から選んでください",IF($P257&lt;N('設定'!$C$6),"⚠ 入庫日が過去です（もう在庫に入っています）→ 消してください",IF($P257&gt;N('設定'!$C$6)+13,"⚠ 入庫日が14日より先です",IF(N($Q257)&lt;=0,"⚠ 入庫数を入れてください",IF($CG257&gt;0,"⚠ 目安より "&amp;$CG257&amp;" 多い（定数を超える）→ 減らす",""))))))))</f>
        <v/>
      </c>
      <c r="CJ257">
        <f>IF($C257="","",IF(AND($S257="",$T257=""),"",IF($S257="","⚠ 2便目：入庫日を ▼ から選んでください",IF(NOT(ISNUMBER($S257)),"⚠ 2便目：入庫日は ▼ から選んでください",IF($S257&lt;N('設定'!$C$6),"⚠ 2便目：入庫日が過去です（もう在庫に入っています）→ 消してください",IF($S257&gt;N('設定'!$C$6)+13,"⚠ 2便目：入庫日が14日より先です",IF(N($T257)&lt;=0,"⚠ 2便目：入庫数を入れてください",IF($CH257&gt;0,"⚠ 2便目：定数を "&amp;$CH257&amp;" ケース超える → 減らす",""))))))))</f>
        <v/>
      </c>
      <c r="CK257">
        <f>IF(AND($CI257="",N($Q257)&gt;0,ISNUMBER($P257)),1,0)</f>
        <v/>
      </c>
      <c r="CL257">
        <f>IF(AND($CJ257="",N($T257)&gt;0,ISNUMBER($S257)),1,0)</f>
        <v/>
      </c>
      <c r="CM257">
        <f>IF(OR($CK257=1,$CL257=1),1,0)</f>
        <v/>
      </c>
      <c r="CN257">
        <f>IF($C257="",0,($CK257*$R257+$CL257*$U257)*N($H257))</f>
        <v/>
      </c>
      <c r="CO257">
        <f>IF($C257="","",IF($CC257="","入庫後は 14日以上もつ",IF($CC257-N('設定'!$C$7)&lt;='設定'!$C$6,"入庫後も "&amp;TEXT($CC257,"m/d")&amp;"("&amp;CHOOSE(WEEKDAY($CC257),"日","月","火","水","木","金","土")&amp;")"&amp;" に切れる　もう1便を至急発注","入庫後も "&amp;TEXT($CC257,"m/d")&amp;"("&amp;CHOOSE(WEEKDAY($CC257),"日","月","火","水","木","金","土")&amp;")"&amp;" に切れる　"&amp;TEXT($CC257-N('設定'!$C$7),"m/d")&amp;"("&amp;CHOOSE(WEEKDAY($CC257-N('設定'!$C$7)),"日","月","火","水","木","金","土")&amp;")"&amp;" までに次を発注")))</f>
        <v/>
      </c>
      <c r="CP257">
        <f>IF($C257="","",IF('設定'!$C$6="","？ ①在庫を貼る に今日のCSVが貼られていない",IF($CS257=1,"－ 今日のCSVに無い（終売？）",IF($L257&lt;0,"● 在庫がマイナス　数えて「数えた在庫」に入れる",IF($L257=0,"● 在庫なし　至急発注",IF($M257="","？ 減り数が未設定（商品マスタ）",IF($B$3=0,"？ 動員が未入力（動員を入れる）",IF($CA257="","○ 14日以上もつ",IF($BZ257&lt;N('設定'!$C$7),"● "&amp;TEXT($CA257,"m/d")&amp;"("&amp;CHOOSE(WEEKDAY($CA257),"日","月","火","水","木","金","土")&amp;")"&amp;" に切れる　至急発注",IF($BZ257=N('設定'!$C$7),"● "&amp;TEXT($CA257,"m/d")&amp;"("&amp;CHOOSE(WEEKDAY($CA257),"日","月","火","水","木","金","土")&amp;")"&amp;" に切れる　今日発注","△ "&amp;TEXT($CA257,"m/d")&amp;"("&amp;CHOOSE(WEEKDAY($CA257),"日","月","火","水","木","金","土")&amp;")"&amp;" に切れる　"&amp;TEXT($CA257-N('設定'!$C$7),"m/d")&amp;"("&amp;CHOOSE(WEEKDAY($CA257-N('設定'!$C$7)),"日","月","火","水","木","金","土")&amp;")"&amp;" までに発注"))))))))))</f>
        <v/>
      </c>
      <c r="CQ257">
        <f>IF($C257="","",IF(AND($P257="",$Q257="",$S257="",$T257=""),"",IF(AND($P257="",$Q257=""),"⚠ 先に1便目（左の入庫日・入庫数）に入れてください",IF($CI257&lt;&gt;"",$CI257,IF($CJ257&lt;&gt;"",$CJ257,IF($M257="","？ 減り数が未設定（発注書には載ります）",IF($B$3=0,"？ 動員が未入力（発注書には載ります）",IF(AND($CA257&lt;&gt;"",$P257&gt;$CA257),IF($P257&gt;'設定'!$C$6+N('設定'!$C$7),"● "&amp;TEXT($P257,"m/d")&amp;"("&amp;CHOOSE(WEEKDAY($P257),"日","月","火","水","木","金","土")&amp;")"&amp;" の入庫では間に合わない（"&amp;TEXT($CA257,"m/d")&amp;"("&amp;CHOOSE(WEEKDAY($CA257),"日","月","火","水","木","金","土")&amp;")"&amp;" に切れる）　入庫日を早める","△ 欠品 "&amp;TEXT($CA257,"m/d")&amp;"("&amp;CHOOSE(WEEKDAY($CA257),"日","月","火","水","木","金","土")&amp;")"&amp;"〜"&amp;TEXT($P257-1,"m/d")&amp;"("&amp;CHOOSE(WEEKDAY($P257-1),"日","月","火","水","木","金","土")&amp;")"&amp;"　"&amp;$CO257),IF($CC257="","○ "&amp;TEXT($P257,"m/d")&amp;"("&amp;CHOOSE(WEEKDAY($P257),"日","月","火","水","木","金","土")&amp;")"&amp;" 入庫で 14日以上もつ",IF($CC257-N('設定'!$C$7)&lt;='設定'!$C$6,"● 入庫しても "&amp;TEXT($CC257,"m/d")&amp;"("&amp;CHOOSE(WEEKDAY($CC257),"日","月","火","水","木","金","土")&amp;")"&amp;" に切れる　もう1便を至急発注（2便目に入れる）","△ 入庫しても "&amp;TEXT($CC257,"m/d")&amp;"("&amp;CHOOSE(WEEKDAY($CC257),"日","月","火","水","木","金","土")&amp;")"&amp;" に切れる　"&amp;TEXT($CC257-N('設定'!$C$7),"m/d")&amp;"("&amp;CHOOSE(WEEKDAY($CC257-N('設定'!$C$7)),"日","月","火","水","木","金","土")&amp;")"&amp;" までに次を発注（2便目に入れる）"))))))))))</f>
        <v/>
      </c>
      <c r="CR257">
        <f>IF($C257="","",IF($G257&gt;1,"ｹｰｽ("&amp;$G257&amp;"入)","個"))</f>
        <v/>
      </c>
      <c r="CS257">
        <f>IF($C257="",0,IF(COUNTIFS('①在庫を貼る'!$V$6:$V$10005,'設定'!$C$4,'①在庫を貼る'!$W$6:$W$10005,$C257)=0,1,0))</f>
        <v/>
      </c>
      <c r="CT257">
        <f>IF(AND($CK257=1,OR('③発注書'!$C$4="すべて",'③発注書'!$C$4="",$F257='③発注書'!$C$4)),N($CT256)+1,N($CT256))</f>
        <v/>
      </c>
      <c r="CU257">
        <f>IF(AND($CL257=1,OR('③発注書'!$C$4="すべて",'③発注書'!$C$4="",$F257='③発注書'!$C$4)),N($CU256)+1,N($CU256))</f>
        <v/>
      </c>
      <c r="CV257">
        <f>IF($C257="",0,IF(COUNTIFS('①在庫を貼る'!$V$6:$V$10005,'設定'!$C$4,'①在庫を貼る'!$W$6:$W$10005,$C257)&gt;0,1,0))</f>
        <v/>
      </c>
      <c r="CW257">
        <f>IF($C257="",0,IF(COUNTIFS('月1回_1ヶ月前の在庫'!$V$6:$V$10005,'設定'!$C$4,'月1回_1ヶ月前の在庫'!$W$6:$W$10005,$C257)&gt;0,1,0))</f>
        <v/>
      </c>
      <c r="CX257">
        <f>IF($C257="",0,IF(COUNTIFS('月1回_2ヶ月前の在庫'!$V$6:$V$10005,'設定'!$C$4,'月1回_2ヶ月前の在庫'!$W$6:$W$10005,$C257)&gt;0,1,0))</f>
        <v/>
      </c>
      <c r="CY257">
        <f>IF(OR($C257="",'設定'!$C$12=""),"",IF('設定'!$C$13="",IF(AND($CV257=1,$CW257=0),"新商品（今月から）",IF(AND($CV257=0,$CW257=1),"終売（今月から）","")),IF(AND($CV257=1,$CW257=0,$CX257=0),"新商品（今月から）",IF(AND($CV257=1,$CW257=1,$CX257=0),"新商品（先月から）",IF(AND($CV257=0,$CW257=1,$CX257=1),"終売（今月から）",IF(AND($CV257=0,$CW257=0,$CX257=1),"終売（先月から）",IF(AND($CV257=1,$CW257=0,$CX257=1),"復活（先月は無し）","")))))))</f>
        <v/>
      </c>
    </row>
    <row r="258">
      <c r="B258">
        <f>IF(253&lt;='設定'!$C$11,253,"")</f>
        <v/>
      </c>
      <c r="C258">
        <f>IF($B258="","",IF($B258&lt;='設定'!$C$20,INDEX('商品マスタ'!$B$6:$B$1005,MATCH($B258,'商品マスタ'!$M$6:$M$1005,0)),IF($B258&lt;='設定'!$C$20+'設定'!$C$17,INDEX('①在庫を貼る'!$W$6:$W$10005,MATCH($B258-'設定'!$C$20,'①在庫を貼る'!$U$6:$U$10005,0)),IF($B258&lt;='設定'!$C$20+'設定'!$C$17+'設定'!$C$18,INDEX('月1回_1ヶ月前の在庫'!$W$6:$W$10005,MATCH($B258-'設定'!$C$20-'設定'!$C$17,'月1回_1ヶ月前の在庫'!$U$6:$U$10005,0)),INDEX('月1回_2ヶ月前の在庫'!$W$6:$W$10005,MATCH($B258-'設定'!$C$20-'設定'!$C$17-'設定'!$C$18,'月1回_2ヶ月前の在庫'!$U$6:$U$10005,0))))))</f>
        <v/>
      </c>
      <c r="D258">
        <f>IF($C258="","",IFERROR(IF(INDEX('商品マスタ'!$C$6:$C$1005,MATCH($C258,'商品マスタ'!$B$6:$B$1005,0))="",IFERROR(INDEX('①在庫を貼る'!$J$6:$J$10005,MATCH($C258,'①在庫を貼る'!$W$6:$W$10005,0)),IFERROR(INDEX('月1回_1ヶ月前の在庫'!$J$6:$J$10005,MATCH($C258,'月1回_1ヶ月前の在庫'!$W$6:$W$10005,0)),IFERROR(INDEX('月1回_2ヶ月前の在庫'!$J$6:$J$10005,MATCH($C258,'月1回_2ヶ月前の在庫'!$W$6:$W$10005,0)),""))),INDEX('商品マスタ'!$C$6:$C$1005,MATCH($C258,'商品マスタ'!$B$6:$B$1005,0))),IFERROR(INDEX('①在庫を貼る'!$J$6:$J$10005,MATCH($C258,'①在庫を貼る'!$W$6:$W$10005,0)),IFERROR(INDEX('月1回_1ヶ月前の在庫'!$J$6:$J$10005,MATCH($C258,'月1回_1ヶ月前の在庫'!$W$6:$W$10005,0)),IFERROR(INDEX('月1回_2ヶ月前の在庫'!$J$6:$J$10005,MATCH($C258,'月1回_2ヶ月前の在庫'!$W$6:$W$10005,0)),"")))))</f>
        <v/>
      </c>
      <c r="E258">
        <f>IF($C258="","",IFERROR(IF(INDEX('商品マスタ'!$D$6:$D$1005,MATCH($C258,'商品マスタ'!$B$6:$B$1005,0))="",IFERROR(INDEX('①在庫を貼る'!$H$6:$H$10005,MATCH($C258,'①在庫を貼る'!$W$6:$W$10005,0)),IFERROR(INDEX('月1回_1ヶ月前の在庫'!$H$6:$H$10005,MATCH($C258,'月1回_1ヶ月前の在庫'!$W$6:$W$10005,0)),IFERROR(INDEX('月1回_2ヶ月前の在庫'!$H$6:$H$10005,MATCH($C258,'月1回_2ヶ月前の在庫'!$W$6:$W$10005,0)),""))),INDEX('商品マスタ'!$D$6:$D$1005,MATCH($C258,'商品マスタ'!$B$6:$B$1005,0))),IFERROR(INDEX('①在庫を貼る'!$H$6:$H$10005,MATCH($C258,'①在庫を貼る'!$W$6:$W$10005,0)),IFERROR(INDEX('月1回_1ヶ月前の在庫'!$H$6:$H$10005,MATCH($C258,'月1回_1ヶ月前の在庫'!$W$6:$W$10005,0)),IFERROR(INDEX('月1回_2ヶ月前の在庫'!$H$6:$H$10005,MATCH($C258,'月1回_2ヶ月前の在庫'!$W$6:$W$10005,0)),"")))))</f>
        <v/>
      </c>
      <c r="F258">
        <f>IF($C258="","",IFERROR(IF(INDEX('商品マスタ'!$E$6:$E$1005,MATCH($C258,'商品マスタ'!$B$6:$B$1005,0))="",IFERROR(INDEX('①在庫を貼る'!$E$6:$E$10005,MATCH($C258,'①在庫を貼る'!$W$6:$W$10005,0)),IFERROR(INDEX('月1回_1ヶ月前の在庫'!$E$6:$E$10005,MATCH($C258,'月1回_1ヶ月前の在庫'!$W$6:$W$10005,0)),IFERROR(INDEX('月1回_2ヶ月前の在庫'!$E$6:$E$10005,MATCH($C258,'月1回_2ヶ月前の在庫'!$W$6:$W$10005,0)),""))),INDEX('商品マスタ'!$E$6:$E$1005,MATCH($C258,'商品マスタ'!$B$6:$B$1005,0))),IFERROR(INDEX('①在庫を貼る'!$E$6:$E$10005,MATCH($C258,'①在庫を貼る'!$W$6:$W$10005,0)),IFERROR(INDEX('月1回_1ヶ月前の在庫'!$E$6:$E$10005,MATCH($C258,'月1回_1ヶ月前の在庫'!$W$6:$W$10005,0)),IFERROR(INDEX('月1回_2ヶ月前の在庫'!$E$6:$E$10005,MATCH($C258,'月1回_2ヶ月前の在庫'!$W$6:$W$10005,0)),"")))))</f>
        <v/>
      </c>
      <c r="G258">
        <f>IF($C258="","",MAX(1,N(IFERROR(IF(INDEX('商品マスタ'!$F$6:$F$1005,MATCH($C258,'商品マスタ'!$B$6:$B$1005,0))="",IF(COUNTIFS('①在庫を貼る'!$V$6:$V$10005,'設定'!$C$4,'①在庫を貼る'!$W$6:$W$10005,$C258)&gt;0,SUMIFS('①在庫を貼る'!$K$6:$K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K$6:$K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K$6:$K$10005,'月1回_2ヶ月前の在庫'!$V$6:$V$10005,'設定'!$C$4,'月1回_2ヶ月前の在庫'!$W$6:$W$10005,$C258)/COUNTIFS('月1回_2ヶ月前の在庫'!$V$6:$V$10005,'設定'!$C$4,'月1回_2ヶ月前の在庫'!$W$6:$W$10005,$C258),0))),INDEX('商品マスタ'!$F$6:$F$1005,MATCH($C258,'商品マスタ'!$B$6:$B$1005,0))),IF(COUNTIFS('①在庫を貼る'!$V$6:$V$10005,'設定'!$C$4,'①在庫を貼る'!$W$6:$W$10005,$C258)&gt;0,SUMIFS('①在庫を貼る'!$K$6:$K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K$6:$K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K$6:$K$10005,'月1回_2ヶ月前の在庫'!$V$6:$V$10005,'設定'!$C$4,'月1回_2ヶ月前の在庫'!$W$6:$W$10005,$C258)/COUNTIFS('月1回_2ヶ月前の在庫'!$V$6:$V$10005,'設定'!$C$4,'月1回_2ヶ月前の在庫'!$W$6:$W$10005,$C258),0)))))))</f>
        <v/>
      </c>
      <c r="H258">
        <f>IF($C258="","",N(IFERROR(IF(INDEX('商品マスタ'!$G$6:$G$1005,MATCH($C258,'商品マスタ'!$B$6:$B$1005,0))="",IF(COUNTIFS('①在庫を貼る'!$V$6:$V$10005,'設定'!$C$4,'①在庫を貼る'!$W$6:$W$10005,$C258)&gt;0,SUMIFS('①在庫を貼る'!$Q$6:$Q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Q$6:$Q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Q$6:$Q$10005,'月1回_2ヶ月前の在庫'!$V$6:$V$10005,'設定'!$C$4,'月1回_2ヶ月前の在庫'!$W$6:$W$10005,$C258)/COUNTIFS('月1回_2ヶ月前の在庫'!$V$6:$V$10005,'設定'!$C$4,'月1回_2ヶ月前の在庫'!$W$6:$W$10005,$C258),0))),INDEX('商品マスタ'!$G$6:$G$1005,MATCH($C258,'商品マスタ'!$B$6:$B$1005,0))),IF(COUNTIFS('①在庫を貼る'!$V$6:$V$10005,'設定'!$C$4,'①在庫を貼る'!$W$6:$W$10005,$C258)&gt;0,SUMIFS('①在庫を貼る'!$Q$6:$Q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Q$6:$Q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Q$6:$Q$10005,'月1回_2ヶ月前の在庫'!$V$6:$V$10005,'設定'!$C$4,'月1回_2ヶ月前の在庫'!$W$6:$W$10005,$C258)/COUNTIFS('月1回_2ヶ月前の在庫'!$V$6:$V$10005,'設定'!$C$4,'月1回_2ヶ月前の在庫'!$W$6:$W$10005,$C258),0))))))</f>
        <v/>
      </c>
      <c r="I258">
        <f>IF($C258="","",IF(COUNTIFS('①在庫を貼る'!$V$6:$V$10005,'設定'!$C$4,'①在庫を貼る'!$W$6:$W$10005,$C258)=0,"",SUMIFS('①在庫を貼る'!$N$6:$N$10005,'①在庫を貼る'!$V$6:$V$10005,'設定'!$C$4,'①在庫を貼る'!$W$6:$W$10005,$C258)))</f>
        <v/>
      </c>
      <c r="J258">
        <f>IF($C258="","",IF('②発注する'!$AD262="","",'②発注する'!$AD262))</f>
        <v/>
      </c>
      <c r="K258" s="90">
        <f>IF($C258="","",IF('②発注する'!$AE262="","",'②発注する'!$AE262))</f>
        <v/>
      </c>
      <c r="L258">
        <f>IF($C258="","",IF(AND(ISNUMBER($J258),ISNUMBER($K258),$K258&gt;='設定'!$C$6),$J258,N($I258)))</f>
        <v/>
      </c>
      <c r="M258">
        <f>IF($C258="","",IFERROR(IF(N(INDEX('商品マスタ'!$J$6:$J$1005,MATCH($C258,'商品マスタ'!$B$6:$B$1005,0)))&gt;0,INDEX('商品マスタ'!$J$6:$J$1005,MATCH($C258,'商品マスタ'!$B$6:$B$1005,0)),""),""))</f>
        <v/>
      </c>
      <c r="N258">
        <f>IF($C258="","",IFERROR(IF(N(INDEX('商品マスタ'!$H$6:$H$1005,MATCH($C258,'商品マスタ'!$B$6:$B$1005,0)))&gt;0,INDEX('商品マスタ'!$H$6:$H$1005,MATCH($C258,'商品マスタ'!$B$6:$B$1005,0)),""),""))</f>
        <v/>
      </c>
      <c r="O258">
        <f>IF($C258="","",IF($N258&lt;&gt;"",$N258*$G258,IF(N(IF(COUNTIFS('①在庫を貼る'!$V$6:$V$10005,'設定'!$C$4,'①在庫を貼る'!$W$6:$W$10005,$C258)&gt;0,SUMIFS('①在庫を貼る'!$O$6:$O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O$6:$O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O$6:$O$10005,'月1回_2ヶ月前の在庫'!$V$6:$V$10005,'設定'!$C$4,'月1回_2ヶ月前の在庫'!$W$6:$W$10005,$C258)/COUNTIFS('月1回_2ヶ月前の在庫'!$V$6:$V$10005,'設定'!$C$4,'月1回_2ヶ月前の在庫'!$W$6:$W$10005,$C258),0))))&gt;0,N(IF(COUNTIFS('①在庫を貼る'!$V$6:$V$10005,'設定'!$C$4,'①在庫を貼る'!$W$6:$W$10005,$C258)&gt;0,SUMIFS('①在庫を貼る'!$O$6:$O$10005,'①在庫を貼る'!$V$6:$V$10005,'設定'!$C$4,'①在庫を貼る'!$W$6:$W$10005,$C258)/COUNTIFS('①在庫を貼る'!$V$6:$V$10005,'設定'!$C$4,'①在庫を貼る'!$W$6:$W$10005,$C258),IF(COUNTIFS('月1回_1ヶ月前の在庫'!$V$6:$V$10005,'設定'!$C$4,'月1回_1ヶ月前の在庫'!$W$6:$W$10005,$C258)&gt;0,SUMIFS('月1回_1ヶ月前の在庫'!$O$6:$O$10005,'月1回_1ヶ月前の在庫'!$V$6:$V$10005,'設定'!$C$4,'月1回_1ヶ月前の在庫'!$W$6:$W$10005,$C258)/COUNTIFS('月1回_1ヶ月前の在庫'!$V$6:$V$10005,'設定'!$C$4,'月1回_1ヶ月前の在庫'!$W$6:$W$10005,$C258),IF(COUNTIFS('月1回_2ヶ月前の在庫'!$V$6:$V$10005,'設定'!$C$4,'月1回_2ヶ月前の在庫'!$W$6:$W$10005,$C258)&gt;0,SUMIFS('月1回_2ヶ月前の在庫'!$O$6:$O$10005,'月1回_2ヶ月前の在庫'!$V$6:$V$10005,'設定'!$C$4,'月1回_2ヶ月前の在庫'!$W$6:$W$10005,$C258)/COUNTIFS('月1回_2ヶ月前の在庫'!$V$6:$V$10005,'設定'!$C$4,'月1回_2ヶ月前の在庫'!$W$6:$W$10005,$C258),0)))),"")))</f>
        <v/>
      </c>
      <c r="P258" s="90">
        <f>IF($C258="","",IF('②発注する'!$I262="","",'②発注する'!$I262))</f>
        <v/>
      </c>
      <c r="Q258">
        <f>IF($C258="","",IF('②発注する'!$J262="","",'②発注する'!$J262))</f>
        <v/>
      </c>
      <c r="R258">
        <f>IF($C258="",0,IF(AND(ISNUMBER($P258),ISNUMBER($Q258)),MAX(0,$Q258)*$G258,0))</f>
        <v/>
      </c>
      <c r="S258" s="90">
        <f>IF($C258="","",IF('②発注する'!$M262="","",'②発注する'!$M262))</f>
        <v/>
      </c>
      <c r="T258">
        <f>IF($C258="","",IF('②発注する'!$N262="","",'②発注する'!$N262))</f>
        <v/>
      </c>
      <c r="U258">
        <f>IF($C258="",0,IF(AND(ISNUMBER($S258),ISNUMBER($T258)),MAX(0,$T258)*$G258,0))</f>
        <v/>
      </c>
      <c r="V258">
        <f>IF($C258="",0,IF($M258="",0,MAX(0,$M258)*MAX(0,V$4)/100))</f>
        <v/>
      </c>
      <c r="W258">
        <f>IF($C258="",0,IF($M258="",0,MAX(0,$M258)*MAX(0,W$4)/100))</f>
        <v/>
      </c>
      <c r="X258">
        <f>IF($C258="",0,IF($M258="",0,MAX(0,$M258)*MAX(0,X$4)/100))</f>
        <v/>
      </c>
      <c r="Y258">
        <f>IF($C258="",0,IF($M258="",0,MAX(0,$M258)*MAX(0,Y$4)/100))</f>
        <v/>
      </c>
      <c r="Z258">
        <f>IF($C258="",0,IF($M258="",0,MAX(0,$M258)*MAX(0,Z$4)/100))</f>
        <v/>
      </c>
      <c r="AA258">
        <f>IF($C258="",0,IF($M258="",0,MAX(0,$M258)*MAX(0,AA$4)/100))</f>
        <v/>
      </c>
      <c r="AB258">
        <f>IF($C258="",0,IF($M258="",0,MAX(0,$M258)*MAX(0,AB$4)/100))</f>
        <v/>
      </c>
      <c r="AC258">
        <f>IF($C258="",0,IF($M258="",0,MAX(0,$M258)*MAX(0,AC$4)/100))</f>
        <v/>
      </c>
      <c r="AD258">
        <f>IF($C258="",0,IF($M258="",0,MAX(0,$M258)*MAX(0,AD$4)/100))</f>
        <v/>
      </c>
      <c r="AE258">
        <f>IF($C258="",0,IF($M258="",0,MAX(0,$M258)*MAX(0,AE$4)/100))</f>
        <v/>
      </c>
      <c r="AF258">
        <f>IF($C258="",0,IF($M258="",0,MAX(0,$M258)*MAX(0,AF$4)/100))</f>
        <v/>
      </c>
      <c r="AG258">
        <f>IF($C258="",0,IF($M258="",0,MAX(0,$M258)*MAX(0,AG$4)/100))</f>
        <v/>
      </c>
      <c r="AH258">
        <f>IF($C258="",0,IF($M258="",0,MAX(0,$M258)*MAX(0,AH$4)/100))</f>
        <v/>
      </c>
      <c r="AI258">
        <f>IF($C258="",0,IF($M258="",0,MAX(0,$M258)*MAX(0,AI$4)/100))</f>
        <v/>
      </c>
      <c r="AJ258">
        <f>IF($C258="",0,MAX(0,MAX(0,N($L258))-$V258))</f>
        <v/>
      </c>
      <c r="AK258">
        <f>IF($C258="",0,MAX(0,$AJ258-$W258))</f>
        <v/>
      </c>
      <c r="AL258">
        <f>IF($C258="",0,MAX(0,$AK258-$X258))</f>
        <v/>
      </c>
      <c r="AM258">
        <f>IF($C258="",0,MAX(0,$AL258-$Y258))</f>
        <v/>
      </c>
      <c r="AN258">
        <f>IF($C258="",0,MAX(0,$AM258-$Z258))</f>
        <v/>
      </c>
      <c r="AO258">
        <f>IF($C258="",0,MAX(0,$AN258-$AA258))</f>
        <v/>
      </c>
      <c r="AP258">
        <f>IF($C258="",0,MAX(0,$AO258-$AB258))</f>
        <v/>
      </c>
      <c r="AQ258">
        <f>IF($C258="",0,MAX(0,$AP258-$AC258))</f>
        <v/>
      </c>
      <c r="AR258">
        <f>IF($C258="",0,MAX(0,$AQ258-$AD258))</f>
        <v/>
      </c>
      <c r="AS258">
        <f>IF($C258="",0,MAX(0,$AR258-$AE258))</f>
        <v/>
      </c>
      <c r="AT258">
        <f>IF($C258="",0,MAX(0,$AS258-$AF258))</f>
        <v/>
      </c>
      <c r="AU258">
        <f>IF($C258="",0,MAX(0,$AT258-$AG258))</f>
        <v/>
      </c>
      <c r="AV258">
        <f>IF($C258="",0,MAX(0,$AU258-$AH258))</f>
        <v/>
      </c>
      <c r="AW258">
        <f>IF($C258="",0,MAX(0,$AV258-$AI258))</f>
        <v/>
      </c>
      <c r="AX258">
        <f>IF($C258="",0,MAX(0,MAX(0,N($L258))+IF($P258=V$3,$R258,0)+IF($S258=V$3,$U258,0)-$V258))</f>
        <v/>
      </c>
      <c r="AY258">
        <f>IF($C258="",0,MAX(0,$AX258+IF($P258=W$3,$R258,0)+IF($S258=W$3,$U258,0)-$W258))</f>
        <v/>
      </c>
      <c r="AZ258">
        <f>IF($C258="",0,MAX(0,$AY258+IF($P258=X$3,$R258,0)+IF($S258=X$3,$U258,0)-$X258))</f>
        <v/>
      </c>
      <c r="BA258">
        <f>IF($C258="",0,MAX(0,$AZ258+IF($P258=Y$3,$R258,0)+IF($S258=Y$3,$U258,0)-$Y258))</f>
        <v/>
      </c>
      <c r="BB258">
        <f>IF($C258="",0,MAX(0,$BA258+IF($P258=Z$3,$R258,0)+IF($S258=Z$3,$U258,0)-$Z258))</f>
        <v/>
      </c>
      <c r="BC258">
        <f>IF($C258="",0,MAX(0,$BB258+IF($P258=AA$3,$R258,0)+IF($S258=AA$3,$U258,0)-$AA258))</f>
        <v/>
      </c>
      <c r="BD258">
        <f>IF($C258="",0,MAX(0,$BC258+IF($P258=AB$3,$R258,0)+IF($S258=AB$3,$U258,0)-$AB258))</f>
        <v/>
      </c>
      <c r="BE258">
        <f>IF($C258="",0,MAX(0,$BD258+IF($P258=AC$3,$R258,0)+IF($S258=AC$3,$U258,0)-$AC258))</f>
        <v/>
      </c>
      <c r="BF258">
        <f>IF($C258="",0,MAX(0,$BE258+IF($P258=AD$3,$R258,0)+IF($S258=AD$3,$U258,0)-$AD258))</f>
        <v/>
      </c>
      <c r="BG258">
        <f>IF($C258="",0,MAX(0,$BF258+IF($P258=AE$3,$R258,0)+IF($S258=AE$3,$U258,0)-$AE258))</f>
        <v/>
      </c>
      <c r="BH258">
        <f>IF($C258="",0,MAX(0,$BG258+IF($P258=AF$3,$R258,0)+IF($S258=AF$3,$U258,0)-$AF258))</f>
        <v/>
      </c>
      <c r="BI258">
        <f>IF($C258="",0,MAX(0,$BH258+IF($P258=AG$3,$R258,0)+IF($S258=AG$3,$U258,0)-$AG258))</f>
        <v/>
      </c>
      <c r="BJ258">
        <f>IF($C258="",0,MAX(0,$BI258+IF($P258=AH$3,$R258,0)+IF($S258=AH$3,$U258,0)-$AH258))</f>
        <v/>
      </c>
      <c r="BK258">
        <f>IF($C258="",0,MAX(0,$BJ258+IF($P258=AI$3,$R258,0)+IF($S258=AI$3,$U258,0)-$AI258))</f>
        <v/>
      </c>
      <c r="BL258">
        <f>IF($C258="",99,IF(AND($AX258&lt;1,V$3&gt;=MAX(N($P258),N($S258))),0,99))</f>
        <v/>
      </c>
      <c r="BM258">
        <f>IF($C258="",99,IF(AND($AY258&lt;1,W$3&gt;=MAX(N($P258),N($S258))),1,99))</f>
        <v/>
      </c>
      <c r="BN258">
        <f>IF($C258="",99,IF(AND($AZ258&lt;1,X$3&gt;=MAX(N($P258),N($S258))),2,99))</f>
        <v/>
      </c>
      <c r="BO258">
        <f>IF($C258="",99,IF(AND($BA258&lt;1,Y$3&gt;=MAX(N($P258),N($S258))),3,99))</f>
        <v/>
      </c>
      <c r="BP258">
        <f>IF($C258="",99,IF(AND($BB258&lt;1,Z$3&gt;=MAX(N($P258),N($S258))),4,99))</f>
        <v/>
      </c>
      <c r="BQ258">
        <f>IF($C258="",99,IF(AND($BC258&lt;1,AA$3&gt;=MAX(N($P258),N($S258))),5,99))</f>
        <v/>
      </c>
      <c r="BR258">
        <f>IF($C258="",99,IF(AND($BD258&lt;1,AB$3&gt;=MAX(N($P258),N($S258))),6,99))</f>
        <v/>
      </c>
      <c r="BS258">
        <f>IF($C258="",99,IF(AND($BE258&lt;1,AC$3&gt;=MAX(N($P258),N($S258))),7,99))</f>
        <v/>
      </c>
      <c r="BT258">
        <f>IF($C258="",99,IF(AND($BF258&lt;1,AD$3&gt;=MAX(N($P258),N($S258))),8,99))</f>
        <v/>
      </c>
      <c r="BU258">
        <f>IF($C258="",99,IF(AND($BG258&lt;1,AE$3&gt;=MAX(N($P258),N($S258))),9,99))</f>
        <v/>
      </c>
      <c r="BV258">
        <f>IF($C258="",99,IF(AND($BH258&lt;1,AF$3&gt;=MAX(N($P258),N($S258))),10,99))</f>
        <v/>
      </c>
      <c r="BW258">
        <f>IF($C258="",99,IF(AND($BI258&lt;1,AG$3&gt;=MAX(N($P258),N($S258))),11,99))</f>
        <v/>
      </c>
      <c r="BX258">
        <f>IF($C258="",99,IF(AND($BJ258&lt;1,AH$3&gt;=MAX(N($P258),N($S258))),12,99))</f>
        <v/>
      </c>
      <c r="BY258">
        <f>IF($C258="",99,IF(AND($BK258&lt;1,AI$3&gt;=MAX(N($P258),N($S258))),13,99))</f>
        <v/>
      </c>
      <c r="BZ258">
        <f>IF(OR($C258="",$M258=""),"",COUNTIF($AJ258:$AW258,"&gt;=1"))</f>
        <v/>
      </c>
      <c r="CA258" s="90">
        <f>IF($BZ258="","",IF($BZ258&gt;=14,"",'設定'!$C$6+$BZ258))</f>
        <v/>
      </c>
      <c r="CB258">
        <f>IF(OR($C258="",$M258=""),"",MIN($BL258:$BY258))</f>
        <v/>
      </c>
      <c r="CC258" s="90">
        <f>IF($CB258="","",IF($CB258&gt;=99,"",'設定'!$C$6+$CB258))</f>
        <v/>
      </c>
      <c r="CD258">
        <f>IF(OR($C258="",$M258=""),"",AVERAGE($V258:$AI258))</f>
        <v/>
      </c>
      <c r="CE258">
        <f>IF($C258="","",IFERROR(IF(MATCH(IF(ISNUMBER($P258),$P258,'設定'!$C$6+N('設定'!$C$7)),$V$3:$AI$3,0)=1,MAX(0,N($L258)),INDEX($AJ258:$AW258,MATCH(IF(ISNUMBER($P258),$P258,'設定'!$C$6+N('設定'!$C$7)),$V$3:$AI$3,0)-1)),""))</f>
        <v/>
      </c>
      <c r="CF258">
        <f>IF(OR($C258="",$O258="",$CE258=""),"",IF($O258-$CE258&lt;=0,0,ROUNDUP(($O258-$CE258)/$G258,0)))</f>
        <v/>
      </c>
      <c r="CG258">
        <f>IF(OR($C258="",$CF258="",NOT(ISNUMBER($Q258))),0,MAX(0,$Q258-$CF258))</f>
        <v/>
      </c>
      <c r="CH258">
        <f>IF(OR($C258="",$O258="",$U258=0),0,IFERROR(ROUNDUP(MAX(0,IF(MATCH($S258,$V$3:$AI$3,0)=1,MAX(0,N($L258)),INDEX($AX258:$BK258,MATCH($S258,$V$3:$AI$3,0)-1))+$U258-$O258)/$G258,0),0))</f>
        <v/>
      </c>
      <c r="CI258">
        <f>IF($C258="","",IF(AND($P258="",$Q258=""),"",IF($P258="","⚠ 入庫日を ▼ から選んでください",IF(NOT(ISNUMBER($P258)),"⚠ 入庫日は ▼ から選んでください",IF($P258&lt;N('設定'!$C$6),"⚠ 入庫日が過去です（もう在庫に入っています）→ 消してください",IF($P258&gt;N('設定'!$C$6)+13,"⚠ 入庫日が14日より先です",IF(N($Q258)&lt;=0,"⚠ 入庫数を入れてください",IF($CG258&gt;0,"⚠ 目安より "&amp;$CG258&amp;" 多い（定数を超える）→ 減らす",""))))))))</f>
        <v/>
      </c>
      <c r="CJ258">
        <f>IF($C258="","",IF(AND($S258="",$T258=""),"",IF($S258="","⚠ 2便目：入庫日を ▼ から選んでください",IF(NOT(ISNUMBER($S258)),"⚠ 2便目：入庫日は ▼ から選んでください",IF($S258&lt;N('設定'!$C$6),"⚠ 2便目：入庫日が過去です（もう在庫に入っています）→ 消してください",IF($S258&gt;N('設定'!$C$6)+13,"⚠ 2便目：入庫日が14日より先です",IF(N($T258)&lt;=0,"⚠ 2便目：入庫数を入れてください",IF($CH258&gt;0,"⚠ 2便目：定数を "&amp;$CH258&amp;" ケース超える → 減らす",""))))))))</f>
        <v/>
      </c>
      <c r="CK258">
        <f>IF(AND($CI258="",N($Q258)&gt;0,ISNUMBER($P258)),1,0)</f>
        <v/>
      </c>
      <c r="CL258">
        <f>IF(AND($CJ258="",N($T258)&gt;0,ISNUMBER($S258)),1,0)</f>
        <v/>
      </c>
      <c r="CM258">
        <f>IF(OR($CK258=1,$CL258=1),1,0)</f>
        <v/>
      </c>
      <c r="CN258">
        <f>IF($C258="",0,($CK258*$R258+$CL258*$U258)*N($H258))</f>
        <v/>
      </c>
      <c r="CO258">
        <f>IF($C258="","",IF($CC258="","入庫後は 14日以上もつ",IF($CC258-N('設定'!$C$7)&lt;='設定'!$C$6,"入庫後も "&amp;TEXT($CC258,"m/d")&amp;"("&amp;CHOOSE(WEEKDAY($CC258),"日","月","火","水","木","金","土")&amp;")"&amp;" に切れる　もう1便を至急発注","入庫後も "&amp;TEXT($CC258,"m/d")&amp;"("&amp;CHOOSE(WEEKDAY($CC258),"日","月","火","水","木","金","土")&amp;")"&amp;" に切れる　"&amp;TEXT($CC258-N('設定'!$C$7),"m/d")&amp;"("&amp;CHOOSE(WEEKDAY($CC258-N('設定'!$C$7)),"日","月","火","水","木","金","土")&amp;")"&amp;" までに次を発注")))</f>
        <v/>
      </c>
      <c r="CP258">
        <f>IF($C258="","",IF('設定'!$C$6="","？ ①在庫を貼る に今日のCSVが貼られていない",IF($CS258=1,"－ 今日のCSVに無い（終売？）",IF($L258&lt;0,"● 在庫がマイナス　数えて「数えた在庫」に入れる",IF($L258=0,"● 在庫なし　至急発注",IF($M258="","？ 減り数が未設定（商品マスタ）",IF($B$3=0,"？ 動員が未入力（動員を入れる）",IF($CA258="","○ 14日以上もつ",IF($BZ258&lt;N('設定'!$C$7),"● "&amp;TEXT($CA258,"m/d")&amp;"("&amp;CHOOSE(WEEKDAY($CA258),"日","月","火","水","木","金","土")&amp;")"&amp;" に切れる　至急発注",IF($BZ258=N('設定'!$C$7),"● "&amp;TEXT($CA258,"m/d")&amp;"("&amp;CHOOSE(WEEKDAY($CA258),"日","月","火","水","木","金","土")&amp;")"&amp;" に切れる　今日発注","△ "&amp;TEXT($CA258,"m/d")&amp;"("&amp;CHOOSE(WEEKDAY($CA258),"日","月","火","水","木","金","土")&amp;")"&amp;" に切れる　"&amp;TEXT($CA258-N('設定'!$C$7),"m/d")&amp;"("&amp;CHOOSE(WEEKDAY($CA258-N('設定'!$C$7)),"日","月","火","水","木","金","土")&amp;")"&amp;" までに発注"))))))))))</f>
        <v/>
      </c>
      <c r="CQ258">
        <f>IF($C258="","",IF(AND($P258="",$Q258="",$S258="",$T258=""),"",IF(AND($P258="",$Q258=""),"⚠ 先に1便目（左の入庫日・入庫数）に入れてください",IF($CI258&lt;&gt;"",$CI258,IF($CJ258&lt;&gt;"",$CJ258,IF($M258="","？ 減り数が未設定（発注書には載ります）",IF($B$3=0,"？ 動員が未入力（発注書には載ります）",IF(AND($CA258&lt;&gt;"",$P258&gt;$CA258),IF($P258&gt;'設定'!$C$6+N('設定'!$C$7),"● "&amp;TEXT($P258,"m/d")&amp;"("&amp;CHOOSE(WEEKDAY($P258),"日","月","火","水","木","金","土")&amp;")"&amp;" の入庫では間に合わない（"&amp;TEXT($CA258,"m/d")&amp;"("&amp;CHOOSE(WEEKDAY($CA258),"日","月","火","水","木","金","土")&amp;")"&amp;" に切れる）　入庫日を早める","△ 欠品 "&amp;TEXT($CA258,"m/d")&amp;"("&amp;CHOOSE(WEEKDAY($CA258),"日","月","火","水","木","金","土")&amp;")"&amp;"〜"&amp;TEXT($P258-1,"m/d")&amp;"("&amp;CHOOSE(WEEKDAY($P258-1),"日","月","火","水","木","金","土")&amp;")"&amp;"　"&amp;$CO258),IF($CC258="","○ "&amp;TEXT($P258,"m/d")&amp;"("&amp;CHOOSE(WEEKDAY($P258),"日","月","火","水","木","金","土")&amp;")"&amp;" 入庫で 14日以上もつ",IF($CC258-N('設定'!$C$7)&lt;='設定'!$C$6,"● 入庫しても "&amp;TEXT($CC258,"m/d")&amp;"("&amp;CHOOSE(WEEKDAY($CC258),"日","月","火","水","木","金","土")&amp;")"&amp;" に切れる　もう1便を至急発注（2便目に入れる）","△ 入庫しても "&amp;TEXT($CC258,"m/d")&amp;"("&amp;CHOOSE(WEEKDAY($CC258),"日","月","火","水","木","金","土")&amp;")"&amp;" に切れる　"&amp;TEXT($CC258-N('設定'!$C$7),"m/d")&amp;"("&amp;CHOOSE(WEEKDAY($CC258-N('設定'!$C$7)),"日","月","火","水","木","金","土")&amp;")"&amp;" までに次を発注（2便目に入れる）"))))))))))</f>
        <v/>
      </c>
      <c r="CR258">
        <f>IF($C258="","",IF($G258&gt;1,"ｹｰｽ("&amp;$G258&amp;"入)","個"))</f>
        <v/>
      </c>
      <c r="CS258">
        <f>IF($C258="",0,IF(COUNTIFS('①在庫を貼る'!$V$6:$V$10005,'設定'!$C$4,'①在庫を貼る'!$W$6:$W$10005,$C258)=0,1,0))</f>
        <v/>
      </c>
      <c r="CT258">
        <f>IF(AND($CK258=1,OR('③発注書'!$C$4="すべて",'③発注書'!$C$4="",$F258='③発注書'!$C$4)),N($CT257)+1,N($CT257))</f>
        <v/>
      </c>
      <c r="CU258">
        <f>IF(AND($CL258=1,OR('③発注書'!$C$4="すべて",'③発注書'!$C$4="",$F258='③発注書'!$C$4)),N($CU257)+1,N($CU257))</f>
        <v/>
      </c>
      <c r="CV258">
        <f>IF($C258="",0,IF(COUNTIFS('①在庫を貼る'!$V$6:$V$10005,'設定'!$C$4,'①在庫を貼る'!$W$6:$W$10005,$C258)&gt;0,1,0))</f>
        <v/>
      </c>
      <c r="CW258">
        <f>IF($C258="",0,IF(COUNTIFS('月1回_1ヶ月前の在庫'!$V$6:$V$10005,'設定'!$C$4,'月1回_1ヶ月前の在庫'!$W$6:$W$10005,$C258)&gt;0,1,0))</f>
        <v/>
      </c>
      <c r="CX258">
        <f>IF($C258="",0,IF(COUNTIFS('月1回_2ヶ月前の在庫'!$V$6:$V$10005,'設定'!$C$4,'月1回_2ヶ月前の在庫'!$W$6:$W$10005,$C258)&gt;0,1,0))</f>
        <v/>
      </c>
      <c r="CY258">
        <f>IF(OR($C258="",'設定'!$C$12=""),"",IF('設定'!$C$13="",IF(AND($CV258=1,$CW258=0),"新商品（今月から）",IF(AND($CV258=0,$CW258=1),"終売（今月から）","")),IF(AND($CV258=1,$CW258=0,$CX258=0),"新商品（今月から）",IF(AND($CV258=1,$CW258=1,$CX258=0),"新商品（先月から）",IF(AND($CV258=0,$CW258=1,$CX258=1),"終売（今月から）",IF(AND($CV258=0,$CW258=0,$CX258=1),"終売（先月から）",IF(AND($CV258=1,$CW258=0,$CX258=1),"復活（先月は無し）","")))))))</f>
        <v/>
      </c>
    </row>
    <row r="259">
      <c r="B259">
        <f>IF(254&lt;='設定'!$C$11,254,"")</f>
        <v/>
      </c>
      <c r="C259">
        <f>IF($B259="","",IF($B259&lt;='設定'!$C$20,INDEX('商品マスタ'!$B$6:$B$1005,MATCH($B259,'商品マスタ'!$M$6:$M$1005,0)),IF($B259&lt;='設定'!$C$20+'設定'!$C$17,INDEX('①在庫を貼る'!$W$6:$W$10005,MATCH($B259-'設定'!$C$20,'①在庫を貼る'!$U$6:$U$10005,0)),IF($B259&lt;='設定'!$C$20+'設定'!$C$17+'設定'!$C$18,INDEX('月1回_1ヶ月前の在庫'!$W$6:$W$10005,MATCH($B259-'設定'!$C$20-'設定'!$C$17,'月1回_1ヶ月前の在庫'!$U$6:$U$10005,0)),INDEX('月1回_2ヶ月前の在庫'!$W$6:$W$10005,MATCH($B259-'設定'!$C$20-'設定'!$C$17-'設定'!$C$18,'月1回_2ヶ月前の在庫'!$U$6:$U$10005,0))))))</f>
        <v/>
      </c>
      <c r="D259">
        <f>IF($C259="","",IFERROR(IF(INDEX('商品マスタ'!$C$6:$C$1005,MATCH($C259,'商品マスタ'!$B$6:$B$1005,0))="",IFERROR(INDEX('①在庫を貼る'!$J$6:$J$10005,MATCH($C259,'①在庫を貼る'!$W$6:$W$10005,0)),IFERROR(INDEX('月1回_1ヶ月前の在庫'!$J$6:$J$10005,MATCH($C259,'月1回_1ヶ月前の在庫'!$W$6:$W$10005,0)),IFERROR(INDEX('月1回_2ヶ月前の在庫'!$J$6:$J$10005,MATCH($C259,'月1回_2ヶ月前の在庫'!$W$6:$W$10005,0)),""))),INDEX('商品マスタ'!$C$6:$C$1005,MATCH($C259,'商品マスタ'!$B$6:$B$1005,0))),IFERROR(INDEX('①在庫を貼る'!$J$6:$J$10005,MATCH($C259,'①在庫を貼る'!$W$6:$W$10005,0)),IFERROR(INDEX('月1回_1ヶ月前の在庫'!$J$6:$J$10005,MATCH($C259,'月1回_1ヶ月前の在庫'!$W$6:$W$10005,0)),IFERROR(INDEX('月1回_2ヶ月前の在庫'!$J$6:$J$10005,MATCH($C259,'月1回_2ヶ月前の在庫'!$W$6:$W$10005,0)),"")))))</f>
        <v/>
      </c>
      <c r="E259">
        <f>IF($C259="","",IFERROR(IF(INDEX('商品マスタ'!$D$6:$D$1005,MATCH($C259,'商品マスタ'!$B$6:$B$1005,0))="",IFERROR(INDEX('①在庫を貼る'!$H$6:$H$10005,MATCH($C259,'①在庫を貼る'!$W$6:$W$10005,0)),IFERROR(INDEX('月1回_1ヶ月前の在庫'!$H$6:$H$10005,MATCH($C259,'月1回_1ヶ月前の在庫'!$W$6:$W$10005,0)),IFERROR(INDEX('月1回_2ヶ月前の在庫'!$H$6:$H$10005,MATCH($C259,'月1回_2ヶ月前の在庫'!$W$6:$W$10005,0)),""))),INDEX('商品マスタ'!$D$6:$D$1005,MATCH($C259,'商品マスタ'!$B$6:$B$1005,0))),IFERROR(INDEX('①在庫を貼る'!$H$6:$H$10005,MATCH($C259,'①在庫を貼る'!$W$6:$W$10005,0)),IFERROR(INDEX('月1回_1ヶ月前の在庫'!$H$6:$H$10005,MATCH($C259,'月1回_1ヶ月前の在庫'!$W$6:$W$10005,0)),IFERROR(INDEX('月1回_2ヶ月前の在庫'!$H$6:$H$10005,MATCH($C259,'月1回_2ヶ月前の在庫'!$W$6:$W$10005,0)),"")))))</f>
        <v/>
      </c>
      <c r="F259">
        <f>IF($C259="","",IFERROR(IF(INDEX('商品マスタ'!$E$6:$E$1005,MATCH($C259,'商品マスタ'!$B$6:$B$1005,0))="",IFERROR(INDEX('①在庫を貼る'!$E$6:$E$10005,MATCH($C259,'①在庫を貼る'!$W$6:$W$10005,0)),IFERROR(INDEX('月1回_1ヶ月前の在庫'!$E$6:$E$10005,MATCH($C259,'月1回_1ヶ月前の在庫'!$W$6:$W$10005,0)),IFERROR(INDEX('月1回_2ヶ月前の在庫'!$E$6:$E$10005,MATCH($C259,'月1回_2ヶ月前の在庫'!$W$6:$W$10005,0)),""))),INDEX('商品マスタ'!$E$6:$E$1005,MATCH($C259,'商品マスタ'!$B$6:$B$1005,0))),IFERROR(INDEX('①在庫を貼る'!$E$6:$E$10005,MATCH($C259,'①在庫を貼る'!$W$6:$W$10005,0)),IFERROR(INDEX('月1回_1ヶ月前の在庫'!$E$6:$E$10005,MATCH($C259,'月1回_1ヶ月前の在庫'!$W$6:$W$10005,0)),IFERROR(INDEX('月1回_2ヶ月前の在庫'!$E$6:$E$10005,MATCH($C259,'月1回_2ヶ月前の在庫'!$W$6:$W$10005,0)),"")))))</f>
        <v/>
      </c>
      <c r="G259">
        <f>IF($C259="","",MAX(1,N(IFERROR(IF(INDEX('商品マスタ'!$F$6:$F$1005,MATCH($C259,'商品マスタ'!$B$6:$B$1005,0))="",IF(COUNTIFS('①在庫を貼る'!$V$6:$V$10005,'設定'!$C$4,'①在庫を貼る'!$W$6:$W$10005,$C259)&gt;0,SUMIFS('①在庫を貼る'!$K$6:$K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K$6:$K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K$6:$K$10005,'月1回_2ヶ月前の在庫'!$V$6:$V$10005,'設定'!$C$4,'月1回_2ヶ月前の在庫'!$W$6:$W$10005,$C259)/COUNTIFS('月1回_2ヶ月前の在庫'!$V$6:$V$10005,'設定'!$C$4,'月1回_2ヶ月前の在庫'!$W$6:$W$10005,$C259),0))),INDEX('商品マスタ'!$F$6:$F$1005,MATCH($C259,'商品マスタ'!$B$6:$B$1005,0))),IF(COUNTIFS('①在庫を貼る'!$V$6:$V$10005,'設定'!$C$4,'①在庫を貼る'!$W$6:$W$10005,$C259)&gt;0,SUMIFS('①在庫を貼る'!$K$6:$K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K$6:$K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K$6:$K$10005,'月1回_2ヶ月前の在庫'!$V$6:$V$10005,'設定'!$C$4,'月1回_2ヶ月前の在庫'!$W$6:$W$10005,$C259)/COUNTIFS('月1回_2ヶ月前の在庫'!$V$6:$V$10005,'設定'!$C$4,'月1回_2ヶ月前の在庫'!$W$6:$W$10005,$C259),0)))))))</f>
        <v/>
      </c>
      <c r="H259">
        <f>IF($C259="","",N(IFERROR(IF(INDEX('商品マスタ'!$G$6:$G$1005,MATCH($C259,'商品マスタ'!$B$6:$B$1005,0))="",IF(COUNTIFS('①在庫を貼る'!$V$6:$V$10005,'設定'!$C$4,'①在庫を貼る'!$W$6:$W$10005,$C259)&gt;0,SUMIFS('①在庫を貼る'!$Q$6:$Q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Q$6:$Q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Q$6:$Q$10005,'月1回_2ヶ月前の在庫'!$V$6:$V$10005,'設定'!$C$4,'月1回_2ヶ月前の在庫'!$W$6:$W$10005,$C259)/COUNTIFS('月1回_2ヶ月前の在庫'!$V$6:$V$10005,'設定'!$C$4,'月1回_2ヶ月前の在庫'!$W$6:$W$10005,$C259),0))),INDEX('商品マスタ'!$G$6:$G$1005,MATCH($C259,'商品マスタ'!$B$6:$B$1005,0))),IF(COUNTIFS('①在庫を貼る'!$V$6:$V$10005,'設定'!$C$4,'①在庫を貼る'!$W$6:$W$10005,$C259)&gt;0,SUMIFS('①在庫を貼る'!$Q$6:$Q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Q$6:$Q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Q$6:$Q$10005,'月1回_2ヶ月前の在庫'!$V$6:$V$10005,'設定'!$C$4,'月1回_2ヶ月前の在庫'!$W$6:$W$10005,$C259)/COUNTIFS('月1回_2ヶ月前の在庫'!$V$6:$V$10005,'設定'!$C$4,'月1回_2ヶ月前の在庫'!$W$6:$W$10005,$C259),0))))))</f>
        <v/>
      </c>
      <c r="I259">
        <f>IF($C259="","",IF(COUNTIFS('①在庫を貼る'!$V$6:$V$10005,'設定'!$C$4,'①在庫を貼る'!$W$6:$W$10005,$C259)=0,"",SUMIFS('①在庫を貼る'!$N$6:$N$10005,'①在庫を貼る'!$V$6:$V$10005,'設定'!$C$4,'①在庫を貼る'!$W$6:$W$10005,$C259)))</f>
        <v/>
      </c>
      <c r="J259">
        <f>IF($C259="","",IF('②発注する'!$AD263="","",'②発注する'!$AD263))</f>
        <v/>
      </c>
      <c r="K259" s="90">
        <f>IF($C259="","",IF('②発注する'!$AE263="","",'②発注する'!$AE263))</f>
        <v/>
      </c>
      <c r="L259">
        <f>IF($C259="","",IF(AND(ISNUMBER($J259),ISNUMBER($K259),$K259&gt;='設定'!$C$6),$J259,N($I259)))</f>
        <v/>
      </c>
      <c r="M259">
        <f>IF($C259="","",IFERROR(IF(N(INDEX('商品マスタ'!$J$6:$J$1005,MATCH($C259,'商品マスタ'!$B$6:$B$1005,0)))&gt;0,INDEX('商品マスタ'!$J$6:$J$1005,MATCH($C259,'商品マスタ'!$B$6:$B$1005,0)),""),""))</f>
        <v/>
      </c>
      <c r="N259">
        <f>IF($C259="","",IFERROR(IF(N(INDEX('商品マスタ'!$H$6:$H$1005,MATCH($C259,'商品マスタ'!$B$6:$B$1005,0)))&gt;0,INDEX('商品マスタ'!$H$6:$H$1005,MATCH($C259,'商品マスタ'!$B$6:$B$1005,0)),""),""))</f>
        <v/>
      </c>
      <c r="O259">
        <f>IF($C259="","",IF($N259&lt;&gt;"",$N259*$G259,IF(N(IF(COUNTIFS('①在庫を貼る'!$V$6:$V$10005,'設定'!$C$4,'①在庫を貼る'!$W$6:$W$10005,$C259)&gt;0,SUMIFS('①在庫を貼る'!$O$6:$O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O$6:$O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O$6:$O$10005,'月1回_2ヶ月前の在庫'!$V$6:$V$10005,'設定'!$C$4,'月1回_2ヶ月前の在庫'!$W$6:$W$10005,$C259)/COUNTIFS('月1回_2ヶ月前の在庫'!$V$6:$V$10005,'設定'!$C$4,'月1回_2ヶ月前の在庫'!$W$6:$W$10005,$C259),0))))&gt;0,N(IF(COUNTIFS('①在庫を貼る'!$V$6:$V$10005,'設定'!$C$4,'①在庫を貼る'!$W$6:$W$10005,$C259)&gt;0,SUMIFS('①在庫を貼る'!$O$6:$O$10005,'①在庫を貼る'!$V$6:$V$10005,'設定'!$C$4,'①在庫を貼る'!$W$6:$W$10005,$C259)/COUNTIFS('①在庫を貼る'!$V$6:$V$10005,'設定'!$C$4,'①在庫を貼る'!$W$6:$W$10005,$C259),IF(COUNTIFS('月1回_1ヶ月前の在庫'!$V$6:$V$10005,'設定'!$C$4,'月1回_1ヶ月前の在庫'!$W$6:$W$10005,$C259)&gt;0,SUMIFS('月1回_1ヶ月前の在庫'!$O$6:$O$10005,'月1回_1ヶ月前の在庫'!$V$6:$V$10005,'設定'!$C$4,'月1回_1ヶ月前の在庫'!$W$6:$W$10005,$C259)/COUNTIFS('月1回_1ヶ月前の在庫'!$V$6:$V$10005,'設定'!$C$4,'月1回_1ヶ月前の在庫'!$W$6:$W$10005,$C259),IF(COUNTIFS('月1回_2ヶ月前の在庫'!$V$6:$V$10005,'設定'!$C$4,'月1回_2ヶ月前の在庫'!$W$6:$W$10005,$C259)&gt;0,SUMIFS('月1回_2ヶ月前の在庫'!$O$6:$O$10005,'月1回_2ヶ月前の在庫'!$V$6:$V$10005,'設定'!$C$4,'月1回_2ヶ月前の在庫'!$W$6:$W$10005,$C259)/COUNTIFS('月1回_2ヶ月前の在庫'!$V$6:$V$10005,'設定'!$C$4,'月1回_2ヶ月前の在庫'!$W$6:$W$10005,$C259),0)))),"")))</f>
        <v/>
      </c>
      <c r="P259" s="90">
        <f>IF($C259="","",IF('②発注する'!$I263="","",'②発注する'!$I263))</f>
        <v/>
      </c>
      <c r="Q259">
        <f>IF($C259="","",IF('②発注する'!$J263="","",'②発注する'!$J263))</f>
        <v/>
      </c>
      <c r="R259">
        <f>IF($C259="",0,IF(AND(ISNUMBER($P259),ISNUMBER($Q259)),MAX(0,$Q259)*$G259,0))</f>
        <v/>
      </c>
      <c r="S259" s="90">
        <f>IF($C259="","",IF('②発注する'!$M263="","",'②発注する'!$M263))</f>
        <v/>
      </c>
      <c r="T259">
        <f>IF($C259="","",IF('②発注する'!$N263="","",'②発注する'!$N263))</f>
        <v/>
      </c>
      <c r="U259">
        <f>IF($C259="",0,IF(AND(ISNUMBER($S259),ISNUMBER($T259)),MAX(0,$T259)*$G259,0))</f>
        <v/>
      </c>
      <c r="V259">
        <f>IF($C259="",0,IF($M259="",0,MAX(0,$M259)*MAX(0,V$4)/100))</f>
        <v/>
      </c>
      <c r="W259">
        <f>IF($C259="",0,IF($M259="",0,MAX(0,$M259)*MAX(0,W$4)/100))</f>
        <v/>
      </c>
      <c r="X259">
        <f>IF($C259="",0,IF($M259="",0,MAX(0,$M259)*MAX(0,X$4)/100))</f>
        <v/>
      </c>
      <c r="Y259">
        <f>IF($C259="",0,IF($M259="",0,MAX(0,$M259)*MAX(0,Y$4)/100))</f>
        <v/>
      </c>
      <c r="Z259">
        <f>IF($C259="",0,IF($M259="",0,MAX(0,$M259)*MAX(0,Z$4)/100))</f>
        <v/>
      </c>
      <c r="AA259">
        <f>IF($C259="",0,IF($M259="",0,MAX(0,$M259)*MAX(0,AA$4)/100))</f>
        <v/>
      </c>
      <c r="AB259">
        <f>IF($C259="",0,IF($M259="",0,MAX(0,$M259)*MAX(0,AB$4)/100))</f>
        <v/>
      </c>
      <c r="AC259">
        <f>IF($C259="",0,IF($M259="",0,MAX(0,$M259)*MAX(0,AC$4)/100))</f>
        <v/>
      </c>
      <c r="AD259">
        <f>IF($C259="",0,IF($M259="",0,MAX(0,$M259)*MAX(0,AD$4)/100))</f>
        <v/>
      </c>
      <c r="AE259">
        <f>IF($C259="",0,IF($M259="",0,MAX(0,$M259)*MAX(0,AE$4)/100))</f>
        <v/>
      </c>
      <c r="AF259">
        <f>IF($C259="",0,IF($M259="",0,MAX(0,$M259)*MAX(0,AF$4)/100))</f>
        <v/>
      </c>
      <c r="AG259">
        <f>IF($C259="",0,IF($M259="",0,MAX(0,$M259)*MAX(0,AG$4)/100))</f>
        <v/>
      </c>
      <c r="AH259">
        <f>IF($C259="",0,IF($M259="",0,MAX(0,$M259)*MAX(0,AH$4)/100))</f>
        <v/>
      </c>
      <c r="AI259">
        <f>IF($C259="",0,IF($M259="",0,MAX(0,$M259)*MAX(0,AI$4)/100))</f>
        <v/>
      </c>
      <c r="AJ259">
        <f>IF($C259="",0,MAX(0,MAX(0,N($L259))-$V259))</f>
        <v/>
      </c>
      <c r="AK259">
        <f>IF($C259="",0,MAX(0,$AJ259-$W259))</f>
        <v/>
      </c>
      <c r="AL259">
        <f>IF($C259="",0,MAX(0,$AK259-$X259))</f>
        <v/>
      </c>
      <c r="AM259">
        <f>IF($C259="",0,MAX(0,$AL259-$Y259))</f>
        <v/>
      </c>
      <c r="AN259">
        <f>IF($C259="",0,MAX(0,$AM259-$Z259))</f>
        <v/>
      </c>
      <c r="AO259">
        <f>IF($C259="",0,MAX(0,$AN259-$AA259))</f>
        <v/>
      </c>
      <c r="AP259">
        <f>IF($C259="",0,MAX(0,$AO259-$AB259))</f>
        <v/>
      </c>
      <c r="AQ259">
        <f>IF($C259="",0,MAX(0,$AP259-$AC259))</f>
        <v/>
      </c>
      <c r="AR259">
        <f>IF($C259="",0,MAX(0,$AQ259-$AD259))</f>
        <v/>
      </c>
      <c r="AS259">
        <f>IF($C259="",0,MAX(0,$AR259-$AE259))</f>
        <v/>
      </c>
      <c r="AT259">
        <f>IF($C259="",0,MAX(0,$AS259-$AF259))</f>
        <v/>
      </c>
      <c r="AU259">
        <f>IF($C259="",0,MAX(0,$AT259-$AG259))</f>
        <v/>
      </c>
      <c r="AV259">
        <f>IF($C259="",0,MAX(0,$AU259-$AH259))</f>
        <v/>
      </c>
      <c r="AW259">
        <f>IF($C259="",0,MAX(0,$AV259-$AI259))</f>
        <v/>
      </c>
      <c r="AX259">
        <f>IF($C259="",0,MAX(0,MAX(0,N($L259))+IF($P259=V$3,$R259,0)+IF($S259=V$3,$U259,0)-$V259))</f>
        <v/>
      </c>
      <c r="AY259">
        <f>IF($C259="",0,MAX(0,$AX259+IF($P259=W$3,$R259,0)+IF($S259=W$3,$U259,0)-$W259))</f>
        <v/>
      </c>
      <c r="AZ259">
        <f>IF($C259="",0,MAX(0,$AY259+IF($P259=X$3,$R259,0)+IF($S259=X$3,$U259,0)-$X259))</f>
        <v/>
      </c>
      <c r="BA259">
        <f>IF($C259="",0,MAX(0,$AZ259+IF($P259=Y$3,$R259,0)+IF($S259=Y$3,$U259,0)-$Y259))</f>
        <v/>
      </c>
      <c r="BB259">
        <f>IF($C259="",0,MAX(0,$BA259+IF($P259=Z$3,$R259,0)+IF($S259=Z$3,$U259,0)-$Z259))</f>
        <v/>
      </c>
      <c r="BC259">
        <f>IF($C259="",0,MAX(0,$BB259+IF($P259=AA$3,$R259,0)+IF($S259=AA$3,$U259,0)-$AA259))</f>
        <v/>
      </c>
      <c r="BD259">
        <f>IF($C259="",0,MAX(0,$BC259+IF($P259=AB$3,$R259,0)+IF($S259=AB$3,$U259,0)-$AB259))</f>
        <v/>
      </c>
      <c r="BE259">
        <f>IF($C259="",0,MAX(0,$BD259+IF($P259=AC$3,$R259,0)+IF($S259=AC$3,$U259,0)-$AC259))</f>
        <v/>
      </c>
      <c r="BF259">
        <f>IF($C259="",0,MAX(0,$BE259+IF($P259=AD$3,$R259,0)+IF($S259=AD$3,$U259,0)-$AD259))</f>
        <v/>
      </c>
      <c r="BG259">
        <f>IF($C259="",0,MAX(0,$BF259+IF($P259=AE$3,$R259,0)+IF($S259=AE$3,$U259,0)-$AE259))</f>
        <v/>
      </c>
      <c r="BH259">
        <f>IF($C259="",0,MAX(0,$BG259+IF($P259=AF$3,$R259,0)+IF($S259=AF$3,$U259,0)-$AF259))</f>
        <v/>
      </c>
      <c r="BI259">
        <f>IF($C259="",0,MAX(0,$BH259+IF($P259=AG$3,$R259,0)+IF($S259=AG$3,$U259,0)-$AG259))</f>
        <v/>
      </c>
      <c r="BJ259">
        <f>IF($C259="",0,MAX(0,$BI259+IF($P259=AH$3,$R259,0)+IF($S259=AH$3,$U259,0)-$AH259))</f>
        <v/>
      </c>
      <c r="BK259">
        <f>IF($C259="",0,MAX(0,$BJ259+IF($P259=AI$3,$R259,0)+IF($S259=AI$3,$U259,0)-$AI259))</f>
        <v/>
      </c>
      <c r="BL259">
        <f>IF($C259="",99,IF(AND($AX259&lt;1,V$3&gt;=MAX(N($P259),N($S259))),0,99))</f>
        <v/>
      </c>
      <c r="BM259">
        <f>IF($C259="",99,IF(AND($AY259&lt;1,W$3&gt;=MAX(N($P259),N($S259))),1,99))</f>
        <v/>
      </c>
      <c r="BN259">
        <f>IF($C259="",99,IF(AND($AZ259&lt;1,X$3&gt;=MAX(N($P259),N($S259))),2,99))</f>
        <v/>
      </c>
      <c r="BO259">
        <f>IF($C259="",99,IF(AND($BA259&lt;1,Y$3&gt;=MAX(N($P259),N($S259))),3,99))</f>
        <v/>
      </c>
      <c r="BP259">
        <f>IF($C259="",99,IF(AND($BB259&lt;1,Z$3&gt;=MAX(N($P259),N($S259))),4,99))</f>
        <v/>
      </c>
      <c r="BQ259">
        <f>IF($C259="",99,IF(AND($BC259&lt;1,AA$3&gt;=MAX(N($P259),N($S259))),5,99))</f>
        <v/>
      </c>
      <c r="BR259">
        <f>IF($C259="",99,IF(AND($BD259&lt;1,AB$3&gt;=MAX(N($P259),N($S259))),6,99))</f>
        <v/>
      </c>
      <c r="BS259">
        <f>IF($C259="",99,IF(AND($BE259&lt;1,AC$3&gt;=MAX(N($P259),N($S259))),7,99))</f>
        <v/>
      </c>
      <c r="BT259">
        <f>IF($C259="",99,IF(AND($BF259&lt;1,AD$3&gt;=MAX(N($P259),N($S259))),8,99))</f>
        <v/>
      </c>
      <c r="BU259">
        <f>IF($C259="",99,IF(AND($BG259&lt;1,AE$3&gt;=MAX(N($P259),N($S259))),9,99))</f>
        <v/>
      </c>
      <c r="BV259">
        <f>IF($C259="",99,IF(AND($BH259&lt;1,AF$3&gt;=MAX(N($P259),N($S259))),10,99))</f>
        <v/>
      </c>
      <c r="BW259">
        <f>IF($C259="",99,IF(AND($BI259&lt;1,AG$3&gt;=MAX(N($P259),N($S259))),11,99))</f>
        <v/>
      </c>
      <c r="BX259">
        <f>IF($C259="",99,IF(AND($BJ259&lt;1,AH$3&gt;=MAX(N($P259),N($S259))),12,99))</f>
        <v/>
      </c>
      <c r="BY259">
        <f>IF($C259="",99,IF(AND($BK259&lt;1,AI$3&gt;=MAX(N($P259),N($S259))),13,99))</f>
        <v/>
      </c>
      <c r="BZ259">
        <f>IF(OR($C259="",$M259=""),"",COUNTIF($AJ259:$AW259,"&gt;=1"))</f>
        <v/>
      </c>
      <c r="CA259" s="90">
        <f>IF($BZ259="","",IF($BZ259&gt;=14,"",'設定'!$C$6+$BZ259))</f>
        <v/>
      </c>
      <c r="CB259">
        <f>IF(OR($C259="",$M259=""),"",MIN($BL259:$BY259))</f>
        <v/>
      </c>
      <c r="CC259" s="90">
        <f>IF($CB259="","",IF($CB259&gt;=99,"",'設定'!$C$6+$CB259))</f>
        <v/>
      </c>
      <c r="CD259">
        <f>IF(OR($C259="",$M259=""),"",AVERAGE($V259:$AI259))</f>
        <v/>
      </c>
      <c r="CE259">
        <f>IF($C259="","",IFERROR(IF(MATCH(IF(ISNUMBER($P259),$P259,'設定'!$C$6+N('設定'!$C$7)),$V$3:$AI$3,0)=1,MAX(0,N($L259)),INDEX($AJ259:$AW259,MATCH(IF(ISNUMBER($P259),$P259,'設定'!$C$6+N('設定'!$C$7)),$V$3:$AI$3,0)-1)),""))</f>
        <v/>
      </c>
      <c r="CF259">
        <f>IF(OR($C259="",$O259="",$CE259=""),"",IF($O259-$CE259&lt;=0,0,ROUNDUP(($O259-$CE259)/$G259,0)))</f>
        <v/>
      </c>
      <c r="CG259">
        <f>IF(OR($C259="",$CF259="",NOT(ISNUMBER($Q259))),0,MAX(0,$Q259-$CF259))</f>
        <v/>
      </c>
      <c r="CH259">
        <f>IF(OR($C259="",$O259="",$U259=0),0,IFERROR(ROUNDUP(MAX(0,IF(MATCH($S259,$V$3:$AI$3,0)=1,MAX(0,N($L259)),INDEX($AX259:$BK259,MATCH($S259,$V$3:$AI$3,0)-1))+$U259-$O259)/$G259,0),0))</f>
        <v/>
      </c>
      <c r="CI259">
        <f>IF($C259="","",IF(AND($P259="",$Q259=""),"",IF($P259="","⚠ 入庫日を ▼ から選んでください",IF(NOT(ISNUMBER($P259)),"⚠ 入庫日は ▼ から選んでください",IF($P259&lt;N('設定'!$C$6),"⚠ 入庫日が過去です（もう在庫に入っています）→ 消してください",IF($P259&gt;N('設定'!$C$6)+13,"⚠ 入庫日が14日より先です",IF(N($Q259)&lt;=0,"⚠ 入庫数を入れてください",IF($CG259&gt;0,"⚠ 目安より "&amp;$CG259&amp;" 多い（定数を超える）→ 減らす",""))))))))</f>
        <v/>
      </c>
      <c r="CJ259">
        <f>IF($C259="","",IF(AND($S259="",$T259=""),"",IF($S259="","⚠ 2便目：入庫日を ▼ から選んでください",IF(NOT(ISNUMBER($S259)),"⚠ 2便目：入庫日は ▼ から選んでください",IF($S259&lt;N('設定'!$C$6),"⚠ 2便目：入庫日が過去です（もう在庫に入っています）→ 消してください",IF($S259&gt;N('設定'!$C$6)+13,"⚠ 2便目：入庫日が14日より先です",IF(N($T259)&lt;=0,"⚠ 2便目：入庫数を入れてください",IF($CH259&gt;0,"⚠ 2便目：定数を "&amp;$CH259&amp;" ケース超える → 減らす",""))))))))</f>
        <v/>
      </c>
      <c r="CK259">
        <f>IF(AND($CI259="",N($Q259)&gt;0,ISNUMBER($P259)),1,0)</f>
        <v/>
      </c>
      <c r="CL259">
        <f>IF(AND($CJ259="",N($T259)&gt;0,ISNUMBER($S259)),1,0)</f>
        <v/>
      </c>
      <c r="CM259">
        <f>IF(OR($CK259=1,$CL259=1),1,0)</f>
        <v/>
      </c>
      <c r="CN259">
        <f>IF($C259="",0,($CK259*$R259+$CL259*$U259)*N($H259))</f>
        <v/>
      </c>
      <c r="CO259">
        <f>IF($C259="","",IF($CC259="","入庫後は 14日以上もつ",IF($CC259-N('設定'!$C$7)&lt;='設定'!$C$6,"入庫後も "&amp;TEXT($CC259,"m/d")&amp;"("&amp;CHOOSE(WEEKDAY($CC259),"日","月","火","水","木","金","土")&amp;")"&amp;" に切れる　もう1便を至急発注","入庫後も "&amp;TEXT($CC259,"m/d")&amp;"("&amp;CHOOSE(WEEKDAY($CC259),"日","月","火","水","木","金","土")&amp;")"&amp;" に切れる　"&amp;TEXT($CC259-N('設定'!$C$7),"m/d")&amp;"("&amp;CHOOSE(WEEKDAY($CC259-N('設定'!$C$7)),"日","月","火","水","木","金","土")&amp;")"&amp;" までに次を発注")))</f>
        <v/>
      </c>
      <c r="CP259">
        <f>IF($C259="","",IF('設定'!$C$6="","？ ①在庫を貼る に今日のCSVが貼られていない",IF($CS259=1,"－ 今日のCSVに無い（終売？）",IF($L259&lt;0,"● 在庫がマイナス　数えて「数えた在庫」に入れる",IF($L259=0,"● 在庫なし　至急発注",IF($M259="","？ 減り数が未設定（商品マスタ）",IF($B$3=0,"？ 動員が未入力（動員を入れる）",IF($CA259="","○ 14日以上もつ",IF($BZ259&lt;N('設定'!$C$7),"● "&amp;TEXT($CA259,"m/d")&amp;"("&amp;CHOOSE(WEEKDAY($CA259),"日","月","火","水","木","金","土")&amp;")"&amp;" に切れる　至急発注",IF($BZ259=N('設定'!$C$7),"● "&amp;TEXT($CA259,"m/d")&amp;"("&amp;CHOOSE(WEEKDAY($CA259),"日","月","火","水","木","金","土")&amp;")"&amp;" に切れる　今日発注","△ "&amp;TEXT($CA259,"m/d")&amp;"("&amp;CHOOSE(WEEKDAY($CA259),"日","月","火","水","木","金","土")&amp;")"&amp;" に切れる　"&amp;TEXT($CA259-N('設定'!$C$7),"m/d")&amp;"("&amp;CHOOSE(WEEKDAY($CA259-N('設定'!$C$7)),"日","月","火","水","木","金","土")&amp;")"&amp;" までに発注"))))))))))</f>
        <v/>
      </c>
      <c r="CQ259">
        <f>IF($C259="","",IF(AND($P259="",$Q259="",$S259="",$T259=""),"",IF(AND($P259="",$Q259=""),"⚠ 先に1便目（左の入庫日・入庫数）に入れてください",IF($CI259&lt;&gt;"",$CI259,IF($CJ259&lt;&gt;"",$CJ259,IF($M259="","？ 減り数が未設定（発注書には載ります）",IF($B$3=0,"？ 動員が未入力（発注書には載ります）",IF(AND($CA259&lt;&gt;"",$P259&gt;$CA259),IF($P259&gt;'設定'!$C$6+N('設定'!$C$7),"● "&amp;TEXT($P259,"m/d")&amp;"("&amp;CHOOSE(WEEKDAY($P259),"日","月","火","水","木","金","土")&amp;")"&amp;" の入庫では間に合わない（"&amp;TEXT($CA259,"m/d")&amp;"("&amp;CHOOSE(WEEKDAY($CA259),"日","月","火","水","木","金","土")&amp;")"&amp;" に切れる）　入庫日を早める","△ 欠品 "&amp;TEXT($CA259,"m/d")&amp;"("&amp;CHOOSE(WEEKDAY($CA259),"日","月","火","水","木","金","土")&amp;")"&amp;"〜"&amp;TEXT($P259-1,"m/d")&amp;"("&amp;CHOOSE(WEEKDAY($P259-1),"日","月","火","水","木","金","土")&amp;")"&amp;"　"&amp;$CO259),IF($CC259="","○ "&amp;TEXT($P259,"m/d")&amp;"("&amp;CHOOSE(WEEKDAY($P259),"日","月","火","水","木","金","土")&amp;")"&amp;" 入庫で 14日以上もつ",IF($CC259-N('設定'!$C$7)&lt;='設定'!$C$6,"● 入庫しても "&amp;TEXT($CC259,"m/d")&amp;"("&amp;CHOOSE(WEEKDAY($CC259),"日","月","火","水","木","金","土")&amp;")"&amp;" に切れる　もう1便を至急発注（2便目に入れる）","△ 入庫しても "&amp;TEXT($CC259,"m/d")&amp;"("&amp;CHOOSE(WEEKDAY($CC259),"日","月","火","水","木","金","土")&amp;")"&amp;" に切れる　"&amp;TEXT($CC259-N('設定'!$C$7),"m/d")&amp;"("&amp;CHOOSE(WEEKDAY($CC259-N('設定'!$C$7)),"日","月","火","水","木","金","土")&amp;")"&amp;" までに次を発注（2便目に入れる）"))))))))))</f>
        <v/>
      </c>
      <c r="CR259">
        <f>IF($C259="","",IF($G259&gt;1,"ｹｰｽ("&amp;$G259&amp;"入)","個"))</f>
        <v/>
      </c>
      <c r="CS259">
        <f>IF($C259="",0,IF(COUNTIFS('①在庫を貼る'!$V$6:$V$10005,'設定'!$C$4,'①在庫を貼る'!$W$6:$W$10005,$C259)=0,1,0))</f>
        <v/>
      </c>
      <c r="CT259">
        <f>IF(AND($CK259=1,OR('③発注書'!$C$4="すべて",'③発注書'!$C$4="",$F259='③発注書'!$C$4)),N($CT258)+1,N($CT258))</f>
        <v/>
      </c>
      <c r="CU259">
        <f>IF(AND($CL259=1,OR('③発注書'!$C$4="すべて",'③発注書'!$C$4="",$F259='③発注書'!$C$4)),N($CU258)+1,N($CU258))</f>
        <v/>
      </c>
      <c r="CV259">
        <f>IF($C259="",0,IF(COUNTIFS('①在庫を貼る'!$V$6:$V$10005,'設定'!$C$4,'①在庫を貼る'!$W$6:$W$10005,$C259)&gt;0,1,0))</f>
        <v/>
      </c>
      <c r="CW259">
        <f>IF($C259="",0,IF(COUNTIFS('月1回_1ヶ月前の在庫'!$V$6:$V$10005,'設定'!$C$4,'月1回_1ヶ月前の在庫'!$W$6:$W$10005,$C259)&gt;0,1,0))</f>
        <v/>
      </c>
      <c r="CX259">
        <f>IF($C259="",0,IF(COUNTIFS('月1回_2ヶ月前の在庫'!$V$6:$V$10005,'設定'!$C$4,'月1回_2ヶ月前の在庫'!$W$6:$W$10005,$C259)&gt;0,1,0))</f>
        <v/>
      </c>
      <c r="CY259">
        <f>IF(OR($C259="",'設定'!$C$12=""),"",IF('設定'!$C$13="",IF(AND($CV259=1,$CW259=0),"新商品（今月から）",IF(AND($CV259=0,$CW259=1),"終売（今月から）","")),IF(AND($CV259=1,$CW259=0,$CX259=0),"新商品（今月から）",IF(AND($CV259=1,$CW259=1,$CX259=0),"新商品（先月から）",IF(AND($CV259=0,$CW259=1,$CX259=1),"終売（今月から）",IF(AND($CV259=0,$CW259=0,$CX259=1),"終売（先月から）",IF(AND($CV259=1,$CW259=0,$CX259=1),"復活（先月は無し）","")))))))</f>
        <v/>
      </c>
    </row>
    <row r="260">
      <c r="B260">
        <f>IF(255&lt;='設定'!$C$11,255,"")</f>
        <v/>
      </c>
      <c r="C260">
        <f>IF($B260="","",IF($B260&lt;='設定'!$C$20,INDEX('商品マスタ'!$B$6:$B$1005,MATCH($B260,'商品マスタ'!$M$6:$M$1005,0)),IF($B260&lt;='設定'!$C$20+'設定'!$C$17,INDEX('①在庫を貼る'!$W$6:$W$10005,MATCH($B260-'設定'!$C$20,'①在庫を貼る'!$U$6:$U$10005,0)),IF($B260&lt;='設定'!$C$20+'設定'!$C$17+'設定'!$C$18,INDEX('月1回_1ヶ月前の在庫'!$W$6:$W$10005,MATCH($B260-'設定'!$C$20-'設定'!$C$17,'月1回_1ヶ月前の在庫'!$U$6:$U$10005,0)),INDEX('月1回_2ヶ月前の在庫'!$W$6:$W$10005,MATCH($B260-'設定'!$C$20-'設定'!$C$17-'設定'!$C$18,'月1回_2ヶ月前の在庫'!$U$6:$U$10005,0))))))</f>
        <v/>
      </c>
      <c r="D260">
        <f>IF($C260="","",IFERROR(IF(INDEX('商品マスタ'!$C$6:$C$1005,MATCH($C260,'商品マスタ'!$B$6:$B$1005,0))="",IFERROR(INDEX('①在庫を貼る'!$J$6:$J$10005,MATCH($C260,'①在庫を貼る'!$W$6:$W$10005,0)),IFERROR(INDEX('月1回_1ヶ月前の在庫'!$J$6:$J$10005,MATCH($C260,'月1回_1ヶ月前の在庫'!$W$6:$W$10005,0)),IFERROR(INDEX('月1回_2ヶ月前の在庫'!$J$6:$J$10005,MATCH($C260,'月1回_2ヶ月前の在庫'!$W$6:$W$10005,0)),""))),INDEX('商品マスタ'!$C$6:$C$1005,MATCH($C260,'商品マスタ'!$B$6:$B$1005,0))),IFERROR(INDEX('①在庫を貼る'!$J$6:$J$10005,MATCH($C260,'①在庫を貼る'!$W$6:$W$10005,0)),IFERROR(INDEX('月1回_1ヶ月前の在庫'!$J$6:$J$10005,MATCH($C260,'月1回_1ヶ月前の在庫'!$W$6:$W$10005,0)),IFERROR(INDEX('月1回_2ヶ月前の在庫'!$J$6:$J$10005,MATCH($C260,'月1回_2ヶ月前の在庫'!$W$6:$W$10005,0)),"")))))</f>
        <v/>
      </c>
      <c r="E260">
        <f>IF($C260="","",IFERROR(IF(INDEX('商品マスタ'!$D$6:$D$1005,MATCH($C260,'商品マスタ'!$B$6:$B$1005,0))="",IFERROR(INDEX('①在庫を貼る'!$H$6:$H$10005,MATCH($C260,'①在庫を貼る'!$W$6:$W$10005,0)),IFERROR(INDEX('月1回_1ヶ月前の在庫'!$H$6:$H$10005,MATCH($C260,'月1回_1ヶ月前の在庫'!$W$6:$W$10005,0)),IFERROR(INDEX('月1回_2ヶ月前の在庫'!$H$6:$H$10005,MATCH($C260,'月1回_2ヶ月前の在庫'!$W$6:$W$10005,0)),""))),INDEX('商品マスタ'!$D$6:$D$1005,MATCH($C260,'商品マスタ'!$B$6:$B$1005,0))),IFERROR(INDEX('①在庫を貼る'!$H$6:$H$10005,MATCH($C260,'①在庫を貼る'!$W$6:$W$10005,0)),IFERROR(INDEX('月1回_1ヶ月前の在庫'!$H$6:$H$10005,MATCH($C260,'月1回_1ヶ月前の在庫'!$W$6:$W$10005,0)),IFERROR(INDEX('月1回_2ヶ月前の在庫'!$H$6:$H$10005,MATCH($C260,'月1回_2ヶ月前の在庫'!$W$6:$W$10005,0)),"")))))</f>
        <v/>
      </c>
      <c r="F260">
        <f>IF($C260="","",IFERROR(IF(INDEX('商品マスタ'!$E$6:$E$1005,MATCH($C260,'商品マスタ'!$B$6:$B$1005,0))="",IFERROR(INDEX('①在庫を貼る'!$E$6:$E$10005,MATCH($C260,'①在庫を貼る'!$W$6:$W$10005,0)),IFERROR(INDEX('月1回_1ヶ月前の在庫'!$E$6:$E$10005,MATCH($C260,'月1回_1ヶ月前の在庫'!$W$6:$W$10005,0)),IFERROR(INDEX('月1回_2ヶ月前の在庫'!$E$6:$E$10005,MATCH($C260,'月1回_2ヶ月前の在庫'!$W$6:$W$10005,0)),""))),INDEX('商品マスタ'!$E$6:$E$1005,MATCH($C260,'商品マスタ'!$B$6:$B$1005,0))),IFERROR(INDEX('①在庫を貼る'!$E$6:$E$10005,MATCH($C260,'①在庫を貼る'!$W$6:$W$10005,0)),IFERROR(INDEX('月1回_1ヶ月前の在庫'!$E$6:$E$10005,MATCH($C260,'月1回_1ヶ月前の在庫'!$W$6:$W$10005,0)),IFERROR(INDEX('月1回_2ヶ月前の在庫'!$E$6:$E$10005,MATCH($C260,'月1回_2ヶ月前の在庫'!$W$6:$W$10005,0)),"")))))</f>
        <v/>
      </c>
      <c r="G260">
        <f>IF($C260="","",MAX(1,N(IFERROR(IF(INDEX('商品マスタ'!$F$6:$F$1005,MATCH($C260,'商品マスタ'!$B$6:$B$1005,0))="",IF(COUNTIFS('①在庫を貼る'!$V$6:$V$10005,'設定'!$C$4,'①在庫を貼る'!$W$6:$W$10005,$C260)&gt;0,SUMIFS('①在庫を貼る'!$K$6:$K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K$6:$K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K$6:$K$10005,'月1回_2ヶ月前の在庫'!$V$6:$V$10005,'設定'!$C$4,'月1回_2ヶ月前の在庫'!$W$6:$W$10005,$C260)/COUNTIFS('月1回_2ヶ月前の在庫'!$V$6:$V$10005,'設定'!$C$4,'月1回_2ヶ月前の在庫'!$W$6:$W$10005,$C260),0))),INDEX('商品マスタ'!$F$6:$F$1005,MATCH($C260,'商品マスタ'!$B$6:$B$1005,0))),IF(COUNTIFS('①在庫を貼る'!$V$6:$V$10005,'設定'!$C$4,'①在庫を貼る'!$W$6:$W$10005,$C260)&gt;0,SUMIFS('①在庫を貼る'!$K$6:$K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K$6:$K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K$6:$K$10005,'月1回_2ヶ月前の在庫'!$V$6:$V$10005,'設定'!$C$4,'月1回_2ヶ月前の在庫'!$W$6:$W$10005,$C260)/COUNTIFS('月1回_2ヶ月前の在庫'!$V$6:$V$10005,'設定'!$C$4,'月1回_2ヶ月前の在庫'!$W$6:$W$10005,$C260),0)))))))</f>
        <v/>
      </c>
      <c r="H260">
        <f>IF($C260="","",N(IFERROR(IF(INDEX('商品マスタ'!$G$6:$G$1005,MATCH($C260,'商品マスタ'!$B$6:$B$1005,0))="",IF(COUNTIFS('①在庫を貼る'!$V$6:$V$10005,'設定'!$C$4,'①在庫を貼る'!$W$6:$W$10005,$C260)&gt;0,SUMIFS('①在庫を貼る'!$Q$6:$Q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Q$6:$Q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Q$6:$Q$10005,'月1回_2ヶ月前の在庫'!$V$6:$V$10005,'設定'!$C$4,'月1回_2ヶ月前の在庫'!$W$6:$W$10005,$C260)/COUNTIFS('月1回_2ヶ月前の在庫'!$V$6:$V$10005,'設定'!$C$4,'月1回_2ヶ月前の在庫'!$W$6:$W$10005,$C260),0))),INDEX('商品マスタ'!$G$6:$G$1005,MATCH($C260,'商品マスタ'!$B$6:$B$1005,0))),IF(COUNTIFS('①在庫を貼る'!$V$6:$V$10005,'設定'!$C$4,'①在庫を貼る'!$W$6:$W$10005,$C260)&gt;0,SUMIFS('①在庫を貼る'!$Q$6:$Q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Q$6:$Q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Q$6:$Q$10005,'月1回_2ヶ月前の在庫'!$V$6:$V$10005,'設定'!$C$4,'月1回_2ヶ月前の在庫'!$W$6:$W$10005,$C260)/COUNTIFS('月1回_2ヶ月前の在庫'!$V$6:$V$10005,'設定'!$C$4,'月1回_2ヶ月前の在庫'!$W$6:$W$10005,$C260),0))))))</f>
        <v/>
      </c>
      <c r="I260">
        <f>IF($C260="","",IF(COUNTIFS('①在庫を貼る'!$V$6:$V$10005,'設定'!$C$4,'①在庫を貼る'!$W$6:$W$10005,$C260)=0,"",SUMIFS('①在庫を貼る'!$N$6:$N$10005,'①在庫を貼る'!$V$6:$V$10005,'設定'!$C$4,'①在庫を貼る'!$W$6:$W$10005,$C260)))</f>
        <v/>
      </c>
      <c r="J260">
        <f>IF($C260="","",IF('②発注する'!$AD264="","",'②発注する'!$AD264))</f>
        <v/>
      </c>
      <c r="K260" s="90">
        <f>IF($C260="","",IF('②発注する'!$AE264="","",'②発注する'!$AE264))</f>
        <v/>
      </c>
      <c r="L260">
        <f>IF($C260="","",IF(AND(ISNUMBER($J260),ISNUMBER($K260),$K260&gt;='設定'!$C$6),$J260,N($I260)))</f>
        <v/>
      </c>
      <c r="M260">
        <f>IF($C260="","",IFERROR(IF(N(INDEX('商品マスタ'!$J$6:$J$1005,MATCH($C260,'商品マスタ'!$B$6:$B$1005,0)))&gt;0,INDEX('商品マスタ'!$J$6:$J$1005,MATCH($C260,'商品マスタ'!$B$6:$B$1005,0)),""),""))</f>
        <v/>
      </c>
      <c r="N260">
        <f>IF($C260="","",IFERROR(IF(N(INDEX('商品マスタ'!$H$6:$H$1005,MATCH($C260,'商品マスタ'!$B$6:$B$1005,0)))&gt;0,INDEX('商品マスタ'!$H$6:$H$1005,MATCH($C260,'商品マスタ'!$B$6:$B$1005,0)),""),""))</f>
        <v/>
      </c>
      <c r="O260">
        <f>IF($C260="","",IF($N260&lt;&gt;"",$N260*$G260,IF(N(IF(COUNTIFS('①在庫を貼る'!$V$6:$V$10005,'設定'!$C$4,'①在庫を貼る'!$W$6:$W$10005,$C260)&gt;0,SUMIFS('①在庫を貼る'!$O$6:$O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O$6:$O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O$6:$O$10005,'月1回_2ヶ月前の在庫'!$V$6:$V$10005,'設定'!$C$4,'月1回_2ヶ月前の在庫'!$W$6:$W$10005,$C260)/COUNTIFS('月1回_2ヶ月前の在庫'!$V$6:$V$10005,'設定'!$C$4,'月1回_2ヶ月前の在庫'!$W$6:$W$10005,$C260),0))))&gt;0,N(IF(COUNTIFS('①在庫を貼る'!$V$6:$V$10005,'設定'!$C$4,'①在庫を貼る'!$W$6:$W$10005,$C260)&gt;0,SUMIFS('①在庫を貼る'!$O$6:$O$10005,'①在庫を貼る'!$V$6:$V$10005,'設定'!$C$4,'①在庫を貼る'!$W$6:$W$10005,$C260)/COUNTIFS('①在庫を貼る'!$V$6:$V$10005,'設定'!$C$4,'①在庫を貼る'!$W$6:$W$10005,$C260),IF(COUNTIFS('月1回_1ヶ月前の在庫'!$V$6:$V$10005,'設定'!$C$4,'月1回_1ヶ月前の在庫'!$W$6:$W$10005,$C260)&gt;0,SUMIFS('月1回_1ヶ月前の在庫'!$O$6:$O$10005,'月1回_1ヶ月前の在庫'!$V$6:$V$10005,'設定'!$C$4,'月1回_1ヶ月前の在庫'!$W$6:$W$10005,$C260)/COUNTIFS('月1回_1ヶ月前の在庫'!$V$6:$V$10005,'設定'!$C$4,'月1回_1ヶ月前の在庫'!$W$6:$W$10005,$C260),IF(COUNTIFS('月1回_2ヶ月前の在庫'!$V$6:$V$10005,'設定'!$C$4,'月1回_2ヶ月前の在庫'!$W$6:$W$10005,$C260)&gt;0,SUMIFS('月1回_2ヶ月前の在庫'!$O$6:$O$10005,'月1回_2ヶ月前の在庫'!$V$6:$V$10005,'設定'!$C$4,'月1回_2ヶ月前の在庫'!$W$6:$W$10005,$C260)/COUNTIFS('月1回_2ヶ月前の在庫'!$V$6:$V$10005,'設定'!$C$4,'月1回_2ヶ月前の在庫'!$W$6:$W$10005,$C260),0)))),"")))</f>
        <v/>
      </c>
      <c r="P260" s="90">
        <f>IF($C260="","",IF('②発注する'!$I264="","",'②発注する'!$I264))</f>
        <v/>
      </c>
      <c r="Q260">
        <f>IF($C260="","",IF('②発注する'!$J264="","",'②発注する'!$J264))</f>
        <v/>
      </c>
      <c r="R260">
        <f>IF($C260="",0,IF(AND(ISNUMBER($P260),ISNUMBER($Q260)),MAX(0,$Q260)*$G260,0))</f>
        <v/>
      </c>
      <c r="S260" s="90">
        <f>IF($C260="","",IF('②発注する'!$M264="","",'②発注する'!$M264))</f>
        <v/>
      </c>
      <c r="T260">
        <f>IF($C260="","",IF('②発注する'!$N264="","",'②発注する'!$N264))</f>
        <v/>
      </c>
      <c r="U260">
        <f>IF($C260="",0,IF(AND(ISNUMBER($S260),ISNUMBER($T260)),MAX(0,$T260)*$G260,0))</f>
        <v/>
      </c>
      <c r="V260">
        <f>IF($C260="",0,IF($M260="",0,MAX(0,$M260)*MAX(0,V$4)/100))</f>
        <v/>
      </c>
      <c r="W260">
        <f>IF($C260="",0,IF($M260="",0,MAX(0,$M260)*MAX(0,W$4)/100))</f>
        <v/>
      </c>
      <c r="X260">
        <f>IF($C260="",0,IF($M260="",0,MAX(0,$M260)*MAX(0,X$4)/100))</f>
        <v/>
      </c>
      <c r="Y260">
        <f>IF($C260="",0,IF($M260="",0,MAX(0,$M260)*MAX(0,Y$4)/100))</f>
        <v/>
      </c>
      <c r="Z260">
        <f>IF($C260="",0,IF($M260="",0,MAX(0,$M260)*MAX(0,Z$4)/100))</f>
        <v/>
      </c>
      <c r="AA260">
        <f>IF($C260="",0,IF($M260="",0,MAX(0,$M260)*MAX(0,AA$4)/100))</f>
        <v/>
      </c>
      <c r="AB260">
        <f>IF($C260="",0,IF($M260="",0,MAX(0,$M260)*MAX(0,AB$4)/100))</f>
        <v/>
      </c>
      <c r="AC260">
        <f>IF($C260="",0,IF($M260="",0,MAX(0,$M260)*MAX(0,AC$4)/100))</f>
        <v/>
      </c>
      <c r="AD260">
        <f>IF($C260="",0,IF($M260="",0,MAX(0,$M260)*MAX(0,AD$4)/100))</f>
        <v/>
      </c>
      <c r="AE260">
        <f>IF($C260="",0,IF($M260="",0,MAX(0,$M260)*MAX(0,AE$4)/100))</f>
        <v/>
      </c>
      <c r="AF260">
        <f>IF($C260="",0,IF($M260="",0,MAX(0,$M260)*MAX(0,AF$4)/100))</f>
        <v/>
      </c>
      <c r="AG260">
        <f>IF($C260="",0,IF($M260="",0,MAX(0,$M260)*MAX(0,AG$4)/100))</f>
        <v/>
      </c>
      <c r="AH260">
        <f>IF($C260="",0,IF($M260="",0,MAX(0,$M260)*MAX(0,AH$4)/100))</f>
        <v/>
      </c>
      <c r="AI260">
        <f>IF($C260="",0,IF($M260="",0,MAX(0,$M260)*MAX(0,AI$4)/100))</f>
        <v/>
      </c>
      <c r="AJ260">
        <f>IF($C260="",0,MAX(0,MAX(0,N($L260))-$V260))</f>
        <v/>
      </c>
      <c r="AK260">
        <f>IF($C260="",0,MAX(0,$AJ260-$W260))</f>
        <v/>
      </c>
      <c r="AL260">
        <f>IF($C260="",0,MAX(0,$AK260-$X260))</f>
        <v/>
      </c>
      <c r="AM260">
        <f>IF($C260="",0,MAX(0,$AL260-$Y260))</f>
        <v/>
      </c>
      <c r="AN260">
        <f>IF($C260="",0,MAX(0,$AM260-$Z260))</f>
        <v/>
      </c>
      <c r="AO260">
        <f>IF($C260="",0,MAX(0,$AN260-$AA260))</f>
        <v/>
      </c>
      <c r="AP260">
        <f>IF($C260="",0,MAX(0,$AO260-$AB260))</f>
        <v/>
      </c>
      <c r="AQ260">
        <f>IF($C260="",0,MAX(0,$AP260-$AC260))</f>
        <v/>
      </c>
      <c r="AR260">
        <f>IF($C260="",0,MAX(0,$AQ260-$AD260))</f>
        <v/>
      </c>
      <c r="AS260">
        <f>IF($C260="",0,MAX(0,$AR260-$AE260))</f>
        <v/>
      </c>
      <c r="AT260">
        <f>IF($C260="",0,MAX(0,$AS260-$AF260))</f>
        <v/>
      </c>
      <c r="AU260">
        <f>IF($C260="",0,MAX(0,$AT260-$AG260))</f>
        <v/>
      </c>
      <c r="AV260">
        <f>IF($C260="",0,MAX(0,$AU260-$AH260))</f>
        <v/>
      </c>
      <c r="AW260">
        <f>IF($C260="",0,MAX(0,$AV260-$AI260))</f>
        <v/>
      </c>
      <c r="AX260">
        <f>IF($C260="",0,MAX(0,MAX(0,N($L260))+IF($P260=V$3,$R260,0)+IF($S260=V$3,$U260,0)-$V260))</f>
        <v/>
      </c>
      <c r="AY260">
        <f>IF($C260="",0,MAX(0,$AX260+IF($P260=W$3,$R260,0)+IF($S260=W$3,$U260,0)-$W260))</f>
        <v/>
      </c>
      <c r="AZ260">
        <f>IF($C260="",0,MAX(0,$AY260+IF($P260=X$3,$R260,0)+IF($S260=X$3,$U260,0)-$X260))</f>
        <v/>
      </c>
      <c r="BA260">
        <f>IF($C260="",0,MAX(0,$AZ260+IF($P260=Y$3,$R260,0)+IF($S260=Y$3,$U260,0)-$Y260))</f>
        <v/>
      </c>
      <c r="BB260">
        <f>IF($C260="",0,MAX(0,$BA260+IF($P260=Z$3,$R260,0)+IF($S260=Z$3,$U260,0)-$Z260))</f>
        <v/>
      </c>
      <c r="BC260">
        <f>IF($C260="",0,MAX(0,$BB260+IF($P260=AA$3,$R260,0)+IF($S260=AA$3,$U260,0)-$AA260))</f>
        <v/>
      </c>
      <c r="BD260">
        <f>IF($C260="",0,MAX(0,$BC260+IF($P260=AB$3,$R260,0)+IF($S260=AB$3,$U260,0)-$AB260))</f>
        <v/>
      </c>
      <c r="BE260">
        <f>IF($C260="",0,MAX(0,$BD260+IF($P260=AC$3,$R260,0)+IF($S260=AC$3,$U260,0)-$AC260))</f>
        <v/>
      </c>
      <c r="BF260">
        <f>IF($C260="",0,MAX(0,$BE260+IF($P260=AD$3,$R260,0)+IF($S260=AD$3,$U260,0)-$AD260))</f>
        <v/>
      </c>
      <c r="BG260">
        <f>IF($C260="",0,MAX(0,$BF260+IF($P260=AE$3,$R260,0)+IF($S260=AE$3,$U260,0)-$AE260))</f>
        <v/>
      </c>
      <c r="BH260">
        <f>IF($C260="",0,MAX(0,$BG260+IF($P260=AF$3,$R260,0)+IF($S260=AF$3,$U260,0)-$AF260))</f>
        <v/>
      </c>
      <c r="BI260">
        <f>IF($C260="",0,MAX(0,$BH260+IF($P260=AG$3,$R260,0)+IF($S260=AG$3,$U260,0)-$AG260))</f>
        <v/>
      </c>
      <c r="BJ260">
        <f>IF($C260="",0,MAX(0,$BI260+IF($P260=AH$3,$R260,0)+IF($S260=AH$3,$U260,0)-$AH260))</f>
        <v/>
      </c>
      <c r="BK260">
        <f>IF($C260="",0,MAX(0,$BJ260+IF($P260=AI$3,$R260,0)+IF($S260=AI$3,$U260,0)-$AI260))</f>
        <v/>
      </c>
      <c r="BL260">
        <f>IF($C260="",99,IF(AND($AX260&lt;1,V$3&gt;=MAX(N($P260),N($S260))),0,99))</f>
        <v/>
      </c>
      <c r="BM260">
        <f>IF($C260="",99,IF(AND($AY260&lt;1,W$3&gt;=MAX(N($P260),N($S260))),1,99))</f>
        <v/>
      </c>
      <c r="BN260">
        <f>IF($C260="",99,IF(AND($AZ260&lt;1,X$3&gt;=MAX(N($P260),N($S260))),2,99))</f>
        <v/>
      </c>
      <c r="BO260">
        <f>IF($C260="",99,IF(AND($BA260&lt;1,Y$3&gt;=MAX(N($P260),N($S260))),3,99))</f>
        <v/>
      </c>
      <c r="BP260">
        <f>IF($C260="",99,IF(AND($BB260&lt;1,Z$3&gt;=MAX(N($P260),N($S260))),4,99))</f>
        <v/>
      </c>
      <c r="BQ260">
        <f>IF($C260="",99,IF(AND($BC260&lt;1,AA$3&gt;=MAX(N($P260),N($S260))),5,99))</f>
        <v/>
      </c>
      <c r="BR260">
        <f>IF($C260="",99,IF(AND($BD260&lt;1,AB$3&gt;=MAX(N($P260),N($S260))),6,99))</f>
        <v/>
      </c>
      <c r="BS260">
        <f>IF($C260="",99,IF(AND($BE260&lt;1,AC$3&gt;=MAX(N($P260),N($S260))),7,99))</f>
        <v/>
      </c>
      <c r="BT260">
        <f>IF($C260="",99,IF(AND($BF260&lt;1,AD$3&gt;=MAX(N($P260),N($S260))),8,99))</f>
        <v/>
      </c>
      <c r="BU260">
        <f>IF($C260="",99,IF(AND($BG260&lt;1,AE$3&gt;=MAX(N($P260),N($S260))),9,99))</f>
        <v/>
      </c>
      <c r="BV260">
        <f>IF($C260="",99,IF(AND($BH260&lt;1,AF$3&gt;=MAX(N($P260),N($S260))),10,99))</f>
        <v/>
      </c>
      <c r="BW260">
        <f>IF($C260="",99,IF(AND($BI260&lt;1,AG$3&gt;=MAX(N($P260),N($S260))),11,99))</f>
        <v/>
      </c>
      <c r="BX260">
        <f>IF($C260="",99,IF(AND($BJ260&lt;1,AH$3&gt;=MAX(N($P260),N($S260))),12,99))</f>
        <v/>
      </c>
      <c r="BY260">
        <f>IF($C260="",99,IF(AND($BK260&lt;1,AI$3&gt;=MAX(N($P260),N($S260))),13,99))</f>
        <v/>
      </c>
      <c r="BZ260">
        <f>IF(OR($C260="",$M260=""),"",COUNTIF($AJ260:$AW260,"&gt;=1"))</f>
        <v/>
      </c>
      <c r="CA260" s="90">
        <f>IF($BZ260="","",IF($BZ260&gt;=14,"",'設定'!$C$6+$BZ260))</f>
        <v/>
      </c>
      <c r="CB260">
        <f>IF(OR($C260="",$M260=""),"",MIN($BL260:$BY260))</f>
        <v/>
      </c>
      <c r="CC260" s="90">
        <f>IF($CB260="","",IF($CB260&gt;=99,"",'設定'!$C$6+$CB260))</f>
        <v/>
      </c>
      <c r="CD260">
        <f>IF(OR($C260="",$M260=""),"",AVERAGE($V260:$AI260))</f>
        <v/>
      </c>
      <c r="CE260">
        <f>IF($C260="","",IFERROR(IF(MATCH(IF(ISNUMBER($P260),$P260,'設定'!$C$6+N('設定'!$C$7)),$V$3:$AI$3,0)=1,MAX(0,N($L260)),INDEX($AJ260:$AW260,MATCH(IF(ISNUMBER($P260),$P260,'設定'!$C$6+N('設定'!$C$7)),$V$3:$AI$3,0)-1)),""))</f>
        <v/>
      </c>
      <c r="CF260">
        <f>IF(OR($C260="",$O260="",$CE260=""),"",IF($O260-$CE260&lt;=0,0,ROUNDUP(($O260-$CE260)/$G260,0)))</f>
        <v/>
      </c>
      <c r="CG260">
        <f>IF(OR($C260="",$CF260="",NOT(ISNUMBER($Q260))),0,MAX(0,$Q260-$CF260))</f>
        <v/>
      </c>
      <c r="CH260">
        <f>IF(OR($C260="",$O260="",$U260=0),0,IFERROR(ROUNDUP(MAX(0,IF(MATCH($S260,$V$3:$AI$3,0)=1,MAX(0,N($L260)),INDEX($AX260:$BK260,MATCH($S260,$V$3:$AI$3,0)-1))+$U260-$O260)/$G260,0),0))</f>
        <v/>
      </c>
      <c r="CI260">
        <f>IF($C260="","",IF(AND($P260="",$Q260=""),"",IF($P260="","⚠ 入庫日を ▼ から選んでください",IF(NOT(ISNUMBER($P260)),"⚠ 入庫日は ▼ から選んでください",IF($P260&lt;N('設定'!$C$6),"⚠ 入庫日が過去です（もう在庫に入っています）→ 消してください",IF($P260&gt;N('設定'!$C$6)+13,"⚠ 入庫日が14日より先です",IF(N($Q260)&lt;=0,"⚠ 入庫数を入れてください",IF($CG260&gt;0,"⚠ 目安より "&amp;$CG260&amp;" 多い（定数を超える）→ 減らす",""))))))))</f>
        <v/>
      </c>
      <c r="CJ260">
        <f>IF($C260="","",IF(AND($S260="",$T260=""),"",IF($S260="","⚠ 2便目：入庫日を ▼ から選んでください",IF(NOT(ISNUMBER($S260)),"⚠ 2便目：入庫日は ▼ から選んでください",IF($S260&lt;N('設定'!$C$6),"⚠ 2便目：入庫日が過去です（もう在庫に入っています）→ 消してください",IF($S260&gt;N('設定'!$C$6)+13,"⚠ 2便目：入庫日が14日より先です",IF(N($T260)&lt;=0,"⚠ 2便目：入庫数を入れてください",IF($CH260&gt;0,"⚠ 2便目：定数を "&amp;$CH260&amp;" ケース超える → 減らす",""))))))))</f>
        <v/>
      </c>
      <c r="CK260">
        <f>IF(AND($CI260="",N($Q260)&gt;0,ISNUMBER($P260)),1,0)</f>
        <v/>
      </c>
      <c r="CL260">
        <f>IF(AND($CJ260="",N($T260)&gt;0,ISNUMBER($S260)),1,0)</f>
        <v/>
      </c>
      <c r="CM260">
        <f>IF(OR($CK260=1,$CL260=1),1,0)</f>
        <v/>
      </c>
      <c r="CN260">
        <f>IF($C260="",0,($CK260*$R260+$CL260*$U260)*N($H260))</f>
        <v/>
      </c>
      <c r="CO260">
        <f>IF($C260="","",IF($CC260="","入庫後は 14日以上もつ",IF($CC260-N('設定'!$C$7)&lt;='設定'!$C$6,"入庫後も "&amp;TEXT($CC260,"m/d")&amp;"("&amp;CHOOSE(WEEKDAY($CC260),"日","月","火","水","木","金","土")&amp;")"&amp;" に切れる　もう1便を至急発注","入庫後も "&amp;TEXT($CC260,"m/d")&amp;"("&amp;CHOOSE(WEEKDAY($CC260),"日","月","火","水","木","金","土")&amp;")"&amp;" に切れる　"&amp;TEXT($CC260-N('設定'!$C$7),"m/d")&amp;"("&amp;CHOOSE(WEEKDAY($CC260-N('設定'!$C$7)),"日","月","火","水","木","金","土")&amp;")"&amp;" までに次を発注")))</f>
        <v/>
      </c>
      <c r="CP260">
        <f>IF($C260="","",IF('設定'!$C$6="","？ ①在庫を貼る に今日のCSVが貼られていない",IF($CS260=1,"－ 今日のCSVに無い（終売？）",IF($L260&lt;0,"● 在庫がマイナス　数えて「数えた在庫」に入れる",IF($L260=0,"● 在庫なし　至急発注",IF($M260="","？ 減り数が未設定（商品マスタ）",IF($B$3=0,"？ 動員が未入力（動員を入れる）",IF($CA260="","○ 14日以上もつ",IF($BZ260&lt;N('設定'!$C$7),"● "&amp;TEXT($CA260,"m/d")&amp;"("&amp;CHOOSE(WEEKDAY($CA260),"日","月","火","水","木","金","土")&amp;")"&amp;" に切れる　至急発注",IF($BZ260=N('設定'!$C$7),"● "&amp;TEXT($CA260,"m/d")&amp;"("&amp;CHOOSE(WEEKDAY($CA260),"日","月","火","水","木","金","土")&amp;")"&amp;" に切れる　今日発注","△ "&amp;TEXT($CA260,"m/d")&amp;"("&amp;CHOOSE(WEEKDAY($CA260),"日","月","火","水","木","金","土")&amp;")"&amp;" に切れる　"&amp;TEXT($CA260-N('設定'!$C$7),"m/d")&amp;"("&amp;CHOOSE(WEEKDAY($CA260-N('設定'!$C$7)),"日","月","火","水","木","金","土")&amp;")"&amp;" までに発注"))))))))))</f>
        <v/>
      </c>
      <c r="CQ260">
        <f>IF($C260="","",IF(AND($P260="",$Q260="",$S260="",$T260=""),"",IF(AND($P260="",$Q260=""),"⚠ 先に1便目（左の入庫日・入庫数）に入れてください",IF($CI260&lt;&gt;"",$CI260,IF($CJ260&lt;&gt;"",$CJ260,IF($M260="","？ 減り数が未設定（発注書には載ります）",IF($B$3=0,"？ 動員が未入力（発注書には載ります）",IF(AND($CA260&lt;&gt;"",$P260&gt;$CA260),IF($P260&gt;'設定'!$C$6+N('設定'!$C$7),"● "&amp;TEXT($P260,"m/d")&amp;"("&amp;CHOOSE(WEEKDAY($P260),"日","月","火","水","木","金","土")&amp;")"&amp;" の入庫では間に合わない（"&amp;TEXT($CA260,"m/d")&amp;"("&amp;CHOOSE(WEEKDAY($CA260),"日","月","火","水","木","金","土")&amp;")"&amp;" に切れる）　入庫日を早める","△ 欠品 "&amp;TEXT($CA260,"m/d")&amp;"("&amp;CHOOSE(WEEKDAY($CA260),"日","月","火","水","木","金","土")&amp;")"&amp;"〜"&amp;TEXT($P260-1,"m/d")&amp;"("&amp;CHOOSE(WEEKDAY($P260-1),"日","月","火","水","木","金","土")&amp;")"&amp;"　"&amp;$CO260),IF($CC260="","○ "&amp;TEXT($P260,"m/d")&amp;"("&amp;CHOOSE(WEEKDAY($P260),"日","月","火","水","木","金","土")&amp;")"&amp;" 入庫で 14日以上もつ",IF($CC260-N('設定'!$C$7)&lt;='設定'!$C$6,"● 入庫しても "&amp;TEXT($CC260,"m/d")&amp;"("&amp;CHOOSE(WEEKDAY($CC260),"日","月","火","水","木","金","土")&amp;")"&amp;" に切れる　もう1便を至急発注（2便目に入れる）","△ 入庫しても "&amp;TEXT($CC260,"m/d")&amp;"("&amp;CHOOSE(WEEKDAY($CC260),"日","月","火","水","木","金","土")&amp;")"&amp;" に切れる　"&amp;TEXT($CC260-N('設定'!$C$7),"m/d")&amp;"("&amp;CHOOSE(WEEKDAY($CC260-N('設定'!$C$7)),"日","月","火","水","木","金","土")&amp;")"&amp;" までに次を発注（2便目に入れる）"))))))))))</f>
        <v/>
      </c>
      <c r="CR260">
        <f>IF($C260="","",IF($G260&gt;1,"ｹｰｽ("&amp;$G260&amp;"入)","個"))</f>
        <v/>
      </c>
      <c r="CS260">
        <f>IF($C260="",0,IF(COUNTIFS('①在庫を貼る'!$V$6:$V$10005,'設定'!$C$4,'①在庫を貼る'!$W$6:$W$10005,$C260)=0,1,0))</f>
        <v/>
      </c>
      <c r="CT260">
        <f>IF(AND($CK260=1,OR('③発注書'!$C$4="すべて",'③発注書'!$C$4="",$F260='③発注書'!$C$4)),N($CT259)+1,N($CT259))</f>
        <v/>
      </c>
      <c r="CU260">
        <f>IF(AND($CL260=1,OR('③発注書'!$C$4="すべて",'③発注書'!$C$4="",$F260='③発注書'!$C$4)),N($CU259)+1,N($CU259))</f>
        <v/>
      </c>
      <c r="CV260">
        <f>IF($C260="",0,IF(COUNTIFS('①在庫を貼る'!$V$6:$V$10005,'設定'!$C$4,'①在庫を貼る'!$W$6:$W$10005,$C260)&gt;0,1,0))</f>
        <v/>
      </c>
      <c r="CW260">
        <f>IF($C260="",0,IF(COUNTIFS('月1回_1ヶ月前の在庫'!$V$6:$V$10005,'設定'!$C$4,'月1回_1ヶ月前の在庫'!$W$6:$W$10005,$C260)&gt;0,1,0))</f>
        <v/>
      </c>
      <c r="CX260">
        <f>IF($C260="",0,IF(COUNTIFS('月1回_2ヶ月前の在庫'!$V$6:$V$10005,'設定'!$C$4,'月1回_2ヶ月前の在庫'!$W$6:$W$10005,$C260)&gt;0,1,0))</f>
        <v/>
      </c>
      <c r="CY260">
        <f>IF(OR($C260="",'設定'!$C$12=""),"",IF('設定'!$C$13="",IF(AND($CV260=1,$CW260=0),"新商品（今月から）",IF(AND($CV260=0,$CW260=1),"終売（今月から）","")),IF(AND($CV260=1,$CW260=0,$CX260=0),"新商品（今月から）",IF(AND($CV260=1,$CW260=1,$CX260=0),"新商品（先月から）",IF(AND($CV260=0,$CW260=1,$CX260=1),"終売（今月から）",IF(AND($CV260=0,$CW260=0,$CX260=1),"終売（先月から）",IF(AND($CV260=1,$CW260=0,$CX260=1),"復活（先月は無し）","")))))))</f>
        <v/>
      </c>
    </row>
    <row r="261">
      <c r="B261">
        <f>IF(256&lt;='設定'!$C$11,256,"")</f>
        <v/>
      </c>
      <c r="C261">
        <f>IF($B261="","",IF($B261&lt;='設定'!$C$20,INDEX('商品マスタ'!$B$6:$B$1005,MATCH($B261,'商品マスタ'!$M$6:$M$1005,0)),IF($B261&lt;='設定'!$C$20+'設定'!$C$17,INDEX('①在庫を貼る'!$W$6:$W$10005,MATCH($B261-'設定'!$C$20,'①在庫を貼る'!$U$6:$U$10005,0)),IF($B261&lt;='設定'!$C$20+'設定'!$C$17+'設定'!$C$18,INDEX('月1回_1ヶ月前の在庫'!$W$6:$W$10005,MATCH($B261-'設定'!$C$20-'設定'!$C$17,'月1回_1ヶ月前の在庫'!$U$6:$U$10005,0)),INDEX('月1回_2ヶ月前の在庫'!$W$6:$W$10005,MATCH($B261-'設定'!$C$20-'設定'!$C$17-'設定'!$C$18,'月1回_2ヶ月前の在庫'!$U$6:$U$10005,0))))))</f>
        <v/>
      </c>
      <c r="D261">
        <f>IF($C261="","",IFERROR(IF(INDEX('商品マスタ'!$C$6:$C$1005,MATCH($C261,'商品マスタ'!$B$6:$B$1005,0))="",IFERROR(INDEX('①在庫を貼る'!$J$6:$J$10005,MATCH($C261,'①在庫を貼る'!$W$6:$W$10005,0)),IFERROR(INDEX('月1回_1ヶ月前の在庫'!$J$6:$J$10005,MATCH($C261,'月1回_1ヶ月前の在庫'!$W$6:$W$10005,0)),IFERROR(INDEX('月1回_2ヶ月前の在庫'!$J$6:$J$10005,MATCH($C261,'月1回_2ヶ月前の在庫'!$W$6:$W$10005,0)),""))),INDEX('商品マスタ'!$C$6:$C$1005,MATCH($C261,'商品マスタ'!$B$6:$B$1005,0))),IFERROR(INDEX('①在庫を貼る'!$J$6:$J$10005,MATCH($C261,'①在庫を貼る'!$W$6:$W$10005,0)),IFERROR(INDEX('月1回_1ヶ月前の在庫'!$J$6:$J$10005,MATCH($C261,'月1回_1ヶ月前の在庫'!$W$6:$W$10005,0)),IFERROR(INDEX('月1回_2ヶ月前の在庫'!$J$6:$J$10005,MATCH($C261,'月1回_2ヶ月前の在庫'!$W$6:$W$10005,0)),"")))))</f>
        <v/>
      </c>
      <c r="E261">
        <f>IF($C261="","",IFERROR(IF(INDEX('商品マスタ'!$D$6:$D$1005,MATCH($C261,'商品マスタ'!$B$6:$B$1005,0))="",IFERROR(INDEX('①在庫を貼る'!$H$6:$H$10005,MATCH($C261,'①在庫を貼る'!$W$6:$W$10005,0)),IFERROR(INDEX('月1回_1ヶ月前の在庫'!$H$6:$H$10005,MATCH($C261,'月1回_1ヶ月前の在庫'!$W$6:$W$10005,0)),IFERROR(INDEX('月1回_2ヶ月前の在庫'!$H$6:$H$10005,MATCH($C261,'月1回_2ヶ月前の在庫'!$W$6:$W$10005,0)),""))),INDEX('商品マスタ'!$D$6:$D$1005,MATCH($C261,'商品マスタ'!$B$6:$B$1005,0))),IFERROR(INDEX('①在庫を貼る'!$H$6:$H$10005,MATCH($C261,'①在庫を貼る'!$W$6:$W$10005,0)),IFERROR(INDEX('月1回_1ヶ月前の在庫'!$H$6:$H$10005,MATCH($C261,'月1回_1ヶ月前の在庫'!$W$6:$W$10005,0)),IFERROR(INDEX('月1回_2ヶ月前の在庫'!$H$6:$H$10005,MATCH($C261,'月1回_2ヶ月前の在庫'!$W$6:$W$10005,0)),"")))))</f>
        <v/>
      </c>
      <c r="F261">
        <f>IF($C261="","",IFERROR(IF(INDEX('商品マスタ'!$E$6:$E$1005,MATCH($C261,'商品マスタ'!$B$6:$B$1005,0))="",IFERROR(INDEX('①在庫を貼る'!$E$6:$E$10005,MATCH($C261,'①在庫を貼る'!$W$6:$W$10005,0)),IFERROR(INDEX('月1回_1ヶ月前の在庫'!$E$6:$E$10005,MATCH($C261,'月1回_1ヶ月前の在庫'!$W$6:$W$10005,0)),IFERROR(INDEX('月1回_2ヶ月前の在庫'!$E$6:$E$10005,MATCH($C261,'月1回_2ヶ月前の在庫'!$W$6:$W$10005,0)),""))),INDEX('商品マスタ'!$E$6:$E$1005,MATCH($C261,'商品マスタ'!$B$6:$B$1005,0))),IFERROR(INDEX('①在庫を貼る'!$E$6:$E$10005,MATCH($C261,'①在庫を貼る'!$W$6:$W$10005,0)),IFERROR(INDEX('月1回_1ヶ月前の在庫'!$E$6:$E$10005,MATCH($C261,'月1回_1ヶ月前の在庫'!$W$6:$W$10005,0)),IFERROR(INDEX('月1回_2ヶ月前の在庫'!$E$6:$E$10005,MATCH($C261,'月1回_2ヶ月前の在庫'!$W$6:$W$10005,0)),"")))))</f>
        <v/>
      </c>
      <c r="G261">
        <f>IF($C261="","",MAX(1,N(IFERROR(IF(INDEX('商品マスタ'!$F$6:$F$1005,MATCH($C261,'商品マスタ'!$B$6:$B$1005,0))="",IF(COUNTIFS('①在庫を貼る'!$V$6:$V$10005,'設定'!$C$4,'①在庫を貼る'!$W$6:$W$10005,$C261)&gt;0,SUMIFS('①在庫を貼る'!$K$6:$K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K$6:$K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K$6:$K$10005,'月1回_2ヶ月前の在庫'!$V$6:$V$10005,'設定'!$C$4,'月1回_2ヶ月前の在庫'!$W$6:$W$10005,$C261)/COUNTIFS('月1回_2ヶ月前の在庫'!$V$6:$V$10005,'設定'!$C$4,'月1回_2ヶ月前の在庫'!$W$6:$W$10005,$C261),0))),INDEX('商品マスタ'!$F$6:$F$1005,MATCH($C261,'商品マスタ'!$B$6:$B$1005,0))),IF(COUNTIFS('①在庫を貼る'!$V$6:$V$10005,'設定'!$C$4,'①在庫を貼る'!$W$6:$W$10005,$C261)&gt;0,SUMIFS('①在庫を貼る'!$K$6:$K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K$6:$K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K$6:$K$10005,'月1回_2ヶ月前の在庫'!$V$6:$V$10005,'設定'!$C$4,'月1回_2ヶ月前の在庫'!$W$6:$W$10005,$C261)/COUNTIFS('月1回_2ヶ月前の在庫'!$V$6:$V$10005,'設定'!$C$4,'月1回_2ヶ月前の在庫'!$W$6:$W$10005,$C261),0)))))))</f>
        <v/>
      </c>
      <c r="H261">
        <f>IF($C261="","",N(IFERROR(IF(INDEX('商品マスタ'!$G$6:$G$1005,MATCH($C261,'商品マスタ'!$B$6:$B$1005,0))="",IF(COUNTIFS('①在庫を貼る'!$V$6:$V$10005,'設定'!$C$4,'①在庫を貼る'!$W$6:$W$10005,$C261)&gt;0,SUMIFS('①在庫を貼る'!$Q$6:$Q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Q$6:$Q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Q$6:$Q$10005,'月1回_2ヶ月前の在庫'!$V$6:$V$10005,'設定'!$C$4,'月1回_2ヶ月前の在庫'!$W$6:$W$10005,$C261)/COUNTIFS('月1回_2ヶ月前の在庫'!$V$6:$V$10005,'設定'!$C$4,'月1回_2ヶ月前の在庫'!$W$6:$W$10005,$C261),0))),INDEX('商品マスタ'!$G$6:$G$1005,MATCH($C261,'商品マスタ'!$B$6:$B$1005,0))),IF(COUNTIFS('①在庫を貼る'!$V$6:$V$10005,'設定'!$C$4,'①在庫を貼る'!$W$6:$W$10005,$C261)&gt;0,SUMIFS('①在庫を貼る'!$Q$6:$Q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Q$6:$Q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Q$6:$Q$10005,'月1回_2ヶ月前の在庫'!$V$6:$V$10005,'設定'!$C$4,'月1回_2ヶ月前の在庫'!$W$6:$W$10005,$C261)/COUNTIFS('月1回_2ヶ月前の在庫'!$V$6:$V$10005,'設定'!$C$4,'月1回_2ヶ月前の在庫'!$W$6:$W$10005,$C261),0))))))</f>
        <v/>
      </c>
      <c r="I261">
        <f>IF($C261="","",IF(COUNTIFS('①在庫を貼る'!$V$6:$V$10005,'設定'!$C$4,'①在庫を貼る'!$W$6:$W$10005,$C261)=0,"",SUMIFS('①在庫を貼る'!$N$6:$N$10005,'①在庫を貼る'!$V$6:$V$10005,'設定'!$C$4,'①在庫を貼る'!$W$6:$W$10005,$C261)))</f>
        <v/>
      </c>
      <c r="J261">
        <f>IF($C261="","",IF('②発注する'!$AD265="","",'②発注する'!$AD265))</f>
        <v/>
      </c>
      <c r="K261" s="90">
        <f>IF($C261="","",IF('②発注する'!$AE265="","",'②発注する'!$AE265))</f>
        <v/>
      </c>
      <c r="L261">
        <f>IF($C261="","",IF(AND(ISNUMBER($J261),ISNUMBER($K261),$K261&gt;='設定'!$C$6),$J261,N($I261)))</f>
        <v/>
      </c>
      <c r="M261">
        <f>IF($C261="","",IFERROR(IF(N(INDEX('商品マスタ'!$J$6:$J$1005,MATCH($C261,'商品マスタ'!$B$6:$B$1005,0)))&gt;0,INDEX('商品マスタ'!$J$6:$J$1005,MATCH($C261,'商品マスタ'!$B$6:$B$1005,0)),""),""))</f>
        <v/>
      </c>
      <c r="N261">
        <f>IF($C261="","",IFERROR(IF(N(INDEX('商品マスタ'!$H$6:$H$1005,MATCH($C261,'商品マスタ'!$B$6:$B$1005,0)))&gt;0,INDEX('商品マスタ'!$H$6:$H$1005,MATCH($C261,'商品マスタ'!$B$6:$B$1005,0)),""),""))</f>
        <v/>
      </c>
      <c r="O261">
        <f>IF($C261="","",IF($N261&lt;&gt;"",$N261*$G261,IF(N(IF(COUNTIFS('①在庫を貼る'!$V$6:$V$10005,'設定'!$C$4,'①在庫を貼る'!$W$6:$W$10005,$C261)&gt;0,SUMIFS('①在庫を貼る'!$O$6:$O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O$6:$O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O$6:$O$10005,'月1回_2ヶ月前の在庫'!$V$6:$V$10005,'設定'!$C$4,'月1回_2ヶ月前の在庫'!$W$6:$W$10005,$C261)/COUNTIFS('月1回_2ヶ月前の在庫'!$V$6:$V$10005,'設定'!$C$4,'月1回_2ヶ月前の在庫'!$W$6:$W$10005,$C261),0))))&gt;0,N(IF(COUNTIFS('①在庫を貼る'!$V$6:$V$10005,'設定'!$C$4,'①在庫を貼る'!$W$6:$W$10005,$C261)&gt;0,SUMIFS('①在庫を貼る'!$O$6:$O$10005,'①在庫を貼る'!$V$6:$V$10005,'設定'!$C$4,'①在庫を貼る'!$W$6:$W$10005,$C261)/COUNTIFS('①在庫を貼る'!$V$6:$V$10005,'設定'!$C$4,'①在庫を貼る'!$W$6:$W$10005,$C261),IF(COUNTIFS('月1回_1ヶ月前の在庫'!$V$6:$V$10005,'設定'!$C$4,'月1回_1ヶ月前の在庫'!$W$6:$W$10005,$C261)&gt;0,SUMIFS('月1回_1ヶ月前の在庫'!$O$6:$O$10005,'月1回_1ヶ月前の在庫'!$V$6:$V$10005,'設定'!$C$4,'月1回_1ヶ月前の在庫'!$W$6:$W$10005,$C261)/COUNTIFS('月1回_1ヶ月前の在庫'!$V$6:$V$10005,'設定'!$C$4,'月1回_1ヶ月前の在庫'!$W$6:$W$10005,$C261),IF(COUNTIFS('月1回_2ヶ月前の在庫'!$V$6:$V$10005,'設定'!$C$4,'月1回_2ヶ月前の在庫'!$W$6:$W$10005,$C261)&gt;0,SUMIFS('月1回_2ヶ月前の在庫'!$O$6:$O$10005,'月1回_2ヶ月前の在庫'!$V$6:$V$10005,'設定'!$C$4,'月1回_2ヶ月前の在庫'!$W$6:$W$10005,$C261)/COUNTIFS('月1回_2ヶ月前の在庫'!$V$6:$V$10005,'設定'!$C$4,'月1回_2ヶ月前の在庫'!$W$6:$W$10005,$C261),0)))),"")))</f>
        <v/>
      </c>
      <c r="P261" s="90">
        <f>IF($C261="","",IF('②発注する'!$I265="","",'②発注する'!$I265))</f>
        <v/>
      </c>
      <c r="Q261">
        <f>IF($C261="","",IF('②発注する'!$J265="","",'②発注する'!$J265))</f>
        <v/>
      </c>
      <c r="R261">
        <f>IF($C261="",0,IF(AND(ISNUMBER($P261),ISNUMBER($Q261)),MAX(0,$Q261)*$G261,0))</f>
        <v/>
      </c>
      <c r="S261" s="90">
        <f>IF($C261="","",IF('②発注する'!$M265="","",'②発注する'!$M265))</f>
        <v/>
      </c>
      <c r="T261">
        <f>IF($C261="","",IF('②発注する'!$N265="","",'②発注する'!$N265))</f>
        <v/>
      </c>
      <c r="U261">
        <f>IF($C261="",0,IF(AND(ISNUMBER($S261),ISNUMBER($T261)),MAX(0,$T261)*$G261,0))</f>
        <v/>
      </c>
      <c r="V261">
        <f>IF($C261="",0,IF($M261="",0,MAX(0,$M261)*MAX(0,V$4)/100))</f>
        <v/>
      </c>
      <c r="W261">
        <f>IF($C261="",0,IF($M261="",0,MAX(0,$M261)*MAX(0,W$4)/100))</f>
        <v/>
      </c>
      <c r="X261">
        <f>IF($C261="",0,IF($M261="",0,MAX(0,$M261)*MAX(0,X$4)/100))</f>
        <v/>
      </c>
      <c r="Y261">
        <f>IF($C261="",0,IF($M261="",0,MAX(0,$M261)*MAX(0,Y$4)/100))</f>
        <v/>
      </c>
      <c r="Z261">
        <f>IF($C261="",0,IF($M261="",0,MAX(0,$M261)*MAX(0,Z$4)/100))</f>
        <v/>
      </c>
      <c r="AA261">
        <f>IF($C261="",0,IF($M261="",0,MAX(0,$M261)*MAX(0,AA$4)/100))</f>
        <v/>
      </c>
      <c r="AB261">
        <f>IF($C261="",0,IF($M261="",0,MAX(0,$M261)*MAX(0,AB$4)/100))</f>
        <v/>
      </c>
      <c r="AC261">
        <f>IF($C261="",0,IF($M261="",0,MAX(0,$M261)*MAX(0,AC$4)/100))</f>
        <v/>
      </c>
      <c r="AD261">
        <f>IF($C261="",0,IF($M261="",0,MAX(0,$M261)*MAX(0,AD$4)/100))</f>
        <v/>
      </c>
      <c r="AE261">
        <f>IF($C261="",0,IF($M261="",0,MAX(0,$M261)*MAX(0,AE$4)/100))</f>
        <v/>
      </c>
      <c r="AF261">
        <f>IF($C261="",0,IF($M261="",0,MAX(0,$M261)*MAX(0,AF$4)/100))</f>
        <v/>
      </c>
      <c r="AG261">
        <f>IF($C261="",0,IF($M261="",0,MAX(0,$M261)*MAX(0,AG$4)/100))</f>
        <v/>
      </c>
      <c r="AH261">
        <f>IF($C261="",0,IF($M261="",0,MAX(0,$M261)*MAX(0,AH$4)/100))</f>
        <v/>
      </c>
      <c r="AI261">
        <f>IF($C261="",0,IF($M261="",0,MAX(0,$M261)*MAX(0,AI$4)/100))</f>
        <v/>
      </c>
      <c r="AJ261">
        <f>IF($C261="",0,MAX(0,MAX(0,N($L261))-$V261))</f>
        <v/>
      </c>
      <c r="AK261">
        <f>IF($C261="",0,MAX(0,$AJ261-$W261))</f>
        <v/>
      </c>
      <c r="AL261">
        <f>IF($C261="",0,MAX(0,$AK261-$X261))</f>
        <v/>
      </c>
      <c r="AM261">
        <f>IF($C261="",0,MAX(0,$AL261-$Y261))</f>
        <v/>
      </c>
      <c r="AN261">
        <f>IF($C261="",0,MAX(0,$AM261-$Z261))</f>
        <v/>
      </c>
      <c r="AO261">
        <f>IF($C261="",0,MAX(0,$AN261-$AA261))</f>
        <v/>
      </c>
      <c r="AP261">
        <f>IF($C261="",0,MAX(0,$AO261-$AB261))</f>
        <v/>
      </c>
      <c r="AQ261">
        <f>IF($C261="",0,MAX(0,$AP261-$AC261))</f>
        <v/>
      </c>
      <c r="AR261">
        <f>IF($C261="",0,MAX(0,$AQ261-$AD261))</f>
        <v/>
      </c>
      <c r="AS261">
        <f>IF($C261="",0,MAX(0,$AR261-$AE261))</f>
        <v/>
      </c>
      <c r="AT261">
        <f>IF($C261="",0,MAX(0,$AS261-$AF261))</f>
        <v/>
      </c>
      <c r="AU261">
        <f>IF($C261="",0,MAX(0,$AT261-$AG261))</f>
        <v/>
      </c>
      <c r="AV261">
        <f>IF($C261="",0,MAX(0,$AU261-$AH261))</f>
        <v/>
      </c>
      <c r="AW261">
        <f>IF($C261="",0,MAX(0,$AV261-$AI261))</f>
        <v/>
      </c>
      <c r="AX261">
        <f>IF($C261="",0,MAX(0,MAX(0,N($L261))+IF($P261=V$3,$R261,0)+IF($S261=V$3,$U261,0)-$V261))</f>
        <v/>
      </c>
      <c r="AY261">
        <f>IF($C261="",0,MAX(0,$AX261+IF($P261=W$3,$R261,0)+IF($S261=W$3,$U261,0)-$W261))</f>
        <v/>
      </c>
      <c r="AZ261">
        <f>IF($C261="",0,MAX(0,$AY261+IF($P261=X$3,$R261,0)+IF($S261=X$3,$U261,0)-$X261))</f>
        <v/>
      </c>
      <c r="BA261">
        <f>IF($C261="",0,MAX(0,$AZ261+IF($P261=Y$3,$R261,0)+IF($S261=Y$3,$U261,0)-$Y261))</f>
        <v/>
      </c>
      <c r="BB261">
        <f>IF($C261="",0,MAX(0,$BA261+IF($P261=Z$3,$R261,0)+IF($S261=Z$3,$U261,0)-$Z261))</f>
        <v/>
      </c>
      <c r="BC261">
        <f>IF($C261="",0,MAX(0,$BB261+IF($P261=AA$3,$R261,0)+IF($S261=AA$3,$U261,0)-$AA261))</f>
        <v/>
      </c>
      <c r="BD261">
        <f>IF($C261="",0,MAX(0,$BC261+IF($P261=AB$3,$R261,0)+IF($S261=AB$3,$U261,0)-$AB261))</f>
        <v/>
      </c>
      <c r="BE261">
        <f>IF($C261="",0,MAX(0,$BD261+IF($P261=AC$3,$R261,0)+IF($S261=AC$3,$U261,0)-$AC261))</f>
        <v/>
      </c>
      <c r="BF261">
        <f>IF($C261="",0,MAX(0,$BE261+IF($P261=AD$3,$R261,0)+IF($S261=AD$3,$U261,0)-$AD261))</f>
        <v/>
      </c>
      <c r="BG261">
        <f>IF($C261="",0,MAX(0,$BF261+IF($P261=AE$3,$R261,0)+IF($S261=AE$3,$U261,0)-$AE261))</f>
        <v/>
      </c>
      <c r="BH261">
        <f>IF($C261="",0,MAX(0,$BG261+IF($P261=AF$3,$R261,0)+IF($S261=AF$3,$U261,0)-$AF261))</f>
        <v/>
      </c>
      <c r="BI261">
        <f>IF($C261="",0,MAX(0,$BH261+IF($P261=AG$3,$R261,0)+IF($S261=AG$3,$U261,0)-$AG261))</f>
        <v/>
      </c>
      <c r="BJ261">
        <f>IF($C261="",0,MAX(0,$BI261+IF($P261=AH$3,$R261,0)+IF($S261=AH$3,$U261,0)-$AH261))</f>
        <v/>
      </c>
      <c r="BK261">
        <f>IF($C261="",0,MAX(0,$BJ261+IF($P261=AI$3,$R261,0)+IF($S261=AI$3,$U261,0)-$AI261))</f>
        <v/>
      </c>
      <c r="BL261">
        <f>IF($C261="",99,IF(AND($AX261&lt;1,V$3&gt;=MAX(N($P261),N($S261))),0,99))</f>
        <v/>
      </c>
      <c r="BM261">
        <f>IF($C261="",99,IF(AND($AY261&lt;1,W$3&gt;=MAX(N($P261),N($S261))),1,99))</f>
        <v/>
      </c>
      <c r="BN261">
        <f>IF($C261="",99,IF(AND($AZ261&lt;1,X$3&gt;=MAX(N($P261),N($S261))),2,99))</f>
        <v/>
      </c>
      <c r="BO261">
        <f>IF($C261="",99,IF(AND($BA261&lt;1,Y$3&gt;=MAX(N($P261),N($S261))),3,99))</f>
        <v/>
      </c>
      <c r="BP261">
        <f>IF($C261="",99,IF(AND($BB261&lt;1,Z$3&gt;=MAX(N($P261),N($S261))),4,99))</f>
        <v/>
      </c>
      <c r="BQ261">
        <f>IF($C261="",99,IF(AND($BC261&lt;1,AA$3&gt;=MAX(N($P261),N($S261))),5,99))</f>
        <v/>
      </c>
      <c r="BR261">
        <f>IF($C261="",99,IF(AND($BD261&lt;1,AB$3&gt;=MAX(N($P261),N($S261))),6,99))</f>
        <v/>
      </c>
      <c r="BS261">
        <f>IF($C261="",99,IF(AND($BE261&lt;1,AC$3&gt;=MAX(N($P261),N($S261))),7,99))</f>
        <v/>
      </c>
      <c r="BT261">
        <f>IF($C261="",99,IF(AND($BF261&lt;1,AD$3&gt;=MAX(N($P261),N($S261))),8,99))</f>
        <v/>
      </c>
      <c r="BU261">
        <f>IF($C261="",99,IF(AND($BG261&lt;1,AE$3&gt;=MAX(N($P261),N($S261))),9,99))</f>
        <v/>
      </c>
      <c r="BV261">
        <f>IF($C261="",99,IF(AND($BH261&lt;1,AF$3&gt;=MAX(N($P261),N($S261))),10,99))</f>
        <v/>
      </c>
      <c r="BW261">
        <f>IF($C261="",99,IF(AND($BI261&lt;1,AG$3&gt;=MAX(N($P261),N($S261))),11,99))</f>
        <v/>
      </c>
      <c r="BX261">
        <f>IF($C261="",99,IF(AND($BJ261&lt;1,AH$3&gt;=MAX(N($P261),N($S261))),12,99))</f>
        <v/>
      </c>
      <c r="BY261">
        <f>IF($C261="",99,IF(AND($BK261&lt;1,AI$3&gt;=MAX(N($P261),N($S261))),13,99))</f>
        <v/>
      </c>
      <c r="BZ261">
        <f>IF(OR($C261="",$M261=""),"",COUNTIF($AJ261:$AW261,"&gt;=1"))</f>
        <v/>
      </c>
      <c r="CA261" s="90">
        <f>IF($BZ261="","",IF($BZ261&gt;=14,"",'設定'!$C$6+$BZ261))</f>
        <v/>
      </c>
      <c r="CB261">
        <f>IF(OR($C261="",$M261=""),"",MIN($BL261:$BY261))</f>
        <v/>
      </c>
      <c r="CC261" s="90">
        <f>IF($CB261="","",IF($CB261&gt;=99,"",'設定'!$C$6+$CB261))</f>
        <v/>
      </c>
      <c r="CD261">
        <f>IF(OR($C261="",$M261=""),"",AVERAGE($V261:$AI261))</f>
        <v/>
      </c>
      <c r="CE261">
        <f>IF($C261="","",IFERROR(IF(MATCH(IF(ISNUMBER($P261),$P261,'設定'!$C$6+N('設定'!$C$7)),$V$3:$AI$3,0)=1,MAX(0,N($L261)),INDEX($AJ261:$AW261,MATCH(IF(ISNUMBER($P261),$P261,'設定'!$C$6+N('設定'!$C$7)),$V$3:$AI$3,0)-1)),""))</f>
        <v/>
      </c>
      <c r="CF261">
        <f>IF(OR($C261="",$O261="",$CE261=""),"",IF($O261-$CE261&lt;=0,0,ROUNDUP(($O261-$CE261)/$G261,0)))</f>
        <v/>
      </c>
      <c r="CG261">
        <f>IF(OR($C261="",$CF261="",NOT(ISNUMBER($Q261))),0,MAX(0,$Q261-$CF261))</f>
        <v/>
      </c>
      <c r="CH261">
        <f>IF(OR($C261="",$O261="",$U261=0),0,IFERROR(ROUNDUP(MAX(0,IF(MATCH($S261,$V$3:$AI$3,0)=1,MAX(0,N($L261)),INDEX($AX261:$BK261,MATCH($S261,$V$3:$AI$3,0)-1))+$U261-$O261)/$G261,0),0))</f>
        <v/>
      </c>
      <c r="CI261">
        <f>IF($C261="","",IF(AND($P261="",$Q261=""),"",IF($P261="","⚠ 入庫日を ▼ から選んでください",IF(NOT(ISNUMBER($P261)),"⚠ 入庫日は ▼ から選んでください",IF($P261&lt;N('設定'!$C$6),"⚠ 入庫日が過去です（もう在庫に入っています）→ 消してください",IF($P261&gt;N('設定'!$C$6)+13,"⚠ 入庫日が14日より先です",IF(N($Q261)&lt;=0,"⚠ 入庫数を入れてください",IF($CG261&gt;0,"⚠ 目安より "&amp;$CG261&amp;" 多い（定数を超える）→ 減らす",""))))))))</f>
        <v/>
      </c>
      <c r="CJ261">
        <f>IF($C261="","",IF(AND($S261="",$T261=""),"",IF($S261="","⚠ 2便目：入庫日を ▼ から選んでください",IF(NOT(ISNUMBER($S261)),"⚠ 2便目：入庫日は ▼ から選んでください",IF($S261&lt;N('設定'!$C$6),"⚠ 2便目：入庫日が過去です（もう在庫に入っています）→ 消してください",IF($S261&gt;N('設定'!$C$6)+13,"⚠ 2便目：入庫日が14日より先です",IF(N($T261)&lt;=0,"⚠ 2便目：入庫数を入れてください",IF($CH261&gt;0,"⚠ 2便目：定数を "&amp;$CH261&amp;" ケース超える → 減らす",""))))))))</f>
        <v/>
      </c>
      <c r="CK261">
        <f>IF(AND($CI261="",N($Q261)&gt;0,ISNUMBER($P261)),1,0)</f>
        <v/>
      </c>
      <c r="CL261">
        <f>IF(AND($CJ261="",N($T261)&gt;0,ISNUMBER($S261)),1,0)</f>
        <v/>
      </c>
      <c r="CM261">
        <f>IF(OR($CK261=1,$CL261=1),1,0)</f>
        <v/>
      </c>
      <c r="CN261">
        <f>IF($C261="",0,($CK261*$R261+$CL261*$U261)*N($H261))</f>
        <v/>
      </c>
      <c r="CO261">
        <f>IF($C261="","",IF($CC261="","入庫後は 14日以上もつ",IF($CC261-N('設定'!$C$7)&lt;='設定'!$C$6,"入庫後も "&amp;TEXT($CC261,"m/d")&amp;"("&amp;CHOOSE(WEEKDAY($CC261),"日","月","火","水","木","金","土")&amp;")"&amp;" に切れる　もう1便を至急発注","入庫後も "&amp;TEXT($CC261,"m/d")&amp;"("&amp;CHOOSE(WEEKDAY($CC261),"日","月","火","水","木","金","土")&amp;")"&amp;" に切れる　"&amp;TEXT($CC261-N('設定'!$C$7),"m/d")&amp;"("&amp;CHOOSE(WEEKDAY($CC261-N('設定'!$C$7)),"日","月","火","水","木","金","土")&amp;")"&amp;" までに次を発注")))</f>
        <v/>
      </c>
      <c r="CP261">
        <f>IF($C261="","",IF('設定'!$C$6="","？ ①在庫を貼る に今日のCSVが貼られていない",IF($CS261=1,"－ 今日のCSVに無い（終売？）",IF($L261&lt;0,"● 在庫がマイナス　数えて「数えた在庫」に入れる",IF($L261=0,"● 在庫なし　至急発注",IF($M261="","？ 減り数が未設定（商品マスタ）",IF($B$3=0,"？ 動員が未入力（動員を入れる）",IF($CA261="","○ 14日以上もつ",IF($BZ261&lt;N('設定'!$C$7),"● "&amp;TEXT($CA261,"m/d")&amp;"("&amp;CHOOSE(WEEKDAY($CA261),"日","月","火","水","木","金","土")&amp;")"&amp;" に切れる　至急発注",IF($BZ261=N('設定'!$C$7),"● "&amp;TEXT($CA261,"m/d")&amp;"("&amp;CHOOSE(WEEKDAY($CA261),"日","月","火","水","木","金","土")&amp;")"&amp;" に切れる　今日発注","△ "&amp;TEXT($CA261,"m/d")&amp;"("&amp;CHOOSE(WEEKDAY($CA261),"日","月","火","水","木","金","土")&amp;")"&amp;" に切れる　"&amp;TEXT($CA261-N('設定'!$C$7),"m/d")&amp;"("&amp;CHOOSE(WEEKDAY($CA261-N('設定'!$C$7)),"日","月","火","水","木","金","土")&amp;")"&amp;" までに発注"))))))))))</f>
        <v/>
      </c>
      <c r="CQ261">
        <f>IF($C261="","",IF(AND($P261="",$Q261="",$S261="",$T261=""),"",IF(AND($P261="",$Q261=""),"⚠ 先に1便目（左の入庫日・入庫数）に入れてください",IF($CI261&lt;&gt;"",$CI261,IF($CJ261&lt;&gt;"",$CJ261,IF($M261="","？ 減り数が未設定（発注書には載ります）",IF($B$3=0,"？ 動員が未入力（発注書には載ります）",IF(AND($CA261&lt;&gt;"",$P261&gt;$CA261),IF($P261&gt;'設定'!$C$6+N('設定'!$C$7),"● "&amp;TEXT($P261,"m/d")&amp;"("&amp;CHOOSE(WEEKDAY($P261),"日","月","火","水","木","金","土")&amp;")"&amp;" の入庫では間に合わない（"&amp;TEXT($CA261,"m/d")&amp;"("&amp;CHOOSE(WEEKDAY($CA261),"日","月","火","水","木","金","土")&amp;")"&amp;" に切れる）　入庫日を早める","△ 欠品 "&amp;TEXT($CA261,"m/d")&amp;"("&amp;CHOOSE(WEEKDAY($CA261),"日","月","火","水","木","金","土")&amp;")"&amp;"〜"&amp;TEXT($P261-1,"m/d")&amp;"("&amp;CHOOSE(WEEKDAY($P261-1),"日","月","火","水","木","金","土")&amp;")"&amp;"　"&amp;$CO261),IF($CC261="","○ "&amp;TEXT($P261,"m/d")&amp;"("&amp;CHOOSE(WEEKDAY($P261),"日","月","火","水","木","金","土")&amp;")"&amp;" 入庫で 14日以上もつ",IF($CC261-N('設定'!$C$7)&lt;='設定'!$C$6,"● 入庫しても "&amp;TEXT($CC261,"m/d")&amp;"("&amp;CHOOSE(WEEKDAY($CC261),"日","月","火","水","木","金","土")&amp;")"&amp;" に切れる　もう1便を至急発注（2便目に入れる）","△ 入庫しても "&amp;TEXT($CC261,"m/d")&amp;"("&amp;CHOOSE(WEEKDAY($CC261),"日","月","火","水","木","金","土")&amp;")"&amp;" に切れる　"&amp;TEXT($CC261-N('設定'!$C$7),"m/d")&amp;"("&amp;CHOOSE(WEEKDAY($CC261-N('設定'!$C$7)),"日","月","火","水","木","金","土")&amp;")"&amp;" までに次を発注（2便目に入れる）"))))))))))</f>
        <v/>
      </c>
      <c r="CR261">
        <f>IF($C261="","",IF($G261&gt;1,"ｹｰｽ("&amp;$G261&amp;"入)","個"))</f>
        <v/>
      </c>
      <c r="CS261">
        <f>IF($C261="",0,IF(COUNTIFS('①在庫を貼る'!$V$6:$V$10005,'設定'!$C$4,'①在庫を貼る'!$W$6:$W$10005,$C261)=0,1,0))</f>
        <v/>
      </c>
      <c r="CT261">
        <f>IF(AND($CK261=1,OR('③発注書'!$C$4="すべて",'③発注書'!$C$4="",$F261='③発注書'!$C$4)),N($CT260)+1,N($CT260))</f>
        <v/>
      </c>
      <c r="CU261">
        <f>IF(AND($CL261=1,OR('③発注書'!$C$4="すべて",'③発注書'!$C$4="",$F261='③発注書'!$C$4)),N($CU260)+1,N($CU260))</f>
        <v/>
      </c>
      <c r="CV261">
        <f>IF($C261="",0,IF(COUNTIFS('①在庫を貼る'!$V$6:$V$10005,'設定'!$C$4,'①在庫を貼る'!$W$6:$W$10005,$C261)&gt;0,1,0))</f>
        <v/>
      </c>
      <c r="CW261">
        <f>IF($C261="",0,IF(COUNTIFS('月1回_1ヶ月前の在庫'!$V$6:$V$10005,'設定'!$C$4,'月1回_1ヶ月前の在庫'!$W$6:$W$10005,$C261)&gt;0,1,0))</f>
        <v/>
      </c>
      <c r="CX261">
        <f>IF($C261="",0,IF(COUNTIFS('月1回_2ヶ月前の在庫'!$V$6:$V$10005,'設定'!$C$4,'月1回_2ヶ月前の在庫'!$W$6:$W$10005,$C261)&gt;0,1,0))</f>
        <v/>
      </c>
      <c r="CY261">
        <f>IF(OR($C261="",'設定'!$C$12=""),"",IF('設定'!$C$13="",IF(AND($CV261=1,$CW261=0),"新商品（今月から）",IF(AND($CV261=0,$CW261=1),"終売（今月から）","")),IF(AND($CV261=1,$CW261=0,$CX261=0),"新商品（今月から）",IF(AND($CV261=1,$CW261=1,$CX261=0),"新商品（先月から）",IF(AND($CV261=0,$CW261=1,$CX261=1),"終売（今月から）",IF(AND($CV261=0,$CW261=0,$CX261=1),"終売（先月から）",IF(AND($CV261=1,$CW261=0,$CX261=1),"復活（先月は無し）","")))))))</f>
        <v/>
      </c>
    </row>
    <row r="262">
      <c r="B262">
        <f>IF(257&lt;='設定'!$C$11,257,"")</f>
        <v/>
      </c>
      <c r="C262">
        <f>IF($B262="","",IF($B262&lt;='設定'!$C$20,INDEX('商品マスタ'!$B$6:$B$1005,MATCH($B262,'商品マスタ'!$M$6:$M$1005,0)),IF($B262&lt;='設定'!$C$20+'設定'!$C$17,INDEX('①在庫を貼る'!$W$6:$W$10005,MATCH($B262-'設定'!$C$20,'①在庫を貼る'!$U$6:$U$10005,0)),IF($B262&lt;='設定'!$C$20+'設定'!$C$17+'設定'!$C$18,INDEX('月1回_1ヶ月前の在庫'!$W$6:$W$10005,MATCH($B262-'設定'!$C$20-'設定'!$C$17,'月1回_1ヶ月前の在庫'!$U$6:$U$10005,0)),INDEX('月1回_2ヶ月前の在庫'!$W$6:$W$10005,MATCH($B262-'設定'!$C$20-'設定'!$C$17-'設定'!$C$18,'月1回_2ヶ月前の在庫'!$U$6:$U$10005,0))))))</f>
        <v/>
      </c>
      <c r="D262">
        <f>IF($C262="","",IFERROR(IF(INDEX('商品マスタ'!$C$6:$C$1005,MATCH($C262,'商品マスタ'!$B$6:$B$1005,0))="",IFERROR(INDEX('①在庫を貼る'!$J$6:$J$10005,MATCH($C262,'①在庫を貼る'!$W$6:$W$10005,0)),IFERROR(INDEX('月1回_1ヶ月前の在庫'!$J$6:$J$10005,MATCH($C262,'月1回_1ヶ月前の在庫'!$W$6:$W$10005,0)),IFERROR(INDEX('月1回_2ヶ月前の在庫'!$J$6:$J$10005,MATCH($C262,'月1回_2ヶ月前の在庫'!$W$6:$W$10005,0)),""))),INDEX('商品マスタ'!$C$6:$C$1005,MATCH($C262,'商品マスタ'!$B$6:$B$1005,0))),IFERROR(INDEX('①在庫を貼る'!$J$6:$J$10005,MATCH($C262,'①在庫を貼る'!$W$6:$W$10005,0)),IFERROR(INDEX('月1回_1ヶ月前の在庫'!$J$6:$J$10005,MATCH($C262,'月1回_1ヶ月前の在庫'!$W$6:$W$10005,0)),IFERROR(INDEX('月1回_2ヶ月前の在庫'!$J$6:$J$10005,MATCH($C262,'月1回_2ヶ月前の在庫'!$W$6:$W$10005,0)),"")))))</f>
        <v/>
      </c>
      <c r="E262">
        <f>IF($C262="","",IFERROR(IF(INDEX('商品マスタ'!$D$6:$D$1005,MATCH($C262,'商品マスタ'!$B$6:$B$1005,0))="",IFERROR(INDEX('①在庫を貼る'!$H$6:$H$10005,MATCH($C262,'①在庫を貼る'!$W$6:$W$10005,0)),IFERROR(INDEX('月1回_1ヶ月前の在庫'!$H$6:$H$10005,MATCH($C262,'月1回_1ヶ月前の在庫'!$W$6:$W$10005,0)),IFERROR(INDEX('月1回_2ヶ月前の在庫'!$H$6:$H$10005,MATCH($C262,'月1回_2ヶ月前の在庫'!$W$6:$W$10005,0)),""))),INDEX('商品マスタ'!$D$6:$D$1005,MATCH($C262,'商品マスタ'!$B$6:$B$1005,0))),IFERROR(INDEX('①在庫を貼る'!$H$6:$H$10005,MATCH($C262,'①在庫を貼る'!$W$6:$W$10005,0)),IFERROR(INDEX('月1回_1ヶ月前の在庫'!$H$6:$H$10005,MATCH($C262,'月1回_1ヶ月前の在庫'!$W$6:$W$10005,0)),IFERROR(INDEX('月1回_2ヶ月前の在庫'!$H$6:$H$10005,MATCH($C262,'月1回_2ヶ月前の在庫'!$W$6:$W$10005,0)),"")))))</f>
        <v/>
      </c>
      <c r="F262">
        <f>IF($C262="","",IFERROR(IF(INDEX('商品マスタ'!$E$6:$E$1005,MATCH($C262,'商品マスタ'!$B$6:$B$1005,0))="",IFERROR(INDEX('①在庫を貼る'!$E$6:$E$10005,MATCH($C262,'①在庫を貼る'!$W$6:$W$10005,0)),IFERROR(INDEX('月1回_1ヶ月前の在庫'!$E$6:$E$10005,MATCH($C262,'月1回_1ヶ月前の在庫'!$W$6:$W$10005,0)),IFERROR(INDEX('月1回_2ヶ月前の在庫'!$E$6:$E$10005,MATCH($C262,'月1回_2ヶ月前の在庫'!$W$6:$W$10005,0)),""))),INDEX('商品マスタ'!$E$6:$E$1005,MATCH($C262,'商品マスタ'!$B$6:$B$1005,0))),IFERROR(INDEX('①在庫を貼る'!$E$6:$E$10005,MATCH($C262,'①在庫を貼る'!$W$6:$W$10005,0)),IFERROR(INDEX('月1回_1ヶ月前の在庫'!$E$6:$E$10005,MATCH($C262,'月1回_1ヶ月前の在庫'!$W$6:$W$10005,0)),IFERROR(INDEX('月1回_2ヶ月前の在庫'!$E$6:$E$10005,MATCH($C262,'月1回_2ヶ月前の在庫'!$W$6:$W$10005,0)),"")))))</f>
        <v/>
      </c>
      <c r="G262">
        <f>IF($C262="","",MAX(1,N(IFERROR(IF(INDEX('商品マスタ'!$F$6:$F$1005,MATCH($C262,'商品マスタ'!$B$6:$B$1005,0))="",IF(COUNTIFS('①在庫を貼る'!$V$6:$V$10005,'設定'!$C$4,'①在庫を貼る'!$W$6:$W$10005,$C262)&gt;0,SUMIFS('①在庫を貼る'!$K$6:$K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K$6:$K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K$6:$K$10005,'月1回_2ヶ月前の在庫'!$V$6:$V$10005,'設定'!$C$4,'月1回_2ヶ月前の在庫'!$W$6:$W$10005,$C262)/COUNTIFS('月1回_2ヶ月前の在庫'!$V$6:$V$10005,'設定'!$C$4,'月1回_2ヶ月前の在庫'!$W$6:$W$10005,$C262),0))),INDEX('商品マスタ'!$F$6:$F$1005,MATCH($C262,'商品マスタ'!$B$6:$B$1005,0))),IF(COUNTIFS('①在庫を貼る'!$V$6:$V$10005,'設定'!$C$4,'①在庫を貼る'!$W$6:$W$10005,$C262)&gt;0,SUMIFS('①在庫を貼る'!$K$6:$K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K$6:$K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K$6:$K$10005,'月1回_2ヶ月前の在庫'!$V$6:$V$10005,'設定'!$C$4,'月1回_2ヶ月前の在庫'!$W$6:$W$10005,$C262)/COUNTIFS('月1回_2ヶ月前の在庫'!$V$6:$V$10005,'設定'!$C$4,'月1回_2ヶ月前の在庫'!$W$6:$W$10005,$C262),0)))))))</f>
        <v/>
      </c>
      <c r="H262">
        <f>IF($C262="","",N(IFERROR(IF(INDEX('商品マスタ'!$G$6:$G$1005,MATCH($C262,'商品マスタ'!$B$6:$B$1005,0))="",IF(COUNTIFS('①在庫を貼る'!$V$6:$V$10005,'設定'!$C$4,'①在庫を貼る'!$W$6:$W$10005,$C262)&gt;0,SUMIFS('①在庫を貼る'!$Q$6:$Q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Q$6:$Q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Q$6:$Q$10005,'月1回_2ヶ月前の在庫'!$V$6:$V$10005,'設定'!$C$4,'月1回_2ヶ月前の在庫'!$W$6:$W$10005,$C262)/COUNTIFS('月1回_2ヶ月前の在庫'!$V$6:$V$10005,'設定'!$C$4,'月1回_2ヶ月前の在庫'!$W$6:$W$10005,$C262),0))),INDEX('商品マスタ'!$G$6:$G$1005,MATCH($C262,'商品マスタ'!$B$6:$B$1005,0))),IF(COUNTIFS('①在庫を貼る'!$V$6:$V$10005,'設定'!$C$4,'①在庫を貼る'!$W$6:$W$10005,$C262)&gt;0,SUMIFS('①在庫を貼る'!$Q$6:$Q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Q$6:$Q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Q$6:$Q$10005,'月1回_2ヶ月前の在庫'!$V$6:$V$10005,'設定'!$C$4,'月1回_2ヶ月前の在庫'!$W$6:$W$10005,$C262)/COUNTIFS('月1回_2ヶ月前の在庫'!$V$6:$V$10005,'設定'!$C$4,'月1回_2ヶ月前の在庫'!$W$6:$W$10005,$C262),0))))))</f>
        <v/>
      </c>
      <c r="I262">
        <f>IF($C262="","",IF(COUNTIFS('①在庫を貼る'!$V$6:$V$10005,'設定'!$C$4,'①在庫を貼る'!$W$6:$W$10005,$C262)=0,"",SUMIFS('①在庫を貼る'!$N$6:$N$10005,'①在庫を貼る'!$V$6:$V$10005,'設定'!$C$4,'①在庫を貼る'!$W$6:$W$10005,$C262)))</f>
        <v/>
      </c>
      <c r="J262">
        <f>IF($C262="","",IF('②発注する'!$AD266="","",'②発注する'!$AD266))</f>
        <v/>
      </c>
      <c r="K262" s="90">
        <f>IF($C262="","",IF('②発注する'!$AE266="","",'②発注する'!$AE266))</f>
        <v/>
      </c>
      <c r="L262">
        <f>IF($C262="","",IF(AND(ISNUMBER($J262),ISNUMBER($K262),$K262&gt;='設定'!$C$6),$J262,N($I262)))</f>
        <v/>
      </c>
      <c r="M262">
        <f>IF($C262="","",IFERROR(IF(N(INDEX('商品マスタ'!$J$6:$J$1005,MATCH($C262,'商品マスタ'!$B$6:$B$1005,0)))&gt;0,INDEX('商品マスタ'!$J$6:$J$1005,MATCH($C262,'商品マスタ'!$B$6:$B$1005,0)),""),""))</f>
        <v/>
      </c>
      <c r="N262">
        <f>IF($C262="","",IFERROR(IF(N(INDEX('商品マスタ'!$H$6:$H$1005,MATCH($C262,'商品マスタ'!$B$6:$B$1005,0)))&gt;0,INDEX('商品マスタ'!$H$6:$H$1005,MATCH($C262,'商品マスタ'!$B$6:$B$1005,0)),""),""))</f>
        <v/>
      </c>
      <c r="O262">
        <f>IF($C262="","",IF($N262&lt;&gt;"",$N262*$G262,IF(N(IF(COUNTIFS('①在庫を貼る'!$V$6:$V$10005,'設定'!$C$4,'①在庫を貼る'!$W$6:$W$10005,$C262)&gt;0,SUMIFS('①在庫を貼る'!$O$6:$O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O$6:$O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O$6:$O$10005,'月1回_2ヶ月前の在庫'!$V$6:$V$10005,'設定'!$C$4,'月1回_2ヶ月前の在庫'!$W$6:$W$10005,$C262)/COUNTIFS('月1回_2ヶ月前の在庫'!$V$6:$V$10005,'設定'!$C$4,'月1回_2ヶ月前の在庫'!$W$6:$W$10005,$C262),0))))&gt;0,N(IF(COUNTIFS('①在庫を貼る'!$V$6:$V$10005,'設定'!$C$4,'①在庫を貼る'!$W$6:$W$10005,$C262)&gt;0,SUMIFS('①在庫を貼る'!$O$6:$O$10005,'①在庫を貼る'!$V$6:$V$10005,'設定'!$C$4,'①在庫を貼る'!$W$6:$W$10005,$C262)/COUNTIFS('①在庫を貼る'!$V$6:$V$10005,'設定'!$C$4,'①在庫を貼る'!$W$6:$W$10005,$C262),IF(COUNTIFS('月1回_1ヶ月前の在庫'!$V$6:$V$10005,'設定'!$C$4,'月1回_1ヶ月前の在庫'!$W$6:$W$10005,$C262)&gt;0,SUMIFS('月1回_1ヶ月前の在庫'!$O$6:$O$10005,'月1回_1ヶ月前の在庫'!$V$6:$V$10005,'設定'!$C$4,'月1回_1ヶ月前の在庫'!$W$6:$W$10005,$C262)/COUNTIFS('月1回_1ヶ月前の在庫'!$V$6:$V$10005,'設定'!$C$4,'月1回_1ヶ月前の在庫'!$W$6:$W$10005,$C262),IF(COUNTIFS('月1回_2ヶ月前の在庫'!$V$6:$V$10005,'設定'!$C$4,'月1回_2ヶ月前の在庫'!$W$6:$W$10005,$C262)&gt;0,SUMIFS('月1回_2ヶ月前の在庫'!$O$6:$O$10005,'月1回_2ヶ月前の在庫'!$V$6:$V$10005,'設定'!$C$4,'月1回_2ヶ月前の在庫'!$W$6:$W$10005,$C262)/COUNTIFS('月1回_2ヶ月前の在庫'!$V$6:$V$10005,'設定'!$C$4,'月1回_2ヶ月前の在庫'!$W$6:$W$10005,$C262),0)))),"")))</f>
        <v/>
      </c>
      <c r="P262" s="90">
        <f>IF($C262="","",IF('②発注する'!$I266="","",'②発注する'!$I266))</f>
        <v/>
      </c>
      <c r="Q262">
        <f>IF($C262="","",IF('②発注する'!$J266="","",'②発注する'!$J266))</f>
        <v/>
      </c>
      <c r="R262">
        <f>IF($C262="",0,IF(AND(ISNUMBER($P262),ISNUMBER($Q262)),MAX(0,$Q262)*$G262,0))</f>
        <v/>
      </c>
      <c r="S262" s="90">
        <f>IF($C262="","",IF('②発注する'!$M266="","",'②発注する'!$M266))</f>
        <v/>
      </c>
      <c r="T262">
        <f>IF($C262="","",IF('②発注する'!$N266="","",'②発注する'!$N266))</f>
        <v/>
      </c>
      <c r="U262">
        <f>IF($C262="",0,IF(AND(ISNUMBER($S262),ISNUMBER($T262)),MAX(0,$T262)*$G262,0))</f>
        <v/>
      </c>
      <c r="V262">
        <f>IF($C262="",0,IF($M262="",0,MAX(0,$M262)*MAX(0,V$4)/100))</f>
        <v/>
      </c>
      <c r="W262">
        <f>IF($C262="",0,IF($M262="",0,MAX(0,$M262)*MAX(0,W$4)/100))</f>
        <v/>
      </c>
      <c r="X262">
        <f>IF($C262="",0,IF($M262="",0,MAX(0,$M262)*MAX(0,X$4)/100))</f>
        <v/>
      </c>
      <c r="Y262">
        <f>IF($C262="",0,IF($M262="",0,MAX(0,$M262)*MAX(0,Y$4)/100))</f>
        <v/>
      </c>
      <c r="Z262">
        <f>IF($C262="",0,IF($M262="",0,MAX(0,$M262)*MAX(0,Z$4)/100))</f>
        <v/>
      </c>
      <c r="AA262">
        <f>IF($C262="",0,IF($M262="",0,MAX(0,$M262)*MAX(0,AA$4)/100))</f>
        <v/>
      </c>
      <c r="AB262">
        <f>IF($C262="",0,IF($M262="",0,MAX(0,$M262)*MAX(0,AB$4)/100))</f>
        <v/>
      </c>
      <c r="AC262">
        <f>IF($C262="",0,IF($M262="",0,MAX(0,$M262)*MAX(0,AC$4)/100))</f>
        <v/>
      </c>
      <c r="AD262">
        <f>IF($C262="",0,IF($M262="",0,MAX(0,$M262)*MAX(0,AD$4)/100))</f>
        <v/>
      </c>
      <c r="AE262">
        <f>IF($C262="",0,IF($M262="",0,MAX(0,$M262)*MAX(0,AE$4)/100))</f>
        <v/>
      </c>
      <c r="AF262">
        <f>IF($C262="",0,IF($M262="",0,MAX(0,$M262)*MAX(0,AF$4)/100))</f>
        <v/>
      </c>
      <c r="AG262">
        <f>IF($C262="",0,IF($M262="",0,MAX(0,$M262)*MAX(0,AG$4)/100))</f>
        <v/>
      </c>
      <c r="AH262">
        <f>IF($C262="",0,IF($M262="",0,MAX(0,$M262)*MAX(0,AH$4)/100))</f>
        <v/>
      </c>
      <c r="AI262">
        <f>IF($C262="",0,IF($M262="",0,MAX(0,$M262)*MAX(0,AI$4)/100))</f>
        <v/>
      </c>
      <c r="AJ262">
        <f>IF($C262="",0,MAX(0,MAX(0,N($L262))-$V262))</f>
        <v/>
      </c>
      <c r="AK262">
        <f>IF($C262="",0,MAX(0,$AJ262-$W262))</f>
        <v/>
      </c>
      <c r="AL262">
        <f>IF($C262="",0,MAX(0,$AK262-$X262))</f>
        <v/>
      </c>
      <c r="AM262">
        <f>IF($C262="",0,MAX(0,$AL262-$Y262))</f>
        <v/>
      </c>
      <c r="AN262">
        <f>IF($C262="",0,MAX(0,$AM262-$Z262))</f>
        <v/>
      </c>
      <c r="AO262">
        <f>IF($C262="",0,MAX(0,$AN262-$AA262))</f>
        <v/>
      </c>
      <c r="AP262">
        <f>IF($C262="",0,MAX(0,$AO262-$AB262))</f>
        <v/>
      </c>
      <c r="AQ262">
        <f>IF($C262="",0,MAX(0,$AP262-$AC262))</f>
        <v/>
      </c>
      <c r="AR262">
        <f>IF($C262="",0,MAX(0,$AQ262-$AD262))</f>
        <v/>
      </c>
      <c r="AS262">
        <f>IF($C262="",0,MAX(0,$AR262-$AE262))</f>
        <v/>
      </c>
      <c r="AT262">
        <f>IF($C262="",0,MAX(0,$AS262-$AF262))</f>
        <v/>
      </c>
      <c r="AU262">
        <f>IF($C262="",0,MAX(0,$AT262-$AG262))</f>
        <v/>
      </c>
      <c r="AV262">
        <f>IF($C262="",0,MAX(0,$AU262-$AH262))</f>
        <v/>
      </c>
      <c r="AW262">
        <f>IF($C262="",0,MAX(0,$AV262-$AI262))</f>
        <v/>
      </c>
      <c r="AX262">
        <f>IF($C262="",0,MAX(0,MAX(0,N($L262))+IF($P262=V$3,$R262,0)+IF($S262=V$3,$U262,0)-$V262))</f>
        <v/>
      </c>
      <c r="AY262">
        <f>IF($C262="",0,MAX(0,$AX262+IF($P262=W$3,$R262,0)+IF($S262=W$3,$U262,0)-$W262))</f>
        <v/>
      </c>
      <c r="AZ262">
        <f>IF($C262="",0,MAX(0,$AY262+IF($P262=X$3,$R262,0)+IF($S262=X$3,$U262,0)-$X262))</f>
        <v/>
      </c>
      <c r="BA262">
        <f>IF($C262="",0,MAX(0,$AZ262+IF($P262=Y$3,$R262,0)+IF($S262=Y$3,$U262,0)-$Y262))</f>
        <v/>
      </c>
      <c r="BB262">
        <f>IF($C262="",0,MAX(0,$BA262+IF($P262=Z$3,$R262,0)+IF($S262=Z$3,$U262,0)-$Z262))</f>
        <v/>
      </c>
      <c r="BC262">
        <f>IF($C262="",0,MAX(0,$BB262+IF($P262=AA$3,$R262,0)+IF($S262=AA$3,$U262,0)-$AA262))</f>
        <v/>
      </c>
      <c r="BD262">
        <f>IF($C262="",0,MAX(0,$BC262+IF($P262=AB$3,$R262,0)+IF($S262=AB$3,$U262,0)-$AB262))</f>
        <v/>
      </c>
      <c r="BE262">
        <f>IF($C262="",0,MAX(0,$BD262+IF($P262=AC$3,$R262,0)+IF($S262=AC$3,$U262,0)-$AC262))</f>
        <v/>
      </c>
      <c r="BF262">
        <f>IF($C262="",0,MAX(0,$BE262+IF($P262=AD$3,$R262,0)+IF($S262=AD$3,$U262,0)-$AD262))</f>
        <v/>
      </c>
      <c r="BG262">
        <f>IF($C262="",0,MAX(0,$BF262+IF($P262=AE$3,$R262,0)+IF($S262=AE$3,$U262,0)-$AE262))</f>
        <v/>
      </c>
      <c r="BH262">
        <f>IF($C262="",0,MAX(0,$BG262+IF($P262=AF$3,$R262,0)+IF($S262=AF$3,$U262,0)-$AF262))</f>
        <v/>
      </c>
      <c r="BI262">
        <f>IF($C262="",0,MAX(0,$BH262+IF($P262=AG$3,$R262,0)+IF($S262=AG$3,$U262,0)-$AG262))</f>
        <v/>
      </c>
      <c r="BJ262">
        <f>IF($C262="",0,MAX(0,$BI262+IF($P262=AH$3,$R262,0)+IF($S262=AH$3,$U262,0)-$AH262))</f>
        <v/>
      </c>
      <c r="BK262">
        <f>IF($C262="",0,MAX(0,$BJ262+IF($P262=AI$3,$R262,0)+IF($S262=AI$3,$U262,0)-$AI262))</f>
        <v/>
      </c>
      <c r="BL262">
        <f>IF($C262="",99,IF(AND($AX262&lt;1,V$3&gt;=MAX(N($P262),N($S262))),0,99))</f>
        <v/>
      </c>
      <c r="BM262">
        <f>IF($C262="",99,IF(AND($AY262&lt;1,W$3&gt;=MAX(N($P262),N($S262))),1,99))</f>
        <v/>
      </c>
      <c r="BN262">
        <f>IF($C262="",99,IF(AND($AZ262&lt;1,X$3&gt;=MAX(N($P262),N($S262))),2,99))</f>
        <v/>
      </c>
      <c r="BO262">
        <f>IF($C262="",99,IF(AND($BA262&lt;1,Y$3&gt;=MAX(N($P262),N($S262))),3,99))</f>
        <v/>
      </c>
      <c r="BP262">
        <f>IF($C262="",99,IF(AND($BB262&lt;1,Z$3&gt;=MAX(N($P262),N($S262))),4,99))</f>
        <v/>
      </c>
      <c r="BQ262">
        <f>IF($C262="",99,IF(AND($BC262&lt;1,AA$3&gt;=MAX(N($P262),N($S262))),5,99))</f>
        <v/>
      </c>
      <c r="BR262">
        <f>IF($C262="",99,IF(AND($BD262&lt;1,AB$3&gt;=MAX(N($P262),N($S262))),6,99))</f>
        <v/>
      </c>
      <c r="BS262">
        <f>IF($C262="",99,IF(AND($BE262&lt;1,AC$3&gt;=MAX(N($P262),N($S262))),7,99))</f>
        <v/>
      </c>
      <c r="BT262">
        <f>IF($C262="",99,IF(AND($BF262&lt;1,AD$3&gt;=MAX(N($P262),N($S262))),8,99))</f>
        <v/>
      </c>
      <c r="BU262">
        <f>IF($C262="",99,IF(AND($BG262&lt;1,AE$3&gt;=MAX(N($P262),N($S262))),9,99))</f>
        <v/>
      </c>
      <c r="BV262">
        <f>IF($C262="",99,IF(AND($BH262&lt;1,AF$3&gt;=MAX(N($P262),N($S262))),10,99))</f>
        <v/>
      </c>
      <c r="BW262">
        <f>IF($C262="",99,IF(AND($BI262&lt;1,AG$3&gt;=MAX(N($P262),N($S262))),11,99))</f>
        <v/>
      </c>
      <c r="BX262">
        <f>IF($C262="",99,IF(AND($BJ262&lt;1,AH$3&gt;=MAX(N($P262),N($S262))),12,99))</f>
        <v/>
      </c>
      <c r="BY262">
        <f>IF($C262="",99,IF(AND($BK262&lt;1,AI$3&gt;=MAX(N($P262),N($S262))),13,99))</f>
        <v/>
      </c>
      <c r="BZ262">
        <f>IF(OR($C262="",$M262=""),"",COUNTIF($AJ262:$AW262,"&gt;=1"))</f>
        <v/>
      </c>
      <c r="CA262" s="90">
        <f>IF($BZ262="","",IF($BZ262&gt;=14,"",'設定'!$C$6+$BZ262))</f>
        <v/>
      </c>
      <c r="CB262">
        <f>IF(OR($C262="",$M262=""),"",MIN($BL262:$BY262))</f>
        <v/>
      </c>
      <c r="CC262" s="90">
        <f>IF($CB262="","",IF($CB262&gt;=99,"",'設定'!$C$6+$CB262))</f>
        <v/>
      </c>
      <c r="CD262">
        <f>IF(OR($C262="",$M262=""),"",AVERAGE($V262:$AI262))</f>
        <v/>
      </c>
      <c r="CE262">
        <f>IF($C262="","",IFERROR(IF(MATCH(IF(ISNUMBER($P262),$P262,'設定'!$C$6+N('設定'!$C$7)),$V$3:$AI$3,0)=1,MAX(0,N($L262)),INDEX($AJ262:$AW262,MATCH(IF(ISNUMBER($P262),$P262,'設定'!$C$6+N('設定'!$C$7)),$V$3:$AI$3,0)-1)),""))</f>
        <v/>
      </c>
      <c r="CF262">
        <f>IF(OR($C262="",$O262="",$CE262=""),"",IF($O262-$CE262&lt;=0,0,ROUNDUP(($O262-$CE262)/$G262,0)))</f>
        <v/>
      </c>
      <c r="CG262">
        <f>IF(OR($C262="",$CF262="",NOT(ISNUMBER($Q262))),0,MAX(0,$Q262-$CF262))</f>
        <v/>
      </c>
      <c r="CH262">
        <f>IF(OR($C262="",$O262="",$U262=0),0,IFERROR(ROUNDUP(MAX(0,IF(MATCH($S262,$V$3:$AI$3,0)=1,MAX(0,N($L262)),INDEX($AX262:$BK262,MATCH($S262,$V$3:$AI$3,0)-1))+$U262-$O262)/$G262,0),0))</f>
        <v/>
      </c>
      <c r="CI262">
        <f>IF($C262="","",IF(AND($P262="",$Q262=""),"",IF($P262="","⚠ 入庫日を ▼ から選んでください",IF(NOT(ISNUMBER($P262)),"⚠ 入庫日は ▼ から選んでください",IF($P262&lt;N('設定'!$C$6),"⚠ 入庫日が過去です（もう在庫に入っています）→ 消してください",IF($P262&gt;N('設定'!$C$6)+13,"⚠ 入庫日が14日より先です",IF(N($Q262)&lt;=0,"⚠ 入庫数を入れてください",IF($CG262&gt;0,"⚠ 目安より "&amp;$CG262&amp;" 多い（定数を超える）→ 減らす",""))))))))</f>
        <v/>
      </c>
      <c r="CJ262">
        <f>IF($C262="","",IF(AND($S262="",$T262=""),"",IF($S262="","⚠ 2便目：入庫日を ▼ から選んでください",IF(NOT(ISNUMBER($S262)),"⚠ 2便目：入庫日は ▼ から選んでください",IF($S262&lt;N('設定'!$C$6),"⚠ 2便目：入庫日が過去です（もう在庫に入っています）→ 消してください",IF($S262&gt;N('設定'!$C$6)+13,"⚠ 2便目：入庫日が14日より先です",IF(N($T262)&lt;=0,"⚠ 2便目：入庫数を入れてください",IF($CH262&gt;0,"⚠ 2便目：定数を "&amp;$CH262&amp;" ケース超える → 減らす",""))))))))</f>
        <v/>
      </c>
      <c r="CK262">
        <f>IF(AND($CI262="",N($Q262)&gt;0,ISNUMBER($P262)),1,0)</f>
        <v/>
      </c>
      <c r="CL262">
        <f>IF(AND($CJ262="",N($T262)&gt;0,ISNUMBER($S262)),1,0)</f>
        <v/>
      </c>
      <c r="CM262">
        <f>IF(OR($CK262=1,$CL262=1),1,0)</f>
        <v/>
      </c>
      <c r="CN262">
        <f>IF($C262="",0,($CK262*$R262+$CL262*$U262)*N($H262))</f>
        <v/>
      </c>
      <c r="CO262">
        <f>IF($C262="","",IF($CC262="","入庫後は 14日以上もつ",IF($CC262-N('設定'!$C$7)&lt;='設定'!$C$6,"入庫後も "&amp;TEXT($CC262,"m/d")&amp;"("&amp;CHOOSE(WEEKDAY($CC262),"日","月","火","水","木","金","土")&amp;")"&amp;" に切れる　もう1便を至急発注","入庫後も "&amp;TEXT($CC262,"m/d")&amp;"("&amp;CHOOSE(WEEKDAY($CC262),"日","月","火","水","木","金","土")&amp;")"&amp;" に切れる　"&amp;TEXT($CC262-N('設定'!$C$7),"m/d")&amp;"("&amp;CHOOSE(WEEKDAY($CC262-N('設定'!$C$7)),"日","月","火","水","木","金","土")&amp;")"&amp;" までに次を発注")))</f>
        <v/>
      </c>
      <c r="CP262">
        <f>IF($C262="","",IF('設定'!$C$6="","？ ①在庫を貼る に今日のCSVが貼られていない",IF($CS262=1,"－ 今日のCSVに無い（終売？）",IF($L262&lt;0,"● 在庫がマイナス　数えて「数えた在庫」に入れる",IF($L262=0,"● 在庫なし　至急発注",IF($M262="","？ 減り数が未設定（商品マスタ）",IF($B$3=0,"？ 動員が未入力（動員を入れる）",IF($CA262="","○ 14日以上もつ",IF($BZ262&lt;N('設定'!$C$7),"● "&amp;TEXT($CA262,"m/d")&amp;"("&amp;CHOOSE(WEEKDAY($CA262),"日","月","火","水","木","金","土")&amp;")"&amp;" に切れる　至急発注",IF($BZ262=N('設定'!$C$7),"● "&amp;TEXT($CA262,"m/d")&amp;"("&amp;CHOOSE(WEEKDAY($CA262),"日","月","火","水","木","金","土")&amp;")"&amp;" に切れる　今日発注","△ "&amp;TEXT($CA262,"m/d")&amp;"("&amp;CHOOSE(WEEKDAY($CA262),"日","月","火","水","木","金","土")&amp;")"&amp;" に切れる　"&amp;TEXT($CA262-N('設定'!$C$7),"m/d")&amp;"("&amp;CHOOSE(WEEKDAY($CA262-N('設定'!$C$7)),"日","月","火","水","木","金","土")&amp;")"&amp;" までに発注"))))))))))</f>
        <v/>
      </c>
      <c r="CQ262">
        <f>IF($C262="","",IF(AND($P262="",$Q262="",$S262="",$T262=""),"",IF(AND($P262="",$Q262=""),"⚠ 先に1便目（左の入庫日・入庫数）に入れてください",IF($CI262&lt;&gt;"",$CI262,IF($CJ262&lt;&gt;"",$CJ262,IF($M262="","？ 減り数が未設定（発注書には載ります）",IF($B$3=0,"？ 動員が未入力（発注書には載ります）",IF(AND($CA262&lt;&gt;"",$P262&gt;$CA262),IF($P262&gt;'設定'!$C$6+N('設定'!$C$7),"● "&amp;TEXT($P262,"m/d")&amp;"("&amp;CHOOSE(WEEKDAY($P262),"日","月","火","水","木","金","土")&amp;")"&amp;" の入庫では間に合わない（"&amp;TEXT($CA262,"m/d")&amp;"("&amp;CHOOSE(WEEKDAY($CA262),"日","月","火","水","木","金","土")&amp;")"&amp;" に切れる）　入庫日を早める","△ 欠品 "&amp;TEXT($CA262,"m/d")&amp;"("&amp;CHOOSE(WEEKDAY($CA262),"日","月","火","水","木","金","土")&amp;")"&amp;"〜"&amp;TEXT($P262-1,"m/d")&amp;"("&amp;CHOOSE(WEEKDAY($P262-1),"日","月","火","水","木","金","土")&amp;")"&amp;"　"&amp;$CO262),IF($CC262="","○ "&amp;TEXT($P262,"m/d")&amp;"("&amp;CHOOSE(WEEKDAY($P262),"日","月","火","水","木","金","土")&amp;")"&amp;" 入庫で 14日以上もつ",IF($CC262-N('設定'!$C$7)&lt;='設定'!$C$6,"● 入庫しても "&amp;TEXT($CC262,"m/d")&amp;"("&amp;CHOOSE(WEEKDAY($CC262),"日","月","火","水","木","金","土")&amp;")"&amp;" に切れる　もう1便を至急発注（2便目に入れる）","△ 入庫しても "&amp;TEXT($CC262,"m/d")&amp;"("&amp;CHOOSE(WEEKDAY($CC262),"日","月","火","水","木","金","土")&amp;")"&amp;" に切れる　"&amp;TEXT($CC262-N('設定'!$C$7),"m/d")&amp;"("&amp;CHOOSE(WEEKDAY($CC262-N('設定'!$C$7)),"日","月","火","水","木","金","土")&amp;")"&amp;" までに次を発注（2便目に入れる）"))))))))))</f>
        <v/>
      </c>
      <c r="CR262">
        <f>IF($C262="","",IF($G262&gt;1,"ｹｰｽ("&amp;$G262&amp;"入)","個"))</f>
        <v/>
      </c>
      <c r="CS262">
        <f>IF($C262="",0,IF(COUNTIFS('①在庫を貼る'!$V$6:$V$10005,'設定'!$C$4,'①在庫を貼る'!$W$6:$W$10005,$C262)=0,1,0))</f>
        <v/>
      </c>
      <c r="CT262">
        <f>IF(AND($CK262=1,OR('③発注書'!$C$4="すべて",'③発注書'!$C$4="",$F262='③発注書'!$C$4)),N($CT261)+1,N($CT261))</f>
        <v/>
      </c>
      <c r="CU262">
        <f>IF(AND($CL262=1,OR('③発注書'!$C$4="すべて",'③発注書'!$C$4="",$F262='③発注書'!$C$4)),N($CU261)+1,N($CU261))</f>
        <v/>
      </c>
      <c r="CV262">
        <f>IF($C262="",0,IF(COUNTIFS('①在庫を貼る'!$V$6:$V$10005,'設定'!$C$4,'①在庫を貼る'!$W$6:$W$10005,$C262)&gt;0,1,0))</f>
        <v/>
      </c>
      <c r="CW262">
        <f>IF($C262="",0,IF(COUNTIFS('月1回_1ヶ月前の在庫'!$V$6:$V$10005,'設定'!$C$4,'月1回_1ヶ月前の在庫'!$W$6:$W$10005,$C262)&gt;0,1,0))</f>
        <v/>
      </c>
      <c r="CX262">
        <f>IF($C262="",0,IF(COUNTIFS('月1回_2ヶ月前の在庫'!$V$6:$V$10005,'設定'!$C$4,'月1回_2ヶ月前の在庫'!$W$6:$W$10005,$C262)&gt;0,1,0))</f>
        <v/>
      </c>
      <c r="CY262">
        <f>IF(OR($C262="",'設定'!$C$12=""),"",IF('設定'!$C$13="",IF(AND($CV262=1,$CW262=0),"新商品（今月から）",IF(AND($CV262=0,$CW262=1),"終売（今月から）","")),IF(AND($CV262=1,$CW262=0,$CX262=0),"新商品（今月から）",IF(AND($CV262=1,$CW262=1,$CX262=0),"新商品（先月から）",IF(AND($CV262=0,$CW262=1,$CX262=1),"終売（今月から）",IF(AND($CV262=0,$CW262=0,$CX262=1),"終売（先月から）",IF(AND($CV262=1,$CW262=0,$CX262=1),"復活（先月は無し）","")))))))</f>
        <v/>
      </c>
    </row>
    <row r="263">
      <c r="B263">
        <f>IF(258&lt;='設定'!$C$11,258,"")</f>
        <v/>
      </c>
      <c r="C263">
        <f>IF($B263="","",IF($B263&lt;='設定'!$C$20,INDEX('商品マスタ'!$B$6:$B$1005,MATCH($B263,'商品マスタ'!$M$6:$M$1005,0)),IF($B263&lt;='設定'!$C$20+'設定'!$C$17,INDEX('①在庫を貼る'!$W$6:$W$10005,MATCH($B263-'設定'!$C$20,'①在庫を貼る'!$U$6:$U$10005,0)),IF($B263&lt;='設定'!$C$20+'設定'!$C$17+'設定'!$C$18,INDEX('月1回_1ヶ月前の在庫'!$W$6:$W$10005,MATCH($B263-'設定'!$C$20-'設定'!$C$17,'月1回_1ヶ月前の在庫'!$U$6:$U$10005,0)),INDEX('月1回_2ヶ月前の在庫'!$W$6:$W$10005,MATCH($B263-'設定'!$C$20-'設定'!$C$17-'設定'!$C$18,'月1回_2ヶ月前の在庫'!$U$6:$U$10005,0))))))</f>
        <v/>
      </c>
      <c r="D263">
        <f>IF($C263="","",IFERROR(IF(INDEX('商品マスタ'!$C$6:$C$1005,MATCH($C263,'商品マスタ'!$B$6:$B$1005,0))="",IFERROR(INDEX('①在庫を貼る'!$J$6:$J$10005,MATCH($C263,'①在庫を貼る'!$W$6:$W$10005,0)),IFERROR(INDEX('月1回_1ヶ月前の在庫'!$J$6:$J$10005,MATCH($C263,'月1回_1ヶ月前の在庫'!$W$6:$W$10005,0)),IFERROR(INDEX('月1回_2ヶ月前の在庫'!$J$6:$J$10005,MATCH($C263,'月1回_2ヶ月前の在庫'!$W$6:$W$10005,0)),""))),INDEX('商品マスタ'!$C$6:$C$1005,MATCH($C263,'商品マスタ'!$B$6:$B$1005,0))),IFERROR(INDEX('①在庫を貼る'!$J$6:$J$10005,MATCH($C263,'①在庫を貼る'!$W$6:$W$10005,0)),IFERROR(INDEX('月1回_1ヶ月前の在庫'!$J$6:$J$10005,MATCH($C263,'月1回_1ヶ月前の在庫'!$W$6:$W$10005,0)),IFERROR(INDEX('月1回_2ヶ月前の在庫'!$J$6:$J$10005,MATCH($C263,'月1回_2ヶ月前の在庫'!$W$6:$W$10005,0)),"")))))</f>
        <v/>
      </c>
      <c r="E263">
        <f>IF($C263="","",IFERROR(IF(INDEX('商品マスタ'!$D$6:$D$1005,MATCH($C263,'商品マスタ'!$B$6:$B$1005,0))="",IFERROR(INDEX('①在庫を貼る'!$H$6:$H$10005,MATCH($C263,'①在庫を貼る'!$W$6:$W$10005,0)),IFERROR(INDEX('月1回_1ヶ月前の在庫'!$H$6:$H$10005,MATCH($C263,'月1回_1ヶ月前の在庫'!$W$6:$W$10005,0)),IFERROR(INDEX('月1回_2ヶ月前の在庫'!$H$6:$H$10005,MATCH($C263,'月1回_2ヶ月前の在庫'!$W$6:$W$10005,0)),""))),INDEX('商品マスタ'!$D$6:$D$1005,MATCH($C263,'商品マスタ'!$B$6:$B$1005,0))),IFERROR(INDEX('①在庫を貼る'!$H$6:$H$10005,MATCH($C263,'①在庫を貼る'!$W$6:$W$10005,0)),IFERROR(INDEX('月1回_1ヶ月前の在庫'!$H$6:$H$10005,MATCH($C263,'月1回_1ヶ月前の在庫'!$W$6:$W$10005,0)),IFERROR(INDEX('月1回_2ヶ月前の在庫'!$H$6:$H$10005,MATCH($C263,'月1回_2ヶ月前の在庫'!$W$6:$W$10005,0)),"")))))</f>
        <v/>
      </c>
      <c r="F263">
        <f>IF($C263="","",IFERROR(IF(INDEX('商品マスタ'!$E$6:$E$1005,MATCH($C263,'商品マスタ'!$B$6:$B$1005,0))="",IFERROR(INDEX('①在庫を貼る'!$E$6:$E$10005,MATCH($C263,'①在庫を貼る'!$W$6:$W$10005,0)),IFERROR(INDEX('月1回_1ヶ月前の在庫'!$E$6:$E$10005,MATCH($C263,'月1回_1ヶ月前の在庫'!$W$6:$W$10005,0)),IFERROR(INDEX('月1回_2ヶ月前の在庫'!$E$6:$E$10005,MATCH($C263,'月1回_2ヶ月前の在庫'!$W$6:$W$10005,0)),""))),INDEX('商品マスタ'!$E$6:$E$1005,MATCH($C263,'商品マスタ'!$B$6:$B$1005,0))),IFERROR(INDEX('①在庫を貼る'!$E$6:$E$10005,MATCH($C263,'①在庫を貼る'!$W$6:$W$10005,0)),IFERROR(INDEX('月1回_1ヶ月前の在庫'!$E$6:$E$10005,MATCH($C263,'月1回_1ヶ月前の在庫'!$W$6:$W$10005,0)),IFERROR(INDEX('月1回_2ヶ月前の在庫'!$E$6:$E$10005,MATCH($C263,'月1回_2ヶ月前の在庫'!$W$6:$W$10005,0)),"")))))</f>
        <v/>
      </c>
      <c r="G263">
        <f>IF($C263="","",MAX(1,N(IFERROR(IF(INDEX('商品マスタ'!$F$6:$F$1005,MATCH($C263,'商品マスタ'!$B$6:$B$1005,0))="",IF(COUNTIFS('①在庫を貼る'!$V$6:$V$10005,'設定'!$C$4,'①在庫を貼る'!$W$6:$W$10005,$C263)&gt;0,SUMIFS('①在庫を貼る'!$K$6:$K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K$6:$K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K$6:$K$10005,'月1回_2ヶ月前の在庫'!$V$6:$V$10005,'設定'!$C$4,'月1回_2ヶ月前の在庫'!$W$6:$W$10005,$C263)/COUNTIFS('月1回_2ヶ月前の在庫'!$V$6:$V$10005,'設定'!$C$4,'月1回_2ヶ月前の在庫'!$W$6:$W$10005,$C263),0))),INDEX('商品マスタ'!$F$6:$F$1005,MATCH($C263,'商品マスタ'!$B$6:$B$1005,0))),IF(COUNTIFS('①在庫を貼る'!$V$6:$V$10005,'設定'!$C$4,'①在庫を貼る'!$W$6:$W$10005,$C263)&gt;0,SUMIFS('①在庫を貼る'!$K$6:$K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K$6:$K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K$6:$K$10005,'月1回_2ヶ月前の在庫'!$V$6:$V$10005,'設定'!$C$4,'月1回_2ヶ月前の在庫'!$W$6:$W$10005,$C263)/COUNTIFS('月1回_2ヶ月前の在庫'!$V$6:$V$10005,'設定'!$C$4,'月1回_2ヶ月前の在庫'!$W$6:$W$10005,$C263),0)))))))</f>
        <v/>
      </c>
      <c r="H263">
        <f>IF($C263="","",N(IFERROR(IF(INDEX('商品マスタ'!$G$6:$G$1005,MATCH($C263,'商品マスタ'!$B$6:$B$1005,0))="",IF(COUNTIFS('①在庫を貼る'!$V$6:$V$10005,'設定'!$C$4,'①在庫を貼る'!$W$6:$W$10005,$C263)&gt;0,SUMIFS('①在庫を貼る'!$Q$6:$Q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Q$6:$Q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Q$6:$Q$10005,'月1回_2ヶ月前の在庫'!$V$6:$V$10005,'設定'!$C$4,'月1回_2ヶ月前の在庫'!$W$6:$W$10005,$C263)/COUNTIFS('月1回_2ヶ月前の在庫'!$V$6:$V$10005,'設定'!$C$4,'月1回_2ヶ月前の在庫'!$W$6:$W$10005,$C263),0))),INDEX('商品マスタ'!$G$6:$G$1005,MATCH($C263,'商品マスタ'!$B$6:$B$1005,0))),IF(COUNTIFS('①在庫を貼る'!$V$6:$V$10005,'設定'!$C$4,'①在庫を貼る'!$W$6:$W$10005,$C263)&gt;0,SUMIFS('①在庫を貼る'!$Q$6:$Q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Q$6:$Q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Q$6:$Q$10005,'月1回_2ヶ月前の在庫'!$V$6:$V$10005,'設定'!$C$4,'月1回_2ヶ月前の在庫'!$W$6:$W$10005,$C263)/COUNTIFS('月1回_2ヶ月前の在庫'!$V$6:$V$10005,'設定'!$C$4,'月1回_2ヶ月前の在庫'!$W$6:$W$10005,$C263),0))))))</f>
        <v/>
      </c>
      <c r="I263">
        <f>IF($C263="","",IF(COUNTIFS('①在庫を貼る'!$V$6:$V$10005,'設定'!$C$4,'①在庫を貼る'!$W$6:$W$10005,$C263)=0,"",SUMIFS('①在庫を貼る'!$N$6:$N$10005,'①在庫を貼る'!$V$6:$V$10005,'設定'!$C$4,'①在庫を貼る'!$W$6:$W$10005,$C263)))</f>
        <v/>
      </c>
      <c r="J263">
        <f>IF($C263="","",IF('②発注する'!$AD267="","",'②発注する'!$AD267))</f>
        <v/>
      </c>
      <c r="K263" s="90">
        <f>IF($C263="","",IF('②発注する'!$AE267="","",'②発注する'!$AE267))</f>
        <v/>
      </c>
      <c r="L263">
        <f>IF($C263="","",IF(AND(ISNUMBER($J263),ISNUMBER($K263),$K263&gt;='設定'!$C$6),$J263,N($I263)))</f>
        <v/>
      </c>
      <c r="M263">
        <f>IF($C263="","",IFERROR(IF(N(INDEX('商品マスタ'!$J$6:$J$1005,MATCH($C263,'商品マスタ'!$B$6:$B$1005,0)))&gt;0,INDEX('商品マスタ'!$J$6:$J$1005,MATCH($C263,'商品マスタ'!$B$6:$B$1005,0)),""),""))</f>
        <v/>
      </c>
      <c r="N263">
        <f>IF($C263="","",IFERROR(IF(N(INDEX('商品マスタ'!$H$6:$H$1005,MATCH($C263,'商品マスタ'!$B$6:$B$1005,0)))&gt;0,INDEX('商品マスタ'!$H$6:$H$1005,MATCH($C263,'商品マスタ'!$B$6:$B$1005,0)),""),""))</f>
        <v/>
      </c>
      <c r="O263">
        <f>IF($C263="","",IF($N263&lt;&gt;"",$N263*$G263,IF(N(IF(COUNTIFS('①在庫を貼る'!$V$6:$V$10005,'設定'!$C$4,'①在庫を貼る'!$W$6:$W$10005,$C263)&gt;0,SUMIFS('①在庫を貼る'!$O$6:$O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O$6:$O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O$6:$O$10005,'月1回_2ヶ月前の在庫'!$V$6:$V$10005,'設定'!$C$4,'月1回_2ヶ月前の在庫'!$W$6:$W$10005,$C263)/COUNTIFS('月1回_2ヶ月前の在庫'!$V$6:$V$10005,'設定'!$C$4,'月1回_2ヶ月前の在庫'!$W$6:$W$10005,$C263),0))))&gt;0,N(IF(COUNTIFS('①在庫を貼る'!$V$6:$V$10005,'設定'!$C$4,'①在庫を貼る'!$W$6:$W$10005,$C263)&gt;0,SUMIFS('①在庫を貼る'!$O$6:$O$10005,'①在庫を貼る'!$V$6:$V$10005,'設定'!$C$4,'①在庫を貼る'!$W$6:$W$10005,$C263)/COUNTIFS('①在庫を貼る'!$V$6:$V$10005,'設定'!$C$4,'①在庫を貼る'!$W$6:$W$10005,$C263),IF(COUNTIFS('月1回_1ヶ月前の在庫'!$V$6:$V$10005,'設定'!$C$4,'月1回_1ヶ月前の在庫'!$W$6:$W$10005,$C263)&gt;0,SUMIFS('月1回_1ヶ月前の在庫'!$O$6:$O$10005,'月1回_1ヶ月前の在庫'!$V$6:$V$10005,'設定'!$C$4,'月1回_1ヶ月前の在庫'!$W$6:$W$10005,$C263)/COUNTIFS('月1回_1ヶ月前の在庫'!$V$6:$V$10005,'設定'!$C$4,'月1回_1ヶ月前の在庫'!$W$6:$W$10005,$C263),IF(COUNTIFS('月1回_2ヶ月前の在庫'!$V$6:$V$10005,'設定'!$C$4,'月1回_2ヶ月前の在庫'!$W$6:$W$10005,$C263)&gt;0,SUMIFS('月1回_2ヶ月前の在庫'!$O$6:$O$10005,'月1回_2ヶ月前の在庫'!$V$6:$V$10005,'設定'!$C$4,'月1回_2ヶ月前の在庫'!$W$6:$W$10005,$C263)/COUNTIFS('月1回_2ヶ月前の在庫'!$V$6:$V$10005,'設定'!$C$4,'月1回_2ヶ月前の在庫'!$W$6:$W$10005,$C263),0)))),"")))</f>
        <v/>
      </c>
      <c r="P263" s="90">
        <f>IF($C263="","",IF('②発注する'!$I267="","",'②発注する'!$I267))</f>
        <v/>
      </c>
      <c r="Q263">
        <f>IF($C263="","",IF('②発注する'!$J267="","",'②発注する'!$J267))</f>
        <v/>
      </c>
      <c r="R263">
        <f>IF($C263="",0,IF(AND(ISNUMBER($P263),ISNUMBER($Q263)),MAX(0,$Q263)*$G263,0))</f>
        <v/>
      </c>
      <c r="S263" s="90">
        <f>IF($C263="","",IF('②発注する'!$M267="","",'②発注する'!$M267))</f>
        <v/>
      </c>
      <c r="T263">
        <f>IF($C263="","",IF('②発注する'!$N267="","",'②発注する'!$N267))</f>
        <v/>
      </c>
      <c r="U263">
        <f>IF($C263="",0,IF(AND(ISNUMBER($S263),ISNUMBER($T263)),MAX(0,$T263)*$G263,0))</f>
        <v/>
      </c>
      <c r="V263">
        <f>IF($C263="",0,IF($M263="",0,MAX(0,$M263)*MAX(0,V$4)/100))</f>
        <v/>
      </c>
      <c r="W263">
        <f>IF($C263="",0,IF($M263="",0,MAX(0,$M263)*MAX(0,W$4)/100))</f>
        <v/>
      </c>
      <c r="X263">
        <f>IF($C263="",0,IF($M263="",0,MAX(0,$M263)*MAX(0,X$4)/100))</f>
        <v/>
      </c>
      <c r="Y263">
        <f>IF($C263="",0,IF($M263="",0,MAX(0,$M263)*MAX(0,Y$4)/100))</f>
        <v/>
      </c>
      <c r="Z263">
        <f>IF($C263="",0,IF($M263="",0,MAX(0,$M263)*MAX(0,Z$4)/100))</f>
        <v/>
      </c>
      <c r="AA263">
        <f>IF($C263="",0,IF($M263="",0,MAX(0,$M263)*MAX(0,AA$4)/100))</f>
        <v/>
      </c>
      <c r="AB263">
        <f>IF($C263="",0,IF($M263="",0,MAX(0,$M263)*MAX(0,AB$4)/100))</f>
        <v/>
      </c>
      <c r="AC263">
        <f>IF($C263="",0,IF($M263="",0,MAX(0,$M263)*MAX(0,AC$4)/100))</f>
        <v/>
      </c>
      <c r="AD263">
        <f>IF($C263="",0,IF($M263="",0,MAX(0,$M263)*MAX(0,AD$4)/100))</f>
        <v/>
      </c>
      <c r="AE263">
        <f>IF($C263="",0,IF($M263="",0,MAX(0,$M263)*MAX(0,AE$4)/100))</f>
        <v/>
      </c>
      <c r="AF263">
        <f>IF($C263="",0,IF($M263="",0,MAX(0,$M263)*MAX(0,AF$4)/100))</f>
        <v/>
      </c>
      <c r="AG263">
        <f>IF($C263="",0,IF($M263="",0,MAX(0,$M263)*MAX(0,AG$4)/100))</f>
        <v/>
      </c>
      <c r="AH263">
        <f>IF($C263="",0,IF($M263="",0,MAX(0,$M263)*MAX(0,AH$4)/100))</f>
        <v/>
      </c>
      <c r="AI263">
        <f>IF($C263="",0,IF($M263="",0,MAX(0,$M263)*MAX(0,AI$4)/100))</f>
        <v/>
      </c>
      <c r="AJ263">
        <f>IF($C263="",0,MAX(0,MAX(0,N($L263))-$V263))</f>
        <v/>
      </c>
      <c r="AK263">
        <f>IF($C263="",0,MAX(0,$AJ263-$W263))</f>
        <v/>
      </c>
      <c r="AL263">
        <f>IF($C263="",0,MAX(0,$AK263-$X263))</f>
        <v/>
      </c>
      <c r="AM263">
        <f>IF($C263="",0,MAX(0,$AL263-$Y263))</f>
        <v/>
      </c>
      <c r="AN263">
        <f>IF($C263="",0,MAX(0,$AM263-$Z263))</f>
        <v/>
      </c>
      <c r="AO263">
        <f>IF($C263="",0,MAX(0,$AN263-$AA263))</f>
        <v/>
      </c>
      <c r="AP263">
        <f>IF($C263="",0,MAX(0,$AO263-$AB263))</f>
        <v/>
      </c>
      <c r="AQ263">
        <f>IF($C263="",0,MAX(0,$AP263-$AC263))</f>
        <v/>
      </c>
      <c r="AR263">
        <f>IF($C263="",0,MAX(0,$AQ263-$AD263))</f>
        <v/>
      </c>
      <c r="AS263">
        <f>IF($C263="",0,MAX(0,$AR263-$AE263))</f>
        <v/>
      </c>
      <c r="AT263">
        <f>IF($C263="",0,MAX(0,$AS263-$AF263))</f>
        <v/>
      </c>
      <c r="AU263">
        <f>IF($C263="",0,MAX(0,$AT263-$AG263))</f>
        <v/>
      </c>
      <c r="AV263">
        <f>IF($C263="",0,MAX(0,$AU263-$AH263))</f>
        <v/>
      </c>
      <c r="AW263">
        <f>IF($C263="",0,MAX(0,$AV263-$AI263))</f>
        <v/>
      </c>
      <c r="AX263">
        <f>IF($C263="",0,MAX(0,MAX(0,N($L263))+IF($P263=V$3,$R263,0)+IF($S263=V$3,$U263,0)-$V263))</f>
        <v/>
      </c>
      <c r="AY263">
        <f>IF($C263="",0,MAX(0,$AX263+IF($P263=W$3,$R263,0)+IF($S263=W$3,$U263,0)-$W263))</f>
        <v/>
      </c>
      <c r="AZ263">
        <f>IF($C263="",0,MAX(0,$AY263+IF($P263=X$3,$R263,0)+IF($S263=X$3,$U263,0)-$X263))</f>
        <v/>
      </c>
      <c r="BA263">
        <f>IF($C263="",0,MAX(0,$AZ263+IF($P263=Y$3,$R263,0)+IF($S263=Y$3,$U263,0)-$Y263))</f>
        <v/>
      </c>
      <c r="BB263">
        <f>IF($C263="",0,MAX(0,$BA263+IF($P263=Z$3,$R263,0)+IF($S263=Z$3,$U263,0)-$Z263))</f>
        <v/>
      </c>
      <c r="BC263">
        <f>IF($C263="",0,MAX(0,$BB263+IF($P263=AA$3,$R263,0)+IF($S263=AA$3,$U263,0)-$AA263))</f>
        <v/>
      </c>
      <c r="BD263">
        <f>IF($C263="",0,MAX(0,$BC263+IF($P263=AB$3,$R263,0)+IF($S263=AB$3,$U263,0)-$AB263))</f>
        <v/>
      </c>
      <c r="BE263">
        <f>IF($C263="",0,MAX(0,$BD263+IF($P263=AC$3,$R263,0)+IF($S263=AC$3,$U263,0)-$AC263))</f>
        <v/>
      </c>
      <c r="BF263">
        <f>IF($C263="",0,MAX(0,$BE263+IF($P263=AD$3,$R263,0)+IF($S263=AD$3,$U263,0)-$AD263))</f>
        <v/>
      </c>
      <c r="BG263">
        <f>IF($C263="",0,MAX(0,$BF263+IF($P263=AE$3,$R263,0)+IF($S263=AE$3,$U263,0)-$AE263))</f>
        <v/>
      </c>
      <c r="BH263">
        <f>IF($C263="",0,MAX(0,$BG263+IF($P263=AF$3,$R263,0)+IF($S263=AF$3,$U263,0)-$AF263))</f>
        <v/>
      </c>
      <c r="BI263">
        <f>IF($C263="",0,MAX(0,$BH263+IF($P263=AG$3,$R263,0)+IF($S263=AG$3,$U263,0)-$AG263))</f>
        <v/>
      </c>
      <c r="BJ263">
        <f>IF($C263="",0,MAX(0,$BI263+IF($P263=AH$3,$R263,0)+IF($S263=AH$3,$U263,0)-$AH263))</f>
        <v/>
      </c>
      <c r="BK263">
        <f>IF($C263="",0,MAX(0,$BJ263+IF($P263=AI$3,$R263,0)+IF($S263=AI$3,$U263,0)-$AI263))</f>
        <v/>
      </c>
      <c r="BL263">
        <f>IF($C263="",99,IF(AND($AX263&lt;1,V$3&gt;=MAX(N($P263),N($S263))),0,99))</f>
        <v/>
      </c>
      <c r="BM263">
        <f>IF($C263="",99,IF(AND($AY263&lt;1,W$3&gt;=MAX(N($P263),N($S263))),1,99))</f>
        <v/>
      </c>
      <c r="BN263">
        <f>IF($C263="",99,IF(AND($AZ263&lt;1,X$3&gt;=MAX(N($P263),N($S263))),2,99))</f>
        <v/>
      </c>
      <c r="BO263">
        <f>IF($C263="",99,IF(AND($BA263&lt;1,Y$3&gt;=MAX(N($P263),N($S263))),3,99))</f>
        <v/>
      </c>
      <c r="BP263">
        <f>IF($C263="",99,IF(AND($BB263&lt;1,Z$3&gt;=MAX(N($P263),N($S263))),4,99))</f>
        <v/>
      </c>
      <c r="BQ263">
        <f>IF($C263="",99,IF(AND($BC263&lt;1,AA$3&gt;=MAX(N($P263),N($S263))),5,99))</f>
        <v/>
      </c>
      <c r="BR263">
        <f>IF($C263="",99,IF(AND($BD263&lt;1,AB$3&gt;=MAX(N($P263),N($S263))),6,99))</f>
        <v/>
      </c>
      <c r="BS263">
        <f>IF($C263="",99,IF(AND($BE263&lt;1,AC$3&gt;=MAX(N($P263),N($S263))),7,99))</f>
        <v/>
      </c>
      <c r="BT263">
        <f>IF($C263="",99,IF(AND($BF263&lt;1,AD$3&gt;=MAX(N($P263),N($S263))),8,99))</f>
        <v/>
      </c>
      <c r="BU263">
        <f>IF($C263="",99,IF(AND($BG263&lt;1,AE$3&gt;=MAX(N($P263),N($S263))),9,99))</f>
        <v/>
      </c>
      <c r="BV263">
        <f>IF($C263="",99,IF(AND($BH263&lt;1,AF$3&gt;=MAX(N($P263),N($S263))),10,99))</f>
        <v/>
      </c>
      <c r="BW263">
        <f>IF($C263="",99,IF(AND($BI263&lt;1,AG$3&gt;=MAX(N($P263),N($S263))),11,99))</f>
        <v/>
      </c>
      <c r="BX263">
        <f>IF($C263="",99,IF(AND($BJ263&lt;1,AH$3&gt;=MAX(N($P263),N($S263))),12,99))</f>
        <v/>
      </c>
      <c r="BY263">
        <f>IF($C263="",99,IF(AND($BK263&lt;1,AI$3&gt;=MAX(N($P263),N($S263))),13,99))</f>
        <v/>
      </c>
      <c r="BZ263">
        <f>IF(OR($C263="",$M263=""),"",COUNTIF($AJ263:$AW263,"&gt;=1"))</f>
        <v/>
      </c>
      <c r="CA263" s="90">
        <f>IF($BZ263="","",IF($BZ263&gt;=14,"",'設定'!$C$6+$BZ263))</f>
        <v/>
      </c>
      <c r="CB263">
        <f>IF(OR($C263="",$M263=""),"",MIN($BL263:$BY263))</f>
        <v/>
      </c>
      <c r="CC263" s="90">
        <f>IF($CB263="","",IF($CB263&gt;=99,"",'設定'!$C$6+$CB263))</f>
        <v/>
      </c>
      <c r="CD263">
        <f>IF(OR($C263="",$M263=""),"",AVERAGE($V263:$AI263))</f>
        <v/>
      </c>
      <c r="CE263">
        <f>IF($C263="","",IFERROR(IF(MATCH(IF(ISNUMBER($P263),$P263,'設定'!$C$6+N('設定'!$C$7)),$V$3:$AI$3,0)=1,MAX(0,N($L263)),INDEX($AJ263:$AW263,MATCH(IF(ISNUMBER($P263),$P263,'設定'!$C$6+N('設定'!$C$7)),$V$3:$AI$3,0)-1)),""))</f>
        <v/>
      </c>
      <c r="CF263">
        <f>IF(OR($C263="",$O263="",$CE263=""),"",IF($O263-$CE263&lt;=0,0,ROUNDUP(($O263-$CE263)/$G263,0)))</f>
        <v/>
      </c>
      <c r="CG263">
        <f>IF(OR($C263="",$CF263="",NOT(ISNUMBER($Q263))),0,MAX(0,$Q263-$CF263))</f>
        <v/>
      </c>
      <c r="CH263">
        <f>IF(OR($C263="",$O263="",$U263=0),0,IFERROR(ROUNDUP(MAX(0,IF(MATCH($S263,$V$3:$AI$3,0)=1,MAX(0,N($L263)),INDEX($AX263:$BK263,MATCH($S263,$V$3:$AI$3,0)-1))+$U263-$O263)/$G263,0),0))</f>
        <v/>
      </c>
      <c r="CI263">
        <f>IF($C263="","",IF(AND($P263="",$Q263=""),"",IF($P263="","⚠ 入庫日を ▼ から選んでください",IF(NOT(ISNUMBER($P263)),"⚠ 入庫日は ▼ から選んでください",IF($P263&lt;N('設定'!$C$6),"⚠ 入庫日が過去です（もう在庫に入っています）→ 消してください",IF($P263&gt;N('設定'!$C$6)+13,"⚠ 入庫日が14日より先です",IF(N($Q263)&lt;=0,"⚠ 入庫数を入れてください",IF($CG263&gt;0,"⚠ 目安より "&amp;$CG263&amp;" 多い（定数を超える）→ 減らす",""))))))))</f>
        <v/>
      </c>
      <c r="CJ263">
        <f>IF($C263="","",IF(AND($S263="",$T263=""),"",IF($S263="","⚠ 2便目：入庫日を ▼ から選んでください",IF(NOT(ISNUMBER($S263)),"⚠ 2便目：入庫日は ▼ から選んでください",IF($S263&lt;N('設定'!$C$6),"⚠ 2便目：入庫日が過去です（もう在庫に入っています）→ 消してください",IF($S263&gt;N('設定'!$C$6)+13,"⚠ 2便目：入庫日が14日より先です",IF(N($T263)&lt;=0,"⚠ 2便目：入庫数を入れてください",IF($CH263&gt;0,"⚠ 2便目：定数を "&amp;$CH263&amp;" ケース超える → 減らす",""))))))))</f>
        <v/>
      </c>
      <c r="CK263">
        <f>IF(AND($CI263="",N($Q263)&gt;0,ISNUMBER($P263)),1,0)</f>
        <v/>
      </c>
      <c r="CL263">
        <f>IF(AND($CJ263="",N($T263)&gt;0,ISNUMBER($S263)),1,0)</f>
        <v/>
      </c>
      <c r="CM263">
        <f>IF(OR($CK263=1,$CL263=1),1,0)</f>
        <v/>
      </c>
      <c r="CN263">
        <f>IF($C263="",0,($CK263*$R263+$CL263*$U263)*N($H263))</f>
        <v/>
      </c>
      <c r="CO263">
        <f>IF($C263="","",IF($CC263="","入庫後は 14日以上もつ",IF($CC263-N('設定'!$C$7)&lt;='設定'!$C$6,"入庫後も "&amp;TEXT($CC263,"m/d")&amp;"("&amp;CHOOSE(WEEKDAY($CC263),"日","月","火","水","木","金","土")&amp;")"&amp;" に切れる　もう1便を至急発注","入庫後も "&amp;TEXT($CC263,"m/d")&amp;"("&amp;CHOOSE(WEEKDAY($CC263),"日","月","火","水","木","金","土")&amp;")"&amp;" に切れる　"&amp;TEXT($CC263-N('設定'!$C$7),"m/d")&amp;"("&amp;CHOOSE(WEEKDAY($CC263-N('設定'!$C$7)),"日","月","火","水","木","金","土")&amp;")"&amp;" までに次を発注")))</f>
        <v/>
      </c>
      <c r="CP263">
        <f>IF($C263="","",IF('設定'!$C$6="","？ ①在庫を貼る に今日のCSVが貼られていない",IF($CS263=1,"－ 今日のCSVに無い（終売？）",IF($L263&lt;0,"● 在庫がマイナス　数えて「数えた在庫」に入れる",IF($L263=0,"● 在庫なし　至急発注",IF($M263="","？ 減り数が未設定（商品マスタ）",IF($B$3=0,"？ 動員が未入力（動員を入れる）",IF($CA263="","○ 14日以上もつ",IF($BZ263&lt;N('設定'!$C$7),"● "&amp;TEXT($CA263,"m/d")&amp;"("&amp;CHOOSE(WEEKDAY($CA263),"日","月","火","水","木","金","土")&amp;")"&amp;" に切れる　至急発注",IF($BZ263=N('設定'!$C$7),"● "&amp;TEXT($CA263,"m/d")&amp;"("&amp;CHOOSE(WEEKDAY($CA263),"日","月","火","水","木","金","土")&amp;")"&amp;" に切れる　今日発注","△ "&amp;TEXT($CA263,"m/d")&amp;"("&amp;CHOOSE(WEEKDAY($CA263),"日","月","火","水","木","金","土")&amp;")"&amp;" に切れる　"&amp;TEXT($CA263-N('設定'!$C$7),"m/d")&amp;"("&amp;CHOOSE(WEEKDAY($CA263-N('設定'!$C$7)),"日","月","火","水","木","金","土")&amp;")"&amp;" までに発注"))))))))))</f>
        <v/>
      </c>
      <c r="CQ263">
        <f>IF($C263="","",IF(AND($P263="",$Q263="",$S263="",$T263=""),"",IF(AND($P263="",$Q263=""),"⚠ 先に1便目（左の入庫日・入庫数）に入れてください",IF($CI263&lt;&gt;"",$CI263,IF($CJ263&lt;&gt;"",$CJ263,IF($M263="","？ 減り数が未設定（発注書には載ります）",IF($B$3=0,"？ 動員が未入力（発注書には載ります）",IF(AND($CA263&lt;&gt;"",$P263&gt;$CA263),IF($P263&gt;'設定'!$C$6+N('設定'!$C$7),"● "&amp;TEXT($P263,"m/d")&amp;"("&amp;CHOOSE(WEEKDAY($P263),"日","月","火","水","木","金","土")&amp;")"&amp;" の入庫では間に合わない（"&amp;TEXT($CA263,"m/d")&amp;"("&amp;CHOOSE(WEEKDAY($CA263),"日","月","火","水","木","金","土")&amp;")"&amp;" に切れる）　入庫日を早める","△ 欠品 "&amp;TEXT($CA263,"m/d")&amp;"("&amp;CHOOSE(WEEKDAY($CA263),"日","月","火","水","木","金","土")&amp;")"&amp;"〜"&amp;TEXT($P263-1,"m/d")&amp;"("&amp;CHOOSE(WEEKDAY($P263-1),"日","月","火","水","木","金","土")&amp;")"&amp;"　"&amp;$CO263),IF($CC263="","○ "&amp;TEXT($P263,"m/d")&amp;"("&amp;CHOOSE(WEEKDAY($P263),"日","月","火","水","木","金","土")&amp;")"&amp;" 入庫で 14日以上もつ",IF($CC263-N('設定'!$C$7)&lt;='設定'!$C$6,"● 入庫しても "&amp;TEXT($CC263,"m/d")&amp;"("&amp;CHOOSE(WEEKDAY($CC263),"日","月","火","水","木","金","土")&amp;")"&amp;" に切れる　もう1便を至急発注（2便目に入れる）","△ 入庫しても "&amp;TEXT($CC263,"m/d")&amp;"("&amp;CHOOSE(WEEKDAY($CC263),"日","月","火","水","木","金","土")&amp;")"&amp;" に切れる　"&amp;TEXT($CC263-N('設定'!$C$7),"m/d")&amp;"("&amp;CHOOSE(WEEKDAY($CC263-N('設定'!$C$7)),"日","月","火","水","木","金","土")&amp;")"&amp;" までに次を発注（2便目に入れる）"))))))))))</f>
        <v/>
      </c>
      <c r="CR263">
        <f>IF($C263="","",IF($G263&gt;1,"ｹｰｽ("&amp;$G263&amp;"入)","個"))</f>
        <v/>
      </c>
      <c r="CS263">
        <f>IF($C263="",0,IF(COUNTIFS('①在庫を貼る'!$V$6:$V$10005,'設定'!$C$4,'①在庫を貼る'!$W$6:$W$10005,$C263)=0,1,0))</f>
        <v/>
      </c>
      <c r="CT263">
        <f>IF(AND($CK263=1,OR('③発注書'!$C$4="すべて",'③発注書'!$C$4="",$F263='③発注書'!$C$4)),N($CT262)+1,N($CT262))</f>
        <v/>
      </c>
      <c r="CU263">
        <f>IF(AND($CL263=1,OR('③発注書'!$C$4="すべて",'③発注書'!$C$4="",$F263='③発注書'!$C$4)),N($CU262)+1,N($CU262))</f>
        <v/>
      </c>
      <c r="CV263">
        <f>IF($C263="",0,IF(COUNTIFS('①在庫を貼る'!$V$6:$V$10005,'設定'!$C$4,'①在庫を貼る'!$W$6:$W$10005,$C263)&gt;0,1,0))</f>
        <v/>
      </c>
      <c r="CW263">
        <f>IF($C263="",0,IF(COUNTIFS('月1回_1ヶ月前の在庫'!$V$6:$V$10005,'設定'!$C$4,'月1回_1ヶ月前の在庫'!$W$6:$W$10005,$C263)&gt;0,1,0))</f>
        <v/>
      </c>
      <c r="CX263">
        <f>IF($C263="",0,IF(COUNTIFS('月1回_2ヶ月前の在庫'!$V$6:$V$10005,'設定'!$C$4,'月1回_2ヶ月前の在庫'!$W$6:$W$10005,$C263)&gt;0,1,0))</f>
        <v/>
      </c>
      <c r="CY263">
        <f>IF(OR($C263="",'設定'!$C$12=""),"",IF('設定'!$C$13="",IF(AND($CV263=1,$CW263=0),"新商品（今月から）",IF(AND($CV263=0,$CW263=1),"終売（今月から）","")),IF(AND($CV263=1,$CW263=0,$CX263=0),"新商品（今月から）",IF(AND($CV263=1,$CW263=1,$CX263=0),"新商品（先月から）",IF(AND($CV263=0,$CW263=1,$CX263=1),"終売（今月から）",IF(AND($CV263=0,$CW263=0,$CX263=1),"終売（先月から）",IF(AND($CV263=1,$CW263=0,$CX263=1),"復活（先月は無し）","")))))))</f>
        <v/>
      </c>
    </row>
    <row r="264">
      <c r="B264">
        <f>IF(259&lt;='設定'!$C$11,259,"")</f>
        <v/>
      </c>
      <c r="C264">
        <f>IF($B264="","",IF($B264&lt;='設定'!$C$20,INDEX('商品マスタ'!$B$6:$B$1005,MATCH($B264,'商品マスタ'!$M$6:$M$1005,0)),IF($B264&lt;='設定'!$C$20+'設定'!$C$17,INDEX('①在庫を貼る'!$W$6:$W$10005,MATCH($B264-'設定'!$C$20,'①在庫を貼る'!$U$6:$U$10005,0)),IF($B264&lt;='設定'!$C$20+'設定'!$C$17+'設定'!$C$18,INDEX('月1回_1ヶ月前の在庫'!$W$6:$W$10005,MATCH($B264-'設定'!$C$20-'設定'!$C$17,'月1回_1ヶ月前の在庫'!$U$6:$U$10005,0)),INDEX('月1回_2ヶ月前の在庫'!$W$6:$W$10005,MATCH($B264-'設定'!$C$20-'設定'!$C$17-'設定'!$C$18,'月1回_2ヶ月前の在庫'!$U$6:$U$10005,0))))))</f>
        <v/>
      </c>
      <c r="D264">
        <f>IF($C264="","",IFERROR(IF(INDEX('商品マスタ'!$C$6:$C$1005,MATCH($C264,'商品マスタ'!$B$6:$B$1005,0))="",IFERROR(INDEX('①在庫を貼る'!$J$6:$J$10005,MATCH($C264,'①在庫を貼る'!$W$6:$W$10005,0)),IFERROR(INDEX('月1回_1ヶ月前の在庫'!$J$6:$J$10005,MATCH($C264,'月1回_1ヶ月前の在庫'!$W$6:$W$10005,0)),IFERROR(INDEX('月1回_2ヶ月前の在庫'!$J$6:$J$10005,MATCH($C264,'月1回_2ヶ月前の在庫'!$W$6:$W$10005,0)),""))),INDEX('商品マスタ'!$C$6:$C$1005,MATCH($C264,'商品マスタ'!$B$6:$B$1005,0))),IFERROR(INDEX('①在庫を貼る'!$J$6:$J$10005,MATCH($C264,'①在庫を貼る'!$W$6:$W$10005,0)),IFERROR(INDEX('月1回_1ヶ月前の在庫'!$J$6:$J$10005,MATCH($C264,'月1回_1ヶ月前の在庫'!$W$6:$W$10005,0)),IFERROR(INDEX('月1回_2ヶ月前の在庫'!$J$6:$J$10005,MATCH($C264,'月1回_2ヶ月前の在庫'!$W$6:$W$10005,0)),"")))))</f>
        <v/>
      </c>
      <c r="E264">
        <f>IF($C264="","",IFERROR(IF(INDEX('商品マスタ'!$D$6:$D$1005,MATCH($C264,'商品マスタ'!$B$6:$B$1005,0))="",IFERROR(INDEX('①在庫を貼る'!$H$6:$H$10005,MATCH($C264,'①在庫を貼る'!$W$6:$W$10005,0)),IFERROR(INDEX('月1回_1ヶ月前の在庫'!$H$6:$H$10005,MATCH($C264,'月1回_1ヶ月前の在庫'!$W$6:$W$10005,0)),IFERROR(INDEX('月1回_2ヶ月前の在庫'!$H$6:$H$10005,MATCH($C264,'月1回_2ヶ月前の在庫'!$W$6:$W$10005,0)),""))),INDEX('商品マスタ'!$D$6:$D$1005,MATCH($C264,'商品マスタ'!$B$6:$B$1005,0))),IFERROR(INDEX('①在庫を貼る'!$H$6:$H$10005,MATCH($C264,'①在庫を貼る'!$W$6:$W$10005,0)),IFERROR(INDEX('月1回_1ヶ月前の在庫'!$H$6:$H$10005,MATCH($C264,'月1回_1ヶ月前の在庫'!$W$6:$W$10005,0)),IFERROR(INDEX('月1回_2ヶ月前の在庫'!$H$6:$H$10005,MATCH($C264,'月1回_2ヶ月前の在庫'!$W$6:$W$10005,0)),"")))))</f>
        <v/>
      </c>
      <c r="F264">
        <f>IF($C264="","",IFERROR(IF(INDEX('商品マスタ'!$E$6:$E$1005,MATCH($C264,'商品マスタ'!$B$6:$B$1005,0))="",IFERROR(INDEX('①在庫を貼る'!$E$6:$E$10005,MATCH($C264,'①在庫を貼る'!$W$6:$W$10005,0)),IFERROR(INDEX('月1回_1ヶ月前の在庫'!$E$6:$E$10005,MATCH($C264,'月1回_1ヶ月前の在庫'!$W$6:$W$10005,0)),IFERROR(INDEX('月1回_2ヶ月前の在庫'!$E$6:$E$10005,MATCH($C264,'月1回_2ヶ月前の在庫'!$W$6:$W$10005,0)),""))),INDEX('商品マスタ'!$E$6:$E$1005,MATCH($C264,'商品マスタ'!$B$6:$B$1005,0))),IFERROR(INDEX('①在庫を貼る'!$E$6:$E$10005,MATCH($C264,'①在庫を貼る'!$W$6:$W$10005,0)),IFERROR(INDEX('月1回_1ヶ月前の在庫'!$E$6:$E$10005,MATCH($C264,'月1回_1ヶ月前の在庫'!$W$6:$W$10005,0)),IFERROR(INDEX('月1回_2ヶ月前の在庫'!$E$6:$E$10005,MATCH($C264,'月1回_2ヶ月前の在庫'!$W$6:$W$10005,0)),"")))))</f>
        <v/>
      </c>
      <c r="G264">
        <f>IF($C264="","",MAX(1,N(IFERROR(IF(INDEX('商品マスタ'!$F$6:$F$1005,MATCH($C264,'商品マスタ'!$B$6:$B$1005,0))="",IF(COUNTIFS('①在庫を貼る'!$V$6:$V$10005,'設定'!$C$4,'①在庫を貼る'!$W$6:$W$10005,$C264)&gt;0,SUMIFS('①在庫を貼る'!$K$6:$K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K$6:$K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K$6:$K$10005,'月1回_2ヶ月前の在庫'!$V$6:$V$10005,'設定'!$C$4,'月1回_2ヶ月前の在庫'!$W$6:$W$10005,$C264)/COUNTIFS('月1回_2ヶ月前の在庫'!$V$6:$V$10005,'設定'!$C$4,'月1回_2ヶ月前の在庫'!$W$6:$W$10005,$C264),0))),INDEX('商品マスタ'!$F$6:$F$1005,MATCH($C264,'商品マスタ'!$B$6:$B$1005,0))),IF(COUNTIFS('①在庫を貼る'!$V$6:$V$10005,'設定'!$C$4,'①在庫を貼る'!$W$6:$W$10005,$C264)&gt;0,SUMIFS('①在庫を貼る'!$K$6:$K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K$6:$K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K$6:$K$10005,'月1回_2ヶ月前の在庫'!$V$6:$V$10005,'設定'!$C$4,'月1回_2ヶ月前の在庫'!$W$6:$W$10005,$C264)/COUNTIFS('月1回_2ヶ月前の在庫'!$V$6:$V$10005,'設定'!$C$4,'月1回_2ヶ月前の在庫'!$W$6:$W$10005,$C264),0)))))))</f>
        <v/>
      </c>
      <c r="H264">
        <f>IF($C264="","",N(IFERROR(IF(INDEX('商品マスタ'!$G$6:$G$1005,MATCH($C264,'商品マスタ'!$B$6:$B$1005,0))="",IF(COUNTIFS('①在庫を貼る'!$V$6:$V$10005,'設定'!$C$4,'①在庫を貼る'!$W$6:$W$10005,$C264)&gt;0,SUMIFS('①在庫を貼る'!$Q$6:$Q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Q$6:$Q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Q$6:$Q$10005,'月1回_2ヶ月前の在庫'!$V$6:$V$10005,'設定'!$C$4,'月1回_2ヶ月前の在庫'!$W$6:$W$10005,$C264)/COUNTIFS('月1回_2ヶ月前の在庫'!$V$6:$V$10005,'設定'!$C$4,'月1回_2ヶ月前の在庫'!$W$6:$W$10005,$C264),0))),INDEX('商品マスタ'!$G$6:$G$1005,MATCH($C264,'商品マスタ'!$B$6:$B$1005,0))),IF(COUNTIFS('①在庫を貼る'!$V$6:$V$10005,'設定'!$C$4,'①在庫を貼る'!$W$6:$W$10005,$C264)&gt;0,SUMIFS('①在庫を貼る'!$Q$6:$Q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Q$6:$Q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Q$6:$Q$10005,'月1回_2ヶ月前の在庫'!$V$6:$V$10005,'設定'!$C$4,'月1回_2ヶ月前の在庫'!$W$6:$W$10005,$C264)/COUNTIFS('月1回_2ヶ月前の在庫'!$V$6:$V$10005,'設定'!$C$4,'月1回_2ヶ月前の在庫'!$W$6:$W$10005,$C264),0))))))</f>
        <v/>
      </c>
      <c r="I264">
        <f>IF($C264="","",IF(COUNTIFS('①在庫を貼る'!$V$6:$V$10005,'設定'!$C$4,'①在庫を貼る'!$W$6:$W$10005,$C264)=0,"",SUMIFS('①在庫を貼る'!$N$6:$N$10005,'①在庫を貼る'!$V$6:$V$10005,'設定'!$C$4,'①在庫を貼る'!$W$6:$W$10005,$C264)))</f>
        <v/>
      </c>
      <c r="J264">
        <f>IF($C264="","",IF('②発注する'!$AD268="","",'②発注する'!$AD268))</f>
        <v/>
      </c>
      <c r="K264" s="90">
        <f>IF($C264="","",IF('②発注する'!$AE268="","",'②発注する'!$AE268))</f>
        <v/>
      </c>
      <c r="L264">
        <f>IF($C264="","",IF(AND(ISNUMBER($J264),ISNUMBER($K264),$K264&gt;='設定'!$C$6),$J264,N($I264)))</f>
        <v/>
      </c>
      <c r="M264">
        <f>IF($C264="","",IFERROR(IF(N(INDEX('商品マスタ'!$J$6:$J$1005,MATCH($C264,'商品マスタ'!$B$6:$B$1005,0)))&gt;0,INDEX('商品マスタ'!$J$6:$J$1005,MATCH($C264,'商品マスタ'!$B$6:$B$1005,0)),""),""))</f>
        <v/>
      </c>
      <c r="N264">
        <f>IF($C264="","",IFERROR(IF(N(INDEX('商品マスタ'!$H$6:$H$1005,MATCH($C264,'商品マスタ'!$B$6:$B$1005,0)))&gt;0,INDEX('商品マスタ'!$H$6:$H$1005,MATCH($C264,'商品マスタ'!$B$6:$B$1005,0)),""),""))</f>
        <v/>
      </c>
      <c r="O264">
        <f>IF($C264="","",IF($N264&lt;&gt;"",$N264*$G264,IF(N(IF(COUNTIFS('①在庫を貼る'!$V$6:$V$10005,'設定'!$C$4,'①在庫を貼る'!$W$6:$W$10005,$C264)&gt;0,SUMIFS('①在庫を貼る'!$O$6:$O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O$6:$O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O$6:$O$10005,'月1回_2ヶ月前の在庫'!$V$6:$V$10005,'設定'!$C$4,'月1回_2ヶ月前の在庫'!$W$6:$W$10005,$C264)/COUNTIFS('月1回_2ヶ月前の在庫'!$V$6:$V$10005,'設定'!$C$4,'月1回_2ヶ月前の在庫'!$W$6:$W$10005,$C264),0))))&gt;0,N(IF(COUNTIFS('①在庫を貼る'!$V$6:$V$10005,'設定'!$C$4,'①在庫を貼る'!$W$6:$W$10005,$C264)&gt;0,SUMIFS('①在庫を貼る'!$O$6:$O$10005,'①在庫を貼る'!$V$6:$V$10005,'設定'!$C$4,'①在庫を貼る'!$W$6:$W$10005,$C264)/COUNTIFS('①在庫を貼る'!$V$6:$V$10005,'設定'!$C$4,'①在庫を貼る'!$W$6:$W$10005,$C264),IF(COUNTIFS('月1回_1ヶ月前の在庫'!$V$6:$V$10005,'設定'!$C$4,'月1回_1ヶ月前の在庫'!$W$6:$W$10005,$C264)&gt;0,SUMIFS('月1回_1ヶ月前の在庫'!$O$6:$O$10005,'月1回_1ヶ月前の在庫'!$V$6:$V$10005,'設定'!$C$4,'月1回_1ヶ月前の在庫'!$W$6:$W$10005,$C264)/COUNTIFS('月1回_1ヶ月前の在庫'!$V$6:$V$10005,'設定'!$C$4,'月1回_1ヶ月前の在庫'!$W$6:$W$10005,$C264),IF(COUNTIFS('月1回_2ヶ月前の在庫'!$V$6:$V$10005,'設定'!$C$4,'月1回_2ヶ月前の在庫'!$W$6:$W$10005,$C264)&gt;0,SUMIFS('月1回_2ヶ月前の在庫'!$O$6:$O$10005,'月1回_2ヶ月前の在庫'!$V$6:$V$10005,'設定'!$C$4,'月1回_2ヶ月前の在庫'!$W$6:$W$10005,$C264)/COUNTIFS('月1回_2ヶ月前の在庫'!$V$6:$V$10005,'設定'!$C$4,'月1回_2ヶ月前の在庫'!$W$6:$W$10005,$C264),0)))),"")))</f>
        <v/>
      </c>
      <c r="P264" s="90">
        <f>IF($C264="","",IF('②発注する'!$I268="","",'②発注する'!$I268))</f>
        <v/>
      </c>
      <c r="Q264">
        <f>IF($C264="","",IF('②発注する'!$J268="","",'②発注する'!$J268))</f>
        <v/>
      </c>
      <c r="R264">
        <f>IF($C264="",0,IF(AND(ISNUMBER($P264),ISNUMBER($Q264)),MAX(0,$Q264)*$G264,0))</f>
        <v/>
      </c>
      <c r="S264" s="90">
        <f>IF($C264="","",IF('②発注する'!$M268="","",'②発注する'!$M268))</f>
        <v/>
      </c>
      <c r="T264">
        <f>IF($C264="","",IF('②発注する'!$N268="","",'②発注する'!$N268))</f>
        <v/>
      </c>
      <c r="U264">
        <f>IF($C264="",0,IF(AND(ISNUMBER($S264),ISNUMBER($T264)),MAX(0,$T264)*$G264,0))</f>
        <v/>
      </c>
      <c r="V264">
        <f>IF($C264="",0,IF($M264="",0,MAX(0,$M264)*MAX(0,V$4)/100))</f>
        <v/>
      </c>
      <c r="W264">
        <f>IF($C264="",0,IF($M264="",0,MAX(0,$M264)*MAX(0,W$4)/100))</f>
        <v/>
      </c>
      <c r="X264">
        <f>IF($C264="",0,IF($M264="",0,MAX(0,$M264)*MAX(0,X$4)/100))</f>
        <v/>
      </c>
      <c r="Y264">
        <f>IF($C264="",0,IF($M264="",0,MAX(0,$M264)*MAX(0,Y$4)/100))</f>
        <v/>
      </c>
      <c r="Z264">
        <f>IF($C264="",0,IF($M264="",0,MAX(0,$M264)*MAX(0,Z$4)/100))</f>
        <v/>
      </c>
      <c r="AA264">
        <f>IF($C264="",0,IF($M264="",0,MAX(0,$M264)*MAX(0,AA$4)/100))</f>
        <v/>
      </c>
      <c r="AB264">
        <f>IF($C264="",0,IF($M264="",0,MAX(0,$M264)*MAX(0,AB$4)/100))</f>
        <v/>
      </c>
      <c r="AC264">
        <f>IF($C264="",0,IF($M264="",0,MAX(0,$M264)*MAX(0,AC$4)/100))</f>
        <v/>
      </c>
      <c r="AD264">
        <f>IF($C264="",0,IF($M264="",0,MAX(0,$M264)*MAX(0,AD$4)/100))</f>
        <v/>
      </c>
      <c r="AE264">
        <f>IF($C264="",0,IF($M264="",0,MAX(0,$M264)*MAX(0,AE$4)/100))</f>
        <v/>
      </c>
      <c r="AF264">
        <f>IF($C264="",0,IF($M264="",0,MAX(0,$M264)*MAX(0,AF$4)/100))</f>
        <v/>
      </c>
      <c r="AG264">
        <f>IF($C264="",0,IF($M264="",0,MAX(0,$M264)*MAX(0,AG$4)/100))</f>
        <v/>
      </c>
      <c r="AH264">
        <f>IF($C264="",0,IF($M264="",0,MAX(0,$M264)*MAX(0,AH$4)/100))</f>
        <v/>
      </c>
      <c r="AI264">
        <f>IF($C264="",0,IF($M264="",0,MAX(0,$M264)*MAX(0,AI$4)/100))</f>
        <v/>
      </c>
      <c r="AJ264">
        <f>IF($C264="",0,MAX(0,MAX(0,N($L264))-$V264))</f>
        <v/>
      </c>
      <c r="AK264">
        <f>IF($C264="",0,MAX(0,$AJ264-$W264))</f>
        <v/>
      </c>
      <c r="AL264">
        <f>IF($C264="",0,MAX(0,$AK264-$X264))</f>
        <v/>
      </c>
      <c r="AM264">
        <f>IF($C264="",0,MAX(0,$AL264-$Y264))</f>
        <v/>
      </c>
      <c r="AN264">
        <f>IF($C264="",0,MAX(0,$AM264-$Z264))</f>
        <v/>
      </c>
      <c r="AO264">
        <f>IF($C264="",0,MAX(0,$AN264-$AA264))</f>
        <v/>
      </c>
      <c r="AP264">
        <f>IF($C264="",0,MAX(0,$AO264-$AB264))</f>
        <v/>
      </c>
      <c r="AQ264">
        <f>IF($C264="",0,MAX(0,$AP264-$AC264))</f>
        <v/>
      </c>
      <c r="AR264">
        <f>IF($C264="",0,MAX(0,$AQ264-$AD264))</f>
        <v/>
      </c>
      <c r="AS264">
        <f>IF($C264="",0,MAX(0,$AR264-$AE264))</f>
        <v/>
      </c>
      <c r="AT264">
        <f>IF($C264="",0,MAX(0,$AS264-$AF264))</f>
        <v/>
      </c>
      <c r="AU264">
        <f>IF($C264="",0,MAX(0,$AT264-$AG264))</f>
        <v/>
      </c>
      <c r="AV264">
        <f>IF($C264="",0,MAX(0,$AU264-$AH264))</f>
        <v/>
      </c>
      <c r="AW264">
        <f>IF($C264="",0,MAX(0,$AV264-$AI264))</f>
        <v/>
      </c>
      <c r="AX264">
        <f>IF($C264="",0,MAX(0,MAX(0,N($L264))+IF($P264=V$3,$R264,0)+IF($S264=V$3,$U264,0)-$V264))</f>
        <v/>
      </c>
      <c r="AY264">
        <f>IF($C264="",0,MAX(0,$AX264+IF($P264=W$3,$R264,0)+IF($S264=W$3,$U264,0)-$W264))</f>
        <v/>
      </c>
      <c r="AZ264">
        <f>IF($C264="",0,MAX(0,$AY264+IF($P264=X$3,$R264,0)+IF($S264=X$3,$U264,0)-$X264))</f>
        <v/>
      </c>
      <c r="BA264">
        <f>IF($C264="",0,MAX(0,$AZ264+IF($P264=Y$3,$R264,0)+IF($S264=Y$3,$U264,0)-$Y264))</f>
        <v/>
      </c>
      <c r="BB264">
        <f>IF($C264="",0,MAX(0,$BA264+IF($P264=Z$3,$R264,0)+IF($S264=Z$3,$U264,0)-$Z264))</f>
        <v/>
      </c>
      <c r="BC264">
        <f>IF($C264="",0,MAX(0,$BB264+IF($P264=AA$3,$R264,0)+IF($S264=AA$3,$U264,0)-$AA264))</f>
        <v/>
      </c>
      <c r="BD264">
        <f>IF($C264="",0,MAX(0,$BC264+IF($P264=AB$3,$R264,0)+IF($S264=AB$3,$U264,0)-$AB264))</f>
        <v/>
      </c>
      <c r="BE264">
        <f>IF($C264="",0,MAX(0,$BD264+IF($P264=AC$3,$R264,0)+IF($S264=AC$3,$U264,0)-$AC264))</f>
        <v/>
      </c>
      <c r="BF264">
        <f>IF($C264="",0,MAX(0,$BE264+IF($P264=AD$3,$R264,0)+IF($S264=AD$3,$U264,0)-$AD264))</f>
        <v/>
      </c>
      <c r="BG264">
        <f>IF($C264="",0,MAX(0,$BF264+IF($P264=AE$3,$R264,0)+IF($S264=AE$3,$U264,0)-$AE264))</f>
        <v/>
      </c>
      <c r="BH264">
        <f>IF($C264="",0,MAX(0,$BG264+IF($P264=AF$3,$R264,0)+IF($S264=AF$3,$U264,0)-$AF264))</f>
        <v/>
      </c>
      <c r="BI264">
        <f>IF($C264="",0,MAX(0,$BH264+IF($P264=AG$3,$R264,0)+IF($S264=AG$3,$U264,0)-$AG264))</f>
        <v/>
      </c>
      <c r="BJ264">
        <f>IF($C264="",0,MAX(0,$BI264+IF($P264=AH$3,$R264,0)+IF($S264=AH$3,$U264,0)-$AH264))</f>
        <v/>
      </c>
      <c r="BK264">
        <f>IF($C264="",0,MAX(0,$BJ264+IF($P264=AI$3,$R264,0)+IF($S264=AI$3,$U264,0)-$AI264))</f>
        <v/>
      </c>
      <c r="BL264">
        <f>IF($C264="",99,IF(AND($AX264&lt;1,V$3&gt;=MAX(N($P264),N($S264))),0,99))</f>
        <v/>
      </c>
      <c r="BM264">
        <f>IF($C264="",99,IF(AND($AY264&lt;1,W$3&gt;=MAX(N($P264),N($S264))),1,99))</f>
        <v/>
      </c>
      <c r="BN264">
        <f>IF($C264="",99,IF(AND($AZ264&lt;1,X$3&gt;=MAX(N($P264),N($S264))),2,99))</f>
        <v/>
      </c>
      <c r="BO264">
        <f>IF($C264="",99,IF(AND($BA264&lt;1,Y$3&gt;=MAX(N($P264),N($S264))),3,99))</f>
        <v/>
      </c>
      <c r="BP264">
        <f>IF($C264="",99,IF(AND($BB264&lt;1,Z$3&gt;=MAX(N($P264),N($S264))),4,99))</f>
        <v/>
      </c>
      <c r="BQ264">
        <f>IF($C264="",99,IF(AND($BC264&lt;1,AA$3&gt;=MAX(N($P264),N($S264))),5,99))</f>
        <v/>
      </c>
      <c r="BR264">
        <f>IF($C264="",99,IF(AND($BD264&lt;1,AB$3&gt;=MAX(N($P264),N($S264))),6,99))</f>
        <v/>
      </c>
      <c r="BS264">
        <f>IF($C264="",99,IF(AND($BE264&lt;1,AC$3&gt;=MAX(N($P264),N($S264))),7,99))</f>
        <v/>
      </c>
      <c r="BT264">
        <f>IF($C264="",99,IF(AND($BF264&lt;1,AD$3&gt;=MAX(N($P264),N($S264))),8,99))</f>
        <v/>
      </c>
      <c r="BU264">
        <f>IF($C264="",99,IF(AND($BG264&lt;1,AE$3&gt;=MAX(N($P264),N($S264))),9,99))</f>
        <v/>
      </c>
      <c r="BV264">
        <f>IF($C264="",99,IF(AND($BH264&lt;1,AF$3&gt;=MAX(N($P264),N($S264))),10,99))</f>
        <v/>
      </c>
      <c r="BW264">
        <f>IF($C264="",99,IF(AND($BI264&lt;1,AG$3&gt;=MAX(N($P264),N($S264))),11,99))</f>
        <v/>
      </c>
      <c r="BX264">
        <f>IF($C264="",99,IF(AND($BJ264&lt;1,AH$3&gt;=MAX(N($P264),N($S264))),12,99))</f>
        <v/>
      </c>
      <c r="BY264">
        <f>IF($C264="",99,IF(AND($BK264&lt;1,AI$3&gt;=MAX(N($P264),N($S264))),13,99))</f>
        <v/>
      </c>
      <c r="BZ264">
        <f>IF(OR($C264="",$M264=""),"",COUNTIF($AJ264:$AW264,"&gt;=1"))</f>
        <v/>
      </c>
      <c r="CA264" s="90">
        <f>IF($BZ264="","",IF($BZ264&gt;=14,"",'設定'!$C$6+$BZ264))</f>
        <v/>
      </c>
      <c r="CB264">
        <f>IF(OR($C264="",$M264=""),"",MIN($BL264:$BY264))</f>
        <v/>
      </c>
      <c r="CC264" s="90">
        <f>IF($CB264="","",IF($CB264&gt;=99,"",'設定'!$C$6+$CB264))</f>
        <v/>
      </c>
      <c r="CD264">
        <f>IF(OR($C264="",$M264=""),"",AVERAGE($V264:$AI264))</f>
        <v/>
      </c>
      <c r="CE264">
        <f>IF($C264="","",IFERROR(IF(MATCH(IF(ISNUMBER($P264),$P264,'設定'!$C$6+N('設定'!$C$7)),$V$3:$AI$3,0)=1,MAX(0,N($L264)),INDEX($AJ264:$AW264,MATCH(IF(ISNUMBER($P264),$P264,'設定'!$C$6+N('設定'!$C$7)),$V$3:$AI$3,0)-1)),""))</f>
        <v/>
      </c>
      <c r="CF264">
        <f>IF(OR($C264="",$O264="",$CE264=""),"",IF($O264-$CE264&lt;=0,0,ROUNDUP(($O264-$CE264)/$G264,0)))</f>
        <v/>
      </c>
      <c r="CG264">
        <f>IF(OR($C264="",$CF264="",NOT(ISNUMBER($Q264))),0,MAX(0,$Q264-$CF264))</f>
        <v/>
      </c>
      <c r="CH264">
        <f>IF(OR($C264="",$O264="",$U264=0),0,IFERROR(ROUNDUP(MAX(0,IF(MATCH($S264,$V$3:$AI$3,0)=1,MAX(0,N($L264)),INDEX($AX264:$BK264,MATCH($S264,$V$3:$AI$3,0)-1))+$U264-$O264)/$G264,0),0))</f>
        <v/>
      </c>
      <c r="CI264">
        <f>IF($C264="","",IF(AND($P264="",$Q264=""),"",IF($P264="","⚠ 入庫日を ▼ から選んでください",IF(NOT(ISNUMBER($P264)),"⚠ 入庫日は ▼ から選んでください",IF($P264&lt;N('設定'!$C$6),"⚠ 入庫日が過去です（もう在庫に入っています）→ 消してください",IF($P264&gt;N('設定'!$C$6)+13,"⚠ 入庫日が14日より先です",IF(N($Q264)&lt;=0,"⚠ 入庫数を入れてください",IF($CG264&gt;0,"⚠ 目安より "&amp;$CG264&amp;" 多い（定数を超える）→ 減らす",""))))))))</f>
        <v/>
      </c>
      <c r="CJ264">
        <f>IF($C264="","",IF(AND($S264="",$T264=""),"",IF($S264="","⚠ 2便目：入庫日を ▼ から選んでください",IF(NOT(ISNUMBER($S264)),"⚠ 2便目：入庫日は ▼ から選んでください",IF($S264&lt;N('設定'!$C$6),"⚠ 2便目：入庫日が過去です（もう在庫に入っています）→ 消してください",IF($S264&gt;N('設定'!$C$6)+13,"⚠ 2便目：入庫日が14日より先です",IF(N($T264)&lt;=0,"⚠ 2便目：入庫数を入れてください",IF($CH264&gt;0,"⚠ 2便目：定数を "&amp;$CH264&amp;" ケース超える → 減らす",""))))))))</f>
        <v/>
      </c>
      <c r="CK264">
        <f>IF(AND($CI264="",N($Q264)&gt;0,ISNUMBER($P264)),1,0)</f>
        <v/>
      </c>
      <c r="CL264">
        <f>IF(AND($CJ264="",N($T264)&gt;0,ISNUMBER($S264)),1,0)</f>
        <v/>
      </c>
      <c r="CM264">
        <f>IF(OR($CK264=1,$CL264=1),1,0)</f>
        <v/>
      </c>
      <c r="CN264">
        <f>IF($C264="",0,($CK264*$R264+$CL264*$U264)*N($H264))</f>
        <v/>
      </c>
      <c r="CO264">
        <f>IF($C264="","",IF($CC264="","入庫後は 14日以上もつ",IF($CC264-N('設定'!$C$7)&lt;='設定'!$C$6,"入庫後も "&amp;TEXT($CC264,"m/d")&amp;"("&amp;CHOOSE(WEEKDAY($CC264),"日","月","火","水","木","金","土")&amp;")"&amp;" に切れる　もう1便を至急発注","入庫後も "&amp;TEXT($CC264,"m/d")&amp;"("&amp;CHOOSE(WEEKDAY($CC264),"日","月","火","水","木","金","土")&amp;")"&amp;" に切れる　"&amp;TEXT($CC264-N('設定'!$C$7),"m/d")&amp;"("&amp;CHOOSE(WEEKDAY($CC264-N('設定'!$C$7)),"日","月","火","水","木","金","土")&amp;")"&amp;" までに次を発注")))</f>
        <v/>
      </c>
      <c r="CP264">
        <f>IF($C264="","",IF('設定'!$C$6="","？ ①在庫を貼る に今日のCSVが貼られていない",IF($CS264=1,"－ 今日のCSVに無い（終売？）",IF($L264&lt;0,"● 在庫がマイナス　数えて「数えた在庫」に入れる",IF($L264=0,"● 在庫なし　至急発注",IF($M264="","？ 減り数が未設定（商品マスタ）",IF($B$3=0,"？ 動員が未入力（動員を入れる）",IF($CA264="","○ 14日以上もつ",IF($BZ264&lt;N('設定'!$C$7),"● "&amp;TEXT($CA264,"m/d")&amp;"("&amp;CHOOSE(WEEKDAY($CA264),"日","月","火","水","木","金","土")&amp;")"&amp;" に切れる　至急発注",IF($BZ264=N('設定'!$C$7),"● "&amp;TEXT($CA264,"m/d")&amp;"("&amp;CHOOSE(WEEKDAY($CA264),"日","月","火","水","木","金","土")&amp;")"&amp;" に切れる　今日発注","△ "&amp;TEXT($CA264,"m/d")&amp;"("&amp;CHOOSE(WEEKDAY($CA264),"日","月","火","水","木","金","土")&amp;")"&amp;" に切れる　"&amp;TEXT($CA264-N('設定'!$C$7),"m/d")&amp;"("&amp;CHOOSE(WEEKDAY($CA264-N('設定'!$C$7)),"日","月","火","水","木","金","土")&amp;")"&amp;" までに発注"))))))))))</f>
        <v/>
      </c>
      <c r="CQ264">
        <f>IF($C264="","",IF(AND($P264="",$Q264="",$S264="",$T264=""),"",IF(AND($P264="",$Q264=""),"⚠ 先に1便目（左の入庫日・入庫数）に入れてください",IF($CI264&lt;&gt;"",$CI264,IF($CJ264&lt;&gt;"",$CJ264,IF($M264="","？ 減り数が未設定（発注書には載ります）",IF($B$3=0,"？ 動員が未入力（発注書には載ります）",IF(AND($CA264&lt;&gt;"",$P264&gt;$CA264),IF($P264&gt;'設定'!$C$6+N('設定'!$C$7),"● "&amp;TEXT($P264,"m/d")&amp;"("&amp;CHOOSE(WEEKDAY($P264),"日","月","火","水","木","金","土")&amp;")"&amp;" の入庫では間に合わない（"&amp;TEXT($CA264,"m/d")&amp;"("&amp;CHOOSE(WEEKDAY($CA264),"日","月","火","水","木","金","土")&amp;")"&amp;" に切れる）　入庫日を早める","△ 欠品 "&amp;TEXT($CA264,"m/d")&amp;"("&amp;CHOOSE(WEEKDAY($CA264),"日","月","火","水","木","金","土")&amp;")"&amp;"〜"&amp;TEXT($P264-1,"m/d")&amp;"("&amp;CHOOSE(WEEKDAY($P264-1),"日","月","火","水","木","金","土")&amp;")"&amp;"　"&amp;$CO264),IF($CC264="","○ "&amp;TEXT($P264,"m/d")&amp;"("&amp;CHOOSE(WEEKDAY($P264),"日","月","火","水","木","金","土")&amp;")"&amp;" 入庫で 14日以上もつ",IF($CC264-N('設定'!$C$7)&lt;='設定'!$C$6,"● 入庫しても "&amp;TEXT($CC264,"m/d")&amp;"("&amp;CHOOSE(WEEKDAY($CC264),"日","月","火","水","木","金","土")&amp;")"&amp;" に切れる　もう1便を至急発注（2便目に入れる）","△ 入庫しても "&amp;TEXT($CC264,"m/d")&amp;"("&amp;CHOOSE(WEEKDAY($CC264),"日","月","火","水","木","金","土")&amp;")"&amp;" に切れる　"&amp;TEXT($CC264-N('設定'!$C$7),"m/d")&amp;"("&amp;CHOOSE(WEEKDAY($CC264-N('設定'!$C$7)),"日","月","火","水","木","金","土")&amp;")"&amp;" までに次を発注（2便目に入れる）"))))))))))</f>
        <v/>
      </c>
      <c r="CR264">
        <f>IF($C264="","",IF($G264&gt;1,"ｹｰｽ("&amp;$G264&amp;"入)","個"))</f>
        <v/>
      </c>
      <c r="CS264">
        <f>IF($C264="",0,IF(COUNTIFS('①在庫を貼る'!$V$6:$V$10005,'設定'!$C$4,'①在庫を貼る'!$W$6:$W$10005,$C264)=0,1,0))</f>
        <v/>
      </c>
      <c r="CT264">
        <f>IF(AND($CK264=1,OR('③発注書'!$C$4="すべて",'③発注書'!$C$4="",$F264='③発注書'!$C$4)),N($CT263)+1,N($CT263))</f>
        <v/>
      </c>
      <c r="CU264">
        <f>IF(AND($CL264=1,OR('③発注書'!$C$4="すべて",'③発注書'!$C$4="",$F264='③発注書'!$C$4)),N($CU263)+1,N($CU263))</f>
        <v/>
      </c>
      <c r="CV264">
        <f>IF($C264="",0,IF(COUNTIFS('①在庫を貼る'!$V$6:$V$10005,'設定'!$C$4,'①在庫を貼る'!$W$6:$W$10005,$C264)&gt;0,1,0))</f>
        <v/>
      </c>
      <c r="CW264">
        <f>IF($C264="",0,IF(COUNTIFS('月1回_1ヶ月前の在庫'!$V$6:$V$10005,'設定'!$C$4,'月1回_1ヶ月前の在庫'!$W$6:$W$10005,$C264)&gt;0,1,0))</f>
        <v/>
      </c>
      <c r="CX264">
        <f>IF($C264="",0,IF(COUNTIFS('月1回_2ヶ月前の在庫'!$V$6:$V$10005,'設定'!$C$4,'月1回_2ヶ月前の在庫'!$W$6:$W$10005,$C264)&gt;0,1,0))</f>
        <v/>
      </c>
      <c r="CY264">
        <f>IF(OR($C264="",'設定'!$C$12=""),"",IF('設定'!$C$13="",IF(AND($CV264=1,$CW264=0),"新商品（今月から）",IF(AND($CV264=0,$CW264=1),"終売（今月から）","")),IF(AND($CV264=1,$CW264=0,$CX264=0),"新商品（今月から）",IF(AND($CV264=1,$CW264=1,$CX264=0),"新商品（先月から）",IF(AND($CV264=0,$CW264=1,$CX264=1),"終売（今月から）",IF(AND($CV264=0,$CW264=0,$CX264=1),"終売（先月から）",IF(AND($CV264=1,$CW264=0,$CX264=1),"復活（先月は無し）","")))))))</f>
        <v/>
      </c>
    </row>
    <row r="265">
      <c r="B265">
        <f>IF(260&lt;='設定'!$C$11,260,"")</f>
        <v/>
      </c>
      <c r="C265">
        <f>IF($B265="","",IF($B265&lt;='設定'!$C$20,INDEX('商品マスタ'!$B$6:$B$1005,MATCH($B265,'商品マスタ'!$M$6:$M$1005,0)),IF($B265&lt;='設定'!$C$20+'設定'!$C$17,INDEX('①在庫を貼る'!$W$6:$W$10005,MATCH($B265-'設定'!$C$20,'①在庫を貼る'!$U$6:$U$10005,0)),IF($B265&lt;='設定'!$C$20+'設定'!$C$17+'設定'!$C$18,INDEX('月1回_1ヶ月前の在庫'!$W$6:$W$10005,MATCH($B265-'設定'!$C$20-'設定'!$C$17,'月1回_1ヶ月前の在庫'!$U$6:$U$10005,0)),INDEX('月1回_2ヶ月前の在庫'!$W$6:$W$10005,MATCH($B265-'設定'!$C$20-'設定'!$C$17-'設定'!$C$18,'月1回_2ヶ月前の在庫'!$U$6:$U$10005,0))))))</f>
        <v/>
      </c>
      <c r="D265">
        <f>IF($C265="","",IFERROR(IF(INDEX('商品マスタ'!$C$6:$C$1005,MATCH($C265,'商品マスタ'!$B$6:$B$1005,0))="",IFERROR(INDEX('①在庫を貼る'!$J$6:$J$10005,MATCH($C265,'①在庫を貼る'!$W$6:$W$10005,0)),IFERROR(INDEX('月1回_1ヶ月前の在庫'!$J$6:$J$10005,MATCH($C265,'月1回_1ヶ月前の在庫'!$W$6:$W$10005,0)),IFERROR(INDEX('月1回_2ヶ月前の在庫'!$J$6:$J$10005,MATCH($C265,'月1回_2ヶ月前の在庫'!$W$6:$W$10005,0)),""))),INDEX('商品マスタ'!$C$6:$C$1005,MATCH($C265,'商品マスタ'!$B$6:$B$1005,0))),IFERROR(INDEX('①在庫を貼る'!$J$6:$J$10005,MATCH($C265,'①在庫を貼る'!$W$6:$W$10005,0)),IFERROR(INDEX('月1回_1ヶ月前の在庫'!$J$6:$J$10005,MATCH($C265,'月1回_1ヶ月前の在庫'!$W$6:$W$10005,0)),IFERROR(INDEX('月1回_2ヶ月前の在庫'!$J$6:$J$10005,MATCH($C265,'月1回_2ヶ月前の在庫'!$W$6:$W$10005,0)),"")))))</f>
        <v/>
      </c>
      <c r="E265">
        <f>IF($C265="","",IFERROR(IF(INDEX('商品マスタ'!$D$6:$D$1005,MATCH($C265,'商品マスタ'!$B$6:$B$1005,0))="",IFERROR(INDEX('①在庫を貼る'!$H$6:$H$10005,MATCH($C265,'①在庫を貼る'!$W$6:$W$10005,0)),IFERROR(INDEX('月1回_1ヶ月前の在庫'!$H$6:$H$10005,MATCH($C265,'月1回_1ヶ月前の在庫'!$W$6:$W$10005,0)),IFERROR(INDEX('月1回_2ヶ月前の在庫'!$H$6:$H$10005,MATCH($C265,'月1回_2ヶ月前の在庫'!$W$6:$W$10005,0)),""))),INDEX('商品マスタ'!$D$6:$D$1005,MATCH($C265,'商品マスタ'!$B$6:$B$1005,0))),IFERROR(INDEX('①在庫を貼る'!$H$6:$H$10005,MATCH($C265,'①在庫を貼る'!$W$6:$W$10005,0)),IFERROR(INDEX('月1回_1ヶ月前の在庫'!$H$6:$H$10005,MATCH($C265,'月1回_1ヶ月前の在庫'!$W$6:$W$10005,0)),IFERROR(INDEX('月1回_2ヶ月前の在庫'!$H$6:$H$10005,MATCH($C265,'月1回_2ヶ月前の在庫'!$W$6:$W$10005,0)),"")))))</f>
        <v/>
      </c>
      <c r="F265">
        <f>IF($C265="","",IFERROR(IF(INDEX('商品マスタ'!$E$6:$E$1005,MATCH($C265,'商品マスタ'!$B$6:$B$1005,0))="",IFERROR(INDEX('①在庫を貼る'!$E$6:$E$10005,MATCH($C265,'①在庫を貼る'!$W$6:$W$10005,0)),IFERROR(INDEX('月1回_1ヶ月前の在庫'!$E$6:$E$10005,MATCH($C265,'月1回_1ヶ月前の在庫'!$W$6:$W$10005,0)),IFERROR(INDEX('月1回_2ヶ月前の在庫'!$E$6:$E$10005,MATCH($C265,'月1回_2ヶ月前の在庫'!$W$6:$W$10005,0)),""))),INDEX('商品マスタ'!$E$6:$E$1005,MATCH($C265,'商品マスタ'!$B$6:$B$1005,0))),IFERROR(INDEX('①在庫を貼る'!$E$6:$E$10005,MATCH($C265,'①在庫を貼る'!$W$6:$W$10005,0)),IFERROR(INDEX('月1回_1ヶ月前の在庫'!$E$6:$E$10005,MATCH($C265,'月1回_1ヶ月前の在庫'!$W$6:$W$10005,0)),IFERROR(INDEX('月1回_2ヶ月前の在庫'!$E$6:$E$10005,MATCH($C265,'月1回_2ヶ月前の在庫'!$W$6:$W$10005,0)),"")))))</f>
        <v/>
      </c>
      <c r="G265">
        <f>IF($C265="","",MAX(1,N(IFERROR(IF(INDEX('商品マスタ'!$F$6:$F$1005,MATCH($C265,'商品マスタ'!$B$6:$B$1005,0))="",IF(COUNTIFS('①在庫を貼る'!$V$6:$V$10005,'設定'!$C$4,'①在庫を貼る'!$W$6:$W$10005,$C265)&gt;0,SUMIFS('①在庫を貼る'!$K$6:$K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K$6:$K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K$6:$K$10005,'月1回_2ヶ月前の在庫'!$V$6:$V$10005,'設定'!$C$4,'月1回_2ヶ月前の在庫'!$W$6:$W$10005,$C265)/COUNTIFS('月1回_2ヶ月前の在庫'!$V$6:$V$10005,'設定'!$C$4,'月1回_2ヶ月前の在庫'!$W$6:$W$10005,$C265),0))),INDEX('商品マスタ'!$F$6:$F$1005,MATCH($C265,'商品マスタ'!$B$6:$B$1005,0))),IF(COUNTIFS('①在庫を貼る'!$V$6:$V$10005,'設定'!$C$4,'①在庫を貼る'!$W$6:$W$10005,$C265)&gt;0,SUMIFS('①在庫を貼る'!$K$6:$K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K$6:$K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K$6:$K$10005,'月1回_2ヶ月前の在庫'!$V$6:$V$10005,'設定'!$C$4,'月1回_2ヶ月前の在庫'!$W$6:$W$10005,$C265)/COUNTIFS('月1回_2ヶ月前の在庫'!$V$6:$V$10005,'設定'!$C$4,'月1回_2ヶ月前の在庫'!$W$6:$W$10005,$C265),0)))))))</f>
        <v/>
      </c>
      <c r="H265">
        <f>IF($C265="","",N(IFERROR(IF(INDEX('商品マスタ'!$G$6:$G$1005,MATCH($C265,'商品マスタ'!$B$6:$B$1005,0))="",IF(COUNTIFS('①在庫を貼る'!$V$6:$V$10005,'設定'!$C$4,'①在庫を貼る'!$W$6:$W$10005,$C265)&gt;0,SUMIFS('①在庫を貼る'!$Q$6:$Q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Q$6:$Q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Q$6:$Q$10005,'月1回_2ヶ月前の在庫'!$V$6:$V$10005,'設定'!$C$4,'月1回_2ヶ月前の在庫'!$W$6:$W$10005,$C265)/COUNTIFS('月1回_2ヶ月前の在庫'!$V$6:$V$10005,'設定'!$C$4,'月1回_2ヶ月前の在庫'!$W$6:$W$10005,$C265),0))),INDEX('商品マスタ'!$G$6:$G$1005,MATCH($C265,'商品マスタ'!$B$6:$B$1005,0))),IF(COUNTIFS('①在庫を貼る'!$V$6:$V$10005,'設定'!$C$4,'①在庫を貼る'!$W$6:$W$10005,$C265)&gt;0,SUMIFS('①在庫を貼る'!$Q$6:$Q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Q$6:$Q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Q$6:$Q$10005,'月1回_2ヶ月前の在庫'!$V$6:$V$10005,'設定'!$C$4,'月1回_2ヶ月前の在庫'!$W$6:$W$10005,$C265)/COUNTIFS('月1回_2ヶ月前の在庫'!$V$6:$V$10005,'設定'!$C$4,'月1回_2ヶ月前の在庫'!$W$6:$W$10005,$C265),0))))))</f>
        <v/>
      </c>
      <c r="I265">
        <f>IF($C265="","",IF(COUNTIFS('①在庫を貼る'!$V$6:$V$10005,'設定'!$C$4,'①在庫を貼る'!$W$6:$W$10005,$C265)=0,"",SUMIFS('①在庫を貼る'!$N$6:$N$10005,'①在庫を貼る'!$V$6:$V$10005,'設定'!$C$4,'①在庫を貼る'!$W$6:$W$10005,$C265)))</f>
        <v/>
      </c>
      <c r="J265">
        <f>IF($C265="","",IF('②発注する'!$AD269="","",'②発注する'!$AD269))</f>
        <v/>
      </c>
      <c r="K265" s="90">
        <f>IF($C265="","",IF('②発注する'!$AE269="","",'②発注する'!$AE269))</f>
        <v/>
      </c>
      <c r="L265">
        <f>IF($C265="","",IF(AND(ISNUMBER($J265),ISNUMBER($K265),$K265&gt;='設定'!$C$6),$J265,N($I265)))</f>
        <v/>
      </c>
      <c r="M265">
        <f>IF($C265="","",IFERROR(IF(N(INDEX('商品マスタ'!$J$6:$J$1005,MATCH($C265,'商品マスタ'!$B$6:$B$1005,0)))&gt;0,INDEX('商品マスタ'!$J$6:$J$1005,MATCH($C265,'商品マスタ'!$B$6:$B$1005,0)),""),""))</f>
        <v/>
      </c>
      <c r="N265">
        <f>IF($C265="","",IFERROR(IF(N(INDEX('商品マスタ'!$H$6:$H$1005,MATCH($C265,'商品マスタ'!$B$6:$B$1005,0)))&gt;0,INDEX('商品マスタ'!$H$6:$H$1005,MATCH($C265,'商品マスタ'!$B$6:$B$1005,0)),""),""))</f>
        <v/>
      </c>
      <c r="O265">
        <f>IF($C265="","",IF($N265&lt;&gt;"",$N265*$G265,IF(N(IF(COUNTIFS('①在庫を貼る'!$V$6:$V$10005,'設定'!$C$4,'①在庫を貼る'!$W$6:$W$10005,$C265)&gt;0,SUMIFS('①在庫を貼る'!$O$6:$O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O$6:$O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O$6:$O$10005,'月1回_2ヶ月前の在庫'!$V$6:$V$10005,'設定'!$C$4,'月1回_2ヶ月前の在庫'!$W$6:$W$10005,$C265)/COUNTIFS('月1回_2ヶ月前の在庫'!$V$6:$V$10005,'設定'!$C$4,'月1回_2ヶ月前の在庫'!$W$6:$W$10005,$C265),0))))&gt;0,N(IF(COUNTIFS('①在庫を貼る'!$V$6:$V$10005,'設定'!$C$4,'①在庫を貼る'!$W$6:$W$10005,$C265)&gt;0,SUMIFS('①在庫を貼る'!$O$6:$O$10005,'①在庫を貼る'!$V$6:$V$10005,'設定'!$C$4,'①在庫を貼る'!$W$6:$W$10005,$C265)/COUNTIFS('①在庫を貼る'!$V$6:$V$10005,'設定'!$C$4,'①在庫を貼る'!$W$6:$W$10005,$C265),IF(COUNTIFS('月1回_1ヶ月前の在庫'!$V$6:$V$10005,'設定'!$C$4,'月1回_1ヶ月前の在庫'!$W$6:$W$10005,$C265)&gt;0,SUMIFS('月1回_1ヶ月前の在庫'!$O$6:$O$10005,'月1回_1ヶ月前の在庫'!$V$6:$V$10005,'設定'!$C$4,'月1回_1ヶ月前の在庫'!$W$6:$W$10005,$C265)/COUNTIFS('月1回_1ヶ月前の在庫'!$V$6:$V$10005,'設定'!$C$4,'月1回_1ヶ月前の在庫'!$W$6:$W$10005,$C265),IF(COUNTIFS('月1回_2ヶ月前の在庫'!$V$6:$V$10005,'設定'!$C$4,'月1回_2ヶ月前の在庫'!$W$6:$W$10005,$C265)&gt;0,SUMIFS('月1回_2ヶ月前の在庫'!$O$6:$O$10005,'月1回_2ヶ月前の在庫'!$V$6:$V$10005,'設定'!$C$4,'月1回_2ヶ月前の在庫'!$W$6:$W$10005,$C265)/COUNTIFS('月1回_2ヶ月前の在庫'!$V$6:$V$10005,'設定'!$C$4,'月1回_2ヶ月前の在庫'!$W$6:$W$10005,$C265),0)))),"")))</f>
        <v/>
      </c>
      <c r="P265" s="90">
        <f>IF($C265="","",IF('②発注する'!$I269="","",'②発注する'!$I269))</f>
        <v/>
      </c>
      <c r="Q265">
        <f>IF($C265="","",IF('②発注する'!$J269="","",'②発注する'!$J269))</f>
        <v/>
      </c>
      <c r="R265">
        <f>IF($C265="",0,IF(AND(ISNUMBER($P265),ISNUMBER($Q265)),MAX(0,$Q265)*$G265,0))</f>
        <v/>
      </c>
      <c r="S265" s="90">
        <f>IF($C265="","",IF('②発注する'!$M269="","",'②発注する'!$M269))</f>
        <v/>
      </c>
      <c r="T265">
        <f>IF($C265="","",IF('②発注する'!$N269="","",'②発注する'!$N269))</f>
        <v/>
      </c>
      <c r="U265">
        <f>IF($C265="",0,IF(AND(ISNUMBER($S265),ISNUMBER($T265)),MAX(0,$T265)*$G265,0))</f>
        <v/>
      </c>
      <c r="V265">
        <f>IF($C265="",0,IF($M265="",0,MAX(0,$M265)*MAX(0,V$4)/100))</f>
        <v/>
      </c>
      <c r="W265">
        <f>IF($C265="",0,IF($M265="",0,MAX(0,$M265)*MAX(0,W$4)/100))</f>
        <v/>
      </c>
      <c r="X265">
        <f>IF($C265="",0,IF($M265="",0,MAX(0,$M265)*MAX(0,X$4)/100))</f>
        <v/>
      </c>
      <c r="Y265">
        <f>IF($C265="",0,IF($M265="",0,MAX(0,$M265)*MAX(0,Y$4)/100))</f>
        <v/>
      </c>
      <c r="Z265">
        <f>IF($C265="",0,IF($M265="",0,MAX(0,$M265)*MAX(0,Z$4)/100))</f>
        <v/>
      </c>
      <c r="AA265">
        <f>IF($C265="",0,IF($M265="",0,MAX(0,$M265)*MAX(0,AA$4)/100))</f>
        <v/>
      </c>
      <c r="AB265">
        <f>IF($C265="",0,IF($M265="",0,MAX(0,$M265)*MAX(0,AB$4)/100))</f>
        <v/>
      </c>
      <c r="AC265">
        <f>IF($C265="",0,IF($M265="",0,MAX(0,$M265)*MAX(0,AC$4)/100))</f>
        <v/>
      </c>
      <c r="AD265">
        <f>IF($C265="",0,IF($M265="",0,MAX(0,$M265)*MAX(0,AD$4)/100))</f>
        <v/>
      </c>
      <c r="AE265">
        <f>IF($C265="",0,IF($M265="",0,MAX(0,$M265)*MAX(0,AE$4)/100))</f>
        <v/>
      </c>
      <c r="AF265">
        <f>IF($C265="",0,IF($M265="",0,MAX(0,$M265)*MAX(0,AF$4)/100))</f>
        <v/>
      </c>
      <c r="AG265">
        <f>IF($C265="",0,IF($M265="",0,MAX(0,$M265)*MAX(0,AG$4)/100))</f>
        <v/>
      </c>
      <c r="AH265">
        <f>IF($C265="",0,IF($M265="",0,MAX(0,$M265)*MAX(0,AH$4)/100))</f>
        <v/>
      </c>
      <c r="AI265">
        <f>IF($C265="",0,IF($M265="",0,MAX(0,$M265)*MAX(0,AI$4)/100))</f>
        <v/>
      </c>
      <c r="AJ265">
        <f>IF($C265="",0,MAX(0,MAX(0,N($L265))-$V265))</f>
        <v/>
      </c>
      <c r="AK265">
        <f>IF($C265="",0,MAX(0,$AJ265-$W265))</f>
        <v/>
      </c>
      <c r="AL265">
        <f>IF($C265="",0,MAX(0,$AK265-$X265))</f>
        <v/>
      </c>
      <c r="AM265">
        <f>IF($C265="",0,MAX(0,$AL265-$Y265))</f>
        <v/>
      </c>
      <c r="AN265">
        <f>IF($C265="",0,MAX(0,$AM265-$Z265))</f>
        <v/>
      </c>
      <c r="AO265">
        <f>IF($C265="",0,MAX(0,$AN265-$AA265))</f>
        <v/>
      </c>
      <c r="AP265">
        <f>IF($C265="",0,MAX(0,$AO265-$AB265))</f>
        <v/>
      </c>
      <c r="AQ265">
        <f>IF($C265="",0,MAX(0,$AP265-$AC265))</f>
        <v/>
      </c>
      <c r="AR265">
        <f>IF($C265="",0,MAX(0,$AQ265-$AD265))</f>
        <v/>
      </c>
      <c r="AS265">
        <f>IF($C265="",0,MAX(0,$AR265-$AE265))</f>
        <v/>
      </c>
      <c r="AT265">
        <f>IF($C265="",0,MAX(0,$AS265-$AF265))</f>
        <v/>
      </c>
      <c r="AU265">
        <f>IF($C265="",0,MAX(0,$AT265-$AG265))</f>
        <v/>
      </c>
      <c r="AV265">
        <f>IF($C265="",0,MAX(0,$AU265-$AH265))</f>
        <v/>
      </c>
      <c r="AW265">
        <f>IF($C265="",0,MAX(0,$AV265-$AI265))</f>
        <v/>
      </c>
      <c r="AX265">
        <f>IF($C265="",0,MAX(0,MAX(0,N($L265))+IF($P265=V$3,$R265,0)+IF($S265=V$3,$U265,0)-$V265))</f>
        <v/>
      </c>
      <c r="AY265">
        <f>IF($C265="",0,MAX(0,$AX265+IF($P265=W$3,$R265,0)+IF($S265=W$3,$U265,0)-$W265))</f>
        <v/>
      </c>
      <c r="AZ265">
        <f>IF($C265="",0,MAX(0,$AY265+IF($P265=X$3,$R265,0)+IF($S265=X$3,$U265,0)-$X265))</f>
        <v/>
      </c>
      <c r="BA265">
        <f>IF($C265="",0,MAX(0,$AZ265+IF($P265=Y$3,$R265,0)+IF($S265=Y$3,$U265,0)-$Y265))</f>
        <v/>
      </c>
      <c r="BB265">
        <f>IF($C265="",0,MAX(0,$BA265+IF($P265=Z$3,$R265,0)+IF($S265=Z$3,$U265,0)-$Z265))</f>
        <v/>
      </c>
      <c r="BC265">
        <f>IF($C265="",0,MAX(0,$BB265+IF($P265=AA$3,$R265,0)+IF($S265=AA$3,$U265,0)-$AA265))</f>
        <v/>
      </c>
      <c r="BD265">
        <f>IF($C265="",0,MAX(0,$BC265+IF($P265=AB$3,$R265,0)+IF($S265=AB$3,$U265,0)-$AB265))</f>
        <v/>
      </c>
      <c r="BE265">
        <f>IF($C265="",0,MAX(0,$BD265+IF($P265=AC$3,$R265,0)+IF($S265=AC$3,$U265,0)-$AC265))</f>
        <v/>
      </c>
      <c r="BF265">
        <f>IF($C265="",0,MAX(0,$BE265+IF($P265=AD$3,$R265,0)+IF($S265=AD$3,$U265,0)-$AD265))</f>
        <v/>
      </c>
      <c r="BG265">
        <f>IF($C265="",0,MAX(0,$BF265+IF($P265=AE$3,$R265,0)+IF($S265=AE$3,$U265,0)-$AE265))</f>
        <v/>
      </c>
      <c r="BH265">
        <f>IF($C265="",0,MAX(0,$BG265+IF($P265=AF$3,$R265,0)+IF($S265=AF$3,$U265,0)-$AF265))</f>
        <v/>
      </c>
      <c r="BI265">
        <f>IF($C265="",0,MAX(0,$BH265+IF($P265=AG$3,$R265,0)+IF($S265=AG$3,$U265,0)-$AG265))</f>
        <v/>
      </c>
      <c r="BJ265">
        <f>IF($C265="",0,MAX(0,$BI265+IF($P265=AH$3,$R265,0)+IF($S265=AH$3,$U265,0)-$AH265))</f>
        <v/>
      </c>
      <c r="BK265">
        <f>IF($C265="",0,MAX(0,$BJ265+IF($P265=AI$3,$R265,0)+IF($S265=AI$3,$U265,0)-$AI265))</f>
        <v/>
      </c>
      <c r="BL265">
        <f>IF($C265="",99,IF(AND($AX265&lt;1,V$3&gt;=MAX(N($P265),N($S265))),0,99))</f>
        <v/>
      </c>
      <c r="BM265">
        <f>IF($C265="",99,IF(AND($AY265&lt;1,W$3&gt;=MAX(N($P265),N($S265))),1,99))</f>
        <v/>
      </c>
      <c r="BN265">
        <f>IF($C265="",99,IF(AND($AZ265&lt;1,X$3&gt;=MAX(N($P265),N($S265))),2,99))</f>
        <v/>
      </c>
      <c r="BO265">
        <f>IF($C265="",99,IF(AND($BA265&lt;1,Y$3&gt;=MAX(N($P265),N($S265))),3,99))</f>
        <v/>
      </c>
      <c r="BP265">
        <f>IF($C265="",99,IF(AND($BB265&lt;1,Z$3&gt;=MAX(N($P265),N($S265))),4,99))</f>
        <v/>
      </c>
      <c r="BQ265">
        <f>IF($C265="",99,IF(AND($BC265&lt;1,AA$3&gt;=MAX(N($P265),N($S265))),5,99))</f>
        <v/>
      </c>
      <c r="BR265">
        <f>IF($C265="",99,IF(AND($BD265&lt;1,AB$3&gt;=MAX(N($P265),N($S265))),6,99))</f>
        <v/>
      </c>
      <c r="BS265">
        <f>IF($C265="",99,IF(AND($BE265&lt;1,AC$3&gt;=MAX(N($P265),N($S265))),7,99))</f>
        <v/>
      </c>
      <c r="BT265">
        <f>IF($C265="",99,IF(AND($BF265&lt;1,AD$3&gt;=MAX(N($P265),N($S265))),8,99))</f>
        <v/>
      </c>
      <c r="BU265">
        <f>IF($C265="",99,IF(AND($BG265&lt;1,AE$3&gt;=MAX(N($P265),N($S265))),9,99))</f>
        <v/>
      </c>
      <c r="BV265">
        <f>IF($C265="",99,IF(AND($BH265&lt;1,AF$3&gt;=MAX(N($P265),N($S265))),10,99))</f>
        <v/>
      </c>
      <c r="BW265">
        <f>IF($C265="",99,IF(AND($BI265&lt;1,AG$3&gt;=MAX(N($P265),N($S265))),11,99))</f>
        <v/>
      </c>
      <c r="BX265">
        <f>IF($C265="",99,IF(AND($BJ265&lt;1,AH$3&gt;=MAX(N($P265),N($S265))),12,99))</f>
        <v/>
      </c>
      <c r="BY265">
        <f>IF($C265="",99,IF(AND($BK265&lt;1,AI$3&gt;=MAX(N($P265),N($S265))),13,99))</f>
        <v/>
      </c>
      <c r="BZ265">
        <f>IF(OR($C265="",$M265=""),"",COUNTIF($AJ265:$AW265,"&gt;=1"))</f>
        <v/>
      </c>
      <c r="CA265" s="90">
        <f>IF($BZ265="","",IF($BZ265&gt;=14,"",'設定'!$C$6+$BZ265))</f>
        <v/>
      </c>
      <c r="CB265">
        <f>IF(OR($C265="",$M265=""),"",MIN($BL265:$BY265))</f>
        <v/>
      </c>
      <c r="CC265" s="90">
        <f>IF($CB265="","",IF($CB265&gt;=99,"",'設定'!$C$6+$CB265))</f>
        <v/>
      </c>
      <c r="CD265">
        <f>IF(OR($C265="",$M265=""),"",AVERAGE($V265:$AI265))</f>
        <v/>
      </c>
      <c r="CE265">
        <f>IF($C265="","",IFERROR(IF(MATCH(IF(ISNUMBER($P265),$P265,'設定'!$C$6+N('設定'!$C$7)),$V$3:$AI$3,0)=1,MAX(0,N($L265)),INDEX($AJ265:$AW265,MATCH(IF(ISNUMBER($P265),$P265,'設定'!$C$6+N('設定'!$C$7)),$V$3:$AI$3,0)-1)),""))</f>
        <v/>
      </c>
      <c r="CF265">
        <f>IF(OR($C265="",$O265="",$CE265=""),"",IF($O265-$CE265&lt;=0,0,ROUNDUP(($O265-$CE265)/$G265,0)))</f>
        <v/>
      </c>
      <c r="CG265">
        <f>IF(OR($C265="",$CF265="",NOT(ISNUMBER($Q265))),0,MAX(0,$Q265-$CF265))</f>
        <v/>
      </c>
      <c r="CH265">
        <f>IF(OR($C265="",$O265="",$U265=0),0,IFERROR(ROUNDUP(MAX(0,IF(MATCH($S265,$V$3:$AI$3,0)=1,MAX(0,N($L265)),INDEX($AX265:$BK265,MATCH($S265,$V$3:$AI$3,0)-1))+$U265-$O265)/$G265,0),0))</f>
        <v/>
      </c>
      <c r="CI265">
        <f>IF($C265="","",IF(AND($P265="",$Q265=""),"",IF($P265="","⚠ 入庫日を ▼ から選んでください",IF(NOT(ISNUMBER($P265)),"⚠ 入庫日は ▼ から選んでください",IF($P265&lt;N('設定'!$C$6),"⚠ 入庫日が過去です（もう在庫に入っています）→ 消してください",IF($P265&gt;N('設定'!$C$6)+13,"⚠ 入庫日が14日より先です",IF(N($Q265)&lt;=0,"⚠ 入庫数を入れてください",IF($CG265&gt;0,"⚠ 目安より "&amp;$CG265&amp;" 多い（定数を超える）→ 減らす",""))))))))</f>
        <v/>
      </c>
      <c r="CJ265">
        <f>IF($C265="","",IF(AND($S265="",$T265=""),"",IF($S265="","⚠ 2便目：入庫日を ▼ から選んでください",IF(NOT(ISNUMBER($S265)),"⚠ 2便目：入庫日は ▼ から選んでください",IF($S265&lt;N('設定'!$C$6),"⚠ 2便目：入庫日が過去です（もう在庫に入っています）→ 消してください",IF($S265&gt;N('設定'!$C$6)+13,"⚠ 2便目：入庫日が14日より先です",IF(N($T265)&lt;=0,"⚠ 2便目：入庫数を入れてください",IF($CH265&gt;0,"⚠ 2便目：定数を "&amp;$CH265&amp;" ケース超える → 減らす",""))))))))</f>
        <v/>
      </c>
      <c r="CK265">
        <f>IF(AND($CI265="",N($Q265)&gt;0,ISNUMBER($P265)),1,0)</f>
        <v/>
      </c>
      <c r="CL265">
        <f>IF(AND($CJ265="",N($T265)&gt;0,ISNUMBER($S265)),1,0)</f>
        <v/>
      </c>
      <c r="CM265">
        <f>IF(OR($CK265=1,$CL265=1),1,0)</f>
        <v/>
      </c>
      <c r="CN265">
        <f>IF($C265="",0,($CK265*$R265+$CL265*$U265)*N($H265))</f>
        <v/>
      </c>
      <c r="CO265">
        <f>IF($C265="","",IF($CC265="","入庫後は 14日以上もつ",IF($CC265-N('設定'!$C$7)&lt;='設定'!$C$6,"入庫後も "&amp;TEXT($CC265,"m/d")&amp;"("&amp;CHOOSE(WEEKDAY($CC265),"日","月","火","水","木","金","土")&amp;")"&amp;" に切れる　もう1便を至急発注","入庫後も "&amp;TEXT($CC265,"m/d")&amp;"("&amp;CHOOSE(WEEKDAY($CC265),"日","月","火","水","木","金","土")&amp;")"&amp;" に切れる　"&amp;TEXT($CC265-N('設定'!$C$7),"m/d")&amp;"("&amp;CHOOSE(WEEKDAY($CC265-N('設定'!$C$7)),"日","月","火","水","木","金","土")&amp;")"&amp;" までに次を発注")))</f>
        <v/>
      </c>
      <c r="CP265">
        <f>IF($C265="","",IF('設定'!$C$6="","？ ①在庫を貼る に今日のCSVが貼られていない",IF($CS265=1,"－ 今日のCSVに無い（終売？）",IF($L265&lt;0,"● 在庫がマイナス　数えて「数えた在庫」に入れる",IF($L265=0,"● 在庫なし　至急発注",IF($M265="","？ 減り数が未設定（商品マスタ）",IF($B$3=0,"？ 動員が未入力（動員を入れる）",IF($CA265="","○ 14日以上もつ",IF($BZ265&lt;N('設定'!$C$7),"● "&amp;TEXT($CA265,"m/d")&amp;"("&amp;CHOOSE(WEEKDAY($CA265),"日","月","火","水","木","金","土")&amp;")"&amp;" に切れる　至急発注",IF($BZ265=N('設定'!$C$7),"● "&amp;TEXT($CA265,"m/d")&amp;"("&amp;CHOOSE(WEEKDAY($CA265),"日","月","火","水","木","金","土")&amp;")"&amp;" に切れる　今日発注","△ "&amp;TEXT($CA265,"m/d")&amp;"("&amp;CHOOSE(WEEKDAY($CA265),"日","月","火","水","木","金","土")&amp;")"&amp;" に切れる　"&amp;TEXT($CA265-N('設定'!$C$7),"m/d")&amp;"("&amp;CHOOSE(WEEKDAY($CA265-N('設定'!$C$7)),"日","月","火","水","木","金","土")&amp;")"&amp;" までに発注"))))))))))</f>
        <v/>
      </c>
      <c r="CQ265">
        <f>IF($C265="","",IF(AND($P265="",$Q265="",$S265="",$T265=""),"",IF(AND($P265="",$Q265=""),"⚠ 先に1便目（左の入庫日・入庫数）に入れてください",IF($CI265&lt;&gt;"",$CI265,IF($CJ265&lt;&gt;"",$CJ265,IF($M265="","？ 減り数が未設定（発注書には載ります）",IF($B$3=0,"？ 動員が未入力（発注書には載ります）",IF(AND($CA265&lt;&gt;"",$P265&gt;$CA265),IF($P265&gt;'設定'!$C$6+N('設定'!$C$7),"● "&amp;TEXT($P265,"m/d")&amp;"("&amp;CHOOSE(WEEKDAY($P265),"日","月","火","水","木","金","土")&amp;")"&amp;" の入庫では間に合わない（"&amp;TEXT($CA265,"m/d")&amp;"("&amp;CHOOSE(WEEKDAY($CA265),"日","月","火","水","木","金","土")&amp;")"&amp;" に切れる）　入庫日を早める","△ 欠品 "&amp;TEXT($CA265,"m/d")&amp;"("&amp;CHOOSE(WEEKDAY($CA265),"日","月","火","水","木","金","土")&amp;")"&amp;"〜"&amp;TEXT($P265-1,"m/d")&amp;"("&amp;CHOOSE(WEEKDAY($P265-1),"日","月","火","水","木","金","土")&amp;")"&amp;"　"&amp;$CO265),IF($CC265="","○ "&amp;TEXT($P265,"m/d")&amp;"("&amp;CHOOSE(WEEKDAY($P265),"日","月","火","水","木","金","土")&amp;")"&amp;" 入庫で 14日以上もつ",IF($CC265-N('設定'!$C$7)&lt;='設定'!$C$6,"● 入庫しても "&amp;TEXT($CC265,"m/d")&amp;"("&amp;CHOOSE(WEEKDAY($CC265),"日","月","火","水","木","金","土")&amp;")"&amp;" に切れる　もう1便を至急発注（2便目に入れる）","△ 入庫しても "&amp;TEXT($CC265,"m/d")&amp;"("&amp;CHOOSE(WEEKDAY($CC265),"日","月","火","水","木","金","土")&amp;")"&amp;" に切れる　"&amp;TEXT($CC265-N('設定'!$C$7),"m/d")&amp;"("&amp;CHOOSE(WEEKDAY($CC265-N('設定'!$C$7)),"日","月","火","水","木","金","土")&amp;")"&amp;" までに次を発注（2便目に入れる）"))))))))))</f>
        <v/>
      </c>
      <c r="CR265">
        <f>IF($C265="","",IF($G265&gt;1,"ｹｰｽ("&amp;$G265&amp;"入)","個"))</f>
        <v/>
      </c>
      <c r="CS265">
        <f>IF($C265="",0,IF(COUNTIFS('①在庫を貼る'!$V$6:$V$10005,'設定'!$C$4,'①在庫を貼る'!$W$6:$W$10005,$C265)=0,1,0))</f>
        <v/>
      </c>
      <c r="CT265">
        <f>IF(AND($CK265=1,OR('③発注書'!$C$4="すべて",'③発注書'!$C$4="",$F265='③発注書'!$C$4)),N($CT264)+1,N($CT264))</f>
        <v/>
      </c>
      <c r="CU265">
        <f>IF(AND($CL265=1,OR('③発注書'!$C$4="すべて",'③発注書'!$C$4="",$F265='③発注書'!$C$4)),N($CU264)+1,N($CU264))</f>
        <v/>
      </c>
      <c r="CV265">
        <f>IF($C265="",0,IF(COUNTIFS('①在庫を貼る'!$V$6:$V$10005,'設定'!$C$4,'①在庫を貼る'!$W$6:$W$10005,$C265)&gt;0,1,0))</f>
        <v/>
      </c>
      <c r="CW265">
        <f>IF($C265="",0,IF(COUNTIFS('月1回_1ヶ月前の在庫'!$V$6:$V$10005,'設定'!$C$4,'月1回_1ヶ月前の在庫'!$W$6:$W$10005,$C265)&gt;0,1,0))</f>
        <v/>
      </c>
      <c r="CX265">
        <f>IF($C265="",0,IF(COUNTIFS('月1回_2ヶ月前の在庫'!$V$6:$V$10005,'設定'!$C$4,'月1回_2ヶ月前の在庫'!$W$6:$W$10005,$C265)&gt;0,1,0))</f>
        <v/>
      </c>
      <c r="CY265">
        <f>IF(OR($C265="",'設定'!$C$12=""),"",IF('設定'!$C$13="",IF(AND($CV265=1,$CW265=0),"新商品（今月から）",IF(AND($CV265=0,$CW265=1),"終売（今月から）","")),IF(AND($CV265=1,$CW265=0,$CX265=0),"新商品（今月から）",IF(AND($CV265=1,$CW265=1,$CX265=0),"新商品（先月から）",IF(AND($CV265=0,$CW265=1,$CX265=1),"終売（今月から）",IF(AND($CV265=0,$CW265=0,$CX265=1),"終売（先月から）",IF(AND($CV265=1,$CW265=0,$CX265=1),"復活（先月は無し）","")))))))</f>
        <v/>
      </c>
    </row>
    <row r="266">
      <c r="B266">
        <f>IF(261&lt;='設定'!$C$11,261,"")</f>
        <v/>
      </c>
      <c r="C266">
        <f>IF($B266="","",IF($B266&lt;='設定'!$C$20,INDEX('商品マスタ'!$B$6:$B$1005,MATCH($B266,'商品マスタ'!$M$6:$M$1005,0)),IF($B266&lt;='設定'!$C$20+'設定'!$C$17,INDEX('①在庫を貼る'!$W$6:$W$10005,MATCH($B266-'設定'!$C$20,'①在庫を貼る'!$U$6:$U$10005,0)),IF($B266&lt;='設定'!$C$20+'設定'!$C$17+'設定'!$C$18,INDEX('月1回_1ヶ月前の在庫'!$W$6:$W$10005,MATCH($B266-'設定'!$C$20-'設定'!$C$17,'月1回_1ヶ月前の在庫'!$U$6:$U$10005,0)),INDEX('月1回_2ヶ月前の在庫'!$W$6:$W$10005,MATCH($B266-'設定'!$C$20-'設定'!$C$17-'設定'!$C$18,'月1回_2ヶ月前の在庫'!$U$6:$U$10005,0))))))</f>
        <v/>
      </c>
      <c r="D266">
        <f>IF($C266="","",IFERROR(IF(INDEX('商品マスタ'!$C$6:$C$1005,MATCH($C266,'商品マスタ'!$B$6:$B$1005,0))="",IFERROR(INDEX('①在庫を貼る'!$J$6:$J$10005,MATCH($C266,'①在庫を貼る'!$W$6:$W$10005,0)),IFERROR(INDEX('月1回_1ヶ月前の在庫'!$J$6:$J$10005,MATCH($C266,'月1回_1ヶ月前の在庫'!$W$6:$W$10005,0)),IFERROR(INDEX('月1回_2ヶ月前の在庫'!$J$6:$J$10005,MATCH($C266,'月1回_2ヶ月前の在庫'!$W$6:$W$10005,0)),""))),INDEX('商品マスタ'!$C$6:$C$1005,MATCH($C266,'商品マスタ'!$B$6:$B$1005,0))),IFERROR(INDEX('①在庫を貼る'!$J$6:$J$10005,MATCH($C266,'①在庫を貼る'!$W$6:$W$10005,0)),IFERROR(INDEX('月1回_1ヶ月前の在庫'!$J$6:$J$10005,MATCH($C266,'月1回_1ヶ月前の在庫'!$W$6:$W$10005,0)),IFERROR(INDEX('月1回_2ヶ月前の在庫'!$J$6:$J$10005,MATCH($C266,'月1回_2ヶ月前の在庫'!$W$6:$W$10005,0)),"")))))</f>
        <v/>
      </c>
      <c r="E266">
        <f>IF($C266="","",IFERROR(IF(INDEX('商品マスタ'!$D$6:$D$1005,MATCH($C266,'商品マスタ'!$B$6:$B$1005,0))="",IFERROR(INDEX('①在庫を貼る'!$H$6:$H$10005,MATCH($C266,'①在庫を貼る'!$W$6:$W$10005,0)),IFERROR(INDEX('月1回_1ヶ月前の在庫'!$H$6:$H$10005,MATCH($C266,'月1回_1ヶ月前の在庫'!$W$6:$W$10005,0)),IFERROR(INDEX('月1回_2ヶ月前の在庫'!$H$6:$H$10005,MATCH($C266,'月1回_2ヶ月前の在庫'!$W$6:$W$10005,0)),""))),INDEX('商品マスタ'!$D$6:$D$1005,MATCH($C266,'商品マスタ'!$B$6:$B$1005,0))),IFERROR(INDEX('①在庫を貼る'!$H$6:$H$10005,MATCH($C266,'①在庫を貼る'!$W$6:$W$10005,0)),IFERROR(INDEX('月1回_1ヶ月前の在庫'!$H$6:$H$10005,MATCH($C266,'月1回_1ヶ月前の在庫'!$W$6:$W$10005,0)),IFERROR(INDEX('月1回_2ヶ月前の在庫'!$H$6:$H$10005,MATCH($C266,'月1回_2ヶ月前の在庫'!$W$6:$W$10005,0)),"")))))</f>
        <v/>
      </c>
      <c r="F266">
        <f>IF($C266="","",IFERROR(IF(INDEX('商品マスタ'!$E$6:$E$1005,MATCH($C266,'商品マスタ'!$B$6:$B$1005,0))="",IFERROR(INDEX('①在庫を貼る'!$E$6:$E$10005,MATCH($C266,'①在庫を貼る'!$W$6:$W$10005,0)),IFERROR(INDEX('月1回_1ヶ月前の在庫'!$E$6:$E$10005,MATCH($C266,'月1回_1ヶ月前の在庫'!$W$6:$W$10005,0)),IFERROR(INDEX('月1回_2ヶ月前の在庫'!$E$6:$E$10005,MATCH($C266,'月1回_2ヶ月前の在庫'!$W$6:$W$10005,0)),""))),INDEX('商品マスタ'!$E$6:$E$1005,MATCH($C266,'商品マスタ'!$B$6:$B$1005,0))),IFERROR(INDEX('①在庫を貼る'!$E$6:$E$10005,MATCH($C266,'①在庫を貼る'!$W$6:$W$10005,0)),IFERROR(INDEX('月1回_1ヶ月前の在庫'!$E$6:$E$10005,MATCH($C266,'月1回_1ヶ月前の在庫'!$W$6:$W$10005,0)),IFERROR(INDEX('月1回_2ヶ月前の在庫'!$E$6:$E$10005,MATCH($C266,'月1回_2ヶ月前の在庫'!$W$6:$W$10005,0)),"")))))</f>
        <v/>
      </c>
      <c r="G266">
        <f>IF($C266="","",MAX(1,N(IFERROR(IF(INDEX('商品マスタ'!$F$6:$F$1005,MATCH($C266,'商品マスタ'!$B$6:$B$1005,0))="",IF(COUNTIFS('①在庫を貼る'!$V$6:$V$10005,'設定'!$C$4,'①在庫を貼る'!$W$6:$W$10005,$C266)&gt;0,SUMIFS('①在庫を貼る'!$K$6:$K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K$6:$K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K$6:$K$10005,'月1回_2ヶ月前の在庫'!$V$6:$V$10005,'設定'!$C$4,'月1回_2ヶ月前の在庫'!$W$6:$W$10005,$C266)/COUNTIFS('月1回_2ヶ月前の在庫'!$V$6:$V$10005,'設定'!$C$4,'月1回_2ヶ月前の在庫'!$W$6:$W$10005,$C266),0))),INDEX('商品マスタ'!$F$6:$F$1005,MATCH($C266,'商品マスタ'!$B$6:$B$1005,0))),IF(COUNTIFS('①在庫を貼る'!$V$6:$V$10005,'設定'!$C$4,'①在庫を貼る'!$W$6:$W$10005,$C266)&gt;0,SUMIFS('①在庫を貼る'!$K$6:$K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K$6:$K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K$6:$K$10005,'月1回_2ヶ月前の在庫'!$V$6:$V$10005,'設定'!$C$4,'月1回_2ヶ月前の在庫'!$W$6:$W$10005,$C266)/COUNTIFS('月1回_2ヶ月前の在庫'!$V$6:$V$10005,'設定'!$C$4,'月1回_2ヶ月前の在庫'!$W$6:$W$10005,$C266),0)))))))</f>
        <v/>
      </c>
      <c r="H266">
        <f>IF($C266="","",N(IFERROR(IF(INDEX('商品マスタ'!$G$6:$G$1005,MATCH($C266,'商品マスタ'!$B$6:$B$1005,0))="",IF(COUNTIFS('①在庫を貼る'!$V$6:$V$10005,'設定'!$C$4,'①在庫を貼る'!$W$6:$W$10005,$C266)&gt;0,SUMIFS('①在庫を貼る'!$Q$6:$Q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Q$6:$Q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Q$6:$Q$10005,'月1回_2ヶ月前の在庫'!$V$6:$V$10005,'設定'!$C$4,'月1回_2ヶ月前の在庫'!$W$6:$W$10005,$C266)/COUNTIFS('月1回_2ヶ月前の在庫'!$V$6:$V$10005,'設定'!$C$4,'月1回_2ヶ月前の在庫'!$W$6:$W$10005,$C266),0))),INDEX('商品マスタ'!$G$6:$G$1005,MATCH($C266,'商品マスタ'!$B$6:$B$1005,0))),IF(COUNTIFS('①在庫を貼る'!$V$6:$V$10005,'設定'!$C$4,'①在庫を貼る'!$W$6:$W$10005,$C266)&gt;0,SUMIFS('①在庫を貼る'!$Q$6:$Q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Q$6:$Q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Q$6:$Q$10005,'月1回_2ヶ月前の在庫'!$V$6:$V$10005,'設定'!$C$4,'月1回_2ヶ月前の在庫'!$W$6:$W$10005,$C266)/COUNTIFS('月1回_2ヶ月前の在庫'!$V$6:$V$10005,'設定'!$C$4,'月1回_2ヶ月前の在庫'!$W$6:$W$10005,$C266),0))))))</f>
        <v/>
      </c>
      <c r="I266">
        <f>IF($C266="","",IF(COUNTIFS('①在庫を貼る'!$V$6:$V$10005,'設定'!$C$4,'①在庫を貼る'!$W$6:$W$10005,$C266)=0,"",SUMIFS('①在庫を貼る'!$N$6:$N$10005,'①在庫を貼る'!$V$6:$V$10005,'設定'!$C$4,'①在庫を貼る'!$W$6:$W$10005,$C266)))</f>
        <v/>
      </c>
      <c r="J266">
        <f>IF($C266="","",IF('②発注する'!$AD270="","",'②発注する'!$AD270))</f>
        <v/>
      </c>
      <c r="K266" s="90">
        <f>IF($C266="","",IF('②発注する'!$AE270="","",'②発注する'!$AE270))</f>
        <v/>
      </c>
      <c r="L266">
        <f>IF($C266="","",IF(AND(ISNUMBER($J266),ISNUMBER($K266),$K266&gt;='設定'!$C$6),$J266,N($I266)))</f>
        <v/>
      </c>
      <c r="M266">
        <f>IF($C266="","",IFERROR(IF(N(INDEX('商品マスタ'!$J$6:$J$1005,MATCH($C266,'商品マスタ'!$B$6:$B$1005,0)))&gt;0,INDEX('商品マスタ'!$J$6:$J$1005,MATCH($C266,'商品マスタ'!$B$6:$B$1005,0)),""),""))</f>
        <v/>
      </c>
      <c r="N266">
        <f>IF($C266="","",IFERROR(IF(N(INDEX('商品マスタ'!$H$6:$H$1005,MATCH($C266,'商品マスタ'!$B$6:$B$1005,0)))&gt;0,INDEX('商品マスタ'!$H$6:$H$1005,MATCH($C266,'商品マスタ'!$B$6:$B$1005,0)),""),""))</f>
        <v/>
      </c>
      <c r="O266">
        <f>IF($C266="","",IF($N266&lt;&gt;"",$N266*$G266,IF(N(IF(COUNTIFS('①在庫を貼る'!$V$6:$V$10005,'設定'!$C$4,'①在庫を貼る'!$W$6:$W$10005,$C266)&gt;0,SUMIFS('①在庫を貼る'!$O$6:$O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O$6:$O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O$6:$O$10005,'月1回_2ヶ月前の在庫'!$V$6:$V$10005,'設定'!$C$4,'月1回_2ヶ月前の在庫'!$W$6:$W$10005,$C266)/COUNTIFS('月1回_2ヶ月前の在庫'!$V$6:$V$10005,'設定'!$C$4,'月1回_2ヶ月前の在庫'!$W$6:$W$10005,$C266),0))))&gt;0,N(IF(COUNTIFS('①在庫を貼る'!$V$6:$V$10005,'設定'!$C$4,'①在庫を貼る'!$W$6:$W$10005,$C266)&gt;0,SUMIFS('①在庫を貼る'!$O$6:$O$10005,'①在庫を貼る'!$V$6:$V$10005,'設定'!$C$4,'①在庫を貼る'!$W$6:$W$10005,$C266)/COUNTIFS('①在庫を貼る'!$V$6:$V$10005,'設定'!$C$4,'①在庫を貼る'!$W$6:$W$10005,$C266),IF(COUNTIFS('月1回_1ヶ月前の在庫'!$V$6:$V$10005,'設定'!$C$4,'月1回_1ヶ月前の在庫'!$W$6:$W$10005,$C266)&gt;0,SUMIFS('月1回_1ヶ月前の在庫'!$O$6:$O$10005,'月1回_1ヶ月前の在庫'!$V$6:$V$10005,'設定'!$C$4,'月1回_1ヶ月前の在庫'!$W$6:$W$10005,$C266)/COUNTIFS('月1回_1ヶ月前の在庫'!$V$6:$V$10005,'設定'!$C$4,'月1回_1ヶ月前の在庫'!$W$6:$W$10005,$C266),IF(COUNTIFS('月1回_2ヶ月前の在庫'!$V$6:$V$10005,'設定'!$C$4,'月1回_2ヶ月前の在庫'!$W$6:$W$10005,$C266)&gt;0,SUMIFS('月1回_2ヶ月前の在庫'!$O$6:$O$10005,'月1回_2ヶ月前の在庫'!$V$6:$V$10005,'設定'!$C$4,'月1回_2ヶ月前の在庫'!$W$6:$W$10005,$C266)/COUNTIFS('月1回_2ヶ月前の在庫'!$V$6:$V$10005,'設定'!$C$4,'月1回_2ヶ月前の在庫'!$W$6:$W$10005,$C266),0)))),"")))</f>
        <v/>
      </c>
      <c r="P266" s="90">
        <f>IF($C266="","",IF('②発注する'!$I270="","",'②発注する'!$I270))</f>
        <v/>
      </c>
      <c r="Q266">
        <f>IF($C266="","",IF('②発注する'!$J270="","",'②発注する'!$J270))</f>
        <v/>
      </c>
      <c r="R266">
        <f>IF($C266="",0,IF(AND(ISNUMBER($P266),ISNUMBER($Q266)),MAX(0,$Q266)*$G266,0))</f>
        <v/>
      </c>
      <c r="S266" s="90">
        <f>IF($C266="","",IF('②発注する'!$M270="","",'②発注する'!$M270))</f>
        <v/>
      </c>
      <c r="T266">
        <f>IF($C266="","",IF('②発注する'!$N270="","",'②発注する'!$N270))</f>
        <v/>
      </c>
      <c r="U266">
        <f>IF($C266="",0,IF(AND(ISNUMBER($S266),ISNUMBER($T266)),MAX(0,$T266)*$G266,0))</f>
        <v/>
      </c>
      <c r="V266">
        <f>IF($C266="",0,IF($M266="",0,MAX(0,$M266)*MAX(0,V$4)/100))</f>
        <v/>
      </c>
      <c r="W266">
        <f>IF($C266="",0,IF($M266="",0,MAX(0,$M266)*MAX(0,W$4)/100))</f>
        <v/>
      </c>
      <c r="X266">
        <f>IF($C266="",0,IF($M266="",0,MAX(0,$M266)*MAX(0,X$4)/100))</f>
        <v/>
      </c>
      <c r="Y266">
        <f>IF($C266="",0,IF($M266="",0,MAX(0,$M266)*MAX(0,Y$4)/100))</f>
        <v/>
      </c>
      <c r="Z266">
        <f>IF($C266="",0,IF($M266="",0,MAX(0,$M266)*MAX(0,Z$4)/100))</f>
        <v/>
      </c>
      <c r="AA266">
        <f>IF($C266="",0,IF($M266="",0,MAX(0,$M266)*MAX(0,AA$4)/100))</f>
        <v/>
      </c>
      <c r="AB266">
        <f>IF($C266="",0,IF($M266="",0,MAX(0,$M266)*MAX(0,AB$4)/100))</f>
        <v/>
      </c>
      <c r="AC266">
        <f>IF($C266="",0,IF($M266="",0,MAX(0,$M266)*MAX(0,AC$4)/100))</f>
        <v/>
      </c>
      <c r="AD266">
        <f>IF($C266="",0,IF($M266="",0,MAX(0,$M266)*MAX(0,AD$4)/100))</f>
        <v/>
      </c>
      <c r="AE266">
        <f>IF($C266="",0,IF($M266="",0,MAX(0,$M266)*MAX(0,AE$4)/100))</f>
        <v/>
      </c>
      <c r="AF266">
        <f>IF($C266="",0,IF($M266="",0,MAX(0,$M266)*MAX(0,AF$4)/100))</f>
        <v/>
      </c>
      <c r="AG266">
        <f>IF($C266="",0,IF($M266="",0,MAX(0,$M266)*MAX(0,AG$4)/100))</f>
        <v/>
      </c>
      <c r="AH266">
        <f>IF($C266="",0,IF($M266="",0,MAX(0,$M266)*MAX(0,AH$4)/100))</f>
        <v/>
      </c>
      <c r="AI266">
        <f>IF($C266="",0,IF($M266="",0,MAX(0,$M266)*MAX(0,AI$4)/100))</f>
        <v/>
      </c>
      <c r="AJ266">
        <f>IF($C266="",0,MAX(0,MAX(0,N($L266))-$V266))</f>
        <v/>
      </c>
      <c r="AK266">
        <f>IF($C266="",0,MAX(0,$AJ266-$W266))</f>
        <v/>
      </c>
      <c r="AL266">
        <f>IF($C266="",0,MAX(0,$AK266-$X266))</f>
        <v/>
      </c>
      <c r="AM266">
        <f>IF($C266="",0,MAX(0,$AL266-$Y266))</f>
        <v/>
      </c>
      <c r="AN266">
        <f>IF($C266="",0,MAX(0,$AM266-$Z266))</f>
        <v/>
      </c>
      <c r="AO266">
        <f>IF($C266="",0,MAX(0,$AN266-$AA266))</f>
        <v/>
      </c>
      <c r="AP266">
        <f>IF($C266="",0,MAX(0,$AO266-$AB266))</f>
        <v/>
      </c>
      <c r="AQ266">
        <f>IF($C266="",0,MAX(0,$AP266-$AC266))</f>
        <v/>
      </c>
      <c r="AR266">
        <f>IF($C266="",0,MAX(0,$AQ266-$AD266))</f>
        <v/>
      </c>
      <c r="AS266">
        <f>IF($C266="",0,MAX(0,$AR266-$AE266))</f>
        <v/>
      </c>
      <c r="AT266">
        <f>IF($C266="",0,MAX(0,$AS266-$AF266))</f>
        <v/>
      </c>
      <c r="AU266">
        <f>IF($C266="",0,MAX(0,$AT266-$AG266))</f>
        <v/>
      </c>
      <c r="AV266">
        <f>IF($C266="",0,MAX(0,$AU266-$AH266))</f>
        <v/>
      </c>
      <c r="AW266">
        <f>IF($C266="",0,MAX(0,$AV266-$AI266))</f>
        <v/>
      </c>
      <c r="AX266">
        <f>IF($C266="",0,MAX(0,MAX(0,N($L266))+IF($P266=V$3,$R266,0)+IF($S266=V$3,$U266,0)-$V266))</f>
        <v/>
      </c>
      <c r="AY266">
        <f>IF($C266="",0,MAX(0,$AX266+IF($P266=W$3,$R266,0)+IF($S266=W$3,$U266,0)-$W266))</f>
        <v/>
      </c>
      <c r="AZ266">
        <f>IF($C266="",0,MAX(0,$AY266+IF($P266=X$3,$R266,0)+IF($S266=X$3,$U266,0)-$X266))</f>
        <v/>
      </c>
      <c r="BA266">
        <f>IF($C266="",0,MAX(0,$AZ266+IF($P266=Y$3,$R266,0)+IF($S266=Y$3,$U266,0)-$Y266))</f>
        <v/>
      </c>
      <c r="BB266">
        <f>IF($C266="",0,MAX(0,$BA266+IF($P266=Z$3,$R266,0)+IF($S266=Z$3,$U266,0)-$Z266))</f>
        <v/>
      </c>
      <c r="BC266">
        <f>IF($C266="",0,MAX(0,$BB266+IF($P266=AA$3,$R266,0)+IF($S266=AA$3,$U266,0)-$AA266))</f>
        <v/>
      </c>
      <c r="BD266">
        <f>IF($C266="",0,MAX(0,$BC266+IF($P266=AB$3,$R266,0)+IF($S266=AB$3,$U266,0)-$AB266))</f>
        <v/>
      </c>
      <c r="BE266">
        <f>IF($C266="",0,MAX(0,$BD266+IF($P266=AC$3,$R266,0)+IF($S266=AC$3,$U266,0)-$AC266))</f>
        <v/>
      </c>
      <c r="BF266">
        <f>IF($C266="",0,MAX(0,$BE266+IF($P266=AD$3,$R266,0)+IF($S266=AD$3,$U266,0)-$AD266))</f>
        <v/>
      </c>
      <c r="BG266">
        <f>IF($C266="",0,MAX(0,$BF266+IF($P266=AE$3,$R266,0)+IF($S266=AE$3,$U266,0)-$AE266))</f>
        <v/>
      </c>
      <c r="BH266">
        <f>IF($C266="",0,MAX(0,$BG266+IF($P266=AF$3,$R266,0)+IF($S266=AF$3,$U266,0)-$AF266))</f>
        <v/>
      </c>
      <c r="BI266">
        <f>IF($C266="",0,MAX(0,$BH266+IF($P266=AG$3,$R266,0)+IF($S266=AG$3,$U266,0)-$AG266))</f>
        <v/>
      </c>
      <c r="BJ266">
        <f>IF($C266="",0,MAX(0,$BI266+IF($P266=AH$3,$R266,0)+IF($S266=AH$3,$U266,0)-$AH266))</f>
        <v/>
      </c>
      <c r="BK266">
        <f>IF($C266="",0,MAX(0,$BJ266+IF($P266=AI$3,$R266,0)+IF($S266=AI$3,$U266,0)-$AI266))</f>
        <v/>
      </c>
      <c r="BL266">
        <f>IF($C266="",99,IF(AND($AX266&lt;1,V$3&gt;=MAX(N($P266),N($S266))),0,99))</f>
        <v/>
      </c>
      <c r="BM266">
        <f>IF($C266="",99,IF(AND($AY266&lt;1,W$3&gt;=MAX(N($P266),N($S266))),1,99))</f>
        <v/>
      </c>
      <c r="BN266">
        <f>IF($C266="",99,IF(AND($AZ266&lt;1,X$3&gt;=MAX(N($P266),N($S266))),2,99))</f>
        <v/>
      </c>
      <c r="BO266">
        <f>IF($C266="",99,IF(AND($BA266&lt;1,Y$3&gt;=MAX(N($P266),N($S266))),3,99))</f>
        <v/>
      </c>
      <c r="BP266">
        <f>IF($C266="",99,IF(AND($BB266&lt;1,Z$3&gt;=MAX(N($P266),N($S266))),4,99))</f>
        <v/>
      </c>
      <c r="BQ266">
        <f>IF($C266="",99,IF(AND($BC266&lt;1,AA$3&gt;=MAX(N($P266),N($S266))),5,99))</f>
        <v/>
      </c>
      <c r="BR266">
        <f>IF($C266="",99,IF(AND($BD266&lt;1,AB$3&gt;=MAX(N($P266),N($S266))),6,99))</f>
        <v/>
      </c>
      <c r="BS266">
        <f>IF($C266="",99,IF(AND($BE266&lt;1,AC$3&gt;=MAX(N($P266),N($S266))),7,99))</f>
        <v/>
      </c>
      <c r="BT266">
        <f>IF($C266="",99,IF(AND($BF266&lt;1,AD$3&gt;=MAX(N($P266),N($S266))),8,99))</f>
        <v/>
      </c>
      <c r="BU266">
        <f>IF($C266="",99,IF(AND($BG266&lt;1,AE$3&gt;=MAX(N($P266),N($S266))),9,99))</f>
        <v/>
      </c>
      <c r="BV266">
        <f>IF($C266="",99,IF(AND($BH266&lt;1,AF$3&gt;=MAX(N($P266),N($S266))),10,99))</f>
        <v/>
      </c>
      <c r="BW266">
        <f>IF($C266="",99,IF(AND($BI266&lt;1,AG$3&gt;=MAX(N($P266),N($S266))),11,99))</f>
        <v/>
      </c>
      <c r="BX266">
        <f>IF($C266="",99,IF(AND($BJ266&lt;1,AH$3&gt;=MAX(N($P266),N($S266))),12,99))</f>
        <v/>
      </c>
      <c r="BY266">
        <f>IF($C266="",99,IF(AND($BK266&lt;1,AI$3&gt;=MAX(N($P266),N($S266))),13,99))</f>
        <v/>
      </c>
      <c r="BZ266">
        <f>IF(OR($C266="",$M266=""),"",COUNTIF($AJ266:$AW266,"&gt;=1"))</f>
        <v/>
      </c>
      <c r="CA266" s="90">
        <f>IF($BZ266="","",IF($BZ266&gt;=14,"",'設定'!$C$6+$BZ266))</f>
        <v/>
      </c>
      <c r="CB266">
        <f>IF(OR($C266="",$M266=""),"",MIN($BL266:$BY266))</f>
        <v/>
      </c>
      <c r="CC266" s="90">
        <f>IF($CB266="","",IF($CB266&gt;=99,"",'設定'!$C$6+$CB266))</f>
        <v/>
      </c>
      <c r="CD266">
        <f>IF(OR($C266="",$M266=""),"",AVERAGE($V266:$AI266))</f>
        <v/>
      </c>
      <c r="CE266">
        <f>IF($C266="","",IFERROR(IF(MATCH(IF(ISNUMBER($P266),$P266,'設定'!$C$6+N('設定'!$C$7)),$V$3:$AI$3,0)=1,MAX(0,N($L266)),INDEX($AJ266:$AW266,MATCH(IF(ISNUMBER($P266),$P266,'設定'!$C$6+N('設定'!$C$7)),$V$3:$AI$3,0)-1)),""))</f>
        <v/>
      </c>
      <c r="CF266">
        <f>IF(OR($C266="",$O266="",$CE266=""),"",IF($O266-$CE266&lt;=0,0,ROUNDUP(($O266-$CE266)/$G266,0)))</f>
        <v/>
      </c>
      <c r="CG266">
        <f>IF(OR($C266="",$CF266="",NOT(ISNUMBER($Q266))),0,MAX(0,$Q266-$CF266))</f>
        <v/>
      </c>
      <c r="CH266">
        <f>IF(OR($C266="",$O266="",$U266=0),0,IFERROR(ROUNDUP(MAX(0,IF(MATCH($S266,$V$3:$AI$3,0)=1,MAX(0,N($L266)),INDEX($AX266:$BK266,MATCH($S266,$V$3:$AI$3,0)-1))+$U266-$O266)/$G266,0),0))</f>
        <v/>
      </c>
      <c r="CI266">
        <f>IF($C266="","",IF(AND($P266="",$Q266=""),"",IF($P266="","⚠ 入庫日を ▼ から選んでください",IF(NOT(ISNUMBER($P266)),"⚠ 入庫日は ▼ から選んでください",IF($P266&lt;N('設定'!$C$6),"⚠ 入庫日が過去です（もう在庫に入っています）→ 消してください",IF($P266&gt;N('設定'!$C$6)+13,"⚠ 入庫日が14日より先です",IF(N($Q266)&lt;=0,"⚠ 入庫数を入れてください",IF($CG266&gt;0,"⚠ 目安より "&amp;$CG266&amp;" 多い（定数を超える）→ 減らす",""))))))))</f>
        <v/>
      </c>
      <c r="CJ266">
        <f>IF($C266="","",IF(AND($S266="",$T266=""),"",IF($S266="","⚠ 2便目：入庫日を ▼ から選んでください",IF(NOT(ISNUMBER($S266)),"⚠ 2便目：入庫日は ▼ から選んでください",IF($S266&lt;N('設定'!$C$6),"⚠ 2便目：入庫日が過去です（もう在庫に入っています）→ 消してください",IF($S266&gt;N('設定'!$C$6)+13,"⚠ 2便目：入庫日が14日より先です",IF(N($T266)&lt;=0,"⚠ 2便目：入庫数を入れてください",IF($CH266&gt;0,"⚠ 2便目：定数を "&amp;$CH266&amp;" ケース超える → 減らす",""))))))))</f>
        <v/>
      </c>
      <c r="CK266">
        <f>IF(AND($CI266="",N($Q266)&gt;0,ISNUMBER($P266)),1,0)</f>
        <v/>
      </c>
      <c r="CL266">
        <f>IF(AND($CJ266="",N($T266)&gt;0,ISNUMBER($S266)),1,0)</f>
        <v/>
      </c>
      <c r="CM266">
        <f>IF(OR($CK266=1,$CL266=1),1,0)</f>
        <v/>
      </c>
      <c r="CN266">
        <f>IF($C266="",0,($CK266*$R266+$CL266*$U266)*N($H266))</f>
        <v/>
      </c>
      <c r="CO266">
        <f>IF($C266="","",IF($CC266="","入庫後は 14日以上もつ",IF($CC266-N('設定'!$C$7)&lt;='設定'!$C$6,"入庫後も "&amp;TEXT($CC266,"m/d")&amp;"("&amp;CHOOSE(WEEKDAY($CC266),"日","月","火","水","木","金","土")&amp;")"&amp;" に切れる　もう1便を至急発注","入庫後も "&amp;TEXT($CC266,"m/d")&amp;"("&amp;CHOOSE(WEEKDAY($CC266),"日","月","火","水","木","金","土")&amp;")"&amp;" に切れる　"&amp;TEXT($CC266-N('設定'!$C$7),"m/d")&amp;"("&amp;CHOOSE(WEEKDAY($CC266-N('設定'!$C$7)),"日","月","火","水","木","金","土")&amp;")"&amp;" までに次を発注")))</f>
        <v/>
      </c>
      <c r="CP266">
        <f>IF($C266="","",IF('設定'!$C$6="","？ ①在庫を貼る に今日のCSVが貼られていない",IF($CS266=1,"－ 今日のCSVに無い（終売？）",IF($L266&lt;0,"● 在庫がマイナス　数えて「数えた在庫」に入れる",IF($L266=0,"● 在庫なし　至急発注",IF($M266="","？ 減り数が未設定（商品マスタ）",IF($B$3=0,"？ 動員が未入力（動員を入れる）",IF($CA266="","○ 14日以上もつ",IF($BZ266&lt;N('設定'!$C$7),"● "&amp;TEXT($CA266,"m/d")&amp;"("&amp;CHOOSE(WEEKDAY($CA266),"日","月","火","水","木","金","土")&amp;")"&amp;" に切れる　至急発注",IF($BZ266=N('設定'!$C$7),"● "&amp;TEXT($CA266,"m/d")&amp;"("&amp;CHOOSE(WEEKDAY($CA266),"日","月","火","水","木","金","土")&amp;")"&amp;" に切れる　今日発注","△ "&amp;TEXT($CA266,"m/d")&amp;"("&amp;CHOOSE(WEEKDAY($CA266),"日","月","火","水","木","金","土")&amp;")"&amp;" に切れる　"&amp;TEXT($CA266-N('設定'!$C$7),"m/d")&amp;"("&amp;CHOOSE(WEEKDAY($CA266-N('設定'!$C$7)),"日","月","火","水","木","金","土")&amp;")"&amp;" までに発注"))))))))))</f>
        <v/>
      </c>
      <c r="CQ266">
        <f>IF($C266="","",IF(AND($P266="",$Q266="",$S266="",$T266=""),"",IF(AND($P266="",$Q266=""),"⚠ 先に1便目（左の入庫日・入庫数）に入れてください",IF($CI266&lt;&gt;"",$CI266,IF($CJ266&lt;&gt;"",$CJ266,IF($M266="","？ 減り数が未設定（発注書には載ります）",IF($B$3=0,"？ 動員が未入力（発注書には載ります）",IF(AND($CA266&lt;&gt;"",$P266&gt;$CA266),IF($P266&gt;'設定'!$C$6+N('設定'!$C$7),"● "&amp;TEXT($P266,"m/d")&amp;"("&amp;CHOOSE(WEEKDAY($P266),"日","月","火","水","木","金","土")&amp;")"&amp;" の入庫では間に合わない（"&amp;TEXT($CA266,"m/d")&amp;"("&amp;CHOOSE(WEEKDAY($CA266),"日","月","火","水","木","金","土")&amp;")"&amp;" に切れる）　入庫日を早める","△ 欠品 "&amp;TEXT($CA266,"m/d")&amp;"("&amp;CHOOSE(WEEKDAY($CA266),"日","月","火","水","木","金","土")&amp;")"&amp;"〜"&amp;TEXT($P266-1,"m/d")&amp;"("&amp;CHOOSE(WEEKDAY($P266-1),"日","月","火","水","木","金","土")&amp;")"&amp;"　"&amp;$CO266),IF($CC266="","○ "&amp;TEXT($P266,"m/d")&amp;"("&amp;CHOOSE(WEEKDAY($P266),"日","月","火","水","木","金","土")&amp;")"&amp;" 入庫で 14日以上もつ",IF($CC266-N('設定'!$C$7)&lt;='設定'!$C$6,"● 入庫しても "&amp;TEXT($CC266,"m/d")&amp;"("&amp;CHOOSE(WEEKDAY($CC266),"日","月","火","水","木","金","土")&amp;")"&amp;" に切れる　もう1便を至急発注（2便目に入れる）","△ 入庫しても "&amp;TEXT($CC266,"m/d")&amp;"("&amp;CHOOSE(WEEKDAY($CC266),"日","月","火","水","木","金","土")&amp;")"&amp;" に切れる　"&amp;TEXT($CC266-N('設定'!$C$7),"m/d")&amp;"("&amp;CHOOSE(WEEKDAY($CC266-N('設定'!$C$7)),"日","月","火","水","木","金","土")&amp;")"&amp;" までに次を発注（2便目に入れる）"))))))))))</f>
        <v/>
      </c>
      <c r="CR266">
        <f>IF($C266="","",IF($G266&gt;1,"ｹｰｽ("&amp;$G266&amp;"入)","個"))</f>
        <v/>
      </c>
      <c r="CS266">
        <f>IF($C266="",0,IF(COUNTIFS('①在庫を貼る'!$V$6:$V$10005,'設定'!$C$4,'①在庫を貼る'!$W$6:$W$10005,$C266)=0,1,0))</f>
        <v/>
      </c>
      <c r="CT266">
        <f>IF(AND($CK266=1,OR('③発注書'!$C$4="すべて",'③発注書'!$C$4="",$F266='③発注書'!$C$4)),N($CT265)+1,N($CT265))</f>
        <v/>
      </c>
      <c r="CU266">
        <f>IF(AND($CL266=1,OR('③発注書'!$C$4="すべて",'③発注書'!$C$4="",$F266='③発注書'!$C$4)),N($CU265)+1,N($CU265))</f>
        <v/>
      </c>
      <c r="CV266">
        <f>IF($C266="",0,IF(COUNTIFS('①在庫を貼る'!$V$6:$V$10005,'設定'!$C$4,'①在庫を貼る'!$W$6:$W$10005,$C266)&gt;0,1,0))</f>
        <v/>
      </c>
      <c r="CW266">
        <f>IF($C266="",0,IF(COUNTIFS('月1回_1ヶ月前の在庫'!$V$6:$V$10005,'設定'!$C$4,'月1回_1ヶ月前の在庫'!$W$6:$W$10005,$C266)&gt;0,1,0))</f>
        <v/>
      </c>
      <c r="CX266">
        <f>IF($C266="",0,IF(COUNTIFS('月1回_2ヶ月前の在庫'!$V$6:$V$10005,'設定'!$C$4,'月1回_2ヶ月前の在庫'!$W$6:$W$10005,$C266)&gt;0,1,0))</f>
        <v/>
      </c>
      <c r="CY266">
        <f>IF(OR($C266="",'設定'!$C$12=""),"",IF('設定'!$C$13="",IF(AND($CV266=1,$CW266=0),"新商品（今月から）",IF(AND($CV266=0,$CW266=1),"終売（今月から）","")),IF(AND($CV266=1,$CW266=0,$CX266=0),"新商品（今月から）",IF(AND($CV266=1,$CW266=1,$CX266=0),"新商品（先月から）",IF(AND($CV266=0,$CW266=1,$CX266=1),"終売（今月から）",IF(AND($CV266=0,$CW266=0,$CX266=1),"終売（先月から）",IF(AND($CV266=1,$CW266=0,$CX266=1),"復活（先月は無し）","")))))))</f>
        <v/>
      </c>
    </row>
    <row r="267">
      <c r="B267">
        <f>IF(262&lt;='設定'!$C$11,262,"")</f>
        <v/>
      </c>
      <c r="C267">
        <f>IF($B267="","",IF($B267&lt;='設定'!$C$20,INDEX('商品マスタ'!$B$6:$B$1005,MATCH($B267,'商品マスタ'!$M$6:$M$1005,0)),IF($B267&lt;='設定'!$C$20+'設定'!$C$17,INDEX('①在庫を貼る'!$W$6:$W$10005,MATCH($B267-'設定'!$C$20,'①在庫を貼る'!$U$6:$U$10005,0)),IF($B267&lt;='設定'!$C$20+'設定'!$C$17+'設定'!$C$18,INDEX('月1回_1ヶ月前の在庫'!$W$6:$W$10005,MATCH($B267-'設定'!$C$20-'設定'!$C$17,'月1回_1ヶ月前の在庫'!$U$6:$U$10005,0)),INDEX('月1回_2ヶ月前の在庫'!$W$6:$W$10005,MATCH($B267-'設定'!$C$20-'設定'!$C$17-'設定'!$C$18,'月1回_2ヶ月前の在庫'!$U$6:$U$10005,0))))))</f>
        <v/>
      </c>
      <c r="D267">
        <f>IF($C267="","",IFERROR(IF(INDEX('商品マスタ'!$C$6:$C$1005,MATCH($C267,'商品マスタ'!$B$6:$B$1005,0))="",IFERROR(INDEX('①在庫を貼る'!$J$6:$J$10005,MATCH($C267,'①在庫を貼る'!$W$6:$W$10005,0)),IFERROR(INDEX('月1回_1ヶ月前の在庫'!$J$6:$J$10005,MATCH($C267,'月1回_1ヶ月前の在庫'!$W$6:$W$10005,0)),IFERROR(INDEX('月1回_2ヶ月前の在庫'!$J$6:$J$10005,MATCH($C267,'月1回_2ヶ月前の在庫'!$W$6:$W$10005,0)),""))),INDEX('商品マスタ'!$C$6:$C$1005,MATCH($C267,'商品マスタ'!$B$6:$B$1005,0))),IFERROR(INDEX('①在庫を貼る'!$J$6:$J$10005,MATCH($C267,'①在庫を貼る'!$W$6:$W$10005,0)),IFERROR(INDEX('月1回_1ヶ月前の在庫'!$J$6:$J$10005,MATCH($C267,'月1回_1ヶ月前の在庫'!$W$6:$W$10005,0)),IFERROR(INDEX('月1回_2ヶ月前の在庫'!$J$6:$J$10005,MATCH($C267,'月1回_2ヶ月前の在庫'!$W$6:$W$10005,0)),"")))))</f>
        <v/>
      </c>
      <c r="E267">
        <f>IF($C267="","",IFERROR(IF(INDEX('商品マスタ'!$D$6:$D$1005,MATCH($C267,'商品マスタ'!$B$6:$B$1005,0))="",IFERROR(INDEX('①在庫を貼る'!$H$6:$H$10005,MATCH($C267,'①在庫を貼る'!$W$6:$W$10005,0)),IFERROR(INDEX('月1回_1ヶ月前の在庫'!$H$6:$H$10005,MATCH($C267,'月1回_1ヶ月前の在庫'!$W$6:$W$10005,0)),IFERROR(INDEX('月1回_2ヶ月前の在庫'!$H$6:$H$10005,MATCH($C267,'月1回_2ヶ月前の在庫'!$W$6:$W$10005,0)),""))),INDEX('商品マスタ'!$D$6:$D$1005,MATCH($C267,'商品マスタ'!$B$6:$B$1005,0))),IFERROR(INDEX('①在庫を貼る'!$H$6:$H$10005,MATCH($C267,'①在庫を貼る'!$W$6:$W$10005,0)),IFERROR(INDEX('月1回_1ヶ月前の在庫'!$H$6:$H$10005,MATCH($C267,'月1回_1ヶ月前の在庫'!$W$6:$W$10005,0)),IFERROR(INDEX('月1回_2ヶ月前の在庫'!$H$6:$H$10005,MATCH($C267,'月1回_2ヶ月前の在庫'!$W$6:$W$10005,0)),"")))))</f>
        <v/>
      </c>
      <c r="F267">
        <f>IF($C267="","",IFERROR(IF(INDEX('商品マスタ'!$E$6:$E$1005,MATCH($C267,'商品マスタ'!$B$6:$B$1005,0))="",IFERROR(INDEX('①在庫を貼る'!$E$6:$E$10005,MATCH($C267,'①在庫を貼る'!$W$6:$W$10005,0)),IFERROR(INDEX('月1回_1ヶ月前の在庫'!$E$6:$E$10005,MATCH($C267,'月1回_1ヶ月前の在庫'!$W$6:$W$10005,0)),IFERROR(INDEX('月1回_2ヶ月前の在庫'!$E$6:$E$10005,MATCH($C267,'月1回_2ヶ月前の在庫'!$W$6:$W$10005,0)),""))),INDEX('商品マスタ'!$E$6:$E$1005,MATCH($C267,'商品マスタ'!$B$6:$B$1005,0))),IFERROR(INDEX('①在庫を貼る'!$E$6:$E$10005,MATCH($C267,'①在庫を貼る'!$W$6:$W$10005,0)),IFERROR(INDEX('月1回_1ヶ月前の在庫'!$E$6:$E$10005,MATCH($C267,'月1回_1ヶ月前の在庫'!$W$6:$W$10005,0)),IFERROR(INDEX('月1回_2ヶ月前の在庫'!$E$6:$E$10005,MATCH($C267,'月1回_2ヶ月前の在庫'!$W$6:$W$10005,0)),"")))))</f>
        <v/>
      </c>
      <c r="G267">
        <f>IF($C267="","",MAX(1,N(IFERROR(IF(INDEX('商品マスタ'!$F$6:$F$1005,MATCH($C267,'商品マスタ'!$B$6:$B$1005,0))="",IF(COUNTIFS('①在庫を貼る'!$V$6:$V$10005,'設定'!$C$4,'①在庫を貼る'!$W$6:$W$10005,$C267)&gt;0,SUMIFS('①在庫を貼る'!$K$6:$K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K$6:$K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K$6:$K$10005,'月1回_2ヶ月前の在庫'!$V$6:$V$10005,'設定'!$C$4,'月1回_2ヶ月前の在庫'!$W$6:$W$10005,$C267)/COUNTIFS('月1回_2ヶ月前の在庫'!$V$6:$V$10005,'設定'!$C$4,'月1回_2ヶ月前の在庫'!$W$6:$W$10005,$C267),0))),INDEX('商品マスタ'!$F$6:$F$1005,MATCH($C267,'商品マスタ'!$B$6:$B$1005,0))),IF(COUNTIFS('①在庫を貼る'!$V$6:$V$10005,'設定'!$C$4,'①在庫を貼る'!$W$6:$W$10005,$C267)&gt;0,SUMIFS('①在庫を貼る'!$K$6:$K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K$6:$K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K$6:$K$10005,'月1回_2ヶ月前の在庫'!$V$6:$V$10005,'設定'!$C$4,'月1回_2ヶ月前の在庫'!$W$6:$W$10005,$C267)/COUNTIFS('月1回_2ヶ月前の在庫'!$V$6:$V$10005,'設定'!$C$4,'月1回_2ヶ月前の在庫'!$W$6:$W$10005,$C267),0)))))))</f>
        <v/>
      </c>
      <c r="H267">
        <f>IF($C267="","",N(IFERROR(IF(INDEX('商品マスタ'!$G$6:$G$1005,MATCH($C267,'商品マスタ'!$B$6:$B$1005,0))="",IF(COUNTIFS('①在庫を貼る'!$V$6:$V$10005,'設定'!$C$4,'①在庫を貼る'!$W$6:$W$10005,$C267)&gt;0,SUMIFS('①在庫を貼る'!$Q$6:$Q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Q$6:$Q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Q$6:$Q$10005,'月1回_2ヶ月前の在庫'!$V$6:$V$10005,'設定'!$C$4,'月1回_2ヶ月前の在庫'!$W$6:$W$10005,$C267)/COUNTIFS('月1回_2ヶ月前の在庫'!$V$6:$V$10005,'設定'!$C$4,'月1回_2ヶ月前の在庫'!$W$6:$W$10005,$C267),0))),INDEX('商品マスタ'!$G$6:$G$1005,MATCH($C267,'商品マスタ'!$B$6:$B$1005,0))),IF(COUNTIFS('①在庫を貼る'!$V$6:$V$10005,'設定'!$C$4,'①在庫を貼る'!$W$6:$W$10005,$C267)&gt;0,SUMIFS('①在庫を貼る'!$Q$6:$Q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Q$6:$Q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Q$6:$Q$10005,'月1回_2ヶ月前の在庫'!$V$6:$V$10005,'設定'!$C$4,'月1回_2ヶ月前の在庫'!$W$6:$W$10005,$C267)/COUNTIFS('月1回_2ヶ月前の在庫'!$V$6:$V$10005,'設定'!$C$4,'月1回_2ヶ月前の在庫'!$W$6:$W$10005,$C267),0))))))</f>
        <v/>
      </c>
      <c r="I267">
        <f>IF($C267="","",IF(COUNTIFS('①在庫を貼る'!$V$6:$V$10005,'設定'!$C$4,'①在庫を貼る'!$W$6:$W$10005,$C267)=0,"",SUMIFS('①在庫を貼る'!$N$6:$N$10005,'①在庫を貼る'!$V$6:$V$10005,'設定'!$C$4,'①在庫を貼る'!$W$6:$W$10005,$C267)))</f>
        <v/>
      </c>
      <c r="J267">
        <f>IF($C267="","",IF('②発注する'!$AD271="","",'②発注する'!$AD271))</f>
        <v/>
      </c>
      <c r="K267" s="90">
        <f>IF($C267="","",IF('②発注する'!$AE271="","",'②発注する'!$AE271))</f>
        <v/>
      </c>
      <c r="L267">
        <f>IF($C267="","",IF(AND(ISNUMBER($J267),ISNUMBER($K267),$K267&gt;='設定'!$C$6),$J267,N($I267)))</f>
        <v/>
      </c>
      <c r="M267">
        <f>IF($C267="","",IFERROR(IF(N(INDEX('商品マスタ'!$J$6:$J$1005,MATCH($C267,'商品マスタ'!$B$6:$B$1005,0)))&gt;0,INDEX('商品マスタ'!$J$6:$J$1005,MATCH($C267,'商品マスタ'!$B$6:$B$1005,0)),""),""))</f>
        <v/>
      </c>
      <c r="N267">
        <f>IF($C267="","",IFERROR(IF(N(INDEX('商品マスタ'!$H$6:$H$1005,MATCH($C267,'商品マスタ'!$B$6:$B$1005,0)))&gt;0,INDEX('商品マスタ'!$H$6:$H$1005,MATCH($C267,'商品マスタ'!$B$6:$B$1005,0)),""),""))</f>
        <v/>
      </c>
      <c r="O267">
        <f>IF($C267="","",IF($N267&lt;&gt;"",$N267*$G267,IF(N(IF(COUNTIFS('①在庫を貼る'!$V$6:$V$10005,'設定'!$C$4,'①在庫を貼る'!$W$6:$W$10005,$C267)&gt;0,SUMIFS('①在庫を貼る'!$O$6:$O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O$6:$O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O$6:$O$10005,'月1回_2ヶ月前の在庫'!$V$6:$V$10005,'設定'!$C$4,'月1回_2ヶ月前の在庫'!$W$6:$W$10005,$C267)/COUNTIFS('月1回_2ヶ月前の在庫'!$V$6:$V$10005,'設定'!$C$4,'月1回_2ヶ月前の在庫'!$W$6:$W$10005,$C267),0))))&gt;0,N(IF(COUNTIFS('①在庫を貼る'!$V$6:$V$10005,'設定'!$C$4,'①在庫を貼る'!$W$6:$W$10005,$C267)&gt;0,SUMIFS('①在庫を貼る'!$O$6:$O$10005,'①在庫を貼る'!$V$6:$V$10005,'設定'!$C$4,'①在庫を貼る'!$W$6:$W$10005,$C267)/COUNTIFS('①在庫を貼る'!$V$6:$V$10005,'設定'!$C$4,'①在庫を貼る'!$W$6:$W$10005,$C267),IF(COUNTIFS('月1回_1ヶ月前の在庫'!$V$6:$V$10005,'設定'!$C$4,'月1回_1ヶ月前の在庫'!$W$6:$W$10005,$C267)&gt;0,SUMIFS('月1回_1ヶ月前の在庫'!$O$6:$O$10005,'月1回_1ヶ月前の在庫'!$V$6:$V$10005,'設定'!$C$4,'月1回_1ヶ月前の在庫'!$W$6:$W$10005,$C267)/COUNTIFS('月1回_1ヶ月前の在庫'!$V$6:$V$10005,'設定'!$C$4,'月1回_1ヶ月前の在庫'!$W$6:$W$10005,$C267),IF(COUNTIFS('月1回_2ヶ月前の在庫'!$V$6:$V$10005,'設定'!$C$4,'月1回_2ヶ月前の在庫'!$W$6:$W$10005,$C267)&gt;0,SUMIFS('月1回_2ヶ月前の在庫'!$O$6:$O$10005,'月1回_2ヶ月前の在庫'!$V$6:$V$10005,'設定'!$C$4,'月1回_2ヶ月前の在庫'!$W$6:$W$10005,$C267)/COUNTIFS('月1回_2ヶ月前の在庫'!$V$6:$V$10005,'設定'!$C$4,'月1回_2ヶ月前の在庫'!$W$6:$W$10005,$C267),0)))),"")))</f>
        <v/>
      </c>
      <c r="P267" s="90">
        <f>IF($C267="","",IF('②発注する'!$I271="","",'②発注する'!$I271))</f>
        <v/>
      </c>
      <c r="Q267">
        <f>IF($C267="","",IF('②発注する'!$J271="","",'②発注する'!$J271))</f>
        <v/>
      </c>
      <c r="R267">
        <f>IF($C267="",0,IF(AND(ISNUMBER($P267),ISNUMBER($Q267)),MAX(0,$Q267)*$G267,0))</f>
        <v/>
      </c>
      <c r="S267" s="90">
        <f>IF($C267="","",IF('②発注する'!$M271="","",'②発注する'!$M271))</f>
        <v/>
      </c>
      <c r="T267">
        <f>IF($C267="","",IF('②発注する'!$N271="","",'②発注する'!$N271))</f>
        <v/>
      </c>
      <c r="U267">
        <f>IF($C267="",0,IF(AND(ISNUMBER($S267),ISNUMBER($T267)),MAX(0,$T267)*$G267,0))</f>
        <v/>
      </c>
      <c r="V267">
        <f>IF($C267="",0,IF($M267="",0,MAX(0,$M267)*MAX(0,V$4)/100))</f>
        <v/>
      </c>
      <c r="W267">
        <f>IF($C267="",0,IF($M267="",0,MAX(0,$M267)*MAX(0,W$4)/100))</f>
        <v/>
      </c>
      <c r="X267">
        <f>IF($C267="",0,IF($M267="",0,MAX(0,$M267)*MAX(0,X$4)/100))</f>
        <v/>
      </c>
      <c r="Y267">
        <f>IF($C267="",0,IF($M267="",0,MAX(0,$M267)*MAX(0,Y$4)/100))</f>
        <v/>
      </c>
      <c r="Z267">
        <f>IF($C267="",0,IF($M267="",0,MAX(0,$M267)*MAX(0,Z$4)/100))</f>
        <v/>
      </c>
      <c r="AA267">
        <f>IF($C267="",0,IF($M267="",0,MAX(0,$M267)*MAX(0,AA$4)/100))</f>
        <v/>
      </c>
      <c r="AB267">
        <f>IF($C267="",0,IF($M267="",0,MAX(0,$M267)*MAX(0,AB$4)/100))</f>
        <v/>
      </c>
      <c r="AC267">
        <f>IF($C267="",0,IF($M267="",0,MAX(0,$M267)*MAX(0,AC$4)/100))</f>
        <v/>
      </c>
      <c r="AD267">
        <f>IF($C267="",0,IF($M267="",0,MAX(0,$M267)*MAX(0,AD$4)/100))</f>
        <v/>
      </c>
      <c r="AE267">
        <f>IF($C267="",0,IF($M267="",0,MAX(0,$M267)*MAX(0,AE$4)/100))</f>
        <v/>
      </c>
      <c r="AF267">
        <f>IF($C267="",0,IF($M267="",0,MAX(0,$M267)*MAX(0,AF$4)/100))</f>
        <v/>
      </c>
      <c r="AG267">
        <f>IF($C267="",0,IF($M267="",0,MAX(0,$M267)*MAX(0,AG$4)/100))</f>
        <v/>
      </c>
      <c r="AH267">
        <f>IF($C267="",0,IF($M267="",0,MAX(0,$M267)*MAX(0,AH$4)/100))</f>
        <v/>
      </c>
      <c r="AI267">
        <f>IF($C267="",0,IF($M267="",0,MAX(0,$M267)*MAX(0,AI$4)/100))</f>
        <v/>
      </c>
      <c r="AJ267">
        <f>IF($C267="",0,MAX(0,MAX(0,N($L267))-$V267))</f>
        <v/>
      </c>
      <c r="AK267">
        <f>IF($C267="",0,MAX(0,$AJ267-$W267))</f>
        <v/>
      </c>
      <c r="AL267">
        <f>IF($C267="",0,MAX(0,$AK267-$X267))</f>
        <v/>
      </c>
      <c r="AM267">
        <f>IF($C267="",0,MAX(0,$AL267-$Y267))</f>
        <v/>
      </c>
      <c r="AN267">
        <f>IF($C267="",0,MAX(0,$AM267-$Z267))</f>
        <v/>
      </c>
      <c r="AO267">
        <f>IF($C267="",0,MAX(0,$AN267-$AA267))</f>
        <v/>
      </c>
      <c r="AP267">
        <f>IF($C267="",0,MAX(0,$AO267-$AB267))</f>
        <v/>
      </c>
      <c r="AQ267">
        <f>IF($C267="",0,MAX(0,$AP267-$AC267))</f>
        <v/>
      </c>
      <c r="AR267">
        <f>IF($C267="",0,MAX(0,$AQ267-$AD267))</f>
        <v/>
      </c>
      <c r="AS267">
        <f>IF($C267="",0,MAX(0,$AR267-$AE267))</f>
        <v/>
      </c>
      <c r="AT267">
        <f>IF($C267="",0,MAX(0,$AS267-$AF267))</f>
        <v/>
      </c>
      <c r="AU267">
        <f>IF($C267="",0,MAX(0,$AT267-$AG267))</f>
        <v/>
      </c>
      <c r="AV267">
        <f>IF($C267="",0,MAX(0,$AU267-$AH267))</f>
        <v/>
      </c>
      <c r="AW267">
        <f>IF($C267="",0,MAX(0,$AV267-$AI267))</f>
        <v/>
      </c>
      <c r="AX267">
        <f>IF($C267="",0,MAX(0,MAX(0,N($L267))+IF($P267=V$3,$R267,0)+IF($S267=V$3,$U267,0)-$V267))</f>
        <v/>
      </c>
      <c r="AY267">
        <f>IF($C267="",0,MAX(0,$AX267+IF($P267=W$3,$R267,0)+IF($S267=W$3,$U267,0)-$W267))</f>
        <v/>
      </c>
      <c r="AZ267">
        <f>IF($C267="",0,MAX(0,$AY267+IF($P267=X$3,$R267,0)+IF($S267=X$3,$U267,0)-$X267))</f>
        <v/>
      </c>
      <c r="BA267">
        <f>IF($C267="",0,MAX(0,$AZ267+IF($P267=Y$3,$R267,0)+IF($S267=Y$3,$U267,0)-$Y267))</f>
        <v/>
      </c>
      <c r="BB267">
        <f>IF($C267="",0,MAX(0,$BA267+IF($P267=Z$3,$R267,0)+IF($S267=Z$3,$U267,0)-$Z267))</f>
        <v/>
      </c>
      <c r="BC267">
        <f>IF($C267="",0,MAX(0,$BB267+IF($P267=AA$3,$R267,0)+IF($S267=AA$3,$U267,0)-$AA267))</f>
        <v/>
      </c>
      <c r="BD267">
        <f>IF($C267="",0,MAX(0,$BC267+IF($P267=AB$3,$R267,0)+IF($S267=AB$3,$U267,0)-$AB267))</f>
        <v/>
      </c>
      <c r="BE267">
        <f>IF($C267="",0,MAX(0,$BD267+IF($P267=AC$3,$R267,0)+IF($S267=AC$3,$U267,0)-$AC267))</f>
        <v/>
      </c>
      <c r="BF267">
        <f>IF($C267="",0,MAX(0,$BE267+IF($P267=AD$3,$R267,0)+IF($S267=AD$3,$U267,0)-$AD267))</f>
        <v/>
      </c>
      <c r="BG267">
        <f>IF($C267="",0,MAX(0,$BF267+IF($P267=AE$3,$R267,0)+IF($S267=AE$3,$U267,0)-$AE267))</f>
        <v/>
      </c>
      <c r="BH267">
        <f>IF($C267="",0,MAX(0,$BG267+IF($P267=AF$3,$R267,0)+IF($S267=AF$3,$U267,0)-$AF267))</f>
        <v/>
      </c>
      <c r="BI267">
        <f>IF($C267="",0,MAX(0,$BH267+IF($P267=AG$3,$R267,0)+IF($S267=AG$3,$U267,0)-$AG267))</f>
        <v/>
      </c>
      <c r="BJ267">
        <f>IF($C267="",0,MAX(0,$BI267+IF($P267=AH$3,$R267,0)+IF($S267=AH$3,$U267,0)-$AH267))</f>
        <v/>
      </c>
      <c r="BK267">
        <f>IF($C267="",0,MAX(0,$BJ267+IF($P267=AI$3,$R267,0)+IF($S267=AI$3,$U267,0)-$AI267))</f>
        <v/>
      </c>
      <c r="BL267">
        <f>IF($C267="",99,IF(AND($AX267&lt;1,V$3&gt;=MAX(N($P267),N($S267))),0,99))</f>
        <v/>
      </c>
      <c r="BM267">
        <f>IF($C267="",99,IF(AND($AY267&lt;1,W$3&gt;=MAX(N($P267),N($S267))),1,99))</f>
        <v/>
      </c>
      <c r="BN267">
        <f>IF($C267="",99,IF(AND($AZ267&lt;1,X$3&gt;=MAX(N($P267),N($S267))),2,99))</f>
        <v/>
      </c>
      <c r="BO267">
        <f>IF($C267="",99,IF(AND($BA267&lt;1,Y$3&gt;=MAX(N($P267),N($S267))),3,99))</f>
        <v/>
      </c>
      <c r="BP267">
        <f>IF($C267="",99,IF(AND($BB267&lt;1,Z$3&gt;=MAX(N($P267),N($S267))),4,99))</f>
        <v/>
      </c>
      <c r="BQ267">
        <f>IF($C267="",99,IF(AND($BC267&lt;1,AA$3&gt;=MAX(N($P267),N($S267))),5,99))</f>
        <v/>
      </c>
      <c r="BR267">
        <f>IF($C267="",99,IF(AND($BD267&lt;1,AB$3&gt;=MAX(N($P267),N($S267))),6,99))</f>
        <v/>
      </c>
      <c r="BS267">
        <f>IF($C267="",99,IF(AND($BE267&lt;1,AC$3&gt;=MAX(N($P267),N($S267))),7,99))</f>
        <v/>
      </c>
      <c r="BT267">
        <f>IF($C267="",99,IF(AND($BF267&lt;1,AD$3&gt;=MAX(N($P267),N($S267))),8,99))</f>
        <v/>
      </c>
      <c r="BU267">
        <f>IF($C267="",99,IF(AND($BG267&lt;1,AE$3&gt;=MAX(N($P267),N($S267))),9,99))</f>
        <v/>
      </c>
      <c r="BV267">
        <f>IF($C267="",99,IF(AND($BH267&lt;1,AF$3&gt;=MAX(N($P267),N($S267))),10,99))</f>
        <v/>
      </c>
      <c r="BW267">
        <f>IF($C267="",99,IF(AND($BI267&lt;1,AG$3&gt;=MAX(N($P267),N($S267))),11,99))</f>
        <v/>
      </c>
      <c r="BX267">
        <f>IF($C267="",99,IF(AND($BJ267&lt;1,AH$3&gt;=MAX(N($P267),N($S267))),12,99))</f>
        <v/>
      </c>
      <c r="BY267">
        <f>IF($C267="",99,IF(AND($BK267&lt;1,AI$3&gt;=MAX(N($P267),N($S267))),13,99))</f>
        <v/>
      </c>
      <c r="BZ267">
        <f>IF(OR($C267="",$M267=""),"",COUNTIF($AJ267:$AW267,"&gt;=1"))</f>
        <v/>
      </c>
      <c r="CA267" s="90">
        <f>IF($BZ267="","",IF($BZ267&gt;=14,"",'設定'!$C$6+$BZ267))</f>
        <v/>
      </c>
      <c r="CB267">
        <f>IF(OR($C267="",$M267=""),"",MIN($BL267:$BY267))</f>
        <v/>
      </c>
      <c r="CC267" s="90">
        <f>IF($CB267="","",IF($CB267&gt;=99,"",'設定'!$C$6+$CB267))</f>
        <v/>
      </c>
      <c r="CD267">
        <f>IF(OR($C267="",$M267=""),"",AVERAGE($V267:$AI267))</f>
        <v/>
      </c>
      <c r="CE267">
        <f>IF($C267="","",IFERROR(IF(MATCH(IF(ISNUMBER($P267),$P267,'設定'!$C$6+N('設定'!$C$7)),$V$3:$AI$3,0)=1,MAX(0,N($L267)),INDEX($AJ267:$AW267,MATCH(IF(ISNUMBER($P267),$P267,'設定'!$C$6+N('設定'!$C$7)),$V$3:$AI$3,0)-1)),""))</f>
        <v/>
      </c>
      <c r="CF267">
        <f>IF(OR($C267="",$O267="",$CE267=""),"",IF($O267-$CE267&lt;=0,0,ROUNDUP(($O267-$CE267)/$G267,0)))</f>
        <v/>
      </c>
      <c r="CG267">
        <f>IF(OR($C267="",$CF267="",NOT(ISNUMBER($Q267))),0,MAX(0,$Q267-$CF267))</f>
        <v/>
      </c>
      <c r="CH267">
        <f>IF(OR($C267="",$O267="",$U267=0),0,IFERROR(ROUNDUP(MAX(0,IF(MATCH($S267,$V$3:$AI$3,0)=1,MAX(0,N($L267)),INDEX($AX267:$BK267,MATCH($S267,$V$3:$AI$3,0)-1))+$U267-$O267)/$G267,0),0))</f>
        <v/>
      </c>
      <c r="CI267">
        <f>IF($C267="","",IF(AND($P267="",$Q267=""),"",IF($P267="","⚠ 入庫日を ▼ から選んでください",IF(NOT(ISNUMBER($P267)),"⚠ 入庫日は ▼ から選んでください",IF($P267&lt;N('設定'!$C$6),"⚠ 入庫日が過去です（もう在庫に入っています）→ 消してください",IF($P267&gt;N('設定'!$C$6)+13,"⚠ 入庫日が14日より先です",IF(N($Q267)&lt;=0,"⚠ 入庫数を入れてください",IF($CG267&gt;0,"⚠ 目安より "&amp;$CG267&amp;" 多い（定数を超える）→ 減らす",""))))))))</f>
        <v/>
      </c>
      <c r="CJ267">
        <f>IF($C267="","",IF(AND($S267="",$T267=""),"",IF($S267="","⚠ 2便目：入庫日を ▼ から選んでください",IF(NOT(ISNUMBER($S267)),"⚠ 2便目：入庫日は ▼ から選んでください",IF($S267&lt;N('設定'!$C$6),"⚠ 2便目：入庫日が過去です（もう在庫に入っています）→ 消してください",IF($S267&gt;N('設定'!$C$6)+13,"⚠ 2便目：入庫日が14日より先です",IF(N($T267)&lt;=0,"⚠ 2便目：入庫数を入れてください",IF($CH267&gt;0,"⚠ 2便目：定数を "&amp;$CH267&amp;" ケース超える → 減らす",""))))))))</f>
        <v/>
      </c>
      <c r="CK267">
        <f>IF(AND($CI267="",N($Q267)&gt;0,ISNUMBER($P267)),1,0)</f>
        <v/>
      </c>
      <c r="CL267">
        <f>IF(AND($CJ267="",N($T267)&gt;0,ISNUMBER($S267)),1,0)</f>
        <v/>
      </c>
      <c r="CM267">
        <f>IF(OR($CK267=1,$CL267=1),1,0)</f>
        <v/>
      </c>
      <c r="CN267">
        <f>IF($C267="",0,($CK267*$R267+$CL267*$U267)*N($H267))</f>
        <v/>
      </c>
      <c r="CO267">
        <f>IF($C267="","",IF($CC267="","入庫後は 14日以上もつ",IF($CC267-N('設定'!$C$7)&lt;='設定'!$C$6,"入庫後も "&amp;TEXT($CC267,"m/d")&amp;"("&amp;CHOOSE(WEEKDAY($CC267),"日","月","火","水","木","金","土")&amp;")"&amp;" に切れる　もう1便を至急発注","入庫後も "&amp;TEXT($CC267,"m/d")&amp;"("&amp;CHOOSE(WEEKDAY($CC267),"日","月","火","水","木","金","土")&amp;")"&amp;" に切れる　"&amp;TEXT($CC267-N('設定'!$C$7),"m/d")&amp;"("&amp;CHOOSE(WEEKDAY($CC267-N('設定'!$C$7)),"日","月","火","水","木","金","土")&amp;")"&amp;" までに次を発注")))</f>
        <v/>
      </c>
      <c r="CP267">
        <f>IF($C267="","",IF('設定'!$C$6="","？ ①在庫を貼る に今日のCSVが貼られていない",IF($CS267=1,"－ 今日のCSVに無い（終売？）",IF($L267&lt;0,"● 在庫がマイナス　数えて「数えた在庫」に入れる",IF($L267=0,"● 在庫なし　至急発注",IF($M267="","？ 減り数が未設定（商品マスタ）",IF($B$3=0,"？ 動員が未入力（動員を入れる）",IF($CA267="","○ 14日以上もつ",IF($BZ267&lt;N('設定'!$C$7),"● "&amp;TEXT($CA267,"m/d")&amp;"("&amp;CHOOSE(WEEKDAY($CA267),"日","月","火","水","木","金","土")&amp;")"&amp;" に切れる　至急発注",IF($BZ267=N('設定'!$C$7),"● "&amp;TEXT($CA267,"m/d")&amp;"("&amp;CHOOSE(WEEKDAY($CA267),"日","月","火","水","木","金","土")&amp;")"&amp;" に切れる　今日発注","△ "&amp;TEXT($CA267,"m/d")&amp;"("&amp;CHOOSE(WEEKDAY($CA267),"日","月","火","水","木","金","土")&amp;")"&amp;" に切れる　"&amp;TEXT($CA267-N('設定'!$C$7),"m/d")&amp;"("&amp;CHOOSE(WEEKDAY($CA267-N('設定'!$C$7)),"日","月","火","水","木","金","土")&amp;")"&amp;" までに発注"))))))))))</f>
        <v/>
      </c>
      <c r="CQ267">
        <f>IF($C267="","",IF(AND($P267="",$Q267="",$S267="",$T267=""),"",IF(AND($P267="",$Q267=""),"⚠ 先に1便目（左の入庫日・入庫数）に入れてください",IF($CI267&lt;&gt;"",$CI267,IF($CJ267&lt;&gt;"",$CJ267,IF($M267="","？ 減り数が未設定（発注書には載ります）",IF($B$3=0,"？ 動員が未入力（発注書には載ります）",IF(AND($CA267&lt;&gt;"",$P267&gt;$CA267),IF($P267&gt;'設定'!$C$6+N('設定'!$C$7),"● "&amp;TEXT($P267,"m/d")&amp;"("&amp;CHOOSE(WEEKDAY($P267),"日","月","火","水","木","金","土")&amp;")"&amp;" の入庫では間に合わない（"&amp;TEXT($CA267,"m/d")&amp;"("&amp;CHOOSE(WEEKDAY($CA267),"日","月","火","水","木","金","土")&amp;")"&amp;" に切れる）　入庫日を早める","△ 欠品 "&amp;TEXT($CA267,"m/d")&amp;"("&amp;CHOOSE(WEEKDAY($CA267),"日","月","火","水","木","金","土")&amp;")"&amp;"〜"&amp;TEXT($P267-1,"m/d")&amp;"("&amp;CHOOSE(WEEKDAY($P267-1),"日","月","火","水","木","金","土")&amp;")"&amp;"　"&amp;$CO267),IF($CC267="","○ "&amp;TEXT($P267,"m/d")&amp;"("&amp;CHOOSE(WEEKDAY($P267),"日","月","火","水","木","金","土")&amp;")"&amp;" 入庫で 14日以上もつ",IF($CC267-N('設定'!$C$7)&lt;='設定'!$C$6,"● 入庫しても "&amp;TEXT($CC267,"m/d")&amp;"("&amp;CHOOSE(WEEKDAY($CC267),"日","月","火","水","木","金","土")&amp;")"&amp;" に切れる　もう1便を至急発注（2便目に入れる）","△ 入庫しても "&amp;TEXT($CC267,"m/d")&amp;"("&amp;CHOOSE(WEEKDAY($CC267),"日","月","火","水","木","金","土")&amp;")"&amp;" に切れる　"&amp;TEXT($CC267-N('設定'!$C$7),"m/d")&amp;"("&amp;CHOOSE(WEEKDAY($CC267-N('設定'!$C$7)),"日","月","火","水","木","金","土")&amp;")"&amp;" までに次を発注（2便目に入れる）"))))))))))</f>
        <v/>
      </c>
      <c r="CR267">
        <f>IF($C267="","",IF($G267&gt;1,"ｹｰｽ("&amp;$G267&amp;"入)","個"))</f>
        <v/>
      </c>
      <c r="CS267">
        <f>IF($C267="",0,IF(COUNTIFS('①在庫を貼る'!$V$6:$V$10005,'設定'!$C$4,'①在庫を貼る'!$W$6:$W$10005,$C267)=0,1,0))</f>
        <v/>
      </c>
      <c r="CT267">
        <f>IF(AND($CK267=1,OR('③発注書'!$C$4="すべて",'③発注書'!$C$4="",$F267='③発注書'!$C$4)),N($CT266)+1,N($CT266))</f>
        <v/>
      </c>
      <c r="CU267">
        <f>IF(AND($CL267=1,OR('③発注書'!$C$4="すべて",'③発注書'!$C$4="",$F267='③発注書'!$C$4)),N($CU266)+1,N($CU266))</f>
        <v/>
      </c>
      <c r="CV267">
        <f>IF($C267="",0,IF(COUNTIFS('①在庫を貼る'!$V$6:$V$10005,'設定'!$C$4,'①在庫を貼る'!$W$6:$W$10005,$C267)&gt;0,1,0))</f>
        <v/>
      </c>
      <c r="CW267">
        <f>IF($C267="",0,IF(COUNTIFS('月1回_1ヶ月前の在庫'!$V$6:$V$10005,'設定'!$C$4,'月1回_1ヶ月前の在庫'!$W$6:$W$10005,$C267)&gt;0,1,0))</f>
        <v/>
      </c>
      <c r="CX267">
        <f>IF($C267="",0,IF(COUNTIFS('月1回_2ヶ月前の在庫'!$V$6:$V$10005,'設定'!$C$4,'月1回_2ヶ月前の在庫'!$W$6:$W$10005,$C267)&gt;0,1,0))</f>
        <v/>
      </c>
      <c r="CY267">
        <f>IF(OR($C267="",'設定'!$C$12=""),"",IF('設定'!$C$13="",IF(AND($CV267=1,$CW267=0),"新商品（今月から）",IF(AND($CV267=0,$CW267=1),"終売（今月から）","")),IF(AND($CV267=1,$CW267=0,$CX267=0),"新商品（今月から）",IF(AND($CV267=1,$CW267=1,$CX267=0),"新商品（先月から）",IF(AND($CV267=0,$CW267=1,$CX267=1),"終売（今月から）",IF(AND($CV267=0,$CW267=0,$CX267=1),"終売（先月から）",IF(AND($CV267=1,$CW267=0,$CX267=1),"復活（先月は無し）","")))))))</f>
        <v/>
      </c>
    </row>
    <row r="268">
      <c r="B268">
        <f>IF(263&lt;='設定'!$C$11,263,"")</f>
        <v/>
      </c>
      <c r="C268">
        <f>IF($B268="","",IF($B268&lt;='設定'!$C$20,INDEX('商品マスタ'!$B$6:$B$1005,MATCH($B268,'商品マスタ'!$M$6:$M$1005,0)),IF($B268&lt;='設定'!$C$20+'設定'!$C$17,INDEX('①在庫を貼る'!$W$6:$W$10005,MATCH($B268-'設定'!$C$20,'①在庫を貼る'!$U$6:$U$10005,0)),IF($B268&lt;='設定'!$C$20+'設定'!$C$17+'設定'!$C$18,INDEX('月1回_1ヶ月前の在庫'!$W$6:$W$10005,MATCH($B268-'設定'!$C$20-'設定'!$C$17,'月1回_1ヶ月前の在庫'!$U$6:$U$10005,0)),INDEX('月1回_2ヶ月前の在庫'!$W$6:$W$10005,MATCH($B268-'設定'!$C$20-'設定'!$C$17-'設定'!$C$18,'月1回_2ヶ月前の在庫'!$U$6:$U$10005,0))))))</f>
        <v/>
      </c>
      <c r="D268">
        <f>IF($C268="","",IFERROR(IF(INDEX('商品マスタ'!$C$6:$C$1005,MATCH($C268,'商品マスタ'!$B$6:$B$1005,0))="",IFERROR(INDEX('①在庫を貼る'!$J$6:$J$10005,MATCH($C268,'①在庫を貼る'!$W$6:$W$10005,0)),IFERROR(INDEX('月1回_1ヶ月前の在庫'!$J$6:$J$10005,MATCH($C268,'月1回_1ヶ月前の在庫'!$W$6:$W$10005,0)),IFERROR(INDEX('月1回_2ヶ月前の在庫'!$J$6:$J$10005,MATCH($C268,'月1回_2ヶ月前の在庫'!$W$6:$W$10005,0)),""))),INDEX('商品マスタ'!$C$6:$C$1005,MATCH($C268,'商品マスタ'!$B$6:$B$1005,0))),IFERROR(INDEX('①在庫を貼る'!$J$6:$J$10005,MATCH($C268,'①在庫を貼る'!$W$6:$W$10005,0)),IFERROR(INDEX('月1回_1ヶ月前の在庫'!$J$6:$J$10005,MATCH($C268,'月1回_1ヶ月前の在庫'!$W$6:$W$10005,0)),IFERROR(INDEX('月1回_2ヶ月前の在庫'!$J$6:$J$10005,MATCH($C268,'月1回_2ヶ月前の在庫'!$W$6:$W$10005,0)),"")))))</f>
        <v/>
      </c>
      <c r="E268">
        <f>IF($C268="","",IFERROR(IF(INDEX('商品マスタ'!$D$6:$D$1005,MATCH($C268,'商品マスタ'!$B$6:$B$1005,0))="",IFERROR(INDEX('①在庫を貼る'!$H$6:$H$10005,MATCH($C268,'①在庫を貼る'!$W$6:$W$10005,0)),IFERROR(INDEX('月1回_1ヶ月前の在庫'!$H$6:$H$10005,MATCH($C268,'月1回_1ヶ月前の在庫'!$W$6:$W$10005,0)),IFERROR(INDEX('月1回_2ヶ月前の在庫'!$H$6:$H$10005,MATCH($C268,'月1回_2ヶ月前の在庫'!$W$6:$W$10005,0)),""))),INDEX('商品マスタ'!$D$6:$D$1005,MATCH($C268,'商品マスタ'!$B$6:$B$1005,0))),IFERROR(INDEX('①在庫を貼る'!$H$6:$H$10005,MATCH($C268,'①在庫を貼る'!$W$6:$W$10005,0)),IFERROR(INDEX('月1回_1ヶ月前の在庫'!$H$6:$H$10005,MATCH($C268,'月1回_1ヶ月前の在庫'!$W$6:$W$10005,0)),IFERROR(INDEX('月1回_2ヶ月前の在庫'!$H$6:$H$10005,MATCH($C268,'月1回_2ヶ月前の在庫'!$W$6:$W$10005,0)),"")))))</f>
        <v/>
      </c>
      <c r="F268">
        <f>IF($C268="","",IFERROR(IF(INDEX('商品マスタ'!$E$6:$E$1005,MATCH($C268,'商品マスタ'!$B$6:$B$1005,0))="",IFERROR(INDEX('①在庫を貼る'!$E$6:$E$10005,MATCH($C268,'①在庫を貼る'!$W$6:$W$10005,0)),IFERROR(INDEX('月1回_1ヶ月前の在庫'!$E$6:$E$10005,MATCH($C268,'月1回_1ヶ月前の在庫'!$W$6:$W$10005,0)),IFERROR(INDEX('月1回_2ヶ月前の在庫'!$E$6:$E$10005,MATCH($C268,'月1回_2ヶ月前の在庫'!$W$6:$W$10005,0)),""))),INDEX('商品マスタ'!$E$6:$E$1005,MATCH($C268,'商品マスタ'!$B$6:$B$1005,0))),IFERROR(INDEX('①在庫を貼る'!$E$6:$E$10005,MATCH($C268,'①在庫を貼る'!$W$6:$W$10005,0)),IFERROR(INDEX('月1回_1ヶ月前の在庫'!$E$6:$E$10005,MATCH($C268,'月1回_1ヶ月前の在庫'!$W$6:$W$10005,0)),IFERROR(INDEX('月1回_2ヶ月前の在庫'!$E$6:$E$10005,MATCH($C268,'月1回_2ヶ月前の在庫'!$W$6:$W$10005,0)),"")))))</f>
        <v/>
      </c>
      <c r="G268">
        <f>IF($C268="","",MAX(1,N(IFERROR(IF(INDEX('商品マスタ'!$F$6:$F$1005,MATCH($C268,'商品マスタ'!$B$6:$B$1005,0))="",IF(COUNTIFS('①在庫を貼る'!$V$6:$V$10005,'設定'!$C$4,'①在庫を貼る'!$W$6:$W$10005,$C268)&gt;0,SUMIFS('①在庫を貼る'!$K$6:$K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K$6:$K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K$6:$K$10005,'月1回_2ヶ月前の在庫'!$V$6:$V$10005,'設定'!$C$4,'月1回_2ヶ月前の在庫'!$W$6:$W$10005,$C268)/COUNTIFS('月1回_2ヶ月前の在庫'!$V$6:$V$10005,'設定'!$C$4,'月1回_2ヶ月前の在庫'!$W$6:$W$10005,$C268),0))),INDEX('商品マスタ'!$F$6:$F$1005,MATCH($C268,'商品マスタ'!$B$6:$B$1005,0))),IF(COUNTIFS('①在庫を貼る'!$V$6:$V$10005,'設定'!$C$4,'①在庫を貼る'!$W$6:$W$10005,$C268)&gt;0,SUMIFS('①在庫を貼る'!$K$6:$K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K$6:$K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K$6:$K$10005,'月1回_2ヶ月前の在庫'!$V$6:$V$10005,'設定'!$C$4,'月1回_2ヶ月前の在庫'!$W$6:$W$10005,$C268)/COUNTIFS('月1回_2ヶ月前の在庫'!$V$6:$V$10005,'設定'!$C$4,'月1回_2ヶ月前の在庫'!$W$6:$W$10005,$C268),0)))))))</f>
        <v/>
      </c>
      <c r="H268">
        <f>IF($C268="","",N(IFERROR(IF(INDEX('商品マスタ'!$G$6:$G$1005,MATCH($C268,'商品マスタ'!$B$6:$B$1005,0))="",IF(COUNTIFS('①在庫を貼る'!$V$6:$V$10005,'設定'!$C$4,'①在庫を貼る'!$W$6:$W$10005,$C268)&gt;0,SUMIFS('①在庫を貼る'!$Q$6:$Q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Q$6:$Q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Q$6:$Q$10005,'月1回_2ヶ月前の在庫'!$V$6:$V$10005,'設定'!$C$4,'月1回_2ヶ月前の在庫'!$W$6:$W$10005,$C268)/COUNTIFS('月1回_2ヶ月前の在庫'!$V$6:$V$10005,'設定'!$C$4,'月1回_2ヶ月前の在庫'!$W$6:$W$10005,$C268),0))),INDEX('商品マスタ'!$G$6:$G$1005,MATCH($C268,'商品マスタ'!$B$6:$B$1005,0))),IF(COUNTIFS('①在庫を貼る'!$V$6:$V$10005,'設定'!$C$4,'①在庫を貼る'!$W$6:$W$10005,$C268)&gt;0,SUMIFS('①在庫を貼る'!$Q$6:$Q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Q$6:$Q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Q$6:$Q$10005,'月1回_2ヶ月前の在庫'!$V$6:$V$10005,'設定'!$C$4,'月1回_2ヶ月前の在庫'!$W$6:$W$10005,$C268)/COUNTIFS('月1回_2ヶ月前の在庫'!$V$6:$V$10005,'設定'!$C$4,'月1回_2ヶ月前の在庫'!$W$6:$W$10005,$C268),0))))))</f>
        <v/>
      </c>
      <c r="I268">
        <f>IF($C268="","",IF(COUNTIFS('①在庫を貼る'!$V$6:$V$10005,'設定'!$C$4,'①在庫を貼る'!$W$6:$W$10005,$C268)=0,"",SUMIFS('①在庫を貼る'!$N$6:$N$10005,'①在庫を貼る'!$V$6:$V$10005,'設定'!$C$4,'①在庫を貼る'!$W$6:$W$10005,$C268)))</f>
        <v/>
      </c>
      <c r="J268">
        <f>IF($C268="","",IF('②発注する'!$AD272="","",'②発注する'!$AD272))</f>
        <v/>
      </c>
      <c r="K268" s="90">
        <f>IF($C268="","",IF('②発注する'!$AE272="","",'②発注する'!$AE272))</f>
        <v/>
      </c>
      <c r="L268">
        <f>IF($C268="","",IF(AND(ISNUMBER($J268),ISNUMBER($K268),$K268&gt;='設定'!$C$6),$J268,N($I268)))</f>
        <v/>
      </c>
      <c r="M268">
        <f>IF($C268="","",IFERROR(IF(N(INDEX('商品マスタ'!$J$6:$J$1005,MATCH($C268,'商品マスタ'!$B$6:$B$1005,0)))&gt;0,INDEX('商品マスタ'!$J$6:$J$1005,MATCH($C268,'商品マスタ'!$B$6:$B$1005,0)),""),""))</f>
        <v/>
      </c>
      <c r="N268">
        <f>IF($C268="","",IFERROR(IF(N(INDEX('商品マスタ'!$H$6:$H$1005,MATCH($C268,'商品マスタ'!$B$6:$B$1005,0)))&gt;0,INDEX('商品マスタ'!$H$6:$H$1005,MATCH($C268,'商品マスタ'!$B$6:$B$1005,0)),""),""))</f>
        <v/>
      </c>
      <c r="O268">
        <f>IF($C268="","",IF($N268&lt;&gt;"",$N268*$G268,IF(N(IF(COUNTIFS('①在庫を貼る'!$V$6:$V$10005,'設定'!$C$4,'①在庫を貼る'!$W$6:$W$10005,$C268)&gt;0,SUMIFS('①在庫を貼る'!$O$6:$O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O$6:$O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O$6:$O$10005,'月1回_2ヶ月前の在庫'!$V$6:$V$10005,'設定'!$C$4,'月1回_2ヶ月前の在庫'!$W$6:$W$10005,$C268)/COUNTIFS('月1回_2ヶ月前の在庫'!$V$6:$V$10005,'設定'!$C$4,'月1回_2ヶ月前の在庫'!$W$6:$W$10005,$C268),0))))&gt;0,N(IF(COUNTIFS('①在庫を貼る'!$V$6:$V$10005,'設定'!$C$4,'①在庫を貼る'!$W$6:$W$10005,$C268)&gt;0,SUMIFS('①在庫を貼る'!$O$6:$O$10005,'①在庫を貼る'!$V$6:$V$10005,'設定'!$C$4,'①在庫を貼る'!$W$6:$W$10005,$C268)/COUNTIFS('①在庫を貼る'!$V$6:$V$10005,'設定'!$C$4,'①在庫を貼る'!$W$6:$W$10005,$C268),IF(COUNTIFS('月1回_1ヶ月前の在庫'!$V$6:$V$10005,'設定'!$C$4,'月1回_1ヶ月前の在庫'!$W$6:$W$10005,$C268)&gt;0,SUMIFS('月1回_1ヶ月前の在庫'!$O$6:$O$10005,'月1回_1ヶ月前の在庫'!$V$6:$V$10005,'設定'!$C$4,'月1回_1ヶ月前の在庫'!$W$6:$W$10005,$C268)/COUNTIFS('月1回_1ヶ月前の在庫'!$V$6:$V$10005,'設定'!$C$4,'月1回_1ヶ月前の在庫'!$W$6:$W$10005,$C268),IF(COUNTIFS('月1回_2ヶ月前の在庫'!$V$6:$V$10005,'設定'!$C$4,'月1回_2ヶ月前の在庫'!$W$6:$W$10005,$C268)&gt;0,SUMIFS('月1回_2ヶ月前の在庫'!$O$6:$O$10005,'月1回_2ヶ月前の在庫'!$V$6:$V$10005,'設定'!$C$4,'月1回_2ヶ月前の在庫'!$W$6:$W$10005,$C268)/COUNTIFS('月1回_2ヶ月前の在庫'!$V$6:$V$10005,'設定'!$C$4,'月1回_2ヶ月前の在庫'!$W$6:$W$10005,$C268),0)))),"")))</f>
        <v/>
      </c>
      <c r="P268" s="90">
        <f>IF($C268="","",IF('②発注する'!$I272="","",'②発注する'!$I272))</f>
        <v/>
      </c>
      <c r="Q268">
        <f>IF($C268="","",IF('②発注する'!$J272="","",'②発注する'!$J272))</f>
        <v/>
      </c>
      <c r="R268">
        <f>IF($C268="",0,IF(AND(ISNUMBER($P268),ISNUMBER($Q268)),MAX(0,$Q268)*$G268,0))</f>
        <v/>
      </c>
      <c r="S268" s="90">
        <f>IF($C268="","",IF('②発注する'!$M272="","",'②発注する'!$M272))</f>
        <v/>
      </c>
      <c r="T268">
        <f>IF($C268="","",IF('②発注する'!$N272="","",'②発注する'!$N272))</f>
        <v/>
      </c>
      <c r="U268">
        <f>IF($C268="",0,IF(AND(ISNUMBER($S268),ISNUMBER($T268)),MAX(0,$T268)*$G268,0))</f>
        <v/>
      </c>
      <c r="V268">
        <f>IF($C268="",0,IF($M268="",0,MAX(0,$M268)*MAX(0,V$4)/100))</f>
        <v/>
      </c>
      <c r="W268">
        <f>IF($C268="",0,IF($M268="",0,MAX(0,$M268)*MAX(0,W$4)/100))</f>
        <v/>
      </c>
      <c r="X268">
        <f>IF($C268="",0,IF($M268="",0,MAX(0,$M268)*MAX(0,X$4)/100))</f>
        <v/>
      </c>
      <c r="Y268">
        <f>IF($C268="",0,IF($M268="",0,MAX(0,$M268)*MAX(0,Y$4)/100))</f>
        <v/>
      </c>
      <c r="Z268">
        <f>IF($C268="",0,IF($M268="",0,MAX(0,$M268)*MAX(0,Z$4)/100))</f>
        <v/>
      </c>
      <c r="AA268">
        <f>IF($C268="",0,IF($M268="",0,MAX(0,$M268)*MAX(0,AA$4)/100))</f>
        <v/>
      </c>
      <c r="AB268">
        <f>IF($C268="",0,IF($M268="",0,MAX(0,$M268)*MAX(0,AB$4)/100))</f>
        <v/>
      </c>
      <c r="AC268">
        <f>IF($C268="",0,IF($M268="",0,MAX(0,$M268)*MAX(0,AC$4)/100))</f>
        <v/>
      </c>
      <c r="AD268">
        <f>IF($C268="",0,IF($M268="",0,MAX(0,$M268)*MAX(0,AD$4)/100))</f>
        <v/>
      </c>
      <c r="AE268">
        <f>IF($C268="",0,IF($M268="",0,MAX(0,$M268)*MAX(0,AE$4)/100))</f>
        <v/>
      </c>
      <c r="AF268">
        <f>IF($C268="",0,IF($M268="",0,MAX(0,$M268)*MAX(0,AF$4)/100))</f>
        <v/>
      </c>
      <c r="AG268">
        <f>IF($C268="",0,IF($M268="",0,MAX(0,$M268)*MAX(0,AG$4)/100))</f>
        <v/>
      </c>
      <c r="AH268">
        <f>IF($C268="",0,IF($M268="",0,MAX(0,$M268)*MAX(0,AH$4)/100))</f>
        <v/>
      </c>
      <c r="AI268">
        <f>IF($C268="",0,IF($M268="",0,MAX(0,$M268)*MAX(0,AI$4)/100))</f>
        <v/>
      </c>
      <c r="AJ268">
        <f>IF($C268="",0,MAX(0,MAX(0,N($L268))-$V268))</f>
        <v/>
      </c>
      <c r="AK268">
        <f>IF($C268="",0,MAX(0,$AJ268-$W268))</f>
        <v/>
      </c>
      <c r="AL268">
        <f>IF($C268="",0,MAX(0,$AK268-$X268))</f>
        <v/>
      </c>
      <c r="AM268">
        <f>IF($C268="",0,MAX(0,$AL268-$Y268))</f>
        <v/>
      </c>
      <c r="AN268">
        <f>IF($C268="",0,MAX(0,$AM268-$Z268))</f>
        <v/>
      </c>
      <c r="AO268">
        <f>IF($C268="",0,MAX(0,$AN268-$AA268))</f>
        <v/>
      </c>
      <c r="AP268">
        <f>IF($C268="",0,MAX(0,$AO268-$AB268))</f>
        <v/>
      </c>
      <c r="AQ268">
        <f>IF($C268="",0,MAX(0,$AP268-$AC268))</f>
        <v/>
      </c>
      <c r="AR268">
        <f>IF($C268="",0,MAX(0,$AQ268-$AD268))</f>
        <v/>
      </c>
      <c r="AS268">
        <f>IF($C268="",0,MAX(0,$AR268-$AE268))</f>
        <v/>
      </c>
      <c r="AT268">
        <f>IF($C268="",0,MAX(0,$AS268-$AF268))</f>
        <v/>
      </c>
      <c r="AU268">
        <f>IF($C268="",0,MAX(0,$AT268-$AG268))</f>
        <v/>
      </c>
      <c r="AV268">
        <f>IF($C268="",0,MAX(0,$AU268-$AH268))</f>
        <v/>
      </c>
      <c r="AW268">
        <f>IF($C268="",0,MAX(0,$AV268-$AI268))</f>
        <v/>
      </c>
      <c r="AX268">
        <f>IF($C268="",0,MAX(0,MAX(0,N($L268))+IF($P268=V$3,$R268,0)+IF($S268=V$3,$U268,0)-$V268))</f>
        <v/>
      </c>
      <c r="AY268">
        <f>IF($C268="",0,MAX(0,$AX268+IF($P268=W$3,$R268,0)+IF($S268=W$3,$U268,0)-$W268))</f>
        <v/>
      </c>
      <c r="AZ268">
        <f>IF($C268="",0,MAX(0,$AY268+IF($P268=X$3,$R268,0)+IF($S268=X$3,$U268,0)-$X268))</f>
        <v/>
      </c>
      <c r="BA268">
        <f>IF($C268="",0,MAX(0,$AZ268+IF($P268=Y$3,$R268,0)+IF($S268=Y$3,$U268,0)-$Y268))</f>
        <v/>
      </c>
      <c r="BB268">
        <f>IF($C268="",0,MAX(0,$BA268+IF($P268=Z$3,$R268,0)+IF($S268=Z$3,$U268,0)-$Z268))</f>
        <v/>
      </c>
      <c r="BC268">
        <f>IF($C268="",0,MAX(0,$BB268+IF($P268=AA$3,$R268,0)+IF($S268=AA$3,$U268,0)-$AA268))</f>
        <v/>
      </c>
      <c r="BD268">
        <f>IF($C268="",0,MAX(0,$BC268+IF($P268=AB$3,$R268,0)+IF($S268=AB$3,$U268,0)-$AB268))</f>
        <v/>
      </c>
      <c r="BE268">
        <f>IF($C268="",0,MAX(0,$BD268+IF($P268=AC$3,$R268,0)+IF($S268=AC$3,$U268,0)-$AC268))</f>
        <v/>
      </c>
      <c r="BF268">
        <f>IF($C268="",0,MAX(0,$BE268+IF($P268=AD$3,$R268,0)+IF($S268=AD$3,$U268,0)-$AD268))</f>
        <v/>
      </c>
      <c r="BG268">
        <f>IF($C268="",0,MAX(0,$BF268+IF($P268=AE$3,$R268,0)+IF($S268=AE$3,$U268,0)-$AE268))</f>
        <v/>
      </c>
      <c r="BH268">
        <f>IF($C268="",0,MAX(0,$BG268+IF($P268=AF$3,$R268,0)+IF($S268=AF$3,$U268,0)-$AF268))</f>
        <v/>
      </c>
      <c r="BI268">
        <f>IF($C268="",0,MAX(0,$BH268+IF($P268=AG$3,$R268,0)+IF($S268=AG$3,$U268,0)-$AG268))</f>
        <v/>
      </c>
      <c r="BJ268">
        <f>IF($C268="",0,MAX(0,$BI268+IF($P268=AH$3,$R268,0)+IF($S268=AH$3,$U268,0)-$AH268))</f>
        <v/>
      </c>
      <c r="BK268">
        <f>IF($C268="",0,MAX(0,$BJ268+IF($P268=AI$3,$R268,0)+IF($S268=AI$3,$U268,0)-$AI268))</f>
        <v/>
      </c>
      <c r="BL268">
        <f>IF($C268="",99,IF(AND($AX268&lt;1,V$3&gt;=MAX(N($P268),N($S268))),0,99))</f>
        <v/>
      </c>
      <c r="BM268">
        <f>IF($C268="",99,IF(AND($AY268&lt;1,W$3&gt;=MAX(N($P268),N($S268))),1,99))</f>
        <v/>
      </c>
      <c r="BN268">
        <f>IF($C268="",99,IF(AND($AZ268&lt;1,X$3&gt;=MAX(N($P268),N($S268))),2,99))</f>
        <v/>
      </c>
      <c r="BO268">
        <f>IF($C268="",99,IF(AND($BA268&lt;1,Y$3&gt;=MAX(N($P268),N($S268))),3,99))</f>
        <v/>
      </c>
      <c r="BP268">
        <f>IF($C268="",99,IF(AND($BB268&lt;1,Z$3&gt;=MAX(N($P268),N($S268))),4,99))</f>
        <v/>
      </c>
      <c r="BQ268">
        <f>IF($C268="",99,IF(AND($BC268&lt;1,AA$3&gt;=MAX(N($P268),N($S268))),5,99))</f>
        <v/>
      </c>
      <c r="BR268">
        <f>IF($C268="",99,IF(AND($BD268&lt;1,AB$3&gt;=MAX(N($P268),N($S268))),6,99))</f>
        <v/>
      </c>
      <c r="BS268">
        <f>IF($C268="",99,IF(AND($BE268&lt;1,AC$3&gt;=MAX(N($P268),N($S268))),7,99))</f>
        <v/>
      </c>
      <c r="BT268">
        <f>IF($C268="",99,IF(AND($BF268&lt;1,AD$3&gt;=MAX(N($P268),N($S268))),8,99))</f>
        <v/>
      </c>
      <c r="BU268">
        <f>IF($C268="",99,IF(AND($BG268&lt;1,AE$3&gt;=MAX(N($P268),N($S268))),9,99))</f>
        <v/>
      </c>
      <c r="BV268">
        <f>IF($C268="",99,IF(AND($BH268&lt;1,AF$3&gt;=MAX(N($P268),N($S268))),10,99))</f>
        <v/>
      </c>
      <c r="BW268">
        <f>IF($C268="",99,IF(AND($BI268&lt;1,AG$3&gt;=MAX(N($P268),N($S268))),11,99))</f>
        <v/>
      </c>
      <c r="BX268">
        <f>IF($C268="",99,IF(AND($BJ268&lt;1,AH$3&gt;=MAX(N($P268),N($S268))),12,99))</f>
        <v/>
      </c>
      <c r="BY268">
        <f>IF($C268="",99,IF(AND($BK268&lt;1,AI$3&gt;=MAX(N($P268),N($S268))),13,99))</f>
        <v/>
      </c>
      <c r="BZ268">
        <f>IF(OR($C268="",$M268=""),"",COUNTIF($AJ268:$AW268,"&gt;=1"))</f>
        <v/>
      </c>
      <c r="CA268" s="90">
        <f>IF($BZ268="","",IF($BZ268&gt;=14,"",'設定'!$C$6+$BZ268))</f>
        <v/>
      </c>
      <c r="CB268">
        <f>IF(OR($C268="",$M268=""),"",MIN($BL268:$BY268))</f>
        <v/>
      </c>
      <c r="CC268" s="90">
        <f>IF($CB268="","",IF($CB268&gt;=99,"",'設定'!$C$6+$CB268))</f>
        <v/>
      </c>
      <c r="CD268">
        <f>IF(OR($C268="",$M268=""),"",AVERAGE($V268:$AI268))</f>
        <v/>
      </c>
      <c r="CE268">
        <f>IF($C268="","",IFERROR(IF(MATCH(IF(ISNUMBER($P268),$P268,'設定'!$C$6+N('設定'!$C$7)),$V$3:$AI$3,0)=1,MAX(0,N($L268)),INDEX($AJ268:$AW268,MATCH(IF(ISNUMBER($P268),$P268,'設定'!$C$6+N('設定'!$C$7)),$V$3:$AI$3,0)-1)),""))</f>
        <v/>
      </c>
      <c r="CF268">
        <f>IF(OR($C268="",$O268="",$CE268=""),"",IF($O268-$CE268&lt;=0,0,ROUNDUP(($O268-$CE268)/$G268,0)))</f>
        <v/>
      </c>
      <c r="CG268">
        <f>IF(OR($C268="",$CF268="",NOT(ISNUMBER($Q268))),0,MAX(0,$Q268-$CF268))</f>
        <v/>
      </c>
      <c r="CH268">
        <f>IF(OR($C268="",$O268="",$U268=0),0,IFERROR(ROUNDUP(MAX(0,IF(MATCH($S268,$V$3:$AI$3,0)=1,MAX(0,N($L268)),INDEX($AX268:$BK268,MATCH($S268,$V$3:$AI$3,0)-1))+$U268-$O268)/$G268,0),0))</f>
        <v/>
      </c>
      <c r="CI268">
        <f>IF($C268="","",IF(AND($P268="",$Q268=""),"",IF($P268="","⚠ 入庫日を ▼ から選んでください",IF(NOT(ISNUMBER($P268)),"⚠ 入庫日は ▼ から選んでください",IF($P268&lt;N('設定'!$C$6),"⚠ 入庫日が過去です（もう在庫に入っています）→ 消してください",IF($P268&gt;N('設定'!$C$6)+13,"⚠ 入庫日が14日より先です",IF(N($Q268)&lt;=0,"⚠ 入庫数を入れてください",IF($CG268&gt;0,"⚠ 目安より "&amp;$CG268&amp;" 多い（定数を超える）→ 減らす",""))))))))</f>
        <v/>
      </c>
      <c r="CJ268">
        <f>IF($C268="","",IF(AND($S268="",$T268=""),"",IF($S268="","⚠ 2便目：入庫日を ▼ から選んでください",IF(NOT(ISNUMBER($S268)),"⚠ 2便目：入庫日は ▼ から選んでください",IF($S268&lt;N('設定'!$C$6),"⚠ 2便目：入庫日が過去です（もう在庫に入っています）→ 消してください",IF($S268&gt;N('設定'!$C$6)+13,"⚠ 2便目：入庫日が14日より先です",IF(N($T268)&lt;=0,"⚠ 2便目：入庫数を入れてください",IF($CH268&gt;0,"⚠ 2便目：定数を "&amp;$CH268&amp;" ケース超える → 減らす",""))))))))</f>
        <v/>
      </c>
      <c r="CK268">
        <f>IF(AND($CI268="",N($Q268)&gt;0,ISNUMBER($P268)),1,0)</f>
        <v/>
      </c>
      <c r="CL268">
        <f>IF(AND($CJ268="",N($T268)&gt;0,ISNUMBER($S268)),1,0)</f>
        <v/>
      </c>
      <c r="CM268">
        <f>IF(OR($CK268=1,$CL268=1),1,0)</f>
        <v/>
      </c>
      <c r="CN268">
        <f>IF($C268="",0,($CK268*$R268+$CL268*$U268)*N($H268))</f>
        <v/>
      </c>
      <c r="CO268">
        <f>IF($C268="","",IF($CC268="","入庫後は 14日以上もつ",IF($CC268-N('設定'!$C$7)&lt;='設定'!$C$6,"入庫後も "&amp;TEXT($CC268,"m/d")&amp;"("&amp;CHOOSE(WEEKDAY($CC268),"日","月","火","水","木","金","土")&amp;")"&amp;" に切れる　もう1便を至急発注","入庫後も "&amp;TEXT($CC268,"m/d")&amp;"("&amp;CHOOSE(WEEKDAY($CC268),"日","月","火","水","木","金","土")&amp;")"&amp;" に切れる　"&amp;TEXT($CC268-N('設定'!$C$7),"m/d")&amp;"("&amp;CHOOSE(WEEKDAY($CC268-N('設定'!$C$7)),"日","月","火","水","木","金","土")&amp;")"&amp;" までに次を発注")))</f>
        <v/>
      </c>
      <c r="CP268">
        <f>IF($C268="","",IF('設定'!$C$6="","？ ①在庫を貼る に今日のCSVが貼られていない",IF($CS268=1,"－ 今日のCSVに無い（終売？）",IF($L268&lt;0,"● 在庫がマイナス　数えて「数えた在庫」に入れる",IF($L268=0,"● 在庫なし　至急発注",IF($M268="","？ 減り数が未設定（商品マスタ）",IF($B$3=0,"？ 動員が未入力（動員を入れる）",IF($CA268="","○ 14日以上もつ",IF($BZ268&lt;N('設定'!$C$7),"● "&amp;TEXT($CA268,"m/d")&amp;"("&amp;CHOOSE(WEEKDAY($CA268),"日","月","火","水","木","金","土")&amp;")"&amp;" に切れる　至急発注",IF($BZ268=N('設定'!$C$7),"● "&amp;TEXT($CA268,"m/d")&amp;"("&amp;CHOOSE(WEEKDAY($CA268),"日","月","火","水","木","金","土")&amp;")"&amp;" に切れる　今日発注","△ "&amp;TEXT($CA268,"m/d")&amp;"("&amp;CHOOSE(WEEKDAY($CA268),"日","月","火","水","木","金","土")&amp;")"&amp;" に切れる　"&amp;TEXT($CA268-N('設定'!$C$7),"m/d")&amp;"("&amp;CHOOSE(WEEKDAY($CA268-N('設定'!$C$7)),"日","月","火","水","木","金","土")&amp;")"&amp;" までに発注"))))))))))</f>
        <v/>
      </c>
      <c r="CQ268">
        <f>IF($C268="","",IF(AND($P268="",$Q268="",$S268="",$T268=""),"",IF(AND($P268="",$Q268=""),"⚠ 先に1便目（左の入庫日・入庫数）に入れてください",IF($CI268&lt;&gt;"",$CI268,IF($CJ268&lt;&gt;"",$CJ268,IF($M268="","？ 減り数が未設定（発注書には載ります）",IF($B$3=0,"？ 動員が未入力（発注書には載ります）",IF(AND($CA268&lt;&gt;"",$P268&gt;$CA268),IF($P268&gt;'設定'!$C$6+N('設定'!$C$7),"● "&amp;TEXT($P268,"m/d")&amp;"("&amp;CHOOSE(WEEKDAY($P268),"日","月","火","水","木","金","土")&amp;")"&amp;" の入庫では間に合わない（"&amp;TEXT($CA268,"m/d")&amp;"("&amp;CHOOSE(WEEKDAY($CA268),"日","月","火","水","木","金","土")&amp;")"&amp;" に切れる）　入庫日を早める","△ 欠品 "&amp;TEXT($CA268,"m/d")&amp;"("&amp;CHOOSE(WEEKDAY($CA268),"日","月","火","水","木","金","土")&amp;")"&amp;"〜"&amp;TEXT($P268-1,"m/d")&amp;"("&amp;CHOOSE(WEEKDAY($P268-1),"日","月","火","水","木","金","土")&amp;")"&amp;"　"&amp;$CO268),IF($CC268="","○ "&amp;TEXT($P268,"m/d")&amp;"("&amp;CHOOSE(WEEKDAY($P268),"日","月","火","水","木","金","土")&amp;")"&amp;" 入庫で 14日以上もつ",IF($CC268-N('設定'!$C$7)&lt;='設定'!$C$6,"● 入庫しても "&amp;TEXT($CC268,"m/d")&amp;"("&amp;CHOOSE(WEEKDAY($CC268),"日","月","火","水","木","金","土")&amp;")"&amp;" に切れる　もう1便を至急発注（2便目に入れる）","△ 入庫しても "&amp;TEXT($CC268,"m/d")&amp;"("&amp;CHOOSE(WEEKDAY($CC268),"日","月","火","水","木","金","土")&amp;")"&amp;" に切れる　"&amp;TEXT($CC268-N('設定'!$C$7),"m/d")&amp;"("&amp;CHOOSE(WEEKDAY($CC268-N('設定'!$C$7)),"日","月","火","水","木","金","土")&amp;")"&amp;" までに次を発注（2便目に入れる）"))))))))))</f>
        <v/>
      </c>
      <c r="CR268">
        <f>IF($C268="","",IF($G268&gt;1,"ｹｰｽ("&amp;$G268&amp;"入)","個"))</f>
        <v/>
      </c>
      <c r="CS268">
        <f>IF($C268="",0,IF(COUNTIFS('①在庫を貼る'!$V$6:$V$10005,'設定'!$C$4,'①在庫を貼る'!$W$6:$W$10005,$C268)=0,1,0))</f>
        <v/>
      </c>
      <c r="CT268">
        <f>IF(AND($CK268=1,OR('③発注書'!$C$4="すべて",'③発注書'!$C$4="",$F268='③発注書'!$C$4)),N($CT267)+1,N($CT267))</f>
        <v/>
      </c>
      <c r="CU268">
        <f>IF(AND($CL268=1,OR('③発注書'!$C$4="すべて",'③発注書'!$C$4="",$F268='③発注書'!$C$4)),N($CU267)+1,N($CU267))</f>
        <v/>
      </c>
      <c r="CV268">
        <f>IF($C268="",0,IF(COUNTIFS('①在庫を貼る'!$V$6:$V$10005,'設定'!$C$4,'①在庫を貼る'!$W$6:$W$10005,$C268)&gt;0,1,0))</f>
        <v/>
      </c>
      <c r="CW268">
        <f>IF($C268="",0,IF(COUNTIFS('月1回_1ヶ月前の在庫'!$V$6:$V$10005,'設定'!$C$4,'月1回_1ヶ月前の在庫'!$W$6:$W$10005,$C268)&gt;0,1,0))</f>
        <v/>
      </c>
      <c r="CX268">
        <f>IF($C268="",0,IF(COUNTIFS('月1回_2ヶ月前の在庫'!$V$6:$V$10005,'設定'!$C$4,'月1回_2ヶ月前の在庫'!$W$6:$W$10005,$C268)&gt;0,1,0))</f>
        <v/>
      </c>
      <c r="CY268">
        <f>IF(OR($C268="",'設定'!$C$12=""),"",IF('設定'!$C$13="",IF(AND($CV268=1,$CW268=0),"新商品（今月から）",IF(AND($CV268=0,$CW268=1),"終売（今月から）","")),IF(AND($CV268=1,$CW268=0,$CX268=0),"新商品（今月から）",IF(AND($CV268=1,$CW268=1,$CX268=0),"新商品（先月から）",IF(AND($CV268=0,$CW268=1,$CX268=1),"終売（今月から）",IF(AND($CV268=0,$CW268=0,$CX268=1),"終売（先月から）",IF(AND($CV268=1,$CW268=0,$CX268=1),"復活（先月は無し）","")))))))</f>
        <v/>
      </c>
    </row>
    <row r="269">
      <c r="B269">
        <f>IF(264&lt;='設定'!$C$11,264,"")</f>
        <v/>
      </c>
      <c r="C269">
        <f>IF($B269="","",IF($B269&lt;='設定'!$C$20,INDEX('商品マスタ'!$B$6:$B$1005,MATCH($B269,'商品マスタ'!$M$6:$M$1005,0)),IF($B269&lt;='設定'!$C$20+'設定'!$C$17,INDEX('①在庫を貼る'!$W$6:$W$10005,MATCH($B269-'設定'!$C$20,'①在庫を貼る'!$U$6:$U$10005,0)),IF($B269&lt;='設定'!$C$20+'設定'!$C$17+'設定'!$C$18,INDEX('月1回_1ヶ月前の在庫'!$W$6:$W$10005,MATCH($B269-'設定'!$C$20-'設定'!$C$17,'月1回_1ヶ月前の在庫'!$U$6:$U$10005,0)),INDEX('月1回_2ヶ月前の在庫'!$W$6:$W$10005,MATCH($B269-'設定'!$C$20-'設定'!$C$17-'設定'!$C$18,'月1回_2ヶ月前の在庫'!$U$6:$U$10005,0))))))</f>
        <v/>
      </c>
      <c r="D269">
        <f>IF($C269="","",IFERROR(IF(INDEX('商品マスタ'!$C$6:$C$1005,MATCH($C269,'商品マスタ'!$B$6:$B$1005,0))="",IFERROR(INDEX('①在庫を貼る'!$J$6:$J$10005,MATCH($C269,'①在庫を貼る'!$W$6:$W$10005,0)),IFERROR(INDEX('月1回_1ヶ月前の在庫'!$J$6:$J$10005,MATCH($C269,'月1回_1ヶ月前の在庫'!$W$6:$W$10005,0)),IFERROR(INDEX('月1回_2ヶ月前の在庫'!$J$6:$J$10005,MATCH($C269,'月1回_2ヶ月前の在庫'!$W$6:$W$10005,0)),""))),INDEX('商品マスタ'!$C$6:$C$1005,MATCH($C269,'商品マスタ'!$B$6:$B$1005,0))),IFERROR(INDEX('①在庫を貼る'!$J$6:$J$10005,MATCH($C269,'①在庫を貼る'!$W$6:$W$10005,0)),IFERROR(INDEX('月1回_1ヶ月前の在庫'!$J$6:$J$10005,MATCH($C269,'月1回_1ヶ月前の在庫'!$W$6:$W$10005,0)),IFERROR(INDEX('月1回_2ヶ月前の在庫'!$J$6:$J$10005,MATCH($C269,'月1回_2ヶ月前の在庫'!$W$6:$W$10005,0)),"")))))</f>
        <v/>
      </c>
      <c r="E269">
        <f>IF($C269="","",IFERROR(IF(INDEX('商品マスタ'!$D$6:$D$1005,MATCH($C269,'商品マスタ'!$B$6:$B$1005,0))="",IFERROR(INDEX('①在庫を貼る'!$H$6:$H$10005,MATCH($C269,'①在庫を貼る'!$W$6:$W$10005,0)),IFERROR(INDEX('月1回_1ヶ月前の在庫'!$H$6:$H$10005,MATCH($C269,'月1回_1ヶ月前の在庫'!$W$6:$W$10005,0)),IFERROR(INDEX('月1回_2ヶ月前の在庫'!$H$6:$H$10005,MATCH($C269,'月1回_2ヶ月前の在庫'!$W$6:$W$10005,0)),""))),INDEX('商品マスタ'!$D$6:$D$1005,MATCH($C269,'商品マスタ'!$B$6:$B$1005,0))),IFERROR(INDEX('①在庫を貼る'!$H$6:$H$10005,MATCH($C269,'①在庫を貼る'!$W$6:$W$10005,0)),IFERROR(INDEX('月1回_1ヶ月前の在庫'!$H$6:$H$10005,MATCH($C269,'月1回_1ヶ月前の在庫'!$W$6:$W$10005,0)),IFERROR(INDEX('月1回_2ヶ月前の在庫'!$H$6:$H$10005,MATCH($C269,'月1回_2ヶ月前の在庫'!$W$6:$W$10005,0)),"")))))</f>
        <v/>
      </c>
      <c r="F269">
        <f>IF($C269="","",IFERROR(IF(INDEX('商品マスタ'!$E$6:$E$1005,MATCH($C269,'商品マスタ'!$B$6:$B$1005,0))="",IFERROR(INDEX('①在庫を貼る'!$E$6:$E$10005,MATCH($C269,'①在庫を貼る'!$W$6:$W$10005,0)),IFERROR(INDEX('月1回_1ヶ月前の在庫'!$E$6:$E$10005,MATCH($C269,'月1回_1ヶ月前の在庫'!$W$6:$W$10005,0)),IFERROR(INDEX('月1回_2ヶ月前の在庫'!$E$6:$E$10005,MATCH($C269,'月1回_2ヶ月前の在庫'!$W$6:$W$10005,0)),""))),INDEX('商品マスタ'!$E$6:$E$1005,MATCH($C269,'商品マスタ'!$B$6:$B$1005,0))),IFERROR(INDEX('①在庫を貼る'!$E$6:$E$10005,MATCH($C269,'①在庫を貼る'!$W$6:$W$10005,0)),IFERROR(INDEX('月1回_1ヶ月前の在庫'!$E$6:$E$10005,MATCH($C269,'月1回_1ヶ月前の在庫'!$W$6:$W$10005,0)),IFERROR(INDEX('月1回_2ヶ月前の在庫'!$E$6:$E$10005,MATCH($C269,'月1回_2ヶ月前の在庫'!$W$6:$W$10005,0)),"")))))</f>
        <v/>
      </c>
      <c r="G269">
        <f>IF($C269="","",MAX(1,N(IFERROR(IF(INDEX('商品マスタ'!$F$6:$F$1005,MATCH($C269,'商品マスタ'!$B$6:$B$1005,0))="",IF(COUNTIFS('①在庫を貼る'!$V$6:$V$10005,'設定'!$C$4,'①在庫を貼る'!$W$6:$W$10005,$C269)&gt;0,SUMIFS('①在庫を貼る'!$K$6:$K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K$6:$K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K$6:$K$10005,'月1回_2ヶ月前の在庫'!$V$6:$V$10005,'設定'!$C$4,'月1回_2ヶ月前の在庫'!$W$6:$W$10005,$C269)/COUNTIFS('月1回_2ヶ月前の在庫'!$V$6:$V$10005,'設定'!$C$4,'月1回_2ヶ月前の在庫'!$W$6:$W$10005,$C269),0))),INDEX('商品マスタ'!$F$6:$F$1005,MATCH($C269,'商品マスタ'!$B$6:$B$1005,0))),IF(COUNTIFS('①在庫を貼る'!$V$6:$V$10005,'設定'!$C$4,'①在庫を貼る'!$W$6:$W$10005,$C269)&gt;0,SUMIFS('①在庫を貼る'!$K$6:$K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K$6:$K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K$6:$K$10005,'月1回_2ヶ月前の在庫'!$V$6:$V$10005,'設定'!$C$4,'月1回_2ヶ月前の在庫'!$W$6:$W$10005,$C269)/COUNTIFS('月1回_2ヶ月前の在庫'!$V$6:$V$10005,'設定'!$C$4,'月1回_2ヶ月前の在庫'!$W$6:$W$10005,$C269),0)))))))</f>
        <v/>
      </c>
      <c r="H269">
        <f>IF($C269="","",N(IFERROR(IF(INDEX('商品マスタ'!$G$6:$G$1005,MATCH($C269,'商品マスタ'!$B$6:$B$1005,0))="",IF(COUNTIFS('①在庫を貼る'!$V$6:$V$10005,'設定'!$C$4,'①在庫を貼る'!$W$6:$W$10005,$C269)&gt;0,SUMIFS('①在庫を貼る'!$Q$6:$Q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Q$6:$Q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Q$6:$Q$10005,'月1回_2ヶ月前の在庫'!$V$6:$V$10005,'設定'!$C$4,'月1回_2ヶ月前の在庫'!$W$6:$W$10005,$C269)/COUNTIFS('月1回_2ヶ月前の在庫'!$V$6:$V$10005,'設定'!$C$4,'月1回_2ヶ月前の在庫'!$W$6:$W$10005,$C269),0))),INDEX('商品マスタ'!$G$6:$G$1005,MATCH($C269,'商品マスタ'!$B$6:$B$1005,0))),IF(COUNTIFS('①在庫を貼る'!$V$6:$V$10005,'設定'!$C$4,'①在庫を貼る'!$W$6:$W$10005,$C269)&gt;0,SUMIFS('①在庫を貼る'!$Q$6:$Q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Q$6:$Q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Q$6:$Q$10005,'月1回_2ヶ月前の在庫'!$V$6:$V$10005,'設定'!$C$4,'月1回_2ヶ月前の在庫'!$W$6:$W$10005,$C269)/COUNTIFS('月1回_2ヶ月前の在庫'!$V$6:$V$10005,'設定'!$C$4,'月1回_2ヶ月前の在庫'!$W$6:$W$10005,$C269),0))))))</f>
        <v/>
      </c>
      <c r="I269">
        <f>IF($C269="","",IF(COUNTIFS('①在庫を貼る'!$V$6:$V$10005,'設定'!$C$4,'①在庫を貼る'!$W$6:$W$10005,$C269)=0,"",SUMIFS('①在庫を貼る'!$N$6:$N$10005,'①在庫を貼る'!$V$6:$V$10005,'設定'!$C$4,'①在庫を貼る'!$W$6:$W$10005,$C269)))</f>
        <v/>
      </c>
      <c r="J269">
        <f>IF($C269="","",IF('②発注する'!$AD273="","",'②発注する'!$AD273))</f>
        <v/>
      </c>
      <c r="K269" s="90">
        <f>IF($C269="","",IF('②発注する'!$AE273="","",'②発注する'!$AE273))</f>
        <v/>
      </c>
      <c r="L269">
        <f>IF($C269="","",IF(AND(ISNUMBER($J269),ISNUMBER($K269),$K269&gt;='設定'!$C$6),$J269,N($I269)))</f>
        <v/>
      </c>
      <c r="M269">
        <f>IF($C269="","",IFERROR(IF(N(INDEX('商品マスタ'!$J$6:$J$1005,MATCH($C269,'商品マスタ'!$B$6:$B$1005,0)))&gt;0,INDEX('商品マスタ'!$J$6:$J$1005,MATCH($C269,'商品マスタ'!$B$6:$B$1005,0)),""),""))</f>
        <v/>
      </c>
      <c r="N269">
        <f>IF($C269="","",IFERROR(IF(N(INDEX('商品マスタ'!$H$6:$H$1005,MATCH($C269,'商品マスタ'!$B$6:$B$1005,0)))&gt;0,INDEX('商品マスタ'!$H$6:$H$1005,MATCH($C269,'商品マスタ'!$B$6:$B$1005,0)),""),""))</f>
        <v/>
      </c>
      <c r="O269">
        <f>IF($C269="","",IF($N269&lt;&gt;"",$N269*$G269,IF(N(IF(COUNTIFS('①在庫を貼る'!$V$6:$V$10005,'設定'!$C$4,'①在庫を貼る'!$W$6:$W$10005,$C269)&gt;0,SUMIFS('①在庫を貼る'!$O$6:$O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O$6:$O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O$6:$O$10005,'月1回_2ヶ月前の在庫'!$V$6:$V$10005,'設定'!$C$4,'月1回_2ヶ月前の在庫'!$W$6:$W$10005,$C269)/COUNTIFS('月1回_2ヶ月前の在庫'!$V$6:$V$10005,'設定'!$C$4,'月1回_2ヶ月前の在庫'!$W$6:$W$10005,$C269),0))))&gt;0,N(IF(COUNTIFS('①在庫を貼る'!$V$6:$V$10005,'設定'!$C$4,'①在庫を貼る'!$W$6:$W$10005,$C269)&gt;0,SUMIFS('①在庫を貼る'!$O$6:$O$10005,'①在庫を貼る'!$V$6:$V$10005,'設定'!$C$4,'①在庫を貼る'!$W$6:$W$10005,$C269)/COUNTIFS('①在庫を貼る'!$V$6:$V$10005,'設定'!$C$4,'①在庫を貼る'!$W$6:$W$10005,$C269),IF(COUNTIFS('月1回_1ヶ月前の在庫'!$V$6:$V$10005,'設定'!$C$4,'月1回_1ヶ月前の在庫'!$W$6:$W$10005,$C269)&gt;0,SUMIFS('月1回_1ヶ月前の在庫'!$O$6:$O$10005,'月1回_1ヶ月前の在庫'!$V$6:$V$10005,'設定'!$C$4,'月1回_1ヶ月前の在庫'!$W$6:$W$10005,$C269)/COUNTIFS('月1回_1ヶ月前の在庫'!$V$6:$V$10005,'設定'!$C$4,'月1回_1ヶ月前の在庫'!$W$6:$W$10005,$C269),IF(COUNTIFS('月1回_2ヶ月前の在庫'!$V$6:$V$10005,'設定'!$C$4,'月1回_2ヶ月前の在庫'!$W$6:$W$10005,$C269)&gt;0,SUMIFS('月1回_2ヶ月前の在庫'!$O$6:$O$10005,'月1回_2ヶ月前の在庫'!$V$6:$V$10005,'設定'!$C$4,'月1回_2ヶ月前の在庫'!$W$6:$W$10005,$C269)/COUNTIFS('月1回_2ヶ月前の在庫'!$V$6:$V$10005,'設定'!$C$4,'月1回_2ヶ月前の在庫'!$W$6:$W$10005,$C269),0)))),"")))</f>
        <v/>
      </c>
      <c r="P269" s="90">
        <f>IF($C269="","",IF('②発注する'!$I273="","",'②発注する'!$I273))</f>
        <v/>
      </c>
      <c r="Q269">
        <f>IF($C269="","",IF('②発注する'!$J273="","",'②発注する'!$J273))</f>
        <v/>
      </c>
      <c r="R269">
        <f>IF($C269="",0,IF(AND(ISNUMBER($P269),ISNUMBER($Q269)),MAX(0,$Q269)*$G269,0))</f>
        <v/>
      </c>
      <c r="S269" s="90">
        <f>IF($C269="","",IF('②発注する'!$M273="","",'②発注する'!$M273))</f>
        <v/>
      </c>
      <c r="T269">
        <f>IF($C269="","",IF('②発注する'!$N273="","",'②発注する'!$N273))</f>
        <v/>
      </c>
      <c r="U269">
        <f>IF($C269="",0,IF(AND(ISNUMBER($S269),ISNUMBER($T269)),MAX(0,$T269)*$G269,0))</f>
        <v/>
      </c>
      <c r="V269">
        <f>IF($C269="",0,IF($M269="",0,MAX(0,$M269)*MAX(0,V$4)/100))</f>
        <v/>
      </c>
      <c r="W269">
        <f>IF($C269="",0,IF($M269="",0,MAX(0,$M269)*MAX(0,W$4)/100))</f>
        <v/>
      </c>
      <c r="X269">
        <f>IF($C269="",0,IF($M269="",0,MAX(0,$M269)*MAX(0,X$4)/100))</f>
        <v/>
      </c>
      <c r="Y269">
        <f>IF($C269="",0,IF($M269="",0,MAX(0,$M269)*MAX(0,Y$4)/100))</f>
        <v/>
      </c>
      <c r="Z269">
        <f>IF($C269="",0,IF($M269="",0,MAX(0,$M269)*MAX(0,Z$4)/100))</f>
        <v/>
      </c>
      <c r="AA269">
        <f>IF($C269="",0,IF($M269="",0,MAX(0,$M269)*MAX(0,AA$4)/100))</f>
        <v/>
      </c>
      <c r="AB269">
        <f>IF($C269="",0,IF($M269="",0,MAX(0,$M269)*MAX(0,AB$4)/100))</f>
        <v/>
      </c>
      <c r="AC269">
        <f>IF($C269="",0,IF($M269="",0,MAX(0,$M269)*MAX(0,AC$4)/100))</f>
        <v/>
      </c>
      <c r="AD269">
        <f>IF($C269="",0,IF($M269="",0,MAX(0,$M269)*MAX(0,AD$4)/100))</f>
        <v/>
      </c>
      <c r="AE269">
        <f>IF($C269="",0,IF($M269="",0,MAX(0,$M269)*MAX(0,AE$4)/100))</f>
        <v/>
      </c>
      <c r="AF269">
        <f>IF($C269="",0,IF($M269="",0,MAX(0,$M269)*MAX(0,AF$4)/100))</f>
        <v/>
      </c>
      <c r="AG269">
        <f>IF($C269="",0,IF($M269="",0,MAX(0,$M269)*MAX(0,AG$4)/100))</f>
        <v/>
      </c>
      <c r="AH269">
        <f>IF($C269="",0,IF($M269="",0,MAX(0,$M269)*MAX(0,AH$4)/100))</f>
        <v/>
      </c>
      <c r="AI269">
        <f>IF($C269="",0,IF($M269="",0,MAX(0,$M269)*MAX(0,AI$4)/100))</f>
        <v/>
      </c>
      <c r="AJ269">
        <f>IF($C269="",0,MAX(0,MAX(0,N($L269))-$V269))</f>
        <v/>
      </c>
      <c r="AK269">
        <f>IF($C269="",0,MAX(0,$AJ269-$W269))</f>
        <v/>
      </c>
      <c r="AL269">
        <f>IF($C269="",0,MAX(0,$AK269-$X269))</f>
        <v/>
      </c>
      <c r="AM269">
        <f>IF($C269="",0,MAX(0,$AL269-$Y269))</f>
        <v/>
      </c>
      <c r="AN269">
        <f>IF($C269="",0,MAX(0,$AM269-$Z269))</f>
        <v/>
      </c>
      <c r="AO269">
        <f>IF($C269="",0,MAX(0,$AN269-$AA269))</f>
        <v/>
      </c>
      <c r="AP269">
        <f>IF($C269="",0,MAX(0,$AO269-$AB269))</f>
        <v/>
      </c>
      <c r="AQ269">
        <f>IF($C269="",0,MAX(0,$AP269-$AC269))</f>
        <v/>
      </c>
      <c r="AR269">
        <f>IF($C269="",0,MAX(0,$AQ269-$AD269))</f>
        <v/>
      </c>
      <c r="AS269">
        <f>IF($C269="",0,MAX(0,$AR269-$AE269))</f>
        <v/>
      </c>
      <c r="AT269">
        <f>IF($C269="",0,MAX(0,$AS269-$AF269))</f>
        <v/>
      </c>
      <c r="AU269">
        <f>IF($C269="",0,MAX(0,$AT269-$AG269))</f>
        <v/>
      </c>
      <c r="AV269">
        <f>IF($C269="",0,MAX(0,$AU269-$AH269))</f>
        <v/>
      </c>
      <c r="AW269">
        <f>IF($C269="",0,MAX(0,$AV269-$AI269))</f>
        <v/>
      </c>
      <c r="AX269">
        <f>IF($C269="",0,MAX(0,MAX(0,N($L269))+IF($P269=V$3,$R269,0)+IF($S269=V$3,$U269,0)-$V269))</f>
        <v/>
      </c>
      <c r="AY269">
        <f>IF($C269="",0,MAX(0,$AX269+IF($P269=W$3,$R269,0)+IF($S269=W$3,$U269,0)-$W269))</f>
        <v/>
      </c>
      <c r="AZ269">
        <f>IF($C269="",0,MAX(0,$AY269+IF($P269=X$3,$R269,0)+IF($S269=X$3,$U269,0)-$X269))</f>
        <v/>
      </c>
      <c r="BA269">
        <f>IF($C269="",0,MAX(0,$AZ269+IF($P269=Y$3,$R269,0)+IF($S269=Y$3,$U269,0)-$Y269))</f>
        <v/>
      </c>
      <c r="BB269">
        <f>IF($C269="",0,MAX(0,$BA269+IF($P269=Z$3,$R269,0)+IF($S269=Z$3,$U269,0)-$Z269))</f>
        <v/>
      </c>
      <c r="BC269">
        <f>IF($C269="",0,MAX(0,$BB269+IF($P269=AA$3,$R269,0)+IF($S269=AA$3,$U269,0)-$AA269))</f>
        <v/>
      </c>
      <c r="BD269">
        <f>IF($C269="",0,MAX(0,$BC269+IF($P269=AB$3,$R269,0)+IF($S269=AB$3,$U269,0)-$AB269))</f>
        <v/>
      </c>
      <c r="BE269">
        <f>IF($C269="",0,MAX(0,$BD269+IF($P269=AC$3,$R269,0)+IF($S269=AC$3,$U269,0)-$AC269))</f>
        <v/>
      </c>
      <c r="BF269">
        <f>IF($C269="",0,MAX(0,$BE269+IF($P269=AD$3,$R269,0)+IF($S269=AD$3,$U269,0)-$AD269))</f>
        <v/>
      </c>
      <c r="BG269">
        <f>IF($C269="",0,MAX(0,$BF269+IF($P269=AE$3,$R269,0)+IF($S269=AE$3,$U269,0)-$AE269))</f>
        <v/>
      </c>
      <c r="BH269">
        <f>IF($C269="",0,MAX(0,$BG269+IF($P269=AF$3,$R269,0)+IF($S269=AF$3,$U269,0)-$AF269))</f>
        <v/>
      </c>
      <c r="BI269">
        <f>IF($C269="",0,MAX(0,$BH269+IF($P269=AG$3,$R269,0)+IF($S269=AG$3,$U269,0)-$AG269))</f>
        <v/>
      </c>
      <c r="BJ269">
        <f>IF($C269="",0,MAX(0,$BI269+IF($P269=AH$3,$R269,0)+IF($S269=AH$3,$U269,0)-$AH269))</f>
        <v/>
      </c>
      <c r="BK269">
        <f>IF($C269="",0,MAX(0,$BJ269+IF($P269=AI$3,$R269,0)+IF($S269=AI$3,$U269,0)-$AI269))</f>
        <v/>
      </c>
      <c r="BL269">
        <f>IF($C269="",99,IF(AND($AX269&lt;1,V$3&gt;=MAX(N($P269),N($S269))),0,99))</f>
        <v/>
      </c>
      <c r="BM269">
        <f>IF($C269="",99,IF(AND($AY269&lt;1,W$3&gt;=MAX(N($P269),N($S269))),1,99))</f>
        <v/>
      </c>
      <c r="BN269">
        <f>IF($C269="",99,IF(AND($AZ269&lt;1,X$3&gt;=MAX(N($P269),N($S269))),2,99))</f>
        <v/>
      </c>
      <c r="BO269">
        <f>IF($C269="",99,IF(AND($BA269&lt;1,Y$3&gt;=MAX(N($P269),N($S269))),3,99))</f>
        <v/>
      </c>
      <c r="BP269">
        <f>IF($C269="",99,IF(AND($BB269&lt;1,Z$3&gt;=MAX(N($P269),N($S269))),4,99))</f>
        <v/>
      </c>
      <c r="BQ269">
        <f>IF($C269="",99,IF(AND($BC269&lt;1,AA$3&gt;=MAX(N($P269),N($S269))),5,99))</f>
        <v/>
      </c>
      <c r="BR269">
        <f>IF($C269="",99,IF(AND($BD269&lt;1,AB$3&gt;=MAX(N($P269),N($S269))),6,99))</f>
        <v/>
      </c>
      <c r="BS269">
        <f>IF($C269="",99,IF(AND($BE269&lt;1,AC$3&gt;=MAX(N($P269),N($S269))),7,99))</f>
        <v/>
      </c>
      <c r="BT269">
        <f>IF($C269="",99,IF(AND($BF269&lt;1,AD$3&gt;=MAX(N($P269),N($S269))),8,99))</f>
        <v/>
      </c>
      <c r="BU269">
        <f>IF($C269="",99,IF(AND($BG269&lt;1,AE$3&gt;=MAX(N($P269),N($S269))),9,99))</f>
        <v/>
      </c>
      <c r="BV269">
        <f>IF($C269="",99,IF(AND($BH269&lt;1,AF$3&gt;=MAX(N($P269),N($S269))),10,99))</f>
        <v/>
      </c>
      <c r="BW269">
        <f>IF($C269="",99,IF(AND($BI269&lt;1,AG$3&gt;=MAX(N($P269),N($S269))),11,99))</f>
        <v/>
      </c>
      <c r="BX269">
        <f>IF($C269="",99,IF(AND($BJ269&lt;1,AH$3&gt;=MAX(N($P269),N($S269))),12,99))</f>
        <v/>
      </c>
      <c r="BY269">
        <f>IF($C269="",99,IF(AND($BK269&lt;1,AI$3&gt;=MAX(N($P269),N($S269))),13,99))</f>
        <v/>
      </c>
      <c r="BZ269">
        <f>IF(OR($C269="",$M269=""),"",COUNTIF($AJ269:$AW269,"&gt;=1"))</f>
        <v/>
      </c>
      <c r="CA269" s="90">
        <f>IF($BZ269="","",IF($BZ269&gt;=14,"",'設定'!$C$6+$BZ269))</f>
        <v/>
      </c>
      <c r="CB269">
        <f>IF(OR($C269="",$M269=""),"",MIN($BL269:$BY269))</f>
        <v/>
      </c>
      <c r="CC269" s="90">
        <f>IF($CB269="","",IF($CB269&gt;=99,"",'設定'!$C$6+$CB269))</f>
        <v/>
      </c>
      <c r="CD269">
        <f>IF(OR($C269="",$M269=""),"",AVERAGE($V269:$AI269))</f>
        <v/>
      </c>
      <c r="CE269">
        <f>IF($C269="","",IFERROR(IF(MATCH(IF(ISNUMBER($P269),$P269,'設定'!$C$6+N('設定'!$C$7)),$V$3:$AI$3,0)=1,MAX(0,N($L269)),INDEX($AJ269:$AW269,MATCH(IF(ISNUMBER($P269),$P269,'設定'!$C$6+N('設定'!$C$7)),$V$3:$AI$3,0)-1)),""))</f>
        <v/>
      </c>
      <c r="CF269">
        <f>IF(OR($C269="",$O269="",$CE269=""),"",IF($O269-$CE269&lt;=0,0,ROUNDUP(($O269-$CE269)/$G269,0)))</f>
        <v/>
      </c>
      <c r="CG269">
        <f>IF(OR($C269="",$CF269="",NOT(ISNUMBER($Q269))),0,MAX(0,$Q269-$CF269))</f>
        <v/>
      </c>
      <c r="CH269">
        <f>IF(OR($C269="",$O269="",$U269=0),0,IFERROR(ROUNDUP(MAX(0,IF(MATCH($S269,$V$3:$AI$3,0)=1,MAX(0,N($L269)),INDEX($AX269:$BK269,MATCH($S269,$V$3:$AI$3,0)-1))+$U269-$O269)/$G269,0),0))</f>
        <v/>
      </c>
      <c r="CI269">
        <f>IF($C269="","",IF(AND($P269="",$Q269=""),"",IF($P269="","⚠ 入庫日を ▼ から選んでください",IF(NOT(ISNUMBER($P269)),"⚠ 入庫日は ▼ から選んでください",IF($P269&lt;N('設定'!$C$6),"⚠ 入庫日が過去です（もう在庫に入っています）→ 消してください",IF($P269&gt;N('設定'!$C$6)+13,"⚠ 入庫日が14日より先です",IF(N($Q269)&lt;=0,"⚠ 入庫数を入れてください",IF($CG269&gt;0,"⚠ 目安より "&amp;$CG269&amp;" 多い（定数を超える）→ 減らす",""))))))))</f>
        <v/>
      </c>
      <c r="CJ269">
        <f>IF($C269="","",IF(AND($S269="",$T269=""),"",IF($S269="","⚠ 2便目：入庫日を ▼ から選んでください",IF(NOT(ISNUMBER($S269)),"⚠ 2便目：入庫日は ▼ から選んでください",IF($S269&lt;N('設定'!$C$6),"⚠ 2便目：入庫日が過去です（もう在庫に入っています）→ 消してください",IF($S269&gt;N('設定'!$C$6)+13,"⚠ 2便目：入庫日が14日より先です",IF(N($T269)&lt;=0,"⚠ 2便目：入庫数を入れてください",IF($CH269&gt;0,"⚠ 2便目：定数を "&amp;$CH269&amp;" ケース超える → 減らす",""))))))))</f>
        <v/>
      </c>
      <c r="CK269">
        <f>IF(AND($CI269="",N($Q269)&gt;0,ISNUMBER($P269)),1,0)</f>
        <v/>
      </c>
      <c r="CL269">
        <f>IF(AND($CJ269="",N($T269)&gt;0,ISNUMBER($S269)),1,0)</f>
        <v/>
      </c>
      <c r="CM269">
        <f>IF(OR($CK269=1,$CL269=1),1,0)</f>
        <v/>
      </c>
      <c r="CN269">
        <f>IF($C269="",0,($CK269*$R269+$CL269*$U269)*N($H269))</f>
        <v/>
      </c>
      <c r="CO269">
        <f>IF($C269="","",IF($CC269="","入庫後は 14日以上もつ",IF($CC269-N('設定'!$C$7)&lt;='設定'!$C$6,"入庫後も "&amp;TEXT($CC269,"m/d")&amp;"("&amp;CHOOSE(WEEKDAY($CC269),"日","月","火","水","木","金","土")&amp;")"&amp;" に切れる　もう1便を至急発注","入庫後も "&amp;TEXT($CC269,"m/d")&amp;"("&amp;CHOOSE(WEEKDAY($CC269),"日","月","火","水","木","金","土")&amp;")"&amp;" に切れる　"&amp;TEXT($CC269-N('設定'!$C$7),"m/d")&amp;"("&amp;CHOOSE(WEEKDAY($CC269-N('設定'!$C$7)),"日","月","火","水","木","金","土")&amp;")"&amp;" までに次を発注")))</f>
        <v/>
      </c>
      <c r="CP269">
        <f>IF($C269="","",IF('設定'!$C$6="","？ ①在庫を貼る に今日のCSVが貼られていない",IF($CS269=1,"－ 今日のCSVに無い（終売？）",IF($L269&lt;0,"● 在庫がマイナス　数えて「数えた在庫」に入れる",IF($L269=0,"● 在庫なし　至急発注",IF($M269="","？ 減り数が未設定（商品マスタ）",IF($B$3=0,"？ 動員が未入力（動員を入れる）",IF($CA269="","○ 14日以上もつ",IF($BZ269&lt;N('設定'!$C$7),"● "&amp;TEXT($CA269,"m/d")&amp;"("&amp;CHOOSE(WEEKDAY($CA269),"日","月","火","水","木","金","土")&amp;")"&amp;" に切れる　至急発注",IF($BZ269=N('設定'!$C$7),"● "&amp;TEXT($CA269,"m/d")&amp;"("&amp;CHOOSE(WEEKDAY($CA269),"日","月","火","水","木","金","土")&amp;")"&amp;" に切れる　今日発注","△ "&amp;TEXT($CA269,"m/d")&amp;"("&amp;CHOOSE(WEEKDAY($CA269),"日","月","火","水","木","金","土")&amp;")"&amp;" に切れる　"&amp;TEXT($CA269-N('設定'!$C$7),"m/d")&amp;"("&amp;CHOOSE(WEEKDAY($CA269-N('設定'!$C$7)),"日","月","火","水","木","金","土")&amp;")"&amp;" までに発注"))))))))))</f>
        <v/>
      </c>
      <c r="CQ269">
        <f>IF($C269="","",IF(AND($P269="",$Q269="",$S269="",$T269=""),"",IF(AND($P269="",$Q269=""),"⚠ 先に1便目（左の入庫日・入庫数）に入れてください",IF($CI269&lt;&gt;"",$CI269,IF($CJ269&lt;&gt;"",$CJ269,IF($M269="","？ 減り数が未設定（発注書には載ります）",IF($B$3=0,"？ 動員が未入力（発注書には載ります）",IF(AND($CA269&lt;&gt;"",$P269&gt;$CA269),IF($P269&gt;'設定'!$C$6+N('設定'!$C$7),"● "&amp;TEXT($P269,"m/d")&amp;"("&amp;CHOOSE(WEEKDAY($P269),"日","月","火","水","木","金","土")&amp;")"&amp;" の入庫では間に合わない（"&amp;TEXT($CA269,"m/d")&amp;"("&amp;CHOOSE(WEEKDAY($CA269),"日","月","火","水","木","金","土")&amp;")"&amp;" に切れる）　入庫日を早める","△ 欠品 "&amp;TEXT($CA269,"m/d")&amp;"("&amp;CHOOSE(WEEKDAY($CA269),"日","月","火","水","木","金","土")&amp;")"&amp;"〜"&amp;TEXT($P269-1,"m/d")&amp;"("&amp;CHOOSE(WEEKDAY($P269-1),"日","月","火","水","木","金","土")&amp;")"&amp;"　"&amp;$CO269),IF($CC269="","○ "&amp;TEXT($P269,"m/d")&amp;"("&amp;CHOOSE(WEEKDAY($P269),"日","月","火","水","木","金","土")&amp;")"&amp;" 入庫で 14日以上もつ",IF($CC269-N('設定'!$C$7)&lt;='設定'!$C$6,"● 入庫しても "&amp;TEXT($CC269,"m/d")&amp;"("&amp;CHOOSE(WEEKDAY($CC269),"日","月","火","水","木","金","土")&amp;")"&amp;" に切れる　もう1便を至急発注（2便目に入れる）","△ 入庫しても "&amp;TEXT($CC269,"m/d")&amp;"("&amp;CHOOSE(WEEKDAY($CC269),"日","月","火","水","木","金","土")&amp;")"&amp;" に切れる　"&amp;TEXT($CC269-N('設定'!$C$7),"m/d")&amp;"("&amp;CHOOSE(WEEKDAY($CC269-N('設定'!$C$7)),"日","月","火","水","木","金","土")&amp;")"&amp;" までに次を発注（2便目に入れる）"))))))))))</f>
        <v/>
      </c>
      <c r="CR269">
        <f>IF($C269="","",IF($G269&gt;1,"ｹｰｽ("&amp;$G269&amp;"入)","個"))</f>
        <v/>
      </c>
      <c r="CS269">
        <f>IF($C269="",0,IF(COUNTIFS('①在庫を貼る'!$V$6:$V$10005,'設定'!$C$4,'①在庫を貼る'!$W$6:$W$10005,$C269)=0,1,0))</f>
        <v/>
      </c>
      <c r="CT269">
        <f>IF(AND($CK269=1,OR('③発注書'!$C$4="すべて",'③発注書'!$C$4="",$F269='③発注書'!$C$4)),N($CT268)+1,N($CT268))</f>
        <v/>
      </c>
      <c r="CU269">
        <f>IF(AND($CL269=1,OR('③発注書'!$C$4="すべて",'③発注書'!$C$4="",$F269='③発注書'!$C$4)),N($CU268)+1,N($CU268))</f>
        <v/>
      </c>
      <c r="CV269">
        <f>IF($C269="",0,IF(COUNTIFS('①在庫を貼る'!$V$6:$V$10005,'設定'!$C$4,'①在庫を貼る'!$W$6:$W$10005,$C269)&gt;0,1,0))</f>
        <v/>
      </c>
      <c r="CW269">
        <f>IF($C269="",0,IF(COUNTIFS('月1回_1ヶ月前の在庫'!$V$6:$V$10005,'設定'!$C$4,'月1回_1ヶ月前の在庫'!$W$6:$W$10005,$C269)&gt;0,1,0))</f>
        <v/>
      </c>
      <c r="CX269">
        <f>IF($C269="",0,IF(COUNTIFS('月1回_2ヶ月前の在庫'!$V$6:$V$10005,'設定'!$C$4,'月1回_2ヶ月前の在庫'!$W$6:$W$10005,$C269)&gt;0,1,0))</f>
        <v/>
      </c>
      <c r="CY269">
        <f>IF(OR($C269="",'設定'!$C$12=""),"",IF('設定'!$C$13="",IF(AND($CV269=1,$CW269=0),"新商品（今月から）",IF(AND($CV269=0,$CW269=1),"終売（今月から）","")),IF(AND($CV269=1,$CW269=0,$CX269=0),"新商品（今月から）",IF(AND($CV269=1,$CW269=1,$CX269=0),"新商品（先月から）",IF(AND($CV269=0,$CW269=1,$CX269=1),"終売（今月から）",IF(AND($CV269=0,$CW269=0,$CX269=1),"終売（先月から）",IF(AND($CV269=1,$CW269=0,$CX269=1),"復活（先月は無し）","")))))))</f>
        <v/>
      </c>
    </row>
    <row r="270">
      <c r="B270">
        <f>IF(265&lt;='設定'!$C$11,265,"")</f>
        <v/>
      </c>
      <c r="C270">
        <f>IF($B270="","",IF($B270&lt;='設定'!$C$20,INDEX('商品マスタ'!$B$6:$B$1005,MATCH($B270,'商品マスタ'!$M$6:$M$1005,0)),IF($B270&lt;='設定'!$C$20+'設定'!$C$17,INDEX('①在庫を貼る'!$W$6:$W$10005,MATCH($B270-'設定'!$C$20,'①在庫を貼る'!$U$6:$U$10005,0)),IF($B270&lt;='設定'!$C$20+'設定'!$C$17+'設定'!$C$18,INDEX('月1回_1ヶ月前の在庫'!$W$6:$W$10005,MATCH($B270-'設定'!$C$20-'設定'!$C$17,'月1回_1ヶ月前の在庫'!$U$6:$U$10005,0)),INDEX('月1回_2ヶ月前の在庫'!$W$6:$W$10005,MATCH($B270-'設定'!$C$20-'設定'!$C$17-'設定'!$C$18,'月1回_2ヶ月前の在庫'!$U$6:$U$10005,0))))))</f>
        <v/>
      </c>
      <c r="D270">
        <f>IF($C270="","",IFERROR(IF(INDEX('商品マスタ'!$C$6:$C$1005,MATCH($C270,'商品マスタ'!$B$6:$B$1005,0))="",IFERROR(INDEX('①在庫を貼る'!$J$6:$J$10005,MATCH($C270,'①在庫を貼る'!$W$6:$W$10005,0)),IFERROR(INDEX('月1回_1ヶ月前の在庫'!$J$6:$J$10005,MATCH($C270,'月1回_1ヶ月前の在庫'!$W$6:$W$10005,0)),IFERROR(INDEX('月1回_2ヶ月前の在庫'!$J$6:$J$10005,MATCH($C270,'月1回_2ヶ月前の在庫'!$W$6:$W$10005,0)),""))),INDEX('商品マスタ'!$C$6:$C$1005,MATCH($C270,'商品マスタ'!$B$6:$B$1005,0))),IFERROR(INDEX('①在庫を貼る'!$J$6:$J$10005,MATCH($C270,'①在庫を貼る'!$W$6:$W$10005,0)),IFERROR(INDEX('月1回_1ヶ月前の在庫'!$J$6:$J$10005,MATCH($C270,'月1回_1ヶ月前の在庫'!$W$6:$W$10005,0)),IFERROR(INDEX('月1回_2ヶ月前の在庫'!$J$6:$J$10005,MATCH($C270,'月1回_2ヶ月前の在庫'!$W$6:$W$10005,0)),"")))))</f>
        <v/>
      </c>
      <c r="E270">
        <f>IF($C270="","",IFERROR(IF(INDEX('商品マスタ'!$D$6:$D$1005,MATCH($C270,'商品マスタ'!$B$6:$B$1005,0))="",IFERROR(INDEX('①在庫を貼る'!$H$6:$H$10005,MATCH($C270,'①在庫を貼る'!$W$6:$W$10005,0)),IFERROR(INDEX('月1回_1ヶ月前の在庫'!$H$6:$H$10005,MATCH($C270,'月1回_1ヶ月前の在庫'!$W$6:$W$10005,0)),IFERROR(INDEX('月1回_2ヶ月前の在庫'!$H$6:$H$10005,MATCH($C270,'月1回_2ヶ月前の在庫'!$W$6:$W$10005,0)),""))),INDEX('商品マスタ'!$D$6:$D$1005,MATCH($C270,'商品マスタ'!$B$6:$B$1005,0))),IFERROR(INDEX('①在庫を貼る'!$H$6:$H$10005,MATCH($C270,'①在庫を貼る'!$W$6:$W$10005,0)),IFERROR(INDEX('月1回_1ヶ月前の在庫'!$H$6:$H$10005,MATCH($C270,'月1回_1ヶ月前の在庫'!$W$6:$W$10005,0)),IFERROR(INDEX('月1回_2ヶ月前の在庫'!$H$6:$H$10005,MATCH($C270,'月1回_2ヶ月前の在庫'!$W$6:$W$10005,0)),"")))))</f>
        <v/>
      </c>
      <c r="F270">
        <f>IF($C270="","",IFERROR(IF(INDEX('商品マスタ'!$E$6:$E$1005,MATCH($C270,'商品マスタ'!$B$6:$B$1005,0))="",IFERROR(INDEX('①在庫を貼る'!$E$6:$E$10005,MATCH($C270,'①在庫を貼る'!$W$6:$W$10005,0)),IFERROR(INDEX('月1回_1ヶ月前の在庫'!$E$6:$E$10005,MATCH($C270,'月1回_1ヶ月前の在庫'!$W$6:$W$10005,0)),IFERROR(INDEX('月1回_2ヶ月前の在庫'!$E$6:$E$10005,MATCH($C270,'月1回_2ヶ月前の在庫'!$W$6:$W$10005,0)),""))),INDEX('商品マスタ'!$E$6:$E$1005,MATCH($C270,'商品マスタ'!$B$6:$B$1005,0))),IFERROR(INDEX('①在庫を貼る'!$E$6:$E$10005,MATCH($C270,'①在庫を貼る'!$W$6:$W$10005,0)),IFERROR(INDEX('月1回_1ヶ月前の在庫'!$E$6:$E$10005,MATCH($C270,'月1回_1ヶ月前の在庫'!$W$6:$W$10005,0)),IFERROR(INDEX('月1回_2ヶ月前の在庫'!$E$6:$E$10005,MATCH($C270,'月1回_2ヶ月前の在庫'!$W$6:$W$10005,0)),"")))))</f>
        <v/>
      </c>
      <c r="G270">
        <f>IF($C270="","",MAX(1,N(IFERROR(IF(INDEX('商品マスタ'!$F$6:$F$1005,MATCH($C270,'商品マスタ'!$B$6:$B$1005,0))="",IF(COUNTIFS('①在庫を貼る'!$V$6:$V$10005,'設定'!$C$4,'①在庫を貼る'!$W$6:$W$10005,$C270)&gt;0,SUMIFS('①在庫を貼る'!$K$6:$K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K$6:$K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K$6:$K$10005,'月1回_2ヶ月前の在庫'!$V$6:$V$10005,'設定'!$C$4,'月1回_2ヶ月前の在庫'!$W$6:$W$10005,$C270)/COUNTIFS('月1回_2ヶ月前の在庫'!$V$6:$V$10005,'設定'!$C$4,'月1回_2ヶ月前の在庫'!$W$6:$W$10005,$C270),0))),INDEX('商品マスタ'!$F$6:$F$1005,MATCH($C270,'商品マスタ'!$B$6:$B$1005,0))),IF(COUNTIFS('①在庫を貼る'!$V$6:$V$10005,'設定'!$C$4,'①在庫を貼る'!$W$6:$W$10005,$C270)&gt;0,SUMIFS('①在庫を貼る'!$K$6:$K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K$6:$K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K$6:$K$10005,'月1回_2ヶ月前の在庫'!$V$6:$V$10005,'設定'!$C$4,'月1回_2ヶ月前の在庫'!$W$6:$W$10005,$C270)/COUNTIFS('月1回_2ヶ月前の在庫'!$V$6:$V$10005,'設定'!$C$4,'月1回_2ヶ月前の在庫'!$W$6:$W$10005,$C270),0)))))))</f>
        <v/>
      </c>
      <c r="H270">
        <f>IF($C270="","",N(IFERROR(IF(INDEX('商品マスタ'!$G$6:$G$1005,MATCH($C270,'商品マスタ'!$B$6:$B$1005,0))="",IF(COUNTIFS('①在庫を貼る'!$V$6:$V$10005,'設定'!$C$4,'①在庫を貼る'!$W$6:$W$10005,$C270)&gt;0,SUMIFS('①在庫を貼る'!$Q$6:$Q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Q$6:$Q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Q$6:$Q$10005,'月1回_2ヶ月前の在庫'!$V$6:$V$10005,'設定'!$C$4,'月1回_2ヶ月前の在庫'!$W$6:$W$10005,$C270)/COUNTIFS('月1回_2ヶ月前の在庫'!$V$6:$V$10005,'設定'!$C$4,'月1回_2ヶ月前の在庫'!$W$6:$W$10005,$C270),0))),INDEX('商品マスタ'!$G$6:$G$1005,MATCH($C270,'商品マスタ'!$B$6:$B$1005,0))),IF(COUNTIFS('①在庫を貼る'!$V$6:$V$10005,'設定'!$C$4,'①在庫を貼る'!$W$6:$W$10005,$C270)&gt;0,SUMIFS('①在庫を貼る'!$Q$6:$Q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Q$6:$Q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Q$6:$Q$10005,'月1回_2ヶ月前の在庫'!$V$6:$V$10005,'設定'!$C$4,'月1回_2ヶ月前の在庫'!$W$6:$W$10005,$C270)/COUNTIFS('月1回_2ヶ月前の在庫'!$V$6:$V$10005,'設定'!$C$4,'月1回_2ヶ月前の在庫'!$W$6:$W$10005,$C270),0))))))</f>
        <v/>
      </c>
      <c r="I270">
        <f>IF($C270="","",IF(COUNTIFS('①在庫を貼る'!$V$6:$V$10005,'設定'!$C$4,'①在庫を貼る'!$W$6:$W$10005,$C270)=0,"",SUMIFS('①在庫を貼る'!$N$6:$N$10005,'①在庫を貼る'!$V$6:$V$10005,'設定'!$C$4,'①在庫を貼る'!$W$6:$W$10005,$C270)))</f>
        <v/>
      </c>
      <c r="J270">
        <f>IF($C270="","",IF('②発注する'!$AD274="","",'②発注する'!$AD274))</f>
        <v/>
      </c>
      <c r="K270" s="90">
        <f>IF($C270="","",IF('②発注する'!$AE274="","",'②発注する'!$AE274))</f>
        <v/>
      </c>
      <c r="L270">
        <f>IF($C270="","",IF(AND(ISNUMBER($J270),ISNUMBER($K270),$K270&gt;='設定'!$C$6),$J270,N($I270)))</f>
        <v/>
      </c>
      <c r="M270">
        <f>IF($C270="","",IFERROR(IF(N(INDEX('商品マスタ'!$J$6:$J$1005,MATCH($C270,'商品マスタ'!$B$6:$B$1005,0)))&gt;0,INDEX('商品マスタ'!$J$6:$J$1005,MATCH($C270,'商品マスタ'!$B$6:$B$1005,0)),""),""))</f>
        <v/>
      </c>
      <c r="N270">
        <f>IF($C270="","",IFERROR(IF(N(INDEX('商品マスタ'!$H$6:$H$1005,MATCH($C270,'商品マスタ'!$B$6:$B$1005,0)))&gt;0,INDEX('商品マスタ'!$H$6:$H$1005,MATCH($C270,'商品マスタ'!$B$6:$B$1005,0)),""),""))</f>
        <v/>
      </c>
      <c r="O270">
        <f>IF($C270="","",IF($N270&lt;&gt;"",$N270*$G270,IF(N(IF(COUNTIFS('①在庫を貼る'!$V$6:$V$10005,'設定'!$C$4,'①在庫を貼る'!$W$6:$W$10005,$C270)&gt;0,SUMIFS('①在庫を貼る'!$O$6:$O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O$6:$O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O$6:$O$10005,'月1回_2ヶ月前の在庫'!$V$6:$V$10005,'設定'!$C$4,'月1回_2ヶ月前の在庫'!$W$6:$W$10005,$C270)/COUNTIFS('月1回_2ヶ月前の在庫'!$V$6:$V$10005,'設定'!$C$4,'月1回_2ヶ月前の在庫'!$W$6:$W$10005,$C270),0))))&gt;0,N(IF(COUNTIFS('①在庫を貼る'!$V$6:$V$10005,'設定'!$C$4,'①在庫を貼る'!$W$6:$W$10005,$C270)&gt;0,SUMIFS('①在庫を貼る'!$O$6:$O$10005,'①在庫を貼る'!$V$6:$V$10005,'設定'!$C$4,'①在庫を貼る'!$W$6:$W$10005,$C270)/COUNTIFS('①在庫を貼る'!$V$6:$V$10005,'設定'!$C$4,'①在庫を貼る'!$W$6:$W$10005,$C270),IF(COUNTIFS('月1回_1ヶ月前の在庫'!$V$6:$V$10005,'設定'!$C$4,'月1回_1ヶ月前の在庫'!$W$6:$W$10005,$C270)&gt;0,SUMIFS('月1回_1ヶ月前の在庫'!$O$6:$O$10005,'月1回_1ヶ月前の在庫'!$V$6:$V$10005,'設定'!$C$4,'月1回_1ヶ月前の在庫'!$W$6:$W$10005,$C270)/COUNTIFS('月1回_1ヶ月前の在庫'!$V$6:$V$10005,'設定'!$C$4,'月1回_1ヶ月前の在庫'!$W$6:$W$10005,$C270),IF(COUNTIFS('月1回_2ヶ月前の在庫'!$V$6:$V$10005,'設定'!$C$4,'月1回_2ヶ月前の在庫'!$W$6:$W$10005,$C270)&gt;0,SUMIFS('月1回_2ヶ月前の在庫'!$O$6:$O$10005,'月1回_2ヶ月前の在庫'!$V$6:$V$10005,'設定'!$C$4,'月1回_2ヶ月前の在庫'!$W$6:$W$10005,$C270)/COUNTIFS('月1回_2ヶ月前の在庫'!$V$6:$V$10005,'設定'!$C$4,'月1回_2ヶ月前の在庫'!$W$6:$W$10005,$C270),0)))),"")))</f>
        <v/>
      </c>
      <c r="P270" s="90">
        <f>IF($C270="","",IF('②発注する'!$I274="","",'②発注する'!$I274))</f>
        <v/>
      </c>
      <c r="Q270">
        <f>IF($C270="","",IF('②発注する'!$J274="","",'②発注する'!$J274))</f>
        <v/>
      </c>
      <c r="R270">
        <f>IF($C270="",0,IF(AND(ISNUMBER($P270),ISNUMBER($Q270)),MAX(0,$Q270)*$G270,0))</f>
        <v/>
      </c>
      <c r="S270" s="90">
        <f>IF($C270="","",IF('②発注する'!$M274="","",'②発注する'!$M274))</f>
        <v/>
      </c>
      <c r="T270">
        <f>IF($C270="","",IF('②発注する'!$N274="","",'②発注する'!$N274))</f>
        <v/>
      </c>
      <c r="U270">
        <f>IF($C270="",0,IF(AND(ISNUMBER($S270),ISNUMBER($T270)),MAX(0,$T270)*$G270,0))</f>
        <v/>
      </c>
      <c r="V270">
        <f>IF($C270="",0,IF($M270="",0,MAX(0,$M270)*MAX(0,V$4)/100))</f>
        <v/>
      </c>
      <c r="W270">
        <f>IF($C270="",0,IF($M270="",0,MAX(0,$M270)*MAX(0,W$4)/100))</f>
        <v/>
      </c>
      <c r="X270">
        <f>IF($C270="",0,IF($M270="",0,MAX(0,$M270)*MAX(0,X$4)/100))</f>
        <v/>
      </c>
      <c r="Y270">
        <f>IF($C270="",0,IF($M270="",0,MAX(0,$M270)*MAX(0,Y$4)/100))</f>
        <v/>
      </c>
      <c r="Z270">
        <f>IF($C270="",0,IF($M270="",0,MAX(0,$M270)*MAX(0,Z$4)/100))</f>
        <v/>
      </c>
      <c r="AA270">
        <f>IF($C270="",0,IF($M270="",0,MAX(0,$M270)*MAX(0,AA$4)/100))</f>
        <v/>
      </c>
      <c r="AB270">
        <f>IF($C270="",0,IF($M270="",0,MAX(0,$M270)*MAX(0,AB$4)/100))</f>
        <v/>
      </c>
      <c r="AC270">
        <f>IF($C270="",0,IF($M270="",0,MAX(0,$M270)*MAX(0,AC$4)/100))</f>
        <v/>
      </c>
      <c r="AD270">
        <f>IF($C270="",0,IF($M270="",0,MAX(0,$M270)*MAX(0,AD$4)/100))</f>
        <v/>
      </c>
      <c r="AE270">
        <f>IF($C270="",0,IF($M270="",0,MAX(0,$M270)*MAX(0,AE$4)/100))</f>
        <v/>
      </c>
      <c r="AF270">
        <f>IF($C270="",0,IF($M270="",0,MAX(0,$M270)*MAX(0,AF$4)/100))</f>
        <v/>
      </c>
      <c r="AG270">
        <f>IF($C270="",0,IF($M270="",0,MAX(0,$M270)*MAX(0,AG$4)/100))</f>
        <v/>
      </c>
      <c r="AH270">
        <f>IF($C270="",0,IF($M270="",0,MAX(0,$M270)*MAX(0,AH$4)/100))</f>
        <v/>
      </c>
      <c r="AI270">
        <f>IF($C270="",0,IF($M270="",0,MAX(0,$M270)*MAX(0,AI$4)/100))</f>
        <v/>
      </c>
      <c r="AJ270">
        <f>IF($C270="",0,MAX(0,MAX(0,N($L270))-$V270))</f>
        <v/>
      </c>
      <c r="AK270">
        <f>IF($C270="",0,MAX(0,$AJ270-$W270))</f>
        <v/>
      </c>
      <c r="AL270">
        <f>IF($C270="",0,MAX(0,$AK270-$X270))</f>
        <v/>
      </c>
      <c r="AM270">
        <f>IF($C270="",0,MAX(0,$AL270-$Y270))</f>
        <v/>
      </c>
      <c r="AN270">
        <f>IF($C270="",0,MAX(0,$AM270-$Z270))</f>
        <v/>
      </c>
      <c r="AO270">
        <f>IF($C270="",0,MAX(0,$AN270-$AA270))</f>
        <v/>
      </c>
      <c r="AP270">
        <f>IF($C270="",0,MAX(0,$AO270-$AB270))</f>
        <v/>
      </c>
      <c r="AQ270">
        <f>IF($C270="",0,MAX(0,$AP270-$AC270))</f>
        <v/>
      </c>
      <c r="AR270">
        <f>IF($C270="",0,MAX(0,$AQ270-$AD270))</f>
        <v/>
      </c>
      <c r="AS270">
        <f>IF($C270="",0,MAX(0,$AR270-$AE270))</f>
        <v/>
      </c>
      <c r="AT270">
        <f>IF($C270="",0,MAX(0,$AS270-$AF270))</f>
        <v/>
      </c>
      <c r="AU270">
        <f>IF($C270="",0,MAX(0,$AT270-$AG270))</f>
        <v/>
      </c>
      <c r="AV270">
        <f>IF($C270="",0,MAX(0,$AU270-$AH270))</f>
        <v/>
      </c>
      <c r="AW270">
        <f>IF($C270="",0,MAX(0,$AV270-$AI270))</f>
        <v/>
      </c>
      <c r="AX270">
        <f>IF($C270="",0,MAX(0,MAX(0,N($L270))+IF($P270=V$3,$R270,0)+IF($S270=V$3,$U270,0)-$V270))</f>
        <v/>
      </c>
      <c r="AY270">
        <f>IF($C270="",0,MAX(0,$AX270+IF($P270=W$3,$R270,0)+IF($S270=W$3,$U270,0)-$W270))</f>
        <v/>
      </c>
      <c r="AZ270">
        <f>IF($C270="",0,MAX(0,$AY270+IF($P270=X$3,$R270,0)+IF($S270=X$3,$U270,0)-$X270))</f>
        <v/>
      </c>
      <c r="BA270">
        <f>IF($C270="",0,MAX(0,$AZ270+IF($P270=Y$3,$R270,0)+IF($S270=Y$3,$U270,0)-$Y270))</f>
        <v/>
      </c>
      <c r="BB270">
        <f>IF($C270="",0,MAX(0,$BA270+IF($P270=Z$3,$R270,0)+IF($S270=Z$3,$U270,0)-$Z270))</f>
        <v/>
      </c>
      <c r="BC270">
        <f>IF($C270="",0,MAX(0,$BB270+IF($P270=AA$3,$R270,0)+IF($S270=AA$3,$U270,0)-$AA270))</f>
        <v/>
      </c>
      <c r="BD270">
        <f>IF($C270="",0,MAX(0,$BC270+IF($P270=AB$3,$R270,0)+IF($S270=AB$3,$U270,0)-$AB270))</f>
        <v/>
      </c>
      <c r="BE270">
        <f>IF($C270="",0,MAX(0,$BD270+IF($P270=AC$3,$R270,0)+IF($S270=AC$3,$U270,0)-$AC270))</f>
        <v/>
      </c>
      <c r="BF270">
        <f>IF($C270="",0,MAX(0,$BE270+IF($P270=AD$3,$R270,0)+IF($S270=AD$3,$U270,0)-$AD270))</f>
        <v/>
      </c>
      <c r="BG270">
        <f>IF($C270="",0,MAX(0,$BF270+IF($P270=AE$3,$R270,0)+IF($S270=AE$3,$U270,0)-$AE270))</f>
        <v/>
      </c>
      <c r="BH270">
        <f>IF($C270="",0,MAX(0,$BG270+IF($P270=AF$3,$R270,0)+IF($S270=AF$3,$U270,0)-$AF270))</f>
        <v/>
      </c>
      <c r="BI270">
        <f>IF($C270="",0,MAX(0,$BH270+IF($P270=AG$3,$R270,0)+IF($S270=AG$3,$U270,0)-$AG270))</f>
        <v/>
      </c>
      <c r="BJ270">
        <f>IF($C270="",0,MAX(0,$BI270+IF($P270=AH$3,$R270,0)+IF($S270=AH$3,$U270,0)-$AH270))</f>
        <v/>
      </c>
      <c r="BK270">
        <f>IF($C270="",0,MAX(0,$BJ270+IF($P270=AI$3,$R270,0)+IF($S270=AI$3,$U270,0)-$AI270))</f>
        <v/>
      </c>
      <c r="BL270">
        <f>IF($C270="",99,IF(AND($AX270&lt;1,V$3&gt;=MAX(N($P270),N($S270))),0,99))</f>
        <v/>
      </c>
      <c r="BM270">
        <f>IF($C270="",99,IF(AND($AY270&lt;1,W$3&gt;=MAX(N($P270),N($S270))),1,99))</f>
        <v/>
      </c>
      <c r="BN270">
        <f>IF($C270="",99,IF(AND($AZ270&lt;1,X$3&gt;=MAX(N($P270),N($S270))),2,99))</f>
        <v/>
      </c>
      <c r="BO270">
        <f>IF($C270="",99,IF(AND($BA270&lt;1,Y$3&gt;=MAX(N($P270),N($S270))),3,99))</f>
        <v/>
      </c>
      <c r="BP270">
        <f>IF($C270="",99,IF(AND($BB270&lt;1,Z$3&gt;=MAX(N($P270),N($S270))),4,99))</f>
        <v/>
      </c>
      <c r="BQ270">
        <f>IF($C270="",99,IF(AND($BC270&lt;1,AA$3&gt;=MAX(N($P270),N($S270))),5,99))</f>
        <v/>
      </c>
      <c r="BR270">
        <f>IF($C270="",99,IF(AND($BD270&lt;1,AB$3&gt;=MAX(N($P270),N($S270))),6,99))</f>
        <v/>
      </c>
      <c r="BS270">
        <f>IF($C270="",99,IF(AND($BE270&lt;1,AC$3&gt;=MAX(N($P270),N($S270))),7,99))</f>
        <v/>
      </c>
      <c r="BT270">
        <f>IF($C270="",99,IF(AND($BF270&lt;1,AD$3&gt;=MAX(N($P270),N($S270))),8,99))</f>
        <v/>
      </c>
      <c r="BU270">
        <f>IF($C270="",99,IF(AND($BG270&lt;1,AE$3&gt;=MAX(N($P270),N($S270))),9,99))</f>
        <v/>
      </c>
      <c r="BV270">
        <f>IF($C270="",99,IF(AND($BH270&lt;1,AF$3&gt;=MAX(N($P270),N($S270))),10,99))</f>
        <v/>
      </c>
      <c r="BW270">
        <f>IF($C270="",99,IF(AND($BI270&lt;1,AG$3&gt;=MAX(N($P270),N($S270))),11,99))</f>
        <v/>
      </c>
      <c r="BX270">
        <f>IF($C270="",99,IF(AND($BJ270&lt;1,AH$3&gt;=MAX(N($P270),N($S270))),12,99))</f>
        <v/>
      </c>
      <c r="BY270">
        <f>IF($C270="",99,IF(AND($BK270&lt;1,AI$3&gt;=MAX(N($P270),N($S270))),13,99))</f>
        <v/>
      </c>
      <c r="BZ270">
        <f>IF(OR($C270="",$M270=""),"",COUNTIF($AJ270:$AW270,"&gt;=1"))</f>
        <v/>
      </c>
      <c r="CA270" s="90">
        <f>IF($BZ270="","",IF($BZ270&gt;=14,"",'設定'!$C$6+$BZ270))</f>
        <v/>
      </c>
      <c r="CB270">
        <f>IF(OR($C270="",$M270=""),"",MIN($BL270:$BY270))</f>
        <v/>
      </c>
      <c r="CC270" s="90">
        <f>IF($CB270="","",IF($CB270&gt;=99,"",'設定'!$C$6+$CB270))</f>
        <v/>
      </c>
      <c r="CD270">
        <f>IF(OR($C270="",$M270=""),"",AVERAGE($V270:$AI270))</f>
        <v/>
      </c>
      <c r="CE270">
        <f>IF($C270="","",IFERROR(IF(MATCH(IF(ISNUMBER($P270),$P270,'設定'!$C$6+N('設定'!$C$7)),$V$3:$AI$3,0)=1,MAX(0,N($L270)),INDEX($AJ270:$AW270,MATCH(IF(ISNUMBER($P270),$P270,'設定'!$C$6+N('設定'!$C$7)),$V$3:$AI$3,0)-1)),""))</f>
        <v/>
      </c>
      <c r="CF270">
        <f>IF(OR($C270="",$O270="",$CE270=""),"",IF($O270-$CE270&lt;=0,0,ROUNDUP(($O270-$CE270)/$G270,0)))</f>
        <v/>
      </c>
      <c r="CG270">
        <f>IF(OR($C270="",$CF270="",NOT(ISNUMBER($Q270))),0,MAX(0,$Q270-$CF270))</f>
        <v/>
      </c>
      <c r="CH270">
        <f>IF(OR($C270="",$O270="",$U270=0),0,IFERROR(ROUNDUP(MAX(0,IF(MATCH($S270,$V$3:$AI$3,0)=1,MAX(0,N($L270)),INDEX($AX270:$BK270,MATCH($S270,$V$3:$AI$3,0)-1))+$U270-$O270)/$G270,0),0))</f>
        <v/>
      </c>
      <c r="CI270">
        <f>IF($C270="","",IF(AND($P270="",$Q270=""),"",IF($P270="","⚠ 入庫日を ▼ から選んでください",IF(NOT(ISNUMBER($P270)),"⚠ 入庫日は ▼ から選んでください",IF($P270&lt;N('設定'!$C$6),"⚠ 入庫日が過去です（もう在庫に入っています）→ 消してください",IF($P270&gt;N('設定'!$C$6)+13,"⚠ 入庫日が14日より先です",IF(N($Q270)&lt;=0,"⚠ 入庫数を入れてください",IF($CG270&gt;0,"⚠ 目安より "&amp;$CG270&amp;" 多い（定数を超える）→ 減らす",""))))))))</f>
        <v/>
      </c>
      <c r="CJ270">
        <f>IF($C270="","",IF(AND($S270="",$T270=""),"",IF($S270="","⚠ 2便目：入庫日を ▼ から選んでください",IF(NOT(ISNUMBER($S270)),"⚠ 2便目：入庫日は ▼ から選んでください",IF($S270&lt;N('設定'!$C$6),"⚠ 2便目：入庫日が過去です（もう在庫に入っています）→ 消してください",IF($S270&gt;N('設定'!$C$6)+13,"⚠ 2便目：入庫日が14日より先です",IF(N($T270)&lt;=0,"⚠ 2便目：入庫数を入れてください",IF($CH270&gt;0,"⚠ 2便目：定数を "&amp;$CH270&amp;" ケース超える → 減らす",""))))))))</f>
        <v/>
      </c>
      <c r="CK270">
        <f>IF(AND($CI270="",N($Q270)&gt;0,ISNUMBER($P270)),1,0)</f>
        <v/>
      </c>
      <c r="CL270">
        <f>IF(AND($CJ270="",N($T270)&gt;0,ISNUMBER($S270)),1,0)</f>
        <v/>
      </c>
      <c r="CM270">
        <f>IF(OR($CK270=1,$CL270=1),1,0)</f>
        <v/>
      </c>
      <c r="CN270">
        <f>IF($C270="",0,($CK270*$R270+$CL270*$U270)*N($H270))</f>
        <v/>
      </c>
      <c r="CO270">
        <f>IF($C270="","",IF($CC270="","入庫後は 14日以上もつ",IF($CC270-N('設定'!$C$7)&lt;='設定'!$C$6,"入庫後も "&amp;TEXT($CC270,"m/d")&amp;"("&amp;CHOOSE(WEEKDAY($CC270),"日","月","火","水","木","金","土")&amp;")"&amp;" に切れる　もう1便を至急発注","入庫後も "&amp;TEXT($CC270,"m/d")&amp;"("&amp;CHOOSE(WEEKDAY($CC270),"日","月","火","水","木","金","土")&amp;")"&amp;" に切れる　"&amp;TEXT($CC270-N('設定'!$C$7),"m/d")&amp;"("&amp;CHOOSE(WEEKDAY($CC270-N('設定'!$C$7)),"日","月","火","水","木","金","土")&amp;")"&amp;" までに次を発注")))</f>
        <v/>
      </c>
      <c r="CP270">
        <f>IF($C270="","",IF('設定'!$C$6="","？ ①在庫を貼る に今日のCSVが貼られていない",IF($CS270=1,"－ 今日のCSVに無い（終売？）",IF($L270&lt;0,"● 在庫がマイナス　数えて「数えた在庫」に入れる",IF($L270=0,"● 在庫なし　至急発注",IF($M270="","？ 減り数が未設定（商品マスタ）",IF($B$3=0,"？ 動員が未入力（動員を入れる）",IF($CA270="","○ 14日以上もつ",IF($BZ270&lt;N('設定'!$C$7),"● "&amp;TEXT($CA270,"m/d")&amp;"("&amp;CHOOSE(WEEKDAY($CA270),"日","月","火","水","木","金","土")&amp;")"&amp;" に切れる　至急発注",IF($BZ270=N('設定'!$C$7),"● "&amp;TEXT($CA270,"m/d")&amp;"("&amp;CHOOSE(WEEKDAY($CA270),"日","月","火","水","木","金","土")&amp;")"&amp;" に切れる　今日発注","△ "&amp;TEXT($CA270,"m/d")&amp;"("&amp;CHOOSE(WEEKDAY($CA270),"日","月","火","水","木","金","土")&amp;")"&amp;" に切れる　"&amp;TEXT($CA270-N('設定'!$C$7),"m/d")&amp;"("&amp;CHOOSE(WEEKDAY($CA270-N('設定'!$C$7)),"日","月","火","水","木","金","土")&amp;")"&amp;" までに発注"))))))))))</f>
        <v/>
      </c>
      <c r="CQ270">
        <f>IF($C270="","",IF(AND($P270="",$Q270="",$S270="",$T270=""),"",IF(AND($P270="",$Q270=""),"⚠ 先に1便目（左の入庫日・入庫数）に入れてください",IF($CI270&lt;&gt;"",$CI270,IF($CJ270&lt;&gt;"",$CJ270,IF($M270="","？ 減り数が未設定（発注書には載ります）",IF($B$3=0,"？ 動員が未入力（発注書には載ります）",IF(AND($CA270&lt;&gt;"",$P270&gt;$CA270),IF($P270&gt;'設定'!$C$6+N('設定'!$C$7),"● "&amp;TEXT($P270,"m/d")&amp;"("&amp;CHOOSE(WEEKDAY($P270),"日","月","火","水","木","金","土")&amp;")"&amp;" の入庫では間に合わない（"&amp;TEXT($CA270,"m/d")&amp;"("&amp;CHOOSE(WEEKDAY($CA270),"日","月","火","水","木","金","土")&amp;")"&amp;" に切れる）　入庫日を早める","△ 欠品 "&amp;TEXT($CA270,"m/d")&amp;"("&amp;CHOOSE(WEEKDAY($CA270),"日","月","火","水","木","金","土")&amp;")"&amp;"〜"&amp;TEXT($P270-1,"m/d")&amp;"("&amp;CHOOSE(WEEKDAY($P270-1),"日","月","火","水","木","金","土")&amp;")"&amp;"　"&amp;$CO270),IF($CC270="","○ "&amp;TEXT($P270,"m/d")&amp;"("&amp;CHOOSE(WEEKDAY($P270),"日","月","火","水","木","金","土")&amp;")"&amp;" 入庫で 14日以上もつ",IF($CC270-N('設定'!$C$7)&lt;='設定'!$C$6,"● 入庫しても "&amp;TEXT($CC270,"m/d")&amp;"("&amp;CHOOSE(WEEKDAY($CC270),"日","月","火","水","木","金","土")&amp;")"&amp;" に切れる　もう1便を至急発注（2便目に入れる）","△ 入庫しても "&amp;TEXT($CC270,"m/d")&amp;"("&amp;CHOOSE(WEEKDAY($CC270),"日","月","火","水","木","金","土")&amp;")"&amp;" に切れる　"&amp;TEXT($CC270-N('設定'!$C$7),"m/d")&amp;"("&amp;CHOOSE(WEEKDAY($CC270-N('設定'!$C$7)),"日","月","火","水","木","金","土")&amp;")"&amp;" までに次を発注（2便目に入れる）"))))))))))</f>
        <v/>
      </c>
      <c r="CR270">
        <f>IF($C270="","",IF($G270&gt;1,"ｹｰｽ("&amp;$G270&amp;"入)","個"))</f>
        <v/>
      </c>
      <c r="CS270">
        <f>IF($C270="",0,IF(COUNTIFS('①在庫を貼る'!$V$6:$V$10005,'設定'!$C$4,'①在庫を貼る'!$W$6:$W$10005,$C270)=0,1,0))</f>
        <v/>
      </c>
      <c r="CT270">
        <f>IF(AND($CK270=1,OR('③発注書'!$C$4="すべて",'③発注書'!$C$4="",$F270='③発注書'!$C$4)),N($CT269)+1,N($CT269))</f>
        <v/>
      </c>
      <c r="CU270">
        <f>IF(AND($CL270=1,OR('③発注書'!$C$4="すべて",'③発注書'!$C$4="",$F270='③発注書'!$C$4)),N($CU269)+1,N($CU269))</f>
        <v/>
      </c>
      <c r="CV270">
        <f>IF($C270="",0,IF(COUNTIFS('①在庫を貼る'!$V$6:$V$10005,'設定'!$C$4,'①在庫を貼る'!$W$6:$W$10005,$C270)&gt;0,1,0))</f>
        <v/>
      </c>
      <c r="CW270">
        <f>IF($C270="",0,IF(COUNTIFS('月1回_1ヶ月前の在庫'!$V$6:$V$10005,'設定'!$C$4,'月1回_1ヶ月前の在庫'!$W$6:$W$10005,$C270)&gt;0,1,0))</f>
        <v/>
      </c>
      <c r="CX270">
        <f>IF($C270="",0,IF(COUNTIFS('月1回_2ヶ月前の在庫'!$V$6:$V$10005,'設定'!$C$4,'月1回_2ヶ月前の在庫'!$W$6:$W$10005,$C270)&gt;0,1,0))</f>
        <v/>
      </c>
      <c r="CY270">
        <f>IF(OR($C270="",'設定'!$C$12=""),"",IF('設定'!$C$13="",IF(AND($CV270=1,$CW270=0),"新商品（今月から）",IF(AND($CV270=0,$CW270=1),"終売（今月から）","")),IF(AND($CV270=1,$CW270=0,$CX270=0),"新商品（今月から）",IF(AND($CV270=1,$CW270=1,$CX270=0),"新商品（先月から）",IF(AND($CV270=0,$CW270=1,$CX270=1),"終売（今月から）",IF(AND($CV270=0,$CW270=0,$CX270=1),"終売（先月から）",IF(AND($CV270=1,$CW270=0,$CX270=1),"復活（先月は無し）","")))))))</f>
        <v/>
      </c>
    </row>
    <row r="271">
      <c r="B271">
        <f>IF(266&lt;='設定'!$C$11,266,"")</f>
        <v/>
      </c>
      <c r="C271">
        <f>IF($B271="","",IF($B271&lt;='設定'!$C$20,INDEX('商品マスタ'!$B$6:$B$1005,MATCH($B271,'商品マスタ'!$M$6:$M$1005,0)),IF($B271&lt;='設定'!$C$20+'設定'!$C$17,INDEX('①在庫を貼る'!$W$6:$W$10005,MATCH($B271-'設定'!$C$20,'①在庫を貼る'!$U$6:$U$10005,0)),IF($B271&lt;='設定'!$C$20+'設定'!$C$17+'設定'!$C$18,INDEX('月1回_1ヶ月前の在庫'!$W$6:$W$10005,MATCH($B271-'設定'!$C$20-'設定'!$C$17,'月1回_1ヶ月前の在庫'!$U$6:$U$10005,0)),INDEX('月1回_2ヶ月前の在庫'!$W$6:$W$10005,MATCH($B271-'設定'!$C$20-'設定'!$C$17-'設定'!$C$18,'月1回_2ヶ月前の在庫'!$U$6:$U$10005,0))))))</f>
        <v/>
      </c>
      <c r="D271">
        <f>IF($C271="","",IFERROR(IF(INDEX('商品マスタ'!$C$6:$C$1005,MATCH($C271,'商品マスタ'!$B$6:$B$1005,0))="",IFERROR(INDEX('①在庫を貼る'!$J$6:$J$10005,MATCH($C271,'①在庫を貼る'!$W$6:$W$10005,0)),IFERROR(INDEX('月1回_1ヶ月前の在庫'!$J$6:$J$10005,MATCH($C271,'月1回_1ヶ月前の在庫'!$W$6:$W$10005,0)),IFERROR(INDEX('月1回_2ヶ月前の在庫'!$J$6:$J$10005,MATCH($C271,'月1回_2ヶ月前の在庫'!$W$6:$W$10005,0)),""))),INDEX('商品マスタ'!$C$6:$C$1005,MATCH($C271,'商品マスタ'!$B$6:$B$1005,0))),IFERROR(INDEX('①在庫を貼る'!$J$6:$J$10005,MATCH($C271,'①在庫を貼る'!$W$6:$W$10005,0)),IFERROR(INDEX('月1回_1ヶ月前の在庫'!$J$6:$J$10005,MATCH($C271,'月1回_1ヶ月前の在庫'!$W$6:$W$10005,0)),IFERROR(INDEX('月1回_2ヶ月前の在庫'!$J$6:$J$10005,MATCH($C271,'月1回_2ヶ月前の在庫'!$W$6:$W$10005,0)),"")))))</f>
        <v/>
      </c>
      <c r="E271">
        <f>IF($C271="","",IFERROR(IF(INDEX('商品マスタ'!$D$6:$D$1005,MATCH($C271,'商品マスタ'!$B$6:$B$1005,0))="",IFERROR(INDEX('①在庫を貼る'!$H$6:$H$10005,MATCH($C271,'①在庫を貼る'!$W$6:$W$10005,0)),IFERROR(INDEX('月1回_1ヶ月前の在庫'!$H$6:$H$10005,MATCH($C271,'月1回_1ヶ月前の在庫'!$W$6:$W$10005,0)),IFERROR(INDEX('月1回_2ヶ月前の在庫'!$H$6:$H$10005,MATCH($C271,'月1回_2ヶ月前の在庫'!$W$6:$W$10005,0)),""))),INDEX('商品マスタ'!$D$6:$D$1005,MATCH($C271,'商品マスタ'!$B$6:$B$1005,0))),IFERROR(INDEX('①在庫を貼る'!$H$6:$H$10005,MATCH($C271,'①在庫を貼る'!$W$6:$W$10005,0)),IFERROR(INDEX('月1回_1ヶ月前の在庫'!$H$6:$H$10005,MATCH($C271,'月1回_1ヶ月前の在庫'!$W$6:$W$10005,0)),IFERROR(INDEX('月1回_2ヶ月前の在庫'!$H$6:$H$10005,MATCH($C271,'月1回_2ヶ月前の在庫'!$W$6:$W$10005,0)),"")))))</f>
        <v/>
      </c>
      <c r="F271">
        <f>IF($C271="","",IFERROR(IF(INDEX('商品マスタ'!$E$6:$E$1005,MATCH($C271,'商品マスタ'!$B$6:$B$1005,0))="",IFERROR(INDEX('①在庫を貼る'!$E$6:$E$10005,MATCH($C271,'①在庫を貼る'!$W$6:$W$10005,0)),IFERROR(INDEX('月1回_1ヶ月前の在庫'!$E$6:$E$10005,MATCH($C271,'月1回_1ヶ月前の在庫'!$W$6:$W$10005,0)),IFERROR(INDEX('月1回_2ヶ月前の在庫'!$E$6:$E$10005,MATCH($C271,'月1回_2ヶ月前の在庫'!$W$6:$W$10005,0)),""))),INDEX('商品マスタ'!$E$6:$E$1005,MATCH($C271,'商品マスタ'!$B$6:$B$1005,0))),IFERROR(INDEX('①在庫を貼る'!$E$6:$E$10005,MATCH($C271,'①在庫を貼る'!$W$6:$W$10005,0)),IFERROR(INDEX('月1回_1ヶ月前の在庫'!$E$6:$E$10005,MATCH($C271,'月1回_1ヶ月前の在庫'!$W$6:$W$10005,0)),IFERROR(INDEX('月1回_2ヶ月前の在庫'!$E$6:$E$10005,MATCH($C271,'月1回_2ヶ月前の在庫'!$W$6:$W$10005,0)),"")))))</f>
        <v/>
      </c>
      <c r="G271">
        <f>IF($C271="","",MAX(1,N(IFERROR(IF(INDEX('商品マスタ'!$F$6:$F$1005,MATCH($C271,'商品マスタ'!$B$6:$B$1005,0))="",IF(COUNTIFS('①在庫を貼る'!$V$6:$V$10005,'設定'!$C$4,'①在庫を貼る'!$W$6:$W$10005,$C271)&gt;0,SUMIFS('①在庫を貼る'!$K$6:$K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K$6:$K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K$6:$K$10005,'月1回_2ヶ月前の在庫'!$V$6:$V$10005,'設定'!$C$4,'月1回_2ヶ月前の在庫'!$W$6:$W$10005,$C271)/COUNTIFS('月1回_2ヶ月前の在庫'!$V$6:$V$10005,'設定'!$C$4,'月1回_2ヶ月前の在庫'!$W$6:$W$10005,$C271),0))),INDEX('商品マスタ'!$F$6:$F$1005,MATCH($C271,'商品マスタ'!$B$6:$B$1005,0))),IF(COUNTIFS('①在庫を貼る'!$V$6:$V$10005,'設定'!$C$4,'①在庫を貼る'!$W$6:$W$10005,$C271)&gt;0,SUMIFS('①在庫を貼る'!$K$6:$K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K$6:$K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K$6:$K$10005,'月1回_2ヶ月前の在庫'!$V$6:$V$10005,'設定'!$C$4,'月1回_2ヶ月前の在庫'!$W$6:$W$10005,$C271)/COUNTIFS('月1回_2ヶ月前の在庫'!$V$6:$V$10005,'設定'!$C$4,'月1回_2ヶ月前の在庫'!$W$6:$W$10005,$C271),0)))))))</f>
        <v/>
      </c>
      <c r="H271">
        <f>IF($C271="","",N(IFERROR(IF(INDEX('商品マスタ'!$G$6:$G$1005,MATCH($C271,'商品マスタ'!$B$6:$B$1005,0))="",IF(COUNTIFS('①在庫を貼る'!$V$6:$V$10005,'設定'!$C$4,'①在庫を貼る'!$W$6:$W$10005,$C271)&gt;0,SUMIFS('①在庫を貼る'!$Q$6:$Q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Q$6:$Q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Q$6:$Q$10005,'月1回_2ヶ月前の在庫'!$V$6:$V$10005,'設定'!$C$4,'月1回_2ヶ月前の在庫'!$W$6:$W$10005,$C271)/COUNTIFS('月1回_2ヶ月前の在庫'!$V$6:$V$10005,'設定'!$C$4,'月1回_2ヶ月前の在庫'!$W$6:$W$10005,$C271),0))),INDEX('商品マスタ'!$G$6:$G$1005,MATCH($C271,'商品マスタ'!$B$6:$B$1005,0))),IF(COUNTIFS('①在庫を貼る'!$V$6:$V$10005,'設定'!$C$4,'①在庫を貼る'!$W$6:$W$10005,$C271)&gt;0,SUMIFS('①在庫を貼る'!$Q$6:$Q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Q$6:$Q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Q$6:$Q$10005,'月1回_2ヶ月前の在庫'!$V$6:$V$10005,'設定'!$C$4,'月1回_2ヶ月前の在庫'!$W$6:$W$10005,$C271)/COUNTIFS('月1回_2ヶ月前の在庫'!$V$6:$V$10005,'設定'!$C$4,'月1回_2ヶ月前の在庫'!$W$6:$W$10005,$C271),0))))))</f>
        <v/>
      </c>
      <c r="I271">
        <f>IF($C271="","",IF(COUNTIFS('①在庫を貼る'!$V$6:$V$10005,'設定'!$C$4,'①在庫を貼る'!$W$6:$W$10005,$C271)=0,"",SUMIFS('①在庫を貼る'!$N$6:$N$10005,'①在庫を貼る'!$V$6:$V$10005,'設定'!$C$4,'①在庫を貼る'!$W$6:$W$10005,$C271)))</f>
        <v/>
      </c>
      <c r="J271">
        <f>IF($C271="","",IF('②発注する'!$AD275="","",'②発注する'!$AD275))</f>
        <v/>
      </c>
      <c r="K271" s="90">
        <f>IF($C271="","",IF('②発注する'!$AE275="","",'②発注する'!$AE275))</f>
        <v/>
      </c>
      <c r="L271">
        <f>IF($C271="","",IF(AND(ISNUMBER($J271),ISNUMBER($K271),$K271&gt;='設定'!$C$6),$J271,N($I271)))</f>
        <v/>
      </c>
      <c r="M271">
        <f>IF($C271="","",IFERROR(IF(N(INDEX('商品マスタ'!$J$6:$J$1005,MATCH($C271,'商品マスタ'!$B$6:$B$1005,0)))&gt;0,INDEX('商品マスタ'!$J$6:$J$1005,MATCH($C271,'商品マスタ'!$B$6:$B$1005,0)),""),""))</f>
        <v/>
      </c>
      <c r="N271">
        <f>IF($C271="","",IFERROR(IF(N(INDEX('商品マスタ'!$H$6:$H$1005,MATCH($C271,'商品マスタ'!$B$6:$B$1005,0)))&gt;0,INDEX('商品マスタ'!$H$6:$H$1005,MATCH($C271,'商品マスタ'!$B$6:$B$1005,0)),""),""))</f>
        <v/>
      </c>
      <c r="O271">
        <f>IF($C271="","",IF($N271&lt;&gt;"",$N271*$G271,IF(N(IF(COUNTIFS('①在庫を貼る'!$V$6:$V$10005,'設定'!$C$4,'①在庫を貼る'!$W$6:$W$10005,$C271)&gt;0,SUMIFS('①在庫を貼る'!$O$6:$O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O$6:$O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O$6:$O$10005,'月1回_2ヶ月前の在庫'!$V$6:$V$10005,'設定'!$C$4,'月1回_2ヶ月前の在庫'!$W$6:$W$10005,$C271)/COUNTIFS('月1回_2ヶ月前の在庫'!$V$6:$V$10005,'設定'!$C$4,'月1回_2ヶ月前の在庫'!$W$6:$W$10005,$C271),0))))&gt;0,N(IF(COUNTIFS('①在庫を貼る'!$V$6:$V$10005,'設定'!$C$4,'①在庫を貼る'!$W$6:$W$10005,$C271)&gt;0,SUMIFS('①在庫を貼る'!$O$6:$O$10005,'①在庫を貼る'!$V$6:$V$10005,'設定'!$C$4,'①在庫を貼る'!$W$6:$W$10005,$C271)/COUNTIFS('①在庫を貼る'!$V$6:$V$10005,'設定'!$C$4,'①在庫を貼る'!$W$6:$W$10005,$C271),IF(COUNTIFS('月1回_1ヶ月前の在庫'!$V$6:$V$10005,'設定'!$C$4,'月1回_1ヶ月前の在庫'!$W$6:$W$10005,$C271)&gt;0,SUMIFS('月1回_1ヶ月前の在庫'!$O$6:$O$10005,'月1回_1ヶ月前の在庫'!$V$6:$V$10005,'設定'!$C$4,'月1回_1ヶ月前の在庫'!$W$6:$W$10005,$C271)/COUNTIFS('月1回_1ヶ月前の在庫'!$V$6:$V$10005,'設定'!$C$4,'月1回_1ヶ月前の在庫'!$W$6:$W$10005,$C271),IF(COUNTIFS('月1回_2ヶ月前の在庫'!$V$6:$V$10005,'設定'!$C$4,'月1回_2ヶ月前の在庫'!$W$6:$W$10005,$C271)&gt;0,SUMIFS('月1回_2ヶ月前の在庫'!$O$6:$O$10005,'月1回_2ヶ月前の在庫'!$V$6:$V$10005,'設定'!$C$4,'月1回_2ヶ月前の在庫'!$W$6:$W$10005,$C271)/COUNTIFS('月1回_2ヶ月前の在庫'!$V$6:$V$10005,'設定'!$C$4,'月1回_2ヶ月前の在庫'!$W$6:$W$10005,$C271),0)))),"")))</f>
        <v/>
      </c>
      <c r="P271" s="90">
        <f>IF($C271="","",IF('②発注する'!$I275="","",'②発注する'!$I275))</f>
        <v/>
      </c>
      <c r="Q271">
        <f>IF($C271="","",IF('②発注する'!$J275="","",'②発注する'!$J275))</f>
        <v/>
      </c>
      <c r="R271">
        <f>IF($C271="",0,IF(AND(ISNUMBER($P271),ISNUMBER($Q271)),MAX(0,$Q271)*$G271,0))</f>
        <v/>
      </c>
      <c r="S271" s="90">
        <f>IF($C271="","",IF('②発注する'!$M275="","",'②発注する'!$M275))</f>
        <v/>
      </c>
      <c r="T271">
        <f>IF($C271="","",IF('②発注する'!$N275="","",'②発注する'!$N275))</f>
        <v/>
      </c>
      <c r="U271">
        <f>IF($C271="",0,IF(AND(ISNUMBER($S271),ISNUMBER($T271)),MAX(0,$T271)*$G271,0))</f>
        <v/>
      </c>
      <c r="V271">
        <f>IF($C271="",0,IF($M271="",0,MAX(0,$M271)*MAX(0,V$4)/100))</f>
        <v/>
      </c>
      <c r="W271">
        <f>IF($C271="",0,IF($M271="",0,MAX(0,$M271)*MAX(0,W$4)/100))</f>
        <v/>
      </c>
      <c r="X271">
        <f>IF($C271="",0,IF($M271="",0,MAX(0,$M271)*MAX(0,X$4)/100))</f>
        <v/>
      </c>
      <c r="Y271">
        <f>IF($C271="",0,IF($M271="",0,MAX(0,$M271)*MAX(0,Y$4)/100))</f>
        <v/>
      </c>
      <c r="Z271">
        <f>IF($C271="",0,IF($M271="",0,MAX(0,$M271)*MAX(0,Z$4)/100))</f>
        <v/>
      </c>
      <c r="AA271">
        <f>IF($C271="",0,IF($M271="",0,MAX(0,$M271)*MAX(0,AA$4)/100))</f>
        <v/>
      </c>
      <c r="AB271">
        <f>IF($C271="",0,IF($M271="",0,MAX(0,$M271)*MAX(0,AB$4)/100))</f>
        <v/>
      </c>
      <c r="AC271">
        <f>IF($C271="",0,IF($M271="",0,MAX(0,$M271)*MAX(0,AC$4)/100))</f>
        <v/>
      </c>
      <c r="AD271">
        <f>IF($C271="",0,IF($M271="",0,MAX(0,$M271)*MAX(0,AD$4)/100))</f>
        <v/>
      </c>
      <c r="AE271">
        <f>IF($C271="",0,IF($M271="",0,MAX(0,$M271)*MAX(0,AE$4)/100))</f>
        <v/>
      </c>
      <c r="AF271">
        <f>IF($C271="",0,IF($M271="",0,MAX(0,$M271)*MAX(0,AF$4)/100))</f>
        <v/>
      </c>
      <c r="AG271">
        <f>IF($C271="",0,IF($M271="",0,MAX(0,$M271)*MAX(0,AG$4)/100))</f>
        <v/>
      </c>
      <c r="AH271">
        <f>IF($C271="",0,IF($M271="",0,MAX(0,$M271)*MAX(0,AH$4)/100))</f>
        <v/>
      </c>
      <c r="AI271">
        <f>IF($C271="",0,IF($M271="",0,MAX(0,$M271)*MAX(0,AI$4)/100))</f>
        <v/>
      </c>
      <c r="AJ271">
        <f>IF($C271="",0,MAX(0,MAX(0,N($L271))-$V271))</f>
        <v/>
      </c>
      <c r="AK271">
        <f>IF($C271="",0,MAX(0,$AJ271-$W271))</f>
        <v/>
      </c>
      <c r="AL271">
        <f>IF($C271="",0,MAX(0,$AK271-$X271))</f>
        <v/>
      </c>
      <c r="AM271">
        <f>IF($C271="",0,MAX(0,$AL271-$Y271))</f>
        <v/>
      </c>
      <c r="AN271">
        <f>IF($C271="",0,MAX(0,$AM271-$Z271))</f>
        <v/>
      </c>
      <c r="AO271">
        <f>IF($C271="",0,MAX(0,$AN271-$AA271))</f>
        <v/>
      </c>
      <c r="AP271">
        <f>IF($C271="",0,MAX(0,$AO271-$AB271))</f>
        <v/>
      </c>
      <c r="AQ271">
        <f>IF($C271="",0,MAX(0,$AP271-$AC271))</f>
        <v/>
      </c>
      <c r="AR271">
        <f>IF($C271="",0,MAX(0,$AQ271-$AD271))</f>
        <v/>
      </c>
      <c r="AS271">
        <f>IF($C271="",0,MAX(0,$AR271-$AE271))</f>
        <v/>
      </c>
      <c r="AT271">
        <f>IF($C271="",0,MAX(0,$AS271-$AF271))</f>
        <v/>
      </c>
      <c r="AU271">
        <f>IF($C271="",0,MAX(0,$AT271-$AG271))</f>
        <v/>
      </c>
      <c r="AV271">
        <f>IF($C271="",0,MAX(0,$AU271-$AH271))</f>
        <v/>
      </c>
      <c r="AW271">
        <f>IF($C271="",0,MAX(0,$AV271-$AI271))</f>
        <v/>
      </c>
      <c r="AX271">
        <f>IF($C271="",0,MAX(0,MAX(0,N($L271))+IF($P271=V$3,$R271,0)+IF($S271=V$3,$U271,0)-$V271))</f>
        <v/>
      </c>
      <c r="AY271">
        <f>IF($C271="",0,MAX(0,$AX271+IF($P271=W$3,$R271,0)+IF($S271=W$3,$U271,0)-$W271))</f>
        <v/>
      </c>
      <c r="AZ271">
        <f>IF($C271="",0,MAX(0,$AY271+IF($P271=X$3,$R271,0)+IF($S271=X$3,$U271,0)-$X271))</f>
        <v/>
      </c>
      <c r="BA271">
        <f>IF($C271="",0,MAX(0,$AZ271+IF($P271=Y$3,$R271,0)+IF($S271=Y$3,$U271,0)-$Y271))</f>
        <v/>
      </c>
      <c r="BB271">
        <f>IF($C271="",0,MAX(0,$BA271+IF($P271=Z$3,$R271,0)+IF($S271=Z$3,$U271,0)-$Z271))</f>
        <v/>
      </c>
      <c r="BC271">
        <f>IF($C271="",0,MAX(0,$BB271+IF($P271=AA$3,$R271,0)+IF($S271=AA$3,$U271,0)-$AA271))</f>
        <v/>
      </c>
      <c r="BD271">
        <f>IF($C271="",0,MAX(0,$BC271+IF($P271=AB$3,$R271,0)+IF($S271=AB$3,$U271,0)-$AB271))</f>
        <v/>
      </c>
      <c r="BE271">
        <f>IF($C271="",0,MAX(0,$BD271+IF($P271=AC$3,$R271,0)+IF($S271=AC$3,$U271,0)-$AC271))</f>
        <v/>
      </c>
      <c r="BF271">
        <f>IF($C271="",0,MAX(0,$BE271+IF($P271=AD$3,$R271,0)+IF($S271=AD$3,$U271,0)-$AD271))</f>
        <v/>
      </c>
      <c r="BG271">
        <f>IF($C271="",0,MAX(0,$BF271+IF($P271=AE$3,$R271,0)+IF($S271=AE$3,$U271,0)-$AE271))</f>
        <v/>
      </c>
      <c r="BH271">
        <f>IF($C271="",0,MAX(0,$BG271+IF($P271=AF$3,$R271,0)+IF($S271=AF$3,$U271,0)-$AF271))</f>
        <v/>
      </c>
      <c r="BI271">
        <f>IF($C271="",0,MAX(0,$BH271+IF($P271=AG$3,$R271,0)+IF($S271=AG$3,$U271,0)-$AG271))</f>
        <v/>
      </c>
      <c r="BJ271">
        <f>IF($C271="",0,MAX(0,$BI271+IF($P271=AH$3,$R271,0)+IF($S271=AH$3,$U271,0)-$AH271))</f>
        <v/>
      </c>
      <c r="BK271">
        <f>IF($C271="",0,MAX(0,$BJ271+IF($P271=AI$3,$R271,0)+IF($S271=AI$3,$U271,0)-$AI271))</f>
        <v/>
      </c>
      <c r="BL271">
        <f>IF($C271="",99,IF(AND($AX271&lt;1,V$3&gt;=MAX(N($P271),N($S271))),0,99))</f>
        <v/>
      </c>
      <c r="BM271">
        <f>IF($C271="",99,IF(AND($AY271&lt;1,W$3&gt;=MAX(N($P271),N($S271))),1,99))</f>
        <v/>
      </c>
      <c r="BN271">
        <f>IF($C271="",99,IF(AND($AZ271&lt;1,X$3&gt;=MAX(N($P271),N($S271))),2,99))</f>
        <v/>
      </c>
      <c r="BO271">
        <f>IF($C271="",99,IF(AND($BA271&lt;1,Y$3&gt;=MAX(N($P271),N($S271))),3,99))</f>
        <v/>
      </c>
      <c r="BP271">
        <f>IF($C271="",99,IF(AND($BB271&lt;1,Z$3&gt;=MAX(N($P271),N($S271))),4,99))</f>
        <v/>
      </c>
      <c r="BQ271">
        <f>IF($C271="",99,IF(AND($BC271&lt;1,AA$3&gt;=MAX(N($P271),N($S271))),5,99))</f>
        <v/>
      </c>
      <c r="BR271">
        <f>IF($C271="",99,IF(AND($BD271&lt;1,AB$3&gt;=MAX(N($P271),N($S271))),6,99))</f>
        <v/>
      </c>
      <c r="BS271">
        <f>IF($C271="",99,IF(AND($BE271&lt;1,AC$3&gt;=MAX(N($P271),N($S271))),7,99))</f>
        <v/>
      </c>
      <c r="BT271">
        <f>IF($C271="",99,IF(AND($BF271&lt;1,AD$3&gt;=MAX(N($P271),N($S271))),8,99))</f>
        <v/>
      </c>
      <c r="BU271">
        <f>IF($C271="",99,IF(AND($BG271&lt;1,AE$3&gt;=MAX(N($P271),N($S271))),9,99))</f>
        <v/>
      </c>
      <c r="BV271">
        <f>IF($C271="",99,IF(AND($BH271&lt;1,AF$3&gt;=MAX(N($P271),N($S271))),10,99))</f>
        <v/>
      </c>
      <c r="BW271">
        <f>IF($C271="",99,IF(AND($BI271&lt;1,AG$3&gt;=MAX(N($P271),N($S271))),11,99))</f>
        <v/>
      </c>
      <c r="BX271">
        <f>IF($C271="",99,IF(AND($BJ271&lt;1,AH$3&gt;=MAX(N($P271),N($S271))),12,99))</f>
        <v/>
      </c>
      <c r="BY271">
        <f>IF($C271="",99,IF(AND($BK271&lt;1,AI$3&gt;=MAX(N($P271),N($S271))),13,99))</f>
        <v/>
      </c>
      <c r="BZ271">
        <f>IF(OR($C271="",$M271=""),"",COUNTIF($AJ271:$AW271,"&gt;=1"))</f>
        <v/>
      </c>
      <c r="CA271" s="90">
        <f>IF($BZ271="","",IF($BZ271&gt;=14,"",'設定'!$C$6+$BZ271))</f>
        <v/>
      </c>
      <c r="CB271">
        <f>IF(OR($C271="",$M271=""),"",MIN($BL271:$BY271))</f>
        <v/>
      </c>
      <c r="CC271" s="90">
        <f>IF($CB271="","",IF($CB271&gt;=99,"",'設定'!$C$6+$CB271))</f>
        <v/>
      </c>
      <c r="CD271">
        <f>IF(OR($C271="",$M271=""),"",AVERAGE($V271:$AI271))</f>
        <v/>
      </c>
      <c r="CE271">
        <f>IF($C271="","",IFERROR(IF(MATCH(IF(ISNUMBER($P271),$P271,'設定'!$C$6+N('設定'!$C$7)),$V$3:$AI$3,0)=1,MAX(0,N($L271)),INDEX($AJ271:$AW271,MATCH(IF(ISNUMBER($P271),$P271,'設定'!$C$6+N('設定'!$C$7)),$V$3:$AI$3,0)-1)),""))</f>
        <v/>
      </c>
      <c r="CF271">
        <f>IF(OR($C271="",$O271="",$CE271=""),"",IF($O271-$CE271&lt;=0,0,ROUNDUP(($O271-$CE271)/$G271,0)))</f>
        <v/>
      </c>
      <c r="CG271">
        <f>IF(OR($C271="",$CF271="",NOT(ISNUMBER($Q271))),0,MAX(0,$Q271-$CF271))</f>
        <v/>
      </c>
      <c r="CH271">
        <f>IF(OR($C271="",$O271="",$U271=0),0,IFERROR(ROUNDUP(MAX(0,IF(MATCH($S271,$V$3:$AI$3,0)=1,MAX(0,N($L271)),INDEX($AX271:$BK271,MATCH($S271,$V$3:$AI$3,0)-1))+$U271-$O271)/$G271,0),0))</f>
        <v/>
      </c>
      <c r="CI271">
        <f>IF($C271="","",IF(AND($P271="",$Q271=""),"",IF($P271="","⚠ 入庫日を ▼ から選んでください",IF(NOT(ISNUMBER($P271)),"⚠ 入庫日は ▼ から選んでください",IF($P271&lt;N('設定'!$C$6),"⚠ 入庫日が過去です（もう在庫に入っています）→ 消してください",IF($P271&gt;N('設定'!$C$6)+13,"⚠ 入庫日が14日より先です",IF(N($Q271)&lt;=0,"⚠ 入庫数を入れてください",IF($CG271&gt;0,"⚠ 目安より "&amp;$CG271&amp;" 多い（定数を超える）→ 減らす",""))))))))</f>
        <v/>
      </c>
      <c r="CJ271">
        <f>IF($C271="","",IF(AND($S271="",$T271=""),"",IF($S271="","⚠ 2便目：入庫日を ▼ から選んでください",IF(NOT(ISNUMBER($S271)),"⚠ 2便目：入庫日は ▼ から選んでください",IF($S271&lt;N('設定'!$C$6),"⚠ 2便目：入庫日が過去です（もう在庫に入っています）→ 消してください",IF($S271&gt;N('設定'!$C$6)+13,"⚠ 2便目：入庫日が14日より先です",IF(N($T271)&lt;=0,"⚠ 2便目：入庫数を入れてください",IF($CH271&gt;0,"⚠ 2便目：定数を "&amp;$CH271&amp;" ケース超える → 減らす",""))))))))</f>
        <v/>
      </c>
      <c r="CK271">
        <f>IF(AND($CI271="",N($Q271)&gt;0,ISNUMBER($P271)),1,0)</f>
        <v/>
      </c>
      <c r="CL271">
        <f>IF(AND($CJ271="",N($T271)&gt;0,ISNUMBER($S271)),1,0)</f>
        <v/>
      </c>
      <c r="CM271">
        <f>IF(OR($CK271=1,$CL271=1),1,0)</f>
        <v/>
      </c>
      <c r="CN271">
        <f>IF($C271="",0,($CK271*$R271+$CL271*$U271)*N($H271))</f>
        <v/>
      </c>
      <c r="CO271">
        <f>IF($C271="","",IF($CC271="","入庫後は 14日以上もつ",IF($CC271-N('設定'!$C$7)&lt;='設定'!$C$6,"入庫後も "&amp;TEXT($CC271,"m/d")&amp;"("&amp;CHOOSE(WEEKDAY($CC271),"日","月","火","水","木","金","土")&amp;")"&amp;" に切れる　もう1便を至急発注","入庫後も "&amp;TEXT($CC271,"m/d")&amp;"("&amp;CHOOSE(WEEKDAY($CC271),"日","月","火","水","木","金","土")&amp;")"&amp;" に切れる　"&amp;TEXT($CC271-N('設定'!$C$7),"m/d")&amp;"("&amp;CHOOSE(WEEKDAY($CC271-N('設定'!$C$7)),"日","月","火","水","木","金","土")&amp;")"&amp;" までに次を発注")))</f>
        <v/>
      </c>
      <c r="CP271">
        <f>IF($C271="","",IF('設定'!$C$6="","？ ①在庫を貼る に今日のCSVが貼られていない",IF($CS271=1,"－ 今日のCSVに無い（終売？）",IF($L271&lt;0,"● 在庫がマイナス　数えて「数えた在庫」に入れる",IF($L271=0,"● 在庫なし　至急発注",IF($M271="","？ 減り数が未設定（商品マスタ）",IF($B$3=0,"？ 動員が未入力（動員を入れる）",IF($CA271="","○ 14日以上もつ",IF($BZ271&lt;N('設定'!$C$7),"● "&amp;TEXT($CA271,"m/d")&amp;"("&amp;CHOOSE(WEEKDAY($CA271),"日","月","火","水","木","金","土")&amp;")"&amp;" に切れる　至急発注",IF($BZ271=N('設定'!$C$7),"● "&amp;TEXT($CA271,"m/d")&amp;"("&amp;CHOOSE(WEEKDAY($CA271),"日","月","火","水","木","金","土")&amp;")"&amp;" に切れる　今日発注","△ "&amp;TEXT($CA271,"m/d")&amp;"("&amp;CHOOSE(WEEKDAY($CA271),"日","月","火","水","木","金","土")&amp;")"&amp;" に切れる　"&amp;TEXT($CA271-N('設定'!$C$7),"m/d")&amp;"("&amp;CHOOSE(WEEKDAY($CA271-N('設定'!$C$7)),"日","月","火","水","木","金","土")&amp;")"&amp;" までに発注"))))))))))</f>
        <v/>
      </c>
      <c r="CQ271">
        <f>IF($C271="","",IF(AND($P271="",$Q271="",$S271="",$T271=""),"",IF(AND($P271="",$Q271=""),"⚠ 先に1便目（左の入庫日・入庫数）に入れてください",IF($CI271&lt;&gt;"",$CI271,IF($CJ271&lt;&gt;"",$CJ271,IF($M271="","？ 減り数が未設定（発注書には載ります）",IF($B$3=0,"？ 動員が未入力（発注書には載ります）",IF(AND($CA271&lt;&gt;"",$P271&gt;$CA271),IF($P271&gt;'設定'!$C$6+N('設定'!$C$7),"● "&amp;TEXT($P271,"m/d")&amp;"("&amp;CHOOSE(WEEKDAY($P271),"日","月","火","水","木","金","土")&amp;")"&amp;" の入庫では間に合わない（"&amp;TEXT($CA271,"m/d")&amp;"("&amp;CHOOSE(WEEKDAY($CA271),"日","月","火","水","木","金","土")&amp;")"&amp;" に切れる）　入庫日を早める","△ 欠品 "&amp;TEXT($CA271,"m/d")&amp;"("&amp;CHOOSE(WEEKDAY($CA271),"日","月","火","水","木","金","土")&amp;")"&amp;"〜"&amp;TEXT($P271-1,"m/d")&amp;"("&amp;CHOOSE(WEEKDAY($P271-1),"日","月","火","水","木","金","土")&amp;")"&amp;"　"&amp;$CO271),IF($CC271="","○ "&amp;TEXT($P271,"m/d")&amp;"("&amp;CHOOSE(WEEKDAY($P271),"日","月","火","水","木","金","土")&amp;")"&amp;" 入庫で 14日以上もつ",IF($CC271-N('設定'!$C$7)&lt;='設定'!$C$6,"● 入庫しても "&amp;TEXT($CC271,"m/d")&amp;"("&amp;CHOOSE(WEEKDAY($CC271),"日","月","火","水","木","金","土")&amp;")"&amp;" に切れる　もう1便を至急発注（2便目に入れる）","△ 入庫しても "&amp;TEXT($CC271,"m/d")&amp;"("&amp;CHOOSE(WEEKDAY($CC271),"日","月","火","水","木","金","土")&amp;")"&amp;" に切れる　"&amp;TEXT($CC271-N('設定'!$C$7),"m/d")&amp;"("&amp;CHOOSE(WEEKDAY($CC271-N('設定'!$C$7)),"日","月","火","水","木","金","土")&amp;")"&amp;" までに次を発注（2便目に入れる）"))))))))))</f>
        <v/>
      </c>
      <c r="CR271">
        <f>IF($C271="","",IF($G271&gt;1,"ｹｰｽ("&amp;$G271&amp;"入)","個"))</f>
        <v/>
      </c>
      <c r="CS271">
        <f>IF($C271="",0,IF(COUNTIFS('①在庫を貼る'!$V$6:$V$10005,'設定'!$C$4,'①在庫を貼る'!$W$6:$W$10005,$C271)=0,1,0))</f>
        <v/>
      </c>
      <c r="CT271">
        <f>IF(AND($CK271=1,OR('③発注書'!$C$4="すべて",'③発注書'!$C$4="",$F271='③発注書'!$C$4)),N($CT270)+1,N($CT270))</f>
        <v/>
      </c>
      <c r="CU271">
        <f>IF(AND($CL271=1,OR('③発注書'!$C$4="すべて",'③発注書'!$C$4="",$F271='③発注書'!$C$4)),N($CU270)+1,N($CU270))</f>
        <v/>
      </c>
      <c r="CV271">
        <f>IF($C271="",0,IF(COUNTIFS('①在庫を貼る'!$V$6:$V$10005,'設定'!$C$4,'①在庫を貼る'!$W$6:$W$10005,$C271)&gt;0,1,0))</f>
        <v/>
      </c>
      <c r="CW271">
        <f>IF($C271="",0,IF(COUNTIFS('月1回_1ヶ月前の在庫'!$V$6:$V$10005,'設定'!$C$4,'月1回_1ヶ月前の在庫'!$W$6:$W$10005,$C271)&gt;0,1,0))</f>
        <v/>
      </c>
      <c r="CX271">
        <f>IF($C271="",0,IF(COUNTIFS('月1回_2ヶ月前の在庫'!$V$6:$V$10005,'設定'!$C$4,'月1回_2ヶ月前の在庫'!$W$6:$W$10005,$C271)&gt;0,1,0))</f>
        <v/>
      </c>
      <c r="CY271">
        <f>IF(OR($C271="",'設定'!$C$12=""),"",IF('設定'!$C$13="",IF(AND($CV271=1,$CW271=0),"新商品（今月から）",IF(AND($CV271=0,$CW271=1),"終売（今月から）","")),IF(AND($CV271=1,$CW271=0,$CX271=0),"新商品（今月から）",IF(AND($CV271=1,$CW271=1,$CX271=0),"新商品（先月から）",IF(AND($CV271=0,$CW271=1,$CX271=1),"終売（今月から）",IF(AND($CV271=0,$CW271=0,$CX271=1),"終売（先月から）",IF(AND($CV271=1,$CW271=0,$CX271=1),"復活（先月は無し）","")))))))</f>
        <v/>
      </c>
    </row>
    <row r="272">
      <c r="B272">
        <f>IF(267&lt;='設定'!$C$11,267,"")</f>
        <v/>
      </c>
      <c r="C272">
        <f>IF($B272="","",IF($B272&lt;='設定'!$C$20,INDEX('商品マスタ'!$B$6:$B$1005,MATCH($B272,'商品マスタ'!$M$6:$M$1005,0)),IF($B272&lt;='設定'!$C$20+'設定'!$C$17,INDEX('①在庫を貼る'!$W$6:$W$10005,MATCH($B272-'設定'!$C$20,'①在庫を貼る'!$U$6:$U$10005,0)),IF($B272&lt;='設定'!$C$20+'設定'!$C$17+'設定'!$C$18,INDEX('月1回_1ヶ月前の在庫'!$W$6:$W$10005,MATCH($B272-'設定'!$C$20-'設定'!$C$17,'月1回_1ヶ月前の在庫'!$U$6:$U$10005,0)),INDEX('月1回_2ヶ月前の在庫'!$W$6:$W$10005,MATCH($B272-'設定'!$C$20-'設定'!$C$17-'設定'!$C$18,'月1回_2ヶ月前の在庫'!$U$6:$U$10005,0))))))</f>
        <v/>
      </c>
      <c r="D272">
        <f>IF($C272="","",IFERROR(IF(INDEX('商品マスタ'!$C$6:$C$1005,MATCH($C272,'商品マスタ'!$B$6:$B$1005,0))="",IFERROR(INDEX('①在庫を貼る'!$J$6:$J$10005,MATCH($C272,'①在庫を貼る'!$W$6:$W$10005,0)),IFERROR(INDEX('月1回_1ヶ月前の在庫'!$J$6:$J$10005,MATCH($C272,'月1回_1ヶ月前の在庫'!$W$6:$W$10005,0)),IFERROR(INDEX('月1回_2ヶ月前の在庫'!$J$6:$J$10005,MATCH($C272,'月1回_2ヶ月前の在庫'!$W$6:$W$10005,0)),""))),INDEX('商品マスタ'!$C$6:$C$1005,MATCH($C272,'商品マスタ'!$B$6:$B$1005,0))),IFERROR(INDEX('①在庫を貼る'!$J$6:$J$10005,MATCH($C272,'①在庫を貼る'!$W$6:$W$10005,0)),IFERROR(INDEX('月1回_1ヶ月前の在庫'!$J$6:$J$10005,MATCH($C272,'月1回_1ヶ月前の在庫'!$W$6:$W$10005,0)),IFERROR(INDEX('月1回_2ヶ月前の在庫'!$J$6:$J$10005,MATCH($C272,'月1回_2ヶ月前の在庫'!$W$6:$W$10005,0)),"")))))</f>
        <v/>
      </c>
      <c r="E272">
        <f>IF($C272="","",IFERROR(IF(INDEX('商品マスタ'!$D$6:$D$1005,MATCH($C272,'商品マスタ'!$B$6:$B$1005,0))="",IFERROR(INDEX('①在庫を貼る'!$H$6:$H$10005,MATCH($C272,'①在庫を貼る'!$W$6:$W$10005,0)),IFERROR(INDEX('月1回_1ヶ月前の在庫'!$H$6:$H$10005,MATCH($C272,'月1回_1ヶ月前の在庫'!$W$6:$W$10005,0)),IFERROR(INDEX('月1回_2ヶ月前の在庫'!$H$6:$H$10005,MATCH($C272,'月1回_2ヶ月前の在庫'!$W$6:$W$10005,0)),""))),INDEX('商品マスタ'!$D$6:$D$1005,MATCH($C272,'商品マスタ'!$B$6:$B$1005,0))),IFERROR(INDEX('①在庫を貼る'!$H$6:$H$10005,MATCH($C272,'①在庫を貼る'!$W$6:$W$10005,0)),IFERROR(INDEX('月1回_1ヶ月前の在庫'!$H$6:$H$10005,MATCH($C272,'月1回_1ヶ月前の在庫'!$W$6:$W$10005,0)),IFERROR(INDEX('月1回_2ヶ月前の在庫'!$H$6:$H$10005,MATCH($C272,'月1回_2ヶ月前の在庫'!$W$6:$W$10005,0)),"")))))</f>
        <v/>
      </c>
      <c r="F272">
        <f>IF($C272="","",IFERROR(IF(INDEX('商品マスタ'!$E$6:$E$1005,MATCH($C272,'商品マスタ'!$B$6:$B$1005,0))="",IFERROR(INDEX('①在庫を貼る'!$E$6:$E$10005,MATCH($C272,'①在庫を貼る'!$W$6:$W$10005,0)),IFERROR(INDEX('月1回_1ヶ月前の在庫'!$E$6:$E$10005,MATCH($C272,'月1回_1ヶ月前の在庫'!$W$6:$W$10005,0)),IFERROR(INDEX('月1回_2ヶ月前の在庫'!$E$6:$E$10005,MATCH($C272,'月1回_2ヶ月前の在庫'!$W$6:$W$10005,0)),""))),INDEX('商品マスタ'!$E$6:$E$1005,MATCH($C272,'商品マスタ'!$B$6:$B$1005,0))),IFERROR(INDEX('①在庫を貼る'!$E$6:$E$10005,MATCH($C272,'①在庫を貼る'!$W$6:$W$10005,0)),IFERROR(INDEX('月1回_1ヶ月前の在庫'!$E$6:$E$10005,MATCH($C272,'月1回_1ヶ月前の在庫'!$W$6:$W$10005,0)),IFERROR(INDEX('月1回_2ヶ月前の在庫'!$E$6:$E$10005,MATCH($C272,'月1回_2ヶ月前の在庫'!$W$6:$W$10005,0)),"")))))</f>
        <v/>
      </c>
      <c r="G272">
        <f>IF($C272="","",MAX(1,N(IFERROR(IF(INDEX('商品マスタ'!$F$6:$F$1005,MATCH($C272,'商品マスタ'!$B$6:$B$1005,0))="",IF(COUNTIFS('①在庫を貼る'!$V$6:$V$10005,'設定'!$C$4,'①在庫を貼る'!$W$6:$W$10005,$C272)&gt;0,SUMIFS('①在庫を貼る'!$K$6:$K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K$6:$K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K$6:$K$10005,'月1回_2ヶ月前の在庫'!$V$6:$V$10005,'設定'!$C$4,'月1回_2ヶ月前の在庫'!$W$6:$W$10005,$C272)/COUNTIFS('月1回_2ヶ月前の在庫'!$V$6:$V$10005,'設定'!$C$4,'月1回_2ヶ月前の在庫'!$W$6:$W$10005,$C272),0))),INDEX('商品マスタ'!$F$6:$F$1005,MATCH($C272,'商品マスタ'!$B$6:$B$1005,0))),IF(COUNTIFS('①在庫を貼る'!$V$6:$V$10005,'設定'!$C$4,'①在庫を貼る'!$W$6:$W$10005,$C272)&gt;0,SUMIFS('①在庫を貼る'!$K$6:$K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K$6:$K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K$6:$K$10005,'月1回_2ヶ月前の在庫'!$V$6:$V$10005,'設定'!$C$4,'月1回_2ヶ月前の在庫'!$W$6:$W$10005,$C272)/COUNTIFS('月1回_2ヶ月前の在庫'!$V$6:$V$10005,'設定'!$C$4,'月1回_2ヶ月前の在庫'!$W$6:$W$10005,$C272),0)))))))</f>
        <v/>
      </c>
      <c r="H272">
        <f>IF($C272="","",N(IFERROR(IF(INDEX('商品マスタ'!$G$6:$G$1005,MATCH($C272,'商品マスタ'!$B$6:$B$1005,0))="",IF(COUNTIFS('①在庫を貼る'!$V$6:$V$10005,'設定'!$C$4,'①在庫を貼る'!$W$6:$W$10005,$C272)&gt;0,SUMIFS('①在庫を貼る'!$Q$6:$Q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Q$6:$Q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Q$6:$Q$10005,'月1回_2ヶ月前の在庫'!$V$6:$V$10005,'設定'!$C$4,'月1回_2ヶ月前の在庫'!$W$6:$W$10005,$C272)/COUNTIFS('月1回_2ヶ月前の在庫'!$V$6:$V$10005,'設定'!$C$4,'月1回_2ヶ月前の在庫'!$W$6:$W$10005,$C272),0))),INDEX('商品マスタ'!$G$6:$G$1005,MATCH($C272,'商品マスタ'!$B$6:$B$1005,0))),IF(COUNTIFS('①在庫を貼る'!$V$6:$V$10005,'設定'!$C$4,'①在庫を貼る'!$W$6:$W$10005,$C272)&gt;0,SUMIFS('①在庫を貼る'!$Q$6:$Q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Q$6:$Q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Q$6:$Q$10005,'月1回_2ヶ月前の在庫'!$V$6:$V$10005,'設定'!$C$4,'月1回_2ヶ月前の在庫'!$W$6:$W$10005,$C272)/COUNTIFS('月1回_2ヶ月前の在庫'!$V$6:$V$10005,'設定'!$C$4,'月1回_2ヶ月前の在庫'!$W$6:$W$10005,$C272),0))))))</f>
        <v/>
      </c>
      <c r="I272">
        <f>IF($C272="","",IF(COUNTIFS('①在庫を貼る'!$V$6:$V$10005,'設定'!$C$4,'①在庫を貼る'!$W$6:$W$10005,$C272)=0,"",SUMIFS('①在庫を貼る'!$N$6:$N$10005,'①在庫を貼る'!$V$6:$V$10005,'設定'!$C$4,'①在庫を貼る'!$W$6:$W$10005,$C272)))</f>
        <v/>
      </c>
      <c r="J272">
        <f>IF($C272="","",IF('②発注する'!$AD276="","",'②発注する'!$AD276))</f>
        <v/>
      </c>
      <c r="K272" s="90">
        <f>IF($C272="","",IF('②発注する'!$AE276="","",'②発注する'!$AE276))</f>
        <v/>
      </c>
      <c r="L272">
        <f>IF($C272="","",IF(AND(ISNUMBER($J272),ISNUMBER($K272),$K272&gt;='設定'!$C$6),$J272,N($I272)))</f>
        <v/>
      </c>
      <c r="M272">
        <f>IF($C272="","",IFERROR(IF(N(INDEX('商品マスタ'!$J$6:$J$1005,MATCH($C272,'商品マスタ'!$B$6:$B$1005,0)))&gt;0,INDEX('商品マスタ'!$J$6:$J$1005,MATCH($C272,'商品マスタ'!$B$6:$B$1005,0)),""),""))</f>
        <v/>
      </c>
      <c r="N272">
        <f>IF($C272="","",IFERROR(IF(N(INDEX('商品マスタ'!$H$6:$H$1005,MATCH($C272,'商品マスタ'!$B$6:$B$1005,0)))&gt;0,INDEX('商品マスタ'!$H$6:$H$1005,MATCH($C272,'商品マスタ'!$B$6:$B$1005,0)),""),""))</f>
        <v/>
      </c>
      <c r="O272">
        <f>IF($C272="","",IF($N272&lt;&gt;"",$N272*$G272,IF(N(IF(COUNTIFS('①在庫を貼る'!$V$6:$V$10005,'設定'!$C$4,'①在庫を貼る'!$W$6:$W$10005,$C272)&gt;0,SUMIFS('①在庫を貼る'!$O$6:$O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O$6:$O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O$6:$O$10005,'月1回_2ヶ月前の在庫'!$V$6:$V$10005,'設定'!$C$4,'月1回_2ヶ月前の在庫'!$W$6:$W$10005,$C272)/COUNTIFS('月1回_2ヶ月前の在庫'!$V$6:$V$10005,'設定'!$C$4,'月1回_2ヶ月前の在庫'!$W$6:$W$10005,$C272),0))))&gt;0,N(IF(COUNTIFS('①在庫を貼る'!$V$6:$V$10005,'設定'!$C$4,'①在庫を貼る'!$W$6:$W$10005,$C272)&gt;0,SUMIFS('①在庫を貼る'!$O$6:$O$10005,'①在庫を貼る'!$V$6:$V$10005,'設定'!$C$4,'①在庫を貼る'!$W$6:$W$10005,$C272)/COUNTIFS('①在庫を貼る'!$V$6:$V$10005,'設定'!$C$4,'①在庫を貼る'!$W$6:$W$10005,$C272),IF(COUNTIFS('月1回_1ヶ月前の在庫'!$V$6:$V$10005,'設定'!$C$4,'月1回_1ヶ月前の在庫'!$W$6:$W$10005,$C272)&gt;0,SUMIFS('月1回_1ヶ月前の在庫'!$O$6:$O$10005,'月1回_1ヶ月前の在庫'!$V$6:$V$10005,'設定'!$C$4,'月1回_1ヶ月前の在庫'!$W$6:$W$10005,$C272)/COUNTIFS('月1回_1ヶ月前の在庫'!$V$6:$V$10005,'設定'!$C$4,'月1回_1ヶ月前の在庫'!$W$6:$W$10005,$C272),IF(COUNTIFS('月1回_2ヶ月前の在庫'!$V$6:$V$10005,'設定'!$C$4,'月1回_2ヶ月前の在庫'!$W$6:$W$10005,$C272)&gt;0,SUMIFS('月1回_2ヶ月前の在庫'!$O$6:$O$10005,'月1回_2ヶ月前の在庫'!$V$6:$V$10005,'設定'!$C$4,'月1回_2ヶ月前の在庫'!$W$6:$W$10005,$C272)/COUNTIFS('月1回_2ヶ月前の在庫'!$V$6:$V$10005,'設定'!$C$4,'月1回_2ヶ月前の在庫'!$W$6:$W$10005,$C272),0)))),"")))</f>
        <v/>
      </c>
      <c r="P272" s="90">
        <f>IF($C272="","",IF('②発注する'!$I276="","",'②発注する'!$I276))</f>
        <v/>
      </c>
      <c r="Q272">
        <f>IF($C272="","",IF('②発注する'!$J276="","",'②発注する'!$J276))</f>
        <v/>
      </c>
      <c r="R272">
        <f>IF($C272="",0,IF(AND(ISNUMBER($P272),ISNUMBER($Q272)),MAX(0,$Q272)*$G272,0))</f>
        <v/>
      </c>
      <c r="S272" s="90">
        <f>IF($C272="","",IF('②発注する'!$M276="","",'②発注する'!$M276))</f>
        <v/>
      </c>
      <c r="T272">
        <f>IF($C272="","",IF('②発注する'!$N276="","",'②発注する'!$N276))</f>
        <v/>
      </c>
      <c r="U272">
        <f>IF($C272="",0,IF(AND(ISNUMBER($S272),ISNUMBER($T272)),MAX(0,$T272)*$G272,0))</f>
        <v/>
      </c>
      <c r="V272">
        <f>IF($C272="",0,IF($M272="",0,MAX(0,$M272)*MAX(0,V$4)/100))</f>
        <v/>
      </c>
      <c r="W272">
        <f>IF($C272="",0,IF($M272="",0,MAX(0,$M272)*MAX(0,W$4)/100))</f>
        <v/>
      </c>
      <c r="X272">
        <f>IF($C272="",0,IF($M272="",0,MAX(0,$M272)*MAX(0,X$4)/100))</f>
        <v/>
      </c>
      <c r="Y272">
        <f>IF($C272="",0,IF($M272="",0,MAX(0,$M272)*MAX(0,Y$4)/100))</f>
        <v/>
      </c>
      <c r="Z272">
        <f>IF($C272="",0,IF($M272="",0,MAX(0,$M272)*MAX(0,Z$4)/100))</f>
        <v/>
      </c>
      <c r="AA272">
        <f>IF($C272="",0,IF($M272="",0,MAX(0,$M272)*MAX(0,AA$4)/100))</f>
        <v/>
      </c>
      <c r="AB272">
        <f>IF($C272="",0,IF($M272="",0,MAX(0,$M272)*MAX(0,AB$4)/100))</f>
        <v/>
      </c>
      <c r="AC272">
        <f>IF($C272="",0,IF($M272="",0,MAX(0,$M272)*MAX(0,AC$4)/100))</f>
        <v/>
      </c>
      <c r="AD272">
        <f>IF($C272="",0,IF($M272="",0,MAX(0,$M272)*MAX(0,AD$4)/100))</f>
        <v/>
      </c>
      <c r="AE272">
        <f>IF($C272="",0,IF($M272="",0,MAX(0,$M272)*MAX(0,AE$4)/100))</f>
        <v/>
      </c>
      <c r="AF272">
        <f>IF($C272="",0,IF($M272="",0,MAX(0,$M272)*MAX(0,AF$4)/100))</f>
        <v/>
      </c>
      <c r="AG272">
        <f>IF($C272="",0,IF($M272="",0,MAX(0,$M272)*MAX(0,AG$4)/100))</f>
        <v/>
      </c>
      <c r="AH272">
        <f>IF($C272="",0,IF($M272="",0,MAX(0,$M272)*MAX(0,AH$4)/100))</f>
        <v/>
      </c>
      <c r="AI272">
        <f>IF($C272="",0,IF($M272="",0,MAX(0,$M272)*MAX(0,AI$4)/100))</f>
        <v/>
      </c>
      <c r="AJ272">
        <f>IF($C272="",0,MAX(0,MAX(0,N($L272))-$V272))</f>
        <v/>
      </c>
      <c r="AK272">
        <f>IF($C272="",0,MAX(0,$AJ272-$W272))</f>
        <v/>
      </c>
      <c r="AL272">
        <f>IF($C272="",0,MAX(0,$AK272-$X272))</f>
        <v/>
      </c>
      <c r="AM272">
        <f>IF($C272="",0,MAX(0,$AL272-$Y272))</f>
        <v/>
      </c>
      <c r="AN272">
        <f>IF($C272="",0,MAX(0,$AM272-$Z272))</f>
        <v/>
      </c>
      <c r="AO272">
        <f>IF($C272="",0,MAX(0,$AN272-$AA272))</f>
        <v/>
      </c>
      <c r="AP272">
        <f>IF($C272="",0,MAX(0,$AO272-$AB272))</f>
        <v/>
      </c>
      <c r="AQ272">
        <f>IF($C272="",0,MAX(0,$AP272-$AC272))</f>
        <v/>
      </c>
      <c r="AR272">
        <f>IF($C272="",0,MAX(0,$AQ272-$AD272))</f>
        <v/>
      </c>
      <c r="AS272">
        <f>IF($C272="",0,MAX(0,$AR272-$AE272))</f>
        <v/>
      </c>
      <c r="AT272">
        <f>IF($C272="",0,MAX(0,$AS272-$AF272))</f>
        <v/>
      </c>
      <c r="AU272">
        <f>IF($C272="",0,MAX(0,$AT272-$AG272))</f>
        <v/>
      </c>
      <c r="AV272">
        <f>IF($C272="",0,MAX(0,$AU272-$AH272))</f>
        <v/>
      </c>
      <c r="AW272">
        <f>IF($C272="",0,MAX(0,$AV272-$AI272))</f>
        <v/>
      </c>
      <c r="AX272">
        <f>IF($C272="",0,MAX(0,MAX(0,N($L272))+IF($P272=V$3,$R272,0)+IF($S272=V$3,$U272,0)-$V272))</f>
        <v/>
      </c>
      <c r="AY272">
        <f>IF($C272="",0,MAX(0,$AX272+IF($P272=W$3,$R272,0)+IF($S272=W$3,$U272,0)-$W272))</f>
        <v/>
      </c>
      <c r="AZ272">
        <f>IF($C272="",0,MAX(0,$AY272+IF($P272=X$3,$R272,0)+IF($S272=X$3,$U272,0)-$X272))</f>
        <v/>
      </c>
      <c r="BA272">
        <f>IF($C272="",0,MAX(0,$AZ272+IF($P272=Y$3,$R272,0)+IF($S272=Y$3,$U272,0)-$Y272))</f>
        <v/>
      </c>
      <c r="BB272">
        <f>IF($C272="",0,MAX(0,$BA272+IF($P272=Z$3,$R272,0)+IF($S272=Z$3,$U272,0)-$Z272))</f>
        <v/>
      </c>
      <c r="BC272">
        <f>IF($C272="",0,MAX(0,$BB272+IF($P272=AA$3,$R272,0)+IF($S272=AA$3,$U272,0)-$AA272))</f>
        <v/>
      </c>
      <c r="BD272">
        <f>IF($C272="",0,MAX(0,$BC272+IF($P272=AB$3,$R272,0)+IF($S272=AB$3,$U272,0)-$AB272))</f>
        <v/>
      </c>
      <c r="BE272">
        <f>IF($C272="",0,MAX(0,$BD272+IF($P272=AC$3,$R272,0)+IF($S272=AC$3,$U272,0)-$AC272))</f>
        <v/>
      </c>
      <c r="BF272">
        <f>IF($C272="",0,MAX(0,$BE272+IF($P272=AD$3,$R272,0)+IF($S272=AD$3,$U272,0)-$AD272))</f>
        <v/>
      </c>
      <c r="BG272">
        <f>IF($C272="",0,MAX(0,$BF272+IF($P272=AE$3,$R272,0)+IF($S272=AE$3,$U272,0)-$AE272))</f>
        <v/>
      </c>
      <c r="BH272">
        <f>IF($C272="",0,MAX(0,$BG272+IF($P272=AF$3,$R272,0)+IF($S272=AF$3,$U272,0)-$AF272))</f>
        <v/>
      </c>
      <c r="BI272">
        <f>IF($C272="",0,MAX(0,$BH272+IF($P272=AG$3,$R272,0)+IF($S272=AG$3,$U272,0)-$AG272))</f>
        <v/>
      </c>
      <c r="BJ272">
        <f>IF($C272="",0,MAX(0,$BI272+IF($P272=AH$3,$R272,0)+IF($S272=AH$3,$U272,0)-$AH272))</f>
        <v/>
      </c>
      <c r="BK272">
        <f>IF($C272="",0,MAX(0,$BJ272+IF($P272=AI$3,$R272,0)+IF($S272=AI$3,$U272,0)-$AI272))</f>
        <v/>
      </c>
      <c r="BL272">
        <f>IF($C272="",99,IF(AND($AX272&lt;1,V$3&gt;=MAX(N($P272),N($S272))),0,99))</f>
        <v/>
      </c>
      <c r="BM272">
        <f>IF($C272="",99,IF(AND($AY272&lt;1,W$3&gt;=MAX(N($P272),N($S272))),1,99))</f>
        <v/>
      </c>
      <c r="BN272">
        <f>IF($C272="",99,IF(AND($AZ272&lt;1,X$3&gt;=MAX(N($P272),N($S272))),2,99))</f>
        <v/>
      </c>
      <c r="BO272">
        <f>IF($C272="",99,IF(AND($BA272&lt;1,Y$3&gt;=MAX(N($P272),N($S272))),3,99))</f>
        <v/>
      </c>
      <c r="BP272">
        <f>IF($C272="",99,IF(AND($BB272&lt;1,Z$3&gt;=MAX(N($P272),N($S272))),4,99))</f>
        <v/>
      </c>
      <c r="BQ272">
        <f>IF($C272="",99,IF(AND($BC272&lt;1,AA$3&gt;=MAX(N($P272),N($S272))),5,99))</f>
        <v/>
      </c>
      <c r="BR272">
        <f>IF($C272="",99,IF(AND($BD272&lt;1,AB$3&gt;=MAX(N($P272),N($S272))),6,99))</f>
        <v/>
      </c>
      <c r="BS272">
        <f>IF($C272="",99,IF(AND($BE272&lt;1,AC$3&gt;=MAX(N($P272),N($S272))),7,99))</f>
        <v/>
      </c>
      <c r="BT272">
        <f>IF($C272="",99,IF(AND($BF272&lt;1,AD$3&gt;=MAX(N($P272),N($S272))),8,99))</f>
        <v/>
      </c>
      <c r="BU272">
        <f>IF($C272="",99,IF(AND($BG272&lt;1,AE$3&gt;=MAX(N($P272),N($S272))),9,99))</f>
        <v/>
      </c>
      <c r="BV272">
        <f>IF($C272="",99,IF(AND($BH272&lt;1,AF$3&gt;=MAX(N($P272),N($S272))),10,99))</f>
        <v/>
      </c>
      <c r="BW272">
        <f>IF($C272="",99,IF(AND($BI272&lt;1,AG$3&gt;=MAX(N($P272),N($S272))),11,99))</f>
        <v/>
      </c>
      <c r="BX272">
        <f>IF($C272="",99,IF(AND($BJ272&lt;1,AH$3&gt;=MAX(N($P272),N($S272))),12,99))</f>
        <v/>
      </c>
      <c r="BY272">
        <f>IF($C272="",99,IF(AND($BK272&lt;1,AI$3&gt;=MAX(N($P272),N($S272))),13,99))</f>
        <v/>
      </c>
      <c r="BZ272">
        <f>IF(OR($C272="",$M272=""),"",COUNTIF($AJ272:$AW272,"&gt;=1"))</f>
        <v/>
      </c>
      <c r="CA272" s="90">
        <f>IF($BZ272="","",IF($BZ272&gt;=14,"",'設定'!$C$6+$BZ272))</f>
        <v/>
      </c>
      <c r="CB272">
        <f>IF(OR($C272="",$M272=""),"",MIN($BL272:$BY272))</f>
        <v/>
      </c>
      <c r="CC272" s="90">
        <f>IF($CB272="","",IF($CB272&gt;=99,"",'設定'!$C$6+$CB272))</f>
        <v/>
      </c>
      <c r="CD272">
        <f>IF(OR($C272="",$M272=""),"",AVERAGE($V272:$AI272))</f>
        <v/>
      </c>
      <c r="CE272">
        <f>IF($C272="","",IFERROR(IF(MATCH(IF(ISNUMBER($P272),$P272,'設定'!$C$6+N('設定'!$C$7)),$V$3:$AI$3,0)=1,MAX(0,N($L272)),INDEX($AJ272:$AW272,MATCH(IF(ISNUMBER($P272),$P272,'設定'!$C$6+N('設定'!$C$7)),$V$3:$AI$3,0)-1)),""))</f>
        <v/>
      </c>
      <c r="CF272">
        <f>IF(OR($C272="",$O272="",$CE272=""),"",IF($O272-$CE272&lt;=0,0,ROUNDUP(($O272-$CE272)/$G272,0)))</f>
        <v/>
      </c>
      <c r="CG272">
        <f>IF(OR($C272="",$CF272="",NOT(ISNUMBER($Q272))),0,MAX(0,$Q272-$CF272))</f>
        <v/>
      </c>
      <c r="CH272">
        <f>IF(OR($C272="",$O272="",$U272=0),0,IFERROR(ROUNDUP(MAX(0,IF(MATCH($S272,$V$3:$AI$3,0)=1,MAX(0,N($L272)),INDEX($AX272:$BK272,MATCH($S272,$V$3:$AI$3,0)-1))+$U272-$O272)/$G272,0),0))</f>
        <v/>
      </c>
      <c r="CI272">
        <f>IF($C272="","",IF(AND($P272="",$Q272=""),"",IF($P272="","⚠ 入庫日を ▼ から選んでください",IF(NOT(ISNUMBER($P272)),"⚠ 入庫日は ▼ から選んでください",IF($P272&lt;N('設定'!$C$6),"⚠ 入庫日が過去です（もう在庫に入っています）→ 消してください",IF($P272&gt;N('設定'!$C$6)+13,"⚠ 入庫日が14日より先です",IF(N($Q272)&lt;=0,"⚠ 入庫数を入れてください",IF($CG272&gt;0,"⚠ 目安より "&amp;$CG272&amp;" 多い（定数を超える）→ 減らす",""))))))))</f>
        <v/>
      </c>
      <c r="CJ272">
        <f>IF($C272="","",IF(AND($S272="",$T272=""),"",IF($S272="","⚠ 2便目：入庫日を ▼ から選んでください",IF(NOT(ISNUMBER($S272)),"⚠ 2便目：入庫日は ▼ から選んでください",IF($S272&lt;N('設定'!$C$6),"⚠ 2便目：入庫日が過去です（もう在庫に入っています）→ 消してください",IF($S272&gt;N('設定'!$C$6)+13,"⚠ 2便目：入庫日が14日より先です",IF(N($T272)&lt;=0,"⚠ 2便目：入庫数を入れてください",IF($CH272&gt;0,"⚠ 2便目：定数を "&amp;$CH272&amp;" ケース超える → 減らす",""))))))))</f>
        <v/>
      </c>
      <c r="CK272">
        <f>IF(AND($CI272="",N($Q272)&gt;0,ISNUMBER($P272)),1,0)</f>
        <v/>
      </c>
      <c r="CL272">
        <f>IF(AND($CJ272="",N($T272)&gt;0,ISNUMBER($S272)),1,0)</f>
        <v/>
      </c>
      <c r="CM272">
        <f>IF(OR($CK272=1,$CL272=1),1,0)</f>
        <v/>
      </c>
      <c r="CN272">
        <f>IF($C272="",0,($CK272*$R272+$CL272*$U272)*N($H272))</f>
        <v/>
      </c>
      <c r="CO272">
        <f>IF($C272="","",IF($CC272="","入庫後は 14日以上もつ",IF($CC272-N('設定'!$C$7)&lt;='設定'!$C$6,"入庫後も "&amp;TEXT($CC272,"m/d")&amp;"("&amp;CHOOSE(WEEKDAY($CC272),"日","月","火","水","木","金","土")&amp;")"&amp;" に切れる　もう1便を至急発注","入庫後も "&amp;TEXT($CC272,"m/d")&amp;"("&amp;CHOOSE(WEEKDAY($CC272),"日","月","火","水","木","金","土")&amp;")"&amp;" に切れる　"&amp;TEXT($CC272-N('設定'!$C$7),"m/d")&amp;"("&amp;CHOOSE(WEEKDAY($CC272-N('設定'!$C$7)),"日","月","火","水","木","金","土")&amp;")"&amp;" までに次を発注")))</f>
        <v/>
      </c>
      <c r="CP272">
        <f>IF($C272="","",IF('設定'!$C$6="","？ ①在庫を貼る に今日のCSVが貼られていない",IF($CS272=1,"－ 今日のCSVに無い（終売？）",IF($L272&lt;0,"● 在庫がマイナス　数えて「数えた在庫」に入れる",IF($L272=0,"● 在庫なし　至急発注",IF($M272="","？ 減り数が未設定（商品マスタ）",IF($B$3=0,"？ 動員が未入力（動員を入れる）",IF($CA272="","○ 14日以上もつ",IF($BZ272&lt;N('設定'!$C$7),"● "&amp;TEXT($CA272,"m/d")&amp;"("&amp;CHOOSE(WEEKDAY($CA272),"日","月","火","水","木","金","土")&amp;")"&amp;" に切れる　至急発注",IF($BZ272=N('設定'!$C$7),"● "&amp;TEXT($CA272,"m/d")&amp;"("&amp;CHOOSE(WEEKDAY($CA272),"日","月","火","水","木","金","土")&amp;")"&amp;" に切れる　今日発注","△ "&amp;TEXT($CA272,"m/d")&amp;"("&amp;CHOOSE(WEEKDAY($CA272),"日","月","火","水","木","金","土")&amp;")"&amp;" に切れる　"&amp;TEXT($CA272-N('設定'!$C$7),"m/d")&amp;"("&amp;CHOOSE(WEEKDAY($CA272-N('設定'!$C$7)),"日","月","火","水","木","金","土")&amp;")"&amp;" までに発注"))))))))))</f>
        <v/>
      </c>
      <c r="CQ272">
        <f>IF($C272="","",IF(AND($P272="",$Q272="",$S272="",$T272=""),"",IF(AND($P272="",$Q272=""),"⚠ 先に1便目（左の入庫日・入庫数）に入れてください",IF($CI272&lt;&gt;"",$CI272,IF($CJ272&lt;&gt;"",$CJ272,IF($M272="","？ 減り数が未設定（発注書には載ります）",IF($B$3=0,"？ 動員が未入力（発注書には載ります）",IF(AND($CA272&lt;&gt;"",$P272&gt;$CA272),IF($P272&gt;'設定'!$C$6+N('設定'!$C$7),"● "&amp;TEXT($P272,"m/d")&amp;"("&amp;CHOOSE(WEEKDAY($P272),"日","月","火","水","木","金","土")&amp;")"&amp;" の入庫では間に合わない（"&amp;TEXT($CA272,"m/d")&amp;"("&amp;CHOOSE(WEEKDAY($CA272),"日","月","火","水","木","金","土")&amp;")"&amp;" に切れる）　入庫日を早める","△ 欠品 "&amp;TEXT($CA272,"m/d")&amp;"("&amp;CHOOSE(WEEKDAY($CA272),"日","月","火","水","木","金","土")&amp;")"&amp;"〜"&amp;TEXT($P272-1,"m/d")&amp;"("&amp;CHOOSE(WEEKDAY($P272-1),"日","月","火","水","木","金","土")&amp;")"&amp;"　"&amp;$CO272),IF($CC272="","○ "&amp;TEXT($P272,"m/d")&amp;"("&amp;CHOOSE(WEEKDAY($P272),"日","月","火","水","木","金","土")&amp;")"&amp;" 入庫で 14日以上もつ",IF($CC272-N('設定'!$C$7)&lt;='設定'!$C$6,"● 入庫しても "&amp;TEXT($CC272,"m/d")&amp;"("&amp;CHOOSE(WEEKDAY($CC272),"日","月","火","水","木","金","土")&amp;")"&amp;" に切れる　もう1便を至急発注（2便目に入れる）","△ 入庫しても "&amp;TEXT($CC272,"m/d")&amp;"("&amp;CHOOSE(WEEKDAY($CC272),"日","月","火","水","木","金","土")&amp;")"&amp;" に切れる　"&amp;TEXT($CC272-N('設定'!$C$7),"m/d")&amp;"("&amp;CHOOSE(WEEKDAY($CC272-N('設定'!$C$7)),"日","月","火","水","木","金","土")&amp;")"&amp;" までに次を発注（2便目に入れる）"))))))))))</f>
        <v/>
      </c>
      <c r="CR272">
        <f>IF($C272="","",IF($G272&gt;1,"ｹｰｽ("&amp;$G272&amp;"入)","個"))</f>
        <v/>
      </c>
      <c r="CS272">
        <f>IF($C272="",0,IF(COUNTIFS('①在庫を貼る'!$V$6:$V$10005,'設定'!$C$4,'①在庫を貼る'!$W$6:$W$10005,$C272)=0,1,0))</f>
        <v/>
      </c>
      <c r="CT272">
        <f>IF(AND($CK272=1,OR('③発注書'!$C$4="すべて",'③発注書'!$C$4="",$F272='③発注書'!$C$4)),N($CT271)+1,N($CT271))</f>
        <v/>
      </c>
      <c r="CU272">
        <f>IF(AND($CL272=1,OR('③発注書'!$C$4="すべて",'③発注書'!$C$4="",$F272='③発注書'!$C$4)),N($CU271)+1,N($CU271))</f>
        <v/>
      </c>
      <c r="CV272">
        <f>IF($C272="",0,IF(COUNTIFS('①在庫を貼る'!$V$6:$V$10005,'設定'!$C$4,'①在庫を貼る'!$W$6:$W$10005,$C272)&gt;0,1,0))</f>
        <v/>
      </c>
      <c r="CW272">
        <f>IF($C272="",0,IF(COUNTIFS('月1回_1ヶ月前の在庫'!$V$6:$V$10005,'設定'!$C$4,'月1回_1ヶ月前の在庫'!$W$6:$W$10005,$C272)&gt;0,1,0))</f>
        <v/>
      </c>
      <c r="CX272">
        <f>IF($C272="",0,IF(COUNTIFS('月1回_2ヶ月前の在庫'!$V$6:$V$10005,'設定'!$C$4,'月1回_2ヶ月前の在庫'!$W$6:$W$10005,$C272)&gt;0,1,0))</f>
        <v/>
      </c>
      <c r="CY272">
        <f>IF(OR($C272="",'設定'!$C$12=""),"",IF('設定'!$C$13="",IF(AND($CV272=1,$CW272=0),"新商品（今月から）",IF(AND($CV272=0,$CW272=1),"終売（今月から）","")),IF(AND($CV272=1,$CW272=0,$CX272=0),"新商品（今月から）",IF(AND($CV272=1,$CW272=1,$CX272=0),"新商品（先月から）",IF(AND($CV272=0,$CW272=1,$CX272=1),"終売（今月から）",IF(AND($CV272=0,$CW272=0,$CX272=1),"終売（先月から）",IF(AND($CV272=1,$CW272=0,$CX272=1),"復活（先月は無し）","")))))))</f>
        <v/>
      </c>
    </row>
    <row r="273">
      <c r="B273">
        <f>IF(268&lt;='設定'!$C$11,268,"")</f>
        <v/>
      </c>
      <c r="C273">
        <f>IF($B273="","",IF($B273&lt;='設定'!$C$20,INDEX('商品マスタ'!$B$6:$B$1005,MATCH($B273,'商品マスタ'!$M$6:$M$1005,0)),IF($B273&lt;='設定'!$C$20+'設定'!$C$17,INDEX('①在庫を貼る'!$W$6:$W$10005,MATCH($B273-'設定'!$C$20,'①在庫を貼る'!$U$6:$U$10005,0)),IF($B273&lt;='設定'!$C$20+'設定'!$C$17+'設定'!$C$18,INDEX('月1回_1ヶ月前の在庫'!$W$6:$W$10005,MATCH($B273-'設定'!$C$20-'設定'!$C$17,'月1回_1ヶ月前の在庫'!$U$6:$U$10005,0)),INDEX('月1回_2ヶ月前の在庫'!$W$6:$W$10005,MATCH($B273-'設定'!$C$20-'設定'!$C$17-'設定'!$C$18,'月1回_2ヶ月前の在庫'!$U$6:$U$10005,0))))))</f>
        <v/>
      </c>
      <c r="D273">
        <f>IF($C273="","",IFERROR(IF(INDEX('商品マスタ'!$C$6:$C$1005,MATCH($C273,'商品マスタ'!$B$6:$B$1005,0))="",IFERROR(INDEX('①在庫を貼る'!$J$6:$J$10005,MATCH($C273,'①在庫を貼る'!$W$6:$W$10005,0)),IFERROR(INDEX('月1回_1ヶ月前の在庫'!$J$6:$J$10005,MATCH($C273,'月1回_1ヶ月前の在庫'!$W$6:$W$10005,0)),IFERROR(INDEX('月1回_2ヶ月前の在庫'!$J$6:$J$10005,MATCH($C273,'月1回_2ヶ月前の在庫'!$W$6:$W$10005,0)),""))),INDEX('商品マスタ'!$C$6:$C$1005,MATCH($C273,'商品マスタ'!$B$6:$B$1005,0))),IFERROR(INDEX('①在庫を貼る'!$J$6:$J$10005,MATCH($C273,'①在庫を貼る'!$W$6:$W$10005,0)),IFERROR(INDEX('月1回_1ヶ月前の在庫'!$J$6:$J$10005,MATCH($C273,'月1回_1ヶ月前の在庫'!$W$6:$W$10005,0)),IFERROR(INDEX('月1回_2ヶ月前の在庫'!$J$6:$J$10005,MATCH($C273,'月1回_2ヶ月前の在庫'!$W$6:$W$10005,0)),"")))))</f>
        <v/>
      </c>
      <c r="E273">
        <f>IF($C273="","",IFERROR(IF(INDEX('商品マスタ'!$D$6:$D$1005,MATCH($C273,'商品マスタ'!$B$6:$B$1005,0))="",IFERROR(INDEX('①在庫を貼る'!$H$6:$H$10005,MATCH($C273,'①在庫を貼る'!$W$6:$W$10005,0)),IFERROR(INDEX('月1回_1ヶ月前の在庫'!$H$6:$H$10005,MATCH($C273,'月1回_1ヶ月前の在庫'!$W$6:$W$10005,0)),IFERROR(INDEX('月1回_2ヶ月前の在庫'!$H$6:$H$10005,MATCH($C273,'月1回_2ヶ月前の在庫'!$W$6:$W$10005,0)),""))),INDEX('商品マスタ'!$D$6:$D$1005,MATCH($C273,'商品マスタ'!$B$6:$B$1005,0))),IFERROR(INDEX('①在庫を貼る'!$H$6:$H$10005,MATCH($C273,'①在庫を貼る'!$W$6:$W$10005,0)),IFERROR(INDEX('月1回_1ヶ月前の在庫'!$H$6:$H$10005,MATCH($C273,'月1回_1ヶ月前の在庫'!$W$6:$W$10005,0)),IFERROR(INDEX('月1回_2ヶ月前の在庫'!$H$6:$H$10005,MATCH($C273,'月1回_2ヶ月前の在庫'!$W$6:$W$10005,0)),"")))))</f>
        <v/>
      </c>
      <c r="F273">
        <f>IF($C273="","",IFERROR(IF(INDEX('商品マスタ'!$E$6:$E$1005,MATCH($C273,'商品マスタ'!$B$6:$B$1005,0))="",IFERROR(INDEX('①在庫を貼る'!$E$6:$E$10005,MATCH($C273,'①在庫を貼る'!$W$6:$W$10005,0)),IFERROR(INDEX('月1回_1ヶ月前の在庫'!$E$6:$E$10005,MATCH($C273,'月1回_1ヶ月前の在庫'!$W$6:$W$10005,0)),IFERROR(INDEX('月1回_2ヶ月前の在庫'!$E$6:$E$10005,MATCH($C273,'月1回_2ヶ月前の在庫'!$W$6:$W$10005,0)),""))),INDEX('商品マスタ'!$E$6:$E$1005,MATCH($C273,'商品マスタ'!$B$6:$B$1005,0))),IFERROR(INDEX('①在庫を貼る'!$E$6:$E$10005,MATCH($C273,'①在庫を貼る'!$W$6:$W$10005,0)),IFERROR(INDEX('月1回_1ヶ月前の在庫'!$E$6:$E$10005,MATCH($C273,'月1回_1ヶ月前の在庫'!$W$6:$W$10005,0)),IFERROR(INDEX('月1回_2ヶ月前の在庫'!$E$6:$E$10005,MATCH($C273,'月1回_2ヶ月前の在庫'!$W$6:$W$10005,0)),"")))))</f>
        <v/>
      </c>
      <c r="G273">
        <f>IF($C273="","",MAX(1,N(IFERROR(IF(INDEX('商品マスタ'!$F$6:$F$1005,MATCH($C273,'商品マスタ'!$B$6:$B$1005,0))="",IF(COUNTIFS('①在庫を貼る'!$V$6:$V$10005,'設定'!$C$4,'①在庫を貼る'!$W$6:$W$10005,$C273)&gt;0,SUMIFS('①在庫を貼る'!$K$6:$K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K$6:$K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K$6:$K$10005,'月1回_2ヶ月前の在庫'!$V$6:$V$10005,'設定'!$C$4,'月1回_2ヶ月前の在庫'!$W$6:$W$10005,$C273)/COUNTIFS('月1回_2ヶ月前の在庫'!$V$6:$V$10005,'設定'!$C$4,'月1回_2ヶ月前の在庫'!$W$6:$W$10005,$C273),0))),INDEX('商品マスタ'!$F$6:$F$1005,MATCH($C273,'商品マスタ'!$B$6:$B$1005,0))),IF(COUNTIFS('①在庫を貼る'!$V$6:$V$10005,'設定'!$C$4,'①在庫を貼る'!$W$6:$W$10005,$C273)&gt;0,SUMIFS('①在庫を貼る'!$K$6:$K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K$6:$K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K$6:$K$10005,'月1回_2ヶ月前の在庫'!$V$6:$V$10005,'設定'!$C$4,'月1回_2ヶ月前の在庫'!$W$6:$W$10005,$C273)/COUNTIFS('月1回_2ヶ月前の在庫'!$V$6:$V$10005,'設定'!$C$4,'月1回_2ヶ月前の在庫'!$W$6:$W$10005,$C273),0)))))))</f>
        <v/>
      </c>
      <c r="H273">
        <f>IF($C273="","",N(IFERROR(IF(INDEX('商品マスタ'!$G$6:$G$1005,MATCH($C273,'商品マスタ'!$B$6:$B$1005,0))="",IF(COUNTIFS('①在庫を貼る'!$V$6:$V$10005,'設定'!$C$4,'①在庫を貼る'!$W$6:$W$10005,$C273)&gt;0,SUMIFS('①在庫を貼る'!$Q$6:$Q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Q$6:$Q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Q$6:$Q$10005,'月1回_2ヶ月前の在庫'!$V$6:$V$10005,'設定'!$C$4,'月1回_2ヶ月前の在庫'!$W$6:$W$10005,$C273)/COUNTIFS('月1回_2ヶ月前の在庫'!$V$6:$V$10005,'設定'!$C$4,'月1回_2ヶ月前の在庫'!$W$6:$W$10005,$C273),0))),INDEX('商品マスタ'!$G$6:$G$1005,MATCH($C273,'商品マスタ'!$B$6:$B$1005,0))),IF(COUNTIFS('①在庫を貼る'!$V$6:$V$10005,'設定'!$C$4,'①在庫を貼る'!$W$6:$W$10005,$C273)&gt;0,SUMIFS('①在庫を貼る'!$Q$6:$Q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Q$6:$Q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Q$6:$Q$10005,'月1回_2ヶ月前の在庫'!$V$6:$V$10005,'設定'!$C$4,'月1回_2ヶ月前の在庫'!$W$6:$W$10005,$C273)/COUNTIFS('月1回_2ヶ月前の在庫'!$V$6:$V$10005,'設定'!$C$4,'月1回_2ヶ月前の在庫'!$W$6:$W$10005,$C273),0))))))</f>
        <v/>
      </c>
      <c r="I273">
        <f>IF($C273="","",IF(COUNTIFS('①在庫を貼る'!$V$6:$V$10005,'設定'!$C$4,'①在庫を貼る'!$W$6:$W$10005,$C273)=0,"",SUMIFS('①在庫を貼る'!$N$6:$N$10005,'①在庫を貼る'!$V$6:$V$10005,'設定'!$C$4,'①在庫を貼る'!$W$6:$W$10005,$C273)))</f>
        <v/>
      </c>
      <c r="J273">
        <f>IF($C273="","",IF('②発注する'!$AD277="","",'②発注する'!$AD277))</f>
        <v/>
      </c>
      <c r="K273" s="90">
        <f>IF($C273="","",IF('②発注する'!$AE277="","",'②発注する'!$AE277))</f>
        <v/>
      </c>
      <c r="L273">
        <f>IF($C273="","",IF(AND(ISNUMBER($J273),ISNUMBER($K273),$K273&gt;='設定'!$C$6),$J273,N($I273)))</f>
        <v/>
      </c>
      <c r="M273">
        <f>IF($C273="","",IFERROR(IF(N(INDEX('商品マスタ'!$J$6:$J$1005,MATCH($C273,'商品マスタ'!$B$6:$B$1005,0)))&gt;0,INDEX('商品マスタ'!$J$6:$J$1005,MATCH($C273,'商品マスタ'!$B$6:$B$1005,0)),""),""))</f>
        <v/>
      </c>
      <c r="N273">
        <f>IF($C273="","",IFERROR(IF(N(INDEX('商品マスタ'!$H$6:$H$1005,MATCH($C273,'商品マスタ'!$B$6:$B$1005,0)))&gt;0,INDEX('商品マスタ'!$H$6:$H$1005,MATCH($C273,'商品マスタ'!$B$6:$B$1005,0)),""),""))</f>
        <v/>
      </c>
      <c r="O273">
        <f>IF($C273="","",IF($N273&lt;&gt;"",$N273*$G273,IF(N(IF(COUNTIFS('①在庫を貼る'!$V$6:$V$10005,'設定'!$C$4,'①在庫を貼る'!$W$6:$W$10005,$C273)&gt;0,SUMIFS('①在庫を貼る'!$O$6:$O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O$6:$O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O$6:$O$10005,'月1回_2ヶ月前の在庫'!$V$6:$V$10005,'設定'!$C$4,'月1回_2ヶ月前の在庫'!$W$6:$W$10005,$C273)/COUNTIFS('月1回_2ヶ月前の在庫'!$V$6:$V$10005,'設定'!$C$4,'月1回_2ヶ月前の在庫'!$W$6:$W$10005,$C273),0))))&gt;0,N(IF(COUNTIFS('①在庫を貼る'!$V$6:$V$10005,'設定'!$C$4,'①在庫を貼る'!$W$6:$W$10005,$C273)&gt;0,SUMIFS('①在庫を貼る'!$O$6:$O$10005,'①在庫を貼る'!$V$6:$V$10005,'設定'!$C$4,'①在庫を貼る'!$W$6:$W$10005,$C273)/COUNTIFS('①在庫を貼る'!$V$6:$V$10005,'設定'!$C$4,'①在庫を貼る'!$W$6:$W$10005,$C273),IF(COUNTIFS('月1回_1ヶ月前の在庫'!$V$6:$V$10005,'設定'!$C$4,'月1回_1ヶ月前の在庫'!$W$6:$W$10005,$C273)&gt;0,SUMIFS('月1回_1ヶ月前の在庫'!$O$6:$O$10005,'月1回_1ヶ月前の在庫'!$V$6:$V$10005,'設定'!$C$4,'月1回_1ヶ月前の在庫'!$W$6:$W$10005,$C273)/COUNTIFS('月1回_1ヶ月前の在庫'!$V$6:$V$10005,'設定'!$C$4,'月1回_1ヶ月前の在庫'!$W$6:$W$10005,$C273),IF(COUNTIFS('月1回_2ヶ月前の在庫'!$V$6:$V$10005,'設定'!$C$4,'月1回_2ヶ月前の在庫'!$W$6:$W$10005,$C273)&gt;0,SUMIFS('月1回_2ヶ月前の在庫'!$O$6:$O$10005,'月1回_2ヶ月前の在庫'!$V$6:$V$10005,'設定'!$C$4,'月1回_2ヶ月前の在庫'!$W$6:$W$10005,$C273)/COUNTIFS('月1回_2ヶ月前の在庫'!$V$6:$V$10005,'設定'!$C$4,'月1回_2ヶ月前の在庫'!$W$6:$W$10005,$C273),0)))),"")))</f>
        <v/>
      </c>
      <c r="P273" s="90">
        <f>IF($C273="","",IF('②発注する'!$I277="","",'②発注する'!$I277))</f>
        <v/>
      </c>
      <c r="Q273">
        <f>IF($C273="","",IF('②発注する'!$J277="","",'②発注する'!$J277))</f>
        <v/>
      </c>
      <c r="R273">
        <f>IF($C273="",0,IF(AND(ISNUMBER($P273),ISNUMBER($Q273)),MAX(0,$Q273)*$G273,0))</f>
        <v/>
      </c>
      <c r="S273" s="90">
        <f>IF($C273="","",IF('②発注する'!$M277="","",'②発注する'!$M277))</f>
        <v/>
      </c>
      <c r="T273">
        <f>IF($C273="","",IF('②発注する'!$N277="","",'②発注する'!$N277))</f>
        <v/>
      </c>
      <c r="U273">
        <f>IF($C273="",0,IF(AND(ISNUMBER($S273),ISNUMBER($T273)),MAX(0,$T273)*$G273,0))</f>
        <v/>
      </c>
      <c r="V273">
        <f>IF($C273="",0,IF($M273="",0,MAX(0,$M273)*MAX(0,V$4)/100))</f>
        <v/>
      </c>
      <c r="W273">
        <f>IF($C273="",0,IF($M273="",0,MAX(0,$M273)*MAX(0,W$4)/100))</f>
        <v/>
      </c>
      <c r="X273">
        <f>IF($C273="",0,IF($M273="",0,MAX(0,$M273)*MAX(0,X$4)/100))</f>
        <v/>
      </c>
      <c r="Y273">
        <f>IF($C273="",0,IF($M273="",0,MAX(0,$M273)*MAX(0,Y$4)/100))</f>
        <v/>
      </c>
      <c r="Z273">
        <f>IF($C273="",0,IF($M273="",0,MAX(0,$M273)*MAX(0,Z$4)/100))</f>
        <v/>
      </c>
      <c r="AA273">
        <f>IF($C273="",0,IF($M273="",0,MAX(0,$M273)*MAX(0,AA$4)/100))</f>
        <v/>
      </c>
      <c r="AB273">
        <f>IF($C273="",0,IF($M273="",0,MAX(0,$M273)*MAX(0,AB$4)/100))</f>
        <v/>
      </c>
      <c r="AC273">
        <f>IF($C273="",0,IF($M273="",0,MAX(0,$M273)*MAX(0,AC$4)/100))</f>
        <v/>
      </c>
      <c r="AD273">
        <f>IF($C273="",0,IF($M273="",0,MAX(0,$M273)*MAX(0,AD$4)/100))</f>
        <v/>
      </c>
      <c r="AE273">
        <f>IF($C273="",0,IF($M273="",0,MAX(0,$M273)*MAX(0,AE$4)/100))</f>
        <v/>
      </c>
      <c r="AF273">
        <f>IF($C273="",0,IF($M273="",0,MAX(0,$M273)*MAX(0,AF$4)/100))</f>
        <v/>
      </c>
      <c r="AG273">
        <f>IF($C273="",0,IF($M273="",0,MAX(0,$M273)*MAX(0,AG$4)/100))</f>
        <v/>
      </c>
      <c r="AH273">
        <f>IF($C273="",0,IF($M273="",0,MAX(0,$M273)*MAX(0,AH$4)/100))</f>
        <v/>
      </c>
      <c r="AI273">
        <f>IF($C273="",0,IF($M273="",0,MAX(0,$M273)*MAX(0,AI$4)/100))</f>
        <v/>
      </c>
      <c r="AJ273">
        <f>IF($C273="",0,MAX(0,MAX(0,N($L273))-$V273))</f>
        <v/>
      </c>
      <c r="AK273">
        <f>IF($C273="",0,MAX(0,$AJ273-$W273))</f>
        <v/>
      </c>
      <c r="AL273">
        <f>IF($C273="",0,MAX(0,$AK273-$X273))</f>
        <v/>
      </c>
      <c r="AM273">
        <f>IF($C273="",0,MAX(0,$AL273-$Y273))</f>
        <v/>
      </c>
      <c r="AN273">
        <f>IF($C273="",0,MAX(0,$AM273-$Z273))</f>
        <v/>
      </c>
      <c r="AO273">
        <f>IF($C273="",0,MAX(0,$AN273-$AA273))</f>
        <v/>
      </c>
      <c r="AP273">
        <f>IF($C273="",0,MAX(0,$AO273-$AB273))</f>
        <v/>
      </c>
      <c r="AQ273">
        <f>IF($C273="",0,MAX(0,$AP273-$AC273))</f>
        <v/>
      </c>
      <c r="AR273">
        <f>IF($C273="",0,MAX(0,$AQ273-$AD273))</f>
        <v/>
      </c>
      <c r="AS273">
        <f>IF($C273="",0,MAX(0,$AR273-$AE273))</f>
        <v/>
      </c>
      <c r="AT273">
        <f>IF($C273="",0,MAX(0,$AS273-$AF273))</f>
        <v/>
      </c>
      <c r="AU273">
        <f>IF($C273="",0,MAX(0,$AT273-$AG273))</f>
        <v/>
      </c>
      <c r="AV273">
        <f>IF($C273="",0,MAX(0,$AU273-$AH273))</f>
        <v/>
      </c>
      <c r="AW273">
        <f>IF($C273="",0,MAX(0,$AV273-$AI273))</f>
        <v/>
      </c>
      <c r="AX273">
        <f>IF($C273="",0,MAX(0,MAX(0,N($L273))+IF($P273=V$3,$R273,0)+IF($S273=V$3,$U273,0)-$V273))</f>
        <v/>
      </c>
      <c r="AY273">
        <f>IF($C273="",0,MAX(0,$AX273+IF($P273=W$3,$R273,0)+IF($S273=W$3,$U273,0)-$W273))</f>
        <v/>
      </c>
      <c r="AZ273">
        <f>IF($C273="",0,MAX(0,$AY273+IF($P273=X$3,$R273,0)+IF($S273=X$3,$U273,0)-$X273))</f>
        <v/>
      </c>
      <c r="BA273">
        <f>IF($C273="",0,MAX(0,$AZ273+IF($P273=Y$3,$R273,0)+IF($S273=Y$3,$U273,0)-$Y273))</f>
        <v/>
      </c>
      <c r="BB273">
        <f>IF($C273="",0,MAX(0,$BA273+IF($P273=Z$3,$R273,0)+IF($S273=Z$3,$U273,0)-$Z273))</f>
        <v/>
      </c>
      <c r="BC273">
        <f>IF($C273="",0,MAX(0,$BB273+IF($P273=AA$3,$R273,0)+IF($S273=AA$3,$U273,0)-$AA273))</f>
        <v/>
      </c>
      <c r="BD273">
        <f>IF($C273="",0,MAX(0,$BC273+IF($P273=AB$3,$R273,0)+IF($S273=AB$3,$U273,0)-$AB273))</f>
        <v/>
      </c>
      <c r="BE273">
        <f>IF($C273="",0,MAX(0,$BD273+IF($P273=AC$3,$R273,0)+IF($S273=AC$3,$U273,0)-$AC273))</f>
        <v/>
      </c>
      <c r="BF273">
        <f>IF($C273="",0,MAX(0,$BE273+IF($P273=AD$3,$R273,0)+IF($S273=AD$3,$U273,0)-$AD273))</f>
        <v/>
      </c>
      <c r="BG273">
        <f>IF($C273="",0,MAX(0,$BF273+IF($P273=AE$3,$R273,0)+IF($S273=AE$3,$U273,0)-$AE273))</f>
        <v/>
      </c>
      <c r="BH273">
        <f>IF($C273="",0,MAX(0,$BG273+IF($P273=AF$3,$R273,0)+IF($S273=AF$3,$U273,0)-$AF273))</f>
        <v/>
      </c>
      <c r="BI273">
        <f>IF($C273="",0,MAX(0,$BH273+IF($P273=AG$3,$R273,0)+IF($S273=AG$3,$U273,0)-$AG273))</f>
        <v/>
      </c>
      <c r="BJ273">
        <f>IF($C273="",0,MAX(0,$BI273+IF($P273=AH$3,$R273,0)+IF($S273=AH$3,$U273,0)-$AH273))</f>
        <v/>
      </c>
      <c r="BK273">
        <f>IF($C273="",0,MAX(0,$BJ273+IF($P273=AI$3,$R273,0)+IF($S273=AI$3,$U273,0)-$AI273))</f>
        <v/>
      </c>
      <c r="BL273">
        <f>IF($C273="",99,IF(AND($AX273&lt;1,V$3&gt;=MAX(N($P273),N($S273))),0,99))</f>
        <v/>
      </c>
      <c r="BM273">
        <f>IF($C273="",99,IF(AND($AY273&lt;1,W$3&gt;=MAX(N($P273),N($S273))),1,99))</f>
        <v/>
      </c>
      <c r="BN273">
        <f>IF($C273="",99,IF(AND($AZ273&lt;1,X$3&gt;=MAX(N($P273),N($S273))),2,99))</f>
        <v/>
      </c>
      <c r="BO273">
        <f>IF($C273="",99,IF(AND($BA273&lt;1,Y$3&gt;=MAX(N($P273),N($S273))),3,99))</f>
        <v/>
      </c>
      <c r="BP273">
        <f>IF($C273="",99,IF(AND($BB273&lt;1,Z$3&gt;=MAX(N($P273),N($S273))),4,99))</f>
        <v/>
      </c>
      <c r="BQ273">
        <f>IF($C273="",99,IF(AND($BC273&lt;1,AA$3&gt;=MAX(N($P273),N($S273))),5,99))</f>
        <v/>
      </c>
      <c r="BR273">
        <f>IF($C273="",99,IF(AND($BD273&lt;1,AB$3&gt;=MAX(N($P273),N($S273))),6,99))</f>
        <v/>
      </c>
      <c r="BS273">
        <f>IF($C273="",99,IF(AND($BE273&lt;1,AC$3&gt;=MAX(N($P273),N($S273))),7,99))</f>
        <v/>
      </c>
      <c r="BT273">
        <f>IF($C273="",99,IF(AND($BF273&lt;1,AD$3&gt;=MAX(N($P273),N($S273))),8,99))</f>
        <v/>
      </c>
      <c r="BU273">
        <f>IF($C273="",99,IF(AND($BG273&lt;1,AE$3&gt;=MAX(N($P273),N($S273))),9,99))</f>
        <v/>
      </c>
      <c r="BV273">
        <f>IF($C273="",99,IF(AND($BH273&lt;1,AF$3&gt;=MAX(N($P273),N($S273))),10,99))</f>
        <v/>
      </c>
      <c r="BW273">
        <f>IF($C273="",99,IF(AND($BI273&lt;1,AG$3&gt;=MAX(N($P273),N($S273))),11,99))</f>
        <v/>
      </c>
      <c r="BX273">
        <f>IF($C273="",99,IF(AND($BJ273&lt;1,AH$3&gt;=MAX(N($P273),N($S273))),12,99))</f>
        <v/>
      </c>
      <c r="BY273">
        <f>IF($C273="",99,IF(AND($BK273&lt;1,AI$3&gt;=MAX(N($P273),N($S273))),13,99))</f>
        <v/>
      </c>
      <c r="BZ273">
        <f>IF(OR($C273="",$M273=""),"",COUNTIF($AJ273:$AW273,"&gt;=1"))</f>
        <v/>
      </c>
      <c r="CA273" s="90">
        <f>IF($BZ273="","",IF($BZ273&gt;=14,"",'設定'!$C$6+$BZ273))</f>
        <v/>
      </c>
      <c r="CB273">
        <f>IF(OR($C273="",$M273=""),"",MIN($BL273:$BY273))</f>
        <v/>
      </c>
      <c r="CC273" s="90">
        <f>IF($CB273="","",IF($CB273&gt;=99,"",'設定'!$C$6+$CB273))</f>
        <v/>
      </c>
      <c r="CD273">
        <f>IF(OR($C273="",$M273=""),"",AVERAGE($V273:$AI273))</f>
        <v/>
      </c>
      <c r="CE273">
        <f>IF($C273="","",IFERROR(IF(MATCH(IF(ISNUMBER($P273),$P273,'設定'!$C$6+N('設定'!$C$7)),$V$3:$AI$3,0)=1,MAX(0,N($L273)),INDEX($AJ273:$AW273,MATCH(IF(ISNUMBER($P273),$P273,'設定'!$C$6+N('設定'!$C$7)),$V$3:$AI$3,0)-1)),""))</f>
        <v/>
      </c>
      <c r="CF273">
        <f>IF(OR($C273="",$O273="",$CE273=""),"",IF($O273-$CE273&lt;=0,0,ROUNDUP(($O273-$CE273)/$G273,0)))</f>
        <v/>
      </c>
      <c r="CG273">
        <f>IF(OR($C273="",$CF273="",NOT(ISNUMBER($Q273))),0,MAX(0,$Q273-$CF273))</f>
        <v/>
      </c>
      <c r="CH273">
        <f>IF(OR($C273="",$O273="",$U273=0),0,IFERROR(ROUNDUP(MAX(0,IF(MATCH($S273,$V$3:$AI$3,0)=1,MAX(0,N($L273)),INDEX($AX273:$BK273,MATCH($S273,$V$3:$AI$3,0)-1))+$U273-$O273)/$G273,0),0))</f>
        <v/>
      </c>
      <c r="CI273">
        <f>IF($C273="","",IF(AND($P273="",$Q273=""),"",IF($P273="","⚠ 入庫日を ▼ から選んでください",IF(NOT(ISNUMBER($P273)),"⚠ 入庫日は ▼ から選んでください",IF($P273&lt;N('設定'!$C$6),"⚠ 入庫日が過去です（もう在庫に入っています）→ 消してください",IF($P273&gt;N('設定'!$C$6)+13,"⚠ 入庫日が14日より先です",IF(N($Q273)&lt;=0,"⚠ 入庫数を入れてください",IF($CG273&gt;0,"⚠ 目安より "&amp;$CG273&amp;" 多い（定数を超える）→ 減らす",""))))))))</f>
        <v/>
      </c>
      <c r="CJ273">
        <f>IF($C273="","",IF(AND($S273="",$T273=""),"",IF($S273="","⚠ 2便目：入庫日を ▼ から選んでください",IF(NOT(ISNUMBER($S273)),"⚠ 2便目：入庫日は ▼ から選んでください",IF($S273&lt;N('設定'!$C$6),"⚠ 2便目：入庫日が過去です（もう在庫に入っています）→ 消してください",IF($S273&gt;N('設定'!$C$6)+13,"⚠ 2便目：入庫日が14日より先です",IF(N($T273)&lt;=0,"⚠ 2便目：入庫数を入れてください",IF($CH273&gt;0,"⚠ 2便目：定数を "&amp;$CH273&amp;" ケース超える → 減らす",""))))))))</f>
        <v/>
      </c>
      <c r="CK273">
        <f>IF(AND($CI273="",N($Q273)&gt;0,ISNUMBER($P273)),1,0)</f>
        <v/>
      </c>
      <c r="CL273">
        <f>IF(AND($CJ273="",N($T273)&gt;0,ISNUMBER($S273)),1,0)</f>
        <v/>
      </c>
      <c r="CM273">
        <f>IF(OR($CK273=1,$CL273=1),1,0)</f>
        <v/>
      </c>
      <c r="CN273">
        <f>IF($C273="",0,($CK273*$R273+$CL273*$U273)*N($H273))</f>
        <v/>
      </c>
      <c r="CO273">
        <f>IF($C273="","",IF($CC273="","入庫後は 14日以上もつ",IF($CC273-N('設定'!$C$7)&lt;='設定'!$C$6,"入庫後も "&amp;TEXT($CC273,"m/d")&amp;"("&amp;CHOOSE(WEEKDAY($CC273),"日","月","火","水","木","金","土")&amp;")"&amp;" に切れる　もう1便を至急発注","入庫後も "&amp;TEXT($CC273,"m/d")&amp;"("&amp;CHOOSE(WEEKDAY($CC273),"日","月","火","水","木","金","土")&amp;")"&amp;" に切れる　"&amp;TEXT($CC273-N('設定'!$C$7),"m/d")&amp;"("&amp;CHOOSE(WEEKDAY($CC273-N('設定'!$C$7)),"日","月","火","水","木","金","土")&amp;")"&amp;" までに次を発注")))</f>
        <v/>
      </c>
      <c r="CP273">
        <f>IF($C273="","",IF('設定'!$C$6="","？ ①在庫を貼る に今日のCSVが貼られていない",IF($CS273=1,"－ 今日のCSVに無い（終売？）",IF($L273&lt;0,"● 在庫がマイナス　数えて「数えた在庫」に入れる",IF($L273=0,"● 在庫なし　至急発注",IF($M273="","？ 減り数が未設定（商品マスタ）",IF($B$3=0,"？ 動員が未入力（動員を入れる）",IF($CA273="","○ 14日以上もつ",IF($BZ273&lt;N('設定'!$C$7),"● "&amp;TEXT($CA273,"m/d")&amp;"("&amp;CHOOSE(WEEKDAY($CA273),"日","月","火","水","木","金","土")&amp;")"&amp;" に切れる　至急発注",IF($BZ273=N('設定'!$C$7),"● "&amp;TEXT($CA273,"m/d")&amp;"("&amp;CHOOSE(WEEKDAY($CA273),"日","月","火","水","木","金","土")&amp;")"&amp;" に切れる　今日発注","△ "&amp;TEXT($CA273,"m/d")&amp;"("&amp;CHOOSE(WEEKDAY($CA273),"日","月","火","水","木","金","土")&amp;")"&amp;" に切れる　"&amp;TEXT($CA273-N('設定'!$C$7),"m/d")&amp;"("&amp;CHOOSE(WEEKDAY($CA273-N('設定'!$C$7)),"日","月","火","水","木","金","土")&amp;")"&amp;" までに発注"))))))))))</f>
        <v/>
      </c>
      <c r="CQ273">
        <f>IF($C273="","",IF(AND($P273="",$Q273="",$S273="",$T273=""),"",IF(AND($P273="",$Q273=""),"⚠ 先に1便目（左の入庫日・入庫数）に入れてください",IF($CI273&lt;&gt;"",$CI273,IF($CJ273&lt;&gt;"",$CJ273,IF($M273="","？ 減り数が未設定（発注書には載ります）",IF($B$3=0,"？ 動員が未入力（発注書には載ります）",IF(AND($CA273&lt;&gt;"",$P273&gt;$CA273),IF($P273&gt;'設定'!$C$6+N('設定'!$C$7),"● "&amp;TEXT($P273,"m/d")&amp;"("&amp;CHOOSE(WEEKDAY($P273),"日","月","火","水","木","金","土")&amp;")"&amp;" の入庫では間に合わない（"&amp;TEXT($CA273,"m/d")&amp;"("&amp;CHOOSE(WEEKDAY($CA273),"日","月","火","水","木","金","土")&amp;")"&amp;" に切れる）　入庫日を早める","△ 欠品 "&amp;TEXT($CA273,"m/d")&amp;"("&amp;CHOOSE(WEEKDAY($CA273),"日","月","火","水","木","金","土")&amp;")"&amp;"〜"&amp;TEXT($P273-1,"m/d")&amp;"("&amp;CHOOSE(WEEKDAY($P273-1),"日","月","火","水","木","金","土")&amp;")"&amp;"　"&amp;$CO273),IF($CC273="","○ "&amp;TEXT($P273,"m/d")&amp;"("&amp;CHOOSE(WEEKDAY($P273),"日","月","火","水","木","金","土")&amp;")"&amp;" 入庫で 14日以上もつ",IF($CC273-N('設定'!$C$7)&lt;='設定'!$C$6,"● 入庫しても "&amp;TEXT($CC273,"m/d")&amp;"("&amp;CHOOSE(WEEKDAY($CC273),"日","月","火","水","木","金","土")&amp;")"&amp;" に切れる　もう1便を至急発注（2便目に入れる）","△ 入庫しても "&amp;TEXT($CC273,"m/d")&amp;"("&amp;CHOOSE(WEEKDAY($CC273),"日","月","火","水","木","金","土")&amp;")"&amp;" に切れる　"&amp;TEXT($CC273-N('設定'!$C$7),"m/d")&amp;"("&amp;CHOOSE(WEEKDAY($CC273-N('設定'!$C$7)),"日","月","火","水","木","金","土")&amp;")"&amp;" までに次を発注（2便目に入れる）"))))))))))</f>
        <v/>
      </c>
      <c r="CR273">
        <f>IF($C273="","",IF($G273&gt;1,"ｹｰｽ("&amp;$G273&amp;"入)","個"))</f>
        <v/>
      </c>
      <c r="CS273">
        <f>IF($C273="",0,IF(COUNTIFS('①在庫を貼る'!$V$6:$V$10005,'設定'!$C$4,'①在庫を貼る'!$W$6:$W$10005,$C273)=0,1,0))</f>
        <v/>
      </c>
      <c r="CT273">
        <f>IF(AND($CK273=1,OR('③発注書'!$C$4="すべて",'③発注書'!$C$4="",$F273='③発注書'!$C$4)),N($CT272)+1,N($CT272))</f>
        <v/>
      </c>
      <c r="CU273">
        <f>IF(AND($CL273=1,OR('③発注書'!$C$4="すべて",'③発注書'!$C$4="",$F273='③発注書'!$C$4)),N($CU272)+1,N($CU272))</f>
        <v/>
      </c>
      <c r="CV273">
        <f>IF($C273="",0,IF(COUNTIFS('①在庫を貼る'!$V$6:$V$10005,'設定'!$C$4,'①在庫を貼る'!$W$6:$W$10005,$C273)&gt;0,1,0))</f>
        <v/>
      </c>
      <c r="CW273">
        <f>IF($C273="",0,IF(COUNTIFS('月1回_1ヶ月前の在庫'!$V$6:$V$10005,'設定'!$C$4,'月1回_1ヶ月前の在庫'!$W$6:$W$10005,$C273)&gt;0,1,0))</f>
        <v/>
      </c>
      <c r="CX273">
        <f>IF($C273="",0,IF(COUNTIFS('月1回_2ヶ月前の在庫'!$V$6:$V$10005,'設定'!$C$4,'月1回_2ヶ月前の在庫'!$W$6:$W$10005,$C273)&gt;0,1,0))</f>
        <v/>
      </c>
      <c r="CY273">
        <f>IF(OR($C273="",'設定'!$C$12=""),"",IF('設定'!$C$13="",IF(AND($CV273=1,$CW273=0),"新商品（今月から）",IF(AND($CV273=0,$CW273=1),"終売（今月から）","")),IF(AND($CV273=1,$CW273=0,$CX273=0),"新商品（今月から）",IF(AND($CV273=1,$CW273=1,$CX273=0),"新商品（先月から）",IF(AND($CV273=0,$CW273=1,$CX273=1),"終売（今月から）",IF(AND($CV273=0,$CW273=0,$CX273=1),"終売（先月から）",IF(AND($CV273=1,$CW273=0,$CX273=1),"復活（先月は無し）","")))))))</f>
        <v/>
      </c>
    </row>
    <row r="274">
      <c r="B274">
        <f>IF(269&lt;='設定'!$C$11,269,"")</f>
        <v/>
      </c>
      <c r="C274">
        <f>IF($B274="","",IF($B274&lt;='設定'!$C$20,INDEX('商品マスタ'!$B$6:$B$1005,MATCH($B274,'商品マスタ'!$M$6:$M$1005,0)),IF($B274&lt;='設定'!$C$20+'設定'!$C$17,INDEX('①在庫を貼る'!$W$6:$W$10005,MATCH($B274-'設定'!$C$20,'①在庫を貼る'!$U$6:$U$10005,0)),IF($B274&lt;='設定'!$C$20+'設定'!$C$17+'設定'!$C$18,INDEX('月1回_1ヶ月前の在庫'!$W$6:$W$10005,MATCH($B274-'設定'!$C$20-'設定'!$C$17,'月1回_1ヶ月前の在庫'!$U$6:$U$10005,0)),INDEX('月1回_2ヶ月前の在庫'!$W$6:$W$10005,MATCH($B274-'設定'!$C$20-'設定'!$C$17-'設定'!$C$18,'月1回_2ヶ月前の在庫'!$U$6:$U$10005,0))))))</f>
        <v/>
      </c>
      <c r="D274">
        <f>IF($C274="","",IFERROR(IF(INDEX('商品マスタ'!$C$6:$C$1005,MATCH($C274,'商品マスタ'!$B$6:$B$1005,0))="",IFERROR(INDEX('①在庫を貼る'!$J$6:$J$10005,MATCH($C274,'①在庫を貼る'!$W$6:$W$10005,0)),IFERROR(INDEX('月1回_1ヶ月前の在庫'!$J$6:$J$10005,MATCH($C274,'月1回_1ヶ月前の在庫'!$W$6:$W$10005,0)),IFERROR(INDEX('月1回_2ヶ月前の在庫'!$J$6:$J$10005,MATCH($C274,'月1回_2ヶ月前の在庫'!$W$6:$W$10005,0)),""))),INDEX('商品マスタ'!$C$6:$C$1005,MATCH($C274,'商品マスタ'!$B$6:$B$1005,0))),IFERROR(INDEX('①在庫を貼る'!$J$6:$J$10005,MATCH($C274,'①在庫を貼る'!$W$6:$W$10005,0)),IFERROR(INDEX('月1回_1ヶ月前の在庫'!$J$6:$J$10005,MATCH($C274,'月1回_1ヶ月前の在庫'!$W$6:$W$10005,0)),IFERROR(INDEX('月1回_2ヶ月前の在庫'!$J$6:$J$10005,MATCH($C274,'月1回_2ヶ月前の在庫'!$W$6:$W$10005,0)),"")))))</f>
        <v/>
      </c>
      <c r="E274">
        <f>IF($C274="","",IFERROR(IF(INDEX('商品マスタ'!$D$6:$D$1005,MATCH($C274,'商品マスタ'!$B$6:$B$1005,0))="",IFERROR(INDEX('①在庫を貼る'!$H$6:$H$10005,MATCH($C274,'①在庫を貼る'!$W$6:$W$10005,0)),IFERROR(INDEX('月1回_1ヶ月前の在庫'!$H$6:$H$10005,MATCH($C274,'月1回_1ヶ月前の在庫'!$W$6:$W$10005,0)),IFERROR(INDEX('月1回_2ヶ月前の在庫'!$H$6:$H$10005,MATCH($C274,'月1回_2ヶ月前の在庫'!$W$6:$W$10005,0)),""))),INDEX('商品マスタ'!$D$6:$D$1005,MATCH($C274,'商品マスタ'!$B$6:$B$1005,0))),IFERROR(INDEX('①在庫を貼る'!$H$6:$H$10005,MATCH($C274,'①在庫を貼る'!$W$6:$W$10005,0)),IFERROR(INDEX('月1回_1ヶ月前の在庫'!$H$6:$H$10005,MATCH($C274,'月1回_1ヶ月前の在庫'!$W$6:$W$10005,0)),IFERROR(INDEX('月1回_2ヶ月前の在庫'!$H$6:$H$10005,MATCH($C274,'月1回_2ヶ月前の在庫'!$W$6:$W$10005,0)),"")))))</f>
        <v/>
      </c>
      <c r="F274">
        <f>IF($C274="","",IFERROR(IF(INDEX('商品マスタ'!$E$6:$E$1005,MATCH($C274,'商品マスタ'!$B$6:$B$1005,0))="",IFERROR(INDEX('①在庫を貼る'!$E$6:$E$10005,MATCH($C274,'①在庫を貼る'!$W$6:$W$10005,0)),IFERROR(INDEX('月1回_1ヶ月前の在庫'!$E$6:$E$10005,MATCH($C274,'月1回_1ヶ月前の在庫'!$W$6:$W$10005,0)),IFERROR(INDEX('月1回_2ヶ月前の在庫'!$E$6:$E$10005,MATCH($C274,'月1回_2ヶ月前の在庫'!$W$6:$W$10005,0)),""))),INDEX('商品マスタ'!$E$6:$E$1005,MATCH($C274,'商品マスタ'!$B$6:$B$1005,0))),IFERROR(INDEX('①在庫を貼る'!$E$6:$E$10005,MATCH($C274,'①在庫を貼る'!$W$6:$W$10005,0)),IFERROR(INDEX('月1回_1ヶ月前の在庫'!$E$6:$E$10005,MATCH($C274,'月1回_1ヶ月前の在庫'!$W$6:$W$10005,0)),IFERROR(INDEX('月1回_2ヶ月前の在庫'!$E$6:$E$10005,MATCH($C274,'月1回_2ヶ月前の在庫'!$W$6:$W$10005,0)),"")))))</f>
        <v/>
      </c>
      <c r="G274">
        <f>IF($C274="","",MAX(1,N(IFERROR(IF(INDEX('商品マスタ'!$F$6:$F$1005,MATCH($C274,'商品マスタ'!$B$6:$B$1005,0))="",IF(COUNTIFS('①在庫を貼る'!$V$6:$V$10005,'設定'!$C$4,'①在庫を貼る'!$W$6:$W$10005,$C274)&gt;0,SUMIFS('①在庫を貼る'!$K$6:$K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K$6:$K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K$6:$K$10005,'月1回_2ヶ月前の在庫'!$V$6:$V$10005,'設定'!$C$4,'月1回_2ヶ月前の在庫'!$W$6:$W$10005,$C274)/COUNTIFS('月1回_2ヶ月前の在庫'!$V$6:$V$10005,'設定'!$C$4,'月1回_2ヶ月前の在庫'!$W$6:$W$10005,$C274),0))),INDEX('商品マスタ'!$F$6:$F$1005,MATCH($C274,'商品マスタ'!$B$6:$B$1005,0))),IF(COUNTIFS('①在庫を貼る'!$V$6:$V$10005,'設定'!$C$4,'①在庫を貼る'!$W$6:$W$10005,$C274)&gt;0,SUMIFS('①在庫を貼る'!$K$6:$K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K$6:$K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K$6:$K$10005,'月1回_2ヶ月前の在庫'!$V$6:$V$10005,'設定'!$C$4,'月1回_2ヶ月前の在庫'!$W$6:$W$10005,$C274)/COUNTIFS('月1回_2ヶ月前の在庫'!$V$6:$V$10005,'設定'!$C$4,'月1回_2ヶ月前の在庫'!$W$6:$W$10005,$C274),0)))))))</f>
        <v/>
      </c>
      <c r="H274">
        <f>IF($C274="","",N(IFERROR(IF(INDEX('商品マスタ'!$G$6:$G$1005,MATCH($C274,'商品マスタ'!$B$6:$B$1005,0))="",IF(COUNTIFS('①在庫を貼る'!$V$6:$V$10005,'設定'!$C$4,'①在庫を貼る'!$W$6:$W$10005,$C274)&gt;0,SUMIFS('①在庫を貼る'!$Q$6:$Q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Q$6:$Q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Q$6:$Q$10005,'月1回_2ヶ月前の在庫'!$V$6:$V$10005,'設定'!$C$4,'月1回_2ヶ月前の在庫'!$W$6:$W$10005,$C274)/COUNTIFS('月1回_2ヶ月前の在庫'!$V$6:$V$10005,'設定'!$C$4,'月1回_2ヶ月前の在庫'!$W$6:$W$10005,$C274),0))),INDEX('商品マスタ'!$G$6:$G$1005,MATCH($C274,'商品マスタ'!$B$6:$B$1005,0))),IF(COUNTIFS('①在庫を貼る'!$V$6:$V$10005,'設定'!$C$4,'①在庫を貼る'!$W$6:$W$10005,$C274)&gt;0,SUMIFS('①在庫を貼る'!$Q$6:$Q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Q$6:$Q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Q$6:$Q$10005,'月1回_2ヶ月前の在庫'!$V$6:$V$10005,'設定'!$C$4,'月1回_2ヶ月前の在庫'!$W$6:$W$10005,$C274)/COUNTIFS('月1回_2ヶ月前の在庫'!$V$6:$V$10005,'設定'!$C$4,'月1回_2ヶ月前の在庫'!$W$6:$W$10005,$C274),0))))))</f>
        <v/>
      </c>
      <c r="I274">
        <f>IF($C274="","",IF(COUNTIFS('①在庫を貼る'!$V$6:$V$10005,'設定'!$C$4,'①在庫を貼る'!$W$6:$W$10005,$C274)=0,"",SUMIFS('①在庫を貼る'!$N$6:$N$10005,'①在庫を貼る'!$V$6:$V$10005,'設定'!$C$4,'①在庫を貼る'!$W$6:$W$10005,$C274)))</f>
        <v/>
      </c>
      <c r="J274">
        <f>IF($C274="","",IF('②発注する'!$AD278="","",'②発注する'!$AD278))</f>
        <v/>
      </c>
      <c r="K274" s="90">
        <f>IF($C274="","",IF('②発注する'!$AE278="","",'②発注する'!$AE278))</f>
        <v/>
      </c>
      <c r="L274">
        <f>IF($C274="","",IF(AND(ISNUMBER($J274),ISNUMBER($K274),$K274&gt;='設定'!$C$6),$J274,N($I274)))</f>
        <v/>
      </c>
      <c r="M274">
        <f>IF($C274="","",IFERROR(IF(N(INDEX('商品マスタ'!$J$6:$J$1005,MATCH($C274,'商品マスタ'!$B$6:$B$1005,0)))&gt;0,INDEX('商品マスタ'!$J$6:$J$1005,MATCH($C274,'商品マスタ'!$B$6:$B$1005,0)),""),""))</f>
        <v/>
      </c>
      <c r="N274">
        <f>IF($C274="","",IFERROR(IF(N(INDEX('商品マスタ'!$H$6:$H$1005,MATCH($C274,'商品マスタ'!$B$6:$B$1005,0)))&gt;0,INDEX('商品マスタ'!$H$6:$H$1005,MATCH($C274,'商品マスタ'!$B$6:$B$1005,0)),""),""))</f>
        <v/>
      </c>
      <c r="O274">
        <f>IF($C274="","",IF($N274&lt;&gt;"",$N274*$G274,IF(N(IF(COUNTIFS('①在庫を貼る'!$V$6:$V$10005,'設定'!$C$4,'①在庫を貼る'!$W$6:$W$10005,$C274)&gt;0,SUMIFS('①在庫を貼る'!$O$6:$O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O$6:$O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O$6:$O$10005,'月1回_2ヶ月前の在庫'!$V$6:$V$10005,'設定'!$C$4,'月1回_2ヶ月前の在庫'!$W$6:$W$10005,$C274)/COUNTIFS('月1回_2ヶ月前の在庫'!$V$6:$V$10005,'設定'!$C$4,'月1回_2ヶ月前の在庫'!$W$6:$W$10005,$C274),0))))&gt;0,N(IF(COUNTIFS('①在庫を貼る'!$V$6:$V$10005,'設定'!$C$4,'①在庫を貼る'!$W$6:$W$10005,$C274)&gt;0,SUMIFS('①在庫を貼る'!$O$6:$O$10005,'①在庫を貼る'!$V$6:$V$10005,'設定'!$C$4,'①在庫を貼る'!$W$6:$W$10005,$C274)/COUNTIFS('①在庫を貼る'!$V$6:$V$10005,'設定'!$C$4,'①在庫を貼る'!$W$6:$W$10005,$C274),IF(COUNTIFS('月1回_1ヶ月前の在庫'!$V$6:$V$10005,'設定'!$C$4,'月1回_1ヶ月前の在庫'!$W$6:$W$10005,$C274)&gt;0,SUMIFS('月1回_1ヶ月前の在庫'!$O$6:$O$10005,'月1回_1ヶ月前の在庫'!$V$6:$V$10005,'設定'!$C$4,'月1回_1ヶ月前の在庫'!$W$6:$W$10005,$C274)/COUNTIFS('月1回_1ヶ月前の在庫'!$V$6:$V$10005,'設定'!$C$4,'月1回_1ヶ月前の在庫'!$W$6:$W$10005,$C274),IF(COUNTIFS('月1回_2ヶ月前の在庫'!$V$6:$V$10005,'設定'!$C$4,'月1回_2ヶ月前の在庫'!$W$6:$W$10005,$C274)&gt;0,SUMIFS('月1回_2ヶ月前の在庫'!$O$6:$O$10005,'月1回_2ヶ月前の在庫'!$V$6:$V$10005,'設定'!$C$4,'月1回_2ヶ月前の在庫'!$W$6:$W$10005,$C274)/COUNTIFS('月1回_2ヶ月前の在庫'!$V$6:$V$10005,'設定'!$C$4,'月1回_2ヶ月前の在庫'!$W$6:$W$10005,$C274),0)))),"")))</f>
        <v/>
      </c>
      <c r="P274" s="90">
        <f>IF($C274="","",IF('②発注する'!$I278="","",'②発注する'!$I278))</f>
        <v/>
      </c>
      <c r="Q274">
        <f>IF($C274="","",IF('②発注する'!$J278="","",'②発注する'!$J278))</f>
        <v/>
      </c>
      <c r="R274">
        <f>IF($C274="",0,IF(AND(ISNUMBER($P274),ISNUMBER($Q274)),MAX(0,$Q274)*$G274,0))</f>
        <v/>
      </c>
      <c r="S274" s="90">
        <f>IF($C274="","",IF('②発注する'!$M278="","",'②発注する'!$M278))</f>
        <v/>
      </c>
      <c r="T274">
        <f>IF($C274="","",IF('②発注する'!$N278="","",'②発注する'!$N278))</f>
        <v/>
      </c>
      <c r="U274">
        <f>IF($C274="",0,IF(AND(ISNUMBER($S274),ISNUMBER($T274)),MAX(0,$T274)*$G274,0))</f>
        <v/>
      </c>
      <c r="V274">
        <f>IF($C274="",0,IF($M274="",0,MAX(0,$M274)*MAX(0,V$4)/100))</f>
        <v/>
      </c>
      <c r="W274">
        <f>IF($C274="",0,IF($M274="",0,MAX(0,$M274)*MAX(0,W$4)/100))</f>
        <v/>
      </c>
      <c r="X274">
        <f>IF($C274="",0,IF($M274="",0,MAX(0,$M274)*MAX(0,X$4)/100))</f>
        <v/>
      </c>
      <c r="Y274">
        <f>IF($C274="",0,IF($M274="",0,MAX(0,$M274)*MAX(0,Y$4)/100))</f>
        <v/>
      </c>
      <c r="Z274">
        <f>IF($C274="",0,IF($M274="",0,MAX(0,$M274)*MAX(0,Z$4)/100))</f>
        <v/>
      </c>
      <c r="AA274">
        <f>IF($C274="",0,IF($M274="",0,MAX(0,$M274)*MAX(0,AA$4)/100))</f>
        <v/>
      </c>
      <c r="AB274">
        <f>IF($C274="",0,IF($M274="",0,MAX(0,$M274)*MAX(0,AB$4)/100))</f>
        <v/>
      </c>
      <c r="AC274">
        <f>IF($C274="",0,IF($M274="",0,MAX(0,$M274)*MAX(0,AC$4)/100))</f>
        <v/>
      </c>
      <c r="AD274">
        <f>IF($C274="",0,IF($M274="",0,MAX(0,$M274)*MAX(0,AD$4)/100))</f>
        <v/>
      </c>
      <c r="AE274">
        <f>IF($C274="",0,IF($M274="",0,MAX(0,$M274)*MAX(0,AE$4)/100))</f>
        <v/>
      </c>
      <c r="AF274">
        <f>IF($C274="",0,IF($M274="",0,MAX(0,$M274)*MAX(0,AF$4)/100))</f>
        <v/>
      </c>
      <c r="AG274">
        <f>IF($C274="",0,IF($M274="",0,MAX(0,$M274)*MAX(0,AG$4)/100))</f>
        <v/>
      </c>
      <c r="AH274">
        <f>IF($C274="",0,IF($M274="",0,MAX(0,$M274)*MAX(0,AH$4)/100))</f>
        <v/>
      </c>
      <c r="AI274">
        <f>IF($C274="",0,IF($M274="",0,MAX(0,$M274)*MAX(0,AI$4)/100))</f>
        <v/>
      </c>
      <c r="AJ274">
        <f>IF($C274="",0,MAX(0,MAX(0,N($L274))-$V274))</f>
        <v/>
      </c>
      <c r="AK274">
        <f>IF($C274="",0,MAX(0,$AJ274-$W274))</f>
        <v/>
      </c>
      <c r="AL274">
        <f>IF($C274="",0,MAX(0,$AK274-$X274))</f>
        <v/>
      </c>
      <c r="AM274">
        <f>IF($C274="",0,MAX(0,$AL274-$Y274))</f>
        <v/>
      </c>
      <c r="AN274">
        <f>IF($C274="",0,MAX(0,$AM274-$Z274))</f>
        <v/>
      </c>
      <c r="AO274">
        <f>IF($C274="",0,MAX(0,$AN274-$AA274))</f>
        <v/>
      </c>
      <c r="AP274">
        <f>IF($C274="",0,MAX(0,$AO274-$AB274))</f>
        <v/>
      </c>
      <c r="AQ274">
        <f>IF($C274="",0,MAX(0,$AP274-$AC274))</f>
        <v/>
      </c>
      <c r="AR274">
        <f>IF($C274="",0,MAX(0,$AQ274-$AD274))</f>
        <v/>
      </c>
      <c r="AS274">
        <f>IF($C274="",0,MAX(0,$AR274-$AE274))</f>
        <v/>
      </c>
      <c r="AT274">
        <f>IF($C274="",0,MAX(0,$AS274-$AF274))</f>
        <v/>
      </c>
      <c r="AU274">
        <f>IF($C274="",0,MAX(0,$AT274-$AG274))</f>
        <v/>
      </c>
      <c r="AV274">
        <f>IF($C274="",0,MAX(0,$AU274-$AH274))</f>
        <v/>
      </c>
      <c r="AW274">
        <f>IF($C274="",0,MAX(0,$AV274-$AI274))</f>
        <v/>
      </c>
      <c r="AX274">
        <f>IF($C274="",0,MAX(0,MAX(0,N($L274))+IF($P274=V$3,$R274,0)+IF($S274=V$3,$U274,0)-$V274))</f>
        <v/>
      </c>
      <c r="AY274">
        <f>IF($C274="",0,MAX(0,$AX274+IF($P274=W$3,$R274,0)+IF($S274=W$3,$U274,0)-$W274))</f>
        <v/>
      </c>
      <c r="AZ274">
        <f>IF($C274="",0,MAX(0,$AY274+IF($P274=X$3,$R274,0)+IF($S274=X$3,$U274,0)-$X274))</f>
        <v/>
      </c>
      <c r="BA274">
        <f>IF($C274="",0,MAX(0,$AZ274+IF($P274=Y$3,$R274,0)+IF($S274=Y$3,$U274,0)-$Y274))</f>
        <v/>
      </c>
      <c r="BB274">
        <f>IF($C274="",0,MAX(0,$BA274+IF($P274=Z$3,$R274,0)+IF($S274=Z$3,$U274,0)-$Z274))</f>
        <v/>
      </c>
      <c r="BC274">
        <f>IF($C274="",0,MAX(0,$BB274+IF($P274=AA$3,$R274,0)+IF($S274=AA$3,$U274,0)-$AA274))</f>
        <v/>
      </c>
      <c r="BD274">
        <f>IF($C274="",0,MAX(0,$BC274+IF($P274=AB$3,$R274,0)+IF($S274=AB$3,$U274,0)-$AB274))</f>
        <v/>
      </c>
      <c r="BE274">
        <f>IF($C274="",0,MAX(0,$BD274+IF($P274=AC$3,$R274,0)+IF($S274=AC$3,$U274,0)-$AC274))</f>
        <v/>
      </c>
      <c r="BF274">
        <f>IF($C274="",0,MAX(0,$BE274+IF($P274=AD$3,$R274,0)+IF($S274=AD$3,$U274,0)-$AD274))</f>
        <v/>
      </c>
      <c r="BG274">
        <f>IF($C274="",0,MAX(0,$BF274+IF($P274=AE$3,$R274,0)+IF($S274=AE$3,$U274,0)-$AE274))</f>
        <v/>
      </c>
      <c r="BH274">
        <f>IF($C274="",0,MAX(0,$BG274+IF($P274=AF$3,$R274,0)+IF($S274=AF$3,$U274,0)-$AF274))</f>
        <v/>
      </c>
      <c r="BI274">
        <f>IF($C274="",0,MAX(0,$BH274+IF($P274=AG$3,$R274,0)+IF($S274=AG$3,$U274,0)-$AG274))</f>
        <v/>
      </c>
      <c r="BJ274">
        <f>IF($C274="",0,MAX(0,$BI274+IF($P274=AH$3,$R274,0)+IF($S274=AH$3,$U274,0)-$AH274))</f>
        <v/>
      </c>
      <c r="BK274">
        <f>IF($C274="",0,MAX(0,$BJ274+IF($P274=AI$3,$R274,0)+IF($S274=AI$3,$U274,0)-$AI274))</f>
        <v/>
      </c>
      <c r="BL274">
        <f>IF($C274="",99,IF(AND($AX274&lt;1,V$3&gt;=MAX(N($P274),N($S274))),0,99))</f>
        <v/>
      </c>
      <c r="BM274">
        <f>IF($C274="",99,IF(AND($AY274&lt;1,W$3&gt;=MAX(N($P274),N($S274))),1,99))</f>
        <v/>
      </c>
      <c r="BN274">
        <f>IF($C274="",99,IF(AND($AZ274&lt;1,X$3&gt;=MAX(N($P274),N($S274))),2,99))</f>
        <v/>
      </c>
      <c r="BO274">
        <f>IF($C274="",99,IF(AND($BA274&lt;1,Y$3&gt;=MAX(N($P274),N($S274))),3,99))</f>
        <v/>
      </c>
      <c r="BP274">
        <f>IF($C274="",99,IF(AND($BB274&lt;1,Z$3&gt;=MAX(N($P274),N($S274))),4,99))</f>
        <v/>
      </c>
      <c r="BQ274">
        <f>IF($C274="",99,IF(AND($BC274&lt;1,AA$3&gt;=MAX(N($P274),N($S274))),5,99))</f>
        <v/>
      </c>
      <c r="BR274">
        <f>IF($C274="",99,IF(AND($BD274&lt;1,AB$3&gt;=MAX(N($P274),N($S274))),6,99))</f>
        <v/>
      </c>
      <c r="BS274">
        <f>IF($C274="",99,IF(AND($BE274&lt;1,AC$3&gt;=MAX(N($P274),N($S274))),7,99))</f>
        <v/>
      </c>
      <c r="BT274">
        <f>IF($C274="",99,IF(AND($BF274&lt;1,AD$3&gt;=MAX(N($P274),N($S274))),8,99))</f>
        <v/>
      </c>
      <c r="BU274">
        <f>IF($C274="",99,IF(AND($BG274&lt;1,AE$3&gt;=MAX(N($P274),N($S274))),9,99))</f>
        <v/>
      </c>
      <c r="BV274">
        <f>IF($C274="",99,IF(AND($BH274&lt;1,AF$3&gt;=MAX(N($P274),N($S274))),10,99))</f>
        <v/>
      </c>
      <c r="BW274">
        <f>IF($C274="",99,IF(AND($BI274&lt;1,AG$3&gt;=MAX(N($P274),N($S274))),11,99))</f>
        <v/>
      </c>
      <c r="BX274">
        <f>IF($C274="",99,IF(AND($BJ274&lt;1,AH$3&gt;=MAX(N($P274),N($S274))),12,99))</f>
        <v/>
      </c>
      <c r="BY274">
        <f>IF($C274="",99,IF(AND($BK274&lt;1,AI$3&gt;=MAX(N($P274),N($S274))),13,99))</f>
        <v/>
      </c>
      <c r="BZ274">
        <f>IF(OR($C274="",$M274=""),"",COUNTIF($AJ274:$AW274,"&gt;=1"))</f>
        <v/>
      </c>
      <c r="CA274" s="90">
        <f>IF($BZ274="","",IF($BZ274&gt;=14,"",'設定'!$C$6+$BZ274))</f>
        <v/>
      </c>
      <c r="CB274">
        <f>IF(OR($C274="",$M274=""),"",MIN($BL274:$BY274))</f>
        <v/>
      </c>
      <c r="CC274" s="90">
        <f>IF($CB274="","",IF($CB274&gt;=99,"",'設定'!$C$6+$CB274))</f>
        <v/>
      </c>
      <c r="CD274">
        <f>IF(OR($C274="",$M274=""),"",AVERAGE($V274:$AI274))</f>
        <v/>
      </c>
      <c r="CE274">
        <f>IF($C274="","",IFERROR(IF(MATCH(IF(ISNUMBER($P274),$P274,'設定'!$C$6+N('設定'!$C$7)),$V$3:$AI$3,0)=1,MAX(0,N($L274)),INDEX($AJ274:$AW274,MATCH(IF(ISNUMBER($P274),$P274,'設定'!$C$6+N('設定'!$C$7)),$V$3:$AI$3,0)-1)),""))</f>
        <v/>
      </c>
      <c r="CF274">
        <f>IF(OR($C274="",$O274="",$CE274=""),"",IF($O274-$CE274&lt;=0,0,ROUNDUP(($O274-$CE274)/$G274,0)))</f>
        <v/>
      </c>
      <c r="CG274">
        <f>IF(OR($C274="",$CF274="",NOT(ISNUMBER($Q274))),0,MAX(0,$Q274-$CF274))</f>
        <v/>
      </c>
      <c r="CH274">
        <f>IF(OR($C274="",$O274="",$U274=0),0,IFERROR(ROUNDUP(MAX(0,IF(MATCH($S274,$V$3:$AI$3,0)=1,MAX(0,N($L274)),INDEX($AX274:$BK274,MATCH($S274,$V$3:$AI$3,0)-1))+$U274-$O274)/$G274,0),0))</f>
        <v/>
      </c>
      <c r="CI274">
        <f>IF($C274="","",IF(AND($P274="",$Q274=""),"",IF($P274="","⚠ 入庫日を ▼ から選んでください",IF(NOT(ISNUMBER($P274)),"⚠ 入庫日は ▼ から選んでください",IF($P274&lt;N('設定'!$C$6),"⚠ 入庫日が過去です（もう在庫に入っています）→ 消してください",IF($P274&gt;N('設定'!$C$6)+13,"⚠ 入庫日が14日より先です",IF(N($Q274)&lt;=0,"⚠ 入庫数を入れてください",IF($CG274&gt;0,"⚠ 目安より "&amp;$CG274&amp;" 多い（定数を超える）→ 減らす",""))))))))</f>
        <v/>
      </c>
      <c r="CJ274">
        <f>IF($C274="","",IF(AND($S274="",$T274=""),"",IF($S274="","⚠ 2便目：入庫日を ▼ から選んでください",IF(NOT(ISNUMBER($S274)),"⚠ 2便目：入庫日は ▼ から選んでください",IF($S274&lt;N('設定'!$C$6),"⚠ 2便目：入庫日が過去です（もう在庫に入っています）→ 消してください",IF($S274&gt;N('設定'!$C$6)+13,"⚠ 2便目：入庫日が14日より先です",IF(N($T274)&lt;=0,"⚠ 2便目：入庫数を入れてください",IF($CH274&gt;0,"⚠ 2便目：定数を "&amp;$CH274&amp;" ケース超える → 減らす",""))))))))</f>
        <v/>
      </c>
      <c r="CK274">
        <f>IF(AND($CI274="",N($Q274)&gt;0,ISNUMBER($P274)),1,0)</f>
        <v/>
      </c>
      <c r="CL274">
        <f>IF(AND($CJ274="",N($T274)&gt;0,ISNUMBER($S274)),1,0)</f>
        <v/>
      </c>
      <c r="CM274">
        <f>IF(OR($CK274=1,$CL274=1),1,0)</f>
        <v/>
      </c>
      <c r="CN274">
        <f>IF($C274="",0,($CK274*$R274+$CL274*$U274)*N($H274))</f>
        <v/>
      </c>
      <c r="CO274">
        <f>IF($C274="","",IF($CC274="","入庫後は 14日以上もつ",IF($CC274-N('設定'!$C$7)&lt;='設定'!$C$6,"入庫後も "&amp;TEXT($CC274,"m/d")&amp;"("&amp;CHOOSE(WEEKDAY($CC274),"日","月","火","水","木","金","土")&amp;")"&amp;" に切れる　もう1便を至急発注","入庫後も "&amp;TEXT($CC274,"m/d")&amp;"("&amp;CHOOSE(WEEKDAY($CC274),"日","月","火","水","木","金","土")&amp;")"&amp;" に切れる　"&amp;TEXT($CC274-N('設定'!$C$7),"m/d")&amp;"("&amp;CHOOSE(WEEKDAY($CC274-N('設定'!$C$7)),"日","月","火","水","木","金","土")&amp;")"&amp;" までに次を発注")))</f>
        <v/>
      </c>
      <c r="CP274">
        <f>IF($C274="","",IF('設定'!$C$6="","？ ①在庫を貼る に今日のCSVが貼られていない",IF($CS274=1,"－ 今日のCSVに無い（終売？）",IF($L274&lt;0,"● 在庫がマイナス　数えて「数えた在庫」に入れる",IF($L274=0,"● 在庫なし　至急発注",IF($M274="","？ 減り数が未設定（商品マスタ）",IF($B$3=0,"？ 動員が未入力（動員を入れる）",IF($CA274="","○ 14日以上もつ",IF($BZ274&lt;N('設定'!$C$7),"● "&amp;TEXT($CA274,"m/d")&amp;"("&amp;CHOOSE(WEEKDAY($CA274),"日","月","火","水","木","金","土")&amp;")"&amp;" に切れる　至急発注",IF($BZ274=N('設定'!$C$7),"● "&amp;TEXT($CA274,"m/d")&amp;"("&amp;CHOOSE(WEEKDAY($CA274),"日","月","火","水","木","金","土")&amp;")"&amp;" に切れる　今日発注","△ "&amp;TEXT($CA274,"m/d")&amp;"("&amp;CHOOSE(WEEKDAY($CA274),"日","月","火","水","木","金","土")&amp;")"&amp;" に切れる　"&amp;TEXT($CA274-N('設定'!$C$7),"m/d")&amp;"("&amp;CHOOSE(WEEKDAY($CA274-N('設定'!$C$7)),"日","月","火","水","木","金","土")&amp;")"&amp;" までに発注"))))))))))</f>
        <v/>
      </c>
      <c r="CQ274">
        <f>IF($C274="","",IF(AND($P274="",$Q274="",$S274="",$T274=""),"",IF(AND($P274="",$Q274=""),"⚠ 先に1便目（左の入庫日・入庫数）に入れてください",IF($CI274&lt;&gt;"",$CI274,IF($CJ274&lt;&gt;"",$CJ274,IF($M274="","？ 減り数が未設定（発注書には載ります）",IF($B$3=0,"？ 動員が未入力（発注書には載ります）",IF(AND($CA274&lt;&gt;"",$P274&gt;$CA274),IF($P274&gt;'設定'!$C$6+N('設定'!$C$7),"● "&amp;TEXT($P274,"m/d")&amp;"("&amp;CHOOSE(WEEKDAY($P274),"日","月","火","水","木","金","土")&amp;")"&amp;" の入庫では間に合わない（"&amp;TEXT($CA274,"m/d")&amp;"("&amp;CHOOSE(WEEKDAY($CA274),"日","月","火","水","木","金","土")&amp;")"&amp;" に切れる）　入庫日を早める","△ 欠品 "&amp;TEXT($CA274,"m/d")&amp;"("&amp;CHOOSE(WEEKDAY($CA274),"日","月","火","水","木","金","土")&amp;")"&amp;"〜"&amp;TEXT($P274-1,"m/d")&amp;"("&amp;CHOOSE(WEEKDAY($P274-1),"日","月","火","水","木","金","土")&amp;")"&amp;"　"&amp;$CO274),IF($CC274="","○ "&amp;TEXT($P274,"m/d")&amp;"("&amp;CHOOSE(WEEKDAY($P274),"日","月","火","水","木","金","土")&amp;")"&amp;" 入庫で 14日以上もつ",IF($CC274-N('設定'!$C$7)&lt;='設定'!$C$6,"● 入庫しても "&amp;TEXT($CC274,"m/d")&amp;"("&amp;CHOOSE(WEEKDAY($CC274),"日","月","火","水","木","金","土")&amp;")"&amp;" に切れる　もう1便を至急発注（2便目に入れる）","△ 入庫しても "&amp;TEXT($CC274,"m/d")&amp;"("&amp;CHOOSE(WEEKDAY($CC274),"日","月","火","水","木","金","土")&amp;")"&amp;" に切れる　"&amp;TEXT($CC274-N('設定'!$C$7),"m/d")&amp;"("&amp;CHOOSE(WEEKDAY($CC274-N('設定'!$C$7)),"日","月","火","水","木","金","土")&amp;")"&amp;" までに次を発注（2便目に入れる）"))))))))))</f>
        <v/>
      </c>
      <c r="CR274">
        <f>IF($C274="","",IF($G274&gt;1,"ｹｰｽ("&amp;$G274&amp;"入)","個"))</f>
        <v/>
      </c>
      <c r="CS274">
        <f>IF($C274="",0,IF(COUNTIFS('①在庫を貼る'!$V$6:$V$10005,'設定'!$C$4,'①在庫を貼る'!$W$6:$W$10005,$C274)=0,1,0))</f>
        <v/>
      </c>
      <c r="CT274">
        <f>IF(AND($CK274=1,OR('③発注書'!$C$4="すべて",'③発注書'!$C$4="",$F274='③発注書'!$C$4)),N($CT273)+1,N($CT273))</f>
        <v/>
      </c>
      <c r="CU274">
        <f>IF(AND($CL274=1,OR('③発注書'!$C$4="すべて",'③発注書'!$C$4="",$F274='③発注書'!$C$4)),N($CU273)+1,N($CU273))</f>
        <v/>
      </c>
      <c r="CV274">
        <f>IF($C274="",0,IF(COUNTIFS('①在庫を貼る'!$V$6:$V$10005,'設定'!$C$4,'①在庫を貼る'!$W$6:$W$10005,$C274)&gt;0,1,0))</f>
        <v/>
      </c>
      <c r="CW274">
        <f>IF($C274="",0,IF(COUNTIFS('月1回_1ヶ月前の在庫'!$V$6:$V$10005,'設定'!$C$4,'月1回_1ヶ月前の在庫'!$W$6:$W$10005,$C274)&gt;0,1,0))</f>
        <v/>
      </c>
      <c r="CX274">
        <f>IF($C274="",0,IF(COUNTIFS('月1回_2ヶ月前の在庫'!$V$6:$V$10005,'設定'!$C$4,'月1回_2ヶ月前の在庫'!$W$6:$W$10005,$C274)&gt;0,1,0))</f>
        <v/>
      </c>
      <c r="CY274">
        <f>IF(OR($C274="",'設定'!$C$12=""),"",IF('設定'!$C$13="",IF(AND($CV274=1,$CW274=0),"新商品（今月から）",IF(AND($CV274=0,$CW274=1),"終売（今月から）","")),IF(AND($CV274=1,$CW274=0,$CX274=0),"新商品（今月から）",IF(AND($CV274=1,$CW274=1,$CX274=0),"新商品（先月から）",IF(AND($CV274=0,$CW274=1,$CX274=1),"終売（今月から）",IF(AND($CV274=0,$CW274=0,$CX274=1),"終売（先月から）",IF(AND($CV274=1,$CW274=0,$CX274=1),"復活（先月は無し）","")))))))</f>
        <v/>
      </c>
    </row>
    <row r="275">
      <c r="B275">
        <f>IF(270&lt;='設定'!$C$11,270,"")</f>
        <v/>
      </c>
      <c r="C275">
        <f>IF($B275="","",IF($B275&lt;='設定'!$C$20,INDEX('商品マスタ'!$B$6:$B$1005,MATCH($B275,'商品マスタ'!$M$6:$M$1005,0)),IF($B275&lt;='設定'!$C$20+'設定'!$C$17,INDEX('①在庫を貼る'!$W$6:$W$10005,MATCH($B275-'設定'!$C$20,'①在庫を貼る'!$U$6:$U$10005,0)),IF($B275&lt;='設定'!$C$20+'設定'!$C$17+'設定'!$C$18,INDEX('月1回_1ヶ月前の在庫'!$W$6:$W$10005,MATCH($B275-'設定'!$C$20-'設定'!$C$17,'月1回_1ヶ月前の在庫'!$U$6:$U$10005,0)),INDEX('月1回_2ヶ月前の在庫'!$W$6:$W$10005,MATCH($B275-'設定'!$C$20-'設定'!$C$17-'設定'!$C$18,'月1回_2ヶ月前の在庫'!$U$6:$U$10005,0))))))</f>
        <v/>
      </c>
      <c r="D275">
        <f>IF($C275="","",IFERROR(IF(INDEX('商品マスタ'!$C$6:$C$1005,MATCH($C275,'商品マスタ'!$B$6:$B$1005,0))="",IFERROR(INDEX('①在庫を貼る'!$J$6:$J$10005,MATCH($C275,'①在庫を貼る'!$W$6:$W$10005,0)),IFERROR(INDEX('月1回_1ヶ月前の在庫'!$J$6:$J$10005,MATCH($C275,'月1回_1ヶ月前の在庫'!$W$6:$W$10005,0)),IFERROR(INDEX('月1回_2ヶ月前の在庫'!$J$6:$J$10005,MATCH($C275,'月1回_2ヶ月前の在庫'!$W$6:$W$10005,0)),""))),INDEX('商品マスタ'!$C$6:$C$1005,MATCH($C275,'商品マスタ'!$B$6:$B$1005,0))),IFERROR(INDEX('①在庫を貼る'!$J$6:$J$10005,MATCH($C275,'①在庫を貼る'!$W$6:$W$10005,0)),IFERROR(INDEX('月1回_1ヶ月前の在庫'!$J$6:$J$10005,MATCH($C275,'月1回_1ヶ月前の在庫'!$W$6:$W$10005,0)),IFERROR(INDEX('月1回_2ヶ月前の在庫'!$J$6:$J$10005,MATCH($C275,'月1回_2ヶ月前の在庫'!$W$6:$W$10005,0)),"")))))</f>
        <v/>
      </c>
      <c r="E275">
        <f>IF($C275="","",IFERROR(IF(INDEX('商品マスタ'!$D$6:$D$1005,MATCH($C275,'商品マスタ'!$B$6:$B$1005,0))="",IFERROR(INDEX('①在庫を貼る'!$H$6:$H$10005,MATCH($C275,'①在庫を貼る'!$W$6:$W$10005,0)),IFERROR(INDEX('月1回_1ヶ月前の在庫'!$H$6:$H$10005,MATCH($C275,'月1回_1ヶ月前の在庫'!$W$6:$W$10005,0)),IFERROR(INDEX('月1回_2ヶ月前の在庫'!$H$6:$H$10005,MATCH($C275,'月1回_2ヶ月前の在庫'!$W$6:$W$10005,0)),""))),INDEX('商品マスタ'!$D$6:$D$1005,MATCH($C275,'商品マスタ'!$B$6:$B$1005,0))),IFERROR(INDEX('①在庫を貼る'!$H$6:$H$10005,MATCH($C275,'①在庫を貼る'!$W$6:$W$10005,0)),IFERROR(INDEX('月1回_1ヶ月前の在庫'!$H$6:$H$10005,MATCH($C275,'月1回_1ヶ月前の在庫'!$W$6:$W$10005,0)),IFERROR(INDEX('月1回_2ヶ月前の在庫'!$H$6:$H$10005,MATCH($C275,'月1回_2ヶ月前の在庫'!$W$6:$W$10005,0)),"")))))</f>
        <v/>
      </c>
      <c r="F275">
        <f>IF($C275="","",IFERROR(IF(INDEX('商品マスタ'!$E$6:$E$1005,MATCH($C275,'商品マスタ'!$B$6:$B$1005,0))="",IFERROR(INDEX('①在庫を貼る'!$E$6:$E$10005,MATCH($C275,'①在庫を貼る'!$W$6:$W$10005,0)),IFERROR(INDEX('月1回_1ヶ月前の在庫'!$E$6:$E$10005,MATCH($C275,'月1回_1ヶ月前の在庫'!$W$6:$W$10005,0)),IFERROR(INDEX('月1回_2ヶ月前の在庫'!$E$6:$E$10005,MATCH($C275,'月1回_2ヶ月前の在庫'!$W$6:$W$10005,0)),""))),INDEX('商品マスタ'!$E$6:$E$1005,MATCH($C275,'商品マスタ'!$B$6:$B$1005,0))),IFERROR(INDEX('①在庫を貼る'!$E$6:$E$10005,MATCH($C275,'①在庫を貼る'!$W$6:$W$10005,0)),IFERROR(INDEX('月1回_1ヶ月前の在庫'!$E$6:$E$10005,MATCH($C275,'月1回_1ヶ月前の在庫'!$W$6:$W$10005,0)),IFERROR(INDEX('月1回_2ヶ月前の在庫'!$E$6:$E$10005,MATCH($C275,'月1回_2ヶ月前の在庫'!$W$6:$W$10005,0)),"")))))</f>
        <v/>
      </c>
      <c r="G275">
        <f>IF($C275="","",MAX(1,N(IFERROR(IF(INDEX('商品マスタ'!$F$6:$F$1005,MATCH($C275,'商品マスタ'!$B$6:$B$1005,0))="",IF(COUNTIFS('①在庫を貼る'!$V$6:$V$10005,'設定'!$C$4,'①在庫を貼る'!$W$6:$W$10005,$C275)&gt;0,SUMIFS('①在庫を貼る'!$K$6:$K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K$6:$K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K$6:$K$10005,'月1回_2ヶ月前の在庫'!$V$6:$V$10005,'設定'!$C$4,'月1回_2ヶ月前の在庫'!$W$6:$W$10005,$C275)/COUNTIFS('月1回_2ヶ月前の在庫'!$V$6:$V$10005,'設定'!$C$4,'月1回_2ヶ月前の在庫'!$W$6:$W$10005,$C275),0))),INDEX('商品マスタ'!$F$6:$F$1005,MATCH($C275,'商品マスタ'!$B$6:$B$1005,0))),IF(COUNTIFS('①在庫を貼る'!$V$6:$V$10005,'設定'!$C$4,'①在庫を貼る'!$W$6:$W$10005,$C275)&gt;0,SUMIFS('①在庫を貼る'!$K$6:$K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K$6:$K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K$6:$K$10005,'月1回_2ヶ月前の在庫'!$V$6:$V$10005,'設定'!$C$4,'月1回_2ヶ月前の在庫'!$W$6:$W$10005,$C275)/COUNTIFS('月1回_2ヶ月前の在庫'!$V$6:$V$10005,'設定'!$C$4,'月1回_2ヶ月前の在庫'!$W$6:$W$10005,$C275),0)))))))</f>
        <v/>
      </c>
      <c r="H275">
        <f>IF($C275="","",N(IFERROR(IF(INDEX('商品マスタ'!$G$6:$G$1005,MATCH($C275,'商品マスタ'!$B$6:$B$1005,0))="",IF(COUNTIFS('①在庫を貼る'!$V$6:$V$10005,'設定'!$C$4,'①在庫を貼る'!$W$6:$W$10005,$C275)&gt;0,SUMIFS('①在庫を貼る'!$Q$6:$Q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Q$6:$Q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Q$6:$Q$10005,'月1回_2ヶ月前の在庫'!$V$6:$V$10005,'設定'!$C$4,'月1回_2ヶ月前の在庫'!$W$6:$W$10005,$C275)/COUNTIFS('月1回_2ヶ月前の在庫'!$V$6:$V$10005,'設定'!$C$4,'月1回_2ヶ月前の在庫'!$W$6:$W$10005,$C275),0))),INDEX('商品マスタ'!$G$6:$G$1005,MATCH($C275,'商品マスタ'!$B$6:$B$1005,0))),IF(COUNTIFS('①在庫を貼る'!$V$6:$V$10005,'設定'!$C$4,'①在庫を貼る'!$W$6:$W$10005,$C275)&gt;0,SUMIFS('①在庫を貼る'!$Q$6:$Q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Q$6:$Q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Q$6:$Q$10005,'月1回_2ヶ月前の在庫'!$V$6:$V$10005,'設定'!$C$4,'月1回_2ヶ月前の在庫'!$W$6:$W$10005,$C275)/COUNTIFS('月1回_2ヶ月前の在庫'!$V$6:$V$10005,'設定'!$C$4,'月1回_2ヶ月前の在庫'!$W$6:$W$10005,$C275),0))))))</f>
        <v/>
      </c>
      <c r="I275">
        <f>IF($C275="","",IF(COUNTIFS('①在庫を貼る'!$V$6:$V$10005,'設定'!$C$4,'①在庫を貼る'!$W$6:$W$10005,$C275)=0,"",SUMIFS('①在庫を貼る'!$N$6:$N$10005,'①在庫を貼る'!$V$6:$V$10005,'設定'!$C$4,'①在庫を貼る'!$W$6:$W$10005,$C275)))</f>
        <v/>
      </c>
      <c r="J275">
        <f>IF($C275="","",IF('②発注する'!$AD279="","",'②発注する'!$AD279))</f>
        <v/>
      </c>
      <c r="K275" s="90">
        <f>IF($C275="","",IF('②発注する'!$AE279="","",'②発注する'!$AE279))</f>
        <v/>
      </c>
      <c r="L275">
        <f>IF($C275="","",IF(AND(ISNUMBER($J275),ISNUMBER($K275),$K275&gt;='設定'!$C$6),$J275,N($I275)))</f>
        <v/>
      </c>
      <c r="M275">
        <f>IF($C275="","",IFERROR(IF(N(INDEX('商品マスタ'!$J$6:$J$1005,MATCH($C275,'商品マスタ'!$B$6:$B$1005,0)))&gt;0,INDEX('商品マスタ'!$J$6:$J$1005,MATCH($C275,'商品マスタ'!$B$6:$B$1005,0)),""),""))</f>
        <v/>
      </c>
      <c r="N275">
        <f>IF($C275="","",IFERROR(IF(N(INDEX('商品マスタ'!$H$6:$H$1005,MATCH($C275,'商品マスタ'!$B$6:$B$1005,0)))&gt;0,INDEX('商品マスタ'!$H$6:$H$1005,MATCH($C275,'商品マスタ'!$B$6:$B$1005,0)),""),""))</f>
        <v/>
      </c>
      <c r="O275">
        <f>IF($C275="","",IF($N275&lt;&gt;"",$N275*$G275,IF(N(IF(COUNTIFS('①在庫を貼る'!$V$6:$V$10005,'設定'!$C$4,'①在庫を貼る'!$W$6:$W$10005,$C275)&gt;0,SUMIFS('①在庫を貼る'!$O$6:$O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O$6:$O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O$6:$O$10005,'月1回_2ヶ月前の在庫'!$V$6:$V$10005,'設定'!$C$4,'月1回_2ヶ月前の在庫'!$W$6:$W$10005,$C275)/COUNTIFS('月1回_2ヶ月前の在庫'!$V$6:$V$10005,'設定'!$C$4,'月1回_2ヶ月前の在庫'!$W$6:$W$10005,$C275),0))))&gt;0,N(IF(COUNTIFS('①在庫を貼る'!$V$6:$V$10005,'設定'!$C$4,'①在庫を貼る'!$W$6:$W$10005,$C275)&gt;0,SUMIFS('①在庫を貼る'!$O$6:$O$10005,'①在庫を貼る'!$V$6:$V$10005,'設定'!$C$4,'①在庫を貼る'!$W$6:$W$10005,$C275)/COUNTIFS('①在庫を貼る'!$V$6:$V$10005,'設定'!$C$4,'①在庫を貼る'!$W$6:$W$10005,$C275),IF(COUNTIFS('月1回_1ヶ月前の在庫'!$V$6:$V$10005,'設定'!$C$4,'月1回_1ヶ月前の在庫'!$W$6:$W$10005,$C275)&gt;0,SUMIFS('月1回_1ヶ月前の在庫'!$O$6:$O$10005,'月1回_1ヶ月前の在庫'!$V$6:$V$10005,'設定'!$C$4,'月1回_1ヶ月前の在庫'!$W$6:$W$10005,$C275)/COUNTIFS('月1回_1ヶ月前の在庫'!$V$6:$V$10005,'設定'!$C$4,'月1回_1ヶ月前の在庫'!$W$6:$W$10005,$C275),IF(COUNTIFS('月1回_2ヶ月前の在庫'!$V$6:$V$10005,'設定'!$C$4,'月1回_2ヶ月前の在庫'!$W$6:$W$10005,$C275)&gt;0,SUMIFS('月1回_2ヶ月前の在庫'!$O$6:$O$10005,'月1回_2ヶ月前の在庫'!$V$6:$V$10005,'設定'!$C$4,'月1回_2ヶ月前の在庫'!$W$6:$W$10005,$C275)/COUNTIFS('月1回_2ヶ月前の在庫'!$V$6:$V$10005,'設定'!$C$4,'月1回_2ヶ月前の在庫'!$W$6:$W$10005,$C275),0)))),"")))</f>
        <v/>
      </c>
      <c r="P275" s="90">
        <f>IF($C275="","",IF('②発注する'!$I279="","",'②発注する'!$I279))</f>
        <v/>
      </c>
      <c r="Q275">
        <f>IF($C275="","",IF('②発注する'!$J279="","",'②発注する'!$J279))</f>
        <v/>
      </c>
      <c r="R275">
        <f>IF($C275="",0,IF(AND(ISNUMBER($P275),ISNUMBER($Q275)),MAX(0,$Q275)*$G275,0))</f>
        <v/>
      </c>
      <c r="S275" s="90">
        <f>IF($C275="","",IF('②発注する'!$M279="","",'②発注する'!$M279))</f>
        <v/>
      </c>
      <c r="T275">
        <f>IF($C275="","",IF('②発注する'!$N279="","",'②発注する'!$N279))</f>
        <v/>
      </c>
      <c r="U275">
        <f>IF($C275="",0,IF(AND(ISNUMBER($S275),ISNUMBER($T275)),MAX(0,$T275)*$G275,0))</f>
        <v/>
      </c>
      <c r="V275">
        <f>IF($C275="",0,IF($M275="",0,MAX(0,$M275)*MAX(0,V$4)/100))</f>
        <v/>
      </c>
      <c r="W275">
        <f>IF($C275="",0,IF($M275="",0,MAX(0,$M275)*MAX(0,W$4)/100))</f>
        <v/>
      </c>
      <c r="X275">
        <f>IF($C275="",0,IF($M275="",0,MAX(0,$M275)*MAX(0,X$4)/100))</f>
        <v/>
      </c>
      <c r="Y275">
        <f>IF($C275="",0,IF($M275="",0,MAX(0,$M275)*MAX(0,Y$4)/100))</f>
        <v/>
      </c>
      <c r="Z275">
        <f>IF($C275="",0,IF($M275="",0,MAX(0,$M275)*MAX(0,Z$4)/100))</f>
        <v/>
      </c>
      <c r="AA275">
        <f>IF($C275="",0,IF($M275="",0,MAX(0,$M275)*MAX(0,AA$4)/100))</f>
        <v/>
      </c>
      <c r="AB275">
        <f>IF($C275="",0,IF($M275="",0,MAX(0,$M275)*MAX(0,AB$4)/100))</f>
        <v/>
      </c>
      <c r="AC275">
        <f>IF($C275="",0,IF($M275="",0,MAX(0,$M275)*MAX(0,AC$4)/100))</f>
        <v/>
      </c>
      <c r="AD275">
        <f>IF($C275="",0,IF($M275="",0,MAX(0,$M275)*MAX(0,AD$4)/100))</f>
        <v/>
      </c>
      <c r="AE275">
        <f>IF($C275="",0,IF($M275="",0,MAX(0,$M275)*MAX(0,AE$4)/100))</f>
        <v/>
      </c>
      <c r="AF275">
        <f>IF($C275="",0,IF($M275="",0,MAX(0,$M275)*MAX(0,AF$4)/100))</f>
        <v/>
      </c>
      <c r="AG275">
        <f>IF($C275="",0,IF($M275="",0,MAX(0,$M275)*MAX(0,AG$4)/100))</f>
        <v/>
      </c>
      <c r="AH275">
        <f>IF($C275="",0,IF($M275="",0,MAX(0,$M275)*MAX(0,AH$4)/100))</f>
        <v/>
      </c>
      <c r="AI275">
        <f>IF($C275="",0,IF($M275="",0,MAX(0,$M275)*MAX(0,AI$4)/100))</f>
        <v/>
      </c>
      <c r="AJ275">
        <f>IF($C275="",0,MAX(0,MAX(0,N($L275))-$V275))</f>
        <v/>
      </c>
      <c r="AK275">
        <f>IF($C275="",0,MAX(0,$AJ275-$W275))</f>
        <v/>
      </c>
      <c r="AL275">
        <f>IF($C275="",0,MAX(0,$AK275-$X275))</f>
        <v/>
      </c>
      <c r="AM275">
        <f>IF($C275="",0,MAX(0,$AL275-$Y275))</f>
        <v/>
      </c>
      <c r="AN275">
        <f>IF($C275="",0,MAX(0,$AM275-$Z275))</f>
        <v/>
      </c>
      <c r="AO275">
        <f>IF($C275="",0,MAX(0,$AN275-$AA275))</f>
        <v/>
      </c>
      <c r="AP275">
        <f>IF($C275="",0,MAX(0,$AO275-$AB275))</f>
        <v/>
      </c>
      <c r="AQ275">
        <f>IF($C275="",0,MAX(0,$AP275-$AC275))</f>
        <v/>
      </c>
      <c r="AR275">
        <f>IF($C275="",0,MAX(0,$AQ275-$AD275))</f>
        <v/>
      </c>
      <c r="AS275">
        <f>IF($C275="",0,MAX(0,$AR275-$AE275))</f>
        <v/>
      </c>
      <c r="AT275">
        <f>IF($C275="",0,MAX(0,$AS275-$AF275))</f>
        <v/>
      </c>
      <c r="AU275">
        <f>IF($C275="",0,MAX(0,$AT275-$AG275))</f>
        <v/>
      </c>
      <c r="AV275">
        <f>IF($C275="",0,MAX(0,$AU275-$AH275))</f>
        <v/>
      </c>
      <c r="AW275">
        <f>IF($C275="",0,MAX(0,$AV275-$AI275))</f>
        <v/>
      </c>
      <c r="AX275">
        <f>IF($C275="",0,MAX(0,MAX(0,N($L275))+IF($P275=V$3,$R275,0)+IF($S275=V$3,$U275,0)-$V275))</f>
        <v/>
      </c>
      <c r="AY275">
        <f>IF($C275="",0,MAX(0,$AX275+IF($P275=W$3,$R275,0)+IF($S275=W$3,$U275,0)-$W275))</f>
        <v/>
      </c>
      <c r="AZ275">
        <f>IF($C275="",0,MAX(0,$AY275+IF($P275=X$3,$R275,0)+IF($S275=X$3,$U275,0)-$X275))</f>
        <v/>
      </c>
      <c r="BA275">
        <f>IF($C275="",0,MAX(0,$AZ275+IF($P275=Y$3,$R275,0)+IF($S275=Y$3,$U275,0)-$Y275))</f>
        <v/>
      </c>
      <c r="BB275">
        <f>IF($C275="",0,MAX(0,$BA275+IF($P275=Z$3,$R275,0)+IF($S275=Z$3,$U275,0)-$Z275))</f>
        <v/>
      </c>
      <c r="BC275">
        <f>IF($C275="",0,MAX(0,$BB275+IF($P275=AA$3,$R275,0)+IF($S275=AA$3,$U275,0)-$AA275))</f>
        <v/>
      </c>
      <c r="BD275">
        <f>IF($C275="",0,MAX(0,$BC275+IF($P275=AB$3,$R275,0)+IF($S275=AB$3,$U275,0)-$AB275))</f>
        <v/>
      </c>
      <c r="BE275">
        <f>IF($C275="",0,MAX(0,$BD275+IF($P275=AC$3,$R275,0)+IF($S275=AC$3,$U275,0)-$AC275))</f>
        <v/>
      </c>
      <c r="BF275">
        <f>IF($C275="",0,MAX(0,$BE275+IF($P275=AD$3,$R275,0)+IF($S275=AD$3,$U275,0)-$AD275))</f>
        <v/>
      </c>
      <c r="BG275">
        <f>IF($C275="",0,MAX(0,$BF275+IF($P275=AE$3,$R275,0)+IF($S275=AE$3,$U275,0)-$AE275))</f>
        <v/>
      </c>
      <c r="BH275">
        <f>IF($C275="",0,MAX(0,$BG275+IF($P275=AF$3,$R275,0)+IF($S275=AF$3,$U275,0)-$AF275))</f>
        <v/>
      </c>
      <c r="BI275">
        <f>IF($C275="",0,MAX(0,$BH275+IF($P275=AG$3,$R275,0)+IF($S275=AG$3,$U275,0)-$AG275))</f>
        <v/>
      </c>
      <c r="BJ275">
        <f>IF($C275="",0,MAX(0,$BI275+IF($P275=AH$3,$R275,0)+IF($S275=AH$3,$U275,0)-$AH275))</f>
        <v/>
      </c>
      <c r="BK275">
        <f>IF($C275="",0,MAX(0,$BJ275+IF($P275=AI$3,$R275,0)+IF($S275=AI$3,$U275,0)-$AI275))</f>
        <v/>
      </c>
      <c r="BL275">
        <f>IF($C275="",99,IF(AND($AX275&lt;1,V$3&gt;=MAX(N($P275),N($S275))),0,99))</f>
        <v/>
      </c>
      <c r="BM275">
        <f>IF($C275="",99,IF(AND($AY275&lt;1,W$3&gt;=MAX(N($P275),N($S275))),1,99))</f>
        <v/>
      </c>
      <c r="BN275">
        <f>IF($C275="",99,IF(AND($AZ275&lt;1,X$3&gt;=MAX(N($P275),N($S275))),2,99))</f>
        <v/>
      </c>
      <c r="BO275">
        <f>IF($C275="",99,IF(AND($BA275&lt;1,Y$3&gt;=MAX(N($P275),N($S275))),3,99))</f>
        <v/>
      </c>
      <c r="BP275">
        <f>IF($C275="",99,IF(AND($BB275&lt;1,Z$3&gt;=MAX(N($P275),N($S275))),4,99))</f>
        <v/>
      </c>
      <c r="BQ275">
        <f>IF($C275="",99,IF(AND($BC275&lt;1,AA$3&gt;=MAX(N($P275),N($S275))),5,99))</f>
        <v/>
      </c>
      <c r="BR275">
        <f>IF($C275="",99,IF(AND($BD275&lt;1,AB$3&gt;=MAX(N($P275),N($S275))),6,99))</f>
        <v/>
      </c>
      <c r="BS275">
        <f>IF($C275="",99,IF(AND($BE275&lt;1,AC$3&gt;=MAX(N($P275),N($S275))),7,99))</f>
        <v/>
      </c>
      <c r="BT275">
        <f>IF($C275="",99,IF(AND($BF275&lt;1,AD$3&gt;=MAX(N($P275),N($S275))),8,99))</f>
        <v/>
      </c>
      <c r="BU275">
        <f>IF($C275="",99,IF(AND($BG275&lt;1,AE$3&gt;=MAX(N($P275),N($S275))),9,99))</f>
        <v/>
      </c>
      <c r="BV275">
        <f>IF($C275="",99,IF(AND($BH275&lt;1,AF$3&gt;=MAX(N($P275),N($S275))),10,99))</f>
        <v/>
      </c>
      <c r="BW275">
        <f>IF($C275="",99,IF(AND($BI275&lt;1,AG$3&gt;=MAX(N($P275),N($S275))),11,99))</f>
        <v/>
      </c>
      <c r="BX275">
        <f>IF($C275="",99,IF(AND($BJ275&lt;1,AH$3&gt;=MAX(N($P275),N($S275))),12,99))</f>
        <v/>
      </c>
      <c r="BY275">
        <f>IF($C275="",99,IF(AND($BK275&lt;1,AI$3&gt;=MAX(N($P275),N($S275))),13,99))</f>
        <v/>
      </c>
      <c r="BZ275">
        <f>IF(OR($C275="",$M275=""),"",COUNTIF($AJ275:$AW275,"&gt;=1"))</f>
        <v/>
      </c>
      <c r="CA275" s="90">
        <f>IF($BZ275="","",IF($BZ275&gt;=14,"",'設定'!$C$6+$BZ275))</f>
        <v/>
      </c>
      <c r="CB275">
        <f>IF(OR($C275="",$M275=""),"",MIN($BL275:$BY275))</f>
        <v/>
      </c>
      <c r="CC275" s="90">
        <f>IF($CB275="","",IF($CB275&gt;=99,"",'設定'!$C$6+$CB275))</f>
        <v/>
      </c>
      <c r="CD275">
        <f>IF(OR($C275="",$M275=""),"",AVERAGE($V275:$AI275))</f>
        <v/>
      </c>
      <c r="CE275">
        <f>IF($C275="","",IFERROR(IF(MATCH(IF(ISNUMBER($P275),$P275,'設定'!$C$6+N('設定'!$C$7)),$V$3:$AI$3,0)=1,MAX(0,N($L275)),INDEX($AJ275:$AW275,MATCH(IF(ISNUMBER($P275),$P275,'設定'!$C$6+N('設定'!$C$7)),$V$3:$AI$3,0)-1)),""))</f>
        <v/>
      </c>
      <c r="CF275">
        <f>IF(OR($C275="",$O275="",$CE275=""),"",IF($O275-$CE275&lt;=0,0,ROUNDUP(($O275-$CE275)/$G275,0)))</f>
        <v/>
      </c>
      <c r="CG275">
        <f>IF(OR($C275="",$CF275="",NOT(ISNUMBER($Q275))),0,MAX(0,$Q275-$CF275))</f>
        <v/>
      </c>
      <c r="CH275">
        <f>IF(OR($C275="",$O275="",$U275=0),0,IFERROR(ROUNDUP(MAX(0,IF(MATCH($S275,$V$3:$AI$3,0)=1,MAX(0,N($L275)),INDEX($AX275:$BK275,MATCH($S275,$V$3:$AI$3,0)-1))+$U275-$O275)/$G275,0),0))</f>
        <v/>
      </c>
      <c r="CI275">
        <f>IF($C275="","",IF(AND($P275="",$Q275=""),"",IF($P275="","⚠ 入庫日を ▼ から選んでください",IF(NOT(ISNUMBER($P275)),"⚠ 入庫日は ▼ から選んでください",IF($P275&lt;N('設定'!$C$6),"⚠ 入庫日が過去です（もう在庫に入っています）→ 消してください",IF($P275&gt;N('設定'!$C$6)+13,"⚠ 入庫日が14日より先です",IF(N($Q275)&lt;=0,"⚠ 入庫数を入れてください",IF($CG275&gt;0,"⚠ 目安より "&amp;$CG275&amp;" 多い（定数を超える）→ 減らす",""))))))))</f>
        <v/>
      </c>
      <c r="CJ275">
        <f>IF($C275="","",IF(AND($S275="",$T275=""),"",IF($S275="","⚠ 2便目：入庫日を ▼ から選んでください",IF(NOT(ISNUMBER($S275)),"⚠ 2便目：入庫日は ▼ から選んでください",IF($S275&lt;N('設定'!$C$6),"⚠ 2便目：入庫日が過去です（もう在庫に入っています）→ 消してください",IF($S275&gt;N('設定'!$C$6)+13,"⚠ 2便目：入庫日が14日より先です",IF(N($T275)&lt;=0,"⚠ 2便目：入庫数を入れてください",IF($CH275&gt;0,"⚠ 2便目：定数を "&amp;$CH275&amp;" ケース超える → 減らす",""))))))))</f>
        <v/>
      </c>
      <c r="CK275">
        <f>IF(AND($CI275="",N($Q275)&gt;0,ISNUMBER($P275)),1,0)</f>
        <v/>
      </c>
      <c r="CL275">
        <f>IF(AND($CJ275="",N($T275)&gt;0,ISNUMBER($S275)),1,0)</f>
        <v/>
      </c>
      <c r="CM275">
        <f>IF(OR($CK275=1,$CL275=1),1,0)</f>
        <v/>
      </c>
      <c r="CN275">
        <f>IF($C275="",0,($CK275*$R275+$CL275*$U275)*N($H275))</f>
        <v/>
      </c>
      <c r="CO275">
        <f>IF($C275="","",IF($CC275="","入庫後は 14日以上もつ",IF($CC275-N('設定'!$C$7)&lt;='設定'!$C$6,"入庫後も "&amp;TEXT($CC275,"m/d")&amp;"("&amp;CHOOSE(WEEKDAY($CC275),"日","月","火","水","木","金","土")&amp;")"&amp;" に切れる　もう1便を至急発注","入庫後も "&amp;TEXT($CC275,"m/d")&amp;"("&amp;CHOOSE(WEEKDAY($CC275),"日","月","火","水","木","金","土")&amp;")"&amp;" に切れる　"&amp;TEXT($CC275-N('設定'!$C$7),"m/d")&amp;"("&amp;CHOOSE(WEEKDAY($CC275-N('設定'!$C$7)),"日","月","火","水","木","金","土")&amp;")"&amp;" までに次を発注")))</f>
        <v/>
      </c>
      <c r="CP275">
        <f>IF($C275="","",IF('設定'!$C$6="","？ ①在庫を貼る に今日のCSVが貼られていない",IF($CS275=1,"－ 今日のCSVに無い（終売？）",IF($L275&lt;0,"● 在庫がマイナス　数えて「数えた在庫」に入れる",IF($L275=0,"● 在庫なし　至急発注",IF($M275="","？ 減り数が未設定（商品マスタ）",IF($B$3=0,"？ 動員が未入力（動員を入れる）",IF($CA275="","○ 14日以上もつ",IF($BZ275&lt;N('設定'!$C$7),"● "&amp;TEXT($CA275,"m/d")&amp;"("&amp;CHOOSE(WEEKDAY($CA275),"日","月","火","水","木","金","土")&amp;")"&amp;" に切れる　至急発注",IF($BZ275=N('設定'!$C$7),"● "&amp;TEXT($CA275,"m/d")&amp;"("&amp;CHOOSE(WEEKDAY($CA275),"日","月","火","水","木","金","土")&amp;")"&amp;" に切れる　今日発注","△ "&amp;TEXT($CA275,"m/d")&amp;"("&amp;CHOOSE(WEEKDAY($CA275),"日","月","火","水","木","金","土")&amp;")"&amp;" に切れる　"&amp;TEXT($CA275-N('設定'!$C$7),"m/d")&amp;"("&amp;CHOOSE(WEEKDAY($CA275-N('設定'!$C$7)),"日","月","火","水","木","金","土")&amp;")"&amp;" までに発注"))))))))))</f>
        <v/>
      </c>
      <c r="CQ275">
        <f>IF($C275="","",IF(AND($P275="",$Q275="",$S275="",$T275=""),"",IF(AND($P275="",$Q275=""),"⚠ 先に1便目（左の入庫日・入庫数）に入れてください",IF($CI275&lt;&gt;"",$CI275,IF($CJ275&lt;&gt;"",$CJ275,IF($M275="","？ 減り数が未設定（発注書には載ります）",IF($B$3=0,"？ 動員が未入力（発注書には載ります）",IF(AND($CA275&lt;&gt;"",$P275&gt;$CA275),IF($P275&gt;'設定'!$C$6+N('設定'!$C$7),"● "&amp;TEXT($P275,"m/d")&amp;"("&amp;CHOOSE(WEEKDAY($P275),"日","月","火","水","木","金","土")&amp;")"&amp;" の入庫では間に合わない（"&amp;TEXT($CA275,"m/d")&amp;"("&amp;CHOOSE(WEEKDAY($CA275),"日","月","火","水","木","金","土")&amp;")"&amp;" に切れる）　入庫日を早める","△ 欠品 "&amp;TEXT($CA275,"m/d")&amp;"("&amp;CHOOSE(WEEKDAY($CA275),"日","月","火","水","木","金","土")&amp;")"&amp;"〜"&amp;TEXT($P275-1,"m/d")&amp;"("&amp;CHOOSE(WEEKDAY($P275-1),"日","月","火","水","木","金","土")&amp;")"&amp;"　"&amp;$CO275),IF($CC275="","○ "&amp;TEXT($P275,"m/d")&amp;"("&amp;CHOOSE(WEEKDAY($P275),"日","月","火","水","木","金","土")&amp;")"&amp;" 入庫で 14日以上もつ",IF($CC275-N('設定'!$C$7)&lt;='設定'!$C$6,"● 入庫しても "&amp;TEXT($CC275,"m/d")&amp;"("&amp;CHOOSE(WEEKDAY($CC275),"日","月","火","水","木","金","土")&amp;")"&amp;" に切れる　もう1便を至急発注（2便目に入れる）","△ 入庫しても "&amp;TEXT($CC275,"m/d")&amp;"("&amp;CHOOSE(WEEKDAY($CC275),"日","月","火","水","木","金","土")&amp;")"&amp;" に切れる　"&amp;TEXT($CC275-N('設定'!$C$7),"m/d")&amp;"("&amp;CHOOSE(WEEKDAY($CC275-N('設定'!$C$7)),"日","月","火","水","木","金","土")&amp;")"&amp;" までに次を発注（2便目に入れる）"))))))))))</f>
        <v/>
      </c>
      <c r="CR275">
        <f>IF($C275="","",IF($G275&gt;1,"ｹｰｽ("&amp;$G275&amp;"入)","個"))</f>
        <v/>
      </c>
      <c r="CS275">
        <f>IF($C275="",0,IF(COUNTIFS('①在庫を貼る'!$V$6:$V$10005,'設定'!$C$4,'①在庫を貼る'!$W$6:$W$10005,$C275)=0,1,0))</f>
        <v/>
      </c>
      <c r="CT275">
        <f>IF(AND($CK275=1,OR('③発注書'!$C$4="すべて",'③発注書'!$C$4="",$F275='③発注書'!$C$4)),N($CT274)+1,N($CT274))</f>
        <v/>
      </c>
      <c r="CU275">
        <f>IF(AND($CL275=1,OR('③発注書'!$C$4="すべて",'③発注書'!$C$4="",$F275='③発注書'!$C$4)),N($CU274)+1,N($CU274))</f>
        <v/>
      </c>
      <c r="CV275">
        <f>IF($C275="",0,IF(COUNTIFS('①在庫を貼る'!$V$6:$V$10005,'設定'!$C$4,'①在庫を貼る'!$W$6:$W$10005,$C275)&gt;0,1,0))</f>
        <v/>
      </c>
      <c r="CW275">
        <f>IF($C275="",0,IF(COUNTIFS('月1回_1ヶ月前の在庫'!$V$6:$V$10005,'設定'!$C$4,'月1回_1ヶ月前の在庫'!$W$6:$W$10005,$C275)&gt;0,1,0))</f>
        <v/>
      </c>
      <c r="CX275">
        <f>IF($C275="",0,IF(COUNTIFS('月1回_2ヶ月前の在庫'!$V$6:$V$10005,'設定'!$C$4,'月1回_2ヶ月前の在庫'!$W$6:$W$10005,$C275)&gt;0,1,0))</f>
        <v/>
      </c>
      <c r="CY275">
        <f>IF(OR($C275="",'設定'!$C$12=""),"",IF('設定'!$C$13="",IF(AND($CV275=1,$CW275=0),"新商品（今月から）",IF(AND($CV275=0,$CW275=1),"終売（今月から）","")),IF(AND($CV275=1,$CW275=0,$CX275=0),"新商品（今月から）",IF(AND($CV275=1,$CW275=1,$CX275=0),"新商品（先月から）",IF(AND($CV275=0,$CW275=1,$CX275=1),"終売（今月から）",IF(AND($CV275=0,$CW275=0,$CX275=1),"終売（先月から）",IF(AND($CV275=1,$CW275=0,$CX275=1),"復活（先月は無し）","")))))))</f>
        <v/>
      </c>
    </row>
    <row r="276">
      <c r="B276">
        <f>IF(271&lt;='設定'!$C$11,271,"")</f>
        <v/>
      </c>
      <c r="C276">
        <f>IF($B276="","",IF($B276&lt;='設定'!$C$20,INDEX('商品マスタ'!$B$6:$B$1005,MATCH($B276,'商品マスタ'!$M$6:$M$1005,0)),IF($B276&lt;='設定'!$C$20+'設定'!$C$17,INDEX('①在庫を貼る'!$W$6:$W$10005,MATCH($B276-'設定'!$C$20,'①在庫を貼る'!$U$6:$U$10005,0)),IF($B276&lt;='設定'!$C$20+'設定'!$C$17+'設定'!$C$18,INDEX('月1回_1ヶ月前の在庫'!$W$6:$W$10005,MATCH($B276-'設定'!$C$20-'設定'!$C$17,'月1回_1ヶ月前の在庫'!$U$6:$U$10005,0)),INDEX('月1回_2ヶ月前の在庫'!$W$6:$W$10005,MATCH($B276-'設定'!$C$20-'設定'!$C$17-'設定'!$C$18,'月1回_2ヶ月前の在庫'!$U$6:$U$10005,0))))))</f>
        <v/>
      </c>
      <c r="D276">
        <f>IF($C276="","",IFERROR(IF(INDEX('商品マスタ'!$C$6:$C$1005,MATCH($C276,'商品マスタ'!$B$6:$B$1005,0))="",IFERROR(INDEX('①在庫を貼る'!$J$6:$J$10005,MATCH($C276,'①在庫を貼る'!$W$6:$W$10005,0)),IFERROR(INDEX('月1回_1ヶ月前の在庫'!$J$6:$J$10005,MATCH($C276,'月1回_1ヶ月前の在庫'!$W$6:$W$10005,0)),IFERROR(INDEX('月1回_2ヶ月前の在庫'!$J$6:$J$10005,MATCH($C276,'月1回_2ヶ月前の在庫'!$W$6:$W$10005,0)),""))),INDEX('商品マスタ'!$C$6:$C$1005,MATCH($C276,'商品マスタ'!$B$6:$B$1005,0))),IFERROR(INDEX('①在庫を貼る'!$J$6:$J$10005,MATCH($C276,'①在庫を貼る'!$W$6:$W$10005,0)),IFERROR(INDEX('月1回_1ヶ月前の在庫'!$J$6:$J$10005,MATCH($C276,'月1回_1ヶ月前の在庫'!$W$6:$W$10005,0)),IFERROR(INDEX('月1回_2ヶ月前の在庫'!$J$6:$J$10005,MATCH($C276,'月1回_2ヶ月前の在庫'!$W$6:$W$10005,0)),"")))))</f>
        <v/>
      </c>
      <c r="E276">
        <f>IF($C276="","",IFERROR(IF(INDEX('商品マスタ'!$D$6:$D$1005,MATCH($C276,'商品マスタ'!$B$6:$B$1005,0))="",IFERROR(INDEX('①在庫を貼る'!$H$6:$H$10005,MATCH($C276,'①在庫を貼る'!$W$6:$W$10005,0)),IFERROR(INDEX('月1回_1ヶ月前の在庫'!$H$6:$H$10005,MATCH($C276,'月1回_1ヶ月前の在庫'!$W$6:$W$10005,0)),IFERROR(INDEX('月1回_2ヶ月前の在庫'!$H$6:$H$10005,MATCH($C276,'月1回_2ヶ月前の在庫'!$W$6:$W$10005,0)),""))),INDEX('商品マスタ'!$D$6:$D$1005,MATCH($C276,'商品マスタ'!$B$6:$B$1005,0))),IFERROR(INDEX('①在庫を貼る'!$H$6:$H$10005,MATCH($C276,'①在庫を貼る'!$W$6:$W$10005,0)),IFERROR(INDEX('月1回_1ヶ月前の在庫'!$H$6:$H$10005,MATCH($C276,'月1回_1ヶ月前の在庫'!$W$6:$W$10005,0)),IFERROR(INDEX('月1回_2ヶ月前の在庫'!$H$6:$H$10005,MATCH($C276,'月1回_2ヶ月前の在庫'!$W$6:$W$10005,0)),"")))))</f>
        <v/>
      </c>
      <c r="F276">
        <f>IF($C276="","",IFERROR(IF(INDEX('商品マスタ'!$E$6:$E$1005,MATCH($C276,'商品マスタ'!$B$6:$B$1005,0))="",IFERROR(INDEX('①在庫を貼る'!$E$6:$E$10005,MATCH($C276,'①在庫を貼る'!$W$6:$W$10005,0)),IFERROR(INDEX('月1回_1ヶ月前の在庫'!$E$6:$E$10005,MATCH($C276,'月1回_1ヶ月前の在庫'!$W$6:$W$10005,0)),IFERROR(INDEX('月1回_2ヶ月前の在庫'!$E$6:$E$10005,MATCH($C276,'月1回_2ヶ月前の在庫'!$W$6:$W$10005,0)),""))),INDEX('商品マスタ'!$E$6:$E$1005,MATCH($C276,'商品マスタ'!$B$6:$B$1005,0))),IFERROR(INDEX('①在庫を貼る'!$E$6:$E$10005,MATCH($C276,'①在庫を貼る'!$W$6:$W$10005,0)),IFERROR(INDEX('月1回_1ヶ月前の在庫'!$E$6:$E$10005,MATCH($C276,'月1回_1ヶ月前の在庫'!$W$6:$W$10005,0)),IFERROR(INDEX('月1回_2ヶ月前の在庫'!$E$6:$E$10005,MATCH($C276,'月1回_2ヶ月前の在庫'!$W$6:$W$10005,0)),"")))))</f>
        <v/>
      </c>
      <c r="G276">
        <f>IF($C276="","",MAX(1,N(IFERROR(IF(INDEX('商品マスタ'!$F$6:$F$1005,MATCH($C276,'商品マスタ'!$B$6:$B$1005,0))="",IF(COUNTIFS('①在庫を貼る'!$V$6:$V$10005,'設定'!$C$4,'①在庫を貼る'!$W$6:$W$10005,$C276)&gt;0,SUMIFS('①在庫を貼る'!$K$6:$K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K$6:$K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K$6:$K$10005,'月1回_2ヶ月前の在庫'!$V$6:$V$10005,'設定'!$C$4,'月1回_2ヶ月前の在庫'!$W$6:$W$10005,$C276)/COUNTIFS('月1回_2ヶ月前の在庫'!$V$6:$V$10005,'設定'!$C$4,'月1回_2ヶ月前の在庫'!$W$6:$W$10005,$C276),0))),INDEX('商品マスタ'!$F$6:$F$1005,MATCH($C276,'商品マスタ'!$B$6:$B$1005,0))),IF(COUNTIFS('①在庫を貼る'!$V$6:$V$10005,'設定'!$C$4,'①在庫を貼る'!$W$6:$W$10005,$C276)&gt;0,SUMIFS('①在庫を貼る'!$K$6:$K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K$6:$K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K$6:$K$10005,'月1回_2ヶ月前の在庫'!$V$6:$V$10005,'設定'!$C$4,'月1回_2ヶ月前の在庫'!$W$6:$W$10005,$C276)/COUNTIFS('月1回_2ヶ月前の在庫'!$V$6:$V$10005,'設定'!$C$4,'月1回_2ヶ月前の在庫'!$W$6:$W$10005,$C276),0)))))))</f>
        <v/>
      </c>
      <c r="H276">
        <f>IF($C276="","",N(IFERROR(IF(INDEX('商品マスタ'!$G$6:$G$1005,MATCH($C276,'商品マスタ'!$B$6:$B$1005,0))="",IF(COUNTIFS('①在庫を貼る'!$V$6:$V$10005,'設定'!$C$4,'①在庫を貼る'!$W$6:$W$10005,$C276)&gt;0,SUMIFS('①在庫を貼る'!$Q$6:$Q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Q$6:$Q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Q$6:$Q$10005,'月1回_2ヶ月前の在庫'!$V$6:$V$10005,'設定'!$C$4,'月1回_2ヶ月前の在庫'!$W$6:$W$10005,$C276)/COUNTIFS('月1回_2ヶ月前の在庫'!$V$6:$V$10005,'設定'!$C$4,'月1回_2ヶ月前の在庫'!$W$6:$W$10005,$C276),0))),INDEX('商品マスタ'!$G$6:$G$1005,MATCH($C276,'商品マスタ'!$B$6:$B$1005,0))),IF(COUNTIFS('①在庫を貼る'!$V$6:$V$10005,'設定'!$C$4,'①在庫を貼る'!$W$6:$W$10005,$C276)&gt;0,SUMIFS('①在庫を貼る'!$Q$6:$Q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Q$6:$Q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Q$6:$Q$10005,'月1回_2ヶ月前の在庫'!$V$6:$V$10005,'設定'!$C$4,'月1回_2ヶ月前の在庫'!$W$6:$W$10005,$C276)/COUNTIFS('月1回_2ヶ月前の在庫'!$V$6:$V$10005,'設定'!$C$4,'月1回_2ヶ月前の在庫'!$W$6:$W$10005,$C276),0))))))</f>
        <v/>
      </c>
      <c r="I276">
        <f>IF($C276="","",IF(COUNTIFS('①在庫を貼る'!$V$6:$V$10005,'設定'!$C$4,'①在庫を貼る'!$W$6:$W$10005,$C276)=0,"",SUMIFS('①在庫を貼る'!$N$6:$N$10005,'①在庫を貼る'!$V$6:$V$10005,'設定'!$C$4,'①在庫を貼る'!$W$6:$W$10005,$C276)))</f>
        <v/>
      </c>
      <c r="J276">
        <f>IF($C276="","",IF('②発注する'!$AD280="","",'②発注する'!$AD280))</f>
        <v/>
      </c>
      <c r="K276" s="90">
        <f>IF($C276="","",IF('②発注する'!$AE280="","",'②発注する'!$AE280))</f>
        <v/>
      </c>
      <c r="L276">
        <f>IF($C276="","",IF(AND(ISNUMBER($J276),ISNUMBER($K276),$K276&gt;='設定'!$C$6),$J276,N($I276)))</f>
        <v/>
      </c>
      <c r="M276">
        <f>IF($C276="","",IFERROR(IF(N(INDEX('商品マスタ'!$J$6:$J$1005,MATCH($C276,'商品マスタ'!$B$6:$B$1005,0)))&gt;0,INDEX('商品マスタ'!$J$6:$J$1005,MATCH($C276,'商品マスタ'!$B$6:$B$1005,0)),""),""))</f>
        <v/>
      </c>
      <c r="N276">
        <f>IF($C276="","",IFERROR(IF(N(INDEX('商品マスタ'!$H$6:$H$1005,MATCH($C276,'商品マスタ'!$B$6:$B$1005,0)))&gt;0,INDEX('商品マスタ'!$H$6:$H$1005,MATCH($C276,'商品マスタ'!$B$6:$B$1005,0)),""),""))</f>
        <v/>
      </c>
      <c r="O276">
        <f>IF($C276="","",IF($N276&lt;&gt;"",$N276*$G276,IF(N(IF(COUNTIFS('①在庫を貼る'!$V$6:$V$10005,'設定'!$C$4,'①在庫を貼る'!$W$6:$W$10005,$C276)&gt;0,SUMIFS('①在庫を貼る'!$O$6:$O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O$6:$O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O$6:$O$10005,'月1回_2ヶ月前の在庫'!$V$6:$V$10005,'設定'!$C$4,'月1回_2ヶ月前の在庫'!$W$6:$W$10005,$C276)/COUNTIFS('月1回_2ヶ月前の在庫'!$V$6:$V$10005,'設定'!$C$4,'月1回_2ヶ月前の在庫'!$W$6:$W$10005,$C276),0))))&gt;0,N(IF(COUNTIFS('①在庫を貼る'!$V$6:$V$10005,'設定'!$C$4,'①在庫を貼る'!$W$6:$W$10005,$C276)&gt;0,SUMIFS('①在庫を貼る'!$O$6:$O$10005,'①在庫を貼る'!$V$6:$V$10005,'設定'!$C$4,'①在庫を貼る'!$W$6:$W$10005,$C276)/COUNTIFS('①在庫を貼る'!$V$6:$V$10005,'設定'!$C$4,'①在庫を貼る'!$W$6:$W$10005,$C276),IF(COUNTIFS('月1回_1ヶ月前の在庫'!$V$6:$V$10005,'設定'!$C$4,'月1回_1ヶ月前の在庫'!$W$6:$W$10005,$C276)&gt;0,SUMIFS('月1回_1ヶ月前の在庫'!$O$6:$O$10005,'月1回_1ヶ月前の在庫'!$V$6:$V$10005,'設定'!$C$4,'月1回_1ヶ月前の在庫'!$W$6:$W$10005,$C276)/COUNTIFS('月1回_1ヶ月前の在庫'!$V$6:$V$10005,'設定'!$C$4,'月1回_1ヶ月前の在庫'!$W$6:$W$10005,$C276),IF(COUNTIFS('月1回_2ヶ月前の在庫'!$V$6:$V$10005,'設定'!$C$4,'月1回_2ヶ月前の在庫'!$W$6:$W$10005,$C276)&gt;0,SUMIFS('月1回_2ヶ月前の在庫'!$O$6:$O$10005,'月1回_2ヶ月前の在庫'!$V$6:$V$10005,'設定'!$C$4,'月1回_2ヶ月前の在庫'!$W$6:$W$10005,$C276)/COUNTIFS('月1回_2ヶ月前の在庫'!$V$6:$V$10005,'設定'!$C$4,'月1回_2ヶ月前の在庫'!$W$6:$W$10005,$C276),0)))),"")))</f>
        <v/>
      </c>
      <c r="P276" s="90">
        <f>IF($C276="","",IF('②発注する'!$I280="","",'②発注する'!$I280))</f>
        <v/>
      </c>
      <c r="Q276">
        <f>IF($C276="","",IF('②発注する'!$J280="","",'②発注する'!$J280))</f>
        <v/>
      </c>
      <c r="R276">
        <f>IF($C276="",0,IF(AND(ISNUMBER($P276),ISNUMBER($Q276)),MAX(0,$Q276)*$G276,0))</f>
        <v/>
      </c>
      <c r="S276" s="90">
        <f>IF($C276="","",IF('②発注する'!$M280="","",'②発注する'!$M280))</f>
        <v/>
      </c>
      <c r="T276">
        <f>IF($C276="","",IF('②発注する'!$N280="","",'②発注する'!$N280))</f>
        <v/>
      </c>
      <c r="U276">
        <f>IF($C276="",0,IF(AND(ISNUMBER($S276),ISNUMBER($T276)),MAX(0,$T276)*$G276,0))</f>
        <v/>
      </c>
      <c r="V276">
        <f>IF($C276="",0,IF($M276="",0,MAX(0,$M276)*MAX(0,V$4)/100))</f>
        <v/>
      </c>
      <c r="W276">
        <f>IF($C276="",0,IF($M276="",0,MAX(0,$M276)*MAX(0,W$4)/100))</f>
        <v/>
      </c>
      <c r="X276">
        <f>IF($C276="",0,IF($M276="",0,MAX(0,$M276)*MAX(0,X$4)/100))</f>
        <v/>
      </c>
      <c r="Y276">
        <f>IF($C276="",0,IF($M276="",0,MAX(0,$M276)*MAX(0,Y$4)/100))</f>
        <v/>
      </c>
      <c r="Z276">
        <f>IF($C276="",0,IF($M276="",0,MAX(0,$M276)*MAX(0,Z$4)/100))</f>
        <v/>
      </c>
      <c r="AA276">
        <f>IF($C276="",0,IF($M276="",0,MAX(0,$M276)*MAX(0,AA$4)/100))</f>
        <v/>
      </c>
      <c r="AB276">
        <f>IF($C276="",0,IF($M276="",0,MAX(0,$M276)*MAX(0,AB$4)/100))</f>
        <v/>
      </c>
      <c r="AC276">
        <f>IF($C276="",0,IF($M276="",0,MAX(0,$M276)*MAX(0,AC$4)/100))</f>
        <v/>
      </c>
      <c r="AD276">
        <f>IF($C276="",0,IF($M276="",0,MAX(0,$M276)*MAX(0,AD$4)/100))</f>
        <v/>
      </c>
      <c r="AE276">
        <f>IF($C276="",0,IF($M276="",0,MAX(0,$M276)*MAX(0,AE$4)/100))</f>
        <v/>
      </c>
      <c r="AF276">
        <f>IF($C276="",0,IF($M276="",0,MAX(0,$M276)*MAX(0,AF$4)/100))</f>
        <v/>
      </c>
      <c r="AG276">
        <f>IF($C276="",0,IF($M276="",0,MAX(0,$M276)*MAX(0,AG$4)/100))</f>
        <v/>
      </c>
      <c r="AH276">
        <f>IF($C276="",0,IF($M276="",0,MAX(0,$M276)*MAX(0,AH$4)/100))</f>
        <v/>
      </c>
      <c r="AI276">
        <f>IF($C276="",0,IF($M276="",0,MAX(0,$M276)*MAX(0,AI$4)/100))</f>
        <v/>
      </c>
      <c r="AJ276">
        <f>IF($C276="",0,MAX(0,MAX(0,N($L276))-$V276))</f>
        <v/>
      </c>
      <c r="AK276">
        <f>IF($C276="",0,MAX(0,$AJ276-$W276))</f>
        <v/>
      </c>
      <c r="AL276">
        <f>IF($C276="",0,MAX(0,$AK276-$X276))</f>
        <v/>
      </c>
      <c r="AM276">
        <f>IF($C276="",0,MAX(0,$AL276-$Y276))</f>
        <v/>
      </c>
      <c r="AN276">
        <f>IF($C276="",0,MAX(0,$AM276-$Z276))</f>
        <v/>
      </c>
      <c r="AO276">
        <f>IF($C276="",0,MAX(0,$AN276-$AA276))</f>
        <v/>
      </c>
      <c r="AP276">
        <f>IF($C276="",0,MAX(0,$AO276-$AB276))</f>
        <v/>
      </c>
      <c r="AQ276">
        <f>IF($C276="",0,MAX(0,$AP276-$AC276))</f>
        <v/>
      </c>
      <c r="AR276">
        <f>IF($C276="",0,MAX(0,$AQ276-$AD276))</f>
        <v/>
      </c>
      <c r="AS276">
        <f>IF($C276="",0,MAX(0,$AR276-$AE276))</f>
        <v/>
      </c>
      <c r="AT276">
        <f>IF($C276="",0,MAX(0,$AS276-$AF276))</f>
        <v/>
      </c>
      <c r="AU276">
        <f>IF($C276="",0,MAX(0,$AT276-$AG276))</f>
        <v/>
      </c>
      <c r="AV276">
        <f>IF($C276="",0,MAX(0,$AU276-$AH276))</f>
        <v/>
      </c>
      <c r="AW276">
        <f>IF($C276="",0,MAX(0,$AV276-$AI276))</f>
        <v/>
      </c>
      <c r="AX276">
        <f>IF($C276="",0,MAX(0,MAX(0,N($L276))+IF($P276=V$3,$R276,0)+IF($S276=V$3,$U276,0)-$V276))</f>
        <v/>
      </c>
      <c r="AY276">
        <f>IF($C276="",0,MAX(0,$AX276+IF($P276=W$3,$R276,0)+IF($S276=W$3,$U276,0)-$W276))</f>
        <v/>
      </c>
      <c r="AZ276">
        <f>IF($C276="",0,MAX(0,$AY276+IF($P276=X$3,$R276,0)+IF($S276=X$3,$U276,0)-$X276))</f>
        <v/>
      </c>
      <c r="BA276">
        <f>IF($C276="",0,MAX(0,$AZ276+IF($P276=Y$3,$R276,0)+IF($S276=Y$3,$U276,0)-$Y276))</f>
        <v/>
      </c>
      <c r="BB276">
        <f>IF($C276="",0,MAX(0,$BA276+IF($P276=Z$3,$R276,0)+IF($S276=Z$3,$U276,0)-$Z276))</f>
        <v/>
      </c>
      <c r="BC276">
        <f>IF($C276="",0,MAX(0,$BB276+IF($P276=AA$3,$R276,0)+IF($S276=AA$3,$U276,0)-$AA276))</f>
        <v/>
      </c>
      <c r="BD276">
        <f>IF($C276="",0,MAX(0,$BC276+IF($P276=AB$3,$R276,0)+IF($S276=AB$3,$U276,0)-$AB276))</f>
        <v/>
      </c>
      <c r="BE276">
        <f>IF($C276="",0,MAX(0,$BD276+IF($P276=AC$3,$R276,0)+IF($S276=AC$3,$U276,0)-$AC276))</f>
        <v/>
      </c>
      <c r="BF276">
        <f>IF($C276="",0,MAX(0,$BE276+IF($P276=AD$3,$R276,0)+IF($S276=AD$3,$U276,0)-$AD276))</f>
        <v/>
      </c>
      <c r="BG276">
        <f>IF($C276="",0,MAX(0,$BF276+IF($P276=AE$3,$R276,0)+IF($S276=AE$3,$U276,0)-$AE276))</f>
        <v/>
      </c>
      <c r="BH276">
        <f>IF($C276="",0,MAX(0,$BG276+IF($P276=AF$3,$R276,0)+IF($S276=AF$3,$U276,0)-$AF276))</f>
        <v/>
      </c>
      <c r="BI276">
        <f>IF($C276="",0,MAX(0,$BH276+IF($P276=AG$3,$R276,0)+IF($S276=AG$3,$U276,0)-$AG276))</f>
        <v/>
      </c>
      <c r="BJ276">
        <f>IF($C276="",0,MAX(0,$BI276+IF($P276=AH$3,$R276,0)+IF($S276=AH$3,$U276,0)-$AH276))</f>
        <v/>
      </c>
      <c r="BK276">
        <f>IF($C276="",0,MAX(0,$BJ276+IF($P276=AI$3,$R276,0)+IF($S276=AI$3,$U276,0)-$AI276))</f>
        <v/>
      </c>
      <c r="BL276">
        <f>IF($C276="",99,IF(AND($AX276&lt;1,V$3&gt;=MAX(N($P276),N($S276))),0,99))</f>
        <v/>
      </c>
      <c r="BM276">
        <f>IF($C276="",99,IF(AND($AY276&lt;1,W$3&gt;=MAX(N($P276),N($S276))),1,99))</f>
        <v/>
      </c>
      <c r="BN276">
        <f>IF($C276="",99,IF(AND($AZ276&lt;1,X$3&gt;=MAX(N($P276),N($S276))),2,99))</f>
        <v/>
      </c>
      <c r="BO276">
        <f>IF($C276="",99,IF(AND($BA276&lt;1,Y$3&gt;=MAX(N($P276),N($S276))),3,99))</f>
        <v/>
      </c>
      <c r="BP276">
        <f>IF($C276="",99,IF(AND($BB276&lt;1,Z$3&gt;=MAX(N($P276),N($S276))),4,99))</f>
        <v/>
      </c>
      <c r="BQ276">
        <f>IF($C276="",99,IF(AND($BC276&lt;1,AA$3&gt;=MAX(N($P276),N($S276))),5,99))</f>
        <v/>
      </c>
      <c r="BR276">
        <f>IF($C276="",99,IF(AND($BD276&lt;1,AB$3&gt;=MAX(N($P276),N($S276))),6,99))</f>
        <v/>
      </c>
      <c r="BS276">
        <f>IF($C276="",99,IF(AND($BE276&lt;1,AC$3&gt;=MAX(N($P276),N($S276))),7,99))</f>
        <v/>
      </c>
      <c r="BT276">
        <f>IF($C276="",99,IF(AND($BF276&lt;1,AD$3&gt;=MAX(N($P276),N($S276))),8,99))</f>
        <v/>
      </c>
      <c r="BU276">
        <f>IF($C276="",99,IF(AND($BG276&lt;1,AE$3&gt;=MAX(N($P276),N($S276))),9,99))</f>
        <v/>
      </c>
      <c r="BV276">
        <f>IF($C276="",99,IF(AND($BH276&lt;1,AF$3&gt;=MAX(N($P276),N($S276))),10,99))</f>
        <v/>
      </c>
      <c r="BW276">
        <f>IF($C276="",99,IF(AND($BI276&lt;1,AG$3&gt;=MAX(N($P276),N($S276))),11,99))</f>
        <v/>
      </c>
      <c r="BX276">
        <f>IF($C276="",99,IF(AND($BJ276&lt;1,AH$3&gt;=MAX(N($P276),N($S276))),12,99))</f>
        <v/>
      </c>
      <c r="BY276">
        <f>IF($C276="",99,IF(AND($BK276&lt;1,AI$3&gt;=MAX(N($P276),N($S276))),13,99))</f>
        <v/>
      </c>
      <c r="BZ276">
        <f>IF(OR($C276="",$M276=""),"",COUNTIF($AJ276:$AW276,"&gt;=1"))</f>
        <v/>
      </c>
      <c r="CA276" s="90">
        <f>IF($BZ276="","",IF($BZ276&gt;=14,"",'設定'!$C$6+$BZ276))</f>
        <v/>
      </c>
      <c r="CB276">
        <f>IF(OR($C276="",$M276=""),"",MIN($BL276:$BY276))</f>
        <v/>
      </c>
      <c r="CC276" s="90">
        <f>IF($CB276="","",IF($CB276&gt;=99,"",'設定'!$C$6+$CB276))</f>
        <v/>
      </c>
      <c r="CD276">
        <f>IF(OR($C276="",$M276=""),"",AVERAGE($V276:$AI276))</f>
        <v/>
      </c>
      <c r="CE276">
        <f>IF($C276="","",IFERROR(IF(MATCH(IF(ISNUMBER($P276),$P276,'設定'!$C$6+N('設定'!$C$7)),$V$3:$AI$3,0)=1,MAX(0,N($L276)),INDEX($AJ276:$AW276,MATCH(IF(ISNUMBER($P276),$P276,'設定'!$C$6+N('設定'!$C$7)),$V$3:$AI$3,0)-1)),""))</f>
        <v/>
      </c>
      <c r="CF276">
        <f>IF(OR($C276="",$O276="",$CE276=""),"",IF($O276-$CE276&lt;=0,0,ROUNDUP(($O276-$CE276)/$G276,0)))</f>
        <v/>
      </c>
      <c r="CG276">
        <f>IF(OR($C276="",$CF276="",NOT(ISNUMBER($Q276))),0,MAX(0,$Q276-$CF276))</f>
        <v/>
      </c>
      <c r="CH276">
        <f>IF(OR($C276="",$O276="",$U276=0),0,IFERROR(ROUNDUP(MAX(0,IF(MATCH($S276,$V$3:$AI$3,0)=1,MAX(0,N($L276)),INDEX($AX276:$BK276,MATCH($S276,$V$3:$AI$3,0)-1))+$U276-$O276)/$G276,0),0))</f>
        <v/>
      </c>
      <c r="CI276">
        <f>IF($C276="","",IF(AND($P276="",$Q276=""),"",IF($P276="","⚠ 入庫日を ▼ から選んでください",IF(NOT(ISNUMBER($P276)),"⚠ 入庫日は ▼ から選んでください",IF($P276&lt;N('設定'!$C$6),"⚠ 入庫日が過去です（もう在庫に入っています）→ 消してください",IF($P276&gt;N('設定'!$C$6)+13,"⚠ 入庫日が14日より先です",IF(N($Q276)&lt;=0,"⚠ 入庫数を入れてください",IF($CG276&gt;0,"⚠ 目安より "&amp;$CG276&amp;" 多い（定数を超える）→ 減らす",""))))))))</f>
        <v/>
      </c>
      <c r="CJ276">
        <f>IF($C276="","",IF(AND($S276="",$T276=""),"",IF($S276="","⚠ 2便目：入庫日を ▼ から選んでください",IF(NOT(ISNUMBER($S276)),"⚠ 2便目：入庫日は ▼ から選んでください",IF($S276&lt;N('設定'!$C$6),"⚠ 2便目：入庫日が過去です（もう在庫に入っています）→ 消してください",IF($S276&gt;N('設定'!$C$6)+13,"⚠ 2便目：入庫日が14日より先です",IF(N($T276)&lt;=0,"⚠ 2便目：入庫数を入れてください",IF($CH276&gt;0,"⚠ 2便目：定数を "&amp;$CH276&amp;" ケース超える → 減らす",""))))))))</f>
        <v/>
      </c>
      <c r="CK276">
        <f>IF(AND($CI276="",N($Q276)&gt;0,ISNUMBER($P276)),1,0)</f>
        <v/>
      </c>
      <c r="CL276">
        <f>IF(AND($CJ276="",N($T276)&gt;0,ISNUMBER($S276)),1,0)</f>
        <v/>
      </c>
      <c r="CM276">
        <f>IF(OR($CK276=1,$CL276=1),1,0)</f>
        <v/>
      </c>
      <c r="CN276">
        <f>IF($C276="",0,($CK276*$R276+$CL276*$U276)*N($H276))</f>
        <v/>
      </c>
      <c r="CO276">
        <f>IF($C276="","",IF($CC276="","入庫後は 14日以上もつ",IF($CC276-N('設定'!$C$7)&lt;='設定'!$C$6,"入庫後も "&amp;TEXT($CC276,"m/d")&amp;"("&amp;CHOOSE(WEEKDAY($CC276),"日","月","火","水","木","金","土")&amp;")"&amp;" に切れる　もう1便を至急発注","入庫後も "&amp;TEXT($CC276,"m/d")&amp;"("&amp;CHOOSE(WEEKDAY($CC276),"日","月","火","水","木","金","土")&amp;")"&amp;" に切れる　"&amp;TEXT($CC276-N('設定'!$C$7),"m/d")&amp;"("&amp;CHOOSE(WEEKDAY($CC276-N('設定'!$C$7)),"日","月","火","水","木","金","土")&amp;")"&amp;" までに次を発注")))</f>
        <v/>
      </c>
      <c r="CP276">
        <f>IF($C276="","",IF('設定'!$C$6="","？ ①在庫を貼る に今日のCSVが貼られていない",IF($CS276=1,"－ 今日のCSVに無い（終売？）",IF($L276&lt;0,"● 在庫がマイナス　数えて「数えた在庫」に入れる",IF($L276=0,"● 在庫なし　至急発注",IF($M276="","？ 減り数が未設定（商品マスタ）",IF($B$3=0,"？ 動員が未入力（動員を入れる）",IF($CA276="","○ 14日以上もつ",IF($BZ276&lt;N('設定'!$C$7),"● "&amp;TEXT($CA276,"m/d")&amp;"("&amp;CHOOSE(WEEKDAY($CA276),"日","月","火","水","木","金","土")&amp;")"&amp;" に切れる　至急発注",IF($BZ276=N('設定'!$C$7),"● "&amp;TEXT($CA276,"m/d")&amp;"("&amp;CHOOSE(WEEKDAY($CA276),"日","月","火","水","木","金","土")&amp;")"&amp;" に切れる　今日発注","△ "&amp;TEXT($CA276,"m/d")&amp;"("&amp;CHOOSE(WEEKDAY($CA276),"日","月","火","水","木","金","土")&amp;")"&amp;" に切れる　"&amp;TEXT($CA276-N('設定'!$C$7),"m/d")&amp;"("&amp;CHOOSE(WEEKDAY($CA276-N('設定'!$C$7)),"日","月","火","水","木","金","土")&amp;")"&amp;" までに発注"))))))))))</f>
        <v/>
      </c>
      <c r="CQ276">
        <f>IF($C276="","",IF(AND($P276="",$Q276="",$S276="",$T276=""),"",IF(AND($P276="",$Q276=""),"⚠ 先に1便目（左の入庫日・入庫数）に入れてください",IF($CI276&lt;&gt;"",$CI276,IF($CJ276&lt;&gt;"",$CJ276,IF($M276="","？ 減り数が未設定（発注書には載ります）",IF($B$3=0,"？ 動員が未入力（発注書には載ります）",IF(AND($CA276&lt;&gt;"",$P276&gt;$CA276),IF($P276&gt;'設定'!$C$6+N('設定'!$C$7),"● "&amp;TEXT($P276,"m/d")&amp;"("&amp;CHOOSE(WEEKDAY($P276),"日","月","火","水","木","金","土")&amp;")"&amp;" の入庫では間に合わない（"&amp;TEXT($CA276,"m/d")&amp;"("&amp;CHOOSE(WEEKDAY($CA276),"日","月","火","水","木","金","土")&amp;")"&amp;" に切れる）　入庫日を早める","△ 欠品 "&amp;TEXT($CA276,"m/d")&amp;"("&amp;CHOOSE(WEEKDAY($CA276),"日","月","火","水","木","金","土")&amp;")"&amp;"〜"&amp;TEXT($P276-1,"m/d")&amp;"("&amp;CHOOSE(WEEKDAY($P276-1),"日","月","火","水","木","金","土")&amp;")"&amp;"　"&amp;$CO276),IF($CC276="","○ "&amp;TEXT($P276,"m/d")&amp;"("&amp;CHOOSE(WEEKDAY($P276),"日","月","火","水","木","金","土")&amp;")"&amp;" 入庫で 14日以上もつ",IF($CC276-N('設定'!$C$7)&lt;='設定'!$C$6,"● 入庫しても "&amp;TEXT($CC276,"m/d")&amp;"("&amp;CHOOSE(WEEKDAY($CC276),"日","月","火","水","木","金","土")&amp;")"&amp;" に切れる　もう1便を至急発注（2便目に入れる）","△ 入庫しても "&amp;TEXT($CC276,"m/d")&amp;"("&amp;CHOOSE(WEEKDAY($CC276),"日","月","火","水","木","金","土")&amp;")"&amp;" に切れる　"&amp;TEXT($CC276-N('設定'!$C$7),"m/d")&amp;"("&amp;CHOOSE(WEEKDAY($CC276-N('設定'!$C$7)),"日","月","火","水","木","金","土")&amp;")"&amp;" までに次を発注（2便目に入れる）"))))))))))</f>
        <v/>
      </c>
      <c r="CR276">
        <f>IF($C276="","",IF($G276&gt;1,"ｹｰｽ("&amp;$G276&amp;"入)","個"))</f>
        <v/>
      </c>
      <c r="CS276">
        <f>IF($C276="",0,IF(COUNTIFS('①在庫を貼る'!$V$6:$V$10005,'設定'!$C$4,'①在庫を貼る'!$W$6:$W$10005,$C276)=0,1,0))</f>
        <v/>
      </c>
      <c r="CT276">
        <f>IF(AND($CK276=1,OR('③発注書'!$C$4="すべて",'③発注書'!$C$4="",$F276='③発注書'!$C$4)),N($CT275)+1,N($CT275))</f>
        <v/>
      </c>
      <c r="CU276">
        <f>IF(AND($CL276=1,OR('③発注書'!$C$4="すべて",'③発注書'!$C$4="",$F276='③発注書'!$C$4)),N($CU275)+1,N($CU275))</f>
        <v/>
      </c>
      <c r="CV276">
        <f>IF($C276="",0,IF(COUNTIFS('①在庫を貼る'!$V$6:$V$10005,'設定'!$C$4,'①在庫を貼る'!$W$6:$W$10005,$C276)&gt;0,1,0))</f>
        <v/>
      </c>
      <c r="CW276">
        <f>IF($C276="",0,IF(COUNTIFS('月1回_1ヶ月前の在庫'!$V$6:$V$10005,'設定'!$C$4,'月1回_1ヶ月前の在庫'!$W$6:$W$10005,$C276)&gt;0,1,0))</f>
        <v/>
      </c>
      <c r="CX276">
        <f>IF($C276="",0,IF(COUNTIFS('月1回_2ヶ月前の在庫'!$V$6:$V$10005,'設定'!$C$4,'月1回_2ヶ月前の在庫'!$W$6:$W$10005,$C276)&gt;0,1,0))</f>
        <v/>
      </c>
      <c r="CY276">
        <f>IF(OR($C276="",'設定'!$C$12=""),"",IF('設定'!$C$13="",IF(AND($CV276=1,$CW276=0),"新商品（今月から）",IF(AND($CV276=0,$CW276=1),"終売（今月から）","")),IF(AND($CV276=1,$CW276=0,$CX276=0),"新商品（今月から）",IF(AND($CV276=1,$CW276=1,$CX276=0),"新商品（先月から）",IF(AND($CV276=0,$CW276=1,$CX276=1),"終売（今月から）",IF(AND($CV276=0,$CW276=0,$CX276=1),"終売（先月から）",IF(AND($CV276=1,$CW276=0,$CX276=1),"復活（先月は無し）","")))))))</f>
        <v/>
      </c>
    </row>
    <row r="277">
      <c r="B277">
        <f>IF(272&lt;='設定'!$C$11,272,"")</f>
        <v/>
      </c>
      <c r="C277">
        <f>IF($B277="","",IF($B277&lt;='設定'!$C$20,INDEX('商品マスタ'!$B$6:$B$1005,MATCH($B277,'商品マスタ'!$M$6:$M$1005,0)),IF($B277&lt;='設定'!$C$20+'設定'!$C$17,INDEX('①在庫を貼る'!$W$6:$W$10005,MATCH($B277-'設定'!$C$20,'①在庫を貼る'!$U$6:$U$10005,0)),IF($B277&lt;='設定'!$C$20+'設定'!$C$17+'設定'!$C$18,INDEX('月1回_1ヶ月前の在庫'!$W$6:$W$10005,MATCH($B277-'設定'!$C$20-'設定'!$C$17,'月1回_1ヶ月前の在庫'!$U$6:$U$10005,0)),INDEX('月1回_2ヶ月前の在庫'!$W$6:$W$10005,MATCH($B277-'設定'!$C$20-'設定'!$C$17-'設定'!$C$18,'月1回_2ヶ月前の在庫'!$U$6:$U$10005,0))))))</f>
        <v/>
      </c>
      <c r="D277">
        <f>IF($C277="","",IFERROR(IF(INDEX('商品マスタ'!$C$6:$C$1005,MATCH($C277,'商品マスタ'!$B$6:$B$1005,0))="",IFERROR(INDEX('①在庫を貼る'!$J$6:$J$10005,MATCH($C277,'①在庫を貼る'!$W$6:$W$10005,0)),IFERROR(INDEX('月1回_1ヶ月前の在庫'!$J$6:$J$10005,MATCH($C277,'月1回_1ヶ月前の在庫'!$W$6:$W$10005,0)),IFERROR(INDEX('月1回_2ヶ月前の在庫'!$J$6:$J$10005,MATCH($C277,'月1回_2ヶ月前の在庫'!$W$6:$W$10005,0)),""))),INDEX('商品マスタ'!$C$6:$C$1005,MATCH($C277,'商品マスタ'!$B$6:$B$1005,0))),IFERROR(INDEX('①在庫を貼る'!$J$6:$J$10005,MATCH($C277,'①在庫を貼る'!$W$6:$W$10005,0)),IFERROR(INDEX('月1回_1ヶ月前の在庫'!$J$6:$J$10005,MATCH($C277,'月1回_1ヶ月前の在庫'!$W$6:$W$10005,0)),IFERROR(INDEX('月1回_2ヶ月前の在庫'!$J$6:$J$10005,MATCH($C277,'月1回_2ヶ月前の在庫'!$W$6:$W$10005,0)),"")))))</f>
        <v/>
      </c>
      <c r="E277">
        <f>IF($C277="","",IFERROR(IF(INDEX('商品マスタ'!$D$6:$D$1005,MATCH($C277,'商品マスタ'!$B$6:$B$1005,0))="",IFERROR(INDEX('①在庫を貼る'!$H$6:$H$10005,MATCH($C277,'①在庫を貼る'!$W$6:$W$10005,0)),IFERROR(INDEX('月1回_1ヶ月前の在庫'!$H$6:$H$10005,MATCH($C277,'月1回_1ヶ月前の在庫'!$W$6:$W$10005,0)),IFERROR(INDEX('月1回_2ヶ月前の在庫'!$H$6:$H$10005,MATCH($C277,'月1回_2ヶ月前の在庫'!$W$6:$W$10005,0)),""))),INDEX('商品マスタ'!$D$6:$D$1005,MATCH($C277,'商品マスタ'!$B$6:$B$1005,0))),IFERROR(INDEX('①在庫を貼る'!$H$6:$H$10005,MATCH($C277,'①在庫を貼る'!$W$6:$W$10005,0)),IFERROR(INDEX('月1回_1ヶ月前の在庫'!$H$6:$H$10005,MATCH($C277,'月1回_1ヶ月前の在庫'!$W$6:$W$10005,0)),IFERROR(INDEX('月1回_2ヶ月前の在庫'!$H$6:$H$10005,MATCH($C277,'月1回_2ヶ月前の在庫'!$W$6:$W$10005,0)),"")))))</f>
        <v/>
      </c>
      <c r="F277">
        <f>IF($C277="","",IFERROR(IF(INDEX('商品マスタ'!$E$6:$E$1005,MATCH($C277,'商品マスタ'!$B$6:$B$1005,0))="",IFERROR(INDEX('①在庫を貼る'!$E$6:$E$10005,MATCH($C277,'①在庫を貼る'!$W$6:$W$10005,0)),IFERROR(INDEX('月1回_1ヶ月前の在庫'!$E$6:$E$10005,MATCH($C277,'月1回_1ヶ月前の在庫'!$W$6:$W$10005,0)),IFERROR(INDEX('月1回_2ヶ月前の在庫'!$E$6:$E$10005,MATCH($C277,'月1回_2ヶ月前の在庫'!$W$6:$W$10005,0)),""))),INDEX('商品マスタ'!$E$6:$E$1005,MATCH($C277,'商品マスタ'!$B$6:$B$1005,0))),IFERROR(INDEX('①在庫を貼る'!$E$6:$E$10005,MATCH($C277,'①在庫を貼る'!$W$6:$W$10005,0)),IFERROR(INDEX('月1回_1ヶ月前の在庫'!$E$6:$E$10005,MATCH($C277,'月1回_1ヶ月前の在庫'!$W$6:$W$10005,0)),IFERROR(INDEX('月1回_2ヶ月前の在庫'!$E$6:$E$10005,MATCH($C277,'月1回_2ヶ月前の在庫'!$W$6:$W$10005,0)),"")))))</f>
        <v/>
      </c>
      <c r="G277">
        <f>IF($C277="","",MAX(1,N(IFERROR(IF(INDEX('商品マスタ'!$F$6:$F$1005,MATCH($C277,'商品マスタ'!$B$6:$B$1005,0))="",IF(COUNTIFS('①在庫を貼る'!$V$6:$V$10005,'設定'!$C$4,'①在庫を貼る'!$W$6:$W$10005,$C277)&gt;0,SUMIFS('①在庫を貼る'!$K$6:$K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K$6:$K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K$6:$K$10005,'月1回_2ヶ月前の在庫'!$V$6:$V$10005,'設定'!$C$4,'月1回_2ヶ月前の在庫'!$W$6:$W$10005,$C277)/COUNTIFS('月1回_2ヶ月前の在庫'!$V$6:$V$10005,'設定'!$C$4,'月1回_2ヶ月前の在庫'!$W$6:$W$10005,$C277),0))),INDEX('商品マスタ'!$F$6:$F$1005,MATCH($C277,'商品マスタ'!$B$6:$B$1005,0))),IF(COUNTIFS('①在庫を貼る'!$V$6:$V$10005,'設定'!$C$4,'①在庫を貼る'!$W$6:$W$10005,$C277)&gt;0,SUMIFS('①在庫を貼る'!$K$6:$K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K$6:$K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K$6:$K$10005,'月1回_2ヶ月前の在庫'!$V$6:$V$10005,'設定'!$C$4,'月1回_2ヶ月前の在庫'!$W$6:$W$10005,$C277)/COUNTIFS('月1回_2ヶ月前の在庫'!$V$6:$V$10005,'設定'!$C$4,'月1回_2ヶ月前の在庫'!$W$6:$W$10005,$C277),0)))))))</f>
        <v/>
      </c>
      <c r="H277">
        <f>IF($C277="","",N(IFERROR(IF(INDEX('商品マスタ'!$G$6:$G$1005,MATCH($C277,'商品マスタ'!$B$6:$B$1005,0))="",IF(COUNTIFS('①在庫を貼る'!$V$6:$V$10005,'設定'!$C$4,'①在庫を貼る'!$W$6:$W$10005,$C277)&gt;0,SUMIFS('①在庫を貼る'!$Q$6:$Q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Q$6:$Q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Q$6:$Q$10005,'月1回_2ヶ月前の在庫'!$V$6:$V$10005,'設定'!$C$4,'月1回_2ヶ月前の在庫'!$W$6:$W$10005,$C277)/COUNTIFS('月1回_2ヶ月前の在庫'!$V$6:$V$10005,'設定'!$C$4,'月1回_2ヶ月前の在庫'!$W$6:$W$10005,$C277),0))),INDEX('商品マスタ'!$G$6:$G$1005,MATCH($C277,'商品マスタ'!$B$6:$B$1005,0))),IF(COUNTIFS('①在庫を貼る'!$V$6:$V$10005,'設定'!$C$4,'①在庫を貼る'!$W$6:$W$10005,$C277)&gt;0,SUMIFS('①在庫を貼る'!$Q$6:$Q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Q$6:$Q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Q$6:$Q$10005,'月1回_2ヶ月前の在庫'!$V$6:$V$10005,'設定'!$C$4,'月1回_2ヶ月前の在庫'!$W$6:$W$10005,$C277)/COUNTIFS('月1回_2ヶ月前の在庫'!$V$6:$V$10005,'設定'!$C$4,'月1回_2ヶ月前の在庫'!$W$6:$W$10005,$C277),0))))))</f>
        <v/>
      </c>
      <c r="I277">
        <f>IF($C277="","",IF(COUNTIFS('①在庫を貼る'!$V$6:$V$10005,'設定'!$C$4,'①在庫を貼る'!$W$6:$W$10005,$C277)=0,"",SUMIFS('①在庫を貼る'!$N$6:$N$10005,'①在庫を貼る'!$V$6:$V$10005,'設定'!$C$4,'①在庫を貼る'!$W$6:$W$10005,$C277)))</f>
        <v/>
      </c>
      <c r="J277">
        <f>IF($C277="","",IF('②発注する'!$AD281="","",'②発注する'!$AD281))</f>
        <v/>
      </c>
      <c r="K277" s="90">
        <f>IF($C277="","",IF('②発注する'!$AE281="","",'②発注する'!$AE281))</f>
        <v/>
      </c>
      <c r="L277">
        <f>IF($C277="","",IF(AND(ISNUMBER($J277),ISNUMBER($K277),$K277&gt;='設定'!$C$6),$J277,N($I277)))</f>
        <v/>
      </c>
      <c r="M277">
        <f>IF($C277="","",IFERROR(IF(N(INDEX('商品マスタ'!$J$6:$J$1005,MATCH($C277,'商品マスタ'!$B$6:$B$1005,0)))&gt;0,INDEX('商品マスタ'!$J$6:$J$1005,MATCH($C277,'商品マスタ'!$B$6:$B$1005,0)),""),""))</f>
        <v/>
      </c>
      <c r="N277">
        <f>IF($C277="","",IFERROR(IF(N(INDEX('商品マスタ'!$H$6:$H$1005,MATCH($C277,'商品マスタ'!$B$6:$B$1005,0)))&gt;0,INDEX('商品マスタ'!$H$6:$H$1005,MATCH($C277,'商品マスタ'!$B$6:$B$1005,0)),""),""))</f>
        <v/>
      </c>
      <c r="O277">
        <f>IF($C277="","",IF($N277&lt;&gt;"",$N277*$G277,IF(N(IF(COUNTIFS('①在庫を貼る'!$V$6:$V$10005,'設定'!$C$4,'①在庫を貼る'!$W$6:$W$10005,$C277)&gt;0,SUMIFS('①在庫を貼る'!$O$6:$O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O$6:$O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O$6:$O$10005,'月1回_2ヶ月前の在庫'!$V$6:$V$10005,'設定'!$C$4,'月1回_2ヶ月前の在庫'!$W$6:$W$10005,$C277)/COUNTIFS('月1回_2ヶ月前の在庫'!$V$6:$V$10005,'設定'!$C$4,'月1回_2ヶ月前の在庫'!$W$6:$W$10005,$C277),0))))&gt;0,N(IF(COUNTIFS('①在庫を貼る'!$V$6:$V$10005,'設定'!$C$4,'①在庫を貼る'!$W$6:$W$10005,$C277)&gt;0,SUMIFS('①在庫を貼る'!$O$6:$O$10005,'①在庫を貼る'!$V$6:$V$10005,'設定'!$C$4,'①在庫を貼る'!$W$6:$W$10005,$C277)/COUNTIFS('①在庫を貼る'!$V$6:$V$10005,'設定'!$C$4,'①在庫を貼る'!$W$6:$W$10005,$C277),IF(COUNTIFS('月1回_1ヶ月前の在庫'!$V$6:$V$10005,'設定'!$C$4,'月1回_1ヶ月前の在庫'!$W$6:$W$10005,$C277)&gt;0,SUMIFS('月1回_1ヶ月前の在庫'!$O$6:$O$10005,'月1回_1ヶ月前の在庫'!$V$6:$V$10005,'設定'!$C$4,'月1回_1ヶ月前の在庫'!$W$6:$W$10005,$C277)/COUNTIFS('月1回_1ヶ月前の在庫'!$V$6:$V$10005,'設定'!$C$4,'月1回_1ヶ月前の在庫'!$W$6:$W$10005,$C277),IF(COUNTIFS('月1回_2ヶ月前の在庫'!$V$6:$V$10005,'設定'!$C$4,'月1回_2ヶ月前の在庫'!$W$6:$W$10005,$C277)&gt;0,SUMIFS('月1回_2ヶ月前の在庫'!$O$6:$O$10005,'月1回_2ヶ月前の在庫'!$V$6:$V$10005,'設定'!$C$4,'月1回_2ヶ月前の在庫'!$W$6:$W$10005,$C277)/COUNTIFS('月1回_2ヶ月前の在庫'!$V$6:$V$10005,'設定'!$C$4,'月1回_2ヶ月前の在庫'!$W$6:$W$10005,$C277),0)))),"")))</f>
        <v/>
      </c>
      <c r="P277" s="90">
        <f>IF($C277="","",IF('②発注する'!$I281="","",'②発注する'!$I281))</f>
        <v/>
      </c>
      <c r="Q277">
        <f>IF($C277="","",IF('②発注する'!$J281="","",'②発注する'!$J281))</f>
        <v/>
      </c>
      <c r="R277">
        <f>IF($C277="",0,IF(AND(ISNUMBER($P277),ISNUMBER($Q277)),MAX(0,$Q277)*$G277,0))</f>
        <v/>
      </c>
      <c r="S277" s="90">
        <f>IF($C277="","",IF('②発注する'!$M281="","",'②発注する'!$M281))</f>
        <v/>
      </c>
      <c r="T277">
        <f>IF($C277="","",IF('②発注する'!$N281="","",'②発注する'!$N281))</f>
        <v/>
      </c>
      <c r="U277">
        <f>IF($C277="",0,IF(AND(ISNUMBER($S277),ISNUMBER($T277)),MAX(0,$T277)*$G277,0))</f>
        <v/>
      </c>
      <c r="V277">
        <f>IF($C277="",0,IF($M277="",0,MAX(0,$M277)*MAX(0,V$4)/100))</f>
        <v/>
      </c>
      <c r="W277">
        <f>IF($C277="",0,IF($M277="",0,MAX(0,$M277)*MAX(0,W$4)/100))</f>
        <v/>
      </c>
      <c r="X277">
        <f>IF($C277="",0,IF($M277="",0,MAX(0,$M277)*MAX(0,X$4)/100))</f>
        <v/>
      </c>
      <c r="Y277">
        <f>IF($C277="",0,IF($M277="",0,MAX(0,$M277)*MAX(0,Y$4)/100))</f>
        <v/>
      </c>
      <c r="Z277">
        <f>IF($C277="",0,IF($M277="",0,MAX(0,$M277)*MAX(0,Z$4)/100))</f>
        <v/>
      </c>
      <c r="AA277">
        <f>IF($C277="",0,IF($M277="",0,MAX(0,$M277)*MAX(0,AA$4)/100))</f>
        <v/>
      </c>
      <c r="AB277">
        <f>IF($C277="",0,IF($M277="",0,MAX(0,$M277)*MAX(0,AB$4)/100))</f>
        <v/>
      </c>
      <c r="AC277">
        <f>IF($C277="",0,IF($M277="",0,MAX(0,$M277)*MAX(0,AC$4)/100))</f>
        <v/>
      </c>
      <c r="AD277">
        <f>IF($C277="",0,IF($M277="",0,MAX(0,$M277)*MAX(0,AD$4)/100))</f>
        <v/>
      </c>
      <c r="AE277">
        <f>IF($C277="",0,IF($M277="",0,MAX(0,$M277)*MAX(0,AE$4)/100))</f>
        <v/>
      </c>
      <c r="AF277">
        <f>IF($C277="",0,IF($M277="",0,MAX(0,$M277)*MAX(0,AF$4)/100))</f>
        <v/>
      </c>
      <c r="AG277">
        <f>IF($C277="",0,IF($M277="",0,MAX(0,$M277)*MAX(0,AG$4)/100))</f>
        <v/>
      </c>
      <c r="AH277">
        <f>IF($C277="",0,IF($M277="",0,MAX(0,$M277)*MAX(0,AH$4)/100))</f>
        <v/>
      </c>
      <c r="AI277">
        <f>IF($C277="",0,IF($M277="",0,MAX(0,$M277)*MAX(0,AI$4)/100))</f>
        <v/>
      </c>
      <c r="AJ277">
        <f>IF($C277="",0,MAX(0,MAX(0,N($L277))-$V277))</f>
        <v/>
      </c>
      <c r="AK277">
        <f>IF($C277="",0,MAX(0,$AJ277-$W277))</f>
        <v/>
      </c>
      <c r="AL277">
        <f>IF($C277="",0,MAX(0,$AK277-$X277))</f>
        <v/>
      </c>
      <c r="AM277">
        <f>IF($C277="",0,MAX(0,$AL277-$Y277))</f>
        <v/>
      </c>
      <c r="AN277">
        <f>IF($C277="",0,MAX(0,$AM277-$Z277))</f>
        <v/>
      </c>
      <c r="AO277">
        <f>IF($C277="",0,MAX(0,$AN277-$AA277))</f>
        <v/>
      </c>
      <c r="AP277">
        <f>IF($C277="",0,MAX(0,$AO277-$AB277))</f>
        <v/>
      </c>
      <c r="AQ277">
        <f>IF($C277="",0,MAX(0,$AP277-$AC277))</f>
        <v/>
      </c>
      <c r="AR277">
        <f>IF($C277="",0,MAX(0,$AQ277-$AD277))</f>
        <v/>
      </c>
      <c r="AS277">
        <f>IF($C277="",0,MAX(0,$AR277-$AE277))</f>
        <v/>
      </c>
      <c r="AT277">
        <f>IF($C277="",0,MAX(0,$AS277-$AF277))</f>
        <v/>
      </c>
      <c r="AU277">
        <f>IF($C277="",0,MAX(0,$AT277-$AG277))</f>
        <v/>
      </c>
      <c r="AV277">
        <f>IF($C277="",0,MAX(0,$AU277-$AH277))</f>
        <v/>
      </c>
      <c r="AW277">
        <f>IF($C277="",0,MAX(0,$AV277-$AI277))</f>
        <v/>
      </c>
      <c r="AX277">
        <f>IF($C277="",0,MAX(0,MAX(0,N($L277))+IF($P277=V$3,$R277,0)+IF($S277=V$3,$U277,0)-$V277))</f>
        <v/>
      </c>
      <c r="AY277">
        <f>IF($C277="",0,MAX(0,$AX277+IF($P277=W$3,$R277,0)+IF($S277=W$3,$U277,0)-$W277))</f>
        <v/>
      </c>
      <c r="AZ277">
        <f>IF($C277="",0,MAX(0,$AY277+IF($P277=X$3,$R277,0)+IF($S277=X$3,$U277,0)-$X277))</f>
        <v/>
      </c>
      <c r="BA277">
        <f>IF($C277="",0,MAX(0,$AZ277+IF($P277=Y$3,$R277,0)+IF($S277=Y$3,$U277,0)-$Y277))</f>
        <v/>
      </c>
      <c r="BB277">
        <f>IF($C277="",0,MAX(0,$BA277+IF($P277=Z$3,$R277,0)+IF($S277=Z$3,$U277,0)-$Z277))</f>
        <v/>
      </c>
      <c r="BC277">
        <f>IF($C277="",0,MAX(0,$BB277+IF($P277=AA$3,$R277,0)+IF($S277=AA$3,$U277,0)-$AA277))</f>
        <v/>
      </c>
      <c r="BD277">
        <f>IF($C277="",0,MAX(0,$BC277+IF($P277=AB$3,$R277,0)+IF($S277=AB$3,$U277,0)-$AB277))</f>
        <v/>
      </c>
      <c r="BE277">
        <f>IF($C277="",0,MAX(0,$BD277+IF($P277=AC$3,$R277,0)+IF($S277=AC$3,$U277,0)-$AC277))</f>
        <v/>
      </c>
      <c r="BF277">
        <f>IF($C277="",0,MAX(0,$BE277+IF($P277=AD$3,$R277,0)+IF($S277=AD$3,$U277,0)-$AD277))</f>
        <v/>
      </c>
      <c r="BG277">
        <f>IF($C277="",0,MAX(0,$BF277+IF($P277=AE$3,$R277,0)+IF($S277=AE$3,$U277,0)-$AE277))</f>
        <v/>
      </c>
      <c r="BH277">
        <f>IF($C277="",0,MAX(0,$BG277+IF($P277=AF$3,$R277,0)+IF($S277=AF$3,$U277,0)-$AF277))</f>
        <v/>
      </c>
      <c r="BI277">
        <f>IF($C277="",0,MAX(0,$BH277+IF($P277=AG$3,$R277,0)+IF($S277=AG$3,$U277,0)-$AG277))</f>
        <v/>
      </c>
      <c r="BJ277">
        <f>IF($C277="",0,MAX(0,$BI277+IF($P277=AH$3,$R277,0)+IF($S277=AH$3,$U277,0)-$AH277))</f>
        <v/>
      </c>
      <c r="BK277">
        <f>IF($C277="",0,MAX(0,$BJ277+IF($P277=AI$3,$R277,0)+IF($S277=AI$3,$U277,0)-$AI277))</f>
        <v/>
      </c>
      <c r="BL277">
        <f>IF($C277="",99,IF(AND($AX277&lt;1,V$3&gt;=MAX(N($P277),N($S277))),0,99))</f>
        <v/>
      </c>
      <c r="BM277">
        <f>IF($C277="",99,IF(AND($AY277&lt;1,W$3&gt;=MAX(N($P277),N($S277))),1,99))</f>
        <v/>
      </c>
      <c r="BN277">
        <f>IF($C277="",99,IF(AND($AZ277&lt;1,X$3&gt;=MAX(N($P277),N($S277))),2,99))</f>
        <v/>
      </c>
      <c r="BO277">
        <f>IF($C277="",99,IF(AND($BA277&lt;1,Y$3&gt;=MAX(N($P277),N($S277))),3,99))</f>
        <v/>
      </c>
      <c r="BP277">
        <f>IF($C277="",99,IF(AND($BB277&lt;1,Z$3&gt;=MAX(N($P277),N($S277))),4,99))</f>
        <v/>
      </c>
      <c r="BQ277">
        <f>IF($C277="",99,IF(AND($BC277&lt;1,AA$3&gt;=MAX(N($P277),N($S277))),5,99))</f>
        <v/>
      </c>
      <c r="BR277">
        <f>IF($C277="",99,IF(AND($BD277&lt;1,AB$3&gt;=MAX(N($P277),N($S277))),6,99))</f>
        <v/>
      </c>
      <c r="BS277">
        <f>IF($C277="",99,IF(AND($BE277&lt;1,AC$3&gt;=MAX(N($P277),N($S277))),7,99))</f>
        <v/>
      </c>
      <c r="BT277">
        <f>IF($C277="",99,IF(AND($BF277&lt;1,AD$3&gt;=MAX(N($P277),N($S277))),8,99))</f>
        <v/>
      </c>
      <c r="BU277">
        <f>IF($C277="",99,IF(AND($BG277&lt;1,AE$3&gt;=MAX(N($P277),N($S277))),9,99))</f>
        <v/>
      </c>
      <c r="BV277">
        <f>IF($C277="",99,IF(AND($BH277&lt;1,AF$3&gt;=MAX(N($P277),N($S277))),10,99))</f>
        <v/>
      </c>
      <c r="BW277">
        <f>IF($C277="",99,IF(AND($BI277&lt;1,AG$3&gt;=MAX(N($P277),N($S277))),11,99))</f>
        <v/>
      </c>
      <c r="BX277">
        <f>IF($C277="",99,IF(AND($BJ277&lt;1,AH$3&gt;=MAX(N($P277),N($S277))),12,99))</f>
        <v/>
      </c>
      <c r="BY277">
        <f>IF($C277="",99,IF(AND($BK277&lt;1,AI$3&gt;=MAX(N($P277),N($S277))),13,99))</f>
        <v/>
      </c>
      <c r="BZ277">
        <f>IF(OR($C277="",$M277=""),"",COUNTIF($AJ277:$AW277,"&gt;=1"))</f>
        <v/>
      </c>
      <c r="CA277" s="90">
        <f>IF($BZ277="","",IF($BZ277&gt;=14,"",'設定'!$C$6+$BZ277))</f>
        <v/>
      </c>
      <c r="CB277">
        <f>IF(OR($C277="",$M277=""),"",MIN($BL277:$BY277))</f>
        <v/>
      </c>
      <c r="CC277" s="90">
        <f>IF($CB277="","",IF($CB277&gt;=99,"",'設定'!$C$6+$CB277))</f>
        <v/>
      </c>
      <c r="CD277">
        <f>IF(OR($C277="",$M277=""),"",AVERAGE($V277:$AI277))</f>
        <v/>
      </c>
      <c r="CE277">
        <f>IF($C277="","",IFERROR(IF(MATCH(IF(ISNUMBER($P277),$P277,'設定'!$C$6+N('設定'!$C$7)),$V$3:$AI$3,0)=1,MAX(0,N($L277)),INDEX($AJ277:$AW277,MATCH(IF(ISNUMBER($P277),$P277,'設定'!$C$6+N('設定'!$C$7)),$V$3:$AI$3,0)-1)),""))</f>
        <v/>
      </c>
      <c r="CF277">
        <f>IF(OR($C277="",$O277="",$CE277=""),"",IF($O277-$CE277&lt;=0,0,ROUNDUP(($O277-$CE277)/$G277,0)))</f>
        <v/>
      </c>
      <c r="CG277">
        <f>IF(OR($C277="",$CF277="",NOT(ISNUMBER($Q277))),0,MAX(0,$Q277-$CF277))</f>
        <v/>
      </c>
      <c r="CH277">
        <f>IF(OR($C277="",$O277="",$U277=0),0,IFERROR(ROUNDUP(MAX(0,IF(MATCH($S277,$V$3:$AI$3,0)=1,MAX(0,N($L277)),INDEX($AX277:$BK277,MATCH($S277,$V$3:$AI$3,0)-1))+$U277-$O277)/$G277,0),0))</f>
        <v/>
      </c>
      <c r="CI277">
        <f>IF($C277="","",IF(AND($P277="",$Q277=""),"",IF($P277="","⚠ 入庫日を ▼ から選んでください",IF(NOT(ISNUMBER($P277)),"⚠ 入庫日は ▼ から選んでください",IF($P277&lt;N('設定'!$C$6),"⚠ 入庫日が過去です（もう在庫に入っています）→ 消してください",IF($P277&gt;N('設定'!$C$6)+13,"⚠ 入庫日が14日より先です",IF(N($Q277)&lt;=0,"⚠ 入庫数を入れてください",IF($CG277&gt;0,"⚠ 目安より "&amp;$CG277&amp;" 多い（定数を超える）→ 減らす",""))))))))</f>
        <v/>
      </c>
      <c r="CJ277">
        <f>IF($C277="","",IF(AND($S277="",$T277=""),"",IF($S277="","⚠ 2便目：入庫日を ▼ から選んでください",IF(NOT(ISNUMBER($S277)),"⚠ 2便目：入庫日は ▼ から選んでください",IF($S277&lt;N('設定'!$C$6),"⚠ 2便目：入庫日が過去です（もう在庫に入っています）→ 消してください",IF($S277&gt;N('設定'!$C$6)+13,"⚠ 2便目：入庫日が14日より先です",IF(N($T277)&lt;=0,"⚠ 2便目：入庫数を入れてください",IF($CH277&gt;0,"⚠ 2便目：定数を "&amp;$CH277&amp;" ケース超える → 減らす",""))))))))</f>
        <v/>
      </c>
      <c r="CK277">
        <f>IF(AND($CI277="",N($Q277)&gt;0,ISNUMBER($P277)),1,0)</f>
        <v/>
      </c>
      <c r="CL277">
        <f>IF(AND($CJ277="",N($T277)&gt;0,ISNUMBER($S277)),1,0)</f>
        <v/>
      </c>
      <c r="CM277">
        <f>IF(OR($CK277=1,$CL277=1),1,0)</f>
        <v/>
      </c>
      <c r="CN277">
        <f>IF($C277="",0,($CK277*$R277+$CL277*$U277)*N($H277))</f>
        <v/>
      </c>
      <c r="CO277">
        <f>IF($C277="","",IF($CC277="","入庫後は 14日以上もつ",IF($CC277-N('設定'!$C$7)&lt;='設定'!$C$6,"入庫後も "&amp;TEXT($CC277,"m/d")&amp;"("&amp;CHOOSE(WEEKDAY($CC277),"日","月","火","水","木","金","土")&amp;")"&amp;" に切れる　もう1便を至急発注","入庫後も "&amp;TEXT($CC277,"m/d")&amp;"("&amp;CHOOSE(WEEKDAY($CC277),"日","月","火","水","木","金","土")&amp;")"&amp;" に切れる　"&amp;TEXT($CC277-N('設定'!$C$7),"m/d")&amp;"("&amp;CHOOSE(WEEKDAY($CC277-N('設定'!$C$7)),"日","月","火","水","木","金","土")&amp;")"&amp;" までに次を発注")))</f>
        <v/>
      </c>
      <c r="CP277">
        <f>IF($C277="","",IF('設定'!$C$6="","？ ①在庫を貼る に今日のCSVが貼られていない",IF($CS277=1,"－ 今日のCSVに無い（終売？）",IF($L277&lt;0,"● 在庫がマイナス　数えて「数えた在庫」に入れる",IF($L277=0,"● 在庫なし　至急発注",IF($M277="","？ 減り数が未設定（商品マスタ）",IF($B$3=0,"？ 動員が未入力（動員を入れる）",IF($CA277="","○ 14日以上もつ",IF($BZ277&lt;N('設定'!$C$7),"● "&amp;TEXT($CA277,"m/d")&amp;"("&amp;CHOOSE(WEEKDAY($CA277),"日","月","火","水","木","金","土")&amp;")"&amp;" に切れる　至急発注",IF($BZ277=N('設定'!$C$7),"● "&amp;TEXT($CA277,"m/d")&amp;"("&amp;CHOOSE(WEEKDAY($CA277),"日","月","火","水","木","金","土")&amp;")"&amp;" に切れる　今日発注","△ "&amp;TEXT($CA277,"m/d")&amp;"("&amp;CHOOSE(WEEKDAY($CA277),"日","月","火","水","木","金","土")&amp;")"&amp;" に切れる　"&amp;TEXT($CA277-N('設定'!$C$7),"m/d")&amp;"("&amp;CHOOSE(WEEKDAY($CA277-N('設定'!$C$7)),"日","月","火","水","木","金","土")&amp;")"&amp;" までに発注"))))))))))</f>
        <v/>
      </c>
      <c r="CQ277">
        <f>IF($C277="","",IF(AND($P277="",$Q277="",$S277="",$T277=""),"",IF(AND($P277="",$Q277=""),"⚠ 先に1便目（左の入庫日・入庫数）に入れてください",IF($CI277&lt;&gt;"",$CI277,IF($CJ277&lt;&gt;"",$CJ277,IF($M277="","？ 減り数が未設定（発注書には載ります）",IF($B$3=0,"？ 動員が未入力（発注書には載ります）",IF(AND($CA277&lt;&gt;"",$P277&gt;$CA277),IF($P277&gt;'設定'!$C$6+N('設定'!$C$7),"● "&amp;TEXT($P277,"m/d")&amp;"("&amp;CHOOSE(WEEKDAY($P277),"日","月","火","水","木","金","土")&amp;")"&amp;" の入庫では間に合わない（"&amp;TEXT($CA277,"m/d")&amp;"("&amp;CHOOSE(WEEKDAY($CA277),"日","月","火","水","木","金","土")&amp;")"&amp;" に切れる）　入庫日を早める","△ 欠品 "&amp;TEXT($CA277,"m/d")&amp;"("&amp;CHOOSE(WEEKDAY($CA277),"日","月","火","水","木","金","土")&amp;")"&amp;"〜"&amp;TEXT($P277-1,"m/d")&amp;"("&amp;CHOOSE(WEEKDAY($P277-1),"日","月","火","水","木","金","土")&amp;")"&amp;"　"&amp;$CO277),IF($CC277="","○ "&amp;TEXT($P277,"m/d")&amp;"("&amp;CHOOSE(WEEKDAY($P277),"日","月","火","水","木","金","土")&amp;")"&amp;" 入庫で 14日以上もつ",IF($CC277-N('設定'!$C$7)&lt;='設定'!$C$6,"● 入庫しても "&amp;TEXT($CC277,"m/d")&amp;"("&amp;CHOOSE(WEEKDAY($CC277),"日","月","火","水","木","金","土")&amp;")"&amp;" に切れる　もう1便を至急発注（2便目に入れる）","△ 入庫しても "&amp;TEXT($CC277,"m/d")&amp;"("&amp;CHOOSE(WEEKDAY($CC277),"日","月","火","水","木","金","土")&amp;")"&amp;" に切れる　"&amp;TEXT($CC277-N('設定'!$C$7),"m/d")&amp;"("&amp;CHOOSE(WEEKDAY($CC277-N('設定'!$C$7)),"日","月","火","水","木","金","土")&amp;")"&amp;" までに次を発注（2便目に入れる）"))))))))))</f>
        <v/>
      </c>
      <c r="CR277">
        <f>IF($C277="","",IF($G277&gt;1,"ｹｰｽ("&amp;$G277&amp;"入)","個"))</f>
        <v/>
      </c>
      <c r="CS277">
        <f>IF($C277="",0,IF(COUNTIFS('①在庫を貼る'!$V$6:$V$10005,'設定'!$C$4,'①在庫を貼る'!$W$6:$W$10005,$C277)=0,1,0))</f>
        <v/>
      </c>
      <c r="CT277">
        <f>IF(AND($CK277=1,OR('③発注書'!$C$4="すべて",'③発注書'!$C$4="",$F277='③発注書'!$C$4)),N($CT276)+1,N($CT276))</f>
        <v/>
      </c>
      <c r="CU277">
        <f>IF(AND($CL277=1,OR('③発注書'!$C$4="すべて",'③発注書'!$C$4="",$F277='③発注書'!$C$4)),N($CU276)+1,N($CU276))</f>
        <v/>
      </c>
      <c r="CV277">
        <f>IF($C277="",0,IF(COUNTIFS('①在庫を貼る'!$V$6:$V$10005,'設定'!$C$4,'①在庫を貼る'!$W$6:$W$10005,$C277)&gt;0,1,0))</f>
        <v/>
      </c>
      <c r="CW277">
        <f>IF($C277="",0,IF(COUNTIFS('月1回_1ヶ月前の在庫'!$V$6:$V$10005,'設定'!$C$4,'月1回_1ヶ月前の在庫'!$W$6:$W$10005,$C277)&gt;0,1,0))</f>
        <v/>
      </c>
      <c r="CX277">
        <f>IF($C277="",0,IF(COUNTIFS('月1回_2ヶ月前の在庫'!$V$6:$V$10005,'設定'!$C$4,'月1回_2ヶ月前の在庫'!$W$6:$W$10005,$C277)&gt;0,1,0))</f>
        <v/>
      </c>
      <c r="CY277">
        <f>IF(OR($C277="",'設定'!$C$12=""),"",IF('設定'!$C$13="",IF(AND($CV277=1,$CW277=0),"新商品（今月から）",IF(AND($CV277=0,$CW277=1),"終売（今月から）","")),IF(AND($CV277=1,$CW277=0,$CX277=0),"新商品（今月から）",IF(AND($CV277=1,$CW277=1,$CX277=0),"新商品（先月から）",IF(AND($CV277=0,$CW277=1,$CX277=1),"終売（今月から）",IF(AND($CV277=0,$CW277=0,$CX277=1),"終売（先月から）",IF(AND($CV277=1,$CW277=0,$CX277=1),"復活（先月は無し）","")))))))</f>
        <v/>
      </c>
    </row>
    <row r="278">
      <c r="B278">
        <f>IF(273&lt;='設定'!$C$11,273,"")</f>
        <v/>
      </c>
      <c r="C278">
        <f>IF($B278="","",IF($B278&lt;='設定'!$C$20,INDEX('商品マスタ'!$B$6:$B$1005,MATCH($B278,'商品マスタ'!$M$6:$M$1005,0)),IF($B278&lt;='設定'!$C$20+'設定'!$C$17,INDEX('①在庫を貼る'!$W$6:$W$10005,MATCH($B278-'設定'!$C$20,'①在庫を貼る'!$U$6:$U$10005,0)),IF($B278&lt;='設定'!$C$20+'設定'!$C$17+'設定'!$C$18,INDEX('月1回_1ヶ月前の在庫'!$W$6:$W$10005,MATCH($B278-'設定'!$C$20-'設定'!$C$17,'月1回_1ヶ月前の在庫'!$U$6:$U$10005,0)),INDEX('月1回_2ヶ月前の在庫'!$W$6:$W$10005,MATCH($B278-'設定'!$C$20-'設定'!$C$17-'設定'!$C$18,'月1回_2ヶ月前の在庫'!$U$6:$U$10005,0))))))</f>
        <v/>
      </c>
      <c r="D278">
        <f>IF($C278="","",IFERROR(IF(INDEX('商品マスタ'!$C$6:$C$1005,MATCH($C278,'商品マスタ'!$B$6:$B$1005,0))="",IFERROR(INDEX('①在庫を貼る'!$J$6:$J$10005,MATCH($C278,'①在庫を貼る'!$W$6:$W$10005,0)),IFERROR(INDEX('月1回_1ヶ月前の在庫'!$J$6:$J$10005,MATCH($C278,'月1回_1ヶ月前の在庫'!$W$6:$W$10005,0)),IFERROR(INDEX('月1回_2ヶ月前の在庫'!$J$6:$J$10005,MATCH($C278,'月1回_2ヶ月前の在庫'!$W$6:$W$10005,0)),""))),INDEX('商品マスタ'!$C$6:$C$1005,MATCH($C278,'商品マスタ'!$B$6:$B$1005,0))),IFERROR(INDEX('①在庫を貼る'!$J$6:$J$10005,MATCH($C278,'①在庫を貼る'!$W$6:$W$10005,0)),IFERROR(INDEX('月1回_1ヶ月前の在庫'!$J$6:$J$10005,MATCH($C278,'月1回_1ヶ月前の在庫'!$W$6:$W$10005,0)),IFERROR(INDEX('月1回_2ヶ月前の在庫'!$J$6:$J$10005,MATCH($C278,'月1回_2ヶ月前の在庫'!$W$6:$W$10005,0)),"")))))</f>
        <v/>
      </c>
      <c r="E278">
        <f>IF($C278="","",IFERROR(IF(INDEX('商品マスタ'!$D$6:$D$1005,MATCH($C278,'商品マスタ'!$B$6:$B$1005,0))="",IFERROR(INDEX('①在庫を貼る'!$H$6:$H$10005,MATCH($C278,'①在庫を貼る'!$W$6:$W$10005,0)),IFERROR(INDEX('月1回_1ヶ月前の在庫'!$H$6:$H$10005,MATCH($C278,'月1回_1ヶ月前の在庫'!$W$6:$W$10005,0)),IFERROR(INDEX('月1回_2ヶ月前の在庫'!$H$6:$H$10005,MATCH($C278,'月1回_2ヶ月前の在庫'!$W$6:$W$10005,0)),""))),INDEX('商品マスタ'!$D$6:$D$1005,MATCH($C278,'商品マスタ'!$B$6:$B$1005,0))),IFERROR(INDEX('①在庫を貼る'!$H$6:$H$10005,MATCH($C278,'①在庫を貼る'!$W$6:$W$10005,0)),IFERROR(INDEX('月1回_1ヶ月前の在庫'!$H$6:$H$10005,MATCH($C278,'月1回_1ヶ月前の在庫'!$W$6:$W$10005,0)),IFERROR(INDEX('月1回_2ヶ月前の在庫'!$H$6:$H$10005,MATCH($C278,'月1回_2ヶ月前の在庫'!$W$6:$W$10005,0)),"")))))</f>
        <v/>
      </c>
      <c r="F278">
        <f>IF($C278="","",IFERROR(IF(INDEX('商品マスタ'!$E$6:$E$1005,MATCH($C278,'商品マスタ'!$B$6:$B$1005,0))="",IFERROR(INDEX('①在庫を貼る'!$E$6:$E$10005,MATCH($C278,'①在庫を貼る'!$W$6:$W$10005,0)),IFERROR(INDEX('月1回_1ヶ月前の在庫'!$E$6:$E$10005,MATCH($C278,'月1回_1ヶ月前の在庫'!$W$6:$W$10005,0)),IFERROR(INDEX('月1回_2ヶ月前の在庫'!$E$6:$E$10005,MATCH($C278,'月1回_2ヶ月前の在庫'!$W$6:$W$10005,0)),""))),INDEX('商品マスタ'!$E$6:$E$1005,MATCH($C278,'商品マスタ'!$B$6:$B$1005,0))),IFERROR(INDEX('①在庫を貼る'!$E$6:$E$10005,MATCH($C278,'①在庫を貼る'!$W$6:$W$10005,0)),IFERROR(INDEX('月1回_1ヶ月前の在庫'!$E$6:$E$10005,MATCH($C278,'月1回_1ヶ月前の在庫'!$W$6:$W$10005,0)),IFERROR(INDEX('月1回_2ヶ月前の在庫'!$E$6:$E$10005,MATCH($C278,'月1回_2ヶ月前の在庫'!$W$6:$W$10005,0)),"")))))</f>
        <v/>
      </c>
      <c r="G278">
        <f>IF($C278="","",MAX(1,N(IFERROR(IF(INDEX('商品マスタ'!$F$6:$F$1005,MATCH($C278,'商品マスタ'!$B$6:$B$1005,0))="",IF(COUNTIFS('①在庫を貼る'!$V$6:$V$10005,'設定'!$C$4,'①在庫を貼る'!$W$6:$W$10005,$C278)&gt;0,SUMIFS('①在庫を貼る'!$K$6:$K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K$6:$K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K$6:$K$10005,'月1回_2ヶ月前の在庫'!$V$6:$V$10005,'設定'!$C$4,'月1回_2ヶ月前の在庫'!$W$6:$W$10005,$C278)/COUNTIFS('月1回_2ヶ月前の在庫'!$V$6:$V$10005,'設定'!$C$4,'月1回_2ヶ月前の在庫'!$W$6:$W$10005,$C278),0))),INDEX('商品マスタ'!$F$6:$F$1005,MATCH($C278,'商品マスタ'!$B$6:$B$1005,0))),IF(COUNTIFS('①在庫を貼る'!$V$6:$V$10005,'設定'!$C$4,'①在庫を貼る'!$W$6:$W$10005,$C278)&gt;0,SUMIFS('①在庫を貼る'!$K$6:$K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K$6:$K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K$6:$K$10005,'月1回_2ヶ月前の在庫'!$V$6:$V$10005,'設定'!$C$4,'月1回_2ヶ月前の在庫'!$W$6:$W$10005,$C278)/COUNTIFS('月1回_2ヶ月前の在庫'!$V$6:$V$10005,'設定'!$C$4,'月1回_2ヶ月前の在庫'!$W$6:$W$10005,$C278),0)))))))</f>
        <v/>
      </c>
      <c r="H278">
        <f>IF($C278="","",N(IFERROR(IF(INDEX('商品マスタ'!$G$6:$G$1005,MATCH($C278,'商品マスタ'!$B$6:$B$1005,0))="",IF(COUNTIFS('①在庫を貼る'!$V$6:$V$10005,'設定'!$C$4,'①在庫を貼る'!$W$6:$W$10005,$C278)&gt;0,SUMIFS('①在庫を貼る'!$Q$6:$Q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Q$6:$Q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Q$6:$Q$10005,'月1回_2ヶ月前の在庫'!$V$6:$V$10005,'設定'!$C$4,'月1回_2ヶ月前の在庫'!$W$6:$W$10005,$C278)/COUNTIFS('月1回_2ヶ月前の在庫'!$V$6:$V$10005,'設定'!$C$4,'月1回_2ヶ月前の在庫'!$W$6:$W$10005,$C278),0))),INDEX('商品マスタ'!$G$6:$G$1005,MATCH($C278,'商品マスタ'!$B$6:$B$1005,0))),IF(COUNTIFS('①在庫を貼る'!$V$6:$V$10005,'設定'!$C$4,'①在庫を貼る'!$W$6:$W$10005,$C278)&gt;0,SUMIFS('①在庫を貼る'!$Q$6:$Q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Q$6:$Q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Q$6:$Q$10005,'月1回_2ヶ月前の在庫'!$V$6:$V$10005,'設定'!$C$4,'月1回_2ヶ月前の在庫'!$W$6:$W$10005,$C278)/COUNTIFS('月1回_2ヶ月前の在庫'!$V$6:$V$10005,'設定'!$C$4,'月1回_2ヶ月前の在庫'!$W$6:$W$10005,$C278),0))))))</f>
        <v/>
      </c>
      <c r="I278">
        <f>IF($C278="","",IF(COUNTIFS('①在庫を貼る'!$V$6:$V$10005,'設定'!$C$4,'①在庫を貼る'!$W$6:$W$10005,$C278)=0,"",SUMIFS('①在庫を貼る'!$N$6:$N$10005,'①在庫を貼る'!$V$6:$V$10005,'設定'!$C$4,'①在庫を貼る'!$W$6:$W$10005,$C278)))</f>
        <v/>
      </c>
      <c r="J278">
        <f>IF($C278="","",IF('②発注する'!$AD282="","",'②発注する'!$AD282))</f>
        <v/>
      </c>
      <c r="K278" s="90">
        <f>IF($C278="","",IF('②発注する'!$AE282="","",'②発注する'!$AE282))</f>
        <v/>
      </c>
      <c r="L278">
        <f>IF($C278="","",IF(AND(ISNUMBER($J278),ISNUMBER($K278),$K278&gt;='設定'!$C$6),$J278,N($I278)))</f>
        <v/>
      </c>
      <c r="M278">
        <f>IF($C278="","",IFERROR(IF(N(INDEX('商品マスタ'!$J$6:$J$1005,MATCH($C278,'商品マスタ'!$B$6:$B$1005,0)))&gt;0,INDEX('商品マスタ'!$J$6:$J$1005,MATCH($C278,'商品マスタ'!$B$6:$B$1005,0)),""),""))</f>
        <v/>
      </c>
      <c r="N278">
        <f>IF($C278="","",IFERROR(IF(N(INDEX('商品マスタ'!$H$6:$H$1005,MATCH($C278,'商品マスタ'!$B$6:$B$1005,0)))&gt;0,INDEX('商品マスタ'!$H$6:$H$1005,MATCH($C278,'商品マスタ'!$B$6:$B$1005,0)),""),""))</f>
        <v/>
      </c>
      <c r="O278">
        <f>IF($C278="","",IF($N278&lt;&gt;"",$N278*$G278,IF(N(IF(COUNTIFS('①在庫を貼る'!$V$6:$V$10005,'設定'!$C$4,'①在庫を貼る'!$W$6:$W$10005,$C278)&gt;0,SUMIFS('①在庫を貼る'!$O$6:$O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O$6:$O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O$6:$O$10005,'月1回_2ヶ月前の在庫'!$V$6:$V$10005,'設定'!$C$4,'月1回_2ヶ月前の在庫'!$W$6:$W$10005,$C278)/COUNTIFS('月1回_2ヶ月前の在庫'!$V$6:$V$10005,'設定'!$C$4,'月1回_2ヶ月前の在庫'!$W$6:$W$10005,$C278),0))))&gt;0,N(IF(COUNTIFS('①在庫を貼る'!$V$6:$V$10005,'設定'!$C$4,'①在庫を貼る'!$W$6:$W$10005,$C278)&gt;0,SUMIFS('①在庫を貼る'!$O$6:$O$10005,'①在庫を貼る'!$V$6:$V$10005,'設定'!$C$4,'①在庫を貼る'!$W$6:$W$10005,$C278)/COUNTIFS('①在庫を貼る'!$V$6:$V$10005,'設定'!$C$4,'①在庫を貼る'!$W$6:$W$10005,$C278),IF(COUNTIFS('月1回_1ヶ月前の在庫'!$V$6:$V$10005,'設定'!$C$4,'月1回_1ヶ月前の在庫'!$W$6:$W$10005,$C278)&gt;0,SUMIFS('月1回_1ヶ月前の在庫'!$O$6:$O$10005,'月1回_1ヶ月前の在庫'!$V$6:$V$10005,'設定'!$C$4,'月1回_1ヶ月前の在庫'!$W$6:$W$10005,$C278)/COUNTIFS('月1回_1ヶ月前の在庫'!$V$6:$V$10005,'設定'!$C$4,'月1回_1ヶ月前の在庫'!$W$6:$W$10005,$C278),IF(COUNTIFS('月1回_2ヶ月前の在庫'!$V$6:$V$10005,'設定'!$C$4,'月1回_2ヶ月前の在庫'!$W$6:$W$10005,$C278)&gt;0,SUMIFS('月1回_2ヶ月前の在庫'!$O$6:$O$10005,'月1回_2ヶ月前の在庫'!$V$6:$V$10005,'設定'!$C$4,'月1回_2ヶ月前の在庫'!$W$6:$W$10005,$C278)/COUNTIFS('月1回_2ヶ月前の在庫'!$V$6:$V$10005,'設定'!$C$4,'月1回_2ヶ月前の在庫'!$W$6:$W$10005,$C278),0)))),"")))</f>
        <v/>
      </c>
      <c r="P278" s="90">
        <f>IF($C278="","",IF('②発注する'!$I282="","",'②発注する'!$I282))</f>
        <v/>
      </c>
      <c r="Q278">
        <f>IF($C278="","",IF('②発注する'!$J282="","",'②発注する'!$J282))</f>
        <v/>
      </c>
      <c r="R278">
        <f>IF($C278="",0,IF(AND(ISNUMBER($P278),ISNUMBER($Q278)),MAX(0,$Q278)*$G278,0))</f>
        <v/>
      </c>
      <c r="S278" s="90">
        <f>IF($C278="","",IF('②発注する'!$M282="","",'②発注する'!$M282))</f>
        <v/>
      </c>
      <c r="T278">
        <f>IF($C278="","",IF('②発注する'!$N282="","",'②発注する'!$N282))</f>
        <v/>
      </c>
      <c r="U278">
        <f>IF($C278="",0,IF(AND(ISNUMBER($S278),ISNUMBER($T278)),MAX(0,$T278)*$G278,0))</f>
        <v/>
      </c>
      <c r="V278">
        <f>IF($C278="",0,IF($M278="",0,MAX(0,$M278)*MAX(0,V$4)/100))</f>
        <v/>
      </c>
      <c r="W278">
        <f>IF($C278="",0,IF($M278="",0,MAX(0,$M278)*MAX(0,W$4)/100))</f>
        <v/>
      </c>
      <c r="X278">
        <f>IF($C278="",0,IF($M278="",0,MAX(0,$M278)*MAX(0,X$4)/100))</f>
        <v/>
      </c>
      <c r="Y278">
        <f>IF($C278="",0,IF($M278="",0,MAX(0,$M278)*MAX(0,Y$4)/100))</f>
        <v/>
      </c>
      <c r="Z278">
        <f>IF($C278="",0,IF($M278="",0,MAX(0,$M278)*MAX(0,Z$4)/100))</f>
        <v/>
      </c>
      <c r="AA278">
        <f>IF($C278="",0,IF($M278="",0,MAX(0,$M278)*MAX(0,AA$4)/100))</f>
        <v/>
      </c>
      <c r="AB278">
        <f>IF($C278="",0,IF($M278="",0,MAX(0,$M278)*MAX(0,AB$4)/100))</f>
        <v/>
      </c>
      <c r="AC278">
        <f>IF($C278="",0,IF($M278="",0,MAX(0,$M278)*MAX(0,AC$4)/100))</f>
        <v/>
      </c>
      <c r="AD278">
        <f>IF($C278="",0,IF($M278="",0,MAX(0,$M278)*MAX(0,AD$4)/100))</f>
        <v/>
      </c>
      <c r="AE278">
        <f>IF($C278="",0,IF($M278="",0,MAX(0,$M278)*MAX(0,AE$4)/100))</f>
        <v/>
      </c>
      <c r="AF278">
        <f>IF($C278="",0,IF($M278="",0,MAX(0,$M278)*MAX(0,AF$4)/100))</f>
        <v/>
      </c>
      <c r="AG278">
        <f>IF($C278="",0,IF($M278="",0,MAX(0,$M278)*MAX(0,AG$4)/100))</f>
        <v/>
      </c>
      <c r="AH278">
        <f>IF($C278="",0,IF($M278="",0,MAX(0,$M278)*MAX(0,AH$4)/100))</f>
        <v/>
      </c>
      <c r="AI278">
        <f>IF($C278="",0,IF($M278="",0,MAX(0,$M278)*MAX(0,AI$4)/100))</f>
        <v/>
      </c>
      <c r="AJ278">
        <f>IF($C278="",0,MAX(0,MAX(0,N($L278))-$V278))</f>
        <v/>
      </c>
      <c r="AK278">
        <f>IF($C278="",0,MAX(0,$AJ278-$W278))</f>
        <v/>
      </c>
      <c r="AL278">
        <f>IF($C278="",0,MAX(0,$AK278-$X278))</f>
        <v/>
      </c>
      <c r="AM278">
        <f>IF($C278="",0,MAX(0,$AL278-$Y278))</f>
        <v/>
      </c>
      <c r="AN278">
        <f>IF($C278="",0,MAX(0,$AM278-$Z278))</f>
        <v/>
      </c>
      <c r="AO278">
        <f>IF($C278="",0,MAX(0,$AN278-$AA278))</f>
        <v/>
      </c>
      <c r="AP278">
        <f>IF($C278="",0,MAX(0,$AO278-$AB278))</f>
        <v/>
      </c>
      <c r="AQ278">
        <f>IF($C278="",0,MAX(0,$AP278-$AC278))</f>
        <v/>
      </c>
      <c r="AR278">
        <f>IF($C278="",0,MAX(0,$AQ278-$AD278))</f>
        <v/>
      </c>
      <c r="AS278">
        <f>IF($C278="",0,MAX(0,$AR278-$AE278))</f>
        <v/>
      </c>
      <c r="AT278">
        <f>IF($C278="",0,MAX(0,$AS278-$AF278))</f>
        <v/>
      </c>
      <c r="AU278">
        <f>IF($C278="",0,MAX(0,$AT278-$AG278))</f>
        <v/>
      </c>
      <c r="AV278">
        <f>IF($C278="",0,MAX(0,$AU278-$AH278))</f>
        <v/>
      </c>
      <c r="AW278">
        <f>IF($C278="",0,MAX(0,$AV278-$AI278))</f>
        <v/>
      </c>
      <c r="AX278">
        <f>IF($C278="",0,MAX(0,MAX(0,N($L278))+IF($P278=V$3,$R278,0)+IF($S278=V$3,$U278,0)-$V278))</f>
        <v/>
      </c>
      <c r="AY278">
        <f>IF($C278="",0,MAX(0,$AX278+IF($P278=W$3,$R278,0)+IF($S278=W$3,$U278,0)-$W278))</f>
        <v/>
      </c>
      <c r="AZ278">
        <f>IF($C278="",0,MAX(0,$AY278+IF($P278=X$3,$R278,0)+IF($S278=X$3,$U278,0)-$X278))</f>
        <v/>
      </c>
      <c r="BA278">
        <f>IF($C278="",0,MAX(0,$AZ278+IF($P278=Y$3,$R278,0)+IF($S278=Y$3,$U278,0)-$Y278))</f>
        <v/>
      </c>
      <c r="BB278">
        <f>IF($C278="",0,MAX(0,$BA278+IF($P278=Z$3,$R278,0)+IF($S278=Z$3,$U278,0)-$Z278))</f>
        <v/>
      </c>
      <c r="BC278">
        <f>IF($C278="",0,MAX(0,$BB278+IF($P278=AA$3,$R278,0)+IF($S278=AA$3,$U278,0)-$AA278))</f>
        <v/>
      </c>
      <c r="BD278">
        <f>IF($C278="",0,MAX(0,$BC278+IF($P278=AB$3,$R278,0)+IF($S278=AB$3,$U278,0)-$AB278))</f>
        <v/>
      </c>
      <c r="BE278">
        <f>IF($C278="",0,MAX(0,$BD278+IF($P278=AC$3,$R278,0)+IF($S278=AC$3,$U278,0)-$AC278))</f>
        <v/>
      </c>
      <c r="BF278">
        <f>IF($C278="",0,MAX(0,$BE278+IF($P278=AD$3,$R278,0)+IF($S278=AD$3,$U278,0)-$AD278))</f>
        <v/>
      </c>
      <c r="BG278">
        <f>IF($C278="",0,MAX(0,$BF278+IF($P278=AE$3,$R278,0)+IF($S278=AE$3,$U278,0)-$AE278))</f>
        <v/>
      </c>
      <c r="BH278">
        <f>IF($C278="",0,MAX(0,$BG278+IF($P278=AF$3,$R278,0)+IF($S278=AF$3,$U278,0)-$AF278))</f>
        <v/>
      </c>
      <c r="BI278">
        <f>IF($C278="",0,MAX(0,$BH278+IF($P278=AG$3,$R278,0)+IF($S278=AG$3,$U278,0)-$AG278))</f>
        <v/>
      </c>
      <c r="BJ278">
        <f>IF($C278="",0,MAX(0,$BI278+IF($P278=AH$3,$R278,0)+IF($S278=AH$3,$U278,0)-$AH278))</f>
        <v/>
      </c>
      <c r="BK278">
        <f>IF($C278="",0,MAX(0,$BJ278+IF($P278=AI$3,$R278,0)+IF($S278=AI$3,$U278,0)-$AI278))</f>
        <v/>
      </c>
      <c r="BL278">
        <f>IF($C278="",99,IF(AND($AX278&lt;1,V$3&gt;=MAX(N($P278),N($S278))),0,99))</f>
        <v/>
      </c>
      <c r="BM278">
        <f>IF($C278="",99,IF(AND($AY278&lt;1,W$3&gt;=MAX(N($P278),N($S278))),1,99))</f>
        <v/>
      </c>
      <c r="BN278">
        <f>IF($C278="",99,IF(AND($AZ278&lt;1,X$3&gt;=MAX(N($P278),N($S278))),2,99))</f>
        <v/>
      </c>
      <c r="BO278">
        <f>IF($C278="",99,IF(AND($BA278&lt;1,Y$3&gt;=MAX(N($P278),N($S278))),3,99))</f>
        <v/>
      </c>
      <c r="BP278">
        <f>IF($C278="",99,IF(AND($BB278&lt;1,Z$3&gt;=MAX(N($P278),N($S278))),4,99))</f>
        <v/>
      </c>
      <c r="BQ278">
        <f>IF($C278="",99,IF(AND($BC278&lt;1,AA$3&gt;=MAX(N($P278),N($S278))),5,99))</f>
        <v/>
      </c>
      <c r="BR278">
        <f>IF($C278="",99,IF(AND($BD278&lt;1,AB$3&gt;=MAX(N($P278),N($S278))),6,99))</f>
        <v/>
      </c>
      <c r="BS278">
        <f>IF($C278="",99,IF(AND($BE278&lt;1,AC$3&gt;=MAX(N($P278),N($S278))),7,99))</f>
        <v/>
      </c>
      <c r="BT278">
        <f>IF($C278="",99,IF(AND($BF278&lt;1,AD$3&gt;=MAX(N($P278),N($S278))),8,99))</f>
        <v/>
      </c>
      <c r="BU278">
        <f>IF($C278="",99,IF(AND($BG278&lt;1,AE$3&gt;=MAX(N($P278),N($S278))),9,99))</f>
        <v/>
      </c>
      <c r="BV278">
        <f>IF($C278="",99,IF(AND($BH278&lt;1,AF$3&gt;=MAX(N($P278),N($S278))),10,99))</f>
        <v/>
      </c>
      <c r="BW278">
        <f>IF($C278="",99,IF(AND($BI278&lt;1,AG$3&gt;=MAX(N($P278),N($S278))),11,99))</f>
        <v/>
      </c>
      <c r="BX278">
        <f>IF($C278="",99,IF(AND($BJ278&lt;1,AH$3&gt;=MAX(N($P278),N($S278))),12,99))</f>
        <v/>
      </c>
      <c r="BY278">
        <f>IF($C278="",99,IF(AND($BK278&lt;1,AI$3&gt;=MAX(N($P278),N($S278))),13,99))</f>
        <v/>
      </c>
      <c r="BZ278">
        <f>IF(OR($C278="",$M278=""),"",COUNTIF($AJ278:$AW278,"&gt;=1"))</f>
        <v/>
      </c>
      <c r="CA278" s="90">
        <f>IF($BZ278="","",IF($BZ278&gt;=14,"",'設定'!$C$6+$BZ278))</f>
        <v/>
      </c>
      <c r="CB278">
        <f>IF(OR($C278="",$M278=""),"",MIN($BL278:$BY278))</f>
        <v/>
      </c>
      <c r="CC278" s="90">
        <f>IF($CB278="","",IF($CB278&gt;=99,"",'設定'!$C$6+$CB278))</f>
        <v/>
      </c>
      <c r="CD278">
        <f>IF(OR($C278="",$M278=""),"",AVERAGE($V278:$AI278))</f>
        <v/>
      </c>
      <c r="CE278">
        <f>IF($C278="","",IFERROR(IF(MATCH(IF(ISNUMBER($P278),$P278,'設定'!$C$6+N('設定'!$C$7)),$V$3:$AI$3,0)=1,MAX(0,N($L278)),INDEX($AJ278:$AW278,MATCH(IF(ISNUMBER($P278),$P278,'設定'!$C$6+N('設定'!$C$7)),$V$3:$AI$3,0)-1)),""))</f>
        <v/>
      </c>
      <c r="CF278">
        <f>IF(OR($C278="",$O278="",$CE278=""),"",IF($O278-$CE278&lt;=0,0,ROUNDUP(($O278-$CE278)/$G278,0)))</f>
        <v/>
      </c>
      <c r="CG278">
        <f>IF(OR($C278="",$CF278="",NOT(ISNUMBER($Q278))),0,MAX(0,$Q278-$CF278))</f>
        <v/>
      </c>
      <c r="CH278">
        <f>IF(OR($C278="",$O278="",$U278=0),0,IFERROR(ROUNDUP(MAX(0,IF(MATCH($S278,$V$3:$AI$3,0)=1,MAX(0,N($L278)),INDEX($AX278:$BK278,MATCH($S278,$V$3:$AI$3,0)-1))+$U278-$O278)/$G278,0),0))</f>
        <v/>
      </c>
      <c r="CI278">
        <f>IF($C278="","",IF(AND($P278="",$Q278=""),"",IF($P278="","⚠ 入庫日を ▼ から選んでください",IF(NOT(ISNUMBER($P278)),"⚠ 入庫日は ▼ から選んでください",IF($P278&lt;N('設定'!$C$6),"⚠ 入庫日が過去です（もう在庫に入っています）→ 消してください",IF($P278&gt;N('設定'!$C$6)+13,"⚠ 入庫日が14日より先です",IF(N($Q278)&lt;=0,"⚠ 入庫数を入れてください",IF($CG278&gt;0,"⚠ 目安より "&amp;$CG278&amp;" 多い（定数を超える）→ 減らす",""))))))))</f>
        <v/>
      </c>
      <c r="CJ278">
        <f>IF($C278="","",IF(AND($S278="",$T278=""),"",IF($S278="","⚠ 2便目：入庫日を ▼ から選んでください",IF(NOT(ISNUMBER($S278)),"⚠ 2便目：入庫日は ▼ から選んでください",IF($S278&lt;N('設定'!$C$6),"⚠ 2便目：入庫日が過去です（もう在庫に入っています）→ 消してください",IF($S278&gt;N('設定'!$C$6)+13,"⚠ 2便目：入庫日が14日より先です",IF(N($T278)&lt;=0,"⚠ 2便目：入庫数を入れてください",IF($CH278&gt;0,"⚠ 2便目：定数を "&amp;$CH278&amp;" ケース超える → 減らす",""))))))))</f>
        <v/>
      </c>
      <c r="CK278">
        <f>IF(AND($CI278="",N($Q278)&gt;0,ISNUMBER($P278)),1,0)</f>
        <v/>
      </c>
      <c r="CL278">
        <f>IF(AND($CJ278="",N($T278)&gt;0,ISNUMBER($S278)),1,0)</f>
        <v/>
      </c>
      <c r="CM278">
        <f>IF(OR($CK278=1,$CL278=1),1,0)</f>
        <v/>
      </c>
      <c r="CN278">
        <f>IF($C278="",0,($CK278*$R278+$CL278*$U278)*N($H278))</f>
        <v/>
      </c>
      <c r="CO278">
        <f>IF($C278="","",IF($CC278="","入庫後は 14日以上もつ",IF($CC278-N('設定'!$C$7)&lt;='設定'!$C$6,"入庫後も "&amp;TEXT($CC278,"m/d")&amp;"("&amp;CHOOSE(WEEKDAY($CC278),"日","月","火","水","木","金","土")&amp;")"&amp;" に切れる　もう1便を至急発注","入庫後も "&amp;TEXT($CC278,"m/d")&amp;"("&amp;CHOOSE(WEEKDAY($CC278),"日","月","火","水","木","金","土")&amp;")"&amp;" に切れる　"&amp;TEXT($CC278-N('設定'!$C$7),"m/d")&amp;"("&amp;CHOOSE(WEEKDAY($CC278-N('設定'!$C$7)),"日","月","火","水","木","金","土")&amp;")"&amp;" までに次を発注")))</f>
        <v/>
      </c>
      <c r="CP278">
        <f>IF($C278="","",IF('設定'!$C$6="","？ ①在庫を貼る に今日のCSVが貼られていない",IF($CS278=1,"－ 今日のCSVに無い（終売？）",IF($L278&lt;0,"● 在庫がマイナス　数えて「数えた在庫」に入れる",IF($L278=0,"● 在庫なし　至急発注",IF($M278="","？ 減り数が未設定（商品マスタ）",IF($B$3=0,"？ 動員が未入力（動員を入れる）",IF($CA278="","○ 14日以上もつ",IF($BZ278&lt;N('設定'!$C$7),"● "&amp;TEXT($CA278,"m/d")&amp;"("&amp;CHOOSE(WEEKDAY($CA278),"日","月","火","水","木","金","土")&amp;")"&amp;" に切れる　至急発注",IF($BZ278=N('設定'!$C$7),"● "&amp;TEXT($CA278,"m/d")&amp;"("&amp;CHOOSE(WEEKDAY($CA278),"日","月","火","水","木","金","土")&amp;")"&amp;" に切れる　今日発注","△ "&amp;TEXT($CA278,"m/d")&amp;"("&amp;CHOOSE(WEEKDAY($CA278),"日","月","火","水","木","金","土")&amp;")"&amp;" に切れる　"&amp;TEXT($CA278-N('設定'!$C$7),"m/d")&amp;"("&amp;CHOOSE(WEEKDAY($CA278-N('設定'!$C$7)),"日","月","火","水","木","金","土")&amp;")"&amp;" までに発注"))))))))))</f>
        <v/>
      </c>
      <c r="CQ278">
        <f>IF($C278="","",IF(AND($P278="",$Q278="",$S278="",$T278=""),"",IF(AND($P278="",$Q278=""),"⚠ 先に1便目（左の入庫日・入庫数）に入れてください",IF($CI278&lt;&gt;"",$CI278,IF($CJ278&lt;&gt;"",$CJ278,IF($M278="","？ 減り数が未設定（発注書には載ります）",IF($B$3=0,"？ 動員が未入力（発注書には載ります）",IF(AND($CA278&lt;&gt;"",$P278&gt;$CA278),IF($P278&gt;'設定'!$C$6+N('設定'!$C$7),"● "&amp;TEXT($P278,"m/d")&amp;"("&amp;CHOOSE(WEEKDAY($P278),"日","月","火","水","木","金","土")&amp;")"&amp;" の入庫では間に合わない（"&amp;TEXT($CA278,"m/d")&amp;"("&amp;CHOOSE(WEEKDAY($CA278),"日","月","火","水","木","金","土")&amp;")"&amp;" に切れる）　入庫日を早める","△ 欠品 "&amp;TEXT($CA278,"m/d")&amp;"("&amp;CHOOSE(WEEKDAY($CA278),"日","月","火","水","木","金","土")&amp;")"&amp;"〜"&amp;TEXT($P278-1,"m/d")&amp;"("&amp;CHOOSE(WEEKDAY($P278-1),"日","月","火","水","木","金","土")&amp;")"&amp;"　"&amp;$CO278),IF($CC278="","○ "&amp;TEXT($P278,"m/d")&amp;"("&amp;CHOOSE(WEEKDAY($P278),"日","月","火","水","木","金","土")&amp;")"&amp;" 入庫で 14日以上もつ",IF($CC278-N('設定'!$C$7)&lt;='設定'!$C$6,"● 入庫しても "&amp;TEXT($CC278,"m/d")&amp;"("&amp;CHOOSE(WEEKDAY($CC278),"日","月","火","水","木","金","土")&amp;")"&amp;" に切れる　もう1便を至急発注（2便目に入れる）","△ 入庫しても "&amp;TEXT($CC278,"m/d")&amp;"("&amp;CHOOSE(WEEKDAY($CC278),"日","月","火","水","木","金","土")&amp;")"&amp;" に切れる　"&amp;TEXT($CC278-N('設定'!$C$7),"m/d")&amp;"("&amp;CHOOSE(WEEKDAY($CC278-N('設定'!$C$7)),"日","月","火","水","木","金","土")&amp;")"&amp;" までに次を発注（2便目に入れる）"))))))))))</f>
        <v/>
      </c>
      <c r="CR278">
        <f>IF($C278="","",IF($G278&gt;1,"ｹｰｽ("&amp;$G278&amp;"入)","個"))</f>
        <v/>
      </c>
      <c r="CS278">
        <f>IF($C278="",0,IF(COUNTIFS('①在庫を貼る'!$V$6:$V$10005,'設定'!$C$4,'①在庫を貼る'!$W$6:$W$10005,$C278)=0,1,0))</f>
        <v/>
      </c>
      <c r="CT278">
        <f>IF(AND($CK278=1,OR('③発注書'!$C$4="すべて",'③発注書'!$C$4="",$F278='③発注書'!$C$4)),N($CT277)+1,N($CT277))</f>
        <v/>
      </c>
      <c r="CU278">
        <f>IF(AND($CL278=1,OR('③発注書'!$C$4="すべて",'③発注書'!$C$4="",$F278='③発注書'!$C$4)),N($CU277)+1,N($CU277))</f>
        <v/>
      </c>
      <c r="CV278">
        <f>IF($C278="",0,IF(COUNTIFS('①在庫を貼る'!$V$6:$V$10005,'設定'!$C$4,'①在庫を貼る'!$W$6:$W$10005,$C278)&gt;0,1,0))</f>
        <v/>
      </c>
      <c r="CW278">
        <f>IF($C278="",0,IF(COUNTIFS('月1回_1ヶ月前の在庫'!$V$6:$V$10005,'設定'!$C$4,'月1回_1ヶ月前の在庫'!$W$6:$W$10005,$C278)&gt;0,1,0))</f>
        <v/>
      </c>
      <c r="CX278">
        <f>IF($C278="",0,IF(COUNTIFS('月1回_2ヶ月前の在庫'!$V$6:$V$10005,'設定'!$C$4,'月1回_2ヶ月前の在庫'!$W$6:$W$10005,$C278)&gt;0,1,0))</f>
        <v/>
      </c>
      <c r="CY278">
        <f>IF(OR($C278="",'設定'!$C$12=""),"",IF('設定'!$C$13="",IF(AND($CV278=1,$CW278=0),"新商品（今月から）",IF(AND($CV278=0,$CW278=1),"終売（今月から）","")),IF(AND($CV278=1,$CW278=0,$CX278=0),"新商品（今月から）",IF(AND($CV278=1,$CW278=1,$CX278=0),"新商品（先月から）",IF(AND($CV278=0,$CW278=1,$CX278=1),"終売（今月から）",IF(AND($CV278=0,$CW278=0,$CX278=1),"終売（先月から）",IF(AND($CV278=1,$CW278=0,$CX278=1),"復活（先月は無し）","")))))))</f>
        <v/>
      </c>
    </row>
    <row r="279">
      <c r="B279">
        <f>IF(274&lt;='設定'!$C$11,274,"")</f>
        <v/>
      </c>
      <c r="C279">
        <f>IF($B279="","",IF($B279&lt;='設定'!$C$20,INDEX('商品マスタ'!$B$6:$B$1005,MATCH($B279,'商品マスタ'!$M$6:$M$1005,0)),IF($B279&lt;='設定'!$C$20+'設定'!$C$17,INDEX('①在庫を貼る'!$W$6:$W$10005,MATCH($B279-'設定'!$C$20,'①在庫を貼る'!$U$6:$U$10005,0)),IF($B279&lt;='設定'!$C$20+'設定'!$C$17+'設定'!$C$18,INDEX('月1回_1ヶ月前の在庫'!$W$6:$W$10005,MATCH($B279-'設定'!$C$20-'設定'!$C$17,'月1回_1ヶ月前の在庫'!$U$6:$U$10005,0)),INDEX('月1回_2ヶ月前の在庫'!$W$6:$W$10005,MATCH($B279-'設定'!$C$20-'設定'!$C$17-'設定'!$C$18,'月1回_2ヶ月前の在庫'!$U$6:$U$10005,0))))))</f>
        <v/>
      </c>
      <c r="D279">
        <f>IF($C279="","",IFERROR(IF(INDEX('商品マスタ'!$C$6:$C$1005,MATCH($C279,'商品マスタ'!$B$6:$B$1005,0))="",IFERROR(INDEX('①在庫を貼る'!$J$6:$J$10005,MATCH($C279,'①在庫を貼る'!$W$6:$W$10005,0)),IFERROR(INDEX('月1回_1ヶ月前の在庫'!$J$6:$J$10005,MATCH($C279,'月1回_1ヶ月前の在庫'!$W$6:$W$10005,0)),IFERROR(INDEX('月1回_2ヶ月前の在庫'!$J$6:$J$10005,MATCH($C279,'月1回_2ヶ月前の在庫'!$W$6:$W$10005,0)),""))),INDEX('商品マスタ'!$C$6:$C$1005,MATCH($C279,'商品マスタ'!$B$6:$B$1005,0))),IFERROR(INDEX('①在庫を貼る'!$J$6:$J$10005,MATCH($C279,'①在庫を貼る'!$W$6:$W$10005,0)),IFERROR(INDEX('月1回_1ヶ月前の在庫'!$J$6:$J$10005,MATCH($C279,'月1回_1ヶ月前の在庫'!$W$6:$W$10005,0)),IFERROR(INDEX('月1回_2ヶ月前の在庫'!$J$6:$J$10005,MATCH($C279,'月1回_2ヶ月前の在庫'!$W$6:$W$10005,0)),"")))))</f>
        <v/>
      </c>
      <c r="E279">
        <f>IF($C279="","",IFERROR(IF(INDEX('商品マスタ'!$D$6:$D$1005,MATCH($C279,'商品マスタ'!$B$6:$B$1005,0))="",IFERROR(INDEX('①在庫を貼る'!$H$6:$H$10005,MATCH($C279,'①在庫を貼る'!$W$6:$W$10005,0)),IFERROR(INDEX('月1回_1ヶ月前の在庫'!$H$6:$H$10005,MATCH($C279,'月1回_1ヶ月前の在庫'!$W$6:$W$10005,0)),IFERROR(INDEX('月1回_2ヶ月前の在庫'!$H$6:$H$10005,MATCH($C279,'月1回_2ヶ月前の在庫'!$W$6:$W$10005,0)),""))),INDEX('商品マスタ'!$D$6:$D$1005,MATCH($C279,'商品マスタ'!$B$6:$B$1005,0))),IFERROR(INDEX('①在庫を貼る'!$H$6:$H$10005,MATCH($C279,'①在庫を貼る'!$W$6:$W$10005,0)),IFERROR(INDEX('月1回_1ヶ月前の在庫'!$H$6:$H$10005,MATCH($C279,'月1回_1ヶ月前の在庫'!$W$6:$W$10005,0)),IFERROR(INDEX('月1回_2ヶ月前の在庫'!$H$6:$H$10005,MATCH($C279,'月1回_2ヶ月前の在庫'!$W$6:$W$10005,0)),"")))))</f>
        <v/>
      </c>
      <c r="F279">
        <f>IF($C279="","",IFERROR(IF(INDEX('商品マスタ'!$E$6:$E$1005,MATCH($C279,'商品マスタ'!$B$6:$B$1005,0))="",IFERROR(INDEX('①在庫を貼る'!$E$6:$E$10005,MATCH($C279,'①在庫を貼る'!$W$6:$W$10005,0)),IFERROR(INDEX('月1回_1ヶ月前の在庫'!$E$6:$E$10005,MATCH($C279,'月1回_1ヶ月前の在庫'!$W$6:$W$10005,0)),IFERROR(INDEX('月1回_2ヶ月前の在庫'!$E$6:$E$10005,MATCH($C279,'月1回_2ヶ月前の在庫'!$W$6:$W$10005,0)),""))),INDEX('商品マスタ'!$E$6:$E$1005,MATCH($C279,'商品マスタ'!$B$6:$B$1005,0))),IFERROR(INDEX('①在庫を貼る'!$E$6:$E$10005,MATCH($C279,'①在庫を貼る'!$W$6:$W$10005,0)),IFERROR(INDEX('月1回_1ヶ月前の在庫'!$E$6:$E$10005,MATCH($C279,'月1回_1ヶ月前の在庫'!$W$6:$W$10005,0)),IFERROR(INDEX('月1回_2ヶ月前の在庫'!$E$6:$E$10005,MATCH($C279,'月1回_2ヶ月前の在庫'!$W$6:$W$10005,0)),"")))))</f>
        <v/>
      </c>
      <c r="G279">
        <f>IF($C279="","",MAX(1,N(IFERROR(IF(INDEX('商品マスタ'!$F$6:$F$1005,MATCH($C279,'商品マスタ'!$B$6:$B$1005,0))="",IF(COUNTIFS('①在庫を貼る'!$V$6:$V$10005,'設定'!$C$4,'①在庫を貼る'!$W$6:$W$10005,$C279)&gt;0,SUMIFS('①在庫を貼る'!$K$6:$K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K$6:$K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K$6:$K$10005,'月1回_2ヶ月前の在庫'!$V$6:$V$10005,'設定'!$C$4,'月1回_2ヶ月前の在庫'!$W$6:$W$10005,$C279)/COUNTIFS('月1回_2ヶ月前の在庫'!$V$6:$V$10005,'設定'!$C$4,'月1回_2ヶ月前の在庫'!$W$6:$W$10005,$C279),0))),INDEX('商品マスタ'!$F$6:$F$1005,MATCH($C279,'商品マスタ'!$B$6:$B$1005,0))),IF(COUNTIFS('①在庫を貼る'!$V$6:$V$10005,'設定'!$C$4,'①在庫を貼る'!$W$6:$W$10005,$C279)&gt;0,SUMIFS('①在庫を貼る'!$K$6:$K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K$6:$K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K$6:$K$10005,'月1回_2ヶ月前の在庫'!$V$6:$V$10005,'設定'!$C$4,'月1回_2ヶ月前の在庫'!$W$6:$W$10005,$C279)/COUNTIFS('月1回_2ヶ月前の在庫'!$V$6:$V$10005,'設定'!$C$4,'月1回_2ヶ月前の在庫'!$W$6:$W$10005,$C279),0)))))))</f>
        <v/>
      </c>
      <c r="H279">
        <f>IF($C279="","",N(IFERROR(IF(INDEX('商品マスタ'!$G$6:$G$1005,MATCH($C279,'商品マスタ'!$B$6:$B$1005,0))="",IF(COUNTIFS('①在庫を貼る'!$V$6:$V$10005,'設定'!$C$4,'①在庫を貼る'!$W$6:$W$10005,$C279)&gt;0,SUMIFS('①在庫を貼る'!$Q$6:$Q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Q$6:$Q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Q$6:$Q$10005,'月1回_2ヶ月前の在庫'!$V$6:$V$10005,'設定'!$C$4,'月1回_2ヶ月前の在庫'!$W$6:$W$10005,$C279)/COUNTIFS('月1回_2ヶ月前の在庫'!$V$6:$V$10005,'設定'!$C$4,'月1回_2ヶ月前の在庫'!$W$6:$W$10005,$C279),0))),INDEX('商品マスタ'!$G$6:$G$1005,MATCH($C279,'商品マスタ'!$B$6:$B$1005,0))),IF(COUNTIFS('①在庫を貼る'!$V$6:$V$10005,'設定'!$C$4,'①在庫を貼る'!$W$6:$W$10005,$C279)&gt;0,SUMIFS('①在庫を貼る'!$Q$6:$Q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Q$6:$Q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Q$6:$Q$10005,'月1回_2ヶ月前の在庫'!$V$6:$V$10005,'設定'!$C$4,'月1回_2ヶ月前の在庫'!$W$6:$W$10005,$C279)/COUNTIFS('月1回_2ヶ月前の在庫'!$V$6:$V$10005,'設定'!$C$4,'月1回_2ヶ月前の在庫'!$W$6:$W$10005,$C279),0))))))</f>
        <v/>
      </c>
      <c r="I279">
        <f>IF($C279="","",IF(COUNTIFS('①在庫を貼る'!$V$6:$V$10005,'設定'!$C$4,'①在庫を貼る'!$W$6:$W$10005,$C279)=0,"",SUMIFS('①在庫を貼る'!$N$6:$N$10005,'①在庫を貼る'!$V$6:$V$10005,'設定'!$C$4,'①在庫を貼る'!$W$6:$W$10005,$C279)))</f>
        <v/>
      </c>
      <c r="J279">
        <f>IF($C279="","",IF('②発注する'!$AD283="","",'②発注する'!$AD283))</f>
        <v/>
      </c>
      <c r="K279" s="90">
        <f>IF($C279="","",IF('②発注する'!$AE283="","",'②発注する'!$AE283))</f>
        <v/>
      </c>
      <c r="L279">
        <f>IF($C279="","",IF(AND(ISNUMBER($J279),ISNUMBER($K279),$K279&gt;='設定'!$C$6),$J279,N($I279)))</f>
        <v/>
      </c>
      <c r="M279">
        <f>IF($C279="","",IFERROR(IF(N(INDEX('商品マスタ'!$J$6:$J$1005,MATCH($C279,'商品マスタ'!$B$6:$B$1005,0)))&gt;0,INDEX('商品マスタ'!$J$6:$J$1005,MATCH($C279,'商品マスタ'!$B$6:$B$1005,0)),""),""))</f>
        <v/>
      </c>
      <c r="N279">
        <f>IF($C279="","",IFERROR(IF(N(INDEX('商品マスタ'!$H$6:$H$1005,MATCH($C279,'商品マスタ'!$B$6:$B$1005,0)))&gt;0,INDEX('商品マスタ'!$H$6:$H$1005,MATCH($C279,'商品マスタ'!$B$6:$B$1005,0)),""),""))</f>
        <v/>
      </c>
      <c r="O279">
        <f>IF($C279="","",IF($N279&lt;&gt;"",$N279*$G279,IF(N(IF(COUNTIFS('①在庫を貼る'!$V$6:$V$10005,'設定'!$C$4,'①在庫を貼る'!$W$6:$W$10005,$C279)&gt;0,SUMIFS('①在庫を貼る'!$O$6:$O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O$6:$O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O$6:$O$10005,'月1回_2ヶ月前の在庫'!$V$6:$V$10005,'設定'!$C$4,'月1回_2ヶ月前の在庫'!$W$6:$W$10005,$C279)/COUNTIFS('月1回_2ヶ月前の在庫'!$V$6:$V$10005,'設定'!$C$4,'月1回_2ヶ月前の在庫'!$W$6:$W$10005,$C279),0))))&gt;0,N(IF(COUNTIFS('①在庫を貼る'!$V$6:$V$10005,'設定'!$C$4,'①在庫を貼る'!$W$6:$W$10005,$C279)&gt;0,SUMIFS('①在庫を貼る'!$O$6:$O$10005,'①在庫を貼る'!$V$6:$V$10005,'設定'!$C$4,'①在庫を貼る'!$W$6:$W$10005,$C279)/COUNTIFS('①在庫を貼る'!$V$6:$V$10005,'設定'!$C$4,'①在庫を貼る'!$W$6:$W$10005,$C279),IF(COUNTIFS('月1回_1ヶ月前の在庫'!$V$6:$V$10005,'設定'!$C$4,'月1回_1ヶ月前の在庫'!$W$6:$W$10005,$C279)&gt;0,SUMIFS('月1回_1ヶ月前の在庫'!$O$6:$O$10005,'月1回_1ヶ月前の在庫'!$V$6:$V$10005,'設定'!$C$4,'月1回_1ヶ月前の在庫'!$W$6:$W$10005,$C279)/COUNTIFS('月1回_1ヶ月前の在庫'!$V$6:$V$10005,'設定'!$C$4,'月1回_1ヶ月前の在庫'!$W$6:$W$10005,$C279),IF(COUNTIFS('月1回_2ヶ月前の在庫'!$V$6:$V$10005,'設定'!$C$4,'月1回_2ヶ月前の在庫'!$W$6:$W$10005,$C279)&gt;0,SUMIFS('月1回_2ヶ月前の在庫'!$O$6:$O$10005,'月1回_2ヶ月前の在庫'!$V$6:$V$10005,'設定'!$C$4,'月1回_2ヶ月前の在庫'!$W$6:$W$10005,$C279)/COUNTIFS('月1回_2ヶ月前の在庫'!$V$6:$V$10005,'設定'!$C$4,'月1回_2ヶ月前の在庫'!$W$6:$W$10005,$C279),0)))),"")))</f>
        <v/>
      </c>
      <c r="P279" s="90">
        <f>IF($C279="","",IF('②発注する'!$I283="","",'②発注する'!$I283))</f>
        <v/>
      </c>
      <c r="Q279">
        <f>IF($C279="","",IF('②発注する'!$J283="","",'②発注する'!$J283))</f>
        <v/>
      </c>
      <c r="R279">
        <f>IF($C279="",0,IF(AND(ISNUMBER($P279),ISNUMBER($Q279)),MAX(0,$Q279)*$G279,0))</f>
        <v/>
      </c>
      <c r="S279" s="90">
        <f>IF($C279="","",IF('②発注する'!$M283="","",'②発注する'!$M283))</f>
        <v/>
      </c>
      <c r="T279">
        <f>IF($C279="","",IF('②発注する'!$N283="","",'②発注する'!$N283))</f>
        <v/>
      </c>
      <c r="U279">
        <f>IF($C279="",0,IF(AND(ISNUMBER($S279),ISNUMBER($T279)),MAX(0,$T279)*$G279,0))</f>
        <v/>
      </c>
      <c r="V279">
        <f>IF($C279="",0,IF($M279="",0,MAX(0,$M279)*MAX(0,V$4)/100))</f>
        <v/>
      </c>
      <c r="W279">
        <f>IF($C279="",0,IF($M279="",0,MAX(0,$M279)*MAX(0,W$4)/100))</f>
        <v/>
      </c>
      <c r="X279">
        <f>IF($C279="",0,IF($M279="",0,MAX(0,$M279)*MAX(0,X$4)/100))</f>
        <v/>
      </c>
      <c r="Y279">
        <f>IF($C279="",0,IF($M279="",0,MAX(0,$M279)*MAX(0,Y$4)/100))</f>
        <v/>
      </c>
      <c r="Z279">
        <f>IF($C279="",0,IF($M279="",0,MAX(0,$M279)*MAX(0,Z$4)/100))</f>
        <v/>
      </c>
      <c r="AA279">
        <f>IF($C279="",0,IF($M279="",0,MAX(0,$M279)*MAX(0,AA$4)/100))</f>
        <v/>
      </c>
      <c r="AB279">
        <f>IF($C279="",0,IF($M279="",0,MAX(0,$M279)*MAX(0,AB$4)/100))</f>
        <v/>
      </c>
      <c r="AC279">
        <f>IF($C279="",0,IF($M279="",0,MAX(0,$M279)*MAX(0,AC$4)/100))</f>
        <v/>
      </c>
      <c r="AD279">
        <f>IF($C279="",0,IF($M279="",0,MAX(0,$M279)*MAX(0,AD$4)/100))</f>
        <v/>
      </c>
      <c r="AE279">
        <f>IF($C279="",0,IF($M279="",0,MAX(0,$M279)*MAX(0,AE$4)/100))</f>
        <v/>
      </c>
      <c r="AF279">
        <f>IF($C279="",0,IF($M279="",0,MAX(0,$M279)*MAX(0,AF$4)/100))</f>
        <v/>
      </c>
      <c r="AG279">
        <f>IF($C279="",0,IF($M279="",0,MAX(0,$M279)*MAX(0,AG$4)/100))</f>
        <v/>
      </c>
      <c r="AH279">
        <f>IF($C279="",0,IF($M279="",0,MAX(0,$M279)*MAX(0,AH$4)/100))</f>
        <v/>
      </c>
      <c r="AI279">
        <f>IF($C279="",0,IF($M279="",0,MAX(0,$M279)*MAX(0,AI$4)/100))</f>
        <v/>
      </c>
      <c r="AJ279">
        <f>IF($C279="",0,MAX(0,MAX(0,N($L279))-$V279))</f>
        <v/>
      </c>
      <c r="AK279">
        <f>IF($C279="",0,MAX(0,$AJ279-$W279))</f>
        <v/>
      </c>
      <c r="AL279">
        <f>IF($C279="",0,MAX(0,$AK279-$X279))</f>
        <v/>
      </c>
      <c r="AM279">
        <f>IF($C279="",0,MAX(0,$AL279-$Y279))</f>
        <v/>
      </c>
      <c r="AN279">
        <f>IF($C279="",0,MAX(0,$AM279-$Z279))</f>
        <v/>
      </c>
      <c r="AO279">
        <f>IF($C279="",0,MAX(0,$AN279-$AA279))</f>
        <v/>
      </c>
      <c r="AP279">
        <f>IF($C279="",0,MAX(0,$AO279-$AB279))</f>
        <v/>
      </c>
      <c r="AQ279">
        <f>IF($C279="",0,MAX(0,$AP279-$AC279))</f>
        <v/>
      </c>
      <c r="AR279">
        <f>IF($C279="",0,MAX(0,$AQ279-$AD279))</f>
        <v/>
      </c>
      <c r="AS279">
        <f>IF($C279="",0,MAX(0,$AR279-$AE279))</f>
        <v/>
      </c>
      <c r="AT279">
        <f>IF($C279="",0,MAX(0,$AS279-$AF279))</f>
        <v/>
      </c>
      <c r="AU279">
        <f>IF($C279="",0,MAX(0,$AT279-$AG279))</f>
        <v/>
      </c>
      <c r="AV279">
        <f>IF($C279="",0,MAX(0,$AU279-$AH279))</f>
        <v/>
      </c>
      <c r="AW279">
        <f>IF($C279="",0,MAX(0,$AV279-$AI279))</f>
        <v/>
      </c>
      <c r="AX279">
        <f>IF($C279="",0,MAX(0,MAX(0,N($L279))+IF($P279=V$3,$R279,0)+IF($S279=V$3,$U279,0)-$V279))</f>
        <v/>
      </c>
      <c r="AY279">
        <f>IF($C279="",0,MAX(0,$AX279+IF($P279=W$3,$R279,0)+IF($S279=W$3,$U279,0)-$W279))</f>
        <v/>
      </c>
      <c r="AZ279">
        <f>IF($C279="",0,MAX(0,$AY279+IF($P279=X$3,$R279,0)+IF($S279=X$3,$U279,0)-$X279))</f>
        <v/>
      </c>
      <c r="BA279">
        <f>IF($C279="",0,MAX(0,$AZ279+IF($P279=Y$3,$R279,0)+IF($S279=Y$3,$U279,0)-$Y279))</f>
        <v/>
      </c>
      <c r="BB279">
        <f>IF($C279="",0,MAX(0,$BA279+IF($P279=Z$3,$R279,0)+IF($S279=Z$3,$U279,0)-$Z279))</f>
        <v/>
      </c>
      <c r="BC279">
        <f>IF($C279="",0,MAX(0,$BB279+IF($P279=AA$3,$R279,0)+IF($S279=AA$3,$U279,0)-$AA279))</f>
        <v/>
      </c>
      <c r="BD279">
        <f>IF($C279="",0,MAX(0,$BC279+IF($P279=AB$3,$R279,0)+IF($S279=AB$3,$U279,0)-$AB279))</f>
        <v/>
      </c>
      <c r="BE279">
        <f>IF($C279="",0,MAX(0,$BD279+IF($P279=AC$3,$R279,0)+IF($S279=AC$3,$U279,0)-$AC279))</f>
        <v/>
      </c>
      <c r="BF279">
        <f>IF($C279="",0,MAX(0,$BE279+IF($P279=AD$3,$R279,0)+IF($S279=AD$3,$U279,0)-$AD279))</f>
        <v/>
      </c>
      <c r="BG279">
        <f>IF($C279="",0,MAX(0,$BF279+IF($P279=AE$3,$R279,0)+IF($S279=AE$3,$U279,0)-$AE279))</f>
        <v/>
      </c>
      <c r="BH279">
        <f>IF($C279="",0,MAX(0,$BG279+IF($P279=AF$3,$R279,0)+IF($S279=AF$3,$U279,0)-$AF279))</f>
        <v/>
      </c>
      <c r="BI279">
        <f>IF($C279="",0,MAX(0,$BH279+IF($P279=AG$3,$R279,0)+IF($S279=AG$3,$U279,0)-$AG279))</f>
        <v/>
      </c>
      <c r="BJ279">
        <f>IF($C279="",0,MAX(0,$BI279+IF($P279=AH$3,$R279,0)+IF($S279=AH$3,$U279,0)-$AH279))</f>
        <v/>
      </c>
      <c r="BK279">
        <f>IF($C279="",0,MAX(0,$BJ279+IF($P279=AI$3,$R279,0)+IF($S279=AI$3,$U279,0)-$AI279))</f>
        <v/>
      </c>
      <c r="BL279">
        <f>IF($C279="",99,IF(AND($AX279&lt;1,V$3&gt;=MAX(N($P279),N($S279))),0,99))</f>
        <v/>
      </c>
      <c r="BM279">
        <f>IF($C279="",99,IF(AND($AY279&lt;1,W$3&gt;=MAX(N($P279),N($S279))),1,99))</f>
        <v/>
      </c>
      <c r="BN279">
        <f>IF($C279="",99,IF(AND($AZ279&lt;1,X$3&gt;=MAX(N($P279),N($S279))),2,99))</f>
        <v/>
      </c>
      <c r="BO279">
        <f>IF($C279="",99,IF(AND($BA279&lt;1,Y$3&gt;=MAX(N($P279),N($S279))),3,99))</f>
        <v/>
      </c>
      <c r="BP279">
        <f>IF($C279="",99,IF(AND($BB279&lt;1,Z$3&gt;=MAX(N($P279),N($S279))),4,99))</f>
        <v/>
      </c>
      <c r="BQ279">
        <f>IF($C279="",99,IF(AND($BC279&lt;1,AA$3&gt;=MAX(N($P279),N($S279))),5,99))</f>
        <v/>
      </c>
      <c r="BR279">
        <f>IF($C279="",99,IF(AND($BD279&lt;1,AB$3&gt;=MAX(N($P279),N($S279))),6,99))</f>
        <v/>
      </c>
      <c r="BS279">
        <f>IF($C279="",99,IF(AND($BE279&lt;1,AC$3&gt;=MAX(N($P279),N($S279))),7,99))</f>
        <v/>
      </c>
      <c r="BT279">
        <f>IF($C279="",99,IF(AND($BF279&lt;1,AD$3&gt;=MAX(N($P279),N($S279))),8,99))</f>
        <v/>
      </c>
      <c r="BU279">
        <f>IF($C279="",99,IF(AND($BG279&lt;1,AE$3&gt;=MAX(N($P279),N($S279))),9,99))</f>
        <v/>
      </c>
      <c r="BV279">
        <f>IF($C279="",99,IF(AND($BH279&lt;1,AF$3&gt;=MAX(N($P279),N($S279))),10,99))</f>
        <v/>
      </c>
      <c r="BW279">
        <f>IF($C279="",99,IF(AND($BI279&lt;1,AG$3&gt;=MAX(N($P279),N($S279))),11,99))</f>
        <v/>
      </c>
      <c r="BX279">
        <f>IF($C279="",99,IF(AND($BJ279&lt;1,AH$3&gt;=MAX(N($P279),N($S279))),12,99))</f>
        <v/>
      </c>
      <c r="BY279">
        <f>IF($C279="",99,IF(AND($BK279&lt;1,AI$3&gt;=MAX(N($P279),N($S279))),13,99))</f>
        <v/>
      </c>
      <c r="BZ279">
        <f>IF(OR($C279="",$M279=""),"",COUNTIF($AJ279:$AW279,"&gt;=1"))</f>
        <v/>
      </c>
      <c r="CA279" s="90">
        <f>IF($BZ279="","",IF($BZ279&gt;=14,"",'設定'!$C$6+$BZ279))</f>
        <v/>
      </c>
      <c r="CB279">
        <f>IF(OR($C279="",$M279=""),"",MIN($BL279:$BY279))</f>
        <v/>
      </c>
      <c r="CC279" s="90">
        <f>IF($CB279="","",IF($CB279&gt;=99,"",'設定'!$C$6+$CB279))</f>
        <v/>
      </c>
      <c r="CD279">
        <f>IF(OR($C279="",$M279=""),"",AVERAGE($V279:$AI279))</f>
        <v/>
      </c>
      <c r="CE279">
        <f>IF($C279="","",IFERROR(IF(MATCH(IF(ISNUMBER($P279),$P279,'設定'!$C$6+N('設定'!$C$7)),$V$3:$AI$3,0)=1,MAX(0,N($L279)),INDEX($AJ279:$AW279,MATCH(IF(ISNUMBER($P279),$P279,'設定'!$C$6+N('設定'!$C$7)),$V$3:$AI$3,0)-1)),""))</f>
        <v/>
      </c>
      <c r="CF279">
        <f>IF(OR($C279="",$O279="",$CE279=""),"",IF($O279-$CE279&lt;=0,0,ROUNDUP(($O279-$CE279)/$G279,0)))</f>
        <v/>
      </c>
      <c r="CG279">
        <f>IF(OR($C279="",$CF279="",NOT(ISNUMBER($Q279))),0,MAX(0,$Q279-$CF279))</f>
        <v/>
      </c>
      <c r="CH279">
        <f>IF(OR($C279="",$O279="",$U279=0),0,IFERROR(ROUNDUP(MAX(0,IF(MATCH($S279,$V$3:$AI$3,0)=1,MAX(0,N($L279)),INDEX($AX279:$BK279,MATCH($S279,$V$3:$AI$3,0)-1))+$U279-$O279)/$G279,0),0))</f>
        <v/>
      </c>
      <c r="CI279">
        <f>IF($C279="","",IF(AND($P279="",$Q279=""),"",IF($P279="","⚠ 入庫日を ▼ から選んでください",IF(NOT(ISNUMBER($P279)),"⚠ 入庫日は ▼ から選んでください",IF($P279&lt;N('設定'!$C$6),"⚠ 入庫日が過去です（もう在庫に入っています）→ 消してください",IF($P279&gt;N('設定'!$C$6)+13,"⚠ 入庫日が14日より先です",IF(N($Q279)&lt;=0,"⚠ 入庫数を入れてください",IF($CG279&gt;0,"⚠ 目安より "&amp;$CG279&amp;" 多い（定数を超える）→ 減らす",""))))))))</f>
        <v/>
      </c>
      <c r="CJ279">
        <f>IF($C279="","",IF(AND($S279="",$T279=""),"",IF($S279="","⚠ 2便目：入庫日を ▼ から選んでください",IF(NOT(ISNUMBER($S279)),"⚠ 2便目：入庫日は ▼ から選んでください",IF($S279&lt;N('設定'!$C$6),"⚠ 2便目：入庫日が過去です（もう在庫に入っています）→ 消してください",IF($S279&gt;N('設定'!$C$6)+13,"⚠ 2便目：入庫日が14日より先です",IF(N($T279)&lt;=0,"⚠ 2便目：入庫数を入れてください",IF($CH279&gt;0,"⚠ 2便目：定数を "&amp;$CH279&amp;" ケース超える → 減らす",""))))))))</f>
        <v/>
      </c>
      <c r="CK279">
        <f>IF(AND($CI279="",N($Q279)&gt;0,ISNUMBER($P279)),1,0)</f>
        <v/>
      </c>
      <c r="CL279">
        <f>IF(AND($CJ279="",N($T279)&gt;0,ISNUMBER($S279)),1,0)</f>
        <v/>
      </c>
      <c r="CM279">
        <f>IF(OR($CK279=1,$CL279=1),1,0)</f>
        <v/>
      </c>
      <c r="CN279">
        <f>IF($C279="",0,($CK279*$R279+$CL279*$U279)*N($H279))</f>
        <v/>
      </c>
      <c r="CO279">
        <f>IF($C279="","",IF($CC279="","入庫後は 14日以上もつ",IF($CC279-N('設定'!$C$7)&lt;='設定'!$C$6,"入庫後も "&amp;TEXT($CC279,"m/d")&amp;"("&amp;CHOOSE(WEEKDAY($CC279),"日","月","火","水","木","金","土")&amp;")"&amp;" に切れる　もう1便を至急発注","入庫後も "&amp;TEXT($CC279,"m/d")&amp;"("&amp;CHOOSE(WEEKDAY($CC279),"日","月","火","水","木","金","土")&amp;")"&amp;" に切れる　"&amp;TEXT($CC279-N('設定'!$C$7),"m/d")&amp;"("&amp;CHOOSE(WEEKDAY($CC279-N('設定'!$C$7)),"日","月","火","水","木","金","土")&amp;")"&amp;" までに次を発注")))</f>
        <v/>
      </c>
      <c r="CP279">
        <f>IF($C279="","",IF('設定'!$C$6="","？ ①在庫を貼る に今日のCSVが貼られていない",IF($CS279=1,"－ 今日のCSVに無い（終売？）",IF($L279&lt;0,"● 在庫がマイナス　数えて「数えた在庫」に入れる",IF($L279=0,"● 在庫なし　至急発注",IF($M279="","？ 減り数が未設定（商品マスタ）",IF($B$3=0,"？ 動員が未入力（動員を入れる）",IF($CA279="","○ 14日以上もつ",IF($BZ279&lt;N('設定'!$C$7),"● "&amp;TEXT($CA279,"m/d")&amp;"("&amp;CHOOSE(WEEKDAY($CA279),"日","月","火","水","木","金","土")&amp;")"&amp;" に切れる　至急発注",IF($BZ279=N('設定'!$C$7),"● "&amp;TEXT($CA279,"m/d")&amp;"("&amp;CHOOSE(WEEKDAY($CA279),"日","月","火","水","木","金","土")&amp;")"&amp;" に切れる　今日発注","△ "&amp;TEXT($CA279,"m/d")&amp;"("&amp;CHOOSE(WEEKDAY($CA279),"日","月","火","水","木","金","土")&amp;")"&amp;" に切れる　"&amp;TEXT($CA279-N('設定'!$C$7),"m/d")&amp;"("&amp;CHOOSE(WEEKDAY($CA279-N('設定'!$C$7)),"日","月","火","水","木","金","土")&amp;")"&amp;" までに発注"))))))))))</f>
        <v/>
      </c>
      <c r="CQ279">
        <f>IF($C279="","",IF(AND($P279="",$Q279="",$S279="",$T279=""),"",IF(AND($P279="",$Q279=""),"⚠ 先に1便目（左の入庫日・入庫数）に入れてください",IF($CI279&lt;&gt;"",$CI279,IF($CJ279&lt;&gt;"",$CJ279,IF($M279="","？ 減り数が未設定（発注書には載ります）",IF($B$3=0,"？ 動員が未入力（発注書には載ります）",IF(AND($CA279&lt;&gt;"",$P279&gt;$CA279),IF($P279&gt;'設定'!$C$6+N('設定'!$C$7),"● "&amp;TEXT($P279,"m/d")&amp;"("&amp;CHOOSE(WEEKDAY($P279),"日","月","火","水","木","金","土")&amp;")"&amp;" の入庫では間に合わない（"&amp;TEXT($CA279,"m/d")&amp;"("&amp;CHOOSE(WEEKDAY($CA279),"日","月","火","水","木","金","土")&amp;")"&amp;" に切れる）　入庫日を早める","△ 欠品 "&amp;TEXT($CA279,"m/d")&amp;"("&amp;CHOOSE(WEEKDAY($CA279),"日","月","火","水","木","金","土")&amp;")"&amp;"〜"&amp;TEXT($P279-1,"m/d")&amp;"("&amp;CHOOSE(WEEKDAY($P279-1),"日","月","火","水","木","金","土")&amp;")"&amp;"　"&amp;$CO279),IF($CC279="","○ "&amp;TEXT($P279,"m/d")&amp;"("&amp;CHOOSE(WEEKDAY($P279),"日","月","火","水","木","金","土")&amp;")"&amp;" 入庫で 14日以上もつ",IF($CC279-N('設定'!$C$7)&lt;='設定'!$C$6,"● 入庫しても "&amp;TEXT($CC279,"m/d")&amp;"("&amp;CHOOSE(WEEKDAY($CC279),"日","月","火","水","木","金","土")&amp;")"&amp;" に切れる　もう1便を至急発注（2便目に入れる）","△ 入庫しても "&amp;TEXT($CC279,"m/d")&amp;"("&amp;CHOOSE(WEEKDAY($CC279),"日","月","火","水","木","金","土")&amp;")"&amp;" に切れる　"&amp;TEXT($CC279-N('設定'!$C$7),"m/d")&amp;"("&amp;CHOOSE(WEEKDAY($CC279-N('設定'!$C$7)),"日","月","火","水","木","金","土")&amp;")"&amp;" までに次を発注（2便目に入れる）"))))))))))</f>
        <v/>
      </c>
      <c r="CR279">
        <f>IF($C279="","",IF($G279&gt;1,"ｹｰｽ("&amp;$G279&amp;"入)","個"))</f>
        <v/>
      </c>
      <c r="CS279">
        <f>IF($C279="",0,IF(COUNTIFS('①在庫を貼る'!$V$6:$V$10005,'設定'!$C$4,'①在庫を貼る'!$W$6:$W$10005,$C279)=0,1,0))</f>
        <v/>
      </c>
      <c r="CT279">
        <f>IF(AND($CK279=1,OR('③発注書'!$C$4="すべて",'③発注書'!$C$4="",$F279='③発注書'!$C$4)),N($CT278)+1,N($CT278))</f>
        <v/>
      </c>
      <c r="CU279">
        <f>IF(AND($CL279=1,OR('③発注書'!$C$4="すべて",'③発注書'!$C$4="",$F279='③発注書'!$C$4)),N($CU278)+1,N($CU278))</f>
        <v/>
      </c>
      <c r="CV279">
        <f>IF($C279="",0,IF(COUNTIFS('①在庫を貼る'!$V$6:$V$10005,'設定'!$C$4,'①在庫を貼る'!$W$6:$W$10005,$C279)&gt;0,1,0))</f>
        <v/>
      </c>
      <c r="CW279">
        <f>IF($C279="",0,IF(COUNTIFS('月1回_1ヶ月前の在庫'!$V$6:$V$10005,'設定'!$C$4,'月1回_1ヶ月前の在庫'!$W$6:$W$10005,$C279)&gt;0,1,0))</f>
        <v/>
      </c>
      <c r="CX279">
        <f>IF($C279="",0,IF(COUNTIFS('月1回_2ヶ月前の在庫'!$V$6:$V$10005,'設定'!$C$4,'月1回_2ヶ月前の在庫'!$W$6:$W$10005,$C279)&gt;0,1,0))</f>
        <v/>
      </c>
      <c r="CY279">
        <f>IF(OR($C279="",'設定'!$C$12=""),"",IF('設定'!$C$13="",IF(AND($CV279=1,$CW279=0),"新商品（今月から）",IF(AND($CV279=0,$CW279=1),"終売（今月から）","")),IF(AND($CV279=1,$CW279=0,$CX279=0),"新商品（今月から）",IF(AND($CV279=1,$CW279=1,$CX279=0),"新商品（先月から）",IF(AND($CV279=0,$CW279=1,$CX279=1),"終売（今月から）",IF(AND($CV279=0,$CW279=0,$CX279=1),"終売（先月から）",IF(AND($CV279=1,$CW279=0,$CX279=1),"復活（先月は無し）","")))))))</f>
        <v/>
      </c>
    </row>
    <row r="280">
      <c r="B280">
        <f>IF(275&lt;='設定'!$C$11,275,"")</f>
        <v/>
      </c>
      <c r="C280">
        <f>IF($B280="","",IF($B280&lt;='設定'!$C$20,INDEX('商品マスタ'!$B$6:$B$1005,MATCH($B280,'商品マスタ'!$M$6:$M$1005,0)),IF($B280&lt;='設定'!$C$20+'設定'!$C$17,INDEX('①在庫を貼る'!$W$6:$W$10005,MATCH($B280-'設定'!$C$20,'①在庫を貼る'!$U$6:$U$10005,0)),IF($B280&lt;='設定'!$C$20+'設定'!$C$17+'設定'!$C$18,INDEX('月1回_1ヶ月前の在庫'!$W$6:$W$10005,MATCH($B280-'設定'!$C$20-'設定'!$C$17,'月1回_1ヶ月前の在庫'!$U$6:$U$10005,0)),INDEX('月1回_2ヶ月前の在庫'!$W$6:$W$10005,MATCH($B280-'設定'!$C$20-'設定'!$C$17-'設定'!$C$18,'月1回_2ヶ月前の在庫'!$U$6:$U$10005,0))))))</f>
        <v/>
      </c>
      <c r="D280">
        <f>IF($C280="","",IFERROR(IF(INDEX('商品マスタ'!$C$6:$C$1005,MATCH($C280,'商品マスタ'!$B$6:$B$1005,0))="",IFERROR(INDEX('①在庫を貼る'!$J$6:$J$10005,MATCH($C280,'①在庫を貼る'!$W$6:$W$10005,0)),IFERROR(INDEX('月1回_1ヶ月前の在庫'!$J$6:$J$10005,MATCH($C280,'月1回_1ヶ月前の在庫'!$W$6:$W$10005,0)),IFERROR(INDEX('月1回_2ヶ月前の在庫'!$J$6:$J$10005,MATCH($C280,'月1回_2ヶ月前の在庫'!$W$6:$W$10005,0)),""))),INDEX('商品マスタ'!$C$6:$C$1005,MATCH($C280,'商品マスタ'!$B$6:$B$1005,0))),IFERROR(INDEX('①在庫を貼る'!$J$6:$J$10005,MATCH($C280,'①在庫を貼る'!$W$6:$W$10005,0)),IFERROR(INDEX('月1回_1ヶ月前の在庫'!$J$6:$J$10005,MATCH($C280,'月1回_1ヶ月前の在庫'!$W$6:$W$10005,0)),IFERROR(INDEX('月1回_2ヶ月前の在庫'!$J$6:$J$10005,MATCH($C280,'月1回_2ヶ月前の在庫'!$W$6:$W$10005,0)),"")))))</f>
        <v/>
      </c>
      <c r="E280">
        <f>IF($C280="","",IFERROR(IF(INDEX('商品マスタ'!$D$6:$D$1005,MATCH($C280,'商品マスタ'!$B$6:$B$1005,0))="",IFERROR(INDEX('①在庫を貼る'!$H$6:$H$10005,MATCH($C280,'①在庫を貼る'!$W$6:$W$10005,0)),IFERROR(INDEX('月1回_1ヶ月前の在庫'!$H$6:$H$10005,MATCH($C280,'月1回_1ヶ月前の在庫'!$W$6:$W$10005,0)),IFERROR(INDEX('月1回_2ヶ月前の在庫'!$H$6:$H$10005,MATCH($C280,'月1回_2ヶ月前の在庫'!$W$6:$W$10005,0)),""))),INDEX('商品マスタ'!$D$6:$D$1005,MATCH($C280,'商品マスタ'!$B$6:$B$1005,0))),IFERROR(INDEX('①在庫を貼る'!$H$6:$H$10005,MATCH($C280,'①在庫を貼る'!$W$6:$W$10005,0)),IFERROR(INDEX('月1回_1ヶ月前の在庫'!$H$6:$H$10005,MATCH($C280,'月1回_1ヶ月前の在庫'!$W$6:$W$10005,0)),IFERROR(INDEX('月1回_2ヶ月前の在庫'!$H$6:$H$10005,MATCH($C280,'月1回_2ヶ月前の在庫'!$W$6:$W$10005,0)),"")))))</f>
        <v/>
      </c>
      <c r="F280">
        <f>IF($C280="","",IFERROR(IF(INDEX('商品マスタ'!$E$6:$E$1005,MATCH($C280,'商品マスタ'!$B$6:$B$1005,0))="",IFERROR(INDEX('①在庫を貼る'!$E$6:$E$10005,MATCH($C280,'①在庫を貼る'!$W$6:$W$10005,0)),IFERROR(INDEX('月1回_1ヶ月前の在庫'!$E$6:$E$10005,MATCH($C280,'月1回_1ヶ月前の在庫'!$W$6:$W$10005,0)),IFERROR(INDEX('月1回_2ヶ月前の在庫'!$E$6:$E$10005,MATCH($C280,'月1回_2ヶ月前の在庫'!$W$6:$W$10005,0)),""))),INDEX('商品マスタ'!$E$6:$E$1005,MATCH($C280,'商品マスタ'!$B$6:$B$1005,0))),IFERROR(INDEX('①在庫を貼る'!$E$6:$E$10005,MATCH($C280,'①在庫を貼る'!$W$6:$W$10005,0)),IFERROR(INDEX('月1回_1ヶ月前の在庫'!$E$6:$E$10005,MATCH($C280,'月1回_1ヶ月前の在庫'!$W$6:$W$10005,0)),IFERROR(INDEX('月1回_2ヶ月前の在庫'!$E$6:$E$10005,MATCH($C280,'月1回_2ヶ月前の在庫'!$W$6:$W$10005,0)),"")))))</f>
        <v/>
      </c>
      <c r="G280">
        <f>IF($C280="","",MAX(1,N(IFERROR(IF(INDEX('商品マスタ'!$F$6:$F$1005,MATCH($C280,'商品マスタ'!$B$6:$B$1005,0))="",IF(COUNTIFS('①在庫を貼る'!$V$6:$V$10005,'設定'!$C$4,'①在庫を貼る'!$W$6:$W$10005,$C280)&gt;0,SUMIFS('①在庫を貼る'!$K$6:$K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K$6:$K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K$6:$K$10005,'月1回_2ヶ月前の在庫'!$V$6:$V$10005,'設定'!$C$4,'月1回_2ヶ月前の在庫'!$W$6:$W$10005,$C280)/COUNTIFS('月1回_2ヶ月前の在庫'!$V$6:$V$10005,'設定'!$C$4,'月1回_2ヶ月前の在庫'!$W$6:$W$10005,$C280),0))),INDEX('商品マスタ'!$F$6:$F$1005,MATCH($C280,'商品マスタ'!$B$6:$B$1005,0))),IF(COUNTIFS('①在庫を貼る'!$V$6:$V$10005,'設定'!$C$4,'①在庫を貼る'!$W$6:$W$10005,$C280)&gt;0,SUMIFS('①在庫を貼る'!$K$6:$K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K$6:$K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K$6:$K$10005,'月1回_2ヶ月前の在庫'!$V$6:$V$10005,'設定'!$C$4,'月1回_2ヶ月前の在庫'!$W$6:$W$10005,$C280)/COUNTIFS('月1回_2ヶ月前の在庫'!$V$6:$V$10005,'設定'!$C$4,'月1回_2ヶ月前の在庫'!$W$6:$W$10005,$C280),0)))))))</f>
        <v/>
      </c>
      <c r="H280">
        <f>IF($C280="","",N(IFERROR(IF(INDEX('商品マスタ'!$G$6:$G$1005,MATCH($C280,'商品マスタ'!$B$6:$B$1005,0))="",IF(COUNTIFS('①在庫を貼る'!$V$6:$V$10005,'設定'!$C$4,'①在庫を貼る'!$W$6:$W$10005,$C280)&gt;0,SUMIFS('①在庫を貼る'!$Q$6:$Q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Q$6:$Q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Q$6:$Q$10005,'月1回_2ヶ月前の在庫'!$V$6:$V$10005,'設定'!$C$4,'月1回_2ヶ月前の在庫'!$W$6:$W$10005,$C280)/COUNTIFS('月1回_2ヶ月前の在庫'!$V$6:$V$10005,'設定'!$C$4,'月1回_2ヶ月前の在庫'!$W$6:$W$10005,$C280),0))),INDEX('商品マスタ'!$G$6:$G$1005,MATCH($C280,'商品マスタ'!$B$6:$B$1005,0))),IF(COUNTIFS('①在庫を貼る'!$V$6:$V$10005,'設定'!$C$4,'①在庫を貼る'!$W$6:$W$10005,$C280)&gt;0,SUMIFS('①在庫を貼る'!$Q$6:$Q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Q$6:$Q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Q$6:$Q$10005,'月1回_2ヶ月前の在庫'!$V$6:$V$10005,'設定'!$C$4,'月1回_2ヶ月前の在庫'!$W$6:$W$10005,$C280)/COUNTIFS('月1回_2ヶ月前の在庫'!$V$6:$V$10005,'設定'!$C$4,'月1回_2ヶ月前の在庫'!$W$6:$W$10005,$C280),0))))))</f>
        <v/>
      </c>
      <c r="I280">
        <f>IF($C280="","",IF(COUNTIFS('①在庫を貼る'!$V$6:$V$10005,'設定'!$C$4,'①在庫を貼る'!$W$6:$W$10005,$C280)=0,"",SUMIFS('①在庫を貼る'!$N$6:$N$10005,'①在庫を貼る'!$V$6:$V$10005,'設定'!$C$4,'①在庫を貼る'!$W$6:$W$10005,$C280)))</f>
        <v/>
      </c>
      <c r="J280">
        <f>IF($C280="","",IF('②発注する'!$AD284="","",'②発注する'!$AD284))</f>
        <v/>
      </c>
      <c r="K280" s="90">
        <f>IF($C280="","",IF('②発注する'!$AE284="","",'②発注する'!$AE284))</f>
        <v/>
      </c>
      <c r="L280">
        <f>IF($C280="","",IF(AND(ISNUMBER($J280),ISNUMBER($K280),$K280&gt;='設定'!$C$6),$J280,N($I280)))</f>
        <v/>
      </c>
      <c r="M280">
        <f>IF($C280="","",IFERROR(IF(N(INDEX('商品マスタ'!$J$6:$J$1005,MATCH($C280,'商品マスタ'!$B$6:$B$1005,0)))&gt;0,INDEX('商品マスタ'!$J$6:$J$1005,MATCH($C280,'商品マスタ'!$B$6:$B$1005,0)),""),""))</f>
        <v/>
      </c>
      <c r="N280">
        <f>IF($C280="","",IFERROR(IF(N(INDEX('商品マスタ'!$H$6:$H$1005,MATCH($C280,'商品マスタ'!$B$6:$B$1005,0)))&gt;0,INDEX('商品マスタ'!$H$6:$H$1005,MATCH($C280,'商品マスタ'!$B$6:$B$1005,0)),""),""))</f>
        <v/>
      </c>
      <c r="O280">
        <f>IF($C280="","",IF($N280&lt;&gt;"",$N280*$G280,IF(N(IF(COUNTIFS('①在庫を貼る'!$V$6:$V$10005,'設定'!$C$4,'①在庫を貼る'!$W$6:$W$10005,$C280)&gt;0,SUMIFS('①在庫を貼る'!$O$6:$O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O$6:$O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O$6:$O$10005,'月1回_2ヶ月前の在庫'!$V$6:$V$10005,'設定'!$C$4,'月1回_2ヶ月前の在庫'!$W$6:$W$10005,$C280)/COUNTIFS('月1回_2ヶ月前の在庫'!$V$6:$V$10005,'設定'!$C$4,'月1回_2ヶ月前の在庫'!$W$6:$W$10005,$C280),0))))&gt;0,N(IF(COUNTIFS('①在庫を貼る'!$V$6:$V$10005,'設定'!$C$4,'①在庫を貼る'!$W$6:$W$10005,$C280)&gt;0,SUMIFS('①在庫を貼る'!$O$6:$O$10005,'①在庫を貼る'!$V$6:$V$10005,'設定'!$C$4,'①在庫を貼る'!$W$6:$W$10005,$C280)/COUNTIFS('①在庫を貼る'!$V$6:$V$10005,'設定'!$C$4,'①在庫を貼る'!$W$6:$W$10005,$C280),IF(COUNTIFS('月1回_1ヶ月前の在庫'!$V$6:$V$10005,'設定'!$C$4,'月1回_1ヶ月前の在庫'!$W$6:$W$10005,$C280)&gt;0,SUMIFS('月1回_1ヶ月前の在庫'!$O$6:$O$10005,'月1回_1ヶ月前の在庫'!$V$6:$V$10005,'設定'!$C$4,'月1回_1ヶ月前の在庫'!$W$6:$W$10005,$C280)/COUNTIFS('月1回_1ヶ月前の在庫'!$V$6:$V$10005,'設定'!$C$4,'月1回_1ヶ月前の在庫'!$W$6:$W$10005,$C280),IF(COUNTIFS('月1回_2ヶ月前の在庫'!$V$6:$V$10005,'設定'!$C$4,'月1回_2ヶ月前の在庫'!$W$6:$W$10005,$C280)&gt;0,SUMIFS('月1回_2ヶ月前の在庫'!$O$6:$O$10005,'月1回_2ヶ月前の在庫'!$V$6:$V$10005,'設定'!$C$4,'月1回_2ヶ月前の在庫'!$W$6:$W$10005,$C280)/COUNTIFS('月1回_2ヶ月前の在庫'!$V$6:$V$10005,'設定'!$C$4,'月1回_2ヶ月前の在庫'!$W$6:$W$10005,$C280),0)))),"")))</f>
        <v/>
      </c>
      <c r="P280" s="90">
        <f>IF($C280="","",IF('②発注する'!$I284="","",'②発注する'!$I284))</f>
        <v/>
      </c>
      <c r="Q280">
        <f>IF($C280="","",IF('②発注する'!$J284="","",'②発注する'!$J284))</f>
        <v/>
      </c>
      <c r="R280">
        <f>IF($C280="",0,IF(AND(ISNUMBER($P280),ISNUMBER($Q280)),MAX(0,$Q280)*$G280,0))</f>
        <v/>
      </c>
      <c r="S280" s="90">
        <f>IF($C280="","",IF('②発注する'!$M284="","",'②発注する'!$M284))</f>
        <v/>
      </c>
      <c r="T280">
        <f>IF($C280="","",IF('②発注する'!$N284="","",'②発注する'!$N284))</f>
        <v/>
      </c>
      <c r="U280">
        <f>IF($C280="",0,IF(AND(ISNUMBER($S280),ISNUMBER($T280)),MAX(0,$T280)*$G280,0))</f>
        <v/>
      </c>
      <c r="V280">
        <f>IF($C280="",0,IF($M280="",0,MAX(0,$M280)*MAX(0,V$4)/100))</f>
        <v/>
      </c>
      <c r="W280">
        <f>IF($C280="",0,IF($M280="",0,MAX(0,$M280)*MAX(0,W$4)/100))</f>
        <v/>
      </c>
      <c r="X280">
        <f>IF($C280="",0,IF($M280="",0,MAX(0,$M280)*MAX(0,X$4)/100))</f>
        <v/>
      </c>
      <c r="Y280">
        <f>IF($C280="",0,IF($M280="",0,MAX(0,$M280)*MAX(0,Y$4)/100))</f>
        <v/>
      </c>
      <c r="Z280">
        <f>IF($C280="",0,IF($M280="",0,MAX(0,$M280)*MAX(0,Z$4)/100))</f>
        <v/>
      </c>
      <c r="AA280">
        <f>IF($C280="",0,IF($M280="",0,MAX(0,$M280)*MAX(0,AA$4)/100))</f>
        <v/>
      </c>
      <c r="AB280">
        <f>IF($C280="",0,IF($M280="",0,MAX(0,$M280)*MAX(0,AB$4)/100))</f>
        <v/>
      </c>
      <c r="AC280">
        <f>IF($C280="",0,IF($M280="",0,MAX(0,$M280)*MAX(0,AC$4)/100))</f>
        <v/>
      </c>
      <c r="AD280">
        <f>IF($C280="",0,IF($M280="",0,MAX(0,$M280)*MAX(0,AD$4)/100))</f>
        <v/>
      </c>
      <c r="AE280">
        <f>IF($C280="",0,IF($M280="",0,MAX(0,$M280)*MAX(0,AE$4)/100))</f>
        <v/>
      </c>
      <c r="AF280">
        <f>IF($C280="",0,IF($M280="",0,MAX(0,$M280)*MAX(0,AF$4)/100))</f>
        <v/>
      </c>
      <c r="AG280">
        <f>IF($C280="",0,IF($M280="",0,MAX(0,$M280)*MAX(0,AG$4)/100))</f>
        <v/>
      </c>
      <c r="AH280">
        <f>IF($C280="",0,IF($M280="",0,MAX(0,$M280)*MAX(0,AH$4)/100))</f>
        <v/>
      </c>
      <c r="AI280">
        <f>IF($C280="",0,IF($M280="",0,MAX(0,$M280)*MAX(0,AI$4)/100))</f>
        <v/>
      </c>
      <c r="AJ280">
        <f>IF($C280="",0,MAX(0,MAX(0,N($L280))-$V280))</f>
        <v/>
      </c>
      <c r="AK280">
        <f>IF($C280="",0,MAX(0,$AJ280-$W280))</f>
        <v/>
      </c>
      <c r="AL280">
        <f>IF($C280="",0,MAX(0,$AK280-$X280))</f>
        <v/>
      </c>
      <c r="AM280">
        <f>IF($C280="",0,MAX(0,$AL280-$Y280))</f>
        <v/>
      </c>
      <c r="AN280">
        <f>IF($C280="",0,MAX(0,$AM280-$Z280))</f>
        <v/>
      </c>
      <c r="AO280">
        <f>IF($C280="",0,MAX(0,$AN280-$AA280))</f>
        <v/>
      </c>
      <c r="AP280">
        <f>IF($C280="",0,MAX(0,$AO280-$AB280))</f>
        <v/>
      </c>
      <c r="AQ280">
        <f>IF($C280="",0,MAX(0,$AP280-$AC280))</f>
        <v/>
      </c>
      <c r="AR280">
        <f>IF($C280="",0,MAX(0,$AQ280-$AD280))</f>
        <v/>
      </c>
      <c r="AS280">
        <f>IF($C280="",0,MAX(0,$AR280-$AE280))</f>
        <v/>
      </c>
      <c r="AT280">
        <f>IF($C280="",0,MAX(0,$AS280-$AF280))</f>
        <v/>
      </c>
      <c r="AU280">
        <f>IF($C280="",0,MAX(0,$AT280-$AG280))</f>
        <v/>
      </c>
      <c r="AV280">
        <f>IF($C280="",0,MAX(0,$AU280-$AH280))</f>
        <v/>
      </c>
      <c r="AW280">
        <f>IF($C280="",0,MAX(0,$AV280-$AI280))</f>
        <v/>
      </c>
      <c r="AX280">
        <f>IF($C280="",0,MAX(0,MAX(0,N($L280))+IF($P280=V$3,$R280,0)+IF($S280=V$3,$U280,0)-$V280))</f>
        <v/>
      </c>
      <c r="AY280">
        <f>IF($C280="",0,MAX(0,$AX280+IF($P280=W$3,$R280,0)+IF($S280=W$3,$U280,0)-$W280))</f>
        <v/>
      </c>
      <c r="AZ280">
        <f>IF($C280="",0,MAX(0,$AY280+IF($P280=X$3,$R280,0)+IF($S280=X$3,$U280,0)-$X280))</f>
        <v/>
      </c>
      <c r="BA280">
        <f>IF($C280="",0,MAX(0,$AZ280+IF($P280=Y$3,$R280,0)+IF($S280=Y$3,$U280,0)-$Y280))</f>
        <v/>
      </c>
      <c r="BB280">
        <f>IF($C280="",0,MAX(0,$BA280+IF($P280=Z$3,$R280,0)+IF($S280=Z$3,$U280,0)-$Z280))</f>
        <v/>
      </c>
      <c r="BC280">
        <f>IF($C280="",0,MAX(0,$BB280+IF($P280=AA$3,$R280,0)+IF($S280=AA$3,$U280,0)-$AA280))</f>
        <v/>
      </c>
      <c r="BD280">
        <f>IF($C280="",0,MAX(0,$BC280+IF($P280=AB$3,$R280,0)+IF($S280=AB$3,$U280,0)-$AB280))</f>
        <v/>
      </c>
      <c r="BE280">
        <f>IF($C280="",0,MAX(0,$BD280+IF($P280=AC$3,$R280,0)+IF($S280=AC$3,$U280,0)-$AC280))</f>
        <v/>
      </c>
      <c r="BF280">
        <f>IF($C280="",0,MAX(0,$BE280+IF($P280=AD$3,$R280,0)+IF($S280=AD$3,$U280,0)-$AD280))</f>
        <v/>
      </c>
      <c r="BG280">
        <f>IF($C280="",0,MAX(0,$BF280+IF($P280=AE$3,$R280,0)+IF($S280=AE$3,$U280,0)-$AE280))</f>
        <v/>
      </c>
      <c r="BH280">
        <f>IF($C280="",0,MAX(0,$BG280+IF($P280=AF$3,$R280,0)+IF($S280=AF$3,$U280,0)-$AF280))</f>
        <v/>
      </c>
      <c r="BI280">
        <f>IF($C280="",0,MAX(0,$BH280+IF($P280=AG$3,$R280,0)+IF($S280=AG$3,$U280,0)-$AG280))</f>
        <v/>
      </c>
      <c r="BJ280">
        <f>IF($C280="",0,MAX(0,$BI280+IF($P280=AH$3,$R280,0)+IF($S280=AH$3,$U280,0)-$AH280))</f>
        <v/>
      </c>
      <c r="BK280">
        <f>IF($C280="",0,MAX(0,$BJ280+IF($P280=AI$3,$R280,0)+IF($S280=AI$3,$U280,0)-$AI280))</f>
        <v/>
      </c>
      <c r="BL280">
        <f>IF($C280="",99,IF(AND($AX280&lt;1,V$3&gt;=MAX(N($P280),N($S280))),0,99))</f>
        <v/>
      </c>
      <c r="BM280">
        <f>IF($C280="",99,IF(AND($AY280&lt;1,W$3&gt;=MAX(N($P280),N($S280))),1,99))</f>
        <v/>
      </c>
      <c r="BN280">
        <f>IF($C280="",99,IF(AND($AZ280&lt;1,X$3&gt;=MAX(N($P280),N($S280))),2,99))</f>
        <v/>
      </c>
      <c r="BO280">
        <f>IF($C280="",99,IF(AND($BA280&lt;1,Y$3&gt;=MAX(N($P280),N($S280))),3,99))</f>
        <v/>
      </c>
      <c r="BP280">
        <f>IF($C280="",99,IF(AND($BB280&lt;1,Z$3&gt;=MAX(N($P280),N($S280))),4,99))</f>
        <v/>
      </c>
      <c r="BQ280">
        <f>IF($C280="",99,IF(AND($BC280&lt;1,AA$3&gt;=MAX(N($P280),N($S280))),5,99))</f>
        <v/>
      </c>
      <c r="BR280">
        <f>IF($C280="",99,IF(AND($BD280&lt;1,AB$3&gt;=MAX(N($P280),N($S280))),6,99))</f>
        <v/>
      </c>
      <c r="BS280">
        <f>IF($C280="",99,IF(AND($BE280&lt;1,AC$3&gt;=MAX(N($P280),N($S280))),7,99))</f>
        <v/>
      </c>
      <c r="BT280">
        <f>IF($C280="",99,IF(AND($BF280&lt;1,AD$3&gt;=MAX(N($P280),N($S280))),8,99))</f>
        <v/>
      </c>
      <c r="BU280">
        <f>IF($C280="",99,IF(AND($BG280&lt;1,AE$3&gt;=MAX(N($P280),N($S280))),9,99))</f>
        <v/>
      </c>
      <c r="BV280">
        <f>IF($C280="",99,IF(AND($BH280&lt;1,AF$3&gt;=MAX(N($P280),N($S280))),10,99))</f>
        <v/>
      </c>
      <c r="BW280">
        <f>IF($C280="",99,IF(AND($BI280&lt;1,AG$3&gt;=MAX(N($P280),N($S280))),11,99))</f>
        <v/>
      </c>
      <c r="BX280">
        <f>IF($C280="",99,IF(AND($BJ280&lt;1,AH$3&gt;=MAX(N($P280),N($S280))),12,99))</f>
        <v/>
      </c>
      <c r="BY280">
        <f>IF($C280="",99,IF(AND($BK280&lt;1,AI$3&gt;=MAX(N($P280),N($S280))),13,99))</f>
        <v/>
      </c>
      <c r="BZ280">
        <f>IF(OR($C280="",$M280=""),"",COUNTIF($AJ280:$AW280,"&gt;=1"))</f>
        <v/>
      </c>
      <c r="CA280" s="90">
        <f>IF($BZ280="","",IF($BZ280&gt;=14,"",'設定'!$C$6+$BZ280))</f>
        <v/>
      </c>
      <c r="CB280">
        <f>IF(OR($C280="",$M280=""),"",MIN($BL280:$BY280))</f>
        <v/>
      </c>
      <c r="CC280" s="90">
        <f>IF($CB280="","",IF($CB280&gt;=99,"",'設定'!$C$6+$CB280))</f>
        <v/>
      </c>
      <c r="CD280">
        <f>IF(OR($C280="",$M280=""),"",AVERAGE($V280:$AI280))</f>
        <v/>
      </c>
      <c r="CE280">
        <f>IF($C280="","",IFERROR(IF(MATCH(IF(ISNUMBER($P280),$P280,'設定'!$C$6+N('設定'!$C$7)),$V$3:$AI$3,0)=1,MAX(0,N($L280)),INDEX($AJ280:$AW280,MATCH(IF(ISNUMBER($P280),$P280,'設定'!$C$6+N('設定'!$C$7)),$V$3:$AI$3,0)-1)),""))</f>
        <v/>
      </c>
      <c r="CF280">
        <f>IF(OR($C280="",$O280="",$CE280=""),"",IF($O280-$CE280&lt;=0,0,ROUNDUP(($O280-$CE280)/$G280,0)))</f>
        <v/>
      </c>
      <c r="CG280">
        <f>IF(OR($C280="",$CF280="",NOT(ISNUMBER($Q280))),0,MAX(0,$Q280-$CF280))</f>
        <v/>
      </c>
      <c r="CH280">
        <f>IF(OR($C280="",$O280="",$U280=0),0,IFERROR(ROUNDUP(MAX(0,IF(MATCH($S280,$V$3:$AI$3,0)=1,MAX(0,N($L280)),INDEX($AX280:$BK280,MATCH($S280,$V$3:$AI$3,0)-1))+$U280-$O280)/$G280,0),0))</f>
        <v/>
      </c>
      <c r="CI280">
        <f>IF($C280="","",IF(AND($P280="",$Q280=""),"",IF($P280="","⚠ 入庫日を ▼ から選んでください",IF(NOT(ISNUMBER($P280)),"⚠ 入庫日は ▼ から選んでください",IF($P280&lt;N('設定'!$C$6),"⚠ 入庫日が過去です（もう在庫に入っています）→ 消してください",IF($P280&gt;N('設定'!$C$6)+13,"⚠ 入庫日が14日より先です",IF(N($Q280)&lt;=0,"⚠ 入庫数を入れてください",IF($CG280&gt;0,"⚠ 目安より "&amp;$CG280&amp;" 多い（定数を超える）→ 減らす",""))))))))</f>
        <v/>
      </c>
      <c r="CJ280">
        <f>IF($C280="","",IF(AND($S280="",$T280=""),"",IF($S280="","⚠ 2便目：入庫日を ▼ から選んでください",IF(NOT(ISNUMBER($S280)),"⚠ 2便目：入庫日は ▼ から選んでください",IF($S280&lt;N('設定'!$C$6),"⚠ 2便目：入庫日が過去です（もう在庫に入っています）→ 消してください",IF($S280&gt;N('設定'!$C$6)+13,"⚠ 2便目：入庫日が14日より先です",IF(N($T280)&lt;=0,"⚠ 2便目：入庫数を入れてください",IF($CH280&gt;0,"⚠ 2便目：定数を "&amp;$CH280&amp;" ケース超える → 減らす",""))))))))</f>
        <v/>
      </c>
      <c r="CK280">
        <f>IF(AND($CI280="",N($Q280)&gt;0,ISNUMBER($P280)),1,0)</f>
        <v/>
      </c>
      <c r="CL280">
        <f>IF(AND($CJ280="",N($T280)&gt;0,ISNUMBER($S280)),1,0)</f>
        <v/>
      </c>
      <c r="CM280">
        <f>IF(OR($CK280=1,$CL280=1),1,0)</f>
        <v/>
      </c>
      <c r="CN280">
        <f>IF($C280="",0,($CK280*$R280+$CL280*$U280)*N($H280))</f>
        <v/>
      </c>
      <c r="CO280">
        <f>IF($C280="","",IF($CC280="","入庫後は 14日以上もつ",IF($CC280-N('設定'!$C$7)&lt;='設定'!$C$6,"入庫後も "&amp;TEXT($CC280,"m/d")&amp;"("&amp;CHOOSE(WEEKDAY($CC280),"日","月","火","水","木","金","土")&amp;")"&amp;" に切れる　もう1便を至急発注","入庫後も "&amp;TEXT($CC280,"m/d")&amp;"("&amp;CHOOSE(WEEKDAY($CC280),"日","月","火","水","木","金","土")&amp;")"&amp;" に切れる　"&amp;TEXT($CC280-N('設定'!$C$7),"m/d")&amp;"("&amp;CHOOSE(WEEKDAY($CC280-N('設定'!$C$7)),"日","月","火","水","木","金","土")&amp;")"&amp;" までに次を発注")))</f>
        <v/>
      </c>
      <c r="CP280">
        <f>IF($C280="","",IF('設定'!$C$6="","？ ①在庫を貼る に今日のCSVが貼られていない",IF($CS280=1,"－ 今日のCSVに無い（終売？）",IF($L280&lt;0,"● 在庫がマイナス　数えて「数えた在庫」に入れる",IF($L280=0,"● 在庫なし　至急発注",IF($M280="","？ 減り数が未設定（商品マスタ）",IF($B$3=0,"？ 動員が未入力（動員を入れる）",IF($CA280="","○ 14日以上もつ",IF($BZ280&lt;N('設定'!$C$7),"● "&amp;TEXT($CA280,"m/d")&amp;"("&amp;CHOOSE(WEEKDAY($CA280),"日","月","火","水","木","金","土")&amp;")"&amp;" に切れる　至急発注",IF($BZ280=N('設定'!$C$7),"● "&amp;TEXT($CA280,"m/d")&amp;"("&amp;CHOOSE(WEEKDAY($CA280),"日","月","火","水","木","金","土")&amp;")"&amp;" に切れる　今日発注","△ "&amp;TEXT($CA280,"m/d")&amp;"("&amp;CHOOSE(WEEKDAY($CA280),"日","月","火","水","木","金","土")&amp;")"&amp;" に切れる　"&amp;TEXT($CA280-N('設定'!$C$7),"m/d")&amp;"("&amp;CHOOSE(WEEKDAY($CA280-N('設定'!$C$7)),"日","月","火","水","木","金","土")&amp;")"&amp;" までに発注"))))))))))</f>
        <v/>
      </c>
      <c r="CQ280">
        <f>IF($C280="","",IF(AND($P280="",$Q280="",$S280="",$T280=""),"",IF(AND($P280="",$Q280=""),"⚠ 先に1便目（左の入庫日・入庫数）に入れてください",IF($CI280&lt;&gt;"",$CI280,IF($CJ280&lt;&gt;"",$CJ280,IF($M280="","？ 減り数が未設定（発注書には載ります）",IF($B$3=0,"？ 動員が未入力（発注書には載ります）",IF(AND($CA280&lt;&gt;"",$P280&gt;$CA280),IF($P280&gt;'設定'!$C$6+N('設定'!$C$7),"● "&amp;TEXT($P280,"m/d")&amp;"("&amp;CHOOSE(WEEKDAY($P280),"日","月","火","水","木","金","土")&amp;")"&amp;" の入庫では間に合わない（"&amp;TEXT($CA280,"m/d")&amp;"("&amp;CHOOSE(WEEKDAY($CA280),"日","月","火","水","木","金","土")&amp;")"&amp;" に切れる）　入庫日を早める","△ 欠品 "&amp;TEXT($CA280,"m/d")&amp;"("&amp;CHOOSE(WEEKDAY($CA280),"日","月","火","水","木","金","土")&amp;")"&amp;"〜"&amp;TEXT($P280-1,"m/d")&amp;"("&amp;CHOOSE(WEEKDAY($P280-1),"日","月","火","水","木","金","土")&amp;")"&amp;"　"&amp;$CO280),IF($CC280="","○ "&amp;TEXT($P280,"m/d")&amp;"("&amp;CHOOSE(WEEKDAY($P280),"日","月","火","水","木","金","土")&amp;")"&amp;" 入庫で 14日以上もつ",IF($CC280-N('設定'!$C$7)&lt;='設定'!$C$6,"● 入庫しても "&amp;TEXT($CC280,"m/d")&amp;"("&amp;CHOOSE(WEEKDAY($CC280),"日","月","火","水","木","金","土")&amp;")"&amp;" に切れる　もう1便を至急発注（2便目に入れる）","△ 入庫しても "&amp;TEXT($CC280,"m/d")&amp;"("&amp;CHOOSE(WEEKDAY($CC280),"日","月","火","水","木","金","土")&amp;")"&amp;" に切れる　"&amp;TEXT($CC280-N('設定'!$C$7),"m/d")&amp;"("&amp;CHOOSE(WEEKDAY($CC280-N('設定'!$C$7)),"日","月","火","水","木","金","土")&amp;")"&amp;" までに次を発注（2便目に入れる）"))))))))))</f>
        <v/>
      </c>
      <c r="CR280">
        <f>IF($C280="","",IF($G280&gt;1,"ｹｰｽ("&amp;$G280&amp;"入)","個"))</f>
        <v/>
      </c>
      <c r="CS280">
        <f>IF($C280="",0,IF(COUNTIFS('①在庫を貼る'!$V$6:$V$10005,'設定'!$C$4,'①在庫を貼る'!$W$6:$W$10005,$C280)=0,1,0))</f>
        <v/>
      </c>
      <c r="CT280">
        <f>IF(AND($CK280=1,OR('③発注書'!$C$4="すべて",'③発注書'!$C$4="",$F280='③発注書'!$C$4)),N($CT279)+1,N($CT279))</f>
        <v/>
      </c>
      <c r="CU280">
        <f>IF(AND($CL280=1,OR('③発注書'!$C$4="すべて",'③発注書'!$C$4="",$F280='③発注書'!$C$4)),N($CU279)+1,N($CU279))</f>
        <v/>
      </c>
      <c r="CV280">
        <f>IF($C280="",0,IF(COUNTIFS('①在庫を貼る'!$V$6:$V$10005,'設定'!$C$4,'①在庫を貼る'!$W$6:$W$10005,$C280)&gt;0,1,0))</f>
        <v/>
      </c>
      <c r="CW280">
        <f>IF($C280="",0,IF(COUNTIFS('月1回_1ヶ月前の在庫'!$V$6:$V$10005,'設定'!$C$4,'月1回_1ヶ月前の在庫'!$W$6:$W$10005,$C280)&gt;0,1,0))</f>
        <v/>
      </c>
      <c r="CX280">
        <f>IF($C280="",0,IF(COUNTIFS('月1回_2ヶ月前の在庫'!$V$6:$V$10005,'設定'!$C$4,'月1回_2ヶ月前の在庫'!$W$6:$W$10005,$C280)&gt;0,1,0))</f>
        <v/>
      </c>
      <c r="CY280">
        <f>IF(OR($C280="",'設定'!$C$12=""),"",IF('設定'!$C$13="",IF(AND($CV280=1,$CW280=0),"新商品（今月から）",IF(AND($CV280=0,$CW280=1),"終売（今月から）","")),IF(AND($CV280=1,$CW280=0,$CX280=0),"新商品（今月から）",IF(AND($CV280=1,$CW280=1,$CX280=0),"新商品（先月から）",IF(AND($CV280=0,$CW280=1,$CX280=1),"終売（今月から）",IF(AND($CV280=0,$CW280=0,$CX280=1),"終売（先月から）",IF(AND($CV280=1,$CW280=0,$CX280=1),"復活（先月は無し）","")))))))</f>
        <v/>
      </c>
    </row>
    <row r="281">
      <c r="B281">
        <f>IF(276&lt;='設定'!$C$11,276,"")</f>
        <v/>
      </c>
      <c r="C281">
        <f>IF($B281="","",IF($B281&lt;='設定'!$C$20,INDEX('商品マスタ'!$B$6:$B$1005,MATCH($B281,'商品マスタ'!$M$6:$M$1005,0)),IF($B281&lt;='設定'!$C$20+'設定'!$C$17,INDEX('①在庫を貼る'!$W$6:$W$10005,MATCH($B281-'設定'!$C$20,'①在庫を貼る'!$U$6:$U$10005,0)),IF($B281&lt;='設定'!$C$20+'設定'!$C$17+'設定'!$C$18,INDEX('月1回_1ヶ月前の在庫'!$W$6:$W$10005,MATCH($B281-'設定'!$C$20-'設定'!$C$17,'月1回_1ヶ月前の在庫'!$U$6:$U$10005,0)),INDEX('月1回_2ヶ月前の在庫'!$W$6:$W$10005,MATCH($B281-'設定'!$C$20-'設定'!$C$17-'設定'!$C$18,'月1回_2ヶ月前の在庫'!$U$6:$U$10005,0))))))</f>
        <v/>
      </c>
      <c r="D281">
        <f>IF($C281="","",IFERROR(IF(INDEX('商品マスタ'!$C$6:$C$1005,MATCH($C281,'商品マスタ'!$B$6:$B$1005,0))="",IFERROR(INDEX('①在庫を貼る'!$J$6:$J$10005,MATCH($C281,'①在庫を貼る'!$W$6:$W$10005,0)),IFERROR(INDEX('月1回_1ヶ月前の在庫'!$J$6:$J$10005,MATCH($C281,'月1回_1ヶ月前の在庫'!$W$6:$W$10005,0)),IFERROR(INDEX('月1回_2ヶ月前の在庫'!$J$6:$J$10005,MATCH($C281,'月1回_2ヶ月前の在庫'!$W$6:$W$10005,0)),""))),INDEX('商品マスタ'!$C$6:$C$1005,MATCH($C281,'商品マスタ'!$B$6:$B$1005,0))),IFERROR(INDEX('①在庫を貼る'!$J$6:$J$10005,MATCH($C281,'①在庫を貼る'!$W$6:$W$10005,0)),IFERROR(INDEX('月1回_1ヶ月前の在庫'!$J$6:$J$10005,MATCH($C281,'月1回_1ヶ月前の在庫'!$W$6:$W$10005,0)),IFERROR(INDEX('月1回_2ヶ月前の在庫'!$J$6:$J$10005,MATCH($C281,'月1回_2ヶ月前の在庫'!$W$6:$W$10005,0)),"")))))</f>
        <v/>
      </c>
      <c r="E281">
        <f>IF($C281="","",IFERROR(IF(INDEX('商品マスタ'!$D$6:$D$1005,MATCH($C281,'商品マスタ'!$B$6:$B$1005,0))="",IFERROR(INDEX('①在庫を貼る'!$H$6:$H$10005,MATCH($C281,'①在庫を貼る'!$W$6:$W$10005,0)),IFERROR(INDEX('月1回_1ヶ月前の在庫'!$H$6:$H$10005,MATCH($C281,'月1回_1ヶ月前の在庫'!$W$6:$W$10005,0)),IFERROR(INDEX('月1回_2ヶ月前の在庫'!$H$6:$H$10005,MATCH($C281,'月1回_2ヶ月前の在庫'!$W$6:$W$10005,0)),""))),INDEX('商品マスタ'!$D$6:$D$1005,MATCH($C281,'商品マスタ'!$B$6:$B$1005,0))),IFERROR(INDEX('①在庫を貼る'!$H$6:$H$10005,MATCH($C281,'①在庫を貼る'!$W$6:$W$10005,0)),IFERROR(INDEX('月1回_1ヶ月前の在庫'!$H$6:$H$10005,MATCH($C281,'月1回_1ヶ月前の在庫'!$W$6:$W$10005,0)),IFERROR(INDEX('月1回_2ヶ月前の在庫'!$H$6:$H$10005,MATCH($C281,'月1回_2ヶ月前の在庫'!$W$6:$W$10005,0)),"")))))</f>
        <v/>
      </c>
      <c r="F281">
        <f>IF($C281="","",IFERROR(IF(INDEX('商品マスタ'!$E$6:$E$1005,MATCH($C281,'商品マスタ'!$B$6:$B$1005,0))="",IFERROR(INDEX('①在庫を貼る'!$E$6:$E$10005,MATCH($C281,'①在庫を貼る'!$W$6:$W$10005,0)),IFERROR(INDEX('月1回_1ヶ月前の在庫'!$E$6:$E$10005,MATCH($C281,'月1回_1ヶ月前の在庫'!$W$6:$W$10005,0)),IFERROR(INDEX('月1回_2ヶ月前の在庫'!$E$6:$E$10005,MATCH($C281,'月1回_2ヶ月前の在庫'!$W$6:$W$10005,0)),""))),INDEX('商品マスタ'!$E$6:$E$1005,MATCH($C281,'商品マスタ'!$B$6:$B$1005,0))),IFERROR(INDEX('①在庫を貼る'!$E$6:$E$10005,MATCH($C281,'①在庫を貼る'!$W$6:$W$10005,0)),IFERROR(INDEX('月1回_1ヶ月前の在庫'!$E$6:$E$10005,MATCH($C281,'月1回_1ヶ月前の在庫'!$W$6:$W$10005,0)),IFERROR(INDEX('月1回_2ヶ月前の在庫'!$E$6:$E$10005,MATCH($C281,'月1回_2ヶ月前の在庫'!$W$6:$W$10005,0)),"")))))</f>
        <v/>
      </c>
      <c r="G281">
        <f>IF($C281="","",MAX(1,N(IFERROR(IF(INDEX('商品マスタ'!$F$6:$F$1005,MATCH($C281,'商品マスタ'!$B$6:$B$1005,0))="",IF(COUNTIFS('①在庫を貼る'!$V$6:$V$10005,'設定'!$C$4,'①在庫を貼る'!$W$6:$W$10005,$C281)&gt;0,SUMIFS('①在庫を貼る'!$K$6:$K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K$6:$K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K$6:$K$10005,'月1回_2ヶ月前の在庫'!$V$6:$V$10005,'設定'!$C$4,'月1回_2ヶ月前の在庫'!$W$6:$W$10005,$C281)/COUNTIFS('月1回_2ヶ月前の在庫'!$V$6:$V$10005,'設定'!$C$4,'月1回_2ヶ月前の在庫'!$W$6:$W$10005,$C281),0))),INDEX('商品マスタ'!$F$6:$F$1005,MATCH($C281,'商品マスタ'!$B$6:$B$1005,0))),IF(COUNTIFS('①在庫を貼る'!$V$6:$V$10005,'設定'!$C$4,'①在庫を貼る'!$W$6:$W$10005,$C281)&gt;0,SUMIFS('①在庫を貼る'!$K$6:$K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K$6:$K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K$6:$K$10005,'月1回_2ヶ月前の在庫'!$V$6:$V$10005,'設定'!$C$4,'月1回_2ヶ月前の在庫'!$W$6:$W$10005,$C281)/COUNTIFS('月1回_2ヶ月前の在庫'!$V$6:$V$10005,'設定'!$C$4,'月1回_2ヶ月前の在庫'!$W$6:$W$10005,$C281),0)))))))</f>
        <v/>
      </c>
      <c r="H281">
        <f>IF($C281="","",N(IFERROR(IF(INDEX('商品マスタ'!$G$6:$G$1005,MATCH($C281,'商品マスタ'!$B$6:$B$1005,0))="",IF(COUNTIFS('①在庫を貼る'!$V$6:$V$10005,'設定'!$C$4,'①在庫を貼る'!$W$6:$W$10005,$C281)&gt;0,SUMIFS('①在庫を貼る'!$Q$6:$Q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Q$6:$Q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Q$6:$Q$10005,'月1回_2ヶ月前の在庫'!$V$6:$V$10005,'設定'!$C$4,'月1回_2ヶ月前の在庫'!$W$6:$W$10005,$C281)/COUNTIFS('月1回_2ヶ月前の在庫'!$V$6:$V$10005,'設定'!$C$4,'月1回_2ヶ月前の在庫'!$W$6:$W$10005,$C281),0))),INDEX('商品マスタ'!$G$6:$G$1005,MATCH($C281,'商品マスタ'!$B$6:$B$1005,0))),IF(COUNTIFS('①在庫を貼る'!$V$6:$V$10005,'設定'!$C$4,'①在庫を貼る'!$W$6:$W$10005,$C281)&gt;0,SUMIFS('①在庫を貼る'!$Q$6:$Q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Q$6:$Q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Q$6:$Q$10005,'月1回_2ヶ月前の在庫'!$V$6:$V$10005,'設定'!$C$4,'月1回_2ヶ月前の在庫'!$W$6:$W$10005,$C281)/COUNTIFS('月1回_2ヶ月前の在庫'!$V$6:$V$10005,'設定'!$C$4,'月1回_2ヶ月前の在庫'!$W$6:$W$10005,$C281),0))))))</f>
        <v/>
      </c>
      <c r="I281">
        <f>IF($C281="","",IF(COUNTIFS('①在庫を貼る'!$V$6:$V$10005,'設定'!$C$4,'①在庫を貼る'!$W$6:$W$10005,$C281)=0,"",SUMIFS('①在庫を貼る'!$N$6:$N$10005,'①在庫を貼る'!$V$6:$V$10005,'設定'!$C$4,'①在庫を貼る'!$W$6:$W$10005,$C281)))</f>
        <v/>
      </c>
      <c r="J281">
        <f>IF($C281="","",IF('②発注する'!$AD285="","",'②発注する'!$AD285))</f>
        <v/>
      </c>
      <c r="K281" s="90">
        <f>IF($C281="","",IF('②発注する'!$AE285="","",'②発注する'!$AE285))</f>
        <v/>
      </c>
      <c r="L281">
        <f>IF($C281="","",IF(AND(ISNUMBER($J281),ISNUMBER($K281),$K281&gt;='設定'!$C$6),$J281,N($I281)))</f>
        <v/>
      </c>
      <c r="M281">
        <f>IF($C281="","",IFERROR(IF(N(INDEX('商品マスタ'!$J$6:$J$1005,MATCH($C281,'商品マスタ'!$B$6:$B$1005,0)))&gt;0,INDEX('商品マスタ'!$J$6:$J$1005,MATCH($C281,'商品マスタ'!$B$6:$B$1005,0)),""),""))</f>
        <v/>
      </c>
      <c r="N281">
        <f>IF($C281="","",IFERROR(IF(N(INDEX('商品マスタ'!$H$6:$H$1005,MATCH($C281,'商品マスタ'!$B$6:$B$1005,0)))&gt;0,INDEX('商品マスタ'!$H$6:$H$1005,MATCH($C281,'商品マスタ'!$B$6:$B$1005,0)),""),""))</f>
        <v/>
      </c>
      <c r="O281">
        <f>IF($C281="","",IF($N281&lt;&gt;"",$N281*$G281,IF(N(IF(COUNTIFS('①在庫を貼る'!$V$6:$V$10005,'設定'!$C$4,'①在庫を貼る'!$W$6:$W$10005,$C281)&gt;0,SUMIFS('①在庫を貼る'!$O$6:$O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O$6:$O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O$6:$O$10005,'月1回_2ヶ月前の在庫'!$V$6:$V$10005,'設定'!$C$4,'月1回_2ヶ月前の在庫'!$W$6:$W$10005,$C281)/COUNTIFS('月1回_2ヶ月前の在庫'!$V$6:$V$10005,'設定'!$C$4,'月1回_2ヶ月前の在庫'!$W$6:$W$10005,$C281),0))))&gt;0,N(IF(COUNTIFS('①在庫を貼る'!$V$6:$V$10005,'設定'!$C$4,'①在庫を貼る'!$W$6:$W$10005,$C281)&gt;0,SUMIFS('①在庫を貼る'!$O$6:$O$10005,'①在庫を貼る'!$V$6:$V$10005,'設定'!$C$4,'①在庫を貼る'!$W$6:$W$10005,$C281)/COUNTIFS('①在庫を貼る'!$V$6:$V$10005,'設定'!$C$4,'①在庫を貼る'!$W$6:$W$10005,$C281),IF(COUNTIFS('月1回_1ヶ月前の在庫'!$V$6:$V$10005,'設定'!$C$4,'月1回_1ヶ月前の在庫'!$W$6:$W$10005,$C281)&gt;0,SUMIFS('月1回_1ヶ月前の在庫'!$O$6:$O$10005,'月1回_1ヶ月前の在庫'!$V$6:$V$10005,'設定'!$C$4,'月1回_1ヶ月前の在庫'!$W$6:$W$10005,$C281)/COUNTIFS('月1回_1ヶ月前の在庫'!$V$6:$V$10005,'設定'!$C$4,'月1回_1ヶ月前の在庫'!$W$6:$W$10005,$C281),IF(COUNTIFS('月1回_2ヶ月前の在庫'!$V$6:$V$10005,'設定'!$C$4,'月1回_2ヶ月前の在庫'!$W$6:$W$10005,$C281)&gt;0,SUMIFS('月1回_2ヶ月前の在庫'!$O$6:$O$10005,'月1回_2ヶ月前の在庫'!$V$6:$V$10005,'設定'!$C$4,'月1回_2ヶ月前の在庫'!$W$6:$W$10005,$C281)/COUNTIFS('月1回_2ヶ月前の在庫'!$V$6:$V$10005,'設定'!$C$4,'月1回_2ヶ月前の在庫'!$W$6:$W$10005,$C281),0)))),"")))</f>
        <v/>
      </c>
      <c r="P281" s="90">
        <f>IF($C281="","",IF('②発注する'!$I285="","",'②発注する'!$I285))</f>
        <v/>
      </c>
      <c r="Q281">
        <f>IF($C281="","",IF('②発注する'!$J285="","",'②発注する'!$J285))</f>
        <v/>
      </c>
      <c r="R281">
        <f>IF($C281="",0,IF(AND(ISNUMBER($P281),ISNUMBER($Q281)),MAX(0,$Q281)*$G281,0))</f>
        <v/>
      </c>
      <c r="S281" s="90">
        <f>IF($C281="","",IF('②発注する'!$M285="","",'②発注する'!$M285))</f>
        <v/>
      </c>
      <c r="T281">
        <f>IF($C281="","",IF('②発注する'!$N285="","",'②発注する'!$N285))</f>
        <v/>
      </c>
      <c r="U281">
        <f>IF($C281="",0,IF(AND(ISNUMBER($S281),ISNUMBER($T281)),MAX(0,$T281)*$G281,0))</f>
        <v/>
      </c>
      <c r="V281">
        <f>IF($C281="",0,IF($M281="",0,MAX(0,$M281)*MAX(0,V$4)/100))</f>
        <v/>
      </c>
      <c r="W281">
        <f>IF($C281="",0,IF($M281="",0,MAX(0,$M281)*MAX(0,W$4)/100))</f>
        <v/>
      </c>
      <c r="X281">
        <f>IF($C281="",0,IF($M281="",0,MAX(0,$M281)*MAX(0,X$4)/100))</f>
        <v/>
      </c>
      <c r="Y281">
        <f>IF($C281="",0,IF($M281="",0,MAX(0,$M281)*MAX(0,Y$4)/100))</f>
        <v/>
      </c>
      <c r="Z281">
        <f>IF($C281="",0,IF($M281="",0,MAX(0,$M281)*MAX(0,Z$4)/100))</f>
        <v/>
      </c>
      <c r="AA281">
        <f>IF($C281="",0,IF($M281="",0,MAX(0,$M281)*MAX(0,AA$4)/100))</f>
        <v/>
      </c>
      <c r="AB281">
        <f>IF($C281="",0,IF($M281="",0,MAX(0,$M281)*MAX(0,AB$4)/100))</f>
        <v/>
      </c>
      <c r="AC281">
        <f>IF($C281="",0,IF($M281="",0,MAX(0,$M281)*MAX(0,AC$4)/100))</f>
        <v/>
      </c>
      <c r="AD281">
        <f>IF($C281="",0,IF($M281="",0,MAX(0,$M281)*MAX(0,AD$4)/100))</f>
        <v/>
      </c>
      <c r="AE281">
        <f>IF($C281="",0,IF($M281="",0,MAX(0,$M281)*MAX(0,AE$4)/100))</f>
        <v/>
      </c>
      <c r="AF281">
        <f>IF($C281="",0,IF($M281="",0,MAX(0,$M281)*MAX(0,AF$4)/100))</f>
        <v/>
      </c>
      <c r="AG281">
        <f>IF($C281="",0,IF($M281="",0,MAX(0,$M281)*MAX(0,AG$4)/100))</f>
        <v/>
      </c>
      <c r="AH281">
        <f>IF($C281="",0,IF($M281="",0,MAX(0,$M281)*MAX(0,AH$4)/100))</f>
        <v/>
      </c>
      <c r="AI281">
        <f>IF($C281="",0,IF($M281="",0,MAX(0,$M281)*MAX(0,AI$4)/100))</f>
        <v/>
      </c>
      <c r="AJ281">
        <f>IF($C281="",0,MAX(0,MAX(0,N($L281))-$V281))</f>
        <v/>
      </c>
      <c r="AK281">
        <f>IF($C281="",0,MAX(0,$AJ281-$W281))</f>
        <v/>
      </c>
      <c r="AL281">
        <f>IF($C281="",0,MAX(0,$AK281-$X281))</f>
        <v/>
      </c>
      <c r="AM281">
        <f>IF($C281="",0,MAX(0,$AL281-$Y281))</f>
        <v/>
      </c>
      <c r="AN281">
        <f>IF($C281="",0,MAX(0,$AM281-$Z281))</f>
        <v/>
      </c>
      <c r="AO281">
        <f>IF($C281="",0,MAX(0,$AN281-$AA281))</f>
        <v/>
      </c>
      <c r="AP281">
        <f>IF($C281="",0,MAX(0,$AO281-$AB281))</f>
        <v/>
      </c>
      <c r="AQ281">
        <f>IF($C281="",0,MAX(0,$AP281-$AC281))</f>
        <v/>
      </c>
      <c r="AR281">
        <f>IF($C281="",0,MAX(0,$AQ281-$AD281))</f>
        <v/>
      </c>
      <c r="AS281">
        <f>IF($C281="",0,MAX(0,$AR281-$AE281))</f>
        <v/>
      </c>
      <c r="AT281">
        <f>IF($C281="",0,MAX(0,$AS281-$AF281))</f>
        <v/>
      </c>
      <c r="AU281">
        <f>IF($C281="",0,MAX(0,$AT281-$AG281))</f>
        <v/>
      </c>
      <c r="AV281">
        <f>IF($C281="",0,MAX(0,$AU281-$AH281))</f>
        <v/>
      </c>
      <c r="AW281">
        <f>IF($C281="",0,MAX(0,$AV281-$AI281))</f>
        <v/>
      </c>
      <c r="AX281">
        <f>IF($C281="",0,MAX(0,MAX(0,N($L281))+IF($P281=V$3,$R281,0)+IF($S281=V$3,$U281,0)-$V281))</f>
        <v/>
      </c>
      <c r="AY281">
        <f>IF($C281="",0,MAX(0,$AX281+IF($P281=W$3,$R281,0)+IF($S281=W$3,$U281,0)-$W281))</f>
        <v/>
      </c>
      <c r="AZ281">
        <f>IF($C281="",0,MAX(0,$AY281+IF($P281=X$3,$R281,0)+IF($S281=X$3,$U281,0)-$X281))</f>
        <v/>
      </c>
      <c r="BA281">
        <f>IF($C281="",0,MAX(0,$AZ281+IF($P281=Y$3,$R281,0)+IF($S281=Y$3,$U281,0)-$Y281))</f>
        <v/>
      </c>
      <c r="BB281">
        <f>IF($C281="",0,MAX(0,$BA281+IF($P281=Z$3,$R281,0)+IF($S281=Z$3,$U281,0)-$Z281))</f>
        <v/>
      </c>
      <c r="BC281">
        <f>IF($C281="",0,MAX(0,$BB281+IF($P281=AA$3,$R281,0)+IF($S281=AA$3,$U281,0)-$AA281))</f>
        <v/>
      </c>
      <c r="BD281">
        <f>IF($C281="",0,MAX(0,$BC281+IF($P281=AB$3,$R281,0)+IF($S281=AB$3,$U281,0)-$AB281))</f>
        <v/>
      </c>
      <c r="BE281">
        <f>IF($C281="",0,MAX(0,$BD281+IF($P281=AC$3,$R281,0)+IF($S281=AC$3,$U281,0)-$AC281))</f>
        <v/>
      </c>
      <c r="BF281">
        <f>IF($C281="",0,MAX(0,$BE281+IF($P281=AD$3,$R281,0)+IF($S281=AD$3,$U281,0)-$AD281))</f>
        <v/>
      </c>
      <c r="BG281">
        <f>IF($C281="",0,MAX(0,$BF281+IF($P281=AE$3,$R281,0)+IF($S281=AE$3,$U281,0)-$AE281))</f>
        <v/>
      </c>
      <c r="BH281">
        <f>IF($C281="",0,MAX(0,$BG281+IF($P281=AF$3,$R281,0)+IF($S281=AF$3,$U281,0)-$AF281))</f>
        <v/>
      </c>
      <c r="BI281">
        <f>IF($C281="",0,MAX(0,$BH281+IF($P281=AG$3,$R281,0)+IF($S281=AG$3,$U281,0)-$AG281))</f>
        <v/>
      </c>
      <c r="BJ281">
        <f>IF($C281="",0,MAX(0,$BI281+IF($P281=AH$3,$R281,0)+IF($S281=AH$3,$U281,0)-$AH281))</f>
        <v/>
      </c>
      <c r="BK281">
        <f>IF($C281="",0,MAX(0,$BJ281+IF($P281=AI$3,$R281,0)+IF($S281=AI$3,$U281,0)-$AI281))</f>
        <v/>
      </c>
      <c r="BL281">
        <f>IF($C281="",99,IF(AND($AX281&lt;1,V$3&gt;=MAX(N($P281),N($S281))),0,99))</f>
        <v/>
      </c>
      <c r="BM281">
        <f>IF($C281="",99,IF(AND($AY281&lt;1,W$3&gt;=MAX(N($P281),N($S281))),1,99))</f>
        <v/>
      </c>
      <c r="BN281">
        <f>IF($C281="",99,IF(AND($AZ281&lt;1,X$3&gt;=MAX(N($P281),N($S281))),2,99))</f>
        <v/>
      </c>
      <c r="BO281">
        <f>IF($C281="",99,IF(AND($BA281&lt;1,Y$3&gt;=MAX(N($P281),N($S281))),3,99))</f>
        <v/>
      </c>
      <c r="BP281">
        <f>IF($C281="",99,IF(AND($BB281&lt;1,Z$3&gt;=MAX(N($P281),N($S281))),4,99))</f>
        <v/>
      </c>
      <c r="BQ281">
        <f>IF($C281="",99,IF(AND($BC281&lt;1,AA$3&gt;=MAX(N($P281),N($S281))),5,99))</f>
        <v/>
      </c>
      <c r="BR281">
        <f>IF($C281="",99,IF(AND($BD281&lt;1,AB$3&gt;=MAX(N($P281),N($S281))),6,99))</f>
        <v/>
      </c>
      <c r="BS281">
        <f>IF($C281="",99,IF(AND($BE281&lt;1,AC$3&gt;=MAX(N($P281),N($S281))),7,99))</f>
        <v/>
      </c>
      <c r="BT281">
        <f>IF($C281="",99,IF(AND($BF281&lt;1,AD$3&gt;=MAX(N($P281),N($S281))),8,99))</f>
        <v/>
      </c>
      <c r="BU281">
        <f>IF($C281="",99,IF(AND($BG281&lt;1,AE$3&gt;=MAX(N($P281),N($S281))),9,99))</f>
        <v/>
      </c>
      <c r="BV281">
        <f>IF($C281="",99,IF(AND($BH281&lt;1,AF$3&gt;=MAX(N($P281),N($S281))),10,99))</f>
        <v/>
      </c>
      <c r="BW281">
        <f>IF($C281="",99,IF(AND($BI281&lt;1,AG$3&gt;=MAX(N($P281),N($S281))),11,99))</f>
        <v/>
      </c>
      <c r="BX281">
        <f>IF($C281="",99,IF(AND($BJ281&lt;1,AH$3&gt;=MAX(N($P281),N($S281))),12,99))</f>
        <v/>
      </c>
      <c r="BY281">
        <f>IF($C281="",99,IF(AND($BK281&lt;1,AI$3&gt;=MAX(N($P281),N($S281))),13,99))</f>
        <v/>
      </c>
      <c r="BZ281">
        <f>IF(OR($C281="",$M281=""),"",COUNTIF($AJ281:$AW281,"&gt;=1"))</f>
        <v/>
      </c>
      <c r="CA281" s="90">
        <f>IF($BZ281="","",IF($BZ281&gt;=14,"",'設定'!$C$6+$BZ281))</f>
        <v/>
      </c>
      <c r="CB281">
        <f>IF(OR($C281="",$M281=""),"",MIN($BL281:$BY281))</f>
        <v/>
      </c>
      <c r="CC281" s="90">
        <f>IF($CB281="","",IF($CB281&gt;=99,"",'設定'!$C$6+$CB281))</f>
        <v/>
      </c>
      <c r="CD281">
        <f>IF(OR($C281="",$M281=""),"",AVERAGE($V281:$AI281))</f>
        <v/>
      </c>
      <c r="CE281">
        <f>IF($C281="","",IFERROR(IF(MATCH(IF(ISNUMBER($P281),$P281,'設定'!$C$6+N('設定'!$C$7)),$V$3:$AI$3,0)=1,MAX(0,N($L281)),INDEX($AJ281:$AW281,MATCH(IF(ISNUMBER($P281),$P281,'設定'!$C$6+N('設定'!$C$7)),$V$3:$AI$3,0)-1)),""))</f>
        <v/>
      </c>
      <c r="CF281">
        <f>IF(OR($C281="",$O281="",$CE281=""),"",IF($O281-$CE281&lt;=0,0,ROUNDUP(($O281-$CE281)/$G281,0)))</f>
        <v/>
      </c>
      <c r="CG281">
        <f>IF(OR($C281="",$CF281="",NOT(ISNUMBER($Q281))),0,MAX(0,$Q281-$CF281))</f>
        <v/>
      </c>
      <c r="CH281">
        <f>IF(OR($C281="",$O281="",$U281=0),0,IFERROR(ROUNDUP(MAX(0,IF(MATCH($S281,$V$3:$AI$3,0)=1,MAX(0,N($L281)),INDEX($AX281:$BK281,MATCH($S281,$V$3:$AI$3,0)-1))+$U281-$O281)/$G281,0),0))</f>
        <v/>
      </c>
      <c r="CI281">
        <f>IF($C281="","",IF(AND($P281="",$Q281=""),"",IF($P281="","⚠ 入庫日を ▼ から選んでください",IF(NOT(ISNUMBER($P281)),"⚠ 入庫日は ▼ から選んでください",IF($P281&lt;N('設定'!$C$6),"⚠ 入庫日が過去です（もう在庫に入っています）→ 消してください",IF($P281&gt;N('設定'!$C$6)+13,"⚠ 入庫日が14日より先です",IF(N($Q281)&lt;=0,"⚠ 入庫数を入れてください",IF($CG281&gt;0,"⚠ 目安より "&amp;$CG281&amp;" 多い（定数を超える）→ 減らす",""))))))))</f>
        <v/>
      </c>
      <c r="CJ281">
        <f>IF($C281="","",IF(AND($S281="",$T281=""),"",IF($S281="","⚠ 2便目：入庫日を ▼ から選んでください",IF(NOT(ISNUMBER($S281)),"⚠ 2便目：入庫日は ▼ から選んでください",IF($S281&lt;N('設定'!$C$6),"⚠ 2便目：入庫日が過去です（もう在庫に入っています）→ 消してください",IF($S281&gt;N('設定'!$C$6)+13,"⚠ 2便目：入庫日が14日より先です",IF(N($T281)&lt;=0,"⚠ 2便目：入庫数を入れてください",IF($CH281&gt;0,"⚠ 2便目：定数を "&amp;$CH281&amp;" ケース超える → 減らす",""))))))))</f>
        <v/>
      </c>
      <c r="CK281">
        <f>IF(AND($CI281="",N($Q281)&gt;0,ISNUMBER($P281)),1,0)</f>
        <v/>
      </c>
      <c r="CL281">
        <f>IF(AND($CJ281="",N($T281)&gt;0,ISNUMBER($S281)),1,0)</f>
        <v/>
      </c>
      <c r="CM281">
        <f>IF(OR($CK281=1,$CL281=1),1,0)</f>
        <v/>
      </c>
      <c r="CN281">
        <f>IF($C281="",0,($CK281*$R281+$CL281*$U281)*N($H281))</f>
        <v/>
      </c>
      <c r="CO281">
        <f>IF($C281="","",IF($CC281="","入庫後は 14日以上もつ",IF($CC281-N('設定'!$C$7)&lt;='設定'!$C$6,"入庫後も "&amp;TEXT($CC281,"m/d")&amp;"("&amp;CHOOSE(WEEKDAY($CC281),"日","月","火","水","木","金","土")&amp;")"&amp;" に切れる　もう1便を至急発注","入庫後も "&amp;TEXT($CC281,"m/d")&amp;"("&amp;CHOOSE(WEEKDAY($CC281),"日","月","火","水","木","金","土")&amp;")"&amp;" に切れる　"&amp;TEXT($CC281-N('設定'!$C$7),"m/d")&amp;"("&amp;CHOOSE(WEEKDAY($CC281-N('設定'!$C$7)),"日","月","火","水","木","金","土")&amp;")"&amp;" までに次を発注")))</f>
        <v/>
      </c>
      <c r="CP281">
        <f>IF($C281="","",IF('設定'!$C$6="","？ ①在庫を貼る に今日のCSVが貼られていない",IF($CS281=1,"－ 今日のCSVに無い（終売？）",IF($L281&lt;0,"● 在庫がマイナス　数えて「数えた在庫」に入れる",IF($L281=0,"● 在庫なし　至急発注",IF($M281="","？ 減り数が未設定（商品マスタ）",IF($B$3=0,"？ 動員が未入力（動員を入れる）",IF($CA281="","○ 14日以上もつ",IF($BZ281&lt;N('設定'!$C$7),"● "&amp;TEXT($CA281,"m/d")&amp;"("&amp;CHOOSE(WEEKDAY($CA281),"日","月","火","水","木","金","土")&amp;")"&amp;" に切れる　至急発注",IF($BZ281=N('設定'!$C$7),"● "&amp;TEXT($CA281,"m/d")&amp;"("&amp;CHOOSE(WEEKDAY($CA281),"日","月","火","水","木","金","土")&amp;")"&amp;" に切れる　今日発注","△ "&amp;TEXT($CA281,"m/d")&amp;"("&amp;CHOOSE(WEEKDAY($CA281),"日","月","火","水","木","金","土")&amp;")"&amp;" に切れる　"&amp;TEXT($CA281-N('設定'!$C$7),"m/d")&amp;"("&amp;CHOOSE(WEEKDAY($CA281-N('設定'!$C$7)),"日","月","火","水","木","金","土")&amp;")"&amp;" までに発注"))))))))))</f>
        <v/>
      </c>
      <c r="CQ281">
        <f>IF($C281="","",IF(AND($P281="",$Q281="",$S281="",$T281=""),"",IF(AND($P281="",$Q281=""),"⚠ 先に1便目（左の入庫日・入庫数）に入れてください",IF($CI281&lt;&gt;"",$CI281,IF($CJ281&lt;&gt;"",$CJ281,IF($M281="","？ 減り数が未設定（発注書には載ります）",IF($B$3=0,"？ 動員が未入力（発注書には載ります）",IF(AND($CA281&lt;&gt;"",$P281&gt;$CA281),IF($P281&gt;'設定'!$C$6+N('設定'!$C$7),"● "&amp;TEXT($P281,"m/d")&amp;"("&amp;CHOOSE(WEEKDAY($P281),"日","月","火","水","木","金","土")&amp;")"&amp;" の入庫では間に合わない（"&amp;TEXT($CA281,"m/d")&amp;"("&amp;CHOOSE(WEEKDAY($CA281),"日","月","火","水","木","金","土")&amp;")"&amp;" に切れる）　入庫日を早める","△ 欠品 "&amp;TEXT($CA281,"m/d")&amp;"("&amp;CHOOSE(WEEKDAY($CA281),"日","月","火","水","木","金","土")&amp;")"&amp;"〜"&amp;TEXT($P281-1,"m/d")&amp;"("&amp;CHOOSE(WEEKDAY($P281-1),"日","月","火","水","木","金","土")&amp;")"&amp;"　"&amp;$CO281),IF($CC281="","○ "&amp;TEXT($P281,"m/d")&amp;"("&amp;CHOOSE(WEEKDAY($P281),"日","月","火","水","木","金","土")&amp;")"&amp;" 入庫で 14日以上もつ",IF($CC281-N('設定'!$C$7)&lt;='設定'!$C$6,"● 入庫しても "&amp;TEXT($CC281,"m/d")&amp;"("&amp;CHOOSE(WEEKDAY($CC281),"日","月","火","水","木","金","土")&amp;")"&amp;" に切れる　もう1便を至急発注（2便目に入れる）","△ 入庫しても "&amp;TEXT($CC281,"m/d")&amp;"("&amp;CHOOSE(WEEKDAY($CC281),"日","月","火","水","木","金","土")&amp;")"&amp;" に切れる　"&amp;TEXT($CC281-N('設定'!$C$7),"m/d")&amp;"("&amp;CHOOSE(WEEKDAY($CC281-N('設定'!$C$7)),"日","月","火","水","木","金","土")&amp;")"&amp;" までに次を発注（2便目に入れる）"))))))))))</f>
        <v/>
      </c>
      <c r="CR281">
        <f>IF($C281="","",IF($G281&gt;1,"ｹｰｽ("&amp;$G281&amp;"入)","個"))</f>
        <v/>
      </c>
      <c r="CS281">
        <f>IF($C281="",0,IF(COUNTIFS('①在庫を貼る'!$V$6:$V$10005,'設定'!$C$4,'①在庫を貼る'!$W$6:$W$10005,$C281)=0,1,0))</f>
        <v/>
      </c>
      <c r="CT281">
        <f>IF(AND($CK281=1,OR('③発注書'!$C$4="すべて",'③発注書'!$C$4="",$F281='③発注書'!$C$4)),N($CT280)+1,N($CT280))</f>
        <v/>
      </c>
      <c r="CU281">
        <f>IF(AND($CL281=1,OR('③発注書'!$C$4="すべて",'③発注書'!$C$4="",$F281='③発注書'!$C$4)),N($CU280)+1,N($CU280))</f>
        <v/>
      </c>
      <c r="CV281">
        <f>IF($C281="",0,IF(COUNTIFS('①在庫を貼る'!$V$6:$V$10005,'設定'!$C$4,'①在庫を貼る'!$W$6:$W$10005,$C281)&gt;0,1,0))</f>
        <v/>
      </c>
      <c r="CW281">
        <f>IF($C281="",0,IF(COUNTIFS('月1回_1ヶ月前の在庫'!$V$6:$V$10005,'設定'!$C$4,'月1回_1ヶ月前の在庫'!$W$6:$W$10005,$C281)&gt;0,1,0))</f>
        <v/>
      </c>
      <c r="CX281">
        <f>IF($C281="",0,IF(COUNTIFS('月1回_2ヶ月前の在庫'!$V$6:$V$10005,'設定'!$C$4,'月1回_2ヶ月前の在庫'!$W$6:$W$10005,$C281)&gt;0,1,0))</f>
        <v/>
      </c>
      <c r="CY281">
        <f>IF(OR($C281="",'設定'!$C$12=""),"",IF('設定'!$C$13="",IF(AND($CV281=1,$CW281=0),"新商品（今月から）",IF(AND($CV281=0,$CW281=1),"終売（今月から）","")),IF(AND($CV281=1,$CW281=0,$CX281=0),"新商品（今月から）",IF(AND($CV281=1,$CW281=1,$CX281=0),"新商品（先月から）",IF(AND($CV281=0,$CW281=1,$CX281=1),"終売（今月から）",IF(AND($CV281=0,$CW281=0,$CX281=1),"終売（先月から）",IF(AND($CV281=1,$CW281=0,$CX281=1),"復活（先月は無し）","")))))))</f>
        <v/>
      </c>
    </row>
    <row r="282">
      <c r="B282">
        <f>IF(277&lt;='設定'!$C$11,277,"")</f>
        <v/>
      </c>
      <c r="C282">
        <f>IF($B282="","",IF($B282&lt;='設定'!$C$20,INDEX('商品マスタ'!$B$6:$B$1005,MATCH($B282,'商品マスタ'!$M$6:$M$1005,0)),IF($B282&lt;='設定'!$C$20+'設定'!$C$17,INDEX('①在庫を貼る'!$W$6:$W$10005,MATCH($B282-'設定'!$C$20,'①在庫を貼る'!$U$6:$U$10005,0)),IF($B282&lt;='設定'!$C$20+'設定'!$C$17+'設定'!$C$18,INDEX('月1回_1ヶ月前の在庫'!$W$6:$W$10005,MATCH($B282-'設定'!$C$20-'設定'!$C$17,'月1回_1ヶ月前の在庫'!$U$6:$U$10005,0)),INDEX('月1回_2ヶ月前の在庫'!$W$6:$W$10005,MATCH($B282-'設定'!$C$20-'設定'!$C$17-'設定'!$C$18,'月1回_2ヶ月前の在庫'!$U$6:$U$10005,0))))))</f>
        <v/>
      </c>
      <c r="D282">
        <f>IF($C282="","",IFERROR(IF(INDEX('商品マスタ'!$C$6:$C$1005,MATCH($C282,'商品マスタ'!$B$6:$B$1005,0))="",IFERROR(INDEX('①在庫を貼る'!$J$6:$J$10005,MATCH($C282,'①在庫を貼る'!$W$6:$W$10005,0)),IFERROR(INDEX('月1回_1ヶ月前の在庫'!$J$6:$J$10005,MATCH($C282,'月1回_1ヶ月前の在庫'!$W$6:$W$10005,0)),IFERROR(INDEX('月1回_2ヶ月前の在庫'!$J$6:$J$10005,MATCH($C282,'月1回_2ヶ月前の在庫'!$W$6:$W$10005,0)),""))),INDEX('商品マスタ'!$C$6:$C$1005,MATCH($C282,'商品マスタ'!$B$6:$B$1005,0))),IFERROR(INDEX('①在庫を貼る'!$J$6:$J$10005,MATCH($C282,'①在庫を貼る'!$W$6:$W$10005,0)),IFERROR(INDEX('月1回_1ヶ月前の在庫'!$J$6:$J$10005,MATCH($C282,'月1回_1ヶ月前の在庫'!$W$6:$W$10005,0)),IFERROR(INDEX('月1回_2ヶ月前の在庫'!$J$6:$J$10005,MATCH($C282,'月1回_2ヶ月前の在庫'!$W$6:$W$10005,0)),"")))))</f>
        <v/>
      </c>
      <c r="E282">
        <f>IF($C282="","",IFERROR(IF(INDEX('商品マスタ'!$D$6:$D$1005,MATCH($C282,'商品マスタ'!$B$6:$B$1005,0))="",IFERROR(INDEX('①在庫を貼る'!$H$6:$H$10005,MATCH($C282,'①在庫を貼る'!$W$6:$W$10005,0)),IFERROR(INDEX('月1回_1ヶ月前の在庫'!$H$6:$H$10005,MATCH($C282,'月1回_1ヶ月前の在庫'!$W$6:$W$10005,0)),IFERROR(INDEX('月1回_2ヶ月前の在庫'!$H$6:$H$10005,MATCH($C282,'月1回_2ヶ月前の在庫'!$W$6:$W$10005,0)),""))),INDEX('商品マスタ'!$D$6:$D$1005,MATCH($C282,'商品マスタ'!$B$6:$B$1005,0))),IFERROR(INDEX('①在庫を貼る'!$H$6:$H$10005,MATCH($C282,'①在庫を貼る'!$W$6:$W$10005,0)),IFERROR(INDEX('月1回_1ヶ月前の在庫'!$H$6:$H$10005,MATCH($C282,'月1回_1ヶ月前の在庫'!$W$6:$W$10005,0)),IFERROR(INDEX('月1回_2ヶ月前の在庫'!$H$6:$H$10005,MATCH($C282,'月1回_2ヶ月前の在庫'!$W$6:$W$10005,0)),"")))))</f>
        <v/>
      </c>
      <c r="F282">
        <f>IF($C282="","",IFERROR(IF(INDEX('商品マスタ'!$E$6:$E$1005,MATCH($C282,'商品マスタ'!$B$6:$B$1005,0))="",IFERROR(INDEX('①在庫を貼る'!$E$6:$E$10005,MATCH($C282,'①在庫を貼る'!$W$6:$W$10005,0)),IFERROR(INDEX('月1回_1ヶ月前の在庫'!$E$6:$E$10005,MATCH($C282,'月1回_1ヶ月前の在庫'!$W$6:$W$10005,0)),IFERROR(INDEX('月1回_2ヶ月前の在庫'!$E$6:$E$10005,MATCH($C282,'月1回_2ヶ月前の在庫'!$W$6:$W$10005,0)),""))),INDEX('商品マスタ'!$E$6:$E$1005,MATCH($C282,'商品マスタ'!$B$6:$B$1005,0))),IFERROR(INDEX('①在庫を貼る'!$E$6:$E$10005,MATCH($C282,'①在庫を貼る'!$W$6:$W$10005,0)),IFERROR(INDEX('月1回_1ヶ月前の在庫'!$E$6:$E$10005,MATCH($C282,'月1回_1ヶ月前の在庫'!$W$6:$W$10005,0)),IFERROR(INDEX('月1回_2ヶ月前の在庫'!$E$6:$E$10005,MATCH($C282,'月1回_2ヶ月前の在庫'!$W$6:$W$10005,0)),"")))))</f>
        <v/>
      </c>
      <c r="G282">
        <f>IF($C282="","",MAX(1,N(IFERROR(IF(INDEX('商品マスタ'!$F$6:$F$1005,MATCH($C282,'商品マスタ'!$B$6:$B$1005,0))="",IF(COUNTIFS('①在庫を貼る'!$V$6:$V$10005,'設定'!$C$4,'①在庫を貼る'!$W$6:$W$10005,$C282)&gt;0,SUMIFS('①在庫を貼る'!$K$6:$K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K$6:$K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K$6:$K$10005,'月1回_2ヶ月前の在庫'!$V$6:$V$10005,'設定'!$C$4,'月1回_2ヶ月前の在庫'!$W$6:$W$10005,$C282)/COUNTIFS('月1回_2ヶ月前の在庫'!$V$6:$V$10005,'設定'!$C$4,'月1回_2ヶ月前の在庫'!$W$6:$W$10005,$C282),0))),INDEX('商品マスタ'!$F$6:$F$1005,MATCH($C282,'商品マスタ'!$B$6:$B$1005,0))),IF(COUNTIFS('①在庫を貼る'!$V$6:$V$10005,'設定'!$C$4,'①在庫を貼る'!$W$6:$W$10005,$C282)&gt;0,SUMIFS('①在庫を貼る'!$K$6:$K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K$6:$K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K$6:$K$10005,'月1回_2ヶ月前の在庫'!$V$6:$V$10005,'設定'!$C$4,'月1回_2ヶ月前の在庫'!$W$6:$W$10005,$C282)/COUNTIFS('月1回_2ヶ月前の在庫'!$V$6:$V$10005,'設定'!$C$4,'月1回_2ヶ月前の在庫'!$W$6:$W$10005,$C282),0)))))))</f>
        <v/>
      </c>
      <c r="H282">
        <f>IF($C282="","",N(IFERROR(IF(INDEX('商品マスタ'!$G$6:$G$1005,MATCH($C282,'商品マスタ'!$B$6:$B$1005,0))="",IF(COUNTIFS('①在庫を貼る'!$V$6:$V$10005,'設定'!$C$4,'①在庫を貼る'!$W$6:$W$10005,$C282)&gt;0,SUMIFS('①在庫を貼る'!$Q$6:$Q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Q$6:$Q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Q$6:$Q$10005,'月1回_2ヶ月前の在庫'!$V$6:$V$10005,'設定'!$C$4,'月1回_2ヶ月前の在庫'!$W$6:$W$10005,$C282)/COUNTIFS('月1回_2ヶ月前の在庫'!$V$6:$V$10005,'設定'!$C$4,'月1回_2ヶ月前の在庫'!$W$6:$W$10005,$C282),0))),INDEX('商品マスタ'!$G$6:$G$1005,MATCH($C282,'商品マスタ'!$B$6:$B$1005,0))),IF(COUNTIFS('①在庫を貼る'!$V$6:$V$10005,'設定'!$C$4,'①在庫を貼る'!$W$6:$W$10005,$C282)&gt;0,SUMIFS('①在庫を貼る'!$Q$6:$Q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Q$6:$Q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Q$6:$Q$10005,'月1回_2ヶ月前の在庫'!$V$6:$V$10005,'設定'!$C$4,'月1回_2ヶ月前の在庫'!$W$6:$W$10005,$C282)/COUNTIFS('月1回_2ヶ月前の在庫'!$V$6:$V$10005,'設定'!$C$4,'月1回_2ヶ月前の在庫'!$W$6:$W$10005,$C282),0))))))</f>
        <v/>
      </c>
      <c r="I282">
        <f>IF($C282="","",IF(COUNTIFS('①在庫を貼る'!$V$6:$V$10005,'設定'!$C$4,'①在庫を貼る'!$W$6:$W$10005,$C282)=0,"",SUMIFS('①在庫を貼る'!$N$6:$N$10005,'①在庫を貼る'!$V$6:$V$10005,'設定'!$C$4,'①在庫を貼る'!$W$6:$W$10005,$C282)))</f>
        <v/>
      </c>
      <c r="J282">
        <f>IF($C282="","",IF('②発注する'!$AD286="","",'②発注する'!$AD286))</f>
        <v/>
      </c>
      <c r="K282" s="90">
        <f>IF($C282="","",IF('②発注する'!$AE286="","",'②発注する'!$AE286))</f>
        <v/>
      </c>
      <c r="L282">
        <f>IF($C282="","",IF(AND(ISNUMBER($J282),ISNUMBER($K282),$K282&gt;='設定'!$C$6),$J282,N($I282)))</f>
        <v/>
      </c>
      <c r="M282">
        <f>IF($C282="","",IFERROR(IF(N(INDEX('商品マスタ'!$J$6:$J$1005,MATCH($C282,'商品マスタ'!$B$6:$B$1005,0)))&gt;0,INDEX('商品マスタ'!$J$6:$J$1005,MATCH($C282,'商品マスタ'!$B$6:$B$1005,0)),""),""))</f>
        <v/>
      </c>
      <c r="N282">
        <f>IF($C282="","",IFERROR(IF(N(INDEX('商品マスタ'!$H$6:$H$1005,MATCH($C282,'商品マスタ'!$B$6:$B$1005,0)))&gt;0,INDEX('商品マスタ'!$H$6:$H$1005,MATCH($C282,'商品マスタ'!$B$6:$B$1005,0)),""),""))</f>
        <v/>
      </c>
      <c r="O282">
        <f>IF($C282="","",IF($N282&lt;&gt;"",$N282*$G282,IF(N(IF(COUNTIFS('①在庫を貼る'!$V$6:$V$10005,'設定'!$C$4,'①在庫を貼る'!$W$6:$W$10005,$C282)&gt;0,SUMIFS('①在庫を貼る'!$O$6:$O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O$6:$O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O$6:$O$10005,'月1回_2ヶ月前の在庫'!$V$6:$V$10005,'設定'!$C$4,'月1回_2ヶ月前の在庫'!$W$6:$W$10005,$C282)/COUNTIFS('月1回_2ヶ月前の在庫'!$V$6:$V$10005,'設定'!$C$4,'月1回_2ヶ月前の在庫'!$W$6:$W$10005,$C282),0))))&gt;0,N(IF(COUNTIFS('①在庫を貼る'!$V$6:$V$10005,'設定'!$C$4,'①在庫を貼る'!$W$6:$W$10005,$C282)&gt;0,SUMIFS('①在庫を貼る'!$O$6:$O$10005,'①在庫を貼る'!$V$6:$V$10005,'設定'!$C$4,'①在庫を貼る'!$W$6:$W$10005,$C282)/COUNTIFS('①在庫を貼る'!$V$6:$V$10005,'設定'!$C$4,'①在庫を貼る'!$W$6:$W$10005,$C282),IF(COUNTIFS('月1回_1ヶ月前の在庫'!$V$6:$V$10005,'設定'!$C$4,'月1回_1ヶ月前の在庫'!$W$6:$W$10005,$C282)&gt;0,SUMIFS('月1回_1ヶ月前の在庫'!$O$6:$O$10005,'月1回_1ヶ月前の在庫'!$V$6:$V$10005,'設定'!$C$4,'月1回_1ヶ月前の在庫'!$W$6:$W$10005,$C282)/COUNTIFS('月1回_1ヶ月前の在庫'!$V$6:$V$10005,'設定'!$C$4,'月1回_1ヶ月前の在庫'!$W$6:$W$10005,$C282),IF(COUNTIFS('月1回_2ヶ月前の在庫'!$V$6:$V$10005,'設定'!$C$4,'月1回_2ヶ月前の在庫'!$W$6:$W$10005,$C282)&gt;0,SUMIFS('月1回_2ヶ月前の在庫'!$O$6:$O$10005,'月1回_2ヶ月前の在庫'!$V$6:$V$10005,'設定'!$C$4,'月1回_2ヶ月前の在庫'!$W$6:$W$10005,$C282)/COUNTIFS('月1回_2ヶ月前の在庫'!$V$6:$V$10005,'設定'!$C$4,'月1回_2ヶ月前の在庫'!$W$6:$W$10005,$C282),0)))),"")))</f>
        <v/>
      </c>
      <c r="P282" s="90">
        <f>IF($C282="","",IF('②発注する'!$I286="","",'②発注する'!$I286))</f>
        <v/>
      </c>
      <c r="Q282">
        <f>IF($C282="","",IF('②発注する'!$J286="","",'②発注する'!$J286))</f>
        <v/>
      </c>
      <c r="R282">
        <f>IF($C282="",0,IF(AND(ISNUMBER($P282),ISNUMBER($Q282)),MAX(0,$Q282)*$G282,0))</f>
        <v/>
      </c>
      <c r="S282" s="90">
        <f>IF($C282="","",IF('②発注する'!$M286="","",'②発注する'!$M286))</f>
        <v/>
      </c>
      <c r="T282">
        <f>IF($C282="","",IF('②発注する'!$N286="","",'②発注する'!$N286))</f>
        <v/>
      </c>
      <c r="U282">
        <f>IF($C282="",0,IF(AND(ISNUMBER($S282),ISNUMBER($T282)),MAX(0,$T282)*$G282,0))</f>
        <v/>
      </c>
      <c r="V282">
        <f>IF($C282="",0,IF($M282="",0,MAX(0,$M282)*MAX(0,V$4)/100))</f>
        <v/>
      </c>
      <c r="W282">
        <f>IF($C282="",0,IF($M282="",0,MAX(0,$M282)*MAX(0,W$4)/100))</f>
        <v/>
      </c>
      <c r="X282">
        <f>IF($C282="",0,IF($M282="",0,MAX(0,$M282)*MAX(0,X$4)/100))</f>
        <v/>
      </c>
      <c r="Y282">
        <f>IF($C282="",0,IF($M282="",0,MAX(0,$M282)*MAX(0,Y$4)/100))</f>
        <v/>
      </c>
      <c r="Z282">
        <f>IF($C282="",0,IF($M282="",0,MAX(0,$M282)*MAX(0,Z$4)/100))</f>
        <v/>
      </c>
      <c r="AA282">
        <f>IF($C282="",0,IF($M282="",0,MAX(0,$M282)*MAX(0,AA$4)/100))</f>
        <v/>
      </c>
      <c r="AB282">
        <f>IF($C282="",0,IF($M282="",0,MAX(0,$M282)*MAX(0,AB$4)/100))</f>
        <v/>
      </c>
      <c r="AC282">
        <f>IF($C282="",0,IF($M282="",0,MAX(0,$M282)*MAX(0,AC$4)/100))</f>
        <v/>
      </c>
      <c r="AD282">
        <f>IF($C282="",0,IF($M282="",0,MAX(0,$M282)*MAX(0,AD$4)/100))</f>
        <v/>
      </c>
      <c r="AE282">
        <f>IF($C282="",0,IF($M282="",0,MAX(0,$M282)*MAX(0,AE$4)/100))</f>
        <v/>
      </c>
      <c r="AF282">
        <f>IF($C282="",0,IF($M282="",0,MAX(0,$M282)*MAX(0,AF$4)/100))</f>
        <v/>
      </c>
      <c r="AG282">
        <f>IF($C282="",0,IF($M282="",0,MAX(0,$M282)*MAX(0,AG$4)/100))</f>
        <v/>
      </c>
      <c r="AH282">
        <f>IF($C282="",0,IF($M282="",0,MAX(0,$M282)*MAX(0,AH$4)/100))</f>
        <v/>
      </c>
      <c r="AI282">
        <f>IF($C282="",0,IF($M282="",0,MAX(0,$M282)*MAX(0,AI$4)/100))</f>
        <v/>
      </c>
      <c r="AJ282">
        <f>IF($C282="",0,MAX(0,MAX(0,N($L282))-$V282))</f>
        <v/>
      </c>
      <c r="AK282">
        <f>IF($C282="",0,MAX(0,$AJ282-$W282))</f>
        <v/>
      </c>
      <c r="AL282">
        <f>IF($C282="",0,MAX(0,$AK282-$X282))</f>
        <v/>
      </c>
      <c r="AM282">
        <f>IF($C282="",0,MAX(0,$AL282-$Y282))</f>
        <v/>
      </c>
      <c r="AN282">
        <f>IF($C282="",0,MAX(0,$AM282-$Z282))</f>
        <v/>
      </c>
      <c r="AO282">
        <f>IF($C282="",0,MAX(0,$AN282-$AA282))</f>
        <v/>
      </c>
      <c r="AP282">
        <f>IF($C282="",0,MAX(0,$AO282-$AB282))</f>
        <v/>
      </c>
      <c r="AQ282">
        <f>IF($C282="",0,MAX(0,$AP282-$AC282))</f>
        <v/>
      </c>
      <c r="AR282">
        <f>IF($C282="",0,MAX(0,$AQ282-$AD282))</f>
        <v/>
      </c>
      <c r="AS282">
        <f>IF($C282="",0,MAX(0,$AR282-$AE282))</f>
        <v/>
      </c>
      <c r="AT282">
        <f>IF($C282="",0,MAX(0,$AS282-$AF282))</f>
        <v/>
      </c>
      <c r="AU282">
        <f>IF($C282="",0,MAX(0,$AT282-$AG282))</f>
        <v/>
      </c>
      <c r="AV282">
        <f>IF($C282="",0,MAX(0,$AU282-$AH282))</f>
        <v/>
      </c>
      <c r="AW282">
        <f>IF($C282="",0,MAX(0,$AV282-$AI282))</f>
        <v/>
      </c>
      <c r="AX282">
        <f>IF($C282="",0,MAX(0,MAX(0,N($L282))+IF($P282=V$3,$R282,0)+IF($S282=V$3,$U282,0)-$V282))</f>
        <v/>
      </c>
      <c r="AY282">
        <f>IF($C282="",0,MAX(0,$AX282+IF($P282=W$3,$R282,0)+IF($S282=W$3,$U282,0)-$W282))</f>
        <v/>
      </c>
      <c r="AZ282">
        <f>IF($C282="",0,MAX(0,$AY282+IF($P282=X$3,$R282,0)+IF($S282=X$3,$U282,0)-$X282))</f>
        <v/>
      </c>
      <c r="BA282">
        <f>IF($C282="",0,MAX(0,$AZ282+IF($P282=Y$3,$R282,0)+IF($S282=Y$3,$U282,0)-$Y282))</f>
        <v/>
      </c>
      <c r="BB282">
        <f>IF($C282="",0,MAX(0,$BA282+IF($P282=Z$3,$R282,0)+IF($S282=Z$3,$U282,0)-$Z282))</f>
        <v/>
      </c>
      <c r="BC282">
        <f>IF($C282="",0,MAX(0,$BB282+IF($P282=AA$3,$R282,0)+IF($S282=AA$3,$U282,0)-$AA282))</f>
        <v/>
      </c>
      <c r="BD282">
        <f>IF($C282="",0,MAX(0,$BC282+IF($P282=AB$3,$R282,0)+IF($S282=AB$3,$U282,0)-$AB282))</f>
        <v/>
      </c>
      <c r="BE282">
        <f>IF($C282="",0,MAX(0,$BD282+IF($P282=AC$3,$R282,0)+IF($S282=AC$3,$U282,0)-$AC282))</f>
        <v/>
      </c>
      <c r="BF282">
        <f>IF($C282="",0,MAX(0,$BE282+IF($P282=AD$3,$R282,0)+IF($S282=AD$3,$U282,0)-$AD282))</f>
        <v/>
      </c>
      <c r="BG282">
        <f>IF($C282="",0,MAX(0,$BF282+IF($P282=AE$3,$R282,0)+IF($S282=AE$3,$U282,0)-$AE282))</f>
        <v/>
      </c>
      <c r="BH282">
        <f>IF($C282="",0,MAX(0,$BG282+IF($P282=AF$3,$R282,0)+IF($S282=AF$3,$U282,0)-$AF282))</f>
        <v/>
      </c>
      <c r="BI282">
        <f>IF($C282="",0,MAX(0,$BH282+IF($P282=AG$3,$R282,0)+IF($S282=AG$3,$U282,0)-$AG282))</f>
        <v/>
      </c>
      <c r="BJ282">
        <f>IF($C282="",0,MAX(0,$BI282+IF($P282=AH$3,$R282,0)+IF($S282=AH$3,$U282,0)-$AH282))</f>
        <v/>
      </c>
      <c r="BK282">
        <f>IF($C282="",0,MAX(0,$BJ282+IF($P282=AI$3,$R282,0)+IF($S282=AI$3,$U282,0)-$AI282))</f>
        <v/>
      </c>
      <c r="BL282">
        <f>IF($C282="",99,IF(AND($AX282&lt;1,V$3&gt;=MAX(N($P282),N($S282))),0,99))</f>
        <v/>
      </c>
      <c r="BM282">
        <f>IF($C282="",99,IF(AND($AY282&lt;1,W$3&gt;=MAX(N($P282),N($S282))),1,99))</f>
        <v/>
      </c>
      <c r="BN282">
        <f>IF($C282="",99,IF(AND($AZ282&lt;1,X$3&gt;=MAX(N($P282),N($S282))),2,99))</f>
        <v/>
      </c>
      <c r="BO282">
        <f>IF($C282="",99,IF(AND($BA282&lt;1,Y$3&gt;=MAX(N($P282),N($S282))),3,99))</f>
        <v/>
      </c>
      <c r="BP282">
        <f>IF($C282="",99,IF(AND($BB282&lt;1,Z$3&gt;=MAX(N($P282),N($S282))),4,99))</f>
        <v/>
      </c>
      <c r="BQ282">
        <f>IF($C282="",99,IF(AND($BC282&lt;1,AA$3&gt;=MAX(N($P282),N($S282))),5,99))</f>
        <v/>
      </c>
      <c r="BR282">
        <f>IF($C282="",99,IF(AND($BD282&lt;1,AB$3&gt;=MAX(N($P282),N($S282))),6,99))</f>
        <v/>
      </c>
      <c r="BS282">
        <f>IF($C282="",99,IF(AND($BE282&lt;1,AC$3&gt;=MAX(N($P282),N($S282))),7,99))</f>
        <v/>
      </c>
      <c r="BT282">
        <f>IF($C282="",99,IF(AND($BF282&lt;1,AD$3&gt;=MAX(N($P282),N($S282))),8,99))</f>
        <v/>
      </c>
      <c r="BU282">
        <f>IF($C282="",99,IF(AND($BG282&lt;1,AE$3&gt;=MAX(N($P282),N($S282))),9,99))</f>
        <v/>
      </c>
      <c r="BV282">
        <f>IF($C282="",99,IF(AND($BH282&lt;1,AF$3&gt;=MAX(N($P282),N($S282))),10,99))</f>
        <v/>
      </c>
      <c r="BW282">
        <f>IF($C282="",99,IF(AND($BI282&lt;1,AG$3&gt;=MAX(N($P282),N($S282))),11,99))</f>
        <v/>
      </c>
      <c r="BX282">
        <f>IF($C282="",99,IF(AND($BJ282&lt;1,AH$3&gt;=MAX(N($P282),N($S282))),12,99))</f>
        <v/>
      </c>
      <c r="BY282">
        <f>IF($C282="",99,IF(AND($BK282&lt;1,AI$3&gt;=MAX(N($P282),N($S282))),13,99))</f>
        <v/>
      </c>
      <c r="BZ282">
        <f>IF(OR($C282="",$M282=""),"",COUNTIF($AJ282:$AW282,"&gt;=1"))</f>
        <v/>
      </c>
      <c r="CA282" s="90">
        <f>IF($BZ282="","",IF($BZ282&gt;=14,"",'設定'!$C$6+$BZ282))</f>
        <v/>
      </c>
      <c r="CB282">
        <f>IF(OR($C282="",$M282=""),"",MIN($BL282:$BY282))</f>
        <v/>
      </c>
      <c r="CC282" s="90">
        <f>IF($CB282="","",IF($CB282&gt;=99,"",'設定'!$C$6+$CB282))</f>
        <v/>
      </c>
      <c r="CD282">
        <f>IF(OR($C282="",$M282=""),"",AVERAGE($V282:$AI282))</f>
        <v/>
      </c>
      <c r="CE282">
        <f>IF($C282="","",IFERROR(IF(MATCH(IF(ISNUMBER($P282),$P282,'設定'!$C$6+N('設定'!$C$7)),$V$3:$AI$3,0)=1,MAX(0,N($L282)),INDEX($AJ282:$AW282,MATCH(IF(ISNUMBER($P282),$P282,'設定'!$C$6+N('設定'!$C$7)),$V$3:$AI$3,0)-1)),""))</f>
        <v/>
      </c>
      <c r="CF282">
        <f>IF(OR($C282="",$O282="",$CE282=""),"",IF($O282-$CE282&lt;=0,0,ROUNDUP(($O282-$CE282)/$G282,0)))</f>
        <v/>
      </c>
      <c r="CG282">
        <f>IF(OR($C282="",$CF282="",NOT(ISNUMBER($Q282))),0,MAX(0,$Q282-$CF282))</f>
        <v/>
      </c>
      <c r="CH282">
        <f>IF(OR($C282="",$O282="",$U282=0),0,IFERROR(ROUNDUP(MAX(0,IF(MATCH($S282,$V$3:$AI$3,0)=1,MAX(0,N($L282)),INDEX($AX282:$BK282,MATCH($S282,$V$3:$AI$3,0)-1))+$U282-$O282)/$G282,0),0))</f>
        <v/>
      </c>
      <c r="CI282">
        <f>IF($C282="","",IF(AND($P282="",$Q282=""),"",IF($P282="","⚠ 入庫日を ▼ から選んでください",IF(NOT(ISNUMBER($P282)),"⚠ 入庫日は ▼ から選んでください",IF($P282&lt;N('設定'!$C$6),"⚠ 入庫日が過去です（もう在庫に入っています）→ 消してください",IF($P282&gt;N('設定'!$C$6)+13,"⚠ 入庫日が14日より先です",IF(N($Q282)&lt;=0,"⚠ 入庫数を入れてください",IF($CG282&gt;0,"⚠ 目安より "&amp;$CG282&amp;" 多い（定数を超える）→ 減らす",""))))))))</f>
        <v/>
      </c>
      <c r="CJ282">
        <f>IF($C282="","",IF(AND($S282="",$T282=""),"",IF($S282="","⚠ 2便目：入庫日を ▼ から選んでください",IF(NOT(ISNUMBER($S282)),"⚠ 2便目：入庫日は ▼ から選んでください",IF($S282&lt;N('設定'!$C$6),"⚠ 2便目：入庫日が過去です（もう在庫に入っています）→ 消してください",IF($S282&gt;N('設定'!$C$6)+13,"⚠ 2便目：入庫日が14日より先です",IF(N($T282)&lt;=0,"⚠ 2便目：入庫数を入れてください",IF($CH282&gt;0,"⚠ 2便目：定数を "&amp;$CH282&amp;" ケース超える → 減らす",""))))))))</f>
        <v/>
      </c>
      <c r="CK282">
        <f>IF(AND($CI282="",N($Q282)&gt;0,ISNUMBER($P282)),1,0)</f>
        <v/>
      </c>
      <c r="CL282">
        <f>IF(AND($CJ282="",N($T282)&gt;0,ISNUMBER($S282)),1,0)</f>
        <v/>
      </c>
      <c r="CM282">
        <f>IF(OR($CK282=1,$CL282=1),1,0)</f>
        <v/>
      </c>
      <c r="CN282">
        <f>IF($C282="",0,($CK282*$R282+$CL282*$U282)*N($H282))</f>
        <v/>
      </c>
      <c r="CO282">
        <f>IF($C282="","",IF($CC282="","入庫後は 14日以上もつ",IF($CC282-N('設定'!$C$7)&lt;='設定'!$C$6,"入庫後も "&amp;TEXT($CC282,"m/d")&amp;"("&amp;CHOOSE(WEEKDAY($CC282),"日","月","火","水","木","金","土")&amp;")"&amp;" に切れる　もう1便を至急発注","入庫後も "&amp;TEXT($CC282,"m/d")&amp;"("&amp;CHOOSE(WEEKDAY($CC282),"日","月","火","水","木","金","土")&amp;")"&amp;" に切れる　"&amp;TEXT($CC282-N('設定'!$C$7),"m/d")&amp;"("&amp;CHOOSE(WEEKDAY($CC282-N('設定'!$C$7)),"日","月","火","水","木","金","土")&amp;")"&amp;" までに次を発注")))</f>
        <v/>
      </c>
      <c r="CP282">
        <f>IF($C282="","",IF('設定'!$C$6="","？ ①在庫を貼る に今日のCSVが貼られていない",IF($CS282=1,"－ 今日のCSVに無い（終売？）",IF($L282&lt;0,"● 在庫がマイナス　数えて「数えた在庫」に入れる",IF($L282=0,"● 在庫なし　至急発注",IF($M282="","？ 減り数が未設定（商品マスタ）",IF($B$3=0,"？ 動員が未入力（動員を入れる）",IF($CA282="","○ 14日以上もつ",IF($BZ282&lt;N('設定'!$C$7),"● "&amp;TEXT($CA282,"m/d")&amp;"("&amp;CHOOSE(WEEKDAY($CA282),"日","月","火","水","木","金","土")&amp;")"&amp;" に切れる　至急発注",IF($BZ282=N('設定'!$C$7),"● "&amp;TEXT($CA282,"m/d")&amp;"("&amp;CHOOSE(WEEKDAY($CA282),"日","月","火","水","木","金","土")&amp;")"&amp;" に切れる　今日発注","△ "&amp;TEXT($CA282,"m/d")&amp;"("&amp;CHOOSE(WEEKDAY($CA282),"日","月","火","水","木","金","土")&amp;")"&amp;" に切れる　"&amp;TEXT($CA282-N('設定'!$C$7),"m/d")&amp;"("&amp;CHOOSE(WEEKDAY($CA282-N('設定'!$C$7)),"日","月","火","水","木","金","土")&amp;")"&amp;" までに発注"))))))))))</f>
        <v/>
      </c>
      <c r="CQ282">
        <f>IF($C282="","",IF(AND($P282="",$Q282="",$S282="",$T282=""),"",IF(AND($P282="",$Q282=""),"⚠ 先に1便目（左の入庫日・入庫数）に入れてください",IF($CI282&lt;&gt;"",$CI282,IF($CJ282&lt;&gt;"",$CJ282,IF($M282="","？ 減り数が未設定（発注書には載ります）",IF($B$3=0,"？ 動員が未入力（発注書には載ります）",IF(AND($CA282&lt;&gt;"",$P282&gt;$CA282),IF($P282&gt;'設定'!$C$6+N('設定'!$C$7),"● "&amp;TEXT($P282,"m/d")&amp;"("&amp;CHOOSE(WEEKDAY($P282),"日","月","火","水","木","金","土")&amp;")"&amp;" の入庫では間に合わない（"&amp;TEXT($CA282,"m/d")&amp;"("&amp;CHOOSE(WEEKDAY($CA282),"日","月","火","水","木","金","土")&amp;")"&amp;" に切れる）　入庫日を早める","△ 欠品 "&amp;TEXT($CA282,"m/d")&amp;"("&amp;CHOOSE(WEEKDAY($CA282),"日","月","火","水","木","金","土")&amp;")"&amp;"〜"&amp;TEXT($P282-1,"m/d")&amp;"("&amp;CHOOSE(WEEKDAY($P282-1),"日","月","火","水","木","金","土")&amp;")"&amp;"　"&amp;$CO282),IF($CC282="","○ "&amp;TEXT($P282,"m/d")&amp;"("&amp;CHOOSE(WEEKDAY($P282),"日","月","火","水","木","金","土")&amp;")"&amp;" 入庫で 14日以上もつ",IF($CC282-N('設定'!$C$7)&lt;='設定'!$C$6,"● 入庫しても "&amp;TEXT($CC282,"m/d")&amp;"("&amp;CHOOSE(WEEKDAY($CC282),"日","月","火","水","木","金","土")&amp;")"&amp;" に切れる　もう1便を至急発注（2便目に入れる）","△ 入庫しても "&amp;TEXT($CC282,"m/d")&amp;"("&amp;CHOOSE(WEEKDAY($CC282),"日","月","火","水","木","金","土")&amp;")"&amp;" に切れる　"&amp;TEXT($CC282-N('設定'!$C$7),"m/d")&amp;"("&amp;CHOOSE(WEEKDAY($CC282-N('設定'!$C$7)),"日","月","火","水","木","金","土")&amp;")"&amp;" までに次を発注（2便目に入れる）"))))))))))</f>
        <v/>
      </c>
      <c r="CR282">
        <f>IF($C282="","",IF($G282&gt;1,"ｹｰｽ("&amp;$G282&amp;"入)","個"))</f>
        <v/>
      </c>
      <c r="CS282">
        <f>IF($C282="",0,IF(COUNTIFS('①在庫を貼る'!$V$6:$V$10005,'設定'!$C$4,'①在庫を貼る'!$W$6:$W$10005,$C282)=0,1,0))</f>
        <v/>
      </c>
      <c r="CT282">
        <f>IF(AND($CK282=1,OR('③発注書'!$C$4="すべて",'③発注書'!$C$4="",$F282='③発注書'!$C$4)),N($CT281)+1,N($CT281))</f>
        <v/>
      </c>
      <c r="CU282">
        <f>IF(AND($CL282=1,OR('③発注書'!$C$4="すべて",'③発注書'!$C$4="",$F282='③発注書'!$C$4)),N($CU281)+1,N($CU281))</f>
        <v/>
      </c>
      <c r="CV282">
        <f>IF($C282="",0,IF(COUNTIFS('①在庫を貼る'!$V$6:$V$10005,'設定'!$C$4,'①在庫を貼る'!$W$6:$W$10005,$C282)&gt;0,1,0))</f>
        <v/>
      </c>
      <c r="CW282">
        <f>IF($C282="",0,IF(COUNTIFS('月1回_1ヶ月前の在庫'!$V$6:$V$10005,'設定'!$C$4,'月1回_1ヶ月前の在庫'!$W$6:$W$10005,$C282)&gt;0,1,0))</f>
        <v/>
      </c>
      <c r="CX282">
        <f>IF($C282="",0,IF(COUNTIFS('月1回_2ヶ月前の在庫'!$V$6:$V$10005,'設定'!$C$4,'月1回_2ヶ月前の在庫'!$W$6:$W$10005,$C282)&gt;0,1,0))</f>
        <v/>
      </c>
      <c r="CY282">
        <f>IF(OR($C282="",'設定'!$C$12=""),"",IF('設定'!$C$13="",IF(AND($CV282=1,$CW282=0),"新商品（今月から）",IF(AND($CV282=0,$CW282=1),"終売（今月から）","")),IF(AND($CV282=1,$CW282=0,$CX282=0),"新商品（今月から）",IF(AND($CV282=1,$CW282=1,$CX282=0),"新商品（先月から）",IF(AND($CV282=0,$CW282=1,$CX282=1),"終売（今月から）",IF(AND($CV282=0,$CW282=0,$CX282=1),"終売（先月から）",IF(AND($CV282=1,$CW282=0,$CX282=1),"復活（先月は無し）","")))))))</f>
        <v/>
      </c>
    </row>
    <row r="283">
      <c r="B283">
        <f>IF(278&lt;='設定'!$C$11,278,"")</f>
        <v/>
      </c>
      <c r="C283">
        <f>IF($B283="","",IF($B283&lt;='設定'!$C$20,INDEX('商品マスタ'!$B$6:$B$1005,MATCH($B283,'商品マスタ'!$M$6:$M$1005,0)),IF($B283&lt;='設定'!$C$20+'設定'!$C$17,INDEX('①在庫を貼る'!$W$6:$W$10005,MATCH($B283-'設定'!$C$20,'①在庫を貼る'!$U$6:$U$10005,0)),IF($B283&lt;='設定'!$C$20+'設定'!$C$17+'設定'!$C$18,INDEX('月1回_1ヶ月前の在庫'!$W$6:$W$10005,MATCH($B283-'設定'!$C$20-'設定'!$C$17,'月1回_1ヶ月前の在庫'!$U$6:$U$10005,0)),INDEX('月1回_2ヶ月前の在庫'!$W$6:$W$10005,MATCH($B283-'設定'!$C$20-'設定'!$C$17-'設定'!$C$18,'月1回_2ヶ月前の在庫'!$U$6:$U$10005,0))))))</f>
        <v/>
      </c>
      <c r="D283">
        <f>IF($C283="","",IFERROR(IF(INDEX('商品マスタ'!$C$6:$C$1005,MATCH($C283,'商品マスタ'!$B$6:$B$1005,0))="",IFERROR(INDEX('①在庫を貼る'!$J$6:$J$10005,MATCH($C283,'①在庫を貼る'!$W$6:$W$10005,0)),IFERROR(INDEX('月1回_1ヶ月前の在庫'!$J$6:$J$10005,MATCH($C283,'月1回_1ヶ月前の在庫'!$W$6:$W$10005,0)),IFERROR(INDEX('月1回_2ヶ月前の在庫'!$J$6:$J$10005,MATCH($C283,'月1回_2ヶ月前の在庫'!$W$6:$W$10005,0)),""))),INDEX('商品マスタ'!$C$6:$C$1005,MATCH($C283,'商品マスタ'!$B$6:$B$1005,0))),IFERROR(INDEX('①在庫を貼る'!$J$6:$J$10005,MATCH($C283,'①在庫を貼る'!$W$6:$W$10005,0)),IFERROR(INDEX('月1回_1ヶ月前の在庫'!$J$6:$J$10005,MATCH($C283,'月1回_1ヶ月前の在庫'!$W$6:$W$10005,0)),IFERROR(INDEX('月1回_2ヶ月前の在庫'!$J$6:$J$10005,MATCH($C283,'月1回_2ヶ月前の在庫'!$W$6:$W$10005,0)),"")))))</f>
        <v/>
      </c>
      <c r="E283">
        <f>IF($C283="","",IFERROR(IF(INDEX('商品マスタ'!$D$6:$D$1005,MATCH($C283,'商品マスタ'!$B$6:$B$1005,0))="",IFERROR(INDEX('①在庫を貼る'!$H$6:$H$10005,MATCH($C283,'①在庫を貼る'!$W$6:$W$10005,0)),IFERROR(INDEX('月1回_1ヶ月前の在庫'!$H$6:$H$10005,MATCH($C283,'月1回_1ヶ月前の在庫'!$W$6:$W$10005,0)),IFERROR(INDEX('月1回_2ヶ月前の在庫'!$H$6:$H$10005,MATCH($C283,'月1回_2ヶ月前の在庫'!$W$6:$W$10005,0)),""))),INDEX('商品マスタ'!$D$6:$D$1005,MATCH($C283,'商品マスタ'!$B$6:$B$1005,0))),IFERROR(INDEX('①在庫を貼る'!$H$6:$H$10005,MATCH($C283,'①在庫を貼る'!$W$6:$W$10005,0)),IFERROR(INDEX('月1回_1ヶ月前の在庫'!$H$6:$H$10005,MATCH($C283,'月1回_1ヶ月前の在庫'!$W$6:$W$10005,0)),IFERROR(INDEX('月1回_2ヶ月前の在庫'!$H$6:$H$10005,MATCH($C283,'月1回_2ヶ月前の在庫'!$W$6:$W$10005,0)),"")))))</f>
        <v/>
      </c>
      <c r="F283">
        <f>IF($C283="","",IFERROR(IF(INDEX('商品マスタ'!$E$6:$E$1005,MATCH($C283,'商品マスタ'!$B$6:$B$1005,0))="",IFERROR(INDEX('①在庫を貼る'!$E$6:$E$10005,MATCH($C283,'①在庫を貼る'!$W$6:$W$10005,0)),IFERROR(INDEX('月1回_1ヶ月前の在庫'!$E$6:$E$10005,MATCH($C283,'月1回_1ヶ月前の在庫'!$W$6:$W$10005,0)),IFERROR(INDEX('月1回_2ヶ月前の在庫'!$E$6:$E$10005,MATCH($C283,'月1回_2ヶ月前の在庫'!$W$6:$W$10005,0)),""))),INDEX('商品マスタ'!$E$6:$E$1005,MATCH($C283,'商品マスタ'!$B$6:$B$1005,0))),IFERROR(INDEX('①在庫を貼る'!$E$6:$E$10005,MATCH($C283,'①在庫を貼る'!$W$6:$W$10005,0)),IFERROR(INDEX('月1回_1ヶ月前の在庫'!$E$6:$E$10005,MATCH($C283,'月1回_1ヶ月前の在庫'!$W$6:$W$10005,0)),IFERROR(INDEX('月1回_2ヶ月前の在庫'!$E$6:$E$10005,MATCH($C283,'月1回_2ヶ月前の在庫'!$W$6:$W$10005,0)),"")))))</f>
        <v/>
      </c>
      <c r="G283">
        <f>IF($C283="","",MAX(1,N(IFERROR(IF(INDEX('商品マスタ'!$F$6:$F$1005,MATCH($C283,'商品マスタ'!$B$6:$B$1005,0))="",IF(COUNTIFS('①在庫を貼る'!$V$6:$V$10005,'設定'!$C$4,'①在庫を貼る'!$W$6:$W$10005,$C283)&gt;0,SUMIFS('①在庫を貼る'!$K$6:$K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K$6:$K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K$6:$K$10005,'月1回_2ヶ月前の在庫'!$V$6:$V$10005,'設定'!$C$4,'月1回_2ヶ月前の在庫'!$W$6:$W$10005,$C283)/COUNTIFS('月1回_2ヶ月前の在庫'!$V$6:$V$10005,'設定'!$C$4,'月1回_2ヶ月前の在庫'!$W$6:$W$10005,$C283),0))),INDEX('商品マスタ'!$F$6:$F$1005,MATCH($C283,'商品マスタ'!$B$6:$B$1005,0))),IF(COUNTIFS('①在庫を貼る'!$V$6:$V$10005,'設定'!$C$4,'①在庫を貼る'!$W$6:$W$10005,$C283)&gt;0,SUMIFS('①在庫を貼る'!$K$6:$K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K$6:$K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K$6:$K$10005,'月1回_2ヶ月前の在庫'!$V$6:$V$10005,'設定'!$C$4,'月1回_2ヶ月前の在庫'!$W$6:$W$10005,$C283)/COUNTIFS('月1回_2ヶ月前の在庫'!$V$6:$V$10005,'設定'!$C$4,'月1回_2ヶ月前の在庫'!$W$6:$W$10005,$C283),0)))))))</f>
        <v/>
      </c>
      <c r="H283">
        <f>IF($C283="","",N(IFERROR(IF(INDEX('商品マスタ'!$G$6:$G$1005,MATCH($C283,'商品マスタ'!$B$6:$B$1005,0))="",IF(COUNTIFS('①在庫を貼る'!$V$6:$V$10005,'設定'!$C$4,'①在庫を貼る'!$W$6:$W$10005,$C283)&gt;0,SUMIFS('①在庫を貼る'!$Q$6:$Q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Q$6:$Q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Q$6:$Q$10005,'月1回_2ヶ月前の在庫'!$V$6:$V$10005,'設定'!$C$4,'月1回_2ヶ月前の在庫'!$W$6:$W$10005,$C283)/COUNTIFS('月1回_2ヶ月前の在庫'!$V$6:$V$10005,'設定'!$C$4,'月1回_2ヶ月前の在庫'!$W$6:$W$10005,$C283),0))),INDEX('商品マスタ'!$G$6:$G$1005,MATCH($C283,'商品マスタ'!$B$6:$B$1005,0))),IF(COUNTIFS('①在庫を貼る'!$V$6:$V$10005,'設定'!$C$4,'①在庫を貼る'!$W$6:$W$10005,$C283)&gt;0,SUMIFS('①在庫を貼る'!$Q$6:$Q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Q$6:$Q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Q$6:$Q$10005,'月1回_2ヶ月前の在庫'!$V$6:$V$10005,'設定'!$C$4,'月1回_2ヶ月前の在庫'!$W$6:$W$10005,$C283)/COUNTIFS('月1回_2ヶ月前の在庫'!$V$6:$V$10005,'設定'!$C$4,'月1回_2ヶ月前の在庫'!$W$6:$W$10005,$C283),0))))))</f>
        <v/>
      </c>
      <c r="I283">
        <f>IF($C283="","",IF(COUNTIFS('①在庫を貼る'!$V$6:$V$10005,'設定'!$C$4,'①在庫を貼る'!$W$6:$W$10005,$C283)=0,"",SUMIFS('①在庫を貼る'!$N$6:$N$10005,'①在庫を貼る'!$V$6:$V$10005,'設定'!$C$4,'①在庫を貼る'!$W$6:$W$10005,$C283)))</f>
        <v/>
      </c>
      <c r="J283">
        <f>IF($C283="","",IF('②発注する'!$AD287="","",'②発注する'!$AD287))</f>
        <v/>
      </c>
      <c r="K283" s="90">
        <f>IF($C283="","",IF('②発注する'!$AE287="","",'②発注する'!$AE287))</f>
        <v/>
      </c>
      <c r="L283">
        <f>IF($C283="","",IF(AND(ISNUMBER($J283),ISNUMBER($K283),$K283&gt;='設定'!$C$6),$J283,N($I283)))</f>
        <v/>
      </c>
      <c r="M283">
        <f>IF($C283="","",IFERROR(IF(N(INDEX('商品マスタ'!$J$6:$J$1005,MATCH($C283,'商品マスタ'!$B$6:$B$1005,0)))&gt;0,INDEX('商品マスタ'!$J$6:$J$1005,MATCH($C283,'商品マスタ'!$B$6:$B$1005,0)),""),""))</f>
        <v/>
      </c>
      <c r="N283">
        <f>IF($C283="","",IFERROR(IF(N(INDEX('商品マスタ'!$H$6:$H$1005,MATCH($C283,'商品マスタ'!$B$6:$B$1005,0)))&gt;0,INDEX('商品マスタ'!$H$6:$H$1005,MATCH($C283,'商品マスタ'!$B$6:$B$1005,0)),""),""))</f>
        <v/>
      </c>
      <c r="O283">
        <f>IF($C283="","",IF($N283&lt;&gt;"",$N283*$G283,IF(N(IF(COUNTIFS('①在庫を貼る'!$V$6:$V$10005,'設定'!$C$4,'①在庫を貼る'!$W$6:$W$10005,$C283)&gt;0,SUMIFS('①在庫を貼る'!$O$6:$O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O$6:$O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O$6:$O$10005,'月1回_2ヶ月前の在庫'!$V$6:$V$10005,'設定'!$C$4,'月1回_2ヶ月前の在庫'!$W$6:$W$10005,$C283)/COUNTIFS('月1回_2ヶ月前の在庫'!$V$6:$V$10005,'設定'!$C$4,'月1回_2ヶ月前の在庫'!$W$6:$W$10005,$C283),0))))&gt;0,N(IF(COUNTIFS('①在庫を貼る'!$V$6:$V$10005,'設定'!$C$4,'①在庫を貼る'!$W$6:$W$10005,$C283)&gt;0,SUMIFS('①在庫を貼る'!$O$6:$O$10005,'①在庫を貼る'!$V$6:$V$10005,'設定'!$C$4,'①在庫を貼る'!$W$6:$W$10005,$C283)/COUNTIFS('①在庫を貼る'!$V$6:$V$10005,'設定'!$C$4,'①在庫を貼る'!$W$6:$W$10005,$C283),IF(COUNTIFS('月1回_1ヶ月前の在庫'!$V$6:$V$10005,'設定'!$C$4,'月1回_1ヶ月前の在庫'!$W$6:$W$10005,$C283)&gt;0,SUMIFS('月1回_1ヶ月前の在庫'!$O$6:$O$10005,'月1回_1ヶ月前の在庫'!$V$6:$V$10005,'設定'!$C$4,'月1回_1ヶ月前の在庫'!$W$6:$W$10005,$C283)/COUNTIFS('月1回_1ヶ月前の在庫'!$V$6:$V$10005,'設定'!$C$4,'月1回_1ヶ月前の在庫'!$W$6:$W$10005,$C283),IF(COUNTIFS('月1回_2ヶ月前の在庫'!$V$6:$V$10005,'設定'!$C$4,'月1回_2ヶ月前の在庫'!$W$6:$W$10005,$C283)&gt;0,SUMIFS('月1回_2ヶ月前の在庫'!$O$6:$O$10005,'月1回_2ヶ月前の在庫'!$V$6:$V$10005,'設定'!$C$4,'月1回_2ヶ月前の在庫'!$W$6:$W$10005,$C283)/COUNTIFS('月1回_2ヶ月前の在庫'!$V$6:$V$10005,'設定'!$C$4,'月1回_2ヶ月前の在庫'!$W$6:$W$10005,$C283),0)))),"")))</f>
        <v/>
      </c>
      <c r="P283" s="90">
        <f>IF($C283="","",IF('②発注する'!$I287="","",'②発注する'!$I287))</f>
        <v/>
      </c>
      <c r="Q283">
        <f>IF($C283="","",IF('②発注する'!$J287="","",'②発注する'!$J287))</f>
        <v/>
      </c>
      <c r="R283">
        <f>IF($C283="",0,IF(AND(ISNUMBER($P283),ISNUMBER($Q283)),MAX(0,$Q283)*$G283,0))</f>
        <v/>
      </c>
      <c r="S283" s="90">
        <f>IF($C283="","",IF('②発注する'!$M287="","",'②発注する'!$M287))</f>
        <v/>
      </c>
      <c r="T283">
        <f>IF($C283="","",IF('②発注する'!$N287="","",'②発注する'!$N287))</f>
        <v/>
      </c>
      <c r="U283">
        <f>IF($C283="",0,IF(AND(ISNUMBER($S283),ISNUMBER($T283)),MAX(0,$T283)*$G283,0))</f>
        <v/>
      </c>
      <c r="V283">
        <f>IF($C283="",0,IF($M283="",0,MAX(0,$M283)*MAX(0,V$4)/100))</f>
        <v/>
      </c>
      <c r="W283">
        <f>IF($C283="",0,IF($M283="",0,MAX(0,$M283)*MAX(0,W$4)/100))</f>
        <v/>
      </c>
      <c r="X283">
        <f>IF($C283="",0,IF($M283="",0,MAX(0,$M283)*MAX(0,X$4)/100))</f>
        <v/>
      </c>
      <c r="Y283">
        <f>IF($C283="",0,IF($M283="",0,MAX(0,$M283)*MAX(0,Y$4)/100))</f>
        <v/>
      </c>
      <c r="Z283">
        <f>IF($C283="",0,IF($M283="",0,MAX(0,$M283)*MAX(0,Z$4)/100))</f>
        <v/>
      </c>
      <c r="AA283">
        <f>IF($C283="",0,IF($M283="",0,MAX(0,$M283)*MAX(0,AA$4)/100))</f>
        <v/>
      </c>
      <c r="AB283">
        <f>IF($C283="",0,IF($M283="",0,MAX(0,$M283)*MAX(0,AB$4)/100))</f>
        <v/>
      </c>
      <c r="AC283">
        <f>IF($C283="",0,IF($M283="",0,MAX(0,$M283)*MAX(0,AC$4)/100))</f>
        <v/>
      </c>
      <c r="AD283">
        <f>IF($C283="",0,IF($M283="",0,MAX(0,$M283)*MAX(0,AD$4)/100))</f>
        <v/>
      </c>
      <c r="AE283">
        <f>IF($C283="",0,IF($M283="",0,MAX(0,$M283)*MAX(0,AE$4)/100))</f>
        <v/>
      </c>
      <c r="AF283">
        <f>IF($C283="",0,IF($M283="",0,MAX(0,$M283)*MAX(0,AF$4)/100))</f>
        <v/>
      </c>
      <c r="AG283">
        <f>IF($C283="",0,IF($M283="",0,MAX(0,$M283)*MAX(0,AG$4)/100))</f>
        <v/>
      </c>
      <c r="AH283">
        <f>IF($C283="",0,IF($M283="",0,MAX(0,$M283)*MAX(0,AH$4)/100))</f>
        <v/>
      </c>
      <c r="AI283">
        <f>IF($C283="",0,IF($M283="",0,MAX(0,$M283)*MAX(0,AI$4)/100))</f>
        <v/>
      </c>
      <c r="AJ283">
        <f>IF($C283="",0,MAX(0,MAX(0,N($L283))-$V283))</f>
        <v/>
      </c>
      <c r="AK283">
        <f>IF($C283="",0,MAX(0,$AJ283-$W283))</f>
        <v/>
      </c>
      <c r="AL283">
        <f>IF($C283="",0,MAX(0,$AK283-$X283))</f>
        <v/>
      </c>
      <c r="AM283">
        <f>IF($C283="",0,MAX(0,$AL283-$Y283))</f>
        <v/>
      </c>
      <c r="AN283">
        <f>IF($C283="",0,MAX(0,$AM283-$Z283))</f>
        <v/>
      </c>
      <c r="AO283">
        <f>IF($C283="",0,MAX(0,$AN283-$AA283))</f>
        <v/>
      </c>
      <c r="AP283">
        <f>IF($C283="",0,MAX(0,$AO283-$AB283))</f>
        <v/>
      </c>
      <c r="AQ283">
        <f>IF($C283="",0,MAX(0,$AP283-$AC283))</f>
        <v/>
      </c>
      <c r="AR283">
        <f>IF($C283="",0,MAX(0,$AQ283-$AD283))</f>
        <v/>
      </c>
      <c r="AS283">
        <f>IF($C283="",0,MAX(0,$AR283-$AE283))</f>
        <v/>
      </c>
      <c r="AT283">
        <f>IF($C283="",0,MAX(0,$AS283-$AF283))</f>
        <v/>
      </c>
      <c r="AU283">
        <f>IF($C283="",0,MAX(0,$AT283-$AG283))</f>
        <v/>
      </c>
      <c r="AV283">
        <f>IF($C283="",0,MAX(0,$AU283-$AH283))</f>
        <v/>
      </c>
      <c r="AW283">
        <f>IF($C283="",0,MAX(0,$AV283-$AI283))</f>
        <v/>
      </c>
      <c r="AX283">
        <f>IF($C283="",0,MAX(0,MAX(0,N($L283))+IF($P283=V$3,$R283,0)+IF($S283=V$3,$U283,0)-$V283))</f>
        <v/>
      </c>
      <c r="AY283">
        <f>IF($C283="",0,MAX(0,$AX283+IF($P283=W$3,$R283,0)+IF($S283=W$3,$U283,0)-$W283))</f>
        <v/>
      </c>
      <c r="AZ283">
        <f>IF($C283="",0,MAX(0,$AY283+IF($P283=X$3,$R283,0)+IF($S283=X$3,$U283,0)-$X283))</f>
        <v/>
      </c>
      <c r="BA283">
        <f>IF($C283="",0,MAX(0,$AZ283+IF($P283=Y$3,$R283,0)+IF($S283=Y$3,$U283,0)-$Y283))</f>
        <v/>
      </c>
      <c r="BB283">
        <f>IF($C283="",0,MAX(0,$BA283+IF($P283=Z$3,$R283,0)+IF($S283=Z$3,$U283,0)-$Z283))</f>
        <v/>
      </c>
      <c r="BC283">
        <f>IF($C283="",0,MAX(0,$BB283+IF($P283=AA$3,$R283,0)+IF($S283=AA$3,$U283,0)-$AA283))</f>
        <v/>
      </c>
      <c r="BD283">
        <f>IF($C283="",0,MAX(0,$BC283+IF($P283=AB$3,$R283,0)+IF($S283=AB$3,$U283,0)-$AB283))</f>
        <v/>
      </c>
      <c r="BE283">
        <f>IF($C283="",0,MAX(0,$BD283+IF($P283=AC$3,$R283,0)+IF($S283=AC$3,$U283,0)-$AC283))</f>
        <v/>
      </c>
      <c r="BF283">
        <f>IF($C283="",0,MAX(0,$BE283+IF($P283=AD$3,$R283,0)+IF($S283=AD$3,$U283,0)-$AD283))</f>
        <v/>
      </c>
      <c r="BG283">
        <f>IF($C283="",0,MAX(0,$BF283+IF($P283=AE$3,$R283,0)+IF($S283=AE$3,$U283,0)-$AE283))</f>
        <v/>
      </c>
      <c r="BH283">
        <f>IF($C283="",0,MAX(0,$BG283+IF($P283=AF$3,$R283,0)+IF($S283=AF$3,$U283,0)-$AF283))</f>
        <v/>
      </c>
      <c r="BI283">
        <f>IF($C283="",0,MAX(0,$BH283+IF($P283=AG$3,$R283,0)+IF($S283=AG$3,$U283,0)-$AG283))</f>
        <v/>
      </c>
      <c r="BJ283">
        <f>IF($C283="",0,MAX(0,$BI283+IF($P283=AH$3,$R283,0)+IF($S283=AH$3,$U283,0)-$AH283))</f>
        <v/>
      </c>
      <c r="BK283">
        <f>IF($C283="",0,MAX(0,$BJ283+IF($P283=AI$3,$R283,0)+IF($S283=AI$3,$U283,0)-$AI283))</f>
        <v/>
      </c>
      <c r="BL283">
        <f>IF($C283="",99,IF(AND($AX283&lt;1,V$3&gt;=MAX(N($P283),N($S283))),0,99))</f>
        <v/>
      </c>
      <c r="BM283">
        <f>IF($C283="",99,IF(AND($AY283&lt;1,W$3&gt;=MAX(N($P283),N($S283))),1,99))</f>
        <v/>
      </c>
      <c r="BN283">
        <f>IF($C283="",99,IF(AND($AZ283&lt;1,X$3&gt;=MAX(N($P283),N($S283))),2,99))</f>
        <v/>
      </c>
      <c r="BO283">
        <f>IF($C283="",99,IF(AND($BA283&lt;1,Y$3&gt;=MAX(N($P283),N($S283))),3,99))</f>
        <v/>
      </c>
      <c r="BP283">
        <f>IF($C283="",99,IF(AND($BB283&lt;1,Z$3&gt;=MAX(N($P283),N($S283))),4,99))</f>
        <v/>
      </c>
      <c r="BQ283">
        <f>IF($C283="",99,IF(AND($BC283&lt;1,AA$3&gt;=MAX(N($P283),N($S283))),5,99))</f>
        <v/>
      </c>
      <c r="BR283">
        <f>IF($C283="",99,IF(AND($BD283&lt;1,AB$3&gt;=MAX(N($P283),N($S283))),6,99))</f>
        <v/>
      </c>
      <c r="BS283">
        <f>IF($C283="",99,IF(AND($BE283&lt;1,AC$3&gt;=MAX(N($P283),N($S283))),7,99))</f>
        <v/>
      </c>
      <c r="BT283">
        <f>IF($C283="",99,IF(AND($BF283&lt;1,AD$3&gt;=MAX(N($P283),N($S283))),8,99))</f>
        <v/>
      </c>
      <c r="BU283">
        <f>IF($C283="",99,IF(AND($BG283&lt;1,AE$3&gt;=MAX(N($P283),N($S283))),9,99))</f>
        <v/>
      </c>
      <c r="BV283">
        <f>IF($C283="",99,IF(AND($BH283&lt;1,AF$3&gt;=MAX(N($P283),N($S283))),10,99))</f>
        <v/>
      </c>
      <c r="BW283">
        <f>IF($C283="",99,IF(AND($BI283&lt;1,AG$3&gt;=MAX(N($P283),N($S283))),11,99))</f>
        <v/>
      </c>
      <c r="BX283">
        <f>IF($C283="",99,IF(AND($BJ283&lt;1,AH$3&gt;=MAX(N($P283),N($S283))),12,99))</f>
        <v/>
      </c>
      <c r="BY283">
        <f>IF($C283="",99,IF(AND($BK283&lt;1,AI$3&gt;=MAX(N($P283),N($S283))),13,99))</f>
        <v/>
      </c>
      <c r="BZ283">
        <f>IF(OR($C283="",$M283=""),"",COUNTIF($AJ283:$AW283,"&gt;=1"))</f>
        <v/>
      </c>
      <c r="CA283" s="90">
        <f>IF($BZ283="","",IF($BZ283&gt;=14,"",'設定'!$C$6+$BZ283))</f>
        <v/>
      </c>
      <c r="CB283">
        <f>IF(OR($C283="",$M283=""),"",MIN($BL283:$BY283))</f>
        <v/>
      </c>
      <c r="CC283" s="90">
        <f>IF($CB283="","",IF($CB283&gt;=99,"",'設定'!$C$6+$CB283))</f>
        <v/>
      </c>
      <c r="CD283">
        <f>IF(OR($C283="",$M283=""),"",AVERAGE($V283:$AI283))</f>
        <v/>
      </c>
      <c r="CE283">
        <f>IF($C283="","",IFERROR(IF(MATCH(IF(ISNUMBER($P283),$P283,'設定'!$C$6+N('設定'!$C$7)),$V$3:$AI$3,0)=1,MAX(0,N($L283)),INDEX($AJ283:$AW283,MATCH(IF(ISNUMBER($P283),$P283,'設定'!$C$6+N('設定'!$C$7)),$V$3:$AI$3,0)-1)),""))</f>
        <v/>
      </c>
      <c r="CF283">
        <f>IF(OR($C283="",$O283="",$CE283=""),"",IF($O283-$CE283&lt;=0,0,ROUNDUP(($O283-$CE283)/$G283,0)))</f>
        <v/>
      </c>
      <c r="CG283">
        <f>IF(OR($C283="",$CF283="",NOT(ISNUMBER($Q283))),0,MAX(0,$Q283-$CF283))</f>
        <v/>
      </c>
      <c r="CH283">
        <f>IF(OR($C283="",$O283="",$U283=0),0,IFERROR(ROUNDUP(MAX(0,IF(MATCH($S283,$V$3:$AI$3,0)=1,MAX(0,N($L283)),INDEX($AX283:$BK283,MATCH($S283,$V$3:$AI$3,0)-1))+$U283-$O283)/$G283,0),0))</f>
        <v/>
      </c>
      <c r="CI283">
        <f>IF($C283="","",IF(AND($P283="",$Q283=""),"",IF($P283="","⚠ 入庫日を ▼ から選んでください",IF(NOT(ISNUMBER($P283)),"⚠ 入庫日は ▼ から選んでください",IF($P283&lt;N('設定'!$C$6),"⚠ 入庫日が過去です（もう在庫に入っています）→ 消してください",IF($P283&gt;N('設定'!$C$6)+13,"⚠ 入庫日が14日より先です",IF(N($Q283)&lt;=0,"⚠ 入庫数を入れてください",IF($CG283&gt;0,"⚠ 目安より "&amp;$CG283&amp;" 多い（定数を超える）→ 減らす",""))))))))</f>
        <v/>
      </c>
      <c r="CJ283">
        <f>IF($C283="","",IF(AND($S283="",$T283=""),"",IF($S283="","⚠ 2便目：入庫日を ▼ から選んでください",IF(NOT(ISNUMBER($S283)),"⚠ 2便目：入庫日は ▼ から選んでください",IF($S283&lt;N('設定'!$C$6),"⚠ 2便目：入庫日が過去です（もう在庫に入っています）→ 消してください",IF($S283&gt;N('設定'!$C$6)+13,"⚠ 2便目：入庫日が14日より先です",IF(N($T283)&lt;=0,"⚠ 2便目：入庫数を入れてください",IF($CH283&gt;0,"⚠ 2便目：定数を "&amp;$CH283&amp;" ケース超える → 減らす",""))))))))</f>
        <v/>
      </c>
      <c r="CK283">
        <f>IF(AND($CI283="",N($Q283)&gt;0,ISNUMBER($P283)),1,0)</f>
        <v/>
      </c>
      <c r="CL283">
        <f>IF(AND($CJ283="",N($T283)&gt;0,ISNUMBER($S283)),1,0)</f>
        <v/>
      </c>
      <c r="CM283">
        <f>IF(OR($CK283=1,$CL283=1),1,0)</f>
        <v/>
      </c>
      <c r="CN283">
        <f>IF($C283="",0,($CK283*$R283+$CL283*$U283)*N($H283))</f>
        <v/>
      </c>
      <c r="CO283">
        <f>IF($C283="","",IF($CC283="","入庫後は 14日以上もつ",IF($CC283-N('設定'!$C$7)&lt;='設定'!$C$6,"入庫後も "&amp;TEXT($CC283,"m/d")&amp;"("&amp;CHOOSE(WEEKDAY($CC283),"日","月","火","水","木","金","土")&amp;")"&amp;" に切れる　もう1便を至急発注","入庫後も "&amp;TEXT($CC283,"m/d")&amp;"("&amp;CHOOSE(WEEKDAY($CC283),"日","月","火","水","木","金","土")&amp;")"&amp;" に切れる　"&amp;TEXT($CC283-N('設定'!$C$7),"m/d")&amp;"("&amp;CHOOSE(WEEKDAY($CC283-N('設定'!$C$7)),"日","月","火","水","木","金","土")&amp;")"&amp;" までに次を発注")))</f>
        <v/>
      </c>
      <c r="CP283">
        <f>IF($C283="","",IF('設定'!$C$6="","？ ①在庫を貼る に今日のCSVが貼られていない",IF($CS283=1,"－ 今日のCSVに無い（終売？）",IF($L283&lt;0,"● 在庫がマイナス　数えて「数えた在庫」に入れる",IF($L283=0,"● 在庫なし　至急発注",IF($M283="","？ 減り数が未設定（商品マスタ）",IF($B$3=0,"？ 動員が未入力（動員を入れる）",IF($CA283="","○ 14日以上もつ",IF($BZ283&lt;N('設定'!$C$7),"● "&amp;TEXT($CA283,"m/d")&amp;"("&amp;CHOOSE(WEEKDAY($CA283),"日","月","火","水","木","金","土")&amp;")"&amp;" に切れる　至急発注",IF($BZ283=N('設定'!$C$7),"● "&amp;TEXT($CA283,"m/d")&amp;"("&amp;CHOOSE(WEEKDAY($CA283),"日","月","火","水","木","金","土")&amp;")"&amp;" に切れる　今日発注","△ "&amp;TEXT($CA283,"m/d")&amp;"("&amp;CHOOSE(WEEKDAY($CA283),"日","月","火","水","木","金","土")&amp;")"&amp;" に切れる　"&amp;TEXT($CA283-N('設定'!$C$7),"m/d")&amp;"("&amp;CHOOSE(WEEKDAY($CA283-N('設定'!$C$7)),"日","月","火","水","木","金","土")&amp;")"&amp;" までに発注"))))))))))</f>
        <v/>
      </c>
      <c r="CQ283">
        <f>IF($C283="","",IF(AND($P283="",$Q283="",$S283="",$T283=""),"",IF(AND($P283="",$Q283=""),"⚠ 先に1便目（左の入庫日・入庫数）に入れてください",IF($CI283&lt;&gt;"",$CI283,IF($CJ283&lt;&gt;"",$CJ283,IF($M283="","？ 減り数が未設定（発注書には載ります）",IF($B$3=0,"？ 動員が未入力（発注書には載ります）",IF(AND($CA283&lt;&gt;"",$P283&gt;$CA283),IF($P283&gt;'設定'!$C$6+N('設定'!$C$7),"● "&amp;TEXT($P283,"m/d")&amp;"("&amp;CHOOSE(WEEKDAY($P283),"日","月","火","水","木","金","土")&amp;")"&amp;" の入庫では間に合わない（"&amp;TEXT($CA283,"m/d")&amp;"("&amp;CHOOSE(WEEKDAY($CA283),"日","月","火","水","木","金","土")&amp;")"&amp;" に切れる）　入庫日を早める","△ 欠品 "&amp;TEXT($CA283,"m/d")&amp;"("&amp;CHOOSE(WEEKDAY($CA283),"日","月","火","水","木","金","土")&amp;")"&amp;"〜"&amp;TEXT($P283-1,"m/d")&amp;"("&amp;CHOOSE(WEEKDAY($P283-1),"日","月","火","水","木","金","土")&amp;")"&amp;"　"&amp;$CO283),IF($CC283="","○ "&amp;TEXT($P283,"m/d")&amp;"("&amp;CHOOSE(WEEKDAY($P283),"日","月","火","水","木","金","土")&amp;")"&amp;" 入庫で 14日以上もつ",IF($CC283-N('設定'!$C$7)&lt;='設定'!$C$6,"● 入庫しても "&amp;TEXT($CC283,"m/d")&amp;"("&amp;CHOOSE(WEEKDAY($CC283),"日","月","火","水","木","金","土")&amp;")"&amp;" に切れる　もう1便を至急発注（2便目に入れる）","△ 入庫しても "&amp;TEXT($CC283,"m/d")&amp;"("&amp;CHOOSE(WEEKDAY($CC283),"日","月","火","水","木","金","土")&amp;")"&amp;" に切れる　"&amp;TEXT($CC283-N('設定'!$C$7),"m/d")&amp;"("&amp;CHOOSE(WEEKDAY($CC283-N('設定'!$C$7)),"日","月","火","水","木","金","土")&amp;")"&amp;" までに次を発注（2便目に入れる）"))))))))))</f>
        <v/>
      </c>
      <c r="CR283">
        <f>IF($C283="","",IF($G283&gt;1,"ｹｰｽ("&amp;$G283&amp;"入)","個"))</f>
        <v/>
      </c>
      <c r="CS283">
        <f>IF($C283="",0,IF(COUNTIFS('①在庫を貼る'!$V$6:$V$10005,'設定'!$C$4,'①在庫を貼る'!$W$6:$W$10005,$C283)=0,1,0))</f>
        <v/>
      </c>
      <c r="CT283">
        <f>IF(AND($CK283=1,OR('③発注書'!$C$4="すべて",'③発注書'!$C$4="",$F283='③発注書'!$C$4)),N($CT282)+1,N($CT282))</f>
        <v/>
      </c>
      <c r="CU283">
        <f>IF(AND($CL283=1,OR('③発注書'!$C$4="すべて",'③発注書'!$C$4="",$F283='③発注書'!$C$4)),N($CU282)+1,N($CU282))</f>
        <v/>
      </c>
      <c r="CV283">
        <f>IF($C283="",0,IF(COUNTIFS('①在庫を貼る'!$V$6:$V$10005,'設定'!$C$4,'①在庫を貼る'!$W$6:$W$10005,$C283)&gt;0,1,0))</f>
        <v/>
      </c>
      <c r="CW283">
        <f>IF($C283="",0,IF(COUNTIFS('月1回_1ヶ月前の在庫'!$V$6:$V$10005,'設定'!$C$4,'月1回_1ヶ月前の在庫'!$W$6:$W$10005,$C283)&gt;0,1,0))</f>
        <v/>
      </c>
      <c r="CX283">
        <f>IF($C283="",0,IF(COUNTIFS('月1回_2ヶ月前の在庫'!$V$6:$V$10005,'設定'!$C$4,'月1回_2ヶ月前の在庫'!$W$6:$W$10005,$C283)&gt;0,1,0))</f>
        <v/>
      </c>
      <c r="CY283">
        <f>IF(OR($C283="",'設定'!$C$12=""),"",IF('設定'!$C$13="",IF(AND($CV283=1,$CW283=0),"新商品（今月から）",IF(AND($CV283=0,$CW283=1),"終売（今月から）","")),IF(AND($CV283=1,$CW283=0,$CX283=0),"新商品（今月から）",IF(AND($CV283=1,$CW283=1,$CX283=0),"新商品（先月から）",IF(AND($CV283=0,$CW283=1,$CX283=1),"終売（今月から）",IF(AND($CV283=0,$CW283=0,$CX283=1),"終売（先月から）",IF(AND($CV283=1,$CW283=0,$CX283=1),"復活（先月は無し）","")))))))</f>
        <v/>
      </c>
    </row>
    <row r="284">
      <c r="B284">
        <f>IF(279&lt;='設定'!$C$11,279,"")</f>
        <v/>
      </c>
      <c r="C284">
        <f>IF($B284="","",IF($B284&lt;='設定'!$C$20,INDEX('商品マスタ'!$B$6:$B$1005,MATCH($B284,'商品マスタ'!$M$6:$M$1005,0)),IF($B284&lt;='設定'!$C$20+'設定'!$C$17,INDEX('①在庫を貼る'!$W$6:$W$10005,MATCH($B284-'設定'!$C$20,'①在庫を貼る'!$U$6:$U$10005,0)),IF($B284&lt;='設定'!$C$20+'設定'!$C$17+'設定'!$C$18,INDEX('月1回_1ヶ月前の在庫'!$W$6:$W$10005,MATCH($B284-'設定'!$C$20-'設定'!$C$17,'月1回_1ヶ月前の在庫'!$U$6:$U$10005,0)),INDEX('月1回_2ヶ月前の在庫'!$W$6:$W$10005,MATCH($B284-'設定'!$C$20-'設定'!$C$17-'設定'!$C$18,'月1回_2ヶ月前の在庫'!$U$6:$U$10005,0))))))</f>
        <v/>
      </c>
      <c r="D284">
        <f>IF($C284="","",IFERROR(IF(INDEX('商品マスタ'!$C$6:$C$1005,MATCH($C284,'商品マスタ'!$B$6:$B$1005,0))="",IFERROR(INDEX('①在庫を貼る'!$J$6:$J$10005,MATCH($C284,'①在庫を貼る'!$W$6:$W$10005,0)),IFERROR(INDEX('月1回_1ヶ月前の在庫'!$J$6:$J$10005,MATCH($C284,'月1回_1ヶ月前の在庫'!$W$6:$W$10005,0)),IFERROR(INDEX('月1回_2ヶ月前の在庫'!$J$6:$J$10005,MATCH($C284,'月1回_2ヶ月前の在庫'!$W$6:$W$10005,0)),""))),INDEX('商品マスタ'!$C$6:$C$1005,MATCH($C284,'商品マスタ'!$B$6:$B$1005,0))),IFERROR(INDEX('①在庫を貼る'!$J$6:$J$10005,MATCH($C284,'①在庫を貼る'!$W$6:$W$10005,0)),IFERROR(INDEX('月1回_1ヶ月前の在庫'!$J$6:$J$10005,MATCH($C284,'月1回_1ヶ月前の在庫'!$W$6:$W$10005,0)),IFERROR(INDEX('月1回_2ヶ月前の在庫'!$J$6:$J$10005,MATCH($C284,'月1回_2ヶ月前の在庫'!$W$6:$W$10005,0)),"")))))</f>
        <v/>
      </c>
      <c r="E284">
        <f>IF($C284="","",IFERROR(IF(INDEX('商品マスタ'!$D$6:$D$1005,MATCH($C284,'商品マスタ'!$B$6:$B$1005,0))="",IFERROR(INDEX('①在庫を貼る'!$H$6:$H$10005,MATCH($C284,'①在庫を貼る'!$W$6:$W$10005,0)),IFERROR(INDEX('月1回_1ヶ月前の在庫'!$H$6:$H$10005,MATCH($C284,'月1回_1ヶ月前の在庫'!$W$6:$W$10005,0)),IFERROR(INDEX('月1回_2ヶ月前の在庫'!$H$6:$H$10005,MATCH($C284,'月1回_2ヶ月前の在庫'!$W$6:$W$10005,0)),""))),INDEX('商品マスタ'!$D$6:$D$1005,MATCH($C284,'商品マスタ'!$B$6:$B$1005,0))),IFERROR(INDEX('①在庫を貼る'!$H$6:$H$10005,MATCH($C284,'①在庫を貼る'!$W$6:$W$10005,0)),IFERROR(INDEX('月1回_1ヶ月前の在庫'!$H$6:$H$10005,MATCH($C284,'月1回_1ヶ月前の在庫'!$W$6:$W$10005,0)),IFERROR(INDEX('月1回_2ヶ月前の在庫'!$H$6:$H$10005,MATCH($C284,'月1回_2ヶ月前の在庫'!$W$6:$W$10005,0)),"")))))</f>
        <v/>
      </c>
      <c r="F284">
        <f>IF($C284="","",IFERROR(IF(INDEX('商品マスタ'!$E$6:$E$1005,MATCH($C284,'商品マスタ'!$B$6:$B$1005,0))="",IFERROR(INDEX('①在庫を貼る'!$E$6:$E$10005,MATCH($C284,'①在庫を貼る'!$W$6:$W$10005,0)),IFERROR(INDEX('月1回_1ヶ月前の在庫'!$E$6:$E$10005,MATCH($C284,'月1回_1ヶ月前の在庫'!$W$6:$W$10005,0)),IFERROR(INDEX('月1回_2ヶ月前の在庫'!$E$6:$E$10005,MATCH($C284,'月1回_2ヶ月前の在庫'!$W$6:$W$10005,0)),""))),INDEX('商品マスタ'!$E$6:$E$1005,MATCH($C284,'商品マスタ'!$B$6:$B$1005,0))),IFERROR(INDEX('①在庫を貼る'!$E$6:$E$10005,MATCH($C284,'①在庫を貼る'!$W$6:$W$10005,0)),IFERROR(INDEX('月1回_1ヶ月前の在庫'!$E$6:$E$10005,MATCH($C284,'月1回_1ヶ月前の在庫'!$W$6:$W$10005,0)),IFERROR(INDEX('月1回_2ヶ月前の在庫'!$E$6:$E$10005,MATCH($C284,'月1回_2ヶ月前の在庫'!$W$6:$W$10005,0)),"")))))</f>
        <v/>
      </c>
      <c r="G284">
        <f>IF($C284="","",MAX(1,N(IFERROR(IF(INDEX('商品マスタ'!$F$6:$F$1005,MATCH($C284,'商品マスタ'!$B$6:$B$1005,0))="",IF(COUNTIFS('①在庫を貼る'!$V$6:$V$10005,'設定'!$C$4,'①在庫を貼る'!$W$6:$W$10005,$C284)&gt;0,SUMIFS('①在庫を貼る'!$K$6:$K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K$6:$K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K$6:$K$10005,'月1回_2ヶ月前の在庫'!$V$6:$V$10005,'設定'!$C$4,'月1回_2ヶ月前の在庫'!$W$6:$W$10005,$C284)/COUNTIFS('月1回_2ヶ月前の在庫'!$V$6:$V$10005,'設定'!$C$4,'月1回_2ヶ月前の在庫'!$W$6:$W$10005,$C284),0))),INDEX('商品マスタ'!$F$6:$F$1005,MATCH($C284,'商品マスタ'!$B$6:$B$1005,0))),IF(COUNTIFS('①在庫を貼る'!$V$6:$V$10005,'設定'!$C$4,'①在庫を貼る'!$W$6:$W$10005,$C284)&gt;0,SUMIFS('①在庫を貼る'!$K$6:$K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K$6:$K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K$6:$K$10005,'月1回_2ヶ月前の在庫'!$V$6:$V$10005,'設定'!$C$4,'月1回_2ヶ月前の在庫'!$W$6:$W$10005,$C284)/COUNTIFS('月1回_2ヶ月前の在庫'!$V$6:$V$10005,'設定'!$C$4,'月1回_2ヶ月前の在庫'!$W$6:$W$10005,$C284),0)))))))</f>
        <v/>
      </c>
      <c r="H284">
        <f>IF($C284="","",N(IFERROR(IF(INDEX('商品マスタ'!$G$6:$G$1005,MATCH($C284,'商品マスタ'!$B$6:$B$1005,0))="",IF(COUNTIFS('①在庫を貼る'!$V$6:$V$10005,'設定'!$C$4,'①在庫を貼る'!$W$6:$W$10005,$C284)&gt;0,SUMIFS('①在庫を貼る'!$Q$6:$Q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Q$6:$Q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Q$6:$Q$10005,'月1回_2ヶ月前の在庫'!$V$6:$V$10005,'設定'!$C$4,'月1回_2ヶ月前の在庫'!$W$6:$W$10005,$C284)/COUNTIFS('月1回_2ヶ月前の在庫'!$V$6:$V$10005,'設定'!$C$4,'月1回_2ヶ月前の在庫'!$W$6:$W$10005,$C284),0))),INDEX('商品マスタ'!$G$6:$G$1005,MATCH($C284,'商品マスタ'!$B$6:$B$1005,0))),IF(COUNTIFS('①在庫を貼る'!$V$6:$V$10005,'設定'!$C$4,'①在庫を貼る'!$W$6:$W$10005,$C284)&gt;0,SUMIFS('①在庫を貼る'!$Q$6:$Q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Q$6:$Q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Q$6:$Q$10005,'月1回_2ヶ月前の在庫'!$V$6:$V$10005,'設定'!$C$4,'月1回_2ヶ月前の在庫'!$W$6:$W$10005,$C284)/COUNTIFS('月1回_2ヶ月前の在庫'!$V$6:$V$10005,'設定'!$C$4,'月1回_2ヶ月前の在庫'!$W$6:$W$10005,$C284),0))))))</f>
        <v/>
      </c>
      <c r="I284">
        <f>IF($C284="","",IF(COUNTIFS('①在庫を貼る'!$V$6:$V$10005,'設定'!$C$4,'①在庫を貼る'!$W$6:$W$10005,$C284)=0,"",SUMIFS('①在庫を貼る'!$N$6:$N$10005,'①在庫を貼る'!$V$6:$V$10005,'設定'!$C$4,'①在庫を貼る'!$W$6:$W$10005,$C284)))</f>
        <v/>
      </c>
      <c r="J284">
        <f>IF($C284="","",IF('②発注する'!$AD288="","",'②発注する'!$AD288))</f>
        <v/>
      </c>
      <c r="K284" s="90">
        <f>IF($C284="","",IF('②発注する'!$AE288="","",'②発注する'!$AE288))</f>
        <v/>
      </c>
      <c r="L284">
        <f>IF($C284="","",IF(AND(ISNUMBER($J284),ISNUMBER($K284),$K284&gt;='設定'!$C$6),$J284,N($I284)))</f>
        <v/>
      </c>
      <c r="M284">
        <f>IF($C284="","",IFERROR(IF(N(INDEX('商品マスタ'!$J$6:$J$1005,MATCH($C284,'商品マスタ'!$B$6:$B$1005,0)))&gt;0,INDEX('商品マスタ'!$J$6:$J$1005,MATCH($C284,'商品マスタ'!$B$6:$B$1005,0)),""),""))</f>
        <v/>
      </c>
      <c r="N284">
        <f>IF($C284="","",IFERROR(IF(N(INDEX('商品マスタ'!$H$6:$H$1005,MATCH($C284,'商品マスタ'!$B$6:$B$1005,0)))&gt;0,INDEX('商品マスタ'!$H$6:$H$1005,MATCH($C284,'商品マスタ'!$B$6:$B$1005,0)),""),""))</f>
        <v/>
      </c>
      <c r="O284">
        <f>IF($C284="","",IF($N284&lt;&gt;"",$N284*$G284,IF(N(IF(COUNTIFS('①在庫を貼る'!$V$6:$V$10005,'設定'!$C$4,'①在庫を貼る'!$W$6:$W$10005,$C284)&gt;0,SUMIFS('①在庫を貼る'!$O$6:$O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O$6:$O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O$6:$O$10005,'月1回_2ヶ月前の在庫'!$V$6:$V$10005,'設定'!$C$4,'月1回_2ヶ月前の在庫'!$W$6:$W$10005,$C284)/COUNTIFS('月1回_2ヶ月前の在庫'!$V$6:$V$10005,'設定'!$C$4,'月1回_2ヶ月前の在庫'!$W$6:$W$10005,$C284),0))))&gt;0,N(IF(COUNTIFS('①在庫を貼る'!$V$6:$V$10005,'設定'!$C$4,'①在庫を貼る'!$W$6:$W$10005,$C284)&gt;0,SUMIFS('①在庫を貼る'!$O$6:$O$10005,'①在庫を貼る'!$V$6:$V$10005,'設定'!$C$4,'①在庫を貼る'!$W$6:$W$10005,$C284)/COUNTIFS('①在庫を貼る'!$V$6:$V$10005,'設定'!$C$4,'①在庫を貼る'!$W$6:$W$10005,$C284),IF(COUNTIFS('月1回_1ヶ月前の在庫'!$V$6:$V$10005,'設定'!$C$4,'月1回_1ヶ月前の在庫'!$W$6:$W$10005,$C284)&gt;0,SUMIFS('月1回_1ヶ月前の在庫'!$O$6:$O$10005,'月1回_1ヶ月前の在庫'!$V$6:$V$10005,'設定'!$C$4,'月1回_1ヶ月前の在庫'!$W$6:$W$10005,$C284)/COUNTIFS('月1回_1ヶ月前の在庫'!$V$6:$V$10005,'設定'!$C$4,'月1回_1ヶ月前の在庫'!$W$6:$W$10005,$C284),IF(COUNTIFS('月1回_2ヶ月前の在庫'!$V$6:$V$10005,'設定'!$C$4,'月1回_2ヶ月前の在庫'!$W$6:$W$10005,$C284)&gt;0,SUMIFS('月1回_2ヶ月前の在庫'!$O$6:$O$10005,'月1回_2ヶ月前の在庫'!$V$6:$V$10005,'設定'!$C$4,'月1回_2ヶ月前の在庫'!$W$6:$W$10005,$C284)/COUNTIFS('月1回_2ヶ月前の在庫'!$V$6:$V$10005,'設定'!$C$4,'月1回_2ヶ月前の在庫'!$W$6:$W$10005,$C284),0)))),"")))</f>
        <v/>
      </c>
      <c r="P284" s="90">
        <f>IF($C284="","",IF('②発注する'!$I288="","",'②発注する'!$I288))</f>
        <v/>
      </c>
      <c r="Q284">
        <f>IF($C284="","",IF('②発注する'!$J288="","",'②発注する'!$J288))</f>
        <v/>
      </c>
      <c r="R284">
        <f>IF($C284="",0,IF(AND(ISNUMBER($P284),ISNUMBER($Q284)),MAX(0,$Q284)*$G284,0))</f>
        <v/>
      </c>
      <c r="S284" s="90">
        <f>IF($C284="","",IF('②発注する'!$M288="","",'②発注する'!$M288))</f>
        <v/>
      </c>
      <c r="T284">
        <f>IF($C284="","",IF('②発注する'!$N288="","",'②発注する'!$N288))</f>
        <v/>
      </c>
      <c r="U284">
        <f>IF($C284="",0,IF(AND(ISNUMBER($S284),ISNUMBER($T284)),MAX(0,$T284)*$G284,0))</f>
        <v/>
      </c>
      <c r="V284">
        <f>IF($C284="",0,IF($M284="",0,MAX(0,$M284)*MAX(0,V$4)/100))</f>
        <v/>
      </c>
      <c r="W284">
        <f>IF($C284="",0,IF($M284="",0,MAX(0,$M284)*MAX(0,W$4)/100))</f>
        <v/>
      </c>
      <c r="X284">
        <f>IF($C284="",0,IF($M284="",0,MAX(0,$M284)*MAX(0,X$4)/100))</f>
        <v/>
      </c>
      <c r="Y284">
        <f>IF($C284="",0,IF($M284="",0,MAX(0,$M284)*MAX(0,Y$4)/100))</f>
        <v/>
      </c>
      <c r="Z284">
        <f>IF($C284="",0,IF($M284="",0,MAX(0,$M284)*MAX(0,Z$4)/100))</f>
        <v/>
      </c>
      <c r="AA284">
        <f>IF($C284="",0,IF($M284="",0,MAX(0,$M284)*MAX(0,AA$4)/100))</f>
        <v/>
      </c>
      <c r="AB284">
        <f>IF($C284="",0,IF($M284="",0,MAX(0,$M284)*MAX(0,AB$4)/100))</f>
        <v/>
      </c>
      <c r="AC284">
        <f>IF($C284="",0,IF($M284="",0,MAX(0,$M284)*MAX(0,AC$4)/100))</f>
        <v/>
      </c>
      <c r="AD284">
        <f>IF($C284="",0,IF($M284="",0,MAX(0,$M284)*MAX(0,AD$4)/100))</f>
        <v/>
      </c>
      <c r="AE284">
        <f>IF($C284="",0,IF($M284="",0,MAX(0,$M284)*MAX(0,AE$4)/100))</f>
        <v/>
      </c>
      <c r="AF284">
        <f>IF($C284="",0,IF($M284="",0,MAX(0,$M284)*MAX(0,AF$4)/100))</f>
        <v/>
      </c>
      <c r="AG284">
        <f>IF($C284="",0,IF($M284="",0,MAX(0,$M284)*MAX(0,AG$4)/100))</f>
        <v/>
      </c>
      <c r="AH284">
        <f>IF($C284="",0,IF($M284="",0,MAX(0,$M284)*MAX(0,AH$4)/100))</f>
        <v/>
      </c>
      <c r="AI284">
        <f>IF($C284="",0,IF($M284="",0,MAX(0,$M284)*MAX(0,AI$4)/100))</f>
        <v/>
      </c>
      <c r="AJ284">
        <f>IF($C284="",0,MAX(0,MAX(0,N($L284))-$V284))</f>
        <v/>
      </c>
      <c r="AK284">
        <f>IF($C284="",0,MAX(0,$AJ284-$W284))</f>
        <v/>
      </c>
      <c r="AL284">
        <f>IF($C284="",0,MAX(0,$AK284-$X284))</f>
        <v/>
      </c>
      <c r="AM284">
        <f>IF($C284="",0,MAX(0,$AL284-$Y284))</f>
        <v/>
      </c>
      <c r="AN284">
        <f>IF($C284="",0,MAX(0,$AM284-$Z284))</f>
        <v/>
      </c>
      <c r="AO284">
        <f>IF($C284="",0,MAX(0,$AN284-$AA284))</f>
        <v/>
      </c>
      <c r="AP284">
        <f>IF($C284="",0,MAX(0,$AO284-$AB284))</f>
        <v/>
      </c>
      <c r="AQ284">
        <f>IF($C284="",0,MAX(0,$AP284-$AC284))</f>
        <v/>
      </c>
      <c r="AR284">
        <f>IF($C284="",0,MAX(0,$AQ284-$AD284))</f>
        <v/>
      </c>
      <c r="AS284">
        <f>IF($C284="",0,MAX(0,$AR284-$AE284))</f>
        <v/>
      </c>
      <c r="AT284">
        <f>IF($C284="",0,MAX(0,$AS284-$AF284))</f>
        <v/>
      </c>
      <c r="AU284">
        <f>IF($C284="",0,MAX(0,$AT284-$AG284))</f>
        <v/>
      </c>
      <c r="AV284">
        <f>IF($C284="",0,MAX(0,$AU284-$AH284))</f>
        <v/>
      </c>
      <c r="AW284">
        <f>IF($C284="",0,MAX(0,$AV284-$AI284))</f>
        <v/>
      </c>
      <c r="AX284">
        <f>IF($C284="",0,MAX(0,MAX(0,N($L284))+IF($P284=V$3,$R284,0)+IF($S284=V$3,$U284,0)-$V284))</f>
        <v/>
      </c>
      <c r="AY284">
        <f>IF($C284="",0,MAX(0,$AX284+IF($P284=W$3,$R284,0)+IF($S284=W$3,$U284,0)-$W284))</f>
        <v/>
      </c>
      <c r="AZ284">
        <f>IF($C284="",0,MAX(0,$AY284+IF($P284=X$3,$R284,0)+IF($S284=X$3,$U284,0)-$X284))</f>
        <v/>
      </c>
      <c r="BA284">
        <f>IF($C284="",0,MAX(0,$AZ284+IF($P284=Y$3,$R284,0)+IF($S284=Y$3,$U284,0)-$Y284))</f>
        <v/>
      </c>
      <c r="BB284">
        <f>IF($C284="",0,MAX(0,$BA284+IF($P284=Z$3,$R284,0)+IF($S284=Z$3,$U284,0)-$Z284))</f>
        <v/>
      </c>
      <c r="BC284">
        <f>IF($C284="",0,MAX(0,$BB284+IF($P284=AA$3,$R284,0)+IF($S284=AA$3,$U284,0)-$AA284))</f>
        <v/>
      </c>
      <c r="BD284">
        <f>IF($C284="",0,MAX(0,$BC284+IF($P284=AB$3,$R284,0)+IF($S284=AB$3,$U284,0)-$AB284))</f>
        <v/>
      </c>
      <c r="BE284">
        <f>IF($C284="",0,MAX(0,$BD284+IF($P284=AC$3,$R284,0)+IF($S284=AC$3,$U284,0)-$AC284))</f>
        <v/>
      </c>
      <c r="BF284">
        <f>IF($C284="",0,MAX(0,$BE284+IF($P284=AD$3,$R284,0)+IF($S284=AD$3,$U284,0)-$AD284))</f>
        <v/>
      </c>
      <c r="BG284">
        <f>IF($C284="",0,MAX(0,$BF284+IF($P284=AE$3,$R284,0)+IF($S284=AE$3,$U284,0)-$AE284))</f>
        <v/>
      </c>
      <c r="BH284">
        <f>IF($C284="",0,MAX(0,$BG284+IF($P284=AF$3,$R284,0)+IF($S284=AF$3,$U284,0)-$AF284))</f>
        <v/>
      </c>
      <c r="BI284">
        <f>IF($C284="",0,MAX(0,$BH284+IF($P284=AG$3,$R284,0)+IF($S284=AG$3,$U284,0)-$AG284))</f>
        <v/>
      </c>
      <c r="BJ284">
        <f>IF($C284="",0,MAX(0,$BI284+IF($P284=AH$3,$R284,0)+IF($S284=AH$3,$U284,0)-$AH284))</f>
        <v/>
      </c>
      <c r="BK284">
        <f>IF($C284="",0,MAX(0,$BJ284+IF($P284=AI$3,$R284,0)+IF($S284=AI$3,$U284,0)-$AI284))</f>
        <v/>
      </c>
      <c r="BL284">
        <f>IF($C284="",99,IF(AND($AX284&lt;1,V$3&gt;=MAX(N($P284),N($S284))),0,99))</f>
        <v/>
      </c>
      <c r="BM284">
        <f>IF($C284="",99,IF(AND($AY284&lt;1,W$3&gt;=MAX(N($P284),N($S284))),1,99))</f>
        <v/>
      </c>
      <c r="BN284">
        <f>IF($C284="",99,IF(AND($AZ284&lt;1,X$3&gt;=MAX(N($P284),N($S284))),2,99))</f>
        <v/>
      </c>
      <c r="BO284">
        <f>IF($C284="",99,IF(AND($BA284&lt;1,Y$3&gt;=MAX(N($P284),N($S284))),3,99))</f>
        <v/>
      </c>
      <c r="BP284">
        <f>IF($C284="",99,IF(AND($BB284&lt;1,Z$3&gt;=MAX(N($P284),N($S284))),4,99))</f>
        <v/>
      </c>
      <c r="BQ284">
        <f>IF($C284="",99,IF(AND($BC284&lt;1,AA$3&gt;=MAX(N($P284),N($S284))),5,99))</f>
        <v/>
      </c>
      <c r="BR284">
        <f>IF($C284="",99,IF(AND($BD284&lt;1,AB$3&gt;=MAX(N($P284),N($S284))),6,99))</f>
        <v/>
      </c>
      <c r="BS284">
        <f>IF($C284="",99,IF(AND($BE284&lt;1,AC$3&gt;=MAX(N($P284),N($S284))),7,99))</f>
        <v/>
      </c>
      <c r="BT284">
        <f>IF($C284="",99,IF(AND($BF284&lt;1,AD$3&gt;=MAX(N($P284),N($S284))),8,99))</f>
        <v/>
      </c>
      <c r="BU284">
        <f>IF($C284="",99,IF(AND($BG284&lt;1,AE$3&gt;=MAX(N($P284),N($S284))),9,99))</f>
        <v/>
      </c>
      <c r="BV284">
        <f>IF($C284="",99,IF(AND($BH284&lt;1,AF$3&gt;=MAX(N($P284),N($S284))),10,99))</f>
        <v/>
      </c>
      <c r="BW284">
        <f>IF($C284="",99,IF(AND($BI284&lt;1,AG$3&gt;=MAX(N($P284),N($S284))),11,99))</f>
        <v/>
      </c>
      <c r="BX284">
        <f>IF($C284="",99,IF(AND($BJ284&lt;1,AH$3&gt;=MAX(N($P284),N($S284))),12,99))</f>
        <v/>
      </c>
      <c r="BY284">
        <f>IF($C284="",99,IF(AND($BK284&lt;1,AI$3&gt;=MAX(N($P284),N($S284))),13,99))</f>
        <v/>
      </c>
      <c r="BZ284">
        <f>IF(OR($C284="",$M284=""),"",COUNTIF($AJ284:$AW284,"&gt;=1"))</f>
        <v/>
      </c>
      <c r="CA284" s="90">
        <f>IF($BZ284="","",IF($BZ284&gt;=14,"",'設定'!$C$6+$BZ284))</f>
        <v/>
      </c>
      <c r="CB284">
        <f>IF(OR($C284="",$M284=""),"",MIN($BL284:$BY284))</f>
        <v/>
      </c>
      <c r="CC284" s="90">
        <f>IF($CB284="","",IF($CB284&gt;=99,"",'設定'!$C$6+$CB284))</f>
        <v/>
      </c>
      <c r="CD284">
        <f>IF(OR($C284="",$M284=""),"",AVERAGE($V284:$AI284))</f>
        <v/>
      </c>
      <c r="CE284">
        <f>IF($C284="","",IFERROR(IF(MATCH(IF(ISNUMBER($P284),$P284,'設定'!$C$6+N('設定'!$C$7)),$V$3:$AI$3,0)=1,MAX(0,N($L284)),INDEX($AJ284:$AW284,MATCH(IF(ISNUMBER($P284),$P284,'設定'!$C$6+N('設定'!$C$7)),$V$3:$AI$3,0)-1)),""))</f>
        <v/>
      </c>
      <c r="CF284">
        <f>IF(OR($C284="",$O284="",$CE284=""),"",IF($O284-$CE284&lt;=0,0,ROUNDUP(($O284-$CE284)/$G284,0)))</f>
        <v/>
      </c>
      <c r="CG284">
        <f>IF(OR($C284="",$CF284="",NOT(ISNUMBER($Q284))),0,MAX(0,$Q284-$CF284))</f>
        <v/>
      </c>
      <c r="CH284">
        <f>IF(OR($C284="",$O284="",$U284=0),0,IFERROR(ROUNDUP(MAX(0,IF(MATCH($S284,$V$3:$AI$3,0)=1,MAX(0,N($L284)),INDEX($AX284:$BK284,MATCH($S284,$V$3:$AI$3,0)-1))+$U284-$O284)/$G284,0),0))</f>
        <v/>
      </c>
      <c r="CI284">
        <f>IF($C284="","",IF(AND($P284="",$Q284=""),"",IF($P284="","⚠ 入庫日を ▼ から選んでください",IF(NOT(ISNUMBER($P284)),"⚠ 入庫日は ▼ から選んでください",IF($P284&lt;N('設定'!$C$6),"⚠ 入庫日が過去です（もう在庫に入っています）→ 消してください",IF($P284&gt;N('設定'!$C$6)+13,"⚠ 入庫日が14日より先です",IF(N($Q284)&lt;=0,"⚠ 入庫数を入れてください",IF($CG284&gt;0,"⚠ 目安より "&amp;$CG284&amp;" 多い（定数を超える）→ 減らす",""))))))))</f>
        <v/>
      </c>
      <c r="CJ284">
        <f>IF($C284="","",IF(AND($S284="",$T284=""),"",IF($S284="","⚠ 2便目：入庫日を ▼ から選んでください",IF(NOT(ISNUMBER($S284)),"⚠ 2便目：入庫日は ▼ から選んでください",IF($S284&lt;N('設定'!$C$6),"⚠ 2便目：入庫日が過去です（もう在庫に入っています）→ 消してください",IF($S284&gt;N('設定'!$C$6)+13,"⚠ 2便目：入庫日が14日より先です",IF(N($T284)&lt;=0,"⚠ 2便目：入庫数を入れてください",IF($CH284&gt;0,"⚠ 2便目：定数を "&amp;$CH284&amp;" ケース超える → 減らす",""))))))))</f>
        <v/>
      </c>
      <c r="CK284">
        <f>IF(AND($CI284="",N($Q284)&gt;0,ISNUMBER($P284)),1,0)</f>
        <v/>
      </c>
      <c r="CL284">
        <f>IF(AND($CJ284="",N($T284)&gt;0,ISNUMBER($S284)),1,0)</f>
        <v/>
      </c>
      <c r="CM284">
        <f>IF(OR($CK284=1,$CL284=1),1,0)</f>
        <v/>
      </c>
      <c r="CN284">
        <f>IF($C284="",0,($CK284*$R284+$CL284*$U284)*N($H284))</f>
        <v/>
      </c>
      <c r="CO284">
        <f>IF($C284="","",IF($CC284="","入庫後は 14日以上もつ",IF($CC284-N('設定'!$C$7)&lt;='設定'!$C$6,"入庫後も "&amp;TEXT($CC284,"m/d")&amp;"("&amp;CHOOSE(WEEKDAY($CC284),"日","月","火","水","木","金","土")&amp;")"&amp;" に切れる　もう1便を至急発注","入庫後も "&amp;TEXT($CC284,"m/d")&amp;"("&amp;CHOOSE(WEEKDAY($CC284),"日","月","火","水","木","金","土")&amp;")"&amp;" に切れる　"&amp;TEXT($CC284-N('設定'!$C$7),"m/d")&amp;"("&amp;CHOOSE(WEEKDAY($CC284-N('設定'!$C$7)),"日","月","火","水","木","金","土")&amp;")"&amp;" までに次を発注")))</f>
        <v/>
      </c>
      <c r="CP284">
        <f>IF($C284="","",IF('設定'!$C$6="","？ ①在庫を貼る に今日のCSVが貼られていない",IF($CS284=1,"－ 今日のCSVに無い（終売？）",IF($L284&lt;0,"● 在庫がマイナス　数えて「数えた在庫」に入れる",IF($L284=0,"● 在庫なし　至急発注",IF($M284="","？ 減り数が未設定（商品マスタ）",IF($B$3=0,"？ 動員が未入力（動員を入れる）",IF($CA284="","○ 14日以上もつ",IF($BZ284&lt;N('設定'!$C$7),"● "&amp;TEXT($CA284,"m/d")&amp;"("&amp;CHOOSE(WEEKDAY($CA284),"日","月","火","水","木","金","土")&amp;")"&amp;" に切れる　至急発注",IF($BZ284=N('設定'!$C$7),"● "&amp;TEXT($CA284,"m/d")&amp;"("&amp;CHOOSE(WEEKDAY($CA284),"日","月","火","水","木","金","土")&amp;")"&amp;" に切れる　今日発注","△ "&amp;TEXT($CA284,"m/d")&amp;"("&amp;CHOOSE(WEEKDAY($CA284),"日","月","火","水","木","金","土")&amp;")"&amp;" に切れる　"&amp;TEXT($CA284-N('設定'!$C$7),"m/d")&amp;"("&amp;CHOOSE(WEEKDAY($CA284-N('設定'!$C$7)),"日","月","火","水","木","金","土")&amp;")"&amp;" までに発注"))))))))))</f>
        <v/>
      </c>
      <c r="CQ284">
        <f>IF($C284="","",IF(AND($P284="",$Q284="",$S284="",$T284=""),"",IF(AND($P284="",$Q284=""),"⚠ 先に1便目（左の入庫日・入庫数）に入れてください",IF($CI284&lt;&gt;"",$CI284,IF($CJ284&lt;&gt;"",$CJ284,IF($M284="","？ 減り数が未設定（発注書には載ります）",IF($B$3=0,"？ 動員が未入力（発注書には載ります）",IF(AND($CA284&lt;&gt;"",$P284&gt;$CA284),IF($P284&gt;'設定'!$C$6+N('設定'!$C$7),"● "&amp;TEXT($P284,"m/d")&amp;"("&amp;CHOOSE(WEEKDAY($P284),"日","月","火","水","木","金","土")&amp;")"&amp;" の入庫では間に合わない（"&amp;TEXT($CA284,"m/d")&amp;"("&amp;CHOOSE(WEEKDAY($CA284),"日","月","火","水","木","金","土")&amp;")"&amp;" に切れる）　入庫日を早める","△ 欠品 "&amp;TEXT($CA284,"m/d")&amp;"("&amp;CHOOSE(WEEKDAY($CA284),"日","月","火","水","木","金","土")&amp;")"&amp;"〜"&amp;TEXT($P284-1,"m/d")&amp;"("&amp;CHOOSE(WEEKDAY($P284-1),"日","月","火","水","木","金","土")&amp;")"&amp;"　"&amp;$CO284),IF($CC284="","○ "&amp;TEXT($P284,"m/d")&amp;"("&amp;CHOOSE(WEEKDAY($P284),"日","月","火","水","木","金","土")&amp;")"&amp;" 入庫で 14日以上もつ",IF($CC284-N('設定'!$C$7)&lt;='設定'!$C$6,"● 入庫しても "&amp;TEXT($CC284,"m/d")&amp;"("&amp;CHOOSE(WEEKDAY($CC284),"日","月","火","水","木","金","土")&amp;")"&amp;" に切れる　もう1便を至急発注（2便目に入れる）","△ 入庫しても "&amp;TEXT($CC284,"m/d")&amp;"("&amp;CHOOSE(WEEKDAY($CC284),"日","月","火","水","木","金","土")&amp;")"&amp;" に切れる　"&amp;TEXT($CC284-N('設定'!$C$7),"m/d")&amp;"("&amp;CHOOSE(WEEKDAY($CC284-N('設定'!$C$7)),"日","月","火","水","木","金","土")&amp;")"&amp;" までに次を発注（2便目に入れる）"))))))))))</f>
        <v/>
      </c>
      <c r="CR284">
        <f>IF($C284="","",IF($G284&gt;1,"ｹｰｽ("&amp;$G284&amp;"入)","個"))</f>
        <v/>
      </c>
      <c r="CS284">
        <f>IF($C284="",0,IF(COUNTIFS('①在庫を貼る'!$V$6:$V$10005,'設定'!$C$4,'①在庫を貼る'!$W$6:$W$10005,$C284)=0,1,0))</f>
        <v/>
      </c>
      <c r="CT284">
        <f>IF(AND($CK284=1,OR('③発注書'!$C$4="すべて",'③発注書'!$C$4="",$F284='③発注書'!$C$4)),N($CT283)+1,N($CT283))</f>
        <v/>
      </c>
      <c r="CU284">
        <f>IF(AND($CL284=1,OR('③発注書'!$C$4="すべて",'③発注書'!$C$4="",$F284='③発注書'!$C$4)),N($CU283)+1,N($CU283))</f>
        <v/>
      </c>
      <c r="CV284">
        <f>IF($C284="",0,IF(COUNTIFS('①在庫を貼る'!$V$6:$V$10005,'設定'!$C$4,'①在庫を貼る'!$W$6:$W$10005,$C284)&gt;0,1,0))</f>
        <v/>
      </c>
      <c r="CW284">
        <f>IF($C284="",0,IF(COUNTIFS('月1回_1ヶ月前の在庫'!$V$6:$V$10005,'設定'!$C$4,'月1回_1ヶ月前の在庫'!$W$6:$W$10005,$C284)&gt;0,1,0))</f>
        <v/>
      </c>
      <c r="CX284">
        <f>IF($C284="",0,IF(COUNTIFS('月1回_2ヶ月前の在庫'!$V$6:$V$10005,'設定'!$C$4,'月1回_2ヶ月前の在庫'!$W$6:$W$10005,$C284)&gt;0,1,0))</f>
        <v/>
      </c>
      <c r="CY284">
        <f>IF(OR($C284="",'設定'!$C$12=""),"",IF('設定'!$C$13="",IF(AND($CV284=1,$CW284=0),"新商品（今月から）",IF(AND($CV284=0,$CW284=1),"終売（今月から）","")),IF(AND($CV284=1,$CW284=0,$CX284=0),"新商品（今月から）",IF(AND($CV284=1,$CW284=1,$CX284=0),"新商品（先月から）",IF(AND($CV284=0,$CW284=1,$CX284=1),"終売（今月から）",IF(AND($CV284=0,$CW284=0,$CX284=1),"終売（先月から）",IF(AND($CV284=1,$CW284=0,$CX284=1),"復活（先月は無し）","")))))))</f>
        <v/>
      </c>
    </row>
    <row r="285">
      <c r="B285">
        <f>IF(280&lt;='設定'!$C$11,280,"")</f>
        <v/>
      </c>
      <c r="C285">
        <f>IF($B285="","",IF($B285&lt;='設定'!$C$20,INDEX('商品マスタ'!$B$6:$B$1005,MATCH($B285,'商品マスタ'!$M$6:$M$1005,0)),IF($B285&lt;='設定'!$C$20+'設定'!$C$17,INDEX('①在庫を貼る'!$W$6:$W$10005,MATCH($B285-'設定'!$C$20,'①在庫を貼る'!$U$6:$U$10005,0)),IF($B285&lt;='設定'!$C$20+'設定'!$C$17+'設定'!$C$18,INDEX('月1回_1ヶ月前の在庫'!$W$6:$W$10005,MATCH($B285-'設定'!$C$20-'設定'!$C$17,'月1回_1ヶ月前の在庫'!$U$6:$U$10005,0)),INDEX('月1回_2ヶ月前の在庫'!$W$6:$W$10005,MATCH($B285-'設定'!$C$20-'設定'!$C$17-'設定'!$C$18,'月1回_2ヶ月前の在庫'!$U$6:$U$10005,0))))))</f>
        <v/>
      </c>
      <c r="D285">
        <f>IF($C285="","",IFERROR(IF(INDEX('商品マスタ'!$C$6:$C$1005,MATCH($C285,'商品マスタ'!$B$6:$B$1005,0))="",IFERROR(INDEX('①在庫を貼る'!$J$6:$J$10005,MATCH($C285,'①在庫を貼る'!$W$6:$W$10005,0)),IFERROR(INDEX('月1回_1ヶ月前の在庫'!$J$6:$J$10005,MATCH($C285,'月1回_1ヶ月前の在庫'!$W$6:$W$10005,0)),IFERROR(INDEX('月1回_2ヶ月前の在庫'!$J$6:$J$10005,MATCH($C285,'月1回_2ヶ月前の在庫'!$W$6:$W$10005,0)),""))),INDEX('商品マスタ'!$C$6:$C$1005,MATCH($C285,'商品マスタ'!$B$6:$B$1005,0))),IFERROR(INDEX('①在庫を貼る'!$J$6:$J$10005,MATCH($C285,'①在庫を貼る'!$W$6:$W$10005,0)),IFERROR(INDEX('月1回_1ヶ月前の在庫'!$J$6:$J$10005,MATCH($C285,'月1回_1ヶ月前の在庫'!$W$6:$W$10005,0)),IFERROR(INDEX('月1回_2ヶ月前の在庫'!$J$6:$J$10005,MATCH($C285,'月1回_2ヶ月前の在庫'!$W$6:$W$10005,0)),"")))))</f>
        <v/>
      </c>
      <c r="E285">
        <f>IF($C285="","",IFERROR(IF(INDEX('商品マスタ'!$D$6:$D$1005,MATCH($C285,'商品マスタ'!$B$6:$B$1005,0))="",IFERROR(INDEX('①在庫を貼る'!$H$6:$H$10005,MATCH($C285,'①在庫を貼る'!$W$6:$W$10005,0)),IFERROR(INDEX('月1回_1ヶ月前の在庫'!$H$6:$H$10005,MATCH($C285,'月1回_1ヶ月前の在庫'!$W$6:$W$10005,0)),IFERROR(INDEX('月1回_2ヶ月前の在庫'!$H$6:$H$10005,MATCH($C285,'月1回_2ヶ月前の在庫'!$W$6:$W$10005,0)),""))),INDEX('商品マスタ'!$D$6:$D$1005,MATCH($C285,'商品マスタ'!$B$6:$B$1005,0))),IFERROR(INDEX('①在庫を貼る'!$H$6:$H$10005,MATCH($C285,'①在庫を貼る'!$W$6:$W$10005,0)),IFERROR(INDEX('月1回_1ヶ月前の在庫'!$H$6:$H$10005,MATCH($C285,'月1回_1ヶ月前の在庫'!$W$6:$W$10005,0)),IFERROR(INDEX('月1回_2ヶ月前の在庫'!$H$6:$H$10005,MATCH($C285,'月1回_2ヶ月前の在庫'!$W$6:$W$10005,0)),"")))))</f>
        <v/>
      </c>
      <c r="F285">
        <f>IF($C285="","",IFERROR(IF(INDEX('商品マスタ'!$E$6:$E$1005,MATCH($C285,'商品マスタ'!$B$6:$B$1005,0))="",IFERROR(INDEX('①在庫を貼る'!$E$6:$E$10005,MATCH($C285,'①在庫を貼る'!$W$6:$W$10005,0)),IFERROR(INDEX('月1回_1ヶ月前の在庫'!$E$6:$E$10005,MATCH($C285,'月1回_1ヶ月前の在庫'!$W$6:$W$10005,0)),IFERROR(INDEX('月1回_2ヶ月前の在庫'!$E$6:$E$10005,MATCH($C285,'月1回_2ヶ月前の在庫'!$W$6:$W$10005,0)),""))),INDEX('商品マスタ'!$E$6:$E$1005,MATCH($C285,'商品マスタ'!$B$6:$B$1005,0))),IFERROR(INDEX('①在庫を貼る'!$E$6:$E$10005,MATCH($C285,'①在庫を貼る'!$W$6:$W$10005,0)),IFERROR(INDEX('月1回_1ヶ月前の在庫'!$E$6:$E$10005,MATCH($C285,'月1回_1ヶ月前の在庫'!$W$6:$W$10005,0)),IFERROR(INDEX('月1回_2ヶ月前の在庫'!$E$6:$E$10005,MATCH($C285,'月1回_2ヶ月前の在庫'!$W$6:$W$10005,0)),"")))))</f>
        <v/>
      </c>
      <c r="G285">
        <f>IF($C285="","",MAX(1,N(IFERROR(IF(INDEX('商品マスタ'!$F$6:$F$1005,MATCH($C285,'商品マスタ'!$B$6:$B$1005,0))="",IF(COUNTIFS('①在庫を貼る'!$V$6:$V$10005,'設定'!$C$4,'①在庫を貼る'!$W$6:$W$10005,$C285)&gt;0,SUMIFS('①在庫を貼る'!$K$6:$K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K$6:$K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K$6:$K$10005,'月1回_2ヶ月前の在庫'!$V$6:$V$10005,'設定'!$C$4,'月1回_2ヶ月前の在庫'!$W$6:$W$10005,$C285)/COUNTIFS('月1回_2ヶ月前の在庫'!$V$6:$V$10005,'設定'!$C$4,'月1回_2ヶ月前の在庫'!$W$6:$W$10005,$C285),0))),INDEX('商品マスタ'!$F$6:$F$1005,MATCH($C285,'商品マスタ'!$B$6:$B$1005,0))),IF(COUNTIFS('①在庫を貼る'!$V$6:$V$10005,'設定'!$C$4,'①在庫を貼る'!$W$6:$W$10005,$C285)&gt;0,SUMIFS('①在庫を貼る'!$K$6:$K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K$6:$K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K$6:$K$10005,'月1回_2ヶ月前の在庫'!$V$6:$V$10005,'設定'!$C$4,'月1回_2ヶ月前の在庫'!$W$6:$W$10005,$C285)/COUNTIFS('月1回_2ヶ月前の在庫'!$V$6:$V$10005,'設定'!$C$4,'月1回_2ヶ月前の在庫'!$W$6:$W$10005,$C285),0)))))))</f>
        <v/>
      </c>
      <c r="H285">
        <f>IF($C285="","",N(IFERROR(IF(INDEX('商品マスタ'!$G$6:$G$1005,MATCH($C285,'商品マスタ'!$B$6:$B$1005,0))="",IF(COUNTIFS('①在庫を貼る'!$V$6:$V$10005,'設定'!$C$4,'①在庫を貼る'!$W$6:$W$10005,$C285)&gt;0,SUMIFS('①在庫を貼る'!$Q$6:$Q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Q$6:$Q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Q$6:$Q$10005,'月1回_2ヶ月前の在庫'!$V$6:$V$10005,'設定'!$C$4,'月1回_2ヶ月前の在庫'!$W$6:$W$10005,$C285)/COUNTIFS('月1回_2ヶ月前の在庫'!$V$6:$V$10005,'設定'!$C$4,'月1回_2ヶ月前の在庫'!$W$6:$W$10005,$C285),0))),INDEX('商品マスタ'!$G$6:$G$1005,MATCH($C285,'商品マスタ'!$B$6:$B$1005,0))),IF(COUNTIFS('①在庫を貼る'!$V$6:$V$10005,'設定'!$C$4,'①在庫を貼る'!$W$6:$W$10005,$C285)&gt;0,SUMIFS('①在庫を貼る'!$Q$6:$Q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Q$6:$Q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Q$6:$Q$10005,'月1回_2ヶ月前の在庫'!$V$6:$V$10005,'設定'!$C$4,'月1回_2ヶ月前の在庫'!$W$6:$W$10005,$C285)/COUNTIFS('月1回_2ヶ月前の在庫'!$V$6:$V$10005,'設定'!$C$4,'月1回_2ヶ月前の在庫'!$W$6:$W$10005,$C285),0))))))</f>
        <v/>
      </c>
      <c r="I285">
        <f>IF($C285="","",IF(COUNTIFS('①在庫を貼る'!$V$6:$V$10005,'設定'!$C$4,'①在庫を貼る'!$W$6:$W$10005,$C285)=0,"",SUMIFS('①在庫を貼る'!$N$6:$N$10005,'①在庫を貼る'!$V$6:$V$10005,'設定'!$C$4,'①在庫を貼る'!$W$6:$W$10005,$C285)))</f>
        <v/>
      </c>
      <c r="J285">
        <f>IF($C285="","",IF('②発注する'!$AD289="","",'②発注する'!$AD289))</f>
        <v/>
      </c>
      <c r="K285" s="90">
        <f>IF($C285="","",IF('②発注する'!$AE289="","",'②発注する'!$AE289))</f>
        <v/>
      </c>
      <c r="L285">
        <f>IF($C285="","",IF(AND(ISNUMBER($J285),ISNUMBER($K285),$K285&gt;='設定'!$C$6),$J285,N($I285)))</f>
        <v/>
      </c>
      <c r="M285">
        <f>IF($C285="","",IFERROR(IF(N(INDEX('商品マスタ'!$J$6:$J$1005,MATCH($C285,'商品マスタ'!$B$6:$B$1005,0)))&gt;0,INDEX('商品マスタ'!$J$6:$J$1005,MATCH($C285,'商品マスタ'!$B$6:$B$1005,0)),""),""))</f>
        <v/>
      </c>
      <c r="N285">
        <f>IF($C285="","",IFERROR(IF(N(INDEX('商品マスタ'!$H$6:$H$1005,MATCH($C285,'商品マスタ'!$B$6:$B$1005,0)))&gt;0,INDEX('商品マスタ'!$H$6:$H$1005,MATCH($C285,'商品マスタ'!$B$6:$B$1005,0)),""),""))</f>
        <v/>
      </c>
      <c r="O285">
        <f>IF($C285="","",IF($N285&lt;&gt;"",$N285*$G285,IF(N(IF(COUNTIFS('①在庫を貼る'!$V$6:$V$10005,'設定'!$C$4,'①在庫を貼る'!$W$6:$W$10005,$C285)&gt;0,SUMIFS('①在庫を貼る'!$O$6:$O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O$6:$O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O$6:$O$10005,'月1回_2ヶ月前の在庫'!$V$6:$V$10005,'設定'!$C$4,'月1回_2ヶ月前の在庫'!$W$6:$W$10005,$C285)/COUNTIFS('月1回_2ヶ月前の在庫'!$V$6:$V$10005,'設定'!$C$4,'月1回_2ヶ月前の在庫'!$W$6:$W$10005,$C285),0))))&gt;0,N(IF(COUNTIFS('①在庫を貼る'!$V$6:$V$10005,'設定'!$C$4,'①在庫を貼る'!$W$6:$W$10005,$C285)&gt;0,SUMIFS('①在庫を貼る'!$O$6:$O$10005,'①在庫を貼る'!$V$6:$V$10005,'設定'!$C$4,'①在庫を貼る'!$W$6:$W$10005,$C285)/COUNTIFS('①在庫を貼る'!$V$6:$V$10005,'設定'!$C$4,'①在庫を貼る'!$W$6:$W$10005,$C285),IF(COUNTIFS('月1回_1ヶ月前の在庫'!$V$6:$V$10005,'設定'!$C$4,'月1回_1ヶ月前の在庫'!$W$6:$W$10005,$C285)&gt;0,SUMIFS('月1回_1ヶ月前の在庫'!$O$6:$O$10005,'月1回_1ヶ月前の在庫'!$V$6:$V$10005,'設定'!$C$4,'月1回_1ヶ月前の在庫'!$W$6:$W$10005,$C285)/COUNTIFS('月1回_1ヶ月前の在庫'!$V$6:$V$10005,'設定'!$C$4,'月1回_1ヶ月前の在庫'!$W$6:$W$10005,$C285),IF(COUNTIFS('月1回_2ヶ月前の在庫'!$V$6:$V$10005,'設定'!$C$4,'月1回_2ヶ月前の在庫'!$W$6:$W$10005,$C285)&gt;0,SUMIFS('月1回_2ヶ月前の在庫'!$O$6:$O$10005,'月1回_2ヶ月前の在庫'!$V$6:$V$10005,'設定'!$C$4,'月1回_2ヶ月前の在庫'!$W$6:$W$10005,$C285)/COUNTIFS('月1回_2ヶ月前の在庫'!$V$6:$V$10005,'設定'!$C$4,'月1回_2ヶ月前の在庫'!$W$6:$W$10005,$C285),0)))),"")))</f>
        <v/>
      </c>
      <c r="P285" s="90">
        <f>IF($C285="","",IF('②発注する'!$I289="","",'②発注する'!$I289))</f>
        <v/>
      </c>
      <c r="Q285">
        <f>IF($C285="","",IF('②発注する'!$J289="","",'②発注する'!$J289))</f>
        <v/>
      </c>
      <c r="R285">
        <f>IF($C285="",0,IF(AND(ISNUMBER($P285),ISNUMBER($Q285)),MAX(0,$Q285)*$G285,0))</f>
        <v/>
      </c>
      <c r="S285" s="90">
        <f>IF($C285="","",IF('②発注する'!$M289="","",'②発注する'!$M289))</f>
        <v/>
      </c>
      <c r="T285">
        <f>IF($C285="","",IF('②発注する'!$N289="","",'②発注する'!$N289))</f>
        <v/>
      </c>
      <c r="U285">
        <f>IF($C285="",0,IF(AND(ISNUMBER($S285),ISNUMBER($T285)),MAX(0,$T285)*$G285,0))</f>
        <v/>
      </c>
      <c r="V285">
        <f>IF($C285="",0,IF($M285="",0,MAX(0,$M285)*MAX(0,V$4)/100))</f>
        <v/>
      </c>
      <c r="W285">
        <f>IF($C285="",0,IF($M285="",0,MAX(0,$M285)*MAX(0,W$4)/100))</f>
        <v/>
      </c>
      <c r="X285">
        <f>IF($C285="",0,IF($M285="",0,MAX(0,$M285)*MAX(0,X$4)/100))</f>
        <v/>
      </c>
      <c r="Y285">
        <f>IF($C285="",0,IF($M285="",0,MAX(0,$M285)*MAX(0,Y$4)/100))</f>
        <v/>
      </c>
      <c r="Z285">
        <f>IF($C285="",0,IF($M285="",0,MAX(0,$M285)*MAX(0,Z$4)/100))</f>
        <v/>
      </c>
      <c r="AA285">
        <f>IF($C285="",0,IF($M285="",0,MAX(0,$M285)*MAX(0,AA$4)/100))</f>
        <v/>
      </c>
      <c r="AB285">
        <f>IF($C285="",0,IF($M285="",0,MAX(0,$M285)*MAX(0,AB$4)/100))</f>
        <v/>
      </c>
      <c r="AC285">
        <f>IF($C285="",0,IF($M285="",0,MAX(0,$M285)*MAX(0,AC$4)/100))</f>
        <v/>
      </c>
      <c r="AD285">
        <f>IF($C285="",0,IF($M285="",0,MAX(0,$M285)*MAX(0,AD$4)/100))</f>
        <v/>
      </c>
      <c r="AE285">
        <f>IF($C285="",0,IF($M285="",0,MAX(0,$M285)*MAX(0,AE$4)/100))</f>
        <v/>
      </c>
      <c r="AF285">
        <f>IF($C285="",0,IF($M285="",0,MAX(0,$M285)*MAX(0,AF$4)/100))</f>
        <v/>
      </c>
      <c r="AG285">
        <f>IF($C285="",0,IF($M285="",0,MAX(0,$M285)*MAX(0,AG$4)/100))</f>
        <v/>
      </c>
      <c r="AH285">
        <f>IF($C285="",0,IF($M285="",0,MAX(0,$M285)*MAX(0,AH$4)/100))</f>
        <v/>
      </c>
      <c r="AI285">
        <f>IF($C285="",0,IF($M285="",0,MAX(0,$M285)*MAX(0,AI$4)/100))</f>
        <v/>
      </c>
      <c r="AJ285">
        <f>IF($C285="",0,MAX(0,MAX(0,N($L285))-$V285))</f>
        <v/>
      </c>
      <c r="AK285">
        <f>IF($C285="",0,MAX(0,$AJ285-$W285))</f>
        <v/>
      </c>
      <c r="AL285">
        <f>IF($C285="",0,MAX(0,$AK285-$X285))</f>
        <v/>
      </c>
      <c r="AM285">
        <f>IF($C285="",0,MAX(0,$AL285-$Y285))</f>
        <v/>
      </c>
      <c r="AN285">
        <f>IF($C285="",0,MAX(0,$AM285-$Z285))</f>
        <v/>
      </c>
      <c r="AO285">
        <f>IF($C285="",0,MAX(0,$AN285-$AA285))</f>
        <v/>
      </c>
      <c r="AP285">
        <f>IF($C285="",0,MAX(0,$AO285-$AB285))</f>
        <v/>
      </c>
      <c r="AQ285">
        <f>IF($C285="",0,MAX(0,$AP285-$AC285))</f>
        <v/>
      </c>
      <c r="AR285">
        <f>IF($C285="",0,MAX(0,$AQ285-$AD285))</f>
        <v/>
      </c>
      <c r="AS285">
        <f>IF($C285="",0,MAX(0,$AR285-$AE285))</f>
        <v/>
      </c>
      <c r="AT285">
        <f>IF($C285="",0,MAX(0,$AS285-$AF285))</f>
        <v/>
      </c>
      <c r="AU285">
        <f>IF($C285="",0,MAX(0,$AT285-$AG285))</f>
        <v/>
      </c>
      <c r="AV285">
        <f>IF($C285="",0,MAX(0,$AU285-$AH285))</f>
        <v/>
      </c>
      <c r="AW285">
        <f>IF($C285="",0,MAX(0,$AV285-$AI285))</f>
        <v/>
      </c>
      <c r="AX285">
        <f>IF($C285="",0,MAX(0,MAX(0,N($L285))+IF($P285=V$3,$R285,0)+IF($S285=V$3,$U285,0)-$V285))</f>
        <v/>
      </c>
      <c r="AY285">
        <f>IF($C285="",0,MAX(0,$AX285+IF($P285=W$3,$R285,0)+IF($S285=W$3,$U285,0)-$W285))</f>
        <v/>
      </c>
      <c r="AZ285">
        <f>IF($C285="",0,MAX(0,$AY285+IF($P285=X$3,$R285,0)+IF($S285=X$3,$U285,0)-$X285))</f>
        <v/>
      </c>
      <c r="BA285">
        <f>IF($C285="",0,MAX(0,$AZ285+IF($P285=Y$3,$R285,0)+IF($S285=Y$3,$U285,0)-$Y285))</f>
        <v/>
      </c>
      <c r="BB285">
        <f>IF($C285="",0,MAX(0,$BA285+IF($P285=Z$3,$R285,0)+IF($S285=Z$3,$U285,0)-$Z285))</f>
        <v/>
      </c>
      <c r="BC285">
        <f>IF($C285="",0,MAX(0,$BB285+IF($P285=AA$3,$R285,0)+IF($S285=AA$3,$U285,0)-$AA285))</f>
        <v/>
      </c>
      <c r="BD285">
        <f>IF($C285="",0,MAX(0,$BC285+IF($P285=AB$3,$R285,0)+IF($S285=AB$3,$U285,0)-$AB285))</f>
        <v/>
      </c>
      <c r="BE285">
        <f>IF($C285="",0,MAX(0,$BD285+IF($P285=AC$3,$R285,0)+IF($S285=AC$3,$U285,0)-$AC285))</f>
        <v/>
      </c>
      <c r="BF285">
        <f>IF($C285="",0,MAX(0,$BE285+IF($P285=AD$3,$R285,0)+IF($S285=AD$3,$U285,0)-$AD285))</f>
        <v/>
      </c>
      <c r="BG285">
        <f>IF($C285="",0,MAX(0,$BF285+IF($P285=AE$3,$R285,0)+IF($S285=AE$3,$U285,0)-$AE285))</f>
        <v/>
      </c>
      <c r="BH285">
        <f>IF($C285="",0,MAX(0,$BG285+IF($P285=AF$3,$R285,0)+IF($S285=AF$3,$U285,0)-$AF285))</f>
        <v/>
      </c>
      <c r="BI285">
        <f>IF($C285="",0,MAX(0,$BH285+IF($P285=AG$3,$R285,0)+IF($S285=AG$3,$U285,0)-$AG285))</f>
        <v/>
      </c>
      <c r="BJ285">
        <f>IF($C285="",0,MAX(0,$BI285+IF($P285=AH$3,$R285,0)+IF($S285=AH$3,$U285,0)-$AH285))</f>
        <v/>
      </c>
      <c r="BK285">
        <f>IF($C285="",0,MAX(0,$BJ285+IF($P285=AI$3,$R285,0)+IF($S285=AI$3,$U285,0)-$AI285))</f>
        <v/>
      </c>
      <c r="BL285">
        <f>IF($C285="",99,IF(AND($AX285&lt;1,V$3&gt;=MAX(N($P285),N($S285))),0,99))</f>
        <v/>
      </c>
      <c r="BM285">
        <f>IF($C285="",99,IF(AND($AY285&lt;1,W$3&gt;=MAX(N($P285),N($S285))),1,99))</f>
        <v/>
      </c>
      <c r="BN285">
        <f>IF($C285="",99,IF(AND($AZ285&lt;1,X$3&gt;=MAX(N($P285),N($S285))),2,99))</f>
        <v/>
      </c>
      <c r="BO285">
        <f>IF($C285="",99,IF(AND($BA285&lt;1,Y$3&gt;=MAX(N($P285),N($S285))),3,99))</f>
        <v/>
      </c>
      <c r="BP285">
        <f>IF($C285="",99,IF(AND($BB285&lt;1,Z$3&gt;=MAX(N($P285),N($S285))),4,99))</f>
        <v/>
      </c>
      <c r="BQ285">
        <f>IF($C285="",99,IF(AND($BC285&lt;1,AA$3&gt;=MAX(N($P285),N($S285))),5,99))</f>
        <v/>
      </c>
      <c r="BR285">
        <f>IF($C285="",99,IF(AND($BD285&lt;1,AB$3&gt;=MAX(N($P285),N($S285))),6,99))</f>
        <v/>
      </c>
      <c r="BS285">
        <f>IF($C285="",99,IF(AND($BE285&lt;1,AC$3&gt;=MAX(N($P285),N($S285))),7,99))</f>
        <v/>
      </c>
      <c r="BT285">
        <f>IF($C285="",99,IF(AND($BF285&lt;1,AD$3&gt;=MAX(N($P285),N($S285))),8,99))</f>
        <v/>
      </c>
      <c r="BU285">
        <f>IF($C285="",99,IF(AND($BG285&lt;1,AE$3&gt;=MAX(N($P285),N($S285))),9,99))</f>
        <v/>
      </c>
      <c r="BV285">
        <f>IF($C285="",99,IF(AND($BH285&lt;1,AF$3&gt;=MAX(N($P285),N($S285))),10,99))</f>
        <v/>
      </c>
      <c r="BW285">
        <f>IF($C285="",99,IF(AND($BI285&lt;1,AG$3&gt;=MAX(N($P285),N($S285))),11,99))</f>
        <v/>
      </c>
      <c r="BX285">
        <f>IF($C285="",99,IF(AND($BJ285&lt;1,AH$3&gt;=MAX(N($P285),N($S285))),12,99))</f>
        <v/>
      </c>
      <c r="BY285">
        <f>IF($C285="",99,IF(AND($BK285&lt;1,AI$3&gt;=MAX(N($P285),N($S285))),13,99))</f>
        <v/>
      </c>
      <c r="BZ285">
        <f>IF(OR($C285="",$M285=""),"",COUNTIF($AJ285:$AW285,"&gt;=1"))</f>
        <v/>
      </c>
      <c r="CA285" s="90">
        <f>IF($BZ285="","",IF($BZ285&gt;=14,"",'設定'!$C$6+$BZ285))</f>
        <v/>
      </c>
      <c r="CB285">
        <f>IF(OR($C285="",$M285=""),"",MIN($BL285:$BY285))</f>
        <v/>
      </c>
      <c r="CC285" s="90">
        <f>IF($CB285="","",IF($CB285&gt;=99,"",'設定'!$C$6+$CB285))</f>
        <v/>
      </c>
      <c r="CD285">
        <f>IF(OR($C285="",$M285=""),"",AVERAGE($V285:$AI285))</f>
        <v/>
      </c>
      <c r="CE285">
        <f>IF($C285="","",IFERROR(IF(MATCH(IF(ISNUMBER($P285),$P285,'設定'!$C$6+N('設定'!$C$7)),$V$3:$AI$3,0)=1,MAX(0,N($L285)),INDEX($AJ285:$AW285,MATCH(IF(ISNUMBER($P285),$P285,'設定'!$C$6+N('設定'!$C$7)),$V$3:$AI$3,0)-1)),""))</f>
        <v/>
      </c>
      <c r="CF285">
        <f>IF(OR($C285="",$O285="",$CE285=""),"",IF($O285-$CE285&lt;=0,0,ROUNDUP(($O285-$CE285)/$G285,0)))</f>
        <v/>
      </c>
      <c r="CG285">
        <f>IF(OR($C285="",$CF285="",NOT(ISNUMBER($Q285))),0,MAX(0,$Q285-$CF285))</f>
        <v/>
      </c>
      <c r="CH285">
        <f>IF(OR($C285="",$O285="",$U285=0),0,IFERROR(ROUNDUP(MAX(0,IF(MATCH($S285,$V$3:$AI$3,0)=1,MAX(0,N($L285)),INDEX($AX285:$BK285,MATCH($S285,$V$3:$AI$3,0)-1))+$U285-$O285)/$G285,0),0))</f>
        <v/>
      </c>
      <c r="CI285">
        <f>IF($C285="","",IF(AND($P285="",$Q285=""),"",IF($P285="","⚠ 入庫日を ▼ から選んでください",IF(NOT(ISNUMBER($P285)),"⚠ 入庫日は ▼ から選んでください",IF($P285&lt;N('設定'!$C$6),"⚠ 入庫日が過去です（もう在庫に入っています）→ 消してください",IF($P285&gt;N('設定'!$C$6)+13,"⚠ 入庫日が14日より先です",IF(N($Q285)&lt;=0,"⚠ 入庫数を入れてください",IF($CG285&gt;0,"⚠ 目安より "&amp;$CG285&amp;" 多い（定数を超える）→ 減らす",""))))))))</f>
        <v/>
      </c>
      <c r="CJ285">
        <f>IF($C285="","",IF(AND($S285="",$T285=""),"",IF($S285="","⚠ 2便目：入庫日を ▼ から選んでください",IF(NOT(ISNUMBER($S285)),"⚠ 2便目：入庫日は ▼ から選んでください",IF($S285&lt;N('設定'!$C$6),"⚠ 2便目：入庫日が過去です（もう在庫に入っています）→ 消してください",IF($S285&gt;N('設定'!$C$6)+13,"⚠ 2便目：入庫日が14日より先です",IF(N($T285)&lt;=0,"⚠ 2便目：入庫数を入れてください",IF($CH285&gt;0,"⚠ 2便目：定数を "&amp;$CH285&amp;" ケース超える → 減らす",""))))))))</f>
        <v/>
      </c>
      <c r="CK285">
        <f>IF(AND($CI285="",N($Q285)&gt;0,ISNUMBER($P285)),1,0)</f>
        <v/>
      </c>
      <c r="CL285">
        <f>IF(AND($CJ285="",N($T285)&gt;0,ISNUMBER($S285)),1,0)</f>
        <v/>
      </c>
      <c r="CM285">
        <f>IF(OR($CK285=1,$CL285=1),1,0)</f>
        <v/>
      </c>
      <c r="CN285">
        <f>IF($C285="",0,($CK285*$R285+$CL285*$U285)*N($H285))</f>
        <v/>
      </c>
      <c r="CO285">
        <f>IF($C285="","",IF($CC285="","入庫後は 14日以上もつ",IF($CC285-N('設定'!$C$7)&lt;='設定'!$C$6,"入庫後も "&amp;TEXT($CC285,"m/d")&amp;"("&amp;CHOOSE(WEEKDAY($CC285),"日","月","火","水","木","金","土")&amp;")"&amp;" に切れる　もう1便を至急発注","入庫後も "&amp;TEXT($CC285,"m/d")&amp;"("&amp;CHOOSE(WEEKDAY($CC285),"日","月","火","水","木","金","土")&amp;")"&amp;" に切れる　"&amp;TEXT($CC285-N('設定'!$C$7),"m/d")&amp;"("&amp;CHOOSE(WEEKDAY($CC285-N('設定'!$C$7)),"日","月","火","水","木","金","土")&amp;")"&amp;" までに次を発注")))</f>
        <v/>
      </c>
      <c r="CP285">
        <f>IF($C285="","",IF('設定'!$C$6="","？ ①在庫を貼る に今日のCSVが貼られていない",IF($CS285=1,"－ 今日のCSVに無い（終売？）",IF($L285&lt;0,"● 在庫がマイナス　数えて「数えた在庫」に入れる",IF($L285=0,"● 在庫なし　至急発注",IF($M285="","？ 減り数が未設定（商品マスタ）",IF($B$3=0,"？ 動員が未入力（動員を入れる）",IF($CA285="","○ 14日以上もつ",IF($BZ285&lt;N('設定'!$C$7),"● "&amp;TEXT($CA285,"m/d")&amp;"("&amp;CHOOSE(WEEKDAY($CA285),"日","月","火","水","木","金","土")&amp;")"&amp;" に切れる　至急発注",IF($BZ285=N('設定'!$C$7),"● "&amp;TEXT($CA285,"m/d")&amp;"("&amp;CHOOSE(WEEKDAY($CA285),"日","月","火","水","木","金","土")&amp;")"&amp;" に切れる　今日発注","△ "&amp;TEXT($CA285,"m/d")&amp;"("&amp;CHOOSE(WEEKDAY($CA285),"日","月","火","水","木","金","土")&amp;")"&amp;" に切れる　"&amp;TEXT($CA285-N('設定'!$C$7),"m/d")&amp;"("&amp;CHOOSE(WEEKDAY($CA285-N('設定'!$C$7)),"日","月","火","水","木","金","土")&amp;")"&amp;" までに発注"))))))))))</f>
        <v/>
      </c>
      <c r="CQ285">
        <f>IF($C285="","",IF(AND($P285="",$Q285="",$S285="",$T285=""),"",IF(AND($P285="",$Q285=""),"⚠ 先に1便目（左の入庫日・入庫数）に入れてください",IF($CI285&lt;&gt;"",$CI285,IF($CJ285&lt;&gt;"",$CJ285,IF($M285="","？ 減り数が未設定（発注書には載ります）",IF($B$3=0,"？ 動員が未入力（発注書には載ります）",IF(AND($CA285&lt;&gt;"",$P285&gt;$CA285),IF($P285&gt;'設定'!$C$6+N('設定'!$C$7),"● "&amp;TEXT($P285,"m/d")&amp;"("&amp;CHOOSE(WEEKDAY($P285),"日","月","火","水","木","金","土")&amp;")"&amp;" の入庫では間に合わない（"&amp;TEXT($CA285,"m/d")&amp;"("&amp;CHOOSE(WEEKDAY($CA285),"日","月","火","水","木","金","土")&amp;")"&amp;" に切れる）　入庫日を早める","△ 欠品 "&amp;TEXT($CA285,"m/d")&amp;"("&amp;CHOOSE(WEEKDAY($CA285),"日","月","火","水","木","金","土")&amp;")"&amp;"〜"&amp;TEXT($P285-1,"m/d")&amp;"("&amp;CHOOSE(WEEKDAY($P285-1),"日","月","火","水","木","金","土")&amp;")"&amp;"　"&amp;$CO285),IF($CC285="","○ "&amp;TEXT($P285,"m/d")&amp;"("&amp;CHOOSE(WEEKDAY($P285),"日","月","火","水","木","金","土")&amp;")"&amp;" 入庫で 14日以上もつ",IF($CC285-N('設定'!$C$7)&lt;='設定'!$C$6,"● 入庫しても "&amp;TEXT($CC285,"m/d")&amp;"("&amp;CHOOSE(WEEKDAY($CC285),"日","月","火","水","木","金","土")&amp;")"&amp;" に切れる　もう1便を至急発注（2便目に入れる）","△ 入庫しても "&amp;TEXT($CC285,"m/d")&amp;"("&amp;CHOOSE(WEEKDAY($CC285),"日","月","火","水","木","金","土")&amp;")"&amp;" に切れる　"&amp;TEXT($CC285-N('設定'!$C$7),"m/d")&amp;"("&amp;CHOOSE(WEEKDAY($CC285-N('設定'!$C$7)),"日","月","火","水","木","金","土")&amp;")"&amp;" までに次を発注（2便目に入れる）"))))))))))</f>
        <v/>
      </c>
      <c r="CR285">
        <f>IF($C285="","",IF($G285&gt;1,"ｹｰｽ("&amp;$G285&amp;"入)","個"))</f>
        <v/>
      </c>
      <c r="CS285">
        <f>IF($C285="",0,IF(COUNTIFS('①在庫を貼る'!$V$6:$V$10005,'設定'!$C$4,'①在庫を貼る'!$W$6:$W$10005,$C285)=0,1,0))</f>
        <v/>
      </c>
      <c r="CT285">
        <f>IF(AND($CK285=1,OR('③発注書'!$C$4="すべて",'③発注書'!$C$4="",$F285='③発注書'!$C$4)),N($CT284)+1,N($CT284))</f>
        <v/>
      </c>
      <c r="CU285">
        <f>IF(AND($CL285=1,OR('③発注書'!$C$4="すべて",'③発注書'!$C$4="",$F285='③発注書'!$C$4)),N($CU284)+1,N($CU284))</f>
        <v/>
      </c>
      <c r="CV285">
        <f>IF($C285="",0,IF(COUNTIFS('①在庫を貼る'!$V$6:$V$10005,'設定'!$C$4,'①在庫を貼る'!$W$6:$W$10005,$C285)&gt;0,1,0))</f>
        <v/>
      </c>
      <c r="CW285">
        <f>IF($C285="",0,IF(COUNTIFS('月1回_1ヶ月前の在庫'!$V$6:$V$10005,'設定'!$C$4,'月1回_1ヶ月前の在庫'!$W$6:$W$10005,$C285)&gt;0,1,0))</f>
        <v/>
      </c>
      <c r="CX285">
        <f>IF($C285="",0,IF(COUNTIFS('月1回_2ヶ月前の在庫'!$V$6:$V$10005,'設定'!$C$4,'月1回_2ヶ月前の在庫'!$W$6:$W$10005,$C285)&gt;0,1,0))</f>
        <v/>
      </c>
      <c r="CY285">
        <f>IF(OR($C285="",'設定'!$C$12=""),"",IF('設定'!$C$13="",IF(AND($CV285=1,$CW285=0),"新商品（今月から）",IF(AND($CV285=0,$CW285=1),"終売（今月から）","")),IF(AND($CV285=1,$CW285=0,$CX285=0),"新商品（今月から）",IF(AND($CV285=1,$CW285=1,$CX285=0),"新商品（先月から）",IF(AND($CV285=0,$CW285=1,$CX285=1),"終売（今月から）",IF(AND($CV285=0,$CW285=0,$CX285=1),"終売（先月から）",IF(AND($CV285=1,$CW285=0,$CX285=1),"復活（先月は無し）","")))))))</f>
        <v/>
      </c>
    </row>
    <row r="286">
      <c r="B286">
        <f>IF(281&lt;='設定'!$C$11,281,"")</f>
        <v/>
      </c>
      <c r="C286">
        <f>IF($B286="","",IF($B286&lt;='設定'!$C$20,INDEX('商品マスタ'!$B$6:$B$1005,MATCH($B286,'商品マスタ'!$M$6:$M$1005,0)),IF($B286&lt;='設定'!$C$20+'設定'!$C$17,INDEX('①在庫を貼る'!$W$6:$W$10005,MATCH($B286-'設定'!$C$20,'①在庫を貼る'!$U$6:$U$10005,0)),IF($B286&lt;='設定'!$C$20+'設定'!$C$17+'設定'!$C$18,INDEX('月1回_1ヶ月前の在庫'!$W$6:$W$10005,MATCH($B286-'設定'!$C$20-'設定'!$C$17,'月1回_1ヶ月前の在庫'!$U$6:$U$10005,0)),INDEX('月1回_2ヶ月前の在庫'!$W$6:$W$10005,MATCH($B286-'設定'!$C$20-'設定'!$C$17-'設定'!$C$18,'月1回_2ヶ月前の在庫'!$U$6:$U$10005,0))))))</f>
        <v/>
      </c>
      <c r="D286">
        <f>IF($C286="","",IFERROR(IF(INDEX('商品マスタ'!$C$6:$C$1005,MATCH($C286,'商品マスタ'!$B$6:$B$1005,0))="",IFERROR(INDEX('①在庫を貼る'!$J$6:$J$10005,MATCH($C286,'①在庫を貼る'!$W$6:$W$10005,0)),IFERROR(INDEX('月1回_1ヶ月前の在庫'!$J$6:$J$10005,MATCH($C286,'月1回_1ヶ月前の在庫'!$W$6:$W$10005,0)),IFERROR(INDEX('月1回_2ヶ月前の在庫'!$J$6:$J$10005,MATCH($C286,'月1回_2ヶ月前の在庫'!$W$6:$W$10005,0)),""))),INDEX('商品マスタ'!$C$6:$C$1005,MATCH($C286,'商品マスタ'!$B$6:$B$1005,0))),IFERROR(INDEX('①在庫を貼る'!$J$6:$J$10005,MATCH($C286,'①在庫を貼る'!$W$6:$W$10005,0)),IFERROR(INDEX('月1回_1ヶ月前の在庫'!$J$6:$J$10005,MATCH($C286,'月1回_1ヶ月前の在庫'!$W$6:$W$10005,0)),IFERROR(INDEX('月1回_2ヶ月前の在庫'!$J$6:$J$10005,MATCH($C286,'月1回_2ヶ月前の在庫'!$W$6:$W$10005,0)),"")))))</f>
        <v/>
      </c>
      <c r="E286">
        <f>IF($C286="","",IFERROR(IF(INDEX('商品マスタ'!$D$6:$D$1005,MATCH($C286,'商品マスタ'!$B$6:$B$1005,0))="",IFERROR(INDEX('①在庫を貼る'!$H$6:$H$10005,MATCH($C286,'①在庫を貼る'!$W$6:$W$10005,0)),IFERROR(INDEX('月1回_1ヶ月前の在庫'!$H$6:$H$10005,MATCH($C286,'月1回_1ヶ月前の在庫'!$W$6:$W$10005,0)),IFERROR(INDEX('月1回_2ヶ月前の在庫'!$H$6:$H$10005,MATCH($C286,'月1回_2ヶ月前の在庫'!$W$6:$W$10005,0)),""))),INDEX('商品マスタ'!$D$6:$D$1005,MATCH($C286,'商品マスタ'!$B$6:$B$1005,0))),IFERROR(INDEX('①在庫を貼る'!$H$6:$H$10005,MATCH($C286,'①在庫を貼る'!$W$6:$W$10005,0)),IFERROR(INDEX('月1回_1ヶ月前の在庫'!$H$6:$H$10005,MATCH($C286,'月1回_1ヶ月前の在庫'!$W$6:$W$10005,0)),IFERROR(INDEX('月1回_2ヶ月前の在庫'!$H$6:$H$10005,MATCH($C286,'月1回_2ヶ月前の在庫'!$W$6:$W$10005,0)),"")))))</f>
        <v/>
      </c>
      <c r="F286">
        <f>IF($C286="","",IFERROR(IF(INDEX('商品マスタ'!$E$6:$E$1005,MATCH($C286,'商品マスタ'!$B$6:$B$1005,0))="",IFERROR(INDEX('①在庫を貼る'!$E$6:$E$10005,MATCH($C286,'①在庫を貼る'!$W$6:$W$10005,0)),IFERROR(INDEX('月1回_1ヶ月前の在庫'!$E$6:$E$10005,MATCH($C286,'月1回_1ヶ月前の在庫'!$W$6:$W$10005,0)),IFERROR(INDEX('月1回_2ヶ月前の在庫'!$E$6:$E$10005,MATCH($C286,'月1回_2ヶ月前の在庫'!$W$6:$W$10005,0)),""))),INDEX('商品マスタ'!$E$6:$E$1005,MATCH($C286,'商品マスタ'!$B$6:$B$1005,0))),IFERROR(INDEX('①在庫を貼る'!$E$6:$E$10005,MATCH($C286,'①在庫を貼る'!$W$6:$W$10005,0)),IFERROR(INDEX('月1回_1ヶ月前の在庫'!$E$6:$E$10005,MATCH($C286,'月1回_1ヶ月前の在庫'!$W$6:$W$10005,0)),IFERROR(INDEX('月1回_2ヶ月前の在庫'!$E$6:$E$10005,MATCH($C286,'月1回_2ヶ月前の在庫'!$W$6:$W$10005,0)),"")))))</f>
        <v/>
      </c>
      <c r="G286">
        <f>IF($C286="","",MAX(1,N(IFERROR(IF(INDEX('商品マスタ'!$F$6:$F$1005,MATCH($C286,'商品マスタ'!$B$6:$B$1005,0))="",IF(COUNTIFS('①在庫を貼る'!$V$6:$V$10005,'設定'!$C$4,'①在庫を貼る'!$W$6:$W$10005,$C286)&gt;0,SUMIFS('①在庫を貼る'!$K$6:$K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K$6:$K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K$6:$K$10005,'月1回_2ヶ月前の在庫'!$V$6:$V$10005,'設定'!$C$4,'月1回_2ヶ月前の在庫'!$W$6:$W$10005,$C286)/COUNTIFS('月1回_2ヶ月前の在庫'!$V$6:$V$10005,'設定'!$C$4,'月1回_2ヶ月前の在庫'!$W$6:$W$10005,$C286),0))),INDEX('商品マスタ'!$F$6:$F$1005,MATCH($C286,'商品マスタ'!$B$6:$B$1005,0))),IF(COUNTIFS('①在庫を貼る'!$V$6:$V$10005,'設定'!$C$4,'①在庫を貼る'!$W$6:$W$10005,$C286)&gt;0,SUMIFS('①在庫を貼る'!$K$6:$K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K$6:$K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K$6:$K$10005,'月1回_2ヶ月前の在庫'!$V$6:$V$10005,'設定'!$C$4,'月1回_2ヶ月前の在庫'!$W$6:$W$10005,$C286)/COUNTIFS('月1回_2ヶ月前の在庫'!$V$6:$V$10005,'設定'!$C$4,'月1回_2ヶ月前の在庫'!$W$6:$W$10005,$C286),0)))))))</f>
        <v/>
      </c>
      <c r="H286">
        <f>IF($C286="","",N(IFERROR(IF(INDEX('商品マスタ'!$G$6:$G$1005,MATCH($C286,'商品マスタ'!$B$6:$B$1005,0))="",IF(COUNTIFS('①在庫を貼る'!$V$6:$V$10005,'設定'!$C$4,'①在庫を貼る'!$W$6:$W$10005,$C286)&gt;0,SUMIFS('①在庫を貼る'!$Q$6:$Q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Q$6:$Q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Q$6:$Q$10005,'月1回_2ヶ月前の在庫'!$V$6:$V$10005,'設定'!$C$4,'月1回_2ヶ月前の在庫'!$W$6:$W$10005,$C286)/COUNTIFS('月1回_2ヶ月前の在庫'!$V$6:$V$10005,'設定'!$C$4,'月1回_2ヶ月前の在庫'!$W$6:$W$10005,$C286),0))),INDEX('商品マスタ'!$G$6:$G$1005,MATCH($C286,'商品マスタ'!$B$6:$B$1005,0))),IF(COUNTIFS('①在庫を貼る'!$V$6:$V$10005,'設定'!$C$4,'①在庫を貼る'!$W$6:$W$10005,$C286)&gt;0,SUMIFS('①在庫を貼る'!$Q$6:$Q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Q$6:$Q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Q$6:$Q$10005,'月1回_2ヶ月前の在庫'!$V$6:$V$10005,'設定'!$C$4,'月1回_2ヶ月前の在庫'!$W$6:$W$10005,$C286)/COUNTIFS('月1回_2ヶ月前の在庫'!$V$6:$V$10005,'設定'!$C$4,'月1回_2ヶ月前の在庫'!$W$6:$W$10005,$C286),0))))))</f>
        <v/>
      </c>
      <c r="I286">
        <f>IF($C286="","",IF(COUNTIFS('①在庫を貼る'!$V$6:$V$10005,'設定'!$C$4,'①在庫を貼る'!$W$6:$W$10005,$C286)=0,"",SUMIFS('①在庫を貼る'!$N$6:$N$10005,'①在庫を貼る'!$V$6:$V$10005,'設定'!$C$4,'①在庫を貼る'!$W$6:$W$10005,$C286)))</f>
        <v/>
      </c>
      <c r="J286">
        <f>IF($C286="","",IF('②発注する'!$AD290="","",'②発注する'!$AD290))</f>
        <v/>
      </c>
      <c r="K286" s="90">
        <f>IF($C286="","",IF('②発注する'!$AE290="","",'②発注する'!$AE290))</f>
        <v/>
      </c>
      <c r="L286">
        <f>IF($C286="","",IF(AND(ISNUMBER($J286),ISNUMBER($K286),$K286&gt;='設定'!$C$6),$J286,N($I286)))</f>
        <v/>
      </c>
      <c r="M286">
        <f>IF($C286="","",IFERROR(IF(N(INDEX('商品マスタ'!$J$6:$J$1005,MATCH($C286,'商品マスタ'!$B$6:$B$1005,0)))&gt;0,INDEX('商品マスタ'!$J$6:$J$1005,MATCH($C286,'商品マスタ'!$B$6:$B$1005,0)),""),""))</f>
        <v/>
      </c>
      <c r="N286">
        <f>IF($C286="","",IFERROR(IF(N(INDEX('商品マスタ'!$H$6:$H$1005,MATCH($C286,'商品マスタ'!$B$6:$B$1005,0)))&gt;0,INDEX('商品マスタ'!$H$6:$H$1005,MATCH($C286,'商品マスタ'!$B$6:$B$1005,0)),""),""))</f>
        <v/>
      </c>
      <c r="O286">
        <f>IF($C286="","",IF($N286&lt;&gt;"",$N286*$G286,IF(N(IF(COUNTIFS('①在庫を貼る'!$V$6:$V$10005,'設定'!$C$4,'①在庫を貼る'!$W$6:$W$10005,$C286)&gt;0,SUMIFS('①在庫を貼る'!$O$6:$O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O$6:$O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O$6:$O$10005,'月1回_2ヶ月前の在庫'!$V$6:$V$10005,'設定'!$C$4,'月1回_2ヶ月前の在庫'!$W$6:$W$10005,$C286)/COUNTIFS('月1回_2ヶ月前の在庫'!$V$6:$V$10005,'設定'!$C$4,'月1回_2ヶ月前の在庫'!$W$6:$W$10005,$C286),0))))&gt;0,N(IF(COUNTIFS('①在庫を貼る'!$V$6:$V$10005,'設定'!$C$4,'①在庫を貼る'!$W$6:$W$10005,$C286)&gt;0,SUMIFS('①在庫を貼る'!$O$6:$O$10005,'①在庫を貼る'!$V$6:$V$10005,'設定'!$C$4,'①在庫を貼る'!$W$6:$W$10005,$C286)/COUNTIFS('①在庫を貼る'!$V$6:$V$10005,'設定'!$C$4,'①在庫を貼る'!$W$6:$W$10005,$C286),IF(COUNTIFS('月1回_1ヶ月前の在庫'!$V$6:$V$10005,'設定'!$C$4,'月1回_1ヶ月前の在庫'!$W$6:$W$10005,$C286)&gt;0,SUMIFS('月1回_1ヶ月前の在庫'!$O$6:$O$10005,'月1回_1ヶ月前の在庫'!$V$6:$V$10005,'設定'!$C$4,'月1回_1ヶ月前の在庫'!$W$6:$W$10005,$C286)/COUNTIFS('月1回_1ヶ月前の在庫'!$V$6:$V$10005,'設定'!$C$4,'月1回_1ヶ月前の在庫'!$W$6:$W$10005,$C286),IF(COUNTIFS('月1回_2ヶ月前の在庫'!$V$6:$V$10005,'設定'!$C$4,'月1回_2ヶ月前の在庫'!$W$6:$W$10005,$C286)&gt;0,SUMIFS('月1回_2ヶ月前の在庫'!$O$6:$O$10005,'月1回_2ヶ月前の在庫'!$V$6:$V$10005,'設定'!$C$4,'月1回_2ヶ月前の在庫'!$W$6:$W$10005,$C286)/COUNTIFS('月1回_2ヶ月前の在庫'!$V$6:$V$10005,'設定'!$C$4,'月1回_2ヶ月前の在庫'!$W$6:$W$10005,$C286),0)))),"")))</f>
        <v/>
      </c>
      <c r="P286" s="90">
        <f>IF($C286="","",IF('②発注する'!$I290="","",'②発注する'!$I290))</f>
        <v/>
      </c>
      <c r="Q286">
        <f>IF($C286="","",IF('②発注する'!$J290="","",'②発注する'!$J290))</f>
        <v/>
      </c>
      <c r="R286">
        <f>IF($C286="",0,IF(AND(ISNUMBER($P286),ISNUMBER($Q286)),MAX(0,$Q286)*$G286,0))</f>
        <v/>
      </c>
      <c r="S286" s="90">
        <f>IF($C286="","",IF('②発注する'!$M290="","",'②発注する'!$M290))</f>
        <v/>
      </c>
      <c r="T286">
        <f>IF($C286="","",IF('②発注する'!$N290="","",'②発注する'!$N290))</f>
        <v/>
      </c>
      <c r="U286">
        <f>IF($C286="",0,IF(AND(ISNUMBER($S286),ISNUMBER($T286)),MAX(0,$T286)*$G286,0))</f>
        <v/>
      </c>
      <c r="V286">
        <f>IF($C286="",0,IF($M286="",0,MAX(0,$M286)*MAX(0,V$4)/100))</f>
        <v/>
      </c>
      <c r="W286">
        <f>IF($C286="",0,IF($M286="",0,MAX(0,$M286)*MAX(0,W$4)/100))</f>
        <v/>
      </c>
      <c r="X286">
        <f>IF($C286="",0,IF($M286="",0,MAX(0,$M286)*MAX(0,X$4)/100))</f>
        <v/>
      </c>
      <c r="Y286">
        <f>IF($C286="",0,IF($M286="",0,MAX(0,$M286)*MAX(0,Y$4)/100))</f>
        <v/>
      </c>
      <c r="Z286">
        <f>IF($C286="",0,IF($M286="",0,MAX(0,$M286)*MAX(0,Z$4)/100))</f>
        <v/>
      </c>
      <c r="AA286">
        <f>IF($C286="",0,IF($M286="",0,MAX(0,$M286)*MAX(0,AA$4)/100))</f>
        <v/>
      </c>
      <c r="AB286">
        <f>IF($C286="",0,IF($M286="",0,MAX(0,$M286)*MAX(0,AB$4)/100))</f>
        <v/>
      </c>
      <c r="AC286">
        <f>IF($C286="",0,IF($M286="",0,MAX(0,$M286)*MAX(0,AC$4)/100))</f>
        <v/>
      </c>
      <c r="AD286">
        <f>IF($C286="",0,IF($M286="",0,MAX(0,$M286)*MAX(0,AD$4)/100))</f>
        <v/>
      </c>
      <c r="AE286">
        <f>IF($C286="",0,IF($M286="",0,MAX(0,$M286)*MAX(0,AE$4)/100))</f>
        <v/>
      </c>
      <c r="AF286">
        <f>IF($C286="",0,IF($M286="",0,MAX(0,$M286)*MAX(0,AF$4)/100))</f>
        <v/>
      </c>
      <c r="AG286">
        <f>IF($C286="",0,IF($M286="",0,MAX(0,$M286)*MAX(0,AG$4)/100))</f>
        <v/>
      </c>
      <c r="AH286">
        <f>IF($C286="",0,IF($M286="",0,MAX(0,$M286)*MAX(0,AH$4)/100))</f>
        <v/>
      </c>
      <c r="AI286">
        <f>IF($C286="",0,IF($M286="",0,MAX(0,$M286)*MAX(0,AI$4)/100))</f>
        <v/>
      </c>
      <c r="AJ286">
        <f>IF($C286="",0,MAX(0,MAX(0,N($L286))-$V286))</f>
        <v/>
      </c>
      <c r="AK286">
        <f>IF($C286="",0,MAX(0,$AJ286-$W286))</f>
        <v/>
      </c>
      <c r="AL286">
        <f>IF($C286="",0,MAX(0,$AK286-$X286))</f>
        <v/>
      </c>
      <c r="AM286">
        <f>IF($C286="",0,MAX(0,$AL286-$Y286))</f>
        <v/>
      </c>
      <c r="AN286">
        <f>IF($C286="",0,MAX(0,$AM286-$Z286))</f>
        <v/>
      </c>
      <c r="AO286">
        <f>IF($C286="",0,MAX(0,$AN286-$AA286))</f>
        <v/>
      </c>
      <c r="AP286">
        <f>IF($C286="",0,MAX(0,$AO286-$AB286))</f>
        <v/>
      </c>
      <c r="AQ286">
        <f>IF($C286="",0,MAX(0,$AP286-$AC286))</f>
        <v/>
      </c>
      <c r="AR286">
        <f>IF($C286="",0,MAX(0,$AQ286-$AD286))</f>
        <v/>
      </c>
      <c r="AS286">
        <f>IF($C286="",0,MAX(0,$AR286-$AE286))</f>
        <v/>
      </c>
      <c r="AT286">
        <f>IF($C286="",0,MAX(0,$AS286-$AF286))</f>
        <v/>
      </c>
      <c r="AU286">
        <f>IF($C286="",0,MAX(0,$AT286-$AG286))</f>
        <v/>
      </c>
      <c r="AV286">
        <f>IF($C286="",0,MAX(0,$AU286-$AH286))</f>
        <v/>
      </c>
      <c r="AW286">
        <f>IF($C286="",0,MAX(0,$AV286-$AI286))</f>
        <v/>
      </c>
      <c r="AX286">
        <f>IF($C286="",0,MAX(0,MAX(0,N($L286))+IF($P286=V$3,$R286,0)+IF($S286=V$3,$U286,0)-$V286))</f>
        <v/>
      </c>
      <c r="AY286">
        <f>IF($C286="",0,MAX(0,$AX286+IF($P286=W$3,$R286,0)+IF($S286=W$3,$U286,0)-$W286))</f>
        <v/>
      </c>
      <c r="AZ286">
        <f>IF($C286="",0,MAX(0,$AY286+IF($P286=X$3,$R286,0)+IF($S286=X$3,$U286,0)-$X286))</f>
        <v/>
      </c>
      <c r="BA286">
        <f>IF($C286="",0,MAX(0,$AZ286+IF($P286=Y$3,$R286,0)+IF($S286=Y$3,$U286,0)-$Y286))</f>
        <v/>
      </c>
      <c r="BB286">
        <f>IF($C286="",0,MAX(0,$BA286+IF($P286=Z$3,$R286,0)+IF($S286=Z$3,$U286,0)-$Z286))</f>
        <v/>
      </c>
      <c r="BC286">
        <f>IF($C286="",0,MAX(0,$BB286+IF($P286=AA$3,$R286,0)+IF($S286=AA$3,$U286,0)-$AA286))</f>
        <v/>
      </c>
      <c r="BD286">
        <f>IF($C286="",0,MAX(0,$BC286+IF($P286=AB$3,$R286,0)+IF($S286=AB$3,$U286,0)-$AB286))</f>
        <v/>
      </c>
      <c r="BE286">
        <f>IF($C286="",0,MAX(0,$BD286+IF($P286=AC$3,$R286,0)+IF($S286=AC$3,$U286,0)-$AC286))</f>
        <v/>
      </c>
      <c r="BF286">
        <f>IF($C286="",0,MAX(0,$BE286+IF($P286=AD$3,$R286,0)+IF($S286=AD$3,$U286,0)-$AD286))</f>
        <v/>
      </c>
      <c r="BG286">
        <f>IF($C286="",0,MAX(0,$BF286+IF($P286=AE$3,$R286,0)+IF($S286=AE$3,$U286,0)-$AE286))</f>
        <v/>
      </c>
      <c r="BH286">
        <f>IF($C286="",0,MAX(0,$BG286+IF($P286=AF$3,$R286,0)+IF($S286=AF$3,$U286,0)-$AF286))</f>
        <v/>
      </c>
      <c r="BI286">
        <f>IF($C286="",0,MAX(0,$BH286+IF($P286=AG$3,$R286,0)+IF($S286=AG$3,$U286,0)-$AG286))</f>
        <v/>
      </c>
      <c r="BJ286">
        <f>IF($C286="",0,MAX(0,$BI286+IF($P286=AH$3,$R286,0)+IF($S286=AH$3,$U286,0)-$AH286))</f>
        <v/>
      </c>
      <c r="BK286">
        <f>IF($C286="",0,MAX(0,$BJ286+IF($P286=AI$3,$R286,0)+IF($S286=AI$3,$U286,0)-$AI286))</f>
        <v/>
      </c>
      <c r="BL286">
        <f>IF($C286="",99,IF(AND($AX286&lt;1,V$3&gt;=MAX(N($P286),N($S286))),0,99))</f>
        <v/>
      </c>
      <c r="BM286">
        <f>IF($C286="",99,IF(AND($AY286&lt;1,W$3&gt;=MAX(N($P286),N($S286))),1,99))</f>
        <v/>
      </c>
      <c r="BN286">
        <f>IF($C286="",99,IF(AND($AZ286&lt;1,X$3&gt;=MAX(N($P286),N($S286))),2,99))</f>
        <v/>
      </c>
      <c r="BO286">
        <f>IF($C286="",99,IF(AND($BA286&lt;1,Y$3&gt;=MAX(N($P286),N($S286))),3,99))</f>
        <v/>
      </c>
      <c r="BP286">
        <f>IF($C286="",99,IF(AND($BB286&lt;1,Z$3&gt;=MAX(N($P286),N($S286))),4,99))</f>
        <v/>
      </c>
      <c r="BQ286">
        <f>IF($C286="",99,IF(AND($BC286&lt;1,AA$3&gt;=MAX(N($P286),N($S286))),5,99))</f>
        <v/>
      </c>
      <c r="BR286">
        <f>IF($C286="",99,IF(AND($BD286&lt;1,AB$3&gt;=MAX(N($P286),N($S286))),6,99))</f>
        <v/>
      </c>
      <c r="BS286">
        <f>IF($C286="",99,IF(AND($BE286&lt;1,AC$3&gt;=MAX(N($P286),N($S286))),7,99))</f>
        <v/>
      </c>
      <c r="BT286">
        <f>IF($C286="",99,IF(AND($BF286&lt;1,AD$3&gt;=MAX(N($P286),N($S286))),8,99))</f>
        <v/>
      </c>
      <c r="BU286">
        <f>IF($C286="",99,IF(AND($BG286&lt;1,AE$3&gt;=MAX(N($P286),N($S286))),9,99))</f>
        <v/>
      </c>
      <c r="BV286">
        <f>IF($C286="",99,IF(AND($BH286&lt;1,AF$3&gt;=MAX(N($P286),N($S286))),10,99))</f>
        <v/>
      </c>
      <c r="BW286">
        <f>IF($C286="",99,IF(AND($BI286&lt;1,AG$3&gt;=MAX(N($P286),N($S286))),11,99))</f>
        <v/>
      </c>
      <c r="BX286">
        <f>IF($C286="",99,IF(AND($BJ286&lt;1,AH$3&gt;=MAX(N($P286),N($S286))),12,99))</f>
        <v/>
      </c>
      <c r="BY286">
        <f>IF($C286="",99,IF(AND($BK286&lt;1,AI$3&gt;=MAX(N($P286),N($S286))),13,99))</f>
        <v/>
      </c>
      <c r="BZ286">
        <f>IF(OR($C286="",$M286=""),"",COUNTIF($AJ286:$AW286,"&gt;=1"))</f>
        <v/>
      </c>
      <c r="CA286" s="90">
        <f>IF($BZ286="","",IF($BZ286&gt;=14,"",'設定'!$C$6+$BZ286))</f>
        <v/>
      </c>
      <c r="CB286">
        <f>IF(OR($C286="",$M286=""),"",MIN($BL286:$BY286))</f>
        <v/>
      </c>
      <c r="CC286" s="90">
        <f>IF($CB286="","",IF($CB286&gt;=99,"",'設定'!$C$6+$CB286))</f>
        <v/>
      </c>
      <c r="CD286">
        <f>IF(OR($C286="",$M286=""),"",AVERAGE($V286:$AI286))</f>
        <v/>
      </c>
      <c r="CE286">
        <f>IF($C286="","",IFERROR(IF(MATCH(IF(ISNUMBER($P286),$P286,'設定'!$C$6+N('設定'!$C$7)),$V$3:$AI$3,0)=1,MAX(0,N($L286)),INDEX($AJ286:$AW286,MATCH(IF(ISNUMBER($P286),$P286,'設定'!$C$6+N('設定'!$C$7)),$V$3:$AI$3,0)-1)),""))</f>
        <v/>
      </c>
      <c r="CF286">
        <f>IF(OR($C286="",$O286="",$CE286=""),"",IF($O286-$CE286&lt;=0,0,ROUNDUP(($O286-$CE286)/$G286,0)))</f>
        <v/>
      </c>
      <c r="CG286">
        <f>IF(OR($C286="",$CF286="",NOT(ISNUMBER($Q286))),0,MAX(0,$Q286-$CF286))</f>
        <v/>
      </c>
      <c r="CH286">
        <f>IF(OR($C286="",$O286="",$U286=0),0,IFERROR(ROUNDUP(MAX(0,IF(MATCH($S286,$V$3:$AI$3,0)=1,MAX(0,N($L286)),INDEX($AX286:$BK286,MATCH($S286,$V$3:$AI$3,0)-1))+$U286-$O286)/$G286,0),0))</f>
        <v/>
      </c>
      <c r="CI286">
        <f>IF($C286="","",IF(AND($P286="",$Q286=""),"",IF($P286="","⚠ 入庫日を ▼ から選んでください",IF(NOT(ISNUMBER($P286)),"⚠ 入庫日は ▼ から選んでください",IF($P286&lt;N('設定'!$C$6),"⚠ 入庫日が過去です（もう在庫に入っています）→ 消してください",IF($P286&gt;N('設定'!$C$6)+13,"⚠ 入庫日が14日より先です",IF(N($Q286)&lt;=0,"⚠ 入庫数を入れてください",IF($CG286&gt;0,"⚠ 目安より "&amp;$CG286&amp;" 多い（定数を超える）→ 減らす",""))))))))</f>
        <v/>
      </c>
      <c r="CJ286">
        <f>IF($C286="","",IF(AND($S286="",$T286=""),"",IF($S286="","⚠ 2便目：入庫日を ▼ から選んでください",IF(NOT(ISNUMBER($S286)),"⚠ 2便目：入庫日は ▼ から選んでください",IF($S286&lt;N('設定'!$C$6),"⚠ 2便目：入庫日が過去です（もう在庫に入っています）→ 消してください",IF($S286&gt;N('設定'!$C$6)+13,"⚠ 2便目：入庫日が14日より先です",IF(N($T286)&lt;=0,"⚠ 2便目：入庫数を入れてください",IF($CH286&gt;0,"⚠ 2便目：定数を "&amp;$CH286&amp;" ケース超える → 減らす",""))))))))</f>
        <v/>
      </c>
      <c r="CK286">
        <f>IF(AND($CI286="",N($Q286)&gt;0,ISNUMBER($P286)),1,0)</f>
        <v/>
      </c>
      <c r="CL286">
        <f>IF(AND($CJ286="",N($T286)&gt;0,ISNUMBER($S286)),1,0)</f>
        <v/>
      </c>
      <c r="CM286">
        <f>IF(OR($CK286=1,$CL286=1),1,0)</f>
        <v/>
      </c>
      <c r="CN286">
        <f>IF($C286="",0,($CK286*$R286+$CL286*$U286)*N($H286))</f>
        <v/>
      </c>
      <c r="CO286">
        <f>IF($C286="","",IF($CC286="","入庫後は 14日以上もつ",IF($CC286-N('設定'!$C$7)&lt;='設定'!$C$6,"入庫後も "&amp;TEXT($CC286,"m/d")&amp;"("&amp;CHOOSE(WEEKDAY($CC286),"日","月","火","水","木","金","土")&amp;")"&amp;" に切れる　もう1便を至急発注","入庫後も "&amp;TEXT($CC286,"m/d")&amp;"("&amp;CHOOSE(WEEKDAY($CC286),"日","月","火","水","木","金","土")&amp;")"&amp;" に切れる　"&amp;TEXT($CC286-N('設定'!$C$7),"m/d")&amp;"("&amp;CHOOSE(WEEKDAY($CC286-N('設定'!$C$7)),"日","月","火","水","木","金","土")&amp;")"&amp;" までに次を発注")))</f>
        <v/>
      </c>
      <c r="CP286">
        <f>IF($C286="","",IF('設定'!$C$6="","？ ①在庫を貼る に今日のCSVが貼られていない",IF($CS286=1,"－ 今日のCSVに無い（終売？）",IF($L286&lt;0,"● 在庫がマイナス　数えて「数えた在庫」に入れる",IF($L286=0,"● 在庫なし　至急発注",IF($M286="","？ 減り数が未設定（商品マスタ）",IF($B$3=0,"？ 動員が未入力（動員を入れる）",IF($CA286="","○ 14日以上もつ",IF($BZ286&lt;N('設定'!$C$7),"● "&amp;TEXT($CA286,"m/d")&amp;"("&amp;CHOOSE(WEEKDAY($CA286),"日","月","火","水","木","金","土")&amp;")"&amp;" に切れる　至急発注",IF($BZ286=N('設定'!$C$7),"● "&amp;TEXT($CA286,"m/d")&amp;"("&amp;CHOOSE(WEEKDAY($CA286),"日","月","火","水","木","金","土")&amp;")"&amp;" に切れる　今日発注","△ "&amp;TEXT($CA286,"m/d")&amp;"("&amp;CHOOSE(WEEKDAY($CA286),"日","月","火","水","木","金","土")&amp;")"&amp;" に切れる　"&amp;TEXT($CA286-N('設定'!$C$7),"m/d")&amp;"("&amp;CHOOSE(WEEKDAY($CA286-N('設定'!$C$7)),"日","月","火","水","木","金","土")&amp;")"&amp;" までに発注"))))))))))</f>
        <v/>
      </c>
      <c r="CQ286">
        <f>IF($C286="","",IF(AND($P286="",$Q286="",$S286="",$T286=""),"",IF(AND($P286="",$Q286=""),"⚠ 先に1便目（左の入庫日・入庫数）に入れてください",IF($CI286&lt;&gt;"",$CI286,IF($CJ286&lt;&gt;"",$CJ286,IF($M286="","？ 減り数が未設定（発注書には載ります）",IF($B$3=0,"？ 動員が未入力（発注書には載ります）",IF(AND($CA286&lt;&gt;"",$P286&gt;$CA286),IF($P286&gt;'設定'!$C$6+N('設定'!$C$7),"● "&amp;TEXT($P286,"m/d")&amp;"("&amp;CHOOSE(WEEKDAY($P286),"日","月","火","水","木","金","土")&amp;")"&amp;" の入庫では間に合わない（"&amp;TEXT($CA286,"m/d")&amp;"("&amp;CHOOSE(WEEKDAY($CA286),"日","月","火","水","木","金","土")&amp;")"&amp;" に切れる）　入庫日を早める","△ 欠品 "&amp;TEXT($CA286,"m/d")&amp;"("&amp;CHOOSE(WEEKDAY($CA286),"日","月","火","水","木","金","土")&amp;")"&amp;"〜"&amp;TEXT($P286-1,"m/d")&amp;"("&amp;CHOOSE(WEEKDAY($P286-1),"日","月","火","水","木","金","土")&amp;")"&amp;"　"&amp;$CO286),IF($CC286="","○ "&amp;TEXT($P286,"m/d")&amp;"("&amp;CHOOSE(WEEKDAY($P286),"日","月","火","水","木","金","土")&amp;")"&amp;" 入庫で 14日以上もつ",IF($CC286-N('設定'!$C$7)&lt;='設定'!$C$6,"● 入庫しても "&amp;TEXT($CC286,"m/d")&amp;"("&amp;CHOOSE(WEEKDAY($CC286),"日","月","火","水","木","金","土")&amp;")"&amp;" に切れる　もう1便を至急発注（2便目に入れる）","△ 入庫しても "&amp;TEXT($CC286,"m/d")&amp;"("&amp;CHOOSE(WEEKDAY($CC286),"日","月","火","水","木","金","土")&amp;")"&amp;" に切れる　"&amp;TEXT($CC286-N('設定'!$C$7),"m/d")&amp;"("&amp;CHOOSE(WEEKDAY($CC286-N('設定'!$C$7)),"日","月","火","水","木","金","土")&amp;")"&amp;" までに次を発注（2便目に入れる）"))))))))))</f>
        <v/>
      </c>
      <c r="CR286">
        <f>IF($C286="","",IF($G286&gt;1,"ｹｰｽ("&amp;$G286&amp;"入)","個"))</f>
        <v/>
      </c>
      <c r="CS286">
        <f>IF($C286="",0,IF(COUNTIFS('①在庫を貼る'!$V$6:$V$10005,'設定'!$C$4,'①在庫を貼る'!$W$6:$W$10005,$C286)=0,1,0))</f>
        <v/>
      </c>
      <c r="CT286">
        <f>IF(AND($CK286=1,OR('③発注書'!$C$4="すべて",'③発注書'!$C$4="",$F286='③発注書'!$C$4)),N($CT285)+1,N($CT285))</f>
        <v/>
      </c>
      <c r="CU286">
        <f>IF(AND($CL286=1,OR('③発注書'!$C$4="すべて",'③発注書'!$C$4="",$F286='③発注書'!$C$4)),N($CU285)+1,N($CU285))</f>
        <v/>
      </c>
      <c r="CV286">
        <f>IF($C286="",0,IF(COUNTIFS('①在庫を貼る'!$V$6:$V$10005,'設定'!$C$4,'①在庫を貼る'!$W$6:$W$10005,$C286)&gt;0,1,0))</f>
        <v/>
      </c>
      <c r="CW286">
        <f>IF($C286="",0,IF(COUNTIFS('月1回_1ヶ月前の在庫'!$V$6:$V$10005,'設定'!$C$4,'月1回_1ヶ月前の在庫'!$W$6:$W$10005,$C286)&gt;0,1,0))</f>
        <v/>
      </c>
      <c r="CX286">
        <f>IF($C286="",0,IF(COUNTIFS('月1回_2ヶ月前の在庫'!$V$6:$V$10005,'設定'!$C$4,'月1回_2ヶ月前の在庫'!$W$6:$W$10005,$C286)&gt;0,1,0))</f>
        <v/>
      </c>
      <c r="CY286">
        <f>IF(OR($C286="",'設定'!$C$12=""),"",IF('設定'!$C$13="",IF(AND($CV286=1,$CW286=0),"新商品（今月から）",IF(AND($CV286=0,$CW286=1),"終売（今月から）","")),IF(AND($CV286=1,$CW286=0,$CX286=0),"新商品（今月から）",IF(AND($CV286=1,$CW286=1,$CX286=0),"新商品（先月から）",IF(AND($CV286=0,$CW286=1,$CX286=1),"終売（今月から）",IF(AND($CV286=0,$CW286=0,$CX286=1),"終売（先月から）",IF(AND($CV286=1,$CW286=0,$CX286=1),"復活（先月は無し）","")))))))</f>
        <v/>
      </c>
    </row>
    <row r="287">
      <c r="B287">
        <f>IF(282&lt;='設定'!$C$11,282,"")</f>
        <v/>
      </c>
      <c r="C287">
        <f>IF($B287="","",IF($B287&lt;='設定'!$C$20,INDEX('商品マスタ'!$B$6:$B$1005,MATCH($B287,'商品マスタ'!$M$6:$M$1005,0)),IF($B287&lt;='設定'!$C$20+'設定'!$C$17,INDEX('①在庫を貼る'!$W$6:$W$10005,MATCH($B287-'設定'!$C$20,'①在庫を貼る'!$U$6:$U$10005,0)),IF($B287&lt;='設定'!$C$20+'設定'!$C$17+'設定'!$C$18,INDEX('月1回_1ヶ月前の在庫'!$W$6:$W$10005,MATCH($B287-'設定'!$C$20-'設定'!$C$17,'月1回_1ヶ月前の在庫'!$U$6:$U$10005,0)),INDEX('月1回_2ヶ月前の在庫'!$W$6:$W$10005,MATCH($B287-'設定'!$C$20-'設定'!$C$17-'設定'!$C$18,'月1回_2ヶ月前の在庫'!$U$6:$U$10005,0))))))</f>
        <v/>
      </c>
      <c r="D287">
        <f>IF($C287="","",IFERROR(IF(INDEX('商品マスタ'!$C$6:$C$1005,MATCH($C287,'商品マスタ'!$B$6:$B$1005,0))="",IFERROR(INDEX('①在庫を貼る'!$J$6:$J$10005,MATCH($C287,'①在庫を貼る'!$W$6:$W$10005,0)),IFERROR(INDEX('月1回_1ヶ月前の在庫'!$J$6:$J$10005,MATCH($C287,'月1回_1ヶ月前の在庫'!$W$6:$W$10005,0)),IFERROR(INDEX('月1回_2ヶ月前の在庫'!$J$6:$J$10005,MATCH($C287,'月1回_2ヶ月前の在庫'!$W$6:$W$10005,0)),""))),INDEX('商品マスタ'!$C$6:$C$1005,MATCH($C287,'商品マスタ'!$B$6:$B$1005,0))),IFERROR(INDEX('①在庫を貼る'!$J$6:$J$10005,MATCH($C287,'①在庫を貼る'!$W$6:$W$10005,0)),IFERROR(INDEX('月1回_1ヶ月前の在庫'!$J$6:$J$10005,MATCH($C287,'月1回_1ヶ月前の在庫'!$W$6:$W$10005,0)),IFERROR(INDEX('月1回_2ヶ月前の在庫'!$J$6:$J$10005,MATCH($C287,'月1回_2ヶ月前の在庫'!$W$6:$W$10005,0)),"")))))</f>
        <v/>
      </c>
      <c r="E287">
        <f>IF($C287="","",IFERROR(IF(INDEX('商品マスタ'!$D$6:$D$1005,MATCH($C287,'商品マスタ'!$B$6:$B$1005,0))="",IFERROR(INDEX('①在庫を貼る'!$H$6:$H$10005,MATCH($C287,'①在庫を貼る'!$W$6:$W$10005,0)),IFERROR(INDEX('月1回_1ヶ月前の在庫'!$H$6:$H$10005,MATCH($C287,'月1回_1ヶ月前の在庫'!$W$6:$W$10005,0)),IFERROR(INDEX('月1回_2ヶ月前の在庫'!$H$6:$H$10005,MATCH($C287,'月1回_2ヶ月前の在庫'!$W$6:$W$10005,0)),""))),INDEX('商品マスタ'!$D$6:$D$1005,MATCH($C287,'商品マスタ'!$B$6:$B$1005,0))),IFERROR(INDEX('①在庫を貼る'!$H$6:$H$10005,MATCH($C287,'①在庫を貼る'!$W$6:$W$10005,0)),IFERROR(INDEX('月1回_1ヶ月前の在庫'!$H$6:$H$10005,MATCH($C287,'月1回_1ヶ月前の在庫'!$W$6:$W$10005,0)),IFERROR(INDEX('月1回_2ヶ月前の在庫'!$H$6:$H$10005,MATCH($C287,'月1回_2ヶ月前の在庫'!$W$6:$W$10005,0)),"")))))</f>
        <v/>
      </c>
      <c r="F287">
        <f>IF($C287="","",IFERROR(IF(INDEX('商品マスタ'!$E$6:$E$1005,MATCH($C287,'商品マスタ'!$B$6:$B$1005,0))="",IFERROR(INDEX('①在庫を貼る'!$E$6:$E$10005,MATCH($C287,'①在庫を貼る'!$W$6:$W$10005,0)),IFERROR(INDEX('月1回_1ヶ月前の在庫'!$E$6:$E$10005,MATCH($C287,'月1回_1ヶ月前の在庫'!$W$6:$W$10005,0)),IFERROR(INDEX('月1回_2ヶ月前の在庫'!$E$6:$E$10005,MATCH($C287,'月1回_2ヶ月前の在庫'!$W$6:$W$10005,0)),""))),INDEX('商品マスタ'!$E$6:$E$1005,MATCH($C287,'商品マスタ'!$B$6:$B$1005,0))),IFERROR(INDEX('①在庫を貼る'!$E$6:$E$10005,MATCH($C287,'①在庫を貼る'!$W$6:$W$10005,0)),IFERROR(INDEX('月1回_1ヶ月前の在庫'!$E$6:$E$10005,MATCH($C287,'月1回_1ヶ月前の在庫'!$W$6:$W$10005,0)),IFERROR(INDEX('月1回_2ヶ月前の在庫'!$E$6:$E$10005,MATCH($C287,'月1回_2ヶ月前の在庫'!$W$6:$W$10005,0)),"")))))</f>
        <v/>
      </c>
      <c r="G287">
        <f>IF($C287="","",MAX(1,N(IFERROR(IF(INDEX('商品マスタ'!$F$6:$F$1005,MATCH($C287,'商品マスタ'!$B$6:$B$1005,0))="",IF(COUNTIFS('①在庫を貼る'!$V$6:$V$10005,'設定'!$C$4,'①在庫を貼る'!$W$6:$W$10005,$C287)&gt;0,SUMIFS('①在庫を貼る'!$K$6:$K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K$6:$K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K$6:$K$10005,'月1回_2ヶ月前の在庫'!$V$6:$V$10005,'設定'!$C$4,'月1回_2ヶ月前の在庫'!$W$6:$W$10005,$C287)/COUNTIFS('月1回_2ヶ月前の在庫'!$V$6:$V$10005,'設定'!$C$4,'月1回_2ヶ月前の在庫'!$W$6:$W$10005,$C287),0))),INDEX('商品マスタ'!$F$6:$F$1005,MATCH($C287,'商品マスタ'!$B$6:$B$1005,0))),IF(COUNTIFS('①在庫を貼る'!$V$6:$V$10005,'設定'!$C$4,'①在庫を貼る'!$W$6:$W$10005,$C287)&gt;0,SUMIFS('①在庫を貼る'!$K$6:$K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K$6:$K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K$6:$K$10005,'月1回_2ヶ月前の在庫'!$V$6:$V$10005,'設定'!$C$4,'月1回_2ヶ月前の在庫'!$W$6:$W$10005,$C287)/COUNTIFS('月1回_2ヶ月前の在庫'!$V$6:$V$10005,'設定'!$C$4,'月1回_2ヶ月前の在庫'!$W$6:$W$10005,$C287),0)))))))</f>
        <v/>
      </c>
      <c r="H287">
        <f>IF($C287="","",N(IFERROR(IF(INDEX('商品マスタ'!$G$6:$G$1005,MATCH($C287,'商品マスタ'!$B$6:$B$1005,0))="",IF(COUNTIFS('①在庫を貼る'!$V$6:$V$10005,'設定'!$C$4,'①在庫を貼る'!$W$6:$W$10005,$C287)&gt;0,SUMIFS('①在庫を貼る'!$Q$6:$Q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Q$6:$Q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Q$6:$Q$10005,'月1回_2ヶ月前の在庫'!$V$6:$V$10005,'設定'!$C$4,'月1回_2ヶ月前の在庫'!$W$6:$W$10005,$C287)/COUNTIFS('月1回_2ヶ月前の在庫'!$V$6:$V$10005,'設定'!$C$4,'月1回_2ヶ月前の在庫'!$W$6:$W$10005,$C287),0))),INDEX('商品マスタ'!$G$6:$G$1005,MATCH($C287,'商品マスタ'!$B$6:$B$1005,0))),IF(COUNTIFS('①在庫を貼る'!$V$6:$V$10005,'設定'!$C$4,'①在庫を貼る'!$W$6:$W$10005,$C287)&gt;0,SUMIFS('①在庫を貼る'!$Q$6:$Q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Q$6:$Q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Q$6:$Q$10005,'月1回_2ヶ月前の在庫'!$V$6:$V$10005,'設定'!$C$4,'月1回_2ヶ月前の在庫'!$W$6:$W$10005,$C287)/COUNTIFS('月1回_2ヶ月前の在庫'!$V$6:$V$10005,'設定'!$C$4,'月1回_2ヶ月前の在庫'!$W$6:$W$10005,$C287),0))))))</f>
        <v/>
      </c>
      <c r="I287">
        <f>IF($C287="","",IF(COUNTIFS('①在庫を貼る'!$V$6:$V$10005,'設定'!$C$4,'①在庫を貼る'!$W$6:$W$10005,$C287)=0,"",SUMIFS('①在庫を貼る'!$N$6:$N$10005,'①在庫を貼る'!$V$6:$V$10005,'設定'!$C$4,'①在庫を貼る'!$W$6:$W$10005,$C287)))</f>
        <v/>
      </c>
      <c r="J287">
        <f>IF($C287="","",IF('②発注する'!$AD291="","",'②発注する'!$AD291))</f>
        <v/>
      </c>
      <c r="K287" s="90">
        <f>IF($C287="","",IF('②発注する'!$AE291="","",'②発注する'!$AE291))</f>
        <v/>
      </c>
      <c r="L287">
        <f>IF($C287="","",IF(AND(ISNUMBER($J287),ISNUMBER($K287),$K287&gt;='設定'!$C$6),$J287,N($I287)))</f>
        <v/>
      </c>
      <c r="M287">
        <f>IF($C287="","",IFERROR(IF(N(INDEX('商品マスタ'!$J$6:$J$1005,MATCH($C287,'商品マスタ'!$B$6:$B$1005,0)))&gt;0,INDEX('商品マスタ'!$J$6:$J$1005,MATCH($C287,'商品マスタ'!$B$6:$B$1005,0)),""),""))</f>
        <v/>
      </c>
      <c r="N287">
        <f>IF($C287="","",IFERROR(IF(N(INDEX('商品マスタ'!$H$6:$H$1005,MATCH($C287,'商品マスタ'!$B$6:$B$1005,0)))&gt;0,INDEX('商品マスタ'!$H$6:$H$1005,MATCH($C287,'商品マスタ'!$B$6:$B$1005,0)),""),""))</f>
        <v/>
      </c>
      <c r="O287">
        <f>IF($C287="","",IF($N287&lt;&gt;"",$N287*$G287,IF(N(IF(COUNTIFS('①在庫を貼る'!$V$6:$V$10005,'設定'!$C$4,'①在庫を貼る'!$W$6:$W$10005,$C287)&gt;0,SUMIFS('①在庫を貼る'!$O$6:$O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O$6:$O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O$6:$O$10005,'月1回_2ヶ月前の在庫'!$V$6:$V$10005,'設定'!$C$4,'月1回_2ヶ月前の在庫'!$W$6:$W$10005,$C287)/COUNTIFS('月1回_2ヶ月前の在庫'!$V$6:$V$10005,'設定'!$C$4,'月1回_2ヶ月前の在庫'!$W$6:$W$10005,$C287),0))))&gt;0,N(IF(COUNTIFS('①在庫を貼る'!$V$6:$V$10005,'設定'!$C$4,'①在庫を貼る'!$W$6:$W$10005,$C287)&gt;0,SUMIFS('①在庫を貼る'!$O$6:$O$10005,'①在庫を貼る'!$V$6:$V$10005,'設定'!$C$4,'①在庫を貼る'!$W$6:$W$10005,$C287)/COUNTIFS('①在庫を貼る'!$V$6:$V$10005,'設定'!$C$4,'①在庫を貼る'!$W$6:$W$10005,$C287),IF(COUNTIFS('月1回_1ヶ月前の在庫'!$V$6:$V$10005,'設定'!$C$4,'月1回_1ヶ月前の在庫'!$W$6:$W$10005,$C287)&gt;0,SUMIFS('月1回_1ヶ月前の在庫'!$O$6:$O$10005,'月1回_1ヶ月前の在庫'!$V$6:$V$10005,'設定'!$C$4,'月1回_1ヶ月前の在庫'!$W$6:$W$10005,$C287)/COUNTIFS('月1回_1ヶ月前の在庫'!$V$6:$V$10005,'設定'!$C$4,'月1回_1ヶ月前の在庫'!$W$6:$W$10005,$C287),IF(COUNTIFS('月1回_2ヶ月前の在庫'!$V$6:$V$10005,'設定'!$C$4,'月1回_2ヶ月前の在庫'!$W$6:$W$10005,$C287)&gt;0,SUMIFS('月1回_2ヶ月前の在庫'!$O$6:$O$10005,'月1回_2ヶ月前の在庫'!$V$6:$V$10005,'設定'!$C$4,'月1回_2ヶ月前の在庫'!$W$6:$W$10005,$C287)/COUNTIFS('月1回_2ヶ月前の在庫'!$V$6:$V$10005,'設定'!$C$4,'月1回_2ヶ月前の在庫'!$W$6:$W$10005,$C287),0)))),"")))</f>
        <v/>
      </c>
      <c r="P287" s="90">
        <f>IF($C287="","",IF('②発注する'!$I291="","",'②発注する'!$I291))</f>
        <v/>
      </c>
      <c r="Q287">
        <f>IF($C287="","",IF('②発注する'!$J291="","",'②発注する'!$J291))</f>
        <v/>
      </c>
      <c r="R287">
        <f>IF($C287="",0,IF(AND(ISNUMBER($P287),ISNUMBER($Q287)),MAX(0,$Q287)*$G287,0))</f>
        <v/>
      </c>
      <c r="S287" s="90">
        <f>IF($C287="","",IF('②発注する'!$M291="","",'②発注する'!$M291))</f>
        <v/>
      </c>
      <c r="T287">
        <f>IF($C287="","",IF('②発注する'!$N291="","",'②発注する'!$N291))</f>
        <v/>
      </c>
      <c r="U287">
        <f>IF($C287="",0,IF(AND(ISNUMBER($S287),ISNUMBER($T287)),MAX(0,$T287)*$G287,0))</f>
        <v/>
      </c>
      <c r="V287">
        <f>IF($C287="",0,IF($M287="",0,MAX(0,$M287)*MAX(0,V$4)/100))</f>
        <v/>
      </c>
      <c r="W287">
        <f>IF($C287="",0,IF($M287="",0,MAX(0,$M287)*MAX(0,W$4)/100))</f>
        <v/>
      </c>
      <c r="X287">
        <f>IF($C287="",0,IF($M287="",0,MAX(0,$M287)*MAX(0,X$4)/100))</f>
        <v/>
      </c>
      <c r="Y287">
        <f>IF($C287="",0,IF($M287="",0,MAX(0,$M287)*MAX(0,Y$4)/100))</f>
        <v/>
      </c>
      <c r="Z287">
        <f>IF($C287="",0,IF($M287="",0,MAX(0,$M287)*MAX(0,Z$4)/100))</f>
        <v/>
      </c>
      <c r="AA287">
        <f>IF($C287="",0,IF($M287="",0,MAX(0,$M287)*MAX(0,AA$4)/100))</f>
        <v/>
      </c>
      <c r="AB287">
        <f>IF($C287="",0,IF($M287="",0,MAX(0,$M287)*MAX(0,AB$4)/100))</f>
        <v/>
      </c>
      <c r="AC287">
        <f>IF($C287="",0,IF($M287="",0,MAX(0,$M287)*MAX(0,AC$4)/100))</f>
        <v/>
      </c>
      <c r="AD287">
        <f>IF($C287="",0,IF($M287="",0,MAX(0,$M287)*MAX(0,AD$4)/100))</f>
        <v/>
      </c>
      <c r="AE287">
        <f>IF($C287="",0,IF($M287="",0,MAX(0,$M287)*MAX(0,AE$4)/100))</f>
        <v/>
      </c>
      <c r="AF287">
        <f>IF($C287="",0,IF($M287="",0,MAX(0,$M287)*MAX(0,AF$4)/100))</f>
        <v/>
      </c>
      <c r="AG287">
        <f>IF($C287="",0,IF($M287="",0,MAX(0,$M287)*MAX(0,AG$4)/100))</f>
        <v/>
      </c>
      <c r="AH287">
        <f>IF($C287="",0,IF($M287="",0,MAX(0,$M287)*MAX(0,AH$4)/100))</f>
        <v/>
      </c>
      <c r="AI287">
        <f>IF($C287="",0,IF($M287="",0,MAX(0,$M287)*MAX(0,AI$4)/100))</f>
        <v/>
      </c>
      <c r="AJ287">
        <f>IF($C287="",0,MAX(0,MAX(0,N($L287))-$V287))</f>
        <v/>
      </c>
      <c r="AK287">
        <f>IF($C287="",0,MAX(0,$AJ287-$W287))</f>
        <v/>
      </c>
      <c r="AL287">
        <f>IF($C287="",0,MAX(0,$AK287-$X287))</f>
        <v/>
      </c>
      <c r="AM287">
        <f>IF($C287="",0,MAX(0,$AL287-$Y287))</f>
        <v/>
      </c>
      <c r="AN287">
        <f>IF($C287="",0,MAX(0,$AM287-$Z287))</f>
        <v/>
      </c>
      <c r="AO287">
        <f>IF($C287="",0,MAX(0,$AN287-$AA287))</f>
        <v/>
      </c>
      <c r="AP287">
        <f>IF($C287="",0,MAX(0,$AO287-$AB287))</f>
        <v/>
      </c>
      <c r="AQ287">
        <f>IF($C287="",0,MAX(0,$AP287-$AC287))</f>
        <v/>
      </c>
      <c r="AR287">
        <f>IF($C287="",0,MAX(0,$AQ287-$AD287))</f>
        <v/>
      </c>
      <c r="AS287">
        <f>IF($C287="",0,MAX(0,$AR287-$AE287))</f>
        <v/>
      </c>
      <c r="AT287">
        <f>IF($C287="",0,MAX(0,$AS287-$AF287))</f>
        <v/>
      </c>
      <c r="AU287">
        <f>IF($C287="",0,MAX(0,$AT287-$AG287))</f>
        <v/>
      </c>
      <c r="AV287">
        <f>IF($C287="",0,MAX(0,$AU287-$AH287))</f>
        <v/>
      </c>
      <c r="AW287">
        <f>IF($C287="",0,MAX(0,$AV287-$AI287))</f>
        <v/>
      </c>
      <c r="AX287">
        <f>IF($C287="",0,MAX(0,MAX(0,N($L287))+IF($P287=V$3,$R287,0)+IF($S287=V$3,$U287,0)-$V287))</f>
        <v/>
      </c>
      <c r="AY287">
        <f>IF($C287="",0,MAX(0,$AX287+IF($P287=W$3,$R287,0)+IF($S287=W$3,$U287,0)-$W287))</f>
        <v/>
      </c>
      <c r="AZ287">
        <f>IF($C287="",0,MAX(0,$AY287+IF($P287=X$3,$R287,0)+IF($S287=X$3,$U287,0)-$X287))</f>
        <v/>
      </c>
      <c r="BA287">
        <f>IF($C287="",0,MAX(0,$AZ287+IF($P287=Y$3,$R287,0)+IF($S287=Y$3,$U287,0)-$Y287))</f>
        <v/>
      </c>
      <c r="BB287">
        <f>IF($C287="",0,MAX(0,$BA287+IF($P287=Z$3,$R287,0)+IF($S287=Z$3,$U287,0)-$Z287))</f>
        <v/>
      </c>
      <c r="BC287">
        <f>IF($C287="",0,MAX(0,$BB287+IF($P287=AA$3,$R287,0)+IF($S287=AA$3,$U287,0)-$AA287))</f>
        <v/>
      </c>
      <c r="BD287">
        <f>IF($C287="",0,MAX(0,$BC287+IF($P287=AB$3,$R287,0)+IF($S287=AB$3,$U287,0)-$AB287))</f>
        <v/>
      </c>
      <c r="BE287">
        <f>IF($C287="",0,MAX(0,$BD287+IF($P287=AC$3,$R287,0)+IF($S287=AC$3,$U287,0)-$AC287))</f>
        <v/>
      </c>
      <c r="BF287">
        <f>IF($C287="",0,MAX(0,$BE287+IF($P287=AD$3,$R287,0)+IF($S287=AD$3,$U287,0)-$AD287))</f>
        <v/>
      </c>
      <c r="BG287">
        <f>IF($C287="",0,MAX(0,$BF287+IF($P287=AE$3,$R287,0)+IF($S287=AE$3,$U287,0)-$AE287))</f>
        <v/>
      </c>
      <c r="BH287">
        <f>IF($C287="",0,MAX(0,$BG287+IF($P287=AF$3,$R287,0)+IF($S287=AF$3,$U287,0)-$AF287))</f>
        <v/>
      </c>
      <c r="BI287">
        <f>IF($C287="",0,MAX(0,$BH287+IF($P287=AG$3,$R287,0)+IF($S287=AG$3,$U287,0)-$AG287))</f>
        <v/>
      </c>
      <c r="BJ287">
        <f>IF($C287="",0,MAX(0,$BI287+IF($P287=AH$3,$R287,0)+IF($S287=AH$3,$U287,0)-$AH287))</f>
        <v/>
      </c>
      <c r="BK287">
        <f>IF($C287="",0,MAX(0,$BJ287+IF($P287=AI$3,$R287,0)+IF($S287=AI$3,$U287,0)-$AI287))</f>
        <v/>
      </c>
      <c r="BL287">
        <f>IF($C287="",99,IF(AND($AX287&lt;1,V$3&gt;=MAX(N($P287),N($S287))),0,99))</f>
        <v/>
      </c>
      <c r="BM287">
        <f>IF($C287="",99,IF(AND($AY287&lt;1,W$3&gt;=MAX(N($P287),N($S287))),1,99))</f>
        <v/>
      </c>
      <c r="BN287">
        <f>IF($C287="",99,IF(AND($AZ287&lt;1,X$3&gt;=MAX(N($P287),N($S287))),2,99))</f>
        <v/>
      </c>
      <c r="BO287">
        <f>IF($C287="",99,IF(AND($BA287&lt;1,Y$3&gt;=MAX(N($P287),N($S287))),3,99))</f>
        <v/>
      </c>
      <c r="BP287">
        <f>IF($C287="",99,IF(AND($BB287&lt;1,Z$3&gt;=MAX(N($P287),N($S287))),4,99))</f>
        <v/>
      </c>
      <c r="BQ287">
        <f>IF($C287="",99,IF(AND($BC287&lt;1,AA$3&gt;=MAX(N($P287),N($S287))),5,99))</f>
        <v/>
      </c>
      <c r="BR287">
        <f>IF($C287="",99,IF(AND($BD287&lt;1,AB$3&gt;=MAX(N($P287),N($S287))),6,99))</f>
        <v/>
      </c>
      <c r="BS287">
        <f>IF($C287="",99,IF(AND($BE287&lt;1,AC$3&gt;=MAX(N($P287),N($S287))),7,99))</f>
        <v/>
      </c>
      <c r="BT287">
        <f>IF($C287="",99,IF(AND($BF287&lt;1,AD$3&gt;=MAX(N($P287),N($S287))),8,99))</f>
        <v/>
      </c>
      <c r="BU287">
        <f>IF($C287="",99,IF(AND($BG287&lt;1,AE$3&gt;=MAX(N($P287),N($S287))),9,99))</f>
        <v/>
      </c>
      <c r="BV287">
        <f>IF($C287="",99,IF(AND($BH287&lt;1,AF$3&gt;=MAX(N($P287),N($S287))),10,99))</f>
        <v/>
      </c>
      <c r="BW287">
        <f>IF($C287="",99,IF(AND($BI287&lt;1,AG$3&gt;=MAX(N($P287),N($S287))),11,99))</f>
        <v/>
      </c>
      <c r="BX287">
        <f>IF($C287="",99,IF(AND($BJ287&lt;1,AH$3&gt;=MAX(N($P287),N($S287))),12,99))</f>
        <v/>
      </c>
      <c r="BY287">
        <f>IF($C287="",99,IF(AND($BK287&lt;1,AI$3&gt;=MAX(N($P287),N($S287))),13,99))</f>
        <v/>
      </c>
      <c r="BZ287">
        <f>IF(OR($C287="",$M287=""),"",COUNTIF($AJ287:$AW287,"&gt;=1"))</f>
        <v/>
      </c>
      <c r="CA287" s="90">
        <f>IF($BZ287="","",IF($BZ287&gt;=14,"",'設定'!$C$6+$BZ287))</f>
        <v/>
      </c>
      <c r="CB287">
        <f>IF(OR($C287="",$M287=""),"",MIN($BL287:$BY287))</f>
        <v/>
      </c>
      <c r="CC287" s="90">
        <f>IF($CB287="","",IF($CB287&gt;=99,"",'設定'!$C$6+$CB287))</f>
        <v/>
      </c>
      <c r="CD287">
        <f>IF(OR($C287="",$M287=""),"",AVERAGE($V287:$AI287))</f>
        <v/>
      </c>
      <c r="CE287">
        <f>IF($C287="","",IFERROR(IF(MATCH(IF(ISNUMBER($P287),$P287,'設定'!$C$6+N('設定'!$C$7)),$V$3:$AI$3,0)=1,MAX(0,N($L287)),INDEX($AJ287:$AW287,MATCH(IF(ISNUMBER($P287),$P287,'設定'!$C$6+N('設定'!$C$7)),$V$3:$AI$3,0)-1)),""))</f>
        <v/>
      </c>
      <c r="CF287">
        <f>IF(OR($C287="",$O287="",$CE287=""),"",IF($O287-$CE287&lt;=0,0,ROUNDUP(($O287-$CE287)/$G287,0)))</f>
        <v/>
      </c>
      <c r="CG287">
        <f>IF(OR($C287="",$CF287="",NOT(ISNUMBER($Q287))),0,MAX(0,$Q287-$CF287))</f>
        <v/>
      </c>
      <c r="CH287">
        <f>IF(OR($C287="",$O287="",$U287=0),0,IFERROR(ROUNDUP(MAX(0,IF(MATCH($S287,$V$3:$AI$3,0)=1,MAX(0,N($L287)),INDEX($AX287:$BK287,MATCH($S287,$V$3:$AI$3,0)-1))+$U287-$O287)/$G287,0),0))</f>
        <v/>
      </c>
      <c r="CI287">
        <f>IF($C287="","",IF(AND($P287="",$Q287=""),"",IF($P287="","⚠ 入庫日を ▼ から選んでください",IF(NOT(ISNUMBER($P287)),"⚠ 入庫日は ▼ から選んでください",IF($P287&lt;N('設定'!$C$6),"⚠ 入庫日が過去です（もう在庫に入っています）→ 消してください",IF($P287&gt;N('設定'!$C$6)+13,"⚠ 入庫日が14日より先です",IF(N($Q287)&lt;=0,"⚠ 入庫数を入れてください",IF($CG287&gt;0,"⚠ 目安より "&amp;$CG287&amp;" 多い（定数を超える）→ 減らす",""))))))))</f>
        <v/>
      </c>
      <c r="CJ287">
        <f>IF($C287="","",IF(AND($S287="",$T287=""),"",IF($S287="","⚠ 2便目：入庫日を ▼ から選んでください",IF(NOT(ISNUMBER($S287)),"⚠ 2便目：入庫日は ▼ から選んでください",IF($S287&lt;N('設定'!$C$6),"⚠ 2便目：入庫日が過去です（もう在庫に入っています）→ 消してください",IF($S287&gt;N('設定'!$C$6)+13,"⚠ 2便目：入庫日が14日より先です",IF(N($T287)&lt;=0,"⚠ 2便目：入庫数を入れてください",IF($CH287&gt;0,"⚠ 2便目：定数を "&amp;$CH287&amp;" ケース超える → 減らす",""))))))))</f>
        <v/>
      </c>
      <c r="CK287">
        <f>IF(AND($CI287="",N($Q287)&gt;0,ISNUMBER($P287)),1,0)</f>
        <v/>
      </c>
      <c r="CL287">
        <f>IF(AND($CJ287="",N($T287)&gt;0,ISNUMBER($S287)),1,0)</f>
        <v/>
      </c>
      <c r="CM287">
        <f>IF(OR($CK287=1,$CL287=1),1,0)</f>
        <v/>
      </c>
      <c r="CN287">
        <f>IF($C287="",0,($CK287*$R287+$CL287*$U287)*N($H287))</f>
        <v/>
      </c>
      <c r="CO287">
        <f>IF($C287="","",IF($CC287="","入庫後は 14日以上もつ",IF($CC287-N('設定'!$C$7)&lt;='設定'!$C$6,"入庫後も "&amp;TEXT($CC287,"m/d")&amp;"("&amp;CHOOSE(WEEKDAY($CC287),"日","月","火","水","木","金","土")&amp;")"&amp;" に切れる　もう1便を至急発注","入庫後も "&amp;TEXT($CC287,"m/d")&amp;"("&amp;CHOOSE(WEEKDAY($CC287),"日","月","火","水","木","金","土")&amp;")"&amp;" に切れる　"&amp;TEXT($CC287-N('設定'!$C$7),"m/d")&amp;"("&amp;CHOOSE(WEEKDAY($CC287-N('設定'!$C$7)),"日","月","火","水","木","金","土")&amp;")"&amp;" までに次を発注")))</f>
        <v/>
      </c>
      <c r="CP287">
        <f>IF($C287="","",IF('設定'!$C$6="","？ ①在庫を貼る に今日のCSVが貼られていない",IF($CS287=1,"－ 今日のCSVに無い（終売？）",IF($L287&lt;0,"● 在庫がマイナス　数えて「数えた在庫」に入れる",IF($L287=0,"● 在庫なし　至急発注",IF($M287="","？ 減り数が未設定（商品マスタ）",IF($B$3=0,"？ 動員が未入力（動員を入れる）",IF($CA287="","○ 14日以上もつ",IF($BZ287&lt;N('設定'!$C$7),"● "&amp;TEXT($CA287,"m/d")&amp;"("&amp;CHOOSE(WEEKDAY($CA287),"日","月","火","水","木","金","土")&amp;")"&amp;" に切れる　至急発注",IF($BZ287=N('設定'!$C$7),"● "&amp;TEXT($CA287,"m/d")&amp;"("&amp;CHOOSE(WEEKDAY($CA287),"日","月","火","水","木","金","土")&amp;")"&amp;" に切れる　今日発注","△ "&amp;TEXT($CA287,"m/d")&amp;"("&amp;CHOOSE(WEEKDAY($CA287),"日","月","火","水","木","金","土")&amp;")"&amp;" に切れる　"&amp;TEXT($CA287-N('設定'!$C$7),"m/d")&amp;"("&amp;CHOOSE(WEEKDAY($CA287-N('設定'!$C$7)),"日","月","火","水","木","金","土")&amp;")"&amp;" までに発注"))))))))))</f>
        <v/>
      </c>
      <c r="CQ287">
        <f>IF($C287="","",IF(AND($P287="",$Q287="",$S287="",$T287=""),"",IF(AND($P287="",$Q287=""),"⚠ 先に1便目（左の入庫日・入庫数）に入れてください",IF($CI287&lt;&gt;"",$CI287,IF($CJ287&lt;&gt;"",$CJ287,IF($M287="","？ 減り数が未設定（発注書には載ります）",IF($B$3=0,"？ 動員が未入力（発注書には載ります）",IF(AND($CA287&lt;&gt;"",$P287&gt;$CA287),IF($P287&gt;'設定'!$C$6+N('設定'!$C$7),"● "&amp;TEXT($P287,"m/d")&amp;"("&amp;CHOOSE(WEEKDAY($P287),"日","月","火","水","木","金","土")&amp;")"&amp;" の入庫では間に合わない（"&amp;TEXT($CA287,"m/d")&amp;"("&amp;CHOOSE(WEEKDAY($CA287),"日","月","火","水","木","金","土")&amp;")"&amp;" に切れる）　入庫日を早める","△ 欠品 "&amp;TEXT($CA287,"m/d")&amp;"("&amp;CHOOSE(WEEKDAY($CA287),"日","月","火","水","木","金","土")&amp;")"&amp;"〜"&amp;TEXT($P287-1,"m/d")&amp;"("&amp;CHOOSE(WEEKDAY($P287-1),"日","月","火","水","木","金","土")&amp;")"&amp;"　"&amp;$CO287),IF($CC287="","○ "&amp;TEXT($P287,"m/d")&amp;"("&amp;CHOOSE(WEEKDAY($P287),"日","月","火","水","木","金","土")&amp;")"&amp;" 入庫で 14日以上もつ",IF($CC287-N('設定'!$C$7)&lt;='設定'!$C$6,"● 入庫しても "&amp;TEXT($CC287,"m/d")&amp;"("&amp;CHOOSE(WEEKDAY($CC287),"日","月","火","水","木","金","土")&amp;")"&amp;" に切れる　もう1便を至急発注（2便目に入れる）","△ 入庫しても "&amp;TEXT($CC287,"m/d")&amp;"("&amp;CHOOSE(WEEKDAY($CC287),"日","月","火","水","木","金","土")&amp;")"&amp;" に切れる　"&amp;TEXT($CC287-N('設定'!$C$7),"m/d")&amp;"("&amp;CHOOSE(WEEKDAY($CC287-N('設定'!$C$7)),"日","月","火","水","木","金","土")&amp;")"&amp;" までに次を発注（2便目に入れる）"))))))))))</f>
        <v/>
      </c>
      <c r="CR287">
        <f>IF($C287="","",IF($G287&gt;1,"ｹｰｽ("&amp;$G287&amp;"入)","個"))</f>
        <v/>
      </c>
      <c r="CS287">
        <f>IF($C287="",0,IF(COUNTIFS('①在庫を貼る'!$V$6:$V$10005,'設定'!$C$4,'①在庫を貼る'!$W$6:$W$10005,$C287)=0,1,0))</f>
        <v/>
      </c>
      <c r="CT287">
        <f>IF(AND($CK287=1,OR('③発注書'!$C$4="すべて",'③発注書'!$C$4="",$F287='③発注書'!$C$4)),N($CT286)+1,N($CT286))</f>
        <v/>
      </c>
      <c r="CU287">
        <f>IF(AND($CL287=1,OR('③発注書'!$C$4="すべて",'③発注書'!$C$4="",$F287='③発注書'!$C$4)),N($CU286)+1,N($CU286))</f>
        <v/>
      </c>
      <c r="CV287">
        <f>IF($C287="",0,IF(COUNTIFS('①在庫を貼る'!$V$6:$V$10005,'設定'!$C$4,'①在庫を貼る'!$W$6:$W$10005,$C287)&gt;0,1,0))</f>
        <v/>
      </c>
      <c r="CW287">
        <f>IF($C287="",0,IF(COUNTIFS('月1回_1ヶ月前の在庫'!$V$6:$V$10005,'設定'!$C$4,'月1回_1ヶ月前の在庫'!$W$6:$W$10005,$C287)&gt;0,1,0))</f>
        <v/>
      </c>
      <c r="CX287">
        <f>IF($C287="",0,IF(COUNTIFS('月1回_2ヶ月前の在庫'!$V$6:$V$10005,'設定'!$C$4,'月1回_2ヶ月前の在庫'!$W$6:$W$10005,$C287)&gt;0,1,0))</f>
        <v/>
      </c>
      <c r="CY287">
        <f>IF(OR($C287="",'設定'!$C$12=""),"",IF('設定'!$C$13="",IF(AND($CV287=1,$CW287=0),"新商品（今月から）",IF(AND($CV287=0,$CW287=1),"終売（今月から）","")),IF(AND($CV287=1,$CW287=0,$CX287=0),"新商品（今月から）",IF(AND($CV287=1,$CW287=1,$CX287=0),"新商品（先月から）",IF(AND($CV287=0,$CW287=1,$CX287=1),"終売（今月から）",IF(AND($CV287=0,$CW287=0,$CX287=1),"終売（先月から）",IF(AND($CV287=1,$CW287=0,$CX287=1),"復活（先月は無し）","")))))))</f>
        <v/>
      </c>
    </row>
    <row r="288">
      <c r="B288">
        <f>IF(283&lt;='設定'!$C$11,283,"")</f>
        <v/>
      </c>
      <c r="C288">
        <f>IF($B288="","",IF($B288&lt;='設定'!$C$20,INDEX('商品マスタ'!$B$6:$B$1005,MATCH($B288,'商品マスタ'!$M$6:$M$1005,0)),IF($B288&lt;='設定'!$C$20+'設定'!$C$17,INDEX('①在庫を貼る'!$W$6:$W$10005,MATCH($B288-'設定'!$C$20,'①在庫を貼る'!$U$6:$U$10005,0)),IF($B288&lt;='設定'!$C$20+'設定'!$C$17+'設定'!$C$18,INDEX('月1回_1ヶ月前の在庫'!$W$6:$W$10005,MATCH($B288-'設定'!$C$20-'設定'!$C$17,'月1回_1ヶ月前の在庫'!$U$6:$U$10005,0)),INDEX('月1回_2ヶ月前の在庫'!$W$6:$W$10005,MATCH($B288-'設定'!$C$20-'設定'!$C$17-'設定'!$C$18,'月1回_2ヶ月前の在庫'!$U$6:$U$10005,0))))))</f>
        <v/>
      </c>
      <c r="D288">
        <f>IF($C288="","",IFERROR(IF(INDEX('商品マスタ'!$C$6:$C$1005,MATCH($C288,'商品マスタ'!$B$6:$B$1005,0))="",IFERROR(INDEX('①在庫を貼る'!$J$6:$J$10005,MATCH($C288,'①在庫を貼る'!$W$6:$W$10005,0)),IFERROR(INDEX('月1回_1ヶ月前の在庫'!$J$6:$J$10005,MATCH($C288,'月1回_1ヶ月前の在庫'!$W$6:$W$10005,0)),IFERROR(INDEX('月1回_2ヶ月前の在庫'!$J$6:$J$10005,MATCH($C288,'月1回_2ヶ月前の在庫'!$W$6:$W$10005,0)),""))),INDEX('商品マスタ'!$C$6:$C$1005,MATCH($C288,'商品マスタ'!$B$6:$B$1005,0))),IFERROR(INDEX('①在庫を貼る'!$J$6:$J$10005,MATCH($C288,'①在庫を貼る'!$W$6:$W$10005,0)),IFERROR(INDEX('月1回_1ヶ月前の在庫'!$J$6:$J$10005,MATCH($C288,'月1回_1ヶ月前の在庫'!$W$6:$W$10005,0)),IFERROR(INDEX('月1回_2ヶ月前の在庫'!$J$6:$J$10005,MATCH($C288,'月1回_2ヶ月前の在庫'!$W$6:$W$10005,0)),"")))))</f>
        <v/>
      </c>
      <c r="E288">
        <f>IF($C288="","",IFERROR(IF(INDEX('商品マスタ'!$D$6:$D$1005,MATCH($C288,'商品マスタ'!$B$6:$B$1005,0))="",IFERROR(INDEX('①在庫を貼る'!$H$6:$H$10005,MATCH($C288,'①在庫を貼る'!$W$6:$W$10005,0)),IFERROR(INDEX('月1回_1ヶ月前の在庫'!$H$6:$H$10005,MATCH($C288,'月1回_1ヶ月前の在庫'!$W$6:$W$10005,0)),IFERROR(INDEX('月1回_2ヶ月前の在庫'!$H$6:$H$10005,MATCH($C288,'月1回_2ヶ月前の在庫'!$W$6:$W$10005,0)),""))),INDEX('商品マスタ'!$D$6:$D$1005,MATCH($C288,'商品マスタ'!$B$6:$B$1005,0))),IFERROR(INDEX('①在庫を貼る'!$H$6:$H$10005,MATCH($C288,'①在庫を貼る'!$W$6:$W$10005,0)),IFERROR(INDEX('月1回_1ヶ月前の在庫'!$H$6:$H$10005,MATCH($C288,'月1回_1ヶ月前の在庫'!$W$6:$W$10005,0)),IFERROR(INDEX('月1回_2ヶ月前の在庫'!$H$6:$H$10005,MATCH($C288,'月1回_2ヶ月前の在庫'!$W$6:$W$10005,0)),"")))))</f>
        <v/>
      </c>
      <c r="F288">
        <f>IF($C288="","",IFERROR(IF(INDEX('商品マスタ'!$E$6:$E$1005,MATCH($C288,'商品マスタ'!$B$6:$B$1005,0))="",IFERROR(INDEX('①在庫を貼る'!$E$6:$E$10005,MATCH($C288,'①在庫を貼る'!$W$6:$W$10005,0)),IFERROR(INDEX('月1回_1ヶ月前の在庫'!$E$6:$E$10005,MATCH($C288,'月1回_1ヶ月前の在庫'!$W$6:$W$10005,0)),IFERROR(INDEX('月1回_2ヶ月前の在庫'!$E$6:$E$10005,MATCH($C288,'月1回_2ヶ月前の在庫'!$W$6:$W$10005,0)),""))),INDEX('商品マスタ'!$E$6:$E$1005,MATCH($C288,'商品マスタ'!$B$6:$B$1005,0))),IFERROR(INDEX('①在庫を貼る'!$E$6:$E$10005,MATCH($C288,'①在庫を貼る'!$W$6:$W$10005,0)),IFERROR(INDEX('月1回_1ヶ月前の在庫'!$E$6:$E$10005,MATCH($C288,'月1回_1ヶ月前の在庫'!$W$6:$W$10005,0)),IFERROR(INDEX('月1回_2ヶ月前の在庫'!$E$6:$E$10005,MATCH($C288,'月1回_2ヶ月前の在庫'!$W$6:$W$10005,0)),"")))))</f>
        <v/>
      </c>
      <c r="G288">
        <f>IF($C288="","",MAX(1,N(IFERROR(IF(INDEX('商品マスタ'!$F$6:$F$1005,MATCH($C288,'商品マスタ'!$B$6:$B$1005,0))="",IF(COUNTIFS('①在庫を貼る'!$V$6:$V$10005,'設定'!$C$4,'①在庫を貼る'!$W$6:$W$10005,$C288)&gt;0,SUMIFS('①在庫を貼る'!$K$6:$K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K$6:$K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K$6:$K$10005,'月1回_2ヶ月前の在庫'!$V$6:$V$10005,'設定'!$C$4,'月1回_2ヶ月前の在庫'!$W$6:$W$10005,$C288)/COUNTIFS('月1回_2ヶ月前の在庫'!$V$6:$V$10005,'設定'!$C$4,'月1回_2ヶ月前の在庫'!$W$6:$W$10005,$C288),0))),INDEX('商品マスタ'!$F$6:$F$1005,MATCH($C288,'商品マスタ'!$B$6:$B$1005,0))),IF(COUNTIFS('①在庫を貼る'!$V$6:$V$10005,'設定'!$C$4,'①在庫を貼る'!$W$6:$W$10005,$C288)&gt;0,SUMIFS('①在庫を貼る'!$K$6:$K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K$6:$K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K$6:$K$10005,'月1回_2ヶ月前の在庫'!$V$6:$V$10005,'設定'!$C$4,'月1回_2ヶ月前の在庫'!$W$6:$W$10005,$C288)/COUNTIFS('月1回_2ヶ月前の在庫'!$V$6:$V$10005,'設定'!$C$4,'月1回_2ヶ月前の在庫'!$W$6:$W$10005,$C288),0)))))))</f>
        <v/>
      </c>
      <c r="H288">
        <f>IF($C288="","",N(IFERROR(IF(INDEX('商品マスタ'!$G$6:$G$1005,MATCH($C288,'商品マスタ'!$B$6:$B$1005,0))="",IF(COUNTIFS('①在庫を貼る'!$V$6:$V$10005,'設定'!$C$4,'①在庫を貼る'!$W$6:$W$10005,$C288)&gt;0,SUMIFS('①在庫を貼る'!$Q$6:$Q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Q$6:$Q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Q$6:$Q$10005,'月1回_2ヶ月前の在庫'!$V$6:$V$10005,'設定'!$C$4,'月1回_2ヶ月前の在庫'!$W$6:$W$10005,$C288)/COUNTIFS('月1回_2ヶ月前の在庫'!$V$6:$V$10005,'設定'!$C$4,'月1回_2ヶ月前の在庫'!$W$6:$W$10005,$C288),0))),INDEX('商品マスタ'!$G$6:$G$1005,MATCH($C288,'商品マスタ'!$B$6:$B$1005,0))),IF(COUNTIFS('①在庫を貼る'!$V$6:$V$10005,'設定'!$C$4,'①在庫を貼る'!$W$6:$W$10005,$C288)&gt;0,SUMIFS('①在庫を貼る'!$Q$6:$Q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Q$6:$Q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Q$6:$Q$10005,'月1回_2ヶ月前の在庫'!$V$6:$V$10005,'設定'!$C$4,'月1回_2ヶ月前の在庫'!$W$6:$W$10005,$C288)/COUNTIFS('月1回_2ヶ月前の在庫'!$V$6:$V$10005,'設定'!$C$4,'月1回_2ヶ月前の在庫'!$W$6:$W$10005,$C288),0))))))</f>
        <v/>
      </c>
      <c r="I288">
        <f>IF($C288="","",IF(COUNTIFS('①在庫を貼る'!$V$6:$V$10005,'設定'!$C$4,'①在庫を貼る'!$W$6:$W$10005,$C288)=0,"",SUMIFS('①在庫を貼る'!$N$6:$N$10005,'①在庫を貼る'!$V$6:$V$10005,'設定'!$C$4,'①在庫を貼る'!$W$6:$W$10005,$C288)))</f>
        <v/>
      </c>
      <c r="J288">
        <f>IF($C288="","",IF('②発注する'!$AD292="","",'②発注する'!$AD292))</f>
        <v/>
      </c>
      <c r="K288" s="90">
        <f>IF($C288="","",IF('②発注する'!$AE292="","",'②発注する'!$AE292))</f>
        <v/>
      </c>
      <c r="L288">
        <f>IF($C288="","",IF(AND(ISNUMBER($J288),ISNUMBER($K288),$K288&gt;='設定'!$C$6),$J288,N($I288)))</f>
        <v/>
      </c>
      <c r="M288">
        <f>IF($C288="","",IFERROR(IF(N(INDEX('商品マスタ'!$J$6:$J$1005,MATCH($C288,'商品マスタ'!$B$6:$B$1005,0)))&gt;0,INDEX('商品マスタ'!$J$6:$J$1005,MATCH($C288,'商品マスタ'!$B$6:$B$1005,0)),""),""))</f>
        <v/>
      </c>
      <c r="N288">
        <f>IF($C288="","",IFERROR(IF(N(INDEX('商品マスタ'!$H$6:$H$1005,MATCH($C288,'商品マスタ'!$B$6:$B$1005,0)))&gt;0,INDEX('商品マスタ'!$H$6:$H$1005,MATCH($C288,'商品マスタ'!$B$6:$B$1005,0)),""),""))</f>
        <v/>
      </c>
      <c r="O288">
        <f>IF($C288="","",IF($N288&lt;&gt;"",$N288*$G288,IF(N(IF(COUNTIFS('①在庫を貼る'!$V$6:$V$10005,'設定'!$C$4,'①在庫を貼る'!$W$6:$W$10005,$C288)&gt;0,SUMIFS('①在庫を貼る'!$O$6:$O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O$6:$O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O$6:$O$10005,'月1回_2ヶ月前の在庫'!$V$6:$V$10005,'設定'!$C$4,'月1回_2ヶ月前の在庫'!$W$6:$W$10005,$C288)/COUNTIFS('月1回_2ヶ月前の在庫'!$V$6:$V$10005,'設定'!$C$4,'月1回_2ヶ月前の在庫'!$W$6:$W$10005,$C288),0))))&gt;0,N(IF(COUNTIFS('①在庫を貼る'!$V$6:$V$10005,'設定'!$C$4,'①在庫を貼る'!$W$6:$W$10005,$C288)&gt;0,SUMIFS('①在庫を貼る'!$O$6:$O$10005,'①在庫を貼る'!$V$6:$V$10005,'設定'!$C$4,'①在庫を貼る'!$W$6:$W$10005,$C288)/COUNTIFS('①在庫を貼る'!$V$6:$V$10005,'設定'!$C$4,'①在庫を貼る'!$W$6:$W$10005,$C288),IF(COUNTIFS('月1回_1ヶ月前の在庫'!$V$6:$V$10005,'設定'!$C$4,'月1回_1ヶ月前の在庫'!$W$6:$W$10005,$C288)&gt;0,SUMIFS('月1回_1ヶ月前の在庫'!$O$6:$O$10005,'月1回_1ヶ月前の在庫'!$V$6:$V$10005,'設定'!$C$4,'月1回_1ヶ月前の在庫'!$W$6:$W$10005,$C288)/COUNTIFS('月1回_1ヶ月前の在庫'!$V$6:$V$10005,'設定'!$C$4,'月1回_1ヶ月前の在庫'!$W$6:$W$10005,$C288),IF(COUNTIFS('月1回_2ヶ月前の在庫'!$V$6:$V$10005,'設定'!$C$4,'月1回_2ヶ月前の在庫'!$W$6:$W$10005,$C288)&gt;0,SUMIFS('月1回_2ヶ月前の在庫'!$O$6:$O$10005,'月1回_2ヶ月前の在庫'!$V$6:$V$10005,'設定'!$C$4,'月1回_2ヶ月前の在庫'!$W$6:$W$10005,$C288)/COUNTIFS('月1回_2ヶ月前の在庫'!$V$6:$V$10005,'設定'!$C$4,'月1回_2ヶ月前の在庫'!$W$6:$W$10005,$C288),0)))),"")))</f>
        <v/>
      </c>
      <c r="P288" s="90">
        <f>IF($C288="","",IF('②発注する'!$I292="","",'②発注する'!$I292))</f>
        <v/>
      </c>
      <c r="Q288">
        <f>IF($C288="","",IF('②発注する'!$J292="","",'②発注する'!$J292))</f>
        <v/>
      </c>
      <c r="R288">
        <f>IF($C288="",0,IF(AND(ISNUMBER($P288),ISNUMBER($Q288)),MAX(0,$Q288)*$G288,0))</f>
        <v/>
      </c>
      <c r="S288" s="90">
        <f>IF($C288="","",IF('②発注する'!$M292="","",'②発注する'!$M292))</f>
        <v/>
      </c>
      <c r="T288">
        <f>IF($C288="","",IF('②発注する'!$N292="","",'②発注する'!$N292))</f>
        <v/>
      </c>
      <c r="U288">
        <f>IF($C288="",0,IF(AND(ISNUMBER($S288),ISNUMBER($T288)),MAX(0,$T288)*$G288,0))</f>
        <v/>
      </c>
      <c r="V288">
        <f>IF($C288="",0,IF($M288="",0,MAX(0,$M288)*MAX(0,V$4)/100))</f>
        <v/>
      </c>
      <c r="W288">
        <f>IF($C288="",0,IF($M288="",0,MAX(0,$M288)*MAX(0,W$4)/100))</f>
        <v/>
      </c>
      <c r="X288">
        <f>IF($C288="",0,IF($M288="",0,MAX(0,$M288)*MAX(0,X$4)/100))</f>
        <v/>
      </c>
      <c r="Y288">
        <f>IF($C288="",0,IF($M288="",0,MAX(0,$M288)*MAX(0,Y$4)/100))</f>
        <v/>
      </c>
      <c r="Z288">
        <f>IF($C288="",0,IF($M288="",0,MAX(0,$M288)*MAX(0,Z$4)/100))</f>
        <v/>
      </c>
      <c r="AA288">
        <f>IF($C288="",0,IF($M288="",0,MAX(0,$M288)*MAX(0,AA$4)/100))</f>
        <v/>
      </c>
      <c r="AB288">
        <f>IF($C288="",0,IF($M288="",0,MAX(0,$M288)*MAX(0,AB$4)/100))</f>
        <v/>
      </c>
      <c r="AC288">
        <f>IF($C288="",0,IF($M288="",0,MAX(0,$M288)*MAX(0,AC$4)/100))</f>
        <v/>
      </c>
      <c r="AD288">
        <f>IF($C288="",0,IF($M288="",0,MAX(0,$M288)*MAX(0,AD$4)/100))</f>
        <v/>
      </c>
      <c r="AE288">
        <f>IF($C288="",0,IF($M288="",0,MAX(0,$M288)*MAX(0,AE$4)/100))</f>
        <v/>
      </c>
      <c r="AF288">
        <f>IF($C288="",0,IF($M288="",0,MAX(0,$M288)*MAX(0,AF$4)/100))</f>
        <v/>
      </c>
      <c r="AG288">
        <f>IF($C288="",0,IF($M288="",0,MAX(0,$M288)*MAX(0,AG$4)/100))</f>
        <v/>
      </c>
      <c r="AH288">
        <f>IF($C288="",0,IF($M288="",0,MAX(0,$M288)*MAX(0,AH$4)/100))</f>
        <v/>
      </c>
      <c r="AI288">
        <f>IF($C288="",0,IF($M288="",0,MAX(0,$M288)*MAX(0,AI$4)/100))</f>
        <v/>
      </c>
      <c r="AJ288">
        <f>IF($C288="",0,MAX(0,MAX(0,N($L288))-$V288))</f>
        <v/>
      </c>
      <c r="AK288">
        <f>IF($C288="",0,MAX(0,$AJ288-$W288))</f>
        <v/>
      </c>
      <c r="AL288">
        <f>IF($C288="",0,MAX(0,$AK288-$X288))</f>
        <v/>
      </c>
      <c r="AM288">
        <f>IF($C288="",0,MAX(0,$AL288-$Y288))</f>
        <v/>
      </c>
      <c r="AN288">
        <f>IF($C288="",0,MAX(0,$AM288-$Z288))</f>
        <v/>
      </c>
      <c r="AO288">
        <f>IF($C288="",0,MAX(0,$AN288-$AA288))</f>
        <v/>
      </c>
      <c r="AP288">
        <f>IF($C288="",0,MAX(0,$AO288-$AB288))</f>
        <v/>
      </c>
      <c r="AQ288">
        <f>IF($C288="",0,MAX(0,$AP288-$AC288))</f>
        <v/>
      </c>
      <c r="AR288">
        <f>IF($C288="",0,MAX(0,$AQ288-$AD288))</f>
        <v/>
      </c>
      <c r="AS288">
        <f>IF($C288="",0,MAX(0,$AR288-$AE288))</f>
        <v/>
      </c>
      <c r="AT288">
        <f>IF($C288="",0,MAX(0,$AS288-$AF288))</f>
        <v/>
      </c>
      <c r="AU288">
        <f>IF($C288="",0,MAX(0,$AT288-$AG288))</f>
        <v/>
      </c>
      <c r="AV288">
        <f>IF($C288="",0,MAX(0,$AU288-$AH288))</f>
        <v/>
      </c>
      <c r="AW288">
        <f>IF($C288="",0,MAX(0,$AV288-$AI288))</f>
        <v/>
      </c>
      <c r="AX288">
        <f>IF($C288="",0,MAX(0,MAX(0,N($L288))+IF($P288=V$3,$R288,0)+IF($S288=V$3,$U288,0)-$V288))</f>
        <v/>
      </c>
      <c r="AY288">
        <f>IF($C288="",0,MAX(0,$AX288+IF($P288=W$3,$R288,0)+IF($S288=W$3,$U288,0)-$W288))</f>
        <v/>
      </c>
      <c r="AZ288">
        <f>IF($C288="",0,MAX(0,$AY288+IF($P288=X$3,$R288,0)+IF($S288=X$3,$U288,0)-$X288))</f>
        <v/>
      </c>
      <c r="BA288">
        <f>IF($C288="",0,MAX(0,$AZ288+IF($P288=Y$3,$R288,0)+IF($S288=Y$3,$U288,0)-$Y288))</f>
        <v/>
      </c>
      <c r="BB288">
        <f>IF($C288="",0,MAX(0,$BA288+IF($P288=Z$3,$R288,0)+IF($S288=Z$3,$U288,0)-$Z288))</f>
        <v/>
      </c>
      <c r="BC288">
        <f>IF($C288="",0,MAX(0,$BB288+IF($P288=AA$3,$R288,0)+IF($S288=AA$3,$U288,0)-$AA288))</f>
        <v/>
      </c>
      <c r="BD288">
        <f>IF($C288="",0,MAX(0,$BC288+IF($P288=AB$3,$R288,0)+IF($S288=AB$3,$U288,0)-$AB288))</f>
        <v/>
      </c>
      <c r="BE288">
        <f>IF($C288="",0,MAX(0,$BD288+IF($P288=AC$3,$R288,0)+IF($S288=AC$3,$U288,0)-$AC288))</f>
        <v/>
      </c>
      <c r="BF288">
        <f>IF($C288="",0,MAX(0,$BE288+IF($P288=AD$3,$R288,0)+IF($S288=AD$3,$U288,0)-$AD288))</f>
        <v/>
      </c>
      <c r="BG288">
        <f>IF($C288="",0,MAX(0,$BF288+IF($P288=AE$3,$R288,0)+IF($S288=AE$3,$U288,0)-$AE288))</f>
        <v/>
      </c>
      <c r="BH288">
        <f>IF($C288="",0,MAX(0,$BG288+IF($P288=AF$3,$R288,0)+IF($S288=AF$3,$U288,0)-$AF288))</f>
        <v/>
      </c>
      <c r="BI288">
        <f>IF($C288="",0,MAX(0,$BH288+IF($P288=AG$3,$R288,0)+IF($S288=AG$3,$U288,0)-$AG288))</f>
        <v/>
      </c>
      <c r="BJ288">
        <f>IF($C288="",0,MAX(0,$BI288+IF($P288=AH$3,$R288,0)+IF($S288=AH$3,$U288,0)-$AH288))</f>
        <v/>
      </c>
      <c r="BK288">
        <f>IF($C288="",0,MAX(0,$BJ288+IF($P288=AI$3,$R288,0)+IF($S288=AI$3,$U288,0)-$AI288))</f>
        <v/>
      </c>
      <c r="BL288">
        <f>IF($C288="",99,IF(AND($AX288&lt;1,V$3&gt;=MAX(N($P288),N($S288))),0,99))</f>
        <v/>
      </c>
      <c r="BM288">
        <f>IF($C288="",99,IF(AND($AY288&lt;1,W$3&gt;=MAX(N($P288),N($S288))),1,99))</f>
        <v/>
      </c>
      <c r="BN288">
        <f>IF($C288="",99,IF(AND($AZ288&lt;1,X$3&gt;=MAX(N($P288),N($S288))),2,99))</f>
        <v/>
      </c>
      <c r="BO288">
        <f>IF($C288="",99,IF(AND($BA288&lt;1,Y$3&gt;=MAX(N($P288),N($S288))),3,99))</f>
        <v/>
      </c>
      <c r="BP288">
        <f>IF($C288="",99,IF(AND($BB288&lt;1,Z$3&gt;=MAX(N($P288),N($S288))),4,99))</f>
        <v/>
      </c>
      <c r="BQ288">
        <f>IF($C288="",99,IF(AND($BC288&lt;1,AA$3&gt;=MAX(N($P288),N($S288))),5,99))</f>
        <v/>
      </c>
      <c r="BR288">
        <f>IF($C288="",99,IF(AND($BD288&lt;1,AB$3&gt;=MAX(N($P288),N($S288))),6,99))</f>
        <v/>
      </c>
      <c r="BS288">
        <f>IF($C288="",99,IF(AND($BE288&lt;1,AC$3&gt;=MAX(N($P288),N($S288))),7,99))</f>
        <v/>
      </c>
      <c r="BT288">
        <f>IF($C288="",99,IF(AND($BF288&lt;1,AD$3&gt;=MAX(N($P288),N($S288))),8,99))</f>
        <v/>
      </c>
      <c r="BU288">
        <f>IF($C288="",99,IF(AND($BG288&lt;1,AE$3&gt;=MAX(N($P288),N($S288))),9,99))</f>
        <v/>
      </c>
      <c r="BV288">
        <f>IF($C288="",99,IF(AND($BH288&lt;1,AF$3&gt;=MAX(N($P288),N($S288))),10,99))</f>
        <v/>
      </c>
      <c r="BW288">
        <f>IF($C288="",99,IF(AND($BI288&lt;1,AG$3&gt;=MAX(N($P288),N($S288))),11,99))</f>
        <v/>
      </c>
      <c r="BX288">
        <f>IF($C288="",99,IF(AND($BJ288&lt;1,AH$3&gt;=MAX(N($P288),N($S288))),12,99))</f>
        <v/>
      </c>
      <c r="BY288">
        <f>IF($C288="",99,IF(AND($BK288&lt;1,AI$3&gt;=MAX(N($P288),N($S288))),13,99))</f>
        <v/>
      </c>
      <c r="BZ288">
        <f>IF(OR($C288="",$M288=""),"",COUNTIF($AJ288:$AW288,"&gt;=1"))</f>
        <v/>
      </c>
      <c r="CA288" s="90">
        <f>IF($BZ288="","",IF($BZ288&gt;=14,"",'設定'!$C$6+$BZ288))</f>
        <v/>
      </c>
      <c r="CB288">
        <f>IF(OR($C288="",$M288=""),"",MIN($BL288:$BY288))</f>
        <v/>
      </c>
      <c r="CC288" s="90">
        <f>IF($CB288="","",IF($CB288&gt;=99,"",'設定'!$C$6+$CB288))</f>
        <v/>
      </c>
      <c r="CD288">
        <f>IF(OR($C288="",$M288=""),"",AVERAGE($V288:$AI288))</f>
        <v/>
      </c>
      <c r="CE288">
        <f>IF($C288="","",IFERROR(IF(MATCH(IF(ISNUMBER($P288),$P288,'設定'!$C$6+N('設定'!$C$7)),$V$3:$AI$3,0)=1,MAX(0,N($L288)),INDEX($AJ288:$AW288,MATCH(IF(ISNUMBER($P288),$P288,'設定'!$C$6+N('設定'!$C$7)),$V$3:$AI$3,0)-1)),""))</f>
        <v/>
      </c>
      <c r="CF288">
        <f>IF(OR($C288="",$O288="",$CE288=""),"",IF($O288-$CE288&lt;=0,0,ROUNDUP(($O288-$CE288)/$G288,0)))</f>
        <v/>
      </c>
      <c r="CG288">
        <f>IF(OR($C288="",$CF288="",NOT(ISNUMBER($Q288))),0,MAX(0,$Q288-$CF288))</f>
        <v/>
      </c>
      <c r="CH288">
        <f>IF(OR($C288="",$O288="",$U288=0),0,IFERROR(ROUNDUP(MAX(0,IF(MATCH($S288,$V$3:$AI$3,0)=1,MAX(0,N($L288)),INDEX($AX288:$BK288,MATCH($S288,$V$3:$AI$3,0)-1))+$U288-$O288)/$G288,0),0))</f>
        <v/>
      </c>
      <c r="CI288">
        <f>IF($C288="","",IF(AND($P288="",$Q288=""),"",IF($P288="","⚠ 入庫日を ▼ から選んでください",IF(NOT(ISNUMBER($P288)),"⚠ 入庫日は ▼ から選んでください",IF($P288&lt;N('設定'!$C$6),"⚠ 入庫日が過去です（もう在庫に入っています）→ 消してください",IF($P288&gt;N('設定'!$C$6)+13,"⚠ 入庫日が14日より先です",IF(N($Q288)&lt;=0,"⚠ 入庫数を入れてください",IF($CG288&gt;0,"⚠ 目安より "&amp;$CG288&amp;" 多い（定数を超える）→ 減らす",""))))))))</f>
        <v/>
      </c>
      <c r="CJ288">
        <f>IF($C288="","",IF(AND($S288="",$T288=""),"",IF($S288="","⚠ 2便目：入庫日を ▼ から選んでください",IF(NOT(ISNUMBER($S288)),"⚠ 2便目：入庫日は ▼ から選んでください",IF($S288&lt;N('設定'!$C$6),"⚠ 2便目：入庫日が過去です（もう在庫に入っています）→ 消してください",IF($S288&gt;N('設定'!$C$6)+13,"⚠ 2便目：入庫日が14日より先です",IF(N($T288)&lt;=0,"⚠ 2便目：入庫数を入れてください",IF($CH288&gt;0,"⚠ 2便目：定数を "&amp;$CH288&amp;" ケース超える → 減らす",""))))))))</f>
        <v/>
      </c>
      <c r="CK288">
        <f>IF(AND($CI288="",N($Q288)&gt;0,ISNUMBER($P288)),1,0)</f>
        <v/>
      </c>
      <c r="CL288">
        <f>IF(AND($CJ288="",N($T288)&gt;0,ISNUMBER($S288)),1,0)</f>
        <v/>
      </c>
      <c r="CM288">
        <f>IF(OR($CK288=1,$CL288=1),1,0)</f>
        <v/>
      </c>
      <c r="CN288">
        <f>IF($C288="",0,($CK288*$R288+$CL288*$U288)*N($H288))</f>
        <v/>
      </c>
      <c r="CO288">
        <f>IF($C288="","",IF($CC288="","入庫後は 14日以上もつ",IF($CC288-N('設定'!$C$7)&lt;='設定'!$C$6,"入庫後も "&amp;TEXT($CC288,"m/d")&amp;"("&amp;CHOOSE(WEEKDAY($CC288),"日","月","火","水","木","金","土")&amp;")"&amp;" に切れる　もう1便を至急発注","入庫後も "&amp;TEXT($CC288,"m/d")&amp;"("&amp;CHOOSE(WEEKDAY($CC288),"日","月","火","水","木","金","土")&amp;")"&amp;" に切れる　"&amp;TEXT($CC288-N('設定'!$C$7),"m/d")&amp;"("&amp;CHOOSE(WEEKDAY($CC288-N('設定'!$C$7)),"日","月","火","水","木","金","土")&amp;")"&amp;" までに次を発注")))</f>
        <v/>
      </c>
      <c r="CP288">
        <f>IF($C288="","",IF('設定'!$C$6="","？ ①在庫を貼る に今日のCSVが貼られていない",IF($CS288=1,"－ 今日のCSVに無い（終売？）",IF($L288&lt;0,"● 在庫がマイナス　数えて「数えた在庫」に入れる",IF($L288=0,"● 在庫なし　至急発注",IF($M288="","？ 減り数が未設定（商品マスタ）",IF($B$3=0,"？ 動員が未入力（動員を入れる）",IF($CA288="","○ 14日以上もつ",IF($BZ288&lt;N('設定'!$C$7),"● "&amp;TEXT($CA288,"m/d")&amp;"("&amp;CHOOSE(WEEKDAY($CA288),"日","月","火","水","木","金","土")&amp;")"&amp;" に切れる　至急発注",IF($BZ288=N('設定'!$C$7),"● "&amp;TEXT($CA288,"m/d")&amp;"("&amp;CHOOSE(WEEKDAY($CA288),"日","月","火","水","木","金","土")&amp;")"&amp;" に切れる　今日発注","△ "&amp;TEXT($CA288,"m/d")&amp;"("&amp;CHOOSE(WEEKDAY($CA288),"日","月","火","水","木","金","土")&amp;")"&amp;" に切れる　"&amp;TEXT($CA288-N('設定'!$C$7),"m/d")&amp;"("&amp;CHOOSE(WEEKDAY($CA288-N('設定'!$C$7)),"日","月","火","水","木","金","土")&amp;")"&amp;" までに発注"))))))))))</f>
        <v/>
      </c>
      <c r="CQ288">
        <f>IF($C288="","",IF(AND($P288="",$Q288="",$S288="",$T288=""),"",IF(AND($P288="",$Q288=""),"⚠ 先に1便目（左の入庫日・入庫数）に入れてください",IF($CI288&lt;&gt;"",$CI288,IF($CJ288&lt;&gt;"",$CJ288,IF($M288="","？ 減り数が未設定（発注書には載ります）",IF($B$3=0,"？ 動員が未入力（発注書には載ります）",IF(AND($CA288&lt;&gt;"",$P288&gt;$CA288),IF($P288&gt;'設定'!$C$6+N('設定'!$C$7),"● "&amp;TEXT($P288,"m/d")&amp;"("&amp;CHOOSE(WEEKDAY($P288),"日","月","火","水","木","金","土")&amp;")"&amp;" の入庫では間に合わない（"&amp;TEXT($CA288,"m/d")&amp;"("&amp;CHOOSE(WEEKDAY($CA288),"日","月","火","水","木","金","土")&amp;")"&amp;" に切れる）　入庫日を早める","△ 欠品 "&amp;TEXT($CA288,"m/d")&amp;"("&amp;CHOOSE(WEEKDAY($CA288),"日","月","火","水","木","金","土")&amp;")"&amp;"〜"&amp;TEXT($P288-1,"m/d")&amp;"("&amp;CHOOSE(WEEKDAY($P288-1),"日","月","火","水","木","金","土")&amp;")"&amp;"　"&amp;$CO288),IF($CC288="","○ "&amp;TEXT($P288,"m/d")&amp;"("&amp;CHOOSE(WEEKDAY($P288),"日","月","火","水","木","金","土")&amp;")"&amp;" 入庫で 14日以上もつ",IF($CC288-N('設定'!$C$7)&lt;='設定'!$C$6,"● 入庫しても "&amp;TEXT($CC288,"m/d")&amp;"("&amp;CHOOSE(WEEKDAY($CC288),"日","月","火","水","木","金","土")&amp;")"&amp;" に切れる　もう1便を至急発注（2便目に入れる）","△ 入庫しても "&amp;TEXT($CC288,"m/d")&amp;"("&amp;CHOOSE(WEEKDAY($CC288),"日","月","火","水","木","金","土")&amp;")"&amp;" に切れる　"&amp;TEXT($CC288-N('設定'!$C$7),"m/d")&amp;"("&amp;CHOOSE(WEEKDAY($CC288-N('設定'!$C$7)),"日","月","火","水","木","金","土")&amp;")"&amp;" までに次を発注（2便目に入れる）"))))))))))</f>
        <v/>
      </c>
      <c r="CR288">
        <f>IF($C288="","",IF($G288&gt;1,"ｹｰｽ("&amp;$G288&amp;"入)","個"))</f>
        <v/>
      </c>
      <c r="CS288">
        <f>IF($C288="",0,IF(COUNTIFS('①在庫を貼る'!$V$6:$V$10005,'設定'!$C$4,'①在庫を貼る'!$W$6:$W$10005,$C288)=0,1,0))</f>
        <v/>
      </c>
      <c r="CT288">
        <f>IF(AND($CK288=1,OR('③発注書'!$C$4="すべて",'③発注書'!$C$4="",$F288='③発注書'!$C$4)),N($CT287)+1,N($CT287))</f>
        <v/>
      </c>
      <c r="CU288">
        <f>IF(AND($CL288=1,OR('③発注書'!$C$4="すべて",'③発注書'!$C$4="",$F288='③発注書'!$C$4)),N($CU287)+1,N($CU287))</f>
        <v/>
      </c>
      <c r="CV288">
        <f>IF($C288="",0,IF(COUNTIFS('①在庫を貼る'!$V$6:$V$10005,'設定'!$C$4,'①在庫を貼る'!$W$6:$W$10005,$C288)&gt;0,1,0))</f>
        <v/>
      </c>
      <c r="CW288">
        <f>IF($C288="",0,IF(COUNTIFS('月1回_1ヶ月前の在庫'!$V$6:$V$10005,'設定'!$C$4,'月1回_1ヶ月前の在庫'!$W$6:$W$10005,$C288)&gt;0,1,0))</f>
        <v/>
      </c>
      <c r="CX288">
        <f>IF($C288="",0,IF(COUNTIFS('月1回_2ヶ月前の在庫'!$V$6:$V$10005,'設定'!$C$4,'月1回_2ヶ月前の在庫'!$W$6:$W$10005,$C288)&gt;0,1,0))</f>
        <v/>
      </c>
      <c r="CY288">
        <f>IF(OR($C288="",'設定'!$C$12=""),"",IF('設定'!$C$13="",IF(AND($CV288=1,$CW288=0),"新商品（今月から）",IF(AND($CV288=0,$CW288=1),"終売（今月から）","")),IF(AND($CV288=1,$CW288=0,$CX288=0),"新商品（今月から）",IF(AND($CV288=1,$CW288=1,$CX288=0),"新商品（先月から）",IF(AND($CV288=0,$CW288=1,$CX288=1),"終売（今月から）",IF(AND($CV288=0,$CW288=0,$CX288=1),"終売（先月から）",IF(AND($CV288=1,$CW288=0,$CX288=1),"復活（先月は無し）","")))))))</f>
        <v/>
      </c>
    </row>
    <row r="289">
      <c r="B289">
        <f>IF(284&lt;='設定'!$C$11,284,"")</f>
        <v/>
      </c>
      <c r="C289">
        <f>IF($B289="","",IF($B289&lt;='設定'!$C$20,INDEX('商品マスタ'!$B$6:$B$1005,MATCH($B289,'商品マスタ'!$M$6:$M$1005,0)),IF($B289&lt;='設定'!$C$20+'設定'!$C$17,INDEX('①在庫を貼る'!$W$6:$W$10005,MATCH($B289-'設定'!$C$20,'①在庫を貼る'!$U$6:$U$10005,0)),IF($B289&lt;='設定'!$C$20+'設定'!$C$17+'設定'!$C$18,INDEX('月1回_1ヶ月前の在庫'!$W$6:$W$10005,MATCH($B289-'設定'!$C$20-'設定'!$C$17,'月1回_1ヶ月前の在庫'!$U$6:$U$10005,0)),INDEX('月1回_2ヶ月前の在庫'!$W$6:$W$10005,MATCH($B289-'設定'!$C$20-'設定'!$C$17-'設定'!$C$18,'月1回_2ヶ月前の在庫'!$U$6:$U$10005,0))))))</f>
        <v/>
      </c>
      <c r="D289">
        <f>IF($C289="","",IFERROR(IF(INDEX('商品マスタ'!$C$6:$C$1005,MATCH($C289,'商品マスタ'!$B$6:$B$1005,0))="",IFERROR(INDEX('①在庫を貼る'!$J$6:$J$10005,MATCH($C289,'①在庫を貼る'!$W$6:$W$10005,0)),IFERROR(INDEX('月1回_1ヶ月前の在庫'!$J$6:$J$10005,MATCH($C289,'月1回_1ヶ月前の在庫'!$W$6:$W$10005,0)),IFERROR(INDEX('月1回_2ヶ月前の在庫'!$J$6:$J$10005,MATCH($C289,'月1回_2ヶ月前の在庫'!$W$6:$W$10005,0)),""))),INDEX('商品マスタ'!$C$6:$C$1005,MATCH($C289,'商品マスタ'!$B$6:$B$1005,0))),IFERROR(INDEX('①在庫を貼る'!$J$6:$J$10005,MATCH($C289,'①在庫を貼る'!$W$6:$W$10005,0)),IFERROR(INDEX('月1回_1ヶ月前の在庫'!$J$6:$J$10005,MATCH($C289,'月1回_1ヶ月前の在庫'!$W$6:$W$10005,0)),IFERROR(INDEX('月1回_2ヶ月前の在庫'!$J$6:$J$10005,MATCH($C289,'月1回_2ヶ月前の在庫'!$W$6:$W$10005,0)),"")))))</f>
        <v/>
      </c>
      <c r="E289">
        <f>IF($C289="","",IFERROR(IF(INDEX('商品マスタ'!$D$6:$D$1005,MATCH($C289,'商品マスタ'!$B$6:$B$1005,0))="",IFERROR(INDEX('①在庫を貼る'!$H$6:$H$10005,MATCH($C289,'①在庫を貼る'!$W$6:$W$10005,0)),IFERROR(INDEX('月1回_1ヶ月前の在庫'!$H$6:$H$10005,MATCH($C289,'月1回_1ヶ月前の在庫'!$W$6:$W$10005,0)),IFERROR(INDEX('月1回_2ヶ月前の在庫'!$H$6:$H$10005,MATCH($C289,'月1回_2ヶ月前の在庫'!$W$6:$W$10005,0)),""))),INDEX('商品マスタ'!$D$6:$D$1005,MATCH($C289,'商品マスタ'!$B$6:$B$1005,0))),IFERROR(INDEX('①在庫を貼る'!$H$6:$H$10005,MATCH($C289,'①在庫を貼る'!$W$6:$W$10005,0)),IFERROR(INDEX('月1回_1ヶ月前の在庫'!$H$6:$H$10005,MATCH($C289,'月1回_1ヶ月前の在庫'!$W$6:$W$10005,0)),IFERROR(INDEX('月1回_2ヶ月前の在庫'!$H$6:$H$10005,MATCH($C289,'月1回_2ヶ月前の在庫'!$W$6:$W$10005,0)),"")))))</f>
        <v/>
      </c>
      <c r="F289">
        <f>IF($C289="","",IFERROR(IF(INDEX('商品マスタ'!$E$6:$E$1005,MATCH($C289,'商品マスタ'!$B$6:$B$1005,0))="",IFERROR(INDEX('①在庫を貼る'!$E$6:$E$10005,MATCH($C289,'①在庫を貼る'!$W$6:$W$10005,0)),IFERROR(INDEX('月1回_1ヶ月前の在庫'!$E$6:$E$10005,MATCH($C289,'月1回_1ヶ月前の在庫'!$W$6:$W$10005,0)),IFERROR(INDEX('月1回_2ヶ月前の在庫'!$E$6:$E$10005,MATCH($C289,'月1回_2ヶ月前の在庫'!$W$6:$W$10005,0)),""))),INDEX('商品マスタ'!$E$6:$E$1005,MATCH($C289,'商品マスタ'!$B$6:$B$1005,0))),IFERROR(INDEX('①在庫を貼る'!$E$6:$E$10005,MATCH($C289,'①在庫を貼る'!$W$6:$W$10005,0)),IFERROR(INDEX('月1回_1ヶ月前の在庫'!$E$6:$E$10005,MATCH($C289,'月1回_1ヶ月前の在庫'!$W$6:$W$10005,0)),IFERROR(INDEX('月1回_2ヶ月前の在庫'!$E$6:$E$10005,MATCH($C289,'月1回_2ヶ月前の在庫'!$W$6:$W$10005,0)),"")))))</f>
        <v/>
      </c>
      <c r="G289">
        <f>IF($C289="","",MAX(1,N(IFERROR(IF(INDEX('商品マスタ'!$F$6:$F$1005,MATCH($C289,'商品マスタ'!$B$6:$B$1005,0))="",IF(COUNTIFS('①在庫を貼る'!$V$6:$V$10005,'設定'!$C$4,'①在庫を貼る'!$W$6:$W$10005,$C289)&gt;0,SUMIFS('①在庫を貼る'!$K$6:$K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K$6:$K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K$6:$K$10005,'月1回_2ヶ月前の在庫'!$V$6:$V$10005,'設定'!$C$4,'月1回_2ヶ月前の在庫'!$W$6:$W$10005,$C289)/COUNTIFS('月1回_2ヶ月前の在庫'!$V$6:$V$10005,'設定'!$C$4,'月1回_2ヶ月前の在庫'!$W$6:$W$10005,$C289),0))),INDEX('商品マスタ'!$F$6:$F$1005,MATCH($C289,'商品マスタ'!$B$6:$B$1005,0))),IF(COUNTIFS('①在庫を貼る'!$V$6:$V$10005,'設定'!$C$4,'①在庫を貼る'!$W$6:$W$10005,$C289)&gt;0,SUMIFS('①在庫を貼る'!$K$6:$K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K$6:$K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K$6:$K$10005,'月1回_2ヶ月前の在庫'!$V$6:$V$10005,'設定'!$C$4,'月1回_2ヶ月前の在庫'!$W$6:$W$10005,$C289)/COUNTIFS('月1回_2ヶ月前の在庫'!$V$6:$V$10005,'設定'!$C$4,'月1回_2ヶ月前の在庫'!$W$6:$W$10005,$C289),0)))))))</f>
        <v/>
      </c>
      <c r="H289">
        <f>IF($C289="","",N(IFERROR(IF(INDEX('商品マスタ'!$G$6:$G$1005,MATCH($C289,'商品マスタ'!$B$6:$B$1005,0))="",IF(COUNTIFS('①在庫を貼る'!$V$6:$V$10005,'設定'!$C$4,'①在庫を貼る'!$W$6:$W$10005,$C289)&gt;0,SUMIFS('①在庫を貼る'!$Q$6:$Q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Q$6:$Q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Q$6:$Q$10005,'月1回_2ヶ月前の在庫'!$V$6:$V$10005,'設定'!$C$4,'月1回_2ヶ月前の在庫'!$W$6:$W$10005,$C289)/COUNTIFS('月1回_2ヶ月前の在庫'!$V$6:$V$10005,'設定'!$C$4,'月1回_2ヶ月前の在庫'!$W$6:$W$10005,$C289),0))),INDEX('商品マスタ'!$G$6:$G$1005,MATCH($C289,'商品マスタ'!$B$6:$B$1005,0))),IF(COUNTIFS('①在庫を貼る'!$V$6:$V$10005,'設定'!$C$4,'①在庫を貼る'!$W$6:$W$10005,$C289)&gt;0,SUMIFS('①在庫を貼る'!$Q$6:$Q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Q$6:$Q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Q$6:$Q$10005,'月1回_2ヶ月前の在庫'!$V$6:$V$10005,'設定'!$C$4,'月1回_2ヶ月前の在庫'!$W$6:$W$10005,$C289)/COUNTIFS('月1回_2ヶ月前の在庫'!$V$6:$V$10005,'設定'!$C$4,'月1回_2ヶ月前の在庫'!$W$6:$W$10005,$C289),0))))))</f>
        <v/>
      </c>
      <c r="I289">
        <f>IF($C289="","",IF(COUNTIFS('①在庫を貼る'!$V$6:$V$10005,'設定'!$C$4,'①在庫を貼る'!$W$6:$W$10005,$C289)=0,"",SUMIFS('①在庫を貼る'!$N$6:$N$10005,'①在庫を貼る'!$V$6:$V$10005,'設定'!$C$4,'①在庫を貼る'!$W$6:$W$10005,$C289)))</f>
        <v/>
      </c>
      <c r="J289">
        <f>IF($C289="","",IF('②発注する'!$AD293="","",'②発注する'!$AD293))</f>
        <v/>
      </c>
      <c r="K289" s="90">
        <f>IF($C289="","",IF('②発注する'!$AE293="","",'②発注する'!$AE293))</f>
        <v/>
      </c>
      <c r="L289">
        <f>IF($C289="","",IF(AND(ISNUMBER($J289),ISNUMBER($K289),$K289&gt;='設定'!$C$6),$J289,N($I289)))</f>
        <v/>
      </c>
      <c r="M289">
        <f>IF($C289="","",IFERROR(IF(N(INDEX('商品マスタ'!$J$6:$J$1005,MATCH($C289,'商品マスタ'!$B$6:$B$1005,0)))&gt;0,INDEX('商品マスタ'!$J$6:$J$1005,MATCH($C289,'商品マスタ'!$B$6:$B$1005,0)),""),""))</f>
        <v/>
      </c>
      <c r="N289">
        <f>IF($C289="","",IFERROR(IF(N(INDEX('商品マスタ'!$H$6:$H$1005,MATCH($C289,'商品マスタ'!$B$6:$B$1005,0)))&gt;0,INDEX('商品マスタ'!$H$6:$H$1005,MATCH($C289,'商品マスタ'!$B$6:$B$1005,0)),""),""))</f>
        <v/>
      </c>
      <c r="O289">
        <f>IF($C289="","",IF($N289&lt;&gt;"",$N289*$G289,IF(N(IF(COUNTIFS('①在庫を貼る'!$V$6:$V$10005,'設定'!$C$4,'①在庫を貼る'!$W$6:$W$10005,$C289)&gt;0,SUMIFS('①在庫を貼る'!$O$6:$O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O$6:$O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O$6:$O$10005,'月1回_2ヶ月前の在庫'!$V$6:$V$10005,'設定'!$C$4,'月1回_2ヶ月前の在庫'!$W$6:$W$10005,$C289)/COUNTIFS('月1回_2ヶ月前の在庫'!$V$6:$V$10005,'設定'!$C$4,'月1回_2ヶ月前の在庫'!$W$6:$W$10005,$C289),0))))&gt;0,N(IF(COUNTIFS('①在庫を貼る'!$V$6:$V$10005,'設定'!$C$4,'①在庫を貼る'!$W$6:$W$10005,$C289)&gt;0,SUMIFS('①在庫を貼る'!$O$6:$O$10005,'①在庫を貼る'!$V$6:$V$10005,'設定'!$C$4,'①在庫を貼る'!$W$6:$W$10005,$C289)/COUNTIFS('①在庫を貼る'!$V$6:$V$10005,'設定'!$C$4,'①在庫を貼る'!$W$6:$W$10005,$C289),IF(COUNTIFS('月1回_1ヶ月前の在庫'!$V$6:$V$10005,'設定'!$C$4,'月1回_1ヶ月前の在庫'!$W$6:$W$10005,$C289)&gt;0,SUMIFS('月1回_1ヶ月前の在庫'!$O$6:$O$10005,'月1回_1ヶ月前の在庫'!$V$6:$V$10005,'設定'!$C$4,'月1回_1ヶ月前の在庫'!$W$6:$W$10005,$C289)/COUNTIFS('月1回_1ヶ月前の在庫'!$V$6:$V$10005,'設定'!$C$4,'月1回_1ヶ月前の在庫'!$W$6:$W$10005,$C289),IF(COUNTIFS('月1回_2ヶ月前の在庫'!$V$6:$V$10005,'設定'!$C$4,'月1回_2ヶ月前の在庫'!$W$6:$W$10005,$C289)&gt;0,SUMIFS('月1回_2ヶ月前の在庫'!$O$6:$O$10005,'月1回_2ヶ月前の在庫'!$V$6:$V$10005,'設定'!$C$4,'月1回_2ヶ月前の在庫'!$W$6:$W$10005,$C289)/COUNTIFS('月1回_2ヶ月前の在庫'!$V$6:$V$10005,'設定'!$C$4,'月1回_2ヶ月前の在庫'!$W$6:$W$10005,$C289),0)))),"")))</f>
        <v/>
      </c>
      <c r="P289" s="90">
        <f>IF($C289="","",IF('②発注する'!$I293="","",'②発注する'!$I293))</f>
        <v/>
      </c>
      <c r="Q289">
        <f>IF($C289="","",IF('②発注する'!$J293="","",'②発注する'!$J293))</f>
        <v/>
      </c>
      <c r="R289">
        <f>IF($C289="",0,IF(AND(ISNUMBER($P289),ISNUMBER($Q289)),MAX(0,$Q289)*$G289,0))</f>
        <v/>
      </c>
      <c r="S289" s="90">
        <f>IF($C289="","",IF('②発注する'!$M293="","",'②発注する'!$M293))</f>
        <v/>
      </c>
      <c r="T289">
        <f>IF($C289="","",IF('②発注する'!$N293="","",'②発注する'!$N293))</f>
        <v/>
      </c>
      <c r="U289">
        <f>IF($C289="",0,IF(AND(ISNUMBER($S289),ISNUMBER($T289)),MAX(0,$T289)*$G289,0))</f>
        <v/>
      </c>
      <c r="V289">
        <f>IF($C289="",0,IF($M289="",0,MAX(0,$M289)*MAX(0,V$4)/100))</f>
        <v/>
      </c>
      <c r="W289">
        <f>IF($C289="",0,IF($M289="",0,MAX(0,$M289)*MAX(0,W$4)/100))</f>
        <v/>
      </c>
      <c r="X289">
        <f>IF($C289="",0,IF($M289="",0,MAX(0,$M289)*MAX(0,X$4)/100))</f>
        <v/>
      </c>
      <c r="Y289">
        <f>IF($C289="",0,IF($M289="",0,MAX(0,$M289)*MAX(0,Y$4)/100))</f>
        <v/>
      </c>
      <c r="Z289">
        <f>IF($C289="",0,IF($M289="",0,MAX(0,$M289)*MAX(0,Z$4)/100))</f>
        <v/>
      </c>
      <c r="AA289">
        <f>IF($C289="",0,IF($M289="",0,MAX(0,$M289)*MAX(0,AA$4)/100))</f>
        <v/>
      </c>
      <c r="AB289">
        <f>IF($C289="",0,IF($M289="",0,MAX(0,$M289)*MAX(0,AB$4)/100))</f>
        <v/>
      </c>
      <c r="AC289">
        <f>IF($C289="",0,IF($M289="",0,MAX(0,$M289)*MAX(0,AC$4)/100))</f>
        <v/>
      </c>
      <c r="AD289">
        <f>IF($C289="",0,IF($M289="",0,MAX(0,$M289)*MAX(0,AD$4)/100))</f>
        <v/>
      </c>
      <c r="AE289">
        <f>IF($C289="",0,IF($M289="",0,MAX(0,$M289)*MAX(0,AE$4)/100))</f>
        <v/>
      </c>
      <c r="AF289">
        <f>IF($C289="",0,IF($M289="",0,MAX(0,$M289)*MAX(0,AF$4)/100))</f>
        <v/>
      </c>
      <c r="AG289">
        <f>IF($C289="",0,IF($M289="",0,MAX(0,$M289)*MAX(0,AG$4)/100))</f>
        <v/>
      </c>
      <c r="AH289">
        <f>IF($C289="",0,IF($M289="",0,MAX(0,$M289)*MAX(0,AH$4)/100))</f>
        <v/>
      </c>
      <c r="AI289">
        <f>IF($C289="",0,IF($M289="",0,MAX(0,$M289)*MAX(0,AI$4)/100))</f>
        <v/>
      </c>
      <c r="AJ289">
        <f>IF($C289="",0,MAX(0,MAX(0,N($L289))-$V289))</f>
        <v/>
      </c>
      <c r="AK289">
        <f>IF($C289="",0,MAX(0,$AJ289-$W289))</f>
        <v/>
      </c>
      <c r="AL289">
        <f>IF($C289="",0,MAX(0,$AK289-$X289))</f>
        <v/>
      </c>
      <c r="AM289">
        <f>IF($C289="",0,MAX(0,$AL289-$Y289))</f>
        <v/>
      </c>
      <c r="AN289">
        <f>IF($C289="",0,MAX(0,$AM289-$Z289))</f>
        <v/>
      </c>
      <c r="AO289">
        <f>IF($C289="",0,MAX(0,$AN289-$AA289))</f>
        <v/>
      </c>
      <c r="AP289">
        <f>IF($C289="",0,MAX(0,$AO289-$AB289))</f>
        <v/>
      </c>
      <c r="AQ289">
        <f>IF($C289="",0,MAX(0,$AP289-$AC289))</f>
        <v/>
      </c>
      <c r="AR289">
        <f>IF($C289="",0,MAX(0,$AQ289-$AD289))</f>
        <v/>
      </c>
      <c r="AS289">
        <f>IF($C289="",0,MAX(0,$AR289-$AE289))</f>
        <v/>
      </c>
      <c r="AT289">
        <f>IF($C289="",0,MAX(0,$AS289-$AF289))</f>
        <v/>
      </c>
      <c r="AU289">
        <f>IF($C289="",0,MAX(0,$AT289-$AG289))</f>
        <v/>
      </c>
      <c r="AV289">
        <f>IF($C289="",0,MAX(0,$AU289-$AH289))</f>
        <v/>
      </c>
      <c r="AW289">
        <f>IF($C289="",0,MAX(0,$AV289-$AI289))</f>
        <v/>
      </c>
      <c r="AX289">
        <f>IF($C289="",0,MAX(0,MAX(0,N($L289))+IF($P289=V$3,$R289,0)+IF($S289=V$3,$U289,0)-$V289))</f>
        <v/>
      </c>
      <c r="AY289">
        <f>IF($C289="",0,MAX(0,$AX289+IF($P289=W$3,$R289,0)+IF($S289=W$3,$U289,0)-$W289))</f>
        <v/>
      </c>
      <c r="AZ289">
        <f>IF($C289="",0,MAX(0,$AY289+IF($P289=X$3,$R289,0)+IF($S289=X$3,$U289,0)-$X289))</f>
        <v/>
      </c>
      <c r="BA289">
        <f>IF($C289="",0,MAX(0,$AZ289+IF($P289=Y$3,$R289,0)+IF($S289=Y$3,$U289,0)-$Y289))</f>
        <v/>
      </c>
      <c r="BB289">
        <f>IF($C289="",0,MAX(0,$BA289+IF($P289=Z$3,$R289,0)+IF($S289=Z$3,$U289,0)-$Z289))</f>
        <v/>
      </c>
      <c r="BC289">
        <f>IF($C289="",0,MAX(0,$BB289+IF($P289=AA$3,$R289,0)+IF($S289=AA$3,$U289,0)-$AA289))</f>
        <v/>
      </c>
      <c r="BD289">
        <f>IF($C289="",0,MAX(0,$BC289+IF($P289=AB$3,$R289,0)+IF($S289=AB$3,$U289,0)-$AB289))</f>
        <v/>
      </c>
      <c r="BE289">
        <f>IF($C289="",0,MAX(0,$BD289+IF($P289=AC$3,$R289,0)+IF($S289=AC$3,$U289,0)-$AC289))</f>
        <v/>
      </c>
      <c r="BF289">
        <f>IF($C289="",0,MAX(0,$BE289+IF($P289=AD$3,$R289,0)+IF($S289=AD$3,$U289,0)-$AD289))</f>
        <v/>
      </c>
      <c r="BG289">
        <f>IF($C289="",0,MAX(0,$BF289+IF($P289=AE$3,$R289,0)+IF($S289=AE$3,$U289,0)-$AE289))</f>
        <v/>
      </c>
      <c r="BH289">
        <f>IF($C289="",0,MAX(0,$BG289+IF($P289=AF$3,$R289,0)+IF($S289=AF$3,$U289,0)-$AF289))</f>
        <v/>
      </c>
      <c r="BI289">
        <f>IF($C289="",0,MAX(0,$BH289+IF($P289=AG$3,$R289,0)+IF($S289=AG$3,$U289,0)-$AG289))</f>
        <v/>
      </c>
      <c r="BJ289">
        <f>IF($C289="",0,MAX(0,$BI289+IF($P289=AH$3,$R289,0)+IF($S289=AH$3,$U289,0)-$AH289))</f>
        <v/>
      </c>
      <c r="BK289">
        <f>IF($C289="",0,MAX(0,$BJ289+IF($P289=AI$3,$R289,0)+IF($S289=AI$3,$U289,0)-$AI289))</f>
        <v/>
      </c>
      <c r="BL289">
        <f>IF($C289="",99,IF(AND($AX289&lt;1,V$3&gt;=MAX(N($P289),N($S289))),0,99))</f>
        <v/>
      </c>
      <c r="BM289">
        <f>IF($C289="",99,IF(AND($AY289&lt;1,W$3&gt;=MAX(N($P289),N($S289))),1,99))</f>
        <v/>
      </c>
      <c r="BN289">
        <f>IF($C289="",99,IF(AND($AZ289&lt;1,X$3&gt;=MAX(N($P289),N($S289))),2,99))</f>
        <v/>
      </c>
      <c r="BO289">
        <f>IF($C289="",99,IF(AND($BA289&lt;1,Y$3&gt;=MAX(N($P289),N($S289))),3,99))</f>
        <v/>
      </c>
      <c r="BP289">
        <f>IF($C289="",99,IF(AND($BB289&lt;1,Z$3&gt;=MAX(N($P289),N($S289))),4,99))</f>
        <v/>
      </c>
      <c r="BQ289">
        <f>IF($C289="",99,IF(AND($BC289&lt;1,AA$3&gt;=MAX(N($P289),N($S289))),5,99))</f>
        <v/>
      </c>
      <c r="BR289">
        <f>IF($C289="",99,IF(AND($BD289&lt;1,AB$3&gt;=MAX(N($P289),N($S289))),6,99))</f>
        <v/>
      </c>
      <c r="BS289">
        <f>IF($C289="",99,IF(AND($BE289&lt;1,AC$3&gt;=MAX(N($P289),N($S289))),7,99))</f>
        <v/>
      </c>
      <c r="BT289">
        <f>IF($C289="",99,IF(AND($BF289&lt;1,AD$3&gt;=MAX(N($P289),N($S289))),8,99))</f>
        <v/>
      </c>
      <c r="BU289">
        <f>IF($C289="",99,IF(AND($BG289&lt;1,AE$3&gt;=MAX(N($P289),N($S289))),9,99))</f>
        <v/>
      </c>
      <c r="BV289">
        <f>IF($C289="",99,IF(AND($BH289&lt;1,AF$3&gt;=MAX(N($P289),N($S289))),10,99))</f>
        <v/>
      </c>
      <c r="BW289">
        <f>IF($C289="",99,IF(AND($BI289&lt;1,AG$3&gt;=MAX(N($P289),N($S289))),11,99))</f>
        <v/>
      </c>
      <c r="BX289">
        <f>IF($C289="",99,IF(AND($BJ289&lt;1,AH$3&gt;=MAX(N($P289),N($S289))),12,99))</f>
        <v/>
      </c>
      <c r="BY289">
        <f>IF($C289="",99,IF(AND($BK289&lt;1,AI$3&gt;=MAX(N($P289),N($S289))),13,99))</f>
        <v/>
      </c>
      <c r="BZ289">
        <f>IF(OR($C289="",$M289=""),"",COUNTIF($AJ289:$AW289,"&gt;=1"))</f>
        <v/>
      </c>
      <c r="CA289" s="90">
        <f>IF($BZ289="","",IF($BZ289&gt;=14,"",'設定'!$C$6+$BZ289))</f>
        <v/>
      </c>
      <c r="CB289">
        <f>IF(OR($C289="",$M289=""),"",MIN($BL289:$BY289))</f>
        <v/>
      </c>
      <c r="CC289" s="90">
        <f>IF($CB289="","",IF($CB289&gt;=99,"",'設定'!$C$6+$CB289))</f>
        <v/>
      </c>
      <c r="CD289">
        <f>IF(OR($C289="",$M289=""),"",AVERAGE($V289:$AI289))</f>
        <v/>
      </c>
      <c r="CE289">
        <f>IF($C289="","",IFERROR(IF(MATCH(IF(ISNUMBER($P289),$P289,'設定'!$C$6+N('設定'!$C$7)),$V$3:$AI$3,0)=1,MAX(0,N($L289)),INDEX($AJ289:$AW289,MATCH(IF(ISNUMBER($P289),$P289,'設定'!$C$6+N('設定'!$C$7)),$V$3:$AI$3,0)-1)),""))</f>
        <v/>
      </c>
      <c r="CF289">
        <f>IF(OR($C289="",$O289="",$CE289=""),"",IF($O289-$CE289&lt;=0,0,ROUNDUP(($O289-$CE289)/$G289,0)))</f>
        <v/>
      </c>
      <c r="CG289">
        <f>IF(OR($C289="",$CF289="",NOT(ISNUMBER($Q289))),0,MAX(0,$Q289-$CF289))</f>
        <v/>
      </c>
      <c r="CH289">
        <f>IF(OR($C289="",$O289="",$U289=0),0,IFERROR(ROUNDUP(MAX(0,IF(MATCH($S289,$V$3:$AI$3,0)=1,MAX(0,N($L289)),INDEX($AX289:$BK289,MATCH($S289,$V$3:$AI$3,0)-1))+$U289-$O289)/$G289,0),0))</f>
        <v/>
      </c>
      <c r="CI289">
        <f>IF($C289="","",IF(AND($P289="",$Q289=""),"",IF($P289="","⚠ 入庫日を ▼ から選んでください",IF(NOT(ISNUMBER($P289)),"⚠ 入庫日は ▼ から選んでください",IF($P289&lt;N('設定'!$C$6),"⚠ 入庫日が過去です（もう在庫に入っています）→ 消してください",IF($P289&gt;N('設定'!$C$6)+13,"⚠ 入庫日が14日より先です",IF(N($Q289)&lt;=0,"⚠ 入庫数を入れてください",IF($CG289&gt;0,"⚠ 目安より "&amp;$CG289&amp;" 多い（定数を超える）→ 減らす",""))))))))</f>
        <v/>
      </c>
      <c r="CJ289">
        <f>IF($C289="","",IF(AND($S289="",$T289=""),"",IF($S289="","⚠ 2便目：入庫日を ▼ から選んでください",IF(NOT(ISNUMBER($S289)),"⚠ 2便目：入庫日は ▼ から選んでください",IF($S289&lt;N('設定'!$C$6),"⚠ 2便目：入庫日が過去です（もう在庫に入っています）→ 消してください",IF($S289&gt;N('設定'!$C$6)+13,"⚠ 2便目：入庫日が14日より先です",IF(N($T289)&lt;=0,"⚠ 2便目：入庫数を入れてください",IF($CH289&gt;0,"⚠ 2便目：定数を "&amp;$CH289&amp;" ケース超える → 減らす",""))))))))</f>
        <v/>
      </c>
      <c r="CK289">
        <f>IF(AND($CI289="",N($Q289)&gt;0,ISNUMBER($P289)),1,0)</f>
        <v/>
      </c>
      <c r="CL289">
        <f>IF(AND($CJ289="",N($T289)&gt;0,ISNUMBER($S289)),1,0)</f>
        <v/>
      </c>
      <c r="CM289">
        <f>IF(OR($CK289=1,$CL289=1),1,0)</f>
        <v/>
      </c>
      <c r="CN289">
        <f>IF($C289="",0,($CK289*$R289+$CL289*$U289)*N($H289))</f>
        <v/>
      </c>
      <c r="CO289">
        <f>IF($C289="","",IF($CC289="","入庫後は 14日以上もつ",IF($CC289-N('設定'!$C$7)&lt;='設定'!$C$6,"入庫後も "&amp;TEXT($CC289,"m/d")&amp;"("&amp;CHOOSE(WEEKDAY($CC289),"日","月","火","水","木","金","土")&amp;")"&amp;" に切れる　もう1便を至急発注","入庫後も "&amp;TEXT($CC289,"m/d")&amp;"("&amp;CHOOSE(WEEKDAY($CC289),"日","月","火","水","木","金","土")&amp;")"&amp;" に切れる　"&amp;TEXT($CC289-N('設定'!$C$7),"m/d")&amp;"("&amp;CHOOSE(WEEKDAY($CC289-N('設定'!$C$7)),"日","月","火","水","木","金","土")&amp;")"&amp;" までに次を発注")))</f>
        <v/>
      </c>
      <c r="CP289">
        <f>IF($C289="","",IF('設定'!$C$6="","？ ①在庫を貼る に今日のCSVが貼られていない",IF($CS289=1,"－ 今日のCSVに無い（終売？）",IF($L289&lt;0,"● 在庫がマイナス　数えて「数えた在庫」に入れる",IF($L289=0,"● 在庫なし　至急発注",IF($M289="","？ 減り数が未設定（商品マスタ）",IF($B$3=0,"？ 動員が未入力（動員を入れる）",IF($CA289="","○ 14日以上もつ",IF($BZ289&lt;N('設定'!$C$7),"● "&amp;TEXT($CA289,"m/d")&amp;"("&amp;CHOOSE(WEEKDAY($CA289),"日","月","火","水","木","金","土")&amp;")"&amp;" に切れる　至急発注",IF($BZ289=N('設定'!$C$7),"● "&amp;TEXT($CA289,"m/d")&amp;"("&amp;CHOOSE(WEEKDAY($CA289),"日","月","火","水","木","金","土")&amp;")"&amp;" に切れる　今日発注","△ "&amp;TEXT($CA289,"m/d")&amp;"("&amp;CHOOSE(WEEKDAY($CA289),"日","月","火","水","木","金","土")&amp;")"&amp;" に切れる　"&amp;TEXT($CA289-N('設定'!$C$7),"m/d")&amp;"("&amp;CHOOSE(WEEKDAY($CA289-N('設定'!$C$7)),"日","月","火","水","木","金","土")&amp;")"&amp;" までに発注"))))))))))</f>
        <v/>
      </c>
      <c r="CQ289">
        <f>IF($C289="","",IF(AND($P289="",$Q289="",$S289="",$T289=""),"",IF(AND($P289="",$Q289=""),"⚠ 先に1便目（左の入庫日・入庫数）に入れてください",IF($CI289&lt;&gt;"",$CI289,IF($CJ289&lt;&gt;"",$CJ289,IF($M289="","？ 減り数が未設定（発注書には載ります）",IF($B$3=0,"？ 動員が未入力（発注書には載ります）",IF(AND($CA289&lt;&gt;"",$P289&gt;$CA289),IF($P289&gt;'設定'!$C$6+N('設定'!$C$7),"● "&amp;TEXT($P289,"m/d")&amp;"("&amp;CHOOSE(WEEKDAY($P289),"日","月","火","水","木","金","土")&amp;")"&amp;" の入庫では間に合わない（"&amp;TEXT($CA289,"m/d")&amp;"("&amp;CHOOSE(WEEKDAY($CA289),"日","月","火","水","木","金","土")&amp;")"&amp;" に切れる）　入庫日を早める","△ 欠品 "&amp;TEXT($CA289,"m/d")&amp;"("&amp;CHOOSE(WEEKDAY($CA289),"日","月","火","水","木","金","土")&amp;")"&amp;"〜"&amp;TEXT($P289-1,"m/d")&amp;"("&amp;CHOOSE(WEEKDAY($P289-1),"日","月","火","水","木","金","土")&amp;")"&amp;"　"&amp;$CO289),IF($CC289="","○ "&amp;TEXT($P289,"m/d")&amp;"("&amp;CHOOSE(WEEKDAY($P289),"日","月","火","水","木","金","土")&amp;")"&amp;" 入庫で 14日以上もつ",IF($CC289-N('設定'!$C$7)&lt;='設定'!$C$6,"● 入庫しても "&amp;TEXT($CC289,"m/d")&amp;"("&amp;CHOOSE(WEEKDAY($CC289),"日","月","火","水","木","金","土")&amp;")"&amp;" に切れる　もう1便を至急発注（2便目に入れる）","△ 入庫しても "&amp;TEXT($CC289,"m/d")&amp;"("&amp;CHOOSE(WEEKDAY($CC289),"日","月","火","水","木","金","土")&amp;")"&amp;" に切れる　"&amp;TEXT($CC289-N('設定'!$C$7),"m/d")&amp;"("&amp;CHOOSE(WEEKDAY($CC289-N('設定'!$C$7)),"日","月","火","水","木","金","土")&amp;")"&amp;" までに次を発注（2便目に入れる）"))))))))))</f>
        <v/>
      </c>
      <c r="CR289">
        <f>IF($C289="","",IF($G289&gt;1,"ｹｰｽ("&amp;$G289&amp;"入)","個"))</f>
        <v/>
      </c>
      <c r="CS289">
        <f>IF($C289="",0,IF(COUNTIFS('①在庫を貼る'!$V$6:$V$10005,'設定'!$C$4,'①在庫を貼る'!$W$6:$W$10005,$C289)=0,1,0))</f>
        <v/>
      </c>
      <c r="CT289">
        <f>IF(AND($CK289=1,OR('③発注書'!$C$4="すべて",'③発注書'!$C$4="",$F289='③発注書'!$C$4)),N($CT288)+1,N($CT288))</f>
        <v/>
      </c>
      <c r="CU289">
        <f>IF(AND($CL289=1,OR('③発注書'!$C$4="すべて",'③発注書'!$C$4="",$F289='③発注書'!$C$4)),N($CU288)+1,N($CU288))</f>
        <v/>
      </c>
      <c r="CV289">
        <f>IF($C289="",0,IF(COUNTIFS('①在庫を貼る'!$V$6:$V$10005,'設定'!$C$4,'①在庫を貼る'!$W$6:$W$10005,$C289)&gt;0,1,0))</f>
        <v/>
      </c>
      <c r="CW289">
        <f>IF($C289="",0,IF(COUNTIFS('月1回_1ヶ月前の在庫'!$V$6:$V$10005,'設定'!$C$4,'月1回_1ヶ月前の在庫'!$W$6:$W$10005,$C289)&gt;0,1,0))</f>
        <v/>
      </c>
      <c r="CX289">
        <f>IF($C289="",0,IF(COUNTIFS('月1回_2ヶ月前の在庫'!$V$6:$V$10005,'設定'!$C$4,'月1回_2ヶ月前の在庫'!$W$6:$W$10005,$C289)&gt;0,1,0))</f>
        <v/>
      </c>
      <c r="CY289">
        <f>IF(OR($C289="",'設定'!$C$12=""),"",IF('設定'!$C$13="",IF(AND($CV289=1,$CW289=0),"新商品（今月から）",IF(AND($CV289=0,$CW289=1),"終売（今月から）","")),IF(AND($CV289=1,$CW289=0,$CX289=0),"新商品（今月から）",IF(AND($CV289=1,$CW289=1,$CX289=0),"新商品（先月から）",IF(AND($CV289=0,$CW289=1,$CX289=1),"終売（今月から）",IF(AND($CV289=0,$CW289=0,$CX289=1),"終売（先月から）",IF(AND($CV289=1,$CW289=0,$CX289=1),"復活（先月は無し）","")))))))</f>
        <v/>
      </c>
    </row>
    <row r="290">
      <c r="B290">
        <f>IF(285&lt;='設定'!$C$11,285,"")</f>
        <v/>
      </c>
      <c r="C290">
        <f>IF($B290="","",IF($B290&lt;='設定'!$C$20,INDEX('商品マスタ'!$B$6:$B$1005,MATCH($B290,'商品マスタ'!$M$6:$M$1005,0)),IF($B290&lt;='設定'!$C$20+'設定'!$C$17,INDEX('①在庫を貼る'!$W$6:$W$10005,MATCH($B290-'設定'!$C$20,'①在庫を貼る'!$U$6:$U$10005,0)),IF($B290&lt;='設定'!$C$20+'設定'!$C$17+'設定'!$C$18,INDEX('月1回_1ヶ月前の在庫'!$W$6:$W$10005,MATCH($B290-'設定'!$C$20-'設定'!$C$17,'月1回_1ヶ月前の在庫'!$U$6:$U$10005,0)),INDEX('月1回_2ヶ月前の在庫'!$W$6:$W$10005,MATCH($B290-'設定'!$C$20-'設定'!$C$17-'設定'!$C$18,'月1回_2ヶ月前の在庫'!$U$6:$U$10005,0))))))</f>
        <v/>
      </c>
      <c r="D290">
        <f>IF($C290="","",IFERROR(IF(INDEX('商品マスタ'!$C$6:$C$1005,MATCH($C290,'商品マスタ'!$B$6:$B$1005,0))="",IFERROR(INDEX('①在庫を貼る'!$J$6:$J$10005,MATCH($C290,'①在庫を貼る'!$W$6:$W$10005,0)),IFERROR(INDEX('月1回_1ヶ月前の在庫'!$J$6:$J$10005,MATCH($C290,'月1回_1ヶ月前の在庫'!$W$6:$W$10005,0)),IFERROR(INDEX('月1回_2ヶ月前の在庫'!$J$6:$J$10005,MATCH($C290,'月1回_2ヶ月前の在庫'!$W$6:$W$10005,0)),""))),INDEX('商品マスタ'!$C$6:$C$1005,MATCH($C290,'商品マスタ'!$B$6:$B$1005,0))),IFERROR(INDEX('①在庫を貼る'!$J$6:$J$10005,MATCH($C290,'①在庫を貼る'!$W$6:$W$10005,0)),IFERROR(INDEX('月1回_1ヶ月前の在庫'!$J$6:$J$10005,MATCH($C290,'月1回_1ヶ月前の在庫'!$W$6:$W$10005,0)),IFERROR(INDEX('月1回_2ヶ月前の在庫'!$J$6:$J$10005,MATCH($C290,'月1回_2ヶ月前の在庫'!$W$6:$W$10005,0)),"")))))</f>
        <v/>
      </c>
      <c r="E290">
        <f>IF($C290="","",IFERROR(IF(INDEX('商品マスタ'!$D$6:$D$1005,MATCH($C290,'商品マスタ'!$B$6:$B$1005,0))="",IFERROR(INDEX('①在庫を貼る'!$H$6:$H$10005,MATCH($C290,'①在庫を貼る'!$W$6:$W$10005,0)),IFERROR(INDEX('月1回_1ヶ月前の在庫'!$H$6:$H$10005,MATCH($C290,'月1回_1ヶ月前の在庫'!$W$6:$W$10005,0)),IFERROR(INDEX('月1回_2ヶ月前の在庫'!$H$6:$H$10005,MATCH($C290,'月1回_2ヶ月前の在庫'!$W$6:$W$10005,0)),""))),INDEX('商品マスタ'!$D$6:$D$1005,MATCH($C290,'商品マスタ'!$B$6:$B$1005,0))),IFERROR(INDEX('①在庫を貼る'!$H$6:$H$10005,MATCH($C290,'①在庫を貼る'!$W$6:$W$10005,0)),IFERROR(INDEX('月1回_1ヶ月前の在庫'!$H$6:$H$10005,MATCH($C290,'月1回_1ヶ月前の在庫'!$W$6:$W$10005,0)),IFERROR(INDEX('月1回_2ヶ月前の在庫'!$H$6:$H$10005,MATCH($C290,'月1回_2ヶ月前の在庫'!$W$6:$W$10005,0)),"")))))</f>
        <v/>
      </c>
      <c r="F290">
        <f>IF($C290="","",IFERROR(IF(INDEX('商品マスタ'!$E$6:$E$1005,MATCH($C290,'商品マスタ'!$B$6:$B$1005,0))="",IFERROR(INDEX('①在庫を貼る'!$E$6:$E$10005,MATCH($C290,'①在庫を貼る'!$W$6:$W$10005,0)),IFERROR(INDEX('月1回_1ヶ月前の在庫'!$E$6:$E$10005,MATCH($C290,'月1回_1ヶ月前の在庫'!$W$6:$W$10005,0)),IFERROR(INDEX('月1回_2ヶ月前の在庫'!$E$6:$E$10005,MATCH($C290,'月1回_2ヶ月前の在庫'!$W$6:$W$10005,0)),""))),INDEX('商品マスタ'!$E$6:$E$1005,MATCH($C290,'商品マスタ'!$B$6:$B$1005,0))),IFERROR(INDEX('①在庫を貼る'!$E$6:$E$10005,MATCH($C290,'①在庫を貼る'!$W$6:$W$10005,0)),IFERROR(INDEX('月1回_1ヶ月前の在庫'!$E$6:$E$10005,MATCH($C290,'月1回_1ヶ月前の在庫'!$W$6:$W$10005,0)),IFERROR(INDEX('月1回_2ヶ月前の在庫'!$E$6:$E$10005,MATCH($C290,'月1回_2ヶ月前の在庫'!$W$6:$W$10005,0)),"")))))</f>
        <v/>
      </c>
      <c r="G290">
        <f>IF($C290="","",MAX(1,N(IFERROR(IF(INDEX('商品マスタ'!$F$6:$F$1005,MATCH($C290,'商品マスタ'!$B$6:$B$1005,0))="",IF(COUNTIFS('①在庫を貼る'!$V$6:$V$10005,'設定'!$C$4,'①在庫を貼る'!$W$6:$W$10005,$C290)&gt;0,SUMIFS('①在庫を貼る'!$K$6:$K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K$6:$K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K$6:$K$10005,'月1回_2ヶ月前の在庫'!$V$6:$V$10005,'設定'!$C$4,'月1回_2ヶ月前の在庫'!$W$6:$W$10005,$C290)/COUNTIFS('月1回_2ヶ月前の在庫'!$V$6:$V$10005,'設定'!$C$4,'月1回_2ヶ月前の在庫'!$W$6:$W$10005,$C290),0))),INDEX('商品マスタ'!$F$6:$F$1005,MATCH($C290,'商品マスタ'!$B$6:$B$1005,0))),IF(COUNTIFS('①在庫を貼る'!$V$6:$V$10005,'設定'!$C$4,'①在庫を貼る'!$W$6:$W$10005,$C290)&gt;0,SUMIFS('①在庫を貼る'!$K$6:$K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K$6:$K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K$6:$K$10005,'月1回_2ヶ月前の在庫'!$V$6:$V$10005,'設定'!$C$4,'月1回_2ヶ月前の在庫'!$W$6:$W$10005,$C290)/COUNTIFS('月1回_2ヶ月前の在庫'!$V$6:$V$10005,'設定'!$C$4,'月1回_2ヶ月前の在庫'!$W$6:$W$10005,$C290),0)))))))</f>
        <v/>
      </c>
      <c r="H290">
        <f>IF($C290="","",N(IFERROR(IF(INDEX('商品マスタ'!$G$6:$G$1005,MATCH($C290,'商品マスタ'!$B$6:$B$1005,0))="",IF(COUNTIFS('①在庫を貼る'!$V$6:$V$10005,'設定'!$C$4,'①在庫を貼る'!$W$6:$W$10005,$C290)&gt;0,SUMIFS('①在庫を貼る'!$Q$6:$Q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Q$6:$Q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Q$6:$Q$10005,'月1回_2ヶ月前の在庫'!$V$6:$V$10005,'設定'!$C$4,'月1回_2ヶ月前の在庫'!$W$6:$W$10005,$C290)/COUNTIFS('月1回_2ヶ月前の在庫'!$V$6:$V$10005,'設定'!$C$4,'月1回_2ヶ月前の在庫'!$W$6:$W$10005,$C290),0))),INDEX('商品マスタ'!$G$6:$G$1005,MATCH($C290,'商品マスタ'!$B$6:$B$1005,0))),IF(COUNTIFS('①在庫を貼る'!$V$6:$V$10005,'設定'!$C$4,'①在庫を貼る'!$W$6:$W$10005,$C290)&gt;0,SUMIFS('①在庫を貼る'!$Q$6:$Q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Q$6:$Q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Q$6:$Q$10005,'月1回_2ヶ月前の在庫'!$V$6:$V$10005,'設定'!$C$4,'月1回_2ヶ月前の在庫'!$W$6:$W$10005,$C290)/COUNTIFS('月1回_2ヶ月前の在庫'!$V$6:$V$10005,'設定'!$C$4,'月1回_2ヶ月前の在庫'!$W$6:$W$10005,$C290),0))))))</f>
        <v/>
      </c>
      <c r="I290">
        <f>IF($C290="","",IF(COUNTIFS('①在庫を貼る'!$V$6:$V$10005,'設定'!$C$4,'①在庫を貼る'!$W$6:$W$10005,$C290)=0,"",SUMIFS('①在庫を貼る'!$N$6:$N$10005,'①在庫を貼る'!$V$6:$V$10005,'設定'!$C$4,'①在庫を貼る'!$W$6:$W$10005,$C290)))</f>
        <v/>
      </c>
      <c r="J290">
        <f>IF($C290="","",IF('②発注する'!$AD294="","",'②発注する'!$AD294))</f>
        <v/>
      </c>
      <c r="K290" s="90">
        <f>IF($C290="","",IF('②発注する'!$AE294="","",'②発注する'!$AE294))</f>
        <v/>
      </c>
      <c r="L290">
        <f>IF($C290="","",IF(AND(ISNUMBER($J290),ISNUMBER($K290),$K290&gt;='設定'!$C$6),$J290,N($I290)))</f>
        <v/>
      </c>
      <c r="M290">
        <f>IF($C290="","",IFERROR(IF(N(INDEX('商品マスタ'!$J$6:$J$1005,MATCH($C290,'商品マスタ'!$B$6:$B$1005,0)))&gt;0,INDEX('商品マスタ'!$J$6:$J$1005,MATCH($C290,'商品マスタ'!$B$6:$B$1005,0)),""),""))</f>
        <v/>
      </c>
      <c r="N290">
        <f>IF($C290="","",IFERROR(IF(N(INDEX('商品マスタ'!$H$6:$H$1005,MATCH($C290,'商品マスタ'!$B$6:$B$1005,0)))&gt;0,INDEX('商品マスタ'!$H$6:$H$1005,MATCH($C290,'商品マスタ'!$B$6:$B$1005,0)),""),""))</f>
        <v/>
      </c>
      <c r="O290">
        <f>IF($C290="","",IF($N290&lt;&gt;"",$N290*$G290,IF(N(IF(COUNTIFS('①在庫を貼る'!$V$6:$V$10005,'設定'!$C$4,'①在庫を貼る'!$W$6:$W$10005,$C290)&gt;0,SUMIFS('①在庫を貼る'!$O$6:$O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O$6:$O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O$6:$O$10005,'月1回_2ヶ月前の在庫'!$V$6:$V$10005,'設定'!$C$4,'月1回_2ヶ月前の在庫'!$W$6:$W$10005,$C290)/COUNTIFS('月1回_2ヶ月前の在庫'!$V$6:$V$10005,'設定'!$C$4,'月1回_2ヶ月前の在庫'!$W$6:$W$10005,$C290),0))))&gt;0,N(IF(COUNTIFS('①在庫を貼る'!$V$6:$V$10005,'設定'!$C$4,'①在庫を貼る'!$W$6:$W$10005,$C290)&gt;0,SUMIFS('①在庫を貼る'!$O$6:$O$10005,'①在庫を貼る'!$V$6:$V$10005,'設定'!$C$4,'①在庫を貼る'!$W$6:$W$10005,$C290)/COUNTIFS('①在庫を貼る'!$V$6:$V$10005,'設定'!$C$4,'①在庫を貼る'!$W$6:$W$10005,$C290),IF(COUNTIFS('月1回_1ヶ月前の在庫'!$V$6:$V$10005,'設定'!$C$4,'月1回_1ヶ月前の在庫'!$W$6:$W$10005,$C290)&gt;0,SUMIFS('月1回_1ヶ月前の在庫'!$O$6:$O$10005,'月1回_1ヶ月前の在庫'!$V$6:$V$10005,'設定'!$C$4,'月1回_1ヶ月前の在庫'!$W$6:$W$10005,$C290)/COUNTIFS('月1回_1ヶ月前の在庫'!$V$6:$V$10005,'設定'!$C$4,'月1回_1ヶ月前の在庫'!$W$6:$W$10005,$C290),IF(COUNTIFS('月1回_2ヶ月前の在庫'!$V$6:$V$10005,'設定'!$C$4,'月1回_2ヶ月前の在庫'!$W$6:$W$10005,$C290)&gt;0,SUMIFS('月1回_2ヶ月前の在庫'!$O$6:$O$10005,'月1回_2ヶ月前の在庫'!$V$6:$V$10005,'設定'!$C$4,'月1回_2ヶ月前の在庫'!$W$6:$W$10005,$C290)/COUNTIFS('月1回_2ヶ月前の在庫'!$V$6:$V$10005,'設定'!$C$4,'月1回_2ヶ月前の在庫'!$W$6:$W$10005,$C290),0)))),"")))</f>
        <v/>
      </c>
      <c r="P290" s="90">
        <f>IF($C290="","",IF('②発注する'!$I294="","",'②発注する'!$I294))</f>
        <v/>
      </c>
      <c r="Q290">
        <f>IF($C290="","",IF('②発注する'!$J294="","",'②発注する'!$J294))</f>
        <v/>
      </c>
      <c r="R290">
        <f>IF($C290="",0,IF(AND(ISNUMBER($P290),ISNUMBER($Q290)),MAX(0,$Q290)*$G290,0))</f>
        <v/>
      </c>
      <c r="S290" s="90">
        <f>IF($C290="","",IF('②発注する'!$M294="","",'②発注する'!$M294))</f>
        <v/>
      </c>
      <c r="T290">
        <f>IF($C290="","",IF('②発注する'!$N294="","",'②発注する'!$N294))</f>
        <v/>
      </c>
      <c r="U290">
        <f>IF($C290="",0,IF(AND(ISNUMBER($S290),ISNUMBER($T290)),MAX(0,$T290)*$G290,0))</f>
        <v/>
      </c>
      <c r="V290">
        <f>IF($C290="",0,IF($M290="",0,MAX(0,$M290)*MAX(0,V$4)/100))</f>
        <v/>
      </c>
      <c r="W290">
        <f>IF($C290="",0,IF($M290="",0,MAX(0,$M290)*MAX(0,W$4)/100))</f>
        <v/>
      </c>
      <c r="X290">
        <f>IF($C290="",0,IF($M290="",0,MAX(0,$M290)*MAX(0,X$4)/100))</f>
        <v/>
      </c>
      <c r="Y290">
        <f>IF($C290="",0,IF($M290="",0,MAX(0,$M290)*MAX(0,Y$4)/100))</f>
        <v/>
      </c>
      <c r="Z290">
        <f>IF($C290="",0,IF($M290="",0,MAX(0,$M290)*MAX(0,Z$4)/100))</f>
        <v/>
      </c>
      <c r="AA290">
        <f>IF($C290="",0,IF($M290="",0,MAX(0,$M290)*MAX(0,AA$4)/100))</f>
        <v/>
      </c>
      <c r="AB290">
        <f>IF($C290="",0,IF($M290="",0,MAX(0,$M290)*MAX(0,AB$4)/100))</f>
        <v/>
      </c>
      <c r="AC290">
        <f>IF($C290="",0,IF($M290="",0,MAX(0,$M290)*MAX(0,AC$4)/100))</f>
        <v/>
      </c>
      <c r="AD290">
        <f>IF($C290="",0,IF($M290="",0,MAX(0,$M290)*MAX(0,AD$4)/100))</f>
        <v/>
      </c>
      <c r="AE290">
        <f>IF($C290="",0,IF($M290="",0,MAX(0,$M290)*MAX(0,AE$4)/100))</f>
        <v/>
      </c>
      <c r="AF290">
        <f>IF($C290="",0,IF($M290="",0,MAX(0,$M290)*MAX(0,AF$4)/100))</f>
        <v/>
      </c>
      <c r="AG290">
        <f>IF($C290="",0,IF($M290="",0,MAX(0,$M290)*MAX(0,AG$4)/100))</f>
        <v/>
      </c>
      <c r="AH290">
        <f>IF($C290="",0,IF($M290="",0,MAX(0,$M290)*MAX(0,AH$4)/100))</f>
        <v/>
      </c>
      <c r="AI290">
        <f>IF($C290="",0,IF($M290="",0,MAX(0,$M290)*MAX(0,AI$4)/100))</f>
        <v/>
      </c>
      <c r="AJ290">
        <f>IF($C290="",0,MAX(0,MAX(0,N($L290))-$V290))</f>
        <v/>
      </c>
      <c r="AK290">
        <f>IF($C290="",0,MAX(0,$AJ290-$W290))</f>
        <v/>
      </c>
      <c r="AL290">
        <f>IF($C290="",0,MAX(0,$AK290-$X290))</f>
        <v/>
      </c>
      <c r="AM290">
        <f>IF($C290="",0,MAX(0,$AL290-$Y290))</f>
        <v/>
      </c>
      <c r="AN290">
        <f>IF($C290="",0,MAX(0,$AM290-$Z290))</f>
        <v/>
      </c>
      <c r="AO290">
        <f>IF($C290="",0,MAX(0,$AN290-$AA290))</f>
        <v/>
      </c>
      <c r="AP290">
        <f>IF($C290="",0,MAX(0,$AO290-$AB290))</f>
        <v/>
      </c>
      <c r="AQ290">
        <f>IF($C290="",0,MAX(0,$AP290-$AC290))</f>
        <v/>
      </c>
      <c r="AR290">
        <f>IF($C290="",0,MAX(0,$AQ290-$AD290))</f>
        <v/>
      </c>
      <c r="AS290">
        <f>IF($C290="",0,MAX(0,$AR290-$AE290))</f>
        <v/>
      </c>
      <c r="AT290">
        <f>IF($C290="",0,MAX(0,$AS290-$AF290))</f>
        <v/>
      </c>
      <c r="AU290">
        <f>IF($C290="",0,MAX(0,$AT290-$AG290))</f>
        <v/>
      </c>
      <c r="AV290">
        <f>IF($C290="",0,MAX(0,$AU290-$AH290))</f>
        <v/>
      </c>
      <c r="AW290">
        <f>IF($C290="",0,MAX(0,$AV290-$AI290))</f>
        <v/>
      </c>
      <c r="AX290">
        <f>IF($C290="",0,MAX(0,MAX(0,N($L290))+IF($P290=V$3,$R290,0)+IF($S290=V$3,$U290,0)-$V290))</f>
        <v/>
      </c>
      <c r="AY290">
        <f>IF($C290="",0,MAX(0,$AX290+IF($P290=W$3,$R290,0)+IF($S290=W$3,$U290,0)-$W290))</f>
        <v/>
      </c>
      <c r="AZ290">
        <f>IF($C290="",0,MAX(0,$AY290+IF($P290=X$3,$R290,0)+IF($S290=X$3,$U290,0)-$X290))</f>
        <v/>
      </c>
      <c r="BA290">
        <f>IF($C290="",0,MAX(0,$AZ290+IF($P290=Y$3,$R290,0)+IF($S290=Y$3,$U290,0)-$Y290))</f>
        <v/>
      </c>
      <c r="BB290">
        <f>IF($C290="",0,MAX(0,$BA290+IF($P290=Z$3,$R290,0)+IF($S290=Z$3,$U290,0)-$Z290))</f>
        <v/>
      </c>
      <c r="BC290">
        <f>IF($C290="",0,MAX(0,$BB290+IF($P290=AA$3,$R290,0)+IF($S290=AA$3,$U290,0)-$AA290))</f>
        <v/>
      </c>
      <c r="BD290">
        <f>IF($C290="",0,MAX(0,$BC290+IF($P290=AB$3,$R290,0)+IF($S290=AB$3,$U290,0)-$AB290))</f>
        <v/>
      </c>
      <c r="BE290">
        <f>IF($C290="",0,MAX(0,$BD290+IF($P290=AC$3,$R290,0)+IF($S290=AC$3,$U290,0)-$AC290))</f>
        <v/>
      </c>
      <c r="BF290">
        <f>IF($C290="",0,MAX(0,$BE290+IF($P290=AD$3,$R290,0)+IF($S290=AD$3,$U290,0)-$AD290))</f>
        <v/>
      </c>
      <c r="BG290">
        <f>IF($C290="",0,MAX(0,$BF290+IF($P290=AE$3,$R290,0)+IF($S290=AE$3,$U290,0)-$AE290))</f>
        <v/>
      </c>
      <c r="BH290">
        <f>IF($C290="",0,MAX(0,$BG290+IF($P290=AF$3,$R290,0)+IF($S290=AF$3,$U290,0)-$AF290))</f>
        <v/>
      </c>
      <c r="BI290">
        <f>IF($C290="",0,MAX(0,$BH290+IF($P290=AG$3,$R290,0)+IF($S290=AG$3,$U290,0)-$AG290))</f>
        <v/>
      </c>
      <c r="BJ290">
        <f>IF($C290="",0,MAX(0,$BI290+IF($P290=AH$3,$R290,0)+IF($S290=AH$3,$U290,0)-$AH290))</f>
        <v/>
      </c>
      <c r="BK290">
        <f>IF($C290="",0,MAX(0,$BJ290+IF($P290=AI$3,$R290,0)+IF($S290=AI$3,$U290,0)-$AI290))</f>
        <v/>
      </c>
      <c r="BL290">
        <f>IF($C290="",99,IF(AND($AX290&lt;1,V$3&gt;=MAX(N($P290),N($S290))),0,99))</f>
        <v/>
      </c>
      <c r="BM290">
        <f>IF($C290="",99,IF(AND($AY290&lt;1,W$3&gt;=MAX(N($P290),N($S290))),1,99))</f>
        <v/>
      </c>
      <c r="BN290">
        <f>IF($C290="",99,IF(AND($AZ290&lt;1,X$3&gt;=MAX(N($P290),N($S290))),2,99))</f>
        <v/>
      </c>
      <c r="BO290">
        <f>IF($C290="",99,IF(AND($BA290&lt;1,Y$3&gt;=MAX(N($P290),N($S290))),3,99))</f>
        <v/>
      </c>
      <c r="BP290">
        <f>IF($C290="",99,IF(AND($BB290&lt;1,Z$3&gt;=MAX(N($P290),N($S290))),4,99))</f>
        <v/>
      </c>
      <c r="BQ290">
        <f>IF($C290="",99,IF(AND($BC290&lt;1,AA$3&gt;=MAX(N($P290),N($S290))),5,99))</f>
        <v/>
      </c>
      <c r="BR290">
        <f>IF($C290="",99,IF(AND($BD290&lt;1,AB$3&gt;=MAX(N($P290),N($S290))),6,99))</f>
        <v/>
      </c>
      <c r="BS290">
        <f>IF($C290="",99,IF(AND($BE290&lt;1,AC$3&gt;=MAX(N($P290),N($S290))),7,99))</f>
        <v/>
      </c>
      <c r="BT290">
        <f>IF($C290="",99,IF(AND($BF290&lt;1,AD$3&gt;=MAX(N($P290),N($S290))),8,99))</f>
        <v/>
      </c>
      <c r="BU290">
        <f>IF($C290="",99,IF(AND($BG290&lt;1,AE$3&gt;=MAX(N($P290),N($S290))),9,99))</f>
        <v/>
      </c>
      <c r="BV290">
        <f>IF($C290="",99,IF(AND($BH290&lt;1,AF$3&gt;=MAX(N($P290),N($S290))),10,99))</f>
        <v/>
      </c>
      <c r="BW290">
        <f>IF($C290="",99,IF(AND($BI290&lt;1,AG$3&gt;=MAX(N($P290),N($S290))),11,99))</f>
        <v/>
      </c>
      <c r="BX290">
        <f>IF($C290="",99,IF(AND($BJ290&lt;1,AH$3&gt;=MAX(N($P290),N($S290))),12,99))</f>
        <v/>
      </c>
      <c r="BY290">
        <f>IF($C290="",99,IF(AND($BK290&lt;1,AI$3&gt;=MAX(N($P290),N($S290))),13,99))</f>
        <v/>
      </c>
      <c r="BZ290">
        <f>IF(OR($C290="",$M290=""),"",COUNTIF($AJ290:$AW290,"&gt;=1"))</f>
        <v/>
      </c>
      <c r="CA290" s="90">
        <f>IF($BZ290="","",IF($BZ290&gt;=14,"",'設定'!$C$6+$BZ290))</f>
        <v/>
      </c>
      <c r="CB290">
        <f>IF(OR($C290="",$M290=""),"",MIN($BL290:$BY290))</f>
        <v/>
      </c>
      <c r="CC290" s="90">
        <f>IF($CB290="","",IF($CB290&gt;=99,"",'設定'!$C$6+$CB290))</f>
        <v/>
      </c>
      <c r="CD290">
        <f>IF(OR($C290="",$M290=""),"",AVERAGE($V290:$AI290))</f>
        <v/>
      </c>
      <c r="CE290">
        <f>IF($C290="","",IFERROR(IF(MATCH(IF(ISNUMBER($P290),$P290,'設定'!$C$6+N('設定'!$C$7)),$V$3:$AI$3,0)=1,MAX(0,N($L290)),INDEX($AJ290:$AW290,MATCH(IF(ISNUMBER($P290),$P290,'設定'!$C$6+N('設定'!$C$7)),$V$3:$AI$3,0)-1)),""))</f>
        <v/>
      </c>
      <c r="CF290">
        <f>IF(OR($C290="",$O290="",$CE290=""),"",IF($O290-$CE290&lt;=0,0,ROUNDUP(($O290-$CE290)/$G290,0)))</f>
        <v/>
      </c>
      <c r="CG290">
        <f>IF(OR($C290="",$CF290="",NOT(ISNUMBER($Q290))),0,MAX(0,$Q290-$CF290))</f>
        <v/>
      </c>
      <c r="CH290">
        <f>IF(OR($C290="",$O290="",$U290=0),0,IFERROR(ROUNDUP(MAX(0,IF(MATCH($S290,$V$3:$AI$3,0)=1,MAX(0,N($L290)),INDEX($AX290:$BK290,MATCH($S290,$V$3:$AI$3,0)-1))+$U290-$O290)/$G290,0),0))</f>
        <v/>
      </c>
      <c r="CI290">
        <f>IF($C290="","",IF(AND($P290="",$Q290=""),"",IF($P290="","⚠ 入庫日を ▼ から選んでください",IF(NOT(ISNUMBER($P290)),"⚠ 入庫日は ▼ から選んでください",IF($P290&lt;N('設定'!$C$6),"⚠ 入庫日が過去です（もう在庫に入っています）→ 消してください",IF($P290&gt;N('設定'!$C$6)+13,"⚠ 入庫日が14日より先です",IF(N($Q290)&lt;=0,"⚠ 入庫数を入れてください",IF($CG290&gt;0,"⚠ 目安より "&amp;$CG290&amp;" 多い（定数を超える）→ 減らす",""))))))))</f>
        <v/>
      </c>
      <c r="CJ290">
        <f>IF($C290="","",IF(AND($S290="",$T290=""),"",IF($S290="","⚠ 2便目：入庫日を ▼ から選んでください",IF(NOT(ISNUMBER($S290)),"⚠ 2便目：入庫日は ▼ から選んでください",IF($S290&lt;N('設定'!$C$6),"⚠ 2便目：入庫日が過去です（もう在庫に入っています）→ 消してください",IF($S290&gt;N('設定'!$C$6)+13,"⚠ 2便目：入庫日が14日より先です",IF(N($T290)&lt;=0,"⚠ 2便目：入庫数を入れてください",IF($CH290&gt;0,"⚠ 2便目：定数を "&amp;$CH290&amp;" ケース超える → 減らす",""))))))))</f>
        <v/>
      </c>
      <c r="CK290">
        <f>IF(AND($CI290="",N($Q290)&gt;0,ISNUMBER($P290)),1,0)</f>
        <v/>
      </c>
      <c r="CL290">
        <f>IF(AND($CJ290="",N($T290)&gt;0,ISNUMBER($S290)),1,0)</f>
        <v/>
      </c>
      <c r="CM290">
        <f>IF(OR($CK290=1,$CL290=1),1,0)</f>
        <v/>
      </c>
      <c r="CN290">
        <f>IF($C290="",0,($CK290*$R290+$CL290*$U290)*N($H290))</f>
        <v/>
      </c>
      <c r="CO290">
        <f>IF($C290="","",IF($CC290="","入庫後は 14日以上もつ",IF($CC290-N('設定'!$C$7)&lt;='設定'!$C$6,"入庫後も "&amp;TEXT($CC290,"m/d")&amp;"("&amp;CHOOSE(WEEKDAY($CC290),"日","月","火","水","木","金","土")&amp;")"&amp;" に切れる　もう1便を至急発注","入庫後も "&amp;TEXT($CC290,"m/d")&amp;"("&amp;CHOOSE(WEEKDAY($CC290),"日","月","火","水","木","金","土")&amp;")"&amp;" に切れる　"&amp;TEXT($CC290-N('設定'!$C$7),"m/d")&amp;"("&amp;CHOOSE(WEEKDAY($CC290-N('設定'!$C$7)),"日","月","火","水","木","金","土")&amp;")"&amp;" までに次を発注")))</f>
        <v/>
      </c>
      <c r="CP290">
        <f>IF($C290="","",IF('設定'!$C$6="","？ ①在庫を貼る に今日のCSVが貼られていない",IF($CS290=1,"－ 今日のCSVに無い（終売？）",IF($L290&lt;0,"● 在庫がマイナス　数えて「数えた在庫」に入れる",IF($L290=0,"● 在庫なし　至急発注",IF($M290="","？ 減り数が未設定（商品マスタ）",IF($B$3=0,"？ 動員が未入力（動員を入れる）",IF($CA290="","○ 14日以上もつ",IF($BZ290&lt;N('設定'!$C$7),"● "&amp;TEXT($CA290,"m/d")&amp;"("&amp;CHOOSE(WEEKDAY($CA290),"日","月","火","水","木","金","土")&amp;")"&amp;" に切れる　至急発注",IF($BZ290=N('設定'!$C$7),"● "&amp;TEXT($CA290,"m/d")&amp;"("&amp;CHOOSE(WEEKDAY($CA290),"日","月","火","水","木","金","土")&amp;")"&amp;" に切れる　今日発注","△ "&amp;TEXT($CA290,"m/d")&amp;"("&amp;CHOOSE(WEEKDAY($CA290),"日","月","火","水","木","金","土")&amp;")"&amp;" に切れる　"&amp;TEXT($CA290-N('設定'!$C$7),"m/d")&amp;"("&amp;CHOOSE(WEEKDAY($CA290-N('設定'!$C$7)),"日","月","火","水","木","金","土")&amp;")"&amp;" までに発注"))))))))))</f>
        <v/>
      </c>
      <c r="CQ290">
        <f>IF($C290="","",IF(AND($P290="",$Q290="",$S290="",$T290=""),"",IF(AND($P290="",$Q290=""),"⚠ 先に1便目（左の入庫日・入庫数）に入れてください",IF($CI290&lt;&gt;"",$CI290,IF($CJ290&lt;&gt;"",$CJ290,IF($M290="","？ 減り数が未設定（発注書には載ります）",IF($B$3=0,"？ 動員が未入力（発注書には載ります）",IF(AND($CA290&lt;&gt;"",$P290&gt;$CA290),IF($P290&gt;'設定'!$C$6+N('設定'!$C$7),"● "&amp;TEXT($P290,"m/d")&amp;"("&amp;CHOOSE(WEEKDAY($P290),"日","月","火","水","木","金","土")&amp;")"&amp;" の入庫では間に合わない（"&amp;TEXT($CA290,"m/d")&amp;"("&amp;CHOOSE(WEEKDAY($CA290),"日","月","火","水","木","金","土")&amp;")"&amp;" に切れる）　入庫日を早める","△ 欠品 "&amp;TEXT($CA290,"m/d")&amp;"("&amp;CHOOSE(WEEKDAY($CA290),"日","月","火","水","木","金","土")&amp;")"&amp;"〜"&amp;TEXT($P290-1,"m/d")&amp;"("&amp;CHOOSE(WEEKDAY($P290-1),"日","月","火","水","木","金","土")&amp;")"&amp;"　"&amp;$CO290),IF($CC290="","○ "&amp;TEXT($P290,"m/d")&amp;"("&amp;CHOOSE(WEEKDAY($P290),"日","月","火","水","木","金","土")&amp;")"&amp;" 入庫で 14日以上もつ",IF($CC290-N('設定'!$C$7)&lt;='設定'!$C$6,"● 入庫しても "&amp;TEXT($CC290,"m/d")&amp;"("&amp;CHOOSE(WEEKDAY($CC290),"日","月","火","水","木","金","土")&amp;")"&amp;" に切れる　もう1便を至急発注（2便目に入れる）","△ 入庫しても "&amp;TEXT($CC290,"m/d")&amp;"("&amp;CHOOSE(WEEKDAY($CC290),"日","月","火","水","木","金","土")&amp;")"&amp;" に切れる　"&amp;TEXT($CC290-N('設定'!$C$7),"m/d")&amp;"("&amp;CHOOSE(WEEKDAY($CC290-N('設定'!$C$7)),"日","月","火","水","木","金","土")&amp;")"&amp;" までに次を発注（2便目に入れる）"))))))))))</f>
        <v/>
      </c>
      <c r="CR290">
        <f>IF($C290="","",IF($G290&gt;1,"ｹｰｽ("&amp;$G290&amp;"入)","個"))</f>
        <v/>
      </c>
      <c r="CS290">
        <f>IF($C290="",0,IF(COUNTIFS('①在庫を貼る'!$V$6:$V$10005,'設定'!$C$4,'①在庫を貼る'!$W$6:$W$10005,$C290)=0,1,0))</f>
        <v/>
      </c>
      <c r="CT290">
        <f>IF(AND($CK290=1,OR('③発注書'!$C$4="すべて",'③発注書'!$C$4="",$F290='③発注書'!$C$4)),N($CT289)+1,N($CT289))</f>
        <v/>
      </c>
      <c r="CU290">
        <f>IF(AND($CL290=1,OR('③発注書'!$C$4="すべて",'③発注書'!$C$4="",$F290='③発注書'!$C$4)),N($CU289)+1,N($CU289))</f>
        <v/>
      </c>
      <c r="CV290">
        <f>IF($C290="",0,IF(COUNTIFS('①在庫を貼る'!$V$6:$V$10005,'設定'!$C$4,'①在庫を貼る'!$W$6:$W$10005,$C290)&gt;0,1,0))</f>
        <v/>
      </c>
      <c r="CW290">
        <f>IF($C290="",0,IF(COUNTIFS('月1回_1ヶ月前の在庫'!$V$6:$V$10005,'設定'!$C$4,'月1回_1ヶ月前の在庫'!$W$6:$W$10005,$C290)&gt;0,1,0))</f>
        <v/>
      </c>
      <c r="CX290">
        <f>IF($C290="",0,IF(COUNTIFS('月1回_2ヶ月前の在庫'!$V$6:$V$10005,'設定'!$C$4,'月1回_2ヶ月前の在庫'!$W$6:$W$10005,$C290)&gt;0,1,0))</f>
        <v/>
      </c>
      <c r="CY290">
        <f>IF(OR($C290="",'設定'!$C$12=""),"",IF('設定'!$C$13="",IF(AND($CV290=1,$CW290=0),"新商品（今月から）",IF(AND($CV290=0,$CW290=1),"終売（今月から）","")),IF(AND($CV290=1,$CW290=0,$CX290=0),"新商品（今月から）",IF(AND($CV290=1,$CW290=1,$CX290=0),"新商品（先月から）",IF(AND($CV290=0,$CW290=1,$CX290=1),"終売（今月から）",IF(AND($CV290=0,$CW290=0,$CX290=1),"終売（先月から）",IF(AND($CV290=1,$CW290=0,$CX290=1),"復活（先月は無し）","")))))))</f>
        <v/>
      </c>
    </row>
    <row r="291">
      <c r="B291">
        <f>IF(286&lt;='設定'!$C$11,286,"")</f>
        <v/>
      </c>
      <c r="C291">
        <f>IF($B291="","",IF($B291&lt;='設定'!$C$20,INDEX('商品マスタ'!$B$6:$B$1005,MATCH($B291,'商品マスタ'!$M$6:$M$1005,0)),IF($B291&lt;='設定'!$C$20+'設定'!$C$17,INDEX('①在庫を貼る'!$W$6:$W$10005,MATCH($B291-'設定'!$C$20,'①在庫を貼る'!$U$6:$U$10005,0)),IF($B291&lt;='設定'!$C$20+'設定'!$C$17+'設定'!$C$18,INDEX('月1回_1ヶ月前の在庫'!$W$6:$W$10005,MATCH($B291-'設定'!$C$20-'設定'!$C$17,'月1回_1ヶ月前の在庫'!$U$6:$U$10005,0)),INDEX('月1回_2ヶ月前の在庫'!$W$6:$W$10005,MATCH($B291-'設定'!$C$20-'設定'!$C$17-'設定'!$C$18,'月1回_2ヶ月前の在庫'!$U$6:$U$10005,0))))))</f>
        <v/>
      </c>
      <c r="D291">
        <f>IF($C291="","",IFERROR(IF(INDEX('商品マスタ'!$C$6:$C$1005,MATCH($C291,'商品マスタ'!$B$6:$B$1005,0))="",IFERROR(INDEX('①在庫を貼る'!$J$6:$J$10005,MATCH($C291,'①在庫を貼る'!$W$6:$W$10005,0)),IFERROR(INDEX('月1回_1ヶ月前の在庫'!$J$6:$J$10005,MATCH($C291,'月1回_1ヶ月前の在庫'!$W$6:$W$10005,0)),IFERROR(INDEX('月1回_2ヶ月前の在庫'!$J$6:$J$10005,MATCH($C291,'月1回_2ヶ月前の在庫'!$W$6:$W$10005,0)),""))),INDEX('商品マスタ'!$C$6:$C$1005,MATCH($C291,'商品マスタ'!$B$6:$B$1005,0))),IFERROR(INDEX('①在庫を貼る'!$J$6:$J$10005,MATCH($C291,'①在庫を貼る'!$W$6:$W$10005,0)),IFERROR(INDEX('月1回_1ヶ月前の在庫'!$J$6:$J$10005,MATCH($C291,'月1回_1ヶ月前の在庫'!$W$6:$W$10005,0)),IFERROR(INDEX('月1回_2ヶ月前の在庫'!$J$6:$J$10005,MATCH($C291,'月1回_2ヶ月前の在庫'!$W$6:$W$10005,0)),"")))))</f>
        <v/>
      </c>
      <c r="E291">
        <f>IF($C291="","",IFERROR(IF(INDEX('商品マスタ'!$D$6:$D$1005,MATCH($C291,'商品マスタ'!$B$6:$B$1005,0))="",IFERROR(INDEX('①在庫を貼る'!$H$6:$H$10005,MATCH($C291,'①在庫を貼る'!$W$6:$W$10005,0)),IFERROR(INDEX('月1回_1ヶ月前の在庫'!$H$6:$H$10005,MATCH($C291,'月1回_1ヶ月前の在庫'!$W$6:$W$10005,0)),IFERROR(INDEX('月1回_2ヶ月前の在庫'!$H$6:$H$10005,MATCH($C291,'月1回_2ヶ月前の在庫'!$W$6:$W$10005,0)),""))),INDEX('商品マスタ'!$D$6:$D$1005,MATCH($C291,'商品マスタ'!$B$6:$B$1005,0))),IFERROR(INDEX('①在庫を貼る'!$H$6:$H$10005,MATCH($C291,'①在庫を貼る'!$W$6:$W$10005,0)),IFERROR(INDEX('月1回_1ヶ月前の在庫'!$H$6:$H$10005,MATCH($C291,'月1回_1ヶ月前の在庫'!$W$6:$W$10005,0)),IFERROR(INDEX('月1回_2ヶ月前の在庫'!$H$6:$H$10005,MATCH($C291,'月1回_2ヶ月前の在庫'!$W$6:$W$10005,0)),"")))))</f>
        <v/>
      </c>
      <c r="F291">
        <f>IF($C291="","",IFERROR(IF(INDEX('商品マスタ'!$E$6:$E$1005,MATCH($C291,'商品マスタ'!$B$6:$B$1005,0))="",IFERROR(INDEX('①在庫を貼る'!$E$6:$E$10005,MATCH($C291,'①在庫を貼る'!$W$6:$W$10005,0)),IFERROR(INDEX('月1回_1ヶ月前の在庫'!$E$6:$E$10005,MATCH($C291,'月1回_1ヶ月前の在庫'!$W$6:$W$10005,0)),IFERROR(INDEX('月1回_2ヶ月前の在庫'!$E$6:$E$10005,MATCH($C291,'月1回_2ヶ月前の在庫'!$W$6:$W$10005,0)),""))),INDEX('商品マスタ'!$E$6:$E$1005,MATCH($C291,'商品マスタ'!$B$6:$B$1005,0))),IFERROR(INDEX('①在庫を貼る'!$E$6:$E$10005,MATCH($C291,'①在庫を貼る'!$W$6:$W$10005,0)),IFERROR(INDEX('月1回_1ヶ月前の在庫'!$E$6:$E$10005,MATCH($C291,'月1回_1ヶ月前の在庫'!$W$6:$W$10005,0)),IFERROR(INDEX('月1回_2ヶ月前の在庫'!$E$6:$E$10005,MATCH($C291,'月1回_2ヶ月前の在庫'!$W$6:$W$10005,0)),"")))))</f>
        <v/>
      </c>
      <c r="G291">
        <f>IF($C291="","",MAX(1,N(IFERROR(IF(INDEX('商品マスタ'!$F$6:$F$1005,MATCH($C291,'商品マスタ'!$B$6:$B$1005,0))="",IF(COUNTIFS('①在庫を貼る'!$V$6:$V$10005,'設定'!$C$4,'①在庫を貼る'!$W$6:$W$10005,$C291)&gt;0,SUMIFS('①在庫を貼る'!$K$6:$K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K$6:$K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K$6:$K$10005,'月1回_2ヶ月前の在庫'!$V$6:$V$10005,'設定'!$C$4,'月1回_2ヶ月前の在庫'!$W$6:$W$10005,$C291)/COUNTIFS('月1回_2ヶ月前の在庫'!$V$6:$V$10005,'設定'!$C$4,'月1回_2ヶ月前の在庫'!$W$6:$W$10005,$C291),0))),INDEX('商品マスタ'!$F$6:$F$1005,MATCH($C291,'商品マスタ'!$B$6:$B$1005,0))),IF(COUNTIFS('①在庫を貼る'!$V$6:$V$10005,'設定'!$C$4,'①在庫を貼る'!$W$6:$W$10005,$C291)&gt;0,SUMIFS('①在庫を貼る'!$K$6:$K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K$6:$K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K$6:$K$10005,'月1回_2ヶ月前の在庫'!$V$6:$V$10005,'設定'!$C$4,'月1回_2ヶ月前の在庫'!$W$6:$W$10005,$C291)/COUNTIFS('月1回_2ヶ月前の在庫'!$V$6:$V$10005,'設定'!$C$4,'月1回_2ヶ月前の在庫'!$W$6:$W$10005,$C291),0)))))))</f>
        <v/>
      </c>
      <c r="H291">
        <f>IF($C291="","",N(IFERROR(IF(INDEX('商品マスタ'!$G$6:$G$1005,MATCH($C291,'商品マスタ'!$B$6:$B$1005,0))="",IF(COUNTIFS('①在庫を貼る'!$V$6:$V$10005,'設定'!$C$4,'①在庫を貼る'!$W$6:$W$10005,$C291)&gt;0,SUMIFS('①在庫を貼る'!$Q$6:$Q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Q$6:$Q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Q$6:$Q$10005,'月1回_2ヶ月前の在庫'!$V$6:$V$10005,'設定'!$C$4,'月1回_2ヶ月前の在庫'!$W$6:$W$10005,$C291)/COUNTIFS('月1回_2ヶ月前の在庫'!$V$6:$V$10005,'設定'!$C$4,'月1回_2ヶ月前の在庫'!$W$6:$W$10005,$C291),0))),INDEX('商品マスタ'!$G$6:$G$1005,MATCH($C291,'商品マスタ'!$B$6:$B$1005,0))),IF(COUNTIFS('①在庫を貼る'!$V$6:$V$10005,'設定'!$C$4,'①在庫を貼る'!$W$6:$W$10005,$C291)&gt;0,SUMIFS('①在庫を貼る'!$Q$6:$Q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Q$6:$Q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Q$6:$Q$10005,'月1回_2ヶ月前の在庫'!$V$6:$V$10005,'設定'!$C$4,'月1回_2ヶ月前の在庫'!$W$6:$W$10005,$C291)/COUNTIFS('月1回_2ヶ月前の在庫'!$V$6:$V$10005,'設定'!$C$4,'月1回_2ヶ月前の在庫'!$W$6:$W$10005,$C291),0))))))</f>
        <v/>
      </c>
      <c r="I291">
        <f>IF($C291="","",IF(COUNTIFS('①在庫を貼る'!$V$6:$V$10005,'設定'!$C$4,'①在庫を貼る'!$W$6:$W$10005,$C291)=0,"",SUMIFS('①在庫を貼る'!$N$6:$N$10005,'①在庫を貼る'!$V$6:$V$10005,'設定'!$C$4,'①在庫を貼る'!$W$6:$W$10005,$C291)))</f>
        <v/>
      </c>
      <c r="J291">
        <f>IF($C291="","",IF('②発注する'!$AD295="","",'②発注する'!$AD295))</f>
        <v/>
      </c>
      <c r="K291" s="90">
        <f>IF($C291="","",IF('②発注する'!$AE295="","",'②発注する'!$AE295))</f>
        <v/>
      </c>
      <c r="L291">
        <f>IF($C291="","",IF(AND(ISNUMBER($J291),ISNUMBER($K291),$K291&gt;='設定'!$C$6),$J291,N($I291)))</f>
        <v/>
      </c>
      <c r="M291">
        <f>IF($C291="","",IFERROR(IF(N(INDEX('商品マスタ'!$J$6:$J$1005,MATCH($C291,'商品マスタ'!$B$6:$B$1005,0)))&gt;0,INDEX('商品マスタ'!$J$6:$J$1005,MATCH($C291,'商品マスタ'!$B$6:$B$1005,0)),""),""))</f>
        <v/>
      </c>
      <c r="N291">
        <f>IF($C291="","",IFERROR(IF(N(INDEX('商品マスタ'!$H$6:$H$1005,MATCH($C291,'商品マスタ'!$B$6:$B$1005,0)))&gt;0,INDEX('商品マスタ'!$H$6:$H$1005,MATCH($C291,'商品マスタ'!$B$6:$B$1005,0)),""),""))</f>
        <v/>
      </c>
      <c r="O291">
        <f>IF($C291="","",IF($N291&lt;&gt;"",$N291*$G291,IF(N(IF(COUNTIFS('①在庫を貼る'!$V$6:$V$10005,'設定'!$C$4,'①在庫を貼る'!$W$6:$W$10005,$C291)&gt;0,SUMIFS('①在庫を貼る'!$O$6:$O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O$6:$O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O$6:$O$10005,'月1回_2ヶ月前の在庫'!$V$6:$V$10005,'設定'!$C$4,'月1回_2ヶ月前の在庫'!$W$6:$W$10005,$C291)/COUNTIFS('月1回_2ヶ月前の在庫'!$V$6:$V$10005,'設定'!$C$4,'月1回_2ヶ月前の在庫'!$W$6:$W$10005,$C291),0))))&gt;0,N(IF(COUNTIFS('①在庫を貼る'!$V$6:$V$10005,'設定'!$C$4,'①在庫を貼る'!$W$6:$W$10005,$C291)&gt;0,SUMIFS('①在庫を貼る'!$O$6:$O$10005,'①在庫を貼る'!$V$6:$V$10005,'設定'!$C$4,'①在庫を貼る'!$W$6:$W$10005,$C291)/COUNTIFS('①在庫を貼る'!$V$6:$V$10005,'設定'!$C$4,'①在庫を貼る'!$W$6:$W$10005,$C291),IF(COUNTIFS('月1回_1ヶ月前の在庫'!$V$6:$V$10005,'設定'!$C$4,'月1回_1ヶ月前の在庫'!$W$6:$W$10005,$C291)&gt;0,SUMIFS('月1回_1ヶ月前の在庫'!$O$6:$O$10005,'月1回_1ヶ月前の在庫'!$V$6:$V$10005,'設定'!$C$4,'月1回_1ヶ月前の在庫'!$W$6:$W$10005,$C291)/COUNTIFS('月1回_1ヶ月前の在庫'!$V$6:$V$10005,'設定'!$C$4,'月1回_1ヶ月前の在庫'!$W$6:$W$10005,$C291),IF(COUNTIFS('月1回_2ヶ月前の在庫'!$V$6:$V$10005,'設定'!$C$4,'月1回_2ヶ月前の在庫'!$W$6:$W$10005,$C291)&gt;0,SUMIFS('月1回_2ヶ月前の在庫'!$O$6:$O$10005,'月1回_2ヶ月前の在庫'!$V$6:$V$10005,'設定'!$C$4,'月1回_2ヶ月前の在庫'!$W$6:$W$10005,$C291)/COUNTIFS('月1回_2ヶ月前の在庫'!$V$6:$V$10005,'設定'!$C$4,'月1回_2ヶ月前の在庫'!$W$6:$W$10005,$C291),0)))),"")))</f>
        <v/>
      </c>
      <c r="P291" s="90">
        <f>IF($C291="","",IF('②発注する'!$I295="","",'②発注する'!$I295))</f>
        <v/>
      </c>
      <c r="Q291">
        <f>IF($C291="","",IF('②発注する'!$J295="","",'②発注する'!$J295))</f>
        <v/>
      </c>
      <c r="R291">
        <f>IF($C291="",0,IF(AND(ISNUMBER($P291),ISNUMBER($Q291)),MAX(0,$Q291)*$G291,0))</f>
        <v/>
      </c>
      <c r="S291" s="90">
        <f>IF($C291="","",IF('②発注する'!$M295="","",'②発注する'!$M295))</f>
        <v/>
      </c>
      <c r="T291">
        <f>IF($C291="","",IF('②発注する'!$N295="","",'②発注する'!$N295))</f>
        <v/>
      </c>
      <c r="U291">
        <f>IF($C291="",0,IF(AND(ISNUMBER($S291),ISNUMBER($T291)),MAX(0,$T291)*$G291,0))</f>
        <v/>
      </c>
      <c r="V291">
        <f>IF($C291="",0,IF($M291="",0,MAX(0,$M291)*MAX(0,V$4)/100))</f>
        <v/>
      </c>
      <c r="W291">
        <f>IF($C291="",0,IF($M291="",0,MAX(0,$M291)*MAX(0,W$4)/100))</f>
        <v/>
      </c>
      <c r="X291">
        <f>IF($C291="",0,IF($M291="",0,MAX(0,$M291)*MAX(0,X$4)/100))</f>
        <v/>
      </c>
      <c r="Y291">
        <f>IF($C291="",0,IF($M291="",0,MAX(0,$M291)*MAX(0,Y$4)/100))</f>
        <v/>
      </c>
      <c r="Z291">
        <f>IF($C291="",0,IF($M291="",0,MAX(0,$M291)*MAX(0,Z$4)/100))</f>
        <v/>
      </c>
      <c r="AA291">
        <f>IF($C291="",0,IF($M291="",0,MAX(0,$M291)*MAX(0,AA$4)/100))</f>
        <v/>
      </c>
      <c r="AB291">
        <f>IF($C291="",0,IF($M291="",0,MAX(0,$M291)*MAX(0,AB$4)/100))</f>
        <v/>
      </c>
      <c r="AC291">
        <f>IF($C291="",0,IF($M291="",0,MAX(0,$M291)*MAX(0,AC$4)/100))</f>
        <v/>
      </c>
      <c r="AD291">
        <f>IF($C291="",0,IF($M291="",0,MAX(0,$M291)*MAX(0,AD$4)/100))</f>
        <v/>
      </c>
      <c r="AE291">
        <f>IF($C291="",0,IF($M291="",0,MAX(0,$M291)*MAX(0,AE$4)/100))</f>
        <v/>
      </c>
      <c r="AF291">
        <f>IF($C291="",0,IF($M291="",0,MAX(0,$M291)*MAX(0,AF$4)/100))</f>
        <v/>
      </c>
      <c r="AG291">
        <f>IF($C291="",0,IF($M291="",0,MAX(0,$M291)*MAX(0,AG$4)/100))</f>
        <v/>
      </c>
      <c r="AH291">
        <f>IF($C291="",0,IF($M291="",0,MAX(0,$M291)*MAX(0,AH$4)/100))</f>
        <v/>
      </c>
      <c r="AI291">
        <f>IF($C291="",0,IF($M291="",0,MAX(0,$M291)*MAX(0,AI$4)/100))</f>
        <v/>
      </c>
      <c r="AJ291">
        <f>IF($C291="",0,MAX(0,MAX(0,N($L291))-$V291))</f>
        <v/>
      </c>
      <c r="AK291">
        <f>IF($C291="",0,MAX(0,$AJ291-$W291))</f>
        <v/>
      </c>
      <c r="AL291">
        <f>IF($C291="",0,MAX(0,$AK291-$X291))</f>
        <v/>
      </c>
      <c r="AM291">
        <f>IF($C291="",0,MAX(0,$AL291-$Y291))</f>
        <v/>
      </c>
      <c r="AN291">
        <f>IF($C291="",0,MAX(0,$AM291-$Z291))</f>
        <v/>
      </c>
      <c r="AO291">
        <f>IF($C291="",0,MAX(0,$AN291-$AA291))</f>
        <v/>
      </c>
      <c r="AP291">
        <f>IF($C291="",0,MAX(0,$AO291-$AB291))</f>
        <v/>
      </c>
      <c r="AQ291">
        <f>IF($C291="",0,MAX(0,$AP291-$AC291))</f>
        <v/>
      </c>
      <c r="AR291">
        <f>IF($C291="",0,MAX(0,$AQ291-$AD291))</f>
        <v/>
      </c>
      <c r="AS291">
        <f>IF($C291="",0,MAX(0,$AR291-$AE291))</f>
        <v/>
      </c>
      <c r="AT291">
        <f>IF($C291="",0,MAX(0,$AS291-$AF291))</f>
        <v/>
      </c>
      <c r="AU291">
        <f>IF($C291="",0,MAX(0,$AT291-$AG291))</f>
        <v/>
      </c>
      <c r="AV291">
        <f>IF($C291="",0,MAX(0,$AU291-$AH291))</f>
        <v/>
      </c>
      <c r="AW291">
        <f>IF($C291="",0,MAX(0,$AV291-$AI291))</f>
        <v/>
      </c>
      <c r="AX291">
        <f>IF($C291="",0,MAX(0,MAX(0,N($L291))+IF($P291=V$3,$R291,0)+IF($S291=V$3,$U291,0)-$V291))</f>
        <v/>
      </c>
      <c r="AY291">
        <f>IF($C291="",0,MAX(0,$AX291+IF($P291=W$3,$R291,0)+IF($S291=W$3,$U291,0)-$W291))</f>
        <v/>
      </c>
      <c r="AZ291">
        <f>IF($C291="",0,MAX(0,$AY291+IF($P291=X$3,$R291,0)+IF($S291=X$3,$U291,0)-$X291))</f>
        <v/>
      </c>
      <c r="BA291">
        <f>IF($C291="",0,MAX(0,$AZ291+IF($P291=Y$3,$R291,0)+IF($S291=Y$3,$U291,0)-$Y291))</f>
        <v/>
      </c>
      <c r="BB291">
        <f>IF($C291="",0,MAX(0,$BA291+IF($P291=Z$3,$R291,0)+IF($S291=Z$3,$U291,0)-$Z291))</f>
        <v/>
      </c>
      <c r="BC291">
        <f>IF($C291="",0,MAX(0,$BB291+IF($P291=AA$3,$R291,0)+IF($S291=AA$3,$U291,0)-$AA291))</f>
        <v/>
      </c>
      <c r="BD291">
        <f>IF($C291="",0,MAX(0,$BC291+IF($P291=AB$3,$R291,0)+IF($S291=AB$3,$U291,0)-$AB291))</f>
        <v/>
      </c>
      <c r="BE291">
        <f>IF($C291="",0,MAX(0,$BD291+IF($P291=AC$3,$R291,0)+IF($S291=AC$3,$U291,0)-$AC291))</f>
        <v/>
      </c>
      <c r="BF291">
        <f>IF($C291="",0,MAX(0,$BE291+IF($P291=AD$3,$R291,0)+IF($S291=AD$3,$U291,0)-$AD291))</f>
        <v/>
      </c>
      <c r="BG291">
        <f>IF($C291="",0,MAX(0,$BF291+IF($P291=AE$3,$R291,0)+IF($S291=AE$3,$U291,0)-$AE291))</f>
        <v/>
      </c>
      <c r="BH291">
        <f>IF($C291="",0,MAX(0,$BG291+IF($P291=AF$3,$R291,0)+IF($S291=AF$3,$U291,0)-$AF291))</f>
        <v/>
      </c>
      <c r="BI291">
        <f>IF($C291="",0,MAX(0,$BH291+IF($P291=AG$3,$R291,0)+IF($S291=AG$3,$U291,0)-$AG291))</f>
        <v/>
      </c>
      <c r="BJ291">
        <f>IF($C291="",0,MAX(0,$BI291+IF($P291=AH$3,$R291,0)+IF($S291=AH$3,$U291,0)-$AH291))</f>
        <v/>
      </c>
      <c r="BK291">
        <f>IF($C291="",0,MAX(0,$BJ291+IF($P291=AI$3,$R291,0)+IF($S291=AI$3,$U291,0)-$AI291))</f>
        <v/>
      </c>
      <c r="BL291">
        <f>IF($C291="",99,IF(AND($AX291&lt;1,V$3&gt;=MAX(N($P291),N($S291))),0,99))</f>
        <v/>
      </c>
      <c r="BM291">
        <f>IF($C291="",99,IF(AND($AY291&lt;1,W$3&gt;=MAX(N($P291),N($S291))),1,99))</f>
        <v/>
      </c>
      <c r="BN291">
        <f>IF($C291="",99,IF(AND($AZ291&lt;1,X$3&gt;=MAX(N($P291),N($S291))),2,99))</f>
        <v/>
      </c>
      <c r="BO291">
        <f>IF($C291="",99,IF(AND($BA291&lt;1,Y$3&gt;=MAX(N($P291),N($S291))),3,99))</f>
        <v/>
      </c>
      <c r="BP291">
        <f>IF($C291="",99,IF(AND($BB291&lt;1,Z$3&gt;=MAX(N($P291),N($S291))),4,99))</f>
        <v/>
      </c>
      <c r="BQ291">
        <f>IF($C291="",99,IF(AND($BC291&lt;1,AA$3&gt;=MAX(N($P291),N($S291))),5,99))</f>
        <v/>
      </c>
      <c r="BR291">
        <f>IF($C291="",99,IF(AND($BD291&lt;1,AB$3&gt;=MAX(N($P291),N($S291))),6,99))</f>
        <v/>
      </c>
      <c r="BS291">
        <f>IF($C291="",99,IF(AND($BE291&lt;1,AC$3&gt;=MAX(N($P291),N($S291))),7,99))</f>
        <v/>
      </c>
      <c r="BT291">
        <f>IF($C291="",99,IF(AND($BF291&lt;1,AD$3&gt;=MAX(N($P291),N($S291))),8,99))</f>
        <v/>
      </c>
      <c r="BU291">
        <f>IF($C291="",99,IF(AND($BG291&lt;1,AE$3&gt;=MAX(N($P291),N($S291))),9,99))</f>
        <v/>
      </c>
      <c r="BV291">
        <f>IF($C291="",99,IF(AND($BH291&lt;1,AF$3&gt;=MAX(N($P291),N($S291))),10,99))</f>
        <v/>
      </c>
      <c r="BW291">
        <f>IF($C291="",99,IF(AND($BI291&lt;1,AG$3&gt;=MAX(N($P291),N($S291))),11,99))</f>
        <v/>
      </c>
      <c r="BX291">
        <f>IF($C291="",99,IF(AND($BJ291&lt;1,AH$3&gt;=MAX(N($P291),N($S291))),12,99))</f>
        <v/>
      </c>
      <c r="BY291">
        <f>IF($C291="",99,IF(AND($BK291&lt;1,AI$3&gt;=MAX(N($P291),N($S291))),13,99))</f>
        <v/>
      </c>
      <c r="BZ291">
        <f>IF(OR($C291="",$M291=""),"",COUNTIF($AJ291:$AW291,"&gt;=1"))</f>
        <v/>
      </c>
      <c r="CA291" s="90">
        <f>IF($BZ291="","",IF($BZ291&gt;=14,"",'設定'!$C$6+$BZ291))</f>
        <v/>
      </c>
      <c r="CB291">
        <f>IF(OR($C291="",$M291=""),"",MIN($BL291:$BY291))</f>
        <v/>
      </c>
      <c r="CC291" s="90">
        <f>IF($CB291="","",IF($CB291&gt;=99,"",'設定'!$C$6+$CB291))</f>
        <v/>
      </c>
      <c r="CD291">
        <f>IF(OR($C291="",$M291=""),"",AVERAGE($V291:$AI291))</f>
        <v/>
      </c>
      <c r="CE291">
        <f>IF($C291="","",IFERROR(IF(MATCH(IF(ISNUMBER($P291),$P291,'設定'!$C$6+N('設定'!$C$7)),$V$3:$AI$3,0)=1,MAX(0,N($L291)),INDEX($AJ291:$AW291,MATCH(IF(ISNUMBER($P291),$P291,'設定'!$C$6+N('設定'!$C$7)),$V$3:$AI$3,0)-1)),""))</f>
        <v/>
      </c>
      <c r="CF291">
        <f>IF(OR($C291="",$O291="",$CE291=""),"",IF($O291-$CE291&lt;=0,0,ROUNDUP(($O291-$CE291)/$G291,0)))</f>
        <v/>
      </c>
      <c r="CG291">
        <f>IF(OR($C291="",$CF291="",NOT(ISNUMBER($Q291))),0,MAX(0,$Q291-$CF291))</f>
        <v/>
      </c>
      <c r="CH291">
        <f>IF(OR($C291="",$O291="",$U291=0),0,IFERROR(ROUNDUP(MAX(0,IF(MATCH($S291,$V$3:$AI$3,0)=1,MAX(0,N($L291)),INDEX($AX291:$BK291,MATCH($S291,$V$3:$AI$3,0)-1))+$U291-$O291)/$G291,0),0))</f>
        <v/>
      </c>
      <c r="CI291">
        <f>IF($C291="","",IF(AND($P291="",$Q291=""),"",IF($P291="","⚠ 入庫日を ▼ から選んでください",IF(NOT(ISNUMBER($P291)),"⚠ 入庫日は ▼ から選んでください",IF($P291&lt;N('設定'!$C$6),"⚠ 入庫日が過去です（もう在庫に入っています）→ 消してください",IF($P291&gt;N('設定'!$C$6)+13,"⚠ 入庫日が14日より先です",IF(N($Q291)&lt;=0,"⚠ 入庫数を入れてください",IF($CG291&gt;0,"⚠ 目安より "&amp;$CG291&amp;" 多い（定数を超える）→ 減らす",""))))))))</f>
        <v/>
      </c>
      <c r="CJ291">
        <f>IF($C291="","",IF(AND($S291="",$T291=""),"",IF($S291="","⚠ 2便目：入庫日を ▼ から選んでください",IF(NOT(ISNUMBER($S291)),"⚠ 2便目：入庫日は ▼ から選んでください",IF($S291&lt;N('設定'!$C$6),"⚠ 2便目：入庫日が過去です（もう在庫に入っています）→ 消してください",IF($S291&gt;N('設定'!$C$6)+13,"⚠ 2便目：入庫日が14日より先です",IF(N($T291)&lt;=0,"⚠ 2便目：入庫数を入れてください",IF($CH291&gt;0,"⚠ 2便目：定数を "&amp;$CH291&amp;" ケース超える → 減らす",""))))))))</f>
        <v/>
      </c>
      <c r="CK291">
        <f>IF(AND($CI291="",N($Q291)&gt;0,ISNUMBER($P291)),1,0)</f>
        <v/>
      </c>
      <c r="CL291">
        <f>IF(AND($CJ291="",N($T291)&gt;0,ISNUMBER($S291)),1,0)</f>
        <v/>
      </c>
      <c r="CM291">
        <f>IF(OR($CK291=1,$CL291=1),1,0)</f>
        <v/>
      </c>
      <c r="CN291">
        <f>IF($C291="",0,($CK291*$R291+$CL291*$U291)*N($H291))</f>
        <v/>
      </c>
      <c r="CO291">
        <f>IF($C291="","",IF($CC291="","入庫後は 14日以上もつ",IF($CC291-N('設定'!$C$7)&lt;='設定'!$C$6,"入庫後も "&amp;TEXT($CC291,"m/d")&amp;"("&amp;CHOOSE(WEEKDAY($CC291),"日","月","火","水","木","金","土")&amp;")"&amp;" に切れる　もう1便を至急発注","入庫後も "&amp;TEXT($CC291,"m/d")&amp;"("&amp;CHOOSE(WEEKDAY($CC291),"日","月","火","水","木","金","土")&amp;")"&amp;" に切れる　"&amp;TEXT($CC291-N('設定'!$C$7),"m/d")&amp;"("&amp;CHOOSE(WEEKDAY($CC291-N('設定'!$C$7)),"日","月","火","水","木","金","土")&amp;")"&amp;" までに次を発注")))</f>
        <v/>
      </c>
      <c r="CP291">
        <f>IF($C291="","",IF('設定'!$C$6="","？ ①在庫を貼る に今日のCSVが貼られていない",IF($CS291=1,"－ 今日のCSVに無い（終売？）",IF($L291&lt;0,"● 在庫がマイナス　数えて「数えた在庫」に入れる",IF($L291=0,"● 在庫なし　至急発注",IF($M291="","？ 減り数が未設定（商品マスタ）",IF($B$3=0,"？ 動員が未入力（動員を入れる）",IF($CA291="","○ 14日以上もつ",IF($BZ291&lt;N('設定'!$C$7),"● "&amp;TEXT($CA291,"m/d")&amp;"("&amp;CHOOSE(WEEKDAY($CA291),"日","月","火","水","木","金","土")&amp;")"&amp;" に切れる　至急発注",IF($BZ291=N('設定'!$C$7),"● "&amp;TEXT($CA291,"m/d")&amp;"("&amp;CHOOSE(WEEKDAY($CA291),"日","月","火","水","木","金","土")&amp;")"&amp;" に切れる　今日発注","△ "&amp;TEXT($CA291,"m/d")&amp;"("&amp;CHOOSE(WEEKDAY($CA291),"日","月","火","水","木","金","土")&amp;")"&amp;" に切れる　"&amp;TEXT($CA291-N('設定'!$C$7),"m/d")&amp;"("&amp;CHOOSE(WEEKDAY($CA291-N('設定'!$C$7)),"日","月","火","水","木","金","土")&amp;")"&amp;" までに発注"))))))))))</f>
        <v/>
      </c>
      <c r="CQ291">
        <f>IF($C291="","",IF(AND($P291="",$Q291="",$S291="",$T291=""),"",IF(AND($P291="",$Q291=""),"⚠ 先に1便目（左の入庫日・入庫数）に入れてください",IF($CI291&lt;&gt;"",$CI291,IF($CJ291&lt;&gt;"",$CJ291,IF($M291="","？ 減り数が未設定（発注書には載ります）",IF($B$3=0,"？ 動員が未入力（発注書には載ります）",IF(AND($CA291&lt;&gt;"",$P291&gt;$CA291),IF($P291&gt;'設定'!$C$6+N('設定'!$C$7),"● "&amp;TEXT($P291,"m/d")&amp;"("&amp;CHOOSE(WEEKDAY($P291),"日","月","火","水","木","金","土")&amp;")"&amp;" の入庫では間に合わない（"&amp;TEXT($CA291,"m/d")&amp;"("&amp;CHOOSE(WEEKDAY($CA291),"日","月","火","水","木","金","土")&amp;")"&amp;" に切れる）　入庫日を早める","△ 欠品 "&amp;TEXT($CA291,"m/d")&amp;"("&amp;CHOOSE(WEEKDAY($CA291),"日","月","火","水","木","金","土")&amp;")"&amp;"〜"&amp;TEXT($P291-1,"m/d")&amp;"("&amp;CHOOSE(WEEKDAY($P291-1),"日","月","火","水","木","金","土")&amp;")"&amp;"　"&amp;$CO291),IF($CC291="","○ "&amp;TEXT($P291,"m/d")&amp;"("&amp;CHOOSE(WEEKDAY($P291),"日","月","火","水","木","金","土")&amp;")"&amp;" 入庫で 14日以上もつ",IF($CC291-N('設定'!$C$7)&lt;='設定'!$C$6,"● 入庫しても "&amp;TEXT($CC291,"m/d")&amp;"("&amp;CHOOSE(WEEKDAY($CC291),"日","月","火","水","木","金","土")&amp;")"&amp;" に切れる　もう1便を至急発注（2便目に入れる）","△ 入庫しても "&amp;TEXT($CC291,"m/d")&amp;"("&amp;CHOOSE(WEEKDAY($CC291),"日","月","火","水","木","金","土")&amp;")"&amp;" に切れる　"&amp;TEXT($CC291-N('設定'!$C$7),"m/d")&amp;"("&amp;CHOOSE(WEEKDAY($CC291-N('設定'!$C$7)),"日","月","火","水","木","金","土")&amp;")"&amp;" までに次を発注（2便目に入れる）"))))))))))</f>
        <v/>
      </c>
      <c r="CR291">
        <f>IF($C291="","",IF($G291&gt;1,"ｹｰｽ("&amp;$G291&amp;"入)","個"))</f>
        <v/>
      </c>
      <c r="CS291">
        <f>IF($C291="",0,IF(COUNTIFS('①在庫を貼る'!$V$6:$V$10005,'設定'!$C$4,'①在庫を貼る'!$W$6:$W$10005,$C291)=0,1,0))</f>
        <v/>
      </c>
      <c r="CT291">
        <f>IF(AND($CK291=1,OR('③発注書'!$C$4="すべて",'③発注書'!$C$4="",$F291='③発注書'!$C$4)),N($CT290)+1,N($CT290))</f>
        <v/>
      </c>
      <c r="CU291">
        <f>IF(AND($CL291=1,OR('③発注書'!$C$4="すべて",'③発注書'!$C$4="",$F291='③発注書'!$C$4)),N($CU290)+1,N($CU290))</f>
        <v/>
      </c>
      <c r="CV291">
        <f>IF($C291="",0,IF(COUNTIFS('①在庫を貼る'!$V$6:$V$10005,'設定'!$C$4,'①在庫を貼る'!$W$6:$W$10005,$C291)&gt;0,1,0))</f>
        <v/>
      </c>
      <c r="CW291">
        <f>IF($C291="",0,IF(COUNTIFS('月1回_1ヶ月前の在庫'!$V$6:$V$10005,'設定'!$C$4,'月1回_1ヶ月前の在庫'!$W$6:$W$10005,$C291)&gt;0,1,0))</f>
        <v/>
      </c>
      <c r="CX291">
        <f>IF($C291="",0,IF(COUNTIFS('月1回_2ヶ月前の在庫'!$V$6:$V$10005,'設定'!$C$4,'月1回_2ヶ月前の在庫'!$W$6:$W$10005,$C291)&gt;0,1,0))</f>
        <v/>
      </c>
      <c r="CY291">
        <f>IF(OR($C291="",'設定'!$C$12=""),"",IF('設定'!$C$13="",IF(AND($CV291=1,$CW291=0),"新商品（今月から）",IF(AND($CV291=0,$CW291=1),"終売（今月から）","")),IF(AND($CV291=1,$CW291=0,$CX291=0),"新商品（今月から）",IF(AND($CV291=1,$CW291=1,$CX291=0),"新商品（先月から）",IF(AND($CV291=0,$CW291=1,$CX291=1),"終売（今月から）",IF(AND($CV291=0,$CW291=0,$CX291=1),"終売（先月から）",IF(AND($CV291=1,$CW291=0,$CX291=1),"復活（先月は無し）","")))))))</f>
        <v/>
      </c>
    </row>
    <row r="292">
      <c r="B292">
        <f>IF(287&lt;='設定'!$C$11,287,"")</f>
        <v/>
      </c>
      <c r="C292">
        <f>IF($B292="","",IF($B292&lt;='設定'!$C$20,INDEX('商品マスタ'!$B$6:$B$1005,MATCH($B292,'商品マスタ'!$M$6:$M$1005,0)),IF($B292&lt;='設定'!$C$20+'設定'!$C$17,INDEX('①在庫を貼る'!$W$6:$W$10005,MATCH($B292-'設定'!$C$20,'①在庫を貼る'!$U$6:$U$10005,0)),IF($B292&lt;='設定'!$C$20+'設定'!$C$17+'設定'!$C$18,INDEX('月1回_1ヶ月前の在庫'!$W$6:$W$10005,MATCH($B292-'設定'!$C$20-'設定'!$C$17,'月1回_1ヶ月前の在庫'!$U$6:$U$10005,0)),INDEX('月1回_2ヶ月前の在庫'!$W$6:$W$10005,MATCH($B292-'設定'!$C$20-'設定'!$C$17-'設定'!$C$18,'月1回_2ヶ月前の在庫'!$U$6:$U$10005,0))))))</f>
        <v/>
      </c>
      <c r="D292">
        <f>IF($C292="","",IFERROR(IF(INDEX('商品マスタ'!$C$6:$C$1005,MATCH($C292,'商品マスタ'!$B$6:$B$1005,0))="",IFERROR(INDEX('①在庫を貼る'!$J$6:$J$10005,MATCH($C292,'①在庫を貼る'!$W$6:$W$10005,0)),IFERROR(INDEX('月1回_1ヶ月前の在庫'!$J$6:$J$10005,MATCH($C292,'月1回_1ヶ月前の在庫'!$W$6:$W$10005,0)),IFERROR(INDEX('月1回_2ヶ月前の在庫'!$J$6:$J$10005,MATCH($C292,'月1回_2ヶ月前の在庫'!$W$6:$W$10005,0)),""))),INDEX('商品マスタ'!$C$6:$C$1005,MATCH($C292,'商品マスタ'!$B$6:$B$1005,0))),IFERROR(INDEX('①在庫を貼る'!$J$6:$J$10005,MATCH($C292,'①在庫を貼る'!$W$6:$W$10005,0)),IFERROR(INDEX('月1回_1ヶ月前の在庫'!$J$6:$J$10005,MATCH($C292,'月1回_1ヶ月前の在庫'!$W$6:$W$10005,0)),IFERROR(INDEX('月1回_2ヶ月前の在庫'!$J$6:$J$10005,MATCH($C292,'月1回_2ヶ月前の在庫'!$W$6:$W$10005,0)),"")))))</f>
        <v/>
      </c>
      <c r="E292">
        <f>IF($C292="","",IFERROR(IF(INDEX('商品マスタ'!$D$6:$D$1005,MATCH($C292,'商品マスタ'!$B$6:$B$1005,0))="",IFERROR(INDEX('①在庫を貼る'!$H$6:$H$10005,MATCH($C292,'①在庫を貼る'!$W$6:$W$10005,0)),IFERROR(INDEX('月1回_1ヶ月前の在庫'!$H$6:$H$10005,MATCH($C292,'月1回_1ヶ月前の在庫'!$W$6:$W$10005,0)),IFERROR(INDEX('月1回_2ヶ月前の在庫'!$H$6:$H$10005,MATCH($C292,'月1回_2ヶ月前の在庫'!$W$6:$W$10005,0)),""))),INDEX('商品マスタ'!$D$6:$D$1005,MATCH($C292,'商品マスタ'!$B$6:$B$1005,0))),IFERROR(INDEX('①在庫を貼る'!$H$6:$H$10005,MATCH($C292,'①在庫を貼る'!$W$6:$W$10005,0)),IFERROR(INDEX('月1回_1ヶ月前の在庫'!$H$6:$H$10005,MATCH($C292,'月1回_1ヶ月前の在庫'!$W$6:$W$10005,0)),IFERROR(INDEX('月1回_2ヶ月前の在庫'!$H$6:$H$10005,MATCH($C292,'月1回_2ヶ月前の在庫'!$W$6:$W$10005,0)),"")))))</f>
        <v/>
      </c>
      <c r="F292">
        <f>IF($C292="","",IFERROR(IF(INDEX('商品マスタ'!$E$6:$E$1005,MATCH($C292,'商品マスタ'!$B$6:$B$1005,0))="",IFERROR(INDEX('①在庫を貼る'!$E$6:$E$10005,MATCH($C292,'①在庫を貼る'!$W$6:$W$10005,0)),IFERROR(INDEX('月1回_1ヶ月前の在庫'!$E$6:$E$10005,MATCH($C292,'月1回_1ヶ月前の在庫'!$W$6:$W$10005,0)),IFERROR(INDEX('月1回_2ヶ月前の在庫'!$E$6:$E$10005,MATCH($C292,'月1回_2ヶ月前の在庫'!$W$6:$W$10005,0)),""))),INDEX('商品マスタ'!$E$6:$E$1005,MATCH($C292,'商品マスタ'!$B$6:$B$1005,0))),IFERROR(INDEX('①在庫を貼る'!$E$6:$E$10005,MATCH($C292,'①在庫を貼る'!$W$6:$W$10005,0)),IFERROR(INDEX('月1回_1ヶ月前の在庫'!$E$6:$E$10005,MATCH($C292,'月1回_1ヶ月前の在庫'!$W$6:$W$10005,0)),IFERROR(INDEX('月1回_2ヶ月前の在庫'!$E$6:$E$10005,MATCH($C292,'月1回_2ヶ月前の在庫'!$W$6:$W$10005,0)),"")))))</f>
        <v/>
      </c>
      <c r="G292">
        <f>IF($C292="","",MAX(1,N(IFERROR(IF(INDEX('商品マスタ'!$F$6:$F$1005,MATCH($C292,'商品マスタ'!$B$6:$B$1005,0))="",IF(COUNTIFS('①在庫を貼る'!$V$6:$V$10005,'設定'!$C$4,'①在庫を貼る'!$W$6:$W$10005,$C292)&gt;0,SUMIFS('①在庫を貼る'!$K$6:$K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K$6:$K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K$6:$K$10005,'月1回_2ヶ月前の在庫'!$V$6:$V$10005,'設定'!$C$4,'月1回_2ヶ月前の在庫'!$W$6:$W$10005,$C292)/COUNTIFS('月1回_2ヶ月前の在庫'!$V$6:$V$10005,'設定'!$C$4,'月1回_2ヶ月前の在庫'!$W$6:$W$10005,$C292),0))),INDEX('商品マスタ'!$F$6:$F$1005,MATCH($C292,'商品マスタ'!$B$6:$B$1005,0))),IF(COUNTIFS('①在庫を貼る'!$V$6:$V$10005,'設定'!$C$4,'①在庫を貼る'!$W$6:$W$10005,$C292)&gt;0,SUMIFS('①在庫を貼る'!$K$6:$K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K$6:$K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K$6:$K$10005,'月1回_2ヶ月前の在庫'!$V$6:$V$10005,'設定'!$C$4,'月1回_2ヶ月前の在庫'!$W$6:$W$10005,$C292)/COUNTIFS('月1回_2ヶ月前の在庫'!$V$6:$V$10005,'設定'!$C$4,'月1回_2ヶ月前の在庫'!$W$6:$W$10005,$C292),0)))))))</f>
        <v/>
      </c>
      <c r="H292">
        <f>IF($C292="","",N(IFERROR(IF(INDEX('商品マスタ'!$G$6:$G$1005,MATCH($C292,'商品マスタ'!$B$6:$B$1005,0))="",IF(COUNTIFS('①在庫を貼る'!$V$6:$V$10005,'設定'!$C$4,'①在庫を貼る'!$W$6:$W$10005,$C292)&gt;0,SUMIFS('①在庫を貼る'!$Q$6:$Q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Q$6:$Q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Q$6:$Q$10005,'月1回_2ヶ月前の在庫'!$V$6:$V$10005,'設定'!$C$4,'月1回_2ヶ月前の在庫'!$W$6:$W$10005,$C292)/COUNTIFS('月1回_2ヶ月前の在庫'!$V$6:$V$10005,'設定'!$C$4,'月1回_2ヶ月前の在庫'!$W$6:$W$10005,$C292),0))),INDEX('商品マスタ'!$G$6:$G$1005,MATCH($C292,'商品マスタ'!$B$6:$B$1005,0))),IF(COUNTIFS('①在庫を貼る'!$V$6:$V$10005,'設定'!$C$4,'①在庫を貼る'!$W$6:$W$10005,$C292)&gt;0,SUMIFS('①在庫を貼る'!$Q$6:$Q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Q$6:$Q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Q$6:$Q$10005,'月1回_2ヶ月前の在庫'!$V$6:$V$10005,'設定'!$C$4,'月1回_2ヶ月前の在庫'!$W$6:$W$10005,$C292)/COUNTIFS('月1回_2ヶ月前の在庫'!$V$6:$V$10005,'設定'!$C$4,'月1回_2ヶ月前の在庫'!$W$6:$W$10005,$C292),0))))))</f>
        <v/>
      </c>
      <c r="I292">
        <f>IF($C292="","",IF(COUNTIFS('①在庫を貼る'!$V$6:$V$10005,'設定'!$C$4,'①在庫を貼る'!$W$6:$W$10005,$C292)=0,"",SUMIFS('①在庫を貼る'!$N$6:$N$10005,'①在庫を貼る'!$V$6:$V$10005,'設定'!$C$4,'①在庫を貼る'!$W$6:$W$10005,$C292)))</f>
        <v/>
      </c>
      <c r="J292">
        <f>IF($C292="","",IF('②発注する'!$AD296="","",'②発注する'!$AD296))</f>
        <v/>
      </c>
      <c r="K292" s="90">
        <f>IF($C292="","",IF('②発注する'!$AE296="","",'②発注する'!$AE296))</f>
        <v/>
      </c>
      <c r="L292">
        <f>IF($C292="","",IF(AND(ISNUMBER($J292),ISNUMBER($K292),$K292&gt;='設定'!$C$6),$J292,N($I292)))</f>
        <v/>
      </c>
      <c r="M292">
        <f>IF($C292="","",IFERROR(IF(N(INDEX('商品マスタ'!$J$6:$J$1005,MATCH($C292,'商品マスタ'!$B$6:$B$1005,0)))&gt;0,INDEX('商品マスタ'!$J$6:$J$1005,MATCH($C292,'商品マスタ'!$B$6:$B$1005,0)),""),""))</f>
        <v/>
      </c>
      <c r="N292">
        <f>IF($C292="","",IFERROR(IF(N(INDEX('商品マスタ'!$H$6:$H$1005,MATCH($C292,'商品マスタ'!$B$6:$B$1005,0)))&gt;0,INDEX('商品マスタ'!$H$6:$H$1005,MATCH($C292,'商品マスタ'!$B$6:$B$1005,0)),""),""))</f>
        <v/>
      </c>
      <c r="O292">
        <f>IF($C292="","",IF($N292&lt;&gt;"",$N292*$G292,IF(N(IF(COUNTIFS('①在庫を貼る'!$V$6:$V$10005,'設定'!$C$4,'①在庫を貼る'!$W$6:$W$10005,$C292)&gt;0,SUMIFS('①在庫を貼る'!$O$6:$O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O$6:$O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O$6:$O$10005,'月1回_2ヶ月前の在庫'!$V$6:$V$10005,'設定'!$C$4,'月1回_2ヶ月前の在庫'!$W$6:$W$10005,$C292)/COUNTIFS('月1回_2ヶ月前の在庫'!$V$6:$V$10005,'設定'!$C$4,'月1回_2ヶ月前の在庫'!$W$6:$W$10005,$C292),0))))&gt;0,N(IF(COUNTIFS('①在庫を貼る'!$V$6:$V$10005,'設定'!$C$4,'①在庫を貼る'!$W$6:$W$10005,$C292)&gt;0,SUMIFS('①在庫を貼る'!$O$6:$O$10005,'①在庫を貼る'!$V$6:$V$10005,'設定'!$C$4,'①在庫を貼る'!$W$6:$W$10005,$C292)/COUNTIFS('①在庫を貼る'!$V$6:$V$10005,'設定'!$C$4,'①在庫を貼る'!$W$6:$W$10005,$C292),IF(COUNTIFS('月1回_1ヶ月前の在庫'!$V$6:$V$10005,'設定'!$C$4,'月1回_1ヶ月前の在庫'!$W$6:$W$10005,$C292)&gt;0,SUMIFS('月1回_1ヶ月前の在庫'!$O$6:$O$10005,'月1回_1ヶ月前の在庫'!$V$6:$V$10005,'設定'!$C$4,'月1回_1ヶ月前の在庫'!$W$6:$W$10005,$C292)/COUNTIFS('月1回_1ヶ月前の在庫'!$V$6:$V$10005,'設定'!$C$4,'月1回_1ヶ月前の在庫'!$W$6:$W$10005,$C292),IF(COUNTIFS('月1回_2ヶ月前の在庫'!$V$6:$V$10005,'設定'!$C$4,'月1回_2ヶ月前の在庫'!$W$6:$W$10005,$C292)&gt;0,SUMIFS('月1回_2ヶ月前の在庫'!$O$6:$O$10005,'月1回_2ヶ月前の在庫'!$V$6:$V$10005,'設定'!$C$4,'月1回_2ヶ月前の在庫'!$W$6:$W$10005,$C292)/COUNTIFS('月1回_2ヶ月前の在庫'!$V$6:$V$10005,'設定'!$C$4,'月1回_2ヶ月前の在庫'!$W$6:$W$10005,$C292),0)))),"")))</f>
        <v/>
      </c>
      <c r="P292" s="90">
        <f>IF($C292="","",IF('②発注する'!$I296="","",'②発注する'!$I296))</f>
        <v/>
      </c>
      <c r="Q292">
        <f>IF($C292="","",IF('②発注する'!$J296="","",'②発注する'!$J296))</f>
        <v/>
      </c>
      <c r="R292">
        <f>IF($C292="",0,IF(AND(ISNUMBER($P292),ISNUMBER($Q292)),MAX(0,$Q292)*$G292,0))</f>
        <v/>
      </c>
      <c r="S292" s="90">
        <f>IF($C292="","",IF('②発注する'!$M296="","",'②発注する'!$M296))</f>
        <v/>
      </c>
      <c r="T292">
        <f>IF($C292="","",IF('②発注する'!$N296="","",'②発注する'!$N296))</f>
        <v/>
      </c>
      <c r="U292">
        <f>IF($C292="",0,IF(AND(ISNUMBER($S292),ISNUMBER($T292)),MAX(0,$T292)*$G292,0))</f>
        <v/>
      </c>
      <c r="V292">
        <f>IF($C292="",0,IF($M292="",0,MAX(0,$M292)*MAX(0,V$4)/100))</f>
        <v/>
      </c>
      <c r="W292">
        <f>IF($C292="",0,IF($M292="",0,MAX(0,$M292)*MAX(0,W$4)/100))</f>
        <v/>
      </c>
      <c r="X292">
        <f>IF($C292="",0,IF($M292="",0,MAX(0,$M292)*MAX(0,X$4)/100))</f>
        <v/>
      </c>
      <c r="Y292">
        <f>IF($C292="",0,IF($M292="",0,MAX(0,$M292)*MAX(0,Y$4)/100))</f>
        <v/>
      </c>
      <c r="Z292">
        <f>IF($C292="",0,IF($M292="",0,MAX(0,$M292)*MAX(0,Z$4)/100))</f>
        <v/>
      </c>
      <c r="AA292">
        <f>IF($C292="",0,IF($M292="",0,MAX(0,$M292)*MAX(0,AA$4)/100))</f>
        <v/>
      </c>
      <c r="AB292">
        <f>IF($C292="",0,IF($M292="",0,MAX(0,$M292)*MAX(0,AB$4)/100))</f>
        <v/>
      </c>
      <c r="AC292">
        <f>IF($C292="",0,IF($M292="",0,MAX(0,$M292)*MAX(0,AC$4)/100))</f>
        <v/>
      </c>
      <c r="AD292">
        <f>IF($C292="",0,IF($M292="",0,MAX(0,$M292)*MAX(0,AD$4)/100))</f>
        <v/>
      </c>
      <c r="AE292">
        <f>IF($C292="",0,IF($M292="",0,MAX(0,$M292)*MAX(0,AE$4)/100))</f>
        <v/>
      </c>
      <c r="AF292">
        <f>IF($C292="",0,IF($M292="",0,MAX(0,$M292)*MAX(0,AF$4)/100))</f>
        <v/>
      </c>
      <c r="AG292">
        <f>IF($C292="",0,IF($M292="",0,MAX(0,$M292)*MAX(0,AG$4)/100))</f>
        <v/>
      </c>
      <c r="AH292">
        <f>IF($C292="",0,IF($M292="",0,MAX(0,$M292)*MAX(0,AH$4)/100))</f>
        <v/>
      </c>
      <c r="AI292">
        <f>IF($C292="",0,IF($M292="",0,MAX(0,$M292)*MAX(0,AI$4)/100))</f>
        <v/>
      </c>
      <c r="AJ292">
        <f>IF($C292="",0,MAX(0,MAX(0,N($L292))-$V292))</f>
        <v/>
      </c>
      <c r="AK292">
        <f>IF($C292="",0,MAX(0,$AJ292-$W292))</f>
        <v/>
      </c>
      <c r="AL292">
        <f>IF($C292="",0,MAX(0,$AK292-$X292))</f>
        <v/>
      </c>
      <c r="AM292">
        <f>IF($C292="",0,MAX(0,$AL292-$Y292))</f>
        <v/>
      </c>
      <c r="AN292">
        <f>IF($C292="",0,MAX(0,$AM292-$Z292))</f>
        <v/>
      </c>
      <c r="AO292">
        <f>IF($C292="",0,MAX(0,$AN292-$AA292))</f>
        <v/>
      </c>
      <c r="AP292">
        <f>IF($C292="",0,MAX(0,$AO292-$AB292))</f>
        <v/>
      </c>
      <c r="AQ292">
        <f>IF($C292="",0,MAX(0,$AP292-$AC292))</f>
        <v/>
      </c>
      <c r="AR292">
        <f>IF($C292="",0,MAX(0,$AQ292-$AD292))</f>
        <v/>
      </c>
      <c r="AS292">
        <f>IF($C292="",0,MAX(0,$AR292-$AE292))</f>
        <v/>
      </c>
      <c r="AT292">
        <f>IF($C292="",0,MAX(0,$AS292-$AF292))</f>
        <v/>
      </c>
      <c r="AU292">
        <f>IF($C292="",0,MAX(0,$AT292-$AG292))</f>
        <v/>
      </c>
      <c r="AV292">
        <f>IF($C292="",0,MAX(0,$AU292-$AH292))</f>
        <v/>
      </c>
      <c r="AW292">
        <f>IF($C292="",0,MAX(0,$AV292-$AI292))</f>
        <v/>
      </c>
      <c r="AX292">
        <f>IF($C292="",0,MAX(0,MAX(0,N($L292))+IF($P292=V$3,$R292,0)+IF($S292=V$3,$U292,0)-$V292))</f>
        <v/>
      </c>
      <c r="AY292">
        <f>IF($C292="",0,MAX(0,$AX292+IF($P292=W$3,$R292,0)+IF($S292=W$3,$U292,0)-$W292))</f>
        <v/>
      </c>
      <c r="AZ292">
        <f>IF($C292="",0,MAX(0,$AY292+IF($P292=X$3,$R292,0)+IF($S292=X$3,$U292,0)-$X292))</f>
        <v/>
      </c>
      <c r="BA292">
        <f>IF($C292="",0,MAX(0,$AZ292+IF($P292=Y$3,$R292,0)+IF($S292=Y$3,$U292,0)-$Y292))</f>
        <v/>
      </c>
      <c r="BB292">
        <f>IF($C292="",0,MAX(0,$BA292+IF($P292=Z$3,$R292,0)+IF($S292=Z$3,$U292,0)-$Z292))</f>
        <v/>
      </c>
      <c r="BC292">
        <f>IF($C292="",0,MAX(0,$BB292+IF($P292=AA$3,$R292,0)+IF($S292=AA$3,$U292,0)-$AA292))</f>
        <v/>
      </c>
      <c r="BD292">
        <f>IF($C292="",0,MAX(0,$BC292+IF($P292=AB$3,$R292,0)+IF($S292=AB$3,$U292,0)-$AB292))</f>
        <v/>
      </c>
      <c r="BE292">
        <f>IF($C292="",0,MAX(0,$BD292+IF($P292=AC$3,$R292,0)+IF($S292=AC$3,$U292,0)-$AC292))</f>
        <v/>
      </c>
      <c r="BF292">
        <f>IF($C292="",0,MAX(0,$BE292+IF($P292=AD$3,$R292,0)+IF($S292=AD$3,$U292,0)-$AD292))</f>
        <v/>
      </c>
      <c r="BG292">
        <f>IF($C292="",0,MAX(0,$BF292+IF($P292=AE$3,$R292,0)+IF($S292=AE$3,$U292,0)-$AE292))</f>
        <v/>
      </c>
      <c r="BH292">
        <f>IF($C292="",0,MAX(0,$BG292+IF($P292=AF$3,$R292,0)+IF($S292=AF$3,$U292,0)-$AF292))</f>
        <v/>
      </c>
      <c r="BI292">
        <f>IF($C292="",0,MAX(0,$BH292+IF($P292=AG$3,$R292,0)+IF($S292=AG$3,$U292,0)-$AG292))</f>
        <v/>
      </c>
      <c r="BJ292">
        <f>IF($C292="",0,MAX(0,$BI292+IF($P292=AH$3,$R292,0)+IF($S292=AH$3,$U292,0)-$AH292))</f>
        <v/>
      </c>
      <c r="BK292">
        <f>IF($C292="",0,MAX(0,$BJ292+IF($P292=AI$3,$R292,0)+IF($S292=AI$3,$U292,0)-$AI292))</f>
        <v/>
      </c>
      <c r="BL292">
        <f>IF($C292="",99,IF(AND($AX292&lt;1,V$3&gt;=MAX(N($P292),N($S292))),0,99))</f>
        <v/>
      </c>
      <c r="BM292">
        <f>IF($C292="",99,IF(AND($AY292&lt;1,W$3&gt;=MAX(N($P292),N($S292))),1,99))</f>
        <v/>
      </c>
      <c r="BN292">
        <f>IF($C292="",99,IF(AND($AZ292&lt;1,X$3&gt;=MAX(N($P292),N($S292))),2,99))</f>
        <v/>
      </c>
      <c r="BO292">
        <f>IF($C292="",99,IF(AND($BA292&lt;1,Y$3&gt;=MAX(N($P292),N($S292))),3,99))</f>
        <v/>
      </c>
      <c r="BP292">
        <f>IF($C292="",99,IF(AND($BB292&lt;1,Z$3&gt;=MAX(N($P292),N($S292))),4,99))</f>
        <v/>
      </c>
      <c r="BQ292">
        <f>IF($C292="",99,IF(AND($BC292&lt;1,AA$3&gt;=MAX(N($P292),N($S292))),5,99))</f>
        <v/>
      </c>
      <c r="BR292">
        <f>IF($C292="",99,IF(AND($BD292&lt;1,AB$3&gt;=MAX(N($P292),N($S292))),6,99))</f>
        <v/>
      </c>
      <c r="BS292">
        <f>IF($C292="",99,IF(AND($BE292&lt;1,AC$3&gt;=MAX(N($P292),N($S292))),7,99))</f>
        <v/>
      </c>
      <c r="BT292">
        <f>IF($C292="",99,IF(AND($BF292&lt;1,AD$3&gt;=MAX(N($P292),N($S292))),8,99))</f>
        <v/>
      </c>
      <c r="BU292">
        <f>IF($C292="",99,IF(AND($BG292&lt;1,AE$3&gt;=MAX(N($P292),N($S292))),9,99))</f>
        <v/>
      </c>
      <c r="BV292">
        <f>IF($C292="",99,IF(AND($BH292&lt;1,AF$3&gt;=MAX(N($P292),N($S292))),10,99))</f>
        <v/>
      </c>
      <c r="BW292">
        <f>IF($C292="",99,IF(AND($BI292&lt;1,AG$3&gt;=MAX(N($P292),N($S292))),11,99))</f>
        <v/>
      </c>
      <c r="BX292">
        <f>IF($C292="",99,IF(AND($BJ292&lt;1,AH$3&gt;=MAX(N($P292),N($S292))),12,99))</f>
        <v/>
      </c>
      <c r="BY292">
        <f>IF($C292="",99,IF(AND($BK292&lt;1,AI$3&gt;=MAX(N($P292),N($S292))),13,99))</f>
        <v/>
      </c>
      <c r="BZ292">
        <f>IF(OR($C292="",$M292=""),"",COUNTIF($AJ292:$AW292,"&gt;=1"))</f>
        <v/>
      </c>
      <c r="CA292" s="90">
        <f>IF($BZ292="","",IF($BZ292&gt;=14,"",'設定'!$C$6+$BZ292))</f>
        <v/>
      </c>
      <c r="CB292">
        <f>IF(OR($C292="",$M292=""),"",MIN($BL292:$BY292))</f>
        <v/>
      </c>
      <c r="CC292" s="90">
        <f>IF($CB292="","",IF($CB292&gt;=99,"",'設定'!$C$6+$CB292))</f>
        <v/>
      </c>
      <c r="CD292">
        <f>IF(OR($C292="",$M292=""),"",AVERAGE($V292:$AI292))</f>
        <v/>
      </c>
      <c r="CE292">
        <f>IF($C292="","",IFERROR(IF(MATCH(IF(ISNUMBER($P292),$P292,'設定'!$C$6+N('設定'!$C$7)),$V$3:$AI$3,0)=1,MAX(0,N($L292)),INDEX($AJ292:$AW292,MATCH(IF(ISNUMBER($P292),$P292,'設定'!$C$6+N('設定'!$C$7)),$V$3:$AI$3,0)-1)),""))</f>
        <v/>
      </c>
      <c r="CF292">
        <f>IF(OR($C292="",$O292="",$CE292=""),"",IF($O292-$CE292&lt;=0,0,ROUNDUP(($O292-$CE292)/$G292,0)))</f>
        <v/>
      </c>
      <c r="CG292">
        <f>IF(OR($C292="",$CF292="",NOT(ISNUMBER($Q292))),0,MAX(0,$Q292-$CF292))</f>
        <v/>
      </c>
      <c r="CH292">
        <f>IF(OR($C292="",$O292="",$U292=0),0,IFERROR(ROUNDUP(MAX(0,IF(MATCH($S292,$V$3:$AI$3,0)=1,MAX(0,N($L292)),INDEX($AX292:$BK292,MATCH($S292,$V$3:$AI$3,0)-1))+$U292-$O292)/$G292,0),0))</f>
        <v/>
      </c>
      <c r="CI292">
        <f>IF($C292="","",IF(AND($P292="",$Q292=""),"",IF($P292="","⚠ 入庫日を ▼ から選んでください",IF(NOT(ISNUMBER($P292)),"⚠ 入庫日は ▼ から選んでください",IF($P292&lt;N('設定'!$C$6),"⚠ 入庫日が過去です（もう在庫に入っています）→ 消してください",IF($P292&gt;N('設定'!$C$6)+13,"⚠ 入庫日が14日より先です",IF(N($Q292)&lt;=0,"⚠ 入庫数を入れてください",IF($CG292&gt;0,"⚠ 目安より "&amp;$CG292&amp;" 多い（定数を超える）→ 減らす",""))))))))</f>
        <v/>
      </c>
      <c r="CJ292">
        <f>IF($C292="","",IF(AND($S292="",$T292=""),"",IF($S292="","⚠ 2便目：入庫日を ▼ から選んでください",IF(NOT(ISNUMBER($S292)),"⚠ 2便目：入庫日は ▼ から選んでください",IF($S292&lt;N('設定'!$C$6),"⚠ 2便目：入庫日が過去です（もう在庫に入っています）→ 消してください",IF($S292&gt;N('設定'!$C$6)+13,"⚠ 2便目：入庫日が14日より先です",IF(N($T292)&lt;=0,"⚠ 2便目：入庫数を入れてください",IF($CH292&gt;0,"⚠ 2便目：定数を "&amp;$CH292&amp;" ケース超える → 減らす",""))))))))</f>
        <v/>
      </c>
      <c r="CK292">
        <f>IF(AND($CI292="",N($Q292)&gt;0,ISNUMBER($P292)),1,0)</f>
        <v/>
      </c>
      <c r="CL292">
        <f>IF(AND($CJ292="",N($T292)&gt;0,ISNUMBER($S292)),1,0)</f>
        <v/>
      </c>
      <c r="CM292">
        <f>IF(OR($CK292=1,$CL292=1),1,0)</f>
        <v/>
      </c>
      <c r="CN292">
        <f>IF($C292="",0,($CK292*$R292+$CL292*$U292)*N($H292))</f>
        <v/>
      </c>
      <c r="CO292">
        <f>IF($C292="","",IF($CC292="","入庫後は 14日以上もつ",IF($CC292-N('設定'!$C$7)&lt;='設定'!$C$6,"入庫後も "&amp;TEXT($CC292,"m/d")&amp;"("&amp;CHOOSE(WEEKDAY($CC292),"日","月","火","水","木","金","土")&amp;")"&amp;" に切れる　もう1便を至急発注","入庫後も "&amp;TEXT($CC292,"m/d")&amp;"("&amp;CHOOSE(WEEKDAY($CC292),"日","月","火","水","木","金","土")&amp;")"&amp;" に切れる　"&amp;TEXT($CC292-N('設定'!$C$7),"m/d")&amp;"("&amp;CHOOSE(WEEKDAY($CC292-N('設定'!$C$7)),"日","月","火","水","木","金","土")&amp;")"&amp;" までに次を発注")))</f>
        <v/>
      </c>
      <c r="CP292">
        <f>IF($C292="","",IF('設定'!$C$6="","？ ①在庫を貼る に今日のCSVが貼られていない",IF($CS292=1,"－ 今日のCSVに無い（終売？）",IF($L292&lt;0,"● 在庫がマイナス　数えて「数えた在庫」に入れる",IF($L292=0,"● 在庫なし　至急発注",IF($M292="","？ 減り数が未設定（商品マスタ）",IF($B$3=0,"？ 動員が未入力（動員を入れる）",IF($CA292="","○ 14日以上もつ",IF($BZ292&lt;N('設定'!$C$7),"● "&amp;TEXT($CA292,"m/d")&amp;"("&amp;CHOOSE(WEEKDAY($CA292),"日","月","火","水","木","金","土")&amp;")"&amp;" に切れる　至急発注",IF($BZ292=N('設定'!$C$7),"● "&amp;TEXT($CA292,"m/d")&amp;"("&amp;CHOOSE(WEEKDAY($CA292),"日","月","火","水","木","金","土")&amp;")"&amp;" に切れる　今日発注","△ "&amp;TEXT($CA292,"m/d")&amp;"("&amp;CHOOSE(WEEKDAY($CA292),"日","月","火","水","木","金","土")&amp;")"&amp;" に切れる　"&amp;TEXT($CA292-N('設定'!$C$7),"m/d")&amp;"("&amp;CHOOSE(WEEKDAY($CA292-N('設定'!$C$7)),"日","月","火","水","木","金","土")&amp;")"&amp;" までに発注"))))))))))</f>
        <v/>
      </c>
      <c r="CQ292">
        <f>IF($C292="","",IF(AND($P292="",$Q292="",$S292="",$T292=""),"",IF(AND($P292="",$Q292=""),"⚠ 先に1便目（左の入庫日・入庫数）に入れてください",IF($CI292&lt;&gt;"",$CI292,IF($CJ292&lt;&gt;"",$CJ292,IF($M292="","？ 減り数が未設定（発注書には載ります）",IF($B$3=0,"？ 動員が未入力（発注書には載ります）",IF(AND($CA292&lt;&gt;"",$P292&gt;$CA292),IF($P292&gt;'設定'!$C$6+N('設定'!$C$7),"● "&amp;TEXT($P292,"m/d")&amp;"("&amp;CHOOSE(WEEKDAY($P292),"日","月","火","水","木","金","土")&amp;")"&amp;" の入庫では間に合わない（"&amp;TEXT($CA292,"m/d")&amp;"("&amp;CHOOSE(WEEKDAY($CA292),"日","月","火","水","木","金","土")&amp;")"&amp;" に切れる）　入庫日を早める","△ 欠品 "&amp;TEXT($CA292,"m/d")&amp;"("&amp;CHOOSE(WEEKDAY($CA292),"日","月","火","水","木","金","土")&amp;")"&amp;"〜"&amp;TEXT($P292-1,"m/d")&amp;"("&amp;CHOOSE(WEEKDAY($P292-1),"日","月","火","水","木","金","土")&amp;")"&amp;"　"&amp;$CO292),IF($CC292="","○ "&amp;TEXT($P292,"m/d")&amp;"("&amp;CHOOSE(WEEKDAY($P292),"日","月","火","水","木","金","土")&amp;")"&amp;" 入庫で 14日以上もつ",IF($CC292-N('設定'!$C$7)&lt;='設定'!$C$6,"● 入庫しても "&amp;TEXT($CC292,"m/d")&amp;"("&amp;CHOOSE(WEEKDAY($CC292),"日","月","火","水","木","金","土")&amp;")"&amp;" に切れる　もう1便を至急発注（2便目に入れる）","△ 入庫しても "&amp;TEXT($CC292,"m/d")&amp;"("&amp;CHOOSE(WEEKDAY($CC292),"日","月","火","水","木","金","土")&amp;")"&amp;" に切れる　"&amp;TEXT($CC292-N('設定'!$C$7),"m/d")&amp;"("&amp;CHOOSE(WEEKDAY($CC292-N('設定'!$C$7)),"日","月","火","水","木","金","土")&amp;")"&amp;" までに次を発注（2便目に入れる）"))))))))))</f>
        <v/>
      </c>
      <c r="CR292">
        <f>IF($C292="","",IF($G292&gt;1,"ｹｰｽ("&amp;$G292&amp;"入)","個"))</f>
        <v/>
      </c>
      <c r="CS292">
        <f>IF($C292="",0,IF(COUNTIFS('①在庫を貼る'!$V$6:$V$10005,'設定'!$C$4,'①在庫を貼る'!$W$6:$W$10005,$C292)=0,1,0))</f>
        <v/>
      </c>
      <c r="CT292">
        <f>IF(AND($CK292=1,OR('③発注書'!$C$4="すべて",'③発注書'!$C$4="",$F292='③発注書'!$C$4)),N($CT291)+1,N($CT291))</f>
        <v/>
      </c>
      <c r="CU292">
        <f>IF(AND($CL292=1,OR('③発注書'!$C$4="すべて",'③発注書'!$C$4="",$F292='③発注書'!$C$4)),N($CU291)+1,N($CU291))</f>
        <v/>
      </c>
      <c r="CV292">
        <f>IF($C292="",0,IF(COUNTIFS('①在庫を貼る'!$V$6:$V$10005,'設定'!$C$4,'①在庫を貼る'!$W$6:$W$10005,$C292)&gt;0,1,0))</f>
        <v/>
      </c>
      <c r="CW292">
        <f>IF($C292="",0,IF(COUNTIFS('月1回_1ヶ月前の在庫'!$V$6:$V$10005,'設定'!$C$4,'月1回_1ヶ月前の在庫'!$W$6:$W$10005,$C292)&gt;0,1,0))</f>
        <v/>
      </c>
      <c r="CX292">
        <f>IF($C292="",0,IF(COUNTIFS('月1回_2ヶ月前の在庫'!$V$6:$V$10005,'設定'!$C$4,'月1回_2ヶ月前の在庫'!$W$6:$W$10005,$C292)&gt;0,1,0))</f>
        <v/>
      </c>
      <c r="CY292">
        <f>IF(OR($C292="",'設定'!$C$12=""),"",IF('設定'!$C$13="",IF(AND($CV292=1,$CW292=0),"新商品（今月から）",IF(AND($CV292=0,$CW292=1),"終売（今月から）","")),IF(AND($CV292=1,$CW292=0,$CX292=0),"新商品（今月から）",IF(AND($CV292=1,$CW292=1,$CX292=0),"新商品（先月から）",IF(AND($CV292=0,$CW292=1,$CX292=1),"終売（今月から）",IF(AND($CV292=0,$CW292=0,$CX292=1),"終売（先月から）",IF(AND($CV292=1,$CW292=0,$CX292=1),"復活（先月は無し）","")))))))</f>
        <v/>
      </c>
    </row>
    <row r="293">
      <c r="B293">
        <f>IF(288&lt;='設定'!$C$11,288,"")</f>
        <v/>
      </c>
      <c r="C293">
        <f>IF($B293="","",IF($B293&lt;='設定'!$C$20,INDEX('商品マスタ'!$B$6:$B$1005,MATCH($B293,'商品マスタ'!$M$6:$M$1005,0)),IF($B293&lt;='設定'!$C$20+'設定'!$C$17,INDEX('①在庫を貼る'!$W$6:$W$10005,MATCH($B293-'設定'!$C$20,'①在庫を貼る'!$U$6:$U$10005,0)),IF($B293&lt;='設定'!$C$20+'設定'!$C$17+'設定'!$C$18,INDEX('月1回_1ヶ月前の在庫'!$W$6:$W$10005,MATCH($B293-'設定'!$C$20-'設定'!$C$17,'月1回_1ヶ月前の在庫'!$U$6:$U$10005,0)),INDEX('月1回_2ヶ月前の在庫'!$W$6:$W$10005,MATCH($B293-'設定'!$C$20-'設定'!$C$17-'設定'!$C$18,'月1回_2ヶ月前の在庫'!$U$6:$U$10005,0))))))</f>
        <v/>
      </c>
      <c r="D293">
        <f>IF($C293="","",IFERROR(IF(INDEX('商品マスタ'!$C$6:$C$1005,MATCH($C293,'商品マスタ'!$B$6:$B$1005,0))="",IFERROR(INDEX('①在庫を貼る'!$J$6:$J$10005,MATCH($C293,'①在庫を貼る'!$W$6:$W$10005,0)),IFERROR(INDEX('月1回_1ヶ月前の在庫'!$J$6:$J$10005,MATCH($C293,'月1回_1ヶ月前の在庫'!$W$6:$W$10005,0)),IFERROR(INDEX('月1回_2ヶ月前の在庫'!$J$6:$J$10005,MATCH($C293,'月1回_2ヶ月前の在庫'!$W$6:$W$10005,0)),""))),INDEX('商品マスタ'!$C$6:$C$1005,MATCH($C293,'商品マスタ'!$B$6:$B$1005,0))),IFERROR(INDEX('①在庫を貼る'!$J$6:$J$10005,MATCH($C293,'①在庫を貼る'!$W$6:$W$10005,0)),IFERROR(INDEX('月1回_1ヶ月前の在庫'!$J$6:$J$10005,MATCH($C293,'月1回_1ヶ月前の在庫'!$W$6:$W$10005,0)),IFERROR(INDEX('月1回_2ヶ月前の在庫'!$J$6:$J$10005,MATCH($C293,'月1回_2ヶ月前の在庫'!$W$6:$W$10005,0)),"")))))</f>
        <v/>
      </c>
      <c r="E293">
        <f>IF($C293="","",IFERROR(IF(INDEX('商品マスタ'!$D$6:$D$1005,MATCH($C293,'商品マスタ'!$B$6:$B$1005,0))="",IFERROR(INDEX('①在庫を貼る'!$H$6:$H$10005,MATCH($C293,'①在庫を貼る'!$W$6:$W$10005,0)),IFERROR(INDEX('月1回_1ヶ月前の在庫'!$H$6:$H$10005,MATCH($C293,'月1回_1ヶ月前の在庫'!$W$6:$W$10005,0)),IFERROR(INDEX('月1回_2ヶ月前の在庫'!$H$6:$H$10005,MATCH($C293,'月1回_2ヶ月前の在庫'!$W$6:$W$10005,0)),""))),INDEX('商品マスタ'!$D$6:$D$1005,MATCH($C293,'商品マスタ'!$B$6:$B$1005,0))),IFERROR(INDEX('①在庫を貼る'!$H$6:$H$10005,MATCH($C293,'①在庫を貼る'!$W$6:$W$10005,0)),IFERROR(INDEX('月1回_1ヶ月前の在庫'!$H$6:$H$10005,MATCH($C293,'月1回_1ヶ月前の在庫'!$W$6:$W$10005,0)),IFERROR(INDEX('月1回_2ヶ月前の在庫'!$H$6:$H$10005,MATCH($C293,'月1回_2ヶ月前の在庫'!$W$6:$W$10005,0)),"")))))</f>
        <v/>
      </c>
      <c r="F293">
        <f>IF($C293="","",IFERROR(IF(INDEX('商品マスタ'!$E$6:$E$1005,MATCH($C293,'商品マスタ'!$B$6:$B$1005,0))="",IFERROR(INDEX('①在庫を貼る'!$E$6:$E$10005,MATCH($C293,'①在庫を貼る'!$W$6:$W$10005,0)),IFERROR(INDEX('月1回_1ヶ月前の在庫'!$E$6:$E$10005,MATCH($C293,'月1回_1ヶ月前の在庫'!$W$6:$W$10005,0)),IFERROR(INDEX('月1回_2ヶ月前の在庫'!$E$6:$E$10005,MATCH($C293,'月1回_2ヶ月前の在庫'!$W$6:$W$10005,0)),""))),INDEX('商品マスタ'!$E$6:$E$1005,MATCH($C293,'商品マスタ'!$B$6:$B$1005,0))),IFERROR(INDEX('①在庫を貼る'!$E$6:$E$10005,MATCH($C293,'①在庫を貼る'!$W$6:$W$10005,0)),IFERROR(INDEX('月1回_1ヶ月前の在庫'!$E$6:$E$10005,MATCH($C293,'月1回_1ヶ月前の在庫'!$W$6:$W$10005,0)),IFERROR(INDEX('月1回_2ヶ月前の在庫'!$E$6:$E$10005,MATCH($C293,'月1回_2ヶ月前の在庫'!$W$6:$W$10005,0)),"")))))</f>
        <v/>
      </c>
      <c r="G293">
        <f>IF($C293="","",MAX(1,N(IFERROR(IF(INDEX('商品マスタ'!$F$6:$F$1005,MATCH($C293,'商品マスタ'!$B$6:$B$1005,0))="",IF(COUNTIFS('①在庫を貼る'!$V$6:$V$10005,'設定'!$C$4,'①在庫を貼る'!$W$6:$W$10005,$C293)&gt;0,SUMIFS('①在庫を貼る'!$K$6:$K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K$6:$K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K$6:$K$10005,'月1回_2ヶ月前の在庫'!$V$6:$V$10005,'設定'!$C$4,'月1回_2ヶ月前の在庫'!$W$6:$W$10005,$C293)/COUNTIFS('月1回_2ヶ月前の在庫'!$V$6:$V$10005,'設定'!$C$4,'月1回_2ヶ月前の在庫'!$W$6:$W$10005,$C293),0))),INDEX('商品マスタ'!$F$6:$F$1005,MATCH($C293,'商品マスタ'!$B$6:$B$1005,0))),IF(COUNTIFS('①在庫を貼る'!$V$6:$V$10005,'設定'!$C$4,'①在庫を貼る'!$W$6:$W$10005,$C293)&gt;0,SUMIFS('①在庫を貼る'!$K$6:$K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K$6:$K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K$6:$K$10005,'月1回_2ヶ月前の在庫'!$V$6:$V$10005,'設定'!$C$4,'月1回_2ヶ月前の在庫'!$W$6:$W$10005,$C293)/COUNTIFS('月1回_2ヶ月前の在庫'!$V$6:$V$10005,'設定'!$C$4,'月1回_2ヶ月前の在庫'!$W$6:$W$10005,$C293),0)))))))</f>
        <v/>
      </c>
      <c r="H293">
        <f>IF($C293="","",N(IFERROR(IF(INDEX('商品マスタ'!$G$6:$G$1005,MATCH($C293,'商品マスタ'!$B$6:$B$1005,0))="",IF(COUNTIFS('①在庫を貼る'!$V$6:$V$10005,'設定'!$C$4,'①在庫を貼る'!$W$6:$W$10005,$C293)&gt;0,SUMIFS('①在庫を貼る'!$Q$6:$Q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Q$6:$Q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Q$6:$Q$10005,'月1回_2ヶ月前の在庫'!$V$6:$V$10005,'設定'!$C$4,'月1回_2ヶ月前の在庫'!$W$6:$W$10005,$C293)/COUNTIFS('月1回_2ヶ月前の在庫'!$V$6:$V$10005,'設定'!$C$4,'月1回_2ヶ月前の在庫'!$W$6:$W$10005,$C293),0))),INDEX('商品マスタ'!$G$6:$G$1005,MATCH($C293,'商品マスタ'!$B$6:$B$1005,0))),IF(COUNTIFS('①在庫を貼る'!$V$6:$V$10005,'設定'!$C$4,'①在庫を貼る'!$W$6:$W$10005,$C293)&gt;0,SUMIFS('①在庫を貼る'!$Q$6:$Q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Q$6:$Q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Q$6:$Q$10005,'月1回_2ヶ月前の在庫'!$V$6:$V$10005,'設定'!$C$4,'月1回_2ヶ月前の在庫'!$W$6:$W$10005,$C293)/COUNTIFS('月1回_2ヶ月前の在庫'!$V$6:$V$10005,'設定'!$C$4,'月1回_2ヶ月前の在庫'!$W$6:$W$10005,$C293),0))))))</f>
        <v/>
      </c>
      <c r="I293">
        <f>IF($C293="","",IF(COUNTIFS('①在庫を貼る'!$V$6:$V$10005,'設定'!$C$4,'①在庫を貼る'!$W$6:$W$10005,$C293)=0,"",SUMIFS('①在庫を貼る'!$N$6:$N$10005,'①在庫を貼る'!$V$6:$V$10005,'設定'!$C$4,'①在庫を貼る'!$W$6:$W$10005,$C293)))</f>
        <v/>
      </c>
      <c r="J293">
        <f>IF($C293="","",IF('②発注する'!$AD297="","",'②発注する'!$AD297))</f>
        <v/>
      </c>
      <c r="K293" s="90">
        <f>IF($C293="","",IF('②発注する'!$AE297="","",'②発注する'!$AE297))</f>
        <v/>
      </c>
      <c r="L293">
        <f>IF($C293="","",IF(AND(ISNUMBER($J293),ISNUMBER($K293),$K293&gt;='設定'!$C$6),$J293,N($I293)))</f>
        <v/>
      </c>
      <c r="M293">
        <f>IF($C293="","",IFERROR(IF(N(INDEX('商品マスタ'!$J$6:$J$1005,MATCH($C293,'商品マスタ'!$B$6:$B$1005,0)))&gt;0,INDEX('商品マスタ'!$J$6:$J$1005,MATCH($C293,'商品マスタ'!$B$6:$B$1005,0)),""),""))</f>
        <v/>
      </c>
      <c r="N293">
        <f>IF($C293="","",IFERROR(IF(N(INDEX('商品マスタ'!$H$6:$H$1005,MATCH($C293,'商品マスタ'!$B$6:$B$1005,0)))&gt;0,INDEX('商品マスタ'!$H$6:$H$1005,MATCH($C293,'商品マスタ'!$B$6:$B$1005,0)),""),""))</f>
        <v/>
      </c>
      <c r="O293">
        <f>IF($C293="","",IF($N293&lt;&gt;"",$N293*$G293,IF(N(IF(COUNTIFS('①在庫を貼る'!$V$6:$V$10005,'設定'!$C$4,'①在庫を貼る'!$W$6:$W$10005,$C293)&gt;0,SUMIFS('①在庫を貼る'!$O$6:$O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O$6:$O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O$6:$O$10005,'月1回_2ヶ月前の在庫'!$V$6:$V$10005,'設定'!$C$4,'月1回_2ヶ月前の在庫'!$W$6:$W$10005,$C293)/COUNTIFS('月1回_2ヶ月前の在庫'!$V$6:$V$10005,'設定'!$C$4,'月1回_2ヶ月前の在庫'!$W$6:$W$10005,$C293),0))))&gt;0,N(IF(COUNTIFS('①在庫を貼る'!$V$6:$V$10005,'設定'!$C$4,'①在庫を貼る'!$W$6:$W$10005,$C293)&gt;0,SUMIFS('①在庫を貼る'!$O$6:$O$10005,'①在庫を貼る'!$V$6:$V$10005,'設定'!$C$4,'①在庫を貼る'!$W$6:$W$10005,$C293)/COUNTIFS('①在庫を貼る'!$V$6:$V$10005,'設定'!$C$4,'①在庫を貼る'!$W$6:$W$10005,$C293),IF(COUNTIFS('月1回_1ヶ月前の在庫'!$V$6:$V$10005,'設定'!$C$4,'月1回_1ヶ月前の在庫'!$W$6:$W$10005,$C293)&gt;0,SUMIFS('月1回_1ヶ月前の在庫'!$O$6:$O$10005,'月1回_1ヶ月前の在庫'!$V$6:$V$10005,'設定'!$C$4,'月1回_1ヶ月前の在庫'!$W$6:$W$10005,$C293)/COUNTIFS('月1回_1ヶ月前の在庫'!$V$6:$V$10005,'設定'!$C$4,'月1回_1ヶ月前の在庫'!$W$6:$W$10005,$C293),IF(COUNTIFS('月1回_2ヶ月前の在庫'!$V$6:$V$10005,'設定'!$C$4,'月1回_2ヶ月前の在庫'!$W$6:$W$10005,$C293)&gt;0,SUMIFS('月1回_2ヶ月前の在庫'!$O$6:$O$10005,'月1回_2ヶ月前の在庫'!$V$6:$V$10005,'設定'!$C$4,'月1回_2ヶ月前の在庫'!$W$6:$W$10005,$C293)/COUNTIFS('月1回_2ヶ月前の在庫'!$V$6:$V$10005,'設定'!$C$4,'月1回_2ヶ月前の在庫'!$W$6:$W$10005,$C293),0)))),"")))</f>
        <v/>
      </c>
      <c r="P293" s="90">
        <f>IF($C293="","",IF('②発注する'!$I297="","",'②発注する'!$I297))</f>
        <v/>
      </c>
      <c r="Q293">
        <f>IF($C293="","",IF('②発注する'!$J297="","",'②発注する'!$J297))</f>
        <v/>
      </c>
      <c r="R293">
        <f>IF($C293="",0,IF(AND(ISNUMBER($P293),ISNUMBER($Q293)),MAX(0,$Q293)*$G293,0))</f>
        <v/>
      </c>
      <c r="S293" s="90">
        <f>IF($C293="","",IF('②発注する'!$M297="","",'②発注する'!$M297))</f>
        <v/>
      </c>
      <c r="T293">
        <f>IF($C293="","",IF('②発注する'!$N297="","",'②発注する'!$N297))</f>
        <v/>
      </c>
      <c r="U293">
        <f>IF($C293="",0,IF(AND(ISNUMBER($S293),ISNUMBER($T293)),MAX(0,$T293)*$G293,0))</f>
        <v/>
      </c>
      <c r="V293">
        <f>IF($C293="",0,IF($M293="",0,MAX(0,$M293)*MAX(0,V$4)/100))</f>
        <v/>
      </c>
      <c r="W293">
        <f>IF($C293="",0,IF($M293="",0,MAX(0,$M293)*MAX(0,W$4)/100))</f>
        <v/>
      </c>
      <c r="X293">
        <f>IF($C293="",0,IF($M293="",0,MAX(0,$M293)*MAX(0,X$4)/100))</f>
        <v/>
      </c>
      <c r="Y293">
        <f>IF($C293="",0,IF($M293="",0,MAX(0,$M293)*MAX(0,Y$4)/100))</f>
        <v/>
      </c>
      <c r="Z293">
        <f>IF($C293="",0,IF($M293="",0,MAX(0,$M293)*MAX(0,Z$4)/100))</f>
        <v/>
      </c>
      <c r="AA293">
        <f>IF($C293="",0,IF($M293="",0,MAX(0,$M293)*MAX(0,AA$4)/100))</f>
        <v/>
      </c>
      <c r="AB293">
        <f>IF($C293="",0,IF($M293="",0,MAX(0,$M293)*MAX(0,AB$4)/100))</f>
        <v/>
      </c>
      <c r="AC293">
        <f>IF($C293="",0,IF($M293="",0,MAX(0,$M293)*MAX(0,AC$4)/100))</f>
        <v/>
      </c>
      <c r="AD293">
        <f>IF($C293="",0,IF($M293="",0,MAX(0,$M293)*MAX(0,AD$4)/100))</f>
        <v/>
      </c>
      <c r="AE293">
        <f>IF($C293="",0,IF($M293="",0,MAX(0,$M293)*MAX(0,AE$4)/100))</f>
        <v/>
      </c>
      <c r="AF293">
        <f>IF($C293="",0,IF($M293="",0,MAX(0,$M293)*MAX(0,AF$4)/100))</f>
        <v/>
      </c>
      <c r="AG293">
        <f>IF($C293="",0,IF($M293="",0,MAX(0,$M293)*MAX(0,AG$4)/100))</f>
        <v/>
      </c>
      <c r="AH293">
        <f>IF($C293="",0,IF($M293="",0,MAX(0,$M293)*MAX(0,AH$4)/100))</f>
        <v/>
      </c>
      <c r="AI293">
        <f>IF($C293="",0,IF($M293="",0,MAX(0,$M293)*MAX(0,AI$4)/100))</f>
        <v/>
      </c>
      <c r="AJ293">
        <f>IF($C293="",0,MAX(0,MAX(0,N($L293))-$V293))</f>
        <v/>
      </c>
      <c r="AK293">
        <f>IF($C293="",0,MAX(0,$AJ293-$W293))</f>
        <v/>
      </c>
      <c r="AL293">
        <f>IF($C293="",0,MAX(0,$AK293-$X293))</f>
        <v/>
      </c>
      <c r="AM293">
        <f>IF($C293="",0,MAX(0,$AL293-$Y293))</f>
        <v/>
      </c>
      <c r="AN293">
        <f>IF($C293="",0,MAX(0,$AM293-$Z293))</f>
        <v/>
      </c>
      <c r="AO293">
        <f>IF($C293="",0,MAX(0,$AN293-$AA293))</f>
        <v/>
      </c>
      <c r="AP293">
        <f>IF($C293="",0,MAX(0,$AO293-$AB293))</f>
        <v/>
      </c>
      <c r="AQ293">
        <f>IF($C293="",0,MAX(0,$AP293-$AC293))</f>
        <v/>
      </c>
      <c r="AR293">
        <f>IF($C293="",0,MAX(0,$AQ293-$AD293))</f>
        <v/>
      </c>
      <c r="AS293">
        <f>IF($C293="",0,MAX(0,$AR293-$AE293))</f>
        <v/>
      </c>
      <c r="AT293">
        <f>IF($C293="",0,MAX(0,$AS293-$AF293))</f>
        <v/>
      </c>
      <c r="AU293">
        <f>IF($C293="",0,MAX(0,$AT293-$AG293))</f>
        <v/>
      </c>
      <c r="AV293">
        <f>IF($C293="",0,MAX(0,$AU293-$AH293))</f>
        <v/>
      </c>
      <c r="AW293">
        <f>IF($C293="",0,MAX(0,$AV293-$AI293))</f>
        <v/>
      </c>
      <c r="AX293">
        <f>IF($C293="",0,MAX(0,MAX(0,N($L293))+IF($P293=V$3,$R293,0)+IF($S293=V$3,$U293,0)-$V293))</f>
        <v/>
      </c>
      <c r="AY293">
        <f>IF($C293="",0,MAX(0,$AX293+IF($P293=W$3,$R293,0)+IF($S293=W$3,$U293,0)-$W293))</f>
        <v/>
      </c>
      <c r="AZ293">
        <f>IF($C293="",0,MAX(0,$AY293+IF($P293=X$3,$R293,0)+IF($S293=X$3,$U293,0)-$X293))</f>
        <v/>
      </c>
      <c r="BA293">
        <f>IF($C293="",0,MAX(0,$AZ293+IF($P293=Y$3,$R293,0)+IF($S293=Y$3,$U293,0)-$Y293))</f>
        <v/>
      </c>
      <c r="BB293">
        <f>IF($C293="",0,MAX(0,$BA293+IF($P293=Z$3,$R293,0)+IF($S293=Z$3,$U293,0)-$Z293))</f>
        <v/>
      </c>
      <c r="BC293">
        <f>IF($C293="",0,MAX(0,$BB293+IF($P293=AA$3,$R293,0)+IF($S293=AA$3,$U293,0)-$AA293))</f>
        <v/>
      </c>
      <c r="BD293">
        <f>IF($C293="",0,MAX(0,$BC293+IF($P293=AB$3,$R293,0)+IF($S293=AB$3,$U293,0)-$AB293))</f>
        <v/>
      </c>
      <c r="BE293">
        <f>IF($C293="",0,MAX(0,$BD293+IF($P293=AC$3,$R293,0)+IF($S293=AC$3,$U293,0)-$AC293))</f>
        <v/>
      </c>
      <c r="BF293">
        <f>IF($C293="",0,MAX(0,$BE293+IF($P293=AD$3,$R293,0)+IF($S293=AD$3,$U293,0)-$AD293))</f>
        <v/>
      </c>
      <c r="BG293">
        <f>IF($C293="",0,MAX(0,$BF293+IF($P293=AE$3,$R293,0)+IF($S293=AE$3,$U293,0)-$AE293))</f>
        <v/>
      </c>
      <c r="BH293">
        <f>IF($C293="",0,MAX(0,$BG293+IF($P293=AF$3,$R293,0)+IF($S293=AF$3,$U293,0)-$AF293))</f>
        <v/>
      </c>
      <c r="BI293">
        <f>IF($C293="",0,MAX(0,$BH293+IF($P293=AG$3,$R293,0)+IF($S293=AG$3,$U293,0)-$AG293))</f>
        <v/>
      </c>
      <c r="BJ293">
        <f>IF($C293="",0,MAX(0,$BI293+IF($P293=AH$3,$R293,0)+IF($S293=AH$3,$U293,0)-$AH293))</f>
        <v/>
      </c>
      <c r="BK293">
        <f>IF($C293="",0,MAX(0,$BJ293+IF($P293=AI$3,$R293,0)+IF($S293=AI$3,$U293,0)-$AI293))</f>
        <v/>
      </c>
      <c r="BL293">
        <f>IF($C293="",99,IF(AND($AX293&lt;1,V$3&gt;=MAX(N($P293),N($S293))),0,99))</f>
        <v/>
      </c>
      <c r="BM293">
        <f>IF($C293="",99,IF(AND($AY293&lt;1,W$3&gt;=MAX(N($P293),N($S293))),1,99))</f>
        <v/>
      </c>
      <c r="BN293">
        <f>IF($C293="",99,IF(AND($AZ293&lt;1,X$3&gt;=MAX(N($P293),N($S293))),2,99))</f>
        <v/>
      </c>
      <c r="BO293">
        <f>IF($C293="",99,IF(AND($BA293&lt;1,Y$3&gt;=MAX(N($P293),N($S293))),3,99))</f>
        <v/>
      </c>
      <c r="BP293">
        <f>IF($C293="",99,IF(AND($BB293&lt;1,Z$3&gt;=MAX(N($P293),N($S293))),4,99))</f>
        <v/>
      </c>
      <c r="BQ293">
        <f>IF($C293="",99,IF(AND($BC293&lt;1,AA$3&gt;=MAX(N($P293),N($S293))),5,99))</f>
        <v/>
      </c>
      <c r="BR293">
        <f>IF($C293="",99,IF(AND($BD293&lt;1,AB$3&gt;=MAX(N($P293),N($S293))),6,99))</f>
        <v/>
      </c>
      <c r="BS293">
        <f>IF($C293="",99,IF(AND($BE293&lt;1,AC$3&gt;=MAX(N($P293),N($S293))),7,99))</f>
        <v/>
      </c>
      <c r="BT293">
        <f>IF($C293="",99,IF(AND($BF293&lt;1,AD$3&gt;=MAX(N($P293),N($S293))),8,99))</f>
        <v/>
      </c>
      <c r="BU293">
        <f>IF($C293="",99,IF(AND($BG293&lt;1,AE$3&gt;=MAX(N($P293),N($S293))),9,99))</f>
        <v/>
      </c>
      <c r="BV293">
        <f>IF($C293="",99,IF(AND($BH293&lt;1,AF$3&gt;=MAX(N($P293),N($S293))),10,99))</f>
        <v/>
      </c>
      <c r="BW293">
        <f>IF($C293="",99,IF(AND($BI293&lt;1,AG$3&gt;=MAX(N($P293),N($S293))),11,99))</f>
        <v/>
      </c>
      <c r="BX293">
        <f>IF($C293="",99,IF(AND($BJ293&lt;1,AH$3&gt;=MAX(N($P293),N($S293))),12,99))</f>
        <v/>
      </c>
      <c r="BY293">
        <f>IF($C293="",99,IF(AND($BK293&lt;1,AI$3&gt;=MAX(N($P293),N($S293))),13,99))</f>
        <v/>
      </c>
      <c r="BZ293">
        <f>IF(OR($C293="",$M293=""),"",COUNTIF($AJ293:$AW293,"&gt;=1"))</f>
        <v/>
      </c>
      <c r="CA293" s="90">
        <f>IF($BZ293="","",IF($BZ293&gt;=14,"",'設定'!$C$6+$BZ293))</f>
        <v/>
      </c>
      <c r="CB293">
        <f>IF(OR($C293="",$M293=""),"",MIN($BL293:$BY293))</f>
        <v/>
      </c>
      <c r="CC293" s="90">
        <f>IF($CB293="","",IF($CB293&gt;=99,"",'設定'!$C$6+$CB293))</f>
        <v/>
      </c>
      <c r="CD293">
        <f>IF(OR($C293="",$M293=""),"",AVERAGE($V293:$AI293))</f>
        <v/>
      </c>
      <c r="CE293">
        <f>IF($C293="","",IFERROR(IF(MATCH(IF(ISNUMBER($P293),$P293,'設定'!$C$6+N('設定'!$C$7)),$V$3:$AI$3,0)=1,MAX(0,N($L293)),INDEX($AJ293:$AW293,MATCH(IF(ISNUMBER($P293),$P293,'設定'!$C$6+N('設定'!$C$7)),$V$3:$AI$3,0)-1)),""))</f>
        <v/>
      </c>
      <c r="CF293">
        <f>IF(OR($C293="",$O293="",$CE293=""),"",IF($O293-$CE293&lt;=0,0,ROUNDUP(($O293-$CE293)/$G293,0)))</f>
        <v/>
      </c>
      <c r="CG293">
        <f>IF(OR($C293="",$CF293="",NOT(ISNUMBER($Q293))),0,MAX(0,$Q293-$CF293))</f>
        <v/>
      </c>
      <c r="CH293">
        <f>IF(OR($C293="",$O293="",$U293=0),0,IFERROR(ROUNDUP(MAX(0,IF(MATCH($S293,$V$3:$AI$3,0)=1,MAX(0,N($L293)),INDEX($AX293:$BK293,MATCH($S293,$V$3:$AI$3,0)-1))+$U293-$O293)/$G293,0),0))</f>
        <v/>
      </c>
      <c r="CI293">
        <f>IF($C293="","",IF(AND($P293="",$Q293=""),"",IF($P293="","⚠ 入庫日を ▼ から選んでください",IF(NOT(ISNUMBER($P293)),"⚠ 入庫日は ▼ から選んでください",IF($P293&lt;N('設定'!$C$6),"⚠ 入庫日が過去です（もう在庫に入っています）→ 消してください",IF($P293&gt;N('設定'!$C$6)+13,"⚠ 入庫日が14日より先です",IF(N($Q293)&lt;=0,"⚠ 入庫数を入れてください",IF($CG293&gt;0,"⚠ 目安より "&amp;$CG293&amp;" 多い（定数を超える）→ 減らす",""))))))))</f>
        <v/>
      </c>
      <c r="CJ293">
        <f>IF($C293="","",IF(AND($S293="",$T293=""),"",IF($S293="","⚠ 2便目：入庫日を ▼ から選んでください",IF(NOT(ISNUMBER($S293)),"⚠ 2便目：入庫日は ▼ から選んでください",IF($S293&lt;N('設定'!$C$6),"⚠ 2便目：入庫日が過去です（もう在庫に入っています）→ 消してください",IF($S293&gt;N('設定'!$C$6)+13,"⚠ 2便目：入庫日が14日より先です",IF(N($T293)&lt;=0,"⚠ 2便目：入庫数を入れてください",IF($CH293&gt;0,"⚠ 2便目：定数を "&amp;$CH293&amp;" ケース超える → 減らす",""))))))))</f>
        <v/>
      </c>
      <c r="CK293">
        <f>IF(AND($CI293="",N($Q293)&gt;0,ISNUMBER($P293)),1,0)</f>
        <v/>
      </c>
      <c r="CL293">
        <f>IF(AND($CJ293="",N($T293)&gt;0,ISNUMBER($S293)),1,0)</f>
        <v/>
      </c>
      <c r="CM293">
        <f>IF(OR($CK293=1,$CL293=1),1,0)</f>
        <v/>
      </c>
      <c r="CN293">
        <f>IF($C293="",0,($CK293*$R293+$CL293*$U293)*N($H293))</f>
        <v/>
      </c>
      <c r="CO293">
        <f>IF($C293="","",IF($CC293="","入庫後は 14日以上もつ",IF($CC293-N('設定'!$C$7)&lt;='設定'!$C$6,"入庫後も "&amp;TEXT($CC293,"m/d")&amp;"("&amp;CHOOSE(WEEKDAY($CC293),"日","月","火","水","木","金","土")&amp;")"&amp;" に切れる　もう1便を至急発注","入庫後も "&amp;TEXT($CC293,"m/d")&amp;"("&amp;CHOOSE(WEEKDAY($CC293),"日","月","火","水","木","金","土")&amp;")"&amp;" に切れる　"&amp;TEXT($CC293-N('設定'!$C$7),"m/d")&amp;"("&amp;CHOOSE(WEEKDAY($CC293-N('設定'!$C$7)),"日","月","火","水","木","金","土")&amp;")"&amp;" までに次を発注")))</f>
        <v/>
      </c>
      <c r="CP293">
        <f>IF($C293="","",IF('設定'!$C$6="","？ ①在庫を貼る に今日のCSVが貼られていない",IF($CS293=1,"－ 今日のCSVに無い（終売？）",IF($L293&lt;0,"● 在庫がマイナス　数えて「数えた在庫」に入れる",IF($L293=0,"● 在庫なし　至急発注",IF($M293="","？ 減り数が未設定（商品マスタ）",IF($B$3=0,"？ 動員が未入力（動員を入れる）",IF($CA293="","○ 14日以上もつ",IF($BZ293&lt;N('設定'!$C$7),"● "&amp;TEXT($CA293,"m/d")&amp;"("&amp;CHOOSE(WEEKDAY($CA293),"日","月","火","水","木","金","土")&amp;")"&amp;" に切れる　至急発注",IF($BZ293=N('設定'!$C$7),"● "&amp;TEXT($CA293,"m/d")&amp;"("&amp;CHOOSE(WEEKDAY($CA293),"日","月","火","水","木","金","土")&amp;")"&amp;" に切れる　今日発注","△ "&amp;TEXT($CA293,"m/d")&amp;"("&amp;CHOOSE(WEEKDAY($CA293),"日","月","火","水","木","金","土")&amp;")"&amp;" に切れる　"&amp;TEXT($CA293-N('設定'!$C$7),"m/d")&amp;"("&amp;CHOOSE(WEEKDAY($CA293-N('設定'!$C$7)),"日","月","火","水","木","金","土")&amp;")"&amp;" までに発注"))))))))))</f>
        <v/>
      </c>
      <c r="CQ293">
        <f>IF($C293="","",IF(AND($P293="",$Q293="",$S293="",$T293=""),"",IF(AND($P293="",$Q293=""),"⚠ 先に1便目（左の入庫日・入庫数）に入れてください",IF($CI293&lt;&gt;"",$CI293,IF($CJ293&lt;&gt;"",$CJ293,IF($M293="","？ 減り数が未設定（発注書には載ります）",IF($B$3=0,"？ 動員が未入力（発注書には載ります）",IF(AND($CA293&lt;&gt;"",$P293&gt;$CA293),IF($P293&gt;'設定'!$C$6+N('設定'!$C$7),"● "&amp;TEXT($P293,"m/d")&amp;"("&amp;CHOOSE(WEEKDAY($P293),"日","月","火","水","木","金","土")&amp;")"&amp;" の入庫では間に合わない（"&amp;TEXT($CA293,"m/d")&amp;"("&amp;CHOOSE(WEEKDAY($CA293),"日","月","火","水","木","金","土")&amp;")"&amp;" に切れる）　入庫日を早める","△ 欠品 "&amp;TEXT($CA293,"m/d")&amp;"("&amp;CHOOSE(WEEKDAY($CA293),"日","月","火","水","木","金","土")&amp;")"&amp;"〜"&amp;TEXT($P293-1,"m/d")&amp;"("&amp;CHOOSE(WEEKDAY($P293-1),"日","月","火","水","木","金","土")&amp;")"&amp;"　"&amp;$CO293),IF($CC293="","○ "&amp;TEXT($P293,"m/d")&amp;"("&amp;CHOOSE(WEEKDAY($P293),"日","月","火","水","木","金","土")&amp;")"&amp;" 入庫で 14日以上もつ",IF($CC293-N('設定'!$C$7)&lt;='設定'!$C$6,"● 入庫しても "&amp;TEXT($CC293,"m/d")&amp;"("&amp;CHOOSE(WEEKDAY($CC293),"日","月","火","水","木","金","土")&amp;")"&amp;" に切れる　もう1便を至急発注（2便目に入れる）","△ 入庫しても "&amp;TEXT($CC293,"m/d")&amp;"("&amp;CHOOSE(WEEKDAY($CC293),"日","月","火","水","木","金","土")&amp;")"&amp;" に切れる　"&amp;TEXT($CC293-N('設定'!$C$7),"m/d")&amp;"("&amp;CHOOSE(WEEKDAY($CC293-N('設定'!$C$7)),"日","月","火","水","木","金","土")&amp;")"&amp;" までに次を発注（2便目に入れる）"))))))))))</f>
        <v/>
      </c>
      <c r="CR293">
        <f>IF($C293="","",IF($G293&gt;1,"ｹｰｽ("&amp;$G293&amp;"入)","個"))</f>
        <v/>
      </c>
      <c r="CS293">
        <f>IF($C293="",0,IF(COUNTIFS('①在庫を貼る'!$V$6:$V$10005,'設定'!$C$4,'①在庫を貼る'!$W$6:$W$10005,$C293)=0,1,0))</f>
        <v/>
      </c>
      <c r="CT293">
        <f>IF(AND($CK293=1,OR('③発注書'!$C$4="すべて",'③発注書'!$C$4="",$F293='③発注書'!$C$4)),N($CT292)+1,N($CT292))</f>
        <v/>
      </c>
      <c r="CU293">
        <f>IF(AND($CL293=1,OR('③発注書'!$C$4="すべて",'③発注書'!$C$4="",$F293='③発注書'!$C$4)),N($CU292)+1,N($CU292))</f>
        <v/>
      </c>
      <c r="CV293">
        <f>IF($C293="",0,IF(COUNTIFS('①在庫を貼る'!$V$6:$V$10005,'設定'!$C$4,'①在庫を貼る'!$W$6:$W$10005,$C293)&gt;0,1,0))</f>
        <v/>
      </c>
      <c r="CW293">
        <f>IF($C293="",0,IF(COUNTIFS('月1回_1ヶ月前の在庫'!$V$6:$V$10005,'設定'!$C$4,'月1回_1ヶ月前の在庫'!$W$6:$W$10005,$C293)&gt;0,1,0))</f>
        <v/>
      </c>
      <c r="CX293">
        <f>IF($C293="",0,IF(COUNTIFS('月1回_2ヶ月前の在庫'!$V$6:$V$10005,'設定'!$C$4,'月1回_2ヶ月前の在庫'!$W$6:$W$10005,$C293)&gt;0,1,0))</f>
        <v/>
      </c>
      <c r="CY293">
        <f>IF(OR($C293="",'設定'!$C$12=""),"",IF('設定'!$C$13="",IF(AND($CV293=1,$CW293=0),"新商品（今月から）",IF(AND($CV293=0,$CW293=1),"終売（今月から）","")),IF(AND($CV293=1,$CW293=0,$CX293=0),"新商品（今月から）",IF(AND($CV293=1,$CW293=1,$CX293=0),"新商品（先月から）",IF(AND($CV293=0,$CW293=1,$CX293=1),"終売（今月から）",IF(AND($CV293=0,$CW293=0,$CX293=1),"終売（先月から）",IF(AND($CV293=1,$CW293=0,$CX293=1),"復活（先月は無し）","")))))))</f>
        <v/>
      </c>
    </row>
    <row r="294">
      <c r="B294">
        <f>IF(289&lt;='設定'!$C$11,289,"")</f>
        <v/>
      </c>
      <c r="C294">
        <f>IF($B294="","",IF($B294&lt;='設定'!$C$20,INDEX('商品マスタ'!$B$6:$B$1005,MATCH($B294,'商品マスタ'!$M$6:$M$1005,0)),IF($B294&lt;='設定'!$C$20+'設定'!$C$17,INDEX('①在庫を貼る'!$W$6:$W$10005,MATCH($B294-'設定'!$C$20,'①在庫を貼る'!$U$6:$U$10005,0)),IF($B294&lt;='設定'!$C$20+'設定'!$C$17+'設定'!$C$18,INDEX('月1回_1ヶ月前の在庫'!$W$6:$W$10005,MATCH($B294-'設定'!$C$20-'設定'!$C$17,'月1回_1ヶ月前の在庫'!$U$6:$U$10005,0)),INDEX('月1回_2ヶ月前の在庫'!$W$6:$W$10005,MATCH($B294-'設定'!$C$20-'設定'!$C$17-'設定'!$C$18,'月1回_2ヶ月前の在庫'!$U$6:$U$10005,0))))))</f>
        <v/>
      </c>
      <c r="D294">
        <f>IF($C294="","",IFERROR(IF(INDEX('商品マスタ'!$C$6:$C$1005,MATCH($C294,'商品マスタ'!$B$6:$B$1005,0))="",IFERROR(INDEX('①在庫を貼る'!$J$6:$J$10005,MATCH($C294,'①在庫を貼る'!$W$6:$W$10005,0)),IFERROR(INDEX('月1回_1ヶ月前の在庫'!$J$6:$J$10005,MATCH($C294,'月1回_1ヶ月前の在庫'!$W$6:$W$10005,0)),IFERROR(INDEX('月1回_2ヶ月前の在庫'!$J$6:$J$10005,MATCH($C294,'月1回_2ヶ月前の在庫'!$W$6:$W$10005,0)),""))),INDEX('商品マスタ'!$C$6:$C$1005,MATCH($C294,'商品マスタ'!$B$6:$B$1005,0))),IFERROR(INDEX('①在庫を貼る'!$J$6:$J$10005,MATCH($C294,'①在庫を貼る'!$W$6:$W$10005,0)),IFERROR(INDEX('月1回_1ヶ月前の在庫'!$J$6:$J$10005,MATCH($C294,'月1回_1ヶ月前の在庫'!$W$6:$W$10005,0)),IFERROR(INDEX('月1回_2ヶ月前の在庫'!$J$6:$J$10005,MATCH($C294,'月1回_2ヶ月前の在庫'!$W$6:$W$10005,0)),"")))))</f>
        <v/>
      </c>
      <c r="E294">
        <f>IF($C294="","",IFERROR(IF(INDEX('商品マスタ'!$D$6:$D$1005,MATCH($C294,'商品マスタ'!$B$6:$B$1005,0))="",IFERROR(INDEX('①在庫を貼る'!$H$6:$H$10005,MATCH($C294,'①在庫を貼る'!$W$6:$W$10005,0)),IFERROR(INDEX('月1回_1ヶ月前の在庫'!$H$6:$H$10005,MATCH($C294,'月1回_1ヶ月前の在庫'!$W$6:$W$10005,0)),IFERROR(INDEX('月1回_2ヶ月前の在庫'!$H$6:$H$10005,MATCH($C294,'月1回_2ヶ月前の在庫'!$W$6:$W$10005,0)),""))),INDEX('商品マスタ'!$D$6:$D$1005,MATCH($C294,'商品マスタ'!$B$6:$B$1005,0))),IFERROR(INDEX('①在庫を貼る'!$H$6:$H$10005,MATCH($C294,'①在庫を貼る'!$W$6:$W$10005,0)),IFERROR(INDEX('月1回_1ヶ月前の在庫'!$H$6:$H$10005,MATCH($C294,'月1回_1ヶ月前の在庫'!$W$6:$W$10005,0)),IFERROR(INDEX('月1回_2ヶ月前の在庫'!$H$6:$H$10005,MATCH($C294,'月1回_2ヶ月前の在庫'!$W$6:$W$10005,0)),"")))))</f>
        <v/>
      </c>
      <c r="F294">
        <f>IF($C294="","",IFERROR(IF(INDEX('商品マスタ'!$E$6:$E$1005,MATCH($C294,'商品マスタ'!$B$6:$B$1005,0))="",IFERROR(INDEX('①在庫を貼る'!$E$6:$E$10005,MATCH($C294,'①在庫を貼る'!$W$6:$W$10005,0)),IFERROR(INDEX('月1回_1ヶ月前の在庫'!$E$6:$E$10005,MATCH($C294,'月1回_1ヶ月前の在庫'!$W$6:$W$10005,0)),IFERROR(INDEX('月1回_2ヶ月前の在庫'!$E$6:$E$10005,MATCH($C294,'月1回_2ヶ月前の在庫'!$W$6:$W$10005,0)),""))),INDEX('商品マスタ'!$E$6:$E$1005,MATCH($C294,'商品マスタ'!$B$6:$B$1005,0))),IFERROR(INDEX('①在庫を貼る'!$E$6:$E$10005,MATCH($C294,'①在庫を貼る'!$W$6:$W$10005,0)),IFERROR(INDEX('月1回_1ヶ月前の在庫'!$E$6:$E$10005,MATCH($C294,'月1回_1ヶ月前の在庫'!$W$6:$W$10005,0)),IFERROR(INDEX('月1回_2ヶ月前の在庫'!$E$6:$E$10005,MATCH($C294,'月1回_2ヶ月前の在庫'!$W$6:$W$10005,0)),"")))))</f>
        <v/>
      </c>
      <c r="G294">
        <f>IF($C294="","",MAX(1,N(IFERROR(IF(INDEX('商品マスタ'!$F$6:$F$1005,MATCH($C294,'商品マスタ'!$B$6:$B$1005,0))="",IF(COUNTIFS('①在庫を貼る'!$V$6:$V$10005,'設定'!$C$4,'①在庫を貼る'!$W$6:$W$10005,$C294)&gt;0,SUMIFS('①在庫を貼る'!$K$6:$K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K$6:$K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K$6:$K$10005,'月1回_2ヶ月前の在庫'!$V$6:$V$10005,'設定'!$C$4,'月1回_2ヶ月前の在庫'!$W$6:$W$10005,$C294)/COUNTIFS('月1回_2ヶ月前の在庫'!$V$6:$V$10005,'設定'!$C$4,'月1回_2ヶ月前の在庫'!$W$6:$W$10005,$C294),0))),INDEX('商品マスタ'!$F$6:$F$1005,MATCH($C294,'商品マスタ'!$B$6:$B$1005,0))),IF(COUNTIFS('①在庫を貼る'!$V$6:$V$10005,'設定'!$C$4,'①在庫を貼る'!$W$6:$W$10005,$C294)&gt;0,SUMIFS('①在庫を貼る'!$K$6:$K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K$6:$K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K$6:$K$10005,'月1回_2ヶ月前の在庫'!$V$6:$V$10005,'設定'!$C$4,'月1回_2ヶ月前の在庫'!$W$6:$W$10005,$C294)/COUNTIFS('月1回_2ヶ月前の在庫'!$V$6:$V$10005,'設定'!$C$4,'月1回_2ヶ月前の在庫'!$W$6:$W$10005,$C294),0)))))))</f>
        <v/>
      </c>
      <c r="H294">
        <f>IF($C294="","",N(IFERROR(IF(INDEX('商品マスタ'!$G$6:$G$1005,MATCH($C294,'商品マスタ'!$B$6:$B$1005,0))="",IF(COUNTIFS('①在庫を貼る'!$V$6:$V$10005,'設定'!$C$4,'①在庫を貼る'!$W$6:$W$10005,$C294)&gt;0,SUMIFS('①在庫を貼る'!$Q$6:$Q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Q$6:$Q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Q$6:$Q$10005,'月1回_2ヶ月前の在庫'!$V$6:$V$10005,'設定'!$C$4,'月1回_2ヶ月前の在庫'!$W$6:$W$10005,$C294)/COUNTIFS('月1回_2ヶ月前の在庫'!$V$6:$V$10005,'設定'!$C$4,'月1回_2ヶ月前の在庫'!$W$6:$W$10005,$C294),0))),INDEX('商品マスタ'!$G$6:$G$1005,MATCH($C294,'商品マスタ'!$B$6:$B$1005,0))),IF(COUNTIFS('①在庫を貼る'!$V$6:$V$10005,'設定'!$C$4,'①在庫を貼る'!$W$6:$W$10005,$C294)&gt;0,SUMIFS('①在庫を貼る'!$Q$6:$Q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Q$6:$Q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Q$6:$Q$10005,'月1回_2ヶ月前の在庫'!$V$6:$V$10005,'設定'!$C$4,'月1回_2ヶ月前の在庫'!$W$6:$W$10005,$C294)/COUNTIFS('月1回_2ヶ月前の在庫'!$V$6:$V$10005,'設定'!$C$4,'月1回_2ヶ月前の在庫'!$W$6:$W$10005,$C294),0))))))</f>
        <v/>
      </c>
      <c r="I294">
        <f>IF($C294="","",IF(COUNTIFS('①在庫を貼る'!$V$6:$V$10005,'設定'!$C$4,'①在庫を貼る'!$W$6:$W$10005,$C294)=0,"",SUMIFS('①在庫を貼る'!$N$6:$N$10005,'①在庫を貼る'!$V$6:$V$10005,'設定'!$C$4,'①在庫を貼る'!$W$6:$W$10005,$C294)))</f>
        <v/>
      </c>
      <c r="J294">
        <f>IF($C294="","",IF('②発注する'!$AD298="","",'②発注する'!$AD298))</f>
        <v/>
      </c>
      <c r="K294" s="90">
        <f>IF($C294="","",IF('②発注する'!$AE298="","",'②発注する'!$AE298))</f>
        <v/>
      </c>
      <c r="L294">
        <f>IF($C294="","",IF(AND(ISNUMBER($J294),ISNUMBER($K294),$K294&gt;='設定'!$C$6),$J294,N($I294)))</f>
        <v/>
      </c>
      <c r="M294">
        <f>IF($C294="","",IFERROR(IF(N(INDEX('商品マスタ'!$J$6:$J$1005,MATCH($C294,'商品マスタ'!$B$6:$B$1005,0)))&gt;0,INDEX('商品マスタ'!$J$6:$J$1005,MATCH($C294,'商品マスタ'!$B$6:$B$1005,0)),""),""))</f>
        <v/>
      </c>
      <c r="N294">
        <f>IF($C294="","",IFERROR(IF(N(INDEX('商品マスタ'!$H$6:$H$1005,MATCH($C294,'商品マスタ'!$B$6:$B$1005,0)))&gt;0,INDEX('商品マスタ'!$H$6:$H$1005,MATCH($C294,'商品マスタ'!$B$6:$B$1005,0)),""),""))</f>
        <v/>
      </c>
      <c r="O294">
        <f>IF($C294="","",IF($N294&lt;&gt;"",$N294*$G294,IF(N(IF(COUNTIFS('①在庫を貼る'!$V$6:$V$10005,'設定'!$C$4,'①在庫を貼る'!$W$6:$W$10005,$C294)&gt;0,SUMIFS('①在庫を貼る'!$O$6:$O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O$6:$O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O$6:$O$10005,'月1回_2ヶ月前の在庫'!$V$6:$V$10005,'設定'!$C$4,'月1回_2ヶ月前の在庫'!$W$6:$W$10005,$C294)/COUNTIFS('月1回_2ヶ月前の在庫'!$V$6:$V$10005,'設定'!$C$4,'月1回_2ヶ月前の在庫'!$W$6:$W$10005,$C294),0))))&gt;0,N(IF(COUNTIFS('①在庫を貼る'!$V$6:$V$10005,'設定'!$C$4,'①在庫を貼る'!$W$6:$W$10005,$C294)&gt;0,SUMIFS('①在庫を貼る'!$O$6:$O$10005,'①在庫を貼る'!$V$6:$V$10005,'設定'!$C$4,'①在庫を貼る'!$W$6:$W$10005,$C294)/COUNTIFS('①在庫を貼る'!$V$6:$V$10005,'設定'!$C$4,'①在庫を貼る'!$W$6:$W$10005,$C294),IF(COUNTIFS('月1回_1ヶ月前の在庫'!$V$6:$V$10005,'設定'!$C$4,'月1回_1ヶ月前の在庫'!$W$6:$W$10005,$C294)&gt;0,SUMIFS('月1回_1ヶ月前の在庫'!$O$6:$O$10005,'月1回_1ヶ月前の在庫'!$V$6:$V$10005,'設定'!$C$4,'月1回_1ヶ月前の在庫'!$W$6:$W$10005,$C294)/COUNTIFS('月1回_1ヶ月前の在庫'!$V$6:$V$10005,'設定'!$C$4,'月1回_1ヶ月前の在庫'!$W$6:$W$10005,$C294),IF(COUNTIFS('月1回_2ヶ月前の在庫'!$V$6:$V$10005,'設定'!$C$4,'月1回_2ヶ月前の在庫'!$W$6:$W$10005,$C294)&gt;0,SUMIFS('月1回_2ヶ月前の在庫'!$O$6:$O$10005,'月1回_2ヶ月前の在庫'!$V$6:$V$10005,'設定'!$C$4,'月1回_2ヶ月前の在庫'!$W$6:$W$10005,$C294)/COUNTIFS('月1回_2ヶ月前の在庫'!$V$6:$V$10005,'設定'!$C$4,'月1回_2ヶ月前の在庫'!$W$6:$W$10005,$C294),0)))),"")))</f>
        <v/>
      </c>
      <c r="P294" s="90">
        <f>IF($C294="","",IF('②発注する'!$I298="","",'②発注する'!$I298))</f>
        <v/>
      </c>
      <c r="Q294">
        <f>IF($C294="","",IF('②発注する'!$J298="","",'②発注する'!$J298))</f>
        <v/>
      </c>
      <c r="R294">
        <f>IF($C294="",0,IF(AND(ISNUMBER($P294),ISNUMBER($Q294)),MAX(0,$Q294)*$G294,0))</f>
        <v/>
      </c>
      <c r="S294" s="90">
        <f>IF($C294="","",IF('②発注する'!$M298="","",'②発注する'!$M298))</f>
        <v/>
      </c>
      <c r="T294">
        <f>IF($C294="","",IF('②発注する'!$N298="","",'②発注する'!$N298))</f>
        <v/>
      </c>
      <c r="U294">
        <f>IF($C294="",0,IF(AND(ISNUMBER($S294),ISNUMBER($T294)),MAX(0,$T294)*$G294,0))</f>
        <v/>
      </c>
      <c r="V294">
        <f>IF($C294="",0,IF($M294="",0,MAX(0,$M294)*MAX(0,V$4)/100))</f>
        <v/>
      </c>
      <c r="W294">
        <f>IF($C294="",0,IF($M294="",0,MAX(0,$M294)*MAX(0,W$4)/100))</f>
        <v/>
      </c>
      <c r="X294">
        <f>IF($C294="",0,IF($M294="",0,MAX(0,$M294)*MAX(0,X$4)/100))</f>
        <v/>
      </c>
      <c r="Y294">
        <f>IF($C294="",0,IF($M294="",0,MAX(0,$M294)*MAX(0,Y$4)/100))</f>
        <v/>
      </c>
      <c r="Z294">
        <f>IF($C294="",0,IF($M294="",0,MAX(0,$M294)*MAX(0,Z$4)/100))</f>
        <v/>
      </c>
      <c r="AA294">
        <f>IF($C294="",0,IF($M294="",0,MAX(0,$M294)*MAX(0,AA$4)/100))</f>
        <v/>
      </c>
      <c r="AB294">
        <f>IF($C294="",0,IF($M294="",0,MAX(0,$M294)*MAX(0,AB$4)/100))</f>
        <v/>
      </c>
      <c r="AC294">
        <f>IF($C294="",0,IF($M294="",0,MAX(0,$M294)*MAX(0,AC$4)/100))</f>
        <v/>
      </c>
      <c r="AD294">
        <f>IF($C294="",0,IF($M294="",0,MAX(0,$M294)*MAX(0,AD$4)/100))</f>
        <v/>
      </c>
      <c r="AE294">
        <f>IF($C294="",0,IF($M294="",0,MAX(0,$M294)*MAX(0,AE$4)/100))</f>
        <v/>
      </c>
      <c r="AF294">
        <f>IF($C294="",0,IF($M294="",0,MAX(0,$M294)*MAX(0,AF$4)/100))</f>
        <v/>
      </c>
      <c r="AG294">
        <f>IF($C294="",0,IF($M294="",0,MAX(0,$M294)*MAX(0,AG$4)/100))</f>
        <v/>
      </c>
      <c r="AH294">
        <f>IF($C294="",0,IF($M294="",0,MAX(0,$M294)*MAX(0,AH$4)/100))</f>
        <v/>
      </c>
      <c r="AI294">
        <f>IF($C294="",0,IF($M294="",0,MAX(0,$M294)*MAX(0,AI$4)/100))</f>
        <v/>
      </c>
      <c r="AJ294">
        <f>IF($C294="",0,MAX(0,MAX(0,N($L294))-$V294))</f>
        <v/>
      </c>
      <c r="AK294">
        <f>IF($C294="",0,MAX(0,$AJ294-$W294))</f>
        <v/>
      </c>
      <c r="AL294">
        <f>IF($C294="",0,MAX(0,$AK294-$X294))</f>
        <v/>
      </c>
      <c r="AM294">
        <f>IF($C294="",0,MAX(0,$AL294-$Y294))</f>
        <v/>
      </c>
      <c r="AN294">
        <f>IF($C294="",0,MAX(0,$AM294-$Z294))</f>
        <v/>
      </c>
      <c r="AO294">
        <f>IF($C294="",0,MAX(0,$AN294-$AA294))</f>
        <v/>
      </c>
      <c r="AP294">
        <f>IF($C294="",0,MAX(0,$AO294-$AB294))</f>
        <v/>
      </c>
      <c r="AQ294">
        <f>IF($C294="",0,MAX(0,$AP294-$AC294))</f>
        <v/>
      </c>
      <c r="AR294">
        <f>IF($C294="",0,MAX(0,$AQ294-$AD294))</f>
        <v/>
      </c>
      <c r="AS294">
        <f>IF($C294="",0,MAX(0,$AR294-$AE294))</f>
        <v/>
      </c>
      <c r="AT294">
        <f>IF($C294="",0,MAX(0,$AS294-$AF294))</f>
        <v/>
      </c>
      <c r="AU294">
        <f>IF($C294="",0,MAX(0,$AT294-$AG294))</f>
        <v/>
      </c>
      <c r="AV294">
        <f>IF($C294="",0,MAX(0,$AU294-$AH294))</f>
        <v/>
      </c>
      <c r="AW294">
        <f>IF($C294="",0,MAX(0,$AV294-$AI294))</f>
        <v/>
      </c>
      <c r="AX294">
        <f>IF($C294="",0,MAX(0,MAX(0,N($L294))+IF($P294=V$3,$R294,0)+IF($S294=V$3,$U294,0)-$V294))</f>
        <v/>
      </c>
      <c r="AY294">
        <f>IF($C294="",0,MAX(0,$AX294+IF($P294=W$3,$R294,0)+IF($S294=W$3,$U294,0)-$W294))</f>
        <v/>
      </c>
      <c r="AZ294">
        <f>IF($C294="",0,MAX(0,$AY294+IF($P294=X$3,$R294,0)+IF($S294=X$3,$U294,0)-$X294))</f>
        <v/>
      </c>
      <c r="BA294">
        <f>IF($C294="",0,MAX(0,$AZ294+IF($P294=Y$3,$R294,0)+IF($S294=Y$3,$U294,0)-$Y294))</f>
        <v/>
      </c>
      <c r="BB294">
        <f>IF($C294="",0,MAX(0,$BA294+IF($P294=Z$3,$R294,0)+IF($S294=Z$3,$U294,0)-$Z294))</f>
        <v/>
      </c>
      <c r="BC294">
        <f>IF($C294="",0,MAX(0,$BB294+IF($P294=AA$3,$R294,0)+IF($S294=AA$3,$U294,0)-$AA294))</f>
        <v/>
      </c>
      <c r="BD294">
        <f>IF($C294="",0,MAX(0,$BC294+IF($P294=AB$3,$R294,0)+IF($S294=AB$3,$U294,0)-$AB294))</f>
        <v/>
      </c>
      <c r="BE294">
        <f>IF($C294="",0,MAX(0,$BD294+IF($P294=AC$3,$R294,0)+IF($S294=AC$3,$U294,0)-$AC294))</f>
        <v/>
      </c>
      <c r="BF294">
        <f>IF($C294="",0,MAX(0,$BE294+IF($P294=AD$3,$R294,0)+IF($S294=AD$3,$U294,0)-$AD294))</f>
        <v/>
      </c>
      <c r="BG294">
        <f>IF($C294="",0,MAX(0,$BF294+IF($P294=AE$3,$R294,0)+IF($S294=AE$3,$U294,0)-$AE294))</f>
        <v/>
      </c>
      <c r="BH294">
        <f>IF($C294="",0,MAX(0,$BG294+IF($P294=AF$3,$R294,0)+IF($S294=AF$3,$U294,0)-$AF294))</f>
        <v/>
      </c>
      <c r="BI294">
        <f>IF($C294="",0,MAX(0,$BH294+IF($P294=AG$3,$R294,0)+IF($S294=AG$3,$U294,0)-$AG294))</f>
        <v/>
      </c>
      <c r="BJ294">
        <f>IF($C294="",0,MAX(0,$BI294+IF($P294=AH$3,$R294,0)+IF($S294=AH$3,$U294,0)-$AH294))</f>
        <v/>
      </c>
      <c r="BK294">
        <f>IF($C294="",0,MAX(0,$BJ294+IF($P294=AI$3,$R294,0)+IF($S294=AI$3,$U294,0)-$AI294))</f>
        <v/>
      </c>
      <c r="BL294">
        <f>IF($C294="",99,IF(AND($AX294&lt;1,V$3&gt;=MAX(N($P294),N($S294))),0,99))</f>
        <v/>
      </c>
      <c r="BM294">
        <f>IF($C294="",99,IF(AND($AY294&lt;1,W$3&gt;=MAX(N($P294),N($S294))),1,99))</f>
        <v/>
      </c>
      <c r="BN294">
        <f>IF($C294="",99,IF(AND($AZ294&lt;1,X$3&gt;=MAX(N($P294),N($S294))),2,99))</f>
        <v/>
      </c>
      <c r="BO294">
        <f>IF($C294="",99,IF(AND($BA294&lt;1,Y$3&gt;=MAX(N($P294),N($S294))),3,99))</f>
        <v/>
      </c>
      <c r="BP294">
        <f>IF($C294="",99,IF(AND($BB294&lt;1,Z$3&gt;=MAX(N($P294),N($S294))),4,99))</f>
        <v/>
      </c>
      <c r="BQ294">
        <f>IF($C294="",99,IF(AND($BC294&lt;1,AA$3&gt;=MAX(N($P294),N($S294))),5,99))</f>
        <v/>
      </c>
      <c r="BR294">
        <f>IF($C294="",99,IF(AND($BD294&lt;1,AB$3&gt;=MAX(N($P294),N($S294))),6,99))</f>
        <v/>
      </c>
      <c r="BS294">
        <f>IF($C294="",99,IF(AND($BE294&lt;1,AC$3&gt;=MAX(N($P294),N($S294))),7,99))</f>
        <v/>
      </c>
      <c r="BT294">
        <f>IF($C294="",99,IF(AND($BF294&lt;1,AD$3&gt;=MAX(N($P294),N($S294))),8,99))</f>
        <v/>
      </c>
      <c r="BU294">
        <f>IF($C294="",99,IF(AND($BG294&lt;1,AE$3&gt;=MAX(N($P294),N($S294))),9,99))</f>
        <v/>
      </c>
      <c r="BV294">
        <f>IF($C294="",99,IF(AND($BH294&lt;1,AF$3&gt;=MAX(N($P294),N($S294))),10,99))</f>
        <v/>
      </c>
      <c r="BW294">
        <f>IF($C294="",99,IF(AND($BI294&lt;1,AG$3&gt;=MAX(N($P294),N($S294))),11,99))</f>
        <v/>
      </c>
      <c r="BX294">
        <f>IF($C294="",99,IF(AND($BJ294&lt;1,AH$3&gt;=MAX(N($P294),N($S294))),12,99))</f>
        <v/>
      </c>
      <c r="BY294">
        <f>IF($C294="",99,IF(AND($BK294&lt;1,AI$3&gt;=MAX(N($P294),N($S294))),13,99))</f>
        <v/>
      </c>
      <c r="BZ294">
        <f>IF(OR($C294="",$M294=""),"",COUNTIF($AJ294:$AW294,"&gt;=1"))</f>
        <v/>
      </c>
      <c r="CA294" s="90">
        <f>IF($BZ294="","",IF($BZ294&gt;=14,"",'設定'!$C$6+$BZ294))</f>
        <v/>
      </c>
      <c r="CB294">
        <f>IF(OR($C294="",$M294=""),"",MIN($BL294:$BY294))</f>
        <v/>
      </c>
      <c r="CC294" s="90">
        <f>IF($CB294="","",IF($CB294&gt;=99,"",'設定'!$C$6+$CB294))</f>
        <v/>
      </c>
      <c r="CD294">
        <f>IF(OR($C294="",$M294=""),"",AVERAGE($V294:$AI294))</f>
        <v/>
      </c>
      <c r="CE294">
        <f>IF($C294="","",IFERROR(IF(MATCH(IF(ISNUMBER($P294),$P294,'設定'!$C$6+N('設定'!$C$7)),$V$3:$AI$3,0)=1,MAX(0,N($L294)),INDEX($AJ294:$AW294,MATCH(IF(ISNUMBER($P294),$P294,'設定'!$C$6+N('設定'!$C$7)),$V$3:$AI$3,0)-1)),""))</f>
        <v/>
      </c>
      <c r="CF294">
        <f>IF(OR($C294="",$O294="",$CE294=""),"",IF($O294-$CE294&lt;=0,0,ROUNDUP(($O294-$CE294)/$G294,0)))</f>
        <v/>
      </c>
      <c r="CG294">
        <f>IF(OR($C294="",$CF294="",NOT(ISNUMBER($Q294))),0,MAX(0,$Q294-$CF294))</f>
        <v/>
      </c>
      <c r="CH294">
        <f>IF(OR($C294="",$O294="",$U294=0),0,IFERROR(ROUNDUP(MAX(0,IF(MATCH($S294,$V$3:$AI$3,0)=1,MAX(0,N($L294)),INDEX($AX294:$BK294,MATCH($S294,$V$3:$AI$3,0)-1))+$U294-$O294)/$G294,0),0))</f>
        <v/>
      </c>
      <c r="CI294">
        <f>IF($C294="","",IF(AND($P294="",$Q294=""),"",IF($P294="","⚠ 入庫日を ▼ から選んでください",IF(NOT(ISNUMBER($P294)),"⚠ 入庫日は ▼ から選んでください",IF($P294&lt;N('設定'!$C$6),"⚠ 入庫日が過去です（もう在庫に入っています）→ 消してください",IF($P294&gt;N('設定'!$C$6)+13,"⚠ 入庫日が14日より先です",IF(N($Q294)&lt;=0,"⚠ 入庫数を入れてください",IF($CG294&gt;0,"⚠ 目安より "&amp;$CG294&amp;" 多い（定数を超える）→ 減らす",""))))))))</f>
        <v/>
      </c>
      <c r="CJ294">
        <f>IF($C294="","",IF(AND($S294="",$T294=""),"",IF($S294="","⚠ 2便目：入庫日を ▼ から選んでください",IF(NOT(ISNUMBER($S294)),"⚠ 2便目：入庫日は ▼ から選んでください",IF($S294&lt;N('設定'!$C$6),"⚠ 2便目：入庫日が過去です（もう在庫に入っています）→ 消してください",IF($S294&gt;N('設定'!$C$6)+13,"⚠ 2便目：入庫日が14日より先です",IF(N($T294)&lt;=0,"⚠ 2便目：入庫数を入れてください",IF($CH294&gt;0,"⚠ 2便目：定数を "&amp;$CH294&amp;" ケース超える → 減らす",""))))))))</f>
        <v/>
      </c>
      <c r="CK294">
        <f>IF(AND($CI294="",N($Q294)&gt;0,ISNUMBER($P294)),1,0)</f>
        <v/>
      </c>
      <c r="CL294">
        <f>IF(AND($CJ294="",N($T294)&gt;0,ISNUMBER($S294)),1,0)</f>
        <v/>
      </c>
      <c r="CM294">
        <f>IF(OR($CK294=1,$CL294=1),1,0)</f>
        <v/>
      </c>
      <c r="CN294">
        <f>IF($C294="",0,($CK294*$R294+$CL294*$U294)*N($H294))</f>
        <v/>
      </c>
      <c r="CO294">
        <f>IF($C294="","",IF($CC294="","入庫後は 14日以上もつ",IF($CC294-N('設定'!$C$7)&lt;='設定'!$C$6,"入庫後も "&amp;TEXT($CC294,"m/d")&amp;"("&amp;CHOOSE(WEEKDAY($CC294),"日","月","火","水","木","金","土")&amp;")"&amp;" に切れる　もう1便を至急発注","入庫後も "&amp;TEXT($CC294,"m/d")&amp;"("&amp;CHOOSE(WEEKDAY($CC294),"日","月","火","水","木","金","土")&amp;")"&amp;" に切れる　"&amp;TEXT($CC294-N('設定'!$C$7),"m/d")&amp;"("&amp;CHOOSE(WEEKDAY($CC294-N('設定'!$C$7)),"日","月","火","水","木","金","土")&amp;")"&amp;" までに次を発注")))</f>
        <v/>
      </c>
      <c r="CP294">
        <f>IF($C294="","",IF('設定'!$C$6="","？ ①在庫を貼る に今日のCSVが貼られていない",IF($CS294=1,"－ 今日のCSVに無い（終売？）",IF($L294&lt;0,"● 在庫がマイナス　数えて「数えた在庫」に入れる",IF($L294=0,"● 在庫なし　至急発注",IF($M294="","？ 減り数が未設定（商品マスタ）",IF($B$3=0,"？ 動員が未入力（動員を入れる）",IF($CA294="","○ 14日以上もつ",IF($BZ294&lt;N('設定'!$C$7),"● "&amp;TEXT($CA294,"m/d")&amp;"("&amp;CHOOSE(WEEKDAY($CA294),"日","月","火","水","木","金","土")&amp;")"&amp;" に切れる　至急発注",IF($BZ294=N('設定'!$C$7),"● "&amp;TEXT($CA294,"m/d")&amp;"("&amp;CHOOSE(WEEKDAY($CA294),"日","月","火","水","木","金","土")&amp;")"&amp;" に切れる　今日発注","△ "&amp;TEXT($CA294,"m/d")&amp;"("&amp;CHOOSE(WEEKDAY($CA294),"日","月","火","水","木","金","土")&amp;")"&amp;" に切れる　"&amp;TEXT($CA294-N('設定'!$C$7),"m/d")&amp;"("&amp;CHOOSE(WEEKDAY($CA294-N('設定'!$C$7)),"日","月","火","水","木","金","土")&amp;")"&amp;" までに発注"))))))))))</f>
        <v/>
      </c>
      <c r="CQ294">
        <f>IF($C294="","",IF(AND($P294="",$Q294="",$S294="",$T294=""),"",IF(AND($P294="",$Q294=""),"⚠ 先に1便目（左の入庫日・入庫数）に入れてください",IF($CI294&lt;&gt;"",$CI294,IF($CJ294&lt;&gt;"",$CJ294,IF($M294="","？ 減り数が未設定（発注書には載ります）",IF($B$3=0,"？ 動員が未入力（発注書には載ります）",IF(AND($CA294&lt;&gt;"",$P294&gt;$CA294),IF($P294&gt;'設定'!$C$6+N('設定'!$C$7),"● "&amp;TEXT($P294,"m/d")&amp;"("&amp;CHOOSE(WEEKDAY($P294),"日","月","火","水","木","金","土")&amp;")"&amp;" の入庫では間に合わない（"&amp;TEXT($CA294,"m/d")&amp;"("&amp;CHOOSE(WEEKDAY($CA294),"日","月","火","水","木","金","土")&amp;")"&amp;" に切れる）　入庫日を早める","△ 欠品 "&amp;TEXT($CA294,"m/d")&amp;"("&amp;CHOOSE(WEEKDAY($CA294),"日","月","火","水","木","金","土")&amp;")"&amp;"〜"&amp;TEXT($P294-1,"m/d")&amp;"("&amp;CHOOSE(WEEKDAY($P294-1),"日","月","火","水","木","金","土")&amp;")"&amp;"　"&amp;$CO294),IF($CC294="","○ "&amp;TEXT($P294,"m/d")&amp;"("&amp;CHOOSE(WEEKDAY($P294),"日","月","火","水","木","金","土")&amp;")"&amp;" 入庫で 14日以上もつ",IF($CC294-N('設定'!$C$7)&lt;='設定'!$C$6,"● 入庫しても "&amp;TEXT($CC294,"m/d")&amp;"("&amp;CHOOSE(WEEKDAY($CC294),"日","月","火","水","木","金","土")&amp;")"&amp;" に切れる　もう1便を至急発注（2便目に入れる）","△ 入庫しても "&amp;TEXT($CC294,"m/d")&amp;"("&amp;CHOOSE(WEEKDAY($CC294),"日","月","火","水","木","金","土")&amp;")"&amp;" に切れる　"&amp;TEXT($CC294-N('設定'!$C$7),"m/d")&amp;"("&amp;CHOOSE(WEEKDAY($CC294-N('設定'!$C$7)),"日","月","火","水","木","金","土")&amp;")"&amp;" までに次を発注（2便目に入れる）"))))))))))</f>
        <v/>
      </c>
      <c r="CR294">
        <f>IF($C294="","",IF($G294&gt;1,"ｹｰｽ("&amp;$G294&amp;"入)","個"))</f>
        <v/>
      </c>
      <c r="CS294">
        <f>IF($C294="",0,IF(COUNTIFS('①在庫を貼る'!$V$6:$V$10005,'設定'!$C$4,'①在庫を貼る'!$W$6:$W$10005,$C294)=0,1,0))</f>
        <v/>
      </c>
      <c r="CT294">
        <f>IF(AND($CK294=1,OR('③発注書'!$C$4="すべて",'③発注書'!$C$4="",$F294='③発注書'!$C$4)),N($CT293)+1,N($CT293))</f>
        <v/>
      </c>
      <c r="CU294">
        <f>IF(AND($CL294=1,OR('③発注書'!$C$4="すべて",'③発注書'!$C$4="",$F294='③発注書'!$C$4)),N($CU293)+1,N($CU293))</f>
        <v/>
      </c>
      <c r="CV294">
        <f>IF($C294="",0,IF(COUNTIFS('①在庫を貼る'!$V$6:$V$10005,'設定'!$C$4,'①在庫を貼る'!$W$6:$W$10005,$C294)&gt;0,1,0))</f>
        <v/>
      </c>
      <c r="CW294">
        <f>IF($C294="",0,IF(COUNTIFS('月1回_1ヶ月前の在庫'!$V$6:$V$10005,'設定'!$C$4,'月1回_1ヶ月前の在庫'!$W$6:$W$10005,$C294)&gt;0,1,0))</f>
        <v/>
      </c>
      <c r="CX294">
        <f>IF($C294="",0,IF(COUNTIFS('月1回_2ヶ月前の在庫'!$V$6:$V$10005,'設定'!$C$4,'月1回_2ヶ月前の在庫'!$W$6:$W$10005,$C294)&gt;0,1,0))</f>
        <v/>
      </c>
      <c r="CY294">
        <f>IF(OR($C294="",'設定'!$C$12=""),"",IF('設定'!$C$13="",IF(AND($CV294=1,$CW294=0),"新商品（今月から）",IF(AND($CV294=0,$CW294=1),"終売（今月から）","")),IF(AND($CV294=1,$CW294=0,$CX294=0),"新商品（今月から）",IF(AND($CV294=1,$CW294=1,$CX294=0),"新商品（先月から）",IF(AND($CV294=0,$CW294=1,$CX294=1),"終売（今月から）",IF(AND($CV294=0,$CW294=0,$CX294=1),"終売（先月から）",IF(AND($CV294=1,$CW294=0,$CX294=1),"復活（先月は無し）","")))))))</f>
        <v/>
      </c>
    </row>
    <row r="295">
      <c r="B295">
        <f>IF(290&lt;='設定'!$C$11,290,"")</f>
        <v/>
      </c>
      <c r="C295">
        <f>IF($B295="","",IF($B295&lt;='設定'!$C$20,INDEX('商品マスタ'!$B$6:$B$1005,MATCH($B295,'商品マスタ'!$M$6:$M$1005,0)),IF($B295&lt;='設定'!$C$20+'設定'!$C$17,INDEX('①在庫を貼る'!$W$6:$W$10005,MATCH($B295-'設定'!$C$20,'①在庫を貼る'!$U$6:$U$10005,0)),IF($B295&lt;='設定'!$C$20+'設定'!$C$17+'設定'!$C$18,INDEX('月1回_1ヶ月前の在庫'!$W$6:$W$10005,MATCH($B295-'設定'!$C$20-'設定'!$C$17,'月1回_1ヶ月前の在庫'!$U$6:$U$10005,0)),INDEX('月1回_2ヶ月前の在庫'!$W$6:$W$10005,MATCH($B295-'設定'!$C$20-'設定'!$C$17-'設定'!$C$18,'月1回_2ヶ月前の在庫'!$U$6:$U$10005,0))))))</f>
        <v/>
      </c>
      <c r="D295">
        <f>IF($C295="","",IFERROR(IF(INDEX('商品マスタ'!$C$6:$C$1005,MATCH($C295,'商品マスタ'!$B$6:$B$1005,0))="",IFERROR(INDEX('①在庫を貼る'!$J$6:$J$10005,MATCH($C295,'①在庫を貼る'!$W$6:$W$10005,0)),IFERROR(INDEX('月1回_1ヶ月前の在庫'!$J$6:$J$10005,MATCH($C295,'月1回_1ヶ月前の在庫'!$W$6:$W$10005,0)),IFERROR(INDEX('月1回_2ヶ月前の在庫'!$J$6:$J$10005,MATCH($C295,'月1回_2ヶ月前の在庫'!$W$6:$W$10005,0)),""))),INDEX('商品マスタ'!$C$6:$C$1005,MATCH($C295,'商品マスタ'!$B$6:$B$1005,0))),IFERROR(INDEX('①在庫を貼る'!$J$6:$J$10005,MATCH($C295,'①在庫を貼る'!$W$6:$W$10005,0)),IFERROR(INDEX('月1回_1ヶ月前の在庫'!$J$6:$J$10005,MATCH($C295,'月1回_1ヶ月前の在庫'!$W$6:$W$10005,0)),IFERROR(INDEX('月1回_2ヶ月前の在庫'!$J$6:$J$10005,MATCH($C295,'月1回_2ヶ月前の在庫'!$W$6:$W$10005,0)),"")))))</f>
        <v/>
      </c>
      <c r="E295">
        <f>IF($C295="","",IFERROR(IF(INDEX('商品マスタ'!$D$6:$D$1005,MATCH($C295,'商品マスタ'!$B$6:$B$1005,0))="",IFERROR(INDEX('①在庫を貼る'!$H$6:$H$10005,MATCH($C295,'①在庫を貼る'!$W$6:$W$10005,0)),IFERROR(INDEX('月1回_1ヶ月前の在庫'!$H$6:$H$10005,MATCH($C295,'月1回_1ヶ月前の在庫'!$W$6:$W$10005,0)),IFERROR(INDEX('月1回_2ヶ月前の在庫'!$H$6:$H$10005,MATCH($C295,'月1回_2ヶ月前の在庫'!$W$6:$W$10005,0)),""))),INDEX('商品マスタ'!$D$6:$D$1005,MATCH($C295,'商品マスタ'!$B$6:$B$1005,0))),IFERROR(INDEX('①在庫を貼る'!$H$6:$H$10005,MATCH($C295,'①在庫を貼る'!$W$6:$W$10005,0)),IFERROR(INDEX('月1回_1ヶ月前の在庫'!$H$6:$H$10005,MATCH($C295,'月1回_1ヶ月前の在庫'!$W$6:$W$10005,0)),IFERROR(INDEX('月1回_2ヶ月前の在庫'!$H$6:$H$10005,MATCH($C295,'月1回_2ヶ月前の在庫'!$W$6:$W$10005,0)),"")))))</f>
        <v/>
      </c>
      <c r="F295">
        <f>IF($C295="","",IFERROR(IF(INDEX('商品マスタ'!$E$6:$E$1005,MATCH($C295,'商品マスタ'!$B$6:$B$1005,0))="",IFERROR(INDEX('①在庫を貼る'!$E$6:$E$10005,MATCH($C295,'①在庫を貼る'!$W$6:$W$10005,0)),IFERROR(INDEX('月1回_1ヶ月前の在庫'!$E$6:$E$10005,MATCH($C295,'月1回_1ヶ月前の在庫'!$W$6:$W$10005,0)),IFERROR(INDEX('月1回_2ヶ月前の在庫'!$E$6:$E$10005,MATCH($C295,'月1回_2ヶ月前の在庫'!$W$6:$W$10005,0)),""))),INDEX('商品マスタ'!$E$6:$E$1005,MATCH($C295,'商品マスタ'!$B$6:$B$1005,0))),IFERROR(INDEX('①在庫を貼る'!$E$6:$E$10005,MATCH($C295,'①在庫を貼る'!$W$6:$W$10005,0)),IFERROR(INDEX('月1回_1ヶ月前の在庫'!$E$6:$E$10005,MATCH($C295,'月1回_1ヶ月前の在庫'!$W$6:$W$10005,0)),IFERROR(INDEX('月1回_2ヶ月前の在庫'!$E$6:$E$10005,MATCH($C295,'月1回_2ヶ月前の在庫'!$W$6:$W$10005,0)),"")))))</f>
        <v/>
      </c>
      <c r="G295">
        <f>IF($C295="","",MAX(1,N(IFERROR(IF(INDEX('商品マスタ'!$F$6:$F$1005,MATCH($C295,'商品マスタ'!$B$6:$B$1005,0))="",IF(COUNTIFS('①在庫を貼る'!$V$6:$V$10005,'設定'!$C$4,'①在庫を貼る'!$W$6:$W$10005,$C295)&gt;0,SUMIFS('①在庫を貼る'!$K$6:$K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K$6:$K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K$6:$K$10005,'月1回_2ヶ月前の在庫'!$V$6:$V$10005,'設定'!$C$4,'月1回_2ヶ月前の在庫'!$W$6:$W$10005,$C295)/COUNTIFS('月1回_2ヶ月前の在庫'!$V$6:$V$10005,'設定'!$C$4,'月1回_2ヶ月前の在庫'!$W$6:$W$10005,$C295),0))),INDEX('商品マスタ'!$F$6:$F$1005,MATCH($C295,'商品マスタ'!$B$6:$B$1005,0))),IF(COUNTIFS('①在庫を貼る'!$V$6:$V$10005,'設定'!$C$4,'①在庫を貼る'!$W$6:$W$10005,$C295)&gt;0,SUMIFS('①在庫を貼る'!$K$6:$K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K$6:$K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K$6:$K$10005,'月1回_2ヶ月前の在庫'!$V$6:$V$10005,'設定'!$C$4,'月1回_2ヶ月前の在庫'!$W$6:$W$10005,$C295)/COUNTIFS('月1回_2ヶ月前の在庫'!$V$6:$V$10005,'設定'!$C$4,'月1回_2ヶ月前の在庫'!$W$6:$W$10005,$C295),0)))))))</f>
        <v/>
      </c>
      <c r="H295">
        <f>IF($C295="","",N(IFERROR(IF(INDEX('商品マスタ'!$G$6:$G$1005,MATCH($C295,'商品マスタ'!$B$6:$B$1005,0))="",IF(COUNTIFS('①在庫を貼る'!$V$6:$V$10005,'設定'!$C$4,'①在庫を貼る'!$W$6:$W$10005,$C295)&gt;0,SUMIFS('①在庫を貼る'!$Q$6:$Q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Q$6:$Q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Q$6:$Q$10005,'月1回_2ヶ月前の在庫'!$V$6:$V$10005,'設定'!$C$4,'月1回_2ヶ月前の在庫'!$W$6:$W$10005,$C295)/COUNTIFS('月1回_2ヶ月前の在庫'!$V$6:$V$10005,'設定'!$C$4,'月1回_2ヶ月前の在庫'!$W$6:$W$10005,$C295),0))),INDEX('商品マスタ'!$G$6:$G$1005,MATCH($C295,'商品マスタ'!$B$6:$B$1005,0))),IF(COUNTIFS('①在庫を貼る'!$V$6:$V$10005,'設定'!$C$4,'①在庫を貼る'!$W$6:$W$10005,$C295)&gt;0,SUMIFS('①在庫を貼る'!$Q$6:$Q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Q$6:$Q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Q$6:$Q$10005,'月1回_2ヶ月前の在庫'!$V$6:$V$10005,'設定'!$C$4,'月1回_2ヶ月前の在庫'!$W$6:$W$10005,$C295)/COUNTIFS('月1回_2ヶ月前の在庫'!$V$6:$V$10005,'設定'!$C$4,'月1回_2ヶ月前の在庫'!$W$6:$W$10005,$C295),0))))))</f>
        <v/>
      </c>
      <c r="I295">
        <f>IF($C295="","",IF(COUNTIFS('①在庫を貼る'!$V$6:$V$10005,'設定'!$C$4,'①在庫を貼る'!$W$6:$W$10005,$C295)=0,"",SUMIFS('①在庫を貼る'!$N$6:$N$10005,'①在庫を貼る'!$V$6:$V$10005,'設定'!$C$4,'①在庫を貼る'!$W$6:$W$10005,$C295)))</f>
        <v/>
      </c>
      <c r="J295">
        <f>IF($C295="","",IF('②発注する'!$AD299="","",'②発注する'!$AD299))</f>
        <v/>
      </c>
      <c r="K295" s="90">
        <f>IF($C295="","",IF('②発注する'!$AE299="","",'②発注する'!$AE299))</f>
        <v/>
      </c>
      <c r="L295">
        <f>IF($C295="","",IF(AND(ISNUMBER($J295),ISNUMBER($K295),$K295&gt;='設定'!$C$6),$J295,N($I295)))</f>
        <v/>
      </c>
      <c r="M295">
        <f>IF($C295="","",IFERROR(IF(N(INDEX('商品マスタ'!$J$6:$J$1005,MATCH($C295,'商品マスタ'!$B$6:$B$1005,0)))&gt;0,INDEX('商品マスタ'!$J$6:$J$1005,MATCH($C295,'商品マスタ'!$B$6:$B$1005,0)),""),""))</f>
        <v/>
      </c>
      <c r="N295">
        <f>IF($C295="","",IFERROR(IF(N(INDEX('商品マスタ'!$H$6:$H$1005,MATCH($C295,'商品マスタ'!$B$6:$B$1005,0)))&gt;0,INDEX('商品マスタ'!$H$6:$H$1005,MATCH($C295,'商品マスタ'!$B$6:$B$1005,0)),""),""))</f>
        <v/>
      </c>
      <c r="O295">
        <f>IF($C295="","",IF($N295&lt;&gt;"",$N295*$G295,IF(N(IF(COUNTIFS('①在庫を貼る'!$V$6:$V$10005,'設定'!$C$4,'①在庫を貼る'!$W$6:$W$10005,$C295)&gt;0,SUMIFS('①在庫を貼る'!$O$6:$O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O$6:$O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O$6:$O$10005,'月1回_2ヶ月前の在庫'!$V$6:$V$10005,'設定'!$C$4,'月1回_2ヶ月前の在庫'!$W$6:$W$10005,$C295)/COUNTIFS('月1回_2ヶ月前の在庫'!$V$6:$V$10005,'設定'!$C$4,'月1回_2ヶ月前の在庫'!$W$6:$W$10005,$C295),0))))&gt;0,N(IF(COUNTIFS('①在庫を貼る'!$V$6:$V$10005,'設定'!$C$4,'①在庫を貼る'!$W$6:$W$10005,$C295)&gt;0,SUMIFS('①在庫を貼る'!$O$6:$O$10005,'①在庫を貼る'!$V$6:$V$10005,'設定'!$C$4,'①在庫を貼る'!$W$6:$W$10005,$C295)/COUNTIFS('①在庫を貼る'!$V$6:$V$10005,'設定'!$C$4,'①在庫を貼る'!$W$6:$W$10005,$C295),IF(COUNTIFS('月1回_1ヶ月前の在庫'!$V$6:$V$10005,'設定'!$C$4,'月1回_1ヶ月前の在庫'!$W$6:$W$10005,$C295)&gt;0,SUMIFS('月1回_1ヶ月前の在庫'!$O$6:$O$10005,'月1回_1ヶ月前の在庫'!$V$6:$V$10005,'設定'!$C$4,'月1回_1ヶ月前の在庫'!$W$6:$W$10005,$C295)/COUNTIFS('月1回_1ヶ月前の在庫'!$V$6:$V$10005,'設定'!$C$4,'月1回_1ヶ月前の在庫'!$W$6:$W$10005,$C295),IF(COUNTIFS('月1回_2ヶ月前の在庫'!$V$6:$V$10005,'設定'!$C$4,'月1回_2ヶ月前の在庫'!$W$6:$W$10005,$C295)&gt;0,SUMIFS('月1回_2ヶ月前の在庫'!$O$6:$O$10005,'月1回_2ヶ月前の在庫'!$V$6:$V$10005,'設定'!$C$4,'月1回_2ヶ月前の在庫'!$W$6:$W$10005,$C295)/COUNTIFS('月1回_2ヶ月前の在庫'!$V$6:$V$10005,'設定'!$C$4,'月1回_2ヶ月前の在庫'!$W$6:$W$10005,$C295),0)))),"")))</f>
        <v/>
      </c>
      <c r="P295" s="90">
        <f>IF($C295="","",IF('②発注する'!$I299="","",'②発注する'!$I299))</f>
        <v/>
      </c>
      <c r="Q295">
        <f>IF($C295="","",IF('②発注する'!$J299="","",'②発注する'!$J299))</f>
        <v/>
      </c>
      <c r="R295">
        <f>IF($C295="",0,IF(AND(ISNUMBER($P295),ISNUMBER($Q295)),MAX(0,$Q295)*$G295,0))</f>
        <v/>
      </c>
      <c r="S295" s="90">
        <f>IF($C295="","",IF('②発注する'!$M299="","",'②発注する'!$M299))</f>
        <v/>
      </c>
      <c r="T295">
        <f>IF($C295="","",IF('②発注する'!$N299="","",'②発注する'!$N299))</f>
        <v/>
      </c>
      <c r="U295">
        <f>IF($C295="",0,IF(AND(ISNUMBER($S295),ISNUMBER($T295)),MAX(0,$T295)*$G295,0))</f>
        <v/>
      </c>
      <c r="V295">
        <f>IF($C295="",0,IF($M295="",0,MAX(0,$M295)*MAX(0,V$4)/100))</f>
        <v/>
      </c>
      <c r="W295">
        <f>IF($C295="",0,IF($M295="",0,MAX(0,$M295)*MAX(0,W$4)/100))</f>
        <v/>
      </c>
      <c r="X295">
        <f>IF($C295="",0,IF($M295="",0,MAX(0,$M295)*MAX(0,X$4)/100))</f>
        <v/>
      </c>
      <c r="Y295">
        <f>IF($C295="",0,IF($M295="",0,MAX(0,$M295)*MAX(0,Y$4)/100))</f>
        <v/>
      </c>
      <c r="Z295">
        <f>IF($C295="",0,IF($M295="",0,MAX(0,$M295)*MAX(0,Z$4)/100))</f>
        <v/>
      </c>
      <c r="AA295">
        <f>IF($C295="",0,IF($M295="",0,MAX(0,$M295)*MAX(0,AA$4)/100))</f>
        <v/>
      </c>
      <c r="AB295">
        <f>IF($C295="",0,IF($M295="",0,MAX(0,$M295)*MAX(0,AB$4)/100))</f>
        <v/>
      </c>
      <c r="AC295">
        <f>IF($C295="",0,IF($M295="",0,MAX(0,$M295)*MAX(0,AC$4)/100))</f>
        <v/>
      </c>
      <c r="AD295">
        <f>IF($C295="",0,IF($M295="",0,MAX(0,$M295)*MAX(0,AD$4)/100))</f>
        <v/>
      </c>
      <c r="AE295">
        <f>IF($C295="",0,IF($M295="",0,MAX(0,$M295)*MAX(0,AE$4)/100))</f>
        <v/>
      </c>
      <c r="AF295">
        <f>IF($C295="",0,IF($M295="",0,MAX(0,$M295)*MAX(0,AF$4)/100))</f>
        <v/>
      </c>
      <c r="AG295">
        <f>IF($C295="",0,IF($M295="",0,MAX(0,$M295)*MAX(0,AG$4)/100))</f>
        <v/>
      </c>
      <c r="AH295">
        <f>IF($C295="",0,IF($M295="",0,MAX(0,$M295)*MAX(0,AH$4)/100))</f>
        <v/>
      </c>
      <c r="AI295">
        <f>IF($C295="",0,IF($M295="",0,MAX(0,$M295)*MAX(0,AI$4)/100))</f>
        <v/>
      </c>
      <c r="AJ295">
        <f>IF($C295="",0,MAX(0,MAX(0,N($L295))-$V295))</f>
        <v/>
      </c>
      <c r="AK295">
        <f>IF($C295="",0,MAX(0,$AJ295-$W295))</f>
        <v/>
      </c>
      <c r="AL295">
        <f>IF($C295="",0,MAX(0,$AK295-$X295))</f>
        <v/>
      </c>
      <c r="AM295">
        <f>IF($C295="",0,MAX(0,$AL295-$Y295))</f>
        <v/>
      </c>
      <c r="AN295">
        <f>IF($C295="",0,MAX(0,$AM295-$Z295))</f>
        <v/>
      </c>
      <c r="AO295">
        <f>IF($C295="",0,MAX(0,$AN295-$AA295))</f>
        <v/>
      </c>
      <c r="AP295">
        <f>IF($C295="",0,MAX(0,$AO295-$AB295))</f>
        <v/>
      </c>
      <c r="AQ295">
        <f>IF($C295="",0,MAX(0,$AP295-$AC295))</f>
        <v/>
      </c>
      <c r="AR295">
        <f>IF($C295="",0,MAX(0,$AQ295-$AD295))</f>
        <v/>
      </c>
      <c r="AS295">
        <f>IF($C295="",0,MAX(0,$AR295-$AE295))</f>
        <v/>
      </c>
      <c r="AT295">
        <f>IF($C295="",0,MAX(0,$AS295-$AF295))</f>
        <v/>
      </c>
      <c r="AU295">
        <f>IF($C295="",0,MAX(0,$AT295-$AG295))</f>
        <v/>
      </c>
      <c r="AV295">
        <f>IF($C295="",0,MAX(0,$AU295-$AH295))</f>
        <v/>
      </c>
      <c r="AW295">
        <f>IF($C295="",0,MAX(0,$AV295-$AI295))</f>
        <v/>
      </c>
      <c r="AX295">
        <f>IF($C295="",0,MAX(0,MAX(0,N($L295))+IF($P295=V$3,$R295,0)+IF($S295=V$3,$U295,0)-$V295))</f>
        <v/>
      </c>
      <c r="AY295">
        <f>IF($C295="",0,MAX(0,$AX295+IF($P295=W$3,$R295,0)+IF($S295=W$3,$U295,0)-$W295))</f>
        <v/>
      </c>
      <c r="AZ295">
        <f>IF($C295="",0,MAX(0,$AY295+IF($P295=X$3,$R295,0)+IF($S295=X$3,$U295,0)-$X295))</f>
        <v/>
      </c>
      <c r="BA295">
        <f>IF($C295="",0,MAX(0,$AZ295+IF($P295=Y$3,$R295,0)+IF($S295=Y$3,$U295,0)-$Y295))</f>
        <v/>
      </c>
      <c r="BB295">
        <f>IF($C295="",0,MAX(0,$BA295+IF($P295=Z$3,$R295,0)+IF($S295=Z$3,$U295,0)-$Z295))</f>
        <v/>
      </c>
      <c r="BC295">
        <f>IF($C295="",0,MAX(0,$BB295+IF($P295=AA$3,$R295,0)+IF($S295=AA$3,$U295,0)-$AA295))</f>
        <v/>
      </c>
      <c r="BD295">
        <f>IF($C295="",0,MAX(0,$BC295+IF($P295=AB$3,$R295,0)+IF($S295=AB$3,$U295,0)-$AB295))</f>
        <v/>
      </c>
      <c r="BE295">
        <f>IF($C295="",0,MAX(0,$BD295+IF($P295=AC$3,$R295,0)+IF($S295=AC$3,$U295,0)-$AC295))</f>
        <v/>
      </c>
      <c r="BF295">
        <f>IF($C295="",0,MAX(0,$BE295+IF($P295=AD$3,$R295,0)+IF($S295=AD$3,$U295,0)-$AD295))</f>
        <v/>
      </c>
      <c r="BG295">
        <f>IF($C295="",0,MAX(0,$BF295+IF($P295=AE$3,$R295,0)+IF($S295=AE$3,$U295,0)-$AE295))</f>
        <v/>
      </c>
      <c r="BH295">
        <f>IF($C295="",0,MAX(0,$BG295+IF($P295=AF$3,$R295,0)+IF($S295=AF$3,$U295,0)-$AF295))</f>
        <v/>
      </c>
      <c r="BI295">
        <f>IF($C295="",0,MAX(0,$BH295+IF($P295=AG$3,$R295,0)+IF($S295=AG$3,$U295,0)-$AG295))</f>
        <v/>
      </c>
      <c r="BJ295">
        <f>IF($C295="",0,MAX(0,$BI295+IF($P295=AH$3,$R295,0)+IF($S295=AH$3,$U295,0)-$AH295))</f>
        <v/>
      </c>
      <c r="BK295">
        <f>IF($C295="",0,MAX(0,$BJ295+IF($P295=AI$3,$R295,0)+IF($S295=AI$3,$U295,0)-$AI295))</f>
        <v/>
      </c>
      <c r="BL295">
        <f>IF($C295="",99,IF(AND($AX295&lt;1,V$3&gt;=MAX(N($P295),N($S295))),0,99))</f>
        <v/>
      </c>
      <c r="BM295">
        <f>IF($C295="",99,IF(AND($AY295&lt;1,W$3&gt;=MAX(N($P295),N($S295))),1,99))</f>
        <v/>
      </c>
      <c r="BN295">
        <f>IF($C295="",99,IF(AND($AZ295&lt;1,X$3&gt;=MAX(N($P295),N($S295))),2,99))</f>
        <v/>
      </c>
      <c r="BO295">
        <f>IF($C295="",99,IF(AND($BA295&lt;1,Y$3&gt;=MAX(N($P295),N($S295))),3,99))</f>
        <v/>
      </c>
      <c r="BP295">
        <f>IF($C295="",99,IF(AND($BB295&lt;1,Z$3&gt;=MAX(N($P295),N($S295))),4,99))</f>
        <v/>
      </c>
      <c r="BQ295">
        <f>IF($C295="",99,IF(AND($BC295&lt;1,AA$3&gt;=MAX(N($P295),N($S295))),5,99))</f>
        <v/>
      </c>
      <c r="BR295">
        <f>IF($C295="",99,IF(AND($BD295&lt;1,AB$3&gt;=MAX(N($P295),N($S295))),6,99))</f>
        <v/>
      </c>
      <c r="BS295">
        <f>IF($C295="",99,IF(AND($BE295&lt;1,AC$3&gt;=MAX(N($P295),N($S295))),7,99))</f>
        <v/>
      </c>
      <c r="BT295">
        <f>IF($C295="",99,IF(AND($BF295&lt;1,AD$3&gt;=MAX(N($P295),N($S295))),8,99))</f>
        <v/>
      </c>
      <c r="BU295">
        <f>IF($C295="",99,IF(AND($BG295&lt;1,AE$3&gt;=MAX(N($P295),N($S295))),9,99))</f>
        <v/>
      </c>
      <c r="BV295">
        <f>IF($C295="",99,IF(AND($BH295&lt;1,AF$3&gt;=MAX(N($P295),N($S295))),10,99))</f>
        <v/>
      </c>
      <c r="BW295">
        <f>IF($C295="",99,IF(AND($BI295&lt;1,AG$3&gt;=MAX(N($P295),N($S295))),11,99))</f>
        <v/>
      </c>
      <c r="BX295">
        <f>IF($C295="",99,IF(AND($BJ295&lt;1,AH$3&gt;=MAX(N($P295),N($S295))),12,99))</f>
        <v/>
      </c>
      <c r="BY295">
        <f>IF($C295="",99,IF(AND($BK295&lt;1,AI$3&gt;=MAX(N($P295),N($S295))),13,99))</f>
        <v/>
      </c>
      <c r="BZ295">
        <f>IF(OR($C295="",$M295=""),"",COUNTIF($AJ295:$AW295,"&gt;=1"))</f>
        <v/>
      </c>
      <c r="CA295" s="90">
        <f>IF($BZ295="","",IF($BZ295&gt;=14,"",'設定'!$C$6+$BZ295))</f>
        <v/>
      </c>
      <c r="CB295">
        <f>IF(OR($C295="",$M295=""),"",MIN($BL295:$BY295))</f>
        <v/>
      </c>
      <c r="CC295" s="90">
        <f>IF($CB295="","",IF($CB295&gt;=99,"",'設定'!$C$6+$CB295))</f>
        <v/>
      </c>
      <c r="CD295">
        <f>IF(OR($C295="",$M295=""),"",AVERAGE($V295:$AI295))</f>
        <v/>
      </c>
      <c r="CE295">
        <f>IF($C295="","",IFERROR(IF(MATCH(IF(ISNUMBER($P295),$P295,'設定'!$C$6+N('設定'!$C$7)),$V$3:$AI$3,0)=1,MAX(0,N($L295)),INDEX($AJ295:$AW295,MATCH(IF(ISNUMBER($P295),$P295,'設定'!$C$6+N('設定'!$C$7)),$V$3:$AI$3,0)-1)),""))</f>
        <v/>
      </c>
      <c r="CF295">
        <f>IF(OR($C295="",$O295="",$CE295=""),"",IF($O295-$CE295&lt;=0,0,ROUNDUP(($O295-$CE295)/$G295,0)))</f>
        <v/>
      </c>
      <c r="CG295">
        <f>IF(OR($C295="",$CF295="",NOT(ISNUMBER($Q295))),0,MAX(0,$Q295-$CF295))</f>
        <v/>
      </c>
      <c r="CH295">
        <f>IF(OR($C295="",$O295="",$U295=0),0,IFERROR(ROUNDUP(MAX(0,IF(MATCH($S295,$V$3:$AI$3,0)=1,MAX(0,N($L295)),INDEX($AX295:$BK295,MATCH($S295,$V$3:$AI$3,0)-1))+$U295-$O295)/$G295,0),0))</f>
        <v/>
      </c>
      <c r="CI295">
        <f>IF($C295="","",IF(AND($P295="",$Q295=""),"",IF($P295="","⚠ 入庫日を ▼ から選んでください",IF(NOT(ISNUMBER($P295)),"⚠ 入庫日は ▼ から選んでください",IF($P295&lt;N('設定'!$C$6),"⚠ 入庫日が過去です（もう在庫に入っています）→ 消してください",IF($P295&gt;N('設定'!$C$6)+13,"⚠ 入庫日が14日より先です",IF(N($Q295)&lt;=0,"⚠ 入庫数を入れてください",IF($CG295&gt;0,"⚠ 目安より "&amp;$CG295&amp;" 多い（定数を超える）→ 減らす",""))))))))</f>
        <v/>
      </c>
      <c r="CJ295">
        <f>IF($C295="","",IF(AND($S295="",$T295=""),"",IF($S295="","⚠ 2便目：入庫日を ▼ から選んでください",IF(NOT(ISNUMBER($S295)),"⚠ 2便目：入庫日は ▼ から選んでください",IF($S295&lt;N('設定'!$C$6),"⚠ 2便目：入庫日が過去です（もう在庫に入っています）→ 消してください",IF($S295&gt;N('設定'!$C$6)+13,"⚠ 2便目：入庫日が14日より先です",IF(N($T295)&lt;=0,"⚠ 2便目：入庫数を入れてください",IF($CH295&gt;0,"⚠ 2便目：定数を "&amp;$CH295&amp;" ケース超える → 減らす",""))))))))</f>
        <v/>
      </c>
      <c r="CK295">
        <f>IF(AND($CI295="",N($Q295)&gt;0,ISNUMBER($P295)),1,0)</f>
        <v/>
      </c>
      <c r="CL295">
        <f>IF(AND($CJ295="",N($T295)&gt;0,ISNUMBER($S295)),1,0)</f>
        <v/>
      </c>
      <c r="CM295">
        <f>IF(OR($CK295=1,$CL295=1),1,0)</f>
        <v/>
      </c>
      <c r="CN295">
        <f>IF($C295="",0,($CK295*$R295+$CL295*$U295)*N($H295))</f>
        <v/>
      </c>
      <c r="CO295">
        <f>IF($C295="","",IF($CC295="","入庫後は 14日以上もつ",IF($CC295-N('設定'!$C$7)&lt;='設定'!$C$6,"入庫後も "&amp;TEXT($CC295,"m/d")&amp;"("&amp;CHOOSE(WEEKDAY($CC295),"日","月","火","水","木","金","土")&amp;")"&amp;" に切れる　もう1便を至急発注","入庫後も "&amp;TEXT($CC295,"m/d")&amp;"("&amp;CHOOSE(WEEKDAY($CC295),"日","月","火","水","木","金","土")&amp;")"&amp;" に切れる　"&amp;TEXT($CC295-N('設定'!$C$7),"m/d")&amp;"("&amp;CHOOSE(WEEKDAY($CC295-N('設定'!$C$7)),"日","月","火","水","木","金","土")&amp;")"&amp;" までに次を発注")))</f>
        <v/>
      </c>
      <c r="CP295">
        <f>IF($C295="","",IF('設定'!$C$6="","？ ①在庫を貼る に今日のCSVが貼られていない",IF($CS295=1,"－ 今日のCSVに無い（終売？）",IF($L295&lt;0,"● 在庫がマイナス　数えて「数えた在庫」に入れる",IF($L295=0,"● 在庫なし　至急発注",IF($M295="","？ 減り数が未設定（商品マスタ）",IF($B$3=0,"？ 動員が未入力（動員を入れる）",IF($CA295="","○ 14日以上もつ",IF($BZ295&lt;N('設定'!$C$7),"● "&amp;TEXT($CA295,"m/d")&amp;"("&amp;CHOOSE(WEEKDAY($CA295),"日","月","火","水","木","金","土")&amp;")"&amp;" に切れる　至急発注",IF($BZ295=N('設定'!$C$7),"● "&amp;TEXT($CA295,"m/d")&amp;"("&amp;CHOOSE(WEEKDAY($CA295),"日","月","火","水","木","金","土")&amp;")"&amp;" に切れる　今日発注","△ "&amp;TEXT($CA295,"m/d")&amp;"("&amp;CHOOSE(WEEKDAY($CA295),"日","月","火","水","木","金","土")&amp;")"&amp;" に切れる　"&amp;TEXT($CA295-N('設定'!$C$7),"m/d")&amp;"("&amp;CHOOSE(WEEKDAY($CA295-N('設定'!$C$7)),"日","月","火","水","木","金","土")&amp;")"&amp;" までに発注"))))))))))</f>
        <v/>
      </c>
      <c r="CQ295">
        <f>IF($C295="","",IF(AND($P295="",$Q295="",$S295="",$T295=""),"",IF(AND($P295="",$Q295=""),"⚠ 先に1便目（左の入庫日・入庫数）に入れてください",IF($CI295&lt;&gt;"",$CI295,IF($CJ295&lt;&gt;"",$CJ295,IF($M295="","？ 減り数が未設定（発注書には載ります）",IF($B$3=0,"？ 動員が未入力（発注書には載ります）",IF(AND($CA295&lt;&gt;"",$P295&gt;$CA295),IF($P295&gt;'設定'!$C$6+N('設定'!$C$7),"● "&amp;TEXT($P295,"m/d")&amp;"("&amp;CHOOSE(WEEKDAY($P295),"日","月","火","水","木","金","土")&amp;")"&amp;" の入庫では間に合わない（"&amp;TEXT($CA295,"m/d")&amp;"("&amp;CHOOSE(WEEKDAY($CA295),"日","月","火","水","木","金","土")&amp;")"&amp;" に切れる）　入庫日を早める","△ 欠品 "&amp;TEXT($CA295,"m/d")&amp;"("&amp;CHOOSE(WEEKDAY($CA295),"日","月","火","水","木","金","土")&amp;")"&amp;"〜"&amp;TEXT($P295-1,"m/d")&amp;"("&amp;CHOOSE(WEEKDAY($P295-1),"日","月","火","水","木","金","土")&amp;")"&amp;"　"&amp;$CO295),IF($CC295="","○ "&amp;TEXT($P295,"m/d")&amp;"("&amp;CHOOSE(WEEKDAY($P295),"日","月","火","水","木","金","土")&amp;")"&amp;" 入庫で 14日以上もつ",IF($CC295-N('設定'!$C$7)&lt;='設定'!$C$6,"● 入庫しても "&amp;TEXT($CC295,"m/d")&amp;"("&amp;CHOOSE(WEEKDAY($CC295),"日","月","火","水","木","金","土")&amp;")"&amp;" に切れる　もう1便を至急発注（2便目に入れる）","△ 入庫しても "&amp;TEXT($CC295,"m/d")&amp;"("&amp;CHOOSE(WEEKDAY($CC295),"日","月","火","水","木","金","土")&amp;")"&amp;" に切れる　"&amp;TEXT($CC295-N('設定'!$C$7),"m/d")&amp;"("&amp;CHOOSE(WEEKDAY($CC295-N('設定'!$C$7)),"日","月","火","水","木","金","土")&amp;")"&amp;" までに次を発注（2便目に入れる）"))))))))))</f>
        <v/>
      </c>
      <c r="CR295">
        <f>IF($C295="","",IF($G295&gt;1,"ｹｰｽ("&amp;$G295&amp;"入)","個"))</f>
        <v/>
      </c>
      <c r="CS295">
        <f>IF($C295="",0,IF(COUNTIFS('①在庫を貼る'!$V$6:$V$10005,'設定'!$C$4,'①在庫を貼る'!$W$6:$W$10005,$C295)=0,1,0))</f>
        <v/>
      </c>
      <c r="CT295">
        <f>IF(AND($CK295=1,OR('③発注書'!$C$4="すべて",'③発注書'!$C$4="",$F295='③発注書'!$C$4)),N($CT294)+1,N($CT294))</f>
        <v/>
      </c>
      <c r="CU295">
        <f>IF(AND($CL295=1,OR('③発注書'!$C$4="すべて",'③発注書'!$C$4="",$F295='③発注書'!$C$4)),N($CU294)+1,N($CU294))</f>
        <v/>
      </c>
      <c r="CV295">
        <f>IF($C295="",0,IF(COUNTIFS('①在庫を貼る'!$V$6:$V$10005,'設定'!$C$4,'①在庫を貼る'!$W$6:$W$10005,$C295)&gt;0,1,0))</f>
        <v/>
      </c>
      <c r="CW295">
        <f>IF($C295="",0,IF(COUNTIFS('月1回_1ヶ月前の在庫'!$V$6:$V$10005,'設定'!$C$4,'月1回_1ヶ月前の在庫'!$W$6:$W$10005,$C295)&gt;0,1,0))</f>
        <v/>
      </c>
      <c r="CX295">
        <f>IF($C295="",0,IF(COUNTIFS('月1回_2ヶ月前の在庫'!$V$6:$V$10005,'設定'!$C$4,'月1回_2ヶ月前の在庫'!$W$6:$W$10005,$C295)&gt;0,1,0))</f>
        <v/>
      </c>
      <c r="CY295">
        <f>IF(OR($C295="",'設定'!$C$12=""),"",IF('設定'!$C$13="",IF(AND($CV295=1,$CW295=0),"新商品（今月から）",IF(AND($CV295=0,$CW295=1),"終売（今月から）","")),IF(AND($CV295=1,$CW295=0,$CX295=0),"新商品（今月から）",IF(AND($CV295=1,$CW295=1,$CX295=0),"新商品（先月から）",IF(AND($CV295=0,$CW295=1,$CX295=1),"終売（今月から）",IF(AND($CV295=0,$CW295=0,$CX295=1),"終売（先月から）",IF(AND($CV295=1,$CW295=0,$CX295=1),"復活（先月は無し）","")))))))</f>
        <v/>
      </c>
    </row>
    <row r="296">
      <c r="B296">
        <f>IF(291&lt;='設定'!$C$11,291,"")</f>
        <v/>
      </c>
      <c r="C296">
        <f>IF($B296="","",IF($B296&lt;='設定'!$C$20,INDEX('商品マスタ'!$B$6:$B$1005,MATCH($B296,'商品マスタ'!$M$6:$M$1005,0)),IF($B296&lt;='設定'!$C$20+'設定'!$C$17,INDEX('①在庫を貼る'!$W$6:$W$10005,MATCH($B296-'設定'!$C$20,'①在庫を貼る'!$U$6:$U$10005,0)),IF($B296&lt;='設定'!$C$20+'設定'!$C$17+'設定'!$C$18,INDEX('月1回_1ヶ月前の在庫'!$W$6:$W$10005,MATCH($B296-'設定'!$C$20-'設定'!$C$17,'月1回_1ヶ月前の在庫'!$U$6:$U$10005,0)),INDEX('月1回_2ヶ月前の在庫'!$W$6:$W$10005,MATCH($B296-'設定'!$C$20-'設定'!$C$17-'設定'!$C$18,'月1回_2ヶ月前の在庫'!$U$6:$U$10005,0))))))</f>
        <v/>
      </c>
      <c r="D296">
        <f>IF($C296="","",IFERROR(IF(INDEX('商品マスタ'!$C$6:$C$1005,MATCH($C296,'商品マスタ'!$B$6:$B$1005,0))="",IFERROR(INDEX('①在庫を貼る'!$J$6:$J$10005,MATCH($C296,'①在庫を貼る'!$W$6:$W$10005,0)),IFERROR(INDEX('月1回_1ヶ月前の在庫'!$J$6:$J$10005,MATCH($C296,'月1回_1ヶ月前の在庫'!$W$6:$W$10005,0)),IFERROR(INDEX('月1回_2ヶ月前の在庫'!$J$6:$J$10005,MATCH($C296,'月1回_2ヶ月前の在庫'!$W$6:$W$10005,0)),""))),INDEX('商品マスタ'!$C$6:$C$1005,MATCH($C296,'商品マスタ'!$B$6:$B$1005,0))),IFERROR(INDEX('①在庫を貼る'!$J$6:$J$10005,MATCH($C296,'①在庫を貼る'!$W$6:$W$10005,0)),IFERROR(INDEX('月1回_1ヶ月前の在庫'!$J$6:$J$10005,MATCH($C296,'月1回_1ヶ月前の在庫'!$W$6:$W$10005,0)),IFERROR(INDEX('月1回_2ヶ月前の在庫'!$J$6:$J$10005,MATCH($C296,'月1回_2ヶ月前の在庫'!$W$6:$W$10005,0)),"")))))</f>
        <v/>
      </c>
      <c r="E296">
        <f>IF($C296="","",IFERROR(IF(INDEX('商品マスタ'!$D$6:$D$1005,MATCH($C296,'商品マスタ'!$B$6:$B$1005,0))="",IFERROR(INDEX('①在庫を貼る'!$H$6:$H$10005,MATCH($C296,'①在庫を貼る'!$W$6:$W$10005,0)),IFERROR(INDEX('月1回_1ヶ月前の在庫'!$H$6:$H$10005,MATCH($C296,'月1回_1ヶ月前の在庫'!$W$6:$W$10005,0)),IFERROR(INDEX('月1回_2ヶ月前の在庫'!$H$6:$H$10005,MATCH($C296,'月1回_2ヶ月前の在庫'!$W$6:$W$10005,0)),""))),INDEX('商品マスタ'!$D$6:$D$1005,MATCH($C296,'商品マスタ'!$B$6:$B$1005,0))),IFERROR(INDEX('①在庫を貼る'!$H$6:$H$10005,MATCH($C296,'①在庫を貼る'!$W$6:$W$10005,0)),IFERROR(INDEX('月1回_1ヶ月前の在庫'!$H$6:$H$10005,MATCH($C296,'月1回_1ヶ月前の在庫'!$W$6:$W$10005,0)),IFERROR(INDEX('月1回_2ヶ月前の在庫'!$H$6:$H$10005,MATCH($C296,'月1回_2ヶ月前の在庫'!$W$6:$W$10005,0)),"")))))</f>
        <v/>
      </c>
      <c r="F296">
        <f>IF($C296="","",IFERROR(IF(INDEX('商品マスタ'!$E$6:$E$1005,MATCH($C296,'商品マスタ'!$B$6:$B$1005,0))="",IFERROR(INDEX('①在庫を貼る'!$E$6:$E$10005,MATCH($C296,'①在庫を貼る'!$W$6:$W$10005,0)),IFERROR(INDEX('月1回_1ヶ月前の在庫'!$E$6:$E$10005,MATCH($C296,'月1回_1ヶ月前の在庫'!$W$6:$W$10005,0)),IFERROR(INDEX('月1回_2ヶ月前の在庫'!$E$6:$E$10005,MATCH($C296,'月1回_2ヶ月前の在庫'!$W$6:$W$10005,0)),""))),INDEX('商品マスタ'!$E$6:$E$1005,MATCH($C296,'商品マスタ'!$B$6:$B$1005,0))),IFERROR(INDEX('①在庫を貼る'!$E$6:$E$10005,MATCH($C296,'①在庫を貼る'!$W$6:$W$10005,0)),IFERROR(INDEX('月1回_1ヶ月前の在庫'!$E$6:$E$10005,MATCH($C296,'月1回_1ヶ月前の在庫'!$W$6:$W$10005,0)),IFERROR(INDEX('月1回_2ヶ月前の在庫'!$E$6:$E$10005,MATCH($C296,'月1回_2ヶ月前の在庫'!$W$6:$W$10005,0)),"")))))</f>
        <v/>
      </c>
      <c r="G296">
        <f>IF($C296="","",MAX(1,N(IFERROR(IF(INDEX('商品マスタ'!$F$6:$F$1005,MATCH($C296,'商品マスタ'!$B$6:$B$1005,0))="",IF(COUNTIFS('①在庫を貼る'!$V$6:$V$10005,'設定'!$C$4,'①在庫を貼る'!$W$6:$W$10005,$C296)&gt;0,SUMIFS('①在庫を貼る'!$K$6:$K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K$6:$K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K$6:$K$10005,'月1回_2ヶ月前の在庫'!$V$6:$V$10005,'設定'!$C$4,'月1回_2ヶ月前の在庫'!$W$6:$W$10005,$C296)/COUNTIFS('月1回_2ヶ月前の在庫'!$V$6:$V$10005,'設定'!$C$4,'月1回_2ヶ月前の在庫'!$W$6:$W$10005,$C296),0))),INDEX('商品マスタ'!$F$6:$F$1005,MATCH($C296,'商品マスタ'!$B$6:$B$1005,0))),IF(COUNTIFS('①在庫を貼る'!$V$6:$V$10005,'設定'!$C$4,'①在庫を貼る'!$W$6:$W$10005,$C296)&gt;0,SUMIFS('①在庫を貼る'!$K$6:$K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K$6:$K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K$6:$K$10005,'月1回_2ヶ月前の在庫'!$V$6:$V$10005,'設定'!$C$4,'月1回_2ヶ月前の在庫'!$W$6:$W$10005,$C296)/COUNTIFS('月1回_2ヶ月前の在庫'!$V$6:$V$10005,'設定'!$C$4,'月1回_2ヶ月前の在庫'!$W$6:$W$10005,$C296),0)))))))</f>
        <v/>
      </c>
      <c r="H296">
        <f>IF($C296="","",N(IFERROR(IF(INDEX('商品マスタ'!$G$6:$G$1005,MATCH($C296,'商品マスタ'!$B$6:$B$1005,0))="",IF(COUNTIFS('①在庫を貼る'!$V$6:$V$10005,'設定'!$C$4,'①在庫を貼る'!$W$6:$W$10005,$C296)&gt;0,SUMIFS('①在庫を貼る'!$Q$6:$Q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Q$6:$Q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Q$6:$Q$10005,'月1回_2ヶ月前の在庫'!$V$6:$V$10005,'設定'!$C$4,'月1回_2ヶ月前の在庫'!$W$6:$W$10005,$C296)/COUNTIFS('月1回_2ヶ月前の在庫'!$V$6:$V$10005,'設定'!$C$4,'月1回_2ヶ月前の在庫'!$W$6:$W$10005,$C296),0))),INDEX('商品マスタ'!$G$6:$G$1005,MATCH($C296,'商品マスタ'!$B$6:$B$1005,0))),IF(COUNTIFS('①在庫を貼る'!$V$6:$V$10005,'設定'!$C$4,'①在庫を貼る'!$W$6:$W$10005,$C296)&gt;0,SUMIFS('①在庫を貼る'!$Q$6:$Q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Q$6:$Q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Q$6:$Q$10005,'月1回_2ヶ月前の在庫'!$V$6:$V$10005,'設定'!$C$4,'月1回_2ヶ月前の在庫'!$W$6:$W$10005,$C296)/COUNTIFS('月1回_2ヶ月前の在庫'!$V$6:$V$10005,'設定'!$C$4,'月1回_2ヶ月前の在庫'!$W$6:$W$10005,$C296),0))))))</f>
        <v/>
      </c>
      <c r="I296">
        <f>IF($C296="","",IF(COUNTIFS('①在庫を貼る'!$V$6:$V$10005,'設定'!$C$4,'①在庫を貼る'!$W$6:$W$10005,$C296)=0,"",SUMIFS('①在庫を貼る'!$N$6:$N$10005,'①在庫を貼る'!$V$6:$V$10005,'設定'!$C$4,'①在庫を貼る'!$W$6:$W$10005,$C296)))</f>
        <v/>
      </c>
      <c r="J296">
        <f>IF($C296="","",IF('②発注する'!$AD300="","",'②発注する'!$AD300))</f>
        <v/>
      </c>
      <c r="K296" s="90">
        <f>IF($C296="","",IF('②発注する'!$AE300="","",'②発注する'!$AE300))</f>
        <v/>
      </c>
      <c r="L296">
        <f>IF($C296="","",IF(AND(ISNUMBER($J296),ISNUMBER($K296),$K296&gt;='設定'!$C$6),$J296,N($I296)))</f>
        <v/>
      </c>
      <c r="M296">
        <f>IF($C296="","",IFERROR(IF(N(INDEX('商品マスタ'!$J$6:$J$1005,MATCH($C296,'商品マスタ'!$B$6:$B$1005,0)))&gt;0,INDEX('商品マスタ'!$J$6:$J$1005,MATCH($C296,'商品マスタ'!$B$6:$B$1005,0)),""),""))</f>
        <v/>
      </c>
      <c r="N296">
        <f>IF($C296="","",IFERROR(IF(N(INDEX('商品マスタ'!$H$6:$H$1005,MATCH($C296,'商品マスタ'!$B$6:$B$1005,0)))&gt;0,INDEX('商品マスタ'!$H$6:$H$1005,MATCH($C296,'商品マスタ'!$B$6:$B$1005,0)),""),""))</f>
        <v/>
      </c>
      <c r="O296">
        <f>IF($C296="","",IF($N296&lt;&gt;"",$N296*$G296,IF(N(IF(COUNTIFS('①在庫を貼る'!$V$6:$V$10005,'設定'!$C$4,'①在庫を貼る'!$W$6:$W$10005,$C296)&gt;0,SUMIFS('①在庫を貼る'!$O$6:$O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O$6:$O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O$6:$O$10005,'月1回_2ヶ月前の在庫'!$V$6:$V$10005,'設定'!$C$4,'月1回_2ヶ月前の在庫'!$W$6:$W$10005,$C296)/COUNTIFS('月1回_2ヶ月前の在庫'!$V$6:$V$10005,'設定'!$C$4,'月1回_2ヶ月前の在庫'!$W$6:$W$10005,$C296),0))))&gt;0,N(IF(COUNTIFS('①在庫を貼る'!$V$6:$V$10005,'設定'!$C$4,'①在庫を貼る'!$W$6:$W$10005,$C296)&gt;0,SUMIFS('①在庫を貼る'!$O$6:$O$10005,'①在庫を貼る'!$V$6:$V$10005,'設定'!$C$4,'①在庫を貼る'!$W$6:$W$10005,$C296)/COUNTIFS('①在庫を貼る'!$V$6:$V$10005,'設定'!$C$4,'①在庫を貼る'!$W$6:$W$10005,$C296),IF(COUNTIFS('月1回_1ヶ月前の在庫'!$V$6:$V$10005,'設定'!$C$4,'月1回_1ヶ月前の在庫'!$W$6:$W$10005,$C296)&gt;0,SUMIFS('月1回_1ヶ月前の在庫'!$O$6:$O$10005,'月1回_1ヶ月前の在庫'!$V$6:$V$10005,'設定'!$C$4,'月1回_1ヶ月前の在庫'!$W$6:$W$10005,$C296)/COUNTIFS('月1回_1ヶ月前の在庫'!$V$6:$V$10005,'設定'!$C$4,'月1回_1ヶ月前の在庫'!$W$6:$W$10005,$C296),IF(COUNTIFS('月1回_2ヶ月前の在庫'!$V$6:$V$10005,'設定'!$C$4,'月1回_2ヶ月前の在庫'!$W$6:$W$10005,$C296)&gt;0,SUMIFS('月1回_2ヶ月前の在庫'!$O$6:$O$10005,'月1回_2ヶ月前の在庫'!$V$6:$V$10005,'設定'!$C$4,'月1回_2ヶ月前の在庫'!$W$6:$W$10005,$C296)/COUNTIFS('月1回_2ヶ月前の在庫'!$V$6:$V$10005,'設定'!$C$4,'月1回_2ヶ月前の在庫'!$W$6:$W$10005,$C296),0)))),"")))</f>
        <v/>
      </c>
      <c r="P296" s="90">
        <f>IF($C296="","",IF('②発注する'!$I300="","",'②発注する'!$I300))</f>
        <v/>
      </c>
      <c r="Q296">
        <f>IF($C296="","",IF('②発注する'!$J300="","",'②発注する'!$J300))</f>
        <v/>
      </c>
      <c r="R296">
        <f>IF($C296="",0,IF(AND(ISNUMBER($P296),ISNUMBER($Q296)),MAX(0,$Q296)*$G296,0))</f>
        <v/>
      </c>
      <c r="S296" s="90">
        <f>IF($C296="","",IF('②発注する'!$M300="","",'②発注する'!$M300))</f>
        <v/>
      </c>
      <c r="T296">
        <f>IF($C296="","",IF('②発注する'!$N300="","",'②発注する'!$N300))</f>
        <v/>
      </c>
      <c r="U296">
        <f>IF($C296="",0,IF(AND(ISNUMBER($S296),ISNUMBER($T296)),MAX(0,$T296)*$G296,0))</f>
        <v/>
      </c>
      <c r="V296">
        <f>IF($C296="",0,IF($M296="",0,MAX(0,$M296)*MAX(0,V$4)/100))</f>
        <v/>
      </c>
      <c r="W296">
        <f>IF($C296="",0,IF($M296="",0,MAX(0,$M296)*MAX(0,W$4)/100))</f>
        <v/>
      </c>
      <c r="X296">
        <f>IF($C296="",0,IF($M296="",0,MAX(0,$M296)*MAX(0,X$4)/100))</f>
        <v/>
      </c>
      <c r="Y296">
        <f>IF($C296="",0,IF($M296="",0,MAX(0,$M296)*MAX(0,Y$4)/100))</f>
        <v/>
      </c>
      <c r="Z296">
        <f>IF($C296="",0,IF($M296="",0,MAX(0,$M296)*MAX(0,Z$4)/100))</f>
        <v/>
      </c>
      <c r="AA296">
        <f>IF($C296="",0,IF($M296="",0,MAX(0,$M296)*MAX(0,AA$4)/100))</f>
        <v/>
      </c>
      <c r="AB296">
        <f>IF($C296="",0,IF($M296="",0,MAX(0,$M296)*MAX(0,AB$4)/100))</f>
        <v/>
      </c>
      <c r="AC296">
        <f>IF($C296="",0,IF($M296="",0,MAX(0,$M296)*MAX(0,AC$4)/100))</f>
        <v/>
      </c>
      <c r="AD296">
        <f>IF($C296="",0,IF($M296="",0,MAX(0,$M296)*MAX(0,AD$4)/100))</f>
        <v/>
      </c>
      <c r="AE296">
        <f>IF($C296="",0,IF($M296="",0,MAX(0,$M296)*MAX(0,AE$4)/100))</f>
        <v/>
      </c>
      <c r="AF296">
        <f>IF($C296="",0,IF($M296="",0,MAX(0,$M296)*MAX(0,AF$4)/100))</f>
        <v/>
      </c>
      <c r="AG296">
        <f>IF($C296="",0,IF($M296="",0,MAX(0,$M296)*MAX(0,AG$4)/100))</f>
        <v/>
      </c>
      <c r="AH296">
        <f>IF($C296="",0,IF($M296="",0,MAX(0,$M296)*MAX(0,AH$4)/100))</f>
        <v/>
      </c>
      <c r="AI296">
        <f>IF($C296="",0,IF($M296="",0,MAX(0,$M296)*MAX(0,AI$4)/100))</f>
        <v/>
      </c>
      <c r="AJ296">
        <f>IF($C296="",0,MAX(0,MAX(0,N($L296))-$V296))</f>
        <v/>
      </c>
      <c r="AK296">
        <f>IF($C296="",0,MAX(0,$AJ296-$W296))</f>
        <v/>
      </c>
      <c r="AL296">
        <f>IF($C296="",0,MAX(0,$AK296-$X296))</f>
        <v/>
      </c>
      <c r="AM296">
        <f>IF($C296="",0,MAX(0,$AL296-$Y296))</f>
        <v/>
      </c>
      <c r="AN296">
        <f>IF($C296="",0,MAX(0,$AM296-$Z296))</f>
        <v/>
      </c>
      <c r="AO296">
        <f>IF($C296="",0,MAX(0,$AN296-$AA296))</f>
        <v/>
      </c>
      <c r="AP296">
        <f>IF($C296="",0,MAX(0,$AO296-$AB296))</f>
        <v/>
      </c>
      <c r="AQ296">
        <f>IF($C296="",0,MAX(0,$AP296-$AC296))</f>
        <v/>
      </c>
      <c r="AR296">
        <f>IF($C296="",0,MAX(0,$AQ296-$AD296))</f>
        <v/>
      </c>
      <c r="AS296">
        <f>IF($C296="",0,MAX(0,$AR296-$AE296))</f>
        <v/>
      </c>
      <c r="AT296">
        <f>IF($C296="",0,MAX(0,$AS296-$AF296))</f>
        <v/>
      </c>
      <c r="AU296">
        <f>IF($C296="",0,MAX(0,$AT296-$AG296))</f>
        <v/>
      </c>
      <c r="AV296">
        <f>IF($C296="",0,MAX(0,$AU296-$AH296))</f>
        <v/>
      </c>
      <c r="AW296">
        <f>IF($C296="",0,MAX(0,$AV296-$AI296))</f>
        <v/>
      </c>
      <c r="AX296">
        <f>IF($C296="",0,MAX(0,MAX(0,N($L296))+IF($P296=V$3,$R296,0)+IF($S296=V$3,$U296,0)-$V296))</f>
        <v/>
      </c>
      <c r="AY296">
        <f>IF($C296="",0,MAX(0,$AX296+IF($P296=W$3,$R296,0)+IF($S296=W$3,$U296,0)-$W296))</f>
        <v/>
      </c>
      <c r="AZ296">
        <f>IF($C296="",0,MAX(0,$AY296+IF($P296=X$3,$R296,0)+IF($S296=X$3,$U296,0)-$X296))</f>
        <v/>
      </c>
      <c r="BA296">
        <f>IF($C296="",0,MAX(0,$AZ296+IF($P296=Y$3,$R296,0)+IF($S296=Y$3,$U296,0)-$Y296))</f>
        <v/>
      </c>
      <c r="BB296">
        <f>IF($C296="",0,MAX(0,$BA296+IF($P296=Z$3,$R296,0)+IF($S296=Z$3,$U296,0)-$Z296))</f>
        <v/>
      </c>
      <c r="BC296">
        <f>IF($C296="",0,MAX(0,$BB296+IF($P296=AA$3,$R296,0)+IF($S296=AA$3,$U296,0)-$AA296))</f>
        <v/>
      </c>
      <c r="BD296">
        <f>IF($C296="",0,MAX(0,$BC296+IF($P296=AB$3,$R296,0)+IF($S296=AB$3,$U296,0)-$AB296))</f>
        <v/>
      </c>
      <c r="BE296">
        <f>IF($C296="",0,MAX(0,$BD296+IF($P296=AC$3,$R296,0)+IF($S296=AC$3,$U296,0)-$AC296))</f>
        <v/>
      </c>
      <c r="BF296">
        <f>IF($C296="",0,MAX(0,$BE296+IF($P296=AD$3,$R296,0)+IF($S296=AD$3,$U296,0)-$AD296))</f>
        <v/>
      </c>
      <c r="BG296">
        <f>IF($C296="",0,MAX(0,$BF296+IF($P296=AE$3,$R296,0)+IF($S296=AE$3,$U296,0)-$AE296))</f>
        <v/>
      </c>
      <c r="BH296">
        <f>IF($C296="",0,MAX(0,$BG296+IF($P296=AF$3,$R296,0)+IF($S296=AF$3,$U296,0)-$AF296))</f>
        <v/>
      </c>
      <c r="BI296">
        <f>IF($C296="",0,MAX(0,$BH296+IF($P296=AG$3,$R296,0)+IF($S296=AG$3,$U296,0)-$AG296))</f>
        <v/>
      </c>
      <c r="BJ296">
        <f>IF($C296="",0,MAX(0,$BI296+IF($P296=AH$3,$R296,0)+IF($S296=AH$3,$U296,0)-$AH296))</f>
        <v/>
      </c>
      <c r="BK296">
        <f>IF($C296="",0,MAX(0,$BJ296+IF($P296=AI$3,$R296,0)+IF($S296=AI$3,$U296,0)-$AI296))</f>
        <v/>
      </c>
      <c r="BL296">
        <f>IF($C296="",99,IF(AND($AX296&lt;1,V$3&gt;=MAX(N($P296),N($S296))),0,99))</f>
        <v/>
      </c>
      <c r="BM296">
        <f>IF($C296="",99,IF(AND($AY296&lt;1,W$3&gt;=MAX(N($P296),N($S296))),1,99))</f>
        <v/>
      </c>
      <c r="BN296">
        <f>IF($C296="",99,IF(AND($AZ296&lt;1,X$3&gt;=MAX(N($P296),N($S296))),2,99))</f>
        <v/>
      </c>
      <c r="BO296">
        <f>IF($C296="",99,IF(AND($BA296&lt;1,Y$3&gt;=MAX(N($P296),N($S296))),3,99))</f>
        <v/>
      </c>
      <c r="BP296">
        <f>IF($C296="",99,IF(AND($BB296&lt;1,Z$3&gt;=MAX(N($P296),N($S296))),4,99))</f>
        <v/>
      </c>
      <c r="BQ296">
        <f>IF($C296="",99,IF(AND($BC296&lt;1,AA$3&gt;=MAX(N($P296),N($S296))),5,99))</f>
        <v/>
      </c>
      <c r="BR296">
        <f>IF($C296="",99,IF(AND($BD296&lt;1,AB$3&gt;=MAX(N($P296),N($S296))),6,99))</f>
        <v/>
      </c>
      <c r="BS296">
        <f>IF($C296="",99,IF(AND($BE296&lt;1,AC$3&gt;=MAX(N($P296),N($S296))),7,99))</f>
        <v/>
      </c>
      <c r="BT296">
        <f>IF($C296="",99,IF(AND($BF296&lt;1,AD$3&gt;=MAX(N($P296),N($S296))),8,99))</f>
        <v/>
      </c>
      <c r="BU296">
        <f>IF($C296="",99,IF(AND($BG296&lt;1,AE$3&gt;=MAX(N($P296),N($S296))),9,99))</f>
        <v/>
      </c>
      <c r="BV296">
        <f>IF($C296="",99,IF(AND($BH296&lt;1,AF$3&gt;=MAX(N($P296),N($S296))),10,99))</f>
        <v/>
      </c>
      <c r="BW296">
        <f>IF($C296="",99,IF(AND($BI296&lt;1,AG$3&gt;=MAX(N($P296),N($S296))),11,99))</f>
        <v/>
      </c>
      <c r="BX296">
        <f>IF($C296="",99,IF(AND($BJ296&lt;1,AH$3&gt;=MAX(N($P296),N($S296))),12,99))</f>
        <v/>
      </c>
      <c r="BY296">
        <f>IF($C296="",99,IF(AND($BK296&lt;1,AI$3&gt;=MAX(N($P296),N($S296))),13,99))</f>
        <v/>
      </c>
      <c r="BZ296">
        <f>IF(OR($C296="",$M296=""),"",COUNTIF($AJ296:$AW296,"&gt;=1"))</f>
        <v/>
      </c>
      <c r="CA296" s="90">
        <f>IF($BZ296="","",IF($BZ296&gt;=14,"",'設定'!$C$6+$BZ296))</f>
        <v/>
      </c>
      <c r="CB296">
        <f>IF(OR($C296="",$M296=""),"",MIN($BL296:$BY296))</f>
        <v/>
      </c>
      <c r="CC296" s="90">
        <f>IF($CB296="","",IF($CB296&gt;=99,"",'設定'!$C$6+$CB296))</f>
        <v/>
      </c>
      <c r="CD296">
        <f>IF(OR($C296="",$M296=""),"",AVERAGE($V296:$AI296))</f>
        <v/>
      </c>
      <c r="CE296">
        <f>IF($C296="","",IFERROR(IF(MATCH(IF(ISNUMBER($P296),$P296,'設定'!$C$6+N('設定'!$C$7)),$V$3:$AI$3,0)=1,MAX(0,N($L296)),INDEX($AJ296:$AW296,MATCH(IF(ISNUMBER($P296),$P296,'設定'!$C$6+N('設定'!$C$7)),$V$3:$AI$3,0)-1)),""))</f>
        <v/>
      </c>
      <c r="CF296">
        <f>IF(OR($C296="",$O296="",$CE296=""),"",IF($O296-$CE296&lt;=0,0,ROUNDUP(($O296-$CE296)/$G296,0)))</f>
        <v/>
      </c>
      <c r="CG296">
        <f>IF(OR($C296="",$CF296="",NOT(ISNUMBER($Q296))),0,MAX(0,$Q296-$CF296))</f>
        <v/>
      </c>
      <c r="CH296">
        <f>IF(OR($C296="",$O296="",$U296=0),0,IFERROR(ROUNDUP(MAX(0,IF(MATCH($S296,$V$3:$AI$3,0)=1,MAX(0,N($L296)),INDEX($AX296:$BK296,MATCH($S296,$V$3:$AI$3,0)-1))+$U296-$O296)/$G296,0),0))</f>
        <v/>
      </c>
      <c r="CI296">
        <f>IF($C296="","",IF(AND($P296="",$Q296=""),"",IF($P296="","⚠ 入庫日を ▼ から選んでください",IF(NOT(ISNUMBER($P296)),"⚠ 入庫日は ▼ から選んでください",IF($P296&lt;N('設定'!$C$6),"⚠ 入庫日が過去です（もう在庫に入っています）→ 消してください",IF($P296&gt;N('設定'!$C$6)+13,"⚠ 入庫日が14日より先です",IF(N($Q296)&lt;=0,"⚠ 入庫数を入れてください",IF($CG296&gt;0,"⚠ 目安より "&amp;$CG296&amp;" 多い（定数を超える）→ 減らす",""))))))))</f>
        <v/>
      </c>
      <c r="CJ296">
        <f>IF($C296="","",IF(AND($S296="",$T296=""),"",IF($S296="","⚠ 2便目：入庫日を ▼ から選んでください",IF(NOT(ISNUMBER($S296)),"⚠ 2便目：入庫日は ▼ から選んでください",IF($S296&lt;N('設定'!$C$6),"⚠ 2便目：入庫日が過去です（もう在庫に入っています）→ 消してください",IF($S296&gt;N('設定'!$C$6)+13,"⚠ 2便目：入庫日が14日より先です",IF(N($T296)&lt;=0,"⚠ 2便目：入庫数を入れてください",IF($CH296&gt;0,"⚠ 2便目：定数を "&amp;$CH296&amp;" ケース超える → 減らす",""))))))))</f>
        <v/>
      </c>
      <c r="CK296">
        <f>IF(AND($CI296="",N($Q296)&gt;0,ISNUMBER($P296)),1,0)</f>
        <v/>
      </c>
      <c r="CL296">
        <f>IF(AND($CJ296="",N($T296)&gt;0,ISNUMBER($S296)),1,0)</f>
        <v/>
      </c>
      <c r="CM296">
        <f>IF(OR($CK296=1,$CL296=1),1,0)</f>
        <v/>
      </c>
      <c r="CN296">
        <f>IF($C296="",0,($CK296*$R296+$CL296*$U296)*N($H296))</f>
        <v/>
      </c>
      <c r="CO296">
        <f>IF($C296="","",IF($CC296="","入庫後は 14日以上もつ",IF($CC296-N('設定'!$C$7)&lt;='設定'!$C$6,"入庫後も "&amp;TEXT($CC296,"m/d")&amp;"("&amp;CHOOSE(WEEKDAY($CC296),"日","月","火","水","木","金","土")&amp;")"&amp;" に切れる　もう1便を至急発注","入庫後も "&amp;TEXT($CC296,"m/d")&amp;"("&amp;CHOOSE(WEEKDAY($CC296),"日","月","火","水","木","金","土")&amp;")"&amp;" に切れる　"&amp;TEXT($CC296-N('設定'!$C$7),"m/d")&amp;"("&amp;CHOOSE(WEEKDAY($CC296-N('設定'!$C$7)),"日","月","火","水","木","金","土")&amp;")"&amp;" までに次を発注")))</f>
        <v/>
      </c>
      <c r="CP296">
        <f>IF($C296="","",IF('設定'!$C$6="","？ ①在庫を貼る に今日のCSVが貼られていない",IF($CS296=1,"－ 今日のCSVに無い（終売？）",IF($L296&lt;0,"● 在庫がマイナス　数えて「数えた在庫」に入れる",IF($L296=0,"● 在庫なし　至急発注",IF($M296="","？ 減り数が未設定（商品マスタ）",IF($B$3=0,"？ 動員が未入力（動員を入れる）",IF($CA296="","○ 14日以上もつ",IF($BZ296&lt;N('設定'!$C$7),"● "&amp;TEXT($CA296,"m/d")&amp;"("&amp;CHOOSE(WEEKDAY($CA296),"日","月","火","水","木","金","土")&amp;")"&amp;" に切れる　至急発注",IF($BZ296=N('設定'!$C$7),"● "&amp;TEXT($CA296,"m/d")&amp;"("&amp;CHOOSE(WEEKDAY($CA296),"日","月","火","水","木","金","土")&amp;")"&amp;" に切れる　今日発注","△ "&amp;TEXT($CA296,"m/d")&amp;"("&amp;CHOOSE(WEEKDAY($CA296),"日","月","火","水","木","金","土")&amp;")"&amp;" に切れる　"&amp;TEXT($CA296-N('設定'!$C$7),"m/d")&amp;"("&amp;CHOOSE(WEEKDAY($CA296-N('設定'!$C$7)),"日","月","火","水","木","金","土")&amp;")"&amp;" までに発注"))))))))))</f>
        <v/>
      </c>
      <c r="CQ296">
        <f>IF($C296="","",IF(AND($P296="",$Q296="",$S296="",$T296=""),"",IF(AND($P296="",$Q296=""),"⚠ 先に1便目（左の入庫日・入庫数）に入れてください",IF($CI296&lt;&gt;"",$CI296,IF($CJ296&lt;&gt;"",$CJ296,IF($M296="","？ 減り数が未設定（発注書には載ります）",IF($B$3=0,"？ 動員が未入力（発注書には載ります）",IF(AND($CA296&lt;&gt;"",$P296&gt;$CA296),IF($P296&gt;'設定'!$C$6+N('設定'!$C$7),"● "&amp;TEXT($P296,"m/d")&amp;"("&amp;CHOOSE(WEEKDAY($P296),"日","月","火","水","木","金","土")&amp;")"&amp;" の入庫では間に合わない（"&amp;TEXT($CA296,"m/d")&amp;"("&amp;CHOOSE(WEEKDAY($CA296),"日","月","火","水","木","金","土")&amp;")"&amp;" に切れる）　入庫日を早める","△ 欠品 "&amp;TEXT($CA296,"m/d")&amp;"("&amp;CHOOSE(WEEKDAY($CA296),"日","月","火","水","木","金","土")&amp;")"&amp;"〜"&amp;TEXT($P296-1,"m/d")&amp;"("&amp;CHOOSE(WEEKDAY($P296-1),"日","月","火","水","木","金","土")&amp;")"&amp;"　"&amp;$CO296),IF($CC296="","○ "&amp;TEXT($P296,"m/d")&amp;"("&amp;CHOOSE(WEEKDAY($P296),"日","月","火","水","木","金","土")&amp;")"&amp;" 入庫で 14日以上もつ",IF($CC296-N('設定'!$C$7)&lt;='設定'!$C$6,"● 入庫しても "&amp;TEXT($CC296,"m/d")&amp;"("&amp;CHOOSE(WEEKDAY($CC296),"日","月","火","水","木","金","土")&amp;")"&amp;" に切れる　もう1便を至急発注（2便目に入れる）","△ 入庫しても "&amp;TEXT($CC296,"m/d")&amp;"("&amp;CHOOSE(WEEKDAY($CC296),"日","月","火","水","木","金","土")&amp;")"&amp;" に切れる　"&amp;TEXT($CC296-N('設定'!$C$7),"m/d")&amp;"("&amp;CHOOSE(WEEKDAY($CC296-N('設定'!$C$7)),"日","月","火","水","木","金","土")&amp;")"&amp;" までに次を発注（2便目に入れる）"))))))))))</f>
        <v/>
      </c>
      <c r="CR296">
        <f>IF($C296="","",IF($G296&gt;1,"ｹｰｽ("&amp;$G296&amp;"入)","個"))</f>
        <v/>
      </c>
      <c r="CS296">
        <f>IF($C296="",0,IF(COUNTIFS('①在庫を貼る'!$V$6:$V$10005,'設定'!$C$4,'①在庫を貼る'!$W$6:$W$10005,$C296)=0,1,0))</f>
        <v/>
      </c>
      <c r="CT296">
        <f>IF(AND($CK296=1,OR('③発注書'!$C$4="すべて",'③発注書'!$C$4="",$F296='③発注書'!$C$4)),N($CT295)+1,N($CT295))</f>
        <v/>
      </c>
      <c r="CU296">
        <f>IF(AND($CL296=1,OR('③発注書'!$C$4="すべて",'③発注書'!$C$4="",$F296='③発注書'!$C$4)),N($CU295)+1,N($CU295))</f>
        <v/>
      </c>
      <c r="CV296">
        <f>IF($C296="",0,IF(COUNTIFS('①在庫を貼る'!$V$6:$V$10005,'設定'!$C$4,'①在庫を貼る'!$W$6:$W$10005,$C296)&gt;0,1,0))</f>
        <v/>
      </c>
      <c r="CW296">
        <f>IF($C296="",0,IF(COUNTIFS('月1回_1ヶ月前の在庫'!$V$6:$V$10005,'設定'!$C$4,'月1回_1ヶ月前の在庫'!$W$6:$W$10005,$C296)&gt;0,1,0))</f>
        <v/>
      </c>
      <c r="CX296">
        <f>IF($C296="",0,IF(COUNTIFS('月1回_2ヶ月前の在庫'!$V$6:$V$10005,'設定'!$C$4,'月1回_2ヶ月前の在庫'!$W$6:$W$10005,$C296)&gt;0,1,0))</f>
        <v/>
      </c>
      <c r="CY296">
        <f>IF(OR($C296="",'設定'!$C$12=""),"",IF('設定'!$C$13="",IF(AND($CV296=1,$CW296=0),"新商品（今月から）",IF(AND($CV296=0,$CW296=1),"終売（今月から）","")),IF(AND($CV296=1,$CW296=0,$CX296=0),"新商品（今月から）",IF(AND($CV296=1,$CW296=1,$CX296=0),"新商品（先月から）",IF(AND($CV296=0,$CW296=1,$CX296=1),"終売（今月から）",IF(AND($CV296=0,$CW296=0,$CX296=1),"終売（先月から）",IF(AND($CV296=1,$CW296=0,$CX296=1),"復活（先月は無し）","")))))))</f>
        <v/>
      </c>
    </row>
    <row r="297">
      <c r="B297">
        <f>IF(292&lt;='設定'!$C$11,292,"")</f>
        <v/>
      </c>
      <c r="C297">
        <f>IF($B297="","",IF($B297&lt;='設定'!$C$20,INDEX('商品マスタ'!$B$6:$B$1005,MATCH($B297,'商品マスタ'!$M$6:$M$1005,0)),IF($B297&lt;='設定'!$C$20+'設定'!$C$17,INDEX('①在庫を貼る'!$W$6:$W$10005,MATCH($B297-'設定'!$C$20,'①在庫を貼る'!$U$6:$U$10005,0)),IF($B297&lt;='設定'!$C$20+'設定'!$C$17+'設定'!$C$18,INDEX('月1回_1ヶ月前の在庫'!$W$6:$W$10005,MATCH($B297-'設定'!$C$20-'設定'!$C$17,'月1回_1ヶ月前の在庫'!$U$6:$U$10005,0)),INDEX('月1回_2ヶ月前の在庫'!$W$6:$W$10005,MATCH($B297-'設定'!$C$20-'設定'!$C$17-'設定'!$C$18,'月1回_2ヶ月前の在庫'!$U$6:$U$10005,0))))))</f>
        <v/>
      </c>
      <c r="D297">
        <f>IF($C297="","",IFERROR(IF(INDEX('商品マスタ'!$C$6:$C$1005,MATCH($C297,'商品マスタ'!$B$6:$B$1005,0))="",IFERROR(INDEX('①在庫を貼る'!$J$6:$J$10005,MATCH($C297,'①在庫を貼る'!$W$6:$W$10005,0)),IFERROR(INDEX('月1回_1ヶ月前の在庫'!$J$6:$J$10005,MATCH($C297,'月1回_1ヶ月前の在庫'!$W$6:$W$10005,0)),IFERROR(INDEX('月1回_2ヶ月前の在庫'!$J$6:$J$10005,MATCH($C297,'月1回_2ヶ月前の在庫'!$W$6:$W$10005,0)),""))),INDEX('商品マスタ'!$C$6:$C$1005,MATCH($C297,'商品マスタ'!$B$6:$B$1005,0))),IFERROR(INDEX('①在庫を貼る'!$J$6:$J$10005,MATCH($C297,'①在庫を貼る'!$W$6:$W$10005,0)),IFERROR(INDEX('月1回_1ヶ月前の在庫'!$J$6:$J$10005,MATCH($C297,'月1回_1ヶ月前の在庫'!$W$6:$W$10005,0)),IFERROR(INDEX('月1回_2ヶ月前の在庫'!$J$6:$J$10005,MATCH($C297,'月1回_2ヶ月前の在庫'!$W$6:$W$10005,0)),"")))))</f>
        <v/>
      </c>
      <c r="E297">
        <f>IF($C297="","",IFERROR(IF(INDEX('商品マスタ'!$D$6:$D$1005,MATCH($C297,'商品マスタ'!$B$6:$B$1005,0))="",IFERROR(INDEX('①在庫を貼る'!$H$6:$H$10005,MATCH($C297,'①在庫を貼る'!$W$6:$W$10005,0)),IFERROR(INDEX('月1回_1ヶ月前の在庫'!$H$6:$H$10005,MATCH($C297,'月1回_1ヶ月前の在庫'!$W$6:$W$10005,0)),IFERROR(INDEX('月1回_2ヶ月前の在庫'!$H$6:$H$10005,MATCH($C297,'月1回_2ヶ月前の在庫'!$W$6:$W$10005,0)),""))),INDEX('商品マスタ'!$D$6:$D$1005,MATCH($C297,'商品マスタ'!$B$6:$B$1005,0))),IFERROR(INDEX('①在庫を貼る'!$H$6:$H$10005,MATCH($C297,'①在庫を貼る'!$W$6:$W$10005,0)),IFERROR(INDEX('月1回_1ヶ月前の在庫'!$H$6:$H$10005,MATCH($C297,'月1回_1ヶ月前の在庫'!$W$6:$W$10005,0)),IFERROR(INDEX('月1回_2ヶ月前の在庫'!$H$6:$H$10005,MATCH($C297,'月1回_2ヶ月前の在庫'!$W$6:$W$10005,0)),"")))))</f>
        <v/>
      </c>
      <c r="F297">
        <f>IF($C297="","",IFERROR(IF(INDEX('商品マスタ'!$E$6:$E$1005,MATCH($C297,'商品マスタ'!$B$6:$B$1005,0))="",IFERROR(INDEX('①在庫を貼る'!$E$6:$E$10005,MATCH($C297,'①在庫を貼る'!$W$6:$W$10005,0)),IFERROR(INDEX('月1回_1ヶ月前の在庫'!$E$6:$E$10005,MATCH($C297,'月1回_1ヶ月前の在庫'!$W$6:$W$10005,0)),IFERROR(INDEX('月1回_2ヶ月前の在庫'!$E$6:$E$10005,MATCH($C297,'月1回_2ヶ月前の在庫'!$W$6:$W$10005,0)),""))),INDEX('商品マスタ'!$E$6:$E$1005,MATCH($C297,'商品マスタ'!$B$6:$B$1005,0))),IFERROR(INDEX('①在庫を貼る'!$E$6:$E$10005,MATCH($C297,'①在庫を貼る'!$W$6:$W$10005,0)),IFERROR(INDEX('月1回_1ヶ月前の在庫'!$E$6:$E$10005,MATCH($C297,'月1回_1ヶ月前の在庫'!$W$6:$W$10005,0)),IFERROR(INDEX('月1回_2ヶ月前の在庫'!$E$6:$E$10005,MATCH($C297,'月1回_2ヶ月前の在庫'!$W$6:$W$10005,0)),"")))))</f>
        <v/>
      </c>
      <c r="G297">
        <f>IF($C297="","",MAX(1,N(IFERROR(IF(INDEX('商品マスタ'!$F$6:$F$1005,MATCH($C297,'商品マスタ'!$B$6:$B$1005,0))="",IF(COUNTIFS('①在庫を貼る'!$V$6:$V$10005,'設定'!$C$4,'①在庫を貼る'!$W$6:$W$10005,$C297)&gt;0,SUMIFS('①在庫を貼る'!$K$6:$K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K$6:$K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K$6:$K$10005,'月1回_2ヶ月前の在庫'!$V$6:$V$10005,'設定'!$C$4,'月1回_2ヶ月前の在庫'!$W$6:$W$10005,$C297)/COUNTIFS('月1回_2ヶ月前の在庫'!$V$6:$V$10005,'設定'!$C$4,'月1回_2ヶ月前の在庫'!$W$6:$W$10005,$C297),0))),INDEX('商品マスタ'!$F$6:$F$1005,MATCH($C297,'商品マスタ'!$B$6:$B$1005,0))),IF(COUNTIFS('①在庫を貼る'!$V$6:$V$10005,'設定'!$C$4,'①在庫を貼る'!$W$6:$W$10005,$C297)&gt;0,SUMIFS('①在庫を貼る'!$K$6:$K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K$6:$K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K$6:$K$10005,'月1回_2ヶ月前の在庫'!$V$6:$V$10005,'設定'!$C$4,'月1回_2ヶ月前の在庫'!$W$6:$W$10005,$C297)/COUNTIFS('月1回_2ヶ月前の在庫'!$V$6:$V$10005,'設定'!$C$4,'月1回_2ヶ月前の在庫'!$W$6:$W$10005,$C297),0)))))))</f>
        <v/>
      </c>
      <c r="H297">
        <f>IF($C297="","",N(IFERROR(IF(INDEX('商品マスタ'!$G$6:$G$1005,MATCH($C297,'商品マスタ'!$B$6:$B$1005,0))="",IF(COUNTIFS('①在庫を貼る'!$V$6:$V$10005,'設定'!$C$4,'①在庫を貼る'!$W$6:$W$10005,$C297)&gt;0,SUMIFS('①在庫を貼る'!$Q$6:$Q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Q$6:$Q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Q$6:$Q$10005,'月1回_2ヶ月前の在庫'!$V$6:$V$10005,'設定'!$C$4,'月1回_2ヶ月前の在庫'!$W$6:$W$10005,$C297)/COUNTIFS('月1回_2ヶ月前の在庫'!$V$6:$V$10005,'設定'!$C$4,'月1回_2ヶ月前の在庫'!$W$6:$W$10005,$C297),0))),INDEX('商品マスタ'!$G$6:$G$1005,MATCH($C297,'商品マスタ'!$B$6:$B$1005,0))),IF(COUNTIFS('①在庫を貼る'!$V$6:$V$10005,'設定'!$C$4,'①在庫を貼る'!$W$6:$W$10005,$C297)&gt;0,SUMIFS('①在庫を貼る'!$Q$6:$Q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Q$6:$Q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Q$6:$Q$10005,'月1回_2ヶ月前の在庫'!$V$6:$V$10005,'設定'!$C$4,'月1回_2ヶ月前の在庫'!$W$6:$W$10005,$C297)/COUNTIFS('月1回_2ヶ月前の在庫'!$V$6:$V$10005,'設定'!$C$4,'月1回_2ヶ月前の在庫'!$W$6:$W$10005,$C297),0))))))</f>
        <v/>
      </c>
      <c r="I297">
        <f>IF($C297="","",IF(COUNTIFS('①在庫を貼る'!$V$6:$V$10005,'設定'!$C$4,'①在庫を貼る'!$W$6:$W$10005,$C297)=0,"",SUMIFS('①在庫を貼る'!$N$6:$N$10005,'①在庫を貼る'!$V$6:$V$10005,'設定'!$C$4,'①在庫を貼る'!$W$6:$W$10005,$C297)))</f>
        <v/>
      </c>
      <c r="J297">
        <f>IF($C297="","",IF('②発注する'!$AD301="","",'②発注する'!$AD301))</f>
        <v/>
      </c>
      <c r="K297" s="90">
        <f>IF($C297="","",IF('②発注する'!$AE301="","",'②発注する'!$AE301))</f>
        <v/>
      </c>
      <c r="L297">
        <f>IF($C297="","",IF(AND(ISNUMBER($J297),ISNUMBER($K297),$K297&gt;='設定'!$C$6),$J297,N($I297)))</f>
        <v/>
      </c>
      <c r="M297">
        <f>IF($C297="","",IFERROR(IF(N(INDEX('商品マスタ'!$J$6:$J$1005,MATCH($C297,'商品マスタ'!$B$6:$B$1005,0)))&gt;0,INDEX('商品マスタ'!$J$6:$J$1005,MATCH($C297,'商品マスタ'!$B$6:$B$1005,0)),""),""))</f>
        <v/>
      </c>
      <c r="N297">
        <f>IF($C297="","",IFERROR(IF(N(INDEX('商品マスタ'!$H$6:$H$1005,MATCH($C297,'商品マスタ'!$B$6:$B$1005,0)))&gt;0,INDEX('商品マスタ'!$H$6:$H$1005,MATCH($C297,'商品マスタ'!$B$6:$B$1005,0)),""),""))</f>
        <v/>
      </c>
      <c r="O297">
        <f>IF($C297="","",IF($N297&lt;&gt;"",$N297*$G297,IF(N(IF(COUNTIFS('①在庫を貼る'!$V$6:$V$10005,'設定'!$C$4,'①在庫を貼る'!$W$6:$W$10005,$C297)&gt;0,SUMIFS('①在庫を貼る'!$O$6:$O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O$6:$O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O$6:$O$10005,'月1回_2ヶ月前の在庫'!$V$6:$V$10005,'設定'!$C$4,'月1回_2ヶ月前の在庫'!$W$6:$W$10005,$C297)/COUNTIFS('月1回_2ヶ月前の在庫'!$V$6:$V$10005,'設定'!$C$4,'月1回_2ヶ月前の在庫'!$W$6:$W$10005,$C297),0))))&gt;0,N(IF(COUNTIFS('①在庫を貼る'!$V$6:$V$10005,'設定'!$C$4,'①在庫を貼る'!$W$6:$W$10005,$C297)&gt;0,SUMIFS('①在庫を貼る'!$O$6:$O$10005,'①在庫を貼る'!$V$6:$V$10005,'設定'!$C$4,'①在庫を貼る'!$W$6:$W$10005,$C297)/COUNTIFS('①在庫を貼る'!$V$6:$V$10005,'設定'!$C$4,'①在庫を貼る'!$W$6:$W$10005,$C297),IF(COUNTIFS('月1回_1ヶ月前の在庫'!$V$6:$V$10005,'設定'!$C$4,'月1回_1ヶ月前の在庫'!$W$6:$W$10005,$C297)&gt;0,SUMIFS('月1回_1ヶ月前の在庫'!$O$6:$O$10005,'月1回_1ヶ月前の在庫'!$V$6:$V$10005,'設定'!$C$4,'月1回_1ヶ月前の在庫'!$W$6:$W$10005,$C297)/COUNTIFS('月1回_1ヶ月前の在庫'!$V$6:$V$10005,'設定'!$C$4,'月1回_1ヶ月前の在庫'!$W$6:$W$10005,$C297),IF(COUNTIFS('月1回_2ヶ月前の在庫'!$V$6:$V$10005,'設定'!$C$4,'月1回_2ヶ月前の在庫'!$W$6:$W$10005,$C297)&gt;0,SUMIFS('月1回_2ヶ月前の在庫'!$O$6:$O$10005,'月1回_2ヶ月前の在庫'!$V$6:$V$10005,'設定'!$C$4,'月1回_2ヶ月前の在庫'!$W$6:$W$10005,$C297)/COUNTIFS('月1回_2ヶ月前の在庫'!$V$6:$V$10005,'設定'!$C$4,'月1回_2ヶ月前の在庫'!$W$6:$W$10005,$C297),0)))),"")))</f>
        <v/>
      </c>
      <c r="P297" s="90">
        <f>IF($C297="","",IF('②発注する'!$I301="","",'②発注する'!$I301))</f>
        <v/>
      </c>
      <c r="Q297">
        <f>IF($C297="","",IF('②発注する'!$J301="","",'②発注する'!$J301))</f>
        <v/>
      </c>
      <c r="R297">
        <f>IF($C297="",0,IF(AND(ISNUMBER($P297),ISNUMBER($Q297)),MAX(0,$Q297)*$G297,0))</f>
        <v/>
      </c>
      <c r="S297" s="90">
        <f>IF($C297="","",IF('②発注する'!$M301="","",'②発注する'!$M301))</f>
        <v/>
      </c>
      <c r="T297">
        <f>IF($C297="","",IF('②発注する'!$N301="","",'②発注する'!$N301))</f>
        <v/>
      </c>
      <c r="U297">
        <f>IF($C297="",0,IF(AND(ISNUMBER($S297),ISNUMBER($T297)),MAX(0,$T297)*$G297,0))</f>
        <v/>
      </c>
      <c r="V297">
        <f>IF($C297="",0,IF($M297="",0,MAX(0,$M297)*MAX(0,V$4)/100))</f>
        <v/>
      </c>
      <c r="W297">
        <f>IF($C297="",0,IF($M297="",0,MAX(0,$M297)*MAX(0,W$4)/100))</f>
        <v/>
      </c>
      <c r="X297">
        <f>IF($C297="",0,IF($M297="",0,MAX(0,$M297)*MAX(0,X$4)/100))</f>
        <v/>
      </c>
      <c r="Y297">
        <f>IF($C297="",0,IF($M297="",0,MAX(0,$M297)*MAX(0,Y$4)/100))</f>
        <v/>
      </c>
      <c r="Z297">
        <f>IF($C297="",0,IF($M297="",0,MAX(0,$M297)*MAX(0,Z$4)/100))</f>
        <v/>
      </c>
      <c r="AA297">
        <f>IF($C297="",0,IF($M297="",0,MAX(0,$M297)*MAX(0,AA$4)/100))</f>
        <v/>
      </c>
      <c r="AB297">
        <f>IF($C297="",0,IF($M297="",0,MAX(0,$M297)*MAX(0,AB$4)/100))</f>
        <v/>
      </c>
      <c r="AC297">
        <f>IF($C297="",0,IF($M297="",0,MAX(0,$M297)*MAX(0,AC$4)/100))</f>
        <v/>
      </c>
      <c r="AD297">
        <f>IF($C297="",0,IF($M297="",0,MAX(0,$M297)*MAX(0,AD$4)/100))</f>
        <v/>
      </c>
      <c r="AE297">
        <f>IF($C297="",0,IF($M297="",0,MAX(0,$M297)*MAX(0,AE$4)/100))</f>
        <v/>
      </c>
      <c r="AF297">
        <f>IF($C297="",0,IF($M297="",0,MAX(0,$M297)*MAX(0,AF$4)/100))</f>
        <v/>
      </c>
      <c r="AG297">
        <f>IF($C297="",0,IF($M297="",0,MAX(0,$M297)*MAX(0,AG$4)/100))</f>
        <v/>
      </c>
      <c r="AH297">
        <f>IF($C297="",0,IF($M297="",0,MAX(0,$M297)*MAX(0,AH$4)/100))</f>
        <v/>
      </c>
      <c r="AI297">
        <f>IF($C297="",0,IF($M297="",0,MAX(0,$M297)*MAX(0,AI$4)/100))</f>
        <v/>
      </c>
      <c r="AJ297">
        <f>IF($C297="",0,MAX(0,MAX(0,N($L297))-$V297))</f>
        <v/>
      </c>
      <c r="AK297">
        <f>IF($C297="",0,MAX(0,$AJ297-$W297))</f>
        <v/>
      </c>
      <c r="AL297">
        <f>IF($C297="",0,MAX(0,$AK297-$X297))</f>
        <v/>
      </c>
      <c r="AM297">
        <f>IF($C297="",0,MAX(0,$AL297-$Y297))</f>
        <v/>
      </c>
      <c r="AN297">
        <f>IF($C297="",0,MAX(0,$AM297-$Z297))</f>
        <v/>
      </c>
      <c r="AO297">
        <f>IF($C297="",0,MAX(0,$AN297-$AA297))</f>
        <v/>
      </c>
      <c r="AP297">
        <f>IF($C297="",0,MAX(0,$AO297-$AB297))</f>
        <v/>
      </c>
      <c r="AQ297">
        <f>IF($C297="",0,MAX(0,$AP297-$AC297))</f>
        <v/>
      </c>
      <c r="AR297">
        <f>IF($C297="",0,MAX(0,$AQ297-$AD297))</f>
        <v/>
      </c>
      <c r="AS297">
        <f>IF($C297="",0,MAX(0,$AR297-$AE297))</f>
        <v/>
      </c>
      <c r="AT297">
        <f>IF($C297="",0,MAX(0,$AS297-$AF297))</f>
        <v/>
      </c>
      <c r="AU297">
        <f>IF($C297="",0,MAX(0,$AT297-$AG297))</f>
        <v/>
      </c>
      <c r="AV297">
        <f>IF($C297="",0,MAX(0,$AU297-$AH297))</f>
        <v/>
      </c>
      <c r="AW297">
        <f>IF($C297="",0,MAX(0,$AV297-$AI297))</f>
        <v/>
      </c>
      <c r="AX297">
        <f>IF($C297="",0,MAX(0,MAX(0,N($L297))+IF($P297=V$3,$R297,0)+IF($S297=V$3,$U297,0)-$V297))</f>
        <v/>
      </c>
      <c r="AY297">
        <f>IF($C297="",0,MAX(0,$AX297+IF($P297=W$3,$R297,0)+IF($S297=W$3,$U297,0)-$W297))</f>
        <v/>
      </c>
      <c r="AZ297">
        <f>IF($C297="",0,MAX(0,$AY297+IF($P297=X$3,$R297,0)+IF($S297=X$3,$U297,0)-$X297))</f>
        <v/>
      </c>
      <c r="BA297">
        <f>IF($C297="",0,MAX(0,$AZ297+IF($P297=Y$3,$R297,0)+IF($S297=Y$3,$U297,0)-$Y297))</f>
        <v/>
      </c>
      <c r="BB297">
        <f>IF($C297="",0,MAX(0,$BA297+IF($P297=Z$3,$R297,0)+IF($S297=Z$3,$U297,0)-$Z297))</f>
        <v/>
      </c>
      <c r="BC297">
        <f>IF($C297="",0,MAX(0,$BB297+IF($P297=AA$3,$R297,0)+IF($S297=AA$3,$U297,0)-$AA297))</f>
        <v/>
      </c>
      <c r="BD297">
        <f>IF($C297="",0,MAX(0,$BC297+IF($P297=AB$3,$R297,0)+IF($S297=AB$3,$U297,0)-$AB297))</f>
        <v/>
      </c>
      <c r="BE297">
        <f>IF($C297="",0,MAX(0,$BD297+IF($P297=AC$3,$R297,0)+IF($S297=AC$3,$U297,0)-$AC297))</f>
        <v/>
      </c>
      <c r="BF297">
        <f>IF($C297="",0,MAX(0,$BE297+IF($P297=AD$3,$R297,0)+IF($S297=AD$3,$U297,0)-$AD297))</f>
        <v/>
      </c>
      <c r="BG297">
        <f>IF($C297="",0,MAX(0,$BF297+IF($P297=AE$3,$R297,0)+IF($S297=AE$3,$U297,0)-$AE297))</f>
        <v/>
      </c>
      <c r="BH297">
        <f>IF($C297="",0,MAX(0,$BG297+IF($P297=AF$3,$R297,0)+IF($S297=AF$3,$U297,0)-$AF297))</f>
        <v/>
      </c>
      <c r="BI297">
        <f>IF($C297="",0,MAX(0,$BH297+IF($P297=AG$3,$R297,0)+IF($S297=AG$3,$U297,0)-$AG297))</f>
        <v/>
      </c>
      <c r="BJ297">
        <f>IF($C297="",0,MAX(0,$BI297+IF($P297=AH$3,$R297,0)+IF($S297=AH$3,$U297,0)-$AH297))</f>
        <v/>
      </c>
      <c r="BK297">
        <f>IF($C297="",0,MAX(0,$BJ297+IF($P297=AI$3,$R297,0)+IF($S297=AI$3,$U297,0)-$AI297))</f>
        <v/>
      </c>
      <c r="BL297">
        <f>IF($C297="",99,IF(AND($AX297&lt;1,V$3&gt;=MAX(N($P297),N($S297))),0,99))</f>
        <v/>
      </c>
      <c r="BM297">
        <f>IF($C297="",99,IF(AND($AY297&lt;1,W$3&gt;=MAX(N($P297),N($S297))),1,99))</f>
        <v/>
      </c>
      <c r="BN297">
        <f>IF($C297="",99,IF(AND($AZ297&lt;1,X$3&gt;=MAX(N($P297),N($S297))),2,99))</f>
        <v/>
      </c>
      <c r="BO297">
        <f>IF($C297="",99,IF(AND($BA297&lt;1,Y$3&gt;=MAX(N($P297),N($S297))),3,99))</f>
        <v/>
      </c>
      <c r="BP297">
        <f>IF($C297="",99,IF(AND($BB297&lt;1,Z$3&gt;=MAX(N($P297),N($S297))),4,99))</f>
        <v/>
      </c>
      <c r="BQ297">
        <f>IF($C297="",99,IF(AND($BC297&lt;1,AA$3&gt;=MAX(N($P297),N($S297))),5,99))</f>
        <v/>
      </c>
      <c r="BR297">
        <f>IF($C297="",99,IF(AND($BD297&lt;1,AB$3&gt;=MAX(N($P297),N($S297))),6,99))</f>
        <v/>
      </c>
      <c r="BS297">
        <f>IF($C297="",99,IF(AND($BE297&lt;1,AC$3&gt;=MAX(N($P297),N($S297))),7,99))</f>
        <v/>
      </c>
      <c r="BT297">
        <f>IF($C297="",99,IF(AND($BF297&lt;1,AD$3&gt;=MAX(N($P297),N($S297))),8,99))</f>
        <v/>
      </c>
      <c r="BU297">
        <f>IF($C297="",99,IF(AND($BG297&lt;1,AE$3&gt;=MAX(N($P297),N($S297))),9,99))</f>
        <v/>
      </c>
      <c r="BV297">
        <f>IF($C297="",99,IF(AND($BH297&lt;1,AF$3&gt;=MAX(N($P297),N($S297))),10,99))</f>
        <v/>
      </c>
      <c r="BW297">
        <f>IF($C297="",99,IF(AND($BI297&lt;1,AG$3&gt;=MAX(N($P297),N($S297))),11,99))</f>
        <v/>
      </c>
      <c r="BX297">
        <f>IF($C297="",99,IF(AND($BJ297&lt;1,AH$3&gt;=MAX(N($P297),N($S297))),12,99))</f>
        <v/>
      </c>
      <c r="BY297">
        <f>IF($C297="",99,IF(AND($BK297&lt;1,AI$3&gt;=MAX(N($P297),N($S297))),13,99))</f>
        <v/>
      </c>
      <c r="BZ297">
        <f>IF(OR($C297="",$M297=""),"",COUNTIF($AJ297:$AW297,"&gt;=1"))</f>
        <v/>
      </c>
      <c r="CA297" s="90">
        <f>IF($BZ297="","",IF($BZ297&gt;=14,"",'設定'!$C$6+$BZ297))</f>
        <v/>
      </c>
      <c r="CB297">
        <f>IF(OR($C297="",$M297=""),"",MIN($BL297:$BY297))</f>
        <v/>
      </c>
      <c r="CC297" s="90">
        <f>IF($CB297="","",IF($CB297&gt;=99,"",'設定'!$C$6+$CB297))</f>
        <v/>
      </c>
      <c r="CD297">
        <f>IF(OR($C297="",$M297=""),"",AVERAGE($V297:$AI297))</f>
        <v/>
      </c>
      <c r="CE297">
        <f>IF($C297="","",IFERROR(IF(MATCH(IF(ISNUMBER($P297),$P297,'設定'!$C$6+N('設定'!$C$7)),$V$3:$AI$3,0)=1,MAX(0,N($L297)),INDEX($AJ297:$AW297,MATCH(IF(ISNUMBER($P297),$P297,'設定'!$C$6+N('設定'!$C$7)),$V$3:$AI$3,0)-1)),""))</f>
        <v/>
      </c>
      <c r="CF297">
        <f>IF(OR($C297="",$O297="",$CE297=""),"",IF($O297-$CE297&lt;=0,0,ROUNDUP(($O297-$CE297)/$G297,0)))</f>
        <v/>
      </c>
      <c r="CG297">
        <f>IF(OR($C297="",$CF297="",NOT(ISNUMBER($Q297))),0,MAX(0,$Q297-$CF297))</f>
        <v/>
      </c>
      <c r="CH297">
        <f>IF(OR($C297="",$O297="",$U297=0),0,IFERROR(ROUNDUP(MAX(0,IF(MATCH($S297,$V$3:$AI$3,0)=1,MAX(0,N($L297)),INDEX($AX297:$BK297,MATCH($S297,$V$3:$AI$3,0)-1))+$U297-$O297)/$G297,0),0))</f>
        <v/>
      </c>
      <c r="CI297">
        <f>IF($C297="","",IF(AND($P297="",$Q297=""),"",IF($P297="","⚠ 入庫日を ▼ から選んでください",IF(NOT(ISNUMBER($P297)),"⚠ 入庫日は ▼ から選んでください",IF($P297&lt;N('設定'!$C$6),"⚠ 入庫日が過去です（もう在庫に入っています）→ 消してください",IF($P297&gt;N('設定'!$C$6)+13,"⚠ 入庫日が14日より先です",IF(N($Q297)&lt;=0,"⚠ 入庫数を入れてください",IF($CG297&gt;0,"⚠ 目安より "&amp;$CG297&amp;" 多い（定数を超える）→ 減らす",""))))))))</f>
        <v/>
      </c>
      <c r="CJ297">
        <f>IF($C297="","",IF(AND($S297="",$T297=""),"",IF($S297="","⚠ 2便目：入庫日を ▼ から選んでください",IF(NOT(ISNUMBER($S297)),"⚠ 2便目：入庫日は ▼ から選んでください",IF($S297&lt;N('設定'!$C$6),"⚠ 2便目：入庫日が過去です（もう在庫に入っています）→ 消してください",IF($S297&gt;N('設定'!$C$6)+13,"⚠ 2便目：入庫日が14日より先です",IF(N($T297)&lt;=0,"⚠ 2便目：入庫数を入れてください",IF($CH297&gt;0,"⚠ 2便目：定数を "&amp;$CH297&amp;" ケース超える → 減らす",""))))))))</f>
        <v/>
      </c>
      <c r="CK297">
        <f>IF(AND($CI297="",N($Q297)&gt;0,ISNUMBER($P297)),1,0)</f>
        <v/>
      </c>
      <c r="CL297">
        <f>IF(AND($CJ297="",N($T297)&gt;0,ISNUMBER($S297)),1,0)</f>
        <v/>
      </c>
      <c r="CM297">
        <f>IF(OR($CK297=1,$CL297=1),1,0)</f>
        <v/>
      </c>
      <c r="CN297">
        <f>IF($C297="",0,($CK297*$R297+$CL297*$U297)*N($H297))</f>
        <v/>
      </c>
      <c r="CO297">
        <f>IF($C297="","",IF($CC297="","入庫後は 14日以上もつ",IF($CC297-N('設定'!$C$7)&lt;='設定'!$C$6,"入庫後も "&amp;TEXT($CC297,"m/d")&amp;"("&amp;CHOOSE(WEEKDAY($CC297),"日","月","火","水","木","金","土")&amp;")"&amp;" に切れる　もう1便を至急発注","入庫後も "&amp;TEXT($CC297,"m/d")&amp;"("&amp;CHOOSE(WEEKDAY($CC297),"日","月","火","水","木","金","土")&amp;")"&amp;" に切れる　"&amp;TEXT($CC297-N('設定'!$C$7),"m/d")&amp;"("&amp;CHOOSE(WEEKDAY($CC297-N('設定'!$C$7)),"日","月","火","水","木","金","土")&amp;")"&amp;" までに次を発注")))</f>
        <v/>
      </c>
      <c r="CP297">
        <f>IF($C297="","",IF('設定'!$C$6="","？ ①在庫を貼る に今日のCSVが貼られていない",IF($CS297=1,"－ 今日のCSVに無い（終売？）",IF($L297&lt;0,"● 在庫がマイナス　数えて「数えた在庫」に入れる",IF($L297=0,"● 在庫なし　至急発注",IF($M297="","？ 減り数が未設定（商品マスタ）",IF($B$3=0,"？ 動員が未入力（動員を入れる）",IF($CA297="","○ 14日以上もつ",IF($BZ297&lt;N('設定'!$C$7),"● "&amp;TEXT($CA297,"m/d")&amp;"("&amp;CHOOSE(WEEKDAY($CA297),"日","月","火","水","木","金","土")&amp;")"&amp;" に切れる　至急発注",IF($BZ297=N('設定'!$C$7),"● "&amp;TEXT($CA297,"m/d")&amp;"("&amp;CHOOSE(WEEKDAY($CA297),"日","月","火","水","木","金","土")&amp;")"&amp;" に切れる　今日発注","△ "&amp;TEXT($CA297,"m/d")&amp;"("&amp;CHOOSE(WEEKDAY($CA297),"日","月","火","水","木","金","土")&amp;")"&amp;" に切れる　"&amp;TEXT($CA297-N('設定'!$C$7),"m/d")&amp;"("&amp;CHOOSE(WEEKDAY($CA297-N('設定'!$C$7)),"日","月","火","水","木","金","土")&amp;")"&amp;" までに発注"))))))))))</f>
        <v/>
      </c>
      <c r="CQ297">
        <f>IF($C297="","",IF(AND($P297="",$Q297="",$S297="",$T297=""),"",IF(AND($P297="",$Q297=""),"⚠ 先に1便目（左の入庫日・入庫数）に入れてください",IF($CI297&lt;&gt;"",$CI297,IF($CJ297&lt;&gt;"",$CJ297,IF($M297="","？ 減り数が未設定（発注書には載ります）",IF($B$3=0,"？ 動員が未入力（発注書には載ります）",IF(AND($CA297&lt;&gt;"",$P297&gt;$CA297),IF($P297&gt;'設定'!$C$6+N('設定'!$C$7),"● "&amp;TEXT($P297,"m/d")&amp;"("&amp;CHOOSE(WEEKDAY($P297),"日","月","火","水","木","金","土")&amp;")"&amp;" の入庫では間に合わない（"&amp;TEXT($CA297,"m/d")&amp;"("&amp;CHOOSE(WEEKDAY($CA297),"日","月","火","水","木","金","土")&amp;")"&amp;" に切れる）　入庫日を早める","△ 欠品 "&amp;TEXT($CA297,"m/d")&amp;"("&amp;CHOOSE(WEEKDAY($CA297),"日","月","火","水","木","金","土")&amp;")"&amp;"〜"&amp;TEXT($P297-1,"m/d")&amp;"("&amp;CHOOSE(WEEKDAY($P297-1),"日","月","火","水","木","金","土")&amp;")"&amp;"　"&amp;$CO297),IF($CC297="","○ "&amp;TEXT($P297,"m/d")&amp;"("&amp;CHOOSE(WEEKDAY($P297),"日","月","火","水","木","金","土")&amp;")"&amp;" 入庫で 14日以上もつ",IF($CC297-N('設定'!$C$7)&lt;='設定'!$C$6,"● 入庫しても "&amp;TEXT($CC297,"m/d")&amp;"("&amp;CHOOSE(WEEKDAY($CC297),"日","月","火","水","木","金","土")&amp;")"&amp;" に切れる　もう1便を至急発注（2便目に入れる）","△ 入庫しても "&amp;TEXT($CC297,"m/d")&amp;"("&amp;CHOOSE(WEEKDAY($CC297),"日","月","火","水","木","金","土")&amp;")"&amp;" に切れる　"&amp;TEXT($CC297-N('設定'!$C$7),"m/d")&amp;"("&amp;CHOOSE(WEEKDAY($CC297-N('設定'!$C$7)),"日","月","火","水","木","金","土")&amp;")"&amp;" までに次を発注（2便目に入れる）"))))))))))</f>
        <v/>
      </c>
      <c r="CR297">
        <f>IF($C297="","",IF($G297&gt;1,"ｹｰｽ("&amp;$G297&amp;"入)","個"))</f>
        <v/>
      </c>
      <c r="CS297">
        <f>IF($C297="",0,IF(COUNTIFS('①在庫を貼る'!$V$6:$V$10005,'設定'!$C$4,'①在庫を貼る'!$W$6:$W$10005,$C297)=0,1,0))</f>
        <v/>
      </c>
      <c r="CT297">
        <f>IF(AND($CK297=1,OR('③発注書'!$C$4="すべて",'③発注書'!$C$4="",$F297='③発注書'!$C$4)),N($CT296)+1,N($CT296))</f>
        <v/>
      </c>
      <c r="CU297">
        <f>IF(AND($CL297=1,OR('③発注書'!$C$4="すべて",'③発注書'!$C$4="",$F297='③発注書'!$C$4)),N($CU296)+1,N($CU296))</f>
        <v/>
      </c>
      <c r="CV297">
        <f>IF($C297="",0,IF(COUNTIFS('①在庫を貼る'!$V$6:$V$10005,'設定'!$C$4,'①在庫を貼る'!$W$6:$W$10005,$C297)&gt;0,1,0))</f>
        <v/>
      </c>
      <c r="CW297">
        <f>IF($C297="",0,IF(COUNTIFS('月1回_1ヶ月前の在庫'!$V$6:$V$10005,'設定'!$C$4,'月1回_1ヶ月前の在庫'!$W$6:$W$10005,$C297)&gt;0,1,0))</f>
        <v/>
      </c>
      <c r="CX297">
        <f>IF($C297="",0,IF(COUNTIFS('月1回_2ヶ月前の在庫'!$V$6:$V$10005,'設定'!$C$4,'月1回_2ヶ月前の在庫'!$W$6:$W$10005,$C297)&gt;0,1,0))</f>
        <v/>
      </c>
      <c r="CY297">
        <f>IF(OR($C297="",'設定'!$C$12=""),"",IF('設定'!$C$13="",IF(AND($CV297=1,$CW297=0),"新商品（今月から）",IF(AND($CV297=0,$CW297=1),"終売（今月から）","")),IF(AND($CV297=1,$CW297=0,$CX297=0),"新商品（今月から）",IF(AND($CV297=1,$CW297=1,$CX297=0),"新商品（先月から）",IF(AND($CV297=0,$CW297=1,$CX297=1),"終売（今月から）",IF(AND($CV297=0,$CW297=0,$CX297=1),"終売（先月から）",IF(AND($CV297=1,$CW297=0,$CX297=1),"復活（先月は無し）","")))))))</f>
        <v/>
      </c>
    </row>
    <row r="298">
      <c r="B298">
        <f>IF(293&lt;='設定'!$C$11,293,"")</f>
        <v/>
      </c>
      <c r="C298">
        <f>IF($B298="","",IF($B298&lt;='設定'!$C$20,INDEX('商品マスタ'!$B$6:$B$1005,MATCH($B298,'商品マスタ'!$M$6:$M$1005,0)),IF($B298&lt;='設定'!$C$20+'設定'!$C$17,INDEX('①在庫を貼る'!$W$6:$W$10005,MATCH($B298-'設定'!$C$20,'①在庫を貼る'!$U$6:$U$10005,0)),IF($B298&lt;='設定'!$C$20+'設定'!$C$17+'設定'!$C$18,INDEX('月1回_1ヶ月前の在庫'!$W$6:$W$10005,MATCH($B298-'設定'!$C$20-'設定'!$C$17,'月1回_1ヶ月前の在庫'!$U$6:$U$10005,0)),INDEX('月1回_2ヶ月前の在庫'!$W$6:$W$10005,MATCH($B298-'設定'!$C$20-'設定'!$C$17-'設定'!$C$18,'月1回_2ヶ月前の在庫'!$U$6:$U$10005,0))))))</f>
        <v/>
      </c>
      <c r="D298">
        <f>IF($C298="","",IFERROR(IF(INDEX('商品マスタ'!$C$6:$C$1005,MATCH($C298,'商品マスタ'!$B$6:$B$1005,0))="",IFERROR(INDEX('①在庫を貼る'!$J$6:$J$10005,MATCH($C298,'①在庫を貼る'!$W$6:$W$10005,0)),IFERROR(INDEX('月1回_1ヶ月前の在庫'!$J$6:$J$10005,MATCH($C298,'月1回_1ヶ月前の在庫'!$W$6:$W$10005,0)),IFERROR(INDEX('月1回_2ヶ月前の在庫'!$J$6:$J$10005,MATCH($C298,'月1回_2ヶ月前の在庫'!$W$6:$W$10005,0)),""))),INDEX('商品マスタ'!$C$6:$C$1005,MATCH($C298,'商品マスタ'!$B$6:$B$1005,0))),IFERROR(INDEX('①在庫を貼る'!$J$6:$J$10005,MATCH($C298,'①在庫を貼る'!$W$6:$W$10005,0)),IFERROR(INDEX('月1回_1ヶ月前の在庫'!$J$6:$J$10005,MATCH($C298,'月1回_1ヶ月前の在庫'!$W$6:$W$10005,0)),IFERROR(INDEX('月1回_2ヶ月前の在庫'!$J$6:$J$10005,MATCH($C298,'月1回_2ヶ月前の在庫'!$W$6:$W$10005,0)),"")))))</f>
        <v/>
      </c>
      <c r="E298">
        <f>IF($C298="","",IFERROR(IF(INDEX('商品マスタ'!$D$6:$D$1005,MATCH($C298,'商品マスタ'!$B$6:$B$1005,0))="",IFERROR(INDEX('①在庫を貼る'!$H$6:$H$10005,MATCH($C298,'①在庫を貼る'!$W$6:$W$10005,0)),IFERROR(INDEX('月1回_1ヶ月前の在庫'!$H$6:$H$10005,MATCH($C298,'月1回_1ヶ月前の在庫'!$W$6:$W$10005,0)),IFERROR(INDEX('月1回_2ヶ月前の在庫'!$H$6:$H$10005,MATCH($C298,'月1回_2ヶ月前の在庫'!$W$6:$W$10005,0)),""))),INDEX('商品マスタ'!$D$6:$D$1005,MATCH($C298,'商品マスタ'!$B$6:$B$1005,0))),IFERROR(INDEX('①在庫を貼る'!$H$6:$H$10005,MATCH($C298,'①在庫を貼る'!$W$6:$W$10005,0)),IFERROR(INDEX('月1回_1ヶ月前の在庫'!$H$6:$H$10005,MATCH($C298,'月1回_1ヶ月前の在庫'!$W$6:$W$10005,0)),IFERROR(INDEX('月1回_2ヶ月前の在庫'!$H$6:$H$10005,MATCH($C298,'月1回_2ヶ月前の在庫'!$W$6:$W$10005,0)),"")))))</f>
        <v/>
      </c>
      <c r="F298">
        <f>IF($C298="","",IFERROR(IF(INDEX('商品マスタ'!$E$6:$E$1005,MATCH($C298,'商品マスタ'!$B$6:$B$1005,0))="",IFERROR(INDEX('①在庫を貼る'!$E$6:$E$10005,MATCH($C298,'①在庫を貼る'!$W$6:$W$10005,0)),IFERROR(INDEX('月1回_1ヶ月前の在庫'!$E$6:$E$10005,MATCH($C298,'月1回_1ヶ月前の在庫'!$W$6:$W$10005,0)),IFERROR(INDEX('月1回_2ヶ月前の在庫'!$E$6:$E$10005,MATCH($C298,'月1回_2ヶ月前の在庫'!$W$6:$W$10005,0)),""))),INDEX('商品マスタ'!$E$6:$E$1005,MATCH($C298,'商品マスタ'!$B$6:$B$1005,0))),IFERROR(INDEX('①在庫を貼る'!$E$6:$E$10005,MATCH($C298,'①在庫を貼る'!$W$6:$W$10005,0)),IFERROR(INDEX('月1回_1ヶ月前の在庫'!$E$6:$E$10005,MATCH($C298,'月1回_1ヶ月前の在庫'!$W$6:$W$10005,0)),IFERROR(INDEX('月1回_2ヶ月前の在庫'!$E$6:$E$10005,MATCH($C298,'月1回_2ヶ月前の在庫'!$W$6:$W$10005,0)),"")))))</f>
        <v/>
      </c>
      <c r="G298">
        <f>IF($C298="","",MAX(1,N(IFERROR(IF(INDEX('商品マスタ'!$F$6:$F$1005,MATCH($C298,'商品マスタ'!$B$6:$B$1005,0))="",IF(COUNTIFS('①在庫を貼る'!$V$6:$V$10005,'設定'!$C$4,'①在庫を貼る'!$W$6:$W$10005,$C298)&gt;0,SUMIFS('①在庫を貼る'!$K$6:$K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K$6:$K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K$6:$K$10005,'月1回_2ヶ月前の在庫'!$V$6:$V$10005,'設定'!$C$4,'月1回_2ヶ月前の在庫'!$W$6:$W$10005,$C298)/COUNTIFS('月1回_2ヶ月前の在庫'!$V$6:$V$10005,'設定'!$C$4,'月1回_2ヶ月前の在庫'!$W$6:$W$10005,$C298),0))),INDEX('商品マスタ'!$F$6:$F$1005,MATCH($C298,'商品マスタ'!$B$6:$B$1005,0))),IF(COUNTIFS('①在庫を貼る'!$V$6:$V$10005,'設定'!$C$4,'①在庫を貼る'!$W$6:$W$10005,$C298)&gt;0,SUMIFS('①在庫を貼る'!$K$6:$K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K$6:$K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K$6:$K$10005,'月1回_2ヶ月前の在庫'!$V$6:$V$10005,'設定'!$C$4,'月1回_2ヶ月前の在庫'!$W$6:$W$10005,$C298)/COUNTIFS('月1回_2ヶ月前の在庫'!$V$6:$V$10005,'設定'!$C$4,'月1回_2ヶ月前の在庫'!$W$6:$W$10005,$C298),0)))))))</f>
        <v/>
      </c>
      <c r="H298">
        <f>IF($C298="","",N(IFERROR(IF(INDEX('商品マスタ'!$G$6:$G$1005,MATCH($C298,'商品マスタ'!$B$6:$B$1005,0))="",IF(COUNTIFS('①在庫を貼る'!$V$6:$V$10005,'設定'!$C$4,'①在庫を貼る'!$W$6:$W$10005,$C298)&gt;0,SUMIFS('①在庫を貼る'!$Q$6:$Q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Q$6:$Q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Q$6:$Q$10005,'月1回_2ヶ月前の在庫'!$V$6:$V$10005,'設定'!$C$4,'月1回_2ヶ月前の在庫'!$W$6:$W$10005,$C298)/COUNTIFS('月1回_2ヶ月前の在庫'!$V$6:$V$10005,'設定'!$C$4,'月1回_2ヶ月前の在庫'!$W$6:$W$10005,$C298),0))),INDEX('商品マスタ'!$G$6:$G$1005,MATCH($C298,'商品マスタ'!$B$6:$B$1005,0))),IF(COUNTIFS('①在庫を貼る'!$V$6:$V$10005,'設定'!$C$4,'①在庫を貼る'!$W$6:$W$10005,$C298)&gt;0,SUMIFS('①在庫を貼る'!$Q$6:$Q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Q$6:$Q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Q$6:$Q$10005,'月1回_2ヶ月前の在庫'!$V$6:$V$10005,'設定'!$C$4,'月1回_2ヶ月前の在庫'!$W$6:$W$10005,$C298)/COUNTIFS('月1回_2ヶ月前の在庫'!$V$6:$V$10005,'設定'!$C$4,'月1回_2ヶ月前の在庫'!$W$6:$W$10005,$C298),0))))))</f>
        <v/>
      </c>
      <c r="I298">
        <f>IF($C298="","",IF(COUNTIFS('①在庫を貼る'!$V$6:$V$10005,'設定'!$C$4,'①在庫を貼る'!$W$6:$W$10005,$C298)=0,"",SUMIFS('①在庫を貼る'!$N$6:$N$10005,'①在庫を貼る'!$V$6:$V$10005,'設定'!$C$4,'①在庫を貼る'!$W$6:$W$10005,$C298)))</f>
        <v/>
      </c>
      <c r="J298">
        <f>IF($C298="","",IF('②発注する'!$AD302="","",'②発注する'!$AD302))</f>
        <v/>
      </c>
      <c r="K298" s="90">
        <f>IF($C298="","",IF('②発注する'!$AE302="","",'②発注する'!$AE302))</f>
        <v/>
      </c>
      <c r="L298">
        <f>IF($C298="","",IF(AND(ISNUMBER($J298),ISNUMBER($K298),$K298&gt;='設定'!$C$6),$J298,N($I298)))</f>
        <v/>
      </c>
      <c r="M298">
        <f>IF($C298="","",IFERROR(IF(N(INDEX('商品マスタ'!$J$6:$J$1005,MATCH($C298,'商品マスタ'!$B$6:$B$1005,0)))&gt;0,INDEX('商品マスタ'!$J$6:$J$1005,MATCH($C298,'商品マスタ'!$B$6:$B$1005,0)),""),""))</f>
        <v/>
      </c>
      <c r="N298">
        <f>IF($C298="","",IFERROR(IF(N(INDEX('商品マスタ'!$H$6:$H$1005,MATCH($C298,'商品マスタ'!$B$6:$B$1005,0)))&gt;0,INDEX('商品マスタ'!$H$6:$H$1005,MATCH($C298,'商品マスタ'!$B$6:$B$1005,0)),""),""))</f>
        <v/>
      </c>
      <c r="O298">
        <f>IF($C298="","",IF($N298&lt;&gt;"",$N298*$G298,IF(N(IF(COUNTIFS('①在庫を貼る'!$V$6:$V$10005,'設定'!$C$4,'①在庫を貼る'!$W$6:$W$10005,$C298)&gt;0,SUMIFS('①在庫を貼る'!$O$6:$O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O$6:$O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O$6:$O$10005,'月1回_2ヶ月前の在庫'!$V$6:$V$10005,'設定'!$C$4,'月1回_2ヶ月前の在庫'!$W$6:$W$10005,$C298)/COUNTIFS('月1回_2ヶ月前の在庫'!$V$6:$V$10005,'設定'!$C$4,'月1回_2ヶ月前の在庫'!$W$6:$W$10005,$C298),0))))&gt;0,N(IF(COUNTIFS('①在庫を貼る'!$V$6:$V$10005,'設定'!$C$4,'①在庫を貼る'!$W$6:$W$10005,$C298)&gt;0,SUMIFS('①在庫を貼る'!$O$6:$O$10005,'①在庫を貼る'!$V$6:$V$10005,'設定'!$C$4,'①在庫を貼る'!$W$6:$W$10005,$C298)/COUNTIFS('①在庫を貼る'!$V$6:$V$10005,'設定'!$C$4,'①在庫を貼る'!$W$6:$W$10005,$C298),IF(COUNTIFS('月1回_1ヶ月前の在庫'!$V$6:$V$10005,'設定'!$C$4,'月1回_1ヶ月前の在庫'!$W$6:$W$10005,$C298)&gt;0,SUMIFS('月1回_1ヶ月前の在庫'!$O$6:$O$10005,'月1回_1ヶ月前の在庫'!$V$6:$V$10005,'設定'!$C$4,'月1回_1ヶ月前の在庫'!$W$6:$W$10005,$C298)/COUNTIFS('月1回_1ヶ月前の在庫'!$V$6:$V$10005,'設定'!$C$4,'月1回_1ヶ月前の在庫'!$W$6:$W$10005,$C298),IF(COUNTIFS('月1回_2ヶ月前の在庫'!$V$6:$V$10005,'設定'!$C$4,'月1回_2ヶ月前の在庫'!$W$6:$W$10005,$C298)&gt;0,SUMIFS('月1回_2ヶ月前の在庫'!$O$6:$O$10005,'月1回_2ヶ月前の在庫'!$V$6:$V$10005,'設定'!$C$4,'月1回_2ヶ月前の在庫'!$W$6:$W$10005,$C298)/COUNTIFS('月1回_2ヶ月前の在庫'!$V$6:$V$10005,'設定'!$C$4,'月1回_2ヶ月前の在庫'!$W$6:$W$10005,$C298),0)))),"")))</f>
        <v/>
      </c>
      <c r="P298" s="90">
        <f>IF($C298="","",IF('②発注する'!$I302="","",'②発注する'!$I302))</f>
        <v/>
      </c>
      <c r="Q298">
        <f>IF($C298="","",IF('②発注する'!$J302="","",'②発注する'!$J302))</f>
        <v/>
      </c>
      <c r="R298">
        <f>IF($C298="",0,IF(AND(ISNUMBER($P298),ISNUMBER($Q298)),MAX(0,$Q298)*$G298,0))</f>
        <v/>
      </c>
      <c r="S298" s="90">
        <f>IF($C298="","",IF('②発注する'!$M302="","",'②発注する'!$M302))</f>
        <v/>
      </c>
      <c r="T298">
        <f>IF($C298="","",IF('②発注する'!$N302="","",'②発注する'!$N302))</f>
        <v/>
      </c>
      <c r="U298">
        <f>IF($C298="",0,IF(AND(ISNUMBER($S298),ISNUMBER($T298)),MAX(0,$T298)*$G298,0))</f>
        <v/>
      </c>
      <c r="V298">
        <f>IF($C298="",0,IF($M298="",0,MAX(0,$M298)*MAX(0,V$4)/100))</f>
        <v/>
      </c>
      <c r="W298">
        <f>IF($C298="",0,IF($M298="",0,MAX(0,$M298)*MAX(0,W$4)/100))</f>
        <v/>
      </c>
      <c r="X298">
        <f>IF($C298="",0,IF($M298="",0,MAX(0,$M298)*MAX(0,X$4)/100))</f>
        <v/>
      </c>
      <c r="Y298">
        <f>IF($C298="",0,IF($M298="",0,MAX(0,$M298)*MAX(0,Y$4)/100))</f>
        <v/>
      </c>
      <c r="Z298">
        <f>IF($C298="",0,IF($M298="",0,MAX(0,$M298)*MAX(0,Z$4)/100))</f>
        <v/>
      </c>
      <c r="AA298">
        <f>IF($C298="",0,IF($M298="",0,MAX(0,$M298)*MAX(0,AA$4)/100))</f>
        <v/>
      </c>
      <c r="AB298">
        <f>IF($C298="",0,IF($M298="",0,MAX(0,$M298)*MAX(0,AB$4)/100))</f>
        <v/>
      </c>
      <c r="AC298">
        <f>IF($C298="",0,IF($M298="",0,MAX(0,$M298)*MAX(0,AC$4)/100))</f>
        <v/>
      </c>
      <c r="AD298">
        <f>IF($C298="",0,IF($M298="",0,MAX(0,$M298)*MAX(0,AD$4)/100))</f>
        <v/>
      </c>
      <c r="AE298">
        <f>IF($C298="",0,IF($M298="",0,MAX(0,$M298)*MAX(0,AE$4)/100))</f>
        <v/>
      </c>
      <c r="AF298">
        <f>IF($C298="",0,IF($M298="",0,MAX(0,$M298)*MAX(0,AF$4)/100))</f>
        <v/>
      </c>
      <c r="AG298">
        <f>IF($C298="",0,IF($M298="",0,MAX(0,$M298)*MAX(0,AG$4)/100))</f>
        <v/>
      </c>
      <c r="AH298">
        <f>IF($C298="",0,IF($M298="",0,MAX(0,$M298)*MAX(0,AH$4)/100))</f>
        <v/>
      </c>
      <c r="AI298">
        <f>IF($C298="",0,IF($M298="",0,MAX(0,$M298)*MAX(0,AI$4)/100))</f>
        <v/>
      </c>
      <c r="AJ298">
        <f>IF($C298="",0,MAX(0,MAX(0,N($L298))-$V298))</f>
        <v/>
      </c>
      <c r="AK298">
        <f>IF($C298="",0,MAX(0,$AJ298-$W298))</f>
        <v/>
      </c>
      <c r="AL298">
        <f>IF($C298="",0,MAX(0,$AK298-$X298))</f>
        <v/>
      </c>
      <c r="AM298">
        <f>IF($C298="",0,MAX(0,$AL298-$Y298))</f>
        <v/>
      </c>
      <c r="AN298">
        <f>IF($C298="",0,MAX(0,$AM298-$Z298))</f>
        <v/>
      </c>
      <c r="AO298">
        <f>IF($C298="",0,MAX(0,$AN298-$AA298))</f>
        <v/>
      </c>
      <c r="AP298">
        <f>IF($C298="",0,MAX(0,$AO298-$AB298))</f>
        <v/>
      </c>
      <c r="AQ298">
        <f>IF($C298="",0,MAX(0,$AP298-$AC298))</f>
        <v/>
      </c>
      <c r="AR298">
        <f>IF($C298="",0,MAX(0,$AQ298-$AD298))</f>
        <v/>
      </c>
      <c r="AS298">
        <f>IF($C298="",0,MAX(0,$AR298-$AE298))</f>
        <v/>
      </c>
      <c r="AT298">
        <f>IF($C298="",0,MAX(0,$AS298-$AF298))</f>
        <v/>
      </c>
      <c r="AU298">
        <f>IF($C298="",0,MAX(0,$AT298-$AG298))</f>
        <v/>
      </c>
      <c r="AV298">
        <f>IF($C298="",0,MAX(0,$AU298-$AH298))</f>
        <v/>
      </c>
      <c r="AW298">
        <f>IF($C298="",0,MAX(0,$AV298-$AI298))</f>
        <v/>
      </c>
      <c r="AX298">
        <f>IF($C298="",0,MAX(0,MAX(0,N($L298))+IF($P298=V$3,$R298,0)+IF($S298=V$3,$U298,0)-$V298))</f>
        <v/>
      </c>
      <c r="AY298">
        <f>IF($C298="",0,MAX(0,$AX298+IF($P298=W$3,$R298,0)+IF($S298=W$3,$U298,0)-$W298))</f>
        <v/>
      </c>
      <c r="AZ298">
        <f>IF($C298="",0,MAX(0,$AY298+IF($P298=X$3,$R298,0)+IF($S298=X$3,$U298,0)-$X298))</f>
        <v/>
      </c>
      <c r="BA298">
        <f>IF($C298="",0,MAX(0,$AZ298+IF($P298=Y$3,$R298,0)+IF($S298=Y$3,$U298,0)-$Y298))</f>
        <v/>
      </c>
      <c r="BB298">
        <f>IF($C298="",0,MAX(0,$BA298+IF($P298=Z$3,$R298,0)+IF($S298=Z$3,$U298,0)-$Z298))</f>
        <v/>
      </c>
      <c r="BC298">
        <f>IF($C298="",0,MAX(0,$BB298+IF($P298=AA$3,$R298,0)+IF($S298=AA$3,$U298,0)-$AA298))</f>
        <v/>
      </c>
      <c r="BD298">
        <f>IF($C298="",0,MAX(0,$BC298+IF($P298=AB$3,$R298,0)+IF($S298=AB$3,$U298,0)-$AB298))</f>
        <v/>
      </c>
      <c r="BE298">
        <f>IF($C298="",0,MAX(0,$BD298+IF($P298=AC$3,$R298,0)+IF($S298=AC$3,$U298,0)-$AC298))</f>
        <v/>
      </c>
      <c r="BF298">
        <f>IF($C298="",0,MAX(0,$BE298+IF($P298=AD$3,$R298,0)+IF($S298=AD$3,$U298,0)-$AD298))</f>
        <v/>
      </c>
      <c r="BG298">
        <f>IF($C298="",0,MAX(0,$BF298+IF($P298=AE$3,$R298,0)+IF($S298=AE$3,$U298,0)-$AE298))</f>
        <v/>
      </c>
      <c r="BH298">
        <f>IF($C298="",0,MAX(0,$BG298+IF($P298=AF$3,$R298,0)+IF($S298=AF$3,$U298,0)-$AF298))</f>
        <v/>
      </c>
      <c r="BI298">
        <f>IF($C298="",0,MAX(0,$BH298+IF($P298=AG$3,$R298,0)+IF($S298=AG$3,$U298,0)-$AG298))</f>
        <v/>
      </c>
      <c r="BJ298">
        <f>IF($C298="",0,MAX(0,$BI298+IF($P298=AH$3,$R298,0)+IF($S298=AH$3,$U298,0)-$AH298))</f>
        <v/>
      </c>
      <c r="BK298">
        <f>IF($C298="",0,MAX(0,$BJ298+IF($P298=AI$3,$R298,0)+IF($S298=AI$3,$U298,0)-$AI298))</f>
        <v/>
      </c>
      <c r="BL298">
        <f>IF($C298="",99,IF(AND($AX298&lt;1,V$3&gt;=MAX(N($P298),N($S298))),0,99))</f>
        <v/>
      </c>
      <c r="BM298">
        <f>IF($C298="",99,IF(AND($AY298&lt;1,W$3&gt;=MAX(N($P298),N($S298))),1,99))</f>
        <v/>
      </c>
      <c r="BN298">
        <f>IF($C298="",99,IF(AND($AZ298&lt;1,X$3&gt;=MAX(N($P298),N($S298))),2,99))</f>
        <v/>
      </c>
      <c r="BO298">
        <f>IF($C298="",99,IF(AND($BA298&lt;1,Y$3&gt;=MAX(N($P298),N($S298))),3,99))</f>
        <v/>
      </c>
      <c r="BP298">
        <f>IF($C298="",99,IF(AND($BB298&lt;1,Z$3&gt;=MAX(N($P298),N($S298))),4,99))</f>
        <v/>
      </c>
      <c r="BQ298">
        <f>IF($C298="",99,IF(AND($BC298&lt;1,AA$3&gt;=MAX(N($P298),N($S298))),5,99))</f>
        <v/>
      </c>
      <c r="BR298">
        <f>IF($C298="",99,IF(AND($BD298&lt;1,AB$3&gt;=MAX(N($P298),N($S298))),6,99))</f>
        <v/>
      </c>
      <c r="BS298">
        <f>IF($C298="",99,IF(AND($BE298&lt;1,AC$3&gt;=MAX(N($P298),N($S298))),7,99))</f>
        <v/>
      </c>
      <c r="BT298">
        <f>IF($C298="",99,IF(AND($BF298&lt;1,AD$3&gt;=MAX(N($P298),N($S298))),8,99))</f>
        <v/>
      </c>
      <c r="BU298">
        <f>IF($C298="",99,IF(AND($BG298&lt;1,AE$3&gt;=MAX(N($P298),N($S298))),9,99))</f>
        <v/>
      </c>
      <c r="BV298">
        <f>IF($C298="",99,IF(AND($BH298&lt;1,AF$3&gt;=MAX(N($P298),N($S298))),10,99))</f>
        <v/>
      </c>
      <c r="BW298">
        <f>IF($C298="",99,IF(AND($BI298&lt;1,AG$3&gt;=MAX(N($P298),N($S298))),11,99))</f>
        <v/>
      </c>
      <c r="BX298">
        <f>IF($C298="",99,IF(AND($BJ298&lt;1,AH$3&gt;=MAX(N($P298),N($S298))),12,99))</f>
        <v/>
      </c>
      <c r="BY298">
        <f>IF($C298="",99,IF(AND($BK298&lt;1,AI$3&gt;=MAX(N($P298),N($S298))),13,99))</f>
        <v/>
      </c>
      <c r="BZ298">
        <f>IF(OR($C298="",$M298=""),"",COUNTIF($AJ298:$AW298,"&gt;=1"))</f>
        <v/>
      </c>
      <c r="CA298" s="90">
        <f>IF($BZ298="","",IF($BZ298&gt;=14,"",'設定'!$C$6+$BZ298))</f>
        <v/>
      </c>
      <c r="CB298">
        <f>IF(OR($C298="",$M298=""),"",MIN($BL298:$BY298))</f>
        <v/>
      </c>
      <c r="CC298" s="90">
        <f>IF($CB298="","",IF($CB298&gt;=99,"",'設定'!$C$6+$CB298))</f>
        <v/>
      </c>
      <c r="CD298">
        <f>IF(OR($C298="",$M298=""),"",AVERAGE($V298:$AI298))</f>
        <v/>
      </c>
      <c r="CE298">
        <f>IF($C298="","",IFERROR(IF(MATCH(IF(ISNUMBER($P298),$P298,'設定'!$C$6+N('設定'!$C$7)),$V$3:$AI$3,0)=1,MAX(0,N($L298)),INDEX($AJ298:$AW298,MATCH(IF(ISNUMBER($P298),$P298,'設定'!$C$6+N('設定'!$C$7)),$V$3:$AI$3,0)-1)),""))</f>
        <v/>
      </c>
      <c r="CF298">
        <f>IF(OR($C298="",$O298="",$CE298=""),"",IF($O298-$CE298&lt;=0,0,ROUNDUP(($O298-$CE298)/$G298,0)))</f>
        <v/>
      </c>
      <c r="CG298">
        <f>IF(OR($C298="",$CF298="",NOT(ISNUMBER($Q298))),0,MAX(0,$Q298-$CF298))</f>
        <v/>
      </c>
      <c r="CH298">
        <f>IF(OR($C298="",$O298="",$U298=0),0,IFERROR(ROUNDUP(MAX(0,IF(MATCH($S298,$V$3:$AI$3,0)=1,MAX(0,N($L298)),INDEX($AX298:$BK298,MATCH($S298,$V$3:$AI$3,0)-1))+$U298-$O298)/$G298,0),0))</f>
        <v/>
      </c>
      <c r="CI298">
        <f>IF($C298="","",IF(AND($P298="",$Q298=""),"",IF($P298="","⚠ 入庫日を ▼ から選んでください",IF(NOT(ISNUMBER($P298)),"⚠ 入庫日は ▼ から選んでください",IF($P298&lt;N('設定'!$C$6),"⚠ 入庫日が過去です（もう在庫に入っています）→ 消してください",IF($P298&gt;N('設定'!$C$6)+13,"⚠ 入庫日が14日より先です",IF(N($Q298)&lt;=0,"⚠ 入庫数を入れてください",IF($CG298&gt;0,"⚠ 目安より "&amp;$CG298&amp;" 多い（定数を超える）→ 減らす",""))))))))</f>
        <v/>
      </c>
      <c r="CJ298">
        <f>IF($C298="","",IF(AND($S298="",$T298=""),"",IF($S298="","⚠ 2便目：入庫日を ▼ から選んでください",IF(NOT(ISNUMBER($S298)),"⚠ 2便目：入庫日は ▼ から選んでください",IF($S298&lt;N('設定'!$C$6),"⚠ 2便目：入庫日が過去です（もう在庫に入っています）→ 消してください",IF($S298&gt;N('設定'!$C$6)+13,"⚠ 2便目：入庫日が14日より先です",IF(N($T298)&lt;=0,"⚠ 2便目：入庫数を入れてください",IF($CH298&gt;0,"⚠ 2便目：定数を "&amp;$CH298&amp;" ケース超える → 減らす",""))))))))</f>
        <v/>
      </c>
      <c r="CK298">
        <f>IF(AND($CI298="",N($Q298)&gt;0,ISNUMBER($P298)),1,0)</f>
        <v/>
      </c>
      <c r="CL298">
        <f>IF(AND($CJ298="",N($T298)&gt;0,ISNUMBER($S298)),1,0)</f>
        <v/>
      </c>
      <c r="CM298">
        <f>IF(OR($CK298=1,$CL298=1),1,0)</f>
        <v/>
      </c>
      <c r="CN298">
        <f>IF($C298="",0,($CK298*$R298+$CL298*$U298)*N($H298))</f>
        <v/>
      </c>
      <c r="CO298">
        <f>IF($C298="","",IF($CC298="","入庫後は 14日以上もつ",IF($CC298-N('設定'!$C$7)&lt;='設定'!$C$6,"入庫後も "&amp;TEXT($CC298,"m/d")&amp;"("&amp;CHOOSE(WEEKDAY($CC298),"日","月","火","水","木","金","土")&amp;")"&amp;" に切れる　もう1便を至急発注","入庫後も "&amp;TEXT($CC298,"m/d")&amp;"("&amp;CHOOSE(WEEKDAY($CC298),"日","月","火","水","木","金","土")&amp;")"&amp;" に切れる　"&amp;TEXT($CC298-N('設定'!$C$7),"m/d")&amp;"("&amp;CHOOSE(WEEKDAY($CC298-N('設定'!$C$7)),"日","月","火","水","木","金","土")&amp;")"&amp;" までに次を発注")))</f>
        <v/>
      </c>
      <c r="CP298">
        <f>IF($C298="","",IF('設定'!$C$6="","？ ①在庫を貼る に今日のCSVが貼られていない",IF($CS298=1,"－ 今日のCSVに無い（終売？）",IF($L298&lt;0,"● 在庫がマイナス　数えて「数えた在庫」に入れる",IF($L298=0,"● 在庫なし　至急発注",IF($M298="","？ 減り数が未設定（商品マスタ）",IF($B$3=0,"？ 動員が未入力（動員を入れる）",IF($CA298="","○ 14日以上もつ",IF($BZ298&lt;N('設定'!$C$7),"● "&amp;TEXT($CA298,"m/d")&amp;"("&amp;CHOOSE(WEEKDAY($CA298),"日","月","火","水","木","金","土")&amp;")"&amp;" に切れる　至急発注",IF($BZ298=N('設定'!$C$7),"● "&amp;TEXT($CA298,"m/d")&amp;"("&amp;CHOOSE(WEEKDAY($CA298),"日","月","火","水","木","金","土")&amp;")"&amp;" に切れる　今日発注","△ "&amp;TEXT($CA298,"m/d")&amp;"("&amp;CHOOSE(WEEKDAY($CA298),"日","月","火","水","木","金","土")&amp;")"&amp;" に切れる　"&amp;TEXT($CA298-N('設定'!$C$7),"m/d")&amp;"("&amp;CHOOSE(WEEKDAY($CA298-N('設定'!$C$7)),"日","月","火","水","木","金","土")&amp;")"&amp;" までに発注"))))))))))</f>
        <v/>
      </c>
      <c r="CQ298">
        <f>IF($C298="","",IF(AND($P298="",$Q298="",$S298="",$T298=""),"",IF(AND($P298="",$Q298=""),"⚠ 先に1便目（左の入庫日・入庫数）に入れてください",IF($CI298&lt;&gt;"",$CI298,IF($CJ298&lt;&gt;"",$CJ298,IF($M298="","？ 減り数が未設定（発注書には載ります）",IF($B$3=0,"？ 動員が未入力（発注書には載ります）",IF(AND($CA298&lt;&gt;"",$P298&gt;$CA298),IF($P298&gt;'設定'!$C$6+N('設定'!$C$7),"● "&amp;TEXT($P298,"m/d")&amp;"("&amp;CHOOSE(WEEKDAY($P298),"日","月","火","水","木","金","土")&amp;")"&amp;" の入庫では間に合わない（"&amp;TEXT($CA298,"m/d")&amp;"("&amp;CHOOSE(WEEKDAY($CA298),"日","月","火","水","木","金","土")&amp;")"&amp;" に切れる）　入庫日を早める","△ 欠品 "&amp;TEXT($CA298,"m/d")&amp;"("&amp;CHOOSE(WEEKDAY($CA298),"日","月","火","水","木","金","土")&amp;")"&amp;"〜"&amp;TEXT($P298-1,"m/d")&amp;"("&amp;CHOOSE(WEEKDAY($P298-1),"日","月","火","水","木","金","土")&amp;")"&amp;"　"&amp;$CO298),IF($CC298="","○ "&amp;TEXT($P298,"m/d")&amp;"("&amp;CHOOSE(WEEKDAY($P298),"日","月","火","水","木","金","土")&amp;")"&amp;" 入庫で 14日以上もつ",IF($CC298-N('設定'!$C$7)&lt;='設定'!$C$6,"● 入庫しても "&amp;TEXT($CC298,"m/d")&amp;"("&amp;CHOOSE(WEEKDAY($CC298),"日","月","火","水","木","金","土")&amp;")"&amp;" に切れる　もう1便を至急発注（2便目に入れる）","△ 入庫しても "&amp;TEXT($CC298,"m/d")&amp;"("&amp;CHOOSE(WEEKDAY($CC298),"日","月","火","水","木","金","土")&amp;")"&amp;" に切れる　"&amp;TEXT($CC298-N('設定'!$C$7),"m/d")&amp;"("&amp;CHOOSE(WEEKDAY($CC298-N('設定'!$C$7)),"日","月","火","水","木","金","土")&amp;")"&amp;" までに次を発注（2便目に入れる）"))))))))))</f>
        <v/>
      </c>
      <c r="CR298">
        <f>IF($C298="","",IF($G298&gt;1,"ｹｰｽ("&amp;$G298&amp;"入)","個"))</f>
        <v/>
      </c>
      <c r="CS298">
        <f>IF($C298="",0,IF(COUNTIFS('①在庫を貼る'!$V$6:$V$10005,'設定'!$C$4,'①在庫を貼る'!$W$6:$W$10005,$C298)=0,1,0))</f>
        <v/>
      </c>
      <c r="CT298">
        <f>IF(AND($CK298=1,OR('③発注書'!$C$4="すべて",'③発注書'!$C$4="",$F298='③発注書'!$C$4)),N($CT297)+1,N($CT297))</f>
        <v/>
      </c>
      <c r="CU298">
        <f>IF(AND($CL298=1,OR('③発注書'!$C$4="すべて",'③発注書'!$C$4="",$F298='③発注書'!$C$4)),N($CU297)+1,N($CU297))</f>
        <v/>
      </c>
      <c r="CV298">
        <f>IF($C298="",0,IF(COUNTIFS('①在庫を貼る'!$V$6:$V$10005,'設定'!$C$4,'①在庫を貼る'!$W$6:$W$10005,$C298)&gt;0,1,0))</f>
        <v/>
      </c>
      <c r="CW298">
        <f>IF($C298="",0,IF(COUNTIFS('月1回_1ヶ月前の在庫'!$V$6:$V$10005,'設定'!$C$4,'月1回_1ヶ月前の在庫'!$W$6:$W$10005,$C298)&gt;0,1,0))</f>
        <v/>
      </c>
      <c r="CX298">
        <f>IF($C298="",0,IF(COUNTIFS('月1回_2ヶ月前の在庫'!$V$6:$V$10005,'設定'!$C$4,'月1回_2ヶ月前の在庫'!$W$6:$W$10005,$C298)&gt;0,1,0))</f>
        <v/>
      </c>
      <c r="CY298">
        <f>IF(OR($C298="",'設定'!$C$12=""),"",IF('設定'!$C$13="",IF(AND($CV298=1,$CW298=0),"新商品（今月から）",IF(AND($CV298=0,$CW298=1),"終売（今月から）","")),IF(AND($CV298=1,$CW298=0,$CX298=0),"新商品（今月から）",IF(AND($CV298=1,$CW298=1,$CX298=0),"新商品（先月から）",IF(AND($CV298=0,$CW298=1,$CX298=1),"終売（今月から）",IF(AND($CV298=0,$CW298=0,$CX298=1),"終売（先月から）",IF(AND($CV298=1,$CW298=0,$CX298=1),"復活（先月は無し）","")))))))</f>
        <v/>
      </c>
    </row>
    <row r="299">
      <c r="B299">
        <f>IF(294&lt;='設定'!$C$11,294,"")</f>
        <v/>
      </c>
      <c r="C299">
        <f>IF($B299="","",IF($B299&lt;='設定'!$C$20,INDEX('商品マスタ'!$B$6:$B$1005,MATCH($B299,'商品マスタ'!$M$6:$M$1005,0)),IF($B299&lt;='設定'!$C$20+'設定'!$C$17,INDEX('①在庫を貼る'!$W$6:$W$10005,MATCH($B299-'設定'!$C$20,'①在庫を貼る'!$U$6:$U$10005,0)),IF($B299&lt;='設定'!$C$20+'設定'!$C$17+'設定'!$C$18,INDEX('月1回_1ヶ月前の在庫'!$W$6:$W$10005,MATCH($B299-'設定'!$C$20-'設定'!$C$17,'月1回_1ヶ月前の在庫'!$U$6:$U$10005,0)),INDEX('月1回_2ヶ月前の在庫'!$W$6:$W$10005,MATCH($B299-'設定'!$C$20-'設定'!$C$17-'設定'!$C$18,'月1回_2ヶ月前の在庫'!$U$6:$U$10005,0))))))</f>
        <v/>
      </c>
      <c r="D299">
        <f>IF($C299="","",IFERROR(IF(INDEX('商品マスタ'!$C$6:$C$1005,MATCH($C299,'商品マスタ'!$B$6:$B$1005,0))="",IFERROR(INDEX('①在庫を貼る'!$J$6:$J$10005,MATCH($C299,'①在庫を貼る'!$W$6:$W$10005,0)),IFERROR(INDEX('月1回_1ヶ月前の在庫'!$J$6:$J$10005,MATCH($C299,'月1回_1ヶ月前の在庫'!$W$6:$W$10005,0)),IFERROR(INDEX('月1回_2ヶ月前の在庫'!$J$6:$J$10005,MATCH($C299,'月1回_2ヶ月前の在庫'!$W$6:$W$10005,0)),""))),INDEX('商品マスタ'!$C$6:$C$1005,MATCH($C299,'商品マスタ'!$B$6:$B$1005,0))),IFERROR(INDEX('①在庫を貼る'!$J$6:$J$10005,MATCH($C299,'①在庫を貼る'!$W$6:$W$10005,0)),IFERROR(INDEX('月1回_1ヶ月前の在庫'!$J$6:$J$10005,MATCH($C299,'月1回_1ヶ月前の在庫'!$W$6:$W$10005,0)),IFERROR(INDEX('月1回_2ヶ月前の在庫'!$J$6:$J$10005,MATCH($C299,'月1回_2ヶ月前の在庫'!$W$6:$W$10005,0)),"")))))</f>
        <v/>
      </c>
      <c r="E299">
        <f>IF($C299="","",IFERROR(IF(INDEX('商品マスタ'!$D$6:$D$1005,MATCH($C299,'商品マスタ'!$B$6:$B$1005,0))="",IFERROR(INDEX('①在庫を貼る'!$H$6:$H$10005,MATCH($C299,'①在庫を貼る'!$W$6:$W$10005,0)),IFERROR(INDEX('月1回_1ヶ月前の在庫'!$H$6:$H$10005,MATCH($C299,'月1回_1ヶ月前の在庫'!$W$6:$W$10005,0)),IFERROR(INDEX('月1回_2ヶ月前の在庫'!$H$6:$H$10005,MATCH($C299,'月1回_2ヶ月前の在庫'!$W$6:$W$10005,0)),""))),INDEX('商品マスタ'!$D$6:$D$1005,MATCH($C299,'商品マスタ'!$B$6:$B$1005,0))),IFERROR(INDEX('①在庫を貼る'!$H$6:$H$10005,MATCH($C299,'①在庫を貼る'!$W$6:$W$10005,0)),IFERROR(INDEX('月1回_1ヶ月前の在庫'!$H$6:$H$10005,MATCH($C299,'月1回_1ヶ月前の在庫'!$W$6:$W$10005,0)),IFERROR(INDEX('月1回_2ヶ月前の在庫'!$H$6:$H$10005,MATCH($C299,'月1回_2ヶ月前の在庫'!$W$6:$W$10005,0)),"")))))</f>
        <v/>
      </c>
      <c r="F299">
        <f>IF($C299="","",IFERROR(IF(INDEX('商品マスタ'!$E$6:$E$1005,MATCH($C299,'商品マスタ'!$B$6:$B$1005,0))="",IFERROR(INDEX('①在庫を貼る'!$E$6:$E$10005,MATCH($C299,'①在庫を貼る'!$W$6:$W$10005,0)),IFERROR(INDEX('月1回_1ヶ月前の在庫'!$E$6:$E$10005,MATCH($C299,'月1回_1ヶ月前の在庫'!$W$6:$W$10005,0)),IFERROR(INDEX('月1回_2ヶ月前の在庫'!$E$6:$E$10005,MATCH($C299,'月1回_2ヶ月前の在庫'!$W$6:$W$10005,0)),""))),INDEX('商品マスタ'!$E$6:$E$1005,MATCH($C299,'商品マスタ'!$B$6:$B$1005,0))),IFERROR(INDEX('①在庫を貼る'!$E$6:$E$10005,MATCH($C299,'①在庫を貼る'!$W$6:$W$10005,0)),IFERROR(INDEX('月1回_1ヶ月前の在庫'!$E$6:$E$10005,MATCH($C299,'月1回_1ヶ月前の在庫'!$W$6:$W$10005,0)),IFERROR(INDEX('月1回_2ヶ月前の在庫'!$E$6:$E$10005,MATCH($C299,'月1回_2ヶ月前の在庫'!$W$6:$W$10005,0)),"")))))</f>
        <v/>
      </c>
      <c r="G299">
        <f>IF($C299="","",MAX(1,N(IFERROR(IF(INDEX('商品マスタ'!$F$6:$F$1005,MATCH($C299,'商品マスタ'!$B$6:$B$1005,0))="",IF(COUNTIFS('①在庫を貼る'!$V$6:$V$10005,'設定'!$C$4,'①在庫を貼る'!$W$6:$W$10005,$C299)&gt;0,SUMIFS('①在庫を貼る'!$K$6:$K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K$6:$K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K$6:$K$10005,'月1回_2ヶ月前の在庫'!$V$6:$V$10005,'設定'!$C$4,'月1回_2ヶ月前の在庫'!$W$6:$W$10005,$C299)/COUNTIFS('月1回_2ヶ月前の在庫'!$V$6:$V$10005,'設定'!$C$4,'月1回_2ヶ月前の在庫'!$W$6:$W$10005,$C299),0))),INDEX('商品マスタ'!$F$6:$F$1005,MATCH($C299,'商品マスタ'!$B$6:$B$1005,0))),IF(COUNTIFS('①在庫を貼る'!$V$6:$V$10005,'設定'!$C$4,'①在庫を貼る'!$W$6:$W$10005,$C299)&gt;0,SUMIFS('①在庫を貼る'!$K$6:$K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K$6:$K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K$6:$K$10005,'月1回_2ヶ月前の在庫'!$V$6:$V$10005,'設定'!$C$4,'月1回_2ヶ月前の在庫'!$W$6:$W$10005,$C299)/COUNTIFS('月1回_2ヶ月前の在庫'!$V$6:$V$10005,'設定'!$C$4,'月1回_2ヶ月前の在庫'!$W$6:$W$10005,$C299),0)))))))</f>
        <v/>
      </c>
      <c r="H299">
        <f>IF($C299="","",N(IFERROR(IF(INDEX('商品マスタ'!$G$6:$G$1005,MATCH($C299,'商品マスタ'!$B$6:$B$1005,0))="",IF(COUNTIFS('①在庫を貼る'!$V$6:$V$10005,'設定'!$C$4,'①在庫を貼る'!$W$6:$W$10005,$C299)&gt;0,SUMIFS('①在庫を貼る'!$Q$6:$Q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Q$6:$Q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Q$6:$Q$10005,'月1回_2ヶ月前の在庫'!$V$6:$V$10005,'設定'!$C$4,'月1回_2ヶ月前の在庫'!$W$6:$W$10005,$C299)/COUNTIFS('月1回_2ヶ月前の在庫'!$V$6:$V$10005,'設定'!$C$4,'月1回_2ヶ月前の在庫'!$W$6:$W$10005,$C299),0))),INDEX('商品マスタ'!$G$6:$G$1005,MATCH($C299,'商品マスタ'!$B$6:$B$1005,0))),IF(COUNTIFS('①在庫を貼る'!$V$6:$V$10005,'設定'!$C$4,'①在庫を貼る'!$W$6:$W$10005,$C299)&gt;0,SUMIFS('①在庫を貼る'!$Q$6:$Q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Q$6:$Q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Q$6:$Q$10005,'月1回_2ヶ月前の在庫'!$V$6:$V$10005,'設定'!$C$4,'月1回_2ヶ月前の在庫'!$W$6:$W$10005,$C299)/COUNTIFS('月1回_2ヶ月前の在庫'!$V$6:$V$10005,'設定'!$C$4,'月1回_2ヶ月前の在庫'!$W$6:$W$10005,$C299),0))))))</f>
        <v/>
      </c>
      <c r="I299">
        <f>IF($C299="","",IF(COUNTIFS('①在庫を貼る'!$V$6:$V$10005,'設定'!$C$4,'①在庫を貼る'!$W$6:$W$10005,$C299)=0,"",SUMIFS('①在庫を貼る'!$N$6:$N$10005,'①在庫を貼る'!$V$6:$V$10005,'設定'!$C$4,'①在庫を貼る'!$W$6:$W$10005,$C299)))</f>
        <v/>
      </c>
      <c r="J299">
        <f>IF($C299="","",IF('②発注する'!$AD303="","",'②発注する'!$AD303))</f>
        <v/>
      </c>
      <c r="K299" s="90">
        <f>IF($C299="","",IF('②発注する'!$AE303="","",'②発注する'!$AE303))</f>
        <v/>
      </c>
      <c r="L299">
        <f>IF($C299="","",IF(AND(ISNUMBER($J299),ISNUMBER($K299),$K299&gt;='設定'!$C$6),$J299,N($I299)))</f>
        <v/>
      </c>
      <c r="M299">
        <f>IF($C299="","",IFERROR(IF(N(INDEX('商品マスタ'!$J$6:$J$1005,MATCH($C299,'商品マスタ'!$B$6:$B$1005,0)))&gt;0,INDEX('商品マスタ'!$J$6:$J$1005,MATCH($C299,'商品マスタ'!$B$6:$B$1005,0)),""),""))</f>
        <v/>
      </c>
      <c r="N299">
        <f>IF($C299="","",IFERROR(IF(N(INDEX('商品マスタ'!$H$6:$H$1005,MATCH($C299,'商品マスタ'!$B$6:$B$1005,0)))&gt;0,INDEX('商品マスタ'!$H$6:$H$1005,MATCH($C299,'商品マスタ'!$B$6:$B$1005,0)),""),""))</f>
        <v/>
      </c>
      <c r="O299">
        <f>IF($C299="","",IF($N299&lt;&gt;"",$N299*$G299,IF(N(IF(COUNTIFS('①在庫を貼る'!$V$6:$V$10005,'設定'!$C$4,'①在庫を貼る'!$W$6:$W$10005,$C299)&gt;0,SUMIFS('①在庫を貼る'!$O$6:$O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O$6:$O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O$6:$O$10005,'月1回_2ヶ月前の在庫'!$V$6:$V$10005,'設定'!$C$4,'月1回_2ヶ月前の在庫'!$W$6:$W$10005,$C299)/COUNTIFS('月1回_2ヶ月前の在庫'!$V$6:$V$10005,'設定'!$C$4,'月1回_2ヶ月前の在庫'!$W$6:$W$10005,$C299),0))))&gt;0,N(IF(COUNTIFS('①在庫を貼る'!$V$6:$V$10005,'設定'!$C$4,'①在庫を貼る'!$W$6:$W$10005,$C299)&gt;0,SUMIFS('①在庫を貼る'!$O$6:$O$10005,'①在庫を貼る'!$V$6:$V$10005,'設定'!$C$4,'①在庫を貼る'!$W$6:$W$10005,$C299)/COUNTIFS('①在庫を貼る'!$V$6:$V$10005,'設定'!$C$4,'①在庫を貼る'!$W$6:$W$10005,$C299),IF(COUNTIFS('月1回_1ヶ月前の在庫'!$V$6:$V$10005,'設定'!$C$4,'月1回_1ヶ月前の在庫'!$W$6:$W$10005,$C299)&gt;0,SUMIFS('月1回_1ヶ月前の在庫'!$O$6:$O$10005,'月1回_1ヶ月前の在庫'!$V$6:$V$10005,'設定'!$C$4,'月1回_1ヶ月前の在庫'!$W$6:$W$10005,$C299)/COUNTIFS('月1回_1ヶ月前の在庫'!$V$6:$V$10005,'設定'!$C$4,'月1回_1ヶ月前の在庫'!$W$6:$W$10005,$C299),IF(COUNTIFS('月1回_2ヶ月前の在庫'!$V$6:$V$10005,'設定'!$C$4,'月1回_2ヶ月前の在庫'!$W$6:$W$10005,$C299)&gt;0,SUMIFS('月1回_2ヶ月前の在庫'!$O$6:$O$10005,'月1回_2ヶ月前の在庫'!$V$6:$V$10005,'設定'!$C$4,'月1回_2ヶ月前の在庫'!$W$6:$W$10005,$C299)/COUNTIFS('月1回_2ヶ月前の在庫'!$V$6:$V$10005,'設定'!$C$4,'月1回_2ヶ月前の在庫'!$W$6:$W$10005,$C299),0)))),"")))</f>
        <v/>
      </c>
      <c r="P299" s="90">
        <f>IF($C299="","",IF('②発注する'!$I303="","",'②発注する'!$I303))</f>
        <v/>
      </c>
      <c r="Q299">
        <f>IF($C299="","",IF('②発注する'!$J303="","",'②発注する'!$J303))</f>
        <v/>
      </c>
      <c r="R299">
        <f>IF($C299="",0,IF(AND(ISNUMBER($P299),ISNUMBER($Q299)),MAX(0,$Q299)*$G299,0))</f>
        <v/>
      </c>
      <c r="S299" s="90">
        <f>IF($C299="","",IF('②発注する'!$M303="","",'②発注する'!$M303))</f>
        <v/>
      </c>
      <c r="T299">
        <f>IF($C299="","",IF('②発注する'!$N303="","",'②発注する'!$N303))</f>
        <v/>
      </c>
      <c r="U299">
        <f>IF($C299="",0,IF(AND(ISNUMBER($S299),ISNUMBER($T299)),MAX(0,$T299)*$G299,0))</f>
        <v/>
      </c>
      <c r="V299">
        <f>IF($C299="",0,IF($M299="",0,MAX(0,$M299)*MAX(0,V$4)/100))</f>
        <v/>
      </c>
      <c r="W299">
        <f>IF($C299="",0,IF($M299="",0,MAX(0,$M299)*MAX(0,W$4)/100))</f>
        <v/>
      </c>
      <c r="X299">
        <f>IF($C299="",0,IF($M299="",0,MAX(0,$M299)*MAX(0,X$4)/100))</f>
        <v/>
      </c>
      <c r="Y299">
        <f>IF($C299="",0,IF($M299="",0,MAX(0,$M299)*MAX(0,Y$4)/100))</f>
        <v/>
      </c>
      <c r="Z299">
        <f>IF($C299="",0,IF($M299="",0,MAX(0,$M299)*MAX(0,Z$4)/100))</f>
        <v/>
      </c>
      <c r="AA299">
        <f>IF($C299="",0,IF($M299="",0,MAX(0,$M299)*MAX(0,AA$4)/100))</f>
        <v/>
      </c>
      <c r="AB299">
        <f>IF($C299="",0,IF($M299="",0,MAX(0,$M299)*MAX(0,AB$4)/100))</f>
        <v/>
      </c>
      <c r="AC299">
        <f>IF($C299="",0,IF($M299="",0,MAX(0,$M299)*MAX(0,AC$4)/100))</f>
        <v/>
      </c>
      <c r="AD299">
        <f>IF($C299="",0,IF($M299="",0,MAX(0,$M299)*MAX(0,AD$4)/100))</f>
        <v/>
      </c>
      <c r="AE299">
        <f>IF($C299="",0,IF($M299="",0,MAX(0,$M299)*MAX(0,AE$4)/100))</f>
        <v/>
      </c>
      <c r="AF299">
        <f>IF($C299="",0,IF($M299="",0,MAX(0,$M299)*MAX(0,AF$4)/100))</f>
        <v/>
      </c>
      <c r="AG299">
        <f>IF($C299="",0,IF($M299="",0,MAX(0,$M299)*MAX(0,AG$4)/100))</f>
        <v/>
      </c>
      <c r="AH299">
        <f>IF($C299="",0,IF($M299="",0,MAX(0,$M299)*MAX(0,AH$4)/100))</f>
        <v/>
      </c>
      <c r="AI299">
        <f>IF($C299="",0,IF($M299="",0,MAX(0,$M299)*MAX(0,AI$4)/100))</f>
        <v/>
      </c>
      <c r="AJ299">
        <f>IF($C299="",0,MAX(0,MAX(0,N($L299))-$V299))</f>
        <v/>
      </c>
      <c r="AK299">
        <f>IF($C299="",0,MAX(0,$AJ299-$W299))</f>
        <v/>
      </c>
      <c r="AL299">
        <f>IF($C299="",0,MAX(0,$AK299-$X299))</f>
        <v/>
      </c>
      <c r="AM299">
        <f>IF($C299="",0,MAX(0,$AL299-$Y299))</f>
        <v/>
      </c>
      <c r="AN299">
        <f>IF($C299="",0,MAX(0,$AM299-$Z299))</f>
        <v/>
      </c>
      <c r="AO299">
        <f>IF($C299="",0,MAX(0,$AN299-$AA299))</f>
        <v/>
      </c>
      <c r="AP299">
        <f>IF($C299="",0,MAX(0,$AO299-$AB299))</f>
        <v/>
      </c>
      <c r="AQ299">
        <f>IF($C299="",0,MAX(0,$AP299-$AC299))</f>
        <v/>
      </c>
      <c r="AR299">
        <f>IF($C299="",0,MAX(0,$AQ299-$AD299))</f>
        <v/>
      </c>
      <c r="AS299">
        <f>IF($C299="",0,MAX(0,$AR299-$AE299))</f>
        <v/>
      </c>
      <c r="AT299">
        <f>IF($C299="",0,MAX(0,$AS299-$AF299))</f>
        <v/>
      </c>
      <c r="AU299">
        <f>IF($C299="",0,MAX(0,$AT299-$AG299))</f>
        <v/>
      </c>
      <c r="AV299">
        <f>IF($C299="",0,MAX(0,$AU299-$AH299))</f>
        <v/>
      </c>
      <c r="AW299">
        <f>IF($C299="",0,MAX(0,$AV299-$AI299))</f>
        <v/>
      </c>
      <c r="AX299">
        <f>IF($C299="",0,MAX(0,MAX(0,N($L299))+IF($P299=V$3,$R299,0)+IF($S299=V$3,$U299,0)-$V299))</f>
        <v/>
      </c>
      <c r="AY299">
        <f>IF($C299="",0,MAX(0,$AX299+IF($P299=W$3,$R299,0)+IF($S299=W$3,$U299,0)-$W299))</f>
        <v/>
      </c>
      <c r="AZ299">
        <f>IF($C299="",0,MAX(0,$AY299+IF($P299=X$3,$R299,0)+IF($S299=X$3,$U299,0)-$X299))</f>
        <v/>
      </c>
      <c r="BA299">
        <f>IF($C299="",0,MAX(0,$AZ299+IF($P299=Y$3,$R299,0)+IF($S299=Y$3,$U299,0)-$Y299))</f>
        <v/>
      </c>
      <c r="BB299">
        <f>IF($C299="",0,MAX(0,$BA299+IF($P299=Z$3,$R299,0)+IF($S299=Z$3,$U299,0)-$Z299))</f>
        <v/>
      </c>
      <c r="BC299">
        <f>IF($C299="",0,MAX(0,$BB299+IF($P299=AA$3,$R299,0)+IF($S299=AA$3,$U299,0)-$AA299))</f>
        <v/>
      </c>
      <c r="BD299">
        <f>IF($C299="",0,MAX(0,$BC299+IF($P299=AB$3,$R299,0)+IF($S299=AB$3,$U299,0)-$AB299))</f>
        <v/>
      </c>
      <c r="BE299">
        <f>IF($C299="",0,MAX(0,$BD299+IF($P299=AC$3,$R299,0)+IF($S299=AC$3,$U299,0)-$AC299))</f>
        <v/>
      </c>
      <c r="BF299">
        <f>IF($C299="",0,MAX(0,$BE299+IF($P299=AD$3,$R299,0)+IF($S299=AD$3,$U299,0)-$AD299))</f>
        <v/>
      </c>
      <c r="BG299">
        <f>IF($C299="",0,MAX(0,$BF299+IF($P299=AE$3,$R299,0)+IF($S299=AE$3,$U299,0)-$AE299))</f>
        <v/>
      </c>
      <c r="BH299">
        <f>IF($C299="",0,MAX(0,$BG299+IF($P299=AF$3,$R299,0)+IF($S299=AF$3,$U299,0)-$AF299))</f>
        <v/>
      </c>
      <c r="BI299">
        <f>IF($C299="",0,MAX(0,$BH299+IF($P299=AG$3,$R299,0)+IF($S299=AG$3,$U299,0)-$AG299))</f>
        <v/>
      </c>
      <c r="BJ299">
        <f>IF($C299="",0,MAX(0,$BI299+IF($P299=AH$3,$R299,0)+IF($S299=AH$3,$U299,0)-$AH299))</f>
        <v/>
      </c>
      <c r="BK299">
        <f>IF($C299="",0,MAX(0,$BJ299+IF($P299=AI$3,$R299,0)+IF($S299=AI$3,$U299,0)-$AI299))</f>
        <v/>
      </c>
      <c r="BL299">
        <f>IF($C299="",99,IF(AND($AX299&lt;1,V$3&gt;=MAX(N($P299),N($S299))),0,99))</f>
        <v/>
      </c>
      <c r="BM299">
        <f>IF($C299="",99,IF(AND($AY299&lt;1,W$3&gt;=MAX(N($P299),N($S299))),1,99))</f>
        <v/>
      </c>
      <c r="BN299">
        <f>IF($C299="",99,IF(AND($AZ299&lt;1,X$3&gt;=MAX(N($P299),N($S299))),2,99))</f>
        <v/>
      </c>
      <c r="BO299">
        <f>IF($C299="",99,IF(AND($BA299&lt;1,Y$3&gt;=MAX(N($P299),N($S299))),3,99))</f>
        <v/>
      </c>
      <c r="BP299">
        <f>IF($C299="",99,IF(AND($BB299&lt;1,Z$3&gt;=MAX(N($P299),N($S299))),4,99))</f>
        <v/>
      </c>
      <c r="BQ299">
        <f>IF($C299="",99,IF(AND($BC299&lt;1,AA$3&gt;=MAX(N($P299),N($S299))),5,99))</f>
        <v/>
      </c>
      <c r="BR299">
        <f>IF($C299="",99,IF(AND($BD299&lt;1,AB$3&gt;=MAX(N($P299),N($S299))),6,99))</f>
        <v/>
      </c>
      <c r="BS299">
        <f>IF($C299="",99,IF(AND($BE299&lt;1,AC$3&gt;=MAX(N($P299),N($S299))),7,99))</f>
        <v/>
      </c>
      <c r="BT299">
        <f>IF($C299="",99,IF(AND($BF299&lt;1,AD$3&gt;=MAX(N($P299),N($S299))),8,99))</f>
        <v/>
      </c>
      <c r="BU299">
        <f>IF($C299="",99,IF(AND($BG299&lt;1,AE$3&gt;=MAX(N($P299),N($S299))),9,99))</f>
        <v/>
      </c>
      <c r="BV299">
        <f>IF($C299="",99,IF(AND($BH299&lt;1,AF$3&gt;=MAX(N($P299),N($S299))),10,99))</f>
        <v/>
      </c>
      <c r="BW299">
        <f>IF($C299="",99,IF(AND($BI299&lt;1,AG$3&gt;=MAX(N($P299),N($S299))),11,99))</f>
        <v/>
      </c>
      <c r="BX299">
        <f>IF($C299="",99,IF(AND($BJ299&lt;1,AH$3&gt;=MAX(N($P299),N($S299))),12,99))</f>
        <v/>
      </c>
      <c r="BY299">
        <f>IF($C299="",99,IF(AND($BK299&lt;1,AI$3&gt;=MAX(N($P299),N($S299))),13,99))</f>
        <v/>
      </c>
      <c r="BZ299">
        <f>IF(OR($C299="",$M299=""),"",COUNTIF($AJ299:$AW299,"&gt;=1"))</f>
        <v/>
      </c>
      <c r="CA299" s="90">
        <f>IF($BZ299="","",IF($BZ299&gt;=14,"",'設定'!$C$6+$BZ299))</f>
        <v/>
      </c>
      <c r="CB299">
        <f>IF(OR($C299="",$M299=""),"",MIN($BL299:$BY299))</f>
        <v/>
      </c>
      <c r="CC299" s="90">
        <f>IF($CB299="","",IF($CB299&gt;=99,"",'設定'!$C$6+$CB299))</f>
        <v/>
      </c>
      <c r="CD299">
        <f>IF(OR($C299="",$M299=""),"",AVERAGE($V299:$AI299))</f>
        <v/>
      </c>
      <c r="CE299">
        <f>IF($C299="","",IFERROR(IF(MATCH(IF(ISNUMBER($P299),$P299,'設定'!$C$6+N('設定'!$C$7)),$V$3:$AI$3,0)=1,MAX(0,N($L299)),INDEX($AJ299:$AW299,MATCH(IF(ISNUMBER($P299),$P299,'設定'!$C$6+N('設定'!$C$7)),$V$3:$AI$3,0)-1)),""))</f>
        <v/>
      </c>
      <c r="CF299">
        <f>IF(OR($C299="",$O299="",$CE299=""),"",IF($O299-$CE299&lt;=0,0,ROUNDUP(($O299-$CE299)/$G299,0)))</f>
        <v/>
      </c>
      <c r="CG299">
        <f>IF(OR($C299="",$CF299="",NOT(ISNUMBER($Q299))),0,MAX(0,$Q299-$CF299))</f>
        <v/>
      </c>
      <c r="CH299">
        <f>IF(OR($C299="",$O299="",$U299=0),0,IFERROR(ROUNDUP(MAX(0,IF(MATCH($S299,$V$3:$AI$3,0)=1,MAX(0,N($L299)),INDEX($AX299:$BK299,MATCH($S299,$V$3:$AI$3,0)-1))+$U299-$O299)/$G299,0),0))</f>
        <v/>
      </c>
      <c r="CI299">
        <f>IF($C299="","",IF(AND($P299="",$Q299=""),"",IF($P299="","⚠ 入庫日を ▼ から選んでください",IF(NOT(ISNUMBER($P299)),"⚠ 入庫日は ▼ から選んでください",IF($P299&lt;N('設定'!$C$6),"⚠ 入庫日が過去です（もう在庫に入っています）→ 消してください",IF($P299&gt;N('設定'!$C$6)+13,"⚠ 入庫日が14日より先です",IF(N($Q299)&lt;=0,"⚠ 入庫数を入れてください",IF($CG299&gt;0,"⚠ 目安より "&amp;$CG299&amp;" 多い（定数を超える）→ 減らす",""))))))))</f>
        <v/>
      </c>
      <c r="CJ299">
        <f>IF($C299="","",IF(AND($S299="",$T299=""),"",IF($S299="","⚠ 2便目：入庫日を ▼ から選んでください",IF(NOT(ISNUMBER($S299)),"⚠ 2便目：入庫日は ▼ から選んでください",IF($S299&lt;N('設定'!$C$6),"⚠ 2便目：入庫日が過去です（もう在庫に入っています）→ 消してください",IF($S299&gt;N('設定'!$C$6)+13,"⚠ 2便目：入庫日が14日より先です",IF(N($T299)&lt;=0,"⚠ 2便目：入庫数を入れてください",IF($CH299&gt;0,"⚠ 2便目：定数を "&amp;$CH299&amp;" ケース超える → 減らす",""))))))))</f>
        <v/>
      </c>
      <c r="CK299">
        <f>IF(AND($CI299="",N($Q299)&gt;0,ISNUMBER($P299)),1,0)</f>
        <v/>
      </c>
      <c r="CL299">
        <f>IF(AND($CJ299="",N($T299)&gt;0,ISNUMBER($S299)),1,0)</f>
        <v/>
      </c>
      <c r="CM299">
        <f>IF(OR($CK299=1,$CL299=1),1,0)</f>
        <v/>
      </c>
      <c r="CN299">
        <f>IF($C299="",0,($CK299*$R299+$CL299*$U299)*N($H299))</f>
        <v/>
      </c>
      <c r="CO299">
        <f>IF($C299="","",IF($CC299="","入庫後は 14日以上もつ",IF($CC299-N('設定'!$C$7)&lt;='設定'!$C$6,"入庫後も "&amp;TEXT($CC299,"m/d")&amp;"("&amp;CHOOSE(WEEKDAY($CC299),"日","月","火","水","木","金","土")&amp;")"&amp;" に切れる　もう1便を至急発注","入庫後も "&amp;TEXT($CC299,"m/d")&amp;"("&amp;CHOOSE(WEEKDAY($CC299),"日","月","火","水","木","金","土")&amp;")"&amp;" に切れる　"&amp;TEXT($CC299-N('設定'!$C$7),"m/d")&amp;"("&amp;CHOOSE(WEEKDAY($CC299-N('設定'!$C$7)),"日","月","火","水","木","金","土")&amp;")"&amp;" までに次を発注")))</f>
        <v/>
      </c>
      <c r="CP299">
        <f>IF($C299="","",IF('設定'!$C$6="","？ ①在庫を貼る に今日のCSVが貼られていない",IF($CS299=1,"－ 今日のCSVに無い（終売？）",IF($L299&lt;0,"● 在庫がマイナス　数えて「数えた在庫」に入れる",IF($L299=0,"● 在庫なし　至急発注",IF($M299="","？ 減り数が未設定（商品マスタ）",IF($B$3=0,"？ 動員が未入力（動員を入れる）",IF($CA299="","○ 14日以上もつ",IF($BZ299&lt;N('設定'!$C$7),"● "&amp;TEXT($CA299,"m/d")&amp;"("&amp;CHOOSE(WEEKDAY($CA299),"日","月","火","水","木","金","土")&amp;")"&amp;" に切れる　至急発注",IF($BZ299=N('設定'!$C$7),"● "&amp;TEXT($CA299,"m/d")&amp;"("&amp;CHOOSE(WEEKDAY($CA299),"日","月","火","水","木","金","土")&amp;")"&amp;" に切れる　今日発注","△ "&amp;TEXT($CA299,"m/d")&amp;"("&amp;CHOOSE(WEEKDAY($CA299),"日","月","火","水","木","金","土")&amp;")"&amp;" に切れる　"&amp;TEXT($CA299-N('設定'!$C$7),"m/d")&amp;"("&amp;CHOOSE(WEEKDAY($CA299-N('設定'!$C$7)),"日","月","火","水","木","金","土")&amp;")"&amp;" までに発注"))))))))))</f>
        <v/>
      </c>
      <c r="CQ299">
        <f>IF($C299="","",IF(AND($P299="",$Q299="",$S299="",$T299=""),"",IF(AND($P299="",$Q299=""),"⚠ 先に1便目（左の入庫日・入庫数）に入れてください",IF($CI299&lt;&gt;"",$CI299,IF($CJ299&lt;&gt;"",$CJ299,IF($M299="","？ 減り数が未設定（発注書には載ります）",IF($B$3=0,"？ 動員が未入力（発注書には載ります）",IF(AND($CA299&lt;&gt;"",$P299&gt;$CA299),IF($P299&gt;'設定'!$C$6+N('設定'!$C$7),"● "&amp;TEXT($P299,"m/d")&amp;"("&amp;CHOOSE(WEEKDAY($P299),"日","月","火","水","木","金","土")&amp;")"&amp;" の入庫では間に合わない（"&amp;TEXT($CA299,"m/d")&amp;"("&amp;CHOOSE(WEEKDAY($CA299),"日","月","火","水","木","金","土")&amp;")"&amp;" に切れる）　入庫日を早める","△ 欠品 "&amp;TEXT($CA299,"m/d")&amp;"("&amp;CHOOSE(WEEKDAY($CA299),"日","月","火","水","木","金","土")&amp;")"&amp;"〜"&amp;TEXT($P299-1,"m/d")&amp;"("&amp;CHOOSE(WEEKDAY($P299-1),"日","月","火","水","木","金","土")&amp;")"&amp;"　"&amp;$CO299),IF($CC299="","○ "&amp;TEXT($P299,"m/d")&amp;"("&amp;CHOOSE(WEEKDAY($P299),"日","月","火","水","木","金","土")&amp;")"&amp;" 入庫で 14日以上もつ",IF($CC299-N('設定'!$C$7)&lt;='設定'!$C$6,"● 入庫しても "&amp;TEXT($CC299,"m/d")&amp;"("&amp;CHOOSE(WEEKDAY($CC299),"日","月","火","水","木","金","土")&amp;")"&amp;" に切れる　もう1便を至急発注（2便目に入れる）","△ 入庫しても "&amp;TEXT($CC299,"m/d")&amp;"("&amp;CHOOSE(WEEKDAY($CC299),"日","月","火","水","木","金","土")&amp;")"&amp;" に切れる　"&amp;TEXT($CC299-N('設定'!$C$7),"m/d")&amp;"("&amp;CHOOSE(WEEKDAY($CC299-N('設定'!$C$7)),"日","月","火","水","木","金","土")&amp;")"&amp;" までに次を発注（2便目に入れる）"))))))))))</f>
        <v/>
      </c>
      <c r="CR299">
        <f>IF($C299="","",IF($G299&gt;1,"ｹｰｽ("&amp;$G299&amp;"入)","個"))</f>
        <v/>
      </c>
      <c r="CS299">
        <f>IF($C299="",0,IF(COUNTIFS('①在庫を貼る'!$V$6:$V$10005,'設定'!$C$4,'①在庫を貼る'!$W$6:$W$10005,$C299)=0,1,0))</f>
        <v/>
      </c>
      <c r="CT299">
        <f>IF(AND($CK299=1,OR('③発注書'!$C$4="すべて",'③発注書'!$C$4="",$F299='③発注書'!$C$4)),N($CT298)+1,N($CT298))</f>
        <v/>
      </c>
      <c r="CU299">
        <f>IF(AND($CL299=1,OR('③発注書'!$C$4="すべて",'③発注書'!$C$4="",$F299='③発注書'!$C$4)),N($CU298)+1,N($CU298))</f>
        <v/>
      </c>
      <c r="CV299">
        <f>IF($C299="",0,IF(COUNTIFS('①在庫を貼る'!$V$6:$V$10005,'設定'!$C$4,'①在庫を貼る'!$W$6:$W$10005,$C299)&gt;0,1,0))</f>
        <v/>
      </c>
      <c r="CW299">
        <f>IF($C299="",0,IF(COUNTIFS('月1回_1ヶ月前の在庫'!$V$6:$V$10005,'設定'!$C$4,'月1回_1ヶ月前の在庫'!$W$6:$W$10005,$C299)&gt;0,1,0))</f>
        <v/>
      </c>
      <c r="CX299">
        <f>IF($C299="",0,IF(COUNTIFS('月1回_2ヶ月前の在庫'!$V$6:$V$10005,'設定'!$C$4,'月1回_2ヶ月前の在庫'!$W$6:$W$10005,$C299)&gt;0,1,0))</f>
        <v/>
      </c>
      <c r="CY299">
        <f>IF(OR($C299="",'設定'!$C$12=""),"",IF('設定'!$C$13="",IF(AND($CV299=1,$CW299=0),"新商品（今月から）",IF(AND($CV299=0,$CW299=1),"終売（今月から）","")),IF(AND($CV299=1,$CW299=0,$CX299=0),"新商品（今月から）",IF(AND($CV299=1,$CW299=1,$CX299=0),"新商品（先月から）",IF(AND($CV299=0,$CW299=1,$CX299=1),"終売（今月から）",IF(AND($CV299=0,$CW299=0,$CX299=1),"終売（先月から）",IF(AND($CV299=1,$CW299=0,$CX299=1),"復活（先月は無し）","")))))))</f>
        <v/>
      </c>
    </row>
    <row r="300">
      <c r="B300">
        <f>IF(295&lt;='設定'!$C$11,295,"")</f>
        <v/>
      </c>
      <c r="C300">
        <f>IF($B300="","",IF($B300&lt;='設定'!$C$20,INDEX('商品マスタ'!$B$6:$B$1005,MATCH($B300,'商品マスタ'!$M$6:$M$1005,0)),IF($B300&lt;='設定'!$C$20+'設定'!$C$17,INDEX('①在庫を貼る'!$W$6:$W$10005,MATCH($B300-'設定'!$C$20,'①在庫を貼る'!$U$6:$U$10005,0)),IF($B300&lt;='設定'!$C$20+'設定'!$C$17+'設定'!$C$18,INDEX('月1回_1ヶ月前の在庫'!$W$6:$W$10005,MATCH($B300-'設定'!$C$20-'設定'!$C$17,'月1回_1ヶ月前の在庫'!$U$6:$U$10005,0)),INDEX('月1回_2ヶ月前の在庫'!$W$6:$W$10005,MATCH($B300-'設定'!$C$20-'設定'!$C$17-'設定'!$C$18,'月1回_2ヶ月前の在庫'!$U$6:$U$10005,0))))))</f>
        <v/>
      </c>
      <c r="D300">
        <f>IF($C300="","",IFERROR(IF(INDEX('商品マスタ'!$C$6:$C$1005,MATCH($C300,'商品マスタ'!$B$6:$B$1005,0))="",IFERROR(INDEX('①在庫を貼る'!$J$6:$J$10005,MATCH($C300,'①在庫を貼る'!$W$6:$W$10005,0)),IFERROR(INDEX('月1回_1ヶ月前の在庫'!$J$6:$J$10005,MATCH($C300,'月1回_1ヶ月前の在庫'!$W$6:$W$10005,0)),IFERROR(INDEX('月1回_2ヶ月前の在庫'!$J$6:$J$10005,MATCH($C300,'月1回_2ヶ月前の在庫'!$W$6:$W$10005,0)),""))),INDEX('商品マスタ'!$C$6:$C$1005,MATCH($C300,'商品マスタ'!$B$6:$B$1005,0))),IFERROR(INDEX('①在庫を貼る'!$J$6:$J$10005,MATCH($C300,'①在庫を貼る'!$W$6:$W$10005,0)),IFERROR(INDEX('月1回_1ヶ月前の在庫'!$J$6:$J$10005,MATCH($C300,'月1回_1ヶ月前の在庫'!$W$6:$W$10005,0)),IFERROR(INDEX('月1回_2ヶ月前の在庫'!$J$6:$J$10005,MATCH($C300,'月1回_2ヶ月前の在庫'!$W$6:$W$10005,0)),"")))))</f>
        <v/>
      </c>
      <c r="E300">
        <f>IF($C300="","",IFERROR(IF(INDEX('商品マスタ'!$D$6:$D$1005,MATCH($C300,'商品マスタ'!$B$6:$B$1005,0))="",IFERROR(INDEX('①在庫を貼る'!$H$6:$H$10005,MATCH($C300,'①在庫を貼る'!$W$6:$W$10005,0)),IFERROR(INDEX('月1回_1ヶ月前の在庫'!$H$6:$H$10005,MATCH($C300,'月1回_1ヶ月前の在庫'!$W$6:$W$10005,0)),IFERROR(INDEX('月1回_2ヶ月前の在庫'!$H$6:$H$10005,MATCH($C300,'月1回_2ヶ月前の在庫'!$W$6:$W$10005,0)),""))),INDEX('商品マスタ'!$D$6:$D$1005,MATCH($C300,'商品マスタ'!$B$6:$B$1005,0))),IFERROR(INDEX('①在庫を貼る'!$H$6:$H$10005,MATCH($C300,'①在庫を貼る'!$W$6:$W$10005,0)),IFERROR(INDEX('月1回_1ヶ月前の在庫'!$H$6:$H$10005,MATCH($C300,'月1回_1ヶ月前の在庫'!$W$6:$W$10005,0)),IFERROR(INDEX('月1回_2ヶ月前の在庫'!$H$6:$H$10005,MATCH($C300,'月1回_2ヶ月前の在庫'!$W$6:$W$10005,0)),"")))))</f>
        <v/>
      </c>
      <c r="F300">
        <f>IF($C300="","",IFERROR(IF(INDEX('商品マスタ'!$E$6:$E$1005,MATCH($C300,'商品マスタ'!$B$6:$B$1005,0))="",IFERROR(INDEX('①在庫を貼る'!$E$6:$E$10005,MATCH($C300,'①在庫を貼る'!$W$6:$W$10005,0)),IFERROR(INDEX('月1回_1ヶ月前の在庫'!$E$6:$E$10005,MATCH($C300,'月1回_1ヶ月前の在庫'!$W$6:$W$10005,0)),IFERROR(INDEX('月1回_2ヶ月前の在庫'!$E$6:$E$10005,MATCH($C300,'月1回_2ヶ月前の在庫'!$W$6:$W$10005,0)),""))),INDEX('商品マスタ'!$E$6:$E$1005,MATCH($C300,'商品マスタ'!$B$6:$B$1005,0))),IFERROR(INDEX('①在庫を貼る'!$E$6:$E$10005,MATCH($C300,'①在庫を貼る'!$W$6:$W$10005,0)),IFERROR(INDEX('月1回_1ヶ月前の在庫'!$E$6:$E$10005,MATCH($C300,'月1回_1ヶ月前の在庫'!$W$6:$W$10005,0)),IFERROR(INDEX('月1回_2ヶ月前の在庫'!$E$6:$E$10005,MATCH($C300,'月1回_2ヶ月前の在庫'!$W$6:$W$10005,0)),"")))))</f>
        <v/>
      </c>
      <c r="G300">
        <f>IF($C300="","",MAX(1,N(IFERROR(IF(INDEX('商品マスタ'!$F$6:$F$1005,MATCH($C300,'商品マスタ'!$B$6:$B$1005,0))="",IF(COUNTIFS('①在庫を貼る'!$V$6:$V$10005,'設定'!$C$4,'①在庫を貼る'!$W$6:$W$10005,$C300)&gt;0,SUMIFS('①在庫を貼る'!$K$6:$K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K$6:$K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K$6:$K$10005,'月1回_2ヶ月前の在庫'!$V$6:$V$10005,'設定'!$C$4,'月1回_2ヶ月前の在庫'!$W$6:$W$10005,$C300)/COUNTIFS('月1回_2ヶ月前の在庫'!$V$6:$V$10005,'設定'!$C$4,'月1回_2ヶ月前の在庫'!$W$6:$W$10005,$C300),0))),INDEX('商品マスタ'!$F$6:$F$1005,MATCH($C300,'商品マスタ'!$B$6:$B$1005,0))),IF(COUNTIFS('①在庫を貼る'!$V$6:$V$10005,'設定'!$C$4,'①在庫を貼る'!$W$6:$W$10005,$C300)&gt;0,SUMIFS('①在庫を貼る'!$K$6:$K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K$6:$K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K$6:$K$10005,'月1回_2ヶ月前の在庫'!$V$6:$V$10005,'設定'!$C$4,'月1回_2ヶ月前の在庫'!$W$6:$W$10005,$C300)/COUNTIFS('月1回_2ヶ月前の在庫'!$V$6:$V$10005,'設定'!$C$4,'月1回_2ヶ月前の在庫'!$W$6:$W$10005,$C300),0)))))))</f>
        <v/>
      </c>
      <c r="H300">
        <f>IF($C300="","",N(IFERROR(IF(INDEX('商品マスタ'!$G$6:$G$1005,MATCH($C300,'商品マスタ'!$B$6:$B$1005,0))="",IF(COUNTIFS('①在庫を貼る'!$V$6:$V$10005,'設定'!$C$4,'①在庫を貼る'!$W$6:$W$10005,$C300)&gt;0,SUMIFS('①在庫を貼る'!$Q$6:$Q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Q$6:$Q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Q$6:$Q$10005,'月1回_2ヶ月前の在庫'!$V$6:$V$10005,'設定'!$C$4,'月1回_2ヶ月前の在庫'!$W$6:$W$10005,$C300)/COUNTIFS('月1回_2ヶ月前の在庫'!$V$6:$V$10005,'設定'!$C$4,'月1回_2ヶ月前の在庫'!$W$6:$W$10005,$C300),0))),INDEX('商品マスタ'!$G$6:$G$1005,MATCH($C300,'商品マスタ'!$B$6:$B$1005,0))),IF(COUNTIFS('①在庫を貼る'!$V$6:$V$10005,'設定'!$C$4,'①在庫を貼る'!$W$6:$W$10005,$C300)&gt;0,SUMIFS('①在庫を貼る'!$Q$6:$Q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Q$6:$Q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Q$6:$Q$10005,'月1回_2ヶ月前の在庫'!$V$6:$V$10005,'設定'!$C$4,'月1回_2ヶ月前の在庫'!$W$6:$W$10005,$C300)/COUNTIFS('月1回_2ヶ月前の在庫'!$V$6:$V$10005,'設定'!$C$4,'月1回_2ヶ月前の在庫'!$W$6:$W$10005,$C300),0))))))</f>
        <v/>
      </c>
      <c r="I300">
        <f>IF($C300="","",IF(COUNTIFS('①在庫を貼る'!$V$6:$V$10005,'設定'!$C$4,'①在庫を貼る'!$W$6:$W$10005,$C300)=0,"",SUMIFS('①在庫を貼る'!$N$6:$N$10005,'①在庫を貼る'!$V$6:$V$10005,'設定'!$C$4,'①在庫を貼る'!$W$6:$W$10005,$C300)))</f>
        <v/>
      </c>
      <c r="J300">
        <f>IF($C300="","",IF('②発注する'!$AD304="","",'②発注する'!$AD304))</f>
        <v/>
      </c>
      <c r="K300" s="90">
        <f>IF($C300="","",IF('②発注する'!$AE304="","",'②発注する'!$AE304))</f>
        <v/>
      </c>
      <c r="L300">
        <f>IF($C300="","",IF(AND(ISNUMBER($J300),ISNUMBER($K300),$K300&gt;='設定'!$C$6),$J300,N($I300)))</f>
        <v/>
      </c>
      <c r="M300">
        <f>IF($C300="","",IFERROR(IF(N(INDEX('商品マスタ'!$J$6:$J$1005,MATCH($C300,'商品マスタ'!$B$6:$B$1005,0)))&gt;0,INDEX('商品マスタ'!$J$6:$J$1005,MATCH($C300,'商品マスタ'!$B$6:$B$1005,0)),""),""))</f>
        <v/>
      </c>
      <c r="N300">
        <f>IF($C300="","",IFERROR(IF(N(INDEX('商品マスタ'!$H$6:$H$1005,MATCH($C300,'商品マスタ'!$B$6:$B$1005,0)))&gt;0,INDEX('商品マスタ'!$H$6:$H$1005,MATCH($C300,'商品マスタ'!$B$6:$B$1005,0)),""),""))</f>
        <v/>
      </c>
      <c r="O300">
        <f>IF($C300="","",IF($N300&lt;&gt;"",$N300*$G300,IF(N(IF(COUNTIFS('①在庫を貼る'!$V$6:$V$10005,'設定'!$C$4,'①在庫を貼る'!$W$6:$W$10005,$C300)&gt;0,SUMIFS('①在庫を貼る'!$O$6:$O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O$6:$O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O$6:$O$10005,'月1回_2ヶ月前の在庫'!$V$6:$V$10005,'設定'!$C$4,'月1回_2ヶ月前の在庫'!$W$6:$W$10005,$C300)/COUNTIFS('月1回_2ヶ月前の在庫'!$V$6:$V$10005,'設定'!$C$4,'月1回_2ヶ月前の在庫'!$W$6:$W$10005,$C300),0))))&gt;0,N(IF(COUNTIFS('①在庫を貼る'!$V$6:$V$10005,'設定'!$C$4,'①在庫を貼る'!$W$6:$W$10005,$C300)&gt;0,SUMIFS('①在庫を貼る'!$O$6:$O$10005,'①在庫を貼る'!$V$6:$V$10005,'設定'!$C$4,'①在庫を貼る'!$W$6:$W$10005,$C300)/COUNTIFS('①在庫を貼る'!$V$6:$V$10005,'設定'!$C$4,'①在庫を貼る'!$W$6:$W$10005,$C300),IF(COUNTIFS('月1回_1ヶ月前の在庫'!$V$6:$V$10005,'設定'!$C$4,'月1回_1ヶ月前の在庫'!$W$6:$W$10005,$C300)&gt;0,SUMIFS('月1回_1ヶ月前の在庫'!$O$6:$O$10005,'月1回_1ヶ月前の在庫'!$V$6:$V$10005,'設定'!$C$4,'月1回_1ヶ月前の在庫'!$W$6:$W$10005,$C300)/COUNTIFS('月1回_1ヶ月前の在庫'!$V$6:$V$10005,'設定'!$C$4,'月1回_1ヶ月前の在庫'!$W$6:$W$10005,$C300),IF(COUNTIFS('月1回_2ヶ月前の在庫'!$V$6:$V$10005,'設定'!$C$4,'月1回_2ヶ月前の在庫'!$W$6:$W$10005,$C300)&gt;0,SUMIFS('月1回_2ヶ月前の在庫'!$O$6:$O$10005,'月1回_2ヶ月前の在庫'!$V$6:$V$10005,'設定'!$C$4,'月1回_2ヶ月前の在庫'!$W$6:$W$10005,$C300)/COUNTIFS('月1回_2ヶ月前の在庫'!$V$6:$V$10005,'設定'!$C$4,'月1回_2ヶ月前の在庫'!$W$6:$W$10005,$C300),0)))),"")))</f>
        <v/>
      </c>
      <c r="P300" s="90">
        <f>IF($C300="","",IF('②発注する'!$I304="","",'②発注する'!$I304))</f>
        <v/>
      </c>
      <c r="Q300">
        <f>IF($C300="","",IF('②発注する'!$J304="","",'②発注する'!$J304))</f>
        <v/>
      </c>
      <c r="R300">
        <f>IF($C300="",0,IF(AND(ISNUMBER($P300),ISNUMBER($Q300)),MAX(0,$Q300)*$G300,0))</f>
        <v/>
      </c>
      <c r="S300" s="90">
        <f>IF($C300="","",IF('②発注する'!$M304="","",'②発注する'!$M304))</f>
        <v/>
      </c>
      <c r="T300">
        <f>IF($C300="","",IF('②発注する'!$N304="","",'②発注する'!$N304))</f>
        <v/>
      </c>
      <c r="U300">
        <f>IF($C300="",0,IF(AND(ISNUMBER($S300),ISNUMBER($T300)),MAX(0,$T300)*$G300,0))</f>
        <v/>
      </c>
      <c r="V300">
        <f>IF($C300="",0,IF($M300="",0,MAX(0,$M300)*MAX(0,V$4)/100))</f>
        <v/>
      </c>
      <c r="W300">
        <f>IF($C300="",0,IF($M300="",0,MAX(0,$M300)*MAX(0,W$4)/100))</f>
        <v/>
      </c>
      <c r="X300">
        <f>IF($C300="",0,IF($M300="",0,MAX(0,$M300)*MAX(0,X$4)/100))</f>
        <v/>
      </c>
      <c r="Y300">
        <f>IF($C300="",0,IF($M300="",0,MAX(0,$M300)*MAX(0,Y$4)/100))</f>
        <v/>
      </c>
      <c r="Z300">
        <f>IF($C300="",0,IF($M300="",0,MAX(0,$M300)*MAX(0,Z$4)/100))</f>
        <v/>
      </c>
      <c r="AA300">
        <f>IF($C300="",0,IF($M300="",0,MAX(0,$M300)*MAX(0,AA$4)/100))</f>
        <v/>
      </c>
      <c r="AB300">
        <f>IF($C300="",0,IF($M300="",0,MAX(0,$M300)*MAX(0,AB$4)/100))</f>
        <v/>
      </c>
      <c r="AC300">
        <f>IF($C300="",0,IF($M300="",0,MAX(0,$M300)*MAX(0,AC$4)/100))</f>
        <v/>
      </c>
      <c r="AD300">
        <f>IF($C300="",0,IF($M300="",0,MAX(0,$M300)*MAX(0,AD$4)/100))</f>
        <v/>
      </c>
      <c r="AE300">
        <f>IF($C300="",0,IF($M300="",0,MAX(0,$M300)*MAX(0,AE$4)/100))</f>
        <v/>
      </c>
      <c r="AF300">
        <f>IF($C300="",0,IF($M300="",0,MAX(0,$M300)*MAX(0,AF$4)/100))</f>
        <v/>
      </c>
      <c r="AG300">
        <f>IF($C300="",0,IF($M300="",0,MAX(0,$M300)*MAX(0,AG$4)/100))</f>
        <v/>
      </c>
      <c r="AH300">
        <f>IF($C300="",0,IF($M300="",0,MAX(0,$M300)*MAX(0,AH$4)/100))</f>
        <v/>
      </c>
      <c r="AI300">
        <f>IF($C300="",0,IF($M300="",0,MAX(0,$M300)*MAX(0,AI$4)/100))</f>
        <v/>
      </c>
      <c r="AJ300">
        <f>IF($C300="",0,MAX(0,MAX(0,N($L300))-$V300))</f>
        <v/>
      </c>
      <c r="AK300">
        <f>IF($C300="",0,MAX(0,$AJ300-$W300))</f>
        <v/>
      </c>
      <c r="AL300">
        <f>IF($C300="",0,MAX(0,$AK300-$X300))</f>
        <v/>
      </c>
      <c r="AM300">
        <f>IF($C300="",0,MAX(0,$AL300-$Y300))</f>
        <v/>
      </c>
      <c r="AN300">
        <f>IF($C300="",0,MAX(0,$AM300-$Z300))</f>
        <v/>
      </c>
      <c r="AO300">
        <f>IF($C300="",0,MAX(0,$AN300-$AA300))</f>
        <v/>
      </c>
      <c r="AP300">
        <f>IF($C300="",0,MAX(0,$AO300-$AB300))</f>
        <v/>
      </c>
      <c r="AQ300">
        <f>IF($C300="",0,MAX(0,$AP300-$AC300))</f>
        <v/>
      </c>
      <c r="AR300">
        <f>IF($C300="",0,MAX(0,$AQ300-$AD300))</f>
        <v/>
      </c>
      <c r="AS300">
        <f>IF($C300="",0,MAX(0,$AR300-$AE300))</f>
        <v/>
      </c>
      <c r="AT300">
        <f>IF($C300="",0,MAX(0,$AS300-$AF300))</f>
        <v/>
      </c>
      <c r="AU300">
        <f>IF($C300="",0,MAX(0,$AT300-$AG300))</f>
        <v/>
      </c>
      <c r="AV300">
        <f>IF($C300="",0,MAX(0,$AU300-$AH300))</f>
        <v/>
      </c>
      <c r="AW300">
        <f>IF($C300="",0,MAX(0,$AV300-$AI300))</f>
        <v/>
      </c>
      <c r="AX300">
        <f>IF($C300="",0,MAX(0,MAX(0,N($L300))+IF($P300=V$3,$R300,0)+IF($S300=V$3,$U300,0)-$V300))</f>
        <v/>
      </c>
      <c r="AY300">
        <f>IF($C300="",0,MAX(0,$AX300+IF($P300=W$3,$R300,0)+IF($S300=W$3,$U300,0)-$W300))</f>
        <v/>
      </c>
      <c r="AZ300">
        <f>IF($C300="",0,MAX(0,$AY300+IF($P300=X$3,$R300,0)+IF($S300=X$3,$U300,0)-$X300))</f>
        <v/>
      </c>
      <c r="BA300">
        <f>IF($C300="",0,MAX(0,$AZ300+IF($P300=Y$3,$R300,0)+IF($S300=Y$3,$U300,0)-$Y300))</f>
        <v/>
      </c>
      <c r="BB300">
        <f>IF($C300="",0,MAX(0,$BA300+IF($P300=Z$3,$R300,0)+IF($S300=Z$3,$U300,0)-$Z300))</f>
        <v/>
      </c>
      <c r="BC300">
        <f>IF($C300="",0,MAX(0,$BB300+IF($P300=AA$3,$R300,0)+IF($S300=AA$3,$U300,0)-$AA300))</f>
        <v/>
      </c>
      <c r="BD300">
        <f>IF($C300="",0,MAX(0,$BC300+IF($P300=AB$3,$R300,0)+IF($S300=AB$3,$U300,0)-$AB300))</f>
        <v/>
      </c>
      <c r="BE300">
        <f>IF($C300="",0,MAX(0,$BD300+IF($P300=AC$3,$R300,0)+IF($S300=AC$3,$U300,0)-$AC300))</f>
        <v/>
      </c>
      <c r="BF300">
        <f>IF($C300="",0,MAX(0,$BE300+IF($P300=AD$3,$R300,0)+IF($S300=AD$3,$U300,0)-$AD300))</f>
        <v/>
      </c>
      <c r="BG300">
        <f>IF($C300="",0,MAX(0,$BF300+IF($P300=AE$3,$R300,0)+IF($S300=AE$3,$U300,0)-$AE300))</f>
        <v/>
      </c>
      <c r="BH300">
        <f>IF($C300="",0,MAX(0,$BG300+IF($P300=AF$3,$R300,0)+IF($S300=AF$3,$U300,0)-$AF300))</f>
        <v/>
      </c>
      <c r="BI300">
        <f>IF($C300="",0,MAX(0,$BH300+IF($P300=AG$3,$R300,0)+IF($S300=AG$3,$U300,0)-$AG300))</f>
        <v/>
      </c>
      <c r="BJ300">
        <f>IF($C300="",0,MAX(0,$BI300+IF($P300=AH$3,$R300,0)+IF($S300=AH$3,$U300,0)-$AH300))</f>
        <v/>
      </c>
      <c r="BK300">
        <f>IF($C300="",0,MAX(0,$BJ300+IF($P300=AI$3,$R300,0)+IF($S300=AI$3,$U300,0)-$AI300))</f>
        <v/>
      </c>
      <c r="BL300">
        <f>IF($C300="",99,IF(AND($AX300&lt;1,V$3&gt;=MAX(N($P300),N($S300))),0,99))</f>
        <v/>
      </c>
      <c r="BM300">
        <f>IF($C300="",99,IF(AND($AY300&lt;1,W$3&gt;=MAX(N($P300),N($S300))),1,99))</f>
        <v/>
      </c>
      <c r="BN300">
        <f>IF($C300="",99,IF(AND($AZ300&lt;1,X$3&gt;=MAX(N($P300),N($S300))),2,99))</f>
        <v/>
      </c>
      <c r="BO300">
        <f>IF($C300="",99,IF(AND($BA300&lt;1,Y$3&gt;=MAX(N($P300),N($S300))),3,99))</f>
        <v/>
      </c>
      <c r="BP300">
        <f>IF($C300="",99,IF(AND($BB300&lt;1,Z$3&gt;=MAX(N($P300),N($S300))),4,99))</f>
        <v/>
      </c>
      <c r="BQ300">
        <f>IF($C300="",99,IF(AND($BC300&lt;1,AA$3&gt;=MAX(N($P300),N($S300))),5,99))</f>
        <v/>
      </c>
      <c r="BR300">
        <f>IF($C300="",99,IF(AND($BD300&lt;1,AB$3&gt;=MAX(N($P300),N($S300))),6,99))</f>
        <v/>
      </c>
      <c r="BS300">
        <f>IF($C300="",99,IF(AND($BE300&lt;1,AC$3&gt;=MAX(N($P300),N($S300))),7,99))</f>
        <v/>
      </c>
      <c r="BT300">
        <f>IF($C300="",99,IF(AND($BF300&lt;1,AD$3&gt;=MAX(N($P300),N($S300))),8,99))</f>
        <v/>
      </c>
      <c r="BU300">
        <f>IF($C300="",99,IF(AND($BG300&lt;1,AE$3&gt;=MAX(N($P300),N($S300))),9,99))</f>
        <v/>
      </c>
      <c r="BV300">
        <f>IF($C300="",99,IF(AND($BH300&lt;1,AF$3&gt;=MAX(N($P300),N($S300))),10,99))</f>
        <v/>
      </c>
      <c r="BW300">
        <f>IF($C300="",99,IF(AND($BI300&lt;1,AG$3&gt;=MAX(N($P300),N($S300))),11,99))</f>
        <v/>
      </c>
      <c r="BX300">
        <f>IF($C300="",99,IF(AND($BJ300&lt;1,AH$3&gt;=MAX(N($P300),N($S300))),12,99))</f>
        <v/>
      </c>
      <c r="BY300">
        <f>IF($C300="",99,IF(AND($BK300&lt;1,AI$3&gt;=MAX(N($P300),N($S300))),13,99))</f>
        <v/>
      </c>
      <c r="BZ300">
        <f>IF(OR($C300="",$M300=""),"",COUNTIF($AJ300:$AW300,"&gt;=1"))</f>
        <v/>
      </c>
      <c r="CA300" s="90">
        <f>IF($BZ300="","",IF($BZ300&gt;=14,"",'設定'!$C$6+$BZ300))</f>
        <v/>
      </c>
      <c r="CB300">
        <f>IF(OR($C300="",$M300=""),"",MIN($BL300:$BY300))</f>
        <v/>
      </c>
      <c r="CC300" s="90">
        <f>IF($CB300="","",IF($CB300&gt;=99,"",'設定'!$C$6+$CB300))</f>
        <v/>
      </c>
      <c r="CD300">
        <f>IF(OR($C300="",$M300=""),"",AVERAGE($V300:$AI300))</f>
        <v/>
      </c>
      <c r="CE300">
        <f>IF($C300="","",IFERROR(IF(MATCH(IF(ISNUMBER($P300),$P300,'設定'!$C$6+N('設定'!$C$7)),$V$3:$AI$3,0)=1,MAX(0,N($L300)),INDEX($AJ300:$AW300,MATCH(IF(ISNUMBER($P300),$P300,'設定'!$C$6+N('設定'!$C$7)),$V$3:$AI$3,0)-1)),""))</f>
        <v/>
      </c>
      <c r="CF300">
        <f>IF(OR($C300="",$O300="",$CE300=""),"",IF($O300-$CE300&lt;=0,0,ROUNDUP(($O300-$CE300)/$G300,0)))</f>
        <v/>
      </c>
      <c r="CG300">
        <f>IF(OR($C300="",$CF300="",NOT(ISNUMBER($Q300))),0,MAX(0,$Q300-$CF300))</f>
        <v/>
      </c>
      <c r="CH300">
        <f>IF(OR($C300="",$O300="",$U300=0),0,IFERROR(ROUNDUP(MAX(0,IF(MATCH($S300,$V$3:$AI$3,0)=1,MAX(0,N($L300)),INDEX($AX300:$BK300,MATCH($S300,$V$3:$AI$3,0)-1))+$U300-$O300)/$G300,0),0))</f>
        <v/>
      </c>
      <c r="CI300">
        <f>IF($C300="","",IF(AND($P300="",$Q300=""),"",IF($P300="","⚠ 入庫日を ▼ から選んでください",IF(NOT(ISNUMBER($P300)),"⚠ 入庫日は ▼ から選んでください",IF($P300&lt;N('設定'!$C$6),"⚠ 入庫日が過去です（もう在庫に入っています）→ 消してください",IF($P300&gt;N('設定'!$C$6)+13,"⚠ 入庫日が14日より先です",IF(N($Q300)&lt;=0,"⚠ 入庫数を入れてください",IF($CG300&gt;0,"⚠ 目安より "&amp;$CG300&amp;" 多い（定数を超える）→ 減らす",""))))))))</f>
        <v/>
      </c>
      <c r="CJ300">
        <f>IF($C300="","",IF(AND($S300="",$T300=""),"",IF($S300="","⚠ 2便目：入庫日を ▼ から選んでください",IF(NOT(ISNUMBER($S300)),"⚠ 2便目：入庫日は ▼ から選んでください",IF($S300&lt;N('設定'!$C$6),"⚠ 2便目：入庫日が過去です（もう在庫に入っています）→ 消してください",IF($S300&gt;N('設定'!$C$6)+13,"⚠ 2便目：入庫日が14日より先です",IF(N($T300)&lt;=0,"⚠ 2便目：入庫数を入れてください",IF($CH300&gt;0,"⚠ 2便目：定数を "&amp;$CH300&amp;" ケース超える → 減らす",""))))))))</f>
        <v/>
      </c>
      <c r="CK300">
        <f>IF(AND($CI300="",N($Q300)&gt;0,ISNUMBER($P300)),1,0)</f>
        <v/>
      </c>
      <c r="CL300">
        <f>IF(AND($CJ300="",N($T300)&gt;0,ISNUMBER($S300)),1,0)</f>
        <v/>
      </c>
      <c r="CM300">
        <f>IF(OR($CK300=1,$CL300=1),1,0)</f>
        <v/>
      </c>
      <c r="CN300">
        <f>IF($C300="",0,($CK300*$R300+$CL300*$U300)*N($H300))</f>
        <v/>
      </c>
      <c r="CO300">
        <f>IF($C300="","",IF($CC300="","入庫後は 14日以上もつ",IF($CC300-N('設定'!$C$7)&lt;='設定'!$C$6,"入庫後も "&amp;TEXT($CC300,"m/d")&amp;"("&amp;CHOOSE(WEEKDAY($CC300),"日","月","火","水","木","金","土")&amp;")"&amp;" に切れる　もう1便を至急発注","入庫後も "&amp;TEXT($CC300,"m/d")&amp;"("&amp;CHOOSE(WEEKDAY($CC300),"日","月","火","水","木","金","土")&amp;")"&amp;" に切れる　"&amp;TEXT($CC300-N('設定'!$C$7),"m/d")&amp;"("&amp;CHOOSE(WEEKDAY($CC300-N('設定'!$C$7)),"日","月","火","水","木","金","土")&amp;")"&amp;" までに次を発注")))</f>
        <v/>
      </c>
      <c r="CP300">
        <f>IF($C300="","",IF('設定'!$C$6="","？ ①在庫を貼る に今日のCSVが貼られていない",IF($CS300=1,"－ 今日のCSVに無い（終売？）",IF($L300&lt;0,"● 在庫がマイナス　数えて「数えた在庫」に入れる",IF($L300=0,"● 在庫なし　至急発注",IF($M300="","？ 減り数が未設定（商品マスタ）",IF($B$3=0,"？ 動員が未入力（動員を入れる）",IF($CA300="","○ 14日以上もつ",IF($BZ300&lt;N('設定'!$C$7),"● "&amp;TEXT($CA300,"m/d")&amp;"("&amp;CHOOSE(WEEKDAY($CA300),"日","月","火","水","木","金","土")&amp;")"&amp;" に切れる　至急発注",IF($BZ300=N('設定'!$C$7),"● "&amp;TEXT($CA300,"m/d")&amp;"("&amp;CHOOSE(WEEKDAY($CA300),"日","月","火","水","木","金","土")&amp;")"&amp;" に切れる　今日発注","△ "&amp;TEXT($CA300,"m/d")&amp;"("&amp;CHOOSE(WEEKDAY($CA300),"日","月","火","水","木","金","土")&amp;")"&amp;" に切れる　"&amp;TEXT($CA300-N('設定'!$C$7),"m/d")&amp;"("&amp;CHOOSE(WEEKDAY($CA300-N('設定'!$C$7)),"日","月","火","水","木","金","土")&amp;")"&amp;" までに発注"))))))))))</f>
        <v/>
      </c>
      <c r="CQ300">
        <f>IF($C300="","",IF(AND($P300="",$Q300="",$S300="",$T300=""),"",IF(AND($P300="",$Q300=""),"⚠ 先に1便目（左の入庫日・入庫数）に入れてください",IF($CI300&lt;&gt;"",$CI300,IF($CJ300&lt;&gt;"",$CJ300,IF($M300="","？ 減り数が未設定（発注書には載ります）",IF($B$3=0,"？ 動員が未入力（発注書には載ります）",IF(AND($CA300&lt;&gt;"",$P300&gt;$CA300),IF($P300&gt;'設定'!$C$6+N('設定'!$C$7),"● "&amp;TEXT($P300,"m/d")&amp;"("&amp;CHOOSE(WEEKDAY($P300),"日","月","火","水","木","金","土")&amp;")"&amp;" の入庫では間に合わない（"&amp;TEXT($CA300,"m/d")&amp;"("&amp;CHOOSE(WEEKDAY($CA300),"日","月","火","水","木","金","土")&amp;")"&amp;" に切れる）　入庫日を早める","△ 欠品 "&amp;TEXT($CA300,"m/d")&amp;"("&amp;CHOOSE(WEEKDAY($CA300),"日","月","火","水","木","金","土")&amp;")"&amp;"〜"&amp;TEXT($P300-1,"m/d")&amp;"("&amp;CHOOSE(WEEKDAY($P300-1),"日","月","火","水","木","金","土")&amp;")"&amp;"　"&amp;$CO300),IF($CC300="","○ "&amp;TEXT($P300,"m/d")&amp;"("&amp;CHOOSE(WEEKDAY($P300),"日","月","火","水","木","金","土")&amp;")"&amp;" 入庫で 14日以上もつ",IF($CC300-N('設定'!$C$7)&lt;='設定'!$C$6,"● 入庫しても "&amp;TEXT($CC300,"m/d")&amp;"("&amp;CHOOSE(WEEKDAY($CC300),"日","月","火","水","木","金","土")&amp;")"&amp;" に切れる　もう1便を至急発注（2便目に入れる）","△ 入庫しても "&amp;TEXT($CC300,"m/d")&amp;"("&amp;CHOOSE(WEEKDAY($CC300),"日","月","火","水","木","金","土")&amp;")"&amp;" に切れる　"&amp;TEXT($CC300-N('設定'!$C$7),"m/d")&amp;"("&amp;CHOOSE(WEEKDAY($CC300-N('設定'!$C$7)),"日","月","火","水","木","金","土")&amp;")"&amp;" までに次を発注（2便目に入れる）"))))))))))</f>
        <v/>
      </c>
      <c r="CR300">
        <f>IF($C300="","",IF($G300&gt;1,"ｹｰｽ("&amp;$G300&amp;"入)","個"))</f>
        <v/>
      </c>
      <c r="CS300">
        <f>IF($C300="",0,IF(COUNTIFS('①在庫を貼る'!$V$6:$V$10005,'設定'!$C$4,'①在庫を貼る'!$W$6:$W$10005,$C300)=0,1,0))</f>
        <v/>
      </c>
      <c r="CT300">
        <f>IF(AND($CK300=1,OR('③発注書'!$C$4="すべて",'③発注書'!$C$4="",$F300='③発注書'!$C$4)),N($CT299)+1,N($CT299))</f>
        <v/>
      </c>
      <c r="CU300">
        <f>IF(AND($CL300=1,OR('③発注書'!$C$4="すべて",'③発注書'!$C$4="",$F300='③発注書'!$C$4)),N($CU299)+1,N($CU299))</f>
        <v/>
      </c>
      <c r="CV300">
        <f>IF($C300="",0,IF(COUNTIFS('①在庫を貼る'!$V$6:$V$10005,'設定'!$C$4,'①在庫を貼る'!$W$6:$W$10005,$C300)&gt;0,1,0))</f>
        <v/>
      </c>
      <c r="CW300">
        <f>IF($C300="",0,IF(COUNTIFS('月1回_1ヶ月前の在庫'!$V$6:$V$10005,'設定'!$C$4,'月1回_1ヶ月前の在庫'!$W$6:$W$10005,$C300)&gt;0,1,0))</f>
        <v/>
      </c>
      <c r="CX300">
        <f>IF($C300="",0,IF(COUNTIFS('月1回_2ヶ月前の在庫'!$V$6:$V$10005,'設定'!$C$4,'月1回_2ヶ月前の在庫'!$W$6:$W$10005,$C300)&gt;0,1,0))</f>
        <v/>
      </c>
      <c r="CY300">
        <f>IF(OR($C300="",'設定'!$C$12=""),"",IF('設定'!$C$13="",IF(AND($CV300=1,$CW300=0),"新商品（今月から）",IF(AND($CV300=0,$CW300=1),"終売（今月から）","")),IF(AND($CV300=1,$CW300=0,$CX300=0),"新商品（今月から）",IF(AND($CV300=1,$CW300=1,$CX300=0),"新商品（先月から）",IF(AND($CV300=0,$CW300=1,$CX300=1),"終売（今月から）",IF(AND($CV300=0,$CW300=0,$CX300=1),"終売（先月から）",IF(AND($CV300=1,$CW300=0,$CX300=1),"復活（先月は無し）","")))))))</f>
        <v/>
      </c>
    </row>
    <row r="301">
      <c r="B301">
        <f>IF(296&lt;='設定'!$C$11,296,"")</f>
        <v/>
      </c>
      <c r="C301">
        <f>IF($B301="","",IF($B301&lt;='設定'!$C$20,INDEX('商品マスタ'!$B$6:$B$1005,MATCH($B301,'商品マスタ'!$M$6:$M$1005,0)),IF($B301&lt;='設定'!$C$20+'設定'!$C$17,INDEX('①在庫を貼る'!$W$6:$W$10005,MATCH($B301-'設定'!$C$20,'①在庫を貼る'!$U$6:$U$10005,0)),IF($B301&lt;='設定'!$C$20+'設定'!$C$17+'設定'!$C$18,INDEX('月1回_1ヶ月前の在庫'!$W$6:$W$10005,MATCH($B301-'設定'!$C$20-'設定'!$C$17,'月1回_1ヶ月前の在庫'!$U$6:$U$10005,0)),INDEX('月1回_2ヶ月前の在庫'!$W$6:$W$10005,MATCH($B301-'設定'!$C$20-'設定'!$C$17-'設定'!$C$18,'月1回_2ヶ月前の在庫'!$U$6:$U$10005,0))))))</f>
        <v/>
      </c>
      <c r="D301">
        <f>IF($C301="","",IFERROR(IF(INDEX('商品マスタ'!$C$6:$C$1005,MATCH($C301,'商品マスタ'!$B$6:$B$1005,0))="",IFERROR(INDEX('①在庫を貼る'!$J$6:$J$10005,MATCH($C301,'①在庫を貼る'!$W$6:$W$10005,0)),IFERROR(INDEX('月1回_1ヶ月前の在庫'!$J$6:$J$10005,MATCH($C301,'月1回_1ヶ月前の在庫'!$W$6:$W$10005,0)),IFERROR(INDEX('月1回_2ヶ月前の在庫'!$J$6:$J$10005,MATCH($C301,'月1回_2ヶ月前の在庫'!$W$6:$W$10005,0)),""))),INDEX('商品マスタ'!$C$6:$C$1005,MATCH($C301,'商品マスタ'!$B$6:$B$1005,0))),IFERROR(INDEX('①在庫を貼る'!$J$6:$J$10005,MATCH($C301,'①在庫を貼る'!$W$6:$W$10005,0)),IFERROR(INDEX('月1回_1ヶ月前の在庫'!$J$6:$J$10005,MATCH($C301,'月1回_1ヶ月前の在庫'!$W$6:$W$10005,0)),IFERROR(INDEX('月1回_2ヶ月前の在庫'!$J$6:$J$10005,MATCH($C301,'月1回_2ヶ月前の在庫'!$W$6:$W$10005,0)),"")))))</f>
        <v/>
      </c>
      <c r="E301">
        <f>IF($C301="","",IFERROR(IF(INDEX('商品マスタ'!$D$6:$D$1005,MATCH($C301,'商品マスタ'!$B$6:$B$1005,0))="",IFERROR(INDEX('①在庫を貼る'!$H$6:$H$10005,MATCH($C301,'①在庫を貼る'!$W$6:$W$10005,0)),IFERROR(INDEX('月1回_1ヶ月前の在庫'!$H$6:$H$10005,MATCH($C301,'月1回_1ヶ月前の在庫'!$W$6:$W$10005,0)),IFERROR(INDEX('月1回_2ヶ月前の在庫'!$H$6:$H$10005,MATCH($C301,'月1回_2ヶ月前の在庫'!$W$6:$W$10005,0)),""))),INDEX('商品マスタ'!$D$6:$D$1005,MATCH($C301,'商品マスタ'!$B$6:$B$1005,0))),IFERROR(INDEX('①在庫を貼る'!$H$6:$H$10005,MATCH($C301,'①在庫を貼る'!$W$6:$W$10005,0)),IFERROR(INDEX('月1回_1ヶ月前の在庫'!$H$6:$H$10005,MATCH($C301,'月1回_1ヶ月前の在庫'!$W$6:$W$10005,0)),IFERROR(INDEX('月1回_2ヶ月前の在庫'!$H$6:$H$10005,MATCH($C301,'月1回_2ヶ月前の在庫'!$W$6:$W$10005,0)),"")))))</f>
        <v/>
      </c>
      <c r="F301">
        <f>IF($C301="","",IFERROR(IF(INDEX('商品マスタ'!$E$6:$E$1005,MATCH($C301,'商品マスタ'!$B$6:$B$1005,0))="",IFERROR(INDEX('①在庫を貼る'!$E$6:$E$10005,MATCH($C301,'①在庫を貼る'!$W$6:$W$10005,0)),IFERROR(INDEX('月1回_1ヶ月前の在庫'!$E$6:$E$10005,MATCH($C301,'月1回_1ヶ月前の在庫'!$W$6:$W$10005,0)),IFERROR(INDEX('月1回_2ヶ月前の在庫'!$E$6:$E$10005,MATCH($C301,'月1回_2ヶ月前の在庫'!$W$6:$W$10005,0)),""))),INDEX('商品マスタ'!$E$6:$E$1005,MATCH($C301,'商品マスタ'!$B$6:$B$1005,0))),IFERROR(INDEX('①在庫を貼る'!$E$6:$E$10005,MATCH($C301,'①在庫を貼る'!$W$6:$W$10005,0)),IFERROR(INDEX('月1回_1ヶ月前の在庫'!$E$6:$E$10005,MATCH($C301,'月1回_1ヶ月前の在庫'!$W$6:$W$10005,0)),IFERROR(INDEX('月1回_2ヶ月前の在庫'!$E$6:$E$10005,MATCH($C301,'月1回_2ヶ月前の在庫'!$W$6:$W$10005,0)),"")))))</f>
        <v/>
      </c>
      <c r="G301">
        <f>IF($C301="","",MAX(1,N(IFERROR(IF(INDEX('商品マスタ'!$F$6:$F$1005,MATCH($C301,'商品マスタ'!$B$6:$B$1005,0))="",IF(COUNTIFS('①在庫を貼る'!$V$6:$V$10005,'設定'!$C$4,'①在庫を貼る'!$W$6:$W$10005,$C301)&gt;0,SUMIFS('①在庫を貼る'!$K$6:$K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K$6:$K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K$6:$K$10005,'月1回_2ヶ月前の在庫'!$V$6:$V$10005,'設定'!$C$4,'月1回_2ヶ月前の在庫'!$W$6:$W$10005,$C301)/COUNTIFS('月1回_2ヶ月前の在庫'!$V$6:$V$10005,'設定'!$C$4,'月1回_2ヶ月前の在庫'!$W$6:$W$10005,$C301),0))),INDEX('商品マスタ'!$F$6:$F$1005,MATCH($C301,'商品マスタ'!$B$6:$B$1005,0))),IF(COUNTIFS('①在庫を貼る'!$V$6:$V$10005,'設定'!$C$4,'①在庫を貼る'!$W$6:$W$10005,$C301)&gt;0,SUMIFS('①在庫を貼る'!$K$6:$K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K$6:$K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K$6:$K$10005,'月1回_2ヶ月前の在庫'!$V$6:$V$10005,'設定'!$C$4,'月1回_2ヶ月前の在庫'!$W$6:$W$10005,$C301)/COUNTIFS('月1回_2ヶ月前の在庫'!$V$6:$V$10005,'設定'!$C$4,'月1回_2ヶ月前の在庫'!$W$6:$W$10005,$C301),0)))))))</f>
        <v/>
      </c>
      <c r="H301">
        <f>IF($C301="","",N(IFERROR(IF(INDEX('商品マスタ'!$G$6:$G$1005,MATCH($C301,'商品マスタ'!$B$6:$B$1005,0))="",IF(COUNTIFS('①在庫を貼る'!$V$6:$V$10005,'設定'!$C$4,'①在庫を貼る'!$W$6:$W$10005,$C301)&gt;0,SUMIFS('①在庫を貼る'!$Q$6:$Q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Q$6:$Q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Q$6:$Q$10005,'月1回_2ヶ月前の在庫'!$V$6:$V$10005,'設定'!$C$4,'月1回_2ヶ月前の在庫'!$W$6:$W$10005,$C301)/COUNTIFS('月1回_2ヶ月前の在庫'!$V$6:$V$10005,'設定'!$C$4,'月1回_2ヶ月前の在庫'!$W$6:$W$10005,$C301),0))),INDEX('商品マスタ'!$G$6:$G$1005,MATCH($C301,'商品マスタ'!$B$6:$B$1005,0))),IF(COUNTIFS('①在庫を貼る'!$V$6:$V$10005,'設定'!$C$4,'①在庫を貼る'!$W$6:$W$10005,$C301)&gt;0,SUMIFS('①在庫を貼る'!$Q$6:$Q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Q$6:$Q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Q$6:$Q$10005,'月1回_2ヶ月前の在庫'!$V$6:$V$10005,'設定'!$C$4,'月1回_2ヶ月前の在庫'!$W$6:$W$10005,$C301)/COUNTIFS('月1回_2ヶ月前の在庫'!$V$6:$V$10005,'設定'!$C$4,'月1回_2ヶ月前の在庫'!$W$6:$W$10005,$C301),0))))))</f>
        <v/>
      </c>
      <c r="I301">
        <f>IF($C301="","",IF(COUNTIFS('①在庫を貼る'!$V$6:$V$10005,'設定'!$C$4,'①在庫を貼る'!$W$6:$W$10005,$C301)=0,"",SUMIFS('①在庫を貼る'!$N$6:$N$10005,'①在庫を貼る'!$V$6:$V$10005,'設定'!$C$4,'①在庫を貼る'!$W$6:$W$10005,$C301)))</f>
        <v/>
      </c>
      <c r="J301">
        <f>IF($C301="","",IF('②発注する'!$AD305="","",'②発注する'!$AD305))</f>
        <v/>
      </c>
      <c r="K301" s="90">
        <f>IF($C301="","",IF('②発注する'!$AE305="","",'②発注する'!$AE305))</f>
        <v/>
      </c>
      <c r="L301">
        <f>IF($C301="","",IF(AND(ISNUMBER($J301),ISNUMBER($K301),$K301&gt;='設定'!$C$6),$J301,N($I301)))</f>
        <v/>
      </c>
      <c r="M301">
        <f>IF($C301="","",IFERROR(IF(N(INDEX('商品マスタ'!$J$6:$J$1005,MATCH($C301,'商品マスタ'!$B$6:$B$1005,0)))&gt;0,INDEX('商品マスタ'!$J$6:$J$1005,MATCH($C301,'商品マスタ'!$B$6:$B$1005,0)),""),""))</f>
        <v/>
      </c>
      <c r="N301">
        <f>IF($C301="","",IFERROR(IF(N(INDEX('商品マスタ'!$H$6:$H$1005,MATCH($C301,'商品マスタ'!$B$6:$B$1005,0)))&gt;0,INDEX('商品マスタ'!$H$6:$H$1005,MATCH($C301,'商品マスタ'!$B$6:$B$1005,0)),""),""))</f>
        <v/>
      </c>
      <c r="O301">
        <f>IF($C301="","",IF($N301&lt;&gt;"",$N301*$G301,IF(N(IF(COUNTIFS('①在庫を貼る'!$V$6:$V$10005,'設定'!$C$4,'①在庫を貼る'!$W$6:$W$10005,$C301)&gt;0,SUMIFS('①在庫を貼る'!$O$6:$O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O$6:$O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O$6:$O$10005,'月1回_2ヶ月前の在庫'!$V$6:$V$10005,'設定'!$C$4,'月1回_2ヶ月前の在庫'!$W$6:$W$10005,$C301)/COUNTIFS('月1回_2ヶ月前の在庫'!$V$6:$V$10005,'設定'!$C$4,'月1回_2ヶ月前の在庫'!$W$6:$W$10005,$C301),0))))&gt;0,N(IF(COUNTIFS('①在庫を貼る'!$V$6:$V$10005,'設定'!$C$4,'①在庫を貼る'!$W$6:$W$10005,$C301)&gt;0,SUMIFS('①在庫を貼る'!$O$6:$O$10005,'①在庫を貼る'!$V$6:$V$10005,'設定'!$C$4,'①在庫を貼る'!$W$6:$W$10005,$C301)/COUNTIFS('①在庫を貼る'!$V$6:$V$10005,'設定'!$C$4,'①在庫を貼る'!$W$6:$W$10005,$C301),IF(COUNTIFS('月1回_1ヶ月前の在庫'!$V$6:$V$10005,'設定'!$C$4,'月1回_1ヶ月前の在庫'!$W$6:$W$10005,$C301)&gt;0,SUMIFS('月1回_1ヶ月前の在庫'!$O$6:$O$10005,'月1回_1ヶ月前の在庫'!$V$6:$V$10005,'設定'!$C$4,'月1回_1ヶ月前の在庫'!$W$6:$W$10005,$C301)/COUNTIFS('月1回_1ヶ月前の在庫'!$V$6:$V$10005,'設定'!$C$4,'月1回_1ヶ月前の在庫'!$W$6:$W$10005,$C301),IF(COUNTIFS('月1回_2ヶ月前の在庫'!$V$6:$V$10005,'設定'!$C$4,'月1回_2ヶ月前の在庫'!$W$6:$W$10005,$C301)&gt;0,SUMIFS('月1回_2ヶ月前の在庫'!$O$6:$O$10005,'月1回_2ヶ月前の在庫'!$V$6:$V$10005,'設定'!$C$4,'月1回_2ヶ月前の在庫'!$W$6:$W$10005,$C301)/COUNTIFS('月1回_2ヶ月前の在庫'!$V$6:$V$10005,'設定'!$C$4,'月1回_2ヶ月前の在庫'!$W$6:$W$10005,$C301),0)))),"")))</f>
        <v/>
      </c>
      <c r="P301" s="90">
        <f>IF($C301="","",IF('②発注する'!$I305="","",'②発注する'!$I305))</f>
        <v/>
      </c>
      <c r="Q301">
        <f>IF($C301="","",IF('②発注する'!$J305="","",'②発注する'!$J305))</f>
        <v/>
      </c>
      <c r="R301">
        <f>IF($C301="",0,IF(AND(ISNUMBER($P301),ISNUMBER($Q301)),MAX(0,$Q301)*$G301,0))</f>
        <v/>
      </c>
      <c r="S301" s="90">
        <f>IF($C301="","",IF('②発注する'!$M305="","",'②発注する'!$M305))</f>
        <v/>
      </c>
      <c r="T301">
        <f>IF($C301="","",IF('②発注する'!$N305="","",'②発注する'!$N305))</f>
        <v/>
      </c>
      <c r="U301">
        <f>IF($C301="",0,IF(AND(ISNUMBER($S301),ISNUMBER($T301)),MAX(0,$T301)*$G301,0))</f>
        <v/>
      </c>
      <c r="V301">
        <f>IF($C301="",0,IF($M301="",0,MAX(0,$M301)*MAX(0,V$4)/100))</f>
        <v/>
      </c>
      <c r="W301">
        <f>IF($C301="",0,IF($M301="",0,MAX(0,$M301)*MAX(0,W$4)/100))</f>
        <v/>
      </c>
      <c r="X301">
        <f>IF($C301="",0,IF($M301="",0,MAX(0,$M301)*MAX(0,X$4)/100))</f>
        <v/>
      </c>
      <c r="Y301">
        <f>IF($C301="",0,IF($M301="",0,MAX(0,$M301)*MAX(0,Y$4)/100))</f>
        <v/>
      </c>
      <c r="Z301">
        <f>IF($C301="",0,IF($M301="",0,MAX(0,$M301)*MAX(0,Z$4)/100))</f>
        <v/>
      </c>
      <c r="AA301">
        <f>IF($C301="",0,IF($M301="",0,MAX(0,$M301)*MAX(0,AA$4)/100))</f>
        <v/>
      </c>
      <c r="AB301">
        <f>IF($C301="",0,IF($M301="",0,MAX(0,$M301)*MAX(0,AB$4)/100))</f>
        <v/>
      </c>
      <c r="AC301">
        <f>IF($C301="",0,IF($M301="",0,MAX(0,$M301)*MAX(0,AC$4)/100))</f>
        <v/>
      </c>
      <c r="AD301">
        <f>IF($C301="",0,IF($M301="",0,MAX(0,$M301)*MAX(0,AD$4)/100))</f>
        <v/>
      </c>
      <c r="AE301">
        <f>IF($C301="",0,IF($M301="",0,MAX(0,$M301)*MAX(0,AE$4)/100))</f>
        <v/>
      </c>
      <c r="AF301">
        <f>IF($C301="",0,IF($M301="",0,MAX(0,$M301)*MAX(0,AF$4)/100))</f>
        <v/>
      </c>
      <c r="AG301">
        <f>IF($C301="",0,IF($M301="",0,MAX(0,$M301)*MAX(0,AG$4)/100))</f>
        <v/>
      </c>
      <c r="AH301">
        <f>IF($C301="",0,IF($M301="",0,MAX(0,$M301)*MAX(0,AH$4)/100))</f>
        <v/>
      </c>
      <c r="AI301">
        <f>IF($C301="",0,IF($M301="",0,MAX(0,$M301)*MAX(0,AI$4)/100))</f>
        <v/>
      </c>
      <c r="AJ301">
        <f>IF($C301="",0,MAX(0,MAX(0,N($L301))-$V301))</f>
        <v/>
      </c>
      <c r="AK301">
        <f>IF($C301="",0,MAX(0,$AJ301-$W301))</f>
        <v/>
      </c>
      <c r="AL301">
        <f>IF($C301="",0,MAX(0,$AK301-$X301))</f>
        <v/>
      </c>
      <c r="AM301">
        <f>IF($C301="",0,MAX(0,$AL301-$Y301))</f>
        <v/>
      </c>
      <c r="AN301">
        <f>IF($C301="",0,MAX(0,$AM301-$Z301))</f>
        <v/>
      </c>
      <c r="AO301">
        <f>IF($C301="",0,MAX(0,$AN301-$AA301))</f>
        <v/>
      </c>
      <c r="AP301">
        <f>IF($C301="",0,MAX(0,$AO301-$AB301))</f>
        <v/>
      </c>
      <c r="AQ301">
        <f>IF($C301="",0,MAX(0,$AP301-$AC301))</f>
        <v/>
      </c>
      <c r="AR301">
        <f>IF($C301="",0,MAX(0,$AQ301-$AD301))</f>
        <v/>
      </c>
      <c r="AS301">
        <f>IF($C301="",0,MAX(0,$AR301-$AE301))</f>
        <v/>
      </c>
      <c r="AT301">
        <f>IF($C301="",0,MAX(0,$AS301-$AF301))</f>
        <v/>
      </c>
      <c r="AU301">
        <f>IF($C301="",0,MAX(0,$AT301-$AG301))</f>
        <v/>
      </c>
      <c r="AV301">
        <f>IF($C301="",0,MAX(0,$AU301-$AH301))</f>
        <v/>
      </c>
      <c r="AW301">
        <f>IF($C301="",0,MAX(0,$AV301-$AI301))</f>
        <v/>
      </c>
      <c r="AX301">
        <f>IF($C301="",0,MAX(0,MAX(0,N($L301))+IF($P301=V$3,$R301,0)+IF($S301=V$3,$U301,0)-$V301))</f>
        <v/>
      </c>
      <c r="AY301">
        <f>IF($C301="",0,MAX(0,$AX301+IF($P301=W$3,$R301,0)+IF($S301=W$3,$U301,0)-$W301))</f>
        <v/>
      </c>
      <c r="AZ301">
        <f>IF($C301="",0,MAX(0,$AY301+IF($P301=X$3,$R301,0)+IF($S301=X$3,$U301,0)-$X301))</f>
        <v/>
      </c>
      <c r="BA301">
        <f>IF($C301="",0,MAX(0,$AZ301+IF($P301=Y$3,$R301,0)+IF($S301=Y$3,$U301,0)-$Y301))</f>
        <v/>
      </c>
      <c r="BB301">
        <f>IF($C301="",0,MAX(0,$BA301+IF($P301=Z$3,$R301,0)+IF($S301=Z$3,$U301,0)-$Z301))</f>
        <v/>
      </c>
      <c r="BC301">
        <f>IF($C301="",0,MAX(0,$BB301+IF($P301=AA$3,$R301,0)+IF($S301=AA$3,$U301,0)-$AA301))</f>
        <v/>
      </c>
      <c r="BD301">
        <f>IF($C301="",0,MAX(0,$BC301+IF($P301=AB$3,$R301,0)+IF($S301=AB$3,$U301,0)-$AB301))</f>
        <v/>
      </c>
      <c r="BE301">
        <f>IF($C301="",0,MAX(0,$BD301+IF($P301=AC$3,$R301,0)+IF($S301=AC$3,$U301,0)-$AC301))</f>
        <v/>
      </c>
      <c r="BF301">
        <f>IF($C301="",0,MAX(0,$BE301+IF($P301=AD$3,$R301,0)+IF($S301=AD$3,$U301,0)-$AD301))</f>
        <v/>
      </c>
      <c r="BG301">
        <f>IF($C301="",0,MAX(0,$BF301+IF($P301=AE$3,$R301,0)+IF($S301=AE$3,$U301,0)-$AE301))</f>
        <v/>
      </c>
      <c r="BH301">
        <f>IF($C301="",0,MAX(0,$BG301+IF($P301=AF$3,$R301,0)+IF($S301=AF$3,$U301,0)-$AF301))</f>
        <v/>
      </c>
      <c r="BI301">
        <f>IF($C301="",0,MAX(0,$BH301+IF($P301=AG$3,$R301,0)+IF($S301=AG$3,$U301,0)-$AG301))</f>
        <v/>
      </c>
      <c r="BJ301">
        <f>IF($C301="",0,MAX(0,$BI301+IF($P301=AH$3,$R301,0)+IF($S301=AH$3,$U301,0)-$AH301))</f>
        <v/>
      </c>
      <c r="BK301">
        <f>IF($C301="",0,MAX(0,$BJ301+IF($P301=AI$3,$R301,0)+IF($S301=AI$3,$U301,0)-$AI301))</f>
        <v/>
      </c>
      <c r="BL301">
        <f>IF($C301="",99,IF(AND($AX301&lt;1,V$3&gt;=MAX(N($P301),N($S301))),0,99))</f>
        <v/>
      </c>
      <c r="BM301">
        <f>IF($C301="",99,IF(AND($AY301&lt;1,W$3&gt;=MAX(N($P301),N($S301))),1,99))</f>
        <v/>
      </c>
      <c r="BN301">
        <f>IF($C301="",99,IF(AND($AZ301&lt;1,X$3&gt;=MAX(N($P301),N($S301))),2,99))</f>
        <v/>
      </c>
      <c r="BO301">
        <f>IF($C301="",99,IF(AND($BA301&lt;1,Y$3&gt;=MAX(N($P301),N($S301))),3,99))</f>
        <v/>
      </c>
      <c r="BP301">
        <f>IF($C301="",99,IF(AND($BB301&lt;1,Z$3&gt;=MAX(N($P301),N($S301))),4,99))</f>
        <v/>
      </c>
      <c r="BQ301">
        <f>IF($C301="",99,IF(AND($BC301&lt;1,AA$3&gt;=MAX(N($P301),N($S301))),5,99))</f>
        <v/>
      </c>
      <c r="BR301">
        <f>IF($C301="",99,IF(AND($BD301&lt;1,AB$3&gt;=MAX(N($P301),N($S301))),6,99))</f>
        <v/>
      </c>
      <c r="BS301">
        <f>IF($C301="",99,IF(AND($BE301&lt;1,AC$3&gt;=MAX(N($P301),N($S301))),7,99))</f>
        <v/>
      </c>
      <c r="BT301">
        <f>IF($C301="",99,IF(AND($BF301&lt;1,AD$3&gt;=MAX(N($P301),N($S301))),8,99))</f>
        <v/>
      </c>
      <c r="BU301">
        <f>IF($C301="",99,IF(AND($BG301&lt;1,AE$3&gt;=MAX(N($P301),N($S301))),9,99))</f>
        <v/>
      </c>
      <c r="BV301">
        <f>IF($C301="",99,IF(AND($BH301&lt;1,AF$3&gt;=MAX(N($P301),N($S301))),10,99))</f>
        <v/>
      </c>
      <c r="BW301">
        <f>IF($C301="",99,IF(AND($BI301&lt;1,AG$3&gt;=MAX(N($P301),N($S301))),11,99))</f>
        <v/>
      </c>
      <c r="BX301">
        <f>IF($C301="",99,IF(AND($BJ301&lt;1,AH$3&gt;=MAX(N($P301),N($S301))),12,99))</f>
        <v/>
      </c>
      <c r="BY301">
        <f>IF($C301="",99,IF(AND($BK301&lt;1,AI$3&gt;=MAX(N($P301),N($S301))),13,99))</f>
        <v/>
      </c>
      <c r="BZ301">
        <f>IF(OR($C301="",$M301=""),"",COUNTIF($AJ301:$AW301,"&gt;=1"))</f>
        <v/>
      </c>
      <c r="CA301" s="90">
        <f>IF($BZ301="","",IF($BZ301&gt;=14,"",'設定'!$C$6+$BZ301))</f>
        <v/>
      </c>
      <c r="CB301">
        <f>IF(OR($C301="",$M301=""),"",MIN($BL301:$BY301))</f>
        <v/>
      </c>
      <c r="CC301" s="90">
        <f>IF($CB301="","",IF($CB301&gt;=99,"",'設定'!$C$6+$CB301))</f>
        <v/>
      </c>
      <c r="CD301">
        <f>IF(OR($C301="",$M301=""),"",AVERAGE($V301:$AI301))</f>
        <v/>
      </c>
      <c r="CE301">
        <f>IF($C301="","",IFERROR(IF(MATCH(IF(ISNUMBER($P301),$P301,'設定'!$C$6+N('設定'!$C$7)),$V$3:$AI$3,0)=1,MAX(0,N($L301)),INDEX($AJ301:$AW301,MATCH(IF(ISNUMBER($P301),$P301,'設定'!$C$6+N('設定'!$C$7)),$V$3:$AI$3,0)-1)),""))</f>
        <v/>
      </c>
      <c r="CF301">
        <f>IF(OR($C301="",$O301="",$CE301=""),"",IF($O301-$CE301&lt;=0,0,ROUNDUP(($O301-$CE301)/$G301,0)))</f>
        <v/>
      </c>
      <c r="CG301">
        <f>IF(OR($C301="",$CF301="",NOT(ISNUMBER($Q301))),0,MAX(0,$Q301-$CF301))</f>
        <v/>
      </c>
      <c r="CH301">
        <f>IF(OR($C301="",$O301="",$U301=0),0,IFERROR(ROUNDUP(MAX(0,IF(MATCH($S301,$V$3:$AI$3,0)=1,MAX(0,N($L301)),INDEX($AX301:$BK301,MATCH($S301,$V$3:$AI$3,0)-1))+$U301-$O301)/$G301,0),0))</f>
        <v/>
      </c>
      <c r="CI301">
        <f>IF($C301="","",IF(AND($P301="",$Q301=""),"",IF($P301="","⚠ 入庫日を ▼ から選んでください",IF(NOT(ISNUMBER($P301)),"⚠ 入庫日は ▼ から選んでください",IF($P301&lt;N('設定'!$C$6),"⚠ 入庫日が過去です（もう在庫に入っています）→ 消してください",IF($P301&gt;N('設定'!$C$6)+13,"⚠ 入庫日が14日より先です",IF(N($Q301)&lt;=0,"⚠ 入庫数を入れてください",IF($CG301&gt;0,"⚠ 目安より "&amp;$CG301&amp;" 多い（定数を超える）→ 減らす",""))))))))</f>
        <v/>
      </c>
      <c r="CJ301">
        <f>IF($C301="","",IF(AND($S301="",$T301=""),"",IF($S301="","⚠ 2便目：入庫日を ▼ から選んでください",IF(NOT(ISNUMBER($S301)),"⚠ 2便目：入庫日は ▼ から選んでください",IF($S301&lt;N('設定'!$C$6),"⚠ 2便目：入庫日が過去です（もう在庫に入っています）→ 消してください",IF($S301&gt;N('設定'!$C$6)+13,"⚠ 2便目：入庫日が14日より先です",IF(N($T301)&lt;=0,"⚠ 2便目：入庫数を入れてください",IF($CH301&gt;0,"⚠ 2便目：定数を "&amp;$CH301&amp;" ケース超える → 減らす",""))))))))</f>
        <v/>
      </c>
      <c r="CK301">
        <f>IF(AND($CI301="",N($Q301)&gt;0,ISNUMBER($P301)),1,0)</f>
        <v/>
      </c>
      <c r="CL301">
        <f>IF(AND($CJ301="",N($T301)&gt;0,ISNUMBER($S301)),1,0)</f>
        <v/>
      </c>
      <c r="CM301">
        <f>IF(OR($CK301=1,$CL301=1),1,0)</f>
        <v/>
      </c>
      <c r="CN301">
        <f>IF($C301="",0,($CK301*$R301+$CL301*$U301)*N($H301))</f>
        <v/>
      </c>
      <c r="CO301">
        <f>IF($C301="","",IF($CC301="","入庫後は 14日以上もつ",IF($CC301-N('設定'!$C$7)&lt;='設定'!$C$6,"入庫後も "&amp;TEXT($CC301,"m/d")&amp;"("&amp;CHOOSE(WEEKDAY($CC301),"日","月","火","水","木","金","土")&amp;")"&amp;" に切れる　もう1便を至急発注","入庫後も "&amp;TEXT($CC301,"m/d")&amp;"("&amp;CHOOSE(WEEKDAY($CC301),"日","月","火","水","木","金","土")&amp;")"&amp;" に切れる　"&amp;TEXT($CC301-N('設定'!$C$7),"m/d")&amp;"("&amp;CHOOSE(WEEKDAY($CC301-N('設定'!$C$7)),"日","月","火","水","木","金","土")&amp;")"&amp;" までに次を発注")))</f>
        <v/>
      </c>
      <c r="CP301">
        <f>IF($C301="","",IF('設定'!$C$6="","？ ①在庫を貼る に今日のCSVが貼られていない",IF($CS301=1,"－ 今日のCSVに無い（終売？）",IF($L301&lt;0,"● 在庫がマイナス　数えて「数えた在庫」に入れる",IF($L301=0,"● 在庫なし　至急発注",IF($M301="","？ 減り数が未設定（商品マスタ）",IF($B$3=0,"？ 動員が未入力（動員を入れる）",IF($CA301="","○ 14日以上もつ",IF($BZ301&lt;N('設定'!$C$7),"● "&amp;TEXT($CA301,"m/d")&amp;"("&amp;CHOOSE(WEEKDAY($CA301),"日","月","火","水","木","金","土")&amp;")"&amp;" に切れる　至急発注",IF($BZ301=N('設定'!$C$7),"● "&amp;TEXT($CA301,"m/d")&amp;"("&amp;CHOOSE(WEEKDAY($CA301),"日","月","火","水","木","金","土")&amp;")"&amp;" に切れる　今日発注","△ "&amp;TEXT($CA301,"m/d")&amp;"("&amp;CHOOSE(WEEKDAY($CA301),"日","月","火","水","木","金","土")&amp;")"&amp;" に切れる　"&amp;TEXT($CA301-N('設定'!$C$7),"m/d")&amp;"("&amp;CHOOSE(WEEKDAY($CA301-N('設定'!$C$7)),"日","月","火","水","木","金","土")&amp;")"&amp;" までに発注"))))))))))</f>
        <v/>
      </c>
      <c r="CQ301">
        <f>IF($C301="","",IF(AND($P301="",$Q301="",$S301="",$T301=""),"",IF(AND($P301="",$Q301=""),"⚠ 先に1便目（左の入庫日・入庫数）に入れてください",IF($CI301&lt;&gt;"",$CI301,IF($CJ301&lt;&gt;"",$CJ301,IF($M301="","？ 減り数が未設定（発注書には載ります）",IF($B$3=0,"？ 動員が未入力（発注書には載ります）",IF(AND($CA301&lt;&gt;"",$P301&gt;$CA301),IF($P301&gt;'設定'!$C$6+N('設定'!$C$7),"● "&amp;TEXT($P301,"m/d")&amp;"("&amp;CHOOSE(WEEKDAY($P301),"日","月","火","水","木","金","土")&amp;")"&amp;" の入庫では間に合わない（"&amp;TEXT($CA301,"m/d")&amp;"("&amp;CHOOSE(WEEKDAY($CA301),"日","月","火","水","木","金","土")&amp;")"&amp;" に切れる）　入庫日を早める","△ 欠品 "&amp;TEXT($CA301,"m/d")&amp;"("&amp;CHOOSE(WEEKDAY($CA301),"日","月","火","水","木","金","土")&amp;")"&amp;"〜"&amp;TEXT($P301-1,"m/d")&amp;"("&amp;CHOOSE(WEEKDAY($P301-1),"日","月","火","水","木","金","土")&amp;")"&amp;"　"&amp;$CO301),IF($CC301="","○ "&amp;TEXT($P301,"m/d")&amp;"("&amp;CHOOSE(WEEKDAY($P301),"日","月","火","水","木","金","土")&amp;")"&amp;" 入庫で 14日以上もつ",IF($CC301-N('設定'!$C$7)&lt;='設定'!$C$6,"● 入庫しても "&amp;TEXT($CC301,"m/d")&amp;"("&amp;CHOOSE(WEEKDAY($CC301),"日","月","火","水","木","金","土")&amp;")"&amp;" に切れる　もう1便を至急発注（2便目に入れる）","△ 入庫しても "&amp;TEXT($CC301,"m/d")&amp;"("&amp;CHOOSE(WEEKDAY($CC301),"日","月","火","水","木","金","土")&amp;")"&amp;" に切れる　"&amp;TEXT($CC301-N('設定'!$C$7),"m/d")&amp;"("&amp;CHOOSE(WEEKDAY($CC301-N('設定'!$C$7)),"日","月","火","水","木","金","土")&amp;")"&amp;" までに次を発注（2便目に入れる）"))))))))))</f>
        <v/>
      </c>
      <c r="CR301">
        <f>IF($C301="","",IF($G301&gt;1,"ｹｰｽ("&amp;$G301&amp;"入)","個"))</f>
        <v/>
      </c>
      <c r="CS301">
        <f>IF($C301="",0,IF(COUNTIFS('①在庫を貼る'!$V$6:$V$10005,'設定'!$C$4,'①在庫を貼る'!$W$6:$W$10005,$C301)=0,1,0))</f>
        <v/>
      </c>
      <c r="CT301">
        <f>IF(AND($CK301=1,OR('③発注書'!$C$4="すべて",'③発注書'!$C$4="",$F301='③発注書'!$C$4)),N($CT300)+1,N($CT300))</f>
        <v/>
      </c>
      <c r="CU301">
        <f>IF(AND($CL301=1,OR('③発注書'!$C$4="すべて",'③発注書'!$C$4="",$F301='③発注書'!$C$4)),N($CU300)+1,N($CU300))</f>
        <v/>
      </c>
      <c r="CV301">
        <f>IF($C301="",0,IF(COUNTIFS('①在庫を貼る'!$V$6:$V$10005,'設定'!$C$4,'①在庫を貼る'!$W$6:$W$10005,$C301)&gt;0,1,0))</f>
        <v/>
      </c>
      <c r="CW301">
        <f>IF($C301="",0,IF(COUNTIFS('月1回_1ヶ月前の在庫'!$V$6:$V$10005,'設定'!$C$4,'月1回_1ヶ月前の在庫'!$W$6:$W$10005,$C301)&gt;0,1,0))</f>
        <v/>
      </c>
      <c r="CX301">
        <f>IF($C301="",0,IF(COUNTIFS('月1回_2ヶ月前の在庫'!$V$6:$V$10005,'設定'!$C$4,'月1回_2ヶ月前の在庫'!$W$6:$W$10005,$C301)&gt;0,1,0))</f>
        <v/>
      </c>
      <c r="CY301">
        <f>IF(OR($C301="",'設定'!$C$12=""),"",IF('設定'!$C$13="",IF(AND($CV301=1,$CW301=0),"新商品（今月から）",IF(AND($CV301=0,$CW301=1),"終売（今月から）","")),IF(AND($CV301=1,$CW301=0,$CX301=0),"新商品（今月から）",IF(AND($CV301=1,$CW301=1,$CX301=0),"新商品（先月から）",IF(AND($CV301=0,$CW301=1,$CX301=1),"終売（今月から）",IF(AND($CV301=0,$CW301=0,$CX301=1),"終売（先月から）",IF(AND($CV301=1,$CW301=0,$CX301=1),"復活（先月は無し）","")))))))</f>
        <v/>
      </c>
    </row>
    <row r="302">
      <c r="B302">
        <f>IF(297&lt;='設定'!$C$11,297,"")</f>
        <v/>
      </c>
      <c r="C302">
        <f>IF($B302="","",IF($B302&lt;='設定'!$C$20,INDEX('商品マスタ'!$B$6:$B$1005,MATCH($B302,'商品マスタ'!$M$6:$M$1005,0)),IF($B302&lt;='設定'!$C$20+'設定'!$C$17,INDEX('①在庫を貼る'!$W$6:$W$10005,MATCH($B302-'設定'!$C$20,'①在庫を貼る'!$U$6:$U$10005,0)),IF($B302&lt;='設定'!$C$20+'設定'!$C$17+'設定'!$C$18,INDEX('月1回_1ヶ月前の在庫'!$W$6:$W$10005,MATCH($B302-'設定'!$C$20-'設定'!$C$17,'月1回_1ヶ月前の在庫'!$U$6:$U$10005,0)),INDEX('月1回_2ヶ月前の在庫'!$W$6:$W$10005,MATCH($B302-'設定'!$C$20-'設定'!$C$17-'設定'!$C$18,'月1回_2ヶ月前の在庫'!$U$6:$U$10005,0))))))</f>
        <v/>
      </c>
      <c r="D302">
        <f>IF($C302="","",IFERROR(IF(INDEX('商品マスタ'!$C$6:$C$1005,MATCH($C302,'商品マスタ'!$B$6:$B$1005,0))="",IFERROR(INDEX('①在庫を貼る'!$J$6:$J$10005,MATCH($C302,'①在庫を貼る'!$W$6:$W$10005,0)),IFERROR(INDEX('月1回_1ヶ月前の在庫'!$J$6:$J$10005,MATCH($C302,'月1回_1ヶ月前の在庫'!$W$6:$W$10005,0)),IFERROR(INDEX('月1回_2ヶ月前の在庫'!$J$6:$J$10005,MATCH($C302,'月1回_2ヶ月前の在庫'!$W$6:$W$10005,0)),""))),INDEX('商品マスタ'!$C$6:$C$1005,MATCH($C302,'商品マスタ'!$B$6:$B$1005,0))),IFERROR(INDEX('①在庫を貼る'!$J$6:$J$10005,MATCH($C302,'①在庫を貼る'!$W$6:$W$10005,0)),IFERROR(INDEX('月1回_1ヶ月前の在庫'!$J$6:$J$10005,MATCH($C302,'月1回_1ヶ月前の在庫'!$W$6:$W$10005,0)),IFERROR(INDEX('月1回_2ヶ月前の在庫'!$J$6:$J$10005,MATCH($C302,'月1回_2ヶ月前の在庫'!$W$6:$W$10005,0)),"")))))</f>
        <v/>
      </c>
      <c r="E302">
        <f>IF($C302="","",IFERROR(IF(INDEX('商品マスタ'!$D$6:$D$1005,MATCH($C302,'商品マスタ'!$B$6:$B$1005,0))="",IFERROR(INDEX('①在庫を貼る'!$H$6:$H$10005,MATCH($C302,'①在庫を貼る'!$W$6:$W$10005,0)),IFERROR(INDEX('月1回_1ヶ月前の在庫'!$H$6:$H$10005,MATCH($C302,'月1回_1ヶ月前の在庫'!$W$6:$W$10005,0)),IFERROR(INDEX('月1回_2ヶ月前の在庫'!$H$6:$H$10005,MATCH($C302,'月1回_2ヶ月前の在庫'!$W$6:$W$10005,0)),""))),INDEX('商品マスタ'!$D$6:$D$1005,MATCH($C302,'商品マスタ'!$B$6:$B$1005,0))),IFERROR(INDEX('①在庫を貼る'!$H$6:$H$10005,MATCH($C302,'①在庫を貼る'!$W$6:$W$10005,0)),IFERROR(INDEX('月1回_1ヶ月前の在庫'!$H$6:$H$10005,MATCH($C302,'月1回_1ヶ月前の在庫'!$W$6:$W$10005,0)),IFERROR(INDEX('月1回_2ヶ月前の在庫'!$H$6:$H$10005,MATCH($C302,'月1回_2ヶ月前の在庫'!$W$6:$W$10005,0)),"")))))</f>
        <v/>
      </c>
      <c r="F302">
        <f>IF($C302="","",IFERROR(IF(INDEX('商品マスタ'!$E$6:$E$1005,MATCH($C302,'商品マスタ'!$B$6:$B$1005,0))="",IFERROR(INDEX('①在庫を貼る'!$E$6:$E$10005,MATCH($C302,'①在庫を貼る'!$W$6:$W$10005,0)),IFERROR(INDEX('月1回_1ヶ月前の在庫'!$E$6:$E$10005,MATCH($C302,'月1回_1ヶ月前の在庫'!$W$6:$W$10005,0)),IFERROR(INDEX('月1回_2ヶ月前の在庫'!$E$6:$E$10005,MATCH($C302,'月1回_2ヶ月前の在庫'!$W$6:$W$10005,0)),""))),INDEX('商品マスタ'!$E$6:$E$1005,MATCH($C302,'商品マスタ'!$B$6:$B$1005,0))),IFERROR(INDEX('①在庫を貼る'!$E$6:$E$10005,MATCH($C302,'①在庫を貼る'!$W$6:$W$10005,0)),IFERROR(INDEX('月1回_1ヶ月前の在庫'!$E$6:$E$10005,MATCH($C302,'月1回_1ヶ月前の在庫'!$W$6:$W$10005,0)),IFERROR(INDEX('月1回_2ヶ月前の在庫'!$E$6:$E$10005,MATCH($C302,'月1回_2ヶ月前の在庫'!$W$6:$W$10005,0)),"")))))</f>
        <v/>
      </c>
      <c r="G302">
        <f>IF($C302="","",MAX(1,N(IFERROR(IF(INDEX('商品マスタ'!$F$6:$F$1005,MATCH($C302,'商品マスタ'!$B$6:$B$1005,0))="",IF(COUNTIFS('①在庫を貼る'!$V$6:$V$10005,'設定'!$C$4,'①在庫を貼る'!$W$6:$W$10005,$C302)&gt;0,SUMIFS('①在庫を貼る'!$K$6:$K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K$6:$K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K$6:$K$10005,'月1回_2ヶ月前の在庫'!$V$6:$V$10005,'設定'!$C$4,'月1回_2ヶ月前の在庫'!$W$6:$W$10005,$C302)/COUNTIFS('月1回_2ヶ月前の在庫'!$V$6:$V$10005,'設定'!$C$4,'月1回_2ヶ月前の在庫'!$W$6:$W$10005,$C302),0))),INDEX('商品マスタ'!$F$6:$F$1005,MATCH($C302,'商品マスタ'!$B$6:$B$1005,0))),IF(COUNTIFS('①在庫を貼る'!$V$6:$V$10005,'設定'!$C$4,'①在庫を貼る'!$W$6:$W$10005,$C302)&gt;0,SUMIFS('①在庫を貼る'!$K$6:$K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K$6:$K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K$6:$K$10005,'月1回_2ヶ月前の在庫'!$V$6:$V$10005,'設定'!$C$4,'月1回_2ヶ月前の在庫'!$W$6:$W$10005,$C302)/COUNTIFS('月1回_2ヶ月前の在庫'!$V$6:$V$10005,'設定'!$C$4,'月1回_2ヶ月前の在庫'!$W$6:$W$10005,$C302),0)))))))</f>
        <v/>
      </c>
      <c r="H302">
        <f>IF($C302="","",N(IFERROR(IF(INDEX('商品マスタ'!$G$6:$G$1005,MATCH($C302,'商品マスタ'!$B$6:$B$1005,0))="",IF(COUNTIFS('①在庫を貼る'!$V$6:$V$10005,'設定'!$C$4,'①在庫を貼る'!$W$6:$W$10005,$C302)&gt;0,SUMIFS('①在庫を貼る'!$Q$6:$Q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Q$6:$Q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Q$6:$Q$10005,'月1回_2ヶ月前の在庫'!$V$6:$V$10005,'設定'!$C$4,'月1回_2ヶ月前の在庫'!$W$6:$W$10005,$C302)/COUNTIFS('月1回_2ヶ月前の在庫'!$V$6:$V$10005,'設定'!$C$4,'月1回_2ヶ月前の在庫'!$W$6:$W$10005,$C302),0))),INDEX('商品マスタ'!$G$6:$G$1005,MATCH($C302,'商品マスタ'!$B$6:$B$1005,0))),IF(COUNTIFS('①在庫を貼る'!$V$6:$V$10005,'設定'!$C$4,'①在庫を貼る'!$W$6:$W$10005,$C302)&gt;0,SUMIFS('①在庫を貼る'!$Q$6:$Q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Q$6:$Q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Q$6:$Q$10005,'月1回_2ヶ月前の在庫'!$V$6:$V$10005,'設定'!$C$4,'月1回_2ヶ月前の在庫'!$W$6:$W$10005,$C302)/COUNTIFS('月1回_2ヶ月前の在庫'!$V$6:$V$10005,'設定'!$C$4,'月1回_2ヶ月前の在庫'!$W$6:$W$10005,$C302),0))))))</f>
        <v/>
      </c>
      <c r="I302">
        <f>IF($C302="","",IF(COUNTIFS('①在庫を貼る'!$V$6:$V$10005,'設定'!$C$4,'①在庫を貼る'!$W$6:$W$10005,$C302)=0,"",SUMIFS('①在庫を貼る'!$N$6:$N$10005,'①在庫を貼る'!$V$6:$V$10005,'設定'!$C$4,'①在庫を貼る'!$W$6:$W$10005,$C302)))</f>
        <v/>
      </c>
      <c r="J302">
        <f>IF($C302="","",IF('②発注する'!$AD306="","",'②発注する'!$AD306))</f>
        <v/>
      </c>
      <c r="K302" s="90">
        <f>IF($C302="","",IF('②発注する'!$AE306="","",'②発注する'!$AE306))</f>
        <v/>
      </c>
      <c r="L302">
        <f>IF($C302="","",IF(AND(ISNUMBER($J302),ISNUMBER($K302),$K302&gt;='設定'!$C$6),$J302,N($I302)))</f>
        <v/>
      </c>
      <c r="M302">
        <f>IF($C302="","",IFERROR(IF(N(INDEX('商品マスタ'!$J$6:$J$1005,MATCH($C302,'商品マスタ'!$B$6:$B$1005,0)))&gt;0,INDEX('商品マスタ'!$J$6:$J$1005,MATCH($C302,'商品マスタ'!$B$6:$B$1005,0)),""),""))</f>
        <v/>
      </c>
      <c r="N302">
        <f>IF($C302="","",IFERROR(IF(N(INDEX('商品マスタ'!$H$6:$H$1005,MATCH($C302,'商品マスタ'!$B$6:$B$1005,0)))&gt;0,INDEX('商品マスタ'!$H$6:$H$1005,MATCH($C302,'商品マスタ'!$B$6:$B$1005,0)),""),""))</f>
        <v/>
      </c>
      <c r="O302">
        <f>IF($C302="","",IF($N302&lt;&gt;"",$N302*$G302,IF(N(IF(COUNTIFS('①在庫を貼る'!$V$6:$V$10005,'設定'!$C$4,'①在庫を貼る'!$W$6:$W$10005,$C302)&gt;0,SUMIFS('①在庫を貼る'!$O$6:$O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O$6:$O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O$6:$O$10005,'月1回_2ヶ月前の在庫'!$V$6:$V$10005,'設定'!$C$4,'月1回_2ヶ月前の在庫'!$W$6:$W$10005,$C302)/COUNTIFS('月1回_2ヶ月前の在庫'!$V$6:$V$10005,'設定'!$C$4,'月1回_2ヶ月前の在庫'!$W$6:$W$10005,$C302),0))))&gt;0,N(IF(COUNTIFS('①在庫を貼る'!$V$6:$V$10005,'設定'!$C$4,'①在庫を貼る'!$W$6:$W$10005,$C302)&gt;0,SUMIFS('①在庫を貼る'!$O$6:$O$10005,'①在庫を貼る'!$V$6:$V$10005,'設定'!$C$4,'①在庫を貼る'!$W$6:$W$10005,$C302)/COUNTIFS('①在庫を貼る'!$V$6:$V$10005,'設定'!$C$4,'①在庫を貼る'!$W$6:$W$10005,$C302),IF(COUNTIFS('月1回_1ヶ月前の在庫'!$V$6:$V$10005,'設定'!$C$4,'月1回_1ヶ月前の在庫'!$W$6:$W$10005,$C302)&gt;0,SUMIFS('月1回_1ヶ月前の在庫'!$O$6:$O$10005,'月1回_1ヶ月前の在庫'!$V$6:$V$10005,'設定'!$C$4,'月1回_1ヶ月前の在庫'!$W$6:$W$10005,$C302)/COUNTIFS('月1回_1ヶ月前の在庫'!$V$6:$V$10005,'設定'!$C$4,'月1回_1ヶ月前の在庫'!$W$6:$W$10005,$C302),IF(COUNTIFS('月1回_2ヶ月前の在庫'!$V$6:$V$10005,'設定'!$C$4,'月1回_2ヶ月前の在庫'!$W$6:$W$10005,$C302)&gt;0,SUMIFS('月1回_2ヶ月前の在庫'!$O$6:$O$10005,'月1回_2ヶ月前の在庫'!$V$6:$V$10005,'設定'!$C$4,'月1回_2ヶ月前の在庫'!$W$6:$W$10005,$C302)/COUNTIFS('月1回_2ヶ月前の在庫'!$V$6:$V$10005,'設定'!$C$4,'月1回_2ヶ月前の在庫'!$W$6:$W$10005,$C302),0)))),"")))</f>
        <v/>
      </c>
      <c r="P302" s="90">
        <f>IF($C302="","",IF('②発注する'!$I306="","",'②発注する'!$I306))</f>
        <v/>
      </c>
      <c r="Q302">
        <f>IF($C302="","",IF('②発注する'!$J306="","",'②発注する'!$J306))</f>
        <v/>
      </c>
      <c r="R302">
        <f>IF($C302="",0,IF(AND(ISNUMBER($P302),ISNUMBER($Q302)),MAX(0,$Q302)*$G302,0))</f>
        <v/>
      </c>
      <c r="S302" s="90">
        <f>IF($C302="","",IF('②発注する'!$M306="","",'②発注する'!$M306))</f>
        <v/>
      </c>
      <c r="T302">
        <f>IF($C302="","",IF('②発注する'!$N306="","",'②発注する'!$N306))</f>
        <v/>
      </c>
      <c r="U302">
        <f>IF($C302="",0,IF(AND(ISNUMBER($S302),ISNUMBER($T302)),MAX(0,$T302)*$G302,0))</f>
        <v/>
      </c>
      <c r="V302">
        <f>IF($C302="",0,IF($M302="",0,MAX(0,$M302)*MAX(0,V$4)/100))</f>
        <v/>
      </c>
      <c r="W302">
        <f>IF($C302="",0,IF($M302="",0,MAX(0,$M302)*MAX(0,W$4)/100))</f>
        <v/>
      </c>
      <c r="X302">
        <f>IF($C302="",0,IF($M302="",0,MAX(0,$M302)*MAX(0,X$4)/100))</f>
        <v/>
      </c>
      <c r="Y302">
        <f>IF($C302="",0,IF($M302="",0,MAX(0,$M302)*MAX(0,Y$4)/100))</f>
        <v/>
      </c>
      <c r="Z302">
        <f>IF($C302="",0,IF($M302="",0,MAX(0,$M302)*MAX(0,Z$4)/100))</f>
        <v/>
      </c>
      <c r="AA302">
        <f>IF($C302="",0,IF($M302="",0,MAX(0,$M302)*MAX(0,AA$4)/100))</f>
        <v/>
      </c>
      <c r="AB302">
        <f>IF($C302="",0,IF($M302="",0,MAX(0,$M302)*MAX(0,AB$4)/100))</f>
        <v/>
      </c>
      <c r="AC302">
        <f>IF($C302="",0,IF($M302="",0,MAX(0,$M302)*MAX(0,AC$4)/100))</f>
        <v/>
      </c>
      <c r="AD302">
        <f>IF($C302="",0,IF($M302="",0,MAX(0,$M302)*MAX(0,AD$4)/100))</f>
        <v/>
      </c>
      <c r="AE302">
        <f>IF($C302="",0,IF($M302="",0,MAX(0,$M302)*MAX(0,AE$4)/100))</f>
        <v/>
      </c>
      <c r="AF302">
        <f>IF($C302="",0,IF($M302="",0,MAX(0,$M302)*MAX(0,AF$4)/100))</f>
        <v/>
      </c>
      <c r="AG302">
        <f>IF($C302="",0,IF($M302="",0,MAX(0,$M302)*MAX(0,AG$4)/100))</f>
        <v/>
      </c>
      <c r="AH302">
        <f>IF($C302="",0,IF($M302="",0,MAX(0,$M302)*MAX(0,AH$4)/100))</f>
        <v/>
      </c>
      <c r="AI302">
        <f>IF($C302="",0,IF($M302="",0,MAX(0,$M302)*MAX(0,AI$4)/100))</f>
        <v/>
      </c>
      <c r="AJ302">
        <f>IF($C302="",0,MAX(0,MAX(0,N($L302))-$V302))</f>
        <v/>
      </c>
      <c r="AK302">
        <f>IF($C302="",0,MAX(0,$AJ302-$W302))</f>
        <v/>
      </c>
      <c r="AL302">
        <f>IF($C302="",0,MAX(0,$AK302-$X302))</f>
        <v/>
      </c>
      <c r="AM302">
        <f>IF($C302="",0,MAX(0,$AL302-$Y302))</f>
        <v/>
      </c>
      <c r="AN302">
        <f>IF($C302="",0,MAX(0,$AM302-$Z302))</f>
        <v/>
      </c>
      <c r="AO302">
        <f>IF($C302="",0,MAX(0,$AN302-$AA302))</f>
        <v/>
      </c>
      <c r="AP302">
        <f>IF($C302="",0,MAX(0,$AO302-$AB302))</f>
        <v/>
      </c>
      <c r="AQ302">
        <f>IF($C302="",0,MAX(0,$AP302-$AC302))</f>
        <v/>
      </c>
      <c r="AR302">
        <f>IF($C302="",0,MAX(0,$AQ302-$AD302))</f>
        <v/>
      </c>
      <c r="AS302">
        <f>IF($C302="",0,MAX(0,$AR302-$AE302))</f>
        <v/>
      </c>
      <c r="AT302">
        <f>IF($C302="",0,MAX(0,$AS302-$AF302))</f>
        <v/>
      </c>
      <c r="AU302">
        <f>IF($C302="",0,MAX(0,$AT302-$AG302))</f>
        <v/>
      </c>
      <c r="AV302">
        <f>IF($C302="",0,MAX(0,$AU302-$AH302))</f>
        <v/>
      </c>
      <c r="AW302">
        <f>IF($C302="",0,MAX(0,$AV302-$AI302))</f>
        <v/>
      </c>
      <c r="AX302">
        <f>IF($C302="",0,MAX(0,MAX(0,N($L302))+IF($P302=V$3,$R302,0)+IF($S302=V$3,$U302,0)-$V302))</f>
        <v/>
      </c>
      <c r="AY302">
        <f>IF($C302="",0,MAX(0,$AX302+IF($P302=W$3,$R302,0)+IF($S302=W$3,$U302,0)-$W302))</f>
        <v/>
      </c>
      <c r="AZ302">
        <f>IF($C302="",0,MAX(0,$AY302+IF($P302=X$3,$R302,0)+IF($S302=X$3,$U302,0)-$X302))</f>
        <v/>
      </c>
      <c r="BA302">
        <f>IF($C302="",0,MAX(0,$AZ302+IF($P302=Y$3,$R302,0)+IF($S302=Y$3,$U302,0)-$Y302))</f>
        <v/>
      </c>
      <c r="BB302">
        <f>IF($C302="",0,MAX(0,$BA302+IF($P302=Z$3,$R302,0)+IF($S302=Z$3,$U302,0)-$Z302))</f>
        <v/>
      </c>
      <c r="BC302">
        <f>IF($C302="",0,MAX(0,$BB302+IF($P302=AA$3,$R302,0)+IF($S302=AA$3,$U302,0)-$AA302))</f>
        <v/>
      </c>
      <c r="BD302">
        <f>IF($C302="",0,MAX(0,$BC302+IF($P302=AB$3,$R302,0)+IF($S302=AB$3,$U302,0)-$AB302))</f>
        <v/>
      </c>
      <c r="BE302">
        <f>IF($C302="",0,MAX(0,$BD302+IF($P302=AC$3,$R302,0)+IF($S302=AC$3,$U302,0)-$AC302))</f>
        <v/>
      </c>
      <c r="BF302">
        <f>IF($C302="",0,MAX(0,$BE302+IF($P302=AD$3,$R302,0)+IF($S302=AD$3,$U302,0)-$AD302))</f>
        <v/>
      </c>
      <c r="BG302">
        <f>IF($C302="",0,MAX(0,$BF302+IF($P302=AE$3,$R302,0)+IF($S302=AE$3,$U302,0)-$AE302))</f>
        <v/>
      </c>
      <c r="BH302">
        <f>IF($C302="",0,MAX(0,$BG302+IF($P302=AF$3,$R302,0)+IF($S302=AF$3,$U302,0)-$AF302))</f>
        <v/>
      </c>
      <c r="BI302">
        <f>IF($C302="",0,MAX(0,$BH302+IF($P302=AG$3,$R302,0)+IF($S302=AG$3,$U302,0)-$AG302))</f>
        <v/>
      </c>
      <c r="BJ302">
        <f>IF($C302="",0,MAX(0,$BI302+IF($P302=AH$3,$R302,0)+IF($S302=AH$3,$U302,0)-$AH302))</f>
        <v/>
      </c>
      <c r="BK302">
        <f>IF($C302="",0,MAX(0,$BJ302+IF($P302=AI$3,$R302,0)+IF($S302=AI$3,$U302,0)-$AI302))</f>
        <v/>
      </c>
      <c r="BL302">
        <f>IF($C302="",99,IF(AND($AX302&lt;1,V$3&gt;=MAX(N($P302),N($S302))),0,99))</f>
        <v/>
      </c>
      <c r="BM302">
        <f>IF($C302="",99,IF(AND($AY302&lt;1,W$3&gt;=MAX(N($P302),N($S302))),1,99))</f>
        <v/>
      </c>
      <c r="BN302">
        <f>IF($C302="",99,IF(AND($AZ302&lt;1,X$3&gt;=MAX(N($P302),N($S302))),2,99))</f>
        <v/>
      </c>
      <c r="BO302">
        <f>IF($C302="",99,IF(AND($BA302&lt;1,Y$3&gt;=MAX(N($P302),N($S302))),3,99))</f>
        <v/>
      </c>
      <c r="BP302">
        <f>IF($C302="",99,IF(AND($BB302&lt;1,Z$3&gt;=MAX(N($P302),N($S302))),4,99))</f>
        <v/>
      </c>
      <c r="BQ302">
        <f>IF($C302="",99,IF(AND($BC302&lt;1,AA$3&gt;=MAX(N($P302),N($S302))),5,99))</f>
        <v/>
      </c>
      <c r="BR302">
        <f>IF($C302="",99,IF(AND($BD302&lt;1,AB$3&gt;=MAX(N($P302),N($S302))),6,99))</f>
        <v/>
      </c>
      <c r="BS302">
        <f>IF($C302="",99,IF(AND($BE302&lt;1,AC$3&gt;=MAX(N($P302),N($S302))),7,99))</f>
        <v/>
      </c>
      <c r="BT302">
        <f>IF($C302="",99,IF(AND($BF302&lt;1,AD$3&gt;=MAX(N($P302),N($S302))),8,99))</f>
        <v/>
      </c>
      <c r="BU302">
        <f>IF($C302="",99,IF(AND($BG302&lt;1,AE$3&gt;=MAX(N($P302),N($S302))),9,99))</f>
        <v/>
      </c>
      <c r="BV302">
        <f>IF($C302="",99,IF(AND($BH302&lt;1,AF$3&gt;=MAX(N($P302),N($S302))),10,99))</f>
        <v/>
      </c>
      <c r="BW302">
        <f>IF($C302="",99,IF(AND($BI302&lt;1,AG$3&gt;=MAX(N($P302),N($S302))),11,99))</f>
        <v/>
      </c>
      <c r="BX302">
        <f>IF($C302="",99,IF(AND($BJ302&lt;1,AH$3&gt;=MAX(N($P302),N($S302))),12,99))</f>
        <v/>
      </c>
      <c r="BY302">
        <f>IF($C302="",99,IF(AND($BK302&lt;1,AI$3&gt;=MAX(N($P302),N($S302))),13,99))</f>
        <v/>
      </c>
      <c r="BZ302">
        <f>IF(OR($C302="",$M302=""),"",COUNTIF($AJ302:$AW302,"&gt;=1"))</f>
        <v/>
      </c>
      <c r="CA302" s="90">
        <f>IF($BZ302="","",IF($BZ302&gt;=14,"",'設定'!$C$6+$BZ302))</f>
        <v/>
      </c>
      <c r="CB302">
        <f>IF(OR($C302="",$M302=""),"",MIN($BL302:$BY302))</f>
        <v/>
      </c>
      <c r="CC302" s="90">
        <f>IF($CB302="","",IF($CB302&gt;=99,"",'設定'!$C$6+$CB302))</f>
        <v/>
      </c>
      <c r="CD302">
        <f>IF(OR($C302="",$M302=""),"",AVERAGE($V302:$AI302))</f>
        <v/>
      </c>
      <c r="CE302">
        <f>IF($C302="","",IFERROR(IF(MATCH(IF(ISNUMBER($P302),$P302,'設定'!$C$6+N('設定'!$C$7)),$V$3:$AI$3,0)=1,MAX(0,N($L302)),INDEX($AJ302:$AW302,MATCH(IF(ISNUMBER($P302),$P302,'設定'!$C$6+N('設定'!$C$7)),$V$3:$AI$3,0)-1)),""))</f>
        <v/>
      </c>
      <c r="CF302">
        <f>IF(OR($C302="",$O302="",$CE302=""),"",IF($O302-$CE302&lt;=0,0,ROUNDUP(($O302-$CE302)/$G302,0)))</f>
        <v/>
      </c>
      <c r="CG302">
        <f>IF(OR($C302="",$CF302="",NOT(ISNUMBER($Q302))),0,MAX(0,$Q302-$CF302))</f>
        <v/>
      </c>
      <c r="CH302">
        <f>IF(OR($C302="",$O302="",$U302=0),0,IFERROR(ROUNDUP(MAX(0,IF(MATCH($S302,$V$3:$AI$3,0)=1,MAX(0,N($L302)),INDEX($AX302:$BK302,MATCH($S302,$V$3:$AI$3,0)-1))+$U302-$O302)/$G302,0),0))</f>
        <v/>
      </c>
      <c r="CI302">
        <f>IF($C302="","",IF(AND($P302="",$Q302=""),"",IF($P302="","⚠ 入庫日を ▼ から選んでください",IF(NOT(ISNUMBER($P302)),"⚠ 入庫日は ▼ から選んでください",IF($P302&lt;N('設定'!$C$6),"⚠ 入庫日が過去です（もう在庫に入っています）→ 消してください",IF($P302&gt;N('設定'!$C$6)+13,"⚠ 入庫日が14日より先です",IF(N($Q302)&lt;=0,"⚠ 入庫数を入れてください",IF($CG302&gt;0,"⚠ 目安より "&amp;$CG302&amp;" 多い（定数を超える）→ 減らす",""))))))))</f>
        <v/>
      </c>
      <c r="CJ302">
        <f>IF($C302="","",IF(AND($S302="",$T302=""),"",IF($S302="","⚠ 2便目：入庫日を ▼ から選んでください",IF(NOT(ISNUMBER($S302)),"⚠ 2便目：入庫日は ▼ から選んでください",IF($S302&lt;N('設定'!$C$6),"⚠ 2便目：入庫日が過去です（もう在庫に入っています）→ 消してください",IF($S302&gt;N('設定'!$C$6)+13,"⚠ 2便目：入庫日が14日より先です",IF(N($T302)&lt;=0,"⚠ 2便目：入庫数を入れてください",IF($CH302&gt;0,"⚠ 2便目：定数を "&amp;$CH302&amp;" ケース超える → 減らす",""))))))))</f>
        <v/>
      </c>
      <c r="CK302">
        <f>IF(AND($CI302="",N($Q302)&gt;0,ISNUMBER($P302)),1,0)</f>
        <v/>
      </c>
      <c r="CL302">
        <f>IF(AND($CJ302="",N($T302)&gt;0,ISNUMBER($S302)),1,0)</f>
        <v/>
      </c>
      <c r="CM302">
        <f>IF(OR($CK302=1,$CL302=1),1,0)</f>
        <v/>
      </c>
      <c r="CN302">
        <f>IF($C302="",0,($CK302*$R302+$CL302*$U302)*N($H302))</f>
        <v/>
      </c>
      <c r="CO302">
        <f>IF($C302="","",IF($CC302="","入庫後は 14日以上もつ",IF($CC302-N('設定'!$C$7)&lt;='設定'!$C$6,"入庫後も "&amp;TEXT($CC302,"m/d")&amp;"("&amp;CHOOSE(WEEKDAY($CC302),"日","月","火","水","木","金","土")&amp;")"&amp;" に切れる　もう1便を至急発注","入庫後も "&amp;TEXT($CC302,"m/d")&amp;"("&amp;CHOOSE(WEEKDAY($CC302),"日","月","火","水","木","金","土")&amp;")"&amp;" に切れる　"&amp;TEXT($CC302-N('設定'!$C$7),"m/d")&amp;"("&amp;CHOOSE(WEEKDAY($CC302-N('設定'!$C$7)),"日","月","火","水","木","金","土")&amp;")"&amp;" までに次を発注")))</f>
        <v/>
      </c>
      <c r="CP302">
        <f>IF($C302="","",IF('設定'!$C$6="","？ ①在庫を貼る に今日のCSVが貼られていない",IF($CS302=1,"－ 今日のCSVに無い（終売？）",IF($L302&lt;0,"● 在庫がマイナス　数えて「数えた在庫」に入れる",IF($L302=0,"● 在庫なし　至急発注",IF($M302="","？ 減り数が未設定（商品マスタ）",IF($B$3=0,"？ 動員が未入力（動員を入れる）",IF($CA302="","○ 14日以上もつ",IF($BZ302&lt;N('設定'!$C$7),"● "&amp;TEXT($CA302,"m/d")&amp;"("&amp;CHOOSE(WEEKDAY($CA302),"日","月","火","水","木","金","土")&amp;")"&amp;" に切れる　至急発注",IF($BZ302=N('設定'!$C$7),"● "&amp;TEXT($CA302,"m/d")&amp;"("&amp;CHOOSE(WEEKDAY($CA302),"日","月","火","水","木","金","土")&amp;")"&amp;" に切れる　今日発注","△ "&amp;TEXT($CA302,"m/d")&amp;"("&amp;CHOOSE(WEEKDAY($CA302),"日","月","火","水","木","金","土")&amp;")"&amp;" に切れる　"&amp;TEXT($CA302-N('設定'!$C$7),"m/d")&amp;"("&amp;CHOOSE(WEEKDAY($CA302-N('設定'!$C$7)),"日","月","火","水","木","金","土")&amp;")"&amp;" までに発注"))))))))))</f>
        <v/>
      </c>
      <c r="CQ302">
        <f>IF($C302="","",IF(AND($P302="",$Q302="",$S302="",$T302=""),"",IF(AND($P302="",$Q302=""),"⚠ 先に1便目（左の入庫日・入庫数）に入れてください",IF($CI302&lt;&gt;"",$CI302,IF($CJ302&lt;&gt;"",$CJ302,IF($M302="","？ 減り数が未設定（発注書には載ります）",IF($B$3=0,"？ 動員が未入力（発注書には載ります）",IF(AND($CA302&lt;&gt;"",$P302&gt;$CA302),IF($P302&gt;'設定'!$C$6+N('設定'!$C$7),"● "&amp;TEXT($P302,"m/d")&amp;"("&amp;CHOOSE(WEEKDAY($P302),"日","月","火","水","木","金","土")&amp;")"&amp;" の入庫では間に合わない（"&amp;TEXT($CA302,"m/d")&amp;"("&amp;CHOOSE(WEEKDAY($CA302),"日","月","火","水","木","金","土")&amp;")"&amp;" に切れる）　入庫日を早める","△ 欠品 "&amp;TEXT($CA302,"m/d")&amp;"("&amp;CHOOSE(WEEKDAY($CA302),"日","月","火","水","木","金","土")&amp;")"&amp;"〜"&amp;TEXT($P302-1,"m/d")&amp;"("&amp;CHOOSE(WEEKDAY($P302-1),"日","月","火","水","木","金","土")&amp;")"&amp;"　"&amp;$CO302),IF($CC302="","○ "&amp;TEXT($P302,"m/d")&amp;"("&amp;CHOOSE(WEEKDAY($P302),"日","月","火","水","木","金","土")&amp;")"&amp;" 入庫で 14日以上もつ",IF($CC302-N('設定'!$C$7)&lt;='設定'!$C$6,"● 入庫しても "&amp;TEXT($CC302,"m/d")&amp;"("&amp;CHOOSE(WEEKDAY($CC302),"日","月","火","水","木","金","土")&amp;")"&amp;" に切れる　もう1便を至急発注（2便目に入れる）","△ 入庫しても "&amp;TEXT($CC302,"m/d")&amp;"("&amp;CHOOSE(WEEKDAY($CC302),"日","月","火","水","木","金","土")&amp;")"&amp;" に切れる　"&amp;TEXT($CC302-N('設定'!$C$7),"m/d")&amp;"("&amp;CHOOSE(WEEKDAY($CC302-N('設定'!$C$7)),"日","月","火","水","木","金","土")&amp;")"&amp;" までに次を発注（2便目に入れる）"))))))))))</f>
        <v/>
      </c>
      <c r="CR302">
        <f>IF($C302="","",IF($G302&gt;1,"ｹｰｽ("&amp;$G302&amp;"入)","個"))</f>
        <v/>
      </c>
      <c r="CS302">
        <f>IF($C302="",0,IF(COUNTIFS('①在庫を貼る'!$V$6:$V$10005,'設定'!$C$4,'①在庫を貼る'!$W$6:$W$10005,$C302)=0,1,0))</f>
        <v/>
      </c>
      <c r="CT302">
        <f>IF(AND($CK302=1,OR('③発注書'!$C$4="すべて",'③発注書'!$C$4="",$F302='③発注書'!$C$4)),N($CT301)+1,N($CT301))</f>
        <v/>
      </c>
      <c r="CU302">
        <f>IF(AND($CL302=1,OR('③発注書'!$C$4="すべて",'③発注書'!$C$4="",$F302='③発注書'!$C$4)),N($CU301)+1,N($CU301))</f>
        <v/>
      </c>
      <c r="CV302">
        <f>IF($C302="",0,IF(COUNTIFS('①在庫を貼る'!$V$6:$V$10005,'設定'!$C$4,'①在庫を貼る'!$W$6:$W$10005,$C302)&gt;0,1,0))</f>
        <v/>
      </c>
      <c r="CW302">
        <f>IF($C302="",0,IF(COUNTIFS('月1回_1ヶ月前の在庫'!$V$6:$V$10005,'設定'!$C$4,'月1回_1ヶ月前の在庫'!$W$6:$W$10005,$C302)&gt;0,1,0))</f>
        <v/>
      </c>
      <c r="CX302">
        <f>IF($C302="",0,IF(COUNTIFS('月1回_2ヶ月前の在庫'!$V$6:$V$10005,'設定'!$C$4,'月1回_2ヶ月前の在庫'!$W$6:$W$10005,$C302)&gt;0,1,0))</f>
        <v/>
      </c>
      <c r="CY302">
        <f>IF(OR($C302="",'設定'!$C$12=""),"",IF('設定'!$C$13="",IF(AND($CV302=1,$CW302=0),"新商品（今月から）",IF(AND($CV302=0,$CW302=1),"終売（今月から）","")),IF(AND($CV302=1,$CW302=0,$CX302=0),"新商品（今月から）",IF(AND($CV302=1,$CW302=1,$CX302=0),"新商品（先月から）",IF(AND($CV302=0,$CW302=1,$CX302=1),"終売（今月から）",IF(AND($CV302=0,$CW302=0,$CX302=1),"終売（先月から）",IF(AND($CV302=1,$CW302=0,$CX302=1),"復活（先月は無し）","")))))))</f>
        <v/>
      </c>
    </row>
    <row r="303">
      <c r="B303">
        <f>IF(298&lt;='設定'!$C$11,298,"")</f>
        <v/>
      </c>
      <c r="C303">
        <f>IF($B303="","",IF($B303&lt;='設定'!$C$20,INDEX('商品マスタ'!$B$6:$B$1005,MATCH($B303,'商品マスタ'!$M$6:$M$1005,0)),IF($B303&lt;='設定'!$C$20+'設定'!$C$17,INDEX('①在庫を貼る'!$W$6:$W$10005,MATCH($B303-'設定'!$C$20,'①在庫を貼る'!$U$6:$U$10005,0)),IF($B303&lt;='設定'!$C$20+'設定'!$C$17+'設定'!$C$18,INDEX('月1回_1ヶ月前の在庫'!$W$6:$W$10005,MATCH($B303-'設定'!$C$20-'設定'!$C$17,'月1回_1ヶ月前の在庫'!$U$6:$U$10005,0)),INDEX('月1回_2ヶ月前の在庫'!$W$6:$W$10005,MATCH($B303-'設定'!$C$20-'設定'!$C$17-'設定'!$C$18,'月1回_2ヶ月前の在庫'!$U$6:$U$10005,0))))))</f>
        <v/>
      </c>
      <c r="D303">
        <f>IF($C303="","",IFERROR(IF(INDEX('商品マスタ'!$C$6:$C$1005,MATCH($C303,'商品マスタ'!$B$6:$B$1005,0))="",IFERROR(INDEX('①在庫を貼る'!$J$6:$J$10005,MATCH($C303,'①在庫を貼る'!$W$6:$W$10005,0)),IFERROR(INDEX('月1回_1ヶ月前の在庫'!$J$6:$J$10005,MATCH($C303,'月1回_1ヶ月前の在庫'!$W$6:$W$10005,0)),IFERROR(INDEX('月1回_2ヶ月前の在庫'!$J$6:$J$10005,MATCH($C303,'月1回_2ヶ月前の在庫'!$W$6:$W$10005,0)),""))),INDEX('商品マスタ'!$C$6:$C$1005,MATCH($C303,'商品マスタ'!$B$6:$B$1005,0))),IFERROR(INDEX('①在庫を貼る'!$J$6:$J$10005,MATCH($C303,'①在庫を貼る'!$W$6:$W$10005,0)),IFERROR(INDEX('月1回_1ヶ月前の在庫'!$J$6:$J$10005,MATCH($C303,'月1回_1ヶ月前の在庫'!$W$6:$W$10005,0)),IFERROR(INDEX('月1回_2ヶ月前の在庫'!$J$6:$J$10005,MATCH($C303,'月1回_2ヶ月前の在庫'!$W$6:$W$10005,0)),"")))))</f>
        <v/>
      </c>
      <c r="E303">
        <f>IF($C303="","",IFERROR(IF(INDEX('商品マスタ'!$D$6:$D$1005,MATCH($C303,'商品マスタ'!$B$6:$B$1005,0))="",IFERROR(INDEX('①在庫を貼る'!$H$6:$H$10005,MATCH($C303,'①在庫を貼る'!$W$6:$W$10005,0)),IFERROR(INDEX('月1回_1ヶ月前の在庫'!$H$6:$H$10005,MATCH($C303,'月1回_1ヶ月前の在庫'!$W$6:$W$10005,0)),IFERROR(INDEX('月1回_2ヶ月前の在庫'!$H$6:$H$10005,MATCH($C303,'月1回_2ヶ月前の在庫'!$W$6:$W$10005,0)),""))),INDEX('商品マスタ'!$D$6:$D$1005,MATCH($C303,'商品マスタ'!$B$6:$B$1005,0))),IFERROR(INDEX('①在庫を貼る'!$H$6:$H$10005,MATCH($C303,'①在庫を貼る'!$W$6:$W$10005,0)),IFERROR(INDEX('月1回_1ヶ月前の在庫'!$H$6:$H$10005,MATCH($C303,'月1回_1ヶ月前の在庫'!$W$6:$W$10005,0)),IFERROR(INDEX('月1回_2ヶ月前の在庫'!$H$6:$H$10005,MATCH($C303,'月1回_2ヶ月前の在庫'!$W$6:$W$10005,0)),"")))))</f>
        <v/>
      </c>
      <c r="F303">
        <f>IF($C303="","",IFERROR(IF(INDEX('商品マスタ'!$E$6:$E$1005,MATCH($C303,'商品マスタ'!$B$6:$B$1005,0))="",IFERROR(INDEX('①在庫を貼る'!$E$6:$E$10005,MATCH($C303,'①在庫を貼る'!$W$6:$W$10005,0)),IFERROR(INDEX('月1回_1ヶ月前の在庫'!$E$6:$E$10005,MATCH($C303,'月1回_1ヶ月前の在庫'!$W$6:$W$10005,0)),IFERROR(INDEX('月1回_2ヶ月前の在庫'!$E$6:$E$10005,MATCH($C303,'月1回_2ヶ月前の在庫'!$W$6:$W$10005,0)),""))),INDEX('商品マスタ'!$E$6:$E$1005,MATCH($C303,'商品マスタ'!$B$6:$B$1005,0))),IFERROR(INDEX('①在庫を貼る'!$E$6:$E$10005,MATCH($C303,'①在庫を貼る'!$W$6:$W$10005,0)),IFERROR(INDEX('月1回_1ヶ月前の在庫'!$E$6:$E$10005,MATCH($C303,'月1回_1ヶ月前の在庫'!$W$6:$W$10005,0)),IFERROR(INDEX('月1回_2ヶ月前の在庫'!$E$6:$E$10005,MATCH($C303,'月1回_2ヶ月前の在庫'!$W$6:$W$10005,0)),"")))))</f>
        <v/>
      </c>
      <c r="G303">
        <f>IF($C303="","",MAX(1,N(IFERROR(IF(INDEX('商品マスタ'!$F$6:$F$1005,MATCH($C303,'商品マスタ'!$B$6:$B$1005,0))="",IF(COUNTIFS('①在庫を貼る'!$V$6:$V$10005,'設定'!$C$4,'①在庫を貼る'!$W$6:$W$10005,$C303)&gt;0,SUMIFS('①在庫を貼る'!$K$6:$K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K$6:$K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K$6:$K$10005,'月1回_2ヶ月前の在庫'!$V$6:$V$10005,'設定'!$C$4,'月1回_2ヶ月前の在庫'!$W$6:$W$10005,$C303)/COUNTIFS('月1回_2ヶ月前の在庫'!$V$6:$V$10005,'設定'!$C$4,'月1回_2ヶ月前の在庫'!$W$6:$W$10005,$C303),0))),INDEX('商品マスタ'!$F$6:$F$1005,MATCH($C303,'商品マスタ'!$B$6:$B$1005,0))),IF(COUNTIFS('①在庫を貼る'!$V$6:$V$10005,'設定'!$C$4,'①在庫を貼る'!$W$6:$W$10005,$C303)&gt;0,SUMIFS('①在庫を貼る'!$K$6:$K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K$6:$K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K$6:$K$10005,'月1回_2ヶ月前の在庫'!$V$6:$V$10005,'設定'!$C$4,'月1回_2ヶ月前の在庫'!$W$6:$W$10005,$C303)/COUNTIFS('月1回_2ヶ月前の在庫'!$V$6:$V$10005,'設定'!$C$4,'月1回_2ヶ月前の在庫'!$W$6:$W$10005,$C303),0)))))))</f>
        <v/>
      </c>
      <c r="H303">
        <f>IF($C303="","",N(IFERROR(IF(INDEX('商品マスタ'!$G$6:$G$1005,MATCH($C303,'商品マスタ'!$B$6:$B$1005,0))="",IF(COUNTIFS('①在庫を貼る'!$V$6:$V$10005,'設定'!$C$4,'①在庫を貼る'!$W$6:$W$10005,$C303)&gt;0,SUMIFS('①在庫を貼る'!$Q$6:$Q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Q$6:$Q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Q$6:$Q$10005,'月1回_2ヶ月前の在庫'!$V$6:$V$10005,'設定'!$C$4,'月1回_2ヶ月前の在庫'!$W$6:$W$10005,$C303)/COUNTIFS('月1回_2ヶ月前の在庫'!$V$6:$V$10005,'設定'!$C$4,'月1回_2ヶ月前の在庫'!$W$6:$W$10005,$C303),0))),INDEX('商品マスタ'!$G$6:$G$1005,MATCH($C303,'商品マスタ'!$B$6:$B$1005,0))),IF(COUNTIFS('①在庫を貼る'!$V$6:$V$10005,'設定'!$C$4,'①在庫を貼る'!$W$6:$W$10005,$C303)&gt;0,SUMIFS('①在庫を貼る'!$Q$6:$Q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Q$6:$Q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Q$6:$Q$10005,'月1回_2ヶ月前の在庫'!$V$6:$V$10005,'設定'!$C$4,'月1回_2ヶ月前の在庫'!$W$6:$W$10005,$C303)/COUNTIFS('月1回_2ヶ月前の在庫'!$V$6:$V$10005,'設定'!$C$4,'月1回_2ヶ月前の在庫'!$W$6:$W$10005,$C303),0))))))</f>
        <v/>
      </c>
      <c r="I303">
        <f>IF($C303="","",IF(COUNTIFS('①在庫を貼る'!$V$6:$V$10005,'設定'!$C$4,'①在庫を貼る'!$W$6:$W$10005,$C303)=0,"",SUMIFS('①在庫を貼る'!$N$6:$N$10005,'①在庫を貼る'!$V$6:$V$10005,'設定'!$C$4,'①在庫を貼る'!$W$6:$W$10005,$C303)))</f>
        <v/>
      </c>
      <c r="J303">
        <f>IF($C303="","",IF('②発注する'!$AD307="","",'②発注する'!$AD307))</f>
        <v/>
      </c>
      <c r="K303" s="90">
        <f>IF($C303="","",IF('②発注する'!$AE307="","",'②発注する'!$AE307))</f>
        <v/>
      </c>
      <c r="L303">
        <f>IF($C303="","",IF(AND(ISNUMBER($J303),ISNUMBER($K303),$K303&gt;='設定'!$C$6),$J303,N($I303)))</f>
        <v/>
      </c>
      <c r="M303">
        <f>IF($C303="","",IFERROR(IF(N(INDEX('商品マスタ'!$J$6:$J$1005,MATCH($C303,'商品マスタ'!$B$6:$B$1005,0)))&gt;0,INDEX('商品マスタ'!$J$6:$J$1005,MATCH($C303,'商品マスタ'!$B$6:$B$1005,0)),""),""))</f>
        <v/>
      </c>
      <c r="N303">
        <f>IF($C303="","",IFERROR(IF(N(INDEX('商品マスタ'!$H$6:$H$1005,MATCH($C303,'商品マスタ'!$B$6:$B$1005,0)))&gt;0,INDEX('商品マスタ'!$H$6:$H$1005,MATCH($C303,'商品マスタ'!$B$6:$B$1005,0)),""),""))</f>
        <v/>
      </c>
      <c r="O303">
        <f>IF($C303="","",IF($N303&lt;&gt;"",$N303*$G303,IF(N(IF(COUNTIFS('①在庫を貼る'!$V$6:$V$10005,'設定'!$C$4,'①在庫を貼る'!$W$6:$W$10005,$C303)&gt;0,SUMIFS('①在庫を貼る'!$O$6:$O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O$6:$O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O$6:$O$10005,'月1回_2ヶ月前の在庫'!$V$6:$V$10005,'設定'!$C$4,'月1回_2ヶ月前の在庫'!$W$6:$W$10005,$C303)/COUNTIFS('月1回_2ヶ月前の在庫'!$V$6:$V$10005,'設定'!$C$4,'月1回_2ヶ月前の在庫'!$W$6:$W$10005,$C303),0))))&gt;0,N(IF(COUNTIFS('①在庫を貼る'!$V$6:$V$10005,'設定'!$C$4,'①在庫を貼る'!$W$6:$W$10005,$C303)&gt;0,SUMIFS('①在庫を貼る'!$O$6:$O$10005,'①在庫を貼る'!$V$6:$V$10005,'設定'!$C$4,'①在庫を貼る'!$W$6:$W$10005,$C303)/COUNTIFS('①在庫を貼る'!$V$6:$V$10005,'設定'!$C$4,'①在庫を貼る'!$W$6:$W$10005,$C303),IF(COUNTIFS('月1回_1ヶ月前の在庫'!$V$6:$V$10005,'設定'!$C$4,'月1回_1ヶ月前の在庫'!$W$6:$W$10005,$C303)&gt;0,SUMIFS('月1回_1ヶ月前の在庫'!$O$6:$O$10005,'月1回_1ヶ月前の在庫'!$V$6:$V$10005,'設定'!$C$4,'月1回_1ヶ月前の在庫'!$W$6:$W$10005,$C303)/COUNTIFS('月1回_1ヶ月前の在庫'!$V$6:$V$10005,'設定'!$C$4,'月1回_1ヶ月前の在庫'!$W$6:$W$10005,$C303),IF(COUNTIFS('月1回_2ヶ月前の在庫'!$V$6:$V$10005,'設定'!$C$4,'月1回_2ヶ月前の在庫'!$W$6:$W$10005,$C303)&gt;0,SUMIFS('月1回_2ヶ月前の在庫'!$O$6:$O$10005,'月1回_2ヶ月前の在庫'!$V$6:$V$10005,'設定'!$C$4,'月1回_2ヶ月前の在庫'!$W$6:$W$10005,$C303)/COUNTIFS('月1回_2ヶ月前の在庫'!$V$6:$V$10005,'設定'!$C$4,'月1回_2ヶ月前の在庫'!$W$6:$W$10005,$C303),0)))),"")))</f>
        <v/>
      </c>
      <c r="P303" s="90">
        <f>IF($C303="","",IF('②発注する'!$I307="","",'②発注する'!$I307))</f>
        <v/>
      </c>
      <c r="Q303">
        <f>IF($C303="","",IF('②発注する'!$J307="","",'②発注する'!$J307))</f>
        <v/>
      </c>
      <c r="R303">
        <f>IF($C303="",0,IF(AND(ISNUMBER($P303),ISNUMBER($Q303)),MAX(0,$Q303)*$G303,0))</f>
        <v/>
      </c>
      <c r="S303" s="90">
        <f>IF($C303="","",IF('②発注する'!$M307="","",'②発注する'!$M307))</f>
        <v/>
      </c>
      <c r="T303">
        <f>IF($C303="","",IF('②発注する'!$N307="","",'②発注する'!$N307))</f>
        <v/>
      </c>
      <c r="U303">
        <f>IF($C303="",0,IF(AND(ISNUMBER($S303),ISNUMBER($T303)),MAX(0,$T303)*$G303,0))</f>
        <v/>
      </c>
      <c r="V303">
        <f>IF($C303="",0,IF($M303="",0,MAX(0,$M303)*MAX(0,V$4)/100))</f>
        <v/>
      </c>
      <c r="W303">
        <f>IF($C303="",0,IF($M303="",0,MAX(0,$M303)*MAX(0,W$4)/100))</f>
        <v/>
      </c>
      <c r="X303">
        <f>IF($C303="",0,IF($M303="",0,MAX(0,$M303)*MAX(0,X$4)/100))</f>
        <v/>
      </c>
      <c r="Y303">
        <f>IF($C303="",0,IF($M303="",0,MAX(0,$M303)*MAX(0,Y$4)/100))</f>
        <v/>
      </c>
      <c r="Z303">
        <f>IF($C303="",0,IF($M303="",0,MAX(0,$M303)*MAX(0,Z$4)/100))</f>
        <v/>
      </c>
      <c r="AA303">
        <f>IF($C303="",0,IF($M303="",0,MAX(0,$M303)*MAX(0,AA$4)/100))</f>
        <v/>
      </c>
      <c r="AB303">
        <f>IF($C303="",0,IF($M303="",0,MAX(0,$M303)*MAX(0,AB$4)/100))</f>
        <v/>
      </c>
      <c r="AC303">
        <f>IF($C303="",0,IF($M303="",0,MAX(0,$M303)*MAX(0,AC$4)/100))</f>
        <v/>
      </c>
      <c r="AD303">
        <f>IF($C303="",0,IF($M303="",0,MAX(0,$M303)*MAX(0,AD$4)/100))</f>
        <v/>
      </c>
      <c r="AE303">
        <f>IF($C303="",0,IF($M303="",0,MAX(0,$M303)*MAX(0,AE$4)/100))</f>
        <v/>
      </c>
      <c r="AF303">
        <f>IF($C303="",0,IF($M303="",0,MAX(0,$M303)*MAX(0,AF$4)/100))</f>
        <v/>
      </c>
      <c r="AG303">
        <f>IF($C303="",0,IF($M303="",0,MAX(0,$M303)*MAX(0,AG$4)/100))</f>
        <v/>
      </c>
      <c r="AH303">
        <f>IF($C303="",0,IF($M303="",0,MAX(0,$M303)*MAX(0,AH$4)/100))</f>
        <v/>
      </c>
      <c r="AI303">
        <f>IF($C303="",0,IF($M303="",0,MAX(0,$M303)*MAX(0,AI$4)/100))</f>
        <v/>
      </c>
      <c r="AJ303">
        <f>IF($C303="",0,MAX(0,MAX(0,N($L303))-$V303))</f>
        <v/>
      </c>
      <c r="AK303">
        <f>IF($C303="",0,MAX(0,$AJ303-$W303))</f>
        <v/>
      </c>
      <c r="AL303">
        <f>IF($C303="",0,MAX(0,$AK303-$X303))</f>
        <v/>
      </c>
      <c r="AM303">
        <f>IF($C303="",0,MAX(0,$AL303-$Y303))</f>
        <v/>
      </c>
      <c r="AN303">
        <f>IF($C303="",0,MAX(0,$AM303-$Z303))</f>
        <v/>
      </c>
      <c r="AO303">
        <f>IF($C303="",0,MAX(0,$AN303-$AA303))</f>
        <v/>
      </c>
      <c r="AP303">
        <f>IF($C303="",0,MAX(0,$AO303-$AB303))</f>
        <v/>
      </c>
      <c r="AQ303">
        <f>IF($C303="",0,MAX(0,$AP303-$AC303))</f>
        <v/>
      </c>
      <c r="AR303">
        <f>IF($C303="",0,MAX(0,$AQ303-$AD303))</f>
        <v/>
      </c>
      <c r="AS303">
        <f>IF($C303="",0,MAX(0,$AR303-$AE303))</f>
        <v/>
      </c>
      <c r="AT303">
        <f>IF($C303="",0,MAX(0,$AS303-$AF303))</f>
        <v/>
      </c>
      <c r="AU303">
        <f>IF($C303="",0,MAX(0,$AT303-$AG303))</f>
        <v/>
      </c>
      <c r="AV303">
        <f>IF($C303="",0,MAX(0,$AU303-$AH303))</f>
        <v/>
      </c>
      <c r="AW303">
        <f>IF($C303="",0,MAX(0,$AV303-$AI303))</f>
        <v/>
      </c>
      <c r="AX303">
        <f>IF($C303="",0,MAX(0,MAX(0,N($L303))+IF($P303=V$3,$R303,0)+IF($S303=V$3,$U303,0)-$V303))</f>
        <v/>
      </c>
      <c r="AY303">
        <f>IF($C303="",0,MAX(0,$AX303+IF($P303=W$3,$R303,0)+IF($S303=W$3,$U303,0)-$W303))</f>
        <v/>
      </c>
      <c r="AZ303">
        <f>IF($C303="",0,MAX(0,$AY303+IF($P303=X$3,$R303,0)+IF($S303=X$3,$U303,0)-$X303))</f>
        <v/>
      </c>
      <c r="BA303">
        <f>IF($C303="",0,MAX(0,$AZ303+IF($P303=Y$3,$R303,0)+IF($S303=Y$3,$U303,0)-$Y303))</f>
        <v/>
      </c>
      <c r="BB303">
        <f>IF($C303="",0,MAX(0,$BA303+IF($P303=Z$3,$R303,0)+IF($S303=Z$3,$U303,0)-$Z303))</f>
        <v/>
      </c>
      <c r="BC303">
        <f>IF($C303="",0,MAX(0,$BB303+IF($P303=AA$3,$R303,0)+IF($S303=AA$3,$U303,0)-$AA303))</f>
        <v/>
      </c>
      <c r="BD303">
        <f>IF($C303="",0,MAX(0,$BC303+IF($P303=AB$3,$R303,0)+IF($S303=AB$3,$U303,0)-$AB303))</f>
        <v/>
      </c>
      <c r="BE303">
        <f>IF($C303="",0,MAX(0,$BD303+IF($P303=AC$3,$R303,0)+IF($S303=AC$3,$U303,0)-$AC303))</f>
        <v/>
      </c>
      <c r="BF303">
        <f>IF($C303="",0,MAX(0,$BE303+IF($P303=AD$3,$R303,0)+IF($S303=AD$3,$U303,0)-$AD303))</f>
        <v/>
      </c>
      <c r="BG303">
        <f>IF($C303="",0,MAX(0,$BF303+IF($P303=AE$3,$R303,0)+IF($S303=AE$3,$U303,0)-$AE303))</f>
        <v/>
      </c>
      <c r="BH303">
        <f>IF($C303="",0,MAX(0,$BG303+IF($P303=AF$3,$R303,0)+IF($S303=AF$3,$U303,0)-$AF303))</f>
        <v/>
      </c>
      <c r="BI303">
        <f>IF($C303="",0,MAX(0,$BH303+IF($P303=AG$3,$R303,0)+IF($S303=AG$3,$U303,0)-$AG303))</f>
        <v/>
      </c>
      <c r="BJ303">
        <f>IF($C303="",0,MAX(0,$BI303+IF($P303=AH$3,$R303,0)+IF($S303=AH$3,$U303,0)-$AH303))</f>
        <v/>
      </c>
      <c r="BK303">
        <f>IF($C303="",0,MAX(0,$BJ303+IF($P303=AI$3,$R303,0)+IF($S303=AI$3,$U303,0)-$AI303))</f>
        <v/>
      </c>
      <c r="BL303">
        <f>IF($C303="",99,IF(AND($AX303&lt;1,V$3&gt;=MAX(N($P303),N($S303))),0,99))</f>
        <v/>
      </c>
      <c r="BM303">
        <f>IF($C303="",99,IF(AND($AY303&lt;1,W$3&gt;=MAX(N($P303),N($S303))),1,99))</f>
        <v/>
      </c>
      <c r="BN303">
        <f>IF($C303="",99,IF(AND($AZ303&lt;1,X$3&gt;=MAX(N($P303),N($S303))),2,99))</f>
        <v/>
      </c>
      <c r="BO303">
        <f>IF($C303="",99,IF(AND($BA303&lt;1,Y$3&gt;=MAX(N($P303),N($S303))),3,99))</f>
        <v/>
      </c>
      <c r="BP303">
        <f>IF($C303="",99,IF(AND($BB303&lt;1,Z$3&gt;=MAX(N($P303),N($S303))),4,99))</f>
        <v/>
      </c>
      <c r="BQ303">
        <f>IF($C303="",99,IF(AND($BC303&lt;1,AA$3&gt;=MAX(N($P303),N($S303))),5,99))</f>
        <v/>
      </c>
      <c r="BR303">
        <f>IF($C303="",99,IF(AND($BD303&lt;1,AB$3&gt;=MAX(N($P303),N($S303))),6,99))</f>
        <v/>
      </c>
      <c r="BS303">
        <f>IF($C303="",99,IF(AND($BE303&lt;1,AC$3&gt;=MAX(N($P303),N($S303))),7,99))</f>
        <v/>
      </c>
      <c r="BT303">
        <f>IF($C303="",99,IF(AND($BF303&lt;1,AD$3&gt;=MAX(N($P303),N($S303))),8,99))</f>
        <v/>
      </c>
      <c r="BU303">
        <f>IF($C303="",99,IF(AND($BG303&lt;1,AE$3&gt;=MAX(N($P303),N($S303))),9,99))</f>
        <v/>
      </c>
      <c r="BV303">
        <f>IF($C303="",99,IF(AND($BH303&lt;1,AF$3&gt;=MAX(N($P303),N($S303))),10,99))</f>
        <v/>
      </c>
      <c r="BW303">
        <f>IF($C303="",99,IF(AND($BI303&lt;1,AG$3&gt;=MAX(N($P303),N($S303))),11,99))</f>
        <v/>
      </c>
      <c r="BX303">
        <f>IF($C303="",99,IF(AND($BJ303&lt;1,AH$3&gt;=MAX(N($P303),N($S303))),12,99))</f>
        <v/>
      </c>
      <c r="BY303">
        <f>IF($C303="",99,IF(AND($BK303&lt;1,AI$3&gt;=MAX(N($P303),N($S303))),13,99))</f>
        <v/>
      </c>
      <c r="BZ303">
        <f>IF(OR($C303="",$M303=""),"",COUNTIF($AJ303:$AW303,"&gt;=1"))</f>
        <v/>
      </c>
      <c r="CA303" s="90">
        <f>IF($BZ303="","",IF($BZ303&gt;=14,"",'設定'!$C$6+$BZ303))</f>
        <v/>
      </c>
      <c r="CB303">
        <f>IF(OR($C303="",$M303=""),"",MIN($BL303:$BY303))</f>
        <v/>
      </c>
      <c r="CC303" s="90">
        <f>IF($CB303="","",IF($CB303&gt;=99,"",'設定'!$C$6+$CB303))</f>
        <v/>
      </c>
      <c r="CD303">
        <f>IF(OR($C303="",$M303=""),"",AVERAGE($V303:$AI303))</f>
        <v/>
      </c>
      <c r="CE303">
        <f>IF($C303="","",IFERROR(IF(MATCH(IF(ISNUMBER($P303),$P303,'設定'!$C$6+N('設定'!$C$7)),$V$3:$AI$3,0)=1,MAX(0,N($L303)),INDEX($AJ303:$AW303,MATCH(IF(ISNUMBER($P303),$P303,'設定'!$C$6+N('設定'!$C$7)),$V$3:$AI$3,0)-1)),""))</f>
        <v/>
      </c>
      <c r="CF303">
        <f>IF(OR($C303="",$O303="",$CE303=""),"",IF($O303-$CE303&lt;=0,0,ROUNDUP(($O303-$CE303)/$G303,0)))</f>
        <v/>
      </c>
      <c r="CG303">
        <f>IF(OR($C303="",$CF303="",NOT(ISNUMBER($Q303))),0,MAX(0,$Q303-$CF303))</f>
        <v/>
      </c>
      <c r="CH303">
        <f>IF(OR($C303="",$O303="",$U303=0),0,IFERROR(ROUNDUP(MAX(0,IF(MATCH($S303,$V$3:$AI$3,0)=1,MAX(0,N($L303)),INDEX($AX303:$BK303,MATCH($S303,$V$3:$AI$3,0)-1))+$U303-$O303)/$G303,0),0))</f>
        <v/>
      </c>
      <c r="CI303">
        <f>IF($C303="","",IF(AND($P303="",$Q303=""),"",IF($P303="","⚠ 入庫日を ▼ から選んでください",IF(NOT(ISNUMBER($P303)),"⚠ 入庫日は ▼ から選んでください",IF($P303&lt;N('設定'!$C$6),"⚠ 入庫日が過去です（もう在庫に入っています）→ 消してください",IF($P303&gt;N('設定'!$C$6)+13,"⚠ 入庫日が14日より先です",IF(N($Q303)&lt;=0,"⚠ 入庫数を入れてください",IF($CG303&gt;0,"⚠ 目安より "&amp;$CG303&amp;" 多い（定数を超える）→ 減らす",""))))))))</f>
        <v/>
      </c>
      <c r="CJ303">
        <f>IF($C303="","",IF(AND($S303="",$T303=""),"",IF($S303="","⚠ 2便目：入庫日を ▼ から選んでください",IF(NOT(ISNUMBER($S303)),"⚠ 2便目：入庫日は ▼ から選んでください",IF($S303&lt;N('設定'!$C$6),"⚠ 2便目：入庫日が過去です（もう在庫に入っています）→ 消してください",IF($S303&gt;N('設定'!$C$6)+13,"⚠ 2便目：入庫日が14日より先です",IF(N($T303)&lt;=0,"⚠ 2便目：入庫数を入れてください",IF($CH303&gt;0,"⚠ 2便目：定数を "&amp;$CH303&amp;" ケース超える → 減らす",""))))))))</f>
        <v/>
      </c>
      <c r="CK303">
        <f>IF(AND($CI303="",N($Q303)&gt;0,ISNUMBER($P303)),1,0)</f>
        <v/>
      </c>
      <c r="CL303">
        <f>IF(AND($CJ303="",N($T303)&gt;0,ISNUMBER($S303)),1,0)</f>
        <v/>
      </c>
      <c r="CM303">
        <f>IF(OR($CK303=1,$CL303=1),1,0)</f>
        <v/>
      </c>
      <c r="CN303">
        <f>IF($C303="",0,($CK303*$R303+$CL303*$U303)*N($H303))</f>
        <v/>
      </c>
      <c r="CO303">
        <f>IF($C303="","",IF($CC303="","入庫後は 14日以上もつ",IF($CC303-N('設定'!$C$7)&lt;='設定'!$C$6,"入庫後も "&amp;TEXT($CC303,"m/d")&amp;"("&amp;CHOOSE(WEEKDAY($CC303),"日","月","火","水","木","金","土")&amp;")"&amp;" に切れる　もう1便を至急発注","入庫後も "&amp;TEXT($CC303,"m/d")&amp;"("&amp;CHOOSE(WEEKDAY($CC303),"日","月","火","水","木","金","土")&amp;")"&amp;" に切れる　"&amp;TEXT($CC303-N('設定'!$C$7),"m/d")&amp;"("&amp;CHOOSE(WEEKDAY($CC303-N('設定'!$C$7)),"日","月","火","水","木","金","土")&amp;")"&amp;" までに次を発注")))</f>
        <v/>
      </c>
      <c r="CP303">
        <f>IF($C303="","",IF('設定'!$C$6="","？ ①在庫を貼る に今日のCSVが貼られていない",IF($CS303=1,"－ 今日のCSVに無い（終売？）",IF($L303&lt;0,"● 在庫がマイナス　数えて「数えた在庫」に入れる",IF($L303=0,"● 在庫なし　至急発注",IF($M303="","？ 減り数が未設定（商品マスタ）",IF($B$3=0,"？ 動員が未入力（動員を入れる）",IF($CA303="","○ 14日以上もつ",IF($BZ303&lt;N('設定'!$C$7),"● "&amp;TEXT($CA303,"m/d")&amp;"("&amp;CHOOSE(WEEKDAY($CA303),"日","月","火","水","木","金","土")&amp;")"&amp;" に切れる　至急発注",IF($BZ303=N('設定'!$C$7),"● "&amp;TEXT($CA303,"m/d")&amp;"("&amp;CHOOSE(WEEKDAY($CA303),"日","月","火","水","木","金","土")&amp;")"&amp;" に切れる　今日発注","△ "&amp;TEXT($CA303,"m/d")&amp;"("&amp;CHOOSE(WEEKDAY($CA303),"日","月","火","水","木","金","土")&amp;")"&amp;" に切れる　"&amp;TEXT($CA303-N('設定'!$C$7),"m/d")&amp;"("&amp;CHOOSE(WEEKDAY($CA303-N('設定'!$C$7)),"日","月","火","水","木","金","土")&amp;")"&amp;" までに発注"))))))))))</f>
        <v/>
      </c>
      <c r="CQ303">
        <f>IF($C303="","",IF(AND($P303="",$Q303="",$S303="",$T303=""),"",IF(AND($P303="",$Q303=""),"⚠ 先に1便目（左の入庫日・入庫数）に入れてください",IF($CI303&lt;&gt;"",$CI303,IF($CJ303&lt;&gt;"",$CJ303,IF($M303="","？ 減り数が未設定（発注書には載ります）",IF($B$3=0,"？ 動員が未入力（発注書には載ります）",IF(AND($CA303&lt;&gt;"",$P303&gt;$CA303),IF($P303&gt;'設定'!$C$6+N('設定'!$C$7),"● "&amp;TEXT($P303,"m/d")&amp;"("&amp;CHOOSE(WEEKDAY($P303),"日","月","火","水","木","金","土")&amp;")"&amp;" の入庫では間に合わない（"&amp;TEXT($CA303,"m/d")&amp;"("&amp;CHOOSE(WEEKDAY($CA303),"日","月","火","水","木","金","土")&amp;")"&amp;" に切れる）　入庫日を早める","△ 欠品 "&amp;TEXT($CA303,"m/d")&amp;"("&amp;CHOOSE(WEEKDAY($CA303),"日","月","火","水","木","金","土")&amp;")"&amp;"〜"&amp;TEXT($P303-1,"m/d")&amp;"("&amp;CHOOSE(WEEKDAY($P303-1),"日","月","火","水","木","金","土")&amp;")"&amp;"　"&amp;$CO303),IF($CC303="","○ "&amp;TEXT($P303,"m/d")&amp;"("&amp;CHOOSE(WEEKDAY($P303),"日","月","火","水","木","金","土")&amp;")"&amp;" 入庫で 14日以上もつ",IF($CC303-N('設定'!$C$7)&lt;='設定'!$C$6,"● 入庫しても "&amp;TEXT($CC303,"m/d")&amp;"("&amp;CHOOSE(WEEKDAY($CC303),"日","月","火","水","木","金","土")&amp;")"&amp;" に切れる　もう1便を至急発注（2便目に入れる）","△ 入庫しても "&amp;TEXT($CC303,"m/d")&amp;"("&amp;CHOOSE(WEEKDAY($CC303),"日","月","火","水","木","金","土")&amp;")"&amp;" に切れる　"&amp;TEXT($CC303-N('設定'!$C$7),"m/d")&amp;"("&amp;CHOOSE(WEEKDAY($CC303-N('設定'!$C$7)),"日","月","火","水","木","金","土")&amp;")"&amp;" までに次を発注（2便目に入れる）"))))))))))</f>
        <v/>
      </c>
      <c r="CR303">
        <f>IF($C303="","",IF($G303&gt;1,"ｹｰｽ("&amp;$G303&amp;"入)","個"))</f>
        <v/>
      </c>
      <c r="CS303">
        <f>IF($C303="",0,IF(COUNTIFS('①在庫を貼る'!$V$6:$V$10005,'設定'!$C$4,'①在庫を貼る'!$W$6:$W$10005,$C303)=0,1,0))</f>
        <v/>
      </c>
      <c r="CT303">
        <f>IF(AND($CK303=1,OR('③発注書'!$C$4="すべて",'③発注書'!$C$4="",$F303='③発注書'!$C$4)),N($CT302)+1,N($CT302))</f>
        <v/>
      </c>
      <c r="CU303">
        <f>IF(AND($CL303=1,OR('③発注書'!$C$4="すべて",'③発注書'!$C$4="",$F303='③発注書'!$C$4)),N($CU302)+1,N($CU302))</f>
        <v/>
      </c>
      <c r="CV303">
        <f>IF($C303="",0,IF(COUNTIFS('①在庫を貼る'!$V$6:$V$10005,'設定'!$C$4,'①在庫を貼る'!$W$6:$W$10005,$C303)&gt;0,1,0))</f>
        <v/>
      </c>
      <c r="CW303">
        <f>IF($C303="",0,IF(COUNTIFS('月1回_1ヶ月前の在庫'!$V$6:$V$10005,'設定'!$C$4,'月1回_1ヶ月前の在庫'!$W$6:$W$10005,$C303)&gt;0,1,0))</f>
        <v/>
      </c>
      <c r="CX303">
        <f>IF($C303="",0,IF(COUNTIFS('月1回_2ヶ月前の在庫'!$V$6:$V$10005,'設定'!$C$4,'月1回_2ヶ月前の在庫'!$W$6:$W$10005,$C303)&gt;0,1,0))</f>
        <v/>
      </c>
      <c r="CY303">
        <f>IF(OR($C303="",'設定'!$C$12=""),"",IF('設定'!$C$13="",IF(AND($CV303=1,$CW303=0),"新商品（今月から）",IF(AND($CV303=0,$CW303=1),"終売（今月から）","")),IF(AND($CV303=1,$CW303=0,$CX303=0),"新商品（今月から）",IF(AND($CV303=1,$CW303=1,$CX303=0),"新商品（先月から）",IF(AND($CV303=0,$CW303=1,$CX303=1),"終売（今月から）",IF(AND($CV303=0,$CW303=0,$CX303=1),"終売（先月から）",IF(AND($CV303=1,$CW303=0,$CX303=1),"復活（先月は無し）","")))))))</f>
        <v/>
      </c>
    </row>
    <row r="304">
      <c r="B304">
        <f>IF(299&lt;='設定'!$C$11,299,"")</f>
        <v/>
      </c>
      <c r="C304">
        <f>IF($B304="","",IF($B304&lt;='設定'!$C$20,INDEX('商品マスタ'!$B$6:$B$1005,MATCH($B304,'商品マスタ'!$M$6:$M$1005,0)),IF($B304&lt;='設定'!$C$20+'設定'!$C$17,INDEX('①在庫を貼る'!$W$6:$W$10005,MATCH($B304-'設定'!$C$20,'①在庫を貼る'!$U$6:$U$10005,0)),IF($B304&lt;='設定'!$C$20+'設定'!$C$17+'設定'!$C$18,INDEX('月1回_1ヶ月前の在庫'!$W$6:$W$10005,MATCH($B304-'設定'!$C$20-'設定'!$C$17,'月1回_1ヶ月前の在庫'!$U$6:$U$10005,0)),INDEX('月1回_2ヶ月前の在庫'!$W$6:$W$10005,MATCH($B304-'設定'!$C$20-'設定'!$C$17-'設定'!$C$18,'月1回_2ヶ月前の在庫'!$U$6:$U$10005,0))))))</f>
        <v/>
      </c>
      <c r="D304">
        <f>IF($C304="","",IFERROR(IF(INDEX('商品マスタ'!$C$6:$C$1005,MATCH($C304,'商品マスタ'!$B$6:$B$1005,0))="",IFERROR(INDEX('①在庫を貼る'!$J$6:$J$10005,MATCH($C304,'①在庫を貼る'!$W$6:$W$10005,0)),IFERROR(INDEX('月1回_1ヶ月前の在庫'!$J$6:$J$10005,MATCH($C304,'月1回_1ヶ月前の在庫'!$W$6:$W$10005,0)),IFERROR(INDEX('月1回_2ヶ月前の在庫'!$J$6:$J$10005,MATCH($C304,'月1回_2ヶ月前の在庫'!$W$6:$W$10005,0)),""))),INDEX('商品マスタ'!$C$6:$C$1005,MATCH($C304,'商品マスタ'!$B$6:$B$1005,0))),IFERROR(INDEX('①在庫を貼る'!$J$6:$J$10005,MATCH($C304,'①在庫を貼る'!$W$6:$W$10005,0)),IFERROR(INDEX('月1回_1ヶ月前の在庫'!$J$6:$J$10005,MATCH($C304,'月1回_1ヶ月前の在庫'!$W$6:$W$10005,0)),IFERROR(INDEX('月1回_2ヶ月前の在庫'!$J$6:$J$10005,MATCH($C304,'月1回_2ヶ月前の在庫'!$W$6:$W$10005,0)),"")))))</f>
        <v/>
      </c>
      <c r="E304">
        <f>IF($C304="","",IFERROR(IF(INDEX('商品マスタ'!$D$6:$D$1005,MATCH($C304,'商品マスタ'!$B$6:$B$1005,0))="",IFERROR(INDEX('①在庫を貼る'!$H$6:$H$10005,MATCH($C304,'①在庫を貼る'!$W$6:$W$10005,0)),IFERROR(INDEX('月1回_1ヶ月前の在庫'!$H$6:$H$10005,MATCH($C304,'月1回_1ヶ月前の在庫'!$W$6:$W$10005,0)),IFERROR(INDEX('月1回_2ヶ月前の在庫'!$H$6:$H$10005,MATCH($C304,'月1回_2ヶ月前の在庫'!$W$6:$W$10005,0)),""))),INDEX('商品マスタ'!$D$6:$D$1005,MATCH($C304,'商品マスタ'!$B$6:$B$1005,0))),IFERROR(INDEX('①在庫を貼る'!$H$6:$H$10005,MATCH($C304,'①在庫を貼る'!$W$6:$W$10005,0)),IFERROR(INDEX('月1回_1ヶ月前の在庫'!$H$6:$H$10005,MATCH($C304,'月1回_1ヶ月前の在庫'!$W$6:$W$10005,0)),IFERROR(INDEX('月1回_2ヶ月前の在庫'!$H$6:$H$10005,MATCH($C304,'月1回_2ヶ月前の在庫'!$W$6:$W$10005,0)),"")))))</f>
        <v/>
      </c>
      <c r="F304">
        <f>IF($C304="","",IFERROR(IF(INDEX('商品マスタ'!$E$6:$E$1005,MATCH($C304,'商品マスタ'!$B$6:$B$1005,0))="",IFERROR(INDEX('①在庫を貼る'!$E$6:$E$10005,MATCH($C304,'①在庫を貼る'!$W$6:$W$10005,0)),IFERROR(INDEX('月1回_1ヶ月前の在庫'!$E$6:$E$10005,MATCH($C304,'月1回_1ヶ月前の在庫'!$W$6:$W$10005,0)),IFERROR(INDEX('月1回_2ヶ月前の在庫'!$E$6:$E$10005,MATCH($C304,'月1回_2ヶ月前の在庫'!$W$6:$W$10005,0)),""))),INDEX('商品マスタ'!$E$6:$E$1005,MATCH($C304,'商品マスタ'!$B$6:$B$1005,0))),IFERROR(INDEX('①在庫を貼る'!$E$6:$E$10005,MATCH($C304,'①在庫を貼る'!$W$6:$W$10005,0)),IFERROR(INDEX('月1回_1ヶ月前の在庫'!$E$6:$E$10005,MATCH($C304,'月1回_1ヶ月前の在庫'!$W$6:$W$10005,0)),IFERROR(INDEX('月1回_2ヶ月前の在庫'!$E$6:$E$10005,MATCH($C304,'月1回_2ヶ月前の在庫'!$W$6:$W$10005,0)),"")))))</f>
        <v/>
      </c>
      <c r="G304">
        <f>IF($C304="","",MAX(1,N(IFERROR(IF(INDEX('商品マスタ'!$F$6:$F$1005,MATCH($C304,'商品マスタ'!$B$6:$B$1005,0))="",IF(COUNTIFS('①在庫を貼る'!$V$6:$V$10005,'設定'!$C$4,'①在庫を貼る'!$W$6:$W$10005,$C304)&gt;0,SUMIFS('①在庫を貼る'!$K$6:$K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K$6:$K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K$6:$K$10005,'月1回_2ヶ月前の在庫'!$V$6:$V$10005,'設定'!$C$4,'月1回_2ヶ月前の在庫'!$W$6:$W$10005,$C304)/COUNTIFS('月1回_2ヶ月前の在庫'!$V$6:$V$10005,'設定'!$C$4,'月1回_2ヶ月前の在庫'!$W$6:$W$10005,$C304),0))),INDEX('商品マスタ'!$F$6:$F$1005,MATCH($C304,'商品マスタ'!$B$6:$B$1005,0))),IF(COUNTIFS('①在庫を貼る'!$V$6:$V$10005,'設定'!$C$4,'①在庫を貼る'!$W$6:$W$10005,$C304)&gt;0,SUMIFS('①在庫を貼る'!$K$6:$K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K$6:$K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K$6:$K$10005,'月1回_2ヶ月前の在庫'!$V$6:$V$10005,'設定'!$C$4,'月1回_2ヶ月前の在庫'!$W$6:$W$10005,$C304)/COUNTIFS('月1回_2ヶ月前の在庫'!$V$6:$V$10005,'設定'!$C$4,'月1回_2ヶ月前の在庫'!$W$6:$W$10005,$C304),0)))))))</f>
        <v/>
      </c>
      <c r="H304">
        <f>IF($C304="","",N(IFERROR(IF(INDEX('商品マスタ'!$G$6:$G$1005,MATCH($C304,'商品マスタ'!$B$6:$B$1005,0))="",IF(COUNTIFS('①在庫を貼る'!$V$6:$V$10005,'設定'!$C$4,'①在庫を貼る'!$W$6:$W$10005,$C304)&gt;0,SUMIFS('①在庫を貼る'!$Q$6:$Q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Q$6:$Q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Q$6:$Q$10005,'月1回_2ヶ月前の在庫'!$V$6:$V$10005,'設定'!$C$4,'月1回_2ヶ月前の在庫'!$W$6:$W$10005,$C304)/COUNTIFS('月1回_2ヶ月前の在庫'!$V$6:$V$10005,'設定'!$C$4,'月1回_2ヶ月前の在庫'!$W$6:$W$10005,$C304),0))),INDEX('商品マスタ'!$G$6:$G$1005,MATCH($C304,'商品マスタ'!$B$6:$B$1005,0))),IF(COUNTIFS('①在庫を貼る'!$V$6:$V$10005,'設定'!$C$4,'①在庫を貼る'!$W$6:$W$10005,$C304)&gt;0,SUMIFS('①在庫を貼る'!$Q$6:$Q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Q$6:$Q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Q$6:$Q$10005,'月1回_2ヶ月前の在庫'!$V$6:$V$10005,'設定'!$C$4,'月1回_2ヶ月前の在庫'!$W$6:$W$10005,$C304)/COUNTIFS('月1回_2ヶ月前の在庫'!$V$6:$V$10005,'設定'!$C$4,'月1回_2ヶ月前の在庫'!$W$6:$W$10005,$C304),0))))))</f>
        <v/>
      </c>
      <c r="I304">
        <f>IF($C304="","",IF(COUNTIFS('①在庫を貼る'!$V$6:$V$10005,'設定'!$C$4,'①在庫を貼る'!$W$6:$W$10005,$C304)=0,"",SUMIFS('①在庫を貼る'!$N$6:$N$10005,'①在庫を貼る'!$V$6:$V$10005,'設定'!$C$4,'①在庫を貼る'!$W$6:$W$10005,$C304)))</f>
        <v/>
      </c>
      <c r="J304">
        <f>IF($C304="","",IF('②発注する'!$AD308="","",'②発注する'!$AD308))</f>
        <v/>
      </c>
      <c r="K304" s="90">
        <f>IF($C304="","",IF('②発注する'!$AE308="","",'②発注する'!$AE308))</f>
        <v/>
      </c>
      <c r="L304">
        <f>IF($C304="","",IF(AND(ISNUMBER($J304),ISNUMBER($K304),$K304&gt;='設定'!$C$6),$J304,N($I304)))</f>
        <v/>
      </c>
      <c r="M304">
        <f>IF($C304="","",IFERROR(IF(N(INDEX('商品マスタ'!$J$6:$J$1005,MATCH($C304,'商品マスタ'!$B$6:$B$1005,0)))&gt;0,INDEX('商品マスタ'!$J$6:$J$1005,MATCH($C304,'商品マスタ'!$B$6:$B$1005,0)),""),""))</f>
        <v/>
      </c>
      <c r="N304">
        <f>IF($C304="","",IFERROR(IF(N(INDEX('商品マスタ'!$H$6:$H$1005,MATCH($C304,'商品マスタ'!$B$6:$B$1005,0)))&gt;0,INDEX('商品マスタ'!$H$6:$H$1005,MATCH($C304,'商品マスタ'!$B$6:$B$1005,0)),""),""))</f>
        <v/>
      </c>
      <c r="O304">
        <f>IF($C304="","",IF($N304&lt;&gt;"",$N304*$G304,IF(N(IF(COUNTIFS('①在庫を貼る'!$V$6:$V$10005,'設定'!$C$4,'①在庫を貼る'!$W$6:$W$10005,$C304)&gt;0,SUMIFS('①在庫を貼る'!$O$6:$O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O$6:$O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O$6:$O$10005,'月1回_2ヶ月前の在庫'!$V$6:$V$10005,'設定'!$C$4,'月1回_2ヶ月前の在庫'!$W$6:$W$10005,$C304)/COUNTIFS('月1回_2ヶ月前の在庫'!$V$6:$V$10005,'設定'!$C$4,'月1回_2ヶ月前の在庫'!$W$6:$W$10005,$C304),0))))&gt;0,N(IF(COUNTIFS('①在庫を貼る'!$V$6:$V$10005,'設定'!$C$4,'①在庫を貼る'!$W$6:$W$10005,$C304)&gt;0,SUMIFS('①在庫を貼る'!$O$6:$O$10005,'①在庫を貼る'!$V$6:$V$10005,'設定'!$C$4,'①在庫を貼る'!$W$6:$W$10005,$C304)/COUNTIFS('①在庫を貼る'!$V$6:$V$10005,'設定'!$C$4,'①在庫を貼る'!$W$6:$W$10005,$C304),IF(COUNTIFS('月1回_1ヶ月前の在庫'!$V$6:$V$10005,'設定'!$C$4,'月1回_1ヶ月前の在庫'!$W$6:$W$10005,$C304)&gt;0,SUMIFS('月1回_1ヶ月前の在庫'!$O$6:$O$10005,'月1回_1ヶ月前の在庫'!$V$6:$V$10005,'設定'!$C$4,'月1回_1ヶ月前の在庫'!$W$6:$W$10005,$C304)/COUNTIFS('月1回_1ヶ月前の在庫'!$V$6:$V$10005,'設定'!$C$4,'月1回_1ヶ月前の在庫'!$W$6:$W$10005,$C304),IF(COUNTIFS('月1回_2ヶ月前の在庫'!$V$6:$V$10005,'設定'!$C$4,'月1回_2ヶ月前の在庫'!$W$6:$W$10005,$C304)&gt;0,SUMIFS('月1回_2ヶ月前の在庫'!$O$6:$O$10005,'月1回_2ヶ月前の在庫'!$V$6:$V$10005,'設定'!$C$4,'月1回_2ヶ月前の在庫'!$W$6:$W$10005,$C304)/COUNTIFS('月1回_2ヶ月前の在庫'!$V$6:$V$10005,'設定'!$C$4,'月1回_2ヶ月前の在庫'!$W$6:$W$10005,$C304),0)))),"")))</f>
        <v/>
      </c>
      <c r="P304" s="90">
        <f>IF($C304="","",IF('②発注する'!$I308="","",'②発注する'!$I308))</f>
        <v/>
      </c>
      <c r="Q304">
        <f>IF($C304="","",IF('②発注する'!$J308="","",'②発注する'!$J308))</f>
        <v/>
      </c>
      <c r="R304">
        <f>IF($C304="",0,IF(AND(ISNUMBER($P304),ISNUMBER($Q304)),MAX(0,$Q304)*$G304,0))</f>
        <v/>
      </c>
      <c r="S304" s="90">
        <f>IF($C304="","",IF('②発注する'!$M308="","",'②発注する'!$M308))</f>
        <v/>
      </c>
      <c r="T304">
        <f>IF($C304="","",IF('②発注する'!$N308="","",'②発注する'!$N308))</f>
        <v/>
      </c>
      <c r="U304">
        <f>IF($C304="",0,IF(AND(ISNUMBER($S304),ISNUMBER($T304)),MAX(0,$T304)*$G304,0))</f>
        <v/>
      </c>
      <c r="V304">
        <f>IF($C304="",0,IF($M304="",0,MAX(0,$M304)*MAX(0,V$4)/100))</f>
        <v/>
      </c>
      <c r="W304">
        <f>IF($C304="",0,IF($M304="",0,MAX(0,$M304)*MAX(0,W$4)/100))</f>
        <v/>
      </c>
      <c r="X304">
        <f>IF($C304="",0,IF($M304="",0,MAX(0,$M304)*MAX(0,X$4)/100))</f>
        <v/>
      </c>
      <c r="Y304">
        <f>IF($C304="",0,IF($M304="",0,MAX(0,$M304)*MAX(0,Y$4)/100))</f>
        <v/>
      </c>
      <c r="Z304">
        <f>IF($C304="",0,IF($M304="",0,MAX(0,$M304)*MAX(0,Z$4)/100))</f>
        <v/>
      </c>
      <c r="AA304">
        <f>IF($C304="",0,IF($M304="",0,MAX(0,$M304)*MAX(0,AA$4)/100))</f>
        <v/>
      </c>
      <c r="AB304">
        <f>IF($C304="",0,IF($M304="",0,MAX(0,$M304)*MAX(0,AB$4)/100))</f>
        <v/>
      </c>
      <c r="AC304">
        <f>IF($C304="",0,IF($M304="",0,MAX(0,$M304)*MAX(0,AC$4)/100))</f>
        <v/>
      </c>
      <c r="AD304">
        <f>IF($C304="",0,IF($M304="",0,MAX(0,$M304)*MAX(0,AD$4)/100))</f>
        <v/>
      </c>
      <c r="AE304">
        <f>IF($C304="",0,IF($M304="",0,MAX(0,$M304)*MAX(0,AE$4)/100))</f>
        <v/>
      </c>
      <c r="AF304">
        <f>IF($C304="",0,IF($M304="",0,MAX(0,$M304)*MAX(0,AF$4)/100))</f>
        <v/>
      </c>
      <c r="AG304">
        <f>IF($C304="",0,IF($M304="",0,MAX(0,$M304)*MAX(0,AG$4)/100))</f>
        <v/>
      </c>
      <c r="AH304">
        <f>IF($C304="",0,IF($M304="",0,MAX(0,$M304)*MAX(0,AH$4)/100))</f>
        <v/>
      </c>
      <c r="AI304">
        <f>IF($C304="",0,IF($M304="",0,MAX(0,$M304)*MAX(0,AI$4)/100))</f>
        <v/>
      </c>
      <c r="AJ304">
        <f>IF($C304="",0,MAX(0,MAX(0,N($L304))-$V304))</f>
        <v/>
      </c>
      <c r="AK304">
        <f>IF($C304="",0,MAX(0,$AJ304-$W304))</f>
        <v/>
      </c>
      <c r="AL304">
        <f>IF($C304="",0,MAX(0,$AK304-$X304))</f>
        <v/>
      </c>
      <c r="AM304">
        <f>IF($C304="",0,MAX(0,$AL304-$Y304))</f>
        <v/>
      </c>
      <c r="AN304">
        <f>IF($C304="",0,MAX(0,$AM304-$Z304))</f>
        <v/>
      </c>
      <c r="AO304">
        <f>IF($C304="",0,MAX(0,$AN304-$AA304))</f>
        <v/>
      </c>
      <c r="AP304">
        <f>IF($C304="",0,MAX(0,$AO304-$AB304))</f>
        <v/>
      </c>
      <c r="AQ304">
        <f>IF($C304="",0,MAX(0,$AP304-$AC304))</f>
        <v/>
      </c>
      <c r="AR304">
        <f>IF($C304="",0,MAX(0,$AQ304-$AD304))</f>
        <v/>
      </c>
      <c r="AS304">
        <f>IF($C304="",0,MAX(0,$AR304-$AE304))</f>
        <v/>
      </c>
      <c r="AT304">
        <f>IF($C304="",0,MAX(0,$AS304-$AF304))</f>
        <v/>
      </c>
      <c r="AU304">
        <f>IF($C304="",0,MAX(0,$AT304-$AG304))</f>
        <v/>
      </c>
      <c r="AV304">
        <f>IF($C304="",0,MAX(0,$AU304-$AH304))</f>
        <v/>
      </c>
      <c r="AW304">
        <f>IF($C304="",0,MAX(0,$AV304-$AI304))</f>
        <v/>
      </c>
      <c r="AX304">
        <f>IF($C304="",0,MAX(0,MAX(0,N($L304))+IF($P304=V$3,$R304,0)+IF($S304=V$3,$U304,0)-$V304))</f>
        <v/>
      </c>
      <c r="AY304">
        <f>IF($C304="",0,MAX(0,$AX304+IF($P304=W$3,$R304,0)+IF($S304=W$3,$U304,0)-$W304))</f>
        <v/>
      </c>
      <c r="AZ304">
        <f>IF($C304="",0,MAX(0,$AY304+IF($P304=X$3,$R304,0)+IF($S304=X$3,$U304,0)-$X304))</f>
        <v/>
      </c>
      <c r="BA304">
        <f>IF($C304="",0,MAX(0,$AZ304+IF($P304=Y$3,$R304,0)+IF($S304=Y$3,$U304,0)-$Y304))</f>
        <v/>
      </c>
      <c r="BB304">
        <f>IF($C304="",0,MAX(0,$BA304+IF($P304=Z$3,$R304,0)+IF($S304=Z$3,$U304,0)-$Z304))</f>
        <v/>
      </c>
      <c r="BC304">
        <f>IF($C304="",0,MAX(0,$BB304+IF($P304=AA$3,$R304,0)+IF($S304=AA$3,$U304,0)-$AA304))</f>
        <v/>
      </c>
      <c r="BD304">
        <f>IF($C304="",0,MAX(0,$BC304+IF($P304=AB$3,$R304,0)+IF($S304=AB$3,$U304,0)-$AB304))</f>
        <v/>
      </c>
      <c r="BE304">
        <f>IF($C304="",0,MAX(0,$BD304+IF($P304=AC$3,$R304,0)+IF($S304=AC$3,$U304,0)-$AC304))</f>
        <v/>
      </c>
      <c r="BF304">
        <f>IF($C304="",0,MAX(0,$BE304+IF($P304=AD$3,$R304,0)+IF($S304=AD$3,$U304,0)-$AD304))</f>
        <v/>
      </c>
      <c r="BG304">
        <f>IF($C304="",0,MAX(0,$BF304+IF($P304=AE$3,$R304,0)+IF($S304=AE$3,$U304,0)-$AE304))</f>
        <v/>
      </c>
      <c r="BH304">
        <f>IF($C304="",0,MAX(0,$BG304+IF($P304=AF$3,$R304,0)+IF($S304=AF$3,$U304,0)-$AF304))</f>
        <v/>
      </c>
      <c r="BI304">
        <f>IF($C304="",0,MAX(0,$BH304+IF($P304=AG$3,$R304,0)+IF($S304=AG$3,$U304,0)-$AG304))</f>
        <v/>
      </c>
      <c r="BJ304">
        <f>IF($C304="",0,MAX(0,$BI304+IF($P304=AH$3,$R304,0)+IF($S304=AH$3,$U304,0)-$AH304))</f>
        <v/>
      </c>
      <c r="BK304">
        <f>IF($C304="",0,MAX(0,$BJ304+IF($P304=AI$3,$R304,0)+IF($S304=AI$3,$U304,0)-$AI304))</f>
        <v/>
      </c>
      <c r="BL304">
        <f>IF($C304="",99,IF(AND($AX304&lt;1,V$3&gt;=MAX(N($P304),N($S304))),0,99))</f>
        <v/>
      </c>
      <c r="BM304">
        <f>IF($C304="",99,IF(AND($AY304&lt;1,W$3&gt;=MAX(N($P304),N($S304))),1,99))</f>
        <v/>
      </c>
      <c r="BN304">
        <f>IF($C304="",99,IF(AND($AZ304&lt;1,X$3&gt;=MAX(N($P304),N($S304))),2,99))</f>
        <v/>
      </c>
      <c r="BO304">
        <f>IF($C304="",99,IF(AND($BA304&lt;1,Y$3&gt;=MAX(N($P304),N($S304))),3,99))</f>
        <v/>
      </c>
      <c r="BP304">
        <f>IF($C304="",99,IF(AND($BB304&lt;1,Z$3&gt;=MAX(N($P304),N($S304))),4,99))</f>
        <v/>
      </c>
      <c r="BQ304">
        <f>IF($C304="",99,IF(AND($BC304&lt;1,AA$3&gt;=MAX(N($P304),N($S304))),5,99))</f>
        <v/>
      </c>
      <c r="BR304">
        <f>IF($C304="",99,IF(AND($BD304&lt;1,AB$3&gt;=MAX(N($P304),N($S304))),6,99))</f>
        <v/>
      </c>
      <c r="BS304">
        <f>IF($C304="",99,IF(AND($BE304&lt;1,AC$3&gt;=MAX(N($P304),N($S304))),7,99))</f>
        <v/>
      </c>
      <c r="BT304">
        <f>IF($C304="",99,IF(AND($BF304&lt;1,AD$3&gt;=MAX(N($P304),N($S304))),8,99))</f>
        <v/>
      </c>
      <c r="BU304">
        <f>IF($C304="",99,IF(AND($BG304&lt;1,AE$3&gt;=MAX(N($P304),N($S304))),9,99))</f>
        <v/>
      </c>
      <c r="BV304">
        <f>IF($C304="",99,IF(AND($BH304&lt;1,AF$3&gt;=MAX(N($P304),N($S304))),10,99))</f>
        <v/>
      </c>
      <c r="BW304">
        <f>IF($C304="",99,IF(AND($BI304&lt;1,AG$3&gt;=MAX(N($P304),N($S304))),11,99))</f>
        <v/>
      </c>
      <c r="BX304">
        <f>IF($C304="",99,IF(AND($BJ304&lt;1,AH$3&gt;=MAX(N($P304),N($S304))),12,99))</f>
        <v/>
      </c>
      <c r="BY304">
        <f>IF($C304="",99,IF(AND($BK304&lt;1,AI$3&gt;=MAX(N($P304),N($S304))),13,99))</f>
        <v/>
      </c>
      <c r="BZ304">
        <f>IF(OR($C304="",$M304=""),"",COUNTIF($AJ304:$AW304,"&gt;=1"))</f>
        <v/>
      </c>
      <c r="CA304" s="90">
        <f>IF($BZ304="","",IF($BZ304&gt;=14,"",'設定'!$C$6+$BZ304))</f>
        <v/>
      </c>
      <c r="CB304">
        <f>IF(OR($C304="",$M304=""),"",MIN($BL304:$BY304))</f>
        <v/>
      </c>
      <c r="CC304" s="90">
        <f>IF($CB304="","",IF($CB304&gt;=99,"",'設定'!$C$6+$CB304))</f>
        <v/>
      </c>
      <c r="CD304">
        <f>IF(OR($C304="",$M304=""),"",AVERAGE($V304:$AI304))</f>
        <v/>
      </c>
      <c r="CE304">
        <f>IF($C304="","",IFERROR(IF(MATCH(IF(ISNUMBER($P304),$P304,'設定'!$C$6+N('設定'!$C$7)),$V$3:$AI$3,0)=1,MAX(0,N($L304)),INDEX($AJ304:$AW304,MATCH(IF(ISNUMBER($P304),$P304,'設定'!$C$6+N('設定'!$C$7)),$V$3:$AI$3,0)-1)),""))</f>
        <v/>
      </c>
      <c r="CF304">
        <f>IF(OR($C304="",$O304="",$CE304=""),"",IF($O304-$CE304&lt;=0,0,ROUNDUP(($O304-$CE304)/$G304,0)))</f>
        <v/>
      </c>
      <c r="CG304">
        <f>IF(OR($C304="",$CF304="",NOT(ISNUMBER($Q304))),0,MAX(0,$Q304-$CF304))</f>
        <v/>
      </c>
      <c r="CH304">
        <f>IF(OR($C304="",$O304="",$U304=0),0,IFERROR(ROUNDUP(MAX(0,IF(MATCH($S304,$V$3:$AI$3,0)=1,MAX(0,N($L304)),INDEX($AX304:$BK304,MATCH($S304,$V$3:$AI$3,0)-1))+$U304-$O304)/$G304,0),0))</f>
        <v/>
      </c>
      <c r="CI304">
        <f>IF($C304="","",IF(AND($P304="",$Q304=""),"",IF($P304="","⚠ 入庫日を ▼ から選んでください",IF(NOT(ISNUMBER($P304)),"⚠ 入庫日は ▼ から選んでください",IF($P304&lt;N('設定'!$C$6),"⚠ 入庫日が過去です（もう在庫に入っています）→ 消してください",IF($P304&gt;N('設定'!$C$6)+13,"⚠ 入庫日が14日より先です",IF(N($Q304)&lt;=0,"⚠ 入庫数を入れてください",IF($CG304&gt;0,"⚠ 目安より "&amp;$CG304&amp;" 多い（定数を超える）→ 減らす",""))))))))</f>
        <v/>
      </c>
      <c r="CJ304">
        <f>IF($C304="","",IF(AND($S304="",$T304=""),"",IF($S304="","⚠ 2便目：入庫日を ▼ から選んでください",IF(NOT(ISNUMBER($S304)),"⚠ 2便目：入庫日は ▼ から選んでください",IF($S304&lt;N('設定'!$C$6),"⚠ 2便目：入庫日が過去です（もう在庫に入っています）→ 消してください",IF($S304&gt;N('設定'!$C$6)+13,"⚠ 2便目：入庫日が14日より先です",IF(N($T304)&lt;=0,"⚠ 2便目：入庫数を入れてください",IF($CH304&gt;0,"⚠ 2便目：定数を "&amp;$CH304&amp;" ケース超える → 減らす",""))))))))</f>
        <v/>
      </c>
      <c r="CK304">
        <f>IF(AND($CI304="",N($Q304)&gt;0,ISNUMBER($P304)),1,0)</f>
        <v/>
      </c>
      <c r="CL304">
        <f>IF(AND($CJ304="",N($T304)&gt;0,ISNUMBER($S304)),1,0)</f>
        <v/>
      </c>
      <c r="CM304">
        <f>IF(OR($CK304=1,$CL304=1),1,0)</f>
        <v/>
      </c>
      <c r="CN304">
        <f>IF($C304="",0,($CK304*$R304+$CL304*$U304)*N($H304))</f>
        <v/>
      </c>
      <c r="CO304">
        <f>IF($C304="","",IF($CC304="","入庫後は 14日以上もつ",IF($CC304-N('設定'!$C$7)&lt;='設定'!$C$6,"入庫後も "&amp;TEXT($CC304,"m/d")&amp;"("&amp;CHOOSE(WEEKDAY($CC304),"日","月","火","水","木","金","土")&amp;")"&amp;" に切れる　もう1便を至急発注","入庫後も "&amp;TEXT($CC304,"m/d")&amp;"("&amp;CHOOSE(WEEKDAY($CC304),"日","月","火","水","木","金","土")&amp;")"&amp;" に切れる　"&amp;TEXT($CC304-N('設定'!$C$7),"m/d")&amp;"("&amp;CHOOSE(WEEKDAY($CC304-N('設定'!$C$7)),"日","月","火","水","木","金","土")&amp;")"&amp;" までに次を発注")))</f>
        <v/>
      </c>
      <c r="CP304">
        <f>IF($C304="","",IF('設定'!$C$6="","？ ①在庫を貼る に今日のCSVが貼られていない",IF($CS304=1,"－ 今日のCSVに無い（終売？）",IF($L304&lt;0,"● 在庫がマイナス　数えて「数えた在庫」に入れる",IF($L304=0,"● 在庫なし　至急発注",IF($M304="","？ 減り数が未設定（商品マスタ）",IF($B$3=0,"？ 動員が未入力（動員を入れる）",IF($CA304="","○ 14日以上もつ",IF($BZ304&lt;N('設定'!$C$7),"● "&amp;TEXT($CA304,"m/d")&amp;"("&amp;CHOOSE(WEEKDAY($CA304),"日","月","火","水","木","金","土")&amp;")"&amp;" に切れる　至急発注",IF($BZ304=N('設定'!$C$7),"● "&amp;TEXT($CA304,"m/d")&amp;"("&amp;CHOOSE(WEEKDAY($CA304),"日","月","火","水","木","金","土")&amp;")"&amp;" に切れる　今日発注","△ "&amp;TEXT($CA304,"m/d")&amp;"("&amp;CHOOSE(WEEKDAY($CA304),"日","月","火","水","木","金","土")&amp;")"&amp;" に切れる　"&amp;TEXT($CA304-N('設定'!$C$7),"m/d")&amp;"("&amp;CHOOSE(WEEKDAY($CA304-N('設定'!$C$7)),"日","月","火","水","木","金","土")&amp;")"&amp;" までに発注"))))))))))</f>
        <v/>
      </c>
      <c r="CQ304">
        <f>IF($C304="","",IF(AND($P304="",$Q304="",$S304="",$T304=""),"",IF(AND($P304="",$Q304=""),"⚠ 先に1便目（左の入庫日・入庫数）に入れてください",IF($CI304&lt;&gt;"",$CI304,IF($CJ304&lt;&gt;"",$CJ304,IF($M304="","？ 減り数が未設定（発注書には載ります）",IF($B$3=0,"？ 動員が未入力（発注書には載ります）",IF(AND($CA304&lt;&gt;"",$P304&gt;$CA304),IF($P304&gt;'設定'!$C$6+N('設定'!$C$7),"● "&amp;TEXT($P304,"m/d")&amp;"("&amp;CHOOSE(WEEKDAY($P304),"日","月","火","水","木","金","土")&amp;")"&amp;" の入庫では間に合わない（"&amp;TEXT($CA304,"m/d")&amp;"("&amp;CHOOSE(WEEKDAY($CA304),"日","月","火","水","木","金","土")&amp;")"&amp;" に切れる）　入庫日を早める","△ 欠品 "&amp;TEXT($CA304,"m/d")&amp;"("&amp;CHOOSE(WEEKDAY($CA304),"日","月","火","水","木","金","土")&amp;")"&amp;"〜"&amp;TEXT($P304-1,"m/d")&amp;"("&amp;CHOOSE(WEEKDAY($P304-1),"日","月","火","水","木","金","土")&amp;")"&amp;"　"&amp;$CO304),IF($CC304="","○ "&amp;TEXT($P304,"m/d")&amp;"("&amp;CHOOSE(WEEKDAY($P304),"日","月","火","水","木","金","土")&amp;")"&amp;" 入庫で 14日以上もつ",IF($CC304-N('設定'!$C$7)&lt;='設定'!$C$6,"● 入庫しても "&amp;TEXT($CC304,"m/d")&amp;"("&amp;CHOOSE(WEEKDAY($CC304),"日","月","火","水","木","金","土")&amp;")"&amp;" に切れる　もう1便を至急発注（2便目に入れる）","△ 入庫しても "&amp;TEXT($CC304,"m/d")&amp;"("&amp;CHOOSE(WEEKDAY($CC304),"日","月","火","水","木","金","土")&amp;")"&amp;" に切れる　"&amp;TEXT($CC304-N('設定'!$C$7),"m/d")&amp;"("&amp;CHOOSE(WEEKDAY($CC304-N('設定'!$C$7)),"日","月","火","水","木","金","土")&amp;")"&amp;" までに次を発注（2便目に入れる）"))))))))))</f>
        <v/>
      </c>
      <c r="CR304">
        <f>IF($C304="","",IF($G304&gt;1,"ｹｰｽ("&amp;$G304&amp;"入)","個"))</f>
        <v/>
      </c>
      <c r="CS304">
        <f>IF($C304="",0,IF(COUNTIFS('①在庫を貼る'!$V$6:$V$10005,'設定'!$C$4,'①在庫を貼る'!$W$6:$W$10005,$C304)=0,1,0))</f>
        <v/>
      </c>
      <c r="CT304">
        <f>IF(AND($CK304=1,OR('③発注書'!$C$4="すべて",'③発注書'!$C$4="",$F304='③発注書'!$C$4)),N($CT303)+1,N($CT303))</f>
        <v/>
      </c>
      <c r="CU304">
        <f>IF(AND($CL304=1,OR('③発注書'!$C$4="すべて",'③発注書'!$C$4="",$F304='③発注書'!$C$4)),N($CU303)+1,N($CU303))</f>
        <v/>
      </c>
      <c r="CV304">
        <f>IF($C304="",0,IF(COUNTIFS('①在庫を貼る'!$V$6:$V$10005,'設定'!$C$4,'①在庫を貼る'!$W$6:$W$10005,$C304)&gt;0,1,0))</f>
        <v/>
      </c>
      <c r="CW304">
        <f>IF($C304="",0,IF(COUNTIFS('月1回_1ヶ月前の在庫'!$V$6:$V$10005,'設定'!$C$4,'月1回_1ヶ月前の在庫'!$W$6:$W$10005,$C304)&gt;0,1,0))</f>
        <v/>
      </c>
      <c r="CX304">
        <f>IF($C304="",0,IF(COUNTIFS('月1回_2ヶ月前の在庫'!$V$6:$V$10005,'設定'!$C$4,'月1回_2ヶ月前の在庫'!$W$6:$W$10005,$C304)&gt;0,1,0))</f>
        <v/>
      </c>
      <c r="CY304">
        <f>IF(OR($C304="",'設定'!$C$12=""),"",IF('設定'!$C$13="",IF(AND($CV304=1,$CW304=0),"新商品（今月から）",IF(AND($CV304=0,$CW304=1),"終売（今月から）","")),IF(AND($CV304=1,$CW304=0,$CX304=0),"新商品（今月から）",IF(AND($CV304=1,$CW304=1,$CX304=0),"新商品（先月から）",IF(AND($CV304=0,$CW304=1,$CX304=1),"終売（今月から）",IF(AND($CV304=0,$CW304=0,$CX304=1),"終売（先月から）",IF(AND($CV304=1,$CW304=0,$CX304=1),"復活（先月は無し）","")))))))</f>
        <v/>
      </c>
    </row>
    <row r="305">
      <c r="B305">
        <f>IF(300&lt;='設定'!$C$11,300,"")</f>
        <v/>
      </c>
      <c r="C305">
        <f>IF($B305="","",IF($B305&lt;='設定'!$C$20,INDEX('商品マスタ'!$B$6:$B$1005,MATCH($B305,'商品マスタ'!$M$6:$M$1005,0)),IF($B305&lt;='設定'!$C$20+'設定'!$C$17,INDEX('①在庫を貼る'!$W$6:$W$10005,MATCH($B305-'設定'!$C$20,'①在庫を貼る'!$U$6:$U$10005,0)),IF($B305&lt;='設定'!$C$20+'設定'!$C$17+'設定'!$C$18,INDEX('月1回_1ヶ月前の在庫'!$W$6:$W$10005,MATCH($B305-'設定'!$C$20-'設定'!$C$17,'月1回_1ヶ月前の在庫'!$U$6:$U$10005,0)),INDEX('月1回_2ヶ月前の在庫'!$W$6:$W$10005,MATCH($B305-'設定'!$C$20-'設定'!$C$17-'設定'!$C$18,'月1回_2ヶ月前の在庫'!$U$6:$U$10005,0))))))</f>
        <v/>
      </c>
      <c r="D305">
        <f>IF($C305="","",IFERROR(IF(INDEX('商品マスタ'!$C$6:$C$1005,MATCH($C305,'商品マスタ'!$B$6:$B$1005,0))="",IFERROR(INDEX('①在庫を貼る'!$J$6:$J$10005,MATCH($C305,'①在庫を貼る'!$W$6:$W$10005,0)),IFERROR(INDEX('月1回_1ヶ月前の在庫'!$J$6:$J$10005,MATCH($C305,'月1回_1ヶ月前の在庫'!$W$6:$W$10005,0)),IFERROR(INDEX('月1回_2ヶ月前の在庫'!$J$6:$J$10005,MATCH($C305,'月1回_2ヶ月前の在庫'!$W$6:$W$10005,0)),""))),INDEX('商品マスタ'!$C$6:$C$1005,MATCH($C305,'商品マスタ'!$B$6:$B$1005,0))),IFERROR(INDEX('①在庫を貼る'!$J$6:$J$10005,MATCH($C305,'①在庫を貼る'!$W$6:$W$10005,0)),IFERROR(INDEX('月1回_1ヶ月前の在庫'!$J$6:$J$10005,MATCH($C305,'月1回_1ヶ月前の在庫'!$W$6:$W$10005,0)),IFERROR(INDEX('月1回_2ヶ月前の在庫'!$J$6:$J$10005,MATCH($C305,'月1回_2ヶ月前の在庫'!$W$6:$W$10005,0)),"")))))</f>
        <v/>
      </c>
      <c r="E305">
        <f>IF($C305="","",IFERROR(IF(INDEX('商品マスタ'!$D$6:$D$1005,MATCH($C305,'商品マスタ'!$B$6:$B$1005,0))="",IFERROR(INDEX('①在庫を貼る'!$H$6:$H$10005,MATCH($C305,'①在庫を貼る'!$W$6:$W$10005,0)),IFERROR(INDEX('月1回_1ヶ月前の在庫'!$H$6:$H$10005,MATCH($C305,'月1回_1ヶ月前の在庫'!$W$6:$W$10005,0)),IFERROR(INDEX('月1回_2ヶ月前の在庫'!$H$6:$H$10005,MATCH($C305,'月1回_2ヶ月前の在庫'!$W$6:$W$10005,0)),""))),INDEX('商品マスタ'!$D$6:$D$1005,MATCH($C305,'商品マスタ'!$B$6:$B$1005,0))),IFERROR(INDEX('①在庫を貼る'!$H$6:$H$10005,MATCH($C305,'①在庫を貼る'!$W$6:$W$10005,0)),IFERROR(INDEX('月1回_1ヶ月前の在庫'!$H$6:$H$10005,MATCH($C305,'月1回_1ヶ月前の在庫'!$W$6:$W$10005,0)),IFERROR(INDEX('月1回_2ヶ月前の在庫'!$H$6:$H$10005,MATCH($C305,'月1回_2ヶ月前の在庫'!$W$6:$W$10005,0)),"")))))</f>
        <v/>
      </c>
      <c r="F305">
        <f>IF($C305="","",IFERROR(IF(INDEX('商品マスタ'!$E$6:$E$1005,MATCH($C305,'商品マスタ'!$B$6:$B$1005,0))="",IFERROR(INDEX('①在庫を貼る'!$E$6:$E$10005,MATCH($C305,'①在庫を貼る'!$W$6:$W$10005,0)),IFERROR(INDEX('月1回_1ヶ月前の在庫'!$E$6:$E$10005,MATCH($C305,'月1回_1ヶ月前の在庫'!$W$6:$W$10005,0)),IFERROR(INDEX('月1回_2ヶ月前の在庫'!$E$6:$E$10005,MATCH($C305,'月1回_2ヶ月前の在庫'!$W$6:$W$10005,0)),""))),INDEX('商品マスタ'!$E$6:$E$1005,MATCH($C305,'商品マスタ'!$B$6:$B$1005,0))),IFERROR(INDEX('①在庫を貼る'!$E$6:$E$10005,MATCH($C305,'①在庫を貼る'!$W$6:$W$10005,0)),IFERROR(INDEX('月1回_1ヶ月前の在庫'!$E$6:$E$10005,MATCH($C305,'月1回_1ヶ月前の在庫'!$W$6:$W$10005,0)),IFERROR(INDEX('月1回_2ヶ月前の在庫'!$E$6:$E$10005,MATCH($C305,'月1回_2ヶ月前の在庫'!$W$6:$W$10005,0)),"")))))</f>
        <v/>
      </c>
      <c r="G305">
        <f>IF($C305="","",MAX(1,N(IFERROR(IF(INDEX('商品マスタ'!$F$6:$F$1005,MATCH($C305,'商品マスタ'!$B$6:$B$1005,0))="",IF(COUNTIFS('①在庫を貼る'!$V$6:$V$10005,'設定'!$C$4,'①在庫を貼る'!$W$6:$W$10005,$C305)&gt;0,SUMIFS('①在庫を貼る'!$K$6:$K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K$6:$K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K$6:$K$10005,'月1回_2ヶ月前の在庫'!$V$6:$V$10005,'設定'!$C$4,'月1回_2ヶ月前の在庫'!$W$6:$W$10005,$C305)/COUNTIFS('月1回_2ヶ月前の在庫'!$V$6:$V$10005,'設定'!$C$4,'月1回_2ヶ月前の在庫'!$W$6:$W$10005,$C305),0))),INDEX('商品マスタ'!$F$6:$F$1005,MATCH($C305,'商品マスタ'!$B$6:$B$1005,0))),IF(COUNTIFS('①在庫を貼る'!$V$6:$V$10005,'設定'!$C$4,'①在庫を貼る'!$W$6:$W$10005,$C305)&gt;0,SUMIFS('①在庫を貼る'!$K$6:$K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K$6:$K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K$6:$K$10005,'月1回_2ヶ月前の在庫'!$V$6:$V$10005,'設定'!$C$4,'月1回_2ヶ月前の在庫'!$W$6:$W$10005,$C305)/COUNTIFS('月1回_2ヶ月前の在庫'!$V$6:$V$10005,'設定'!$C$4,'月1回_2ヶ月前の在庫'!$W$6:$W$10005,$C305),0)))))))</f>
        <v/>
      </c>
      <c r="H305">
        <f>IF($C305="","",N(IFERROR(IF(INDEX('商品マスタ'!$G$6:$G$1005,MATCH($C305,'商品マスタ'!$B$6:$B$1005,0))="",IF(COUNTIFS('①在庫を貼る'!$V$6:$V$10005,'設定'!$C$4,'①在庫を貼る'!$W$6:$W$10005,$C305)&gt;0,SUMIFS('①在庫を貼る'!$Q$6:$Q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Q$6:$Q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Q$6:$Q$10005,'月1回_2ヶ月前の在庫'!$V$6:$V$10005,'設定'!$C$4,'月1回_2ヶ月前の在庫'!$W$6:$W$10005,$C305)/COUNTIFS('月1回_2ヶ月前の在庫'!$V$6:$V$10005,'設定'!$C$4,'月1回_2ヶ月前の在庫'!$W$6:$W$10005,$C305),0))),INDEX('商品マスタ'!$G$6:$G$1005,MATCH($C305,'商品マスタ'!$B$6:$B$1005,0))),IF(COUNTIFS('①在庫を貼る'!$V$6:$V$10005,'設定'!$C$4,'①在庫を貼る'!$W$6:$W$10005,$C305)&gt;0,SUMIFS('①在庫を貼る'!$Q$6:$Q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Q$6:$Q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Q$6:$Q$10005,'月1回_2ヶ月前の在庫'!$V$6:$V$10005,'設定'!$C$4,'月1回_2ヶ月前の在庫'!$W$6:$W$10005,$C305)/COUNTIFS('月1回_2ヶ月前の在庫'!$V$6:$V$10005,'設定'!$C$4,'月1回_2ヶ月前の在庫'!$W$6:$W$10005,$C305),0))))))</f>
        <v/>
      </c>
      <c r="I305">
        <f>IF($C305="","",IF(COUNTIFS('①在庫を貼る'!$V$6:$V$10005,'設定'!$C$4,'①在庫を貼る'!$W$6:$W$10005,$C305)=0,"",SUMIFS('①在庫を貼る'!$N$6:$N$10005,'①在庫を貼る'!$V$6:$V$10005,'設定'!$C$4,'①在庫を貼る'!$W$6:$W$10005,$C305)))</f>
        <v/>
      </c>
      <c r="J305">
        <f>IF($C305="","",IF('②発注する'!$AD309="","",'②発注する'!$AD309))</f>
        <v/>
      </c>
      <c r="K305" s="90">
        <f>IF($C305="","",IF('②発注する'!$AE309="","",'②発注する'!$AE309))</f>
        <v/>
      </c>
      <c r="L305">
        <f>IF($C305="","",IF(AND(ISNUMBER($J305),ISNUMBER($K305),$K305&gt;='設定'!$C$6),$J305,N($I305)))</f>
        <v/>
      </c>
      <c r="M305">
        <f>IF($C305="","",IFERROR(IF(N(INDEX('商品マスタ'!$J$6:$J$1005,MATCH($C305,'商品マスタ'!$B$6:$B$1005,0)))&gt;0,INDEX('商品マスタ'!$J$6:$J$1005,MATCH($C305,'商品マスタ'!$B$6:$B$1005,0)),""),""))</f>
        <v/>
      </c>
      <c r="N305">
        <f>IF($C305="","",IFERROR(IF(N(INDEX('商品マスタ'!$H$6:$H$1005,MATCH($C305,'商品マスタ'!$B$6:$B$1005,0)))&gt;0,INDEX('商品マスタ'!$H$6:$H$1005,MATCH($C305,'商品マスタ'!$B$6:$B$1005,0)),""),""))</f>
        <v/>
      </c>
      <c r="O305">
        <f>IF($C305="","",IF($N305&lt;&gt;"",$N305*$G305,IF(N(IF(COUNTIFS('①在庫を貼る'!$V$6:$V$10005,'設定'!$C$4,'①在庫を貼る'!$W$6:$W$10005,$C305)&gt;0,SUMIFS('①在庫を貼る'!$O$6:$O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O$6:$O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O$6:$O$10005,'月1回_2ヶ月前の在庫'!$V$6:$V$10005,'設定'!$C$4,'月1回_2ヶ月前の在庫'!$W$6:$W$10005,$C305)/COUNTIFS('月1回_2ヶ月前の在庫'!$V$6:$V$10005,'設定'!$C$4,'月1回_2ヶ月前の在庫'!$W$6:$W$10005,$C305),0))))&gt;0,N(IF(COUNTIFS('①在庫を貼る'!$V$6:$V$10005,'設定'!$C$4,'①在庫を貼る'!$W$6:$W$10005,$C305)&gt;0,SUMIFS('①在庫を貼る'!$O$6:$O$10005,'①在庫を貼る'!$V$6:$V$10005,'設定'!$C$4,'①在庫を貼る'!$W$6:$W$10005,$C305)/COUNTIFS('①在庫を貼る'!$V$6:$V$10005,'設定'!$C$4,'①在庫を貼る'!$W$6:$W$10005,$C305),IF(COUNTIFS('月1回_1ヶ月前の在庫'!$V$6:$V$10005,'設定'!$C$4,'月1回_1ヶ月前の在庫'!$W$6:$W$10005,$C305)&gt;0,SUMIFS('月1回_1ヶ月前の在庫'!$O$6:$O$10005,'月1回_1ヶ月前の在庫'!$V$6:$V$10005,'設定'!$C$4,'月1回_1ヶ月前の在庫'!$W$6:$W$10005,$C305)/COUNTIFS('月1回_1ヶ月前の在庫'!$V$6:$V$10005,'設定'!$C$4,'月1回_1ヶ月前の在庫'!$W$6:$W$10005,$C305),IF(COUNTIFS('月1回_2ヶ月前の在庫'!$V$6:$V$10005,'設定'!$C$4,'月1回_2ヶ月前の在庫'!$W$6:$W$10005,$C305)&gt;0,SUMIFS('月1回_2ヶ月前の在庫'!$O$6:$O$10005,'月1回_2ヶ月前の在庫'!$V$6:$V$10005,'設定'!$C$4,'月1回_2ヶ月前の在庫'!$W$6:$W$10005,$C305)/COUNTIFS('月1回_2ヶ月前の在庫'!$V$6:$V$10005,'設定'!$C$4,'月1回_2ヶ月前の在庫'!$W$6:$W$10005,$C305),0)))),"")))</f>
        <v/>
      </c>
      <c r="P305" s="90">
        <f>IF($C305="","",IF('②発注する'!$I309="","",'②発注する'!$I309))</f>
        <v/>
      </c>
      <c r="Q305">
        <f>IF($C305="","",IF('②発注する'!$J309="","",'②発注する'!$J309))</f>
        <v/>
      </c>
      <c r="R305">
        <f>IF($C305="",0,IF(AND(ISNUMBER($P305),ISNUMBER($Q305)),MAX(0,$Q305)*$G305,0))</f>
        <v/>
      </c>
      <c r="S305" s="90">
        <f>IF($C305="","",IF('②発注する'!$M309="","",'②発注する'!$M309))</f>
        <v/>
      </c>
      <c r="T305">
        <f>IF($C305="","",IF('②発注する'!$N309="","",'②発注する'!$N309))</f>
        <v/>
      </c>
      <c r="U305">
        <f>IF($C305="",0,IF(AND(ISNUMBER($S305),ISNUMBER($T305)),MAX(0,$T305)*$G305,0))</f>
        <v/>
      </c>
      <c r="V305">
        <f>IF($C305="",0,IF($M305="",0,MAX(0,$M305)*MAX(0,V$4)/100))</f>
        <v/>
      </c>
      <c r="W305">
        <f>IF($C305="",0,IF($M305="",0,MAX(0,$M305)*MAX(0,W$4)/100))</f>
        <v/>
      </c>
      <c r="X305">
        <f>IF($C305="",0,IF($M305="",0,MAX(0,$M305)*MAX(0,X$4)/100))</f>
        <v/>
      </c>
      <c r="Y305">
        <f>IF($C305="",0,IF($M305="",0,MAX(0,$M305)*MAX(0,Y$4)/100))</f>
        <v/>
      </c>
      <c r="Z305">
        <f>IF($C305="",0,IF($M305="",0,MAX(0,$M305)*MAX(0,Z$4)/100))</f>
        <v/>
      </c>
      <c r="AA305">
        <f>IF($C305="",0,IF($M305="",0,MAX(0,$M305)*MAX(0,AA$4)/100))</f>
        <v/>
      </c>
      <c r="AB305">
        <f>IF($C305="",0,IF($M305="",0,MAX(0,$M305)*MAX(0,AB$4)/100))</f>
        <v/>
      </c>
      <c r="AC305">
        <f>IF($C305="",0,IF($M305="",0,MAX(0,$M305)*MAX(0,AC$4)/100))</f>
        <v/>
      </c>
      <c r="AD305">
        <f>IF($C305="",0,IF($M305="",0,MAX(0,$M305)*MAX(0,AD$4)/100))</f>
        <v/>
      </c>
      <c r="AE305">
        <f>IF($C305="",0,IF($M305="",0,MAX(0,$M305)*MAX(0,AE$4)/100))</f>
        <v/>
      </c>
      <c r="AF305">
        <f>IF($C305="",0,IF($M305="",0,MAX(0,$M305)*MAX(0,AF$4)/100))</f>
        <v/>
      </c>
      <c r="AG305">
        <f>IF($C305="",0,IF($M305="",0,MAX(0,$M305)*MAX(0,AG$4)/100))</f>
        <v/>
      </c>
      <c r="AH305">
        <f>IF($C305="",0,IF($M305="",0,MAX(0,$M305)*MAX(0,AH$4)/100))</f>
        <v/>
      </c>
      <c r="AI305">
        <f>IF($C305="",0,IF($M305="",0,MAX(0,$M305)*MAX(0,AI$4)/100))</f>
        <v/>
      </c>
      <c r="AJ305">
        <f>IF($C305="",0,MAX(0,MAX(0,N($L305))-$V305))</f>
        <v/>
      </c>
      <c r="AK305">
        <f>IF($C305="",0,MAX(0,$AJ305-$W305))</f>
        <v/>
      </c>
      <c r="AL305">
        <f>IF($C305="",0,MAX(0,$AK305-$X305))</f>
        <v/>
      </c>
      <c r="AM305">
        <f>IF($C305="",0,MAX(0,$AL305-$Y305))</f>
        <v/>
      </c>
      <c r="AN305">
        <f>IF($C305="",0,MAX(0,$AM305-$Z305))</f>
        <v/>
      </c>
      <c r="AO305">
        <f>IF($C305="",0,MAX(0,$AN305-$AA305))</f>
        <v/>
      </c>
      <c r="AP305">
        <f>IF($C305="",0,MAX(0,$AO305-$AB305))</f>
        <v/>
      </c>
      <c r="AQ305">
        <f>IF($C305="",0,MAX(0,$AP305-$AC305))</f>
        <v/>
      </c>
      <c r="AR305">
        <f>IF($C305="",0,MAX(0,$AQ305-$AD305))</f>
        <v/>
      </c>
      <c r="AS305">
        <f>IF($C305="",0,MAX(0,$AR305-$AE305))</f>
        <v/>
      </c>
      <c r="AT305">
        <f>IF($C305="",0,MAX(0,$AS305-$AF305))</f>
        <v/>
      </c>
      <c r="AU305">
        <f>IF($C305="",0,MAX(0,$AT305-$AG305))</f>
        <v/>
      </c>
      <c r="AV305">
        <f>IF($C305="",0,MAX(0,$AU305-$AH305))</f>
        <v/>
      </c>
      <c r="AW305">
        <f>IF($C305="",0,MAX(0,$AV305-$AI305))</f>
        <v/>
      </c>
      <c r="AX305">
        <f>IF($C305="",0,MAX(0,MAX(0,N($L305))+IF($P305=V$3,$R305,0)+IF($S305=V$3,$U305,0)-$V305))</f>
        <v/>
      </c>
      <c r="AY305">
        <f>IF($C305="",0,MAX(0,$AX305+IF($P305=W$3,$R305,0)+IF($S305=W$3,$U305,0)-$W305))</f>
        <v/>
      </c>
      <c r="AZ305">
        <f>IF($C305="",0,MAX(0,$AY305+IF($P305=X$3,$R305,0)+IF($S305=X$3,$U305,0)-$X305))</f>
        <v/>
      </c>
      <c r="BA305">
        <f>IF($C305="",0,MAX(0,$AZ305+IF($P305=Y$3,$R305,0)+IF($S305=Y$3,$U305,0)-$Y305))</f>
        <v/>
      </c>
      <c r="BB305">
        <f>IF($C305="",0,MAX(0,$BA305+IF($P305=Z$3,$R305,0)+IF($S305=Z$3,$U305,0)-$Z305))</f>
        <v/>
      </c>
      <c r="BC305">
        <f>IF($C305="",0,MAX(0,$BB305+IF($P305=AA$3,$R305,0)+IF($S305=AA$3,$U305,0)-$AA305))</f>
        <v/>
      </c>
      <c r="BD305">
        <f>IF($C305="",0,MAX(0,$BC305+IF($P305=AB$3,$R305,0)+IF($S305=AB$3,$U305,0)-$AB305))</f>
        <v/>
      </c>
      <c r="BE305">
        <f>IF($C305="",0,MAX(0,$BD305+IF($P305=AC$3,$R305,0)+IF($S305=AC$3,$U305,0)-$AC305))</f>
        <v/>
      </c>
      <c r="BF305">
        <f>IF($C305="",0,MAX(0,$BE305+IF($P305=AD$3,$R305,0)+IF($S305=AD$3,$U305,0)-$AD305))</f>
        <v/>
      </c>
      <c r="BG305">
        <f>IF($C305="",0,MAX(0,$BF305+IF($P305=AE$3,$R305,0)+IF($S305=AE$3,$U305,0)-$AE305))</f>
        <v/>
      </c>
      <c r="BH305">
        <f>IF($C305="",0,MAX(0,$BG305+IF($P305=AF$3,$R305,0)+IF($S305=AF$3,$U305,0)-$AF305))</f>
        <v/>
      </c>
      <c r="BI305">
        <f>IF($C305="",0,MAX(0,$BH305+IF($P305=AG$3,$R305,0)+IF($S305=AG$3,$U305,0)-$AG305))</f>
        <v/>
      </c>
      <c r="BJ305">
        <f>IF($C305="",0,MAX(0,$BI305+IF($P305=AH$3,$R305,0)+IF($S305=AH$3,$U305,0)-$AH305))</f>
        <v/>
      </c>
      <c r="BK305">
        <f>IF($C305="",0,MAX(0,$BJ305+IF($P305=AI$3,$R305,0)+IF($S305=AI$3,$U305,0)-$AI305))</f>
        <v/>
      </c>
      <c r="BL305">
        <f>IF($C305="",99,IF(AND($AX305&lt;1,V$3&gt;=MAX(N($P305),N($S305))),0,99))</f>
        <v/>
      </c>
      <c r="BM305">
        <f>IF($C305="",99,IF(AND($AY305&lt;1,W$3&gt;=MAX(N($P305),N($S305))),1,99))</f>
        <v/>
      </c>
      <c r="BN305">
        <f>IF($C305="",99,IF(AND($AZ305&lt;1,X$3&gt;=MAX(N($P305),N($S305))),2,99))</f>
        <v/>
      </c>
      <c r="BO305">
        <f>IF($C305="",99,IF(AND($BA305&lt;1,Y$3&gt;=MAX(N($P305),N($S305))),3,99))</f>
        <v/>
      </c>
      <c r="BP305">
        <f>IF($C305="",99,IF(AND($BB305&lt;1,Z$3&gt;=MAX(N($P305),N($S305))),4,99))</f>
        <v/>
      </c>
      <c r="BQ305">
        <f>IF($C305="",99,IF(AND($BC305&lt;1,AA$3&gt;=MAX(N($P305),N($S305))),5,99))</f>
        <v/>
      </c>
      <c r="BR305">
        <f>IF($C305="",99,IF(AND($BD305&lt;1,AB$3&gt;=MAX(N($P305),N($S305))),6,99))</f>
        <v/>
      </c>
      <c r="BS305">
        <f>IF($C305="",99,IF(AND($BE305&lt;1,AC$3&gt;=MAX(N($P305),N($S305))),7,99))</f>
        <v/>
      </c>
      <c r="BT305">
        <f>IF($C305="",99,IF(AND($BF305&lt;1,AD$3&gt;=MAX(N($P305),N($S305))),8,99))</f>
        <v/>
      </c>
      <c r="BU305">
        <f>IF($C305="",99,IF(AND($BG305&lt;1,AE$3&gt;=MAX(N($P305),N($S305))),9,99))</f>
        <v/>
      </c>
      <c r="BV305">
        <f>IF($C305="",99,IF(AND($BH305&lt;1,AF$3&gt;=MAX(N($P305),N($S305))),10,99))</f>
        <v/>
      </c>
      <c r="BW305">
        <f>IF($C305="",99,IF(AND($BI305&lt;1,AG$3&gt;=MAX(N($P305),N($S305))),11,99))</f>
        <v/>
      </c>
      <c r="BX305">
        <f>IF($C305="",99,IF(AND($BJ305&lt;1,AH$3&gt;=MAX(N($P305),N($S305))),12,99))</f>
        <v/>
      </c>
      <c r="BY305">
        <f>IF($C305="",99,IF(AND($BK305&lt;1,AI$3&gt;=MAX(N($P305),N($S305))),13,99))</f>
        <v/>
      </c>
      <c r="BZ305">
        <f>IF(OR($C305="",$M305=""),"",COUNTIF($AJ305:$AW305,"&gt;=1"))</f>
        <v/>
      </c>
      <c r="CA305" s="90">
        <f>IF($BZ305="","",IF($BZ305&gt;=14,"",'設定'!$C$6+$BZ305))</f>
        <v/>
      </c>
      <c r="CB305">
        <f>IF(OR($C305="",$M305=""),"",MIN($BL305:$BY305))</f>
        <v/>
      </c>
      <c r="CC305" s="90">
        <f>IF($CB305="","",IF($CB305&gt;=99,"",'設定'!$C$6+$CB305))</f>
        <v/>
      </c>
      <c r="CD305">
        <f>IF(OR($C305="",$M305=""),"",AVERAGE($V305:$AI305))</f>
        <v/>
      </c>
      <c r="CE305">
        <f>IF($C305="","",IFERROR(IF(MATCH(IF(ISNUMBER($P305),$P305,'設定'!$C$6+N('設定'!$C$7)),$V$3:$AI$3,0)=1,MAX(0,N($L305)),INDEX($AJ305:$AW305,MATCH(IF(ISNUMBER($P305),$P305,'設定'!$C$6+N('設定'!$C$7)),$V$3:$AI$3,0)-1)),""))</f>
        <v/>
      </c>
      <c r="CF305">
        <f>IF(OR($C305="",$O305="",$CE305=""),"",IF($O305-$CE305&lt;=0,0,ROUNDUP(($O305-$CE305)/$G305,0)))</f>
        <v/>
      </c>
      <c r="CG305">
        <f>IF(OR($C305="",$CF305="",NOT(ISNUMBER($Q305))),0,MAX(0,$Q305-$CF305))</f>
        <v/>
      </c>
      <c r="CH305">
        <f>IF(OR($C305="",$O305="",$U305=0),0,IFERROR(ROUNDUP(MAX(0,IF(MATCH($S305,$V$3:$AI$3,0)=1,MAX(0,N($L305)),INDEX($AX305:$BK305,MATCH($S305,$V$3:$AI$3,0)-1))+$U305-$O305)/$G305,0),0))</f>
        <v/>
      </c>
      <c r="CI305">
        <f>IF($C305="","",IF(AND($P305="",$Q305=""),"",IF($P305="","⚠ 入庫日を ▼ から選んでください",IF(NOT(ISNUMBER($P305)),"⚠ 入庫日は ▼ から選んでください",IF($P305&lt;N('設定'!$C$6),"⚠ 入庫日が過去です（もう在庫に入っています）→ 消してください",IF($P305&gt;N('設定'!$C$6)+13,"⚠ 入庫日が14日より先です",IF(N($Q305)&lt;=0,"⚠ 入庫数を入れてください",IF($CG305&gt;0,"⚠ 目安より "&amp;$CG305&amp;" 多い（定数を超える）→ 減らす",""))))))))</f>
        <v/>
      </c>
      <c r="CJ305">
        <f>IF($C305="","",IF(AND($S305="",$T305=""),"",IF($S305="","⚠ 2便目：入庫日を ▼ から選んでください",IF(NOT(ISNUMBER($S305)),"⚠ 2便目：入庫日は ▼ から選んでください",IF($S305&lt;N('設定'!$C$6),"⚠ 2便目：入庫日が過去です（もう在庫に入っています）→ 消してください",IF($S305&gt;N('設定'!$C$6)+13,"⚠ 2便目：入庫日が14日より先です",IF(N($T305)&lt;=0,"⚠ 2便目：入庫数を入れてください",IF($CH305&gt;0,"⚠ 2便目：定数を "&amp;$CH305&amp;" ケース超える → 減らす",""))))))))</f>
        <v/>
      </c>
      <c r="CK305">
        <f>IF(AND($CI305="",N($Q305)&gt;0,ISNUMBER($P305)),1,0)</f>
        <v/>
      </c>
      <c r="CL305">
        <f>IF(AND($CJ305="",N($T305)&gt;0,ISNUMBER($S305)),1,0)</f>
        <v/>
      </c>
      <c r="CM305">
        <f>IF(OR($CK305=1,$CL305=1),1,0)</f>
        <v/>
      </c>
      <c r="CN305">
        <f>IF($C305="",0,($CK305*$R305+$CL305*$U305)*N($H305))</f>
        <v/>
      </c>
      <c r="CO305">
        <f>IF($C305="","",IF($CC305="","入庫後は 14日以上もつ",IF($CC305-N('設定'!$C$7)&lt;='設定'!$C$6,"入庫後も "&amp;TEXT($CC305,"m/d")&amp;"("&amp;CHOOSE(WEEKDAY($CC305),"日","月","火","水","木","金","土")&amp;")"&amp;" に切れる　もう1便を至急発注","入庫後も "&amp;TEXT($CC305,"m/d")&amp;"("&amp;CHOOSE(WEEKDAY($CC305),"日","月","火","水","木","金","土")&amp;")"&amp;" に切れる　"&amp;TEXT($CC305-N('設定'!$C$7),"m/d")&amp;"("&amp;CHOOSE(WEEKDAY($CC305-N('設定'!$C$7)),"日","月","火","水","木","金","土")&amp;")"&amp;" までに次を発注")))</f>
        <v/>
      </c>
      <c r="CP305">
        <f>IF($C305="","",IF('設定'!$C$6="","？ ①在庫を貼る に今日のCSVが貼られていない",IF($CS305=1,"－ 今日のCSVに無い（終売？）",IF($L305&lt;0,"● 在庫がマイナス　数えて「数えた在庫」に入れる",IF($L305=0,"● 在庫なし　至急発注",IF($M305="","？ 減り数が未設定（商品マスタ）",IF($B$3=0,"？ 動員が未入力（動員を入れる）",IF($CA305="","○ 14日以上もつ",IF($BZ305&lt;N('設定'!$C$7),"● "&amp;TEXT($CA305,"m/d")&amp;"("&amp;CHOOSE(WEEKDAY($CA305),"日","月","火","水","木","金","土")&amp;")"&amp;" に切れる　至急発注",IF($BZ305=N('設定'!$C$7),"● "&amp;TEXT($CA305,"m/d")&amp;"("&amp;CHOOSE(WEEKDAY($CA305),"日","月","火","水","木","金","土")&amp;")"&amp;" に切れる　今日発注","△ "&amp;TEXT($CA305,"m/d")&amp;"("&amp;CHOOSE(WEEKDAY($CA305),"日","月","火","水","木","金","土")&amp;")"&amp;" に切れる　"&amp;TEXT($CA305-N('設定'!$C$7),"m/d")&amp;"("&amp;CHOOSE(WEEKDAY($CA305-N('設定'!$C$7)),"日","月","火","水","木","金","土")&amp;")"&amp;" までに発注"))))))))))</f>
        <v/>
      </c>
      <c r="CQ305">
        <f>IF($C305="","",IF(AND($P305="",$Q305="",$S305="",$T305=""),"",IF(AND($P305="",$Q305=""),"⚠ 先に1便目（左の入庫日・入庫数）に入れてください",IF($CI305&lt;&gt;"",$CI305,IF($CJ305&lt;&gt;"",$CJ305,IF($M305="","？ 減り数が未設定（発注書には載ります）",IF($B$3=0,"？ 動員が未入力（発注書には載ります）",IF(AND($CA305&lt;&gt;"",$P305&gt;$CA305),IF($P305&gt;'設定'!$C$6+N('設定'!$C$7),"● "&amp;TEXT($P305,"m/d")&amp;"("&amp;CHOOSE(WEEKDAY($P305),"日","月","火","水","木","金","土")&amp;")"&amp;" の入庫では間に合わない（"&amp;TEXT($CA305,"m/d")&amp;"("&amp;CHOOSE(WEEKDAY($CA305),"日","月","火","水","木","金","土")&amp;")"&amp;" に切れる）　入庫日を早める","△ 欠品 "&amp;TEXT($CA305,"m/d")&amp;"("&amp;CHOOSE(WEEKDAY($CA305),"日","月","火","水","木","金","土")&amp;")"&amp;"〜"&amp;TEXT($P305-1,"m/d")&amp;"("&amp;CHOOSE(WEEKDAY($P305-1),"日","月","火","水","木","金","土")&amp;")"&amp;"　"&amp;$CO305),IF($CC305="","○ "&amp;TEXT($P305,"m/d")&amp;"("&amp;CHOOSE(WEEKDAY($P305),"日","月","火","水","木","金","土")&amp;")"&amp;" 入庫で 14日以上もつ",IF($CC305-N('設定'!$C$7)&lt;='設定'!$C$6,"● 入庫しても "&amp;TEXT($CC305,"m/d")&amp;"("&amp;CHOOSE(WEEKDAY($CC305),"日","月","火","水","木","金","土")&amp;")"&amp;" に切れる　もう1便を至急発注（2便目に入れる）","△ 入庫しても "&amp;TEXT($CC305,"m/d")&amp;"("&amp;CHOOSE(WEEKDAY($CC305),"日","月","火","水","木","金","土")&amp;")"&amp;" に切れる　"&amp;TEXT($CC305-N('設定'!$C$7),"m/d")&amp;"("&amp;CHOOSE(WEEKDAY($CC305-N('設定'!$C$7)),"日","月","火","水","木","金","土")&amp;")"&amp;" までに次を発注（2便目に入れる）"))))))))))</f>
        <v/>
      </c>
      <c r="CR305">
        <f>IF($C305="","",IF($G305&gt;1,"ｹｰｽ("&amp;$G305&amp;"入)","個"))</f>
        <v/>
      </c>
      <c r="CS305">
        <f>IF($C305="",0,IF(COUNTIFS('①在庫を貼る'!$V$6:$V$10005,'設定'!$C$4,'①在庫を貼る'!$W$6:$W$10005,$C305)=0,1,0))</f>
        <v/>
      </c>
      <c r="CT305">
        <f>IF(AND($CK305=1,OR('③発注書'!$C$4="すべて",'③発注書'!$C$4="",$F305='③発注書'!$C$4)),N($CT304)+1,N($CT304))</f>
        <v/>
      </c>
      <c r="CU305">
        <f>IF(AND($CL305=1,OR('③発注書'!$C$4="すべて",'③発注書'!$C$4="",$F305='③発注書'!$C$4)),N($CU304)+1,N($CU304))</f>
        <v/>
      </c>
      <c r="CV305">
        <f>IF($C305="",0,IF(COUNTIFS('①在庫を貼る'!$V$6:$V$10005,'設定'!$C$4,'①在庫を貼る'!$W$6:$W$10005,$C305)&gt;0,1,0))</f>
        <v/>
      </c>
      <c r="CW305">
        <f>IF($C305="",0,IF(COUNTIFS('月1回_1ヶ月前の在庫'!$V$6:$V$10005,'設定'!$C$4,'月1回_1ヶ月前の在庫'!$W$6:$W$10005,$C305)&gt;0,1,0))</f>
        <v/>
      </c>
      <c r="CX305">
        <f>IF($C305="",0,IF(COUNTIFS('月1回_2ヶ月前の在庫'!$V$6:$V$10005,'設定'!$C$4,'月1回_2ヶ月前の在庫'!$W$6:$W$10005,$C305)&gt;0,1,0))</f>
        <v/>
      </c>
      <c r="CY305">
        <f>IF(OR($C305="",'設定'!$C$12=""),"",IF('設定'!$C$13="",IF(AND($CV305=1,$CW305=0),"新商品（今月から）",IF(AND($CV305=0,$CW305=1),"終売（今月から）","")),IF(AND($CV305=1,$CW305=0,$CX305=0),"新商品（今月から）",IF(AND($CV305=1,$CW305=1,$CX305=0),"新商品（先月から）",IF(AND($CV305=0,$CW305=1,$CX305=1),"終売（今月から）",IF(AND($CV305=0,$CW305=0,$CX305=1),"終売（先月から）",IF(AND($CV305=1,$CW305=0,$CX305=1),"復活（先月は無し）","")))))))</f>
        <v/>
      </c>
    </row>
    <row r="306">
      <c r="B306">
        <f>IF(301&lt;='設定'!$C$11,301,"")</f>
        <v/>
      </c>
      <c r="C306">
        <f>IF($B306="","",IF($B306&lt;='設定'!$C$20,INDEX('商品マスタ'!$B$6:$B$1005,MATCH($B306,'商品マスタ'!$M$6:$M$1005,0)),IF($B306&lt;='設定'!$C$20+'設定'!$C$17,INDEX('①在庫を貼る'!$W$6:$W$10005,MATCH($B306-'設定'!$C$20,'①在庫を貼る'!$U$6:$U$10005,0)),IF($B306&lt;='設定'!$C$20+'設定'!$C$17+'設定'!$C$18,INDEX('月1回_1ヶ月前の在庫'!$W$6:$W$10005,MATCH($B306-'設定'!$C$20-'設定'!$C$17,'月1回_1ヶ月前の在庫'!$U$6:$U$10005,0)),INDEX('月1回_2ヶ月前の在庫'!$W$6:$W$10005,MATCH($B306-'設定'!$C$20-'設定'!$C$17-'設定'!$C$18,'月1回_2ヶ月前の在庫'!$U$6:$U$10005,0))))))</f>
        <v/>
      </c>
      <c r="D306">
        <f>IF($C306="","",IFERROR(IF(INDEX('商品マスタ'!$C$6:$C$1005,MATCH($C306,'商品マスタ'!$B$6:$B$1005,0))="",IFERROR(INDEX('①在庫を貼る'!$J$6:$J$10005,MATCH($C306,'①在庫を貼る'!$W$6:$W$10005,0)),IFERROR(INDEX('月1回_1ヶ月前の在庫'!$J$6:$J$10005,MATCH($C306,'月1回_1ヶ月前の在庫'!$W$6:$W$10005,0)),IFERROR(INDEX('月1回_2ヶ月前の在庫'!$J$6:$J$10005,MATCH($C306,'月1回_2ヶ月前の在庫'!$W$6:$W$10005,0)),""))),INDEX('商品マスタ'!$C$6:$C$1005,MATCH($C306,'商品マスタ'!$B$6:$B$1005,0))),IFERROR(INDEX('①在庫を貼る'!$J$6:$J$10005,MATCH($C306,'①在庫を貼る'!$W$6:$W$10005,0)),IFERROR(INDEX('月1回_1ヶ月前の在庫'!$J$6:$J$10005,MATCH($C306,'月1回_1ヶ月前の在庫'!$W$6:$W$10005,0)),IFERROR(INDEX('月1回_2ヶ月前の在庫'!$J$6:$J$10005,MATCH($C306,'月1回_2ヶ月前の在庫'!$W$6:$W$10005,0)),"")))))</f>
        <v/>
      </c>
      <c r="E306">
        <f>IF($C306="","",IFERROR(IF(INDEX('商品マスタ'!$D$6:$D$1005,MATCH($C306,'商品マスタ'!$B$6:$B$1005,0))="",IFERROR(INDEX('①在庫を貼る'!$H$6:$H$10005,MATCH($C306,'①在庫を貼る'!$W$6:$W$10005,0)),IFERROR(INDEX('月1回_1ヶ月前の在庫'!$H$6:$H$10005,MATCH($C306,'月1回_1ヶ月前の在庫'!$W$6:$W$10005,0)),IFERROR(INDEX('月1回_2ヶ月前の在庫'!$H$6:$H$10005,MATCH($C306,'月1回_2ヶ月前の在庫'!$W$6:$W$10005,0)),""))),INDEX('商品マスタ'!$D$6:$D$1005,MATCH($C306,'商品マスタ'!$B$6:$B$1005,0))),IFERROR(INDEX('①在庫を貼る'!$H$6:$H$10005,MATCH($C306,'①在庫を貼る'!$W$6:$W$10005,0)),IFERROR(INDEX('月1回_1ヶ月前の在庫'!$H$6:$H$10005,MATCH($C306,'月1回_1ヶ月前の在庫'!$W$6:$W$10005,0)),IFERROR(INDEX('月1回_2ヶ月前の在庫'!$H$6:$H$10005,MATCH($C306,'月1回_2ヶ月前の在庫'!$W$6:$W$10005,0)),"")))))</f>
        <v/>
      </c>
      <c r="F306">
        <f>IF($C306="","",IFERROR(IF(INDEX('商品マスタ'!$E$6:$E$1005,MATCH($C306,'商品マスタ'!$B$6:$B$1005,0))="",IFERROR(INDEX('①在庫を貼る'!$E$6:$E$10005,MATCH($C306,'①在庫を貼る'!$W$6:$W$10005,0)),IFERROR(INDEX('月1回_1ヶ月前の在庫'!$E$6:$E$10005,MATCH($C306,'月1回_1ヶ月前の在庫'!$W$6:$W$10005,0)),IFERROR(INDEX('月1回_2ヶ月前の在庫'!$E$6:$E$10005,MATCH($C306,'月1回_2ヶ月前の在庫'!$W$6:$W$10005,0)),""))),INDEX('商品マスタ'!$E$6:$E$1005,MATCH($C306,'商品マスタ'!$B$6:$B$1005,0))),IFERROR(INDEX('①在庫を貼る'!$E$6:$E$10005,MATCH($C306,'①在庫を貼る'!$W$6:$W$10005,0)),IFERROR(INDEX('月1回_1ヶ月前の在庫'!$E$6:$E$10005,MATCH($C306,'月1回_1ヶ月前の在庫'!$W$6:$W$10005,0)),IFERROR(INDEX('月1回_2ヶ月前の在庫'!$E$6:$E$10005,MATCH($C306,'月1回_2ヶ月前の在庫'!$W$6:$W$10005,0)),"")))))</f>
        <v/>
      </c>
      <c r="G306">
        <f>IF($C306="","",MAX(1,N(IFERROR(IF(INDEX('商品マスタ'!$F$6:$F$1005,MATCH($C306,'商品マスタ'!$B$6:$B$1005,0))="",IF(COUNTIFS('①在庫を貼る'!$V$6:$V$10005,'設定'!$C$4,'①在庫を貼る'!$W$6:$W$10005,$C306)&gt;0,SUMIFS('①在庫を貼る'!$K$6:$K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K$6:$K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K$6:$K$10005,'月1回_2ヶ月前の在庫'!$V$6:$V$10005,'設定'!$C$4,'月1回_2ヶ月前の在庫'!$W$6:$W$10005,$C306)/COUNTIFS('月1回_2ヶ月前の在庫'!$V$6:$V$10005,'設定'!$C$4,'月1回_2ヶ月前の在庫'!$W$6:$W$10005,$C306),0))),INDEX('商品マスタ'!$F$6:$F$1005,MATCH($C306,'商品マスタ'!$B$6:$B$1005,0))),IF(COUNTIFS('①在庫を貼る'!$V$6:$V$10005,'設定'!$C$4,'①在庫を貼る'!$W$6:$W$10005,$C306)&gt;0,SUMIFS('①在庫を貼る'!$K$6:$K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K$6:$K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K$6:$K$10005,'月1回_2ヶ月前の在庫'!$V$6:$V$10005,'設定'!$C$4,'月1回_2ヶ月前の在庫'!$W$6:$W$10005,$C306)/COUNTIFS('月1回_2ヶ月前の在庫'!$V$6:$V$10005,'設定'!$C$4,'月1回_2ヶ月前の在庫'!$W$6:$W$10005,$C306),0)))))))</f>
        <v/>
      </c>
      <c r="H306">
        <f>IF($C306="","",N(IFERROR(IF(INDEX('商品マスタ'!$G$6:$G$1005,MATCH($C306,'商品マスタ'!$B$6:$B$1005,0))="",IF(COUNTIFS('①在庫を貼る'!$V$6:$V$10005,'設定'!$C$4,'①在庫を貼る'!$W$6:$W$10005,$C306)&gt;0,SUMIFS('①在庫を貼る'!$Q$6:$Q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Q$6:$Q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Q$6:$Q$10005,'月1回_2ヶ月前の在庫'!$V$6:$V$10005,'設定'!$C$4,'月1回_2ヶ月前の在庫'!$W$6:$W$10005,$C306)/COUNTIFS('月1回_2ヶ月前の在庫'!$V$6:$V$10005,'設定'!$C$4,'月1回_2ヶ月前の在庫'!$W$6:$W$10005,$C306),0))),INDEX('商品マスタ'!$G$6:$G$1005,MATCH($C306,'商品マスタ'!$B$6:$B$1005,0))),IF(COUNTIFS('①在庫を貼る'!$V$6:$V$10005,'設定'!$C$4,'①在庫を貼る'!$W$6:$W$10005,$C306)&gt;0,SUMIFS('①在庫を貼る'!$Q$6:$Q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Q$6:$Q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Q$6:$Q$10005,'月1回_2ヶ月前の在庫'!$V$6:$V$10005,'設定'!$C$4,'月1回_2ヶ月前の在庫'!$W$6:$W$10005,$C306)/COUNTIFS('月1回_2ヶ月前の在庫'!$V$6:$V$10005,'設定'!$C$4,'月1回_2ヶ月前の在庫'!$W$6:$W$10005,$C306),0))))))</f>
        <v/>
      </c>
      <c r="I306">
        <f>IF($C306="","",IF(COUNTIFS('①在庫を貼る'!$V$6:$V$10005,'設定'!$C$4,'①在庫を貼る'!$W$6:$W$10005,$C306)=0,"",SUMIFS('①在庫を貼る'!$N$6:$N$10005,'①在庫を貼る'!$V$6:$V$10005,'設定'!$C$4,'①在庫を貼る'!$W$6:$W$10005,$C306)))</f>
        <v/>
      </c>
      <c r="J306">
        <f>IF($C306="","",IF('②発注する'!$AD310="","",'②発注する'!$AD310))</f>
        <v/>
      </c>
      <c r="K306" s="90">
        <f>IF($C306="","",IF('②発注する'!$AE310="","",'②発注する'!$AE310))</f>
        <v/>
      </c>
      <c r="L306">
        <f>IF($C306="","",IF(AND(ISNUMBER($J306),ISNUMBER($K306),$K306&gt;='設定'!$C$6),$J306,N($I306)))</f>
        <v/>
      </c>
      <c r="M306">
        <f>IF($C306="","",IFERROR(IF(N(INDEX('商品マスタ'!$J$6:$J$1005,MATCH($C306,'商品マスタ'!$B$6:$B$1005,0)))&gt;0,INDEX('商品マスタ'!$J$6:$J$1005,MATCH($C306,'商品マスタ'!$B$6:$B$1005,0)),""),""))</f>
        <v/>
      </c>
      <c r="N306">
        <f>IF($C306="","",IFERROR(IF(N(INDEX('商品マスタ'!$H$6:$H$1005,MATCH($C306,'商品マスタ'!$B$6:$B$1005,0)))&gt;0,INDEX('商品マスタ'!$H$6:$H$1005,MATCH($C306,'商品マスタ'!$B$6:$B$1005,0)),""),""))</f>
        <v/>
      </c>
      <c r="O306">
        <f>IF($C306="","",IF($N306&lt;&gt;"",$N306*$G306,IF(N(IF(COUNTIFS('①在庫を貼る'!$V$6:$V$10005,'設定'!$C$4,'①在庫を貼る'!$W$6:$W$10005,$C306)&gt;0,SUMIFS('①在庫を貼る'!$O$6:$O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O$6:$O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O$6:$O$10005,'月1回_2ヶ月前の在庫'!$V$6:$V$10005,'設定'!$C$4,'月1回_2ヶ月前の在庫'!$W$6:$W$10005,$C306)/COUNTIFS('月1回_2ヶ月前の在庫'!$V$6:$V$10005,'設定'!$C$4,'月1回_2ヶ月前の在庫'!$W$6:$W$10005,$C306),0))))&gt;0,N(IF(COUNTIFS('①在庫を貼る'!$V$6:$V$10005,'設定'!$C$4,'①在庫を貼る'!$W$6:$W$10005,$C306)&gt;0,SUMIFS('①在庫を貼る'!$O$6:$O$10005,'①在庫を貼る'!$V$6:$V$10005,'設定'!$C$4,'①在庫を貼る'!$W$6:$W$10005,$C306)/COUNTIFS('①在庫を貼る'!$V$6:$V$10005,'設定'!$C$4,'①在庫を貼る'!$W$6:$W$10005,$C306),IF(COUNTIFS('月1回_1ヶ月前の在庫'!$V$6:$V$10005,'設定'!$C$4,'月1回_1ヶ月前の在庫'!$W$6:$W$10005,$C306)&gt;0,SUMIFS('月1回_1ヶ月前の在庫'!$O$6:$O$10005,'月1回_1ヶ月前の在庫'!$V$6:$V$10005,'設定'!$C$4,'月1回_1ヶ月前の在庫'!$W$6:$W$10005,$C306)/COUNTIFS('月1回_1ヶ月前の在庫'!$V$6:$V$10005,'設定'!$C$4,'月1回_1ヶ月前の在庫'!$W$6:$W$10005,$C306),IF(COUNTIFS('月1回_2ヶ月前の在庫'!$V$6:$V$10005,'設定'!$C$4,'月1回_2ヶ月前の在庫'!$W$6:$W$10005,$C306)&gt;0,SUMIFS('月1回_2ヶ月前の在庫'!$O$6:$O$10005,'月1回_2ヶ月前の在庫'!$V$6:$V$10005,'設定'!$C$4,'月1回_2ヶ月前の在庫'!$W$6:$W$10005,$C306)/COUNTIFS('月1回_2ヶ月前の在庫'!$V$6:$V$10005,'設定'!$C$4,'月1回_2ヶ月前の在庫'!$W$6:$W$10005,$C306),0)))),"")))</f>
        <v/>
      </c>
      <c r="P306" s="90">
        <f>IF($C306="","",IF('②発注する'!$I310="","",'②発注する'!$I310))</f>
        <v/>
      </c>
      <c r="Q306">
        <f>IF($C306="","",IF('②発注する'!$J310="","",'②発注する'!$J310))</f>
        <v/>
      </c>
      <c r="R306">
        <f>IF($C306="",0,IF(AND(ISNUMBER($P306),ISNUMBER($Q306)),MAX(0,$Q306)*$G306,0))</f>
        <v/>
      </c>
      <c r="S306" s="90">
        <f>IF($C306="","",IF('②発注する'!$M310="","",'②発注する'!$M310))</f>
        <v/>
      </c>
      <c r="T306">
        <f>IF($C306="","",IF('②発注する'!$N310="","",'②発注する'!$N310))</f>
        <v/>
      </c>
      <c r="U306">
        <f>IF($C306="",0,IF(AND(ISNUMBER($S306),ISNUMBER($T306)),MAX(0,$T306)*$G306,0))</f>
        <v/>
      </c>
      <c r="V306">
        <f>IF($C306="",0,IF($M306="",0,MAX(0,$M306)*MAX(0,V$4)/100))</f>
        <v/>
      </c>
      <c r="W306">
        <f>IF($C306="",0,IF($M306="",0,MAX(0,$M306)*MAX(0,W$4)/100))</f>
        <v/>
      </c>
      <c r="X306">
        <f>IF($C306="",0,IF($M306="",0,MAX(0,$M306)*MAX(0,X$4)/100))</f>
        <v/>
      </c>
      <c r="Y306">
        <f>IF($C306="",0,IF($M306="",0,MAX(0,$M306)*MAX(0,Y$4)/100))</f>
        <v/>
      </c>
      <c r="Z306">
        <f>IF($C306="",0,IF($M306="",0,MAX(0,$M306)*MAX(0,Z$4)/100))</f>
        <v/>
      </c>
      <c r="AA306">
        <f>IF($C306="",0,IF($M306="",0,MAX(0,$M306)*MAX(0,AA$4)/100))</f>
        <v/>
      </c>
      <c r="AB306">
        <f>IF($C306="",0,IF($M306="",0,MAX(0,$M306)*MAX(0,AB$4)/100))</f>
        <v/>
      </c>
      <c r="AC306">
        <f>IF($C306="",0,IF($M306="",0,MAX(0,$M306)*MAX(0,AC$4)/100))</f>
        <v/>
      </c>
      <c r="AD306">
        <f>IF($C306="",0,IF($M306="",0,MAX(0,$M306)*MAX(0,AD$4)/100))</f>
        <v/>
      </c>
      <c r="AE306">
        <f>IF($C306="",0,IF($M306="",0,MAX(0,$M306)*MAX(0,AE$4)/100))</f>
        <v/>
      </c>
      <c r="AF306">
        <f>IF($C306="",0,IF($M306="",0,MAX(0,$M306)*MAX(0,AF$4)/100))</f>
        <v/>
      </c>
      <c r="AG306">
        <f>IF($C306="",0,IF($M306="",0,MAX(0,$M306)*MAX(0,AG$4)/100))</f>
        <v/>
      </c>
      <c r="AH306">
        <f>IF($C306="",0,IF($M306="",0,MAX(0,$M306)*MAX(0,AH$4)/100))</f>
        <v/>
      </c>
      <c r="AI306">
        <f>IF($C306="",0,IF($M306="",0,MAX(0,$M306)*MAX(0,AI$4)/100))</f>
        <v/>
      </c>
      <c r="AJ306">
        <f>IF($C306="",0,MAX(0,MAX(0,N($L306))-$V306))</f>
        <v/>
      </c>
      <c r="AK306">
        <f>IF($C306="",0,MAX(0,$AJ306-$W306))</f>
        <v/>
      </c>
      <c r="AL306">
        <f>IF($C306="",0,MAX(0,$AK306-$X306))</f>
        <v/>
      </c>
      <c r="AM306">
        <f>IF($C306="",0,MAX(0,$AL306-$Y306))</f>
        <v/>
      </c>
      <c r="AN306">
        <f>IF($C306="",0,MAX(0,$AM306-$Z306))</f>
        <v/>
      </c>
      <c r="AO306">
        <f>IF($C306="",0,MAX(0,$AN306-$AA306))</f>
        <v/>
      </c>
      <c r="AP306">
        <f>IF($C306="",0,MAX(0,$AO306-$AB306))</f>
        <v/>
      </c>
      <c r="AQ306">
        <f>IF($C306="",0,MAX(0,$AP306-$AC306))</f>
        <v/>
      </c>
      <c r="AR306">
        <f>IF($C306="",0,MAX(0,$AQ306-$AD306))</f>
        <v/>
      </c>
      <c r="AS306">
        <f>IF($C306="",0,MAX(0,$AR306-$AE306))</f>
        <v/>
      </c>
      <c r="AT306">
        <f>IF($C306="",0,MAX(0,$AS306-$AF306))</f>
        <v/>
      </c>
      <c r="AU306">
        <f>IF($C306="",0,MAX(0,$AT306-$AG306))</f>
        <v/>
      </c>
      <c r="AV306">
        <f>IF($C306="",0,MAX(0,$AU306-$AH306))</f>
        <v/>
      </c>
      <c r="AW306">
        <f>IF($C306="",0,MAX(0,$AV306-$AI306))</f>
        <v/>
      </c>
      <c r="AX306">
        <f>IF($C306="",0,MAX(0,MAX(0,N($L306))+IF($P306=V$3,$R306,0)+IF($S306=V$3,$U306,0)-$V306))</f>
        <v/>
      </c>
      <c r="AY306">
        <f>IF($C306="",0,MAX(0,$AX306+IF($P306=W$3,$R306,0)+IF($S306=W$3,$U306,0)-$W306))</f>
        <v/>
      </c>
      <c r="AZ306">
        <f>IF($C306="",0,MAX(0,$AY306+IF($P306=X$3,$R306,0)+IF($S306=X$3,$U306,0)-$X306))</f>
        <v/>
      </c>
      <c r="BA306">
        <f>IF($C306="",0,MAX(0,$AZ306+IF($P306=Y$3,$R306,0)+IF($S306=Y$3,$U306,0)-$Y306))</f>
        <v/>
      </c>
      <c r="BB306">
        <f>IF($C306="",0,MAX(0,$BA306+IF($P306=Z$3,$R306,0)+IF($S306=Z$3,$U306,0)-$Z306))</f>
        <v/>
      </c>
      <c r="BC306">
        <f>IF($C306="",0,MAX(0,$BB306+IF($P306=AA$3,$R306,0)+IF($S306=AA$3,$U306,0)-$AA306))</f>
        <v/>
      </c>
      <c r="BD306">
        <f>IF($C306="",0,MAX(0,$BC306+IF($P306=AB$3,$R306,0)+IF($S306=AB$3,$U306,0)-$AB306))</f>
        <v/>
      </c>
      <c r="BE306">
        <f>IF($C306="",0,MAX(0,$BD306+IF($P306=AC$3,$R306,0)+IF($S306=AC$3,$U306,0)-$AC306))</f>
        <v/>
      </c>
      <c r="BF306">
        <f>IF($C306="",0,MAX(0,$BE306+IF($P306=AD$3,$R306,0)+IF($S306=AD$3,$U306,0)-$AD306))</f>
        <v/>
      </c>
      <c r="BG306">
        <f>IF($C306="",0,MAX(0,$BF306+IF($P306=AE$3,$R306,0)+IF($S306=AE$3,$U306,0)-$AE306))</f>
        <v/>
      </c>
      <c r="BH306">
        <f>IF($C306="",0,MAX(0,$BG306+IF($P306=AF$3,$R306,0)+IF($S306=AF$3,$U306,0)-$AF306))</f>
        <v/>
      </c>
      <c r="BI306">
        <f>IF($C306="",0,MAX(0,$BH306+IF($P306=AG$3,$R306,0)+IF($S306=AG$3,$U306,0)-$AG306))</f>
        <v/>
      </c>
      <c r="BJ306">
        <f>IF($C306="",0,MAX(0,$BI306+IF($P306=AH$3,$R306,0)+IF($S306=AH$3,$U306,0)-$AH306))</f>
        <v/>
      </c>
      <c r="BK306">
        <f>IF($C306="",0,MAX(0,$BJ306+IF($P306=AI$3,$R306,0)+IF($S306=AI$3,$U306,0)-$AI306))</f>
        <v/>
      </c>
      <c r="BL306">
        <f>IF($C306="",99,IF(AND($AX306&lt;1,V$3&gt;=MAX(N($P306),N($S306))),0,99))</f>
        <v/>
      </c>
      <c r="BM306">
        <f>IF($C306="",99,IF(AND($AY306&lt;1,W$3&gt;=MAX(N($P306),N($S306))),1,99))</f>
        <v/>
      </c>
      <c r="BN306">
        <f>IF($C306="",99,IF(AND($AZ306&lt;1,X$3&gt;=MAX(N($P306),N($S306))),2,99))</f>
        <v/>
      </c>
      <c r="BO306">
        <f>IF($C306="",99,IF(AND($BA306&lt;1,Y$3&gt;=MAX(N($P306),N($S306))),3,99))</f>
        <v/>
      </c>
      <c r="BP306">
        <f>IF($C306="",99,IF(AND($BB306&lt;1,Z$3&gt;=MAX(N($P306),N($S306))),4,99))</f>
        <v/>
      </c>
      <c r="BQ306">
        <f>IF($C306="",99,IF(AND($BC306&lt;1,AA$3&gt;=MAX(N($P306),N($S306))),5,99))</f>
        <v/>
      </c>
      <c r="BR306">
        <f>IF($C306="",99,IF(AND($BD306&lt;1,AB$3&gt;=MAX(N($P306),N($S306))),6,99))</f>
        <v/>
      </c>
      <c r="BS306">
        <f>IF($C306="",99,IF(AND($BE306&lt;1,AC$3&gt;=MAX(N($P306),N($S306))),7,99))</f>
        <v/>
      </c>
      <c r="BT306">
        <f>IF($C306="",99,IF(AND($BF306&lt;1,AD$3&gt;=MAX(N($P306),N($S306))),8,99))</f>
        <v/>
      </c>
      <c r="BU306">
        <f>IF($C306="",99,IF(AND($BG306&lt;1,AE$3&gt;=MAX(N($P306),N($S306))),9,99))</f>
        <v/>
      </c>
      <c r="BV306">
        <f>IF($C306="",99,IF(AND($BH306&lt;1,AF$3&gt;=MAX(N($P306),N($S306))),10,99))</f>
        <v/>
      </c>
      <c r="BW306">
        <f>IF($C306="",99,IF(AND($BI306&lt;1,AG$3&gt;=MAX(N($P306),N($S306))),11,99))</f>
        <v/>
      </c>
      <c r="BX306">
        <f>IF($C306="",99,IF(AND($BJ306&lt;1,AH$3&gt;=MAX(N($P306),N($S306))),12,99))</f>
        <v/>
      </c>
      <c r="BY306">
        <f>IF($C306="",99,IF(AND($BK306&lt;1,AI$3&gt;=MAX(N($P306),N($S306))),13,99))</f>
        <v/>
      </c>
      <c r="BZ306">
        <f>IF(OR($C306="",$M306=""),"",COUNTIF($AJ306:$AW306,"&gt;=1"))</f>
        <v/>
      </c>
      <c r="CA306" s="90">
        <f>IF($BZ306="","",IF($BZ306&gt;=14,"",'設定'!$C$6+$BZ306))</f>
        <v/>
      </c>
      <c r="CB306">
        <f>IF(OR($C306="",$M306=""),"",MIN($BL306:$BY306))</f>
        <v/>
      </c>
      <c r="CC306" s="90">
        <f>IF($CB306="","",IF($CB306&gt;=99,"",'設定'!$C$6+$CB306))</f>
        <v/>
      </c>
      <c r="CD306">
        <f>IF(OR($C306="",$M306=""),"",AVERAGE($V306:$AI306))</f>
        <v/>
      </c>
      <c r="CE306">
        <f>IF($C306="","",IFERROR(IF(MATCH(IF(ISNUMBER($P306),$P306,'設定'!$C$6+N('設定'!$C$7)),$V$3:$AI$3,0)=1,MAX(0,N($L306)),INDEX($AJ306:$AW306,MATCH(IF(ISNUMBER($P306),$P306,'設定'!$C$6+N('設定'!$C$7)),$V$3:$AI$3,0)-1)),""))</f>
        <v/>
      </c>
      <c r="CF306">
        <f>IF(OR($C306="",$O306="",$CE306=""),"",IF($O306-$CE306&lt;=0,0,ROUNDUP(($O306-$CE306)/$G306,0)))</f>
        <v/>
      </c>
      <c r="CG306">
        <f>IF(OR($C306="",$CF306="",NOT(ISNUMBER($Q306))),0,MAX(0,$Q306-$CF306))</f>
        <v/>
      </c>
      <c r="CH306">
        <f>IF(OR($C306="",$O306="",$U306=0),0,IFERROR(ROUNDUP(MAX(0,IF(MATCH($S306,$V$3:$AI$3,0)=1,MAX(0,N($L306)),INDEX($AX306:$BK306,MATCH($S306,$V$3:$AI$3,0)-1))+$U306-$O306)/$G306,0),0))</f>
        <v/>
      </c>
      <c r="CI306">
        <f>IF($C306="","",IF(AND($P306="",$Q306=""),"",IF($P306="","⚠ 入庫日を ▼ から選んでください",IF(NOT(ISNUMBER($P306)),"⚠ 入庫日は ▼ から選んでください",IF($P306&lt;N('設定'!$C$6),"⚠ 入庫日が過去です（もう在庫に入っています）→ 消してください",IF($P306&gt;N('設定'!$C$6)+13,"⚠ 入庫日が14日より先です",IF(N($Q306)&lt;=0,"⚠ 入庫数を入れてください",IF($CG306&gt;0,"⚠ 目安より "&amp;$CG306&amp;" 多い（定数を超える）→ 減らす",""))))))))</f>
        <v/>
      </c>
      <c r="CJ306">
        <f>IF($C306="","",IF(AND($S306="",$T306=""),"",IF($S306="","⚠ 2便目：入庫日を ▼ から選んでください",IF(NOT(ISNUMBER($S306)),"⚠ 2便目：入庫日は ▼ から選んでください",IF($S306&lt;N('設定'!$C$6),"⚠ 2便目：入庫日が過去です（もう在庫に入っています）→ 消してください",IF($S306&gt;N('設定'!$C$6)+13,"⚠ 2便目：入庫日が14日より先です",IF(N($T306)&lt;=0,"⚠ 2便目：入庫数を入れてください",IF($CH306&gt;0,"⚠ 2便目：定数を "&amp;$CH306&amp;" ケース超える → 減らす",""))))))))</f>
        <v/>
      </c>
      <c r="CK306">
        <f>IF(AND($CI306="",N($Q306)&gt;0,ISNUMBER($P306)),1,0)</f>
        <v/>
      </c>
      <c r="CL306">
        <f>IF(AND($CJ306="",N($T306)&gt;0,ISNUMBER($S306)),1,0)</f>
        <v/>
      </c>
      <c r="CM306">
        <f>IF(OR($CK306=1,$CL306=1),1,0)</f>
        <v/>
      </c>
      <c r="CN306">
        <f>IF($C306="",0,($CK306*$R306+$CL306*$U306)*N($H306))</f>
        <v/>
      </c>
      <c r="CO306">
        <f>IF($C306="","",IF($CC306="","入庫後は 14日以上もつ",IF($CC306-N('設定'!$C$7)&lt;='設定'!$C$6,"入庫後も "&amp;TEXT($CC306,"m/d")&amp;"("&amp;CHOOSE(WEEKDAY($CC306),"日","月","火","水","木","金","土")&amp;")"&amp;" に切れる　もう1便を至急発注","入庫後も "&amp;TEXT($CC306,"m/d")&amp;"("&amp;CHOOSE(WEEKDAY($CC306),"日","月","火","水","木","金","土")&amp;")"&amp;" に切れる　"&amp;TEXT($CC306-N('設定'!$C$7),"m/d")&amp;"("&amp;CHOOSE(WEEKDAY($CC306-N('設定'!$C$7)),"日","月","火","水","木","金","土")&amp;")"&amp;" までに次を発注")))</f>
        <v/>
      </c>
      <c r="CP306">
        <f>IF($C306="","",IF('設定'!$C$6="","？ ①在庫を貼る に今日のCSVが貼られていない",IF($CS306=1,"－ 今日のCSVに無い（終売？）",IF($L306&lt;0,"● 在庫がマイナス　数えて「数えた在庫」に入れる",IF($L306=0,"● 在庫なし　至急発注",IF($M306="","？ 減り数が未設定（商品マスタ）",IF($B$3=0,"？ 動員が未入力（動員を入れる）",IF($CA306="","○ 14日以上もつ",IF($BZ306&lt;N('設定'!$C$7),"● "&amp;TEXT($CA306,"m/d")&amp;"("&amp;CHOOSE(WEEKDAY($CA306),"日","月","火","水","木","金","土")&amp;")"&amp;" に切れる　至急発注",IF($BZ306=N('設定'!$C$7),"● "&amp;TEXT($CA306,"m/d")&amp;"("&amp;CHOOSE(WEEKDAY($CA306),"日","月","火","水","木","金","土")&amp;")"&amp;" に切れる　今日発注","△ "&amp;TEXT($CA306,"m/d")&amp;"("&amp;CHOOSE(WEEKDAY($CA306),"日","月","火","水","木","金","土")&amp;")"&amp;" に切れる　"&amp;TEXT($CA306-N('設定'!$C$7),"m/d")&amp;"("&amp;CHOOSE(WEEKDAY($CA306-N('設定'!$C$7)),"日","月","火","水","木","金","土")&amp;")"&amp;" までに発注"))))))))))</f>
        <v/>
      </c>
      <c r="CQ306">
        <f>IF($C306="","",IF(AND($P306="",$Q306="",$S306="",$T306=""),"",IF(AND($P306="",$Q306=""),"⚠ 先に1便目（左の入庫日・入庫数）に入れてください",IF($CI306&lt;&gt;"",$CI306,IF($CJ306&lt;&gt;"",$CJ306,IF($M306="","？ 減り数が未設定（発注書には載ります）",IF($B$3=0,"？ 動員が未入力（発注書には載ります）",IF(AND($CA306&lt;&gt;"",$P306&gt;$CA306),IF($P306&gt;'設定'!$C$6+N('設定'!$C$7),"● "&amp;TEXT($P306,"m/d")&amp;"("&amp;CHOOSE(WEEKDAY($P306),"日","月","火","水","木","金","土")&amp;")"&amp;" の入庫では間に合わない（"&amp;TEXT($CA306,"m/d")&amp;"("&amp;CHOOSE(WEEKDAY($CA306),"日","月","火","水","木","金","土")&amp;")"&amp;" に切れる）　入庫日を早める","△ 欠品 "&amp;TEXT($CA306,"m/d")&amp;"("&amp;CHOOSE(WEEKDAY($CA306),"日","月","火","水","木","金","土")&amp;")"&amp;"〜"&amp;TEXT($P306-1,"m/d")&amp;"("&amp;CHOOSE(WEEKDAY($P306-1),"日","月","火","水","木","金","土")&amp;")"&amp;"　"&amp;$CO306),IF($CC306="","○ "&amp;TEXT($P306,"m/d")&amp;"("&amp;CHOOSE(WEEKDAY($P306),"日","月","火","水","木","金","土")&amp;")"&amp;" 入庫で 14日以上もつ",IF($CC306-N('設定'!$C$7)&lt;='設定'!$C$6,"● 入庫しても "&amp;TEXT($CC306,"m/d")&amp;"("&amp;CHOOSE(WEEKDAY($CC306),"日","月","火","水","木","金","土")&amp;")"&amp;" に切れる　もう1便を至急発注（2便目に入れる）","△ 入庫しても "&amp;TEXT($CC306,"m/d")&amp;"("&amp;CHOOSE(WEEKDAY($CC306),"日","月","火","水","木","金","土")&amp;")"&amp;" に切れる　"&amp;TEXT($CC306-N('設定'!$C$7),"m/d")&amp;"("&amp;CHOOSE(WEEKDAY($CC306-N('設定'!$C$7)),"日","月","火","水","木","金","土")&amp;")"&amp;" までに次を発注（2便目に入れる）"))))))))))</f>
        <v/>
      </c>
      <c r="CR306">
        <f>IF($C306="","",IF($G306&gt;1,"ｹｰｽ("&amp;$G306&amp;"入)","個"))</f>
        <v/>
      </c>
      <c r="CS306">
        <f>IF($C306="",0,IF(COUNTIFS('①在庫を貼る'!$V$6:$V$10005,'設定'!$C$4,'①在庫を貼る'!$W$6:$W$10005,$C306)=0,1,0))</f>
        <v/>
      </c>
      <c r="CT306">
        <f>IF(AND($CK306=1,OR('③発注書'!$C$4="すべて",'③発注書'!$C$4="",$F306='③発注書'!$C$4)),N($CT305)+1,N($CT305))</f>
        <v/>
      </c>
      <c r="CU306">
        <f>IF(AND($CL306=1,OR('③発注書'!$C$4="すべて",'③発注書'!$C$4="",$F306='③発注書'!$C$4)),N($CU305)+1,N($CU305))</f>
        <v/>
      </c>
      <c r="CV306">
        <f>IF($C306="",0,IF(COUNTIFS('①在庫を貼る'!$V$6:$V$10005,'設定'!$C$4,'①在庫を貼る'!$W$6:$W$10005,$C306)&gt;0,1,0))</f>
        <v/>
      </c>
      <c r="CW306">
        <f>IF($C306="",0,IF(COUNTIFS('月1回_1ヶ月前の在庫'!$V$6:$V$10005,'設定'!$C$4,'月1回_1ヶ月前の在庫'!$W$6:$W$10005,$C306)&gt;0,1,0))</f>
        <v/>
      </c>
      <c r="CX306">
        <f>IF($C306="",0,IF(COUNTIFS('月1回_2ヶ月前の在庫'!$V$6:$V$10005,'設定'!$C$4,'月1回_2ヶ月前の在庫'!$W$6:$W$10005,$C306)&gt;0,1,0))</f>
        <v/>
      </c>
      <c r="CY306">
        <f>IF(OR($C306="",'設定'!$C$12=""),"",IF('設定'!$C$13="",IF(AND($CV306=1,$CW306=0),"新商品（今月から）",IF(AND($CV306=0,$CW306=1),"終売（今月から）","")),IF(AND($CV306=1,$CW306=0,$CX306=0),"新商品（今月から）",IF(AND($CV306=1,$CW306=1,$CX306=0),"新商品（先月から）",IF(AND($CV306=0,$CW306=1,$CX306=1),"終売（今月から）",IF(AND($CV306=0,$CW306=0,$CX306=1),"終売（先月から）",IF(AND($CV306=1,$CW306=0,$CX306=1),"復活（先月は無し）","")))))))</f>
        <v/>
      </c>
    </row>
    <row r="307">
      <c r="B307">
        <f>IF(302&lt;='設定'!$C$11,302,"")</f>
        <v/>
      </c>
      <c r="C307">
        <f>IF($B307="","",IF($B307&lt;='設定'!$C$20,INDEX('商品マスタ'!$B$6:$B$1005,MATCH($B307,'商品マスタ'!$M$6:$M$1005,0)),IF($B307&lt;='設定'!$C$20+'設定'!$C$17,INDEX('①在庫を貼る'!$W$6:$W$10005,MATCH($B307-'設定'!$C$20,'①在庫を貼る'!$U$6:$U$10005,0)),IF($B307&lt;='設定'!$C$20+'設定'!$C$17+'設定'!$C$18,INDEX('月1回_1ヶ月前の在庫'!$W$6:$W$10005,MATCH($B307-'設定'!$C$20-'設定'!$C$17,'月1回_1ヶ月前の在庫'!$U$6:$U$10005,0)),INDEX('月1回_2ヶ月前の在庫'!$W$6:$W$10005,MATCH($B307-'設定'!$C$20-'設定'!$C$17-'設定'!$C$18,'月1回_2ヶ月前の在庫'!$U$6:$U$10005,0))))))</f>
        <v/>
      </c>
      <c r="D307">
        <f>IF($C307="","",IFERROR(IF(INDEX('商品マスタ'!$C$6:$C$1005,MATCH($C307,'商品マスタ'!$B$6:$B$1005,0))="",IFERROR(INDEX('①在庫を貼る'!$J$6:$J$10005,MATCH($C307,'①在庫を貼る'!$W$6:$W$10005,0)),IFERROR(INDEX('月1回_1ヶ月前の在庫'!$J$6:$J$10005,MATCH($C307,'月1回_1ヶ月前の在庫'!$W$6:$W$10005,0)),IFERROR(INDEX('月1回_2ヶ月前の在庫'!$J$6:$J$10005,MATCH($C307,'月1回_2ヶ月前の在庫'!$W$6:$W$10005,0)),""))),INDEX('商品マスタ'!$C$6:$C$1005,MATCH($C307,'商品マスタ'!$B$6:$B$1005,0))),IFERROR(INDEX('①在庫を貼る'!$J$6:$J$10005,MATCH($C307,'①在庫を貼る'!$W$6:$W$10005,0)),IFERROR(INDEX('月1回_1ヶ月前の在庫'!$J$6:$J$10005,MATCH($C307,'月1回_1ヶ月前の在庫'!$W$6:$W$10005,0)),IFERROR(INDEX('月1回_2ヶ月前の在庫'!$J$6:$J$10005,MATCH($C307,'月1回_2ヶ月前の在庫'!$W$6:$W$10005,0)),"")))))</f>
        <v/>
      </c>
      <c r="E307">
        <f>IF($C307="","",IFERROR(IF(INDEX('商品マスタ'!$D$6:$D$1005,MATCH($C307,'商品マスタ'!$B$6:$B$1005,0))="",IFERROR(INDEX('①在庫を貼る'!$H$6:$H$10005,MATCH($C307,'①在庫を貼る'!$W$6:$W$10005,0)),IFERROR(INDEX('月1回_1ヶ月前の在庫'!$H$6:$H$10005,MATCH($C307,'月1回_1ヶ月前の在庫'!$W$6:$W$10005,0)),IFERROR(INDEX('月1回_2ヶ月前の在庫'!$H$6:$H$10005,MATCH($C307,'月1回_2ヶ月前の在庫'!$W$6:$W$10005,0)),""))),INDEX('商品マスタ'!$D$6:$D$1005,MATCH($C307,'商品マスタ'!$B$6:$B$1005,0))),IFERROR(INDEX('①在庫を貼る'!$H$6:$H$10005,MATCH($C307,'①在庫を貼る'!$W$6:$W$10005,0)),IFERROR(INDEX('月1回_1ヶ月前の在庫'!$H$6:$H$10005,MATCH($C307,'月1回_1ヶ月前の在庫'!$W$6:$W$10005,0)),IFERROR(INDEX('月1回_2ヶ月前の在庫'!$H$6:$H$10005,MATCH($C307,'月1回_2ヶ月前の在庫'!$W$6:$W$10005,0)),"")))))</f>
        <v/>
      </c>
      <c r="F307">
        <f>IF($C307="","",IFERROR(IF(INDEX('商品マスタ'!$E$6:$E$1005,MATCH($C307,'商品マスタ'!$B$6:$B$1005,0))="",IFERROR(INDEX('①在庫を貼る'!$E$6:$E$10005,MATCH($C307,'①在庫を貼る'!$W$6:$W$10005,0)),IFERROR(INDEX('月1回_1ヶ月前の在庫'!$E$6:$E$10005,MATCH($C307,'月1回_1ヶ月前の在庫'!$W$6:$W$10005,0)),IFERROR(INDEX('月1回_2ヶ月前の在庫'!$E$6:$E$10005,MATCH($C307,'月1回_2ヶ月前の在庫'!$W$6:$W$10005,0)),""))),INDEX('商品マスタ'!$E$6:$E$1005,MATCH($C307,'商品マスタ'!$B$6:$B$1005,0))),IFERROR(INDEX('①在庫を貼る'!$E$6:$E$10005,MATCH($C307,'①在庫を貼る'!$W$6:$W$10005,0)),IFERROR(INDEX('月1回_1ヶ月前の在庫'!$E$6:$E$10005,MATCH($C307,'月1回_1ヶ月前の在庫'!$W$6:$W$10005,0)),IFERROR(INDEX('月1回_2ヶ月前の在庫'!$E$6:$E$10005,MATCH($C307,'月1回_2ヶ月前の在庫'!$W$6:$W$10005,0)),"")))))</f>
        <v/>
      </c>
      <c r="G307">
        <f>IF($C307="","",MAX(1,N(IFERROR(IF(INDEX('商品マスタ'!$F$6:$F$1005,MATCH($C307,'商品マスタ'!$B$6:$B$1005,0))="",IF(COUNTIFS('①在庫を貼る'!$V$6:$V$10005,'設定'!$C$4,'①在庫を貼る'!$W$6:$W$10005,$C307)&gt;0,SUMIFS('①在庫を貼る'!$K$6:$K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K$6:$K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K$6:$K$10005,'月1回_2ヶ月前の在庫'!$V$6:$V$10005,'設定'!$C$4,'月1回_2ヶ月前の在庫'!$W$6:$W$10005,$C307)/COUNTIFS('月1回_2ヶ月前の在庫'!$V$6:$V$10005,'設定'!$C$4,'月1回_2ヶ月前の在庫'!$W$6:$W$10005,$C307),0))),INDEX('商品マスタ'!$F$6:$F$1005,MATCH($C307,'商品マスタ'!$B$6:$B$1005,0))),IF(COUNTIFS('①在庫を貼る'!$V$6:$V$10005,'設定'!$C$4,'①在庫を貼る'!$W$6:$W$10005,$C307)&gt;0,SUMIFS('①在庫を貼る'!$K$6:$K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K$6:$K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K$6:$K$10005,'月1回_2ヶ月前の在庫'!$V$6:$V$10005,'設定'!$C$4,'月1回_2ヶ月前の在庫'!$W$6:$W$10005,$C307)/COUNTIFS('月1回_2ヶ月前の在庫'!$V$6:$V$10005,'設定'!$C$4,'月1回_2ヶ月前の在庫'!$W$6:$W$10005,$C307),0)))))))</f>
        <v/>
      </c>
      <c r="H307">
        <f>IF($C307="","",N(IFERROR(IF(INDEX('商品マスタ'!$G$6:$G$1005,MATCH($C307,'商品マスタ'!$B$6:$B$1005,0))="",IF(COUNTIFS('①在庫を貼る'!$V$6:$V$10005,'設定'!$C$4,'①在庫を貼る'!$W$6:$W$10005,$C307)&gt;0,SUMIFS('①在庫を貼る'!$Q$6:$Q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Q$6:$Q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Q$6:$Q$10005,'月1回_2ヶ月前の在庫'!$V$6:$V$10005,'設定'!$C$4,'月1回_2ヶ月前の在庫'!$W$6:$W$10005,$C307)/COUNTIFS('月1回_2ヶ月前の在庫'!$V$6:$V$10005,'設定'!$C$4,'月1回_2ヶ月前の在庫'!$W$6:$W$10005,$C307),0))),INDEX('商品マスタ'!$G$6:$G$1005,MATCH($C307,'商品マスタ'!$B$6:$B$1005,0))),IF(COUNTIFS('①在庫を貼る'!$V$6:$V$10005,'設定'!$C$4,'①在庫を貼る'!$W$6:$W$10005,$C307)&gt;0,SUMIFS('①在庫を貼る'!$Q$6:$Q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Q$6:$Q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Q$6:$Q$10005,'月1回_2ヶ月前の在庫'!$V$6:$V$10005,'設定'!$C$4,'月1回_2ヶ月前の在庫'!$W$6:$W$10005,$C307)/COUNTIFS('月1回_2ヶ月前の在庫'!$V$6:$V$10005,'設定'!$C$4,'月1回_2ヶ月前の在庫'!$W$6:$W$10005,$C307),0))))))</f>
        <v/>
      </c>
      <c r="I307">
        <f>IF($C307="","",IF(COUNTIFS('①在庫を貼る'!$V$6:$V$10005,'設定'!$C$4,'①在庫を貼る'!$W$6:$W$10005,$C307)=0,"",SUMIFS('①在庫を貼る'!$N$6:$N$10005,'①在庫を貼る'!$V$6:$V$10005,'設定'!$C$4,'①在庫を貼る'!$W$6:$W$10005,$C307)))</f>
        <v/>
      </c>
      <c r="J307">
        <f>IF($C307="","",IF('②発注する'!$AD311="","",'②発注する'!$AD311))</f>
        <v/>
      </c>
      <c r="K307" s="90">
        <f>IF($C307="","",IF('②発注する'!$AE311="","",'②発注する'!$AE311))</f>
        <v/>
      </c>
      <c r="L307">
        <f>IF($C307="","",IF(AND(ISNUMBER($J307),ISNUMBER($K307),$K307&gt;='設定'!$C$6),$J307,N($I307)))</f>
        <v/>
      </c>
      <c r="M307">
        <f>IF($C307="","",IFERROR(IF(N(INDEX('商品マスタ'!$J$6:$J$1005,MATCH($C307,'商品マスタ'!$B$6:$B$1005,0)))&gt;0,INDEX('商品マスタ'!$J$6:$J$1005,MATCH($C307,'商品マスタ'!$B$6:$B$1005,0)),""),""))</f>
        <v/>
      </c>
      <c r="N307">
        <f>IF($C307="","",IFERROR(IF(N(INDEX('商品マスタ'!$H$6:$H$1005,MATCH($C307,'商品マスタ'!$B$6:$B$1005,0)))&gt;0,INDEX('商品マスタ'!$H$6:$H$1005,MATCH($C307,'商品マスタ'!$B$6:$B$1005,0)),""),""))</f>
        <v/>
      </c>
      <c r="O307">
        <f>IF($C307="","",IF($N307&lt;&gt;"",$N307*$G307,IF(N(IF(COUNTIFS('①在庫を貼る'!$V$6:$V$10005,'設定'!$C$4,'①在庫を貼る'!$W$6:$W$10005,$C307)&gt;0,SUMIFS('①在庫を貼る'!$O$6:$O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O$6:$O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O$6:$O$10005,'月1回_2ヶ月前の在庫'!$V$6:$V$10005,'設定'!$C$4,'月1回_2ヶ月前の在庫'!$W$6:$W$10005,$C307)/COUNTIFS('月1回_2ヶ月前の在庫'!$V$6:$V$10005,'設定'!$C$4,'月1回_2ヶ月前の在庫'!$W$6:$W$10005,$C307),0))))&gt;0,N(IF(COUNTIFS('①在庫を貼る'!$V$6:$V$10005,'設定'!$C$4,'①在庫を貼る'!$W$6:$W$10005,$C307)&gt;0,SUMIFS('①在庫を貼る'!$O$6:$O$10005,'①在庫を貼る'!$V$6:$V$10005,'設定'!$C$4,'①在庫を貼る'!$W$6:$W$10005,$C307)/COUNTIFS('①在庫を貼る'!$V$6:$V$10005,'設定'!$C$4,'①在庫を貼る'!$W$6:$W$10005,$C307),IF(COUNTIFS('月1回_1ヶ月前の在庫'!$V$6:$V$10005,'設定'!$C$4,'月1回_1ヶ月前の在庫'!$W$6:$W$10005,$C307)&gt;0,SUMIFS('月1回_1ヶ月前の在庫'!$O$6:$O$10005,'月1回_1ヶ月前の在庫'!$V$6:$V$10005,'設定'!$C$4,'月1回_1ヶ月前の在庫'!$W$6:$W$10005,$C307)/COUNTIFS('月1回_1ヶ月前の在庫'!$V$6:$V$10005,'設定'!$C$4,'月1回_1ヶ月前の在庫'!$W$6:$W$10005,$C307),IF(COUNTIFS('月1回_2ヶ月前の在庫'!$V$6:$V$10005,'設定'!$C$4,'月1回_2ヶ月前の在庫'!$W$6:$W$10005,$C307)&gt;0,SUMIFS('月1回_2ヶ月前の在庫'!$O$6:$O$10005,'月1回_2ヶ月前の在庫'!$V$6:$V$10005,'設定'!$C$4,'月1回_2ヶ月前の在庫'!$W$6:$W$10005,$C307)/COUNTIFS('月1回_2ヶ月前の在庫'!$V$6:$V$10005,'設定'!$C$4,'月1回_2ヶ月前の在庫'!$W$6:$W$10005,$C307),0)))),"")))</f>
        <v/>
      </c>
      <c r="P307" s="90">
        <f>IF($C307="","",IF('②発注する'!$I311="","",'②発注する'!$I311))</f>
        <v/>
      </c>
      <c r="Q307">
        <f>IF($C307="","",IF('②発注する'!$J311="","",'②発注する'!$J311))</f>
        <v/>
      </c>
      <c r="R307">
        <f>IF($C307="",0,IF(AND(ISNUMBER($P307),ISNUMBER($Q307)),MAX(0,$Q307)*$G307,0))</f>
        <v/>
      </c>
      <c r="S307" s="90">
        <f>IF($C307="","",IF('②発注する'!$M311="","",'②発注する'!$M311))</f>
        <v/>
      </c>
      <c r="T307">
        <f>IF($C307="","",IF('②発注する'!$N311="","",'②発注する'!$N311))</f>
        <v/>
      </c>
      <c r="U307">
        <f>IF($C307="",0,IF(AND(ISNUMBER($S307),ISNUMBER($T307)),MAX(0,$T307)*$G307,0))</f>
        <v/>
      </c>
      <c r="V307">
        <f>IF($C307="",0,IF($M307="",0,MAX(0,$M307)*MAX(0,V$4)/100))</f>
        <v/>
      </c>
      <c r="W307">
        <f>IF($C307="",0,IF($M307="",0,MAX(0,$M307)*MAX(0,W$4)/100))</f>
        <v/>
      </c>
      <c r="X307">
        <f>IF($C307="",0,IF($M307="",0,MAX(0,$M307)*MAX(0,X$4)/100))</f>
        <v/>
      </c>
      <c r="Y307">
        <f>IF($C307="",0,IF($M307="",0,MAX(0,$M307)*MAX(0,Y$4)/100))</f>
        <v/>
      </c>
      <c r="Z307">
        <f>IF($C307="",0,IF($M307="",0,MAX(0,$M307)*MAX(0,Z$4)/100))</f>
        <v/>
      </c>
      <c r="AA307">
        <f>IF($C307="",0,IF($M307="",0,MAX(0,$M307)*MAX(0,AA$4)/100))</f>
        <v/>
      </c>
      <c r="AB307">
        <f>IF($C307="",0,IF($M307="",0,MAX(0,$M307)*MAX(0,AB$4)/100))</f>
        <v/>
      </c>
      <c r="AC307">
        <f>IF($C307="",0,IF($M307="",0,MAX(0,$M307)*MAX(0,AC$4)/100))</f>
        <v/>
      </c>
      <c r="AD307">
        <f>IF($C307="",0,IF($M307="",0,MAX(0,$M307)*MAX(0,AD$4)/100))</f>
        <v/>
      </c>
      <c r="AE307">
        <f>IF($C307="",0,IF($M307="",0,MAX(0,$M307)*MAX(0,AE$4)/100))</f>
        <v/>
      </c>
      <c r="AF307">
        <f>IF($C307="",0,IF($M307="",0,MAX(0,$M307)*MAX(0,AF$4)/100))</f>
        <v/>
      </c>
      <c r="AG307">
        <f>IF($C307="",0,IF($M307="",0,MAX(0,$M307)*MAX(0,AG$4)/100))</f>
        <v/>
      </c>
      <c r="AH307">
        <f>IF($C307="",0,IF($M307="",0,MAX(0,$M307)*MAX(0,AH$4)/100))</f>
        <v/>
      </c>
      <c r="AI307">
        <f>IF($C307="",0,IF($M307="",0,MAX(0,$M307)*MAX(0,AI$4)/100))</f>
        <v/>
      </c>
      <c r="AJ307">
        <f>IF($C307="",0,MAX(0,MAX(0,N($L307))-$V307))</f>
        <v/>
      </c>
      <c r="AK307">
        <f>IF($C307="",0,MAX(0,$AJ307-$W307))</f>
        <v/>
      </c>
      <c r="AL307">
        <f>IF($C307="",0,MAX(0,$AK307-$X307))</f>
        <v/>
      </c>
      <c r="AM307">
        <f>IF($C307="",0,MAX(0,$AL307-$Y307))</f>
        <v/>
      </c>
      <c r="AN307">
        <f>IF($C307="",0,MAX(0,$AM307-$Z307))</f>
        <v/>
      </c>
      <c r="AO307">
        <f>IF($C307="",0,MAX(0,$AN307-$AA307))</f>
        <v/>
      </c>
      <c r="AP307">
        <f>IF($C307="",0,MAX(0,$AO307-$AB307))</f>
        <v/>
      </c>
      <c r="AQ307">
        <f>IF($C307="",0,MAX(0,$AP307-$AC307))</f>
        <v/>
      </c>
      <c r="AR307">
        <f>IF($C307="",0,MAX(0,$AQ307-$AD307))</f>
        <v/>
      </c>
      <c r="AS307">
        <f>IF($C307="",0,MAX(0,$AR307-$AE307))</f>
        <v/>
      </c>
      <c r="AT307">
        <f>IF($C307="",0,MAX(0,$AS307-$AF307))</f>
        <v/>
      </c>
      <c r="AU307">
        <f>IF($C307="",0,MAX(0,$AT307-$AG307))</f>
        <v/>
      </c>
      <c r="AV307">
        <f>IF($C307="",0,MAX(0,$AU307-$AH307))</f>
        <v/>
      </c>
      <c r="AW307">
        <f>IF($C307="",0,MAX(0,$AV307-$AI307))</f>
        <v/>
      </c>
      <c r="AX307">
        <f>IF($C307="",0,MAX(0,MAX(0,N($L307))+IF($P307=V$3,$R307,0)+IF($S307=V$3,$U307,0)-$V307))</f>
        <v/>
      </c>
      <c r="AY307">
        <f>IF($C307="",0,MAX(0,$AX307+IF($P307=W$3,$R307,0)+IF($S307=W$3,$U307,0)-$W307))</f>
        <v/>
      </c>
      <c r="AZ307">
        <f>IF($C307="",0,MAX(0,$AY307+IF($P307=X$3,$R307,0)+IF($S307=X$3,$U307,0)-$X307))</f>
        <v/>
      </c>
      <c r="BA307">
        <f>IF($C307="",0,MAX(0,$AZ307+IF($P307=Y$3,$R307,0)+IF($S307=Y$3,$U307,0)-$Y307))</f>
        <v/>
      </c>
      <c r="BB307">
        <f>IF($C307="",0,MAX(0,$BA307+IF($P307=Z$3,$R307,0)+IF($S307=Z$3,$U307,0)-$Z307))</f>
        <v/>
      </c>
      <c r="BC307">
        <f>IF($C307="",0,MAX(0,$BB307+IF($P307=AA$3,$R307,0)+IF($S307=AA$3,$U307,0)-$AA307))</f>
        <v/>
      </c>
      <c r="BD307">
        <f>IF($C307="",0,MAX(0,$BC307+IF($P307=AB$3,$R307,0)+IF($S307=AB$3,$U307,0)-$AB307))</f>
        <v/>
      </c>
      <c r="BE307">
        <f>IF($C307="",0,MAX(0,$BD307+IF($P307=AC$3,$R307,0)+IF($S307=AC$3,$U307,0)-$AC307))</f>
        <v/>
      </c>
      <c r="BF307">
        <f>IF($C307="",0,MAX(0,$BE307+IF($P307=AD$3,$R307,0)+IF($S307=AD$3,$U307,0)-$AD307))</f>
        <v/>
      </c>
      <c r="BG307">
        <f>IF($C307="",0,MAX(0,$BF307+IF($P307=AE$3,$R307,0)+IF($S307=AE$3,$U307,0)-$AE307))</f>
        <v/>
      </c>
      <c r="BH307">
        <f>IF($C307="",0,MAX(0,$BG307+IF($P307=AF$3,$R307,0)+IF($S307=AF$3,$U307,0)-$AF307))</f>
        <v/>
      </c>
      <c r="BI307">
        <f>IF($C307="",0,MAX(0,$BH307+IF($P307=AG$3,$R307,0)+IF($S307=AG$3,$U307,0)-$AG307))</f>
        <v/>
      </c>
      <c r="BJ307">
        <f>IF($C307="",0,MAX(0,$BI307+IF($P307=AH$3,$R307,0)+IF($S307=AH$3,$U307,0)-$AH307))</f>
        <v/>
      </c>
      <c r="BK307">
        <f>IF($C307="",0,MAX(0,$BJ307+IF($P307=AI$3,$R307,0)+IF($S307=AI$3,$U307,0)-$AI307))</f>
        <v/>
      </c>
      <c r="BL307">
        <f>IF($C307="",99,IF(AND($AX307&lt;1,V$3&gt;=MAX(N($P307),N($S307))),0,99))</f>
        <v/>
      </c>
      <c r="BM307">
        <f>IF($C307="",99,IF(AND($AY307&lt;1,W$3&gt;=MAX(N($P307),N($S307))),1,99))</f>
        <v/>
      </c>
      <c r="BN307">
        <f>IF($C307="",99,IF(AND($AZ307&lt;1,X$3&gt;=MAX(N($P307),N($S307))),2,99))</f>
        <v/>
      </c>
      <c r="BO307">
        <f>IF($C307="",99,IF(AND($BA307&lt;1,Y$3&gt;=MAX(N($P307),N($S307))),3,99))</f>
        <v/>
      </c>
      <c r="BP307">
        <f>IF($C307="",99,IF(AND($BB307&lt;1,Z$3&gt;=MAX(N($P307),N($S307))),4,99))</f>
        <v/>
      </c>
      <c r="BQ307">
        <f>IF($C307="",99,IF(AND($BC307&lt;1,AA$3&gt;=MAX(N($P307),N($S307))),5,99))</f>
        <v/>
      </c>
      <c r="BR307">
        <f>IF($C307="",99,IF(AND($BD307&lt;1,AB$3&gt;=MAX(N($P307),N($S307))),6,99))</f>
        <v/>
      </c>
      <c r="BS307">
        <f>IF($C307="",99,IF(AND($BE307&lt;1,AC$3&gt;=MAX(N($P307),N($S307))),7,99))</f>
        <v/>
      </c>
      <c r="BT307">
        <f>IF($C307="",99,IF(AND($BF307&lt;1,AD$3&gt;=MAX(N($P307),N($S307))),8,99))</f>
        <v/>
      </c>
      <c r="BU307">
        <f>IF($C307="",99,IF(AND($BG307&lt;1,AE$3&gt;=MAX(N($P307),N($S307))),9,99))</f>
        <v/>
      </c>
      <c r="BV307">
        <f>IF($C307="",99,IF(AND($BH307&lt;1,AF$3&gt;=MAX(N($P307),N($S307))),10,99))</f>
        <v/>
      </c>
      <c r="BW307">
        <f>IF($C307="",99,IF(AND($BI307&lt;1,AG$3&gt;=MAX(N($P307),N($S307))),11,99))</f>
        <v/>
      </c>
      <c r="BX307">
        <f>IF($C307="",99,IF(AND($BJ307&lt;1,AH$3&gt;=MAX(N($P307),N($S307))),12,99))</f>
        <v/>
      </c>
      <c r="BY307">
        <f>IF($C307="",99,IF(AND($BK307&lt;1,AI$3&gt;=MAX(N($P307),N($S307))),13,99))</f>
        <v/>
      </c>
      <c r="BZ307">
        <f>IF(OR($C307="",$M307=""),"",COUNTIF($AJ307:$AW307,"&gt;=1"))</f>
        <v/>
      </c>
      <c r="CA307" s="90">
        <f>IF($BZ307="","",IF($BZ307&gt;=14,"",'設定'!$C$6+$BZ307))</f>
        <v/>
      </c>
      <c r="CB307">
        <f>IF(OR($C307="",$M307=""),"",MIN($BL307:$BY307))</f>
        <v/>
      </c>
      <c r="CC307" s="90">
        <f>IF($CB307="","",IF($CB307&gt;=99,"",'設定'!$C$6+$CB307))</f>
        <v/>
      </c>
      <c r="CD307">
        <f>IF(OR($C307="",$M307=""),"",AVERAGE($V307:$AI307))</f>
        <v/>
      </c>
      <c r="CE307">
        <f>IF($C307="","",IFERROR(IF(MATCH(IF(ISNUMBER($P307),$P307,'設定'!$C$6+N('設定'!$C$7)),$V$3:$AI$3,0)=1,MAX(0,N($L307)),INDEX($AJ307:$AW307,MATCH(IF(ISNUMBER($P307),$P307,'設定'!$C$6+N('設定'!$C$7)),$V$3:$AI$3,0)-1)),""))</f>
        <v/>
      </c>
      <c r="CF307">
        <f>IF(OR($C307="",$O307="",$CE307=""),"",IF($O307-$CE307&lt;=0,0,ROUNDUP(($O307-$CE307)/$G307,0)))</f>
        <v/>
      </c>
      <c r="CG307">
        <f>IF(OR($C307="",$CF307="",NOT(ISNUMBER($Q307))),0,MAX(0,$Q307-$CF307))</f>
        <v/>
      </c>
      <c r="CH307">
        <f>IF(OR($C307="",$O307="",$U307=0),0,IFERROR(ROUNDUP(MAX(0,IF(MATCH($S307,$V$3:$AI$3,0)=1,MAX(0,N($L307)),INDEX($AX307:$BK307,MATCH($S307,$V$3:$AI$3,0)-1))+$U307-$O307)/$G307,0),0))</f>
        <v/>
      </c>
      <c r="CI307">
        <f>IF($C307="","",IF(AND($P307="",$Q307=""),"",IF($P307="","⚠ 入庫日を ▼ から選んでください",IF(NOT(ISNUMBER($P307)),"⚠ 入庫日は ▼ から選んでください",IF($P307&lt;N('設定'!$C$6),"⚠ 入庫日が過去です（もう在庫に入っています）→ 消してください",IF($P307&gt;N('設定'!$C$6)+13,"⚠ 入庫日が14日より先です",IF(N($Q307)&lt;=0,"⚠ 入庫数を入れてください",IF($CG307&gt;0,"⚠ 目安より "&amp;$CG307&amp;" 多い（定数を超える）→ 減らす",""))))))))</f>
        <v/>
      </c>
      <c r="CJ307">
        <f>IF($C307="","",IF(AND($S307="",$T307=""),"",IF($S307="","⚠ 2便目：入庫日を ▼ から選んでください",IF(NOT(ISNUMBER($S307)),"⚠ 2便目：入庫日は ▼ から選んでください",IF($S307&lt;N('設定'!$C$6),"⚠ 2便目：入庫日が過去です（もう在庫に入っています）→ 消してください",IF($S307&gt;N('設定'!$C$6)+13,"⚠ 2便目：入庫日が14日より先です",IF(N($T307)&lt;=0,"⚠ 2便目：入庫数を入れてください",IF($CH307&gt;0,"⚠ 2便目：定数を "&amp;$CH307&amp;" ケース超える → 減らす",""))))))))</f>
        <v/>
      </c>
      <c r="CK307">
        <f>IF(AND($CI307="",N($Q307)&gt;0,ISNUMBER($P307)),1,0)</f>
        <v/>
      </c>
      <c r="CL307">
        <f>IF(AND($CJ307="",N($T307)&gt;0,ISNUMBER($S307)),1,0)</f>
        <v/>
      </c>
      <c r="CM307">
        <f>IF(OR($CK307=1,$CL307=1),1,0)</f>
        <v/>
      </c>
      <c r="CN307">
        <f>IF($C307="",0,($CK307*$R307+$CL307*$U307)*N($H307))</f>
        <v/>
      </c>
      <c r="CO307">
        <f>IF($C307="","",IF($CC307="","入庫後は 14日以上もつ",IF($CC307-N('設定'!$C$7)&lt;='設定'!$C$6,"入庫後も "&amp;TEXT($CC307,"m/d")&amp;"("&amp;CHOOSE(WEEKDAY($CC307),"日","月","火","水","木","金","土")&amp;")"&amp;" に切れる　もう1便を至急発注","入庫後も "&amp;TEXT($CC307,"m/d")&amp;"("&amp;CHOOSE(WEEKDAY($CC307),"日","月","火","水","木","金","土")&amp;")"&amp;" に切れる　"&amp;TEXT($CC307-N('設定'!$C$7),"m/d")&amp;"("&amp;CHOOSE(WEEKDAY($CC307-N('設定'!$C$7)),"日","月","火","水","木","金","土")&amp;")"&amp;" までに次を発注")))</f>
        <v/>
      </c>
      <c r="CP307">
        <f>IF($C307="","",IF('設定'!$C$6="","？ ①在庫を貼る に今日のCSVが貼られていない",IF($CS307=1,"－ 今日のCSVに無い（終売？）",IF($L307&lt;0,"● 在庫がマイナス　数えて「数えた在庫」に入れる",IF($L307=0,"● 在庫なし　至急発注",IF($M307="","？ 減り数が未設定（商品マスタ）",IF($B$3=0,"？ 動員が未入力（動員を入れる）",IF($CA307="","○ 14日以上もつ",IF($BZ307&lt;N('設定'!$C$7),"● "&amp;TEXT($CA307,"m/d")&amp;"("&amp;CHOOSE(WEEKDAY($CA307),"日","月","火","水","木","金","土")&amp;")"&amp;" に切れる　至急発注",IF($BZ307=N('設定'!$C$7),"● "&amp;TEXT($CA307,"m/d")&amp;"("&amp;CHOOSE(WEEKDAY($CA307),"日","月","火","水","木","金","土")&amp;")"&amp;" に切れる　今日発注","△ "&amp;TEXT($CA307,"m/d")&amp;"("&amp;CHOOSE(WEEKDAY($CA307),"日","月","火","水","木","金","土")&amp;")"&amp;" に切れる　"&amp;TEXT($CA307-N('設定'!$C$7),"m/d")&amp;"("&amp;CHOOSE(WEEKDAY($CA307-N('設定'!$C$7)),"日","月","火","水","木","金","土")&amp;")"&amp;" までに発注"))))))))))</f>
        <v/>
      </c>
      <c r="CQ307">
        <f>IF($C307="","",IF(AND($P307="",$Q307="",$S307="",$T307=""),"",IF(AND($P307="",$Q307=""),"⚠ 先に1便目（左の入庫日・入庫数）に入れてください",IF($CI307&lt;&gt;"",$CI307,IF($CJ307&lt;&gt;"",$CJ307,IF($M307="","？ 減り数が未設定（発注書には載ります）",IF($B$3=0,"？ 動員が未入力（発注書には載ります）",IF(AND($CA307&lt;&gt;"",$P307&gt;$CA307),IF($P307&gt;'設定'!$C$6+N('設定'!$C$7),"● "&amp;TEXT($P307,"m/d")&amp;"("&amp;CHOOSE(WEEKDAY($P307),"日","月","火","水","木","金","土")&amp;")"&amp;" の入庫では間に合わない（"&amp;TEXT($CA307,"m/d")&amp;"("&amp;CHOOSE(WEEKDAY($CA307),"日","月","火","水","木","金","土")&amp;")"&amp;" に切れる）　入庫日を早める","△ 欠品 "&amp;TEXT($CA307,"m/d")&amp;"("&amp;CHOOSE(WEEKDAY($CA307),"日","月","火","水","木","金","土")&amp;")"&amp;"〜"&amp;TEXT($P307-1,"m/d")&amp;"("&amp;CHOOSE(WEEKDAY($P307-1),"日","月","火","水","木","金","土")&amp;")"&amp;"　"&amp;$CO307),IF($CC307="","○ "&amp;TEXT($P307,"m/d")&amp;"("&amp;CHOOSE(WEEKDAY($P307),"日","月","火","水","木","金","土")&amp;")"&amp;" 入庫で 14日以上もつ",IF($CC307-N('設定'!$C$7)&lt;='設定'!$C$6,"● 入庫しても "&amp;TEXT($CC307,"m/d")&amp;"("&amp;CHOOSE(WEEKDAY($CC307),"日","月","火","水","木","金","土")&amp;")"&amp;" に切れる　もう1便を至急発注（2便目に入れる）","△ 入庫しても "&amp;TEXT($CC307,"m/d")&amp;"("&amp;CHOOSE(WEEKDAY($CC307),"日","月","火","水","木","金","土")&amp;")"&amp;" に切れる　"&amp;TEXT($CC307-N('設定'!$C$7),"m/d")&amp;"("&amp;CHOOSE(WEEKDAY($CC307-N('設定'!$C$7)),"日","月","火","水","木","金","土")&amp;")"&amp;" までに次を発注（2便目に入れる）"))))))))))</f>
        <v/>
      </c>
      <c r="CR307">
        <f>IF($C307="","",IF($G307&gt;1,"ｹｰｽ("&amp;$G307&amp;"入)","個"))</f>
        <v/>
      </c>
      <c r="CS307">
        <f>IF($C307="",0,IF(COUNTIFS('①在庫を貼る'!$V$6:$V$10005,'設定'!$C$4,'①在庫を貼る'!$W$6:$W$10005,$C307)=0,1,0))</f>
        <v/>
      </c>
      <c r="CT307">
        <f>IF(AND($CK307=1,OR('③発注書'!$C$4="すべて",'③発注書'!$C$4="",$F307='③発注書'!$C$4)),N($CT306)+1,N($CT306))</f>
        <v/>
      </c>
      <c r="CU307">
        <f>IF(AND($CL307=1,OR('③発注書'!$C$4="すべて",'③発注書'!$C$4="",$F307='③発注書'!$C$4)),N($CU306)+1,N($CU306))</f>
        <v/>
      </c>
      <c r="CV307">
        <f>IF($C307="",0,IF(COUNTIFS('①在庫を貼る'!$V$6:$V$10005,'設定'!$C$4,'①在庫を貼る'!$W$6:$W$10005,$C307)&gt;0,1,0))</f>
        <v/>
      </c>
      <c r="CW307">
        <f>IF($C307="",0,IF(COUNTIFS('月1回_1ヶ月前の在庫'!$V$6:$V$10005,'設定'!$C$4,'月1回_1ヶ月前の在庫'!$W$6:$W$10005,$C307)&gt;0,1,0))</f>
        <v/>
      </c>
      <c r="CX307">
        <f>IF($C307="",0,IF(COUNTIFS('月1回_2ヶ月前の在庫'!$V$6:$V$10005,'設定'!$C$4,'月1回_2ヶ月前の在庫'!$W$6:$W$10005,$C307)&gt;0,1,0))</f>
        <v/>
      </c>
      <c r="CY307">
        <f>IF(OR($C307="",'設定'!$C$12=""),"",IF('設定'!$C$13="",IF(AND($CV307=1,$CW307=0),"新商品（今月から）",IF(AND($CV307=0,$CW307=1),"終売（今月から）","")),IF(AND($CV307=1,$CW307=0,$CX307=0),"新商品（今月から）",IF(AND($CV307=1,$CW307=1,$CX307=0),"新商品（先月から）",IF(AND($CV307=0,$CW307=1,$CX307=1),"終売（今月から）",IF(AND($CV307=0,$CW307=0,$CX307=1),"終売（先月から）",IF(AND($CV307=1,$CW307=0,$CX307=1),"復活（先月は無し）","")))))))</f>
        <v/>
      </c>
    </row>
    <row r="308">
      <c r="B308">
        <f>IF(303&lt;='設定'!$C$11,303,"")</f>
        <v/>
      </c>
      <c r="C308">
        <f>IF($B308="","",IF($B308&lt;='設定'!$C$20,INDEX('商品マスタ'!$B$6:$B$1005,MATCH($B308,'商品マスタ'!$M$6:$M$1005,0)),IF($B308&lt;='設定'!$C$20+'設定'!$C$17,INDEX('①在庫を貼る'!$W$6:$W$10005,MATCH($B308-'設定'!$C$20,'①在庫を貼る'!$U$6:$U$10005,0)),IF($B308&lt;='設定'!$C$20+'設定'!$C$17+'設定'!$C$18,INDEX('月1回_1ヶ月前の在庫'!$W$6:$W$10005,MATCH($B308-'設定'!$C$20-'設定'!$C$17,'月1回_1ヶ月前の在庫'!$U$6:$U$10005,0)),INDEX('月1回_2ヶ月前の在庫'!$W$6:$W$10005,MATCH($B308-'設定'!$C$20-'設定'!$C$17-'設定'!$C$18,'月1回_2ヶ月前の在庫'!$U$6:$U$10005,0))))))</f>
        <v/>
      </c>
      <c r="D308">
        <f>IF($C308="","",IFERROR(IF(INDEX('商品マスタ'!$C$6:$C$1005,MATCH($C308,'商品マスタ'!$B$6:$B$1005,0))="",IFERROR(INDEX('①在庫を貼る'!$J$6:$J$10005,MATCH($C308,'①在庫を貼る'!$W$6:$W$10005,0)),IFERROR(INDEX('月1回_1ヶ月前の在庫'!$J$6:$J$10005,MATCH($C308,'月1回_1ヶ月前の在庫'!$W$6:$W$10005,0)),IFERROR(INDEX('月1回_2ヶ月前の在庫'!$J$6:$J$10005,MATCH($C308,'月1回_2ヶ月前の在庫'!$W$6:$W$10005,0)),""))),INDEX('商品マスタ'!$C$6:$C$1005,MATCH($C308,'商品マスタ'!$B$6:$B$1005,0))),IFERROR(INDEX('①在庫を貼る'!$J$6:$J$10005,MATCH($C308,'①在庫を貼る'!$W$6:$W$10005,0)),IFERROR(INDEX('月1回_1ヶ月前の在庫'!$J$6:$J$10005,MATCH($C308,'月1回_1ヶ月前の在庫'!$W$6:$W$10005,0)),IFERROR(INDEX('月1回_2ヶ月前の在庫'!$J$6:$J$10005,MATCH($C308,'月1回_2ヶ月前の在庫'!$W$6:$W$10005,0)),"")))))</f>
        <v/>
      </c>
      <c r="E308">
        <f>IF($C308="","",IFERROR(IF(INDEX('商品マスタ'!$D$6:$D$1005,MATCH($C308,'商品マスタ'!$B$6:$B$1005,0))="",IFERROR(INDEX('①在庫を貼る'!$H$6:$H$10005,MATCH($C308,'①在庫を貼る'!$W$6:$W$10005,0)),IFERROR(INDEX('月1回_1ヶ月前の在庫'!$H$6:$H$10005,MATCH($C308,'月1回_1ヶ月前の在庫'!$W$6:$W$10005,0)),IFERROR(INDEX('月1回_2ヶ月前の在庫'!$H$6:$H$10005,MATCH($C308,'月1回_2ヶ月前の在庫'!$W$6:$W$10005,0)),""))),INDEX('商品マスタ'!$D$6:$D$1005,MATCH($C308,'商品マスタ'!$B$6:$B$1005,0))),IFERROR(INDEX('①在庫を貼る'!$H$6:$H$10005,MATCH($C308,'①在庫を貼る'!$W$6:$W$10005,0)),IFERROR(INDEX('月1回_1ヶ月前の在庫'!$H$6:$H$10005,MATCH($C308,'月1回_1ヶ月前の在庫'!$W$6:$W$10005,0)),IFERROR(INDEX('月1回_2ヶ月前の在庫'!$H$6:$H$10005,MATCH($C308,'月1回_2ヶ月前の在庫'!$W$6:$W$10005,0)),"")))))</f>
        <v/>
      </c>
      <c r="F308">
        <f>IF($C308="","",IFERROR(IF(INDEX('商品マスタ'!$E$6:$E$1005,MATCH($C308,'商品マスタ'!$B$6:$B$1005,0))="",IFERROR(INDEX('①在庫を貼る'!$E$6:$E$10005,MATCH($C308,'①在庫を貼る'!$W$6:$W$10005,0)),IFERROR(INDEX('月1回_1ヶ月前の在庫'!$E$6:$E$10005,MATCH($C308,'月1回_1ヶ月前の在庫'!$W$6:$W$10005,0)),IFERROR(INDEX('月1回_2ヶ月前の在庫'!$E$6:$E$10005,MATCH($C308,'月1回_2ヶ月前の在庫'!$W$6:$W$10005,0)),""))),INDEX('商品マスタ'!$E$6:$E$1005,MATCH($C308,'商品マスタ'!$B$6:$B$1005,0))),IFERROR(INDEX('①在庫を貼る'!$E$6:$E$10005,MATCH($C308,'①在庫を貼る'!$W$6:$W$10005,0)),IFERROR(INDEX('月1回_1ヶ月前の在庫'!$E$6:$E$10005,MATCH($C308,'月1回_1ヶ月前の在庫'!$W$6:$W$10005,0)),IFERROR(INDEX('月1回_2ヶ月前の在庫'!$E$6:$E$10005,MATCH($C308,'月1回_2ヶ月前の在庫'!$W$6:$W$10005,0)),"")))))</f>
        <v/>
      </c>
      <c r="G308">
        <f>IF($C308="","",MAX(1,N(IFERROR(IF(INDEX('商品マスタ'!$F$6:$F$1005,MATCH($C308,'商品マスタ'!$B$6:$B$1005,0))="",IF(COUNTIFS('①在庫を貼る'!$V$6:$V$10005,'設定'!$C$4,'①在庫を貼る'!$W$6:$W$10005,$C308)&gt;0,SUMIFS('①在庫を貼る'!$K$6:$K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K$6:$K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K$6:$K$10005,'月1回_2ヶ月前の在庫'!$V$6:$V$10005,'設定'!$C$4,'月1回_2ヶ月前の在庫'!$W$6:$W$10005,$C308)/COUNTIFS('月1回_2ヶ月前の在庫'!$V$6:$V$10005,'設定'!$C$4,'月1回_2ヶ月前の在庫'!$W$6:$W$10005,$C308),0))),INDEX('商品マスタ'!$F$6:$F$1005,MATCH($C308,'商品マスタ'!$B$6:$B$1005,0))),IF(COUNTIFS('①在庫を貼る'!$V$6:$V$10005,'設定'!$C$4,'①在庫を貼る'!$W$6:$W$10005,$C308)&gt;0,SUMIFS('①在庫を貼る'!$K$6:$K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K$6:$K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K$6:$K$10005,'月1回_2ヶ月前の在庫'!$V$6:$V$10005,'設定'!$C$4,'月1回_2ヶ月前の在庫'!$W$6:$W$10005,$C308)/COUNTIFS('月1回_2ヶ月前の在庫'!$V$6:$V$10005,'設定'!$C$4,'月1回_2ヶ月前の在庫'!$W$6:$W$10005,$C308),0)))))))</f>
        <v/>
      </c>
      <c r="H308">
        <f>IF($C308="","",N(IFERROR(IF(INDEX('商品マスタ'!$G$6:$G$1005,MATCH($C308,'商品マスタ'!$B$6:$B$1005,0))="",IF(COUNTIFS('①在庫を貼る'!$V$6:$V$10005,'設定'!$C$4,'①在庫を貼る'!$W$6:$W$10005,$C308)&gt;0,SUMIFS('①在庫を貼る'!$Q$6:$Q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Q$6:$Q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Q$6:$Q$10005,'月1回_2ヶ月前の在庫'!$V$6:$V$10005,'設定'!$C$4,'月1回_2ヶ月前の在庫'!$W$6:$W$10005,$C308)/COUNTIFS('月1回_2ヶ月前の在庫'!$V$6:$V$10005,'設定'!$C$4,'月1回_2ヶ月前の在庫'!$W$6:$W$10005,$C308),0))),INDEX('商品マスタ'!$G$6:$G$1005,MATCH($C308,'商品マスタ'!$B$6:$B$1005,0))),IF(COUNTIFS('①在庫を貼る'!$V$6:$V$10005,'設定'!$C$4,'①在庫を貼る'!$W$6:$W$10005,$C308)&gt;0,SUMIFS('①在庫を貼る'!$Q$6:$Q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Q$6:$Q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Q$6:$Q$10005,'月1回_2ヶ月前の在庫'!$V$6:$V$10005,'設定'!$C$4,'月1回_2ヶ月前の在庫'!$W$6:$W$10005,$C308)/COUNTIFS('月1回_2ヶ月前の在庫'!$V$6:$V$10005,'設定'!$C$4,'月1回_2ヶ月前の在庫'!$W$6:$W$10005,$C308),0))))))</f>
        <v/>
      </c>
      <c r="I308">
        <f>IF($C308="","",IF(COUNTIFS('①在庫を貼る'!$V$6:$V$10005,'設定'!$C$4,'①在庫を貼る'!$W$6:$W$10005,$C308)=0,"",SUMIFS('①在庫を貼る'!$N$6:$N$10005,'①在庫を貼る'!$V$6:$V$10005,'設定'!$C$4,'①在庫を貼る'!$W$6:$W$10005,$C308)))</f>
        <v/>
      </c>
      <c r="J308">
        <f>IF($C308="","",IF('②発注する'!$AD312="","",'②発注する'!$AD312))</f>
        <v/>
      </c>
      <c r="K308" s="90">
        <f>IF($C308="","",IF('②発注する'!$AE312="","",'②発注する'!$AE312))</f>
        <v/>
      </c>
      <c r="L308">
        <f>IF($C308="","",IF(AND(ISNUMBER($J308),ISNUMBER($K308),$K308&gt;='設定'!$C$6),$J308,N($I308)))</f>
        <v/>
      </c>
      <c r="M308">
        <f>IF($C308="","",IFERROR(IF(N(INDEX('商品マスタ'!$J$6:$J$1005,MATCH($C308,'商品マスタ'!$B$6:$B$1005,0)))&gt;0,INDEX('商品マスタ'!$J$6:$J$1005,MATCH($C308,'商品マスタ'!$B$6:$B$1005,0)),""),""))</f>
        <v/>
      </c>
      <c r="N308">
        <f>IF($C308="","",IFERROR(IF(N(INDEX('商品マスタ'!$H$6:$H$1005,MATCH($C308,'商品マスタ'!$B$6:$B$1005,0)))&gt;0,INDEX('商品マスタ'!$H$6:$H$1005,MATCH($C308,'商品マスタ'!$B$6:$B$1005,0)),""),""))</f>
        <v/>
      </c>
      <c r="O308">
        <f>IF($C308="","",IF($N308&lt;&gt;"",$N308*$G308,IF(N(IF(COUNTIFS('①在庫を貼る'!$V$6:$V$10005,'設定'!$C$4,'①在庫を貼る'!$W$6:$W$10005,$C308)&gt;0,SUMIFS('①在庫を貼る'!$O$6:$O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O$6:$O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O$6:$O$10005,'月1回_2ヶ月前の在庫'!$V$6:$V$10005,'設定'!$C$4,'月1回_2ヶ月前の在庫'!$W$6:$W$10005,$C308)/COUNTIFS('月1回_2ヶ月前の在庫'!$V$6:$V$10005,'設定'!$C$4,'月1回_2ヶ月前の在庫'!$W$6:$W$10005,$C308),0))))&gt;0,N(IF(COUNTIFS('①在庫を貼る'!$V$6:$V$10005,'設定'!$C$4,'①在庫を貼る'!$W$6:$W$10005,$C308)&gt;0,SUMIFS('①在庫を貼る'!$O$6:$O$10005,'①在庫を貼る'!$V$6:$V$10005,'設定'!$C$4,'①在庫を貼る'!$W$6:$W$10005,$C308)/COUNTIFS('①在庫を貼る'!$V$6:$V$10005,'設定'!$C$4,'①在庫を貼る'!$W$6:$W$10005,$C308),IF(COUNTIFS('月1回_1ヶ月前の在庫'!$V$6:$V$10005,'設定'!$C$4,'月1回_1ヶ月前の在庫'!$W$6:$W$10005,$C308)&gt;0,SUMIFS('月1回_1ヶ月前の在庫'!$O$6:$O$10005,'月1回_1ヶ月前の在庫'!$V$6:$V$10005,'設定'!$C$4,'月1回_1ヶ月前の在庫'!$W$6:$W$10005,$C308)/COUNTIFS('月1回_1ヶ月前の在庫'!$V$6:$V$10005,'設定'!$C$4,'月1回_1ヶ月前の在庫'!$W$6:$W$10005,$C308),IF(COUNTIFS('月1回_2ヶ月前の在庫'!$V$6:$V$10005,'設定'!$C$4,'月1回_2ヶ月前の在庫'!$W$6:$W$10005,$C308)&gt;0,SUMIFS('月1回_2ヶ月前の在庫'!$O$6:$O$10005,'月1回_2ヶ月前の在庫'!$V$6:$V$10005,'設定'!$C$4,'月1回_2ヶ月前の在庫'!$W$6:$W$10005,$C308)/COUNTIFS('月1回_2ヶ月前の在庫'!$V$6:$V$10005,'設定'!$C$4,'月1回_2ヶ月前の在庫'!$W$6:$W$10005,$C308),0)))),"")))</f>
        <v/>
      </c>
      <c r="P308" s="90">
        <f>IF($C308="","",IF('②発注する'!$I312="","",'②発注する'!$I312))</f>
        <v/>
      </c>
      <c r="Q308">
        <f>IF($C308="","",IF('②発注する'!$J312="","",'②発注する'!$J312))</f>
        <v/>
      </c>
      <c r="R308">
        <f>IF($C308="",0,IF(AND(ISNUMBER($P308),ISNUMBER($Q308)),MAX(0,$Q308)*$G308,0))</f>
        <v/>
      </c>
      <c r="S308" s="90">
        <f>IF($C308="","",IF('②発注する'!$M312="","",'②発注する'!$M312))</f>
        <v/>
      </c>
      <c r="T308">
        <f>IF($C308="","",IF('②発注する'!$N312="","",'②発注する'!$N312))</f>
        <v/>
      </c>
      <c r="U308">
        <f>IF($C308="",0,IF(AND(ISNUMBER($S308),ISNUMBER($T308)),MAX(0,$T308)*$G308,0))</f>
        <v/>
      </c>
      <c r="V308">
        <f>IF($C308="",0,IF($M308="",0,MAX(0,$M308)*MAX(0,V$4)/100))</f>
        <v/>
      </c>
      <c r="W308">
        <f>IF($C308="",0,IF($M308="",0,MAX(0,$M308)*MAX(0,W$4)/100))</f>
        <v/>
      </c>
      <c r="X308">
        <f>IF($C308="",0,IF($M308="",0,MAX(0,$M308)*MAX(0,X$4)/100))</f>
        <v/>
      </c>
      <c r="Y308">
        <f>IF($C308="",0,IF($M308="",0,MAX(0,$M308)*MAX(0,Y$4)/100))</f>
        <v/>
      </c>
      <c r="Z308">
        <f>IF($C308="",0,IF($M308="",0,MAX(0,$M308)*MAX(0,Z$4)/100))</f>
        <v/>
      </c>
      <c r="AA308">
        <f>IF($C308="",0,IF($M308="",0,MAX(0,$M308)*MAX(0,AA$4)/100))</f>
        <v/>
      </c>
      <c r="AB308">
        <f>IF($C308="",0,IF($M308="",0,MAX(0,$M308)*MAX(0,AB$4)/100))</f>
        <v/>
      </c>
      <c r="AC308">
        <f>IF($C308="",0,IF($M308="",0,MAX(0,$M308)*MAX(0,AC$4)/100))</f>
        <v/>
      </c>
      <c r="AD308">
        <f>IF($C308="",0,IF($M308="",0,MAX(0,$M308)*MAX(0,AD$4)/100))</f>
        <v/>
      </c>
      <c r="AE308">
        <f>IF($C308="",0,IF($M308="",0,MAX(0,$M308)*MAX(0,AE$4)/100))</f>
        <v/>
      </c>
      <c r="AF308">
        <f>IF($C308="",0,IF($M308="",0,MAX(0,$M308)*MAX(0,AF$4)/100))</f>
        <v/>
      </c>
      <c r="AG308">
        <f>IF($C308="",0,IF($M308="",0,MAX(0,$M308)*MAX(0,AG$4)/100))</f>
        <v/>
      </c>
      <c r="AH308">
        <f>IF($C308="",0,IF($M308="",0,MAX(0,$M308)*MAX(0,AH$4)/100))</f>
        <v/>
      </c>
      <c r="AI308">
        <f>IF($C308="",0,IF($M308="",0,MAX(0,$M308)*MAX(0,AI$4)/100))</f>
        <v/>
      </c>
      <c r="AJ308">
        <f>IF($C308="",0,MAX(0,MAX(0,N($L308))-$V308))</f>
        <v/>
      </c>
      <c r="AK308">
        <f>IF($C308="",0,MAX(0,$AJ308-$W308))</f>
        <v/>
      </c>
      <c r="AL308">
        <f>IF($C308="",0,MAX(0,$AK308-$X308))</f>
        <v/>
      </c>
      <c r="AM308">
        <f>IF($C308="",0,MAX(0,$AL308-$Y308))</f>
        <v/>
      </c>
      <c r="AN308">
        <f>IF($C308="",0,MAX(0,$AM308-$Z308))</f>
        <v/>
      </c>
      <c r="AO308">
        <f>IF($C308="",0,MAX(0,$AN308-$AA308))</f>
        <v/>
      </c>
      <c r="AP308">
        <f>IF($C308="",0,MAX(0,$AO308-$AB308))</f>
        <v/>
      </c>
      <c r="AQ308">
        <f>IF($C308="",0,MAX(0,$AP308-$AC308))</f>
        <v/>
      </c>
      <c r="AR308">
        <f>IF($C308="",0,MAX(0,$AQ308-$AD308))</f>
        <v/>
      </c>
      <c r="AS308">
        <f>IF($C308="",0,MAX(0,$AR308-$AE308))</f>
        <v/>
      </c>
      <c r="AT308">
        <f>IF($C308="",0,MAX(0,$AS308-$AF308))</f>
        <v/>
      </c>
      <c r="AU308">
        <f>IF($C308="",0,MAX(0,$AT308-$AG308))</f>
        <v/>
      </c>
      <c r="AV308">
        <f>IF($C308="",0,MAX(0,$AU308-$AH308))</f>
        <v/>
      </c>
      <c r="AW308">
        <f>IF($C308="",0,MAX(0,$AV308-$AI308))</f>
        <v/>
      </c>
      <c r="AX308">
        <f>IF($C308="",0,MAX(0,MAX(0,N($L308))+IF($P308=V$3,$R308,0)+IF($S308=V$3,$U308,0)-$V308))</f>
        <v/>
      </c>
      <c r="AY308">
        <f>IF($C308="",0,MAX(0,$AX308+IF($P308=W$3,$R308,0)+IF($S308=W$3,$U308,0)-$W308))</f>
        <v/>
      </c>
      <c r="AZ308">
        <f>IF($C308="",0,MAX(0,$AY308+IF($P308=X$3,$R308,0)+IF($S308=X$3,$U308,0)-$X308))</f>
        <v/>
      </c>
      <c r="BA308">
        <f>IF($C308="",0,MAX(0,$AZ308+IF($P308=Y$3,$R308,0)+IF($S308=Y$3,$U308,0)-$Y308))</f>
        <v/>
      </c>
      <c r="BB308">
        <f>IF($C308="",0,MAX(0,$BA308+IF($P308=Z$3,$R308,0)+IF($S308=Z$3,$U308,0)-$Z308))</f>
        <v/>
      </c>
      <c r="BC308">
        <f>IF($C308="",0,MAX(0,$BB308+IF($P308=AA$3,$R308,0)+IF($S308=AA$3,$U308,0)-$AA308))</f>
        <v/>
      </c>
      <c r="BD308">
        <f>IF($C308="",0,MAX(0,$BC308+IF($P308=AB$3,$R308,0)+IF($S308=AB$3,$U308,0)-$AB308))</f>
        <v/>
      </c>
      <c r="BE308">
        <f>IF($C308="",0,MAX(0,$BD308+IF($P308=AC$3,$R308,0)+IF($S308=AC$3,$U308,0)-$AC308))</f>
        <v/>
      </c>
      <c r="BF308">
        <f>IF($C308="",0,MAX(0,$BE308+IF($P308=AD$3,$R308,0)+IF($S308=AD$3,$U308,0)-$AD308))</f>
        <v/>
      </c>
      <c r="BG308">
        <f>IF($C308="",0,MAX(0,$BF308+IF($P308=AE$3,$R308,0)+IF($S308=AE$3,$U308,0)-$AE308))</f>
        <v/>
      </c>
      <c r="BH308">
        <f>IF($C308="",0,MAX(0,$BG308+IF($P308=AF$3,$R308,0)+IF($S308=AF$3,$U308,0)-$AF308))</f>
        <v/>
      </c>
      <c r="BI308">
        <f>IF($C308="",0,MAX(0,$BH308+IF($P308=AG$3,$R308,0)+IF($S308=AG$3,$U308,0)-$AG308))</f>
        <v/>
      </c>
      <c r="BJ308">
        <f>IF($C308="",0,MAX(0,$BI308+IF($P308=AH$3,$R308,0)+IF($S308=AH$3,$U308,0)-$AH308))</f>
        <v/>
      </c>
      <c r="BK308">
        <f>IF($C308="",0,MAX(0,$BJ308+IF($P308=AI$3,$R308,0)+IF($S308=AI$3,$U308,0)-$AI308))</f>
        <v/>
      </c>
      <c r="BL308">
        <f>IF($C308="",99,IF(AND($AX308&lt;1,V$3&gt;=MAX(N($P308),N($S308))),0,99))</f>
        <v/>
      </c>
      <c r="BM308">
        <f>IF($C308="",99,IF(AND($AY308&lt;1,W$3&gt;=MAX(N($P308),N($S308))),1,99))</f>
        <v/>
      </c>
      <c r="BN308">
        <f>IF($C308="",99,IF(AND($AZ308&lt;1,X$3&gt;=MAX(N($P308),N($S308))),2,99))</f>
        <v/>
      </c>
      <c r="BO308">
        <f>IF($C308="",99,IF(AND($BA308&lt;1,Y$3&gt;=MAX(N($P308),N($S308))),3,99))</f>
        <v/>
      </c>
      <c r="BP308">
        <f>IF($C308="",99,IF(AND($BB308&lt;1,Z$3&gt;=MAX(N($P308),N($S308))),4,99))</f>
        <v/>
      </c>
      <c r="BQ308">
        <f>IF($C308="",99,IF(AND($BC308&lt;1,AA$3&gt;=MAX(N($P308),N($S308))),5,99))</f>
        <v/>
      </c>
      <c r="BR308">
        <f>IF($C308="",99,IF(AND($BD308&lt;1,AB$3&gt;=MAX(N($P308),N($S308))),6,99))</f>
        <v/>
      </c>
      <c r="BS308">
        <f>IF($C308="",99,IF(AND($BE308&lt;1,AC$3&gt;=MAX(N($P308),N($S308))),7,99))</f>
        <v/>
      </c>
      <c r="BT308">
        <f>IF($C308="",99,IF(AND($BF308&lt;1,AD$3&gt;=MAX(N($P308),N($S308))),8,99))</f>
        <v/>
      </c>
      <c r="BU308">
        <f>IF($C308="",99,IF(AND($BG308&lt;1,AE$3&gt;=MAX(N($P308),N($S308))),9,99))</f>
        <v/>
      </c>
      <c r="BV308">
        <f>IF($C308="",99,IF(AND($BH308&lt;1,AF$3&gt;=MAX(N($P308),N($S308))),10,99))</f>
        <v/>
      </c>
      <c r="BW308">
        <f>IF($C308="",99,IF(AND($BI308&lt;1,AG$3&gt;=MAX(N($P308),N($S308))),11,99))</f>
        <v/>
      </c>
      <c r="BX308">
        <f>IF($C308="",99,IF(AND($BJ308&lt;1,AH$3&gt;=MAX(N($P308),N($S308))),12,99))</f>
        <v/>
      </c>
      <c r="BY308">
        <f>IF($C308="",99,IF(AND($BK308&lt;1,AI$3&gt;=MAX(N($P308),N($S308))),13,99))</f>
        <v/>
      </c>
      <c r="BZ308">
        <f>IF(OR($C308="",$M308=""),"",COUNTIF($AJ308:$AW308,"&gt;=1"))</f>
        <v/>
      </c>
      <c r="CA308" s="90">
        <f>IF($BZ308="","",IF($BZ308&gt;=14,"",'設定'!$C$6+$BZ308))</f>
        <v/>
      </c>
      <c r="CB308">
        <f>IF(OR($C308="",$M308=""),"",MIN($BL308:$BY308))</f>
        <v/>
      </c>
      <c r="CC308" s="90">
        <f>IF($CB308="","",IF($CB308&gt;=99,"",'設定'!$C$6+$CB308))</f>
        <v/>
      </c>
      <c r="CD308">
        <f>IF(OR($C308="",$M308=""),"",AVERAGE($V308:$AI308))</f>
        <v/>
      </c>
      <c r="CE308">
        <f>IF($C308="","",IFERROR(IF(MATCH(IF(ISNUMBER($P308),$P308,'設定'!$C$6+N('設定'!$C$7)),$V$3:$AI$3,0)=1,MAX(0,N($L308)),INDEX($AJ308:$AW308,MATCH(IF(ISNUMBER($P308),$P308,'設定'!$C$6+N('設定'!$C$7)),$V$3:$AI$3,0)-1)),""))</f>
        <v/>
      </c>
      <c r="CF308">
        <f>IF(OR($C308="",$O308="",$CE308=""),"",IF($O308-$CE308&lt;=0,0,ROUNDUP(($O308-$CE308)/$G308,0)))</f>
        <v/>
      </c>
      <c r="CG308">
        <f>IF(OR($C308="",$CF308="",NOT(ISNUMBER($Q308))),0,MAX(0,$Q308-$CF308))</f>
        <v/>
      </c>
      <c r="CH308">
        <f>IF(OR($C308="",$O308="",$U308=0),0,IFERROR(ROUNDUP(MAX(0,IF(MATCH($S308,$V$3:$AI$3,0)=1,MAX(0,N($L308)),INDEX($AX308:$BK308,MATCH($S308,$V$3:$AI$3,0)-1))+$U308-$O308)/$G308,0),0))</f>
        <v/>
      </c>
      <c r="CI308">
        <f>IF($C308="","",IF(AND($P308="",$Q308=""),"",IF($P308="","⚠ 入庫日を ▼ から選んでください",IF(NOT(ISNUMBER($P308)),"⚠ 入庫日は ▼ から選んでください",IF($P308&lt;N('設定'!$C$6),"⚠ 入庫日が過去です（もう在庫に入っています）→ 消してください",IF($P308&gt;N('設定'!$C$6)+13,"⚠ 入庫日が14日より先です",IF(N($Q308)&lt;=0,"⚠ 入庫数を入れてください",IF($CG308&gt;0,"⚠ 目安より "&amp;$CG308&amp;" 多い（定数を超える）→ 減らす",""))))))))</f>
        <v/>
      </c>
      <c r="CJ308">
        <f>IF($C308="","",IF(AND($S308="",$T308=""),"",IF($S308="","⚠ 2便目：入庫日を ▼ から選んでください",IF(NOT(ISNUMBER($S308)),"⚠ 2便目：入庫日は ▼ から選んでください",IF($S308&lt;N('設定'!$C$6),"⚠ 2便目：入庫日が過去です（もう在庫に入っています）→ 消してください",IF($S308&gt;N('設定'!$C$6)+13,"⚠ 2便目：入庫日が14日より先です",IF(N($T308)&lt;=0,"⚠ 2便目：入庫数を入れてください",IF($CH308&gt;0,"⚠ 2便目：定数を "&amp;$CH308&amp;" ケース超える → 減らす",""))))))))</f>
        <v/>
      </c>
      <c r="CK308">
        <f>IF(AND($CI308="",N($Q308)&gt;0,ISNUMBER($P308)),1,0)</f>
        <v/>
      </c>
      <c r="CL308">
        <f>IF(AND($CJ308="",N($T308)&gt;0,ISNUMBER($S308)),1,0)</f>
        <v/>
      </c>
      <c r="CM308">
        <f>IF(OR($CK308=1,$CL308=1),1,0)</f>
        <v/>
      </c>
      <c r="CN308">
        <f>IF($C308="",0,($CK308*$R308+$CL308*$U308)*N($H308))</f>
        <v/>
      </c>
      <c r="CO308">
        <f>IF($C308="","",IF($CC308="","入庫後は 14日以上もつ",IF($CC308-N('設定'!$C$7)&lt;='設定'!$C$6,"入庫後も "&amp;TEXT($CC308,"m/d")&amp;"("&amp;CHOOSE(WEEKDAY($CC308),"日","月","火","水","木","金","土")&amp;")"&amp;" に切れる　もう1便を至急発注","入庫後も "&amp;TEXT($CC308,"m/d")&amp;"("&amp;CHOOSE(WEEKDAY($CC308),"日","月","火","水","木","金","土")&amp;")"&amp;" に切れる　"&amp;TEXT($CC308-N('設定'!$C$7),"m/d")&amp;"("&amp;CHOOSE(WEEKDAY($CC308-N('設定'!$C$7)),"日","月","火","水","木","金","土")&amp;")"&amp;" までに次を発注")))</f>
        <v/>
      </c>
      <c r="CP308">
        <f>IF($C308="","",IF('設定'!$C$6="","？ ①在庫を貼る に今日のCSVが貼られていない",IF($CS308=1,"－ 今日のCSVに無い（終売？）",IF($L308&lt;0,"● 在庫がマイナス　数えて「数えた在庫」に入れる",IF($L308=0,"● 在庫なし　至急発注",IF($M308="","？ 減り数が未設定（商品マスタ）",IF($B$3=0,"？ 動員が未入力（動員を入れる）",IF($CA308="","○ 14日以上もつ",IF($BZ308&lt;N('設定'!$C$7),"● "&amp;TEXT($CA308,"m/d")&amp;"("&amp;CHOOSE(WEEKDAY($CA308),"日","月","火","水","木","金","土")&amp;")"&amp;" に切れる　至急発注",IF($BZ308=N('設定'!$C$7),"● "&amp;TEXT($CA308,"m/d")&amp;"("&amp;CHOOSE(WEEKDAY($CA308),"日","月","火","水","木","金","土")&amp;")"&amp;" に切れる　今日発注","△ "&amp;TEXT($CA308,"m/d")&amp;"("&amp;CHOOSE(WEEKDAY($CA308),"日","月","火","水","木","金","土")&amp;")"&amp;" に切れる　"&amp;TEXT($CA308-N('設定'!$C$7),"m/d")&amp;"("&amp;CHOOSE(WEEKDAY($CA308-N('設定'!$C$7)),"日","月","火","水","木","金","土")&amp;")"&amp;" までに発注"))))))))))</f>
        <v/>
      </c>
      <c r="CQ308">
        <f>IF($C308="","",IF(AND($P308="",$Q308="",$S308="",$T308=""),"",IF(AND($P308="",$Q308=""),"⚠ 先に1便目（左の入庫日・入庫数）に入れてください",IF($CI308&lt;&gt;"",$CI308,IF($CJ308&lt;&gt;"",$CJ308,IF($M308="","？ 減り数が未設定（発注書には載ります）",IF($B$3=0,"？ 動員が未入力（発注書には載ります）",IF(AND($CA308&lt;&gt;"",$P308&gt;$CA308),IF($P308&gt;'設定'!$C$6+N('設定'!$C$7),"● "&amp;TEXT($P308,"m/d")&amp;"("&amp;CHOOSE(WEEKDAY($P308),"日","月","火","水","木","金","土")&amp;")"&amp;" の入庫では間に合わない（"&amp;TEXT($CA308,"m/d")&amp;"("&amp;CHOOSE(WEEKDAY($CA308),"日","月","火","水","木","金","土")&amp;")"&amp;" に切れる）　入庫日を早める","△ 欠品 "&amp;TEXT($CA308,"m/d")&amp;"("&amp;CHOOSE(WEEKDAY($CA308),"日","月","火","水","木","金","土")&amp;")"&amp;"〜"&amp;TEXT($P308-1,"m/d")&amp;"("&amp;CHOOSE(WEEKDAY($P308-1),"日","月","火","水","木","金","土")&amp;")"&amp;"　"&amp;$CO308),IF($CC308="","○ "&amp;TEXT($P308,"m/d")&amp;"("&amp;CHOOSE(WEEKDAY($P308),"日","月","火","水","木","金","土")&amp;")"&amp;" 入庫で 14日以上もつ",IF($CC308-N('設定'!$C$7)&lt;='設定'!$C$6,"● 入庫しても "&amp;TEXT($CC308,"m/d")&amp;"("&amp;CHOOSE(WEEKDAY($CC308),"日","月","火","水","木","金","土")&amp;")"&amp;" に切れる　もう1便を至急発注（2便目に入れる）","△ 入庫しても "&amp;TEXT($CC308,"m/d")&amp;"("&amp;CHOOSE(WEEKDAY($CC308),"日","月","火","水","木","金","土")&amp;")"&amp;" に切れる　"&amp;TEXT($CC308-N('設定'!$C$7),"m/d")&amp;"("&amp;CHOOSE(WEEKDAY($CC308-N('設定'!$C$7)),"日","月","火","水","木","金","土")&amp;")"&amp;" までに次を発注（2便目に入れる）"))))))))))</f>
        <v/>
      </c>
      <c r="CR308">
        <f>IF($C308="","",IF($G308&gt;1,"ｹｰｽ("&amp;$G308&amp;"入)","個"))</f>
        <v/>
      </c>
      <c r="CS308">
        <f>IF($C308="",0,IF(COUNTIFS('①在庫を貼る'!$V$6:$V$10005,'設定'!$C$4,'①在庫を貼る'!$W$6:$W$10005,$C308)=0,1,0))</f>
        <v/>
      </c>
      <c r="CT308">
        <f>IF(AND($CK308=1,OR('③発注書'!$C$4="すべて",'③発注書'!$C$4="",$F308='③発注書'!$C$4)),N($CT307)+1,N($CT307))</f>
        <v/>
      </c>
      <c r="CU308">
        <f>IF(AND($CL308=1,OR('③発注書'!$C$4="すべて",'③発注書'!$C$4="",$F308='③発注書'!$C$4)),N($CU307)+1,N($CU307))</f>
        <v/>
      </c>
      <c r="CV308">
        <f>IF($C308="",0,IF(COUNTIFS('①在庫を貼る'!$V$6:$V$10005,'設定'!$C$4,'①在庫を貼る'!$W$6:$W$10005,$C308)&gt;0,1,0))</f>
        <v/>
      </c>
      <c r="CW308">
        <f>IF($C308="",0,IF(COUNTIFS('月1回_1ヶ月前の在庫'!$V$6:$V$10005,'設定'!$C$4,'月1回_1ヶ月前の在庫'!$W$6:$W$10005,$C308)&gt;0,1,0))</f>
        <v/>
      </c>
      <c r="CX308">
        <f>IF($C308="",0,IF(COUNTIFS('月1回_2ヶ月前の在庫'!$V$6:$V$10005,'設定'!$C$4,'月1回_2ヶ月前の在庫'!$W$6:$W$10005,$C308)&gt;0,1,0))</f>
        <v/>
      </c>
      <c r="CY308">
        <f>IF(OR($C308="",'設定'!$C$12=""),"",IF('設定'!$C$13="",IF(AND($CV308=1,$CW308=0),"新商品（今月から）",IF(AND($CV308=0,$CW308=1),"終売（今月から）","")),IF(AND($CV308=1,$CW308=0,$CX308=0),"新商品（今月から）",IF(AND($CV308=1,$CW308=1,$CX308=0),"新商品（先月から）",IF(AND($CV308=0,$CW308=1,$CX308=1),"終売（今月から）",IF(AND($CV308=0,$CW308=0,$CX308=1),"終売（先月から）",IF(AND($CV308=1,$CW308=0,$CX308=1),"復活（先月は無し）","")))))))</f>
        <v/>
      </c>
    </row>
    <row r="309">
      <c r="B309">
        <f>IF(304&lt;='設定'!$C$11,304,"")</f>
        <v/>
      </c>
      <c r="C309">
        <f>IF($B309="","",IF($B309&lt;='設定'!$C$20,INDEX('商品マスタ'!$B$6:$B$1005,MATCH($B309,'商品マスタ'!$M$6:$M$1005,0)),IF($B309&lt;='設定'!$C$20+'設定'!$C$17,INDEX('①在庫を貼る'!$W$6:$W$10005,MATCH($B309-'設定'!$C$20,'①在庫を貼る'!$U$6:$U$10005,0)),IF($B309&lt;='設定'!$C$20+'設定'!$C$17+'設定'!$C$18,INDEX('月1回_1ヶ月前の在庫'!$W$6:$W$10005,MATCH($B309-'設定'!$C$20-'設定'!$C$17,'月1回_1ヶ月前の在庫'!$U$6:$U$10005,0)),INDEX('月1回_2ヶ月前の在庫'!$W$6:$W$10005,MATCH($B309-'設定'!$C$20-'設定'!$C$17-'設定'!$C$18,'月1回_2ヶ月前の在庫'!$U$6:$U$10005,0))))))</f>
        <v/>
      </c>
      <c r="D309">
        <f>IF($C309="","",IFERROR(IF(INDEX('商品マスタ'!$C$6:$C$1005,MATCH($C309,'商品マスタ'!$B$6:$B$1005,0))="",IFERROR(INDEX('①在庫を貼る'!$J$6:$J$10005,MATCH($C309,'①在庫を貼る'!$W$6:$W$10005,0)),IFERROR(INDEX('月1回_1ヶ月前の在庫'!$J$6:$J$10005,MATCH($C309,'月1回_1ヶ月前の在庫'!$W$6:$W$10005,0)),IFERROR(INDEX('月1回_2ヶ月前の在庫'!$J$6:$J$10005,MATCH($C309,'月1回_2ヶ月前の在庫'!$W$6:$W$10005,0)),""))),INDEX('商品マスタ'!$C$6:$C$1005,MATCH($C309,'商品マスタ'!$B$6:$B$1005,0))),IFERROR(INDEX('①在庫を貼る'!$J$6:$J$10005,MATCH($C309,'①在庫を貼る'!$W$6:$W$10005,0)),IFERROR(INDEX('月1回_1ヶ月前の在庫'!$J$6:$J$10005,MATCH($C309,'月1回_1ヶ月前の在庫'!$W$6:$W$10005,0)),IFERROR(INDEX('月1回_2ヶ月前の在庫'!$J$6:$J$10005,MATCH($C309,'月1回_2ヶ月前の在庫'!$W$6:$W$10005,0)),"")))))</f>
        <v/>
      </c>
      <c r="E309">
        <f>IF($C309="","",IFERROR(IF(INDEX('商品マスタ'!$D$6:$D$1005,MATCH($C309,'商品マスタ'!$B$6:$B$1005,0))="",IFERROR(INDEX('①在庫を貼る'!$H$6:$H$10005,MATCH($C309,'①在庫を貼る'!$W$6:$W$10005,0)),IFERROR(INDEX('月1回_1ヶ月前の在庫'!$H$6:$H$10005,MATCH($C309,'月1回_1ヶ月前の在庫'!$W$6:$W$10005,0)),IFERROR(INDEX('月1回_2ヶ月前の在庫'!$H$6:$H$10005,MATCH($C309,'月1回_2ヶ月前の在庫'!$W$6:$W$10005,0)),""))),INDEX('商品マスタ'!$D$6:$D$1005,MATCH($C309,'商品マスタ'!$B$6:$B$1005,0))),IFERROR(INDEX('①在庫を貼る'!$H$6:$H$10005,MATCH($C309,'①在庫を貼る'!$W$6:$W$10005,0)),IFERROR(INDEX('月1回_1ヶ月前の在庫'!$H$6:$H$10005,MATCH($C309,'月1回_1ヶ月前の在庫'!$W$6:$W$10005,0)),IFERROR(INDEX('月1回_2ヶ月前の在庫'!$H$6:$H$10005,MATCH($C309,'月1回_2ヶ月前の在庫'!$W$6:$W$10005,0)),"")))))</f>
        <v/>
      </c>
      <c r="F309">
        <f>IF($C309="","",IFERROR(IF(INDEX('商品マスタ'!$E$6:$E$1005,MATCH($C309,'商品マスタ'!$B$6:$B$1005,0))="",IFERROR(INDEX('①在庫を貼る'!$E$6:$E$10005,MATCH($C309,'①在庫を貼る'!$W$6:$W$10005,0)),IFERROR(INDEX('月1回_1ヶ月前の在庫'!$E$6:$E$10005,MATCH($C309,'月1回_1ヶ月前の在庫'!$W$6:$W$10005,0)),IFERROR(INDEX('月1回_2ヶ月前の在庫'!$E$6:$E$10005,MATCH($C309,'月1回_2ヶ月前の在庫'!$W$6:$W$10005,0)),""))),INDEX('商品マスタ'!$E$6:$E$1005,MATCH($C309,'商品マスタ'!$B$6:$B$1005,0))),IFERROR(INDEX('①在庫を貼る'!$E$6:$E$10005,MATCH($C309,'①在庫を貼る'!$W$6:$W$10005,0)),IFERROR(INDEX('月1回_1ヶ月前の在庫'!$E$6:$E$10005,MATCH($C309,'月1回_1ヶ月前の在庫'!$W$6:$W$10005,0)),IFERROR(INDEX('月1回_2ヶ月前の在庫'!$E$6:$E$10005,MATCH($C309,'月1回_2ヶ月前の在庫'!$W$6:$W$10005,0)),"")))))</f>
        <v/>
      </c>
      <c r="G309">
        <f>IF($C309="","",MAX(1,N(IFERROR(IF(INDEX('商品マスタ'!$F$6:$F$1005,MATCH($C309,'商品マスタ'!$B$6:$B$1005,0))="",IF(COUNTIFS('①在庫を貼る'!$V$6:$V$10005,'設定'!$C$4,'①在庫を貼る'!$W$6:$W$10005,$C309)&gt;0,SUMIFS('①在庫を貼る'!$K$6:$K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K$6:$K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K$6:$K$10005,'月1回_2ヶ月前の在庫'!$V$6:$V$10005,'設定'!$C$4,'月1回_2ヶ月前の在庫'!$W$6:$W$10005,$C309)/COUNTIFS('月1回_2ヶ月前の在庫'!$V$6:$V$10005,'設定'!$C$4,'月1回_2ヶ月前の在庫'!$W$6:$W$10005,$C309),0))),INDEX('商品マスタ'!$F$6:$F$1005,MATCH($C309,'商品マスタ'!$B$6:$B$1005,0))),IF(COUNTIFS('①在庫を貼る'!$V$6:$V$10005,'設定'!$C$4,'①在庫を貼る'!$W$6:$W$10005,$C309)&gt;0,SUMIFS('①在庫を貼る'!$K$6:$K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K$6:$K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K$6:$K$10005,'月1回_2ヶ月前の在庫'!$V$6:$V$10005,'設定'!$C$4,'月1回_2ヶ月前の在庫'!$W$6:$W$10005,$C309)/COUNTIFS('月1回_2ヶ月前の在庫'!$V$6:$V$10005,'設定'!$C$4,'月1回_2ヶ月前の在庫'!$W$6:$W$10005,$C309),0)))))))</f>
        <v/>
      </c>
      <c r="H309">
        <f>IF($C309="","",N(IFERROR(IF(INDEX('商品マスタ'!$G$6:$G$1005,MATCH($C309,'商品マスタ'!$B$6:$B$1005,0))="",IF(COUNTIFS('①在庫を貼る'!$V$6:$V$10005,'設定'!$C$4,'①在庫を貼る'!$W$6:$W$10005,$C309)&gt;0,SUMIFS('①在庫を貼る'!$Q$6:$Q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Q$6:$Q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Q$6:$Q$10005,'月1回_2ヶ月前の在庫'!$V$6:$V$10005,'設定'!$C$4,'月1回_2ヶ月前の在庫'!$W$6:$W$10005,$C309)/COUNTIFS('月1回_2ヶ月前の在庫'!$V$6:$V$10005,'設定'!$C$4,'月1回_2ヶ月前の在庫'!$W$6:$W$10005,$C309),0))),INDEX('商品マスタ'!$G$6:$G$1005,MATCH($C309,'商品マスタ'!$B$6:$B$1005,0))),IF(COUNTIFS('①在庫を貼る'!$V$6:$V$10005,'設定'!$C$4,'①在庫を貼る'!$W$6:$W$10005,$C309)&gt;0,SUMIFS('①在庫を貼る'!$Q$6:$Q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Q$6:$Q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Q$6:$Q$10005,'月1回_2ヶ月前の在庫'!$V$6:$V$10005,'設定'!$C$4,'月1回_2ヶ月前の在庫'!$W$6:$W$10005,$C309)/COUNTIFS('月1回_2ヶ月前の在庫'!$V$6:$V$10005,'設定'!$C$4,'月1回_2ヶ月前の在庫'!$W$6:$W$10005,$C309),0))))))</f>
        <v/>
      </c>
      <c r="I309">
        <f>IF($C309="","",IF(COUNTIFS('①在庫を貼る'!$V$6:$V$10005,'設定'!$C$4,'①在庫を貼る'!$W$6:$W$10005,$C309)=0,"",SUMIFS('①在庫を貼る'!$N$6:$N$10005,'①在庫を貼る'!$V$6:$V$10005,'設定'!$C$4,'①在庫を貼る'!$W$6:$W$10005,$C309)))</f>
        <v/>
      </c>
      <c r="J309">
        <f>IF($C309="","",IF('②発注する'!$AD313="","",'②発注する'!$AD313))</f>
        <v/>
      </c>
      <c r="K309" s="90">
        <f>IF($C309="","",IF('②発注する'!$AE313="","",'②発注する'!$AE313))</f>
        <v/>
      </c>
      <c r="L309">
        <f>IF($C309="","",IF(AND(ISNUMBER($J309),ISNUMBER($K309),$K309&gt;='設定'!$C$6),$J309,N($I309)))</f>
        <v/>
      </c>
      <c r="M309">
        <f>IF($C309="","",IFERROR(IF(N(INDEX('商品マスタ'!$J$6:$J$1005,MATCH($C309,'商品マスタ'!$B$6:$B$1005,0)))&gt;0,INDEX('商品マスタ'!$J$6:$J$1005,MATCH($C309,'商品マスタ'!$B$6:$B$1005,0)),""),""))</f>
        <v/>
      </c>
      <c r="N309">
        <f>IF($C309="","",IFERROR(IF(N(INDEX('商品マスタ'!$H$6:$H$1005,MATCH($C309,'商品マスタ'!$B$6:$B$1005,0)))&gt;0,INDEX('商品マスタ'!$H$6:$H$1005,MATCH($C309,'商品マスタ'!$B$6:$B$1005,0)),""),""))</f>
        <v/>
      </c>
      <c r="O309">
        <f>IF($C309="","",IF($N309&lt;&gt;"",$N309*$G309,IF(N(IF(COUNTIFS('①在庫を貼る'!$V$6:$V$10005,'設定'!$C$4,'①在庫を貼る'!$W$6:$W$10005,$C309)&gt;0,SUMIFS('①在庫を貼る'!$O$6:$O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O$6:$O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O$6:$O$10005,'月1回_2ヶ月前の在庫'!$V$6:$V$10005,'設定'!$C$4,'月1回_2ヶ月前の在庫'!$W$6:$W$10005,$C309)/COUNTIFS('月1回_2ヶ月前の在庫'!$V$6:$V$10005,'設定'!$C$4,'月1回_2ヶ月前の在庫'!$W$6:$W$10005,$C309),0))))&gt;0,N(IF(COUNTIFS('①在庫を貼る'!$V$6:$V$10005,'設定'!$C$4,'①在庫を貼る'!$W$6:$W$10005,$C309)&gt;0,SUMIFS('①在庫を貼る'!$O$6:$O$10005,'①在庫を貼る'!$V$6:$V$10005,'設定'!$C$4,'①在庫を貼る'!$W$6:$W$10005,$C309)/COUNTIFS('①在庫を貼る'!$V$6:$V$10005,'設定'!$C$4,'①在庫を貼る'!$W$6:$W$10005,$C309),IF(COUNTIFS('月1回_1ヶ月前の在庫'!$V$6:$V$10005,'設定'!$C$4,'月1回_1ヶ月前の在庫'!$W$6:$W$10005,$C309)&gt;0,SUMIFS('月1回_1ヶ月前の在庫'!$O$6:$O$10005,'月1回_1ヶ月前の在庫'!$V$6:$V$10005,'設定'!$C$4,'月1回_1ヶ月前の在庫'!$W$6:$W$10005,$C309)/COUNTIFS('月1回_1ヶ月前の在庫'!$V$6:$V$10005,'設定'!$C$4,'月1回_1ヶ月前の在庫'!$W$6:$W$10005,$C309),IF(COUNTIFS('月1回_2ヶ月前の在庫'!$V$6:$V$10005,'設定'!$C$4,'月1回_2ヶ月前の在庫'!$W$6:$W$10005,$C309)&gt;0,SUMIFS('月1回_2ヶ月前の在庫'!$O$6:$O$10005,'月1回_2ヶ月前の在庫'!$V$6:$V$10005,'設定'!$C$4,'月1回_2ヶ月前の在庫'!$W$6:$W$10005,$C309)/COUNTIFS('月1回_2ヶ月前の在庫'!$V$6:$V$10005,'設定'!$C$4,'月1回_2ヶ月前の在庫'!$W$6:$W$10005,$C309),0)))),"")))</f>
        <v/>
      </c>
      <c r="P309" s="90">
        <f>IF($C309="","",IF('②発注する'!$I313="","",'②発注する'!$I313))</f>
        <v/>
      </c>
      <c r="Q309">
        <f>IF($C309="","",IF('②発注する'!$J313="","",'②発注する'!$J313))</f>
        <v/>
      </c>
      <c r="R309">
        <f>IF($C309="",0,IF(AND(ISNUMBER($P309),ISNUMBER($Q309)),MAX(0,$Q309)*$G309,0))</f>
        <v/>
      </c>
      <c r="S309" s="90">
        <f>IF($C309="","",IF('②発注する'!$M313="","",'②発注する'!$M313))</f>
        <v/>
      </c>
      <c r="T309">
        <f>IF($C309="","",IF('②発注する'!$N313="","",'②発注する'!$N313))</f>
        <v/>
      </c>
      <c r="U309">
        <f>IF($C309="",0,IF(AND(ISNUMBER($S309),ISNUMBER($T309)),MAX(0,$T309)*$G309,0))</f>
        <v/>
      </c>
      <c r="V309">
        <f>IF($C309="",0,IF($M309="",0,MAX(0,$M309)*MAX(0,V$4)/100))</f>
        <v/>
      </c>
      <c r="W309">
        <f>IF($C309="",0,IF($M309="",0,MAX(0,$M309)*MAX(0,W$4)/100))</f>
        <v/>
      </c>
      <c r="X309">
        <f>IF($C309="",0,IF($M309="",0,MAX(0,$M309)*MAX(0,X$4)/100))</f>
        <v/>
      </c>
      <c r="Y309">
        <f>IF($C309="",0,IF($M309="",0,MAX(0,$M309)*MAX(0,Y$4)/100))</f>
        <v/>
      </c>
      <c r="Z309">
        <f>IF($C309="",0,IF($M309="",0,MAX(0,$M309)*MAX(0,Z$4)/100))</f>
        <v/>
      </c>
      <c r="AA309">
        <f>IF($C309="",0,IF($M309="",0,MAX(0,$M309)*MAX(0,AA$4)/100))</f>
        <v/>
      </c>
      <c r="AB309">
        <f>IF($C309="",0,IF($M309="",0,MAX(0,$M309)*MAX(0,AB$4)/100))</f>
        <v/>
      </c>
      <c r="AC309">
        <f>IF($C309="",0,IF($M309="",0,MAX(0,$M309)*MAX(0,AC$4)/100))</f>
        <v/>
      </c>
      <c r="AD309">
        <f>IF($C309="",0,IF($M309="",0,MAX(0,$M309)*MAX(0,AD$4)/100))</f>
        <v/>
      </c>
      <c r="AE309">
        <f>IF($C309="",0,IF($M309="",0,MAX(0,$M309)*MAX(0,AE$4)/100))</f>
        <v/>
      </c>
      <c r="AF309">
        <f>IF($C309="",0,IF($M309="",0,MAX(0,$M309)*MAX(0,AF$4)/100))</f>
        <v/>
      </c>
      <c r="AG309">
        <f>IF($C309="",0,IF($M309="",0,MAX(0,$M309)*MAX(0,AG$4)/100))</f>
        <v/>
      </c>
      <c r="AH309">
        <f>IF($C309="",0,IF($M309="",0,MAX(0,$M309)*MAX(0,AH$4)/100))</f>
        <v/>
      </c>
      <c r="AI309">
        <f>IF($C309="",0,IF($M309="",0,MAX(0,$M309)*MAX(0,AI$4)/100))</f>
        <v/>
      </c>
      <c r="AJ309">
        <f>IF($C309="",0,MAX(0,MAX(0,N($L309))-$V309))</f>
        <v/>
      </c>
      <c r="AK309">
        <f>IF($C309="",0,MAX(0,$AJ309-$W309))</f>
        <v/>
      </c>
      <c r="AL309">
        <f>IF($C309="",0,MAX(0,$AK309-$X309))</f>
        <v/>
      </c>
      <c r="AM309">
        <f>IF($C309="",0,MAX(0,$AL309-$Y309))</f>
        <v/>
      </c>
      <c r="AN309">
        <f>IF($C309="",0,MAX(0,$AM309-$Z309))</f>
        <v/>
      </c>
      <c r="AO309">
        <f>IF($C309="",0,MAX(0,$AN309-$AA309))</f>
        <v/>
      </c>
      <c r="AP309">
        <f>IF($C309="",0,MAX(0,$AO309-$AB309))</f>
        <v/>
      </c>
      <c r="AQ309">
        <f>IF($C309="",0,MAX(0,$AP309-$AC309))</f>
        <v/>
      </c>
      <c r="AR309">
        <f>IF($C309="",0,MAX(0,$AQ309-$AD309))</f>
        <v/>
      </c>
      <c r="AS309">
        <f>IF($C309="",0,MAX(0,$AR309-$AE309))</f>
        <v/>
      </c>
      <c r="AT309">
        <f>IF($C309="",0,MAX(0,$AS309-$AF309))</f>
        <v/>
      </c>
      <c r="AU309">
        <f>IF($C309="",0,MAX(0,$AT309-$AG309))</f>
        <v/>
      </c>
      <c r="AV309">
        <f>IF($C309="",0,MAX(0,$AU309-$AH309))</f>
        <v/>
      </c>
      <c r="AW309">
        <f>IF($C309="",0,MAX(0,$AV309-$AI309))</f>
        <v/>
      </c>
      <c r="AX309">
        <f>IF($C309="",0,MAX(0,MAX(0,N($L309))+IF($P309=V$3,$R309,0)+IF($S309=V$3,$U309,0)-$V309))</f>
        <v/>
      </c>
      <c r="AY309">
        <f>IF($C309="",0,MAX(0,$AX309+IF($P309=W$3,$R309,0)+IF($S309=W$3,$U309,0)-$W309))</f>
        <v/>
      </c>
      <c r="AZ309">
        <f>IF($C309="",0,MAX(0,$AY309+IF($P309=X$3,$R309,0)+IF($S309=X$3,$U309,0)-$X309))</f>
        <v/>
      </c>
      <c r="BA309">
        <f>IF($C309="",0,MAX(0,$AZ309+IF($P309=Y$3,$R309,0)+IF($S309=Y$3,$U309,0)-$Y309))</f>
        <v/>
      </c>
      <c r="BB309">
        <f>IF($C309="",0,MAX(0,$BA309+IF($P309=Z$3,$R309,0)+IF($S309=Z$3,$U309,0)-$Z309))</f>
        <v/>
      </c>
      <c r="BC309">
        <f>IF($C309="",0,MAX(0,$BB309+IF($P309=AA$3,$R309,0)+IF($S309=AA$3,$U309,0)-$AA309))</f>
        <v/>
      </c>
      <c r="BD309">
        <f>IF($C309="",0,MAX(0,$BC309+IF($P309=AB$3,$R309,0)+IF($S309=AB$3,$U309,0)-$AB309))</f>
        <v/>
      </c>
      <c r="BE309">
        <f>IF($C309="",0,MAX(0,$BD309+IF($P309=AC$3,$R309,0)+IF($S309=AC$3,$U309,0)-$AC309))</f>
        <v/>
      </c>
      <c r="BF309">
        <f>IF($C309="",0,MAX(0,$BE309+IF($P309=AD$3,$R309,0)+IF($S309=AD$3,$U309,0)-$AD309))</f>
        <v/>
      </c>
      <c r="BG309">
        <f>IF($C309="",0,MAX(0,$BF309+IF($P309=AE$3,$R309,0)+IF($S309=AE$3,$U309,0)-$AE309))</f>
        <v/>
      </c>
      <c r="BH309">
        <f>IF($C309="",0,MAX(0,$BG309+IF($P309=AF$3,$R309,0)+IF($S309=AF$3,$U309,0)-$AF309))</f>
        <v/>
      </c>
      <c r="BI309">
        <f>IF($C309="",0,MAX(0,$BH309+IF($P309=AG$3,$R309,0)+IF($S309=AG$3,$U309,0)-$AG309))</f>
        <v/>
      </c>
      <c r="BJ309">
        <f>IF($C309="",0,MAX(0,$BI309+IF($P309=AH$3,$R309,0)+IF($S309=AH$3,$U309,0)-$AH309))</f>
        <v/>
      </c>
      <c r="BK309">
        <f>IF($C309="",0,MAX(0,$BJ309+IF($P309=AI$3,$R309,0)+IF($S309=AI$3,$U309,0)-$AI309))</f>
        <v/>
      </c>
      <c r="BL309">
        <f>IF($C309="",99,IF(AND($AX309&lt;1,V$3&gt;=MAX(N($P309),N($S309))),0,99))</f>
        <v/>
      </c>
      <c r="BM309">
        <f>IF($C309="",99,IF(AND($AY309&lt;1,W$3&gt;=MAX(N($P309),N($S309))),1,99))</f>
        <v/>
      </c>
      <c r="BN309">
        <f>IF($C309="",99,IF(AND($AZ309&lt;1,X$3&gt;=MAX(N($P309),N($S309))),2,99))</f>
        <v/>
      </c>
      <c r="BO309">
        <f>IF($C309="",99,IF(AND($BA309&lt;1,Y$3&gt;=MAX(N($P309),N($S309))),3,99))</f>
        <v/>
      </c>
      <c r="BP309">
        <f>IF($C309="",99,IF(AND($BB309&lt;1,Z$3&gt;=MAX(N($P309),N($S309))),4,99))</f>
        <v/>
      </c>
      <c r="BQ309">
        <f>IF($C309="",99,IF(AND($BC309&lt;1,AA$3&gt;=MAX(N($P309),N($S309))),5,99))</f>
        <v/>
      </c>
      <c r="BR309">
        <f>IF($C309="",99,IF(AND($BD309&lt;1,AB$3&gt;=MAX(N($P309),N($S309))),6,99))</f>
        <v/>
      </c>
      <c r="BS309">
        <f>IF($C309="",99,IF(AND($BE309&lt;1,AC$3&gt;=MAX(N($P309),N($S309))),7,99))</f>
        <v/>
      </c>
      <c r="BT309">
        <f>IF($C309="",99,IF(AND($BF309&lt;1,AD$3&gt;=MAX(N($P309),N($S309))),8,99))</f>
        <v/>
      </c>
      <c r="BU309">
        <f>IF($C309="",99,IF(AND($BG309&lt;1,AE$3&gt;=MAX(N($P309),N($S309))),9,99))</f>
        <v/>
      </c>
      <c r="BV309">
        <f>IF($C309="",99,IF(AND($BH309&lt;1,AF$3&gt;=MAX(N($P309),N($S309))),10,99))</f>
        <v/>
      </c>
      <c r="BW309">
        <f>IF($C309="",99,IF(AND($BI309&lt;1,AG$3&gt;=MAX(N($P309),N($S309))),11,99))</f>
        <v/>
      </c>
      <c r="BX309">
        <f>IF($C309="",99,IF(AND($BJ309&lt;1,AH$3&gt;=MAX(N($P309),N($S309))),12,99))</f>
        <v/>
      </c>
      <c r="BY309">
        <f>IF($C309="",99,IF(AND($BK309&lt;1,AI$3&gt;=MAX(N($P309),N($S309))),13,99))</f>
        <v/>
      </c>
      <c r="BZ309">
        <f>IF(OR($C309="",$M309=""),"",COUNTIF($AJ309:$AW309,"&gt;=1"))</f>
        <v/>
      </c>
      <c r="CA309" s="90">
        <f>IF($BZ309="","",IF($BZ309&gt;=14,"",'設定'!$C$6+$BZ309))</f>
        <v/>
      </c>
      <c r="CB309">
        <f>IF(OR($C309="",$M309=""),"",MIN($BL309:$BY309))</f>
        <v/>
      </c>
      <c r="CC309" s="90">
        <f>IF($CB309="","",IF($CB309&gt;=99,"",'設定'!$C$6+$CB309))</f>
        <v/>
      </c>
      <c r="CD309">
        <f>IF(OR($C309="",$M309=""),"",AVERAGE($V309:$AI309))</f>
        <v/>
      </c>
      <c r="CE309">
        <f>IF($C309="","",IFERROR(IF(MATCH(IF(ISNUMBER($P309),$P309,'設定'!$C$6+N('設定'!$C$7)),$V$3:$AI$3,0)=1,MAX(0,N($L309)),INDEX($AJ309:$AW309,MATCH(IF(ISNUMBER($P309),$P309,'設定'!$C$6+N('設定'!$C$7)),$V$3:$AI$3,0)-1)),""))</f>
        <v/>
      </c>
      <c r="CF309">
        <f>IF(OR($C309="",$O309="",$CE309=""),"",IF($O309-$CE309&lt;=0,0,ROUNDUP(($O309-$CE309)/$G309,0)))</f>
        <v/>
      </c>
      <c r="CG309">
        <f>IF(OR($C309="",$CF309="",NOT(ISNUMBER($Q309))),0,MAX(0,$Q309-$CF309))</f>
        <v/>
      </c>
      <c r="CH309">
        <f>IF(OR($C309="",$O309="",$U309=0),0,IFERROR(ROUNDUP(MAX(0,IF(MATCH($S309,$V$3:$AI$3,0)=1,MAX(0,N($L309)),INDEX($AX309:$BK309,MATCH($S309,$V$3:$AI$3,0)-1))+$U309-$O309)/$G309,0),0))</f>
        <v/>
      </c>
      <c r="CI309">
        <f>IF($C309="","",IF(AND($P309="",$Q309=""),"",IF($P309="","⚠ 入庫日を ▼ から選んでください",IF(NOT(ISNUMBER($P309)),"⚠ 入庫日は ▼ から選んでください",IF($P309&lt;N('設定'!$C$6),"⚠ 入庫日が過去です（もう在庫に入っています）→ 消してください",IF($P309&gt;N('設定'!$C$6)+13,"⚠ 入庫日が14日より先です",IF(N($Q309)&lt;=0,"⚠ 入庫数を入れてください",IF($CG309&gt;0,"⚠ 目安より "&amp;$CG309&amp;" 多い（定数を超える）→ 減らす",""))))))))</f>
        <v/>
      </c>
      <c r="CJ309">
        <f>IF($C309="","",IF(AND($S309="",$T309=""),"",IF($S309="","⚠ 2便目：入庫日を ▼ から選んでください",IF(NOT(ISNUMBER($S309)),"⚠ 2便目：入庫日は ▼ から選んでください",IF($S309&lt;N('設定'!$C$6),"⚠ 2便目：入庫日が過去です（もう在庫に入っています）→ 消してください",IF($S309&gt;N('設定'!$C$6)+13,"⚠ 2便目：入庫日が14日より先です",IF(N($T309)&lt;=0,"⚠ 2便目：入庫数を入れてください",IF($CH309&gt;0,"⚠ 2便目：定数を "&amp;$CH309&amp;" ケース超える → 減らす",""))))))))</f>
        <v/>
      </c>
      <c r="CK309">
        <f>IF(AND($CI309="",N($Q309)&gt;0,ISNUMBER($P309)),1,0)</f>
        <v/>
      </c>
      <c r="CL309">
        <f>IF(AND($CJ309="",N($T309)&gt;0,ISNUMBER($S309)),1,0)</f>
        <v/>
      </c>
      <c r="CM309">
        <f>IF(OR($CK309=1,$CL309=1),1,0)</f>
        <v/>
      </c>
      <c r="CN309">
        <f>IF($C309="",0,($CK309*$R309+$CL309*$U309)*N($H309))</f>
        <v/>
      </c>
      <c r="CO309">
        <f>IF($C309="","",IF($CC309="","入庫後は 14日以上もつ",IF($CC309-N('設定'!$C$7)&lt;='設定'!$C$6,"入庫後も "&amp;TEXT($CC309,"m/d")&amp;"("&amp;CHOOSE(WEEKDAY($CC309),"日","月","火","水","木","金","土")&amp;")"&amp;" に切れる　もう1便を至急発注","入庫後も "&amp;TEXT($CC309,"m/d")&amp;"("&amp;CHOOSE(WEEKDAY($CC309),"日","月","火","水","木","金","土")&amp;")"&amp;" に切れる　"&amp;TEXT($CC309-N('設定'!$C$7),"m/d")&amp;"("&amp;CHOOSE(WEEKDAY($CC309-N('設定'!$C$7)),"日","月","火","水","木","金","土")&amp;")"&amp;" までに次を発注")))</f>
        <v/>
      </c>
      <c r="CP309">
        <f>IF($C309="","",IF('設定'!$C$6="","？ ①在庫を貼る に今日のCSVが貼られていない",IF($CS309=1,"－ 今日のCSVに無い（終売？）",IF($L309&lt;0,"● 在庫がマイナス　数えて「数えた在庫」に入れる",IF($L309=0,"● 在庫なし　至急発注",IF($M309="","？ 減り数が未設定（商品マスタ）",IF($B$3=0,"？ 動員が未入力（動員を入れる）",IF($CA309="","○ 14日以上もつ",IF($BZ309&lt;N('設定'!$C$7),"● "&amp;TEXT($CA309,"m/d")&amp;"("&amp;CHOOSE(WEEKDAY($CA309),"日","月","火","水","木","金","土")&amp;")"&amp;" に切れる　至急発注",IF($BZ309=N('設定'!$C$7),"● "&amp;TEXT($CA309,"m/d")&amp;"("&amp;CHOOSE(WEEKDAY($CA309),"日","月","火","水","木","金","土")&amp;")"&amp;" に切れる　今日発注","△ "&amp;TEXT($CA309,"m/d")&amp;"("&amp;CHOOSE(WEEKDAY($CA309),"日","月","火","水","木","金","土")&amp;")"&amp;" に切れる　"&amp;TEXT($CA309-N('設定'!$C$7),"m/d")&amp;"("&amp;CHOOSE(WEEKDAY($CA309-N('設定'!$C$7)),"日","月","火","水","木","金","土")&amp;")"&amp;" までに発注"))))))))))</f>
        <v/>
      </c>
      <c r="CQ309">
        <f>IF($C309="","",IF(AND($P309="",$Q309="",$S309="",$T309=""),"",IF(AND($P309="",$Q309=""),"⚠ 先に1便目（左の入庫日・入庫数）に入れてください",IF($CI309&lt;&gt;"",$CI309,IF($CJ309&lt;&gt;"",$CJ309,IF($M309="","？ 減り数が未設定（発注書には載ります）",IF($B$3=0,"？ 動員が未入力（発注書には載ります）",IF(AND($CA309&lt;&gt;"",$P309&gt;$CA309),IF($P309&gt;'設定'!$C$6+N('設定'!$C$7),"● "&amp;TEXT($P309,"m/d")&amp;"("&amp;CHOOSE(WEEKDAY($P309),"日","月","火","水","木","金","土")&amp;")"&amp;" の入庫では間に合わない（"&amp;TEXT($CA309,"m/d")&amp;"("&amp;CHOOSE(WEEKDAY($CA309),"日","月","火","水","木","金","土")&amp;")"&amp;" に切れる）　入庫日を早める","△ 欠品 "&amp;TEXT($CA309,"m/d")&amp;"("&amp;CHOOSE(WEEKDAY($CA309),"日","月","火","水","木","金","土")&amp;")"&amp;"〜"&amp;TEXT($P309-1,"m/d")&amp;"("&amp;CHOOSE(WEEKDAY($P309-1),"日","月","火","水","木","金","土")&amp;")"&amp;"　"&amp;$CO309),IF($CC309="","○ "&amp;TEXT($P309,"m/d")&amp;"("&amp;CHOOSE(WEEKDAY($P309),"日","月","火","水","木","金","土")&amp;")"&amp;" 入庫で 14日以上もつ",IF($CC309-N('設定'!$C$7)&lt;='設定'!$C$6,"● 入庫しても "&amp;TEXT($CC309,"m/d")&amp;"("&amp;CHOOSE(WEEKDAY($CC309),"日","月","火","水","木","金","土")&amp;")"&amp;" に切れる　もう1便を至急発注（2便目に入れる）","△ 入庫しても "&amp;TEXT($CC309,"m/d")&amp;"("&amp;CHOOSE(WEEKDAY($CC309),"日","月","火","水","木","金","土")&amp;")"&amp;" に切れる　"&amp;TEXT($CC309-N('設定'!$C$7),"m/d")&amp;"("&amp;CHOOSE(WEEKDAY($CC309-N('設定'!$C$7)),"日","月","火","水","木","金","土")&amp;")"&amp;" までに次を発注（2便目に入れる）"))))))))))</f>
        <v/>
      </c>
      <c r="CR309">
        <f>IF($C309="","",IF($G309&gt;1,"ｹｰｽ("&amp;$G309&amp;"入)","個"))</f>
        <v/>
      </c>
      <c r="CS309">
        <f>IF($C309="",0,IF(COUNTIFS('①在庫を貼る'!$V$6:$V$10005,'設定'!$C$4,'①在庫を貼る'!$W$6:$W$10005,$C309)=0,1,0))</f>
        <v/>
      </c>
      <c r="CT309">
        <f>IF(AND($CK309=1,OR('③発注書'!$C$4="すべて",'③発注書'!$C$4="",$F309='③発注書'!$C$4)),N($CT308)+1,N($CT308))</f>
        <v/>
      </c>
      <c r="CU309">
        <f>IF(AND($CL309=1,OR('③発注書'!$C$4="すべて",'③発注書'!$C$4="",$F309='③発注書'!$C$4)),N($CU308)+1,N($CU308))</f>
        <v/>
      </c>
      <c r="CV309">
        <f>IF($C309="",0,IF(COUNTIFS('①在庫を貼る'!$V$6:$V$10005,'設定'!$C$4,'①在庫を貼る'!$W$6:$W$10005,$C309)&gt;0,1,0))</f>
        <v/>
      </c>
      <c r="CW309">
        <f>IF($C309="",0,IF(COUNTIFS('月1回_1ヶ月前の在庫'!$V$6:$V$10005,'設定'!$C$4,'月1回_1ヶ月前の在庫'!$W$6:$W$10005,$C309)&gt;0,1,0))</f>
        <v/>
      </c>
      <c r="CX309">
        <f>IF($C309="",0,IF(COUNTIFS('月1回_2ヶ月前の在庫'!$V$6:$V$10005,'設定'!$C$4,'月1回_2ヶ月前の在庫'!$W$6:$W$10005,$C309)&gt;0,1,0))</f>
        <v/>
      </c>
      <c r="CY309">
        <f>IF(OR($C309="",'設定'!$C$12=""),"",IF('設定'!$C$13="",IF(AND($CV309=1,$CW309=0),"新商品（今月から）",IF(AND($CV309=0,$CW309=1),"終売（今月から）","")),IF(AND($CV309=1,$CW309=0,$CX309=0),"新商品（今月から）",IF(AND($CV309=1,$CW309=1,$CX309=0),"新商品（先月から）",IF(AND($CV309=0,$CW309=1,$CX309=1),"終売（今月から）",IF(AND($CV309=0,$CW309=0,$CX309=1),"終売（先月から）",IF(AND($CV309=1,$CW309=0,$CX309=1),"復活（先月は無し）","")))))))</f>
        <v/>
      </c>
    </row>
    <row r="310">
      <c r="B310">
        <f>IF(305&lt;='設定'!$C$11,305,"")</f>
        <v/>
      </c>
      <c r="C310">
        <f>IF($B310="","",IF($B310&lt;='設定'!$C$20,INDEX('商品マスタ'!$B$6:$B$1005,MATCH($B310,'商品マスタ'!$M$6:$M$1005,0)),IF($B310&lt;='設定'!$C$20+'設定'!$C$17,INDEX('①在庫を貼る'!$W$6:$W$10005,MATCH($B310-'設定'!$C$20,'①在庫を貼る'!$U$6:$U$10005,0)),IF($B310&lt;='設定'!$C$20+'設定'!$C$17+'設定'!$C$18,INDEX('月1回_1ヶ月前の在庫'!$W$6:$W$10005,MATCH($B310-'設定'!$C$20-'設定'!$C$17,'月1回_1ヶ月前の在庫'!$U$6:$U$10005,0)),INDEX('月1回_2ヶ月前の在庫'!$W$6:$W$10005,MATCH($B310-'設定'!$C$20-'設定'!$C$17-'設定'!$C$18,'月1回_2ヶ月前の在庫'!$U$6:$U$10005,0))))))</f>
        <v/>
      </c>
      <c r="D310">
        <f>IF($C310="","",IFERROR(IF(INDEX('商品マスタ'!$C$6:$C$1005,MATCH($C310,'商品マスタ'!$B$6:$B$1005,0))="",IFERROR(INDEX('①在庫を貼る'!$J$6:$J$10005,MATCH($C310,'①在庫を貼る'!$W$6:$W$10005,0)),IFERROR(INDEX('月1回_1ヶ月前の在庫'!$J$6:$J$10005,MATCH($C310,'月1回_1ヶ月前の在庫'!$W$6:$W$10005,0)),IFERROR(INDEX('月1回_2ヶ月前の在庫'!$J$6:$J$10005,MATCH($C310,'月1回_2ヶ月前の在庫'!$W$6:$W$10005,0)),""))),INDEX('商品マスタ'!$C$6:$C$1005,MATCH($C310,'商品マスタ'!$B$6:$B$1005,0))),IFERROR(INDEX('①在庫を貼る'!$J$6:$J$10005,MATCH($C310,'①在庫を貼る'!$W$6:$W$10005,0)),IFERROR(INDEX('月1回_1ヶ月前の在庫'!$J$6:$J$10005,MATCH($C310,'月1回_1ヶ月前の在庫'!$W$6:$W$10005,0)),IFERROR(INDEX('月1回_2ヶ月前の在庫'!$J$6:$J$10005,MATCH($C310,'月1回_2ヶ月前の在庫'!$W$6:$W$10005,0)),"")))))</f>
        <v/>
      </c>
      <c r="E310">
        <f>IF($C310="","",IFERROR(IF(INDEX('商品マスタ'!$D$6:$D$1005,MATCH($C310,'商品マスタ'!$B$6:$B$1005,0))="",IFERROR(INDEX('①在庫を貼る'!$H$6:$H$10005,MATCH($C310,'①在庫を貼る'!$W$6:$W$10005,0)),IFERROR(INDEX('月1回_1ヶ月前の在庫'!$H$6:$H$10005,MATCH($C310,'月1回_1ヶ月前の在庫'!$W$6:$W$10005,0)),IFERROR(INDEX('月1回_2ヶ月前の在庫'!$H$6:$H$10005,MATCH($C310,'月1回_2ヶ月前の在庫'!$W$6:$W$10005,0)),""))),INDEX('商品マスタ'!$D$6:$D$1005,MATCH($C310,'商品マスタ'!$B$6:$B$1005,0))),IFERROR(INDEX('①在庫を貼る'!$H$6:$H$10005,MATCH($C310,'①在庫を貼る'!$W$6:$W$10005,0)),IFERROR(INDEX('月1回_1ヶ月前の在庫'!$H$6:$H$10005,MATCH($C310,'月1回_1ヶ月前の在庫'!$W$6:$W$10005,0)),IFERROR(INDEX('月1回_2ヶ月前の在庫'!$H$6:$H$10005,MATCH($C310,'月1回_2ヶ月前の在庫'!$W$6:$W$10005,0)),"")))))</f>
        <v/>
      </c>
      <c r="F310">
        <f>IF($C310="","",IFERROR(IF(INDEX('商品マスタ'!$E$6:$E$1005,MATCH($C310,'商品マスタ'!$B$6:$B$1005,0))="",IFERROR(INDEX('①在庫を貼る'!$E$6:$E$10005,MATCH($C310,'①在庫を貼る'!$W$6:$W$10005,0)),IFERROR(INDEX('月1回_1ヶ月前の在庫'!$E$6:$E$10005,MATCH($C310,'月1回_1ヶ月前の在庫'!$W$6:$W$10005,0)),IFERROR(INDEX('月1回_2ヶ月前の在庫'!$E$6:$E$10005,MATCH($C310,'月1回_2ヶ月前の在庫'!$W$6:$W$10005,0)),""))),INDEX('商品マスタ'!$E$6:$E$1005,MATCH($C310,'商品マスタ'!$B$6:$B$1005,0))),IFERROR(INDEX('①在庫を貼る'!$E$6:$E$10005,MATCH($C310,'①在庫を貼る'!$W$6:$W$10005,0)),IFERROR(INDEX('月1回_1ヶ月前の在庫'!$E$6:$E$10005,MATCH($C310,'月1回_1ヶ月前の在庫'!$W$6:$W$10005,0)),IFERROR(INDEX('月1回_2ヶ月前の在庫'!$E$6:$E$10005,MATCH($C310,'月1回_2ヶ月前の在庫'!$W$6:$W$10005,0)),"")))))</f>
        <v/>
      </c>
      <c r="G310">
        <f>IF($C310="","",MAX(1,N(IFERROR(IF(INDEX('商品マスタ'!$F$6:$F$1005,MATCH($C310,'商品マスタ'!$B$6:$B$1005,0))="",IF(COUNTIFS('①在庫を貼る'!$V$6:$V$10005,'設定'!$C$4,'①在庫を貼る'!$W$6:$W$10005,$C310)&gt;0,SUMIFS('①在庫を貼る'!$K$6:$K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K$6:$K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K$6:$K$10005,'月1回_2ヶ月前の在庫'!$V$6:$V$10005,'設定'!$C$4,'月1回_2ヶ月前の在庫'!$W$6:$W$10005,$C310)/COUNTIFS('月1回_2ヶ月前の在庫'!$V$6:$V$10005,'設定'!$C$4,'月1回_2ヶ月前の在庫'!$W$6:$W$10005,$C310),0))),INDEX('商品マスタ'!$F$6:$F$1005,MATCH($C310,'商品マスタ'!$B$6:$B$1005,0))),IF(COUNTIFS('①在庫を貼る'!$V$6:$V$10005,'設定'!$C$4,'①在庫を貼る'!$W$6:$W$10005,$C310)&gt;0,SUMIFS('①在庫を貼る'!$K$6:$K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K$6:$K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K$6:$K$10005,'月1回_2ヶ月前の在庫'!$V$6:$V$10005,'設定'!$C$4,'月1回_2ヶ月前の在庫'!$W$6:$W$10005,$C310)/COUNTIFS('月1回_2ヶ月前の在庫'!$V$6:$V$10005,'設定'!$C$4,'月1回_2ヶ月前の在庫'!$W$6:$W$10005,$C310),0)))))))</f>
        <v/>
      </c>
      <c r="H310">
        <f>IF($C310="","",N(IFERROR(IF(INDEX('商品マスタ'!$G$6:$G$1005,MATCH($C310,'商品マスタ'!$B$6:$B$1005,0))="",IF(COUNTIFS('①在庫を貼る'!$V$6:$V$10005,'設定'!$C$4,'①在庫を貼る'!$W$6:$W$10005,$C310)&gt;0,SUMIFS('①在庫を貼る'!$Q$6:$Q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Q$6:$Q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Q$6:$Q$10005,'月1回_2ヶ月前の在庫'!$V$6:$V$10005,'設定'!$C$4,'月1回_2ヶ月前の在庫'!$W$6:$W$10005,$C310)/COUNTIFS('月1回_2ヶ月前の在庫'!$V$6:$V$10005,'設定'!$C$4,'月1回_2ヶ月前の在庫'!$W$6:$W$10005,$C310),0))),INDEX('商品マスタ'!$G$6:$G$1005,MATCH($C310,'商品マスタ'!$B$6:$B$1005,0))),IF(COUNTIFS('①在庫を貼る'!$V$6:$V$10005,'設定'!$C$4,'①在庫を貼る'!$W$6:$W$10005,$C310)&gt;0,SUMIFS('①在庫を貼る'!$Q$6:$Q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Q$6:$Q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Q$6:$Q$10005,'月1回_2ヶ月前の在庫'!$V$6:$V$10005,'設定'!$C$4,'月1回_2ヶ月前の在庫'!$W$6:$W$10005,$C310)/COUNTIFS('月1回_2ヶ月前の在庫'!$V$6:$V$10005,'設定'!$C$4,'月1回_2ヶ月前の在庫'!$W$6:$W$10005,$C310),0))))))</f>
        <v/>
      </c>
      <c r="I310">
        <f>IF($C310="","",IF(COUNTIFS('①在庫を貼る'!$V$6:$V$10005,'設定'!$C$4,'①在庫を貼る'!$W$6:$W$10005,$C310)=0,"",SUMIFS('①在庫を貼る'!$N$6:$N$10005,'①在庫を貼る'!$V$6:$V$10005,'設定'!$C$4,'①在庫を貼る'!$W$6:$W$10005,$C310)))</f>
        <v/>
      </c>
      <c r="J310">
        <f>IF($C310="","",IF('②発注する'!$AD314="","",'②発注する'!$AD314))</f>
        <v/>
      </c>
      <c r="K310" s="90">
        <f>IF($C310="","",IF('②発注する'!$AE314="","",'②発注する'!$AE314))</f>
        <v/>
      </c>
      <c r="L310">
        <f>IF($C310="","",IF(AND(ISNUMBER($J310),ISNUMBER($K310),$K310&gt;='設定'!$C$6),$J310,N($I310)))</f>
        <v/>
      </c>
      <c r="M310">
        <f>IF($C310="","",IFERROR(IF(N(INDEX('商品マスタ'!$J$6:$J$1005,MATCH($C310,'商品マスタ'!$B$6:$B$1005,0)))&gt;0,INDEX('商品マスタ'!$J$6:$J$1005,MATCH($C310,'商品マスタ'!$B$6:$B$1005,0)),""),""))</f>
        <v/>
      </c>
      <c r="N310">
        <f>IF($C310="","",IFERROR(IF(N(INDEX('商品マスタ'!$H$6:$H$1005,MATCH($C310,'商品マスタ'!$B$6:$B$1005,0)))&gt;0,INDEX('商品マスタ'!$H$6:$H$1005,MATCH($C310,'商品マスタ'!$B$6:$B$1005,0)),""),""))</f>
        <v/>
      </c>
      <c r="O310">
        <f>IF($C310="","",IF($N310&lt;&gt;"",$N310*$G310,IF(N(IF(COUNTIFS('①在庫を貼る'!$V$6:$V$10005,'設定'!$C$4,'①在庫を貼る'!$W$6:$W$10005,$C310)&gt;0,SUMIFS('①在庫を貼る'!$O$6:$O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O$6:$O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O$6:$O$10005,'月1回_2ヶ月前の在庫'!$V$6:$V$10005,'設定'!$C$4,'月1回_2ヶ月前の在庫'!$W$6:$W$10005,$C310)/COUNTIFS('月1回_2ヶ月前の在庫'!$V$6:$V$10005,'設定'!$C$4,'月1回_2ヶ月前の在庫'!$W$6:$W$10005,$C310),0))))&gt;0,N(IF(COUNTIFS('①在庫を貼る'!$V$6:$V$10005,'設定'!$C$4,'①在庫を貼る'!$W$6:$W$10005,$C310)&gt;0,SUMIFS('①在庫を貼る'!$O$6:$O$10005,'①在庫を貼る'!$V$6:$V$10005,'設定'!$C$4,'①在庫を貼る'!$W$6:$W$10005,$C310)/COUNTIFS('①在庫を貼る'!$V$6:$V$10005,'設定'!$C$4,'①在庫を貼る'!$W$6:$W$10005,$C310),IF(COUNTIFS('月1回_1ヶ月前の在庫'!$V$6:$V$10005,'設定'!$C$4,'月1回_1ヶ月前の在庫'!$W$6:$W$10005,$C310)&gt;0,SUMIFS('月1回_1ヶ月前の在庫'!$O$6:$O$10005,'月1回_1ヶ月前の在庫'!$V$6:$V$10005,'設定'!$C$4,'月1回_1ヶ月前の在庫'!$W$6:$W$10005,$C310)/COUNTIFS('月1回_1ヶ月前の在庫'!$V$6:$V$10005,'設定'!$C$4,'月1回_1ヶ月前の在庫'!$W$6:$W$10005,$C310),IF(COUNTIFS('月1回_2ヶ月前の在庫'!$V$6:$V$10005,'設定'!$C$4,'月1回_2ヶ月前の在庫'!$W$6:$W$10005,$C310)&gt;0,SUMIFS('月1回_2ヶ月前の在庫'!$O$6:$O$10005,'月1回_2ヶ月前の在庫'!$V$6:$V$10005,'設定'!$C$4,'月1回_2ヶ月前の在庫'!$W$6:$W$10005,$C310)/COUNTIFS('月1回_2ヶ月前の在庫'!$V$6:$V$10005,'設定'!$C$4,'月1回_2ヶ月前の在庫'!$W$6:$W$10005,$C310),0)))),"")))</f>
        <v/>
      </c>
      <c r="P310" s="90">
        <f>IF($C310="","",IF('②発注する'!$I314="","",'②発注する'!$I314))</f>
        <v/>
      </c>
      <c r="Q310">
        <f>IF($C310="","",IF('②発注する'!$J314="","",'②発注する'!$J314))</f>
        <v/>
      </c>
      <c r="R310">
        <f>IF($C310="",0,IF(AND(ISNUMBER($P310),ISNUMBER($Q310)),MAX(0,$Q310)*$G310,0))</f>
        <v/>
      </c>
      <c r="S310" s="90">
        <f>IF($C310="","",IF('②発注する'!$M314="","",'②発注する'!$M314))</f>
        <v/>
      </c>
      <c r="T310">
        <f>IF($C310="","",IF('②発注する'!$N314="","",'②発注する'!$N314))</f>
        <v/>
      </c>
      <c r="U310">
        <f>IF($C310="",0,IF(AND(ISNUMBER($S310),ISNUMBER($T310)),MAX(0,$T310)*$G310,0))</f>
        <v/>
      </c>
      <c r="V310">
        <f>IF($C310="",0,IF($M310="",0,MAX(0,$M310)*MAX(0,V$4)/100))</f>
        <v/>
      </c>
      <c r="W310">
        <f>IF($C310="",0,IF($M310="",0,MAX(0,$M310)*MAX(0,W$4)/100))</f>
        <v/>
      </c>
      <c r="X310">
        <f>IF($C310="",0,IF($M310="",0,MAX(0,$M310)*MAX(0,X$4)/100))</f>
        <v/>
      </c>
      <c r="Y310">
        <f>IF($C310="",0,IF($M310="",0,MAX(0,$M310)*MAX(0,Y$4)/100))</f>
        <v/>
      </c>
      <c r="Z310">
        <f>IF($C310="",0,IF($M310="",0,MAX(0,$M310)*MAX(0,Z$4)/100))</f>
        <v/>
      </c>
      <c r="AA310">
        <f>IF($C310="",0,IF($M310="",0,MAX(0,$M310)*MAX(0,AA$4)/100))</f>
        <v/>
      </c>
      <c r="AB310">
        <f>IF($C310="",0,IF($M310="",0,MAX(0,$M310)*MAX(0,AB$4)/100))</f>
        <v/>
      </c>
      <c r="AC310">
        <f>IF($C310="",0,IF($M310="",0,MAX(0,$M310)*MAX(0,AC$4)/100))</f>
        <v/>
      </c>
      <c r="AD310">
        <f>IF($C310="",0,IF($M310="",0,MAX(0,$M310)*MAX(0,AD$4)/100))</f>
        <v/>
      </c>
      <c r="AE310">
        <f>IF($C310="",0,IF($M310="",0,MAX(0,$M310)*MAX(0,AE$4)/100))</f>
        <v/>
      </c>
      <c r="AF310">
        <f>IF($C310="",0,IF($M310="",0,MAX(0,$M310)*MAX(0,AF$4)/100))</f>
        <v/>
      </c>
      <c r="AG310">
        <f>IF($C310="",0,IF($M310="",0,MAX(0,$M310)*MAX(0,AG$4)/100))</f>
        <v/>
      </c>
      <c r="AH310">
        <f>IF($C310="",0,IF($M310="",0,MAX(0,$M310)*MAX(0,AH$4)/100))</f>
        <v/>
      </c>
      <c r="AI310">
        <f>IF($C310="",0,IF($M310="",0,MAX(0,$M310)*MAX(0,AI$4)/100))</f>
        <v/>
      </c>
      <c r="AJ310">
        <f>IF($C310="",0,MAX(0,MAX(0,N($L310))-$V310))</f>
        <v/>
      </c>
      <c r="AK310">
        <f>IF($C310="",0,MAX(0,$AJ310-$W310))</f>
        <v/>
      </c>
      <c r="AL310">
        <f>IF($C310="",0,MAX(0,$AK310-$X310))</f>
        <v/>
      </c>
      <c r="AM310">
        <f>IF($C310="",0,MAX(0,$AL310-$Y310))</f>
        <v/>
      </c>
      <c r="AN310">
        <f>IF($C310="",0,MAX(0,$AM310-$Z310))</f>
        <v/>
      </c>
      <c r="AO310">
        <f>IF($C310="",0,MAX(0,$AN310-$AA310))</f>
        <v/>
      </c>
      <c r="AP310">
        <f>IF($C310="",0,MAX(0,$AO310-$AB310))</f>
        <v/>
      </c>
      <c r="AQ310">
        <f>IF($C310="",0,MAX(0,$AP310-$AC310))</f>
        <v/>
      </c>
      <c r="AR310">
        <f>IF($C310="",0,MAX(0,$AQ310-$AD310))</f>
        <v/>
      </c>
      <c r="AS310">
        <f>IF($C310="",0,MAX(0,$AR310-$AE310))</f>
        <v/>
      </c>
      <c r="AT310">
        <f>IF($C310="",0,MAX(0,$AS310-$AF310))</f>
        <v/>
      </c>
      <c r="AU310">
        <f>IF($C310="",0,MAX(0,$AT310-$AG310))</f>
        <v/>
      </c>
      <c r="AV310">
        <f>IF($C310="",0,MAX(0,$AU310-$AH310))</f>
        <v/>
      </c>
      <c r="AW310">
        <f>IF($C310="",0,MAX(0,$AV310-$AI310))</f>
        <v/>
      </c>
      <c r="AX310">
        <f>IF($C310="",0,MAX(0,MAX(0,N($L310))+IF($P310=V$3,$R310,0)+IF($S310=V$3,$U310,0)-$V310))</f>
        <v/>
      </c>
      <c r="AY310">
        <f>IF($C310="",0,MAX(0,$AX310+IF($P310=W$3,$R310,0)+IF($S310=W$3,$U310,0)-$W310))</f>
        <v/>
      </c>
      <c r="AZ310">
        <f>IF($C310="",0,MAX(0,$AY310+IF($P310=X$3,$R310,0)+IF($S310=X$3,$U310,0)-$X310))</f>
        <v/>
      </c>
      <c r="BA310">
        <f>IF($C310="",0,MAX(0,$AZ310+IF($P310=Y$3,$R310,0)+IF($S310=Y$3,$U310,0)-$Y310))</f>
        <v/>
      </c>
      <c r="BB310">
        <f>IF($C310="",0,MAX(0,$BA310+IF($P310=Z$3,$R310,0)+IF($S310=Z$3,$U310,0)-$Z310))</f>
        <v/>
      </c>
      <c r="BC310">
        <f>IF($C310="",0,MAX(0,$BB310+IF($P310=AA$3,$R310,0)+IF($S310=AA$3,$U310,0)-$AA310))</f>
        <v/>
      </c>
      <c r="BD310">
        <f>IF($C310="",0,MAX(0,$BC310+IF($P310=AB$3,$R310,0)+IF($S310=AB$3,$U310,0)-$AB310))</f>
        <v/>
      </c>
      <c r="BE310">
        <f>IF($C310="",0,MAX(0,$BD310+IF($P310=AC$3,$R310,0)+IF($S310=AC$3,$U310,0)-$AC310))</f>
        <v/>
      </c>
      <c r="BF310">
        <f>IF($C310="",0,MAX(0,$BE310+IF($P310=AD$3,$R310,0)+IF($S310=AD$3,$U310,0)-$AD310))</f>
        <v/>
      </c>
      <c r="BG310">
        <f>IF($C310="",0,MAX(0,$BF310+IF($P310=AE$3,$R310,0)+IF($S310=AE$3,$U310,0)-$AE310))</f>
        <v/>
      </c>
      <c r="BH310">
        <f>IF($C310="",0,MAX(0,$BG310+IF($P310=AF$3,$R310,0)+IF($S310=AF$3,$U310,0)-$AF310))</f>
        <v/>
      </c>
      <c r="BI310">
        <f>IF($C310="",0,MAX(0,$BH310+IF($P310=AG$3,$R310,0)+IF($S310=AG$3,$U310,0)-$AG310))</f>
        <v/>
      </c>
      <c r="BJ310">
        <f>IF($C310="",0,MAX(0,$BI310+IF($P310=AH$3,$R310,0)+IF($S310=AH$3,$U310,0)-$AH310))</f>
        <v/>
      </c>
      <c r="BK310">
        <f>IF($C310="",0,MAX(0,$BJ310+IF($P310=AI$3,$R310,0)+IF($S310=AI$3,$U310,0)-$AI310))</f>
        <v/>
      </c>
      <c r="BL310">
        <f>IF($C310="",99,IF(AND($AX310&lt;1,V$3&gt;=MAX(N($P310),N($S310))),0,99))</f>
        <v/>
      </c>
      <c r="BM310">
        <f>IF($C310="",99,IF(AND($AY310&lt;1,W$3&gt;=MAX(N($P310),N($S310))),1,99))</f>
        <v/>
      </c>
      <c r="BN310">
        <f>IF($C310="",99,IF(AND($AZ310&lt;1,X$3&gt;=MAX(N($P310),N($S310))),2,99))</f>
        <v/>
      </c>
      <c r="BO310">
        <f>IF($C310="",99,IF(AND($BA310&lt;1,Y$3&gt;=MAX(N($P310),N($S310))),3,99))</f>
        <v/>
      </c>
      <c r="BP310">
        <f>IF($C310="",99,IF(AND($BB310&lt;1,Z$3&gt;=MAX(N($P310),N($S310))),4,99))</f>
        <v/>
      </c>
      <c r="BQ310">
        <f>IF($C310="",99,IF(AND($BC310&lt;1,AA$3&gt;=MAX(N($P310),N($S310))),5,99))</f>
        <v/>
      </c>
      <c r="BR310">
        <f>IF($C310="",99,IF(AND($BD310&lt;1,AB$3&gt;=MAX(N($P310),N($S310))),6,99))</f>
        <v/>
      </c>
      <c r="BS310">
        <f>IF($C310="",99,IF(AND($BE310&lt;1,AC$3&gt;=MAX(N($P310),N($S310))),7,99))</f>
        <v/>
      </c>
      <c r="BT310">
        <f>IF($C310="",99,IF(AND($BF310&lt;1,AD$3&gt;=MAX(N($P310),N($S310))),8,99))</f>
        <v/>
      </c>
      <c r="BU310">
        <f>IF($C310="",99,IF(AND($BG310&lt;1,AE$3&gt;=MAX(N($P310),N($S310))),9,99))</f>
        <v/>
      </c>
      <c r="BV310">
        <f>IF($C310="",99,IF(AND($BH310&lt;1,AF$3&gt;=MAX(N($P310),N($S310))),10,99))</f>
        <v/>
      </c>
      <c r="BW310">
        <f>IF($C310="",99,IF(AND($BI310&lt;1,AG$3&gt;=MAX(N($P310),N($S310))),11,99))</f>
        <v/>
      </c>
      <c r="BX310">
        <f>IF($C310="",99,IF(AND($BJ310&lt;1,AH$3&gt;=MAX(N($P310),N($S310))),12,99))</f>
        <v/>
      </c>
      <c r="BY310">
        <f>IF($C310="",99,IF(AND($BK310&lt;1,AI$3&gt;=MAX(N($P310),N($S310))),13,99))</f>
        <v/>
      </c>
      <c r="BZ310">
        <f>IF(OR($C310="",$M310=""),"",COUNTIF($AJ310:$AW310,"&gt;=1"))</f>
        <v/>
      </c>
      <c r="CA310" s="90">
        <f>IF($BZ310="","",IF($BZ310&gt;=14,"",'設定'!$C$6+$BZ310))</f>
        <v/>
      </c>
      <c r="CB310">
        <f>IF(OR($C310="",$M310=""),"",MIN($BL310:$BY310))</f>
        <v/>
      </c>
      <c r="CC310" s="90">
        <f>IF($CB310="","",IF($CB310&gt;=99,"",'設定'!$C$6+$CB310))</f>
        <v/>
      </c>
      <c r="CD310">
        <f>IF(OR($C310="",$M310=""),"",AVERAGE($V310:$AI310))</f>
        <v/>
      </c>
      <c r="CE310">
        <f>IF($C310="","",IFERROR(IF(MATCH(IF(ISNUMBER($P310),$P310,'設定'!$C$6+N('設定'!$C$7)),$V$3:$AI$3,0)=1,MAX(0,N($L310)),INDEX($AJ310:$AW310,MATCH(IF(ISNUMBER($P310),$P310,'設定'!$C$6+N('設定'!$C$7)),$V$3:$AI$3,0)-1)),""))</f>
        <v/>
      </c>
      <c r="CF310">
        <f>IF(OR($C310="",$O310="",$CE310=""),"",IF($O310-$CE310&lt;=0,0,ROUNDUP(($O310-$CE310)/$G310,0)))</f>
        <v/>
      </c>
      <c r="CG310">
        <f>IF(OR($C310="",$CF310="",NOT(ISNUMBER($Q310))),0,MAX(0,$Q310-$CF310))</f>
        <v/>
      </c>
      <c r="CH310">
        <f>IF(OR($C310="",$O310="",$U310=0),0,IFERROR(ROUNDUP(MAX(0,IF(MATCH($S310,$V$3:$AI$3,0)=1,MAX(0,N($L310)),INDEX($AX310:$BK310,MATCH($S310,$V$3:$AI$3,0)-1))+$U310-$O310)/$G310,0),0))</f>
        <v/>
      </c>
      <c r="CI310">
        <f>IF($C310="","",IF(AND($P310="",$Q310=""),"",IF($P310="","⚠ 入庫日を ▼ から選んでください",IF(NOT(ISNUMBER($P310)),"⚠ 入庫日は ▼ から選んでください",IF($P310&lt;N('設定'!$C$6),"⚠ 入庫日が過去です（もう在庫に入っています）→ 消してください",IF($P310&gt;N('設定'!$C$6)+13,"⚠ 入庫日が14日より先です",IF(N($Q310)&lt;=0,"⚠ 入庫数を入れてください",IF($CG310&gt;0,"⚠ 目安より "&amp;$CG310&amp;" 多い（定数を超える）→ 減らす",""))))))))</f>
        <v/>
      </c>
      <c r="CJ310">
        <f>IF($C310="","",IF(AND($S310="",$T310=""),"",IF($S310="","⚠ 2便目：入庫日を ▼ から選んでください",IF(NOT(ISNUMBER($S310)),"⚠ 2便目：入庫日は ▼ から選んでください",IF($S310&lt;N('設定'!$C$6),"⚠ 2便目：入庫日が過去です（もう在庫に入っています）→ 消してください",IF($S310&gt;N('設定'!$C$6)+13,"⚠ 2便目：入庫日が14日より先です",IF(N($T310)&lt;=0,"⚠ 2便目：入庫数を入れてください",IF($CH310&gt;0,"⚠ 2便目：定数を "&amp;$CH310&amp;" ケース超える → 減らす",""))))))))</f>
        <v/>
      </c>
      <c r="CK310">
        <f>IF(AND($CI310="",N($Q310)&gt;0,ISNUMBER($P310)),1,0)</f>
        <v/>
      </c>
      <c r="CL310">
        <f>IF(AND($CJ310="",N($T310)&gt;0,ISNUMBER($S310)),1,0)</f>
        <v/>
      </c>
      <c r="CM310">
        <f>IF(OR($CK310=1,$CL310=1),1,0)</f>
        <v/>
      </c>
      <c r="CN310">
        <f>IF($C310="",0,($CK310*$R310+$CL310*$U310)*N($H310))</f>
        <v/>
      </c>
      <c r="CO310">
        <f>IF($C310="","",IF($CC310="","入庫後は 14日以上もつ",IF($CC310-N('設定'!$C$7)&lt;='設定'!$C$6,"入庫後も "&amp;TEXT($CC310,"m/d")&amp;"("&amp;CHOOSE(WEEKDAY($CC310),"日","月","火","水","木","金","土")&amp;")"&amp;" に切れる　もう1便を至急発注","入庫後も "&amp;TEXT($CC310,"m/d")&amp;"("&amp;CHOOSE(WEEKDAY($CC310),"日","月","火","水","木","金","土")&amp;")"&amp;" に切れる　"&amp;TEXT($CC310-N('設定'!$C$7),"m/d")&amp;"("&amp;CHOOSE(WEEKDAY($CC310-N('設定'!$C$7)),"日","月","火","水","木","金","土")&amp;")"&amp;" までに次を発注")))</f>
        <v/>
      </c>
      <c r="CP310">
        <f>IF($C310="","",IF('設定'!$C$6="","？ ①在庫を貼る に今日のCSVが貼られていない",IF($CS310=1,"－ 今日のCSVに無い（終売？）",IF($L310&lt;0,"● 在庫がマイナス　数えて「数えた在庫」に入れる",IF($L310=0,"● 在庫なし　至急発注",IF($M310="","？ 減り数が未設定（商品マスタ）",IF($B$3=0,"？ 動員が未入力（動員を入れる）",IF($CA310="","○ 14日以上もつ",IF($BZ310&lt;N('設定'!$C$7),"● "&amp;TEXT($CA310,"m/d")&amp;"("&amp;CHOOSE(WEEKDAY($CA310),"日","月","火","水","木","金","土")&amp;")"&amp;" に切れる　至急発注",IF($BZ310=N('設定'!$C$7),"● "&amp;TEXT($CA310,"m/d")&amp;"("&amp;CHOOSE(WEEKDAY($CA310),"日","月","火","水","木","金","土")&amp;")"&amp;" に切れる　今日発注","△ "&amp;TEXT($CA310,"m/d")&amp;"("&amp;CHOOSE(WEEKDAY($CA310),"日","月","火","水","木","金","土")&amp;")"&amp;" に切れる　"&amp;TEXT($CA310-N('設定'!$C$7),"m/d")&amp;"("&amp;CHOOSE(WEEKDAY($CA310-N('設定'!$C$7)),"日","月","火","水","木","金","土")&amp;")"&amp;" までに発注"))))))))))</f>
        <v/>
      </c>
      <c r="CQ310">
        <f>IF($C310="","",IF(AND($P310="",$Q310="",$S310="",$T310=""),"",IF(AND($P310="",$Q310=""),"⚠ 先に1便目（左の入庫日・入庫数）に入れてください",IF($CI310&lt;&gt;"",$CI310,IF($CJ310&lt;&gt;"",$CJ310,IF($M310="","？ 減り数が未設定（発注書には載ります）",IF($B$3=0,"？ 動員が未入力（発注書には載ります）",IF(AND($CA310&lt;&gt;"",$P310&gt;$CA310),IF($P310&gt;'設定'!$C$6+N('設定'!$C$7),"● "&amp;TEXT($P310,"m/d")&amp;"("&amp;CHOOSE(WEEKDAY($P310),"日","月","火","水","木","金","土")&amp;")"&amp;" の入庫では間に合わない（"&amp;TEXT($CA310,"m/d")&amp;"("&amp;CHOOSE(WEEKDAY($CA310),"日","月","火","水","木","金","土")&amp;")"&amp;" に切れる）　入庫日を早める","△ 欠品 "&amp;TEXT($CA310,"m/d")&amp;"("&amp;CHOOSE(WEEKDAY($CA310),"日","月","火","水","木","金","土")&amp;")"&amp;"〜"&amp;TEXT($P310-1,"m/d")&amp;"("&amp;CHOOSE(WEEKDAY($P310-1),"日","月","火","水","木","金","土")&amp;")"&amp;"　"&amp;$CO310),IF($CC310="","○ "&amp;TEXT($P310,"m/d")&amp;"("&amp;CHOOSE(WEEKDAY($P310),"日","月","火","水","木","金","土")&amp;")"&amp;" 入庫で 14日以上もつ",IF($CC310-N('設定'!$C$7)&lt;='設定'!$C$6,"● 入庫しても "&amp;TEXT($CC310,"m/d")&amp;"("&amp;CHOOSE(WEEKDAY($CC310),"日","月","火","水","木","金","土")&amp;")"&amp;" に切れる　もう1便を至急発注（2便目に入れる）","△ 入庫しても "&amp;TEXT($CC310,"m/d")&amp;"("&amp;CHOOSE(WEEKDAY($CC310),"日","月","火","水","木","金","土")&amp;")"&amp;" に切れる　"&amp;TEXT($CC310-N('設定'!$C$7),"m/d")&amp;"("&amp;CHOOSE(WEEKDAY($CC310-N('設定'!$C$7)),"日","月","火","水","木","金","土")&amp;")"&amp;" までに次を発注（2便目に入れる）"))))))))))</f>
        <v/>
      </c>
      <c r="CR310">
        <f>IF($C310="","",IF($G310&gt;1,"ｹｰｽ("&amp;$G310&amp;"入)","個"))</f>
        <v/>
      </c>
      <c r="CS310">
        <f>IF($C310="",0,IF(COUNTIFS('①在庫を貼る'!$V$6:$V$10005,'設定'!$C$4,'①在庫を貼る'!$W$6:$W$10005,$C310)=0,1,0))</f>
        <v/>
      </c>
      <c r="CT310">
        <f>IF(AND($CK310=1,OR('③発注書'!$C$4="すべて",'③発注書'!$C$4="",$F310='③発注書'!$C$4)),N($CT309)+1,N($CT309))</f>
        <v/>
      </c>
      <c r="CU310">
        <f>IF(AND($CL310=1,OR('③発注書'!$C$4="すべて",'③発注書'!$C$4="",$F310='③発注書'!$C$4)),N($CU309)+1,N($CU309))</f>
        <v/>
      </c>
      <c r="CV310">
        <f>IF($C310="",0,IF(COUNTIFS('①在庫を貼る'!$V$6:$V$10005,'設定'!$C$4,'①在庫を貼る'!$W$6:$W$10005,$C310)&gt;0,1,0))</f>
        <v/>
      </c>
      <c r="CW310">
        <f>IF($C310="",0,IF(COUNTIFS('月1回_1ヶ月前の在庫'!$V$6:$V$10005,'設定'!$C$4,'月1回_1ヶ月前の在庫'!$W$6:$W$10005,$C310)&gt;0,1,0))</f>
        <v/>
      </c>
      <c r="CX310">
        <f>IF($C310="",0,IF(COUNTIFS('月1回_2ヶ月前の在庫'!$V$6:$V$10005,'設定'!$C$4,'月1回_2ヶ月前の在庫'!$W$6:$W$10005,$C310)&gt;0,1,0))</f>
        <v/>
      </c>
      <c r="CY310">
        <f>IF(OR($C310="",'設定'!$C$12=""),"",IF('設定'!$C$13="",IF(AND($CV310=1,$CW310=0),"新商品（今月から）",IF(AND($CV310=0,$CW310=1),"終売（今月から）","")),IF(AND($CV310=1,$CW310=0,$CX310=0),"新商品（今月から）",IF(AND($CV310=1,$CW310=1,$CX310=0),"新商品（先月から）",IF(AND($CV310=0,$CW310=1,$CX310=1),"終売（今月から）",IF(AND($CV310=0,$CW310=0,$CX310=1),"終売（先月から）",IF(AND($CV310=1,$CW310=0,$CX310=1),"復活（先月は無し）","")))))))</f>
        <v/>
      </c>
    </row>
    <row r="311">
      <c r="B311">
        <f>IF(306&lt;='設定'!$C$11,306,"")</f>
        <v/>
      </c>
      <c r="C311">
        <f>IF($B311="","",IF($B311&lt;='設定'!$C$20,INDEX('商品マスタ'!$B$6:$B$1005,MATCH($B311,'商品マスタ'!$M$6:$M$1005,0)),IF($B311&lt;='設定'!$C$20+'設定'!$C$17,INDEX('①在庫を貼る'!$W$6:$W$10005,MATCH($B311-'設定'!$C$20,'①在庫を貼る'!$U$6:$U$10005,0)),IF($B311&lt;='設定'!$C$20+'設定'!$C$17+'設定'!$C$18,INDEX('月1回_1ヶ月前の在庫'!$W$6:$W$10005,MATCH($B311-'設定'!$C$20-'設定'!$C$17,'月1回_1ヶ月前の在庫'!$U$6:$U$10005,0)),INDEX('月1回_2ヶ月前の在庫'!$W$6:$W$10005,MATCH($B311-'設定'!$C$20-'設定'!$C$17-'設定'!$C$18,'月1回_2ヶ月前の在庫'!$U$6:$U$10005,0))))))</f>
        <v/>
      </c>
      <c r="D311">
        <f>IF($C311="","",IFERROR(IF(INDEX('商品マスタ'!$C$6:$C$1005,MATCH($C311,'商品マスタ'!$B$6:$B$1005,0))="",IFERROR(INDEX('①在庫を貼る'!$J$6:$J$10005,MATCH($C311,'①在庫を貼る'!$W$6:$W$10005,0)),IFERROR(INDEX('月1回_1ヶ月前の在庫'!$J$6:$J$10005,MATCH($C311,'月1回_1ヶ月前の在庫'!$W$6:$W$10005,0)),IFERROR(INDEX('月1回_2ヶ月前の在庫'!$J$6:$J$10005,MATCH($C311,'月1回_2ヶ月前の在庫'!$W$6:$W$10005,0)),""))),INDEX('商品マスタ'!$C$6:$C$1005,MATCH($C311,'商品マスタ'!$B$6:$B$1005,0))),IFERROR(INDEX('①在庫を貼る'!$J$6:$J$10005,MATCH($C311,'①在庫を貼る'!$W$6:$W$10005,0)),IFERROR(INDEX('月1回_1ヶ月前の在庫'!$J$6:$J$10005,MATCH($C311,'月1回_1ヶ月前の在庫'!$W$6:$W$10005,0)),IFERROR(INDEX('月1回_2ヶ月前の在庫'!$J$6:$J$10005,MATCH($C311,'月1回_2ヶ月前の在庫'!$W$6:$W$10005,0)),"")))))</f>
        <v/>
      </c>
      <c r="E311">
        <f>IF($C311="","",IFERROR(IF(INDEX('商品マスタ'!$D$6:$D$1005,MATCH($C311,'商品マスタ'!$B$6:$B$1005,0))="",IFERROR(INDEX('①在庫を貼る'!$H$6:$H$10005,MATCH($C311,'①在庫を貼る'!$W$6:$W$10005,0)),IFERROR(INDEX('月1回_1ヶ月前の在庫'!$H$6:$H$10005,MATCH($C311,'月1回_1ヶ月前の在庫'!$W$6:$W$10005,0)),IFERROR(INDEX('月1回_2ヶ月前の在庫'!$H$6:$H$10005,MATCH($C311,'月1回_2ヶ月前の在庫'!$W$6:$W$10005,0)),""))),INDEX('商品マスタ'!$D$6:$D$1005,MATCH($C311,'商品マスタ'!$B$6:$B$1005,0))),IFERROR(INDEX('①在庫を貼る'!$H$6:$H$10005,MATCH($C311,'①在庫を貼る'!$W$6:$W$10005,0)),IFERROR(INDEX('月1回_1ヶ月前の在庫'!$H$6:$H$10005,MATCH($C311,'月1回_1ヶ月前の在庫'!$W$6:$W$10005,0)),IFERROR(INDEX('月1回_2ヶ月前の在庫'!$H$6:$H$10005,MATCH($C311,'月1回_2ヶ月前の在庫'!$W$6:$W$10005,0)),"")))))</f>
        <v/>
      </c>
      <c r="F311">
        <f>IF($C311="","",IFERROR(IF(INDEX('商品マスタ'!$E$6:$E$1005,MATCH($C311,'商品マスタ'!$B$6:$B$1005,0))="",IFERROR(INDEX('①在庫を貼る'!$E$6:$E$10005,MATCH($C311,'①在庫を貼る'!$W$6:$W$10005,0)),IFERROR(INDEX('月1回_1ヶ月前の在庫'!$E$6:$E$10005,MATCH($C311,'月1回_1ヶ月前の在庫'!$W$6:$W$10005,0)),IFERROR(INDEX('月1回_2ヶ月前の在庫'!$E$6:$E$10005,MATCH($C311,'月1回_2ヶ月前の在庫'!$W$6:$W$10005,0)),""))),INDEX('商品マスタ'!$E$6:$E$1005,MATCH($C311,'商品マスタ'!$B$6:$B$1005,0))),IFERROR(INDEX('①在庫を貼る'!$E$6:$E$10005,MATCH($C311,'①在庫を貼る'!$W$6:$W$10005,0)),IFERROR(INDEX('月1回_1ヶ月前の在庫'!$E$6:$E$10005,MATCH($C311,'月1回_1ヶ月前の在庫'!$W$6:$W$10005,0)),IFERROR(INDEX('月1回_2ヶ月前の在庫'!$E$6:$E$10005,MATCH($C311,'月1回_2ヶ月前の在庫'!$W$6:$W$10005,0)),"")))))</f>
        <v/>
      </c>
      <c r="G311">
        <f>IF($C311="","",MAX(1,N(IFERROR(IF(INDEX('商品マスタ'!$F$6:$F$1005,MATCH($C311,'商品マスタ'!$B$6:$B$1005,0))="",IF(COUNTIFS('①在庫を貼る'!$V$6:$V$10005,'設定'!$C$4,'①在庫を貼る'!$W$6:$W$10005,$C311)&gt;0,SUMIFS('①在庫を貼る'!$K$6:$K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K$6:$K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K$6:$K$10005,'月1回_2ヶ月前の在庫'!$V$6:$V$10005,'設定'!$C$4,'月1回_2ヶ月前の在庫'!$W$6:$W$10005,$C311)/COUNTIFS('月1回_2ヶ月前の在庫'!$V$6:$V$10005,'設定'!$C$4,'月1回_2ヶ月前の在庫'!$W$6:$W$10005,$C311),0))),INDEX('商品マスタ'!$F$6:$F$1005,MATCH($C311,'商品マスタ'!$B$6:$B$1005,0))),IF(COUNTIFS('①在庫を貼る'!$V$6:$V$10005,'設定'!$C$4,'①在庫を貼る'!$W$6:$W$10005,$C311)&gt;0,SUMIFS('①在庫を貼る'!$K$6:$K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K$6:$K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K$6:$K$10005,'月1回_2ヶ月前の在庫'!$V$6:$V$10005,'設定'!$C$4,'月1回_2ヶ月前の在庫'!$W$6:$W$10005,$C311)/COUNTIFS('月1回_2ヶ月前の在庫'!$V$6:$V$10005,'設定'!$C$4,'月1回_2ヶ月前の在庫'!$W$6:$W$10005,$C311),0)))))))</f>
        <v/>
      </c>
      <c r="H311">
        <f>IF($C311="","",N(IFERROR(IF(INDEX('商品マスタ'!$G$6:$G$1005,MATCH($C311,'商品マスタ'!$B$6:$B$1005,0))="",IF(COUNTIFS('①在庫を貼る'!$V$6:$V$10005,'設定'!$C$4,'①在庫を貼る'!$W$6:$W$10005,$C311)&gt;0,SUMIFS('①在庫を貼る'!$Q$6:$Q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Q$6:$Q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Q$6:$Q$10005,'月1回_2ヶ月前の在庫'!$V$6:$V$10005,'設定'!$C$4,'月1回_2ヶ月前の在庫'!$W$6:$W$10005,$C311)/COUNTIFS('月1回_2ヶ月前の在庫'!$V$6:$V$10005,'設定'!$C$4,'月1回_2ヶ月前の在庫'!$W$6:$W$10005,$C311),0))),INDEX('商品マスタ'!$G$6:$G$1005,MATCH($C311,'商品マスタ'!$B$6:$B$1005,0))),IF(COUNTIFS('①在庫を貼る'!$V$6:$V$10005,'設定'!$C$4,'①在庫を貼る'!$W$6:$W$10005,$C311)&gt;0,SUMIFS('①在庫を貼る'!$Q$6:$Q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Q$6:$Q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Q$6:$Q$10005,'月1回_2ヶ月前の在庫'!$V$6:$V$10005,'設定'!$C$4,'月1回_2ヶ月前の在庫'!$W$6:$W$10005,$C311)/COUNTIFS('月1回_2ヶ月前の在庫'!$V$6:$V$10005,'設定'!$C$4,'月1回_2ヶ月前の在庫'!$W$6:$W$10005,$C311),0))))))</f>
        <v/>
      </c>
      <c r="I311">
        <f>IF($C311="","",IF(COUNTIFS('①在庫を貼る'!$V$6:$V$10005,'設定'!$C$4,'①在庫を貼る'!$W$6:$W$10005,$C311)=0,"",SUMIFS('①在庫を貼る'!$N$6:$N$10005,'①在庫を貼る'!$V$6:$V$10005,'設定'!$C$4,'①在庫を貼る'!$W$6:$W$10005,$C311)))</f>
        <v/>
      </c>
      <c r="J311">
        <f>IF($C311="","",IF('②発注する'!$AD315="","",'②発注する'!$AD315))</f>
        <v/>
      </c>
      <c r="K311" s="90">
        <f>IF($C311="","",IF('②発注する'!$AE315="","",'②発注する'!$AE315))</f>
        <v/>
      </c>
      <c r="L311">
        <f>IF($C311="","",IF(AND(ISNUMBER($J311),ISNUMBER($K311),$K311&gt;='設定'!$C$6),$J311,N($I311)))</f>
        <v/>
      </c>
      <c r="M311">
        <f>IF($C311="","",IFERROR(IF(N(INDEX('商品マスタ'!$J$6:$J$1005,MATCH($C311,'商品マスタ'!$B$6:$B$1005,0)))&gt;0,INDEX('商品マスタ'!$J$6:$J$1005,MATCH($C311,'商品マスタ'!$B$6:$B$1005,0)),""),""))</f>
        <v/>
      </c>
      <c r="N311">
        <f>IF($C311="","",IFERROR(IF(N(INDEX('商品マスタ'!$H$6:$H$1005,MATCH($C311,'商品マスタ'!$B$6:$B$1005,0)))&gt;0,INDEX('商品マスタ'!$H$6:$H$1005,MATCH($C311,'商品マスタ'!$B$6:$B$1005,0)),""),""))</f>
        <v/>
      </c>
      <c r="O311">
        <f>IF($C311="","",IF($N311&lt;&gt;"",$N311*$G311,IF(N(IF(COUNTIFS('①在庫を貼る'!$V$6:$V$10005,'設定'!$C$4,'①在庫を貼る'!$W$6:$W$10005,$C311)&gt;0,SUMIFS('①在庫を貼る'!$O$6:$O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O$6:$O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O$6:$O$10005,'月1回_2ヶ月前の在庫'!$V$6:$V$10005,'設定'!$C$4,'月1回_2ヶ月前の在庫'!$W$6:$W$10005,$C311)/COUNTIFS('月1回_2ヶ月前の在庫'!$V$6:$V$10005,'設定'!$C$4,'月1回_2ヶ月前の在庫'!$W$6:$W$10005,$C311),0))))&gt;0,N(IF(COUNTIFS('①在庫を貼る'!$V$6:$V$10005,'設定'!$C$4,'①在庫を貼る'!$W$6:$W$10005,$C311)&gt;0,SUMIFS('①在庫を貼る'!$O$6:$O$10005,'①在庫を貼る'!$V$6:$V$10005,'設定'!$C$4,'①在庫を貼る'!$W$6:$W$10005,$C311)/COUNTIFS('①在庫を貼る'!$V$6:$V$10005,'設定'!$C$4,'①在庫を貼る'!$W$6:$W$10005,$C311),IF(COUNTIFS('月1回_1ヶ月前の在庫'!$V$6:$V$10005,'設定'!$C$4,'月1回_1ヶ月前の在庫'!$W$6:$W$10005,$C311)&gt;0,SUMIFS('月1回_1ヶ月前の在庫'!$O$6:$O$10005,'月1回_1ヶ月前の在庫'!$V$6:$V$10005,'設定'!$C$4,'月1回_1ヶ月前の在庫'!$W$6:$W$10005,$C311)/COUNTIFS('月1回_1ヶ月前の在庫'!$V$6:$V$10005,'設定'!$C$4,'月1回_1ヶ月前の在庫'!$W$6:$W$10005,$C311),IF(COUNTIFS('月1回_2ヶ月前の在庫'!$V$6:$V$10005,'設定'!$C$4,'月1回_2ヶ月前の在庫'!$W$6:$W$10005,$C311)&gt;0,SUMIFS('月1回_2ヶ月前の在庫'!$O$6:$O$10005,'月1回_2ヶ月前の在庫'!$V$6:$V$10005,'設定'!$C$4,'月1回_2ヶ月前の在庫'!$W$6:$W$10005,$C311)/COUNTIFS('月1回_2ヶ月前の在庫'!$V$6:$V$10005,'設定'!$C$4,'月1回_2ヶ月前の在庫'!$W$6:$W$10005,$C311),0)))),"")))</f>
        <v/>
      </c>
      <c r="P311" s="90">
        <f>IF($C311="","",IF('②発注する'!$I315="","",'②発注する'!$I315))</f>
        <v/>
      </c>
      <c r="Q311">
        <f>IF($C311="","",IF('②発注する'!$J315="","",'②発注する'!$J315))</f>
        <v/>
      </c>
      <c r="R311">
        <f>IF($C311="",0,IF(AND(ISNUMBER($P311),ISNUMBER($Q311)),MAX(0,$Q311)*$G311,0))</f>
        <v/>
      </c>
      <c r="S311" s="90">
        <f>IF($C311="","",IF('②発注する'!$M315="","",'②発注する'!$M315))</f>
        <v/>
      </c>
      <c r="T311">
        <f>IF($C311="","",IF('②発注する'!$N315="","",'②発注する'!$N315))</f>
        <v/>
      </c>
      <c r="U311">
        <f>IF($C311="",0,IF(AND(ISNUMBER($S311),ISNUMBER($T311)),MAX(0,$T311)*$G311,0))</f>
        <v/>
      </c>
      <c r="V311">
        <f>IF($C311="",0,IF($M311="",0,MAX(0,$M311)*MAX(0,V$4)/100))</f>
        <v/>
      </c>
      <c r="W311">
        <f>IF($C311="",0,IF($M311="",0,MAX(0,$M311)*MAX(0,W$4)/100))</f>
        <v/>
      </c>
      <c r="X311">
        <f>IF($C311="",0,IF($M311="",0,MAX(0,$M311)*MAX(0,X$4)/100))</f>
        <v/>
      </c>
      <c r="Y311">
        <f>IF($C311="",0,IF($M311="",0,MAX(0,$M311)*MAX(0,Y$4)/100))</f>
        <v/>
      </c>
      <c r="Z311">
        <f>IF($C311="",0,IF($M311="",0,MAX(0,$M311)*MAX(0,Z$4)/100))</f>
        <v/>
      </c>
      <c r="AA311">
        <f>IF($C311="",0,IF($M311="",0,MAX(0,$M311)*MAX(0,AA$4)/100))</f>
        <v/>
      </c>
      <c r="AB311">
        <f>IF($C311="",0,IF($M311="",0,MAX(0,$M311)*MAX(0,AB$4)/100))</f>
        <v/>
      </c>
      <c r="AC311">
        <f>IF($C311="",0,IF($M311="",0,MAX(0,$M311)*MAX(0,AC$4)/100))</f>
        <v/>
      </c>
      <c r="AD311">
        <f>IF($C311="",0,IF($M311="",0,MAX(0,$M311)*MAX(0,AD$4)/100))</f>
        <v/>
      </c>
      <c r="AE311">
        <f>IF($C311="",0,IF($M311="",0,MAX(0,$M311)*MAX(0,AE$4)/100))</f>
        <v/>
      </c>
      <c r="AF311">
        <f>IF($C311="",0,IF($M311="",0,MAX(0,$M311)*MAX(0,AF$4)/100))</f>
        <v/>
      </c>
      <c r="AG311">
        <f>IF($C311="",0,IF($M311="",0,MAX(0,$M311)*MAX(0,AG$4)/100))</f>
        <v/>
      </c>
      <c r="AH311">
        <f>IF($C311="",0,IF($M311="",0,MAX(0,$M311)*MAX(0,AH$4)/100))</f>
        <v/>
      </c>
      <c r="AI311">
        <f>IF($C311="",0,IF($M311="",0,MAX(0,$M311)*MAX(0,AI$4)/100))</f>
        <v/>
      </c>
      <c r="AJ311">
        <f>IF($C311="",0,MAX(0,MAX(0,N($L311))-$V311))</f>
        <v/>
      </c>
      <c r="AK311">
        <f>IF($C311="",0,MAX(0,$AJ311-$W311))</f>
        <v/>
      </c>
      <c r="AL311">
        <f>IF($C311="",0,MAX(0,$AK311-$X311))</f>
        <v/>
      </c>
      <c r="AM311">
        <f>IF($C311="",0,MAX(0,$AL311-$Y311))</f>
        <v/>
      </c>
      <c r="AN311">
        <f>IF($C311="",0,MAX(0,$AM311-$Z311))</f>
        <v/>
      </c>
      <c r="AO311">
        <f>IF($C311="",0,MAX(0,$AN311-$AA311))</f>
        <v/>
      </c>
      <c r="AP311">
        <f>IF($C311="",0,MAX(0,$AO311-$AB311))</f>
        <v/>
      </c>
      <c r="AQ311">
        <f>IF($C311="",0,MAX(0,$AP311-$AC311))</f>
        <v/>
      </c>
      <c r="AR311">
        <f>IF($C311="",0,MAX(0,$AQ311-$AD311))</f>
        <v/>
      </c>
      <c r="AS311">
        <f>IF($C311="",0,MAX(0,$AR311-$AE311))</f>
        <v/>
      </c>
      <c r="AT311">
        <f>IF($C311="",0,MAX(0,$AS311-$AF311))</f>
        <v/>
      </c>
      <c r="AU311">
        <f>IF($C311="",0,MAX(0,$AT311-$AG311))</f>
        <v/>
      </c>
      <c r="AV311">
        <f>IF($C311="",0,MAX(0,$AU311-$AH311))</f>
        <v/>
      </c>
      <c r="AW311">
        <f>IF($C311="",0,MAX(0,$AV311-$AI311))</f>
        <v/>
      </c>
      <c r="AX311">
        <f>IF($C311="",0,MAX(0,MAX(0,N($L311))+IF($P311=V$3,$R311,0)+IF($S311=V$3,$U311,0)-$V311))</f>
        <v/>
      </c>
      <c r="AY311">
        <f>IF($C311="",0,MAX(0,$AX311+IF($P311=W$3,$R311,0)+IF($S311=W$3,$U311,0)-$W311))</f>
        <v/>
      </c>
      <c r="AZ311">
        <f>IF($C311="",0,MAX(0,$AY311+IF($P311=X$3,$R311,0)+IF($S311=X$3,$U311,0)-$X311))</f>
        <v/>
      </c>
      <c r="BA311">
        <f>IF($C311="",0,MAX(0,$AZ311+IF($P311=Y$3,$R311,0)+IF($S311=Y$3,$U311,0)-$Y311))</f>
        <v/>
      </c>
      <c r="BB311">
        <f>IF($C311="",0,MAX(0,$BA311+IF($P311=Z$3,$R311,0)+IF($S311=Z$3,$U311,0)-$Z311))</f>
        <v/>
      </c>
      <c r="BC311">
        <f>IF($C311="",0,MAX(0,$BB311+IF($P311=AA$3,$R311,0)+IF($S311=AA$3,$U311,0)-$AA311))</f>
        <v/>
      </c>
      <c r="BD311">
        <f>IF($C311="",0,MAX(0,$BC311+IF($P311=AB$3,$R311,0)+IF($S311=AB$3,$U311,0)-$AB311))</f>
        <v/>
      </c>
      <c r="BE311">
        <f>IF($C311="",0,MAX(0,$BD311+IF($P311=AC$3,$R311,0)+IF($S311=AC$3,$U311,0)-$AC311))</f>
        <v/>
      </c>
      <c r="BF311">
        <f>IF($C311="",0,MAX(0,$BE311+IF($P311=AD$3,$R311,0)+IF($S311=AD$3,$U311,0)-$AD311))</f>
        <v/>
      </c>
      <c r="BG311">
        <f>IF($C311="",0,MAX(0,$BF311+IF($P311=AE$3,$R311,0)+IF($S311=AE$3,$U311,0)-$AE311))</f>
        <v/>
      </c>
      <c r="BH311">
        <f>IF($C311="",0,MAX(0,$BG311+IF($P311=AF$3,$R311,0)+IF($S311=AF$3,$U311,0)-$AF311))</f>
        <v/>
      </c>
      <c r="BI311">
        <f>IF($C311="",0,MAX(0,$BH311+IF($P311=AG$3,$R311,0)+IF($S311=AG$3,$U311,0)-$AG311))</f>
        <v/>
      </c>
      <c r="BJ311">
        <f>IF($C311="",0,MAX(0,$BI311+IF($P311=AH$3,$R311,0)+IF($S311=AH$3,$U311,0)-$AH311))</f>
        <v/>
      </c>
      <c r="BK311">
        <f>IF($C311="",0,MAX(0,$BJ311+IF($P311=AI$3,$R311,0)+IF($S311=AI$3,$U311,0)-$AI311))</f>
        <v/>
      </c>
      <c r="BL311">
        <f>IF($C311="",99,IF(AND($AX311&lt;1,V$3&gt;=MAX(N($P311),N($S311))),0,99))</f>
        <v/>
      </c>
      <c r="BM311">
        <f>IF($C311="",99,IF(AND($AY311&lt;1,W$3&gt;=MAX(N($P311),N($S311))),1,99))</f>
        <v/>
      </c>
      <c r="BN311">
        <f>IF($C311="",99,IF(AND($AZ311&lt;1,X$3&gt;=MAX(N($P311),N($S311))),2,99))</f>
        <v/>
      </c>
      <c r="BO311">
        <f>IF($C311="",99,IF(AND($BA311&lt;1,Y$3&gt;=MAX(N($P311),N($S311))),3,99))</f>
        <v/>
      </c>
      <c r="BP311">
        <f>IF($C311="",99,IF(AND($BB311&lt;1,Z$3&gt;=MAX(N($P311),N($S311))),4,99))</f>
        <v/>
      </c>
      <c r="BQ311">
        <f>IF($C311="",99,IF(AND($BC311&lt;1,AA$3&gt;=MAX(N($P311),N($S311))),5,99))</f>
        <v/>
      </c>
      <c r="BR311">
        <f>IF($C311="",99,IF(AND($BD311&lt;1,AB$3&gt;=MAX(N($P311),N($S311))),6,99))</f>
        <v/>
      </c>
      <c r="BS311">
        <f>IF($C311="",99,IF(AND($BE311&lt;1,AC$3&gt;=MAX(N($P311),N($S311))),7,99))</f>
        <v/>
      </c>
      <c r="BT311">
        <f>IF($C311="",99,IF(AND($BF311&lt;1,AD$3&gt;=MAX(N($P311),N($S311))),8,99))</f>
        <v/>
      </c>
      <c r="BU311">
        <f>IF($C311="",99,IF(AND($BG311&lt;1,AE$3&gt;=MAX(N($P311),N($S311))),9,99))</f>
        <v/>
      </c>
      <c r="BV311">
        <f>IF($C311="",99,IF(AND($BH311&lt;1,AF$3&gt;=MAX(N($P311),N($S311))),10,99))</f>
        <v/>
      </c>
      <c r="BW311">
        <f>IF($C311="",99,IF(AND($BI311&lt;1,AG$3&gt;=MAX(N($P311),N($S311))),11,99))</f>
        <v/>
      </c>
      <c r="BX311">
        <f>IF($C311="",99,IF(AND($BJ311&lt;1,AH$3&gt;=MAX(N($P311),N($S311))),12,99))</f>
        <v/>
      </c>
      <c r="BY311">
        <f>IF($C311="",99,IF(AND($BK311&lt;1,AI$3&gt;=MAX(N($P311),N($S311))),13,99))</f>
        <v/>
      </c>
      <c r="BZ311">
        <f>IF(OR($C311="",$M311=""),"",COUNTIF($AJ311:$AW311,"&gt;=1"))</f>
        <v/>
      </c>
      <c r="CA311" s="90">
        <f>IF($BZ311="","",IF($BZ311&gt;=14,"",'設定'!$C$6+$BZ311))</f>
        <v/>
      </c>
      <c r="CB311">
        <f>IF(OR($C311="",$M311=""),"",MIN($BL311:$BY311))</f>
        <v/>
      </c>
      <c r="CC311" s="90">
        <f>IF($CB311="","",IF($CB311&gt;=99,"",'設定'!$C$6+$CB311))</f>
        <v/>
      </c>
      <c r="CD311">
        <f>IF(OR($C311="",$M311=""),"",AVERAGE($V311:$AI311))</f>
        <v/>
      </c>
      <c r="CE311">
        <f>IF($C311="","",IFERROR(IF(MATCH(IF(ISNUMBER($P311),$P311,'設定'!$C$6+N('設定'!$C$7)),$V$3:$AI$3,0)=1,MAX(0,N($L311)),INDEX($AJ311:$AW311,MATCH(IF(ISNUMBER($P311),$P311,'設定'!$C$6+N('設定'!$C$7)),$V$3:$AI$3,0)-1)),""))</f>
        <v/>
      </c>
      <c r="CF311">
        <f>IF(OR($C311="",$O311="",$CE311=""),"",IF($O311-$CE311&lt;=0,0,ROUNDUP(($O311-$CE311)/$G311,0)))</f>
        <v/>
      </c>
      <c r="CG311">
        <f>IF(OR($C311="",$CF311="",NOT(ISNUMBER($Q311))),0,MAX(0,$Q311-$CF311))</f>
        <v/>
      </c>
      <c r="CH311">
        <f>IF(OR($C311="",$O311="",$U311=0),0,IFERROR(ROUNDUP(MAX(0,IF(MATCH($S311,$V$3:$AI$3,0)=1,MAX(0,N($L311)),INDEX($AX311:$BK311,MATCH($S311,$V$3:$AI$3,0)-1))+$U311-$O311)/$G311,0),0))</f>
        <v/>
      </c>
      <c r="CI311">
        <f>IF($C311="","",IF(AND($P311="",$Q311=""),"",IF($P311="","⚠ 入庫日を ▼ から選んでください",IF(NOT(ISNUMBER($P311)),"⚠ 入庫日は ▼ から選んでください",IF($P311&lt;N('設定'!$C$6),"⚠ 入庫日が過去です（もう在庫に入っています）→ 消してください",IF($P311&gt;N('設定'!$C$6)+13,"⚠ 入庫日が14日より先です",IF(N($Q311)&lt;=0,"⚠ 入庫数を入れてください",IF($CG311&gt;0,"⚠ 目安より "&amp;$CG311&amp;" 多い（定数を超える）→ 減らす",""))))))))</f>
        <v/>
      </c>
      <c r="CJ311">
        <f>IF($C311="","",IF(AND($S311="",$T311=""),"",IF($S311="","⚠ 2便目：入庫日を ▼ から選んでください",IF(NOT(ISNUMBER($S311)),"⚠ 2便目：入庫日は ▼ から選んでください",IF($S311&lt;N('設定'!$C$6),"⚠ 2便目：入庫日が過去です（もう在庫に入っています）→ 消してください",IF($S311&gt;N('設定'!$C$6)+13,"⚠ 2便目：入庫日が14日より先です",IF(N($T311)&lt;=0,"⚠ 2便目：入庫数を入れてください",IF($CH311&gt;0,"⚠ 2便目：定数を "&amp;$CH311&amp;" ケース超える → 減らす",""))))))))</f>
        <v/>
      </c>
      <c r="CK311">
        <f>IF(AND($CI311="",N($Q311)&gt;0,ISNUMBER($P311)),1,0)</f>
        <v/>
      </c>
      <c r="CL311">
        <f>IF(AND($CJ311="",N($T311)&gt;0,ISNUMBER($S311)),1,0)</f>
        <v/>
      </c>
      <c r="CM311">
        <f>IF(OR($CK311=1,$CL311=1),1,0)</f>
        <v/>
      </c>
      <c r="CN311">
        <f>IF($C311="",0,($CK311*$R311+$CL311*$U311)*N($H311))</f>
        <v/>
      </c>
      <c r="CO311">
        <f>IF($C311="","",IF($CC311="","入庫後は 14日以上もつ",IF($CC311-N('設定'!$C$7)&lt;='設定'!$C$6,"入庫後も "&amp;TEXT($CC311,"m/d")&amp;"("&amp;CHOOSE(WEEKDAY($CC311),"日","月","火","水","木","金","土")&amp;")"&amp;" に切れる　もう1便を至急発注","入庫後も "&amp;TEXT($CC311,"m/d")&amp;"("&amp;CHOOSE(WEEKDAY($CC311),"日","月","火","水","木","金","土")&amp;")"&amp;" に切れる　"&amp;TEXT($CC311-N('設定'!$C$7),"m/d")&amp;"("&amp;CHOOSE(WEEKDAY($CC311-N('設定'!$C$7)),"日","月","火","水","木","金","土")&amp;")"&amp;" までに次を発注")))</f>
        <v/>
      </c>
      <c r="CP311">
        <f>IF($C311="","",IF('設定'!$C$6="","？ ①在庫を貼る に今日のCSVが貼られていない",IF($CS311=1,"－ 今日のCSVに無い（終売？）",IF($L311&lt;0,"● 在庫がマイナス　数えて「数えた在庫」に入れる",IF($L311=0,"● 在庫なし　至急発注",IF($M311="","？ 減り数が未設定（商品マスタ）",IF($B$3=0,"？ 動員が未入力（動員を入れる）",IF($CA311="","○ 14日以上もつ",IF($BZ311&lt;N('設定'!$C$7),"● "&amp;TEXT($CA311,"m/d")&amp;"("&amp;CHOOSE(WEEKDAY($CA311),"日","月","火","水","木","金","土")&amp;")"&amp;" に切れる　至急発注",IF($BZ311=N('設定'!$C$7),"● "&amp;TEXT($CA311,"m/d")&amp;"("&amp;CHOOSE(WEEKDAY($CA311),"日","月","火","水","木","金","土")&amp;")"&amp;" に切れる　今日発注","△ "&amp;TEXT($CA311,"m/d")&amp;"("&amp;CHOOSE(WEEKDAY($CA311),"日","月","火","水","木","金","土")&amp;")"&amp;" に切れる　"&amp;TEXT($CA311-N('設定'!$C$7),"m/d")&amp;"("&amp;CHOOSE(WEEKDAY($CA311-N('設定'!$C$7)),"日","月","火","水","木","金","土")&amp;")"&amp;" までに発注"))))))))))</f>
        <v/>
      </c>
      <c r="CQ311">
        <f>IF($C311="","",IF(AND($P311="",$Q311="",$S311="",$T311=""),"",IF(AND($P311="",$Q311=""),"⚠ 先に1便目（左の入庫日・入庫数）に入れてください",IF($CI311&lt;&gt;"",$CI311,IF($CJ311&lt;&gt;"",$CJ311,IF($M311="","？ 減り数が未設定（発注書には載ります）",IF($B$3=0,"？ 動員が未入力（発注書には載ります）",IF(AND($CA311&lt;&gt;"",$P311&gt;$CA311),IF($P311&gt;'設定'!$C$6+N('設定'!$C$7),"● "&amp;TEXT($P311,"m/d")&amp;"("&amp;CHOOSE(WEEKDAY($P311),"日","月","火","水","木","金","土")&amp;")"&amp;" の入庫では間に合わない（"&amp;TEXT($CA311,"m/d")&amp;"("&amp;CHOOSE(WEEKDAY($CA311),"日","月","火","水","木","金","土")&amp;")"&amp;" に切れる）　入庫日を早める","△ 欠品 "&amp;TEXT($CA311,"m/d")&amp;"("&amp;CHOOSE(WEEKDAY($CA311),"日","月","火","水","木","金","土")&amp;")"&amp;"〜"&amp;TEXT($P311-1,"m/d")&amp;"("&amp;CHOOSE(WEEKDAY($P311-1),"日","月","火","水","木","金","土")&amp;")"&amp;"　"&amp;$CO311),IF($CC311="","○ "&amp;TEXT($P311,"m/d")&amp;"("&amp;CHOOSE(WEEKDAY($P311),"日","月","火","水","木","金","土")&amp;")"&amp;" 入庫で 14日以上もつ",IF($CC311-N('設定'!$C$7)&lt;='設定'!$C$6,"● 入庫しても "&amp;TEXT($CC311,"m/d")&amp;"("&amp;CHOOSE(WEEKDAY($CC311),"日","月","火","水","木","金","土")&amp;")"&amp;" に切れる　もう1便を至急発注（2便目に入れる）","△ 入庫しても "&amp;TEXT($CC311,"m/d")&amp;"("&amp;CHOOSE(WEEKDAY($CC311),"日","月","火","水","木","金","土")&amp;")"&amp;" に切れる　"&amp;TEXT($CC311-N('設定'!$C$7),"m/d")&amp;"("&amp;CHOOSE(WEEKDAY($CC311-N('設定'!$C$7)),"日","月","火","水","木","金","土")&amp;")"&amp;" までに次を発注（2便目に入れる）"))))))))))</f>
        <v/>
      </c>
      <c r="CR311">
        <f>IF($C311="","",IF($G311&gt;1,"ｹｰｽ("&amp;$G311&amp;"入)","個"))</f>
        <v/>
      </c>
      <c r="CS311">
        <f>IF($C311="",0,IF(COUNTIFS('①在庫を貼る'!$V$6:$V$10005,'設定'!$C$4,'①在庫を貼る'!$W$6:$W$10005,$C311)=0,1,0))</f>
        <v/>
      </c>
      <c r="CT311">
        <f>IF(AND($CK311=1,OR('③発注書'!$C$4="すべて",'③発注書'!$C$4="",$F311='③発注書'!$C$4)),N($CT310)+1,N($CT310))</f>
        <v/>
      </c>
      <c r="CU311">
        <f>IF(AND($CL311=1,OR('③発注書'!$C$4="すべて",'③発注書'!$C$4="",$F311='③発注書'!$C$4)),N($CU310)+1,N($CU310))</f>
        <v/>
      </c>
      <c r="CV311">
        <f>IF($C311="",0,IF(COUNTIFS('①在庫を貼る'!$V$6:$V$10005,'設定'!$C$4,'①在庫を貼る'!$W$6:$W$10005,$C311)&gt;0,1,0))</f>
        <v/>
      </c>
      <c r="CW311">
        <f>IF($C311="",0,IF(COUNTIFS('月1回_1ヶ月前の在庫'!$V$6:$V$10005,'設定'!$C$4,'月1回_1ヶ月前の在庫'!$W$6:$W$10005,$C311)&gt;0,1,0))</f>
        <v/>
      </c>
      <c r="CX311">
        <f>IF($C311="",0,IF(COUNTIFS('月1回_2ヶ月前の在庫'!$V$6:$V$10005,'設定'!$C$4,'月1回_2ヶ月前の在庫'!$W$6:$W$10005,$C311)&gt;0,1,0))</f>
        <v/>
      </c>
      <c r="CY311">
        <f>IF(OR($C311="",'設定'!$C$12=""),"",IF('設定'!$C$13="",IF(AND($CV311=1,$CW311=0),"新商品（今月から）",IF(AND($CV311=0,$CW311=1),"終売（今月から）","")),IF(AND($CV311=1,$CW311=0,$CX311=0),"新商品（今月から）",IF(AND($CV311=1,$CW311=1,$CX311=0),"新商品（先月から）",IF(AND($CV311=0,$CW311=1,$CX311=1),"終売（今月から）",IF(AND($CV311=0,$CW311=0,$CX311=1),"終売（先月から）",IF(AND($CV311=1,$CW311=0,$CX311=1),"復活（先月は無し）","")))))))</f>
        <v/>
      </c>
    </row>
    <row r="312">
      <c r="B312">
        <f>IF(307&lt;='設定'!$C$11,307,"")</f>
        <v/>
      </c>
      <c r="C312">
        <f>IF($B312="","",IF($B312&lt;='設定'!$C$20,INDEX('商品マスタ'!$B$6:$B$1005,MATCH($B312,'商品マスタ'!$M$6:$M$1005,0)),IF($B312&lt;='設定'!$C$20+'設定'!$C$17,INDEX('①在庫を貼る'!$W$6:$W$10005,MATCH($B312-'設定'!$C$20,'①在庫を貼る'!$U$6:$U$10005,0)),IF($B312&lt;='設定'!$C$20+'設定'!$C$17+'設定'!$C$18,INDEX('月1回_1ヶ月前の在庫'!$W$6:$W$10005,MATCH($B312-'設定'!$C$20-'設定'!$C$17,'月1回_1ヶ月前の在庫'!$U$6:$U$10005,0)),INDEX('月1回_2ヶ月前の在庫'!$W$6:$W$10005,MATCH($B312-'設定'!$C$20-'設定'!$C$17-'設定'!$C$18,'月1回_2ヶ月前の在庫'!$U$6:$U$10005,0))))))</f>
        <v/>
      </c>
      <c r="D312">
        <f>IF($C312="","",IFERROR(IF(INDEX('商品マスタ'!$C$6:$C$1005,MATCH($C312,'商品マスタ'!$B$6:$B$1005,0))="",IFERROR(INDEX('①在庫を貼る'!$J$6:$J$10005,MATCH($C312,'①在庫を貼る'!$W$6:$W$10005,0)),IFERROR(INDEX('月1回_1ヶ月前の在庫'!$J$6:$J$10005,MATCH($C312,'月1回_1ヶ月前の在庫'!$W$6:$W$10005,0)),IFERROR(INDEX('月1回_2ヶ月前の在庫'!$J$6:$J$10005,MATCH($C312,'月1回_2ヶ月前の在庫'!$W$6:$W$10005,0)),""))),INDEX('商品マスタ'!$C$6:$C$1005,MATCH($C312,'商品マスタ'!$B$6:$B$1005,0))),IFERROR(INDEX('①在庫を貼る'!$J$6:$J$10005,MATCH($C312,'①在庫を貼る'!$W$6:$W$10005,0)),IFERROR(INDEX('月1回_1ヶ月前の在庫'!$J$6:$J$10005,MATCH($C312,'月1回_1ヶ月前の在庫'!$W$6:$W$10005,0)),IFERROR(INDEX('月1回_2ヶ月前の在庫'!$J$6:$J$10005,MATCH($C312,'月1回_2ヶ月前の在庫'!$W$6:$W$10005,0)),"")))))</f>
        <v/>
      </c>
      <c r="E312">
        <f>IF($C312="","",IFERROR(IF(INDEX('商品マスタ'!$D$6:$D$1005,MATCH($C312,'商品マスタ'!$B$6:$B$1005,0))="",IFERROR(INDEX('①在庫を貼る'!$H$6:$H$10005,MATCH($C312,'①在庫を貼る'!$W$6:$W$10005,0)),IFERROR(INDEX('月1回_1ヶ月前の在庫'!$H$6:$H$10005,MATCH($C312,'月1回_1ヶ月前の在庫'!$W$6:$W$10005,0)),IFERROR(INDEX('月1回_2ヶ月前の在庫'!$H$6:$H$10005,MATCH($C312,'月1回_2ヶ月前の在庫'!$W$6:$W$10005,0)),""))),INDEX('商品マスタ'!$D$6:$D$1005,MATCH($C312,'商品マスタ'!$B$6:$B$1005,0))),IFERROR(INDEX('①在庫を貼る'!$H$6:$H$10005,MATCH($C312,'①在庫を貼る'!$W$6:$W$10005,0)),IFERROR(INDEX('月1回_1ヶ月前の在庫'!$H$6:$H$10005,MATCH($C312,'月1回_1ヶ月前の在庫'!$W$6:$W$10005,0)),IFERROR(INDEX('月1回_2ヶ月前の在庫'!$H$6:$H$10005,MATCH($C312,'月1回_2ヶ月前の在庫'!$W$6:$W$10005,0)),"")))))</f>
        <v/>
      </c>
      <c r="F312">
        <f>IF($C312="","",IFERROR(IF(INDEX('商品マスタ'!$E$6:$E$1005,MATCH($C312,'商品マスタ'!$B$6:$B$1005,0))="",IFERROR(INDEX('①在庫を貼る'!$E$6:$E$10005,MATCH($C312,'①在庫を貼る'!$W$6:$W$10005,0)),IFERROR(INDEX('月1回_1ヶ月前の在庫'!$E$6:$E$10005,MATCH($C312,'月1回_1ヶ月前の在庫'!$W$6:$W$10005,0)),IFERROR(INDEX('月1回_2ヶ月前の在庫'!$E$6:$E$10005,MATCH($C312,'月1回_2ヶ月前の在庫'!$W$6:$W$10005,0)),""))),INDEX('商品マスタ'!$E$6:$E$1005,MATCH($C312,'商品マスタ'!$B$6:$B$1005,0))),IFERROR(INDEX('①在庫を貼る'!$E$6:$E$10005,MATCH($C312,'①在庫を貼る'!$W$6:$W$10005,0)),IFERROR(INDEX('月1回_1ヶ月前の在庫'!$E$6:$E$10005,MATCH($C312,'月1回_1ヶ月前の在庫'!$W$6:$W$10005,0)),IFERROR(INDEX('月1回_2ヶ月前の在庫'!$E$6:$E$10005,MATCH($C312,'月1回_2ヶ月前の在庫'!$W$6:$W$10005,0)),"")))))</f>
        <v/>
      </c>
      <c r="G312">
        <f>IF($C312="","",MAX(1,N(IFERROR(IF(INDEX('商品マスタ'!$F$6:$F$1005,MATCH($C312,'商品マスタ'!$B$6:$B$1005,0))="",IF(COUNTIFS('①在庫を貼る'!$V$6:$V$10005,'設定'!$C$4,'①在庫を貼る'!$W$6:$W$10005,$C312)&gt;0,SUMIFS('①在庫を貼る'!$K$6:$K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K$6:$K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K$6:$K$10005,'月1回_2ヶ月前の在庫'!$V$6:$V$10005,'設定'!$C$4,'月1回_2ヶ月前の在庫'!$W$6:$W$10005,$C312)/COUNTIFS('月1回_2ヶ月前の在庫'!$V$6:$V$10005,'設定'!$C$4,'月1回_2ヶ月前の在庫'!$W$6:$W$10005,$C312),0))),INDEX('商品マスタ'!$F$6:$F$1005,MATCH($C312,'商品マスタ'!$B$6:$B$1005,0))),IF(COUNTIFS('①在庫を貼る'!$V$6:$V$10005,'設定'!$C$4,'①在庫を貼る'!$W$6:$W$10005,$C312)&gt;0,SUMIFS('①在庫を貼る'!$K$6:$K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K$6:$K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K$6:$K$10005,'月1回_2ヶ月前の在庫'!$V$6:$V$10005,'設定'!$C$4,'月1回_2ヶ月前の在庫'!$W$6:$W$10005,$C312)/COUNTIFS('月1回_2ヶ月前の在庫'!$V$6:$V$10005,'設定'!$C$4,'月1回_2ヶ月前の在庫'!$W$6:$W$10005,$C312),0)))))))</f>
        <v/>
      </c>
      <c r="H312">
        <f>IF($C312="","",N(IFERROR(IF(INDEX('商品マスタ'!$G$6:$G$1005,MATCH($C312,'商品マスタ'!$B$6:$B$1005,0))="",IF(COUNTIFS('①在庫を貼る'!$V$6:$V$10005,'設定'!$C$4,'①在庫を貼る'!$W$6:$W$10005,$C312)&gt;0,SUMIFS('①在庫を貼る'!$Q$6:$Q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Q$6:$Q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Q$6:$Q$10005,'月1回_2ヶ月前の在庫'!$V$6:$V$10005,'設定'!$C$4,'月1回_2ヶ月前の在庫'!$W$6:$W$10005,$C312)/COUNTIFS('月1回_2ヶ月前の在庫'!$V$6:$V$10005,'設定'!$C$4,'月1回_2ヶ月前の在庫'!$W$6:$W$10005,$C312),0))),INDEX('商品マスタ'!$G$6:$G$1005,MATCH($C312,'商品マスタ'!$B$6:$B$1005,0))),IF(COUNTIFS('①在庫を貼る'!$V$6:$V$10005,'設定'!$C$4,'①在庫を貼る'!$W$6:$W$10005,$C312)&gt;0,SUMIFS('①在庫を貼る'!$Q$6:$Q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Q$6:$Q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Q$6:$Q$10005,'月1回_2ヶ月前の在庫'!$V$6:$V$10005,'設定'!$C$4,'月1回_2ヶ月前の在庫'!$W$6:$W$10005,$C312)/COUNTIFS('月1回_2ヶ月前の在庫'!$V$6:$V$10005,'設定'!$C$4,'月1回_2ヶ月前の在庫'!$W$6:$W$10005,$C312),0))))))</f>
        <v/>
      </c>
      <c r="I312">
        <f>IF($C312="","",IF(COUNTIFS('①在庫を貼る'!$V$6:$V$10005,'設定'!$C$4,'①在庫を貼る'!$W$6:$W$10005,$C312)=0,"",SUMIFS('①在庫を貼る'!$N$6:$N$10005,'①在庫を貼る'!$V$6:$V$10005,'設定'!$C$4,'①在庫を貼る'!$W$6:$W$10005,$C312)))</f>
        <v/>
      </c>
      <c r="J312">
        <f>IF($C312="","",IF('②発注する'!$AD316="","",'②発注する'!$AD316))</f>
        <v/>
      </c>
      <c r="K312" s="90">
        <f>IF($C312="","",IF('②発注する'!$AE316="","",'②発注する'!$AE316))</f>
        <v/>
      </c>
      <c r="L312">
        <f>IF($C312="","",IF(AND(ISNUMBER($J312),ISNUMBER($K312),$K312&gt;='設定'!$C$6),$J312,N($I312)))</f>
        <v/>
      </c>
      <c r="M312">
        <f>IF($C312="","",IFERROR(IF(N(INDEX('商品マスタ'!$J$6:$J$1005,MATCH($C312,'商品マスタ'!$B$6:$B$1005,0)))&gt;0,INDEX('商品マスタ'!$J$6:$J$1005,MATCH($C312,'商品マスタ'!$B$6:$B$1005,0)),""),""))</f>
        <v/>
      </c>
      <c r="N312">
        <f>IF($C312="","",IFERROR(IF(N(INDEX('商品マスタ'!$H$6:$H$1005,MATCH($C312,'商品マスタ'!$B$6:$B$1005,0)))&gt;0,INDEX('商品マスタ'!$H$6:$H$1005,MATCH($C312,'商品マスタ'!$B$6:$B$1005,0)),""),""))</f>
        <v/>
      </c>
      <c r="O312">
        <f>IF($C312="","",IF($N312&lt;&gt;"",$N312*$G312,IF(N(IF(COUNTIFS('①在庫を貼る'!$V$6:$V$10005,'設定'!$C$4,'①在庫を貼る'!$W$6:$W$10005,$C312)&gt;0,SUMIFS('①在庫を貼る'!$O$6:$O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O$6:$O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O$6:$O$10005,'月1回_2ヶ月前の在庫'!$V$6:$V$10005,'設定'!$C$4,'月1回_2ヶ月前の在庫'!$W$6:$W$10005,$C312)/COUNTIFS('月1回_2ヶ月前の在庫'!$V$6:$V$10005,'設定'!$C$4,'月1回_2ヶ月前の在庫'!$W$6:$W$10005,$C312),0))))&gt;0,N(IF(COUNTIFS('①在庫を貼る'!$V$6:$V$10005,'設定'!$C$4,'①在庫を貼る'!$W$6:$W$10005,$C312)&gt;0,SUMIFS('①在庫を貼る'!$O$6:$O$10005,'①在庫を貼る'!$V$6:$V$10005,'設定'!$C$4,'①在庫を貼る'!$W$6:$W$10005,$C312)/COUNTIFS('①在庫を貼る'!$V$6:$V$10005,'設定'!$C$4,'①在庫を貼る'!$W$6:$W$10005,$C312),IF(COUNTIFS('月1回_1ヶ月前の在庫'!$V$6:$V$10005,'設定'!$C$4,'月1回_1ヶ月前の在庫'!$W$6:$W$10005,$C312)&gt;0,SUMIFS('月1回_1ヶ月前の在庫'!$O$6:$O$10005,'月1回_1ヶ月前の在庫'!$V$6:$V$10005,'設定'!$C$4,'月1回_1ヶ月前の在庫'!$W$6:$W$10005,$C312)/COUNTIFS('月1回_1ヶ月前の在庫'!$V$6:$V$10005,'設定'!$C$4,'月1回_1ヶ月前の在庫'!$W$6:$W$10005,$C312),IF(COUNTIFS('月1回_2ヶ月前の在庫'!$V$6:$V$10005,'設定'!$C$4,'月1回_2ヶ月前の在庫'!$W$6:$W$10005,$C312)&gt;0,SUMIFS('月1回_2ヶ月前の在庫'!$O$6:$O$10005,'月1回_2ヶ月前の在庫'!$V$6:$V$10005,'設定'!$C$4,'月1回_2ヶ月前の在庫'!$W$6:$W$10005,$C312)/COUNTIFS('月1回_2ヶ月前の在庫'!$V$6:$V$10005,'設定'!$C$4,'月1回_2ヶ月前の在庫'!$W$6:$W$10005,$C312),0)))),"")))</f>
        <v/>
      </c>
      <c r="P312" s="90">
        <f>IF($C312="","",IF('②発注する'!$I316="","",'②発注する'!$I316))</f>
        <v/>
      </c>
      <c r="Q312">
        <f>IF($C312="","",IF('②発注する'!$J316="","",'②発注する'!$J316))</f>
        <v/>
      </c>
      <c r="R312">
        <f>IF($C312="",0,IF(AND(ISNUMBER($P312),ISNUMBER($Q312)),MAX(0,$Q312)*$G312,0))</f>
        <v/>
      </c>
      <c r="S312" s="90">
        <f>IF($C312="","",IF('②発注する'!$M316="","",'②発注する'!$M316))</f>
        <v/>
      </c>
      <c r="T312">
        <f>IF($C312="","",IF('②発注する'!$N316="","",'②発注する'!$N316))</f>
        <v/>
      </c>
      <c r="U312">
        <f>IF($C312="",0,IF(AND(ISNUMBER($S312),ISNUMBER($T312)),MAX(0,$T312)*$G312,0))</f>
        <v/>
      </c>
      <c r="V312">
        <f>IF($C312="",0,IF($M312="",0,MAX(0,$M312)*MAX(0,V$4)/100))</f>
        <v/>
      </c>
      <c r="W312">
        <f>IF($C312="",0,IF($M312="",0,MAX(0,$M312)*MAX(0,W$4)/100))</f>
        <v/>
      </c>
      <c r="X312">
        <f>IF($C312="",0,IF($M312="",0,MAX(0,$M312)*MAX(0,X$4)/100))</f>
        <v/>
      </c>
      <c r="Y312">
        <f>IF($C312="",0,IF($M312="",0,MAX(0,$M312)*MAX(0,Y$4)/100))</f>
        <v/>
      </c>
      <c r="Z312">
        <f>IF($C312="",0,IF($M312="",0,MAX(0,$M312)*MAX(0,Z$4)/100))</f>
        <v/>
      </c>
      <c r="AA312">
        <f>IF($C312="",0,IF($M312="",0,MAX(0,$M312)*MAX(0,AA$4)/100))</f>
        <v/>
      </c>
      <c r="AB312">
        <f>IF($C312="",0,IF($M312="",0,MAX(0,$M312)*MAX(0,AB$4)/100))</f>
        <v/>
      </c>
      <c r="AC312">
        <f>IF($C312="",0,IF($M312="",0,MAX(0,$M312)*MAX(0,AC$4)/100))</f>
        <v/>
      </c>
      <c r="AD312">
        <f>IF($C312="",0,IF($M312="",0,MAX(0,$M312)*MAX(0,AD$4)/100))</f>
        <v/>
      </c>
      <c r="AE312">
        <f>IF($C312="",0,IF($M312="",0,MAX(0,$M312)*MAX(0,AE$4)/100))</f>
        <v/>
      </c>
      <c r="AF312">
        <f>IF($C312="",0,IF($M312="",0,MAX(0,$M312)*MAX(0,AF$4)/100))</f>
        <v/>
      </c>
      <c r="AG312">
        <f>IF($C312="",0,IF($M312="",0,MAX(0,$M312)*MAX(0,AG$4)/100))</f>
        <v/>
      </c>
      <c r="AH312">
        <f>IF($C312="",0,IF($M312="",0,MAX(0,$M312)*MAX(0,AH$4)/100))</f>
        <v/>
      </c>
      <c r="AI312">
        <f>IF($C312="",0,IF($M312="",0,MAX(0,$M312)*MAX(0,AI$4)/100))</f>
        <v/>
      </c>
      <c r="AJ312">
        <f>IF($C312="",0,MAX(0,MAX(0,N($L312))-$V312))</f>
        <v/>
      </c>
      <c r="AK312">
        <f>IF($C312="",0,MAX(0,$AJ312-$W312))</f>
        <v/>
      </c>
      <c r="AL312">
        <f>IF($C312="",0,MAX(0,$AK312-$X312))</f>
        <v/>
      </c>
      <c r="AM312">
        <f>IF($C312="",0,MAX(0,$AL312-$Y312))</f>
        <v/>
      </c>
      <c r="AN312">
        <f>IF($C312="",0,MAX(0,$AM312-$Z312))</f>
        <v/>
      </c>
      <c r="AO312">
        <f>IF($C312="",0,MAX(0,$AN312-$AA312))</f>
        <v/>
      </c>
      <c r="AP312">
        <f>IF($C312="",0,MAX(0,$AO312-$AB312))</f>
        <v/>
      </c>
      <c r="AQ312">
        <f>IF($C312="",0,MAX(0,$AP312-$AC312))</f>
        <v/>
      </c>
      <c r="AR312">
        <f>IF($C312="",0,MAX(0,$AQ312-$AD312))</f>
        <v/>
      </c>
      <c r="AS312">
        <f>IF($C312="",0,MAX(0,$AR312-$AE312))</f>
        <v/>
      </c>
      <c r="AT312">
        <f>IF($C312="",0,MAX(0,$AS312-$AF312))</f>
        <v/>
      </c>
      <c r="AU312">
        <f>IF($C312="",0,MAX(0,$AT312-$AG312))</f>
        <v/>
      </c>
      <c r="AV312">
        <f>IF($C312="",0,MAX(0,$AU312-$AH312))</f>
        <v/>
      </c>
      <c r="AW312">
        <f>IF($C312="",0,MAX(0,$AV312-$AI312))</f>
        <v/>
      </c>
      <c r="AX312">
        <f>IF($C312="",0,MAX(0,MAX(0,N($L312))+IF($P312=V$3,$R312,0)+IF($S312=V$3,$U312,0)-$V312))</f>
        <v/>
      </c>
      <c r="AY312">
        <f>IF($C312="",0,MAX(0,$AX312+IF($P312=W$3,$R312,0)+IF($S312=W$3,$U312,0)-$W312))</f>
        <v/>
      </c>
      <c r="AZ312">
        <f>IF($C312="",0,MAX(0,$AY312+IF($P312=X$3,$R312,0)+IF($S312=X$3,$U312,0)-$X312))</f>
        <v/>
      </c>
      <c r="BA312">
        <f>IF($C312="",0,MAX(0,$AZ312+IF($P312=Y$3,$R312,0)+IF($S312=Y$3,$U312,0)-$Y312))</f>
        <v/>
      </c>
      <c r="BB312">
        <f>IF($C312="",0,MAX(0,$BA312+IF($P312=Z$3,$R312,0)+IF($S312=Z$3,$U312,0)-$Z312))</f>
        <v/>
      </c>
      <c r="BC312">
        <f>IF($C312="",0,MAX(0,$BB312+IF($P312=AA$3,$R312,0)+IF($S312=AA$3,$U312,0)-$AA312))</f>
        <v/>
      </c>
      <c r="BD312">
        <f>IF($C312="",0,MAX(0,$BC312+IF($P312=AB$3,$R312,0)+IF($S312=AB$3,$U312,0)-$AB312))</f>
        <v/>
      </c>
      <c r="BE312">
        <f>IF($C312="",0,MAX(0,$BD312+IF($P312=AC$3,$R312,0)+IF($S312=AC$3,$U312,0)-$AC312))</f>
        <v/>
      </c>
      <c r="BF312">
        <f>IF($C312="",0,MAX(0,$BE312+IF($P312=AD$3,$R312,0)+IF($S312=AD$3,$U312,0)-$AD312))</f>
        <v/>
      </c>
      <c r="BG312">
        <f>IF($C312="",0,MAX(0,$BF312+IF($P312=AE$3,$R312,0)+IF($S312=AE$3,$U312,0)-$AE312))</f>
        <v/>
      </c>
      <c r="BH312">
        <f>IF($C312="",0,MAX(0,$BG312+IF($P312=AF$3,$R312,0)+IF($S312=AF$3,$U312,0)-$AF312))</f>
        <v/>
      </c>
      <c r="BI312">
        <f>IF($C312="",0,MAX(0,$BH312+IF($P312=AG$3,$R312,0)+IF($S312=AG$3,$U312,0)-$AG312))</f>
        <v/>
      </c>
      <c r="BJ312">
        <f>IF($C312="",0,MAX(0,$BI312+IF($P312=AH$3,$R312,0)+IF($S312=AH$3,$U312,0)-$AH312))</f>
        <v/>
      </c>
      <c r="BK312">
        <f>IF($C312="",0,MAX(0,$BJ312+IF($P312=AI$3,$R312,0)+IF($S312=AI$3,$U312,0)-$AI312))</f>
        <v/>
      </c>
      <c r="BL312">
        <f>IF($C312="",99,IF(AND($AX312&lt;1,V$3&gt;=MAX(N($P312),N($S312))),0,99))</f>
        <v/>
      </c>
      <c r="BM312">
        <f>IF($C312="",99,IF(AND($AY312&lt;1,W$3&gt;=MAX(N($P312),N($S312))),1,99))</f>
        <v/>
      </c>
      <c r="BN312">
        <f>IF($C312="",99,IF(AND($AZ312&lt;1,X$3&gt;=MAX(N($P312),N($S312))),2,99))</f>
        <v/>
      </c>
      <c r="BO312">
        <f>IF($C312="",99,IF(AND($BA312&lt;1,Y$3&gt;=MAX(N($P312),N($S312))),3,99))</f>
        <v/>
      </c>
      <c r="BP312">
        <f>IF($C312="",99,IF(AND($BB312&lt;1,Z$3&gt;=MAX(N($P312),N($S312))),4,99))</f>
        <v/>
      </c>
      <c r="BQ312">
        <f>IF($C312="",99,IF(AND($BC312&lt;1,AA$3&gt;=MAX(N($P312),N($S312))),5,99))</f>
        <v/>
      </c>
      <c r="BR312">
        <f>IF($C312="",99,IF(AND($BD312&lt;1,AB$3&gt;=MAX(N($P312),N($S312))),6,99))</f>
        <v/>
      </c>
      <c r="BS312">
        <f>IF($C312="",99,IF(AND($BE312&lt;1,AC$3&gt;=MAX(N($P312),N($S312))),7,99))</f>
        <v/>
      </c>
      <c r="BT312">
        <f>IF($C312="",99,IF(AND($BF312&lt;1,AD$3&gt;=MAX(N($P312),N($S312))),8,99))</f>
        <v/>
      </c>
      <c r="BU312">
        <f>IF($C312="",99,IF(AND($BG312&lt;1,AE$3&gt;=MAX(N($P312),N($S312))),9,99))</f>
        <v/>
      </c>
      <c r="BV312">
        <f>IF($C312="",99,IF(AND($BH312&lt;1,AF$3&gt;=MAX(N($P312),N($S312))),10,99))</f>
        <v/>
      </c>
      <c r="BW312">
        <f>IF($C312="",99,IF(AND($BI312&lt;1,AG$3&gt;=MAX(N($P312),N($S312))),11,99))</f>
        <v/>
      </c>
      <c r="BX312">
        <f>IF($C312="",99,IF(AND($BJ312&lt;1,AH$3&gt;=MAX(N($P312),N($S312))),12,99))</f>
        <v/>
      </c>
      <c r="BY312">
        <f>IF($C312="",99,IF(AND($BK312&lt;1,AI$3&gt;=MAX(N($P312),N($S312))),13,99))</f>
        <v/>
      </c>
      <c r="BZ312">
        <f>IF(OR($C312="",$M312=""),"",COUNTIF($AJ312:$AW312,"&gt;=1"))</f>
        <v/>
      </c>
      <c r="CA312" s="90">
        <f>IF($BZ312="","",IF($BZ312&gt;=14,"",'設定'!$C$6+$BZ312))</f>
        <v/>
      </c>
      <c r="CB312">
        <f>IF(OR($C312="",$M312=""),"",MIN($BL312:$BY312))</f>
        <v/>
      </c>
      <c r="CC312" s="90">
        <f>IF($CB312="","",IF($CB312&gt;=99,"",'設定'!$C$6+$CB312))</f>
        <v/>
      </c>
      <c r="CD312">
        <f>IF(OR($C312="",$M312=""),"",AVERAGE($V312:$AI312))</f>
        <v/>
      </c>
      <c r="CE312">
        <f>IF($C312="","",IFERROR(IF(MATCH(IF(ISNUMBER($P312),$P312,'設定'!$C$6+N('設定'!$C$7)),$V$3:$AI$3,0)=1,MAX(0,N($L312)),INDEX($AJ312:$AW312,MATCH(IF(ISNUMBER($P312),$P312,'設定'!$C$6+N('設定'!$C$7)),$V$3:$AI$3,0)-1)),""))</f>
        <v/>
      </c>
      <c r="CF312">
        <f>IF(OR($C312="",$O312="",$CE312=""),"",IF($O312-$CE312&lt;=0,0,ROUNDUP(($O312-$CE312)/$G312,0)))</f>
        <v/>
      </c>
      <c r="CG312">
        <f>IF(OR($C312="",$CF312="",NOT(ISNUMBER($Q312))),0,MAX(0,$Q312-$CF312))</f>
        <v/>
      </c>
      <c r="CH312">
        <f>IF(OR($C312="",$O312="",$U312=0),0,IFERROR(ROUNDUP(MAX(0,IF(MATCH($S312,$V$3:$AI$3,0)=1,MAX(0,N($L312)),INDEX($AX312:$BK312,MATCH($S312,$V$3:$AI$3,0)-1))+$U312-$O312)/$G312,0),0))</f>
        <v/>
      </c>
      <c r="CI312">
        <f>IF($C312="","",IF(AND($P312="",$Q312=""),"",IF($P312="","⚠ 入庫日を ▼ から選んでください",IF(NOT(ISNUMBER($P312)),"⚠ 入庫日は ▼ から選んでください",IF($P312&lt;N('設定'!$C$6),"⚠ 入庫日が過去です（もう在庫に入っています）→ 消してください",IF($P312&gt;N('設定'!$C$6)+13,"⚠ 入庫日が14日より先です",IF(N($Q312)&lt;=0,"⚠ 入庫数を入れてください",IF($CG312&gt;0,"⚠ 目安より "&amp;$CG312&amp;" 多い（定数を超える）→ 減らす",""))))))))</f>
        <v/>
      </c>
      <c r="CJ312">
        <f>IF($C312="","",IF(AND($S312="",$T312=""),"",IF($S312="","⚠ 2便目：入庫日を ▼ から選んでください",IF(NOT(ISNUMBER($S312)),"⚠ 2便目：入庫日は ▼ から選んでください",IF($S312&lt;N('設定'!$C$6),"⚠ 2便目：入庫日が過去です（もう在庫に入っています）→ 消してください",IF($S312&gt;N('設定'!$C$6)+13,"⚠ 2便目：入庫日が14日より先です",IF(N($T312)&lt;=0,"⚠ 2便目：入庫数を入れてください",IF($CH312&gt;0,"⚠ 2便目：定数を "&amp;$CH312&amp;" ケース超える → 減らす",""))))))))</f>
        <v/>
      </c>
      <c r="CK312">
        <f>IF(AND($CI312="",N($Q312)&gt;0,ISNUMBER($P312)),1,0)</f>
        <v/>
      </c>
      <c r="CL312">
        <f>IF(AND($CJ312="",N($T312)&gt;0,ISNUMBER($S312)),1,0)</f>
        <v/>
      </c>
      <c r="CM312">
        <f>IF(OR($CK312=1,$CL312=1),1,0)</f>
        <v/>
      </c>
      <c r="CN312">
        <f>IF($C312="",0,($CK312*$R312+$CL312*$U312)*N($H312))</f>
        <v/>
      </c>
      <c r="CO312">
        <f>IF($C312="","",IF($CC312="","入庫後は 14日以上もつ",IF($CC312-N('設定'!$C$7)&lt;='設定'!$C$6,"入庫後も "&amp;TEXT($CC312,"m/d")&amp;"("&amp;CHOOSE(WEEKDAY($CC312),"日","月","火","水","木","金","土")&amp;")"&amp;" に切れる　もう1便を至急発注","入庫後も "&amp;TEXT($CC312,"m/d")&amp;"("&amp;CHOOSE(WEEKDAY($CC312),"日","月","火","水","木","金","土")&amp;")"&amp;" に切れる　"&amp;TEXT($CC312-N('設定'!$C$7),"m/d")&amp;"("&amp;CHOOSE(WEEKDAY($CC312-N('設定'!$C$7)),"日","月","火","水","木","金","土")&amp;")"&amp;" までに次を発注")))</f>
        <v/>
      </c>
      <c r="CP312">
        <f>IF($C312="","",IF('設定'!$C$6="","？ ①在庫を貼る に今日のCSVが貼られていない",IF($CS312=1,"－ 今日のCSVに無い（終売？）",IF($L312&lt;0,"● 在庫がマイナス　数えて「数えた在庫」に入れる",IF($L312=0,"● 在庫なし　至急発注",IF($M312="","？ 減り数が未設定（商品マスタ）",IF($B$3=0,"？ 動員が未入力（動員を入れる）",IF($CA312="","○ 14日以上もつ",IF($BZ312&lt;N('設定'!$C$7),"● "&amp;TEXT($CA312,"m/d")&amp;"("&amp;CHOOSE(WEEKDAY($CA312),"日","月","火","水","木","金","土")&amp;")"&amp;" に切れる　至急発注",IF($BZ312=N('設定'!$C$7),"● "&amp;TEXT($CA312,"m/d")&amp;"("&amp;CHOOSE(WEEKDAY($CA312),"日","月","火","水","木","金","土")&amp;")"&amp;" に切れる　今日発注","△ "&amp;TEXT($CA312,"m/d")&amp;"("&amp;CHOOSE(WEEKDAY($CA312),"日","月","火","水","木","金","土")&amp;")"&amp;" に切れる　"&amp;TEXT($CA312-N('設定'!$C$7),"m/d")&amp;"("&amp;CHOOSE(WEEKDAY($CA312-N('設定'!$C$7)),"日","月","火","水","木","金","土")&amp;")"&amp;" までに発注"))))))))))</f>
        <v/>
      </c>
      <c r="CQ312">
        <f>IF($C312="","",IF(AND($P312="",$Q312="",$S312="",$T312=""),"",IF(AND($P312="",$Q312=""),"⚠ 先に1便目（左の入庫日・入庫数）に入れてください",IF($CI312&lt;&gt;"",$CI312,IF($CJ312&lt;&gt;"",$CJ312,IF($M312="","？ 減り数が未設定（発注書には載ります）",IF($B$3=0,"？ 動員が未入力（発注書には載ります）",IF(AND($CA312&lt;&gt;"",$P312&gt;$CA312),IF($P312&gt;'設定'!$C$6+N('設定'!$C$7),"● "&amp;TEXT($P312,"m/d")&amp;"("&amp;CHOOSE(WEEKDAY($P312),"日","月","火","水","木","金","土")&amp;")"&amp;" の入庫では間に合わない（"&amp;TEXT($CA312,"m/d")&amp;"("&amp;CHOOSE(WEEKDAY($CA312),"日","月","火","水","木","金","土")&amp;")"&amp;" に切れる）　入庫日を早める","△ 欠品 "&amp;TEXT($CA312,"m/d")&amp;"("&amp;CHOOSE(WEEKDAY($CA312),"日","月","火","水","木","金","土")&amp;")"&amp;"〜"&amp;TEXT($P312-1,"m/d")&amp;"("&amp;CHOOSE(WEEKDAY($P312-1),"日","月","火","水","木","金","土")&amp;")"&amp;"　"&amp;$CO312),IF($CC312="","○ "&amp;TEXT($P312,"m/d")&amp;"("&amp;CHOOSE(WEEKDAY($P312),"日","月","火","水","木","金","土")&amp;")"&amp;" 入庫で 14日以上もつ",IF($CC312-N('設定'!$C$7)&lt;='設定'!$C$6,"● 入庫しても "&amp;TEXT($CC312,"m/d")&amp;"("&amp;CHOOSE(WEEKDAY($CC312),"日","月","火","水","木","金","土")&amp;")"&amp;" に切れる　もう1便を至急発注（2便目に入れる）","△ 入庫しても "&amp;TEXT($CC312,"m/d")&amp;"("&amp;CHOOSE(WEEKDAY($CC312),"日","月","火","水","木","金","土")&amp;")"&amp;" に切れる　"&amp;TEXT($CC312-N('設定'!$C$7),"m/d")&amp;"("&amp;CHOOSE(WEEKDAY($CC312-N('設定'!$C$7)),"日","月","火","水","木","金","土")&amp;")"&amp;" までに次を発注（2便目に入れる）"))))))))))</f>
        <v/>
      </c>
      <c r="CR312">
        <f>IF($C312="","",IF($G312&gt;1,"ｹｰｽ("&amp;$G312&amp;"入)","個"))</f>
        <v/>
      </c>
      <c r="CS312">
        <f>IF($C312="",0,IF(COUNTIFS('①在庫を貼る'!$V$6:$V$10005,'設定'!$C$4,'①在庫を貼る'!$W$6:$W$10005,$C312)=0,1,0))</f>
        <v/>
      </c>
      <c r="CT312">
        <f>IF(AND($CK312=1,OR('③発注書'!$C$4="すべて",'③発注書'!$C$4="",$F312='③発注書'!$C$4)),N($CT311)+1,N($CT311))</f>
        <v/>
      </c>
      <c r="CU312">
        <f>IF(AND($CL312=1,OR('③発注書'!$C$4="すべて",'③発注書'!$C$4="",$F312='③発注書'!$C$4)),N($CU311)+1,N($CU311))</f>
        <v/>
      </c>
      <c r="CV312">
        <f>IF($C312="",0,IF(COUNTIFS('①在庫を貼る'!$V$6:$V$10005,'設定'!$C$4,'①在庫を貼る'!$W$6:$W$10005,$C312)&gt;0,1,0))</f>
        <v/>
      </c>
      <c r="CW312">
        <f>IF($C312="",0,IF(COUNTIFS('月1回_1ヶ月前の在庫'!$V$6:$V$10005,'設定'!$C$4,'月1回_1ヶ月前の在庫'!$W$6:$W$10005,$C312)&gt;0,1,0))</f>
        <v/>
      </c>
      <c r="CX312">
        <f>IF($C312="",0,IF(COUNTIFS('月1回_2ヶ月前の在庫'!$V$6:$V$10005,'設定'!$C$4,'月1回_2ヶ月前の在庫'!$W$6:$W$10005,$C312)&gt;0,1,0))</f>
        <v/>
      </c>
      <c r="CY312">
        <f>IF(OR($C312="",'設定'!$C$12=""),"",IF('設定'!$C$13="",IF(AND($CV312=1,$CW312=0),"新商品（今月から）",IF(AND($CV312=0,$CW312=1),"終売（今月から）","")),IF(AND($CV312=1,$CW312=0,$CX312=0),"新商品（今月から）",IF(AND($CV312=1,$CW312=1,$CX312=0),"新商品（先月から）",IF(AND($CV312=0,$CW312=1,$CX312=1),"終売（今月から）",IF(AND($CV312=0,$CW312=0,$CX312=1),"終売（先月から）",IF(AND($CV312=1,$CW312=0,$CX312=1),"復活（先月は無し）","")))))))</f>
        <v/>
      </c>
    </row>
    <row r="313">
      <c r="B313">
        <f>IF(308&lt;='設定'!$C$11,308,"")</f>
        <v/>
      </c>
      <c r="C313">
        <f>IF($B313="","",IF($B313&lt;='設定'!$C$20,INDEX('商品マスタ'!$B$6:$B$1005,MATCH($B313,'商品マスタ'!$M$6:$M$1005,0)),IF($B313&lt;='設定'!$C$20+'設定'!$C$17,INDEX('①在庫を貼る'!$W$6:$W$10005,MATCH($B313-'設定'!$C$20,'①在庫を貼る'!$U$6:$U$10005,0)),IF($B313&lt;='設定'!$C$20+'設定'!$C$17+'設定'!$C$18,INDEX('月1回_1ヶ月前の在庫'!$W$6:$W$10005,MATCH($B313-'設定'!$C$20-'設定'!$C$17,'月1回_1ヶ月前の在庫'!$U$6:$U$10005,0)),INDEX('月1回_2ヶ月前の在庫'!$W$6:$W$10005,MATCH($B313-'設定'!$C$20-'設定'!$C$17-'設定'!$C$18,'月1回_2ヶ月前の在庫'!$U$6:$U$10005,0))))))</f>
        <v/>
      </c>
      <c r="D313">
        <f>IF($C313="","",IFERROR(IF(INDEX('商品マスタ'!$C$6:$C$1005,MATCH($C313,'商品マスタ'!$B$6:$B$1005,0))="",IFERROR(INDEX('①在庫を貼る'!$J$6:$J$10005,MATCH($C313,'①在庫を貼る'!$W$6:$W$10005,0)),IFERROR(INDEX('月1回_1ヶ月前の在庫'!$J$6:$J$10005,MATCH($C313,'月1回_1ヶ月前の在庫'!$W$6:$W$10005,0)),IFERROR(INDEX('月1回_2ヶ月前の在庫'!$J$6:$J$10005,MATCH($C313,'月1回_2ヶ月前の在庫'!$W$6:$W$10005,0)),""))),INDEX('商品マスタ'!$C$6:$C$1005,MATCH($C313,'商品マスタ'!$B$6:$B$1005,0))),IFERROR(INDEX('①在庫を貼る'!$J$6:$J$10005,MATCH($C313,'①在庫を貼る'!$W$6:$W$10005,0)),IFERROR(INDEX('月1回_1ヶ月前の在庫'!$J$6:$J$10005,MATCH($C313,'月1回_1ヶ月前の在庫'!$W$6:$W$10005,0)),IFERROR(INDEX('月1回_2ヶ月前の在庫'!$J$6:$J$10005,MATCH($C313,'月1回_2ヶ月前の在庫'!$W$6:$W$10005,0)),"")))))</f>
        <v/>
      </c>
      <c r="E313">
        <f>IF($C313="","",IFERROR(IF(INDEX('商品マスタ'!$D$6:$D$1005,MATCH($C313,'商品マスタ'!$B$6:$B$1005,0))="",IFERROR(INDEX('①在庫を貼る'!$H$6:$H$10005,MATCH($C313,'①在庫を貼る'!$W$6:$W$10005,0)),IFERROR(INDEX('月1回_1ヶ月前の在庫'!$H$6:$H$10005,MATCH($C313,'月1回_1ヶ月前の在庫'!$W$6:$W$10005,0)),IFERROR(INDEX('月1回_2ヶ月前の在庫'!$H$6:$H$10005,MATCH($C313,'月1回_2ヶ月前の在庫'!$W$6:$W$10005,0)),""))),INDEX('商品マスタ'!$D$6:$D$1005,MATCH($C313,'商品マスタ'!$B$6:$B$1005,0))),IFERROR(INDEX('①在庫を貼る'!$H$6:$H$10005,MATCH($C313,'①在庫を貼る'!$W$6:$W$10005,0)),IFERROR(INDEX('月1回_1ヶ月前の在庫'!$H$6:$H$10005,MATCH($C313,'月1回_1ヶ月前の在庫'!$W$6:$W$10005,0)),IFERROR(INDEX('月1回_2ヶ月前の在庫'!$H$6:$H$10005,MATCH($C313,'月1回_2ヶ月前の在庫'!$W$6:$W$10005,0)),"")))))</f>
        <v/>
      </c>
      <c r="F313">
        <f>IF($C313="","",IFERROR(IF(INDEX('商品マスタ'!$E$6:$E$1005,MATCH($C313,'商品マスタ'!$B$6:$B$1005,0))="",IFERROR(INDEX('①在庫を貼る'!$E$6:$E$10005,MATCH($C313,'①在庫を貼る'!$W$6:$W$10005,0)),IFERROR(INDEX('月1回_1ヶ月前の在庫'!$E$6:$E$10005,MATCH($C313,'月1回_1ヶ月前の在庫'!$W$6:$W$10005,0)),IFERROR(INDEX('月1回_2ヶ月前の在庫'!$E$6:$E$10005,MATCH($C313,'月1回_2ヶ月前の在庫'!$W$6:$W$10005,0)),""))),INDEX('商品マスタ'!$E$6:$E$1005,MATCH($C313,'商品マスタ'!$B$6:$B$1005,0))),IFERROR(INDEX('①在庫を貼る'!$E$6:$E$10005,MATCH($C313,'①在庫を貼る'!$W$6:$W$10005,0)),IFERROR(INDEX('月1回_1ヶ月前の在庫'!$E$6:$E$10005,MATCH($C313,'月1回_1ヶ月前の在庫'!$W$6:$W$10005,0)),IFERROR(INDEX('月1回_2ヶ月前の在庫'!$E$6:$E$10005,MATCH($C313,'月1回_2ヶ月前の在庫'!$W$6:$W$10005,0)),"")))))</f>
        <v/>
      </c>
      <c r="G313">
        <f>IF($C313="","",MAX(1,N(IFERROR(IF(INDEX('商品マスタ'!$F$6:$F$1005,MATCH($C313,'商品マスタ'!$B$6:$B$1005,0))="",IF(COUNTIFS('①在庫を貼る'!$V$6:$V$10005,'設定'!$C$4,'①在庫を貼る'!$W$6:$W$10005,$C313)&gt;0,SUMIFS('①在庫を貼る'!$K$6:$K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K$6:$K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K$6:$K$10005,'月1回_2ヶ月前の在庫'!$V$6:$V$10005,'設定'!$C$4,'月1回_2ヶ月前の在庫'!$W$6:$W$10005,$C313)/COUNTIFS('月1回_2ヶ月前の在庫'!$V$6:$V$10005,'設定'!$C$4,'月1回_2ヶ月前の在庫'!$W$6:$W$10005,$C313),0))),INDEX('商品マスタ'!$F$6:$F$1005,MATCH($C313,'商品マスタ'!$B$6:$B$1005,0))),IF(COUNTIFS('①在庫を貼る'!$V$6:$V$10005,'設定'!$C$4,'①在庫を貼る'!$W$6:$W$10005,$C313)&gt;0,SUMIFS('①在庫を貼る'!$K$6:$K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K$6:$K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K$6:$K$10005,'月1回_2ヶ月前の在庫'!$V$6:$V$10005,'設定'!$C$4,'月1回_2ヶ月前の在庫'!$W$6:$W$10005,$C313)/COUNTIFS('月1回_2ヶ月前の在庫'!$V$6:$V$10005,'設定'!$C$4,'月1回_2ヶ月前の在庫'!$W$6:$W$10005,$C313),0)))))))</f>
        <v/>
      </c>
      <c r="H313">
        <f>IF($C313="","",N(IFERROR(IF(INDEX('商品マスタ'!$G$6:$G$1005,MATCH($C313,'商品マスタ'!$B$6:$B$1005,0))="",IF(COUNTIFS('①在庫を貼る'!$V$6:$V$10005,'設定'!$C$4,'①在庫を貼る'!$W$6:$W$10005,$C313)&gt;0,SUMIFS('①在庫を貼る'!$Q$6:$Q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Q$6:$Q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Q$6:$Q$10005,'月1回_2ヶ月前の在庫'!$V$6:$V$10005,'設定'!$C$4,'月1回_2ヶ月前の在庫'!$W$6:$W$10005,$C313)/COUNTIFS('月1回_2ヶ月前の在庫'!$V$6:$V$10005,'設定'!$C$4,'月1回_2ヶ月前の在庫'!$W$6:$W$10005,$C313),0))),INDEX('商品マスタ'!$G$6:$G$1005,MATCH($C313,'商品マスタ'!$B$6:$B$1005,0))),IF(COUNTIFS('①在庫を貼る'!$V$6:$V$10005,'設定'!$C$4,'①在庫を貼る'!$W$6:$W$10005,$C313)&gt;0,SUMIFS('①在庫を貼る'!$Q$6:$Q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Q$6:$Q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Q$6:$Q$10005,'月1回_2ヶ月前の在庫'!$V$6:$V$10005,'設定'!$C$4,'月1回_2ヶ月前の在庫'!$W$6:$W$10005,$C313)/COUNTIFS('月1回_2ヶ月前の在庫'!$V$6:$V$10005,'設定'!$C$4,'月1回_2ヶ月前の在庫'!$W$6:$W$10005,$C313),0))))))</f>
        <v/>
      </c>
      <c r="I313">
        <f>IF($C313="","",IF(COUNTIFS('①在庫を貼る'!$V$6:$V$10005,'設定'!$C$4,'①在庫を貼る'!$W$6:$W$10005,$C313)=0,"",SUMIFS('①在庫を貼る'!$N$6:$N$10005,'①在庫を貼る'!$V$6:$V$10005,'設定'!$C$4,'①在庫を貼る'!$W$6:$W$10005,$C313)))</f>
        <v/>
      </c>
      <c r="J313">
        <f>IF($C313="","",IF('②発注する'!$AD317="","",'②発注する'!$AD317))</f>
        <v/>
      </c>
      <c r="K313" s="90">
        <f>IF($C313="","",IF('②発注する'!$AE317="","",'②発注する'!$AE317))</f>
        <v/>
      </c>
      <c r="L313">
        <f>IF($C313="","",IF(AND(ISNUMBER($J313),ISNUMBER($K313),$K313&gt;='設定'!$C$6),$J313,N($I313)))</f>
        <v/>
      </c>
      <c r="M313">
        <f>IF($C313="","",IFERROR(IF(N(INDEX('商品マスタ'!$J$6:$J$1005,MATCH($C313,'商品マスタ'!$B$6:$B$1005,0)))&gt;0,INDEX('商品マスタ'!$J$6:$J$1005,MATCH($C313,'商品マスタ'!$B$6:$B$1005,0)),""),""))</f>
        <v/>
      </c>
      <c r="N313">
        <f>IF($C313="","",IFERROR(IF(N(INDEX('商品マスタ'!$H$6:$H$1005,MATCH($C313,'商品マスタ'!$B$6:$B$1005,0)))&gt;0,INDEX('商品マスタ'!$H$6:$H$1005,MATCH($C313,'商品マスタ'!$B$6:$B$1005,0)),""),""))</f>
        <v/>
      </c>
      <c r="O313">
        <f>IF($C313="","",IF($N313&lt;&gt;"",$N313*$G313,IF(N(IF(COUNTIFS('①在庫を貼る'!$V$6:$V$10005,'設定'!$C$4,'①在庫を貼る'!$W$6:$W$10005,$C313)&gt;0,SUMIFS('①在庫を貼る'!$O$6:$O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O$6:$O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O$6:$O$10005,'月1回_2ヶ月前の在庫'!$V$6:$V$10005,'設定'!$C$4,'月1回_2ヶ月前の在庫'!$W$6:$W$10005,$C313)/COUNTIFS('月1回_2ヶ月前の在庫'!$V$6:$V$10005,'設定'!$C$4,'月1回_2ヶ月前の在庫'!$W$6:$W$10005,$C313),0))))&gt;0,N(IF(COUNTIFS('①在庫を貼る'!$V$6:$V$10005,'設定'!$C$4,'①在庫を貼る'!$W$6:$W$10005,$C313)&gt;0,SUMIFS('①在庫を貼る'!$O$6:$O$10005,'①在庫を貼る'!$V$6:$V$10005,'設定'!$C$4,'①在庫を貼る'!$W$6:$W$10005,$C313)/COUNTIFS('①在庫を貼る'!$V$6:$V$10005,'設定'!$C$4,'①在庫を貼る'!$W$6:$W$10005,$C313),IF(COUNTIFS('月1回_1ヶ月前の在庫'!$V$6:$V$10005,'設定'!$C$4,'月1回_1ヶ月前の在庫'!$W$6:$W$10005,$C313)&gt;0,SUMIFS('月1回_1ヶ月前の在庫'!$O$6:$O$10005,'月1回_1ヶ月前の在庫'!$V$6:$V$10005,'設定'!$C$4,'月1回_1ヶ月前の在庫'!$W$6:$W$10005,$C313)/COUNTIFS('月1回_1ヶ月前の在庫'!$V$6:$V$10005,'設定'!$C$4,'月1回_1ヶ月前の在庫'!$W$6:$W$10005,$C313),IF(COUNTIFS('月1回_2ヶ月前の在庫'!$V$6:$V$10005,'設定'!$C$4,'月1回_2ヶ月前の在庫'!$W$6:$W$10005,$C313)&gt;0,SUMIFS('月1回_2ヶ月前の在庫'!$O$6:$O$10005,'月1回_2ヶ月前の在庫'!$V$6:$V$10005,'設定'!$C$4,'月1回_2ヶ月前の在庫'!$W$6:$W$10005,$C313)/COUNTIFS('月1回_2ヶ月前の在庫'!$V$6:$V$10005,'設定'!$C$4,'月1回_2ヶ月前の在庫'!$W$6:$W$10005,$C313),0)))),"")))</f>
        <v/>
      </c>
      <c r="P313" s="90">
        <f>IF($C313="","",IF('②発注する'!$I317="","",'②発注する'!$I317))</f>
        <v/>
      </c>
      <c r="Q313">
        <f>IF($C313="","",IF('②発注する'!$J317="","",'②発注する'!$J317))</f>
        <v/>
      </c>
      <c r="R313">
        <f>IF($C313="",0,IF(AND(ISNUMBER($P313),ISNUMBER($Q313)),MAX(0,$Q313)*$G313,0))</f>
        <v/>
      </c>
      <c r="S313" s="90">
        <f>IF($C313="","",IF('②発注する'!$M317="","",'②発注する'!$M317))</f>
        <v/>
      </c>
      <c r="T313">
        <f>IF($C313="","",IF('②発注する'!$N317="","",'②発注する'!$N317))</f>
        <v/>
      </c>
      <c r="U313">
        <f>IF($C313="",0,IF(AND(ISNUMBER($S313),ISNUMBER($T313)),MAX(0,$T313)*$G313,0))</f>
        <v/>
      </c>
      <c r="V313">
        <f>IF($C313="",0,IF($M313="",0,MAX(0,$M313)*MAX(0,V$4)/100))</f>
        <v/>
      </c>
      <c r="W313">
        <f>IF($C313="",0,IF($M313="",0,MAX(0,$M313)*MAX(0,W$4)/100))</f>
        <v/>
      </c>
      <c r="X313">
        <f>IF($C313="",0,IF($M313="",0,MAX(0,$M313)*MAX(0,X$4)/100))</f>
        <v/>
      </c>
      <c r="Y313">
        <f>IF($C313="",0,IF($M313="",0,MAX(0,$M313)*MAX(0,Y$4)/100))</f>
        <v/>
      </c>
      <c r="Z313">
        <f>IF($C313="",0,IF($M313="",0,MAX(0,$M313)*MAX(0,Z$4)/100))</f>
        <v/>
      </c>
      <c r="AA313">
        <f>IF($C313="",0,IF($M313="",0,MAX(0,$M313)*MAX(0,AA$4)/100))</f>
        <v/>
      </c>
      <c r="AB313">
        <f>IF($C313="",0,IF($M313="",0,MAX(0,$M313)*MAX(0,AB$4)/100))</f>
        <v/>
      </c>
      <c r="AC313">
        <f>IF($C313="",0,IF($M313="",0,MAX(0,$M313)*MAX(0,AC$4)/100))</f>
        <v/>
      </c>
      <c r="AD313">
        <f>IF($C313="",0,IF($M313="",0,MAX(0,$M313)*MAX(0,AD$4)/100))</f>
        <v/>
      </c>
      <c r="AE313">
        <f>IF($C313="",0,IF($M313="",0,MAX(0,$M313)*MAX(0,AE$4)/100))</f>
        <v/>
      </c>
      <c r="AF313">
        <f>IF($C313="",0,IF($M313="",0,MAX(0,$M313)*MAX(0,AF$4)/100))</f>
        <v/>
      </c>
      <c r="AG313">
        <f>IF($C313="",0,IF($M313="",0,MAX(0,$M313)*MAX(0,AG$4)/100))</f>
        <v/>
      </c>
      <c r="AH313">
        <f>IF($C313="",0,IF($M313="",0,MAX(0,$M313)*MAX(0,AH$4)/100))</f>
        <v/>
      </c>
      <c r="AI313">
        <f>IF($C313="",0,IF($M313="",0,MAX(0,$M313)*MAX(0,AI$4)/100))</f>
        <v/>
      </c>
      <c r="AJ313">
        <f>IF($C313="",0,MAX(0,MAX(0,N($L313))-$V313))</f>
        <v/>
      </c>
      <c r="AK313">
        <f>IF($C313="",0,MAX(0,$AJ313-$W313))</f>
        <v/>
      </c>
      <c r="AL313">
        <f>IF($C313="",0,MAX(0,$AK313-$X313))</f>
        <v/>
      </c>
      <c r="AM313">
        <f>IF($C313="",0,MAX(0,$AL313-$Y313))</f>
        <v/>
      </c>
      <c r="AN313">
        <f>IF($C313="",0,MAX(0,$AM313-$Z313))</f>
        <v/>
      </c>
      <c r="AO313">
        <f>IF($C313="",0,MAX(0,$AN313-$AA313))</f>
        <v/>
      </c>
      <c r="AP313">
        <f>IF($C313="",0,MAX(0,$AO313-$AB313))</f>
        <v/>
      </c>
      <c r="AQ313">
        <f>IF($C313="",0,MAX(0,$AP313-$AC313))</f>
        <v/>
      </c>
      <c r="AR313">
        <f>IF($C313="",0,MAX(0,$AQ313-$AD313))</f>
        <v/>
      </c>
      <c r="AS313">
        <f>IF($C313="",0,MAX(0,$AR313-$AE313))</f>
        <v/>
      </c>
      <c r="AT313">
        <f>IF($C313="",0,MAX(0,$AS313-$AF313))</f>
        <v/>
      </c>
      <c r="AU313">
        <f>IF($C313="",0,MAX(0,$AT313-$AG313))</f>
        <v/>
      </c>
      <c r="AV313">
        <f>IF($C313="",0,MAX(0,$AU313-$AH313))</f>
        <v/>
      </c>
      <c r="AW313">
        <f>IF($C313="",0,MAX(0,$AV313-$AI313))</f>
        <v/>
      </c>
      <c r="AX313">
        <f>IF($C313="",0,MAX(0,MAX(0,N($L313))+IF($P313=V$3,$R313,0)+IF($S313=V$3,$U313,0)-$V313))</f>
        <v/>
      </c>
      <c r="AY313">
        <f>IF($C313="",0,MAX(0,$AX313+IF($P313=W$3,$R313,0)+IF($S313=W$3,$U313,0)-$W313))</f>
        <v/>
      </c>
      <c r="AZ313">
        <f>IF($C313="",0,MAX(0,$AY313+IF($P313=X$3,$R313,0)+IF($S313=X$3,$U313,0)-$X313))</f>
        <v/>
      </c>
      <c r="BA313">
        <f>IF($C313="",0,MAX(0,$AZ313+IF($P313=Y$3,$R313,0)+IF($S313=Y$3,$U313,0)-$Y313))</f>
        <v/>
      </c>
      <c r="BB313">
        <f>IF($C313="",0,MAX(0,$BA313+IF($P313=Z$3,$R313,0)+IF($S313=Z$3,$U313,0)-$Z313))</f>
        <v/>
      </c>
      <c r="BC313">
        <f>IF($C313="",0,MAX(0,$BB313+IF($P313=AA$3,$R313,0)+IF($S313=AA$3,$U313,0)-$AA313))</f>
        <v/>
      </c>
      <c r="BD313">
        <f>IF($C313="",0,MAX(0,$BC313+IF($P313=AB$3,$R313,0)+IF($S313=AB$3,$U313,0)-$AB313))</f>
        <v/>
      </c>
      <c r="BE313">
        <f>IF($C313="",0,MAX(0,$BD313+IF($P313=AC$3,$R313,0)+IF($S313=AC$3,$U313,0)-$AC313))</f>
        <v/>
      </c>
      <c r="BF313">
        <f>IF($C313="",0,MAX(0,$BE313+IF($P313=AD$3,$R313,0)+IF($S313=AD$3,$U313,0)-$AD313))</f>
        <v/>
      </c>
      <c r="BG313">
        <f>IF($C313="",0,MAX(0,$BF313+IF($P313=AE$3,$R313,0)+IF($S313=AE$3,$U313,0)-$AE313))</f>
        <v/>
      </c>
      <c r="BH313">
        <f>IF($C313="",0,MAX(0,$BG313+IF($P313=AF$3,$R313,0)+IF($S313=AF$3,$U313,0)-$AF313))</f>
        <v/>
      </c>
      <c r="BI313">
        <f>IF($C313="",0,MAX(0,$BH313+IF($P313=AG$3,$R313,0)+IF($S313=AG$3,$U313,0)-$AG313))</f>
        <v/>
      </c>
      <c r="BJ313">
        <f>IF($C313="",0,MAX(0,$BI313+IF($P313=AH$3,$R313,0)+IF($S313=AH$3,$U313,0)-$AH313))</f>
        <v/>
      </c>
      <c r="BK313">
        <f>IF($C313="",0,MAX(0,$BJ313+IF($P313=AI$3,$R313,0)+IF($S313=AI$3,$U313,0)-$AI313))</f>
        <v/>
      </c>
      <c r="BL313">
        <f>IF($C313="",99,IF(AND($AX313&lt;1,V$3&gt;=MAX(N($P313),N($S313))),0,99))</f>
        <v/>
      </c>
      <c r="BM313">
        <f>IF($C313="",99,IF(AND($AY313&lt;1,W$3&gt;=MAX(N($P313),N($S313))),1,99))</f>
        <v/>
      </c>
      <c r="BN313">
        <f>IF($C313="",99,IF(AND($AZ313&lt;1,X$3&gt;=MAX(N($P313),N($S313))),2,99))</f>
        <v/>
      </c>
      <c r="BO313">
        <f>IF($C313="",99,IF(AND($BA313&lt;1,Y$3&gt;=MAX(N($P313),N($S313))),3,99))</f>
        <v/>
      </c>
      <c r="BP313">
        <f>IF($C313="",99,IF(AND($BB313&lt;1,Z$3&gt;=MAX(N($P313),N($S313))),4,99))</f>
        <v/>
      </c>
      <c r="BQ313">
        <f>IF($C313="",99,IF(AND($BC313&lt;1,AA$3&gt;=MAX(N($P313),N($S313))),5,99))</f>
        <v/>
      </c>
      <c r="BR313">
        <f>IF($C313="",99,IF(AND($BD313&lt;1,AB$3&gt;=MAX(N($P313),N($S313))),6,99))</f>
        <v/>
      </c>
      <c r="BS313">
        <f>IF($C313="",99,IF(AND($BE313&lt;1,AC$3&gt;=MAX(N($P313),N($S313))),7,99))</f>
        <v/>
      </c>
      <c r="BT313">
        <f>IF($C313="",99,IF(AND($BF313&lt;1,AD$3&gt;=MAX(N($P313),N($S313))),8,99))</f>
        <v/>
      </c>
      <c r="BU313">
        <f>IF($C313="",99,IF(AND($BG313&lt;1,AE$3&gt;=MAX(N($P313),N($S313))),9,99))</f>
        <v/>
      </c>
      <c r="BV313">
        <f>IF($C313="",99,IF(AND($BH313&lt;1,AF$3&gt;=MAX(N($P313),N($S313))),10,99))</f>
        <v/>
      </c>
      <c r="BW313">
        <f>IF($C313="",99,IF(AND($BI313&lt;1,AG$3&gt;=MAX(N($P313),N($S313))),11,99))</f>
        <v/>
      </c>
      <c r="BX313">
        <f>IF($C313="",99,IF(AND($BJ313&lt;1,AH$3&gt;=MAX(N($P313),N($S313))),12,99))</f>
        <v/>
      </c>
      <c r="BY313">
        <f>IF($C313="",99,IF(AND($BK313&lt;1,AI$3&gt;=MAX(N($P313),N($S313))),13,99))</f>
        <v/>
      </c>
      <c r="BZ313">
        <f>IF(OR($C313="",$M313=""),"",COUNTIF($AJ313:$AW313,"&gt;=1"))</f>
        <v/>
      </c>
      <c r="CA313" s="90">
        <f>IF($BZ313="","",IF($BZ313&gt;=14,"",'設定'!$C$6+$BZ313))</f>
        <v/>
      </c>
      <c r="CB313">
        <f>IF(OR($C313="",$M313=""),"",MIN($BL313:$BY313))</f>
        <v/>
      </c>
      <c r="CC313" s="90">
        <f>IF($CB313="","",IF($CB313&gt;=99,"",'設定'!$C$6+$CB313))</f>
        <v/>
      </c>
      <c r="CD313">
        <f>IF(OR($C313="",$M313=""),"",AVERAGE($V313:$AI313))</f>
        <v/>
      </c>
      <c r="CE313">
        <f>IF($C313="","",IFERROR(IF(MATCH(IF(ISNUMBER($P313),$P313,'設定'!$C$6+N('設定'!$C$7)),$V$3:$AI$3,0)=1,MAX(0,N($L313)),INDEX($AJ313:$AW313,MATCH(IF(ISNUMBER($P313),$P313,'設定'!$C$6+N('設定'!$C$7)),$V$3:$AI$3,0)-1)),""))</f>
        <v/>
      </c>
      <c r="CF313">
        <f>IF(OR($C313="",$O313="",$CE313=""),"",IF($O313-$CE313&lt;=0,0,ROUNDUP(($O313-$CE313)/$G313,0)))</f>
        <v/>
      </c>
      <c r="CG313">
        <f>IF(OR($C313="",$CF313="",NOT(ISNUMBER($Q313))),0,MAX(0,$Q313-$CF313))</f>
        <v/>
      </c>
      <c r="CH313">
        <f>IF(OR($C313="",$O313="",$U313=0),0,IFERROR(ROUNDUP(MAX(0,IF(MATCH($S313,$V$3:$AI$3,0)=1,MAX(0,N($L313)),INDEX($AX313:$BK313,MATCH($S313,$V$3:$AI$3,0)-1))+$U313-$O313)/$G313,0),0))</f>
        <v/>
      </c>
      <c r="CI313">
        <f>IF($C313="","",IF(AND($P313="",$Q313=""),"",IF($P313="","⚠ 入庫日を ▼ から選んでください",IF(NOT(ISNUMBER($P313)),"⚠ 入庫日は ▼ から選んでください",IF($P313&lt;N('設定'!$C$6),"⚠ 入庫日が過去です（もう在庫に入っています）→ 消してください",IF($P313&gt;N('設定'!$C$6)+13,"⚠ 入庫日が14日より先です",IF(N($Q313)&lt;=0,"⚠ 入庫数を入れてください",IF($CG313&gt;0,"⚠ 目安より "&amp;$CG313&amp;" 多い（定数を超える）→ 減らす",""))))))))</f>
        <v/>
      </c>
      <c r="CJ313">
        <f>IF($C313="","",IF(AND($S313="",$T313=""),"",IF($S313="","⚠ 2便目：入庫日を ▼ から選んでください",IF(NOT(ISNUMBER($S313)),"⚠ 2便目：入庫日は ▼ から選んでください",IF($S313&lt;N('設定'!$C$6),"⚠ 2便目：入庫日が過去です（もう在庫に入っています）→ 消してください",IF($S313&gt;N('設定'!$C$6)+13,"⚠ 2便目：入庫日が14日より先です",IF(N($T313)&lt;=0,"⚠ 2便目：入庫数を入れてください",IF($CH313&gt;0,"⚠ 2便目：定数を "&amp;$CH313&amp;" ケース超える → 減らす",""))))))))</f>
        <v/>
      </c>
      <c r="CK313">
        <f>IF(AND($CI313="",N($Q313)&gt;0,ISNUMBER($P313)),1,0)</f>
        <v/>
      </c>
      <c r="CL313">
        <f>IF(AND($CJ313="",N($T313)&gt;0,ISNUMBER($S313)),1,0)</f>
        <v/>
      </c>
      <c r="CM313">
        <f>IF(OR($CK313=1,$CL313=1),1,0)</f>
        <v/>
      </c>
      <c r="CN313">
        <f>IF($C313="",0,($CK313*$R313+$CL313*$U313)*N($H313))</f>
        <v/>
      </c>
      <c r="CO313">
        <f>IF($C313="","",IF($CC313="","入庫後は 14日以上もつ",IF($CC313-N('設定'!$C$7)&lt;='設定'!$C$6,"入庫後も "&amp;TEXT($CC313,"m/d")&amp;"("&amp;CHOOSE(WEEKDAY($CC313),"日","月","火","水","木","金","土")&amp;")"&amp;" に切れる　もう1便を至急発注","入庫後も "&amp;TEXT($CC313,"m/d")&amp;"("&amp;CHOOSE(WEEKDAY($CC313),"日","月","火","水","木","金","土")&amp;")"&amp;" に切れる　"&amp;TEXT($CC313-N('設定'!$C$7),"m/d")&amp;"("&amp;CHOOSE(WEEKDAY($CC313-N('設定'!$C$7)),"日","月","火","水","木","金","土")&amp;")"&amp;" までに次を発注")))</f>
        <v/>
      </c>
      <c r="CP313">
        <f>IF($C313="","",IF('設定'!$C$6="","？ ①在庫を貼る に今日のCSVが貼られていない",IF($CS313=1,"－ 今日のCSVに無い（終売？）",IF($L313&lt;0,"● 在庫がマイナス　数えて「数えた在庫」に入れる",IF($L313=0,"● 在庫なし　至急発注",IF($M313="","？ 減り数が未設定（商品マスタ）",IF($B$3=0,"？ 動員が未入力（動員を入れる）",IF($CA313="","○ 14日以上もつ",IF($BZ313&lt;N('設定'!$C$7),"● "&amp;TEXT($CA313,"m/d")&amp;"("&amp;CHOOSE(WEEKDAY($CA313),"日","月","火","水","木","金","土")&amp;")"&amp;" に切れる　至急発注",IF($BZ313=N('設定'!$C$7),"● "&amp;TEXT($CA313,"m/d")&amp;"("&amp;CHOOSE(WEEKDAY($CA313),"日","月","火","水","木","金","土")&amp;")"&amp;" に切れる　今日発注","△ "&amp;TEXT($CA313,"m/d")&amp;"("&amp;CHOOSE(WEEKDAY($CA313),"日","月","火","水","木","金","土")&amp;")"&amp;" に切れる　"&amp;TEXT($CA313-N('設定'!$C$7),"m/d")&amp;"("&amp;CHOOSE(WEEKDAY($CA313-N('設定'!$C$7)),"日","月","火","水","木","金","土")&amp;")"&amp;" までに発注"))))))))))</f>
        <v/>
      </c>
      <c r="CQ313">
        <f>IF($C313="","",IF(AND($P313="",$Q313="",$S313="",$T313=""),"",IF(AND($P313="",$Q313=""),"⚠ 先に1便目（左の入庫日・入庫数）に入れてください",IF($CI313&lt;&gt;"",$CI313,IF($CJ313&lt;&gt;"",$CJ313,IF($M313="","？ 減り数が未設定（発注書には載ります）",IF($B$3=0,"？ 動員が未入力（発注書には載ります）",IF(AND($CA313&lt;&gt;"",$P313&gt;$CA313),IF($P313&gt;'設定'!$C$6+N('設定'!$C$7),"● "&amp;TEXT($P313,"m/d")&amp;"("&amp;CHOOSE(WEEKDAY($P313),"日","月","火","水","木","金","土")&amp;")"&amp;" の入庫では間に合わない（"&amp;TEXT($CA313,"m/d")&amp;"("&amp;CHOOSE(WEEKDAY($CA313),"日","月","火","水","木","金","土")&amp;")"&amp;" に切れる）　入庫日を早める","△ 欠品 "&amp;TEXT($CA313,"m/d")&amp;"("&amp;CHOOSE(WEEKDAY($CA313),"日","月","火","水","木","金","土")&amp;")"&amp;"〜"&amp;TEXT($P313-1,"m/d")&amp;"("&amp;CHOOSE(WEEKDAY($P313-1),"日","月","火","水","木","金","土")&amp;")"&amp;"　"&amp;$CO313),IF($CC313="","○ "&amp;TEXT($P313,"m/d")&amp;"("&amp;CHOOSE(WEEKDAY($P313),"日","月","火","水","木","金","土")&amp;")"&amp;" 入庫で 14日以上もつ",IF($CC313-N('設定'!$C$7)&lt;='設定'!$C$6,"● 入庫しても "&amp;TEXT($CC313,"m/d")&amp;"("&amp;CHOOSE(WEEKDAY($CC313),"日","月","火","水","木","金","土")&amp;")"&amp;" に切れる　もう1便を至急発注（2便目に入れる）","△ 入庫しても "&amp;TEXT($CC313,"m/d")&amp;"("&amp;CHOOSE(WEEKDAY($CC313),"日","月","火","水","木","金","土")&amp;")"&amp;" に切れる　"&amp;TEXT($CC313-N('設定'!$C$7),"m/d")&amp;"("&amp;CHOOSE(WEEKDAY($CC313-N('設定'!$C$7)),"日","月","火","水","木","金","土")&amp;")"&amp;" までに次を発注（2便目に入れる）"))))))))))</f>
        <v/>
      </c>
      <c r="CR313">
        <f>IF($C313="","",IF($G313&gt;1,"ｹｰｽ("&amp;$G313&amp;"入)","個"))</f>
        <v/>
      </c>
      <c r="CS313">
        <f>IF($C313="",0,IF(COUNTIFS('①在庫を貼る'!$V$6:$V$10005,'設定'!$C$4,'①在庫を貼る'!$W$6:$W$10005,$C313)=0,1,0))</f>
        <v/>
      </c>
      <c r="CT313">
        <f>IF(AND($CK313=1,OR('③発注書'!$C$4="すべて",'③発注書'!$C$4="",$F313='③発注書'!$C$4)),N($CT312)+1,N($CT312))</f>
        <v/>
      </c>
      <c r="CU313">
        <f>IF(AND($CL313=1,OR('③発注書'!$C$4="すべて",'③発注書'!$C$4="",$F313='③発注書'!$C$4)),N($CU312)+1,N($CU312))</f>
        <v/>
      </c>
      <c r="CV313">
        <f>IF($C313="",0,IF(COUNTIFS('①在庫を貼る'!$V$6:$V$10005,'設定'!$C$4,'①在庫を貼る'!$W$6:$W$10005,$C313)&gt;0,1,0))</f>
        <v/>
      </c>
      <c r="CW313">
        <f>IF($C313="",0,IF(COUNTIFS('月1回_1ヶ月前の在庫'!$V$6:$V$10005,'設定'!$C$4,'月1回_1ヶ月前の在庫'!$W$6:$W$10005,$C313)&gt;0,1,0))</f>
        <v/>
      </c>
      <c r="CX313">
        <f>IF($C313="",0,IF(COUNTIFS('月1回_2ヶ月前の在庫'!$V$6:$V$10005,'設定'!$C$4,'月1回_2ヶ月前の在庫'!$W$6:$W$10005,$C313)&gt;0,1,0))</f>
        <v/>
      </c>
      <c r="CY313">
        <f>IF(OR($C313="",'設定'!$C$12=""),"",IF('設定'!$C$13="",IF(AND($CV313=1,$CW313=0),"新商品（今月から）",IF(AND($CV313=0,$CW313=1),"終売（今月から）","")),IF(AND($CV313=1,$CW313=0,$CX313=0),"新商品（今月から）",IF(AND($CV313=1,$CW313=1,$CX313=0),"新商品（先月から）",IF(AND($CV313=0,$CW313=1,$CX313=1),"終売（今月から）",IF(AND($CV313=0,$CW313=0,$CX313=1),"終売（先月から）",IF(AND($CV313=1,$CW313=0,$CX313=1),"復活（先月は無し）","")))))))</f>
        <v/>
      </c>
    </row>
    <row r="314">
      <c r="B314">
        <f>IF(309&lt;='設定'!$C$11,309,"")</f>
        <v/>
      </c>
      <c r="C314">
        <f>IF($B314="","",IF($B314&lt;='設定'!$C$20,INDEX('商品マスタ'!$B$6:$B$1005,MATCH($B314,'商品マスタ'!$M$6:$M$1005,0)),IF($B314&lt;='設定'!$C$20+'設定'!$C$17,INDEX('①在庫を貼る'!$W$6:$W$10005,MATCH($B314-'設定'!$C$20,'①在庫を貼る'!$U$6:$U$10005,0)),IF($B314&lt;='設定'!$C$20+'設定'!$C$17+'設定'!$C$18,INDEX('月1回_1ヶ月前の在庫'!$W$6:$W$10005,MATCH($B314-'設定'!$C$20-'設定'!$C$17,'月1回_1ヶ月前の在庫'!$U$6:$U$10005,0)),INDEX('月1回_2ヶ月前の在庫'!$W$6:$W$10005,MATCH($B314-'設定'!$C$20-'設定'!$C$17-'設定'!$C$18,'月1回_2ヶ月前の在庫'!$U$6:$U$10005,0))))))</f>
        <v/>
      </c>
      <c r="D314">
        <f>IF($C314="","",IFERROR(IF(INDEX('商品マスタ'!$C$6:$C$1005,MATCH($C314,'商品マスタ'!$B$6:$B$1005,0))="",IFERROR(INDEX('①在庫を貼る'!$J$6:$J$10005,MATCH($C314,'①在庫を貼る'!$W$6:$W$10005,0)),IFERROR(INDEX('月1回_1ヶ月前の在庫'!$J$6:$J$10005,MATCH($C314,'月1回_1ヶ月前の在庫'!$W$6:$W$10005,0)),IFERROR(INDEX('月1回_2ヶ月前の在庫'!$J$6:$J$10005,MATCH($C314,'月1回_2ヶ月前の在庫'!$W$6:$W$10005,0)),""))),INDEX('商品マスタ'!$C$6:$C$1005,MATCH($C314,'商品マスタ'!$B$6:$B$1005,0))),IFERROR(INDEX('①在庫を貼る'!$J$6:$J$10005,MATCH($C314,'①在庫を貼る'!$W$6:$W$10005,0)),IFERROR(INDEX('月1回_1ヶ月前の在庫'!$J$6:$J$10005,MATCH($C314,'月1回_1ヶ月前の在庫'!$W$6:$W$10005,0)),IFERROR(INDEX('月1回_2ヶ月前の在庫'!$J$6:$J$10005,MATCH($C314,'月1回_2ヶ月前の在庫'!$W$6:$W$10005,0)),"")))))</f>
        <v/>
      </c>
      <c r="E314">
        <f>IF($C314="","",IFERROR(IF(INDEX('商品マスタ'!$D$6:$D$1005,MATCH($C314,'商品マスタ'!$B$6:$B$1005,0))="",IFERROR(INDEX('①在庫を貼る'!$H$6:$H$10005,MATCH($C314,'①在庫を貼る'!$W$6:$W$10005,0)),IFERROR(INDEX('月1回_1ヶ月前の在庫'!$H$6:$H$10005,MATCH($C314,'月1回_1ヶ月前の在庫'!$W$6:$W$10005,0)),IFERROR(INDEX('月1回_2ヶ月前の在庫'!$H$6:$H$10005,MATCH($C314,'月1回_2ヶ月前の在庫'!$W$6:$W$10005,0)),""))),INDEX('商品マスタ'!$D$6:$D$1005,MATCH($C314,'商品マスタ'!$B$6:$B$1005,0))),IFERROR(INDEX('①在庫を貼る'!$H$6:$H$10005,MATCH($C314,'①在庫を貼る'!$W$6:$W$10005,0)),IFERROR(INDEX('月1回_1ヶ月前の在庫'!$H$6:$H$10005,MATCH($C314,'月1回_1ヶ月前の在庫'!$W$6:$W$10005,0)),IFERROR(INDEX('月1回_2ヶ月前の在庫'!$H$6:$H$10005,MATCH($C314,'月1回_2ヶ月前の在庫'!$W$6:$W$10005,0)),"")))))</f>
        <v/>
      </c>
      <c r="F314">
        <f>IF($C314="","",IFERROR(IF(INDEX('商品マスタ'!$E$6:$E$1005,MATCH($C314,'商品マスタ'!$B$6:$B$1005,0))="",IFERROR(INDEX('①在庫を貼る'!$E$6:$E$10005,MATCH($C314,'①在庫を貼る'!$W$6:$W$10005,0)),IFERROR(INDEX('月1回_1ヶ月前の在庫'!$E$6:$E$10005,MATCH($C314,'月1回_1ヶ月前の在庫'!$W$6:$W$10005,0)),IFERROR(INDEX('月1回_2ヶ月前の在庫'!$E$6:$E$10005,MATCH($C314,'月1回_2ヶ月前の在庫'!$W$6:$W$10005,0)),""))),INDEX('商品マスタ'!$E$6:$E$1005,MATCH($C314,'商品マスタ'!$B$6:$B$1005,0))),IFERROR(INDEX('①在庫を貼る'!$E$6:$E$10005,MATCH($C314,'①在庫を貼る'!$W$6:$W$10005,0)),IFERROR(INDEX('月1回_1ヶ月前の在庫'!$E$6:$E$10005,MATCH($C314,'月1回_1ヶ月前の在庫'!$W$6:$W$10005,0)),IFERROR(INDEX('月1回_2ヶ月前の在庫'!$E$6:$E$10005,MATCH($C314,'月1回_2ヶ月前の在庫'!$W$6:$W$10005,0)),"")))))</f>
        <v/>
      </c>
      <c r="G314">
        <f>IF($C314="","",MAX(1,N(IFERROR(IF(INDEX('商品マスタ'!$F$6:$F$1005,MATCH($C314,'商品マスタ'!$B$6:$B$1005,0))="",IF(COUNTIFS('①在庫を貼る'!$V$6:$V$10005,'設定'!$C$4,'①在庫を貼る'!$W$6:$W$10005,$C314)&gt;0,SUMIFS('①在庫を貼る'!$K$6:$K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K$6:$K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K$6:$K$10005,'月1回_2ヶ月前の在庫'!$V$6:$V$10005,'設定'!$C$4,'月1回_2ヶ月前の在庫'!$W$6:$W$10005,$C314)/COUNTIFS('月1回_2ヶ月前の在庫'!$V$6:$V$10005,'設定'!$C$4,'月1回_2ヶ月前の在庫'!$W$6:$W$10005,$C314),0))),INDEX('商品マスタ'!$F$6:$F$1005,MATCH($C314,'商品マスタ'!$B$6:$B$1005,0))),IF(COUNTIFS('①在庫を貼る'!$V$6:$V$10005,'設定'!$C$4,'①在庫を貼る'!$W$6:$W$10005,$C314)&gt;0,SUMIFS('①在庫を貼る'!$K$6:$K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K$6:$K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K$6:$K$10005,'月1回_2ヶ月前の在庫'!$V$6:$V$10005,'設定'!$C$4,'月1回_2ヶ月前の在庫'!$W$6:$W$10005,$C314)/COUNTIFS('月1回_2ヶ月前の在庫'!$V$6:$V$10005,'設定'!$C$4,'月1回_2ヶ月前の在庫'!$W$6:$W$10005,$C314),0)))))))</f>
        <v/>
      </c>
      <c r="H314">
        <f>IF($C314="","",N(IFERROR(IF(INDEX('商品マスタ'!$G$6:$G$1005,MATCH($C314,'商品マスタ'!$B$6:$B$1005,0))="",IF(COUNTIFS('①在庫を貼る'!$V$6:$V$10005,'設定'!$C$4,'①在庫を貼る'!$W$6:$W$10005,$C314)&gt;0,SUMIFS('①在庫を貼る'!$Q$6:$Q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Q$6:$Q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Q$6:$Q$10005,'月1回_2ヶ月前の在庫'!$V$6:$V$10005,'設定'!$C$4,'月1回_2ヶ月前の在庫'!$W$6:$W$10005,$C314)/COUNTIFS('月1回_2ヶ月前の在庫'!$V$6:$V$10005,'設定'!$C$4,'月1回_2ヶ月前の在庫'!$W$6:$W$10005,$C314),0))),INDEX('商品マスタ'!$G$6:$G$1005,MATCH($C314,'商品マスタ'!$B$6:$B$1005,0))),IF(COUNTIFS('①在庫を貼る'!$V$6:$V$10005,'設定'!$C$4,'①在庫を貼る'!$W$6:$W$10005,$C314)&gt;0,SUMIFS('①在庫を貼る'!$Q$6:$Q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Q$6:$Q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Q$6:$Q$10005,'月1回_2ヶ月前の在庫'!$V$6:$V$10005,'設定'!$C$4,'月1回_2ヶ月前の在庫'!$W$6:$W$10005,$C314)/COUNTIFS('月1回_2ヶ月前の在庫'!$V$6:$V$10005,'設定'!$C$4,'月1回_2ヶ月前の在庫'!$W$6:$W$10005,$C314),0))))))</f>
        <v/>
      </c>
      <c r="I314">
        <f>IF($C314="","",IF(COUNTIFS('①在庫を貼る'!$V$6:$V$10005,'設定'!$C$4,'①在庫を貼る'!$W$6:$W$10005,$C314)=0,"",SUMIFS('①在庫を貼る'!$N$6:$N$10005,'①在庫を貼る'!$V$6:$V$10005,'設定'!$C$4,'①在庫を貼る'!$W$6:$W$10005,$C314)))</f>
        <v/>
      </c>
      <c r="J314">
        <f>IF($C314="","",IF('②発注する'!$AD318="","",'②発注する'!$AD318))</f>
        <v/>
      </c>
      <c r="K314" s="90">
        <f>IF($C314="","",IF('②発注する'!$AE318="","",'②発注する'!$AE318))</f>
        <v/>
      </c>
      <c r="L314">
        <f>IF($C314="","",IF(AND(ISNUMBER($J314),ISNUMBER($K314),$K314&gt;='設定'!$C$6),$J314,N($I314)))</f>
        <v/>
      </c>
      <c r="M314">
        <f>IF($C314="","",IFERROR(IF(N(INDEX('商品マスタ'!$J$6:$J$1005,MATCH($C314,'商品マスタ'!$B$6:$B$1005,0)))&gt;0,INDEX('商品マスタ'!$J$6:$J$1005,MATCH($C314,'商品マスタ'!$B$6:$B$1005,0)),""),""))</f>
        <v/>
      </c>
      <c r="N314">
        <f>IF($C314="","",IFERROR(IF(N(INDEX('商品マスタ'!$H$6:$H$1005,MATCH($C314,'商品マスタ'!$B$6:$B$1005,0)))&gt;0,INDEX('商品マスタ'!$H$6:$H$1005,MATCH($C314,'商品マスタ'!$B$6:$B$1005,0)),""),""))</f>
        <v/>
      </c>
      <c r="O314">
        <f>IF($C314="","",IF($N314&lt;&gt;"",$N314*$G314,IF(N(IF(COUNTIFS('①在庫を貼る'!$V$6:$V$10005,'設定'!$C$4,'①在庫を貼る'!$W$6:$W$10005,$C314)&gt;0,SUMIFS('①在庫を貼る'!$O$6:$O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O$6:$O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O$6:$O$10005,'月1回_2ヶ月前の在庫'!$V$6:$V$10005,'設定'!$C$4,'月1回_2ヶ月前の在庫'!$W$6:$W$10005,$C314)/COUNTIFS('月1回_2ヶ月前の在庫'!$V$6:$V$10005,'設定'!$C$4,'月1回_2ヶ月前の在庫'!$W$6:$W$10005,$C314),0))))&gt;0,N(IF(COUNTIFS('①在庫を貼る'!$V$6:$V$10005,'設定'!$C$4,'①在庫を貼る'!$W$6:$W$10005,$C314)&gt;0,SUMIFS('①在庫を貼る'!$O$6:$O$10005,'①在庫を貼る'!$V$6:$V$10005,'設定'!$C$4,'①在庫を貼る'!$W$6:$W$10005,$C314)/COUNTIFS('①在庫を貼る'!$V$6:$V$10005,'設定'!$C$4,'①在庫を貼る'!$W$6:$W$10005,$C314),IF(COUNTIFS('月1回_1ヶ月前の在庫'!$V$6:$V$10005,'設定'!$C$4,'月1回_1ヶ月前の在庫'!$W$6:$W$10005,$C314)&gt;0,SUMIFS('月1回_1ヶ月前の在庫'!$O$6:$O$10005,'月1回_1ヶ月前の在庫'!$V$6:$V$10005,'設定'!$C$4,'月1回_1ヶ月前の在庫'!$W$6:$W$10005,$C314)/COUNTIFS('月1回_1ヶ月前の在庫'!$V$6:$V$10005,'設定'!$C$4,'月1回_1ヶ月前の在庫'!$W$6:$W$10005,$C314),IF(COUNTIFS('月1回_2ヶ月前の在庫'!$V$6:$V$10005,'設定'!$C$4,'月1回_2ヶ月前の在庫'!$W$6:$W$10005,$C314)&gt;0,SUMIFS('月1回_2ヶ月前の在庫'!$O$6:$O$10005,'月1回_2ヶ月前の在庫'!$V$6:$V$10005,'設定'!$C$4,'月1回_2ヶ月前の在庫'!$W$6:$W$10005,$C314)/COUNTIFS('月1回_2ヶ月前の在庫'!$V$6:$V$10005,'設定'!$C$4,'月1回_2ヶ月前の在庫'!$W$6:$W$10005,$C314),0)))),"")))</f>
        <v/>
      </c>
      <c r="P314" s="90">
        <f>IF($C314="","",IF('②発注する'!$I318="","",'②発注する'!$I318))</f>
        <v/>
      </c>
      <c r="Q314">
        <f>IF($C314="","",IF('②発注する'!$J318="","",'②発注する'!$J318))</f>
        <v/>
      </c>
      <c r="R314">
        <f>IF($C314="",0,IF(AND(ISNUMBER($P314),ISNUMBER($Q314)),MAX(0,$Q314)*$G314,0))</f>
        <v/>
      </c>
      <c r="S314" s="90">
        <f>IF($C314="","",IF('②発注する'!$M318="","",'②発注する'!$M318))</f>
        <v/>
      </c>
      <c r="T314">
        <f>IF($C314="","",IF('②発注する'!$N318="","",'②発注する'!$N318))</f>
        <v/>
      </c>
      <c r="U314">
        <f>IF($C314="",0,IF(AND(ISNUMBER($S314),ISNUMBER($T314)),MAX(0,$T314)*$G314,0))</f>
        <v/>
      </c>
      <c r="V314">
        <f>IF($C314="",0,IF($M314="",0,MAX(0,$M314)*MAX(0,V$4)/100))</f>
        <v/>
      </c>
      <c r="W314">
        <f>IF($C314="",0,IF($M314="",0,MAX(0,$M314)*MAX(0,W$4)/100))</f>
        <v/>
      </c>
      <c r="X314">
        <f>IF($C314="",0,IF($M314="",0,MAX(0,$M314)*MAX(0,X$4)/100))</f>
        <v/>
      </c>
      <c r="Y314">
        <f>IF($C314="",0,IF($M314="",0,MAX(0,$M314)*MAX(0,Y$4)/100))</f>
        <v/>
      </c>
      <c r="Z314">
        <f>IF($C314="",0,IF($M314="",0,MAX(0,$M314)*MAX(0,Z$4)/100))</f>
        <v/>
      </c>
      <c r="AA314">
        <f>IF($C314="",0,IF($M314="",0,MAX(0,$M314)*MAX(0,AA$4)/100))</f>
        <v/>
      </c>
      <c r="AB314">
        <f>IF($C314="",0,IF($M314="",0,MAX(0,$M314)*MAX(0,AB$4)/100))</f>
        <v/>
      </c>
      <c r="AC314">
        <f>IF($C314="",0,IF($M314="",0,MAX(0,$M314)*MAX(0,AC$4)/100))</f>
        <v/>
      </c>
      <c r="AD314">
        <f>IF($C314="",0,IF($M314="",0,MAX(0,$M314)*MAX(0,AD$4)/100))</f>
        <v/>
      </c>
      <c r="AE314">
        <f>IF($C314="",0,IF($M314="",0,MAX(0,$M314)*MAX(0,AE$4)/100))</f>
        <v/>
      </c>
      <c r="AF314">
        <f>IF($C314="",0,IF($M314="",0,MAX(0,$M314)*MAX(0,AF$4)/100))</f>
        <v/>
      </c>
      <c r="AG314">
        <f>IF($C314="",0,IF($M314="",0,MAX(0,$M314)*MAX(0,AG$4)/100))</f>
        <v/>
      </c>
      <c r="AH314">
        <f>IF($C314="",0,IF($M314="",0,MAX(0,$M314)*MAX(0,AH$4)/100))</f>
        <v/>
      </c>
      <c r="AI314">
        <f>IF($C314="",0,IF($M314="",0,MAX(0,$M314)*MAX(0,AI$4)/100))</f>
        <v/>
      </c>
      <c r="AJ314">
        <f>IF($C314="",0,MAX(0,MAX(0,N($L314))-$V314))</f>
        <v/>
      </c>
      <c r="AK314">
        <f>IF($C314="",0,MAX(0,$AJ314-$W314))</f>
        <v/>
      </c>
      <c r="AL314">
        <f>IF($C314="",0,MAX(0,$AK314-$X314))</f>
        <v/>
      </c>
      <c r="AM314">
        <f>IF($C314="",0,MAX(0,$AL314-$Y314))</f>
        <v/>
      </c>
      <c r="AN314">
        <f>IF($C314="",0,MAX(0,$AM314-$Z314))</f>
        <v/>
      </c>
      <c r="AO314">
        <f>IF($C314="",0,MAX(0,$AN314-$AA314))</f>
        <v/>
      </c>
      <c r="AP314">
        <f>IF($C314="",0,MAX(0,$AO314-$AB314))</f>
        <v/>
      </c>
      <c r="AQ314">
        <f>IF($C314="",0,MAX(0,$AP314-$AC314))</f>
        <v/>
      </c>
      <c r="AR314">
        <f>IF($C314="",0,MAX(0,$AQ314-$AD314))</f>
        <v/>
      </c>
      <c r="AS314">
        <f>IF($C314="",0,MAX(0,$AR314-$AE314))</f>
        <v/>
      </c>
      <c r="AT314">
        <f>IF($C314="",0,MAX(0,$AS314-$AF314))</f>
        <v/>
      </c>
      <c r="AU314">
        <f>IF($C314="",0,MAX(0,$AT314-$AG314))</f>
        <v/>
      </c>
      <c r="AV314">
        <f>IF($C314="",0,MAX(0,$AU314-$AH314))</f>
        <v/>
      </c>
      <c r="AW314">
        <f>IF($C314="",0,MAX(0,$AV314-$AI314))</f>
        <v/>
      </c>
      <c r="AX314">
        <f>IF($C314="",0,MAX(0,MAX(0,N($L314))+IF($P314=V$3,$R314,0)+IF($S314=V$3,$U314,0)-$V314))</f>
        <v/>
      </c>
      <c r="AY314">
        <f>IF($C314="",0,MAX(0,$AX314+IF($P314=W$3,$R314,0)+IF($S314=W$3,$U314,0)-$W314))</f>
        <v/>
      </c>
      <c r="AZ314">
        <f>IF($C314="",0,MAX(0,$AY314+IF($P314=X$3,$R314,0)+IF($S314=X$3,$U314,0)-$X314))</f>
        <v/>
      </c>
      <c r="BA314">
        <f>IF($C314="",0,MAX(0,$AZ314+IF($P314=Y$3,$R314,0)+IF($S314=Y$3,$U314,0)-$Y314))</f>
        <v/>
      </c>
      <c r="BB314">
        <f>IF($C314="",0,MAX(0,$BA314+IF($P314=Z$3,$R314,0)+IF($S314=Z$3,$U314,0)-$Z314))</f>
        <v/>
      </c>
      <c r="BC314">
        <f>IF($C314="",0,MAX(0,$BB314+IF($P314=AA$3,$R314,0)+IF($S314=AA$3,$U314,0)-$AA314))</f>
        <v/>
      </c>
      <c r="BD314">
        <f>IF($C314="",0,MAX(0,$BC314+IF($P314=AB$3,$R314,0)+IF($S314=AB$3,$U314,0)-$AB314))</f>
        <v/>
      </c>
      <c r="BE314">
        <f>IF($C314="",0,MAX(0,$BD314+IF($P314=AC$3,$R314,0)+IF($S314=AC$3,$U314,0)-$AC314))</f>
        <v/>
      </c>
      <c r="BF314">
        <f>IF($C314="",0,MAX(0,$BE314+IF($P314=AD$3,$R314,0)+IF($S314=AD$3,$U314,0)-$AD314))</f>
        <v/>
      </c>
      <c r="BG314">
        <f>IF($C314="",0,MAX(0,$BF314+IF($P314=AE$3,$R314,0)+IF($S314=AE$3,$U314,0)-$AE314))</f>
        <v/>
      </c>
      <c r="BH314">
        <f>IF($C314="",0,MAX(0,$BG314+IF($P314=AF$3,$R314,0)+IF($S314=AF$3,$U314,0)-$AF314))</f>
        <v/>
      </c>
      <c r="BI314">
        <f>IF($C314="",0,MAX(0,$BH314+IF($P314=AG$3,$R314,0)+IF($S314=AG$3,$U314,0)-$AG314))</f>
        <v/>
      </c>
      <c r="BJ314">
        <f>IF($C314="",0,MAX(0,$BI314+IF($P314=AH$3,$R314,0)+IF($S314=AH$3,$U314,0)-$AH314))</f>
        <v/>
      </c>
      <c r="BK314">
        <f>IF($C314="",0,MAX(0,$BJ314+IF($P314=AI$3,$R314,0)+IF($S314=AI$3,$U314,0)-$AI314))</f>
        <v/>
      </c>
      <c r="BL314">
        <f>IF($C314="",99,IF(AND($AX314&lt;1,V$3&gt;=MAX(N($P314),N($S314))),0,99))</f>
        <v/>
      </c>
      <c r="BM314">
        <f>IF($C314="",99,IF(AND($AY314&lt;1,W$3&gt;=MAX(N($P314),N($S314))),1,99))</f>
        <v/>
      </c>
      <c r="BN314">
        <f>IF($C314="",99,IF(AND($AZ314&lt;1,X$3&gt;=MAX(N($P314),N($S314))),2,99))</f>
        <v/>
      </c>
      <c r="BO314">
        <f>IF($C314="",99,IF(AND($BA314&lt;1,Y$3&gt;=MAX(N($P314),N($S314))),3,99))</f>
        <v/>
      </c>
      <c r="BP314">
        <f>IF($C314="",99,IF(AND($BB314&lt;1,Z$3&gt;=MAX(N($P314),N($S314))),4,99))</f>
        <v/>
      </c>
      <c r="BQ314">
        <f>IF($C314="",99,IF(AND($BC314&lt;1,AA$3&gt;=MAX(N($P314),N($S314))),5,99))</f>
        <v/>
      </c>
      <c r="BR314">
        <f>IF($C314="",99,IF(AND($BD314&lt;1,AB$3&gt;=MAX(N($P314),N($S314))),6,99))</f>
        <v/>
      </c>
      <c r="BS314">
        <f>IF($C314="",99,IF(AND($BE314&lt;1,AC$3&gt;=MAX(N($P314),N($S314))),7,99))</f>
        <v/>
      </c>
      <c r="BT314">
        <f>IF($C314="",99,IF(AND($BF314&lt;1,AD$3&gt;=MAX(N($P314),N($S314))),8,99))</f>
        <v/>
      </c>
      <c r="BU314">
        <f>IF($C314="",99,IF(AND($BG314&lt;1,AE$3&gt;=MAX(N($P314),N($S314))),9,99))</f>
        <v/>
      </c>
      <c r="BV314">
        <f>IF($C314="",99,IF(AND($BH314&lt;1,AF$3&gt;=MAX(N($P314),N($S314))),10,99))</f>
        <v/>
      </c>
      <c r="BW314">
        <f>IF($C314="",99,IF(AND($BI314&lt;1,AG$3&gt;=MAX(N($P314),N($S314))),11,99))</f>
        <v/>
      </c>
      <c r="BX314">
        <f>IF($C314="",99,IF(AND($BJ314&lt;1,AH$3&gt;=MAX(N($P314),N($S314))),12,99))</f>
        <v/>
      </c>
      <c r="BY314">
        <f>IF($C314="",99,IF(AND($BK314&lt;1,AI$3&gt;=MAX(N($P314),N($S314))),13,99))</f>
        <v/>
      </c>
      <c r="BZ314">
        <f>IF(OR($C314="",$M314=""),"",COUNTIF($AJ314:$AW314,"&gt;=1"))</f>
        <v/>
      </c>
      <c r="CA314" s="90">
        <f>IF($BZ314="","",IF($BZ314&gt;=14,"",'設定'!$C$6+$BZ314))</f>
        <v/>
      </c>
      <c r="CB314">
        <f>IF(OR($C314="",$M314=""),"",MIN($BL314:$BY314))</f>
        <v/>
      </c>
      <c r="CC314" s="90">
        <f>IF($CB314="","",IF($CB314&gt;=99,"",'設定'!$C$6+$CB314))</f>
        <v/>
      </c>
      <c r="CD314">
        <f>IF(OR($C314="",$M314=""),"",AVERAGE($V314:$AI314))</f>
        <v/>
      </c>
      <c r="CE314">
        <f>IF($C314="","",IFERROR(IF(MATCH(IF(ISNUMBER($P314),$P314,'設定'!$C$6+N('設定'!$C$7)),$V$3:$AI$3,0)=1,MAX(0,N($L314)),INDEX($AJ314:$AW314,MATCH(IF(ISNUMBER($P314),$P314,'設定'!$C$6+N('設定'!$C$7)),$V$3:$AI$3,0)-1)),""))</f>
        <v/>
      </c>
      <c r="CF314">
        <f>IF(OR($C314="",$O314="",$CE314=""),"",IF($O314-$CE314&lt;=0,0,ROUNDUP(($O314-$CE314)/$G314,0)))</f>
        <v/>
      </c>
      <c r="CG314">
        <f>IF(OR($C314="",$CF314="",NOT(ISNUMBER($Q314))),0,MAX(0,$Q314-$CF314))</f>
        <v/>
      </c>
      <c r="CH314">
        <f>IF(OR($C314="",$O314="",$U314=0),0,IFERROR(ROUNDUP(MAX(0,IF(MATCH($S314,$V$3:$AI$3,0)=1,MAX(0,N($L314)),INDEX($AX314:$BK314,MATCH($S314,$V$3:$AI$3,0)-1))+$U314-$O314)/$G314,0),0))</f>
        <v/>
      </c>
      <c r="CI314">
        <f>IF($C314="","",IF(AND($P314="",$Q314=""),"",IF($P314="","⚠ 入庫日を ▼ から選んでください",IF(NOT(ISNUMBER($P314)),"⚠ 入庫日は ▼ から選んでください",IF($P314&lt;N('設定'!$C$6),"⚠ 入庫日が過去です（もう在庫に入っています）→ 消してください",IF($P314&gt;N('設定'!$C$6)+13,"⚠ 入庫日が14日より先です",IF(N($Q314)&lt;=0,"⚠ 入庫数を入れてください",IF($CG314&gt;0,"⚠ 目安より "&amp;$CG314&amp;" 多い（定数を超える）→ 減らす",""))))))))</f>
        <v/>
      </c>
      <c r="CJ314">
        <f>IF($C314="","",IF(AND($S314="",$T314=""),"",IF($S314="","⚠ 2便目：入庫日を ▼ から選んでください",IF(NOT(ISNUMBER($S314)),"⚠ 2便目：入庫日は ▼ から選んでください",IF($S314&lt;N('設定'!$C$6),"⚠ 2便目：入庫日が過去です（もう在庫に入っています）→ 消してください",IF($S314&gt;N('設定'!$C$6)+13,"⚠ 2便目：入庫日が14日より先です",IF(N($T314)&lt;=0,"⚠ 2便目：入庫数を入れてください",IF($CH314&gt;0,"⚠ 2便目：定数を "&amp;$CH314&amp;" ケース超える → 減らす",""))))))))</f>
        <v/>
      </c>
      <c r="CK314">
        <f>IF(AND($CI314="",N($Q314)&gt;0,ISNUMBER($P314)),1,0)</f>
        <v/>
      </c>
      <c r="CL314">
        <f>IF(AND($CJ314="",N($T314)&gt;0,ISNUMBER($S314)),1,0)</f>
        <v/>
      </c>
      <c r="CM314">
        <f>IF(OR($CK314=1,$CL314=1),1,0)</f>
        <v/>
      </c>
      <c r="CN314">
        <f>IF($C314="",0,($CK314*$R314+$CL314*$U314)*N($H314))</f>
        <v/>
      </c>
      <c r="CO314">
        <f>IF($C314="","",IF($CC314="","入庫後は 14日以上もつ",IF($CC314-N('設定'!$C$7)&lt;='設定'!$C$6,"入庫後も "&amp;TEXT($CC314,"m/d")&amp;"("&amp;CHOOSE(WEEKDAY($CC314),"日","月","火","水","木","金","土")&amp;")"&amp;" に切れる　もう1便を至急発注","入庫後も "&amp;TEXT($CC314,"m/d")&amp;"("&amp;CHOOSE(WEEKDAY($CC314),"日","月","火","水","木","金","土")&amp;")"&amp;" に切れる　"&amp;TEXT($CC314-N('設定'!$C$7),"m/d")&amp;"("&amp;CHOOSE(WEEKDAY($CC314-N('設定'!$C$7)),"日","月","火","水","木","金","土")&amp;")"&amp;" までに次を発注")))</f>
        <v/>
      </c>
      <c r="CP314">
        <f>IF($C314="","",IF('設定'!$C$6="","？ ①在庫を貼る に今日のCSVが貼られていない",IF($CS314=1,"－ 今日のCSVに無い（終売？）",IF($L314&lt;0,"● 在庫がマイナス　数えて「数えた在庫」に入れる",IF($L314=0,"● 在庫なし　至急発注",IF($M314="","？ 減り数が未設定（商品マスタ）",IF($B$3=0,"？ 動員が未入力（動員を入れる）",IF($CA314="","○ 14日以上もつ",IF($BZ314&lt;N('設定'!$C$7),"● "&amp;TEXT($CA314,"m/d")&amp;"("&amp;CHOOSE(WEEKDAY($CA314),"日","月","火","水","木","金","土")&amp;")"&amp;" に切れる　至急発注",IF($BZ314=N('設定'!$C$7),"● "&amp;TEXT($CA314,"m/d")&amp;"("&amp;CHOOSE(WEEKDAY($CA314),"日","月","火","水","木","金","土")&amp;")"&amp;" に切れる　今日発注","△ "&amp;TEXT($CA314,"m/d")&amp;"("&amp;CHOOSE(WEEKDAY($CA314),"日","月","火","水","木","金","土")&amp;")"&amp;" に切れる　"&amp;TEXT($CA314-N('設定'!$C$7),"m/d")&amp;"("&amp;CHOOSE(WEEKDAY($CA314-N('設定'!$C$7)),"日","月","火","水","木","金","土")&amp;")"&amp;" までに発注"))))))))))</f>
        <v/>
      </c>
      <c r="CQ314">
        <f>IF($C314="","",IF(AND($P314="",$Q314="",$S314="",$T314=""),"",IF(AND($P314="",$Q314=""),"⚠ 先に1便目（左の入庫日・入庫数）に入れてください",IF($CI314&lt;&gt;"",$CI314,IF($CJ314&lt;&gt;"",$CJ314,IF($M314="","？ 減り数が未設定（発注書には載ります）",IF($B$3=0,"？ 動員が未入力（発注書には載ります）",IF(AND($CA314&lt;&gt;"",$P314&gt;$CA314),IF($P314&gt;'設定'!$C$6+N('設定'!$C$7),"● "&amp;TEXT($P314,"m/d")&amp;"("&amp;CHOOSE(WEEKDAY($P314),"日","月","火","水","木","金","土")&amp;")"&amp;" の入庫では間に合わない（"&amp;TEXT($CA314,"m/d")&amp;"("&amp;CHOOSE(WEEKDAY($CA314),"日","月","火","水","木","金","土")&amp;")"&amp;" に切れる）　入庫日を早める","△ 欠品 "&amp;TEXT($CA314,"m/d")&amp;"("&amp;CHOOSE(WEEKDAY($CA314),"日","月","火","水","木","金","土")&amp;")"&amp;"〜"&amp;TEXT($P314-1,"m/d")&amp;"("&amp;CHOOSE(WEEKDAY($P314-1),"日","月","火","水","木","金","土")&amp;")"&amp;"　"&amp;$CO314),IF($CC314="","○ "&amp;TEXT($P314,"m/d")&amp;"("&amp;CHOOSE(WEEKDAY($P314),"日","月","火","水","木","金","土")&amp;")"&amp;" 入庫で 14日以上もつ",IF($CC314-N('設定'!$C$7)&lt;='設定'!$C$6,"● 入庫しても "&amp;TEXT($CC314,"m/d")&amp;"("&amp;CHOOSE(WEEKDAY($CC314),"日","月","火","水","木","金","土")&amp;")"&amp;" に切れる　もう1便を至急発注（2便目に入れる）","△ 入庫しても "&amp;TEXT($CC314,"m/d")&amp;"("&amp;CHOOSE(WEEKDAY($CC314),"日","月","火","水","木","金","土")&amp;")"&amp;" に切れる　"&amp;TEXT($CC314-N('設定'!$C$7),"m/d")&amp;"("&amp;CHOOSE(WEEKDAY($CC314-N('設定'!$C$7)),"日","月","火","水","木","金","土")&amp;")"&amp;" までに次を発注（2便目に入れる）"))))))))))</f>
        <v/>
      </c>
      <c r="CR314">
        <f>IF($C314="","",IF($G314&gt;1,"ｹｰｽ("&amp;$G314&amp;"入)","個"))</f>
        <v/>
      </c>
      <c r="CS314">
        <f>IF($C314="",0,IF(COUNTIFS('①在庫を貼る'!$V$6:$V$10005,'設定'!$C$4,'①在庫を貼る'!$W$6:$W$10005,$C314)=0,1,0))</f>
        <v/>
      </c>
      <c r="CT314">
        <f>IF(AND($CK314=1,OR('③発注書'!$C$4="すべて",'③発注書'!$C$4="",$F314='③発注書'!$C$4)),N($CT313)+1,N($CT313))</f>
        <v/>
      </c>
      <c r="CU314">
        <f>IF(AND($CL314=1,OR('③発注書'!$C$4="すべて",'③発注書'!$C$4="",$F314='③発注書'!$C$4)),N($CU313)+1,N($CU313))</f>
        <v/>
      </c>
      <c r="CV314">
        <f>IF($C314="",0,IF(COUNTIFS('①在庫を貼る'!$V$6:$V$10005,'設定'!$C$4,'①在庫を貼る'!$W$6:$W$10005,$C314)&gt;0,1,0))</f>
        <v/>
      </c>
      <c r="CW314">
        <f>IF($C314="",0,IF(COUNTIFS('月1回_1ヶ月前の在庫'!$V$6:$V$10005,'設定'!$C$4,'月1回_1ヶ月前の在庫'!$W$6:$W$10005,$C314)&gt;0,1,0))</f>
        <v/>
      </c>
      <c r="CX314">
        <f>IF($C314="",0,IF(COUNTIFS('月1回_2ヶ月前の在庫'!$V$6:$V$10005,'設定'!$C$4,'月1回_2ヶ月前の在庫'!$W$6:$W$10005,$C314)&gt;0,1,0))</f>
        <v/>
      </c>
      <c r="CY314">
        <f>IF(OR($C314="",'設定'!$C$12=""),"",IF('設定'!$C$13="",IF(AND($CV314=1,$CW314=0),"新商品（今月から）",IF(AND($CV314=0,$CW314=1),"終売（今月から）","")),IF(AND($CV314=1,$CW314=0,$CX314=0),"新商品（今月から）",IF(AND($CV314=1,$CW314=1,$CX314=0),"新商品（先月から）",IF(AND($CV314=0,$CW314=1,$CX314=1),"終売（今月から）",IF(AND($CV314=0,$CW314=0,$CX314=1),"終売（先月から）",IF(AND($CV314=1,$CW314=0,$CX314=1),"復活（先月は無し）","")))))))</f>
        <v/>
      </c>
    </row>
    <row r="315">
      <c r="B315">
        <f>IF(310&lt;='設定'!$C$11,310,"")</f>
        <v/>
      </c>
      <c r="C315">
        <f>IF($B315="","",IF($B315&lt;='設定'!$C$20,INDEX('商品マスタ'!$B$6:$B$1005,MATCH($B315,'商品マスタ'!$M$6:$M$1005,0)),IF($B315&lt;='設定'!$C$20+'設定'!$C$17,INDEX('①在庫を貼る'!$W$6:$W$10005,MATCH($B315-'設定'!$C$20,'①在庫を貼る'!$U$6:$U$10005,0)),IF($B315&lt;='設定'!$C$20+'設定'!$C$17+'設定'!$C$18,INDEX('月1回_1ヶ月前の在庫'!$W$6:$W$10005,MATCH($B315-'設定'!$C$20-'設定'!$C$17,'月1回_1ヶ月前の在庫'!$U$6:$U$10005,0)),INDEX('月1回_2ヶ月前の在庫'!$W$6:$W$10005,MATCH($B315-'設定'!$C$20-'設定'!$C$17-'設定'!$C$18,'月1回_2ヶ月前の在庫'!$U$6:$U$10005,0))))))</f>
        <v/>
      </c>
      <c r="D315">
        <f>IF($C315="","",IFERROR(IF(INDEX('商品マスタ'!$C$6:$C$1005,MATCH($C315,'商品マスタ'!$B$6:$B$1005,0))="",IFERROR(INDEX('①在庫を貼る'!$J$6:$J$10005,MATCH($C315,'①在庫を貼る'!$W$6:$W$10005,0)),IFERROR(INDEX('月1回_1ヶ月前の在庫'!$J$6:$J$10005,MATCH($C315,'月1回_1ヶ月前の在庫'!$W$6:$W$10005,0)),IFERROR(INDEX('月1回_2ヶ月前の在庫'!$J$6:$J$10005,MATCH($C315,'月1回_2ヶ月前の在庫'!$W$6:$W$10005,0)),""))),INDEX('商品マスタ'!$C$6:$C$1005,MATCH($C315,'商品マスタ'!$B$6:$B$1005,0))),IFERROR(INDEX('①在庫を貼る'!$J$6:$J$10005,MATCH($C315,'①在庫を貼る'!$W$6:$W$10005,0)),IFERROR(INDEX('月1回_1ヶ月前の在庫'!$J$6:$J$10005,MATCH($C315,'月1回_1ヶ月前の在庫'!$W$6:$W$10005,0)),IFERROR(INDEX('月1回_2ヶ月前の在庫'!$J$6:$J$10005,MATCH($C315,'月1回_2ヶ月前の在庫'!$W$6:$W$10005,0)),"")))))</f>
        <v/>
      </c>
      <c r="E315">
        <f>IF($C315="","",IFERROR(IF(INDEX('商品マスタ'!$D$6:$D$1005,MATCH($C315,'商品マスタ'!$B$6:$B$1005,0))="",IFERROR(INDEX('①在庫を貼る'!$H$6:$H$10005,MATCH($C315,'①在庫を貼る'!$W$6:$W$10005,0)),IFERROR(INDEX('月1回_1ヶ月前の在庫'!$H$6:$H$10005,MATCH($C315,'月1回_1ヶ月前の在庫'!$W$6:$W$10005,0)),IFERROR(INDEX('月1回_2ヶ月前の在庫'!$H$6:$H$10005,MATCH($C315,'月1回_2ヶ月前の在庫'!$W$6:$W$10005,0)),""))),INDEX('商品マスタ'!$D$6:$D$1005,MATCH($C315,'商品マスタ'!$B$6:$B$1005,0))),IFERROR(INDEX('①在庫を貼る'!$H$6:$H$10005,MATCH($C315,'①在庫を貼る'!$W$6:$W$10005,0)),IFERROR(INDEX('月1回_1ヶ月前の在庫'!$H$6:$H$10005,MATCH($C315,'月1回_1ヶ月前の在庫'!$W$6:$W$10005,0)),IFERROR(INDEX('月1回_2ヶ月前の在庫'!$H$6:$H$10005,MATCH($C315,'月1回_2ヶ月前の在庫'!$W$6:$W$10005,0)),"")))))</f>
        <v/>
      </c>
      <c r="F315">
        <f>IF($C315="","",IFERROR(IF(INDEX('商品マスタ'!$E$6:$E$1005,MATCH($C315,'商品マスタ'!$B$6:$B$1005,0))="",IFERROR(INDEX('①在庫を貼る'!$E$6:$E$10005,MATCH($C315,'①在庫を貼る'!$W$6:$W$10005,0)),IFERROR(INDEX('月1回_1ヶ月前の在庫'!$E$6:$E$10005,MATCH($C315,'月1回_1ヶ月前の在庫'!$W$6:$W$10005,0)),IFERROR(INDEX('月1回_2ヶ月前の在庫'!$E$6:$E$10005,MATCH($C315,'月1回_2ヶ月前の在庫'!$W$6:$W$10005,0)),""))),INDEX('商品マスタ'!$E$6:$E$1005,MATCH($C315,'商品マスタ'!$B$6:$B$1005,0))),IFERROR(INDEX('①在庫を貼る'!$E$6:$E$10005,MATCH($C315,'①在庫を貼る'!$W$6:$W$10005,0)),IFERROR(INDEX('月1回_1ヶ月前の在庫'!$E$6:$E$10005,MATCH($C315,'月1回_1ヶ月前の在庫'!$W$6:$W$10005,0)),IFERROR(INDEX('月1回_2ヶ月前の在庫'!$E$6:$E$10005,MATCH($C315,'月1回_2ヶ月前の在庫'!$W$6:$W$10005,0)),"")))))</f>
        <v/>
      </c>
      <c r="G315">
        <f>IF($C315="","",MAX(1,N(IFERROR(IF(INDEX('商品マスタ'!$F$6:$F$1005,MATCH($C315,'商品マスタ'!$B$6:$B$1005,0))="",IF(COUNTIFS('①在庫を貼る'!$V$6:$V$10005,'設定'!$C$4,'①在庫を貼る'!$W$6:$W$10005,$C315)&gt;0,SUMIFS('①在庫を貼る'!$K$6:$K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K$6:$K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K$6:$K$10005,'月1回_2ヶ月前の在庫'!$V$6:$V$10005,'設定'!$C$4,'月1回_2ヶ月前の在庫'!$W$6:$W$10005,$C315)/COUNTIFS('月1回_2ヶ月前の在庫'!$V$6:$V$10005,'設定'!$C$4,'月1回_2ヶ月前の在庫'!$W$6:$W$10005,$C315),0))),INDEX('商品マスタ'!$F$6:$F$1005,MATCH($C315,'商品マスタ'!$B$6:$B$1005,0))),IF(COUNTIFS('①在庫を貼る'!$V$6:$V$10005,'設定'!$C$4,'①在庫を貼る'!$W$6:$W$10005,$C315)&gt;0,SUMIFS('①在庫を貼る'!$K$6:$K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K$6:$K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K$6:$K$10005,'月1回_2ヶ月前の在庫'!$V$6:$V$10005,'設定'!$C$4,'月1回_2ヶ月前の在庫'!$W$6:$W$10005,$C315)/COUNTIFS('月1回_2ヶ月前の在庫'!$V$6:$V$10005,'設定'!$C$4,'月1回_2ヶ月前の在庫'!$W$6:$W$10005,$C315),0)))))))</f>
        <v/>
      </c>
      <c r="H315">
        <f>IF($C315="","",N(IFERROR(IF(INDEX('商品マスタ'!$G$6:$G$1005,MATCH($C315,'商品マスタ'!$B$6:$B$1005,0))="",IF(COUNTIFS('①在庫を貼る'!$V$6:$V$10005,'設定'!$C$4,'①在庫を貼る'!$W$6:$W$10005,$C315)&gt;0,SUMIFS('①在庫を貼る'!$Q$6:$Q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Q$6:$Q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Q$6:$Q$10005,'月1回_2ヶ月前の在庫'!$V$6:$V$10005,'設定'!$C$4,'月1回_2ヶ月前の在庫'!$W$6:$W$10005,$C315)/COUNTIFS('月1回_2ヶ月前の在庫'!$V$6:$V$10005,'設定'!$C$4,'月1回_2ヶ月前の在庫'!$W$6:$W$10005,$C315),0))),INDEX('商品マスタ'!$G$6:$G$1005,MATCH($C315,'商品マスタ'!$B$6:$B$1005,0))),IF(COUNTIFS('①在庫を貼る'!$V$6:$V$10005,'設定'!$C$4,'①在庫を貼る'!$W$6:$W$10005,$C315)&gt;0,SUMIFS('①在庫を貼る'!$Q$6:$Q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Q$6:$Q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Q$6:$Q$10005,'月1回_2ヶ月前の在庫'!$V$6:$V$10005,'設定'!$C$4,'月1回_2ヶ月前の在庫'!$W$6:$W$10005,$C315)/COUNTIFS('月1回_2ヶ月前の在庫'!$V$6:$V$10005,'設定'!$C$4,'月1回_2ヶ月前の在庫'!$W$6:$W$10005,$C315),0))))))</f>
        <v/>
      </c>
      <c r="I315">
        <f>IF($C315="","",IF(COUNTIFS('①在庫を貼る'!$V$6:$V$10005,'設定'!$C$4,'①在庫を貼る'!$W$6:$W$10005,$C315)=0,"",SUMIFS('①在庫を貼る'!$N$6:$N$10005,'①在庫を貼る'!$V$6:$V$10005,'設定'!$C$4,'①在庫を貼る'!$W$6:$W$10005,$C315)))</f>
        <v/>
      </c>
      <c r="J315">
        <f>IF($C315="","",IF('②発注する'!$AD319="","",'②発注する'!$AD319))</f>
        <v/>
      </c>
      <c r="K315" s="90">
        <f>IF($C315="","",IF('②発注する'!$AE319="","",'②発注する'!$AE319))</f>
        <v/>
      </c>
      <c r="L315">
        <f>IF($C315="","",IF(AND(ISNUMBER($J315),ISNUMBER($K315),$K315&gt;='設定'!$C$6),$J315,N($I315)))</f>
        <v/>
      </c>
      <c r="M315">
        <f>IF($C315="","",IFERROR(IF(N(INDEX('商品マスタ'!$J$6:$J$1005,MATCH($C315,'商品マスタ'!$B$6:$B$1005,0)))&gt;0,INDEX('商品マスタ'!$J$6:$J$1005,MATCH($C315,'商品マスタ'!$B$6:$B$1005,0)),""),""))</f>
        <v/>
      </c>
      <c r="N315">
        <f>IF($C315="","",IFERROR(IF(N(INDEX('商品マスタ'!$H$6:$H$1005,MATCH($C315,'商品マスタ'!$B$6:$B$1005,0)))&gt;0,INDEX('商品マスタ'!$H$6:$H$1005,MATCH($C315,'商品マスタ'!$B$6:$B$1005,0)),""),""))</f>
        <v/>
      </c>
      <c r="O315">
        <f>IF($C315="","",IF($N315&lt;&gt;"",$N315*$G315,IF(N(IF(COUNTIFS('①在庫を貼る'!$V$6:$V$10005,'設定'!$C$4,'①在庫を貼る'!$W$6:$W$10005,$C315)&gt;0,SUMIFS('①在庫を貼る'!$O$6:$O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O$6:$O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O$6:$O$10005,'月1回_2ヶ月前の在庫'!$V$6:$V$10005,'設定'!$C$4,'月1回_2ヶ月前の在庫'!$W$6:$W$10005,$C315)/COUNTIFS('月1回_2ヶ月前の在庫'!$V$6:$V$10005,'設定'!$C$4,'月1回_2ヶ月前の在庫'!$W$6:$W$10005,$C315),0))))&gt;0,N(IF(COUNTIFS('①在庫を貼る'!$V$6:$V$10005,'設定'!$C$4,'①在庫を貼る'!$W$6:$W$10005,$C315)&gt;0,SUMIFS('①在庫を貼る'!$O$6:$O$10005,'①在庫を貼る'!$V$6:$V$10005,'設定'!$C$4,'①在庫を貼る'!$W$6:$W$10005,$C315)/COUNTIFS('①在庫を貼る'!$V$6:$V$10005,'設定'!$C$4,'①在庫を貼る'!$W$6:$W$10005,$C315),IF(COUNTIFS('月1回_1ヶ月前の在庫'!$V$6:$V$10005,'設定'!$C$4,'月1回_1ヶ月前の在庫'!$W$6:$W$10005,$C315)&gt;0,SUMIFS('月1回_1ヶ月前の在庫'!$O$6:$O$10005,'月1回_1ヶ月前の在庫'!$V$6:$V$10005,'設定'!$C$4,'月1回_1ヶ月前の在庫'!$W$6:$W$10005,$C315)/COUNTIFS('月1回_1ヶ月前の在庫'!$V$6:$V$10005,'設定'!$C$4,'月1回_1ヶ月前の在庫'!$W$6:$W$10005,$C315),IF(COUNTIFS('月1回_2ヶ月前の在庫'!$V$6:$V$10005,'設定'!$C$4,'月1回_2ヶ月前の在庫'!$W$6:$W$10005,$C315)&gt;0,SUMIFS('月1回_2ヶ月前の在庫'!$O$6:$O$10005,'月1回_2ヶ月前の在庫'!$V$6:$V$10005,'設定'!$C$4,'月1回_2ヶ月前の在庫'!$W$6:$W$10005,$C315)/COUNTIFS('月1回_2ヶ月前の在庫'!$V$6:$V$10005,'設定'!$C$4,'月1回_2ヶ月前の在庫'!$W$6:$W$10005,$C315),0)))),"")))</f>
        <v/>
      </c>
      <c r="P315" s="90">
        <f>IF($C315="","",IF('②発注する'!$I319="","",'②発注する'!$I319))</f>
        <v/>
      </c>
      <c r="Q315">
        <f>IF($C315="","",IF('②発注する'!$J319="","",'②発注する'!$J319))</f>
        <v/>
      </c>
      <c r="R315">
        <f>IF($C315="",0,IF(AND(ISNUMBER($P315),ISNUMBER($Q315)),MAX(0,$Q315)*$G315,0))</f>
        <v/>
      </c>
      <c r="S315" s="90">
        <f>IF($C315="","",IF('②発注する'!$M319="","",'②発注する'!$M319))</f>
        <v/>
      </c>
      <c r="T315">
        <f>IF($C315="","",IF('②発注する'!$N319="","",'②発注する'!$N319))</f>
        <v/>
      </c>
      <c r="U315">
        <f>IF($C315="",0,IF(AND(ISNUMBER($S315),ISNUMBER($T315)),MAX(0,$T315)*$G315,0))</f>
        <v/>
      </c>
      <c r="V315">
        <f>IF($C315="",0,IF($M315="",0,MAX(0,$M315)*MAX(0,V$4)/100))</f>
        <v/>
      </c>
      <c r="W315">
        <f>IF($C315="",0,IF($M315="",0,MAX(0,$M315)*MAX(0,W$4)/100))</f>
        <v/>
      </c>
      <c r="X315">
        <f>IF($C315="",0,IF($M315="",0,MAX(0,$M315)*MAX(0,X$4)/100))</f>
        <v/>
      </c>
      <c r="Y315">
        <f>IF($C315="",0,IF($M315="",0,MAX(0,$M315)*MAX(0,Y$4)/100))</f>
        <v/>
      </c>
      <c r="Z315">
        <f>IF($C315="",0,IF($M315="",0,MAX(0,$M315)*MAX(0,Z$4)/100))</f>
        <v/>
      </c>
      <c r="AA315">
        <f>IF($C315="",0,IF($M315="",0,MAX(0,$M315)*MAX(0,AA$4)/100))</f>
        <v/>
      </c>
      <c r="AB315">
        <f>IF($C315="",0,IF($M315="",0,MAX(0,$M315)*MAX(0,AB$4)/100))</f>
        <v/>
      </c>
      <c r="AC315">
        <f>IF($C315="",0,IF($M315="",0,MAX(0,$M315)*MAX(0,AC$4)/100))</f>
        <v/>
      </c>
      <c r="AD315">
        <f>IF($C315="",0,IF($M315="",0,MAX(0,$M315)*MAX(0,AD$4)/100))</f>
        <v/>
      </c>
      <c r="AE315">
        <f>IF($C315="",0,IF($M315="",0,MAX(0,$M315)*MAX(0,AE$4)/100))</f>
        <v/>
      </c>
      <c r="AF315">
        <f>IF($C315="",0,IF($M315="",0,MAX(0,$M315)*MAX(0,AF$4)/100))</f>
        <v/>
      </c>
      <c r="AG315">
        <f>IF($C315="",0,IF($M315="",0,MAX(0,$M315)*MAX(0,AG$4)/100))</f>
        <v/>
      </c>
      <c r="AH315">
        <f>IF($C315="",0,IF($M315="",0,MAX(0,$M315)*MAX(0,AH$4)/100))</f>
        <v/>
      </c>
      <c r="AI315">
        <f>IF($C315="",0,IF($M315="",0,MAX(0,$M315)*MAX(0,AI$4)/100))</f>
        <v/>
      </c>
      <c r="AJ315">
        <f>IF($C315="",0,MAX(0,MAX(0,N($L315))-$V315))</f>
        <v/>
      </c>
      <c r="AK315">
        <f>IF($C315="",0,MAX(0,$AJ315-$W315))</f>
        <v/>
      </c>
      <c r="AL315">
        <f>IF($C315="",0,MAX(0,$AK315-$X315))</f>
        <v/>
      </c>
      <c r="AM315">
        <f>IF($C315="",0,MAX(0,$AL315-$Y315))</f>
        <v/>
      </c>
      <c r="AN315">
        <f>IF($C315="",0,MAX(0,$AM315-$Z315))</f>
        <v/>
      </c>
      <c r="AO315">
        <f>IF($C315="",0,MAX(0,$AN315-$AA315))</f>
        <v/>
      </c>
      <c r="AP315">
        <f>IF($C315="",0,MAX(0,$AO315-$AB315))</f>
        <v/>
      </c>
      <c r="AQ315">
        <f>IF($C315="",0,MAX(0,$AP315-$AC315))</f>
        <v/>
      </c>
      <c r="AR315">
        <f>IF($C315="",0,MAX(0,$AQ315-$AD315))</f>
        <v/>
      </c>
      <c r="AS315">
        <f>IF($C315="",0,MAX(0,$AR315-$AE315))</f>
        <v/>
      </c>
      <c r="AT315">
        <f>IF($C315="",0,MAX(0,$AS315-$AF315))</f>
        <v/>
      </c>
      <c r="AU315">
        <f>IF($C315="",0,MAX(0,$AT315-$AG315))</f>
        <v/>
      </c>
      <c r="AV315">
        <f>IF($C315="",0,MAX(0,$AU315-$AH315))</f>
        <v/>
      </c>
      <c r="AW315">
        <f>IF($C315="",0,MAX(0,$AV315-$AI315))</f>
        <v/>
      </c>
      <c r="AX315">
        <f>IF($C315="",0,MAX(0,MAX(0,N($L315))+IF($P315=V$3,$R315,0)+IF($S315=V$3,$U315,0)-$V315))</f>
        <v/>
      </c>
      <c r="AY315">
        <f>IF($C315="",0,MAX(0,$AX315+IF($P315=W$3,$R315,0)+IF($S315=W$3,$U315,0)-$W315))</f>
        <v/>
      </c>
      <c r="AZ315">
        <f>IF($C315="",0,MAX(0,$AY315+IF($P315=X$3,$R315,0)+IF($S315=X$3,$U315,0)-$X315))</f>
        <v/>
      </c>
      <c r="BA315">
        <f>IF($C315="",0,MAX(0,$AZ315+IF($P315=Y$3,$R315,0)+IF($S315=Y$3,$U315,0)-$Y315))</f>
        <v/>
      </c>
      <c r="BB315">
        <f>IF($C315="",0,MAX(0,$BA315+IF($P315=Z$3,$R315,0)+IF($S315=Z$3,$U315,0)-$Z315))</f>
        <v/>
      </c>
      <c r="BC315">
        <f>IF($C315="",0,MAX(0,$BB315+IF($P315=AA$3,$R315,0)+IF($S315=AA$3,$U315,0)-$AA315))</f>
        <v/>
      </c>
      <c r="BD315">
        <f>IF($C315="",0,MAX(0,$BC315+IF($P315=AB$3,$R315,0)+IF($S315=AB$3,$U315,0)-$AB315))</f>
        <v/>
      </c>
      <c r="BE315">
        <f>IF($C315="",0,MAX(0,$BD315+IF($P315=AC$3,$R315,0)+IF($S315=AC$3,$U315,0)-$AC315))</f>
        <v/>
      </c>
      <c r="BF315">
        <f>IF($C315="",0,MAX(0,$BE315+IF($P315=AD$3,$R315,0)+IF($S315=AD$3,$U315,0)-$AD315))</f>
        <v/>
      </c>
      <c r="BG315">
        <f>IF($C315="",0,MAX(0,$BF315+IF($P315=AE$3,$R315,0)+IF($S315=AE$3,$U315,0)-$AE315))</f>
        <v/>
      </c>
      <c r="BH315">
        <f>IF($C315="",0,MAX(0,$BG315+IF($P315=AF$3,$R315,0)+IF($S315=AF$3,$U315,0)-$AF315))</f>
        <v/>
      </c>
      <c r="BI315">
        <f>IF($C315="",0,MAX(0,$BH315+IF($P315=AG$3,$R315,0)+IF($S315=AG$3,$U315,0)-$AG315))</f>
        <v/>
      </c>
      <c r="BJ315">
        <f>IF($C315="",0,MAX(0,$BI315+IF($P315=AH$3,$R315,0)+IF($S315=AH$3,$U315,0)-$AH315))</f>
        <v/>
      </c>
      <c r="BK315">
        <f>IF($C315="",0,MAX(0,$BJ315+IF($P315=AI$3,$R315,0)+IF($S315=AI$3,$U315,0)-$AI315))</f>
        <v/>
      </c>
      <c r="BL315">
        <f>IF($C315="",99,IF(AND($AX315&lt;1,V$3&gt;=MAX(N($P315),N($S315))),0,99))</f>
        <v/>
      </c>
      <c r="BM315">
        <f>IF($C315="",99,IF(AND($AY315&lt;1,W$3&gt;=MAX(N($P315),N($S315))),1,99))</f>
        <v/>
      </c>
      <c r="BN315">
        <f>IF($C315="",99,IF(AND($AZ315&lt;1,X$3&gt;=MAX(N($P315),N($S315))),2,99))</f>
        <v/>
      </c>
      <c r="BO315">
        <f>IF($C315="",99,IF(AND($BA315&lt;1,Y$3&gt;=MAX(N($P315),N($S315))),3,99))</f>
        <v/>
      </c>
      <c r="BP315">
        <f>IF($C315="",99,IF(AND($BB315&lt;1,Z$3&gt;=MAX(N($P315),N($S315))),4,99))</f>
        <v/>
      </c>
      <c r="BQ315">
        <f>IF($C315="",99,IF(AND($BC315&lt;1,AA$3&gt;=MAX(N($P315),N($S315))),5,99))</f>
        <v/>
      </c>
      <c r="BR315">
        <f>IF($C315="",99,IF(AND($BD315&lt;1,AB$3&gt;=MAX(N($P315),N($S315))),6,99))</f>
        <v/>
      </c>
      <c r="BS315">
        <f>IF($C315="",99,IF(AND($BE315&lt;1,AC$3&gt;=MAX(N($P315),N($S315))),7,99))</f>
        <v/>
      </c>
      <c r="BT315">
        <f>IF($C315="",99,IF(AND($BF315&lt;1,AD$3&gt;=MAX(N($P315),N($S315))),8,99))</f>
        <v/>
      </c>
      <c r="BU315">
        <f>IF($C315="",99,IF(AND($BG315&lt;1,AE$3&gt;=MAX(N($P315),N($S315))),9,99))</f>
        <v/>
      </c>
      <c r="BV315">
        <f>IF($C315="",99,IF(AND($BH315&lt;1,AF$3&gt;=MAX(N($P315),N($S315))),10,99))</f>
        <v/>
      </c>
      <c r="BW315">
        <f>IF($C315="",99,IF(AND($BI315&lt;1,AG$3&gt;=MAX(N($P315),N($S315))),11,99))</f>
        <v/>
      </c>
      <c r="BX315">
        <f>IF($C315="",99,IF(AND($BJ315&lt;1,AH$3&gt;=MAX(N($P315),N($S315))),12,99))</f>
        <v/>
      </c>
      <c r="BY315">
        <f>IF($C315="",99,IF(AND($BK315&lt;1,AI$3&gt;=MAX(N($P315),N($S315))),13,99))</f>
        <v/>
      </c>
      <c r="BZ315">
        <f>IF(OR($C315="",$M315=""),"",COUNTIF($AJ315:$AW315,"&gt;=1"))</f>
        <v/>
      </c>
      <c r="CA315" s="90">
        <f>IF($BZ315="","",IF($BZ315&gt;=14,"",'設定'!$C$6+$BZ315))</f>
        <v/>
      </c>
      <c r="CB315">
        <f>IF(OR($C315="",$M315=""),"",MIN($BL315:$BY315))</f>
        <v/>
      </c>
      <c r="CC315" s="90">
        <f>IF($CB315="","",IF($CB315&gt;=99,"",'設定'!$C$6+$CB315))</f>
        <v/>
      </c>
      <c r="CD315">
        <f>IF(OR($C315="",$M315=""),"",AVERAGE($V315:$AI315))</f>
        <v/>
      </c>
      <c r="CE315">
        <f>IF($C315="","",IFERROR(IF(MATCH(IF(ISNUMBER($P315),$P315,'設定'!$C$6+N('設定'!$C$7)),$V$3:$AI$3,0)=1,MAX(0,N($L315)),INDEX($AJ315:$AW315,MATCH(IF(ISNUMBER($P315),$P315,'設定'!$C$6+N('設定'!$C$7)),$V$3:$AI$3,0)-1)),""))</f>
        <v/>
      </c>
      <c r="CF315">
        <f>IF(OR($C315="",$O315="",$CE315=""),"",IF($O315-$CE315&lt;=0,0,ROUNDUP(($O315-$CE315)/$G315,0)))</f>
        <v/>
      </c>
      <c r="CG315">
        <f>IF(OR($C315="",$CF315="",NOT(ISNUMBER($Q315))),0,MAX(0,$Q315-$CF315))</f>
        <v/>
      </c>
      <c r="CH315">
        <f>IF(OR($C315="",$O315="",$U315=0),0,IFERROR(ROUNDUP(MAX(0,IF(MATCH($S315,$V$3:$AI$3,0)=1,MAX(0,N($L315)),INDEX($AX315:$BK315,MATCH($S315,$V$3:$AI$3,0)-1))+$U315-$O315)/$G315,0),0))</f>
        <v/>
      </c>
      <c r="CI315">
        <f>IF($C315="","",IF(AND($P315="",$Q315=""),"",IF($P315="","⚠ 入庫日を ▼ から選んでください",IF(NOT(ISNUMBER($P315)),"⚠ 入庫日は ▼ から選んでください",IF($P315&lt;N('設定'!$C$6),"⚠ 入庫日が過去です（もう在庫に入っています）→ 消してください",IF($P315&gt;N('設定'!$C$6)+13,"⚠ 入庫日が14日より先です",IF(N($Q315)&lt;=0,"⚠ 入庫数を入れてください",IF($CG315&gt;0,"⚠ 目安より "&amp;$CG315&amp;" 多い（定数を超える）→ 減らす",""))))))))</f>
        <v/>
      </c>
      <c r="CJ315">
        <f>IF($C315="","",IF(AND($S315="",$T315=""),"",IF($S315="","⚠ 2便目：入庫日を ▼ から選んでください",IF(NOT(ISNUMBER($S315)),"⚠ 2便目：入庫日は ▼ から選んでください",IF($S315&lt;N('設定'!$C$6),"⚠ 2便目：入庫日が過去です（もう在庫に入っています）→ 消してください",IF($S315&gt;N('設定'!$C$6)+13,"⚠ 2便目：入庫日が14日より先です",IF(N($T315)&lt;=0,"⚠ 2便目：入庫数を入れてください",IF($CH315&gt;0,"⚠ 2便目：定数を "&amp;$CH315&amp;" ケース超える → 減らす",""))))))))</f>
        <v/>
      </c>
      <c r="CK315">
        <f>IF(AND($CI315="",N($Q315)&gt;0,ISNUMBER($P315)),1,0)</f>
        <v/>
      </c>
      <c r="CL315">
        <f>IF(AND($CJ315="",N($T315)&gt;0,ISNUMBER($S315)),1,0)</f>
        <v/>
      </c>
      <c r="CM315">
        <f>IF(OR($CK315=1,$CL315=1),1,0)</f>
        <v/>
      </c>
      <c r="CN315">
        <f>IF($C315="",0,($CK315*$R315+$CL315*$U315)*N($H315))</f>
        <v/>
      </c>
      <c r="CO315">
        <f>IF($C315="","",IF($CC315="","入庫後は 14日以上もつ",IF($CC315-N('設定'!$C$7)&lt;='設定'!$C$6,"入庫後も "&amp;TEXT($CC315,"m/d")&amp;"("&amp;CHOOSE(WEEKDAY($CC315),"日","月","火","水","木","金","土")&amp;")"&amp;" に切れる　もう1便を至急発注","入庫後も "&amp;TEXT($CC315,"m/d")&amp;"("&amp;CHOOSE(WEEKDAY($CC315),"日","月","火","水","木","金","土")&amp;")"&amp;" に切れる　"&amp;TEXT($CC315-N('設定'!$C$7),"m/d")&amp;"("&amp;CHOOSE(WEEKDAY($CC315-N('設定'!$C$7)),"日","月","火","水","木","金","土")&amp;")"&amp;" までに次を発注")))</f>
        <v/>
      </c>
      <c r="CP315">
        <f>IF($C315="","",IF('設定'!$C$6="","？ ①在庫を貼る に今日のCSVが貼られていない",IF($CS315=1,"－ 今日のCSVに無い（終売？）",IF($L315&lt;0,"● 在庫がマイナス　数えて「数えた在庫」に入れる",IF($L315=0,"● 在庫なし　至急発注",IF($M315="","？ 減り数が未設定（商品マスタ）",IF($B$3=0,"？ 動員が未入力（動員を入れる）",IF($CA315="","○ 14日以上もつ",IF($BZ315&lt;N('設定'!$C$7),"● "&amp;TEXT($CA315,"m/d")&amp;"("&amp;CHOOSE(WEEKDAY($CA315),"日","月","火","水","木","金","土")&amp;")"&amp;" に切れる　至急発注",IF($BZ315=N('設定'!$C$7),"● "&amp;TEXT($CA315,"m/d")&amp;"("&amp;CHOOSE(WEEKDAY($CA315),"日","月","火","水","木","金","土")&amp;")"&amp;" に切れる　今日発注","△ "&amp;TEXT($CA315,"m/d")&amp;"("&amp;CHOOSE(WEEKDAY($CA315),"日","月","火","水","木","金","土")&amp;")"&amp;" に切れる　"&amp;TEXT($CA315-N('設定'!$C$7),"m/d")&amp;"("&amp;CHOOSE(WEEKDAY($CA315-N('設定'!$C$7)),"日","月","火","水","木","金","土")&amp;")"&amp;" までに発注"))))))))))</f>
        <v/>
      </c>
      <c r="CQ315">
        <f>IF($C315="","",IF(AND($P315="",$Q315="",$S315="",$T315=""),"",IF(AND($P315="",$Q315=""),"⚠ 先に1便目（左の入庫日・入庫数）に入れてください",IF($CI315&lt;&gt;"",$CI315,IF($CJ315&lt;&gt;"",$CJ315,IF($M315="","？ 減り数が未設定（発注書には載ります）",IF($B$3=0,"？ 動員が未入力（発注書には載ります）",IF(AND($CA315&lt;&gt;"",$P315&gt;$CA315),IF($P315&gt;'設定'!$C$6+N('設定'!$C$7),"● "&amp;TEXT($P315,"m/d")&amp;"("&amp;CHOOSE(WEEKDAY($P315),"日","月","火","水","木","金","土")&amp;")"&amp;" の入庫では間に合わない（"&amp;TEXT($CA315,"m/d")&amp;"("&amp;CHOOSE(WEEKDAY($CA315),"日","月","火","水","木","金","土")&amp;")"&amp;" に切れる）　入庫日を早める","△ 欠品 "&amp;TEXT($CA315,"m/d")&amp;"("&amp;CHOOSE(WEEKDAY($CA315),"日","月","火","水","木","金","土")&amp;")"&amp;"〜"&amp;TEXT($P315-1,"m/d")&amp;"("&amp;CHOOSE(WEEKDAY($P315-1),"日","月","火","水","木","金","土")&amp;")"&amp;"　"&amp;$CO315),IF($CC315="","○ "&amp;TEXT($P315,"m/d")&amp;"("&amp;CHOOSE(WEEKDAY($P315),"日","月","火","水","木","金","土")&amp;")"&amp;" 入庫で 14日以上もつ",IF($CC315-N('設定'!$C$7)&lt;='設定'!$C$6,"● 入庫しても "&amp;TEXT($CC315,"m/d")&amp;"("&amp;CHOOSE(WEEKDAY($CC315),"日","月","火","水","木","金","土")&amp;")"&amp;" に切れる　もう1便を至急発注（2便目に入れる）","△ 入庫しても "&amp;TEXT($CC315,"m/d")&amp;"("&amp;CHOOSE(WEEKDAY($CC315),"日","月","火","水","木","金","土")&amp;")"&amp;" に切れる　"&amp;TEXT($CC315-N('設定'!$C$7),"m/d")&amp;"("&amp;CHOOSE(WEEKDAY($CC315-N('設定'!$C$7)),"日","月","火","水","木","金","土")&amp;")"&amp;" までに次を発注（2便目に入れる）"))))))))))</f>
        <v/>
      </c>
      <c r="CR315">
        <f>IF($C315="","",IF($G315&gt;1,"ｹｰｽ("&amp;$G315&amp;"入)","個"))</f>
        <v/>
      </c>
      <c r="CS315">
        <f>IF($C315="",0,IF(COUNTIFS('①在庫を貼る'!$V$6:$V$10005,'設定'!$C$4,'①在庫を貼る'!$W$6:$W$10005,$C315)=0,1,0))</f>
        <v/>
      </c>
      <c r="CT315">
        <f>IF(AND($CK315=1,OR('③発注書'!$C$4="すべて",'③発注書'!$C$4="",$F315='③発注書'!$C$4)),N($CT314)+1,N($CT314))</f>
        <v/>
      </c>
      <c r="CU315">
        <f>IF(AND($CL315=1,OR('③発注書'!$C$4="すべて",'③発注書'!$C$4="",$F315='③発注書'!$C$4)),N($CU314)+1,N($CU314))</f>
        <v/>
      </c>
      <c r="CV315">
        <f>IF($C315="",0,IF(COUNTIFS('①在庫を貼る'!$V$6:$V$10005,'設定'!$C$4,'①在庫を貼る'!$W$6:$W$10005,$C315)&gt;0,1,0))</f>
        <v/>
      </c>
      <c r="CW315">
        <f>IF($C315="",0,IF(COUNTIFS('月1回_1ヶ月前の在庫'!$V$6:$V$10005,'設定'!$C$4,'月1回_1ヶ月前の在庫'!$W$6:$W$10005,$C315)&gt;0,1,0))</f>
        <v/>
      </c>
      <c r="CX315">
        <f>IF($C315="",0,IF(COUNTIFS('月1回_2ヶ月前の在庫'!$V$6:$V$10005,'設定'!$C$4,'月1回_2ヶ月前の在庫'!$W$6:$W$10005,$C315)&gt;0,1,0))</f>
        <v/>
      </c>
      <c r="CY315">
        <f>IF(OR($C315="",'設定'!$C$12=""),"",IF('設定'!$C$13="",IF(AND($CV315=1,$CW315=0),"新商品（今月から）",IF(AND($CV315=0,$CW315=1),"終売（今月から）","")),IF(AND($CV315=1,$CW315=0,$CX315=0),"新商品（今月から）",IF(AND($CV315=1,$CW315=1,$CX315=0),"新商品（先月から）",IF(AND($CV315=0,$CW315=1,$CX315=1),"終売（今月から）",IF(AND($CV315=0,$CW315=0,$CX315=1),"終売（先月から）",IF(AND($CV315=1,$CW315=0,$CX315=1),"復活（先月は無し）","")))))))</f>
        <v/>
      </c>
    </row>
    <row r="316">
      <c r="B316">
        <f>IF(311&lt;='設定'!$C$11,311,"")</f>
        <v/>
      </c>
      <c r="C316">
        <f>IF($B316="","",IF($B316&lt;='設定'!$C$20,INDEX('商品マスタ'!$B$6:$B$1005,MATCH($B316,'商品マスタ'!$M$6:$M$1005,0)),IF($B316&lt;='設定'!$C$20+'設定'!$C$17,INDEX('①在庫を貼る'!$W$6:$W$10005,MATCH($B316-'設定'!$C$20,'①在庫を貼る'!$U$6:$U$10005,0)),IF($B316&lt;='設定'!$C$20+'設定'!$C$17+'設定'!$C$18,INDEX('月1回_1ヶ月前の在庫'!$W$6:$W$10005,MATCH($B316-'設定'!$C$20-'設定'!$C$17,'月1回_1ヶ月前の在庫'!$U$6:$U$10005,0)),INDEX('月1回_2ヶ月前の在庫'!$W$6:$W$10005,MATCH($B316-'設定'!$C$20-'設定'!$C$17-'設定'!$C$18,'月1回_2ヶ月前の在庫'!$U$6:$U$10005,0))))))</f>
        <v/>
      </c>
      <c r="D316">
        <f>IF($C316="","",IFERROR(IF(INDEX('商品マスタ'!$C$6:$C$1005,MATCH($C316,'商品マスタ'!$B$6:$B$1005,0))="",IFERROR(INDEX('①在庫を貼る'!$J$6:$J$10005,MATCH($C316,'①在庫を貼る'!$W$6:$W$10005,0)),IFERROR(INDEX('月1回_1ヶ月前の在庫'!$J$6:$J$10005,MATCH($C316,'月1回_1ヶ月前の在庫'!$W$6:$W$10005,0)),IFERROR(INDEX('月1回_2ヶ月前の在庫'!$J$6:$J$10005,MATCH($C316,'月1回_2ヶ月前の在庫'!$W$6:$W$10005,0)),""))),INDEX('商品マスタ'!$C$6:$C$1005,MATCH($C316,'商品マスタ'!$B$6:$B$1005,0))),IFERROR(INDEX('①在庫を貼る'!$J$6:$J$10005,MATCH($C316,'①在庫を貼る'!$W$6:$W$10005,0)),IFERROR(INDEX('月1回_1ヶ月前の在庫'!$J$6:$J$10005,MATCH($C316,'月1回_1ヶ月前の在庫'!$W$6:$W$10005,0)),IFERROR(INDEX('月1回_2ヶ月前の在庫'!$J$6:$J$10005,MATCH($C316,'月1回_2ヶ月前の在庫'!$W$6:$W$10005,0)),"")))))</f>
        <v/>
      </c>
      <c r="E316">
        <f>IF($C316="","",IFERROR(IF(INDEX('商品マスタ'!$D$6:$D$1005,MATCH($C316,'商品マスタ'!$B$6:$B$1005,0))="",IFERROR(INDEX('①在庫を貼る'!$H$6:$H$10005,MATCH($C316,'①在庫を貼る'!$W$6:$W$10005,0)),IFERROR(INDEX('月1回_1ヶ月前の在庫'!$H$6:$H$10005,MATCH($C316,'月1回_1ヶ月前の在庫'!$W$6:$W$10005,0)),IFERROR(INDEX('月1回_2ヶ月前の在庫'!$H$6:$H$10005,MATCH($C316,'月1回_2ヶ月前の在庫'!$W$6:$W$10005,0)),""))),INDEX('商品マスタ'!$D$6:$D$1005,MATCH($C316,'商品マスタ'!$B$6:$B$1005,0))),IFERROR(INDEX('①在庫を貼る'!$H$6:$H$10005,MATCH($C316,'①在庫を貼る'!$W$6:$W$10005,0)),IFERROR(INDEX('月1回_1ヶ月前の在庫'!$H$6:$H$10005,MATCH($C316,'月1回_1ヶ月前の在庫'!$W$6:$W$10005,0)),IFERROR(INDEX('月1回_2ヶ月前の在庫'!$H$6:$H$10005,MATCH($C316,'月1回_2ヶ月前の在庫'!$W$6:$W$10005,0)),"")))))</f>
        <v/>
      </c>
      <c r="F316">
        <f>IF($C316="","",IFERROR(IF(INDEX('商品マスタ'!$E$6:$E$1005,MATCH($C316,'商品マスタ'!$B$6:$B$1005,0))="",IFERROR(INDEX('①在庫を貼る'!$E$6:$E$10005,MATCH($C316,'①在庫を貼る'!$W$6:$W$10005,0)),IFERROR(INDEX('月1回_1ヶ月前の在庫'!$E$6:$E$10005,MATCH($C316,'月1回_1ヶ月前の在庫'!$W$6:$W$10005,0)),IFERROR(INDEX('月1回_2ヶ月前の在庫'!$E$6:$E$10005,MATCH($C316,'月1回_2ヶ月前の在庫'!$W$6:$W$10005,0)),""))),INDEX('商品マスタ'!$E$6:$E$1005,MATCH($C316,'商品マスタ'!$B$6:$B$1005,0))),IFERROR(INDEX('①在庫を貼る'!$E$6:$E$10005,MATCH($C316,'①在庫を貼る'!$W$6:$W$10005,0)),IFERROR(INDEX('月1回_1ヶ月前の在庫'!$E$6:$E$10005,MATCH($C316,'月1回_1ヶ月前の在庫'!$W$6:$W$10005,0)),IFERROR(INDEX('月1回_2ヶ月前の在庫'!$E$6:$E$10005,MATCH($C316,'月1回_2ヶ月前の在庫'!$W$6:$W$10005,0)),"")))))</f>
        <v/>
      </c>
      <c r="G316">
        <f>IF($C316="","",MAX(1,N(IFERROR(IF(INDEX('商品マスタ'!$F$6:$F$1005,MATCH($C316,'商品マスタ'!$B$6:$B$1005,0))="",IF(COUNTIFS('①在庫を貼る'!$V$6:$V$10005,'設定'!$C$4,'①在庫を貼る'!$W$6:$W$10005,$C316)&gt;0,SUMIFS('①在庫を貼る'!$K$6:$K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K$6:$K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K$6:$K$10005,'月1回_2ヶ月前の在庫'!$V$6:$V$10005,'設定'!$C$4,'月1回_2ヶ月前の在庫'!$W$6:$W$10005,$C316)/COUNTIFS('月1回_2ヶ月前の在庫'!$V$6:$V$10005,'設定'!$C$4,'月1回_2ヶ月前の在庫'!$W$6:$W$10005,$C316),0))),INDEX('商品マスタ'!$F$6:$F$1005,MATCH($C316,'商品マスタ'!$B$6:$B$1005,0))),IF(COUNTIFS('①在庫を貼る'!$V$6:$V$10005,'設定'!$C$4,'①在庫を貼る'!$W$6:$W$10005,$C316)&gt;0,SUMIFS('①在庫を貼る'!$K$6:$K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K$6:$K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K$6:$K$10005,'月1回_2ヶ月前の在庫'!$V$6:$V$10005,'設定'!$C$4,'月1回_2ヶ月前の在庫'!$W$6:$W$10005,$C316)/COUNTIFS('月1回_2ヶ月前の在庫'!$V$6:$V$10005,'設定'!$C$4,'月1回_2ヶ月前の在庫'!$W$6:$W$10005,$C316),0)))))))</f>
        <v/>
      </c>
      <c r="H316">
        <f>IF($C316="","",N(IFERROR(IF(INDEX('商品マスタ'!$G$6:$G$1005,MATCH($C316,'商品マスタ'!$B$6:$B$1005,0))="",IF(COUNTIFS('①在庫を貼る'!$V$6:$V$10005,'設定'!$C$4,'①在庫を貼る'!$W$6:$W$10005,$C316)&gt;0,SUMIFS('①在庫を貼る'!$Q$6:$Q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Q$6:$Q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Q$6:$Q$10005,'月1回_2ヶ月前の在庫'!$V$6:$V$10005,'設定'!$C$4,'月1回_2ヶ月前の在庫'!$W$6:$W$10005,$C316)/COUNTIFS('月1回_2ヶ月前の在庫'!$V$6:$V$10005,'設定'!$C$4,'月1回_2ヶ月前の在庫'!$W$6:$W$10005,$C316),0))),INDEX('商品マスタ'!$G$6:$G$1005,MATCH($C316,'商品マスタ'!$B$6:$B$1005,0))),IF(COUNTIFS('①在庫を貼る'!$V$6:$V$10005,'設定'!$C$4,'①在庫を貼る'!$W$6:$W$10005,$C316)&gt;0,SUMIFS('①在庫を貼る'!$Q$6:$Q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Q$6:$Q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Q$6:$Q$10005,'月1回_2ヶ月前の在庫'!$V$6:$V$10005,'設定'!$C$4,'月1回_2ヶ月前の在庫'!$W$6:$W$10005,$C316)/COUNTIFS('月1回_2ヶ月前の在庫'!$V$6:$V$10005,'設定'!$C$4,'月1回_2ヶ月前の在庫'!$W$6:$W$10005,$C316),0))))))</f>
        <v/>
      </c>
      <c r="I316">
        <f>IF($C316="","",IF(COUNTIFS('①在庫を貼る'!$V$6:$V$10005,'設定'!$C$4,'①在庫を貼る'!$W$6:$W$10005,$C316)=0,"",SUMIFS('①在庫を貼る'!$N$6:$N$10005,'①在庫を貼る'!$V$6:$V$10005,'設定'!$C$4,'①在庫を貼る'!$W$6:$W$10005,$C316)))</f>
        <v/>
      </c>
      <c r="J316">
        <f>IF($C316="","",IF('②発注する'!$AD320="","",'②発注する'!$AD320))</f>
        <v/>
      </c>
      <c r="K316" s="90">
        <f>IF($C316="","",IF('②発注する'!$AE320="","",'②発注する'!$AE320))</f>
        <v/>
      </c>
      <c r="L316">
        <f>IF($C316="","",IF(AND(ISNUMBER($J316),ISNUMBER($K316),$K316&gt;='設定'!$C$6),$J316,N($I316)))</f>
        <v/>
      </c>
      <c r="M316">
        <f>IF($C316="","",IFERROR(IF(N(INDEX('商品マスタ'!$J$6:$J$1005,MATCH($C316,'商品マスタ'!$B$6:$B$1005,0)))&gt;0,INDEX('商品マスタ'!$J$6:$J$1005,MATCH($C316,'商品マスタ'!$B$6:$B$1005,0)),""),""))</f>
        <v/>
      </c>
      <c r="N316">
        <f>IF($C316="","",IFERROR(IF(N(INDEX('商品マスタ'!$H$6:$H$1005,MATCH($C316,'商品マスタ'!$B$6:$B$1005,0)))&gt;0,INDEX('商品マスタ'!$H$6:$H$1005,MATCH($C316,'商品マスタ'!$B$6:$B$1005,0)),""),""))</f>
        <v/>
      </c>
      <c r="O316">
        <f>IF($C316="","",IF($N316&lt;&gt;"",$N316*$G316,IF(N(IF(COUNTIFS('①在庫を貼る'!$V$6:$V$10005,'設定'!$C$4,'①在庫を貼る'!$W$6:$W$10005,$C316)&gt;0,SUMIFS('①在庫を貼る'!$O$6:$O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O$6:$O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O$6:$O$10005,'月1回_2ヶ月前の在庫'!$V$6:$V$10005,'設定'!$C$4,'月1回_2ヶ月前の在庫'!$W$6:$W$10005,$C316)/COUNTIFS('月1回_2ヶ月前の在庫'!$V$6:$V$10005,'設定'!$C$4,'月1回_2ヶ月前の在庫'!$W$6:$W$10005,$C316),0))))&gt;0,N(IF(COUNTIFS('①在庫を貼る'!$V$6:$V$10005,'設定'!$C$4,'①在庫を貼る'!$W$6:$W$10005,$C316)&gt;0,SUMIFS('①在庫を貼る'!$O$6:$O$10005,'①在庫を貼る'!$V$6:$V$10005,'設定'!$C$4,'①在庫を貼る'!$W$6:$W$10005,$C316)/COUNTIFS('①在庫を貼る'!$V$6:$V$10005,'設定'!$C$4,'①在庫を貼る'!$W$6:$W$10005,$C316),IF(COUNTIFS('月1回_1ヶ月前の在庫'!$V$6:$V$10005,'設定'!$C$4,'月1回_1ヶ月前の在庫'!$W$6:$W$10005,$C316)&gt;0,SUMIFS('月1回_1ヶ月前の在庫'!$O$6:$O$10005,'月1回_1ヶ月前の在庫'!$V$6:$V$10005,'設定'!$C$4,'月1回_1ヶ月前の在庫'!$W$6:$W$10005,$C316)/COUNTIFS('月1回_1ヶ月前の在庫'!$V$6:$V$10005,'設定'!$C$4,'月1回_1ヶ月前の在庫'!$W$6:$W$10005,$C316),IF(COUNTIFS('月1回_2ヶ月前の在庫'!$V$6:$V$10005,'設定'!$C$4,'月1回_2ヶ月前の在庫'!$W$6:$W$10005,$C316)&gt;0,SUMIFS('月1回_2ヶ月前の在庫'!$O$6:$O$10005,'月1回_2ヶ月前の在庫'!$V$6:$V$10005,'設定'!$C$4,'月1回_2ヶ月前の在庫'!$W$6:$W$10005,$C316)/COUNTIFS('月1回_2ヶ月前の在庫'!$V$6:$V$10005,'設定'!$C$4,'月1回_2ヶ月前の在庫'!$W$6:$W$10005,$C316),0)))),"")))</f>
        <v/>
      </c>
      <c r="P316" s="90">
        <f>IF($C316="","",IF('②発注する'!$I320="","",'②発注する'!$I320))</f>
        <v/>
      </c>
      <c r="Q316">
        <f>IF($C316="","",IF('②発注する'!$J320="","",'②発注する'!$J320))</f>
        <v/>
      </c>
      <c r="R316">
        <f>IF($C316="",0,IF(AND(ISNUMBER($P316),ISNUMBER($Q316)),MAX(0,$Q316)*$G316,0))</f>
        <v/>
      </c>
      <c r="S316" s="90">
        <f>IF($C316="","",IF('②発注する'!$M320="","",'②発注する'!$M320))</f>
        <v/>
      </c>
      <c r="T316">
        <f>IF($C316="","",IF('②発注する'!$N320="","",'②発注する'!$N320))</f>
        <v/>
      </c>
      <c r="U316">
        <f>IF($C316="",0,IF(AND(ISNUMBER($S316),ISNUMBER($T316)),MAX(0,$T316)*$G316,0))</f>
        <v/>
      </c>
      <c r="V316">
        <f>IF($C316="",0,IF($M316="",0,MAX(0,$M316)*MAX(0,V$4)/100))</f>
        <v/>
      </c>
      <c r="W316">
        <f>IF($C316="",0,IF($M316="",0,MAX(0,$M316)*MAX(0,W$4)/100))</f>
        <v/>
      </c>
      <c r="X316">
        <f>IF($C316="",0,IF($M316="",0,MAX(0,$M316)*MAX(0,X$4)/100))</f>
        <v/>
      </c>
      <c r="Y316">
        <f>IF($C316="",0,IF($M316="",0,MAX(0,$M316)*MAX(0,Y$4)/100))</f>
        <v/>
      </c>
      <c r="Z316">
        <f>IF($C316="",0,IF($M316="",0,MAX(0,$M316)*MAX(0,Z$4)/100))</f>
        <v/>
      </c>
      <c r="AA316">
        <f>IF($C316="",0,IF($M316="",0,MAX(0,$M316)*MAX(0,AA$4)/100))</f>
        <v/>
      </c>
      <c r="AB316">
        <f>IF($C316="",0,IF($M316="",0,MAX(0,$M316)*MAX(0,AB$4)/100))</f>
        <v/>
      </c>
      <c r="AC316">
        <f>IF($C316="",0,IF($M316="",0,MAX(0,$M316)*MAX(0,AC$4)/100))</f>
        <v/>
      </c>
      <c r="AD316">
        <f>IF($C316="",0,IF($M316="",0,MAX(0,$M316)*MAX(0,AD$4)/100))</f>
        <v/>
      </c>
      <c r="AE316">
        <f>IF($C316="",0,IF($M316="",0,MAX(0,$M316)*MAX(0,AE$4)/100))</f>
        <v/>
      </c>
      <c r="AF316">
        <f>IF($C316="",0,IF($M316="",0,MAX(0,$M316)*MAX(0,AF$4)/100))</f>
        <v/>
      </c>
      <c r="AG316">
        <f>IF($C316="",0,IF($M316="",0,MAX(0,$M316)*MAX(0,AG$4)/100))</f>
        <v/>
      </c>
      <c r="AH316">
        <f>IF($C316="",0,IF($M316="",0,MAX(0,$M316)*MAX(0,AH$4)/100))</f>
        <v/>
      </c>
      <c r="AI316">
        <f>IF($C316="",0,IF($M316="",0,MAX(0,$M316)*MAX(0,AI$4)/100))</f>
        <v/>
      </c>
      <c r="AJ316">
        <f>IF($C316="",0,MAX(0,MAX(0,N($L316))-$V316))</f>
        <v/>
      </c>
      <c r="AK316">
        <f>IF($C316="",0,MAX(0,$AJ316-$W316))</f>
        <v/>
      </c>
      <c r="AL316">
        <f>IF($C316="",0,MAX(0,$AK316-$X316))</f>
        <v/>
      </c>
      <c r="AM316">
        <f>IF($C316="",0,MAX(0,$AL316-$Y316))</f>
        <v/>
      </c>
      <c r="AN316">
        <f>IF($C316="",0,MAX(0,$AM316-$Z316))</f>
        <v/>
      </c>
      <c r="AO316">
        <f>IF($C316="",0,MAX(0,$AN316-$AA316))</f>
        <v/>
      </c>
      <c r="AP316">
        <f>IF($C316="",0,MAX(0,$AO316-$AB316))</f>
        <v/>
      </c>
      <c r="AQ316">
        <f>IF($C316="",0,MAX(0,$AP316-$AC316))</f>
        <v/>
      </c>
      <c r="AR316">
        <f>IF($C316="",0,MAX(0,$AQ316-$AD316))</f>
        <v/>
      </c>
      <c r="AS316">
        <f>IF($C316="",0,MAX(0,$AR316-$AE316))</f>
        <v/>
      </c>
      <c r="AT316">
        <f>IF($C316="",0,MAX(0,$AS316-$AF316))</f>
        <v/>
      </c>
      <c r="AU316">
        <f>IF($C316="",0,MAX(0,$AT316-$AG316))</f>
        <v/>
      </c>
      <c r="AV316">
        <f>IF($C316="",0,MAX(0,$AU316-$AH316))</f>
        <v/>
      </c>
      <c r="AW316">
        <f>IF($C316="",0,MAX(0,$AV316-$AI316))</f>
        <v/>
      </c>
      <c r="AX316">
        <f>IF($C316="",0,MAX(0,MAX(0,N($L316))+IF($P316=V$3,$R316,0)+IF($S316=V$3,$U316,0)-$V316))</f>
        <v/>
      </c>
      <c r="AY316">
        <f>IF($C316="",0,MAX(0,$AX316+IF($P316=W$3,$R316,0)+IF($S316=W$3,$U316,0)-$W316))</f>
        <v/>
      </c>
      <c r="AZ316">
        <f>IF($C316="",0,MAX(0,$AY316+IF($P316=X$3,$R316,0)+IF($S316=X$3,$U316,0)-$X316))</f>
        <v/>
      </c>
      <c r="BA316">
        <f>IF($C316="",0,MAX(0,$AZ316+IF($P316=Y$3,$R316,0)+IF($S316=Y$3,$U316,0)-$Y316))</f>
        <v/>
      </c>
      <c r="BB316">
        <f>IF($C316="",0,MAX(0,$BA316+IF($P316=Z$3,$R316,0)+IF($S316=Z$3,$U316,0)-$Z316))</f>
        <v/>
      </c>
      <c r="BC316">
        <f>IF($C316="",0,MAX(0,$BB316+IF($P316=AA$3,$R316,0)+IF($S316=AA$3,$U316,0)-$AA316))</f>
        <v/>
      </c>
      <c r="BD316">
        <f>IF($C316="",0,MAX(0,$BC316+IF($P316=AB$3,$R316,0)+IF($S316=AB$3,$U316,0)-$AB316))</f>
        <v/>
      </c>
      <c r="BE316">
        <f>IF($C316="",0,MAX(0,$BD316+IF($P316=AC$3,$R316,0)+IF($S316=AC$3,$U316,0)-$AC316))</f>
        <v/>
      </c>
      <c r="BF316">
        <f>IF($C316="",0,MAX(0,$BE316+IF($P316=AD$3,$R316,0)+IF($S316=AD$3,$U316,0)-$AD316))</f>
        <v/>
      </c>
      <c r="BG316">
        <f>IF($C316="",0,MAX(0,$BF316+IF($P316=AE$3,$R316,0)+IF($S316=AE$3,$U316,0)-$AE316))</f>
        <v/>
      </c>
      <c r="BH316">
        <f>IF($C316="",0,MAX(0,$BG316+IF($P316=AF$3,$R316,0)+IF($S316=AF$3,$U316,0)-$AF316))</f>
        <v/>
      </c>
      <c r="BI316">
        <f>IF($C316="",0,MAX(0,$BH316+IF($P316=AG$3,$R316,0)+IF($S316=AG$3,$U316,0)-$AG316))</f>
        <v/>
      </c>
      <c r="BJ316">
        <f>IF($C316="",0,MAX(0,$BI316+IF($P316=AH$3,$R316,0)+IF($S316=AH$3,$U316,0)-$AH316))</f>
        <v/>
      </c>
      <c r="BK316">
        <f>IF($C316="",0,MAX(0,$BJ316+IF($P316=AI$3,$R316,0)+IF($S316=AI$3,$U316,0)-$AI316))</f>
        <v/>
      </c>
      <c r="BL316">
        <f>IF($C316="",99,IF(AND($AX316&lt;1,V$3&gt;=MAX(N($P316),N($S316))),0,99))</f>
        <v/>
      </c>
      <c r="BM316">
        <f>IF($C316="",99,IF(AND($AY316&lt;1,W$3&gt;=MAX(N($P316),N($S316))),1,99))</f>
        <v/>
      </c>
      <c r="BN316">
        <f>IF($C316="",99,IF(AND($AZ316&lt;1,X$3&gt;=MAX(N($P316),N($S316))),2,99))</f>
        <v/>
      </c>
      <c r="BO316">
        <f>IF($C316="",99,IF(AND($BA316&lt;1,Y$3&gt;=MAX(N($P316),N($S316))),3,99))</f>
        <v/>
      </c>
      <c r="BP316">
        <f>IF($C316="",99,IF(AND($BB316&lt;1,Z$3&gt;=MAX(N($P316),N($S316))),4,99))</f>
        <v/>
      </c>
      <c r="BQ316">
        <f>IF($C316="",99,IF(AND($BC316&lt;1,AA$3&gt;=MAX(N($P316),N($S316))),5,99))</f>
        <v/>
      </c>
      <c r="BR316">
        <f>IF($C316="",99,IF(AND($BD316&lt;1,AB$3&gt;=MAX(N($P316),N($S316))),6,99))</f>
        <v/>
      </c>
      <c r="BS316">
        <f>IF($C316="",99,IF(AND($BE316&lt;1,AC$3&gt;=MAX(N($P316),N($S316))),7,99))</f>
        <v/>
      </c>
      <c r="BT316">
        <f>IF($C316="",99,IF(AND($BF316&lt;1,AD$3&gt;=MAX(N($P316),N($S316))),8,99))</f>
        <v/>
      </c>
      <c r="BU316">
        <f>IF($C316="",99,IF(AND($BG316&lt;1,AE$3&gt;=MAX(N($P316),N($S316))),9,99))</f>
        <v/>
      </c>
      <c r="BV316">
        <f>IF($C316="",99,IF(AND($BH316&lt;1,AF$3&gt;=MAX(N($P316),N($S316))),10,99))</f>
        <v/>
      </c>
      <c r="BW316">
        <f>IF($C316="",99,IF(AND($BI316&lt;1,AG$3&gt;=MAX(N($P316),N($S316))),11,99))</f>
        <v/>
      </c>
      <c r="BX316">
        <f>IF($C316="",99,IF(AND($BJ316&lt;1,AH$3&gt;=MAX(N($P316),N($S316))),12,99))</f>
        <v/>
      </c>
      <c r="BY316">
        <f>IF($C316="",99,IF(AND($BK316&lt;1,AI$3&gt;=MAX(N($P316),N($S316))),13,99))</f>
        <v/>
      </c>
      <c r="BZ316">
        <f>IF(OR($C316="",$M316=""),"",COUNTIF($AJ316:$AW316,"&gt;=1"))</f>
        <v/>
      </c>
      <c r="CA316" s="90">
        <f>IF($BZ316="","",IF($BZ316&gt;=14,"",'設定'!$C$6+$BZ316))</f>
        <v/>
      </c>
      <c r="CB316">
        <f>IF(OR($C316="",$M316=""),"",MIN($BL316:$BY316))</f>
        <v/>
      </c>
      <c r="CC316" s="90">
        <f>IF($CB316="","",IF($CB316&gt;=99,"",'設定'!$C$6+$CB316))</f>
        <v/>
      </c>
      <c r="CD316">
        <f>IF(OR($C316="",$M316=""),"",AVERAGE($V316:$AI316))</f>
        <v/>
      </c>
      <c r="CE316">
        <f>IF($C316="","",IFERROR(IF(MATCH(IF(ISNUMBER($P316),$P316,'設定'!$C$6+N('設定'!$C$7)),$V$3:$AI$3,0)=1,MAX(0,N($L316)),INDEX($AJ316:$AW316,MATCH(IF(ISNUMBER($P316),$P316,'設定'!$C$6+N('設定'!$C$7)),$V$3:$AI$3,0)-1)),""))</f>
        <v/>
      </c>
      <c r="CF316">
        <f>IF(OR($C316="",$O316="",$CE316=""),"",IF($O316-$CE316&lt;=0,0,ROUNDUP(($O316-$CE316)/$G316,0)))</f>
        <v/>
      </c>
      <c r="CG316">
        <f>IF(OR($C316="",$CF316="",NOT(ISNUMBER($Q316))),0,MAX(0,$Q316-$CF316))</f>
        <v/>
      </c>
      <c r="CH316">
        <f>IF(OR($C316="",$O316="",$U316=0),0,IFERROR(ROUNDUP(MAX(0,IF(MATCH($S316,$V$3:$AI$3,0)=1,MAX(0,N($L316)),INDEX($AX316:$BK316,MATCH($S316,$V$3:$AI$3,0)-1))+$U316-$O316)/$G316,0),0))</f>
        <v/>
      </c>
      <c r="CI316">
        <f>IF($C316="","",IF(AND($P316="",$Q316=""),"",IF($P316="","⚠ 入庫日を ▼ から選んでください",IF(NOT(ISNUMBER($P316)),"⚠ 入庫日は ▼ から選んでください",IF($P316&lt;N('設定'!$C$6),"⚠ 入庫日が過去です（もう在庫に入っています）→ 消してください",IF($P316&gt;N('設定'!$C$6)+13,"⚠ 入庫日が14日より先です",IF(N($Q316)&lt;=0,"⚠ 入庫数を入れてください",IF($CG316&gt;0,"⚠ 目安より "&amp;$CG316&amp;" 多い（定数を超える）→ 減らす",""))))))))</f>
        <v/>
      </c>
      <c r="CJ316">
        <f>IF($C316="","",IF(AND($S316="",$T316=""),"",IF($S316="","⚠ 2便目：入庫日を ▼ から選んでください",IF(NOT(ISNUMBER($S316)),"⚠ 2便目：入庫日は ▼ から選んでください",IF($S316&lt;N('設定'!$C$6),"⚠ 2便目：入庫日が過去です（もう在庫に入っています）→ 消してください",IF($S316&gt;N('設定'!$C$6)+13,"⚠ 2便目：入庫日が14日より先です",IF(N($T316)&lt;=0,"⚠ 2便目：入庫数を入れてください",IF($CH316&gt;0,"⚠ 2便目：定数を "&amp;$CH316&amp;" ケース超える → 減らす",""))))))))</f>
        <v/>
      </c>
      <c r="CK316">
        <f>IF(AND($CI316="",N($Q316)&gt;0,ISNUMBER($P316)),1,0)</f>
        <v/>
      </c>
      <c r="CL316">
        <f>IF(AND($CJ316="",N($T316)&gt;0,ISNUMBER($S316)),1,0)</f>
        <v/>
      </c>
      <c r="CM316">
        <f>IF(OR($CK316=1,$CL316=1),1,0)</f>
        <v/>
      </c>
      <c r="CN316">
        <f>IF($C316="",0,($CK316*$R316+$CL316*$U316)*N($H316))</f>
        <v/>
      </c>
      <c r="CO316">
        <f>IF($C316="","",IF($CC316="","入庫後は 14日以上もつ",IF($CC316-N('設定'!$C$7)&lt;='設定'!$C$6,"入庫後も "&amp;TEXT($CC316,"m/d")&amp;"("&amp;CHOOSE(WEEKDAY($CC316),"日","月","火","水","木","金","土")&amp;")"&amp;" に切れる　もう1便を至急発注","入庫後も "&amp;TEXT($CC316,"m/d")&amp;"("&amp;CHOOSE(WEEKDAY($CC316),"日","月","火","水","木","金","土")&amp;")"&amp;" に切れる　"&amp;TEXT($CC316-N('設定'!$C$7),"m/d")&amp;"("&amp;CHOOSE(WEEKDAY($CC316-N('設定'!$C$7)),"日","月","火","水","木","金","土")&amp;")"&amp;" までに次を発注")))</f>
        <v/>
      </c>
      <c r="CP316">
        <f>IF($C316="","",IF('設定'!$C$6="","？ ①在庫を貼る に今日のCSVが貼られていない",IF($CS316=1,"－ 今日のCSVに無い（終売？）",IF($L316&lt;0,"● 在庫がマイナス　数えて「数えた在庫」に入れる",IF($L316=0,"● 在庫なし　至急発注",IF($M316="","？ 減り数が未設定（商品マスタ）",IF($B$3=0,"？ 動員が未入力（動員を入れる）",IF($CA316="","○ 14日以上もつ",IF($BZ316&lt;N('設定'!$C$7),"● "&amp;TEXT($CA316,"m/d")&amp;"("&amp;CHOOSE(WEEKDAY($CA316),"日","月","火","水","木","金","土")&amp;")"&amp;" に切れる　至急発注",IF($BZ316=N('設定'!$C$7),"● "&amp;TEXT($CA316,"m/d")&amp;"("&amp;CHOOSE(WEEKDAY($CA316),"日","月","火","水","木","金","土")&amp;")"&amp;" に切れる　今日発注","△ "&amp;TEXT($CA316,"m/d")&amp;"("&amp;CHOOSE(WEEKDAY($CA316),"日","月","火","水","木","金","土")&amp;")"&amp;" に切れる　"&amp;TEXT($CA316-N('設定'!$C$7),"m/d")&amp;"("&amp;CHOOSE(WEEKDAY($CA316-N('設定'!$C$7)),"日","月","火","水","木","金","土")&amp;")"&amp;" までに発注"))))))))))</f>
        <v/>
      </c>
      <c r="CQ316">
        <f>IF($C316="","",IF(AND($P316="",$Q316="",$S316="",$T316=""),"",IF(AND($P316="",$Q316=""),"⚠ 先に1便目（左の入庫日・入庫数）に入れてください",IF($CI316&lt;&gt;"",$CI316,IF($CJ316&lt;&gt;"",$CJ316,IF($M316="","？ 減り数が未設定（発注書には載ります）",IF($B$3=0,"？ 動員が未入力（発注書には載ります）",IF(AND($CA316&lt;&gt;"",$P316&gt;$CA316),IF($P316&gt;'設定'!$C$6+N('設定'!$C$7),"● "&amp;TEXT($P316,"m/d")&amp;"("&amp;CHOOSE(WEEKDAY($P316),"日","月","火","水","木","金","土")&amp;")"&amp;" の入庫では間に合わない（"&amp;TEXT($CA316,"m/d")&amp;"("&amp;CHOOSE(WEEKDAY($CA316),"日","月","火","水","木","金","土")&amp;")"&amp;" に切れる）　入庫日を早める","△ 欠品 "&amp;TEXT($CA316,"m/d")&amp;"("&amp;CHOOSE(WEEKDAY($CA316),"日","月","火","水","木","金","土")&amp;")"&amp;"〜"&amp;TEXT($P316-1,"m/d")&amp;"("&amp;CHOOSE(WEEKDAY($P316-1),"日","月","火","水","木","金","土")&amp;")"&amp;"　"&amp;$CO316),IF($CC316="","○ "&amp;TEXT($P316,"m/d")&amp;"("&amp;CHOOSE(WEEKDAY($P316),"日","月","火","水","木","金","土")&amp;")"&amp;" 入庫で 14日以上もつ",IF($CC316-N('設定'!$C$7)&lt;='設定'!$C$6,"● 入庫しても "&amp;TEXT($CC316,"m/d")&amp;"("&amp;CHOOSE(WEEKDAY($CC316),"日","月","火","水","木","金","土")&amp;")"&amp;" に切れる　もう1便を至急発注（2便目に入れる）","△ 入庫しても "&amp;TEXT($CC316,"m/d")&amp;"("&amp;CHOOSE(WEEKDAY($CC316),"日","月","火","水","木","金","土")&amp;")"&amp;" に切れる　"&amp;TEXT($CC316-N('設定'!$C$7),"m/d")&amp;"("&amp;CHOOSE(WEEKDAY($CC316-N('設定'!$C$7)),"日","月","火","水","木","金","土")&amp;")"&amp;" までに次を発注（2便目に入れる）"))))))))))</f>
        <v/>
      </c>
      <c r="CR316">
        <f>IF($C316="","",IF($G316&gt;1,"ｹｰｽ("&amp;$G316&amp;"入)","個"))</f>
        <v/>
      </c>
      <c r="CS316">
        <f>IF($C316="",0,IF(COUNTIFS('①在庫を貼る'!$V$6:$V$10005,'設定'!$C$4,'①在庫を貼る'!$W$6:$W$10005,$C316)=0,1,0))</f>
        <v/>
      </c>
      <c r="CT316">
        <f>IF(AND($CK316=1,OR('③発注書'!$C$4="すべて",'③発注書'!$C$4="",$F316='③発注書'!$C$4)),N($CT315)+1,N($CT315))</f>
        <v/>
      </c>
      <c r="CU316">
        <f>IF(AND($CL316=1,OR('③発注書'!$C$4="すべて",'③発注書'!$C$4="",$F316='③発注書'!$C$4)),N($CU315)+1,N($CU315))</f>
        <v/>
      </c>
      <c r="CV316">
        <f>IF($C316="",0,IF(COUNTIFS('①在庫を貼る'!$V$6:$V$10005,'設定'!$C$4,'①在庫を貼る'!$W$6:$W$10005,$C316)&gt;0,1,0))</f>
        <v/>
      </c>
      <c r="CW316">
        <f>IF($C316="",0,IF(COUNTIFS('月1回_1ヶ月前の在庫'!$V$6:$V$10005,'設定'!$C$4,'月1回_1ヶ月前の在庫'!$W$6:$W$10005,$C316)&gt;0,1,0))</f>
        <v/>
      </c>
      <c r="CX316">
        <f>IF($C316="",0,IF(COUNTIFS('月1回_2ヶ月前の在庫'!$V$6:$V$10005,'設定'!$C$4,'月1回_2ヶ月前の在庫'!$W$6:$W$10005,$C316)&gt;0,1,0))</f>
        <v/>
      </c>
      <c r="CY316">
        <f>IF(OR($C316="",'設定'!$C$12=""),"",IF('設定'!$C$13="",IF(AND($CV316=1,$CW316=0),"新商品（今月から）",IF(AND($CV316=0,$CW316=1),"終売（今月から）","")),IF(AND($CV316=1,$CW316=0,$CX316=0),"新商品（今月から）",IF(AND($CV316=1,$CW316=1,$CX316=0),"新商品（先月から）",IF(AND($CV316=0,$CW316=1,$CX316=1),"終売（今月から）",IF(AND($CV316=0,$CW316=0,$CX316=1),"終売（先月から）",IF(AND($CV316=1,$CW316=0,$CX316=1),"復活（先月は無し）","")))))))</f>
        <v/>
      </c>
    </row>
    <row r="317">
      <c r="B317">
        <f>IF(312&lt;='設定'!$C$11,312,"")</f>
        <v/>
      </c>
      <c r="C317">
        <f>IF($B317="","",IF($B317&lt;='設定'!$C$20,INDEX('商品マスタ'!$B$6:$B$1005,MATCH($B317,'商品マスタ'!$M$6:$M$1005,0)),IF($B317&lt;='設定'!$C$20+'設定'!$C$17,INDEX('①在庫を貼る'!$W$6:$W$10005,MATCH($B317-'設定'!$C$20,'①在庫を貼る'!$U$6:$U$10005,0)),IF($B317&lt;='設定'!$C$20+'設定'!$C$17+'設定'!$C$18,INDEX('月1回_1ヶ月前の在庫'!$W$6:$W$10005,MATCH($B317-'設定'!$C$20-'設定'!$C$17,'月1回_1ヶ月前の在庫'!$U$6:$U$10005,0)),INDEX('月1回_2ヶ月前の在庫'!$W$6:$W$10005,MATCH($B317-'設定'!$C$20-'設定'!$C$17-'設定'!$C$18,'月1回_2ヶ月前の在庫'!$U$6:$U$10005,0))))))</f>
        <v/>
      </c>
      <c r="D317">
        <f>IF($C317="","",IFERROR(IF(INDEX('商品マスタ'!$C$6:$C$1005,MATCH($C317,'商品マスタ'!$B$6:$B$1005,0))="",IFERROR(INDEX('①在庫を貼る'!$J$6:$J$10005,MATCH($C317,'①在庫を貼る'!$W$6:$W$10005,0)),IFERROR(INDEX('月1回_1ヶ月前の在庫'!$J$6:$J$10005,MATCH($C317,'月1回_1ヶ月前の在庫'!$W$6:$W$10005,0)),IFERROR(INDEX('月1回_2ヶ月前の在庫'!$J$6:$J$10005,MATCH($C317,'月1回_2ヶ月前の在庫'!$W$6:$W$10005,0)),""))),INDEX('商品マスタ'!$C$6:$C$1005,MATCH($C317,'商品マスタ'!$B$6:$B$1005,0))),IFERROR(INDEX('①在庫を貼る'!$J$6:$J$10005,MATCH($C317,'①在庫を貼る'!$W$6:$W$10005,0)),IFERROR(INDEX('月1回_1ヶ月前の在庫'!$J$6:$J$10005,MATCH($C317,'月1回_1ヶ月前の在庫'!$W$6:$W$10005,0)),IFERROR(INDEX('月1回_2ヶ月前の在庫'!$J$6:$J$10005,MATCH($C317,'月1回_2ヶ月前の在庫'!$W$6:$W$10005,0)),"")))))</f>
        <v/>
      </c>
      <c r="E317">
        <f>IF($C317="","",IFERROR(IF(INDEX('商品マスタ'!$D$6:$D$1005,MATCH($C317,'商品マスタ'!$B$6:$B$1005,0))="",IFERROR(INDEX('①在庫を貼る'!$H$6:$H$10005,MATCH($C317,'①在庫を貼る'!$W$6:$W$10005,0)),IFERROR(INDEX('月1回_1ヶ月前の在庫'!$H$6:$H$10005,MATCH($C317,'月1回_1ヶ月前の在庫'!$W$6:$W$10005,0)),IFERROR(INDEX('月1回_2ヶ月前の在庫'!$H$6:$H$10005,MATCH($C317,'月1回_2ヶ月前の在庫'!$W$6:$W$10005,0)),""))),INDEX('商品マスタ'!$D$6:$D$1005,MATCH($C317,'商品マスタ'!$B$6:$B$1005,0))),IFERROR(INDEX('①在庫を貼る'!$H$6:$H$10005,MATCH($C317,'①在庫を貼る'!$W$6:$W$10005,0)),IFERROR(INDEX('月1回_1ヶ月前の在庫'!$H$6:$H$10005,MATCH($C317,'月1回_1ヶ月前の在庫'!$W$6:$W$10005,0)),IFERROR(INDEX('月1回_2ヶ月前の在庫'!$H$6:$H$10005,MATCH($C317,'月1回_2ヶ月前の在庫'!$W$6:$W$10005,0)),"")))))</f>
        <v/>
      </c>
      <c r="F317">
        <f>IF($C317="","",IFERROR(IF(INDEX('商品マスタ'!$E$6:$E$1005,MATCH($C317,'商品マスタ'!$B$6:$B$1005,0))="",IFERROR(INDEX('①在庫を貼る'!$E$6:$E$10005,MATCH($C317,'①在庫を貼る'!$W$6:$W$10005,0)),IFERROR(INDEX('月1回_1ヶ月前の在庫'!$E$6:$E$10005,MATCH($C317,'月1回_1ヶ月前の在庫'!$W$6:$W$10005,0)),IFERROR(INDEX('月1回_2ヶ月前の在庫'!$E$6:$E$10005,MATCH($C317,'月1回_2ヶ月前の在庫'!$W$6:$W$10005,0)),""))),INDEX('商品マスタ'!$E$6:$E$1005,MATCH($C317,'商品マスタ'!$B$6:$B$1005,0))),IFERROR(INDEX('①在庫を貼る'!$E$6:$E$10005,MATCH($C317,'①在庫を貼る'!$W$6:$W$10005,0)),IFERROR(INDEX('月1回_1ヶ月前の在庫'!$E$6:$E$10005,MATCH($C317,'月1回_1ヶ月前の在庫'!$W$6:$W$10005,0)),IFERROR(INDEX('月1回_2ヶ月前の在庫'!$E$6:$E$10005,MATCH($C317,'月1回_2ヶ月前の在庫'!$W$6:$W$10005,0)),"")))))</f>
        <v/>
      </c>
      <c r="G317">
        <f>IF($C317="","",MAX(1,N(IFERROR(IF(INDEX('商品マスタ'!$F$6:$F$1005,MATCH($C317,'商品マスタ'!$B$6:$B$1005,0))="",IF(COUNTIFS('①在庫を貼る'!$V$6:$V$10005,'設定'!$C$4,'①在庫を貼る'!$W$6:$W$10005,$C317)&gt;0,SUMIFS('①在庫を貼る'!$K$6:$K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K$6:$K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K$6:$K$10005,'月1回_2ヶ月前の在庫'!$V$6:$V$10005,'設定'!$C$4,'月1回_2ヶ月前の在庫'!$W$6:$W$10005,$C317)/COUNTIFS('月1回_2ヶ月前の在庫'!$V$6:$V$10005,'設定'!$C$4,'月1回_2ヶ月前の在庫'!$W$6:$W$10005,$C317),0))),INDEX('商品マスタ'!$F$6:$F$1005,MATCH($C317,'商品マスタ'!$B$6:$B$1005,0))),IF(COUNTIFS('①在庫を貼る'!$V$6:$V$10005,'設定'!$C$4,'①在庫を貼る'!$W$6:$W$10005,$C317)&gt;0,SUMIFS('①在庫を貼る'!$K$6:$K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K$6:$K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K$6:$K$10005,'月1回_2ヶ月前の在庫'!$V$6:$V$10005,'設定'!$C$4,'月1回_2ヶ月前の在庫'!$W$6:$W$10005,$C317)/COUNTIFS('月1回_2ヶ月前の在庫'!$V$6:$V$10005,'設定'!$C$4,'月1回_2ヶ月前の在庫'!$W$6:$W$10005,$C317),0)))))))</f>
        <v/>
      </c>
      <c r="H317">
        <f>IF($C317="","",N(IFERROR(IF(INDEX('商品マスタ'!$G$6:$G$1005,MATCH($C317,'商品マスタ'!$B$6:$B$1005,0))="",IF(COUNTIFS('①在庫を貼る'!$V$6:$V$10005,'設定'!$C$4,'①在庫を貼る'!$W$6:$W$10005,$C317)&gt;0,SUMIFS('①在庫を貼る'!$Q$6:$Q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Q$6:$Q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Q$6:$Q$10005,'月1回_2ヶ月前の在庫'!$V$6:$V$10005,'設定'!$C$4,'月1回_2ヶ月前の在庫'!$W$6:$W$10005,$C317)/COUNTIFS('月1回_2ヶ月前の在庫'!$V$6:$V$10005,'設定'!$C$4,'月1回_2ヶ月前の在庫'!$W$6:$W$10005,$C317),0))),INDEX('商品マスタ'!$G$6:$G$1005,MATCH($C317,'商品マスタ'!$B$6:$B$1005,0))),IF(COUNTIFS('①在庫を貼る'!$V$6:$V$10005,'設定'!$C$4,'①在庫を貼る'!$W$6:$W$10005,$C317)&gt;0,SUMIFS('①在庫を貼る'!$Q$6:$Q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Q$6:$Q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Q$6:$Q$10005,'月1回_2ヶ月前の在庫'!$V$6:$V$10005,'設定'!$C$4,'月1回_2ヶ月前の在庫'!$W$6:$W$10005,$C317)/COUNTIFS('月1回_2ヶ月前の在庫'!$V$6:$V$10005,'設定'!$C$4,'月1回_2ヶ月前の在庫'!$W$6:$W$10005,$C317),0))))))</f>
        <v/>
      </c>
      <c r="I317">
        <f>IF($C317="","",IF(COUNTIFS('①在庫を貼る'!$V$6:$V$10005,'設定'!$C$4,'①在庫を貼る'!$W$6:$W$10005,$C317)=0,"",SUMIFS('①在庫を貼る'!$N$6:$N$10005,'①在庫を貼る'!$V$6:$V$10005,'設定'!$C$4,'①在庫を貼る'!$W$6:$W$10005,$C317)))</f>
        <v/>
      </c>
      <c r="J317">
        <f>IF($C317="","",IF('②発注する'!$AD321="","",'②発注する'!$AD321))</f>
        <v/>
      </c>
      <c r="K317" s="90">
        <f>IF($C317="","",IF('②発注する'!$AE321="","",'②発注する'!$AE321))</f>
        <v/>
      </c>
      <c r="L317">
        <f>IF($C317="","",IF(AND(ISNUMBER($J317),ISNUMBER($K317),$K317&gt;='設定'!$C$6),$J317,N($I317)))</f>
        <v/>
      </c>
      <c r="M317">
        <f>IF($C317="","",IFERROR(IF(N(INDEX('商品マスタ'!$J$6:$J$1005,MATCH($C317,'商品マスタ'!$B$6:$B$1005,0)))&gt;0,INDEX('商品マスタ'!$J$6:$J$1005,MATCH($C317,'商品マスタ'!$B$6:$B$1005,0)),""),""))</f>
        <v/>
      </c>
      <c r="N317">
        <f>IF($C317="","",IFERROR(IF(N(INDEX('商品マスタ'!$H$6:$H$1005,MATCH($C317,'商品マスタ'!$B$6:$B$1005,0)))&gt;0,INDEX('商品マスタ'!$H$6:$H$1005,MATCH($C317,'商品マスタ'!$B$6:$B$1005,0)),""),""))</f>
        <v/>
      </c>
      <c r="O317">
        <f>IF($C317="","",IF($N317&lt;&gt;"",$N317*$G317,IF(N(IF(COUNTIFS('①在庫を貼る'!$V$6:$V$10005,'設定'!$C$4,'①在庫を貼る'!$W$6:$W$10005,$C317)&gt;0,SUMIFS('①在庫を貼る'!$O$6:$O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O$6:$O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O$6:$O$10005,'月1回_2ヶ月前の在庫'!$V$6:$V$10005,'設定'!$C$4,'月1回_2ヶ月前の在庫'!$W$6:$W$10005,$C317)/COUNTIFS('月1回_2ヶ月前の在庫'!$V$6:$V$10005,'設定'!$C$4,'月1回_2ヶ月前の在庫'!$W$6:$W$10005,$C317),0))))&gt;0,N(IF(COUNTIFS('①在庫を貼る'!$V$6:$V$10005,'設定'!$C$4,'①在庫を貼る'!$W$6:$W$10005,$C317)&gt;0,SUMIFS('①在庫を貼る'!$O$6:$O$10005,'①在庫を貼る'!$V$6:$V$10005,'設定'!$C$4,'①在庫を貼る'!$W$6:$W$10005,$C317)/COUNTIFS('①在庫を貼る'!$V$6:$V$10005,'設定'!$C$4,'①在庫を貼る'!$W$6:$W$10005,$C317),IF(COUNTIFS('月1回_1ヶ月前の在庫'!$V$6:$V$10005,'設定'!$C$4,'月1回_1ヶ月前の在庫'!$W$6:$W$10005,$C317)&gt;0,SUMIFS('月1回_1ヶ月前の在庫'!$O$6:$O$10005,'月1回_1ヶ月前の在庫'!$V$6:$V$10005,'設定'!$C$4,'月1回_1ヶ月前の在庫'!$W$6:$W$10005,$C317)/COUNTIFS('月1回_1ヶ月前の在庫'!$V$6:$V$10005,'設定'!$C$4,'月1回_1ヶ月前の在庫'!$W$6:$W$10005,$C317),IF(COUNTIFS('月1回_2ヶ月前の在庫'!$V$6:$V$10005,'設定'!$C$4,'月1回_2ヶ月前の在庫'!$W$6:$W$10005,$C317)&gt;0,SUMIFS('月1回_2ヶ月前の在庫'!$O$6:$O$10005,'月1回_2ヶ月前の在庫'!$V$6:$V$10005,'設定'!$C$4,'月1回_2ヶ月前の在庫'!$W$6:$W$10005,$C317)/COUNTIFS('月1回_2ヶ月前の在庫'!$V$6:$V$10005,'設定'!$C$4,'月1回_2ヶ月前の在庫'!$W$6:$W$10005,$C317),0)))),"")))</f>
        <v/>
      </c>
      <c r="P317" s="90">
        <f>IF($C317="","",IF('②発注する'!$I321="","",'②発注する'!$I321))</f>
        <v/>
      </c>
      <c r="Q317">
        <f>IF($C317="","",IF('②発注する'!$J321="","",'②発注する'!$J321))</f>
        <v/>
      </c>
      <c r="R317">
        <f>IF($C317="",0,IF(AND(ISNUMBER($P317),ISNUMBER($Q317)),MAX(0,$Q317)*$G317,0))</f>
        <v/>
      </c>
      <c r="S317" s="90">
        <f>IF($C317="","",IF('②発注する'!$M321="","",'②発注する'!$M321))</f>
        <v/>
      </c>
      <c r="T317">
        <f>IF($C317="","",IF('②発注する'!$N321="","",'②発注する'!$N321))</f>
        <v/>
      </c>
      <c r="U317">
        <f>IF($C317="",0,IF(AND(ISNUMBER($S317),ISNUMBER($T317)),MAX(0,$T317)*$G317,0))</f>
        <v/>
      </c>
      <c r="V317">
        <f>IF($C317="",0,IF($M317="",0,MAX(0,$M317)*MAX(0,V$4)/100))</f>
        <v/>
      </c>
      <c r="W317">
        <f>IF($C317="",0,IF($M317="",0,MAX(0,$M317)*MAX(0,W$4)/100))</f>
        <v/>
      </c>
      <c r="X317">
        <f>IF($C317="",0,IF($M317="",0,MAX(0,$M317)*MAX(0,X$4)/100))</f>
        <v/>
      </c>
      <c r="Y317">
        <f>IF($C317="",0,IF($M317="",0,MAX(0,$M317)*MAX(0,Y$4)/100))</f>
        <v/>
      </c>
      <c r="Z317">
        <f>IF($C317="",0,IF($M317="",0,MAX(0,$M317)*MAX(0,Z$4)/100))</f>
        <v/>
      </c>
      <c r="AA317">
        <f>IF($C317="",0,IF($M317="",0,MAX(0,$M317)*MAX(0,AA$4)/100))</f>
        <v/>
      </c>
      <c r="AB317">
        <f>IF($C317="",0,IF($M317="",0,MAX(0,$M317)*MAX(0,AB$4)/100))</f>
        <v/>
      </c>
      <c r="AC317">
        <f>IF($C317="",0,IF($M317="",0,MAX(0,$M317)*MAX(0,AC$4)/100))</f>
        <v/>
      </c>
      <c r="AD317">
        <f>IF($C317="",0,IF($M317="",0,MAX(0,$M317)*MAX(0,AD$4)/100))</f>
        <v/>
      </c>
      <c r="AE317">
        <f>IF($C317="",0,IF($M317="",0,MAX(0,$M317)*MAX(0,AE$4)/100))</f>
        <v/>
      </c>
      <c r="AF317">
        <f>IF($C317="",0,IF($M317="",0,MAX(0,$M317)*MAX(0,AF$4)/100))</f>
        <v/>
      </c>
      <c r="AG317">
        <f>IF($C317="",0,IF($M317="",0,MAX(0,$M317)*MAX(0,AG$4)/100))</f>
        <v/>
      </c>
      <c r="AH317">
        <f>IF($C317="",0,IF($M317="",0,MAX(0,$M317)*MAX(0,AH$4)/100))</f>
        <v/>
      </c>
      <c r="AI317">
        <f>IF($C317="",0,IF($M317="",0,MAX(0,$M317)*MAX(0,AI$4)/100))</f>
        <v/>
      </c>
      <c r="AJ317">
        <f>IF($C317="",0,MAX(0,MAX(0,N($L317))-$V317))</f>
        <v/>
      </c>
      <c r="AK317">
        <f>IF($C317="",0,MAX(0,$AJ317-$W317))</f>
        <v/>
      </c>
      <c r="AL317">
        <f>IF($C317="",0,MAX(0,$AK317-$X317))</f>
        <v/>
      </c>
      <c r="AM317">
        <f>IF($C317="",0,MAX(0,$AL317-$Y317))</f>
        <v/>
      </c>
      <c r="AN317">
        <f>IF($C317="",0,MAX(0,$AM317-$Z317))</f>
        <v/>
      </c>
      <c r="AO317">
        <f>IF($C317="",0,MAX(0,$AN317-$AA317))</f>
        <v/>
      </c>
      <c r="AP317">
        <f>IF($C317="",0,MAX(0,$AO317-$AB317))</f>
        <v/>
      </c>
      <c r="AQ317">
        <f>IF($C317="",0,MAX(0,$AP317-$AC317))</f>
        <v/>
      </c>
      <c r="AR317">
        <f>IF($C317="",0,MAX(0,$AQ317-$AD317))</f>
        <v/>
      </c>
      <c r="AS317">
        <f>IF($C317="",0,MAX(0,$AR317-$AE317))</f>
        <v/>
      </c>
      <c r="AT317">
        <f>IF($C317="",0,MAX(0,$AS317-$AF317))</f>
        <v/>
      </c>
      <c r="AU317">
        <f>IF($C317="",0,MAX(0,$AT317-$AG317))</f>
        <v/>
      </c>
      <c r="AV317">
        <f>IF($C317="",0,MAX(0,$AU317-$AH317))</f>
        <v/>
      </c>
      <c r="AW317">
        <f>IF($C317="",0,MAX(0,$AV317-$AI317))</f>
        <v/>
      </c>
      <c r="AX317">
        <f>IF($C317="",0,MAX(0,MAX(0,N($L317))+IF($P317=V$3,$R317,0)+IF($S317=V$3,$U317,0)-$V317))</f>
        <v/>
      </c>
      <c r="AY317">
        <f>IF($C317="",0,MAX(0,$AX317+IF($P317=W$3,$R317,0)+IF($S317=W$3,$U317,0)-$W317))</f>
        <v/>
      </c>
      <c r="AZ317">
        <f>IF($C317="",0,MAX(0,$AY317+IF($P317=X$3,$R317,0)+IF($S317=X$3,$U317,0)-$X317))</f>
        <v/>
      </c>
      <c r="BA317">
        <f>IF($C317="",0,MAX(0,$AZ317+IF($P317=Y$3,$R317,0)+IF($S317=Y$3,$U317,0)-$Y317))</f>
        <v/>
      </c>
      <c r="BB317">
        <f>IF($C317="",0,MAX(0,$BA317+IF($P317=Z$3,$R317,0)+IF($S317=Z$3,$U317,0)-$Z317))</f>
        <v/>
      </c>
      <c r="BC317">
        <f>IF($C317="",0,MAX(0,$BB317+IF($P317=AA$3,$R317,0)+IF($S317=AA$3,$U317,0)-$AA317))</f>
        <v/>
      </c>
      <c r="BD317">
        <f>IF($C317="",0,MAX(0,$BC317+IF($P317=AB$3,$R317,0)+IF($S317=AB$3,$U317,0)-$AB317))</f>
        <v/>
      </c>
      <c r="BE317">
        <f>IF($C317="",0,MAX(0,$BD317+IF($P317=AC$3,$R317,0)+IF($S317=AC$3,$U317,0)-$AC317))</f>
        <v/>
      </c>
      <c r="BF317">
        <f>IF($C317="",0,MAX(0,$BE317+IF($P317=AD$3,$R317,0)+IF($S317=AD$3,$U317,0)-$AD317))</f>
        <v/>
      </c>
      <c r="BG317">
        <f>IF($C317="",0,MAX(0,$BF317+IF($P317=AE$3,$R317,0)+IF($S317=AE$3,$U317,0)-$AE317))</f>
        <v/>
      </c>
      <c r="BH317">
        <f>IF($C317="",0,MAX(0,$BG317+IF($P317=AF$3,$R317,0)+IF($S317=AF$3,$U317,0)-$AF317))</f>
        <v/>
      </c>
      <c r="BI317">
        <f>IF($C317="",0,MAX(0,$BH317+IF($P317=AG$3,$R317,0)+IF($S317=AG$3,$U317,0)-$AG317))</f>
        <v/>
      </c>
      <c r="BJ317">
        <f>IF($C317="",0,MAX(0,$BI317+IF($P317=AH$3,$R317,0)+IF($S317=AH$3,$U317,0)-$AH317))</f>
        <v/>
      </c>
      <c r="BK317">
        <f>IF($C317="",0,MAX(0,$BJ317+IF($P317=AI$3,$R317,0)+IF($S317=AI$3,$U317,0)-$AI317))</f>
        <v/>
      </c>
      <c r="BL317">
        <f>IF($C317="",99,IF(AND($AX317&lt;1,V$3&gt;=MAX(N($P317),N($S317))),0,99))</f>
        <v/>
      </c>
      <c r="BM317">
        <f>IF($C317="",99,IF(AND($AY317&lt;1,W$3&gt;=MAX(N($P317),N($S317))),1,99))</f>
        <v/>
      </c>
      <c r="BN317">
        <f>IF($C317="",99,IF(AND($AZ317&lt;1,X$3&gt;=MAX(N($P317),N($S317))),2,99))</f>
        <v/>
      </c>
      <c r="BO317">
        <f>IF($C317="",99,IF(AND($BA317&lt;1,Y$3&gt;=MAX(N($P317),N($S317))),3,99))</f>
        <v/>
      </c>
      <c r="BP317">
        <f>IF($C317="",99,IF(AND($BB317&lt;1,Z$3&gt;=MAX(N($P317),N($S317))),4,99))</f>
        <v/>
      </c>
      <c r="BQ317">
        <f>IF($C317="",99,IF(AND($BC317&lt;1,AA$3&gt;=MAX(N($P317),N($S317))),5,99))</f>
        <v/>
      </c>
      <c r="BR317">
        <f>IF($C317="",99,IF(AND($BD317&lt;1,AB$3&gt;=MAX(N($P317),N($S317))),6,99))</f>
        <v/>
      </c>
      <c r="BS317">
        <f>IF($C317="",99,IF(AND($BE317&lt;1,AC$3&gt;=MAX(N($P317),N($S317))),7,99))</f>
        <v/>
      </c>
      <c r="BT317">
        <f>IF($C317="",99,IF(AND($BF317&lt;1,AD$3&gt;=MAX(N($P317),N($S317))),8,99))</f>
        <v/>
      </c>
      <c r="BU317">
        <f>IF($C317="",99,IF(AND($BG317&lt;1,AE$3&gt;=MAX(N($P317),N($S317))),9,99))</f>
        <v/>
      </c>
      <c r="BV317">
        <f>IF($C317="",99,IF(AND($BH317&lt;1,AF$3&gt;=MAX(N($P317),N($S317))),10,99))</f>
        <v/>
      </c>
      <c r="BW317">
        <f>IF($C317="",99,IF(AND($BI317&lt;1,AG$3&gt;=MAX(N($P317),N($S317))),11,99))</f>
        <v/>
      </c>
      <c r="BX317">
        <f>IF($C317="",99,IF(AND($BJ317&lt;1,AH$3&gt;=MAX(N($P317),N($S317))),12,99))</f>
        <v/>
      </c>
      <c r="BY317">
        <f>IF($C317="",99,IF(AND($BK317&lt;1,AI$3&gt;=MAX(N($P317),N($S317))),13,99))</f>
        <v/>
      </c>
      <c r="BZ317">
        <f>IF(OR($C317="",$M317=""),"",COUNTIF($AJ317:$AW317,"&gt;=1"))</f>
        <v/>
      </c>
      <c r="CA317" s="90">
        <f>IF($BZ317="","",IF($BZ317&gt;=14,"",'設定'!$C$6+$BZ317))</f>
        <v/>
      </c>
      <c r="CB317">
        <f>IF(OR($C317="",$M317=""),"",MIN($BL317:$BY317))</f>
        <v/>
      </c>
      <c r="CC317" s="90">
        <f>IF($CB317="","",IF($CB317&gt;=99,"",'設定'!$C$6+$CB317))</f>
        <v/>
      </c>
      <c r="CD317">
        <f>IF(OR($C317="",$M317=""),"",AVERAGE($V317:$AI317))</f>
        <v/>
      </c>
      <c r="CE317">
        <f>IF($C317="","",IFERROR(IF(MATCH(IF(ISNUMBER($P317),$P317,'設定'!$C$6+N('設定'!$C$7)),$V$3:$AI$3,0)=1,MAX(0,N($L317)),INDEX($AJ317:$AW317,MATCH(IF(ISNUMBER($P317),$P317,'設定'!$C$6+N('設定'!$C$7)),$V$3:$AI$3,0)-1)),""))</f>
        <v/>
      </c>
      <c r="CF317">
        <f>IF(OR($C317="",$O317="",$CE317=""),"",IF($O317-$CE317&lt;=0,0,ROUNDUP(($O317-$CE317)/$G317,0)))</f>
        <v/>
      </c>
      <c r="CG317">
        <f>IF(OR($C317="",$CF317="",NOT(ISNUMBER($Q317))),0,MAX(0,$Q317-$CF317))</f>
        <v/>
      </c>
      <c r="CH317">
        <f>IF(OR($C317="",$O317="",$U317=0),0,IFERROR(ROUNDUP(MAX(0,IF(MATCH($S317,$V$3:$AI$3,0)=1,MAX(0,N($L317)),INDEX($AX317:$BK317,MATCH($S317,$V$3:$AI$3,0)-1))+$U317-$O317)/$G317,0),0))</f>
        <v/>
      </c>
      <c r="CI317">
        <f>IF($C317="","",IF(AND($P317="",$Q317=""),"",IF($P317="","⚠ 入庫日を ▼ から選んでください",IF(NOT(ISNUMBER($P317)),"⚠ 入庫日は ▼ から選んでください",IF($P317&lt;N('設定'!$C$6),"⚠ 入庫日が過去です（もう在庫に入っています）→ 消してください",IF($P317&gt;N('設定'!$C$6)+13,"⚠ 入庫日が14日より先です",IF(N($Q317)&lt;=0,"⚠ 入庫数を入れてください",IF($CG317&gt;0,"⚠ 目安より "&amp;$CG317&amp;" 多い（定数を超える）→ 減らす",""))))))))</f>
        <v/>
      </c>
      <c r="CJ317">
        <f>IF($C317="","",IF(AND($S317="",$T317=""),"",IF($S317="","⚠ 2便目：入庫日を ▼ から選んでください",IF(NOT(ISNUMBER($S317)),"⚠ 2便目：入庫日は ▼ から選んでください",IF($S317&lt;N('設定'!$C$6),"⚠ 2便目：入庫日が過去です（もう在庫に入っています）→ 消してください",IF($S317&gt;N('設定'!$C$6)+13,"⚠ 2便目：入庫日が14日より先です",IF(N($T317)&lt;=0,"⚠ 2便目：入庫数を入れてください",IF($CH317&gt;0,"⚠ 2便目：定数を "&amp;$CH317&amp;" ケース超える → 減らす",""))))))))</f>
        <v/>
      </c>
      <c r="CK317">
        <f>IF(AND($CI317="",N($Q317)&gt;0,ISNUMBER($P317)),1,0)</f>
        <v/>
      </c>
      <c r="CL317">
        <f>IF(AND($CJ317="",N($T317)&gt;0,ISNUMBER($S317)),1,0)</f>
        <v/>
      </c>
      <c r="CM317">
        <f>IF(OR($CK317=1,$CL317=1),1,0)</f>
        <v/>
      </c>
      <c r="CN317">
        <f>IF($C317="",0,($CK317*$R317+$CL317*$U317)*N($H317))</f>
        <v/>
      </c>
      <c r="CO317">
        <f>IF($C317="","",IF($CC317="","入庫後は 14日以上もつ",IF($CC317-N('設定'!$C$7)&lt;='設定'!$C$6,"入庫後も "&amp;TEXT($CC317,"m/d")&amp;"("&amp;CHOOSE(WEEKDAY($CC317),"日","月","火","水","木","金","土")&amp;")"&amp;" に切れる　もう1便を至急発注","入庫後も "&amp;TEXT($CC317,"m/d")&amp;"("&amp;CHOOSE(WEEKDAY($CC317),"日","月","火","水","木","金","土")&amp;")"&amp;" に切れる　"&amp;TEXT($CC317-N('設定'!$C$7),"m/d")&amp;"("&amp;CHOOSE(WEEKDAY($CC317-N('設定'!$C$7)),"日","月","火","水","木","金","土")&amp;")"&amp;" までに次を発注")))</f>
        <v/>
      </c>
      <c r="CP317">
        <f>IF($C317="","",IF('設定'!$C$6="","？ ①在庫を貼る に今日のCSVが貼られていない",IF($CS317=1,"－ 今日のCSVに無い（終売？）",IF($L317&lt;0,"● 在庫がマイナス　数えて「数えた在庫」に入れる",IF($L317=0,"● 在庫なし　至急発注",IF($M317="","？ 減り数が未設定（商品マスタ）",IF($B$3=0,"？ 動員が未入力（動員を入れる）",IF($CA317="","○ 14日以上もつ",IF($BZ317&lt;N('設定'!$C$7),"● "&amp;TEXT($CA317,"m/d")&amp;"("&amp;CHOOSE(WEEKDAY($CA317),"日","月","火","水","木","金","土")&amp;")"&amp;" に切れる　至急発注",IF($BZ317=N('設定'!$C$7),"● "&amp;TEXT($CA317,"m/d")&amp;"("&amp;CHOOSE(WEEKDAY($CA317),"日","月","火","水","木","金","土")&amp;")"&amp;" に切れる　今日発注","△ "&amp;TEXT($CA317,"m/d")&amp;"("&amp;CHOOSE(WEEKDAY($CA317),"日","月","火","水","木","金","土")&amp;")"&amp;" に切れる　"&amp;TEXT($CA317-N('設定'!$C$7),"m/d")&amp;"("&amp;CHOOSE(WEEKDAY($CA317-N('設定'!$C$7)),"日","月","火","水","木","金","土")&amp;")"&amp;" までに発注"))))))))))</f>
        <v/>
      </c>
      <c r="CQ317">
        <f>IF($C317="","",IF(AND($P317="",$Q317="",$S317="",$T317=""),"",IF(AND($P317="",$Q317=""),"⚠ 先に1便目（左の入庫日・入庫数）に入れてください",IF($CI317&lt;&gt;"",$CI317,IF($CJ317&lt;&gt;"",$CJ317,IF($M317="","？ 減り数が未設定（発注書には載ります）",IF($B$3=0,"？ 動員が未入力（発注書には載ります）",IF(AND($CA317&lt;&gt;"",$P317&gt;$CA317),IF($P317&gt;'設定'!$C$6+N('設定'!$C$7),"● "&amp;TEXT($P317,"m/d")&amp;"("&amp;CHOOSE(WEEKDAY($P317),"日","月","火","水","木","金","土")&amp;")"&amp;" の入庫では間に合わない（"&amp;TEXT($CA317,"m/d")&amp;"("&amp;CHOOSE(WEEKDAY($CA317),"日","月","火","水","木","金","土")&amp;")"&amp;" に切れる）　入庫日を早める","△ 欠品 "&amp;TEXT($CA317,"m/d")&amp;"("&amp;CHOOSE(WEEKDAY($CA317),"日","月","火","水","木","金","土")&amp;")"&amp;"〜"&amp;TEXT($P317-1,"m/d")&amp;"("&amp;CHOOSE(WEEKDAY($P317-1),"日","月","火","水","木","金","土")&amp;")"&amp;"　"&amp;$CO317),IF($CC317="","○ "&amp;TEXT($P317,"m/d")&amp;"("&amp;CHOOSE(WEEKDAY($P317),"日","月","火","水","木","金","土")&amp;")"&amp;" 入庫で 14日以上もつ",IF($CC317-N('設定'!$C$7)&lt;='設定'!$C$6,"● 入庫しても "&amp;TEXT($CC317,"m/d")&amp;"("&amp;CHOOSE(WEEKDAY($CC317),"日","月","火","水","木","金","土")&amp;")"&amp;" に切れる　もう1便を至急発注（2便目に入れる）","△ 入庫しても "&amp;TEXT($CC317,"m/d")&amp;"("&amp;CHOOSE(WEEKDAY($CC317),"日","月","火","水","木","金","土")&amp;")"&amp;" に切れる　"&amp;TEXT($CC317-N('設定'!$C$7),"m/d")&amp;"("&amp;CHOOSE(WEEKDAY($CC317-N('設定'!$C$7)),"日","月","火","水","木","金","土")&amp;")"&amp;" までに次を発注（2便目に入れる）"))))))))))</f>
        <v/>
      </c>
      <c r="CR317">
        <f>IF($C317="","",IF($G317&gt;1,"ｹｰｽ("&amp;$G317&amp;"入)","個"))</f>
        <v/>
      </c>
      <c r="CS317">
        <f>IF($C317="",0,IF(COUNTIFS('①在庫を貼る'!$V$6:$V$10005,'設定'!$C$4,'①在庫を貼る'!$W$6:$W$10005,$C317)=0,1,0))</f>
        <v/>
      </c>
      <c r="CT317">
        <f>IF(AND($CK317=1,OR('③発注書'!$C$4="すべて",'③発注書'!$C$4="",$F317='③発注書'!$C$4)),N($CT316)+1,N($CT316))</f>
        <v/>
      </c>
      <c r="CU317">
        <f>IF(AND($CL317=1,OR('③発注書'!$C$4="すべて",'③発注書'!$C$4="",$F317='③発注書'!$C$4)),N($CU316)+1,N($CU316))</f>
        <v/>
      </c>
      <c r="CV317">
        <f>IF($C317="",0,IF(COUNTIFS('①在庫を貼る'!$V$6:$V$10005,'設定'!$C$4,'①在庫を貼る'!$W$6:$W$10005,$C317)&gt;0,1,0))</f>
        <v/>
      </c>
      <c r="CW317">
        <f>IF($C317="",0,IF(COUNTIFS('月1回_1ヶ月前の在庫'!$V$6:$V$10005,'設定'!$C$4,'月1回_1ヶ月前の在庫'!$W$6:$W$10005,$C317)&gt;0,1,0))</f>
        <v/>
      </c>
      <c r="CX317">
        <f>IF($C317="",0,IF(COUNTIFS('月1回_2ヶ月前の在庫'!$V$6:$V$10005,'設定'!$C$4,'月1回_2ヶ月前の在庫'!$W$6:$W$10005,$C317)&gt;0,1,0))</f>
        <v/>
      </c>
      <c r="CY317">
        <f>IF(OR($C317="",'設定'!$C$12=""),"",IF('設定'!$C$13="",IF(AND($CV317=1,$CW317=0),"新商品（今月から）",IF(AND($CV317=0,$CW317=1),"終売（今月から）","")),IF(AND($CV317=1,$CW317=0,$CX317=0),"新商品（今月から）",IF(AND($CV317=1,$CW317=1,$CX317=0),"新商品（先月から）",IF(AND($CV317=0,$CW317=1,$CX317=1),"終売（今月から）",IF(AND($CV317=0,$CW317=0,$CX317=1),"終売（先月から）",IF(AND($CV317=1,$CW317=0,$CX317=1),"復活（先月は無し）","")))))))</f>
        <v/>
      </c>
    </row>
    <row r="318">
      <c r="B318">
        <f>IF(313&lt;='設定'!$C$11,313,"")</f>
        <v/>
      </c>
      <c r="C318">
        <f>IF($B318="","",IF($B318&lt;='設定'!$C$20,INDEX('商品マスタ'!$B$6:$B$1005,MATCH($B318,'商品マスタ'!$M$6:$M$1005,0)),IF($B318&lt;='設定'!$C$20+'設定'!$C$17,INDEX('①在庫を貼る'!$W$6:$W$10005,MATCH($B318-'設定'!$C$20,'①在庫を貼る'!$U$6:$U$10005,0)),IF($B318&lt;='設定'!$C$20+'設定'!$C$17+'設定'!$C$18,INDEX('月1回_1ヶ月前の在庫'!$W$6:$W$10005,MATCH($B318-'設定'!$C$20-'設定'!$C$17,'月1回_1ヶ月前の在庫'!$U$6:$U$10005,0)),INDEX('月1回_2ヶ月前の在庫'!$W$6:$W$10005,MATCH($B318-'設定'!$C$20-'設定'!$C$17-'設定'!$C$18,'月1回_2ヶ月前の在庫'!$U$6:$U$10005,0))))))</f>
        <v/>
      </c>
      <c r="D318">
        <f>IF($C318="","",IFERROR(IF(INDEX('商品マスタ'!$C$6:$C$1005,MATCH($C318,'商品マスタ'!$B$6:$B$1005,0))="",IFERROR(INDEX('①在庫を貼る'!$J$6:$J$10005,MATCH($C318,'①在庫を貼る'!$W$6:$W$10005,0)),IFERROR(INDEX('月1回_1ヶ月前の在庫'!$J$6:$J$10005,MATCH($C318,'月1回_1ヶ月前の在庫'!$W$6:$W$10005,0)),IFERROR(INDEX('月1回_2ヶ月前の在庫'!$J$6:$J$10005,MATCH($C318,'月1回_2ヶ月前の在庫'!$W$6:$W$10005,0)),""))),INDEX('商品マスタ'!$C$6:$C$1005,MATCH($C318,'商品マスタ'!$B$6:$B$1005,0))),IFERROR(INDEX('①在庫を貼る'!$J$6:$J$10005,MATCH($C318,'①在庫を貼る'!$W$6:$W$10005,0)),IFERROR(INDEX('月1回_1ヶ月前の在庫'!$J$6:$J$10005,MATCH($C318,'月1回_1ヶ月前の在庫'!$W$6:$W$10005,0)),IFERROR(INDEX('月1回_2ヶ月前の在庫'!$J$6:$J$10005,MATCH($C318,'月1回_2ヶ月前の在庫'!$W$6:$W$10005,0)),"")))))</f>
        <v/>
      </c>
      <c r="E318">
        <f>IF($C318="","",IFERROR(IF(INDEX('商品マスタ'!$D$6:$D$1005,MATCH($C318,'商品マスタ'!$B$6:$B$1005,0))="",IFERROR(INDEX('①在庫を貼る'!$H$6:$H$10005,MATCH($C318,'①在庫を貼る'!$W$6:$W$10005,0)),IFERROR(INDEX('月1回_1ヶ月前の在庫'!$H$6:$H$10005,MATCH($C318,'月1回_1ヶ月前の在庫'!$W$6:$W$10005,0)),IFERROR(INDEX('月1回_2ヶ月前の在庫'!$H$6:$H$10005,MATCH($C318,'月1回_2ヶ月前の在庫'!$W$6:$W$10005,0)),""))),INDEX('商品マスタ'!$D$6:$D$1005,MATCH($C318,'商品マスタ'!$B$6:$B$1005,0))),IFERROR(INDEX('①在庫を貼る'!$H$6:$H$10005,MATCH($C318,'①在庫を貼る'!$W$6:$W$10005,0)),IFERROR(INDEX('月1回_1ヶ月前の在庫'!$H$6:$H$10005,MATCH($C318,'月1回_1ヶ月前の在庫'!$W$6:$W$10005,0)),IFERROR(INDEX('月1回_2ヶ月前の在庫'!$H$6:$H$10005,MATCH($C318,'月1回_2ヶ月前の在庫'!$W$6:$W$10005,0)),"")))))</f>
        <v/>
      </c>
      <c r="F318">
        <f>IF($C318="","",IFERROR(IF(INDEX('商品マスタ'!$E$6:$E$1005,MATCH($C318,'商品マスタ'!$B$6:$B$1005,0))="",IFERROR(INDEX('①在庫を貼る'!$E$6:$E$10005,MATCH($C318,'①在庫を貼る'!$W$6:$W$10005,0)),IFERROR(INDEX('月1回_1ヶ月前の在庫'!$E$6:$E$10005,MATCH($C318,'月1回_1ヶ月前の在庫'!$W$6:$W$10005,0)),IFERROR(INDEX('月1回_2ヶ月前の在庫'!$E$6:$E$10005,MATCH($C318,'月1回_2ヶ月前の在庫'!$W$6:$W$10005,0)),""))),INDEX('商品マスタ'!$E$6:$E$1005,MATCH($C318,'商品マスタ'!$B$6:$B$1005,0))),IFERROR(INDEX('①在庫を貼る'!$E$6:$E$10005,MATCH($C318,'①在庫を貼る'!$W$6:$W$10005,0)),IFERROR(INDEX('月1回_1ヶ月前の在庫'!$E$6:$E$10005,MATCH($C318,'月1回_1ヶ月前の在庫'!$W$6:$W$10005,0)),IFERROR(INDEX('月1回_2ヶ月前の在庫'!$E$6:$E$10005,MATCH($C318,'月1回_2ヶ月前の在庫'!$W$6:$W$10005,0)),"")))))</f>
        <v/>
      </c>
      <c r="G318">
        <f>IF($C318="","",MAX(1,N(IFERROR(IF(INDEX('商品マスタ'!$F$6:$F$1005,MATCH($C318,'商品マスタ'!$B$6:$B$1005,0))="",IF(COUNTIFS('①在庫を貼る'!$V$6:$V$10005,'設定'!$C$4,'①在庫を貼る'!$W$6:$W$10005,$C318)&gt;0,SUMIFS('①在庫を貼る'!$K$6:$K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K$6:$K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K$6:$K$10005,'月1回_2ヶ月前の在庫'!$V$6:$V$10005,'設定'!$C$4,'月1回_2ヶ月前の在庫'!$W$6:$W$10005,$C318)/COUNTIFS('月1回_2ヶ月前の在庫'!$V$6:$V$10005,'設定'!$C$4,'月1回_2ヶ月前の在庫'!$W$6:$W$10005,$C318),0))),INDEX('商品マスタ'!$F$6:$F$1005,MATCH($C318,'商品マスタ'!$B$6:$B$1005,0))),IF(COUNTIFS('①在庫を貼る'!$V$6:$V$10005,'設定'!$C$4,'①在庫を貼る'!$W$6:$W$10005,$C318)&gt;0,SUMIFS('①在庫を貼る'!$K$6:$K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K$6:$K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K$6:$K$10005,'月1回_2ヶ月前の在庫'!$V$6:$V$10005,'設定'!$C$4,'月1回_2ヶ月前の在庫'!$W$6:$W$10005,$C318)/COUNTIFS('月1回_2ヶ月前の在庫'!$V$6:$V$10005,'設定'!$C$4,'月1回_2ヶ月前の在庫'!$W$6:$W$10005,$C318),0)))))))</f>
        <v/>
      </c>
      <c r="H318">
        <f>IF($C318="","",N(IFERROR(IF(INDEX('商品マスタ'!$G$6:$G$1005,MATCH($C318,'商品マスタ'!$B$6:$B$1005,0))="",IF(COUNTIFS('①在庫を貼る'!$V$6:$V$10005,'設定'!$C$4,'①在庫を貼る'!$W$6:$W$10005,$C318)&gt;0,SUMIFS('①在庫を貼る'!$Q$6:$Q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Q$6:$Q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Q$6:$Q$10005,'月1回_2ヶ月前の在庫'!$V$6:$V$10005,'設定'!$C$4,'月1回_2ヶ月前の在庫'!$W$6:$W$10005,$C318)/COUNTIFS('月1回_2ヶ月前の在庫'!$V$6:$V$10005,'設定'!$C$4,'月1回_2ヶ月前の在庫'!$W$6:$W$10005,$C318),0))),INDEX('商品マスタ'!$G$6:$G$1005,MATCH($C318,'商品マスタ'!$B$6:$B$1005,0))),IF(COUNTIFS('①在庫を貼る'!$V$6:$V$10005,'設定'!$C$4,'①在庫を貼る'!$W$6:$W$10005,$C318)&gt;0,SUMIFS('①在庫を貼る'!$Q$6:$Q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Q$6:$Q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Q$6:$Q$10005,'月1回_2ヶ月前の在庫'!$V$6:$V$10005,'設定'!$C$4,'月1回_2ヶ月前の在庫'!$W$6:$W$10005,$C318)/COUNTIFS('月1回_2ヶ月前の在庫'!$V$6:$V$10005,'設定'!$C$4,'月1回_2ヶ月前の在庫'!$W$6:$W$10005,$C318),0))))))</f>
        <v/>
      </c>
      <c r="I318">
        <f>IF($C318="","",IF(COUNTIFS('①在庫を貼る'!$V$6:$V$10005,'設定'!$C$4,'①在庫を貼る'!$W$6:$W$10005,$C318)=0,"",SUMIFS('①在庫を貼る'!$N$6:$N$10005,'①在庫を貼る'!$V$6:$V$10005,'設定'!$C$4,'①在庫を貼る'!$W$6:$W$10005,$C318)))</f>
        <v/>
      </c>
      <c r="J318">
        <f>IF($C318="","",IF('②発注する'!$AD322="","",'②発注する'!$AD322))</f>
        <v/>
      </c>
      <c r="K318" s="90">
        <f>IF($C318="","",IF('②発注する'!$AE322="","",'②発注する'!$AE322))</f>
        <v/>
      </c>
      <c r="L318">
        <f>IF($C318="","",IF(AND(ISNUMBER($J318),ISNUMBER($K318),$K318&gt;='設定'!$C$6),$J318,N($I318)))</f>
        <v/>
      </c>
      <c r="M318">
        <f>IF($C318="","",IFERROR(IF(N(INDEX('商品マスタ'!$J$6:$J$1005,MATCH($C318,'商品マスタ'!$B$6:$B$1005,0)))&gt;0,INDEX('商品マスタ'!$J$6:$J$1005,MATCH($C318,'商品マスタ'!$B$6:$B$1005,0)),""),""))</f>
        <v/>
      </c>
      <c r="N318">
        <f>IF($C318="","",IFERROR(IF(N(INDEX('商品マスタ'!$H$6:$H$1005,MATCH($C318,'商品マスタ'!$B$6:$B$1005,0)))&gt;0,INDEX('商品マスタ'!$H$6:$H$1005,MATCH($C318,'商品マスタ'!$B$6:$B$1005,0)),""),""))</f>
        <v/>
      </c>
      <c r="O318">
        <f>IF($C318="","",IF($N318&lt;&gt;"",$N318*$G318,IF(N(IF(COUNTIFS('①在庫を貼る'!$V$6:$V$10005,'設定'!$C$4,'①在庫を貼る'!$W$6:$W$10005,$C318)&gt;0,SUMIFS('①在庫を貼る'!$O$6:$O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O$6:$O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O$6:$O$10005,'月1回_2ヶ月前の在庫'!$V$6:$V$10005,'設定'!$C$4,'月1回_2ヶ月前の在庫'!$W$6:$W$10005,$C318)/COUNTIFS('月1回_2ヶ月前の在庫'!$V$6:$V$10005,'設定'!$C$4,'月1回_2ヶ月前の在庫'!$W$6:$W$10005,$C318),0))))&gt;0,N(IF(COUNTIFS('①在庫を貼る'!$V$6:$V$10005,'設定'!$C$4,'①在庫を貼る'!$W$6:$W$10005,$C318)&gt;0,SUMIFS('①在庫を貼る'!$O$6:$O$10005,'①在庫を貼る'!$V$6:$V$10005,'設定'!$C$4,'①在庫を貼る'!$W$6:$W$10005,$C318)/COUNTIFS('①在庫を貼る'!$V$6:$V$10005,'設定'!$C$4,'①在庫を貼る'!$W$6:$W$10005,$C318),IF(COUNTIFS('月1回_1ヶ月前の在庫'!$V$6:$V$10005,'設定'!$C$4,'月1回_1ヶ月前の在庫'!$W$6:$W$10005,$C318)&gt;0,SUMIFS('月1回_1ヶ月前の在庫'!$O$6:$O$10005,'月1回_1ヶ月前の在庫'!$V$6:$V$10005,'設定'!$C$4,'月1回_1ヶ月前の在庫'!$W$6:$W$10005,$C318)/COUNTIFS('月1回_1ヶ月前の在庫'!$V$6:$V$10005,'設定'!$C$4,'月1回_1ヶ月前の在庫'!$W$6:$W$10005,$C318),IF(COUNTIFS('月1回_2ヶ月前の在庫'!$V$6:$V$10005,'設定'!$C$4,'月1回_2ヶ月前の在庫'!$W$6:$W$10005,$C318)&gt;0,SUMIFS('月1回_2ヶ月前の在庫'!$O$6:$O$10005,'月1回_2ヶ月前の在庫'!$V$6:$V$10005,'設定'!$C$4,'月1回_2ヶ月前の在庫'!$W$6:$W$10005,$C318)/COUNTIFS('月1回_2ヶ月前の在庫'!$V$6:$V$10005,'設定'!$C$4,'月1回_2ヶ月前の在庫'!$W$6:$W$10005,$C318),0)))),"")))</f>
        <v/>
      </c>
      <c r="P318" s="90">
        <f>IF($C318="","",IF('②発注する'!$I322="","",'②発注する'!$I322))</f>
        <v/>
      </c>
      <c r="Q318">
        <f>IF($C318="","",IF('②発注する'!$J322="","",'②発注する'!$J322))</f>
        <v/>
      </c>
      <c r="R318">
        <f>IF($C318="",0,IF(AND(ISNUMBER($P318),ISNUMBER($Q318)),MAX(0,$Q318)*$G318,0))</f>
        <v/>
      </c>
      <c r="S318" s="90">
        <f>IF($C318="","",IF('②発注する'!$M322="","",'②発注する'!$M322))</f>
        <v/>
      </c>
      <c r="T318">
        <f>IF($C318="","",IF('②発注する'!$N322="","",'②発注する'!$N322))</f>
        <v/>
      </c>
      <c r="U318">
        <f>IF($C318="",0,IF(AND(ISNUMBER($S318),ISNUMBER($T318)),MAX(0,$T318)*$G318,0))</f>
        <v/>
      </c>
      <c r="V318">
        <f>IF($C318="",0,IF($M318="",0,MAX(0,$M318)*MAX(0,V$4)/100))</f>
        <v/>
      </c>
      <c r="W318">
        <f>IF($C318="",0,IF($M318="",0,MAX(0,$M318)*MAX(0,W$4)/100))</f>
        <v/>
      </c>
      <c r="X318">
        <f>IF($C318="",0,IF($M318="",0,MAX(0,$M318)*MAX(0,X$4)/100))</f>
        <v/>
      </c>
      <c r="Y318">
        <f>IF($C318="",0,IF($M318="",0,MAX(0,$M318)*MAX(0,Y$4)/100))</f>
        <v/>
      </c>
      <c r="Z318">
        <f>IF($C318="",0,IF($M318="",0,MAX(0,$M318)*MAX(0,Z$4)/100))</f>
        <v/>
      </c>
      <c r="AA318">
        <f>IF($C318="",0,IF($M318="",0,MAX(0,$M318)*MAX(0,AA$4)/100))</f>
        <v/>
      </c>
      <c r="AB318">
        <f>IF($C318="",0,IF($M318="",0,MAX(0,$M318)*MAX(0,AB$4)/100))</f>
        <v/>
      </c>
      <c r="AC318">
        <f>IF($C318="",0,IF($M318="",0,MAX(0,$M318)*MAX(0,AC$4)/100))</f>
        <v/>
      </c>
      <c r="AD318">
        <f>IF($C318="",0,IF($M318="",0,MAX(0,$M318)*MAX(0,AD$4)/100))</f>
        <v/>
      </c>
      <c r="AE318">
        <f>IF($C318="",0,IF($M318="",0,MAX(0,$M318)*MAX(0,AE$4)/100))</f>
        <v/>
      </c>
      <c r="AF318">
        <f>IF($C318="",0,IF($M318="",0,MAX(0,$M318)*MAX(0,AF$4)/100))</f>
        <v/>
      </c>
      <c r="AG318">
        <f>IF($C318="",0,IF($M318="",0,MAX(0,$M318)*MAX(0,AG$4)/100))</f>
        <v/>
      </c>
      <c r="AH318">
        <f>IF($C318="",0,IF($M318="",0,MAX(0,$M318)*MAX(0,AH$4)/100))</f>
        <v/>
      </c>
      <c r="AI318">
        <f>IF($C318="",0,IF($M318="",0,MAX(0,$M318)*MAX(0,AI$4)/100))</f>
        <v/>
      </c>
      <c r="AJ318">
        <f>IF($C318="",0,MAX(0,MAX(0,N($L318))-$V318))</f>
        <v/>
      </c>
      <c r="AK318">
        <f>IF($C318="",0,MAX(0,$AJ318-$W318))</f>
        <v/>
      </c>
      <c r="AL318">
        <f>IF($C318="",0,MAX(0,$AK318-$X318))</f>
        <v/>
      </c>
      <c r="AM318">
        <f>IF($C318="",0,MAX(0,$AL318-$Y318))</f>
        <v/>
      </c>
      <c r="AN318">
        <f>IF($C318="",0,MAX(0,$AM318-$Z318))</f>
        <v/>
      </c>
      <c r="AO318">
        <f>IF($C318="",0,MAX(0,$AN318-$AA318))</f>
        <v/>
      </c>
      <c r="AP318">
        <f>IF($C318="",0,MAX(0,$AO318-$AB318))</f>
        <v/>
      </c>
      <c r="AQ318">
        <f>IF($C318="",0,MAX(0,$AP318-$AC318))</f>
        <v/>
      </c>
      <c r="AR318">
        <f>IF($C318="",0,MAX(0,$AQ318-$AD318))</f>
        <v/>
      </c>
      <c r="AS318">
        <f>IF($C318="",0,MAX(0,$AR318-$AE318))</f>
        <v/>
      </c>
      <c r="AT318">
        <f>IF($C318="",0,MAX(0,$AS318-$AF318))</f>
        <v/>
      </c>
      <c r="AU318">
        <f>IF($C318="",0,MAX(0,$AT318-$AG318))</f>
        <v/>
      </c>
      <c r="AV318">
        <f>IF($C318="",0,MAX(0,$AU318-$AH318))</f>
        <v/>
      </c>
      <c r="AW318">
        <f>IF($C318="",0,MAX(0,$AV318-$AI318))</f>
        <v/>
      </c>
      <c r="AX318">
        <f>IF($C318="",0,MAX(0,MAX(0,N($L318))+IF($P318=V$3,$R318,0)+IF($S318=V$3,$U318,0)-$V318))</f>
        <v/>
      </c>
      <c r="AY318">
        <f>IF($C318="",0,MAX(0,$AX318+IF($P318=W$3,$R318,0)+IF($S318=W$3,$U318,0)-$W318))</f>
        <v/>
      </c>
      <c r="AZ318">
        <f>IF($C318="",0,MAX(0,$AY318+IF($P318=X$3,$R318,0)+IF($S318=X$3,$U318,0)-$X318))</f>
        <v/>
      </c>
      <c r="BA318">
        <f>IF($C318="",0,MAX(0,$AZ318+IF($P318=Y$3,$R318,0)+IF($S318=Y$3,$U318,0)-$Y318))</f>
        <v/>
      </c>
      <c r="BB318">
        <f>IF($C318="",0,MAX(0,$BA318+IF($P318=Z$3,$R318,0)+IF($S318=Z$3,$U318,0)-$Z318))</f>
        <v/>
      </c>
      <c r="BC318">
        <f>IF($C318="",0,MAX(0,$BB318+IF($P318=AA$3,$R318,0)+IF($S318=AA$3,$U318,0)-$AA318))</f>
        <v/>
      </c>
      <c r="BD318">
        <f>IF($C318="",0,MAX(0,$BC318+IF($P318=AB$3,$R318,0)+IF($S318=AB$3,$U318,0)-$AB318))</f>
        <v/>
      </c>
      <c r="BE318">
        <f>IF($C318="",0,MAX(0,$BD318+IF($P318=AC$3,$R318,0)+IF($S318=AC$3,$U318,0)-$AC318))</f>
        <v/>
      </c>
      <c r="BF318">
        <f>IF($C318="",0,MAX(0,$BE318+IF($P318=AD$3,$R318,0)+IF($S318=AD$3,$U318,0)-$AD318))</f>
        <v/>
      </c>
      <c r="BG318">
        <f>IF($C318="",0,MAX(0,$BF318+IF($P318=AE$3,$R318,0)+IF($S318=AE$3,$U318,0)-$AE318))</f>
        <v/>
      </c>
      <c r="BH318">
        <f>IF($C318="",0,MAX(0,$BG318+IF($P318=AF$3,$R318,0)+IF($S318=AF$3,$U318,0)-$AF318))</f>
        <v/>
      </c>
      <c r="BI318">
        <f>IF($C318="",0,MAX(0,$BH318+IF($P318=AG$3,$R318,0)+IF($S318=AG$3,$U318,0)-$AG318))</f>
        <v/>
      </c>
      <c r="BJ318">
        <f>IF($C318="",0,MAX(0,$BI318+IF($P318=AH$3,$R318,0)+IF($S318=AH$3,$U318,0)-$AH318))</f>
        <v/>
      </c>
      <c r="BK318">
        <f>IF($C318="",0,MAX(0,$BJ318+IF($P318=AI$3,$R318,0)+IF($S318=AI$3,$U318,0)-$AI318))</f>
        <v/>
      </c>
      <c r="BL318">
        <f>IF($C318="",99,IF(AND($AX318&lt;1,V$3&gt;=MAX(N($P318),N($S318))),0,99))</f>
        <v/>
      </c>
      <c r="BM318">
        <f>IF($C318="",99,IF(AND($AY318&lt;1,W$3&gt;=MAX(N($P318),N($S318))),1,99))</f>
        <v/>
      </c>
      <c r="BN318">
        <f>IF($C318="",99,IF(AND($AZ318&lt;1,X$3&gt;=MAX(N($P318),N($S318))),2,99))</f>
        <v/>
      </c>
      <c r="BO318">
        <f>IF($C318="",99,IF(AND($BA318&lt;1,Y$3&gt;=MAX(N($P318),N($S318))),3,99))</f>
        <v/>
      </c>
      <c r="BP318">
        <f>IF($C318="",99,IF(AND($BB318&lt;1,Z$3&gt;=MAX(N($P318),N($S318))),4,99))</f>
        <v/>
      </c>
      <c r="BQ318">
        <f>IF($C318="",99,IF(AND($BC318&lt;1,AA$3&gt;=MAX(N($P318),N($S318))),5,99))</f>
        <v/>
      </c>
      <c r="BR318">
        <f>IF($C318="",99,IF(AND($BD318&lt;1,AB$3&gt;=MAX(N($P318),N($S318))),6,99))</f>
        <v/>
      </c>
      <c r="BS318">
        <f>IF($C318="",99,IF(AND($BE318&lt;1,AC$3&gt;=MAX(N($P318),N($S318))),7,99))</f>
        <v/>
      </c>
      <c r="BT318">
        <f>IF($C318="",99,IF(AND($BF318&lt;1,AD$3&gt;=MAX(N($P318),N($S318))),8,99))</f>
        <v/>
      </c>
      <c r="BU318">
        <f>IF($C318="",99,IF(AND($BG318&lt;1,AE$3&gt;=MAX(N($P318),N($S318))),9,99))</f>
        <v/>
      </c>
      <c r="BV318">
        <f>IF($C318="",99,IF(AND($BH318&lt;1,AF$3&gt;=MAX(N($P318),N($S318))),10,99))</f>
        <v/>
      </c>
      <c r="BW318">
        <f>IF($C318="",99,IF(AND($BI318&lt;1,AG$3&gt;=MAX(N($P318),N($S318))),11,99))</f>
        <v/>
      </c>
      <c r="BX318">
        <f>IF($C318="",99,IF(AND($BJ318&lt;1,AH$3&gt;=MAX(N($P318),N($S318))),12,99))</f>
        <v/>
      </c>
      <c r="BY318">
        <f>IF($C318="",99,IF(AND($BK318&lt;1,AI$3&gt;=MAX(N($P318),N($S318))),13,99))</f>
        <v/>
      </c>
      <c r="BZ318">
        <f>IF(OR($C318="",$M318=""),"",COUNTIF($AJ318:$AW318,"&gt;=1"))</f>
        <v/>
      </c>
      <c r="CA318" s="90">
        <f>IF($BZ318="","",IF($BZ318&gt;=14,"",'設定'!$C$6+$BZ318))</f>
        <v/>
      </c>
      <c r="CB318">
        <f>IF(OR($C318="",$M318=""),"",MIN($BL318:$BY318))</f>
        <v/>
      </c>
      <c r="CC318" s="90">
        <f>IF($CB318="","",IF($CB318&gt;=99,"",'設定'!$C$6+$CB318))</f>
        <v/>
      </c>
      <c r="CD318">
        <f>IF(OR($C318="",$M318=""),"",AVERAGE($V318:$AI318))</f>
        <v/>
      </c>
      <c r="CE318">
        <f>IF($C318="","",IFERROR(IF(MATCH(IF(ISNUMBER($P318),$P318,'設定'!$C$6+N('設定'!$C$7)),$V$3:$AI$3,0)=1,MAX(0,N($L318)),INDEX($AJ318:$AW318,MATCH(IF(ISNUMBER($P318),$P318,'設定'!$C$6+N('設定'!$C$7)),$V$3:$AI$3,0)-1)),""))</f>
        <v/>
      </c>
      <c r="CF318">
        <f>IF(OR($C318="",$O318="",$CE318=""),"",IF($O318-$CE318&lt;=0,0,ROUNDUP(($O318-$CE318)/$G318,0)))</f>
        <v/>
      </c>
      <c r="CG318">
        <f>IF(OR($C318="",$CF318="",NOT(ISNUMBER($Q318))),0,MAX(0,$Q318-$CF318))</f>
        <v/>
      </c>
      <c r="CH318">
        <f>IF(OR($C318="",$O318="",$U318=0),0,IFERROR(ROUNDUP(MAX(0,IF(MATCH($S318,$V$3:$AI$3,0)=1,MAX(0,N($L318)),INDEX($AX318:$BK318,MATCH($S318,$V$3:$AI$3,0)-1))+$U318-$O318)/$G318,0),0))</f>
        <v/>
      </c>
      <c r="CI318">
        <f>IF($C318="","",IF(AND($P318="",$Q318=""),"",IF($P318="","⚠ 入庫日を ▼ から選んでください",IF(NOT(ISNUMBER($P318)),"⚠ 入庫日は ▼ から選んでください",IF($P318&lt;N('設定'!$C$6),"⚠ 入庫日が過去です（もう在庫に入っています）→ 消してください",IF($P318&gt;N('設定'!$C$6)+13,"⚠ 入庫日が14日より先です",IF(N($Q318)&lt;=0,"⚠ 入庫数を入れてください",IF($CG318&gt;0,"⚠ 目安より "&amp;$CG318&amp;" 多い（定数を超える）→ 減らす",""))))))))</f>
        <v/>
      </c>
      <c r="CJ318">
        <f>IF($C318="","",IF(AND($S318="",$T318=""),"",IF($S318="","⚠ 2便目：入庫日を ▼ から選んでください",IF(NOT(ISNUMBER($S318)),"⚠ 2便目：入庫日は ▼ から選んでください",IF($S318&lt;N('設定'!$C$6),"⚠ 2便目：入庫日が過去です（もう在庫に入っています）→ 消してください",IF($S318&gt;N('設定'!$C$6)+13,"⚠ 2便目：入庫日が14日より先です",IF(N($T318)&lt;=0,"⚠ 2便目：入庫数を入れてください",IF($CH318&gt;0,"⚠ 2便目：定数を "&amp;$CH318&amp;" ケース超える → 減らす",""))))))))</f>
        <v/>
      </c>
      <c r="CK318">
        <f>IF(AND($CI318="",N($Q318)&gt;0,ISNUMBER($P318)),1,0)</f>
        <v/>
      </c>
      <c r="CL318">
        <f>IF(AND($CJ318="",N($T318)&gt;0,ISNUMBER($S318)),1,0)</f>
        <v/>
      </c>
      <c r="CM318">
        <f>IF(OR($CK318=1,$CL318=1),1,0)</f>
        <v/>
      </c>
      <c r="CN318">
        <f>IF($C318="",0,($CK318*$R318+$CL318*$U318)*N($H318))</f>
        <v/>
      </c>
      <c r="CO318">
        <f>IF($C318="","",IF($CC318="","入庫後は 14日以上もつ",IF($CC318-N('設定'!$C$7)&lt;='設定'!$C$6,"入庫後も "&amp;TEXT($CC318,"m/d")&amp;"("&amp;CHOOSE(WEEKDAY($CC318),"日","月","火","水","木","金","土")&amp;")"&amp;" に切れる　もう1便を至急発注","入庫後も "&amp;TEXT($CC318,"m/d")&amp;"("&amp;CHOOSE(WEEKDAY($CC318),"日","月","火","水","木","金","土")&amp;")"&amp;" に切れる　"&amp;TEXT($CC318-N('設定'!$C$7),"m/d")&amp;"("&amp;CHOOSE(WEEKDAY($CC318-N('設定'!$C$7)),"日","月","火","水","木","金","土")&amp;")"&amp;" までに次を発注")))</f>
        <v/>
      </c>
      <c r="CP318">
        <f>IF($C318="","",IF('設定'!$C$6="","？ ①在庫を貼る に今日のCSVが貼られていない",IF($CS318=1,"－ 今日のCSVに無い（終売？）",IF($L318&lt;0,"● 在庫がマイナス　数えて「数えた在庫」に入れる",IF($L318=0,"● 在庫なし　至急発注",IF($M318="","？ 減り数が未設定（商品マスタ）",IF($B$3=0,"？ 動員が未入力（動員を入れる）",IF($CA318="","○ 14日以上もつ",IF($BZ318&lt;N('設定'!$C$7),"● "&amp;TEXT($CA318,"m/d")&amp;"("&amp;CHOOSE(WEEKDAY($CA318),"日","月","火","水","木","金","土")&amp;")"&amp;" に切れる　至急発注",IF($BZ318=N('設定'!$C$7),"● "&amp;TEXT($CA318,"m/d")&amp;"("&amp;CHOOSE(WEEKDAY($CA318),"日","月","火","水","木","金","土")&amp;")"&amp;" に切れる　今日発注","△ "&amp;TEXT($CA318,"m/d")&amp;"("&amp;CHOOSE(WEEKDAY($CA318),"日","月","火","水","木","金","土")&amp;")"&amp;" に切れる　"&amp;TEXT($CA318-N('設定'!$C$7),"m/d")&amp;"("&amp;CHOOSE(WEEKDAY($CA318-N('設定'!$C$7)),"日","月","火","水","木","金","土")&amp;")"&amp;" までに発注"))))))))))</f>
        <v/>
      </c>
      <c r="CQ318">
        <f>IF($C318="","",IF(AND($P318="",$Q318="",$S318="",$T318=""),"",IF(AND($P318="",$Q318=""),"⚠ 先に1便目（左の入庫日・入庫数）に入れてください",IF($CI318&lt;&gt;"",$CI318,IF($CJ318&lt;&gt;"",$CJ318,IF($M318="","？ 減り数が未設定（発注書には載ります）",IF($B$3=0,"？ 動員が未入力（発注書には載ります）",IF(AND($CA318&lt;&gt;"",$P318&gt;$CA318),IF($P318&gt;'設定'!$C$6+N('設定'!$C$7),"● "&amp;TEXT($P318,"m/d")&amp;"("&amp;CHOOSE(WEEKDAY($P318),"日","月","火","水","木","金","土")&amp;")"&amp;" の入庫では間に合わない（"&amp;TEXT($CA318,"m/d")&amp;"("&amp;CHOOSE(WEEKDAY($CA318),"日","月","火","水","木","金","土")&amp;")"&amp;" に切れる）　入庫日を早める","△ 欠品 "&amp;TEXT($CA318,"m/d")&amp;"("&amp;CHOOSE(WEEKDAY($CA318),"日","月","火","水","木","金","土")&amp;")"&amp;"〜"&amp;TEXT($P318-1,"m/d")&amp;"("&amp;CHOOSE(WEEKDAY($P318-1),"日","月","火","水","木","金","土")&amp;")"&amp;"　"&amp;$CO318),IF($CC318="","○ "&amp;TEXT($P318,"m/d")&amp;"("&amp;CHOOSE(WEEKDAY($P318),"日","月","火","水","木","金","土")&amp;")"&amp;" 入庫で 14日以上もつ",IF($CC318-N('設定'!$C$7)&lt;='設定'!$C$6,"● 入庫しても "&amp;TEXT($CC318,"m/d")&amp;"("&amp;CHOOSE(WEEKDAY($CC318),"日","月","火","水","木","金","土")&amp;")"&amp;" に切れる　もう1便を至急発注（2便目に入れる）","△ 入庫しても "&amp;TEXT($CC318,"m/d")&amp;"("&amp;CHOOSE(WEEKDAY($CC318),"日","月","火","水","木","金","土")&amp;")"&amp;" に切れる　"&amp;TEXT($CC318-N('設定'!$C$7),"m/d")&amp;"("&amp;CHOOSE(WEEKDAY($CC318-N('設定'!$C$7)),"日","月","火","水","木","金","土")&amp;")"&amp;" までに次を発注（2便目に入れる）"))))))))))</f>
        <v/>
      </c>
      <c r="CR318">
        <f>IF($C318="","",IF($G318&gt;1,"ｹｰｽ("&amp;$G318&amp;"入)","個"))</f>
        <v/>
      </c>
      <c r="CS318">
        <f>IF($C318="",0,IF(COUNTIFS('①在庫を貼る'!$V$6:$V$10005,'設定'!$C$4,'①在庫を貼る'!$W$6:$W$10005,$C318)=0,1,0))</f>
        <v/>
      </c>
      <c r="CT318">
        <f>IF(AND($CK318=1,OR('③発注書'!$C$4="すべて",'③発注書'!$C$4="",$F318='③発注書'!$C$4)),N($CT317)+1,N($CT317))</f>
        <v/>
      </c>
      <c r="CU318">
        <f>IF(AND($CL318=1,OR('③発注書'!$C$4="すべて",'③発注書'!$C$4="",$F318='③発注書'!$C$4)),N($CU317)+1,N($CU317))</f>
        <v/>
      </c>
      <c r="CV318">
        <f>IF($C318="",0,IF(COUNTIFS('①在庫を貼る'!$V$6:$V$10005,'設定'!$C$4,'①在庫を貼る'!$W$6:$W$10005,$C318)&gt;0,1,0))</f>
        <v/>
      </c>
      <c r="CW318">
        <f>IF($C318="",0,IF(COUNTIFS('月1回_1ヶ月前の在庫'!$V$6:$V$10005,'設定'!$C$4,'月1回_1ヶ月前の在庫'!$W$6:$W$10005,$C318)&gt;0,1,0))</f>
        <v/>
      </c>
      <c r="CX318">
        <f>IF($C318="",0,IF(COUNTIFS('月1回_2ヶ月前の在庫'!$V$6:$V$10005,'設定'!$C$4,'月1回_2ヶ月前の在庫'!$W$6:$W$10005,$C318)&gt;0,1,0))</f>
        <v/>
      </c>
      <c r="CY318">
        <f>IF(OR($C318="",'設定'!$C$12=""),"",IF('設定'!$C$13="",IF(AND($CV318=1,$CW318=0),"新商品（今月から）",IF(AND($CV318=0,$CW318=1),"終売（今月から）","")),IF(AND($CV318=1,$CW318=0,$CX318=0),"新商品（今月から）",IF(AND($CV318=1,$CW318=1,$CX318=0),"新商品（先月から）",IF(AND($CV318=0,$CW318=1,$CX318=1),"終売（今月から）",IF(AND($CV318=0,$CW318=0,$CX318=1),"終売（先月から）",IF(AND($CV318=1,$CW318=0,$CX318=1),"復活（先月は無し）","")))))))</f>
        <v/>
      </c>
    </row>
    <row r="319">
      <c r="B319">
        <f>IF(314&lt;='設定'!$C$11,314,"")</f>
        <v/>
      </c>
      <c r="C319">
        <f>IF($B319="","",IF($B319&lt;='設定'!$C$20,INDEX('商品マスタ'!$B$6:$B$1005,MATCH($B319,'商品マスタ'!$M$6:$M$1005,0)),IF($B319&lt;='設定'!$C$20+'設定'!$C$17,INDEX('①在庫を貼る'!$W$6:$W$10005,MATCH($B319-'設定'!$C$20,'①在庫を貼る'!$U$6:$U$10005,0)),IF($B319&lt;='設定'!$C$20+'設定'!$C$17+'設定'!$C$18,INDEX('月1回_1ヶ月前の在庫'!$W$6:$W$10005,MATCH($B319-'設定'!$C$20-'設定'!$C$17,'月1回_1ヶ月前の在庫'!$U$6:$U$10005,0)),INDEX('月1回_2ヶ月前の在庫'!$W$6:$W$10005,MATCH($B319-'設定'!$C$20-'設定'!$C$17-'設定'!$C$18,'月1回_2ヶ月前の在庫'!$U$6:$U$10005,0))))))</f>
        <v/>
      </c>
      <c r="D319">
        <f>IF($C319="","",IFERROR(IF(INDEX('商品マスタ'!$C$6:$C$1005,MATCH($C319,'商品マスタ'!$B$6:$B$1005,0))="",IFERROR(INDEX('①在庫を貼る'!$J$6:$J$10005,MATCH($C319,'①在庫を貼る'!$W$6:$W$10005,0)),IFERROR(INDEX('月1回_1ヶ月前の在庫'!$J$6:$J$10005,MATCH($C319,'月1回_1ヶ月前の在庫'!$W$6:$W$10005,0)),IFERROR(INDEX('月1回_2ヶ月前の在庫'!$J$6:$J$10005,MATCH($C319,'月1回_2ヶ月前の在庫'!$W$6:$W$10005,0)),""))),INDEX('商品マスタ'!$C$6:$C$1005,MATCH($C319,'商品マスタ'!$B$6:$B$1005,0))),IFERROR(INDEX('①在庫を貼る'!$J$6:$J$10005,MATCH($C319,'①在庫を貼る'!$W$6:$W$10005,0)),IFERROR(INDEX('月1回_1ヶ月前の在庫'!$J$6:$J$10005,MATCH($C319,'月1回_1ヶ月前の在庫'!$W$6:$W$10005,0)),IFERROR(INDEX('月1回_2ヶ月前の在庫'!$J$6:$J$10005,MATCH($C319,'月1回_2ヶ月前の在庫'!$W$6:$W$10005,0)),"")))))</f>
        <v/>
      </c>
      <c r="E319">
        <f>IF($C319="","",IFERROR(IF(INDEX('商品マスタ'!$D$6:$D$1005,MATCH($C319,'商品マスタ'!$B$6:$B$1005,0))="",IFERROR(INDEX('①在庫を貼る'!$H$6:$H$10005,MATCH($C319,'①在庫を貼る'!$W$6:$W$10005,0)),IFERROR(INDEX('月1回_1ヶ月前の在庫'!$H$6:$H$10005,MATCH($C319,'月1回_1ヶ月前の在庫'!$W$6:$W$10005,0)),IFERROR(INDEX('月1回_2ヶ月前の在庫'!$H$6:$H$10005,MATCH($C319,'月1回_2ヶ月前の在庫'!$W$6:$W$10005,0)),""))),INDEX('商品マスタ'!$D$6:$D$1005,MATCH($C319,'商品マスタ'!$B$6:$B$1005,0))),IFERROR(INDEX('①在庫を貼る'!$H$6:$H$10005,MATCH($C319,'①在庫を貼る'!$W$6:$W$10005,0)),IFERROR(INDEX('月1回_1ヶ月前の在庫'!$H$6:$H$10005,MATCH($C319,'月1回_1ヶ月前の在庫'!$W$6:$W$10005,0)),IFERROR(INDEX('月1回_2ヶ月前の在庫'!$H$6:$H$10005,MATCH($C319,'月1回_2ヶ月前の在庫'!$W$6:$W$10005,0)),"")))))</f>
        <v/>
      </c>
      <c r="F319">
        <f>IF($C319="","",IFERROR(IF(INDEX('商品マスタ'!$E$6:$E$1005,MATCH($C319,'商品マスタ'!$B$6:$B$1005,0))="",IFERROR(INDEX('①在庫を貼る'!$E$6:$E$10005,MATCH($C319,'①在庫を貼る'!$W$6:$W$10005,0)),IFERROR(INDEX('月1回_1ヶ月前の在庫'!$E$6:$E$10005,MATCH($C319,'月1回_1ヶ月前の在庫'!$W$6:$W$10005,0)),IFERROR(INDEX('月1回_2ヶ月前の在庫'!$E$6:$E$10005,MATCH($C319,'月1回_2ヶ月前の在庫'!$W$6:$W$10005,0)),""))),INDEX('商品マスタ'!$E$6:$E$1005,MATCH($C319,'商品マスタ'!$B$6:$B$1005,0))),IFERROR(INDEX('①在庫を貼る'!$E$6:$E$10005,MATCH($C319,'①在庫を貼る'!$W$6:$W$10005,0)),IFERROR(INDEX('月1回_1ヶ月前の在庫'!$E$6:$E$10005,MATCH($C319,'月1回_1ヶ月前の在庫'!$W$6:$W$10005,0)),IFERROR(INDEX('月1回_2ヶ月前の在庫'!$E$6:$E$10005,MATCH($C319,'月1回_2ヶ月前の在庫'!$W$6:$W$10005,0)),"")))))</f>
        <v/>
      </c>
      <c r="G319">
        <f>IF($C319="","",MAX(1,N(IFERROR(IF(INDEX('商品マスタ'!$F$6:$F$1005,MATCH($C319,'商品マスタ'!$B$6:$B$1005,0))="",IF(COUNTIFS('①在庫を貼る'!$V$6:$V$10005,'設定'!$C$4,'①在庫を貼る'!$W$6:$W$10005,$C319)&gt;0,SUMIFS('①在庫を貼る'!$K$6:$K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K$6:$K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K$6:$K$10005,'月1回_2ヶ月前の在庫'!$V$6:$V$10005,'設定'!$C$4,'月1回_2ヶ月前の在庫'!$W$6:$W$10005,$C319)/COUNTIFS('月1回_2ヶ月前の在庫'!$V$6:$V$10005,'設定'!$C$4,'月1回_2ヶ月前の在庫'!$W$6:$W$10005,$C319),0))),INDEX('商品マスタ'!$F$6:$F$1005,MATCH($C319,'商品マスタ'!$B$6:$B$1005,0))),IF(COUNTIFS('①在庫を貼る'!$V$6:$V$10005,'設定'!$C$4,'①在庫を貼る'!$W$6:$W$10005,$C319)&gt;0,SUMIFS('①在庫を貼る'!$K$6:$K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K$6:$K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K$6:$K$10005,'月1回_2ヶ月前の在庫'!$V$6:$V$10005,'設定'!$C$4,'月1回_2ヶ月前の在庫'!$W$6:$W$10005,$C319)/COUNTIFS('月1回_2ヶ月前の在庫'!$V$6:$V$10005,'設定'!$C$4,'月1回_2ヶ月前の在庫'!$W$6:$W$10005,$C319),0)))))))</f>
        <v/>
      </c>
      <c r="H319">
        <f>IF($C319="","",N(IFERROR(IF(INDEX('商品マスタ'!$G$6:$G$1005,MATCH($C319,'商品マスタ'!$B$6:$B$1005,0))="",IF(COUNTIFS('①在庫を貼る'!$V$6:$V$10005,'設定'!$C$4,'①在庫を貼る'!$W$6:$W$10005,$C319)&gt;0,SUMIFS('①在庫を貼る'!$Q$6:$Q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Q$6:$Q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Q$6:$Q$10005,'月1回_2ヶ月前の在庫'!$V$6:$V$10005,'設定'!$C$4,'月1回_2ヶ月前の在庫'!$W$6:$W$10005,$C319)/COUNTIFS('月1回_2ヶ月前の在庫'!$V$6:$V$10005,'設定'!$C$4,'月1回_2ヶ月前の在庫'!$W$6:$W$10005,$C319),0))),INDEX('商品マスタ'!$G$6:$G$1005,MATCH($C319,'商品マスタ'!$B$6:$B$1005,0))),IF(COUNTIFS('①在庫を貼る'!$V$6:$V$10005,'設定'!$C$4,'①在庫を貼る'!$W$6:$W$10005,$C319)&gt;0,SUMIFS('①在庫を貼る'!$Q$6:$Q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Q$6:$Q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Q$6:$Q$10005,'月1回_2ヶ月前の在庫'!$V$6:$V$10005,'設定'!$C$4,'月1回_2ヶ月前の在庫'!$W$6:$W$10005,$C319)/COUNTIFS('月1回_2ヶ月前の在庫'!$V$6:$V$10005,'設定'!$C$4,'月1回_2ヶ月前の在庫'!$W$6:$W$10005,$C319),0))))))</f>
        <v/>
      </c>
      <c r="I319">
        <f>IF($C319="","",IF(COUNTIFS('①在庫を貼る'!$V$6:$V$10005,'設定'!$C$4,'①在庫を貼る'!$W$6:$W$10005,$C319)=0,"",SUMIFS('①在庫を貼る'!$N$6:$N$10005,'①在庫を貼る'!$V$6:$V$10005,'設定'!$C$4,'①在庫を貼る'!$W$6:$W$10005,$C319)))</f>
        <v/>
      </c>
      <c r="J319">
        <f>IF($C319="","",IF('②発注する'!$AD323="","",'②発注する'!$AD323))</f>
        <v/>
      </c>
      <c r="K319" s="90">
        <f>IF($C319="","",IF('②発注する'!$AE323="","",'②発注する'!$AE323))</f>
        <v/>
      </c>
      <c r="L319">
        <f>IF($C319="","",IF(AND(ISNUMBER($J319),ISNUMBER($K319),$K319&gt;='設定'!$C$6),$J319,N($I319)))</f>
        <v/>
      </c>
      <c r="M319">
        <f>IF($C319="","",IFERROR(IF(N(INDEX('商品マスタ'!$J$6:$J$1005,MATCH($C319,'商品マスタ'!$B$6:$B$1005,0)))&gt;0,INDEX('商品マスタ'!$J$6:$J$1005,MATCH($C319,'商品マスタ'!$B$6:$B$1005,0)),""),""))</f>
        <v/>
      </c>
      <c r="N319">
        <f>IF($C319="","",IFERROR(IF(N(INDEX('商品マスタ'!$H$6:$H$1005,MATCH($C319,'商品マスタ'!$B$6:$B$1005,0)))&gt;0,INDEX('商品マスタ'!$H$6:$H$1005,MATCH($C319,'商品マスタ'!$B$6:$B$1005,0)),""),""))</f>
        <v/>
      </c>
      <c r="O319">
        <f>IF($C319="","",IF($N319&lt;&gt;"",$N319*$G319,IF(N(IF(COUNTIFS('①在庫を貼る'!$V$6:$V$10005,'設定'!$C$4,'①在庫を貼る'!$W$6:$W$10005,$C319)&gt;0,SUMIFS('①在庫を貼る'!$O$6:$O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O$6:$O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O$6:$O$10005,'月1回_2ヶ月前の在庫'!$V$6:$V$10005,'設定'!$C$4,'月1回_2ヶ月前の在庫'!$W$6:$W$10005,$C319)/COUNTIFS('月1回_2ヶ月前の在庫'!$V$6:$V$10005,'設定'!$C$4,'月1回_2ヶ月前の在庫'!$W$6:$W$10005,$C319),0))))&gt;0,N(IF(COUNTIFS('①在庫を貼る'!$V$6:$V$10005,'設定'!$C$4,'①在庫を貼る'!$W$6:$W$10005,$C319)&gt;0,SUMIFS('①在庫を貼る'!$O$6:$O$10005,'①在庫を貼る'!$V$6:$V$10005,'設定'!$C$4,'①在庫を貼る'!$W$6:$W$10005,$C319)/COUNTIFS('①在庫を貼る'!$V$6:$V$10005,'設定'!$C$4,'①在庫を貼る'!$W$6:$W$10005,$C319),IF(COUNTIFS('月1回_1ヶ月前の在庫'!$V$6:$V$10005,'設定'!$C$4,'月1回_1ヶ月前の在庫'!$W$6:$W$10005,$C319)&gt;0,SUMIFS('月1回_1ヶ月前の在庫'!$O$6:$O$10005,'月1回_1ヶ月前の在庫'!$V$6:$V$10005,'設定'!$C$4,'月1回_1ヶ月前の在庫'!$W$6:$W$10005,$C319)/COUNTIFS('月1回_1ヶ月前の在庫'!$V$6:$V$10005,'設定'!$C$4,'月1回_1ヶ月前の在庫'!$W$6:$W$10005,$C319),IF(COUNTIFS('月1回_2ヶ月前の在庫'!$V$6:$V$10005,'設定'!$C$4,'月1回_2ヶ月前の在庫'!$W$6:$W$10005,$C319)&gt;0,SUMIFS('月1回_2ヶ月前の在庫'!$O$6:$O$10005,'月1回_2ヶ月前の在庫'!$V$6:$V$10005,'設定'!$C$4,'月1回_2ヶ月前の在庫'!$W$6:$W$10005,$C319)/COUNTIFS('月1回_2ヶ月前の在庫'!$V$6:$V$10005,'設定'!$C$4,'月1回_2ヶ月前の在庫'!$W$6:$W$10005,$C319),0)))),"")))</f>
        <v/>
      </c>
      <c r="P319" s="90">
        <f>IF($C319="","",IF('②発注する'!$I323="","",'②発注する'!$I323))</f>
        <v/>
      </c>
      <c r="Q319">
        <f>IF($C319="","",IF('②発注する'!$J323="","",'②発注する'!$J323))</f>
        <v/>
      </c>
      <c r="R319">
        <f>IF($C319="",0,IF(AND(ISNUMBER($P319),ISNUMBER($Q319)),MAX(0,$Q319)*$G319,0))</f>
        <v/>
      </c>
      <c r="S319" s="90">
        <f>IF($C319="","",IF('②発注する'!$M323="","",'②発注する'!$M323))</f>
        <v/>
      </c>
      <c r="T319">
        <f>IF($C319="","",IF('②発注する'!$N323="","",'②発注する'!$N323))</f>
        <v/>
      </c>
      <c r="U319">
        <f>IF($C319="",0,IF(AND(ISNUMBER($S319),ISNUMBER($T319)),MAX(0,$T319)*$G319,0))</f>
        <v/>
      </c>
      <c r="V319">
        <f>IF($C319="",0,IF($M319="",0,MAX(0,$M319)*MAX(0,V$4)/100))</f>
        <v/>
      </c>
      <c r="W319">
        <f>IF($C319="",0,IF($M319="",0,MAX(0,$M319)*MAX(0,W$4)/100))</f>
        <v/>
      </c>
      <c r="X319">
        <f>IF($C319="",0,IF($M319="",0,MAX(0,$M319)*MAX(0,X$4)/100))</f>
        <v/>
      </c>
      <c r="Y319">
        <f>IF($C319="",0,IF($M319="",0,MAX(0,$M319)*MAX(0,Y$4)/100))</f>
        <v/>
      </c>
      <c r="Z319">
        <f>IF($C319="",0,IF($M319="",0,MAX(0,$M319)*MAX(0,Z$4)/100))</f>
        <v/>
      </c>
      <c r="AA319">
        <f>IF($C319="",0,IF($M319="",0,MAX(0,$M319)*MAX(0,AA$4)/100))</f>
        <v/>
      </c>
      <c r="AB319">
        <f>IF($C319="",0,IF($M319="",0,MAX(0,$M319)*MAX(0,AB$4)/100))</f>
        <v/>
      </c>
      <c r="AC319">
        <f>IF($C319="",0,IF($M319="",0,MAX(0,$M319)*MAX(0,AC$4)/100))</f>
        <v/>
      </c>
      <c r="AD319">
        <f>IF($C319="",0,IF($M319="",0,MAX(0,$M319)*MAX(0,AD$4)/100))</f>
        <v/>
      </c>
      <c r="AE319">
        <f>IF($C319="",0,IF($M319="",0,MAX(0,$M319)*MAX(0,AE$4)/100))</f>
        <v/>
      </c>
      <c r="AF319">
        <f>IF($C319="",0,IF($M319="",0,MAX(0,$M319)*MAX(0,AF$4)/100))</f>
        <v/>
      </c>
      <c r="AG319">
        <f>IF($C319="",0,IF($M319="",0,MAX(0,$M319)*MAX(0,AG$4)/100))</f>
        <v/>
      </c>
      <c r="AH319">
        <f>IF($C319="",0,IF($M319="",0,MAX(0,$M319)*MAX(0,AH$4)/100))</f>
        <v/>
      </c>
      <c r="AI319">
        <f>IF($C319="",0,IF($M319="",0,MAX(0,$M319)*MAX(0,AI$4)/100))</f>
        <v/>
      </c>
      <c r="AJ319">
        <f>IF($C319="",0,MAX(0,MAX(0,N($L319))-$V319))</f>
        <v/>
      </c>
      <c r="AK319">
        <f>IF($C319="",0,MAX(0,$AJ319-$W319))</f>
        <v/>
      </c>
      <c r="AL319">
        <f>IF($C319="",0,MAX(0,$AK319-$X319))</f>
        <v/>
      </c>
      <c r="AM319">
        <f>IF($C319="",0,MAX(0,$AL319-$Y319))</f>
        <v/>
      </c>
      <c r="AN319">
        <f>IF($C319="",0,MAX(0,$AM319-$Z319))</f>
        <v/>
      </c>
      <c r="AO319">
        <f>IF($C319="",0,MAX(0,$AN319-$AA319))</f>
        <v/>
      </c>
      <c r="AP319">
        <f>IF($C319="",0,MAX(0,$AO319-$AB319))</f>
        <v/>
      </c>
      <c r="AQ319">
        <f>IF($C319="",0,MAX(0,$AP319-$AC319))</f>
        <v/>
      </c>
      <c r="AR319">
        <f>IF($C319="",0,MAX(0,$AQ319-$AD319))</f>
        <v/>
      </c>
      <c r="AS319">
        <f>IF($C319="",0,MAX(0,$AR319-$AE319))</f>
        <v/>
      </c>
      <c r="AT319">
        <f>IF($C319="",0,MAX(0,$AS319-$AF319))</f>
        <v/>
      </c>
      <c r="AU319">
        <f>IF($C319="",0,MAX(0,$AT319-$AG319))</f>
        <v/>
      </c>
      <c r="AV319">
        <f>IF($C319="",0,MAX(0,$AU319-$AH319))</f>
        <v/>
      </c>
      <c r="AW319">
        <f>IF($C319="",0,MAX(0,$AV319-$AI319))</f>
        <v/>
      </c>
      <c r="AX319">
        <f>IF($C319="",0,MAX(0,MAX(0,N($L319))+IF($P319=V$3,$R319,0)+IF($S319=V$3,$U319,0)-$V319))</f>
        <v/>
      </c>
      <c r="AY319">
        <f>IF($C319="",0,MAX(0,$AX319+IF($P319=W$3,$R319,0)+IF($S319=W$3,$U319,0)-$W319))</f>
        <v/>
      </c>
      <c r="AZ319">
        <f>IF($C319="",0,MAX(0,$AY319+IF($P319=X$3,$R319,0)+IF($S319=X$3,$U319,0)-$X319))</f>
        <v/>
      </c>
      <c r="BA319">
        <f>IF($C319="",0,MAX(0,$AZ319+IF($P319=Y$3,$R319,0)+IF($S319=Y$3,$U319,0)-$Y319))</f>
        <v/>
      </c>
      <c r="BB319">
        <f>IF($C319="",0,MAX(0,$BA319+IF($P319=Z$3,$R319,0)+IF($S319=Z$3,$U319,0)-$Z319))</f>
        <v/>
      </c>
      <c r="BC319">
        <f>IF($C319="",0,MAX(0,$BB319+IF($P319=AA$3,$R319,0)+IF($S319=AA$3,$U319,0)-$AA319))</f>
        <v/>
      </c>
      <c r="BD319">
        <f>IF($C319="",0,MAX(0,$BC319+IF($P319=AB$3,$R319,0)+IF($S319=AB$3,$U319,0)-$AB319))</f>
        <v/>
      </c>
      <c r="BE319">
        <f>IF($C319="",0,MAX(0,$BD319+IF($P319=AC$3,$R319,0)+IF($S319=AC$3,$U319,0)-$AC319))</f>
        <v/>
      </c>
      <c r="BF319">
        <f>IF($C319="",0,MAX(0,$BE319+IF($P319=AD$3,$R319,0)+IF($S319=AD$3,$U319,0)-$AD319))</f>
        <v/>
      </c>
      <c r="BG319">
        <f>IF($C319="",0,MAX(0,$BF319+IF($P319=AE$3,$R319,0)+IF($S319=AE$3,$U319,0)-$AE319))</f>
        <v/>
      </c>
      <c r="BH319">
        <f>IF($C319="",0,MAX(0,$BG319+IF($P319=AF$3,$R319,0)+IF($S319=AF$3,$U319,0)-$AF319))</f>
        <v/>
      </c>
      <c r="BI319">
        <f>IF($C319="",0,MAX(0,$BH319+IF($P319=AG$3,$R319,0)+IF($S319=AG$3,$U319,0)-$AG319))</f>
        <v/>
      </c>
      <c r="BJ319">
        <f>IF($C319="",0,MAX(0,$BI319+IF($P319=AH$3,$R319,0)+IF($S319=AH$3,$U319,0)-$AH319))</f>
        <v/>
      </c>
      <c r="BK319">
        <f>IF($C319="",0,MAX(0,$BJ319+IF($P319=AI$3,$R319,0)+IF($S319=AI$3,$U319,0)-$AI319))</f>
        <v/>
      </c>
      <c r="BL319">
        <f>IF($C319="",99,IF(AND($AX319&lt;1,V$3&gt;=MAX(N($P319),N($S319))),0,99))</f>
        <v/>
      </c>
      <c r="BM319">
        <f>IF($C319="",99,IF(AND($AY319&lt;1,W$3&gt;=MAX(N($P319),N($S319))),1,99))</f>
        <v/>
      </c>
      <c r="BN319">
        <f>IF($C319="",99,IF(AND($AZ319&lt;1,X$3&gt;=MAX(N($P319),N($S319))),2,99))</f>
        <v/>
      </c>
      <c r="BO319">
        <f>IF($C319="",99,IF(AND($BA319&lt;1,Y$3&gt;=MAX(N($P319),N($S319))),3,99))</f>
        <v/>
      </c>
      <c r="BP319">
        <f>IF($C319="",99,IF(AND($BB319&lt;1,Z$3&gt;=MAX(N($P319),N($S319))),4,99))</f>
        <v/>
      </c>
      <c r="BQ319">
        <f>IF($C319="",99,IF(AND($BC319&lt;1,AA$3&gt;=MAX(N($P319),N($S319))),5,99))</f>
        <v/>
      </c>
      <c r="BR319">
        <f>IF($C319="",99,IF(AND($BD319&lt;1,AB$3&gt;=MAX(N($P319),N($S319))),6,99))</f>
        <v/>
      </c>
      <c r="BS319">
        <f>IF($C319="",99,IF(AND($BE319&lt;1,AC$3&gt;=MAX(N($P319),N($S319))),7,99))</f>
        <v/>
      </c>
      <c r="BT319">
        <f>IF($C319="",99,IF(AND($BF319&lt;1,AD$3&gt;=MAX(N($P319),N($S319))),8,99))</f>
        <v/>
      </c>
      <c r="BU319">
        <f>IF($C319="",99,IF(AND($BG319&lt;1,AE$3&gt;=MAX(N($P319),N($S319))),9,99))</f>
        <v/>
      </c>
      <c r="BV319">
        <f>IF($C319="",99,IF(AND($BH319&lt;1,AF$3&gt;=MAX(N($P319),N($S319))),10,99))</f>
        <v/>
      </c>
      <c r="BW319">
        <f>IF($C319="",99,IF(AND($BI319&lt;1,AG$3&gt;=MAX(N($P319),N($S319))),11,99))</f>
        <v/>
      </c>
      <c r="BX319">
        <f>IF($C319="",99,IF(AND($BJ319&lt;1,AH$3&gt;=MAX(N($P319),N($S319))),12,99))</f>
        <v/>
      </c>
      <c r="BY319">
        <f>IF($C319="",99,IF(AND($BK319&lt;1,AI$3&gt;=MAX(N($P319),N($S319))),13,99))</f>
        <v/>
      </c>
      <c r="BZ319">
        <f>IF(OR($C319="",$M319=""),"",COUNTIF($AJ319:$AW319,"&gt;=1"))</f>
        <v/>
      </c>
      <c r="CA319" s="90">
        <f>IF($BZ319="","",IF($BZ319&gt;=14,"",'設定'!$C$6+$BZ319))</f>
        <v/>
      </c>
      <c r="CB319">
        <f>IF(OR($C319="",$M319=""),"",MIN($BL319:$BY319))</f>
        <v/>
      </c>
      <c r="CC319" s="90">
        <f>IF($CB319="","",IF($CB319&gt;=99,"",'設定'!$C$6+$CB319))</f>
        <v/>
      </c>
      <c r="CD319">
        <f>IF(OR($C319="",$M319=""),"",AVERAGE($V319:$AI319))</f>
        <v/>
      </c>
      <c r="CE319">
        <f>IF($C319="","",IFERROR(IF(MATCH(IF(ISNUMBER($P319),$P319,'設定'!$C$6+N('設定'!$C$7)),$V$3:$AI$3,0)=1,MAX(0,N($L319)),INDEX($AJ319:$AW319,MATCH(IF(ISNUMBER($P319),$P319,'設定'!$C$6+N('設定'!$C$7)),$V$3:$AI$3,0)-1)),""))</f>
        <v/>
      </c>
      <c r="CF319">
        <f>IF(OR($C319="",$O319="",$CE319=""),"",IF($O319-$CE319&lt;=0,0,ROUNDUP(($O319-$CE319)/$G319,0)))</f>
        <v/>
      </c>
      <c r="CG319">
        <f>IF(OR($C319="",$CF319="",NOT(ISNUMBER($Q319))),0,MAX(0,$Q319-$CF319))</f>
        <v/>
      </c>
      <c r="CH319">
        <f>IF(OR($C319="",$O319="",$U319=0),0,IFERROR(ROUNDUP(MAX(0,IF(MATCH($S319,$V$3:$AI$3,0)=1,MAX(0,N($L319)),INDEX($AX319:$BK319,MATCH($S319,$V$3:$AI$3,0)-1))+$U319-$O319)/$G319,0),0))</f>
        <v/>
      </c>
      <c r="CI319">
        <f>IF($C319="","",IF(AND($P319="",$Q319=""),"",IF($P319="","⚠ 入庫日を ▼ から選んでください",IF(NOT(ISNUMBER($P319)),"⚠ 入庫日は ▼ から選んでください",IF($P319&lt;N('設定'!$C$6),"⚠ 入庫日が過去です（もう在庫に入っています）→ 消してください",IF($P319&gt;N('設定'!$C$6)+13,"⚠ 入庫日が14日より先です",IF(N($Q319)&lt;=0,"⚠ 入庫数を入れてください",IF($CG319&gt;0,"⚠ 目安より "&amp;$CG319&amp;" 多い（定数を超える）→ 減らす",""))))))))</f>
        <v/>
      </c>
      <c r="CJ319">
        <f>IF($C319="","",IF(AND($S319="",$T319=""),"",IF($S319="","⚠ 2便目：入庫日を ▼ から選んでください",IF(NOT(ISNUMBER($S319)),"⚠ 2便目：入庫日は ▼ から選んでください",IF($S319&lt;N('設定'!$C$6),"⚠ 2便目：入庫日が過去です（もう在庫に入っています）→ 消してください",IF($S319&gt;N('設定'!$C$6)+13,"⚠ 2便目：入庫日が14日より先です",IF(N($T319)&lt;=0,"⚠ 2便目：入庫数を入れてください",IF($CH319&gt;0,"⚠ 2便目：定数を "&amp;$CH319&amp;" ケース超える → 減らす",""))))))))</f>
        <v/>
      </c>
      <c r="CK319">
        <f>IF(AND($CI319="",N($Q319)&gt;0,ISNUMBER($P319)),1,0)</f>
        <v/>
      </c>
      <c r="CL319">
        <f>IF(AND($CJ319="",N($T319)&gt;0,ISNUMBER($S319)),1,0)</f>
        <v/>
      </c>
      <c r="CM319">
        <f>IF(OR($CK319=1,$CL319=1),1,0)</f>
        <v/>
      </c>
      <c r="CN319">
        <f>IF($C319="",0,($CK319*$R319+$CL319*$U319)*N($H319))</f>
        <v/>
      </c>
      <c r="CO319">
        <f>IF($C319="","",IF($CC319="","入庫後は 14日以上もつ",IF($CC319-N('設定'!$C$7)&lt;='設定'!$C$6,"入庫後も "&amp;TEXT($CC319,"m/d")&amp;"("&amp;CHOOSE(WEEKDAY($CC319),"日","月","火","水","木","金","土")&amp;")"&amp;" に切れる　もう1便を至急発注","入庫後も "&amp;TEXT($CC319,"m/d")&amp;"("&amp;CHOOSE(WEEKDAY($CC319),"日","月","火","水","木","金","土")&amp;")"&amp;" に切れる　"&amp;TEXT($CC319-N('設定'!$C$7),"m/d")&amp;"("&amp;CHOOSE(WEEKDAY($CC319-N('設定'!$C$7)),"日","月","火","水","木","金","土")&amp;")"&amp;" までに次を発注")))</f>
        <v/>
      </c>
      <c r="CP319">
        <f>IF($C319="","",IF('設定'!$C$6="","？ ①在庫を貼る に今日のCSVが貼られていない",IF($CS319=1,"－ 今日のCSVに無い（終売？）",IF($L319&lt;0,"● 在庫がマイナス　数えて「数えた在庫」に入れる",IF($L319=0,"● 在庫なし　至急発注",IF($M319="","？ 減り数が未設定（商品マスタ）",IF($B$3=0,"？ 動員が未入力（動員を入れる）",IF($CA319="","○ 14日以上もつ",IF($BZ319&lt;N('設定'!$C$7),"● "&amp;TEXT($CA319,"m/d")&amp;"("&amp;CHOOSE(WEEKDAY($CA319),"日","月","火","水","木","金","土")&amp;")"&amp;" に切れる　至急発注",IF($BZ319=N('設定'!$C$7),"● "&amp;TEXT($CA319,"m/d")&amp;"("&amp;CHOOSE(WEEKDAY($CA319),"日","月","火","水","木","金","土")&amp;")"&amp;" に切れる　今日発注","△ "&amp;TEXT($CA319,"m/d")&amp;"("&amp;CHOOSE(WEEKDAY($CA319),"日","月","火","水","木","金","土")&amp;")"&amp;" に切れる　"&amp;TEXT($CA319-N('設定'!$C$7),"m/d")&amp;"("&amp;CHOOSE(WEEKDAY($CA319-N('設定'!$C$7)),"日","月","火","水","木","金","土")&amp;")"&amp;" までに発注"))))))))))</f>
        <v/>
      </c>
      <c r="CQ319">
        <f>IF($C319="","",IF(AND($P319="",$Q319="",$S319="",$T319=""),"",IF(AND($P319="",$Q319=""),"⚠ 先に1便目（左の入庫日・入庫数）に入れてください",IF($CI319&lt;&gt;"",$CI319,IF($CJ319&lt;&gt;"",$CJ319,IF($M319="","？ 減り数が未設定（発注書には載ります）",IF($B$3=0,"？ 動員が未入力（発注書には載ります）",IF(AND($CA319&lt;&gt;"",$P319&gt;$CA319),IF($P319&gt;'設定'!$C$6+N('設定'!$C$7),"● "&amp;TEXT($P319,"m/d")&amp;"("&amp;CHOOSE(WEEKDAY($P319),"日","月","火","水","木","金","土")&amp;")"&amp;" の入庫では間に合わない（"&amp;TEXT($CA319,"m/d")&amp;"("&amp;CHOOSE(WEEKDAY($CA319),"日","月","火","水","木","金","土")&amp;")"&amp;" に切れる）　入庫日を早める","△ 欠品 "&amp;TEXT($CA319,"m/d")&amp;"("&amp;CHOOSE(WEEKDAY($CA319),"日","月","火","水","木","金","土")&amp;")"&amp;"〜"&amp;TEXT($P319-1,"m/d")&amp;"("&amp;CHOOSE(WEEKDAY($P319-1),"日","月","火","水","木","金","土")&amp;")"&amp;"　"&amp;$CO319),IF($CC319="","○ "&amp;TEXT($P319,"m/d")&amp;"("&amp;CHOOSE(WEEKDAY($P319),"日","月","火","水","木","金","土")&amp;")"&amp;" 入庫で 14日以上もつ",IF($CC319-N('設定'!$C$7)&lt;='設定'!$C$6,"● 入庫しても "&amp;TEXT($CC319,"m/d")&amp;"("&amp;CHOOSE(WEEKDAY($CC319),"日","月","火","水","木","金","土")&amp;")"&amp;" に切れる　もう1便を至急発注（2便目に入れる）","△ 入庫しても "&amp;TEXT($CC319,"m/d")&amp;"("&amp;CHOOSE(WEEKDAY($CC319),"日","月","火","水","木","金","土")&amp;")"&amp;" に切れる　"&amp;TEXT($CC319-N('設定'!$C$7),"m/d")&amp;"("&amp;CHOOSE(WEEKDAY($CC319-N('設定'!$C$7)),"日","月","火","水","木","金","土")&amp;")"&amp;" までに次を発注（2便目に入れる）"))))))))))</f>
        <v/>
      </c>
      <c r="CR319">
        <f>IF($C319="","",IF($G319&gt;1,"ｹｰｽ("&amp;$G319&amp;"入)","個"))</f>
        <v/>
      </c>
      <c r="CS319">
        <f>IF($C319="",0,IF(COUNTIFS('①在庫を貼る'!$V$6:$V$10005,'設定'!$C$4,'①在庫を貼る'!$W$6:$W$10005,$C319)=0,1,0))</f>
        <v/>
      </c>
      <c r="CT319">
        <f>IF(AND($CK319=1,OR('③発注書'!$C$4="すべて",'③発注書'!$C$4="",$F319='③発注書'!$C$4)),N($CT318)+1,N($CT318))</f>
        <v/>
      </c>
      <c r="CU319">
        <f>IF(AND($CL319=1,OR('③発注書'!$C$4="すべて",'③発注書'!$C$4="",$F319='③発注書'!$C$4)),N($CU318)+1,N($CU318))</f>
        <v/>
      </c>
      <c r="CV319">
        <f>IF($C319="",0,IF(COUNTIFS('①在庫を貼る'!$V$6:$V$10005,'設定'!$C$4,'①在庫を貼る'!$W$6:$W$10005,$C319)&gt;0,1,0))</f>
        <v/>
      </c>
      <c r="CW319">
        <f>IF($C319="",0,IF(COUNTIFS('月1回_1ヶ月前の在庫'!$V$6:$V$10005,'設定'!$C$4,'月1回_1ヶ月前の在庫'!$W$6:$W$10005,$C319)&gt;0,1,0))</f>
        <v/>
      </c>
      <c r="CX319">
        <f>IF($C319="",0,IF(COUNTIFS('月1回_2ヶ月前の在庫'!$V$6:$V$10005,'設定'!$C$4,'月1回_2ヶ月前の在庫'!$W$6:$W$10005,$C319)&gt;0,1,0))</f>
        <v/>
      </c>
      <c r="CY319">
        <f>IF(OR($C319="",'設定'!$C$12=""),"",IF('設定'!$C$13="",IF(AND($CV319=1,$CW319=0),"新商品（今月から）",IF(AND($CV319=0,$CW319=1),"終売（今月から）","")),IF(AND($CV319=1,$CW319=0,$CX319=0),"新商品（今月から）",IF(AND($CV319=1,$CW319=1,$CX319=0),"新商品（先月から）",IF(AND($CV319=0,$CW319=1,$CX319=1),"終売（今月から）",IF(AND($CV319=0,$CW319=0,$CX319=1),"終売（先月から）",IF(AND($CV319=1,$CW319=0,$CX319=1),"復活（先月は無し）","")))))))</f>
        <v/>
      </c>
    </row>
    <row r="320">
      <c r="B320">
        <f>IF(315&lt;='設定'!$C$11,315,"")</f>
        <v/>
      </c>
      <c r="C320">
        <f>IF($B320="","",IF($B320&lt;='設定'!$C$20,INDEX('商品マスタ'!$B$6:$B$1005,MATCH($B320,'商品マスタ'!$M$6:$M$1005,0)),IF($B320&lt;='設定'!$C$20+'設定'!$C$17,INDEX('①在庫を貼る'!$W$6:$W$10005,MATCH($B320-'設定'!$C$20,'①在庫を貼る'!$U$6:$U$10005,0)),IF($B320&lt;='設定'!$C$20+'設定'!$C$17+'設定'!$C$18,INDEX('月1回_1ヶ月前の在庫'!$W$6:$W$10005,MATCH($B320-'設定'!$C$20-'設定'!$C$17,'月1回_1ヶ月前の在庫'!$U$6:$U$10005,0)),INDEX('月1回_2ヶ月前の在庫'!$W$6:$W$10005,MATCH($B320-'設定'!$C$20-'設定'!$C$17-'設定'!$C$18,'月1回_2ヶ月前の在庫'!$U$6:$U$10005,0))))))</f>
        <v/>
      </c>
      <c r="D320">
        <f>IF($C320="","",IFERROR(IF(INDEX('商品マスタ'!$C$6:$C$1005,MATCH($C320,'商品マスタ'!$B$6:$B$1005,0))="",IFERROR(INDEX('①在庫を貼る'!$J$6:$J$10005,MATCH($C320,'①在庫を貼る'!$W$6:$W$10005,0)),IFERROR(INDEX('月1回_1ヶ月前の在庫'!$J$6:$J$10005,MATCH($C320,'月1回_1ヶ月前の在庫'!$W$6:$W$10005,0)),IFERROR(INDEX('月1回_2ヶ月前の在庫'!$J$6:$J$10005,MATCH($C320,'月1回_2ヶ月前の在庫'!$W$6:$W$10005,0)),""))),INDEX('商品マスタ'!$C$6:$C$1005,MATCH($C320,'商品マスタ'!$B$6:$B$1005,0))),IFERROR(INDEX('①在庫を貼る'!$J$6:$J$10005,MATCH($C320,'①在庫を貼る'!$W$6:$W$10005,0)),IFERROR(INDEX('月1回_1ヶ月前の在庫'!$J$6:$J$10005,MATCH($C320,'月1回_1ヶ月前の在庫'!$W$6:$W$10005,0)),IFERROR(INDEX('月1回_2ヶ月前の在庫'!$J$6:$J$10005,MATCH($C320,'月1回_2ヶ月前の在庫'!$W$6:$W$10005,0)),"")))))</f>
        <v/>
      </c>
      <c r="E320">
        <f>IF($C320="","",IFERROR(IF(INDEX('商品マスタ'!$D$6:$D$1005,MATCH($C320,'商品マスタ'!$B$6:$B$1005,0))="",IFERROR(INDEX('①在庫を貼る'!$H$6:$H$10005,MATCH($C320,'①在庫を貼る'!$W$6:$W$10005,0)),IFERROR(INDEX('月1回_1ヶ月前の在庫'!$H$6:$H$10005,MATCH($C320,'月1回_1ヶ月前の在庫'!$W$6:$W$10005,0)),IFERROR(INDEX('月1回_2ヶ月前の在庫'!$H$6:$H$10005,MATCH($C320,'月1回_2ヶ月前の在庫'!$W$6:$W$10005,0)),""))),INDEX('商品マスタ'!$D$6:$D$1005,MATCH($C320,'商品マスタ'!$B$6:$B$1005,0))),IFERROR(INDEX('①在庫を貼る'!$H$6:$H$10005,MATCH($C320,'①在庫を貼る'!$W$6:$W$10005,0)),IFERROR(INDEX('月1回_1ヶ月前の在庫'!$H$6:$H$10005,MATCH($C320,'月1回_1ヶ月前の在庫'!$W$6:$W$10005,0)),IFERROR(INDEX('月1回_2ヶ月前の在庫'!$H$6:$H$10005,MATCH($C320,'月1回_2ヶ月前の在庫'!$W$6:$W$10005,0)),"")))))</f>
        <v/>
      </c>
      <c r="F320">
        <f>IF($C320="","",IFERROR(IF(INDEX('商品マスタ'!$E$6:$E$1005,MATCH($C320,'商品マスタ'!$B$6:$B$1005,0))="",IFERROR(INDEX('①在庫を貼る'!$E$6:$E$10005,MATCH($C320,'①在庫を貼る'!$W$6:$W$10005,0)),IFERROR(INDEX('月1回_1ヶ月前の在庫'!$E$6:$E$10005,MATCH($C320,'月1回_1ヶ月前の在庫'!$W$6:$W$10005,0)),IFERROR(INDEX('月1回_2ヶ月前の在庫'!$E$6:$E$10005,MATCH($C320,'月1回_2ヶ月前の在庫'!$W$6:$W$10005,0)),""))),INDEX('商品マスタ'!$E$6:$E$1005,MATCH($C320,'商品マスタ'!$B$6:$B$1005,0))),IFERROR(INDEX('①在庫を貼る'!$E$6:$E$10005,MATCH($C320,'①在庫を貼る'!$W$6:$W$10005,0)),IFERROR(INDEX('月1回_1ヶ月前の在庫'!$E$6:$E$10005,MATCH($C320,'月1回_1ヶ月前の在庫'!$W$6:$W$10005,0)),IFERROR(INDEX('月1回_2ヶ月前の在庫'!$E$6:$E$10005,MATCH($C320,'月1回_2ヶ月前の在庫'!$W$6:$W$10005,0)),"")))))</f>
        <v/>
      </c>
      <c r="G320">
        <f>IF($C320="","",MAX(1,N(IFERROR(IF(INDEX('商品マスタ'!$F$6:$F$1005,MATCH($C320,'商品マスタ'!$B$6:$B$1005,0))="",IF(COUNTIFS('①在庫を貼る'!$V$6:$V$10005,'設定'!$C$4,'①在庫を貼る'!$W$6:$W$10005,$C320)&gt;0,SUMIFS('①在庫を貼る'!$K$6:$K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K$6:$K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K$6:$K$10005,'月1回_2ヶ月前の在庫'!$V$6:$V$10005,'設定'!$C$4,'月1回_2ヶ月前の在庫'!$W$6:$W$10005,$C320)/COUNTIFS('月1回_2ヶ月前の在庫'!$V$6:$V$10005,'設定'!$C$4,'月1回_2ヶ月前の在庫'!$W$6:$W$10005,$C320),0))),INDEX('商品マスタ'!$F$6:$F$1005,MATCH($C320,'商品マスタ'!$B$6:$B$1005,0))),IF(COUNTIFS('①在庫を貼る'!$V$6:$V$10005,'設定'!$C$4,'①在庫を貼る'!$W$6:$W$10005,$C320)&gt;0,SUMIFS('①在庫を貼る'!$K$6:$K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K$6:$K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K$6:$K$10005,'月1回_2ヶ月前の在庫'!$V$6:$V$10005,'設定'!$C$4,'月1回_2ヶ月前の在庫'!$W$6:$W$10005,$C320)/COUNTIFS('月1回_2ヶ月前の在庫'!$V$6:$V$10005,'設定'!$C$4,'月1回_2ヶ月前の在庫'!$W$6:$W$10005,$C320),0)))))))</f>
        <v/>
      </c>
      <c r="H320">
        <f>IF($C320="","",N(IFERROR(IF(INDEX('商品マスタ'!$G$6:$G$1005,MATCH($C320,'商品マスタ'!$B$6:$B$1005,0))="",IF(COUNTIFS('①在庫を貼る'!$V$6:$V$10005,'設定'!$C$4,'①在庫を貼る'!$W$6:$W$10005,$C320)&gt;0,SUMIFS('①在庫を貼る'!$Q$6:$Q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Q$6:$Q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Q$6:$Q$10005,'月1回_2ヶ月前の在庫'!$V$6:$V$10005,'設定'!$C$4,'月1回_2ヶ月前の在庫'!$W$6:$W$10005,$C320)/COUNTIFS('月1回_2ヶ月前の在庫'!$V$6:$V$10005,'設定'!$C$4,'月1回_2ヶ月前の在庫'!$W$6:$W$10005,$C320),0))),INDEX('商品マスタ'!$G$6:$G$1005,MATCH($C320,'商品マスタ'!$B$6:$B$1005,0))),IF(COUNTIFS('①在庫を貼る'!$V$6:$V$10005,'設定'!$C$4,'①在庫を貼る'!$W$6:$W$10005,$C320)&gt;0,SUMIFS('①在庫を貼る'!$Q$6:$Q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Q$6:$Q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Q$6:$Q$10005,'月1回_2ヶ月前の在庫'!$V$6:$V$10005,'設定'!$C$4,'月1回_2ヶ月前の在庫'!$W$6:$W$10005,$C320)/COUNTIFS('月1回_2ヶ月前の在庫'!$V$6:$V$10005,'設定'!$C$4,'月1回_2ヶ月前の在庫'!$W$6:$W$10005,$C320),0))))))</f>
        <v/>
      </c>
      <c r="I320">
        <f>IF($C320="","",IF(COUNTIFS('①在庫を貼る'!$V$6:$V$10005,'設定'!$C$4,'①在庫を貼る'!$W$6:$W$10005,$C320)=0,"",SUMIFS('①在庫を貼る'!$N$6:$N$10005,'①在庫を貼る'!$V$6:$V$10005,'設定'!$C$4,'①在庫を貼る'!$W$6:$W$10005,$C320)))</f>
        <v/>
      </c>
      <c r="J320">
        <f>IF($C320="","",IF('②発注する'!$AD324="","",'②発注する'!$AD324))</f>
        <v/>
      </c>
      <c r="K320" s="90">
        <f>IF($C320="","",IF('②発注する'!$AE324="","",'②発注する'!$AE324))</f>
        <v/>
      </c>
      <c r="L320">
        <f>IF($C320="","",IF(AND(ISNUMBER($J320),ISNUMBER($K320),$K320&gt;='設定'!$C$6),$J320,N($I320)))</f>
        <v/>
      </c>
      <c r="M320">
        <f>IF($C320="","",IFERROR(IF(N(INDEX('商品マスタ'!$J$6:$J$1005,MATCH($C320,'商品マスタ'!$B$6:$B$1005,0)))&gt;0,INDEX('商品マスタ'!$J$6:$J$1005,MATCH($C320,'商品マスタ'!$B$6:$B$1005,0)),""),""))</f>
        <v/>
      </c>
      <c r="N320">
        <f>IF($C320="","",IFERROR(IF(N(INDEX('商品マスタ'!$H$6:$H$1005,MATCH($C320,'商品マスタ'!$B$6:$B$1005,0)))&gt;0,INDEX('商品マスタ'!$H$6:$H$1005,MATCH($C320,'商品マスタ'!$B$6:$B$1005,0)),""),""))</f>
        <v/>
      </c>
      <c r="O320">
        <f>IF($C320="","",IF($N320&lt;&gt;"",$N320*$G320,IF(N(IF(COUNTIFS('①在庫を貼る'!$V$6:$V$10005,'設定'!$C$4,'①在庫を貼る'!$W$6:$W$10005,$C320)&gt;0,SUMIFS('①在庫を貼る'!$O$6:$O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O$6:$O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O$6:$O$10005,'月1回_2ヶ月前の在庫'!$V$6:$V$10005,'設定'!$C$4,'月1回_2ヶ月前の在庫'!$W$6:$W$10005,$C320)/COUNTIFS('月1回_2ヶ月前の在庫'!$V$6:$V$10005,'設定'!$C$4,'月1回_2ヶ月前の在庫'!$W$6:$W$10005,$C320),0))))&gt;0,N(IF(COUNTIFS('①在庫を貼る'!$V$6:$V$10005,'設定'!$C$4,'①在庫を貼る'!$W$6:$W$10005,$C320)&gt;0,SUMIFS('①在庫を貼る'!$O$6:$O$10005,'①在庫を貼る'!$V$6:$V$10005,'設定'!$C$4,'①在庫を貼る'!$W$6:$W$10005,$C320)/COUNTIFS('①在庫を貼る'!$V$6:$V$10005,'設定'!$C$4,'①在庫を貼る'!$W$6:$W$10005,$C320),IF(COUNTIFS('月1回_1ヶ月前の在庫'!$V$6:$V$10005,'設定'!$C$4,'月1回_1ヶ月前の在庫'!$W$6:$W$10005,$C320)&gt;0,SUMIFS('月1回_1ヶ月前の在庫'!$O$6:$O$10005,'月1回_1ヶ月前の在庫'!$V$6:$V$10005,'設定'!$C$4,'月1回_1ヶ月前の在庫'!$W$6:$W$10005,$C320)/COUNTIFS('月1回_1ヶ月前の在庫'!$V$6:$V$10005,'設定'!$C$4,'月1回_1ヶ月前の在庫'!$W$6:$W$10005,$C320),IF(COUNTIFS('月1回_2ヶ月前の在庫'!$V$6:$V$10005,'設定'!$C$4,'月1回_2ヶ月前の在庫'!$W$6:$W$10005,$C320)&gt;0,SUMIFS('月1回_2ヶ月前の在庫'!$O$6:$O$10005,'月1回_2ヶ月前の在庫'!$V$6:$V$10005,'設定'!$C$4,'月1回_2ヶ月前の在庫'!$W$6:$W$10005,$C320)/COUNTIFS('月1回_2ヶ月前の在庫'!$V$6:$V$10005,'設定'!$C$4,'月1回_2ヶ月前の在庫'!$W$6:$W$10005,$C320),0)))),"")))</f>
        <v/>
      </c>
      <c r="P320" s="90">
        <f>IF($C320="","",IF('②発注する'!$I324="","",'②発注する'!$I324))</f>
        <v/>
      </c>
      <c r="Q320">
        <f>IF($C320="","",IF('②発注する'!$J324="","",'②発注する'!$J324))</f>
        <v/>
      </c>
      <c r="R320">
        <f>IF($C320="",0,IF(AND(ISNUMBER($P320),ISNUMBER($Q320)),MAX(0,$Q320)*$G320,0))</f>
        <v/>
      </c>
      <c r="S320" s="90">
        <f>IF($C320="","",IF('②発注する'!$M324="","",'②発注する'!$M324))</f>
        <v/>
      </c>
      <c r="T320">
        <f>IF($C320="","",IF('②発注する'!$N324="","",'②発注する'!$N324))</f>
        <v/>
      </c>
      <c r="U320">
        <f>IF($C320="",0,IF(AND(ISNUMBER($S320),ISNUMBER($T320)),MAX(0,$T320)*$G320,0))</f>
        <v/>
      </c>
      <c r="V320">
        <f>IF($C320="",0,IF($M320="",0,MAX(0,$M320)*MAX(0,V$4)/100))</f>
        <v/>
      </c>
      <c r="W320">
        <f>IF($C320="",0,IF($M320="",0,MAX(0,$M320)*MAX(0,W$4)/100))</f>
        <v/>
      </c>
      <c r="X320">
        <f>IF($C320="",0,IF($M320="",0,MAX(0,$M320)*MAX(0,X$4)/100))</f>
        <v/>
      </c>
      <c r="Y320">
        <f>IF($C320="",0,IF($M320="",0,MAX(0,$M320)*MAX(0,Y$4)/100))</f>
        <v/>
      </c>
      <c r="Z320">
        <f>IF($C320="",0,IF($M320="",0,MAX(0,$M320)*MAX(0,Z$4)/100))</f>
        <v/>
      </c>
      <c r="AA320">
        <f>IF($C320="",0,IF($M320="",0,MAX(0,$M320)*MAX(0,AA$4)/100))</f>
        <v/>
      </c>
      <c r="AB320">
        <f>IF($C320="",0,IF($M320="",0,MAX(0,$M320)*MAX(0,AB$4)/100))</f>
        <v/>
      </c>
      <c r="AC320">
        <f>IF($C320="",0,IF($M320="",0,MAX(0,$M320)*MAX(0,AC$4)/100))</f>
        <v/>
      </c>
      <c r="AD320">
        <f>IF($C320="",0,IF($M320="",0,MAX(0,$M320)*MAX(0,AD$4)/100))</f>
        <v/>
      </c>
      <c r="AE320">
        <f>IF($C320="",0,IF($M320="",0,MAX(0,$M320)*MAX(0,AE$4)/100))</f>
        <v/>
      </c>
      <c r="AF320">
        <f>IF($C320="",0,IF($M320="",0,MAX(0,$M320)*MAX(0,AF$4)/100))</f>
        <v/>
      </c>
      <c r="AG320">
        <f>IF($C320="",0,IF($M320="",0,MAX(0,$M320)*MAX(0,AG$4)/100))</f>
        <v/>
      </c>
      <c r="AH320">
        <f>IF($C320="",0,IF($M320="",0,MAX(0,$M320)*MAX(0,AH$4)/100))</f>
        <v/>
      </c>
      <c r="AI320">
        <f>IF($C320="",0,IF($M320="",0,MAX(0,$M320)*MAX(0,AI$4)/100))</f>
        <v/>
      </c>
      <c r="AJ320">
        <f>IF($C320="",0,MAX(0,MAX(0,N($L320))-$V320))</f>
        <v/>
      </c>
      <c r="AK320">
        <f>IF($C320="",0,MAX(0,$AJ320-$W320))</f>
        <v/>
      </c>
      <c r="AL320">
        <f>IF($C320="",0,MAX(0,$AK320-$X320))</f>
        <v/>
      </c>
      <c r="AM320">
        <f>IF($C320="",0,MAX(0,$AL320-$Y320))</f>
        <v/>
      </c>
      <c r="AN320">
        <f>IF($C320="",0,MAX(0,$AM320-$Z320))</f>
        <v/>
      </c>
      <c r="AO320">
        <f>IF($C320="",0,MAX(0,$AN320-$AA320))</f>
        <v/>
      </c>
      <c r="AP320">
        <f>IF($C320="",0,MAX(0,$AO320-$AB320))</f>
        <v/>
      </c>
      <c r="AQ320">
        <f>IF($C320="",0,MAX(0,$AP320-$AC320))</f>
        <v/>
      </c>
      <c r="AR320">
        <f>IF($C320="",0,MAX(0,$AQ320-$AD320))</f>
        <v/>
      </c>
      <c r="AS320">
        <f>IF($C320="",0,MAX(0,$AR320-$AE320))</f>
        <v/>
      </c>
      <c r="AT320">
        <f>IF($C320="",0,MAX(0,$AS320-$AF320))</f>
        <v/>
      </c>
      <c r="AU320">
        <f>IF($C320="",0,MAX(0,$AT320-$AG320))</f>
        <v/>
      </c>
      <c r="AV320">
        <f>IF($C320="",0,MAX(0,$AU320-$AH320))</f>
        <v/>
      </c>
      <c r="AW320">
        <f>IF($C320="",0,MAX(0,$AV320-$AI320))</f>
        <v/>
      </c>
      <c r="AX320">
        <f>IF($C320="",0,MAX(0,MAX(0,N($L320))+IF($P320=V$3,$R320,0)+IF($S320=V$3,$U320,0)-$V320))</f>
        <v/>
      </c>
      <c r="AY320">
        <f>IF($C320="",0,MAX(0,$AX320+IF($P320=W$3,$R320,0)+IF($S320=W$3,$U320,0)-$W320))</f>
        <v/>
      </c>
      <c r="AZ320">
        <f>IF($C320="",0,MAX(0,$AY320+IF($P320=X$3,$R320,0)+IF($S320=X$3,$U320,0)-$X320))</f>
        <v/>
      </c>
      <c r="BA320">
        <f>IF($C320="",0,MAX(0,$AZ320+IF($P320=Y$3,$R320,0)+IF($S320=Y$3,$U320,0)-$Y320))</f>
        <v/>
      </c>
      <c r="BB320">
        <f>IF($C320="",0,MAX(0,$BA320+IF($P320=Z$3,$R320,0)+IF($S320=Z$3,$U320,0)-$Z320))</f>
        <v/>
      </c>
      <c r="BC320">
        <f>IF($C320="",0,MAX(0,$BB320+IF($P320=AA$3,$R320,0)+IF($S320=AA$3,$U320,0)-$AA320))</f>
        <v/>
      </c>
      <c r="BD320">
        <f>IF($C320="",0,MAX(0,$BC320+IF($P320=AB$3,$R320,0)+IF($S320=AB$3,$U320,0)-$AB320))</f>
        <v/>
      </c>
      <c r="BE320">
        <f>IF($C320="",0,MAX(0,$BD320+IF($P320=AC$3,$R320,0)+IF($S320=AC$3,$U320,0)-$AC320))</f>
        <v/>
      </c>
      <c r="BF320">
        <f>IF($C320="",0,MAX(0,$BE320+IF($P320=AD$3,$R320,0)+IF($S320=AD$3,$U320,0)-$AD320))</f>
        <v/>
      </c>
      <c r="BG320">
        <f>IF($C320="",0,MAX(0,$BF320+IF($P320=AE$3,$R320,0)+IF($S320=AE$3,$U320,0)-$AE320))</f>
        <v/>
      </c>
      <c r="BH320">
        <f>IF($C320="",0,MAX(0,$BG320+IF($P320=AF$3,$R320,0)+IF($S320=AF$3,$U320,0)-$AF320))</f>
        <v/>
      </c>
      <c r="BI320">
        <f>IF($C320="",0,MAX(0,$BH320+IF($P320=AG$3,$R320,0)+IF($S320=AG$3,$U320,0)-$AG320))</f>
        <v/>
      </c>
      <c r="BJ320">
        <f>IF($C320="",0,MAX(0,$BI320+IF($P320=AH$3,$R320,0)+IF($S320=AH$3,$U320,0)-$AH320))</f>
        <v/>
      </c>
      <c r="BK320">
        <f>IF($C320="",0,MAX(0,$BJ320+IF($P320=AI$3,$R320,0)+IF($S320=AI$3,$U320,0)-$AI320))</f>
        <v/>
      </c>
      <c r="BL320">
        <f>IF($C320="",99,IF(AND($AX320&lt;1,V$3&gt;=MAX(N($P320),N($S320))),0,99))</f>
        <v/>
      </c>
      <c r="BM320">
        <f>IF($C320="",99,IF(AND($AY320&lt;1,W$3&gt;=MAX(N($P320),N($S320))),1,99))</f>
        <v/>
      </c>
      <c r="BN320">
        <f>IF($C320="",99,IF(AND($AZ320&lt;1,X$3&gt;=MAX(N($P320),N($S320))),2,99))</f>
        <v/>
      </c>
      <c r="BO320">
        <f>IF($C320="",99,IF(AND($BA320&lt;1,Y$3&gt;=MAX(N($P320),N($S320))),3,99))</f>
        <v/>
      </c>
      <c r="BP320">
        <f>IF($C320="",99,IF(AND($BB320&lt;1,Z$3&gt;=MAX(N($P320),N($S320))),4,99))</f>
        <v/>
      </c>
      <c r="BQ320">
        <f>IF($C320="",99,IF(AND($BC320&lt;1,AA$3&gt;=MAX(N($P320),N($S320))),5,99))</f>
        <v/>
      </c>
      <c r="BR320">
        <f>IF($C320="",99,IF(AND($BD320&lt;1,AB$3&gt;=MAX(N($P320),N($S320))),6,99))</f>
        <v/>
      </c>
      <c r="BS320">
        <f>IF($C320="",99,IF(AND($BE320&lt;1,AC$3&gt;=MAX(N($P320),N($S320))),7,99))</f>
        <v/>
      </c>
      <c r="BT320">
        <f>IF($C320="",99,IF(AND($BF320&lt;1,AD$3&gt;=MAX(N($P320),N($S320))),8,99))</f>
        <v/>
      </c>
      <c r="BU320">
        <f>IF($C320="",99,IF(AND($BG320&lt;1,AE$3&gt;=MAX(N($P320),N($S320))),9,99))</f>
        <v/>
      </c>
      <c r="BV320">
        <f>IF($C320="",99,IF(AND($BH320&lt;1,AF$3&gt;=MAX(N($P320),N($S320))),10,99))</f>
        <v/>
      </c>
      <c r="BW320">
        <f>IF($C320="",99,IF(AND($BI320&lt;1,AG$3&gt;=MAX(N($P320),N($S320))),11,99))</f>
        <v/>
      </c>
      <c r="BX320">
        <f>IF($C320="",99,IF(AND($BJ320&lt;1,AH$3&gt;=MAX(N($P320),N($S320))),12,99))</f>
        <v/>
      </c>
      <c r="BY320">
        <f>IF($C320="",99,IF(AND($BK320&lt;1,AI$3&gt;=MAX(N($P320),N($S320))),13,99))</f>
        <v/>
      </c>
      <c r="BZ320">
        <f>IF(OR($C320="",$M320=""),"",COUNTIF($AJ320:$AW320,"&gt;=1"))</f>
        <v/>
      </c>
      <c r="CA320" s="90">
        <f>IF($BZ320="","",IF($BZ320&gt;=14,"",'設定'!$C$6+$BZ320))</f>
        <v/>
      </c>
      <c r="CB320">
        <f>IF(OR($C320="",$M320=""),"",MIN($BL320:$BY320))</f>
        <v/>
      </c>
      <c r="CC320" s="90">
        <f>IF($CB320="","",IF($CB320&gt;=99,"",'設定'!$C$6+$CB320))</f>
        <v/>
      </c>
      <c r="CD320">
        <f>IF(OR($C320="",$M320=""),"",AVERAGE($V320:$AI320))</f>
        <v/>
      </c>
      <c r="CE320">
        <f>IF($C320="","",IFERROR(IF(MATCH(IF(ISNUMBER($P320),$P320,'設定'!$C$6+N('設定'!$C$7)),$V$3:$AI$3,0)=1,MAX(0,N($L320)),INDEX($AJ320:$AW320,MATCH(IF(ISNUMBER($P320),$P320,'設定'!$C$6+N('設定'!$C$7)),$V$3:$AI$3,0)-1)),""))</f>
        <v/>
      </c>
      <c r="CF320">
        <f>IF(OR($C320="",$O320="",$CE320=""),"",IF($O320-$CE320&lt;=0,0,ROUNDUP(($O320-$CE320)/$G320,0)))</f>
        <v/>
      </c>
      <c r="CG320">
        <f>IF(OR($C320="",$CF320="",NOT(ISNUMBER($Q320))),0,MAX(0,$Q320-$CF320))</f>
        <v/>
      </c>
      <c r="CH320">
        <f>IF(OR($C320="",$O320="",$U320=0),0,IFERROR(ROUNDUP(MAX(0,IF(MATCH($S320,$V$3:$AI$3,0)=1,MAX(0,N($L320)),INDEX($AX320:$BK320,MATCH($S320,$V$3:$AI$3,0)-1))+$U320-$O320)/$G320,0),0))</f>
        <v/>
      </c>
      <c r="CI320">
        <f>IF($C320="","",IF(AND($P320="",$Q320=""),"",IF($P320="","⚠ 入庫日を ▼ から選んでください",IF(NOT(ISNUMBER($P320)),"⚠ 入庫日は ▼ から選んでください",IF($P320&lt;N('設定'!$C$6),"⚠ 入庫日が過去です（もう在庫に入っています）→ 消してください",IF($P320&gt;N('設定'!$C$6)+13,"⚠ 入庫日が14日より先です",IF(N($Q320)&lt;=0,"⚠ 入庫数を入れてください",IF($CG320&gt;0,"⚠ 目安より "&amp;$CG320&amp;" 多い（定数を超える）→ 減らす",""))))))))</f>
        <v/>
      </c>
      <c r="CJ320">
        <f>IF($C320="","",IF(AND($S320="",$T320=""),"",IF($S320="","⚠ 2便目：入庫日を ▼ から選んでください",IF(NOT(ISNUMBER($S320)),"⚠ 2便目：入庫日は ▼ から選んでください",IF($S320&lt;N('設定'!$C$6),"⚠ 2便目：入庫日が過去です（もう在庫に入っています）→ 消してください",IF($S320&gt;N('設定'!$C$6)+13,"⚠ 2便目：入庫日が14日より先です",IF(N($T320)&lt;=0,"⚠ 2便目：入庫数を入れてください",IF($CH320&gt;0,"⚠ 2便目：定数を "&amp;$CH320&amp;" ケース超える → 減らす",""))))))))</f>
        <v/>
      </c>
      <c r="CK320">
        <f>IF(AND($CI320="",N($Q320)&gt;0,ISNUMBER($P320)),1,0)</f>
        <v/>
      </c>
      <c r="CL320">
        <f>IF(AND($CJ320="",N($T320)&gt;0,ISNUMBER($S320)),1,0)</f>
        <v/>
      </c>
      <c r="CM320">
        <f>IF(OR($CK320=1,$CL320=1),1,0)</f>
        <v/>
      </c>
      <c r="CN320">
        <f>IF($C320="",0,($CK320*$R320+$CL320*$U320)*N($H320))</f>
        <v/>
      </c>
      <c r="CO320">
        <f>IF($C320="","",IF($CC320="","入庫後は 14日以上もつ",IF($CC320-N('設定'!$C$7)&lt;='設定'!$C$6,"入庫後も "&amp;TEXT($CC320,"m/d")&amp;"("&amp;CHOOSE(WEEKDAY($CC320),"日","月","火","水","木","金","土")&amp;")"&amp;" に切れる　もう1便を至急発注","入庫後も "&amp;TEXT($CC320,"m/d")&amp;"("&amp;CHOOSE(WEEKDAY($CC320),"日","月","火","水","木","金","土")&amp;")"&amp;" に切れる　"&amp;TEXT($CC320-N('設定'!$C$7),"m/d")&amp;"("&amp;CHOOSE(WEEKDAY($CC320-N('設定'!$C$7)),"日","月","火","水","木","金","土")&amp;")"&amp;" までに次を発注")))</f>
        <v/>
      </c>
      <c r="CP320">
        <f>IF($C320="","",IF('設定'!$C$6="","？ ①在庫を貼る に今日のCSVが貼られていない",IF($CS320=1,"－ 今日のCSVに無い（終売？）",IF($L320&lt;0,"● 在庫がマイナス　数えて「数えた在庫」に入れる",IF($L320=0,"● 在庫なし　至急発注",IF($M320="","？ 減り数が未設定（商品マスタ）",IF($B$3=0,"？ 動員が未入力（動員を入れる）",IF($CA320="","○ 14日以上もつ",IF($BZ320&lt;N('設定'!$C$7),"● "&amp;TEXT($CA320,"m/d")&amp;"("&amp;CHOOSE(WEEKDAY($CA320),"日","月","火","水","木","金","土")&amp;")"&amp;" に切れる　至急発注",IF($BZ320=N('設定'!$C$7),"● "&amp;TEXT($CA320,"m/d")&amp;"("&amp;CHOOSE(WEEKDAY($CA320),"日","月","火","水","木","金","土")&amp;")"&amp;" に切れる　今日発注","△ "&amp;TEXT($CA320,"m/d")&amp;"("&amp;CHOOSE(WEEKDAY($CA320),"日","月","火","水","木","金","土")&amp;")"&amp;" に切れる　"&amp;TEXT($CA320-N('設定'!$C$7),"m/d")&amp;"("&amp;CHOOSE(WEEKDAY($CA320-N('設定'!$C$7)),"日","月","火","水","木","金","土")&amp;")"&amp;" までに発注"))))))))))</f>
        <v/>
      </c>
      <c r="CQ320">
        <f>IF($C320="","",IF(AND($P320="",$Q320="",$S320="",$T320=""),"",IF(AND($P320="",$Q320=""),"⚠ 先に1便目（左の入庫日・入庫数）に入れてください",IF($CI320&lt;&gt;"",$CI320,IF($CJ320&lt;&gt;"",$CJ320,IF($M320="","？ 減り数が未設定（発注書には載ります）",IF($B$3=0,"？ 動員が未入力（発注書には載ります）",IF(AND($CA320&lt;&gt;"",$P320&gt;$CA320),IF($P320&gt;'設定'!$C$6+N('設定'!$C$7),"● "&amp;TEXT($P320,"m/d")&amp;"("&amp;CHOOSE(WEEKDAY($P320),"日","月","火","水","木","金","土")&amp;")"&amp;" の入庫では間に合わない（"&amp;TEXT($CA320,"m/d")&amp;"("&amp;CHOOSE(WEEKDAY($CA320),"日","月","火","水","木","金","土")&amp;")"&amp;" に切れる）　入庫日を早める","△ 欠品 "&amp;TEXT($CA320,"m/d")&amp;"("&amp;CHOOSE(WEEKDAY($CA320),"日","月","火","水","木","金","土")&amp;")"&amp;"〜"&amp;TEXT($P320-1,"m/d")&amp;"("&amp;CHOOSE(WEEKDAY($P320-1),"日","月","火","水","木","金","土")&amp;")"&amp;"　"&amp;$CO320),IF($CC320="","○ "&amp;TEXT($P320,"m/d")&amp;"("&amp;CHOOSE(WEEKDAY($P320),"日","月","火","水","木","金","土")&amp;")"&amp;" 入庫で 14日以上もつ",IF($CC320-N('設定'!$C$7)&lt;='設定'!$C$6,"● 入庫しても "&amp;TEXT($CC320,"m/d")&amp;"("&amp;CHOOSE(WEEKDAY($CC320),"日","月","火","水","木","金","土")&amp;")"&amp;" に切れる　もう1便を至急発注（2便目に入れる）","△ 入庫しても "&amp;TEXT($CC320,"m/d")&amp;"("&amp;CHOOSE(WEEKDAY($CC320),"日","月","火","水","木","金","土")&amp;")"&amp;" に切れる　"&amp;TEXT($CC320-N('設定'!$C$7),"m/d")&amp;"("&amp;CHOOSE(WEEKDAY($CC320-N('設定'!$C$7)),"日","月","火","水","木","金","土")&amp;")"&amp;" までに次を発注（2便目に入れる）"))))))))))</f>
        <v/>
      </c>
      <c r="CR320">
        <f>IF($C320="","",IF($G320&gt;1,"ｹｰｽ("&amp;$G320&amp;"入)","個"))</f>
        <v/>
      </c>
      <c r="CS320">
        <f>IF($C320="",0,IF(COUNTIFS('①在庫を貼る'!$V$6:$V$10005,'設定'!$C$4,'①在庫を貼る'!$W$6:$W$10005,$C320)=0,1,0))</f>
        <v/>
      </c>
      <c r="CT320">
        <f>IF(AND($CK320=1,OR('③発注書'!$C$4="すべて",'③発注書'!$C$4="",$F320='③発注書'!$C$4)),N($CT319)+1,N($CT319))</f>
        <v/>
      </c>
      <c r="CU320">
        <f>IF(AND($CL320=1,OR('③発注書'!$C$4="すべて",'③発注書'!$C$4="",$F320='③発注書'!$C$4)),N($CU319)+1,N($CU319))</f>
        <v/>
      </c>
      <c r="CV320">
        <f>IF($C320="",0,IF(COUNTIFS('①在庫を貼る'!$V$6:$V$10005,'設定'!$C$4,'①在庫を貼る'!$W$6:$W$10005,$C320)&gt;0,1,0))</f>
        <v/>
      </c>
      <c r="CW320">
        <f>IF($C320="",0,IF(COUNTIFS('月1回_1ヶ月前の在庫'!$V$6:$V$10005,'設定'!$C$4,'月1回_1ヶ月前の在庫'!$W$6:$W$10005,$C320)&gt;0,1,0))</f>
        <v/>
      </c>
      <c r="CX320">
        <f>IF($C320="",0,IF(COUNTIFS('月1回_2ヶ月前の在庫'!$V$6:$V$10005,'設定'!$C$4,'月1回_2ヶ月前の在庫'!$W$6:$W$10005,$C320)&gt;0,1,0))</f>
        <v/>
      </c>
      <c r="CY320">
        <f>IF(OR($C320="",'設定'!$C$12=""),"",IF('設定'!$C$13="",IF(AND($CV320=1,$CW320=0),"新商品（今月から）",IF(AND($CV320=0,$CW320=1),"終売（今月から）","")),IF(AND($CV320=1,$CW320=0,$CX320=0),"新商品（今月から）",IF(AND($CV320=1,$CW320=1,$CX320=0),"新商品（先月から）",IF(AND($CV320=0,$CW320=1,$CX320=1),"終売（今月から）",IF(AND($CV320=0,$CW320=0,$CX320=1),"終売（先月から）",IF(AND($CV320=1,$CW320=0,$CX320=1),"復活（先月は無し）","")))))))</f>
        <v/>
      </c>
    </row>
    <row r="321">
      <c r="B321">
        <f>IF(316&lt;='設定'!$C$11,316,"")</f>
        <v/>
      </c>
      <c r="C321">
        <f>IF($B321="","",IF($B321&lt;='設定'!$C$20,INDEX('商品マスタ'!$B$6:$B$1005,MATCH($B321,'商品マスタ'!$M$6:$M$1005,0)),IF($B321&lt;='設定'!$C$20+'設定'!$C$17,INDEX('①在庫を貼る'!$W$6:$W$10005,MATCH($B321-'設定'!$C$20,'①在庫を貼る'!$U$6:$U$10005,0)),IF($B321&lt;='設定'!$C$20+'設定'!$C$17+'設定'!$C$18,INDEX('月1回_1ヶ月前の在庫'!$W$6:$W$10005,MATCH($B321-'設定'!$C$20-'設定'!$C$17,'月1回_1ヶ月前の在庫'!$U$6:$U$10005,0)),INDEX('月1回_2ヶ月前の在庫'!$W$6:$W$10005,MATCH($B321-'設定'!$C$20-'設定'!$C$17-'設定'!$C$18,'月1回_2ヶ月前の在庫'!$U$6:$U$10005,0))))))</f>
        <v/>
      </c>
      <c r="D321">
        <f>IF($C321="","",IFERROR(IF(INDEX('商品マスタ'!$C$6:$C$1005,MATCH($C321,'商品マスタ'!$B$6:$B$1005,0))="",IFERROR(INDEX('①在庫を貼る'!$J$6:$J$10005,MATCH($C321,'①在庫を貼る'!$W$6:$W$10005,0)),IFERROR(INDEX('月1回_1ヶ月前の在庫'!$J$6:$J$10005,MATCH($C321,'月1回_1ヶ月前の在庫'!$W$6:$W$10005,0)),IFERROR(INDEX('月1回_2ヶ月前の在庫'!$J$6:$J$10005,MATCH($C321,'月1回_2ヶ月前の在庫'!$W$6:$W$10005,0)),""))),INDEX('商品マスタ'!$C$6:$C$1005,MATCH($C321,'商品マスタ'!$B$6:$B$1005,0))),IFERROR(INDEX('①在庫を貼る'!$J$6:$J$10005,MATCH($C321,'①在庫を貼る'!$W$6:$W$10005,0)),IFERROR(INDEX('月1回_1ヶ月前の在庫'!$J$6:$J$10005,MATCH($C321,'月1回_1ヶ月前の在庫'!$W$6:$W$10005,0)),IFERROR(INDEX('月1回_2ヶ月前の在庫'!$J$6:$J$10005,MATCH($C321,'月1回_2ヶ月前の在庫'!$W$6:$W$10005,0)),"")))))</f>
        <v/>
      </c>
      <c r="E321">
        <f>IF($C321="","",IFERROR(IF(INDEX('商品マスタ'!$D$6:$D$1005,MATCH($C321,'商品マスタ'!$B$6:$B$1005,0))="",IFERROR(INDEX('①在庫を貼る'!$H$6:$H$10005,MATCH($C321,'①在庫を貼る'!$W$6:$W$10005,0)),IFERROR(INDEX('月1回_1ヶ月前の在庫'!$H$6:$H$10005,MATCH($C321,'月1回_1ヶ月前の在庫'!$W$6:$W$10005,0)),IFERROR(INDEX('月1回_2ヶ月前の在庫'!$H$6:$H$10005,MATCH($C321,'月1回_2ヶ月前の在庫'!$W$6:$W$10005,0)),""))),INDEX('商品マスタ'!$D$6:$D$1005,MATCH($C321,'商品マスタ'!$B$6:$B$1005,0))),IFERROR(INDEX('①在庫を貼る'!$H$6:$H$10005,MATCH($C321,'①在庫を貼る'!$W$6:$W$10005,0)),IFERROR(INDEX('月1回_1ヶ月前の在庫'!$H$6:$H$10005,MATCH($C321,'月1回_1ヶ月前の在庫'!$W$6:$W$10005,0)),IFERROR(INDEX('月1回_2ヶ月前の在庫'!$H$6:$H$10005,MATCH($C321,'月1回_2ヶ月前の在庫'!$W$6:$W$10005,0)),"")))))</f>
        <v/>
      </c>
      <c r="F321">
        <f>IF($C321="","",IFERROR(IF(INDEX('商品マスタ'!$E$6:$E$1005,MATCH($C321,'商品マスタ'!$B$6:$B$1005,0))="",IFERROR(INDEX('①在庫を貼る'!$E$6:$E$10005,MATCH($C321,'①在庫を貼る'!$W$6:$W$10005,0)),IFERROR(INDEX('月1回_1ヶ月前の在庫'!$E$6:$E$10005,MATCH($C321,'月1回_1ヶ月前の在庫'!$W$6:$W$10005,0)),IFERROR(INDEX('月1回_2ヶ月前の在庫'!$E$6:$E$10005,MATCH($C321,'月1回_2ヶ月前の在庫'!$W$6:$W$10005,0)),""))),INDEX('商品マスタ'!$E$6:$E$1005,MATCH($C321,'商品マスタ'!$B$6:$B$1005,0))),IFERROR(INDEX('①在庫を貼る'!$E$6:$E$10005,MATCH($C321,'①在庫を貼る'!$W$6:$W$10005,0)),IFERROR(INDEX('月1回_1ヶ月前の在庫'!$E$6:$E$10005,MATCH($C321,'月1回_1ヶ月前の在庫'!$W$6:$W$10005,0)),IFERROR(INDEX('月1回_2ヶ月前の在庫'!$E$6:$E$10005,MATCH($C321,'月1回_2ヶ月前の在庫'!$W$6:$W$10005,0)),"")))))</f>
        <v/>
      </c>
      <c r="G321">
        <f>IF($C321="","",MAX(1,N(IFERROR(IF(INDEX('商品マスタ'!$F$6:$F$1005,MATCH($C321,'商品マスタ'!$B$6:$B$1005,0))="",IF(COUNTIFS('①在庫を貼る'!$V$6:$V$10005,'設定'!$C$4,'①在庫を貼る'!$W$6:$W$10005,$C321)&gt;0,SUMIFS('①在庫を貼る'!$K$6:$K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K$6:$K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K$6:$K$10005,'月1回_2ヶ月前の在庫'!$V$6:$V$10005,'設定'!$C$4,'月1回_2ヶ月前の在庫'!$W$6:$W$10005,$C321)/COUNTIFS('月1回_2ヶ月前の在庫'!$V$6:$V$10005,'設定'!$C$4,'月1回_2ヶ月前の在庫'!$W$6:$W$10005,$C321),0))),INDEX('商品マスタ'!$F$6:$F$1005,MATCH($C321,'商品マスタ'!$B$6:$B$1005,0))),IF(COUNTIFS('①在庫を貼る'!$V$6:$V$10005,'設定'!$C$4,'①在庫を貼る'!$W$6:$W$10005,$C321)&gt;0,SUMIFS('①在庫を貼る'!$K$6:$K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K$6:$K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K$6:$K$10005,'月1回_2ヶ月前の在庫'!$V$6:$V$10005,'設定'!$C$4,'月1回_2ヶ月前の在庫'!$W$6:$W$10005,$C321)/COUNTIFS('月1回_2ヶ月前の在庫'!$V$6:$V$10005,'設定'!$C$4,'月1回_2ヶ月前の在庫'!$W$6:$W$10005,$C321),0)))))))</f>
        <v/>
      </c>
      <c r="H321">
        <f>IF($C321="","",N(IFERROR(IF(INDEX('商品マスタ'!$G$6:$G$1005,MATCH($C321,'商品マスタ'!$B$6:$B$1005,0))="",IF(COUNTIFS('①在庫を貼る'!$V$6:$V$10005,'設定'!$C$4,'①在庫を貼る'!$W$6:$W$10005,$C321)&gt;0,SUMIFS('①在庫を貼る'!$Q$6:$Q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Q$6:$Q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Q$6:$Q$10005,'月1回_2ヶ月前の在庫'!$V$6:$V$10005,'設定'!$C$4,'月1回_2ヶ月前の在庫'!$W$6:$W$10005,$C321)/COUNTIFS('月1回_2ヶ月前の在庫'!$V$6:$V$10005,'設定'!$C$4,'月1回_2ヶ月前の在庫'!$W$6:$W$10005,$C321),0))),INDEX('商品マスタ'!$G$6:$G$1005,MATCH($C321,'商品マスタ'!$B$6:$B$1005,0))),IF(COUNTIFS('①在庫を貼る'!$V$6:$V$10005,'設定'!$C$4,'①在庫を貼る'!$W$6:$W$10005,$C321)&gt;0,SUMIFS('①在庫を貼る'!$Q$6:$Q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Q$6:$Q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Q$6:$Q$10005,'月1回_2ヶ月前の在庫'!$V$6:$V$10005,'設定'!$C$4,'月1回_2ヶ月前の在庫'!$W$6:$W$10005,$C321)/COUNTIFS('月1回_2ヶ月前の在庫'!$V$6:$V$10005,'設定'!$C$4,'月1回_2ヶ月前の在庫'!$W$6:$W$10005,$C321),0))))))</f>
        <v/>
      </c>
      <c r="I321">
        <f>IF($C321="","",IF(COUNTIFS('①在庫を貼る'!$V$6:$V$10005,'設定'!$C$4,'①在庫を貼る'!$W$6:$W$10005,$C321)=0,"",SUMIFS('①在庫を貼る'!$N$6:$N$10005,'①在庫を貼る'!$V$6:$V$10005,'設定'!$C$4,'①在庫を貼る'!$W$6:$W$10005,$C321)))</f>
        <v/>
      </c>
      <c r="J321">
        <f>IF($C321="","",IF('②発注する'!$AD325="","",'②発注する'!$AD325))</f>
        <v/>
      </c>
      <c r="K321" s="90">
        <f>IF($C321="","",IF('②発注する'!$AE325="","",'②発注する'!$AE325))</f>
        <v/>
      </c>
      <c r="L321">
        <f>IF($C321="","",IF(AND(ISNUMBER($J321),ISNUMBER($K321),$K321&gt;='設定'!$C$6),$J321,N($I321)))</f>
        <v/>
      </c>
      <c r="M321">
        <f>IF($C321="","",IFERROR(IF(N(INDEX('商品マスタ'!$J$6:$J$1005,MATCH($C321,'商品マスタ'!$B$6:$B$1005,0)))&gt;0,INDEX('商品マスタ'!$J$6:$J$1005,MATCH($C321,'商品マスタ'!$B$6:$B$1005,0)),""),""))</f>
        <v/>
      </c>
      <c r="N321">
        <f>IF($C321="","",IFERROR(IF(N(INDEX('商品マスタ'!$H$6:$H$1005,MATCH($C321,'商品マスタ'!$B$6:$B$1005,0)))&gt;0,INDEX('商品マスタ'!$H$6:$H$1005,MATCH($C321,'商品マスタ'!$B$6:$B$1005,0)),""),""))</f>
        <v/>
      </c>
      <c r="O321">
        <f>IF($C321="","",IF($N321&lt;&gt;"",$N321*$G321,IF(N(IF(COUNTIFS('①在庫を貼る'!$V$6:$V$10005,'設定'!$C$4,'①在庫を貼る'!$W$6:$W$10005,$C321)&gt;0,SUMIFS('①在庫を貼る'!$O$6:$O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O$6:$O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O$6:$O$10005,'月1回_2ヶ月前の在庫'!$V$6:$V$10005,'設定'!$C$4,'月1回_2ヶ月前の在庫'!$W$6:$W$10005,$C321)/COUNTIFS('月1回_2ヶ月前の在庫'!$V$6:$V$10005,'設定'!$C$4,'月1回_2ヶ月前の在庫'!$W$6:$W$10005,$C321),0))))&gt;0,N(IF(COUNTIFS('①在庫を貼る'!$V$6:$V$10005,'設定'!$C$4,'①在庫を貼る'!$W$6:$W$10005,$C321)&gt;0,SUMIFS('①在庫を貼る'!$O$6:$O$10005,'①在庫を貼る'!$V$6:$V$10005,'設定'!$C$4,'①在庫を貼る'!$W$6:$W$10005,$C321)/COUNTIFS('①在庫を貼る'!$V$6:$V$10005,'設定'!$C$4,'①在庫を貼る'!$W$6:$W$10005,$C321),IF(COUNTIFS('月1回_1ヶ月前の在庫'!$V$6:$V$10005,'設定'!$C$4,'月1回_1ヶ月前の在庫'!$W$6:$W$10005,$C321)&gt;0,SUMIFS('月1回_1ヶ月前の在庫'!$O$6:$O$10005,'月1回_1ヶ月前の在庫'!$V$6:$V$10005,'設定'!$C$4,'月1回_1ヶ月前の在庫'!$W$6:$W$10005,$C321)/COUNTIFS('月1回_1ヶ月前の在庫'!$V$6:$V$10005,'設定'!$C$4,'月1回_1ヶ月前の在庫'!$W$6:$W$10005,$C321),IF(COUNTIFS('月1回_2ヶ月前の在庫'!$V$6:$V$10005,'設定'!$C$4,'月1回_2ヶ月前の在庫'!$W$6:$W$10005,$C321)&gt;0,SUMIFS('月1回_2ヶ月前の在庫'!$O$6:$O$10005,'月1回_2ヶ月前の在庫'!$V$6:$V$10005,'設定'!$C$4,'月1回_2ヶ月前の在庫'!$W$6:$W$10005,$C321)/COUNTIFS('月1回_2ヶ月前の在庫'!$V$6:$V$10005,'設定'!$C$4,'月1回_2ヶ月前の在庫'!$W$6:$W$10005,$C321),0)))),"")))</f>
        <v/>
      </c>
      <c r="P321" s="90">
        <f>IF($C321="","",IF('②発注する'!$I325="","",'②発注する'!$I325))</f>
        <v/>
      </c>
      <c r="Q321">
        <f>IF($C321="","",IF('②発注する'!$J325="","",'②発注する'!$J325))</f>
        <v/>
      </c>
      <c r="R321">
        <f>IF($C321="",0,IF(AND(ISNUMBER($P321),ISNUMBER($Q321)),MAX(0,$Q321)*$G321,0))</f>
        <v/>
      </c>
      <c r="S321" s="90">
        <f>IF($C321="","",IF('②発注する'!$M325="","",'②発注する'!$M325))</f>
        <v/>
      </c>
      <c r="T321">
        <f>IF($C321="","",IF('②発注する'!$N325="","",'②発注する'!$N325))</f>
        <v/>
      </c>
      <c r="U321">
        <f>IF($C321="",0,IF(AND(ISNUMBER($S321),ISNUMBER($T321)),MAX(0,$T321)*$G321,0))</f>
        <v/>
      </c>
      <c r="V321">
        <f>IF($C321="",0,IF($M321="",0,MAX(0,$M321)*MAX(0,V$4)/100))</f>
        <v/>
      </c>
      <c r="W321">
        <f>IF($C321="",0,IF($M321="",0,MAX(0,$M321)*MAX(0,W$4)/100))</f>
        <v/>
      </c>
      <c r="X321">
        <f>IF($C321="",0,IF($M321="",0,MAX(0,$M321)*MAX(0,X$4)/100))</f>
        <v/>
      </c>
      <c r="Y321">
        <f>IF($C321="",0,IF($M321="",0,MAX(0,$M321)*MAX(0,Y$4)/100))</f>
        <v/>
      </c>
      <c r="Z321">
        <f>IF($C321="",0,IF($M321="",0,MAX(0,$M321)*MAX(0,Z$4)/100))</f>
        <v/>
      </c>
      <c r="AA321">
        <f>IF($C321="",0,IF($M321="",0,MAX(0,$M321)*MAX(0,AA$4)/100))</f>
        <v/>
      </c>
      <c r="AB321">
        <f>IF($C321="",0,IF($M321="",0,MAX(0,$M321)*MAX(0,AB$4)/100))</f>
        <v/>
      </c>
      <c r="AC321">
        <f>IF($C321="",0,IF($M321="",0,MAX(0,$M321)*MAX(0,AC$4)/100))</f>
        <v/>
      </c>
      <c r="AD321">
        <f>IF($C321="",0,IF($M321="",0,MAX(0,$M321)*MAX(0,AD$4)/100))</f>
        <v/>
      </c>
      <c r="AE321">
        <f>IF($C321="",0,IF($M321="",0,MAX(0,$M321)*MAX(0,AE$4)/100))</f>
        <v/>
      </c>
      <c r="AF321">
        <f>IF($C321="",0,IF($M321="",0,MAX(0,$M321)*MAX(0,AF$4)/100))</f>
        <v/>
      </c>
      <c r="AG321">
        <f>IF($C321="",0,IF($M321="",0,MAX(0,$M321)*MAX(0,AG$4)/100))</f>
        <v/>
      </c>
      <c r="AH321">
        <f>IF($C321="",0,IF($M321="",0,MAX(0,$M321)*MAX(0,AH$4)/100))</f>
        <v/>
      </c>
      <c r="AI321">
        <f>IF($C321="",0,IF($M321="",0,MAX(0,$M321)*MAX(0,AI$4)/100))</f>
        <v/>
      </c>
      <c r="AJ321">
        <f>IF($C321="",0,MAX(0,MAX(0,N($L321))-$V321))</f>
        <v/>
      </c>
      <c r="AK321">
        <f>IF($C321="",0,MAX(0,$AJ321-$W321))</f>
        <v/>
      </c>
      <c r="AL321">
        <f>IF($C321="",0,MAX(0,$AK321-$X321))</f>
        <v/>
      </c>
      <c r="AM321">
        <f>IF($C321="",0,MAX(0,$AL321-$Y321))</f>
        <v/>
      </c>
      <c r="AN321">
        <f>IF($C321="",0,MAX(0,$AM321-$Z321))</f>
        <v/>
      </c>
      <c r="AO321">
        <f>IF($C321="",0,MAX(0,$AN321-$AA321))</f>
        <v/>
      </c>
      <c r="AP321">
        <f>IF($C321="",0,MAX(0,$AO321-$AB321))</f>
        <v/>
      </c>
      <c r="AQ321">
        <f>IF($C321="",0,MAX(0,$AP321-$AC321))</f>
        <v/>
      </c>
      <c r="AR321">
        <f>IF($C321="",0,MAX(0,$AQ321-$AD321))</f>
        <v/>
      </c>
      <c r="AS321">
        <f>IF($C321="",0,MAX(0,$AR321-$AE321))</f>
        <v/>
      </c>
      <c r="AT321">
        <f>IF($C321="",0,MAX(0,$AS321-$AF321))</f>
        <v/>
      </c>
      <c r="AU321">
        <f>IF($C321="",0,MAX(0,$AT321-$AG321))</f>
        <v/>
      </c>
      <c r="AV321">
        <f>IF($C321="",0,MAX(0,$AU321-$AH321))</f>
        <v/>
      </c>
      <c r="AW321">
        <f>IF($C321="",0,MAX(0,$AV321-$AI321))</f>
        <v/>
      </c>
      <c r="AX321">
        <f>IF($C321="",0,MAX(0,MAX(0,N($L321))+IF($P321=V$3,$R321,0)+IF($S321=V$3,$U321,0)-$V321))</f>
        <v/>
      </c>
      <c r="AY321">
        <f>IF($C321="",0,MAX(0,$AX321+IF($P321=W$3,$R321,0)+IF($S321=W$3,$U321,0)-$W321))</f>
        <v/>
      </c>
      <c r="AZ321">
        <f>IF($C321="",0,MAX(0,$AY321+IF($P321=X$3,$R321,0)+IF($S321=X$3,$U321,0)-$X321))</f>
        <v/>
      </c>
      <c r="BA321">
        <f>IF($C321="",0,MAX(0,$AZ321+IF($P321=Y$3,$R321,0)+IF($S321=Y$3,$U321,0)-$Y321))</f>
        <v/>
      </c>
      <c r="BB321">
        <f>IF($C321="",0,MAX(0,$BA321+IF($P321=Z$3,$R321,0)+IF($S321=Z$3,$U321,0)-$Z321))</f>
        <v/>
      </c>
      <c r="BC321">
        <f>IF($C321="",0,MAX(0,$BB321+IF($P321=AA$3,$R321,0)+IF($S321=AA$3,$U321,0)-$AA321))</f>
        <v/>
      </c>
      <c r="BD321">
        <f>IF($C321="",0,MAX(0,$BC321+IF($P321=AB$3,$R321,0)+IF($S321=AB$3,$U321,0)-$AB321))</f>
        <v/>
      </c>
      <c r="BE321">
        <f>IF($C321="",0,MAX(0,$BD321+IF($P321=AC$3,$R321,0)+IF($S321=AC$3,$U321,0)-$AC321))</f>
        <v/>
      </c>
      <c r="BF321">
        <f>IF($C321="",0,MAX(0,$BE321+IF($P321=AD$3,$R321,0)+IF($S321=AD$3,$U321,0)-$AD321))</f>
        <v/>
      </c>
      <c r="BG321">
        <f>IF($C321="",0,MAX(0,$BF321+IF($P321=AE$3,$R321,0)+IF($S321=AE$3,$U321,0)-$AE321))</f>
        <v/>
      </c>
      <c r="BH321">
        <f>IF($C321="",0,MAX(0,$BG321+IF($P321=AF$3,$R321,0)+IF($S321=AF$3,$U321,0)-$AF321))</f>
        <v/>
      </c>
      <c r="BI321">
        <f>IF($C321="",0,MAX(0,$BH321+IF($P321=AG$3,$R321,0)+IF($S321=AG$3,$U321,0)-$AG321))</f>
        <v/>
      </c>
      <c r="BJ321">
        <f>IF($C321="",0,MAX(0,$BI321+IF($P321=AH$3,$R321,0)+IF($S321=AH$3,$U321,0)-$AH321))</f>
        <v/>
      </c>
      <c r="BK321">
        <f>IF($C321="",0,MAX(0,$BJ321+IF($P321=AI$3,$R321,0)+IF($S321=AI$3,$U321,0)-$AI321))</f>
        <v/>
      </c>
      <c r="BL321">
        <f>IF($C321="",99,IF(AND($AX321&lt;1,V$3&gt;=MAX(N($P321),N($S321))),0,99))</f>
        <v/>
      </c>
      <c r="BM321">
        <f>IF($C321="",99,IF(AND($AY321&lt;1,W$3&gt;=MAX(N($P321),N($S321))),1,99))</f>
        <v/>
      </c>
      <c r="BN321">
        <f>IF($C321="",99,IF(AND($AZ321&lt;1,X$3&gt;=MAX(N($P321),N($S321))),2,99))</f>
        <v/>
      </c>
      <c r="BO321">
        <f>IF($C321="",99,IF(AND($BA321&lt;1,Y$3&gt;=MAX(N($P321),N($S321))),3,99))</f>
        <v/>
      </c>
      <c r="BP321">
        <f>IF($C321="",99,IF(AND($BB321&lt;1,Z$3&gt;=MAX(N($P321),N($S321))),4,99))</f>
        <v/>
      </c>
      <c r="BQ321">
        <f>IF($C321="",99,IF(AND($BC321&lt;1,AA$3&gt;=MAX(N($P321),N($S321))),5,99))</f>
        <v/>
      </c>
      <c r="BR321">
        <f>IF($C321="",99,IF(AND($BD321&lt;1,AB$3&gt;=MAX(N($P321),N($S321))),6,99))</f>
        <v/>
      </c>
      <c r="BS321">
        <f>IF($C321="",99,IF(AND($BE321&lt;1,AC$3&gt;=MAX(N($P321),N($S321))),7,99))</f>
        <v/>
      </c>
      <c r="BT321">
        <f>IF($C321="",99,IF(AND($BF321&lt;1,AD$3&gt;=MAX(N($P321),N($S321))),8,99))</f>
        <v/>
      </c>
      <c r="BU321">
        <f>IF($C321="",99,IF(AND($BG321&lt;1,AE$3&gt;=MAX(N($P321),N($S321))),9,99))</f>
        <v/>
      </c>
      <c r="BV321">
        <f>IF($C321="",99,IF(AND($BH321&lt;1,AF$3&gt;=MAX(N($P321),N($S321))),10,99))</f>
        <v/>
      </c>
      <c r="BW321">
        <f>IF($C321="",99,IF(AND($BI321&lt;1,AG$3&gt;=MAX(N($P321),N($S321))),11,99))</f>
        <v/>
      </c>
      <c r="BX321">
        <f>IF($C321="",99,IF(AND($BJ321&lt;1,AH$3&gt;=MAX(N($P321),N($S321))),12,99))</f>
        <v/>
      </c>
      <c r="BY321">
        <f>IF($C321="",99,IF(AND($BK321&lt;1,AI$3&gt;=MAX(N($P321),N($S321))),13,99))</f>
        <v/>
      </c>
      <c r="BZ321">
        <f>IF(OR($C321="",$M321=""),"",COUNTIF($AJ321:$AW321,"&gt;=1"))</f>
        <v/>
      </c>
      <c r="CA321" s="90">
        <f>IF($BZ321="","",IF($BZ321&gt;=14,"",'設定'!$C$6+$BZ321))</f>
        <v/>
      </c>
      <c r="CB321">
        <f>IF(OR($C321="",$M321=""),"",MIN($BL321:$BY321))</f>
        <v/>
      </c>
      <c r="CC321" s="90">
        <f>IF($CB321="","",IF($CB321&gt;=99,"",'設定'!$C$6+$CB321))</f>
        <v/>
      </c>
      <c r="CD321">
        <f>IF(OR($C321="",$M321=""),"",AVERAGE($V321:$AI321))</f>
        <v/>
      </c>
      <c r="CE321">
        <f>IF($C321="","",IFERROR(IF(MATCH(IF(ISNUMBER($P321),$P321,'設定'!$C$6+N('設定'!$C$7)),$V$3:$AI$3,0)=1,MAX(0,N($L321)),INDEX($AJ321:$AW321,MATCH(IF(ISNUMBER($P321),$P321,'設定'!$C$6+N('設定'!$C$7)),$V$3:$AI$3,0)-1)),""))</f>
        <v/>
      </c>
      <c r="CF321">
        <f>IF(OR($C321="",$O321="",$CE321=""),"",IF($O321-$CE321&lt;=0,0,ROUNDUP(($O321-$CE321)/$G321,0)))</f>
        <v/>
      </c>
      <c r="CG321">
        <f>IF(OR($C321="",$CF321="",NOT(ISNUMBER($Q321))),0,MAX(0,$Q321-$CF321))</f>
        <v/>
      </c>
      <c r="CH321">
        <f>IF(OR($C321="",$O321="",$U321=0),0,IFERROR(ROUNDUP(MAX(0,IF(MATCH($S321,$V$3:$AI$3,0)=1,MAX(0,N($L321)),INDEX($AX321:$BK321,MATCH($S321,$V$3:$AI$3,0)-1))+$U321-$O321)/$G321,0),0))</f>
        <v/>
      </c>
      <c r="CI321">
        <f>IF($C321="","",IF(AND($P321="",$Q321=""),"",IF($P321="","⚠ 入庫日を ▼ から選んでください",IF(NOT(ISNUMBER($P321)),"⚠ 入庫日は ▼ から選んでください",IF($P321&lt;N('設定'!$C$6),"⚠ 入庫日が過去です（もう在庫に入っています）→ 消してください",IF($P321&gt;N('設定'!$C$6)+13,"⚠ 入庫日が14日より先です",IF(N($Q321)&lt;=0,"⚠ 入庫数を入れてください",IF($CG321&gt;0,"⚠ 目安より "&amp;$CG321&amp;" 多い（定数を超える）→ 減らす",""))))))))</f>
        <v/>
      </c>
      <c r="CJ321">
        <f>IF($C321="","",IF(AND($S321="",$T321=""),"",IF($S321="","⚠ 2便目：入庫日を ▼ から選んでください",IF(NOT(ISNUMBER($S321)),"⚠ 2便目：入庫日は ▼ から選んでください",IF($S321&lt;N('設定'!$C$6),"⚠ 2便目：入庫日が過去です（もう在庫に入っています）→ 消してください",IF($S321&gt;N('設定'!$C$6)+13,"⚠ 2便目：入庫日が14日より先です",IF(N($T321)&lt;=0,"⚠ 2便目：入庫数を入れてください",IF($CH321&gt;0,"⚠ 2便目：定数を "&amp;$CH321&amp;" ケース超える → 減らす",""))))))))</f>
        <v/>
      </c>
      <c r="CK321">
        <f>IF(AND($CI321="",N($Q321)&gt;0,ISNUMBER($P321)),1,0)</f>
        <v/>
      </c>
      <c r="CL321">
        <f>IF(AND($CJ321="",N($T321)&gt;0,ISNUMBER($S321)),1,0)</f>
        <v/>
      </c>
      <c r="CM321">
        <f>IF(OR($CK321=1,$CL321=1),1,0)</f>
        <v/>
      </c>
      <c r="CN321">
        <f>IF($C321="",0,($CK321*$R321+$CL321*$U321)*N($H321))</f>
        <v/>
      </c>
      <c r="CO321">
        <f>IF($C321="","",IF($CC321="","入庫後は 14日以上もつ",IF($CC321-N('設定'!$C$7)&lt;='設定'!$C$6,"入庫後も "&amp;TEXT($CC321,"m/d")&amp;"("&amp;CHOOSE(WEEKDAY($CC321),"日","月","火","水","木","金","土")&amp;")"&amp;" に切れる　もう1便を至急発注","入庫後も "&amp;TEXT($CC321,"m/d")&amp;"("&amp;CHOOSE(WEEKDAY($CC321),"日","月","火","水","木","金","土")&amp;")"&amp;" に切れる　"&amp;TEXT($CC321-N('設定'!$C$7),"m/d")&amp;"("&amp;CHOOSE(WEEKDAY($CC321-N('設定'!$C$7)),"日","月","火","水","木","金","土")&amp;")"&amp;" までに次を発注")))</f>
        <v/>
      </c>
      <c r="CP321">
        <f>IF($C321="","",IF('設定'!$C$6="","？ ①在庫を貼る に今日のCSVが貼られていない",IF($CS321=1,"－ 今日のCSVに無い（終売？）",IF($L321&lt;0,"● 在庫がマイナス　数えて「数えた在庫」に入れる",IF($L321=0,"● 在庫なし　至急発注",IF($M321="","？ 減り数が未設定（商品マスタ）",IF($B$3=0,"？ 動員が未入力（動員を入れる）",IF($CA321="","○ 14日以上もつ",IF($BZ321&lt;N('設定'!$C$7),"● "&amp;TEXT($CA321,"m/d")&amp;"("&amp;CHOOSE(WEEKDAY($CA321),"日","月","火","水","木","金","土")&amp;")"&amp;" に切れる　至急発注",IF($BZ321=N('設定'!$C$7),"● "&amp;TEXT($CA321,"m/d")&amp;"("&amp;CHOOSE(WEEKDAY($CA321),"日","月","火","水","木","金","土")&amp;")"&amp;" に切れる　今日発注","△ "&amp;TEXT($CA321,"m/d")&amp;"("&amp;CHOOSE(WEEKDAY($CA321),"日","月","火","水","木","金","土")&amp;")"&amp;" に切れる　"&amp;TEXT($CA321-N('設定'!$C$7),"m/d")&amp;"("&amp;CHOOSE(WEEKDAY($CA321-N('設定'!$C$7)),"日","月","火","水","木","金","土")&amp;")"&amp;" までに発注"))))))))))</f>
        <v/>
      </c>
      <c r="CQ321">
        <f>IF($C321="","",IF(AND($P321="",$Q321="",$S321="",$T321=""),"",IF(AND($P321="",$Q321=""),"⚠ 先に1便目（左の入庫日・入庫数）に入れてください",IF($CI321&lt;&gt;"",$CI321,IF($CJ321&lt;&gt;"",$CJ321,IF($M321="","？ 減り数が未設定（発注書には載ります）",IF($B$3=0,"？ 動員が未入力（発注書には載ります）",IF(AND($CA321&lt;&gt;"",$P321&gt;$CA321),IF($P321&gt;'設定'!$C$6+N('設定'!$C$7),"● "&amp;TEXT($P321,"m/d")&amp;"("&amp;CHOOSE(WEEKDAY($P321),"日","月","火","水","木","金","土")&amp;")"&amp;" の入庫では間に合わない（"&amp;TEXT($CA321,"m/d")&amp;"("&amp;CHOOSE(WEEKDAY($CA321),"日","月","火","水","木","金","土")&amp;")"&amp;" に切れる）　入庫日を早める","△ 欠品 "&amp;TEXT($CA321,"m/d")&amp;"("&amp;CHOOSE(WEEKDAY($CA321),"日","月","火","水","木","金","土")&amp;")"&amp;"〜"&amp;TEXT($P321-1,"m/d")&amp;"("&amp;CHOOSE(WEEKDAY($P321-1),"日","月","火","水","木","金","土")&amp;")"&amp;"　"&amp;$CO321),IF($CC321="","○ "&amp;TEXT($P321,"m/d")&amp;"("&amp;CHOOSE(WEEKDAY($P321),"日","月","火","水","木","金","土")&amp;")"&amp;" 入庫で 14日以上もつ",IF($CC321-N('設定'!$C$7)&lt;='設定'!$C$6,"● 入庫しても "&amp;TEXT($CC321,"m/d")&amp;"("&amp;CHOOSE(WEEKDAY($CC321),"日","月","火","水","木","金","土")&amp;")"&amp;" に切れる　もう1便を至急発注（2便目に入れる）","△ 入庫しても "&amp;TEXT($CC321,"m/d")&amp;"("&amp;CHOOSE(WEEKDAY($CC321),"日","月","火","水","木","金","土")&amp;")"&amp;" に切れる　"&amp;TEXT($CC321-N('設定'!$C$7),"m/d")&amp;"("&amp;CHOOSE(WEEKDAY($CC321-N('設定'!$C$7)),"日","月","火","水","木","金","土")&amp;")"&amp;" までに次を発注（2便目に入れる）"))))))))))</f>
        <v/>
      </c>
      <c r="CR321">
        <f>IF($C321="","",IF($G321&gt;1,"ｹｰｽ("&amp;$G321&amp;"入)","個"))</f>
        <v/>
      </c>
      <c r="CS321">
        <f>IF($C321="",0,IF(COUNTIFS('①在庫を貼る'!$V$6:$V$10005,'設定'!$C$4,'①在庫を貼る'!$W$6:$W$10005,$C321)=0,1,0))</f>
        <v/>
      </c>
      <c r="CT321">
        <f>IF(AND($CK321=1,OR('③発注書'!$C$4="すべて",'③発注書'!$C$4="",$F321='③発注書'!$C$4)),N($CT320)+1,N($CT320))</f>
        <v/>
      </c>
      <c r="CU321">
        <f>IF(AND($CL321=1,OR('③発注書'!$C$4="すべて",'③発注書'!$C$4="",$F321='③発注書'!$C$4)),N($CU320)+1,N($CU320))</f>
        <v/>
      </c>
      <c r="CV321">
        <f>IF($C321="",0,IF(COUNTIFS('①在庫を貼る'!$V$6:$V$10005,'設定'!$C$4,'①在庫を貼る'!$W$6:$W$10005,$C321)&gt;0,1,0))</f>
        <v/>
      </c>
      <c r="CW321">
        <f>IF($C321="",0,IF(COUNTIFS('月1回_1ヶ月前の在庫'!$V$6:$V$10005,'設定'!$C$4,'月1回_1ヶ月前の在庫'!$W$6:$W$10005,$C321)&gt;0,1,0))</f>
        <v/>
      </c>
      <c r="CX321">
        <f>IF($C321="",0,IF(COUNTIFS('月1回_2ヶ月前の在庫'!$V$6:$V$10005,'設定'!$C$4,'月1回_2ヶ月前の在庫'!$W$6:$W$10005,$C321)&gt;0,1,0))</f>
        <v/>
      </c>
      <c r="CY321">
        <f>IF(OR($C321="",'設定'!$C$12=""),"",IF('設定'!$C$13="",IF(AND($CV321=1,$CW321=0),"新商品（今月から）",IF(AND($CV321=0,$CW321=1),"終売（今月から）","")),IF(AND($CV321=1,$CW321=0,$CX321=0),"新商品（今月から）",IF(AND($CV321=1,$CW321=1,$CX321=0),"新商品（先月から）",IF(AND($CV321=0,$CW321=1,$CX321=1),"終売（今月から）",IF(AND($CV321=0,$CW321=0,$CX321=1),"終売（先月から）",IF(AND($CV321=1,$CW321=0,$CX321=1),"復活（先月は無し）","")))))))</f>
        <v/>
      </c>
    </row>
    <row r="322">
      <c r="B322">
        <f>IF(317&lt;='設定'!$C$11,317,"")</f>
        <v/>
      </c>
      <c r="C322">
        <f>IF($B322="","",IF($B322&lt;='設定'!$C$20,INDEX('商品マスタ'!$B$6:$B$1005,MATCH($B322,'商品マスタ'!$M$6:$M$1005,0)),IF($B322&lt;='設定'!$C$20+'設定'!$C$17,INDEX('①在庫を貼る'!$W$6:$W$10005,MATCH($B322-'設定'!$C$20,'①在庫を貼る'!$U$6:$U$10005,0)),IF($B322&lt;='設定'!$C$20+'設定'!$C$17+'設定'!$C$18,INDEX('月1回_1ヶ月前の在庫'!$W$6:$W$10005,MATCH($B322-'設定'!$C$20-'設定'!$C$17,'月1回_1ヶ月前の在庫'!$U$6:$U$10005,0)),INDEX('月1回_2ヶ月前の在庫'!$W$6:$W$10005,MATCH($B322-'設定'!$C$20-'設定'!$C$17-'設定'!$C$18,'月1回_2ヶ月前の在庫'!$U$6:$U$10005,0))))))</f>
        <v/>
      </c>
      <c r="D322">
        <f>IF($C322="","",IFERROR(IF(INDEX('商品マスタ'!$C$6:$C$1005,MATCH($C322,'商品マスタ'!$B$6:$B$1005,0))="",IFERROR(INDEX('①在庫を貼る'!$J$6:$J$10005,MATCH($C322,'①在庫を貼る'!$W$6:$W$10005,0)),IFERROR(INDEX('月1回_1ヶ月前の在庫'!$J$6:$J$10005,MATCH($C322,'月1回_1ヶ月前の在庫'!$W$6:$W$10005,0)),IFERROR(INDEX('月1回_2ヶ月前の在庫'!$J$6:$J$10005,MATCH($C322,'月1回_2ヶ月前の在庫'!$W$6:$W$10005,0)),""))),INDEX('商品マスタ'!$C$6:$C$1005,MATCH($C322,'商品マスタ'!$B$6:$B$1005,0))),IFERROR(INDEX('①在庫を貼る'!$J$6:$J$10005,MATCH($C322,'①在庫を貼る'!$W$6:$W$10005,0)),IFERROR(INDEX('月1回_1ヶ月前の在庫'!$J$6:$J$10005,MATCH($C322,'月1回_1ヶ月前の在庫'!$W$6:$W$10005,0)),IFERROR(INDEX('月1回_2ヶ月前の在庫'!$J$6:$J$10005,MATCH($C322,'月1回_2ヶ月前の在庫'!$W$6:$W$10005,0)),"")))))</f>
        <v/>
      </c>
      <c r="E322">
        <f>IF($C322="","",IFERROR(IF(INDEX('商品マスタ'!$D$6:$D$1005,MATCH($C322,'商品マスタ'!$B$6:$B$1005,0))="",IFERROR(INDEX('①在庫を貼る'!$H$6:$H$10005,MATCH($C322,'①在庫を貼る'!$W$6:$W$10005,0)),IFERROR(INDEX('月1回_1ヶ月前の在庫'!$H$6:$H$10005,MATCH($C322,'月1回_1ヶ月前の在庫'!$W$6:$W$10005,0)),IFERROR(INDEX('月1回_2ヶ月前の在庫'!$H$6:$H$10005,MATCH($C322,'月1回_2ヶ月前の在庫'!$W$6:$W$10005,0)),""))),INDEX('商品マスタ'!$D$6:$D$1005,MATCH($C322,'商品マスタ'!$B$6:$B$1005,0))),IFERROR(INDEX('①在庫を貼る'!$H$6:$H$10005,MATCH($C322,'①在庫を貼る'!$W$6:$W$10005,0)),IFERROR(INDEX('月1回_1ヶ月前の在庫'!$H$6:$H$10005,MATCH($C322,'月1回_1ヶ月前の在庫'!$W$6:$W$10005,0)),IFERROR(INDEX('月1回_2ヶ月前の在庫'!$H$6:$H$10005,MATCH($C322,'月1回_2ヶ月前の在庫'!$W$6:$W$10005,0)),"")))))</f>
        <v/>
      </c>
      <c r="F322">
        <f>IF($C322="","",IFERROR(IF(INDEX('商品マスタ'!$E$6:$E$1005,MATCH($C322,'商品マスタ'!$B$6:$B$1005,0))="",IFERROR(INDEX('①在庫を貼る'!$E$6:$E$10005,MATCH($C322,'①在庫を貼る'!$W$6:$W$10005,0)),IFERROR(INDEX('月1回_1ヶ月前の在庫'!$E$6:$E$10005,MATCH($C322,'月1回_1ヶ月前の在庫'!$W$6:$W$10005,0)),IFERROR(INDEX('月1回_2ヶ月前の在庫'!$E$6:$E$10005,MATCH($C322,'月1回_2ヶ月前の在庫'!$W$6:$W$10005,0)),""))),INDEX('商品マスタ'!$E$6:$E$1005,MATCH($C322,'商品マスタ'!$B$6:$B$1005,0))),IFERROR(INDEX('①在庫を貼る'!$E$6:$E$10005,MATCH($C322,'①在庫を貼る'!$W$6:$W$10005,0)),IFERROR(INDEX('月1回_1ヶ月前の在庫'!$E$6:$E$10005,MATCH($C322,'月1回_1ヶ月前の在庫'!$W$6:$W$10005,0)),IFERROR(INDEX('月1回_2ヶ月前の在庫'!$E$6:$E$10005,MATCH($C322,'月1回_2ヶ月前の在庫'!$W$6:$W$10005,0)),"")))))</f>
        <v/>
      </c>
      <c r="G322">
        <f>IF($C322="","",MAX(1,N(IFERROR(IF(INDEX('商品マスタ'!$F$6:$F$1005,MATCH($C322,'商品マスタ'!$B$6:$B$1005,0))="",IF(COUNTIFS('①在庫を貼る'!$V$6:$V$10005,'設定'!$C$4,'①在庫を貼る'!$W$6:$W$10005,$C322)&gt;0,SUMIFS('①在庫を貼る'!$K$6:$K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K$6:$K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K$6:$K$10005,'月1回_2ヶ月前の在庫'!$V$6:$V$10005,'設定'!$C$4,'月1回_2ヶ月前の在庫'!$W$6:$W$10005,$C322)/COUNTIFS('月1回_2ヶ月前の在庫'!$V$6:$V$10005,'設定'!$C$4,'月1回_2ヶ月前の在庫'!$W$6:$W$10005,$C322),0))),INDEX('商品マスタ'!$F$6:$F$1005,MATCH($C322,'商品マスタ'!$B$6:$B$1005,0))),IF(COUNTIFS('①在庫を貼る'!$V$6:$V$10005,'設定'!$C$4,'①在庫を貼る'!$W$6:$W$10005,$C322)&gt;0,SUMIFS('①在庫を貼る'!$K$6:$K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K$6:$K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K$6:$K$10005,'月1回_2ヶ月前の在庫'!$V$6:$V$10005,'設定'!$C$4,'月1回_2ヶ月前の在庫'!$W$6:$W$10005,$C322)/COUNTIFS('月1回_2ヶ月前の在庫'!$V$6:$V$10005,'設定'!$C$4,'月1回_2ヶ月前の在庫'!$W$6:$W$10005,$C322),0)))))))</f>
        <v/>
      </c>
      <c r="H322">
        <f>IF($C322="","",N(IFERROR(IF(INDEX('商品マスタ'!$G$6:$G$1005,MATCH($C322,'商品マスタ'!$B$6:$B$1005,0))="",IF(COUNTIFS('①在庫を貼る'!$V$6:$V$10005,'設定'!$C$4,'①在庫を貼る'!$W$6:$W$10005,$C322)&gt;0,SUMIFS('①在庫を貼る'!$Q$6:$Q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Q$6:$Q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Q$6:$Q$10005,'月1回_2ヶ月前の在庫'!$V$6:$V$10005,'設定'!$C$4,'月1回_2ヶ月前の在庫'!$W$6:$W$10005,$C322)/COUNTIFS('月1回_2ヶ月前の在庫'!$V$6:$V$10005,'設定'!$C$4,'月1回_2ヶ月前の在庫'!$W$6:$W$10005,$C322),0))),INDEX('商品マスタ'!$G$6:$G$1005,MATCH($C322,'商品マスタ'!$B$6:$B$1005,0))),IF(COUNTIFS('①在庫を貼る'!$V$6:$V$10005,'設定'!$C$4,'①在庫を貼る'!$W$6:$W$10005,$C322)&gt;0,SUMIFS('①在庫を貼る'!$Q$6:$Q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Q$6:$Q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Q$6:$Q$10005,'月1回_2ヶ月前の在庫'!$V$6:$V$10005,'設定'!$C$4,'月1回_2ヶ月前の在庫'!$W$6:$W$10005,$C322)/COUNTIFS('月1回_2ヶ月前の在庫'!$V$6:$V$10005,'設定'!$C$4,'月1回_2ヶ月前の在庫'!$W$6:$W$10005,$C322),0))))))</f>
        <v/>
      </c>
      <c r="I322">
        <f>IF($C322="","",IF(COUNTIFS('①在庫を貼る'!$V$6:$V$10005,'設定'!$C$4,'①在庫を貼る'!$W$6:$W$10005,$C322)=0,"",SUMIFS('①在庫を貼る'!$N$6:$N$10005,'①在庫を貼る'!$V$6:$V$10005,'設定'!$C$4,'①在庫を貼る'!$W$6:$W$10005,$C322)))</f>
        <v/>
      </c>
      <c r="J322">
        <f>IF($C322="","",IF('②発注する'!$AD326="","",'②発注する'!$AD326))</f>
        <v/>
      </c>
      <c r="K322" s="90">
        <f>IF($C322="","",IF('②発注する'!$AE326="","",'②発注する'!$AE326))</f>
        <v/>
      </c>
      <c r="L322">
        <f>IF($C322="","",IF(AND(ISNUMBER($J322),ISNUMBER($K322),$K322&gt;='設定'!$C$6),$J322,N($I322)))</f>
        <v/>
      </c>
      <c r="M322">
        <f>IF($C322="","",IFERROR(IF(N(INDEX('商品マスタ'!$J$6:$J$1005,MATCH($C322,'商品マスタ'!$B$6:$B$1005,0)))&gt;0,INDEX('商品マスタ'!$J$6:$J$1005,MATCH($C322,'商品マスタ'!$B$6:$B$1005,0)),""),""))</f>
        <v/>
      </c>
      <c r="N322">
        <f>IF($C322="","",IFERROR(IF(N(INDEX('商品マスタ'!$H$6:$H$1005,MATCH($C322,'商品マスタ'!$B$6:$B$1005,0)))&gt;0,INDEX('商品マスタ'!$H$6:$H$1005,MATCH($C322,'商品マスタ'!$B$6:$B$1005,0)),""),""))</f>
        <v/>
      </c>
      <c r="O322">
        <f>IF($C322="","",IF($N322&lt;&gt;"",$N322*$G322,IF(N(IF(COUNTIFS('①在庫を貼る'!$V$6:$V$10005,'設定'!$C$4,'①在庫を貼る'!$W$6:$W$10005,$C322)&gt;0,SUMIFS('①在庫を貼る'!$O$6:$O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O$6:$O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O$6:$O$10005,'月1回_2ヶ月前の在庫'!$V$6:$V$10005,'設定'!$C$4,'月1回_2ヶ月前の在庫'!$W$6:$W$10005,$C322)/COUNTIFS('月1回_2ヶ月前の在庫'!$V$6:$V$10005,'設定'!$C$4,'月1回_2ヶ月前の在庫'!$W$6:$W$10005,$C322),0))))&gt;0,N(IF(COUNTIFS('①在庫を貼る'!$V$6:$V$10005,'設定'!$C$4,'①在庫を貼る'!$W$6:$W$10005,$C322)&gt;0,SUMIFS('①在庫を貼る'!$O$6:$O$10005,'①在庫を貼る'!$V$6:$V$10005,'設定'!$C$4,'①在庫を貼る'!$W$6:$W$10005,$C322)/COUNTIFS('①在庫を貼る'!$V$6:$V$10005,'設定'!$C$4,'①在庫を貼る'!$W$6:$W$10005,$C322),IF(COUNTIFS('月1回_1ヶ月前の在庫'!$V$6:$V$10005,'設定'!$C$4,'月1回_1ヶ月前の在庫'!$W$6:$W$10005,$C322)&gt;0,SUMIFS('月1回_1ヶ月前の在庫'!$O$6:$O$10005,'月1回_1ヶ月前の在庫'!$V$6:$V$10005,'設定'!$C$4,'月1回_1ヶ月前の在庫'!$W$6:$W$10005,$C322)/COUNTIFS('月1回_1ヶ月前の在庫'!$V$6:$V$10005,'設定'!$C$4,'月1回_1ヶ月前の在庫'!$W$6:$W$10005,$C322),IF(COUNTIFS('月1回_2ヶ月前の在庫'!$V$6:$V$10005,'設定'!$C$4,'月1回_2ヶ月前の在庫'!$W$6:$W$10005,$C322)&gt;0,SUMIFS('月1回_2ヶ月前の在庫'!$O$6:$O$10005,'月1回_2ヶ月前の在庫'!$V$6:$V$10005,'設定'!$C$4,'月1回_2ヶ月前の在庫'!$W$6:$W$10005,$C322)/COUNTIFS('月1回_2ヶ月前の在庫'!$V$6:$V$10005,'設定'!$C$4,'月1回_2ヶ月前の在庫'!$W$6:$W$10005,$C322),0)))),"")))</f>
        <v/>
      </c>
      <c r="P322" s="90">
        <f>IF($C322="","",IF('②発注する'!$I326="","",'②発注する'!$I326))</f>
        <v/>
      </c>
      <c r="Q322">
        <f>IF($C322="","",IF('②発注する'!$J326="","",'②発注する'!$J326))</f>
        <v/>
      </c>
      <c r="R322">
        <f>IF($C322="",0,IF(AND(ISNUMBER($P322),ISNUMBER($Q322)),MAX(0,$Q322)*$G322,0))</f>
        <v/>
      </c>
      <c r="S322" s="90">
        <f>IF($C322="","",IF('②発注する'!$M326="","",'②発注する'!$M326))</f>
        <v/>
      </c>
      <c r="T322">
        <f>IF($C322="","",IF('②発注する'!$N326="","",'②発注する'!$N326))</f>
        <v/>
      </c>
      <c r="U322">
        <f>IF($C322="",0,IF(AND(ISNUMBER($S322),ISNUMBER($T322)),MAX(0,$T322)*$G322,0))</f>
        <v/>
      </c>
      <c r="V322">
        <f>IF($C322="",0,IF($M322="",0,MAX(0,$M322)*MAX(0,V$4)/100))</f>
        <v/>
      </c>
      <c r="W322">
        <f>IF($C322="",0,IF($M322="",0,MAX(0,$M322)*MAX(0,W$4)/100))</f>
        <v/>
      </c>
      <c r="X322">
        <f>IF($C322="",0,IF($M322="",0,MAX(0,$M322)*MAX(0,X$4)/100))</f>
        <v/>
      </c>
      <c r="Y322">
        <f>IF($C322="",0,IF($M322="",0,MAX(0,$M322)*MAX(0,Y$4)/100))</f>
        <v/>
      </c>
      <c r="Z322">
        <f>IF($C322="",0,IF($M322="",0,MAX(0,$M322)*MAX(0,Z$4)/100))</f>
        <v/>
      </c>
      <c r="AA322">
        <f>IF($C322="",0,IF($M322="",0,MAX(0,$M322)*MAX(0,AA$4)/100))</f>
        <v/>
      </c>
      <c r="AB322">
        <f>IF($C322="",0,IF($M322="",0,MAX(0,$M322)*MAX(0,AB$4)/100))</f>
        <v/>
      </c>
      <c r="AC322">
        <f>IF($C322="",0,IF($M322="",0,MAX(0,$M322)*MAX(0,AC$4)/100))</f>
        <v/>
      </c>
      <c r="AD322">
        <f>IF($C322="",0,IF($M322="",0,MAX(0,$M322)*MAX(0,AD$4)/100))</f>
        <v/>
      </c>
      <c r="AE322">
        <f>IF($C322="",0,IF($M322="",0,MAX(0,$M322)*MAX(0,AE$4)/100))</f>
        <v/>
      </c>
      <c r="AF322">
        <f>IF($C322="",0,IF($M322="",0,MAX(0,$M322)*MAX(0,AF$4)/100))</f>
        <v/>
      </c>
      <c r="AG322">
        <f>IF($C322="",0,IF($M322="",0,MAX(0,$M322)*MAX(0,AG$4)/100))</f>
        <v/>
      </c>
      <c r="AH322">
        <f>IF($C322="",0,IF($M322="",0,MAX(0,$M322)*MAX(0,AH$4)/100))</f>
        <v/>
      </c>
      <c r="AI322">
        <f>IF($C322="",0,IF($M322="",0,MAX(0,$M322)*MAX(0,AI$4)/100))</f>
        <v/>
      </c>
      <c r="AJ322">
        <f>IF($C322="",0,MAX(0,MAX(0,N($L322))-$V322))</f>
        <v/>
      </c>
      <c r="AK322">
        <f>IF($C322="",0,MAX(0,$AJ322-$W322))</f>
        <v/>
      </c>
      <c r="AL322">
        <f>IF($C322="",0,MAX(0,$AK322-$X322))</f>
        <v/>
      </c>
      <c r="AM322">
        <f>IF($C322="",0,MAX(0,$AL322-$Y322))</f>
        <v/>
      </c>
      <c r="AN322">
        <f>IF($C322="",0,MAX(0,$AM322-$Z322))</f>
        <v/>
      </c>
      <c r="AO322">
        <f>IF($C322="",0,MAX(0,$AN322-$AA322))</f>
        <v/>
      </c>
      <c r="AP322">
        <f>IF($C322="",0,MAX(0,$AO322-$AB322))</f>
        <v/>
      </c>
      <c r="AQ322">
        <f>IF($C322="",0,MAX(0,$AP322-$AC322))</f>
        <v/>
      </c>
      <c r="AR322">
        <f>IF($C322="",0,MAX(0,$AQ322-$AD322))</f>
        <v/>
      </c>
      <c r="AS322">
        <f>IF($C322="",0,MAX(0,$AR322-$AE322))</f>
        <v/>
      </c>
      <c r="AT322">
        <f>IF($C322="",0,MAX(0,$AS322-$AF322))</f>
        <v/>
      </c>
      <c r="AU322">
        <f>IF($C322="",0,MAX(0,$AT322-$AG322))</f>
        <v/>
      </c>
      <c r="AV322">
        <f>IF($C322="",0,MAX(0,$AU322-$AH322))</f>
        <v/>
      </c>
      <c r="AW322">
        <f>IF($C322="",0,MAX(0,$AV322-$AI322))</f>
        <v/>
      </c>
      <c r="AX322">
        <f>IF($C322="",0,MAX(0,MAX(0,N($L322))+IF($P322=V$3,$R322,0)+IF($S322=V$3,$U322,0)-$V322))</f>
        <v/>
      </c>
      <c r="AY322">
        <f>IF($C322="",0,MAX(0,$AX322+IF($P322=W$3,$R322,0)+IF($S322=W$3,$U322,0)-$W322))</f>
        <v/>
      </c>
      <c r="AZ322">
        <f>IF($C322="",0,MAX(0,$AY322+IF($P322=X$3,$R322,0)+IF($S322=X$3,$U322,0)-$X322))</f>
        <v/>
      </c>
      <c r="BA322">
        <f>IF($C322="",0,MAX(0,$AZ322+IF($P322=Y$3,$R322,0)+IF($S322=Y$3,$U322,0)-$Y322))</f>
        <v/>
      </c>
      <c r="BB322">
        <f>IF($C322="",0,MAX(0,$BA322+IF($P322=Z$3,$R322,0)+IF($S322=Z$3,$U322,0)-$Z322))</f>
        <v/>
      </c>
      <c r="BC322">
        <f>IF($C322="",0,MAX(0,$BB322+IF($P322=AA$3,$R322,0)+IF($S322=AA$3,$U322,0)-$AA322))</f>
        <v/>
      </c>
      <c r="BD322">
        <f>IF($C322="",0,MAX(0,$BC322+IF($P322=AB$3,$R322,0)+IF($S322=AB$3,$U322,0)-$AB322))</f>
        <v/>
      </c>
      <c r="BE322">
        <f>IF($C322="",0,MAX(0,$BD322+IF($P322=AC$3,$R322,0)+IF($S322=AC$3,$U322,0)-$AC322))</f>
        <v/>
      </c>
      <c r="BF322">
        <f>IF($C322="",0,MAX(0,$BE322+IF($P322=AD$3,$R322,0)+IF($S322=AD$3,$U322,0)-$AD322))</f>
        <v/>
      </c>
      <c r="BG322">
        <f>IF($C322="",0,MAX(0,$BF322+IF($P322=AE$3,$R322,0)+IF($S322=AE$3,$U322,0)-$AE322))</f>
        <v/>
      </c>
      <c r="BH322">
        <f>IF($C322="",0,MAX(0,$BG322+IF($P322=AF$3,$R322,0)+IF($S322=AF$3,$U322,0)-$AF322))</f>
        <v/>
      </c>
      <c r="BI322">
        <f>IF($C322="",0,MAX(0,$BH322+IF($P322=AG$3,$R322,0)+IF($S322=AG$3,$U322,0)-$AG322))</f>
        <v/>
      </c>
      <c r="BJ322">
        <f>IF($C322="",0,MAX(0,$BI322+IF($P322=AH$3,$R322,0)+IF($S322=AH$3,$U322,0)-$AH322))</f>
        <v/>
      </c>
      <c r="BK322">
        <f>IF($C322="",0,MAX(0,$BJ322+IF($P322=AI$3,$R322,0)+IF($S322=AI$3,$U322,0)-$AI322))</f>
        <v/>
      </c>
      <c r="BL322">
        <f>IF($C322="",99,IF(AND($AX322&lt;1,V$3&gt;=MAX(N($P322),N($S322))),0,99))</f>
        <v/>
      </c>
      <c r="BM322">
        <f>IF($C322="",99,IF(AND($AY322&lt;1,W$3&gt;=MAX(N($P322),N($S322))),1,99))</f>
        <v/>
      </c>
      <c r="BN322">
        <f>IF($C322="",99,IF(AND($AZ322&lt;1,X$3&gt;=MAX(N($P322),N($S322))),2,99))</f>
        <v/>
      </c>
      <c r="BO322">
        <f>IF($C322="",99,IF(AND($BA322&lt;1,Y$3&gt;=MAX(N($P322),N($S322))),3,99))</f>
        <v/>
      </c>
      <c r="BP322">
        <f>IF($C322="",99,IF(AND($BB322&lt;1,Z$3&gt;=MAX(N($P322),N($S322))),4,99))</f>
        <v/>
      </c>
      <c r="BQ322">
        <f>IF($C322="",99,IF(AND($BC322&lt;1,AA$3&gt;=MAX(N($P322),N($S322))),5,99))</f>
        <v/>
      </c>
      <c r="BR322">
        <f>IF($C322="",99,IF(AND($BD322&lt;1,AB$3&gt;=MAX(N($P322),N($S322))),6,99))</f>
        <v/>
      </c>
      <c r="BS322">
        <f>IF($C322="",99,IF(AND($BE322&lt;1,AC$3&gt;=MAX(N($P322),N($S322))),7,99))</f>
        <v/>
      </c>
      <c r="BT322">
        <f>IF($C322="",99,IF(AND($BF322&lt;1,AD$3&gt;=MAX(N($P322),N($S322))),8,99))</f>
        <v/>
      </c>
      <c r="BU322">
        <f>IF($C322="",99,IF(AND($BG322&lt;1,AE$3&gt;=MAX(N($P322),N($S322))),9,99))</f>
        <v/>
      </c>
      <c r="BV322">
        <f>IF($C322="",99,IF(AND($BH322&lt;1,AF$3&gt;=MAX(N($P322),N($S322))),10,99))</f>
        <v/>
      </c>
      <c r="BW322">
        <f>IF($C322="",99,IF(AND($BI322&lt;1,AG$3&gt;=MAX(N($P322),N($S322))),11,99))</f>
        <v/>
      </c>
      <c r="BX322">
        <f>IF($C322="",99,IF(AND($BJ322&lt;1,AH$3&gt;=MAX(N($P322),N($S322))),12,99))</f>
        <v/>
      </c>
      <c r="BY322">
        <f>IF($C322="",99,IF(AND($BK322&lt;1,AI$3&gt;=MAX(N($P322),N($S322))),13,99))</f>
        <v/>
      </c>
      <c r="BZ322">
        <f>IF(OR($C322="",$M322=""),"",COUNTIF($AJ322:$AW322,"&gt;=1"))</f>
        <v/>
      </c>
      <c r="CA322" s="90">
        <f>IF($BZ322="","",IF($BZ322&gt;=14,"",'設定'!$C$6+$BZ322))</f>
        <v/>
      </c>
      <c r="CB322">
        <f>IF(OR($C322="",$M322=""),"",MIN($BL322:$BY322))</f>
        <v/>
      </c>
      <c r="CC322" s="90">
        <f>IF($CB322="","",IF($CB322&gt;=99,"",'設定'!$C$6+$CB322))</f>
        <v/>
      </c>
      <c r="CD322">
        <f>IF(OR($C322="",$M322=""),"",AVERAGE($V322:$AI322))</f>
        <v/>
      </c>
      <c r="CE322">
        <f>IF($C322="","",IFERROR(IF(MATCH(IF(ISNUMBER($P322),$P322,'設定'!$C$6+N('設定'!$C$7)),$V$3:$AI$3,0)=1,MAX(0,N($L322)),INDEX($AJ322:$AW322,MATCH(IF(ISNUMBER($P322),$P322,'設定'!$C$6+N('設定'!$C$7)),$V$3:$AI$3,0)-1)),""))</f>
        <v/>
      </c>
      <c r="CF322">
        <f>IF(OR($C322="",$O322="",$CE322=""),"",IF($O322-$CE322&lt;=0,0,ROUNDUP(($O322-$CE322)/$G322,0)))</f>
        <v/>
      </c>
      <c r="CG322">
        <f>IF(OR($C322="",$CF322="",NOT(ISNUMBER($Q322))),0,MAX(0,$Q322-$CF322))</f>
        <v/>
      </c>
      <c r="CH322">
        <f>IF(OR($C322="",$O322="",$U322=0),0,IFERROR(ROUNDUP(MAX(0,IF(MATCH($S322,$V$3:$AI$3,0)=1,MAX(0,N($L322)),INDEX($AX322:$BK322,MATCH($S322,$V$3:$AI$3,0)-1))+$U322-$O322)/$G322,0),0))</f>
        <v/>
      </c>
      <c r="CI322">
        <f>IF($C322="","",IF(AND($P322="",$Q322=""),"",IF($P322="","⚠ 入庫日を ▼ から選んでください",IF(NOT(ISNUMBER($P322)),"⚠ 入庫日は ▼ から選んでください",IF($P322&lt;N('設定'!$C$6),"⚠ 入庫日が過去です（もう在庫に入っています）→ 消してください",IF($P322&gt;N('設定'!$C$6)+13,"⚠ 入庫日が14日より先です",IF(N($Q322)&lt;=0,"⚠ 入庫数を入れてください",IF($CG322&gt;0,"⚠ 目安より "&amp;$CG322&amp;" 多い（定数を超える）→ 減らす",""))))))))</f>
        <v/>
      </c>
      <c r="CJ322">
        <f>IF($C322="","",IF(AND($S322="",$T322=""),"",IF($S322="","⚠ 2便目：入庫日を ▼ から選んでください",IF(NOT(ISNUMBER($S322)),"⚠ 2便目：入庫日は ▼ から選んでください",IF($S322&lt;N('設定'!$C$6),"⚠ 2便目：入庫日が過去です（もう在庫に入っています）→ 消してください",IF($S322&gt;N('設定'!$C$6)+13,"⚠ 2便目：入庫日が14日より先です",IF(N($T322)&lt;=0,"⚠ 2便目：入庫数を入れてください",IF($CH322&gt;0,"⚠ 2便目：定数を "&amp;$CH322&amp;" ケース超える → 減らす",""))))))))</f>
        <v/>
      </c>
      <c r="CK322">
        <f>IF(AND($CI322="",N($Q322)&gt;0,ISNUMBER($P322)),1,0)</f>
        <v/>
      </c>
      <c r="CL322">
        <f>IF(AND($CJ322="",N($T322)&gt;0,ISNUMBER($S322)),1,0)</f>
        <v/>
      </c>
      <c r="CM322">
        <f>IF(OR($CK322=1,$CL322=1),1,0)</f>
        <v/>
      </c>
      <c r="CN322">
        <f>IF($C322="",0,($CK322*$R322+$CL322*$U322)*N($H322))</f>
        <v/>
      </c>
      <c r="CO322">
        <f>IF($C322="","",IF($CC322="","入庫後は 14日以上もつ",IF($CC322-N('設定'!$C$7)&lt;='設定'!$C$6,"入庫後も "&amp;TEXT($CC322,"m/d")&amp;"("&amp;CHOOSE(WEEKDAY($CC322),"日","月","火","水","木","金","土")&amp;")"&amp;" に切れる　もう1便を至急発注","入庫後も "&amp;TEXT($CC322,"m/d")&amp;"("&amp;CHOOSE(WEEKDAY($CC322),"日","月","火","水","木","金","土")&amp;")"&amp;" に切れる　"&amp;TEXT($CC322-N('設定'!$C$7),"m/d")&amp;"("&amp;CHOOSE(WEEKDAY($CC322-N('設定'!$C$7)),"日","月","火","水","木","金","土")&amp;")"&amp;" までに次を発注")))</f>
        <v/>
      </c>
      <c r="CP322">
        <f>IF($C322="","",IF('設定'!$C$6="","？ ①在庫を貼る に今日のCSVが貼られていない",IF($CS322=1,"－ 今日のCSVに無い（終売？）",IF($L322&lt;0,"● 在庫がマイナス　数えて「数えた在庫」に入れる",IF($L322=0,"● 在庫なし　至急発注",IF($M322="","？ 減り数が未設定（商品マスタ）",IF($B$3=0,"？ 動員が未入力（動員を入れる）",IF($CA322="","○ 14日以上もつ",IF($BZ322&lt;N('設定'!$C$7),"● "&amp;TEXT($CA322,"m/d")&amp;"("&amp;CHOOSE(WEEKDAY($CA322),"日","月","火","水","木","金","土")&amp;")"&amp;" に切れる　至急発注",IF($BZ322=N('設定'!$C$7),"● "&amp;TEXT($CA322,"m/d")&amp;"("&amp;CHOOSE(WEEKDAY($CA322),"日","月","火","水","木","金","土")&amp;")"&amp;" に切れる　今日発注","△ "&amp;TEXT($CA322,"m/d")&amp;"("&amp;CHOOSE(WEEKDAY($CA322),"日","月","火","水","木","金","土")&amp;")"&amp;" に切れる　"&amp;TEXT($CA322-N('設定'!$C$7),"m/d")&amp;"("&amp;CHOOSE(WEEKDAY($CA322-N('設定'!$C$7)),"日","月","火","水","木","金","土")&amp;")"&amp;" までに発注"))))))))))</f>
        <v/>
      </c>
      <c r="CQ322">
        <f>IF($C322="","",IF(AND($P322="",$Q322="",$S322="",$T322=""),"",IF(AND($P322="",$Q322=""),"⚠ 先に1便目（左の入庫日・入庫数）に入れてください",IF($CI322&lt;&gt;"",$CI322,IF($CJ322&lt;&gt;"",$CJ322,IF($M322="","？ 減り数が未設定（発注書には載ります）",IF($B$3=0,"？ 動員が未入力（発注書には載ります）",IF(AND($CA322&lt;&gt;"",$P322&gt;$CA322),IF($P322&gt;'設定'!$C$6+N('設定'!$C$7),"● "&amp;TEXT($P322,"m/d")&amp;"("&amp;CHOOSE(WEEKDAY($P322),"日","月","火","水","木","金","土")&amp;")"&amp;" の入庫では間に合わない（"&amp;TEXT($CA322,"m/d")&amp;"("&amp;CHOOSE(WEEKDAY($CA322),"日","月","火","水","木","金","土")&amp;")"&amp;" に切れる）　入庫日を早める","△ 欠品 "&amp;TEXT($CA322,"m/d")&amp;"("&amp;CHOOSE(WEEKDAY($CA322),"日","月","火","水","木","金","土")&amp;")"&amp;"〜"&amp;TEXT($P322-1,"m/d")&amp;"("&amp;CHOOSE(WEEKDAY($P322-1),"日","月","火","水","木","金","土")&amp;")"&amp;"　"&amp;$CO322),IF($CC322="","○ "&amp;TEXT($P322,"m/d")&amp;"("&amp;CHOOSE(WEEKDAY($P322),"日","月","火","水","木","金","土")&amp;")"&amp;" 入庫で 14日以上もつ",IF($CC322-N('設定'!$C$7)&lt;='設定'!$C$6,"● 入庫しても "&amp;TEXT($CC322,"m/d")&amp;"("&amp;CHOOSE(WEEKDAY($CC322),"日","月","火","水","木","金","土")&amp;")"&amp;" に切れる　もう1便を至急発注（2便目に入れる）","△ 入庫しても "&amp;TEXT($CC322,"m/d")&amp;"("&amp;CHOOSE(WEEKDAY($CC322),"日","月","火","水","木","金","土")&amp;")"&amp;" に切れる　"&amp;TEXT($CC322-N('設定'!$C$7),"m/d")&amp;"("&amp;CHOOSE(WEEKDAY($CC322-N('設定'!$C$7)),"日","月","火","水","木","金","土")&amp;")"&amp;" までに次を発注（2便目に入れる）"))))))))))</f>
        <v/>
      </c>
      <c r="CR322">
        <f>IF($C322="","",IF($G322&gt;1,"ｹｰｽ("&amp;$G322&amp;"入)","個"))</f>
        <v/>
      </c>
      <c r="CS322">
        <f>IF($C322="",0,IF(COUNTIFS('①在庫を貼る'!$V$6:$V$10005,'設定'!$C$4,'①在庫を貼る'!$W$6:$W$10005,$C322)=0,1,0))</f>
        <v/>
      </c>
      <c r="CT322">
        <f>IF(AND($CK322=1,OR('③発注書'!$C$4="すべて",'③発注書'!$C$4="",$F322='③発注書'!$C$4)),N($CT321)+1,N($CT321))</f>
        <v/>
      </c>
      <c r="CU322">
        <f>IF(AND($CL322=1,OR('③発注書'!$C$4="すべて",'③発注書'!$C$4="",$F322='③発注書'!$C$4)),N($CU321)+1,N($CU321))</f>
        <v/>
      </c>
      <c r="CV322">
        <f>IF($C322="",0,IF(COUNTIFS('①在庫を貼る'!$V$6:$V$10005,'設定'!$C$4,'①在庫を貼る'!$W$6:$W$10005,$C322)&gt;0,1,0))</f>
        <v/>
      </c>
      <c r="CW322">
        <f>IF($C322="",0,IF(COUNTIFS('月1回_1ヶ月前の在庫'!$V$6:$V$10005,'設定'!$C$4,'月1回_1ヶ月前の在庫'!$W$6:$W$10005,$C322)&gt;0,1,0))</f>
        <v/>
      </c>
      <c r="CX322">
        <f>IF($C322="",0,IF(COUNTIFS('月1回_2ヶ月前の在庫'!$V$6:$V$10005,'設定'!$C$4,'月1回_2ヶ月前の在庫'!$W$6:$W$10005,$C322)&gt;0,1,0))</f>
        <v/>
      </c>
      <c r="CY322">
        <f>IF(OR($C322="",'設定'!$C$12=""),"",IF('設定'!$C$13="",IF(AND($CV322=1,$CW322=0),"新商品（今月から）",IF(AND($CV322=0,$CW322=1),"終売（今月から）","")),IF(AND($CV322=1,$CW322=0,$CX322=0),"新商品（今月から）",IF(AND($CV322=1,$CW322=1,$CX322=0),"新商品（先月から）",IF(AND($CV322=0,$CW322=1,$CX322=1),"終売（今月から）",IF(AND($CV322=0,$CW322=0,$CX322=1),"終売（先月から）",IF(AND($CV322=1,$CW322=0,$CX322=1),"復活（先月は無し）","")))))))</f>
        <v/>
      </c>
    </row>
    <row r="323">
      <c r="B323">
        <f>IF(318&lt;='設定'!$C$11,318,"")</f>
        <v/>
      </c>
      <c r="C323">
        <f>IF($B323="","",IF($B323&lt;='設定'!$C$20,INDEX('商品マスタ'!$B$6:$B$1005,MATCH($B323,'商品マスタ'!$M$6:$M$1005,0)),IF($B323&lt;='設定'!$C$20+'設定'!$C$17,INDEX('①在庫を貼る'!$W$6:$W$10005,MATCH($B323-'設定'!$C$20,'①在庫を貼る'!$U$6:$U$10005,0)),IF($B323&lt;='設定'!$C$20+'設定'!$C$17+'設定'!$C$18,INDEX('月1回_1ヶ月前の在庫'!$W$6:$W$10005,MATCH($B323-'設定'!$C$20-'設定'!$C$17,'月1回_1ヶ月前の在庫'!$U$6:$U$10005,0)),INDEX('月1回_2ヶ月前の在庫'!$W$6:$W$10005,MATCH($B323-'設定'!$C$20-'設定'!$C$17-'設定'!$C$18,'月1回_2ヶ月前の在庫'!$U$6:$U$10005,0))))))</f>
        <v/>
      </c>
      <c r="D323">
        <f>IF($C323="","",IFERROR(IF(INDEX('商品マスタ'!$C$6:$C$1005,MATCH($C323,'商品マスタ'!$B$6:$B$1005,0))="",IFERROR(INDEX('①在庫を貼る'!$J$6:$J$10005,MATCH($C323,'①在庫を貼る'!$W$6:$W$10005,0)),IFERROR(INDEX('月1回_1ヶ月前の在庫'!$J$6:$J$10005,MATCH($C323,'月1回_1ヶ月前の在庫'!$W$6:$W$10005,0)),IFERROR(INDEX('月1回_2ヶ月前の在庫'!$J$6:$J$10005,MATCH($C323,'月1回_2ヶ月前の在庫'!$W$6:$W$10005,0)),""))),INDEX('商品マスタ'!$C$6:$C$1005,MATCH($C323,'商品マスタ'!$B$6:$B$1005,0))),IFERROR(INDEX('①在庫を貼る'!$J$6:$J$10005,MATCH($C323,'①在庫を貼る'!$W$6:$W$10005,0)),IFERROR(INDEX('月1回_1ヶ月前の在庫'!$J$6:$J$10005,MATCH($C323,'月1回_1ヶ月前の在庫'!$W$6:$W$10005,0)),IFERROR(INDEX('月1回_2ヶ月前の在庫'!$J$6:$J$10005,MATCH($C323,'月1回_2ヶ月前の在庫'!$W$6:$W$10005,0)),"")))))</f>
        <v/>
      </c>
      <c r="E323">
        <f>IF($C323="","",IFERROR(IF(INDEX('商品マスタ'!$D$6:$D$1005,MATCH($C323,'商品マスタ'!$B$6:$B$1005,0))="",IFERROR(INDEX('①在庫を貼る'!$H$6:$H$10005,MATCH($C323,'①在庫を貼る'!$W$6:$W$10005,0)),IFERROR(INDEX('月1回_1ヶ月前の在庫'!$H$6:$H$10005,MATCH($C323,'月1回_1ヶ月前の在庫'!$W$6:$W$10005,0)),IFERROR(INDEX('月1回_2ヶ月前の在庫'!$H$6:$H$10005,MATCH($C323,'月1回_2ヶ月前の在庫'!$W$6:$W$10005,0)),""))),INDEX('商品マスタ'!$D$6:$D$1005,MATCH($C323,'商品マスタ'!$B$6:$B$1005,0))),IFERROR(INDEX('①在庫を貼る'!$H$6:$H$10005,MATCH($C323,'①在庫を貼る'!$W$6:$W$10005,0)),IFERROR(INDEX('月1回_1ヶ月前の在庫'!$H$6:$H$10005,MATCH($C323,'月1回_1ヶ月前の在庫'!$W$6:$W$10005,0)),IFERROR(INDEX('月1回_2ヶ月前の在庫'!$H$6:$H$10005,MATCH($C323,'月1回_2ヶ月前の在庫'!$W$6:$W$10005,0)),"")))))</f>
        <v/>
      </c>
      <c r="F323">
        <f>IF($C323="","",IFERROR(IF(INDEX('商品マスタ'!$E$6:$E$1005,MATCH($C323,'商品マスタ'!$B$6:$B$1005,0))="",IFERROR(INDEX('①在庫を貼る'!$E$6:$E$10005,MATCH($C323,'①在庫を貼る'!$W$6:$W$10005,0)),IFERROR(INDEX('月1回_1ヶ月前の在庫'!$E$6:$E$10005,MATCH($C323,'月1回_1ヶ月前の在庫'!$W$6:$W$10005,0)),IFERROR(INDEX('月1回_2ヶ月前の在庫'!$E$6:$E$10005,MATCH($C323,'月1回_2ヶ月前の在庫'!$W$6:$W$10005,0)),""))),INDEX('商品マスタ'!$E$6:$E$1005,MATCH($C323,'商品マスタ'!$B$6:$B$1005,0))),IFERROR(INDEX('①在庫を貼る'!$E$6:$E$10005,MATCH($C323,'①在庫を貼る'!$W$6:$W$10005,0)),IFERROR(INDEX('月1回_1ヶ月前の在庫'!$E$6:$E$10005,MATCH($C323,'月1回_1ヶ月前の在庫'!$W$6:$W$10005,0)),IFERROR(INDEX('月1回_2ヶ月前の在庫'!$E$6:$E$10005,MATCH($C323,'月1回_2ヶ月前の在庫'!$W$6:$W$10005,0)),"")))))</f>
        <v/>
      </c>
      <c r="G323">
        <f>IF($C323="","",MAX(1,N(IFERROR(IF(INDEX('商品マスタ'!$F$6:$F$1005,MATCH($C323,'商品マスタ'!$B$6:$B$1005,0))="",IF(COUNTIFS('①在庫を貼る'!$V$6:$V$10005,'設定'!$C$4,'①在庫を貼る'!$W$6:$W$10005,$C323)&gt;0,SUMIFS('①在庫を貼る'!$K$6:$K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K$6:$K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K$6:$K$10005,'月1回_2ヶ月前の在庫'!$V$6:$V$10005,'設定'!$C$4,'月1回_2ヶ月前の在庫'!$W$6:$W$10005,$C323)/COUNTIFS('月1回_2ヶ月前の在庫'!$V$6:$V$10005,'設定'!$C$4,'月1回_2ヶ月前の在庫'!$W$6:$W$10005,$C323),0))),INDEX('商品マスタ'!$F$6:$F$1005,MATCH($C323,'商品マスタ'!$B$6:$B$1005,0))),IF(COUNTIFS('①在庫を貼る'!$V$6:$V$10005,'設定'!$C$4,'①在庫を貼る'!$W$6:$W$10005,$C323)&gt;0,SUMIFS('①在庫を貼る'!$K$6:$K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K$6:$K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K$6:$K$10005,'月1回_2ヶ月前の在庫'!$V$6:$V$10005,'設定'!$C$4,'月1回_2ヶ月前の在庫'!$W$6:$W$10005,$C323)/COUNTIFS('月1回_2ヶ月前の在庫'!$V$6:$V$10005,'設定'!$C$4,'月1回_2ヶ月前の在庫'!$W$6:$W$10005,$C323),0)))))))</f>
        <v/>
      </c>
      <c r="H323">
        <f>IF($C323="","",N(IFERROR(IF(INDEX('商品マスタ'!$G$6:$G$1005,MATCH($C323,'商品マスタ'!$B$6:$B$1005,0))="",IF(COUNTIFS('①在庫を貼る'!$V$6:$V$10005,'設定'!$C$4,'①在庫を貼る'!$W$6:$W$10005,$C323)&gt;0,SUMIFS('①在庫を貼る'!$Q$6:$Q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Q$6:$Q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Q$6:$Q$10005,'月1回_2ヶ月前の在庫'!$V$6:$V$10005,'設定'!$C$4,'月1回_2ヶ月前の在庫'!$W$6:$W$10005,$C323)/COUNTIFS('月1回_2ヶ月前の在庫'!$V$6:$V$10005,'設定'!$C$4,'月1回_2ヶ月前の在庫'!$W$6:$W$10005,$C323),0))),INDEX('商品マスタ'!$G$6:$G$1005,MATCH($C323,'商品マスタ'!$B$6:$B$1005,0))),IF(COUNTIFS('①在庫を貼る'!$V$6:$V$10005,'設定'!$C$4,'①在庫を貼る'!$W$6:$W$10005,$C323)&gt;0,SUMIFS('①在庫を貼る'!$Q$6:$Q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Q$6:$Q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Q$6:$Q$10005,'月1回_2ヶ月前の在庫'!$V$6:$V$10005,'設定'!$C$4,'月1回_2ヶ月前の在庫'!$W$6:$W$10005,$C323)/COUNTIFS('月1回_2ヶ月前の在庫'!$V$6:$V$10005,'設定'!$C$4,'月1回_2ヶ月前の在庫'!$W$6:$W$10005,$C323),0))))))</f>
        <v/>
      </c>
      <c r="I323">
        <f>IF($C323="","",IF(COUNTIFS('①在庫を貼る'!$V$6:$V$10005,'設定'!$C$4,'①在庫を貼る'!$W$6:$W$10005,$C323)=0,"",SUMIFS('①在庫を貼る'!$N$6:$N$10005,'①在庫を貼る'!$V$6:$V$10005,'設定'!$C$4,'①在庫を貼る'!$W$6:$W$10005,$C323)))</f>
        <v/>
      </c>
      <c r="J323">
        <f>IF($C323="","",IF('②発注する'!$AD327="","",'②発注する'!$AD327))</f>
        <v/>
      </c>
      <c r="K323" s="90">
        <f>IF($C323="","",IF('②発注する'!$AE327="","",'②発注する'!$AE327))</f>
        <v/>
      </c>
      <c r="L323">
        <f>IF($C323="","",IF(AND(ISNUMBER($J323),ISNUMBER($K323),$K323&gt;='設定'!$C$6),$J323,N($I323)))</f>
        <v/>
      </c>
      <c r="M323">
        <f>IF($C323="","",IFERROR(IF(N(INDEX('商品マスタ'!$J$6:$J$1005,MATCH($C323,'商品マスタ'!$B$6:$B$1005,0)))&gt;0,INDEX('商品マスタ'!$J$6:$J$1005,MATCH($C323,'商品マスタ'!$B$6:$B$1005,0)),""),""))</f>
        <v/>
      </c>
      <c r="N323">
        <f>IF($C323="","",IFERROR(IF(N(INDEX('商品マスタ'!$H$6:$H$1005,MATCH($C323,'商品マスタ'!$B$6:$B$1005,0)))&gt;0,INDEX('商品マスタ'!$H$6:$H$1005,MATCH($C323,'商品マスタ'!$B$6:$B$1005,0)),""),""))</f>
        <v/>
      </c>
      <c r="O323">
        <f>IF($C323="","",IF($N323&lt;&gt;"",$N323*$G323,IF(N(IF(COUNTIFS('①在庫を貼る'!$V$6:$V$10005,'設定'!$C$4,'①在庫を貼る'!$W$6:$W$10005,$C323)&gt;0,SUMIFS('①在庫を貼る'!$O$6:$O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O$6:$O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O$6:$O$10005,'月1回_2ヶ月前の在庫'!$V$6:$V$10005,'設定'!$C$4,'月1回_2ヶ月前の在庫'!$W$6:$W$10005,$C323)/COUNTIFS('月1回_2ヶ月前の在庫'!$V$6:$V$10005,'設定'!$C$4,'月1回_2ヶ月前の在庫'!$W$6:$W$10005,$C323),0))))&gt;0,N(IF(COUNTIFS('①在庫を貼る'!$V$6:$V$10005,'設定'!$C$4,'①在庫を貼る'!$W$6:$W$10005,$C323)&gt;0,SUMIFS('①在庫を貼る'!$O$6:$O$10005,'①在庫を貼る'!$V$6:$V$10005,'設定'!$C$4,'①在庫を貼る'!$W$6:$W$10005,$C323)/COUNTIFS('①在庫を貼る'!$V$6:$V$10005,'設定'!$C$4,'①在庫を貼る'!$W$6:$W$10005,$C323),IF(COUNTIFS('月1回_1ヶ月前の在庫'!$V$6:$V$10005,'設定'!$C$4,'月1回_1ヶ月前の在庫'!$W$6:$W$10005,$C323)&gt;0,SUMIFS('月1回_1ヶ月前の在庫'!$O$6:$O$10005,'月1回_1ヶ月前の在庫'!$V$6:$V$10005,'設定'!$C$4,'月1回_1ヶ月前の在庫'!$W$6:$W$10005,$C323)/COUNTIFS('月1回_1ヶ月前の在庫'!$V$6:$V$10005,'設定'!$C$4,'月1回_1ヶ月前の在庫'!$W$6:$W$10005,$C323),IF(COUNTIFS('月1回_2ヶ月前の在庫'!$V$6:$V$10005,'設定'!$C$4,'月1回_2ヶ月前の在庫'!$W$6:$W$10005,$C323)&gt;0,SUMIFS('月1回_2ヶ月前の在庫'!$O$6:$O$10005,'月1回_2ヶ月前の在庫'!$V$6:$V$10005,'設定'!$C$4,'月1回_2ヶ月前の在庫'!$W$6:$W$10005,$C323)/COUNTIFS('月1回_2ヶ月前の在庫'!$V$6:$V$10005,'設定'!$C$4,'月1回_2ヶ月前の在庫'!$W$6:$W$10005,$C323),0)))),"")))</f>
        <v/>
      </c>
      <c r="P323" s="90">
        <f>IF($C323="","",IF('②発注する'!$I327="","",'②発注する'!$I327))</f>
        <v/>
      </c>
      <c r="Q323">
        <f>IF($C323="","",IF('②発注する'!$J327="","",'②発注する'!$J327))</f>
        <v/>
      </c>
      <c r="R323">
        <f>IF($C323="",0,IF(AND(ISNUMBER($P323),ISNUMBER($Q323)),MAX(0,$Q323)*$G323,0))</f>
        <v/>
      </c>
      <c r="S323" s="90">
        <f>IF($C323="","",IF('②発注する'!$M327="","",'②発注する'!$M327))</f>
        <v/>
      </c>
      <c r="T323">
        <f>IF($C323="","",IF('②発注する'!$N327="","",'②発注する'!$N327))</f>
        <v/>
      </c>
      <c r="U323">
        <f>IF($C323="",0,IF(AND(ISNUMBER($S323),ISNUMBER($T323)),MAX(0,$T323)*$G323,0))</f>
        <v/>
      </c>
      <c r="V323">
        <f>IF($C323="",0,IF($M323="",0,MAX(0,$M323)*MAX(0,V$4)/100))</f>
        <v/>
      </c>
      <c r="W323">
        <f>IF($C323="",0,IF($M323="",0,MAX(0,$M323)*MAX(0,W$4)/100))</f>
        <v/>
      </c>
      <c r="X323">
        <f>IF($C323="",0,IF($M323="",0,MAX(0,$M323)*MAX(0,X$4)/100))</f>
        <v/>
      </c>
      <c r="Y323">
        <f>IF($C323="",0,IF($M323="",0,MAX(0,$M323)*MAX(0,Y$4)/100))</f>
        <v/>
      </c>
      <c r="Z323">
        <f>IF($C323="",0,IF($M323="",0,MAX(0,$M323)*MAX(0,Z$4)/100))</f>
        <v/>
      </c>
      <c r="AA323">
        <f>IF($C323="",0,IF($M323="",0,MAX(0,$M323)*MAX(0,AA$4)/100))</f>
        <v/>
      </c>
      <c r="AB323">
        <f>IF($C323="",0,IF($M323="",0,MAX(0,$M323)*MAX(0,AB$4)/100))</f>
        <v/>
      </c>
      <c r="AC323">
        <f>IF($C323="",0,IF($M323="",0,MAX(0,$M323)*MAX(0,AC$4)/100))</f>
        <v/>
      </c>
      <c r="AD323">
        <f>IF($C323="",0,IF($M323="",0,MAX(0,$M323)*MAX(0,AD$4)/100))</f>
        <v/>
      </c>
      <c r="AE323">
        <f>IF($C323="",0,IF($M323="",0,MAX(0,$M323)*MAX(0,AE$4)/100))</f>
        <v/>
      </c>
      <c r="AF323">
        <f>IF($C323="",0,IF($M323="",0,MAX(0,$M323)*MAX(0,AF$4)/100))</f>
        <v/>
      </c>
      <c r="AG323">
        <f>IF($C323="",0,IF($M323="",0,MAX(0,$M323)*MAX(0,AG$4)/100))</f>
        <v/>
      </c>
      <c r="AH323">
        <f>IF($C323="",0,IF($M323="",0,MAX(0,$M323)*MAX(0,AH$4)/100))</f>
        <v/>
      </c>
      <c r="AI323">
        <f>IF($C323="",0,IF($M323="",0,MAX(0,$M323)*MAX(0,AI$4)/100))</f>
        <v/>
      </c>
      <c r="AJ323">
        <f>IF($C323="",0,MAX(0,MAX(0,N($L323))-$V323))</f>
        <v/>
      </c>
      <c r="AK323">
        <f>IF($C323="",0,MAX(0,$AJ323-$W323))</f>
        <v/>
      </c>
      <c r="AL323">
        <f>IF($C323="",0,MAX(0,$AK323-$X323))</f>
        <v/>
      </c>
      <c r="AM323">
        <f>IF($C323="",0,MAX(0,$AL323-$Y323))</f>
        <v/>
      </c>
      <c r="AN323">
        <f>IF($C323="",0,MAX(0,$AM323-$Z323))</f>
        <v/>
      </c>
      <c r="AO323">
        <f>IF($C323="",0,MAX(0,$AN323-$AA323))</f>
        <v/>
      </c>
      <c r="AP323">
        <f>IF($C323="",0,MAX(0,$AO323-$AB323))</f>
        <v/>
      </c>
      <c r="AQ323">
        <f>IF($C323="",0,MAX(0,$AP323-$AC323))</f>
        <v/>
      </c>
      <c r="AR323">
        <f>IF($C323="",0,MAX(0,$AQ323-$AD323))</f>
        <v/>
      </c>
      <c r="AS323">
        <f>IF($C323="",0,MAX(0,$AR323-$AE323))</f>
        <v/>
      </c>
      <c r="AT323">
        <f>IF($C323="",0,MAX(0,$AS323-$AF323))</f>
        <v/>
      </c>
      <c r="AU323">
        <f>IF($C323="",0,MAX(0,$AT323-$AG323))</f>
        <v/>
      </c>
      <c r="AV323">
        <f>IF($C323="",0,MAX(0,$AU323-$AH323))</f>
        <v/>
      </c>
      <c r="AW323">
        <f>IF($C323="",0,MAX(0,$AV323-$AI323))</f>
        <v/>
      </c>
      <c r="AX323">
        <f>IF($C323="",0,MAX(0,MAX(0,N($L323))+IF($P323=V$3,$R323,0)+IF($S323=V$3,$U323,0)-$V323))</f>
        <v/>
      </c>
      <c r="AY323">
        <f>IF($C323="",0,MAX(0,$AX323+IF($P323=W$3,$R323,0)+IF($S323=W$3,$U323,0)-$W323))</f>
        <v/>
      </c>
      <c r="AZ323">
        <f>IF($C323="",0,MAX(0,$AY323+IF($P323=X$3,$R323,0)+IF($S323=X$3,$U323,0)-$X323))</f>
        <v/>
      </c>
      <c r="BA323">
        <f>IF($C323="",0,MAX(0,$AZ323+IF($P323=Y$3,$R323,0)+IF($S323=Y$3,$U323,0)-$Y323))</f>
        <v/>
      </c>
      <c r="BB323">
        <f>IF($C323="",0,MAX(0,$BA323+IF($P323=Z$3,$R323,0)+IF($S323=Z$3,$U323,0)-$Z323))</f>
        <v/>
      </c>
      <c r="BC323">
        <f>IF($C323="",0,MAX(0,$BB323+IF($P323=AA$3,$R323,0)+IF($S323=AA$3,$U323,0)-$AA323))</f>
        <v/>
      </c>
      <c r="BD323">
        <f>IF($C323="",0,MAX(0,$BC323+IF($P323=AB$3,$R323,0)+IF($S323=AB$3,$U323,0)-$AB323))</f>
        <v/>
      </c>
      <c r="BE323">
        <f>IF($C323="",0,MAX(0,$BD323+IF($P323=AC$3,$R323,0)+IF($S323=AC$3,$U323,0)-$AC323))</f>
        <v/>
      </c>
      <c r="BF323">
        <f>IF($C323="",0,MAX(0,$BE323+IF($P323=AD$3,$R323,0)+IF($S323=AD$3,$U323,0)-$AD323))</f>
        <v/>
      </c>
      <c r="BG323">
        <f>IF($C323="",0,MAX(0,$BF323+IF($P323=AE$3,$R323,0)+IF($S323=AE$3,$U323,0)-$AE323))</f>
        <v/>
      </c>
      <c r="BH323">
        <f>IF($C323="",0,MAX(0,$BG323+IF($P323=AF$3,$R323,0)+IF($S323=AF$3,$U323,0)-$AF323))</f>
        <v/>
      </c>
      <c r="BI323">
        <f>IF($C323="",0,MAX(0,$BH323+IF($P323=AG$3,$R323,0)+IF($S323=AG$3,$U323,0)-$AG323))</f>
        <v/>
      </c>
      <c r="BJ323">
        <f>IF($C323="",0,MAX(0,$BI323+IF($P323=AH$3,$R323,0)+IF($S323=AH$3,$U323,0)-$AH323))</f>
        <v/>
      </c>
      <c r="BK323">
        <f>IF($C323="",0,MAX(0,$BJ323+IF($P323=AI$3,$R323,0)+IF($S323=AI$3,$U323,0)-$AI323))</f>
        <v/>
      </c>
      <c r="BL323">
        <f>IF($C323="",99,IF(AND($AX323&lt;1,V$3&gt;=MAX(N($P323),N($S323))),0,99))</f>
        <v/>
      </c>
      <c r="BM323">
        <f>IF($C323="",99,IF(AND($AY323&lt;1,W$3&gt;=MAX(N($P323),N($S323))),1,99))</f>
        <v/>
      </c>
      <c r="BN323">
        <f>IF($C323="",99,IF(AND($AZ323&lt;1,X$3&gt;=MAX(N($P323),N($S323))),2,99))</f>
        <v/>
      </c>
      <c r="BO323">
        <f>IF($C323="",99,IF(AND($BA323&lt;1,Y$3&gt;=MAX(N($P323),N($S323))),3,99))</f>
        <v/>
      </c>
      <c r="BP323">
        <f>IF($C323="",99,IF(AND($BB323&lt;1,Z$3&gt;=MAX(N($P323),N($S323))),4,99))</f>
        <v/>
      </c>
      <c r="BQ323">
        <f>IF($C323="",99,IF(AND($BC323&lt;1,AA$3&gt;=MAX(N($P323),N($S323))),5,99))</f>
        <v/>
      </c>
      <c r="BR323">
        <f>IF($C323="",99,IF(AND($BD323&lt;1,AB$3&gt;=MAX(N($P323),N($S323))),6,99))</f>
        <v/>
      </c>
      <c r="BS323">
        <f>IF($C323="",99,IF(AND($BE323&lt;1,AC$3&gt;=MAX(N($P323),N($S323))),7,99))</f>
        <v/>
      </c>
      <c r="BT323">
        <f>IF($C323="",99,IF(AND($BF323&lt;1,AD$3&gt;=MAX(N($P323),N($S323))),8,99))</f>
        <v/>
      </c>
      <c r="BU323">
        <f>IF($C323="",99,IF(AND($BG323&lt;1,AE$3&gt;=MAX(N($P323),N($S323))),9,99))</f>
        <v/>
      </c>
      <c r="BV323">
        <f>IF($C323="",99,IF(AND($BH323&lt;1,AF$3&gt;=MAX(N($P323),N($S323))),10,99))</f>
        <v/>
      </c>
      <c r="BW323">
        <f>IF($C323="",99,IF(AND($BI323&lt;1,AG$3&gt;=MAX(N($P323),N($S323))),11,99))</f>
        <v/>
      </c>
      <c r="BX323">
        <f>IF($C323="",99,IF(AND($BJ323&lt;1,AH$3&gt;=MAX(N($P323),N($S323))),12,99))</f>
        <v/>
      </c>
      <c r="BY323">
        <f>IF($C323="",99,IF(AND($BK323&lt;1,AI$3&gt;=MAX(N($P323),N($S323))),13,99))</f>
        <v/>
      </c>
      <c r="BZ323">
        <f>IF(OR($C323="",$M323=""),"",COUNTIF($AJ323:$AW323,"&gt;=1"))</f>
        <v/>
      </c>
      <c r="CA323" s="90">
        <f>IF($BZ323="","",IF($BZ323&gt;=14,"",'設定'!$C$6+$BZ323))</f>
        <v/>
      </c>
      <c r="CB323">
        <f>IF(OR($C323="",$M323=""),"",MIN($BL323:$BY323))</f>
        <v/>
      </c>
      <c r="CC323" s="90">
        <f>IF($CB323="","",IF($CB323&gt;=99,"",'設定'!$C$6+$CB323))</f>
        <v/>
      </c>
      <c r="CD323">
        <f>IF(OR($C323="",$M323=""),"",AVERAGE($V323:$AI323))</f>
        <v/>
      </c>
      <c r="CE323">
        <f>IF($C323="","",IFERROR(IF(MATCH(IF(ISNUMBER($P323),$P323,'設定'!$C$6+N('設定'!$C$7)),$V$3:$AI$3,0)=1,MAX(0,N($L323)),INDEX($AJ323:$AW323,MATCH(IF(ISNUMBER($P323),$P323,'設定'!$C$6+N('設定'!$C$7)),$V$3:$AI$3,0)-1)),""))</f>
        <v/>
      </c>
      <c r="CF323">
        <f>IF(OR($C323="",$O323="",$CE323=""),"",IF($O323-$CE323&lt;=0,0,ROUNDUP(($O323-$CE323)/$G323,0)))</f>
        <v/>
      </c>
      <c r="CG323">
        <f>IF(OR($C323="",$CF323="",NOT(ISNUMBER($Q323))),0,MAX(0,$Q323-$CF323))</f>
        <v/>
      </c>
      <c r="CH323">
        <f>IF(OR($C323="",$O323="",$U323=0),0,IFERROR(ROUNDUP(MAX(0,IF(MATCH($S323,$V$3:$AI$3,0)=1,MAX(0,N($L323)),INDEX($AX323:$BK323,MATCH($S323,$V$3:$AI$3,0)-1))+$U323-$O323)/$G323,0),0))</f>
        <v/>
      </c>
      <c r="CI323">
        <f>IF($C323="","",IF(AND($P323="",$Q323=""),"",IF($P323="","⚠ 入庫日を ▼ から選んでください",IF(NOT(ISNUMBER($P323)),"⚠ 入庫日は ▼ から選んでください",IF($P323&lt;N('設定'!$C$6),"⚠ 入庫日が過去です（もう在庫に入っています）→ 消してください",IF($P323&gt;N('設定'!$C$6)+13,"⚠ 入庫日が14日より先です",IF(N($Q323)&lt;=0,"⚠ 入庫数を入れてください",IF($CG323&gt;0,"⚠ 目安より "&amp;$CG323&amp;" 多い（定数を超える）→ 減らす",""))))))))</f>
        <v/>
      </c>
      <c r="CJ323">
        <f>IF($C323="","",IF(AND($S323="",$T323=""),"",IF($S323="","⚠ 2便目：入庫日を ▼ から選んでください",IF(NOT(ISNUMBER($S323)),"⚠ 2便目：入庫日は ▼ から選んでください",IF($S323&lt;N('設定'!$C$6),"⚠ 2便目：入庫日が過去です（もう在庫に入っています）→ 消してください",IF($S323&gt;N('設定'!$C$6)+13,"⚠ 2便目：入庫日が14日より先です",IF(N($T323)&lt;=0,"⚠ 2便目：入庫数を入れてください",IF($CH323&gt;0,"⚠ 2便目：定数を "&amp;$CH323&amp;" ケース超える → 減らす",""))))))))</f>
        <v/>
      </c>
      <c r="CK323">
        <f>IF(AND($CI323="",N($Q323)&gt;0,ISNUMBER($P323)),1,0)</f>
        <v/>
      </c>
      <c r="CL323">
        <f>IF(AND($CJ323="",N($T323)&gt;0,ISNUMBER($S323)),1,0)</f>
        <v/>
      </c>
      <c r="CM323">
        <f>IF(OR($CK323=1,$CL323=1),1,0)</f>
        <v/>
      </c>
      <c r="CN323">
        <f>IF($C323="",0,($CK323*$R323+$CL323*$U323)*N($H323))</f>
        <v/>
      </c>
      <c r="CO323">
        <f>IF($C323="","",IF($CC323="","入庫後は 14日以上もつ",IF($CC323-N('設定'!$C$7)&lt;='設定'!$C$6,"入庫後も "&amp;TEXT($CC323,"m/d")&amp;"("&amp;CHOOSE(WEEKDAY($CC323),"日","月","火","水","木","金","土")&amp;")"&amp;" に切れる　もう1便を至急発注","入庫後も "&amp;TEXT($CC323,"m/d")&amp;"("&amp;CHOOSE(WEEKDAY($CC323),"日","月","火","水","木","金","土")&amp;")"&amp;" に切れる　"&amp;TEXT($CC323-N('設定'!$C$7),"m/d")&amp;"("&amp;CHOOSE(WEEKDAY($CC323-N('設定'!$C$7)),"日","月","火","水","木","金","土")&amp;")"&amp;" までに次を発注")))</f>
        <v/>
      </c>
      <c r="CP323">
        <f>IF($C323="","",IF('設定'!$C$6="","？ ①在庫を貼る に今日のCSVが貼られていない",IF($CS323=1,"－ 今日のCSVに無い（終売？）",IF($L323&lt;0,"● 在庫がマイナス　数えて「数えた在庫」に入れる",IF($L323=0,"● 在庫なし　至急発注",IF($M323="","？ 減り数が未設定（商品マスタ）",IF($B$3=0,"？ 動員が未入力（動員を入れる）",IF($CA323="","○ 14日以上もつ",IF($BZ323&lt;N('設定'!$C$7),"● "&amp;TEXT($CA323,"m/d")&amp;"("&amp;CHOOSE(WEEKDAY($CA323),"日","月","火","水","木","金","土")&amp;")"&amp;" に切れる　至急発注",IF($BZ323=N('設定'!$C$7),"● "&amp;TEXT($CA323,"m/d")&amp;"("&amp;CHOOSE(WEEKDAY($CA323),"日","月","火","水","木","金","土")&amp;")"&amp;" に切れる　今日発注","△ "&amp;TEXT($CA323,"m/d")&amp;"("&amp;CHOOSE(WEEKDAY($CA323),"日","月","火","水","木","金","土")&amp;")"&amp;" に切れる　"&amp;TEXT($CA323-N('設定'!$C$7),"m/d")&amp;"("&amp;CHOOSE(WEEKDAY($CA323-N('設定'!$C$7)),"日","月","火","水","木","金","土")&amp;")"&amp;" までに発注"))))))))))</f>
        <v/>
      </c>
      <c r="CQ323">
        <f>IF($C323="","",IF(AND($P323="",$Q323="",$S323="",$T323=""),"",IF(AND($P323="",$Q323=""),"⚠ 先に1便目（左の入庫日・入庫数）に入れてください",IF($CI323&lt;&gt;"",$CI323,IF($CJ323&lt;&gt;"",$CJ323,IF($M323="","？ 減り数が未設定（発注書には載ります）",IF($B$3=0,"？ 動員が未入力（発注書には載ります）",IF(AND($CA323&lt;&gt;"",$P323&gt;$CA323),IF($P323&gt;'設定'!$C$6+N('設定'!$C$7),"● "&amp;TEXT($P323,"m/d")&amp;"("&amp;CHOOSE(WEEKDAY($P323),"日","月","火","水","木","金","土")&amp;")"&amp;" の入庫では間に合わない（"&amp;TEXT($CA323,"m/d")&amp;"("&amp;CHOOSE(WEEKDAY($CA323),"日","月","火","水","木","金","土")&amp;")"&amp;" に切れる）　入庫日を早める","△ 欠品 "&amp;TEXT($CA323,"m/d")&amp;"("&amp;CHOOSE(WEEKDAY($CA323),"日","月","火","水","木","金","土")&amp;")"&amp;"〜"&amp;TEXT($P323-1,"m/d")&amp;"("&amp;CHOOSE(WEEKDAY($P323-1),"日","月","火","水","木","金","土")&amp;")"&amp;"　"&amp;$CO323),IF($CC323="","○ "&amp;TEXT($P323,"m/d")&amp;"("&amp;CHOOSE(WEEKDAY($P323),"日","月","火","水","木","金","土")&amp;")"&amp;" 入庫で 14日以上もつ",IF($CC323-N('設定'!$C$7)&lt;='設定'!$C$6,"● 入庫しても "&amp;TEXT($CC323,"m/d")&amp;"("&amp;CHOOSE(WEEKDAY($CC323),"日","月","火","水","木","金","土")&amp;")"&amp;" に切れる　もう1便を至急発注（2便目に入れる）","△ 入庫しても "&amp;TEXT($CC323,"m/d")&amp;"("&amp;CHOOSE(WEEKDAY($CC323),"日","月","火","水","木","金","土")&amp;")"&amp;" に切れる　"&amp;TEXT($CC323-N('設定'!$C$7),"m/d")&amp;"("&amp;CHOOSE(WEEKDAY($CC323-N('設定'!$C$7)),"日","月","火","水","木","金","土")&amp;")"&amp;" までに次を発注（2便目に入れる）"))))))))))</f>
        <v/>
      </c>
      <c r="CR323">
        <f>IF($C323="","",IF($G323&gt;1,"ｹｰｽ("&amp;$G323&amp;"入)","個"))</f>
        <v/>
      </c>
      <c r="CS323">
        <f>IF($C323="",0,IF(COUNTIFS('①在庫を貼る'!$V$6:$V$10005,'設定'!$C$4,'①在庫を貼る'!$W$6:$W$10005,$C323)=0,1,0))</f>
        <v/>
      </c>
      <c r="CT323">
        <f>IF(AND($CK323=1,OR('③発注書'!$C$4="すべて",'③発注書'!$C$4="",$F323='③発注書'!$C$4)),N($CT322)+1,N($CT322))</f>
        <v/>
      </c>
      <c r="CU323">
        <f>IF(AND($CL323=1,OR('③発注書'!$C$4="すべて",'③発注書'!$C$4="",$F323='③発注書'!$C$4)),N($CU322)+1,N($CU322))</f>
        <v/>
      </c>
      <c r="CV323">
        <f>IF($C323="",0,IF(COUNTIFS('①在庫を貼る'!$V$6:$V$10005,'設定'!$C$4,'①在庫を貼る'!$W$6:$W$10005,$C323)&gt;0,1,0))</f>
        <v/>
      </c>
      <c r="CW323">
        <f>IF($C323="",0,IF(COUNTIFS('月1回_1ヶ月前の在庫'!$V$6:$V$10005,'設定'!$C$4,'月1回_1ヶ月前の在庫'!$W$6:$W$10005,$C323)&gt;0,1,0))</f>
        <v/>
      </c>
      <c r="CX323">
        <f>IF($C323="",0,IF(COUNTIFS('月1回_2ヶ月前の在庫'!$V$6:$V$10005,'設定'!$C$4,'月1回_2ヶ月前の在庫'!$W$6:$W$10005,$C323)&gt;0,1,0))</f>
        <v/>
      </c>
      <c r="CY323">
        <f>IF(OR($C323="",'設定'!$C$12=""),"",IF('設定'!$C$13="",IF(AND($CV323=1,$CW323=0),"新商品（今月から）",IF(AND($CV323=0,$CW323=1),"終売（今月から）","")),IF(AND($CV323=1,$CW323=0,$CX323=0),"新商品（今月から）",IF(AND($CV323=1,$CW323=1,$CX323=0),"新商品（先月から）",IF(AND($CV323=0,$CW323=1,$CX323=1),"終売（今月から）",IF(AND($CV323=0,$CW323=0,$CX323=1),"終売（先月から）",IF(AND($CV323=1,$CW323=0,$CX323=1),"復活（先月は無し）","")))))))</f>
        <v/>
      </c>
    </row>
    <row r="324">
      <c r="B324">
        <f>IF(319&lt;='設定'!$C$11,319,"")</f>
        <v/>
      </c>
      <c r="C324">
        <f>IF($B324="","",IF($B324&lt;='設定'!$C$20,INDEX('商品マスタ'!$B$6:$B$1005,MATCH($B324,'商品マスタ'!$M$6:$M$1005,0)),IF($B324&lt;='設定'!$C$20+'設定'!$C$17,INDEX('①在庫を貼る'!$W$6:$W$10005,MATCH($B324-'設定'!$C$20,'①在庫を貼る'!$U$6:$U$10005,0)),IF($B324&lt;='設定'!$C$20+'設定'!$C$17+'設定'!$C$18,INDEX('月1回_1ヶ月前の在庫'!$W$6:$W$10005,MATCH($B324-'設定'!$C$20-'設定'!$C$17,'月1回_1ヶ月前の在庫'!$U$6:$U$10005,0)),INDEX('月1回_2ヶ月前の在庫'!$W$6:$W$10005,MATCH($B324-'設定'!$C$20-'設定'!$C$17-'設定'!$C$18,'月1回_2ヶ月前の在庫'!$U$6:$U$10005,0))))))</f>
        <v/>
      </c>
      <c r="D324">
        <f>IF($C324="","",IFERROR(IF(INDEX('商品マスタ'!$C$6:$C$1005,MATCH($C324,'商品マスタ'!$B$6:$B$1005,0))="",IFERROR(INDEX('①在庫を貼る'!$J$6:$J$10005,MATCH($C324,'①在庫を貼る'!$W$6:$W$10005,0)),IFERROR(INDEX('月1回_1ヶ月前の在庫'!$J$6:$J$10005,MATCH($C324,'月1回_1ヶ月前の在庫'!$W$6:$W$10005,0)),IFERROR(INDEX('月1回_2ヶ月前の在庫'!$J$6:$J$10005,MATCH($C324,'月1回_2ヶ月前の在庫'!$W$6:$W$10005,0)),""))),INDEX('商品マスタ'!$C$6:$C$1005,MATCH($C324,'商品マスタ'!$B$6:$B$1005,0))),IFERROR(INDEX('①在庫を貼る'!$J$6:$J$10005,MATCH($C324,'①在庫を貼る'!$W$6:$W$10005,0)),IFERROR(INDEX('月1回_1ヶ月前の在庫'!$J$6:$J$10005,MATCH($C324,'月1回_1ヶ月前の在庫'!$W$6:$W$10005,0)),IFERROR(INDEX('月1回_2ヶ月前の在庫'!$J$6:$J$10005,MATCH($C324,'月1回_2ヶ月前の在庫'!$W$6:$W$10005,0)),"")))))</f>
        <v/>
      </c>
      <c r="E324">
        <f>IF($C324="","",IFERROR(IF(INDEX('商品マスタ'!$D$6:$D$1005,MATCH($C324,'商品マスタ'!$B$6:$B$1005,0))="",IFERROR(INDEX('①在庫を貼る'!$H$6:$H$10005,MATCH($C324,'①在庫を貼る'!$W$6:$W$10005,0)),IFERROR(INDEX('月1回_1ヶ月前の在庫'!$H$6:$H$10005,MATCH($C324,'月1回_1ヶ月前の在庫'!$W$6:$W$10005,0)),IFERROR(INDEX('月1回_2ヶ月前の在庫'!$H$6:$H$10005,MATCH($C324,'月1回_2ヶ月前の在庫'!$W$6:$W$10005,0)),""))),INDEX('商品マスタ'!$D$6:$D$1005,MATCH($C324,'商品マスタ'!$B$6:$B$1005,0))),IFERROR(INDEX('①在庫を貼る'!$H$6:$H$10005,MATCH($C324,'①在庫を貼る'!$W$6:$W$10005,0)),IFERROR(INDEX('月1回_1ヶ月前の在庫'!$H$6:$H$10005,MATCH($C324,'月1回_1ヶ月前の在庫'!$W$6:$W$10005,0)),IFERROR(INDEX('月1回_2ヶ月前の在庫'!$H$6:$H$10005,MATCH($C324,'月1回_2ヶ月前の在庫'!$W$6:$W$10005,0)),"")))))</f>
        <v/>
      </c>
      <c r="F324">
        <f>IF($C324="","",IFERROR(IF(INDEX('商品マスタ'!$E$6:$E$1005,MATCH($C324,'商品マスタ'!$B$6:$B$1005,0))="",IFERROR(INDEX('①在庫を貼る'!$E$6:$E$10005,MATCH($C324,'①在庫を貼る'!$W$6:$W$10005,0)),IFERROR(INDEX('月1回_1ヶ月前の在庫'!$E$6:$E$10005,MATCH($C324,'月1回_1ヶ月前の在庫'!$W$6:$W$10005,0)),IFERROR(INDEX('月1回_2ヶ月前の在庫'!$E$6:$E$10005,MATCH($C324,'月1回_2ヶ月前の在庫'!$W$6:$W$10005,0)),""))),INDEX('商品マスタ'!$E$6:$E$1005,MATCH($C324,'商品マスタ'!$B$6:$B$1005,0))),IFERROR(INDEX('①在庫を貼る'!$E$6:$E$10005,MATCH($C324,'①在庫を貼る'!$W$6:$W$10005,0)),IFERROR(INDEX('月1回_1ヶ月前の在庫'!$E$6:$E$10005,MATCH($C324,'月1回_1ヶ月前の在庫'!$W$6:$W$10005,0)),IFERROR(INDEX('月1回_2ヶ月前の在庫'!$E$6:$E$10005,MATCH($C324,'月1回_2ヶ月前の在庫'!$W$6:$W$10005,0)),"")))))</f>
        <v/>
      </c>
      <c r="G324">
        <f>IF($C324="","",MAX(1,N(IFERROR(IF(INDEX('商品マスタ'!$F$6:$F$1005,MATCH($C324,'商品マスタ'!$B$6:$B$1005,0))="",IF(COUNTIFS('①在庫を貼る'!$V$6:$V$10005,'設定'!$C$4,'①在庫を貼る'!$W$6:$W$10005,$C324)&gt;0,SUMIFS('①在庫を貼る'!$K$6:$K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K$6:$K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K$6:$K$10005,'月1回_2ヶ月前の在庫'!$V$6:$V$10005,'設定'!$C$4,'月1回_2ヶ月前の在庫'!$W$6:$W$10005,$C324)/COUNTIFS('月1回_2ヶ月前の在庫'!$V$6:$V$10005,'設定'!$C$4,'月1回_2ヶ月前の在庫'!$W$6:$W$10005,$C324),0))),INDEX('商品マスタ'!$F$6:$F$1005,MATCH($C324,'商品マスタ'!$B$6:$B$1005,0))),IF(COUNTIFS('①在庫を貼る'!$V$6:$V$10005,'設定'!$C$4,'①在庫を貼る'!$W$6:$W$10005,$C324)&gt;0,SUMIFS('①在庫を貼る'!$K$6:$K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K$6:$K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K$6:$K$10005,'月1回_2ヶ月前の在庫'!$V$6:$V$10005,'設定'!$C$4,'月1回_2ヶ月前の在庫'!$W$6:$W$10005,$C324)/COUNTIFS('月1回_2ヶ月前の在庫'!$V$6:$V$10005,'設定'!$C$4,'月1回_2ヶ月前の在庫'!$W$6:$W$10005,$C324),0)))))))</f>
        <v/>
      </c>
      <c r="H324">
        <f>IF($C324="","",N(IFERROR(IF(INDEX('商品マスタ'!$G$6:$G$1005,MATCH($C324,'商品マスタ'!$B$6:$B$1005,0))="",IF(COUNTIFS('①在庫を貼る'!$V$6:$V$10005,'設定'!$C$4,'①在庫を貼る'!$W$6:$W$10005,$C324)&gt;0,SUMIFS('①在庫を貼る'!$Q$6:$Q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Q$6:$Q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Q$6:$Q$10005,'月1回_2ヶ月前の在庫'!$V$6:$V$10005,'設定'!$C$4,'月1回_2ヶ月前の在庫'!$W$6:$W$10005,$C324)/COUNTIFS('月1回_2ヶ月前の在庫'!$V$6:$V$10005,'設定'!$C$4,'月1回_2ヶ月前の在庫'!$W$6:$W$10005,$C324),0))),INDEX('商品マスタ'!$G$6:$G$1005,MATCH($C324,'商品マスタ'!$B$6:$B$1005,0))),IF(COUNTIFS('①在庫を貼る'!$V$6:$V$10005,'設定'!$C$4,'①在庫を貼る'!$W$6:$W$10005,$C324)&gt;0,SUMIFS('①在庫を貼る'!$Q$6:$Q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Q$6:$Q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Q$6:$Q$10005,'月1回_2ヶ月前の在庫'!$V$6:$V$10005,'設定'!$C$4,'月1回_2ヶ月前の在庫'!$W$6:$W$10005,$C324)/COUNTIFS('月1回_2ヶ月前の在庫'!$V$6:$V$10005,'設定'!$C$4,'月1回_2ヶ月前の在庫'!$W$6:$W$10005,$C324),0))))))</f>
        <v/>
      </c>
      <c r="I324">
        <f>IF($C324="","",IF(COUNTIFS('①在庫を貼る'!$V$6:$V$10005,'設定'!$C$4,'①在庫を貼る'!$W$6:$W$10005,$C324)=0,"",SUMIFS('①在庫を貼る'!$N$6:$N$10005,'①在庫を貼る'!$V$6:$V$10005,'設定'!$C$4,'①在庫を貼る'!$W$6:$W$10005,$C324)))</f>
        <v/>
      </c>
      <c r="J324">
        <f>IF($C324="","",IF('②発注する'!$AD328="","",'②発注する'!$AD328))</f>
        <v/>
      </c>
      <c r="K324" s="90">
        <f>IF($C324="","",IF('②発注する'!$AE328="","",'②発注する'!$AE328))</f>
        <v/>
      </c>
      <c r="L324">
        <f>IF($C324="","",IF(AND(ISNUMBER($J324),ISNUMBER($K324),$K324&gt;='設定'!$C$6),$J324,N($I324)))</f>
        <v/>
      </c>
      <c r="M324">
        <f>IF($C324="","",IFERROR(IF(N(INDEX('商品マスタ'!$J$6:$J$1005,MATCH($C324,'商品マスタ'!$B$6:$B$1005,0)))&gt;0,INDEX('商品マスタ'!$J$6:$J$1005,MATCH($C324,'商品マスタ'!$B$6:$B$1005,0)),""),""))</f>
        <v/>
      </c>
      <c r="N324">
        <f>IF($C324="","",IFERROR(IF(N(INDEX('商品マスタ'!$H$6:$H$1005,MATCH($C324,'商品マスタ'!$B$6:$B$1005,0)))&gt;0,INDEX('商品マスタ'!$H$6:$H$1005,MATCH($C324,'商品マスタ'!$B$6:$B$1005,0)),""),""))</f>
        <v/>
      </c>
      <c r="O324">
        <f>IF($C324="","",IF($N324&lt;&gt;"",$N324*$G324,IF(N(IF(COUNTIFS('①在庫を貼る'!$V$6:$V$10005,'設定'!$C$4,'①在庫を貼る'!$W$6:$W$10005,$C324)&gt;0,SUMIFS('①在庫を貼る'!$O$6:$O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O$6:$O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O$6:$O$10005,'月1回_2ヶ月前の在庫'!$V$6:$V$10005,'設定'!$C$4,'月1回_2ヶ月前の在庫'!$W$6:$W$10005,$C324)/COUNTIFS('月1回_2ヶ月前の在庫'!$V$6:$V$10005,'設定'!$C$4,'月1回_2ヶ月前の在庫'!$W$6:$W$10005,$C324),0))))&gt;0,N(IF(COUNTIFS('①在庫を貼る'!$V$6:$V$10005,'設定'!$C$4,'①在庫を貼る'!$W$6:$W$10005,$C324)&gt;0,SUMIFS('①在庫を貼る'!$O$6:$O$10005,'①在庫を貼る'!$V$6:$V$10005,'設定'!$C$4,'①在庫を貼る'!$W$6:$W$10005,$C324)/COUNTIFS('①在庫を貼る'!$V$6:$V$10005,'設定'!$C$4,'①在庫を貼る'!$W$6:$W$10005,$C324),IF(COUNTIFS('月1回_1ヶ月前の在庫'!$V$6:$V$10005,'設定'!$C$4,'月1回_1ヶ月前の在庫'!$W$6:$W$10005,$C324)&gt;0,SUMIFS('月1回_1ヶ月前の在庫'!$O$6:$O$10005,'月1回_1ヶ月前の在庫'!$V$6:$V$10005,'設定'!$C$4,'月1回_1ヶ月前の在庫'!$W$6:$W$10005,$C324)/COUNTIFS('月1回_1ヶ月前の在庫'!$V$6:$V$10005,'設定'!$C$4,'月1回_1ヶ月前の在庫'!$W$6:$W$10005,$C324),IF(COUNTIFS('月1回_2ヶ月前の在庫'!$V$6:$V$10005,'設定'!$C$4,'月1回_2ヶ月前の在庫'!$W$6:$W$10005,$C324)&gt;0,SUMIFS('月1回_2ヶ月前の在庫'!$O$6:$O$10005,'月1回_2ヶ月前の在庫'!$V$6:$V$10005,'設定'!$C$4,'月1回_2ヶ月前の在庫'!$W$6:$W$10005,$C324)/COUNTIFS('月1回_2ヶ月前の在庫'!$V$6:$V$10005,'設定'!$C$4,'月1回_2ヶ月前の在庫'!$W$6:$W$10005,$C324),0)))),"")))</f>
        <v/>
      </c>
      <c r="P324" s="90">
        <f>IF($C324="","",IF('②発注する'!$I328="","",'②発注する'!$I328))</f>
        <v/>
      </c>
      <c r="Q324">
        <f>IF($C324="","",IF('②発注する'!$J328="","",'②発注する'!$J328))</f>
        <v/>
      </c>
      <c r="R324">
        <f>IF($C324="",0,IF(AND(ISNUMBER($P324),ISNUMBER($Q324)),MAX(0,$Q324)*$G324,0))</f>
        <v/>
      </c>
      <c r="S324" s="90">
        <f>IF($C324="","",IF('②発注する'!$M328="","",'②発注する'!$M328))</f>
        <v/>
      </c>
      <c r="T324">
        <f>IF($C324="","",IF('②発注する'!$N328="","",'②発注する'!$N328))</f>
        <v/>
      </c>
      <c r="U324">
        <f>IF($C324="",0,IF(AND(ISNUMBER($S324),ISNUMBER($T324)),MAX(0,$T324)*$G324,0))</f>
        <v/>
      </c>
      <c r="V324">
        <f>IF($C324="",0,IF($M324="",0,MAX(0,$M324)*MAX(0,V$4)/100))</f>
        <v/>
      </c>
      <c r="W324">
        <f>IF($C324="",0,IF($M324="",0,MAX(0,$M324)*MAX(0,W$4)/100))</f>
        <v/>
      </c>
      <c r="X324">
        <f>IF($C324="",0,IF($M324="",0,MAX(0,$M324)*MAX(0,X$4)/100))</f>
        <v/>
      </c>
      <c r="Y324">
        <f>IF($C324="",0,IF($M324="",0,MAX(0,$M324)*MAX(0,Y$4)/100))</f>
        <v/>
      </c>
      <c r="Z324">
        <f>IF($C324="",0,IF($M324="",0,MAX(0,$M324)*MAX(0,Z$4)/100))</f>
        <v/>
      </c>
      <c r="AA324">
        <f>IF($C324="",0,IF($M324="",0,MAX(0,$M324)*MAX(0,AA$4)/100))</f>
        <v/>
      </c>
      <c r="AB324">
        <f>IF($C324="",0,IF($M324="",0,MAX(0,$M324)*MAX(0,AB$4)/100))</f>
        <v/>
      </c>
      <c r="AC324">
        <f>IF($C324="",0,IF($M324="",0,MAX(0,$M324)*MAX(0,AC$4)/100))</f>
        <v/>
      </c>
      <c r="AD324">
        <f>IF($C324="",0,IF($M324="",0,MAX(0,$M324)*MAX(0,AD$4)/100))</f>
        <v/>
      </c>
      <c r="AE324">
        <f>IF($C324="",0,IF($M324="",0,MAX(0,$M324)*MAX(0,AE$4)/100))</f>
        <v/>
      </c>
      <c r="AF324">
        <f>IF($C324="",0,IF($M324="",0,MAX(0,$M324)*MAX(0,AF$4)/100))</f>
        <v/>
      </c>
      <c r="AG324">
        <f>IF($C324="",0,IF($M324="",0,MAX(0,$M324)*MAX(0,AG$4)/100))</f>
        <v/>
      </c>
      <c r="AH324">
        <f>IF($C324="",0,IF($M324="",0,MAX(0,$M324)*MAX(0,AH$4)/100))</f>
        <v/>
      </c>
      <c r="AI324">
        <f>IF($C324="",0,IF($M324="",0,MAX(0,$M324)*MAX(0,AI$4)/100))</f>
        <v/>
      </c>
      <c r="AJ324">
        <f>IF($C324="",0,MAX(0,MAX(0,N($L324))-$V324))</f>
        <v/>
      </c>
      <c r="AK324">
        <f>IF($C324="",0,MAX(0,$AJ324-$W324))</f>
        <v/>
      </c>
      <c r="AL324">
        <f>IF($C324="",0,MAX(0,$AK324-$X324))</f>
        <v/>
      </c>
      <c r="AM324">
        <f>IF($C324="",0,MAX(0,$AL324-$Y324))</f>
        <v/>
      </c>
      <c r="AN324">
        <f>IF($C324="",0,MAX(0,$AM324-$Z324))</f>
        <v/>
      </c>
      <c r="AO324">
        <f>IF($C324="",0,MAX(0,$AN324-$AA324))</f>
        <v/>
      </c>
      <c r="AP324">
        <f>IF($C324="",0,MAX(0,$AO324-$AB324))</f>
        <v/>
      </c>
      <c r="AQ324">
        <f>IF($C324="",0,MAX(0,$AP324-$AC324))</f>
        <v/>
      </c>
      <c r="AR324">
        <f>IF($C324="",0,MAX(0,$AQ324-$AD324))</f>
        <v/>
      </c>
      <c r="AS324">
        <f>IF($C324="",0,MAX(0,$AR324-$AE324))</f>
        <v/>
      </c>
      <c r="AT324">
        <f>IF($C324="",0,MAX(0,$AS324-$AF324))</f>
        <v/>
      </c>
      <c r="AU324">
        <f>IF($C324="",0,MAX(0,$AT324-$AG324))</f>
        <v/>
      </c>
      <c r="AV324">
        <f>IF($C324="",0,MAX(0,$AU324-$AH324))</f>
        <v/>
      </c>
      <c r="AW324">
        <f>IF($C324="",0,MAX(0,$AV324-$AI324))</f>
        <v/>
      </c>
      <c r="AX324">
        <f>IF($C324="",0,MAX(0,MAX(0,N($L324))+IF($P324=V$3,$R324,0)+IF($S324=V$3,$U324,0)-$V324))</f>
        <v/>
      </c>
      <c r="AY324">
        <f>IF($C324="",0,MAX(0,$AX324+IF($P324=W$3,$R324,0)+IF($S324=W$3,$U324,0)-$W324))</f>
        <v/>
      </c>
      <c r="AZ324">
        <f>IF($C324="",0,MAX(0,$AY324+IF($P324=X$3,$R324,0)+IF($S324=X$3,$U324,0)-$X324))</f>
        <v/>
      </c>
      <c r="BA324">
        <f>IF($C324="",0,MAX(0,$AZ324+IF($P324=Y$3,$R324,0)+IF($S324=Y$3,$U324,0)-$Y324))</f>
        <v/>
      </c>
      <c r="BB324">
        <f>IF($C324="",0,MAX(0,$BA324+IF($P324=Z$3,$R324,0)+IF($S324=Z$3,$U324,0)-$Z324))</f>
        <v/>
      </c>
      <c r="BC324">
        <f>IF($C324="",0,MAX(0,$BB324+IF($P324=AA$3,$R324,0)+IF($S324=AA$3,$U324,0)-$AA324))</f>
        <v/>
      </c>
      <c r="BD324">
        <f>IF($C324="",0,MAX(0,$BC324+IF($P324=AB$3,$R324,0)+IF($S324=AB$3,$U324,0)-$AB324))</f>
        <v/>
      </c>
      <c r="BE324">
        <f>IF($C324="",0,MAX(0,$BD324+IF($P324=AC$3,$R324,0)+IF($S324=AC$3,$U324,0)-$AC324))</f>
        <v/>
      </c>
      <c r="BF324">
        <f>IF($C324="",0,MAX(0,$BE324+IF($P324=AD$3,$R324,0)+IF($S324=AD$3,$U324,0)-$AD324))</f>
        <v/>
      </c>
      <c r="BG324">
        <f>IF($C324="",0,MAX(0,$BF324+IF($P324=AE$3,$R324,0)+IF($S324=AE$3,$U324,0)-$AE324))</f>
        <v/>
      </c>
      <c r="BH324">
        <f>IF($C324="",0,MAX(0,$BG324+IF($P324=AF$3,$R324,0)+IF($S324=AF$3,$U324,0)-$AF324))</f>
        <v/>
      </c>
      <c r="BI324">
        <f>IF($C324="",0,MAX(0,$BH324+IF($P324=AG$3,$R324,0)+IF($S324=AG$3,$U324,0)-$AG324))</f>
        <v/>
      </c>
      <c r="BJ324">
        <f>IF($C324="",0,MAX(0,$BI324+IF($P324=AH$3,$R324,0)+IF($S324=AH$3,$U324,0)-$AH324))</f>
        <v/>
      </c>
      <c r="BK324">
        <f>IF($C324="",0,MAX(0,$BJ324+IF($P324=AI$3,$R324,0)+IF($S324=AI$3,$U324,0)-$AI324))</f>
        <v/>
      </c>
      <c r="BL324">
        <f>IF($C324="",99,IF(AND($AX324&lt;1,V$3&gt;=MAX(N($P324),N($S324))),0,99))</f>
        <v/>
      </c>
      <c r="BM324">
        <f>IF($C324="",99,IF(AND($AY324&lt;1,W$3&gt;=MAX(N($P324),N($S324))),1,99))</f>
        <v/>
      </c>
      <c r="BN324">
        <f>IF($C324="",99,IF(AND($AZ324&lt;1,X$3&gt;=MAX(N($P324),N($S324))),2,99))</f>
        <v/>
      </c>
      <c r="BO324">
        <f>IF($C324="",99,IF(AND($BA324&lt;1,Y$3&gt;=MAX(N($P324),N($S324))),3,99))</f>
        <v/>
      </c>
      <c r="BP324">
        <f>IF($C324="",99,IF(AND($BB324&lt;1,Z$3&gt;=MAX(N($P324),N($S324))),4,99))</f>
        <v/>
      </c>
      <c r="BQ324">
        <f>IF($C324="",99,IF(AND($BC324&lt;1,AA$3&gt;=MAX(N($P324),N($S324))),5,99))</f>
        <v/>
      </c>
      <c r="BR324">
        <f>IF($C324="",99,IF(AND($BD324&lt;1,AB$3&gt;=MAX(N($P324),N($S324))),6,99))</f>
        <v/>
      </c>
      <c r="BS324">
        <f>IF($C324="",99,IF(AND($BE324&lt;1,AC$3&gt;=MAX(N($P324),N($S324))),7,99))</f>
        <v/>
      </c>
      <c r="BT324">
        <f>IF($C324="",99,IF(AND($BF324&lt;1,AD$3&gt;=MAX(N($P324),N($S324))),8,99))</f>
        <v/>
      </c>
      <c r="BU324">
        <f>IF($C324="",99,IF(AND($BG324&lt;1,AE$3&gt;=MAX(N($P324),N($S324))),9,99))</f>
        <v/>
      </c>
      <c r="BV324">
        <f>IF($C324="",99,IF(AND($BH324&lt;1,AF$3&gt;=MAX(N($P324),N($S324))),10,99))</f>
        <v/>
      </c>
      <c r="BW324">
        <f>IF($C324="",99,IF(AND($BI324&lt;1,AG$3&gt;=MAX(N($P324),N($S324))),11,99))</f>
        <v/>
      </c>
      <c r="BX324">
        <f>IF($C324="",99,IF(AND($BJ324&lt;1,AH$3&gt;=MAX(N($P324),N($S324))),12,99))</f>
        <v/>
      </c>
      <c r="BY324">
        <f>IF($C324="",99,IF(AND($BK324&lt;1,AI$3&gt;=MAX(N($P324),N($S324))),13,99))</f>
        <v/>
      </c>
      <c r="BZ324">
        <f>IF(OR($C324="",$M324=""),"",COUNTIF($AJ324:$AW324,"&gt;=1"))</f>
        <v/>
      </c>
      <c r="CA324" s="90">
        <f>IF($BZ324="","",IF($BZ324&gt;=14,"",'設定'!$C$6+$BZ324))</f>
        <v/>
      </c>
      <c r="CB324">
        <f>IF(OR($C324="",$M324=""),"",MIN($BL324:$BY324))</f>
        <v/>
      </c>
      <c r="CC324" s="90">
        <f>IF($CB324="","",IF($CB324&gt;=99,"",'設定'!$C$6+$CB324))</f>
        <v/>
      </c>
      <c r="CD324">
        <f>IF(OR($C324="",$M324=""),"",AVERAGE($V324:$AI324))</f>
        <v/>
      </c>
      <c r="CE324">
        <f>IF($C324="","",IFERROR(IF(MATCH(IF(ISNUMBER($P324),$P324,'設定'!$C$6+N('設定'!$C$7)),$V$3:$AI$3,0)=1,MAX(0,N($L324)),INDEX($AJ324:$AW324,MATCH(IF(ISNUMBER($P324),$P324,'設定'!$C$6+N('設定'!$C$7)),$V$3:$AI$3,0)-1)),""))</f>
        <v/>
      </c>
      <c r="CF324">
        <f>IF(OR($C324="",$O324="",$CE324=""),"",IF($O324-$CE324&lt;=0,0,ROUNDUP(($O324-$CE324)/$G324,0)))</f>
        <v/>
      </c>
      <c r="CG324">
        <f>IF(OR($C324="",$CF324="",NOT(ISNUMBER($Q324))),0,MAX(0,$Q324-$CF324))</f>
        <v/>
      </c>
      <c r="CH324">
        <f>IF(OR($C324="",$O324="",$U324=0),0,IFERROR(ROUNDUP(MAX(0,IF(MATCH($S324,$V$3:$AI$3,0)=1,MAX(0,N($L324)),INDEX($AX324:$BK324,MATCH($S324,$V$3:$AI$3,0)-1))+$U324-$O324)/$G324,0),0))</f>
        <v/>
      </c>
      <c r="CI324">
        <f>IF($C324="","",IF(AND($P324="",$Q324=""),"",IF($P324="","⚠ 入庫日を ▼ から選んでください",IF(NOT(ISNUMBER($P324)),"⚠ 入庫日は ▼ から選んでください",IF($P324&lt;N('設定'!$C$6),"⚠ 入庫日が過去です（もう在庫に入っています）→ 消してください",IF($P324&gt;N('設定'!$C$6)+13,"⚠ 入庫日が14日より先です",IF(N($Q324)&lt;=0,"⚠ 入庫数を入れてください",IF($CG324&gt;0,"⚠ 目安より "&amp;$CG324&amp;" 多い（定数を超える）→ 減らす",""))))))))</f>
        <v/>
      </c>
      <c r="CJ324">
        <f>IF($C324="","",IF(AND($S324="",$T324=""),"",IF($S324="","⚠ 2便目：入庫日を ▼ から選んでください",IF(NOT(ISNUMBER($S324)),"⚠ 2便目：入庫日は ▼ から選んでください",IF($S324&lt;N('設定'!$C$6),"⚠ 2便目：入庫日が過去です（もう在庫に入っています）→ 消してください",IF($S324&gt;N('設定'!$C$6)+13,"⚠ 2便目：入庫日が14日より先です",IF(N($T324)&lt;=0,"⚠ 2便目：入庫数を入れてください",IF($CH324&gt;0,"⚠ 2便目：定数を "&amp;$CH324&amp;" ケース超える → 減らす",""))))))))</f>
        <v/>
      </c>
      <c r="CK324">
        <f>IF(AND($CI324="",N($Q324)&gt;0,ISNUMBER($P324)),1,0)</f>
        <v/>
      </c>
      <c r="CL324">
        <f>IF(AND($CJ324="",N($T324)&gt;0,ISNUMBER($S324)),1,0)</f>
        <v/>
      </c>
      <c r="CM324">
        <f>IF(OR($CK324=1,$CL324=1),1,0)</f>
        <v/>
      </c>
      <c r="CN324">
        <f>IF($C324="",0,($CK324*$R324+$CL324*$U324)*N($H324))</f>
        <v/>
      </c>
      <c r="CO324">
        <f>IF($C324="","",IF($CC324="","入庫後は 14日以上もつ",IF($CC324-N('設定'!$C$7)&lt;='設定'!$C$6,"入庫後も "&amp;TEXT($CC324,"m/d")&amp;"("&amp;CHOOSE(WEEKDAY($CC324),"日","月","火","水","木","金","土")&amp;")"&amp;" に切れる　もう1便を至急発注","入庫後も "&amp;TEXT($CC324,"m/d")&amp;"("&amp;CHOOSE(WEEKDAY($CC324),"日","月","火","水","木","金","土")&amp;")"&amp;" に切れる　"&amp;TEXT($CC324-N('設定'!$C$7),"m/d")&amp;"("&amp;CHOOSE(WEEKDAY($CC324-N('設定'!$C$7)),"日","月","火","水","木","金","土")&amp;")"&amp;" までに次を発注")))</f>
        <v/>
      </c>
      <c r="CP324">
        <f>IF($C324="","",IF('設定'!$C$6="","？ ①在庫を貼る に今日のCSVが貼られていない",IF($CS324=1,"－ 今日のCSVに無い（終売？）",IF($L324&lt;0,"● 在庫がマイナス　数えて「数えた在庫」に入れる",IF($L324=0,"● 在庫なし　至急発注",IF($M324="","？ 減り数が未設定（商品マスタ）",IF($B$3=0,"？ 動員が未入力（動員を入れる）",IF($CA324="","○ 14日以上もつ",IF($BZ324&lt;N('設定'!$C$7),"● "&amp;TEXT($CA324,"m/d")&amp;"("&amp;CHOOSE(WEEKDAY($CA324),"日","月","火","水","木","金","土")&amp;")"&amp;" に切れる　至急発注",IF($BZ324=N('設定'!$C$7),"● "&amp;TEXT($CA324,"m/d")&amp;"("&amp;CHOOSE(WEEKDAY($CA324),"日","月","火","水","木","金","土")&amp;")"&amp;" に切れる　今日発注","△ "&amp;TEXT($CA324,"m/d")&amp;"("&amp;CHOOSE(WEEKDAY($CA324),"日","月","火","水","木","金","土")&amp;")"&amp;" に切れる　"&amp;TEXT($CA324-N('設定'!$C$7),"m/d")&amp;"("&amp;CHOOSE(WEEKDAY($CA324-N('設定'!$C$7)),"日","月","火","水","木","金","土")&amp;")"&amp;" までに発注"))))))))))</f>
        <v/>
      </c>
      <c r="CQ324">
        <f>IF($C324="","",IF(AND($P324="",$Q324="",$S324="",$T324=""),"",IF(AND($P324="",$Q324=""),"⚠ 先に1便目（左の入庫日・入庫数）に入れてください",IF($CI324&lt;&gt;"",$CI324,IF($CJ324&lt;&gt;"",$CJ324,IF($M324="","？ 減り数が未設定（発注書には載ります）",IF($B$3=0,"？ 動員が未入力（発注書には載ります）",IF(AND($CA324&lt;&gt;"",$P324&gt;$CA324),IF($P324&gt;'設定'!$C$6+N('設定'!$C$7),"● "&amp;TEXT($P324,"m/d")&amp;"("&amp;CHOOSE(WEEKDAY($P324),"日","月","火","水","木","金","土")&amp;")"&amp;" の入庫では間に合わない（"&amp;TEXT($CA324,"m/d")&amp;"("&amp;CHOOSE(WEEKDAY($CA324),"日","月","火","水","木","金","土")&amp;")"&amp;" に切れる）　入庫日を早める","△ 欠品 "&amp;TEXT($CA324,"m/d")&amp;"("&amp;CHOOSE(WEEKDAY($CA324),"日","月","火","水","木","金","土")&amp;")"&amp;"〜"&amp;TEXT($P324-1,"m/d")&amp;"("&amp;CHOOSE(WEEKDAY($P324-1),"日","月","火","水","木","金","土")&amp;")"&amp;"　"&amp;$CO324),IF($CC324="","○ "&amp;TEXT($P324,"m/d")&amp;"("&amp;CHOOSE(WEEKDAY($P324),"日","月","火","水","木","金","土")&amp;")"&amp;" 入庫で 14日以上もつ",IF($CC324-N('設定'!$C$7)&lt;='設定'!$C$6,"● 入庫しても "&amp;TEXT($CC324,"m/d")&amp;"("&amp;CHOOSE(WEEKDAY($CC324),"日","月","火","水","木","金","土")&amp;")"&amp;" に切れる　もう1便を至急発注（2便目に入れる）","△ 入庫しても "&amp;TEXT($CC324,"m/d")&amp;"("&amp;CHOOSE(WEEKDAY($CC324),"日","月","火","水","木","金","土")&amp;")"&amp;" に切れる　"&amp;TEXT($CC324-N('設定'!$C$7),"m/d")&amp;"("&amp;CHOOSE(WEEKDAY($CC324-N('設定'!$C$7)),"日","月","火","水","木","金","土")&amp;")"&amp;" までに次を発注（2便目に入れる）"))))))))))</f>
        <v/>
      </c>
      <c r="CR324">
        <f>IF($C324="","",IF($G324&gt;1,"ｹｰｽ("&amp;$G324&amp;"入)","個"))</f>
        <v/>
      </c>
      <c r="CS324">
        <f>IF($C324="",0,IF(COUNTIFS('①在庫を貼る'!$V$6:$V$10005,'設定'!$C$4,'①在庫を貼る'!$W$6:$W$10005,$C324)=0,1,0))</f>
        <v/>
      </c>
      <c r="CT324">
        <f>IF(AND($CK324=1,OR('③発注書'!$C$4="すべて",'③発注書'!$C$4="",$F324='③発注書'!$C$4)),N($CT323)+1,N($CT323))</f>
        <v/>
      </c>
      <c r="CU324">
        <f>IF(AND($CL324=1,OR('③発注書'!$C$4="すべて",'③発注書'!$C$4="",$F324='③発注書'!$C$4)),N($CU323)+1,N($CU323))</f>
        <v/>
      </c>
      <c r="CV324">
        <f>IF($C324="",0,IF(COUNTIFS('①在庫を貼る'!$V$6:$V$10005,'設定'!$C$4,'①在庫を貼る'!$W$6:$W$10005,$C324)&gt;0,1,0))</f>
        <v/>
      </c>
      <c r="CW324">
        <f>IF($C324="",0,IF(COUNTIFS('月1回_1ヶ月前の在庫'!$V$6:$V$10005,'設定'!$C$4,'月1回_1ヶ月前の在庫'!$W$6:$W$10005,$C324)&gt;0,1,0))</f>
        <v/>
      </c>
      <c r="CX324">
        <f>IF($C324="",0,IF(COUNTIFS('月1回_2ヶ月前の在庫'!$V$6:$V$10005,'設定'!$C$4,'月1回_2ヶ月前の在庫'!$W$6:$W$10005,$C324)&gt;0,1,0))</f>
        <v/>
      </c>
      <c r="CY324">
        <f>IF(OR($C324="",'設定'!$C$12=""),"",IF('設定'!$C$13="",IF(AND($CV324=1,$CW324=0),"新商品（今月から）",IF(AND($CV324=0,$CW324=1),"終売（今月から）","")),IF(AND($CV324=1,$CW324=0,$CX324=0),"新商品（今月から）",IF(AND($CV324=1,$CW324=1,$CX324=0),"新商品（先月から）",IF(AND($CV324=0,$CW324=1,$CX324=1),"終売（今月から）",IF(AND($CV324=0,$CW324=0,$CX324=1),"終売（先月から）",IF(AND($CV324=1,$CW324=0,$CX324=1),"復活（先月は無し）","")))))))</f>
        <v/>
      </c>
    </row>
    <row r="325">
      <c r="B325">
        <f>IF(320&lt;='設定'!$C$11,320,"")</f>
        <v/>
      </c>
      <c r="C325">
        <f>IF($B325="","",IF($B325&lt;='設定'!$C$20,INDEX('商品マスタ'!$B$6:$B$1005,MATCH($B325,'商品マスタ'!$M$6:$M$1005,0)),IF($B325&lt;='設定'!$C$20+'設定'!$C$17,INDEX('①在庫を貼る'!$W$6:$W$10005,MATCH($B325-'設定'!$C$20,'①在庫を貼る'!$U$6:$U$10005,0)),IF($B325&lt;='設定'!$C$20+'設定'!$C$17+'設定'!$C$18,INDEX('月1回_1ヶ月前の在庫'!$W$6:$W$10005,MATCH($B325-'設定'!$C$20-'設定'!$C$17,'月1回_1ヶ月前の在庫'!$U$6:$U$10005,0)),INDEX('月1回_2ヶ月前の在庫'!$W$6:$W$10005,MATCH($B325-'設定'!$C$20-'設定'!$C$17-'設定'!$C$18,'月1回_2ヶ月前の在庫'!$U$6:$U$10005,0))))))</f>
        <v/>
      </c>
      <c r="D325">
        <f>IF($C325="","",IFERROR(IF(INDEX('商品マスタ'!$C$6:$C$1005,MATCH($C325,'商品マスタ'!$B$6:$B$1005,0))="",IFERROR(INDEX('①在庫を貼る'!$J$6:$J$10005,MATCH($C325,'①在庫を貼る'!$W$6:$W$10005,0)),IFERROR(INDEX('月1回_1ヶ月前の在庫'!$J$6:$J$10005,MATCH($C325,'月1回_1ヶ月前の在庫'!$W$6:$W$10005,0)),IFERROR(INDEX('月1回_2ヶ月前の在庫'!$J$6:$J$10005,MATCH($C325,'月1回_2ヶ月前の在庫'!$W$6:$W$10005,0)),""))),INDEX('商品マスタ'!$C$6:$C$1005,MATCH($C325,'商品マスタ'!$B$6:$B$1005,0))),IFERROR(INDEX('①在庫を貼る'!$J$6:$J$10005,MATCH($C325,'①在庫を貼る'!$W$6:$W$10005,0)),IFERROR(INDEX('月1回_1ヶ月前の在庫'!$J$6:$J$10005,MATCH($C325,'月1回_1ヶ月前の在庫'!$W$6:$W$10005,0)),IFERROR(INDEX('月1回_2ヶ月前の在庫'!$J$6:$J$10005,MATCH($C325,'月1回_2ヶ月前の在庫'!$W$6:$W$10005,0)),"")))))</f>
        <v/>
      </c>
      <c r="E325">
        <f>IF($C325="","",IFERROR(IF(INDEX('商品マスタ'!$D$6:$D$1005,MATCH($C325,'商品マスタ'!$B$6:$B$1005,0))="",IFERROR(INDEX('①在庫を貼る'!$H$6:$H$10005,MATCH($C325,'①在庫を貼る'!$W$6:$W$10005,0)),IFERROR(INDEX('月1回_1ヶ月前の在庫'!$H$6:$H$10005,MATCH($C325,'月1回_1ヶ月前の在庫'!$W$6:$W$10005,0)),IFERROR(INDEX('月1回_2ヶ月前の在庫'!$H$6:$H$10005,MATCH($C325,'月1回_2ヶ月前の在庫'!$W$6:$W$10005,0)),""))),INDEX('商品マスタ'!$D$6:$D$1005,MATCH($C325,'商品マスタ'!$B$6:$B$1005,0))),IFERROR(INDEX('①在庫を貼る'!$H$6:$H$10005,MATCH($C325,'①在庫を貼る'!$W$6:$W$10005,0)),IFERROR(INDEX('月1回_1ヶ月前の在庫'!$H$6:$H$10005,MATCH($C325,'月1回_1ヶ月前の在庫'!$W$6:$W$10005,0)),IFERROR(INDEX('月1回_2ヶ月前の在庫'!$H$6:$H$10005,MATCH($C325,'月1回_2ヶ月前の在庫'!$W$6:$W$10005,0)),"")))))</f>
        <v/>
      </c>
      <c r="F325">
        <f>IF($C325="","",IFERROR(IF(INDEX('商品マスタ'!$E$6:$E$1005,MATCH($C325,'商品マスタ'!$B$6:$B$1005,0))="",IFERROR(INDEX('①在庫を貼る'!$E$6:$E$10005,MATCH($C325,'①在庫を貼る'!$W$6:$W$10005,0)),IFERROR(INDEX('月1回_1ヶ月前の在庫'!$E$6:$E$10005,MATCH($C325,'月1回_1ヶ月前の在庫'!$W$6:$W$10005,0)),IFERROR(INDEX('月1回_2ヶ月前の在庫'!$E$6:$E$10005,MATCH($C325,'月1回_2ヶ月前の在庫'!$W$6:$W$10005,0)),""))),INDEX('商品マスタ'!$E$6:$E$1005,MATCH($C325,'商品マスタ'!$B$6:$B$1005,0))),IFERROR(INDEX('①在庫を貼る'!$E$6:$E$10005,MATCH($C325,'①在庫を貼る'!$W$6:$W$10005,0)),IFERROR(INDEX('月1回_1ヶ月前の在庫'!$E$6:$E$10005,MATCH($C325,'月1回_1ヶ月前の在庫'!$W$6:$W$10005,0)),IFERROR(INDEX('月1回_2ヶ月前の在庫'!$E$6:$E$10005,MATCH($C325,'月1回_2ヶ月前の在庫'!$W$6:$W$10005,0)),"")))))</f>
        <v/>
      </c>
      <c r="G325">
        <f>IF($C325="","",MAX(1,N(IFERROR(IF(INDEX('商品マスタ'!$F$6:$F$1005,MATCH($C325,'商品マスタ'!$B$6:$B$1005,0))="",IF(COUNTIFS('①在庫を貼る'!$V$6:$V$10005,'設定'!$C$4,'①在庫を貼る'!$W$6:$W$10005,$C325)&gt;0,SUMIFS('①在庫を貼る'!$K$6:$K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K$6:$K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K$6:$K$10005,'月1回_2ヶ月前の在庫'!$V$6:$V$10005,'設定'!$C$4,'月1回_2ヶ月前の在庫'!$W$6:$W$10005,$C325)/COUNTIFS('月1回_2ヶ月前の在庫'!$V$6:$V$10005,'設定'!$C$4,'月1回_2ヶ月前の在庫'!$W$6:$W$10005,$C325),0))),INDEX('商品マスタ'!$F$6:$F$1005,MATCH($C325,'商品マスタ'!$B$6:$B$1005,0))),IF(COUNTIFS('①在庫を貼る'!$V$6:$V$10005,'設定'!$C$4,'①在庫を貼る'!$W$6:$W$10005,$C325)&gt;0,SUMIFS('①在庫を貼る'!$K$6:$K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K$6:$K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K$6:$K$10005,'月1回_2ヶ月前の在庫'!$V$6:$V$10005,'設定'!$C$4,'月1回_2ヶ月前の在庫'!$W$6:$W$10005,$C325)/COUNTIFS('月1回_2ヶ月前の在庫'!$V$6:$V$10005,'設定'!$C$4,'月1回_2ヶ月前の在庫'!$W$6:$W$10005,$C325),0)))))))</f>
        <v/>
      </c>
      <c r="H325">
        <f>IF($C325="","",N(IFERROR(IF(INDEX('商品マスタ'!$G$6:$G$1005,MATCH($C325,'商品マスタ'!$B$6:$B$1005,0))="",IF(COUNTIFS('①在庫を貼る'!$V$6:$V$10005,'設定'!$C$4,'①在庫を貼る'!$W$6:$W$10005,$C325)&gt;0,SUMIFS('①在庫を貼る'!$Q$6:$Q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Q$6:$Q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Q$6:$Q$10005,'月1回_2ヶ月前の在庫'!$V$6:$V$10005,'設定'!$C$4,'月1回_2ヶ月前の在庫'!$W$6:$W$10005,$C325)/COUNTIFS('月1回_2ヶ月前の在庫'!$V$6:$V$10005,'設定'!$C$4,'月1回_2ヶ月前の在庫'!$W$6:$W$10005,$C325),0))),INDEX('商品マスタ'!$G$6:$G$1005,MATCH($C325,'商品マスタ'!$B$6:$B$1005,0))),IF(COUNTIFS('①在庫を貼る'!$V$6:$V$10005,'設定'!$C$4,'①在庫を貼る'!$W$6:$W$10005,$C325)&gt;0,SUMIFS('①在庫を貼る'!$Q$6:$Q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Q$6:$Q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Q$6:$Q$10005,'月1回_2ヶ月前の在庫'!$V$6:$V$10005,'設定'!$C$4,'月1回_2ヶ月前の在庫'!$W$6:$W$10005,$C325)/COUNTIFS('月1回_2ヶ月前の在庫'!$V$6:$V$10005,'設定'!$C$4,'月1回_2ヶ月前の在庫'!$W$6:$W$10005,$C325),0))))))</f>
        <v/>
      </c>
      <c r="I325">
        <f>IF($C325="","",IF(COUNTIFS('①在庫を貼る'!$V$6:$V$10005,'設定'!$C$4,'①在庫を貼る'!$W$6:$W$10005,$C325)=0,"",SUMIFS('①在庫を貼る'!$N$6:$N$10005,'①在庫を貼る'!$V$6:$V$10005,'設定'!$C$4,'①在庫を貼る'!$W$6:$W$10005,$C325)))</f>
        <v/>
      </c>
      <c r="J325">
        <f>IF($C325="","",IF('②発注する'!$AD329="","",'②発注する'!$AD329))</f>
        <v/>
      </c>
      <c r="K325" s="90">
        <f>IF($C325="","",IF('②発注する'!$AE329="","",'②発注する'!$AE329))</f>
        <v/>
      </c>
      <c r="L325">
        <f>IF($C325="","",IF(AND(ISNUMBER($J325),ISNUMBER($K325),$K325&gt;='設定'!$C$6),$J325,N($I325)))</f>
        <v/>
      </c>
      <c r="M325">
        <f>IF($C325="","",IFERROR(IF(N(INDEX('商品マスタ'!$J$6:$J$1005,MATCH($C325,'商品マスタ'!$B$6:$B$1005,0)))&gt;0,INDEX('商品マスタ'!$J$6:$J$1005,MATCH($C325,'商品マスタ'!$B$6:$B$1005,0)),""),""))</f>
        <v/>
      </c>
      <c r="N325">
        <f>IF($C325="","",IFERROR(IF(N(INDEX('商品マスタ'!$H$6:$H$1005,MATCH($C325,'商品マスタ'!$B$6:$B$1005,0)))&gt;0,INDEX('商品マスタ'!$H$6:$H$1005,MATCH($C325,'商品マスタ'!$B$6:$B$1005,0)),""),""))</f>
        <v/>
      </c>
      <c r="O325">
        <f>IF($C325="","",IF($N325&lt;&gt;"",$N325*$G325,IF(N(IF(COUNTIFS('①在庫を貼る'!$V$6:$V$10005,'設定'!$C$4,'①在庫を貼る'!$W$6:$W$10005,$C325)&gt;0,SUMIFS('①在庫を貼る'!$O$6:$O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O$6:$O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O$6:$O$10005,'月1回_2ヶ月前の在庫'!$V$6:$V$10005,'設定'!$C$4,'月1回_2ヶ月前の在庫'!$W$6:$W$10005,$C325)/COUNTIFS('月1回_2ヶ月前の在庫'!$V$6:$V$10005,'設定'!$C$4,'月1回_2ヶ月前の在庫'!$W$6:$W$10005,$C325),0))))&gt;0,N(IF(COUNTIFS('①在庫を貼る'!$V$6:$V$10005,'設定'!$C$4,'①在庫を貼る'!$W$6:$W$10005,$C325)&gt;0,SUMIFS('①在庫を貼る'!$O$6:$O$10005,'①在庫を貼る'!$V$6:$V$10005,'設定'!$C$4,'①在庫を貼る'!$W$6:$W$10005,$C325)/COUNTIFS('①在庫を貼る'!$V$6:$V$10005,'設定'!$C$4,'①在庫を貼る'!$W$6:$W$10005,$C325),IF(COUNTIFS('月1回_1ヶ月前の在庫'!$V$6:$V$10005,'設定'!$C$4,'月1回_1ヶ月前の在庫'!$W$6:$W$10005,$C325)&gt;0,SUMIFS('月1回_1ヶ月前の在庫'!$O$6:$O$10005,'月1回_1ヶ月前の在庫'!$V$6:$V$10005,'設定'!$C$4,'月1回_1ヶ月前の在庫'!$W$6:$W$10005,$C325)/COUNTIFS('月1回_1ヶ月前の在庫'!$V$6:$V$10005,'設定'!$C$4,'月1回_1ヶ月前の在庫'!$W$6:$W$10005,$C325),IF(COUNTIFS('月1回_2ヶ月前の在庫'!$V$6:$V$10005,'設定'!$C$4,'月1回_2ヶ月前の在庫'!$W$6:$W$10005,$C325)&gt;0,SUMIFS('月1回_2ヶ月前の在庫'!$O$6:$O$10005,'月1回_2ヶ月前の在庫'!$V$6:$V$10005,'設定'!$C$4,'月1回_2ヶ月前の在庫'!$W$6:$W$10005,$C325)/COUNTIFS('月1回_2ヶ月前の在庫'!$V$6:$V$10005,'設定'!$C$4,'月1回_2ヶ月前の在庫'!$W$6:$W$10005,$C325),0)))),"")))</f>
        <v/>
      </c>
      <c r="P325" s="90">
        <f>IF($C325="","",IF('②発注する'!$I329="","",'②発注する'!$I329))</f>
        <v/>
      </c>
      <c r="Q325">
        <f>IF($C325="","",IF('②発注する'!$J329="","",'②発注する'!$J329))</f>
        <v/>
      </c>
      <c r="R325">
        <f>IF($C325="",0,IF(AND(ISNUMBER($P325),ISNUMBER($Q325)),MAX(0,$Q325)*$G325,0))</f>
        <v/>
      </c>
      <c r="S325" s="90">
        <f>IF($C325="","",IF('②発注する'!$M329="","",'②発注する'!$M329))</f>
        <v/>
      </c>
      <c r="T325">
        <f>IF($C325="","",IF('②発注する'!$N329="","",'②発注する'!$N329))</f>
        <v/>
      </c>
      <c r="U325">
        <f>IF($C325="",0,IF(AND(ISNUMBER($S325),ISNUMBER($T325)),MAX(0,$T325)*$G325,0))</f>
        <v/>
      </c>
      <c r="V325">
        <f>IF($C325="",0,IF($M325="",0,MAX(0,$M325)*MAX(0,V$4)/100))</f>
        <v/>
      </c>
      <c r="W325">
        <f>IF($C325="",0,IF($M325="",0,MAX(0,$M325)*MAX(0,W$4)/100))</f>
        <v/>
      </c>
      <c r="X325">
        <f>IF($C325="",0,IF($M325="",0,MAX(0,$M325)*MAX(0,X$4)/100))</f>
        <v/>
      </c>
      <c r="Y325">
        <f>IF($C325="",0,IF($M325="",0,MAX(0,$M325)*MAX(0,Y$4)/100))</f>
        <v/>
      </c>
      <c r="Z325">
        <f>IF($C325="",0,IF($M325="",0,MAX(0,$M325)*MAX(0,Z$4)/100))</f>
        <v/>
      </c>
      <c r="AA325">
        <f>IF($C325="",0,IF($M325="",0,MAX(0,$M325)*MAX(0,AA$4)/100))</f>
        <v/>
      </c>
      <c r="AB325">
        <f>IF($C325="",0,IF($M325="",0,MAX(0,$M325)*MAX(0,AB$4)/100))</f>
        <v/>
      </c>
      <c r="AC325">
        <f>IF($C325="",0,IF($M325="",0,MAX(0,$M325)*MAX(0,AC$4)/100))</f>
        <v/>
      </c>
      <c r="AD325">
        <f>IF($C325="",0,IF($M325="",0,MAX(0,$M325)*MAX(0,AD$4)/100))</f>
        <v/>
      </c>
      <c r="AE325">
        <f>IF($C325="",0,IF($M325="",0,MAX(0,$M325)*MAX(0,AE$4)/100))</f>
        <v/>
      </c>
      <c r="AF325">
        <f>IF($C325="",0,IF($M325="",0,MAX(0,$M325)*MAX(0,AF$4)/100))</f>
        <v/>
      </c>
      <c r="AG325">
        <f>IF($C325="",0,IF($M325="",0,MAX(0,$M325)*MAX(0,AG$4)/100))</f>
        <v/>
      </c>
      <c r="AH325">
        <f>IF($C325="",0,IF($M325="",0,MAX(0,$M325)*MAX(0,AH$4)/100))</f>
        <v/>
      </c>
      <c r="AI325">
        <f>IF($C325="",0,IF($M325="",0,MAX(0,$M325)*MAX(0,AI$4)/100))</f>
        <v/>
      </c>
      <c r="AJ325">
        <f>IF($C325="",0,MAX(0,MAX(0,N($L325))-$V325))</f>
        <v/>
      </c>
      <c r="AK325">
        <f>IF($C325="",0,MAX(0,$AJ325-$W325))</f>
        <v/>
      </c>
      <c r="AL325">
        <f>IF($C325="",0,MAX(0,$AK325-$X325))</f>
        <v/>
      </c>
      <c r="AM325">
        <f>IF($C325="",0,MAX(0,$AL325-$Y325))</f>
        <v/>
      </c>
      <c r="AN325">
        <f>IF($C325="",0,MAX(0,$AM325-$Z325))</f>
        <v/>
      </c>
      <c r="AO325">
        <f>IF($C325="",0,MAX(0,$AN325-$AA325))</f>
        <v/>
      </c>
      <c r="AP325">
        <f>IF($C325="",0,MAX(0,$AO325-$AB325))</f>
        <v/>
      </c>
      <c r="AQ325">
        <f>IF($C325="",0,MAX(0,$AP325-$AC325))</f>
        <v/>
      </c>
      <c r="AR325">
        <f>IF($C325="",0,MAX(0,$AQ325-$AD325))</f>
        <v/>
      </c>
      <c r="AS325">
        <f>IF($C325="",0,MAX(0,$AR325-$AE325))</f>
        <v/>
      </c>
      <c r="AT325">
        <f>IF($C325="",0,MAX(0,$AS325-$AF325))</f>
        <v/>
      </c>
      <c r="AU325">
        <f>IF($C325="",0,MAX(0,$AT325-$AG325))</f>
        <v/>
      </c>
      <c r="AV325">
        <f>IF($C325="",0,MAX(0,$AU325-$AH325))</f>
        <v/>
      </c>
      <c r="AW325">
        <f>IF($C325="",0,MAX(0,$AV325-$AI325))</f>
        <v/>
      </c>
      <c r="AX325">
        <f>IF($C325="",0,MAX(0,MAX(0,N($L325))+IF($P325=V$3,$R325,0)+IF($S325=V$3,$U325,0)-$V325))</f>
        <v/>
      </c>
      <c r="AY325">
        <f>IF($C325="",0,MAX(0,$AX325+IF($P325=W$3,$R325,0)+IF($S325=W$3,$U325,0)-$W325))</f>
        <v/>
      </c>
      <c r="AZ325">
        <f>IF($C325="",0,MAX(0,$AY325+IF($P325=X$3,$R325,0)+IF($S325=X$3,$U325,0)-$X325))</f>
        <v/>
      </c>
      <c r="BA325">
        <f>IF($C325="",0,MAX(0,$AZ325+IF($P325=Y$3,$R325,0)+IF($S325=Y$3,$U325,0)-$Y325))</f>
        <v/>
      </c>
      <c r="BB325">
        <f>IF($C325="",0,MAX(0,$BA325+IF($P325=Z$3,$R325,0)+IF($S325=Z$3,$U325,0)-$Z325))</f>
        <v/>
      </c>
      <c r="BC325">
        <f>IF($C325="",0,MAX(0,$BB325+IF($P325=AA$3,$R325,0)+IF($S325=AA$3,$U325,0)-$AA325))</f>
        <v/>
      </c>
      <c r="BD325">
        <f>IF($C325="",0,MAX(0,$BC325+IF($P325=AB$3,$R325,0)+IF($S325=AB$3,$U325,0)-$AB325))</f>
        <v/>
      </c>
      <c r="BE325">
        <f>IF($C325="",0,MAX(0,$BD325+IF($P325=AC$3,$R325,0)+IF($S325=AC$3,$U325,0)-$AC325))</f>
        <v/>
      </c>
      <c r="BF325">
        <f>IF($C325="",0,MAX(0,$BE325+IF($P325=AD$3,$R325,0)+IF($S325=AD$3,$U325,0)-$AD325))</f>
        <v/>
      </c>
      <c r="BG325">
        <f>IF($C325="",0,MAX(0,$BF325+IF($P325=AE$3,$R325,0)+IF($S325=AE$3,$U325,0)-$AE325))</f>
        <v/>
      </c>
      <c r="BH325">
        <f>IF($C325="",0,MAX(0,$BG325+IF($P325=AF$3,$R325,0)+IF($S325=AF$3,$U325,0)-$AF325))</f>
        <v/>
      </c>
      <c r="BI325">
        <f>IF($C325="",0,MAX(0,$BH325+IF($P325=AG$3,$R325,0)+IF($S325=AG$3,$U325,0)-$AG325))</f>
        <v/>
      </c>
      <c r="BJ325">
        <f>IF($C325="",0,MAX(0,$BI325+IF($P325=AH$3,$R325,0)+IF($S325=AH$3,$U325,0)-$AH325))</f>
        <v/>
      </c>
      <c r="BK325">
        <f>IF($C325="",0,MAX(0,$BJ325+IF($P325=AI$3,$R325,0)+IF($S325=AI$3,$U325,0)-$AI325))</f>
        <v/>
      </c>
      <c r="BL325">
        <f>IF($C325="",99,IF(AND($AX325&lt;1,V$3&gt;=MAX(N($P325),N($S325))),0,99))</f>
        <v/>
      </c>
      <c r="BM325">
        <f>IF($C325="",99,IF(AND($AY325&lt;1,W$3&gt;=MAX(N($P325),N($S325))),1,99))</f>
        <v/>
      </c>
      <c r="BN325">
        <f>IF($C325="",99,IF(AND($AZ325&lt;1,X$3&gt;=MAX(N($P325),N($S325))),2,99))</f>
        <v/>
      </c>
      <c r="BO325">
        <f>IF($C325="",99,IF(AND($BA325&lt;1,Y$3&gt;=MAX(N($P325),N($S325))),3,99))</f>
        <v/>
      </c>
      <c r="BP325">
        <f>IF($C325="",99,IF(AND($BB325&lt;1,Z$3&gt;=MAX(N($P325),N($S325))),4,99))</f>
        <v/>
      </c>
      <c r="BQ325">
        <f>IF($C325="",99,IF(AND($BC325&lt;1,AA$3&gt;=MAX(N($P325),N($S325))),5,99))</f>
        <v/>
      </c>
      <c r="BR325">
        <f>IF($C325="",99,IF(AND($BD325&lt;1,AB$3&gt;=MAX(N($P325),N($S325))),6,99))</f>
        <v/>
      </c>
      <c r="BS325">
        <f>IF($C325="",99,IF(AND($BE325&lt;1,AC$3&gt;=MAX(N($P325),N($S325))),7,99))</f>
        <v/>
      </c>
      <c r="BT325">
        <f>IF($C325="",99,IF(AND($BF325&lt;1,AD$3&gt;=MAX(N($P325),N($S325))),8,99))</f>
        <v/>
      </c>
      <c r="BU325">
        <f>IF($C325="",99,IF(AND($BG325&lt;1,AE$3&gt;=MAX(N($P325),N($S325))),9,99))</f>
        <v/>
      </c>
      <c r="BV325">
        <f>IF($C325="",99,IF(AND($BH325&lt;1,AF$3&gt;=MAX(N($P325),N($S325))),10,99))</f>
        <v/>
      </c>
      <c r="BW325">
        <f>IF($C325="",99,IF(AND($BI325&lt;1,AG$3&gt;=MAX(N($P325),N($S325))),11,99))</f>
        <v/>
      </c>
      <c r="BX325">
        <f>IF($C325="",99,IF(AND($BJ325&lt;1,AH$3&gt;=MAX(N($P325),N($S325))),12,99))</f>
        <v/>
      </c>
      <c r="BY325">
        <f>IF($C325="",99,IF(AND($BK325&lt;1,AI$3&gt;=MAX(N($P325),N($S325))),13,99))</f>
        <v/>
      </c>
      <c r="BZ325">
        <f>IF(OR($C325="",$M325=""),"",COUNTIF($AJ325:$AW325,"&gt;=1"))</f>
        <v/>
      </c>
      <c r="CA325" s="90">
        <f>IF($BZ325="","",IF($BZ325&gt;=14,"",'設定'!$C$6+$BZ325))</f>
        <v/>
      </c>
      <c r="CB325">
        <f>IF(OR($C325="",$M325=""),"",MIN($BL325:$BY325))</f>
        <v/>
      </c>
      <c r="CC325" s="90">
        <f>IF($CB325="","",IF($CB325&gt;=99,"",'設定'!$C$6+$CB325))</f>
        <v/>
      </c>
      <c r="CD325">
        <f>IF(OR($C325="",$M325=""),"",AVERAGE($V325:$AI325))</f>
        <v/>
      </c>
      <c r="CE325">
        <f>IF($C325="","",IFERROR(IF(MATCH(IF(ISNUMBER($P325),$P325,'設定'!$C$6+N('設定'!$C$7)),$V$3:$AI$3,0)=1,MAX(0,N($L325)),INDEX($AJ325:$AW325,MATCH(IF(ISNUMBER($P325),$P325,'設定'!$C$6+N('設定'!$C$7)),$V$3:$AI$3,0)-1)),""))</f>
        <v/>
      </c>
      <c r="CF325">
        <f>IF(OR($C325="",$O325="",$CE325=""),"",IF($O325-$CE325&lt;=0,0,ROUNDUP(($O325-$CE325)/$G325,0)))</f>
        <v/>
      </c>
      <c r="CG325">
        <f>IF(OR($C325="",$CF325="",NOT(ISNUMBER($Q325))),0,MAX(0,$Q325-$CF325))</f>
        <v/>
      </c>
      <c r="CH325">
        <f>IF(OR($C325="",$O325="",$U325=0),0,IFERROR(ROUNDUP(MAX(0,IF(MATCH($S325,$V$3:$AI$3,0)=1,MAX(0,N($L325)),INDEX($AX325:$BK325,MATCH($S325,$V$3:$AI$3,0)-1))+$U325-$O325)/$G325,0),0))</f>
        <v/>
      </c>
      <c r="CI325">
        <f>IF($C325="","",IF(AND($P325="",$Q325=""),"",IF($P325="","⚠ 入庫日を ▼ から選んでください",IF(NOT(ISNUMBER($P325)),"⚠ 入庫日は ▼ から選んでください",IF($P325&lt;N('設定'!$C$6),"⚠ 入庫日が過去です（もう在庫に入っています）→ 消してください",IF($P325&gt;N('設定'!$C$6)+13,"⚠ 入庫日が14日より先です",IF(N($Q325)&lt;=0,"⚠ 入庫数を入れてください",IF($CG325&gt;0,"⚠ 目安より "&amp;$CG325&amp;" 多い（定数を超える）→ 減らす",""))))))))</f>
        <v/>
      </c>
      <c r="CJ325">
        <f>IF($C325="","",IF(AND($S325="",$T325=""),"",IF($S325="","⚠ 2便目：入庫日を ▼ から選んでください",IF(NOT(ISNUMBER($S325)),"⚠ 2便目：入庫日は ▼ から選んでください",IF($S325&lt;N('設定'!$C$6),"⚠ 2便目：入庫日が過去です（もう在庫に入っています）→ 消してください",IF($S325&gt;N('設定'!$C$6)+13,"⚠ 2便目：入庫日が14日より先です",IF(N($T325)&lt;=0,"⚠ 2便目：入庫数を入れてください",IF($CH325&gt;0,"⚠ 2便目：定数を "&amp;$CH325&amp;" ケース超える → 減らす",""))))))))</f>
        <v/>
      </c>
      <c r="CK325">
        <f>IF(AND($CI325="",N($Q325)&gt;0,ISNUMBER($P325)),1,0)</f>
        <v/>
      </c>
      <c r="CL325">
        <f>IF(AND($CJ325="",N($T325)&gt;0,ISNUMBER($S325)),1,0)</f>
        <v/>
      </c>
      <c r="CM325">
        <f>IF(OR($CK325=1,$CL325=1),1,0)</f>
        <v/>
      </c>
      <c r="CN325">
        <f>IF($C325="",0,($CK325*$R325+$CL325*$U325)*N($H325))</f>
        <v/>
      </c>
      <c r="CO325">
        <f>IF($C325="","",IF($CC325="","入庫後は 14日以上もつ",IF($CC325-N('設定'!$C$7)&lt;='設定'!$C$6,"入庫後も "&amp;TEXT($CC325,"m/d")&amp;"("&amp;CHOOSE(WEEKDAY($CC325),"日","月","火","水","木","金","土")&amp;")"&amp;" に切れる　もう1便を至急発注","入庫後も "&amp;TEXT($CC325,"m/d")&amp;"("&amp;CHOOSE(WEEKDAY($CC325),"日","月","火","水","木","金","土")&amp;")"&amp;" に切れる　"&amp;TEXT($CC325-N('設定'!$C$7),"m/d")&amp;"("&amp;CHOOSE(WEEKDAY($CC325-N('設定'!$C$7)),"日","月","火","水","木","金","土")&amp;")"&amp;" までに次を発注")))</f>
        <v/>
      </c>
      <c r="CP325">
        <f>IF($C325="","",IF('設定'!$C$6="","？ ①在庫を貼る に今日のCSVが貼られていない",IF($CS325=1,"－ 今日のCSVに無い（終売？）",IF($L325&lt;0,"● 在庫がマイナス　数えて「数えた在庫」に入れる",IF($L325=0,"● 在庫なし　至急発注",IF($M325="","？ 減り数が未設定（商品マスタ）",IF($B$3=0,"？ 動員が未入力（動員を入れる）",IF($CA325="","○ 14日以上もつ",IF($BZ325&lt;N('設定'!$C$7),"● "&amp;TEXT($CA325,"m/d")&amp;"("&amp;CHOOSE(WEEKDAY($CA325),"日","月","火","水","木","金","土")&amp;")"&amp;" に切れる　至急発注",IF($BZ325=N('設定'!$C$7),"● "&amp;TEXT($CA325,"m/d")&amp;"("&amp;CHOOSE(WEEKDAY($CA325),"日","月","火","水","木","金","土")&amp;")"&amp;" に切れる　今日発注","△ "&amp;TEXT($CA325,"m/d")&amp;"("&amp;CHOOSE(WEEKDAY($CA325),"日","月","火","水","木","金","土")&amp;")"&amp;" に切れる　"&amp;TEXT($CA325-N('設定'!$C$7),"m/d")&amp;"("&amp;CHOOSE(WEEKDAY($CA325-N('設定'!$C$7)),"日","月","火","水","木","金","土")&amp;")"&amp;" までに発注"))))))))))</f>
        <v/>
      </c>
      <c r="CQ325">
        <f>IF($C325="","",IF(AND($P325="",$Q325="",$S325="",$T325=""),"",IF(AND($P325="",$Q325=""),"⚠ 先に1便目（左の入庫日・入庫数）に入れてください",IF($CI325&lt;&gt;"",$CI325,IF($CJ325&lt;&gt;"",$CJ325,IF($M325="","？ 減り数が未設定（発注書には載ります）",IF($B$3=0,"？ 動員が未入力（発注書には載ります）",IF(AND($CA325&lt;&gt;"",$P325&gt;$CA325),IF($P325&gt;'設定'!$C$6+N('設定'!$C$7),"● "&amp;TEXT($P325,"m/d")&amp;"("&amp;CHOOSE(WEEKDAY($P325),"日","月","火","水","木","金","土")&amp;")"&amp;" の入庫では間に合わない（"&amp;TEXT($CA325,"m/d")&amp;"("&amp;CHOOSE(WEEKDAY($CA325),"日","月","火","水","木","金","土")&amp;")"&amp;" に切れる）　入庫日を早める","△ 欠品 "&amp;TEXT($CA325,"m/d")&amp;"("&amp;CHOOSE(WEEKDAY($CA325),"日","月","火","水","木","金","土")&amp;")"&amp;"〜"&amp;TEXT($P325-1,"m/d")&amp;"("&amp;CHOOSE(WEEKDAY($P325-1),"日","月","火","水","木","金","土")&amp;")"&amp;"　"&amp;$CO325),IF($CC325="","○ "&amp;TEXT($P325,"m/d")&amp;"("&amp;CHOOSE(WEEKDAY($P325),"日","月","火","水","木","金","土")&amp;")"&amp;" 入庫で 14日以上もつ",IF($CC325-N('設定'!$C$7)&lt;='設定'!$C$6,"● 入庫しても "&amp;TEXT($CC325,"m/d")&amp;"("&amp;CHOOSE(WEEKDAY($CC325),"日","月","火","水","木","金","土")&amp;")"&amp;" に切れる　もう1便を至急発注（2便目に入れる）","△ 入庫しても "&amp;TEXT($CC325,"m/d")&amp;"("&amp;CHOOSE(WEEKDAY($CC325),"日","月","火","水","木","金","土")&amp;")"&amp;" に切れる　"&amp;TEXT($CC325-N('設定'!$C$7),"m/d")&amp;"("&amp;CHOOSE(WEEKDAY($CC325-N('設定'!$C$7)),"日","月","火","水","木","金","土")&amp;")"&amp;" までに次を発注（2便目に入れる）"))))))))))</f>
        <v/>
      </c>
      <c r="CR325">
        <f>IF($C325="","",IF($G325&gt;1,"ｹｰｽ("&amp;$G325&amp;"入)","個"))</f>
        <v/>
      </c>
      <c r="CS325">
        <f>IF($C325="",0,IF(COUNTIFS('①在庫を貼る'!$V$6:$V$10005,'設定'!$C$4,'①在庫を貼る'!$W$6:$W$10005,$C325)=0,1,0))</f>
        <v/>
      </c>
      <c r="CT325">
        <f>IF(AND($CK325=1,OR('③発注書'!$C$4="すべて",'③発注書'!$C$4="",$F325='③発注書'!$C$4)),N($CT324)+1,N($CT324))</f>
        <v/>
      </c>
      <c r="CU325">
        <f>IF(AND($CL325=1,OR('③発注書'!$C$4="すべて",'③発注書'!$C$4="",$F325='③発注書'!$C$4)),N($CU324)+1,N($CU324))</f>
        <v/>
      </c>
      <c r="CV325">
        <f>IF($C325="",0,IF(COUNTIFS('①在庫を貼る'!$V$6:$V$10005,'設定'!$C$4,'①在庫を貼る'!$W$6:$W$10005,$C325)&gt;0,1,0))</f>
        <v/>
      </c>
      <c r="CW325">
        <f>IF($C325="",0,IF(COUNTIFS('月1回_1ヶ月前の在庫'!$V$6:$V$10005,'設定'!$C$4,'月1回_1ヶ月前の在庫'!$W$6:$W$10005,$C325)&gt;0,1,0))</f>
        <v/>
      </c>
      <c r="CX325">
        <f>IF($C325="",0,IF(COUNTIFS('月1回_2ヶ月前の在庫'!$V$6:$V$10005,'設定'!$C$4,'月1回_2ヶ月前の在庫'!$W$6:$W$10005,$C325)&gt;0,1,0))</f>
        <v/>
      </c>
      <c r="CY325">
        <f>IF(OR($C325="",'設定'!$C$12=""),"",IF('設定'!$C$13="",IF(AND($CV325=1,$CW325=0),"新商品（今月から）",IF(AND($CV325=0,$CW325=1),"終売（今月から）","")),IF(AND($CV325=1,$CW325=0,$CX325=0),"新商品（今月から）",IF(AND($CV325=1,$CW325=1,$CX325=0),"新商品（先月から）",IF(AND($CV325=0,$CW325=1,$CX325=1),"終売（今月から）",IF(AND($CV325=0,$CW325=0,$CX325=1),"終売（先月から）",IF(AND($CV325=1,$CW325=0,$CX325=1),"復活（先月は無し）","")))))))</f>
        <v/>
      </c>
    </row>
    <row r="326">
      <c r="B326">
        <f>IF(321&lt;='設定'!$C$11,321,"")</f>
        <v/>
      </c>
      <c r="C326">
        <f>IF($B326="","",IF($B326&lt;='設定'!$C$20,INDEX('商品マスタ'!$B$6:$B$1005,MATCH($B326,'商品マスタ'!$M$6:$M$1005,0)),IF($B326&lt;='設定'!$C$20+'設定'!$C$17,INDEX('①在庫を貼る'!$W$6:$W$10005,MATCH($B326-'設定'!$C$20,'①在庫を貼る'!$U$6:$U$10005,0)),IF($B326&lt;='設定'!$C$20+'設定'!$C$17+'設定'!$C$18,INDEX('月1回_1ヶ月前の在庫'!$W$6:$W$10005,MATCH($B326-'設定'!$C$20-'設定'!$C$17,'月1回_1ヶ月前の在庫'!$U$6:$U$10005,0)),INDEX('月1回_2ヶ月前の在庫'!$W$6:$W$10005,MATCH($B326-'設定'!$C$20-'設定'!$C$17-'設定'!$C$18,'月1回_2ヶ月前の在庫'!$U$6:$U$10005,0))))))</f>
        <v/>
      </c>
      <c r="D326">
        <f>IF($C326="","",IFERROR(IF(INDEX('商品マスタ'!$C$6:$C$1005,MATCH($C326,'商品マスタ'!$B$6:$B$1005,0))="",IFERROR(INDEX('①在庫を貼る'!$J$6:$J$10005,MATCH($C326,'①在庫を貼る'!$W$6:$W$10005,0)),IFERROR(INDEX('月1回_1ヶ月前の在庫'!$J$6:$J$10005,MATCH($C326,'月1回_1ヶ月前の在庫'!$W$6:$W$10005,0)),IFERROR(INDEX('月1回_2ヶ月前の在庫'!$J$6:$J$10005,MATCH($C326,'月1回_2ヶ月前の在庫'!$W$6:$W$10005,0)),""))),INDEX('商品マスタ'!$C$6:$C$1005,MATCH($C326,'商品マスタ'!$B$6:$B$1005,0))),IFERROR(INDEX('①在庫を貼る'!$J$6:$J$10005,MATCH($C326,'①在庫を貼る'!$W$6:$W$10005,0)),IFERROR(INDEX('月1回_1ヶ月前の在庫'!$J$6:$J$10005,MATCH($C326,'月1回_1ヶ月前の在庫'!$W$6:$W$10005,0)),IFERROR(INDEX('月1回_2ヶ月前の在庫'!$J$6:$J$10005,MATCH($C326,'月1回_2ヶ月前の在庫'!$W$6:$W$10005,0)),"")))))</f>
        <v/>
      </c>
      <c r="E326">
        <f>IF($C326="","",IFERROR(IF(INDEX('商品マスタ'!$D$6:$D$1005,MATCH($C326,'商品マスタ'!$B$6:$B$1005,0))="",IFERROR(INDEX('①在庫を貼る'!$H$6:$H$10005,MATCH($C326,'①在庫を貼る'!$W$6:$W$10005,0)),IFERROR(INDEX('月1回_1ヶ月前の在庫'!$H$6:$H$10005,MATCH($C326,'月1回_1ヶ月前の在庫'!$W$6:$W$10005,0)),IFERROR(INDEX('月1回_2ヶ月前の在庫'!$H$6:$H$10005,MATCH($C326,'月1回_2ヶ月前の在庫'!$W$6:$W$10005,0)),""))),INDEX('商品マスタ'!$D$6:$D$1005,MATCH($C326,'商品マスタ'!$B$6:$B$1005,0))),IFERROR(INDEX('①在庫を貼る'!$H$6:$H$10005,MATCH($C326,'①在庫を貼る'!$W$6:$W$10005,0)),IFERROR(INDEX('月1回_1ヶ月前の在庫'!$H$6:$H$10005,MATCH($C326,'月1回_1ヶ月前の在庫'!$W$6:$W$10005,0)),IFERROR(INDEX('月1回_2ヶ月前の在庫'!$H$6:$H$10005,MATCH($C326,'月1回_2ヶ月前の在庫'!$W$6:$W$10005,0)),"")))))</f>
        <v/>
      </c>
      <c r="F326">
        <f>IF($C326="","",IFERROR(IF(INDEX('商品マスタ'!$E$6:$E$1005,MATCH($C326,'商品マスタ'!$B$6:$B$1005,0))="",IFERROR(INDEX('①在庫を貼る'!$E$6:$E$10005,MATCH($C326,'①在庫を貼る'!$W$6:$W$10005,0)),IFERROR(INDEX('月1回_1ヶ月前の在庫'!$E$6:$E$10005,MATCH($C326,'月1回_1ヶ月前の在庫'!$W$6:$W$10005,0)),IFERROR(INDEX('月1回_2ヶ月前の在庫'!$E$6:$E$10005,MATCH($C326,'月1回_2ヶ月前の在庫'!$W$6:$W$10005,0)),""))),INDEX('商品マスタ'!$E$6:$E$1005,MATCH($C326,'商品マスタ'!$B$6:$B$1005,0))),IFERROR(INDEX('①在庫を貼る'!$E$6:$E$10005,MATCH($C326,'①在庫を貼る'!$W$6:$W$10005,0)),IFERROR(INDEX('月1回_1ヶ月前の在庫'!$E$6:$E$10005,MATCH($C326,'月1回_1ヶ月前の在庫'!$W$6:$W$10005,0)),IFERROR(INDEX('月1回_2ヶ月前の在庫'!$E$6:$E$10005,MATCH($C326,'月1回_2ヶ月前の在庫'!$W$6:$W$10005,0)),"")))))</f>
        <v/>
      </c>
      <c r="G326">
        <f>IF($C326="","",MAX(1,N(IFERROR(IF(INDEX('商品マスタ'!$F$6:$F$1005,MATCH($C326,'商品マスタ'!$B$6:$B$1005,0))="",IF(COUNTIFS('①在庫を貼る'!$V$6:$V$10005,'設定'!$C$4,'①在庫を貼る'!$W$6:$W$10005,$C326)&gt;0,SUMIFS('①在庫を貼る'!$K$6:$K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K$6:$K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K$6:$K$10005,'月1回_2ヶ月前の在庫'!$V$6:$V$10005,'設定'!$C$4,'月1回_2ヶ月前の在庫'!$W$6:$W$10005,$C326)/COUNTIFS('月1回_2ヶ月前の在庫'!$V$6:$V$10005,'設定'!$C$4,'月1回_2ヶ月前の在庫'!$W$6:$W$10005,$C326),0))),INDEX('商品マスタ'!$F$6:$F$1005,MATCH($C326,'商品マスタ'!$B$6:$B$1005,0))),IF(COUNTIFS('①在庫を貼る'!$V$6:$V$10005,'設定'!$C$4,'①在庫を貼る'!$W$6:$W$10005,$C326)&gt;0,SUMIFS('①在庫を貼る'!$K$6:$K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K$6:$K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K$6:$K$10005,'月1回_2ヶ月前の在庫'!$V$6:$V$10005,'設定'!$C$4,'月1回_2ヶ月前の在庫'!$W$6:$W$10005,$C326)/COUNTIFS('月1回_2ヶ月前の在庫'!$V$6:$V$10005,'設定'!$C$4,'月1回_2ヶ月前の在庫'!$W$6:$W$10005,$C326),0)))))))</f>
        <v/>
      </c>
      <c r="H326">
        <f>IF($C326="","",N(IFERROR(IF(INDEX('商品マスタ'!$G$6:$G$1005,MATCH($C326,'商品マスタ'!$B$6:$B$1005,0))="",IF(COUNTIFS('①在庫を貼る'!$V$6:$V$10005,'設定'!$C$4,'①在庫を貼る'!$W$6:$W$10005,$C326)&gt;0,SUMIFS('①在庫を貼る'!$Q$6:$Q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Q$6:$Q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Q$6:$Q$10005,'月1回_2ヶ月前の在庫'!$V$6:$V$10005,'設定'!$C$4,'月1回_2ヶ月前の在庫'!$W$6:$W$10005,$C326)/COUNTIFS('月1回_2ヶ月前の在庫'!$V$6:$V$10005,'設定'!$C$4,'月1回_2ヶ月前の在庫'!$W$6:$W$10005,$C326),0))),INDEX('商品マスタ'!$G$6:$G$1005,MATCH($C326,'商品マスタ'!$B$6:$B$1005,0))),IF(COUNTIFS('①在庫を貼る'!$V$6:$V$10005,'設定'!$C$4,'①在庫を貼る'!$W$6:$W$10005,$C326)&gt;0,SUMIFS('①在庫を貼る'!$Q$6:$Q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Q$6:$Q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Q$6:$Q$10005,'月1回_2ヶ月前の在庫'!$V$6:$V$10005,'設定'!$C$4,'月1回_2ヶ月前の在庫'!$W$6:$W$10005,$C326)/COUNTIFS('月1回_2ヶ月前の在庫'!$V$6:$V$10005,'設定'!$C$4,'月1回_2ヶ月前の在庫'!$W$6:$W$10005,$C326),0))))))</f>
        <v/>
      </c>
      <c r="I326">
        <f>IF($C326="","",IF(COUNTIFS('①在庫を貼る'!$V$6:$V$10005,'設定'!$C$4,'①在庫を貼る'!$W$6:$W$10005,$C326)=0,"",SUMIFS('①在庫を貼る'!$N$6:$N$10005,'①在庫を貼る'!$V$6:$V$10005,'設定'!$C$4,'①在庫を貼る'!$W$6:$W$10005,$C326)))</f>
        <v/>
      </c>
      <c r="J326">
        <f>IF($C326="","",IF('②発注する'!$AD330="","",'②発注する'!$AD330))</f>
        <v/>
      </c>
      <c r="K326" s="90">
        <f>IF($C326="","",IF('②発注する'!$AE330="","",'②発注する'!$AE330))</f>
        <v/>
      </c>
      <c r="L326">
        <f>IF($C326="","",IF(AND(ISNUMBER($J326),ISNUMBER($K326),$K326&gt;='設定'!$C$6),$J326,N($I326)))</f>
        <v/>
      </c>
      <c r="M326">
        <f>IF($C326="","",IFERROR(IF(N(INDEX('商品マスタ'!$J$6:$J$1005,MATCH($C326,'商品マスタ'!$B$6:$B$1005,0)))&gt;0,INDEX('商品マスタ'!$J$6:$J$1005,MATCH($C326,'商品マスタ'!$B$6:$B$1005,0)),""),""))</f>
        <v/>
      </c>
      <c r="N326">
        <f>IF($C326="","",IFERROR(IF(N(INDEX('商品マスタ'!$H$6:$H$1005,MATCH($C326,'商品マスタ'!$B$6:$B$1005,0)))&gt;0,INDEX('商品マスタ'!$H$6:$H$1005,MATCH($C326,'商品マスタ'!$B$6:$B$1005,0)),""),""))</f>
        <v/>
      </c>
      <c r="O326">
        <f>IF($C326="","",IF($N326&lt;&gt;"",$N326*$G326,IF(N(IF(COUNTIFS('①在庫を貼る'!$V$6:$V$10005,'設定'!$C$4,'①在庫を貼る'!$W$6:$W$10005,$C326)&gt;0,SUMIFS('①在庫を貼る'!$O$6:$O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O$6:$O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O$6:$O$10005,'月1回_2ヶ月前の在庫'!$V$6:$V$10005,'設定'!$C$4,'月1回_2ヶ月前の在庫'!$W$6:$W$10005,$C326)/COUNTIFS('月1回_2ヶ月前の在庫'!$V$6:$V$10005,'設定'!$C$4,'月1回_2ヶ月前の在庫'!$W$6:$W$10005,$C326),0))))&gt;0,N(IF(COUNTIFS('①在庫を貼る'!$V$6:$V$10005,'設定'!$C$4,'①在庫を貼る'!$W$6:$W$10005,$C326)&gt;0,SUMIFS('①在庫を貼る'!$O$6:$O$10005,'①在庫を貼る'!$V$6:$V$10005,'設定'!$C$4,'①在庫を貼る'!$W$6:$W$10005,$C326)/COUNTIFS('①在庫を貼る'!$V$6:$V$10005,'設定'!$C$4,'①在庫を貼る'!$W$6:$W$10005,$C326),IF(COUNTIFS('月1回_1ヶ月前の在庫'!$V$6:$V$10005,'設定'!$C$4,'月1回_1ヶ月前の在庫'!$W$6:$W$10005,$C326)&gt;0,SUMIFS('月1回_1ヶ月前の在庫'!$O$6:$O$10005,'月1回_1ヶ月前の在庫'!$V$6:$V$10005,'設定'!$C$4,'月1回_1ヶ月前の在庫'!$W$6:$W$10005,$C326)/COUNTIFS('月1回_1ヶ月前の在庫'!$V$6:$V$10005,'設定'!$C$4,'月1回_1ヶ月前の在庫'!$W$6:$W$10005,$C326),IF(COUNTIFS('月1回_2ヶ月前の在庫'!$V$6:$V$10005,'設定'!$C$4,'月1回_2ヶ月前の在庫'!$W$6:$W$10005,$C326)&gt;0,SUMIFS('月1回_2ヶ月前の在庫'!$O$6:$O$10005,'月1回_2ヶ月前の在庫'!$V$6:$V$10005,'設定'!$C$4,'月1回_2ヶ月前の在庫'!$W$6:$W$10005,$C326)/COUNTIFS('月1回_2ヶ月前の在庫'!$V$6:$V$10005,'設定'!$C$4,'月1回_2ヶ月前の在庫'!$W$6:$W$10005,$C326),0)))),"")))</f>
        <v/>
      </c>
      <c r="P326" s="90">
        <f>IF($C326="","",IF('②発注する'!$I330="","",'②発注する'!$I330))</f>
        <v/>
      </c>
      <c r="Q326">
        <f>IF($C326="","",IF('②発注する'!$J330="","",'②発注する'!$J330))</f>
        <v/>
      </c>
      <c r="R326">
        <f>IF($C326="",0,IF(AND(ISNUMBER($P326),ISNUMBER($Q326)),MAX(0,$Q326)*$G326,0))</f>
        <v/>
      </c>
      <c r="S326" s="90">
        <f>IF($C326="","",IF('②発注する'!$M330="","",'②発注する'!$M330))</f>
        <v/>
      </c>
      <c r="T326">
        <f>IF($C326="","",IF('②発注する'!$N330="","",'②発注する'!$N330))</f>
        <v/>
      </c>
      <c r="U326">
        <f>IF($C326="",0,IF(AND(ISNUMBER($S326),ISNUMBER($T326)),MAX(0,$T326)*$G326,0))</f>
        <v/>
      </c>
      <c r="V326">
        <f>IF($C326="",0,IF($M326="",0,MAX(0,$M326)*MAX(0,V$4)/100))</f>
        <v/>
      </c>
      <c r="W326">
        <f>IF($C326="",0,IF($M326="",0,MAX(0,$M326)*MAX(0,W$4)/100))</f>
        <v/>
      </c>
      <c r="X326">
        <f>IF($C326="",0,IF($M326="",0,MAX(0,$M326)*MAX(0,X$4)/100))</f>
        <v/>
      </c>
      <c r="Y326">
        <f>IF($C326="",0,IF($M326="",0,MAX(0,$M326)*MAX(0,Y$4)/100))</f>
        <v/>
      </c>
      <c r="Z326">
        <f>IF($C326="",0,IF($M326="",0,MAX(0,$M326)*MAX(0,Z$4)/100))</f>
        <v/>
      </c>
      <c r="AA326">
        <f>IF($C326="",0,IF($M326="",0,MAX(0,$M326)*MAX(0,AA$4)/100))</f>
        <v/>
      </c>
      <c r="AB326">
        <f>IF($C326="",0,IF($M326="",0,MAX(0,$M326)*MAX(0,AB$4)/100))</f>
        <v/>
      </c>
      <c r="AC326">
        <f>IF($C326="",0,IF($M326="",0,MAX(0,$M326)*MAX(0,AC$4)/100))</f>
        <v/>
      </c>
      <c r="AD326">
        <f>IF($C326="",0,IF($M326="",0,MAX(0,$M326)*MAX(0,AD$4)/100))</f>
        <v/>
      </c>
      <c r="AE326">
        <f>IF($C326="",0,IF($M326="",0,MAX(0,$M326)*MAX(0,AE$4)/100))</f>
        <v/>
      </c>
      <c r="AF326">
        <f>IF($C326="",0,IF($M326="",0,MAX(0,$M326)*MAX(0,AF$4)/100))</f>
        <v/>
      </c>
      <c r="AG326">
        <f>IF($C326="",0,IF($M326="",0,MAX(0,$M326)*MAX(0,AG$4)/100))</f>
        <v/>
      </c>
      <c r="AH326">
        <f>IF($C326="",0,IF($M326="",0,MAX(0,$M326)*MAX(0,AH$4)/100))</f>
        <v/>
      </c>
      <c r="AI326">
        <f>IF($C326="",0,IF($M326="",0,MAX(0,$M326)*MAX(0,AI$4)/100))</f>
        <v/>
      </c>
      <c r="AJ326">
        <f>IF($C326="",0,MAX(0,MAX(0,N($L326))-$V326))</f>
        <v/>
      </c>
      <c r="AK326">
        <f>IF($C326="",0,MAX(0,$AJ326-$W326))</f>
        <v/>
      </c>
      <c r="AL326">
        <f>IF($C326="",0,MAX(0,$AK326-$X326))</f>
        <v/>
      </c>
      <c r="AM326">
        <f>IF($C326="",0,MAX(0,$AL326-$Y326))</f>
        <v/>
      </c>
      <c r="AN326">
        <f>IF($C326="",0,MAX(0,$AM326-$Z326))</f>
        <v/>
      </c>
      <c r="AO326">
        <f>IF($C326="",0,MAX(0,$AN326-$AA326))</f>
        <v/>
      </c>
      <c r="AP326">
        <f>IF($C326="",0,MAX(0,$AO326-$AB326))</f>
        <v/>
      </c>
      <c r="AQ326">
        <f>IF($C326="",0,MAX(0,$AP326-$AC326))</f>
        <v/>
      </c>
      <c r="AR326">
        <f>IF($C326="",0,MAX(0,$AQ326-$AD326))</f>
        <v/>
      </c>
      <c r="AS326">
        <f>IF($C326="",0,MAX(0,$AR326-$AE326))</f>
        <v/>
      </c>
      <c r="AT326">
        <f>IF($C326="",0,MAX(0,$AS326-$AF326))</f>
        <v/>
      </c>
      <c r="AU326">
        <f>IF($C326="",0,MAX(0,$AT326-$AG326))</f>
        <v/>
      </c>
      <c r="AV326">
        <f>IF($C326="",0,MAX(0,$AU326-$AH326))</f>
        <v/>
      </c>
      <c r="AW326">
        <f>IF($C326="",0,MAX(0,$AV326-$AI326))</f>
        <v/>
      </c>
      <c r="AX326">
        <f>IF($C326="",0,MAX(0,MAX(0,N($L326))+IF($P326=V$3,$R326,0)+IF($S326=V$3,$U326,0)-$V326))</f>
        <v/>
      </c>
      <c r="AY326">
        <f>IF($C326="",0,MAX(0,$AX326+IF($P326=W$3,$R326,0)+IF($S326=W$3,$U326,0)-$W326))</f>
        <v/>
      </c>
      <c r="AZ326">
        <f>IF($C326="",0,MAX(0,$AY326+IF($P326=X$3,$R326,0)+IF($S326=X$3,$U326,0)-$X326))</f>
        <v/>
      </c>
      <c r="BA326">
        <f>IF($C326="",0,MAX(0,$AZ326+IF($P326=Y$3,$R326,0)+IF($S326=Y$3,$U326,0)-$Y326))</f>
        <v/>
      </c>
      <c r="BB326">
        <f>IF($C326="",0,MAX(0,$BA326+IF($P326=Z$3,$R326,0)+IF($S326=Z$3,$U326,0)-$Z326))</f>
        <v/>
      </c>
      <c r="BC326">
        <f>IF($C326="",0,MAX(0,$BB326+IF($P326=AA$3,$R326,0)+IF($S326=AA$3,$U326,0)-$AA326))</f>
        <v/>
      </c>
      <c r="BD326">
        <f>IF($C326="",0,MAX(0,$BC326+IF($P326=AB$3,$R326,0)+IF($S326=AB$3,$U326,0)-$AB326))</f>
        <v/>
      </c>
      <c r="BE326">
        <f>IF($C326="",0,MAX(0,$BD326+IF($P326=AC$3,$R326,0)+IF($S326=AC$3,$U326,0)-$AC326))</f>
        <v/>
      </c>
      <c r="BF326">
        <f>IF($C326="",0,MAX(0,$BE326+IF($P326=AD$3,$R326,0)+IF($S326=AD$3,$U326,0)-$AD326))</f>
        <v/>
      </c>
      <c r="BG326">
        <f>IF($C326="",0,MAX(0,$BF326+IF($P326=AE$3,$R326,0)+IF($S326=AE$3,$U326,0)-$AE326))</f>
        <v/>
      </c>
      <c r="BH326">
        <f>IF($C326="",0,MAX(0,$BG326+IF($P326=AF$3,$R326,0)+IF($S326=AF$3,$U326,0)-$AF326))</f>
        <v/>
      </c>
      <c r="BI326">
        <f>IF($C326="",0,MAX(0,$BH326+IF($P326=AG$3,$R326,0)+IF($S326=AG$3,$U326,0)-$AG326))</f>
        <v/>
      </c>
      <c r="BJ326">
        <f>IF($C326="",0,MAX(0,$BI326+IF($P326=AH$3,$R326,0)+IF($S326=AH$3,$U326,0)-$AH326))</f>
        <v/>
      </c>
      <c r="BK326">
        <f>IF($C326="",0,MAX(0,$BJ326+IF($P326=AI$3,$R326,0)+IF($S326=AI$3,$U326,0)-$AI326))</f>
        <v/>
      </c>
      <c r="BL326">
        <f>IF($C326="",99,IF(AND($AX326&lt;1,V$3&gt;=MAX(N($P326),N($S326))),0,99))</f>
        <v/>
      </c>
      <c r="BM326">
        <f>IF($C326="",99,IF(AND($AY326&lt;1,W$3&gt;=MAX(N($P326),N($S326))),1,99))</f>
        <v/>
      </c>
      <c r="BN326">
        <f>IF($C326="",99,IF(AND($AZ326&lt;1,X$3&gt;=MAX(N($P326),N($S326))),2,99))</f>
        <v/>
      </c>
      <c r="BO326">
        <f>IF($C326="",99,IF(AND($BA326&lt;1,Y$3&gt;=MAX(N($P326),N($S326))),3,99))</f>
        <v/>
      </c>
      <c r="BP326">
        <f>IF($C326="",99,IF(AND($BB326&lt;1,Z$3&gt;=MAX(N($P326),N($S326))),4,99))</f>
        <v/>
      </c>
      <c r="BQ326">
        <f>IF($C326="",99,IF(AND($BC326&lt;1,AA$3&gt;=MAX(N($P326),N($S326))),5,99))</f>
        <v/>
      </c>
      <c r="BR326">
        <f>IF($C326="",99,IF(AND($BD326&lt;1,AB$3&gt;=MAX(N($P326),N($S326))),6,99))</f>
        <v/>
      </c>
      <c r="BS326">
        <f>IF($C326="",99,IF(AND($BE326&lt;1,AC$3&gt;=MAX(N($P326),N($S326))),7,99))</f>
        <v/>
      </c>
      <c r="BT326">
        <f>IF($C326="",99,IF(AND($BF326&lt;1,AD$3&gt;=MAX(N($P326),N($S326))),8,99))</f>
        <v/>
      </c>
      <c r="BU326">
        <f>IF($C326="",99,IF(AND($BG326&lt;1,AE$3&gt;=MAX(N($P326),N($S326))),9,99))</f>
        <v/>
      </c>
      <c r="BV326">
        <f>IF($C326="",99,IF(AND($BH326&lt;1,AF$3&gt;=MAX(N($P326),N($S326))),10,99))</f>
        <v/>
      </c>
      <c r="BW326">
        <f>IF($C326="",99,IF(AND($BI326&lt;1,AG$3&gt;=MAX(N($P326),N($S326))),11,99))</f>
        <v/>
      </c>
      <c r="BX326">
        <f>IF($C326="",99,IF(AND($BJ326&lt;1,AH$3&gt;=MAX(N($P326),N($S326))),12,99))</f>
        <v/>
      </c>
      <c r="BY326">
        <f>IF($C326="",99,IF(AND($BK326&lt;1,AI$3&gt;=MAX(N($P326),N($S326))),13,99))</f>
        <v/>
      </c>
      <c r="BZ326">
        <f>IF(OR($C326="",$M326=""),"",COUNTIF($AJ326:$AW326,"&gt;=1"))</f>
        <v/>
      </c>
      <c r="CA326" s="90">
        <f>IF($BZ326="","",IF($BZ326&gt;=14,"",'設定'!$C$6+$BZ326))</f>
        <v/>
      </c>
      <c r="CB326">
        <f>IF(OR($C326="",$M326=""),"",MIN($BL326:$BY326))</f>
        <v/>
      </c>
      <c r="CC326" s="90">
        <f>IF($CB326="","",IF($CB326&gt;=99,"",'設定'!$C$6+$CB326))</f>
        <v/>
      </c>
      <c r="CD326">
        <f>IF(OR($C326="",$M326=""),"",AVERAGE($V326:$AI326))</f>
        <v/>
      </c>
      <c r="CE326">
        <f>IF($C326="","",IFERROR(IF(MATCH(IF(ISNUMBER($P326),$P326,'設定'!$C$6+N('設定'!$C$7)),$V$3:$AI$3,0)=1,MAX(0,N($L326)),INDEX($AJ326:$AW326,MATCH(IF(ISNUMBER($P326),$P326,'設定'!$C$6+N('設定'!$C$7)),$V$3:$AI$3,0)-1)),""))</f>
        <v/>
      </c>
      <c r="CF326">
        <f>IF(OR($C326="",$O326="",$CE326=""),"",IF($O326-$CE326&lt;=0,0,ROUNDUP(($O326-$CE326)/$G326,0)))</f>
        <v/>
      </c>
      <c r="CG326">
        <f>IF(OR($C326="",$CF326="",NOT(ISNUMBER($Q326))),0,MAX(0,$Q326-$CF326))</f>
        <v/>
      </c>
      <c r="CH326">
        <f>IF(OR($C326="",$O326="",$U326=0),0,IFERROR(ROUNDUP(MAX(0,IF(MATCH($S326,$V$3:$AI$3,0)=1,MAX(0,N($L326)),INDEX($AX326:$BK326,MATCH($S326,$V$3:$AI$3,0)-1))+$U326-$O326)/$G326,0),0))</f>
        <v/>
      </c>
      <c r="CI326">
        <f>IF($C326="","",IF(AND($P326="",$Q326=""),"",IF($P326="","⚠ 入庫日を ▼ から選んでください",IF(NOT(ISNUMBER($P326)),"⚠ 入庫日は ▼ から選んでください",IF($P326&lt;N('設定'!$C$6),"⚠ 入庫日が過去です（もう在庫に入っています）→ 消してください",IF($P326&gt;N('設定'!$C$6)+13,"⚠ 入庫日が14日より先です",IF(N($Q326)&lt;=0,"⚠ 入庫数を入れてください",IF($CG326&gt;0,"⚠ 目安より "&amp;$CG326&amp;" 多い（定数を超える）→ 減らす",""))))))))</f>
        <v/>
      </c>
      <c r="CJ326">
        <f>IF($C326="","",IF(AND($S326="",$T326=""),"",IF($S326="","⚠ 2便目：入庫日を ▼ から選んでください",IF(NOT(ISNUMBER($S326)),"⚠ 2便目：入庫日は ▼ から選んでください",IF($S326&lt;N('設定'!$C$6),"⚠ 2便目：入庫日が過去です（もう在庫に入っています）→ 消してください",IF($S326&gt;N('設定'!$C$6)+13,"⚠ 2便目：入庫日が14日より先です",IF(N($T326)&lt;=0,"⚠ 2便目：入庫数を入れてください",IF($CH326&gt;0,"⚠ 2便目：定数を "&amp;$CH326&amp;" ケース超える → 減らす",""))))))))</f>
        <v/>
      </c>
      <c r="CK326">
        <f>IF(AND($CI326="",N($Q326)&gt;0,ISNUMBER($P326)),1,0)</f>
        <v/>
      </c>
      <c r="CL326">
        <f>IF(AND($CJ326="",N($T326)&gt;0,ISNUMBER($S326)),1,0)</f>
        <v/>
      </c>
      <c r="CM326">
        <f>IF(OR($CK326=1,$CL326=1),1,0)</f>
        <v/>
      </c>
      <c r="CN326">
        <f>IF($C326="",0,($CK326*$R326+$CL326*$U326)*N($H326))</f>
        <v/>
      </c>
      <c r="CO326">
        <f>IF($C326="","",IF($CC326="","入庫後は 14日以上もつ",IF($CC326-N('設定'!$C$7)&lt;='設定'!$C$6,"入庫後も "&amp;TEXT($CC326,"m/d")&amp;"("&amp;CHOOSE(WEEKDAY($CC326),"日","月","火","水","木","金","土")&amp;")"&amp;" に切れる　もう1便を至急発注","入庫後も "&amp;TEXT($CC326,"m/d")&amp;"("&amp;CHOOSE(WEEKDAY($CC326),"日","月","火","水","木","金","土")&amp;")"&amp;" に切れる　"&amp;TEXT($CC326-N('設定'!$C$7),"m/d")&amp;"("&amp;CHOOSE(WEEKDAY($CC326-N('設定'!$C$7)),"日","月","火","水","木","金","土")&amp;")"&amp;" までに次を発注")))</f>
        <v/>
      </c>
      <c r="CP326">
        <f>IF($C326="","",IF('設定'!$C$6="","？ ①在庫を貼る に今日のCSVが貼られていない",IF($CS326=1,"－ 今日のCSVに無い（終売？）",IF($L326&lt;0,"● 在庫がマイナス　数えて「数えた在庫」に入れる",IF($L326=0,"● 在庫なし　至急発注",IF($M326="","？ 減り数が未設定（商品マスタ）",IF($B$3=0,"？ 動員が未入力（動員を入れる）",IF($CA326="","○ 14日以上もつ",IF($BZ326&lt;N('設定'!$C$7),"● "&amp;TEXT($CA326,"m/d")&amp;"("&amp;CHOOSE(WEEKDAY($CA326),"日","月","火","水","木","金","土")&amp;")"&amp;" に切れる　至急発注",IF($BZ326=N('設定'!$C$7),"● "&amp;TEXT($CA326,"m/d")&amp;"("&amp;CHOOSE(WEEKDAY($CA326),"日","月","火","水","木","金","土")&amp;")"&amp;" に切れる　今日発注","△ "&amp;TEXT($CA326,"m/d")&amp;"("&amp;CHOOSE(WEEKDAY($CA326),"日","月","火","水","木","金","土")&amp;")"&amp;" に切れる　"&amp;TEXT($CA326-N('設定'!$C$7),"m/d")&amp;"("&amp;CHOOSE(WEEKDAY($CA326-N('設定'!$C$7)),"日","月","火","水","木","金","土")&amp;")"&amp;" までに発注"))))))))))</f>
        <v/>
      </c>
      <c r="CQ326">
        <f>IF($C326="","",IF(AND($P326="",$Q326="",$S326="",$T326=""),"",IF(AND($P326="",$Q326=""),"⚠ 先に1便目（左の入庫日・入庫数）に入れてください",IF($CI326&lt;&gt;"",$CI326,IF($CJ326&lt;&gt;"",$CJ326,IF($M326="","？ 減り数が未設定（発注書には載ります）",IF($B$3=0,"？ 動員が未入力（発注書には載ります）",IF(AND($CA326&lt;&gt;"",$P326&gt;$CA326),IF($P326&gt;'設定'!$C$6+N('設定'!$C$7),"● "&amp;TEXT($P326,"m/d")&amp;"("&amp;CHOOSE(WEEKDAY($P326),"日","月","火","水","木","金","土")&amp;")"&amp;" の入庫では間に合わない（"&amp;TEXT($CA326,"m/d")&amp;"("&amp;CHOOSE(WEEKDAY($CA326),"日","月","火","水","木","金","土")&amp;")"&amp;" に切れる）　入庫日を早める","△ 欠品 "&amp;TEXT($CA326,"m/d")&amp;"("&amp;CHOOSE(WEEKDAY($CA326),"日","月","火","水","木","金","土")&amp;")"&amp;"〜"&amp;TEXT($P326-1,"m/d")&amp;"("&amp;CHOOSE(WEEKDAY($P326-1),"日","月","火","水","木","金","土")&amp;")"&amp;"　"&amp;$CO326),IF($CC326="","○ "&amp;TEXT($P326,"m/d")&amp;"("&amp;CHOOSE(WEEKDAY($P326),"日","月","火","水","木","金","土")&amp;")"&amp;" 入庫で 14日以上もつ",IF($CC326-N('設定'!$C$7)&lt;='設定'!$C$6,"● 入庫しても "&amp;TEXT($CC326,"m/d")&amp;"("&amp;CHOOSE(WEEKDAY($CC326),"日","月","火","水","木","金","土")&amp;")"&amp;" に切れる　もう1便を至急発注（2便目に入れる）","△ 入庫しても "&amp;TEXT($CC326,"m/d")&amp;"("&amp;CHOOSE(WEEKDAY($CC326),"日","月","火","水","木","金","土")&amp;")"&amp;" に切れる　"&amp;TEXT($CC326-N('設定'!$C$7),"m/d")&amp;"("&amp;CHOOSE(WEEKDAY($CC326-N('設定'!$C$7)),"日","月","火","水","木","金","土")&amp;")"&amp;" までに次を発注（2便目に入れる）"))))))))))</f>
        <v/>
      </c>
      <c r="CR326">
        <f>IF($C326="","",IF($G326&gt;1,"ｹｰｽ("&amp;$G326&amp;"入)","個"))</f>
        <v/>
      </c>
      <c r="CS326">
        <f>IF($C326="",0,IF(COUNTIFS('①在庫を貼る'!$V$6:$V$10005,'設定'!$C$4,'①在庫を貼る'!$W$6:$W$10005,$C326)=0,1,0))</f>
        <v/>
      </c>
      <c r="CT326">
        <f>IF(AND($CK326=1,OR('③発注書'!$C$4="すべて",'③発注書'!$C$4="",$F326='③発注書'!$C$4)),N($CT325)+1,N($CT325))</f>
        <v/>
      </c>
      <c r="CU326">
        <f>IF(AND($CL326=1,OR('③発注書'!$C$4="すべて",'③発注書'!$C$4="",$F326='③発注書'!$C$4)),N($CU325)+1,N($CU325))</f>
        <v/>
      </c>
      <c r="CV326">
        <f>IF($C326="",0,IF(COUNTIFS('①在庫を貼る'!$V$6:$V$10005,'設定'!$C$4,'①在庫を貼る'!$W$6:$W$10005,$C326)&gt;0,1,0))</f>
        <v/>
      </c>
      <c r="CW326">
        <f>IF($C326="",0,IF(COUNTIFS('月1回_1ヶ月前の在庫'!$V$6:$V$10005,'設定'!$C$4,'月1回_1ヶ月前の在庫'!$W$6:$W$10005,$C326)&gt;0,1,0))</f>
        <v/>
      </c>
      <c r="CX326">
        <f>IF($C326="",0,IF(COUNTIFS('月1回_2ヶ月前の在庫'!$V$6:$V$10005,'設定'!$C$4,'月1回_2ヶ月前の在庫'!$W$6:$W$10005,$C326)&gt;0,1,0))</f>
        <v/>
      </c>
      <c r="CY326">
        <f>IF(OR($C326="",'設定'!$C$12=""),"",IF('設定'!$C$13="",IF(AND($CV326=1,$CW326=0),"新商品（今月から）",IF(AND($CV326=0,$CW326=1),"終売（今月から）","")),IF(AND($CV326=1,$CW326=0,$CX326=0),"新商品（今月から）",IF(AND($CV326=1,$CW326=1,$CX326=0),"新商品（先月から）",IF(AND($CV326=0,$CW326=1,$CX326=1),"終売（今月から）",IF(AND($CV326=0,$CW326=0,$CX326=1),"終売（先月から）",IF(AND($CV326=1,$CW326=0,$CX326=1),"復活（先月は無し）","")))))))</f>
        <v/>
      </c>
    </row>
    <row r="327">
      <c r="B327">
        <f>IF(322&lt;='設定'!$C$11,322,"")</f>
        <v/>
      </c>
      <c r="C327">
        <f>IF($B327="","",IF($B327&lt;='設定'!$C$20,INDEX('商品マスタ'!$B$6:$B$1005,MATCH($B327,'商品マスタ'!$M$6:$M$1005,0)),IF($B327&lt;='設定'!$C$20+'設定'!$C$17,INDEX('①在庫を貼る'!$W$6:$W$10005,MATCH($B327-'設定'!$C$20,'①在庫を貼る'!$U$6:$U$10005,0)),IF($B327&lt;='設定'!$C$20+'設定'!$C$17+'設定'!$C$18,INDEX('月1回_1ヶ月前の在庫'!$W$6:$W$10005,MATCH($B327-'設定'!$C$20-'設定'!$C$17,'月1回_1ヶ月前の在庫'!$U$6:$U$10005,0)),INDEX('月1回_2ヶ月前の在庫'!$W$6:$W$10005,MATCH($B327-'設定'!$C$20-'設定'!$C$17-'設定'!$C$18,'月1回_2ヶ月前の在庫'!$U$6:$U$10005,0))))))</f>
        <v/>
      </c>
      <c r="D327">
        <f>IF($C327="","",IFERROR(IF(INDEX('商品マスタ'!$C$6:$C$1005,MATCH($C327,'商品マスタ'!$B$6:$B$1005,0))="",IFERROR(INDEX('①在庫を貼る'!$J$6:$J$10005,MATCH($C327,'①在庫を貼る'!$W$6:$W$10005,0)),IFERROR(INDEX('月1回_1ヶ月前の在庫'!$J$6:$J$10005,MATCH($C327,'月1回_1ヶ月前の在庫'!$W$6:$W$10005,0)),IFERROR(INDEX('月1回_2ヶ月前の在庫'!$J$6:$J$10005,MATCH($C327,'月1回_2ヶ月前の在庫'!$W$6:$W$10005,0)),""))),INDEX('商品マスタ'!$C$6:$C$1005,MATCH($C327,'商品マスタ'!$B$6:$B$1005,0))),IFERROR(INDEX('①在庫を貼る'!$J$6:$J$10005,MATCH($C327,'①在庫を貼る'!$W$6:$W$10005,0)),IFERROR(INDEX('月1回_1ヶ月前の在庫'!$J$6:$J$10005,MATCH($C327,'月1回_1ヶ月前の在庫'!$W$6:$W$10005,0)),IFERROR(INDEX('月1回_2ヶ月前の在庫'!$J$6:$J$10005,MATCH($C327,'月1回_2ヶ月前の在庫'!$W$6:$W$10005,0)),"")))))</f>
        <v/>
      </c>
      <c r="E327">
        <f>IF($C327="","",IFERROR(IF(INDEX('商品マスタ'!$D$6:$D$1005,MATCH($C327,'商品マスタ'!$B$6:$B$1005,0))="",IFERROR(INDEX('①在庫を貼る'!$H$6:$H$10005,MATCH($C327,'①在庫を貼る'!$W$6:$W$10005,0)),IFERROR(INDEX('月1回_1ヶ月前の在庫'!$H$6:$H$10005,MATCH($C327,'月1回_1ヶ月前の在庫'!$W$6:$W$10005,0)),IFERROR(INDEX('月1回_2ヶ月前の在庫'!$H$6:$H$10005,MATCH($C327,'月1回_2ヶ月前の在庫'!$W$6:$W$10005,0)),""))),INDEX('商品マスタ'!$D$6:$D$1005,MATCH($C327,'商品マスタ'!$B$6:$B$1005,0))),IFERROR(INDEX('①在庫を貼る'!$H$6:$H$10005,MATCH($C327,'①在庫を貼る'!$W$6:$W$10005,0)),IFERROR(INDEX('月1回_1ヶ月前の在庫'!$H$6:$H$10005,MATCH($C327,'月1回_1ヶ月前の在庫'!$W$6:$W$10005,0)),IFERROR(INDEX('月1回_2ヶ月前の在庫'!$H$6:$H$10005,MATCH($C327,'月1回_2ヶ月前の在庫'!$W$6:$W$10005,0)),"")))))</f>
        <v/>
      </c>
      <c r="F327">
        <f>IF($C327="","",IFERROR(IF(INDEX('商品マスタ'!$E$6:$E$1005,MATCH($C327,'商品マスタ'!$B$6:$B$1005,0))="",IFERROR(INDEX('①在庫を貼る'!$E$6:$E$10005,MATCH($C327,'①在庫を貼る'!$W$6:$W$10005,0)),IFERROR(INDEX('月1回_1ヶ月前の在庫'!$E$6:$E$10005,MATCH($C327,'月1回_1ヶ月前の在庫'!$W$6:$W$10005,0)),IFERROR(INDEX('月1回_2ヶ月前の在庫'!$E$6:$E$10005,MATCH($C327,'月1回_2ヶ月前の在庫'!$W$6:$W$10005,0)),""))),INDEX('商品マスタ'!$E$6:$E$1005,MATCH($C327,'商品マスタ'!$B$6:$B$1005,0))),IFERROR(INDEX('①在庫を貼る'!$E$6:$E$10005,MATCH($C327,'①在庫を貼る'!$W$6:$W$10005,0)),IFERROR(INDEX('月1回_1ヶ月前の在庫'!$E$6:$E$10005,MATCH($C327,'月1回_1ヶ月前の在庫'!$W$6:$W$10005,0)),IFERROR(INDEX('月1回_2ヶ月前の在庫'!$E$6:$E$10005,MATCH($C327,'月1回_2ヶ月前の在庫'!$W$6:$W$10005,0)),"")))))</f>
        <v/>
      </c>
      <c r="G327">
        <f>IF($C327="","",MAX(1,N(IFERROR(IF(INDEX('商品マスタ'!$F$6:$F$1005,MATCH($C327,'商品マスタ'!$B$6:$B$1005,0))="",IF(COUNTIFS('①在庫を貼る'!$V$6:$V$10005,'設定'!$C$4,'①在庫を貼る'!$W$6:$W$10005,$C327)&gt;0,SUMIFS('①在庫を貼る'!$K$6:$K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K$6:$K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K$6:$K$10005,'月1回_2ヶ月前の在庫'!$V$6:$V$10005,'設定'!$C$4,'月1回_2ヶ月前の在庫'!$W$6:$W$10005,$C327)/COUNTIFS('月1回_2ヶ月前の在庫'!$V$6:$V$10005,'設定'!$C$4,'月1回_2ヶ月前の在庫'!$W$6:$W$10005,$C327),0))),INDEX('商品マスタ'!$F$6:$F$1005,MATCH($C327,'商品マスタ'!$B$6:$B$1005,0))),IF(COUNTIFS('①在庫を貼る'!$V$6:$V$10005,'設定'!$C$4,'①在庫を貼る'!$W$6:$W$10005,$C327)&gt;0,SUMIFS('①在庫を貼る'!$K$6:$K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K$6:$K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K$6:$K$10005,'月1回_2ヶ月前の在庫'!$V$6:$V$10005,'設定'!$C$4,'月1回_2ヶ月前の在庫'!$W$6:$W$10005,$C327)/COUNTIFS('月1回_2ヶ月前の在庫'!$V$6:$V$10005,'設定'!$C$4,'月1回_2ヶ月前の在庫'!$W$6:$W$10005,$C327),0)))))))</f>
        <v/>
      </c>
      <c r="H327">
        <f>IF($C327="","",N(IFERROR(IF(INDEX('商品マスタ'!$G$6:$G$1005,MATCH($C327,'商品マスタ'!$B$6:$B$1005,0))="",IF(COUNTIFS('①在庫を貼る'!$V$6:$V$10005,'設定'!$C$4,'①在庫を貼る'!$W$6:$W$10005,$C327)&gt;0,SUMIFS('①在庫を貼る'!$Q$6:$Q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Q$6:$Q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Q$6:$Q$10005,'月1回_2ヶ月前の在庫'!$V$6:$V$10005,'設定'!$C$4,'月1回_2ヶ月前の在庫'!$W$6:$W$10005,$C327)/COUNTIFS('月1回_2ヶ月前の在庫'!$V$6:$V$10005,'設定'!$C$4,'月1回_2ヶ月前の在庫'!$W$6:$W$10005,$C327),0))),INDEX('商品マスタ'!$G$6:$G$1005,MATCH($C327,'商品マスタ'!$B$6:$B$1005,0))),IF(COUNTIFS('①在庫を貼る'!$V$6:$V$10005,'設定'!$C$4,'①在庫を貼る'!$W$6:$W$10005,$C327)&gt;0,SUMIFS('①在庫を貼る'!$Q$6:$Q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Q$6:$Q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Q$6:$Q$10005,'月1回_2ヶ月前の在庫'!$V$6:$V$10005,'設定'!$C$4,'月1回_2ヶ月前の在庫'!$W$6:$W$10005,$C327)/COUNTIFS('月1回_2ヶ月前の在庫'!$V$6:$V$10005,'設定'!$C$4,'月1回_2ヶ月前の在庫'!$W$6:$W$10005,$C327),0))))))</f>
        <v/>
      </c>
      <c r="I327">
        <f>IF($C327="","",IF(COUNTIFS('①在庫を貼る'!$V$6:$V$10005,'設定'!$C$4,'①在庫を貼る'!$W$6:$W$10005,$C327)=0,"",SUMIFS('①在庫を貼る'!$N$6:$N$10005,'①在庫を貼る'!$V$6:$V$10005,'設定'!$C$4,'①在庫を貼る'!$W$6:$W$10005,$C327)))</f>
        <v/>
      </c>
      <c r="J327">
        <f>IF($C327="","",IF('②発注する'!$AD331="","",'②発注する'!$AD331))</f>
        <v/>
      </c>
      <c r="K327" s="90">
        <f>IF($C327="","",IF('②発注する'!$AE331="","",'②発注する'!$AE331))</f>
        <v/>
      </c>
      <c r="L327">
        <f>IF($C327="","",IF(AND(ISNUMBER($J327),ISNUMBER($K327),$K327&gt;='設定'!$C$6),$J327,N($I327)))</f>
        <v/>
      </c>
      <c r="M327">
        <f>IF($C327="","",IFERROR(IF(N(INDEX('商品マスタ'!$J$6:$J$1005,MATCH($C327,'商品マスタ'!$B$6:$B$1005,0)))&gt;0,INDEX('商品マスタ'!$J$6:$J$1005,MATCH($C327,'商品マスタ'!$B$6:$B$1005,0)),""),""))</f>
        <v/>
      </c>
      <c r="N327">
        <f>IF($C327="","",IFERROR(IF(N(INDEX('商品マスタ'!$H$6:$H$1005,MATCH($C327,'商品マスタ'!$B$6:$B$1005,0)))&gt;0,INDEX('商品マスタ'!$H$6:$H$1005,MATCH($C327,'商品マスタ'!$B$6:$B$1005,0)),""),""))</f>
        <v/>
      </c>
      <c r="O327">
        <f>IF($C327="","",IF($N327&lt;&gt;"",$N327*$G327,IF(N(IF(COUNTIFS('①在庫を貼る'!$V$6:$V$10005,'設定'!$C$4,'①在庫を貼る'!$W$6:$W$10005,$C327)&gt;0,SUMIFS('①在庫を貼る'!$O$6:$O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O$6:$O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O$6:$O$10005,'月1回_2ヶ月前の在庫'!$V$6:$V$10005,'設定'!$C$4,'月1回_2ヶ月前の在庫'!$W$6:$W$10005,$C327)/COUNTIFS('月1回_2ヶ月前の在庫'!$V$6:$V$10005,'設定'!$C$4,'月1回_2ヶ月前の在庫'!$W$6:$W$10005,$C327),0))))&gt;0,N(IF(COUNTIFS('①在庫を貼る'!$V$6:$V$10005,'設定'!$C$4,'①在庫を貼る'!$W$6:$W$10005,$C327)&gt;0,SUMIFS('①在庫を貼る'!$O$6:$O$10005,'①在庫を貼る'!$V$6:$V$10005,'設定'!$C$4,'①在庫を貼る'!$W$6:$W$10005,$C327)/COUNTIFS('①在庫を貼る'!$V$6:$V$10005,'設定'!$C$4,'①在庫を貼る'!$W$6:$W$10005,$C327),IF(COUNTIFS('月1回_1ヶ月前の在庫'!$V$6:$V$10005,'設定'!$C$4,'月1回_1ヶ月前の在庫'!$W$6:$W$10005,$C327)&gt;0,SUMIFS('月1回_1ヶ月前の在庫'!$O$6:$O$10005,'月1回_1ヶ月前の在庫'!$V$6:$V$10005,'設定'!$C$4,'月1回_1ヶ月前の在庫'!$W$6:$W$10005,$C327)/COUNTIFS('月1回_1ヶ月前の在庫'!$V$6:$V$10005,'設定'!$C$4,'月1回_1ヶ月前の在庫'!$W$6:$W$10005,$C327),IF(COUNTIFS('月1回_2ヶ月前の在庫'!$V$6:$V$10005,'設定'!$C$4,'月1回_2ヶ月前の在庫'!$W$6:$W$10005,$C327)&gt;0,SUMIFS('月1回_2ヶ月前の在庫'!$O$6:$O$10005,'月1回_2ヶ月前の在庫'!$V$6:$V$10005,'設定'!$C$4,'月1回_2ヶ月前の在庫'!$W$6:$W$10005,$C327)/COUNTIFS('月1回_2ヶ月前の在庫'!$V$6:$V$10005,'設定'!$C$4,'月1回_2ヶ月前の在庫'!$W$6:$W$10005,$C327),0)))),"")))</f>
        <v/>
      </c>
      <c r="P327" s="90">
        <f>IF($C327="","",IF('②発注する'!$I331="","",'②発注する'!$I331))</f>
        <v/>
      </c>
      <c r="Q327">
        <f>IF($C327="","",IF('②発注する'!$J331="","",'②発注する'!$J331))</f>
        <v/>
      </c>
      <c r="R327">
        <f>IF($C327="",0,IF(AND(ISNUMBER($P327),ISNUMBER($Q327)),MAX(0,$Q327)*$G327,0))</f>
        <v/>
      </c>
      <c r="S327" s="90">
        <f>IF($C327="","",IF('②発注する'!$M331="","",'②発注する'!$M331))</f>
        <v/>
      </c>
      <c r="T327">
        <f>IF($C327="","",IF('②発注する'!$N331="","",'②発注する'!$N331))</f>
        <v/>
      </c>
      <c r="U327">
        <f>IF($C327="",0,IF(AND(ISNUMBER($S327),ISNUMBER($T327)),MAX(0,$T327)*$G327,0))</f>
        <v/>
      </c>
      <c r="V327">
        <f>IF($C327="",0,IF($M327="",0,MAX(0,$M327)*MAX(0,V$4)/100))</f>
        <v/>
      </c>
      <c r="W327">
        <f>IF($C327="",0,IF($M327="",0,MAX(0,$M327)*MAX(0,W$4)/100))</f>
        <v/>
      </c>
      <c r="X327">
        <f>IF($C327="",0,IF($M327="",0,MAX(0,$M327)*MAX(0,X$4)/100))</f>
        <v/>
      </c>
      <c r="Y327">
        <f>IF($C327="",0,IF($M327="",0,MAX(0,$M327)*MAX(0,Y$4)/100))</f>
        <v/>
      </c>
      <c r="Z327">
        <f>IF($C327="",0,IF($M327="",0,MAX(0,$M327)*MAX(0,Z$4)/100))</f>
        <v/>
      </c>
      <c r="AA327">
        <f>IF($C327="",0,IF($M327="",0,MAX(0,$M327)*MAX(0,AA$4)/100))</f>
        <v/>
      </c>
      <c r="AB327">
        <f>IF($C327="",0,IF($M327="",0,MAX(0,$M327)*MAX(0,AB$4)/100))</f>
        <v/>
      </c>
      <c r="AC327">
        <f>IF($C327="",0,IF($M327="",0,MAX(0,$M327)*MAX(0,AC$4)/100))</f>
        <v/>
      </c>
      <c r="AD327">
        <f>IF($C327="",0,IF($M327="",0,MAX(0,$M327)*MAX(0,AD$4)/100))</f>
        <v/>
      </c>
      <c r="AE327">
        <f>IF($C327="",0,IF($M327="",0,MAX(0,$M327)*MAX(0,AE$4)/100))</f>
        <v/>
      </c>
      <c r="AF327">
        <f>IF($C327="",0,IF($M327="",0,MAX(0,$M327)*MAX(0,AF$4)/100))</f>
        <v/>
      </c>
      <c r="AG327">
        <f>IF($C327="",0,IF($M327="",0,MAX(0,$M327)*MAX(0,AG$4)/100))</f>
        <v/>
      </c>
      <c r="AH327">
        <f>IF($C327="",0,IF($M327="",0,MAX(0,$M327)*MAX(0,AH$4)/100))</f>
        <v/>
      </c>
      <c r="AI327">
        <f>IF($C327="",0,IF($M327="",0,MAX(0,$M327)*MAX(0,AI$4)/100))</f>
        <v/>
      </c>
      <c r="AJ327">
        <f>IF($C327="",0,MAX(0,MAX(0,N($L327))-$V327))</f>
        <v/>
      </c>
      <c r="AK327">
        <f>IF($C327="",0,MAX(0,$AJ327-$W327))</f>
        <v/>
      </c>
      <c r="AL327">
        <f>IF($C327="",0,MAX(0,$AK327-$X327))</f>
        <v/>
      </c>
      <c r="AM327">
        <f>IF($C327="",0,MAX(0,$AL327-$Y327))</f>
        <v/>
      </c>
      <c r="AN327">
        <f>IF($C327="",0,MAX(0,$AM327-$Z327))</f>
        <v/>
      </c>
      <c r="AO327">
        <f>IF($C327="",0,MAX(0,$AN327-$AA327))</f>
        <v/>
      </c>
      <c r="AP327">
        <f>IF($C327="",0,MAX(0,$AO327-$AB327))</f>
        <v/>
      </c>
      <c r="AQ327">
        <f>IF($C327="",0,MAX(0,$AP327-$AC327))</f>
        <v/>
      </c>
      <c r="AR327">
        <f>IF($C327="",0,MAX(0,$AQ327-$AD327))</f>
        <v/>
      </c>
      <c r="AS327">
        <f>IF($C327="",0,MAX(0,$AR327-$AE327))</f>
        <v/>
      </c>
      <c r="AT327">
        <f>IF($C327="",0,MAX(0,$AS327-$AF327))</f>
        <v/>
      </c>
      <c r="AU327">
        <f>IF($C327="",0,MAX(0,$AT327-$AG327))</f>
        <v/>
      </c>
      <c r="AV327">
        <f>IF($C327="",0,MAX(0,$AU327-$AH327))</f>
        <v/>
      </c>
      <c r="AW327">
        <f>IF($C327="",0,MAX(0,$AV327-$AI327))</f>
        <v/>
      </c>
      <c r="AX327">
        <f>IF($C327="",0,MAX(0,MAX(0,N($L327))+IF($P327=V$3,$R327,0)+IF($S327=V$3,$U327,0)-$V327))</f>
        <v/>
      </c>
      <c r="AY327">
        <f>IF($C327="",0,MAX(0,$AX327+IF($P327=W$3,$R327,0)+IF($S327=W$3,$U327,0)-$W327))</f>
        <v/>
      </c>
      <c r="AZ327">
        <f>IF($C327="",0,MAX(0,$AY327+IF($P327=X$3,$R327,0)+IF($S327=X$3,$U327,0)-$X327))</f>
        <v/>
      </c>
      <c r="BA327">
        <f>IF($C327="",0,MAX(0,$AZ327+IF($P327=Y$3,$R327,0)+IF($S327=Y$3,$U327,0)-$Y327))</f>
        <v/>
      </c>
      <c r="BB327">
        <f>IF($C327="",0,MAX(0,$BA327+IF($P327=Z$3,$R327,0)+IF($S327=Z$3,$U327,0)-$Z327))</f>
        <v/>
      </c>
      <c r="BC327">
        <f>IF($C327="",0,MAX(0,$BB327+IF($P327=AA$3,$R327,0)+IF($S327=AA$3,$U327,0)-$AA327))</f>
        <v/>
      </c>
      <c r="BD327">
        <f>IF($C327="",0,MAX(0,$BC327+IF($P327=AB$3,$R327,0)+IF($S327=AB$3,$U327,0)-$AB327))</f>
        <v/>
      </c>
      <c r="BE327">
        <f>IF($C327="",0,MAX(0,$BD327+IF($P327=AC$3,$R327,0)+IF($S327=AC$3,$U327,0)-$AC327))</f>
        <v/>
      </c>
      <c r="BF327">
        <f>IF($C327="",0,MAX(0,$BE327+IF($P327=AD$3,$R327,0)+IF($S327=AD$3,$U327,0)-$AD327))</f>
        <v/>
      </c>
      <c r="BG327">
        <f>IF($C327="",0,MAX(0,$BF327+IF($P327=AE$3,$R327,0)+IF($S327=AE$3,$U327,0)-$AE327))</f>
        <v/>
      </c>
      <c r="BH327">
        <f>IF($C327="",0,MAX(0,$BG327+IF($P327=AF$3,$R327,0)+IF($S327=AF$3,$U327,0)-$AF327))</f>
        <v/>
      </c>
      <c r="BI327">
        <f>IF($C327="",0,MAX(0,$BH327+IF($P327=AG$3,$R327,0)+IF($S327=AG$3,$U327,0)-$AG327))</f>
        <v/>
      </c>
      <c r="BJ327">
        <f>IF($C327="",0,MAX(0,$BI327+IF($P327=AH$3,$R327,0)+IF($S327=AH$3,$U327,0)-$AH327))</f>
        <v/>
      </c>
      <c r="BK327">
        <f>IF($C327="",0,MAX(0,$BJ327+IF($P327=AI$3,$R327,0)+IF($S327=AI$3,$U327,0)-$AI327))</f>
        <v/>
      </c>
      <c r="BL327">
        <f>IF($C327="",99,IF(AND($AX327&lt;1,V$3&gt;=MAX(N($P327),N($S327))),0,99))</f>
        <v/>
      </c>
      <c r="BM327">
        <f>IF($C327="",99,IF(AND($AY327&lt;1,W$3&gt;=MAX(N($P327),N($S327))),1,99))</f>
        <v/>
      </c>
      <c r="BN327">
        <f>IF($C327="",99,IF(AND($AZ327&lt;1,X$3&gt;=MAX(N($P327),N($S327))),2,99))</f>
        <v/>
      </c>
      <c r="BO327">
        <f>IF($C327="",99,IF(AND($BA327&lt;1,Y$3&gt;=MAX(N($P327),N($S327))),3,99))</f>
        <v/>
      </c>
      <c r="BP327">
        <f>IF($C327="",99,IF(AND($BB327&lt;1,Z$3&gt;=MAX(N($P327),N($S327))),4,99))</f>
        <v/>
      </c>
      <c r="BQ327">
        <f>IF($C327="",99,IF(AND($BC327&lt;1,AA$3&gt;=MAX(N($P327),N($S327))),5,99))</f>
        <v/>
      </c>
      <c r="BR327">
        <f>IF($C327="",99,IF(AND($BD327&lt;1,AB$3&gt;=MAX(N($P327),N($S327))),6,99))</f>
        <v/>
      </c>
      <c r="BS327">
        <f>IF($C327="",99,IF(AND($BE327&lt;1,AC$3&gt;=MAX(N($P327),N($S327))),7,99))</f>
        <v/>
      </c>
      <c r="BT327">
        <f>IF($C327="",99,IF(AND($BF327&lt;1,AD$3&gt;=MAX(N($P327),N($S327))),8,99))</f>
        <v/>
      </c>
      <c r="BU327">
        <f>IF($C327="",99,IF(AND($BG327&lt;1,AE$3&gt;=MAX(N($P327),N($S327))),9,99))</f>
        <v/>
      </c>
      <c r="BV327">
        <f>IF($C327="",99,IF(AND($BH327&lt;1,AF$3&gt;=MAX(N($P327),N($S327))),10,99))</f>
        <v/>
      </c>
      <c r="BW327">
        <f>IF($C327="",99,IF(AND($BI327&lt;1,AG$3&gt;=MAX(N($P327),N($S327))),11,99))</f>
        <v/>
      </c>
      <c r="BX327">
        <f>IF($C327="",99,IF(AND($BJ327&lt;1,AH$3&gt;=MAX(N($P327),N($S327))),12,99))</f>
        <v/>
      </c>
      <c r="BY327">
        <f>IF($C327="",99,IF(AND($BK327&lt;1,AI$3&gt;=MAX(N($P327),N($S327))),13,99))</f>
        <v/>
      </c>
      <c r="BZ327">
        <f>IF(OR($C327="",$M327=""),"",COUNTIF($AJ327:$AW327,"&gt;=1"))</f>
        <v/>
      </c>
      <c r="CA327" s="90">
        <f>IF($BZ327="","",IF($BZ327&gt;=14,"",'設定'!$C$6+$BZ327))</f>
        <v/>
      </c>
      <c r="CB327">
        <f>IF(OR($C327="",$M327=""),"",MIN($BL327:$BY327))</f>
        <v/>
      </c>
      <c r="CC327" s="90">
        <f>IF($CB327="","",IF($CB327&gt;=99,"",'設定'!$C$6+$CB327))</f>
        <v/>
      </c>
      <c r="CD327">
        <f>IF(OR($C327="",$M327=""),"",AVERAGE($V327:$AI327))</f>
        <v/>
      </c>
      <c r="CE327">
        <f>IF($C327="","",IFERROR(IF(MATCH(IF(ISNUMBER($P327),$P327,'設定'!$C$6+N('設定'!$C$7)),$V$3:$AI$3,0)=1,MAX(0,N($L327)),INDEX($AJ327:$AW327,MATCH(IF(ISNUMBER($P327),$P327,'設定'!$C$6+N('設定'!$C$7)),$V$3:$AI$3,0)-1)),""))</f>
        <v/>
      </c>
      <c r="CF327">
        <f>IF(OR($C327="",$O327="",$CE327=""),"",IF($O327-$CE327&lt;=0,0,ROUNDUP(($O327-$CE327)/$G327,0)))</f>
        <v/>
      </c>
      <c r="CG327">
        <f>IF(OR($C327="",$CF327="",NOT(ISNUMBER($Q327))),0,MAX(0,$Q327-$CF327))</f>
        <v/>
      </c>
      <c r="CH327">
        <f>IF(OR($C327="",$O327="",$U327=0),0,IFERROR(ROUNDUP(MAX(0,IF(MATCH($S327,$V$3:$AI$3,0)=1,MAX(0,N($L327)),INDEX($AX327:$BK327,MATCH($S327,$V$3:$AI$3,0)-1))+$U327-$O327)/$G327,0),0))</f>
        <v/>
      </c>
      <c r="CI327">
        <f>IF($C327="","",IF(AND($P327="",$Q327=""),"",IF($P327="","⚠ 入庫日を ▼ から選んでください",IF(NOT(ISNUMBER($P327)),"⚠ 入庫日は ▼ から選んでください",IF($P327&lt;N('設定'!$C$6),"⚠ 入庫日が過去です（もう在庫に入っています）→ 消してください",IF($P327&gt;N('設定'!$C$6)+13,"⚠ 入庫日が14日より先です",IF(N($Q327)&lt;=0,"⚠ 入庫数を入れてください",IF($CG327&gt;0,"⚠ 目安より "&amp;$CG327&amp;" 多い（定数を超える）→ 減らす",""))))))))</f>
        <v/>
      </c>
      <c r="CJ327">
        <f>IF($C327="","",IF(AND($S327="",$T327=""),"",IF($S327="","⚠ 2便目：入庫日を ▼ から選んでください",IF(NOT(ISNUMBER($S327)),"⚠ 2便目：入庫日は ▼ から選んでください",IF($S327&lt;N('設定'!$C$6),"⚠ 2便目：入庫日が過去です（もう在庫に入っています）→ 消してください",IF($S327&gt;N('設定'!$C$6)+13,"⚠ 2便目：入庫日が14日より先です",IF(N($T327)&lt;=0,"⚠ 2便目：入庫数を入れてください",IF($CH327&gt;0,"⚠ 2便目：定数を "&amp;$CH327&amp;" ケース超える → 減らす",""))))))))</f>
        <v/>
      </c>
      <c r="CK327">
        <f>IF(AND($CI327="",N($Q327)&gt;0,ISNUMBER($P327)),1,0)</f>
        <v/>
      </c>
      <c r="CL327">
        <f>IF(AND($CJ327="",N($T327)&gt;0,ISNUMBER($S327)),1,0)</f>
        <v/>
      </c>
      <c r="CM327">
        <f>IF(OR($CK327=1,$CL327=1),1,0)</f>
        <v/>
      </c>
      <c r="CN327">
        <f>IF($C327="",0,($CK327*$R327+$CL327*$U327)*N($H327))</f>
        <v/>
      </c>
      <c r="CO327">
        <f>IF($C327="","",IF($CC327="","入庫後は 14日以上もつ",IF($CC327-N('設定'!$C$7)&lt;='設定'!$C$6,"入庫後も "&amp;TEXT($CC327,"m/d")&amp;"("&amp;CHOOSE(WEEKDAY($CC327),"日","月","火","水","木","金","土")&amp;")"&amp;" に切れる　もう1便を至急発注","入庫後も "&amp;TEXT($CC327,"m/d")&amp;"("&amp;CHOOSE(WEEKDAY($CC327),"日","月","火","水","木","金","土")&amp;")"&amp;" に切れる　"&amp;TEXT($CC327-N('設定'!$C$7),"m/d")&amp;"("&amp;CHOOSE(WEEKDAY($CC327-N('設定'!$C$7)),"日","月","火","水","木","金","土")&amp;")"&amp;" までに次を発注")))</f>
        <v/>
      </c>
      <c r="CP327">
        <f>IF($C327="","",IF('設定'!$C$6="","？ ①在庫を貼る に今日のCSVが貼られていない",IF($CS327=1,"－ 今日のCSVに無い（終売？）",IF($L327&lt;0,"● 在庫がマイナス　数えて「数えた在庫」に入れる",IF($L327=0,"● 在庫なし　至急発注",IF($M327="","？ 減り数が未設定（商品マスタ）",IF($B$3=0,"？ 動員が未入力（動員を入れる）",IF($CA327="","○ 14日以上もつ",IF($BZ327&lt;N('設定'!$C$7),"● "&amp;TEXT($CA327,"m/d")&amp;"("&amp;CHOOSE(WEEKDAY($CA327),"日","月","火","水","木","金","土")&amp;")"&amp;" に切れる　至急発注",IF($BZ327=N('設定'!$C$7),"● "&amp;TEXT($CA327,"m/d")&amp;"("&amp;CHOOSE(WEEKDAY($CA327),"日","月","火","水","木","金","土")&amp;")"&amp;" に切れる　今日発注","△ "&amp;TEXT($CA327,"m/d")&amp;"("&amp;CHOOSE(WEEKDAY($CA327),"日","月","火","水","木","金","土")&amp;")"&amp;" に切れる　"&amp;TEXT($CA327-N('設定'!$C$7),"m/d")&amp;"("&amp;CHOOSE(WEEKDAY($CA327-N('設定'!$C$7)),"日","月","火","水","木","金","土")&amp;")"&amp;" までに発注"))))))))))</f>
        <v/>
      </c>
      <c r="CQ327">
        <f>IF($C327="","",IF(AND($P327="",$Q327="",$S327="",$T327=""),"",IF(AND($P327="",$Q327=""),"⚠ 先に1便目（左の入庫日・入庫数）に入れてください",IF($CI327&lt;&gt;"",$CI327,IF($CJ327&lt;&gt;"",$CJ327,IF($M327="","？ 減り数が未設定（発注書には載ります）",IF($B$3=0,"？ 動員が未入力（発注書には載ります）",IF(AND($CA327&lt;&gt;"",$P327&gt;$CA327),IF($P327&gt;'設定'!$C$6+N('設定'!$C$7),"● "&amp;TEXT($P327,"m/d")&amp;"("&amp;CHOOSE(WEEKDAY($P327),"日","月","火","水","木","金","土")&amp;")"&amp;" の入庫では間に合わない（"&amp;TEXT($CA327,"m/d")&amp;"("&amp;CHOOSE(WEEKDAY($CA327),"日","月","火","水","木","金","土")&amp;")"&amp;" に切れる）　入庫日を早める","△ 欠品 "&amp;TEXT($CA327,"m/d")&amp;"("&amp;CHOOSE(WEEKDAY($CA327),"日","月","火","水","木","金","土")&amp;")"&amp;"〜"&amp;TEXT($P327-1,"m/d")&amp;"("&amp;CHOOSE(WEEKDAY($P327-1),"日","月","火","水","木","金","土")&amp;")"&amp;"　"&amp;$CO327),IF($CC327="","○ "&amp;TEXT($P327,"m/d")&amp;"("&amp;CHOOSE(WEEKDAY($P327),"日","月","火","水","木","金","土")&amp;")"&amp;" 入庫で 14日以上もつ",IF($CC327-N('設定'!$C$7)&lt;='設定'!$C$6,"● 入庫しても "&amp;TEXT($CC327,"m/d")&amp;"("&amp;CHOOSE(WEEKDAY($CC327),"日","月","火","水","木","金","土")&amp;")"&amp;" に切れる　もう1便を至急発注（2便目に入れる）","△ 入庫しても "&amp;TEXT($CC327,"m/d")&amp;"("&amp;CHOOSE(WEEKDAY($CC327),"日","月","火","水","木","金","土")&amp;")"&amp;" に切れる　"&amp;TEXT($CC327-N('設定'!$C$7),"m/d")&amp;"("&amp;CHOOSE(WEEKDAY($CC327-N('設定'!$C$7)),"日","月","火","水","木","金","土")&amp;")"&amp;" までに次を発注（2便目に入れる）"))))))))))</f>
        <v/>
      </c>
      <c r="CR327">
        <f>IF($C327="","",IF($G327&gt;1,"ｹｰｽ("&amp;$G327&amp;"入)","個"))</f>
        <v/>
      </c>
      <c r="CS327">
        <f>IF($C327="",0,IF(COUNTIFS('①在庫を貼る'!$V$6:$V$10005,'設定'!$C$4,'①在庫を貼る'!$W$6:$W$10005,$C327)=0,1,0))</f>
        <v/>
      </c>
      <c r="CT327">
        <f>IF(AND($CK327=1,OR('③発注書'!$C$4="すべて",'③発注書'!$C$4="",$F327='③発注書'!$C$4)),N($CT326)+1,N($CT326))</f>
        <v/>
      </c>
      <c r="CU327">
        <f>IF(AND($CL327=1,OR('③発注書'!$C$4="すべて",'③発注書'!$C$4="",$F327='③発注書'!$C$4)),N($CU326)+1,N($CU326))</f>
        <v/>
      </c>
      <c r="CV327">
        <f>IF($C327="",0,IF(COUNTIFS('①在庫を貼る'!$V$6:$V$10005,'設定'!$C$4,'①在庫を貼る'!$W$6:$W$10005,$C327)&gt;0,1,0))</f>
        <v/>
      </c>
      <c r="CW327">
        <f>IF($C327="",0,IF(COUNTIFS('月1回_1ヶ月前の在庫'!$V$6:$V$10005,'設定'!$C$4,'月1回_1ヶ月前の在庫'!$W$6:$W$10005,$C327)&gt;0,1,0))</f>
        <v/>
      </c>
      <c r="CX327">
        <f>IF($C327="",0,IF(COUNTIFS('月1回_2ヶ月前の在庫'!$V$6:$V$10005,'設定'!$C$4,'月1回_2ヶ月前の在庫'!$W$6:$W$10005,$C327)&gt;0,1,0))</f>
        <v/>
      </c>
      <c r="CY327">
        <f>IF(OR($C327="",'設定'!$C$12=""),"",IF('設定'!$C$13="",IF(AND($CV327=1,$CW327=0),"新商品（今月から）",IF(AND($CV327=0,$CW327=1),"終売（今月から）","")),IF(AND($CV327=1,$CW327=0,$CX327=0),"新商品（今月から）",IF(AND($CV327=1,$CW327=1,$CX327=0),"新商品（先月から）",IF(AND($CV327=0,$CW327=1,$CX327=1),"終売（今月から）",IF(AND($CV327=0,$CW327=0,$CX327=1),"終売（先月から）",IF(AND($CV327=1,$CW327=0,$CX327=1),"復活（先月は無し）","")))))))</f>
        <v/>
      </c>
    </row>
    <row r="328">
      <c r="B328">
        <f>IF(323&lt;='設定'!$C$11,323,"")</f>
        <v/>
      </c>
      <c r="C328">
        <f>IF($B328="","",IF($B328&lt;='設定'!$C$20,INDEX('商品マスタ'!$B$6:$B$1005,MATCH($B328,'商品マスタ'!$M$6:$M$1005,0)),IF($B328&lt;='設定'!$C$20+'設定'!$C$17,INDEX('①在庫を貼る'!$W$6:$W$10005,MATCH($B328-'設定'!$C$20,'①在庫を貼る'!$U$6:$U$10005,0)),IF($B328&lt;='設定'!$C$20+'設定'!$C$17+'設定'!$C$18,INDEX('月1回_1ヶ月前の在庫'!$W$6:$W$10005,MATCH($B328-'設定'!$C$20-'設定'!$C$17,'月1回_1ヶ月前の在庫'!$U$6:$U$10005,0)),INDEX('月1回_2ヶ月前の在庫'!$W$6:$W$10005,MATCH($B328-'設定'!$C$20-'設定'!$C$17-'設定'!$C$18,'月1回_2ヶ月前の在庫'!$U$6:$U$10005,0))))))</f>
        <v/>
      </c>
      <c r="D328">
        <f>IF($C328="","",IFERROR(IF(INDEX('商品マスタ'!$C$6:$C$1005,MATCH($C328,'商品マスタ'!$B$6:$B$1005,0))="",IFERROR(INDEX('①在庫を貼る'!$J$6:$J$10005,MATCH($C328,'①在庫を貼る'!$W$6:$W$10005,0)),IFERROR(INDEX('月1回_1ヶ月前の在庫'!$J$6:$J$10005,MATCH($C328,'月1回_1ヶ月前の在庫'!$W$6:$W$10005,0)),IFERROR(INDEX('月1回_2ヶ月前の在庫'!$J$6:$J$10005,MATCH($C328,'月1回_2ヶ月前の在庫'!$W$6:$W$10005,0)),""))),INDEX('商品マスタ'!$C$6:$C$1005,MATCH($C328,'商品マスタ'!$B$6:$B$1005,0))),IFERROR(INDEX('①在庫を貼る'!$J$6:$J$10005,MATCH($C328,'①在庫を貼る'!$W$6:$W$10005,0)),IFERROR(INDEX('月1回_1ヶ月前の在庫'!$J$6:$J$10005,MATCH($C328,'月1回_1ヶ月前の在庫'!$W$6:$W$10005,0)),IFERROR(INDEX('月1回_2ヶ月前の在庫'!$J$6:$J$10005,MATCH($C328,'月1回_2ヶ月前の在庫'!$W$6:$W$10005,0)),"")))))</f>
        <v/>
      </c>
      <c r="E328">
        <f>IF($C328="","",IFERROR(IF(INDEX('商品マスタ'!$D$6:$D$1005,MATCH($C328,'商品マスタ'!$B$6:$B$1005,0))="",IFERROR(INDEX('①在庫を貼る'!$H$6:$H$10005,MATCH($C328,'①在庫を貼る'!$W$6:$W$10005,0)),IFERROR(INDEX('月1回_1ヶ月前の在庫'!$H$6:$H$10005,MATCH($C328,'月1回_1ヶ月前の在庫'!$W$6:$W$10005,0)),IFERROR(INDEX('月1回_2ヶ月前の在庫'!$H$6:$H$10005,MATCH($C328,'月1回_2ヶ月前の在庫'!$W$6:$W$10005,0)),""))),INDEX('商品マスタ'!$D$6:$D$1005,MATCH($C328,'商品マスタ'!$B$6:$B$1005,0))),IFERROR(INDEX('①在庫を貼る'!$H$6:$H$10005,MATCH($C328,'①在庫を貼る'!$W$6:$W$10005,0)),IFERROR(INDEX('月1回_1ヶ月前の在庫'!$H$6:$H$10005,MATCH($C328,'月1回_1ヶ月前の在庫'!$W$6:$W$10005,0)),IFERROR(INDEX('月1回_2ヶ月前の在庫'!$H$6:$H$10005,MATCH($C328,'月1回_2ヶ月前の在庫'!$W$6:$W$10005,0)),"")))))</f>
        <v/>
      </c>
      <c r="F328">
        <f>IF($C328="","",IFERROR(IF(INDEX('商品マスタ'!$E$6:$E$1005,MATCH($C328,'商品マスタ'!$B$6:$B$1005,0))="",IFERROR(INDEX('①在庫を貼る'!$E$6:$E$10005,MATCH($C328,'①在庫を貼る'!$W$6:$W$10005,0)),IFERROR(INDEX('月1回_1ヶ月前の在庫'!$E$6:$E$10005,MATCH($C328,'月1回_1ヶ月前の在庫'!$W$6:$W$10005,0)),IFERROR(INDEX('月1回_2ヶ月前の在庫'!$E$6:$E$10005,MATCH($C328,'月1回_2ヶ月前の在庫'!$W$6:$W$10005,0)),""))),INDEX('商品マスタ'!$E$6:$E$1005,MATCH($C328,'商品マスタ'!$B$6:$B$1005,0))),IFERROR(INDEX('①在庫を貼る'!$E$6:$E$10005,MATCH($C328,'①在庫を貼る'!$W$6:$W$10005,0)),IFERROR(INDEX('月1回_1ヶ月前の在庫'!$E$6:$E$10005,MATCH($C328,'月1回_1ヶ月前の在庫'!$W$6:$W$10005,0)),IFERROR(INDEX('月1回_2ヶ月前の在庫'!$E$6:$E$10005,MATCH($C328,'月1回_2ヶ月前の在庫'!$W$6:$W$10005,0)),"")))))</f>
        <v/>
      </c>
      <c r="G328">
        <f>IF($C328="","",MAX(1,N(IFERROR(IF(INDEX('商品マスタ'!$F$6:$F$1005,MATCH($C328,'商品マスタ'!$B$6:$B$1005,0))="",IF(COUNTIFS('①在庫を貼る'!$V$6:$V$10005,'設定'!$C$4,'①在庫を貼る'!$W$6:$W$10005,$C328)&gt;0,SUMIFS('①在庫を貼る'!$K$6:$K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K$6:$K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K$6:$K$10005,'月1回_2ヶ月前の在庫'!$V$6:$V$10005,'設定'!$C$4,'月1回_2ヶ月前の在庫'!$W$6:$W$10005,$C328)/COUNTIFS('月1回_2ヶ月前の在庫'!$V$6:$V$10005,'設定'!$C$4,'月1回_2ヶ月前の在庫'!$W$6:$W$10005,$C328),0))),INDEX('商品マスタ'!$F$6:$F$1005,MATCH($C328,'商品マスタ'!$B$6:$B$1005,0))),IF(COUNTIFS('①在庫を貼る'!$V$6:$V$10005,'設定'!$C$4,'①在庫を貼る'!$W$6:$W$10005,$C328)&gt;0,SUMIFS('①在庫を貼る'!$K$6:$K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K$6:$K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K$6:$K$10005,'月1回_2ヶ月前の在庫'!$V$6:$V$10005,'設定'!$C$4,'月1回_2ヶ月前の在庫'!$W$6:$W$10005,$C328)/COUNTIFS('月1回_2ヶ月前の在庫'!$V$6:$V$10005,'設定'!$C$4,'月1回_2ヶ月前の在庫'!$W$6:$W$10005,$C328),0)))))))</f>
        <v/>
      </c>
      <c r="H328">
        <f>IF($C328="","",N(IFERROR(IF(INDEX('商品マスタ'!$G$6:$G$1005,MATCH($C328,'商品マスタ'!$B$6:$B$1005,0))="",IF(COUNTIFS('①在庫を貼る'!$V$6:$V$10005,'設定'!$C$4,'①在庫を貼る'!$W$6:$W$10005,$C328)&gt;0,SUMIFS('①在庫を貼る'!$Q$6:$Q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Q$6:$Q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Q$6:$Q$10005,'月1回_2ヶ月前の在庫'!$V$6:$V$10005,'設定'!$C$4,'月1回_2ヶ月前の在庫'!$W$6:$W$10005,$C328)/COUNTIFS('月1回_2ヶ月前の在庫'!$V$6:$V$10005,'設定'!$C$4,'月1回_2ヶ月前の在庫'!$W$6:$W$10005,$C328),0))),INDEX('商品マスタ'!$G$6:$G$1005,MATCH($C328,'商品マスタ'!$B$6:$B$1005,0))),IF(COUNTIFS('①在庫を貼る'!$V$6:$V$10005,'設定'!$C$4,'①在庫を貼る'!$W$6:$W$10005,$C328)&gt;0,SUMIFS('①在庫を貼る'!$Q$6:$Q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Q$6:$Q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Q$6:$Q$10005,'月1回_2ヶ月前の在庫'!$V$6:$V$10005,'設定'!$C$4,'月1回_2ヶ月前の在庫'!$W$6:$W$10005,$C328)/COUNTIFS('月1回_2ヶ月前の在庫'!$V$6:$V$10005,'設定'!$C$4,'月1回_2ヶ月前の在庫'!$W$6:$W$10005,$C328),0))))))</f>
        <v/>
      </c>
      <c r="I328">
        <f>IF($C328="","",IF(COUNTIFS('①在庫を貼る'!$V$6:$V$10005,'設定'!$C$4,'①在庫を貼る'!$W$6:$W$10005,$C328)=0,"",SUMIFS('①在庫を貼る'!$N$6:$N$10005,'①在庫を貼る'!$V$6:$V$10005,'設定'!$C$4,'①在庫を貼る'!$W$6:$W$10005,$C328)))</f>
        <v/>
      </c>
      <c r="J328">
        <f>IF($C328="","",IF('②発注する'!$AD332="","",'②発注する'!$AD332))</f>
        <v/>
      </c>
      <c r="K328" s="90">
        <f>IF($C328="","",IF('②発注する'!$AE332="","",'②発注する'!$AE332))</f>
        <v/>
      </c>
      <c r="L328">
        <f>IF($C328="","",IF(AND(ISNUMBER($J328),ISNUMBER($K328),$K328&gt;='設定'!$C$6),$J328,N($I328)))</f>
        <v/>
      </c>
      <c r="M328">
        <f>IF($C328="","",IFERROR(IF(N(INDEX('商品マスタ'!$J$6:$J$1005,MATCH($C328,'商品マスタ'!$B$6:$B$1005,0)))&gt;0,INDEX('商品マスタ'!$J$6:$J$1005,MATCH($C328,'商品マスタ'!$B$6:$B$1005,0)),""),""))</f>
        <v/>
      </c>
      <c r="N328">
        <f>IF($C328="","",IFERROR(IF(N(INDEX('商品マスタ'!$H$6:$H$1005,MATCH($C328,'商品マスタ'!$B$6:$B$1005,0)))&gt;0,INDEX('商品マスタ'!$H$6:$H$1005,MATCH($C328,'商品マスタ'!$B$6:$B$1005,0)),""),""))</f>
        <v/>
      </c>
      <c r="O328">
        <f>IF($C328="","",IF($N328&lt;&gt;"",$N328*$G328,IF(N(IF(COUNTIFS('①在庫を貼る'!$V$6:$V$10005,'設定'!$C$4,'①在庫を貼る'!$W$6:$W$10005,$C328)&gt;0,SUMIFS('①在庫を貼る'!$O$6:$O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O$6:$O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O$6:$O$10005,'月1回_2ヶ月前の在庫'!$V$6:$V$10005,'設定'!$C$4,'月1回_2ヶ月前の在庫'!$W$6:$W$10005,$C328)/COUNTIFS('月1回_2ヶ月前の在庫'!$V$6:$V$10005,'設定'!$C$4,'月1回_2ヶ月前の在庫'!$W$6:$W$10005,$C328),0))))&gt;0,N(IF(COUNTIFS('①在庫を貼る'!$V$6:$V$10005,'設定'!$C$4,'①在庫を貼る'!$W$6:$W$10005,$C328)&gt;0,SUMIFS('①在庫を貼る'!$O$6:$O$10005,'①在庫を貼る'!$V$6:$V$10005,'設定'!$C$4,'①在庫を貼る'!$W$6:$W$10005,$C328)/COUNTIFS('①在庫を貼る'!$V$6:$V$10005,'設定'!$C$4,'①在庫を貼る'!$W$6:$W$10005,$C328),IF(COUNTIFS('月1回_1ヶ月前の在庫'!$V$6:$V$10005,'設定'!$C$4,'月1回_1ヶ月前の在庫'!$W$6:$W$10005,$C328)&gt;0,SUMIFS('月1回_1ヶ月前の在庫'!$O$6:$O$10005,'月1回_1ヶ月前の在庫'!$V$6:$V$10005,'設定'!$C$4,'月1回_1ヶ月前の在庫'!$W$6:$W$10005,$C328)/COUNTIFS('月1回_1ヶ月前の在庫'!$V$6:$V$10005,'設定'!$C$4,'月1回_1ヶ月前の在庫'!$W$6:$W$10005,$C328),IF(COUNTIFS('月1回_2ヶ月前の在庫'!$V$6:$V$10005,'設定'!$C$4,'月1回_2ヶ月前の在庫'!$W$6:$W$10005,$C328)&gt;0,SUMIFS('月1回_2ヶ月前の在庫'!$O$6:$O$10005,'月1回_2ヶ月前の在庫'!$V$6:$V$10005,'設定'!$C$4,'月1回_2ヶ月前の在庫'!$W$6:$W$10005,$C328)/COUNTIFS('月1回_2ヶ月前の在庫'!$V$6:$V$10005,'設定'!$C$4,'月1回_2ヶ月前の在庫'!$W$6:$W$10005,$C328),0)))),"")))</f>
        <v/>
      </c>
      <c r="P328" s="90">
        <f>IF($C328="","",IF('②発注する'!$I332="","",'②発注する'!$I332))</f>
        <v/>
      </c>
      <c r="Q328">
        <f>IF($C328="","",IF('②発注する'!$J332="","",'②発注する'!$J332))</f>
        <v/>
      </c>
      <c r="R328">
        <f>IF($C328="",0,IF(AND(ISNUMBER($P328),ISNUMBER($Q328)),MAX(0,$Q328)*$G328,0))</f>
        <v/>
      </c>
      <c r="S328" s="90">
        <f>IF($C328="","",IF('②発注する'!$M332="","",'②発注する'!$M332))</f>
        <v/>
      </c>
      <c r="T328">
        <f>IF($C328="","",IF('②発注する'!$N332="","",'②発注する'!$N332))</f>
        <v/>
      </c>
      <c r="U328">
        <f>IF($C328="",0,IF(AND(ISNUMBER($S328),ISNUMBER($T328)),MAX(0,$T328)*$G328,0))</f>
        <v/>
      </c>
      <c r="V328">
        <f>IF($C328="",0,IF($M328="",0,MAX(0,$M328)*MAX(0,V$4)/100))</f>
        <v/>
      </c>
      <c r="W328">
        <f>IF($C328="",0,IF($M328="",0,MAX(0,$M328)*MAX(0,W$4)/100))</f>
        <v/>
      </c>
      <c r="X328">
        <f>IF($C328="",0,IF($M328="",0,MAX(0,$M328)*MAX(0,X$4)/100))</f>
        <v/>
      </c>
      <c r="Y328">
        <f>IF($C328="",0,IF($M328="",0,MAX(0,$M328)*MAX(0,Y$4)/100))</f>
        <v/>
      </c>
      <c r="Z328">
        <f>IF($C328="",0,IF($M328="",0,MAX(0,$M328)*MAX(0,Z$4)/100))</f>
        <v/>
      </c>
      <c r="AA328">
        <f>IF($C328="",0,IF($M328="",0,MAX(0,$M328)*MAX(0,AA$4)/100))</f>
        <v/>
      </c>
      <c r="AB328">
        <f>IF($C328="",0,IF($M328="",0,MAX(0,$M328)*MAX(0,AB$4)/100))</f>
        <v/>
      </c>
      <c r="AC328">
        <f>IF($C328="",0,IF($M328="",0,MAX(0,$M328)*MAX(0,AC$4)/100))</f>
        <v/>
      </c>
      <c r="AD328">
        <f>IF($C328="",0,IF($M328="",0,MAX(0,$M328)*MAX(0,AD$4)/100))</f>
        <v/>
      </c>
      <c r="AE328">
        <f>IF($C328="",0,IF($M328="",0,MAX(0,$M328)*MAX(0,AE$4)/100))</f>
        <v/>
      </c>
      <c r="AF328">
        <f>IF($C328="",0,IF($M328="",0,MAX(0,$M328)*MAX(0,AF$4)/100))</f>
        <v/>
      </c>
      <c r="AG328">
        <f>IF($C328="",0,IF($M328="",0,MAX(0,$M328)*MAX(0,AG$4)/100))</f>
        <v/>
      </c>
      <c r="AH328">
        <f>IF($C328="",0,IF($M328="",0,MAX(0,$M328)*MAX(0,AH$4)/100))</f>
        <v/>
      </c>
      <c r="AI328">
        <f>IF($C328="",0,IF($M328="",0,MAX(0,$M328)*MAX(0,AI$4)/100))</f>
        <v/>
      </c>
      <c r="AJ328">
        <f>IF($C328="",0,MAX(0,MAX(0,N($L328))-$V328))</f>
        <v/>
      </c>
      <c r="AK328">
        <f>IF($C328="",0,MAX(0,$AJ328-$W328))</f>
        <v/>
      </c>
      <c r="AL328">
        <f>IF($C328="",0,MAX(0,$AK328-$X328))</f>
        <v/>
      </c>
      <c r="AM328">
        <f>IF($C328="",0,MAX(0,$AL328-$Y328))</f>
        <v/>
      </c>
      <c r="AN328">
        <f>IF($C328="",0,MAX(0,$AM328-$Z328))</f>
        <v/>
      </c>
      <c r="AO328">
        <f>IF($C328="",0,MAX(0,$AN328-$AA328))</f>
        <v/>
      </c>
      <c r="AP328">
        <f>IF($C328="",0,MAX(0,$AO328-$AB328))</f>
        <v/>
      </c>
      <c r="AQ328">
        <f>IF($C328="",0,MAX(0,$AP328-$AC328))</f>
        <v/>
      </c>
      <c r="AR328">
        <f>IF($C328="",0,MAX(0,$AQ328-$AD328))</f>
        <v/>
      </c>
      <c r="AS328">
        <f>IF($C328="",0,MAX(0,$AR328-$AE328))</f>
        <v/>
      </c>
      <c r="AT328">
        <f>IF($C328="",0,MAX(0,$AS328-$AF328))</f>
        <v/>
      </c>
      <c r="AU328">
        <f>IF($C328="",0,MAX(0,$AT328-$AG328))</f>
        <v/>
      </c>
      <c r="AV328">
        <f>IF($C328="",0,MAX(0,$AU328-$AH328))</f>
        <v/>
      </c>
      <c r="AW328">
        <f>IF($C328="",0,MAX(0,$AV328-$AI328))</f>
        <v/>
      </c>
      <c r="AX328">
        <f>IF($C328="",0,MAX(0,MAX(0,N($L328))+IF($P328=V$3,$R328,0)+IF($S328=V$3,$U328,0)-$V328))</f>
        <v/>
      </c>
      <c r="AY328">
        <f>IF($C328="",0,MAX(0,$AX328+IF($P328=W$3,$R328,0)+IF($S328=W$3,$U328,0)-$W328))</f>
        <v/>
      </c>
      <c r="AZ328">
        <f>IF($C328="",0,MAX(0,$AY328+IF($P328=X$3,$R328,0)+IF($S328=X$3,$U328,0)-$X328))</f>
        <v/>
      </c>
      <c r="BA328">
        <f>IF($C328="",0,MAX(0,$AZ328+IF($P328=Y$3,$R328,0)+IF($S328=Y$3,$U328,0)-$Y328))</f>
        <v/>
      </c>
      <c r="BB328">
        <f>IF($C328="",0,MAX(0,$BA328+IF($P328=Z$3,$R328,0)+IF($S328=Z$3,$U328,0)-$Z328))</f>
        <v/>
      </c>
      <c r="BC328">
        <f>IF($C328="",0,MAX(0,$BB328+IF($P328=AA$3,$R328,0)+IF($S328=AA$3,$U328,0)-$AA328))</f>
        <v/>
      </c>
      <c r="BD328">
        <f>IF($C328="",0,MAX(0,$BC328+IF($P328=AB$3,$R328,0)+IF($S328=AB$3,$U328,0)-$AB328))</f>
        <v/>
      </c>
      <c r="BE328">
        <f>IF($C328="",0,MAX(0,$BD328+IF($P328=AC$3,$R328,0)+IF($S328=AC$3,$U328,0)-$AC328))</f>
        <v/>
      </c>
      <c r="BF328">
        <f>IF($C328="",0,MAX(0,$BE328+IF($P328=AD$3,$R328,0)+IF($S328=AD$3,$U328,0)-$AD328))</f>
        <v/>
      </c>
      <c r="BG328">
        <f>IF($C328="",0,MAX(0,$BF328+IF($P328=AE$3,$R328,0)+IF($S328=AE$3,$U328,0)-$AE328))</f>
        <v/>
      </c>
      <c r="BH328">
        <f>IF($C328="",0,MAX(0,$BG328+IF($P328=AF$3,$R328,0)+IF($S328=AF$3,$U328,0)-$AF328))</f>
        <v/>
      </c>
      <c r="BI328">
        <f>IF($C328="",0,MAX(0,$BH328+IF($P328=AG$3,$R328,0)+IF($S328=AG$3,$U328,0)-$AG328))</f>
        <v/>
      </c>
      <c r="BJ328">
        <f>IF($C328="",0,MAX(0,$BI328+IF($P328=AH$3,$R328,0)+IF($S328=AH$3,$U328,0)-$AH328))</f>
        <v/>
      </c>
      <c r="BK328">
        <f>IF($C328="",0,MAX(0,$BJ328+IF($P328=AI$3,$R328,0)+IF($S328=AI$3,$U328,0)-$AI328))</f>
        <v/>
      </c>
      <c r="BL328">
        <f>IF($C328="",99,IF(AND($AX328&lt;1,V$3&gt;=MAX(N($P328),N($S328))),0,99))</f>
        <v/>
      </c>
      <c r="BM328">
        <f>IF($C328="",99,IF(AND($AY328&lt;1,W$3&gt;=MAX(N($P328),N($S328))),1,99))</f>
        <v/>
      </c>
      <c r="BN328">
        <f>IF($C328="",99,IF(AND($AZ328&lt;1,X$3&gt;=MAX(N($P328),N($S328))),2,99))</f>
        <v/>
      </c>
      <c r="BO328">
        <f>IF($C328="",99,IF(AND($BA328&lt;1,Y$3&gt;=MAX(N($P328),N($S328))),3,99))</f>
        <v/>
      </c>
      <c r="BP328">
        <f>IF($C328="",99,IF(AND($BB328&lt;1,Z$3&gt;=MAX(N($P328),N($S328))),4,99))</f>
        <v/>
      </c>
      <c r="BQ328">
        <f>IF($C328="",99,IF(AND($BC328&lt;1,AA$3&gt;=MAX(N($P328),N($S328))),5,99))</f>
        <v/>
      </c>
      <c r="BR328">
        <f>IF($C328="",99,IF(AND($BD328&lt;1,AB$3&gt;=MAX(N($P328),N($S328))),6,99))</f>
        <v/>
      </c>
      <c r="BS328">
        <f>IF($C328="",99,IF(AND($BE328&lt;1,AC$3&gt;=MAX(N($P328),N($S328))),7,99))</f>
        <v/>
      </c>
      <c r="BT328">
        <f>IF($C328="",99,IF(AND($BF328&lt;1,AD$3&gt;=MAX(N($P328),N($S328))),8,99))</f>
        <v/>
      </c>
      <c r="BU328">
        <f>IF($C328="",99,IF(AND($BG328&lt;1,AE$3&gt;=MAX(N($P328),N($S328))),9,99))</f>
        <v/>
      </c>
      <c r="BV328">
        <f>IF($C328="",99,IF(AND($BH328&lt;1,AF$3&gt;=MAX(N($P328),N($S328))),10,99))</f>
        <v/>
      </c>
      <c r="BW328">
        <f>IF($C328="",99,IF(AND($BI328&lt;1,AG$3&gt;=MAX(N($P328),N($S328))),11,99))</f>
        <v/>
      </c>
      <c r="BX328">
        <f>IF($C328="",99,IF(AND($BJ328&lt;1,AH$3&gt;=MAX(N($P328),N($S328))),12,99))</f>
        <v/>
      </c>
      <c r="BY328">
        <f>IF($C328="",99,IF(AND($BK328&lt;1,AI$3&gt;=MAX(N($P328),N($S328))),13,99))</f>
        <v/>
      </c>
      <c r="BZ328">
        <f>IF(OR($C328="",$M328=""),"",COUNTIF($AJ328:$AW328,"&gt;=1"))</f>
        <v/>
      </c>
      <c r="CA328" s="90">
        <f>IF($BZ328="","",IF($BZ328&gt;=14,"",'設定'!$C$6+$BZ328))</f>
        <v/>
      </c>
      <c r="CB328">
        <f>IF(OR($C328="",$M328=""),"",MIN($BL328:$BY328))</f>
        <v/>
      </c>
      <c r="CC328" s="90">
        <f>IF($CB328="","",IF($CB328&gt;=99,"",'設定'!$C$6+$CB328))</f>
        <v/>
      </c>
      <c r="CD328">
        <f>IF(OR($C328="",$M328=""),"",AVERAGE($V328:$AI328))</f>
        <v/>
      </c>
      <c r="CE328">
        <f>IF($C328="","",IFERROR(IF(MATCH(IF(ISNUMBER($P328),$P328,'設定'!$C$6+N('設定'!$C$7)),$V$3:$AI$3,0)=1,MAX(0,N($L328)),INDEX($AJ328:$AW328,MATCH(IF(ISNUMBER($P328),$P328,'設定'!$C$6+N('設定'!$C$7)),$V$3:$AI$3,0)-1)),""))</f>
        <v/>
      </c>
      <c r="CF328">
        <f>IF(OR($C328="",$O328="",$CE328=""),"",IF($O328-$CE328&lt;=0,0,ROUNDUP(($O328-$CE328)/$G328,0)))</f>
        <v/>
      </c>
      <c r="CG328">
        <f>IF(OR($C328="",$CF328="",NOT(ISNUMBER($Q328))),0,MAX(0,$Q328-$CF328))</f>
        <v/>
      </c>
      <c r="CH328">
        <f>IF(OR($C328="",$O328="",$U328=0),0,IFERROR(ROUNDUP(MAX(0,IF(MATCH($S328,$V$3:$AI$3,0)=1,MAX(0,N($L328)),INDEX($AX328:$BK328,MATCH($S328,$V$3:$AI$3,0)-1))+$U328-$O328)/$G328,0),0))</f>
        <v/>
      </c>
      <c r="CI328">
        <f>IF($C328="","",IF(AND($P328="",$Q328=""),"",IF($P328="","⚠ 入庫日を ▼ から選んでください",IF(NOT(ISNUMBER($P328)),"⚠ 入庫日は ▼ から選んでください",IF($P328&lt;N('設定'!$C$6),"⚠ 入庫日が過去です（もう在庫に入っています）→ 消してください",IF($P328&gt;N('設定'!$C$6)+13,"⚠ 入庫日が14日より先です",IF(N($Q328)&lt;=0,"⚠ 入庫数を入れてください",IF($CG328&gt;0,"⚠ 目安より "&amp;$CG328&amp;" 多い（定数を超える）→ 減らす",""))))))))</f>
        <v/>
      </c>
      <c r="CJ328">
        <f>IF($C328="","",IF(AND($S328="",$T328=""),"",IF($S328="","⚠ 2便目：入庫日を ▼ から選んでください",IF(NOT(ISNUMBER($S328)),"⚠ 2便目：入庫日は ▼ から選んでください",IF($S328&lt;N('設定'!$C$6),"⚠ 2便目：入庫日が過去です（もう在庫に入っています）→ 消してください",IF($S328&gt;N('設定'!$C$6)+13,"⚠ 2便目：入庫日が14日より先です",IF(N($T328)&lt;=0,"⚠ 2便目：入庫数を入れてください",IF($CH328&gt;0,"⚠ 2便目：定数を "&amp;$CH328&amp;" ケース超える → 減らす",""))))))))</f>
        <v/>
      </c>
      <c r="CK328">
        <f>IF(AND($CI328="",N($Q328)&gt;0,ISNUMBER($P328)),1,0)</f>
        <v/>
      </c>
      <c r="CL328">
        <f>IF(AND($CJ328="",N($T328)&gt;0,ISNUMBER($S328)),1,0)</f>
        <v/>
      </c>
      <c r="CM328">
        <f>IF(OR($CK328=1,$CL328=1),1,0)</f>
        <v/>
      </c>
      <c r="CN328">
        <f>IF($C328="",0,($CK328*$R328+$CL328*$U328)*N($H328))</f>
        <v/>
      </c>
      <c r="CO328">
        <f>IF($C328="","",IF($CC328="","入庫後は 14日以上もつ",IF($CC328-N('設定'!$C$7)&lt;='設定'!$C$6,"入庫後も "&amp;TEXT($CC328,"m/d")&amp;"("&amp;CHOOSE(WEEKDAY($CC328),"日","月","火","水","木","金","土")&amp;")"&amp;" に切れる　もう1便を至急発注","入庫後も "&amp;TEXT($CC328,"m/d")&amp;"("&amp;CHOOSE(WEEKDAY($CC328),"日","月","火","水","木","金","土")&amp;")"&amp;" に切れる　"&amp;TEXT($CC328-N('設定'!$C$7),"m/d")&amp;"("&amp;CHOOSE(WEEKDAY($CC328-N('設定'!$C$7)),"日","月","火","水","木","金","土")&amp;")"&amp;" までに次を発注")))</f>
        <v/>
      </c>
      <c r="CP328">
        <f>IF($C328="","",IF('設定'!$C$6="","？ ①在庫を貼る に今日のCSVが貼られていない",IF($CS328=1,"－ 今日のCSVに無い（終売？）",IF($L328&lt;0,"● 在庫がマイナス　数えて「数えた在庫」に入れる",IF($L328=0,"● 在庫なし　至急発注",IF($M328="","？ 減り数が未設定（商品マスタ）",IF($B$3=0,"？ 動員が未入力（動員を入れる）",IF($CA328="","○ 14日以上もつ",IF($BZ328&lt;N('設定'!$C$7),"● "&amp;TEXT($CA328,"m/d")&amp;"("&amp;CHOOSE(WEEKDAY($CA328),"日","月","火","水","木","金","土")&amp;")"&amp;" に切れる　至急発注",IF($BZ328=N('設定'!$C$7),"● "&amp;TEXT($CA328,"m/d")&amp;"("&amp;CHOOSE(WEEKDAY($CA328),"日","月","火","水","木","金","土")&amp;")"&amp;" に切れる　今日発注","△ "&amp;TEXT($CA328,"m/d")&amp;"("&amp;CHOOSE(WEEKDAY($CA328),"日","月","火","水","木","金","土")&amp;")"&amp;" に切れる　"&amp;TEXT($CA328-N('設定'!$C$7),"m/d")&amp;"("&amp;CHOOSE(WEEKDAY($CA328-N('設定'!$C$7)),"日","月","火","水","木","金","土")&amp;")"&amp;" までに発注"))))))))))</f>
        <v/>
      </c>
      <c r="CQ328">
        <f>IF($C328="","",IF(AND($P328="",$Q328="",$S328="",$T328=""),"",IF(AND($P328="",$Q328=""),"⚠ 先に1便目（左の入庫日・入庫数）に入れてください",IF($CI328&lt;&gt;"",$CI328,IF($CJ328&lt;&gt;"",$CJ328,IF($M328="","？ 減り数が未設定（発注書には載ります）",IF($B$3=0,"？ 動員が未入力（発注書には載ります）",IF(AND($CA328&lt;&gt;"",$P328&gt;$CA328),IF($P328&gt;'設定'!$C$6+N('設定'!$C$7),"● "&amp;TEXT($P328,"m/d")&amp;"("&amp;CHOOSE(WEEKDAY($P328),"日","月","火","水","木","金","土")&amp;")"&amp;" の入庫では間に合わない（"&amp;TEXT($CA328,"m/d")&amp;"("&amp;CHOOSE(WEEKDAY($CA328),"日","月","火","水","木","金","土")&amp;")"&amp;" に切れる）　入庫日を早める","△ 欠品 "&amp;TEXT($CA328,"m/d")&amp;"("&amp;CHOOSE(WEEKDAY($CA328),"日","月","火","水","木","金","土")&amp;")"&amp;"〜"&amp;TEXT($P328-1,"m/d")&amp;"("&amp;CHOOSE(WEEKDAY($P328-1),"日","月","火","水","木","金","土")&amp;")"&amp;"　"&amp;$CO328),IF($CC328="","○ "&amp;TEXT($P328,"m/d")&amp;"("&amp;CHOOSE(WEEKDAY($P328),"日","月","火","水","木","金","土")&amp;")"&amp;" 入庫で 14日以上もつ",IF($CC328-N('設定'!$C$7)&lt;='設定'!$C$6,"● 入庫しても "&amp;TEXT($CC328,"m/d")&amp;"("&amp;CHOOSE(WEEKDAY($CC328),"日","月","火","水","木","金","土")&amp;")"&amp;" に切れる　もう1便を至急発注（2便目に入れる）","△ 入庫しても "&amp;TEXT($CC328,"m/d")&amp;"("&amp;CHOOSE(WEEKDAY($CC328),"日","月","火","水","木","金","土")&amp;")"&amp;" に切れる　"&amp;TEXT($CC328-N('設定'!$C$7),"m/d")&amp;"("&amp;CHOOSE(WEEKDAY($CC328-N('設定'!$C$7)),"日","月","火","水","木","金","土")&amp;")"&amp;" までに次を発注（2便目に入れる）"))))))))))</f>
        <v/>
      </c>
      <c r="CR328">
        <f>IF($C328="","",IF($G328&gt;1,"ｹｰｽ("&amp;$G328&amp;"入)","個"))</f>
        <v/>
      </c>
      <c r="CS328">
        <f>IF($C328="",0,IF(COUNTIFS('①在庫を貼る'!$V$6:$V$10005,'設定'!$C$4,'①在庫を貼る'!$W$6:$W$10005,$C328)=0,1,0))</f>
        <v/>
      </c>
      <c r="CT328">
        <f>IF(AND($CK328=1,OR('③発注書'!$C$4="すべて",'③発注書'!$C$4="",$F328='③発注書'!$C$4)),N($CT327)+1,N($CT327))</f>
        <v/>
      </c>
      <c r="CU328">
        <f>IF(AND($CL328=1,OR('③発注書'!$C$4="すべて",'③発注書'!$C$4="",$F328='③発注書'!$C$4)),N($CU327)+1,N($CU327))</f>
        <v/>
      </c>
      <c r="CV328">
        <f>IF($C328="",0,IF(COUNTIFS('①在庫を貼る'!$V$6:$V$10005,'設定'!$C$4,'①在庫を貼る'!$W$6:$W$10005,$C328)&gt;0,1,0))</f>
        <v/>
      </c>
      <c r="CW328">
        <f>IF($C328="",0,IF(COUNTIFS('月1回_1ヶ月前の在庫'!$V$6:$V$10005,'設定'!$C$4,'月1回_1ヶ月前の在庫'!$W$6:$W$10005,$C328)&gt;0,1,0))</f>
        <v/>
      </c>
      <c r="CX328">
        <f>IF($C328="",0,IF(COUNTIFS('月1回_2ヶ月前の在庫'!$V$6:$V$10005,'設定'!$C$4,'月1回_2ヶ月前の在庫'!$W$6:$W$10005,$C328)&gt;0,1,0))</f>
        <v/>
      </c>
      <c r="CY328">
        <f>IF(OR($C328="",'設定'!$C$12=""),"",IF('設定'!$C$13="",IF(AND($CV328=1,$CW328=0),"新商品（今月から）",IF(AND($CV328=0,$CW328=1),"終売（今月から）","")),IF(AND($CV328=1,$CW328=0,$CX328=0),"新商品（今月から）",IF(AND($CV328=1,$CW328=1,$CX328=0),"新商品（先月から）",IF(AND($CV328=0,$CW328=1,$CX328=1),"終売（今月から）",IF(AND($CV328=0,$CW328=0,$CX328=1),"終売（先月から）",IF(AND($CV328=1,$CW328=0,$CX328=1),"復活（先月は無し）","")))))))</f>
        <v/>
      </c>
    </row>
    <row r="329">
      <c r="B329">
        <f>IF(324&lt;='設定'!$C$11,324,"")</f>
        <v/>
      </c>
      <c r="C329">
        <f>IF($B329="","",IF($B329&lt;='設定'!$C$20,INDEX('商品マスタ'!$B$6:$B$1005,MATCH($B329,'商品マスタ'!$M$6:$M$1005,0)),IF($B329&lt;='設定'!$C$20+'設定'!$C$17,INDEX('①在庫を貼る'!$W$6:$W$10005,MATCH($B329-'設定'!$C$20,'①在庫を貼る'!$U$6:$U$10005,0)),IF($B329&lt;='設定'!$C$20+'設定'!$C$17+'設定'!$C$18,INDEX('月1回_1ヶ月前の在庫'!$W$6:$W$10005,MATCH($B329-'設定'!$C$20-'設定'!$C$17,'月1回_1ヶ月前の在庫'!$U$6:$U$10005,0)),INDEX('月1回_2ヶ月前の在庫'!$W$6:$W$10005,MATCH($B329-'設定'!$C$20-'設定'!$C$17-'設定'!$C$18,'月1回_2ヶ月前の在庫'!$U$6:$U$10005,0))))))</f>
        <v/>
      </c>
      <c r="D329">
        <f>IF($C329="","",IFERROR(IF(INDEX('商品マスタ'!$C$6:$C$1005,MATCH($C329,'商品マスタ'!$B$6:$B$1005,0))="",IFERROR(INDEX('①在庫を貼る'!$J$6:$J$10005,MATCH($C329,'①在庫を貼る'!$W$6:$W$10005,0)),IFERROR(INDEX('月1回_1ヶ月前の在庫'!$J$6:$J$10005,MATCH($C329,'月1回_1ヶ月前の在庫'!$W$6:$W$10005,0)),IFERROR(INDEX('月1回_2ヶ月前の在庫'!$J$6:$J$10005,MATCH($C329,'月1回_2ヶ月前の在庫'!$W$6:$W$10005,0)),""))),INDEX('商品マスタ'!$C$6:$C$1005,MATCH($C329,'商品マスタ'!$B$6:$B$1005,0))),IFERROR(INDEX('①在庫を貼る'!$J$6:$J$10005,MATCH($C329,'①在庫を貼る'!$W$6:$W$10005,0)),IFERROR(INDEX('月1回_1ヶ月前の在庫'!$J$6:$J$10005,MATCH($C329,'月1回_1ヶ月前の在庫'!$W$6:$W$10005,0)),IFERROR(INDEX('月1回_2ヶ月前の在庫'!$J$6:$J$10005,MATCH($C329,'月1回_2ヶ月前の在庫'!$W$6:$W$10005,0)),"")))))</f>
        <v/>
      </c>
      <c r="E329">
        <f>IF($C329="","",IFERROR(IF(INDEX('商品マスタ'!$D$6:$D$1005,MATCH($C329,'商品マスタ'!$B$6:$B$1005,0))="",IFERROR(INDEX('①在庫を貼る'!$H$6:$H$10005,MATCH($C329,'①在庫を貼る'!$W$6:$W$10005,0)),IFERROR(INDEX('月1回_1ヶ月前の在庫'!$H$6:$H$10005,MATCH($C329,'月1回_1ヶ月前の在庫'!$W$6:$W$10005,0)),IFERROR(INDEX('月1回_2ヶ月前の在庫'!$H$6:$H$10005,MATCH($C329,'月1回_2ヶ月前の在庫'!$W$6:$W$10005,0)),""))),INDEX('商品マスタ'!$D$6:$D$1005,MATCH($C329,'商品マスタ'!$B$6:$B$1005,0))),IFERROR(INDEX('①在庫を貼る'!$H$6:$H$10005,MATCH($C329,'①在庫を貼る'!$W$6:$W$10005,0)),IFERROR(INDEX('月1回_1ヶ月前の在庫'!$H$6:$H$10005,MATCH($C329,'月1回_1ヶ月前の在庫'!$W$6:$W$10005,0)),IFERROR(INDEX('月1回_2ヶ月前の在庫'!$H$6:$H$10005,MATCH($C329,'月1回_2ヶ月前の在庫'!$W$6:$W$10005,0)),"")))))</f>
        <v/>
      </c>
      <c r="F329">
        <f>IF($C329="","",IFERROR(IF(INDEX('商品マスタ'!$E$6:$E$1005,MATCH($C329,'商品マスタ'!$B$6:$B$1005,0))="",IFERROR(INDEX('①在庫を貼る'!$E$6:$E$10005,MATCH($C329,'①在庫を貼る'!$W$6:$W$10005,0)),IFERROR(INDEX('月1回_1ヶ月前の在庫'!$E$6:$E$10005,MATCH($C329,'月1回_1ヶ月前の在庫'!$W$6:$W$10005,0)),IFERROR(INDEX('月1回_2ヶ月前の在庫'!$E$6:$E$10005,MATCH($C329,'月1回_2ヶ月前の在庫'!$W$6:$W$10005,0)),""))),INDEX('商品マスタ'!$E$6:$E$1005,MATCH($C329,'商品マスタ'!$B$6:$B$1005,0))),IFERROR(INDEX('①在庫を貼る'!$E$6:$E$10005,MATCH($C329,'①在庫を貼る'!$W$6:$W$10005,0)),IFERROR(INDEX('月1回_1ヶ月前の在庫'!$E$6:$E$10005,MATCH($C329,'月1回_1ヶ月前の在庫'!$W$6:$W$10005,0)),IFERROR(INDEX('月1回_2ヶ月前の在庫'!$E$6:$E$10005,MATCH($C329,'月1回_2ヶ月前の在庫'!$W$6:$W$10005,0)),"")))))</f>
        <v/>
      </c>
      <c r="G329">
        <f>IF($C329="","",MAX(1,N(IFERROR(IF(INDEX('商品マスタ'!$F$6:$F$1005,MATCH($C329,'商品マスタ'!$B$6:$B$1005,0))="",IF(COUNTIFS('①在庫を貼る'!$V$6:$V$10005,'設定'!$C$4,'①在庫を貼る'!$W$6:$W$10005,$C329)&gt;0,SUMIFS('①在庫を貼る'!$K$6:$K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K$6:$K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K$6:$K$10005,'月1回_2ヶ月前の在庫'!$V$6:$V$10005,'設定'!$C$4,'月1回_2ヶ月前の在庫'!$W$6:$W$10005,$C329)/COUNTIFS('月1回_2ヶ月前の在庫'!$V$6:$V$10005,'設定'!$C$4,'月1回_2ヶ月前の在庫'!$W$6:$W$10005,$C329),0))),INDEX('商品マスタ'!$F$6:$F$1005,MATCH($C329,'商品マスタ'!$B$6:$B$1005,0))),IF(COUNTIFS('①在庫を貼る'!$V$6:$V$10005,'設定'!$C$4,'①在庫を貼る'!$W$6:$W$10005,$C329)&gt;0,SUMIFS('①在庫を貼る'!$K$6:$K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K$6:$K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K$6:$K$10005,'月1回_2ヶ月前の在庫'!$V$6:$V$10005,'設定'!$C$4,'月1回_2ヶ月前の在庫'!$W$6:$W$10005,$C329)/COUNTIFS('月1回_2ヶ月前の在庫'!$V$6:$V$10005,'設定'!$C$4,'月1回_2ヶ月前の在庫'!$W$6:$W$10005,$C329),0)))))))</f>
        <v/>
      </c>
      <c r="H329">
        <f>IF($C329="","",N(IFERROR(IF(INDEX('商品マスタ'!$G$6:$G$1005,MATCH($C329,'商品マスタ'!$B$6:$B$1005,0))="",IF(COUNTIFS('①在庫を貼る'!$V$6:$V$10005,'設定'!$C$4,'①在庫を貼る'!$W$6:$W$10005,$C329)&gt;0,SUMIFS('①在庫を貼る'!$Q$6:$Q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Q$6:$Q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Q$6:$Q$10005,'月1回_2ヶ月前の在庫'!$V$6:$V$10005,'設定'!$C$4,'月1回_2ヶ月前の在庫'!$W$6:$W$10005,$C329)/COUNTIFS('月1回_2ヶ月前の在庫'!$V$6:$V$10005,'設定'!$C$4,'月1回_2ヶ月前の在庫'!$W$6:$W$10005,$C329),0))),INDEX('商品マスタ'!$G$6:$G$1005,MATCH($C329,'商品マスタ'!$B$6:$B$1005,0))),IF(COUNTIFS('①在庫を貼る'!$V$6:$V$10005,'設定'!$C$4,'①在庫を貼る'!$W$6:$W$10005,$C329)&gt;0,SUMIFS('①在庫を貼る'!$Q$6:$Q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Q$6:$Q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Q$6:$Q$10005,'月1回_2ヶ月前の在庫'!$V$6:$V$10005,'設定'!$C$4,'月1回_2ヶ月前の在庫'!$W$6:$W$10005,$C329)/COUNTIFS('月1回_2ヶ月前の在庫'!$V$6:$V$10005,'設定'!$C$4,'月1回_2ヶ月前の在庫'!$W$6:$W$10005,$C329),0))))))</f>
        <v/>
      </c>
      <c r="I329">
        <f>IF($C329="","",IF(COUNTIFS('①在庫を貼る'!$V$6:$V$10005,'設定'!$C$4,'①在庫を貼る'!$W$6:$W$10005,$C329)=0,"",SUMIFS('①在庫を貼る'!$N$6:$N$10005,'①在庫を貼る'!$V$6:$V$10005,'設定'!$C$4,'①在庫を貼る'!$W$6:$W$10005,$C329)))</f>
        <v/>
      </c>
      <c r="J329">
        <f>IF($C329="","",IF('②発注する'!$AD333="","",'②発注する'!$AD333))</f>
        <v/>
      </c>
      <c r="K329" s="90">
        <f>IF($C329="","",IF('②発注する'!$AE333="","",'②発注する'!$AE333))</f>
        <v/>
      </c>
      <c r="L329">
        <f>IF($C329="","",IF(AND(ISNUMBER($J329),ISNUMBER($K329),$K329&gt;='設定'!$C$6),$J329,N($I329)))</f>
        <v/>
      </c>
      <c r="M329">
        <f>IF($C329="","",IFERROR(IF(N(INDEX('商品マスタ'!$J$6:$J$1005,MATCH($C329,'商品マスタ'!$B$6:$B$1005,0)))&gt;0,INDEX('商品マスタ'!$J$6:$J$1005,MATCH($C329,'商品マスタ'!$B$6:$B$1005,0)),""),""))</f>
        <v/>
      </c>
      <c r="N329">
        <f>IF($C329="","",IFERROR(IF(N(INDEX('商品マスタ'!$H$6:$H$1005,MATCH($C329,'商品マスタ'!$B$6:$B$1005,0)))&gt;0,INDEX('商品マスタ'!$H$6:$H$1005,MATCH($C329,'商品マスタ'!$B$6:$B$1005,0)),""),""))</f>
        <v/>
      </c>
      <c r="O329">
        <f>IF($C329="","",IF($N329&lt;&gt;"",$N329*$G329,IF(N(IF(COUNTIFS('①在庫を貼る'!$V$6:$V$10005,'設定'!$C$4,'①在庫を貼る'!$W$6:$W$10005,$C329)&gt;0,SUMIFS('①在庫を貼る'!$O$6:$O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O$6:$O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O$6:$O$10005,'月1回_2ヶ月前の在庫'!$V$6:$V$10005,'設定'!$C$4,'月1回_2ヶ月前の在庫'!$W$6:$W$10005,$C329)/COUNTIFS('月1回_2ヶ月前の在庫'!$V$6:$V$10005,'設定'!$C$4,'月1回_2ヶ月前の在庫'!$W$6:$W$10005,$C329),0))))&gt;0,N(IF(COUNTIFS('①在庫を貼る'!$V$6:$V$10005,'設定'!$C$4,'①在庫を貼る'!$W$6:$W$10005,$C329)&gt;0,SUMIFS('①在庫を貼る'!$O$6:$O$10005,'①在庫を貼る'!$V$6:$V$10005,'設定'!$C$4,'①在庫を貼る'!$W$6:$W$10005,$C329)/COUNTIFS('①在庫を貼る'!$V$6:$V$10005,'設定'!$C$4,'①在庫を貼る'!$W$6:$W$10005,$C329),IF(COUNTIFS('月1回_1ヶ月前の在庫'!$V$6:$V$10005,'設定'!$C$4,'月1回_1ヶ月前の在庫'!$W$6:$W$10005,$C329)&gt;0,SUMIFS('月1回_1ヶ月前の在庫'!$O$6:$O$10005,'月1回_1ヶ月前の在庫'!$V$6:$V$10005,'設定'!$C$4,'月1回_1ヶ月前の在庫'!$W$6:$W$10005,$C329)/COUNTIFS('月1回_1ヶ月前の在庫'!$V$6:$V$10005,'設定'!$C$4,'月1回_1ヶ月前の在庫'!$W$6:$W$10005,$C329),IF(COUNTIFS('月1回_2ヶ月前の在庫'!$V$6:$V$10005,'設定'!$C$4,'月1回_2ヶ月前の在庫'!$W$6:$W$10005,$C329)&gt;0,SUMIFS('月1回_2ヶ月前の在庫'!$O$6:$O$10005,'月1回_2ヶ月前の在庫'!$V$6:$V$10005,'設定'!$C$4,'月1回_2ヶ月前の在庫'!$W$6:$W$10005,$C329)/COUNTIFS('月1回_2ヶ月前の在庫'!$V$6:$V$10005,'設定'!$C$4,'月1回_2ヶ月前の在庫'!$W$6:$W$10005,$C329),0)))),"")))</f>
        <v/>
      </c>
      <c r="P329" s="90">
        <f>IF($C329="","",IF('②発注する'!$I333="","",'②発注する'!$I333))</f>
        <v/>
      </c>
      <c r="Q329">
        <f>IF($C329="","",IF('②発注する'!$J333="","",'②発注する'!$J333))</f>
        <v/>
      </c>
      <c r="R329">
        <f>IF($C329="",0,IF(AND(ISNUMBER($P329),ISNUMBER($Q329)),MAX(0,$Q329)*$G329,0))</f>
        <v/>
      </c>
      <c r="S329" s="90">
        <f>IF($C329="","",IF('②発注する'!$M333="","",'②発注する'!$M333))</f>
        <v/>
      </c>
      <c r="T329">
        <f>IF($C329="","",IF('②発注する'!$N333="","",'②発注する'!$N333))</f>
        <v/>
      </c>
      <c r="U329">
        <f>IF($C329="",0,IF(AND(ISNUMBER($S329),ISNUMBER($T329)),MAX(0,$T329)*$G329,0))</f>
        <v/>
      </c>
      <c r="V329">
        <f>IF($C329="",0,IF($M329="",0,MAX(0,$M329)*MAX(0,V$4)/100))</f>
        <v/>
      </c>
      <c r="W329">
        <f>IF($C329="",0,IF($M329="",0,MAX(0,$M329)*MAX(0,W$4)/100))</f>
        <v/>
      </c>
      <c r="X329">
        <f>IF($C329="",0,IF($M329="",0,MAX(0,$M329)*MAX(0,X$4)/100))</f>
        <v/>
      </c>
      <c r="Y329">
        <f>IF($C329="",0,IF($M329="",0,MAX(0,$M329)*MAX(0,Y$4)/100))</f>
        <v/>
      </c>
      <c r="Z329">
        <f>IF($C329="",0,IF($M329="",0,MAX(0,$M329)*MAX(0,Z$4)/100))</f>
        <v/>
      </c>
      <c r="AA329">
        <f>IF($C329="",0,IF($M329="",0,MAX(0,$M329)*MAX(0,AA$4)/100))</f>
        <v/>
      </c>
      <c r="AB329">
        <f>IF($C329="",0,IF($M329="",0,MAX(0,$M329)*MAX(0,AB$4)/100))</f>
        <v/>
      </c>
      <c r="AC329">
        <f>IF($C329="",0,IF($M329="",0,MAX(0,$M329)*MAX(0,AC$4)/100))</f>
        <v/>
      </c>
      <c r="AD329">
        <f>IF($C329="",0,IF($M329="",0,MAX(0,$M329)*MAX(0,AD$4)/100))</f>
        <v/>
      </c>
      <c r="AE329">
        <f>IF($C329="",0,IF($M329="",0,MAX(0,$M329)*MAX(0,AE$4)/100))</f>
        <v/>
      </c>
      <c r="AF329">
        <f>IF($C329="",0,IF($M329="",0,MAX(0,$M329)*MAX(0,AF$4)/100))</f>
        <v/>
      </c>
      <c r="AG329">
        <f>IF($C329="",0,IF($M329="",0,MAX(0,$M329)*MAX(0,AG$4)/100))</f>
        <v/>
      </c>
      <c r="AH329">
        <f>IF($C329="",0,IF($M329="",0,MAX(0,$M329)*MAX(0,AH$4)/100))</f>
        <v/>
      </c>
      <c r="AI329">
        <f>IF($C329="",0,IF($M329="",0,MAX(0,$M329)*MAX(0,AI$4)/100))</f>
        <v/>
      </c>
      <c r="AJ329">
        <f>IF($C329="",0,MAX(0,MAX(0,N($L329))-$V329))</f>
        <v/>
      </c>
      <c r="AK329">
        <f>IF($C329="",0,MAX(0,$AJ329-$W329))</f>
        <v/>
      </c>
      <c r="AL329">
        <f>IF($C329="",0,MAX(0,$AK329-$X329))</f>
        <v/>
      </c>
      <c r="AM329">
        <f>IF($C329="",0,MAX(0,$AL329-$Y329))</f>
        <v/>
      </c>
      <c r="AN329">
        <f>IF($C329="",0,MAX(0,$AM329-$Z329))</f>
        <v/>
      </c>
      <c r="AO329">
        <f>IF($C329="",0,MAX(0,$AN329-$AA329))</f>
        <v/>
      </c>
      <c r="AP329">
        <f>IF($C329="",0,MAX(0,$AO329-$AB329))</f>
        <v/>
      </c>
      <c r="AQ329">
        <f>IF($C329="",0,MAX(0,$AP329-$AC329))</f>
        <v/>
      </c>
      <c r="AR329">
        <f>IF($C329="",0,MAX(0,$AQ329-$AD329))</f>
        <v/>
      </c>
      <c r="AS329">
        <f>IF($C329="",0,MAX(0,$AR329-$AE329))</f>
        <v/>
      </c>
      <c r="AT329">
        <f>IF($C329="",0,MAX(0,$AS329-$AF329))</f>
        <v/>
      </c>
      <c r="AU329">
        <f>IF($C329="",0,MAX(0,$AT329-$AG329))</f>
        <v/>
      </c>
      <c r="AV329">
        <f>IF($C329="",0,MAX(0,$AU329-$AH329))</f>
        <v/>
      </c>
      <c r="AW329">
        <f>IF($C329="",0,MAX(0,$AV329-$AI329))</f>
        <v/>
      </c>
      <c r="AX329">
        <f>IF($C329="",0,MAX(0,MAX(0,N($L329))+IF($P329=V$3,$R329,0)+IF($S329=V$3,$U329,0)-$V329))</f>
        <v/>
      </c>
      <c r="AY329">
        <f>IF($C329="",0,MAX(0,$AX329+IF($P329=W$3,$R329,0)+IF($S329=W$3,$U329,0)-$W329))</f>
        <v/>
      </c>
      <c r="AZ329">
        <f>IF($C329="",0,MAX(0,$AY329+IF($P329=X$3,$R329,0)+IF($S329=X$3,$U329,0)-$X329))</f>
        <v/>
      </c>
      <c r="BA329">
        <f>IF($C329="",0,MAX(0,$AZ329+IF($P329=Y$3,$R329,0)+IF($S329=Y$3,$U329,0)-$Y329))</f>
        <v/>
      </c>
      <c r="BB329">
        <f>IF($C329="",0,MAX(0,$BA329+IF($P329=Z$3,$R329,0)+IF($S329=Z$3,$U329,0)-$Z329))</f>
        <v/>
      </c>
      <c r="BC329">
        <f>IF($C329="",0,MAX(0,$BB329+IF($P329=AA$3,$R329,0)+IF($S329=AA$3,$U329,0)-$AA329))</f>
        <v/>
      </c>
      <c r="BD329">
        <f>IF($C329="",0,MAX(0,$BC329+IF($P329=AB$3,$R329,0)+IF($S329=AB$3,$U329,0)-$AB329))</f>
        <v/>
      </c>
      <c r="BE329">
        <f>IF($C329="",0,MAX(0,$BD329+IF($P329=AC$3,$R329,0)+IF($S329=AC$3,$U329,0)-$AC329))</f>
        <v/>
      </c>
      <c r="BF329">
        <f>IF($C329="",0,MAX(0,$BE329+IF($P329=AD$3,$R329,0)+IF($S329=AD$3,$U329,0)-$AD329))</f>
        <v/>
      </c>
      <c r="BG329">
        <f>IF($C329="",0,MAX(0,$BF329+IF($P329=AE$3,$R329,0)+IF($S329=AE$3,$U329,0)-$AE329))</f>
        <v/>
      </c>
      <c r="BH329">
        <f>IF($C329="",0,MAX(0,$BG329+IF($P329=AF$3,$R329,0)+IF($S329=AF$3,$U329,0)-$AF329))</f>
        <v/>
      </c>
      <c r="BI329">
        <f>IF($C329="",0,MAX(0,$BH329+IF($P329=AG$3,$R329,0)+IF($S329=AG$3,$U329,0)-$AG329))</f>
        <v/>
      </c>
      <c r="BJ329">
        <f>IF($C329="",0,MAX(0,$BI329+IF($P329=AH$3,$R329,0)+IF($S329=AH$3,$U329,0)-$AH329))</f>
        <v/>
      </c>
      <c r="BK329">
        <f>IF($C329="",0,MAX(0,$BJ329+IF($P329=AI$3,$R329,0)+IF($S329=AI$3,$U329,0)-$AI329))</f>
        <v/>
      </c>
      <c r="BL329">
        <f>IF($C329="",99,IF(AND($AX329&lt;1,V$3&gt;=MAX(N($P329),N($S329))),0,99))</f>
        <v/>
      </c>
      <c r="BM329">
        <f>IF($C329="",99,IF(AND($AY329&lt;1,W$3&gt;=MAX(N($P329),N($S329))),1,99))</f>
        <v/>
      </c>
      <c r="BN329">
        <f>IF($C329="",99,IF(AND($AZ329&lt;1,X$3&gt;=MAX(N($P329),N($S329))),2,99))</f>
        <v/>
      </c>
      <c r="BO329">
        <f>IF($C329="",99,IF(AND($BA329&lt;1,Y$3&gt;=MAX(N($P329),N($S329))),3,99))</f>
        <v/>
      </c>
      <c r="BP329">
        <f>IF($C329="",99,IF(AND($BB329&lt;1,Z$3&gt;=MAX(N($P329),N($S329))),4,99))</f>
        <v/>
      </c>
      <c r="BQ329">
        <f>IF($C329="",99,IF(AND($BC329&lt;1,AA$3&gt;=MAX(N($P329),N($S329))),5,99))</f>
        <v/>
      </c>
      <c r="BR329">
        <f>IF($C329="",99,IF(AND($BD329&lt;1,AB$3&gt;=MAX(N($P329),N($S329))),6,99))</f>
        <v/>
      </c>
      <c r="BS329">
        <f>IF($C329="",99,IF(AND($BE329&lt;1,AC$3&gt;=MAX(N($P329),N($S329))),7,99))</f>
        <v/>
      </c>
      <c r="BT329">
        <f>IF($C329="",99,IF(AND($BF329&lt;1,AD$3&gt;=MAX(N($P329),N($S329))),8,99))</f>
        <v/>
      </c>
      <c r="BU329">
        <f>IF($C329="",99,IF(AND($BG329&lt;1,AE$3&gt;=MAX(N($P329),N($S329))),9,99))</f>
        <v/>
      </c>
      <c r="BV329">
        <f>IF($C329="",99,IF(AND($BH329&lt;1,AF$3&gt;=MAX(N($P329),N($S329))),10,99))</f>
        <v/>
      </c>
      <c r="BW329">
        <f>IF($C329="",99,IF(AND($BI329&lt;1,AG$3&gt;=MAX(N($P329),N($S329))),11,99))</f>
        <v/>
      </c>
      <c r="BX329">
        <f>IF($C329="",99,IF(AND($BJ329&lt;1,AH$3&gt;=MAX(N($P329),N($S329))),12,99))</f>
        <v/>
      </c>
      <c r="BY329">
        <f>IF($C329="",99,IF(AND($BK329&lt;1,AI$3&gt;=MAX(N($P329),N($S329))),13,99))</f>
        <v/>
      </c>
      <c r="BZ329">
        <f>IF(OR($C329="",$M329=""),"",COUNTIF($AJ329:$AW329,"&gt;=1"))</f>
        <v/>
      </c>
      <c r="CA329" s="90">
        <f>IF($BZ329="","",IF($BZ329&gt;=14,"",'設定'!$C$6+$BZ329))</f>
        <v/>
      </c>
      <c r="CB329">
        <f>IF(OR($C329="",$M329=""),"",MIN($BL329:$BY329))</f>
        <v/>
      </c>
      <c r="CC329" s="90">
        <f>IF($CB329="","",IF($CB329&gt;=99,"",'設定'!$C$6+$CB329))</f>
        <v/>
      </c>
      <c r="CD329">
        <f>IF(OR($C329="",$M329=""),"",AVERAGE($V329:$AI329))</f>
        <v/>
      </c>
      <c r="CE329">
        <f>IF($C329="","",IFERROR(IF(MATCH(IF(ISNUMBER($P329),$P329,'設定'!$C$6+N('設定'!$C$7)),$V$3:$AI$3,0)=1,MAX(0,N($L329)),INDEX($AJ329:$AW329,MATCH(IF(ISNUMBER($P329),$P329,'設定'!$C$6+N('設定'!$C$7)),$V$3:$AI$3,0)-1)),""))</f>
        <v/>
      </c>
      <c r="CF329">
        <f>IF(OR($C329="",$O329="",$CE329=""),"",IF($O329-$CE329&lt;=0,0,ROUNDUP(($O329-$CE329)/$G329,0)))</f>
        <v/>
      </c>
      <c r="CG329">
        <f>IF(OR($C329="",$CF329="",NOT(ISNUMBER($Q329))),0,MAX(0,$Q329-$CF329))</f>
        <v/>
      </c>
      <c r="CH329">
        <f>IF(OR($C329="",$O329="",$U329=0),0,IFERROR(ROUNDUP(MAX(0,IF(MATCH($S329,$V$3:$AI$3,0)=1,MAX(0,N($L329)),INDEX($AX329:$BK329,MATCH($S329,$V$3:$AI$3,0)-1))+$U329-$O329)/$G329,0),0))</f>
        <v/>
      </c>
      <c r="CI329">
        <f>IF($C329="","",IF(AND($P329="",$Q329=""),"",IF($P329="","⚠ 入庫日を ▼ から選んでください",IF(NOT(ISNUMBER($P329)),"⚠ 入庫日は ▼ から選んでください",IF($P329&lt;N('設定'!$C$6),"⚠ 入庫日が過去です（もう在庫に入っています）→ 消してください",IF($P329&gt;N('設定'!$C$6)+13,"⚠ 入庫日が14日より先です",IF(N($Q329)&lt;=0,"⚠ 入庫数を入れてください",IF($CG329&gt;0,"⚠ 目安より "&amp;$CG329&amp;" 多い（定数を超える）→ 減らす",""))))))))</f>
        <v/>
      </c>
      <c r="CJ329">
        <f>IF($C329="","",IF(AND($S329="",$T329=""),"",IF($S329="","⚠ 2便目：入庫日を ▼ から選んでください",IF(NOT(ISNUMBER($S329)),"⚠ 2便目：入庫日は ▼ から選んでください",IF($S329&lt;N('設定'!$C$6),"⚠ 2便目：入庫日が過去です（もう在庫に入っています）→ 消してください",IF($S329&gt;N('設定'!$C$6)+13,"⚠ 2便目：入庫日が14日より先です",IF(N($T329)&lt;=0,"⚠ 2便目：入庫数を入れてください",IF($CH329&gt;0,"⚠ 2便目：定数を "&amp;$CH329&amp;" ケース超える → 減らす",""))))))))</f>
        <v/>
      </c>
      <c r="CK329">
        <f>IF(AND($CI329="",N($Q329)&gt;0,ISNUMBER($P329)),1,0)</f>
        <v/>
      </c>
      <c r="CL329">
        <f>IF(AND($CJ329="",N($T329)&gt;0,ISNUMBER($S329)),1,0)</f>
        <v/>
      </c>
      <c r="CM329">
        <f>IF(OR($CK329=1,$CL329=1),1,0)</f>
        <v/>
      </c>
      <c r="CN329">
        <f>IF($C329="",0,($CK329*$R329+$CL329*$U329)*N($H329))</f>
        <v/>
      </c>
      <c r="CO329">
        <f>IF($C329="","",IF($CC329="","入庫後は 14日以上もつ",IF($CC329-N('設定'!$C$7)&lt;='設定'!$C$6,"入庫後も "&amp;TEXT($CC329,"m/d")&amp;"("&amp;CHOOSE(WEEKDAY($CC329),"日","月","火","水","木","金","土")&amp;")"&amp;" に切れる　もう1便を至急発注","入庫後も "&amp;TEXT($CC329,"m/d")&amp;"("&amp;CHOOSE(WEEKDAY($CC329),"日","月","火","水","木","金","土")&amp;")"&amp;" に切れる　"&amp;TEXT($CC329-N('設定'!$C$7),"m/d")&amp;"("&amp;CHOOSE(WEEKDAY($CC329-N('設定'!$C$7)),"日","月","火","水","木","金","土")&amp;")"&amp;" までに次を発注")))</f>
        <v/>
      </c>
      <c r="CP329">
        <f>IF($C329="","",IF('設定'!$C$6="","？ ①在庫を貼る に今日のCSVが貼られていない",IF($CS329=1,"－ 今日のCSVに無い（終売？）",IF($L329&lt;0,"● 在庫がマイナス　数えて「数えた在庫」に入れる",IF($L329=0,"● 在庫なし　至急発注",IF($M329="","？ 減り数が未設定（商品マスタ）",IF($B$3=0,"？ 動員が未入力（動員を入れる）",IF($CA329="","○ 14日以上もつ",IF($BZ329&lt;N('設定'!$C$7),"● "&amp;TEXT($CA329,"m/d")&amp;"("&amp;CHOOSE(WEEKDAY($CA329),"日","月","火","水","木","金","土")&amp;")"&amp;" に切れる　至急発注",IF($BZ329=N('設定'!$C$7),"● "&amp;TEXT($CA329,"m/d")&amp;"("&amp;CHOOSE(WEEKDAY($CA329),"日","月","火","水","木","金","土")&amp;")"&amp;" に切れる　今日発注","△ "&amp;TEXT($CA329,"m/d")&amp;"("&amp;CHOOSE(WEEKDAY($CA329),"日","月","火","水","木","金","土")&amp;")"&amp;" に切れる　"&amp;TEXT($CA329-N('設定'!$C$7),"m/d")&amp;"("&amp;CHOOSE(WEEKDAY($CA329-N('設定'!$C$7)),"日","月","火","水","木","金","土")&amp;")"&amp;" までに発注"))))))))))</f>
        <v/>
      </c>
      <c r="CQ329">
        <f>IF($C329="","",IF(AND($P329="",$Q329="",$S329="",$T329=""),"",IF(AND($P329="",$Q329=""),"⚠ 先に1便目（左の入庫日・入庫数）に入れてください",IF($CI329&lt;&gt;"",$CI329,IF($CJ329&lt;&gt;"",$CJ329,IF($M329="","？ 減り数が未設定（発注書には載ります）",IF($B$3=0,"？ 動員が未入力（発注書には載ります）",IF(AND($CA329&lt;&gt;"",$P329&gt;$CA329),IF($P329&gt;'設定'!$C$6+N('設定'!$C$7),"● "&amp;TEXT($P329,"m/d")&amp;"("&amp;CHOOSE(WEEKDAY($P329),"日","月","火","水","木","金","土")&amp;")"&amp;" の入庫では間に合わない（"&amp;TEXT($CA329,"m/d")&amp;"("&amp;CHOOSE(WEEKDAY($CA329),"日","月","火","水","木","金","土")&amp;")"&amp;" に切れる）　入庫日を早める","△ 欠品 "&amp;TEXT($CA329,"m/d")&amp;"("&amp;CHOOSE(WEEKDAY($CA329),"日","月","火","水","木","金","土")&amp;")"&amp;"〜"&amp;TEXT($P329-1,"m/d")&amp;"("&amp;CHOOSE(WEEKDAY($P329-1),"日","月","火","水","木","金","土")&amp;")"&amp;"　"&amp;$CO329),IF($CC329="","○ "&amp;TEXT($P329,"m/d")&amp;"("&amp;CHOOSE(WEEKDAY($P329),"日","月","火","水","木","金","土")&amp;")"&amp;" 入庫で 14日以上もつ",IF($CC329-N('設定'!$C$7)&lt;='設定'!$C$6,"● 入庫しても "&amp;TEXT($CC329,"m/d")&amp;"("&amp;CHOOSE(WEEKDAY($CC329),"日","月","火","水","木","金","土")&amp;")"&amp;" に切れる　もう1便を至急発注（2便目に入れる）","△ 入庫しても "&amp;TEXT($CC329,"m/d")&amp;"("&amp;CHOOSE(WEEKDAY($CC329),"日","月","火","水","木","金","土")&amp;")"&amp;" に切れる　"&amp;TEXT($CC329-N('設定'!$C$7),"m/d")&amp;"("&amp;CHOOSE(WEEKDAY($CC329-N('設定'!$C$7)),"日","月","火","水","木","金","土")&amp;")"&amp;" までに次を発注（2便目に入れる）"))))))))))</f>
        <v/>
      </c>
      <c r="CR329">
        <f>IF($C329="","",IF($G329&gt;1,"ｹｰｽ("&amp;$G329&amp;"入)","個"))</f>
        <v/>
      </c>
      <c r="CS329">
        <f>IF($C329="",0,IF(COUNTIFS('①在庫を貼る'!$V$6:$V$10005,'設定'!$C$4,'①在庫を貼る'!$W$6:$W$10005,$C329)=0,1,0))</f>
        <v/>
      </c>
      <c r="CT329">
        <f>IF(AND($CK329=1,OR('③発注書'!$C$4="すべて",'③発注書'!$C$4="",$F329='③発注書'!$C$4)),N($CT328)+1,N($CT328))</f>
        <v/>
      </c>
      <c r="CU329">
        <f>IF(AND($CL329=1,OR('③発注書'!$C$4="すべて",'③発注書'!$C$4="",$F329='③発注書'!$C$4)),N($CU328)+1,N($CU328))</f>
        <v/>
      </c>
      <c r="CV329">
        <f>IF($C329="",0,IF(COUNTIFS('①在庫を貼る'!$V$6:$V$10005,'設定'!$C$4,'①在庫を貼る'!$W$6:$W$10005,$C329)&gt;0,1,0))</f>
        <v/>
      </c>
      <c r="CW329">
        <f>IF($C329="",0,IF(COUNTIFS('月1回_1ヶ月前の在庫'!$V$6:$V$10005,'設定'!$C$4,'月1回_1ヶ月前の在庫'!$W$6:$W$10005,$C329)&gt;0,1,0))</f>
        <v/>
      </c>
      <c r="CX329">
        <f>IF($C329="",0,IF(COUNTIFS('月1回_2ヶ月前の在庫'!$V$6:$V$10005,'設定'!$C$4,'月1回_2ヶ月前の在庫'!$W$6:$W$10005,$C329)&gt;0,1,0))</f>
        <v/>
      </c>
      <c r="CY329">
        <f>IF(OR($C329="",'設定'!$C$12=""),"",IF('設定'!$C$13="",IF(AND($CV329=1,$CW329=0),"新商品（今月から）",IF(AND($CV329=0,$CW329=1),"終売（今月から）","")),IF(AND($CV329=1,$CW329=0,$CX329=0),"新商品（今月から）",IF(AND($CV329=1,$CW329=1,$CX329=0),"新商品（先月から）",IF(AND($CV329=0,$CW329=1,$CX329=1),"終売（今月から）",IF(AND($CV329=0,$CW329=0,$CX329=1),"終売（先月から）",IF(AND($CV329=1,$CW329=0,$CX329=1),"復活（先月は無し）","")))))))</f>
        <v/>
      </c>
    </row>
    <row r="330">
      <c r="B330">
        <f>IF(325&lt;='設定'!$C$11,325,"")</f>
        <v/>
      </c>
      <c r="C330">
        <f>IF($B330="","",IF($B330&lt;='設定'!$C$20,INDEX('商品マスタ'!$B$6:$B$1005,MATCH($B330,'商品マスタ'!$M$6:$M$1005,0)),IF($B330&lt;='設定'!$C$20+'設定'!$C$17,INDEX('①在庫を貼る'!$W$6:$W$10005,MATCH($B330-'設定'!$C$20,'①在庫を貼る'!$U$6:$U$10005,0)),IF($B330&lt;='設定'!$C$20+'設定'!$C$17+'設定'!$C$18,INDEX('月1回_1ヶ月前の在庫'!$W$6:$W$10005,MATCH($B330-'設定'!$C$20-'設定'!$C$17,'月1回_1ヶ月前の在庫'!$U$6:$U$10005,0)),INDEX('月1回_2ヶ月前の在庫'!$W$6:$W$10005,MATCH($B330-'設定'!$C$20-'設定'!$C$17-'設定'!$C$18,'月1回_2ヶ月前の在庫'!$U$6:$U$10005,0))))))</f>
        <v/>
      </c>
      <c r="D330">
        <f>IF($C330="","",IFERROR(IF(INDEX('商品マスタ'!$C$6:$C$1005,MATCH($C330,'商品マスタ'!$B$6:$B$1005,0))="",IFERROR(INDEX('①在庫を貼る'!$J$6:$J$10005,MATCH($C330,'①在庫を貼る'!$W$6:$W$10005,0)),IFERROR(INDEX('月1回_1ヶ月前の在庫'!$J$6:$J$10005,MATCH($C330,'月1回_1ヶ月前の在庫'!$W$6:$W$10005,0)),IFERROR(INDEX('月1回_2ヶ月前の在庫'!$J$6:$J$10005,MATCH($C330,'月1回_2ヶ月前の在庫'!$W$6:$W$10005,0)),""))),INDEX('商品マスタ'!$C$6:$C$1005,MATCH($C330,'商品マスタ'!$B$6:$B$1005,0))),IFERROR(INDEX('①在庫を貼る'!$J$6:$J$10005,MATCH($C330,'①在庫を貼る'!$W$6:$W$10005,0)),IFERROR(INDEX('月1回_1ヶ月前の在庫'!$J$6:$J$10005,MATCH($C330,'月1回_1ヶ月前の在庫'!$W$6:$W$10005,0)),IFERROR(INDEX('月1回_2ヶ月前の在庫'!$J$6:$J$10005,MATCH($C330,'月1回_2ヶ月前の在庫'!$W$6:$W$10005,0)),"")))))</f>
        <v/>
      </c>
      <c r="E330">
        <f>IF($C330="","",IFERROR(IF(INDEX('商品マスタ'!$D$6:$D$1005,MATCH($C330,'商品マスタ'!$B$6:$B$1005,0))="",IFERROR(INDEX('①在庫を貼る'!$H$6:$H$10005,MATCH($C330,'①在庫を貼る'!$W$6:$W$10005,0)),IFERROR(INDEX('月1回_1ヶ月前の在庫'!$H$6:$H$10005,MATCH($C330,'月1回_1ヶ月前の在庫'!$W$6:$W$10005,0)),IFERROR(INDEX('月1回_2ヶ月前の在庫'!$H$6:$H$10005,MATCH($C330,'月1回_2ヶ月前の在庫'!$W$6:$W$10005,0)),""))),INDEX('商品マスタ'!$D$6:$D$1005,MATCH($C330,'商品マスタ'!$B$6:$B$1005,0))),IFERROR(INDEX('①在庫を貼る'!$H$6:$H$10005,MATCH($C330,'①在庫を貼る'!$W$6:$W$10005,0)),IFERROR(INDEX('月1回_1ヶ月前の在庫'!$H$6:$H$10005,MATCH($C330,'月1回_1ヶ月前の在庫'!$W$6:$W$10005,0)),IFERROR(INDEX('月1回_2ヶ月前の在庫'!$H$6:$H$10005,MATCH($C330,'月1回_2ヶ月前の在庫'!$W$6:$W$10005,0)),"")))))</f>
        <v/>
      </c>
      <c r="F330">
        <f>IF($C330="","",IFERROR(IF(INDEX('商品マスタ'!$E$6:$E$1005,MATCH($C330,'商品マスタ'!$B$6:$B$1005,0))="",IFERROR(INDEX('①在庫を貼る'!$E$6:$E$10005,MATCH($C330,'①在庫を貼る'!$W$6:$W$10005,0)),IFERROR(INDEX('月1回_1ヶ月前の在庫'!$E$6:$E$10005,MATCH($C330,'月1回_1ヶ月前の在庫'!$W$6:$W$10005,0)),IFERROR(INDEX('月1回_2ヶ月前の在庫'!$E$6:$E$10005,MATCH($C330,'月1回_2ヶ月前の在庫'!$W$6:$W$10005,0)),""))),INDEX('商品マスタ'!$E$6:$E$1005,MATCH($C330,'商品マスタ'!$B$6:$B$1005,0))),IFERROR(INDEX('①在庫を貼る'!$E$6:$E$10005,MATCH($C330,'①在庫を貼る'!$W$6:$W$10005,0)),IFERROR(INDEX('月1回_1ヶ月前の在庫'!$E$6:$E$10005,MATCH($C330,'月1回_1ヶ月前の在庫'!$W$6:$W$10005,0)),IFERROR(INDEX('月1回_2ヶ月前の在庫'!$E$6:$E$10005,MATCH($C330,'月1回_2ヶ月前の在庫'!$W$6:$W$10005,0)),"")))))</f>
        <v/>
      </c>
      <c r="G330">
        <f>IF($C330="","",MAX(1,N(IFERROR(IF(INDEX('商品マスタ'!$F$6:$F$1005,MATCH($C330,'商品マスタ'!$B$6:$B$1005,0))="",IF(COUNTIFS('①在庫を貼る'!$V$6:$V$10005,'設定'!$C$4,'①在庫を貼る'!$W$6:$W$10005,$C330)&gt;0,SUMIFS('①在庫を貼る'!$K$6:$K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K$6:$K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K$6:$K$10005,'月1回_2ヶ月前の在庫'!$V$6:$V$10005,'設定'!$C$4,'月1回_2ヶ月前の在庫'!$W$6:$W$10005,$C330)/COUNTIFS('月1回_2ヶ月前の在庫'!$V$6:$V$10005,'設定'!$C$4,'月1回_2ヶ月前の在庫'!$W$6:$W$10005,$C330),0))),INDEX('商品マスタ'!$F$6:$F$1005,MATCH($C330,'商品マスタ'!$B$6:$B$1005,0))),IF(COUNTIFS('①在庫を貼る'!$V$6:$V$10005,'設定'!$C$4,'①在庫を貼る'!$W$6:$W$10005,$C330)&gt;0,SUMIFS('①在庫を貼る'!$K$6:$K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K$6:$K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K$6:$K$10005,'月1回_2ヶ月前の在庫'!$V$6:$V$10005,'設定'!$C$4,'月1回_2ヶ月前の在庫'!$W$6:$W$10005,$C330)/COUNTIFS('月1回_2ヶ月前の在庫'!$V$6:$V$10005,'設定'!$C$4,'月1回_2ヶ月前の在庫'!$W$6:$W$10005,$C330),0)))))))</f>
        <v/>
      </c>
      <c r="H330">
        <f>IF($C330="","",N(IFERROR(IF(INDEX('商品マスタ'!$G$6:$G$1005,MATCH($C330,'商品マスタ'!$B$6:$B$1005,0))="",IF(COUNTIFS('①在庫を貼る'!$V$6:$V$10005,'設定'!$C$4,'①在庫を貼る'!$W$6:$W$10005,$C330)&gt;0,SUMIFS('①在庫を貼る'!$Q$6:$Q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Q$6:$Q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Q$6:$Q$10005,'月1回_2ヶ月前の在庫'!$V$6:$V$10005,'設定'!$C$4,'月1回_2ヶ月前の在庫'!$W$6:$W$10005,$C330)/COUNTIFS('月1回_2ヶ月前の在庫'!$V$6:$V$10005,'設定'!$C$4,'月1回_2ヶ月前の在庫'!$W$6:$W$10005,$C330),0))),INDEX('商品マスタ'!$G$6:$G$1005,MATCH($C330,'商品マスタ'!$B$6:$B$1005,0))),IF(COUNTIFS('①在庫を貼る'!$V$6:$V$10005,'設定'!$C$4,'①在庫を貼る'!$W$6:$W$10005,$C330)&gt;0,SUMIFS('①在庫を貼る'!$Q$6:$Q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Q$6:$Q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Q$6:$Q$10005,'月1回_2ヶ月前の在庫'!$V$6:$V$10005,'設定'!$C$4,'月1回_2ヶ月前の在庫'!$W$6:$W$10005,$C330)/COUNTIFS('月1回_2ヶ月前の在庫'!$V$6:$V$10005,'設定'!$C$4,'月1回_2ヶ月前の在庫'!$W$6:$W$10005,$C330),0))))))</f>
        <v/>
      </c>
      <c r="I330">
        <f>IF($C330="","",IF(COUNTIFS('①在庫を貼る'!$V$6:$V$10005,'設定'!$C$4,'①在庫を貼る'!$W$6:$W$10005,$C330)=0,"",SUMIFS('①在庫を貼る'!$N$6:$N$10005,'①在庫を貼る'!$V$6:$V$10005,'設定'!$C$4,'①在庫を貼る'!$W$6:$W$10005,$C330)))</f>
        <v/>
      </c>
      <c r="J330">
        <f>IF($C330="","",IF('②発注する'!$AD334="","",'②発注する'!$AD334))</f>
        <v/>
      </c>
      <c r="K330" s="90">
        <f>IF($C330="","",IF('②発注する'!$AE334="","",'②発注する'!$AE334))</f>
        <v/>
      </c>
      <c r="L330">
        <f>IF($C330="","",IF(AND(ISNUMBER($J330),ISNUMBER($K330),$K330&gt;='設定'!$C$6),$J330,N($I330)))</f>
        <v/>
      </c>
      <c r="M330">
        <f>IF($C330="","",IFERROR(IF(N(INDEX('商品マスタ'!$J$6:$J$1005,MATCH($C330,'商品マスタ'!$B$6:$B$1005,0)))&gt;0,INDEX('商品マスタ'!$J$6:$J$1005,MATCH($C330,'商品マスタ'!$B$6:$B$1005,0)),""),""))</f>
        <v/>
      </c>
      <c r="N330">
        <f>IF($C330="","",IFERROR(IF(N(INDEX('商品マスタ'!$H$6:$H$1005,MATCH($C330,'商品マスタ'!$B$6:$B$1005,0)))&gt;0,INDEX('商品マスタ'!$H$6:$H$1005,MATCH($C330,'商品マスタ'!$B$6:$B$1005,0)),""),""))</f>
        <v/>
      </c>
      <c r="O330">
        <f>IF($C330="","",IF($N330&lt;&gt;"",$N330*$G330,IF(N(IF(COUNTIFS('①在庫を貼る'!$V$6:$V$10005,'設定'!$C$4,'①在庫を貼る'!$W$6:$W$10005,$C330)&gt;0,SUMIFS('①在庫を貼る'!$O$6:$O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O$6:$O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O$6:$O$10005,'月1回_2ヶ月前の在庫'!$V$6:$V$10005,'設定'!$C$4,'月1回_2ヶ月前の在庫'!$W$6:$W$10005,$C330)/COUNTIFS('月1回_2ヶ月前の在庫'!$V$6:$V$10005,'設定'!$C$4,'月1回_2ヶ月前の在庫'!$W$6:$W$10005,$C330),0))))&gt;0,N(IF(COUNTIFS('①在庫を貼る'!$V$6:$V$10005,'設定'!$C$4,'①在庫を貼る'!$W$6:$W$10005,$C330)&gt;0,SUMIFS('①在庫を貼る'!$O$6:$O$10005,'①在庫を貼る'!$V$6:$V$10005,'設定'!$C$4,'①在庫を貼る'!$W$6:$W$10005,$C330)/COUNTIFS('①在庫を貼る'!$V$6:$V$10005,'設定'!$C$4,'①在庫を貼る'!$W$6:$W$10005,$C330),IF(COUNTIFS('月1回_1ヶ月前の在庫'!$V$6:$V$10005,'設定'!$C$4,'月1回_1ヶ月前の在庫'!$W$6:$W$10005,$C330)&gt;0,SUMIFS('月1回_1ヶ月前の在庫'!$O$6:$O$10005,'月1回_1ヶ月前の在庫'!$V$6:$V$10005,'設定'!$C$4,'月1回_1ヶ月前の在庫'!$W$6:$W$10005,$C330)/COUNTIFS('月1回_1ヶ月前の在庫'!$V$6:$V$10005,'設定'!$C$4,'月1回_1ヶ月前の在庫'!$W$6:$W$10005,$C330),IF(COUNTIFS('月1回_2ヶ月前の在庫'!$V$6:$V$10005,'設定'!$C$4,'月1回_2ヶ月前の在庫'!$W$6:$W$10005,$C330)&gt;0,SUMIFS('月1回_2ヶ月前の在庫'!$O$6:$O$10005,'月1回_2ヶ月前の在庫'!$V$6:$V$10005,'設定'!$C$4,'月1回_2ヶ月前の在庫'!$W$6:$W$10005,$C330)/COUNTIFS('月1回_2ヶ月前の在庫'!$V$6:$V$10005,'設定'!$C$4,'月1回_2ヶ月前の在庫'!$W$6:$W$10005,$C330),0)))),"")))</f>
        <v/>
      </c>
      <c r="P330" s="90">
        <f>IF($C330="","",IF('②発注する'!$I334="","",'②発注する'!$I334))</f>
        <v/>
      </c>
      <c r="Q330">
        <f>IF($C330="","",IF('②発注する'!$J334="","",'②発注する'!$J334))</f>
        <v/>
      </c>
      <c r="R330">
        <f>IF($C330="",0,IF(AND(ISNUMBER($P330),ISNUMBER($Q330)),MAX(0,$Q330)*$G330,0))</f>
        <v/>
      </c>
      <c r="S330" s="90">
        <f>IF($C330="","",IF('②発注する'!$M334="","",'②発注する'!$M334))</f>
        <v/>
      </c>
      <c r="T330">
        <f>IF($C330="","",IF('②発注する'!$N334="","",'②発注する'!$N334))</f>
        <v/>
      </c>
      <c r="U330">
        <f>IF($C330="",0,IF(AND(ISNUMBER($S330),ISNUMBER($T330)),MAX(0,$T330)*$G330,0))</f>
        <v/>
      </c>
      <c r="V330">
        <f>IF($C330="",0,IF($M330="",0,MAX(0,$M330)*MAX(0,V$4)/100))</f>
        <v/>
      </c>
      <c r="W330">
        <f>IF($C330="",0,IF($M330="",0,MAX(0,$M330)*MAX(0,W$4)/100))</f>
        <v/>
      </c>
      <c r="X330">
        <f>IF($C330="",0,IF($M330="",0,MAX(0,$M330)*MAX(0,X$4)/100))</f>
        <v/>
      </c>
      <c r="Y330">
        <f>IF($C330="",0,IF($M330="",0,MAX(0,$M330)*MAX(0,Y$4)/100))</f>
        <v/>
      </c>
      <c r="Z330">
        <f>IF($C330="",0,IF($M330="",0,MAX(0,$M330)*MAX(0,Z$4)/100))</f>
        <v/>
      </c>
      <c r="AA330">
        <f>IF($C330="",0,IF($M330="",0,MAX(0,$M330)*MAX(0,AA$4)/100))</f>
        <v/>
      </c>
      <c r="AB330">
        <f>IF($C330="",0,IF($M330="",0,MAX(0,$M330)*MAX(0,AB$4)/100))</f>
        <v/>
      </c>
      <c r="AC330">
        <f>IF($C330="",0,IF($M330="",0,MAX(0,$M330)*MAX(0,AC$4)/100))</f>
        <v/>
      </c>
      <c r="AD330">
        <f>IF($C330="",0,IF($M330="",0,MAX(0,$M330)*MAX(0,AD$4)/100))</f>
        <v/>
      </c>
      <c r="AE330">
        <f>IF($C330="",0,IF($M330="",0,MAX(0,$M330)*MAX(0,AE$4)/100))</f>
        <v/>
      </c>
      <c r="AF330">
        <f>IF($C330="",0,IF($M330="",0,MAX(0,$M330)*MAX(0,AF$4)/100))</f>
        <v/>
      </c>
      <c r="AG330">
        <f>IF($C330="",0,IF($M330="",0,MAX(0,$M330)*MAX(0,AG$4)/100))</f>
        <v/>
      </c>
      <c r="AH330">
        <f>IF($C330="",0,IF($M330="",0,MAX(0,$M330)*MAX(0,AH$4)/100))</f>
        <v/>
      </c>
      <c r="AI330">
        <f>IF($C330="",0,IF($M330="",0,MAX(0,$M330)*MAX(0,AI$4)/100))</f>
        <v/>
      </c>
      <c r="AJ330">
        <f>IF($C330="",0,MAX(0,MAX(0,N($L330))-$V330))</f>
        <v/>
      </c>
      <c r="AK330">
        <f>IF($C330="",0,MAX(0,$AJ330-$W330))</f>
        <v/>
      </c>
      <c r="AL330">
        <f>IF($C330="",0,MAX(0,$AK330-$X330))</f>
        <v/>
      </c>
      <c r="AM330">
        <f>IF($C330="",0,MAX(0,$AL330-$Y330))</f>
        <v/>
      </c>
      <c r="AN330">
        <f>IF($C330="",0,MAX(0,$AM330-$Z330))</f>
        <v/>
      </c>
      <c r="AO330">
        <f>IF($C330="",0,MAX(0,$AN330-$AA330))</f>
        <v/>
      </c>
      <c r="AP330">
        <f>IF($C330="",0,MAX(0,$AO330-$AB330))</f>
        <v/>
      </c>
      <c r="AQ330">
        <f>IF($C330="",0,MAX(0,$AP330-$AC330))</f>
        <v/>
      </c>
      <c r="AR330">
        <f>IF($C330="",0,MAX(0,$AQ330-$AD330))</f>
        <v/>
      </c>
      <c r="AS330">
        <f>IF($C330="",0,MAX(0,$AR330-$AE330))</f>
        <v/>
      </c>
      <c r="AT330">
        <f>IF($C330="",0,MAX(0,$AS330-$AF330))</f>
        <v/>
      </c>
      <c r="AU330">
        <f>IF($C330="",0,MAX(0,$AT330-$AG330))</f>
        <v/>
      </c>
      <c r="AV330">
        <f>IF($C330="",0,MAX(0,$AU330-$AH330))</f>
        <v/>
      </c>
      <c r="AW330">
        <f>IF($C330="",0,MAX(0,$AV330-$AI330))</f>
        <v/>
      </c>
      <c r="AX330">
        <f>IF($C330="",0,MAX(0,MAX(0,N($L330))+IF($P330=V$3,$R330,0)+IF($S330=V$3,$U330,0)-$V330))</f>
        <v/>
      </c>
      <c r="AY330">
        <f>IF($C330="",0,MAX(0,$AX330+IF($P330=W$3,$R330,0)+IF($S330=W$3,$U330,0)-$W330))</f>
        <v/>
      </c>
      <c r="AZ330">
        <f>IF($C330="",0,MAX(0,$AY330+IF($P330=X$3,$R330,0)+IF($S330=X$3,$U330,0)-$X330))</f>
        <v/>
      </c>
      <c r="BA330">
        <f>IF($C330="",0,MAX(0,$AZ330+IF($P330=Y$3,$R330,0)+IF($S330=Y$3,$U330,0)-$Y330))</f>
        <v/>
      </c>
      <c r="BB330">
        <f>IF($C330="",0,MAX(0,$BA330+IF($P330=Z$3,$R330,0)+IF($S330=Z$3,$U330,0)-$Z330))</f>
        <v/>
      </c>
      <c r="BC330">
        <f>IF($C330="",0,MAX(0,$BB330+IF($P330=AA$3,$R330,0)+IF($S330=AA$3,$U330,0)-$AA330))</f>
        <v/>
      </c>
      <c r="BD330">
        <f>IF($C330="",0,MAX(0,$BC330+IF($P330=AB$3,$R330,0)+IF($S330=AB$3,$U330,0)-$AB330))</f>
        <v/>
      </c>
      <c r="BE330">
        <f>IF($C330="",0,MAX(0,$BD330+IF($P330=AC$3,$R330,0)+IF($S330=AC$3,$U330,0)-$AC330))</f>
        <v/>
      </c>
      <c r="BF330">
        <f>IF($C330="",0,MAX(0,$BE330+IF($P330=AD$3,$R330,0)+IF($S330=AD$3,$U330,0)-$AD330))</f>
        <v/>
      </c>
      <c r="BG330">
        <f>IF($C330="",0,MAX(0,$BF330+IF($P330=AE$3,$R330,0)+IF($S330=AE$3,$U330,0)-$AE330))</f>
        <v/>
      </c>
      <c r="BH330">
        <f>IF($C330="",0,MAX(0,$BG330+IF($P330=AF$3,$R330,0)+IF($S330=AF$3,$U330,0)-$AF330))</f>
        <v/>
      </c>
      <c r="BI330">
        <f>IF($C330="",0,MAX(0,$BH330+IF($P330=AG$3,$R330,0)+IF($S330=AG$3,$U330,0)-$AG330))</f>
        <v/>
      </c>
      <c r="BJ330">
        <f>IF($C330="",0,MAX(0,$BI330+IF($P330=AH$3,$R330,0)+IF($S330=AH$3,$U330,0)-$AH330))</f>
        <v/>
      </c>
      <c r="BK330">
        <f>IF($C330="",0,MAX(0,$BJ330+IF($P330=AI$3,$R330,0)+IF($S330=AI$3,$U330,0)-$AI330))</f>
        <v/>
      </c>
      <c r="BL330">
        <f>IF($C330="",99,IF(AND($AX330&lt;1,V$3&gt;=MAX(N($P330),N($S330))),0,99))</f>
        <v/>
      </c>
      <c r="BM330">
        <f>IF($C330="",99,IF(AND($AY330&lt;1,W$3&gt;=MAX(N($P330),N($S330))),1,99))</f>
        <v/>
      </c>
      <c r="BN330">
        <f>IF($C330="",99,IF(AND($AZ330&lt;1,X$3&gt;=MAX(N($P330),N($S330))),2,99))</f>
        <v/>
      </c>
      <c r="BO330">
        <f>IF($C330="",99,IF(AND($BA330&lt;1,Y$3&gt;=MAX(N($P330),N($S330))),3,99))</f>
        <v/>
      </c>
      <c r="BP330">
        <f>IF($C330="",99,IF(AND($BB330&lt;1,Z$3&gt;=MAX(N($P330),N($S330))),4,99))</f>
        <v/>
      </c>
      <c r="BQ330">
        <f>IF($C330="",99,IF(AND($BC330&lt;1,AA$3&gt;=MAX(N($P330),N($S330))),5,99))</f>
        <v/>
      </c>
      <c r="BR330">
        <f>IF($C330="",99,IF(AND($BD330&lt;1,AB$3&gt;=MAX(N($P330),N($S330))),6,99))</f>
        <v/>
      </c>
      <c r="BS330">
        <f>IF($C330="",99,IF(AND($BE330&lt;1,AC$3&gt;=MAX(N($P330),N($S330))),7,99))</f>
        <v/>
      </c>
      <c r="BT330">
        <f>IF($C330="",99,IF(AND($BF330&lt;1,AD$3&gt;=MAX(N($P330),N($S330))),8,99))</f>
        <v/>
      </c>
      <c r="BU330">
        <f>IF($C330="",99,IF(AND($BG330&lt;1,AE$3&gt;=MAX(N($P330),N($S330))),9,99))</f>
        <v/>
      </c>
      <c r="BV330">
        <f>IF($C330="",99,IF(AND($BH330&lt;1,AF$3&gt;=MAX(N($P330),N($S330))),10,99))</f>
        <v/>
      </c>
      <c r="BW330">
        <f>IF($C330="",99,IF(AND($BI330&lt;1,AG$3&gt;=MAX(N($P330),N($S330))),11,99))</f>
        <v/>
      </c>
      <c r="BX330">
        <f>IF($C330="",99,IF(AND($BJ330&lt;1,AH$3&gt;=MAX(N($P330),N($S330))),12,99))</f>
        <v/>
      </c>
      <c r="BY330">
        <f>IF($C330="",99,IF(AND($BK330&lt;1,AI$3&gt;=MAX(N($P330),N($S330))),13,99))</f>
        <v/>
      </c>
      <c r="BZ330">
        <f>IF(OR($C330="",$M330=""),"",COUNTIF($AJ330:$AW330,"&gt;=1"))</f>
        <v/>
      </c>
      <c r="CA330" s="90">
        <f>IF($BZ330="","",IF($BZ330&gt;=14,"",'設定'!$C$6+$BZ330))</f>
        <v/>
      </c>
      <c r="CB330">
        <f>IF(OR($C330="",$M330=""),"",MIN($BL330:$BY330))</f>
        <v/>
      </c>
      <c r="CC330" s="90">
        <f>IF($CB330="","",IF($CB330&gt;=99,"",'設定'!$C$6+$CB330))</f>
        <v/>
      </c>
      <c r="CD330">
        <f>IF(OR($C330="",$M330=""),"",AVERAGE($V330:$AI330))</f>
        <v/>
      </c>
      <c r="CE330">
        <f>IF($C330="","",IFERROR(IF(MATCH(IF(ISNUMBER($P330),$P330,'設定'!$C$6+N('設定'!$C$7)),$V$3:$AI$3,0)=1,MAX(0,N($L330)),INDEX($AJ330:$AW330,MATCH(IF(ISNUMBER($P330),$P330,'設定'!$C$6+N('設定'!$C$7)),$V$3:$AI$3,0)-1)),""))</f>
        <v/>
      </c>
      <c r="CF330">
        <f>IF(OR($C330="",$O330="",$CE330=""),"",IF($O330-$CE330&lt;=0,0,ROUNDUP(($O330-$CE330)/$G330,0)))</f>
        <v/>
      </c>
      <c r="CG330">
        <f>IF(OR($C330="",$CF330="",NOT(ISNUMBER($Q330))),0,MAX(0,$Q330-$CF330))</f>
        <v/>
      </c>
      <c r="CH330">
        <f>IF(OR($C330="",$O330="",$U330=0),0,IFERROR(ROUNDUP(MAX(0,IF(MATCH($S330,$V$3:$AI$3,0)=1,MAX(0,N($L330)),INDEX($AX330:$BK330,MATCH($S330,$V$3:$AI$3,0)-1))+$U330-$O330)/$G330,0),0))</f>
        <v/>
      </c>
      <c r="CI330">
        <f>IF($C330="","",IF(AND($P330="",$Q330=""),"",IF($P330="","⚠ 入庫日を ▼ から選んでください",IF(NOT(ISNUMBER($P330)),"⚠ 入庫日は ▼ から選んでください",IF($P330&lt;N('設定'!$C$6),"⚠ 入庫日が過去です（もう在庫に入っています）→ 消してください",IF($P330&gt;N('設定'!$C$6)+13,"⚠ 入庫日が14日より先です",IF(N($Q330)&lt;=0,"⚠ 入庫数を入れてください",IF($CG330&gt;0,"⚠ 目安より "&amp;$CG330&amp;" 多い（定数を超える）→ 減らす",""))))))))</f>
        <v/>
      </c>
      <c r="CJ330">
        <f>IF($C330="","",IF(AND($S330="",$T330=""),"",IF($S330="","⚠ 2便目：入庫日を ▼ から選んでください",IF(NOT(ISNUMBER($S330)),"⚠ 2便目：入庫日は ▼ から選んでください",IF($S330&lt;N('設定'!$C$6),"⚠ 2便目：入庫日が過去です（もう在庫に入っています）→ 消してください",IF($S330&gt;N('設定'!$C$6)+13,"⚠ 2便目：入庫日が14日より先です",IF(N($T330)&lt;=0,"⚠ 2便目：入庫数を入れてください",IF($CH330&gt;0,"⚠ 2便目：定数を "&amp;$CH330&amp;" ケース超える → 減らす",""))))))))</f>
        <v/>
      </c>
      <c r="CK330">
        <f>IF(AND($CI330="",N($Q330)&gt;0,ISNUMBER($P330)),1,0)</f>
        <v/>
      </c>
      <c r="CL330">
        <f>IF(AND($CJ330="",N($T330)&gt;0,ISNUMBER($S330)),1,0)</f>
        <v/>
      </c>
      <c r="CM330">
        <f>IF(OR($CK330=1,$CL330=1),1,0)</f>
        <v/>
      </c>
      <c r="CN330">
        <f>IF($C330="",0,($CK330*$R330+$CL330*$U330)*N($H330))</f>
        <v/>
      </c>
      <c r="CO330">
        <f>IF($C330="","",IF($CC330="","入庫後は 14日以上もつ",IF($CC330-N('設定'!$C$7)&lt;='設定'!$C$6,"入庫後も "&amp;TEXT($CC330,"m/d")&amp;"("&amp;CHOOSE(WEEKDAY($CC330),"日","月","火","水","木","金","土")&amp;")"&amp;" に切れる　もう1便を至急発注","入庫後も "&amp;TEXT($CC330,"m/d")&amp;"("&amp;CHOOSE(WEEKDAY($CC330),"日","月","火","水","木","金","土")&amp;")"&amp;" に切れる　"&amp;TEXT($CC330-N('設定'!$C$7),"m/d")&amp;"("&amp;CHOOSE(WEEKDAY($CC330-N('設定'!$C$7)),"日","月","火","水","木","金","土")&amp;")"&amp;" までに次を発注")))</f>
        <v/>
      </c>
      <c r="CP330">
        <f>IF($C330="","",IF('設定'!$C$6="","？ ①在庫を貼る に今日のCSVが貼られていない",IF($CS330=1,"－ 今日のCSVに無い（終売？）",IF($L330&lt;0,"● 在庫がマイナス　数えて「数えた在庫」に入れる",IF($L330=0,"● 在庫なし　至急発注",IF($M330="","？ 減り数が未設定（商品マスタ）",IF($B$3=0,"？ 動員が未入力（動員を入れる）",IF($CA330="","○ 14日以上もつ",IF($BZ330&lt;N('設定'!$C$7),"● "&amp;TEXT($CA330,"m/d")&amp;"("&amp;CHOOSE(WEEKDAY($CA330),"日","月","火","水","木","金","土")&amp;")"&amp;" に切れる　至急発注",IF($BZ330=N('設定'!$C$7),"● "&amp;TEXT($CA330,"m/d")&amp;"("&amp;CHOOSE(WEEKDAY($CA330),"日","月","火","水","木","金","土")&amp;")"&amp;" に切れる　今日発注","△ "&amp;TEXT($CA330,"m/d")&amp;"("&amp;CHOOSE(WEEKDAY($CA330),"日","月","火","水","木","金","土")&amp;")"&amp;" に切れる　"&amp;TEXT($CA330-N('設定'!$C$7),"m/d")&amp;"("&amp;CHOOSE(WEEKDAY($CA330-N('設定'!$C$7)),"日","月","火","水","木","金","土")&amp;")"&amp;" までに発注"))))))))))</f>
        <v/>
      </c>
      <c r="CQ330">
        <f>IF($C330="","",IF(AND($P330="",$Q330="",$S330="",$T330=""),"",IF(AND($P330="",$Q330=""),"⚠ 先に1便目（左の入庫日・入庫数）に入れてください",IF($CI330&lt;&gt;"",$CI330,IF($CJ330&lt;&gt;"",$CJ330,IF($M330="","？ 減り数が未設定（発注書には載ります）",IF($B$3=0,"？ 動員が未入力（発注書には載ります）",IF(AND($CA330&lt;&gt;"",$P330&gt;$CA330),IF($P330&gt;'設定'!$C$6+N('設定'!$C$7),"● "&amp;TEXT($P330,"m/d")&amp;"("&amp;CHOOSE(WEEKDAY($P330),"日","月","火","水","木","金","土")&amp;")"&amp;" の入庫では間に合わない（"&amp;TEXT($CA330,"m/d")&amp;"("&amp;CHOOSE(WEEKDAY($CA330),"日","月","火","水","木","金","土")&amp;")"&amp;" に切れる）　入庫日を早める","△ 欠品 "&amp;TEXT($CA330,"m/d")&amp;"("&amp;CHOOSE(WEEKDAY($CA330),"日","月","火","水","木","金","土")&amp;")"&amp;"〜"&amp;TEXT($P330-1,"m/d")&amp;"("&amp;CHOOSE(WEEKDAY($P330-1),"日","月","火","水","木","金","土")&amp;")"&amp;"　"&amp;$CO330),IF($CC330="","○ "&amp;TEXT($P330,"m/d")&amp;"("&amp;CHOOSE(WEEKDAY($P330),"日","月","火","水","木","金","土")&amp;")"&amp;" 入庫で 14日以上もつ",IF($CC330-N('設定'!$C$7)&lt;='設定'!$C$6,"● 入庫しても "&amp;TEXT($CC330,"m/d")&amp;"("&amp;CHOOSE(WEEKDAY($CC330),"日","月","火","水","木","金","土")&amp;")"&amp;" に切れる　もう1便を至急発注（2便目に入れる）","△ 入庫しても "&amp;TEXT($CC330,"m/d")&amp;"("&amp;CHOOSE(WEEKDAY($CC330),"日","月","火","水","木","金","土")&amp;")"&amp;" に切れる　"&amp;TEXT($CC330-N('設定'!$C$7),"m/d")&amp;"("&amp;CHOOSE(WEEKDAY($CC330-N('設定'!$C$7)),"日","月","火","水","木","金","土")&amp;")"&amp;" までに次を発注（2便目に入れる）"))))))))))</f>
        <v/>
      </c>
      <c r="CR330">
        <f>IF($C330="","",IF($G330&gt;1,"ｹｰｽ("&amp;$G330&amp;"入)","個"))</f>
        <v/>
      </c>
      <c r="CS330">
        <f>IF($C330="",0,IF(COUNTIFS('①在庫を貼る'!$V$6:$V$10005,'設定'!$C$4,'①在庫を貼る'!$W$6:$W$10005,$C330)=0,1,0))</f>
        <v/>
      </c>
      <c r="CT330">
        <f>IF(AND($CK330=1,OR('③発注書'!$C$4="すべて",'③発注書'!$C$4="",$F330='③発注書'!$C$4)),N($CT329)+1,N($CT329))</f>
        <v/>
      </c>
      <c r="CU330">
        <f>IF(AND($CL330=1,OR('③発注書'!$C$4="すべて",'③発注書'!$C$4="",$F330='③発注書'!$C$4)),N($CU329)+1,N($CU329))</f>
        <v/>
      </c>
      <c r="CV330">
        <f>IF($C330="",0,IF(COUNTIFS('①在庫を貼る'!$V$6:$V$10005,'設定'!$C$4,'①在庫を貼る'!$W$6:$W$10005,$C330)&gt;0,1,0))</f>
        <v/>
      </c>
      <c r="CW330">
        <f>IF($C330="",0,IF(COUNTIFS('月1回_1ヶ月前の在庫'!$V$6:$V$10005,'設定'!$C$4,'月1回_1ヶ月前の在庫'!$W$6:$W$10005,$C330)&gt;0,1,0))</f>
        <v/>
      </c>
      <c r="CX330">
        <f>IF($C330="",0,IF(COUNTIFS('月1回_2ヶ月前の在庫'!$V$6:$V$10005,'設定'!$C$4,'月1回_2ヶ月前の在庫'!$W$6:$W$10005,$C330)&gt;0,1,0))</f>
        <v/>
      </c>
      <c r="CY330">
        <f>IF(OR($C330="",'設定'!$C$12=""),"",IF('設定'!$C$13="",IF(AND($CV330=1,$CW330=0),"新商品（今月から）",IF(AND($CV330=0,$CW330=1),"終売（今月から）","")),IF(AND($CV330=1,$CW330=0,$CX330=0),"新商品（今月から）",IF(AND($CV330=1,$CW330=1,$CX330=0),"新商品（先月から）",IF(AND($CV330=0,$CW330=1,$CX330=1),"終売（今月から）",IF(AND($CV330=0,$CW330=0,$CX330=1),"終売（先月から）",IF(AND($CV330=1,$CW330=0,$CX330=1),"復活（先月は無し）","")))))))</f>
        <v/>
      </c>
    </row>
    <row r="331">
      <c r="B331">
        <f>IF(326&lt;='設定'!$C$11,326,"")</f>
        <v/>
      </c>
      <c r="C331">
        <f>IF($B331="","",IF($B331&lt;='設定'!$C$20,INDEX('商品マスタ'!$B$6:$B$1005,MATCH($B331,'商品マスタ'!$M$6:$M$1005,0)),IF($B331&lt;='設定'!$C$20+'設定'!$C$17,INDEX('①在庫を貼る'!$W$6:$W$10005,MATCH($B331-'設定'!$C$20,'①在庫を貼る'!$U$6:$U$10005,0)),IF($B331&lt;='設定'!$C$20+'設定'!$C$17+'設定'!$C$18,INDEX('月1回_1ヶ月前の在庫'!$W$6:$W$10005,MATCH($B331-'設定'!$C$20-'設定'!$C$17,'月1回_1ヶ月前の在庫'!$U$6:$U$10005,0)),INDEX('月1回_2ヶ月前の在庫'!$W$6:$W$10005,MATCH($B331-'設定'!$C$20-'設定'!$C$17-'設定'!$C$18,'月1回_2ヶ月前の在庫'!$U$6:$U$10005,0))))))</f>
        <v/>
      </c>
      <c r="D331">
        <f>IF($C331="","",IFERROR(IF(INDEX('商品マスタ'!$C$6:$C$1005,MATCH($C331,'商品マスタ'!$B$6:$B$1005,0))="",IFERROR(INDEX('①在庫を貼る'!$J$6:$J$10005,MATCH($C331,'①在庫を貼る'!$W$6:$W$10005,0)),IFERROR(INDEX('月1回_1ヶ月前の在庫'!$J$6:$J$10005,MATCH($C331,'月1回_1ヶ月前の在庫'!$W$6:$W$10005,0)),IFERROR(INDEX('月1回_2ヶ月前の在庫'!$J$6:$J$10005,MATCH($C331,'月1回_2ヶ月前の在庫'!$W$6:$W$10005,0)),""))),INDEX('商品マスタ'!$C$6:$C$1005,MATCH($C331,'商品マスタ'!$B$6:$B$1005,0))),IFERROR(INDEX('①在庫を貼る'!$J$6:$J$10005,MATCH($C331,'①在庫を貼る'!$W$6:$W$10005,0)),IFERROR(INDEX('月1回_1ヶ月前の在庫'!$J$6:$J$10005,MATCH($C331,'月1回_1ヶ月前の在庫'!$W$6:$W$10005,0)),IFERROR(INDEX('月1回_2ヶ月前の在庫'!$J$6:$J$10005,MATCH($C331,'月1回_2ヶ月前の在庫'!$W$6:$W$10005,0)),"")))))</f>
        <v/>
      </c>
      <c r="E331">
        <f>IF($C331="","",IFERROR(IF(INDEX('商品マスタ'!$D$6:$D$1005,MATCH($C331,'商品マスタ'!$B$6:$B$1005,0))="",IFERROR(INDEX('①在庫を貼る'!$H$6:$H$10005,MATCH($C331,'①在庫を貼る'!$W$6:$W$10005,0)),IFERROR(INDEX('月1回_1ヶ月前の在庫'!$H$6:$H$10005,MATCH($C331,'月1回_1ヶ月前の在庫'!$W$6:$W$10005,0)),IFERROR(INDEX('月1回_2ヶ月前の在庫'!$H$6:$H$10005,MATCH($C331,'月1回_2ヶ月前の在庫'!$W$6:$W$10005,0)),""))),INDEX('商品マスタ'!$D$6:$D$1005,MATCH($C331,'商品マスタ'!$B$6:$B$1005,0))),IFERROR(INDEX('①在庫を貼る'!$H$6:$H$10005,MATCH($C331,'①在庫を貼る'!$W$6:$W$10005,0)),IFERROR(INDEX('月1回_1ヶ月前の在庫'!$H$6:$H$10005,MATCH($C331,'月1回_1ヶ月前の在庫'!$W$6:$W$10005,0)),IFERROR(INDEX('月1回_2ヶ月前の在庫'!$H$6:$H$10005,MATCH($C331,'月1回_2ヶ月前の在庫'!$W$6:$W$10005,0)),"")))))</f>
        <v/>
      </c>
      <c r="F331">
        <f>IF($C331="","",IFERROR(IF(INDEX('商品マスタ'!$E$6:$E$1005,MATCH($C331,'商品マスタ'!$B$6:$B$1005,0))="",IFERROR(INDEX('①在庫を貼る'!$E$6:$E$10005,MATCH($C331,'①在庫を貼る'!$W$6:$W$10005,0)),IFERROR(INDEX('月1回_1ヶ月前の在庫'!$E$6:$E$10005,MATCH($C331,'月1回_1ヶ月前の在庫'!$W$6:$W$10005,0)),IFERROR(INDEX('月1回_2ヶ月前の在庫'!$E$6:$E$10005,MATCH($C331,'月1回_2ヶ月前の在庫'!$W$6:$W$10005,0)),""))),INDEX('商品マスタ'!$E$6:$E$1005,MATCH($C331,'商品マスタ'!$B$6:$B$1005,0))),IFERROR(INDEX('①在庫を貼る'!$E$6:$E$10005,MATCH($C331,'①在庫を貼る'!$W$6:$W$10005,0)),IFERROR(INDEX('月1回_1ヶ月前の在庫'!$E$6:$E$10005,MATCH($C331,'月1回_1ヶ月前の在庫'!$W$6:$W$10005,0)),IFERROR(INDEX('月1回_2ヶ月前の在庫'!$E$6:$E$10005,MATCH($C331,'月1回_2ヶ月前の在庫'!$W$6:$W$10005,0)),"")))))</f>
        <v/>
      </c>
      <c r="G331">
        <f>IF($C331="","",MAX(1,N(IFERROR(IF(INDEX('商品マスタ'!$F$6:$F$1005,MATCH($C331,'商品マスタ'!$B$6:$B$1005,0))="",IF(COUNTIFS('①在庫を貼る'!$V$6:$V$10005,'設定'!$C$4,'①在庫を貼る'!$W$6:$W$10005,$C331)&gt;0,SUMIFS('①在庫を貼る'!$K$6:$K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K$6:$K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K$6:$K$10005,'月1回_2ヶ月前の在庫'!$V$6:$V$10005,'設定'!$C$4,'月1回_2ヶ月前の在庫'!$W$6:$W$10005,$C331)/COUNTIFS('月1回_2ヶ月前の在庫'!$V$6:$V$10005,'設定'!$C$4,'月1回_2ヶ月前の在庫'!$W$6:$W$10005,$C331),0))),INDEX('商品マスタ'!$F$6:$F$1005,MATCH($C331,'商品マスタ'!$B$6:$B$1005,0))),IF(COUNTIFS('①在庫を貼る'!$V$6:$V$10005,'設定'!$C$4,'①在庫を貼る'!$W$6:$W$10005,$C331)&gt;0,SUMIFS('①在庫を貼る'!$K$6:$K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K$6:$K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K$6:$K$10005,'月1回_2ヶ月前の在庫'!$V$6:$V$10005,'設定'!$C$4,'月1回_2ヶ月前の在庫'!$W$6:$W$10005,$C331)/COUNTIFS('月1回_2ヶ月前の在庫'!$V$6:$V$10005,'設定'!$C$4,'月1回_2ヶ月前の在庫'!$W$6:$W$10005,$C331),0)))))))</f>
        <v/>
      </c>
      <c r="H331">
        <f>IF($C331="","",N(IFERROR(IF(INDEX('商品マスタ'!$G$6:$G$1005,MATCH($C331,'商品マスタ'!$B$6:$B$1005,0))="",IF(COUNTIFS('①在庫を貼る'!$V$6:$V$10005,'設定'!$C$4,'①在庫を貼る'!$W$6:$W$10005,$C331)&gt;0,SUMIFS('①在庫を貼る'!$Q$6:$Q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Q$6:$Q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Q$6:$Q$10005,'月1回_2ヶ月前の在庫'!$V$6:$V$10005,'設定'!$C$4,'月1回_2ヶ月前の在庫'!$W$6:$W$10005,$C331)/COUNTIFS('月1回_2ヶ月前の在庫'!$V$6:$V$10005,'設定'!$C$4,'月1回_2ヶ月前の在庫'!$W$6:$W$10005,$C331),0))),INDEX('商品マスタ'!$G$6:$G$1005,MATCH($C331,'商品マスタ'!$B$6:$B$1005,0))),IF(COUNTIFS('①在庫を貼る'!$V$6:$V$10005,'設定'!$C$4,'①在庫を貼る'!$W$6:$W$10005,$C331)&gt;0,SUMIFS('①在庫を貼る'!$Q$6:$Q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Q$6:$Q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Q$6:$Q$10005,'月1回_2ヶ月前の在庫'!$V$6:$V$10005,'設定'!$C$4,'月1回_2ヶ月前の在庫'!$W$6:$W$10005,$C331)/COUNTIFS('月1回_2ヶ月前の在庫'!$V$6:$V$10005,'設定'!$C$4,'月1回_2ヶ月前の在庫'!$W$6:$W$10005,$C331),0))))))</f>
        <v/>
      </c>
      <c r="I331">
        <f>IF($C331="","",IF(COUNTIFS('①在庫を貼る'!$V$6:$V$10005,'設定'!$C$4,'①在庫を貼る'!$W$6:$W$10005,$C331)=0,"",SUMIFS('①在庫を貼る'!$N$6:$N$10005,'①在庫を貼る'!$V$6:$V$10005,'設定'!$C$4,'①在庫を貼る'!$W$6:$W$10005,$C331)))</f>
        <v/>
      </c>
      <c r="J331">
        <f>IF($C331="","",IF('②発注する'!$AD335="","",'②発注する'!$AD335))</f>
        <v/>
      </c>
      <c r="K331" s="90">
        <f>IF($C331="","",IF('②発注する'!$AE335="","",'②発注する'!$AE335))</f>
        <v/>
      </c>
      <c r="L331">
        <f>IF($C331="","",IF(AND(ISNUMBER($J331),ISNUMBER($K331),$K331&gt;='設定'!$C$6),$J331,N($I331)))</f>
        <v/>
      </c>
      <c r="M331">
        <f>IF($C331="","",IFERROR(IF(N(INDEX('商品マスタ'!$J$6:$J$1005,MATCH($C331,'商品マスタ'!$B$6:$B$1005,0)))&gt;0,INDEX('商品マスタ'!$J$6:$J$1005,MATCH($C331,'商品マスタ'!$B$6:$B$1005,0)),""),""))</f>
        <v/>
      </c>
      <c r="N331">
        <f>IF($C331="","",IFERROR(IF(N(INDEX('商品マスタ'!$H$6:$H$1005,MATCH($C331,'商品マスタ'!$B$6:$B$1005,0)))&gt;0,INDEX('商品マスタ'!$H$6:$H$1005,MATCH($C331,'商品マスタ'!$B$6:$B$1005,0)),""),""))</f>
        <v/>
      </c>
      <c r="O331">
        <f>IF($C331="","",IF($N331&lt;&gt;"",$N331*$G331,IF(N(IF(COUNTIFS('①在庫を貼る'!$V$6:$V$10005,'設定'!$C$4,'①在庫を貼る'!$W$6:$W$10005,$C331)&gt;0,SUMIFS('①在庫を貼る'!$O$6:$O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O$6:$O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O$6:$O$10005,'月1回_2ヶ月前の在庫'!$V$6:$V$10005,'設定'!$C$4,'月1回_2ヶ月前の在庫'!$W$6:$W$10005,$C331)/COUNTIFS('月1回_2ヶ月前の在庫'!$V$6:$V$10005,'設定'!$C$4,'月1回_2ヶ月前の在庫'!$W$6:$W$10005,$C331),0))))&gt;0,N(IF(COUNTIFS('①在庫を貼る'!$V$6:$V$10005,'設定'!$C$4,'①在庫を貼る'!$W$6:$W$10005,$C331)&gt;0,SUMIFS('①在庫を貼る'!$O$6:$O$10005,'①在庫を貼る'!$V$6:$V$10005,'設定'!$C$4,'①在庫を貼る'!$W$6:$W$10005,$C331)/COUNTIFS('①在庫を貼る'!$V$6:$V$10005,'設定'!$C$4,'①在庫を貼る'!$W$6:$W$10005,$C331),IF(COUNTIFS('月1回_1ヶ月前の在庫'!$V$6:$V$10005,'設定'!$C$4,'月1回_1ヶ月前の在庫'!$W$6:$W$10005,$C331)&gt;0,SUMIFS('月1回_1ヶ月前の在庫'!$O$6:$O$10005,'月1回_1ヶ月前の在庫'!$V$6:$V$10005,'設定'!$C$4,'月1回_1ヶ月前の在庫'!$W$6:$W$10005,$C331)/COUNTIFS('月1回_1ヶ月前の在庫'!$V$6:$V$10005,'設定'!$C$4,'月1回_1ヶ月前の在庫'!$W$6:$W$10005,$C331),IF(COUNTIFS('月1回_2ヶ月前の在庫'!$V$6:$V$10005,'設定'!$C$4,'月1回_2ヶ月前の在庫'!$W$6:$W$10005,$C331)&gt;0,SUMIFS('月1回_2ヶ月前の在庫'!$O$6:$O$10005,'月1回_2ヶ月前の在庫'!$V$6:$V$10005,'設定'!$C$4,'月1回_2ヶ月前の在庫'!$W$6:$W$10005,$C331)/COUNTIFS('月1回_2ヶ月前の在庫'!$V$6:$V$10005,'設定'!$C$4,'月1回_2ヶ月前の在庫'!$W$6:$W$10005,$C331),0)))),"")))</f>
        <v/>
      </c>
      <c r="P331" s="90">
        <f>IF($C331="","",IF('②発注する'!$I335="","",'②発注する'!$I335))</f>
        <v/>
      </c>
      <c r="Q331">
        <f>IF($C331="","",IF('②発注する'!$J335="","",'②発注する'!$J335))</f>
        <v/>
      </c>
      <c r="R331">
        <f>IF($C331="",0,IF(AND(ISNUMBER($P331),ISNUMBER($Q331)),MAX(0,$Q331)*$G331,0))</f>
        <v/>
      </c>
      <c r="S331" s="90">
        <f>IF($C331="","",IF('②発注する'!$M335="","",'②発注する'!$M335))</f>
        <v/>
      </c>
      <c r="T331">
        <f>IF($C331="","",IF('②発注する'!$N335="","",'②発注する'!$N335))</f>
        <v/>
      </c>
      <c r="U331">
        <f>IF($C331="",0,IF(AND(ISNUMBER($S331),ISNUMBER($T331)),MAX(0,$T331)*$G331,0))</f>
        <v/>
      </c>
      <c r="V331">
        <f>IF($C331="",0,IF($M331="",0,MAX(0,$M331)*MAX(0,V$4)/100))</f>
        <v/>
      </c>
      <c r="W331">
        <f>IF($C331="",0,IF($M331="",0,MAX(0,$M331)*MAX(0,W$4)/100))</f>
        <v/>
      </c>
      <c r="X331">
        <f>IF($C331="",0,IF($M331="",0,MAX(0,$M331)*MAX(0,X$4)/100))</f>
        <v/>
      </c>
      <c r="Y331">
        <f>IF($C331="",0,IF($M331="",0,MAX(0,$M331)*MAX(0,Y$4)/100))</f>
        <v/>
      </c>
      <c r="Z331">
        <f>IF($C331="",0,IF($M331="",0,MAX(0,$M331)*MAX(0,Z$4)/100))</f>
        <v/>
      </c>
      <c r="AA331">
        <f>IF($C331="",0,IF($M331="",0,MAX(0,$M331)*MAX(0,AA$4)/100))</f>
        <v/>
      </c>
      <c r="AB331">
        <f>IF($C331="",0,IF($M331="",0,MAX(0,$M331)*MAX(0,AB$4)/100))</f>
        <v/>
      </c>
      <c r="AC331">
        <f>IF($C331="",0,IF($M331="",0,MAX(0,$M331)*MAX(0,AC$4)/100))</f>
        <v/>
      </c>
      <c r="AD331">
        <f>IF($C331="",0,IF($M331="",0,MAX(0,$M331)*MAX(0,AD$4)/100))</f>
        <v/>
      </c>
      <c r="AE331">
        <f>IF($C331="",0,IF($M331="",0,MAX(0,$M331)*MAX(0,AE$4)/100))</f>
        <v/>
      </c>
      <c r="AF331">
        <f>IF($C331="",0,IF($M331="",0,MAX(0,$M331)*MAX(0,AF$4)/100))</f>
        <v/>
      </c>
      <c r="AG331">
        <f>IF($C331="",0,IF($M331="",0,MAX(0,$M331)*MAX(0,AG$4)/100))</f>
        <v/>
      </c>
      <c r="AH331">
        <f>IF($C331="",0,IF($M331="",0,MAX(0,$M331)*MAX(0,AH$4)/100))</f>
        <v/>
      </c>
      <c r="AI331">
        <f>IF($C331="",0,IF($M331="",0,MAX(0,$M331)*MAX(0,AI$4)/100))</f>
        <v/>
      </c>
      <c r="AJ331">
        <f>IF($C331="",0,MAX(0,MAX(0,N($L331))-$V331))</f>
        <v/>
      </c>
      <c r="AK331">
        <f>IF($C331="",0,MAX(0,$AJ331-$W331))</f>
        <v/>
      </c>
      <c r="AL331">
        <f>IF($C331="",0,MAX(0,$AK331-$X331))</f>
        <v/>
      </c>
      <c r="AM331">
        <f>IF($C331="",0,MAX(0,$AL331-$Y331))</f>
        <v/>
      </c>
      <c r="AN331">
        <f>IF($C331="",0,MAX(0,$AM331-$Z331))</f>
        <v/>
      </c>
      <c r="AO331">
        <f>IF($C331="",0,MAX(0,$AN331-$AA331))</f>
        <v/>
      </c>
      <c r="AP331">
        <f>IF($C331="",0,MAX(0,$AO331-$AB331))</f>
        <v/>
      </c>
      <c r="AQ331">
        <f>IF($C331="",0,MAX(0,$AP331-$AC331))</f>
        <v/>
      </c>
      <c r="AR331">
        <f>IF($C331="",0,MAX(0,$AQ331-$AD331))</f>
        <v/>
      </c>
      <c r="AS331">
        <f>IF($C331="",0,MAX(0,$AR331-$AE331))</f>
        <v/>
      </c>
      <c r="AT331">
        <f>IF($C331="",0,MAX(0,$AS331-$AF331))</f>
        <v/>
      </c>
      <c r="AU331">
        <f>IF($C331="",0,MAX(0,$AT331-$AG331))</f>
        <v/>
      </c>
      <c r="AV331">
        <f>IF($C331="",0,MAX(0,$AU331-$AH331))</f>
        <v/>
      </c>
      <c r="AW331">
        <f>IF($C331="",0,MAX(0,$AV331-$AI331))</f>
        <v/>
      </c>
      <c r="AX331">
        <f>IF($C331="",0,MAX(0,MAX(0,N($L331))+IF($P331=V$3,$R331,0)+IF($S331=V$3,$U331,0)-$V331))</f>
        <v/>
      </c>
      <c r="AY331">
        <f>IF($C331="",0,MAX(0,$AX331+IF($P331=W$3,$R331,0)+IF($S331=W$3,$U331,0)-$W331))</f>
        <v/>
      </c>
      <c r="AZ331">
        <f>IF($C331="",0,MAX(0,$AY331+IF($P331=X$3,$R331,0)+IF($S331=X$3,$U331,0)-$X331))</f>
        <v/>
      </c>
      <c r="BA331">
        <f>IF($C331="",0,MAX(0,$AZ331+IF($P331=Y$3,$R331,0)+IF($S331=Y$3,$U331,0)-$Y331))</f>
        <v/>
      </c>
      <c r="BB331">
        <f>IF($C331="",0,MAX(0,$BA331+IF($P331=Z$3,$R331,0)+IF($S331=Z$3,$U331,0)-$Z331))</f>
        <v/>
      </c>
      <c r="BC331">
        <f>IF($C331="",0,MAX(0,$BB331+IF($P331=AA$3,$R331,0)+IF($S331=AA$3,$U331,0)-$AA331))</f>
        <v/>
      </c>
      <c r="BD331">
        <f>IF($C331="",0,MAX(0,$BC331+IF($P331=AB$3,$R331,0)+IF($S331=AB$3,$U331,0)-$AB331))</f>
        <v/>
      </c>
      <c r="BE331">
        <f>IF($C331="",0,MAX(0,$BD331+IF($P331=AC$3,$R331,0)+IF($S331=AC$3,$U331,0)-$AC331))</f>
        <v/>
      </c>
      <c r="BF331">
        <f>IF($C331="",0,MAX(0,$BE331+IF($P331=AD$3,$R331,0)+IF($S331=AD$3,$U331,0)-$AD331))</f>
        <v/>
      </c>
      <c r="BG331">
        <f>IF($C331="",0,MAX(0,$BF331+IF($P331=AE$3,$R331,0)+IF($S331=AE$3,$U331,0)-$AE331))</f>
        <v/>
      </c>
      <c r="BH331">
        <f>IF($C331="",0,MAX(0,$BG331+IF($P331=AF$3,$R331,0)+IF($S331=AF$3,$U331,0)-$AF331))</f>
        <v/>
      </c>
      <c r="BI331">
        <f>IF($C331="",0,MAX(0,$BH331+IF($P331=AG$3,$R331,0)+IF($S331=AG$3,$U331,0)-$AG331))</f>
        <v/>
      </c>
      <c r="BJ331">
        <f>IF($C331="",0,MAX(0,$BI331+IF($P331=AH$3,$R331,0)+IF($S331=AH$3,$U331,0)-$AH331))</f>
        <v/>
      </c>
      <c r="BK331">
        <f>IF($C331="",0,MAX(0,$BJ331+IF($P331=AI$3,$R331,0)+IF($S331=AI$3,$U331,0)-$AI331))</f>
        <v/>
      </c>
      <c r="BL331">
        <f>IF($C331="",99,IF(AND($AX331&lt;1,V$3&gt;=MAX(N($P331),N($S331))),0,99))</f>
        <v/>
      </c>
      <c r="BM331">
        <f>IF($C331="",99,IF(AND($AY331&lt;1,W$3&gt;=MAX(N($P331),N($S331))),1,99))</f>
        <v/>
      </c>
      <c r="BN331">
        <f>IF($C331="",99,IF(AND($AZ331&lt;1,X$3&gt;=MAX(N($P331),N($S331))),2,99))</f>
        <v/>
      </c>
      <c r="BO331">
        <f>IF($C331="",99,IF(AND($BA331&lt;1,Y$3&gt;=MAX(N($P331),N($S331))),3,99))</f>
        <v/>
      </c>
      <c r="BP331">
        <f>IF($C331="",99,IF(AND($BB331&lt;1,Z$3&gt;=MAX(N($P331),N($S331))),4,99))</f>
        <v/>
      </c>
      <c r="BQ331">
        <f>IF($C331="",99,IF(AND($BC331&lt;1,AA$3&gt;=MAX(N($P331),N($S331))),5,99))</f>
        <v/>
      </c>
      <c r="BR331">
        <f>IF($C331="",99,IF(AND($BD331&lt;1,AB$3&gt;=MAX(N($P331),N($S331))),6,99))</f>
        <v/>
      </c>
      <c r="BS331">
        <f>IF($C331="",99,IF(AND($BE331&lt;1,AC$3&gt;=MAX(N($P331),N($S331))),7,99))</f>
        <v/>
      </c>
      <c r="BT331">
        <f>IF($C331="",99,IF(AND($BF331&lt;1,AD$3&gt;=MAX(N($P331),N($S331))),8,99))</f>
        <v/>
      </c>
      <c r="BU331">
        <f>IF($C331="",99,IF(AND($BG331&lt;1,AE$3&gt;=MAX(N($P331),N($S331))),9,99))</f>
        <v/>
      </c>
      <c r="BV331">
        <f>IF($C331="",99,IF(AND($BH331&lt;1,AF$3&gt;=MAX(N($P331),N($S331))),10,99))</f>
        <v/>
      </c>
      <c r="BW331">
        <f>IF($C331="",99,IF(AND($BI331&lt;1,AG$3&gt;=MAX(N($P331),N($S331))),11,99))</f>
        <v/>
      </c>
      <c r="BX331">
        <f>IF($C331="",99,IF(AND($BJ331&lt;1,AH$3&gt;=MAX(N($P331),N($S331))),12,99))</f>
        <v/>
      </c>
      <c r="BY331">
        <f>IF($C331="",99,IF(AND($BK331&lt;1,AI$3&gt;=MAX(N($P331),N($S331))),13,99))</f>
        <v/>
      </c>
      <c r="BZ331">
        <f>IF(OR($C331="",$M331=""),"",COUNTIF($AJ331:$AW331,"&gt;=1"))</f>
        <v/>
      </c>
      <c r="CA331" s="90">
        <f>IF($BZ331="","",IF($BZ331&gt;=14,"",'設定'!$C$6+$BZ331))</f>
        <v/>
      </c>
      <c r="CB331">
        <f>IF(OR($C331="",$M331=""),"",MIN($BL331:$BY331))</f>
        <v/>
      </c>
      <c r="CC331" s="90">
        <f>IF($CB331="","",IF($CB331&gt;=99,"",'設定'!$C$6+$CB331))</f>
        <v/>
      </c>
      <c r="CD331">
        <f>IF(OR($C331="",$M331=""),"",AVERAGE($V331:$AI331))</f>
        <v/>
      </c>
      <c r="CE331">
        <f>IF($C331="","",IFERROR(IF(MATCH(IF(ISNUMBER($P331),$P331,'設定'!$C$6+N('設定'!$C$7)),$V$3:$AI$3,0)=1,MAX(0,N($L331)),INDEX($AJ331:$AW331,MATCH(IF(ISNUMBER($P331),$P331,'設定'!$C$6+N('設定'!$C$7)),$V$3:$AI$3,0)-1)),""))</f>
        <v/>
      </c>
      <c r="CF331">
        <f>IF(OR($C331="",$O331="",$CE331=""),"",IF($O331-$CE331&lt;=0,0,ROUNDUP(($O331-$CE331)/$G331,0)))</f>
        <v/>
      </c>
      <c r="CG331">
        <f>IF(OR($C331="",$CF331="",NOT(ISNUMBER($Q331))),0,MAX(0,$Q331-$CF331))</f>
        <v/>
      </c>
      <c r="CH331">
        <f>IF(OR($C331="",$O331="",$U331=0),0,IFERROR(ROUNDUP(MAX(0,IF(MATCH($S331,$V$3:$AI$3,0)=1,MAX(0,N($L331)),INDEX($AX331:$BK331,MATCH($S331,$V$3:$AI$3,0)-1))+$U331-$O331)/$G331,0),0))</f>
        <v/>
      </c>
      <c r="CI331">
        <f>IF($C331="","",IF(AND($P331="",$Q331=""),"",IF($P331="","⚠ 入庫日を ▼ から選んでください",IF(NOT(ISNUMBER($P331)),"⚠ 入庫日は ▼ から選んでください",IF($P331&lt;N('設定'!$C$6),"⚠ 入庫日が過去です（もう在庫に入っています）→ 消してください",IF($P331&gt;N('設定'!$C$6)+13,"⚠ 入庫日が14日より先です",IF(N($Q331)&lt;=0,"⚠ 入庫数を入れてください",IF($CG331&gt;0,"⚠ 目安より "&amp;$CG331&amp;" 多い（定数を超える）→ 減らす",""))))))))</f>
        <v/>
      </c>
      <c r="CJ331">
        <f>IF($C331="","",IF(AND($S331="",$T331=""),"",IF($S331="","⚠ 2便目：入庫日を ▼ から選んでください",IF(NOT(ISNUMBER($S331)),"⚠ 2便目：入庫日は ▼ から選んでください",IF($S331&lt;N('設定'!$C$6),"⚠ 2便目：入庫日が過去です（もう在庫に入っています）→ 消してください",IF($S331&gt;N('設定'!$C$6)+13,"⚠ 2便目：入庫日が14日より先です",IF(N($T331)&lt;=0,"⚠ 2便目：入庫数を入れてください",IF($CH331&gt;0,"⚠ 2便目：定数を "&amp;$CH331&amp;" ケース超える → 減らす",""))))))))</f>
        <v/>
      </c>
      <c r="CK331">
        <f>IF(AND($CI331="",N($Q331)&gt;0,ISNUMBER($P331)),1,0)</f>
        <v/>
      </c>
      <c r="CL331">
        <f>IF(AND($CJ331="",N($T331)&gt;0,ISNUMBER($S331)),1,0)</f>
        <v/>
      </c>
      <c r="CM331">
        <f>IF(OR($CK331=1,$CL331=1),1,0)</f>
        <v/>
      </c>
      <c r="CN331">
        <f>IF($C331="",0,($CK331*$R331+$CL331*$U331)*N($H331))</f>
        <v/>
      </c>
      <c r="CO331">
        <f>IF($C331="","",IF($CC331="","入庫後は 14日以上もつ",IF($CC331-N('設定'!$C$7)&lt;='設定'!$C$6,"入庫後も "&amp;TEXT($CC331,"m/d")&amp;"("&amp;CHOOSE(WEEKDAY($CC331),"日","月","火","水","木","金","土")&amp;")"&amp;" に切れる　もう1便を至急発注","入庫後も "&amp;TEXT($CC331,"m/d")&amp;"("&amp;CHOOSE(WEEKDAY($CC331),"日","月","火","水","木","金","土")&amp;")"&amp;" に切れる　"&amp;TEXT($CC331-N('設定'!$C$7),"m/d")&amp;"("&amp;CHOOSE(WEEKDAY($CC331-N('設定'!$C$7)),"日","月","火","水","木","金","土")&amp;")"&amp;" までに次を発注")))</f>
        <v/>
      </c>
      <c r="CP331">
        <f>IF($C331="","",IF('設定'!$C$6="","？ ①在庫を貼る に今日のCSVが貼られていない",IF($CS331=1,"－ 今日のCSVに無い（終売？）",IF($L331&lt;0,"● 在庫がマイナス　数えて「数えた在庫」に入れる",IF($L331=0,"● 在庫なし　至急発注",IF($M331="","？ 減り数が未設定（商品マスタ）",IF($B$3=0,"？ 動員が未入力（動員を入れる）",IF($CA331="","○ 14日以上もつ",IF($BZ331&lt;N('設定'!$C$7),"● "&amp;TEXT($CA331,"m/d")&amp;"("&amp;CHOOSE(WEEKDAY($CA331),"日","月","火","水","木","金","土")&amp;")"&amp;" に切れる　至急発注",IF($BZ331=N('設定'!$C$7),"● "&amp;TEXT($CA331,"m/d")&amp;"("&amp;CHOOSE(WEEKDAY($CA331),"日","月","火","水","木","金","土")&amp;")"&amp;" に切れる　今日発注","△ "&amp;TEXT($CA331,"m/d")&amp;"("&amp;CHOOSE(WEEKDAY($CA331),"日","月","火","水","木","金","土")&amp;")"&amp;" に切れる　"&amp;TEXT($CA331-N('設定'!$C$7),"m/d")&amp;"("&amp;CHOOSE(WEEKDAY($CA331-N('設定'!$C$7)),"日","月","火","水","木","金","土")&amp;")"&amp;" までに発注"))))))))))</f>
        <v/>
      </c>
      <c r="CQ331">
        <f>IF($C331="","",IF(AND($P331="",$Q331="",$S331="",$T331=""),"",IF(AND($P331="",$Q331=""),"⚠ 先に1便目（左の入庫日・入庫数）に入れてください",IF($CI331&lt;&gt;"",$CI331,IF($CJ331&lt;&gt;"",$CJ331,IF($M331="","？ 減り数が未設定（発注書には載ります）",IF($B$3=0,"？ 動員が未入力（発注書には載ります）",IF(AND($CA331&lt;&gt;"",$P331&gt;$CA331),IF($P331&gt;'設定'!$C$6+N('設定'!$C$7),"● "&amp;TEXT($P331,"m/d")&amp;"("&amp;CHOOSE(WEEKDAY($P331),"日","月","火","水","木","金","土")&amp;")"&amp;" の入庫では間に合わない（"&amp;TEXT($CA331,"m/d")&amp;"("&amp;CHOOSE(WEEKDAY($CA331),"日","月","火","水","木","金","土")&amp;")"&amp;" に切れる）　入庫日を早める","△ 欠品 "&amp;TEXT($CA331,"m/d")&amp;"("&amp;CHOOSE(WEEKDAY($CA331),"日","月","火","水","木","金","土")&amp;")"&amp;"〜"&amp;TEXT($P331-1,"m/d")&amp;"("&amp;CHOOSE(WEEKDAY($P331-1),"日","月","火","水","木","金","土")&amp;")"&amp;"　"&amp;$CO331),IF($CC331="","○ "&amp;TEXT($P331,"m/d")&amp;"("&amp;CHOOSE(WEEKDAY($P331),"日","月","火","水","木","金","土")&amp;")"&amp;" 入庫で 14日以上もつ",IF($CC331-N('設定'!$C$7)&lt;='設定'!$C$6,"● 入庫しても "&amp;TEXT($CC331,"m/d")&amp;"("&amp;CHOOSE(WEEKDAY($CC331),"日","月","火","水","木","金","土")&amp;")"&amp;" に切れる　もう1便を至急発注（2便目に入れる）","△ 入庫しても "&amp;TEXT($CC331,"m/d")&amp;"("&amp;CHOOSE(WEEKDAY($CC331),"日","月","火","水","木","金","土")&amp;")"&amp;" に切れる　"&amp;TEXT($CC331-N('設定'!$C$7),"m/d")&amp;"("&amp;CHOOSE(WEEKDAY($CC331-N('設定'!$C$7)),"日","月","火","水","木","金","土")&amp;")"&amp;" までに次を発注（2便目に入れる）"))))))))))</f>
        <v/>
      </c>
      <c r="CR331">
        <f>IF($C331="","",IF($G331&gt;1,"ｹｰｽ("&amp;$G331&amp;"入)","個"))</f>
        <v/>
      </c>
      <c r="CS331">
        <f>IF($C331="",0,IF(COUNTIFS('①在庫を貼る'!$V$6:$V$10005,'設定'!$C$4,'①在庫を貼る'!$W$6:$W$10005,$C331)=0,1,0))</f>
        <v/>
      </c>
      <c r="CT331">
        <f>IF(AND($CK331=1,OR('③発注書'!$C$4="すべて",'③発注書'!$C$4="",$F331='③発注書'!$C$4)),N($CT330)+1,N($CT330))</f>
        <v/>
      </c>
      <c r="CU331">
        <f>IF(AND($CL331=1,OR('③発注書'!$C$4="すべて",'③発注書'!$C$4="",$F331='③発注書'!$C$4)),N($CU330)+1,N($CU330))</f>
        <v/>
      </c>
      <c r="CV331">
        <f>IF($C331="",0,IF(COUNTIFS('①在庫を貼る'!$V$6:$V$10005,'設定'!$C$4,'①在庫を貼る'!$W$6:$W$10005,$C331)&gt;0,1,0))</f>
        <v/>
      </c>
      <c r="CW331">
        <f>IF($C331="",0,IF(COUNTIFS('月1回_1ヶ月前の在庫'!$V$6:$V$10005,'設定'!$C$4,'月1回_1ヶ月前の在庫'!$W$6:$W$10005,$C331)&gt;0,1,0))</f>
        <v/>
      </c>
      <c r="CX331">
        <f>IF($C331="",0,IF(COUNTIFS('月1回_2ヶ月前の在庫'!$V$6:$V$10005,'設定'!$C$4,'月1回_2ヶ月前の在庫'!$W$6:$W$10005,$C331)&gt;0,1,0))</f>
        <v/>
      </c>
      <c r="CY331">
        <f>IF(OR($C331="",'設定'!$C$12=""),"",IF('設定'!$C$13="",IF(AND($CV331=1,$CW331=0),"新商品（今月から）",IF(AND($CV331=0,$CW331=1),"終売（今月から）","")),IF(AND($CV331=1,$CW331=0,$CX331=0),"新商品（今月から）",IF(AND($CV331=1,$CW331=1,$CX331=0),"新商品（先月から）",IF(AND($CV331=0,$CW331=1,$CX331=1),"終売（今月から）",IF(AND($CV331=0,$CW331=0,$CX331=1),"終売（先月から）",IF(AND($CV331=1,$CW331=0,$CX331=1),"復活（先月は無し）","")))))))</f>
        <v/>
      </c>
    </row>
    <row r="332">
      <c r="B332">
        <f>IF(327&lt;='設定'!$C$11,327,"")</f>
        <v/>
      </c>
      <c r="C332">
        <f>IF($B332="","",IF($B332&lt;='設定'!$C$20,INDEX('商品マスタ'!$B$6:$B$1005,MATCH($B332,'商品マスタ'!$M$6:$M$1005,0)),IF($B332&lt;='設定'!$C$20+'設定'!$C$17,INDEX('①在庫を貼る'!$W$6:$W$10005,MATCH($B332-'設定'!$C$20,'①在庫を貼る'!$U$6:$U$10005,0)),IF($B332&lt;='設定'!$C$20+'設定'!$C$17+'設定'!$C$18,INDEX('月1回_1ヶ月前の在庫'!$W$6:$W$10005,MATCH($B332-'設定'!$C$20-'設定'!$C$17,'月1回_1ヶ月前の在庫'!$U$6:$U$10005,0)),INDEX('月1回_2ヶ月前の在庫'!$W$6:$W$10005,MATCH($B332-'設定'!$C$20-'設定'!$C$17-'設定'!$C$18,'月1回_2ヶ月前の在庫'!$U$6:$U$10005,0))))))</f>
        <v/>
      </c>
      <c r="D332">
        <f>IF($C332="","",IFERROR(IF(INDEX('商品マスタ'!$C$6:$C$1005,MATCH($C332,'商品マスタ'!$B$6:$B$1005,0))="",IFERROR(INDEX('①在庫を貼る'!$J$6:$J$10005,MATCH($C332,'①在庫を貼る'!$W$6:$W$10005,0)),IFERROR(INDEX('月1回_1ヶ月前の在庫'!$J$6:$J$10005,MATCH($C332,'月1回_1ヶ月前の在庫'!$W$6:$W$10005,0)),IFERROR(INDEX('月1回_2ヶ月前の在庫'!$J$6:$J$10005,MATCH($C332,'月1回_2ヶ月前の在庫'!$W$6:$W$10005,0)),""))),INDEX('商品マスタ'!$C$6:$C$1005,MATCH($C332,'商品マスタ'!$B$6:$B$1005,0))),IFERROR(INDEX('①在庫を貼る'!$J$6:$J$10005,MATCH($C332,'①在庫を貼る'!$W$6:$W$10005,0)),IFERROR(INDEX('月1回_1ヶ月前の在庫'!$J$6:$J$10005,MATCH($C332,'月1回_1ヶ月前の在庫'!$W$6:$W$10005,0)),IFERROR(INDEX('月1回_2ヶ月前の在庫'!$J$6:$J$10005,MATCH($C332,'月1回_2ヶ月前の在庫'!$W$6:$W$10005,0)),"")))))</f>
        <v/>
      </c>
      <c r="E332">
        <f>IF($C332="","",IFERROR(IF(INDEX('商品マスタ'!$D$6:$D$1005,MATCH($C332,'商品マスタ'!$B$6:$B$1005,0))="",IFERROR(INDEX('①在庫を貼る'!$H$6:$H$10005,MATCH($C332,'①在庫を貼る'!$W$6:$W$10005,0)),IFERROR(INDEX('月1回_1ヶ月前の在庫'!$H$6:$H$10005,MATCH($C332,'月1回_1ヶ月前の在庫'!$W$6:$W$10005,0)),IFERROR(INDEX('月1回_2ヶ月前の在庫'!$H$6:$H$10005,MATCH($C332,'月1回_2ヶ月前の在庫'!$W$6:$W$10005,0)),""))),INDEX('商品マスタ'!$D$6:$D$1005,MATCH($C332,'商品マスタ'!$B$6:$B$1005,0))),IFERROR(INDEX('①在庫を貼る'!$H$6:$H$10005,MATCH($C332,'①在庫を貼る'!$W$6:$W$10005,0)),IFERROR(INDEX('月1回_1ヶ月前の在庫'!$H$6:$H$10005,MATCH($C332,'月1回_1ヶ月前の在庫'!$W$6:$W$10005,0)),IFERROR(INDEX('月1回_2ヶ月前の在庫'!$H$6:$H$10005,MATCH($C332,'月1回_2ヶ月前の在庫'!$W$6:$W$10005,0)),"")))))</f>
        <v/>
      </c>
      <c r="F332">
        <f>IF($C332="","",IFERROR(IF(INDEX('商品マスタ'!$E$6:$E$1005,MATCH($C332,'商品マスタ'!$B$6:$B$1005,0))="",IFERROR(INDEX('①在庫を貼る'!$E$6:$E$10005,MATCH($C332,'①在庫を貼る'!$W$6:$W$10005,0)),IFERROR(INDEX('月1回_1ヶ月前の在庫'!$E$6:$E$10005,MATCH($C332,'月1回_1ヶ月前の在庫'!$W$6:$W$10005,0)),IFERROR(INDEX('月1回_2ヶ月前の在庫'!$E$6:$E$10005,MATCH($C332,'月1回_2ヶ月前の在庫'!$W$6:$W$10005,0)),""))),INDEX('商品マスタ'!$E$6:$E$1005,MATCH($C332,'商品マスタ'!$B$6:$B$1005,0))),IFERROR(INDEX('①在庫を貼る'!$E$6:$E$10005,MATCH($C332,'①在庫を貼る'!$W$6:$W$10005,0)),IFERROR(INDEX('月1回_1ヶ月前の在庫'!$E$6:$E$10005,MATCH($C332,'月1回_1ヶ月前の在庫'!$W$6:$W$10005,0)),IFERROR(INDEX('月1回_2ヶ月前の在庫'!$E$6:$E$10005,MATCH($C332,'月1回_2ヶ月前の在庫'!$W$6:$W$10005,0)),"")))))</f>
        <v/>
      </c>
      <c r="G332">
        <f>IF($C332="","",MAX(1,N(IFERROR(IF(INDEX('商品マスタ'!$F$6:$F$1005,MATCH($C332,'商品マスタ'!$B$6:$B$1005,0))="",IF(COUNTIFS('①在庫を貼る'!$V$6:$V$10005,'設定'!$C$4,'①在庫を貼る'!$W$6:$W$10005,$C332)&gt;0,SUMIFS('①在庫を貼る'!$K$6:$K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K$6:$K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K$6:$K$10005,'月1回_2ヶ月前の在庫'!$V$6:$V$10005,'設定'!$C$4,'月1回_2ヶ月前の在庫'!$W$6:$W$10005,$C332)/COUNTIFS('月1回_2ヶ月前の在庫'!$V$6:$V$10005,'設定'!$C$4,'月1回_2ヶ月前の在庫'!$W$6:$W$10005,$C332),0))),INDEX('商品マスタ'!$F$6:$F$1005,MATCH($C332,'商品マスタ'!$B$6:$B$1005,0))),IF(COUNTIFS('①在庫を貼る'!$V$6:$V$10005,'設定'!$C$4,'①在庫を貼る'!$W$6:$W$10005,$C332)&gt;0,SUMIFS('①在庫を貼る'!$K$6:$K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K$6:$K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K$6:$K$10005,'月1回_2ヶ月前の在庫'!$V$6:$V$10005,'設定'!$C$4,'月1回_2ヶ月前の在庫'!$W$6:$W$10005,$C332)/COUNTIFS('月1回_2ヶ月前の在庫'!$V$6:$V$10005,'設定'!$C$4,'月1回_2ヶ月前の在庫'!$W$6:$W$10005,$C332),0)))))))</f>
        <v/>
      </c>
      <c r="H332">
        <f>IF($C332="","",N(IFERROR(IF(INDEX('商品マスタ'!$G$6:$G$1005,MATCH($C332,'商品マスタ'!$B$6:$B$1005,0))="",IF(COUNTIFS('①在庫を貼る'!$V$6:$V$10005,'設定'!$C$4,'①在庫を貼る'!$W$6:$W$10005,$C332)&gt;0,SUMIFS('①在庫を貼る'!$Q$6:$Q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Q$6:$Q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Q$6:$Q$10005,'月1回_2ヶ月前の在庫'!$V$6:$V$10005,'設定'!$C$4,'月1回_2ヶ月前の在庫'!$W$6:$W$10005,$C332)/COUNTIFS('月1回_2ヶ月前の在庫'!$V$6:$V$10005,'設定'!$C$4,'月1回_2ヶ月前の在庫'!$W$6:$W$10005,$C332),0))),INDEX('商品マスタ'!$G$6:$G$1005,MATCH($C332,'商品マスタ'!$B$6:$B$1005,0))),IF(COUNTIFS('①在庫を貼る'!$V$6:$V$10005,'設定'!$C$4,'①在庫を貼る'!$W$6:$W$10005,$C332)&gt;0,SUMIFS('①在庫を貼る'!$Q$6:$Q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Q$6:$Q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Q$6:$Q$10005,'月1回_2ヶ月前の在庫'!$V$6:$V$10005,'設定'!$C$4,'月1回_2ヶ月前の在庫'!$W$6:$W$10005,$C332)/COUNTIFS('月1回_2ヶ月前の在庫'!$V$6:$V$10005,'設定'!$C$4,'月1回_2ヶ月前の在庫'!$W$6:$W$10005,$C332),0))))))</f>
        <v/>
      </c>
      <c r="I332">
        <f>IF($C332="","",IF(COUNTIFS('①在庫を貼る'!$V$6:$V$10005,'設定'!$C$4,'①在庫を貼る'!$W$6:$W$10005,$C332)=0,"",SUMIFS('①在庫を貼る'!$N$6:$N$10005,'①在庫を貼る'!$V$6:$V$10005,'設定'!$C$4,'①在庫を貼る'!$W$6:$W$10005,$C332)))</f>
        <v/>
      </c>
      <c r="J332">
        <f>IF($C332="","",IF('②発注する'!$AD336="","",'②発注する'!$AD336))</f>
        <v/>
      </c>
      <c r="K332" s="90">
        <f>IF($C332="","",IF('②発注する'!$AE336="","",'②発注する'!$AE336))</f>
        <v/>
      </c>
      <c r="L332">
        <f>IF($C332="","",IF(AND(ISNUMBER($J332),ISNUMBER($K332),$K332&gt;='設定'!$C$6),$J332,N($I332)))</f>
        <v/>
      </c>
      <c r="M332">
        <f>IF($C332="","",IFERROR(IF(N(INDEX('商品マスタ'!$J$6:$J$1005,MATCH($C332,'商品マスタ'!$B$6:$B$1005,0)))&gt;0,INDEX('商品マスタ'!$J$6:$J$1005,MATCH($C332,'商品マスタ'!$B$6:$B$1005,0)),""),""))</f>
        <v/>
      </c>
      <c r="N332">
        <f>IF($C332="","",IFERROR(IF(N(INDEX('商品マスタ'!$H$6:$H$1005,MATCH($C332,'商品マスタ'!$B$6:$B$1005,0)))&gt;0,INDEX('商品マスタ'!$H$6:$H$1005,MATCH($C332,'商品マスタ'!$B$6:$B$1005,0)),""),""))</f>
        <v/>
      </c>
      <c r="O332">
        <f>IF($C332="","",IF($N332&lt;&gt;"",$N332*$G332,IF(N(IF(COUNTIFS('①在庫を貼る'!$V$6:$V$10005,'設定'!$C$4,'①在庫を貼る'!$W$6:$W$10005,$C332)&gt;0,SUMIFS('①在庫を貼る'!$O$6:$O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O$6:$O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O$6:$O$10005,'月1回_2ヶ月前の在庫'!$V$6:$V$10005,'設定'!$C$4,'月1回_2ヶ月前の在庫'!$W$6:$W$10005,$C332)/COUNTIFS('月1回_2ヶ月前の在庫'!$V$6:$V$10005,'設定'!$C$4,'月1回_2ヶ月前の在庫'!$W$6:$W$10005,$C332),0))))&gt;0,N(IF(COUNTIFS('①在庫を貼る'!$V$6:$V$10005,'設定'!$C$4,'①在庫を貼る'!$W$6:$W$10005,$C332)&gt;0,SUMIFS('①在庫を貼る'!$O$6:$O$10005,'①在庫を貼る'!$V$6:$V$10005,'設定'!$C$4,'①在庫を貼る'!$W$6:$W$10005,$C332)/COUNTIFS('①在庫を貼る'!$V$6:$V$10005,'設定'!$C$4,'①在庫を貼る'!$W$6:$W$10005,$C332),IF(COUNTIFS('月1回_1ヶ月前の在庫'!$V$6:$V$10005,'設定'!$C$4,'月1回_1ヶ月前の在庫'!$W$6:$W$10005,$C332)&gt;0,SUMIFS('月1回_1ヶ月前の在庫'!$O$6:$O$10005,'月1回_1ヶ月前の在庫'!$V$6:$V$10005,'設定'!$C$4,'月1回_1ヶ月前の在庫'!$W$6:$W$10005,$C332)/COUNTIFS('月1回_1ヶ月前の在庫'!$V$6:$V$10005,'設定'!$C$4,'月1回_1ヶ月前の在庫'!$W$6:$W$10005,$C332),IF(COUNTIFS('月1回_2ヶ月前の在庫'!$V$6:$V$10005,'設定'!$C$4,'月1回_2ヶ月前の在庫'!$W$6:$W$10005,$C332)&gt;0,SUMIFS('月1回_2ヶ月前の在庫'!$O$6:$O$10005,'月1回_2ヶ月前の在庫'!$V$6:$V$10005,'設定'!$C$4,'月1回_2ヶ月前の在庫'!$W$6:$W$10005,$C332)/COUNTIFS('月1回_2ヶ月前の在庫'!$V$6:$V$10005,'設定'!$C$4,'月1回_2ヶ月前の在庫'!$W$6:$W$10005,$C332),0)))),"")))</f>
        <v/>
      </c>
      <c r="P332" s="90">
        <f>IF($C332="","",IF('②発注する'!$I336="","",'②発注する'!$I336))</f>
        <v/>
      </c>
      <c r="Q332">
        <f>IF($C332="","",IF('②発注する'!$J336="","",'②発注する'!$J336))</f>
        <v/>
      </c>
      <c r="R332">
        <f>IF($C332="",0,IF(AND(ISNUMBER($P332),ISNUMBER($Q332)),MAX(0,$Q332)*$G332,0))</f>
        <v/>
      </c>
      <c r="S332" s="90">
        <f>IF($C332="","",IF('②発注する'!$M336="","",'②発注する'!$M336))</f>
        <v/>
      </c>
      <c r="T332">
        <f>IF($C332="","",IF('②発注する'!$N336="","",'②発注する'!$N336))</f>
        <v/>
      </c>
      <c r="U332">
        <f>IF($C332="",0,IF(AND(ISNUMBER($S332),ISNUMBER($T332)),MAX(0,$T332)*$G332,0))</f>
        <v/>
      </c>
      <c r="V332">
        <f>IF($C332="",0,IF($M332="",0,MAX(0,$M332)*MAX(0,V$4)/100))</f>
        <v/>
      </c>
      <c r="W332">
        <f>IF($C332="",0,IF($M332="",0,MAX(0,$M332)*MAX(0,W$4)/100))</f>
        <v/>
      </c>
      <c r="X332">
        <f>IF($C332="",0,IF($M332="",0,MAX(0,$M332)*MAX(0,X$4)/100))</f>
        <v/>
      </c>
      <c r="Y332">
        <f>IF($C332="",0,IF($M332="",0,MAX(0,$M332)*MAX(0,Y$4)/100))</f>
        <v/>
      </c>
      <c r="Z332">
        <f>IF($C332="",0,IF($M332="",0,MAX(0,$M332)*MAX(0,Z$4)/100))</f>
        <v/>
      </c>
      <c r="AA332">
        <f>IF($C332="",0,IF($M332="",0,MAX(0,$M332)*MAX(0,AA$4)/100))</f>
        <v/>
      </c>
      <c r="AB332">
        <f>IF($C332="",0,IF($M332="",0,MAX(0,$M332)*MAX(0,AB$4)/100))</f>
        <v/>
      </c>
      <c r="AC332">
        <f>IF($C332="",0,IF($M332="",0,MAX(0,$M332)*MAX(0,AC$4)/100))</f>
        <v/>
      </c>
      <c r="AD332">
        <f>IF($C332="",0,IF($M332="",0,MAX(0,$M332)*MAX(0,AD$4)/100))</f>
        <v/>
      </c>
      <c r="AE332">
        <f>IF($C332="",0,IF($M332="",0,MAX(0,$M332)*MAX(0,AE$4)/100))</f>
        <v/>
      </c>
      <c r="AF332">
        <f>IF($C332="",0,IF($M332="",0,MAX(0,$M332)*MAX(0,AF$4)/100))</f>
        <v/>
      </c>
      <c r="AG332">
        <f>IF($C332="",0,IF($M332="",0,MAX(0,$M332)*MAX(0,AG$4)/100))</f>
        <v/>
      </c>
      <c r="AH332">
        <f>IF($C332="",0,IF($M332="",0,MAX(0,$M332)*MAX(0,AH$4)/100))</f>
        <v/>
      </c>
      <c r="AI332">
        <f>IF($C332="",0,IF($M332="",0,MAX(0,$M332)*MAX(0,AI$4)/100))</f>
        <v/>
      </c>
      <c r="AJ332">
        <f>IF($C332="",0,MAX(0,MAX(0,N($L332))-$V332))</f>
        <v/>
      </c>
      <c r="AK332">
        <f>IF($C332="",0,MAX(0,$AJ332-$W332))</f>
        <v/>
      </c>
      <c r="AL332">
        <f>IF($C332="",0,MAX(0,$AK332-$X332))</f>
        <v/>
      </c>
      <c r="AM332">
        <f>IF($C332="",0,MAX(0,$AL332-$Y332))</f>
        <v/>
      </c>
      <c r="AN332">
        <f>IF($C332="",0,MAX(0,$AM332-$Z332))</f>
        <v/>
      </c>
      <c r="AO332">
        <f>IF($C332="",0,MAX(0,$AN332-$AA332))</f>
        <v/>
      </c>
      <c r="AP332">
        <f>IF($C332="",0,MAX(0,$AO332-$AB332))</f>
        <v/>
      </c>
      <c r="AQ332">
        <f>IF($C332="",0,MAX(0,$AP332-$AC332))</f>
        <v/>
      </c>
      <c r="AR332">
        <f>IF($C332="",0,MAX(0,$AQ332-$AD332))</f>
        <v/>
      </c>
      <c r="AS332">
        <f>IF($C332="",0,MAX(0,$AR332-$AE332))</f>
        <v/>
      </c>
      <c r="AT332">
        <f>IF($C332="",0,MAX(0,$AS332-$AF332))</f>
        <v/>
      </c>
      <c r="AU332">
        <f>IF($C332="",0,MAX(0,$AT332-$AG332))</f>
        <v/>
      </c>
      <c r="AV332">
        <f>IF($C332="",0,MAX(0,$AU332-$AH332))</f>
        <v/>
      </c>
      <c r="AW332">
        <f>IF($C332="",0,MAX(0,$AV332-$AI332))</f>
        <v/>
      </c>
      <c r="AX332">
        <f>IF($C332="",0,MAX(0,MAX(0,N($L332))+IF($P332=V$3,$R332,0)+IF($S332=V$3,$U332,0)-$V332))</f>
        <v/>
      </c>
      <c r="AY332">
        <f>IF($C332="",0,MAX(0,$AX332+IF($P332=W$3,$R332,0)+IF($S332=W$3,$U332,0)-$W332))</f>
        <v/>
      </c>
      <c r="AZ332">
        <f>IF($C332="",0,MAX(0,$AY332+IF($P332=X$3,$R332,0)+IF($S332=X$3,$U332,0)-$X332))</f>
        <v/>
      </c>
      <c r="BA332">
        <f>IF($C332="",0,MAX(0,$AZ332+IF($P332=Y$3,$R332,0)+IF($S332=Y$3,$U332,0)-$Y332))</f>
        <v/>
      </c>
      <c r="BB332">
        <f>IF($C332="",0,MAX(0,$BA332+IF($P332=Z$3,$R332,0)+IF($S332=Z$3,$U332,0)-$Z332))</f>
        <v/>
      </c>
      <c r="BC332">
        <f>IF($C332="",0,MAX(0,$BB332+IF($P332=AA$3,$R332,0)+IF($S332=AA$3,$U332,0)-$AA332))</f>
        <v/>
      </c>
      <c r="BD332">
        <f>IF($C332="",0,MAX(0,$BC332+IF($P332=AB$3,$R332,0)+IF($S332=AB$3,$U332,0)-$AB332))</f>
        <v/>
      </c>
      <c r="BE332">
        <f>IF($C332="",0,MAX(0,$BD332+IF($P332=AC$3,$R332,0)+IF($S332=AC$3,$U332,0)-$AC332))</f>
        <v/>
      </c>
      <c r="BF332">
        <f>IF($C332="",0,MAX(0,$BE332+IF($P332=AD$3,$R332,0)+IF($S332=AD$3,$U332,0)-$AD332))</f>
        <v/>
      </c>
      <c r="BG332">
        <f>IF($C332="",0,MAX(0,$BF332+IF($P332=AE$3,$R332,0)+IF($S332=AE$3,$U332,0)-$AE332))</f>
        <v/>
      </c>
      <c r="BH332">
        <f>IF($C332="",0,MAX(0,$BG332+IF($P332=AF$3,$R332,0)+IF($S332=AF$3,$U332,0)-$AF332))</f>
        <v/>
      </c>
      <c r="BI332">
        <f>IF($C332="",0,MAX(0,$BH332+IF($P332=AG$3,$R332,0)+IF($S332=AG$3,$U332,0)-$AG332))</f>
        <v/>
      </c>
      <c r="BJ332">
        <f>IF($C332="",0,MAX(0,$BI332+IF($P332=AH$3,$R332,0)+IF($S332=AH$3,$U332,0)-$AH332))</f>
        <v/>
      </c>
      <c r="BK332">
        <f>IF($C332="",0,MAX(0,$BJ332+IF($P332=AI$3,$R332,0)+IF($S332=AI$3,$U332,0)-$AI332))</f>
        <v/>
      </c>
      <c r="BL332">
        <f>IF($C332="",99,IF(AND($AX332&lt;1,V$3&gt;=MAX(N($P332),N($S332))),0,99))</f>
        <v/>
      </c>
      <c r="BM332">
        <f>IF($C332="",99,IF(AND($AY332&lt;1,W$3&gt;=MAX(N($P332),N($S332))),1,99))</f>
        <v/>
      </c>
      <c r="BN332">
        <f>IF($C332="",99,IF(AND($AZ332&lt;1,X$3&gt;=MAX(N($P332),N($S332))),2,99))</f>
        <v/>
      </c>
      <c r="BO332">
        <f>IF($C332="",99,IF(AND($BA332&lt;1,Y$3&gt;=MAX(N($P332),N($S332))),3,99))</f>
        <v/>
      </c>
      <c r="BP332">
        <f>IF($C332="",99,IF(AND($BB332&lt;1,Z$3&gt;=MAX(N($P332),N($S332))),4,99))</f>
        <v/>
      </c>
      <c r="BQ332">
        <f>IF($C332="",99,IF(AND($BC332&lt;1,AA$3&gt;=MAX(N($P332),N($S332))),5,99))</f>
        <v/>
      </c>
      <c r="BR332">
        <f>IF($C332="",99,IF(AND($BD332&lt;1,AB$3&gt;=MAX(N($P332),N($S332))),6,99))</f>
        <v/>
      </c>
      <c r="BS332">
        <f>IF($C332="",99,IF(AND($BE332&lt;1,AC$3&gt;=MAX(N($P332),N($S332))),7,99))</f>
        <v/>
      </c>
      <c r="BT332">
        <f>IF($C332="",99,IF(AND($BF332&lt;1,AD$3&gt;=MAX(N($P332),N($S332))),8,99))</f>
        <v/>
      </c>
      <c r="BU332">
        <f>IF($C332="",99,IF(AND($BG332&lt;1,AE$3&gt;=MAX(N($P332),N($S332))),9,99))</f>
        <v/>
      </c>
      <c r="BV332">
        <f>IF($C332="",99,IF(AND($BH332&lt;1,AF$3&gt;=MAX(N($P332),N($S332))),10,99))</f>
        <v/>
      </c>
      <c r="BW332">
        <f>IF($C332="",99,IF(AND($BI332&lt;1,AG$3&gt;=MAX(N($P332),N($S332))),11,99))</f>
        <v/>
      </c>
      <c r="BX332">
        <f>IF($C332="",99,IF(AND($BJ332&lt;1,AH$3&gt;=MAX(N($P332),N($S332))),12,99))</f>
        <v/>
      </c>
      <c r="BY332">
        <f>IF($C332="",99,IF(AND($BK332&lt;1,AI$3&gt;=MAX(N($P332),N($S332))),13,99))</f>
        <v/>
      </c>
      <c r="BZ332">
        <f>IF(OR($C332="",$M332=""),"",COUNTIF($AJ332:$AW332,"&gt;=1"))</f>
        <v/>
      </c>
      <c r="CA332" s="90">
        <f>IF($BZ332="","",IF($BZ332&gt;=14,"",'設定'!$C$6+$BZ332))</f>
        <v/>
      </c>
      <c r="CB332">
        <f>IF(OR($C332="",$M332=""),"",MIN($BL332:$BY332))</f>
        <v/>
      </c>
      <c r="CC332" s="90">
        <f>IF($CB332="","",IF($CB332&gt;=99,"",'設定'!$C$6+$CB332))</f>
        <v/>
      </c>
      <c r="CD332">
        <f>IF(OR($C332="",$M332=""),"",AVERAGE($V332:$AI332))</f>
        <v/>
      </c>
      <c r="CE332">
        <f>IF($C332="","",IFERROR(IF(MATCH(IF(ISNUMBER($P332),$P332,'設定'!$C$6+N('設定'!$C$7)),$V$3:$AI$3,0)=1,MAX(0,N($L332)),INDEX($AJ332:$AW332,MATCH(IF(ISNUMBER($P332),$P332,'設定'!$C$6+N('設定'!$C$7)),$V$3:$AI$3,0)-1)),""))</f>
        <v/>
      </c>
      <c r="CF332">
        <f>IF(OR($C332="",$O332="",$CE332=""),"",IF($O332-$CE332&lt;=0,0,ROUNDUP(($O332-$CE332)/$G332,0)))</f>
        <v/>
      </c>
      <c r="CG332">
        <f>IF(OR($C332="",$CF332="",NOT(ISNUMBER($Q332))),0,MAX(0,$Q332-$CF332))</f>
        <v/>
      </c>
      <c r="CH332">
        <f>IF(OR($C332="",$O332="",$U332=0),0,IFERROR(ROUNDUP(MAX(0,IF(MATCH($S332,$V$3:$AI$3,0)=1,MAX(0,N($L332)),INDEX($AX332:$BK332,MATCH($S332,$V$3:$AI$3,0)-1))+$U332-$O332)/$G332,0),0))</f>
        <v/>
      </c>
      <c r="CI332">
        <f>IF($C332="","",IF(AND($P332="",$Q332=""),"",IF($P332="","⚠ 入庫日を ▼ から選んでください",IF(NOT(ISNUMBER($P332)),"⚠ 入庫日は ▼ から選んでください",IF($P332&lt;N('設定'!$C$6),"⚠ 入庫日が過去です（もう在庫に入っています）→ 消してください",IF($P332&gt;N('設定'!$C$6)+13,"⚠ 入庫日が14日より先です",IF(N($Q332)&lt;=0,"⚠ 入庫数を入れてください",IF($CG332&gt;0,"⚠ 目安より "&amp;$CG332&amp;" 多い（定数を超える）→ 減らす",""))))))))</f>
        <v/>
      </c>
      <c r="CJ332">
        <f>IF($C332="","",IF(AND($S332="",$T332=""),"",IF($S332="","⚠ 2便目：入庫日を ▼ から選んでください",IF(NOT(ISNUMBER($S332)),"⚠ 2便目：入庫日は ▼ から選んでください",IF($S332&lt;N('設定'!$C$6),"⚠ 2便目：入庫日が過去です（もう在庫に入っています）→ 消してください",IF($S332&gt;N('設定'!$C$6)+13,"⚠ 2便目：入庫日が14日より先です",IF(N($T332)&lt;=0,"⚠ 2便目：入庫数を入れてください",IF($CH332&gt;0,"⚠ 2便目：定数を "&amp;$CH332&amp;" ケース超える → 減らす",""))))))))</f>
        <v/>
      </c>
      <c r="CK332">
        <f>IF(AND($CI332="",N($Q332)&gt;0,ISNUMBER($P332)),1,0)</f>
        <v/>
      </c>
      <c r="CL332">
        <f>IF(AND($CJ332="",N($T332)&gt;0,ISNUMBER($S332)),1,0)</f>
        <v/>
      </c>
      <c r="CM332">
        <f>IF(OR($CK332=1,$CL332=1),1,0)</f>
        <v/>
      </c>
      <c r="CN332">
        <f>IF($C332="",0,($CK332*$R332+$CL332*$U332)*N($H332))</f>
        <v/>
      </c>
      <c r="CO332">
        <f>IF($C332="","",IF($CC332="","入庫後は 14日以上もつ",IF($CC332-N('設定'!$C$7)&lt;='設定'!$C$6,"入庫後も "&amp;TEXT($CC332,"m/d")&amp;"("&amp;CHOOSE(WEEKDAY($CC332),"日","月","火","水","木","金","土")&amp;")"&amp;" に切れる　もう1便を至急発注","入庫後も "&amp;TEXT($CC332,"m/d")&amp;"("&amp;CHOOSE(WEEKDAY($CC332),"日","月","火","水","木","金","土")&amp;")"&amp;" に切れる　"&amp;TEXT($CC332-N('設定'!$C$7),"m/d")&amp;"("&amp;CHOOSE(WEEKDAY($CC332-N('設定'!$C$7)),"日","月","火","水","木","金","土")&amp;")"&amp;" までに次を発注")))</f>
        <v/>
      </c>
      <c r="CP332">
        <f>IF($C332="","",IF('設定'!$C$6="","？ ①在庫を貼る に今日のCSVが貼られていない",IF($CS332=1,"－ 今日のCSVに無い（終売？）",IF($L332&lt;0,"● 在庫がマイナス　数えて「数えた在庫」に入れる",IF($L332=0,"● 在庫なし　至急発注",IF($M332="","？ 減り数が未設定（商品マスタ）",IF($B$3=0,"？ 動員が未入力（動員を入れる）",IF($CA332="","○ 14日以上もつ",IF($BZ332&lt;N('設定'!$C$7),"● "&amp;TEXT($CA332,"m/d")&amp;"("&amp;CHOOSE(WEEKDAY($CA332),"日","月","火","水","木","金","土")&amp;")"&amp;" に切れる　至急発注",IF($BZ332=N('設定'!$C$7),"● "&amp;TEXT($CA332,"m/d")&amp;"("&amp;CHOOSE(WEEKDAY($CA332),"日","月","火","水","木","金","土")&amp;")"&amp;" に切れる　今日発注","△ "&amp;TEXT($CA332,"m/d")&amp;"("&amp;CHOOSE(WEEKDAY($CA332),"日","月","火","水","木","金","土")&amp;")"&amp;" に切れる　"&amp;TEXT($CA332-N('設定'!$C$7),"m/d")&amp;"("&amp;CHOOSE(WEEKDAY($CA332-N('設定'!$C$7)),"日","月","火","水","木","金","土")&amp;")"&amp;" までに発注"))))))))))</f>
        <v/>
      </c>
      <c r="CQ332">
        <f>IF($C332="","",IF(AND($P332="",$Q332="",$S332="",$T332=""),"",IF(AND($P332="",$Q332=""),"⚠ 先に1便目（左の入庫日・入庫数）に入れてください",IF($CI332&lt;&gt;"",$CI332,IF($CJ332&lt;&gt;"",$CJ332,IF($M332="","？ 減り数が未設定（発注書には載ります）",IF($B$3=0,"？ 動員が未入力（発注書には載ります）",IF(AND($CA332&lt;&gt;"",$P332&gt;$CA332),IF($P332&gt;'設定'!$C$6+N('設定'!$C$7),"● "&amp;TEXT($P332,"m/d")&amp;"("&amp;CHOOSE(WEEKDAY($P332),"日","月","火","水","木","金","土")&amp;")"&amp;" の入庫では間に合わない（"&amp;TEXT($CA332,"m/d")&amp;"("&amp;CHOOSE(WEEKDAY($CA332),"日","月","火","水","木","金","土")&amp;")"&amp;" に切れる）　入庫日を早める","△ 欠品 "&amp;TEXT($CA332,"m/d")&amp;"("&amp;CHOOSE(WEEKDAY($CA332),"日","月","火","水","木","金","土")&amp;")"&amp;"〜"&amp;TEXT($P332-1,"m/d")&amp;"("&amp;CHOOSE(WEEKDAY($P332-1),"日","月","火","水","木","金","土")&amp;")"&amp;"　"&amp;$CO332),IF($CC332="","○ "&amp;TEXT($P332,"m/d")&amp;"("&amp;CHOOSE(WEEKDAY($P332),"日","月","火","水","木","金","土")&amp;")"&amp;" 入庫で 14日以上もつ",IF($CC332-N('設定'!$C$7)&lt;='設定'!$C$6,"● 入庫しても "&amp;TEXT($CC332,"m/d")&amp;"("&amp;CHOOSE(WEEKDAY($CC332),"日","月","火","水","木","金","土")&amp;")"&amp;" に切れる　もう1便を至急発注（2便目に入れる）","△ 入庫しても "&amp;TEXT($CC332,"m/d")&amp;"("&amp;CHOOSE(WEEKDAY($CC332),"日","月","火","水","木","金","土")&amp;")"&amp;" に切れる　"&amp;TEXT($CC332-N('設定'!$C$7),"m/d")&amp;"("&amp;CHOOSE(WEEKDAY($CC332-N('設定'!$C$7)),"日","月","火","水","木","金","土")&amp;")"&amp;" までに次を発注（2便目に入れる）"))))))))))</f>
        <v/>
      </c>
      <c r="CR332">
        <f>IF($C332="","",IF($G332&gt;1,"ｹｰｽ("&amp;$G332&amp;"入)","個"))</f>
        <v/>
      </c>
      <c r="CS332">
        <f>IF($C332="",0,IF(COUNTIFS('①在庫を貼る'!$V$6:$V$10005,'設定'!$C$4,'①在庫を貼る'!$W$6:$W$10005,$C332)=0,1,0))</f>
        <v/>
      </c>
      <c r="CT332">
        <f>IF(AND($CK332=1,OR('③発注書'!$C$4="すべて",'③発注書'!$C$4="",$F332='③発注書'!$C$4)),N($CT331)+1,N($CT331))</f>
        <v/>
      </c>
      <c r="CU332">
        <f>IF(AND($CL332=1,OR('③発注書'!$C$4="すべて",'③発注書'!$C$4="",$F332='③発注書'!$C$4)),N($CU331)+1,N($CU331))</f>
        <v/>
      </c>
      <c r="CV332">
        <f>IF($C332="",0,IF(COUNTIFS('①在庫を貼る'!$V$6:$V$10005,'設定'!$C$4,'①在庫を貼る'!$W$6:$W$10005,$C332)&gt;0,1,0))</f>
        <v/>
      </c>
      <c r="CW332">
        <f>IF($C332="",0,IF(COUNTIFS('月1回_1ヶ月前の在庫'!$V$6:$V$10005,'設定'!$C$4,'月1回_1ヶ月前の在庫'!$W$6:$W$10005,$C332)&gt;0,1,0))</f>
        <v/>
      </c>
      <c r="CX332">
        <f>IF($C332="",0,IF(COUNTIFS('月1回_2ヶ月前の在庫'!$V$6:$V$10005,'設定'!$C$4,'月1回_2ヶ月前の在庫'!$W$6:$W$10005,$C332)&gt;0,1,0))</f>
        <v/>
      </c>
      <c r="CY332">
        <f>IF(OR($C332="",'設定'!$C$12=""),"",IF('設定'!$C$13="",IF(AND($CV332=1,$CW332=0),"新商品（今月から）",IF(AND($CV332=0,$CW332=1),"終売（今月から）","")),IF(AND($CV332=1,$CW332=0,$CX332=0),"新商品（今月から）",IF(AND($CV332=1,$CW332=1,$CX332=0),"新商品（先月から）",IF(AND($CV332=0,$CW332=1,$CX332=1),"終売（今月から）",IF(AND($CV332=0,$CW332=0,$CX332=1),"終売（先月から）",IF(AND($CV332=1,$CW332=0,$CX332=1),"復活（先月は無し）","")))))))</f>
        <v/>
      </c>
    </row>
    <row r="333">
      <c r="B333">
        <f>IF(328&lt;='設定'!$C$11,328,"")</f>
        <v/>
      </c>
      <c r="C333">
        <f>IF($B333="","",IF($B333&lt;='設定'!$C$20,INDEX('商品マスタ'!$B$6:$B$1005,MATCH($B333,'商品マスタ'!$M$6:$M$1005,0)),IF($B333&lt;='設定'!$C$20+'設定'!$C$17,INDEX('①在庫を貼る'!$W$6:$W$10005,MATCH($B333-'設定'!$C$20,'①在庫を貼る'!$U$6:$U$10005,0)),IF($B333&lt;='設定'!$C$20+'設定'!$C$17+'設定'!$C$18,INDEX('月1回_1ヶ月前の在庫'!$W$6:$W$10005,MATCH($B333-'設定'!$C$20-'設定'!$C$17,'月1回_1ヶ月前の在庫'!$U$6:$U$10005,0)),INDEX('月1回_2ヶ月前の在庫'!$W$6:$W$10005,MATCH($B333-'設定'!$C$20-'設定'!$C$17-'設定'!$C$18,'月1回_2ヶ月前の在庫'!$U$6:$U$10005,0))))))</f>
        <v/>
      </c>
      <c r="D333">
        <f>IF($C333="","",IFERROR(IF(INDEX('商品マスタ'!$C$6:$C$1005,MATCH($C333,'商品マスタ'!$B$6:$B$1005,0))="",IFERROR(INDEX('①在庫を貼る'!$J$6:$J$10005,MATCH($C333,'①在庫を貼る'!$W$6:$W$10005,0)),IFERROR(INDEX('月1回_1ヶ月前の在庫'!$J$6:$J$10005,MATCH($C333,'月1回_1ヶ月前の在庫'!$W$6:$W$10005,0)),IFERROR(INDEX('月1回_2ヶ月前の在庫'!$J$6:$J$10005,MATCH($C333,'月1回_2ヶ月前の在庫'!$W$6:$W$10005,0)),""))),INDEX('商品マスタ'!$C$6:$C$1005,MATCH($C333,'商品マスタ'!$B$6:$B$1005,0))),IFERROR(INDEX('①在庫を貼る'!$J$6:$J$10005,MATCH($C333,'①在庫を貼る'!$W$6:$W$10005,0)),IFERROR(INDEX('月1回_1ヶ月前の在庫'!$J$6:$J$10005,MATCH($C333,'月1回_1ヶ月前の在庫'!$W$6:$W$10005,0)),IFERROR(INDEX('月1回_2ヶ月前の在庫'!$J$6:$J$10005,MATCH($C333,'月1回_2ヶ月前の在庫'!$W$6:$W$10005,0)),"")))))</f>
        <v/>
      </c>
      <c r="E333">
        <f>IF($C333="","",IFERROR(IF(INDEX('商品マスタ'!$D$6:$D$1005,MATCH($C333,'商品マスタ'!$B$6:$B$1005,0))="",IFERROR(INDEX('①在庫を貼る'!$H$6:$H$10005,MATCH($C333,'①在庫を貼る'!$W$6:$W$10005,0)),IFERROR(INDEX('月1回_1ヶ月前の在庫'!$H$6:$H$10005,MATCH($C333,'月1回_1ヶ月前の在庫'!$W$6:$W$10005,0)),IFERROR(INDEX('月1回_2ヶ月前の在庫'!$H$6:$H$10005,MATCH($C333,'月1回_2ヶ月前の在庫'!$W$6:$W$10005,0)),""))),INDEX('商品マスタ'!$D$6:$D$1005,MATCH($C333,'商品マスタ'!$B$6:$B$1005,0))),IFERROR(INDEX('①在庫を貼る'!$H$6:$H$10005,MATCH($C333,'①在庫を貼る'!$W$6:$W$10005,0)),IFERROR(INDEX('月1回_1ヶ月前の在庫'!$H$6:$H$10005,MATCH($C333,'月1回_1ヶ月前の在庫'!$W$6:$W$10005,0)),IFERROR(INDEX('月1回_2ヶ月前の在庫'!$H$6:$H$10005,MATCH($C333,'月1回_2ヶ月前の在庫'!$W$6:$W$10005,0)),"")))))</f>
        <v/>
      </c>
      <c r="F333">
        <f>IF($C333="","",IFERROR(IF(INDEX('商品マスタ'!$E$6:$E$1005,MATCH($C333,'商品マスタ'!$B$6:$B$1005,0))="",IFERROR(INDEX('①在庫を貼る'!$E$6:$E$10005,MATCH($C333,'①在庫を貼る'!$W$6:$W$10005,0)),IFERROR(INDEX('月1回_1ヶ月前の在庫'!$E$6:$E$10005,MATCH($C333,'月1回_1ヶ月前の在庫'!$W$6:$W$10005,0)),IFERROR(INDEX('月1回_2ヶ月前の在庫'!$E$6:$E$10005,MATCH($C333,'月1回_2ヶ月前の在庫'!$W$6:$W$10005,0)),""))),INDEX('商品マスタ'!$E$6:$E$1005,MATCH($C333,'商品マスタ'!$B$6:$B$1005,0))),IFERROR(INDEX('①在庫を貼る'!$E$6:$E$10005,MATCH($C333,'①在庫を貼る'!$W$6:$W$10005,0)),IFERROR(INDEX('月1回_1ヶ月前の在庫'!$E$6:$E$10005,MATCH($C333,'月1回_1ヶ月前の在庫'!$W$6:$W$10005,0)),IFERROR(INDEX('月1回_2ヶ月前の在庫'!$E$6:$E$10005,MATCH($C333,'月1回_2ヶ月前の在庫'!$W$6:$W$10005,0)),"")))))</f>
        <v/>
      </c>
      <c r="G333">
        <f>IF($C333="","",MAX(1,N(IFERROR(IF(INDEX('商品マスタ'!$F$6:$F$1005,MATCH($C333,'商品マスタ'!$B$6:$B$1005,0))="",IF(COUNTIFS('①在庫を貼る'!$V$6:$V$10005,'設定'!$C$4,'①在庫を貼る'!$W$6:$W$10005,$C333)&gt;0,SUMIFS('①在庫を貼る'!$K$6:$K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K$6:$K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K$6:$K$10005,'月1回_2ヶ月前の在庫'!$V$6:$V$10005,'設定'!$C$4,'月1回_2ヶ月前の在庫'!$W$6:$W$10005,$C333)/COUNTIFS('月1回_2ヶ月前の在庫'!$V$6:$V$10005,'設定'!$C$4,'月1回_2ヶ月前の在庫'!$W$6:$W$10005,$C333),0))),INDEX('商品マスタ'!$F$6:$F$1005,MATCH($C333,'商品マスタ'!$B$6:$B$1005,0))),IF(COUNTIFS('①在庫を貼る'!$V$6:$V$10005,'設定'!$C$4,'①在庫を貼る'!$W$6:$W$10005,$C333)&gt;0,SUMIFS('①在庫を貼る'!$K$6:$K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K$6:$K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K$6:$K$10005,'月1回_2ヶ月前の在庫'!$V$6:$V$10005,'設定'!$C$4,'月1回_2ヶ月前の在庫'!$W$6:$W$10005,$C333)/COUNTIFS('月1回_2ヶ月前の在庫'!$V$6:$V$10005,'設定'!$C$4,'月1回_2ヶ月前の在庫'!$W$6:$W$10005,$C333),0)))))))</f>
        <v/>
      </c>
      <c r="H333">
        <f>IF($C333="","",N(IFERROR(IF(INDEX('商品マスタ'!$G$6:$G$1005,MATCH($C333,'商品マスタ'!$B$6:$B$1005,0))="",IF(COUNTIFS('①在庫を貼る'!$V$6:$V$10005,'設定'!$C$4,'①在庫を貼る'!$W$6:$W$10005,$C333)&gt;0,SUMIFS('①在庫を貼る'!$Q$6:$Q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Q$6:$Q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Q$6:$Q$10005,'月1回_2ヶ月前の在庫'!$V$6:$V$10005,'設定'!$C$4,'月1回_2ヶ月前の在庫'!$W$6:$W$10005,$C333)/COUNTIFS('月1回_2ヶ月前の在庫'!$V$6:$V$10005,'設定'!$C$4,'月1回_2ヶ月前の在庫'!$W$6:$W$10005,$C333),0))),INDEX('商品マスタ'!$G$6:$G$1005,MATCH($C333,'商品マスタ'!$B$6:$B$1005,0))),IF(COUNTIFS('①在庫を貼る'!$V$6:$V$10005,'設定'!$C$4,'①在庫を貼る'!$W$6:$W$10005,$C333)&gt;0,SUMIFS('①在庫を貼る'!$Q$6:$Q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Q$6:$Q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Q$6:$Q$10005,'月1回_2ヶ月前の在庫'!$V$6:$V$10005,'設定'!$C$4,'月1回_2ヶ月前の在庫'!$W$6:$W$10005,$C333)/COUNTIFS('月1回_2ヶ月前の在庫'!$V$6:$V$10005,'設定'!$C$4,'月1回_2ヶ月前の在庫'!$W$6:$W$10005,$C333),0))))))</f>
        <v/>
      </c>
      <c r="I333">
        <f>IF($C333="","",IF(COUNTIFS('①在庫を貼る'!$V$6:$V$10005,'設定'!$C$4,'①在庫を貼る'!$W$6:$W$10005,$C333)=0,"",SUMIFS('①在庫を貼る'!$N$6:$N$10005,'①在庫を貼る'!$V$6:$V$10005,'設定'!$C$4,'①在庫を貼る'!$W$6:$W$10005,$C333)))</f>
        <v/>
      </c>
      <c r="J333">
        <f>IF($C333="","",IF('②発注する'!$AD337="","",'②発注する'!$AD337))</f>
        <v/>
      </c>
      <c r="K333" s="90">
        <f>IF($C333="","",IF('②発注する'!$AE337="","",'②発注する'!$AE337))</f>
        <v/>
      </c>
      <c r="L333">
        <f>IF($C333="","",IF(AND(ISNUMBER($J333),ISNUMBER($K333),$K333&gt;='設定'!$C$6),$J333,N($I333)))</f>
        <v/>
      </c>
      <c r="M333">
        <f>IF($C333="","",IFERROR(IF(N(INDEX('商品マスタ'!$J$6:$J$1005,MATCH($C333,'商品マスタ'!$B$6:$B$1005,0)))&gt;0,INDEX('商品マスタ'!$J$6:$J$1005,MATCH($C333,'商品マスタ'!$B$6:$B$1005,0)),""),""))</f>
        <v/>
      </c>
      <c r="N333">
        <f>IF($C333="","",IFERROR(IF(N(INDEX('商品マスタ'!$H$6:$H$1005,MATCH($C333,'商品マスタ'!$B$6:$B$1005,0)))&gt;0,INDEX('商品マスタ'!$H$6:$H$1005,MATCH($C333,'商品マスタ'!$B$6:$B$1005,0)),""),""))</f>
        <v/>
      </c>
      <c r="O333">
        <f>IF($C333="","",IF($N333&lt;&gt;"",$N333*$G333,IF(N(IF(COUNTIFS('①在庫を貼る'!$V$6:$V$10005,'設定'!$C$4,'①在庫を貼る'!$W$6:$W$10005,$C333)&gt;0,SUMIFS('①在庫を貼る'!$O$6:$O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O$6:$O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O$6:$O$10005,'月1回_2ヶ月前の在庫'!$V$6:$V$10005,'設定'!$C$4,'月1回_2ヶ月前の在庫'!$W$6:$W$10005,$C333)/COUNTIFS('月1回_2ヶ月前の在庫'!$V$6:$V$10005,'設定'!$C$4,'月1回_2ヶ月前の在庫'!$W$6:$W$10005,$C333),0))))&gt;0,N(IF(COUNTIFS('①在庫を貼る'!$V$6:$V$10005,'設定'!$C$4,'①在庫を貼る'!$W$6:$W$10005,$C333)&gt;0,SUMIFS('①在庫を貼る'!$O$6:$O$10005,'①在庫を貼る'!$V$6:$V$10005,'設定'!$C$4,'①在庫を貼る'!$W$6:$W$10005,$C333)/COUNTIFS('①在庫を貼る'!$V$6:$V$10005,'設定'!$C$4,'①在庫を貼る'!$W$6:$W$10005,$C333),IF(COUNTIFS('月1回_1ヶ月前の在庫'!$V$6:$V$10005,'設定'!$C$4,'月1回_1ヶ月前の在庫'!$W$6:$W$10005,$C333)&gt;0,SUMIFS('月1回_1ヶ月前の在庫'!$O$6:$O$10005,'月1回_1ヶ月前の在庫'!$V$6:$V$10005,'設定'!$C$4,'月1回_1ヶ月前の在庫'!$W$6:$W$10005,$C333)/COUNTIFS('月1回_1ヶ月前の在庫'!$V$6:$V$10005,'設定'!$C$4,'月1回_1ヶ月前の在庫'!$W$6:$W$10005,$C333),IF(COUNTIFS('月1回_2ヶ月前の在庫'!$V$6:$V$10005,'設定'!$C$4,'月1回_2ヶ月前の在庫'!$W$6:$W$10005,$C333)&gt;0,SUMIFS('月1回_2ヶ月前の在庫'!$O$6:$O$10005,'月1回_2ヶ月前の在庫'!$V$6:$V$10005,'設定'!$C$4,'月1回_2ヶ月前の在庫'!$W$6:$W$10005,$C333)/COUNTIFS('月1回_2ヶ月前の在庫'!$V$6:$V$10005,'設定'!$C$4,'月1回_2ヶ月前の在庫'!$W$6:$W$10005,$C333),0)))),"")))</f>
        <v/>
      </c>
      <c r="P333" s="90">
        <f>IF($C333="","",IF('②発注する'!$I337="","",'②発注する'!$I337))</f>
        <v/>
      </c>
      <c r="Q333">
        <f>IF($C333="","",IF('②発注する'!$J337="","",'②発注する'!$J337))</f>
        <v/>
      </c>
      <c r="R333">
        <f>IF($C333="",0,IF(AND(ISNUMBER($P333),ISNUMBER($Q333)),MAX(0,$Q333)*$G333,0))</f>
        <v/>
      </c>
      <c r="S333" s="90">
        <f>IF($C333="","",IF('②発注する'!$M337="","",'②発注する'!$M337))</f>
        <v/>
      </c>
      <c r="T333">
        <f>IF($C333="","",IF('②発注する'!$N337="","",'②発注する'!$N337))</f>
        <v/>
      </c>
      <c r="U333">
        <f>IF($C333="",0,IF(AND(ISNUMBER($S333),ISNUMBER($T333)),MAX(0,$T333)*$G333,0))</f>
        <v/>
      </c>
      <c r="V333">
        <f>IF($C333="",0,IF($M333="",0,MAX(0,$M333)*MAX(0,V$4)/100))</f>
        <v/>
      </c>
      <c r="W333">
        <f>IF($C333="",0,IF($M333="",0,MAX(0,$M333)*MAX(0,W$4)/100))</f>
        <v/>
      </c>
      <c r="X333">
        <f>IF($C333="",0,IF($M333="",0,MAX(0,$M333)*MAX(0,X$4)/100))</f>
        <v/>
      </c>
      <c r="Y333">
        <f>IF($C333="",0,IF($M333="",0,MAX(0,$M333)*MAX(0,Y$4)/100))</f>
        <v/>
      </c>
      <c r="Z333">
        <f>IF($C333="",0,IF($M333="",0,MAX(0,$M333)*MAX(0,Z$4)/100))</f>
        <v/>
      </c>
      <c r="AA333">
        <f>IF($C333="",0,IF($M333="",0,MAX(0,$M333)*MAX(0,AA$4)/100))</f>
        <v/>
      </c>
      <c r="AB333">
        <f>IF($C333="",0,IF($M333="",0,MAX(0,$M333)*MAX(0,AB$4)/100))</f>
        <v/>
      </c>
      <c r="AC333">
        <f>IF($C333="",0,IF($M333="",0,MAX(0,$M333)*MAX(0,AC$4)/100))</f>
        <v/>
      </c>
      <c r="AD333">
        <f>IF($C333="",0,IF($M333="",0,MAX(0,$M333)*MAX(0,AD$4)/100))</f>
        <v/>
      </c>
      <c r="AE333">
        <f>IF($C333="",0,IF($M333="",0,MAX(0,$M333)*MAX(0,AE$4)/100))</f>
        <v/>
      </c>
      <c r="AF333">
        <f>IF($C333="",0,IF($M333="",0,MAX(0,$M333)*MAX(0,AF$4)/100))</f>
        <v/>
      </c>
      <c r="AG333">
        <f>IF($C333="",0,IF($M333="",0,MAX(0,$M333)*MAX(0,AG$4)/100))</f>
        <v/>
      </c>
      <c r="AH333">
        <f>IF($C333="",0,IF($M333="",0,MAX(0,$M333)*MAX(0,AH$4)/100))</f>
        <v/>
      </c>
      <c r="AI333">
        <f>IF($C333="",0,IF($M333="",0,MAX(0,$M333)*MAX(0,AI$4)/100))</f>
        <v/>
      </c>
      <c r="AJ333">
        <f>IF($C333="",0,MAX(0,MAX(0,N($L333))-$V333))</f>
        <v/>
      </c>
      <c r="AK333">
        <f>IF($C333="",0,MAX(0,$AJ333-$W333))</f>
        <v/>
      </c>
      <c r="AL333">
        <f>IF($C333="",0,MAX(0,$AK333-$X333))</f>
        <v/>
      </c>
      <c r="AM333">
        <f>IF($C333="",0,MAX(0,$AL333-$Y333))</f>
        <v/>
      </c>
      <c r="AN333">
        <f>IF($C333="",0,MAX(0,$AM333-$Z333))</f>
        <v/>
      </c>
      <c r="AO333">
        <f>IF($C333="",0,MAX(0,$AN333-$AA333))</f>
        <v/>
      </c>
      <c r="AP333">
        <f>IF($C333="",0,MAX(0,$AO333-$AB333))</f>
        <v/>
      </c>
      <c r="AQ333">
        <f>IF($C333="",0,MAX(0,$AP333-$AC333))</f>
        <v/>
      </c>
      <c r="AR333">
        <f>IF($C333="",0,MAX(0,$AQ333-$AD333))</f>
        <v/>
      </c>
      <c r="AS333">
        <f>IF($C333="",0,MAX(0,$AR333-$AE333))</f>
        <v/>
      </c>
      <c r="AT333">
        <f>IF($C333="",0,MAX(0,$AS333-$AF333))</f>
        <v/>
      </c>
      <c r="AU333">
        <f>IF($C333="",0,MAX(0,$AT333-$AG333))</f>
        <v/>
      </c>
      <c r="AV333">
        <f>IF($C333="",0,MAX(0,$AU333-$AH333))</f>
        <v/>
      </c>
      <c r="AW333">
        <f>IF($C333="",0,MAX(0,$AV333-$AI333))</f>
        <v/>
      </c>
      <c r="AX333">
        <f>IF($C333="",0,MAX(0,MAX(0,N($L333))+IF($P333=V$3,$R333,0)+IF($S333=V$3,$U333,0)-$V333))</f>
        <v/>
      </c>
      <c r="AY333">
        <f>IF($C333="",0,MAX(0,$AX333+IF($P333=W$3,$R333,0)+IF($S333=W$3,$U333,0)-$W333))</f>
        <v/>
      </c>
      <c r="AZ333">
        <f>IF($C333="",0,MAX(0,$AY333+IF($P333=X$3,$R333,0)+IF($S333=X$3,$U333,0)-$X333))</f>
        <v/>
      </c>
      <c r="BA333">
        <f>IF($C333="",0,MAX(0,$AZ333+IF($P333=Y$3,$R333,0)+IF($S333=Y$3,$U333,0)-$Y333))</f>
        <v/>
      </c>
      <c r="BB333">
        <f>IF($C333="",0,MAX(0,$BA333+IF($P333=Z$3,$R333,0)+IF($S333=Z$3,$U333,0)-$Z333))</f>
        <v/>
      </c>
      <c r="BC333">
        <f>IF($C333="",0,MAX(0,$BB333+IF($P333=AA$3,$R333,0)+IF($S333=AA$3,$U333,0)-$AA333))</f>
        <v/>
      </c>
      <c r="BD333">
        <f>IF($C333="",0,MAX(0,$BC333+IF($P333=AB$3,$R333,0)+IF($S333=AB$3,$U333,0)-$AB333))</f>
        <v/>
      </c>
      <c r="BE333">
        <f>IF($C333="",0,MAX(0,$BD333+IF($P333=AC$3,$R333,0)+IF($S333=AC$3,$U333,0)-$AC333))</f>
        <v/>
      </c>
      <c r="BF333">
        <f>IF($C333="",0,MAX(0,$BE333+IF($P333=AD$3,$R333,0)+IF($S333=AD$3,$U333,0)-$AD333))</f>
        <v/>
      </c>
      <c r="BG333">
        <f>IF($C333="",0,MAX(0,$BF333+IF($P333=AE$3,$R333,0)+IF($S333=AE$3,$U333,0)-$AE333))</f>
        <v/>
      </c>
      <c r="BH333">
        <f>IF($C333="",0,MAX(0,$BG333+IF($P333=AF$3,$R333,0)+IF($S333=AF$3,$U333,0)-$AF333))</f>
        <v/>
      </c>
      <c r="BI333">
        <f>IF($C333="",0,MAX(0,$BH333+IF($P333=AG$3,$R333,0)+IF($S333=AG$3,$U333,0)-$AG333))</f>
        <v/>
      </c>
      <c r="BJ333">
        <f>IF($C333="",0,MAX(0,$BI333+IF($P333=AH$3,$R333,0)+IF($S333=AH$3,$U333,0)-$AH333))</f>
        <v/>
      </c>
      <c r="BK333">
        <f>IF($C333="",0,MAX(0,$BJ333+IF($P333=AI$3,$R333,0)+IF($S333=AI$3,$U333,0)-$AI333))</f>
        <v/>
      </c>
      <c r="BL333">
        <f>IF($C333="",99,IF(AND($AX333&lt;1,V$3&gt;=MAX(N($P333),N($S333))),0,99))</f>
        <v/>
      </c>
      <c r="BM333">
        <f>IF($C333="",99,IF(AND($AY333&lt;1,W$3&gt;=MAX(N($P333),N($S333))),1,99))</f>
        <v/>
      </c>
      <c r="BN333">
        <f>IF($C333="",99,IF(AND($AZ333&lt;1,X$3&gt;=MAX(N($P333),N($S333))),2,99))</f>
        <v/>
      </c>
      <c r="BO333">
        <f>IF($C333="",99,IF(AND($BA333&lt;1,Y$3&gt;=MAX(N($P333),N($S333))),3,99))</f>
        <v/>
      </c>
      <c r="BP333">
        <f>IF($C333="",99,IF(AND($BB333&lt;1,Z$3&gt;=MAX(N($P333),N($S333))),4,99))</f>
        <v/>
      </c>
      <c r="BQ333">
        <f>IF($C333="",99,IF(AND($BC333&lt;1,AA$3&gt;=MAX(N($P333),N($S333))),5,99))</f>
        <v/>
      </c>
      <c r="BR333">
        <f>IF($C333="",99,IF(AND($BD333&lt;1,AB$3&gt;=MAX(N($P333),N($S333))),6,99))</f>
        <v/>
      </c>
      <c r="BS333">
        <f>IF($C333="",99,IF(AND($BE333&lt;1,AC$3&gt;=MAX(N($P333),N($S333))),7,99))</f>
        <v/>
      </c>
      <c r="BT333">
        <f>IF($C333="",99,IF(AND($BF333&lt;1,AD$3&gt;=MAX(N($P333),N($S333))),8,99))</f>
        <v/>
      </c>
      <c r="BU333">
        <f>IF($C333="",99,IF(AND($BG333&lt;1,AE$3&gt;=MAX(N($P333),N($S333))),9,99))</f>
        <v/>
      </c>
      <c r="BV333">
        <f>IF($C333="",99,IF(AND($BH333&lt;1,AF$3&gt;=MAX(N($P333),N($S333))),10,99))</f>
        <v/>
      </c>
      <c r="BW333">
        <f>IF($C333="",99,IF(AND($BI333&lt;1,AG$3&gt;=MAX(N($P333),N($S333))),11,99))</f>
        <v/>
      </c>
      <c r="BX333">
        <f>IF($C333="",99,IF(AND($BJ333&lt;1,AH$3&gt;=MAX(N($P333),N($S333))),12,99))</f>
        <v/>
      </c>
      <c r="BY333">
        <f>IF($C333="",99,IF(AND($BK333&lt;1,AI$3&gt;=MAX(N($P333),N($S333))),13,99))</f>
        <v/>
      </c>
      <c r="BZ333">
        <f>IF(OR($C333="",$M333=""),"",COUNTIF($AJ333:$AW333,"&gt;=1"))</f>
        <v/>
      </c>
      <c r="CA333" s="90">
        <f>IF($BZ333="","",IF($BZ333&gt;=14,"",'設定'!$C$6+$BZ333))</f>
        <v/>
      </c>
      <c r="CB333">
        <f>IF(OR($C333="",$M333=""),"",MIN($BL333:$BY333))</f>
        <v/>
      </c>
      <c r="CC333" s="90">
        <f>IF($CB333="","",IF($CB333&gt;=99,"",'設定'!$C$6+$CB333))</f>
        <v/>
      </c>
      <c r="CD333">
        <f>IF(OR($C333="",$M333=""),"",AVERAGE($V333:$AI333))</f>
        <v/>
      </c>
      <c r="CE333">
        <f>IF($C333="","",IFERROR(IF(MATCH(IF(ISNUMBER($P333),$P333,'設定'!$C$6+N('設定'!$C$7)),$V$3:$AI$3,0)=1,MAX(0,N($L333)),INDEX($AJ333:$AW333,MATCH(IF(ISNUMBER($P333),$P333,'設定'!$C$6+N('設定'!$C$7)),$V$3:$AI$3,0)-1)),""))</f>
        <v/>
      </c>
      <c r="CF333">
        <f>IF(OR($C333="",$O333="",$CE333=""),"",IF($O333-$CE333&lt;=0,0,ROUNDUP(($O333-$CE333)/$G333,0)))</f>
        <v/>
      </c>
      <c r="CG333">
        <f>IF(OR($C333="",$CF333="",NOT(ISNUMBER($Q333))),0,MAX(0,$Q333-$CF333))</f>
        <v/>
      </c>
      <c r="CH333">
        <f>IF(OR($C333="",$O333="",$U333=0),0,IFERROR(ROUNDUP(MAX(0,IF(MATCH($S333,$V$3:$AI$3,0)=1,MAX(0,N($L333)),INDEX($AX333:$BK333,MATCH($S333,$V$3:$AI$3,0)-1))+$U333-$O333)/$G333,0),0))</f>
        <v/>
      </c>
      <c r="CI333">
        <f>IF($C333="","",IF(AND($P333="",$Q333=""),"",IF($P333="","⚠ 入庫日を ▼ から選んでください",IF(NOT(ISNUMBER($P333)),"⚠ 入庫日は ▼ から選んでください",IF($P333&lt;N('設定'!$C$6),"⚠ 入庫日が過去です（もう在庫に入っています）→ 消してください",IF($P333&gt;N('設定'!$C$6)+13,"⚠ 入庫日が14日より先です",IF(N($Q333)&lt;=0,"⚠ 入庫数を入れてください",IF($CG333&gt;0,"⚠ 目安より "&amp;$CG333&amp;" 多い（定数を超える）→ 減らす",""))))))))</f>
        <v/>
      </c>
      <c r="CJ333">
        <f>IF($C333="","",IF(AND($S333="",$T333=""),"",IF($S333="","⚠ 2便目：入庫日を ▼ から選んでください",IF(NOT(ISNUMBER($S333)),"⚠ 2便目：入庫日は ▼ から選んでください",IF($S333&lt;N('設定'!$C$6),"⚠ 2便目：入庫日が過去です（もう在庫に入っています）→ 消してください",IF($S333&gt;N('設定'!$C$6)+13,"⚠ 2便目：入庫日が14日より先です",IF(N($T333)&lt;=0,"⚠ 2便目：入庫数を入れてください",IF($CH333&gt;0,"⚠ 2便目：定数を "&amp;$CH333&amp;" ケース超える → 減らす",""))))))))</f>
        <v/>
      </c>
      <c r="CK333">
        <f>IF(AND($CI333="",N($Q333)&gt;0,ISNUMBER($P333)),1,0)</f>
        <v/>
      </c>
      <c r="CL333">
        <f>IF(AND($CJ333="",N($T333)&gt;0,ISNUMBER($S333)),1,0)</f>
        <v/>
      </c>
      <c r="CM333">
        <f>IF(OR($CK333=1,$CL333=1),1,0)</f>
        <v/>
      </c>
      <c r="CN333">
        <f>IF($C333="",0,($CK333*$R333+$CL333*$U333)*N($H333))</f>
        <v/>
      </c>
      <c r="CO333">
        <f>IF($C333="","",IF($CC333="","入庫後は 14日以上もつ",IF($CC333-N('設定'!$C$7)&lt;='設定'!$C$6,"入庫後も "&amp;TEXT($CC333,"m/d")&amp;"("&amp;CHOOSE(WEEKDAY($CC333),"日","月","火","水","木","金","土")&amp;")"&amp;" に切れる　もう1便を至急発注","入庫後も "&amp;TEXT($CC333,"m/d")&amp;"("&amp;CHOOSE(WEEKDAY($CC333),"日","月","火","水","木","金","土")&amp;")"&amp;" に切れる　"&amp;TEXT($CC333-N('設定'!$C$7),"m/d")&amp;"("&amp;CHOOSE(WEEKDAY($CC333-N('設定'!$C$7)),"日","月","火","水","木","金","土")&amp;")"&amp;" までに次を発注")))</f>
        <v/>
      </c>
      <c r="CP333">
        <f>IF($C333="","",IF('設定'!$C$6="","？ ①在庫を貼る に今日のCSVが貼られていない",IF($CS333=1,"－ 今日のCSVに無い（終売？）",IF($L333&lt;0,"● 在庫がマイナス　数えて「数えた在庫」に入れる",IF($L333=0,"● 在庫なし　至急発注",IF($M333="","？ 減り数が未設定（商品マスタ）",IF($B$3=0,"？ 動員が未入力（動員を入れる）",IF($CA333="","○ 14日以上もつ",IF($BZ333&lt;N('設定'!$C$7),"● "&amp;TEXT($CA333,"m/d")&amp;"("&amp;CHOOSE(WEEKDAY($CA333),"日","月","火","水","木","金","土")&amp;")"&amp;" に切れる　至急発注",IF($BZ333=N('設定'!$C$7),"● "&amp;TEXT($CA333,"m/d")&amp;"("&amp;CHOOSE(WEEKDAY($CA333),"日","月","火","水","木","金","土")&amp;")"&amp;" に切れる　今日発注","△ "&amp;TEXT($CA333,"m/d")&amp;"("&amp;CHOOSE(WEEKDAY($CA333),"日","月","火","水","木","金","土")&amp;")"&amp;" に切れる　"&amp;TEXT($CA333-N('設定'!$C$7),"m/d")&amp;"("&amp;CHOOSE(WEEKDAY($CA333-N('設定'!$C$7)),"日","月","火","水","木","金","土")&amp;")"&amp;" までに発注"))))))))))</f>
        <v/>
      </c>
      <c r="CQ333">
        <f>IF($C333="","",IF(AND($P333="",$Q333="",$S333="",$T333=""),"",IF(AND($P333="",$Q333=""),"⚠ 先に1便目（左の入庫日・入庫数）に入れてください",IF($CI333&lt;&gt;"",$CI333,IF($CJ333&lt;&gt;"",$CJ333,IF($M333="","？ 減り数が未設定（発注書には載ります）",IF($B$3=0,"？ 動員が未入力（発注書には載ります）",IF(AND($CA333&lt;&gt;"",$P333&gt;$CA333),IF($P333&gt;'設定'!$C$6+N('設定'!$C$7),"● "&amp;TEXT($P333,"m/d")&amp;"("&amp;CHOOSE(WEEKDAY($P333),"日","月","火","水","木","金","土")&amp;")"&amp;" の入庫では間に合わない（"&amp;TEXT($CA333,"m/d")&amp;"("&amp;CHOOSE(WEEKDAY($CA333),"日","月","火","水","木","金","土")&amp;")"&amp;" に切れる）　入庫日を早める","△ 欠品 "&amp;TEXT($CA333,"m/d")&amp;"("&amp;CHOOSE(WEEKDAY($CA333),"日","月","火","水","木","金","土")&amp;")"&amp;"〜"&amp;TEXT($P333-1,"m/d")&amp;"("&amp;CHOOSE(WEEKDAY($P333-1),"日","月","火","水","木","金","土")&amp;")"&amp;"　"&amp;$CO333),IF($CC333="","○ "&amp;TEXT($P333,"m/d")&amp;"("&amp;CHOOSE(WEEKDAY($P333),"日","月","火","水","木","金","土")&amp;")"&amp;" 入庫で 14日以上もつ",IF($CC333-N('設定'!$C$7)&lt;='設定'!$C$6,"● 入庫しても "&amp;TEXT($CC333,"m/d")&amp;"("&amp;CHOOSE(WEEKDAY($CC333),"日","月","火","水","木","金","土")&amp;")"&amp;" に切れる　もう1便を至急発注（2便目に入れる）","△ 入庫しても "&amp;TEXT($CC333,"m/d")&amp;"("&amp;CHOOSE(WEEKDAY($CC333),"日","月","火","水","木","金","土")&amp;")"&amp;" に切れる　"&amp;TEXT($CC333-N('設定'!$C$7),"m/d")&amp;"("&amp;CHOOSE(WEEKDAY($CC333-N('設定'!$C$7)),"日","月","火","水","木","金","土")&amp;")"&amp;" までに次を発注（2便目に入れる）"))))))))))</f>
        <v/>
      </c>
      <c r="CR333">
        <f>IF($C333="","",IF($G333&gt;1,"ｹｰｽ("&amp;$G333&amp;"入)","個"))</f>
        <v/>
      </c>
      <c r="CS333">
        <f>IF($C333="",0,IF(COUNTIFS('①在庫を貼る'!$V$6:$V$10005,'設定'!$C$4,'①在庫を貼る'!$W$6:$W$10005,$C333)=0,1,0))</f>
        <v/>
      </c>
      <c r="CT333">
        <f>IF(AND($CK333=1,OR('③発注書'!$C$4="すべて",'③発注書'!$C$4="",$F333='③発注書'!$C$4)),N($CT332)+1,N($CT332))</f>
        <v/>
      </c>
      <c r="CU333">
        <f>IF(AND($CL333=1,OR('③発注書'!$C$4="すべて",'③発注書'!$C$4="",$F333='③発注書'!$C$4)),N($CU332)+1,N($CU332))</f>
        <v/>
      </c>
      <c r="CV333">
        <f>IF($C333="",0,IF(COUNTIFS('①在庫を貼る'!$V$6:$V$10005,'設定'!$C$4,'①在庫を貼る'!$W$6:$W$10005,$C333)&gt;0,1,0))</f>
        <v/>
      </c>
      <c r="CW333">
        <f>IF($C333="",0,IF(COUNTIFS('月1回_1ヶ月前の在庫'!$V$6:$V$10005,'設定'!$C$4,'月1回_1ヶ月前の在庫'!$W$6:$W$10005,$C333)&gt;0,1,0))</f>
        <v/>
      </c>
      <c r="CX333">
        <f>IF($C333="",0,IF(COUNTIFS('月1回_2ヶ月前の在庫'!$V$6:$V$10005,'設定'!$C$4,'月1回_2ヶ月前の在庫'!$W$6:$W$10005,$C333)&gt;0,1,0))</f>
        <v/>
      </c>
      <c r="CY333">
        <f>IF(OR($C333="",'設定'!$C$12=""),"",IF('設定'!$C$13="",IF(AND($CV333=1,$CW333=0),"新商品（今月から）",IF(AND($CV333=0,$CW333=1),"終売（今月から）","")),IF(AND($CV333=1,$CW333=0,$CX333=0),"新商品（今月から）",IF(AND($CV333=1,$CW333=1,$CX333=0),"新商品（先月から）",IF(AND($CV333=0,$CW333=1,$CX333=1),"終売（今月から）",IF(AND($CV333=0,$CW333=0,$CX333=1),"終売（先月から）",IF(AND($CV333=1,$CW333=0,$CX333=1),"復活（先月は無し）","")))))))</f>
        <v/>
      </c>
    </row>
    <row r="334">
      <c r="B334">
        <f>IF(329&lt;='設定'!$C$11,329,"")</f>
        <v/>
      </c>
      <c r="C334">
        <f>IF($B334="","",IF($B334&lt;='設定'!$C$20,INDEX('商品マスタ'!$B$6:$B$1005,MATCH($B334,'商品マスタ'!$M$6:$M$1005,0)),IF($B334&lt;='設定'!$C$20+'設定'!$C$17,INDEX('①在庫を貼る'!$W$6:$W$10005,MATCH($B334-'設定'!$C$20,'①在庫を貼る'!$U$6:$U$10005,0)),IF($B334&lt;='設定'!$C$20+'設定'!$C$17+'設定'!$C$18,INDEX('月1回_1ヶ月前の在庫'!$W$6:$W$10005,MATCH($B334-'設定'!$C$20-'設定'!$C$17,'月1回_1ヶ月前の在庫'!$U$6:$U$10005,0)),INDEX('月1回_2ヶ月前の在庫'!$W$6:$W$10005,MATCH($B334-'設定'!$C$20-'設定'!$C$17-'設定'!$C$18,'月1回_2ヶ月前の在庫'!$U$6:$U$10005,0))))))</f>
        <v/>
      </c>
      <c r="D334">
        <f>IF($C334="","",IFERROR(IF(INDEX('商品マスタ'!$C$6:$C$1005,MATCH($C334,'商品マスタ'!$B$6:$B$1005,0))="",IFERROR(INDEX('①在庫を貼る'!$J$6:$J$10005,MATCH($C334,'①在庫を貼る'!$W$6:$W$10005,0)),IFERROR(INDEX('月1回_1ヶ月前の在庫'!$J$6:$J$10005,MATCH($C334,'月1回_1ヶ月前の在庫'!$W$6:$W$10005,0)),IFERROR(INDEX('月1回_2ヶ月前の在庫'!$J$6:$J$10005,MATCH($C334,'月1回_2ヶ月前の在庫'!$W$6:$W$10005,0)),""))),INDEX('商品マスタ'!$C$6:$C$1005,MATCH($C334,'商品マスタ'!$B$6:$B$1005,0))),IFERROR(INDEX('①在庫を貼る'!$J$6:$J$10005,MATCH($C334,'①在庫を貼る'!$W$6:$W$10005,0)),IFERROR(INDEX('月1回_1ヶ月前の在庫'!$J$6:$J$10005,MATCH($C334,'月1回_1ヶ月前の在庫'!$W$6:$W$10005,0)),IFERROR(INDEX('月1回_2ヶ月前の在庫'!$J$6:$J$10005,MATCH($C334,'月1回_2ヶ月前の在庫'!$W$6:$W$10005,0)),"")))))</f>
        <v/>
      </c>
      <c r="E334">
        <f>IF($C334="","",IFERROR(IF(INDEX('商品マスタ'!$D$6:$D$1005,MATCH($C334,'商品マスタ'!$B$6:$B$1005,0))="",IFERROR(INDEX('①在庫を貼る'!$H$6:$H$10005,MATCH($C334,'①在庫を貼る'!$W$6:$W$10005,0)),IFERROR(INDEX('月1回_1ヶ月前の在庫'!$H$6:$H$10005,MATCH($C334,'月1回_1ヶ月前の在庫'!$W$6:$W$10005,0)),IFERROR(INDEX('月1回_2ヶ月前の在庫'!$H$6:$H$10005,MATCH($C334,'月1回_2ヶ月前の在庫'!$W$6:$W$10005,0)),""))),INDEX('商品マスタ'!$D$6:$D$1005,MATCH($C334,'商品マスタ'!$B$6:$B$1005,0))),IFERROR(INDEX('①在庫を貼る'!$H$6:$H$10005,MATCH($C334,'①在庫を貼る'!$W$6:$W$10005,0)),IFERROR(INDEX('月1回_1ヶ月前の在庫'!$H$6:$H$10005,MATCH($C334,'月1回_1ヶ月前の在庫'!$W$6:$W$10005,0)),IFERROR(INDEX('月1回_2ヶ月前の在庫'!$H$6:$H$10005,MATCH($C334,'月1回_2ヶ月前の在庫'!$W$6:$W$10005,0)),"")))))</f>
        <v/>
      </c>
      <c r="F334">
        <f>IF($C334="","",IFERROR(IF(INDEX('商品マスタ'!$E$6:$E$1005,MATCH($C334,'商品マスタ'!$B$6:$B$1005,0))="",IFERROR(INDEX('①在庫を貼る'!$E$6:$E$10005,MATCH($C334,'①在庫を貼る'!$W$6:$W$10005,0)),IFERROR(INDEX('月1回_1ヶ月前の在庫'!$E$6:$E$10005,MATCH($C334,'月1回_1ヶ月前の在庫'!$W$6:$W$10005,0)),IFERROR(INDEX('月1回_2ヶ月前の在庫'!$E$6:$E$10005,MATCH($C334,'月1回_2ヶ月前の在庫'!$W$6:$W$10005,0)),""))),INDEX('商品マスタ'!$E$6:$E$1005,MATCH($C334,'商品マスタ'!$B$6:$B$1005,0))),IFERROR(INDEX('①在庫を貼る'!$E$6:$E$10005,MATCH($C334,'①在庫を貼る'!$W$6:$W$10005,0)),IFERROR(INDEX('月1回_1ヶ月前の在庫'!$E$6:$E$10005,MATCH($C334,'月1回_1ヶ月前の在庫'!$W$6:$W$10005,0)),IFERROR(INDEX('月1回_2ヶ月前の在庫'!$E$6:$E$10005,MATCH($C334,'月1回_2ヶ月前の在庫'!$W$6:$W$10005,0)),"")))))</f>
        <v/>
      </c>
      <c r="G334">
        <f>IF($C334="","",MAX(1,N(IFERROR(IF(INDEX('商品マスタ'!$F$6:$F$1005,MATCH($C334,'商品マスタ'!$B$6:$B$1005,0))="",IF(COUNTIFS('①在庫を貼る'!$V$6:$V$10005,'設定'!$C$4,'①在庫を貼る'!$W$6:$W$10005,$C334)&gt;0,SUMIFS('①在庫を貼る'!$K$6:$K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K$6:$K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K$6:$K$10005,'月1回_2ヶ月前の在庫'!$V$6:$V$10005,'設定'!$C$4,'月1回_2ヶ月前の在庫'!$W$6:$W$10005,$C334)/COUNTIFS('月1回_2ヶ月前の在庫'!$V$6:$V$10005,'設定'!$C$4,'月1回_2ヶ月前の在庫'!$W$6:$W$10005,$C334),0))),INDEX('商品マスタ'!$F$6:$F$1005,MATCH($C334,'商品マスタ'!$B$6:$B$1005,0))),IF(COUNTIFS('①在庫を貼る'!$V$6:$V$10005,'設定'!$C$4,'①在庫を貼る'!$W$6:$W$10005,$C334)&gt;0,SUMIFS('①在庫を貼る'!$K$6:$K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K$6:$K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K$6:$K$10005,'月1回_2ヶ月前の在庫'!$V$6:$V$10005,'設定'!$C$4,'月1回_2ヶ月前の在庫'!$W$6:$W$10005,$C334)/COUNTIFS('月1回_2ヶ月前の在庫'!$V$6:$V$10005,'設定'!$C$4,'月1回_2ヶ月前の在庫'!$W$6:$W$10005,$C334),0)))))))</f>
        <v/>
      </c>
      <c r="H334">
        <f>IF($C334="","",N(IFERROR(IF(INDEX('商品マスタ'!$G$6:$G$1005,MATCH($C334,'商品マスタ'!$B$6:$B$1005,0))="",IF(COUNTIFS('①在庫を貼る'!$V$6:$V$10005,'設定'!$C$4,'①在庫を貼る'!$W$6:$W$10005,$C334)&gt;0,SUMIFS('①在庫を貼る'!$Q$6:$Q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Q$6:$Q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Q$6:$Q$10005,'月1回_2ヶ月前の在庫'!$V$6:$V$10005,'設定'!$C$4,'月1回_2ヶ月前の在庫'!$W$6:$W$10005,$C334)/COUNTIFS('月1回_2ヶ月前の在庫'!$V$6:$V$10005,'設定'!$C$4,'月1回_2ヶ月前の在庫'!$W$6:$W$10005,$C334),0))),INDEX('商品マスタ'!$G$6:$G$1005,MATCH($C334,'商品マスタ'!$B$6:$B$1005,0))),IF(COUNTIFS('①在庫を貼る'!$V$6:$V$10005,'設定'!$C$4,'①在庫を貼る'!$W$6:$W$10005,$C334)&gt;0,SUMIFS('①在庫を貼る'!$Q$6:$Q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Q$6:$Q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Q$6:$Q$10005,'月1回_2ヶ月前の在庫'!$V$6:$V$10005,'設定'!$C$4,'月1回_2ヶ月前の在庫'!$W$6:$W$10005,$C334)/COUNTIFS('月1回_2ヶ月前の在庫'!$V$6:$V$10005,'設定'!$C$4,'月1回_2ヶ月前の在庫'!$W$6:$W$10005,$C334),0))))))</f>
        <v/>
      </c>
      <c r="I334">
        <f>IF($C334="","",IF(COUNTIFS('①在庫を貼る'!$V$6:$V$10005,'設定'!$C$4,'①在庫を貼る'!$W$6:$W$10005,$C334)=0,"",SUMIFS('①在庫を貼る'!$N$6:$N$10005,'①在庫を貼る'!$V$6:$V$10005,'設定'!$C$4,'①在庫を貼る'!$W$6:$W$10005,$C334)))</f>
        <v/>
      </c>
      <c r="J334">
        <f>IF($C334="","",IF('②発注する'!$AD338="","",'②発注する'!$AD338))</f>
        <v/>
      </c>
      <c r="K334" s="90">
        <f>IF($C334="","",IF('②発注する'!$AE338="","",'②発注する'!$AE338))</f>
        <v/>
      </c>
      <c r="L334">
        <f>IF($C334="","",IF(AND(ISNUMBER($J334),ISNUMBER($K334),$K334&gt;='設定'!$C$6),$J334,N($I334)))</f>
        <v/>
      </c>
      <c r="M334">
        <f>IF($C334="","",IFERROR(IF(N(INDEX('商品マスタ'!$J$6:$J$1005,MATCH($C334,'商品マスタ'!$B$6:$B$1005,0)))&gt;0,INDEX('商品マスタ'!$J$6:$J$1005,MATCH($C334,'商品マスタ'!$B$6:$B$1005,0)),""),""))</f>
        <v/>
      </c>
      <c r="N334">
        <f>IF($C334="","",IFERROR(IF(N(INDEX('商品マスタ'!$H$6:$H$1005,MATCH($C334,'商品マスタ'!$B$6:$B$1005,0)))&gt;0,INDEX('商品マスタ'!$H$6:$H$1005,MATCH($C334,'商品マスタ'!$B$6:$B$1005,0)),""),""))</f>
        <v/>
      </c>
      <c r="O334">
        <f>IF($C334="","",IF($N334&lt;&gt;"",$N334*$G334,IF(N(IF(COUNTIFS('①在庫を貼る'!$V$6:$V$10005,'設定'!$C$4,'①在庫を貼る'!$W$6:$W$10005,$C334)&gt;0,SUMIFS('①在庫を貼る'!$O$6:$O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O$6:$O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O$6:$O$10005,'月1回_2ヶ月前の在庫'!$V$6:$V$10005,'設定'!$C$4,'月1回_2ヶ月前の在庫'!$W$6:$W$10005,$C334)/COUNTIFS('月1回_2ヶ月前の在庫'!$V$6:$V$10005,'設定'!$C$4,'月1回_2ヶ月前の在庫'!$W$6:$W$10005,$C334),0))))&gt;0,N(IF(COUNTIFS('①在庫を貼る'!$V$6:$V$10005,'設定'!$C$4,'①在庫を貼る'!$W$6:$W$10005,$C334)&gt;0,SUMIFS('①在庫を貼る'!$O$6:$O$10005,'①在庫を貼る'!$V$6:$V$10005,'設定'!$C$4,'①在庫を貼る'!$W$6:$W$10005,$C334)/COUNTIFS('①在庫を貼る'!$V$6:$V$10005,'設定'!$C$4,'①在庫を貼る'!$W$6:$W$10005,$C334),IF(COUNTIFS('月1回_1ヶ月前の在庫'!$V$6:$V$10005,'設定'!$C$4,'月1回_1ヶ月前の在庫'!$W$6:$W$10005,$C334)&gt;0,SUMIFS('月1回_1ヶ月前の在庫'!$O$6:$O$10005,'月1回_1ヶ月前の在庫'!$V$6:$V$10005,'設定'!$C$4,'月1回_1ヶ月前の在庫'!$W$6:$W$10005,$C334)/COUNTIFS('月1回_1ヶ月前の在庫'!$V$6:$V$10005,'設定'!$C$4,'月1回_1ヶ月前の在庫'!$W$6:$W$10005,$C334),IF(COUNTIFS('月1回_2ヶ月前の在庫'!$V$6:$V$10005,'設定'!$C$4,'月1回_2ヶ月前の在庫'!$W$6:$W$10005,$C334)&gt;0,SUMIFS('月1回_2ヶ月前の在庫'!$O$6:$O$10005,'月1回_2ヶ月前の在庫'!$V$6:$V$10005,'設定'!$C$4,'月1回_2ヶ月前の在庫'!$W$6:$W$10005,$C334)/COUNTIFS('月1回_2ヶ月前の在庫'!$V$6:$V$10005,'設定'!$C$4,'月1回_2ヶ月前の在庫'!$W$6:$W$10005,$C334),0)))),"")))</f>
        <v/>
      </c>
      <c r="P334" s="90">
        <f>IF($C334="","",IF('②発注する'!$I338="","",'②発注する'!$I338))</f>
        <v/>
      </c>
      <c r="Q334">
        <f>IF($C334="","",IF('②発注する'!$J338="","",'②発注する'!$J338))</f>
        <v/>
      </c>
      <c r="R334">
        <f>IF($C334="",0,IF(AND(ISNUMBER($P334),ISNUMBER($Q334)),MAX(0,$Q334)*$G334,0))</f>
        <v/>
      </c>
      <c r="S334" s="90">
        <f>IF($C334="","",IF('②発注する'!$M338="","",'②発注する'!$M338))</f>
        <v/>
      </c>
      <c r="T334">
        <f>IF($C334="","",IF('②発注する'!$N338="","",'②発注する'!$N338))</f>
        <v/>
      </c>
      <c r="U334">
        <f>IF($C334="",0,IF(AND(ISNUMBER($S334),ISNUMBER($T334)),MAX(0,$T334)*$G334,0))</f>
        <v/>
      </c>
      <c r="V334">
        <f>IF($C334="",0,IF($M334="",0,MAX(0,$M334)*MAX(0,V$4)/100))</f>
        <v/>
      </c>
      <c r="W334">
        <f>IF($C334="",0,IF($M334="",0,MAX(0,$M334)*MAX(0,W$4)/100))</f>
        <v/>
      </c>
      <c r="X334">
        <f>IF($C334="",0,IF($M334="",0,MAX(0,$M334)*MAX(0,X$4)/100))</f>
        <v/>
      </c>
      <c r="Y334">
        <f>IF($C334="",0,IF($M334="",0,MAX(0,$M334)*MAX(0,Y$4)/100))</f>
        <v/>
      </c>
      <c r="Z334">
        <f>IF($C334="",0,IF($M334="",0,MAX(0,$M334)*MAX(0,Z$4)/100))</f>
        <v/>
      </c>
      <c r="AA334">
        <f>IF($C334="",0,IF($M334="",0,MAX(0,$M334)*MAX(0,AA$4)/100))</f>
        <v/>
      </c>
      <c r="AB334">
        <f>IF($C334="",0,IF($M334="",0,MAX(0,$M334)*MAX(0,AB$4)/100))</f>
        <v/>
      </c>
      <c r="AC334">
        <f>IF($C334="",0,IF($M334="",0,MAX(0,$M334)*MAX(0,AC$4)/100))</f>
        <v/>
      </c>
      <c r="AD334">
        <f>IF($C334="",0,IF($M334="",0,MAX(0,$M334)*MAX(0,AD$4)/100))</f>
        <v/>
      </c>
      <c r="AE334">
        <f>IF($C334="",0,IF($M334="",0,MAX(0,$M334)*MAX(0,AE$4)/100))</f>
        <v/>
      </c>
      <c r="AF334">
        <f>IF($C334="",0,IF($M334="",0,MAX(0,$M334)*MAX(0,AF$4)/100))</f>
        <v/>
      </c>
      <c r="AG334">
        <f>IF($C334="",0,IF($M334="",0,MAX(0,$M334)*MAX(0,AG$4)/100))</f>
        <v/>
      </c>
      <c r="AH334">
        <f>IF($C334="",0,IF($M334="",0,MAX(0,$M334)*MAX(0,AH$4)/100))</f>
        <v/>
      </c>
      <c r="AI334">
        <f>IF($C334="",0,IF($M334="",0,MAX(0,$M334)*MAX(0,AI$4)/100))</f>
        <v/>
      </c>
      <c r="AJ334">
        <f>IF($C334="",0,MAX(0,MAX(0,N($L334))-$V334))</f>
        <v/>
      </c>
      <c r="AK334">
        <f>IF($C334="",0,MAX(0,$AJ334-$W334))</f>
        <v/>
      </c>
      <c r="AL334">
        <f>IF($C334="",0,MAX(0,$AK334-$X334))</f>
        <v/>
      </c>
      <c r="AM334">
        <f>IF($C334="",0,MAX(0,$AL334-$Y334))</f>
        <v/>
      </c>
      <c r="AN334">
        <f>IF($C334="",0,MAX(0,$AM334-$Z334))</f>
        <v/>
      </c>
      <c r="AO334">
        <f>IF($C334="",0,MAX(0,$AN334-$AA334))</f>
        <v/>
      </c>
      <c r="AP334">
        <f>IF($C334="",0,MAX(0,$AO334-$AB334))</f>
        <v/>
      </c>
      <c r="AQ334">
        <f>IF($C334="",0,MAX(0,$AP334-$AC334))</f>
        <v/>
      </c>
      <c r="AR334">
        <f>IF($C334="",0,MAX(0,$AQ334-$AD334))</f>
        <v/>
      </c>
      <c r="AS334">
        <f>IF($C334="",0,MAX(0,$AR334-$AE334))</f>
        <v/>
      </c>
      <c r="AT334">
        <f>IF($C334="",0,MAX(0,$AS334-$AF334))</f>
        <v/>
      </c>
      <c r="AU334">
        <f>IF($C334="",0,MAX(0,$AT334-$AG334))</f>
        <v/>
      </c>
      <c r="AV334">
        <f>IF($C334="",0,MAX(0,$AU334-$AH334))</f>
        <v/>
      </c>
      <c r="AW334">
        <f>IF($C334="",0,MAX(0,$AV334-$AI334))</f>
        <v/>
      </c>
      <c r="AX334">
        <f>IF($C334="",0,MAX(0,MAX(0,N($L334))+IF($P334=V$3,$R334,0)+IF($S334=V$3,$U334,0)-$V334))</f>
        <v/>
      </c>
      <c r="AY334">
        <f>IF($C334="",0,MAX(0,$AX334+IF($P334=W$3,$R334,0)+IF($S334=W$3,$U334,0)-$W334))</f>
        <v/>
      </c>
      <c r="AZ334">
        <f>IF($C334="",0,MAX(0,$AY334+IF($P334=X$3,$R334,0)+IF($S334=X$3,$U334,0)-$X334))</f>
        <v/>
      </c>
      <c r="BA334">
        <f>IF($C334="",0,MAX(0,$AZ334+IF($P334=Y$3,$R334,0)+IF($S334=Y$3,$U334,0)-$Y334))</f>
        <v/>
      </c>
      <c r="BB334">
        <f>IF($C334="",0,MAX(0,$BA334+IF($P334=Z$3,$R334,0)+IF($S334=Z$3,$U334,0)-$Z334))</f>
        <v/>
      </c>
      <c r="BC334">
        <f>IF($C334="",0,MAX(0,$BB334+IF($P334=AA$3,$R334,0)+IF($S334=AA$3,$U334,0)-$AA334))</f>
        <v/>
      </c>
      <c r="BD334">
        <f>IF($C334="",0,MAX(0,$BC334+IF($P334=AB$3,$R334,0)+IF($S334=AB$3,$U334,0)-$AB334))</f>
        <v/>
      </c>
      <c r="BE334">
        <f>IF($C334="",0,MAX(0,$BD334+IF($P334=AC$3,$R334,0)+IF($S334=AC$3,$U334,0)-$AC334))</f>
        <v/>
      </c>
      <c r="BF334">
        <f>IF($C334="",0,MAX(0,$BE334+IF($P334=AD$3,$R334,0)+IF($S334=AD$3,$U334,0)-$AD334))</f>
        <v/>
      </c>
      <c r="BG334">
        <f>IF($C334="",0,MAX(0,$BF334+IF($P334=AE$3,$R334,0)+IF($S334=AE$3,$U334,0)-$AE334))</f>
        <v/>
      </c>
      <c r="BH334">
        <f>IF($C334="",0,MAX(0,$BG334+IF($P334=AF$3,$R334,0)+IF($S334=AF$3,$U334,0)-$AF334))</f>
        <v/>
      </c>
      <c r="BI334">
        <f>IF($C334="",0,MAX(0,$BH334+IF($P334=AG$3,$R334,0)+IF($S334=AG$3,$U334,0)-$AG334))</f>
        <v/>
      </c>
      <c r="BJ334">
        <f>IF($C334="",0,MAX(0,$BI334+IF($P334=AH$3,$R334,0)+IF($S334=AH$3,$U334,0)-$AH334))</f>
        <v/>
      </c>
      <c r="BK334">
        <f>IF($C334="",0,MAX(0,$BJ334+IF($P334=AI$3,$R334,0)+IF($S334=AI$3,$U334,0)-$AI334))</f>
        <v/>
      </c>
      <c r="BL334">
        <f>IF($C334="",99,IF(AND($AX334&lt;1,V$3&gt;=MAX(N($P334),N($S334))),0,99))</f>
        <v/>
      </c>
      <c r="BM334">
        <f>IF($C334="",99,IF(AND($AY334&lt;1,W$3&gt;=MAX(N($P334),N($S334))),1,99))</f>
        <v/>
      </c>
      <c r="BN334">
        <f>IF($C334="",99,IF(AND($AZ334&lt;1,X$3&gt;=MAX(N($P334),N($S334))),2,99))</f>
        <v/>
      </c>
      <c r="BO334">
        <f>IF($C334="",99,IF(AND($BA334&lt;1,Y$3&gt;=MAX(N($P334),N($S334))),3,99))</f>
        <v/>
      </c>
      <c r="BP334">
        <f>IF($C334="",99,IF(AND($BB334&lt;1,Z$3&gt;=MAX(N($P334),N($S334))),4,99))</f>
        <v/>
      </c>
      <c r="BQ334">
        <f>IF($C334="",99,IF(AND($BC334&lt;1,AA$3&gt;=MAX(N($P334),N($S334))),5,99))</f>
        <v/>
      </c>
      <c r="BR334">
        <f>IF($C334="",99,IF(AND($BD334&lt;1,AB$3&gt;=MAX(N($P334),N($S334))),6,99))</f>
        <v/>
      </c>
      <c r="BS334">
        <f>IF($C334="",99,IF(AND($BE334&lt;1,AC$3&gt;=MAX(N($P334),N($S334))),7,99))</f>
        <v/>
      </c>
      <c r="BT334">
        <f>IF($C334="",99,IF(AND($BF334&lt;1,AD$3&gt;=MAX(N($P334),N($S334))),8,99))</f>
        <v/>
      </c>
      <c r="BU334">
        <f>IF($C334="",99,IF(AND($BG334&lt;1,AE$3&gt;=MAX(N($P334),N($S334))),9,99))</f>
        <v/>
      </c>
      <c r="BV334">
        <f>IF($C334="",99,IF(AND($BH334&lt;1,AF$3&gt;=MAX(N($P334),N($S334))),10,99))</f>
        <v/>
      </c>
      <c r="BW334">
        <f>IF($C334="",99,IF(AND($BI334&lt;1,AG$3&gt;=MAX(N($P334),N($S334))),11,99))</f>
        <v/>
      </c>
      <c r="BX334">
        <f>IF($C334="",99,IF(AND($BJ334&lt;1,AH$3&gt;=MAX(N($P334),N($S334))),12,99))</f>
        <v/>
      </c>
      <c r="BY334">
        <f>IF($C334="",99,IF(AND($BK334&lt;1,AI$3&gt;=MAX(N($P334),N($S334))),13,99))</f>
        <v/>
      </c>
      <c r="BZ334">
        <f>IF(OR($C334="",$M334=""),"",COUNTIF($AJ334:$AW334,"&gt;=1"))</f>
        <v/>
      </c>
      <c r="CA334" s="90">
        <f>IF($BZ334="","",IF($BZ334&gt;=14,"",'設定'!$C$6+$BZ334))</f>
        <v/>
      </c>
      <c r="CB334">
        <f>IF(OR($C334="",$M334=""),"",MIN($BL334:$BY334))</f>
        <v/>
      </c>
      <c r="CC334" s="90">
        <f>IF($CB334="","",IF($CB334&gt;=99,"",'設定'!$C$6+$CB334))</f>
        <v/>
      </c>
      <c r="CD334">
        <f>IF(OR($C334="",$M334=""),"",AVERAGE($V334:$AI334))</f>
        <v/>
      </c>
      <c r="CE334">
        <f>IF($C334="","",IFERROR(IF(MATCH(IF(ISNUMBER($P334),$P334,'設定'!$C$6+N('設定'!$C$7)),$V$3:$AI$3,0)=1,MAX(0,N($L334)),INDEX($AJ334:$AW334,MATCH(IF(ISNUMBER($P334),$P334,'設定'!$C$6+N('設定'!$C$7)),$V$3:$AI$3,0)-1)),""))</f>
        <v/>
      </c>
      <c r="CF334">
        <f>IF(OR($C334="",$O334="",$CE334=""),"",IF($O334-$CE334&lt;=0,0,ROUNDUP(($O334-$CE334)/$G334,0)))</f>
        <v/>
      </c>
      <c r="CG334">
        <f>IF(OR($C334="",$CF334="",NOT(ISNUMBER($Q334))),0,MAX(0,$Q334-$CF334))</f>
        <v/>
      </c>
      <c r="CH334">
        <f>IF(OR($C334="",$O334="",$U334=0),0,IFERROR(ROUNDUP(MAX(0,IF(MATCH($S334,$V$3:$AI$3,0)=1,MAX(0,N($L334)),INDEX($AX334:$BK334,MATCH($S334,$V$3:$AI$3,0)-1))+$U334-$O334)/$G334,0),0))</f>
        <v/>
      </c>
      <c r="CI334">
        <f>IF($C334="","",IF(AND($P334="",$Q334=""),"",IF($P334="","⚠ 入庫日を ▼ から選んでください",IF(NOT(ISNUMBER($P334)),"⚠ 入庫日は ▼ から選んでください",IF($P334&lt;N('設定'!$C$6),"⚠ 入庫日が過去です（もう在庫に入っています）→ 消してください",IF($P334&gt;N('設定'!$C$6)+13,"⚠ 入庫日が14日より先です",IF(N($Q334)&lt;=0,"⚠ 入庫数を入れてください",IF($CG334&gt;0,"⚠ 目安より "&amp;$CG334&amp;" 多い（定数を超える）→ 減らす",""))))))))</f>
        <v/>
      </c>
      <c r="CJ334">
        <f>IF($C334="","",IF(AND($S334="",$T334=""),"",IF($S334="","⚠ 2便目：入庫日を ▼ から選んでください",IF(NOT(ISNUMBER($S334)),"⚠ 2便目：入庫日は ▼ から選んでください",IF($S334&lt;N('設定'!$C$6),"⚠ 2便目：入庫日が過去です（もう在庫に入っています）→ 消してください",IF($S334&gt;N('設定'!$C$6)+13,"⚠ 2便目：入庫日が14日より先です",IF(N($T334)&lt;=0,"⚠ 2便目：入庫数を入れてください",IF($CH334&gt;0,"⚠ 2便目：定数を "&amp;$CH334&amp;" ケース超える → 減らす",""))))))))</f>
        <v/>
      </c>
      <c r="CK334">
        <f>IF(AND($CI334="",N($Q334)&gt;0,ISNUMBER($P334)),1,0)</f>
        <v/>
      </c>
      <c r="CL334">
        <f>IF(AND($CJ334="",N($T334)&gt;0,ISNUMBER($S334)),1,0)</f>
        <v/>
      </c>
      <c r="CM334">
        <f>IF(OR($CK334=1,$CL334=1),1,0)</f>
        <v/>
      </c>
      <c r="CN334">
        <f>IF($C334="",0,($CK334*$R334+$CL334*$U334)*N($H334))</f>
        <v/>
      </c>
      <c r="CO334">
        <f>IF($C334="","",IF($CC334="","入庫後は 14日以上もつ",IF($CC334-N('設定'!$C$7)&lt;='設定'!$C$6,"入庫後も "&amp;TEXT($CC334,"m/d")&amp;"("&amp;CHOOSE(WEEKDAY($CC334),"日","月","火","水","木","金","土")&amp;")"&amp;" に切れる　もう1便を至急発注","入庫後も "&amp;TEXT($CC334,"m/d")&amp;"("&amp;CHOOSE(WEEKDAY($CC334),"日","月","火","水","木","金","土")&amp;")"&amp;" に切れる　"&amp;TEXT($CC334-N('設定'!$C$7),"m/d")&amp;"("&amp;CHOOSE(WEEKDAY($CC334-N('設定'!$C$7)),"日","月","火","水","木","金","土")&amp;")"&amp;" までに次を発注")))</f>
        <v/>
      </c>
      <c r="CP334">
        <f>IF($C334="","",IF('設定'!$C$6="","？ ①在庫を貼る に今日のCSVが貼られていない",IF($CS334=1,"－ 今日のCSVに無い（終売？）",IF($L334&lt;0,"● 在庫がマイナス　数えて「数えた在庫」に入れる",IF($L334=0,"● 在庫なし　至急発注",IF($M334="","？ 減り数が未設定（商品マスタ）",IF($B$3=0,"？ 動員が未入力（動員を入れる）",IF($CA334="","○ 14日以上もつ",IF($BZ334&lt;N('設定'!$C$7),"● "&amp;TEXT($CA334,"m/d")&amp;"("&amp;CHOOSE(WEEKDAY($CA334),"日","月","火","水","木","金","土")&amp;")"&amp;" に切れる　至急発注",IF($BZ334=N('設定'!$C$7),"● "&amp;TEXT($CA334,"m/d")&amp;"("&amp;CHOOSE(WEEKDAY($CA334),"日","月","火","水","木","金","土")&amp;")"&amp;" に切れる　今日発注","△ "&amp;TEXT($CA334,"m/d")&amp;"("&amp;CHOOSE(WEEKDAY($CA334),"日","月","火","水","木","金","土")&amp;")"&amp;" に切れる　"&amp;TEXT($CA334-N('設定'!$C$7),"m/d")&amp;"("&amp;CHOOSE(WEEKDAY($CA334-N('設定'!$C$7)),"日","月","火","水","木","金","土")&amp;")"&amp;" までに発注"))))))))))</f>
        <v/>
      </c>
      <c r="CQ334">
        <f>IF($C334="","",IF(AND($P334="",$Q334="",$S334="",$T334=""),"",IF(AND($P334="",$Q334=""),"⚠ 先に1便目（左の入庫日・入庫数）に入れてください",IF($CI334&lt;&gt;"",$CI334,IF($CJ334&lt;&gt;"",$CJ334,IF($M334="","？ 減り数が未設定（発注書には載ります）",IF($B$3=0,"？ 動員が未入力（発注書には載ります）",IF(AND($CA334&lt;&gt;"",$P334&gt;$CA334),IF($P334&gt;'設定'!$C$6+N('設定'!$C$7),"● "&amp;TEXT($P334,"m/d")&amp;"("&amp;CHOOSE(WEEKDAY($P334),"日","月","火","水","木","金","土")&amp;")"&amp;" の入庫では間に合わない（"&amp;TEXT($CA334,"m/d")&amp;"("&amp;CHOOSE(WEEKDAY($CA334),"日","月","火","水","木","金","土")&amp;")"&amp;" に切れる）　入庫日を早める","△ 欠品 "&amp;TEXT($CA334,"m/d")&amp;"("&amp;CHOOSE(WEEKDAY($CA334),"日","月","火","水","木","金","土")&amp;")"&amp;"〜"&amp;TEXT($P334-1,"m/d")&amp;"("&amp;CHOOSE(WEEKDAY($P334-1),"日","月","火","水","木","金","土")&amp;")"&amp;"　"&amp;$CO334),IF($CC334="","○ "&amp;TEXT($P334,"m/d")&amp;"("&amp;CHOOSE(WEEKDAY($P334),"日","月","火","水","木","金","土")&amp;")"&amp;" 入庫で 14日以上もつ",IF($CC334-N('設定'!$C$7)&lt;='設定'!$C$6,"● 入庫しても "&amp;TEXT($CC334,"m/d")&amp;"("&amp;CHOOSE(WEEKDAY($CC334),"日","月","火","水","木","金","土")&amp;")"&amp;" に切れる　もう1便を至急発注（2便目に入れる）","△ 入庫しても "&amp;TEXT($CC334,"m/d")&amp;"("&amp;CHOOSE(WEEKDAY($CC334),"日","月","火","水","木","金","土")&amp;")"&amp;" に切れる　"&amp;TEXT($CC334-N('設定'!$C$7),"m/d")&amp;"("&amp;CHOOSE(WEEKDAY($CC334-N('設定'!$C$7)),"日","月","火","水","木","金","土")&amp;")"&amp;" までに次を発注（2便目に入れる）"))))))))))</f>
        <v/>
      </c>
      <c r="CR334">
        <f>IF($C334="","",IF($G334&gt;1,"ｹｰｽ("&amp;$G334&amp;"入)","個"))</f>
        <v/>
      </c>
      <c r="CS334">
        <f>IF($C334="",0,IF(COUNTIFS('①在庫を貼る'!$V$6:$V$10005,'設定'!$C$4,'①在庫を貼る'!$W$6:$W$10005,$C334)=0,1,0))</f>
        <v/>
      </c>
      <c r="CT334">
        <f>IF(AND($CK334=1,OR('③発注書'!$C$4="すべて",'③発注書'!$C$4="",$F334='③発注書'!$C$4)),N($CT333)+1,N($CT333))</f>
        <v/>
      </c>
      <c r="CU334">
        <f>IF(AND($CL334=1,OR('③発注書'!$C$4="すべて",'③発注書'!$C$4="",$F334='③発注書'!$C$4)),N($CU333)+1,N($CU333))</f>
        <v/>
      </c>
      <c r="CV334">
        <f>IF($C334="",0,IF(COUNTIFS('①在庫を貼る'!$V$6:$V$10005,'設定'!$C$4,'①在庫を貼る'!$W$6:$W$10005,$C334)&gt;0,1,0))</f>
        <v/>
      </c>
      <c r="CW334">
        <f>IF($C334="",0,IF(COUNTIFS('月1回_1ヶ月前の在庫'!$V$6:$V$10005,'設定'!$C$4,'月1回_1ヶ月前の在庫'!$W$6:$W$10005,$C334)&gt;0,1,0))</f>
        <v/>
      </c>
      <c r="CX334">
        <f>IF($C334="",0,IF(COUNTIFS('月1回_2ヶ月前の在庫'!$V$6:$V$10005,'設定'!$C$4,'月1回_2ヶ月前の在庫'!$W$6:$W$10005,$C334)&gt;0,1,0))</f>
        <v/>
      </c>
      <c r="CY334">
        <f>IF(OR($C334="",'設定'!$C$12=""),"",IF('設定'!$C$13="",IF(AND($CV334=1,$CW334=0),"新商品（今月から）",IF(AND($CV334=0,$CW334=1),"終売（今月から）","")),IF(AND($CV334=1,$CW334=0,$CX334=0),"新商品（今月から）",IF(AND($CV334=1,$CW334=1,$CX334=0),"新商品（先月から）",IF(AND($CV334=0,$CW334=1,$CX334=1),"終売（今月から）",IF(AND($CV334=0,$CW334=0,$CX334=1),"終売（先月から）",IF(AND($CV334=1,$CW334=0,$CX334=1),"復活（先月は無し）","")))))))</f>
        <v/>
      </c>
    </row>
    <row r="335">
      <c r="B335">
        <f>IF(330&lt;='設定'!$C$11,330,"")</f>
        <v/>
      </c>
      <c r="C335">
        <f>IF($B335="","",IF($B335&lt;='設定'!$C$20,INDEX('商品マスタ'!$B$6:$B$1005,MATCH($B335,'商品マスタ'!$M$6:$M$1005,0)),IF($B335&lt;='設定'!$C$20+'設定'!$C$17,INDEX('①在庫を貼る'!$W$6:$W$10005,MATCH($B335-'設定'!$C$20,'①在庫を貼る'!$U$6:$U$10005,0)),IF($B335&lt;='設定'!$C$20+'設定'!$C$17+'設定'!$C$18,INDEX('月1回_1ヶ月前の在庫'!$W$6:$W$10005,MATCH($B335-'設定'!$C$20-'設定'!$C$17,'月1回_1ヶ月前の在庫'!$U$6:$U$10005,0)),INDEX('月1回_2ヶ月前の在庫'!$W$6:$W$10005,MATCH($B335-'設定'!$C$20-'設定'!$C$17-'設定'!$C$18,'月1回_2ヶ月前の在庫'!$U$6:$U$10005,0))))))</f>
        <v/>
      </c>
      <c r="D335">
        <f>IF($C335="","",IFERROR(IF(INDEX('商品マスタ'!$C$6:$C$1005,MATCH($C335,'商品マスタ'!$B$6:$B$1005,0))="",IFERROR(INDEX('①在庫を貼る'!$J$6:$J$10005,MATCH($C335,'①在庫を貼る'!$W$6:$W$10005,0)),IFERROR(INDEX('月1回_1ヶ月前の在庫'!$J$6:$J$10005,MATCH($C335,'月1回_1ヶ月前の在庫'!$W$6:$W$10005,0)),IFERROR(INDEX('月1回_2ヶ月前の在庫'!$J$6:$J$10005,MATCH($C335,'月1回_2ヶ月前の在庫'!$W$6:$W$10005,0)),""))),INDEX('商品マスタ'!$C$6:$C$1005,MATCH($C335,'商品マスタ'!$B$6:$B$1005,0))),IFERROR(INDEX('①在庫を貼る'!$J$6:$J$10005,MATCH($C335,'①在庫を貼る'!$W$6:$W$10005,0)),IFERROR(INDEX('月1回_1ヶ月前の在庫'!$J$6:$J$10005,MATCH($C335,'月1回_1ヶ月前の在庫'!$W$6:$W$10005,0)),IFERROR(INDEX('月1回_2ヶ月前の在庫'!$J$6:$J$10005,MATCH($C335,'月1回_2ヶ月前の在庫'!$W$6:$W$10005,0)),"")))))</f>
        <v/>
      </c>
      <c r="E335">
        <f>IF($C335="","",IFERROR(IF(INDEX('商品マスタ'!$D$6:$D$1005,MATCH($C335,'商品マスタ'!$B$6:$B$1005,0))="",IFERROR(INDEX('①在庫を貼る'!$H$6:$H$10005,MATCH($C335,'①在庫を貼る'!$W$6:$W$10005,0)),IFERROR(INDEX('月1回_1ヶ月前の在庫'!$H$6:$H$10005,MATCH($C335,'月1回_1ヶ月前の在庫'!$W$6:$W$10005,0)),IFERROR(INDEX('月1回_2ヶ月前の在庫'!$H$6:$H$10005,MATCH($C335,'月1回_2ヶ月前の在庫'!$W$6:$W$10005,0)),""))),INDEX('商品マスタ'!$D$6:$D$1005,MATCH($C335,'商品マスタ'!$B$6:$B$1005,0))),IFERROR(INDEX('①在庫を貼る'!$H$6:$H$10005,MATCH($C335,'①在庫を貼る'!$W$6:$W$10005,0)),IFERROR(INDEX('月1回_1ヶ月前の在庫'!$H$6:$H$10005,MATCH($C335,'月1回_1ヶ月前の在庫'!$W$6:$W$10005,0)),IFERROR(INDEX('月1回_2ヶ月前の在庫'!$H$6:$H$10005,MATCH($C335,'月1回_2ヶ月前の在庫'!$W$6:$W$10005,0)),"")))))</f>
        <v/>
      </c>
      <c r="F335">
        <f>IF($C335="","",IFERROR(IF(INDEX('商品マスタ'!$E$6:$E$1005,MATCH($C335,'商品マスタ'!$B$6:$B$1005,0))="",IFERROR(INDEX('①在庫を貼る'!$E$6:$E$10005,MATCH($C335,'①在庫を貼る'!$W$6:$W$10005,0)),IFERROR(INDEX('月1回_1ヶ月前の在庫'!$E$6:$E$10005,MATCH($C335,'月1回_1ヶ月前の在庫'!$W$6:$W$10005,0)),IFERROR(INDEX('月1回_2ヶ月前の在庫'!$E$6:$E$10005,MATCH($C335,'月1回_2ヶ月前の在庫'!$W$6:$W$10005,0)),""))),INDEX('商品マスタ'!$E$6:$E$1005,MATCH($C335,'商品マスタ'!$B$6:$B$1005,0))),IFERROR(INDEX('①在庫を貼る'!$E$6:$E$10005,MATCH($C335,'①在庫を貼る'!$W$6:$W$10005,0)),IFERROR(INDEX('月1回_1ヶ月前の在庫'!$E$6:$E$10005,MATCH($C335,'月1回_1ヶ月前の在庫'!$W$6:$W$10005,0)),IFERROR(INDEX('月1回_2ヶ月前の在庫'!$E$6:$E$10005,MATCH($C335,'月1回_2ヶ月前の在庫'!$W$6:$W$10005,0)),"")))))</f>
        <v/>
      </c>
      <c r="G335">
        <f>IF($C335="","",MAX(1,N(IFERROR(IF(INDEX('商品マスタ'!$F$6:$F$1005,MATCH($C335,'商品マスタ'!$B$6:$B$1005,0))="",IF(COUNTIFS('①在庫を貼る'!$V$6:$V$10005,'設定'!$C$4,'①在庫を貼る'!$W$6:$W$10005,$C335)&gt;0,SUMIFS('①在庫を貼る'!$K$6:$K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K$6:$K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K$6:$K$10005,'月1回_2ヶ月前の在庫'!$V$6:$V$10005,'設定'!$C$4,'月1回_2ヶ月前の在庫'!$W$6:$W$10005,$C335)/COUNTIFS('月1回_2ヶ月前の在庫'!$V$6:$V$10005,'設定'!$C$4,'月1回_2ヶ月前の在庫'!$W$6:$W$10005,$C335),0))),INDEX('商品マスタ'!$F$6:$F$1005,MATCH($C335,'商品マスタ'!$B$6:$B$1005,0))),IF(COUNTIFS('①在庫を貼る'!$V$6:$V$10005,'設定'!$C$4,'①在庫を貼る'!$W$6:$W$10005,$C335)&gt;0,SUMIFS('①在庫を貼る'!$K$6:$K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K$6:$K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K$6:$K$10005,'月1回_2ヶ月前の在庫'!$V$6:$V$10005,'設定'!$C$4,'月1回_2ヶ月前の在庫'!$W$6:$W$10005,$C335)/COUNTIFS('月1回_2ヶ月前の在庫'!$V$6:$V$10005,'設定'!$C$4,'月1回_2ヶ月前の在庫'!$W$6:$W$10005,$C335),0)))))))</f>
        <v/>
      </c>
      <c r="H335">
        <f>IF($C335="","",N(IFERROR(IF(INDEX('商品マスタ'!$G$6:$G$1005,MATCH($C335,'商品マスタ'!$B$6:$B$1005,0))="",IF(COUNTIFS('①在庫を貼る'!$V$6:$V$10005,'設定'!$C$4,'①在庫を貼る'!$W$6:$W$10005,$C335)&gt;0,SUMIFS('①在庫を貼る'!$Q$6:$Q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Q$6:$Q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Q$6:$Q$10005,'月1回_2ヶ月前の在庫'!$V$6:$V$10005,'設定'!$C$4,'月1回_2ヶ月前の在庫'!$W$6:$W$10005,$C335)/COUNTIFS('月1回_2ヶ月前の在庫'!$V$6:$V$10005,'設定'!$C$4,'月1回_2ヶ月前の在庫'!$W$6:$W$10005,$C335),0))),INDEX('商品マスタ'!$G$6:$G$1005,MATCH($C335,'商品マスタ'!$B$6:$B$1005,0))),IF(COUNTIFS('①在庫を貼る'!$V$6:$V$10005,'設定'!$C$4,'①在庫を貼る'!$W$6:$W$10005,$C335)&gt;0,SUMIFS('①在庫を貼る'!$Q$6:$Q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Q$6:$Q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Q$6:$Q$10005,'月1回_2ヶ月前の在庫'!$V$6:$V$10005,'設定'!$C$4,'月1回_2ヶ月前の在庫'!$W$6:$W$10005,$C335)/COUNTIFS('月1回_2ヶ月前の在庫'!$V$6:$V$10005,'設定'!$C$4,'月1回_2ヶ月前の在庫'!$W$6:$W$10005,$C335),0))))))</f>
        <v/>
      </c>
      <c r="I335">
        <f>IF($C335="","",IF(COUNTIFS('①在庫を貼る'!$V$6:$V$10005,'設定'!$C$4,'①在庫を貼る'!$W$6:$W$10005,$C335)=0,"",SUMIFS('①在庫を貼る'!$N$6:$N$10005,'①在庫を貼る'!$V$6:$V$10005,'設定'!$C$4,'①在庫を貼る'!$W$6:$W$10005,$C335)))</f>
        <v/>
      </c>
      <c r="J335">
        <f>IF($C335="","",IF('②発注する'!$AD339="","",'②発注する'!$AD339))</f>
        <v/>
      </c>
      <c r="K335" s="90">
        <f>IF($C335="","",IF('②発注する'!$AE339="","",'②発注する'!$AE339))</f>
        <v/>
      </c>
      <c r="L335">
        <f>IF($C335="","",IF(AND(ISNUMBER($J335),ISNUMBER($K335),$K335&gt;='設定'!$C$6),$J335,N($I335)))</f>
        <v/>
      </c>
      <c r="M335">
        <f>IF($C335="","",IFERROR(IF(N(INDEX('商品マスタ'!$J$6:$J$1005,MATCH($C335,'商品マスタ'!$B$6:$B$1005,0)))&gt;0,INDEX('商品マスタ'!$J$6:$J$1005,MATCH($C335,'商品マスタ'!$B$6:$B$1005,0)),""),""))</f>
        <v/>
      </c>
      <c r="N335">
        <f>IF($C335="","",IFERROR(IF(N(INDEX('商品マスタ'!$H$6:$H$1005,MATCH($C335,'商品マスタ'!$B$6:$B$1005,0)))&gt;0,INDEX('商品マスタ'!$H$6:$H$1005,MATCH($C335,'商品マスタ'!$B$6:$B$1005,0)),""),""))</f>
        <v/>
      </c>
      <c r="O335">
        <f>IF($C335="","",IF($N335&lt;&gt;"",$N335*$G335,IF(N(IF(COUNTIFS('①在庫を貼る'!$V$6:$V$10005,'設定'!$C$4,'①在庫を貼る'!$W$6:$W$10005,$C335)&gt;0,SUMIFS('①在庫を貼る'!$O$6:$O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O$6:$O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O$6:$O$10005,'月1回_2ヶ月前の在庫'!$V$6:$V$10005,'設定'!$C$4,'月1回_2ヶ月前の在庫'!$W$6:$W$10005,$C335)/COUNTIFS('月1回_2ヶ月前の在庫'!$V$6:$V$10005,'設定'!$C$4,'月1回_2ヶ月前の在庫'!$W$6:$W$10005,$C335),0))))&gt;0,N(IF(COUNTIFS('①在庫を貼る'!$V$6:$V$10005,'設定'!$C$4,'①在庫を貼る'!$W$6:$W$10005,$C335)&gt;0,SUMIFS('①在庫を貼る'!$O$6:$O$10005,'①在庫を貼る'!$V$6:$V$10005,'設定'!$C$4,'①在庫を貼る'!$W$6:$W$10005,$C335)/COUNTIFS('①在庫を貼る'!$V$6:$V$10005,'設定'!$C$4,'①在庫を貼る'!$W$6:$W$10005,$C335),IF(COUNTIFS('月1回_1ヶ月前の在庫'!$V$6:$V$10005,'設定'!$C$4,'月1回_1ヶ月前の在庫'!$W$6:$W$10005,$C335)&gt;0,SUMIFS('月1回_1ヶ月前の在庫'!$O$6:$O$10005,'月1回_1ヶ月前の在庫'!$V$6:$V$10005,'設定'!$C$4,'月1回_1ヶ月前の在庫'!$W$6:$W$10005,$C335)/COUNTIFS('月1回_1ヶ月前の在庫'!$V$6:$V$10005,'設定'!$C$4,'月1回_1ヶ月前の在庫'!$W$6:$W$10005,$C335),IF(COUNTIFS('月1回_2ヶ月前の在庫'!$V$6:$V$10005,'設定'!$C$4,'月1回_2ヶ月前の在庫'!$W$6:$W$10005,$C335)&gt;0,SUMIFS('月1回_2ヶ月前の在庫'!$O$6:$O$10005,'月1回_2ヶ月前の在庫'!$V$6:$V$10005,'設定'!$C$4,'月1回_2ヶ月前の在庫'!$W$6:$W$10005,$C335)/COUNTIFS('月1回_2ヶ月前の在庫'!$V$6:$V$10005,'設定'!$C$4,'月1回_2ヶ月前の在庫'!$W$6:$W$10005,$C335),0)))),"")))</f>
        <v/>
      </c>
      <c r="P335" s="90">
        <f>IF($C335="","",IF('②発注する'!$I339="","",'②発注する'!$I339))</f>
        <v/>
      </c>
      <c r="Q335">
        <f>IF($C335="","",IF('②発注する'!$J339="","",'②発注する'!$J339))</f>
        <v/>
      </c>
      <c r="R335">
        <f>IF($C335="",0,IF(AND(ISNUMBER($P335),ISNUMBER($Q335)),MAX(0,$Q335)*$G335,0))</f>
        <v/>
      </c>
      <c r="S335" s="90">
        <f>IF($C335="","",IF('②発注する'!$M339="","",'②発注する'!$M339))</f>
        <v/>
      </c>
      <c r="T335">
        <f>IF($C335="","",IF('②発注する'!$N339="","",'②発注する'!$N339))</f>
        <v/>
      </c>
      <c r="U335">
        <f>IF($C335="",0,IF(AND(ISNUMBER($S335),ISNUMBER($T335)),MAX(0,$T335)*$G335,0))</f>
        <v/>
      </c>
      <c r="V335">
        <f>IF($C335="",0,IF($M335="",0,MAX(0,$M335)*MAX(0,V$4)/100))</f>
        <v/>
      </c>
      <c r="W335">
        <f>IF($C335="",0,IF($M335="",0,MAX(0,$M335)*MAX(0,W$4)/100))</f>
        <v/>
      </c>
      <c r="X335">
        <f>IF($C335="",0,IF($M335="",0,MAX(0,$M335)*MAX(0,X$4)/100))</f>
        <v/>
      </c>
      <c r="Y335">
        <f>IF($C335="",0,IF($M335="",0,MAX(0,$M335)*MAX(0,Y$4)/100))</f>
        <v/>
      </c>
      <c r="Z335">
        <f>IF($C335="",0,IF($M335="",0,MAX(0,$M335)*MAX(0,Z$4)/100))</f>
        <v/>
      </c>
      <c r="AA335">
        <f>IF($C335="",0,IF($M335="",0,MAX(0,$M335)*MAX(0,AA$4)/100))</f>
        <v/>
      </c>
      <c r="AB335">
        <f>IF($C335="",0,IF($M335="",0,MAX(0,$M335)*MAX(0,AB$4)/100))</f>
        <v/>
      </c>
      <c r="AC335">
        <f>IF($C335="",0,IF($M335="",0,MAX(0,$M335)*MAX(0,AC$4)/100))</f>
        <v/>
      </c>
      <c r="AD335">
        <f>IF($C335="",0,IF($M335="",0,MAX(0,$M335)*MAX(0,AD$4)/100))</f>
        <v/>
      </c>
      <c r="AE335">
        <f>IF($C335="",0,IF($M335="",0,MAX(0,$M335)*MAX(0,AE$4)/100))</f>
        <v/>
      </c>
      <c r="AF335">
        <f>IF($C335="",0,IF($M335="",0,MAX(0,$M335)*MAX(0,AF$4)/100))</f>
        <v/>
      </c>
      <c r="AG335">
        <f>IF($C335="",0,IF($M335="",0,MAX(0,$M335)*MAX(0,AG$4)/100))</f>
        <v/>
      </c>
      <c r="AH335">
        <f>IF($C335="",0,IF($M335="",0,MAX(0,$M335)*MAX(0,AH$4)/100))</f>
        <v/>
      </c>
      <c r="AI335">
        <f>IF($C335="",0,IF($M335="",0,MAX(0,$M335)*MAX(0,AI$4)/100))</f>
        <v/>
      </c>
      <c r="AJ335">
        <f>IF($C335="",0,MAX(0,MAX(0,N($L335))-$V335))</f>
        <v/>
      </c>
      <c r="AK335">
        <f>IF($C335="",0,MAX(0,$AJ335-$W335))</f>
        <v/>
      </c>
      <c r="AL335">
        <f>IF($C335="",0,MAX(0,$AK335-$X335))</f>
        <v/>
      </c>
      <c r="AM335">
        <f>IF($C335="",0,MAX(0,$AL335-$Y335))</f>
        <v/>
      </c>
      <c r="AN335">
        <f>IF($C335="",0,MAX(0,$AM335-$Z335))</f>
        <v/>
      </c>
      <c r="AO335">
        <f>IF($C335="",0,MAX(0,$AN335-$AA335))</f>
        <v/>
      </c>
      <c r="AP335">
        <f>IF($C335="",0,MAX(0,$AO335-$AB335))</f>
        <v/>
      </c>
      <c r="AQ335">
        <f>IF($C335="",0,MAX(0,$AP335-$AC335))</f>
        <v/>
      </c>
      <c r="AR335">
        <f>IF($C335="",0,MAX(0,$AQ335-$AD335))</f>
        <v/>
      </c>
      <c r="AS335">
        <f>IF($C335="",0,MAX(0,$AR335-$AE335))</f>
        <v/>
      </c>
      <c r="AT335">
        <f>IF($C335="",0,MAX(0,$AS335-$AF335))</f>
        <v/>
      </c>
      <c r="AU335">
        <f>IF($C335="",0,MAX(0,$AT335-$AG335))</f>
        <v/>
      </c>
      <c r="AV335">
        <f>IF($C335="",0,MAX(0,$AU335-$AH335))</f>
        <v/>
      </c>
      <c r="AW335">
        <f>IF($C335="",0,MAX(0,$AV335-$AI335))</f>
        <v/>
      </c>
      <c r="AX335">
        <f>IF($C335="",0,MAX(0,MAX(0,N($L335))+IF($P335=V$3,$R335,0)+IF($S335=V$3,$U335,0)-$V335))</f>
        <v/>
      </c>
      <c r="AY335">
        <f>IF($C335="",0,MAX(0,$AX335+IF($P335=W$3,$R335,0)+IF($S335=W$3,$U335,0)-$W335))</f>
        <v/>
      </c>
      <c r="AZ335">
        <f>IF($C335="",0,MAX(0,$AY335+IF($P335=X$3,$R335,0)+IF($S335=X$3,$U335,0)-$X335))</f>
        <v/>
      </c>
      <c r="BA335">
        <f>IF($C335="",0,MAX(0,$AZ335+IF($P335=Y$3,$R335,0)+IF($S335=Y$3,$U335,0)-$Y335))</f>
        <v/>
      </c>
      <c r="BB335">
        <f>IF($C335="",0,MAX(0,$BA335+IF($P335=Z$3,$R335,0)+IF($S335=Z$3,$U335,0)-$Z335))</f>
        <v/>
      </c>
      <c r="BC335">
        <f>IF($C335="",0,MAX(0,$BB335+IF($P335=AA$3,$R335,0)+IF($S335=AA$3,$U335,0)-$AA335))</f>
        <v/>
      </c>
      <c r="BD335">
        <f>IF($C335="",0,MAX(0,$BC335+IF($P335=AB$3,$R335,0)+IF($S335=AB$3,$U335,0)-$AB335))</f>
        <v/>
      </c>
      <c r="BE335">
        <f>IF($C335="",0,MAX(0,$BD335+IF($P335=AC$3,$R335,0)+IF($S335=AC$3,$U335,0)-$AC335))</f>
        <v/>
      </c>
      <c r="BF335">
        <f>IF($C335="",0,MAX(0,$BE335+IF($P335=AD$3,$R335,0)+IF($S335=AD$3,$U335,0)-$AD335))</f>
        <v/>
      </c>
      <c r="BG335">
        <f>IF($C335="",0,MAX(0,$BF335+IF($P335=AE$3,$R335,0)+IF($S335=AE$3,$U335,0)-$AE335))</f>
        <v/>
      </c>
      <c r="BH335">
        <f>IF($C335="",0,MAX(0,$BG335+IF($P335=AF$3,$R335,0)+IF($S335=AF$3,$U335,0)-$AF335))</f>
        <v/>
      </c>
      <c r="BI335">
        <f>IF($C335="",0,MAX(0,$BH335+IF($P335=AG$3,$R335,0)+IF($S335=AG$3,$U335,0)-$AG335))</f>
        <v/>
      </c>
      <c r="BJ335">
        <f>IF($C335="",0,MAX(0,$BI335+IF($P335=AH$3,$R335,0)+IF($S335=AH$3,$U335,0)-$AH335))</f>
        <v/>
      </c>
      <c r="BK335">
        <f>IF($C335="",0,MAX(0,$BJ335+IF($P335=AI$3,$R335,0)+IF($S335=AI$3,$U335,0)-$AI335))</f>
        <v/>
      </c>
      <c r="BL335">
        <f>IF($C335="",99,IF(AND($AX335&lt;1,V$3&gt;=MAX(N($P335),N($S335))),0,99))</f>
        <v/>
      </c>
      <c r="BM335">
        <f>IF($C335="",99,IF(AND($AY335&lt;1,W$3&gt;=MAX(N($P335),N($S335))),1,99))</f>
        <v/>
      </c>
      <c r="BN335">
        <f>IF($C335="",99,IF(AND($AZ335&lt;1,X$3&gt;=MAX(N($P335),N($S335))),2,99))</f>
        <v/>
      </c>
      <c r="BO335">
        <f>IF($C335="",99,IF(AND($BA335&lt;1,Y$3&gt;=MAX(N($P335),N($S335))),3,99))</f>
        <v/>
      </c>
      <c r="BP335">
        <f>IF($C335="",99,IF(AND($BB335&lt;1,Z$3&gt;=MAX(N($P335),N($S335))),4,99))</f>
        <v/>
      </c>
      <c r="BQ335">
        <f>IF($C335="",99,IF(AND($BC335&lt;1,AA$3&gt;=MAX(N($P335),N($S335))),5,99))</f>
        <v/>
      </c>
      <c r="BR335">
        <f>IF($C335="",99,IF(AND($BD335&lt;1,AB$3&gt;=MAX(N($P335),N($S335))),6,99))</f>
        <v/>
      </c>
      <c r="BS335">
        <f>IF($C335="",99,IF(AND($BE335&lt;1,AC$3&gt;=MAX(N($P335),N($S335))),7,99))</f>
        <v/>
      </c>
      <c r="BT335">
        <f>IF($C335="",99,IF(AND($BF335&lt;1,AD$3&gt;=MAX(N($P335),N($S335))),8,99))</f>
        <v/>
      </c>
      <c r="BU335">
        <f>IF($C335="",99,IF(AND($BG335&lt;1,AE$3&gt;=MAX(N($P335),N($S335))),9,99))</f>
        <v/>
      </c>
      <c r="BV335">
        <f>IF($C335="",99,IF(AND($BH335&lt;1,AF$3&gt;=MAX(N($P335),N($S335))),10,99))</f>
        <v/>
      </c>
      <c r="BW335">
        <f>IF($C335="",99,IF(AND($BI335&lt;1,AG$3&gt;=MAX(N($P335),N($S335))),11,99))</f>
        <v/>
      </c>
      <c r="BX335">
        <f>IF($C335="",99,IF(AND($BJ335&lt;1,AH$3&gt;=MAX(N($P335),N($S335))),12,99))</f>
        <v/>
      </c>
      <c r="BY335">
        <f>IF($C335="",99,IF(AND($BK335&lt;1,AI$3&gt;=MAX(N($P335),N($S335))),13,99))</f>
        <v/>
      </c>
      <c r="BZ335">
        <f>IF(OR($C335="",$M335=""),"",COUNTIF($AJ335:$AW335,"&gt;=1"))</f>
        <v/>
      </c>
      <c r="CA335" s="90">
        <f>IF($BZ335="","",IF($BZ335&gt;=14,"",'設定'!$C$6+$BZ335))</f>
        <v/>
      </c>
      <c r="CB335">
        <f>IF(OR($C335="",$M335=""),"",MIN($BL335:$BY335))</f>
        <v/>
      </c>
      <c r="CC335" s="90">
        <f>IF($CB335="","",IF($CB335&gt;=99,"",'設定'!$C$6+$CB335))</f>
        <v/>
      </c>
      <c r="CD335">
        <f>IF(OR($C335="",$M335=""),"",AVERAGE($V335:$AI335))</f>
        <v/>
      </c>
      <c r="CE335">
        <f>IF($C335="","",IFERROR(IF(MATCH(IF(ISNUMBER($P335),$P335,'設定'!$C$6+N('設定'!$C$7)),$V$3:$AI$3,0)=1,MAX(0,N($L335)),INDEX($AJ335:$AW335,MATCH(IF(ISNUMBER($P335),$P335,'設定'!$C$6+N('設定'!$C$7)),$V$3:$AI$3,0)-1)),""))</f>
        <v/>
      </c>
      <c r="CF335">
        <f>IF(OR($C335="",$O335="",$CE335=""),"",IF($O335-$CE335&lt;=0,0,ROUNDUP(($O335-$CE335)/$G335,0)))</f>
        <v/>
      </c>
      <c r="CG335">
        <f>IF(OR($C335="",$CF335="",NOT(ISNUMBER($Q335))),0,MAX(0,$Q335-$CF335))</f>
        <v/>
      </c>
      <c r="CH335">
        <f>IF(OR($C335="",$O335="",$U335=0),0,IFERROR(ROUNDUP(MAX(0,IF(MATCH($S335,$V$3:$AI$3,0)=1,MAX(0,N($L335)),INDEX($AX335:$BK335,MATCH($S335,$V$3:$AI$3,0)-1))+$U335-$O335)/$G335,0),0))</f>
        <v/>
      </c>
      <c r="CI335">
        <f>IF($C335="","",IF(AND($P335="",$Q335=""),"",IF($P335="","⚠ 入庫日を ▼ から選んでください",IF(NOT(ISNUMBER($P335)),"⚠ 入庫日は ▼ から選んでください",IF($P335&lt;N('設定'!$C$6),"⚠ 入庫日が過去です（もう在庫に入っています）→ 消してください",IF($P335&gt;N('設定'!$C$6)+13,"⚠ 入庫日が14日より先です",IF(N($Q335)&lt;=0,"⚠ 入庫数を入れてください",IF($CG335&gt;0,"⚠ 目安より "&amp;$CG335&amp;" 多い（定数を超える）→ 減らす",""))))))))</f>
        <v/>
      </c>
      <c r="CJ335">
        <f>IF($C335="","",IF(AND($S335="",$T335=""),"",IF($S335="","⚠ 2便目：入庫日を ▼ から選んでください",IF(NOT(ISNUMBER($S335)),"⚠ 2便目：入庫日は ▼ から選んでください",IF($S335&lt;N('設定'!$C$6),"⚠ 2便目：入庫日が過去です（もう在庫に入っています）→ 消してください",IF($S335&gt;N('設定'!$C$6)+13,"⚠ 2便目：入庫日が14日より先です",IF(N($T335)&lt;=0,"⚠ 2便目：入庫数を入れてください",IF($CH335&gt;0,"⚠ 2便目：定数を "&amp;$CH335&amp;" ケース超える → 減らす",""))))))))</f>
        <v/>
      </c>
      <c r="CK335">
        <f>IF(AND($CI335="",N($Q335)&gt;0,ISNUMBER($P335)),1,0)</f>
        <v/>
      </c>
      <c r="CL335">
        <f>IF(AND($CJ335="",N($T335)&gt;0,ISNUMBER($S335)),1,0)</f>
        <v/>
      </c>
      <c r="CM335">
        <f>IF(OR($CK335=1,$CL335=1),1,0)</f>
        <v/>
      </c>
      <c r="CN335">
        <f>IF($C335="",0,($CK335*$R335+$CL335*$U335)*N($H335))</f>
        <v/>
      </c>
      <c r="CO335">
        <f>IF($C335="","",IF($CC335="","入庫後は 14日以上もつ",IF($CC335-N('設定'!$C$7)&lt;='設定'!$C$6,"入庫後も "&amp;TEXT($CC335,"m/d")&amp;"("&amp;CHOOSE(WEEKDAY($CC335),"日","月","火","水","木","金","土")&amp;")"&amp;" に切れる　もう1便を至急発注","入庫後も "&amp;TEXT($CC335,"m/d")&amp;"("&amp;CHOOSE(WEEKDAY($CC335),"日","月","火","水","木","金","土")&amp;")"&amp;" に切れる　"&amp;TEXT($CC335-N('設定'!$C$7),"m/d")&amp;"("&amp;CHOOSE(WEEKDAY($CC335-N('設定'!$C$7)),"日","月","火","水","木","金","土")&amp;")"&amp;" までに次を発注")))</f>
        <v/>
      </c>
      <c r="CP335">
        <f>IF($C335="","",IF('設定'!$C$6="","？ ①在庫を貼る に今日のCSVが貼られていない",IF($CS335=1,"－ 今日のCSVに無い（終売？）",IF($L335&lt;0,"● 在庫がマイナス　数えて「数えた在庫」に入れる",IF($L335=0,"● 在庫なし　至急発注",IF($M335="","？ 減り数が未設定（商品マスタ）",IF($B$3=0,"？ 動員が未入力（動員を入れる）",IF($CA335="","○ 14日以上もつ",IF($BZ335&lt;N('設定'!$C$7),"● "&amp;TEXT($CA335,"m/d")&amp;"("&amp;CHOOSE(WEEKDAY($CA335),"日","月","火","水","木","金","土")&amp;")"&amp;" に切れる　至急発注",IF($BZ335=N('設定'!$C$7),"● "&amp;TEXT($CA335,"m/d")&amp;"("&amp;CHOOSE(WEEKDAY($CA335),"日","月","火","水","木","金","土")&amp;")"&amp;" に切れる　今日発注","△ "&amp;TEXT($CA335,"m/d")&amp;"("&amp;CHOOSE(WEEKDAY($CA335),"日","月","火","水","木","金","土")&amp;")"&amp;" に切れる　"&amp;TEXT($CA335-N('設定'!$C$7),"m/d")&amp;"("&amp;CHOOSE(WEEKDAY($CA335-N('設定'!$C$7)),"日","月","火","水","木","金","土")&amp;")"&amp;" までに発注"))))))))))</f>
        <v/>
      </c>
      <c r="CQ335">
        <f>IF($C335="","",IF(AND($P335="",$Q335="",$S335="",$T335=""),"",IF(AND($P335="",$Q335=""),"⚠ 先に1便目（左の入庫日・入庫数）に入れてください",IF($CI335&lt;&gt;"",$CI335,IF($CJ335&lt;&gt;"",$CJ335,IF($M335="","？ 減り数が未設定（発注書には載ります）",IF($B$3=0,"？ 動員が未入力（発注書には載ります）",IF(AND($CA335&lt;&gt;"",$P335&gt;$CA335),IF($P335&gt;'設定'!$C$6+N('設定'!$C$7),"● "&amp;TEXT($P335,"m/d")&amp;"("&amp;CHOOSE(WEEKDAY($P335),"日","月","火","水","木","金","土")&amp;")"&amp;" の入庫では間に合わない（"&amp;TEXT($CA335,"m/d")&amp;"("&amp;CHOOSE(WEEKDAY($CA335),"日","月","火","水","木","金","土")&amp;")"&amp;" に切れる）　入庫日を早める","△ 欠品 "&amp;TEXT($CA335,"m/d")&amp;"("&amp;CHOOSE(WEEKDAY($CA335),"日","月","火","水","木","金","土")&amp;")"&amp;"〜"&amp;TEXT($P335-1,"m/d")&amp;"("&amp;CHOOSE(WEEKDAY($P335-1),"日","月","火","水","木","金","土")&amp;")"&amp;"　"&amp;$CO335),IF($CC335="","○ "&amp;TEXT($P335,"m/d")&amp;"("&amp;CHOOSE(WEEKDAY($P335),"日","月","火","水","木","金","土")&amp;")"&amp;" 入庫で 14日以上もつ",IF($CC335-N('設定'!$C$7)&lt;='設定'!$C$6,"● 入庫しても "&amp;TEXT($CC335,"m/d")&amp;"("&amp;CHOOSE(WEEKDAY($CC335),"日","月","火","水","木","金","土")&amp;")"&amp;" に切れる　もう1便を至急発注（2便目に入れる）","△ 入庫しても "&amp;TEXT($CC335,"m/d")&amp;"("&amp;CHOOSE(WEEKDAY($CC335),"日","月","火","水","木","金","土")&amp;")"&amp;" に切れる　"&amp;TEXT($CC335-N('設定'!$C$7),"m/d")&amp;"("&amp;CHOOSE(WEEKDAY($CC335-N('設定'!$C$7)),"日","月","火","水","木","金","土")&amp;")"&amp;" までに次を発注（2便目に入れる）"))))))))))</f>
        <v/>
      </c>
      <c r="CR335">
        <f>IF($C335="","",IF($G335&gt;1,"ｹｰｽ("&amp;$G335&amp;"入)","個"))</f>
        <v/>
      </c>
      <c r="CS335">
        <f>IF($C335="",0,IF(COUNTIFS('①在庫を貼る'!$V$6:$V$10005,'設定'!$C$4,'①在庫を貼る'!$W$6:$W$10005,$C335)=0,1,0))</f>
        <v/>
      </c>
      <c r="CT335">
        <f>IF(AND($CK335=1,OR('③発注書'!$C$4="すべて",'③発注書'!$C$4="",$F335='③発注書'!$C$4)),N($CT334)+1,N($CT334))</f>
        <v/>
      </c>
      <c r="CU335">
        <f>IF(AND($CL335=1,OR('③発注書'!$C$4="すべて",'③発注書'!$C$4="",$F335='③発注書'!$C$4)),N($CU334)+1,N($CU334))</f>
        <v/>
      </c>
      <c r="CV335">
        <f>IF($C335="",0,IF(COUNTIFS('①在庫を貼る'!$V$6:$V$10005,'設定'!$C$4,'①在庫を貼る'!$W$6:$W$10005,$C335)&gt;0,1,0))</f>
        <v/>
      </c>
      <c r="CW335">
        <f>IF($C335="",0,IF(COUNTIFS('月1回_1ヶ月前の在庫'!$V$6:$V$10005,'設定'!$C$4,'月1回_1ヶ月前の在庫'!$W$6:$W$10005,$C335)&gt;0,1,0))</f>
        <v/>
      </c>
      <c r="CX335">
        <f>IF($C335="",0,IF(COUNTIFS('月1回_2ヶ月前の在庫'!$V$6:$V$10005,'設定'!$C$4,'月1回_2ヶ月前の在庫'!$W$6:$W$10005,$C335)&gt;0,1,0))</f>
        <v/>
      </c>
      <c r="CY335">
        <f>IF(OR($C335="",'設定'!$C$12=""),"",IF('設定'!$C$13="",IF(AND($CV335=1,$CW335=0),"新商品（今月から）",IF(AND($CV335=0,$CW335=1),"終売（今月から）","")),IF(AND($CV335=1,$CW335=0,$CX335=0),"新商品（今月から）",IF(AND($CV335=1,$CW335=1,$CX335=0),"新商品（先月から）",IF(AND($CV335=0,$CW335=1,$CX335=1),"終売（今月から）",IF(AND($CV335=0,$CW335=0,$CX335=1),"終売（先月から）",IF(AND($CV335=1,$CW335=0,$CX335=1),"復活（先月は無し）","")))))))</f>
        <v/>
      </c>
    </row>
    <row r="336">
      <c r="B336">
        <f>IF(331&lt;='設定'!$C$11,331,"")</f>
        <v/>
      </c>
      <c r="C336">
        <f>IF($B336="","",IF($B336&lt;='設定'!$C$20,INDEX('商品マスタ'!$B$6:$B$1005,MATCH($B336,'商品マスタ'!$M$6:$M$1005,0)),IF($B336&lt;='設定'!$C$20+'設定'!$C$17,INDEX('①在庫を貼る'!$W$6:$W$10005,MATCH($B336-'設定'!$C$20,'①在庫を貼る'!$U$6:$U$10005,0)),IF($B336&lt;='設定'!$C$20+'設定'!$C$17+'設定'!$C$18,INDEX('月1回_1ヶ月前の在庫'!$W$6:$W$10005,MATCH($B336-'設定'!$C$20-'設定'!$C$17,'月1回_1ヶ月前の在庫'!$U$6:$U$10005,0)),INDEX('月1回_2ヶ月前の在庫'!$W$6:$W$10005,MATCH($B336-'設定'!$C$20-'設定'!$C$17-'設定'!$C$18,'月1回_2ヶ月前の在庫'!$U$6:$U$10005,0))))))</f>
        <v/>
      </c>
      <c r="D336">
        <f>IF($C336="","",IFERROR(IF(INDEX('商品マスタ'!$C$6:$C$1005,MATCH($C336,'商品マスタ'!$B$6:$B$1005,0))="",IFERROR(INDEX('①在庫を貼る'!$J$6:$J$10005,MATCH($C336,'①在庫を貼る'!$W$6:$W$10005,0)),IFERROR(INDEX('月1回_1ヶ月前の在庫'!$J$6:$J$10005,MATCH($C336,'月1回_1ヶ月前の在庫'!$W$6:$W$10005,0)),IFERROR(INDEX('月1回_2ヶ月前の在庫'!$J$6:$J$10005,MATCH($C336,'月1回_2ヶ月前の在庫'!$W$6:$W$10005,0)),""))),INDEX('商品マスタ'!$C$6:$C$1005,MATCH($C336,'商品マスタ'!$B$6:$B$1005,0))),IFERROR(INDEX('①在庫を貼る'!$J$6:$J$10005,MATCH($C336,'①在庫を貼る'!$W$6:$W$10005,0)),IFERROR(INDEX('月1回_1ヶ月前の在庫'!$J$6:$J$10005,MATCH($C336,'月1回_1ヶ月前の在庫'!$W$6:$W$10005,0)),IFERROR(INDEX('月1回_2ヶ月前の在庫'!$J$6:$J$10005,MATCH($C336,'月1回_2ヶ月前の在庫'!$W$6:$W$10005,0)),"")))))</f>
        <v/>
      </c>
      <c r="E336">
        <f>IF($C336="","",IFERROR(IF(INDEX('商品マスタ'!$D$6:$D$1005,MATCH($C336,'商品マスタ'!$B$6:$B$1005,0))="",IFERROR(INDEX('①在庫を貼る'!$H$6:$H$10005,MATCH($C336,'①在庫を貼る'!$W$6:$W$10005,0)),IFERROR(INDEX('月1回_1ヶ月前の在庫'!$H$6:$H$10005,MATCH($C336,'月1回_1ヶ月前の在庫'!$W$6:$W$10005,0)),IFERROR(INDEX('月1回_2ヶ月前の在庫'!$H$6:$H$10005,MATCH($C336,'月1回_2ヶ月前の在庫'!$W$6:$W$10005,0)),""))),INDEX('商品マスタ'!$D$6:$D$1005,MATCH($C336,'商品マスタ'!$B$6:$B$1005,0))),IFERROR(INDEX('①在庫を貼る'!$H$6:$H$10005,MATCH($C336,'①在庫を貼る'!$W$6:$W$10005,0)),IFERROR(INDEX('月1回_1ヶ月前の在庫'!$H$6:$H$10005,MATCH($C336,'月1回_1ヶ月前の在庫'!$W$6:$W$10005,0)),IFERROR(INDEX('月1回_2ヶ月前の在庫'!$H$6:$H$10005,MATCH($C336,'月1回_2ヶ月前の在庫'!$W$6:$W$10005,0)),"")))))</f>
        <v/>
      </c>
      <c r="F336">
        <f>IF($C336="","",IFERROR(IF(INDEX('商品マスタ'!$E$6:$E$1005,MATCH($C336,'商品マスタ'!$B$6:$B$1005,0))="",IFERROR(INDEX('①在庫を貼る'!$E$6:$E$10005,MATCH($C336,'①在庫を貼る'!$W$6:$W$10005,0)),IFERROR(INDEX('月1回_1ヶ月前の在庫'!$E$6:$E$10005,MATCH($C336,'月1回_1ヶ月前の在庫'!$W$6:$W$10005,0)),IFERROR(INDEX('月1回_2ヶ月前の在庫'!$E$6:$E$10005,MATCH($C336,'月1回_2ヶ月前の在庫'!$W$6:$W$10005,0)),""))),INDEX('商品マスタ'!$E$6:$E$1005,MATCH($C336,'商品マスタ'!$B$6:$B$1005,0))),IFERROR(INDEX('①在庫を貼る'!$E$6:$E$10005,MATCH($C336,'①在庫を貼る'!$W$6:$W$10005,0)),IFERROR(INDEX('月1回_1ヶ月前の在庫'!$E$6:$E$10005,MATCH($C336,'月1回_1ヶ月前の在庫'!$W$6:$W$10005,0)),IFERROR(INDEX('月1回_2ヶ月前の在庫'!$E$6:$E$10005,MATCH($C336,'月1回_2ヶ月前の在庫'!$W$6:$W$10005,0)),"")))))</f>
        <v/>
      </c>
      <c r="G336">
        <f>IF($C336="","",MAX(1,N(IFERROR(IF(INDEX('商品マスタ'!$F$6:$F$1005,MATCH($C336,'商品マスタ'!$B$6:$B$1005,0))="",IF(COUNTIFS('①在庫を貼る'!$V$6:$V$10005,'設定'!$C$4,'①在庫を貼る'!$W$6:$W$10005,$C336)&gt;0,SUMIFS('①在庫を貼る'!$K$6:$K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K$6:$K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K$6:$K$10005,'月1回_2ヶ月前の在庫'!$V$6:$V$10005,'設定'!$C$4,'月1回_2ヶ月前の在庫'!$W$6:$W$10005,$C336)/COUNTIFS('月1回_2ヶ月前の在庫'!$V$6:$V$10005,'設定'!$C$4,'月1回_2ヶ月前の在庫'!$W$6:$W$10005,$C336),0))),INDEX('商品マスタ'!$F$6:$F$1005,MATCH($C336,'商品マスタ'!$B$6:$B$1005,0))),IF(COUNTIFS('①在庫を貼る'!$V$6:$V$10005,'設定'!$C$4,'①在庫を貼る'!$W$6:$W$10005,$C336)&gt;0,SUMIFS('①在庫を貼る'!$K$6:$K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K$6:$K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K$6:$K$10005,'月1回_2ヶ月前の在庫'!$V$6:$V$10005,'設定'!$C$4,'月1回_2ヶ月前の在庫'!$W$6:$W$10005,$C336)/COUNTIFS('月1回_2ヶ月前の在庫'!$V$6:$V$10005,'設定'!$C$4,'月1回_2ヶ月前の在庫'!$W$6:$W$10005,$C336),0)))))))</f>
        <v/>
      </c>
      <c r="H336">
        <f>IF($C336="","",N(IFERROR(IF(INDEX('商品マスタ'!$G$6:$G$1005,MATCH($C336,'商品マスタ'!$B$6:$B$1005,0))="",IF(COUNTIFS('①在庫を貼る'!$V$6:$V$10005,'設定'!$C$4,'①在庫を貼る'!$W$6:$W$10005,$C336)&gt;0,SUMIFS('①在庫を貼る'!$Q$6:$Q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Q$6:$Q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Q$6:$Q$10005,'月1回_2ヶ月前の在庫'!$V$6:$V$10005,'設定'!$C$4,'月1回_2ヶ月前の在庫'!$W$6:$W$10005,$C336)/COUNTIFS('月1回_2ヶ月前の在庫'!$V$6:$V$10005,'設定'!$C$4,'月1回_2ヶ月前の在庫'!$W$6:$W$10005,$C336),0))),INDEX('商品マスタ'!$G$6:$G$1005,MATCH($C336,'商品マスタ'!$B$6:$B$1005,0))),IF(COUNTIFS('①在庫を貼る'!$V$6:$V$10005,'設定'!$C$4,'①在庫を貼る'!$W$6:$W$10005,$C336)&gt;0,SUMIFS('①在庫を貼る'!$Q$6:$Q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Q$6:$Q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Q$6:$Q$10005,'月1回_2ヶ月前の在庫'!$V$6:$V$10005,'設定'!$C$4,'月1回_2ヶ月前の在庫'!$W$6:$W$10005,$C336)/COUNTIFS('月1回_2ヶ月前の在庫'!$V$6:$V$10005,'設定'!$C$4,'月1回_2ヶ月前の在庫'!$W$6:$W$10005,$C336),0))))))</f>
        <v/>
      </c>
      <c r="I336">
        <f>IF($C336="","",IF(COUNTIFS('①在庫を貼る'!$V$6:$V$10005,'設定'!$C$4,'①在庫を貼る'!$W$6:$W$10005,$C336)=0,"",SUMIFS('①在庫を貼る'!$N$6:$N$10005,'①在庫を貼る'!$V$6:$V$10005,'設定'!$C$4,'①在庫を貼る'!$W$6:$W$10005,$C336)))</f>
        <v/>
      </c>
      <c r="J336">
        <f>IF($C336="","",IF('②発注する'!$AD340="","",'②発注する'!$AD340))</f>
        <v/>
      </c>
      <c r="K336" s="90">
        <f>IF($C336="","",IF('②発注する'!$AE340="","",'②発注する'!$AE340))</f>
        <v/>
      </c>
      <c r="L336">
        <f>IF($C336="","",IF(AND(ISNUMBER($J336),ISNUMBER($K336),$K336&gt;='設定'!$C$6),$J336,N($I336)))</f>
        <v/>
      </c>
      <c r="M336">
        <f>IF($C336="","",IFERROR(IF(N(INDEX('商品マスタ'!$J$6:$J$1005,MATCH($C336,'商品マスタ'!$B$6:$B$1005,0)))&gt;0,INDEX('商品マスタ'!$J$6:$J$1005,MATCH($C336,'商品マスタ'!$B$6:$B$1005,0)),""),""))</f>
        <v/>
      </c>
      <c r="N336">
        <f>IF($C336="","",IFERROR(IF(N(INDEX('商品マスタ'!$H$6:$H$1005,MATCH($C336,'商品マスタ'!$B$6:$B$1005,0)))&gt;0,INDEX('商品マスタ'!$H$6:$H$1005,MATCH($C336,'商品マスタ'!$B$6:$B$1005,0)),""),""))</f>
        <v/>
      </c>
      <c r="O336">
        <f>IF($C336="","",IF($N336&lt;&gt;"",$N336*$G336,IF(N(IF(COUNTIFS('①在庫を貼る'!$V$6:$V$10005,'設定'!$C$4,'①在庫を貼る'!$W$6:$W$10005,$C336)&gt;0,SUMIFS('①在庫を貼る'!$O$6:$O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O$6:$O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O$6:$O$10005,'月1回_2ヶ月前の在庫'!$V$6:$V$10005,'設定'!$C$4,'月1回_2ヶ月前の在庫'!$W$6:$W$10005,$C336)/COUNTIFS('月1回_2ヶ月前の在庫'!$V$6:$V$10005,'設定'!$C$4,'月1回_2ヶ月前の在庫'!$W$6:$W$10005,$C336),0))))&gt;0,N(IF(COUNTIFS('①在庫を貼る'!$V$6:$V$10005,'設定'!$C$4,'①在庫を貼る'!$W$6:$W$10005,$C336)&gt;0,SUMIFS('①在庫を貼る'!$O$6:$O$10005,'①在庫を貼る'!$V$6:$V$10005,'設定'!$C$4,'①在庫を貼る'!$W$6:$W$10005,$C336)/COUNTIFS('①在庫を貼る'!$V$6:$V$10005,'設定'!$C$4,'①在庫を貼る'!$W$6:$W$10005,$C336),IF(COUNTIFS('月1回_1ヶ月前の在庫'!$V$6:$V$10005,'設定'!$C$4,'月1回_1ヶ月前の在庫'!$W$6:$W$10005,$C336)&gt;0,SUMIFS('月1回_1ヶ月前の在庫'!$O$6:$O$10005,'月1回_1ヶ月前の在庫'!$V$6:$V$10005,'設定'!$C$4,'月1回_1ヶ月前の在庫'!$W$6:$W$10005,$C336)/COUNTIFS('月1回_1ヶ月前の在庫'!$V$6:$V$10005,'設定'!$C$4,'月1回_1ヶ月前の在庫'!$W$6:$W$10005,$C336),IF(COUNTIFS('月1回_2ヶ月前の在庫'!$V$6:$V$10005,'設定'!$C$4,'月1回_2ヶ月前の在庫'!$W$6:$W$10005,$C336)&gt;0,SUMIFS('月1回_2ヶ月前の在庫'!$O$6:$O$10005,'月1回_2ヶ月前の在庫'!$V$6:$V$10005,'設定'!$C$4,'月1回_2ヶ月前の在庫'!$W$6:$W$10005,$C336)/COUNTIFS('月1回_2ヶ月前の在庫'!$V$6:$V$10005,'設定'!$C$4,'月1回_2ヶ月前の在庫'!$W$6:$W$10005,$C336),0)))),"")))</f>
        <v/>
      </c>
      <c r="P336" s="90">
        <f>IF($C336="","",IF('②発注する'!$I340="","",'②発注する'!$I340))</f>
        <v/>
      </c>
      <c r="Q336">
        <f>IF($C336="","",IF('②発注する'!$J340="","",'②発注する'!$J340))</f>
        <v/>
      </c>
      <c r="R336">
        <f>IF($C336="",0,IF(AND(ISNUMBER($P336),ISNUMBER($Q336)),MAX(0,$Q336)*$G336,0))</f>
        <v/>
      </c>
      <c r="S336" s="90">
        <f>IF($C336="","",IF('②発注する'!$M340="","",'②発注する'!$M340))</f>
        <v/>
      </c>
      <c r="T336">
        <f>IF($C336="","",IF('②発注する'!$N340="","",'②発注する'!$N340))</f>
        <v/>
      </c>
      <c r="U336">
        <f>IF($C336="",0,IF(AND(ISNUMBER($S336),ISNUMBER($T336)),MAX(0,$T336)*$G336,0))</f>
        <v/>
      </c>
      <c r="V336">
        <f>IF($C336="",0,IF($M336="",0,MAX(0,$M336)*MAX(0,V$4)/100))</f>
        <v/>
      </c>
      <c r="W336">
        <f>IF($C336="",0,IF($M336="",0,MAX(0,$M336)*MAX(0,W$4)/100))</f>
        <v/>
      </c>
      <c r="X336">
        <f>IF($C336="",0,IF($M336="",0,MAX(0,$M336)*MAX(0,X$4)/100))</f>
        <v/>
      </c>
      <c r="Y336">
        <f>IF($C336="",0,IF($M336="",0,MAX(0,$M336)*MAX(0,Y$4)/100))</f>
        <v/>
      </c>
      <c r="Z336">
        <f>IF($C336="",0,IF($M336="",0,MAX(0,$M336)*MAX(0,Z$4)/100))</f>
        <v/>
      </c>
      <c r="AA336">
        <f>IF($C336="",0,IF($M336="",0,MAX(0,$M336)*MAX(0,AA$4)/100))</f>
        <v/>
      </c>
      <c r="AB336">
        <f>IF($C336="",0,IF($M336="",0,MAX(0,$M336)*MAX(0,AB$4)/100))</f>
        <v/>
      </c>
      <c r="AC336">
        <f>IF($C336="",0,IF($M336="",0,MAX(0,$M336)*MAX(0,AC$4)/100))</f>
        <v/>
      </c>
      <c r="AD336">
        <f>IF($C336="",0,IF($M336="",0,MAX(0,$M336)*MAX(0,AD$4)/100))</f>
        <v/>
      </c>
      <c r="AE336">
        <f>IF($C336="",0,IF($M336="",0,MAX(0,$M336)*MAX(0,AE$4)/100))</f>
        <v/>
      </c>
      <c r="AF336">
        <f>IF($C336="",0,IF($M336="",0,MAX(0,$M336)*MAX(0,AF$4)/100))</f>
        <v/>
      </c>
      <c r="AG336">
        <f>IF($C336="",0,IF($M336="",0,MAX(0,$M336)*MAX(0,AG$4)/100))</f>
        <v/>
      </c>
      <c r="AH336">
        <f>IF($C336="",0,IF($M336="",0,MAX(0,$M336)*MAX(0,AH$4)/100))</f>
        <v/>
      </c>
      <c r="AI336">
        <f>IF($C336="",0,IF($M336="",0,MAX(0,$M336)*MAX(0,AI$4)/100))</f>
        <v/>
      </c>
      <c r="AJ336">
        <f>IF($C336="",0,MAX(0,MAX(0,N($L336))-$V336))</f>
        <v/>
      </c>
      <c r="AK336">
        <f>IF($C336="",0,MAX(0,$AJ336-$W336))</f>
        <v/>
      </c>
      <c r="AL336">
        <f>IF($C336="",0,MAX(0,$AK336-$X336))</f>
        <v/>
      </c>
      <c r="AM336">
        <f>IF($C336="",0,MAX(0,$AL336-$Y336))</f>
        <v/>
      </c>
      <c r="AN336">
        <f>IF($C336="",0,MAX(0,$AM336-$Z336))</f>
        <v/>
      </c>
      <c r="AO336">
        <f>IF($C336="",0,MAX(0,$AN336-$AA336))</f>
        <v/>
      </c>
      <c r="AP336">
        <f>IF($C336="",0,MAX(0,$AO336-$AB336))</f>
        <v/>
      </c>
      <c r="AQ336">
        <f>IF($C336="",0,MAX(0,$AP336-$AC336))</f>
        <v/>
      </c>
      <c r="AR336">
        <f>IF($C336="",0,MAX(0,$AQ336-$AD336))</f>
        <v/>
      </c>
      <c r="AS336">
        <f>IF($C336="",0,MAX(0,$AR336-$AE336))</f>
        <v/>
      </c>
      <c r="AT336">
        <f>IF($C336="",0,MAX(0,$AS336-$AF336))</f>
        <v/>
      </c>
      <c r="AU336">
        <f>IF($C336="",0,MAX(0,$AT336-$AG336))</f>
        <v/>
      </c>
      <c r="AV336">
        <f>IF($C336="",0,MAX(0,$AU336-$AH336))</f>
        <v/>
      </c>
      <c r="AW336">
        <f>IF($C336="",0,MAX(0,$AV336-$AI336))</f>
        <v/>
      </c>
      <c r="AX336">
        <f>IF($C336="",0,MAX(0,MAX(0,N($L336))+IF($P336=V$3,$R336,0)+IF($S336=V$3,$U336,0)-$V336))</f>
        <v/>
      </c>
      <c r="AY336">
        <f>IF($C336="",0,MAX(0,$AX336+IF($P336=W$3,$R336,0)+IF($S336=W$3,$U336,0)-$W336))</f>
        <v/>
      </c>
      <c r="AZ336">
        <f>IF($C336="",0,MAX(0,$AY336+IF($P336=X$3,$R336,0)+IF($S336=X$3,$U336,0)-$X336))</f>
        <v/>
      </c>
      <c r="BA336">
        <f>IF($C336="",0,MAX(0,$AZ336+IF($P336=Y$3,$R336,0)+IF($S336=Y$3,$U336,0)-$Y336))</f>
        <v/>
      </c>
      <c r="BB336">
        <f>IF($C336="",0,MAX(0,$BA336+IF($P336=Z$3,$R336,0)+IF($S336=Z$3,$U336,0)-$Z336))</f>
        <v/>
      </c>
      <c r="BC336">
        <f>IF($C336="",0,MAX(0,$BB336+IF($P336=AA$3,$R336,0)+IF($S336=AA$3,$U336,0)-$AA336))</f>
        <v/>
      </c>
      <c r="BD336">
        <f>IF($C336="",0,MAX(0,$BC336+IF($P336=AB$3,$R336,0)+IF($S336=AB$3,$U336,0)-$AB336))</f>
        <v/>
      </c>
      <c r="BE336">
        <f>IF($C336="",0,MAX(0,$BD336+IF($P336=AC$3,$R336,0)+IF($S336=AC$3,$U336,0)-$AC336))</f>
        <v/>
      </c>
      <c r="BF336">
        <f>IF($C336="",0,MAX(0,$BE336+IF($P336=AD$3,$R336,0)+IF($S336=AD$3,$U336,0)-$AD336))</f>
        <v/>
      </c>
      <c r="BG336">
        <f>IF($C336="",0,MAX(0,$BF336+IF($P336=AE$3,$R336,0)+IF($S336=AE$3,$U336,0)-$AE336))</f>
        <v/>
      </c>
      <c r="BH336">
        <f>IF($C336="",0,MAX(0,$BG336+IF($P336=AF$3,$R336,0)+IF($S336=AF$3,$U336,0)-$AF336))</f>
        <v/>
      </c>
      <c r="BI336">
        <f>IF($C336="",0,MAX(0,$BH336+IF($P336=AG$3,$R336,0)+IF($S336=AG$3,$U336,0)-$AG336))</f>
        <v/>
      </c>
      <c r="BJ336">
        <f>IF($C336="",0,MAX(0,$BI336+IF($P336=AH$3,$R336,0)+IF($S336=AH$3,$U336,0)-$AH336))</f>
        <v/>
      </c>
      <c r="BK336">
        <f>IF($C336="",0,MAX(0,$BJ336+IF($P336=AI$3,$R336,0)+IF($S336=AI$3,$U336,0)-$AI336))</f>
        <v/>
      </c>
      <c r="BL336">
        <f>IF($C336="",99,IF(AND($AX336&lt;1,V$3&gt;=MAX(N($P336),N($S336))),0,99))</f>
        <v/>
      </c>
      <c r="BM336">
        <f>IF($C336="",99,IF(AND($AY336&lt;1,W$3&gt;=MAX(N($P336),N($S336))),1,99))</f>
        <v/>
      </c>
      <c r="BN336">
        <f>IF($C336="",99,IF(AND($AZ336&lt;1,X$3&gt;=MAX(N($P336),N($S336))),2,99))</f>
        <v/>
      </c>
      <c r="BO336">
        <f>IF($C336="",99,IF(AND($BA336&lt;1,Y$3&gt;=MAX(N($P336),N($S336))),3,99))</f>
        <v/>
      </c>
      <c r="BP336">
        <f>IF($C336="",99,IF(AND($BB336&lt;1,Z$3&gt;=MAX(N($P336),N($S336))),4,99))</f>
        <v/>
      </c>
      <c r="BQ336">
        <f>IF($C336="",99,IF(AND($BC336&lt;1,AA$3&gt;=MAX(N($P336),N($S336))),5,99))</f>
        <v/>
      </c>
      <c r="BR336">
        <f>IF($C336="",99,IF(AND($BD336&lt;1,AB$3&gt;=MAX(N($P336),N($S336))),6,99))</f>
        <v/>
      </c>
      <c r="BS336">
        <f>IF($C336="",99,IF(AND($BE336&lt;1,AC$3&gt;=MAX(N($P336),N($S336))),7,99))</f>
        <v/>
      </c>
      <c r="BT336">
        <f>IF($C336="",99,IF(AND($BF336&lt;1,AD$3&gt;=MAX(N($P336),N($S336))),8,99))</f>
        <v/>
      </c>
      <c r="BU336">
        <f>IF($C336="",99,IF(AND($BG336&lt;1,AE$3&gt;=MAX(N($P336),N($S336))),9,99))</f>
        <v/>
      </c>
      <c r="BV336">
        <f>IF($C336="",99,IF(AND($BH336&lt;1,AF$3&gt;=MAX(N($P336),N($S336))),10,99))</f>
        <v/>
      </c>
      <c r="BW336">
        <f>IF($C336="",99,IF(AND($BI336&lt;1,AG$3&gt;=MAX(N($P336),N($S336))),11,99))</f>
        <v/>
      </c>
      <c r="BX336">
        <f>IF($C336="",99,IF(AND($BJ336&lt;1,AH$3&gt;=MAX(N($P336),N($S336))),12,99))</f>
        <v/>
      </c>
      <c r="BY336">
        <f>IF($C336="",99,IF(AND($BK336&lt;1,AI$3&gt;=MAX(N($P336),N($S336))),13,99))</f>
        <v/>
      </c>
      <c r="BZ336">
        <f>IF(OR($C336="",$M336=""),"",COUNTIF($AJ336:$AW336,"&gt;=1"))</f>
        <v/>
      </c>
      <c r="CA336" s="90">
        <f>IF($BZ336="","",IF($BZ336&gt;=14,"",'設定'!$C$6+$BZ336))</f>
        <v/>
      </c>
      <c r="CB336">
        <f>IF(OR($C336="",$M336=""),"",MIN($BL336:$BY336))</f>
        <v/>
      </c>
      <c r="CC336" s="90">
        <f>IF($CB336="","",IF($CB336&gt;=99,"",'設定'!$C$6+$CB336))</f>
        <v/>
      </c>
      <c r="CD336">
        <f>IF(OR($C336="",$M336=""),"",AVERAGE($V336:$AI336))</f>
        <v/>
      </c>
      <c r="CE336">
        <f>IF($C336="","",IFERROR(IF(MATCH(IF(ISNUMBER($P336),$P336,'設定'!$C$6+N('設定'!$C$7)),$V$3:$AI$3,0)=1,MAX(0,N($L336)),INDEX($AJ336:$AW336,MATCH(IF(ISNUMBER($P336),$P336,'設定'!$C$6+N('設定'!$C$7)),$V$3:$AI$3,0)-1)),""))</f>
        <v/>
      </c>
      <c r="CF336">
        <f>IF(OR($C336="",$O336="",$CE336=""),"",IF($O336-$CE336&lt;=0,0,ROUNDUP(($O336-$CE336)/$G336,0)))</f>
        <v/>
      </c>
      <c r="CG336">
        <f>IF(OR($C336="",$CF336="",NOT(ISNUMBER($Q336))),0,MAX(0,$Q336-$CF336))</f>
        <v/>
      </c>
      <c r="CH336">
        <f>IF(OR($C336="",$O336="",$U336=0),0,IFERROR(ROUNDUP(MAX(0,IF(MATCH($S336,$V$3:$AI$3,0)=1,MAX(0,N($L336)),INDEX($AX336:$BK336,MATCH($S336,$V$3:$AI$3,0)-1))+$U336-$O336)/$G336,0),0))</f>
        <v/>
      </c>
      <c r="CI336">
        <f>IF($C336="","",IF(AND($P336="",$Q336=""),"",IF($P336="","⚠ 入庫日を ▼ から選んでください",IF(NOT(ISNUMBER($P336)),"⚠ 入庫日は ▼ から選んでください",IF($P336&lt;N('設定'!$C$6),"⚠ 入庫日が過去です（もう在庫に入っています）→ 消してください",IF($P336&gt;N('設定'!$C$6)+13,"⚠ 入庫日が14日より先です",IF(N($Q336)&lt;=0,"⚠ 入庫数を入れてください",IF($CG336&gt;0,"⚠ 目安より "&amp;$CG336&amp;" 多い（定数を超える）→ 減らす",""))))))))</f>
        <v/>
      </c>
      <c r="CJ336">
        <f>IF($C336="","",IF(AND($S336="",$T336=""),"",IF($S336="","⚠ 2便目：入庫日を ▼ から選んでください",IF(NOT(ISNUMBER($S336)),"⚠ 2便目：入庫日は ▼ から選んでください",IF($S336&lt;N('設定'!$C$6),"⚠ 2便目：入庫日が過去です（もう在庫に入っています）→ 消してください",IF($S336&gt;N('設定'!$C$6)+13,"⚠ 2便目：入庫日が14日より先です",IF(N($T336)&lt;=0,"⚠ 2便目：入庫数を入れてください",IF($CH336&gt;0,"⚠ 2便目：定数を "&amp;$CH336&amp;" ケース超える → 減らす",""))))))))</f>
        <v/>
      </c>
      <c r="CK336">
        <f>IF(AND($CI336="",N($Q336)&gt;0,ISNUMBER($P336)),1,0)</f>
        <v/>
      </c>
      <c r="CL336">
        <f>IF(AND($CJ336="",N($T336)&gt;0,ISNUMBER($S336)),1,0)</f>
        <v/>
      </c>
      <c r="CM336">
        <f>IF(OR($CK336=1,$CL336=1),1,0)</f>
        <v/>
      </c>
      <c r="CN336">
        <f>IF($C336="",0,($CK336*$R336+$CL336*$U336)*N($H336))</f>
        <v/>
      </c>
      <c r="CO336">
        <f>IF($C336="","",IF($CC336="","入庫後は 14日以上もつ",IF($CC336-N('設定'!$C$7)&lt;='設定'!$C$6,"入庫後も "&amp;TEXT($CC336,"m/d")&amp;"("&amp;CHOOSE(WEEKDAY($CC336),"日","月","火","水","木","金","土")&amp;")"&amp;" に切れる　もう1便を至急発注","入庫後も "&amp;TEXT($CC336,"m/d")&amp;"("&amp;CHOOSE(WEEKDAY($CC336),"日","月","火","水","木","金","土")&amp;")"&amp;" に切れる　"&amp;TEXT($CC336-N('設定'!$C$7),"m/d")&amp;"("&amp;CHOOSE(WEEKDAY($CC336-N('設定'!$C$7)),"日","月","火","水","木","金","土")&amp;")"&amp;" までに次を発注")))</f>
        <v/>
      </c>
      <c r="CP336">
        <f>IF($C336="","",IF('設定'!$C$6="","？ ①在庫を貼る に今日のCSVが貼られていない",IF($CS336=1,"－ 今日のCSVに無い（終売？）",IF($L336&lt;0,"● 在庫がマイナス　数えて「数えた在庫」に入れる",IF($L336=0,"● 在庫なし　至急発注",IF($M336="","？ 減り数が未設定（商品マスタ）",IF($B$3=0,"？ 動員が未入力（動員を入れる）",IF($CA336="","○ 14日以上もつ",IF($BZ336&lt;N('設定'!$C$7),"● "&amp;TEXT($CA336,"m/d")&amp;"("&amp;CHOOSE(WEEKDAY($CA336),"日","月","火","水","木","金","土")&amp;")"&amp;" に切れる　至急発注",IF($BZ336=N('設定'!$C$7),"● "&amp;TEXT($CA336,"m/d")&amp;"("&amp;CHOOSE(WEEKDAY($CA336),"日","月","火","水","木","金","土")&amp;")"&amp;" に切れる　今日発注","△ "&amp;TEXT($CA336,"m/d")&amp;"("&amp;CHOOSE(WEEKDAY($CA336),"日","月","火","水","木","金","土")&amp;")"&amp;" に切れる　"&amp;TEXT($CA336-N('設定'!$C$7),"m/d")&amp;"("&amp;CHOOSE(WEEKDAY($CA336-N('設定'!$C$7)),"日","月","火","水","木","金","土")&amp;")"&amp;" までに発注"))))))))))</f>
        <v/>
      </c>
      <c r="CQ336">
        <f>IF($C336="","",IF(AND($P336="",$Q336="",$S336="",$T336=""),"",IF(AND($P336="",$Q336=""),"⚠ 先に1便目（左の入庫日・入庫数）に入れてください",IF($CI336&lt;&gt;"",$CI336,IF($CJ336&lt;&gt;"",$CJ336,IF($M336="","？ 減り数が未設定（発注書には載ります）",IF($B$3=0,"？ 動員が未入力（発注書には載ります）",IF(AND($CA336&lt;&gt;"",$P336&gt;$CA336),IF($P336&gt;'設定'!$C$6+N('設定'!$C$7),"● "&amp;TEXT($P336,"m/d")&amp;"("&amp;CHOOSE(WEEKDAY($P336),"日","月","火","水","木","金","土")&amp;")"&amp;" の入庫では間に合わない（"&amp;TEXT($CA336,"m/d")&amp;"("&amp;CHOOSE(WEEKDAY($CA336),"日","月","火","水","木","金","土")&amp;")"&amp;" に切れる）　入庫日を早める","△ 欠品 "&amp;TEXT($CA336,"m/d")&amp;"("&amp;CHOOSE(WEEKDAY($CA336),"日","月","火","水","木","金","土")&amp;")"&amp;"〜"&amp;TEXT($P336-1,"m/d")&amp;"("&amp;CHOOSE(WEEKDAY($P336-1),"日","月","火","水","木","金","土")&amp;")"&amp;"　"&amp;$CO336),IF($CC336="","○ "&amp;TEXT($P336,"m/d")&amp;"("&amp;CHOOSE(WEEKDAY($P336),"日","月","火","水","木","金","土")&amp;")"&amp;" 入庫で 14日以上もつ",IF($CC336-N('設定'!$C$7)&lt;='設定'!$C$6,"● 入庫しても "&amp;TEXT($CC336,"m/d")&amp;"("&amp;CHOOSE(WEEKDAY($CC336),"日","月","火","水","木","金","土")&amp;")"&amp;" に切れる　もう1便を至急発注（2便目に入れる）","△ 入庫しても "&amp;TEXT($CC336,"m/d")&amp;"("&amp;CHOOSE(WEEKDAY($CC336),"日","月","火","水","木","金","土")&amp;")"&amp;" に切れる　"&amp;TEXT($CC336-N('設定'!$C$7),"m/d")&amp;"("&amp;CHOOSE(WEEKDAY($CC336-N('設定'!$C$7)),"日","月","火","水","木","金","土")&amp;")"&amp;" までに次を発注（2便目に入れる）"))))))))))</f>
        <v/>
      </c>
      <c r="CR336">
        <f>IF($C336="","",IF($G336&gt;1,"ｹｰｽ("&amp;$G336&amp;"入)","個"))</f>
        <v/>
      </c>
      <c r="CS336">
        <f>IF($C336="",0,IF(COUNTIFS('①在庫を貼る'!$V$6:$V$10005,'設定'!$C$4,'①在庫を貼る'!$W$6:$W$10005,$C336)=0,1,0))</f>
        <v/>
      </c>
      <c r="CT336">
        <f>IF(AND($CK336=1,OR('③発注書'!$C$4="すべて",'③発注書'!$C$4="",$F336='③発注書'!$C$4)),N($CT335)+1,N($CT335))</f>
        <v/>
      </c>
      <c r="CU336">
        <f>IF(AND($CL336=1,OR('③発注書'!$C$4="すべて",'③発注書'!$C$4="",$F336='③発注書'!$C$4)),N($CU335)+1,N($CU335))</f>
        <v/>
      </c>
      <c r="CV336">
        <f>IF($C336="",0,IF(COUNTIFS('①在庫を貼る'!$V$6:$V$10005,'設定'!$C$4,'①在庫を貼る'!$W$6:$W$10005,$C336)&gt;0,1,0))</f>
        <v/>
      </c>
      <c r="CW336">
        <f>IF($C336="",0,IF(COUNTIFS('月1回_1ヶ月前の在庫'!$V$6:$V$10005,'設定'!$C$4,'月1回_1ヶ月前の在庫'!$W$6:$W$10005,$C336)&gt;0,1,0))</f>
        <v/>
      </c>
      <c r="CX336">
        <f>IF($C336="",0,IF(COUNTIFS('月1回_2ヶ月前の在庫'!$V$6:$V$10005,'設定'!$C$4,'月1回_2ヶ月前の在庫'!$W$6:$W$10005,$C336)&gt;0,1,0))</f>
        <v/>
      </c>
      <c r="CY336">
        <f>IF(OR($C336="",'設定'!$C$12=""),"",IF('設定'!$C$13="",IF(AND($CV336=1,$CW336=0),"新商品（今月から）",IF(AND($CV336=0,$CW336=1),"終売（今月から）","")),IF(AND($CV336=1,$CW336=0,$CX336=0),"新商品（今月から）",IF(AND($CV336=1,$CW336=1,$CX336=0),"新商品（先月から）",IF(AND($CV336=0,$CW336=1,$CX336=1),"終売（今月から）",IF(AND($CV336=0,$CW336=0,$CX336=1),"終売（先月から）",IF(AND($CV336=1,$CW336=0,$CX336=1),"復活（先月は無し）","")))))))</f>
        <v/>
      </c>
    </row>
    <row r="337">
      <c r="B337">
        <f>IF(332&lt;='設定'!$C$11,332,"")</f>
        <v/>
      </c>
      <c r="C337">
        <f>IF($B337="","",IF($B337&lt;='設定'!$C$20,INDEX('商品マスタ'!$B$6:$B$1005,MATCH($B337,'商品マスタ'!$M$6:$M$1005,0)),IF($B337&lt;='設定'!$C$20+'設定'!$C$17,INDEX('①在庫を貼る'!$W$6:$W$10005,MATCH($B337-'設定'!$C$20,'①在庫を貼る'!$U$6:$U$10005,0)),IF($B337&lt;='設定'!$C$20+'設定'!$C$17+'設定'!$C$18,INDEX('月1回_1ヶ月前の在庫'!$W$6:$W$10005,MATCH($B337-'設定'!$C$20-'設定'!$C$17,'月1回_1ヶ月前の在庫'!$U$6:$U$10005,0)),INDEX('月1回_2ヶ月前の在庫'!$W$6:$W$10005,MATCH($B337-'設定'!$C$20-'設定'!$C$17-'設定'!$C$18,'月1回_2ヶ月前の在庫'!$U$6:$U$10005,0))))))</f>
        <v/>
      </c>
      <c r="D337">
        <f>IF($C337="","",IFERROR(IF(INDEX('商品マスタ'!$C$6:$C$1005,MATCH($C337,'商品マスタ'!$B$6:$B$1005,0))="",IFERROR(INDEX('①在庫を貼る'!$J$6:$J$10005,MATCH($C337,'①在庫を貼る'!$W$6:$W$10005,0)),IFERROR(INDEX('月1回_1ヶ月前の在庫'!$J$6:$J$10005,MATCH($C337,'月1回_1ヶ月前の在庫'!$W$6:$W$10005,0)),IFERROR(INDEX('月1回_2ヶ月前の在庫'!$J$6:$J$10005,MATCH($C337,'月1回_2ヶ月前の在庫'!$W$6:$W$10005,0)),""))),INDEX('商品マスタ'!$C$6:$C$1005,MATCH($C337,'商品マスタ'!$B$6:$B$1005,0))),IFERROR(INDEX('①在庫を貼る'!$J$6:$J$10005,MATCH($C337,'①在庫を貼る'!$W$6:$W$10005,0)),IFERROR(INDEX('月1回_1ヶ月前の在庫'!$J$6:$J$10005,MATCH($C337,'月1回_1ヶ月前の在庫'!$W$6:$W$10005,0)),IFERROR(INDEX('月1回_2ヶ月前の在庫'!$J$6:$J$10005,MATCH($C337,'月1回_2ヶ月前の在庫'!$W$6:$W$10005,0)),"")))))</f>
        <v/>
      </c>
      <c r="E337">
        <f>IF($C337="","",IFERROR(IF(INDEX('商品マスタ'!$D$6:$D$1005,MATCH($C337,'商品マスタ'!$B$6:$B$1005,0))="",IFERROR(INDEX('①在庫を貼る'!$H$6:$H$10005,MATCH($C337,'①在庫を貼る'!$W$6:$W$10005,0)),IFERROR(INDEX('月1回_1ヶ月前の在庫'!$H$6:$H$10005,MATCH($C337,'月1回_1ヶ月前の在庫'!$W$6:$W$10005,0)),IFERROR(INDEX('月1回_2ヶ月前の在庫'!$H$6:$H$10005,MATCH($C337,'月1回_2ヶ月前の在庫'!$W$6:$W$10005,0)),""))),INDEX('商品マスタ'!$D$6:$D$1005,MATCH($C337,'商品マスタ'!$B$6:$B$1005,0))),IFERROR(INDEX('①在庫を貼る'!$H$6:$H$10005,MATCH($C337,'①在庫を貼る'!$W$6:$W$10005,0)),IFERROR(INDEX('月1回_1ヶ月前の在庫'!$H$6:$H$10005,MATCH($C337,'月1回_1ヶ月前の在庫'!$W$6:$W$10005,0)),IFERROR(INDEX('月1回_2ヶ月前の在庫'!$H$6:$H$10005,MATCH($C337,'月1回_2ヶ月前の在庫'!$W$6:$W$10005,0)),"")))))</f>
        <v/>
      </c>
      <c r="F337">
        <f>IF($C337="","",IFERROR(IF(INDEX('商品マスタ'!$E$6:$E$1005,MATCH($C337,'商品マスタ'!$B$6:$B$1005,0))="",IFERROR(INDEX('①在庫を貼る'!$E$6:$E$10005,MATCH($C337,'①在庫を貼る'!$W$6:$W$10005,0)),IFERROR(INDEX('月1回_1ヶ月前の在庫'!$E$6:$E$10005,MATCH($C337,'月1回_1ヶ月前の在庫'!$W$6:$W$10005,0)),IFERROR(INDEX('月1回_2ヶ月前の在庫'!$E$6:$E$10005,MATCH($C337,'月1回_2ヶ月前の在庫'!$W$6:$W$10005,0)),""))),INDEX('商品マスタ'!$E$6:$E$1005,MATCH($C337,'商品マスタ'!$B$6:$B$1005,0))),IFERROR(INDEX('①在庫を貼る'!$E$6:$E$10005,MATCH($C337,'①在庫を貼る'!$W$6:$W$10005,0)),IFERROR(INDEX('月1回_1ヶ月前の在庫'!$E$6:$E$10005,MATCH($C337,'月1回_1ヶ月前の在庫'!$W$6:$W$10005,0)),IFERROR(INDEX('月1回_2ヶ月前の在庫'!$E$6:$E$10005,MATCH($C337,'月1回_2ヶ月前の在庫'!$W$6:$W$10005,0)),"")))))</f>
        <v/>
      </c>
      <c r="G337">
        <f>IF($C337="","",MAX(1,N(IFERROR(IF(INDEX('商品マスタ'!$F$6:$F$1005,MATCH($C337,'商品マスタ'!$B$6:$B$1005,0))="",IF(COUNTIFS('①在庫を貼る'!$V$6:$V$10005,'設定'!$C$4,'①在庫を貼る'!$W$6:$W$10005,$C337)&gt;0,SUMIFS('①在庫を貼る'!$K$6:$K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K$6:$K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K$6:$K$10005,'月1回_2ヶ月前の在庫'!$V$6:$V$10005,'設定'!$C$4,'月1回_2ヶ月前の在庫'!$W$6:$W$10005,$C337)/COUNTIFS('月1回_2ヶ月前の在庫'!$V$6:$V$10005,'設定'!$C$4,'月1回_2ヶ月前の在庫'!$W$6:$W$10005,$C337),0))),INDEX('商品マスタ'!$F$6:$F$1005,MATCH($C337,'商品マスタ'!$B$6:$B$1005,0))),IF(COUNTIFS('①在庫を貼る'!$V$6:$V$10005,'設定'!$C$4,'①在庫を貼る'!$W$6:$W$10005,$C337)&gt;0,SUMIFS('①在庫を貼る'!$K$6:$K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K$6:$K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K$6:$K$10005,'月1回_2ヶ月前の在庫'!$V$6:$V$10005,'設定'!$C$4,'月1回_2ヶ月前の在庫'!$W$6:$W$10005,$C337)/COUNTIFS('月1回_2ヶ月前の在庫'!$V$6:$V$10005,'設定'!$C$4,'月1回_2ヶ月前の在庫'!$W$6:$W$10005,$C337),0)))))))</f>
        <v/>
      </c>
      <c r="H337">
        <f>IF($C337="","",N(IFERROR(IF(INDEX('商品マスタ'!$G$6:$G$1005,MATCH($C337,'商品マスタ'!$B$6:$B$1005,0))="",IF(COUNTIFS('①在庫を貼る'!$V$6:$V$10005,'設定'!$C$4,'①在庫を貼る'!$W$6:$W$10005,$C337)&gt;0,SUMIFS('①在庫を貼る'!$Q$6:$Q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Q$6:$Q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Q$6:$Q$10005,'月1回_2ヶ月前の在庫'!$V$6:$V$10005,'設定'!$C$4,'月1回_2ヶ月前の在庫'!$W$6:$W$10005,$C337)/COUNTIFS('月1回_2ヶ月前の在庫'!$V$6:$V$10005,'設定'!$C$4,'月1回_2ヶ月前の在庫'!$W$6:$W$10005,$C337),0))),INDEX('商品マスタ'!$G$6:$G$1005,MATCH($C337,'商品マスタ'!$B$6:$B$1005,0))),IF(COUNTIFS('①在庫を貼る'!$V$6:$V$10005,'設定'!$C$4,'①在庫を貼る'!$W$6:$W$10005,$C337)&gt;0,SUMIFS('①在庫を貼る'!$Q$6:$Q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Q$6:$Q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Q$6:$Q$10005,'月1回_2ヶ月前の在庫'!$V$6:$V$10005,'設定'!$C$4,'月1回_2ヶ月前の在庫'!$W$6:$W$10005,$C337)/COUNTIFS('月1回_2ヶ月前の在庫'!$V$6:$V$10005,'設定'!$C$4,'月1回_2ヶ月前の在庫'!$W$6:$W$10005,$C337),0))))))</f>
        <v/>
      </c>
      <c r="I337">
        <f>IF($C337="","",IF(COUNTIFS('①在庫を貼る'!$V$6:$V$10005,'設定'!$C$4,'①在庫を貼る'!$W$6:$W$10005,$C337)=0,"",SUMIFS('①在庫を貼る'!$N$6:$N$10005,'①在庫を貼る'!$V$6:$V$10005,'設定'!$C$4,'①在庫を貼る'!$W$6:$W$10005,$C337)))</f>
        <v/>
      </c>
      <c r="J337">
        <f>IF($C337="","",IF('②発注する'!$AD341="","",'②発注する'!$AD341))</f>
        <v/>
      </c>
      <c r="K337" s="90">
        <f>IF($C337="","",IF('②発注する'!$AE341="","",'②発注する'!$AE341))</f>
        <v/>
      </c>
      <c r="L337">
        <f>IF($C337="","",IF(AND(ISNUMBER($J337),ISNUMBER($K337),$K337&gt;='設定'!$C$6),$J337,N($I337)))</f>
        <v/>
      </c>
      <c r="M337">
        <f>IF($C337="","",IFERROR(IF(N(INDEX('商品マスタ'!$J$6:$J$1005,MATCH($C337,'商品マスタ'!$B$6:$B$1005,0)))&gt;0,INDEX('商品マスタ'!$J$6:$J$1005,MATCH($C337,'商品マスタ'!$B$6:$B$1005,0)),""),""))</f>
        <v/>
      </c>
      <c r="N337">
        <f>IF($C337="","",IFERROR(IF(N(INDEX('商品マスタ'!$H$6:$H$1005,MATCH($C337,'商品マスタ'!$B$6:$B$1005,0)))&gt;0,INDEX('商品マスタ'!$H$6:$H$1005,MATCH($C337,'商品マスタ'!$B$6:$B$1005,0)),""),""))</f>
        <v/>
      </c>
      <c r="O337">
        <f>IF($C337="","",IF($N337&lt;&gt;"",$N337*$G337,IF(N(IF(COUNTIFS('①在庫を貼る'!$V$6:$V$10005,'設定'!$C$4,'①在庫を貼る'!$W$6:$W$10005,$C337)&gt;0,SUMIFS('①在庫を貼る'!$O$6:$O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O$6:$O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O$6:$O$10005,'月1回_2ヶ月前の在庫'!$V$6:$V$10005,'設定'!$C$4,'月1回_2ヶ月前の在庫'!$W$6:$W$10005,$C337)/COUNTIFS('月1回_2ヶ月前の在庫'!$V$6:$V$10005,'設定'!$C$4,'月1回_2ヶ月前の在庫'!$W$6:$W$10005,$C337),0))))&gt;0,N(IF(COUNTIFS('①在庫を貼る'!$V$6:$V$10005,'設定'!$C$4,'①在庫を貼る'!$W$6:$W$10005,$C337)&gt;0,SUMIFS('①在庫を貼る'!$O$6:$O$10005,'①在庫を貼る'!$V$6:$V$10005,'設定'!$C$4,'①在庫を貼る'!$W$6:$W$10005,$C337)/COUNTIFS('①在庫を貼る'!$V$6:$V$10005,'設定'!$C$4,'①在庫を貼る'!$W$6:$W$10005,$C337),IF(COUNTIFS('月1回_1ヶ月前の在庫'!$V$6:$V$10005,'設定'!$C$4,'月1回_1ヶ月前の在庫'!$W$6:$W$10005,$C337)&gt;0,SUMIFS('月1回_1ヶ月前の在庫'!$O$6:$O$10005,'月1回_1ヶ月前の在庫'!$V$6:$V$10005,'設定'!$C$4,'月1回_1ヶ月前の在庫'!$W$6:$W$10005,$C337)/COUNTIFS('月1回_1ヶ月前の在庫'!$V$6:$V$10005,'設定'!$C$4,'月1回_1ヶ月前の在庫'!$W$6:$W$10005,$C337),IF(COUNTIFS('月1回_2ヶ月前の在庫'!$V$6:$V$10005,'設定'!$C$4,'月1回_2ヶ月前の在庫'!$W$6:$W$10005,$C337)&gt;0,SUMIFS('月1回_2ヶ月前の在庫'!$O$6:$O$10005,'月1回_2ヶ月前の在庫'!$V$6:$V$10005,'設定'!$C$4,'月1回_2ヶ月前の在庫'!$W$6:$W$10005,$C337)/COUNTIFS('月1回_2ヶ月前の在庫'!$V$6:$V$10005,'設定'!$C$4,'月1回_2ヶ月前の在庫'!$W$6:$W$10005,$C337),0)))),"")))</f>
        <v/>
      </c>
      <c r="P337" s="90">
        <f>IF($C337="","",IF('②発注する'!$I341="","",'②発注する'!$I341))</f>
        <v/>
      </c>
      <c r="Q337">
        <f>IF($C337="","",IF('②発注する'!$J341="","",'②発注する'!$J341))</f>
        <v/>
      </c>
      <c r="R337">
        <f>IF($C337="",0,IF(AND(ISNUMBER($P337),ISNUMBER($Q337)),MAX(0,$Q337)*$G337,0))</f>
        <v/>
      </c>
      <c r="S337" s="90">
        <f>IF($C337="","",IF('②発注する'!$M341="","",'②発注する'!$M341))</f>
        <v/>
      </c>
      <c r="T337">
        <f>IF($C337="","",IF('②発注する'!$N341="","",'②発注する'!$N341))</f>
        <v/>
      </c>
      <c r="U337">
        <f>IF($C337="",0,IF(AND(ISNUMBER($S337),ISNUMBER($T337)),MAX(0,$T337)*$G337,0))</f>
        <v/>
      </c>
      <c r="V337">
        <f>IF($C337="",0,IF($M337="",0,MAX(0,$M337)*MAX(0,V$4)/100))</f>
        <v/>
      </c>
      <c r="W337">
        <f>IF($C337="",0,IF($M337="",0,MAX(0,$M337)*MAX(0,W$4)/100))</f>
        <v/>
      </c>
      <c r="X337">
        <f>IF($C337="",0,IF($M337="",0,MAX(0,$M337)*MAX(0,X$4)/100))</f>
        <v/>
      </c>
      <c r="Y337">
        <f>IF($C337="",0,IF($M337="",0,MAX(0,$M337)*MAX(0,Y$4)/100))</f>
        <v/>
      </c>
      <c r="Z337">
        <f>IF($C337="",0,IF($M337="",0,MAX(0,$M337)*MAX(0,Z$4)/100))</f>
        <v/>
      </c>
      <c r="AA337">
        <f>IF($C337="",0,IF($M337="",0,MAX(0,$M337)*MAX(0,AA$4)/100))</f>
        <v/>
      </c>
      <c r="AB337">
        <f>IF($C337="",0,IF($M337="",0,MAX(0,$M337)*MAX(0,AB$4)/100))</f>
        <v/>
      </c>
      <c r="AC337">
        <f>IF($C337="",0,IF($M337="",0,MAX(0,$M337)*MAX(0,AC$4)/100))</f>
        <v/>
      </c>
      <c r="AD337">
        <f>IF($C337="",0,IF($M337="",0,MAX(0,$M337)*MAX(0,AD$4)/100))</f>
        <v/>
      </c>
      <c r="AE337">
        <f>IF($C337="",0,IF($M337="",0,MAX(0,$M337)*MAX(0,AE$4)/100))</f>
        <v/>
      </c>
      <c r="AF337">
        <f>IF($C337="",0,IF($M337="",0,MAX(0,$M337)*MAX(0,AF$4)/100))</f>
        <v/>
      </c>
      <c r="AG337">
        <f>IF($C337="",0,IF($M337="",0,MAX(0,$M337)*MAX(0,AG$4)/100))</f>
        <v/>
      </c>
      <c r="AH337">
        <f>IF($C337="",0,IF($M337="",0,MAX(0,$M337)*MAX(0,AH$4)/100))</f>
        <v/>
      </c>
      <c r="AI337">
        <f>IF($C337="",0,IF($M337="",0,MAX(0,$M337)*MAX(0,AI$4)/100))</f>
        <v/>
      </c>
      <c r="AJ337">
        <f>IF($C337="",0,MAX(0,MAX(0,N($L337))-$V337))</f>
        <v/>
      </c>
      <c r="AK337">
        <f>IF($C337="",0,MAX(0,$AJ337-$W337))</f>
        <v/>
      </c>
      <c r="AL337">
        <f>IF($C337="",0,MAX(0,$AK337-$X337))</f>
        <v/>
      </c>
      <c r="AM337">
        <f>IF($C337="",0,MAX(0,$AL337-$Y337))</f>
        <v/>
      </c>
      <c r="AN337">
        <f>IF($C337="",0,MAX(0,$AM337-$Z337))</f>
        <v/>
      </c>
      <c r="AO337">
        <f>IF($C337="",0,MAX(0,$AN337-$AA337))</f>
        <v/>
      </c>
      <c r="AP337">
        <f>IF($C337="",0,MAX(0,$AO337-$AB337))</f>
        <v/>
      </c>
      <c r="AQ337">
        <f>IF($C337="",0,MAX(0,$AP337-$AC337))</f>
        <v/>
      </c>
      <c r="AR337">
        <f>IF($C337="",0,MAX(0,$AQ337-$AD337))</f>
        <v/>
      </c>
      <c r="AS337">
        <f>IF($C337="",0,MAX(0,$AR337-$AE337))</f>
        <v/>
      </c>
      <c r="AT337">
        <f>IF($C337="",0,MAX(0,$AS337-$AF337))</f>
        <v/>
      </c>
      <c r="AU337">
        <f>IF($C337="",0,MAX(0,$AT337-$AG337))</f>
        <v/>
      </c>
      <c r="AV337">
        <f>IF($C337="",0,MAX(0,$AU337-$AH337))</f>
        <v/>
      </c>
      <c r="AW337">
        <f>IF($C337="",0,MAX(0,$AV337-$AI337))</f>
        <v/>
      </c>
      <c r="AX337">
        <f>IF($C337="",0,MAX(0,MAX(0,N($L337))+IF($P337=V$3,$R337,0)+IF($S337=V$3,$U337,0)-$V337))</f>
        <v/>
      </c>
      <c r="AY337">
        <f>IF($C337="",0,MAX(0,$AX337+IF($P337=W$3,$R337,0)+IF($S337=W$3,$U337,0)-$W337))</f>
        <v/>
      </c>
      <c r="AZ337">
        <f>IF($C337="",0,MAX(0,$AY337+IF($P337=X$3,$R337,0)+IF($S337=X$3,$U337,0)-$X337))</f>
        <v/>
      </c>
      <c r="BA337">
        <f>IF($C337="",0,MAX(0,$AZ337+IF($P337=Y$3,$R337,0)+IF($S337=Y$3,$U337,0)-$Y337))</f>
        <v/>
      </c>
      <c r="BB337">
        <f>IF($C337="",0,MAX(0,$BA337+IF($P337=Z$3,$R337,0)+IF($S337=Z$3,$U337,0)-$Z337))</f>
        <v/>
      </c>
      <c r="BC337">
        <f>IF($C337="",0,MAX(0,$BB337+IF($P337=AA$3,$R337,0)+IF($S337=AA$3,$U337,0)-$AA337))</f>
        <v/>
      </c>
      <c r="BD337">
        <f>IF($C337="",0,MAX(0,$BC337+IF($P337=AB$3,$R337,0)+IF($S337=AB$3,$U337,0)-$AB337))</f>
        <v/>
      </c>
      <c r="BE337">
        <f>IF($C337="",0,MAX(0,$BD337+IF($P337=AC$3,$R337,0)+IF($S337=AC$3,$U337,0)-$AC337))</f>
        <v/>
      </c>
      <c r="BF337">
        <f>IF($C337="",0,MAX(0,$BE337+IF($P337=AD$3,$R337,0)+IF($S337=AD$3,$U337,0)-$AD337))</f>
        <v/>
      </c>
      <c r="BG337">
        <f>IF($C337="",0,MAX(0,$BF337+IF($P337=AE$3,$R337,0)+IF($S337=AE$3,$U337,0)-$AE337))</f>
        <v/>
      </c>
      <c r="BH337">
        <f>IF($C337="",0,MAX(0,$BG337+IF($P337=AF$3,$R337,0)+IF($S337=AF$3,$U337,0)-$AF337))</f>
        <v/>
      </c>
      <c r="BI337">
        <f>IF($C337="",0,MAX(0,$BH337+IF($P337=AG$3,$R337,0)+IF($S337=AG$3,$U337,0)-$AG337))</f>
        <v/>
      </c>
      <c r="BJ337">
        <f>IF($C337="",0,MAX(0,$BI337+IF($P337=AH$3,$R337,0)+IF($S337=AH$3,$U337,0)-$AH337))</f>
        <v/>
      </c>
      <c r="BK337">
        <f>IF($C337="",0,MAX(0,$BJ337+IF($P337=AI$3,$R337,0)+IF($S337=AI$3,$U337,0)-$AI337))</f>
        <v/>
      </c>
      <c r="BL337">
        <f>IF($C337="",99,IF(AND($AX337&lt;1,V$3&gt;=MAX(N($P337),N($S337))),0,99))</f>
        <v/>
      </c>
      <c r="BM337">
        <f>IF($C337="",99,IF(AND($AY337&lt;1,W$3&gt;=MAX(N($P337),N($S337))),1,99))</f>
        <v/>
      </c>
      <c r="BN337">
        <f>IF($C337="",99,IF(AND($AZ337&lt;1,X$3&gt;=MAX(N($P337),N($S337))),2,99))</f>
        <v/>
      </c>
      <c r="BO337">
        <f>IF($C337="",99,IF(AND($BA337&lt;1,Y$3&gt;=MAX(N($P337),N($S337))),3,99))</f>
        <v/>
      </c>
      <c r="BP337">
        <f>IF($C337="",99,IF(AND($BB337&lt;1,Z$3&gt;=MAX(N($P337),N($S337))),4,99))</f>
        <v/>
      </c>
      <c r="BQ337">
        <f>IF($C337="",99,IF(AND($BC337&lt;1,AA$3&gt;=MAX(N($P337),N($S337))),5,99))</f>
        <v/>
      </c>
      <c r="BR337">
        <f>IF($C337="",99,IF(AND($BD337&lt;1,AB$3&gt;=MAX(N($P337),N($S337))),6,99))</f>
        <v/>
      </c>
      <c r="BS337">
        <f>IF($C337="",99,IF(AND($BE337&lt;1,AC$3&gt;=MAX(N($P337),N($S337))),7,99))</f>
        <v/>
      </c>
      <c r="BT337">
        <f>IF($C337="",99,IF(AND($BF337&lt;1,AD$3&gt;=MAX(N($P337),N($S337))),8,99))</f>
        <v/>
      </c>
      <c r="BU337">
        <f>IF($C337="",99,IF(AND($BG337&lt;1,AE$3&gt;=MAX(N($P337),N($S337))),9,99))</f>
        <v/>
      </c>
      <c r="BV337">
        <f>IF($C337="",99,IF(AND($BH337&lt;1,AF$3&gt;=MAX(N($P337),N($S337))),10,99))</f>
        <v/>
      </c>
      <c r="BW337">
        <f>IF($C337="",99,IF(AND($BI337&lt;1,AG$3&gt;=MAX(N($P337),N($S337))),11,99))</f>
        <v/>
      </c>
      <c r="BX337">
        <f>IF($C337="",99,IF(AND($BJ337&lt;1,AH$3&gt;=MAX(N($P337),N($S337))),12,99))</f>
        <v/>
      </c>
      <c r="BY337">
        <f>IF($C337="",99,IF(AND($BK337&lt;1,AI$3&gt;=MAX(N($P337),N($S337))),13,99))</f>
        <v/>
      </c>
      <c r="BZ337">
        <f>IF(OR($C337="",$M337=""),"",COUNTIF($AJ337:$AW337,"&gt;=1"))</f>
        <v/>
      </c>
      <c r="CA337" s="90">
        <f>IF($BZ337="","",IF($BZ337&gt;=14,"",'設定'!$C$6+$BZ337))</f>
        <v/>
      </c>
      <c r="CB337">
        <f>IF(OR($C337="",$M337=""),"",MIN($BL337:$BY337))</f>
        <v/>
      </c>
      <c r="CC337" s="90">
        <f>IF($CB337="","",IF($CB337&gt;=99,"",'設定'!$C$6+$CB337))</f>
        <v/>
      </c>
      <c r="CD337">
        <f>IF(OR($C337="",$M337=""),"",AVERAGE($V337:$AI337))</f>
        <v/>
      </c>
      <c r="CE337">
        <f>IF($C337="","",IFERROR(IF(MATCH(IF(ISNUMBER($P337),$P337,'設定'!$C$6+N('設定'!$C$7)),$V$3:$AI$3,0)=1,MAX(0,N($L337)),INDEX($AJ337:$AW337,MATCH(IF(ISNUMBER($P337),$P337,'設定'!$C$6+N('設定'!$C$7)),$V$3:$AI$3,0)-1)),""))</f>
        <v/>
      </c>
      <c r="CF337">
        <f>IF(OR($C337="",$O337="",$CE337=""),"",IF($O337-$CE337&lt;=0,0,ROUNDUP(($O337-$CE337)/$G337,0)))</f>
        <v/>
      </c>
      <c r="CG337">
        <f>IF(OR($C337="",$CF337="",NOT(ISNUMBER($Q337))),0,MAX(0,$Q337-$CF337))</f>
        <v/>
      </c>
      <c r="CH337">
        <f>IF(OR($C337="",$O337="",$U337=0),0,IFERROR(ROUNDUP(MAX(0,IF(MATCH($S337,$V$3:$AI$3,0)=1,MAX(0,N($L337)),INDEX($AX337:$BK337,MATCH($S337,$V$3:$AI$3,0)-1))+$U337-$O337)/$G337,0),0))</f>
        <v/>
      </c>
      <c r="CI337">
        <f>IF($C337="","",IF(AND($P337="",$Q337=""),"",IF($P337="","⚠ 入庫日を ▼ から選んでください",IF(NOT(ISNUMBER($P337)),"⚠ 入庫日は ▼ から選んでください",IF($P337&lt;N('設定'!$C$6),"⚠ 入庫日が過去です（もう在庫に入っています）→ 消してください",IF($P337&gt;N('設定'!$C$6)+13,"⚠ 入庫日が14日より先です",IF(N($Q337)&lt;=0,"⚠ 入庫数を入れてください",IF($CG337&gt;0,"⚠ 目安より "&amp;$CG337&amp;" 多い（定数を超える）→ 減らす",""))))))))</f>
        <v/>
      </c>
      <c r="CJ337">
        <f>IF($C337="","",IF(AND($S337="",$T337=""),"",IF($S337="","⚠ 2便目：入庫日を ▼ から選んでください",IF(NOT(ISNUMBER($S337)),"⚠ 2便目：入庫日は ▼ から選んでください",IF($S337&lt;N('設定'!$C$6),"⚠ 2便目：入庫日が過去です（もう在庫に入っています）→ 消してください",IF($S337&gt;N('設定'!$C$6)+13,"⚠ 2便目：入庫日が14日より先です",IF(N($T337)&lt;=0,"⚠ 2便目：入庫数を入れてください",IF($CH337&gt;0,"⚠ 2便目：定数を "&amp;$CH337&amp;" ケース超える → 減らす",""))))))))</f>
        <v/>
      </c>
      <c r="CK337">
        <f>IF(AND($CI337="",N($Q337)&gt;0,ISNUMBER($P337)),1,0)</f>
        <v/>
      </c>
      <c r="CL337">
        <f>IF(AND($CJ337="",N($T337)&gt;0,ISNUMBER($S337)),1,0)</f>
        <v/>
      </c>
      <c r="CM337">
        <f>IF(OR($CK337=1,$CL337=1),1,0)</f>
        <v/>
      </c>
      <c r="CN337">
        <f>IF($C337="",0,($CK337*$R337+$CL337*$U337)*N($H337))</f>
        <v/>
      </c>
      <c r="CO337">
        <f>IF($C337="","",IF($CC337="","入庫後は 14日以上もつ",IF($CC337-N('設定'!$C$7)&lt;='設定'!$C$6,"入庫後も "&amp;TEXT($CC337,"m/d")&amp;"("&amp;CHOOSE(WEEKDAY($CC337),"日","月","火","水","木","金","土")&amp;")"&amp;" に切れる　もう1便を至急発注","入庫後も "&amp;TEXT($CC337,"m/d")&amp;"("&amp;CHOOSE(WEEKDAY($CC337),"日","月","火","水","木","金","土")&amp;")"&amp;" に切れる　"&amp;TEXT($CC337-N('設定'!$C$7),"m/d")&amp;"("&amp;CHOOSE(WEEKDAY($CC337-N('設定'!$C$7)),"日","月","火","水","木","金","土")&amp;")"&amp;" までに次を発注")))</f>
        <v/>
      </c>
      <c r="CP337">
        <f>IF($C337="","",IF('設定'!$C$6="","？ ①在庫を貼る に今日のCSVが貼られていない",IF($CS337=1,"－ 今日のCSVに無い（終売？）",IF($L337&lt;0,"● 在庫がマイナス　数えて「数えた在庫」に入れる",IF($L337=0,"● 在庫なし　至急発注",IF($M337="","？ 減り数が未設定（商品マスタ）",IF($B$3=0,"？ 動員が未入力（動員を入れる）",IF($CA337="","○ 14日以上もつ",IF($BZ337&lt;N('設定'!$C$7),"● "&amp;TEXT($CA337,"m/d")&amp;"("&amp;CHOOSE(WEEKDAY($CA337),"日","月","火","水","木","金","土")&amp;")"&amp;" に切れる　至急発注",IF($BZ337=N('設定'!$C$7),"● "&amp;TEXT($CA337,"m/d")&amp;"("&amp;CHOOSE(WEEKDAY($CA337),"日","月","火","水","木","金","土")&amp;")"&amp;" に切れる　今日発注","△ "&amp;TEXT($CA337,"m/d")&amp;"("&amp;CHOOSE(WEEKDAY($CA337),"日","月","火","水","木","金","土")&amp;")"&amp;" に切れる　"&amp;TEXT($CA337-N('設定'!$C$7),"m/d")&amp;"("&amp;CHOOSE(WEEKDAY($CA337-N('設定'!$C$7)),"日","月","火","水","木","金","土")&amp;")"&amp;" までに発注"))))))))))</f>
        <v/>
      </c>
      <c r="CQ337">
        <f>IF($C337="","",IF(AND($P337="",$Q337="",$S337="",$T337=""),"",IF(AND($P337="",$Q337=""),"⚠ 先に1便目（左の入庫日・入庫数）に入れてください",IF($CI337&lt;&gt;"",$CI337,IF($CJ337&lt;&gt;"",$CJ337,IF($M337="","？ 減り数が未設定（発注書には載ります）",IF($B$3=0,"？ 動員が未入力（発注書には載ります）",IF(AND($CA337&lt;&gt;"",$P337&gt;$CA337),IF($P337&gt;'設定'!$C$6+N('設定'!$C$7),"● "&amp;TEXT($P337,"m/d")&amp;"("&amp;CHOOSE(WEEKDAY($P337),"日","月","火","水","木","金","土")&amp;")"&amp;" の入庫では間に合わない（"&amp;TEXT($CA337,"m/d")&amp;"("&amp;CHOOSE(WEEKDAY($CA337),"日","月","火","水","木","金","土")&amp;")"&amp;" に切れる）　入庫日を早める","△ 欠品 "&amp;TEXT($CA337,"m/d")&amp;"("&amp;CHOOSE(WEEKDAY($CA337),"日","月","火","水","木","金","土")&amp;")"&amp;"〜"&amp;TEXT($P337-1,"m/d")&amp;"("&amp;CHOOSE(WEEKDAY($P337-1),"日","月","火","水","木","金","土")&amp;")"&amp;"　"&amp;$CO337),IF($CC337="","○ "&amp;TEXT($P337,"m/d")&amp;"("&amp;CHOOSE(WEEKDAY($P337),"日","月","火","水","木","金","土")&amp;")"&amp;" 入庫で 14日以上もつ",IF($CC337-N('設定'!$C$7)&lt;='設定'!$C$6,"● 入庫しても "&amp;TEXT($CC337,"m/d")&amp;"("&amp;CHOOSE(WEEKDAY($CC337),"日","月","火","水","木","金","土")&amp;")"&amp;" に切れる　もう1便を至急発注（2便目に入れる）","△ 入庫しても "&amp;TEXT($CC337,"m/d")&amp;"("&amp;CHOOSE(WEEKDAY($CC337),"日","月","火","水","木","金","土")&amp;")"&amp;" に切れる　"&amp;TEXT($CC337-N('設定'!$C$7),"m/d")&amp;"("&amp;CHOOSE(WEEKDAY($CC337-N('設定'!$C$7)),"日","月","火","水","木","金","土")&amp;")"&amp;" までに次を発注（2便目に入れる）"))))))))))</f>
        <v/>
      </c>
      <c r="CR337">
        <f>IF($C337="","",IF($G337&gt;1,"ｹｰｽ("&amp;$G337&amp;"入)","個"))</f>
        <v/>
      </c>
      <c r="CS337">
        <f>IF($C337="",0,IF(COUNTIFS('①在庫を貼る'!$V$6:$V$10005,'設定'!$C$4,'①在庫を貼る'!$W$6:$W$10005,$C337)=0,1,0))</f>
        <v/>
      </c>
      <c r="CT337">
        <f>IF(AND($CK337=1,OR('③発注書'!$C$4="すべて",'③発注書'!$C$4="",$F337='③発注書'!$C$4)),N($CT336)+1,N($CT336))</f>
        <v/>
      </c>
      <c r="CU337">
        <f>IF(AND($CL337=1,OR('③発注書'!$C$4="すべて",'③発注書'!$C$4="",$F337='③発注書'!$C$4)),N($CU336)+1,N($CU336))</f>
        <v/>
      </c>
      <c r="CV337">
        <f>IF($C337="",0,IF(COUNTIFS('①在庫を貼る'!$V$6:$V$10005,'設定'!$C$4,'①在庫を貼る'!$W$6:$W$10005,$C337)&gt;0,1,0))</f>
        <v/>
      </c>
      <c r="CW337">
        <f>IF($C337="",0,IF(COUNTIFS('月1回_1ヶ月前の在庫'!$V$6:$V$10005,'設定'!$C$4,'月1回_1ヶ月前の在庫'!$W$6:$W$10005,$C337)&gt;0,1,0))</f>
        <v/>
      </c>
      <c r="CX337">
        <f>IF($C337="",0,IF(COUNTIFS('月1回_2ヶ月前の在庫'!$V$6:$V$10005,'設定'!$C$4,'月1回_2ヶ月前の在庫'!$W$6:$W$10005,$C337)&gt;0,1,0))</f>
        <v/>
      </c>
      <c r="CY337">
        <f>IF(OR($C337="",'設定'!$C$12=""),"",IF('設定'!$C$13="",IF(AND($CV337=1,$CW337=0),"新商品（今月から）",IF(AND($CV337=0,$CW337=1),"終売（今月から）","")),IF(AND($CV337=1,$CW337=0,$CX337=0),"新商品（今月から）",IF(AND($CV337=1,$CW337=1,$CX337=0),"新商品（先月から）",IF(AND($CV337=0,$CW337=1,$CX337=1),"終売（今月から）",IF(AND($CV337=0,$CW337=0,$CX337=1),"終売（先月から）",IF(AND($CV337=1,$CW337=0,$CX337=1),"復活（先月は無し）","")))))))</f>
        <v/>
      </c>
    </row>
    <row r="338">
      <c r="B338">
        <f>IF(333&lt;='設定'!$C$11,333,"")</f>
        <v/>
      </c>
      <c r="C338">
        <f>IF($B338="","",IF($B338&lt;='設定'!$C$20,INDEX('商品マスタ'!$B$6:$B$1005,MATCH($B338,'商品マスタ'!$M$6:$M$1005,0)),IF($B338&lt;='設定'!$C$20+'設定'!$C$17,INDEX('①在庫を貼る'!$W$6:$W$10005,MATCH($B338-'設定'!$C$20,'①在庫を貼る'!$U$6:$U$10005,0)),IF($B338&lt;='設定'!$C$20+'設定'!$C$17+'設定'!$C$18,INDEX('月1回_1ヶ月前の在庫'!$W$6:$W$10005,MATCH($B338-'設定'!$C$20-'設定'!$C$17,'月1回_1ヶ月前の在庫'!$U$6:$U$10005,0)),INDEX('月1回_2ヶ月前の在庫'!$W$6:$W$10005,MATCH($B338-'設定'!$C$20-'設定'!$C$17-'設定'!$C$18,'月1回_2ヶ月前の在庫'!$U$6:$U$10005,0))))))</f>
        <v/>
      </c>
      <c r="D338">
        <f>IF($C338="","",IFERROR(IF(INDEX('商品マスタ'!$C$6:$C$1005,MATCH($C338,'商品マスタ'!$B$6:$B$1005,0))="",IFERROR(INDEX('①在庫を貼る'!$J$6:$J$10005,MATCH($C338,'①在庫を貼る'!$W$6:$W$10005,0)),IFERROR(INDEX('月1回_1ヶ月前の在庫'!$J$6:$J$10005,MATCH($C338,'月1回_1ヶ月前の在庫'!$W$6:$W$10005,0)),IFERROR(INDEX('月1回_2ヶ月前の在庫'!$J$6:$J$10005,MATCH($C338,'月1回_2ヶ月前の在庫'!$W$6:$W$10005,0)),""))),INDEX('商品マスタ'!$C$6:$C$1005,MATCH($C338,'商品マスタ'!$B$6:$B$1005,0))),IFERROR(INDEX('①在庫を貼る'!$J$6:$J$10005,MATCH($C338,'①在庫を貼る'!$W$6:$W$10005,0)),IFERROR(INDEX('月1回_1ヶ月前の在庫'!$J$6:$J$10005,MATCH($C338,'月1回_1ヶ月前の在庫'!$W$6:$W$10005,0)),IFERROR(INDEX('月1回_2ヶ月前の在庫'!$J$6:$J$10005,MATCH($C338,'月1回_2ヶ月前の在庫'!$W$6:$W$10005,0)),"")))))</f>
        <v/>
      </c>
      <c r="E338">
        <f>IF($C338="","",IFERROR(IF(INDEX('商品マスタ'!$D$6:$D$1005,MATCH($C338,'商品マスタ'!$B$6:$B$1005,0))="",IFERROR(INDEX('①在庫を貼る'!$H$6:$H$10005,MATCH($C338,'①在庫を貼る'!$W$6:$W$10005,0)),IFERROR(INDEX('月1回_1ヶ月前の在庫'!$H$6:$H$10005,MATCH($C338,'月1回_1ヶ月前の在庫'!$W$6:$W$10005,0)),IFERROR(INDEX('月1回_2ヶ月前の在庫'!$H$6:$H$10005,MATCH($C338,'月1回_2ヶ月前の在庫'!$W$6:$W$10005,0)),""))),INDEX('商品マスタ'!$D$6:$D$1005,MATCH($C338,'商品マスタ'!$B$6:$B$1005,0))),IFERROR(INDEX('①在庫を貼る'!$H$6:$H$10005,MATCH($C338,'①在庫を貼る'!$W$6:$W$10005,0)),IFERROR(INDEX('月1回_1ヶ月前の在庫'!$H$6:$H$10005,MATCH($C338,'月1回_1ヶ月前の在庫'!$W$6:$W$10005,0)),IFERROR(INDEX('月1回_2ヶ月前の在庫'!$H$6:$H$10005,MATCH($C338,'月1回_2ヶ月前の在庫'!$W$6:$W$10005,0)),"")))))</f>
        <v/>
      </c>
      <c r="F338">
        <f>IF($C338="","",IFERROR(IF(INDEX('商品マスタ'!$E$6:$E$1005,MATCH($C338,'商品マスタ'!$B$6:$B$1005,0))="",IFERROR(INDEX('①在庫を貼る'!$E$6:$E$10005,MATCH($C338,'①在庫を貼る'!$W$6:$W$10005,0)),IFERROR(INDEX('月1回_1ヶ月前の在庫'!$E$6:$E$10005,MATCH($C338,'月1回_1ヶ月前の在庫'!$W$6:$W$10005,0)),IFERROR(INDEX('月1回_2ヶ月前の在庫'!$E$6:$E$10005,MATCH($C338,'月1回_2ヶ月前の在庫'!$W$6:$W$10005,0)),""))),INDEX('商品マスタ'!$E$6:$E$1005,MATCH($C338,'商品マスタ'!$B$6:$B$1005,0))),IFERROR(INDEX('①在庫を貼る'!$E$6:$E$10005,MATCH($C338,'①在庫を貼る'!$W$6:$W$10005,0)),IFERROR(INDEX('月1回_1ヶ月前の在庫'!$E$6:$E$10005,MATCH($C338,'月1回_1ヶ月前の在庫'!$W$6:$W$10005,0)),IFERROR(INDEX('月1回_2ヶ月前の在庫'!$E$6:$E$10005,MATCH($C338,'月1回_2ヶ月前の在庫'!$W$6:$W$10005,0)),"")))))</f>
        <v/>
      </c>
      <c r="G338">
        <f>IF($C338="","",MAX(1,N(IFERROR(IF(INDEX('商品マスタ'!$F$6:$F$1005,MATCH($C338,'商品マスタ'!$B$6:$B$1005,0))="",IF(COUNTIFS('①在庫を貼る'!$V$6:$V$10005,'設定'!$C$4,'①在庫を貼る'!$W$6:$W$10005,$C338)&gt;0,SUMIFS('①在庫を貼る'!$K$6:$K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K$6:$K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K$6:$K$10005,'月1回_2ヶ月前の在庫'!$V$6:$V$10005,'設定'!$C$4,'月1回_2ヶ月前の在庫'!$W$6:$W$10005,$C338)/COUNTIFS('月1回_2ヶ月前の在庫'!$V$6:$V$10005,'設定'!$C$4,'月1回_2ヶ月前の在庫'!$W$6:$W$10005,$C338),0))),INDEX('商品マスタ'!$F$6:$F$1005,MATCH($C338,'商品マスタ'!$B$6:$B$1005,0))),IF(COUNTIFS('①在庫を貼る'!$V$6:$V$10005,'設定'!$C$4,'①在庫を貼る'!$W$6:$W$10005,$C338)&gt;0,SUMIFS('①在庫を貼る'!$K$6:$K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K$6:$K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K$6:$K$10005,'月1回_2ヶ月前の在庫'!$V$6:$V$10005,'設定'!$C$4,'月1回_2ヶ月前の在庫'!$W$6:$W$10005,$C338)/COUNTIFS('月1回_2ヶ月前の在庫'!$V$6:$V$10005,'設定'!$C$4,'月1回_2ヶ月前の在庫'!$W$6:$W$10005,$C338),0)))))))</f>
        <v/>
      </c>
      <c r="H338">
        <f>IF($C338="","",N(IFERROR(IF(INDEX('商品マスタ'!$G$6:$G$1005,MATCH($C338,'商品マスタ'!$B$6:$B$1005,0))="",IF(COUNTIFS('①在庫を貼る'!$V$6:$V$10005,'設定'!$C$4,'①在庫を貼る'!$W$6:$W$10005,$C338)&gt;0,SUMIFS('①在庫を貼る'!$Q$6:$Q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Q$6:$Q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Q$6:$Q$10005,'月1回_2ヶ月前の在庫'!$V$6:$V$10005,'設定'!$C$4,'月1回_2ヶ月前の在庫'!$W$6:$W$10005,$C338)/COUNTIFS('月1回_2ヶ月前の在庫'!$V$6:$V$10005,'設定'!$C$4,'月1回_2ヶ月前の在庫'!$W$6:$W$10005,$C338),0))),INDEX('商品マスタ'!$G$6:$G$1005,MATCH($C338,'商品マスタ'!$B$6:$B$1005,0))),IF(COUNTIFS('①在庫を貼る'!$V$6:$V$10005,'設定'!$C$4,'①在庫を貼る'!$W$6:$W$10005,$C338)&gt;0,SUMIFS('①在庫を貼る'!$Q$6:$Q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Q$6:$Q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Q$6:$Q$10005,'月1回_2ヶ月前の在庫'!$V$6:$V$10005,'設定'!$C$4,'月1回_2ヶ月前の在庫'!$W$6:$W$10005,$C338)/COUNTIFS('月1回_2ヶ月前の在庫'!$V$6:$V$10005,'設定'!$C$4,'月1回_2ヶ月前の在庫'!$W$6:$W$10005,$C338),0))))))</f>
        <v/>
      </c>
      <c r="I338">
        <f>IF($C338="","",IF(COUNTIFS('①在庫を貼る'!$V$6:$V$10005,'設定'!$C$4,'①在庫を貼る'!$W$6:$W$10005,$C338)=0,"",SUMIFS('①在庫を貼る'!$N$6:$N$10005,'①在庫を貼る'!$V$6:$V$10005,'設定'!$C$4,'①在庫を貼る'!$W$6:$W$10005,$C338)))</f>
        <v/>
      </c>
      <c r="J338">
        <f>IF($C338="","",IF('②発注する'!$AD342="","",'②発注する'!$AD342))</f>
        <v/>
      </c>
      <c r="K338" s="90">
        <f>IF($C338="","",IF('②発注する'!$AE342="","",'②発注する'!$AE342))</f>
        <v/>
      </c>
      <c r="L338">
        <f>IF($C338="","",IF(AND(ISNUMBER($J338),ISNUMBER($K338),$K338&gt;='設定'!$C$6),$J338,N($I338)))</f>
        <v/>
      </c>
      <c r="M338">
        <f>IF($C338="","",IFERROR(IF(N(INDEX('商品マスタ'!$J$6:$J$1005,MATCH($C338,'商品マスタ'!$B$6:$B$1005,0)))&gt;0,INDEX('商品マスタ'!$J$6:$J$1005,MATCH($C338,'商品マスタ'!$B$6:$B$1005,0)),""),""))</f>
        <v/>
      </c>
      <c r="N338">
        <f>IF($C338="","",IFERROR(IF(N(INDEX('商品マスタ'!$H$6:$H$1005,MATCH($C338,'商品マスタ'!$B$6:$B$1005,0)))&gt;0,INDEX('商品マスタ'!$H$6:$H$1005,MATCH($C338,'商品マスタ'!$B$6:$B$1005,0)),""),""))</f>
        <v/>
      </c>
      <c r="O338">
        <f>IF($C338="","",IF($N338&lt;&gt;"",$N338*$G338,IF(N(IF(COUNTIFS('①在庫を貼る'!$V$6:$V$10005,'設定'!$C$4,'①在庫を貼る'!$W$6:$W$10005,$C338)&gt;0,SUMIFS('①在庫を貼る'!$O$6:$O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O$6:$O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O$6:$O$10005,'月1回_2ヶ月前の在庫'!$V$6:$V$10005,'設定'!$C$4,'月1回_2ヶ月前の在庫'!$W$6:$W$10005,$C338)/COUNTIFS('月1回_2ヶ月前の在庫'!$V$6:$V$10005,'設定'!$C$4,'月1回_2ヶ月前の在庫'!$W$6:$W$10005,$C338),0))))&gt;0,N(IF(COUNTIFS('①在庫を貼る'!$V$6:$V$10005,'設定'!$C$4,'①在庫を貼る'!$W$6:$W$10005,$C338)&gt;0,SUMIFS('①在庫を貼る'!$O$6:$O$10005,'①在庫を貼る'!$V$6:$V$10005,'設定'!$C$4,'①在庫を貼る'!$W$6:$W$10005,$C338)/COUNTIFS('①在庫を貼る'!$V$6:$V$10005,'設定'!$C$4,'①在庫を貼る'!$W$6:$W$10005,$C338),IF(COUNTIFS('月1回_1ヶ月前の在庫'!$V$6:$V$10005,'設定'!$C$4,'月1回_1ヶ月前の在庫'!$W$6:$W$10005,$C338)&gt;0,SUMIFS('月1回_1ヶ月前の在庫'!$O$6:$O$10005,'月1回_1ヶ月前の在庫'!$V$6:$V$10005,'設定'!$C$4,'月1回_1ヶ月前の在庫'!$W$6:$W$10005,$C338)/COUNTIFS('月1回_1ヶ月前の在庫'!$V$6:$V$10005,'設定'!$C$4,'月1回_1ヶ月前の在庫'!$W$6:$W$10005,$C338),IF(COUNTIFS('月1回_2ヶ月前の在庫'!$V$6:$V$10005,'設定'!$C$4,'月1回_2ヶ月前の在庫'!$W$6:$W$10005,$C338)&gt;0,SUMIFS('月1回_2ヶ月前の在庫'!$O$6:$O$10005,'月1回_2ヶ月前の在庫'!$V$6:$V$10005,'設定'!$C$4,'月1回_2ヶ月前の在庫'!$W$6:$W$10005,$C338)/COUNTIFS('月1回_2ヶ月前の在庫'!$V$6:$V$10005,'設定'!$C$4,'月1回_2ヶ月前の在庫'!$W$6:$W$10005,$C338),0)))),"")))</f>
        <v/>
      </c>
      <c r="P338" s="90">
        <f>IF($C338="","",IF('②発注する'!$I342="","",'②発注する'!$I342))</f>
        <v/>
      </c>
      <c r="Q338">
        <f>IF($C338="","",IF('②発注する'!$J342="","",'②発注する'!$J342))</f>
        <v/>
      </c>
      <c r="R338">
        <f>IF($C338="",0,IF(AND(ISNUMBER($P338),ISNUMBER($Q338)),MAX(0,$Q338)*$G338,0))</f>
        <v/>
      </c>
      <c r="S338" s="90">
        <f>IF($C338="","",IF('②発注する'!$M342="","",'②発注する'!$M342))</f>
        <v/>
      </c>
      <c r="T338">
        <f>IF($C338="","",IF('②発注する'!$N342="","",'②発注する'!$N342))</f>
        <v/>
      </c>
      <c r="U338">
        <f>IF($C338="",0,IF(AND(ISNUMBER($S338),ISNUMBER($T338)),MAX(0,$T338)*$G338,0))</f>
        <v/>
      </c>
      <c r="V338">
        <f>IF($C338="",0,IF($M338="",0,MAX(0,$M338)*MAX(0,V$4)/100))</f>
        <v/>
      </c>
      <c r="W338">
        <f>IF($C338="",0,IF($M338="",0,MAX(0,$M338)*MAX(0,W$4)/100))</f>
        <v/>
      </c>
      <c r="X338">
        <f>IF($C338="",0,IF($M338="",0,MAX(0,$M338)*MAX(0,X$4)/100))</f>
        <v/>
      </c>
      <c r="Y338">
        <f>IF($C338="",0,IF($M338="",0,MAX(0,$M338)*MAX(0,Y$4)/100))</f>
        <v/>
      </c>
      <c r="Z338">
        <f>IF($C338="",0,IF($M338="",0,MAX(0,$M338)*MAX(0,Z$4)/100))</f>
        <v/>
      </c>
      <c r="AA338">
        <f>IF($C338="",0,IF($M338="",0,MAX(0,$M338)*MAX(0,AA$4)/100))</f>
        <v/>
      </c>
      <c r="AB338">
        <f>IF($C338="",0,IF($M338="",0,MAX(0,$M338)*MAX(0,AB$4)/100))</f>
        <v/>
      </c>
      <c r="AC338">
        <f>IF($C338="",0,IF($M338="",0,MAX(0,$M338)*MAX(0,AC$4)/100))</f>
        <v/>
      </c>
      <c r="AD338">
        <f>IF($C338="",0,IF($M338="",0,MAX(0,$M338)*MAX(0,AD$4)/100))</f>
        <v/>
      </c>
      <c r="AE338">
        <f>IF($C338="",0,IF($M338="",0,MAX(0,$M338)*MAX(0,AE$4)/100))</f>
        <v/>
      </c>
      <c r="AF338">
        <f>IF($C338="",0,IF($M338="",0,MAX(0,$M338)*MAX(0,AF$4)/100))</f>
        <v/>
      </c>
      <c r="AG338">
        <f>IF($C338="",0,IF($M338="",0,MAX(0,$M338)*MAX(0,AG$4)/100))</f>
        <v/>
      </c>
      <c r="AH338">
        <f>IF($C338="",0,IF($M338="",0,MAX(0,$M338)*MAX(0,AH$4)/100))</f>
        <v/>
      </c>
      <c r="AI338">
        <f>IF($C338="",0,IF($M338="",0,MAX(0,$M338)*MAX(0,AI$4)/100))</f>
        <v/>
      </c>
      <c r="AJ338">
        <f>IF($C338="",0,MAX(0,MAX(0,N($L338))-$V338))</f>
        <v/>
      </c>
      <c r="AK338">
        <f>IF($C338="",0,MAX(0,$AJ338-$W338))</f>
        <v/>
      </c>
      <c r="AL338">
        <f>IF($C338="",0,MAX(0,$AK338-$X338))</f>
        <v/>
      </c>
      <c r="AM338">
        <f>IF($C338="",0,MAX(0,$AL338-$Y338))</f>
        <v/>
      </c>
      <c r="AN338">
        <f>IF($C338="",0,MAX(0,$AM338-$Z338))</f>
        <v/>
      </c>
      <c r="AO338">
        <f>IF($C338="",0,MAX(0,$AN338-$AA338))</f>
        <v/>
      </c>
      <c r="AP338">
        <f>IF($C338="",0,MAX(0,$AO338-$AB338))</f>
        <v/>
      </c>
      <c r="AQ338">
        <f>IF($C338="",0,MAX(0,$AP338-$AC338))</f>
        <v/>
      </c>
      <c r="AR338">
        <f>IF($C338="",0,MAX(0,$AQ338-$AD338))</f>
        <v/>
      </c>
      <c r="AS338">
        <f>IF($C338="",0,MAX(0,$AR338-$AE338))</f>
        <v/>
      </c>
      <c r="AT338">
        <f>IF($C338="",0,MAX(0,$AS338-$AF338))</f>
        <v/>
      </c>
      <c r="AU338">
        <f>IF($C338="",0,MAX(0,$AT338-$AG338))</f>
        <v/>
      </c>
      <c r="AV338">
        <f>IF($C338="",0,MAX(0,$AU338-$AH338))</f>
        <v/>
      </c>
      <c r="AW338">
        <f>IF($C338="",0,MAX(0,$AV338-$AI338))</f>
        <v/>
      </c>
      <c r="AX338">
        <f>IF($C338="",0,MAX(0,MAX(0,N($L338))+IF($P338=V$3,$R338,0)+IF($S338=V$3,$U338,0)-$V338))</f>
        <v/>
      </c>
      <c r="AY338">
        <f>IF($C338="",0,MAX(0,$AX338+IF($P338=W$3,$R338,0)+IF($S338=W$3,$U338,0)-$W338))</f>
        <v/>
      </c>
      <c r="AZ338">
        <f>IF($C338="",0,MAX(0,$AY338+IF($P338=X$3,$R338,0)+IF($S338=X$3,$U338,0)-$X338))</f>
        <v/>
      </c>
      <c r="BA338">
        <f>IF($C338="",0,MAX(0,$AZ338+IF($P338=Y$3,$R338,0)+IF($S338=Y$3,$U338,0)-$Y338))</f>
        <v/>
      </c>
      <c r="BB338">
        <f>IF($C338="",0,MAX(0,$BA338+IF($P338=Z$3,$R338,0)+IF($S338=Z$3,$U338,0)-$Z338))</f>
        <v/>
      </c>
      <c r="BC338">
        <f>IF($C338="",0,MAX(0,$BB338+IF($P338=AA$3,$R338,0)+IF($S338=AA$3,$U338,0)-$AA338))</f>
        <v/>
      </c>
      <c r="BD338">
        <f>IF($C338="",0,MAX(0,$BC338+IF($P338=AB$3,$R338,0)+IF($S338=AB$3,$U338,0)-$AB338))</f>
        <v/>
      </c>
      <c r="BE338">
        <f>IF($C338="",0,MAX(0,$BD338+IF($P338=AC$3,$R338,0)+IF($S338=AC$3,$U338,0)-$AC338))</f>
        <v/>
      </c>
      <c r="BF338">
        <f>IF($C338="",0,MAX(0,$BE338+IF($P338=AD$3,$R338,0)+IF($S338=AD$3,$U338,0)-$AD338))</f>
        <v/>
      </c>
      <c r="BG338">
        <f>IF($C338="",0,MAX(0,$BF338+IF($P338=AE$3,$R338,0)+IF($S338=AE$3,$U338,0)-$AE338))</f>
        <v/>
      </c>
      <c r="BH338">
        <f>IF($C338="",0,MAX(0,$BG338+IF($P338=AF$3,$R338,0)+IF($S338=AF$3,$U338,0)-$AF338))</f>
        <v/>
      </c>
      <c r="BI338">
        <f>IF($C338="",0,MAX(0,$BH338+IF($P338=AG$3,$R338,0)+IF($S338=AG$3,$U338,0)-$AG338))</f>
        <v/>
      </c>
      <c r="BJ338">
        <f>IF($C338="",0,MAX(0,$BI338+IF($P338=AH$3,$R338,0)+IF($S338=AH$3,$U338,0)-$AH338))</f>
        <v/>
      </c>
      <c r="BK338">
        <f>IF($C338="",0,MAX(0,$BJ338+IF($P338=AI$3,$R338,0)+IF($S338=AI$3,$U338,0)-$AI338))</f>
        <v/>
      </c>
      <c r="BL338">
        <f>IF($C338="",99,IF(AND($AX338&lt;1,V$3&gt;=MAX(N($P338),N($S338))),0,99))</f>
        <v/>
      </c>
      <c r="BM338">
        <f>IF($C338="",99,IF(AND($AY338&lt;1,W$3&gt;=MAX(N($P338),N($S338))),1,99))</f>
        <v/>
      </c>
      <c r="BN338">
        <f>IF($C338="",99,IF(AND($AZ338&lt;1,X$3&gt;=MAX(N($P338),N($S338))),2,99))</f>
        <v/>
      </c>
      <c r="BO338">
        <f>IF($C338="",99,IF(AND($BA338&lt;1,Y$3&gt;=MAX(N($P338),N($S338))),3,99))</f>
        <v/>
      </c>
      <c r="BP338">
        <f>IF($C338="",99,IF(AND($BB338&lt;1,Z$3&gt;=MAX(N($P338),N($S338))),4,99))</f>
        <v/>
      </c>
      <c r="BQ338">
        <f>IF($C338="",99,IF(AND($BC338&lt;1,AA$3&gt;=MAX(N($P338),N($S338))),5,99))</f>
        <v/>
      </c>
      <c r="BR338">
        <f>IF($C338="",99,IF(AND($BD338&lt;1,AB$3&gt;=MAX(N($P338),N($S338))),6,99))</f>
        <v/>
      </c>
      <c r="BS338">
        <f>IF($C338="",99,IF(AND($BE338&lt;1,AC$3&gt;=MAX(N($P338),N($S338))),7,99))</f>
        <v/>
      </c>
      <c r="BT338">
        <f>IF($C338="",99,IF(AND($BF338&lt;1,AD$3&gt;=MAX(N($P338),N($S338))),8,99))</f>
        <v/>
      </c>
      <c r="BU338">
        <f>IF($C338="",99,IF(AND($BG338&lt;1,AE$3&gt;=MAX(N($P338),N($S338))),9,99))</f>
        <v/>
      </c>
      <c r="BV338">
        <f>IF($C338="",99,IF(AND($BH338&lt;1,AF$3&gt;=MAX(N($P338),N($S338))),10,99))</f>
        <v/>
      </c>
      <c r="BW338">
        <f>IF($C338="",99,IF(AND($BI338&lt;1,AG$3&gt;=MAX(N($P338),N($S338))),11,99))</f>
        <v/>
      </c>
      <c r="BX338">
        <f>IF($C338="",99,IF(AND($BJ338&lt;1,AH$3&gt;=MAX(N($P338),N($S338))),12,99))</f>
        <v/>
      </c>
      <c r="BY338">
        <f>IF($C338="",99,IF(AND($BK338&lt;1,AI$3&gt;=MAX(N($P338),N($S338))),13,99))</f>
        <v/>
      </c>
      <c r="BZ338">
        <f>IF(OR($C338="",$M338=""),"",COUNTIF($AJ338:$AW338,"&gt;=1"))</f>
        <v/>
      </c>
      <c r="CA338" s="90">
        <f>IF($BZ338="","",IF($BZ338&gt;=14,"",'設定'!$C$6+$BZ338))</f>
        <v/>
      </c>
      <c r="CB338">
        <f>IF(OR($C338="",$M338=""),"",MIN($BL338:$BY338))</f>
        <v/>
      </c>
      <c r="CC338" s="90">
        <f>IF($CB338="","",IF($CB338&gt;=99,"",'設定'!$C$6+$CB338))</f>
        <v/>
      </c>
      <c r="CD338">
        <f>IF(OR($C338="",$M338=""),"",AVERAGE($V338:$AI338))</f>
        <v/>
      </c>
      <c r="CE338">
        <f>IF($C338="","",IFERROR(IF(MATCH(IF(ISNUMBER($P338),$P338,'設定'!$C$6+N('設定'!$C$7)),$V$3:$AI$3,0)=1,MAX(0,N($L338)),INDEX($AJ338:$AW338,MATCH(IF(ISNUMBER($P338),$P338,'設定'!$C$6+N('設定'!$C$7)),$V$3:$AI$3,0)-1)),""))</f>
        <v/>
      </c>
      <c r="CF338">
        <f>IF(OR($C338="",$O338="",$CE338=""),"",IF($O338-$CE338&lt;=0,0,ROUNDUP(($O338-$CE338)/$G338,0)))</f>
        <v/>
      </c>
      <c r="CG338">
        <f>IF(OR($C338="",$CF338="",NOT(ISNUMBER($Q338))),0,MAX(0,$Q338-$CF338))</f>
        <v/>
      </c>
      <c r="CH338">
        <f>IF(OR($C338="",$O338="",$U338=0),0,IFERROR(ROUNDUP(MAX(0,IF(MATCH($S338,$V$3:$AI$3,0)=1,MAX(0,N($L338)),INDEX($AX338:$BK338,MATCH($S338,$V$3:$AI$3,0)-1))+$U338-$O338)/$G338,0),0))</f>
        <v/>
      </c>
      <c r="CI338">
        <f>IF($C338="","",IF(AND($P338="",$Q338=""),"",IF($P338="","⚠ 入庫日を ▼ から選んでください",IF(NOT(ISNUMBER($P338)),"⚠ 入庫日は ▼ から選んでください",IF($P338&lt;N('設定'!$C$6),"⚠ 入庫日が過去です（もう在庫に入っています）→ 消してください",IF($P338&gt;N('設定'!$C$6)+13,"⚠ 入庫日が14日より先です",IF(N($Q338)&lt;=0,"⚠ 入庫数を入れてください",IF($CG338&gt;0,"⚠ 目安より "&amp;$CG338&amp;" 多い（定数を超える）→ 減らす",""))))))))</f>
        <v/>
      </c>
      <c r="CJ338">
        <f>IF($C338="","",IF(AND($S338="",$T338=""),"",IF($S338="","⚠ 2便目：入庫日を ▼ から選んでください",IF(NOT(ISNUMBER($S338)),"⚠ 2便目：入庫日は ▼ から選んでください",IF($S338&lt;N('設定'!$C$6),"⚠ 2便目：入庫日が過去です（もう在庫に入っています）→ 消してください",IF($S338&gt;N('設定'!$C$6)+13,"⚠ 2便目：入庫日が14日より先です",IF(N($T338)&lt;=0,"⚠ 2便目：入庫数を入れてください",IF($CH338&gt;0,"⚠ 2便目：定数を "&amp;$CH338&amp;" ケース超える → 減らす",""))))))))</f>
        <v/>
      </c>
      <c r="CK338">
        <f>IF(AND($CI338="",N($Q338)&gt;0,ISNUMBER($P338)),1,0)</f>
        <v/>
      </c>
      <c r="CL338">
        <f>IF(AND($CJ338="",N($T338)&gt;0,ISNUMBER($S338)),1,0)</f>
        <v/>
      </c>
      <c r="CM338">
        <f>IF(OR($CK338=1,$CL338=1),1,0)</f>
        <v/>
      </c>
      <c r="CN338">
        <f>IF($C338="",0,($CK338*$R338+$CL338*$U338)*N($H338))</f>
        <v/>
      </c>
      <c r="CO338">
        <f>IF($C338="","",IF($CC338="","入庫後は 14日以上もつ",IF($CC338-N('設定'!$C$7)&lt;='設定'!$C$6,"入庫後も "&amp;TEXT($CC338,"m/d")&amp;"("&amp;CHOOSE(WEEKDAY($CC338),"日","月","火","水","木","金","土")&amp;")"&amp;" に切れる　もう1便を至急発注","入庫後も "&amp;TEXT($CC338,"m/d")&amp;"("&amp;CHOOSE(WEEKDAY($CC338),"日","月","火","水","木","金","土")&amp;")"&amp;" に切れる　"&amp;TEXT($CC338-N('設定'!$C$7),"m/d")&amp;"("&amp;CHOOSE(WEEKDAY($CC338-N('設定'!$C$7)),"日","月","火","水","木","金","土")&amp;")"&amp;" までに次を発注")))</f>
        <v/>
      </c>
      <c r="CP338">
        <f>IF($C338="","",IF('設定'!$C$6="","？ ①在庫を貼る に今日のCSVが貼られていない",IF($CS338=1,"－ 今日のCSVに無い（終売？）",IF($L338&lt;0,"● 在庫がマイナス　数えて「数えた在庫」に入れる",IF($L338=0,"● 在庫なし　至急発注",IF($M338="","？ 減り数が未設定（商品マスタ）",IF($B$3=0,"？ 動員が未入力（動員を入れる）",IF($CA338="","○ 14日以上もつ",IF($BZ338&lt;N('設定'!$C$7),"● "&amp;TEXT($CA338,"m/d")&amp;"("&amp;CHOOSE(WEEKDAY($CA338),"日","月","火","水","木","金","土")&amp;")"&amp;" に切れる　至急発注",IF($BZ338=N('設定'!$C$7),"● "&amp;TEXT($CA338,"m/d")&amp;"("&amp;CHOOSE(WEEKDAY($CA338),"日","月","火","水","木","金","土")&amp;")"&amp;" に切れる　今日発注","△ "&amp;TEXT($CA338,"m/d")&amp;"("&amp;CHOOSE(WEEKDAY($CA338),"日","月","火","水","木","金","土")&amp;")"&amp;" に切れる　"&amp;TEXT($CA338-N('設定'!$C$7),"m/d")&amp;"("&amp;CHOOSE(WEEKDAY($CA338-N('設定'!$C$7)),"日","月","火","水","木","金","土")&amp;")"&amp;" までに発注"))))))))))</f>
        <v/>
      </c>
      <c r="CQ338">
        <f>IF($C338="","",IF(AND($P338="",$Q338="",$S338="",$T338=""),"",IF(AND($P338="",$Q338=""),"⚠ 先に1便目（左の入庫日・入庫数）に入れてください",IF($CI338&lt;&gt;"",$CI338,IF($CJ338&lt;&gt;"",$CJ338,IF($M338="","？ 減り数が未設定（発注書には載ります）",IF($B$3=0,"？ 動員が未入力（発注書には載ります）",IF(AND($CA338&lt;&gt;"",$P338&gt;$CA338),IF($P338&gt;'設定'!$C$6+N('設定'!$C$7),"● "&amp;TEXT($P338,"m/d")&amp;"("&amp;CHOOSE(WEEKDAY($P338),"日","月","火","水","木","金","土")&amp;")"&amp;" の入庫では間に合わない（"&amp;TEXT($CA338,"m/d")&amp;"("&amp;CHOOSE(WEEKDAY($CA338),"日","月","火","水","木","金","土")&amp;")"&amp;" に切れる）　入庫日を早める","△ 欠品 "&amp;TEXT($CA338,"m/d")&amp;"("&amp;CHOOSE(WEEKDAY($CA338),"日","月","火","水","木","金","土")&amp;")"&amp;"〜"&amp;TEXT($P338-1,"m/d")&amp;"("&amp;CHOOSE(WEEKDAY($P338-1),"日","月","火","水","木","金","土")&amp;")"&amp;"　"&amp;$CO338),IF($CC338="","○ "&amp;TEXT($P338,"m/d")&amp;"("&amp;CHOOSE(WEEKDAY($P338),"日","月","火","水","木","金","土")&amp;")"&amp;" 入庫で 14日以上もつ",IF($CC338-N('設定'!$C$7)&lt;='設定'!$C$6,"● 入庫しても "&amp;TEXT($CC338,"m/d")&amp;"("&amp;CHOOSE(WEEKDAY($CC338),"日","月","火","水","木","金","土")&amp;")"&amp;" に切れる　もう1便を至急発注（2便目に入れる）","△ 入庫しても "&amp;TEXT($CC338,"m/d")&amp;"("&amp;CHOOSE(WEEKDAY($CC338),"日","月","火","水","木","金","土")&amp;")"&amp;" に切れる　"&amp;TEXT($CC338-N('設定'!$C$7),"m/d")&amp;"("&amp;CHOOSE(WEEKDAY($CC338-N('設定'!$C$7)),"日","月","火","水","木","金","土")&amp;")"&amp;" までに次を発注（2便目に入れる）"))))))))))</f>
        <v/>
      </c>
      <c r="CR338">
        <f>IF($C338="","",IF($G338&gt;1,"ｹｰｽ("&amp;$G338&amp;"入)","個"))</f>
        <v/>
      </c>
      <c r="CS338">
        <f>IF($C338="",0,IF(COUNTIFS('①在庫を貼る'!$V$6:$V$10005,'設定'!$C$4,'①在庫を貼る'!$W$6:$W$10005,$C338)=0,1,0))</f>
        <v/>
      </c>
      <c r="CT338">
        <f>IF(AND($CK338=1,OR('③発注書'!$C$4="すべて",'③発注書'!$C$4="",$F338='③発注書'!$C$4)),N($CT337)+1,N($CT337))</f>
        <v/>
      </c>
      <c r="CU338">
        <f>IF(AND($CL338=1,OR('③発注書'!$C$4="すべて",'③発注書'!$C$4="",$F338='③発注書'!$C$4)),N($CU337)+1,N($CU337))</f>
        <v/>
      </c>
      <c r="CV338">
        <f>IF($C338="",0,IF(COUNTIFS('①在庫を貼る'!$V$6:$V$10005,'設定'!$C$4,'①在庫を貼る'!$W$6:$W$10005,$C338)&gt;0,1,0))</f>
        <v/>
      </c>
      <c r="CW338">
        <f>IF($C338="",0,IF(COUNTIFS('月1回_1ヶ月前の在庫'!$V$6:$V$10005,'設定'!$C$4,'月1回_1ヶ月前の在庫'!$W$6:$W$10005,$C338)&gt;0,1,0))</f>
        <v/>
      </c>
      <c r="CX338">
        <f>IF($C338="",0,IF(COUNTIFS('月1回_2ヶ月前の在庫'!$V$6:$V$10005,'設定'!$C$4,'月1回_2ヶ月前の在庫'!$W$6:$W$10005,$C338)&gt;0,1,0))</f>
        <v/>
      </c>
      <c r="CY338">
        <f>IF(OR($C338="",'設定'!$C$12=""),"",IF('設定'!$C$13="",IF(AND($CV338=1,$CW338=0),"新商品（今月から）",IF(AND($CV338=0,$CW338=1),"終売（今月から）","")),IF(AND($CV338=1,$CW338=0,$CX338=0),"新商品（今月から）",IF(AND($CV338=1,$CW338=1,$CX338=0),"新商品（先月から）",IF(AND($CV338=0,$CW338=1,$CX338=1),"終売（今月から）",IF(AND($CV338=0,$CW338=0,$CX338=1),"終売（先月から）",IF(AND($CV338=1,$CW338=0,$CX338=1),"復活（先月は無し）","")))))))</f>
        <v/>
      </c>
    </row>
    <row r="339">
      <c r="B339">
        <f>IF(334&lt;='設定'!$C$11,334,"")</f>
        <v/>
      </c>
      <c r="C339">
        <f>IF($B339="","",IF($B339&lt;='設定'!$C$20,INDEX('商品マスタ'!$B$6:$B$1005,MATCH($B339,'商品マスタ'!$M$6:$M$1005,0)),IF($B339&lt;='設定'!$C$20+'設定'!$C$17,INDEX('①在庫を貼る'!$W$6:$W$10005,MATCH($B339-'設定'!$C$20,'①在庫を貼る'!$U$6:$U$10005,0)),IF($B339&lt;='設定'!$C$20+'設定'!$C$17+'設定'!$C$18,INDEX('月1回_1ヶ月前の在庫'!$W$6:$W$10005,MATCH($B339-'設定'!$C$20-'設定'!$C$17,'月1回_1ヶ月前の在庫'!$U$6:$U$10005,0)),INDEX('月1回_2ヶ月前の在庫'!$W$6:$W$10005,MATCH($B339-'設定'!$C$20-'設定'!$C$17-'設定'!$C$18,'月1回_2ヶ月前の在庫'!$U$6:$U$10005,0))))))</f>
        <v/>
      </c>
      <c r="D339">
        <f>IF($C339="","",IFERROR(IF(INDEX('商品マスタ'!$C$6:$C$1005,MATCH($C339,'商品マスタ'!$B$6:$B$1005,0))="",IFERROR(INDEX('①在庫を貼る'!$J$6:$J$10005,MATCH($C339,'①在庫を貼る'!$W$6:$W$10005,0)),IFERROR(INDEX('月1回_1ヶ月前の在庫'!$J$6:$J$10005,MATCH($C339,'月1回_1ヶ月前の在庫'!$W$6:$W$10005,0)),IFERROR(INDEX('月1回_2ヶ月前の在庫'!$J$6:$J$10005,MATCH($C339,'月1回_2ヶ月前の在庫'!$W$6:$W$10005,0)),""))),INDEX('商品マスタ'!$C$6:$C$1005,MATCH($C339,'商品マスタ'!$B$6:$B$1005,0))),IFERROR(INDEX('①在庫を貼る'!$J$6:$J$10005,MATCH($C339,'①在庫を貼る'!$W$6:$W$10005,0)),IFERROR(INDEX('月1回_1ヶ月前の在庫'!$J$6:$J$10005,MATCH($C339,'月1回_1ヶ月前の在庫'!$W$6:$W$10005,0)),IFERROR(INDEX('月1回_2ヶ月前の在庫'!$J$6:$J$10005,MATCH($C339,'月1回_2ヶ月前の在庫'!$W$6:$W$10005,0)),"")))))</f>
        <v/>
      </c>
      <c r="E339">
        <f>IF($C339="","",IFERROR(IF(INDEX('商品マスタ'!$D$6:$D$1005,MATCH($C339,'商品マスタ'!$B$6:$B$1005,0))="",IFERROR(INDEX('①在庫を貼る'!$H$6:$H$10005,MATCH($C339,'①在庫を貼る'!$W$6:$W$10005,0)),IFERROR(INDEX('月1回_1ヶ月前の在庫'!$H$6:$H$10005,MATCH($C339,'月1回_1ヶ月前の在庫'!$W$6:$W$10005,0)),IFERROR(INDEX('月1回_2ヶ月前の在庫'!$H$6:$H$10005,MATCH($C339,'月1回_2ヶ月前の在庫'!$W$6:$W$10005,0)),""))),INDEX('商品マスタ'!$D$6:$D$1005,MATCH($C339,'商品マスタ'!$B$6:$B$1005,0))),IFERROR(INDEX('①在庫を貼る'!$H$6:$H$10005,MATCH($C339,'①在庫を貼る'!$W$6:$W$10005,0)),IFERROR(INDEX('月1回_1ヶ月前の在庫'!$H$6:$H$10005,MATCH($C339,'月1回_1ヶ月前の在庫'!$W$6:$W$10005,0)),IFERROR(INDEX('月1回_2ヶ月前の在庫'!$H$6:$H$10005,MATCH($C339,'月1回_2ヶ月前の在庫'!$W$6:$W$10005,0)),"")))))</f>
        <v/>
      </c>
      <c r="F339">
        <f>IF($C339="","",IFERROR(IF(INDEX('商品マスタ'!$E$6:$E$1005,MATCH($C339,'商品マスタ'!$B$6:$B$1005,0))="",IFERROR(INDEX('①在庫を貼る'!$E$6:$E$10005,MATCH($C339,'①在庫を貼る'!$W$6:$W$10005,0)),IFERROR(INDEX('月1回_1ヶ月前の在庫'!$E$6:$E$10005,MATCH($C339,'月1回_1ヶ月前の在庫'!$W$6:$W$10005,0)),IFERROR(INDEX('月1回_2ヶ月前の在庫'!$E$6:$E$10005,MATCH($C339,'月1回_2ヶ月前の在庫'!$W$6:$W$10005,0)),""))),INDEX('商品マスタ'!$E$6:$E$1005,MATCH($C339,'商品マスタ'!$B$6:$B$1005,0))),IFERROR(INDEX('①在庫を貼る'!$E$6:$E$10005,MATCH($C339,'①在庫を貼る'!$W$6:$W$10005,0)),IFERROR(INDEX('月1回_1ヶ月前の在庫'!$E$6:$E$10005,MATCH($C339,'月1回_1ヶ月前の在庫'!$W$6:$W$10005,0)),IFERROR(INDEX('月1回_2ヶ月前の在庫'!$E$6:$E$10005,MATCH($C339,'月1回_2ヶ月前の在庫'!$W$6:$W$10005,0)),"")))))</f>
        <v/>
      </c>
      <c r="G339">
        <f>IF($C339="","",MAX(1,N(IFERROR(IF(INDEX('商品マスタ'!$F$6:$F$1005,MATCH($C339,'商品マスタ'!$B$6:$B$1005,0))="",IF(COUNTIFS('①在庫を貼る'!$V$6:$V$10005,'設定'!$C$4,'①在庫を貼る'!$W$6:$W$10005,$C339)&gt;0,SUMIFS('①在庫を貼る'!$K$6:$K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K$6:$K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K$6:$K$10005,'月1回_2ヶ月前の在庫'!$V$6:$V$10005,'設定'!$C$4,'月1回_2ヶ月前の在庫'!$W$6:$W$10005,$C339)/COUNTIFS('月1回_2ヶ月前の在庫'!$V$6:$V$10005,'設定'!$C$4,'月1回_2ヶ月前の在庫'!$W$6:$W$10005,$C339),0))),INDEX('商品マスタ'!$F$6:$F$1005,MATCH($C339,'商品マスタ'!$B$6:$B$1005,0))),IF(COUNTIFS('①在庫を貼る'!$V$6:$V$10005,'設定'!$C$4,'①在庫を貼る'!$W$6:$W$10005,$C339)&gt;0,SUMIFS('①在庫を貼る'!$K$6:$K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K$6:$K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K$6:$K$10005,'月1回_2ヶ月前の在庫'!$V$6:$V$10005,'設定'!$C$4,'月1回_2ヶ月前の在庫'!$W$6:$W$10005,$C339)/COUNTIFS('月1回_2ヶ月前の在庫'!$V$6:$V$10005,'設定'!$C$4,'月1回_2ヶ月前の在庫'!$W$6:$W$10005,$C339),0)))))))</f>
        <v/>
      </c>
      <c r="H339">
        <f>IF($C339="","",N(IFERROR(IF(INDEX('商品マスタ'!$G$6:$G$1005,MATCH($C339,'商品マスタ'!$B$6:$B$1005,0))="",IF(COUNTIFS('①在庫を貼る'!$V$6:$V$10005,'設定'!$C$4,'①在庫を貼る'!$W$6:$W$10005,$C339)&gt;0,SUMIFS('①在庫を貼る'!$Q$6:$Q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Q$6:$Q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Q$6:$Q$10005,'月1回_2ヶ月前の在庫'!$V$6:$V$10005,'設定'!$C$4,'月1回_2ヶ月前の在庫'!$W$6:$W$10005,$C339)/COUNTIFS('月1回_2ヶ月前の在庫'!$V$6:$V$10005,'設定'!$C$4,'月1回_2ヶ月前の在庫'!$W$6:$W$10005,$C339),0))),INDEX('商品マスタ'!$G$6:$G$1005,MATCH($C339,'商品マスタ'!$B$6:$B$1005,0))),IF(COUNTIFS('①在庫を貼る'!$V$6:$V$10005,'設定'!$C$4,'①在庫を貼る'!$W$6:$W$10005,$C339)&gt;0,SUMIFS('①在庫を貼る'!$Q$6:$Q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Q$6:$Q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Q$6:$Q$10005,'月1回_2ヶ月前の在庫'!$V$6:$V$10005,'設定'!$C$4,'月1回_2ヶ月前の在庫'!$W$6:$W$10005,$C339)/COUNTIFS('月1回_2ヶ月前の在庫'!$V$6:$V$10005,'設定'!$C$4,'月1回_2ヶ月前の在庫'!$W$6:$W$10005,$C339),0))))))</f>
        <v/>
      </c>
      <c r="I339">
        <f>IF($C339="","",IF(COUNTIFS('①在庫を貼る'!$V$6:$V$10005,'設定'!$C$4,'①在庫を貼る'!$W$6:$W$10005,$C339)=0,"",SUMIFS('①在庫を貼る'!$N$6:$N$10005,'①在庫を貼る'!$V$6:$V$10005,'設定'!$C$4,'①在庫を貼る'!$W$6:$W$10005,$C339)))</f>
        <v/>
      </c>
      <c r="J339">
        <f>IF($C339="","",IF('②発注する'!$AD343="","",'②発注する'!$AD343))</f>
        <v/>
      </c>
      <c r="K339" s="90">
        <f>IF($C339="","",IF('②発注する'!$AE343="","",'②発注する'!$AE343))</f>
        <v/>
      </c>
      <c r="L339">
        <f>IF($C339="","",IF(AND(ISNUMBER($J339),ISNUMBER($K339),$K339&gt;='設定'!$C$6),$J339,N($I339)))</f>
        <v/>
      </c>
      <c r="M339">
        <f>IF($C339="","",IFERROR(IF(N(INDEX('商品マスタ'!$J$6:$J$1005,MATCH($C339,'商品マスタ'!$B$6:$B$1005,0)))&gt;0,INDEX('商品マスタ'!$J$6:$J$1005,MATCH($C339,'商品マスタ'!$B$6:$B$1005,0)),""),""))</f>
        <v/>
      </c>
      <c r="N339">
        <f>IF($C339="","",IFERROR(IF(N(INDEX('商品マスタ'!$H$6:$H$1005,MATCH($C339,'商品マスタ'!$B$6:$B$1005,0)))&gt;0,INDEX('商品マスタ'!$H$6:$H$1005,MATCH($C339,'商品マスタ'!$B$6:$B$1005,0)),""),""))</f>
        <v/>
      </c>
      <c r="O339">
        <f>IF($C339="","",IF($N339&lt;&gt;"",$N339*$G339,IF(N(IF(COUNTIFS('①在庫を貼る'!$V$6:$V$10005,'設定'!$C$4,'①在庫を貼る'!$W$6:$W$10005,$C339)&gt;0,SUMIFS('①在庫を貼る'!$O$6:$O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O$6:$O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O$6:$O$10005,'月1回_2ヶ月前の在庫'!$V$6:$V$10005,'設定'!$C$4,'月1回_2ヶ月前の在庫'!$W$6:$W$10005,$C339)/COUNTIFS('月1回_2ヶ月前の在庫'!$V$6:$V$10005,'設定'!$C$4,'月1回_2ヶ月前の在庫'!$W$6:$W$10005,$C339),0))))&gt;0,N(IF(COUNTIFS('①在庫を貼る'!$V$6:$V$10005,'設定'!$C$4,'①在庫を貼る'!$W$6:$W$10005,$C339)&gt;0,SUMIFS('①在庫を貼る'!$O$6:$O$10005,'①在庫を貼る'!$V$6:$V$10005,'設定'!$C$4,'①在庫を貼る'!$W$6:$W$10005,$C339)/COUNTIFS('①在庫を貼る'!$V$6:$V$10005,'設定'!$C$4,'①在庫を貼る'!$W$6:$W$10005,$C339),IF(COUNTIFS('月1回_1ヶ月前の在庫'!$V$6:$V$10005,'設定'!$C$4,'月1回_1ヶ月前の在庫'!$W$6:$W$10005,$C339)&gt;0,SUMIFS('月1回_1ヶ月前の在庫'!$O$6:$O$10005,'月1回_1ヶ月前の在庫'!$V$6:$V$10005,'設定'!$C$4,'月1回_1ヶ月前の在庫'!$W$6:$W$10005,$C339)/COUNTIFS('月1回_1ヶ月前の在庫'!$V$6:$V$10005,'設定'!$C$4,'月1回_1ヶ月前の在庫'!$W$6:$W$10005,$C339),IF(COUNTIFS('月1回_2ヶ月前の在庫'!$V$6:$V$10005,'設定'!$C$4,'月1回_2ヶ月前の在庫'!$W$6:$W$10005,$C339)&gt;0,SUMIFS('月1回_2ヶ月前の在庫'!$O$6:$O$10005,'月1回_2ヶ月前の在庫'!$V$6:$V$10005,'設定'!$C$4,'月1回_2ヶ月前の在庫'!$W$6:$W$10005,$C339)/COUNTIFS('月1回_2ヶ月前の在庫'!$V$6:$V$10005,'設定'!$C$4,'月1回_2ヶ月前の在庫'!$W$6:$W$10005,$C339),0)))),"")))</f>
        <v/>
      </c>
      <c r="P339" s="90">
        <f>IF($C339="","",IF('②発注する'!$I343="","",'②発注する'!$I343))</f>
        <v/>
      </c>
      <c r="Q339">
        <f>IF($C339="","",IF('②発注する'!$J343="","",'②発注する'!$J343))</f>
        <v/>
      </c>
      <c r="R339">
        <f>IF($C339="",0,IF(AND(ISNUMBER($P339),ISNUMBER($Q339)),MAX(0,$Q339)*$G339,0))</f>
        <v/>
      </c>
      <c r="S339" s="90">
        <f>IF($C339="","",IF('②発注する'!$M343="","",'②発注する'!$M343))</f>
        <v/>
      </c>
      <c r="T339">
        <f>IF($C339="","",IF('②発注する'!$N343="","",'②発注する'!$N343))</f>
        <v/>
      </c>
      <c r="U339">
        <f>IF($C339="",0,IF(AND(ISNUMBER($S339),ISNUMBER($T339)),MAX(0,$T339)*$G339,0))</f>
        <v/>
      </c>
      <c r="V339">
        <f>IF($C339="",0,IF($M339="",0,MAX(0,$M339)*MAX(0,V$4)/100))</f>
        <v/>
      </c>
      <c r="W339">
        <f>IF($C339="",0,IF($M339="",0,MAX(0,$M339)*MAX(0,W$4)/100))</f>
        <v/>
      </c>
      <c r="X339">
        <f>IF($C339="",0,IF($M339="",0,MAX(0,$M339)*MAX(0,X$4)/100))</f>
        <v/>
      </c>
      <c r="Y339">
        <f>IF($C339="",0,IF($M339="",0,MAX(0,$M339)*MAX(0,Y$4)/100))</f>
        <v/>
      </c>
      <c r="Z339">
        <f>IF($C339="",0,IF($M339="",0,MAX(0,$M339)*MAX(0,Z$4)/100))</f>
        <v/>
      </c>
      <c r="AA339">
        <f>IF($C339="",0,IF($M339="",0,MAX(0,$M339)*MAX(0,AA$4)/100))</f>
        <v/>
      </c>
      <c r="AB339">
        <f>IF($C339="",0,IF($M339="",0,MAX(0,$M339)*MAX(0,AB$4)/100))</f>
        <v/>
      </c>
      <c r="AC339">
        <f>IF($C339="",0,IF($M339="",0,MAX(0,$M339)*MAX(0,AC$4)/100))</f>
        <v/>
      </c>
      <c r="AD339">
        <f>IF($C339="",0,IF($M339="",0,MAX(0,$M339)*MAX(0,AD$4)/100))</f>
        <v/>
      </c>
      <c r="AE339">
        <f>IF($C339="",0,IF($M339="",0,MAX(0,$M339)*MAX(0,AE$4)/100))</f>
        <v/>
      </c>
      <c r="AF339">
        <f>IF($C339="",0,IF($M339="",0,MAX(0,$M339)*MAX(0,AF$4)/100))</f>
        <v/>
      </c>
      <c r="AG339">
        <f>IF($C339="",0,IF($M339="",0,MAX(0,$M339)*MAX(0,AG$4)/100))</f>
        <v/>
      </c>
      <c r="AH339">
        <f>IF($C339="",0,IF($M339="",0,MAX(0,$M339)*MAX(0,AH$4)/100))</f>
        <v/>
      </c>
      <c r="AI339">
        <f>IF($C339="",0,IF($M339="",0,MAX(0,$M339)*MAX(0,AI$4)/100))</f>
        <v/>
      </c>
      <c r="AJ339">
        <f>IF($C339="",0,MAX(0,MAX(0,N($L339))-$V339))</f>
        <v/>
      </c>
      <c r="AK339">
        <f>IF($C339="",0,MAX(0,$AJ339-$W339))</f>
        <v/>
      </c>
      <c r="AL339">
        <f>IF($C339="",0,MAX(0,$AK339-$X339))</f>
        <v/>
      </c>
      <c r="AM339">
        <f>IF($C339="",0,MAX(0,$AL339-$Y339))</f>
        <v/>
      </c>
      <c r="AN339">
        <f>IF($C339="",0,MAX(0,$AM339-$Z339))</f>
        <v/>
      </c>
      <c r="AO339">
        <f>IF($C339="",0,MAX(0,$AN339-$AA339))</f>
        <v/>
      </c>
      <c r="AP339">
        <f>IF($C339="",0,MAX(0,$AO339-$AB339))</f>
        <v/>
      </c>
      <c r="AQ339">
        <f>IF($C339="",0,MAX(0,$AP339-$AC339))</f>
        <v/>
      </c>
      <c r="AR339">
        <f>IF($C339="",0,MAX(0,$AQ339-$AD339))</f>
        <v/>
      </c>
      <c r="AS339">
        <f>IF($C339="",0,MAX(0,$AR339-$AE339))</f>
        <v/>
      </c>
      <c r="AT339">
        <f>IF($C339="",0,MAX(0,$AS339-$AF339))</f>
        <v/>
      </c>
      <c r="AU339">
        <f>IF($C339="",0,MAX(0,$AT339-$AG339))</f>
        <v/>
      </c>
      <c r="AV339">
        <f>IF($C339="",0,MAX(0,$AU339-$AH339))</f>
        <v/>
      </c>
      <c r="AW339">
        <f>IF($C339="",0,MAX(0,$AV339-$AI339))</f>
        <v/>
      </c>
      <c r="AX339">
        <f>IF($C339="",0,MAX(0,MAX(0,N($L339))+IF($P339=V$3,$R339,0)+IF($S339=V$3,$U339,0)-$V339))</f>
        <v/>
      </c>
      <c r="AY339">
        <f>IF($C339="",0,MAX(0,$AX339+IF($P339=W$3,$R339,0)+IF($S339=W$3,$U339,0)-$W339))</f>
        <v/>
      </c>
      <c r="AZ339">
        <f>IF($C339="",0,MAX(0,$AY339+IF($P339=X$3,$R339,0)+IF($S339=X$3,$U339,0)-$X339))</f>
        <v/>
      </c>
      <c r="BA339">
        <f>IF($C339="",0,MAX(0,$AZ339+IF($P339=Y$3,$R339,0)+IF($S339=Y$3,$U339,0)-$Y339))</f>
        <v/>
      </c>
      <c r="BB339">
        <f>IF($C339="",0,MAX(0,$BA339+IF($P339=Z$3,$R339,0)+IF($S339=Z$3,$U339,0)-$Z339))</f>
        <v/>
      </c>
      <c r="BC339">
        <f>IF($C339="",0,MAX(0,$BB339+IF($P339=AA$3,$R339,0)+IF($S339=AA$3,$U339,0)-$AA339))</f>
        <v/>
      </c>
      <c r="BD339">
        <f>IF($C339="",0,MAX(0,$BC339+IF($P339=AB$3,$R339,0)+IF($S339=AB$3,$U339,0)-$AB339))</f>
        <v/>
      </c>
      <c r="BE339">
        <f>IF($C339="",0,MAX(0,$BD339+IF($P339=AC$3,$R339,0)+IF($S339=AC$3,$U339,0)-$AC339))</f>
        <v/>
      </c>
      <c r="BF339">
        <f>IF($C339="",0,MAX(0,$BE339+IF($P339=AD$3,$R339,0)+IF($S339=AD$3,$U339,0)-$AD339))</f>
        <v/>
      </c>
      <c r="BG339">
        <f>IF($C339="",0,MAX(0,$BF339+IF($P339=AE$3,$R339,0)+IF($S339=AE$3,$U339,0)-$AE339))</f>
        <v/>
      </c>
      <c r="BH339">
        <f>IF($C339="",0,MAX(0,$BG339+IF($P339=AF$3,$R339,0)+IF($S339=AF$3,$U339,0)-$AF339))</f>
        <v/>
      </c>
      <c r="BI339">
        <f>IF($C339="",0,MAX(0,$BH339+IF($P339=AG$3,$R339,0)+IF($S339=AG$3,$U339,0)-$AG339))</f>
        <v/>
      </c>
      <c r="BJ339">
        <f>IF($C339="",0,MAX(0,$BI339+IF($P339=AH$3,$R339,0)+IF($S339=AH$3,$U339,0)-$AH339))</f>
        <v/>
      </c>
      <c r="BK339">
        <f>IF($C339="",0,MAX(0,$BJ339+IF($P339=AI$3,$R339,0)+IF($S339=AI$3,$U339,0)-$AI339))</f>
        <v/>
      </c>
      <c r="BL339">
        <f>IF($C339="",99,IF(AND($AX339&lt;1,V$3&gt;=MAX(N($P339),N($S339))),0,99))</f>
        <v/>
      </c>
      <c r="BM339">
        <f>IF($C339="",99,IF(AND($AY339&lt;1,W$3&gt;=MAX(N($P339),N($S339))),1,99))</f>
        <v/>
      </c>
      <c r="BN339">
        <f>IF($C339="",99,IF(AND($AZ339&lt;1,X$3&gt;=MAX(N($P339),N($S339))),2,99))</f>
        <v/>
      </c>
      <c r="BO339">
        <f>IF($C339="",99,IF(AND($BA339&lt;1,Y$3&gt;=MAX(N($P339),N($S339))),3,99))</f>
        <v/>
      </c>
      <c r="BP339">
        <f>IF($C339="",99,IF(AND($BB339&lt;1,Z$3&gt;=MAX(N($P339),N($S339))),4,99))</f>
        <v/>
      </c>
      <c r="BQ339">
        <f>IF($C339="",99,IF(AND($BC339&lt;1,AA$3&gt;=MAX(N($P339),N($S339))),5,99))</f>
        <v/>
      </c>
      <c r="BR339">
        <f>IF($C339="",99,IF(AND($BD339&lt;1,AB$3&gt;=MAX(N($P339),N($S339))),6,99))</f>
        <v/>
      </c>
      <c r="BS339">
        <f>IF($C339="",99,IF(AND($BE339&lt;1,AC$3&gt;=MAX(N($P339),N($S339))),7,99))</f>
        <v/>
      </c>
      <c r="BT339">
        <f>IF($C339="",99,IF(AND($BF339&lt;1,AD$3&gt;=MAX(N($P339),N($S339))),8,99))</f>
        <v/>
      </c>
      <c r="BU339">
        <f>IF($C339="",99,IF(AND($BG339&lt;1,AE$3&gt;=MAX(N($P339),N($S339))),9,99))</f>
        <v/>
      </c>
      <c r="BV339">
        <f>IF($C339="",99,IF(AND($BH339&lt;1,AF$3&gt;=MAX(N($P339),N($S339))),10,99))</f>
        <v/>
      </c>
      <c r="BW339">
        <f>IF($C339="",99,IF(AND($BI339&lt;1,AG$3&gt;=MAX(N($P339),N($S339))),11,99))</f>
        <v/>
      </c>
      <c r="BX339">
        <f>IF($C339="",99,IF(AND($BJ339&lt;1,AH$3&gt;=MAX(N($P339),N($S339))),12,99))</f>
        <v/>
      </c>
      <c r="BY339">
        <f>IF($C339="",99,IF(AND($BK339&lt;1,AI$3&gt;=MAX(N($P339),N($S339))),13,99))</f>
        <v/>
      </c>
      <c r="BZ339">
        <f>IF(OR($C339="",$M339=""),"",COUNTIF($AJ339:$AW339,"&gt;=1"))</f>
        <v/>
      </c>
      <c r="CA339" s="90">
        <f>IF($BZ339="","",IF($BZ339&gt;=14,"",'設定'!$C$6+$BZ339))</f>
        <v/>
      </c>
      <c r="CB339">
        <f>IF(OR($C339="",$M339=""),"",MIN($BL339:$BY339))</f>
        <v/>
      </c>
      <c r="CC339" s="90">
        <f>IF($CB339="","",IF($CB339&gt;=99,"",'設定'!$C$6+$CB339))</f>
        <v/>
      </c>
      <c r="CD339">
        <f>IF(OR($C339="",$M339=""),"",AVERAGE($V339:$AI339))</f>
        <v/>
      </c>
      <c r="CE339">
        <f>IF($C339="","",IFERROR(IF(MATCH(IF(ISNUMBER($P339),$P339,'設定'!$C$6+N('設定'!$C$7)),$V$3:$AI$3,0)=1,MAX(0,N($L339)),INDEX($AJ339:$AW339,MATCH(IF(ISNUMBER($P339),$P339,'設定'!$C$6+N('設定'!$C$7)),$V$3:$AI$3,0)-1)),""))</f>
        <v/>
      </c>
      <c r="CF339">
        <f>IF(OR($C339="",$O339="",$CE339=""),"",IF($O339-$CE339&lt;=0,0,ROUNDUP(($O339-$CE339)/$G339,0)))</f>
        <v/>
      </c>
      <c r="CG339">
        <f>IF(OR($C339="",$CF339="",NOT(ISNUMBER($Q339))),0,MAX(0,$Q339-$CF339))</f>
        <v/>
      </c>
      <c r="CH339">
        <f>IF(OR($C339="",$O339="",$U339=0),0,IFERROR(ROUNDUP(MAX(0,IF(MATCH($S339,$V$3:$AI$3,0)=1,MAX(0,N($L339)),INDEX($AX339:$BK339,MATCH($S339,$V$3:$AI$3,0)-1))+$U339-$O339)/$G339,0),0))</f>
        <v/>
      </c>
      <c r="CI339">
        <f>IF($C339="","",IF(AND($P339="",$Q339=""),"",IF($P339="","⚠ 入庫日を ▼ から選んでください",IF(NOT(ISNUMBER($P339)),"⚠ 入庫日は ▼ から選んでください",IF($P339&lt;N('設定'!$C$6),"⚠ 入庫日が過去です（もう在庫に入っています）→ 消してください",IF($P339&gt;N('設定'!$C$6)+13,"⚠ 入庫日が14日より先です",IF(N($Q339)&lt;=0,"⚠ 入庫数を入れてください",IF($CG339&gt;0,"⚠ 目安より "&amp;$CG339&amp;" 多い（定数を超える）→ 減らす",""))))))))</f>
        <v/>
      </c>
      <c r="CJ339">
        <f>IF($C339="","",IF(AND($S339="",$T339=""),"",IF($S339="","⚠ 2便目：入庫日を ▼ から選んでください",IF(NOT(ISNUMBER($S339)),"⚠ 2便目：入庫日は ▼ から選んでください",IF($S339&lt;N('設定'!$C$6),"⚠ 2便目：入庫日が過去です（もう在庫に入っています）→ 消してください",IF($S339&gt;N('設定'!$C$6)+13,"⚠ 2便目：入庫日が14日より先です",IF(N($T339)&lt;=0,"⚠ 2便目：入庫数を入れてください",IF($CH339&gt;0,"⚠ 2便目：定数を "&amp;$CH339&amp;" ケース超える → 減らす",""))))))))</f>
        <v/>
      </c>
      <c r="CK339">
        <f>IF(AND($CI339="",N($Q339)&gt;0,ISNUMBER($P339)),1,0)</f>
        <v/>
      </c>
      <c r="CL339">
        <f>IF(AND($CJ339="",N($T339)&gt;0,ISNUMBER($S339)),1,0)</f>
        <v/>
      </c>
      <c r="CM339">
        <f>IF(OR($CK339=1,$CL339=1),1,0)</f>
        <v/>
      </c>
      <c r="CN339">
        <f>IF($C339="",0,($CK339*$R339+$CL339*$U339)*N($H339))</f>
        <v/>
      </c>
      <c r="CO339">
        <f>IF($C339="","",IF($CC339="","入庫後は 14日以上もつ",IF($CC339-N('設定'!$C$7)&lt;='設定'!$C$6,"入庫後も "&amp;TEXT($CC339,"m/d")&amp;"("&amp;CHOOSE(WEEKDAY($CC339),"日","月","火","水","木","金","土")&amp;")"&amp;" に切れる　もう1便を至急発注","入庫後も "&amp;TEXT($CC339,"m/d")&amp;"("&amp;CHOOSE(WEEKDAY($CC339),"日","月","火","水","木","金","土")&amp;")"&amp;" に切れる　"&amp;TEXT($CC339-N('設定'!$C$7),"m/d")&amp;"("&amp;CHOOSE(WEEKDAY($CC339-N('設定'!$C$7)),"日","月","火","水","木","金","土")&amp;")"&amp;" までに次を発注")))</f>
        <v/>
      </c>
      <c r="CP339">
        <f>IF($C339="","",IF('設定'!$C$6="","？ ①在庫を貼る に今日のCSVが貼られていない",IF($CS339=1,"－ 今日のCSVに無い（終売？）",IF($L339&lt;0,"● 在庫がマイナス　数えて「数えた在庫」に入れる",IF($L339=0,"● 在庫なし　至急発注",IF($M339="","？ 減り数が未設定（商品マスタ）",IF($B$3=0,"？ 動員が未入力（動員を入れる）",IF($CA339="","○ 14日以上もつ",IF($BZ339&lt;N('設定'!$C$7),"● "&amp;TEXT($CA339,"m/d")&amp;"("&amp;CHOOSE(WEEKDAY($CA339),"日","月","火","水","木","金","土")&amp;")"&amp;" に切れる　至急発注",IF($BZ339=N('設定'!$C$7),"● "&amp;TEXT($CA339,"m/d")&amp;"("&amp;CHOOSE(WEEKDAY($CA339),"日","月","火","水","木","金","土")&amp;")"&amp;" に切れる　今日発注","△ "&amp;TEXT($CA339,"m/d")&amp;"("&amp;CHOOSE(WEEKDAY($CA339),"日","月","火","水","木","金","土")&amp;")"&amp;" に切れる　"&amp;TEXT($CA339-N('設定'!$C$7),"m/d")&amp;"("&amp;CHOOSE(WEEKDAY($CA339-N('設定'!$C$7)),"日","月","火","水","木","金","土")&amp;")"&amp;" までに発注"))))))))))</f>
        <v/>
      </c>
      <c r="CQ339">
        <f>IF($C339="","",IF(AND($P339="",$Q339="",$S339="",$T339=""),"",IF(AND($P339="",$Q339=""),"⚠ 先に1便目（左の入庫日・入庫数）に入れてください",IF($CI339&lt;&gt;"",$CI339,IF($CJ339&lt;&gt;"",$CJ339,IF($M339="","？ 減り数が未設定（発注書には載ります）",IF($B$3=0,"？ 動員が未入力（発注書には載ります）",IF(AND($CA339&lt;&gt;"",$P339&gt;$CA339),IF($P339&gt;'設定'!$C$6+N('設定'!$C$7),"● "&amp;TEXT($P339,"m/d")&amp;"("&amp;CHOOSE(WEEKDAY($P339),"日","月","火","水","木","金","土")&amp;")"&amp;" の入庫では間に合わない（"&amp;TEXT($CA339,"m/d")&amp;"("&amp;CHOOSE(WEEKDAY($CA339),"日","月","火","水","木","金","土")&amp;")"&amp;" に切れる）　入庫日を早める","△ 欠品 "&amp;TEXT($CA339,"m/d")&amp;"("&amp;CHOOSE(WEEKDAY($CA339),"日","月","火","水","木","金","土")&amp;")"&amp;"〜"&amp;TEXT($P339-1,"m/d")&amp;"("&amp;CHOOSE(WEEKDAY($P339-1),"日","月","火","水","木","金","土")&amp;")"&amp;"　"&amp;$CO339),IF($CC339="","○ "&amp;TEXT($P339,"m/d")&amp;"("&amp;CHOOSE(WEEKDAY($P339),"日","月","火","水","木","金","土")&amp;")"&amp;" 入庫で 14日以上もつ",IF($CC339-N('設定'!$C$7)&lt;='設定'!$C$6,"● 入庫しても "&amp;TEXT($CC339,"m/d")&amp;"("&amp;CHOOSE(WEEKDAY($CC339),"日","月","火","水","木","金","土")&amp;")"&amp;" に切れる　もう1便を至急発注（2便目に入れる）","△ 入庫しても "&amp;TEXT($CC339,"m/d")&amp;"("&amp;CHOOSE(WEEKDAY($CC339),"日","月","火","水","木","金","土")&amp;")"&amp;" に切れる　"&amp;TEXT($CC339-N('設定'!$C$7),"m/d")&amp;"("&amp;CHOOSE(WEEKDAY($CC339-N('設定'!$C$7)),"日","月","火","水","木","金","土")&amp;")"&amp;" までに次を発注（2便目に入れる）"))))))))))</f>
        <v/>
      </c>
      <c r="CR339">
        <f>IF($C339="","",IF($G339&gt;1,"ｹｰｽ("&amp;$G339&amp;"入)","個"))</f>
        <v/>
      </c>
      <c r="CS339">
        <f>IF($C339="",0,IF(COUNTIFS('①在庫を貼る'!$V$6:$V$10005,'設定'!$C$4,'①在庫を貼る'!$W$6:$W$10005,$C339)=0,1,0))</f>
        <v/>
      </c>
      <c r="CT339">
        <f>IF(AND($CK339=1,OR('③発注書'!$C$4="すべて",'③発注書'!$C$4="",$F339='③発注書'!$C$4)),N($CT338)+1,N($CT338))</f>
        <v/>
      </c>
      <c r="CU339">
        <f>IF(AND($CL339=1,OR('③発注書'!$C$4="すべて",'③発注書'!$C$4="",$F339='③発注書'!$C$4)),N($CU338)+1,N($CU338))</f>
        <v/>
      </c>
      <c r="CV339">
        <f>IF($C339="",0,IF(COUNTIFS('①在庫を貼る'!$V$6:$V$10005,'設定'!$C$4,'①在庫を貼る'!$W$6:$W$10005,$C339)&gt;0,1,0))</f>
        <v/>
      </c>
      <c r="CW339">
        <f>IF($C339="",0,IF(COUNTIFS('月1回_1ヶ月前の在庫'!$V$6:$V$10005,'設定'!$C$4,'月1回_1ヶ月前の在庫'!$W$6:$W$10005,$C339)&gt;0,1,0))</f>
        <v/>
      </c>
      <c r="CX339">
        <f>IF($C339="",0,IF(COUNTIFS('月1回_2ヶ月前の在庫'!$V$6:$V$10005,'設定'!$C$4,'月1回_2ヶ月前の在庫'!$W$6:$W$10005,$C339)&gt;0,1,0))</f>
        <v/>
      </c>
      <c r="CY339">
        <f>IF(OR($C339="",'設定'!$C$12=""),"",IF('設定'!$C$13="",IF(AND($CV339=1,$CW339=0),"新商品（今月から）",IF(AND($CV339=0,$CW339=1),"終売（今月から）","")),IF(AND($CV339=1,$CW339=0,$CX339=0),"新商品（今月から）",IF(AND($CV339=1,$CW339=1,$CX339=0),"新商品（先月から）",IF(AND($CV339=0,$CW339=1,$CX339=1),"終売（今月から）",IF(AND($CV339=0,$CW339=0,$CX339=1),"終売（先月から）",IF(AND($CV339=1,$CW339=0,$CX339=1),"復活（先月は無し）","")))))))</f>
        <v/>
      </c>
    </row>
    <row r="340">
      <c r="B340">
        <f>IF(335&lt;='設定'!$C$11,335,"")</f>
        <v/>
      </c>
      <c r="C340">
        <f>IF($B340="","",IF($B340&lt;='設定'!$C$20,INDEX('商品マスタ'!$B$6:$B$1005,MATCH($B340,'商品マスタ'!$M$6:$M$1005,0)),IF($B340&lt;='設定'!$C$20+'設定'!$C$17,INDEX('①在庫を貼る'!$W$6:$W$10005,MATCH($B340-'設定'!$C$20,'①在庫を貼る'!$U$6:$U$10005,0)),IF($B340&lt;='設定'!$C$20+'設定'!$C$17+'設定'!$C$18,INDEX('月1回_1ヶ月前の在庫'!$W$6:$W$10005,MATCH($B340-'設定'!$C$20-'設定'!$C$17,'月1回_1ヶ月前の在庫'!$U$6:$U$10005,0)),INDEX('月1回_2ヶ月前の在庫'!$W$6:$W$10005,MATCH($B340-'設定'!$C$20-'設定'!$C$17-'設定'!$C$18,'月1回_2ヶ月前の在庫'!$U$6:$U$10005,0))))))</f>
        <v/>
      </c>
      <c r="D340">
        <f>IF($C340="","",IFERROR(IF(INDEX('商品マスタ'!$C$6:$C$1005,MATCH($C340,'商品マスタ'!$B$6:$B$1005,0))="",IFERROR(INDEX('①在庫を貼る'!$J$6:$J$10005,MATCH($C340,'①在庫を貼る'!$W$6:$W$10005,0)),IFERROR(INDEX('月1回_1ヶ月前の在庫'!$J$6:$J$10005,MATCH($C340,'月1回_1ヶ月前の在庫'!$W$6:$W$10005,0)),IFERROR(INDEX('月1回_2ヶ月前の在庫'!$J$6:$J$10005,MATCH($C340,'月1回_2ヶ月前の在庫'!$W$6:$W$10005,0)),""))),INDEX('商品マスタ'!$C$6:$C$1005,MATCH($C340,'商品マスタ'!$B$6:$B$1005,0))),IFERROR(INDEX('①在庫を貼る'!$J$6:$J$10005,MATCH($C340,'①在庫を貼る'!$W$6:$W$10005,0)),IFERROR(INDEX('月1回_1ヶ月前の在庫'!$J$6:$J$10005,MATCH($C340,'月1回_1ヶ月前の在庫'!$W$6:$W$10005,0)),IFERROR(INDEX('月1回_2ヶ月前の在庫'!$J$6:$J$10005,MATCH($C340,'月1回_2ヶ月前の在庫'!$W$6:$W$10005,0)),"")))))</f>
        <v/>
      </c>
      <c r="E340">
        <f>IF($C340="","",IFERROR(IF(INDEX('商品マスタ'!$D$6:$D$1005,MATCH($C340,'商品マスタ'!$B$6:$B$1005,0))="",IFERROR(INDEX('①在庫を貼る'!$H$6:$H$10005,MATCH($C340,'①在庫を貼る'!$W$6:$W$10005,0)),IFERROR(INDEX('月1回_1ヶ月前の在庫'!$H$6:$H$10005,MATCH($C340,'月1回_1ヶ月前の在庫'!$W$6:$W$10005,0)),IFERROR(INDEX('月1回_2ヶ月前の在庫'!$H$6:$H$10005,MATCH($C340,'月1回_2ヶ月前の在庫'!$W$6:$W$10005,0)),""))),INDEX('商品マスタ'!$D$6:$D$1005,MATCH($C340,'商品マスタ'!$B$6:$B$1005,0))),IFERROR(INDEX('①在庫を貼る'!$H$6:$H$10005,MATCH($C340,'①在庫を貼る'!$W$6:$W$10005,0)),IFERROR(INDEX('月1回_1ヶ月前の在庫'!$H$6:$H$10005,MATCH($C340,'月1回_1ヶ月前の在庫'!$W$6:$W$10005,0)),IFERROR(INDEX('月1回_2ヶ月前の在庫'!$H$6:$H$10005,MATCH($C340,'月1回_2ヶ月前の在庫'!$W$6:$W$10005,0)),"")))))</f>
        <v/>
      </c>
      <c r="F340">
        <f>IF($C340="","",IFERROR(IF(INDEX('商品マスタ'!$E$6:$E$1005,MATCH($C340,'商品マスタ'!$B$6:$B$1005,0))="",IFERROR(INDEX('①在庫を貼る'!$E$6:$E$10005,MATCH($C340,'①在庫を貼る'!$W$6:$W$10005,0)),IFERROR(INDEX('月1回_1ヶ月前の在庫'!$E$6:$E$10005,MATCH($C340,'月1回_1ヶ月前の在庫'!$W$6:$W$10005,0)),IFERROR(INDEX('月1回_2ヶ月前の在庫'!$E$6:$E$10005,MATCH($C340,'月1回_2ヶ月前の在庫'!$W$6:$W$10005,0)),""))),INDEX('商品マスタ'!$E$6:$E$1005,MATCH($C340,'商品マスタ'!$B$6:$B$1005,0))),IFERROR(INDEX('①在庫を貼る'!$E$6:$E$10005,MATCH($C340,'①在庫を貼る'!$W$6:$W$10005,0)),IFERROR(INDEX('月1回_1ヶ月前の在庫'!$E$6:$E$10005,MATCH($C340,'月1回_1ヶ月前の在庫'!$W$6:$W$10005,0)),IFERROR(INDEX('月1回_2ヶ月前の在庫'!$E$6:$E$10005,MATCH($C340,'月1回_2ヶ月前の在庫'!$W$6:$W$10005,0)),"")))))</f>
        <v/>
      </c>
      <c r="G340">
        <f>IF($C340="","",MAX(1,N(IFERROR(IF(INDEX('商品マスタ'!$F$6:$F$1005,MATCH($C340,'商品マスタ'!$B$6:$B$1005,0))="",IF(COUNTIFS('①在庫を貼る'!$V$6:$V$10005,'設定'!$C$4,'①在庫を貼る'!$W$6:$W$10005,$C340)&gt;0,SUMIFS('①在庫を貼る'!$K$6:$K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K$6:$K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K$6:$K$10005,'月1回_2ヶ月前の在庫'!$V$6:$V$10005,'設定'!$C$4,'月1回_2ヶ月前の在庫'!$W$6:$W$10005,$C340)/COUNTIFS('月1回_2ヶ月前の在庫'!$V$6:$V$10005,'設定'!$C$4,'月1回_2ヶ月前の在庫'!$W$6:$W$10005,$C340),0))),INDEX('商品マスタ'!$F$6:$F$1005,MATCH($C340,'商品マスタ'!$B$6:$B$1005,0))),IF(COUNTIFS('①在庫を貼る'!$V$6:$V$10005,'設定'!$C$4,'①在庫を貼る'!$W$6:$W$10005,$C340)&gt;0,SUMIFS('①在庫を貼る'!$K$6:$K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K$6:$K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K$6:$K$10005,'月1回_2ヶ月前の在庫'!$V$6:$V$10005,'設定'!$C$4,'月1回_2ヶ月前の在庫'!$W$6:$W$10005,$C340)/COUNTIFS('月1回_2ヶ月前の在庫'!$V$6:$V$10005,'設定'!$C$4,'月1回_2ヶ月前の在庫'!$W$6:$W$10005,$C340),0)))))))</f>
        <v/>
      </c>
      <c r="H340">
        <f>IF($C340="","",N(IFERROR(IF(INDEX('商品マスタ'!$G$6:$G$1005,MATCH($C340,'商品マスタ'!$B$6:$B$1005,0))="",IF(COUNTIFS('①在庫を貼る'!$V$6:$V$10005,'設定'!$C$4,'①在庫を貼る'!$W$6:$W$10005,$C340)&gt;0,SUMIFS('①在庫を貼る'!$Q$6:$Q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Q$6:$Q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Q$6:$Q$10005,'月1回_2ヶ月前の在庫'!$V$6:$V$10005,'設定'!$C$4,'月1回_2ヶ月前の在庫'!$W$6:$W$10005,$C340)/COUNTIFS('月1回_2ヶ月前の在庫'!$V$6:$V$10005,'設定'!$C$4,'月1回_2ヶ月前の在庫'!$W$6:$W$10005,$C340),0))),INDEX('商品マスタ'!$G$6:$G$1005,MATCH($C340,'商品マスタ'!$B$6:$B$1005,0))),IF(COUNTIFS('①在庫を貼る'!$V$6:$V$10005,'設定'!$C$4,'①在庫を貼る'!$W$6:$W$10005,$C340)&gt;0,SUMIFS('①在庫を貼る'!$Q$6:$Q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Q$6:$Q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Q$6:$Q$10005,'月1回_2ヶ月前の在庫'!$V$6:$V$10005,'設定'!$C$4,'月1回_2ヶ月前の在庫'!$W$6:$W$10005,$C340)/COUNTIFS('月1回_2ヶ月前の在庫'!$V$6:$V$10005,'設定'!$C$4,'月1回_2ヶ月前の在庫'!$W$6:$W$10005,$C340),0))))))</f>
        <v/>
      </c>
      <c r="I340">
        <f>IF($C340="","",IF(COUNTIFS('①在庫を貼る'!$V$6:$V$10005,'設定'!$C$4,'①在庫を貼る'!$W$6:$W$10005,$C340)=0,"",SUMIFS('①在庫を貼る'!$N$6:$N$10005,'①在庫を貼る'!$V$6:$V$10005,'設定'!$C$4,'①在庫を貼る'!$W$6:$W$10005,$C340)))</f>
        <v/>
      </c>
      <c r="J340">
        <f>IF($C340="","",IF('②発注する'!$AD344="","",'②発注する'!$AD344))</f>
        <v/>
      </c>
      <c r="K340" s="90">
        <f>IF($C340="","",IF('②発注する'!$AE344="","",'②発注する'!$AE344))</f>
        <v/>
      </c>
      <c r="L340">
        <f>IF($C340="","",IF(AND(ISNUMBER($J340),ISNUMBER($K340),$K340&gt;='設定'!$C$6),$J340,N($I340)))</f>
        <v/>
      </c>
      <c r="M340">
        <f>IF($C340="","",IFERROR(IF(N(INDEX('商品マスタ'!$J$6:$J$1005,MATCH($C340,'商品マスタ'!$B$6:$B$1005,0)))&gt;0,INDEX('商品マスタ'!$J$6:$J$1005,MATCH($C340,'商品マスタ'!$B$6:$B$1005,0)),""),""))</f>
        <v/>
      </c>
      <c r="N340">
        <f>IF($C340="","",IFERROR(IF(N(INDEX('商品マスタ'!$H$6:$H$1005,MATCH($C340,'商品マスタ'!$B$6:$B$1005,0)))&gt;0,INDEX('商品マスタ'!$H$6:$H$1005,MATCH($C340,'商品マスタ'!$B$6:$B$1005,0)),""),""))</f>
        <v/>
      </c>
      <c r="O340">
        <f>IF($C340="","",IF($N340&lt;&gt;"",$N340*$G340,IF(N(IF(COUNTIFS('①在庫を貼る'!$V$6:$V$10005,'設定'!$C$4,'①在庫を貼る'!$W$6:$W$10005,$C340)&gt;0,SUMIFS('①在庫を貼る'!$O$6:$O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O$6:$O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O$6:$O$10005,'月1回_2ヶ月前の在庫'!$V$6:$V$10005,'設定'!$C$4,'月1回_2ヶ月前の在庫'!$W$6:$W$10005,$C340)/COUNTIFS('月1回_2ヶ月前の在庫'!$V$6:$V$10005,'設定'!$C$4,'月1回_2ヶ月前の在庫'!$W$6:$W$10005,$C340),0))))&gt;0,N(IF(COUNTIFS('①在庫を貼る'!$V$6:$V$10005,'設定'!$C$4,'①在庫を貼る'!$W$6:$W$10005,$C340)&gt;0,SUMIFS('①在庫を貼る'!$O$6:$O$10005,'①在庫を貼る'!$V$6:$V$10005,'設定'!$C$4,'①在庫を貼る'!$W$6:$W$10005,$C340)/COUNTIFS('①在庫を貼る'!$V$6:$V$10005,'設定'!$C$4,'①在庫を貼る'!$W$6:$W$10005,$C340),IF(COUNTIFS('月1回_1ヶ月前の在庫'!$V$6:$V$10005,'設定'!$C$4,'月1回_1ヶ月前の在庫'!$W$6:$W$10005,$C340)&gt;0,SUMIFS('月1回_1ヶ月前の在庫'!$O$6:$O$10005,'月1回_1ヶ月前の在庫'!$V$6:$V$10005,'設定'!$C$4,'月1回_1ヶ月前の在庫'!$W$6:$W$10005,$C340)/COUNTIFS('月1回_1ヶ月前の在庫'!$V$6:$V$10005,'設定'!$C$4,'月1回_1ヶ月前の在庫'!$W$6:$W$10005,$C340),IF(COUNTIFS('月1回_2ヶ月前の在庫'!$V$6:$V$10005,'設定'!$C$4,'月1回_2ヶ月前の在庫'!$W$6:$W$10005,$C340)&gt;0,SUMIFS('月1回_2ヶ月前の在庫'!$O$6:$O$10005,'月1回_2ヶ月前の在庫'!$V$6:$V$10005,'設定'!$C$4,'月1回_2ヶ月前の在庫'!$W$6:$W$10005,$C340)/COUNTIFS('月1回_2ヶ月前の在庫'!$V$6:$V$10005,'設定'!$C$4,'月1回_2ヶ月前の在庫'!$W$6:$W$10005,$C340),0)))),"")))</f>
        <v/>
      </c>
      <c r="P340" s="90">
        <f>IF($C340="","",IF('②発注する'!$I344="","",'②発注する'!$I344))</f>
        <v/>
      </c>
      <c r="Q340">
        <f>IF($C340="","",IF('②発注する'!$J344="","",'②発注する'!$J344))</f>
        <v/>
      </c>
      <c r="R340">
        <f>IF($C340="",0,IF(AND(ISNUMBER($P340),ISNUMBER($Q340)),MAX(0,$Q340)*$G340,0))</f>
        <v/>
      </c>
      <c r="S340" s="90">
        <f>IF($C340="","",IF('②発注する'!$M344="","",'②発注する'!$M344))</f>
        <v/>
      </c>
      <c r="T340">
        <f>IF($C340="","",IF('②発注する'!$N344="","",'②発注する'!$N344))</f>
        <v/>
      </c>
      <c r="U340">
        <f>IF($C340="",0,IF(AND(ISNUMBER($S340),ISNUMBER($T340)),MAX(0,$T340)*$G340,0))</f>
        <v/>
      </c>
      <c r="V340">
        <f>IF($C340="",0,IF($M340="",0,MAX(0,$M340)*MAX(0,V$4)/100))</f>
        <v/>
      </c>
      <c r="W340">
        <f>IF($C340="",0,IF($M340="",0,MAX(0,$M340)*MAX(0,W$4)/100))</f>
        <v/>
      </c>
      <c r="X340">
        <f>IF($C340="",0,IF($M340="",0,MAX(0,$M340)*MAX(0,X$4)/100))</f>
        <v/>
      </c>
      <c r="Y340">
        <f>IF($C340="",0,IF($M340="",0,MAX(0,$M340)*MAX(0,Y$4)/100))</f>
        <v/>
      </c>
      <c r="Z340">
        <f>IF($C340="",0,IF($M340="",0,MAX(0,$M340)*MAX(0,Z$4)/100))</f>
        <v/>
      </c>
      <c r="AA340">
        <f>IF($C340="",0,IF($M340="",0,MAX(0,$M340)*MAX(0,AA$4)/100))</f>
        <v/>
      </c>
      <c r="AB340">
        <f>IF($C340="",0,IF($M340="",0,MAX(0,$M340)*MAX(0,AB$4)/100))</f>
        <v/>
      </c>
      <c r="AC340">
        <f>IF($C340="",0,IF($M340="",0,MAX(0,$M340)*MAX(0,AC$4)/100))</f>
        <v/>
      </c>
      <c r="AD340">
        <f>IF($C340="",0,IF($M340="",0,MAX(0,$M340)*MAX(0,AD$4)/100))</f>
        <v/>
      </c>
      <c r="AE340">
        <f>IF($C340="",0,IF($M340="",0,MAX(0,$M340)*MAX(0,AE$4)/100))</f>
        <v/>
      </c>
      <c r="AF340">
        <f>IF($C340="",0,IF($M340="",0,MAX(0,$M340)*MAX(0,AF$4)/100))</f>
        <v/>
      </c>
      <c r="AG340">
        <f>IF($C340="",0,IF($M340="",0,MAX(0,$M340)*MAX(0,AG$4)/100))</f>
        <v/>
      </c>
      <c r="AH340">
        <f>IF($C340="",0,IF($M340="",0,MAX(0,$M340)*MAX(0,AH$4)/100))</f>
        <v/>
      </c>
      <c r="AI340">
        <f>IF($C340="",0,IF($M340="",0,MAX(0,$M340)*MAX(0,AI$4)/100))</f>
        <v/>
      </c>
      <c r="AJ340">
        <f>IF($C340="",0,MAX(0,MAX(0,N($L340))-$V340))</f>
        <v/>
      </c>
      <c r="AK340">
        <f>IF($C340="",0,MAX(0,$AJ340-$W340))</f>
        <v/>
      </c>
      <c r="AL340">
        <f>IF($C340="",0,MAX(0,$AK340-$X340))</f>
        <v/>
      </c>
      <c r="AM340">
        <f>IF($C340="",0,MAX(0,$AL340-$Y340))</f>
        <v/>
      </c>
      <c r="AN340">
        <f>IF($C340="",0,MAX(0,$AM340-$Z340))</f>
        <v/>
      </c>
      <c r="AO340">
        <f>IF($C340="",0,MAX(0,$AN340-$AA340))</f>
        <v/>
      </c>
      <c r="AP340">
        <f>IF($C340="",0,MAX(0,$AO340-$AB340))</f>
        <v/>
      </c>
      <c r="AQ340">
        <f>IF($C340="",0,MAX(0,$AP340-$AC340))</f>
        <v/>
      </c>
      <c r="AR340">
        <f>IF($C340="",0,MAX(0,$AQ340-$AD340))</f>
        <v/>
      </c>
      <c r="AS340">
        <f>IF($C340="",0,MAX(0,$AR340-$AE340))</f>
        <v/>
      </c>
      <c r="AT340">
        <f>IF($C340="",0,MAX(0,$AS340-$AF340))</f>
        <v/>
      </c>
      <c r="AU340">
        <f>IF($C340="",0,MAX(0,$AT340-$AG340))</f>
        <v/>
      </c>
      <c r="AV340">
        <f>IF($C340="",0,MAX(0,$AU340-$AH340))</f>
        <v/>
      </c>
      <c r="AW340">
        <f>IF($C340="",0,MAX(0,$AV340-$AI340))</f>
        <v/>
      </c>
      <c r="AX340">
        <f>IF($C340="",0,MAX(0,MAX(0,N($L340))+IF($P340=V$3,$R340,0)+IF($S340=V$3,$U340,0)-$V340))</f>
        <v/>
      </c>
      <c r="AY340">
        <f>IF($C340="",0,MAX(0,$AX340+IF($P340=W$3,$R340,0)+IF($S340=W$3,$U340,0)-$W340))</f>
        <v/>
      </c>
      <c r="AZ340">
        <f>IF($C340="",0,MAX(0,$AY340+IF($P340=X$3,$R340,0)+IF($S340=X$3,$U340,0)-$X340))</f>
        <v/>
      </c>
      <c r="BA340">
        <f>IF($C340="",0,MAX(0,$AZ340+IF($P340=Y$3,$R340,0)+IF($S340=Y$3,$U340,0)-$Y340))</f>
        <v/>
      </c>
      <c r="BB340">
        <f>IF($C340="",0,MAX(0,$BA340+IF($P340=Z$3,$R340,0)+IF($S340=Z$3,$U340,0)-$Z340))</f>
        <v/>
      </c>
      <c r="BC340">
        <f>IF($C340="",0,MAX(0,$BB340+IF($P340=AA$3,$R340,0)+IF($S340=AA$3,$U340,0)-$AA340))</f>
        <v/>
      </c>
      <c r="BD340">
        <f>IF($C340="",0,MAX(0,$BC340+IF($P340=AB$3,$R340,0)+IF($S340=AB$3,$U340,0)-$AB340))</f>
        <v/>
      </c>
      <c r="BE340">
        <f>IF($C340="",0,MAX(0,$BD340+IF($P340=AC$3,$R340,0)+IF($S340=AC$3,$U340,0)-$AC340))</f>
        <v/>
      </c>
      <c r="BF340">
        <f>IF($C340="",0,MAX(0,$BE340+IF($P340=AD$3,$R340,0)+IF($S340=AD$3,$U340,0)-$AD340))</f>
        <v/>
      </c>
      <c r="BG340">
        <f>IF($C340="",0,MAX(0,$BF340+IF($P340=AE$3,$R340,0)+IF($S340=AE$3,$U340,0)-$AE340))</f>
        <v/>
      </c>
      <c r="BH340">
        <f>IF($C340="",0,MAX(0,$BG340+IF($P340=AF$3,$R340,0)+IF($S340=AF$3,$U340,0)-$AF340))</f>
        <v/>
      </c>
      <c r="BI340">
        <f>IF($C340="",0,MAX(0,$BH340+IF($P340=AG$3,$R340,0)+IF($S340=AG$3,$U340,0)-$AG340))</f>
        <v/>
      </c>
      <c r="BJ340">
        <f>IF($C340="",0,MAX(0,$BI340+IF($P340=AH$3,$R340,0)+IF($S340=AH$3,$U340,0)-$AH340))</f>
        <v/>
      </c>
      <c r="BK340">
        <f>IF($C340="",0,MAX(0,$BJ340+IF($P340=AI$3,$R340,0)+IF($S340=AI$3,$U340,0)-$AI340))</f>
        <v/>
      </c>
      <c r="BL340">
        <f>IF($C340="",99,IF(AND($AX340&lt;1,V$3&gt;=MAX(N($P340),N($S340))),0,99))</f>
        <v/>
      </c>
      <c r="BM340">
        <f>IF($C340="",99,IF(AND($AY340&lt;1,W$3&gt;=MAX(N($P340),N($S340))),1,99))</f>
        <v/>
      </c>
      <c r="BN340">
        <f>IF($C340="",99,IF(AND($AZ340&lt;1,X$3&gt;=MAX(N($P340),N($S340))),2,99))</f>
        <v/>
      </c>
      <c r="BO340">
        <f>IF($C340="",99,IF(AND($BA340&lt;1,Y$3&gt;=MAX(N($P340),N($S340))),3,99))</f>
        <v/>
      </c>
      <c r="BP340">
        <f>IF($C340="",99,IF(AND($BB340&lt;1,Z$3&gt;=MAX(N($P340),N($S340))),4,99))</f>
        <v/>
      </c>
      <c r="BQ340">
        <f>IF($C340="",99,IF(AND($BC340&lt;1,AA$3&gt;=MAX(N($P340),N($S340))),5,99))</f>
        <v/>
      </c>
      <c r="BR340">
        <f>IF($C340="",99,IF(AND($BD340&lt;1,AB$3&gt;=MAX(N($P340),N($S340))),6,99))</f>
        <v/>
      </c>
      <c r="BS340">
        <f>IF($C340="",99,IF(AND($BE340&lt;1,AC$3&gt;=MAX(N($P340),N($S340))),7,99))</f>
        <v/>
      </c>
      <c r="BT340">
        <f>IF($C340="",99,IF(AND($BF340&lt;1,AD$3&gt;=MAX(N($P340),N($S340))),8,99))</f>
        <v/>
      </c>
      <c r="BU340">
        <f>IF($C340="",99,IF(AND($BG340&lt;1,AE$3&gt;=MAX(N($P340),N($S340))),9,99))</f>
        <v/>
      </c>
      <c r="BV340">
        <f>IF($C340="",99,IF(AND($BH340&lt;1,AF$3&gt;=MAX(N($P340),N($S340))),10,99))</f>
        <v/>
      </c>
      <c r="BW340">
        <f>IF($C340="",99,IF(AND($BI340&lt;1,AG$3&gt;=MAX(N($P340),N($S340))),11,99))</f>
        <v/>
      </c>
      <c r="BX340">
        <f>IF($C340="",99,IF(AND($BJ340&lt;1,AH$3&gt;=MAX(N($P340),N($S340))),12,99))</f>
        <v/>
      </c>
      <c r="BY340">
        <f>IF($C340="",99,IF(AND($BK340&lt;1,AI$3&gt;=MAX(N($P340),N($S340))),13,99))</f>
        <v/>
      </c>
      <c r="BZ340">
        <f>IF(OR($C340="",$M340=""),"",COUNTIF($AJ340:$AW340,"&gt;=1"))</f>
        <v/>
      </c>
      <c r="CA340" s="90">
        <f>IF($BZ340="","",IF($BZ340&gt;=14,"",'設定'!$C$6+$BZ340))</f>
        <v/>
      </c>
      <c r="CB340">
        <f>IF(OR($C340="",$M340=""),"",MIN($BL340:$BY340))</f>
        <v/>
      </c>
      <c r="CC340" s="90">
        <f>IF($CB340="","",IF($CB340&gt;=99,"",'設定'!$C$6+$CB340))</f>
        <v/>
      </c>
      <c r="CD340">
        <f>IF(OR($C340="",$M340=""),"",AVERAGE($V340:$AI340))</f>
        <v/>
      </c>
      <c r="CE340">
        <f>IF($C340="","",IFERROR(IF(MATCH(IF(ISNUMBER($P340),$P340,'設定'!$C$6+N('設定'!$C$7)),$V$3:$AI$3,0)=1,MAX(0,N($L340)),INDEX($AJ340:$AW340,MATCH(IF(ISNUMBER($P340),$P340,'設定'!$C$6+N('設定'!$C$7)),$V$3:$AI$3,0)-1)),""))</f>
        <v/>
      </c>
      <c r="CF340">
        <f>IF(OR($C340="",$O340="",$CE340=""),"",IF($O340-$CE340&lt;=0,0,ROUNDUP(($O340-$CE340)/$G340,0)))</f>
        <v/>
      </c>
      <c r="CG340">
        <f>IF(OR($C340="",$CF340="",NOT(ISNUMBER($Q340))),0,MAX(0,$Q340-$CF340))</f>
        <v/>
      </c>
      <c r="CH340">
        <f>IF(OR($C340="",$O340="",$U340=0),0,IFERROR(ROUNDUP(MAX(0,IF(MATCH($S340,$V$3:$AI$3,0)=1,MAX(0,N($L340)),INDEX($AX340:$BK340,MATCH($S340,$V$3:$AI$3,0)-1))+$U340-$O340)/$G340,0),0))</f>
        <v/>
      </c>
      <c r="CI340">
        <f>IF($C340="","",IF(AND($P340="",$Q340=""),"",IF($P340="","⚠ 入庫日を ▼ から選んでください",IF(NOT(ISNUMBER($P340)),"⚠ 入庫日は ▼ から選んでください",IF($P340&lt;N('設定'!$C$6),"⚠ 入庫日が過去です（もう在庫に入っています）→ 消してください",IF($P340&gt;N('設定'!$C$6)+13,"⚠ 入庫日が14日より先です",IF(N($Q340)&lt;=0,"⚠ 入庫数を入れてください",IF($CG340&gt;0,"⚠ 目安より "&amp;$CG340&amp;" 多い（定数を超える）→ 減らす",""))))))))</f>
        <v/>
      </c>
      <c r="CJ340">
        <f>IF($C340="","",IF(AND($S340="",$T340=""),"",IF($S340="","⚠ 2便目：入庫日を ▼ から選んでください",IF(NOT(ISNUMBER($S340)),"⚠ 2便目：入庫日は ▼ から選んでください",IF($S340&lt;N('設定'!$C$6),"⚠ 2便目：入庫日が過去です（もう在庫に入っています）→ 消してください",IF($S340&gt;N('設定'!$C$6)+13,"⚠ 2便目：入庫日が14日より先です",IF(N($T340)&lt;=0,"⚠ 2便目：入庫数を入れてください",IF($CH340&gt;0,"⚠ 2便目：定数を "&amp;$CH340&amp;" ケース超える → 減らす",""))))))))</f>
        <v/>
      </c>
      <c r="CK340">
        <f>IF(AND($CI340="",N($Q340)&gt;0,ISNUMBER($P340)),1,0)</f>
        <v/>
      </c>
      <c r="CL340">
        <f>IF(AND($CJ340="",N($T340)&gt;0,ISNUMBER($S340)),1,0)</f>
        <v/>
      </c>
      <c r="CM340">
        <f>IF(OR($CK340=1,$CL340=1),1,0)</f>
        <v/>
      </c>
      <c r="CN340">
        <f>IF($C340="",0,($CK340*$R340+$CL340*$U340)*N($H340))</f>
        <v/>
      </c>
      <c r="CO340">
        <f>IF($C340="","",IF($CC340="","入庫後は 14日以上もつ",IF($CC340-N('設定'!$C$7)&lt;='設定'!$C$6,"入庫後も "&amp;TEXT($CC340,"m/d")&amp;"("&amp;CHOOSE(WEEKDAY($CC340),"日","月","火","水","木","金","土")&amp;")"&amp;" に切れる　もう1便を至急発注","入庫後も "&amp;TEXT($CC340,"m/d")&amp;"("&amp;CHOOSE(WEEKDAY($CC340),"日","月","火","水","木","金","土")&amp;")"&amp;" に切れる　"&amp;TEXT($CC340-N('設定'!$C$7),"m/d")&amp;"("&amp;CHOOSE(WEEKDAY($CC340-N('設定'!$C$7)),"日","月","火","水","木","金","土")&amp;")"&amp;" までに次を発注")))</f>
        <v/>
      </c>
      <c r="CP340">
        <f>IF($C340="","",IF('設定'!$C$6="","？ ①在庫を貼る に今日のCSVが貼られていない",IF($CS340=1,"－ 今日のCSVに無い（終売？）",IF($L340&lt;0,"● 在庫がマイナス　数えて「数えた在庫」に入れる",IF($L340=0,"● 在庫なし　至急発注",IF($M340="","？ 減り数が未設定（商品マスタ）",IF($B$3=0,"？ 動員が未入力（動員を入れる）",IF($CA340="","○ 14日以上もつ",IF($BZ340&lt;N('設定'!$C$7),"● "&amp;TEXT($CA340,"m/d")&amp;"("&amp;CHOOSE(WEEKDAY($CA340),"日","月","火","水","木","金","土")&amp;")"&amp;" に切れる　至急発注",IF($BZ340=N('設定'!$C$7),"● "&amp;TEXT($CA340,"m/d")&amp;"("&amp;CHOOSE(WEEKDAY($CA340),"日","月","火","水","木","金","土")&amp;")"&amp;" に切れる　今日発注","△ "&amp;TEXT($CA340,"m/d")&amp;"("&amp;CHOOSE(WEEKDAY($CA340),"日","月","火","水","木","金","土")&amp;")"&amp;" に切れる　"&amp;TEXT($CA340-N('設定'!$C$7),"m/d")&amp;"("&amp;CHOOSE(WEEKDAY($CA340-N('設定'!$C$7)),"日","月","火","水","木","金","土")&amp;")"&amp;" までに発注"))))))))))</f>
        <v/>
      </c>
      <c r="CQ340">
        <f>IF($C340="","",IF(AND($P340="",$Q340="",$S340="",$T340=""),"",IF(AND($P340="",$Q340=""),"⚠ 先に1便目（左の入庫日・入庫数）に入れてください",IF($CI340&lt;&gt;"",$CI340,IF($CJ340&lt;&gt;"",$CJ340,IF($M340="","？ 減り数が未設定（発注書には載ります）",IF($B$3=0,"？ 動員が未入力（発注書には載ります）",IF(AND($CA340&lt;&gt;"",$P340&gt;$CA340),IF($P340&gt;'設定'!$C$6+N('設定'!$C$7),"● "&amp;TEXT($P340,"m/d")&amp;"("&amp;CHOOSE(WEEKDAY($P340),"日","月","火","水","木","金","土")&amp;")"&amp;" の入庫では間に合わない（"&amp;TEXT($CA340,"m/d")&amp;"("&amp;CHOOSE(WEEKDAY($CA340),"日","月","火","水","木","金","土")&amp;")"&amp;" に切れる）　入庫日を早める","△ 欠品 "&amp;TEXT($CA340,"m/d")&amp;"("&amp;CHOOSE(WEEKDAY($CA340),"日","月","火","水","木","金","土")&amp;")"&amp;"〜"&amp;TEXT($P340-1,"m/d")&amp;"("&amp;CHOOSE(WEEKDAY($P340-1),"日","月","火","水","木","金","土")&amp;")"&amp;"　"&amp;$CO340),IF($CC340="","○ "&amp;TEXT($P340,"m/d")&amp;"("&amp;CHOOSE(WEEKDAY($P340),"日","月","火","水","木","金","土")&amp;")"&amp;" 入庫で 14日以上もつ",IF($CC340-N('設定'!$C$7)&lt;='設定'!$C$6,"● 入庫しても "&amp;TEXT($CC340,"m/d")&amp;"("&amp;CHOOSE(WEEKDAY($CC340),"日","月","火","水","木","金","土")&amp;")"&amp;" に切れる　もう1便を至急発注（2便目に入れる）","△ 入庫しても "&amp;TEXT($CC340,"m/d")&amp;"("&amp;CHOOSE(WEEKDAY($CC340),"日","月","火","水","木","金","土")&amp;")"&amp;" に切れる　"&amp;TEXT($CC340-N('設定'!$C$7),"m/d")&amp;"("&amp;CHOOSE(WEEKDAY($CC340-N('設定'!$C$7)),"日","月","火","水","木","金","土")&amp;")"&amp;" までに次を発注（2便目に入れる）"))))))))))</f>
        <v/>
      </c>
      <c r="CR340">
        <f>IF($C340="","",IF($G340&gt;1,"ｹｰｽ("&amp;$G340&amp;"入)","個"))</f>
        <v/>
      </c>
      <c r="CS340">
        <f>IF($C340="",0,IF(COUNTIFS('①在庫を貼る'!$V$6:$V$10005,'設定'!$C$4,'①在庫を貼る'!$W$6:$W$10005,$C340)=0,1,0))</f>
        <v/>
      </c>
      <c r="CT340">
        <f>IF(AND($CK340=1,OR('③発注書'!$C$4="すべて",'③発注書'!$C$4="",$F340='③発注書'!$C$4)),N($CT339)+1,N($CT339))</f>
        <v/>
      </c>
      <c r="CU340">
        <f>IF(AND($CL340=1,OR('③発注書'!$C$4="すべて",'③発注書'!$C$4="",$F340='③発注書'!$C$4)),N($CU339)+1,N($CU339))</f>
        <v/>
      </c>
      <c r="CV340">
        <f>IF($C340="",0,IF(COUNTIFS('①在庫を貼る'!$V$6:$V$10005,'設定'!$C$4,'①在庫を貼る'!$W$6:$W$10005,$C340)&gt;0,1,0))</f>
        <v/>
      </c>
      <c r="CW340">
        <f>IF($C340="",0,IF(COUNTIFS('月1回_1ヶ月前の在庫'!$V$6:$V$10005,'設定'!$C$4,'月1回_1ヶ月前の在庫'!$W$6:$W$10005,$C340)&gt;0,1,0))</f>
        <v/>
      </c>
      <c r="CX340">
        <f>IF($C340="",0,IF(COUNTIFS('月1回_2ヶ月前の在庫'!$V$6:$V$10005,'設定'!$C$4,'月1回_2ヶ月前の在庫'!$W$6:$W$10005,$C340)&gt;0,1,0))</f>
        <v/>
      </c>
      <c r="CY340">
        <f>IF(OR($C340="",'設定'!$C$12=""),"",IF('設定'!$C$13="",IF(AND($CV340=1,$CW340=0),"新商品（今月から）",IF(AND($CV340=0,$CW340=1),"終売（今月から）","")),IF(AND($CV340=1,$CW340=0,$CX340=0),"新商品（今月から）",IF(AND($CV340=1,$CW340=1,$CX340=0),"新商品（先月から）",IF(AND($CV340=0,$CW340=1,$CX340=1),"終売（今月から）",IF(AND($CV340=0,$CW340=0,$CX340=1),"終売（先月から）",IF(AND($CV340=1,$CW340=0,$CX340=1),"復活（先月は無し）","")))))))</f>
        <v/>
      </c>
    </row>
    <row r="341">
      <c r="B341">
        <f>IF(336&lt;='設定'!$C$11,336,"")</f>
        <v/>
      </c>
      <c r="C341">
        <f>IF($B341="","",IF($B341&lt;='設定'!$C$20,INDEX('商品マスタ'!$B$6:$B$1005,MATCH($B341,'商品マスタ'!$M$6:$M$1005,0)),IF($B341&lt;='設定'!$C$20+'設定'!$C$17,INDEX('①在庫を貼る'!$W$6:$W$10005,MATCH($B341-'設定'!$C$20,'①在庫を貼る'!$U$6:$U$10005,0)),IF($B341&lt;='設定'!$C$20+'設定'!$C$17+'設定'!$C$18,INDEX('月1回_1ヶ月前の在庫'!$W$6:$W$10005,MATCH($B341-'設定'!$C$20-'設定'!$C$17,'月1回_1ヶ月前の在庫'!$U$6:$U$10005,0)),INDEX('月1回_2ヶ月前の在庫'!$W$6:$W$10005,MATCH($B341-'設定'!$C$20-'設定'!$C$17-'設定'!$C$18,'月1回_2ヶ月前の在庫'!$U$6:$U$10005,0))))))</f>
        <v/>
      </c>
      <c r="D341">
        <f>IF($C341="","",IFERROR(IF(INDEX('商品マスタ'!$C$6:$C$1005,MATCH($C341,'商品マスタ'!$B$6:$B$1005,0))="",IFERROR(INDEX('①在庫を貼る'!$J$6:$J$10005,MATCH($C341,'①在庫を貼る'!$W$6:$W$10005,0)),IFERROR(INDEX('月1回_1ヶ月前の在庫'!$J$6:$J$10005,MATCH($C341,'月1回_1ヶ月前の在庫'!$W$6:$W$10005,0)),IFERROR(INDEX('月1回_2ヶ月前の在庫'!$J$6:$J$10005,MATCH($C341,'月1回_2ヶ月前の在庫'!$W$6:$W$10005,0)),""))),INDEX('商品マスタ'!$C$6:$C$1005,MATCH($C341,'商品マスタ'!$B$6:$B$1005,0))),IFERROR(INDEX('①在庫を貼る'!$J$6:$J$10005,MATCH($C341,'①在庫を貼る'!$W$6:$W$10005,0)),IFERROR(INDEX('月1回_1ヶ月前の在庫'!$J$6:$J$10005,MATCH($C341,'月1回_1ヶ月前の在庫'!$W$6:$W$10005,0)),IFERROR(INDEX('月1回_2ヶ月前の在庫'!$J$6:$J$10005,MATCH($C341,'月1回_2ヶ月前の在庫'!$W$6:$W$10005,0)),"")))))</f>
        <v/>
      </c>
      <c r="E341">
        <f>IF($C341="","",IFERROR(IF(INDEX('商品マスタ'!$D$6:$D$1005,MATCH($C341,'商品マスタ'!$B$6:$B$1005,0))="",IFERROR(INDEX('①在庫を貼る'!$H$6:$H$10005,MATCH($C341,'①在庫を貼る'!$W$6:$W$10005,0)),IFERROR(INDEX('月1回_1ヶ月前の在庫'!$H$6:$H$10005,MATCH($C341,'月1回_1ヶ月前の在庫'!$W$6:$W$10005,0)),IFERROR(INDEX('月1回_2ヶ月前の在庫'!$H$6:$H$10005,MATCH($C341,'月1回_2ヶ月前の在庫'!$W$6:$W$10005,0)),""))),INDEX('商品マスタ'!$D$6:$D$1005,MATCH($C341,'商品マスタ'!$B$6:$B$1005,0))),IFERROR(INDEX('①在庫を貼る'!$H$6:$H$10005,MATCH($C341,'①在庫を貼る'!$W$6:$W$10005,0)),IFERROR(INDEX('月1回_1ヶ月前の在庫'!$H$6:$H$10005,MATCH($C341,'月1回_1ヶ月前の在庫'!$W$6:$W$10005,0)),IFERROR(INDEX('月1回_2ヶ月前の在庫'!$H$6:$H$10005,MATCH($C341,'月1回_2ヶ月前の在庫'!$W$6:$W$10005,0)),"")))))</f>
        <v/>
      </c>
      <c r="F341">
        <f>IF($C341="","",IFERROR(IF(INDEX('商品マスタ'!$E$6:$E$1005,MATCH($C341,'商品マスタ'!$B$6:$B$1005,0))="",IFERROR(INDEX('①在庫を貼る'!$E$6:$E$10005,MATCH($C341,'①在庫を貼る'!$W$6:$W$10005,0)),IFERROR(INDEX('月1回_1ヶ月前の在庫'!$E$6:$E$10005,MATCH($C341,'月1回_1ヶ月前の在庫'!$W$6:$W$10005,0)),IFERROR(INDEX('月1回_2ヶ月前の在庫'!$E$6:$E$10005,MATCH($C341,'月1回_2ヶ月前の在庫'!$W$6:$W$10005,0)),""))),INDEX('商品マスタ'!$E$6:$E$1005,MATCH($C341,'商品マスタ'!$B$6:$B$1005,0))),IFERROR(INDEX('①在庫を貼る'!$E$6:$E$10005,MATCH($C341,'①在庫を貼る'!$W$6:$W$10005,0)),IFERROR(INDEX('月1回_1ヶ月前の在庫'!$E$6:$E$10005,MATCH($C341,'月1回_1ヶ月前の在庫'!$W$6:$W$10005,0)),IFERROR(INDEX('月1回_2ヶ月前の在庫'!$E$6:$E$10005,MATCH($C341,'月1回_2ヶ月前の在庫'!$W$6:$W$10005,0)),"")))))</f>
        <v/>
      </c>
      <c r="G341">
        <f>IF($C341="","",MAX(1,N(IFERROR(IF(INDEX('商品マスタ'!$F$6:$F$1005,MATCH($C341,'商品マスタ'!$B$6:$B$1005,0))="",IF(COUNTIFS('①在庫を貼る'!$V$6:$V$10005,'設定'!$C$4,'①在庫を貼る'!$W$6:$W$10005,$C341)&gt;0,SUMIFS('①在庫を貼る'!$K$6:$K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K$6:$K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K$6:$K$10005,'月1回_2ヶ月前の在庫'!$V$6:$V$10005,'設定'!$C$4,'月1回_2ヶ月前の在庫'!$W$6:$W$10005,$C341)/COUNTIFS('月1回_2ヶ月前の在庫'!$V$6:$V$10005,'設定'!$C$4,'月1回_2ヶ月前の在庫'!$W$6:$W$10005,$C341),0))),INDEX('商品マスタ'!$F$6:$F$1005,MATCH($C341,'商品マスタ'!$B$6:$B$1005,0))),IF(COUNTIFS('①在庫を貼る'!$V$6:$V$10005,'設定'!$C$4,'①在庫を貼る'!$W$6:$W$10005,$C341)&gt;0,SUMIFS('①在庫を貼る'!$K$6:$K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K$6:$K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K$6:$K$10005,'月1回_2ヶ月前の在庫'!$V$6:$V$10005,'設定'!$C$4,'月1回_2ヶ月前の在庫'!$W$6:$W$10005,$C341)/COUNTIFS('月1回_2ヶ月前の在庫'!$V$6:$V$10005,'設定'!$C$4,'月1回_2ヶ月前の在庫'!$W$6:$W$10005,$C341),0)))))))</f>
        <v/>
      </c>
      <c r="H341">
        <f>IF($C341="","",N(IFERROR(IF(INDEX('商品マスタ'!$G$6:$G$1005,MATCH($C341,'商品マスタ'!$B$6:$B$1005,0))="",IF(COUNTIFS('①在庫を貼る'!$V$6:$V$10005,'設定'!$C$4,'①在庫を貼る'!$W$6:$W$10005,$C341)&gt;0,SUMIFS('①在庫を貼る'!$Q$6:$Q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Q$6:$Q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Q$6:$Q$10005,'月1回_2ヶ月前の在庫'!$V$6:$V$10005,'設定'!$C$4,'月1回_2ヶ月前の在庫'!$W$6:$W$10005,$C341)/COUNTIFS('月1回_2ヶ月前の在庫'!$V$6:$V$10005,'設定'!$C$4,'月1回_2ヶ月前の在庫'!$W$6:$W$10005,$C341),0))),INDEX('商品マスタ'!$G$6:$G$1005,MATCH($C341,'商品マスタ'!$B$6:$B$1005,0))),IF(COUNTIFS('①在庫を貼る'!$V$6:$V$10005,'設定'!$C$4,'①在庫を貼る'!$W$6:$W$10005,$C341)&gt;0,SUMIFS('①在庫を貼る'!$Q$6:$Q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Q$6:$Q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Q$6:$Q$10005,'月1回_2ヶ月前の在庫'!$V$6:$V$10005,'設定'!$C$4,'月1回_2ヶ月前の在庫'!$W$6:$W$10005,$C341)/COUNTIFS('月1回_2ヶ月前の在庫'!$V$6:$V$10005,'設定'!$C$4,'月1回_2ヶ月前の在庫'!$W$6:$W$10005,$C341),0))))))</f>
        <v/>
      </c>
      <c r="I341">
        <f>IF($C341="","",IF(COUNTIFS('①在庫を貼る'!$V$6:$V$10005,'設定'!$C$4,'①在庫を貼る'!$W$6:$W$10005,$C341)=0,"",SUMIFS('①在庫を貼る'!$N$6:$N$10005,'①在庫を貼る'!$V$6:$V$10005,'設定'!$C$4,'①在庫を貼る'!$W$6:$W$10005,$C341)))</f>
        <v/>
      </c>
      <c r="J341">
        <f>IF($C341="","",IF('②発注する'!$AD345="","",'②発注する'!$AD345))</f>
        <v/>
      </c>
      <c r="K341" s="90">
        <f>IF($C341="","",IF('②発注する'!$AE345="","",'②発注する'!$AE345))</f>
        <v/>
      </c>
      <c r="L341">
        <f>IF($C341="","",IF(AND(ISNUMBER($J341),ISNUMBER($K341),$K341&gt;='設定'!$C$6),$J341,N($I341)))</f>
        <v/>
      </c>
      <c r="M341">
        <f>IF($C341="","",IFERROR(IF(N(INDEX('商品マスタ'!$J$6:$J$1005,MATCH($C341,'商品マスタ'!$B$6:$B$1005,0)))&gt;0,INDEX('商品マスタ'!$J$6:$J$1005,MATCH($C341,'商品マスタ'!$B$6:$B$1005,0)),""),""))</f>
        <v/>
      </c>
      <c r="N341">
        <f>IF($C341="","",IFERROR(IF(N(INDEX('商品マスタ'!$H$6:$H$1005,MATCH($C341,'商品マスタ'!$B$6:$B$1005,0)))&gt;0,INDEX('商品マスタ'!$H$6:$H$1005,MATCH($C341,'商品マスタ'!$B$6:$B$1005,0)),""),""))</f>
        <v/>
      </c>
      <c r="O341">
        <f>IF($C341="","",IF($N341&lt;&gt;"",$N341*$G341,IF(N(IF(COUNTIFS('①在庫を貼る'!$V$6:$V$10005,'設定'!$C$4,'①在庫を貼る'!$W$6:$W$10005,$C341)&gt;0,SUMIFS('①在庫を貼る'!$O$6:$O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O$6:$O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O$6:$O$10005,'月1回_2ヶ月前の在庫'!$V$6:$V$10005,'設定'!$C$4,'月1回_2ヶ月前の在庫'!$W$6:$W$10005,$C341)/COUNTIFS('月1回_2ヶ月前の在庫'!$V$6:$V$10005,'設定'!$C$4,'月1回_2ヶ月前の在庫'!$W$6:$W$10005,$C341),0))))&gt;0,N(IF(COUNTIFS('①在庫を貼る'!$V$6:$V$10005,'設定'!$C$4,'①在庫を貼る'!$W$6:$W$10005,$C341)&gt;0,SUMIFS('①在庫を貼る'!$O$6:$O$10005,'①在庫を貼る'!$V$6:$V$10005,'設定'!$C$4,'①在庫を貼る'!$W$6:$W$10005,$C341)/COUNTIFS('①在庫を貼る'!$V$6:$V$10005,'設定'!$C$4,'①在庫を貼る'!$W$6:$W$10005,$C341),IF(COUNTIFS('月1回_1ヶ月前の在庫'!$V$6:$V$10005,'設定'!$C$4,'月1回_1ヶ月前の在庫'!$W$6:$W$10005,$C341)&gt;0,SUMIFS('月1回_1ヶ月前の在庫'!$O$6:$O$10005,'月1回_1ヶ月前の在庫'!$V$6:$V$10005,'設定'!$C$4,'月1回_1ヶ月前の在庫'!$W$6:$W$10005,$C341)/COUNTIFS('月1回_1ヶ月前の在庫'!$V$6:$V$10005,'設定'!$C$4,'月1回_1ヶ月前の在庫'!$W$6:$W$10005,$C341),IF(COUNTIFS('月1回_2ヶ月前の在庫'!$V$6:$V$10005,'設定'!$C$4,'月1回_2ヶ月前の在庫'!$W$6:$W$10005,$C341)&gt;0,SUMIFS('月1回_2ヶ月前の在庫'!$O$6:$O$10005,'月1回_2ヶ月前の在庫'!$V$6:$V$10005,'設定'!$C$4,'月1回_2ヶ月前の在庫'!$W$6:$W$10005,$C341)/COUNTIFS('月1回_2ヶ月前の在庫'!$V$6:$V$10005,'設定'!$C$4,'月1回_2ヶ月前の在庫'!$W$6:$W$10005,$C341),0)))),"")))</f>
        <v/>
      </c>
      <c r="P341" s="90">
        <f>IF($C341="","",IF('②発注する'!$I345="","",'②発注する'!$I345))</f>
        <v/>
      </c>
      <c r="Q341">
        <f>IF($C341="","",IF('②発注する'!$J345="","",'②発注する'!$J345))</f>
        <v/>
      </c>
      <c r="R341">
        <f>IF($C341="",0,IF(AND(ISNUMBER($P341),ISNUMBER($Q341)),MAX(0,$Q341)*$G341,0))</f>
        <v/>
      </c>
      <c r="S341" s="90">
        <f>IF($C341="","",IF('②発注する'!$M345="","",'②発注する'!$M345))</f>
        <v/>
      </c>
      <c r="T341">
        <f>IF($C341="","",IF('②発注する'!$N345="","",'②発注する'!$N345))</f>
        <v/>
      </c>
      <c r="U341">
        <f>IF($C341="",0,IF(AND(ISNUMBER($S341),ISNUMBER($T341)),MAX(0,$T341)*$G341,0))</f>
        <v/>
      </c>
      <c r="V341">
        <f>IF($C341="",0,IF($M341="",0,MAX(0,$M341)*MAX(0,V$4)/100))</f>
        <v/>
      </c>
      <c r="W341">
        <f>IF($C341="",0,IF($M341="",0,MAX(0,$M341)*MAX(0,W$4)/100))</f>
        <v/>
      </c>
      <c r="X341">
        <f>IF($C341="",0,IF($M341="",0,MAX(0,$M341)*MAX(0,X$4)/100))</f>
        <v/>
      </c>
      <c r="Y341">
        <f>IF($C341="",0,IF($M341="",0,MAX(0,$M341)*MAX(0,Y$4)/100))</f>
        <v/>
      </c>
      <c r="Z341">
        <f>IF($C341="",0,IF($M341="",0,MAX(0,$M341)*MAX(0,Z$4)/100))</f>
        <v/>
      </c>
      <c r="AA341">
        <f>IF($C341="",0,IF($M341="",0,MAX(0,$M341)*MAX(0,AA$4)/100))</f>
        <v/>
      </c>
      <c r="AB341">
        <f>IF($C341="",0,IF($M341="",0,MAX(0,$M341)*MAX(0,AB$4)/100))</f>
        <v/>
      </c>
      <c r="AC341">
        <f>IF($C341="",0,IF($M341="",0,MAX(0,$M341)*MAX(0,AC$4)/100))</f>
        <v/>
      </c>
      <c r="AD341">
        <f>IF($C341="",0,IF($M341="",0,MAX(0,$M341)*MAX(0,AD$4)/100))</f>
        <v/>
      </c>
      <c r="AE341">
        <f>IF($C341="",0,IF($M341="",0,MAX(0,$M341)*MAX(0,AE$4)/100))</f>
        <v/>
      </c>
      <c r="AF341">
        <f>IF($C341="",0,IF($M341="",0,MAX(0,$M341)*MAX(0,AF$4)/100))</f>
        <v/>
      </c>
      <c r="AG341">
        <f>IF($C341="",0,IF($M341="",0,MAX(0,$M341)*MAX(0,AG$4)/100))</f>
        <v/>
      </c>
      <c r="AH341">
        <f>IF($C341="",0,IF($M341="",0,MAX(0,$M341)*MAX(0,AH$4)/100))</f>
        <v/>
      </c>
      <c r="AI341">
        <f>IF($C341="",0,IF($M341="",0,MAX(0,$M341)*MAX(0,AI$4)/100))</f>
        <v/>
      </c>
      <c r="AJ341">
        <f>IF($C341="",0,MAX(0,MAX(0,N($L341))-$V341))</f>
        <v/>
      </c>
      <c r="AK341">
        <f>IF($C341="",0,MAX(0,$AJ341-$W341))</f>
        <v/>
      </c>
      <c r="AL341">
        <f>IF($C341="",0,MAX(0,$AK341-$X341))</f>
        <v/>
      </c>
      <c r="AM341">
        <f>IF($C341="",0,MAX(0,$AL341-$Y341))</f>
        <v/>
      </c>
      <c r="AN341">
        <f>IF($C341="",0,MAX(0,$AM341-$Z341))</f>
        <v/>
      </c>
      <c r="AO341">
        <f>IF($C341="",0,MAX(0,$AN341-$AA341))</f>
        <v/>
      </c>
      <c r="AP341">
        <f>IF($C341="",0,MAX(0,$AO341-$AB341))</f>
        <v/>
      </c>
      <c r="AQ341">
        <f>IF($C341="",0,MAX(0,$AP341-$AC341))</f>
        <v/>
      </c>
      <c r="AR341">
        <f>IF($C341="",0,MAX(0,$AQ341-$AD341))</f>
        <v/>
      </c>
      <c r="AS341">
        <f>IF($C341="",0,MAX(0,$AR341-$AE341))</f>
        <v/>
      </c>
      <c r="AT341">
        <f>IF($C341="",0,MAX(0,$AS341-$AF341))</f>
        <v/>
      </c>
      <c r="AU341">
        <f>IF($C341="",0,MAX(0,$AT341-$AG341))</f>
        <v/>
      </c>
      <c r="AV341">
        <f>IF($C341="",0,MAX(0,$AU341-$AH341))</f>
        <v/>
      </c>
      <c r="AW341">
        <f>IF($C341="",0,MAX(0,$AV341-$AI341))</f>
        <v/>
      </c>
      <c r="AX341">
        <f>IF($C341="",0,MAX(0,MAX(0,N($L341))+IF($P341=V$3,$R341,0)+IF($S341=V$3,$U341,0)-$V341))</f>
        <v/>
      </c>
      <c r="AY341">
        <f>IF($C341="",0,MAX(0,$AX341+IF($P341=W$3,$R341,0)+IF($S341=W$3,$U341,0)-$W341))</f>
        <v/>
      </c>
      <c r="AZ341">
        <f>IF($C341="",0,MAX(0,$AY341+IF($P341=X$3,$R341,0)+IF($S341=X$3,$U341,0)-$X341))</f>
        <v/>
      </c>
      <c r="BA341">
        <f>IF($C341="",0,MAX(0,$AZ341+IF($P341=Y$3,$R341,0)+IF($S341=Y$3,$U341,0)-$Y341))</f>
        <v/>
      </c>
      <c r="BB341">
        <f>IF($C341="",0,MAX(0,$BA341+IF($P341=Z$3,$R341,0)+IF($S341=Z$3,$U341,0)-$Z341))</f>
        <v/>
      </c>
      <c r="BC341">
        <f>IF($C341="",0,MAX(0,$BB341+IF($P341=AA$3,$R341,0)+IF($S341=AA$3,$U341,0)-$AA341))</f>
        <v/>
      </c>
      <c r="BD341">
        <f>IF($C341="",0,MAX(0,$BC341+IF($P341=AB$3,$R341,0)+IF($S341=AB$3,$U341,0)-$AB341))</f>
        <v/>
      </c>
      <c r="BE341">
        <f>IF($C341="",0,MAX(0,$BD341+IF($P341=AC$3,$R341,0)+IF($S341=AC$3,$U341,0)-$AC341))</f>
        <v/>
      </c>
      <c r="BF341">
        <f>IF($C341="",0,MAX(0,$BE341+IF($P341=AD$3,$R341,0)+IF($S341=AD$3,$U341,0)-$AD341))</f>
        <v/>
      </c>
      <c r="BG341">
        <f>IF($C341="",0,MAX(0,$BF341+IF($P341=AE$3,$R341,0)+IF($S341=AE$3,$U341,0)-$AE341))</f>
        <v/>
      </c>
      <c r="BH341">
        <f>IF($C341="",0,MAX(0,$BG341+IF($P341=AF$3,$R341,0)+IF($S341=AF$3,$U341,0)-$AF341))</f>
        <v/>
      </c>
      <c r="BI341">
        <f>IF($C341="",0,MAX(0,$BH341+IF($P341=AG$3,$R341,0)+IF($S341=AG$3,$U341,0)-$AG341))</f>
        <v/>
      </c>
      <c r="BJ341">
        <f>IF($C341="",0,MAX(0,$BI341+IF($P341=AH$3,$R341,0)+IF($S341=AH$3,$U341,0)-$AH341))</f>
        <v/>
      </c>
      <c r="BK341">
        <f>IF($C341="",0,MAX(0,$BJ341+IF($P341=AI$3,$R341,0)+IF($S341=AI$3,$U341,0)-$AI341))</f>
        <v/>
      </c>
      <c r="BL341">
        <f>IF($C341="",99,IF(AND($AX341&lt;1,V$3&gt;=MAX(N($P341),N($S341))),0,99))</f>
        <v/>
      </c>
      <c r="BM341">
        <f>IF($C341="",99,IF(AND($AY341&lt;1,W$3&gt;=MAX(N($P341),N($S341))),1,99))</f>
        <v/>
      </c>
      <c r="BN341">
        <f>IF($C341="",99,IF(AND($AZ341&lt;1,X$3&gt;=MAX(N($P341),N($S341))),2,99))</f>
        <v/>
      </c>
      <c r="BO341">
        <f>IF($C341="",99,IF(AND($BA341&lt;1,Y$3&gt;=MAX(N($P341),N($S341))),3,99))</f>
        <v/>
      </c>
      <c r="BP341">
        <f>IF($C341="",99,IF(AND($BB341&lt;1,Z$3&gt;=MAX(N($P341),N($S341))),4,99))</f>
        <v/>
      </c>
      <c r="BQ341">
        <f>IF($C341="",99,IF(AND($BC341&lt;1,AA$3&gt;=MAX(N($P341),N($S341))),5,99))</f>
        <v/>
      </c>
      <c r="BR341">
        <f>IF($C341="",99,IF(AND($BD341&lt;1,AB$3&gt;=MAX(N($P341),N($S341))),6,99))</f>
        <v/>
      </c>
      <c r="BS341">
        <f>IF($C341="",99,IF(AND($BE341&lt;1,AC$3&gt;=MAX(N($P341),N($S341))),7,99))</f>
        <v/>
      </c>
      <c r="BT341">
        <f>IF($C341="",99,IF(AND($BF341&lt;1,AD$3&gt;=MAX(N($P341),N($S341))),8,99))</f>
        <v/>
      </c>
      <c r="BU341">
        <f>IF($C341="",99,IF(AND($BG341&lt;1,AE$3&gt;=MAX(N($P341),N($S341))),9,99))</f>
        <v/>
      </c>
      <c r="BV341">
        <f>IF($C341="",99,IF(AND($BH341&lt;1,AF$3&gt;=MAX(N($P341),N($S341))),10,99))</f>
        <v/>
      </c>
      <c r="BW341">
        <f>IF($C341="",99,IF(AND($BI341&lt;1,AG$3&gt;=MAX(N($P341),N($S341))),11,99))</f>
        <v/>
      </c>
      <c r="BX341">
        <f>IF($C341="",99,IF(AND($BJ341&lt;1,AH$3&gt;=MAX(N($P341),N($S341))),12,99))</f>
        <v/>
      </c>
      <c r="BY341">
        <f>IF($C341="",99,IF(AND($BK341&lt;1,AI$3&gt;=MAX(N($P341),N($S341))),13,99))</f>
        <v/>
      </c>
      <c r="BZ341">
        <f>IF(OR($C341="",$M341=""),"",COUNTIF($AJ341:$AW341,"&gt;=1"))</f>
        <v/>
      </c>
      <c r="CA341" s="90">
        <f>IF($BZ341="","",IF($BZ341&gt;=14,"",'設定'!$C$6+$BZ341))</f>
        <v/>
      </c>
      <c r="CB341">
        <f>IF(OR($C341="",$M341=""),"",MIN($BL341:$BY341))</f>
        <v/>
      </c>
      <c r="CC341" s="90">
        <f>IF($CB341="","",IF($CB341&gt;=99,"",'設定'!$C$6+$CB341))</f>
        <v/>
      </c>
      <c r="CD341">
        <f>IF(OR($C341="",$M341=""),"",AVERAGE($V341:$AI341))</f>
        <v/>
      </c>
      <c r="CE341">
        <f>IF($C341="","",IFERROR(IF(MATCH(IF(ISNUMBER($P341),$P341,'設定'!$C$6+N('設定'!$C$7)),$V$3:$AI$3,0)=1,MAX(0,N($L341)),INDEX($AJ341:$AW341,MATCH(IF(ISNUMBER($P341),$P341,'設定'!$C$6+N('設定'!$C$7)),$V$3:$AI$3,0)-1)),""))</f>
        <v/>
      </c>
      <c r="CF341">
        <f>IF(OR($C341="",$O341="",$CE341=""),"",IF($O341-$CE341&lt;=0,0,ROUNDUP(($O341-$CE341)/$G341,0)))</f>
        <v/>
      </c>
      <c r="CG341">
        <f>IF(OR($C341="",$CF341="",NOT(ISNUMBER($Q341))),0,MAX(0,$Q341-$CF341))</f>
        <v/>
      </c>
      <c r="CH341">
        <f>IF(OR($C341="",$O341="",$U341=0),0,IFERROR(ROUNDUP(MAX(0,IF(MATCH($S341,$V$3:$AI$3,0)=1,MAX(0,N($L341)),INDEX($AX341:$BK341,MATCH($S341,$V$3:$AI$3,0)-1))+$U341-$O341)/$G341,0),0))</f>
        <v/>
      </c>
      <c r="CI341">
        <f>IF($C341="","",IF(AND($P341="",$Q341=""),"",IF($P341="","⚠ 入庫日を ▼ から選んでください",IF(NOT(ISNUMBER($P341)),"⚠ 入庫日は ▼ から選んでください",IF($P341&lt;N('設定'!$C$6),"⚠ 入庫日が過去です（もう在庫に入っています）→ 消してください",IF($P341&gt;N('設定'!$C$6)+13,"⚠ 入庫日が14日より先です",IF(N($Q341)&lt;=0,"⚠ 入庫数を入れてください",IF($CG341&gt;0,"⚠ 目安より "&amp;$CG341&amp;" 多い（定数を超える）→ 減らす",""))))))))</f>
        <v/>
      </c>
      <c r="CJ341">
        <f>IF($C341="","",IF(AND($S341="",$T341=""),"",IF($S341="","⚠ 2便目：入庫日を ▼ から選んでください",IF(NOT(ISNUMBER($S341)),"⚠ 2便目：入庫日は ▼ から選んでください",IF($S341&lt;N('設定'!$C$6),"⚠ 2便目：入庫日が過去です（もう在庫に入っています）→ 消してください",IF($S341&gt;N('設定'!$C$6)+13,"⚠ 2便目：入庫日が14日より先です",IF(N($T341)&lt;=0,"⚠ 2便目：入庫数を入れてください",IF($CH341&gt;0,"⚠ 2便目：定数を "&amp;$CH341&amp;" ケース超える → 減らす",""))))))))</f>
        <v/>
      </c>
      <c r="CK341">
        <f>IF(AND($CI341="",N($Q341)&gt;0,ISNUMBER($P341)),1,0)</f>
        <v/>
      </c>
      <c r="CL341">
        <f>IF(AND($CJ341="",N($T341)&gt;0,ISNUMBER($S341)),1,0)</f>
        <v/>
      </c>
      <c r="CM341">
        <f>IF(OR($CK341=1,$CL341=1),1,0)</f>
        <v/>
      </c>
      <c r="CN341">
        <f>IF($C341="",0,($CK341*$R341+$CL341*$U341)*N($H341))</f>
        <v/>
      </c>
      <c r="CO341">
        <f>IF($C341="","",IF($CC341="","入庫後は 14日以上もつ",IF($CC341-N('設定'!$C$7)&lt;='設定'!$C$6,"入庫後も "&amp;TEXT($CC341,"m/d")&amp;"("&amp;CHOOSE(WEEKDAY($CC341),"日","月","火","水","木","金","土")&amp;")"&amp;" に切れる　もう1便を至急発注","入庫後も "&amp;TEXT($CC341,"m/d")&amp;"("&amp;CHOOSE(WEEKDAY($CC341),"日","月","火","水","木","金","土")&amp;")"&amp;" に切れる　"&amp;TEXT($CC341-N('設定'!$C$7),"m/d")&amp;"("&amp;CHOOSE(WEEKDAY($CC341-N('設定'!$C$7)),"日","月","火","水","木","金","土")&amp;")"&amp;" までに次を発注")))</f>
        <v/>
      </c>
      <c r="CP341">
        <f>IF($C341="","",IF('設定'!$C$6="","？ ①在庫を貼る に今日のCSVが貼られていない",IF($CS341=1,"－ 今日のCSVに無い（終売？）",IF($L341&lt;0,"● 在庫がマイナス　数えて「数えた在庫」に入れる",IF($L341=0,"● 在庫なし　至急発注",IF($M341="","？ 減り数が未設定（商品マスタ）",IF($B$3=0,"？ 動員が未入力（動員を入れる）",IF($CA341="","○ 14日以上もつ",IF($BZ341&lt;N('設定'!$C$7),"● "&amp;TEXT($CA341,"m/d")&amp;"("&amp;CHOOSE(WEEKDAY($CA341),"日","月","火","水","木","金","土")&amp;")"&amp;" に切れる　至急発注",IF($BZ341=N('設定'!$C$7),"● "&amp;TEXT($CA341,"m/d")&amp;"("&amp;CHOOSE(WEEKDAY($CA341),"日","月","火","水","木","金","土")&amp;")"&amp;" に切れる　今日発注","△ "&amp;TEXT($CA341,"m/d")&amp;"("&amp;CHOOSE(WEEKDAY($CA341),"日","月","火","水","木","金","土")&amp;")"&amp;" に切れる　"&amp;TEXT($CA341-N('設定'!$C$7),"m/d")&amp;"("&amp;CHOOSE(WEEKDAY($CA341-N('設定'!$C$7)),"日","月","火","水","木","金","土")&amp;")"&amp;" までに発注"))))))))))</f>
        <v/>
      </c>
      <c r="CQ341">
        <f>IF($C341="","",IF(AND($P341="",$Q341="",$S341="",$T341=""),"",IF(AND($P341="",$Q341=""),"⚠ 先に1便目（左の入庫日・入庫数）に入れてください",IF($CI341&lt;&gt;"",$CI341,IF($CJ341&lt;&gt;"",$CJ341,IF($M341="","？ 減り数が未設定（発注書には載ります）",IF($B$3=0,"？ 動員が未入力（発注書には載ります）",IF(AND($CA341&lt;&gt;"",$P341&gt;$CA341),IF($P341&gt;'設定'!$C$6+N('設定'!$C$7),"● "&amp;TEXT($P341,"m/d")&amp;"("&amp;CHOOSE(WEEKDAY($P341),"日","月","火","水","木","金","土")&amp;")"&amp;" の入庫では間に合わない（"&amp;TEXT($CA341,"m/d")&amp;"("&amp;CHOOSE(WEEKDAY($CA341),"日","月","火","水","木","金","土")&amp;")"&amp;" に切れる）　入庫日を早める","△ 欠品 "&amp;TEXT($CA341,"m/d")&amp;"("&amp;CHOOSE(WEEKDAY($CA341),"日","月","火","水","木","金","土")&amp;")"&amp;"〜"&amp;TEXT($P341-1,"m/d")&amp;"("&amp;CHOOSE(WEEKDAY($P341-1),"日","月","火","水","木","金","土")&amp;")"&amp;"　"&amp;$CO341),IF($CC341="","○ "&amp;TEXT($P341,"m/d")&amp;"("&amp;CHOOSE(WEEKDAY($P341),"日","月","火","水","木","金","土")&amp;")"&amp;" 入庫で 14日以上もつ",IF($CC341-N('設定'!$C$7)&lt;='設定'!$C$6,"● 入庫しても "&amp;TEXT($CC341,"m/d")&amp;"("&amp;CHOOSE(WEEKDAY($CC341),"日","月","火","水","木","金","土")&amp;")"&amp;" に切れる　もう1便を至急発注（2便目に入れる）","△ 入庫しても "&amp;TEXT($CC341,"m/d")&amp;"("&amp;CHOOSE(WEEKDAY($CC341),"日","月","火","水","木","金","土")&amp;")"&amp;" に切れる　"&amp;TEXT($CC341-N('設定'!$C$7),"m/d")&amp;"("&amp;CHOOSE(WEEKDAY($CC341-N('設定'!$C$7)),"日","月","火","水","木","金","土")&amp;")"&amp;" までに次を発注（2便目に入れる）"))))))))))</f>
        <v/>
      </c>
      <c r="CR341">
        <f>IF($C341="","",IF($G341&gt;1,"ｹｰｽ("&amp;$G341&amp;"入)","個"))</f>
        <v/>
      </c>
      <c r="CS341">
        <f>IF($C341="",0,IF(COUNTIFS('①在庫を貼る'!$V$6:$V$10005,'設定'!$C$4,'①在庫を貼る'!$W$6:$W$10005,$C341)=0,1,0))</f>
        <v/>
      </c>
      <c r="CT341">
        <f>IF(AND($CK341=1,OR('③発注書'!$C$4="すべて",'③発注書'!$C$4="",$F341='③発注書'!$C$4)),N($CT340)+1,N($CT340))</f>
        <v/>
      </c>
      <c r="CU341">
        <f>IF(AND($CL341=1,OR('③発注書'!$C$4="すべて",'③発注書'!$C$4="",$F341='③発注書'!$C$4)),N($CU340)+1,N($CU340))</f>
        <v/>
      </c>
      <c r="CV341">
        <f>IF($C341="",0,IF(COUNTIFS('①在庫を貼る'!$V$6:$V$10005,'設定'!$C$4,'①在庫を貼る'!$W$6:$W$10005,$C341)&gt;0,1,0))</f>
        <v/>
      </c>
      <c r="CW341">
        <f>IF($C341="",0,IF(COUNTIFS('月1回_1ヶ月前の在庫'!$V$6:$V$10005,'設定'!$C$4,'月1回_1ヶ月前の在庫'!$W$6:$W$10005,$C341)&gt;0,1,0))</f>
        <v/>
      </c>
      <c r="CX341">
        <f>IF($C341="",0,IF(COUNTIFS('月1回_2ヶ月前の在庫'!$V$6:$V$10005,'設定'!$C$4,'月1回_2ヶ月前の在庫'!$W$6:$W$10005,$C341)&gt;0,1,0))</f>
        <v/>
      </c>
      <c r="CY341">
        <f>IF(OR($C341="",'設定'!$C$12=""),"",IF('設定'!$C$13="",IF(AND($CV341=1,$CW341=0),"新商品（今月から）",IF(AND($CV341=0,$CW341=1),"終売（今月から）","")),IF(AND($CV341=1,$CW341=0,$CX341=0),"新商品（今月から）",IF(AND($CV341=1,$CW341=1,$CX341=0),"新商品（先月から）",IF(AND($CV341=0,$CW341=1,$CX341=1),"終売（今月から）",IF(AND($CV341=0,$CW341=0,$CX341=1),"終売（先月から）",IF(AND($CV341=1,$CW341=0,$CX341=1),"復活（先月は無し）","")))))))</f>
        <v/>
      </c>
    </row>
    <row r="342">
      <c r="B342">
        <f>IF(337&lt;='設定'!$C$11,337,"")</f>
        <v/>
      </c>
      <c r="C342">
        <f>IF($B342="","",IF($B342&lt;='設定'!$C$20,INDEX('商品マスタ'!$B$6:$B$1005,MATCH($B342,'商品マスタ'!$M$6:$M$1005,0)),IF($B342&lt;='設定'!$C$20+'設定'!$C$17,INDEX('①在庫を貼る'!$W$6:$W$10005,MATCH($B342-'設定'!$C$20,'①在庫を貼る'!$U$6:$U$10005,0)),IF($B342&lt;='設定'!$C$20+'設定'!$C$17+'設定'!$C$18,INDEX('月1回_1ヶ月前の在庫'!$W$6:$W$10005,MATCH($B342-'設定'!$C$20-'設定'!$C$17,'月1回_1ヶ月前の在庫'!$U$6:$U$10005,0)),INDEX('月1回_2ヶ月前の在庫'!$W$6:$W$10005,MATCH($B342-'設定'!$C$20-'設定'!$C$17-'設定'!$C$18,'月1回_2ヶ月前の在庫'!$U$6:$U$10005,0))))))</f>
        <v/>
      </c>
      <c r="D342">
        <f>IF($C342="","",IFERROR(IF(INDEX('商品マスタ'!$C$6:$C$1005,MATCH($C342,'商品マスタ'!$B$6:$B$1005,0))="",IFERROR(INDEX('①在庫を貼る'!$J$6:$J$10005,MATCH($C342,'①在庫を貼る'!$W$6:$W$10005,0)),IFERROR(INDEX('月1回_1ヶ月前の在庫'!$J$6:$J$10005,MATCH($C342,'月1回_1ヶ月前の在庫'!$W$6:$W$10005,0)),IFERROR(INDEX('月1回_2ヶ月前の在庫'!$J$6:$J$10005,MATCH($C342,'月1回_2ヶ月前の在庫'!$W$6:$W$10005,0)),""))),INDEX('商品マスタ'!$C$6:$C$1005,MATCH($C342,'商品マスタ'!$B$6:$B$1005,0))),IFERROR(INDEX('①在庫を貼る'!$J$6:$J$10005,MATCH($C342,'①在庫を貼る'!$W$6:$W$10005,0)),IFERROR(INDEX('月1回_1ヶ月前の在庫'!$J$6:$J$10005,MATCH($C342,'月1回_1ヶ月前の在庫'!$W$6:$W$10005,0)),IFERROR(INDEX('月1回_2ヶ月前の在庫'!$J$6:$J$10005,MATCH($C342,'月1回_2ヶ月前の在庫'!$W$6:$W$10005,0)),"")))))</f>
        <v/>
      </c>
      <c r="E342">
        <f>IF($C342="","",IFERROR(IF(INDEX('商品マスタ'!$D$6:$D$1005,MATCH($C342,'商品マスタ'!$B$6:$B$1005,0))="",IFERROR(INDEX('①在庫を貼る'!$H$6:$H$10005,MATCH($C342,'①在庫を貼る'!$W$6:$W$10005,0)),IFERROR(INDEX('月1回_1ヶ月前の在庫'!$H$6:$H$10005,MATCH($C342,'月1回_1ヶ月前の在庫'!$W$6:$W$10005,0)),IFERROR(INDEX('月1回_2ヶ月前の在庫'!$H$6:$H$10005,MATCH($C342,'月1回_2ヶ月前の在庫'!$W$6:$W$10005,0)),""))),INDEX('商品マスタ'!$D$6:$D$1005,MATCH($C342,'商品マスタ'!$B$6:$B$1005,0))),IFERROR(INDEX('①在庫を貼る'!$H$6:$H$10005,MATCH($C342,'①在庫を貼る'!$W$6:$W$10005,0)),IFERROR(INDEX('月1回_1ヶ月前の在庫'!$H$6:$H$10005,MATCH($C342,'月1回_1ヶ月前の在庫'!$W$6:$W$10005,0)),IFERROR(INDEX('月1回_2ヶ月前の在庫'!$H$6:$H$10005,MATCH($C342,'月1回_2ヶ月前の在庫'!$W$6:$W$10005,0)),"")))))</f>
        <v/>
      </c>
      <c r="F342">
        <f>IF($C342="","",IFERROR(IF(INDEX('商品マスタ'!$E$6:$E$1005,MATCH($C342,'商品マスタ'!$B$6:$B$1005,0))="",IFERROR(INDEX('①在庫を貼る'!$E$6:$E$10005,MATCH($C342,'①在庫を貼る'!$W$6:$W$10005,0)),IFERROR(INDEX('月1回_1ヶ月前の在庫'!$E$6:$E$10005,MATCH($C342,'月1回_1ヶ月前の在庫'!$W$6:$W$10005,0)),IFERROR(INDEX('月1回_2ヶ月前の在庫'!$E$6:$E$10005,MATCH($C342,'月1回_2ヶ月前の在庫'!$W$6:$W$10005,0)),""))),INDEX('商品マスタ'!$E$6:$E$1005,MATCH($C342,'商品マスタ'!$B$6:$B$1005,0))),IFERROR(INDEX('①在庫を貼る'!$E$6:$E$10005,MATCH($C342,'①在庫を貼る'!$W$6:$W$10005,0)),IFERROR(INDEX('月1回_1ヶ月前の在庫'!$E$6:$E$10005,MATCH($C342,'月1回_1ヶ月前の在庫'!$W$6:$W$10005,0)),IFERROR(INDEX('月1回_2ヶ月前の在庫'!$E$6:$E$10005,MATCH($C342,'月1回_2ヶ月前の在庫'!$W$6:$W$10005,0)),"")))))</f>
        <v/>
      </c>
      <c r="G342">
        <f>IF($C342="","",MAX(1,N(IFERROR(IF(INDEX('商品マスタ'!$F$6:$F$1005,MATCH($C342,'商品マスタ'!$B$6:$B$1005,0))="",IF(COUNTIFS('①在庫を貼る'!$V$6:$V$10005,'設定'!$C$4,'①在庫を貼る'!$W$6:$W$10005,$C342)&gt;0,SUMIFS('①在庫を貼る'!$K$6:$K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K$6:$K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K$6:$K$10005,'月1回_2ヶ月前の在庫'!$V$6:$V$10005,'設定'!$C$4,'月1回_2ヶ月前の在庫'!$W$6:$W$10005,$C342)/COUNTIFS('月1回_2ヶ月前の在庫'!$V$6:$V$10005,'設定'!$C$4,'月1回_2ヶ月前の在庫'!$W$6:$W$10005,$C342),0))),INDEX('商品マスタ'!$F$6:$F$1005,MATCH($C342,'商品マスタ'!$B$6:$B$1005,0))),IF(COUNTIFS('①在庫を貼る'!$V$6:$V$10005,'設定'!$C$4,'①在庫を貼る'!$W$6:$W$10005,$C342)&gt;0,SUMIFS('①在庫を貼る'!$K$6:$K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K$6:$K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K$6:$K$10005,'月1回_2ヶ月前の在庫'!$V$6:$V$10005,'設定'!$C$4,'月1回_2ヶ月前の在庫'!$W$6:$W$10005,$C342)/COUNTIFS('月1回_2ヶ月前の在庫'!$V$6:$V$10005,'設定'!$C$4,'月1回_2ヶ月前の在庫'!$W$6:$W$10005,$C342),0)))))))</f>
        <v/>
      </c>
      <c r="H342">
        <f>IF($C342="","",N(IFERROR(IF(INDEX('商品マスタ'!$G$6:$G$1005,MATCH($C342,'商品マスタ'!$B$6:$B$1005,0))="",IF(COUNTIFS('①在庫を貼る'!$V$6:$V$10005,'設定'!$C$4,'①在庫を貼る'!$W$6:$W$10005,$C342)&gt;0,SUMIFS('①在庫を貼る'!$Q$6:$Q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Q$6:$Q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Q$6:$Q$10005,'月1回_2ヶ月前の在庫'!$V$6:$V$10005,'設定'!$C$4,'月1回_2ヶ月前の在庫'!$W$6:$W$10005,$C342)/COUNTIFS('月1回_2ヶ月前の在庫'!$V$6:$V$10005,'設定'!$C$4,'月1回_2ヶ月前の在庫'!$W$6:$W$10005,$C342),0))),INDEX('商品マスタ'!$G$6:$G$1005,MATCH($C342,'商品マスタ'!$B$6:$B$1005,0))),IF(COUNTIFS('①在庫を貼る'!$V$6:$V$10005,'設定'!$C$4,'①在庫を貼る'!$W$6:$W$10005,$C342)&gt;0,SUMIFS('①在庫を貼る'!$Q$6:$Q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Q$6:$Q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Q$6:$Q$10005,'月1回_2ヶ月前の在庫'!$V$6:$V$10005,'設定'!$C$4,'月1回_2ヶ月前の在庫'!$W$6:$W$10005,$C342)/COUNTIFS('月1回_2ヶ月前の在庫'!$V$6:$V$10005,'設定'!$C$4,'月1回_2ヶ月前の在庫'!$W$6:$W$10005,$C342),0))))))</f>
        <v/>
      </c>
      <c r="I342">
        <f>IF($C342="","",IF(COUNTIFS('①在庫を貼る'!$V$6:$V$10005,'設定'!$C$4,'①在庫を貼る'!$W$6:$W$10005,$C342)=0,"",SUMIFS('①在庫を貼る'!$N$6:$N$10005,'①在庫を貼る'!$V$6:$V$10005,'設定'!$C$4,'①在庫を貼る'!$W$6:$W$10005,$C342)))</f>
        <v/>
      </c>
      <c r="J342">
        <f>IF($C342="","",IF('②発注する'!$AD346="","",'②発注する'!$AD346))</f>
        <v/>
      </c>
      <c r="K342" s="90">
        <f>IF($C342="","",IF('②発注する'!$AE346="","",'②発注する'!$AE346))</f>
        <v/>
      </c>
      <c r="L342">
        <f>IF($C342="","",IF(AND(ISNUMBER($J342),ISNUMBER($K342),$K342&gt;='設定'!$C$6),$J342,N($I342)))</f>
        <v/>
      </c>
      <c r="M342">
        <f>IF($C342="","",IFERROR(IF(N(INDEX('商品マスタ'!$J$6:$J$1005,MATCH($C342,'商品マスタ'!$B$6:$B$1005,0)))&gt;0,INDEX('商品マスタ'!$J$6:$J$1005,MATCH($C342,'商品マスタ'!$B$6:$B$1005,0)),""),""))</f>
        <v/>
      </c>
      <c r="N342">
        <f>IF($C342="","",IFERROR(IF(N(INDEX('商品マスタ'!$H$6:$H$1005,MATCH($C342,'商品マスタ'!$B$6:$B$1005,0)))&gt;0,INDEX('商品マスタ'!$H$6:$H$1005,MATCH($C342,'商品マスタ'!$B$6:$B$1005,0)),""),""))</f>
        <v/>
      </c>
      <c r="O342">
        <f>IF($C342="","",IF($N342&lt;&gt;"",$N342*$G342,IF(N(IF(COUNTIFS('①在庫を貼る'!$V$6:$V$10005,'設定'!$C$4,'①在庫を貼る'!$W$6:$W$10005,$C342)&gt;0,SUMIFS('①在庫を貼る'!$O$6:$O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O$6:$O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O$6:$O$10005,'月1回_2ヶ月前の在庫'!$V$6:$V$10005,'設定'!$C$4,'月1回_2ヶ月前の在庫'!$W$6:$W$10005,$C342)/COUNTIFS('月1回_2ヶ月前の在庫'!$V$6:$V$10005,'設定'!$C$4,'月1回_2ヶ月前の在庫'!$W$6:$W$10005,$C342),0))))&gt;0,N(IF(COUNTIFS('①在庫を貼る'!$V$6:$V$10005,'設定'!$C$4,'①在庫を貼る'!$W$6:$W$10005,$C342)&gt;0,SUMIFS('①在庫を貼る'!$O$6:$O$10005,'①在庫を貼る'!$V$6:$V$10005,'設定'!$C$4,'①在庫を貼る'!$W$6:$W$10005,$C342)/COUNTIFS('①在庫を貼る'!$V$6:$V$10005,'設定'!$C$4,'①在庫を貼る'!$W$6:$W$10005,$C342),IF(COUNTIFS('月1回_1ヶ月前の在庫'!$V$6:$V$10005,'設定'!$C$4,'月1回_1ヶ月前の在庫'!$W$6:$W$10005,$C342)&gt;0,SUMIFS('月1回_1ヶ月前の在庫'!$O$6:$O$10005,'月1回_1ヶ月前の在庫'!$V$6:$V$10005,'設定'!$C$4,'月1回_1ヶ月前の在庫'!$W$6:$W$10005,$C342)/COUNTIFS('月1回_1ヶ月前の在庫'!$V$6:$V$10005,'設定'!$C$4,'月1回_1ヶ月前の在庫'!$W$6:$W$10005,$C342),IF(COUNTIFS('月1回_2ヶ月前の在庫'!$V$6:$V$10005,'設定'!$C$4,'月1回_2ヶ月前の在庫'!$W$6:$W$10005,$C342)&gt;0,SUMIFS('月1回_2ヶ月前の在庫'!$O$6:$O$10005,'月1回_2ヶ月前の在庫'!$V$6:$V$10005,'設定'!$C$4,'月1回_2ヶ月前の在庫'!$W$6:$W$10005,$C342)/COUNTIFS('月1回_2ヶ月前の在庫'!$V$6:$V$10005,'設定'!$C$4,'月1回_2ヶ月前の在庫'!$W$6:$W$10005,$C342),0)))),"")))</f>
        <v/>
      </c>
      <c r="P342" s="90">
        <f>IF($C342="","",IF('②発注する'!$I346="","",'②発注する'!$I346))</f>
        <v/>
      </c>
      <c r="Q342">
        <f>IF($C342="","",IF('②発注する'!$J346="","",'②発注する'!$J346))</f>
        <v/>
      </c>
      <c r="R342">
        <f>IF($C342="",0,IF(AND(ISNUMBER($P342),ISNUMBER($Q342)),MAX(0,$Q342)*$G342,0))</f>
        <v/>
      </c>
      <c r="S342" s="90">
        <f>IF($C342="","",IF('②発注する'!$M346="","",'②発注する'!$M346))</f>
        <v/>
      </c>
      <c r="T342">
        <f>IF($C342="","",IF('②発注する'!$N346="","",'②発注する'!$N346))</f>
        <v/>
      </c>
      <c r="U342">
        <f>IF($C342="",0,IF(AND(ISNUMBER($S342),ISNUMBER($T342)),MAX(0,$T342)*$G342,0))</f>
        <v/>
      </c>
      <c r="V342">
        <f>IF($C342="",0,IF($M342="",0,MAX(0,$M342)*MAX(0,V$4)/100))</f>
        <v/>
      </c>
      <c r="W342">
        <f>IF($C342="",0,IF($M342="",0,MAX(0,$M342)*MAX(0,W$4)/100))</f>
        <v/>
      </c>
      <c r="X342">
        <f>IF($C342="",0,IF($M342="",0,MAX(0,$M342)*MAX(0,X$4)/100))</f>
        <v/>
      </c>
      <c r="Y342">
        <f>IF($C342="",0,IF($M342="",0,MAX(0,$M342)*MAX(0,Y$4)/100))</f>
        <v/>
      </c>
      <c r="Z342">
        <f>IF($C342="",0,IF($M342="",0,MAX(0,$M342)*MAX(0,Z$4)/100))</f>
        <v/>
      </c>
      <c r="AA342">
        <f>IF($C342="",0,IF($M342="",0,MAX(0,$M342)*MAX(0,AA$4)/100))</f>
        <v/>
      </c>
      <c r="AB342">
        <f>IF($C342="",0,IF($M342="",0,MAX(0,$M342)*MAX(0,AB$4)/100))</f>
        <v/>
      </c>
      <c r="AC342">
        <f>IF($C342="",0,IF($M342="",0,MAX(0,$M342)*MAX(0,AC$4)/100))</f>
        <v/>
      </c>
      <c r="AD342">
        <f>IF($C342="",0,IF($M342="",0,MAX(0,$M342)*MAX(0,AD$4)/100))</f>
        <v/>
      </c>
      <c r="AE342">
        <f>IF($C342="",0,IF($M342="",0,MAX(0,$M342)*MAX(0,AE$4)/100))</f>
        <v/>
      </c>
      <c r="AF342">
        <f>IF($C342="",0,IF($M342="",0,MAX(0,$M342)*MAX(0,AF$4)/100))</f>
        <v/>
      </c>
      <c r="AG342">
        <f>IF($C342="",0,IF($M342="",0,MAX(0,$M342)*MAX(0,AG$4)/100))</f>
        <v/>
      </c>
      <c r="AH342">
        <f>IF($C342="",0,IF($M342="",0,MAX(0,$M342)*MAX(0,AH$4)/100))</f>
        <v/>
      </c>
      <c r="AI342">
        <f>IF($C342="",0,IF($M342="",0,MAX(0,$M342)*MAX(0,AI$4)/100))</f>
        <v/>
      </c>
      <c r="AJ342">
        <f>IF($C342="",0,MAX(0,MAX(0,N($L342))-$V342))</f>
        <v/>
      </c>
      <c r="AK342">
        <f>IF($C342="",0,MAX(0,$AJ342-$W342))</f>
        <v/>
      </c>
      <c r="AL342">
        <f>IF($C342="",0,MAX(0,$AK342-$X342))</f>
        <v/>
      </c>
      <c r="AM342">
        <f>IF($C342="",0,MAX(0,$AL342-$Y342))</f>
        <v/>
      </c>
      <c r="AN342">
        <f>IF($C342="",0,MAX(0,$AM342-$Z342))</f>
        <v/>
      </c>
      <c r="AO342">
        <f>IF($C342="",0,MAX(0,$AN342-$AA342))</f>
        <v/>
      </c>
      <c r="AP342">
        <f>IF($C342="",0,MAX(0,$AO342-$AB342))</f>
        <v/>
      </c>
      <c r="AQ342">
        <f>IF($C342="",0,MAX(0,$AP342-$AC342))</f>
        <v/>
      </c>
      <c r="AR342">
        <f>IF($C342="",0,MAX(0,$AQ342-$AD342))</f>
        <v/>
      </c>
      <c r="AS342">
        <f>IF($C342="",0,MAX(0,$AR342-$AE342))</f>
        <v/>
      </c>
      <c r="AT342">
        <f>IF($C342="",0,MAX(0,$AS342-$AF342))</f>
        <v/>
      </c>
      <c r="AU342">
        <f>IF($C342="",0,MAX(0,$AT342-$AG342))</f>
        <v/>
      </c>
      <c r="AV342">
        <f>IF($C342="",0,MAX(0,$AU342-$AH342))</f>
        <v/>
      </c>
      <c r="AW342">
        <f>IF($C342="",0,MAX(0,$AV342-$AI342))</f>
        <v/>
      </c>
      <c r="AX342">
        <f>IF($C342="",0,MAX(0,MAX(0,N($L342))+IF($P342=V$3,$R342,0)+IF($S342=V$3,$U342,0)-$V342))</f>
        <v/>
      </c>
      <c r="AY342">
        <f>IF($C342="",0,MAX(0,$AX342+IF($P342=W$3,$R342,0)+IF($S342=W$3,$U342,0)-$W342))</f>
        <v/>
      </c>
      <c r="AZ342">
        <f>IF($C342="",0,MAX(0,$AY342+IF($P342=X$3,$R342,0)+IF($S342=X$3,$U342,0)-$X342))</f>
        <v/>
      </c>
      <c r="BA342">
        <f>IF($C342="",0,MAX(0,$AZ342+IF($P342=Y$3,$R342,0)+IF($S342=Y$3,$U342,0)-$Y342))</f>
        <v/>
      </c>
      <c r="BB342">
        <f>IF($C342="",0,MAX(0,$BA342+IF($P342=Z$3,$R342,0)+IF($S342=Z$3,$U342,0)-$Z342))</f>
        <v/>
      </c>
      <c r="BC342">
        <f>IF($C342="",0,MAX(0,$BB342+IF($P342=AA$3,$R342,0)+IF($S342=AA$3,$U342,0)-$AA342))</f>
        <v/>
      </c>
      <c r="BD342">
        <f>IF($C342="",0,MAX(0,$BC342+IF($P342=AB$3,$R342,0)+IF($S342=AB$3,$U342,0)-$AB342))</f>
        <v/>
      </c>
      <c r="BE342">
        <f>IF($C342="",0,MAX(0,$BD342+IF($P342=AC$3,$R342,0)+IF($S342=AC$3,$U342,0)-$AC342))</f>
        <v/>
      </c>
      <c r="BF342">
        <f>IF($C342="",0,MAX(0,$BE342+IF($P342=AD$3,$R342,0)+IF($S342=AD$3,$U342,0)-$AD342))</f>
        <v/>
      </c>
      <c r="BG342">
        <f>IF($C342="",0,MAX(0,$BF342+IF($P342=AE$3,$R342,0)+IF($S342=AE$3,$U342,0)-$AE342))</f>
        <v/>
      </c>
      <c r="BH342">
        <f>IF($C342="",0,MAX(0,$BG342+IF($P342=AF$3,$R342,0)+IF($S342=AF$3,$U342,0)-$AF342))</f>
        <v/>
      </c>
      <c r="BI342">
        <f>IF($C342="",0,MAX(0,$BH342+IF($P342=AG$3,$R342,0)+IF($S342=AG$3,$U342,0)-$AG342))</f>
        <v/>
      </c>
      <c r="BJ342">
        <f>IF($C342="",0,MAX(0,$BI342+IF($P342=AH$3,$R342,0)+IF($S342=AH$3,$U342,0)-$AH342))</f>
        <v/>
      </c>
      <c r="BK342">
        <f>IF($C342="",0,MAX(0,$BJ342+IF($P342=AI$3,$R342,0)+IF($S342=AI$3,$U342,0)-$AI342))</f>
        <v/>
      </c>
      <c r="BL342">
        <f>IF($C342="",99,IF(AND($AX342&lt;1,V$3&gt;=MAX(N($P342),N($S342))),0,99))</f>
        <v/>
      </c>
      <c r="BM342">
        <f>IF($C342="",99,IF(AND($AY342&lt;1,W$3&gt;=MAX(N($P342),N($S342))),1,99))</f>
        <v/>
      </c>
      <c r="BN342">
        <f>IF($C342="",99,IF(AND($AZ342&lt;1,X$3&gt;=MAX(N($P342),N($S342))),2,99))</f>
        <v/>
      </c>
      <c r="BO342">
        <f>IF($C342="",99,IF(AND($BA342&lt;1,Y$3&gt;=MAX(N($P342),N($S342))),3,99))</f>
        <v/>
      </c>
      <c r="BP342">
        <f>IF($C342="",99,IF(AND($BB342&lt;1,Z$3&gt;=MAX(N($P342),N($S342))),4,99))</f>
        <v/>
      </c>
      <c r="BQ342">
        <f>IF($C342="",99,IF(AND($BC342&lt;1,AA$3&gt;=MAX(N($P342),N($S342))),5,99))</f>
        <v/>
      </c>
      <c r="BR342">
        <f>IF($C342="",99,IF(AND($BD342&lt;1,AB$3&gt;=MAX(N($P342),N($S342))),6,99))</f>
        <v/>
      </c>
      <c r="BS342">
        <f>IF($C342="",99,IF(AND($BE342&lt;1,AC$3&gt;=MAX(N($P342),N($S342))),7,99))</f>
        <v/>
      </c>
      <c r="BT342">
        <f>IF($C342="",99,IF(AND($BF342&lt;1,AD$3&gt;=MAX(N($P342),N($S342))),8,99))</f>
        <v/>
      </c>
      <c r="BU342">
        <f>IF($C342="",99,IF(AND($BG342&lt;1,AE$3&gt;=MAX(N($P342),N($S342))),9,99))</f>
        <v/>
      </c>
      <c r="BV342">
        <f>IF($C342="",99,IF(AND($BH342&lt;1,AF$3&gt;=MAX(N($P342),N($S342))),10,99))</f>
        <v/>
      </c>
      <c r="BW342">
        <f>IF($C342="",99,IF(AND($BI342&lt;1,AG$3&gt;=MAX(N($P342),N($S342))),11,99))</f>
        <v/>
      </c>
      <c r="BX342">
        <f>IF($C342="",99,IF(AND($BJ342&lt;1,AH$3&gt;=MAX(N($P342),N($S342))),12,99))</f>
        <v/>
      </c>
      <c r="BY342">
        <f>IF($C342="",99,IF(AND($BK342&lt;1,AI$3&gt;=MAX(N($P342),N($S342))),13,99))</f>
        <v/>
      </c>
      <c r="BZ342">
        <f>IF(OR($C342="",$M342=""),"",COUNTIF($AJ342:$AW342,"&gt;=1"))</f>
        <v/>
      </c>
      <c r="CA342" s="90">
        <f>IF($BZ342="","",IF($BZ342&gt;=14,"",'設定'!$C$6+$BZ342))</f>
        <v/>
      </c>
      <c r="CB342">
        <f>IF(OR($C342="",$M342=""),"",MIN($BL342:$BY342))</f>
        <v/>
      </c>
      <c r="CC342" s="90">
        <f>IF($CB342="","",IF($CB342&gt;=99,"",'設定'!$C$6+$CB342))</f>
        <v/>
      </c>
      <c r="CD342">
        <f>IF(OR($C342="",$M342=""),"",AVERAGE($V342:$AI342))</f>
        <v/>
      </c>
      <c r="CE342">
        <f>IF($C342="","",IFERROR(IF(MATCH(IF(ISNUMBER($P342),$P342,'設定'!$C$6+N('設定'!$C$7)),$V$3:$AI$3,0)=1,MAX(0,N($L342)),INDEX($AJ342:$AW342,MATCH(IF(ISNUMBER($P342),$P342,'設定'!$C$6+N('設定'!$C$7)),$V$3:$AI$3,0)-1)),""))</f>
        <v/>
      </c>
      <c r="CF342">
        <f>IF(OR($C342="",$O342="",$CE342=""),"",IF($O342-$CE342&lt;=0,0,ROUNDUP(($O342-$CE342)/$G342,0)))</f>
        <v/>
      </c>
      <c r="CG342">
        <f>IF(OR($C342="",$CF342="",NOT(ISNUMBER($Q342))),0,MAX(0,$Q342-$CF342))</f>
        <v/>
      </c>
      <c r="CH342">
        <f>IF(OR($C342="",$O342="",$U342=0),0,IFERROR(ROUNDUP(MAX(0,IF(MATCH($S342,$V$3:$AI$3,0)=1,MAX(0,N($L342)),INDEX($AX342:$BK342,MATCH($S342,$V$3:$AI$3,0)-1))+$U342-$O342)/$G342,0),0))</f>
        <v/>
      </c>
      <c r="CI342">
        <f>IF($C342="","",IF(AND($P342="",$Q342=""),"",IF($P342="","⚠ 入庫日を ▼ から選んでください",IF(NOT(ISNUMBER($P342)),"⚠ 入庫日は ▼ から選んでください",IF($P342&lt;N('設定'!$C$6),"⚠ 入庫日が過去です（もう在庫に入っています）→ 消してください",IF($P342&gt;N('設定'!$C$6)+13,"⚠ 入庫日が14日より先です",IF(N($Q342)&lt;=0,"⚠ 入庫数を入れてください",IF($CG342&gt;0,"⚠ 目安より "&amp;$CG342&amp;" 多い（定数を超える）→ 減らす",""))))))))</f>
        <v/>
      </c>
      <c r="CJ342">
        <f>IF($C342="","",IF(AND($S342="",$T342=""),"",IF($S342="","⚠ 2便目：入庫日を ▼ から選んでください",IF(NOT(ISNUMBER($S342)),"⚠ 2便目：入庫日は ▼ から選んでください",IF($S342&lt;N('設定'!$C$6),"⚠ 2便目：入庫日が過去です（もう在庫に入っています）→ 消してください",IF($S342&gt;N('設定'!$C$6)+13,"⚠ 2便目：入庫日が14日より先です",IF(N($T342)&lt;=0,"⚠ 2便目：入庫数を入れてください",IF($CH342&gt;0,"⚠ 2便目：定数を "&amp;$CH342&amp;" ケース超える → 減らす",""))))))))</f>
        <v/>
      </c>
      <c r="CK342">
        <f>IF(AND($CI342="",N($Q342)&gt;0,ISNUMBER($P342)),1,0)</f>
        <v/>
      </c>
      <c r="CL342">
        <f>IF(AND($CJ342="",N($T342)&gt;0,ISNUMBER($S342)),1,0)</f>
        <v/>
      </c>
      <c r="CM342">
        <f>IF(OR($CK342=1,$CL342=1),1,0)</f>
        <v/>
      </c>
      <c r="CN342">
        <f>IF($C342="",0,($CK342*$R342+$CL342*$U342)*N($H342))</f>
        <v/>
      </c>
      <c r="CO342">
        <f>IF($C342="","",IF($CC342="","入庫後は 14日以上もつ",IF($CC342-N('設定'!$C$7)&lt;='設定'!$C$6,"入庫後も "&amp;TEXT($CC342,"m/d")&amp;"("&amp;CHOOSE(WEEKDAY($CC342),"日","月","火","水","木","金","土")&amp;")"&amp;" に切れる　もう1便を至急発注","入庫後も "&amp;TEXT($CC342,"m/d")&amp;"("&amp;CHOOSE(WEEKDAY($CC342),"日","月","火","水","木","金","土")&amp;")"&amp;" に切れる　"&amp;TEXT($CC342-N('設定'!$C$7),"m/d")&amp;"("&amp;CHOOSE(WEEKDAY($CC342-N('設定'!$C$7)),"日","月","火","水","木","金","土")&amp;")"&amp;" までに次を発注")))</f>
        <v/>
      </c>
      <c r="CP342">
        <f>IF($C342="","",IF('設定'!$C$6="","？ ①在庫を貼る に今日のCSVが貼られていない",IF($CS342=1,"－ 今日のCSVに無い（終売？）",IF($L342&lt;0,"● 在庫がマイナス　数えて「数えた在庫」に入れる",IF($L342=0,"● 在庫なし　至急発注",IF($M342="","？ 減り数が未設定（商品マスタ）",IF($B$3=0,"？ 動員が未入力（動員を入れる）",IF($CA342="","○ 14日以上もつ",IF($BZ342&lt;N('設定'!$C$7),"● "&amp;TEXT($CA342,"m/d")&amp;"("&amp;CHOOSE(WEEKDAY($CA342),"日","月","火","水","木","金","土")&amp;")"&amp;" に切れる　至急発注",IF($BZ342=N('設定'!$C$7),"● "&amp;TEXT($CA342,"m/d")&amp;"("&amp;CHOOSE(WEEKDAY($CA342),"日","月","火","水","木","金","土")&amp;")"&amp;" に切れる　今日発注","△ "&amp;TEXT($CA342,"m/d")&amp;"("&amp;CHOOSE(WEEKDAY($CA342),"日","月","火","水","木","金","土")&amp;")"&amp;" に切れる　"&amp;TEXT($CA342-N('設定'!$C$7),"m/d")&amp;"("&amp;CHOOSE(WEEKDAY($CA342-N('設定'!$C$7)),"日","月","火","水","木","金","土")&amp;")"&amp;" までに発注"))))))))))</f>
        <v/>
      </c>
      <c r="CQ342">
        <f>IF($C342="","",IF(AND($P342="",$Q342="",$S342="",$T342=""),"",IF(AND($P342="",$Q342=""),"⚠ 先に1便目（左の入庫日・入庫数）に入れてください",IF($CI342&lt;&gt;"",$CI342,IF($CJ342&lt;&gt;"",$CJ342,IF($M342="","？ 減り数が未設定（発注書には載ります）",IF($B$3=0,"？ 動員が未入力（発注書には載ります）",IF(AND($CA342&lt;&gt;"",$P342&gt;$CA342),IF($P342&gt;'設定'!$C$6+N('設定'!$C$7),"● "&amp;TEXT($P342,"m/d")&amp;"("&amp;CHOOSE(WEEKDAY($P342),"日","月","火","水","木","金","土")&amp;")"&amp;" の入庫では間に合わない（"&amp;TEXT($CA342,"m/d")&amp;"("&amp;CHOOSE(WEEKDAY($CA342),"日","月","火","水","木","金","土")&amp;")"&amp;" に切れる）　入庫日を早める","△ 欠品 "&amp;TEXT($CA342,"m/d")&amp;"("&amp;CHOOSE(WEEKDAY($CA342),"日","月","火","水","木","金","土")&amp;")"&amp;"〜"&amp;TEXT($P342-1,"m/d")&amp;"("&amp;CHOOSE(WEEKDAY($P342-1),"日","月","火","水","木","金","土")&amp;")"&amp;"　"&amp;$CO342),IF($CC342="","○ "&amp;TEXT($P342,"m/d")&amp;"("&amp;CHOOSE(WEEKDAY($P342),"日","月","火","水","木","金","土")&amp;")"&amp;" 入庫で 14日以上もつ",IF($CC342-N('設定'!$C$7)&lt;='設定'!$C$6,"● 入庫しても "&amp;TEXT($CC342,"m/d")&amp;"("&amp;CHOOSE(WEEKDAY($CC342),"日","月","火","水","木","金","土")&amp;")"&amp;" に切れる　もう1便を至急発注（2便目に入れる）","△ 入庫しても "&amp;TEXT($CC342,"m/d")&amp;"("&amp;CHOOSE(WEEKDAY($CC342),"日","月","火","水","木","金","土")&amp;")"&amp;" に切れる　"&amp;TEXT($CC342-N('設定'!$C$7),"m/d")&amp;"("&amp;CHOOSE(WEEKDAY($CC342-N('設定'!$C$7)),"日","月","火","水","木","金","土")&amp;")"&amp;" までに次を発注（2便目に入れる）"))))))))))</f>
        <v/>
      </c>
      <c r="CR342">
        <f>IF($C342="","",IF($G342&gt;1,"ｹｰｽ("&amp;$G342&amp;"入)","個"))</f>
        <v/>
      </c>
      <c r="CS342">
        <f>IF($C342="",0,IF(COUNTIFS('①在庫を貼る'!$V$6:$V$10005,'設定'!$C$4,'①在庫を貼る'!$W$6:$W$10005,$C342)=0,1,0))</f>
        <v/>
      </c>
      <c r="CT342">
        <f>IF(AND($CK342=1,OR('③発注書'!$C$4="すべて",'③発注書'!$C$4="",$F342='③発注書'!$C$4)),N($CT341)+1,N($CT341))</f>
        <v/>
      </c>
      <c r="CU342">
        <f>IF(AND($CL342=1,OR('③発注書'!$C$4="すべて",'③発注書'!$C$4="",$F342='③発注書'!$C$4)),N($CU341)+1,N($CU341))</f>
        <v/>
      </c>
      <c r="CV342">
        <f>IF($C342="",0,IF(COUNTIFS('①在庫を貼る'!$V$6:$V$10005,'設定'!$C$4,'①在庫を貼る'!$W$6:$W$10005,$C342)&gt;0,1,0))</f>
        <v/>
      </c>
      <c r="CW342">
        <f>IF($C342="",0,IF(COUNTIFS('月1回_1ヶ月前の在庫'!$V$6:$V$10005,'設定'!$C$4,'月1回_1ヶ月前の在庫'!$W$6:$W$10005,$C342)&gt;0,1,0))</f>
        <v/>
      </c>
      <c r="CX342">
        <f>IF($C342="",0,IF(COUNTIFS('月1回_2ヶ月前の在庫'!$V$6:$V$10005,'設定'!$C$4,'月1回_2ヶ月前の在庫'!$W$6:$W$10005,$C342)&gt;0,1,0))</f>
        <v/>
      </c>
      <c r="CY342">
        <f>IF(OR($C342="",'設定'!$C$12=""),"",IF('設定'!$C$13="",IF(AND($CV342=1,$CW342=0),"新商品（今月から）",IF(AND($CV342=0,$CW342=1),"終売（今月から）","")),IF(AND($CV342=1,$CW342=0,$CX342=0),"新商品（今月から）",IF(AND($CV342=1,$CW342=1,$CX342=0),"新商品（先月から）",IF(AND($CV342=0,$CW342=1,$CX342=1),"終売（今月から）",IF(AND($CV342=0,$CW342=0,$CX342=1),"終売（先月から）",IF(AND($CV342=1,$CW342=0,$CX342=1),"復活（先月は無し）","")))))))</f>
        <v/>
      </c>
    </row>
    <row r="343">
      <c r="B343">
        <f>IF(338&lt;='設定'!$C$11,338,"")</f>
        <v/>
      </c>
      <c r="C343">
        <f>IF($B343="","",IF($B343&lt;='設定'!$C$20,INDEX('商品マスタ'!$B$6:$B$1005,MATCH($B343,'商品マスタ'!$M$6:$M$1005,0)),IF($B343&lt;='設定'!$C$20+'設定'!$C$17,INDEX('①在庫を貼る'!$W$6:$W$10005,MATCH($B343-'設定'!$C$20,'①在庫を貼る'!$U$6:$U$10005,0)),IF($B343&lt;='設定'!$C$20+'設定'!$C$17+'設定'!$C$18,INDEX('月1回_1ヶ月前の在庫'!$W$6:$W$10005,MATCH($B343-'設定'!$C$20-'設定'!$C$17,'月1回_1ヶ月前の在庫'!$U$6:$U$10005,0)),INDEX('月1回_2ヶ月前の在庫'!$W$6:$W$10005,MATCH($B343-'設定'!$C$20-'設定'!$C$17-'設定'!$C$18,'月1回_2ヶ月前の在庫'!$U$6:$U$10005,0))))))</f>
        <v/>
      </c>
      <c r="D343">
        <f>IF($C343="","",IFERROR(IF(INDEX('商品マスタ'!$C$6:$C$1005,MATCH($C343,'商品マスタ'!$B$6:$B$1005,0))="",IFERROR(INDEX('①在庫を貼る'!$J$6:$J$10005,MATCH($C343,'①在庫を貼る'!$W$6:$W$10005,0)),IFERROR(INDEX('月1回_1ヶ月前の在庫'!$J$6:$J$10005,MATCH($C343,'月1回_1ヶ月前の在庫'!$W$6:$W$10005,0)),IFERROR(INDEX('月1回_2ヶ月前の在庫'!$J$6:$J$10005,MATCH($C343,'月1回_2ヶ月前の在庫'!$W$6:$W$10005,0)),""))),INDEX('商品マスタ'!$C$6:$C$1005,MATCH($C343,'商品マスタ'!$B$6:$B$1005,0))),IFERROR(INDEX('①在庫を貼る'!$J$6:$J$10005,MATCH($C343,'①在庫を貼る'!$W$6:$W$10005,0)),IFERROR(INDEX('月1回_1ヶ月前の在庫'!$J$6:$J$10005,MATCH($C343,'月1回_1ヶ月前の在庫'!$W$6:$W$10005,0)),IFERROR(INDEX('月1回_2ヶ月前の在庫'!$J$6:$J$10005,MATCH($C343,'月1回_2ヶ月前の在庫'!$W$6:$W$10005,0)),"")))))</f>
        <v/>
      </c>
      <c r="E343">
        <f>IF($C343="","",IFERROR(IF(INDEX('商品マスタ'!$D$6:$D$1005,MATCH($C343,'商品マスタ'!$B$6:$B$1005,0))="",IFERROR(INDEX('①在庫を貼る'!$H$6:$H$10005,MATCH($C343,'①在庫を貼る'!$W$6:$W$10005,0)),IFERROR(INDEX('月1回_1ヶ月前の在庫'!$H$6:$H$10005,MATCH($C343,'月1回_1ヶ月前の在庫'!$W$6:$W$10005,0)),IFERROR(INDEX('月1回_2ヶ月前の在庫'!$H$6:$H$10005,MATCH($C343,'月1回_2ヶ月前の在庫'!$W$6:$W$10005,0)),""))),INDEX('商品マスタ'!$D$6:$D$1005,MATCH($C343,'商品マスタ'!$B$6:$B$1005,0))),IFERROR(INDEX('①在庫を貼る'!$H$6:$H$10005,MATCH($C343,'①在庫を貼る'!$W$6:$W$10005,0)),IFERROR(INDEX('月1回_1ヶ月前の在庫'!$H$6:$H$10005,MATCH($C343,'月1回_1ヶ月前の在庫'!$W$6:$W$10005,0)),IFERROR(INDEX('月1回_2ヶ月前の在庫'!$H$6:$H$10005,MATCH($C343,'月1回_2ヶ月前の在庫'!$W$6:$W$10005,0)),"")))))</f>
        <v/>
      </c>
      <c r="F343">
        <f>IF($C343="","",IFERROR(IF(INDEX('商品マスタ'!$E$6:$E$1005,MATCH($C343,'商品マスタ'!$B$6:$B$1005,0))="",IFERROR(INDEX('①在庫を貼る'!$E$6:$E$10005,MATCH($C343,'①在庫を貼る'!$W$6:$W$10005,0)),IFERROR(INDEX('月1回_1ヶ月前の在庫'!$E$6:$E$10005,MATCH($C343,'月1回_1ヶ月前の在庫'!$W$6:$W$10005,0)),IFERROR(INDEX('月1回_2ヶ月前の在庫'!$E$6:$E$10005,MATCH($C343,'月1回_2ヶ月前の在庫'!$W$6:$W$10005,0)),""))),INDEX('商品マスタ'!$E$6:$E$1005,MATCH($C343,'商品マスタ'!$B$6:$B$1005,0))),IFERROR(INDEX('①在庫を貼る'!$E$6:$E$10005,MATCH($C343,'①在庫を貼る'!$W$6:$W$10005,0)),IFERROR(INDEX('月1回_1ヶ月前の在庫'!$E$6:$E$10005,MATCH($C343,'月1回_1ヶ月前の在庫'!$W$6:$W$10005,0)),IFERROR(INDEX('月1回_2ヶ月前の在庫'!$E$6:$E$10005,MATCH($C343,'月1回_2ヶ月前の在庫'!$W$6:$W$10005,0)),"")))))</f>
        <v/>
      </c>
      <c r="G343">
        <f>IF($C343="","",MAX(1,N(IFERROR(IF(INDEX('商品マスタ'!$F$6:$F$1005,MATCH($C343,'商品マスタ'!$B$6:$B$1005,0))="",IF(COUNTIFS('①在庫を貼る'!$V$6:$V$10005,'設定'!$C$4,'①在庫を貼る'!$W$6:$W$10005,$C343)&gt;0,SUMIFS('①在庫を貼る'!$K$6:$K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K$6:$K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K$6:$K$10005,'月1回_2ヶ月前の在庫'!$V$6:$V$10005,'設定'!$C$4,'月1回_2ヶ月前の在庫'!$W$6:$W$10005,$C343)/COUNTIFS('月1回_2ヶ月前の在庫'!$V$6:$V$10005,'設定'!$C$4,'月1回_2ヶ月前の在庫'!$W$6:$W$10005,$C343),0))),INDEX('商品マスタ'!$F$6:$F$1005,MATCH($C343,'商品マスタ'!$B$6:$B$1005,0))),IF(COUNTIFS('①在庫を貼る'!$V$6:$V$10005,'設定'!$C$4,'①在庫を貼る'!$W$6:$W$10005,$C343)&gt;0,SUMIFS('①在庫を貼る'!$K$6:$K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K$6:$K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K$6:$K$10005,'月1回_2ヶ月前の在庫'!$V$6:$V$10005,'設定'!$C$4,'月1回_2ヶ月前の在庫'!$W$6:$W$10005,$C343)/COUNTIFS('月1回_2ヶ月前の在庫'!$V$6:$V$10005,'設定'!$C$4,'月1回_2ヶ月前の在庫'!$W$6:$W$10005,$C343),0)))))))</f>
        <v/>
      </c>
      <c r="H343">
        <f>IF($C343="","",N(IFERROR(IF(INDEX('商品マスタ'!$G$6:$G$1005,MATCH($C343,'商品マスタ'!$B$6:$B$1005,0))="",IF(COUNTIFS('①在庫を貼る'!$V$6:$V$10005,'設定'!$C$4,'①在庫を貼る'!$W$6:$W$10005,$C343)&gt;0,SUMIFS('①在庫を貼る'!$Q$6:$Q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Q$6:$Q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Q$6:$Q$10005,'月1回_2ヶ月前の在庫'!$V$6:$V$10005,'設定'!$C$4,'月1回_2ヶ月前の在庫'!$W$6:$W$10005,$C343)/COUNTIFS('月1回_2ヶ月前の在庫'!$V$6:$V$10005,'設定'!$C$4,'月1回_2ヶ月前の在庫'!$W$6:$W$10005,$C343),0))),INDEX('商品マスタ'!$G$6:$G$1005,MATCH($C343,'商品マスタ'!$B$6:$B$1005,0))),IF(COUNTIFS('①在庫を貼る'!$V$6:$V$10005,'設定'!$C$4,'①在庫を貼る'!$W$6:$W$10005,$C343)&gt;0,SUMIFS('①在庫を貼る'!$Q$6:$Q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Q$6:$Q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Q$6:$Q$10005,'月1回_2ヶ月前の在庫'!$V$6:$V$10005,'設定'!$C$4,'月1回_2ヶ月前の在庫'!$W$6:$W$10005,$C343)/COUNTIFS('月1回_2ヶ月前の在庫'!$V$6:$V$10005,'設定'!$C$4,'月1回_2ヶ月前の在庫'!$W$6:$W$10005,$C343),0))))))</f>
        <v/>
      </c>
      <c r="I343">
        <f>IF($C343="","",IF(COUNTIFS('①在庫を貼る'!$V$6:$V$10005,'設定'!$C$4,'①在庫を貼る'!$W$6:$W$10005,$C343)=0,"",SUMIFS('①在庫を貼る'!$N$6:$N$10005,'①在庫を貼る'!$V$6:$V$10005,'設定'!$C$4,'①在庫を貼る'!$W$6:$W$10005,$C343)))</f>
        <v/>
      </c>
      <c r="J343">
        <f>IF($C343="","",IF('②発注する'!$AD347="","",'②発注する'!$AD347))</f>
        <v/>
      </c>
      <c r="K343" s="90">
        <f>IF($C343="","",IF('②発注する'!$AE347="","",'②発注する'!$AE347))</f>
        <v/>
      </c>
      <c r="L343">
        <f>IF($C343="","",IF(AND(ISNUMBER($J343),ISNUMBER($K343),$K343&gt;='設定'!$C$6),$J343,N($I343)))</f>
        <v/>
      </c>
      <c r="M343">
        <f>IF($C343="","",IFERROR(IF(N(INDEX('商品マスタ'!$J$6:$J$1005,MATCH($C343,'商品マスタ'!$B$6:$B$1005,0)))&gt;0,INDEX('商品マスタ'!$J$6:$J$1005,MATCH($C343,'商品マスタ'!$B$6:$B$1005,0)),""),""))</f>
        <v/>
      </c>
      <c r="N343">
        <f>IF($C343="","",IFERROR(IF(N(INDEX('商品マスタ'!$H$6:$H$1005,MATCH($C343,'商品マスタ'!$B$6:$B$1005,0)))&gt;0,INDEX('商品マスタ'!$H$6:$H$1005,MATCH($C343,'商品マスタ'!$B$6:$B$1005,0)),""),""))</f>
        <v/>
      </c>
      <c r="O343">
        <f>IF($C343="","",IF($N343&lt;&gt;"",$N343*$G343,IF(N(IF(COUNTIFS('①在庫を貼る'!$V$6:$V$10005,'設定'!$C$4,'①在庫を貼る'!$W$6:$W$10005,$C343)&gt;0,SUMIFS('①在庫を貼る'!$O$6:$O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O$6:$O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O$6:$O$10005,'月1回_2ヶ月前の在庫'!$V$6:$V$10005,'設定'!$C$4,'月1回_2ヶ月前の在庫'!$W$6:$W$10005,$C343)/COUNTIFS('月1回_2ヶ月前の在庫'!$V$6:$V$10005,'設定'!$C$4,'月1回_2ヶ月前の在庫'!$W$6:$W$10005,$C343),0))))&gt;0,N(IF(COUNTIFS('①在庫を貼る'!$V$6:$V$10005,'設定'!$C$4,'①在庫を貼る'!$W$6:$W$10005,$C343)&gt;0,SUMIFS('①在庫を貼る'!$O$6:$O$10005,'①在庫を貼る'!$V$6:$V$10005,'設定'!$C$4,'①在庫を貼る'!$W$6:$W$10005,$C343)/COUNTIFS('①在庫を貼る'!$V$6:$V$10005,'設定'!$C$4,'①在庫を貼る'!$W$6:$W$10005,$C343),IF(COUNTIFS('月1回_1ヶ月前の在庫'!$V$6:$V$10005,'設定'!$C$4,'月1回_1ヶ月前の在庫'!$W$6:$W$10005,$C343)&gt;0,SUMIFS('月1回_1ヶ月前の在庫'!$O$6:$O$10005,'月1回_1ヶ月前の在庫'!$V$6:$V$10005,'設定'!$C$4,'月1回_1ヶ月前の在庫'!$W$6:$W$10005,$C343)/COUNTIFS('月1回_1ヶ月前の在庫'!$V$6:$V$10005,'設定'!$C$4,'月1回_1ヶ月前の在庫'!$W$6:$W$10005,$C343),IF(COUNTIFS('月1回_2ヶ月前の在庫'!$V$6:$V$10005,'設定'!$C$4,'月1回_2ヶ月前の在庫'!$W$6:$W$10005,$C343)&gt;0,SUMIFS('月1回_2ヶ月前の在庫'!$O$6:$O$10005,'月1回_2ヶ月前の在庫'!$V$6:$V$10005,'設定'!$C$4,'月1回_2ヶ月前の在庫'!$W$6:$W$10005,$C343)/COUNTIFS('月1回_2ヶ月前の在庫'!$V$6:$V$10005,'設定'!$C$4,'月1回_2ヶ月前の在庫'!$W$6:$W$10005,$C343),0)))),"")))</f>
        <v/>
      </c>
      <c r="P343" s="90">
        <f>IF($C343="","",IF('②発注する'!$I347="","",'②発注する'!$I347))</f>
        <v/>
      </c>
      <c r="Q343">
        <f>IF($C343="","",IF('②発注する'!$J347="","",'②発注する'!$J347))</f>
        <v/>
      </c>
      <c r="R343">
        <f>IF($C343="",0,IF(AND(ISNUMBER($P343),ISNUMBER($Q343)),MAX(0,$Q343)*$G343,0))</f>
        <v/>
      </c>
      <c r="S343" s="90">
        <f>IF($C343="","",IF('②発注する'!$M347="","",'②発注する'!$M347))</f>
        <v/>
      </c>
      <c r="T343">
        <f>IF($C343="","",IF('②発注する'!$N347="","",'②発注する'!$N347))</f>
        <v/>
      </c>
      <c r="U343">
        <f>IF($C343="",0,IF(AND(ISNUMBER($S343),ISNUMBER($T343)),MAX(0,$T343)*$G343,0))</f>
        <v/>
      </c>
      <c r="V343">
        <f>IF($C343="",0,IF($M343="",0,MAX(0,$M343)*MAX(0,V$4)/100))</f>
        <v/>
      </c>
      <c r="W343">
        <f>IF($C343="",0,IF($M343="",0,MAX(0,$M343)*MAX(0,W$4)/100))</f>
        <v/>
      </c>
      <c r="X343">
        <f>IF($C343="",0,IF($M343="",0,MAX(0,$M343)*MAX(0,X$4)/100))</f>
        <v/>
      </c>
      <c r="Y343">
        <f>IF($C343="",0,IF($M343="",0,MAX(0,$M343)*MAX(0,Y$4)/100))</f>
        <v/>
      </c>
      <c r="Z343">
        <f>IF($C343="",0,IF($M343="",0,MAX(0,$M343)*MAX(0,Z$4)/100))</f>
        <v/>
      </c>
      <c r="AA343">
        <f>IF($C343="",0,IF($M343="",0,MAX(0,$M343)*MAX(0,AA$4)/100))</f>
        <v/>
      </c>
      <c r="AB343">
        <f>IF($C343="",0,IF($M343="",0,MAX(0,$M343)*MAX(0,AB$4)/100))</f>
        <v/>
      </c>
      <c r="AC343">
        <f>IF($C343="",0,IF($M343="",0,MAX(0,$M343)*MAX(0,AC$4)/100))</f>
        <v/>
      </c>
      <c r="AD343">
        <f>IF($C343="",0,IF($M343="",0,MAX(0,$M343)*MAX(0,AD$4)/100))</f>
        <v/>
      </c>
      <c r="AE343">
        <f>IF($C343="",0,IF($M343="",0,MAX(0,$M343)*MAX(0,AE$4)/100))</f>
        <v/>
      </c>
      <c r="AF343">
        <f>IF($C343="",0,IF($M343="",0,MAX(0,$M343)*MAX(0,AF$4)/100))</f>
        <v/>
      </c>
      <c r="AG343">
        <f>IF($C343="",0,IF($M343="",0,MAX(0,$M343)*MAX(0,AG$4)/100))</f>
        <v/>
      </c>
      <c r="AH343">
        <f>IF($C343="",0,IF($M343="",0,MAX(0,$M343)*MAX(0,AH$4)/100))</f>
        <v/>
      </c>
      <c r="AI343">
        <f>IF($C343="",0,IF($M343="",0,MAX(0,$M343)*MAX(0,AI$4)/100))</f>
        <v/>
      </c>
      <c r="AJ343">
        <f>IF($C343="",0,MAX(0,MAX(0,N($L343))-$V343))</f>
        <v/>
      </c>
      <c r="AK343">
        <f>IF($C343="",0,MAX(0,$AJ343-$W343))</f>
        <v/>
      </c>
      <c r="AL343">
        <f>IF($C343="",0,MAX(0,$AK343-$X343))</f>
        <v/>
      </c>
      <c r="AM343">
        <f>IF($C343="",0,MAX(0,$AL343-$Y343))</f>
        <v/>
      </c>
      <c r="AN343">
        <f>IF($C343="",0,MAX(0,$AM343-$Z343))</f>
        <v/>
      </c>
      <c r="AO343">
        <f>IF($C343="",0,MAX(0,$AN343-$AA343))</f>
        <v/>
      </c>
      <c r="AP343">
        <f>IF($C343="",0,MAX(0,$AO343-$AB343))</f>
        <v/>
      </c>
      <c r="AQ343">
        <f>IF($C343="",0,MAX(0,$AP343-$AC343))</f>
        <v/>
      </c>
      <c r="AR343">
        <f>IF($C343="",0,MAX(0,$AQ343-$AD343))</f>
        <v/>
      </c>
      <c r="AS343">
        <f>IF($C343="",0,MAX(0,$AR343-$AE343))</f>
        <v/>
      </c>
      <c r="AT343">
        <f>IF($C343="",0,MAX(0,$AS343-$AF343))</f>
        <v/>
      </c>
      <c r="AU343">
        <f>IF($C343="",0,MAX(0,$AT343-$AG343))</f>
        <v/>
      </c>
      <c r="AV343">
        <f>IF($C343="",0,MAX(0,$AU343-$AH343))</f>
        <v/>
      </c>
      <c r="AW343">
        <f>IF($C343="",0,MAX(0,$AV343-$AI343))</f>
        <v/>
      </c>
      <c r="AX343">
        <f>IF($C343="",0,MAX(0,MAX(0,N($L343))+IF($P343=V$3,$R343,0)+IF($S343=V$3,$U343,0)-$V343))</f>
        <v/>
      </c>
      <c r="AY343">
        <f>IF($C343="",0,MAX(0,$AX343+IF($P343=W$3,$R343,0)+IF($S343=W$3,$U343,0)-$W343))</f>
        <v/>
      </c>
      <c r="AZ343">
        <f>IF($C343="",0,MAX(0,$AY343+IF($P343=X$3,$R343,0)+IF($S343=X$3,$U343,0)-$X343))</f>
        <v/>
      </c>
      <c r="BA343">
        <f>IF($C343="",0,MAX(0,$AZ343+IF($P343=Y$3,$R343,0)+IF($S343=Y$3,$U343,0)-$Y343))</f>
        <v/>
      </c>
      <c r="BB343">
        <f>IF($C343="",0,MAX(0,$BA343+IF($P343=Z$3,$R343,0)+IF($S343=Z$3,$U343,0)-$Z343))</f>
        <v/>
      </c>
      <c r="BC343">
        <f>IF($C343="",0,MAX(0,$BB343+IF($P343=AA$3,$R343,0)+IF($S343=AA$3,$U343,0)-$AA343))</f>
        <v/>
      </c>
      <c r="BD343">
        <f>IF($C343="",0,MAX(0,$BC343+IF($P343=AB$3,$R343,0)+IF($S343=AB$3,$U343,0)-$AB343))</f>
        <v/>
      </c>
      <c r="BE343">
        <f>IF($C343="",0,MAX(0,$BD343+IF($P343=AC$3,$R343,0)+IF($S343=AC$3,$U343,0)-$AC343))</f>
        <v/>
      </c>
      <c r="BF343">
        <f>IF($C343="",0,MAX(0,$BE343+IF($P343=AD$3,$R343,0)+IF($S343=AD$3,$U343,0)-$AD343))</f>
        <v/>
      </c>
      <c r="BG343">
        <f>IF($C343="",0,MAX(0,$BF343+IF($P343=AE$3,$R343,0)+IF($S343=AE$3,$U343,0)-$AE343))</f>
        <v/>
      </c>
      <c r="BH343">
        <f>IF($C343="",0,MAX(0,$BG343+IF($P343=AF$3,$R343,0)+IF($S343=AF$3,$U343,0)-$AF343))</f>
        <v/>
      </c>
      <c r="BI343">
        <f>IF($C343="",0,MAX(0,$BH343+IF($P343=AG$3,$R343,0)+IF($S343=AG$3,$U343,0)-$AG343))</f>
        <v/>
      </c>
      <c r="BJ343">
        <f>IF($C343="",0,MAX(0,$BI343+IF($P343=AH$3,$R343,0)+IF($S343=AH$3,$U343,0)-$AH343))</f>
        <v/>
      </c>
      <c r="BK343">
        <f>IF($C343="",0,MAX(0,$BJ343+IF($P343=AI$3,$R343,0)+IF($S343=AI$3,$U343,0)-$AI343))</f>
        <v/>
      </c>
      <c r="BL343">
        <f>IF($C343="",99,IF(AND($AX343&lt;1,V$3&gt;=MAX(N($P343),N($S343))),0,99))</f>
        <v/>
      </c>
      <c r="BM343">
        <f>IF($C343="",99,IF(AND($AY343&lt;1,W$3&gt;=MAX(N($P343),N($S343))),1,99))</f>
        <v/>
      </c>
      <c r="BN343">
        <f>IF($C343="",99,IF(AND($AZ343&lt;1,X$3&gt;=MAX(N($P343),N($S343))),2,99))</f>
        <v/>
      </c>
      <c r="BO343">
        <f>IF($C343="",99,IF(AND($BA343&lt;1,Y$3&gt;=MAX(N($P343),N($S343))),3,99))</f>
        <v/>
      </c>
      <c r="BP343">
        <f>IF($C343="",99,IF(AND($BB343&lt;1,Z$3&gt;=MAX(N($P343),N($S343))),4,99))</f>
        <v/>
      </c>
      <c r="BQ343">
        <f>IF($C343="",99,IF(AND($BC343&lt;1,AA$3&gt;=MAX(N($P343),N($S343))),5,99))</f>
        <v/>
      </c>
      <c r="BR343">
        <f>IF($C343="",99,IF(AND($BD343&lt;1,AB$3&gt;=MAX(N($P343),N($S343))),6,99))</f>
        <v/>
      </c>
      <c r="BS343">
        <f>IF($C343="",99,IF(AND($BE343&lt;1,AC$3&gt;=MAX(N($P343),N($S343))),7,99))</f>
        <v/>
      </c>
      <c r="BT343">
        <f>IF($C343="",99,IF(AND($BF343&lt;1,AD$3&gt;=MAX(N($P343),N($S343))),8,99))</f>
        <v/>
      </c>
      <c r="BU343">
        <f>IF($C343="",99,IF(AND($BG343&lt;1,AE$3&gt;=MAX(N($P343),N($S343))),9,99))</f>
        <v/>
      </c>
      <c r="BV343">
        <f>IF($C343="",99,IF(AND($BH343&lt;1,AF$3&gt;=MAX(N($P343),N($S343))),10,99))</f>
        <v/>
      </c>
      <c r="BW343">
        <f>IF($C343="",99,IF(AND($BI343&lt;1,AG$3&gt;=MAX(N($P343),N($S343))),11,99))</f>
        <v/>
      </c>
      <c r="BX343">
        <f>IF($C343="",99,IF(AND($BJ343&lt;1,AH$3&gt;=MAX(N($P343),N($S343))),12,99))</f>
        <v/>
      </c>
      <c r="BY343">
        <f>IF($C343="",99,IF(AND($BK343&lt;1,AI$3&gt;=MAX(N($P343),N($S343))),13,99))</f>
        <v/>
      </c>
      <c r="BZ343">
        <f>IF(OR($C343="",$M343=""),"",COUNTIF($AJ343:$AW343,"&gt;=1"))</f>
        <v/>
      </c>
      <c r="CA343" s="90">
        <f>IF($BZ343="","",IF($BZ343&gt;=14,"",'設定'!$C$6+$BZ343))</f>
        <v/>
      </c>
      <c r="CB343">
        <f>IF(OR($C343="",$M343=""),"",MIN($BL343:$BY343))</f>
        <v/>
      </c>
      <c r="CC343" s="90">
        <f>IF($CB343="","",IF($CB343&gt;=99,"",'設定'!$C$6+$CB343))</f>
        <v/>
      </c>
      <c r="CD343">
        <f>IF(OR($C343="",$M343=""),"",AVERAGE($V343:$AI343))</f>
        <v/>
      </c>
      <c r="CE343">
        <f>IF($C343="","",IFERROR(IF(MATCH(IF(ISNUMBER($P343),$P343,'設定'!$C$6+N('設定'!$C$7)),$V$3:$AI$3,0)=1,MAX(0,N($L343)),INDEX($AJ343:$AW343,MATCH(IF(ISNUMBER($P343),$P343,'設定'!$C$6+N('設定'!$C$7)),$V$3:$AI$3,0)-1)),""))</f>
        <v/>
      </c>
      <c r="CF343">
        <f>IF(OR($C343="",$O343="",$CE343=""),"",IF($O343-$CE343&lt;=0,0,ROUNDUP(($O343-$CE343)/$G343,0)))</f>
        <v/>
      </c>
      <c r="CG343">
        <f>IF(OR($C343="",$CF343="",NOT(ISNUMBER($Q343))),0,MAX(0,$Q343-$CF343))</f>
        <v/>
      </c>
      <c r="CH343">
        <f>IF(OR($C343="",$O343="",$U343=0),0,IFERROR(ROUNDUP(MAX(0,IF(MATCH($S343,$V$3:$AI$3,0)=1,MAX(0,N($L343)),INDEX($AX343:$BK343,MATCH($S343,$V$3:$AI$3,0)-1))+$U343-$O343)/$G343,0),0))</f>
        <v/>
      </c>
      <c r="CI343">
        <f>IF($C343="","",IF(AND($P343="",$Q343=""),"",IF($P343="","⚠ 入庫日を ▼ から選んでください",IF(NOT(ISNUMBER($P343)),"⚠ 入庫日は ▼ から選んでください",IF($P343&lt;N('設定'!$C$6),"⚠ 入庫日が過去です（もう在庫に入っています）→ 消してください",IF($P343&gt;N('設定'!$C$6)+13,"⚠ 入庫日が14日より先です",IF(N($Q343)&lt;=0,"⚠ 入庫数を入れてください",IF($CG343&gt;0,"⚠ 目安より "&amp;$CG343&amp;" 多い（定数を超える）→ 減らす",""))))))))</f>
        <v/>
      </c>
      <c r="CJ343">
        <f>IF($C343="","",IF(AND($S343="",$T343=""),"",IF($S343="","⚠ 2便目：入庫日を ▼ から選んでください",IF(NOT(ISNUMBER($S343)),"⚠ 2便目：入庫日は ▼ から選んでください",IF($S343&lt;N('設定'!$C$6),"⚠ 2便目：入庫日が過去です（もう在庫に入っています）→ 消してください",IF($S343&gt;N('設定'!$C$6)+13,"⚠ 2便目：入庫日が14日より先です",IF(N($T343)&lt;=0,"⚠ 2便目：入庫数を入れてください",IF($CH343&gt;0,"⚠ 2便目：定数を "&amp;$CH343&amp;" ケース超える → 減らす",""))))))))</f>
        <v/>
      </c>
      <c r="CK343">
        <f>IF(AND($CI343="",N($Q343)&gt;0,ISNUMBER($P343)),1,0)</f>
        <v/>
      </c>
      <c r="CL343">
        <f>IF(AND($CJ343="",N($T343)&gt;0,ISNUMBER($S343)),1,0)</f>
        <v/>
      </c>
      <c r="CM343">
        <f>IF(OR($CK343=1,$CL343=1),1,0)</f>
        <v/>
      </c>
      <c r="CN343">
        <f>IF($C343="",0,($CK343*$R343+$CL343*$U343)*N($H343))</f>
        <v/>
      </c>
      <c r="CO343">
        <f>IF($C343="","",IF($CC343="","入庫後は 14日以上もつ",IF($CC343-N('設定'!$C$7)&lt;='設定'!$C$6,"入庫後も "&amp;TEXT($CC343,"m/d")&amp;"("&amp;CHOOSE(WEEKDAY($CC343),"日","月","火","水","木","金","土")&amp;")"&amp;" に切れる　もう1便を至急発注","入庫後も "&amp;TEXT($CC343,"m/d")&amp;"("&amp;CHOOSE(WEEKDAY($CC343),"日","月","火","水","木","金","土")&amp;")"&amp;" に切れる　"&amp;TEXT($CC343-N('設定'!$C$7),"m/d")&amp;"("&amp;CHOOSE(WEEKDAY($CC343-N('設定'!$C$7)),"日","月","火","水","木","金","土")&amp;")"&amp;" までに次を発注")))</f>
        <v/>
      </c>
      <c r="CP343">
        <f>IF($C343="","",IF('設定'!$C$6="","？ ①在庫を貼る に今日のCSVが貼られていない",IF($CS343=1,"－ 今日のCSVに無い（終売？）",IF($L343&lt;0,"● 在庫がマイナス　数えて「数えた在庫」に入れる",IF($L343=0,"● 在庫なし　至急発注",IF($M343="","？ 減り数が未設定（商品マスタ）",IF($B$3=0,"？ 動員が未入力（動員を入れる）",IF($CA343="","○ 14日以上もつ",IF($BZ343&lt;N('設定'!$C$7),"● "&amp;TEXT($CA343,"m/d")&amp;"("&amp;CHOOSE(WEEKDAY($CA343),"日","月","火","水","木","金","土")&amp;")"&amp;" に切れる　至急発注",IF($BZ343=N('設定'!$C$7),"● "&amp;TEXT($CA343,"m/d")&amp;"("&amp;CHOOSE(WEEKDAY($CA343),"日","月","火","水","木","金","土")&amp;")"&amp;" に切れる　今日発注","△ "&amp;TEXT($CA343,"m/d")&amp;"("&amp;CHOOSE(WEEKDAY($CA343),"日","月","火","水","木","金","土")&amp;")"&amp;" に切れる　"&amp;TEXT($CA343-N('設定'!$C$7),"m/d")&amp;"("&amp;CHOOSE(WEEKDAY($CA343-N('設定'!$C$7)),"日","月","火","水","木","金","土")&amp;")"&amp;" までに発注"))))))))))</f>
        <v/>
      </c>
      <c r="CQ343">
        <f>IF($C343="","",IF(AND($P343="",$Q343="",$S343="",$T343=""),"",IF(AND($P343="",$Q343=""),"⚠ 先に1便目（左の入庫日・入庫数）に入れてください",IF($CI343&lt;&gt;"",$CI343,IF($CJ343&lt;&gt;"",$CJ343,IF($M343="","？ 減り数が未設定（発注書には載ります）",IF($B$3=0,"？ 動員が未入力（発注書には載ります）",IF(AND($CA343&lt;&gt;"",$P343&gt;$CA343),IF($P343&gt;'設定'!$C$6+N('設定'!$C$7),"● "&amp;TEXT($P343,"m/d")&amp;"("&amp;CHOOSE(WEEKDAY($P343),"日","月","火","水","木","金","土")&amp;")"&amp;" の入庫では間に合わない（"&amp;TEXT($CA343,"m/d")&amp;"("&amp;CHOOSE(WEEKDAY($CA343),"日","月","火","水","木","金","土")&amp;")"&amp;" に切れる）　入庫日を早める","△ 欠品 "&amp;TEXT($CA343,"m/d")&amp;"("&amp;CHOOSE(WEEKDAY($CA343),"日","月","火","水","木","金","土")&amp;")"&amp;"〜"&amp;TEXT($P343-1,"m/d")&amp;"("&amp;CHOOSE(WEEKDAY($P343-1),"日","月","火","水","木","金","土")&amp;")"&amp;"　"&amp;$CO343),IF($CC343="","○ "&amp;TEXT($P343,"m/d")&amp;"("&amp;CHOOSE(WEEKDAY($P343),"日","月","火","水","木","金","土")&amp;")"&amp;" 入庫で 14日以上もつ",IF($CC343-N('設定'!$C$7)&lt;='設定'!$C$6,"● 入庫しても "&amp;TEXT($CC343,"m/d")&amp;"("&amp;CHOOSE(WEEKDAY($CC343),"日","月","火","水","木","金","土")&amp;")"&amp;" に切れる　もう1便を至急発注（2便目に入れる）","△ 入庫しても "&amp;TEXT($CC343,"m/d")&amp;"("&amp;CHOOSE(WEEKDAY($CC343),"日","月","火","水","木","金","土")&amp;")"&amp;" に切れる　"&amp;TEXT($CC343-N('設定'!$C$7),"m/d")&amp;"("&amp;CHOOSE(WEEKDAY($CC343-N('設定'!$C$7)),"日","月","火","水","木","金","土")&amp;")"&amp;" までに次を発注（2便目に入れる）"))))))))))</f>
        <v/>
      </c>
      <c r="CR343">
        <f>IF($C343="","",IF($G343&gt;1,"ｹｰｽ("&amp;$G343&amp;"入)","個"))</f>
        <v/>
      </c>
      <c r="CS343">
        <f>IF($C343="",0,IF(COUNTIFS('①在庫を貼る'!$V$6:$V$10005,'設定'!$C$4,'①在庫を貼る'!$W$6:$W$10005,$C343)=0,1,0))</f>
        <v/>
      </c>
      <c r="CT343">
        <f>IF(AND($CK343=1,OR('③発注書'!$C$4="すべて",'③発注書'!$C$4="",$F343='③発注書'!$C$4)),N($CT342)+1,N($CT342))</f>
        <v/>
      </c>
      <c r="CU343">
        <f>IF(AND($CL343=1,OR('③発注書'!$C$4="すべて",'③発注書'!$C$4="",$F343='③発注書'!$C$4)),N($CU342)+1,N($CU342))</f>
        <v/>
      </c>
      <c r="CV343">
        <f>IF($C343="",0,IF(COUNTIFS('①在庫を貼る'!$V$6:$V$10005,'設定'!$C$4,'①在庫を貼る'!$W$6:$W$10005,$C343)&gt;0,1,0))</f>
        <v/>
      </c>
      <c r="CW343">
        <f>IF($C343="",0,IF(COUNTIFS('月1回_1ヶ月前の在庫'!$V$6:$V$10005,'設定'!$C$4,'月1回_1ヶ月前の在庫'!$W$6:$W$10005,$C343)&gt;0,1,0))</f>
        <v/>
      </c>
      <c r="CX343">
        <f>IF($C343="",0,IF(COUNTIFS('月1回_2ヶ月前の在庫'!$V$6:$V$10005,'設定'!$C$4,'月1回_2ヶ月前の在庫'!$W$6:$W$10005,$C343)&gt;0,1,0))</f>
        <v/>
      </c>
      <c r="CY343">
        <f>IF(OR($C343="",'設定'!$C$12=""),"",IF('設定'!$C$13="",IF(AND($CV343=1,$CW343=0),"新商品（今月から）",IF(AND($CV343=0,$CW343=1),"終売（今月から）","")),IF(AND($CV343=1,$CW343=0,$CX343=0),"新商品（今月から）",IF(AND($CV343=1,$CW343=1,$CX343=0),"新商品（先月から）",IF(AND($CV343=0,$CW343=1,$CX343=1),"終売（今月から）",IF(AND($CV343=0,$CW343=0,$CX343=1),"終売（先月から）",IF(AND($CV343=1,$CW343=0,$CX343=1),"復活（先月は無し）","")))))))</f>
        <v/>
      </c>
    </row>
    <row r="344">
      <c r="B344">
        <f>IF(339&lt;='設定'!$C$11,339,"")</f>
        <v/>
      </c>
      <c r="C344">
        <f>IF($B344="","",IF($B344&lt;='設定'!$C$20,INDEX('商品マスタ'!$B$6:$B$1005,MATCH($B344,'商品マスタ'!$M$6:$M$1005,0)),IF($B344&lt;='設定'!$C$20+'設定'!$C$17,INDEX('①在庫を貼る'!$W$6:$W$10005,MATCH($B344-'設定'!$C$20,'①在庫を貼る'!$U$6:$U$10005,0)),IF($B344&lt;='設定'!$C$20+'設定'!$C$17+'設定'!$C$18,INDEX('月1回_1ヶ月前の在庫'!$W$6:$W$10005,MATCH($B344-'設定'!$C$20-'設定'!$C$17,'月1回_1ヶ月前の在庫'!$U$6:$U$10005,0)),INDEX('月1回_2ヶ月前の在庫'!$W$6:$W$10005,MATCH($B344-'設定'!$C$20-'設定'!$C$17-'設定'!$C$18,'月1回_2ヶ月前の在庫'!$U$6:$U$10005,0))))))</f>
        <v/>
      </c>
      <c r="D344">
        <f>IF($C344="","",IFERROR(IF(INDEX('商品マスタ'!$C$6:$C$1005,MATCH($C344,'商品マスタ'!$B$6:$B$1005,0))="",IFERROR(INDEX('①在庫を貼る'!$J$6:$J$10005,MATCH($C344,'①在庫を貼る'!$W$6:$W$10005,0)),IFERROR(INDEX('月1回_1ヶ月前の在庫'!$J$6:$J$10005,MATCH($C344,'月1回_1ヶ月前の在庫'!$W$6:$W$10005,0)),IFERROR(INDEX('月1回_2ヶ月前の在庫'!$J$6:$J$10005,MATCH($C344,'月1回_2ヶ月前の在庫'!$W$6:$W$10005,0)),""))),INDEX('商品マスタ'!$C$6:$C$1005,MATCH($C344,'商品マスタ'!$B$6:$B$1005,0))),IFERROR(INDEX('①在庫を貼る'!$J$6:$J$10005,MATCH($C344,'①在庫を貼る'!$W$6:$W$10005,0)),IFERROR(INDEX('月1回_1ヶ月前の在庫'!$J$6:$J$10005,MATCH($C344,'月1回_1ヶ月前の在庫'!$W$6:$W$10005,0)),IFERROR(INDEX('月1回_2ヶ月前の在庫'!$J$6:$J$10005,MATCH($C344,'月1回_2ヶ月前の在庫'!$W$6:$W$10005,0)),"")))))</f>
        <v/>
      </c>
      <c r="E344">
        <f>IF($C344="","",IFERROR(IF(INDEX('商品マスタ'!$D$6:$D$1005,MATCH($C344,'商品マスタ'!$B$6:$B$1005,0))="",IFERROR(INDEX('①在庫を貼る'!$H$6:$H$10005,MATCH($C344,'①在庫を貼る'!$W$6:$W$10005,0)),IFERROR(INDEX('月1回_1ヶ月前の在庫'!$H$6:$H$10005,MATCH($C344,'月1回_1ヶ月前の在庫'!$W$6:$W$10005,0)),IFERROR(INDEX('月1回_2ヶ月前の在庫'!$H$6:$H$10005,MATCH($C344,'月1回_2ヶ月前の在庫'!$W$6:$W$10005,0)),""))),INDEX('商品マスタ'!$D$6:$D$1005,MATCH($C344,'商品マスタ'!$B$6:$B$1005,0))),IFERROR(INDEX('①在庫を貼る'!$H$6:$H$10005,MATCH($C344,'①在庫を貼る'!$W$6:$W$10005,0)),IFERROR(INDEX('月1回_1ヶ月前の在庫'!$H$6:$H$10005,MATCH($C344,'月1回_1ヶ月前の在庫'!$W$6:$W$10005,0)),IFERROR(INDEX('月1回_2ヶ月前の在庫'!$H$6:$H$10005,MATCH($C344,'月1回_2ヶ月前の在庫'!$W$6:$W$10005,0)),"")))))</f>
        <v/>
      </c>
      <c r="F344">
        <f>IF($C344="","",IFERROR(IF(INDEX('商品マスタ'!$E$6:$E$1005,MATCH($C344,'商品マスタ'!$B$6:$B$1005,0))="",IFERROR(INDEX('①在庫を貼る'!$E$6:$E$10005,MATCH($C344,'①在庫を貼る'!$W$6:$W$10005,0)),IFERROR(INDEX('月1回_1ヶ月前の在庫'!$E$6:$E$10005,MATCH($C344,'月1回_1ヶ月前の在庫'!$W$6:$W$10005,0)),IFERROR(INDEX('月1回_2ヶ月前の在庫'!$E$6:$E$10005,MATCH($C344,'月1回_2ヶ月前の在庫'!$W$6:$W$10005,0)),""))),INDEX('商品マスタ'!$E$6:$E$1005,MATCH($C344,'商品マスタ'!$B$6:$B$1005,0))),IFERROR(INDEX('①在庫を貼る'!$E$6:$E$10005,MATCH($C344,'①在庫を貼る'!$W$6:$W$10005,0)),IFERROR(INDEX('月1回_1ヶ月前の在庫'!$E$6:$E$10005,MATCH($C344,'月1回_1ヶ月前の在庫'!$W$6:$W$10005,0)),IFERROR(INDEX('月1回_2ヶ月前の在庫'!$E$6:$E$10005,MATCH($C344,'月1回_2ヶ月前の在庫'!$W$6:$W$10005,0)),"")))))</f>
        <v/>
      </c>
      <c r="G344">
        <f>IF($C344="","",MAX(1,N(IFERROR(IF(INDEX('商品マスタ'!$F$6:$F$1005,MATCH($C344,'商品マスタ'!$B$6:$B$1005,0))="",IF(COUNTIFS('①在庫を貼る'!$V$6:$V$10005,'設定'!$C$4,'①在庫を貼る'!$W$6:$W$10005,$C344)&gt;0,SUMIFS('①在庫を貼る'!$K$6:$K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K$6:$K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K$6:$K$10005,'月1回_2ヶ月前の在庫'!$V$6:$V$10005,'設定'!$C$4,'月1回_2ヶ月前の在庫'!$W$6:$W$10005,$C344)/COUNTIFS('月1回_2ヶ月前の在庫'!$V$6:$V$10005,'設定'!$C$4,'月1回_2ヶ月前の在庫'!$W$6:$W$10005,$C344),0))),INDEX('商品マスタ'!$F$6:$F$1005,MATCH($C344,'商品マスタ'!$B$6:$B$1005,0))),IF(COUNTIFS('①在庫を貼る'!$V$6:$V$10005,'設定'!$C$4,'①在庫を貼る'!$W$6:$W$10005,$C344)&gt;0,SUMIFS('①在庫を貼る'!$K$6:$K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K$6:$K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K$6:$K$10005,'月1回_2ヶ月前の在庫'!$V$6:$V$10005,'設定'!$C$4,'月1回_2ヶ月前の在庫'!$W$6:$W$10005,$C344)/COUNTIFS('月1回_2ヶ月前の在庫'!$V$6:$V$10005,'設定'!$C$4,'月1回_2ヶ月前の在庫'!$W$6:$W$10005,$C344),0)))))))</f>
        <v/>
      </c>
      <c r="H344">
        <f>IF($C344="","",N(IFERROR(IF(INDEX('商品マスタ'!$G$6:$G$1005,MATCH($C344,'商品マスタ'!$B$6:$B$1005,0))="",IF(COUNTIFS('①在庫を貼る'!$V$6:$V$10005,'設定'!$C$4,'①在庫を貼る'!$W$6:$W$10005,$C344)&gt;0,SUMIFS('①在庫を貼る'!$Q$6:$Q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Q$6:$Q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Q$6:$Q$10005,'月1回_2ヶ月前の在庫'!$V$6:$V$10005,'設定'!$C$4,'月1回_2ヶ月前の在庫'!$W$6:$W$10005,$C344)/COUNTIFS('月1回_2ヶ月前の在庫'!$V$6:$V$10005,'設定'!$C$4,'月1回_2ヶ月前の在庫'!$W$6:$W$10005,$C344),0))),INDEX('商品マスタ'!$G$6:$G$1005,MATCH($C344,'商品マスタ'!$B$6:$B$1005,0))),IF(COUNTIFS('①在庫を貼る'!$V$6:$V$10005,'設定'!$C$4,'①在庫を貼る'!$W$6:$W$10005,$C344)&gt;0,SUMIFS('①在庫を貼る'!$Q$6:$Q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Q$6:$Q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Q$6:$Q$10005,'月1回_2ヶ月前の在庫'!$V$6:$V$10005,'設定'!$C$4,'月1回_2ヶ月前の在庫'!$W$6:$W$10005,$C344)/COUNTIFS('月1回_2ヶ月前の在庫'!$V$6:$V$10005,'設定'!$C$4,'月1回_2ヶ月前の在庫'!$W$6:$W$10005,$C344),0))))))</f>
        <v/>
      </c>
      <c r="I344">
        <f>IF($C344="","",IF(COUNTIFS('①在庫を貼る'!$V$6:$V$10005,'設定'!$C$4,'①在庫を貼る'!$W$6:$W$10005,$C344)=0,"",SUMIFS('①在庫を貼る'!$N$6:$N$10005,'①在庫を貼る'!$V$6:$V$10005,'設定'!$C$4,'①在庫を貼る'!$W$6:$W$10005,$C344)))</f>
        <v/>
      </c>
      <c r="J344">
        <f>IF($C344="","",IF('②発注する'!$AD348="","",'②発注する'!$AD348))</f>
        <v/>
      </c>
      <c r="K344" s="90">
        <f>IF($C344="","",IF('②発注する'!$AE348="","",'②発注する'!$AE348))</f>
        <v/>
      </c>
      <c r="L344">
        <f>IF($C344="","",IF(AND(ISNUMBER($J344),ISNUMBER($K344),$K344&gt;='設定'!$C$6),$J344,N($I344)))</f>
        <v/>
      </c>
      <c r="M344">
        <f>IF($C344="","",IFERROR(IF(N(INDEX('商品マスタ'!$J$6:$J$1005,MATCH($C344,'商品マスタ'!$B$6:$B$1005,0)))&gt;0,INDEX('商品マスタ'!$J$6:$J$1005,MATCH($C344,'商品マスタ'!$B$6:$B$1005,0)),""),""))</f>
        <v/>
      </c>
      <c r="N344">
        <f>IF($C344="","",IFERROR(IF(N(INDEX('商品マスタ'!$H$6:$H$1005,MATCH($C344,'商品マスタ'!$B$6:$B$1005,0)))&gt;0,INDEX('商品マスタ'!$H$6:$H$1005,MATCH($C344,'商品マスタ'!$B$6:$B$1005,0)),""),""))</f>
        <v/>
      </c>
      <c r="O344">
        <f>IF($C344="","",IF($N344&lt;&gt;"",$N344*$G344,IF(N(IF(COUNTIFS('①在庫を貼る'!$V$6:$V$10005,'設定'!$C$4,'①在庫を貼る'!$W$6:$W$10005,$C344)&gt;0,SUMIFS('①在庫を貼る'!$O$6:$O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O$6:$O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O$6:$O$10005,'月1回_2ヶ月前の在庫'!$V$6:$V$10005,'設定'!$C$4,'月1回_2ヶ月前の在庫'!$W$6:$W$10005,$C344)/COUNTIFS('月1回_2ヶ月前の在庫'!$V$6:$V$10005,'設定'!$C$4,'月1回_2ヶ月前の在庫'!$W$6:$W$10005,$C344),0))))&gt;0,N(IF(COUNTIFS('①在庫を貼る'!$V$6:$V$10005,'設定'!$C$4,'①在庫を貼る'!$W$6:$W$10005,$C344)&gt;0,SUMIFS('①在庫を貼る'!$O$6:$O$10005,'①在庫を貼る'!$V$6:$V$10005,'設定'!$C$4,'①在庫を貼る'!$W$6:$W$10005,$C344)/COUNTIFS('①在庫を貼る'!$V$6:$V$10005,'設定'!$C$4,'①在庫を貼る'!$W$6:$W$10005,$C344),IF(COUNTIFS('月1回_1ヶ月前の在庫'!$V$6:$V$10005,'設定'!$C$4,'月1回_1ヶ月前の在庫'!$W$6:$W$10005,$C344)&gt;0,SUMIFS('月1回_1ヶ月前の在庫'!$O$6:$O$10005,'月1回_1ヶ月前の在庫'!$V$6:$V$10005,'設定'!$C$4,'月1回_1ヶ月前の在庫'!$W$6:$W$10005,$C344)/COUNTIFS('月1回_1ヶ月前の在庫'!$V$6:$V$10005,'設定'!$C$4,'月1回_1ヶ月前の在庫'!$W$6:$W$10005,$C344),IF(COUNTIFS('月1回_2ヶ月前の在庫'!$V$6:$V$10005,'設定'!$C$4,'月1回_2ヶ月前の在庫'!$W$6:$W$10005,$C344)&gt;0,SUMIFS('月1回_2ヶ月前の在庫'!$O$6:$O$10005,'月1回_2ヶ月前の在庫'!$V$6:$V$10005,'設定'!$C$4,'月1回_2ヶ月前の在庫'!$W$6:$W$10005,$C344)/COUNTIFS('月1回_2ヶ月前の在庫'!$V$6:$V$10005,'設定'!$C$4,'月1回_2ヶ月前の在庫'!$W$6:$W$10005,$C344),0)))),"")))</f>
        <v/>
      </c>
      <c r="P344" s="90">
        <f>IF($C344="","",IF('②発注する'!$I348="","",'②発注する'!$I348))</f>
        <v/>
      </c>
      <c r="Q344">
        <f>IF($C344="","",IF('②発注する'!$J348="","",'②発注する'!$J348))</f>
        <v/>
      </c>
      <c r="R344">
        <f>IF($C344="",0,IF(AND(ISNUMBER($P344),ISNUMBER($Q344)),MAX(0,$Q344)*$G344,0))</f>
        <v/>
      </c>
      <c r="S344" s="90">
        <f>IF($C344="","",IF('②発注する'!$M348="","",'②発注する'!$M348))</f>
        <v/>
      </c>
      <c r="T344">
        <f>IF($C344="","",IF('②発注する'!$N348="","",'②発注する'!$N348))</f>
        <v/>
      </c>
      <c r="U344">
        <f>IF($C344="",0,IF(AND(ISNUMBER($S344),ISNUMBER($T344)),MAX(0,$T344)*$G344,0))</f>
        <v/>
      </c>
      <c r="V344">
        <f>IF($C344="",0,IF($M344="",0,MAX(0,$M344)*MAX(0,V$4)/100))</f>
        <v/>
      </c>
      <c r="W344">
        <f>IF($C344="",0,IF($M344="",0,MAX(0,$M344)*MAX(0,W$4)/100))</f>
        <v/>
      </c>
      <c r="X344">
        <f>IF($C344="",0,IF($M344="",0,MAX(0,$M344)*MAX(0,X$4)/100))</f>
        <v/>
      </c>
      <c r="Y344">
        <f>IF($C344="",0,IF($M344="",0,MAX(0,$M344)*MAX(0,Y$4)/100))</f>
        <v/>
      </c>
      <c r="Z344">
        <f>IF($C344="",0,IF($M344="",0,MAX(0,$M344)*MAX(0,Z$4)/100))</f>
        <v/>
      </c>
      <c r="AA344">
        <f>IF($C344="",0,IF($M344="",0,MAX(0,$M344)*MAX(0,AA$4)/100))</f>
        <v/>
      </c>
      <c r="AB344">
        <f>IF($C344="",0,IF($M344="",0,MAX(0,$M344)*MAX(0,AB$4)/100))</f>
        <v/>
      </c>
      <c r="AC344">
        <f>IF($C344="",0,IF($M344="",0,MAX(0,$M344)*MAX(0,AC$4)/100))</f>
        <v/>
      </c>
      <c r="AD344">
        <f>IF($C344="",0,IF($M344="",0,MAX(0,$M344)*MAX(0,AD$4)/100))</f>
        <v/>
      </c>
      <c r="AE344">
        <f>IF($C344="",0,IF($M344="",0,MAX(0,$M344)*MAX(0,AE$4)/100))</f>
        <v/>
      </c>
      <c r="AF344">
        <f>IF($C344="",0,IF($M344="",0,MAX(0,$M344)*MAX(0,AF$4)/100))</f>
        <v/>
      </c>
      <c r="AG344">
        <f>IF($C344="",0,IF($M344="",0,MAX(0,$M344)*MAX(0,AG$4)/100))</f>
        <v/>
      </c>
      <c r="AH344">
        <f>IF($C344="",0,IF($M344="",0,MAX(0,$M344)*MAX(0,AH$4)/100))</f>
        <v/>
      </c>
      <c r="AI344">
        <f>IF($C344="",0,IF($M344="",0,MAX(0,$M344)*MAX(0,AI$4)/100))</f>
        <v/>
      </c>
      <c r="AJ344">
        <f>IF($C344="",0,MAX(0,MAX(0,N($L344))-$V344))</f>
        <v/>
      </c>
      <c r="AK344">
        <f>IF($C344="",0,MAX(0,$AJ344-$W344))</f>
        <v/>
      </c>
      <c r="AL344">
        <f>IF($C344="",0,MAX(0,$AK344-$X344))</f>
        <v/>
      </c>
      <c r="AM344">
        <f>IF($C344="",0,MAX(0,$AL344-$Y344))</f>
        <v/>
      </c>
      <c r="AN344">
        <f>IF($C344="",0,MAX(0,$AM344-$Z344))</f>
        <v/>
      </c>
      <c r="AO344">
        <f>IF($C344="",0,MAX(0,$AN344-$AA344))</f>
        <v/>
      </c>
      <c r="AP344">
        <f>IF($C344="",0,MAX(0,$AO344-$AB344))</f>
        <v/>
      </c>
      <c r="AQ344">
        <f>IF($C344="",0,MAX(0,$AP344-$AC344))</f>
        <v/>
      </c>
      <c r="AR344">
        <f>IF($C344="",0,MAX(0,$AQ344-$AD344))</f>
        <v/>
      </c>
      <c r="AS344">
        <f>IF($C344="",0,MAX(0,$AR344-$AE344))</f>
        <v/>
      </c>
      <c r="AT344">
        <f>IF($C344="",0,MAX(0,$AS344-$AF344))</f>
        <v/>
      </c>
      <c r="AU344">
        <f>IF($C344="",0,MAX(0,$AT344-$AG344))</f>
        <v/>
      </c>
      <c r="AV344">
        <f>IF($C344="",0,MAX(0,$AU344-$AH344))</f>
        <v/>
      </c>
      <c r="AW344">
        <f>IF($C344="",0,MAX(0,$AV344-$AI344))</f>
        <v/>
      </c>
      <c r="AX344">
        <f>IF($C344="",0,MAX(0,MAX(0,N($L344))+IF($P344=V$3,$R344,0)+IF($S344=V$3,$U344,0)-$V344))</f>
        <v/>
      </c>
      <c r="AY344">
        <f>IF($C344="",0,MAX(0,$AX344+IF($P344=W$3,$R344,0)+IF($S344=W$3,$U344,0)-$W344))</f>
        <v/>
      </c>
      <c r="AZ344">
        <f>IF($C344="",0,MAX(0,$AY344+IF($P344=X$3,$R344,0)+IF($S344=X$3,$U344,0)-$X344))</f>
        <v/>
      </c>
      <c r="BA344">
        <f>IF($C344="",0,MAX(0,$AZ344+IF($P344=Y$3,$R344,0)+IF($S344=Y$3,$U344,0)-$Y344))</f>
        <v/>
      </c>
      <c r="BB344">
        <f>IF($C344="",0,MAX(0,$BA344+IF($P344=Z$3,$R344,0)+IF($S344=Z$3,$U344,0)-$Z344))</f>
        <v/>
      </c>
      <c r="BC344">
        <f>IF($C344="",0,MAX(0,$BB344+IF($P344=AA$3,$R344,0)+IF($S344=AA$3,$U344,0)-$AA344))</f>
        <v/>
      </c>
      <c r="BD344">
        <f>IF($C344="",0,MAX(0,$BC344+IF($P344=AB$3,$R344,0)+IF($S344=AB$3,$U344,0)-$AB344))</f>
        <v/>
      </c>
      <c r="BE344">
        <f>IF($C344="",0,MAX(0,$BD344+IF($P344=AC$3,$R344,0)+IF($S344=AC$3,$U344,0)-$AC344))</f>
        <v/>
      </c>
      <c r="BF344">
        <f>IF($C344="",0,MAX(0,$BE344+IF($P344=AD$3,$R344,0)+IF($S344=AD$3,$U344,0)-$AD344))</f>
        <v/>
      </c>
      <c r="BG344">
        <f>IF($C344="",0,MAX(0,$BF344+IF($P344=AE$3,$R344,0)+IF($S344=AE$3,$U344,0)-$AE344))</f>
        <v/>
      </c>
      <c r="BH344">
        <f>IF($C344="",0,MAX(0,$BG344+IF($P344=AF$3,$R344,0)+IF($S344=AF$3,$U344,0)-$AF344))</f>
        <v/>
      </c>
      <c r="BI344">
        <f>IF($C344="",0,MAX(0,$BH344+IF($P344=AG$3,$R344,0)+IF($S344=AG$3,$U344,0)-$AG344))</f>
        <v/>
      </c>
      <c r="BJ344">
        <f>IF($C344="",0,MAX(0,$BI344+IF($P344=AH$3,$R344,0)+IF($S344=AH$3,$U344,0)-$AH344))</f>
        <v/>
      </c>
      <c r="BK344">
        <f>IF($C344="",0,MAX(0,$BJ344+IF($P344=AI$3,$R344,0)+IF($S344=AI$3,$U344,0)-$AI344))</f>
        <v/>
      </c>
      <c r="BL344">
        <f>IF($C344="",99,IF(AND($AX344&lt;1,V$3&gt;=MAX(N($P344),N($S344))),0,99))</f>
        <v/>
      </c>
      <c r="BM344">
        <f>IF($C344="",99,IF(AND($AY344&lt;1,W$3&gt;=MAX(N($P344),N($S344))),1,99))</f>
        <v/>
      </c>
      <c r="BN344">
        <f>IF($C344="",99,IF(AND($AZ344&lt;1,X$3&gt;=MAX(N($P344),N($S344))),2,99))</f>
        <v/>
      </c>
      <c r="BO344">
        <f>IF($C344="",99,IF(AND($BA344&lt;1,Y$3&gt;=MAX(N($P344),N($S344))),3,99))</f>
        <v/>
      </c>
      <c r="BP344">
        <f>IF($C344="",99,IF(AND($BB344&lt;1,Z$3&gt;=MAX(N($P344),N($S344))),4,99))</f>
        <v/>
      </c>
      <c r="BQ344">
        <f>IF($C344="",99,IF(AND($BC344&lt;1,AA$3&gt;=MAX(N($P344),N($S344))),5,99))</f>
        <v/>
      </c>
      <c r="BR344">
        <f>IF($C344="",99,IF(AND($BD344&lt;1,AB$3&gt;=MAX(N($P344),N($S344))),6,99))</f>
        <v/>
      </c>
      <c r="BS344">
        <f>IF($C344="",99,IF(AND($BE344&lt;1,AC$3&gt;=MAX(N($P344),N($S344))),7,99))</f>
        <v/>
      </c>
      <c r="BT344">
        <f>IF($C344="",99,IF(AND($BF344&lt;1,AD$3&gt;=MAX(N($P344),N($S344))),8,99))</f>
        <v/>
      </c>
      <c r="BU344">
        <f>IF($C344="",99,IF(AND($BG344&lt;1,AE$3&gt;=MAX(N($P344),N($S344))),9,99))</f>
        <v/>
      </c>
      <c r="BV344">
        <f>IF($C344="",99,IF(AND($BH344&lt;1,AF$3&gt;=MAX(N($P344),N($S344))),10,99))</f>
        <v/>
      </c>
      <c r="BW344">
        <f>IF($C344="",99,IF(AND($BI344&lt;1,AG$3&gt;=MAX(N($P344),N($S344))),11,99))</f>
        <v/>
      </c>
      <c r="BX344">
        <f>IF($C344="",99,IF(AND($BJ344&lt;1,AH$3&gt;=MAX(N($P344),N($S344))),12,99))</f>
        <v/>
      </c>
      <c r="BY344">
        <f>IF($C344="",99,IF(AND($BK344&lt;1,AI$3&gt;=MAX(N($P344),N($S344))),13,99))</f>
        <v/>
      </c>
      <c r="BZ344">
        <f>IF(OR($C344="",$M344=""),"",COUNTIF($AJ344:$AW344,"&gt;=1"))</f>
        <v/>
      </c>
      <c r="CA344" s="90">
        <f>IF($BZ344="","",IF($BZ344&gt;=14,"",'設定'!$C$6+$BZ344))</f>
        <v/>
      </c>
      <c r="CB344">
        <f>IF(OR($C344="",$M344=""),"",MIN($BL344:$BY344))</f>
        <v/>
      </c>
      <c r="CC344" s="90">
        <f>IF($CB344="","",IF($CB344&gt;=99,"",'設定'!$C$6+$CB344))</f>
        <v/>
      </c>
      <c r="CD344">
        <f>IF(OR($C344="",$M344=""),"",AVERAGE($V344:$AI344))</f>
        <v/>
      </c>
      <c r="CE344">
        <f>IF($C344="","",IFERROR(IF(MATCH(IF(ISNUMBER($P344),$P344,'設定'!$C$6+N('設定'!$C$7)),$V$3:$AI$3,0)=1,MAX(0,N($L344)),INDEX($AJ344:$AW344,MATCH(IF(ISNUMBER($P344),$P344,'設定'!$C$6+N('設定'!$C$7)),$V$3:$AI$3,0)-1)),""))</f>
        <v/>
      </c>
      <c r="CF344">
        <f>IF(OR($C344="",$O344="",$CE344=""),"",IF($O344-$CE344&lt;=0,0,ROUNDUP(($O344-$CE344)/$G344,0)))</f>
        <v/>
      </c>
      <c r="CG344">
        <f>IF(OR($C344="",$CF344="",NOT(ISNUMBER($Q344))),0,MAX(0,$Q344-$CF344))</f>
        <v/>
      </c>
      <c r="CH344">
        <f>IF(OR($C344="",$O344="",$U344=0),0,IFERROR(ROUNDUP(MAX(0,IF(MATCH($S344,$V$3:$AI$3,0)=1,MAX(0,N($L344)),INDEX($AX344:$BK344,MATCH($S344,$V$3:$AI$3,0)-1))+$U344-$O344)/$G344,0),0))</f>
        <v/>
      </c>
      <c r="CI344">
        <f>IF($C344="","",IF(AND($P344="",$Q344=""),"",IF($P344="","⚠ 入庫日を ▼ から選んでください",IF(NOT(ISNUMBER($P344)),"⚠ 入庫日は ▼ から選んでください",IF($P344&lt;N('設定'!$C$6),"⚠ 入庫日が過去です（もう在庫に入っています）→ 消してください",IF($P344&gt;N('設定'!$C$6)+13,"⚠ 入庫日が14日より先です",IF(N($Q344)&lt;=0,"⚠ 入庫数を入れてください",IF($CG344&gt;0,"⚠ 目安より "&amp;$CG344&amp;" 多い（定数を超える）→ 減らす",""))))))))</f>
        <v/>
      </c>
      <c r="CJ344">
        <f>IF($C344="","",IF(AND($S344="",$T344=""),"",IF($S344="","⚠ 2便目：入庫日を ▼ から選んでください",IF(NOT(ISNUMBER($S344)),"⚠ 2便目：入庫日は ▼ から選んでください",IF($S344&lt;N('設定'!$C$6),"⚠ 2便目：入庫日が過去です（もう在庫に入っています）→ 消してください",IF($S344&gt;N('設定'!$C$6)+13,"⚠ 2便目：入庫日が14日より先です",IF(N($T344)&lt;=0,"⚠ 2便目：入庫数を入れてください",IF($CH344&gt;0,"⚠ 2便目：定数を "&amp;$CH344&amp;" ケース超える → 減らす",""))))))))</f>
        <v/>
      </c>
      <c r="CK344">
        <f>IF(AND($CI344="",N($Q344)&gt;0,ISNUMBER($P344)),1,0)</f>
        <v/>
      </c>
      <c r="CL344">
        <f>IF(AND($CJ344="",N($T344)&gt;0,ISNUMBER($S344)),1,0)</f>
        <v/>
      </c>
      <c r="CM344">
        <f>IF(OR($CK344=1,$CL344=1),1,0)</f>
        <v/>
      </c>
      <c r="CN344">
        <f>IF($C344="",0,($CK344*$R344+$CL344*$U344)*N($H344))</f>
        <v/>
      </c>
      <c r="CO344">
        <f>IF($C344="","",IF($CC344="","入庫後は 14日以上もつ",IF($CC344-N('設定'!$C$7)&lt;='設定'!$C$6,"入庫後も "&amp;TEXT($CC344,"m/d")&amp;"("&amp;CHOOSE(WEEKDAY($CC344),"日","月","火","水","木","金","土")&amp;")"&amp;" に切れる　もう1便を至急発注","入庫後も "&amp;TEXT($CC344,"m/d")&amp;"("&amp;CHOOSE(WEEKDAY($CC344),"日","月","火","水","木","金","土")&amp;")"&amp;" に切れる　"&amp;TEXT($CC344-N('設定'!$C$7),"m/d")&amp;"("&amp;CHOOSE(WEEKDAY($CC344-N('設定'!$C$7)),"日","月","火","水","木","金","土")&amp;")"&amp;" までに次を発注")))</f>
        <v/>
      </c>
      <c r="CP344">
        <f>IF($C344="","",IF('設定'!$C$6="","？ ①在庫を貼る に今日のCSVが貼られていない",IF($CS344=1,"－ 今日のCSVに無い（終売？）",IF($L344&lt;0,"● 在庫がマイナス　数えて「数えた在庫」に入れる",IF($L344=0,"● 在庫なし　至急発注",IF($M344="","？ 減り数が未設定（商品マスタ）",IF($B$3=0,"？ 動員が未入力（動員を入れる）",IF($CA344="","○ 14日以上もつ",IF($BZ344&lt;N('設定'!$C$7),"● "&amp;TEXT($CA344,"m/d")&amp;"("&amp;CHOOSE(WEEKDAY($CA344),"日","月","火","水","木","金","土")&amp;")"&amp;" に切れる　至急発注",IF($BZ344=N('設定'!$C$7),"● "&amp;TEXT($CA344,"m/d")&amp;"("&amp;CHOOSE(WEEKDAY($CA344),"日","月","火","水","木","金","土")&amp;")"&amp;" に切れる　今日発注","△ "&amp;TEXT($CA344,"m/d")&amp;"("&amp;CHOOSE(WEEKDAY($CA344),"日","月","火","水","木","金","土")&amp;")"&amp;" に切れる　"&amp;TEXT($CA344-N('設定'!$C$7),"m/d")&amp;"("&amp;CHOOSE(WEEKDAY($CA344-N('設定'!$C$7)),"日","月","火","水","木","金","土")&amp;")"&amp;" までに発注"))))))))))</f>
        <v/>
      </c>
      <c r="CQ344">
        <f>IF($C344="","",IF(AND($P344="",$Q344="",$S344="",$T344=""),"",IF(AND($P344="",$Q344=""),"⚠ 先に1便目（左の入庫日・入庫数）に入れてください",IF($CI344&lt;&gt;"",$CI344,IF($CJ344&lt;&gt;"",$CJ344,IF($M344="","？ 減り数が未設定（発注書には載ります）",IF($B$3=0,"？ 動員が未入力（発注書には載ります）",IF(AND($CA344&lt;&gt;"",$P344&gt;$CA344),IF($P344&gt;'設定'!$C$6+N('設定'!$C$7),"● "&amp;TEXT($P344,"m/d")&amp;"("&amp;CHOOSE(WEEKDAY($P344),"日","月","火","水","木","金","土")&amp;")"&amp;" の入庫では間に合わない（"&amp;TEXT($CA344,"m/d")&amp;"("&amp;CHOOSE(WEEKDAY($CA344),"日","月","火","水","木","金","土")&amp;")"&amp;" に切れる）　入庫日を早める","△ 欠品 "&amp;TEXT($CA344,"m/d")&amp;"("&amp;CHOOSE(WEEKDAY($CA344),"日","月","火","水","木","金","土")&amp;")"&amp;"〜"&amp;TEXT($P344-1,"m/d")&amp;"("&amp;CHOOSE(WEEKDAY($P344-1),"日","月","火","水","木","金","土")&amp;")"&amp;"　"&amp;$CO344),IF($CC344="","○ "&amp;TEXT($P344,"m/d")&amp;"("&amp;CHOOSE(WEEKDAY($P344),"日","月","火","水","木","金","土")&amp;")"&amp;" 入庫で 14日以上もつ",IF($CC344-N('設定'!$C$7)&lt;='設定'!$C$6,"● 入庫しても "&amp;TEXT($CC344,"m/d")&amp;"("&amp;CHOOSE(WEEKDAY($CC344),"日","月","火","水","木","金","土")&amp;")"&amp;" に切れる　もう1便を至急発注（2便目に入れる）","△ 入庫しても "&amp;TEXT($CC344,"m/d")&amp;"("&amp;CHOOSE(WEEKDAY($CC344),"日","月","火","水","木","金","土")&amp;")"&amp;" に切れる　"&amp;TEXT($CC344-N('設定'!$C$7),"m/d")&amp;"("&amp;CHOOSE(WEEKDAY($CC344-N('設定'!$C$7)),"日","月","火","水","木","金","土")&amp;")"&amp;" までに次を発注（2便目に入れる）"))))))))))</f>
        <v/>
      </c>
      <c r="CR344">
        <f>IF($C344="","",IF($G344&gt;1,"ｹｰｽ("&amp;$G344&amp;"入)","個"))</f>
        <v/>
      </c>
      <c r="CS344">
        <f>IF($C344="",0,IF(COUNTIFS('①在庫を貼る'!$V$6:$V$10005,'設定'!$C$4,'①在庫を貼る'!$W$6:$W$10005,$C344)=0,1,0))</f>
        <v/>
      </c>
      <c r="CT344">
        <f>IF(AND($CK344=1,OR('③発注書'!$C$4="すべて",'③発注書'!$C$4="",$F344='③発注書'!$C$4)),N($CT343)+1,N($CT343))</f>
        <v/>
      </c>
      <c r="CU344">
        <f>IF(AND($CL344=1,OR('③発注書'!$C$4="すべて",'③発注書'!$C$4="",$F344='③発注書'!$C$4)),N($CU343)+1,N($CU343))</f>
        <v/>
      </c>
      <c r="CV344">
        <f>IF($C344="",0,IF(COUNTIFS('①在庫を貼る'!$V$6:$V$10005,'設定'!$C$4,'①在庫を貼る'!$W$6:$W$10005,$C344)&gt;0,1,0))</f>
        <v/>
      </c>
      <c r="CW344">
        <f>IF($C344="",0,IF(COUNTIFS('月1回_1ヶ月前の在庫'!$V$6:$V$10005,'設定'!$C$4,'月1回_1ヶ月前の在庫'!$W$6:$W$10005,$C344)&gt;0,1,0))</f>
        <v/>
      </c>
      <c r="CX344">
        <f>IF($C344="",0,IF(COUNTIFS('月1回_2ヶ月前の在庫'!$V$6:$V$10005,'設定'!$C$4,'月1回_2ヶ月前の在庫'!$W$6:$W$10005,$C344)&gt;0,1,0))</f>
        <v/>
      </c>
      <c r="CY344">
        <f>IF(OR($C344="",'設定'!$C$12=""),"",IF('設定'!$C$13="",IF(AND($CV344=1,$CW344=0),"新商品（今月から）",IF(AND($CV344=0,$CW344=1),"終売（今月から）","")),IF(AND($CV344=1,$CW344=0,$CX344=0),"新商品（今月から）",IF(AND($CV344=1,$CW344=1,$CX344=0),"新商品（先月から）",IF(AND($CV344=0,$CW344=1,$CX344=1),"終売（今月から）",IF(AND($CV344=0,$CW344=0,$CX344=1),"終売（先月から）",IF(AND($CV344=1,$CW344=0,$CX344=1),"復活（先月は無し）","")))))))</f>
        <v/>
      </c>
    </row>
    <row r="345">
      <c r="B345">
        <f>IF(340&lt;='設定'!$C$11,340,"")</f>
        <v/>
      </c>
      <c r="C345">
        <f>IF($B345="","",IF($B345&lt;='設定'!$C$20,INDEX('商品マスタ'!$B$6:$B$1005,MATCH($B345,'商品マスタ'!$M$6:$M$1005,0)),IF($B345&lt;='設定'!$C$20+'設定'!$C$17,INDEX('①在庫を貼る'!$W$6:$W$10005,MATCH($B345-'設定'!$C$20,'①在庫を貼る'!$U$6:$U$10005,0)),IF($B345&lt;='設定'!$C$20+'設定'!$C$17+'設定'!$C$18,INDEX('月1回_1ヶ月前の在庫'!$W$6:$W$10005,MATCH($B345-'設定'!$C$20-'設定'!$C$17,'月1回_1ヶ月前の在庫'!$U$6:$U$10005,0)),INDEX('月1回_2ヶ月前の在庫'!$W$6:$W$10005,MATCH($B345-'設定'!$C$20-'設定'!$C$17-'設定'!$C$18,'月1回_2ヶ月前の在庫'!$U$6:$U$10005,0))))))</f>
        <v/>
      </c>
      <c r="D345">
        <f>IF($C345="","",IFERROR(IF(INDEX('商品マスタ'!$C$6:$C$1005,MATCH($C345,'商品マスタ'!$B$6:$B$1005,0))="",IFERROR(INDEX('①在庫を貼る'!$J$6:$J$10005,MATCH($C345,'①在庫を貼る'!$W$6:$W$10005,0)),IFERROR(INDEX('月1回_1ヶ月前の在庫'!$J$6:$J$10005,MATCH($C345,'月1回_1ヶ月前の在庫'!$W$6:$W$10005,0)),IFERROR(INDEX('月1回_2ヶ月前の在庫'!$J$6:$J$10005,MATCH($C345,'月1回_2ヶ月前の在庫'!$W$6:$W$10005,0)),""))),INDEX('商品マスタ'!$C$6:$C$1005,MATCH($C345,'商品マスタ'!$B$6:$B$1005,0))),IFERROR(INDEX('①在庫を貼る'!$J$6:$J$10005,MATCH($C345,'①在庫を貼る'!$W$6:$W$10005,0)),IFERROR(INDEX('月1回_1ヶ月前の在庫'!$J$6:$J$10005,MATCH($C345,'月1回_1ヶ月前の在庫'!$W$6:$W$10005,0)),IFERROR(INDEX('月1回_2ヶ月前の在庫'!$J$6:$J$10005,MATCH($C345,'月1回_2ヶ月前の在庫'!$W$6:$W$10005,0)),"")))))</f>
        <v/>
      </c>
      <c r="E345">
        <f>IF($C345="","",IFERROR(IF(INDEX('商品マスタ'!$D$6:$D$1005,MATCH($C345,'商品マスタ'!$B$6:$B$1005,0))="",IFERROR(INDEX('①在庫を貼る'!$H$6:$H$10005,MATCH($C345,'①在庫を貼る'!$W$6:$W$10005,0)),IFERROR(INDEX('月1回_1ヶ月前の在庫'!$H$6:$H$10005,MATCH($C345,'月1回_1ヶ月前の在庫'!$W$6:$W$10005,0)),IFERROR(INDEX('月1回_2ヶ月前の在庫'!$H$6:$H$10005,MATCH($C345,'月1回_2ヶ月前の在庫'!$W$6:$W$10005,0)),""))),INDEX('商品マスタ'!$D$6:$D$1005,MATCH($C345,'商品マスタ'!$B$6:$B$1005,0))),IFERROR(INDEX('①在庫を貼る'!$H$6:$H$10005,MATCH($C345,'①在庫を貼る'!$W$6:$W$10005,0)),IFERROR(INDEX('月1回_1ヶ月前の在庫'!$H$6:$H$10005,MATCH($C345,'月1回_1ヶ月前の在庫'!$W$6:$W$10005,0)),IFERROR(INDEX('月1回_2ヶ月前の在庫'!$H$6:$H$10005,MATCH($C345,'月1回_2ヶ月前の在庫'!$W$6:$W$10005,0)),"")))))</f>
        <v/>
      </c>
      <c r="F345">
        <f>IF($C345="","",IFERROR(IF(INDEX('商品マスタ'!$E$6:$E$1005,MATCH($C345,'商品マスタ'!$B$6:$B$1005,0))="",IFERROR(INDEX('①在庫を貼る'!$E$6:$E$10005,MATCH($C345,'①在庫を貼る'!$W$6:$W$10005,0)),IFERROR(INDEX('月1回_1ヶ月前の在庫'!$E$6:$E$10005,MATCH($C345,'月1回_1ヶ月前の在庫'!$W$6:$W$10005,0)),IFERROR(INDEX('月1回_2ヶ月前の在庫'!$E$6:$E$10005,MATCH($C345,'月1回_2ヶ月前の在庫'!$W$6:$W$10005,0)),""))),INDEX('商品マスタ'!$E$6:$E$1005,MATCH($C345,'商品マスタ'!$B$6:$B$1005,0))),IFERROR(INDEX('①在庫を貼る'!$E$6:$E$10005,MATCH($C345,'①在庫を貼る'!$W$6:$W$10005,0)),IFERROR(INDEX('月1回_1ヶ月前の在庫'!$E$6:$E$10005,MATCH($C345,'月1回_1ヶ月前の在庫'!$W$6:$W$10005,0)),IFERROR(INDEX('月1回_2ヶ月前の在庫'!$E$6:$E$10005,MATCH($C345,'月1回_2ヶ月前の在庫'!$W$6:$W$10005,0)),"")))))</f>
        <v/>
      </c>
      <c r="G345">
        <f>IF($C345="","",MAX(1,N(IFERROR(IF(INDEX('商品マスタ'!$F$6:$F$1005,MATCH($C345,'商品マスタ'!$B$6:$B$1005,0))="",IF(COUNTIFS('①在庫を貼る'!$V$6:$V$10005,'設定'!$C$4,'①在庫を貼る'!$W$6:$W$10005,$C345)&gt;0,SUMIFS('①在庫を貼る'!$K$6:$K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K$6:$K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K$6:$K$10005,'月1回_2ヶ月前の在庫'!$V$6:$V$10005,'設定'!$C$4,'月1回_2ヶ月前の在庫'!$W$6:$W$10005,$C345)/COUNTIFS('月1回_2ヶ月前の在庫'!$V$6:$V$10005,'設定'!$C$4,'月1回_2ヶ月前の在庫'!$W$6:$W$10005,$C345),0))),INDEX('商品マスタ'!$F$6:$F$1005,MATCH($C345,'商品マスタ'!$B$6:$B$1005,0))),IF(COUNTIFS('①在庫を貼る'!$V$6:$V$10005,'設定'!$C$4,'①在庫を貼る'!$W$6:$W$10005,$C345)&gt;0,SUMIFS('①在庫を貼る'!$K$6:$K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K$6:$K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K$6:$K$10005,'月1回_2ヶ月前の在庫'!$V$6:$V$10005,'設定'!$C$4,'月1回_2ヶ月前の在庫'!$W$6:$W$10005,$C345)/COUNTIFS('月1回_2ヶ月前の在庫'!$V$6:$V$10005,'設定'!$C$4,'月1回_2ヶ月前の在庫'!$W$6:$W$10005,$C345),0)))))))</f>
        <v/>
      </c>
      <c r="H345">
        <f>IF($C345="","",N(IFERROR(IF(INDEX('商品マスタ'!$G$6:$G$1005,MATCH($C345,'商品マスタ'!$B$6:$B$1005,0))="",IF(COUNTIFS('①在庫を貼る'!$V$6:$V$10005,'設定'!$C$4,'①在庫を貼る'!$W$6:$W$10005,$C345)&gt;0,SUMIFS('①在庫を貼る'!$Q$6:$Q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Q$6:$Q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Q$6:$Q$10005,'月1回_2ヶ月前の在庫'!$V$6:$V$10005,'設定'!$C$4,'月1回_2ヶ月前の在庫'!$W$6:$W$10005,$C345)/COUNTIFS('月1回_2ヶ月前の在庫'!$V$6:$V$10005,'設定'!$C$4,'月1回_2ヶ月前の在庫'!$W$6:$W$10005,$C345),0))),INDEX('商品マスタ'!$G$6:$G$1005,MATCH($C345,'商品マスタ'!$B$6:$B$1005,0))),IF(COUNTIFS('①在庫を貼る'!$V$6:$V$10005,'設定'!$C$4,'①在庫を貼る'!$W$6:$W$10005,$C345)&gt;0,SUMIFS('①在庫を貼る'!$Q$6:$Q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Q$6:$Q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Q$6:$Q$10005,'月1回_2ヶ月前の在庫'!$V$6:$V$10005,'設定'!$C$4,'月1回_2ヶ月前の在庫'!$W$6:$W$10005,$C345)/COUNTIFS('月1回_2ヶ月前の在庫'!$V$6:$V$10005,'設定'!$C$4,'月1回_2ヶ月前の在庫'!$W$6:$W$10005,$C345),0))))))</f>
        <v/>
      </c>
      <c r="I345">
        <f>IF($C345="","",IF(COUNTIFS('①在庫を貼る'!$V$6:$V$10005,'設定'!$C$4,'①在庫を貼る'!$W$6:$W$10005,$C345)=0,"",SUMIFS('①在庫を貼る'!$N$6:$N$10005,'①在庫を貼る'!$V$6:$V$10005,'設定'!$C$4,'①在庫を貼る'!$W$6:$W$10005,$C345)))</f>
        <v/>
      </c>
      <c r="J345">
        <f>IF($C345="","",IF('②発注する'!$AD349="","",'②発注する'!$AD349))</f>
        <v/>
      </c>
      <c r="K345" s="90">
        <f>IF($C345="","",IF('②発注する'!$AE349="","",'②発注する'!$AE349))</f>
        <v/>
      </c>
      <c r="L345">
        <f>IF($C345="","",IF(AND(ISNUMBER($J345),ISNUMBER($K345),$K345&gt;='設定'!$C$6),$J345,N($I345)))</f>
        <v/>
      </c>
      <c r="M345">
        <f>IF($C345="","",IFERROR(IF(N(INDEX('商品マスタ'!$J$6:$J$1005,MATCH($C345,'商品マスタ'!$B$6:$B$1005,0)))&gt;0,INDEX('商品マスタ'!$J$6:$J$1005,MATCH($C345,'商品マスタ'!$B$6:$B$1005,0)),""),""))</f>
        <v/>
      </c>
      <c r="N345">
        <f>IF($C345="","",IFERROR(IF(N(INDEX('商品マスタ'!$H$6:$H$1005,MATCH($C345,'商品マスタ'!$B$6:$B$1005,0)))&gt;0,INDEX('商品マスタ'!$H$6:$H$1005,MATCH($C345,'商品マスタ'!$B$6:$B$1005,0)),""),""))</f>
        <v/>
      </c>
      <c r="O345">
        <f>IF($C345="","",IF($N345&lt;&gt;"",$N345*$G345,IF(N(IF(COUNTIFS('①在庫を貼る'!$V$6:$V$10005,'設定'!$C$4,'①在庫を貼る'!$W$6:$W$10005,$C345)&gt;0,SUMIFS('①在庫を貼る'!$O$6:$O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O$6:$O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O$6:$O$10005,'月1回_2ヶ月前の在庫'!$V$6:$V$10005,'設定'!$C$4,'月1回_2ヶ月前の在庫'!$W$6:$W$10005,$C345)/COUNTIFS('月1回_2ヶ月前の在庫'!$V$6:$V$10005,'設定'!$C$4,'月1回_2ヶ月前の在庫'!$W$6:$W$10005,$C345),0))))&gt;0,N(IF(COUNTIFS('①在庫を貼る'!$V$6:$V$10005,'設定'!$C$4,'①在庫を貼る'!$W$6:$W$10005,$C345)&gt;0,SUMIFS('①在庫を貼る'!$O$6:$O$10005,'①在庫を貼る'!$V$6:$V$10005,'設定'!$C$4,'①在庫を貼る'!$W$6:$W$10005,$C345)/COUNTIFS('①在庫を貼る'!$V$6:$V$10005,'設定'!$C$4,'①在庫を貼る'!$W$6:$W$10005,$C345),IF(COUNTIFS('月1回_1ヶ月前の在庫'!$V$6:$V$10005,'設定'!$C$4,'月1回_1ヶ月前の在庫'!$W$6:$W$10005,$C345)&gt;0,SUMIFS('月1回_1ヶ月前の在庫'!$O$6:$O$10005,'月1回_1ヶ月前の在庫'!$V$6:$V$10005,'設定'!$C$4,'月1回_1ヶ月前の在庫'!$W$6:$W$10005,$C345)/COUNTIFS('月1回_1ヶ月前の在庫'!$V$6:$V$10005,'設定'!$C$4,'月1回_1ヶ月前の在庫'!$W$6:$W$10005,$C345),IF(COUNTIFS('月1回_2ヶ月前の在庫'!$V$6:$V$10005,'設定'!$C$4,'月1回_2ヶ月前の在庫'!$W$6:$W$10005,$C345)&gt;0,SUMIFS('月1回_2ヶ月前の在庫'!$O$6:$O$10005,'月1回_2ヶ月前の在庫'!$V$6:$V$10005,'設定'!$C$4,'月1回_2ヶ月前の在庫'!$W$6:$W$10005,$C345)/COUNTIFS('月1回_2ヶ月前の在庫'!$V$6:$V$10005,'設定'!$C$4,'月1回_2ヶ月前の在庫'!$W$6:$W$10005,$C345),0)))),"")))</f>
        <v/>
      </c>
      <c r="P345" s="90">
        <f>IF($C345="","",IF('②発注する'!$I349="","",'②発注する'!$I349))</f>
        <v/>
      </c>
      <c r="Q345">
        <f>IF($C345="","",IF('②発注する'!$J349="","",'②発注する'!$J349))</f>
        <v/>
      </c>
      <c r="R345">
        <f>IF($C345="",0,IF(AND(ISNUMBER($P345),ISNUMBER($Q345)),MAX(0,$Q345)*$G345,0))</f>
        <v/>
      </c>
      <c r="S345" s="90">
        <f>IF($C345="","",IF('②発注する'!$M349="","",'②発注する'!$M349))</f>
        <v/>
      </c>
      <c r="T345">
        <f>IF($C345="","",IF('②発注する'!$N349="","",'②発注する'!$N349))</f>
        <v/>
      </c>
      <c r="U345">
        <f>IF($C345="",0,IF(AND(ISNUMBER($S345),ISNUMBER($T345)),MAX(0,$T345)*$G345,0))</f>
        <v/>
      </c>
      <c r="V345">
        <f>IF($C345="",0,IF($M345="",0,MAX(0,$M345)*MAX(0,V$4)/100))</f>
        <v/>
      </c>
      <c r="W345">
        <f>IF($C345="",0,IF($M345="",0,MAX(0,$M345)*MAX(0,W$4)/100))</f>
        <v/>
      </c>
      <c r="X345">
        <f>IF($C345="",0,IF($M345="",0,MAX(0,$M345)*MAX(0,X$4)/100))</f>
        <v/>
      </c>
      <c r="Y345">
        <f>IF($C345="",0,IF($M345="",0,MAX(0,$M345)*MAX(0,Y$4)/100))</f>
        <v/>
      </c>
      <c r="Z345">
        <f>IF($C345="",0,IF($M345="",0,MAX(0,$M345)*MAX(0,Z$4)/100))</f>
        <v/>
      </c>
      <c r="AA345">
        <f>IF($C345="",0,IF($M345="",0,MAX(0,$M345)*MAX(0,AA$4)/100))</f>
        <v/>
      </c>
      <c r="AB345">
        <f>IF($C345="",0,IF($M345="",0,MAX(0,$M345)*MAX(0,AB$4)/100))</f>
        <v/>
      </c>
      <c r="AC345">
        <f>IF($C345="",0,IF($M345="",0,MAX(0,$M345)*MAX(0,AC$4)/100))</f>
        <v/>
      </c>
      <c r="AD345">
        <f>IF($C345="",0,IF($M345="",0,MAX(0,$M345)*MAX(0,AD$4)/100))</f>
        <v/>
      </c>
      <c r="AE345">
        <f>IF($C345="",0,IF($M345="",0,MAX(0,$M345)*MAX(0,AE$4)/100))</f>
        <v/>
      </c>
      <c r="AF345">
        <f>IF($C345="",0,IF($M345="",0,MAX(0,$M345)*MAX(0,AF$4)/100))</f>
        <v/>
      </c>
      <c r="AG345">
        <f>IF($C345="",0,IF($M345="",0,MAX(0,$M345)*MAX(0,AG$4)/100))</f>
        <v/>
      </c>
      <c r="AH345">
        <f>IF($C345="",0,IF($M345="",0,MAX(0,$M345)*MAX(0,AH$4)/100))</f>
        <v/>
      </c>
      <c r="AI345">
        <f>IF($C345="",0,IF($M345="",0,MAX(0,$M345)*MAX(0,AI$4)/100))</f>
        <v/>
      </c>
      <c r="AJ345">
        <f>IF($C345="",0,MAX(0,MAX(0,N($L345))-$V345))</f>
        <v/>
      </c>
      <c r="AK345">
        <f>IF($C345="",0,MAX(0,$AJ345-$W345))</f>
        <v/>
      </c>
      <c r="AL345">
        <f>IF($C345="",0,MAX(0,$AK345-$X345))</f>
        <v/>
      </c>
      <c r="AM345">
        <f>IF($C345="",0,MAX(0,$AL345-$Y345))</f>
        <v/>
      </c>
      <c r="AN345">
        <f>IF($C345="",0,MAX(0,$AM345-$Z345))</f>
        <v/>
      </c>
      <c r="AO345">
        <f>IF($C345="",0,MAX(0,$AN345-$AA345))</f>
        <v/>
      </c>
      <c r="AP345">
        <f>IF($C345="",0,MAX(0,$AO345-$AB345))</f>
        <v/>
      </c>
      <c r="AQ345">
        <f>IF($C345="",0,MAX(0,$AP345-$AC345))</f>
        <v/>
      </c>
      <c r="AR345">
        <f>IF($C345="",0,MAX(0,$AQ345-$AD345))</f>
        <v/>
      </c>
      <c r="AS345">
        <f>IF($C345="",0,MAX(0,$AR345-$AE345))</f>
        <v/>
      </c>
      <c r="AT345">
        <f>IF($C345="",0,MAX(0,$AS345-$AF345))</f>
        <v/>
      </c>
      <c r="AU345">
        <f>IF($C345="",0,MAX(0,$AT345-$AG345))</f>
        <v/>
      </c>
      <c r="AV345">
        <f>IF($C345="",0,MAX(0,$AU345-$AH345))</f>
        <v/>
      </c>
      <c r="AW345">
        <f>IF($C345="",0,MAX(0,$AV345-$AI345))</f>
        <v/>
      </c>
      <c r="AX345">
        <f>IF($C345="",0,MAX(0,MAX(0,N($L345))+IF($P345=V$3,$R345,0)+IF($S345=V$3,$U345,0)-$V345))</f>
        <v/>
      </c>
      <c r="AY345">
        <f>IF($C345="",0,MAX(0,$AX345+IF($P345=W$3,$R345,0)+IF($S345=W$3,$U345,0)-$W345))</f>
        <v/>
      </c>
      <c r="AZ345">
        <f>IF($C345="",0,MAX(0,$AY345+IF($P345=X$3,$R345,0)+IF($S345=X$3,$U345,0)-$X345))</f>
        <v/>
      </c>
      <c r="BA345">
        <f>IF($C345="",0,MAX(0,$AZ345+IF($P345=Y$3,$R345,0)+IF($S345=Y$3,$U345,0)-$Y345))</f>
        <v/>
      </c>
      <c r="BB345">
        <f>IF($C345="",0,MAX(0,$BA345+IF($P345=Z$3,$R345,0)+IF($S345=Z$3,$U345,0)-$Z345))</f>
        <v/>
      </c>
      <c r="BC345">
        <f>IF($C345="",0,MAX(0,$BB345+IF($P345=AA$3,$R345,0)+IF($S345=AA$3,$U345,0)-$AA345))</f>
        <v/>
      </c>
      <c r="BD345">
        <f>IF($C345="",0,MAX(0,$BC345+IF($P345=AB$3,$R345,0)+IF($S345=AB$3,$U345,0)-$AB345))</f>
        <v/>
      </c>
      <c r="BE345">
        <f>IF($C345="",0,MAX(0,$BD345+IF($P345=AC$3,$R345,0)+IF($S345=AC$3,$U345,0)-$AC345))</f>
        <v/>
      </c>
      <c r="BF345">
        <f>IF($C345="",0,MAX(0,$BE345+IF($P345=AD$3,$R345,0)+IF($S345=AD$3,$U345,0)-$AD345))</f>
        <v/>
      </c>
      <c r="BG345">
        <f>IF($C345="",0,MAX(0,$BF345+IF($P345=AE$3,$R345,0)+IF($S345=AE$3,$U345,0)-$AE345))</f>
        <v/>
      </c>
      <c r="BH345">
        <f>IF($C345="",0,MAX(0,$BG345+IF($P345=AF$3,$R345,0)+IF($S345=AF$3,$U345,0)-$AF345))</f>
        <v/>
      </c>
      <c r="BI345">
        <f>IF($C345="",0,MAX(0,$BH345+IF($P345=AG$3,$R345,0)+IF($S345=AG$3,$U345,0)-$AG345))</f>
        <v/>
      </c>
      <c r="BJ345">
        <f>IF($C345="",0,MAX(0,$BI345+IF($P345=AH$3,$R345,0)+IF($S345=AH$3,$U345,0)-$AH345))</f>
        <v/>
      </c>
      <c r="BK345">
        <f>IF($C345="",0,MAX(0,$BJ345+IF($P345=AI$3,$R345,0)+IF($S345=AI$3,$U345,0)-$AI345))</f>
        <v/>
      </c>
      <c r="BL345">
        <f>IF($C345="",99,IF(AND($AX345&lt;1,V$3&gt;=MAX(N($P345),N($S345))),0,99))</f>
        <v/>
      </c>
      <c r="BM345">
        <f>IF($C345="",99,IF(AND($AY345&lt;1,W$3&gt;=MAX(N($P345),N($S345))),1,99))</f>
        <v/>
      </c>
      <c r="BN345">
        <f>IF($C345="",99,IF(AND($AZ345&lt;1,X$3&gt;=MAX(N($P345),N($S345))),2,99))</f>
        <v/>
      </c>
      <c r="BO345">
        <f>IF($C345="",99,IF(AND($BA345&lt;1,Y$3&gt;=MAX(N($P345),N($S345))),3,99))</f>
        <v/>
      </c>
      <c r="BP345">
        <f>IF($C345="",99,IF(AND($BB345&lt;1,Z$3&gt;=MAX(N($P345),N($S345))),4,99))</f>
        <v/>
      </c>
      <c r="BQ345">
        <f>IF($C345="",99,IF(AND($BC345&lt;1,AA$3&gt;=MAX(N($P345),N($S345))),5,99))</f>
        <v/>
      </c>
      <c r="BR345">
        <f>IF($C345="",99,IF(AND($BD345&lt;1,AB$3&gt;=MAX(N($P345),N($S345))),6,99))</f>
        <v/>
      </c>
      <c r="BS345">
        <f>IF($C345="",99,IF(AND($BE345&lt;1,AC$3&gt;=MAX(N($P345),N($S345))),7,99))</f>
        <v/>
      </c>
      <c r="BT345">
        <f>IF($C345="",99,IF(AND($BF345&lt;1,AD$3&gt;=MAX(N($P345),N($S345))),8,99))</f>
        <v/>
      </c>
      <c r="BU345">
        <f>IF($C345="",99,IF(AND($BG345&lt;1,AE$3&gt;=MAX(N($P345),N($S345))),9,99))</f>
        <v/>
      </c>
      <c r="BV345">
        <f>IF($C345="",99,IF(AND($BH345&lt;1,AF$3&gt;=MAX(N($P345),N($S345))),10,99))</f>
        <v/>
      </c>
      <c r="BW345">
        <f>IF($C345="",99,IF(AND($BI345&lt;1,AG$3&gt;=MAX(N($P345),N($S345))),11,99))</f>
        <v/>
      </c>
      <c r="BX345">
        <f>IF($C345="",99,IF(AND($BJ345&lt;1,AH$3&gt;=MAX(N($P345),N($S345))),12,99))</f>
        <v/>
      </c>
      <c r="BY345">
        <f>IF($C345="",99,IF(AND($BK345&lt;1,AI$3&gt;=MAX(N($P345),N($S345))),13,99))</f>
        <v/>
      </c>
      <c r="BZ345">
        <f>IF(OR($C345="",$M345=""),"",COUNTIF($AJ345:$AW345,"&gt;=1"))</f>
        <v/>
      </c>
      <c r="CA345" s="90">
        <f>IF($BZ345="","",IF($BZ345&gt;=14,"",'設定'!$C$6+$BZ345))</f>
        <v/>
      </c>
      <c r="CB345">
        <f>IF(OR($C345="",$M345=""),"",MIN($BL345:$BY345))</f>
        <v/>
      </c>
      <c r="CC345" s="90">
        <f>IF($CB345="","",IF($CB345&gt;=99,"",'設定'!$C$6+$CB345))</f>
        <v/>
      </c>
      <c r="CD345">
        <f>IF(OR($C345="",$M345=""),"",AVERAGE($V345:$AI345))</f>
        <v/>
      </c>
      <c r="CE345">
        <f>IF($C345="","",IFERROR(IF(MATCH(IF(ISNUMBER($P345),$P345,'設定'!$C$6+N('設定'!$C$7)),$V$3:$AI$3,0)=1,MAX(0,N($L345)),INDEX($AJ345:$AW345,MATCH(IF(ISNUMBER($P345),$P345,'設定'!$C$6+N('設定'!$C$7)),$V$3:$AI$3,0)-1)),""))</f>
        <v/>
      </c>
      <c r="CF345">
        <f>IF(OR($C345="",$O345="",$CE345=""),"",IF($O345-$CE345&lt;=0,0,ROUNDUP(($O345-$CE345)/$G345,0)))</f>
        <v/>
      </c>
      <c r="CG345">
        <f>IF(OR($C345="",$CF345="",NOT(ISNUMBER($Q345))),0,MAX(0,$Q345-$CF345))</f>
        <v/>
      </c>
      <c r="CH345">
        <f>IF(OR($C345="",$O345="",$U345=0),0,IFERROR(ROUNDUP(MAX(0,IF(MATCH($S345,$V$3:$AI$3,0)=1,MAX(0,N($L345)),INDEX($AX345:$BK345,MATCH($S345,$V$3:$AI$3,0)-1))+$U345-$O345)/$G345,0),0))</f>
        <v/>
      </c>
      <c r="CI345">
        <f>IF($C345="","",IF(AND($P345="",$Q345=""),"",IF($P345="","⚠ 入庫日を ▼ から選んでください",IF(NOT(ISNUMBER($P345)),"⚠ 入庫日は ▼ から選んでください",IF($P345&lt;N('設定'!$C$6),"⚠ 入庫日が過去です（もう在庫に入っています）→ 消してください",IF($P345&gt;N('設定'!$C$6)+13,"⚠ 入庫日が14日より先です",IF(N($Q345)&lt;=0,"⚠ 入庫数を入れてください",IF($CG345&gt;0,"⚠ 目安より "&amp;$CG345&amp;" 多い（定数を超える）→ 減らす",""))))))))</f>
        <v/>
      </c>
      <c r="CJ345">
        <f>IF($C345="","",IF(AND($S345="",$T345=""),"",IF($S345="","⚠ 2便目：入庫日を ▼ から選んでください",IF(NOT(ISNUMBER($S345)),"⚠ 2便目：入庫日は ▼ から選んでください",IF($S345&lt;N('設定'!$C$6),"⚠ 2便目：入庫日が過去です（もう在庫に入っています）→ 消してください",IF($S345&gt;N('設定'!$C$6)+13,"⚠ 2便目：入庫日が14日より先です",IF(N($T345)&lt;=0,"⚠ 2便目：入庫数を入れてください",IF($CH345&gt;0,"⚠ 2便目：定数を "&amp;$CH345&amp;" ケース超える → 減らす",""))))))))</f>
        <v/>
      </c>
      <c r="CK345">
        <f>IF(AND($CI345="",N($Q345)&gt;0,ISNUMBER($P345)),1,0)</f>
        <v/>
      </c>
      <c r="CL345">
        <f>IF(AND($CJ345="",N($T345)&gt;0,ISNUMBER($S345)),1,0)</f>
        <v/>
      </c>
      <c r="CM345">
        <f>IF(OR($CK345=1,$CL345=1),1,0)</f>
        <v/>
      </c>
      <c r="CN345">
        <f>IF($C345="",0,($CK345*$R345+$CL345*$U345)*N($H345))</f>
        <v/>
      </c>
      <c r="CO345">
        <f>IF($C345="","",IF($CC345="","入庫後は 14日以上もつ",IF($CC345-N('設定'!$C$7)&lt;='設定'!$C$6,"入庫後も "&amp;TEXT($CC345,"m/d")&amp;"("&amp;CHOOSE(WEEKDAY($CC345),"日","月","火","水","木","金","土")&amp;")"&amp;" に切れる　もう1便を至急発注","入庫後も "&amp;TEXT($CC345,"m/d")&amp;"("&amp;CHOOSE(WEEKDAY($CC345),"日","月","火","水","木","金","土")&amp;")"&amp;" に切れる　"&amp;TEXT($CC345-N('設定'!$C$7),"m/d")&amp;"("&amp;CHOOSE(WEEKDAY($CC345-N('設定'!$C$7)),"日","月","火","水","木","金","土")&amp;")"&amp;" までに次を発注")))</f>
        <v/>
      </c>
      <c r="CP345">
        <f>IF($C345="","",IF('設定'!$C$6="","？ ①在庫を貼る に今日のCSVが貼られていない",IF($CS345=1,"－ 今日のCSVに無い（終売？）",IF($L345&lt;0,"● 在庫がマイナス　数えて「数えた在庫」に入れる",IF($L345=0,"● 在庫なし　至急発注",IF($M345="","？ 減り数が未設定（商品マスタ）",IF($B$3=0,"？ 動員が未入力（動員を入れる）",IF($CA345="","○ 14日以上もつ",IF($BZ345&lt;N('設定'!$C$7),"● "&amp;TEXT($CA345,"m/d")&amp;"("&amp;CHOOSE(WEEKDAY($CA345),"日","月","火","水","木","金","土")&amp;")"&amp;" に切れる　至急発注",IF($BZ345=N('設定'!$C$7),"● "&amp;TEXT($CA345,"m/d")&amp;"("&amp;CHOOSE(WEEKDAY($CA345),"日","月","火","水","木","金","土")&amp;")"&amp;" に切れる　今日発注","△ "&amp;TEXT($CA345,"m/d")&amp;"("&amp;CHOOSE(WEEKDAY($CA345),"日","月","火","水","木","金","土")&amp;")"&amp;" に切れる　"&amp;TEXT($CA345-N('設定'!$C$7),"m/d")&amp;"("&amp;CHOOSE(WEEKDAY($CA345-N('設定'!$C$7)),"日","月","火","水","木","金","土")&amp;")"&amp;" までに発注"))))))))))</f>
        <v/>
      </c>
      <c r="CQ345">
        <f>IF($C345="","",IF(AND($P345="",$Q345="",$S345="",$T345=""),"",IF(AND($P345="",$Q345=""),"⚠ 先に1便目（左の入庫日・入庫数）に入れてください",IF($CI345&lt;&gt;"",$CI345,IF($CJ345&lt;&gt;"",$CJ345,IF($M345="","？ 減り数が未設定（発注書には載ります）",IF($B$3=0,"？ 動員が未入力（発注書には載ります）",IF(AND($CA345&lt;&gt;"",$P345&gt;$CA345),IF($P345&gt;'設定'!$C$6+N('設定'!$C$7),"● "&amp;TEXT($P345,"m/d")&amp;"("&amp;CHOOSE(WEEKDAY($P345),"日","月","火","水","木","金","土")&amp;")"&amp;" の入庫では間に合わない（"&amp;TEXT($CA345,"m/d")&amp;"("&amp;CHOOSE(WEEKDAY($CA345),"日","月","火","水","木","金","土")&amp;")"&amp;" に切れる）　入庫日を早める","△ 欠品 "&amp;TEXT($CA345,"m/d")&amp;"("&amp;CHOOSE(WEEKDAY($CA345),"日","月","火","水","木","金","土")&amp;")"&amp;"〜"&amp;TEXT($P345-1,"m/d")&amp;"("&amp;CHOOSE(WEEKDAY($P345-1),"日","月","火","水","木","金","土")&amp;")"&amp;"　"&amp;$CO345),IF($CC345="","○ "&amp;TEXT($P345,"m/d")&amp;"("&amp;CHOOSE(WEEKDAY($P345),"日","月","火","水","木","金","土")&amp;")"&amp;" 入庫で 14日以上もつ",IF($CC345-N('設定'!$C$7)&lt;='設定'!$C$6,"● 入庫しても "&amp;TEXT($CC345,"m/d")&amp;"("&amp;CHOOSE(WEEKDAY($CC345),"日","月","火","水","木","金","土")&amp;")"&amp;" に切れる　もう1便を至急発注（2便目に入れる）","△ 入庫しても "&amp;TEXT($CC345,"m/d")&amp;"("&amp;CHOOSE(WEEKDAY($CC345),"日","月","火","水","木","金","土")&amp;")"&amp;" に切れる　"&amp;TEXT($CC345-N('設定'!$C$7),"m/d")&amp;"("&amp;CHOOSE(WEEKDAY($CC345-N('設定'!$C$7)),"日","月","火","水","木","金","土")&amp;")"&amp;" までに次を発注（2便目に入れる）"))))))))))</f>
        <v/>
      </c>
      <c r="CR345">
        <f>IF($C345="","",IF($G345&gt;1,"ｹｰｽ("&amp;$G345&amp;"入)","個"))</f>
        <v/>
      </c>
      <c r="CS345">
        <f>IF($C345="",0,IF(COUNTIFS('①在庫を貼る'!$V$6:$V$10005,'設定'!$C$4,'①在庫を貼る'!$W$6:$W$10005,$C345)=0,1,0))</f>
        <v/>
      </c>
      <c r="CT345">
        <f>IF(AND($CK345=1,OR('③発注書'!$C$4="すべて",'③発注書'!$C$4="",$F345='③発注書'!$C$4)),N($CT344)+1,N($CT344))</f>
        <v/>
      </c>
      <c r="CU345">
        <f>IF(AND($CL345=1,OR('③発注書'!$C$4="すべて",'③発注書'!$C$4="",$F345='③発注書'!$C$4)),N($CU344)+1,N($CU344))</f>
        <v/>
      </c>
      <c r="CV345">
        <f>IF($C345="",0,IF(COUNTIFS('①在庫を貼る'!$V$6:$V$10005,'設定'!$C$4,'①在庫を貼る'!$W$6:$W$10005,$C345)&gt;0,1,0))</f>
        <v/>
      </c>
      <c r="CW345">
        <f>IF($C345="",0,IF(COUNTIFS('月1回_1ヶ月前の在庫'!$V$6:$V$10005,'設定'!$C$4,'月1回_1ヶ月前の在庫'!$W$6:$W$10005,$C345)&gt;0,1,0))</f>
        <v/>
      </c>
      <c r="CX345">
        <f>IF($C345="",0,IF(COUNTIFS('月1回_2ヶ月前の在庫'!$V$6:$V$10005,'設定'!$C$4,'月1回_2ヶ月前の在庫'!$W$6:$W$10005,$C345)&gt;0,1,0))</f>
        <v/>
      </c>
      <c r="CY345">
        <f>IF(OR($C345="",'設定'!$C$12=""),"",IF('設定'!$C$13="",IF(AND($CV345=1,$CW345=0),"新商品（今月から）",IF(AND($CV345=0,$CW345=1),"終売（今月から）","")),IF(AND($CV345=1,$CW345=0,$CX345=0),"新商品（今月から）",IF(AND($CV345=1,$CW345=1,$CX345=0),"新商品（先月から）",IF(AND($CV345=0,$CW345=1,$CX345=1),"終売（今月から）",IF(AND($CV345=0,$CW345=0,$CX345=1),"終売（先月から）",IF(AND($CV345=1,$CW345=0,$CX345=1),"復活（先月は無し）","")))))))</f>
        <v/>
      </c>
    </row>
    <row r="346">
      <c r="B346">
        <f>IF(341&lt;='設定'!$C$11,341,"")</f>
        <v/>
      </c>
      <c r="C346">
        <f>IF($B346="","",IF($B346&lt;='設定'!$C$20,INDEX('商品マスタ'!$B$6:$B$1005,MATCH($B346,'商品マスタ'!$M$6:$M$1005,0)),IF($B346&lt;='設定'!$C$20+'設定'!$C$17,INDEX('①在庫を貼る'!$W$6:$W$10005,MATCH($B346-'設定'!$C$20,'①在庫を貼る'!$U$6:$U$10005,0)),IF($B346&lt;='設定'!$C$20+'設定'!$C$17+'設定'!$C$18,INDEX('月1回_1ヶ月前の在庫'!$W$6:$W$10005,MATCH($B346-'設定'!$C$20-'設定'!$C$17,'月1回_1ヶ月前の在庫'!$U$6:$U$10005,0)),INDEX('月1回_2ヶ月前の在庫'!$W$6:$W$10005,MATCH($B346-'設定'!$C$20-'設定'!$C$17-'設定'!$C$18,'月1回_2ヶ月前の在庫'!$U$6:$U$10005,0))))))</f>
        <v/>
      </c>
      <c r="D346">
        <f>IF($C346="","",IFERROR(IF(INDEX('商品マスタ'!$C$6:$C$1005,MATCH($C346,'商品マスタ'!$B$6:$B$1005,0))="",IFERROR(INDEX('①在庫を貼る'!$J$6:$J$10005,MATCH($C346,'①在庫を貼る'!$W$6:$W$10005,0)),IFERROR(INDEX('月1回_1ヶ月前の在庫'!$J$6:$J$10005,MATCH($C346,'月1回_1ヶ月前の在庫'!$W$6:$W$10005,0)),IFERROR(INDEX('月1回_2ヶ月前の在庫'!$J$6:$J$10005,MATCH($C346,'月1回_2ヶ月前の在庫'!$W$6:$W$10005,0)),""))),INDEX('商品マスタ'!$C$6:$C$1005,MATCH($C346,'商品マスタ'!$B$6:$B$1005,0))),IFERROR(INDEX('①在庫を貼る'!$J$6:$J$10005,MATCH($C346,'①在庫を貼る'!$W$6:$W$10005,0)),IFERROR(INDEX('月1回_1ヶ月前の在庫'!$J$6:$J$10005,MATCH($C346,'月1回_1ヶ月前の在庫'!$W$6:$W$10005,0)),IFERROR(INDEX('月1回_2ヶ月前の在庫'!$J$6:$J$10005,MATCH($C346,'月1回_2ヶ月前の在庫'!$W$6:$W$10005,0)),"")))))</f>
        <v/>
      </c>
      <c r="E346">
        <f>IF($C346="","",IFERROR(IF(INDEX('商品マスタ'!$D$6:$D$1005,MATCH($C346,'商品マスタ'!$B$6:$B$1005,0))="",IFERROR(INDEX('①在庫を貼る'!$H$6:$H$10005,MATCH($C346,'①在庫を貼る'!$W$6:$W$10005,0)),IFERROR(INDEX('月1回_1ヶ月前の在庫'!$H$6:$H$10005,MATCH($C346,'月1回_1ヶ月前の在庫'!$W$6:$W$10005,0)),IFERROR(INDEX('月1回_2ヶ月前の在庫'!$H$6:$H$10005,MATCH($C346,'月1回_2ヶ月前の在庫'!$W$6:$W$10005,0)),""))),INDEX('商品マスタ'!$D$6:$D$1005,MATCH($C346,'商品マスタ'!$B$6:$B$1005,0))),IFERROR(INDEX('①在庫を貼る'!$H$6:$H$10005,MATCH($C346,'①在庫を貼る'!$W$6:$W$10005,0)),IFERROR(INDEX('月1回_1ヶ月前の在庫'!$H$6:$H$10005,MATCH($C346,'月1回_1ヶ月前の在庫'!$W$6:$W$10005,0)),IFERROR(INDEX('月1回_2ヶ月前の在庫'!$H$6:$H$10005,MATCH($C346,'月1回_2ヶ月前の在庫'!$W$6:$W$10005,0)),"")))))</f>
        <v/>
      </c>
      <c r="F346">
        <f>IF($C346="","",IFERROR(IF(INDEX('商品マスタ'!$E$6:$E$1005,MATCH($C346,'商品マスタ'!$B$6:$B$1005,0))="",IFERROR(INDEX('①在庫を貼る'!$E$6:$E$10005,MATCH($C346,'①在庫を貼る'!$W$6:$W$10005,0)),IFERROR(INDEX('月1回_1ヶ月前の在庫'!$E$6:$E$10005,MATCH($C346,'月1回_1ヶ月前の在庫'!$W$6:$W$10005,0)),IFERROR(INDEX('月1回_2ヶ月前の在庫'!$E$6:$E$10005,MATCH($C346,'月1回_2ヶ月前の在庫'!$W$6:$W$10005,0)),""))),INDEX('商品マスタ'!$E$6:$E$1005,MATCH($C346,'商品マスタ'!$B$6:$B$1005,0))),IFERROR(INDEX('①在庫を貼る'!$E$6:$E$10005,MATCH($C346,'①在庫を貼る'!$W$6:$W$10005,0)),IFERROR(INDEX('月1回_1ヶ月前の在庫'!$E$6:$E$10005,MATCH($C346,'月1回_1ヶ月前の在庫'!$W$6:$W$10005,0)),IFERROR(INDEX('月1回_2ヶ月前の在庫'!$E$6:$E$10005,MATCH($C346,'月1回_2ヶ月前の在庫'!$W$6:$W$10005,0)),"")))))</f>
        <v/>
      </c>
      <c r="G346">
        <f>IF($C346="","",MAX(1,N(IFERROR(IF(INDEX('商品マスタ'!$F$6:$F$1005,MATCH($C346,'商品マスタ'!$B$6:$B$1005,0))="",IF(COUNTIFS('①在庫を貼る'!$V$6:$V$10005,'設定'!$C$4,'①在庫を貼る'!$W$6:$W$10005,$C346)&gt;0,SUMIFS('①在庫を貼る'!$K$6:$K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K$6:$K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K$6:$K$10005,'月1回_2ヶ月前の在庫'!$V$6:$V$10005,'設定'!$C$4,'月1回_2ヶ月前の在庫'!$W$6:$W$10005,$C346)/COUNTIFS('月1回_2ヶ月前の在庫'!$V$6:$V$10005,'設定'!$C$4,'月1回_2ヶ月前の在庫'!$W$6:$W$10005,$C346),0))),INDEX('商品マスタ'!$F$6:$F$1005,MATCH($C346,'商品マスタ'!$B$6:$B$1005,0))),IF(COUNTIFS('①在庫を貼る'!$V$6:$V$10005,'設定'!$C$4,'①在庫を貼る'!$W$6:$W$10005,$C346)&gt;0,SUMIFS('①在庫を貼る'!$K$6:$K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K$6:$K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K$6:$K$10005,'月1回_2ヶ月前の在庫'!$V$6:$V$10005,'設定'!$C$4,'月1回_2ヶ月前の在庫'!$W$6:$W$10005,$C346)/COUNTIFS('月1回_2ヶ月前の在庫'!$V$6:$V$10005,'設定'!$C$4,'月1回_2ヶ月前の在庫'!$W$6:$W$10005,$C346),0)))))))</f>
        <v/>
      </c>
      <c r="H346">
        <f>IF($C346="","",N(IFERROR(IF(INDEX('商品マスタ'!$G$6:$G$1005,MATCH($C346,'商品マスタ'!$B$6:$B$1005,0))="",IF(COUNTIFS('①在庫を貼る'!$V$6:$V$10005,'設定'!$C$4,'①在庫を貼る'!$W$6:$W$10005,$C346)&gt;0,SUMIFS('①在庫を貼る'!$Q$6:$Q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Q$6:$Q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Q$6:$Q$10005,'月1回_2ヶ月前の在庫'!$V$6:$V$10005,'設定'!$C$4,'月1回_2ヶ月前の在庫'!$W$6:$W$10005,$C346)/COUNTIFS('月1回_2ヶ月前の在庫'!$V$6:$V$10005,'設定'!$C$4,'月1回_2ヶ月前の在庫'!$W$6:$W$10005,$C346),0))),INDEX('商品マスタ'!$G$6:$G$1005,MATCH($C346,'商品マスタ'!$B$6:$B$1005,0))),IF(COUNTIFS('①在庫を貼る'!$V$6:$V$10005,'設定'!$C$4,'①在庫を貼る'!$W$6:$W$10005,$C346)&gt;0,SUMIFS('①在庫を貼る'!$Q$6:$Q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Q$6:$Q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Q$6:$Q$10005,'月1回_2ヶ月前の在庫'!$V$6:$V$10005,'設定'!$C$4,'月1回_2ヶ月前の在庫'!$W$6:$W$10005,$C346)/COUNTIFS('月1回_2ヶ月前の在庫'!$V$6:$V$10005,'設定'!$C$4,'月1回_2ヶ月前の在庫'!$W$6:$W$10005,$C346),0))))))</f>
        <v/>
      </c>
      <c r="I346">
        <f>IF($C346="","",IF(COUNTIFS('①在庫を貼る'!$V$6:$V$10005,'設定'!$C$4,'①在庫を貼る'!$W$6:$W$10005,$C346)=0,"",SUMIFS('①在庫を貼る'!$N$6:$N$10005,'①在庫を貼る'!$V$6:$V$10005,'設定'!$C$4,'①在庫を貼る'!$W$6:$W$10005,$C346)))</f>
        <v/>
      </c>
      <c r="J346">
        <f>IF($C346="","",IF('②発注する'!$AD350="","",'②発注する'!$AD350))</f>
        <v/>
      </c>
      <c r="K346" s="90">
        <f>IF($C346="","",IF('②発注する'!$AE350="","",'②発注する'!$AE350))</f>
        <v/>
      </c>
      <c r="L346">
        <f>IF($C346="","",IF(AND(ISNUMBER($J346),ISNUMBER($K346),$K346&gt;='設定'!$C$6),$J346,N($I346)))</f>
        <v/>
      </c>
      <c r="M346">
        <f>IF($C346="","",IFERROR(IF(N(INDEX('商品マスタ'!$J$6:$J$1005,MATCH($C346,'商品マスタ'!$B$6:$B$1005,0)))&gt;0,INDEX('商品マスタ'!$J$6:$J$1005,MATCH($C346,'商品マスタ'!$B$6:$B$1005,0)),""),""))</f>
        <v/>
      </c>
      <c r="N346">
        <f>IF($C346="","",IFERROR(IF(N(INDEX('商品マスタ'!$H$6:$H$1005,MATCH($C346,'商品マスタ'!$B$6:$B$1005,0)))&gt;0,INDEX('商品マスタ'!$H$6:$H$1005,MATCH($C346,'商品マスタ'!$B$6:$B$1005,0)),""),""))</f>
        <v/>
      </c>
      <c r="O346">
        <f>IF($C346="","",IF($N346&lt;&gt;"",$N346*$G346,IF(N(IF(COUNTIFS('①在庫を貼る'!$V$6:$V$10005,'設定'!$C$4,'①在庫を貼る'!$W$6:$W$10005,$C346)&gt;0,SUMIFS('①在庫を貼る'!$O$6:$O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O$6:$O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O$6:$O$10005,'月1回_2ヶ月前の在庫'!$V$6:$V$10005,'設定'!$C$4,'月1回_2ヶ月前の在庫'!$W$6:$W$10005,$C346)/COUNTIFS('月1回_2ヶ月前の在庫'!$V$6:$V$10005,'設定'!$C$4,'月1回_2ヶ月前の在庫'!$W$6:$W$10005,$C346),0))))&gt;0,N(IF(COUNTIFS('①在庫を貼る'!$V$6:$V$10005,'設定'!$C$4,'①在庫を貼る'!$W$6:$W$10005,$C346)&gt;0,SUMIFS('①在庫を貼る'!$O$6:$O$10005,'①在庫を貼る'!$V$6:$V$10005,'設定'!$C$4,'①在庫を貼る'!$W$6:$W$10005,$C346)/COUNTIFS('①在庫を貼る'!$V$6:$V$10005,'設定'!$C$4,'①在庫を貼る'!$W$6:$W$10005,$C346),IF(COUNTIFS('月1回_1ヶ月前の在庫'!$V$6:$V$10005,'設定'!$C$4,'月1回_1ヶ月前の在庫'!$W$6:$W$10005,$C346)&gt;0,SUMIFS('月1回_1ヶ月前の在庫'!$O$6:$O$10005,'月1回_1ヶ月前の在庫'!$V$6:$V$10005,'設定'!$C$4,'月1回_1ヶ月前の在庫'!$W$6:$W$10005,$C346)/COUNTIFS('月1回_1ヶ月前の在庫'!$V$6:$V$10005,'設定'!$C$4,'月1回_1ヶ月前の在庫'!$W$6:$W$10005,$C346),IF(COUNTIFS('月1回_2ヶ月前の在庫'!$V$6:$V$10005,'設定'!$C$4,'月1回_2ヶ月前の在庫'!$W$6:$W$10005,$C346)&gt;0,SUMIFS('月1回_2ヶ月前の在庫'!$O$6:$O$10005,'月1回_2ヶ月前の在庫'!$V$6:$V$10005,'設定'!$C$4,'月1回_2ヶ月前の在庫'!$W$6:$W$10005,$C346)/COUNTIFS('月1回_2ヶ月前の在庫'!$V$6:$V$10005,'設定'!$C$4,'月1回_2ヶ月前の在庫'!$W$6:$W$10005,$C346),0)))),"")))</f>
        <v/>
      </c>
      <c r="P346" s="90">
        <f>IF($C346="","",IF('②発注する'!$I350="","",'②発注する'!$I350))</f>
        <v/>
      </c>
      <c r="Q346">
        <f>IF($C346="","",IF('②発注する'!$J350="","",'②発注する'!$J350))</f>
        <v/>
      </c>
      <c r="R346">
        <f>IF($C346="",0,IF(AND(ISNUMBER($P346),ISNUMBER($Q346)),MAX(0,$Q346)*$G346,0))</f>
        <v/>
      </c>
      <c r="S346" s="90">
        <f>IF($C346="","",IF('②発注する'!$M350="","",'②発注する'!$M350))</f>
        <v/>
      </c>
      <c r="T346">
        <f>IF($C346="","",IF('②発注する'!$N350="","",'②発注する'!$N350))</f>
        <v/>
      </c>
      <c r="U346">
        <f>IF($C346="",0,IF(AND(ISNUMBER($S346),ISNUMBER($T346)),MAX(0,$T346)*$G346,0))</f>
        <v/>
      </c>
      <c r="V346">
        <f>IF($C346="",0,IF($M346="",0,MAX(0,$M346)*MAX(0,V$4)/100))</f>
        <v/>
      </c>
      <c r="W346">
        <f>IF($C346="",0,IF($M346="",0,MAX(0,$M346)*MAX(0,W$4)/100))</f>
        <v/>
      </c>
      <c r="X346">
        <f>IF($C346="",0,IF($M346="",0,MAX(0,$M346)*MAX(0,X$4)/100))</f>
        <v/>
      </c>
      <c r="Y346">
        <f>IF($C346="",0,IF($M346="",0,MAX(0,$M346)*MAX(0,Y$4)/100))</f>
        <v/>
      </c>
      <c r="Z346">
        <f>IF($C346="",0,IF($M346="",0,MAX(0,$M346)*MAX(0,Z$4)/100))</f>
        <v/>
      </c>
      <c r="AA346">
        <f>IF($C346="",0,IF($M346="",0,MAX(0,$M346)*MAX(0,AA$4)/100))</f>
        <v/>
      </c>
      <c r="AB346">
        <f>IF($C346="",0,IF($M346="",0,MAX(0,$M346)*MAX(0,AB$4)/100))</f>
        <v/>
      </c>
      <c r="AC346">
        <f>IF($C346="",0,IF($M346="",0,MAX(0,$M346)*MAX(0,AC$4)/100))</f>
        <v/>
      </c>
      <c r="AD346">
        <f>IF($C346="",0,IF($M346="",0,MAX(0,$M346)*MAX(0,AD$4)/100))</f>
        <v/>
      </c>
      <c r="AE346">
        <f>IF($C346="",0,IF($M346="",0,MAX(0,$M346)*MAX(0,AE$4)/100))</f>
        <v/>
      </c>
      <c r="AF346">
        <f>IF($C346="",0,IF($M346="",0,MAX(0,$M346)*MAX(0,AF$4)/100))</f>
        <v/>
      </c>
      <c r="AG346">
        <f>IF($C346="",0,IF($M346="",0,MAX(0,$M346)*MAX(0,AG$4)/100))</f>
        <v/>
      </c>
      <c r="AH346">
        <f>IF($C346="",0,IF($M346="",0,MAX(0,$M346)*MAX(0,AH$4)/100))</f>
        <v/>
      </c>
      <c r="AI346">
        <f>IF($C346="",0,IF($M346="",0,MAX(0,$M346)*MAX(0,AI$4)/100))</f>
        <v/>
      </c>
      <c r="AJ346">
        <f>IF($C346="",0,MAX(0,MAX(0,N($L346))-$V346))</f>
        <v/>
      </c>
      <c r="AK346">
        <f>IF($C346="",0,MAX(0,$AJ346-$W346))</f>
        <v/>
      </c>
      <c r="AL346">
        <f>IF($C346="",0,MAX(0,$AK346-$X346))</f>
        <v/>
      </c>
      <c r="AM346">
        <f>IF($C346="",0,MAX(0,$AL346-$Y346))</f>
        <v/>
      </c>
      <c r="AN346">
        <f>IF($C346="",0,MAX(0,$AM346-$Z346))</f>
        <v/>
      </c>
      <c r="AO346">
        <f>IF($C346="",0,MAX(0,$AN346-$AA346))</f>
        <v/>
      </c>
      <c r="AP346">
        <f>IF($C346="",0,MAX(0,$AO346-$AB346))</f>
        <v/>
      </c>
      <c r="AQ346">
        <f>IF($C346="",0,MAX(0,$AP346-$AC346))</f>
        <v/>
      </c>
      <c r="AR346">
        <f>IF($C346="",0,MAX(0,$AQ346-$AD346))</f>
        <v/>
      </c>
      <c r="AS346">
        <f>IF($C346="",0,MAX(0,$AR346-$AE346))</f>
        <v/>
      </c>
      <c r="AT346">
        <f>IF($C346="",0,MAX(0,$AS346-$AF346))</f>
        <v/>
      </c>
      <c r="AU346">
        <f>IF($C346="",0,MAX(0,$AT346-$AG346))</f>
        <v/>
      </c>
      <c r="AV346">
        <f>IF($C346="",0,MAX(0,$AU346-$AH346))</f>
        <v/>
      </c>
      <c r="AW346">
        <f>IF($C346="",0,MAX(0,$AV346-$AI346))</f>
        <v/>
      </c>
      <c r="AX346">
        <f>IF($C346="",0,MAX(0,MAX(0,N($L346))+IF($P346=V$3,$R346,0)+IF($S346=V$3,$U346,0)-$V346))</f>
        <v/>
      </c>
      <c r="AY346">
        <f>IF($C346="",0,MAX(0,$AX346+IF($P346=W$3,$R346,0)+IF($S346=W$3,$U346,0)-$W346))</f>
        <v/>
      </c>
      <c r="AZ346">
        <f>IF($C346="",0,MAX(0,$AY346+IF($P346=X$3,$R346,0)+IF($S346=X$3,$U346,0)-$X346))</f>
        <v/>
      </c>
      <c r="BA346">
        <f>IF($C346="",0,MAX(0,$AZ346+IF($P346=Y$3,$R346,0)+IF($S346=Y$3,$U346,0)-$Y346))</f>
        <v/>
      </c>
      <c r="BB346">
        <f>IF($C346="",0,MAX(0,$BA346+IF($P346=Z$3,$R346,0)+IF($S346=Z$3,$U346,0)-$Z346))</f>
        <v/>
      </c>
      <c r="BC346">
        <f>IF($C346="",0,MAX(0,$BB346+IF($P346=AA$3,$R346,0)+IF($S346=AA$3,$U346,0)-$AA346))</f>
        <v/>
      </c>
      <c r="BD346">
        <f>IF($C346="",0,MAX(0,$BC346+IF($P346=AB$3,$R346,0)+IF($S346=AB$3,$U346,0)-$AB346))</f>
        <v/>
      </c>
      <c r="BE346">
        <f>IF($C346="",0,MAX(0,$BD346+IF($P346=AC$3,$R346,0)+IF($S346=AC$3,$U346,0)-$AC346))</f>
        <v/>
      </c>
      <c r="BF346">
        <f>IF($C346="",0,MAX(0,$BE346+IF($P346=AD$3,$R346,0)+IF($S346=AD$3,$U346,0)-$AD346))</f>
        <v/>
      </c>
      <c r="BG346">
        <f>IF($C346="",0,MAX(0,$BF346+IF($P346=AE$3,$R346,0)+IF($S346=AE$3,$U346,0)-$AE346))</f>
        <v/>
      </c>
      <c r="BH346">
        <f>IF($C346="",0,MAX(0,$BG346+IF($P346=AF$3,$R346,0)+IF($S346=AF$3,$U346,0)-$AF346))</f>
        <v/>
      </c>
      <c r="BI346">
        <f>IF($C346="",0,MAX(0,$BH346+IF($P346=AG$3,$R346,0)+IF($S346=AG$3,$U346,0)-$AG346))</f>
        <v/>
      </c>
      <c r="BJ346">
        <f>IF($C346="",0,MAX(0,$BI346+IF($P346=AH$3,$R346,0)+IF($S346=AH$3,$U346,0)-$AH346))</f>
        <v/>
      </c>
      <c r="BK346">
        <f>IF($C346="",0,MAX(0,$BJ346+IF($P346=AI$3,$R346,0)+IF($S346=AI$3,$U346,0)-$AI346))</f>
        <v/>
      </c>
      <c r="BL346">
        <f>IF($C346="",99,IF(AND($AX346&lt;1,V$3&gt;=MAX(N($P346),N($S346))),0,99))</f>
        <v/>
      </c>
      <c r="BM346">
        <f>IF($C346="",99,IF(AND($AY346&lt;1,W$3&gt;=MAX(N($P346),N($S346))),1,99))</f>
        <v/>
      </c>
      <c r="BN346">
        <f>IF($C346="",99,IF(AND($AZ346&lt;1,X$3&gt;=MAX(N($P346),N($S346))),2,99))</f>
        <v/>
      </c>
      <c r="BO346">
        <f>IF($C346="",99,IF(AND($BA346&lt;1,Y$3&gt;=MAX(N($P346),N($S346))),3,99))</f>
        <v/>
      </c>
      <c r="BP346">
        <f>IF($C346="",99,IF(AND($BB346&lt;1,Z$3&gt;=MAX(N($P346),N($S346))),4,99))</f>
        <v/>
      </c>
      <c r="BQ346">
        <f>IF($C346="",99,IF(AND($BC346&lt;1,AA$3&gt;=MAX(N($P346),N($S346))),5,99))</f>
        <v/>
      </c>
      <c r="BR346">
        <f>IF($C346="",99,IF(AND($BD346&lt;1,AB$3&gt;=MAX(N($P346),N($S346))),6,99))</f>
        <v/>
      </c>
      <c r="BS346">
        <f>IF($C346="",99,IF(AND($BE346&lt;1,AC$3&gt;=MAX(N($P346),N($S346))),7,99))</f>
        <v/>
      </c>
      <c r="BT346">
        <f>IF($C346="",99,IF(AND($BF346&lt;1,AD$3&gt;=MAX(N($P346),N($S346))),8,99))</f>
        <v/>
      </c>
      <c r="BU346">
        <f>IF($C346="",99,IF(AND($BG346&lt;1,AE$3&gt;=MAX(N($P346),N($S346))),9,99))</f>
        <v/>
      </c>
      <c r="BV346">
        <f>IF($C346="",99,IF(AND($BH346&lt;1,AF$3&gt;=MAX(N($P346),N($S346))),10,99))</f>
        <v/>
      </c>
      <c r="BW346">
        <f>IF($C346="",99,IF(AND($BI346&lt;1,AG$3&gt;=MAX(N($P346),N($S346))),11,99))</f>
        <v/>
      </c>
      <c r="BX346">
        <f>IF($C346="",99,IF(AND($BJ346&lt;1,AH$3&gt;=MAX(N($P346),N($S346))),12,99))</f>
        <v/>
      </c>
      <c r="BY346">
        <f>IF($C346="",99,IF(AND($BK346&lt;1,AI$3&gt;=MAX(N($P346),N($S346))),13,99))</f>
        <v/>
      </c>
      <c r="BZ346">
        <f>IF(OR($C346="",$M346=""),"",COUNTIF($AJ346:$AW346,"&gt;=1"))</f>
        <v/>
      </c>
      <c r="CA346" s="90">
        <f>IF($BZ346="","",IF($BZ346&gt;=14,"",'設定'!$C$6+$BZ346))</f>
        <v/>
      </c>
      <c r="CB346">
        <f>IF(OR($C346="",$M346=""),"",MIN($BL346:$BY346))</f>
        <v/>
      </c>
      <c r="CC346" s="90">
        <f>IF($CB346="","",IF($CB346&gt;=99,"",'設定'!$C$6+$CB346))</f>
        <v/>
      </c>
      <c r="CD346">
        <f>IF(OR($C346="",$M346=""),"",AVERAGE($V346:$AI346))</f>
        <v/>
      </c>
      <c r="CE346">
        <f>IF($C346="","",IFERROR(IF(MATCH(IF(ISNUMBER($P346),$P346,'設定'!$C$6+N('設定'!$C$7)),$V$3:$AI$3,0)=1,MAX(0,N($L346)),INDEX($AJ346:$AW346,MATCH(IF(ISNUMBER($P346),$P346,'設定'!$C$6+N('設定'!$C$7)),$V$3:$AI$3,0)-1)),""))</f>
        <v/>
      </c>
      <c r="CF346">
        <f>IF(OR($C346="",$O346="",$CE346=""),"",IF($O346-$CE346&lt;=0,0,ROUNDUP(($O346-$CE346)/$G346,0)))</f>
        <v/>
      </c>
      <c r="CG346">
        <f>IF(OR($C346="",$CF346="",NOT(ISNUMBER($Q346))),0,MAX(0,$Q346-$CF346))</f>
        <v/>
      </c>
      <c r="CH346">
        <f>IF(OR($C346="",$O346="",$U346=0),0,IFERROR(ROUNDUP(MAX(0,IF(MATCH($S346,$V$3:$AI$3,0)=1,MAX(0,N($L346)),INDEX($AX346:$BK346,MATCH($S346,$V$3:$AI$3,0)-1))+$U346-$O346)/$G346,0),0))</f>
        <v/>
      </c>
      <c r="CI346">
        <f>IF($C346="","",IF(AND($P346="",$Q346=""),"",IF($P346="","⚠ 入庫日を ▼ から選んでください",IF(NOT(ISNUMBER($P346)),"⚠ 入庫日は ▼ から選んでください",IF($P346&lt;N('設定'!$C$6),"⚠ 入庫日が過去です（もう在庫に入っています）→ 消してください",IF($P346&gt;N('設定'!$C$6)+13,"⚠ 入庫日が14日より先です",IF(N($Q346)&lt;=0,"⚠ 入庫数を入れてください",IF($CG346&gt;0,"⚠ 目安より "&amp;$CG346&amp;" 多い（定数を超える）→ 減らす",""))))))))</f>
        <v/>
      </c>
      <c r="CJ346">
        <f>IF($C346="","",IF(AND($S346="",$T346=""),"",IF($S346="","⚠ 2便目：入庫日を ▼ から選んでください",IF(NOT(ISNUMBER($S346)),"⚠ 2便目：入庫日は ▼ から選んでください",IF($S346&lt;N('設定'!$C$6),"⚠ 2便目：入庫日が過去です（もう在庫に入っています）→ 消してください",IF($S346&gt;N('設定'!$C$6)+13,"⚠ 2便目：入庫日が14日より先です",IF(N($T346)&lt;=0,"⚠ 2便目：入庫数を入れてください",IF($CH346&gt;0,"⚠ 2便目：定数を "&amp;$CH346&amp;" ケース超える → 減らす",""))))))))</f>
        <v/>
      </c>
      <c r="CK346">
        <f>IF(AND($CI346="",N($Q346)&gt;0,ISNUMBER($P346)),1,0)</f>
        <v/>
      </c>
      <c r="CL346">
        <f>IF(AND($CJ346="",N($T346)&gt;0,ISNUMBER($S346)),1,0)</f>
        <v/>
      </c>
      <c r="CM346">
        <f>IF(OR($CK346=1,$CL346=1),1,0)</f>
        <v/>
      </c>
      <c r="CN346">
        <f>IF($C346="",0,($CK346*$R346+$CL346*$U346)*N($H346))</f>
        <v/>
      </c>
      <c r="CO346">
        <f>IF($C346="","",IF($CC346="","入庫後は 14日以上もつ",IF($CC346-N('設定'!$C$7)&lt;='設定'!$C$6,"入庫後も "&amp;TEXT($CC346,"m/d")&amp;"("&amp;CHOOSE(WEEKDAY($CC346),"日","月","火","水","木","金","土")&amp;")"&amp;" に切れる　もう1便を至急発注","入庫後も "&amp;TEXT($CC346,"m/d")&amp;"("&amp;CHOOSE(WEEKDAY($CC346),"日","月","火","水","木","金","土")&amp;")"&amp;" に切れる　"&amp;TEXT($CC346-N('設定'!$C$7),"m/d")&amp;"("&amp;CHOOSE(WEEKDAY($CC346-N('設定'!$C$7)),"日","月","火","水","木","金","土")&amp;")"&amp;" までに次を発注")))</f>
        <v/>
      </c>
      <c r="CP346">
        <f>IF($C346="","",IF('設定'!$C$6="","？ ①在庫を貼る に今日のCSVが貼られていない",IF($CS346=1,"－ 今日のCSVに無い（終売？）",IF($L346&lt;0,"● 在庫がマイナス　数えて「数えた在庫」に入れる",IF($L346=0,"● 在庫なし　至急発注",IF($M346="","？ 減り数が未設定（商品マスタ）",IF($B$3=0,"？ 動員が未入力（動員を入れる）",IF($CA346="","○ 14日以上もつ",IF($BZ346&lt;N('設定'!$C$7),"● "&amp;TEXT($CA346,"m/d")&amp;"("&amp;CHOOSE(WEEKDAY($CA346),"日","月","火","水","木","金","土")&amp;")"&amp;" に切れる　至急発注",IF($BZ346=N('設定'!$C$7),"● "&amp;TEXT($CA346,"m/d")&amp;"("&amp;CHOOSE(WEEKDAY($CA346),"日","月","火","水","木","金","土")&amp;")"&amp;" に切れる　今日発注","△ "&amp;TEXT($CA346,"m/d")&amp;"("&amp;CHOOSE(WEEKDAY($CA346),"日","月","火","水","木","金","土")&amp;")"&amp;" に切れる　"&amp;TEXT($CA346-N('設定'!$C$7),"m/d")&amp;"("&amp;CHOOSE(WEEKDAY($CA346-N('設定'!$C$7)),"日","月","火","水","木","金","土")&amp;")"&amp;" までに発注"))))))))))</f>
        <v/>
      </c>
      <c r="CQ346">
        <f>IF($C346="","",IF(AND($P346="",$Q346="",$S346="",$T346=""),"",IF(AND($P346="",$Q346=""),"⚠ 先に1便目（左の入庫日・入庫数）に入れてください",IF($CI346&lt;&gt;"",$CI346,IF($CJ346&lt;&gt;"",$CJ346,IF($M346="","？ 減り数が未設定（発注書には載ります）",IF($B$3=0,"？ 動員が未入力（発注書には載ります）",IF(AND($CA346&lt;&gt;"",$P346&gt;$CA346),IF($P346&gt;'設定'!$C$6+N('設定'!$C$7),"● "&amp;TEXT($P346,"m/d")&amp;"("&amp;CHOOSE(WEEKDAY($P346),"日","月","火","水","木","金","土")&amp;")"&amp;" の入庫では間に合わない（"&amp;TEXT($CA346,"m/d")&amp;"("&amp;CHOOSE(WEEKDAY($CA346),"日","月","火","水","木","金","土")&amp;")"&amp;" に切れる）　入庫日を早める","△ 欠品 "&amp;TEXT($CA346,"m/d")&amp;"("&amp;CHOOSE(WEEKDAY($CA346),"日","月","火","水","木","金","土")&amp;")"&amp;"〜"&amp;TEXT($P346-1,"m/d")&amp;"("&amp;CHOOSE(WEEKDAY($P346-1),"日","月","火","水","木","金","土")&amp;")"&amp;"　"&amp;$CO346),IF($CC346="","○ "&amp;TEXT($P346,"m/d")&amp;"("&amp;CHOOSE(WEEKDAY($P346),"日","月","火","水","木","金","土")&amp;")"&amp;" 入庫で 14日以上もつ",IF($CC346-N('設定'!$C$7)&lt;='設定'!$C$6,"● 入庫しても "&amp;TEXT($CC346,"m/d")&amp;"("&amp;CHOOSE(WEEKDAY($CC346),"日","月","火","水","木","金","土")&amp;")"&amp;" に切れる　もう1便を至急発注（2便目に入れる）","△ 入庫しても "&amp;TEXT($CC346,"m/d")&amp;"("&amp;CHOOSE(WEEKDAY($CC346),"日","月","火","水","木","金","土")&amp;")"&amp;" に切れる　"&amp;TEXT($CC346-N('設定'!$C$7),"m/d")&amp;"("&amp;CHOOSE(WEEKDAY($CC346-N('設定'!$C$7)),"日","月","火","水","木","金","土")&amp;")"&amp;" までに次を発注（2便目に入れる）"))))))))))</f>
        <v/>
      </c>
      <c r="CR346">
        <f>IF($C346="","",IF($G346&gt;1,"ｹｰｽ("&amp;$G346&amp;"入)","個"))</f>
        <v/>
      </c>
      <c r="CS346">
        <f>IF($C346="",0,IF(COUNTIFS('①在庫を貼る'!$V$6:$V$10005,'設定'!$C$4,'①在庫を貼る'!$W$6:$W$10005,$C346)=0,1,0))</f>
        <v/>
      </c>
      <c r="CT346">
        <f>IF(AND($CK346=1,OR('③発注書'!$C$4="すべて",'③発注書'!$C$4="",$F346='③発注書'!$C$4)),N($CT345)+1,N($CT345))</f>
        <v/>
      </c>
      <c r="CU346">
        <f>IF(AND($CL346=1,OR('③発注書'!$C$4="すべて",'③発注書'!$C$4="",$F346='③発注書'!$C$4)),N($CU345)+1,N($CU345))</f>
        <v/>
      </c>
      <c r="CV346">
        <f>IF($C346="",0,IF(COUNTIFS('①在庫を貼る'!$V$6:$V$10005,'設定'!$C$4,'①在庫を貼る'!$W$6:$W$10005,$C346)&gt;0,1,0))</f>
        <v/>
      </c>
      <c r="CW346">
        <f>IF($C346="",0,IF(COUNTIFS('月1回_1ヶ月前の在庫'!$V$6:$V$10005,'設定'!$C$4,'月1回_1ヶ月前の在庫'!$W$6:$W$10005,$C346)&gt;0,1,0))</f>
        <v/>
      </c>
      <c r="CX346">
        <f>IF($C346="",0,IF(COUNTIFS('月1回_2ヶ月前の在庫'!$V$6:$V$10005,'設定'!$C$4,'月1回_2ヶ月前の在庫'!$W$6:$W$10005,$C346)&gt;0,1,0))</f>
        <v/>
      </c>
      <c r="CY346">
        <f>IF(OR($C346="",'設定'!$C$12=""),"",IF('設定'!$C$13="",IF(AND($CV346=1,$CW346=0),"新商品（今月から）",IF(AND($CV346=0,$CW346=1),"終売（今月から）","")),IF(AND($CV346=1,$CW346=0,$CX346=0),"新商品（今月から）",IF(AND($CV346=1,$CW346=1,$CX346=0),"新商品（先月から）",IF(AND($CV346=0,$CW346=1,$CX346=1),"終売（今月から）",IF(AND($CV346=0,$CW346=0,$CX346=1),"終売（先月から）",IF(AND($CV346=1,$CW346=0,$CX346=1),"復活（先月は無し）","")))))))</f>
        <v/>
      </c>
    </row>
    <row r="347">
      <c r="B347">
        <f>IF(342&lt;='設定'!$C$11,342,"")</f>
        <v/>
      </c>
      <c r="C347">
        <f>IF($B347="","",IF($B347&lt;='設定'!$C$20,INDEX('商品マスタ'!$B$6:$B$1005,MATCH($B347,'商品マスタ'!$M$6:$M$1005,0)),IF($B347&lt;='設定'!$C$20+'設定'!$C$17,INDEX('①在庫を貼る'!$W$6:$W$10005,MATCH($B347-'設定'!$C$20,'①在庫を貼る'!$U$6:$U$10005,0)),IF($B347&lt;='設定'!$C$20+'設定'!$C$17+'設定'!$C$18,INDEX('月1回_1ヶ月前の在庫'!$W$6:$W$10005,MATCH($B347-'設定'!$C$20-'設定'!$C$17,'月1回_1ヶ月前の在庫'!$U$6:$U$10005,0)),INDEX('月1回_2ヶ月前の在庫'!$W$6:$W$10005,MATCH($B347-'設定'!$C$20-'設定'!$C$17-'設定'!$C$18,'月1回_2ヶ月前の在庫'!$U$6:$U$10005,0))))))</f>
        <v/>
      </c>
      <c r="D347">
        <f>IF($C347="","",IFERROR(IF(INDEX('商品マスタ'!$C$6:$C$1005,MATCH($C347,'商品マスタ'!$B$6:$B$1005,0))="",IFERROR(INDEX('①在庫を貼る'!$J$6:$J$10005,MATCH($C347,'①在庫を貼る'!$W$6:$W$10005,0)),IFERROR(INDEX('月1回_1ヶ月前の在庫'!$J$6:$J$10005,MATCH($C347,'月1回_1ヶ月前の在庫'!$W$6:$W$10005,0)),IFERROR(INDEX('月1回_2ヶ月前の在庫'!$J$6:$J$10005,MATCH($C347,'月1回_2ヶ月前の在庫'!$W$6:$W$10005,0)),""))),INDEX('商品マスタ'!$C$6:$C$1005,MATCH($C347,'商品マスタ'!$B$6:$B$1005,0))),IFERROR(INDEX('①在庫を貼る'!$J$6:$J$10005,MATCH($C347,'①在庫を貼る'!$W$6:$W$10005,0)),IFERROR(INDEX('月1回_1ヶ月前の在庫'!$J$6:$J$10005,MATCH($C347,'月1回_1ヶ月前の在庫'!$W$6:$W$10005,0)),IFERROR(INDEX('月1回_2ヶ月前の在庫'!$J$6:$J$10005,MATCH($C347,'月1回_2ヶ月前の在庫'!$W$6:$W$10005,0)),"")))))</f>
        <v/>
      </c>
      <c r="E347">
        <f>IF($C347="","",IFERROR(IF(INDEX('商品マスタ'!$D$6:$D$1005,MATCH($C347,'商品マスタ'!$B$6:$B$1005,0))="",IFERROR(INDEX('①在庫を貼る'!$H$6:$H$10005,MATCH($C347,'①在庫を貼る'!$W$6:$W$10005,0)),IFERROR(INDEX('月1回_1ヶ月前の在庫'!$H$6:$H$10005,MATCH($C347,'月1回_1ヶ月前の在庫'!$W$6:$W$10005,0)),IFERROR(INDEX('月1回_2ヶ月前の在庫'!$H$6:$H$10005,MATCH($C347,'月1回_2ヶ月前の在庫'!$W$6:$W$10005,0)),""))),INDEX('商品マスタ'!$D$6:$D$1005,MATCH($C347,'商品マスタ'!$B$6:$B$1005,0))),IFERROR(INDEX('①在庫を貼る'!$H$6:$H$10005,MATCH($C347,'①在庫を貼る'!$W$6:$W$10005,0)),IFERROR(INDEX('月1回_1ヶ月前の在庫'!$H$6:$H$10005,MATCH($C347,'月1回_1ヶ月前の在庫'!$W$6:$W$10005,0)),IFERROR(INDEX('月1回_2ヶ月前の在庫'!$H$6:$H$10005,MATCH($C347,'月1回_2ヶ月前の在庫'!$W$6:$W$10005,0)),"")))))</f>
        <v/>
      </c>
      <c r="F347">
        <f>IF($C347="","",IFERROR(IF(INDEX('商品マスタ'!$E$6:$E$1005,MATCH($C347,'商品マスタ'!$B$6:$B$1005,0))="",IFERROR(INDEX('①在庫を貼る'!$E$6:$E$10005,MATCH($C347,'①在庫を貼る'!$W$6:$W$10005,0)),IFERROR(INDEX('月1回_1ヶ月前の在庫'!$E$6:$E$10005,MATCH($C347,'月1回_1ヶ月前の在庫'!$W$6:$W$10005,0)),IFERROR(INDEX('月1回_2ヶ月前の在庫'!$E$6:$E$10005,MATCH($C347,'月1回_2ヶ月前の在庫'!$W$6:$W$10005,0)),""))),INDEX('商品マスタ'!$E$6:$E$1005,MATCH($C347,'商品マスタ'!$B$6:$B$1005,0))),IFERROR(INDEX('①在庫を貼る'!$E$6:$E$10005,MATCH($C347,'①在庫を貼る'!$W$6:$W$10005,0)),IFERROR(INDEX('月1回_1ヶ月前の在庫'!$E$6:$E$10005,MATCH($C347,'月1回_1ヶ月前の在庫'!$W$6:$W$10005,0)),IFERROR(INDEX('月1回_2ヶ月前の在庫'!$E$6:$E$10005,MATCH($C347,'月1回_2ヶ月前の在庫'!$W$6:$W$10005,0)),"")))))</f>
        <v/>
      </c>
      <c r="G347">
        <f>IF($C347="","",MAX(1,N(IFERROR(IF(INDEX('商品マスタ'!$F$6:$F$1005,MATCH($C347,'商品マスタ'!$B$6:$B$1005,0))="",IF(COUNTIFS('①在庫を貼る'!$V$6:$V$10005,'設定'!$C$4,'①在庫を貼る'!$W$6:$W$10005,$C347)&gt;0,SUMIFS('①在庫を貼る'!$K$6:$K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K$6:$K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K$6:$K$10005,'月1回_2ヶ月前の在庫'!$V$6:$V$10005,'設定'!$C$4,'月1回_2ヶ月前の在庫'!$W$6:$W$10005,$C347)/COUNTIFS('月1回_2ヶ月前の在庫'!$V$6:$V$10005,'設定'!$C$4,'月1回_2ヶ月前の在庫'!$W$6:$W$10005,$C347),0))),INDEX('商品マスタ'!$F$6:$F$1005,MATCH($C347,'商品マスタ'!$B$6:$B$1005,0))),IF(COUNTIFS('①在庫を貼る'!$V$6:$V$10005,'設定'!$C$4,'①在庫を貼る'!$W$6:$W$10005,$C347)&gt;0,SUMIFS('①在庫を貼る'!$K$6:$K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K$6:$K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K$6:$K$10005,'月1回_2ヶ月前の在庫'!$V$6:$V$10005,'設定'!$C$4,'月1回_2ヶ月前の在庫'!$W$6:$W$10005,$C347)/COUNTIFS('月1回_2ヶ月前の在庫'!$V$6:$V$10005,'設定'!$C$4,'月1回_2ヶ月前の在庫'!$W$6:$W$10005,$C347),0)))))))</f>
        <v/>
      </c>
      <c r="H347">
        <f>IF($C347="","",N(IFERROR(IF(INDEX('商品マスタ'!$G$6:$G$1005,MATCH($C347,'商品マスタ'!$B$6:$B$1005,0))="",IF(COUNTIFS('①在庫を貼る'!$V$6:$V$10005,'設定'!$C$4,'①在庫を貼る'!$W$6:$W$10005,$C347)&gt;0,SUMIFS('①在庫を貼る'!$Q$6:$Q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Q$6:$Q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Q$6:$Q$10005,'月1回_2ヶ月前の在庫'!$V$6:$V$10005,'設定'!$C$4,'月1回_2ヶ月前の在庫'!$W$6:$W$10005,$C347)/COUNTIFS('月1回_2ヶ月前の在庫'!$V$6:$V$10005,'設定'!$C$4,'月1回_2ヶ月前の在庫'!$W$6:$W$10005,$C347),0))),INDEX('商品マスタ'!$G$6:$G$1005,MATCH($C347,'商品マスタ'!$B$6:$B$1005,0))),IF(COUNTIFS('①在庫を貼る'!$V$6:$V$10005,'設定'!$C$4,'①在庫を貼る'!$W$6:$W$10005,$C347)&gt;0,SUMIFS('①在庫を貼る'!$Q$6:$Q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Q$6:$Q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Q$6:$Q$10005,'月1回_2ヶ月前の在庫'!$V$6:$V$10005,'設定'!$C$4,'月1回_2ヶ月前の在庫'!$W$6:$W$10005,$C347)/COUNTIFS('月1回_2ヶ月前の在庫'!$V$6:$V$10005,'設定'!$C$4,'月1回_2ヶ月前の在庫'!$W$6:$W$10005,$C347),0))))))</f>
        <v/>
      </c>
      <c r="I347">
        <f>IF($C347="","",IF(COUNTIFS('①在庫を貼る'!$V$6:$V$10005,'設定'!$C$4,'①在庫を貼る'!$W$6:$W$10005,$C347)=0,"",SUMIFS('①在庫を貼る'!$N$6:$N$10005,'①在庫を貼る'!$V$6:$V$10005,'設定'!$C$4,'①在庫を貼る'!$W$6:$W$10005,$C347)))</f>
        <v/>
      </c>
      <c r="J347">
        <f>IF($C347="","",IF('②発注する'!$AD351="","",'②発注する'!$AD351))</f>
        <v/>
      </c>
      <c r="K347" s="90">
        <f>IF($C347="","",IF('②発注する'!$AE351="","",'②発注する'!$AE351))</f>
        <v/>
      </c>
      <c r="L347">
        <f>IF($C347="","",IF(AND(ISNUMBER($J347),ISNUMBER($K347),$K347&gt;='設定'!$C$6),$J347,N($I347)))</f>
        <v/>
      </c>
      <c r="M347">
        <f>IF($C347="","",IFERROR(IF(N(INDEX('商品マスタ'!$J$6:$J$1005,MATCH($C347,'商品マスタ'!$B$6:$B$1005,0)))&gt;0,INDEX('商品マスタ'!$J$6:$J$1005,MATCH($C347,'商品マスタ'!$B$6:$B$1005,0)),""),""))</f>
        <v/>
      </c>
      <c r="N347">
        <f>IF($C347="","",IFERROR(IF(N(INDEX('商品マスタ'!$H$6:$H$1005,MATCH($C347,'商品マスタ'!$B$6:$B$1005,0)))&gt;0,INDEX('商品マスタ'!$H$6:$H$1005,MATCH($C347,'商品マスタ'!$B$6:$B$1005,0)),""),""))</f>
        <v/>
      </c>
      <c r="O347">
        <f>IF($C347="","",IF($N347&lt;&gt;"",$N347*$G347,IF(N(IF(COUNTIFS('①在庫を貼る'!$V$6:$V$10005,'設定'!$C$4,'①在庫を貼る'!$W$6:$W$10005,$C347)&gt;0,SUMIFS('①在庫を貼る'!$O$6:$O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O$6:$O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O$6:$O$10005,'月1回_2ヶ月前の在庫'!$V$6:$V$10005,'設定'!$C$4,'月1回_2ヶ月前の在庫'!$W$6:$W$10005,$C347)/COUNTIFS('月1回_2ヶ月前の在庫'!$V$6:$V$10005,'設定'!$C$4,'月1回_2ヶ月前の在庫'!$W$6:$W$10005,$C347),0))))&gt;0,N(IF(COUNTIFS('①在庫を貼る'!$V$6:$V$10005,'設定'!$C$4,'①在庫を貼る'!$W$6:$W$10005,$C347)&gt;0,SUMIFS('①在庫を貼る'!$O$6:$O$10005,'①在庫を貼る'!$V$6:$V$10005,'設定'!$C$4,'①在庫を貼る'!$W$6:$W$10005,$C347)/COUNTIFS('①在庫を貼る'!$V$6:$V$10005,'設定'!$C$4,'①在庫を貼る'!$W$6:$W$10005,$C347),IF(COUNTIFS('月1回_1ヶ月前の在庫'!$V$6:$V$10005,'設定'!$C$4,'月1回_1ヶ月前の在庫'!$W$6:$W$10005,$C347)&gt;0,SUMIFS('月1回_1ヶ月前の在庫'!$O$6:$O$10005,'月1回_1ヶ月前の在庫'!$V$6:$V$10005,'設定'!$C$4,'月1回_1ヶ月前の在庫'!$W$6:$W$10005,$C347)/COUNTIFS('月1回_1ヶ月前の在庫'!$V$6:$V$10005,'設定'!$C$4,'月1回_1ヶ月前の在庫'!$W$6:$W$10005,$C347),IF(COUNTIFS('月1回_2ヶ月前の在庫'!$V$6:$V$10005,'設定'!$C$4,'月1回_2ヶ月前の在庫'!$W$6:$W$10005,$C347)&gt;0,SUMIFS('月1回_2ヶ月前の在庫'!$O$6:$O$10005,'月1回_2ヶ月前の在庫'!$V$6:$V$10005,'設定'!$C$4,'月1回_2ヶ月前の在庫'!$W$6:$W$10005,$C347)/COUNTIFS('月1回_2ヶ月前の在庫'!$V$6:$V$10005,'設定'!$C$4,'月1回_2ヶ月前の在庫'!$W$6:$W$10005,$C347),0)))),"")))</f>
        <v/>
      </c>
      <c r="P347" s="90">
        <f>IF($C347="","",IF('②発注する'!$I351="","",'②発注する'!$I351))</f>
        <v/>
      </c>
      <c r="Q347">
        <f>IF($C347="","",IF('②発注する'!$J351="","",'②発注する'!$J351))</f>
        <v/>
      </c>
      <c r="R347">
        <f>IF($C347="",0,IF(AND(ISNUMBER($P347),ISNUMBER($Q347)),MAX(0,$Q347)*$G347,0))</f>
        <v/>
      </c>
      <c r="S347" s="90">
        <f>IF($C347="","",IF('②発注する'!$M351="","",'②発注する'!$M351))</f>
        <v/>
      </c>
      <c r="T347">
        <f>IF($C347="","",IF('②発注する'!$N351="","",'②発注する'!$N351))</f>
        <v/>
      </c>
      <c r="U347">
        <f>IF($C347="",0,IF(AND(ISNUMBER($S347),ISNUMBER($T347)),MAX(0,$T347)*$G347,0))</f>
        <v/>
      </c>
      <c r="V347">
        <f>IF($C347="",0,IF($M347="",0,MAX(0,$M347)*MAX(0,V$4)/100))</f>
        <v/>
      </c>
      <c r="W347">
        <f>IF($C347="",0,IF($M347="",0,MAX(0,$M347)*MAX(0,W$4)/100))</f>
        <v/>
      </c>
      <c r="X347">
        <f>IF($C347="",0,IF($M347="",0,MAX(0,$M347)*MAX(0,X$4)/100))</f>
        <v/>
      </c>
      <c r="Y347">
        <f>IF($C347="",0,IF($M347="",0,MAX(0,$M347)*MAX(0,Y$4)/100))</f>
        <v/>
      </c>
      <c r="Z347">
        <f>IF($C347="",0,IF($M347="",0,MAX(0,$M347)*MAX(0,Z$4)/100))</f>
        <v/>
      </c>
      <c r="AA347">
        <f>IF($C347="",0,IF($M347="",0,MAX(0,$M347)*MAX(0,AA$4)/100))</f>
        <v/>
      </c>
      <c r="AB347">
        <f>IF($C347="",0,IF($M347="",0,MAX(0,$M347)*MAX(0,AB$4)/100))</f>
        <v/>
      </c>
      <c r="AC347">
        <f>IF($C347="",0,IF($M347="",0,MAX(0,$M347)*MAX(0,AC$4)/100))</f>
        <v/>
      </c>
      <c r="AD347">
        <f>IF($C347="",0,IF($M347="",0,MAX(0,$M347)*MAX(0,AD$4)/100))</f>
        <v/>
      </c>
      <c r="AE347">
        <f>IF($C347="",0,IF($M347="",0,MAX(0,$M347)*MAX(0,AE$4)/100))</f>
        <v/>
      </c>
      <c r="AF347">
        <f>IF($C347="",0,IF($M347="",0,MAX(0,$M347)*MAX(0,AF$4)/100))</f>
        <v/>
      </c>
      <c r="AG347">
        <f>IF($C347="",0,IF($M347="",0,MAX(0,$M347)*MAX(0,AG$4)/100))</f>
        <v/>
      </c>
      <c r="AH347">
        <f>IF($C347="",0,IF($M347="",0,MAX(0,$M347)*MAX(0,AH$4)/100))</f>
        <v/>
      </c>
      <c r="AI347">
        <f>IF($C347="",0,IF($M347="",0,MAX(0,$M347)*MAX(0,AI$4)/100))</f>
        <v/>
      </c>
      <c r="AJ347">
        <f>IF($C347="",0,MAX(0,MAX(0,N($L347))-$V347))</f>
        <v/>
      </c>
      <c r="AK347">
        <f>IF($C347="",0,MAX(0,$AJ347-$W347))</f>
        <v/>
      </c>
      <c r="AL347">
        <f>IF($C347="",0,MAX(0,$AK347-$X347))</f>
        <v/>
      </c>
      <c r="AM347">
        <f>IF($C347="",0,MAX(0,$AL347-$Y347))</f>
        <v/>
      </c>
      <c r="AN347">
        <f>IF($C347="",0,MAX(0,$AM347-$Z347))</f>
        <v/>
      </c>
      <c r="AO347">
        <f>IF($C347="",0,MAX(0,$AN347-$AA347))</f>
        <v/>
      </c>
      <c r="AP347">
        <f>IF($C347="",0,MAX(0,$AO347-$AB347))</f>
        <v/>
      </c>
      <c r="AQ347">
        <f>IF($C347="",0,MAX(0,$AP347-$AC347))</f>
        <v/>
      </c>
      <c r="AR347">
        <f>IF($C347="",0,MAX(0,$AQ347-$AD347))</f>
        <v/>
      </c>
      <c r="AS347">
        <f>IF($C347="",0,MAX(0,$AR347-$AE347))</f>
        <v/>
      </c>
      <c r="AT347">
        <f>IF($C347="",0,MAX(0,$AS347-$AF347))</f>
        <v/>
      </c>
      <c r="AU347">
        <f>IF($C347="",0,MAX(0,$AT347-$AG347))</f>
        <v/>
      </c>
      <c r="AV347">
        <f>IF($C347="",0,MAX(0,$AU347-$AH347))</f>
        <v/>
      </c>
      <c r="AW347">
        <f>IF($C347="",0,MAX(0,$AV347-$AI347))</f>
        <v/>
      </c>
      <c r="AX347">
        <f>IF($C347="",0,MAX(0,MAX(0,N($L347))+IF($P347=V$3,$R347,0)+IF($S347=V$3,$U347,0)-$V347))</f>
        <v/>
      </c>
      <c r="AY347">
        <f>IF($C347="",0,MAX(0,$AX347+IF($P347=W$3,$R347,0)+IF($S347=W$3,$U347,0)-$W347))</f>
        <v/>
      </c>
      <c r="AZ347">
        <f>IF($C347="",0,MAX(0,$AY347+IF($P347=X$3,$R347,0)+IF($S347=X$3,$U347,0)-$X347))</f>
        <v/>
      </c>
      <c r="BA347">
        <f>IF($C347="",0,MAX(0,$AZ347+IF($P347=Y$3,$R347,0)+IF($S347=Y$3,$U347,0)-$Y347))</f>
        <v/>
      </c>
      <c r="BB347">
        <f>IF($C347="",0,MAX(0,$BA347+IF($P347=Z$3,$R347,0)+IF($S347=Z$3,$U347,0)-$Z347))</f>
        <v/>
      </c>
      <c r="BC347">
        <f>IF($C347="",0,MAX(0,$BB347+IF($P347=AA$3,$R347,0)+IF($S347=AA$3,$U347,0)-$AA347))</f>
        <v/>
      </c>
      <c r="BD347">
        <f>IF($C347="",0,MAX(0,$BC347+IF($P347=AB$3,$R347,0)+IF($S347=AB$3,$U347,0)-$AB347))</f>
        <v/>
      </c>
      <c r="BE347">
        <f>IF($C347="",0,MAX(0,$BD347+IF($P347=AC$3,$R347,0)+IF($S347=AC$3,$U347,0)-$AC347))</f>
        <v/>
      </c>
      <c r="BF347">
        <f>IF($C347="",0,MAX(0,$BE347+IF($P347=AD$3,$R347,0)+IF($S347=AD$3,$U347,0)-$AD347))</f>
        <v/>
      </c>
      <c r="BG347">
        <f>IF($C347="",0,MAX(0,$BF347+IF($P347=AE$3,$R347,0)+IF($S347=AE$3,$U347,0)-$AE347))</f>
        <v/>
      </c>
      <c r="BH347">
        <f>IF($C347="",0,MAX(0,$BG347+IF($P347=AF$3,$R347,0)+IF($S347=AF$3,$U347,0)-$AF347))</f>
        <v/>
      </c>
      <c r="BI347">
        <f>IF($C347="",0,MAX(0,$BH347+IF($P347=AG$3,$R347,0)+IF($S347=AG$3,$U347,0)-$AG347))</f>
        <v/>
      </c>
      <c r="BJ347">
        <f>IF($C347="",0,MAX(0,$BI347+IF($P347=AH$3,$R347,0)+IF($S347=AH$3,$U347,0)-$AH347))</f>
        <v/>
      </c>
      <c r="BK347">
        <f>IF($C347="",0,MAX(0,$BJ347+IF($P347=AI$3,$R347,0)+IF($S347=AI$3,$U347,0)-$AI347))</f>
        <v/>
      </c>
      <c r="BL347">
        <f>IF($C347="",99,IF(AND($AX347&lt;1,V$3&gt;=MAX(N($P347),N($S347))),0,99))</f>
        <v/>
      </c>
      <c r="BM347">
        <f>IF($C347="",99,IF(AND($AY347&lt;1,W$3&gt;=MAX(N($P347),N($S347))),1,99))</f>
        <v/>
      </c>
      <c r="BN347">
        <f>IF($C347="",99,IF(AND($AZ347&lt;1,X$3&gt;=MAX(N($P347),N($S347))),2,99))</f>
        <v/>
      </c>
      <c r="BO347">
        <f>IF($C347="",99,IF(AND($BA347&lt;1,Y$3&gt;=MAX(N($P347),N($S347))),3,99))</f>
        <v/>
      </c>
      <c r="BP347">
        <f>IF($C347="",99,IF(AND($BB347&lt;1,Z$3&gt;=MAX(N($P347),N($S347))),4,99))</f>
        <v/>
      </c>
      <c r="BQ347">
        <f>IF($C347="",99,IF(AND($BC347&lt;1,AA$3&gt;=MAX(N($P347),N($S347))),5,99))</f>
        <v/>
      </c>
      <c r="BR347">
        <f>IF($C347="",99,IF(AND($BD347&lt;1,AB$3&gt;=MAX(N($P347),N($S347))),6,99))</f>
        <v/>
      </c>
      <c r="BS347">
        <f>IF($C347="",99,IF(AND($BE347&lt;1,AC$3&gt;=MAX(N($P347),N($S347))),7,99))</f>
        <v/>
      </c>
      <c r="BT347">
        <f>IF($C347="",99,IF(AND($BF347&lt;1,AD$3&gt;=MAX(N($P347),N($S347))),8,99))</f>
        <v/>
      </c>
      <c r="BU347">
        <f>IF($C347="",99,IF(AND($BG347&lt;1,AE$3&gt;=MAX(N($P347),N($S347))),9,99))</f>
        <v/>
      </c>
      <c r="BV347">
        <f>IF($C347="",99,IF(AND($BH347&lt;1,AF$3&gt;=MAX(N($P347),N($S347))),10,99))</f>
        <v/>
      </c>
      <c r="BW347">
        <f>IF($C347="",99,IF(AND($BI347&lt;1,AG$3&gt;=MAX(N($P347),N($S347))),11,99))</f>
        <v/>
      </c>
      <c r="BX347">
        <f>IF($C347="",99,IF(AND($BJ347&lt;1,AH$3&gt;=MAX(N($P347),N($S347))),12,99))</f>
        <v/>
      </c>
      <c r="BY347">
        <f>IF($C347="",99,IF(AND($BK347&lt;1,AI$3&gt;=MAX(N($P347),N($S347))),13,99))</f>
        <v/>
      </c>
      <c r="BZ347">
        <f>IF(OR($C347="",$M347=""),"",COUNTIF($AJ347:$AW347,"&gt;=1"))</f>
        <v/>
      </c>
      <c r="CA347" s="90">
        <f>IF($BZ347="","",IF($BZ347&gt;=14,"",'設定'!$C$6+$BZ347))</f>
        <v/>
      </c>
      <c r="CB347">
        <f>IF(OR($C347="",$M347=""),"",MIN($BL347:$BY347))</f>
        <v/>
      </c>
      <c r="CC347" s="90">
        <f>IF($CB347="","",IF($CB347&gt;=99,"",'設定'!$C$6+$CB347))</f>
        <v/>
      </c>
      <c r="CD347">
        <f>IF(OR($C347="",$M347=""),"",AVERAGE($V347:$AI347))</f>
        <v/>
      </c>
      <c r="CE347">
        <f>IF($C347="","",IFERROR(IF(MATCH(IF(ISNUMBER($P347),$P347,'設定'!$C$6+N('設定'!$C$7)),$V$3:$AI$3,0)=1,MAX(0,N($L347)),INDEX($AJ347:$AW347,MATCH(IF(ISNUMBER($P347),$P347,'設定'!$C$6+N('設定'!$C$7)),$V$3:$AI$3,0)-1)),""))</f>
        <v/>
      </c>
      <c r="CF347">
        <f>IF(OR($C347="",$O347="",$CE347=""),"",IF($O347-$CE347&lt;=0,0,ROUNDUP(($O347-$CE347)/$G347,0)))</f>
        <v/>
      </c>
      <c r="CG347">
        <f>IF(OR($C347="",$CF347="",NOT(ISNUMBER($Q347))),0,MAX(0,$Q347-$CF347))</f>
        <v/>
      </c>
      <c r="CH347">
        <f>IF(OR($C347="",$O347="",$U347=0),0,IFERROR(ROUNDUP(MAX(0,IF(MATCH($S347,$V$3:$AI$3,0)=1,MAX(0,N($L347)),INDEX($AX347:$BK347,MATCH($S347,$V$3:$AI$3,0)-1))+$U347-$O347)/$G347,0),0))</f>
        <v/>
      </c>
      <c r="CI347">
        <f>IF($C347="","",IF(AND($P347="",$Q347=""),"",IF($P347="","⚠ 入庫日を ▼ から選んでください",IF(NOT(ISNUMBER($P347)),"⚠ 入庫日は ▼ から選んでください",IF($P347&lt;N('設定'!$C$6),"⚠ 入庫日が過去です（もう在庫に入っています）→ 消してください",IF($P347&gt;N('設定'!$C$6)+13,"⚠ 入庫日が14日より先です",IF(N($Q347)&lt;=0,"⚠ 入庫数を入れてください",IF($CG347&gt;0,"⚠ 目安より "&amp;$CG347&amp;" 多い（定数を超える）→ 減らす",""))))))))</f>
        <v/>
      </c>
      <c r="CJ347">
        <f>IF($C347="","",IF(AND($S347="",$T347=""),"",IF($S347="","⚠ 2便目：入庫日を ▼ から選んでください",IF(NOT(ISNUMBER($S347)),"⚠ 2便目：入庫日は ▼ から選んでください",IF($S347&lt;N('設定'!$C$6),"⚠ 2便目：入庫日が過去です（もう在庫に入っています）→ 消してください",IF($S347&gt;N('設定'!$C$6)+13,"⚠ 2便目：入庫日が14日より先です",IF(N($T347)&lt;=0,"⚠ 2便目：入庫数を入れてください",IF($CH347&gt;0,"⚠ 2便目：定数を "&amp;$CH347&amp;" ケース超える → 減らす",""))))))))</f>
        <v/>
      </c>
      <c r="CK347">
        <f>IF(AND($CI347="",N($Q347)&gt;0,ISNUMBER($P347)),1,0)</f>
        <v/>
      </c>
      <c r="CL347">
        <f>IF(AND($CJ347="",N($T347)&gt;0,ISNUMBER($S347)),1,0)</f>
        <v/>
      </c>
      <c r="CM347">
        <f>IF(OR($CK347=1,$CL347=1),1,0)</f>
        <v/>
      </c>
      <c r="CN347">
        <f>IF($C347="",0,($CK347*$R347+$CL347*$U347)*N($H347))</f>
        <v/>
      </c>
      <c r="CO347">
        <f>IF($C347="","",IF($CC347="","入庫後は 14日以上もつ",IF($CC347-N('設定'!$C$7)&lt;='設定'!$C$6,"入庫後も "&amp;TEXT($CC347,"m/d")&amp;"("&amp;CHOOSE(WEEKDAY($CC347),"日","月","火","水","木","金","土")&amp;")"&amp;" に切れる　もう1便を至急発注","入庫後も "&amp;TEXT($CC347,"m/d")&amp;"("&amp;CHOOSE(WEEKDAY($CC347),"日","月","火","水","木","金","土")&amp;")"&amp;" に切れる　"&amp;TEXT($CC347-N('設定'!$C$7),"m/d")&amp;"("&amp;CHOOSE(WEEKDAY($CC347-N('設定'!$C$7)),"日","月","火","水","木","金","土")&amp;")"&amp;" までに次を発注")))</f>
        <v/>
      </c>
      <c r="CP347">
        <f>IF($C347="","",IF('設定'!$C$6="","？ ①在庫を貼る に今日のCSVが貼られていない",IF($CS347=1,"－ 今日のCSVに無い（終売？）",IF($L347&lt;0,"● 在庫がマイナス　数えて「数えた在庫」に入れる",IF($L347=0,"● 在庫なし　至急発注",IF($M347="","？ 減り数が未設定（商品マスタ）",IF($B$3=0,"？ 動員が未入力（動員を入れる）",IF($CA347="","○ 14日以上もつ",IF($BZ347&lt;N('設定'!$C$7),"● "&amp;TEXT($CA347,"m/d")&amp;"("&amp;CHOOSE(WEEKDAY($CA347),"日","月","火","水","木","金","土")&amp;")"&amp;" に切れる　至急発注",IF($BZ347=N('設定'!$C$7),"● "&amp;TEXT($CA347,"m/d")&amp;"("&amp;CHOOSE(WEEKDAY($CA347),"日","月","火","水","木","金","土")&amp;")"&amp;" に切れる　今日発注","△ "&amp;TEXT($CA347,"m/d")&amp;"("&amp;CHOOSE(WEEKDAY($CA347),"日","月","火","水","木","金","土")&amp;")"&amp;" に切れる　"&amp;TEXT($CA347-N('設定'!$C$7),"m/d")&amp;"("&amp;CHOOSE(WEEKDAY($CA347-N('設定'!$C$7)),"日","月","火","水","木","金","土")&amp;")"&amp;" までに発注"))))))))))</f>
        <v/>
      </c>
      <c r="CQ347">
        <f>IF($C347="","",IF(AND($P347="",$Q347="",$S347="",$T347=""),"",IF(AND($P347="",$Q347=""),"⚠ 先に1便目（左の入庫日・入庫数）に入れてください",IF($CI347&lt;&gt;"",$CI347,IF($CJ347&lt;&gt;"",$CJ347,IF($M347="","？ 減り数が未設定（発注書には載ります）",IF($B$3=0,"？ 動員が未入力（発注書には載ります）",IF(AND($CA347&lt;&gt;"",$P347&gt;$CA347),IF($P347&gt;'設定'!$C$6+N('設定'!$C$7),"● "&amp;TEXT($P347,"m/d")&amp;"("&amp;CHOOSE(WEEKDAY($P347),"日","月","火","水","木","金","土")&amp;")"&amp;" の入庫では間に合わない（"&amp;TEXT($CA347,"m/d")&amp;"("&amp;CHOOSE(WEEKDAY($CA347),"日","月","火","水","木","金","土")&amp;")"&amp;" に切れる）　入庫日を早める","△ 欠品 "&amp;TEXT($CA347,"m/d")&amp;"("&amp;CHOOSE(WEEKDAY($CA347),"日","月","火","水","木","金","土")&amp;")"&amp;"〜"&amp;TEXT($P347-1,"m/d")&amp;"("&amp;CHOOSE(WEEKDAY($P347-1),"日","月","火","水","木","金","土")&amp;")"&amp;"　"&amp;$CO347),IF($CC347="","○ "&amp;TEXT($P347,"m/d")&amp;"("&amp;CHOOSE(WEEKDAY($P347),"日","月","火","水","木","金","土")&amp;")"&amp;" 入庫で 14日以上もつ",IF($CC347-N('設定'!$C$7)&lt;='設定'!$C$6,"● 入庫しても "&amp;TEXT($CC347,"m/d")&amp;"("&amp;CHOOSE(WEEKDAY($CC347),"日","月","火","水","木","金","土")&amp;")"&amp;" に切れる　もう1便を至急発注（2便目に入れる）","△ 入庫しても "&amp;TEXT($CC347,"m/d")&amp;"("&amp;CHOOSE(WEEKDAY($CC347),"日","月","火","水","木","金","土")&amp;")"&amp;" に切れる　"&amp;TEXT($CC347-N('設定'!$C$7),"m/d")&amp;"("&amp;CHOOSE(WEEKDAY($CC347-N('設定'!$C$7)),"日","月","火","水","木","金","土")&amp;")"&amp;" までに次を発注（2便目に入れる）"))))))))))</f>
        <v/>
      </c>
      <c r="CR347">
        <f>IF($C347="","",IF($G347&gt;1,"ｹｰｽ("&amp;$G347&amp;"入)","個"))</f>
        <v/>
      </c>
      <c r="CS347">
        <f>IF($C347="",0,IF(COUNTIFS('①在庫を貼る'!$V$6:$V$10005,'設定'!$C$4,'①在庫を貼る'!$W$6:$W$10005,$C347)=0,1,0))</f>
        <v/>
      </c>
      <c r="CT347">
        <f>IF(AND($CK347=1,OR('③発注書'!$C$4="すべて",'③発注書'!$C$4="",$F347='③発注書'!$C$4)),N($CT346)+1,N($CT346))</f>
        <v/>
      </c>
      <c r="CU347">
        <f>IF(AND($CL347=1,OR('③発注書'!$C$4="すべて",'③発注書'!$C$4="",$F347='③発注書'!$C$4)),N($CU346)+1,N($CU346))</f>
        <v/>
      </c>
      <c r="CV347">
        <f>IF($C347="",0,IF(COUNTIFS('①在庫を貼る'!$V$6:$V$10005,'設定'!$C$4,'①在庫を貼る'!$W$6:$W$10005,$C347)&gt;0,1,0))</f>
        <v/>
      </c>
      <c r="CW347">
        <f>IF($C347="",0,IF(COUNTIFS('月1回_1ヶ月前の在庫'!$V$6:$V$10005,'設定'!$C$4,'月1回_1ヶ月前の在庫'!$W$6:$W$10005,$C347)&gt;0,1,0))</f>
        <v/>
      </c>
      <c r="CX347">
        <f>IF($C347="",0,IF(COUNTIFS('月1回_2ヶ月前の在庫'!$V$6:$V$10005,'設定'!$C$4,'月1回_2ヶ月前の在庫'!$W$6:$W$10005,$C347)&gt;0,1,0))</f>
        <v/>
      </c>
      <c r="CY347">
        <f>IF(OR($C347="",'設定'!$C$12=""),"",IF('設定'!$C$13="",IF(AND($CV347=1,$CW347=0),"新商品（今月から）",IF(AND($CV347=0,$CW347=1),"終売（今月から）","")),IF(AND($CV347=1,$CW347=0,$CX347=0),"新商品（今月から）",IF(AND($CV347=1,$CW347=1,$CX347=0),"新商品（先月から）",IF(AND($CV347=0,$CW347=1,$CX347=1),"終売（今月から）",IF(AND($CV347=0,$CW347=0,$CX347=1),"終売（先月から）",IF(AND($CV347=1,$CW347=0,$CX347=1),"復活（先月は無し）","")))))))</f>
        <v/>
      </c>
    </row>
    <row r="348">
      <c r="B348">
        <f>IF(343&lt;='設定'!$C$11,343,"")</f>
        <v/>
      </c>
      <c r="C348">
        <f>IF($B348="","",IF($B348&lt;='設定'!$C$20,INDEX('商品マスタ'!$B$6:$B$1005,MATCH($B348,'商品マスタ'!$M$6:$M$1005,0)),IF($B348&lt;='設定'!$C$20+'設定'!$C$17,INDEX('①在庫を貼る'!$W$6:$W$10005,MATCH($B348-'設定'!$C$20,'①在庫を貼る'!$U$6:$U$10005,0)),IF($B348&lt;='設定'!$C$20+'設定'!$C$17+'設定'!$C$18,INDEX('月1回_1ヶ月前の在庫'!$W$6:$W$10005,MATCH($B348-'設定'!$C$20-'設定'!$C$17,'月1回_1ヶ月前の在庫'!$U$6:$U$10005,0)),INDEX('月1回_2ヶ月前の在庫'!$W$6:$W$10005,MATCH($B348-'設定'!$C$20-'設定'!$C$17-'設定'!$C$18,'月1回_2ヶ月前の在庫'!$U$6:$U$10005,0))))))</f>
        <v/>
      </c>
      <c r="D348">
        <f>IF($C348="","",IFERROR(IF(INDEX('商品マスタ'!$C$6:$C$1005,MATCH($C348,'商品マスタ'!$B$6:$B$1005,0))="",IFERROR(INDEX('①在庫を貼る'!$J$6:$J$10005,MATCH($C348,'①在庫を貼る'!$W$6:$W$10005,0)),IFERROR(INDEX('月1回_1ヶ月前の在庫'!$J$6:$J$10005,MATCH($C348,'月1回_1ヶ月前の在庫'!$W$6:$W$10005,0)),IFERROR(INDEX('月1回_2ヶ月前の在庫'!$J$6:$J$10005,MATCH($C348,'月1回_2ヶ月前の在庫'!$W$6:$W$10005,0)),""))),INDEX('商品マスタ'!$C$6:$C$1005,MATCH($C348,'商品マスタ'!$B$6:$B$1005,0))),IFERROR(INDEX('①在庫を貼る'!$J$6:$J$10005,MATCH($C348,'①在庫を貼る'!$W$6:$W$10005,0)),IFERROR(INDEX('月1回_1ヶ月前の在庫'!$J$6:$J$10005,MATCH($C348,'月1回_1ヶ月前の在庫'!$W$6:$W$10005,0)),IFERROR(INDEX('月1回_2ヶ月前の在庫'!$J$6:$J$10005,MATCH($C348,'月1回_2ヶ月前の在庫'!$W$6:$W$10005,0)),"")))))</f>
        <v/>
      </c>
      <c r="E348">
        <f>IF($C348="","",IFERROR(IF(INDEX('商品マスタ'!$D$6:$D$1005,MATCH($C348,'商品マスタ'!$B$6:$B$1005,0))="",IFERROR(INDEX('①在庫を貼る'!$H$6:$H$10005,MATCH($C348,'①在庫を貼る'!$W$6:$W$10005,0)),IFERROR(INDEX('月1回_1ヶ月前の在庫'!$H$6:$H$10005,MATCH($C348,'月1回_1ヶ月前の在庫'!$W$6:$W$10005,0)),IFERROR(INDEX('月1回_2ヶ月前の在庫'!$H$6:$H$10005,MATCH($C348,'月1回_2ヶ月前の在庫'!$W$6:$W$10005,0)),""))),INDEX('商品マスタ'!$D$6:$D$1005,MATCH($C348,'商品マスタ'!$B$6:$B$1005,0))),IFERROR(INDEX('①在庫を貼る'!$H$6:$H$10005,MATCH($C348,'①在庫を貼る'!$W$6:$W$10005,0)),IFERROR(INDEX('月1回_1ヶ月前の在庫'!$H$6:$H$10005,MATCH($C348,'月1回_1ヶ月前の在庫'!$W$6:$W$10005,0)),IFERROR(INDEX('月1回_2ヶ月前の在庫'!$H$6:$H$10005,MATCH($C348,'月1回_2ヶ月前の在庫'!$W$6:$W$10005,0)),"")))))</f>
        <v/>
      </c>
      <c r="F348">
        <f>IF($C348="","",IFERROR(IF(INDEX('商品マスタ'!$E$6:$E$1005,MATCH($C348,'商品マスタ'!$B$6:$B$1005,0))="",IFERROR(INDEX('①在庫を貼る'!$E$6:$E$10005,MATCH($C348,'①在庫を貼る'!$W$6:$W$10005,0)),IFERROR(INDEX('月1回_1ヶ月前の在庫'!$E$6:$E$10005,MATCH($C348,'月1回_1ヶ月前の在庫'!$W$6:$W$10005,0)),IFERROR(INDEX('月1回_2ヶ月前の在庫'!$E$6:$E$10005,MATCH($C348,'月1回_2ヶ月前の在庫'!$W$6:$W$10005,0)),""))),INDEX('商品マスタ'!$E$6:$E$1005,MATCH($C348,'商品マスタ'!$B$6:$B$1005,0))),IFERROR(INDEX('①在庫を貼る'!$E$6:$E$10005,MATCH($C348,'①在庫を貼る'!$W$6:$W$10005,0)),IFERROR(INDEX('月1回_1ヶ月前の在庫'!$E$6:$E$10005,MATCH($C348,'月1回_1ヶ月前の在庫'!$W$6:$W$10005,0)),IFERROR(INDEX('月1回_2ヶ月前の在庫'!$E$6:$E$10005,MATCH($C348,'月1回_2ヶ月前の在庫'!$W$6:$W$10005,0)),"")))))</f>
        <v/>
      </c>
      <c r="G348">
        <f>IF($C348="","",MAX(1,N(IFERROR(IF(INDEX('商品マスタ'!$F$6:$F$1005,MATCH($C348,'商品マスタ'!$B$6:$B$1005,0))="",IF(COUNTIFS('①在庫を貼る'!$V$6:$V$10005,'設定'!$C$4,'①在庫を貼る'!$W$6:$W$10005,$C348)&gt;0,SUMIFS('①在庫を貼る'!$K$6:$K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K$6:$K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K$6:$K$10005,'月1回_2ヶ月前の在庫'!$V$6:$V$10005,'設定'!$C$4,'月1回_2ヶ月前の在庫'!$W$6:$W$10005,$C348)/COUNTIFS('月1回_2ヶ月前の在庫'!$V$6:$V$10005,'設定'!$C$4,'月1回_2ヶ月前の在庫'!$W$6:$W$10005,$C348),0))),INDEX('商品マスタ'!$F$6:$F$1005,MATCH($C348,'商品マスタ'!$B$6:$B$1005,0))),IF(COUNTIFS('①在庫を貼る'!$V$6:$V$10005,'設定'!$C$4,'①在庫を貼る'!$W$6:$W$10005,$C348)&gt;0,SUMIFS('①在庫を貼る'!$K$6:$K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K$6:$K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K$6:$K$10005,'月1回_2ヶ月前の在庫'!$V$6:$V$10005,'設定'!$C$4,'月1回_2ヶ月前の在庫'!$W$6:$W$10005,$C348)/COUNTIFS('月1回_2ヶ月前の在庫'!$V$6:$V$10005,'設定'!$C$4,'月1回_2ヶ月前の在庫'!$W$6:$W$10005,$C348),0)))))))</f>
        <v/>
      </c>
      <c r="H348">
        <f>IF($C348="","",N(IFERROR(IF(INDEX('商品マスタ'!$G$6:$G$1005,MATCH($C348,'商品マスタ'!$B$6:$B$1005,0))="",IF(COUNTIFS('①在庫を貼る'!$V$6:$V$10005,'設定'!$C$4,'①在庫を貼る'!$W$6:$W$10005,$C348)&gt;0,SUMIFS('①在庫を貼る'!$Q$6:$Q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Q$6:$Q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Q$6:$Q$10005,'月1回_2ヶ月前の在庫'!$V$6:$V$10005,'設定'!$C$4,'月1回_2ヶ月前の在庫'!$W$6:$W$10005,$C348)/COUNTIFS('月1回_2ヶ月前の在庫'!$V$6:$V$10005,'設定'!$C$4,'月1回_2ヶ月前の在庫'!$W$6:$W$10005,$C348),0))),INDEX('商品マスタ'!$G$6:$G$1005,MATCH($C348,'商品マスタ'!$B$6:$B$1005,0))),IF(COUNTIFS('①在庫を貼る'!$V$6:$V$10005,'設定'!$C$4,'①在庫を貼る'!$W$6:$W$10005,$C348)&gt;0,SUMIFS('①在庫を貼る'!$Q$6:$Q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Q$6:$Q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Q$6:$Q$10005,'月1回_2ヶ月前の在庫'!$V$6:$V$10005,'設定'!$C$4,'月1回_2ヶ月前の在庫'!$W$6:$W$10005,$C348)/COUNTIFS('月1回_2ヶ月前の在庫'!$V$6:$V$10005,'設定'!$C$4,'月1回_2ヶ月前の在庫'!$W$6:$W$10005,$C348),0))))))</f>
        <v/>
      </c>
      <c r="I348">
        <f>IF($C348="","",IF(COUNTIFS('①在庫を貼る'!$V$6:$V$10005,'設定'!$C$4,'①在庫を貼る'!$W$6:$W$10005,$C348)=0,"",SUMIFS('①在庫を貼る'!$N$6:$N$10005,'①在庫を貼る'!$V$6:$V$10005,'設定'!$C$4,'①在庫を貼る'!$W$6:$W$10005,$C348)))</f>
        <v/>
      </c>
      <c r="J348">
        <f>IF($C348="","",IF('②発注する'!$AD352="","",'②発注する'!$AD352))</f>
        <v/>
      </c>
      <c r="K348" s="90">
        <f>IF($C348="","",IF('②発注する'!$AE352="","",'②発注する'!$AE352))</f>
        <v/>
      </c>
      <c r="L348">
        <f>IF($C348="","",IF(AND(ISNUMBER($J348),ISNUMBER($K348),$K348&gt;='設定'!$C$6),$J348,N($I348)))</f>
        <v/>
      </c>
      <c r="M348">
        <f>IF($C348="","",IFERROR(IF(N(INDEX('商品マスタ'!$J$6:$J$1005,MATCH($C348,'商品マスタ'!$B$6:$B$1005,0)))&gt;0,INDEX('商品マスタ'!$J$6:$J$1005,MATCH($C348,'商品マスタ'!$B$6:$B$1005,0)),""),""))</f>
        <v/>
      </c>
      <c r="N348">
        <f>IF($C348="","",IFERROR(IF(N(INDEX('商品マスタ'!$H$6:$H$1005,MATCH($C348,'商品マスタ'!$B$6:$B$1005,0)))&gt;0,INDEX('商品マスタ'!$H$6:$H$1005,MATCH($C348,'商品マスタ'!$B$6:$B$1005,0)),""),""))</f>
        <v/>
      </c>
      <c r="O348">
        <f>IF($C348="","",IF($N348&lt;&gt;"",$N348*$G348,IF(N(IF(COUNTIFS('①在庫を貼る'!$V$6:$V$10005,'設定'!$C$4,'①在庫を貼る'!$W$6:$W$10005,$C348)&gt;0,SUMIFS('①在庫を貼る'!$O$6:$O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O$6:$O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O$6:$O$10005,'月1回_2ヶ月前の在庫'!$V$6:$V$10005,'設定'!$C$4,'月1回_2ヶ月前の在庫'!$W$6:$W$10005,$C348)/COUNTIFS('月1回_2ヶ月前の在庫'!$V$6:$V$10005,'設定'!$C$4,'月1回_2ヶ月前の在庫'!$W$6:$W$10005,$C348),0))))&gt;0,N(IF(COUNTIFS('①在庫を貼る'!$V$6:$V$10005,'設定'!$C$4,'①在庫を貼る'!$W$6:$W$10005,$C348)&gt;0,SUMIFS('①在庫を貼る'!$O$6:$O$10005,'①在庫を貼る'!$V$6:$V$10005,'設定'!$C$4,'①在庫を貼る'!$W$6:$W$10005,$C348)/COUNTIFS('①在庫を貼る'!$V$6:$V$10005,'設定'!$C$4,'①在庫を貼る'!$W$6:$W$10005,$C348),IF(COUNTIFS('月1回_1ヶ月前の在庫'!$V$6:$V$10005,'設定'!$C$4,'月1回_1ヶ月前の在庫'!$W$6:$W$10005,$C348)&gt;0,SUMIFS('月1回_1ヶ月前の在庫'!$O$6:$O$10005,'月1回_1ヶ月前の在庫'!$V$6:$V$10005,'設定'!$C$4,'月1回_1ヶ月前の在庫'!$W$6:$W$10005,$C348)/COUNTIFS('月1回_1ヶ月前の在庫'!$V$6:$V$10005,'設定'!$C$4,'月1回_1ヶ月前の在庫'!$W$6:$W$10005,$C348),IF(COUNTIFS('月1回_2ヶ月前の在庫'!$V$6:$V$10005,'設定'!$C$4,'月1回_2ヶ月前の在庫'!$W$6:$W$10005,$C348)&gt;0,SUMIFS('月1回_2ヶ月前の在庫'!$O$6:$O$10005,'月1回_2ヶ月前の在庫'!$V$6:$V$10005,'設定'!$C$4,'月1回_2ヶ月前の在庫'!$W$6:$W$10005,$C348)/COUNTIFS('月1回_2ヶ月前の在庫'!$V$6:$V$10005,'設定'!$C$4,'月1回_2ヶ月前の在庫'!$W$6:$W$10005,$C348),0)))),"")))</f>
        <v/>
      </c>
      <c r="P348" s="90">
        <f>IF($C348="","",IF('②発注する'!$I352="","",'②発注する'!$I352))</f>
        <v/>
      </c>
      <c r="Q348">
        <f>IF($C348="","",IF('②発注する'!$J352="","",'②発注する'!$J352))</f>
        <v/>
      </c>
      <c r="R348">
        <f>IF($C348="",0,IF(AND(ISNUMBER($P348),ISNUMBER($Q348)),MAX(0,$Q348)*$G348,0))</f>
        <v/>
      </c>
      <c r="S348" s="90">
        <f>IF($C348="","",IF('②発注する'!$M352="","",'②発注する'!$M352))</f>
        <v/>
      </c>
      <c r="T348">
        <f>IF($C348="","",IF('②発注する'!$N352="","",'②発注する'!$N352))</f>
        <v/>
      </c>
      <c r="U348">
        <f>IF($C348="",0,IF(AND(ISNUMBER($S348),ISNUMBER($T348)),MAX(0,$T348)*$G348,0))</f>
        <v/>
      </c>
      <c r="V348">
        <f>IF($C348="",0,IF($M348="",0,MAX(0,$M348)*MAX(0,V$4)/100))</f>
        <v/>
      </c>
      <c r="W348">
        <f>IF($C348="",0,IF($M348="",0,MAX(0,$M348)*MAX(0,W$4)/100))</f>
        <v/>
      </c>
      <c r="X348">
        <f>IF($C348="",0,IF($M348="",0,MAX(0,$M348)*MAX(0,X$4)/100))</f>
        <v/>
      </c>
      <c r="Y348">
        <f>IF($C348="",0,IF($M348="",0,MAX(0,$M348)*MAX(0,Y$4)/100))</f>
        <v/>
      </c>
      <c r="Z348">
        <f>IF($C348="",0,IF($M348="",0,MAX(0,$M348)*MAX(0,Z$4)/100))</f>
        <v/>
      </c>
      <c r="AA348">
        <f>IF($C348="",0,IF($M348="",0,MAX(0,$M348)*MAX(0,AA$4)/100))</f>
        <v/>
      </c>
      <c r="AB348">
        <f>IF($C348="",0,IF($M348="",0,MAX(0,$M348)*MAX(0,AB$4)/100))</f>
        <v/>
      </c>
      <c r="AC348">
        <f>IF($C348="",0,IF($M348="",0,MAX(0,$M348)*MAX(0,AC$4)/100))</f>
        <v/>
      </c>
      <c r="AD348">
        <f>IF($C348="",0,IF($M348="",0,MAX(0,$M348)*MAX(0,AD$4)/100))</f>
        <v/>
      </c>
      <c r="AE348">
        <f>IF($C348="",0,IF($M348="",0,MAX(0,$M348)*MAX(0,AE$4)/100))</f>
        <v/>
      </c>
      <c r="AF348">
        <f>IF($C348="",0,IF($M348="",0,MAX(0,$M348)*MAX(0,AF$4)/100))</f>
        <v/>
      </c>
      <c r="AG348">
        <f>IF($C348="",0,IF($M348="",0,MAX(0,$M348)*MAX(0,AG$4)/100))</f>
        <v/>
      </c>
      <c r="AH348">
        <f>IF($C348="",0,IF($M348="",0,MAX(0,$M348)*MAX(0,AH$4)/100))</f>
        <v/>
      </c>
      <c r="AI348">
        <f>IF($C348="",0,IF($M348="",0,MAX(0,$M348)*MAX(0,AI$4)/100))</f>
        <v/>
      </c>
      <c r="AJ348">
        <f>IF($C348="",0,MAX(0,MAX(0,N($L348))-$V348))</f>
        <v/>
      </c>
      <c r="AK348">
        <f>IF($C348="",0,MAX(0,$AJ348-$W348))</f>
        <v/>
      </c>
      <c r="AL348">
        <f>IF($C348="",0,MAX(0,$AK348-$X348))</f>
        <v/>
      </c>
      <c r="AM348">
        <f>IF($C348="",0,MAX(0,$AL348-$Y348))</f>
        <v/>
      </c>
      <c r="AN348">
        <f>IF($C348="",0,MAX(0,$AM348-$Z348))</f>
        <v/>
      </c>
      <c r="AO348">
        <f>IF($C348="",0,MAX(0,$AN348-$AA348))</f>
        <v/>
      </c>
      <c r="AP348">
        <f>IF($C348="",0,MAX(0,$AO348-$AB348))</f>
        <v/>
      </c>
      <c r="AQ348">
        <f>IF($C348="",0,MAX(0,$AP348-$AC348))</f>
        <v/>
      </c>
      <c r="AR348">
        <f>IF($C348="",0,MAX(0,$AQ348-$AD348))</f>
        <v/>
      </c>
      <c r="AS348">
        <f>IF($C348="",0,MAX(0,$AR348-$AE348))</f>
        <v/>
      </c>
      <c r="AT348">
        <f>IF($C348="",0,MAX(0,$AS348-$AF348))</f>
        <v/>
      </c>
      <c r="AU348">
        <f>IF($C348="",0,MAX(0,$AT348-$AG348))</f>
        <v/>
      </c>
      <c r="AV348">
        <f>IF($C348="",0,MAX(0,$AU348-$AH348))</f>
        <v/>
      </c>
      <c r="AW348">
        <f>IF($C348="",0,MAX(0,$AV348-$AI348))</f>
        <v/>
      </c>
      <c r="AX348">
        <f>IF($C348="",0,MAX(0,MAX(0,N($L348))+IF($P348=V$3,$R348,0)+IF($S348=V$3,$U348,0)-$V348))</f>
        <v/>
      </c>
      <c r="AY348">
        <f>IF($C348="",0,MAX(0,$AX348+IF($P348=W$3,$R348,0)+IF($S348=W$3,$U348,0)-$W348))</f>
        <v/>
      </c>
      <c r="AZ348">
        <f>IF($C348="",0,MAX(0,$AY348+IF($P348=X$3,$R348,0)+IF($S348=X$3,$U348,0)-$X348))</f>
        <v/>
      </c>
      <c r="BA348">
        <f>IF($C348="",0,MAX(0,$AZ348+IF($P348=Y$3,$R348,0)+IF($S348=Y$3,$U348,0)-$Y348))</f>
        <v/>
      </c>
      <c r="BB348">
        <f>IF($C348="",0,MAX(0,$BA348+IF($P348=Z$3,$R348,0)+IF($S348=Z$3,$U348,0)-$Z348))</f>
        <v/>
      </c>
      <c r="BC348">
        <f>IF($C348="",0,MAX(0,$BB348+IF($P348=AA$3,$R348,0)+IF($S348=AA$3,$U348,0)-$AA348))</f>
        <v/>
      </c>
      <c r="BD348">
        <f>IF($C348="",0,MAX(0,$BC348+IF($P348=AB$3,$R348,0)+IF($S348=AB$3,$U348,0)-$AB348))</f>
        <v/>
      </c>
      <c r="BE348">
        <f>IF($C348="",0,MAX(0,$BD348+IF($P348=AC$3,$R348,0)+IF($S348=AC$3,$U348,0)-$AC348))</f>
        <v/>
      </c>
      <c r="BF348">
        <f>IF($C348="",0,MAX(0,$BE348+IF($P348=AD$3,$R348,0)+IF($S348=AD$3,$U348,0)-$AD348))</f>
        <v/>
      </c>
      <c r="BG348">
        <f>IF($C348="",0,MAX(0,$BF348+IF($P348=AE$3,$R348,0)+IF($S348=AE$3,$U348,0)-$AE348))</f>
        <v/>
      </c>
      <c r="BH348">
        <f>IF($C348="",0,MAX(0,$BG348+IF($P348=AF$3,$R348,0)+IF($S348=AF$3,$U348,0)-$AF348))</f>
        <v/>
      </c>
      <c r="BI348">
        <f>IF($C348="",0,MAX(0,$BH348+IF($P348=AG$3,$R348,0)+IF($S348=AG$3,$U348,0)-$AG348))</f>
        <v/>
      </c>
      <c r="BJ348">
        <f>IF($C348="",0,MAX(0,$BI348+IF($P348=AH$3,$R348,0)+IF($S348=AH$3,$U348,0)-$AH348))</f>
        <v/>
      </c>
      <c r="BK348">
        <f>IF($C348="",0,MAX(0,$BJ348+IF($P348=AI$3,$R348,0)+IF($S348=AI$3,$U348,0)-$AI348))</f>
        <v/>
      </c>
      <c r="BL348">
        <f>IF($C348="",99,IF(AND($AX348&lt;1,V$3&gt;=MAX(N($P348),N($S348))),0,99))</f>
        <v/>
      </c>
      <c r="BM348">
        <f>IF($C348="",99,IF(AND($AY348&lt;1,W$3&gt;=MAX(N($P348),N($S348))),1,99))</f>
        <v/>
      </c>
      <c r="BN348">
        <f>IF($C348="",99,IF(AND($AZ348&lt;1,X$3&gt;=MAX(N($P348),N($S348))),2,99))</f>
        <v/>
      </c>
      <c r="BO348">
        <f>IF($C348="",99,IF(AND($BA348&lt;1,Y$3&gt;=MAX(N($P348),N($S348))),3,99))</f>
        <v/>
      </c>
      <c r="BP348">
        <f>IF($C348="",99,IF(AND($BB348&lt;1,Z$3&gt;=MAX(N($P348),N($S348))),4,99))</f>
        <v/>
      </c>
      <c r="BQ348">
        <f>IF($C348="",99,IF(AND($BC348&lt;1,AA$3&gt;=MAX(N($P348),N($S348))),5,99))</f>
        <v/>
      </c>
      <c r="BR348">
        <f>IF($C348="",99,IF(AND($BD348&lt;1,AB$3&gt;=MAX(N($P348),N($S348))),6,99))</f>
        <v/>
      </c>
      <c r="BS348">
        <f>IF($C348="",99,IF(AND($BE348&lt;1,AC$3&gt;=MAX(N($P348),N($S348))),7,99))</f>
        <v/>
      </c>
      <c r="BT348">
        <f>IF($C348="",99,IF(AND($BF348&lt;1,AD$3&gt;=MAX(N($P348),N($S348))),8,99))</f>
        <v/>
      </c>
      <c r="BU348">
        <f>IF($C348="",99,IF(AND($BG348&lt;1,AE$3&gt;=MAX(N($P348),N($S348))),9,99))</f>
        <v/>
      </c>
      <c r="BV348">
        <f>IF($C348="",99,IF(AND($BH348&lt;1,AF$3&gt;=MAX(N($P348),N($S348))),10,99))</f>
        <v/>
      </c>
      <c r="BW348">
        <f>IF($C348="",99,IF(AND($BI348&lt;1,AG$3&gt;=MAX(N($P348),N($S348))),11,99))</f>
        <v/>
      </c>
      <c r="BX348">
        <f>IF($C348="",99,IF(AND($BJ348&lt;1,AH$3&gt;=MAX(N($P348),N($S348))),12,99))</f>
        <v/>
      </c>
      <c r="BY348">
        <f>IF($C348="",99,IF(AND($BK348&lt;1,AI$3&gt;=MAX(N($P348),N($S348))),13,99))</f>
        <v/>
      </c>
      <c r="BZ348">
        <f>IF(OR($C348="",$M348=""),"",COUNTIF($AJ348:$AW348,"&gt;=1"))</f>
        <v/>
      </c>
      <c r="CA348" s="90">
        <f>IF($BZ348="","",IF($BZ348&gt;=14,"",'設定'!$C$6+$BZ348))</f>
        <v/>
      </c>
      <c r="CB348">
        <f>IF(OR($C348="",$M348=""),"",MIN($BL348:$BY348))</f>
        <v/>
      </c>
      <c r="CC348" s="90">
        <f>IF($CB348="","",IF($CB348&gt;=99,"",'設定'!$C$6+$CB348))</f>
        <v/>
      </c>
      <c r="CD348">
        <f>IF(OR($C348="",$M348=""),"",AVERAGE($V348:$AI348))</f>
        <v/>
      </c>
      <c r="CE348">
        <f>IF($C348="","",IFERROR(IF(MATCH(IF(ISNUMBER($P348),$P348,'設定'!$C$6+N('設定'!$C$7)),$V$3:$AI$3,0)=1,MAX(0,N($L348)),INDEX($AJ348:$AW348,MATCH(IF(ISNUMBER($P348),$P348,'設定'!$C$6+N('設定'!$C$7)),$V$3:$AI$3,0)-1)),""))</f>
        <v/>
      </c>
      <c r="CF348">
        <f>IF(OR($C348="",$O348="",$CE348=""),"",IF($O348-$CE348&lt;=0,0,ROUNDUP(($O348-$CE348)/$G348,0)))</f>
        <v/>
      </c>
      <c r="CG348">
        <f>IF(OR($C348="",$CF348="",NOT(ISNUMBER($Q348))),0,MAX(0,$Q348-$CF348))</f>
        <v/>
      </c>
      <c r="CH348">
        <f>IF(OR($C348="",$O348="",$U348=0),0,IFERROR(ROUNDUP(MAX(0,IF(MATCH($S348,$V$3:$AI$3,0)=1,MAX(0,N($L348)),INDEX($AX348:$BK348,MATCH($S348,$V$3:$AI$3,0)-1))+$U348-$O348)/$G348,0),0))</f>
        <v/>
      </c>
      <c r="CI348">
        <f>IF($C348="","",IF(AND($P348="",$Q348=""),"",IF($P348="","⚠ 入庫日を ▼ から選んでください",IF(NOT(ISNUMBER($P348)),"⚠ 入庫日は ▼ から選んでください",IF($P348&lt;N('設定'!$C$6),"⚠ 入庫日が過去です（もう在庫に入っています）→ 消してください",IF($P348&gt;N('設定'!$C$6)+13,"⚠ 入庫日が14日より先です",IF(N($Q348)&lt;=0,"⚠ 入庫数を入れてください",IF($CG348&gt;0,"⚠ 目安より "&amp;$CG348&amp;" 多い（定数を超える）→ 減らす",""))))))))</f>
        <v/>
      </c>
      <c r="CJ348">
        <f>IF($C348="","",IF(AND($S348="",$T348=""),"",IF($S348="","⚠ 2便目：入庫日を ▼ から選んでください",IF(NOT(ISNUMBER($S348)),"⚠ 2便目：入庫日は ▼ から選んでください",IF($S348&lt;N('設定'!$C$6),"⚠ 2便目：入庫日が過去です（もう在庫に入っています）→ 消してください",IF($S348&gt;N('設定'!$C$6)+13,"⚠ 2便目：入庫日が14日より先です",IF(N($T348)&lt;=0,"⚠ 2便目：入庫数を入れてください",IF($CH348&gt;0,"⚠ 2便目：定数を "&amp;$CH348&amp;" ケース超える → 減らす",""))))))))</f>
        <v/>
      </c>
      <c r="CK348">
        <f>IF(AND($CI348="",N($Q348)&gt;0,ISNUMBER($P348)),1,0)</f>
        <v/>
      </c>
      <c r="CL348">
        <f>IF(AND($CJ348="",N($T348)&gt;0,ISNUMBER($S348)),1,0)</f>
        <v/>
      </c>
      <c r="CM348">
        <f>IF(OR($CK348=1,$CL348=1),1,0)</f>
        <v/>
      </c>
      <c r="CN348">
        <f>IF($C348="",0,($CK348*$R348+$CL348*$U348)*N($H348))</f>
        <v/>
      </c>
      <c r="CO348">
        <f>IF($C348="","",IF($CC348="","入庫後は 14日以上もつ",IF($CC348-N('設定'!$C$7)&lt;='設定'!$C$6,"入庫後も "&amp;TEXT($CC348,"m/d")&amp;"("&amp;CHOOSE(WEEKDAY($CC348),"日","月","火","水","木","金","土")&amp;")"&amp;" に切れる　もう1便を至急発注","入庫後も "&amp;TEXT($CC348,"m/d")&amp;"("&amp;CHOOSE(WEEKDAY($CC348),"日","月","火","水","木","金","土")&amp;")"&amp;" に切れる　"&amp;TEXT($CC348-N('設定'!$C$7),"m/d")&amp;"("&amp;CHOOSE(WEEKDAY($CC348-N('設定'!$C$7)),"日","月","火","水","木","金","土")&amp;")"&amp;" までに次を発注")))</f>
        <v/>
      </c>
      <c r="CP348">
        <f>IF($C348="","",IF('設定'!$C$6="","？ ①在庫を貼る に今日のCSVが貼られていない",IF($CS348=1,"－ 今日のCSVに無い（終売？）",IF($L348&lt;0,"● 在庫がマイナス　数えて「数えた在庫」に入れる",IF($L348=0,"● 在庫なし　至急発注",IF($M348="","？ 減り数が未設定（商品マスタ）",IF($B$3=0,"？ 動員が未入力（動員を入れる）",IF($CA348="","○ 14日以上もつ",IF($BZ348&lt;N('設定'!$C$7),"● "&amp;TEXT($CA348,"m/d")&amp;"("&amp;CHOOSE(WEEKDAY($CA348),"日","月","火","水","木","金","土")&amp;")"&amp;" に切れる　至急発注",IF($BZ348=N('設定'!$C$7),"● "&amp;TEXT($CA348,"m/d")&amp;"("&amp;CHOOSE(WEEKDAY($CA348),"日","月","火","水","木","金","土")&amp;")"&amp;" に切れる　今日発注","△ "&amp;TEXT($CA348,"m/d")&amp;"("&amp;CHOOSE(WEEKDAY($CA348),"日","月","火","水","木","金","土")&amp;")"&amp;" に切れる　"&amp;TEXT($CA348-N('設定'!$C$7),"m/d")&amp;"("&amp;CHOOSE(WEEKDAY($CA348-N('設定'!$C$7)),"日","月","火","水","木","金","土")&amp;")"&amp;" までに発注"))))))))))</f>
        <v/>
      </c>
      <c r="CQ348">
        <f>IF($C348="","",IF(AND($P348="",$Q348="",$S348="",$T348=""),"",IF(AND($P348="",$Q348=""),"⚠ 先に1便目（左の入庫日・入庫数）に入れてください",IF($CI348&lt;&gt;"",$CI348,IF($CJ348&lt;&gt;"",$CJ348,IF($M348="","？ 減り数が未設定（発注書には載ります）",IF($B$3=0,"？ 動員が未入力（発注書には載ります）",IF(AND($CA348&lt;&gt;"",$P348&gt;$CA348),IF($P348&gt;'設定'!$C$6+N('設定'!$C$7),"● "&amp;TEXT($P348,"m/d")&amp;"("&amp;CHOOSE(WEEKDAY($P348),"日","月","火","水","木","金","土")&amp;")"&amp;" の入庫では間に合わない（"&amp;TEXT($CA348,"m/d")&amp;"("&amp;CHOOSE(WEEKDAY($CA348),"日","月","火","水","木","金","土")&amp;")"&amp;" に切れる）　入庫日を早める","△ 欠品 "&amp;TEXT($CA348,"m/d")&amp;"("&amp;CHOOSE(WEEKDAY($CA348),"日","月","火","水","木","金","土")&amp;")"&amp;"〜"&amp;TEXT($P348-1,"m/d")&amp;"("&amp;CHOOSE(WEEKDAY($P348-1),"日","月","火","水","木","金","土")&amp;")"&amp;"　"&amp;$CO348),IF($CC348="","○ "&amp;TEXT($P348,"m/d")&amp;"("&amp;CHOOSE(WEEKDAY($P348),"日","月","火","水","木","金","土")&amp;")"&amp;" 入庫で 14日以上もつ",IF($CC348-N('設定'!$C$7)&lt;='設定'!$C$6,"● 入庫しても "&amp;TEXT($CC348,"m/d")&amp;"("&amp;CHOOSE(WEEKDAY($CC348),"日","月","火","水","木","金","土")&amp;")"&amp;" に切れる　もう1便を至急発注（2便目に入れる）","△ 入庫しても "&amp;TEXT($CC348,"m/d")&amp;"("&amp;CHOOSE(WEEKDAY($CC348),"日","月","火","水","木","金","土")&amp;")"&amp;" に切れる　"&amp;TEXT($CC348-N('設定'!$C$7),"m/d")&amp;"("&amp;CHOOSE(WEEKDAY($CC348-N('設定'!$C$7)),"日","月","火","水","木","金","土")&amp;")"&amp;" までに次を発注（2便目に入れる）"))))))))))</f>
        <v/>
      </c>
      <c r="CR348">
        <f>IF($C348="","",IF($G348&gt;1,"ｹｰｽ("&amp;$G348&amp;"入)","個"))</f>
        <v/>
      </c>
      <c r="CS348">
        <f>IF($C348="",0,IF(COUNTIFS('①在庫を貼る'!$V$6:$V$10005,'設定'!$C$4,'①在庫を貼る'!$W$6:$W$10005,$C348)=0,1,0))</f>
        <v/>
      </c>
      <c r="CT348">
        <f>IF(AND($CK348=1,OR('③発注書'!$C$4="すべて",'③発注書'!$C$4="",$F348='③発注書'!$C$4)),N($CT347)+1,N($CT347))</f>
        <v/>
      </c>
      <c r="CU348">
        <f>IF(AND($CL348=1,OR('③発注書'!$C$4="すべて",'③発注書'!$C$4="",$F348='③発注書'!$C$4)),N($CU347)+1,N($CU347))</f>
        <v/>
      </c>
      <c r="CV348">
        <f>IF($C348="",0,IF(COUNTIFS('①在庫を貼る'!$V$6:$V$10005,'設定'!$C$4,'①在庫を貼る'!$W$6:$W$10005,$C348)&gt;0,1,0))</f>
        <v/>
      </c>
      <c r="CW348">
        <f>IF($C348="",0,IF(COUNTIFS('月1回_1ヶ月前の在庫'!$V$6:$V$10005,'設定'!$C$4,'月1回_1ヶ月前の在庫'!$W$6:$W$10005,$C348)&gt;0,1,0))</f>
        <v/>
      </c>
      <c r="CX348">
        <f>IF($C348="",0,IF(COUNTIFS('月1回_2ヶ月前の在庫'!$V$6:$V$10005,'設定'!$C$4,'月1回_2ヶ月前の在庫'!$W$6:$W$10005,$C348)&gt;0,1,0))</f>
        <v/>
      </c>
      <c r="CY348">
        <f>IF(OR($C348="",'設定'!$C$12=""),"",IF('設定'!$C$13="",IF(AND($CV348=1,$CW348=0),"新商品（今月から）",IF(AND($CV348=0,$CW348=1),"終売（今月から）","")),IF(AND($CV348=1,$CW348=0,$CX348=0),"新商品（今月から）",IF(AND($CV348=1,$CW348=1,$CX348=0),"新商品（先月から）",IF(AND($CV348=0,$CW348=1,$CX348=1),"終売（今月から）",IF(AND($CV348=0,$CW348=0,$CX348=1),"終売（先月から）",IF(AND($CV348=1,$CW348=0,$CX348=1),"復活（先月は無し）","")))))))</f>
        <v/>
      </c>
    </row>
    <row r="349">
      <c r="B349">
        <f>IF(344&lt;='設定'!$C$11,344,"")</f>
        <v/>
      </c>
      <c r="C349">
        <f>IF($B349="","",IF($B349&lt;='設定'!$C$20,INDEX('商品マスタ'!$B$6:$B$1005,MATCH($B349,'商品マスタ'!$M$6:$M$1005,0)),IF($B349&lt;='設定'!$C$20+'設定'!$C$17,INDEX('①在庫を貼る'!$W$6:$W$10005,MATCH($B349-'設定'!$C$20,'①在庫を貼る'!$U$6:$U$10005,0)),IF($B349&lt;='設定'!$C$20+'設定'!$C$17+'設定'!$C$18,INDEX('月1回_1ヶ月前の在庫'!$W$6:$W$10005,MATCH($B349-'設定'!$C$20-'設定'!$C$17,'月1回_1ヶ月前の在庫'!$U$6:$U$10005,0)),INDEX('月1回_2ヶ月前の在庫'!$W$6:$W$10005,MATCH($B349-'設定'!$C$20-'設定'!$C$17-'設定'!$C$18,'月1回_2ヶ月前の在庫'!$U$6:$U$10005,0))))))</f>
        <v/>
      </c>
      <c r="D349">
        <f>IF($C349="","",IFERROR(IF(INDEX('商品マスタ'!$C$6:$C$1005,MATCH($C349,'商品マスタ'!$B$6:$B$1005,0))="",IFERROR(INDEX('①在庫を貼る'!$J$6:$J$10005,MATCH($C349,'①在庫を貼る'!$W$6:$W$10005,0)),IFERROR(INDEX('月1回_1ヶ月前の在庫'!$J$6:$J$10005,MATCH($C349,'月1回_1ヶ月前の在庫'!$W$6:$W$10005,0)),IFERROR(INDEX('月1回_2ヶ月前の在庫'!$J$6:$J$10005,MATCH($C349,'月1回_2ヶ月前の在庫'!$W$6:$W$10005,0)),""))),INDEX('商品マスタ'!$C$6:$C$1005,MATCH($C349,'商品マスタ'!$B$6:$B$1005,0))),IFERROR(INDEX('①在庫を貼る'!$J$6:$J$10005,MATCH($C349,'①在庫を貼る'!$W$6:$W$10005,0)),IFERROR(INDEX('月1回_1ヶ月前の在庫'!$J$6:$J$10005,MATCH($C349,'月1回_1ヶ月前の在庫'!$W$6:$W$10005,0)),IFERROR(INDEX('月1回_2ヶ月前の在庫'!$J$6:$J$10005,MATCH($C349,'月1回_2ヶ月前の在庫'!$W$6:$W$10005,0)),"")))))</f>
        <v/>
      </c>
      <c r="E349">
        <f>IF($C349="","",IFERROR(IF(INDEX('商品マスタ'!$D$6:$D$1005,MATCH($C349,'商品マスタ'!$B$6:$B$1005,0))="",IFERROR(INDEX('①在庫を貼る'!$H$6:$H$10005,MATCH($C349,'①在庫を貼る'!$W$6:$W$10005,0)),IFERROR(INDEX('月1回_1ヶ月前の在庫'!$H$6:$H$10005,MATCH($C349,'月1回_1ヶ月前の在庫'!$W$6:$W$10005,0)),IFERROR(INDEX('月1回_2ヶ月前の在庫'!$H$6:$H$10005,MATCH($C349,'月1回_2ヶ月前の在庫'!$W$6:$W$10005,0)),""))),INDEX('商品マスタ'!$D$6:$D$1005,MATCH($C349,'商品マスタ'!$B$6:$B$1005,0))),IFERROR(INDEX('①在庫を貼る'!$H$6:$H$10005,MATCH($C349,'①在庫を貼る'!$W$6:$W$10005,0)),IFERROR(INDEX('月1回_1ヶ月前の在庫'!$H$6:$H$10005,MATCH($C349,'月1回_1ヶ月前の在庫'!$W$6:$W$10005,0)),IFERROR(INDEX('月1回_2ヶ月前の在庫'!$H$6:$H$10005,MATCH($C349,'月1回_2ヶ月前の在庫'!$W$6:$W$10005,0)),"")))))</f>
        <v/>
      </c>
      <c r="F349">
        <f>IF($C349="","",IFERROR(IF(INDEX('商品マスタ'!$E$6:$E$1005,MATCH($C349,'商品マスタ'!$B$6:$B$1005,0))="",IFERROR(INDEX('①在庫を貼る'!$E$6:$E$10005,MATCH($C349,'①在庫を貼る'!$W$6:$W$10005,0)),IFERROR(INDEX('月1回_1ヶ月前の在庫'!$E$6:$E$10005,MATCH($C349,'月1回_1ヶ月前の在庫'!$W$6:$W$10005,0)),IFERROR(INDEX('月1回_2ヶ月前の在庫'!$E$6:$E$10005,MATCH($C349,'月1回_2ヶ月前の在庫'!$W$6:$W$10005,0)),""))),INDEX('商品マスタ'!$E$6:$E$1005,MATCH($C349,'商品マスタ'!$B$6:$B$1005,0))),IFERROR(INDEX('①在庫を貼る'!$E$6:$E$10005,MATCH($C349,'①在庫を貼る'!$W$6:$W$10005,0)),IFERROR(INDEX('月1回_1ヶ月前の在庫'!$E$6:$E$10005,MATCH($C349,'月1回_1ヶ月前の在庫'!$W$6:$W$10005,0)),IFERROR(INDEX('月1回_2ヶ月前の在庫'!$E$6:$E$10005,MATCH($C349,'月1回_2ヶ月前の在庫'!$W$6:$W$10005,0)),"")))))</f>
        <v/>
      </c>
      <c r="G349">
        <f>IF($C349="","",MAX(1,N(IFERROR(IF(INDEX('商品マスタ'!$F$6:$F$1005,MATCH($C349,'商品マスタ'!$B$6:$B$1005,0))="",IF(COUNTIFS('①在庫を貼る'!$V$6:$V$10005,'設定'!$C$4,'①在庫を貼る'!$W$6:$W$10005,$C349)&gt;0,SUMIFS('①在庫を貼る'!$K$6:$K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K$6:$K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K$6:$K$10005,'月1回_2ヶ月前の在庫'!$V$6:$V$10005,'設定'!$C$4,'月1回_2ヶ月前の在庫'!$W$6:$W$10005,$C349)/COUNTIFS('月1回_2ヶ月前の在庫'!$V$6:$V$10005,'設定'!$C$4,'月1回_2ヶ月前の在庫'!$W$6:$W$10005,$C349),0))),INDEX('商品マスタ'!$F$6:$F$1005,MATCH($C349,'商品マスタ'!$B$6:$B$1005,0))),IF(COUNTIFS('①在庫を貼る'!$V$6:$V$10005,'設定'!$C$4,'①在庫を貼る'!$W$6:$W$10005,$C349)&gt;0,SUMIFS('①在庫を貼る'!$K$6:$K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K$6:$K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K$6:$K$10005,'月1回_2ヶ月前の在庫'!$V$6:$V$10005,'設定'!$C$4,'月1回_2ヶ月前の在庫'!$W$6:$W$10005,$C349)/COUNTIFS('月1回_2ヶ月前の在庫'!$V$6:$V$10005,'設定'!$C$4,'月1回_2ヶ月前の在庫'!$W$6:$W$10005,$C349),0)))))))</f>
        <v/>
      </c>
      <c r="H349">
        <f>IF($C349="","",N(IFERROR(IF(INDEX('商品マスタ'!$G$6:$G$1005,MATCH($C349,'商品マスタ'!$B$6:$B$1005,0))="",IF(COUNTIFS('①在庫を貼る'!$V$6:$V$10005,'設定'!$C$4,'①在庫を貼る'!$W$6:$W$10005,$C349)&gt;0,SUMIFS('①在庫を貼る'!$Q$6:$Q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Q$6:$Q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Q$6:$Q$10005,'月1回_2ヶ月前の在庫'!$V$6:$V$10005,'設定'!$C$4,'月1回_2ヶ月前の在庫'!$W$6:$W$10005,$C349)/COUNTIFS('月1回_2ヶ月前の在庫'!$V$6:$V$10005,'設定'!$C$4,'月1回_2ヶ月前の在庫'!$W$6:$W$10005,$C349),0))),INDEX('商品マスタ'!$G$6:$G$1005,MATCH($C349,'商品マスタ'!$B$6:$B$1005,0))),IF(COUNTIFS('①在庫を貼る'!$V$6:$V$10005,'設定'!$C$4,'①在庫を貼る'!$W$6:$W$10005,$C349)&gt;0,SUMIFS('①在庫を貼る'!$Q$6:$Q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Q$6:$Q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Q$6:$Q$10005,'月1回_2ヶ月前の在庫'!$V$6:$V$10005,'設定'!$C$4,'月1回_2ヶ月前の在庫'!$W$6:$W$10005,$C349)/COUNTIFS('月1回_2ヶ月前の在庫'!$V$6:$V$10005,'設定'!$C$4,'月1回_2ヶ月前の在庫'!$W$6:$W$10005,$C349),0))))))</f>
        <v/>
      </c>
      <c r="I349">
        <f>IF($C349="","",IF(COUNTIFS('①在庫を貼る'!$V$6:$V$10005,'設定'!$C$4,'①在庫を貼る'!$W$6:$W$10005,$C349)=0,"",SUMIFS('①在庫を貼る'!$N$6:$N$10005,'①在庫を貼る'!$V$6:$V$10005,'設定'!$C$4,'①在庫を貼る'!$W$6:$W$10005,$C349)))</f>
        <v/>
      </c>
      <c r="J349">
        <f>IF($C349="","",IF('②発注する'!$AD353="","",'②発注する'!$AD353))</f>
        <v/>
      </c>
      <c r="K349" s="90">
        <f>IF($C349="","",IF('②発注する'!$AE353="","",'②発注する'!$AE353))</f>
        <v/>
      </c>
      <c r="L349">
        <f>IF($C349="","",IF(AND(ISNUMBER($J349),ISNUMBER($K349),$K349&gt;='設定'!$C$6),$J349,N($I349)))</f>
        <v/>
      </c>
      <c r="M349">
        <f>IF($C349="","",IFERROR(IF(N(INDEX('商品マスタ'!$J$6:$J$1005,MATCH($C349,'商品マスタ'!$B$6:$B$1005,0)))&gt;0,INDEX('商品マスタ'!$J$6:$J$1005,MATCH($C349,'商品マスタ'!$B$6:$B$1005,0)),""),""))</f>
        <v/>
      </c>
      <c r="N349">
        <f>IF($C349="","",IFERROR(IF(N(INDEX('商品マスタ'!$H$6:$H$1005,MATCH($C349,'商品マスタ'!$B$6:$B$1005,0)))&gt;0,INDEX('商品マスタ'!$H$6:$H$1005,MATCH($C349,'商品マスタ'!$B$6:$B$1005,0)),""),""))</f>
        <v/>
      </c>
      <c r="O349">
        <f>IF($C349="","",IF($N349&lt;&gt;"",$N349*$G349,IF(N(IF(COUNTIFS('①在庫を貼る'!$V$6:$V$10005,'設定'!$C$4,'①在庫を貼る'!$W$6:$W$10005,$C349)&gt;0,SUMIFS('①在庫を貼る'!$O$6:$O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O$6:$O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O$6:$O$10005,'月1回_2ヶ月前の在庫'!$V$6:$V$10005,'設定'!$C$4,'月1回_2ヶ月前の在庫'!$W$6:$W$10005,$C349)/COUNTIFS('月1回_2ヶ月前の在庫'!$V$6:$V$10005,'設定'!$C$4,'月1回_2ヶ月前の在庫'!$W$6:$W$10005,$C349),0))))&gt;0,N(IF(COUNTIFS('①在庫を貼る'!$V$6:$V$10005,'設定'!$C$4,'①在庫を貼る'!$W$6:$W$10005,$C349)&gt;0,SUMIFS('①在庫を貼る'!$O$6:$O$10005,'①在庫を貼る'!$V$6:$V$10005,'設定'!$C$4,'①在庫を貼る'!$W$6:$W$10005,$C349)/COUNTIFS('①在庫を貼る'!$V$6:$V$10005,'設定'!$C$4,'①在庫を貼る'!$W$6:$W$10005,$C349),IF(COUNTIFS('月1回_1ヶ月前の在庫'!$V$6:$V$10005,'設定'!$C$4,'月1回_1ヶ月前の在庫'!$W$6:$W$10005,$C349)&gt;0,SUMIFS('月1回_1ヶ月前の在庫'!$O$6:$O$10005,'月1回_1ヶ月前の在庫'!$V$6:$V$10005,'設定'!$C$4,'月1回_1ヶ月前の在庫'!$W$6:$W$10005,$C349)/COUNTIFS('月1回_1ヶ月前の在庫'!$V$6:$V$10005,'設定'!$C$4,'月1回_1ヶ月前の在庫'!$W$6:$W$10005,$C349),IF(COUNTIFS('月1回_2ヶ月前の在庫'!$V$6:$V$10005,'設定'!$C$4,'月1回_2ヶ月前の在庫'!$W$6:$W$10005,$C349)&gt;0,SUMIFS('月1回_2ヶ月前の在庫'!$O$6:$O$10005,'月1回_2ヶ月前の在庫'!$V$6:$V$10005,'設定'!$C$4,'月1回_2ヶ月前の在庫'!$W$6:$W$10005,$C349)/COUNTIFS('月1回_2ヶ月前の在庫'!$V$6:$V$10005,'設定'!$C$4,'月1回_2ヶ月前の在庫'!$W$6:$W$10005,$C349),0)))),"")))</f>
        <v/>
      </c>
      <c r="P349" s="90">
        <f>IF($C349="","",IF('②発注する'!$I353="","",'②発注する'!$I353))</f>
        <v/>
      </c>
      <c r="Q349">
        <f>IF($C349="","",IF('②発注する'!$J353="","",'②発注する'!$J353))</f>
        <v/>
      </c>
      <c r="R349">
        <f>IF($C349="",0,IF(AND(ISNUMBER($P349),ISNUMBER($Q349)),MAX(0,$Q349)*$G349,0))</f>
        <v/>
      </c>
      <c r="S349" s="90">
        <f>IF($C349="","",IF('②発注する'!$M353="","",'②発注する'!$M353))</f>
        <v/>
      </c>
      <c r="T349">
        <f>IF($C349="","",IF('②発注する'!$N353="","",'②発注する'!$N353))</f>
        <v/>
      </c>
      <c r="U349">
        <f>IF($C349="",0,IF(AND(ISNUMBER($S349),ISNUMBER($T349)),MAX(0,$T349)*$G349,0))</f>
        <v/>
      </c>
      <c r="V349">
        <f>IF($C349="",0,IF($M349="",0,MAX(0,$M349)*MAX(0,V$4)/100))</f>
        <v/>
      </c>
      <c r="W349">
        <f>IF($C349="",0,IF($M349="",0,MAX(0,$M349)*MAX(0,W$4)/100))</f>
        <v/>
      </c>
      <c r="X349">
        <f>IF($C349="",0,IF($M349="",0,MAX(0,$M349)*MAX(0,X$4)/100))</f>
        <v/>
      </c>
      <c r="Y349">
        <f>IF($C349="",0,IF($M349="",0,MAX(0,$M349)*MAX(0,Y$4)/100))</f>
        <v/>
      </c>
      <c r="Z349">
        <f>IF($C349="",0,IF($M349="",0,MAX(0,$M349)*MAX(0,Z$4)/100))</f>
        <v/>
      </c>
      <c r="AA349">
        <f>IF($C349="",0,IF($M349="",0,MAX(0,$M349)*MAX(0,AA$4)/100))</f>
        <v/>
      </c>
      <c r="AB349">
        <f>IF($C349="",0,IF($M349="",0,MAX(0,$M349)*MAX(0,AB$4)/100))</f>
        <v/>
      </c>
      <c r="AC349">
        <f>IF($C349="",0,IF($M349="",0,MAX(0,$M349)*MAX(0,AC$4)/100))</f>
        <v/>
      </c>
      <c r="AD349">
        <f>IF($C349="",0,IF($M349="",0,MAX(0,$M349)*MAX(0,AD$4)/100))</f>
        <v/>
      </c>
      <c r="AE349">
        <f>IF($C349="",0,IF($M349="",0,MAX(0,$M349)*MAX(0,AE$4)/100))</f>
        <v/>
      </c>
      <c r="AF349">
        <f>IF($C349="",0,IF($M349="",0,MAX(0,$M349)*MAX(0,AF$4)/100))</f>
        <v/>
      </c>
      <c r="AG349">
        <f>IF($C349="",0,IF($M349="",0,MAX(0,$M349)*MAX(0,AG$4)/100))</f>
        <v/>
      </c>
      <c r="AH349">
        <f>IF($C349="",0,IF($M349="",0,MAX(0,$M349)*MAX(0,AH$4)/100))</f>
        <v/>
      </c>
      <c r="AI349">
        <f>IF($C349="",0,IF($M349="",0,MAX(0,$M349)*MAX(0,AI$4)/100))</f>
        <v/>
      </c>
      <c r="AJ349">
        <f>IF($C349="",0,MAX(0,MAX(0,N($L349))-$V349))</f>
        <v/>
      </c>
      <c r="AK349">
        <f>IF($C349="",0,MAX(0,$AJ349-$W349))</f>
        <v/>
      </c>
      <c r="AL349">
        <f>IF($C349="",0,MAX(0,$AK349-$X349))</f>
        <v/>
      </c>
      <c r="AM349">
        <f>IF($C349="",0,MAX(0,$AL349-$Y349))</f>
        <v/>
      </c>
      <c r="AN349">
        <f>IF($C349="",0,MAX(0,$AM349-$Z349))</f>
        <v/>
      </c>
      <c r="AO349">
        <f>IF($C349="",0,MAX(0,$AN349-$AA349))</f>
        <v/>
      </c>
      <c r="AP349">
        <f>IF($C349="",0,MAX(0,$AO349-$AB349))</f>
        <v/>
      </c>
      <c r="AQ349">
        <f>IF($C349="",0,MAX(0,$AP349-$AC349))</f>
        <v/>
      </c>
      <c r="AR349">
        <f>IF($C349="",0,MAX(0,$AQ349-$AD349))</f>
        <v/>
      </c>
      <c r="AS349">
        <f>IF($C349="",0,MAX(0,$AR349-$AE349))</f>
        <v/>
      </c>
      <c r="AT349">
        <f>IF($C349="",0,MAX(0,$AS349-$AF349))</f>
        <v/>
      </c>
      <c r="AU349">
        <f>IF($C349="",0,MAX(0,$AT349-$AG349))</f>
        <v/>
      </c>
      <c r="AV349">
        <f>IF($C349="",0,MAX(0,$AU349-$AH349))</f>
        <v/>
      </c>
      <c r="AW349">
        <f>IF($C349="",0,MAX(0,$AV349-$AI349))</f>
        <v/>
      </c>
      <c r="AX349">
        <f>IF($C349="",0,MAX(0,MAX(0,N($L349))+IF($P349=V$3,$R349,0)+IF($S349=V$3,$U349,0)-$V349))</f>
        <v/>
      </c>
      <c r="AY349">
        <f>IF($C349="",0,MAX(0,$AX349+IF($P349=W$3,$R349,0)+IF($S349=W$3,$U349,0)-$W349))</f>
        <v/>
      </c>
      <c r="AZ349">
        <f>IF($C349="",0,MAX(0,$AY349+IF($P349=X$3,$R349,0)+IF($S349=X$3,$U349,0)-$X349))</f>
        <v/>
      </c>
      <c r="BA349">
        <f>IF($C349="",0,MAX(0,$AZ349+IF($P349=Y$3,$R349,0)+IF($S349=Y$3,$U349,0)-$Y349))</f>
        <v/>
      </c>
      <c r="BB349">
        <f>IF($C349="",0,MAX(0,$BA349+IF($P349=Z$3,$R349,0)+IF($S349=Z$3,$U349,0)-$Z349))</f>
        <v/>
      </c>
      <c r="BC349">
        <f>IF($C349="",0,MAX(0,$BB349+IF($P349=AA$3,$R349,0)+IF($S349=AA$3,$U349,0)-$AA349))</f>
        <v/>
      </c>
      <c r="BD349">
        <f>IF($C349="",0,MAX(0,$BC349+IF($P349=AB$3,$R349,0)+IF($S349=AB$3,$U349,0)-$AB349))</f>
        <v/>
      </c>
      <c r="BE349">
        <f>IF($C349="",0,MAX(0,$BD349+IF($P349=AC$3,$R349,0)+IF($S349=AC$3,$U349,0)-$AC349))</f>
        <v/>
      </c>
      <c r="BF349">
        <f>IF($C349="",0,MAX(0,$BE349+IF($P349=AD$3,$R349,0)+IF($S349=AD$3,$U349,0)-$AD349))</f>
        <v/>
      </c>
      <c r="BG349">
        <f>IF($C349="",0,MAX(0,$BF349+IF($P349=AE$3,$R349,0)+IF($S349=AE$3,$U349,0)-$AE349))</f>
        <v/>
      </c>
      <c r="BH349">
        <f>IF($C349="",0,MAX(0,$BG349+IF($P349=AF$3,$R349,0)+IF($S349=AF$3,$U349,0)-$AF349))</f>
        <v/>
      </c>
      <c r="BI349">
        <f>IF($C349="",0,MAX(0,$BH349+IF($P349=AG$3,$R349,0)+IF($S349=AG$3,$U349,0)-$AG349))</f>
        <v/>
      </c>
      <c r="BJ349">
        <f>IF($C349="",0,MAX(0,$BI349+IF($P349=AH$3,$R349,0)+IF($S349=AH$3,$U349,0)-$AH349))</f>
        <v/>
      </c>
      <c r="BK349">
        <f>IF($C349="",0,MAX(0,$BJ349+IF($P349=AI$3,$R349,0)+IF($S349=AI$3,$U349,0)-$AI349))</f>
        <v/>
      </c>
      <c r="BL349">
        <f>IF($C349="",99,IF(AND($AX349&lt;1,V$3&gt;=MAX(N($P349),N($S349))),0,99))</f>
        <v/>
      </c>
      <c r="BM349">
        <f>IF($C349="",99,IF(AND($AY349&lt;1,W$3&gt;=MAX(N($P349),N($S349))),1,99))</f>
        <v/>
      </c>
      <c r="BN349">
        <f>IF($C349="",99,IF(AND($AZ349&lt;1,X$3&gt;=MAX(N($P349),N($S349))),2,99))</f>
        <v/>
      </c>
      <c r="BO349">
        <f>IF($C349="",99,IF(AND($BA349&lt;1,Y$3&gt;=MAX(N($P349),N($S349))),3,99))</f>
        <v/>
      </c>
      <c r="BP349">
        <f>IF($C349="",99,IF(AND($BB349&lt;1,Z$3&gt;=MAX(N($P349),N($S349))),4,99))</f>
        <v/>
      </c>
      <c r="BQ349">
        <f>IF($C349="",99,IF(AND($BC349&lt;1,AA$3&gt;=MAX(N($P349),N($S349))),5,99))</f>
        <v/>
      </c>
      <c r="BR349">
        <f>IF($C349="",99,IF(AND($BD349&lt;1,AB$3&gt;=MAX(N($P349),N($S349))),6,99))</f>
        <v/>
      </c>
      <c r="BS349">
        <f>IF($C349="",99,IF(AND($BE349&lt;1,AC$3&gt;=MAX(N($P349),N($S349))),7,99))</f>
        <v/>
      </c>
      <c r="BT349">
        <f>IF($C349="",99,IF(AND($BF349&lt;1,AD$3&gt;=MAX(N($P349),N($S349))),8,99))</f>
        <v/>
      </c>
      <c r="BU349">
        <f>IF($C349="",99,IF(AND($BG349&lt;1,AE$3&gt;=MAX(N($P349),N($S349))),9,99))</f>
        <v/>
      </c>
      <c r="BV349">
        <f>IF($C349="",99,IF(AND($BH349&lt;1,AF$3&gt;=MAX(N($P349),N($S349))),10,99))</f>
        <v/>
      </c>
      <c r="BW349">
        <f>IF($C349="",99,IF(AND($BI349&lt;1,AG$3&gt;=MAX(N($P349),N($S349))),11,99))</f>
        <v/>
      </c>
      <c r="BX349">
        <f>IF($C349="",99,IF(AND($BJ349&lt;1,AH$3&gt;=MAX(N($P349),N($S349))),12,99))</f>
        <v/>
      </c>
      <c r="BY349">
        <f>IF($C349="",99,IF(AND($BK349&lt;1,AI$3&gt;=MAX(N($P349),N($S349))),13,99))</f>
        <v/>
      </c>
      <c r="BZ349">
        <f>IF(OR($C349="",$M349=""),"",COUNTIF($AJ349:$AW349,"&gt;=1"))</f>
        <v/>
      </c>
      <c r="CA349" s="90">
        <f>IF($BZ349="","",IF($BZ349&gt;=14,"",'設定'!$C$6+$BZ349))</f>
        <v/>
      </c>
      <c r="CB349">
        <f>IF(OR($C349="",$M349=""),"",MIN($BL349:$BY349))</f>
        <v/>
      </c>
      <c r="CC349" s="90">
        <f>IF($CB349="","",IF($CB349&gt;=99,"",'設定'!$C$6+$CB349))</f>
        <v/>
      </c>
      <c r="CD349">
        <f>IF(OR($C349="",$M349=""),"",AVERAGE($V349:$AI349))</f>
        <v/>
      </c>
      <c r="CE349">
        <f>IF($C349="","",IFERROR(IF(MATCH(IF(ISNUMBER($P349),$P349,'設定'!$C$6+N('設定'!$C$7)),$V$3:$AI$3,0)=1,MAX(0,N($L349)),INDEX($AJ349:$AW349,MATCH(IF(ISNUMBER($P349),$P349,'設定'!$C$6+N('設定'!$C$7)),$V$3:$AI$3,0)-1)),""))</f>
        <v/>
      </c>
      <c r="CF349">
        <f>IF(OR($C349="",$O349="",$CE349=""),"",IF($O349-$CE349&lt;=0,0,ROUNDUP(($O349-$CE349)/$G349,0)))</f>
        <v/>
      </c>
      <c r="CG349">
        <f>IF(OR($C349="",$CF349="",NOT(ISNUMBER($Q349))),0,MAX(0,$Q349-$CF349))</f>
        <v/>
      </c>
      <c r="CH349">
        <f>IF(OR($C349="",$O349="",$U349=0),0,IFERROR(ROUNDUP(MAX(0,IF(MATCH($S349,$V$3:$AI$3,0)=1,MAX(0,N($L349)),INDEX($AX349:$BK349,MATCH($S349,$V$3:$AI$3,0)-1))+$U349-$O349)/$G349,0),0))</f>
        <v/>
      </c>
      <c r="CI349">
        <f>IF($C349="","",IF(AND($P349="",$Q349=""),"",IF($P349="","⚠ 入庫日を ▼ から選んでください",IF(NOT(ISNUMBER($P349)),"⚠ 入庫日は ▼ から選んでください",IF($P349&lt;N('設定'!$C$6),"⚠ 入庫日が過去です（もう在庫に入っています）→ 消してください",IF($P349&gt;N('設定'!$C$6)+13,"⚠ 入庫日が14日より先です",IF(N($Q349)&lt;=0,"⚠ 入庫数を入れてください",IF($CG349&gt;0,"⚠ 目安より "&amp;$CG349&amp;" 多い（定数を超える）→ 減らす",""))))))))</f>
        <v/>
      </c>
      <c r="CJ349">
        <f>IF($C349="","",IF(AND($S349="",$T349=""),"",IF($S349="","⚠ 2便目：入庫日を ▼ から選んでください",IF(NOT(ISNUMBER($S349)),"⚠ 2便目：入庫日は ▼ から選んでください",IF($S349&lt;N('設定'!$C$6),"⚠ 2便目：入庫日が過去です（もう在庫に入っています）→ 消してください",IF($S349&gt;N('設定'!$C$6)+13,"⚠ 2便目：入庫日が14日より先です",IF(N($T349)&lt;=0,"⚠ 2便目：入庫数を入れてください",IF($CH349&gt;0,"⚠ 2便目：定数を "&amp;$CH349&amp;" ケース超える → 減らす",""))))))))</f>
        <v/>
      </c>
      <c r="CK349">
        <f>IF(AND($CI349="",N($Q349)&gt;0,ISNUMBER($P349)),1,0)</f>
        <v/>
      </c>
      <c r="CL349">
        <f>IF(AND($CJ349="",N($T349)&gt;0,ISNUMBER($S349)),1,0)</f>
        <v/>
      </c>
      <c r="CM349">
        <f>IF(OR($CK349=1,$CL349=1),1,0)</f>
        <v/>
      </c>
      <c r="CN349">
        <f>IF($C349="",0,($CK349*$R349+$CL349*$U349)*N($H349))</f>
        <v/>
      </c>
      <c r="CO349">
        <f>IF($C349="","",IF($CC349="","入庫後は 14日以上もつ",IF($CC349-N('設定'!$C$7)&lt;='設定'!$C$6,"入庫後も "&amp;TEXT($CC349,"m/d")&amp;"("&amp;CHOOSE(WEEKDAY($CC349),"日","月","火","水","木","金","土")&amp;")"&amp;" に切れる　もう1便を至急発注","入庫後も "&amp;TEXT($CC349,"m/d")&amp;"("&amp;CHOOSE(WEEKDAY($CC349),"日","月","火","水","木","金","土")&amp;")"&amp;" に切れる　"&amp;TEXT($CC349-N('設定'!$C$7),"m/d")&amp;"("&amp;CHOOSE(WEEKDAY($CC349-N('設定'!$C$7)),"日","月","火","水","木","金","土")&amp;")"&amp;" までに次を発注")))</f>
        <v/>
      </c>
      <c r="CP349">
        <f>IF($C349="","",IF('設定'!$C$6="","？ ①在庫を貼る に今日のCSVが貼られていない",IF($CS349=1,"－ 今日のCSVに無い（終売？）",IF($L349&lt;0,"● 在庫がマイナス　数えて「数えた在庫」に入れる",IF($L349=0,"● 在庫なし　至急発注",IF($M349="","？ 減り数が未設定（商品マスタ）",IF($B$3=0,"？ 動員が未入力（動員を入れる）",IF($CA349="","○ 14日以上もつ",IF($BZ349&lt;N('設定'!$C$7),"● "&amp;TEXT($CA349,"m/d")&amp;"("&amp;CHOOSE(WEEKDAY($CA349),"日","月","火","水","木","金","土")&amp;")"&amp;" に切れる　至急発注",IF($BZ349=N('設定'!$C$7),"● "&amp;TEXT($CA349,"m/d")&amp;"("&amp;CHOOSE(WEEKDAY($CA349),"日","月","火","水","木","金","土")&amp;")"&amp;" に切れる　今日発注","△ "&amp;TEXT($CA349,"m/d")&amp;"("&amp;CHOOSE(WEEKDAY($CA349),"日","月","火","水","木","金","土")&amp;")"&amp;" に切れる　"&amp;TEXT($CA349-N('設定'!$C$7),"m/d")&amp;"("&amp;CHOOSE(WEEKDAY($CA349-N('設定'!$C$7)),"日","月","火","水","木","金","土")&amp;")"&amp;" までに発注"))))))))))</f>
        <v/>
      </c>
      <c r="CQ349">
        <f>IF($C349="","",IF(AND($P349="",$Q349="",$S349="",$T349=""),"",IF(AND($P349="",$Q349=""),"⚠ 先に1便目（左の入庫日・入庫数）に入れてください",IF($CI349&lt;&gt;"",$CI349,IF($CJ349&lt;&gt;"",$CJ349,IF($M349="","？ 減り数が未設定（発注書には載ります）",IF($B$3=0,"？ 動員が未入力（発注書には載ります）",IF(AND($CA349&lt;&gt;"",$P349&gt;$CA349),IF($P349&gt;'設定'!$C$6+N('設定'!$C$7),"● "&amp;TEXT($P349,"m/d")&amp;"("&amp;CHOOSE(WEEKDAY($P349),"日","月","火","水","木","金","土")&amp;")"&amp;" の入庫では間に合わない（"&amp;TEXT($CA349,"m/d")&amp;"("&amp;CHOOSE(WEEKDAY($CA349),"日","月","火","水","木","金","土")&amp;")"&amp;" に切れる）　入庫日を早める","△ 欠品 "&amp;TEXT($CA349,"m/d")&amp;"("&amp;CHOOSE(WEEKDAY($CA349),"日","月","火","水","木","金","土")&amp;")"&amp;"〜"&amp;TEXT($P349-1,"m/d")&amp;"("&amp;CHOOSE(WEEKDAY($P349-1),"日","月","火","水","木","金","土")&amp;")"&amp;"　"&amp;$CO349),IF($CC349="","○ "&amp;TEXT($P349,"m/d")&amp;"("&amp;CHOOSE(WEEKDAY($P349),"日","月","火","水","木","金","土")&amp;")"&amp;" 入庫で 14日以上もつ",IF($CC349-N('設定'!$C$7)&lt;='設定'!$C$6,"● 入庫しても "&amp;TEXT($CC349,"m/d")&amp;"("&amp;CHOOSE(WEEKDAY($CC349),"日","月","火","水","木","金","土")&amp;")"&amp;" に切れる　もう1便を至急発注（2便目に入れる）","△ 入庫しても "&amp;TEXT($CC349,"m/d")&amp;"("&amp;CHOOSE(WEEKDAY($CC349),"日","月","火","水","木","金","土")&amp;")"&amp;" に切れる　"&amp;TEXT($CC349-N('設定'!$C$7),"m/d")&amp;"("&amp;CHOOSE(WEEKDAY($CC349-N('設定'!$C$7)),"日","月","火","水","木","金","土")&amp;")"&amp;" までに次を発注（2便目に入れる）"))))))))))</f>
        <v/>
      </c>
      <c r="CR349">
        <f>IF($C349="","",IF($G349&gt;1,"ｹｰｽ("&amp;$G349&amp;"入)","個"))</f>
        <v/>
      </c>
      <c r="CS349">
        <f>IF($C349="",0,IF(COUNTIFS('①在庫を貼る'!$V$6:$V$10005,'設定'!$C$4,'①在庫を貼る'!$W$6:$W$10005,$C349)=0,1,0))</f>
        <v/>
      </c>
      <c r="CT349">
        <f>IF(AND($CK349=1,OR('③発注書'!$C$4="すべて",'③発注書'!$C$4="",$F349='③発注書'!$C$4)),N($CT348)+1,N($CT348))</f>
        <v/>
      </c>
      <c r="CU349">
        <f>IF(AND($CL349=1,OR('③発注書'!$C$4="すべて",'③発注書'!$C$4="",$F349='③発注書'!$C$4)),N($CU348)+1,N($CU348))</f>
        <v/>
      </c>
      <c r="CV349">
        <f>IF($C349="",0,IF(COUNTIFS('①在庫を貼る'!$V$6:$V$10005,'設定'!$C$4,'①在庫を貼る'!$W$6:$W$10005,$C349)&gt;0,1,0))</f>
        <v/>
      </c>
      <c r="CW349">
        <f>IF($C349="",0,IF(COUNTIFS('月1回_1ヶ月前の在庫'!$V$6:$V$10005,'設定'!$C$4,'月1回_1ヶ月前の在庫'!$W$6:$W$10005,$C349)&gt;0,1,0))</f>
        <v/>
      </c>
      <c r="CX349">
        <f>IF($C349="",0,IF(COUNTIFS('月1回_2ヶ月前の在庫'!$V$6:$V$10005,'設定'!$C$4,'月1回_2ヶ月前の在庫'!$W$6:$W$10005,$C349)&gt;0,1,0))</f>
        <v/>
      </c>
      <c r="CY349">
        <f>IF(OR($C349="",'設定'!$C$12=""),"",IF('設定'!$C$13="",IF(AND($CV349=1,$CW349=0),"新商品（今月から）",IF(AND($CV349=0,$CW349=1),"終売（今月から）","")),IF(AND($CV349=1,$CW349=0,$CX349=0),"新商品（今月から）",IF(AND($CV349=1,$CW349=1,$CX349=0),"新商品（先月から）",IF(AND($CV349=0,$CW349=1,$CX349=1),"終売（今月から）",IF(AND($CV349=0,$CW349=0,$CX349=1),"終売（先月から）",IF(AND($CV349=1,$CW349=0,$CX349=1),"復活（先月は無し）","")))))))</f>
        <v/>
      </c>
    </row>
    <row r="350">
      <c r="B350">
        <f>IF(345&lt;='設定'!$C$11,345,"")</f>
        <v/>
      </c>
      <c r="C350">
        <f>IF($B350="","",IF($B350&lt;='設定'!$C$20,INDEX('商品マスタ'!$B$6:$B$1005,MATCH($B350,'商品マスタ'!$M$6:$M$1005,0)),IF($B350&lt;='設定'!$C$20+'設定'!$C$17,INDEX('①在庫を貼る'!$W$6:$W$10005,MATCH($B350-'設定'!$C$20,'①在庫を貼る'!$U$6:$U$10005,0)),IF($B350&lt;='設定'!$C$20+'設定'!$C$17+'設定'!$C$18,INDEX('月1回_1ヶ月前の在庫'!$W$6:$W$10005,MATCH($B350-'設定'!$C$20-'設定'!$C$17,'月1回_1ヶ月前の在庫'!$U$6:$U$10005,0)),INDEX('月1回_2ヶ月前の在庫'!$W$6:$W$10005,MATCH($B350-'設定'!$C$20-'設定'!$C$17-'設定'!$C$18,'月1回_2ヶ月前の在庫'!$U$6:$U$10005,0))))))</f>
        <v/>
      </c>
      <c r="D350">
        <f>IF($C350="","",IFERROR(IF(INDEX('商品マスタ'!$C$6:$C$1005,MATCH($C350,'商品マスタ'!$B$6:$B$1005,0))="",IFERROR(INDEX('①在庫を貼る'!$J$6:$J$10005,MATCH($C350,'①在庫を貼る'!$W$6:$W$10005,0)),IFERROR(INDEX('月1回_1ヶ月前の在庫'!$J$6:$J$10005,MATCH($C350,'月1回_1ヶ月前の在庫'!$W$6:$W$10005,0)),IFERROR(INDEX('月1回_2ヶ月前の在庫'!$J$6:$J$10005,MATCH($C350,'月1回_2ヶ月前の在庫'!$W$6:$W$10005,0)),""))),INDEX('商品マスタ'!$C$6:$C$1005,MATCH($C350,'商品マスタ'!$B$6:$B$1005,0))),IFERROR(INDEX('①在庫を貼る'!$J$6:$J$10005,MATCH($C350,'①在庫を貼る'!$W$6:$W$10005,0)),IFERROR(INDEX('月1回_1ヶ月前の在庫'!$J$6:$J$10005,MATCH($C350,'月1回_1ヶ月前の在庫'!$W$6:$W$10005,0)),IFERROR(INDEX('月1回_2ヶ月前の在庫'!$J$6:$J$10005,MATCH($C350,'月1回_2ヶ月前の在庫'!$W$6:$W$10005,0)),"")))))</f>
        <v/>
      </c>
      <c r="E350">
        <f>IF($C350="","",IFERROR(IF(INDEX('商品マスタ'!$D$6:$D$1005,MATCH($C350,'商品マスタ'!$B$6:$B$1005,0))="",IFERROR(INDEX('①在庫を貼る'!$H$6:$H$10005,MATCH($C350,'①在庫を貼る'!$W$6:$W$10005,0)),IFERROR(INDEX('月1回_1ヶ月前の在庫'!$H$6:$H$10005,MATCH($C350,'月1回_1ヶ月前の在庫'!$W$6:$W$10005,0)),IFERROR(INDEX('月1回_2ヶ月前の在庫'!$H$6:$H$10005,MATCH($C350,'月1回_2ヶ月前の在庫'!$W$6:$W$10005,0)),""))),INDEX('商品マスタ'!$D$6:$D$1005,MATCH($C350,'商品マスタ'!$B$6:$B$1005,0))),IFERROR(INDEX('①在庫を貼る'!$H$6:$H$10005,MATCH($C350,'①在庫を貼る'!$W$6:$W$10005,0)),IFERROR(INDEX('月1回_1ヶ月前の在庫'!$H$6:$H$10005,MATCH($C350,'月1回_1ヶ月前の在庫'!$W$6:$W$10005,0)),IFERROR(INDEX('月1回_2ヶ月前の在庫'!$H$6:$H$10005,MATCH($C350,'月1回_2ヶ月前の在庫'!$W$6:$W$10005,0)),"")))))</f>
        <v/>
      </c>
      <c r="F350">
        <f>IF($C350="","",IFERROR(IF(INDEX('商品マスタ'!$E$6:$E$1005,MATCH($C350,'商品マスタ'!$B$6:$B$1005,0))="",IFERROR(INDEX('①在庫を貼る'!$E$6:$E$10005,MATCH($C350,'①在庫を貼る'!$W$6:$W$10005,0)),IFERROR(INDEX('月1回_1ヶ月前の在庫'!$E$6:$E$10005,MATCH($C350,'月1回_1ヶ月前の在庫'!$W$6:$W$10005,0)),IFERROR(INDEX('月1回_2ヶ月前の在庫'!$E$6:$E$10005,MATCH($C350,'月1回_2ヶ月前の在庫'!$W$6:$W$10005,0)),""))),INDEX('商品マスタ'!$E$6:$E$1005,MATCH($C350,'商品マスタ'!$B$6:$B$1005,0))),IFERROR(INDEX('①在庫を貼る'!$E$6:$E$10005,MATCH($C350,'①在庫を貼る'!$W$6:$W$10005,0)),IFERROR(INDEX('月1回_1ヶ月前の在庫'!$E$6:$E$10005,MATCH($C350,'月1回_1ヶ月前の在庫'!$W$6:$W$10005,0)),IFERROR(INDEX('月1回_2ヶ月前の在庫'!$E$6:$E$10005,MATCH($C350,'月1回_2ヶ月前の在庫'!$W$6:$W$10005,0)),"")))))</f>
        <v/>
      </c>
      <c r="G350">
        <f>IF($C350="","",MAX(1,N(IFERROR(IF(INDEX('商品マスタ'!$F$6:$F$1005,MATCH($C350,'商品マスタ'!$B$6:$B$1005,0))="",IF(COUNTIFS('①在庫を貼る'!$V$6:$V$10005,'設定'!$C$4,'①在庫を貼る'!$W$6:$W$10005,$C350)&gt;0,SUMIFS('①在庫を貼る'!$K$6:$K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K$6:$K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K$6:$K$10005,'月1回_2ヶ月前の在庫'!$V$6:$V$10005,'設定'!$C$4,'月1回_2ヶ月前の在庫'!$W$6:$W$10005,$C350)/COUNTIFS('月1回_2ヶ月前の在庫'!$V$6:$V$10005,'設定'!$C$4,'月1回_2ヶ月前の在庫'!$W$6:$W$10005,$C350),0))),INDEX('商品マスタ'!$F$6:$F$1005,MATCH($C350,'商品マスタ'!$B$6:$B$1005,0))),IF(COUNTIFS('①在庫を貼る'!$V$6:$V$10005,'設定'!$C$4,'①在庫を貼る'!$W$6:$W$10005,$C350)&gt;0,SUMIFS('①在庫を貼る'!$K$6:$K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K$6:$K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K$6:$K$10005,'月1回_2ヶ月前の在庫'!$V$6:$V$10005,'設定'!$C$4,'月1回_2ヶ月前の在庫'!$W$6:$W$10005,$C350)/COUNTIFS('月1回_2ヶ月前の在庫'!$V$6:$V$10005,'設定'!$C$4,'月1回_2ヶ月前の在庫'!$W$6:$W$10005,$C350),0)))))))</f>
        <v/>
      </c>
      <c r="H350">
        <f>IF($C350="","",N(IFERROR(IF(INDEX('商品マスタ'!$G$6:$G$1005,MATCH($C350,'商品マスタ'!$B$6:$B$1005,0))="",IF(COUNTIFS('①在庫を貼る'!$V$6:$V$10005,'設定'!$C$4,'①在庫を貼る'!$W$6:$W$10005,$C350)&gt;0,SUMIFS('①在庫を貼る'!$Q$6:$Q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Q$6:$Q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Q$6:$Q$10005,'月1回_2ヶ月前の在庫'!$V$6:$V$10005,'設定'!$C$4,'月1回_2ヶ月前の在庫'!$W$6:$W$10005,$C350)/COUNTIFS('月1回_2ヶ月前の在庫'!$V$6:$V$10005,'設定'!$C$4,'月1回_2ヶ月前の在庫'!$W$6:$W$10005,$C350),0))),INDEX('商品マスタ'!$G$6:$G$1005,MATCH($C350,'商品マスタ'!$B$6:$B$1005,0))),IF(COUNTIFS('①在庫を貼る'!$V$6:$V$10005,'設定'!$C$4,'①在庫を貼る'!$W$6:$W$10005,$C350)&gt;0,SUMIFS('①在庫を貼る'!$Q$6:$Q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Q$6:$Q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Q$6:$Q$10005,'月1回_2ヶ月前の在庫'!$V$6:$V$10005,'設定'!$C$4,'月1回_2ヶ月前の在庫'!$W$6:$W$10005,$C350)/COUNTIFS('月1回_2ヶ月前の在庫'!$V$6:$V$10005,'設定'!$C$4,'月1回_2ヶ月前の在庫'!$W$6:$W$10005,$C350),0))))))</f>
        <v/>
      </c>
      <c r="I350">
        <f>IF($C350="","",IF(COUNTIFS('①在庫を貼る'!$V$6:$V$10005,'設定'!$C$4,'①在庫を貼る'!$W$6:$W$10005,$C350)=0,"",SUMIFS('①在庫を貼る'!$N$6:$N$10005,'①在庫を貼る'!$V$6:$V$10005,'設定'!$C$4,'①在庫を貼る'!$W$6:$W$10005,$C350)))</f>
        <v/>
      </c>
      <c r="J350">
        <f>IF($C350="","",IF('②発注する'!$AD354="","",'②発注する'!$AD354))</f>
        <v/>
      </c>
      <c r="K350" s="90">
        <f>IF($C350="","",IF('②発注する'!$AE354="","",'②発注する'!$AE354))</f>
        <v/>
      </c>
      <c r="L350">
        <f>IF($C350="","",IF(AND(ISNUMBER($J350),ISNUMBER($K350),$K350&gt;='設定'!$C$6),$J350,N($I350)))</f>
        <v/>
      </c>
      <c r="M350">
        <f>IF($C350="","",IFERROR(IF(N(INDEX('商品マスタ'!$J$6:$J$1005,MATCH($C350,'商品マスタ'!$B$6:$B$1005,0)))&gt;0,INDEX('商品マスタ'!$J$6:$J$1005,MATCH($C350,'商品マスタ'!$B$6:$B$1005,0)),""),""))</f>
        <v/>
      </c>
      <c r="N350">
        <f>IF($C350="","",IFERROR(IF(N(INDEX('商品マスタ'!$H$6:$H$1005,MATCH($C350,'商品マスタ'!$B$6:$B$1005,0)))&gt;0,INDEX('商品マスタ'!$H$6:$H$1005,MATCH($C350,'商品マスタ'!$B$6:$B$1005,0)),""),""))</f>
        <v/>
      </c>
      <c r="O350">
        <f>IF($C350="","",IF($N350&lt;&gt;"",$N350*$G350,IF(N(IF(COUNTIFS('①在庫を貼る'!$V$6:$V$10005,'設定'!$C$4,'①在庫を貼る'!$W$6:$W$10005,$C350)&gt;0,SUMIFS('①在庫を貼る'!$O$6:$O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O$6:$O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O$6:$O$10005,'月1回_2ヶ月前の在庫'!$V$6:$V$10005,'設定'!$C$4,'月1回_2ヶ月前の在庫'!$W$6:$W$10005,$C350)/COUNTIFS('月1回_2ヶ月前の在庫'!$V$6:$V$10005,'設定'!$C$4,'月1回_2ヶ月前の在庫'!$W$6:$W$10005,$C350),0))))&gt;0,N(IF(COUNTIFS('①在庫を貼る'!$V$6:$V$10005,'設定'!$C$4,'①在庫を貼る'!$W$6:$W$10005,$C350)&gt;0,SUMIFS('①在庫を貼る'!$O$6:$O$10005,'①在庫を貼る'!$V$6:$V$10005,'設定'!$C$4,'①在庫を貼る'!$W$6:$W$10005,$C350)/COUNTIFS('①在庫を貼る'!$V$6:$V$10005,'設定'!$C$4,'①在庫を貼る'!$W$6:$W$10005,$C350),IF(COUNTIFS('月1回_1ヶ月前の在庫'!$V$6:$V$10005,'設定'!$C$4,'月1回_1ヶ月前の在庫'!$W$6:$W$10005,$C350)&gt;0,SUMIFS('月1回_1ヶ月前の在庫'!$O$6:$O$10005,'月1回_1ヶ月前の在庫'!$V$6:$V$10005,'設定'!$C$4,'月1回_1ヶ月前の在庫'!$W$6:$W$10005,$C350)/COUNTIFS('月1回_1ヶ月前の在庫'!$V$6:$V$10005,'設定'!$C$4,'月1回_1ヶ月前の在庫'!$W$6:$W$10005,$C350),IF(COUNTIFS('月1回_2ヶ月前の在庫'!$V$6:$V$10005,'設定'!$C$4,'月1回_2ヶ月前の在庫'!$W$6:$W$10005,$C350)&gt;0,SUMIFS('月1回_2ヶ月前の在庫'!$O$6:$O$10005,'月1回_2ヶ月前の在庫'!$V$6:$V$10005,'設定'!$C$4,'月1回_2ヶ月前の在庫'!$W$6:$W$10005,$C350)/COUNTIFS('月1回_2ヶ月前の在庫'!$V$6:$V$10005,'設定'!$C$4,'月1回_2ヶ月前の在庫'!$W$6:$W$10005,$C350),0)))),"")))</f>
        <v/>
      </c>
      <c r="P350" s="90">
        <f>IF($C350="","",IF('②発注する'!$I354="","",'②発注する'!$I354))</f>
        <v/>
      </c>
      <c r="Q350">
        <f>IF($C350="","",IF('②発注する'!$J354="","",'②発注する'!$J354))</f>
        <v/>
      </c>
      <c r="R350">
        <f>IF($C350="",0,IF(AND(ISNUMBER($P350),ISNUMBER($Q350)),MAX(0,$Q350)*$G350,0))</f>
        <v/>
      </c>
      <c r="S350" s="90">
        <f>IF($C350="","",IF('②発注する'!$M354="","",'②発注する'!$M354))</f>
        <v/>
      </c>
      <c r="T350">
        <f>IF($C350="","",IF('②発注する'!$N354="","",'②発注する'!$N354))</f>
        <v/>
      </c>
      <c r="U350">
        <f>IF($C350="",0,IF(AND(ISNUMBER($S350),ISNUMBER($T350)),MAX(0,$T350)*$G350,0))</f>
        <v/>
      </c>
      <c r="V350">
        <f>IF($C350="",0,IF($M350="",0,MAX(0,$M350)*MAX(0,V$4)/100))</f>
        <v/>
      </c>
      <c r="W350">
        <f>IF($C350="",0,IF($M350="",0,MAX(0,$M350)*MAX(0,W$4)/100))</f>
        <v/>
      </c>
      <c r="X350">
        <f>IF($C350="",0,IF($M350="",0,MAX(0,$M350)*MAX(0,X$4)/100))</f>
        <v/>
      </c>
      <c r="Y350">
        <f>IF($C350="",0,IF($M350="",0,MAX(0,$M350)*MAX(0,Y$4)/100))</f>
        <v/>
      </c>
      <c r="Z350">
        <f>IF($C350="",0,IF($M350="",0,MAX(0,$M350)*MAX(0,Z$4)/100))</f>
        <v/>
      </c>
      <c r="AA350">
        <f>IF($C350="",0,IF($M350="",0,MAX(0,$M350)*MAX(0,AA$4)/100))</f>
        <v/>
      </c>
      <c r="AB350">
        <f>IF($C350="",0,IF($M350="",0,MAX(0,$M350)*MAX(0,AB$4)/100))</f>
        <v/>
      </c>
      <c r="AC350">
        <f>IF($C350="",0,IF($M350="",0,MAX(0,$M350)*MAX(0,AC$4)/100))</f>
        <v/>
      </c>
      <c r="AD350">
        <f>IF($C350="",0,IF($M350="",0,MAX(0,$M350)*MAX(0,AD$4)/100))</f>
        <v/>
      </c>
      <c r="AE350">
        <f>IF($C350="",0,IF($M350="",0,MAX(0,$M350)*MAX(0,AE$4)/100))</f>
        <v/>
      </c>
      <c r="AF350">
        <f>IF($C350="",0,IF($M350="",0,MAX(0,$M350)*MAX(0,AF$4)/100))</f>
        <v/>
      </c>
      <c r="AG350">
        <f>IF($C350="",0,IF($M350="",0,MAX(0,$M350)*MAX(0,AG$4)/100))</f>
        <v/>
      </c>
      <c r="AH350">
        <f>IF($C350="",0,IF($M350="",0,MAX(0,$M350)*MAX(0,AH$4)/100))</f>
        <v/>
      </c>
      <c r="AI350">
        <f>IF($C350="",0,IF($M350="",0,MAX(0,$M350)*MAX(0,AI$4)/100))</f>
        <v/>
      </c>
      <c r="AJ350">
        <f>IF($C350="",0,MAX(0,MAX(0,N($L350))-$V350))</f>
        <v/>
      </c>
      <c r="AK350">
        <f>IF($C350="",0,MAX(0,$AJ350-$W350))</f>
        <v/>
      </c>
      <c r="AL350">
        <f>IF($C350="",0,MAX(0,$AK350-$X350))</f>
        <v/>
      </c>
      <c r="AM350">
        <f>IF($C350="",0,MAX(0,$AL350-$Y350))</f>
        <v/>
      </c>
      <c r="AN350">
        <f>IF($C350="",0,MAX(0,$AM350-$Z350))</f>
        <v/>
      </c>
      <c r="AO350">
        <f>IF($C350="",0,MAX(0,$AN350-$AA350))</f>
        <v/>
      </c>
      <c r="AP350">
        <f>IF($C350="",0,MAX(0,$AO350-$AB350))</f>
        <v/>
      </c>
      <c r="AQ350">
        <f>IF($C350="",0,MAX(0,$AP350-$AC350))</f>
        <v/>
      </c>
      <c r="AR350">
        <f>IF($C350="",0,MAX(0,$AQ350-$AD350))</f>
        <v/>
      </c>
      <c r="AS350">
        <f>IF($C350="",0,MAX(0,$AR350-$AE350))</f>
        <v/>
      </c>
      <c r="AT350">
        <f>IF($C350="",0,MAX(0,$AS350-$AF350))</f>
        <v/>
      </c>
      <c r="AU350">
        <f>IF($C350="",0,MAX(0,$AT350-$AG350))</f>
        <v/>
      </c>
      <c r="AV350">
        <f>IF($C350="",0,MAX(0,$AU350-$AH350))</f>
        <v/>
      </c>
      <c r="AW350">
        <f>IF($C350="",0,MAX(0,$AV350-$AI350))</f>
        <v/>
      </c>
      <c r="AX350">
        <f>IF($C350="",0,MAX(0,MAX(0,N($L350))+IF($P350=V$3,$R350,0)+IF($S350=V$3,$U350,0)-$V350))</f>
        <v/>
      </c>
      <c r="AY350">
        <f>IF($C350="",0,MAX(0,$AX350+IF($P350=W$3,$R350,0)+IF($S350=W$3,$U350,0)-$W350))</f>
        <v/>
      </c>
      <c r="AZ350">
        <f>IF($C350="",0,MAX(0,$AY350+IF($P350=X$3,$R350,0)+IF($S350=X$3,$U350,0)-$X350))</f>
        <v/>
      </c>
      <c r="BA350">
        <f>IF($C350="",0,MAX(0,$AZ350+IF($P350=Y$3,$R350,0)+IF($S350=Y$3,$U350,0)-$Y350))</f>
        <v/>
      </c>
      <c r="BB350">
        <f>IF($C350="",0,MAX(0,$BA350+IF($P350=Z$3,$R350,0)+IF($S350=Z$3,$U350,0)-$Z350))</f>
        <v/>
      </c>
      <c r="BC350">
        <f>IF($C350="",0,MAX(0,$BB350+IF($P350=AA$3,$R350,0)+IF($S350=AA$3,$U350,0)-$AA350))</f>
        <v/>
      </c>
      <c r="BD350">
        <f>IF($C350="",0,MAX(0,$BC350+IF($P350=AB$3,$R350,0)+IF($S350=AB$3,$U350,0)-$AB350))</f>
        <v/>
      </c>
      <c r="BE350">
        <f>IF($C350="",0,MAX(0,$BD350+IF($P350=AC$3,$R350,0)+IF($S350=AC$3,$U350,0)-$AC350))</f>
        <v/>
      </c>
      <c r="BF350">
        <f>IF($C350="",0,MAX(0,$BE350+IF($P350=AD$3,$R350,0)+IF($S350=AD$3,$U350,0)-$AD350))</f>
        <v/>
      </c>
      <c r="BG350">
        <f>IF($C350="",0,MAX(0,$BF350+IF($P350=AE$3,$R350,0)+IF($S350=AE$3,$U350,0)-$AE350))</f>
        <v/>
      </c>
      <c r="BH350">
        <f>IF($C350="",0,MAX(0,$BG350+IF($P350=AF$3,$R350,0)+IF($S350=AF$3,$U350,0)-$AF350))</f>
        <v/>
      </c>
      <c r="BI350">
        <f>IF($C350="",0,MAX(0,$BH350+IF($P350=AG$3,$R350,0)+IF($S350=AG$3,$U350,0)-$AG350))</f>
        <v/>
      </c>
      <c r="BJ350">
        <f>IF($C350="",0,MAX(0,$BI350+IF($P350=AH$3,$R350,0)+IF($S350=AH$3,$U350,0)-$AH350))</f>
        <v/>
      </c>
      <c r="BK350">
        <f>IF($C350="",0,MAX(0,$BJ350+IF($P350=AI$3,$R350,0)+IF($S350=AI$3,$U350,0)-$AI350))</f>
        <v/>
      </c>
      <c r="BL350">
        <f>IF($C350="",99,IF(AND($AX350&lt;1,V$3&gt;=MAX(N($P350),N($S350))),0,99))</f>
        <v/>
      </c>
      <c r="BM350">
        <f>IF($C350="",99,IF(AND($AY350&lt;1,W$3&gt;=MAX(N($P350),N($S350))),1,99))</f>
        <v/>
      </c>
      <c r="BN350">
        <f>IF($C350="",99,IF(AND($AZ350&lt;1,X$3&gt;=MAX(N($P350),N($S350))),2,99))</f>
        <v/>
      </c>
      <c r="BO350">
        <f>IF($C350="",99,IF(AND($BA350&lt;1,Y$3&gt;=MAX(N($P350),N($S350))),3,99))</f>
        <v/>
      </c>
      <c r="BP350">
        <f>IF($C350="",99,IF(AND($BB350&lt;1,Z$3&gt;=MAX(N($P350),N($S350))),4,99))</f>
        <v/>
      </c>
      <c r="BQ350">
        <f>IF($C350="",99,IF(AND($BC350&lt;1,AA$3&gt;=MAX(N($P350),N($S350))),5,99))</f>
        <v/>
      </c>
      <c r="BR350">
        <f>IF($C350="",99,IF(AND($BD350&lt;1,AB$3&gt;=MAX(N($P350),N($S350))),6,99))</f>
        <v/>
      </c>
      <c r="BS350">
        <f>IF($C350="",99,IF(AND($BE350&lt;1,AC$3&gt;=MAX(N($P350),N($S350))),7,99))</f>
        <v/>
      </c>
      <c r="BT350">
        <f>IF($C350="",99,IF(AND($BF350&lt;1,AD$3&gt;=MAX(N($P350),N($S350))),8,99))</f>
        <v/>
      </c>
      <c r="BU350">
        <f>IF($C350="",99,IF(AND($BG350&lt;1,AE$3&gt;=MAX(N($P350),N($S350))),9,99))</f>
        <v/>
      </c>
      <c r="BV350">
        <f>IF($C350="",99,IF(AND($BH350&lt;1,AF$3&gt;=MAX(N($P350),N($S350))),10,99))</f>
        <v/>
      </c>
      <c r="BW350">
        <f>IF($C350="",99,IF(AND($BI350&lt;1,AG$3&gt;=MAX(N($P350),N($S350))),11,99))</f>
        <v/>
      </c>
      <c r="BX350">
        <f>IF($C350="",99,IF(AND($BJ350&lt;1,AH$3&gt;=MAX(N($P350),N($S350))),12,99))</f>
        <v/>
      </c>
      <c r="BY350">
        <f>IF($C350="",99,IF(AND($BK350&lt;1,AI$3&gt;=MAX(N($P350),N($S350))),13,99))</f>
        <v/>
      </c>
      <c r="BZ350">
        <f>IF(OR($C350="",$M350=""),"",COUNTIF($AJ350:$AW350,"&gt;=1"))</f>
        <v/>
      </c>
      <c r="CA350" s="90">
        <f>IF($BZ350="","",IF($BZ350&gt;=14,"",'設定'!$C$6+$BZ350))</f>
        <v/>
      </c>
      <c r="CB350">
        <f>IF(OR($C350="",$M350=""),"",MIN($BL350:$BY350))</f>
        <v/>
      </c>
      <c r="CC350" s="90">
        <f>IF($CB350="","",IF($CB350&gt;=99,"",'設定'!$C$6+$CB350))</f>
        <v/>
      </c>
      <c r="CD350">
        <f>IF(OR($C350="",$M350=""),"",AVERAGE($V350:$AI350))</f>
        <v/>
      </c>
      <c r="CE350">
        <f>IF($C350="","",IFERROR(IF(MATCH(IF(ISNUMBER($P350),$P350,'設定'!$C$6+N('設定'!$C$7)),$V$3:$AI$3,0)=1,MAX(0,N($L350)),INDEX($AJ350:$AW350,MATCH(IF(ISNUMBER($P350),$P350,'設定'!$C$6+N('設定'!$C$7)),$V$3:$AI$3,0)-1)),""))</f>
        <v/>
      </c>
      <c r="CF350">
        <f>IF(OR($C350="",$O350="",$CE350=""),"",IF($O350-$CE350&lt;=0,0,ROUNDUP(($O350-$CE350)/$G350,0)))</f>
        <v/>
      </c>
      <c r="CG350">
        <f>IF(OR($C350="",$CF350="",NOT(ISNUMBER($Q350))),0,MAX(0,$Q350-$CF350))</f>
        <v/>
      </c>
      <c r="CH350">
        <f>IF(OR($C350="",$O350="",$U350=0),0,IFERROR(ROUNDUP(MAX(0,IF(MATCH($S350,$V$3:$AI$3,0)=1,MAX(0,N($L350)),INDEX($AX350:$BK350,MATCH($S350,$V$3:$AI$3,0)-1))+$U350-$O350)/$G350,0),0))</f>
        <v/>
      </c>
      <c r="CI350">
        <f>IF($C350="","",IF(AND($P350="",$Q350=""),"",IF($P350="","⚠ 入庫日を ▼ から選んでください",IF(NOT(ISNUMBER($P350)),"⚠ 入庫日は ▼ から選んでください",IF($P350&lt;N('設定'!$C$6),"⚠ 入庫日が過去です（もう在庫に入っています）→ 消してください",IF($P350&gt;N('設定'!$C$6)+13,"⚠ 入庫日が14日より先です",IF(N($Q350)&lt;=0,"⚠ 入庫数を入れてください",IF($CG350&gt;0,"⚠ 目安より "&amp;$CG350&amp;" 多い（定数を超える）→ 減らす",""))))))))</f>
        <v/>
      </c>
      <c r="CJ350">
        <f>IF($C350="","",IF(AND($S350="",$T350=""),"",IF($S350="","⚠ 2便目：入庫日を ▼ から選んでください",IF(NOT(ISNUMBER($S350)),"⚠ 2便目：入庫日は ▼ から選んでください",IF($S350&lt;N('設定'!$C$6),"⚠ 2便目：入庫日が過去です（もう在庫に入っています）→ 消してください",IF($S350&gt;N('設定'!$C$6)+13,"⚠ 2便目：入庫日が14日より先です",IF(N($T350)&lt;=0,"⚠ 2便目：入庫数を入れてください",IF($CH350&gt;0,"⚠ 2便目：定数を "&amp;$CH350&amp;" ケース超える → 減らす",""))))))))</f>
        <v/>
      </c>
      <c r="CK350">
        <f>IF(AND($CI350="",N($Q350)&gt;0,ISNUMBER($P350)),1,0)</f>
        <v/>
      </c>
      <c r="CL350">
        <f>IF(AND($CJ350="",N($T350)&gt;0,ISNUMBER($S350)),1,0)</f>
        <v/>
      </c>
      <c r="CM350">
        <f>IF(OR($CK350=1,$CL350=1),1,0)</f>
        <v/>
      </c>
      <c r="CN350">
        <f>IF($C350="",0,($CK350*$R350+$CL350*$U350)*N($H350))</f>
        <v/>
      </c>
      <c r="CO350">
        <f>IF($C350="","",IF($CC350="","入庫後は 14日以上もつ",IF($CC350-N('設定'!$C$7)&lt;='設定'!$C$6,"入庫後も "&amp;TEXT($CC350,"m/d")&amp;"("&amp;CHOOSE(WEEKDAY($CC350),"日","月","火","水","木","金","土")&amp;")"&amp;" に切れる　もう1便を至急発注","入庫後も "&amp;TEXT($CC350,"m/d")&amp;"("&amp;CHOOSE(WEEKDAY($CC350),"日","月","火","水","木","金","土")&amp;")"&amp;" に切れる　"&amp;TEXT($CC350-N('設定'!$C$7),"m/d")&amp;"("&amp;CHOOSE(WEEKDAY($CC350-N('設定'!$C$7)),"日","月","火","水","木","金","土")&amp;")"&amp;" までに次を発注")))</f>
        <v/>
      </c>
      <c r="CP350">
        <f>IF($C350="","",IF('設定'!$C$6="","？ ①在庫を貼る に今日のCSVが貼られていない",IF($CS350=1,"－ 今日のCSVに無い（終売？）",IF($L350&lt;0,"● 在庫がマイナス　数えて「数えた在庫」に入れる",IF($L350=0,"● 在庫なし　至急発注",IF($M350="","？ 減り数が未設定（商品マスタ）",IF($B$3=0,"？ 動員が未入力（動員を入れる）",IF($CA350="","○ 14日以上もつ",IF($BZ350&lt;N('設定'!$C$7),"● "&amp;TEXT($CA350,"m/d")&amp;"("&amp;CHOOSE(WEEKDAY($CA350),"日","月","火","水","木","金","土")&amp;")"&amp;" に切れる　至急発注",IF($BZ350=N('設定'!$C$7),"● "&amp;TEXT($CA350,"m/d")&amp;"("&amp;CHOOSE(WEEKDAY($CA350),"日","月","火","水","木","金","土")&amp;")"&amp;" に切れる　今日発注","△ "&amp;TEXT($CA350,"m/d")&amp;"("&amp;CHOOSE(WEEKDAY($CA350),"日","月","火","水","木","金","土")&amp;")"&amp;" に切れる　"&amp;TEXT($CA350-N('設定'!$C$7),"m/d")&amp;"("&amp;CHOOSE(WEEKDAY($CA350-N('設定'!$C$7)),"日","月","火","水","木","金","土")&amp;")"&amp;" までに発注"))))))))))</f>
        <v/>
      </c>
      <c r="CQ350">
        <f>IF($C350="","",IF(AND($P350="",$Q350="",$S350="",$T350=""),"",IF(AND($P350="",$Q350=""),"⚠ 先に1便目（左の入庫日・入庫数）に入れてください",IF($CI350&lt;&gt;"",$CI350,IF($CJ350&lt;&gt;"",$CJ350,IF($M350="","？ 減り数が未設定（発注書には載ります）",IF($B$3=0,"？ 動員が未入力（発注書には載ります）",IF(AND($CA350&lt;&gt;"",$P350&gt;$CA350),IF($P350&gt;'設定'!$C$6+N('設定'!$C$7),"● "&amp;TEXT($P350,"m/d")&amp;"("&amp;CHOOSE(WEEKDAY($P350),"日","月","火","水","木","金","土")&amp;")"&amp;" の入庫では間に合わない（"&amp;TEXT($CA350,"m/d")&amp;"("&amp;CHOOSE(WEEKDAY($CA350),"日","月","火","水","木","金","土")&amp;")"&amp;" に切れる）　入庫日を早める","△ 欠品 "&amp;TEXT($CA350,"m/d")&amp;"("&amp;CHOOSE(WEEKDAY($CA350),"日","月","火","水","木","金","土")&amp;")"&amp;"〜"&amp;TEXT($P350-1,"m/d")&amp;"("&amp;CHOOSE(WEEKDAY($P350-1),"日","月","火","水","木","金","土")&amp;")"&amp;"　"&amp;$CO350),IF($CC350="","○ "&amp;TEXT($P350,"m/d")&amp;"("&amp;CHOOSE(WEEKDAY($P350),"日","月","火","水","木","金","土")&amp;")"&amp;" 入庫で 14日以上もつ",IF($CC350-N('設定'!$C$7)&lt;='設定'!$C$6,"● 入庫しても "&amp;TEXT($CC350,"m/d")&amp;"("&amp;CHOOSE(WEEKDAY($CC350),"日","月","火","水","木","金","土")&amp;")"&amp;" に切れる　もう1便を至急発注（2便目に入れる）","△ 入庫しても "&amp;TEXT($CC350,"m/d")&amp;"("&amp;CHOOSE(WEEKDAY($CC350),"日","月","火","水","木","金","土")&amp;")"&amp;" に切れる　"&amp;TEXT($CC350-N('設定'!$C$7),"m/d")&amp;"("&amp;CHOOSE(WEEKDAY($CC350-N('設定'!$C$7)),"日","月","火","水","木","金","土")&amp;")"&amp;" までに次を発注（2便目に入れる）"))))))))))</f>
        <v/>
      </c>
      <c r="CR350">
        <f>IF($C350="","",IF($G350&gt;1,"ｹｰｽ("&amp;$G350&amp;"入)","個"))</f>
        <v/>
      </c>
      <c r="CS350">
        <f>IF($C350="",0,IF(COUNTIFS('①在庫を貼る'!$V$6:$V$10005,'設定'!$C$4,'①在庫を貼る'!$W$6:$W$10005,$C350)=0,1,0))</f>
        <v/>
      </c>
      <c r="CT350">
        <f>IF(AND($CK350=1,OR('③発注書'!$C$4="すべて",'③発注書'!$C$4="",$F350='③発注書'!$C$4)),N($CT349)+1,N($CT349))</f>
        <v/>
      </c>
      <c r="CU350">
        <f>IF(AND($CL350=1,OR('③発注書'!$C$4="すべて",'③発注書'!$C$4="",$F350='③発注書'!$C$4)),N($CU349)+1,N($CU349))</f>
        <v/>
      </c>
      <c r="CV350">
        <f>IF($C350="",0,IF(COUNTIFS('①在庫を貼る'!$V$6:$V$10005,'設定'!$C$4,'①在庫を貼る'!$W$6:$W$10005,$C350)&gt;0,1,0))</f>
        <v/>
      </c>
      <c r="CW350">
        <f>IF($C350="",0,IF(COUNTIFS('月1回_1ヶ月前の在庫'!$V$6:$V$10005,'設定'!$C$4,'月1回_1ヶ月前の在庫'!$W$6:$W$10005,$C350)&gt;0,1,0))</f>
        <v/>
      </c>
      <c r="CX350">
        <f>IF($C350="",0,IF(COUNTIFS('月1回_2ヶ月前の在庫'!$V$6:$V$10005,'設定'!$C$4,'月1回_2ヶ月前の在庫'!$W$6:$W$10005,$C350)&gt;0,1,0))</f>
        <v/>
      </c>
      <c r="CY350">
        <f>IF(OR($C350="",'設定'!$C$12=""),"",IF('設定'!$C$13="",IF(AND($CV350=1,$CW350=0),"新商品（今月から）",IF(AND($CV350=0,$CW350=1),"終売（今月から）","")),IF(AND($CV350=1,$CW350=0,$CX350=0),"新商品（今月から）",IF(AND($CV350=1,$CW350=1,$CX350=0),"新商品（先月から）",IF(AND($CV350=0,$CW350=1,$CX350=1),"終売（今月から）",IF(AND($CV350=0,$CW350=0,$CX350=1),"終売（先月から）",IF(AND($CV350=1,$CW350=0,$CX350=1),"復活（先月は無し）","")))))))</f>
        <v/>
      </c>
    </row>
    <row r="351">
      <c r="B351">
        <f>IF(346&lt;='設定'!$C$11,346,"")</f>
        <v/>
      </c>
      <c r="C351">
        <f>IF($B351="","",IF($B351&lt;='設定'!$C$20,INDEX('商品マスタ'!$B$6:$B$1005,MATCH($B351,'商品マスタ'!$M$6:$M$1005,0)),IF($B351&lt;='設定'!$C$20+'設定'!$C$17,INDEX('①在庫を貼る'!$W$6:$W$10005,MATCH($B351-'設定'!$C$20,'①在庫を貼る'!$U$6:$U$10005,0)),IF($B351&lt;='設定'!$C$20+'設定'!$C$17+'設定'!$C$18,INDEX('月1回_1ヶ月前の在庫'!$W$6:$W$10005,MATCH($B351-'設定'!$C$20-'設定'!$C$17,'月1回_1ヶ月前の在庫'!$U$6:$U$10005,0)),INDEX('月1回_2ヶ月前の在庫'!$W$6:$W$10005,MATCH($B351-'設定'!$C$20-'設定'!$C$17-'設定'!$C$18,'月1回_2ヶ月前の在庫'!$U$6:$U$10005,0))))))</f>
        <v/>
      </c>
      <c r="D351">
        <f>IF($C351="","",IFERROR(IF(INDEX('商品マスタ'!$C$6:$C$1005,MATCH($C351,'商品マスタ'!$B$6:$B$1005,0))="",IFERROR(INDEX('①在庫を貼る'!$J$6:$J$10005,MATCH($C351,'①在庫を貼る'!$W$6:$W$10005,0)),IFERROR(INDEX('月1回_1ヶ月前の在庫'!$J$6:$J$10005,MATCH($C351,'月1回_1ヶ月前の在庫'!$W$6:$W$10005,0)),IFERROR(INDEX('月1回_2ヶ月前の在庫'!$J$6:$J$10005,MATCH($C351,'月1回_2ヶ月前の在庫'!$W$6:$W$10005,0)),""))),INDEX('商品マスタ'!$C$6:$C$1005,MATCH($C351,'商品マスタ'!$B$6:$B$1005,0))),IFERROR(INDEX('①在庫を貼る'!$J$6:$J$10005,MATCH($C351,'①在庫を貼る'!$W$6:$W$10005,0)),IFERROR(INDEX('月1回_1ヶ月前の在庫'!$J$6:$J$10005,MATCH($C351,'月1回_1ヶ月前の在庫'!$W$6:$W$10005,0)),IFERROR(INDEX('月1回_2ヶ月前の在庫'!$J$6:$J$10005,MATCH($C351,'月1回_2ヶ月前の在庫'!$W$6:$W$10005,0)),"")))))</f>
        <v/>
      </c>
      <c r="E351">
        <f>IF($C351="","",IFERROR(IF(INDEX('商品マスタ'!$D$6:$D$1005,MATCH($C351,'商品マスタ'!$B$6:$B$1005,0))="",IFERROR(INDEX('①在庫を貼る'!$H$6:$H$10005,MATCH($C351,'①在庫を貼る'!$W$6:$W$10005,0)),IFERROR(INDEX('月1回_1ヶ月前の在庫'!$H$6:$H$10005,MATCH($C351,'月1回_1ヶ月前の在庫'!$W$6:$W$10005,0)),IFERROR(INDEX('月1回_2ヶ月前の在庫'!$H$6:$H$10005,MATCH($C351,'月1回_2ヶ月前の在庫'!$W$6:$W$10005,0)),""))),INDEX('商品マスタ'!$D$6:$D$1005,MATCH($C351,'商品マスタ'!$B$6:$B$1005,0))),IFERROR(INDEX('①在庫を貼る'!$H$6:$H$10005,MATCH($C351,'①在庫を貼る'!$W$6:$W$10005,0)),IFERROR(INDEX('月1回_1ヶ月前の在庫'!$H$6:$H$10005,MATCH($C351,'月1回_1ヶ月前の在庫'!$W$6:$W$10005,0)),IFERROR(INDEX('月1回_2ヶ月前の在庫'!$H$6:$H$10005,MATCH($C351,'月1回_2ヶ月前の在庫'!$W$6:$W$10005,0)),"")))))</f>
        <v/>
      </c>
      <c r="F351">
        <f>IF($C351="","",IFERROR(IF(INDEX('商品マスタ'!$E$6:$E$1005,MATCH($C351,'商品マスタ'!$B$6:$B$1005,0))="",IFERROR(INDEX('①在庫を貼る'!$E$6:$E$10005,MATCH($C351,'①在庫を貼る'!$W$6:$W$10005,0)),IFERROR(INDEX('月1回_1ヶ月前の在庫'!$E$6:$E$10005,MATCH($C351,'月1回_1ヶ月前の在庫'!$W$6:$W$10005,0)),IFERROR(INDEX('月1回_2ヶ月前の在庫'!$E$6:$E$10005,MATCH($C351,'月1回_2ヶ月前の在庫'!$W$6:$W$10005,0)),""))),INDEX('商品マスタ'!$E$6:$E$1005,MATCH($C351,'商品マスタ'!$B$6:$B$1005,0))),IFERROR(INDEX('①在庫を貼る'!$E$6:$E$10005,MATCH($C351,'①在庫を貼る'!$W$6:$W$10005,0)),IFERROR(INDEX('月1回_1ヶ月前の在庫'!$E$6:$E$10005,MATCH($C351,'月1回_1ヶ月前の在庫'!$W$6:$W$10005,0)),IFERROR(INDEX('月1回_2ヶ月前の在庫'!$E$6:$E$10005,MATCH($C351,'月1回_2ヶ月前の在庫'!$W$6:$W$10005,0)),"")))))</f>
        <v/>
      </c>
      <c r="G351">
        <f>IF($C351="","",MAX(1,N(IFERROR(IF(INDEX('商品マスタ'!$F$6:$F$1005,MATCH($C351,'商品マスタ'!$B$6:$B$1005,0))="",IF(COUNTIFS('①在庫を貼る'!$V$6:$V$10005,'設定'!$C$4,'①在庫を貼る'!$W$6:$W$10005,$C351)&gt;0,SUMIFS('①在庫を貼る'!$K$6:$K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K$6:$K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K$6:$K$10005,'月1回_2ヶ月前の在庫'!$V$6:$V$10005,'設定'!$C$4,'月1回_2ヶ月前の在庫'!$W$6:$W$10005,$C351)/COUNTIFS('月1回_2ヶ月前の在庫'!$V$6:$V$10005,'設定'!$C$4,'月1回_2ヶ月前の在庫'!$W$6:$W$10005,$C351),0))),INDEX('商品マスタ'!$F$6:$F$1005,MATCH($C351,'商品マスタ'!$B$6:$B$1005,0))),IF(COUNTIFS('①在庫を貼る'!$V$6:$V$10005,'設定'!$C$4,'①在庫を貼る'!$W$6:$W$10005,$C351)&gt;0,SUMIFS('①在庫を貼る'!$K$6:$K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K$6:$K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K$6:$K$10005,'月1回_2ヶ月前の在庫'!$V$6:$V$10005,'設定'!$C$4,'月1回_2ヶ月前の在庫'!$W$6:$W$10005,$C351)/COUNTIFS('月1回_2ヶ月前の在庫'!$V$6:$V$10005,'設定'!$C$4,'月1回_2ヶ月前の在庫'!$W$6:$W$10005,$C351),0)))))))</f>
        <v/>
      </c>
      <c r="H351">
        <f>IF($C351="","",N(IFERROR(IF(INDEX('商品マスタ'!$G$6:$G$1005,MATCH($C351,'商品マスタ'!$B$6:$B$1005,0))="",IF(COUNTIFS('①在庫を貼る'!$V$6:$V$10005,'設定'!$C$4,'①在庫を貼る'!$W$6:$W$10005,$C351)&gt;0,SUMIFS('①在庫を貼る'!$Q$6:$Q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Q$6:$Q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Q$6:$Q$10005,'月1回_2ヶ月前の在庫'!$V$6:$V$10005,'設定'!$C$4,'月1回_2ヶ月前の在庫'!$W$6:$W$10005,$C351)/COUNTIFS('月1回_2ヶ月前の在庫'!$V$6:$V$10005,'設定'!$C$4,'月1回_2ヶ月前の在庫'!$W$6:$W$10005,$C351),0))),INDEX('商品マスタ'!$G$6:$G$1005,MATCH($C351,'商品マスタ'!$B$6:$B$1005,0))),IF(COUNTIFS('①在庫を貼る'!$V$6:$V$10005,'設定'!$C$4,'①在庫を貼る'!$W$6:$W$10005,$C351)&gt;0,SUMIFS('①在庫を貼る'!$Q$6:$Q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Q$6:$Q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Q$6:$Q$10005,'月1回_2ヶ月前の在庫'!$V$6:$V$10005,'設定'!$C$4,'月1回_2ヶ月前の在庫'!$W$6:$W$10005,$C351)/COUNTIFS('月1回_2ヶ月前の在庫'!$V$6:$V$10005,'設定'!$C$4,'月1回_2ヶ月前の在庫'!$W$6:$W$10005,$C351),0))))))</f>
        <v/>
      </c>
      <c r="I351">
        <f>IF($C351="","",IF(COUNTIFS('①在庫を貼る'!$V$6:$V$10005,'設定'!$C$4,'①在庫を貼る'!$W$6:$W$10005,$C351)=0,"",SUMIFS('①在庫を貼る'!$N$6:$N$10005,'①在庫を貼る'!$V$6:$V$10005,'設定'!$C$4,'①在庫を貼る'!$W$6:$W$10005,$C351)))</f>
        <v/>
      </c>
      <c r="J351">
        <f>IF($C351="","",IF('②発注する'!$AD355="","",'②発注する'!$AD355))</f>
        <v/>
      </c>
      <c r="K351" s="90">
        <f>IF($C351="","",IF('②発注する'!$AE355="","",'②発注する'!$AE355))</f>
        <v/>
      </c>
      <c r="L351">
        <f>IF($C351="","",IF(AND(ISNUMBER($J351),ISNUMBER($K351),$K351&gt;='設定'!$C$6),$J351,N($I351)))</f>
        <v/>
      </c>
      <c r="M351">
        <f>IF($C351="","",IFERROR(IF(N(INDEX('商品マスタ'!$J$6:$J$1005,MATCH($C351,'商品マスタ'!$B$6:$B$1005,0)))&gt;0,INDEX('商品マスタ'!$J$6:$J$1005,MATCH($C351,'商品マスタ'!$B$6:$B$1005,0)),""),""))</f>
        <v/>
      </c>
      <c r="N351">
        <f>IF($C351="","",IFERROR(IF(N(INDEX('商品マスタ'!$H$6:$H$1005,MATCH($C351,'商品マスタ'!$B$6:$B$1005,0)))&gt;0,INDEX('商品マスタ'!$H$6:$H$1005,MATCH($C351,'商品マスタ'!$B$6:$B$1005,0)),""),""))</f>
        <v/>
      </c>
      <c r="O351">
        <f>IF($C351="","",IF($N351&lt;&gt;"",$N351*$G351,IF(N(IF(COUNTIFS('①在庫を貼る'!$V$6:$V$10005,'設定'!$C$4,'①在庫を貼る'!$W$6:$W$10005,$C351)&gt;0,SUMIFS('①在庫を貼る'!$O$6:$O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O$6:$O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O$6:$O$10005,'月1回_2ヶ月前の在庫'!$V$6:$V$10005,'設定'!$C$4,'月1回_2ヶ月前の在庫'!$W$6:$W$10005,$C351)/COUNTIFS('月1回_2ヶ月前の在庫'!$V$6:$V$10005,'設定'!$C$4,'月1回_2ヶ月前の在庫'!$W$6:$W$10005,$C351),0))))&gt;0,N(IF(COUNTIFS('①在庫を貼る'!$V$6:$V$10005,'設定'!$C$4,'①在庫を貼る'!$W$6:$W$10005,$C351)&gt;0,SUMIFS('①在庫を貼る'!$O$6:$O$10005,'①在庫を貼る'!$V$6:$V$10005,'設定'!$C$4,'①在庫を貼る'!$W$6:$W$10005,$C351)/COUNTIFS('①在庫を貼る'!$V$6:$V$10005,'設定'!$C$4,'①在庫を貼る'!$W$6:$W$10005,$C351),IF(COUNTIFS('月1回_1ヶ月前の在庫'!$V$6:$V$10005,'設定'!$C$4,'月1回_1ヶ月前の在庫'!$W$6:$W$10005,$C351)&gt;0,SUMIFS('月1回_1ヶ月前の在庫'!$O$6:$O$10005,'月1回_1ヶ月前の在庫'!$V$6:$V$10005,'設定'!$C$4,'月1回_1ヶ月前の在庫'!$W$6:$W$10005,$C351)/COUNTIFS('月1回_1ヶ月前の在庫'!$V$6:$V$10005,'設定'!$C$4,'月1回_1ヶ月前の在庫'!$W$6:$W$10005,$C351),IF(COUNTIFS('月1回_2ヶ月前の在庫'!$V$6:$V$10005,'設定'!$C$4,'月1回_2ヶ月前の在庫'!$W$6:$W$10005,$C351)&gt;0,SUMIFS('月1回_2ヶ月前の在庫'!$O$6:$O$10005,'月1回_2ヶ月前の在庫'!$V$6:$V$10005,'設定'!$C$4,'月1回_2ヶ月前の在庫'!$W$6:$W$10005,$C351)/COUNTIFS('月1回_2ヶ月前の在庫'!$V$6:$V$10005,'設定'!$C$4,'月1回_2ヶ月前の在庫'!$W$6:$W$10005,$C351),0)))),"")))</f>
        <v/>
      </c>
      <c r="P351" s="90">
        <f>IF($C351="","",IF('②発注する'!$I355="","",'②発注する'!$I355))</f>
        <v/>
      </c>
      <c r="Q351">
        <f>IF($C351="","",IF('②発注する'!$J355="","",'②発注する'!$J355))</f>
        <v/>
      </c>
      <c r="R351">
        <f>IF($C351="",0,IF(AND(ISNUMBER($P351),ISNUMBER($Q351)),MAX(0,$Q351)*$G351,0))</f>
        <v/>
      </c>
      <c r="S351" s="90">
        <f>IF($C351="","",IF('②発注する'!$M355="","",'②発注する'!$M355))</f>
        <v/>
      </c>
      <c r="T351">
        <f>IF($C351="","",IF('②発注する'!$N355="","",'②発注する'!$N355))</f>
        <v/>
      </c>
      <c r="U351">
        <f>IF($C351="",0,IF(AND(ISNUMBER($S351),ISNUMBER($T351)),MAX(0,$T351)*$G351,0))</f>
        <v/>
      </c>
      <c r="V351">
        <f>IF($C351="",0,IF($M351="",0,MAX(0,$M351)*MAX(0,V$4)/100))</f>
        <v/>
      </c>
      <c r="W351">
        <f>IF($C351="",0,IF($M351="",0,MAX(0,$M351)*MAX(0,W$4)/100))</f>
        <v/>
      </c>
      <c r="X351">
        <f>IF($C351="",0,IF($M351="",0,MAX(0,$M351)*MAX(0,X$4)/100))</f>
        <v/>
      </c>
      <c r="Y351">
        <f>IF($C351="",0,IF($M351="",0,MAX(0,$M351)*MAX(0,Y$4)/100))</f>
        <v/>
      </c>
      <c r="Z351">
        <f>IF($C351="",0,IF($M351="",0,MAX(0,$M351)*MAX(0,Z$4)/100))</f>
        <v/>
      </c>
      <c r="AA351">
        <f>IF($C351="",0,IF($M351="",0,MAX(0,$M351)*MAX(0,AA$4)/100))</f>
        <v/>
      </c>
      <c r="AB351">
        <f>IF($C351="",0,IF($M351="",0,MAX(0,$M351)*MAX(0,AB$4)/100))</f>
        <v/>
      </c>
      <c r="AC351">
        <f>IF($C351="",0,IF($M351="",0,MAX(0,$M351)*MAX(0,AC$4)/100))</f>
        <v/>
      </c>
      <c r="AD351">
        <f>IF($C351="",0,IF($M351="",0,MAX(0,$M351)*MAX(0,AD$4)/100))</f>
        <v/>
      </c>
      <c r="AE351">
        <f>IF($C351="",0,IF($M351="",0,MAX(0,$M351)*MAX(0,AE$4)/100))</f>
        <v/>
      </c>
      <c r="AF351">
        <f>IF($C351="",0,IF($M351="",0,MAX(0,$M351)*MAX(0,AF$4)/100))</f>
        <v/>
      </c>
      <c r="AG351">
        <f>IF($C351="",0,IF($M351="",0,MAX(0,$M351)*MAX(0,AG$4)/100))</f>
        <v/>
      </c>
      <c r="AH351">
        <f>IF($C351="",0,IF($M351="",0,MAX(0,$M351)*MAX(0,AH$4)/100))</f>
        <v/>
      </c>
      <c r="AI351">
        <f>IF($C351="",0,IF($M351="",0,MAX(0,$M351)*MAX(0,AI$4)/100))</f>
        <v/>
      </c>
      <c r="AJ351">
        <f>IF($C351="",0,MAX(0,MAX(0,N($L351))-$V351))</f>
        <v/>
      </c>
      <c r="AK351">
        <f>IF($C351="",0,MAX(0,$AJ351-$W351))</f>
        <v/>
      </c>
      <c r="AL351">
        <f>IF($C351="",0,MAX(0,$AK351-$X351))</f>
        <v/>
      </c>
      <c r="AM351">
        <f>IF($C351="",0,MAX(0,$AL351-$Y351))</f>
        <v/>
      </c>
      <c r="AN351">
        <f>IF($C351="",0,MAX(0,$AM351-$Z351))</f>
        <v/>
      </c>
      <c r="AO351">
        <f>IF($C351="",0,MAX(0,$AN351-$AA351))</f>
        <v/>
      </c>
      <c r="AP351">
        <f>IF($C351="",0,MAX(0,$AO351-$AB351))</f>
        <v/>
      </c>
      <c r="AQ351">
        <f>IF($C351="",0,MAX(0,$AP351-$AC351))</f>
        <v/>
      </c>
      <c r="AR351">
        <f>IF($C351="",0,MAX(0,$AQ351-$AD351))</f>
        <v/>
      </c>
      <c r="AS351">
        <f>IF($C351="",0,MAX(0,$AR351-$AE351))</f>
        <v/>
      </c>
      <c r="AT351">
        <f>IF($C351="",0,MAX(0,$AS351-$AF351))</f>
        <v/>
      </c>
      <c r="AU351">
        <f>IF($C351="",0,MAX(0,$AT351-$AG351))</f>
        <v/>
      </c>
      <c r="AV351">
        <f>IF($C351="",0,MAX(0,$AU351-$AH351))</f>
        <v/>
      </c>
      <c r="AW351">
        <f>IF($C351="",0,MAX(0,$AV351-$AI351))</f>
        <v/>
      </c>
      <c r="AX351">
        <f>IF($C351="",0,MAX(0,MAX(0,N($L351))+IF($P351=V$3,$R351,0)+IF($S351=V$3,$U351,0)-$V351))</f>
        <v/>
      </c>
      <c r="AY351">
        <f>IF($C351="",0,MAX(0,$AX351+IF($P351=W$3,$R351,0)+IF($S351=W$3,$U351,0)-$W351))</f>
        <v/>
      </c>
      <c r="AZ351">
        <f>IF($C351="",0,MAX(0,$AY351+IF($P351=X$3,$R351,0)+IF($S351=X$3,$U351,0)-$X351))</f>
        <v/>
      </c>
      <c r="BA351">
        <f>IF($C351="",0,MAX(0,$AZ351+IF($P351=Y$3,$R351,0)+IF($S351=Y$3,$U351,0)-$Y351))</f>
        <v/>
      </c>
      <c r="BB351">
        <f>IF($C351="",0,MAX(0,$BA351+IF($P351=Z$3,$R351,0)+IF($S351=Z$3,$U351,0)-$Z351))</f>
        <v/>
      </c>
      <c r="BC351">
        <f>IF($C351="",0,MAX(0,$BB351+IF($P351=AA$3,$R351,0)+IF($S351=AA$3,$U351,0)-$AA351))</f>
        <v/>
      </c>
      <c r="BD351">
        <f>IF($C351="",0,MAX(0,$BC351+IF($P351=AB$3,$R351,0)+IF($S351=AB$3,$U351,0)-$AB351))</f>
        <v/>
      </c>
      <c r="BE351">
        <f>IF($C351="",0,MAX(0,$BD351+IF($P351=AC$3,$R351,0)+IF($S351=AC$3,$U351,0)-$AC351))</f>
        <v/>
      </c>
      <c r="BF351">
        <f>IF($C351="",0,MAX(0,$BE351+IF($P351=AD$3,$R351,0)+IF($S351=AD$3,$U351,0)-$AD351))</f>
        <v/>
      </c>
      <c r="BG351">
        <f>IF($C351="",0,MAX(0,$BF351+IF($P351=AE$3,$R351,0)+IF($S351=AE$3,$U351,0)-$AE351))</f>
        <v/>
      </c>
      <c r="BH351">
        <f>IF($C351="",0,MAX(0,$BG351+IF($P351=AF$3,$R351,0)+IF($S351=AF$3,$U351,0)-$AF351))</f>
        <v/>
      </c>
      <c r="BI351">
        <f>IF($C351="",0,MAX(0,$BH351+IF($P351=AG$3,$R351,0)+IF($S351=AG$3,$U351,0)-$AG351))</f>
        <v/>
      </c>
      <c r="BJ351">
        <f>IF($C351="",0,MAX(0,$BI351+IF($P351=AH$3,$R351,0)+IF($S351=AH$3,$U351,0)-$AH351))</f>
        <v/>
      </c>
      <c r="BK351">
        <f>IF($C351="",0,MAX(0,$BJ351+IF($P351=AI$3,$R351,0)+IF($S351=AI$3,$U351,0)-$AI351))</f>
        <v/>
      </c>
      <c r="BL351">
        <f>IF($C351="",99,IF(AND($AX351&lt;1,V$3&gt;=MAX(N($P351),N($S351))),0,99))</f>
        <v/>
      </c>
      <c r="BM351">
        <f>IF($C351="",99,IF(AND($AY351&lt;1,W$3&gt;=MAX(N($P351),N($S351))),1,99))</f>
        <v/>
      </c>
      <c r="BN351">
        <f>IF($C351="",99,IF(AND($AZ351&lt;1,X$3&gt;=MAX(N($P351),N($S351))),2,99))</f>
        <v/>
      </c>
      <c r="BO351">
        <f>IF($C351="",99,IF(AND($BA351&lt;1,Y$3&gt;=MAX(N($P351),N($S351))),3,99))</f>
        <v/>
      </c>
      <c r="BP351">
        <f>IF($C351="",99,IF(AND($BB351&lt;1,Z$3&gt;=MAX(N($P351),N($S351))),4,99))</f>
        <v/>
      </c>
      <c r="BQ351">
        <f>IF($C351="",99,IF(AND($BC351&lt;1,AA$3&gt;=MAX(N($P351),N($S351))),5,99))</f>
        <v/>
      </c>
      <c r="BR351">
        <f>IF($C351="",99,IF(AND($BD351&lt;1,AB$3&gt;=MAX(N($P351),N($S351))),6,99))</f>
        <v/>
      </c>
      <c r="BS351">
        <f>IF($C351="",99,IF(AND($BE351&lt;1,AC$3&gt;=MAX(N($P351),N($S351))),7,99))</f>
        <v/>
      </c>
      <c r="BT351">
        <f>IF($C351="",99,IF(AND($BF351&lt;1,AD$3&gt;=MAX(N($P351),N($S351))),8,99))</f>
        <v/>
      </c>
      <c r="BU351">
        <f>IF($C351="",99,IF(AND($BG351&lt;1,AE$3&gt;=MAX(N($P351),N($S351))),9,99))</f>
        <v/>
      </c>
      <c r="BV351">
        <f>IF($C351="",99,IF(AND($BH351&lt;1,AF$3&gt;=MAX(N($P351),N($S351))),10,99))</f>
        <v/>
      </c>
      <c r="BW351">
        <f>IF($C351="",99,IF(AND($BI351&lt;1,AG$3&gt;=MAX(N($P351),N($S351))),11,99))</f>
        <v/>
      </c>
      <c r="BX351">
        <f>IF($C351="",99,IF(AND($BJ351&lt;1,AH$3&gt;=MAX(N($P351),N($S351))),12,99))</f>
        <v/>
      </c>
      <c r="BY351">
        <f>IF($C351="",99,IF(AND($BK351&lt;1,AI$3&gt;=MAX(N($P351),N($S351))),13,99))</f>
        <v/>
      </c>
      <c r="BZ351">
        <f>IF(OR($C351="",$M351=""),"",COUNTIF($AJ351:$AW351,"&gt;=1"))</f>
        <v/>
      </c>
      <c r="CA351" s="90">
        <f>IF($BZ351="","",IF($BZ351&gt;=14,"",'設定'!$C$6+$BZ351))</f>
        <v/>
      </c>
      <c r="CB351">
        <f>IF(OR($C351="",$M351=""),"",MIN($BL351:$BY351))</f>
        <v/>
      </c>
      <c r="CC351" s="90">
        <f>IF($CB351="","",IF($CB351&gt;=99,"",'設定'!$C$6+$CB351))</f>
        <v/>
      </c>
      <c r="CD351">
        <f>IF(OR($C351="",$M351=""),"",AVERAGE($V351:$AI351))</f>
        <v/>
      </c>
      <c r="CE351">
        <f>IF($C351="","",IFERROR(IF(MATCH(IF(ISNUMBER($P351),$P351,'設定'!$C$6+N('設定'!$C$7)),$V$3:$AI$3,0)=1,MAX(0,N($L351)),INDEX($AJ351:$AW351,MATCH(IF(ISNUMBER($P351),$P351,'設定'!$C$6+N('設定'!$C$7)),$V$3:$AI$3,0)-1)),""))</f>
        <v/>
      </c>
      <c r="CF351">
        <f>IF(OR($C351="",$O351="",$CE351=""),"",IF($O351-$CE351&lt;=0,0,ROUNDUP(($O351-$CE351)/$G351,0)))</f>
        <v/>
      </c>
      <c r="CG351">
        <f>IF(OR($C351="",$CF351="",NOT(ISNUMBER($Q351))),0,MAX(0,$Q351-$CF351))</f>
        <v/>
      </c>
      <c r="CH351">
        <f>IF(OR($C351="",$O351="",$U351=0),0,IFERROR(ROUNDUP(MAX(0,IF(MATCH($S351,$V$3:$AI$3,0)=1,MAX(0,N($L351)),INDEX($AX351:$BK351,MATCH($S351,$V$3:$AI$3,0)-1))+$U351-$O351)/$G351,0),0))</f>
        <v/>
      </c>
      <c r="CI351">
        <f>IF($C351="","",IF(AND($P351="",$Q351=""),"",IF($P351="","⚠ 入庫日を ▼ から選んでください",IF(NOT(ISNUMBER($P351)),"⚠ 入庫日は ▼ から選んでください",IF($P351&lt;N('設定'!$C$6),"⚠ 入庫日が過去です（もう在庫に入っています）→ 消してください",IF($P351&gt;N('設定'!$C$6)+13,"⚠ 入庫日が14日より先です",IF(N($Q351)&lt;=0,"⚠ 入庫数を入れてください",IF($CG351&gt;0,"⚠ 目安より "&amp;$CG351&amp;" 多い（定数を超える）→ 減らす",""))))))))</f>
        <v/>
      </c>
      <c r="CJ351">
        <f>IF($C351="","",IF(AND($S351="",$T351=""),"",IF($S351="","⚠ 2便目：入庫日を ▼ から選んでください",IF(NOT(ISNUMBER($S351)),"⚠ 2便目：入庫日は ▼ から選んでください",IF($S351&lt;N('設定'!$C$6),"⚠ 2便目：入庫日が過去です（もう在庫に入っています）→ 消してください",IF($S351&gt;N('設定'!$C$6)+13,"⚠ 2便目：入庫日が14日より先です",IF(N($T351)&lt;=0,"⚠ 2便目：入庫数を入れてください",IF($CH351&gt;0,"⚠ 2便目：定数を "&amp;$CH351&amp;" ケース超える → 減らす",""))))))))</f>
        <v/>
      </c>
      <c r="CK351">
        <f>IF(AND($CI351="",N($Q351)&gt;0,ISNUMBER($P351)),1,0)</f>
        <v/>
      </c>
      <c r="CL351">
        <f>IF(AND($CJ351="",N($T351)&gt;0,ISNUMBER($S351)),1,0)</f>
        <v/>
      </c>
      <c r="CM351">
        <f>IF(OR($CK351=1,$CL351=1),1,0)</f>
        <v/>
      </c>
      <c r="CN351">
        <f>IF($C351="",0,($CK351*$R351+$CL351*$U351)*N($H351))</f>
        <v/>
      </c>
      <c r="CO351">
        <f>IF($C351="","",IF($CC351="","入庫後は 14日以上もつ",IF($CC351-N('設定'!$C$7)&lt;='設定'!$C$6,"入庫後も "&amp;TEXT($CC351,"m/d")&amp;"("&amp;CHOOSE(WEEKDAY($CC351),"日","月","火","水","木","金","土")&amp;")"&amp;" に切れる　もう1便を至急発注","入庫後も "&amp;TEXT($CC351,"m/d")&amp;"("&amp;CHOOSE(WEEKDAY($CC351),"日","月","火","水","木","金","土")&amp;")"&amp;" に切れる　"&amp;TEXT($CC351-N('設定'!$C$7),"m/d")&amp;"("&amp;CHOOSE(WEEKDAY($CC351-N('設定'!$C$7)),"日","月","火","水","木","金","土")&amp;")"&amp;" までに次を発注")))</f>
        <v/>
      </c>
      <c r="CP351">
        <f>IF($C351="","",IF('設定'!$C$6="","？ ①在庫を貼る に今日のCSVが貼られていない",IF($CS351=1,"－ 今日のCSVに無い（終売？）",IF($L351&lt;0,"● 在庫がマイナス　数えて「数えた在庫」に入れる",IF($L351=0,"● 在庫なし　至急発注",IF($M351="","？ 減り数が未設定（商品マスタ）",IF($B$3=0,"？ 動員が未入力（動員を入れる）",IF($CA351="","○ 14日以上もつ",IF($BZ351&lt;N('設定'!$C$7),"● "&amp;TEXT($CA351,"m/d")&amp;"("&amp;CHOOSE(WEEKDAY($CA351),"日","月","火","水","木","金","土")&amp;")"&amp;" に切れる　至急発注",IF($BZ351=N('設定'!$C$7),"● "&amp;TEXT($CA351,"m/d")&amp;"("&amp;CHOOSE(WEEKDAY($CA351),"日","月","火","水","木","金","土")&amp;")"&amp;" に切れる　今日発注","△ "&amp;TEXT($CA351,"m/d")&amp;"("&amp;CHOOSE(WEEKDAY($CA351),"日","月","火","水","木","金","土")&amp;")"&amp;" に切れる　"&amp;TEXT($CA351-N('設定'!$C$7),"m/d")&amp;"("&amp;CHOOSE(WEEKDAY($CA351-N('設定'!$C$7)),"日","月","火","水","木","金","土")&amp;")"&amp;" までに発注"))))))))))</f>
        <v/>
      </c>
      <c r="CQ351">
        <f>IF($C351="","",IF(AND($P351="",$Q351="",$S351="",$T351=""),"",IF(AND($P351="",$Q351=""),"⚠ 先に1便目（左の入庫日・入庫数）に入れてください",IF($CI351&lt;&gt;"",$CI351,IF($CJ351&lt;&gt;"",$CJ351,IF($M351="","？ 減り数が未設定（発注書には載ります）",IF($B$3=0,"？ 動員が未入力（発注書には載ります）",IF(AND($CA351&lt;&gt;"",$P351&gt;$CA351),IF($P351&gt;'設定'!$C$6+N('設定'!$C$7),"● "&amp;TEXT($P351,"m/d")&amp;"("&amp;CHOOSE(WEEKDAY($P351),"日","月","火","水","木","金","土")&amp;")"&amp;" の入庫では間に合わない（"&amp;TEXT($CA351,"m/d")&amp;"("&amp;CHOOSE(WEEKDAY($CA351),"日","月","火","水","木","金","土")&amp;")"&amp;" に切れる）　入庫日を早める","△ 欠品 "&amp;TEXT($CA351,"m/d")&amp;"("&amp;CHOOSE(WEEKDAY($CA351),"日","月","火","水","木","金","土")&amp;")"&amp;"〜"&amp;TEXT($P351-1,"m/d")&amp;"("&amp;CHOOSE(WEEKDAY($P351-1),"日","月","火","水","木","金","土")&amp;")"&amp;"　"&amp;$CO351),IF($CC351="","○ "&amp;TEXT($P351,"m/d")&amp;"("&amp;CHOOSE(WEEKDAY($P351),"日","月","火","水","木","金","土")&amp;")"&amp;" 入庫で 14日以上もつ",IF($CC351-N('設定'!$C$7)&lt;='設定'!$C$6,"● 入庫しても "&amp;TEXT($CC351,"m/d")&amp;"("&amp;CHOOSE(WEEKDAY($CC351),"日","月","火","水","木","金","土")&amp;")"&amp;" に切れる　もう1便を至急発注（2便目に入れる）","△ 入庫しても "&amp;TEXT($CC351,"m/d")&amp;"("&amp;CHOOSE(WEEKDAY($CC351),"日","月","火","水","木","金","土")&amp;")"&amp;" に切れる　"&amp;TEXT($CC351-N('設定'!$C$7),"m/d")&amp;"("&amp;CHOOSE(WEEKDAY($CC351-N('設定'!$C$7)),"日","月","火","水","木","金","土")&amp;")"&amp;" までに次を発注（2便目に入れる）"))))))))))</f>
        <v/>
      </c>
      <c r="CR351">
        <f>IF($C351="","",IF($G351&gt;1,"ｹｰｽ("&amp;$G351&amp;"入)","個"))</f>
        <v/>
      </c>
      <c r="CS351">
        <f>IF($C351="",0,IF(COUNTIFS('①在庫を貼る'!$V$6:$V$10005,'設定'!$C$4,'①在庫を貼る'!$W$6:$W$10005,$C351)=0,1,0))</f>
        <v/>
      </c>
      <c r="CT351">
        <f>IF(AND($CK351=1,OR('③発注書'!$C$4="すべて",'③発注書'!$C$4="",$F351='③発注書'!$C$4)),N($CT350)+1,N($CT350))</f>
        <v/>
      </c>
      <c r="CU351">
        <f>IF(AND($CL351=1,OR('③発注書'!$C$4="すべて",'③発注書'!$C$4="",$F351='③発注書'!$C$4)),N($CU350)+1,N($CU350))</f>
        <v/>
      </c>
      <c r="CV351">
        <f>IF($C351="",0,IF(COUNTIFS('①在庫を貼る'!$V$6:$V$10005,'設定'!$C$4,'①在庫を貼る'!$W$6:$W$10005,$C351)&gt;0,1,0))</f>
        <v/>
      </c>
      <c r="CW351">
        <f>IF($C351="",0,IF(COUNTIFS('月1回_1ヶ月前の在庫'!$V$6:$V$10005,'設定'!$C$4,'月1回_1ヶ月前の在庫'!$W$6:$W$10005,$C351)&gt;0,1,0))</f>
        <v/>
      </c>
      <c r="CX351">
        <f>IF($C351="",0,IF(COUNTIFS('月1回_2ヶ月前の在庫'!$V$6:$V$10005,'設定'!$C$4,'月1回_2ヶ月前の在庫'!$W$6:$W$10005,$C351)&gt;0,1,0))</f>
        <v/>
      </c>
      <c r="CY351">
        <f>IF(OR($C351="",'設定'!$C$12=""),"",IF('設定'!$C$13="",IF(AND($CV351=1,$CW351=0),"新商品（今月から）",IF(AND($CV351=0,$CW351=1),"終売（今月から）","")),IF(AND($CV351=1,$CW351=0,$CX351=0),"新商品（今月から）",IF(AND($CV351=1,$CW351=1,$CX351=0),"新商品（先月から）",IF(AND($CV351=0,$CW351=1,$CX351=1),"終売（今月から）",IF(AND($CV351=0,$CW351=0,$CX351=1),"終売（先月から）",IF(AND($CV351=1,$CW351=0,$CX351=1),"復活（先月は無し）","")))))))</f>
        <v/>
      </c>
    </row>
    <row r="352">
      <c r="B352">
        <f>IF(347&lt;='設定'!$C$11,347,"")</f>
        <v/>
      </c>
      <c r="C352">
        <f>IF($B352="","",IF($B352&lt;='設定'!$C$20,INDEX('商品マスタ'!$B$6:$B$1005,MATCH($B352,'商品マスタ'!$M$6:$M$1005,0)),IF($B352&lt;='設定'!$C$20+'設定'!$C$17,INDEX('①在庫を貼る'!$W$6:$W$10005,MATCH($B352-'設定'!$C$20,'①在庫を貼る'!$U$6:$U$10005,0)),IF($B352&lt;='設定'!$C$20+'設定'!$C$17+'設定'!$C$18,INDEX('月1回_1ヶ月前の在庫'!$W$6:$W$10005,MATCH($B352-'設定'!$C$20-'設定'!$C$17,'月1回_1ヶ月前の在庫'!$U$6:$U$10005,0)),INDEX('月1回_2ヶ月前の在庫'!$W$6:$W$10005,MATCH($B352-'設定'!$C$20-'設定'!$C$17-'設定'!$C$18,'月1回_2ヶ月前の在庫'!$U$6:$U$10005,0))))))</f>
        <v/>
      </c>
      <c r="D352">
        <f>IF($C352="","",IFERROR(IF(INDEX('商品マスタ'!$C$6:$C$1005,MATCH($C352,'商品マスタ'!$B$6:$B$1005,0))="",IFERROR(INDEX('①在庫を貼る'!$J$6:$J$10005,MATCH($C352,'①在庫を貼る'!$W$6:$W$10005,0)),IFERROR(INDEX('月1回_1ヶ月前の在庫'!$J$6:$J$10005,MATCH($C352,'月1回_1ヶ月前の在庫'!$W$6:$W$10005,0)),IFERROR(INDEX('月1回_2ヶ月前の在庫'!$J$6:$J$10005,MATCH($C352,'月1回_2ヶ月前の在庫'!$W$6:$W$10005,0)),""))),INDEX('商品マスタ'!$C$6:$C$1005,MATCH($C352,'商品マスタ'!$B$6:$B$1005,0))),IFERROR(INDEX('①在庫を貼る'!$J$6:$J$10005,MATCH($C352,'①在庫を貼る'!$W$6:$W$10005,0)),IFERROR(INDEX('月1回_1ヶ月前の在庫'!$J$6:$J$10005,MATCH($C352,'月1回_1ヶ月前の在庫'!$W$6:$W$10005,0)),IFERROR(INDEX('月1回_2ヶ月前の在庫'!$J$6:$J$10005,MATCH($C352,'月1回_2ヶ月前の在庫'!$W$6:$W$10005,0)),"")))))</f>
        <v/>
      </c>
      <c r="E352">
        <f>IF($C352="","",IFERROR(IF(INDEX('商品マスタ'!$D$6:$D$1005,MATCH($C352,'商品マスタ'!$B$6:$B$1005,0))="",IFERROR(INDEX('①在庫を貼る'!$H$6:$H$10005,MATCH($C352,'①在庫を貼る'!$W$6:$W$10005,0)),IFERROR(INDEX('月1回_1ヶ月前の在庫'!$H$6:$H$10005,MATCH($C352,'月1回_1ヶ月前の在庫'!$W$6:$W$10005,0)),IFERROR(INDEX('月1回_2ヶ月前の在庫'!$H$6:$H$10005,MATCH($C352,'月1回_2ヶ月前の在庫'!$W$6:$W$10005,0)),""))),INDEX('商品マスタ'!$D$6:$D$1005,MATCH($C352,'商品マスタ'!$B$6:$B$1005,0))),IFERROR(INDEX('①在庫を貼る'!$H$6:$H$10005,MATCH($C352,'①在庫を貼る'!$W$6:$W$10005,0)),IFERROR(INDEX('月1回_1ヶ月前の在庫'!$H$6:$H$10005,MATCH($C352,'月1回_1ヶ月前の在庫'!$W$6:$W$10005,0)),IFERROR(INDEX('月1回_2ヶ月前の在庫'!$H$6:$H$10005,MATCH($C352,'月1回_2ヶ月前の在庫'!$W$6:$W$10005,0)),"")))))</f>
        <v/>
      </c>
      <c r="F352">
        <f>IF($C352="","",IFERROR(IF(INDEX('商品マスタ'!$E$6:$E$1005,MATCH($C352,'商品マスタ'!$B$6:$B$1005,0))="",IFERROR(INDEX('①在庫を貼る'!$E$6:$E$10005,MATCH($C352,'①在庫を貼る'!$W$6:$W$10005,0)),IFERROR(INDEX('月1回_1ヶ月前の在庫'!$E$6:$E$10005,MATCH($C352,'月1回_1ヶ月前の在庫'!$W$6:$W$10005,0)),IFERROR(INDEX('月1回_2ヶ月前の在庫'!$E$6:$E$10005,MATCH($C352,'月1回_2ヶ月前の在庫'!$W$6:$W$10005,0)),""))),INDEX('商品マスタ'!$E$6:$E$1005,MATCH($C352,'商品マスタ'!$B$6:$B$1005,0))),IFERROR(INDEX('①在庫を貼る'!$E$6:$E$10005,MATCH($C352,'①在庫を貼る'!$W$6:$W$10005,0)),IFERROR(INDEX('月1回_1ヶ月前の在庫'!$E$6:$E$10005,MATCH($C352,'月1回_1ヶ月前の在庫'!$W$6:$W$10005,0)),IFERROR(INDEX('月1回_2ヶ月前の在庫'!$E$6:$E$10005,MATCH($C352,'月1回_2ヶ月前の在庫'!$W$6:$W$10005,0)),"")))))</f>
        <v/>
      </c>
      <c r="G352">
        <f>IF($C352="","",MAX(1,N(IFERROR(IF(INDEX('商品マスタ'!$F$6:$F$1005,MATCH($C352,'商品マスタ'!$B$6:$B$1005,0))="",IF(COUNTIFS('①在庫を貼る'!$V$6:$V$10005,'設定'!$C$4,'①在庫を貼る'!$W$6:$W$10005,$C352)&gt;0,SUMIFS('①在庫を貼る'!$K$6:$K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K$6:$K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K$6:$K$10005,'月1回_2ヶ月前の在庫'!$V$6:$V$10005,'設定'!$C$4,'月1回_2ヶ月前の在庫'!$W$6:$W$10005,$C352)/COUNTIFS('月1回_2ヶ月前の在庫'!$V$6:$V$10005,'設定'!$C$4,'月1回_2ヶ月前の在庫'!$W$6:$W$10005,$C352),0))),INDEX('商品マスタ'!$F$6:$F$1005,MATCH($C352,'商品マスタ'!$B$6:$B$1005,0))),IF(COUNTIFS('①在庫を貼る'!$V$6:$V$10005,'設定'!$C$4,'①在庫を貼る'!$W$6:$W$10005,$C352)&gt;0,SUMIFS('①在庫を貼る'!$K$6:$K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K$6:$K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K$6:$K$10005,'月1回_2ヶ月前の在庫'!$V$6:$V$10005,'設定'!$C$4,'月1回_2ヶ月前の在庫'!$W$6:$W$10005,$C352)/COUNTIFS('月1回_2ヶ月前の在庫'!$V$6:$V$10005,'設定'!$C$4,'月1回_2ヶ月前の在庫'!$W$6:$W$10005,$C352),0)))))))</f>
        <v/>
      </c>
      <c r="H352">
        <f>IF($C352="","",N(IFERROR(IF(INDEX('商品マスタ'!$G$6:$G$1005,MATCH($C352,'商品マスタ'!$B$6:$B$1005,0))="",IF(COUNTIFS('①在庫を貼る'!$V$6:$V$10005,'設定'!$C$4,'①在庫を貼る'!$W$6:$W$10005,$C352)&gt;0,SUMIFS('①在庫を貼る'!$Q$6:$Q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Q$6:$Q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Q$6:$Q$10005,'月1回_2ヶ月前の在庫'!$V$6:$V$10005,'設定'!$C$4,'月1回_2ヶ月前の在庫'!$W$6:$W$10005,$C352)/COUNTIFS('月1回_2ヶ月前の在庫'!$V$6:$V$10005,'設定'!$C$4,'月1回_2ヶ月前の在庫'!$W$6:$W$10005,$C352),0))),INDEX('商品マスタ'!$G$6:$G$1005,MATCH($C352,'商品マスタ'!$B$6:$B$1005,0))),IF(COUNTIFS('①在庫を貼る'!$V$6:$V$10005,'設定'!$C$4,'①在庫を貼る'!$W$6:$W$10005,$C352)&gt;0,SUMIFS('①在庫を貼る'!$Q$6:$Q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Q$6:$Q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Q$6:$Q$10005,'月1回_2ヶ月前の在庫'!$V$6:$V$10005,'設定'!$C$4,'月1回_2ヶ月前の在庫'!$W$6:$W$10005,$C352)/COUNTIFS('月1回_2ヶ月前の在庫'!$V$6:$V$10005,'設定'!$C$4,'月1回_2ヶ月前の在庫'!$W$6:$W$10005,$C352),0))))))</f>
        <v/>
      </c>
      <c r="I352">
        <f>IF($C352="","",IF(COUNTIFS('①在庫を貼る'!$V$6:$V$10005,'設定'!$C$4,'①在庫を貼る'!$W$6:$W$10005,$C352)=0,"",SUMIFS('①在庫を貼る'!$N$6:$N$10005,'①在庫を貼る'!$V$6:$V$10005,'設定'!$C$4,'①在庫を貼る'!$W$6:$W$10005,$C352)))</f>
        <v/>
      </c>
      <c r="J352">
        <f>IF($C352="","",IF('②発注する'!$AD356="","",'②発注する'!$AD356))</f>
        <v/>
      </c>
      <c r="K352" s="90">
        <f>IF($C352="","",IF('②発注する'!$AE356="","",'②発注する'!$AE356))</f>
        <v/>
      </c>
      <c r="L352">
        <f>IF($C352="","",IF(AND(ISNUMBER($J352),ISNUMBER($K352),$K352&gt;='設定'!$C$6),$J352,N($I352)))</f>
        <v/>
      </c>
      <c r="M352">
        <f>IF($C352="","",IFERROR(IF(N(INDEX('商品マスタ'!$J$6:$J$1005,MATCH($C352,'商品マスタ'!$B$6:$B$1005,0)))&gt;0,INDEX('商品マスタ'!$J$6:$J$1005,MATCH($C352,'商品マスタ'!$B$6:$B$1005,0)),""),""))</f>
        <v/>
      </c>
      <c r="N352">
        <f>IF($C352="","",IFERROR(IF(N(INDEX('商品マスタ'!$H$6:$H$1005,MATCH($C352,'商品マスタ'!$B$6:$B$1005,0)))&gt;0,INDEX('商品マスタ'!$H$6:$H$1005,MATCH($C352,'商品マスタ'!$B$6:$B$1005,0)),""),""))</f>
        <v/>
      </c>
      <c r="O352">
        <f>IF($C352="","",IF($N352&lt;&gt;"",$N352*$G352,IF(N(IF(COUNTIFS('①在庫を貼る'!$V$6:$V$10005,'設定'!$C$4,'①在庫を貼る'!$W$6:$W$10005,$C352)&gt;0,SUMIFS('①在庫を貼る'!$O$6:$O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O$6:$O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O$6:$O$10005,'月1回_2ヶ月前の在庫'!$V$6:$V$10005,'設定'!$C$4,'月1回_2ヶ月前の在庫'!$W$6:$W$10005,$C352)/COUNTIFS('月1回_2ヶ月前の在庫'!$V$6:$V$10005,'設定'!$C$4,'月1回_2ヶ月前の在庫'!$W$6:$W$10005,$C352),0))))&gt;0,N(IF(COUNTIFS('①在庫を貼る'!$V$6:$V$10005,'設定'!$C$4,'①在庫を貼る'!$W$6:$W$10005,$C352)&gt;0,SUMIFS('①在庫を貼る'!$O$6:$O$10005,'①在庫を貼る'!$V$6:$V$10005,'設定'!$C$4,'①在庫を貼る'!$W$6:$W$10005,$C352)/COUNTIFS('①在庫を貼る'!$V$6:$V$10005,'設定'!$C$4,'①在庫を貼る'!$W$6:$W$10005,$C352),IF(COUNTIFS('月1回_1ヶ月前の在庫'!$V$6:$V$10005,'設定'!$C$4,'月1回_1ヶ月前の在庫'!$W$6:$W$10005,$C352)&gt;0,SUMIFS('月1回_1ヶ月前の在庫'!$O$6:$O$10005,'月1回_1ヶ月前の在庫'!$V$6:$V$10005,'設定'!$C$4,'月1回_1ヶ月前の在庫'!$W$6:$W$10005,$C352)/COUNTIFS('月1回_1ヶ月前の在庫'!$V$6:$V$10005,'設定'!$C$4,'月1回_1ヶ月前の在庫'!$W$6:$W$10005,$C352),IF(COUNTIFS('月1回_2ヶ月前の在庫'!$V$6:$V$10005,'設定'!$C$4,'月1回_2ヶ月前の在庫'!$W$6:$W$10005,$C352)&gt;0,SUMIFS('月1回_2ヶ月前の在庫'!$O$6:$O$10005,'月1回_2ヶ月前の在庫'!$V$6:$V$10005,'設定'!$C$4,'月1回_2ヶ月前の在庫'!$W$6:$W$10005,$C352)/COUNTIFS('月1回_2ヶ月前の在庫'!$V$6:$V$10005,'設定'!$C$4,'月1回_2ヶ月前の在庫'!$W$6:$W$10005,$C352),0)))),"")))</f>
        <v/>
      </c>
      <c r="P352" s="90">
        <f>IF($C352="","",IF('②発注する'!$I356="","",'②発注する'!$I356))</f>
        <v/>
      </c>
      <c r="Q352">
        <f>IF($C352="","",IF('②発注する'!$J356="","",'②発注する'!$J356))</f>
        <v/>
      </c>
      <c r="R352">
        <f>IF($C352="",0,IF(AND(ISNUMBER($P352),ISNUMBER($Q352)),MAX(0,$Q352)*$G352,0))</f>
        <v/>
      </c>
      <c r="S352" s="90">
        <f>IF($C352="","",IF('②発注する'!$M356="","",'②発注する'!$M356))</f>
        <v/>
      </c>
      <c r="T352">
        <f>IF($C352="","",IF('②発注する'!$N356="","",'②発注する'!$N356))</f>
        <v/>
      </c>
      <c r="U352">
        <f>IF($C352="",0,IF(AND(ISNUMBER($S352),ISNUMBER($T352)),MAX(0,$T352)*$G352,0))</f>
        <v/>
      </c>
      <c r="V352">
        <f>IF($C352="",0,IF($M352="",0,MAX(0,$M352)*MAX(0,V$4)/100))</f>
        <v/>
      </c>
      <c r="W352">
        <f>IF($C352="",0,IF($M352="",0,MAX(0,$M352)*MAX(0,W$4)/100))</f>
        <v/>
      </c>
      <c r="X352">
        <f>IF($C352="",0,IF($M352="",0,MAX(0,$M352)*MAX(0,X$4)/100))</f>
        <v/>
      </c>
      <c r="Y352">
        <f>IF($C352="",0,IF($M352="",0,MAX(0,$M352)*MAX(0,Y$4)/100))</f>
        <v/>
      </c>
      <c r="Z352">
        <f>IF($C352="",0,IF($M352="",0,MAX(0,$M352)*MAX(0,Z$4)/100))</f>
        <v/>
      </c>
      <c r="AA352">
        <f>IF($C352="",0,IF($M352="",0,MAX(0,$M352)*MAX(0,AA$4)/100))</f>
        <v/>
      </c>
      <c r="AB352">
        <f>IF($C352="",0,IF($M352="",0,MAX(0,$M352)*MAX(0,AB$4)/100))</f>
        <v/>
      </c>
      <c r="AC352">
        <f>IF($C352="",0,IF($M352="",0,MAX(0,$M352)*MAX(0,AC$4)/100))</f>
        <v/>
      </c>
      <c r="AD352">
        <f>IF($C352="",0,IF($M352="",0,MAX(0,$M352)*MAX(0,AD$4)/100))</f>
        <v/>
      </c>
      <c r="AE352">
        <f>IF($C352="",0,IF($M352="",0,MAX(0,$M352)*MAX(0,AE$4)/100))</f>
        <v/>
      </c>
      <c r="AF352">
        <f>IF($C352="",0,IF($M352="",0,MAX(0,$M352)*MAX(0,AF$4)/100))</f>
        <v/>
      </c>
      <c r="AG352">
        <f>IF($C352="",0,IF($M352="",0,MAX(0,$M352)*MAX(0,AG$4)/100))</f>
        <v/>
      </c>
      <c r="AH352">
        <f>IF($C352="",0,IF($M352="",0,MAX(0,$M352)*MAX(0,AH$4)/100))</f>
        <v/>
      </c>
      <c r="AI352">
        <f>IF($C352="",0,IF($M352="",0,MAX(0,$M352)*MAX(0,AI$4)/100))</f>
        <v/>
      </c>
      <c r="AJ352">
        <f>IF($C352="",0,MAX(0,MAX(0,N($L352))-$V352))</f>
        <v/>
      </c>
      <c r="AK352">
        <f>IF($C352="",0,MAX(0,$AJ352-$W352))</f>
        <v/>
      </c>
      <c r="AL352">
        <f>IF($C352="",0,MAX(0,$AK352-$X352))</f>
        <v/>
      </c>
      <c r="AM352">
        <f>IF($C352="",0,MAX(0,$AL352-$Y352))</f>
        <v/>
      </c>
      <c r="AN352">
        <f>IF($C352="",0,MAX(0,$AM352-$Z352))</f>
        <v/>
      </c>
      <c r="AO352">
        <f>IF($C352="",0,MAX(0,$AN352-$AA352))</f>
        <v/>
      </c>
      <c r="AP352">
        <f>IF($C352="",0,MAX(0,$AO352-$AB352))</f>
        <v/>
      </c>
      <c r="AQ352">
        <f>IF($C352="",0,MAX(0,$AP352-$AC352))</f>
        <v/>
      </c>
      <c r="AR352">
        <f>IF($C352="",0,MAX(0,$AQ352-$AD352))</f>
        <v/>
      </c>
      <c r="AS352">
        <f>IF($C352="",0,MAX(0,$AR352-$AE352))</f>
        <v/>
      </c>
      <c r="AT352">
        <f>IF($C352="",0,MAX(0,$AS352-$AF352))</f>
        <v/>
      </c>
      <c r="AU352">
        <f>IF($C352="",0,MAX(0,$AT352-$AG352))</f>
        <v/>
      </c>
      <c r="AV352">
        <f>IF($C352="",0,MAX(0,$AU352-$AH352))</f>
        <v/>
      </c>
      <c r="AW352">
        <f>IF($C352="",0,MAX(0,$AV352-$AI352))</f>
        <v/>
      </c>
      <c r="AX352">
        <f>IF($C352="",0,MAX(0,MAX(0,N($L352))+IF($P352=V$3,$R352,0)+IF($S352=V$3,$U352,0)-$V352))</f>
        <v/>
      </c>
      <c r="AY352">
        <f>IF($C352="",0,MAX(0,$AX352+IF($P352=W$3,$R352,0)+IF($S352=W$3,$U352,0)-$W352))</f>
        <v/>
      </c>
      <c r="AZ352">
        <f>IF($C352="",0,MAX(0,$AY352+IF($P352=X$3,$R352,0)+IF($S352=X$3,$U352,0)-$X352))</f>
        <v/>
      </c>
      <c r="BA352">
        <f>IF($C352="",0,MAX(0,$AZ352+IF($P352=Y$3,$R352,0)+IF($S352=Y$3,$U352,0)-$Y352))</f>
        <v/>
      </c>
      <c r="BB352">
        <f>IF($C352="",0,MAX(0,$BA352+IF($P352=Z$3,$R352,0)+IF($S352=Z$3,$U352,0)-$Z352))</f>
        <v/>
      </c>
      <c r="BC352">
        <f>IF($C352="",0,MAX(0,$BB352+IF($P352=AA$3,$R352,0)+IF($S352=AA$3,$U352,0)-$AA352))</f>
        <v/>
      </c>
      <c r="BD352">
        <f>IF($C352="",0,MAX(0,$BC352+IF($P352=AB$3,$R352,0)+IF($S352=AB$3,$U352,0)-$AB352))</f>
        <v/>
      </c>
      <c r="BE352">
        <f>IF($C352="",0,MAX(0,$BD352+IF($P352=AC$3,$R352,0)+IF($S352=AC$3,$U352,0)-$AC352))</f>
        <v/>
      </c>
      <c r="BF352">
        <f>IF($C352="",0,MAX(0,$BE352+IF($P352=AD$3,$R352,0)+IF($S352=AD$3,$U352,0)-$AD352))</f>
        <v/>
      </c>
      <c r="BG352">
        <f>IF($C352="",0,MAX(0,$BF352+IF($P352=AE$3,$R352,0)+IF($S352=AE$3,$U352,0)-$AE352))</f>
        <v/>
      </c>
      <c r="BH352">
        <f>IF($C352="",0,MAX(0,$BG352+IF($P352=AF$3,$R352,0)+IF($S352=AF$3,$U352,0)-$AF352))</f>
        <v/>
      </c>
      <c r="BI352">
        <f>IF($C352="",0,MAX(0,$BH352+IF($P352=AG$3,$R352,0)+IF($S352=AG$3,$U352,0)-$AG352))</f>
        <v/>
      </c>
      <c r="BJ352">
        <f>IF($C352="",0,MAX(0,$BI352+IF($P352=AH$3,$R352,0)+IF($S352=AH$3,$U352,0)-$AH352))</f>
        <v/>
      </c>
      <c r="BK352">
        <f>IF($C352="",0,MAX(0,$BJ352+IF($P352=AI$3,$R352,0)+IF($S352=AI$3,$U352,0)-$AI352))</f>
        <v/>
      </c>
      <c r="BL352">
        <f>IF($C352="",99,IF(AND($AX352&lt;1,V$3&gt;=MAX(N($P352),N($S352))),0,99))</f>
        <v/>
      </c>
      <c r="BM352">
        <f>IF($C352="",99,IF(AND($AY352&lt;1,W$3&gt;=MAX(N($P352),N($S352))),1,99))</f>
        <v/>
      </c>
      <c r="BN352">
        <f>IF($C352="",99,IF(AND($AZ352&lt;1,X$3&gt;=MAX(N($P352),N($S352))),2,99))</f>
        <v/>
      </c>
      <c r="BO352">
        <f>IF($C352="",99,IF(AND($BA352&lt;1,Y$3&gt;=MAX(N($P352),N($S352))),3,99))</f>
        <v/>
      </c>
      <c r="BP352">
        <f>IF($C352="",99,IF(AND($BB352&lt;1,Z$3&gt;=MAX(N($P352),N($S352))),4,99))</f>
        <v/>
      </c>
      <c r="BQ352">
        <f>IF($C352="",99,IF(AND($BC352&lt;1,AA$3&gt;=MAX(N($P352),N($S352))),5,99))</f>
        <v/>
      </c>
      <c r="BR352">
        <f>IF($C352="",99,IF(AND($BD352&lt;1,AB$3&gt;=MAX(N($P352),N($S352))),6,99))</f>
        <v/>
      </c>
      <c r="BS352">
        <f>IF($C352="",99,IF(AND($BE352&lt;1,AC$3&gt;=MAX(N($P352),N($S352))),7,99))</f>
        <v/>
      </c>
      <c r="BT352">
        <f>IF($C352="",99,IF(AND($BF352&lt;1,AD$3&gt;=MAX(N($P352),N($S352))),8,99))</f>
        <v/>
      </c>
      <c r="BU352">
        <f>IF($C352="",99,IF(AND($BG352&lt;1,AE$3&gt;=MAX(N($P352),N($S352))),9,99))</f>
        <v/>
      </c>
      <c r="BV352">
        <f>IF($C352="",99,IF(AND($BH352&lt;1,AF$3&gt;=MAX(N($P352),N($S352))),10,99))</f>
        <v/>
      </c>
      <c r="BW352">
        <f>IF($C352="",99,IF(AND($BI352&lt;1,AG$3&gt;=MAX(N($P352),N($S352))),11,99))</f>
        <v/>
      </c>
      <c r="BX352">
        <f>IF($C352="",99,IF(AND($BJ352&lt;1,AH$3&gt;=MAX(N($P352),N($S352))),12,99))</f>
        <v/>
      </c>
      <c r="BY352">
        <f>IF($C352="",99,IF(AND($BK352&lt;1,AI$3&gt;=MAX(N($P352),N($S352))),13,99))</f>
        <v/>
      </c>
      <c r="BZ352">
        <f>IF(OR($C352="",$M352=""),"",COUNTIF($AJ352:$AW352,"&gt;=1"))</f>
        <v/>
      </c>
      <c r="CA352" s="90">
        <f>IF($BZ352="","",IF($BZ352&gt;=14,"",'設定'!$C$6+$BZ352))</f>
        <v/>
      </c>
      <c r="CB352">
        <f>IF(OR($C352="",$M352=""),"",MIN($BL352:$BY352))</f>
        <v/>
      </c>
      <c r="CC352" s="90">
        <f>IF($CB352="","",IF($CB352&gt;=99,"",'設定'!$C$6+$CB352))</f>
        <v/>
      </c>
      <c r="CD352">
        <f>IF(OR($C352="",$M352=""),"",AVERAGE($V352:$AI352))</f>
        <v/>
      </c>
      <c r="CE352">
        <f>IF($C352="","",IFERROR(IF(MATCH(IF(ISNUMBER($P352),$P352,'設定'!$C$6+N('設定'!$C$7)),$V$3:$AI$3,0)=1,MAX(0,N($L352)),INDEX($AJ352:$AW352,MATCH(IF(ISNUMBER($P352),$P352,'設定'!$C$6+N('設定'!$C$7)),$V$3:$AI$3,0)-1)),""))</f>
        <v/>
      </c>
      <c r="CF352">
        <f>IF(OR($C352="",$O352="",$CE352=""),"",IF($O352-$CE352&lt;=0,0,ROUNDUP(($O352-$CE352)/$G352,0)))</f>
        <v/>
      </c>
      <c r="CG352">
        <f>IF(OR($C352="",$CF352="",NOT(ISNUMBER($Q352))),0,MAX(0,$Q352-$CF352))</f>
        <v/>
      </c>
      <c r="CH352">
        <f>IF(OR($C352="",$O352="",$U352=0),0,IFERROR(ROUNDUP(MAX(0,IF(MATCH($S352,$V$3:$AI$3,0)=1,MAX(0,N($L352)),INDEX($AX352:$BK352,MATCH($S352,$V$3:$AI$3,0)-1))+$U352-$O352)/$G352,0),0))</f>
        <v/>
      </c>
      <c r="CI352">
        <f>IF($C352="","",IF(AND($P352="",$Q352=""),"",IF($P352="","⚠ 入庫日を ▼ から選んでください",IF(NOT(ISNUMBER($P352)),"⚠ 入庫日は ▼ から選んでください",IF($P352&lt;N('設定'!$C$6),"⚠ 入庫日が過去です（もう在庫に入っています）→ 消してください",IF($P352&gt;N('設定'!$C$6)+13,"⚠ 入庫日が14日より先です",IF(N($Q352)&lt;=0,"⚠ 入庫数を入れてください",IF($CG352&gt;0,"⚠ 目安より "&amp;$CG352&amp;" 多い（定数を超える）→ 減らす",""))))))))</f>
        <v/>
      </c>
      <c r="CJ352">
        <f>IF($C352="","",IF(AND($S352="",$T352=""),"",IF($S352="","⚠ 2便目：入庫日を ▼ から選んでください",IF(NOT(ISNUMBER($S352)),"⚠ 2便目：入庫日は ▼ から選んでください",IF($S352&lt;N('設定'!$C$6),"⚠ 2便目：入庫日が過去です（もう在庫に入っています）→ 消してください",IF($S352&gt;N('設定'!$C$6)+13,"⚠ 2便目：入庫日が14日より先です",IF(N($T352)&lt;=0,"⚠ 2便目：入庫数を入れてください",IF($CH352&gt;0,"⚠ 2便目：定数を "&amp;$CH352&amp;" ケース超える → 減らす",""))))))))</f>
        <v/>
      </c>
      <c r="CK352">
        <f>IF(AND($CI352="",N($Q352)&gt;0,ISNUMBER($P352)),1,0)</f>
        <v/>
      </c>
      <c r="CL352">
        <f>IF(AND($CJ352="",N($T352)&gt;0,ISNUMBER($S352)),1,0)</f>
        <v/>
      </c>
      <c r="CM352">
        <f>IF(OR($CK352=1,$CL352=1),1,0)</f>
        <v/>
      </c>
      <c r="CN352">
        <f>IF($C352="",0,($CK352*$R352+$CL352*$U352)*N($H352))</f>
        <v/>
      </c>
      <c r="CO352">
        <f>IF($C352="","",IF($CC352="","入庫後は 14日以上もつ",IF($CC352-N('設定'!$C$7)&lt;='設定'!$C$6,"入庫後も "&amp;TEXT($CC352,"m/d")&amp;"("&amp;CHOOSE(WEEKDAY($CC352),"日","月","火","水","木","金","土")&amp;")"&amp;" に切れる　もう1便を至急発注","入庫後も "&amp;TEXT($CC352,"m/d")&amp;"("&amp;CHOOSE(WEEKDAY($CC352),"日","月","火","水","木","金","土")&amp;")"&amp;" に切れる　"&amp;TEXT($CC352-N('設定'!$C$7),"m/d")&amp;"("&amp;CHOOSE(WEEKDAY($CC352-N('設定'!$C$7)),"日","月","火","水","木","金","土")&amp;")"&amp;" までに次を発注")))</f>
        <v/>
      </c>
      <c r="CP352">
        <f>IF($C352="","",IF('設定'!$C$6="","？ ①在庫を貼る に今日のCSVが貼られていない",IF($CS352=1,"－ 今日のCSVに無い（終売？）",IF($L352&lt;0,"● 在庫がマイナス　数えて「数えた在庫」に入れる",IF($L352=0,"● 在庫なし　至急発注",IF($M352="","？ 減り数が未設定（商品マスタ）",IF($B$3=0,"？ 動員が未入力（動員を入れる）",IF($CA352="","○ 14日以上もつ",IF($BZ352&lt;N('設定'!$C$7),"● "&amp;TEXT($CA352,"m/d")&amp;"("&amp;CHOOSE(WEEKDAY($CA352),"日","月","火","水","木","金","土")&amp;")"&amp;" に切れる　至急発注",IF($BZ352=N('設定'!$C$7),"● "&amp;TEXT($CA352,"m/d")&amp;"("&amp;CHOOSE(WEEKDAY($CA352),"日","月","火","水","木","金","土")&amp;")"&amp;" に切れる　今日発注","△ "&amp;TEXT($CA352,"m/d")&amp;"("&amp;CHOOSE(WEEKDAY($CA352),"日","月","火","水","木","金","土")&amp;")"&amp;" に切れる　"&amp;TEXT($CA352-N('設定'!$C$7),"m/d")&amp;"("&amp;CHOOSE(WEEKDAY($CA352-N('設定'!$C$7)),"日","月","火","水","木","金","土")&amp;")"&amp;" までに発注"))))))))))</f>
        <v/>
      </c>
      <c r="CQ352">
        <f>IF($C352="","",IF(AND($P352="",$Q352="",$S352="",$T352=""),"",IF(AND($P352="",$Q352=""),"⚠ 先に1便目（左の入庫日・入庫数）に入れてください",IF($CI352&lt;&gt;"",$CI352,IF($CJ352&lt;&gt;"",$CJ352,IF($M352="","？ 減り数が未設定（発注書には載ります）",IF($B$3=0,"？ 動員が未入力（発注書には載ります）",IF(AND($CA352&lt;&gt;"",$P352&gt;$CA352),IF($P352&gt;'設定'!$C$6+N('設定'!$C$7),"● "&amp;TEXT($P352,"m/d")&amp;"("&amp;CHOOSE(WEEKDAY($P352),"日","月","火","水","木","金","土")&amp;")"&amp;" の入庫では間に合わない（"&amp;TEXT($CA352,"m/d")&amp;"("&amp;CHOOSE(WEEKDAY($CA352),"日","月","火","水","木","金","土")&amp;")"&amp;" に切れる）　入庫日を早める","△ 欠品 "&amp;TEXT($CA352,"m/d")&amp;"("&amp;CHOOSE(WEEKDAY($CA352),"日","月","火","水","木","金","土")&amp;")"&amp;"〜"&amp;TEXT($P352-1,"m/d")&amp;"("&amp;CHOOSE(WEEKDAY($P352-1),"日","月","火","水","木","金","土")&amp;")"&amp;"　"&amp;$CO352),IF($CC352="","○ "&amp;TEXT($P352,"m/d")&amp;"("&amp;CHOOSE(WEEKDAY($P352),"日","月","火","水","木","金","土")&amp;")"&amp;" 入庫で 14日以上もつ",IF($CC352-N('設定'!$C$7)&lt;='設定'!$C$6,"● 入庫しても "&amp;TEXT($CC352,"m/d")&amp;"("&amp;CHOOSE(WEEKDAY($CC352),"日","月","火","水","木","金","土")&amp;")"&amp;" に切れる　もう1便を至急発注（2便目に入れる）","△ 入庫しても "&amp;TEXT($CC352,"m/d")&amp;"("&amp;CHOOSE(WEEKDAY($CC352),"日","月","火","水","木","金","土")&amp;")"&amp;" に切れる　"&amp;TEXT($CC352-N('設定'!$C$7),"m/d")&amp;"("&amp;CHOOSE(WEEKDAY($CC352-N('設定'!$C$7)),"日","月","火","水","木","金","土")&amp;")"&amp;" までに次を発注（2便目に入れる）"))))))))))</f>
        <v/>
      </c>
      <c r="CR352">
        <f>IF($C352="","",IF($G352&gt;1,"ｹｰｽ("&amp;$G352&amp;"入)","個"))</f>
        <v/>
      </c>
      <c r="CS352">
        <f>IF($C352="",0,IF(COUNTIFS('①在庫を貼る'!$V$6:$V$10005,'設定'!$C$4,'①在庫を貼る'!$W$6:$W$10005,$C352)=0,1,0))</f>
        <v/>
      </c>
      <c r="CT352">
        <f>IF(AND($CK352=1,OR('③発注書'!$C$4="すべて",'③発注書'!$C$4="",$F352='③発注書'!$C$4)),N($CT351)+1,N($CT351))</f>
        <v/>
      </c>
      <c r="CU352">
        <f>IF(AND($CL352=1,OR('③発注書'!$C$4="すべて",'③発注書'!$C$4="",$F352='③発注書'!$C$4)),N($CU351)+1,N($CU351))</f>
        <v/>
      </c>
      <c r="CV352">
        <f>IF($C352="",0,IF(COUNTIFS('①在庫を貼る'!$V$6:$V$10005,'設定'!$C$4,'①在庫を貼る'!$W$6:$W$10005,$C352)&gt;0,1,0))</f>
        <v/>
      </c>
      <c r="CW352">
        <f>IF($C352="",0,IF(COUNTIFS('月1回_1ヶ月前の在庫'!$V$6:$V$10005,'設定'!$C$4,'月1回_1ヶ月前の在庫'!$W$6:$W$10005,$C352)&gt;0,1,0))</f>
        <v/>
      </c>
      <c r="CX352">
        <f>IF($C352="",0,IF(COUNTIFS('月1回_2ヶ月前の在庫'!$V$6:$V$10005,'設定'!$C$4,'月1回_2ヶ月前の在庫'!$W$6:$W$10005,$C352)&gt;0,1,0))</f>
        <v/>
      </c>
      <c r="CY352">
        <f>IF(OR($C352="",'設定'!$C$12=""),"",IF('設定'!$C$13="",IF(AND($CV352=1,$CW352=0),"新商品（今月から）",IF(AND($CV352=0,$CW352=1),"終売（今月から）","")),IF(AND($CV352=1,$CW352=0,$CX352=0),"新商品（今月から）",IF(AND($CV352=1,$CW352=1,$CX352=0),"新商品（先月から）",IF(AND($CV352=0,$CW352=1,$CX352=1),"終売（今月から）",IF(AND($CV352=0,$CW352=0,$CX352=1),"終売（先月から）",IF(AND($CV352=1,$CW352=0,$CX352=1),"復活（先月は無し）","")))))))</f>
        <v/>
      </c>
    </row>
    <row r="353">
      <c r="B353">
        <f>IF(348&lt;='設定'!$C$11,348,"")</f>
        <v/>
      </c>
      <c r="C353">
        <f>IF($B353="","",IF($B353&lt;='設定'!$C$20,INDEX('商品マスタ'!$B$6:$B$1005,MATCH($B353,'商品マスタ'!$M$6:$M$1005,0)),IF($B353&lt;='設定'!$C$20+'設定'!$C$17,INDEX('①在庫を貼る'!$W$6:$W$10005,MATCH($B353-'設定'!$C$20,'①在庫を貼る'!$U$6:$U$10005,0)),IF($B353&lt;='設定'!$C$20+'設定'!$C$17+'設定'!$C$18,INDEX('月1回_1ヶ月前の在庫'!$W$6:$W$10005,MATCH($B353-'設定'!$C$20-'設定'!$C$17,'月1回_1ヶ月前の在庫'!$U$6:$U$10005,0)),INDEX('月1回_2ヶ月前の在庫'!$W$6:$W$10005,MATCH($B353-'設定'!$C$20-'設定'!$C$17-'設定'!$C$18,'月1回_2ヶ月前の在庫'!$U$6:$U$10005,0))))))</f>
        <v/>
      </c>
      <c r="D353">
        <f>IF($C353="","",IFERROR(IF(INDEX('商品マスタ'!$C$6:$C$1005,MATCH($C353,'商品マスタ'!$B$6:$B$1005,0))="",IFERROR(INDEX('①在庫を貼る'!$J$6:$J$10005,MATCH($C353,'①在庫を貼る'!$W$6:$W$10005,0)),IFERROR(INDEX('月1回_1ヶ月前の在庫'!$J$6:$J$10005,MATCH($C353,'月1回_1ヶ月前の在庫'!$W$6:$W$10005,0)),IFERROR(INDEX('月1回_2ヶ月前の在庫'!$J$6:$J$10005,MATCH($C353,'月1回_2ヶ月前の在庫'!$W$6:$W$10005,0)),""))),INDEX('商品マスタ'!$C$6:$C$1005,MATCH($C353,'商品マスタ'!$B$6:$B$1005,0))),IFERROR(INDEX('①在庫を貼る'!$J$6:$J$10005,MATCH($C353,'①在庫を貼る'!$W$6:$W$10005,0)),IFERROR(INDEX('月1回_1ヶ月前の在庫'!$J$6:$J$10005,MATCH($C353,'月1回_1ヶ月前の在庫'!$W$6:$W$10005,0)),IFERROR(INDEX('月1回_2ヶ月前の在庫'!$J$6:$J$10005,MATCH($C353,'月1回_2ヶ月前の在庫'!$W$6:$W$10005,0)),"")))))</f>
        <v/>
      </c>
      <c r="E353">
        <f>IF($C353="","",IFERROR(IF(INDEX('商品マスタ'!$D$6:$D$1005,MATCH($C353,'商品マスタ'!$B$6:$B$1005,0))="",IFERROR(INDEX('①在庫を貼る'!$H$6:$H$10005,MATCH($C353,'①在庫を貼る'!$W$6:$W$10005,0)),IFERROR(INDEX('月1回_1ヶ月前の在庫'!$H$6:$H$10005,MATCH($C353,'月1回_1ヶ月前の在庫'!$W$6:$W$10005,0)),IFERROR(INDEX('月1回_2ヶ月前の在庫'!$H$6:$H$10005,MATCH($C353,'月1回_2ヶ月前の在庫'!$W$6:$W$10005,0)),""))),INDEX('商品マスタ'!$D$6:$D$1005,MATCH($C353,'商品マスタ'!$B$6:$B$1005,0))),IFERROR(INDEX('①在庫を貼る'!$H$6:$H$10005,MATCH($C353,'①在庫を貼る'!$W$6:$W$10005,0)),IFERROR(INDEX('月1回_1ヶ月前の在庫'!$H$6:$H$10005,MATCH($C353,'月1回_1ヶ月前の在庫'!$W$6:$W$10005,0)),IFERROR(INDEX('月1回_2ヶ月前の在庫'!$H$6:$H$10005,MATCH($C353,'月1回_2ヶ月前の在庫'!$W$6:$W$10005,0)),"")))))</f>
        <v/>
      </c>
      <c r="F353">
        <f>IF($C353="","",IFERROR(IF(INDEX('商品マスタ'!$E$6:$E$1005,MATCH($C353,'商品マスタ'!$B$6:$B$1005,0))="",IFERROR(INDEX('①在庫を貼る'!$E$6:$E$10005,MATCH($C353,'①在庫を貼る'!$W$6:$W$10005,0)),IFERROR(INDEX('月1回_1ヶ月前の在庫'!$E$6:$E$10005,MATCH($C353,'月1回_1ヶ月前の在庫'!$W$6:$W$10005,0)),IFERROR(INDEX('月1回_2ヶ月前の在庫'!$E$6:$E$10005,MATCH($C353,'月1回_2ヶ月前の在庫'!$W$6:$W$10005,0)),""))),INDEX('商品マスタ'!$E$6:$E$1005,MATCH($C353,'商品マスタ'!$B$6:$B$1005,0))),IFERROR(INDEX('①在庫を貼る'!$E$6:$E$10005,MATCH($C353,'①在庫を貼る'!$W$6:$W$10005,0)),IFERROR(INDEX('月1回_1ヶ月前の在庫'!$E$6:$E$10005,MATCH($C353,'月1回_1ヶ月前の在庫'!$W$6:$W$10005,0)),IFERROR(INDEX('月1回_2ヶ月前の在庫'!$E$6:$E$10005,MATCH($C353,'月1回_2ヶ月前の在庫'!$W$6:$W$10005,0)),"")))))</f>
        <v/>
      </c>
      <c r="G353">
        <f>IF($C353="","",MAX(1,N(IFERROR(IF(INDEX('商品マスタ'!$F$6:$F$1005,MATCH($C353,'商品マスタ'!$B$6:$B$1005,0))="",IF(COUNTIFS('①在庫を貼る'!$V$6:$V$10005,'設定'!$C$4,'①在庫を貼る'!$W$6:$W$10005,$C353)&gt;0,SUMIFS('①在庫を貼る'!$K$6:$K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K$6:$K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K$6:$K$10005,'月1回_2ヶ月前の在庫'!$V$6:$V$10005,'設定'!$C$4,'月1回_2ヶ月前の在庫'!$W$6:$W$10005,$C353)/COUNTIFS('月1回_2ヶ月前の在庫'!$V$6:$V$10005,'設定'!$C$4,'月1回_2ヶ月前の在庫'!$W$6:$W$10005,$C353),0))),INDEX('商品マスタ'!$F$6:$F$1005,MATCH($C353,'商品マスタ'!$B$6:$B$1005,0))),IF(COUNTIFS('①在庫を貼る'!$V$6:$V$10005,'設定'!$C$4,'①在庫を貼る'!$W$6:$W$10005,$C353)&gt;0,SUMIFS('①在庫を貼る'!$K$6:$K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K$6:$K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K$6:$K$10005,'月1回_2ヶ月前の在庫'!$V$6:$V$10005,'設定'!$C$4,'月1回_2ヶ月前の在庫'!$W$6:$W$10005,$C353)/COUNTIFS('月1回_2ヶ月前の在庫'!$V$6:$V$10005,'設定'!$C$4,'月1回_2ヶ月前の在庫'!$W$6:$W$10005,$C353),0)))))))</f>
        <v/>
      </c>
      <c r="H353">
        <f>IF($C353="","",N(IFERROR(IF(INDEX('商品マスタ'!$G$6:$G$1005,MATCH($C353,'商品マスタ'!$B$6:$B$1005,0))="",IF(COUNTIFS('①在庫を貼る'!$V$6:$V$10005,'設定'!$C$4,'①在庫を貼る'!$W$6:$W$10005,$C353)&gt;0,SUMIFS('①在庫を貼る'!$Q$6:$Q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Q$6:$Q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Q$6:$Q$10005,'月1回_2ヶ月前の在庫'!$V$6:$V$10005,'設定'!$C$4,'月1回_2ヶ月前の在庫'!$W$6:$W$10005,$C353)/COUNTIFS('月1回_2ヶ月前の在庫'!$V$6:$V$10005,'設定'!$C$4,'月1回_2ヶ月前の在庫'!$W$6:$W$10005,$C353),0))),INDEX('商品マスタ'!$G$6:$G$1005,MATCH($C353,'商品マスタ'!$B$6:$B$1005,0))),IF(COUNTIFS('①在庫を貼る'!$V$6:$V$10005,'設定'!$C$4,'①在庫を貼る'!$W$6:$W$10005,$C353)&gt;0,SUMIFS('①在庫を貼る'!$Q$6:$Q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Q$6:$Q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Q$6:$Q$10005,'月1回_2ヶ月前の在庫'!$V$6:$V$10005,'設定'!$C$4,'月1回_2ヶ月前の在庫'!$W$6:$W$10005,$C353)/COUNTIFS('月1回_2ヶ月前の在庫'!$V$6:$V$10005,'設定'!$C$4,'月1回_2ヶ月前の在庫'!$W$6:$W$10005,$C353),0))))))</f>
        <v/>
      </c>
      <c r="I353">
        <f>IF($C353="","",IF(COUNTIFS('①在庫を貼る'!$V$6:$V$10005,'設定'!$C$4,'①在庫を貼る'!$W$6:$W$10005,$C353)=0,"",SUMIFS('①在庫を貼る'!$N$6:$N$10005,'①在庫を貼る'!$V$6:$V$10005,'設定'!$C$4,'①在庫を貼る'!$W$6:$W$10005,$C353)))</f>
        <v/>
      </c>
      <c r="J353">
        <f>IF($C353="","",IF('②発注する'!$AD357="","",'②発注する'!$AD357))</f>
        <v/>
      </c>
      <c r="K353" s="90">
        <f>IF($C353="","",IF('②発注する'!$AE357="","",'②発注する'!$AE357))</f>
        <v/>
      </c>
      <c r="L353">
        <f>IF($C353="","",IF(AND(ISNUMBER($J353),ISNUMBER($K353),$K353&gt;='設定'!$C$6),$J353,N($I353)))</f>
        <v/>
      </c>
      <c r="M353">
        <f>IF($C353="","",IFERROR(IF(N(INDEX('商品マスタ'!$J$6:$J$1005,MATCH($C353,'商品マスタ'!$B$6:$B$1005,0)))&gt;0,INDEX('商品マスタ'!$J$6:$J$1005,MATCH($C353,'商品マスタ'!$B$6:$B$1005,0)),""),""))</f>
        <v/>
      </c>
      <c r="N353">
        <f>IF($C353="","",IFERROR(IF(N(INDEX('商品マスタ'!$H$6:$H$1005,MATCH($C353,'商品マスタ'!$B$6:$B$1005,0)))&gt;0,INDEX('商品マスタ'!$H$6:$H$1005,MATCH($C353,'商品マスタ'!$B$6:$B$1005,0)),""),""))</f>
        <v/>
      </c>
      <c r="O353">
        <f>IF($C353="","",IF($N353&lt;&gt;"",$N353*$G353,IF(N(IF(COUNTIFS('①在庫を貼る'!$V$6:$V$10005,'設定'!$C$4,'①在庫を貼る'!$W$6:$W$10005,$C353)&gt;0,SUMIFS('①在庫を貼る'!$O$6:$O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O$6:$O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O$6:$O$10005,'月1回_2ヶ月前の在庫'!$V$6:$V$10005,'設定'!$C$4,'月1回_2ヶ月前の在庫'!$W$6:$W$10005,$C353)/COUNTIFS('月1回_2ヶ月前の在庫'!$V$6:$V$10005,'設定'!$C$4,'月1回_2ヶ月前の在庫'!$W$6:$W$10005,$C353),0))))&gt;0,N(IF(COUNTIFS('①在庫を貼る'!$V$6:$V$10005,'設定'!$C$4,'①在庫を貼る'!$W$6:$W$10005,$C353)&gt;0,SUMIFS('①在庫を貼る'!$O$6:$O$10005,'①在庫を貼る'!$V$6:$V$10005,'設定'!$C$4,'①在庫を貼る'!$W$6:$W$10005,$C353)/COUNTIFS('①在庫を貼る'!$V$6:$V$10005,'設定'!$C$4,'①在庫を貼る'!$W$6:$W$10005,$C353),IF(COUNTIFS('月1回_1ヶ月前の在庫'!$V$6:$V$10005,'設定'!$C$4,'月1回_1ヶ月前の在庫'!$W$6:$W$10005,$C353)&gt;0,SUMIFS('月1回_1ヶ月前の在庫'!$O$6:$O$10005,'月1回_1ヶ月前の在庫'!$V$6:$V$10005,'設定'!$C$4,'月1回_1ヶ月前の在庫'!$W$6:$W$10005,$C353)/COUNTIFS('月1回_1ヶ月前の在庫'!$V$6:$V$10005,'設定'!$C$4,'月1回_1ヶ月前の在庫'!$W$6:$W$10005,$C353),IF(COUNTIFS('月1回_2ヶ月前の在庫'!$V$6:$V$10005,'設定'!$C$4,'月1回_2ヶ月前の在庫'!$W$6:$W$10005,$C353)&gt;0,SUMIFS('月1回_2ヶ月前の在庫'!$O$6:$O$10005,'月1回_2ヶ月前の在庫'!$V$6:$V$10005,'設定'!$C$4,'月1回_2ヶ月前の在庫'!$W$6:$W$10005,$C353)/COUNTIFS('月1回_2ヶ月前の在庫'!$V$6:$V$10005,'設定'!$C$4,'月1回_2ヶ月前の在庫'!$W$6:$W$10005,$C353),0)))),"")))</f>
        <v/>
      </c>
      <c r="P353" s="90">
        <f>IF($C353="","",IF('②発注する'!$I357="","",'②発注する'!$I357))</f>
        <v/>
      </c>
      <c r="Q353">
        <f>IF($C353="","",IF('②発注する'!$J357="","",'②発注する'!$J357))</f>
        <v/>
      </c>
      <c r="R353">
        <f>IF($C353="",0,IF(AND(ISNUMBER($P353),ISNUMBER($Q353)),MAX(0,$Q353)*$G353,0))</f>
        <v/>
      </c>
      <c r="S353" s="90">
        <f>IF($C353="","",IF('②発注する'!$M357="","",'②発注する'!$M357))</f>
        <v/>
      </c>
      <c r="T353">
        <f>IF($C353="","",IF('②発注する'!$N357="","",'②発注する'!$N357))</f>
        <v/>
      </c>
      <c r="U353">
        <f>IF($C353="",0,IF(AND(ISNUMBER($S353),ISNUMBER($T353)),MAX(0,$T353)*$G353,0))</f>
        <v/>
      </c>
      <c r="V353">
        <f>IF($C353="",0,IF($M353="",0,MAX(0,$M353)*MAX(0,V$4)/100))</f>
        <v/>
      </c>
      <c r="W353">
        <f>IF($C353="",0,IF($M353="",0,MAX(0,$M353)*MAX(0,W$4)/100))</f>
        <v/>
      </c>
      <c r="X353">
        <f>IF($C353="",0,IF($M353="",0,MAX(0,$M353)*MAX(0,X$4)/100))</f>
        <v/>
      </c>
      <c r="Y353">
        <f>IF($C353="",0,IF($M353="",0,MAX(0,$M353)*MAX(0,Y$4)/100))</f>
        <v/>
      </c>
      <c r="Z353">
        <f>IF($C353="",0,IF($M353="",0,MAX(0,$M353)*MAX(0,Z$4)/100))</f>
        <v/>
      </c>
      <c r="AA353">
        <f>IF($C353="",0,IF($M353="",0,MAX(0,$M353)*MAX(0,AA$4)/100))</f>
        <v/>
      </c>
      <c r="AB353">
        <f>IF($C353="",0,IF($M353="",0,MAX(0,$M353)*MAX(0,AB$4)/100))</f>
        <v/>
      </c>
      <c r="AC353">
        <f>IF($C353="",0,IF($M353="",0,MAX(0,$M353)*MAX(0,AC$4)/100))</f>
        <v/>
      </c>
      <c r="AD353">
        <f>IF($C353="",0,IF($M353="",0,MAX(0,$M353)*MAX(0,AD$4)/100))</f>
        <v/>
      </c>
      <c r="AE353">
        <f>IF($C353="",0,IF($M353="",0,MAX(0,$M353)*MAX(0,AE$4)/100))</f>
        <v/>
      </c>
      <c r="AF353">
        <f>IF($C353="",0,IF($M353="",0,MAX(0,$M353)*MAX(0,AF$4)/100))</f>
        <v/>
      </c>
      <c r="AG353">
        <f>IF($C353="",0,IF($M353="",0,MAX(0,$M353)*MAX(0,AG$4)/100))</f>
        <v/>
      </c>
      <c r="AH353">
        <f>IF($C353="",0,IF($M353="",0,MAX(0,$M353)*MAX(0,AH$4)/100))</f>
        <v/>
      </c>
      <c r="AI353">
        <f>IF($C353="",0,IF($M353="",0,MAX(0,$M353)*MAX(0,AI$4)/100))</f>
        <v/>
      </c>
      <c r="AJ353">
        <f>IF($C353="",0,MAX(0,MAX(0,N($L353))-$V353))</f>
        <v/>
      </c>
      <c r="AK353">
        <f>IF($C353="",0,MAX(0,$AJ353-$W353))</f>
        <v/>
      </c>
      <c r="AL353">
        <f>IF($C353="",0,MAX(0,$AK353-$X353))</f>
        <v/>
      </c>
      <c r="AM353">
        <f>IF($C353="",0,MAX(0,$AL353-$Y353))</f>
        <v/>
      </c>
      <c r="AN353">
        <f>IF($C353="",0,MAX(0,$AM353-$Z353))</f>
        <v/>
      </c>
      <c r="AO353">
        <f>IF($C353="",0,MAX(0,$AN353-$AA353))</f>
        <v/>
      </c>
      <c r="AP353">
        <f>IF($C353="",0,MAX(0,$AO353-$AB353))</f>
        <v/>
      </c>
      <c r="AQ353">
        <f>IF($C353="",0,MAX(0,$AP353-$AC353))</f>
        <v/>
      </c>
      <c r="AR353">
        <f>IF($C353="",0,MAX(0,$AQ353-$AD353))</f>
        <v/>
      </c>
      <c r="AS353">
        <f>IF($C353="",0,MAX(0,$AR353-$AE353))</f>
        <v/>
      </c>
      <c r="AT353">
        <f>IF($C353="",0,MAX(0,$AS353-$AF353))</f>
        <v/>
      </c>
      <c r="AU353">
        <f>IF($C353="",0,MAX(0,$AT353-$AG353))</f>
        <v/>
      </c>
      <c r="AV353">
        <f>IF($C353="",0,MAX(0,$AU353-$AH353))</f>
        <v/>
      </c>
      <c r="AW353">
        <f>IF($C353="",0,MAX(0,$AV353-$AI353))</f>
        <v/>
      </c>
      <c r="AX353">
        <f>IF($C353="",0,MAX(0,MAX(0,N($L353))+IF($P353=V$3,$R353,0)+IF($S353=V$3,$U353,0)-$V353))</f>
        <v/>
      </c>
      <c r="AY353">
        <f>IF($C353="",0,MAX(0,$AX353+IF($P353=W$3,$R353,0)+IF($S353=W$3,$U353,0)-$W353))</f>
        <v/>
      </c>
      <c r="AZ353">
        <f>IF($C353="",0,MAX(0,$AY353+IF($P353=X$3,$R353,0)+IF($S353=X$3,$U353,0)-$X353))</f>
        <v/>
      </c>
      <c r="BA353">
        <f>IF($C353="",0,MAX(0,$AZ353+IF($P353=Y$3,$R353,0)+IF($S353=Y$3,$U353,0)-$Y353))</f>
        <v/>
      </c>
      <c r="BB353">
        <f>IF($C353="",0,MAX(0,$BA353+IF($P353=Z$3,$R353,0)+IF($S353=Z$3,$U353,0)-$Z353))</f>
        <v/>
      </c>
      <c r="BC353">
        <f>IF($C353="",0,MAX(0,$BB353+IF($P353=AA$3,$R353,0)+IF($S353=AA$3,$U353,0)-$AA353))</f>
        <v/>
      </c>
      <c r="BD353">
        <f>IF($C353="",0,MAX(0,$BC353+IF($P353=AB$3,$R353,0)+IF($S353=AB$3,$U353,0)-$AB353))</f>
        <v/>
      </c>
      <c r="BE353">
        <f>IF($C353="",0,MAX(0,$BD353+IF($P353=AC$3,$R353,0)+IF($S353=AC$3,$U353,0)-$AC353))</f>
        <v/>
      </c>
      <c r="BF353">
        <f>IF($C353="",0,MAX(0,$BE353+IF($P353=AD$3,$R353,0)+IF($S353=AD$3,$U353,0)-$AD353))</f>
        <v/>
      </c>
      <c r="BG353">
        <f>IF($C353="",0,MAX(0,$BF353+IF($P353=AE$3,$R353,0)+IF($S353=AE$3,$U353,0)-$AE353))</f>
        <v/>
      </c>
      <c r="BH353">
        <f>IF($C353="",0,MAX(0,$BG353+IF($P353=AF$3,$R353,0)+IF($S353=AF$3,$U353,0)-$AF353))</f>
        <v/>
      </c>
      <c r="BI353">
        <f>IF($C353="",0,MAX(0,$BH353+IF($P353=AG$3,$R353,0)+IF($S353=AG$3,$U353,0)-$AG353))</f>
        <v/>
      </c>
      <c r="BJ353">
        <f>IF($C353="",0,MAX(0,$BI353+IF($P353=AH$3,$R353,0)+IF($S353=AH$3,$U353,0)-$AH353))</f>
        <v/>
      </c>
      <c r="BK353">
        <f>IF($C353="",0,MAX(0,$BJ353+IF($P353=AI$3,$R353,0)+IF($S353=AI$3,$U353,0)-$AI353))</f>
        <v/>
      </c>
      <c r="BL353">
        <f>IF($C353="",99,IF(AND($AX353&lt;1,V$3&gt;=MAX(N($P353),N($S353))),0,99))</f>
        <v/>
      </c>
      <c r="BM353">
        <f>IF($C353="",99,IF(AND($AY353&lt;1,W$3&gt;=MAX(N($P353),N($S353))),1,99))</f>
        <v/>
      </c>
      <c r="BN353">
        <f>IF($C353="",99,IF(AND($AZ353&lt;1,X$3&gt;=MAX(N($P353),N($S353))),2,99))</f>
        <v/>
      </c>
      <c r="BO353">
        <f>IF($C353="",99,IF(AND($BA353&lt;1,Y$3&gt;=MAX(N($P353),N($S353))),3,99))</f>
        <v/>
      </c>
      <c r="BP353">
        <f>IF($C353="",99,IF(AND($BB353&lt;1,Z$3&gt;=MAX(N($P353),N($S353))),4,99))</f>
        <v/>
      </c>
      <c r="BQ353">
        <f>IF($C353="",99,IF(AND($BC353&lt;1,AA$3&gt;=MAX(N($P353),N($S353))),5,99))</f>
        <v/>
      </c>
      <c r="BR353">
        <f>IF($C353="",99,IF(AND($BD353&lt;1,AB$3&gt;=MAX(N($P353),N($S353))),6,99))</f>
        <v/>
      </c>
      <c r="BS353">
        <f>IF($C353="",99,IF(AND($BE353&lt;1,AC$3&gt;=MAX(N($P353),N($S353))),7,99))</f>
        <v/>
      </c>
      <c r="BT353">
        <f>IF($C353="",99,IF(AND($BF353&lt;1,AD$3&gt;=MAX(N($P353),N($S353))),8,99))</f>
        <v/>
      </c>
      <c r="BU353">
        <f>IF($C353="",99,IF(AND($BG353&lt;1,AE$3&gt;=MAX(N($P353),N($S353))),9,99))</f>
        <v/>
      </c>
      <c r="BV353">
        <f>IF($C353="",99,IF(AND($BH353&lt;1,AF$3&gt;=MAX(N($P353),N($S353))),10,99))</f>
        <v/>
      </c>
      <c r="BW353">
        <f>IF($C353="",99,IF(AND($BI353&lt;1,AG$3&gt;=MAX(N($P353),N($S353))),11,99))</f>
        <v/>
      </c>
      <c r="BX353">
        <f>IF($C353="",99,IF(AND($BJ353&lt;1,AH$3&gt;=MAX(N($P353),N($S353))),12,99))</f>
        <v/>
      </c>
      <c r="BY353">
        <f>IF($C353="",99,IF(AND($BK353&lt;1,AI$3&gt;=MAX(N($P353),N($S353))),13,99))</f>
        <v/>
      </c>
      <c r="BZ353">
        <f>IF(OR($C353="",$M353=""),"",COUNTIF($AJ353:$AW353,"&gt;=1"))</f>
        <v/>
      </c>
      <c r="CA353" s="90">
        <f>IF($BZ353="","",IF($BZ353&gt;=14,"",'設定'!$C$6+$BZ353))</f>
        <v/>
      </c>
      <c r="CB353">
        <f>IF(OR($C353="",$M353=""),"",MIN($BL353:$BY353))</f>
        <v/>
      </c>
      <c r="CC353" s="90">
        <f>IF($CB353="","",IF($CB353&gt;=99,"",'設定'!$C$6+$CB353))</f>
        <v/>
      </c>
      <c r="CD353">
        <f>IF(OR($C353="",$M353=""),"",AVERAGE($V353:$AI353))</f>
        <v/>
      </c>
      <c r="CE353">
        <f>IF($C353="","",IFERROR(IF(MATCH(IF(ISNUMBER($P353),$P353,'設定'!$C$6+N('設定'!$C$7)),$V$3:$AI$3,0)=1,MAX(0,N($L353)),INDEX($AJ353:$AW353,MATCH(IF(ISNUMBER($P353),$P353,'設定'!$C$6+N('設定'!$C$7)),$V$3:$AI$3,0)-1)),""))</f>
        <v/>
      </c>
      <c r="CF353">
        <f>IF(OR($C353="",$O353="",$CE353=""),"",IF($O353-$CE353&lt;=0,0,ROUNDUP(($O353-$CE353)/$G353,0)))</f>
        <v/>
      </c>
      <c r="CG353">
        <f>IF(OR($C353="",$CF353="",NOT(ISNUMBER($Q353))),0,MAX(0,$Q353-$CF353))</f>
        <v/>
      </c>
      <c r="CH353">
        <f>IF(OR($C353="",$O353="",$U353=0),0,IFERROR(ROUNDUP(MAX(0,IF(MATCH($S353,$V$3:$AI$3,0)=1,MAX(0,N($L353)),INDEX($AX353:$BK353,MATCH($S353,$V$3:$AI$3,0)-1))+$U353-$O353)/$G353,0),0))</f>
        <v/>
      </c>
      <c r="CI353">
        <f>IF($C353="","",IF(AND($P353="",$Q353=""),"",IF($P353="","⚠ 入庫日を ▼ から選んでください",IF(NOT(ISNUMBER($P353)),"⚠ 入庫日は ▼ から選んでください",IF($P353&lt;N('設定'!$C$6),"⚠ 入庫日が過去です（もう在庫に入っています）→ 消してください",IF($P353&gt;N('設定'!$C$6)+13,"⚠ 入庫日が14日より先です",IF(N($Q353)&lt;=0,"⚠ 入庫数を入れてください",IF($CG353&gt;0,"⚠ 目安より "&amp;$CG353&amp;" 多い（定数を超える）→ 減らす",""))))))))</f>
        <v/>
      </c>
      <c r="CJ353">
        <f>IF($C353="","",IF(AND($S353="",$T353=""),"",IF($S353="","⚠ 2便目：入庫日を ▼ から選んでください",IF(NOT(ISNUMBER($S353)),"⚠ 2便目：入庫日は ▼ から選んでください",IF($S353&lt;N('設定'!$C$6),"⚠ 2便目：入庫日が過去です（もう在庫に入っています）→ 消してください",IF($S353&gt;N('設定'!$C$6)+13,"⚠ 2便目：入庫日が14日より先です",IF(N($T353)&lt;=0,"⚠ 2便目：入庫数を入れてください",IF($CH353&gt;0,"⚠ 2便目：定数を "&amp;$CH353&amp;" ケース超える → 減らす",""))))))))</f>
        <v/>
      </c>
      <c r="CK353">
        <f>IF(AND($CI353="",N($Q353)&gt;0,ISNUMBER($P353)),1,0)</f>
        <v/>
      </c>
      <c r="CL353">
        <f>IF(AND($CJ353="",N($T353)&gt;0,ISNUMBER($S353)),1,0)</f>
        <v/>
      </c>
      <c r="CM353">
        <f>IF(OR($CK353=1,$CL353=1),1,0)</f>
        <v/>
      </c>
      <c r="CN353">
        <f>IF($C353="",0,($CK353*$R353+$CL353*$U353)*N($H353))</f>
        <v/>
      </c>
      <c r="CO353">
        <f>IF($C353="","",IF($CC353="","入庫後は 14日以上もつ",IF($CC353-N('設定'!$C$7)&lt;='設定'!$C$6,"入庫後も "&amp;TEXT($CC353,"m/d")&amp;"("&amp;CHOOSE(WEEKDAY($CC353),"日","月","火","水","木","金","土")&amp;")"&amp;" に切れる　もう1便を至急発注","入庫後も "&amp;TEXT($CC353,"m/d")&amp;"("&amp;CHOOSE(WEEKDAY($CC353),"日","月","火","水","木","金","土")&amp;")"&amp;" に切れる　"&amp;TEXT($CC353-N('設定'!$C$7),"m/d")&amp;"("&amp;CHOOSE(WEEKDAY($CC353-N('設定'!$C$7)),"日","月","火","水","木","金","土")&amp;")"&amp;" までに次を発注")))</f>
        <v/>
      </c>
      <c r="CP353">
        <f>IF($C353="","",IF('設定'!$C$6="","？ ①在庫を貼る に今日のCSVが貼られていない",IF($CS353=1,"－ 今日のCSVに無い（終売？）",IF($L353&lt;0,"● 在庫がマイナス　数えて「数えた在庫」に入れる",IF($L353=0,"● 在庫なし　至急発注",IF($M353="","？ 減り数が未設定（商品マスタ）",IF($B$3=0,"？ 動員が未入力（動員を入れる）",IF($CA353="","○ 14日以上もつ",IF($BZ353&lt;N('設定'!$C$7),"● "&amp;TEXT($CA353,"m/d")&amp;"("&amp;CHOOSE(WEEKDAY($CA353),"日","月","火","水","木","金","土")&amp;")"&amp;" に切れる　至急発注",IF($BZ353=N('設定'!$C$7),"● "&amp;TEXT($CA353,"m/d")&amp;"("&amp;CHOOSE(WEEKDAY($CA353),"日","月","火","水","木","金","土")&amp;")"&amp;" に切れる　今日発注","△ "&amp;TEXT($CA353,"m/d")&amp;"("&amp;CHOOSE(WEEKDAY($CA353),"日","月","火","水","木","金","土")&amp;")"&amp;" に切れる　"&amp;TEXT($CA353-N('設定'!$C$7),"m/d")&amp;"("&amp;CHOOSE(WEEKDAY($CA353-N('設定'!$C$7)),"日","月","火","水","木","金","土")&amp;")"&amp;" までに発注"))))))))))</f>
        <v/>
      </c>
      <c r="CQ353">
        <f>IF($C353="","",IF(AND($P353="",$Q353="",$S353="",$T353=""),"",IF(AND($P353="",$Q353=""),"⚠ 先に1便目（左の入庫日・入庫数）に入れてください",IF($CI353&lt;&gt;"",$CI353,IF($CJ353&lt;&gt;"",$CJ353,IF($M353="","？ 減り数が未設定（発注書には載ります）",IF($B$3=0,"？ 動員が未入力（発注書には載ります）",IF(AND($CA353&lt;&gt;"",$P353&gt;$CA353),IF($P353&gt;'設定'!$C$6+N('設定'!$C$7),"● "&amp;TEXT($P353,"m/d")&amp;"("&amp;CHOOSE(WEEKDAY($P353),"日","月","火","水","木","金","土")&amp;")"&amp;" の入庫では間に合わない（"&amp;TEXT($CA353,"m/d")&amp;"("&amp;CHOOSE(WEEKDAY($CA353),"日","月","火","水","木","金","土")&amp;")"&amp;" に切れる）　入庫日を早める","△ 欠品 "&amp;TEXT($CA353,"m/d")&amp;"("&amp;CHOOSE(WEEKDAY($CA353),"日","月","火","水","木","金","土")&amp;")"&amp;"〜"&amp;TEXT($P353-1,"m/d")&amp;"("&amp;CHOOSE(WEEKDAY($P353-1),"日","月","火","水","木","金","土")&amp;")"&amp;"　"&amp;$CO353),IF($CC353="","○ "&amp;TEXT($P353,"m/d")&amp;"("&amp;CHOOSE(WEEKDAY($P353),"日","月","火","水","木","金","土")&amp;")"&amp;" 入庫で 14日以上もつ",IF($CC353-N('設定'!$C$7)&lt;='設定'!$C$6,"● 入庫しても "&amp;TEXT($CC353,"m/d")&amp;"("&amp;CHOOSE(WEEKDAY($CC353),"日","月","火","水","木","金","土")&amp;")"&amp;" に切れる　もう1便を至急発注（2便目に入れる）","△ 入庫しても "&amp;TEXT($CC353,"m/d")&amp;"("&amp;CHOOSE(WEEKDAY($CC353),"日","月","火","水","木","金","土")&amp;")"&amp;" に切れる　"&amp;TEXT($CC353-N('設定'!$C$7),"m/d")&amp;"("&amp;CHOOSE(WEEKDAY($CC353-N('設定'!$C$7)),"日","月","火","水","木","金","土")&amp;")"&amp;" までに次を発注（2便目に入れる）"))))))))))</f>
        <v/>
      </c>
      <c r="CR353">
        <f>IF($C353="","",IF($G353&gt;1,"ｹｰｽ("&amp;$G353&amp;"入)","個"))</f>
        <v/>
      </c>
      <c r="CS353">
        <f>IF($C353="",0,IF(COUNTIFS('①在庫を貼る'!$V$6:$V$10005,'設定'!$C$4,'①在庫を貼る'!$W$6:$W$10005,$C353)=0,1,0))</f>
        <v/>
      </c>
      <c r="CT353">
        <f>IF(AND($CK353=1,OR('③発注書'!$C$4="すべて",'③発注書'!$C$4="",$F353='③発注書'!$C$4)),N($CT352)+1,N($CT352))</f>
        <v/>
      </c>
      <c r="CU353">
        <f>IF(AND($CL353=1,OR('③発注書'!$C$4="すべて",'③発注書'!$C$4="",$F353='③発注書'!$C$4)),N($CU352)+1,N($CU352))</f>
        <v/>
      </c>
      <c r="CV353">
        <f>IF($C353="",0,IF(COUNTIFS('①在庫を貼る'!$V$6:$V$10005,'設定'!$C$4,'①在庫を貼る'!$W$6:$W$10005,$C353)&gt;0,1,0))</f>
        <v/>
      </c>
      <c r="CW353">
        <f>IF($C353="",0,IF(COUNTIFS('月1回_1ヶ月前の在庫'!$V$6:$V$10005,'設定'!$C$4,'月1回_1ヶ月前の在庫'!$W$6:$W$10005,$C353)&gt;0,1,0))</f>
        <v/>
      </c>
      <c r="CX353">
        <f>IF($C353="",0,IF(COUNTIFS('月1回_2ヶ月前の在庫'!$V$6:$V$10005,'設定'!$C$4,'月1回_2ヶ月前の在庫'!$W$6:$W$10005,$C353)&gt;0,1,0))</f>
        <v/>
      </c>
      <c r="CY353">
        <f>IF(OR($C353="",'設定'!$C$12=""),"",IF('設定'!$C$13="",IF(AND($CV353=1,$CW353=0),"新商品（今月から）",IF(AND($CV353=0,$CW353=1),"終売（今月から）","")),IF(AND($CV353=1,$CW353=0,$CX353=0),"新商品（今月から）",IF(AND($CV353=1,$CW353=1,$CX353=0),"新商品（先月から）",IF(AND($CV353=0,$CW353=1,$CX353=1),"終売（今月から）",IF(AND($CV353=0,$CW353=0,$CX353=1),"終売（先月から）",IF(AND($CV353=1,$CW353=0,$CX353=1),"復活（先月は無し）","")))))))</f>
        <v/>
      </c>
    </row>
    <row r="354">
      <c r="B354">
        <f>IF(349&lt;='設定'!$C$11,349,"")</f>
        <v/>
      </c>
      <c r="C354">
        <f>IF($B354="","",IF($B354&lt;='設定'!$C$20,INDEX('商品マスタ'!$B$6:$B$1005,MATCH($B354,'商品マスタ'!$M$6:$M$1005,0)),IF($B354&lt;='設定'!$C$20+'設定'!$C$17,INDEX('①在庫を貼る'!$W$6:$W$10005,MATCH($B354-'設定'!$C$20,'①在庫を貼る'!$U$6:$U$10005,0)),IF($B354&lt;='設定'!$C$20+'設定'!$C$17+'設定'!$C$18,INDEX('月1回_1ヶ月前の在庫'!$W$6:$W$10005,MATCH($B354-'設定'!$C$20-'設定'!$C$17,'月1回_1ヶ月前の在庫'!$U$6:$U$10005,0)),INDEX('月1回_2ヶ月前の在庫'!$W$6:$W$10005,MATCH($B354-'設定'!$C$20-'設定'!$C$17-'設定'!$C$18,'月1回_2ヶ月前の在庫'!$U$6:$U$10005,0))))))</f>
        <v/>
      </c>
      <c r="D354">
        <f>IF($C354="","",IFERROR(IF(INDEX('商品マスタ'!$C$6:$C$1005,MATCH($C354,'商品マスタ'!$B$6:$B$1005,0))="",IFERROR(INDEX('①在庫を貼る'!$J$6:$J$10005,MATCH($C354,'①在庫を貼る'!$W$6:$W$10005,0)),IFERROR(INDEX('月1回_1ヶ月前の在庫'!$J$6:$J$10005,MATCH($C354,'月1回_1ヶ月前の在庫'!$W$6:$W$10005,0)),IFERROR(INDEX('月1回_2ヶ月前の在庫'!$J$6:$J$10005,MATCH($C354,'月1回_2ヶ月前の在庫'!$W$6:$W$10005,0)),""))),INDEX('商品マスタ'!$C$6:$C$1005,MATCH($C354,'商品マスタ'!$B$6:$B$1005,0))),IFERROR(INDEX('①在庫を貼る'!$J$6:$J$10005,MATCH($C354,'①在庫を貼る'!$W$6:$W$10005,0)),IFERROR(INDEX('月1回_1ヶ月前の在庫'!$J$6:$J$10005,MATCH($C354,'月1回_1ヶ月前の在庫'!$W$6:$W$10005,0)),IFERROR(INDEX('月1回_2ヶ月前の在庫'!$J$6:$J$10005,MATCH($C354,'月1回_2ヶ月前の在庫'!$W$6:$W$10005,0)),"")))))</f>
        <v/>
      </c>
      <c r="E354">
        <f>IF($C354="","",IFERROR(IF(INDEX('商品マスタ'!$D$6:$D$1005,MATCH($C354,'商品マスタ'!$B$6:$B$1005,0))="",IFERROR(INDEX('①在庫を貼る'!$H$6:$H$10005,MATCH($C354,'①在庫を貼る'!$W$6:$W$10005,0)),IFERROR(INDEX('月1回_1ヶ月前の在庫'!$H$6:$H$10005,MATCH($C354,'月1回_1ヶ月前の在庫'!$W$6:$W$10005,0)),IFERROR(INDEX('月1回_2ヶ月前の在庫'!$H$6:$H$10005,MATCH($C354,'月1回_2ヶ月前の在庫'!$W$6:$W$10005,0)),""))),INDEX('商品マスタ'!$D$6:$D$1005,MATCH($C354,'商品マスタ'!$B$6:$B$1005,0))),IFERROR(INDEX('①在庫を貼る'!$H$6:$H$10005,MATCH($C354,'①在庫を貼る'!$W$6:$W$10005,0)),IFERROR(INDEX('月1回_1ヶ月前の在庫'!$H$6:$H$10005,MATCH($C354,'月1回_1ヶ月前の在庫'!$W$6:$W$10005,0)),IFERROR(INDEX('月1回_2ヶ月前の在庫'!$H$6:$H$10005,MATCH($C354,'月1回_2ヶ月前の在庫'!$W$6:$W$10005,0)),"")))))</f>
        <v/>
      </c>
      <c r="F354">
        <f>IF($C354="","",IFERROR(IF(INDEX('商品マスタ'!$E$6:$E$1005,MATCH($C354,'商品マスタ'!$B$6:$B$1005,0))="",IFERROR(INDEX('①在庫を貼る'!$E$6:$E$10005,MATCH($C354,'①在庫を貼る'!$W$6:$W$10005,0)),IFERROR(INDEX('月1回_1ヶ月前の在庫'!$E$6:$E$10005,MATCH($C354,'月1回_1ヶ月前の在庫'!$W$6:$W$10005,0)),IFERROR(INDEX('月1回_2ヶ月前の在庫'!$E$6:$E$10005,MATCH($C354,'月1回_2ヶ月前の在庫'!$W$6:$W$10005,0)),""))),INDEX('商品マスタ'!$E$6:$E$1005,MATCH($C354,'商品マスタ'!$B$6:$B$1005,0))),IFERROR(INDEX('①在庫を貼る'!$E$6:$E$10005,MATCH($C354,'①在庫を貼る'!$W$6:$W$10005,0)),IFERROR(INDEX('月1回_1ヶ月前の在庫'!$E$6:$E$10005,MATCH($C354,'月1回_1ヶ月前の在庫'!$W$6:$W$10005,0)),IFERROR(INDEX('月1回_2ヶ月前の在庫'!$E$6:$E$10005,MATCH($C354,'月1回_2ヶ月前の在庫'!$W$6:$W$10005,0)),"")))))</f>
        <v/>
      </c>
      <c r="G354">
        <f>IF($C354="","",MAX(1,N(IFERROR(IF(INDEX('商品マスタ'!$F$6:$F$1005,MATCH($C354,'商品マスタ'!$B$6:$B$1005,0))="",IF(COUNTIFS('①在庫を貼る'!$V$6:$V$10005,'設定'!$C$4,'①在庫を貼る'!$W$6:$W$10005,$C354)&gt;0,SUMIFS('①在庫を貼る'!$K$6:$K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K$6:$K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K$6:$K$10005,'月1回_2ヶ月前の在庫'!$V$6:$V$10005,'設定'!$C$4,'月1回_2ヶ月前の在庫'!$W$6:$W$10005,$C354)/COUNTIFS('月1回_2ヶ月前の在庫'!$V$6:$V$10005,'設定'!$C$4,'月1回_2ヶ月前の在庫'!$W$6:$W$10005,$C354),0))),INDEX('商品マスタ'!$F$6:$F$1005,MATCH($C354,'商品マスタ'!$B$6:$B$1005,0))),IF(COUNTIFS('①在庫を貼る'!$V$6:$V$10005,'設定'!$C$4,'①在庫を貼る'!$W$6:$W$10005,$C354)&gt;0,SUMIFS('①在庫を貼る'!$K$6:$K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K$6:$K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K$6:$K$10005,'月1回_2ヶ月前の在庫'!$V$6:$V$10005,'設定'!$C$4,'月1回_2ヶ月前の在庫'!$W$6:$W$10005,$C354)/COUNTIFS('月1回_2ヶ月前の在庫'!$V$6:$V$10005,'設定'!$C$4,'月1回_2ヶ月前の在庫'!$W$6:$W$10005,$C354),0)))))))</f>
        <v/>
      </c>
      <c r="H354">
        <f>IF($C354="","",N(IFERROR(IF(INDEX('商品マスタ'!$G$6:$G$1005,MATCH($C354,'商品マスタ'!$B$6:$B$1005,0))="",IF(COUNTIFS('①在庫を貼る'!$V$6:$V$10005,'設定'!$C$4,'①在庫を貼る'!$W$6:$W$10005,$C354)&gt;0,SUMIFS('①在庫を貼る'!$Q$6:$Q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Q$6:$Q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Q$6:$Q$10005,'月1回_2ヶ月前の在庫'!$V$6:$V$10005,'設定'!$C$4,'月1回_2ヶ月前の在庫'!$W$6:$W$10005,$C354)/COUNTIFS('月1回_2ヶ月前の在庫'!$V$6:$V$10005,'設定'!$C$4,'月1回_2ヶ月前の在庫'!$W$6:$W$10005,$C354),0))),INDEX('商品マスタ'!$G$6:$G$1005,MATCH($C354,'商品マスタ'!$B$6:$B$1005,0))),IF(COUNTIFS('①在庫を貼る'!$V$6:$V$10005,'設定'!$C$4,'①在庫を貼る'!$W$6:$W$10005,$C354)&gt;0,SUMIFS('①在庫を貼る'!$Q$6:$Q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Q$6:$Q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Q$6:$Q$10005,'月1回_2ヶ月前の在庫'!$V$6:$V$10005,'設定'!$C$4,'月1回_2ヶ月前の在庫'!$W$6:$W$10005,$C354)/COUNTIFS('月1回_2ヶ月前の在庫'!$V$6:$V$10005,'設定'!$C$4,'月1回_2ヶ月前の在庫'!$W$6:$W$10005,$C354),0))))))</f>
        <v/>
      </c>
      <c r="I354">
        <f>IF($C354="","",IF(COUNTIFS('①在庫を貼る'!$V$6:$V$10005,'設定'!$C$4,'①在庫を貼る'!$W$6:$W$10005,$C354)=0,"",SUMIFS('①在庫を貼る'!$N$6:$N$10005,'①在庫を貼る'!$V$6:$V$10005,'設定'!$C$4,'①在庫を貼る'!$W$6:$W$10005,$C354)))</f>
        <v/>
      </c>
      <c r="J354">
        <f>IF($C354="","",IF('②発注する'!$AD358="","",'②発注する'!$AD358))</f>
        <v/>
      </c>
      <c r="K354" s="90">
        <f>IF($C354="","",IF('②発注する'!$AE358="","",'②発注する'!$AE358))</f>
        <v/>
      </c>
      <c r="L354">
        <f>IF($C354="","",IF(AND(ISNUMBER($J354),ISNUMBER($K354),$K354&gt;='設定'!$C$6),$J354,N($I354)))</f>
        <v/>
      </c>
      <c r="M354">
        <f>IF($C354="","",IFERROR(IF(N(INDEX('商品マスタ'!$J$6:$J$1005,MATCH($C354,'商品マスタ'!$B$6:$B$1005,0)))&gt;0,INDEX('商品マスタ'!$J$6:$J$1005,MATCH($C354,'商品マスタ'!$B$6:$B$1005,0)),""),""))</f>
        <v/>
      </c>
      <c r="N354">
        <f>IF($C354="","",IFERROR(IF(N(INDEX('商品マスタ'!$H$6:$H$1005,MATCH($C354,'商品マスタ'!$B$6:$B$1005,0)))&gt;0,INDEX('商品マスタ'!$H$6:$H$1005,MATCH($C354,'商品マスタ'!$B$6:$B$1005,0)),""),""))</f>
        <v/>
      </c>
      <c r="O354">
        <f>IF($C354="","",IF($N354&lt;&gt;"",$N354*$G354,IF(N(IF(COUNTIFS('①在庫を貼る'!$V$6:$V$10005,'設定'!$C$4,'①在庫を貼る'!$W$6:$W$10005,$C354)&gt;0,SUMIFS('①在庫を貼る'!$O$6:$O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O$6:$O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O$6:$O$10005,'月1回_2ヶ月前の在庫'!$V$6:$V$10005,'設定'!$C$4,'月1回_2ヶ月前の在庫'!$W$6:$W$10005,$C354)/COUNTIFS('月1回_2ヶ月前の在庫'!$V$6:$V$10005,'設定'!$C$4,'月1回_2ヶ月前の在庫'!$W$6:$W$10005,$C354),0))))&gt;0,N(IF(COUNTIFS('①在庫を貼る'!$V$6:$V$10005,'設定'!$C$4,'①在庫を貼る'!$W$6:$W$10005,$C354)&gt;0,SUMIFS('①在庫を貼る'!$O$6:$O$10005,'①在庫を貼る'!$V$6:$V$10005,'設定'!$C$4,'①在庫を貼る'!$W$6:$W$10005,$C354)/COUNTIFS('①在庫を貼る'!$V$6:$V$10005,'設定'!$C$4,'①在庫を貼る'!$W$6:$W$10005,$C354),IF(COUNTIFS('月1回_1ヶ月前の在庫'!$V$6:$V$10005,'設定'!$C$4,'月1回_1ヶ月前の在庫'!$W$6:$W$10005,$C354)&gt;0,SUMIFS('月1回_1ヶ月前の在庫'!$O$6:$O$10005,'月1回_1ヶ月前の在庫'!$V$6:$V$10005,'設定'!$C$4,'月1回_1ヶ月前の在庫'!$W$6:$W$10005,$C354)/COUNTIFS('月1回_1ヶ月前の在庫'!$V$6:$V$10005,'設定'!$C$4,'月1回_1ヶ月前の在庫'!$W$6:$W$10005,$C354),IF(COUNTIFS('月1回_2ヶ月前の在庫'!$V$6:$V$10005,'設定'!$C$4,'月1回_2ヶ月前の在庫'!$W$6:$W$10005,$C354)&gt;0,SUMIFS('月1回_2ヶ月前の在庫'!$O$6:$O$10005,'月1回_2ヶ月前の在庫'!$V$6:$V$10005,'設定'!$C$4,'月1回_2ヶ月前の在庫'!$W$6:$W$10005,$C354)/COUNTIFS('月1回_2ヶ月前の在庫'!$V$6:$V$10005,'設定'!$C$4,'月1回_2ヶ月前の在庫'!$W$6:$W$10005,$C354),0)))),"")))</f>
        <v/>
      </c>
      <c r="P354" s="90">
        <f>IF($C354="","",IF('②発注する'!$I358="","",'②発注する'!$I358))</f>
        <v/>
      </c>
      <c r="Q354">
        <f>IF($C354="","",IF('②発注する'!$J358="","",'②発注する'!$J358))</f>
        <v/>
      </c>
      <c r="R354">
        <f>IF($C354="",0,IF(AND(ISNUMBER($P354),ISNUMBER($Q354)),MAX(0,$Q354)*$G354,0))</f>
        <v/>
      </c>
      <c r="S354" s="90">
        <f>IF($C354="","",IF('②発注する'!$M358="","",'②発注する'!$M358))</f>
        <v/>
      </c>
      <c r="T354">
        <f>IF($C354="","",IF('②発注する'!$N358="","",'②発注する'!$N358))</f>
        <v/>
      </c>
      <c r="U354">
        <f>IF($C354="",0,IF(AND(ISNUMBER($S354),ISNUMBER($T354)),MAX(0,$T354)*$G354,0))</f>
        <v/>
      </c>
      <c r="V354">
        <f>IF($C354="",0,IF($M354="",0,MAX(0,$M354)*MAX(0,V$4)/100))</f>
        <v/>
      </c>
      <c r="W354">
        <f>IF($C354="",0,IF($M354="",0,MAX(0,$M354)*MAX(0,W$4)/100))</f>
        <v/>
      </c>
      <c r="X354">
        <f>IF($C354="",0,IF($M354="",0,MAX(0,$M354)*MAX(0,X$4)/100))</f>
        <v/>
      </c>
      <c r="Y354">
        <f>IF($C354="",0,IF($M354="",0,MAX(0,$M354)*MAX(0,Y$4)/100))</f>
        <v/>
      </c>
      <c r="Z354">
        <f>IF($C354="",0,IF($M354="",0,MAX(0,$M354)*MAX(0,Z$4)/100))</f>
        <v/>
      </c>
      <c r="AA354">
        <f>IF($C354="",0,IF($M354="",0,MAX(0,$M354)*MAX(0,AA$4)/100))</f>
        <v/>
      </c>
      <c r="AB354">
        <f>IF($C354="",0,IF($M354="",0,MAX(0,$M354)*MAX(0,AB$4)/100))</f>
        <v/>
      </c>
      <c r="AC354">
        <f>IF($C354="",0,IF($M354="",0,MAX(0,$M354)*MAX(0,AC$4)/100))</f>
        <v/>
      </c>
      <c r="AD354">
        <f>IF($C354="",0,IF($M354="",0,MAX(0,$M354)*MAX(0,AD$4)/100))</f>
        <v/>
      </c>
      <c r="AE354">
        <f>IF($C354="",0,IF($M354="",0,MAX(0,$M354)*MAX(0,AE$4)/100))</f>
        <v/>
      </c>
      <c r="AF354">
        <f>IF($C354="",0,IF($M354="",0,MAX(0,$M354)*MAX(0,AF$4)/100))</f>
        <v/>
      </c>
      <c r="AG354">
        <f>IF($C354="",0,IF($M354="",0,MAX(0,$M354)*MAX(0,AG$4)/100))</f>
        <v/>
      </c>
      <c r="AH354">
        <f>IF($C354="",0,IF($M354="",0,MAX(0,$M354)*MAX(0,AH$4)/100))</f>
        <v/>
      </c>
      <c r="AI354">
        <f>IF($C354="",0,IF($M354="",0,MAX(0,$M354)*MAX(0,AI$4)/100))</f>
        <v/>
      </c>
      <c r="AJ354">
        <f>IF($C354="",0,MAX(0,MAX(0,N($L354))-$V354))</f>
        <v/>
      </c>
      <c r="AK354">
        <f>IF($C354="",0,MAX(0,$AJ354-$W354))</f>
        <v/>
      </c>
      <c r="AL354">
        <f>IF($C354="",0,MAX(0,$AK354-$X354))</f>
        <v/>
      </c>
      <c r="AM354">
        <f>IF($C354="",0,MAX(0,$AL354-$Y354))</f>
        <v/>
      </c>
      <c r="AN354">
        <f>IF($C354="",0,MAX(0,$AM354-$Z354))</f>
        <v/>
      </c>
      <c r="AO354">
        <f>IF($C354="",0,MAX(0,$AN354-$AA354))</f>
        <v/>
      </c>
      <c r="AP354">
        <f>IF($C354="",0,MAX(0,$AO354-$AB354))</f>
        <v/>
      </c>
      <c r="AQ354">
        <f>IF($C354="",0,MAX(0,$AP354-$AC354))</f>
        <v/>
      </c>
      <c r="AR354">
        <f>IF($C354="",0,MAX(0,$AQ354-$AD354))</f>
        <v/>
      </c>
      <c r="AS354">
        <f>IF($C354="",0,MAX(0,$AR354-$AE354))</f>
        <v/>
      </c>
      <c r="AT354">
        <f>IF($C354="",0,MAX(0,$AS354-$AF354))</f>
        <v/>
      </c>
      <c r="AU354">
        <f>IF($C354="",0,MAX(0,$AT354-$AG354))</f>
        <v/>
      </c>
      <c r="AV354">
        <f>IF($C354="",0,MAX(0,$AU354-$AH354))</f>
        <v/>
      </c>
      <c r="AW354">
        <f>IF($C354="",0,MAX(0,$AV354-$AI354))</f>
        <v/>
      </c>
      <c r="AX354">
        <f>IF($C354="",0,MAX(0,MAX(0,N($L354))+IF($P354=V$3,$R354,0)+IF($S354=V$3,$U354,0)-$V354))</f>
        <v/>
      </c>
      <c r="AY354">
        <f>IF($C354="",0,MAX(0,$AX354+IF($P354=W$3,$R354,0)+IF($S354=W$3,$U354,0)-$W354))</f>
        <v/>
      </c>
      <c r="AZ354">
        <f>IF($C354="",0,MAX(0,$AY354+IF($P354=X$3,$R354,0)+IF($S354=X$3,$U354,0)-$X354))</f>
        <v/>
      </c>
      <c r="BA354">
        <f>IF($C354="",0,MAX(0,$AZ354+IF($P354=Y$3,$R354,0)+IF($S354=Y$3,$U354,0)-$Y354))</f>
        <v/>
      </c>
      <c r="BB354">
        <f>IF($C354="",0,MAX(0,$BA354+IF($P354=Z$3,$R354,0)+IF($S354=Z$3,$U354,0)-$Z354))</f>
        <v/>
      </c>
      <c r="BC354">
        <f>IF($C354="",0,MAX(0,$BB354+IF($P354=AA$3,$R354,0)+IF($S354=AA$3,$U354,0)-$AA354))</f>
        <v/>
      </c>
      <c r="BD354">
        <f>IF($C354="",0,MAX(0,$BC354+IF($P354=AB$3,$R354,0)+IF($S354=AB$3,$U354,0)-$AB354))</f>
        <v/>
      </c>
      <c r="BE354">
        <f>IF($C354="",0,MAX(0,$BD354+IF($P354=AC$3,$R354,0)+IF($S354=AC$3,$U354,0)-$AC354))</f>
        <v/>
      </c>
      <c r="BF354">
        <f>IF($C354="",0,MAX(0,$BE354+IF($P354=AD$3,$R354,0)+IF($S354=AD$3,$U354,0)-$AD354))</f>
        <v/>
      </c>
      <c r="BG354">
        <f>IF($C354="",0,MAX(0,$BF354+IF($P354=AE$3,$R354,0)+IF($S354=AE$3,$U354,0)-$AE354))</f>
        <v/>
      </c>
      <c r="BH354">
        <f>IF($C354="",0,MAX(0,$BG354+IF($P354=AF$3,$R354,0)+IF($S354=AF$3,$U354,0)-$AF354))</f>
        <v/>
      </c>
      <c r="BI354">
        <f>IF($C354="",0,MAX(0,$BH354+IF($P354=AG$3,$R354,0)+IF($S354=AG$3,$U354,0)-$AG354))</f>
        <v/>
      </c>
      <c r="BJ354">
        <f>IF($C354="",0,MAX(0,$BI354+IF($P354=AH$3,$R354,0)+IF($S354=AH$3,$U354,0)-$AH354))</f>
        <v/>
      </c>
      <c r="BK354">
        <f>IF($C354="",0,MAX(0,$BJ354+IF($P354=AI$3,$R354,0)+IF($S354=AI$3,$U354,0)-$AI354))</f>
        <v/>
      </c>
      <c r="BL354">
        <f>IF($C354="",99,IF(AND($AX354&lt;1,V$3&gt;=MAX(N($P354),N($S354))),0,99))</f>
        <v/>
      </c>
      <c r="BM354">
        <f>IF($C354="",99,IF(AND($AY354&lt;1,W$3&gt;=MAX(N($P354),N($S354))),1,99))</f>
        <v/>
      </c>
      <c r="BN354">
        <f>IF($C354="",99,IF(AND($AZ354&lt;1,X$3&gt;=MAX(N($P354),N($S354))),2,99))</f>
        <v/>
      </c>
      <c r="BO354">
        <f>IF($C354="",99,IF(AND($BA354&lt;1,Y$3&gt;=MAX(N($P354),N($S354))),3,99))</f>
        <v/>
      </c>
      <c r="BP354">
        <f>IF($C354="",99,IF(AND($BB354&lt;1,Z$3&gt;=MAX(N($P354),N($S354))),4,99))</f>
        <v/>
      </c>
      <c r="BQ354">
        <f>IF($C354="",99,IF(AND($BC354&lt;1,AA$3&gt;=MAX(N($P354),N($S354))),5,99))</f>
        <v/>
      </c>
      <c r="BR354">
        <f>IF($C354="",99,IF(AND($BD354&lt;1,AB$3&gt;=MAX(N($P354),N($S354))),6,99))</f>
        <v/>
      </c>
      <c r="BS354">
        <f>IF($C354="",99,IF(AND($BE354&lt;1,AC$3&gt;=MAX(N($P354),N($S354))),7,99))</f>
        <v/>
      </c>
      <c r="BT354">
        <f>IF($C354="",99,IF(AND($BF354&lt;1,AD$3&gt;=MAX(N($P354),N($S354))),8,99))</f>
        <v/>
      </c>
      <c r="BU354">
        <f>IF($C354="",99,IF(AND($BG354&lt;1,AE$3&gt;=MAX(N($P354),N($S354))),9,99))</f>
        <v/>
      </c>
      <c r="BV354">
        <f>IF($C354="",99,IF(AND($BH354&lt;1,AF$3&gt;=MAX(N($P354),N($S354))),10,99))</f>
        <v/>
      </c>
      <c r="BW354">
        <f>IF($C354="",99,IF(AND($BI354&lt;1,AG$3&gt;=MAX(N($P354),N($S354))),11,99))</f>
        <v/>
      </c>
      <c r="BX354">
        <f>IF($C354="",99,IF(AND($BJ354&lt;1,AH$3&gt;=MAX(N($P354),N($S354))),12,99))</f>
        <v/>
      </c>
      <c r="BY354">
        <f>IF($C354="",99,IF(AND($BK354&lt;1,AI$3&gt;=MAX(N($P354),N($S354))),13,99))</f>
        <v/>
      </c>
      <c r="BZ354">
        <f>IF(OR($C354="",$M354=""),"",COUNTIF($AJ354:$AW354,"&gt;=1"))</f>
        <v/>
      </c>
      <c r="CA354" s="90">
        <f>IF($BZ354="","",IF($BZ354&gt;=14,"",'設定'!$C$6+$BZ354))</f>
        <v/>
      </c>
      <c r="CB354">
        <f>IF(OR($C354="",$M354=""),"",MIN($BL354:$BY354))</f>
        <v/>
      </c>
      <c r="CC354" s="90">
        <f>IF($CB354="","",IF($CB354&gt;=99,"",'設定'!$C$6+$CB354))</f>
        <v/>
      </c>
      <c r="CD354">
        <f>IF(OR($C354="",$M354=""),"",AVERAGE($V354:$AI354))</f>
        <v/>
      </c>
      <c r="CE354">
        <f>IF($C354="","",IFERROR(IF(MATCH(IF(ISNUMBER($P354),$P354,'設定'!$C$6+N('設定'!$C$7)),$V$3:$AI$3,0)=1,MAX(0,N($L354)),INDEX($AJ354:$AW354,MATCH(IF(ISNUMBER($P354),$P354,'設定'!$C$6+N('設定'!$C$7)),$V$3:$AI$3,0)-1)),""))</f>
        <v/>
      </c>
      <c r="CF354">
        <f>IF(OR($C354="",$O354="",$CE354=""),"",IF($O354-$CE354&lt;=0,0,ROUNDUP(($O354-$CE354)/$G354,0)))</f>
        <v/>
      </c>
      <c r="CG354">
        <f>IF(OR($C354="",$CF354="",NOT(ISNUMBER($Q354))),0,MAX(0,$Q354-$CF354))</f>
        <v/>
      </c>
      <c r="CH354">
        <f>IF(OR($C354="",$O354="",$U354=0),0,IFERROR(ROUNDUP(MAX(0,IF(MATCH($S354,$V$3:$AI$3,0)=1,MAX(0,N($L354)),INDEX($AX354:$BK354,MATCH($S354,$V$3:$AI$3,0)-1))+$U354-$O354)/$G354,0),0))</f>
        <v/>
      </c>
      <c r="CI354">
        <f>IF($C354="","",IF(AND($P354="",$Q354=""),"",IF($P354="","⚠ 入庫日を ▼ から選んでください",IF(NOT(ISNUMBER($P354)),"⚠ 入庫日は ▼ から選んでください",IF($P354&lt;N('設定'!$C$6),"⚠ 入庫日が過去です（もう在庫に入っています）→ 消してください",IF($P354&gt;N('設定'!$C$6)+13,"⚠ 入庫日が14日より先です",IF(N($Q354)&lt;=0,"⚠ 入庫数を入れてください",IF($CG354&gt;0,"⚠ 目安より "&amp;$CG354&amp;" 多い（定数を超える）→ 減らす",""))))))))</f>
        <v/>
      </c>
      <c r="CJ354">
        <f>IF($C354="","",IF(AND($S354="",$T354=""),"",IF($S354="","⚠ 2便目：入庫日を ▼ から選んでください",IF(NOT(ISNUMBER($S354)),"⚠ 2便目：入庫日は ▼ から選んでください",IF($S354&lt;N('設定'!$C$6),"⚠ 2便目：入庫日が過去です（もう在庫に入っています）→ 消してください",IF($S354&gt;N('設定'!$C$6)+13,"⚠ 2便目：入庫日が14日より先です",IF(N($T354)&lt;=0,"⚠ 2便目：入庫数を入れてください",IF($CH354&gt;0,"⚠ 2便目：定数を "&amp;$CH354&amp;" ケース超える → 減らす",""))))))))</f>
        <v/>
      </c>
      <c r="CK354">
        <f>IF(AND($CI354="",N($Q354)&gt;0,ISNUMBER($P354)),1,0)</f>
        <v/>
      </c>
      <c r="CL354">
        <f>IF(AND($CJ354="",N($T354)&gt;0,ISNUMBER($S354)),1,0)</f>
        <v/>
      </c>
      <c r="CM354">
        <f>IF(OR($CK354=1,$CL354=1),1,0)</f>
        <v/>
      </c>
      <c r="CN354">
        <f>IF($C354="",0,($CK354*$R354+$CL354*$U354)*N($H354))</f>
        <v/>
      </c>
      <c r="CO354">
        <f>IF($C354="","",IF($CC354="","入庫後は 14日以上もつ",IF($CC354-N('設定'!$C$7)&lt;='設定'!$C$6,"入庫後も "&amp;TEXT($CC354,"m/d")&amp;"("&amp;CHOOSE(WEEKDAY($CC354),"日","月","火","水","木","金","土")&amp;")"&amp;" に切れる　もう1便を至急発注","入庫後も "&amp;TEXT($CC354,"m/d")&amp;"("&amp;CHOOSE(WEEKDAY($CC354),"日","月","火","水","木","金","土")&amp;")"&amp;" に切れる　"&amp;TEXT($CC354-N('設定'!$C$7),"m/d")&amp;"("&amp;CHOOSE(WEEKDAY($CC354-N('設定'!$C$7)),"日","月","火","水","木","金","土")&amp;")"&amp;" までに次を発注")))</f>
        <v/>
      </c>
      <c r="CP354">
        <f>IF($C354="","",IF('設定'!$C$6="","？ ①在庫を貼る に今日のCSVが貼られていない",IF($CS354=1,"－ 今日のCSVに無い（終売？）",IF($L354&lt;0,"● 在庫がマイナス　数えて「数えた在庫」に入れる",IF($L354=0,"● 在庫なし　至急発注",IF($M354="","？ 減り数が未設定（商品マスタ）",IF($B$3=0,"？ 動員が未入力（動員を入れる）",IF($CA354="","○ 14日以上もつ",IF($BZ354&lt;N('設定'!$C$7),"● "&amp;TEXT($CA354,"m/d")&amp;"("&amp;CHOOSE(WEEKDAY($CA354),"日","月","火","水","木","金","土")&amp;")"&amp;" に切れる　至急発注",IF($BZ354=N('設定'!$C$7),"● "&amp;TEXT($CA354,"m/d")&amp;"("&amp;CHOOSE(WEEKDAY($CA354),"日","月","火","水","木","金","土")&amp;")"&amp;" に切れる　今日発注","△ "&amp;TEXT($CA354,"m/d")&amp;"("&amp;CHOOSE(WEEKDAY($CA354),"日","月","火","水","木","金","土")&amp;")"&amp;" に切れる　"&amp;TEXT($CA354-N('設定'!$C$7),"m/d")&amp;"("&amp;CHOOSE(WEEKDAY($CA354-N('設定'!$C$7)),"日","月","火","水","木","金","土")&amp;")"&amp;" までに発注"))))))))))</f>
        <v/>
      </c>
      <c r="CQ354">
        <f>IF($C354="","",IF(AND($P354="",$Q354="",$S354="",$T354=""),"",IF(AND($P354="",$Q354=""),"⚠ 先に1便目（左の入庫日・入庫数）に入れてください",IF($CI354&lt;&gt;"",$CI354,IF($CJ354&lt;&gt;"",$CJ354,IF($M354="","？ 減り数が未設定（発注書には載ります）",IF($B$3=0,"？ 動員が未入力（発注書には載ります）",IF(AND($CA354&lt;&gt;"",$P354&gt;$CA354),IF($P354&gt;'設定'!$C$6+N('設定'!$C$7),"● "&amp;TEXT($P354,"m/d")&amp;"("&amp;CHOOSE(WEEKDAY($P354),"日","月","火","水","木","金","土")&amp;")"&amp;" の入庫では間に合わない（"&amp;TEXT($CA354,"m/d")&amp;"("&amp;CHOOSE(WEEKDAY($CA354),"日","月","火","水","木","金","土")&amp;")"&amp;" に切れる）　入庫日を早める","△ 欠品 "&amp;TEXT($CA354,"m/d")&amp;"("&amp;CHOOSE(WEEKDAY($CA354),"日","月","火","水","木","金","土")&amp;")"&amp;"〜"&amp;TEXT($P354-1,"m/d")&amp;"("&amp;CHOOSE(WEEKDAY($P354-1),"日","月","火","水","木","金","土")&amp;")"&amp;"　"&amp;$CO354),IF($CC354="","○ "&amp;TEXT($P354,"m/d")&amp;"("&amp;CHOOSE(WEEKDAY($P354),"日","月","火","水","木","金","土")&amp;")"&amp;" 入庫で 14日以上もつ",IF($CC354-N('設定'!$C$7)&lt;='設定'!$C$6,"● 入庫しても "&amp;TEXT($CC354,"m/d")&amp;"("&amp;CHOOSE(WEEKDAY($CC354),"日","月","火","水","木","金","土")&amp;")"&amp;" に切れる　もう1便を至急発注（2便目に入れる）","△ 入庫しても "&amp;TEXT($CC354,"m/d")&amp;"("&amp;CHOOSE(WEEKDAY($CC354),"日","月","火","水","木","金","土")&amp;")"&amp;" に切れる　"&amp;TEXT($CC354-N('設定'!$C$7),"m/d")&amp;"("&amp;CHOOSE(WEEKDAY($CC354-N('設定'!$C$7)),"日","月","火","水","木","金","土")&amp;")"&amp;" までに次を発注（2便目に入れる）"))))))))))</f>
        <v/>
      </c>
      <c r="CR354">
        <f>IF($C354="","",IF($G354&gt;1,"ｹｰｽ("&amp;$G354&amp;"入)","個"))</f>
        <v/>
      </c>
      <c r="CS354">
        <f>IF($C354="",0,IF(COUNTIFS('①在庫を貼る'!$V$6:$V$10005,'設定'!$C$4,'①在庫を貼る'!$W$6:$W$10005,$C354)=0,1,0))</f>
        <v/>
      </c>
      <c r="CT354">
        <f>IF(AND($CK354=1,OR('③発注書'!$C$4="すべて",'③発注書'!$C$4="",$F354='③発注書'!$C$4)),N($CT353)+1,N($CT353))</f>
        <v/>
      </c>
      <c r="CU354">
        <f>IF(AND($CL354=1,OR('③発注書'!$C$4="すべて",'③発注書'!$C$4="",$F354='③発注書'!$C$4)),N($CU353)+1,N($CU353))</f>
        <v/>
      </c>
      <c r="CV354">
        <f>IF($C354="",0,IF(COUNTIFS('①在庫を貼る'!$V$6:$V$10005,'設定'!$C$4,'①在庫を貼る'!$W$6:$W$10005,$C354)&gt;0,1,0))</f>
        <v/>
      </c>
      <c r="CW354">
        <f>IF($C354="",0,IF(COUNTIFS('月1回_1ヶ月前の在庫'!$V$6:$V$10005,'設定'!$C$4,'月1回_1ヶ月前の在庫'!$W$6:$W$10005,$C354)&gt;0,1,0))</f>
        <v/>
      </c>
      <c r="CX354">
        <f>IF($C354="",0,IF(COUNTIFS('月1回_2ヶ月前の在庫'!$V$6:$V$10005,'設定'!$C$4,'月1回_2ヶ月前の在庫'!$W$6:$W$10005,$C354)&gt;0,1,0))</f>
        <v/>
      </c>
      <c r="CY354">
        <f>IF(OR($C354="",'設定'!$C$12=""),"",IF('設定'!$C$13="",IF(AND($CV354=1,$CW354=0),"新商品（今月から）",IF(AND($CV354=0,$CW354=1),"終売（今月から）","")),IF(AND($CV354=1,$CW354=0,$CX354=0),"新商品（今月から）",IF(AND($CV354=1,$CW354=1,$CX354=0),"新商品（先月から）",IF(AND($CV354=0,$CW354=1,$CX354=1),"終売（今月から）",IF(AND($CV354=0,$CW354=0,$CX354=1),"終売（先月から）",IF(AND($CV354=1,$CW354=0,$CX354=1),"復活（先月は無し）","")))))))</f>
        <v/>
      </c>
    </row>
    <row r="355">
      <c r="B355">
        <f>IF(350&lt;='設定'!$C$11,350,"")</f>
        <v/>
      </c>
      <c r="C355">
        <f>IF($B355="","",IF($B355&lt;='設定'!$C$20,INDEX('商品マスタ'!$B$6:$B$1005,MATCH($B355,'商品マスタ'!$M$6:$M$1005,0)),IF($B355&lt;='設定'!$C$20+'設定'!$C$17,INDEX('①在庫を貼る'!$W$6:$W$10005,MATCH($B355-'設定'!$C$20,'①在庫を貼る'!$U$6:$U$10005,0)),IF($B355&lt;='設定'!$C$20+'設定'!$C$17+'設定'!$C$18,INDEX('月1回_1ヶ月前の在庫'!$W$6:$W$10005,MATCH($B355-'設定'!$C$20-'設定'!$C$17,'月1回_1ヶ月前の在庫'!$U$6:$U$10005,0)),INDEX('月1回_2ヶ月前の在庫'!$W$6:$W$10005,MATCH($B355-'設定'!$C$20-'設定'!$C$17-'設定'!$C$18,'月1回_2ヶ月前の在庫'!$U$6:$U$10005,0))))))</f>
        <v/>
      </c>
      <c r="D355">
        <f>IF($C355="","",IFERROR(IF(INDEX('商品マスタ'!$C$6:$C$1005,MATCH($C355,'商品マスタ'!$B$6:$B$1005,0))="",IFERROR(INDEX('①在庫を貼る'!$J$6:$J$10005,MATCH($C355,'①在庫を貼る'!$W$6:$W$10005,0)),IFERROR(INDEX('月1回_1ヶ月前の在庫'!$J$6:$J$10005,MATCH($C355,'月1回_1ヶ月前の在庫'!$W$6:$W$10005,0)),IFERROR(INDEX('月1回_2ヶ月前の在庫'!$J$6:$J$10005,MATCH($C355,'月1回_2ヶ月前の在庫'!$W$6:$W$10005,0)),""))),INDEX('商品マスタ'!$C$6:$C$1005,MATCH($C355,'商品マスタ'!$B$6:$B$1005,0))),IFERROR(INDEX('①在庫を貼る'!$J$6:$J$10005,MATCH($C355,'①在庫を貼る'!$W$6:$W$10005,0)),IFERROR(INDEX('月1回_1ヶ月前の在庫'!$J$6:$J$10005,MATCH($C355,'月1回_1ヶ月前の在庫'!$W$6:$W$10005,0)),IFERROR(INDEX('月1回_2ヶ月前の在庫'!$J$6:$J$10005,MATCH($C355,'月1回_2ヶ月前の在庫'!$W$6:$W$10005,0)),"")))))</f>
        <v/>
      </c>
      <c r="E355">
        <f>IF($C355="","",IFERROR(IF(INDEX('商品マスタ'!$D$6:$D$1005,MATCH($C355,'商品マスタ'!$B$6:$B$1005,0))="",IFERROR(INDEX('①在庫を貼る'!$H$6:$H$10005,MATCH($C355,'①在庫を貼る'!$W$6:$W$10005,0)),IFERROR(INDEX('月1回_1ヶ月前の在庫'!$H$6:$H$10005,MATCH($C355,'月1回_1ヶ月前の在庫'!$W$6:$W$10005,0)),IFERROR(INDEX('月1回_2ヶ月前の在庫'!$H$6:$H$10005,MATCH($C355,'月1回_2ヶ月前の在庫'!$W$6:$W$10005,0)),""))),INDEX('商品マスタ'!$D$6:$D$1005,MATCH($C355,'商品マスタ'!$B$6:$B$1005,0))),IFERROR(INDEX('①在庫を貼る'!$H$6:$H$10005,MATCH($C355,'①在庫を貼る'!$W$6:$W$10005,0)),IFERROR(INDEX('月1回_1ヶ月前の在庫'!$H$6:$H$10005,MATCH($C355,'月1回_1ヶ月前の在庫'!$W$6:$W$10005,0)),IFERROR(INDEX('月1回_2ヶ月前の在庫'!$H$6:$H$10005,MATCH($C355,'月1回_2ヶ月前の在庫'!$W$6:$W$10005,0)),"")))))</f>
        <v/>
      </c>
      <c r="F355">
        <f>IF($C355="","",IFERROR(IF(INDEX('商品マスタ'!$E$6:$E$1005,MATCH($C355,'商品マスタ'!$B$6:$B$1005,0))="",IFERROR(INDEX('①在庫を貼る'!$E$6:$E$10005,MATCH($C355,'①在庫を貼る'!$W$6:$W$10005,0)),IFERROR(INDEX('月1回_1ヶ月前の在庫'!$E$6:$E$10005,MATCH($C355,'月1回_1ヶ月前の在庫'!$W$6:$W$10005,0)),IFERROR(INDEX('月1回_2ヶ月前の在庫'!$E$6:$E$10005,MATCH($C355,'月1回_2ヶ月前の在庫'!$W$6:$W$10005,0)),""))),INDEX('商品マスタ'!$E$6:$E$1005,MATCH($C355,'商品マスタ'!$B$6:$B$1005,0))),IFERROR(INDEX('①在庫を貼る'!$E$6:$E$10005,MATCH($C355,'①在庫を貼る'!$W$6:$W$10005,0)),IFERROR(INDEX('月1回_1ヶ月前の在庫'!$E$6:$E$10005,MATCH($C355,'月1回_1ヶ月前の在庫'!$W$6:$W$10005,0)),IFERROR(INDEX('月1回_2ヶ月前の在庫'!$E$6:$E$10005,MATCH($C355,'月1回_2ヶ月前の在庫'!$W$6:$W$10005,0)),"")))))</f>
        <v/>
      </c>
      <c r="G355">
        <f>IF($C355="","",MAX(1,N(IFERROR(IF(INDEX('商品マスタ'!$F$6:$F$1005,MATCH($C355,'商品マスタ'!$B$6:$B$1005,0))="",IF(COUNTIFS('①在庫を貼る'!$V$6:$V$10005,'設定'!$C$4,'①在庫を貼る'!$W$6:$W$10005,$C355)&gt;0,SUMIFS('①在庫を貼る'!$K$6:$K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K$6:$K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K$6:$K$10005,'月1回_2ヶ月前の在庫'!$V$6:$V$10005,'設定'!$C$4,'月1回_2ヶ月前の在庫'!$W$6:$W$10005,$C355)/COUNTIFS('月1回_2ヶ月前の在庫'!$V$6:$V$10005,'設定'!$C$4,'月1回_2ヶ月前の在庫'!$W$6:$W$10005,$C355),0))),INDEX('商品マスタ'!$F$6:$F$1005,MATCH($C355,'商品マスタ'!$B$6:$B$1005,0))),IF(COUNTIFS('①在庫を貼る'!$V$6:$V$10005,'設定'!$C$4,'①在庫を貼る'!$W$6:$W$10005,$C355)&gt;0,SUMIFS('①在庫を貼る'!$K$6:$K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K$6:$K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K$6:$K$10005,'月1回_2ヶ月前の在庫'!$V$6:$V$10005,'設定'!$C$4,'月1回_2ヶ月前の在庫'!$W$6:$W$10005,$C355)/COUNTIFS('月1回_2ヶ月前の在庫'!$V$6:$V$10005,'設定'!$C$4,'月1回_2ヶ月前の在庫'!$W$6:$W$10005,$C355),0)))))))</f>
        <v/>
      </c>
      <c r="H355">
        <f>IF($C355="","",N(IFERROR(IF(INDEX('商品マスタ'!$G$6:$G$1005,MATCH($C355,'商品マスタ'!$B$6:$B$1005,0))="",IF(COUNTIFS('①在庫を貼る'!$V$6:$V$10005,'設定'!$C$4,'①在庫を貼る'!$W$6:$W$10005,$C355)&gt;0,SUMIFS('①在庫を貼る'!$Q$6:$Q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Q$6:$Q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Q$6:$Q$10005,'月1回_2ヶ月前の在庫'!$V$6:$V$10005,'設定'!$C$4,'月1回_2ヶ月前の在庫'!$W$6:$W$10005,$C355)/COUNTIFS('月1回_2ヶ月前の在庫'!$V$6:$V$10005,'設定'!$C$4,'月1回_2ヶ月前の在庫'!$W$6:$W$10005,$C355),0))),INDEX('商品マスタ'!$G$6:$G$1005,MATCH($C355,'商品マスタ'!$B$6:$B$1005,0))),IF(COUNTIFS('①在庫を貼る'!$V$6:$V$10005,'設定'!$C$4,'①在庫を貼る'!$W$6:$W$10005,$C355)&gt;0,SUMIFS('①在庫を貼る'!$Q$6:$Q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Q$6:$Q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Q$6:$Q$10005,'月1回_2ヶ月前の在庫'!$V$6:$V$10005,'設定'!$C$4,'月1回_2ヶ月前の在庫'!$W$6:$W$10005,$C355)/COUNTIFS('月1回_2ヶ月前の在庫'!$V$6:$V$10005,'設定'!$C$4,'月1回_2ヶ月前の在庫'!$W$6:$W$10005,$C355),0))))))</f>
        <v/>
      </c>
      <c r="I355">
        <f>IF($C355="","",IF(COUNTIFS('①在庫を貼る'!$V$6:$V$10005,'設定'!$C$4,'①在庫を貼る'!$W$6:$W$10005,$C355)=0,"",SUMIFS('①在庫を貼る'!$N$6:$N$10005,'①在庫を貼る'!$V$6:$V$10005,'設定'!$C$4,'①在庫を貼る'!$W$6:$W$10005,$C355)))</f>
        <v/>
      </c>
      <c r="J355">
        <f>IF($C355="","",IF('②発注する'!$AD359="","",'②発注する'!$AD359))</f>
        <v/>
      </c>
      <c r="K355" s="90">
        <f>IF($C355="","",IF('②発注する'!$AE359="","",'②発注する'!$AE359))</f>
        <v/>
      </c>
      <c r="L355">
        <f>IF($C355="","",IF(AND(ISNUMBER($J355),ISNUMBER($K355),$K355&gt;='設定'!$C$6),$J355,N($I355)))</f>
        <v/>
      </c>
      <c r="M355">
        <f>IF($C355="","",IFERROR(IF(N(INDEX('商品マスタ'!$J$6:$J$1005,MATCH($C355,'商品マスタ'!$B$6:$B$1005,0)))&gt;0,INDEX('商品マスタ'!$J$6:$J$1005,MATCH($C355,'商品マスタ'!$B$6:$B$1005,0)),""),""))</f>
        <v/>
      </c>
      <c r="N355">
        <f>IF($C355="","",IFERROR(IF(N(INDEX('商品マスタ'!$H$6:$H$1005,MATCH($C355,'商品マスタ'!$B$6:$B$1005,0)))&gt;0,INDEX('商品マスタ'!$H$6:$H$1005,MATCH($C355,'商品マスタ'!$B$6:$B$1005,0)),""),""))</f>
        <v/>
      </c>
      <c r="O355">
        <f>IF($C355="","",IF($N355&lt;&gt;"",$N355*$G355,IF(N(IF(COUNTIFS('①在庫を貼る'!$V$6:$V$10005,'設定'!$C$4,'①在庫を貼る'!$W$6:$W$10005,$C355)&gt;0,SUMIFS('①在庫を貼る'!$O$6:$O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O$6:$O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O$6:$O$10005,'月1回_2ヶ月前の在庫'!$V$6:$V$10005,'設定'!$C$4,'月1回_2ヶ月前の在庫'!$W$6:$W$10005,$C355)/COUNTIFS('月1回_2ヶ月前の在庫'!$V$6:$V$10005,'設定'!$C$4,'月1回_2ヶ月前の在庫'!$W$6:$W$10005,$C355),0))))&gt;0,N(IF(COUNTIFS('①在庫を貼る'!$V$6:$V$10005,'設定'!$C$4,'①在庫を貼る'!$W$6:$W$10005,$C355)&gt;0,SUMIFS('①在庫を貼る'!$O$6:$O$10005,'①在庫を貼る'!$V$6:$V$10005,'設定'!$C$4,'①在庫を貼る'!$W$6:$W$10005,$C355)/COUNTIFS('①在庫を貼る'!$V$6:$V$10005,'設定'!$C$4,'①在庫を貼る'!$W$6:$W$10005,$C355),IF(COUNTIFS('月1回_1ヶ月前の在庫'!$V$6:$V$10005,'設定'!$C$4,'月1回_1ヶ月前の在庫'!$W$6:$W$10005,$C355)&gt;0,SUMIFS('月1回_1ヶ月前の在庫'!$O$6:$O$10005,'月1回_1ヶ月前の在庫'!$V$6:$V$10005,'設定'!$C$4,'月1回_1ヶ月前の在庫'!$W$6:$W$10005,$C355)/COUNTIFS('月1回_1ヶ月前の在庫'!$V$6:$V$10005,'設定'!$C$4,'月1回_1ヶ月前の在庫'!$W$6:$W$10005,$C355),IF(COUNTIFS('月1回_2ヶ月前の在庫'!$V$6:$V$10005,'設定'!$C$4,'月1回_2ヶ月前の在庫'!$W$6:$W$10005,$C355)&gt;0,SUMIFS('月1回_2ヶ月前の在庫'!$O$6:$O$10005,'月1回_2ヶ月前の在庫'!$V$6:$V$10005,'設定'!$C$4,'月1回_2ヶ月前の在庫'!$W$6:$W$10005,$C355)/COUNTIFS('月1回_2ヶ月前の在庫'!$V$6:$V$10005,'設定'!$C$4,'月1回_2ヶ月前の在庫'!$W$6:$W$10005,$C355),0)))),"")))</f>
        <v/>
      </c>
      <c r="P355" s="90">
        <f>IF($C355="","",IF('②発注する'!$I359="","",'②発注する'!$I359))</f>
        <v/>
      </c>
      <c r="Q355">
        <f>IF($C355="","",IF('②発注する'!$J359="","",'②発注する'!$J359))</f>
        <v/>
      </c>
      <c r="R355">
        <f>IF($C355="",0,IF(AND(ISNUMBER($P355),ISNUMBER($Q355)),MAX(0,$Q355)*$G355,0))</f>
        <v/>
      </c>
      <c r="S355" s="90">
        <f>IF($C355="","",IF('②発注する'!$M359="","",'②発注する'!$M359))</f>
        <v/>
      </c>
      <c r="T355">
        <f>IF($C355="","",IF('②発注する'!$N359="","",'②発注する'!$N359))</f>
        <v/>
      </c>
      <c r="U355">
        <f>IF($C355="",0,IF(AND(ISNUMBER($S355),ISNUMBER($T355)),MAX(0,$T355)*$G355,0))</f>
        <v/>
      </c>
      <c r="V355">
        <f>IF($C355="",0,IF($M355="",0,MAX(0,$M355)*MAX(0,V$4)/100))</f>
        <v/>
      </c>
      <c r="W355">
        <f>IF($C355="",0,IF($M355="",0,MAX(0,$M355)*MAX(0,W$4)/100))</f>
        <v/>
      </c>
      <c r="X355">
        <f>IF($C355="",0,IF($M355="",0,MAX(0,$M355)*MAX(0,X$4)/100))</f>
        <v/>
      </c>
      <c r="Y355">
        <f>IF($C355="",0,IF($M355="",0,MAX(0,$M355)*MAX(0,Y$4)/100))</f>
        <v/>
      </c>
      <c r="Z355">
        <f>IF($C355="",0,IF($M355="",0,MAX(0,$M355)*MAX(0,Z$4)/100))</f>
        <v/>
      </c>
      <c r="AA355">
        <f>IF($C355="",0,IF($M355="",0,MAX(0,$M355)*MAX(0,AA$4)/100))</f>
        <v/>
      </c>
      <c r="AB355">
        <f>IF($C355="",0,IF($M355="",0,MAX(0,$M355)*MAX(0,AB$4)/100))</f>
        <v/>
      </c>
      <c r="AC355">
        <f>IF($C355="",0,IF($M355="",0,MAX(0,$M355)*MAX(0,AC$4)/100))</f>
        <v/>
      </c>
      <c r="AD355">
        <f>IF($C355="",0,IF($M355="",0,MAX(0,$M355)*MAX(0,AD$4)/100))</f>
        <v/>
      </c>
      <c r="AE355">
        <f>IF($C355="",0,IF($M355="",0,MAX(0,$M355)*MAX(0,AE$4)/100))</f>
        <v/>
      </c>
      <c r="AF355">
        <f>IF($C355="",0,IF($M355="",0,MAX(0,$M355)*MAX(0,AF$4)/100))</f>
        <v/>
      </c>
      <c r="AG355">
        <f>IF($C355="",0,IF($M355="",0,MAX(0,$M355)*MAX(0,AG$4)/100))</f>
        <v/>
      </c>
      <c r="AH355">
        <f>IF($C355="",0,IF($M355="",0,MAX(0,$M355)*MAX(0,AH$4)/100))</f>
        <v/>
      </c>
      <c r="AI355">
        <f>IF($C355="",0,IF($M355="",0,MAX(0,$M355)*MAX(0,AI$4)/100))</f>
        <v/>
      </c>
      <c r="AJ355">
        <f>IF($C355="",0,MAX(0,MAX(0,N($L355))-$V355))</f>
        <v/>
      </c>
      <c r="AK355">
        <f>IF($C355="",0,MAX(0,$AJ355-$W355))</f>
        <v/>
      </c>
      <c r="AL355">
        <f>IF($C355="",0,MAX(0,$AK355-$X355))</f>
        <v/>
      </c>
      <c r="AM355">
        <f>IF($C355="",0,MAX(0,$AL355-$Y355))</f>
        <v/>
      </c>
      <c r="AN355">
        <f>IF($C355="",0,MAX(0,$AM355-$Z355))</f>
        <v/>
      </c>
      <c r="AO355">
        <f>IF($C355="",0,MAX(0,$AN355-$AA355))</f>
        <v/>
      </c>
      <c r="AP355">
        <f>IF($C355="",0,MAX(0,$AO355-$AB355))</f>
        <v/>
      </c>
      <c r="AQ355">
        <f>IF($C355="",0,MAX(0,$AP355-$AC355))</f>
        <v/>
      </c>
      <c r="AR355">
        <f>IF($C355="",0,MAX(0,$AQ355-$AD355))</f>
        <v/>
      </c>
      <c r="AS355">
        <f>IF($C355="",0,MAX(0,$AR355-$AE355))</f>
        <v/>
      </c>
      <c r="AT355">
        <f>IF($C355="",0,MAX(0,$AS355-$AF355))</f>
        <v/>
      </c>
      <c r="AU355">
        <f>IF($C355="",0,MAX(0,$AT355-$AG355))</f>
        <v/>
      </c>
      <c r="AV355">
        <f>IF($C355="",0,MAX(0,$AU355-$AH355))</f>
        <v/>
      </c>
      <c r="AW355">
        <f>IF($C355="",0,MAX(0,$AV355-$AI355))</f>
        <v/>
      </c>
      <c r="AX355">
        <f>IF($C355="",0,MAX(0,MAX(0,N($L355))+IF($P355=V$3,$R355,0)+IF($S355=V$3,$U355,0)-$V355))</f>
        <v/>
      </c>
      <c r="AY355">
        <f>IF($C355="",0,MAX(0,$AX355+IF($P355=W$3,$R355,0)+IF($S355=W$3,$U355,0)-$W355))</f>
        <v/>
      </c>
      <c r="AZ355">
        <f>IF($C355="",0,MAX(0,$AY355+IF($P355=X$3,$R355,0)+IF($S355=X$3,$U355,0)-$X355))</f>
        <v/>
      </c>
      <c r="BA355">
        <f>IF($C355="",0,MAX(0,$AZ355+IF($P355=Y$3,$R355,0)+IF($S355=Y$3,$U355,0)-$Y355))</f>
        <v/>
      </c>
      <c r="BB355">
        <f>IF($C355="",0,MAX(0,$BA355+IF($P355=Z$3,$R355,0)+IF($S355=Z$3,$U355,0)-$Z355))</f>
        <v/>
      </c>
      <c r="BC355">
        <f>IF($C355="",0,MAX(0,$BB355+IF($P355=AA$3,$R355,0)+IF($S355=AA$3,$U355,0)-$AA355))</f>
        <v/>
      </c>
      <c r="BD355">
        <f>IF($C355="",0,MAX(0,$BC355+IF($P355=AB$3,$R355,0)+IF($S355=AB$3,$U355,0)-$AB355))</f>
        <v/>
      </c>
      <c r="BE355">
        <f>IF($C355="",0,MAX(0,$BD355+IF($P355=AC$3,$R355,0)+IF($S355=AC$3,$U355,0)-$AC355))</f>
        <v/>
      </c>
      <c r="BF355">
        <f>IF($C355="",0,MAX(0,$BE355+IF($P355=AD$3,$R355,0)+IF($S355=AD$3,$U355,0)-$AD355))</f>
        <v/>
      </c>
      <c r="BG355">
        <f>IF($C355="",0,MAX(0,$BF355+IF($P355=AE$3,$R355,0)+IF($S355=AE$3,$U355,0)-$AE355))</f>
        <v/>
      </c>
      <c r="BH355">
        <f>IF($C355="",0,MAX(0,$BG355+IF($P355=AF$3,$R355,0)+IF($S355=AF$3,$U355,0)-$AF355))</f>
        <v/>
      </c>
      <c r="BI355">
        <f>IF($C355="",0,MAX(0,$BH355+IF($P355=AG$3,$R355,0)+IF($S355=AG$3,$U355,0)-$AG355))</f>
        <v/>
      </c>
      <c r="BJ355">
        <f>IF($C355="",0,MAX(0,$BI355+IF($P355=AH$3,$R355,0)+IF($S355=AH$3,$U355,0)-$AH355))</f>
        <v/>
      </c>
      <c r="BK355">
        <f>IF($C355="",0,MAX(0,$BJ355+IF($P355=AI$3,$R355,0)+IF($S355=AI$3,$U355,0)-$AI355))</f>
        <v/>
      </c>
      <c r="BL355">
        <f>IF($C355="",99,IF(AND($AX355&lt;1,V$3&gt;=MAX(N($P355),N($S355))),0,99))</f>
        <v/>
      </c>
      <c r="BM355">
        <f>IF($C355="",99,IF(AND($AY355&lt;1,W$3&gt;=MAX(N($P355),N($S355))),1,99))</f>
        <v/>
      </c>
      <c r="BN355">
        <f>IF($C355="",99,IF(AND($AZ355&lt;1,X$3&gt;=MAX(N($P355),N($S355))),2,99))</f>
        <v/>
      </c>
      <c r="BO355">
        <f>IF($C355="",99,IF(AND($BA355&lt;1,Y$3&gt;=MAX(N($P355),N($S355))),3,99))</f>
        <v/>
      </c>
      <c r="BP355">
        <f>IF($C355="",99,IF(AND($BB355&lt;1,Z$3&gt;=MAX(N($P355),N($S355))),4,99))</f>
        <v/>
      </c>
      <c r="BQ355">
        <f>IF($C355="",99,IF(AND($BC355&lt;1,AA$3&gt;=MAX(N($P355),N($S355))),5,99))</f>
        <v/>
      </c>
      <c r="BR355">
        <f>IF($C355="",99,IF(AND($BD355&lt;1,AB$3&gt;=MAX(N($P355),N($S355))),6,99))</f>
        <v/>
      </c>
      <c r="BS355">
        <f>IF($C355="",99,IF(AND($BE355&lt;1,AC$3&gt;=MAX(N($P355),N($S355))),7,99))</f>
        <v/>
      </c>
      <c r="BT355">
        <f>IF($C355="",99,IF(AND($BF355&lt;1,AD$3&gt;=MAX(N($P355),N($S355))),8,99))</f>
        <v/>
      </c>
      <c r="BU355">
        <f>IF($C355="",99,IF(AND($BG355&lt;1,AE$3&gt;=MAX(N($P355),N($S355))),9,99))</f>
        <v/>
      </c>
      <c r="BV355">
        <f>IF($C355="",99,IF(AND($BH355&lt;1,AF$3&gt;=MAX(N($P355),N($S355))),10,99))</f>
        <v/>
      </c>
      <c r="BW355">
        <f>IF($C355="",99,IF(AND($BI355&lt;1,AG$3&gt;=MAX(N($P355),N($S355))),11,99))</f>
        <v/>
      </c>
      <c r="BX355">
        <f>IF($C355="",99,IF(AND($BJ355&lt;1,AH$3&gt;=MAX(N($P355),N($S355))),12,99))</f>
        <v/>
      </c>
      <c r="BY355">
        <f>IF($C355="",99,IF(AND($BK355&lt;1,AI$3&gt;=MAX(N($P355),N($S355))),13,99))</f>
        <v/>
      </c>
      <c r="BZ355">
        <f>IF(OR($C355="",$M355=""),"",COUNTIF($AJ355:$AW355,"&gt;=1"))</f>
        <v/>
      </c>
      <c r="CA355" s="90">
        <f>IF($BZ355="","",IF($BZ355&gt;=14,"",'設定'!$C$6+$BZ355))</f>
        <v/>
      </c>
      <c r="CB355">
        <f>IF(OR($C355="",$M355=""),"",MIN($BL355:$BY355))</f>
        <v/>
      </c>
      <c r="CC355" s="90">
        <f>IF($CB355="","",IF($CB355&gt;=99,"",'設定'!$C$6+$CB355))</f>
        <v/>
      </c>
      <c r="CD355">
        <f>IF(OR($C355="",$M355=""),"",AVERAGE($V355:$AI355))</f>
        <v/>
      </c>
      <c r="CE355">
        <f>IF($C355="","",IFERROR(IF(MATCH(IF(ISNUMBER($P355),$P355,'設定'!$C$6+N('設定'!$C$7)),$V$3:$AI$3,0)=1,MAX(0,N($L355)),INDEX($AJ355:$AW355,MATCH(IF(ISNUMBER($P355),$P355,'設定'!$C$6+N('設定'!$C$7)),$V$3:$AI$3,0)-1)),""))</f>
        <v/>
      </c>
      <c r="CF355">
        <f>IF(OR($C355="",$O355="",$CE355=""),"",IF($O355-$CE355&lt;=0,0,ROUNDUP(($O355-$CE355)/$G355,0)))</f>
        <v/>
      </c>
      <c r="CG355">
        <f>IF(OR($C355="",$CF355="",NOT(ISNUMBER($Q355))),0,MAX(0,$Q355-$CF355))</f>
        <v/>
      </c>
      <c r="CH355">
        <f>IF(OR($C355="",$O355="",$U355=0),0,IFERROR(ROUNDUP(MAX(0,IF(MATCH($S355,$V$3:$AI$3,0)=1,MAX(0,N($L355)),INDEX($AX355:$BK355,MATCH($S355,$V$3:$AI$3,0)-1))+$U355-$O355)/$G355,0),0))</f>
        <v/>
      </c>
      <c r="CI355">
        <f>IF($C355="","",IF(AND($P355="",$Q355=""),"",IF($P355="","⚠ 入庫日を ▼ から選んでください",IF(NOT(ISNUMBER($P355)),"⚠ 入庫日は ▼ から選んでください",IF($P355&lt;N('設定'!$C$6),"⚠ 入庫日が過去です（もう在庫に入っています）→ 消してください",IF($P355&gt;N('設定'!$C$6)+13,"⚠ 入庫日が14日より先です",IF(N($Q355)&lt;=0,"⚠ 入庫数を入れてください",IF($CG355&gt;0,"⚠ 目安より "&amp;$CG355&amp;" 多い（定数を超える）→ 減らす",""))))))))</f>
        <v/>
      </c>
      <c r="CJ355">
        <f>IF($C355="","",IF(AND($S355="",$T355=""),"",IF($S355="","⚠ 2便目：入庫日を ▼ から選んでください",IF(NOT(ISNUMBER($S355)),"⚠ 2便目：入庫日は ▼ から選んでください",IF($S355&lt;N('設定'!$C$6),"⚠ 2便目：入庫日が過去です（もう在庫に入っています）→ 消してください",IF($S355&gt;N('設定'!$C$6)+13,"⚠ 2便目：入庫日が14日より先です",IF(N($T355)&lt;=0,"⚠ 2便目：入庫数を入れてください",IF($CH355&gt;0,"⚠ 2便目：定数を "&amp;$CH355&amp;" ケース超える → 減らす",""))))))))</f>
        <v/>
      </c>
      <c r="CK355">
        <f>IF(AND($CI355="",N($Q355)&gt;0,ISNUMBER($P355)),1,0)</f>
        <v/>
      </c>
      <c r="CL355">
        <f>IF(AND($CJ355="",N($T355)&gt;0,ISNUMBER($S355)),1,0)</f>
        <v/>
      </c>
      <c r="CM355">
        <f>IF(OR($CK355=1,$CL355=1),1,0)</f>
        <v/>
      </c>
      <c r="CN355">
        <f>IF($C355="",0,($CK355*$R355+$CL355*$U355)*N($H355))</f>
        <v/>
      </c>
      <c r="CO355">
        <f>IF($C355="","",IF($CC355="","入庫後は 14日以上もつ",IF($CC355-N('設定'!$C$7)&lt;='設定'!$C$6,"入庫後も "&amp;TEXT($CC355,"m/d")&amp;"("&amp;CHOOSE(WEEKDAY($CC355),"日","月","火","水","木","金","土")&amp;")"&amp;" に切れる　もう1便を至急発注","入庫後も "&amp;TEXT($CC355,"m/d")&amp;"("&amp;CHOOSE(WEEKDAY($CC355),"日","月","火","水","木","金","土")&amp;")"&amp;" に切れる　"&amp;TEXT($CC355-N('設定'!$C$7),"m/d")&amp;"("&amp;CHOOSE(WEEKDAY($CC355-N('設定'!$C$7)),"日","月","火","水","木","金","土")&amp;")"&amp;" までに次を発注")))</f>
        <v/>
      </c>
      <c r="CP355">
        <f>IF($C355="","",IF('設定'!$C$6="","？ ①在庫を貼る に今日のCSVが貼られていない",IF($CS355=1,"－ 今日のCSVに無い（終売？）",IF($L355&lt;0,"● 在庫がマイナス　数えて「数えた在庫」に入れる",IF($L355=0,"● 在庫なし　至急発注",IF($M355="","？ 減り数が未設定（商品マスタ）",IF($B$3=0,"？ 動員が未入力（動員を入れる）",IF($CA355="","○ 14日以上もつ",IF($BZ355&lt;N('設定'!$C$7),"● "&amp;TEXT($CA355,"m/d")&amp;"("&amp;CHOOSE(WEEKDAY($CA355),"日","月","火","水","木","金","土")&amp;")"&amp;" に切れる　至急発注",IF($BZ355=N('設定'!$C$7),"● "&amp;TEXT($CA355,"m/d")&amp;"("&amp;CHOOSE(WEEKDAY($CA355),"日","月","火","水","木","金","土")&amp;")"&amp;" に切れる　今日発注","△ "&amp;TEXT($CA355,"m/d")&amp;"("&amp;CHOOSE(WEEKDAY($CA355),"日","月","火","水","木","金","土")&amp;")"&amp;" に切れる　"&amp;TEXT($CA355-N('設定'!$C$7),"m/d")&amp;"("&amp;CHOOSE(WEEKDAY($CA355-N('設定'!$C$7)),"日","月","火","水","木","金","土")&amp;")"&amp;" までに発注"))))))))))</f>
        <v/>
      </c>
      <c r="CQ355">
        <f>IF($C355="","",IF(AND($P355="",$Q355="",$S355="",$T355=""),"",IF(AND($P355="",$Q355=""),"⚠ 先に1便目（左の入庫日・入庫数）に入れてください",IF($CI355&lt;&gt;"",$CI355,IF($CJ355&lt;&gt;"",$CJ355,IF($M355="","？ 減り数が未設定（発注書には載ります）",IF($B$3=0,"？ 動員が未入力（発注書には載ります）",IF(AND($CA355&lt;&gt;"",$P355&gt;$CA355),IF($P355&gt;'設定'!$C$6+N('設定'!$C$7),"● "&amp;TEXT($P355,"m/d")&amp;"("&amp;CHOOSE(WEEKDAY($P355),"日","月","火","水","木","金","土")&amp;")"&amp;" の入庫では間に合わない（"&amp;TEXT($CA355,"m/d")&amp;"("&amp;CHOOSE(WEEKDAY($CA355),"日","月","火","水","木","金","土")&amp;")"&amp;" に切れる）　入庫日を早める","△ 欠品 "&amp;TEXT($CA355,"m/d")&amp;"("&amp;CHOOSE(WEEKDAY($CA355),"日","月","火","水","木","金","土")&amp;")"&amp;"〜"&amp;TEXT($P355-1,"m/d")&amp;"("&amp;CHOOSE(WEEKDAY($P355-1),"日","月","火","水","木","金","土")&amp;")"&amp;"　"&amp;$CO355),IF($CC355="","○ "&amp;TEXT($P355,"m/d")&amp;"("&amp;CHOOSE(WEEKDAY($P355),"日","月","火","水","木","金","土")&amp;")"&amp;" 入庫で 14日以上もつ",IF($CC355-N('設定'!$C$7)&lt;='設定'!$C$6,"● 入庫しても "&amp;TEXT($CC355,"m/d")&amp;"("&amp;CHOOSE(WEEKDAY($CC355),"日","月","火","水","木","金","土")&amp;")"&amp;" に切れる　もう1便を至急発注（2便目に入れる）","△ 入庫しても "&amp;TEXT($CC355,"m/d")&amp;"("&amp;CHOOSE(WEEKDAY($CC355),"日","月","火","水","木","金","土")&amp;")"&amp;" に切れる　"&amp;TEXT($CC355-N('設定'!$C$7),"m/d")&amp;"("&amp;CHOOSE(WEEKDAY($CC355-N('設定'!$C$7)),"日","月","火","水","木","金","土")&amp;")"&amp;" までに次を発注（2便目に入れる）"))))))))))</f>
        <v/>
      </c>
      <c r="CR355">
        <f>IF($C355="","",IF($G355&gt;1,"ｹｰｽ("&amp;$G355&amp;"入)","個"))</f>
        <v/>
      </c>
      <c r="CS355">
        <f>IF($C355="",0,IF(COUNTIFS('①在庫を貼る'!$V$6:$V$10005,'設定'!$C$4,'①在庫を貼る'!$W$6:$W$10005,$C355)=0,1,0))</f>
        <v/>
      </c>
      <c r="CT355">
        <f>IF(AND($CK355=1,OR('③発注書'!$C$4="すべて",'③発注書'!$C$4="",$F355='③発注書'!$C$4)),N($CT354)+1,N($CT354))</f>
        <v/>
      </c>
      <c r="CU355">
        <f>IF(AND($CL355=1,OR('③発注書'!$C$4="すべて",'③発注書'!$C$4="",$F355='③発注書'!$C$4)),N($CU354)+1,N($CU354))</f>
        <v/>
      </c>
      <c r="CV355">
        <f>IF($C355="",0,IF(COUNTIFS('①在庫を貼る'!$V$6:$V$10005,'設定'!$C$4,'①在庫を貼る'!$W$6:$W$10005,$C355)&gt;0,1,0))</f>
        <v/>
      </c>
      <c r="CW355">
        <f>IF($C355="",0,IF(COUNTIFS('月1回_1ヶ月前の在庫'!$V$6:$V$10005,'設定'!$C$4,'月1回_1ヶ月前の在庫'!$W$6:$W$10005,$C355)&gt;0,1,0))</f>
        <v/>
      </c>
      <c r="CX355">
        <f>IF($C355="",0,IF(COUNTIFS('月1回_2ヶ月前の在庫'!$V$6:$V$10005,'設定'!$C$4,'月1回_2ヶ月前の在庫'!$W$6:$W$10005,$C355)&gt;0,1,0))</f>
        <v/>
      </c>
      <c r="CY355">
        <f>IF(OR($C355="",'設定'!$C$12=""),"",IF('設定'!$C$13="",IF(AND($CV355=1,$CW355=0),"新商品（今月から）",IF(AND($CV355=0,$CW355=1),"終売（今月から）","")),IF(AND($CV355=1,$CW355=0,$CX355=0),"新商品（今月から）",IF(AND($CV355=1,$CW355=1,$CX355=0),"新商品（先月から）",IF(AND($CV355=0,$CW355=1,$CX355=1),"終売（今月から）",IF(AND($CV355=0,$CW355=0,$CX355=1),"終売（先月から）",IF(AND($CV355=1,$CW355=0,$CX355=1),"復活（先月は無し）","")))))))</f>
        <v/>
      </c>
    </row>
    <row r="356">
      <c r="B356">
        <f>IF(351&lt;='設定'!$C$11,351,"")</f>
        <v/>
      </c>
      <c r="C356">
        <f>IF($B356="","",IF($B356&lt;='設定'!$C$20,INDEX('商品マスタ'!$B$6:$B$1005,MATCH($B356,'商品マスタ'!$M$6:$M$1005,0)),IF($B356&lt;='設定'!$C$20+'設定'!$C$17,INDEX('①在庫を貼る'!$W$6:$W$10005,MATCH($B356-'設定'!$C$20,'①在庫を貼る'!$U$6:$U$10005,0)),IF($B356&lt;='設定'!$C$20+'設定'!$C$17+'設定'!$C$18,INDEX('月1回_1ヶ月前の在庫'!$W$6:$W$10005,MATCH($B356-'設定'!$C$20-'設定'!$C$17,'月1回_1ヶ月前の在庫'!$U$6:$U$10005,0)),INDEX('月1回_2ヶ月前の在庫'!$W$6:$W$10005,MATCH($B356-'設定'!$C$20-'設定'!$C$17-'設定'!$C$18,'月1回_2ヶ月前の在庫'!$U$6:$U$10005,0))))))</f>
        <v/>
      </c>
      <c r="D356">
        <f>IF($C356="","",IFERROR(IF(INDEX('商品マスタ'!$C$6:$C$1005,MATCH($C356,'商品マスタ'!$B$6:$B$1005,0))="",IFERROR(INDEX('①在庫を貼る'!$J$6:$J$10005,MATCH($C356,'①在庫を貼る'!$W$6:$W$10005,0)),IFERROR(INDEX('月1回_1ヶ月前の在庫'!$J$6:$J$10005,MATCH($C356,'月1回_1ヶ月前の在庫'!$W$6:$W$10005,0)),IFERROR(INDEX('月1回_2ヶ月前の在庫'!$J$6:$J$10005,MATCH($C356,'月1回_2ヶ月前の在庫'!$W$6:$W$10005,0)),""))),INDEX('商品マスタ'!$C$6:$C$1005,MATCH($C356,'商品マスタ'!$B$6:$B$1005,0))),IFERROR(INDEX('①在庫を貼る'!$J$6:$J$10005,MATCH($C356,'①在庫を貼る'!$W$6:$W$10005,0)),IFERROR(INDEX('月1回_1ヶ月前の在庫'!$J$6:$J$10005,MATCH($C356,'月1回_1ヶ月前の在庫'!$W$6:$W$10005,0)),IFERROR(INDEX('月1回_2ヶ月前の在庫'!$J$6:$J$10005,MATCH($C356,'月1回_2ヶ月前の在庫'!$W$6:$W$10005,0)),"")))))</f>
        <v/>
      </c>
      <c r="E356">
        <f>IF($C356="","",IFERROR(IF(INDEX('商品マスタ'!$D$6:$D$1005,MATCH($C356,'商品マスタ'!$B$6:$B$1005,0))="",IFERROR(INDEX('①在庫を貼る'!$H$6:$H$10005,MATCH($C356,'①在庫を貼る'!$W$6:$W$10005,0)),IFERROR(INDEX('月1回_1ヶ月前の在庫'!$H$6:$H$10005,MATCH($C356,'月1回_1ヶ月前の在庫'!$W$6:$W$10005,0)),IFERROR(INDEX('月1回_2ヶ月前の在庫'!$H$6:$H$10005,MATCH($C356,'月1回_2ヶ月前の在庫'!$W$6:$W$10005,0)),""))),INDEX('商品マスタ'!$D$6:$D$1005,MATCH($C356,'商品マスタ'!$B$6:$B$1005,0))),IFERROR(INDEX('①在庫を貼る'!$H$6:$H$10005,MATCH($C356,'①在庫を貼る'!$W$6:$W$10005,0)),IFERROR(INDEX('月1回_1ヶ月前の在庫'!$H$6:$H$10005,MATCH($C356,'月1回_1ヶ月前の在庫'!$W$6:$W$10005,0)),IFERROR(INDEX('月1回_2ヶ月前の在庫'!$H$6:$H$10005,MATCH($C356,'月1回_2ヶ月前の在庫'!$W$6:$W$10005,0)),"")))))</f>
        <v/>
      </c>
      <c r="F356">
        <f>IF($C356="","",IFERROR(IF(INDEX('商品マスタ'!$E$6:$E$1005,MATCH($C356,'商品マスタ'!$B$6:$B$1005,0))="",IFERROR(INDEX('①在庫を貼る'!$E$6:$E$10005,MATCH($C356,'①在庫を貼る'!$W$6:$W$10005,0)),IFERROR(INDEX('月1回_1ヶ月前の在庫'!$E$6:$E$10005,MATCH($C356,'月1回_1ヶ月前の在庫'!$W$6:$W$10005,0)),IFERROR(INDEX('月1回_2ヶ月前の在庫'!$E$6:$E$10005,MATCH($C356,'月1回_2ヶ月前の在庫'!$W$6:$W$10005,0)),""))),INDEX('商品マスタ'!$E$6:$E$1005,MATCH($C356,'商品マスタ'!$B$6:$B$1005,0))),IFERROR(INDEX('①在庫を貼る'!$E$6:$E$10005,MATCH($C356,'①在庫を貼る'!$W$6:$W$10005,0)),IFERROR(INDEX('月1回_1ヶ月前の在庫'!$E$6:$E$10005,MATCH($C356,'月1回_1ヶ月前の在庫'!$W$6:$W$10005,0)),IFERROR(INDEX('月1回_2ヶ月前の在庫'!$E$6:$E$10005,MATCH($C356,'月1回_2ヶ月前の在庫'!$W$6:$W$10005,0)),"")))))</f>
        <v/>
      </c>
      <c r="G356">
        <f>IF($C356="","",MAX(1,N(IFERROR(IF(INDEX('商品マスタ'!$F$6:$F$1005,MATCH($C356,'商品マスタ'!$B$6:$B$1005,0))="",IF(COUNTIFS('①在庫を貼る'!$V$6:$V$10005,'設定'!$C$4,'①在庫を貼る'!$W$6:$W$10005,$C356)&gt;0,SUMIFS('①在庫を貼る'!$K$6:$K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K$6:$K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K$6:$K$10005,'月1回_2ヶ月前の在庫'!$V$6:$V$10005,'設定'!$C$4,'月1回_2ヶ月前の在庫'!$W$6:$W$10005,$C356)/COUNTIFS('月1回_2ヶ月前の在庫'!$V$6:$V$10005,'設定'!$C$4,'月1回_2ヶ月前の在庫'!$W$6:$W$10005,$C356),0))),INDEX('商品マスタ'!$F$6:$F$1005,MATCH($C356,'商品マスタ'!$B$6:$B$1005,0))),IF(COUNTIFS('①在庫を貼る'!$V$6:$V$10005,'設定'!$C$4,'①在庫を貼る'!$W$6:$W$10005,$C356)&gt;0,SUMIFS('①在庫を貼る'!$K$6:$K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K$6:$K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K$6:$K$10005,'月1回_2ヶ月前の在庫'!$V$6:$V$10005,'設定'!$C$4,'月1回_2ヶ月前の在庫'!$W$6:$W$10005,$C356)/COUNTIFS('月1回_2ヶ月前の在庫'!$V$6:$V$10005,'設定'!$C$4,'月1回_2ヶ月前の在庫'!$W$6:$W$10005,$C356),0)))))))</f>
        <v/>
      </c>
      <c r="H356">
        <f>IF($C356="","",N(IFERROR(IF(INDEX('商品マスタ'!$G$6:$G$1005,MATCH($C356,'商品マスタ'!$B$6:$B$1005,0))="",IF(COUNTIFS('①在庫を貼る'!$V$6:$V$10005,'設定'!$C$4,'①在庫を貼る'!$W$6:$W$10005,$C356)&gt;0,SUMIFS('①在庫を貼る'!$Q$6:$Q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Q$6:$Q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Q$6:$Q$10005,'月1回_2ヶ月前の在庫'!$V$6:$V$10005,'設定'!$C$4,'月1回_2ヶ月前の在庫'!$W$6:$W$10005,$C356)/COUNTIFS('月1回_2ヶ月前の在庫'!$V$6:$V$10005,'設定'!$C$4,'月1回_2ヶ月前の在庫'!$W$6:$W$10005,$C356),0))),INDEX('商品マスタ'!$G$6:$G$1005,MATCH($C356,'商品マスタ'!$B$6:$B$1005,0))),IF(COUNTIFS('①在庫を貼る'!$V$6:$V$10005,'設定'!$C$4,'①在庫を貼る'!$W$6:$W$10005,$C356)&gt;0,SUMIFS('①在庫を貼る'!$Q$6:$Q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Q$6:$Q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Q$6:$Q$10005,'月1回_2ヶ月前の在庫'!$V$6:$V$10005,'設定'!$C$4,'月1回_2ヶ月前の在庫'!$W$6:$W$10005,$C356)/COUNTIFS('月1回_2ヶ月前の在庫'!$V$6:$V$10005,'設定'!$C$4,'月1回_2ヶ月前の在庫'!$W$6:$W$10005,$C356),0))))))</f>
        <v/>
      </c>
      <c r="I356">
        <f>IF($C356="","",IF(COUNTIFS('①在庫を貼る'!$V$6:$V$10005,'設定'!$C$4,'①在庫を貼る'!$W$6:$W$10005,$C356)=0,"",SUMIFS('①在庫を貼る'!$N$6:$N$10005,'①在庫を貼る'!$V$6:$V$10005,'設定'!$C$4,'①在庫を貼る'!$W$6:$W$10005,$C356)))</f>
        <v/>
      </c>
      <c r="J356">
        <f>IF($C356="","",IF('②発注する'!$AD360="","",'②発注する'!$AD360))</f>
        <v/>
      </c>
      <c r="K356" s="90">
        <f>IF($C356="","",IF('②発注する'!$AE360="","",'②発注する'!$AE360))</f>
        <v/>
      </c>
      <c r="L356">
        <f>IF($C356="","",IF(AND(ISNUMBER($J356),ISNUMBER($K356),$K356&gt;='設定'!$C$6),$J356,N($I356)))</f>
        <v/>
      </c>
      <c r="M356">
        <f>IF($C356="","",IFERROR(IF(N(INDEX('商品マスタ'!$J$6:$J$1005,MATCH($C356,'商品マスタ'!$B$6:$B$1005,0)))&gt;0,INDEX('商品マスタ'!$J$6:$J$1005,MATCH($C356,'商品マスタ'!$B$6:$B$1005,0)),""),""))</f>
        <v/>
      </c>
      <c r="N356">
        <f>IF($C356="","",IFERROR(IF(N(INDEX('商品マスタ'!$H$6:$H$1005,MATCH($C356,'商品マスタ'!$B$6:$B$1005,0)))&gt;0,INDEX('商品マスタ'!$H$6:$H$1005,MATCH($C356,'商品マスタ'!$B$6:$B$1005,0)),""),""))</f>
        <v/>
      </c>
      <c r="O356">
        <f>IF($C356="","",IF($N356&lt;&gt;"",$N356*$G356,IF(N(IF(COUNTIFS('①在庫を貼る'!$V$6:$V$10005,'設定'!$C$4,'①在庫を貼る'!$W$6:$W$10005,$C356)&gt;0,SUMIFS('①在庫を貼る'!$O$6:$O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O$6:$O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O$6:$O$10005,'月1回_2ヶ月前の在庫'!$V$6:$V$10005,'設定'!$C$4,'月1回_2ヶ月前の在庫'!$W$6:$W$10005,$C356)/COUNTIFS('月1回_2ヶ月前の在庫'!$V$6:$V$10005,'設定'!$C$4,'月1回_2ヶ月前の在庫'!$W$6:$W$10005,$C356),0))))&gt;0,N(IF(COUNTIFS('①在庫を貼る'!$V$6:$V$10005,'設定'!$C$4,'①在庫を貼る'!$W$6:$W$10005,$C356)&gt;0,SUMIFS('①在庫を貼る'!$O$6:$O$10005,'①在庫を貼る'!$V$6:$V$10005,'設定'!$C$4,'①在庫を貼る'!$W$6:$W$10005,$C356)/COUNTIFS('①在庫を貼る'!$V$6:$V$10005,'設定'!$C$4,'①在庫を貼る'!$W$6:$W$10005,$C356),IF(COUNTIFS('月1回_1ヶ月前の在庫'!$V$6:$V$10005,'設定'!$C$4,'月1回_1ヶ月前の在庫'!$W$6:$W$10005,$C356)&gt;0,SUMIFS('月1回_1ヶ月前の在庫'!$O$6:$O$10005,'月1回_1ヶ月前の在庫'!$V$6:$V$10005,'設定'!$C$4,'月1回_1ヶ月前の在庫'!$W$6:$W$10005,$C356)/COUNTIFS('月1回_1ヶ月前の在庫'!$V$6:$V$10005,'設定'!$C$4,'月1回_1ヶ月前の在庫'!$W$6:$W$10005,$C356),IF(COUNTIFS('月1回_2ヶ月前の在庫'!$V$6:$V$10005,'設定'!$C$4,'月1回_2ヶ月前の在庫'!$W$6:$W$10005,$C356)&gt;0,SUMIFS('月1回_2ヶ月前の在庫'!$O$6:$O$10005,'月1回_2ヶ月前の在庫'!$V$6:$V$10005,'設定'!$C$4,'月1回_2ヶ月前の在庫'!$W$6:$W$10005,$C356)/COUNTIFS('月1回_2ヶ月前の在庫'!$V$6:$V$10005,'設定'!$C$4,'月1回_2ヶ月前の在庫'!$W$6:$W$10005,$C356),0)))),"")))</f>
        <v/>
      </c>
      <c r="P356" s="90">
        <f>IF($C356="","",IF('②発注する'!$I360="","",'②発注する'!$I360))</f>
        <v/>
      </c>
      <c r="Q356">
        <f>IF($C356="","",IF('②発注する'!$J360="","",'②発注する'!$J360))</f>
        <v/>
      </c>
      <c r="R356">
        <f>IF($C356="",0,IF(AND(ISNUMBER($P356),ISNUMBER($Q356)),MAX(0,$Q356)*$G356,0))</f>
        <v/>
      </c>
      <c r="S356" s="90">
        <f>IF($C356="","",IF('②発注する'!$M360="","",'②発注する'!$M360))</f>
        <v/>
      </c>
      <c r="T356">
        <f>IF($C356="","",IF('②発注する'!$N360="","",'②発注する'!$N360))</f>
        <v/>
      </c>
      <c r="U356">
        <f>IF($C356="",0,IF(AND(ISNUMBER($S356),ISNUMBER($T356)),MAX(0,$T356)*$G356,0))</f>
        <v/>
      </c>
      <c r="V356">
        <f>IF($C356="",0,IF($M356="",0,MAX(0,$M356)*MAX(0,V$4)/100))</f>
        <v/>
      </c>
      <c r="W356">
        <f>IF($C356="",0,IF($M356="",0,MAX(0,$M356)*MAX(0,W$4)/100))</f>
        <v/>
      </c>
      <c r="X356">
        <f>IF($C356="",0,IF($M356="",0,MAX(0,$M356)*MAX(0,X$4)/100))</f>
        <v/>
      </c>
      <c r="Y356">
        <f>IF($C356="",0,IF($M356="",0,MAX(0,$M356)*MAX(0,Y$4)/100))</f>
        <v/>
      </c>
      <c r="Z356">
        <f>IF($C356="",0,IF($M356="",0,MAX(0,$M356)*MAX(0,Z$4)/100))</f>
        <v/>
      </c>
      <c r="AA356">
        <f>IF($C356="",0,IF($M356="",0,MAX(0,$M356)*MAX(0,AA$4)/100))</f>
        <v/>
      </c>
      <c r="AB356">
        <f>IF($C356="",0,IF($M356="",0,MAX(0,$M356)*MAX(0,AB$4)/100))</f>
        <v/>
      </c>
      <c r="AC356">
        <f>IF($C356="",0,IF($M356="",0,MAX(0,$M356)*MAX(0,AC$4)/100))</f>
        <v/>
      </c>
      <c r="AD356">
        <f>IF($C356="",0,IF($M356="",0,MAX(0,$M356)*MAX(0,AD$4)/100))</f>
        <v/>
      </c>
      <c r="AE356">
        <f>IF($C356="",0,IF($M356="",0,MAX(0,$M356)*MAX(0,AE$4)/100))</f>
        <v/>
      </c>
      <c r="AF356">
        <f>IF($C356="",0,IF($M356="",0,MAX(0,$M356)*MAX(0,AF$4)/100))</f>
        <v/>
      </c>
      <c r="AG356">
        <f>IF($C356="",0,IF($M356="",0,MAX(0,$M356)*MAX(0,AG$4)/100))</f>
        <v/>
      </c>
      <c r="AH356">
        <f>IF($C356="",0,IF($M356="",0,MAX(0,$M356)*MAX(0,AH$4)/100))</f>
        <v/>
      </c>
      <c r="AI356">
        <f>IF($C356="",0,IF($M356="",0,MAX(0,$M356)*MAX(0,AI$4)/100))</f>
        <v/>
      </c>
      <c r="AJ356">
        <f>IF($C356="",0,MAX(0,MAX(0,N($L356))-$V356))</f>
        <v/>
      </c>
      <c r="AK356">
        <f>IF($C356="",0,MAX(0,$AJ356-$W356))</f>
        <v/>
      </c>
      <c r="AL356">
        <f>IF($C356="",0,MAX(0,$AK356-$X356))</f>
        <v/>
      </c>
      <c r="AM356">
        <f>IF($C356="",0,MAX(0,$AL356-$Y356))</f>
        <v/>
      </c>
      <c r="AN356">
        <f>IF($C356="",0,MAX(0,$AM356-$Z356))</f>
        <v/>
      </c>
      <c r="AO356">
        <f>IF($C356="",0,MAX(0,$AN356-$AA356))</f>
        <v/>
      </c>
      <c r="AP356">
        <f>IF($C356="",0,MAX(0,$AO356-$AB356))</f>
        <v/>
      </c>
      <c r="AQ356">
        <f>IF($C356="",0,MAX(0,$AP356-$AC356))</f>
        <v/>
      </c>
      <c r="AR356">
        <f>IF($C356="",0,MAX(0,$AQ356-$AD356))</f>
        <v/>
      </c>
      <c r="AS356">
        <f>IF($C356="",0,MAX(0,$AR356-$AE356))</f>
        <v/>
      </c>
      <c r="AT356">
        <f>IF($C356="",0,MAX(0,$AS356-$AF356))</f>
        <v/>
      </c>
      <c r="AU356">
        <f>IF($C356="",0,MAX(0,$AT356-$AG356))</f>
        <v/>
      </c>
      <c r="AV356">
        <f>IF($C356="",0,MAX(0,$AU356-$AH356))</f>
        <v/>
      </c>
      <c r="AW356">
        <f>IF($C356="",0,MAX(0,$AV356-$AI356))</f>
        <v/>
      </c>
      <c r="AX356">
        <f>IF($C356="",0,MAX(0,MAX(0,N($L356))+IF($P356=V$3,$R356,0)+IF($S356=V$3,$U356,0)-$V356))</f>
        <v/>
      </c>
      <c r="AY356">
        <f>IF($C356="",0,MAX(0,$AX356+IF($P356=W$3,$R356,0)+IF($S356=W$3,$U356,0)-$W356))</f>
        <v/>
      </c>
      <c r="AZ356">
        <f>IF($C356="",0,MAX(0,$AY356+IF($P356=X$3,$R356,0)+IF($S356=X$3,$U356,0)-$X356))</f>
        <v/>
      </c>
      <c r="BA356">
        <f>IF($C356="",0,MAX(0,$AZ356+IF($P356=Y$3,$R356,0)+IF($S356=Y$3,$U356,0)-$Y356))</f>
        <v/>
      </c>
      <c r="BB356">
        <f>IF($C356="",0,MAX(0,$BA356+IF($P356=Z$3,$R356,0)+IF($S356=Z$3,$U356,0)-$Z356))</f>
        <v/>
      </c>
      <c r="BC356">
        <f>IF($C356="",0,MAX(0,$BB356+IF($P356=AA$3,$R356,0)+IF($S356=AA$3,$U356,0)-$AA356))</f>
        <v/>
      </c>
      <c r="BD356">
        <f>IF($C356="",0,MAX(0,$BC356+IF($P356=AB$3,$R356,0)+IF($S356=AB$3,$U356,0)-$AB356))</f>
        <v/>
      </c>
      <c r="BE356">
        <f>IF($C356="",0,MAX(0,$BD356+IF($P356=AC$3,$R356,0)+IF($S356=AC$3,$U356,0)-$AC356))</f>
        <v/>
      </c>
      <c r="BF356">
        <f>IF($C356="",0,MAX(0,$BE356+IF($P356=AD$3,$R356,0)+IF($S356=AD$3,$U356,0)-$AD356))</f>
        <v/>
      </c>
      <c r="BG356">
        <f>IF($C356="",0,MAX(0,$BF356+IF($P356=AE$3,$R356,0)+IF($S356=AE$3,$U356,0)-$AE356))</f>
        <v/>
      </c>
      <c r="BH356">
        <f>IF($C356="",0,MAX(0,$BG356+IF($P356=AF$3,$R356,0)+IF($S356=AF$3,$U356,0)-$AF356))</f>
        <v/>
      </c>
      <c r="BI356">
        <f>IF($C356="",0,MAX(0,$BH356+IF($P356=AG$3,$R356,0)+IF($S356=AG$3,$U356,0)-$AG356))</f>
        <v/>
      </c>
      <c r="BJ356">
        <f>IF($C356="",0,MAX(0,$BI356+IF($P356=AH$3,$R356,0)+IF($S356=AH$3,$U356,0)-$AH356))</f>
        <v/>
      </c>
      <c r="BK356">
        <f>IF($C356="",0,MAX(0,$BJ356+IF($P356=AI$3,$R356,0)+IF($S356=AI$3,$U356,0)-$AI356))</f>
        <v/>
      </c>
      <c r="BL356">
        <f>IF($C356="",99,IF(AND($AX356&lt;1,V$3&gt;=MAX(N($P356),N($S356))),0,99))</f>
        <v/>
      </c>
      <c r="BM356">
        <f>IF($C356="",99,IF(AND($AY356&lt;1,W$3&gt;=MAX(N($P356),N($S356))),1,99))</f>
        <v/>
      </c>
      <c r="BN356">
        <f>IF($C356="",99,IF(AND($AZ356&lt;1,X$3&gt;=MAX(N($P356),N($S356))),2,99))</f>
        <v/>
      </c>
      <c r="BO356">
        <f>IF($C356="",99,IF(AND($BA356&lt;1,Y$3&gt;=MAX(N($P356),N($S356))),3,99))</f>
        <v/>
      </c>
      <c r="BP356">
        <f>IF($C356="",99,IF(AND($BB356&lt;1,Z$3&gt;=MAX(N($P356),N($S356))),4,99))</f>
        <v/>
      </c>
      <c r="BQ356">
        <f>IF($C356="",99,IF(AND($BC356&lt;1,AA$3&gt;=MAX(N($P356),N($S356))),5,99))</f>
        <v/>
      </c>
      <c r="BR356">
        <f>IF($C356="",99,IF(AND($BD356&lt;1,AB$3&gt;=MAX(N($P356),N($S356))),6,99))</f>
        <v/>
      </c>
      <c r="BS356">
        <f>IF($C356="",99,IF(AND($BE356&lt;1,AC$3&gt;=MAX(N($P356),N($S356))),7,99))</f>
        <v/>
      </c>
      <c r="BT356">
        <f>IF($C356="",99,IF(AND($BF356&lt;1,AD$3&gt;=MAX(N($P356),N($S356))),8,99))</f>
        <v/>
      </c>
      <c r="BU356">
        <f>IF($C356="",99,IF(AND($BG356&lt;1,AE$3&gt;=MAX(N($P356),N($S356))),9,99))</f>
        <v/>
      </c>
      <c r="BV356">
        <f>IF($C356="",99,IF(AND($BH356&lt;1,AF$3&gt;=MAX(N($P356),N($S356))),10,99))</f>
        <v/>
      </c>
      <c r="BW356">
        <f>IF($C356="",99,IF(AND($BI356&lt;1,AG$3&gt;=MAX(N($P356),N($S356))),11,99))</f>
        <v/>
      </c>
      <c r="BX356">
        <f>IF($C356="",99,IF(AND($BJ356&lt;1,AH$3&gt;=MAX(N($P356),N($S356))),12,99))</f>
        <v/>
      </c>
      <c r="BY356">
        <f>IF($C356="",99,IF(AND($BK356&lt;1,AI$3&gt;=MAX(N($P356),N($S356))),13,99))</f>
        <v/>
      </c>
      <c r="BZ356">
        <f>IF(OR($C356="",$M356=""),"",COUNTIF($AJ356:$AW356,"&gt;=1"))</f>
        <v/>
      </c>
      <c r="CA356" s="90">
        <f>IF($BZ356="","",IF($BZ356&gt;=14,"",'設定'!$C$6+$BZ356))</f>
        <v/>
      </c>
      <c r="CB356">
        <f>IF(OR($C356="",$M356=""),"",MIN($BL356:$BY356))</f>
        <v/>
      </c>
      <c r="CC356" s="90">
        <f>IF($CB356="","",IF($CB356&gt;=99,"",'設定'!$C$6+$CB356))</f>
        <v/>
      </c>
      <c r="CD356">
        <f>IF(OR($C356="",$M356=""),"",AVERAGE($V356:$AI356))</f>
        <v/>
      </c>
      <c r="CE356">
        <f>IF($C356="","",IFERROR(IF(MATCH(IF(ISNUMBER($P356),$P356,'設定'!$C$6+N('設定'!$C$7)),$V$3:$AI$3,0)=1,MAX(0,N($L356)),INDEX($AJ356:$AW356,MATCH(IF(ISNUMBER($P356),$P356,'設定'!$C$6+N('設定'!$C$7)),$V$3:$AI$3,0)-1)),""))</f>
        <v/>
      </c>
      <c r="CF356">
        <f>IF(OR($C356="",$O356="",$CE356=""),"",IF($O356-$CE356&lt;=0,0,ROUNDUP(($O356-$CE356)/$G356,0)))</f>
        <v/>
      </c>
      <c r="CG356">
        <f>IF(OR($C356="",$CF356="",NOT(ISNUMBER($Q356))),0,MAX(0,$Q356-$CF356))</f>
        <v/>
      </c>
      <c r="CH356">
        <f>IF(OR($C356="",$O356="",$U356=0),0,IFERROR(ROUNDUP(MAX(0,IF(MATCH($S356,$V$3:$AI$3,0)=1,MAX(0,N($L356)),INDEX($AX356:$BK356,MATCH($S356,$V$3:$AI$3,0)-1))+$U356-$O356)/$G356,0),0))</f>
        <v/>
      </c>
      <c r="CI356">
        <f>IF($C356="","",IF(AND($P356="",$Q356=""),"",IF($P356="","⚠ 入庫日を ▼ から選んでください",IF(NOT(ISNUMBER($P356)),"⚠ 入庫日は ▼ から選んでください",IF($P356&lt;N('設定'!$C$6),"⚠ 入庫日が過去です（もう在庫に入っています）→ 消してください",IF($P356&gt;N('設定'!$C$6)+13,"⚠ 入庫日が14日より先です",IF(N($Q356)&lt;=0,"⚠ 入庫数を入れてください",IF($CG356&gt;0,"⚠ 目安より "&amp;$CG356&amp;" 多い（定数を超える）→ 減らす",""))))))))</f>
        <v/>
      </c>
      <c r="CJ356">
        <f>IF($C356="","",IF(AND($S356="",$T356=""),"",IF($S356="","⚠ 2便目：入庫日を ▼ から選んでください",IF(NOT(ISNUMBER($S356)),"⚠ 2便目：入庫日は ▼ から選んでください",IF($S356&lt;N('設定'!$C$6),"⚠ 2便目：入庫日が過去です（もう在庫に入っています）→ 消してください",IF($S356&gt;N('設定'!$C$6)+13,"⚠ 2便目：入庫日が14日より先です",IF(N($T356)&lt;=0,"⚠ 2便目：入庫数を入れてください",IF($CH356&gt;0,"⚠ 2便目：定数を "&amp;$CH356&amp;" ケース超える → 減らす",""))))))))</f>
        <v/>
      </c>
      <c r="CK356">
        <f>IF(AND($CI356="",N($Q356)&gt;0,ISNUMBER($P356)),1,0)</f>
        <v/>
      </c>
      <c r="CL356">
        <f>IF(AND($CJ356="",N($T356)&gt;0,ISNUMBER($S356)),1,0)</f>
        <v/>
      </c>
      <c r="CM356">
        <f>IF(OR($CK356=1,$CL356=1),1,0)</f>
        <v/>
      </c>
      <c r="CN356">
        <f>IF($C356="",0,($CK356*$R356+$CL356*$U356)*N($H356))</f>
        <v/>
      </c>
      <c r="CO356">
        <f>IF($C356="","",IF($CC356="","入庫後は 14日以上もつ",IF($CC356-N('設定'!$C$7)&lt;='設定'!$C$6,"入庫後も "&amp;TEXT($CC356,"m/d")&amp;"("&amp;CHOOSE(WEEKDAY($CC356),"日","月","火","水","木","金","土")&amp;")"&amp;" に切れる　もう1便を至急発注","入庫後も "&amp;TEXT($CC356,"m/d")&amp;"("&amp;CHOOSE(WEEKDAY($CC356),"日","月","火","水","木","金","土")&amp;")"&amp;" に切れる　"&amp;TEXT($CC356-N('設定'!$C$7),"m/d")&amp;"("&amp;CHOOSE(WEEKDAY($CC356-N('設定'!$C$7)),"日","月","火","水","木","金","土")&amp;")"&amp;" までに次を発注")))</f>
        <v/>
      </c>
      <c r="CP356">
        <f>IF($C356="","",IF('設定'!$C$6="","？ ①在庫を貼る に今日のCSVが貼られていない",IF($CS356=1,"－ 今日のCSVに無い（終売？）",IF($L356&lt;0,"● 在庫がマイナス　数えて「数えた在庫」に入れる",IF($L356=0,"● 在庫なし　至急発注",IF($M356="","？ 減り数が未設定（商品マスタ）",IF($B$3=0,"？ 動員が未入力（動員を入れる）",IF($CA356="","○ 14日以上もつ",IF($BZ356&lt;N('設定'!$C$7),"● "&amp;TEXT($CA356,"m/d")&amp;"("&amp;CHOOSE(WEEKDAY($CA356),"日","月","火","水","木","金","土")&amp;")"&amp;" に切れる　至急発注",IF($BZ356=N('設定'!$C$7),"● "&amp;TEXT($CA356,"m/d")&amp;"("&amp;CHOOSE(WEEKDAY($CA356),"日","月","火","水","木","金","土")&amp;")"&amp;" に切れる　今日発注","△ "&amp;TEXT($CA356,"m/d")&amp;"("&amp;CHOOSE(WEEKDAY($CA356),"日","月","火","水","木","金","土")&amp;")"&amp;" に切れる　"&amp;TEXT($CA356-N('設定'!$C$7),"m/d")&amp;"("&amp;CHOOSE(WEEKDAY($CA356-N('設定'!$C$7)),"日","月","火","水","木","金","土")&amp;")"&amp;" までに発注"))))))))))</f>
        <v/>
      </c>
      <c r="CQ356">
        <f>IF($C356="","",IF(AND($P356="",$Q356="",$S356="",$T356=""),"",IF(AND($P356="",$Q356=""),"⚠ 先に1便目（左の入庫日・入庫数）に入れてください",IF($CI356&lt;&gt;"",$CI356,IF($CJ356&lt;&gt;"",$CJ356,IF($M356="","？ 減り数が未設定（発注書には載ります）",IF($B$3=0,"？ 動員が未入力（発注書には載ります）",IF(AND($CA356&lt;&gt;"",$P356&gt;$CA356),IF($P356&gt;'設定'!$C$6+N('設定'!$C$7),"● "&amp;TEXT($P356,"m/d")&amp;"("&amp;CHOOSE(WEEKDAY($P356),"日","月","火","水","木","金","土")&amp;")"&amp;" の入庫では間に合わない（"&amp;TEXT($CA356,"m/d")&amp;"("&amp;CHOOSE(WEEKDAY($CA356),"日","月","火","水","木","金","土")&amp;")"&amp;" に切れる）　入庫日を早める","△ 欠品 "&amp;TEXT($CA356,"m/d")&amp;"("&amp;CHOOSE(WEEKDAY($CA356),"日","月","火","水","木","金","土")&amp;")"&amp;"〜"&amp;TEXT($P356-1,"m/d")&amp;"("&amp;CHOOSE(WEEKDAY($P356-1),"日","月","火","水","木","金","土")&amp;")"&amp;"　"&amp;$CO356),IF($CC356="","○ "&amp;TEXT($P356,"m/d")&amp;"("&amp;CHOOSE(WEEKDAY($P356),"日","月","火","水","木","金","土")&amp;")"&amp;" 入庫で 14日以上もつ",IF($CC356-N('設定'!$C$7)&lt;='設定'!$C$6,"● 入庫しても "&amp;TEXT($CC356,"m/d")&amp;"("&amp;CHOOSE(WEEKDAY($CC356),"日","月","火","水","木","金","土")&amp;")"&amp;" に切れる　もう1便を至急発注（2便目に入れる）","△ 入庫しても "&amp;TEXT($CC356,"m/d")&amp;"("&amp;CHOOSE(WEEKDAY($CC356),"日","月","火","水","木","金","土")&amp;")"&amp;" に切れる　"&amp;TEXT($CC356-N('設定'!$C$7),"m/d")&amp;"("&amp;CHOOSE(WEEKDAY($CC356-N('設定'!$C$7)),"日","月","火","水","木","金","土")&amp;")"&amp;" までに次を発注（2便目に入れる）"))))))))))</f>
        <v/>
      </c>
      <c r="CR356">
        <f>IF($C356="","",IF($G356&gt;1,"ｹｰｽ("&amp;$G356&amp;"入)","個"))</f>
        <v/>
      </c>
      <c r="CS356">
        <f>IF($C356="",0,IF(COUNTIFS('①在庫を貼る'!$V$6:$V$10005,'設定'!$C$4,'①在庫を貼る'!$W$6:$W$10005,$C356)=0,1,0))</f>
        <v/>
      </c>
      <c r="CT356">
        <f>IF(AND($CK356=1,OR('③発注書'!$C$4="すべて",'③発注書'!$C$4="",$F356='③発注書'!$C$4)),N($CT355)+1,N($CT355))</f>
        <v/>
      </c>
      <c r="CU356">
        <f>IF(AND($CL356=1,OR('③発注書'!$C$4="すべて",'③発注書'!$C$4="",$F356='③発注書'!$C$4)),N($CU355)+1,N($CU355))</f>
        <v/>
      </c>
      <c r="CV356">
        <f>IF($C356="",0,IF(COUNTIFS('①在庫を貼る'!$V$6:$V$10005,'設定'!$C$4,'①在庫を貼る'!$W$6:$W$10005,$C356)&gt;0,1,0))</f>
        <v/>
      </c>
      <c r="CW356">
        <f>IF($C356="",0,IF(COUNTIFS('月1回_1ヶ月前の在庫'!$V$6:$V$10005,'設定'!$C$4,'月1回_1ヶ月前の在庫'!$W$6:$W$10005,$C356)&gt;0,1,0))</f>
        <v/>
      </c>
      <c r="CX356">
        <f>IF($C356="",0,IF(COUNTIFS('月1回_2ヶ月前の在庫'!$V$6:$V$10005,'設定'!$C$4,'月1回_2ヶ月前の在庫'!$W$6:$W$10005,$C356)&gt;0,1,0))</f>
        <v/>
      </c>
      <c r="CY356">
        <f>IF(OR($C356="",'設定'!$C$12=""),"",IF('設定'!$C$13="",IF(AND($CV356=1,$CW356=0),"新商品（今月から）",IF(AND($CV356=0,$CW356=1),"終売（今月から）","")),IF(AND($CV356=1,$CW356=0,$CX356=0),"新商品（今月から）",IF(AND($CV356=1,$CW356=1,$CX356=0),"新商品（先月から）",IF(AND($CV356=0,$CW356=1,$CX356=1),"終売（今月から）",IF(AND($CV356=0,$CW356=0,$CX356=1),"終売（先月から）",IF(AND($CV356=1,$CW356=0,$CX356=1),"復活（先月は無し）","")))))))</f>
        <v/>
      </c>
    </row>
    <row r="357">
      <c r="B357">
        <f>IF(352&lt;='設定'!$C$11,352,"")</f>
        <v/>
      </c>
      <c r="C357">
        <f>IF($B357="","",IF($B357&lt;='設定'!$C$20,INDEX('商品マスタ'!$B$6:$B$1005,MATCH($B357,'商品マスタ'!$M$6:$M$1005,0)),IF($B357&lt;='設定'!$C$20+'設定'!$C$17,INDEX('①在庫を貼る'!$W$6:$W$10005,MATCH($B357-'設定'!$C$20,'①在庫を貼る'!$U$6:$U$10005,0)),IF($B357&lt;='設定'!$C$20+'設定'!$C$17+'設定'!$C$18,INDEX('月1回_1ヶ月前の在庫'!$W$6:$W$10005,MATCH($B357-'設定'!$C$20-'設定'!$C$17,'月1回_1ヶ月前の在庫'!$U$6:$U$10005,0)),INDEX('月1回_2ヶ月前の在庫'!$W$6:$W$10005,MATCH($B357-'設定'!$C$20-'設定'!$C$17-'設定'!$C$18,'月1回_2ヶ月前の在庫'!$U$6:$U$10005,0))))))</f>
        <v/>
      </c>
      <c r="D357">
        <f>IF($C357="","",IFERROR(IF(INDEX('商品マスタ'!$C$6:$C$1005,MATCH($C357,'商品マスタ'!$B$6:$B$1005,0))="",IFERROR(INDEX('①在庫を貼る'!$J$6:$J$10005,MATCH($C357,'①在庫を貼る'!$W$6:$W$10005,0)),IFERROR(INDEX('月1回_1ヶ月前の在庫'!$J$6:$J$10005,MATCH($C357,'月1回_1ヶ月前の在庫'!$W$6:$W$10005,0)),IFERROR(INDEX('月1回_2ヶ月前の在庫'!$J$6:$J$10005,MATCH($C357,'月1回_2ヶ月前の在庫'!$W$6:$W$10005,0)),""))),INDEX('商品マスタ'!$C$6:$C$1005,MATCH($C357,'商品マスタ'!$B$6:$B$1005,0))),IFERROR(INDEX('①在庫を貼る'!$J$6:$J$10005,MATCH($C357,'①在庫を貼る'!$W$6:$W$10005,0)),IFERROR(INDEX('月1回_1ヶ月前の在庫'!$J$6:$J$10005,MATCH($C357,'月1回_1ヶ月前の在庫'!$W$6:$W$10005,0)),IFERROR(INDEX('月1回_2ヶ月前の在庫'!$J$6:$J$10005,MATCH($C357,'月1回_2ヶ月前の在庫'!$W$6:$W$10005,0)),"")))))</f>
        <v/>
      </c>
      <c r="E357">
        <f>IF($C357="","",IFERROR(IF(INDEX('商品マスタ'!$D$6:$D$1005,MATCH($C357,'商品マスタ'!$B$6:$B$1005,0))="",IFERROR(INDEX('①在庫を貼る'!$H$6:$H$10005,MATCH($C357,'①在庫を貼る'!$W$6:$W$10005,0)),IFERROR(INDEX('月1回_1ヶ月前の在庫'!$H$6:$H$10005,MATCH($C357,'月1回_1ヶ月前の在庫'!$W$6:$W$10005,0)),IFERROR(INDEX('月1回_2ヶ月前の在庫'!$H$6:$H$10005,MATCH($C357,'月1回_2ヶ月前の在庫'!$W$6:$W$10005,0)),""))),INDEX('商品マスタ'!$D$6:$D$1005,MATCH($C357,'商品マスタ'!$B$6:$B$1005,0))),IFERROR(INDEX('①在庫を貼る'!$H$6:$H$10005,MATCH($C357,'①在庫を貼る'!$W$6:$W$10005,0)),IFERROR(INDEX('月1回_1ヶ月前の在庫'!$H$6:$H$10005,MATCH($C357,'月1回_1ヶ月前の在庫'!$W$6:$W$10005,0)),IFERROR(INDEX('月1回_2ヶ月前の在庫'!$H$6:$H$10005,MATCH($C357,'月1回_2ヶ月前の在庫'!$W$6:$W$10005,0)),"")))))</f>
        <v/>
      </c>
      <c r="F357">
        <f>IF($C357="","",IFERROR(IF(INDEX('商品マスタ'!$E$6:$E$1005,MATCH($C357,'商品マスタ'!$B$6:$B$1005,0))="",IFERROR(INDEX('①在庫を貼る'!$E$6:$E$10005,MATCH($C357,'①在庫を貼る'!$W$6:$W$10005,0)),IFERROR(INDEX('月1回_1ヶ月前の在庫'!$E$6:$E$10005,MATCH($C357,'月1回_1ヶ月前の在庫'!$W$6:$W$10005,0)),IFERROR(INDEX('月1回_2ヶ月前の在庫'!$E$6:$E$10005,MATCH($C357,'月1回_2ヶ月前の在庫'!$W$6:$W$10005,0)),""))),INDEX('商品マスタ'!$E$6:$E$1005,MATCH($C357,'商品マスタ'!$B$6:$B$1005,0))),IFERROR(INDEX('①在庫を貼る'!$E$6:$E$10005,MATCH($C357,'①在庫を貼る'!$W$6:$W$10005,0)),IFERROR(INDEX('月1回_1ヶ月前の在庫'!$E$6:$E$10005,MATCH($C357,'月1回_1ヶ月前の在庫'!$W$6:$W$10005,0)),IFERROR(INDEX('月1回_2ヶ月前の在庫'!$E$6:$E$10005,MATCH($C357,'月1回_2ヶ月前の在庫'!$W$6:$W$10005,0)),"")))))</f>
        <v/>
      </c>
      <c r="G357">
        <f>IF($C357="","",MAX(1,N(IFERROR(IF(INDEX('商品マスタ'!$F$6:$F$1005,MATCH($C357,'商品マスタ'!$B$6:$B$1005,0))="",IF(COUNTIFS('①在庫を貼る'!$V$6:$V$10005,'設定'!$C$4,'①在庫を貼る'!$W$6:$W$10005,$C357)&gt;0,SUMIFS('①在庫を貼る'!$K$6:$K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K$6:$K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K$6:$K$10005,'月1回_2ヶ月前の在庫'!$V$6:$V$10005,'設定'!$C$4,'月1回_2ヶ月前の在庫'!$W$6:$W$10005,$C357)/COUNTIFS('月1回_2ヶ月前の在庫'!$V$6:$V$10005,'設定'!$C$4,'月1回_2ヶ月前の在庫'!$W$6:$W$10005,$C357),0))),INDEX('商品マスタ'!$F$6:$F$1005,MATCH($C357,'商品マスタ'!$B$6:$B$1005,0))),IF(COUNTIFS('①在庫を貼る'!$V$6:$V$10005,'設定'!$C$4,'①在庫を貼る'!$W$6:$W$10005,$C357)&gt;0,SUMIFS('①在庫を貼る'!$K$6:$K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K$6:$K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K$6:$K$10005,'月1回_2ヶ月前の在庫'!$V$6:$V$10005,'設定'!$C$4,'月1回_2ヶ月前の在庫'!$W$6:$W$10005,$C357)/COUNTIFS('月1回_2ヶ月前の在庫'!$V$6:$V$10005,'設定'!$C$4,'月1回_2ヶ月前の在庫'!$W$6:$W$10005,$C357),0)))))))</f>
        <v/>
      </c>
      <c r="H357">
        <f>IF($C357="","",N(IFERROR(IF(INDEX('商品マスタ'!$G$6:$G$1005,MATCH($C357,'商品マスタ'!$B$6:$B$1005,0))="",IF(COUNTIFS('①在庫を貼る'!$V$6:$V$10005,'設定'!$C$4,'①在庫を貼る'!$W$6:$W$10005,$C357)&gt;0,SUMIFS('①在庫を貼る'!$Q$6:$Q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Q$6:$Q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Q$6:$Q$10005,'月1回_2ヶ月前の在庫'!$V$6:$V$10005,'設定'!$C$4,'月1回_2ヶ月前の在庫'!$W$6:$W$10005,$C357)/COUNTIFS('月1回_2ヶ月前の在庫'!$V$6:$V$10005,'設定'!$C$4,'月1回_2ヶ月前の在庫'!$W$6:$W$10005,$C357),0))),INDEX('商品マスタ'!$G$6:$G$1005,MATCH($C357,'商品マスタ'!$B$6:$B$1005,0))),IF(COUNTIFS('①在庫を貼る'!$V$6:$V$10005,'設定'!$C$4,'①在庫を貼る'!$W$6:$W$10005,$C357)&gt;0,SUMIFS('①在庫を貼る'!$Q$6:$Q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Q$6:$Q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Q$6:$Q$10005,'月1回_2ヶ月前の在庫'!$V$6:$V$10005,'設定'!$C$4,'月1回_2ヶ月前の在庫'!$W$6:$W$10005,$C357)/COUNTIFS('月1回_2ヶ月前の在庫'!$V$6:$V$10005,'設定'!$C$4,'月1回_2ヶ月前の在庫'!$W$6:$W$10005,$C357),0))))))</f>
        <v/>
      </c>
      <c r="I357">
        <f>IF($C357="","",IF(COUNTIFS('①在庫を貼る'!$V$6:$V$10005,'設定'!$C$4,'①在庫を貼る'!$W$6:$W$10005,$C357)=0,"",SUMIFS('①在庫を貼る'!$N$6:$N$10005,'①在庫を貼る'!$V$6:$V$10005,'設定'!$C$4,'①在庫を貼る'!$W$6:$W$10005,$C357)))</f>
        <v/>
      </c>
      <c r="J357">
        <f>IF($C357="","",IF('②発注する'!$AD361="","",'②発注する'!$AD361))</f>
        <v/>
      </c>
      <c r="K357" s="90">
        <f>IF($C357="","",IF('②発注する'!$AE361="","",'②発注する'!$AE361))</f>
        <v/>
      </c>
      <c r="L357">
        <f>IF($C357="","",IF(AND(ISNUMBER($J357),ISNUMBER($K357),$K357&gt;='設定'!$C$6),$J357,N($I357)))</f>
        <v/>
      </c>
      <c r="M357">
        <f>IF($C357="","",IFERROR(IF(N(INDEX('商品マスタ'!$J$6:$J$1005,MATCH($C357,'商品マスタ'!$B$6:$B$1005,0)))&gt;0,INDEX('商品マスタ'!$J$6:$J$1005,MATCH($C357,'商品マスタ'!$B$6:$B$1005,0)),""),""))</f>
        <v/>
      </c>
      <c r="N357">
        <f>IF($C357="","",IFERROR(IF(N(INDEX('商品マスタ'!$H$6:$H$1005,MATCH($C357,'商品マスタ'!$B$6:$B$1005,0)))&gt;0,INDEX('商品マスタ'!$H$6:$H$1005,MATCH($C357,'商品マスタ'!$B$6:$B$1005,0)),""),""))</f>
        <v/>
      </c>
      <c r="O357">
        <f>IF($C357="","",IF($N357&lt;&gt;"",$N357*$G357,IF(N(IF(COUNTIFS('①在庫を貼る'!$V$6:$V$10005,'設定'!$C$4,'①在庫を貼る'!$W$6:$W$10005,$C357)&gt;0,SUMIFS('①在庫を貼る'!$O$6:$O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O$6:$O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O$6:$O$10005,'月1回_2ヶ月前の在庫'!$V$6:$V$10005,'設定'!$C$4,'月1回_2ヶ月前の在庫'!$W$6:$W$10005,$C357)/COUNTIFS('月1回_2ヶ月前の在庫'!$V$6:$V$10005,'設定'!$C$4,'月1回_2ヶ月前の在庫'!$W$6:$W$10005,$C357),0))))&gt;0,N(IF(COUNTIFS('①在庫を貼る'!$V$6:$V$10005,'設定'!$C$4,'①在庫を貼る'!$W$6:$W$10005,$C357)&gt;0,SUMIFS('①在庫を貼る'!$O$6:$O$10005,'①在庫を貼る'!$V$6:$V$10005,'設定'!$C$4,'①在庫を貼る'!$W$6:$W$10005,$C357)/COUNTIFS('①在庫を貼る'!$V$6:$V$10005,'設定'!$C$4,'①在庫を貼る'!$W$6:$W$10005,$C357),IF(COUNTIFS('月1回_1ヶ月前の在庫'!$V$6:$V$10005,'設定'!$C$4,'月1回_1ヶ月前の在庫'!$W$6:$W$10005,$C357)&gt;0,SUMIFS('月1回_1ヶ月前の在庫'!$O$6:$O$10005,'月1回_1ヶ月前の在庫'!$V$6:$V$10005,'設定'!$C$4,'月1回_1ヶ月前の在庫'!$W$6:$W$10005,$C357)/COUNTIFS('月1回_1ヶ月前の在庫'!$V$6:$V$10005,'設定'!$C$4,'月1回_1ヶ月前の在庫'!$W$6:$W$10005,$C357),IF(COUNTIFS('月1回_2ヶ月前の在庫'!$V$6:$V$10005,'設定'!$C$4,'月1回_2ヶ月前の在庫'!$W$6:$W$10005,$C357)&gt;0,SUMIFS('月1回_2ヶ月前の在庫'!$O$6:$O$10005,'月1回_2ヶ月前の在庫'!$V$6:$V$10005,'設定'!$C$4,'月1回_2ヶ月前の在庫'!$W$6:$W$10005,$C357)/COUNTIFS('月1回_2ヶ月前の在庫'!$V$6:$V$10005,'設定'!$C$4,'月1回_2ヶ月前の在庫'!$W$6:$W$10005,$C357),0)))),"")))</f>
        <v/>
      </c>
      <c r="P357" s="90">
        <f>IF($C357="","",IF('②発注する'!$I361="","",'②発注する'!$I361))</f>
        <v/>
      </c>
      <c r="Q357">
        <f>IF($C357="","",IF('②発注する'!$J361="","",'②発注する'!$J361))</f>
        <v/>
      </c>
      <c r="R357">
        <f>IF($C357="",0,IF(AND(ISNUMBER($P357),ISNUMBER($Q357)),MAX(0,$Q357)*$G357,0))</f>
        <v/>
      </c>
      <c r="S357" s="90">
        <f>IF($C357="","",IF('②発注する'!$M361="","",'②発注する'!$M361))</f>
        <v/>
      </c>
      <c r="T357">
        <f>IF($C357="","",IF('②発注する'!$N361="","",'②発注する'!$N361))</f>
        <v/>
      </c>
      <c r="U357">
        <f>IF($C357="",0,IF(AND(ISNUMBER($S357),ISNUMBER($T357)),MAX(0,$T357)*$G357,0))</f>
        <v/>
      </c>
      <c r="V357">
        <f>IF($C357="",0,IF($M357="",0,MAX(0,$M357)*MAX(0,V$4)/100))</f>
        <v/>
      </c>
      <c r="W357">
        <f>IF($C357="",0,IF($M357="",0,MAX(0,$M357)*MAX(0,W$4)/100))</f>
        <v/>
      </c>
      <c r="X357">
        <f>IF($C357="",0,IF($M357="",0,MAX(0,$M357)*MAX(0,X$4)/100))</f>
        <v/>
      </c>
      <c r="Y357">
        <f>IF($C357="",0,IF($M357="",0,MAX(0,$M357)*MAX(0,Y$4)/100))</f>
        <v/>
      </c>
      <c r="Z357">
        <f>IF($C357="",0,IF($M357="",0,MAX(0,$M357)*MAX(0,Z$4)/100))</f>
        <v/>
      </c>
      <c r="AA357">
        <f>IF($C357="",0,IF($M357="",0,MAX(0,$M357)*MAX(0,AA$4)/100))</f>
        <v/>
      </c>
      <c r="AB357">
        <f>IF($C357="",0,IF($M357="",0,MAX(0,$M357)*MAX(0,AB$4)/100))</f>
        <v/>
      </c>
      <c r="AC357">
        <f>IF($C357="",0,IF($M357="",0,MAX(0,$M357)*MAX(0,AC$4)/100))</f>
        <v/>
      </c>
      <c r="AD357">
        <f>IF($C357="",0,IF($M357="",0,MAX(0,$M357)*MAX(0,AD$4)/100))</f>
        <v/>
      </c>
      <c r="AE357">
        <f>IF($C357="",0,IF($M357="",0,MAX(0,$M357)*MAX(0,AE$4)/100))</f>
        <v/>
      </c>
      <c r="AF357">
        <f>IF($C357="",0,IF($M357="",0,MAX(0,$M357)*MAX(0,AF$4)/100))</f>
        <v/>
      </c>
      <c r="AG357">
        <f>IF($C357="",0,IF($M357="",0,MAX(0,$M357)*MAX(0,AG$4)/100))</f>
        <v/>
      </c>
      <c r="AH357">
        <f>IF($C357="",0,IF($M357="",0,MAX(0,$M357)*MAX(0,AH$4)/100))</f>
        <v/>
      </c>
      <c r="AI357">
        <f>IF($C357="",0,IF($M357="",0,MAX(0,$M357)*MAX(0,AI$4)/100))</f>
        <v/>
      </c>
      <c r="AJ357">
        <f>IF($C357="",0,MAX(0,MAX(0,N($L357))-$V357))</f>
        <v/>
      </c>
      <c r="AK357">
        <f>IF($C357="",0,MAX(0,$AJ357-$W357))</f>
        <v/>
      </c>
      <c r="AL357">
        <f>IF($C357="",0,MAX(0,$AK357-$X357))</f>
        <v/>
      </c>
      <c r="AM357">
        <f>IF($C357="",0,MAX(0,$AL357-$Y357))</f>
        <v/>
      </c>
      <c r="AN357">
        <f>IF($C357="",0,MAX(0,$AM357-$Z357))</f>
        <v/>
      </c>
      <c r="AO357">
        <f>IF($C357="",0,MAX(0,$AN357-$AA357))</f>
        <v/>
      </c>
      <c r="AP357">
        <f>IF($C357="",0,MAX(0,$AO357-$AB357))</f>
        <v/>
      </c>
      <c r="AQ357">
        <f>IF($C357="",0,MAX(0,$AP357-$AC357))</f>
        <v/>
      </c>
      <c r="AR357">
        <f>IF($C357="",0,MAX(0,$AQ357-$AD357))</f>
        <v/>
      </c>
      <c r="AS357">
        <f>IF($C357="",0,MAX(0,$AR357-$AE357))</f>
        <v/>
      </c>
      <c r="AT357">
        <f>IF($C357="",0,MAX(0,$AS357-$AF357))</f>
        <v/>
      </c>
      <c r="AU357">
        <f>IF($C357="",0,MAX(0,$AT357-$AG357))</f>
        <v/>
      </c>
      <c r="AV357">
        <f>IF($C357="",0,MAX(0,$AU357-$AH357))</f>
        <v/>
      </c>
      <c r="AW357">
        <f>IF($C357="",0,MAX(0,$AV357-$AI357))</f>
        <v/>
      </c>
      <c r="AX357">
        <f>IF($C357="",0,MAX(0,MAX(0,N($L357))+IF($P357=V$3,$R357,0)+IF($S357=V$3,$U357,0)-$V357))</f>
        <v/>
      </c>
      <c r="AY357">
        <f>IF($C357="",0,MAX(0,$AX357+IF($P357=W$3,$R357,0)+IF($S357=W$3,$U357,0)-$W357))</f>
        <v/>
      </c>
      <c r="AZ357">
        <f>IF($C357="",0,MAX(0,$AY357+IF($P357=X$3,$R357,0)+IF($S357=X$3,$U357,0)-$X357))</f>
        <v/>
      </c>
      <c r="BA357">
        <f>IF($C357="",0,MAX(0,$AZ357+IF($P357=Y$3,$R357,0)+IF($S357=Y$3,$U357,0)-$Y357))</f>
        <v/>
      </c>
      <c r="BB357">
        <f>IF($C357="",0,MAX(0,$BA357+IF($P357=Z$3,$R357,0)+IF($S357=Z$3,$U357,0)-$Z357))</f>
        <v/>
      </c>
      <c r="BC357">
        <f>IF($C357="",0,MAX(0,$BB357+IF($P357=AA$3,$R357,0)+IF($S357=AA$3,$U357,0)-$AA357))</f>
        <v/>
      </c>
      <c r="BD357">
        <f>IF($C357="",0,MAX(0,$BC357+IF($P357=AB$3,$R357,0)+IF($S357=AB$3,$U357,0)-$AB357))</f>
        <v/>
      </c>
      <c r="BE357">
        <f>IF($C357="",0,MAX(0,$BD357+IF($P357=AC$3,$R357,0)+IF($S357=AC$3,$U357,0)-$AC357))</f>
        <v/>
      </c>
      <c r="BF357">
        <f>IF($C357="",0,MAX(0,$BE357+IF($P357=AD$3,$R357,0)+IF($S357=AD$3,$U357,0)-$AD357))</f>
        <v/>
      </c>
      <c r="BG357">
        <f>IF($C357="",0,MAX(0,$BF357+IF($P357=AE$3,$R357,0)+IF($S357=AE$3,$U357,0)-$AE357))</f>
        <v/>
      </c>
      <c r="BH357">
        <f>IF($C357="",0,MAX(0,$BG357+IF($P357=AF$3,$R357,0)+IF($S357=AF$3,$U357,0)-$AF357))</f>
        <v/>
      </c>
      <c r="BI357">
        <f>IF($C357="",0,MAX(0,$BH357+IF($P357=AG$3,$R357,0)+IF($S357=AG$3,$U357,0)-$AG357))</f>
        <v/>
      </c>
      <c r="BJ357">
        <f>IF($C357="",0,MAX(0,$BI357+IF($P357=AH$3,$R357,0)+IF($S357=AH$3,$U357,0)-$AH357))</f>
        <v/>
      </c>
      <c r="BK357">
        <f>IF($C357="",0,MAX(0,$BJ357+IF($P357=AI$3,$R357,0)+IF($S357=AI$3,$U357,0)-$AI357))</f>
        <v/>
      </c>
      <c r="BL357">
        <f>IF($C357="",99,IF(AND($AX357&lt;1,V$3&gt;=MAX(N($P357),N($S357))),0,99))</f>
        <v/>
      </c>
      <c r="BM357">
        <f>IF($C357="",99,IF(AND($AY357&lt;1,W$3&gt;=MAX(N($P357),N($S357))),1,99))</f>
        <v/>
      </c>
      <c r="BN357">
        <f>IF($C357="",99,IF(AND($AZ357&lt;1,X$3&gt;=MAX(N($P357),N($S357))),2,99))</f>
        <v/>
      </c>
      <c r="BO357">
        <f>IF($C357="",99,IF(AND($BA357&lt;1,Y$3&gt;=MAX(N($P357),N($S357))),3,99))</f>
        <v/>
      </c>
      <c r="BP357">
        <f>IF($C357="",99,IF(AND($BB357&lt;1,Z$3&gt;=MAX(N($P357),N($S357))),4,99))</f>
        <v/>
      </c>
      <c r="BQ357">
        <f>IF($C357="",99,IF(AND($BC357&lt;1,AA$3&gt;=MAX(N($P357),N($S357))),5,99))</f>
        <v/>
      </c>
      <c r="BR357">
        <f>IF($C357="",99,IF(AND($BD357&lt;1,AB$3&gt;=MAX(N($P357),N($S357))),6,99))</f>
        <v/>
      </c>
      <c r="BS357">
        <f>IF($C357="",99,IF(AND($BE357&lt;1,AC$3&gt;=MAX(N($P357),N($S357))),7,99))</f>
        <v/>
      </c>
      <c r="BT357">
        <f>IF($C357="",99,IF(AND($BF357&lt;1,AD$3&gt;=MAX(N($P357),N($S357))),8,99))</f>
        <v/>
      </c>
      <c r="BU357">
        <f>IF($C357="",99,IF(AND($BG357&lt;1,AE$3&gt;=MAX(N($P357),N($S357))),9,99))</f>
        <v/>
      </c>
      <c r="BV357">
        <f>IF($C357="",99,IF(AND($BH357&lt;1,AF$3&gt;=MAX(N($P357),N($S357))),10,99))</f>
        <v/>
      </c>
      <c r="BW357">
        <f>IF($C357="",99,IF(AND($BI357&lt;1,AG$3&gt;=MAX(N($P357),N($S357))),11,99))</f>
        <v/>
      </c>
      <c r="BX357">
        <f>IF($C357="",99,IF(AND($BJ357&lt;1,AH$3&gt;=MAX(N($P357),N($S357))),12,99))</f>
        <v/>
      </c>
      <c r="BY357">
        <f>IF($C357="",99,IF(AND($BK357&lt;1,AI$3&gt;=MAX(N($P357),N($S357))),13,99))</f>
        <v/>
      </c>
      <c r="BZ357">
        <f>IF(OR($C357="",$M357=""),"",COUNTIF($AJ357:$AW357,"&gt;=1"))</f>
        <v/>
      </c>
      <c r="CA357" s="90">
        <f>IF($BZ357="","",IF($BZ357&gt;=14,"",'設定'!$C$6+$BZ357))</f>
        <v/>
      </c>
      <c r="CB357">
        <f>IF(OR($C357="",$M357=""),"",MIN($BL357:$BY357))</f>
        <v/>
      </c>
      <c r="CC357" s="90">
        <f>IF($CB357="","",IF($CB357&gt;=99,"",'設定'!$C$6+$CB357))</f>
        <v/>
      </c>
      <c r="CD357">
        <f>IF(OR($C357="",$M357=""),"",AVERAGE($V357:$AI357))</f>
        <v/>
      </c>
      <c r="CE357">
        <f>IF($C357="","",IFERROR(IF(MATCH(IF(ISNUMBER($P357),$P357,'設定'!$C$6+N('設定'!$C$7)),$V$3:$AI$3,0)=1,MAX(0,N($L357)),INDEX($AJ357:$AW357,MATCH(IF(ISNUMBER($P357),$P357,'設定'!$C$6+N('設定'!$C$7)),$V$3:$AI$3,0)-1)),""))</f>
        <v/>
      </c>
      <c r="CF357">
        <f>IF(OR($C357="",$O357="",$CE357=""),"",IF($O357-$CE357&lt;=0,0,ROUNDUP(($O357-$CE357)/$G357,0)))</f>
        <v/>
      </c>
      <c r="CG357">
        <f>IF(OR($C357="",$CF357="",NOT(ISNUMBER($Q357))),0,MAX(0,$Q357-$CF357))</f>
        <v/>
      </c>
      <c r="CH357">
        <f>IF(OR($C357="",$O357="",$U357=0),0,IFERROR(ROUNDUP(MAX(0,IF(MATCH($S357,$V$3:$AI$3,0)=1,MAX(0,N($L357)),INDEX($AX357:$BK357,MATCH($S357,$V$3:$AI$3,0)-1))+$U357-$O357)/$G357,0),0))</f>
        <v/>
      </c>
      <c r="CI357">
        <f>IF($C357="","",IF(AND($P357="",$Q357=""),"",IF($P357="","⚠ 入庫日を ▼ から選んでください",IF(NOT(ISNUMBER($P357)),"⚠ 入庫日は ▼ から選んでください",IF($P357&lt;N('設定'!$C$6),"⚠ 入庫日が過去です（もう在庫に入っています）→ 消してください",IF($P357&gt;N('設定'!$C$6)+13,"⚠ 入庫日が14日より先です",IF(N($Q357)&lt;=0,"⚠ 入庫数を入れてください",IF($CG357&gt;0,"⚠ 目安より "&amp;$CG357&amp;" 多い（定数を超える）→ 減らす",""))))))))</f>
        <v/>
      </c>
      <c r="CJ357">
        <f>IF($C357="","",IF(AND($S357="",$T357=""),"",IF($S357="","⚠ 2便目：入庫日を ▼ から選んでください",IF(NOT(ISNUMBER($S357)),"⚠ 2便目：入庫日は ▼ から選んでください",IF($S357&lt;N('設定'!$C$6),"⚠ 2便目：入庫日が過去です（もう在庫に入っています）→ 消してください",IF($S357&gt;N('設定'!$C$6)+13,"⚠ 2便目：入庫日が14日より先です",IF(N($T357)&lt;=0,"⚠ 2便目：入庫数を入れてください",IF($CH357&gt;0,"⚠ 2便目：定数を "&amp;$CH357&amp;" ケース超える → 減らす",""))))))))</f>
        <v/>
      </c>
      <c r="CK357">
        <f>IF(AND($CI357="",N($Q357)&gt;0,ISNUMBER($P357)),1,0)</f>
        <v/>
      </c>
      <c r="CL357">
        <f>IF(AND($CJ357="",N($T357)&gt;0,ISNUMBER($S357)),1,0)</f>
        <v/>
      </c>
      <c r="CM357">
        <f>IF(OR($CK357=1,$CL357=1),1,0)</f>
        <v/>
      </c>
      <c r="CN357">
        <f>IF($C357="",0,($CK357*$R357+$CL357*$U357)*N($H357))</f>
        <v/>
      </c>
      <c r="CO357">
        <f>IF($C357="","",IF($CC357="","入庫後は 14日以上もつ",IF($CC357-N('設定'!$C$7)&lt;='設定'!$C$6,"入庫後も "&amp;TEXT($CC357,"m/d")&amp;"("&amp;CHOOSE(WEEKDAY($CC357),"日","月","火","水","木","金","土")&amp;")"&amp;" に切れる　もう1便を至急発注","入庫後も "&amp;TEXT($CC357,"m/d")&amp;"("&amp;CHOOSE(WEEKDAY($CC357),"日","月","火","水","木","金","土")&amp;")"&amp;" に切れる　"&amp;TEXT($CC357-N('設定'!$C$7),"m/d")&amp;"("&amp;CHOOSE(WEEKDAY($CC357-N('設定'!$C$7)),"日","月","火","水","木","金","土")&amp;")"&amp;" までに次を発注")))</f>
        <v/>
      </c>
      <c r="CP357">
        <f>IF($C357="","",IF('設定'!$C$6="","？ ①在庫を貼る に今日のCSVが貼られていない",IF($CS357=1,"－ 今日のCSVに無い（終売？）",IF($L357&lt;0,"● 在庫がマイナス　数えて「数えた在庫」に入れる",IF($L357=0,"● 在庫なし　至急発注",IF($M357="","？ 減り数が未設定（商品マスタ）",IF($B$3=0,"？ 動員が未入力（動員を入れる）",IF($CA357="","○ 14日以上もつ",IF($BZ357&lt;N('設定'!$C$7),"● "&amp;TEXT($CA357,"m/d")&amp;"("&amp;CHOOSE(WEEKDAY($CA357),"日","月","火","水","木","金","土")&amp;")"&amp;" に切れる　至急発注",IF($BZ357=N('設定'!$C$7),"● "&amp;TEXT($CA357,"m/d")&amp;"("&amp;CHOOSE(WEEKDAY($CA357),"日","月","火","水","木","金","土")&amp;")"&amp;" に切れる　今日発注","△ "&amp;TEXT($CA357,"m/d")&amp;"("&amp;CHOOSE(WEEKDAY($CA357),"日","月","火","水","木","金","土")&amp;")"&amp;" に切れる　"&amp;TEXT($CA357-N('設定'!$C$7),"m/d")&amp;"("&amp;CHOOSE(WEEKDAY($CA357-N('設定'!$C$7)),"日","月","火","水","木","金","土")&amp;")"&amp;" までに発注"))))))))))</f>
        <v/>
      </c>
      <c r="CQ357">
        <f>IF($C357="","",IF(AND($P357="",$Q357="",$S357="",$T357=""),"",IF(AND($P357="",$Q357=""),"⚠ 先に1便目（左の入庫日・入庫数）に入れてください",IF($CI357&lt;&gt;"",$CI357,IF($CJ357&lt;&gt;"",$CJ357,IF($M357="","？ 減り数が未設定（発注書には載ります）",IF($B$3=0,"？ 動員が未入力（発注書には載ります）",IF(AND($CA357&lt;&gt;"",$P357&gt;$CA357),IF($P357&gt;'設定'!$C$6+N('設定'!$C$7),"● "&amp;TEXT($P357,"m/d")&amp;"("&amp;CHOOSE(WEEKDAY($P357),"日","月","火","水","木","金","土")&amp;")"&amp;" の入庫では間に合わない（"&amp;TEXT($CA357,"m/d")&amp;"("&amp;CHOOSE(WEEKDAY($CA357),"日","月","火","水","木","金","土")&amp;")"&amp;" に切れる）　入庫日を早める","△ 欠品 "&amp;TEXT($CA357,"m/d")&amp;"("&amp;CHOOSE(WEEKDAY($CA357),"日","月","火","水","木","金","土")&amp;")"&amp;"〜"&amp;TEXT($P357-1,"m/d")&amp;"("&amp;CHOOSE(WEEKDAY($P357-1),"日","月","火","水","木","金","土")&amp;")"&amp;"　"&amp;$CO357),IF($CC357="","○ "&amp;TEXT($P357,"m/d")&amp;"("&amp;CHOOSE(WEEKDAY($P357),"日","月","火","水","木","金","土")&amp;")"&amp;" 入庫で 14日以上もつ",IF($CC357-N('設定'!$C$7)&lt;='設定'!$C$6,"● 入庫しても "&amp;TEXT($CC357,"m/d")&amp;"("&amp;CHOOSE(WEEKDAY($CC357),"日","月","火","水","木","金","土")&amp;")"&amp;" に切れる　もう1便を至急発注（2便目に入れる）","△ 入庫しても "&amp;TEXT($CC357,"m/d")&amp;"("&amp;CHOOSE(WEEKDAY($CC357),"日","月","火","水","木","金","土")&amp;")"&amp;" に切れる　"&amp;TEXT($CC357-N('設定'!$C$7),"m/d")&amp;"("&amp;CHOOSE(WEEKDAY($CC357-N('設定'!$C$7)),"日","月","火","水","木","金","土")&amp;")"&amp;" までに次を発注（2便目に入れる）"))))))))))</f>
        <v/>
      </c>
      <c r="CR357">
        <f>IF($C357="","",IF($G357&gt;1,"ｹｰｽ("&amp;$G357&amp;"入)","個"))</f>
        <v/>
      </c>
      <c r="CS357">
        <f>IF($C357="",0,IF(COUNTIFS('①在庫を貼る'!$V$6:$V$10005,'設定'!$C$4,'①在庫を貼る'!$W$6:$W$10005,$C357)=0,1,0))</f>
        <v/>
      </c>
      <c r="CT357">
        <f>IF(AND($CK357=1,OR('③発注書'!$C$4="すべて",'③発注書'!$C$4="",$F357='③発注書'!$C$4)),N($CT356)+1,N($CT356))</f>
        <v/>
      </c>
      <c r="CU357">
        <f>IF(AND($CL357=1,OR('③発注書'!$C$4="すべて",'③発注書'!$C$4="",$F357='③発注書'!$C$4)),N($CU356)+1,N($CU356))</f>
        <v/>
      </c>
      <c r="CV357">
        <f>IF($C357="",0,IF(COUNTIFS('①在庫を貼る'!$V$6:$V$10005,'設定'!$C$4,'①在庫を貼る'!$W$6:$W$10005,$C357)&gt;0,1,0))</f>
        <v/>
      </c>
      <c r="CW357">
        <f>IF($C357="",0,IF(COUNTIFS('月1回_1ヶ月前の在庫'!$V$6:$V$10005,'設定'!$C$4,'月1回_1ヶ月前の在庫'!$W$6:$W$10005,$C357)&gt;0,1,0))</f>
        <v/>
      </c>
      <c r="CX357">
        <f>IF($C357="",0,IF(COUNTIFS('月1回_2ヶ月前の在庫'!$V$6:$V$10005,'設定'!$C$4,'月1回_2ヶ月前の在庫'!$W$6:$W$10005,$C357)&gt;0,1,0))</f>
        <v/>
      </c>
      <c r="CY357">
        <f>IF(OR($C357="",'設定'!$C$12=""),"",IF('設定'!$C$13="",IF(AND($CV357=1,$CW357=0),"新商品（今月から）",IF(AND($CV357=0,$CW357=1),"終売（今月から）","")),IF(AND($CV357=1,$CW357=0,$CX357=0),"新商品（今月から）",IF(AND($CV357=1,$CW357=1,$CX357=0),"新商品（先月から）",IF(AND($CV357=0,$CW357=1,$CX357=1),"終売（今月から）",IF(AND($CV357=0,$CW357=0,$CX357=1),"終売（先月から）",IF(AND($CV357=1,$CW357=0,$CX357=1),"復活（先月は無し）","")))))))</f>
        <v/>
      </c>
    </row>
    <row r="358">
      <c r="B358">
        <f>IF(353&lt;='設定'!$C$11,353,"")</f>
        <v/>
      </c>
      <c r="C358">
        <f>IF($B358="","",IF($B358&lt;='設定'!$C$20,INDEX('商品マスタ'!$B$6:$B$1005,MATCH($B358,'商品マスタ'!$M$6:$M$1005,0)),IF($B358&lt;='設定'!$C$20+'設定'!$C$17,INDEX('①在庫を貼る'!$W$6:$W$10005,MATCH($B358-'設定'!$C$20,'①在庫を貼る'!$U$6:$U$10005,0)),IF($B358&lt;='設定'!$C$20+'設定'!$C$17+'設定'!$C$18,INDEX('月1回_1ヶ月前の在庫'!$W$6:$W$10005,MATCH($B358-'設定'!$C$20-'設定'!$C$17,'月1回_1ヶ月前の在庫'!$U$6:$U$10005,0)),INDEX('月1回_2ヶ月前の在庫'!$W$6:$W$10005,MATCH($B358-'設定'!$C$20-'設定'!$C$17-'設定'!$C$18,'月1回_2ヶ月前の在庫'!$U$6:$U$10005,0))))))</f>
        <v/>
      </c>
      <c r="D358">
        <f>IF($C358="","",IFERROR(IF(INDEX('商品マスタ'!$C$6:$C$1005,MATCH($C358,'商品マスタ'!$B$6:$B$1005,0))="",IFERROR(INDEX('①在庫を貼る'!$J$6:$J$10005,MATCH($C358,'①在庫を貼る'!$W$6:$W$10005,0)),IFERROR(INDEX('月1回_1ヶ月前の在庫'!$J$6:$J$10005,MATCH($C358,'月1回_1ヶ月前の在庫'!$W$6:$W$10005,0)),IFERROR(INDEX('月1回_2ヶ月前の在庫'!$J$6:$J$10005,MATCH($C358,'月1回_2ヶ月前の在庫'!$W$6:$W$10005,0)),""))),INDEX('商品マスタ'!$C$6:$C$1005,MATCH($C358,'商品マスタ'!$B$6:$B$1005,0))),IFERROR(INDEX('①在庫を貼る'!$J$6:$J$10005,MATCH($C358,'①在庫を貼る'!$W$6:$W$10005,0)),IFERROR(INDEX('月1回_1ヶ月前の在庫'!$J$6:$J$10005,MATCH($C358,'月1回_1ヶ月前の在庫'!$W$6:$W$10005,0)),IFERROR(INDEX('月1回_2ヶ月前の在庫'!$J$6:$J$10005,MATCH($C358,'月1回_2ヶ月前の在庫'!$W$6:$W$10005,0)),"")))))</f>
        <v/>
      </c>
      <c r="E358">
        <f>IF($C358="","",IFERROR(IF(INDEX('商品マスタ'!$D$6:$D$1005,MATCH($C358,'商品マスタ'!$B$6:$B$1005,0))="",IFERROR(INDEX('①在庫を貼る'!$H$6:$H$10005,MATCH($C358,'①在庫を貼る'!$W$6:$W$10005,0)),IFERROR(INDEX('月1回_1ヶ月前の在庫'!$H$6:$H$10005,MATCH($C358,'月1回_1ヶ月前の在庫'!$W$6:$W$10005,0)),IFERROR(INDEX('月1回_2ヶ月前の在庫'!$H$6:$H$10005,MATCH($C358,'月1回_2ヶ月前の在庫'!$W$6:$W$10005,0)),""))),INDEX('商品マスタ'!$D$6:$D$1005,MATCH($C358,'商品マスタ'!$B$6:$B$1005,0))),IFERROR(INDEX('①在庫を貼る'!$H$6:$H$10005,MATCH($C358,'①在庫を貼る'!$W$6:$W$10005,0)),IFERROR(INDEX('月1回_1ヶ月前の在庫'!$H$6:$H$10005,MATCH($C358,'月1回_1ヶ月前の在庫'!$W$6:$W$10005,0)),IFERROR(INDEX('月1回_2ヶ月前の在庫'!$H$6:$H$10005,MATCH($C358,'月1回_2ヶ月前の在庫'!$W$6:$W$10005,0)),"")))))</f>
        <v/>
      </c>
      <c r="F358">
        <f>IF($C358="","",IFERROR(IF(INDEX('商品マスタ'!$E$6:$E$1005,MATCH($C358,'商品マスタ'!$B$6:$B$1005,0))="",IFERROR(INDEX('①在庫を貼る'!$E$6:$E$10005,MATCH($C358,'①在庫を貼る'!$W$6:$W$10005,0)),IFERROR(INDEX('月1回_1ヶ月前の在庫'!$E$6:$E$10005,MATCH($C358,'月1回_1ヶ月前の在庫'!$W$6:$W$10005,0)),IFERROR(INDEX('月1回_2ヶ月前の在庫'!$E$6:$E$10005,MATCH($C358,'月1回_2ヶ月前の在庫'!$W$6:$W$10005,0)),""))),INDEX('商品マスタ'!$E$6:$E$1005,MATCH($C358,'商品マスタ'!$B$6:$B$1005,0))),IFERROR(INDEX('①在庫を貼る'!$E$6:$E$10005,MATCH($C358,'①在庫を貼る'!$W$6:$W$10005,0)),IFERROR(INDEX('月1回_1ヶ月前の在庫'!$E$6:$E$10005,MATCH($C358,'月1回_1ヶ月前の在庫'!$W$6:$W$10005,0)),IFERROR(INDEX('月1回_2ヶ月前の在庫'!$E$6:$E$10005,MATCH($C358,'月1回_2ヶ月前の在庫'!$W$6:$W$10005,0)),"")))))</f>
        <v/>
      </c>
      <c r="G358">
        <f>IF($C358="","",MAX(1,N(IFERROR(IF(INDEX('商品マスタ'!$F$6:$F$1005,MATCH($C358,'商品マスタ'!$B$6:$B$1005,0))="",IF(COUNTIFS('①在庫を貼る'!$V$6:$V$10005,'設定'!$C$4,'①在庫を貼る'!$W$6:$W$10005,$C358)&gt;0,SUMIFS('①在庫を貼る'!$K$6:$K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K$6:$K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K$6:$K$10005,'月1回_2ヶ月前の在庫'!$V$6:$V$10005,'設定'!$C$4,'月1回_2ヶ月前の在庫'!$W$6:$W$10005,$C358)/COUNTIFS('月1回_2ヶ月前の在庫'!$V$6:$V$10005,'設定'!$C$4,'月1回_2ヶ月前の在庫'!$W$6:$W$10005,$C358),0))),INDEX('商品マスタ'!$F$6:$F$1005,MATCH($C358,'商品マスタ'!$B$6:$B$1005,0))),IF(COUNTIFS('①在庫を貼る'!$V$6:$V$10005,'設定'!$C$4,'①在庫を貼る'!$W$6:$W$10005,$C358)&gt;0,SUMIFS('①在庫を貼る'!$K$6:$K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K$6:$K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K$6:$K$10005,'月1回_2ヶ月前の在庫'!$V$6:$V$10005,'設定'!$C$4,'月1回_2ヶ月前の在庫'!$W$6:$W$10005,$C358)/COUNTIFS('月1回_2ヶ月前の在庫'!$V$6:$V$10005,'設定'!$C$4,'月1回_2ヶ月前の在庫'!$W$6:$W$10005,$C358),0)))))))</f>
        <v/>
      </c>
      <c r="H358">
        <f>IF($C358="","",N(IFERROR(IF(INDEX('商品マスタ'!$G$6:$G$1005,MATCH($C358,'商品マスタ'!$B$6:$B$1005,0))="",IF(COUNTIFS('①在庫を貼る'!$V$6:$V$10005,'設定'!$C$4,'①在庫を貼る'!$W$6:$W$10005,$C358)&gt;0,SUMIFS('①在庫を貼る'!$Q$6:$Q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Q$6:$Q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Q$6:$Q$10005,'月1回_2ヶ月前の在庫'!$V$6:$V$10005,'設定'!$C$4,'月1回_2ヶ月前の在庫'!$W$6:$W$10005,$C358)/COUNTIFS('月1回_2ヶ月前の在庫'!$V$6:$V$10005,'設定'!$C$4,'月1回_2ヶ月前の在庫'!$W$6:$W$10005,$C358),0))),INDEX('商品マスタ'!$G$6:$G$1005,MATCH($C358,'商品マスタ'!$B$6:$B$1005,0))),IF(COUNTIFS('①在庫を貼る'!$V$6:$V$10005,'設定'!$C$4,'①在庫を貼る'!$W$6:$W$10005,$C358)&gt;0,SUMIFS('①在庫を貼る'!$Q$6:$Q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Q$6:$Q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Q$6:$Q$10005,'月1回_2ヶ月前の在庫'!$V$6:$V$10005,'設定'!$C$4,'月1回_2ヶ月前の在庫'!$W$6:$W$10005,$C358)/COUNTIFS('月1回_2ヶ月前の在庫'!$V$6:$V$10005,'設定'!$C$4,'月1回_2ヶ月前の在庫'!$W$6:$W$10005,$C358),0))))))</f>
        <v/>
      </c>
      <c r="I358">
        <f>IF($C358="","",IF(COUNTIFS('①在庫を貼る'!$V$6:$V$10005,'設定'!$C$4,'①在庫を貼る'!$W$6:$W$10005,$C358)=0,"",SUMIFS('①在庫を貼る'!$N$6:$N$10005,'①在庫を貼る'!$V$6:$V$10005,'設定'!$C$4,'①在庫を貼る'!$W$6:$W$10005,$C358)))</f>
        <v/>
      </c>
      <c r="J358">
        <f>IF($C358="","",IF('②発注する'!$AD362="","",'②発注する'!$AD362))</f>
        <v/>
      </c>
      <c r="K358" s="90">
        <f>IF($C358="","",IF('②発注する'!$AE362="","",'②発注する'!$AE362))</f>
        <v/>
      </c>
      <c r="L358">
        <f>IF($C358="","",IF(AND(ISNUMBER($J358),ISNUMBER($K358),$K358&gt;='設定'!$C$6),$J358,N($I358)))</f>
        <v/>
      </c>
      <c r="M358">
        <f>IF($C358="","",IFERROR(IF(N(INDEX('商品マスタ'!$J$6:$J$1005,MATCH($C358,'商品マスタ'!$B$6:$B$1005,0)))&gt;0,INDEX('商品マスタ'!$J$6:$J$1005,MATCH($C358,'商品マスタ'!$B$6:$B$1005,0)),""),""))</f>
        <v/>
      </c>
      <c r="N358">
        <f>IF($C358="","",IFERROR(IF(N(INDEX('商品マスタ'!$H$6:$H$1005,MATCH($C358,'商品マスタ'!$B$6:$B$1005,0)))&gt;0,INDEX('商品マスタ'!$H$6:$H$1005,MATCH($C358,'商品マスタ'!$B$6:$B$1005,0)),""),""))</f>
        <v/>
      </c>
      <c r="O358">
        <f>IF($C358="","",IF($N358&lt;&gt;"",$N358*$G358,IF(N(IF(COUNTIFS('①在庫を貼る'!$V$6:$V$10005,'設定'!$C$4,'①在庫を貼る'!$W$6:$W$10005,$C358)&gt;0,SUMIFS('①在庫を貼る'!$O$6:$O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O$6:$O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O$6:$O$10005,'月1回_2ヶ月前の在庫'!$V$6:$V$10005,'設定'!$C$4,'月1回_2ヶ月前の在庫'!$W$6:$W$10005,$C358)/COUNTIFS('月1回_2ヶ月前の在庫'!$V$6:$V$10005,'設定'!$C$4,'月1回_2ヶ月前の在庫'!$W$6:$W$10005,$C358),0))))&gt;0,N(IF(COUNTIFS('①在庫を貼る'!$V$6:$V$10005,'設定'!$C$4,'①在庫を貼る'!$W$6:$W$10005,$C358)&gt;0,SUMIFS('①在庫を貼る'!$O$6:$O$10005,'①在庫を貼る'!$V$6:$V$10005,'設定'!$C$4,'①在庫を貼る'!$W$6:$W$10005,$C358)/COUNTIFS('①在庫を貼る'!$V$6:$V$10005,'設定'!$C$4,'①在庫を貼る'!$W$6:$W$10005,$C358),IF(COUNTIFS('月1回_1ヶ月前の在庫'!$V$6:$V$10005,'設定'!$C$4,'月1回_1ヶ月前の在庫'!$W$6:$W$10005,$C358)&gt;0,SUMIFS('月1回_1ヶ月前の在庫'!$O$6:$O$10005,'月1回_1ヶ月前の在庫'!$V$6:$V$10005,'設定'!$C$4,'月1回_1ヶ月前の在庫'!$W$6:$W$10005,$C358)/COUNTIFS('月1回_1ヶ月前の在庫'!$V$6:$V$10005,'設定'!$C$4,'月1回_1ヶ月前の在庫'!$W$6:$W$10005,$C358),IF(COUNTIFS('月1回_2ヶ月前の在庫'!$V$6:$V$10005,'設定'!$C$4,'月1回_2ヶ月前の在庫'!$W$6:$W$10005,$C358)&gt;0,SUMIFS('月1回_2ヶ月前の在庫'!$O$6:$O$10005,'月1回_2ヶ月前の在庫'!$V$6:$V$10005,'設定'!$C$4,'月1回_2ヶ月前の在庫'!$W$6:$W$10005,$C358)/COUNTIFS('月1回_2ヶ月前の在庫'!$V$6:$V$10005,'設定'!$C$4,'月1回_2ヶ月前の在庫'!$W$6:$W$10005,$C358),0)))),"")))</f>
        <v/>
      </c>
      <c r="P358" s="90">
        <f>IF($C358="","",IF('②発注する'!$I362="","",'②発注する'!$I362))</f>
        <v/>
      </c>
      <c r="Q358">
        <f>IF($C358="","",IF('②発注する'!$J362="","",'②発注する'!$J362))</f>
        <v/>
      </c>
      <c r="R358">
        <f>IF($C358="",0,IF(AND(ISNUMBER($P358),ISNUMBER($Q358)),MAX(0,$Q358)*$G358,0))</f>
        <v/>
      </c>
      <c r="S358" s="90">
        <f>IF($C358="","",IF('②発注する'!$M362="","",'②発注する'!$M362))</f>
        <v/>
      </c>
      <c r="T358">
        <f>IF($C358="","",IF('②発注する'!$N362="","",'②発注する'!$N362))</f>
        <v/>
      </c>
      <c r="U358">
        <f>IF($C358="",0,IF(AND(ISNUMBER($S358),ISNUMBER($T358)),MAX(0,$T358)*$G358,0))</f>
        <v/>
      </c>
      <c r="V358">
        <f>IF($C358="",0,IF($M358="",0,MAX(0,$M358)*MAX(0,V$4)/100))</f>
        <v/>
      </c>
      <c r="W358">
        <f>IF($C358="",0,IF($M358="",0,MAX(0,$M358)*MAX(0,W$4)/100))</f>
        <v/>
      </c>
      <c r="X358">
        <f>IF($C358="",0,IF($M358="",0,MAX(0,$M358)*MAX(0,X$4)/100))</f>
        <v/>
      </c>
      <c r="Y358">
        <f>IF($C358="",0,IF($M358="",0,MAX(0,$M358)*MAX(0,Y$4)/100))</f>
        <v/>
      </c>
      <c r="Z358">
        <f>IF($C358="",0,IF($M358="",0,MAX(0,$M358)*MAX(0,Z$4)/100))</f>
        <v/>
      </c>
      <c r="AA358">
        <f>IF($C358="",0,IF($M358="",0,MAX(0,$M358)*MAX(0,AA$4)/100))</f>
        <v/>
      </c>
      <c r="AB358">
        <f>IF($C358="",0,IF($M358="",0,MAX(0,$M358)*MAX(0,AB$4)/100))</f>
        <v/>
      </c>
      <c r="AC358">
        <f>IF($C358="",0,IF($M358="",0,MAX(0,$M358)*MAX(0,AC$4)/100))</f>
        <v/>
      </c>
      <c r="AD358">
        <f>IF($C358="",0,IF($M358="",0,MAX(0,$M358)*MAX(0,AD$4)/100))</f>
        <v/>
      </c>
      <c r="AE358">
        <f>IF($C358="",0,IF($M358="",0,MAX(0,$M358)*MAX(0,AE$4)/100))</f>
        <v/>
      </c>
      <c r="AF358">
        <f>IF($C358="",0,IF($M358="",0,MAX(0,$M358)*MAX(0,AF$4)/100))</f>
        <v/>
      </c>
      <c r="AG358">
        <f>IF($C358="",0,IF($M358="",0,MAX(0,$M358)*MAX(0,AG$4)/100))</f>
        <v/>
      </c>
      <c r="AH358">
        <f>IF($C358="",0,IF($M358="",0,MAX(0,$M358)*MAX(0,AH$4)/100))</f>
        <v/>
      </c>
      <c r="AI358">
        <f>IF($C358="",0,IF($M358="",0,MAX(0,$M358)*MAX(0,AI$4)/100))</f>
        <v/>
      </c>
      <c r="AJ358">
        <f>IF($C358="",0,MAX(0,MAX(0,N($L358))-$V358))</f>
        <v/>
      </c>
      <c r="AK358">
        <f>IF($C358="",0,MAX(0,$AJ358-$W358))</f>
        <v/>
      </c>
      <c r="AL358">
        <f>IF($C358="",0,MAX(0,$AK358-$X358))</f>
        <v/>
      </c>
      <c r="AM358">
        <f>IF($C358="",0,MAX(0,$AL358-$Y358))</f>
        <v/>
      </c>
      <c r="AN358">
        <f>IF($C358="",0,MAX(0,$AM358-$Z358))</f>
        <v/>
      </c>
      <c r="AO358">
        <f>IF($C358="",0,MAX(0,$AN358-$AA358))</f>
        <v/>
      </c>
      <c r="AP358">
        <f>IF($C358="",0,MAX(0,$AO358-$AB358))</f>
        <v/>
      </c>
      <c r="AQ358">
        <f>IF($C358="",0,MAX(0,$AP358-$AC358))</f>
        <v/>
      </c>
      <c r="AR358">
        <f>IF($C358="",0,MAX(0,$AQ358-$AD358))</f>
        <v/>
      </c>
      <c r="AS358">
        <f>IF($C358="",0,MAX(0,$AR358-$AE358))</f>
        <v/>
      </c>
      <c r="AT358">
        <f>IF($C358="",0,MAX(0,$AS358-$AF358))</f>
        <v/>
      </c>
      <c r="AU358">
        <f>IF($C358="",0,MAX(0,$AT358-$AG358))</f>
        <v/>
      </c>
      <c r="AV358">
        <f>IF($C358="",0,MAX(0,$AU358-$AH358))</f>
        <v/>
      </c>
      <c r="AW358">
        <f>IF($C358="",0,MAX(0,$AV358-$AI358))</f>
        <v/>
      </c>
      <c r="AX358">
        <f>IF($C358="",0,MAX(0,MAX(0,N($L358))+IF($P358=V$3,$R358,0)+IF($S358=V$3,$U358,0)-$V358))</f>
        <v/>
      </c>
      <c r="AY358">
        <f>IF($C358="",0,MAX(0,$AX358+IF($P358=W$3,$R358,0)+IF($S358=W$3,$U358,0)-$W358))</f>
        <v/>
      </c>
      <c r="AZ358">
        <f>IF($C358="",0,MAX(0,$AY358+IF($P358=X$3,$R358,0)+IF($S358=X$3,$U358,0)-$X358))</f>
        <v/>
      </c>
      <c r="BA358">
        <f>IF($C358="",0,MAX(0,$AZ358+IF($P358=Y$3,$R358,0)+IF($S358=Y$3,$U358,0)-$Y358))</f>
        <v/>
      </c>
      <c r="BB358">
        <f>IF($C358="",0,MAX(0,$BA358+IF($P358=Z$3,$R358,0)+IF($S358=Z$3,$U358,0)-$Z358))</f>
        <v/>
      </c>
      <c r="BC358">
        <f>IF($C358="",0,MAX(0,$BB358+IF($P358=AA$3,$R358,0)+IF($S358=AA$3,$U358,0)-$AA358))</f>
        <v/>
      </c>
      <c r="BD358">
        <f>IF($C358="",0,MAX(0,$BC358+IF($P358=AB$3,$R358,0)+IF($S358=AB$3,$U358,0)-$AB358))</f>
        <v/>
      </c>
      <c r="BE358">
        <f>IF($C358="",0,MAX(0,$BD358+IF($P358=AC$3,$R358,0)+IF($S358=AC$3,$U358,0)-$AC358))</f>
        <v/>
      </c>
      <c r="BF358">
        <f>IF($C358="",0,MAX(0,$BE358+IF($P358=AD$3,$R358,0)+IF($S358=AD$3,$U358,0)-$AD358))</f>
        <v/>
      </c>
      <c r="BG358">
        <f>IF($C358="",0,MAX(0,$BF358+IF($P358=AE$3,$R358,0)+IF($S358=AE$3,$U358,0)-$AE358))</f>
        <v/>
      </c>
      <c r="BH358">
        <f>IF($C358="",0,MAX(0,$BG358+IF($P358=AF$3,$R358,0)+IF($S358=AF$3,$U358,0)-$AF358))</f>
        <v/>
      </c>
      <c r="BI358">
        <f>IF($C358="",0,MAX(0,$BH358+IF($P358=AG$3,$R358,0)+IF($S358=AG$3,$U358,0)-$AG358))</f>
        <v/>
      </c>
      <c r="BJ358">
        <f>IF($C358="",0,MAX(0,$BI358+IF($P358=AH$3,$R358,0)+IF($S358=AH$3,$U358,0)-$AH358))</f>
        <v/>
      </c>
      <c r="BK358">
        <f>IF($C358="",0,MAX(0,$BJ358+IF($P358=AI$3,$R358,0)+IF($S358=AI$3,$U358,0)-$AI358))</f>
        <v/>
      </c>
      <c r="BL358">
        <f>IF($C358="",99,IF(AND($AX358&lt;1,V$3&gt;=MAX(N($P358),N($S358))),0,99))</f>
        <v/>
      </c>
      <c r="BM358">
        <f>IF($C358="",99,IF(AND($AY358&lt;1,W$3&gt;=MAX(N($P358),N($S358))),1,99))</f>
        <v/>
      </c>
      <c r="BN358">
        <f>IF($C358="",99,IF(AND($AZ358&lt;1,X$3&gt;=MAX(N($P358),N($S358))),2,99))</f>
        <v/>
      </c>
      <c r="BO358">
        <f>IF($C358="",99,IF(AND($BA358&lt;1,Y$3&gt;=MAX(N($P358),N($S358))),3,99))</f>
        <v/>
      </c>
      <c r="BP358">
        <f>IF($C358="",99,IF(AND($BB358&lt;1,Z$3&gt;=MAX(N($P358),N($S358))),4,99))</f>
        <v/>
      </c>
      <c r="BQ358">
        <f>IF($C358="",99,IF(AND($BC358&lt;1,AA$3&gt;=MAX(N($P358),N($S358))),5,99))</f>
        <v/>
      </c>
      <c r="BR358">
        <f>IF($C358="",99,IF(AND($BD358&lt;1,AB$3&gt;=MAX(N($P358),N($S358))),6,99))</f>
        <v/>
      </c>
      <c r="BS358">
        <f>IF($C358="",99,IF(AND($BE358&lt;1,AC$3&gt;=MAX(N($P358),N($S358))),7,99))</f>
        <v/>
      </c>
      <c r="BT358">
        <f>IF($C358="",99,IF(AND($BF358&lt;1,AD$3&gt;=MAX(N($P358),N($S358))),8,99))</f>
        <v/>
      </c>
      <c r="BU358">
        <f>IF($C358="",99,IF(AND($BG358&lt;1,AE$3&gt;=MAX(N($P358),N($S358))),9,99))</f>
        <v/>
      </c>
      <c r="BV358">
        <f>IF($C358="",99,IF(AND($BH358&lt;1,AF$3&gt;=MAX(N($P358),N($S358))),10,99))</f>
        <v/>
      </c>
      <c r="BW358">
        <f>IF($C358="",99,IF(AND($BI358&lt;1,AG$3&gt;=MAX(N($P358),N($S358))),11,99))</f>
        <v/>
      </c>
      <c r="BX358">
        <f>IF($C358="",99,IF(AND($BJ358&lt;1,AH$3&gt;=MAX(N($P358),N($S358))),12,99))</f>
        <v/>
      </c>
      <c r="BY358">
        <f>IF($C358="",99,IF(AND($BK358&lt;1,AI$3&gt;=MAX(N($P358),N($S358))),13,99))</f>
        <v/>
      </c>
      <c r="BZ358">
        <f>IF(OR($C358="",$M358=""),"",COUNTIF($AJ358:$AW358,"&gt;=1"))</f>
        <v/>
      </c>
      <c r="CA358" s="90">
        <f>IF($BZ358="","",IF($BZ358&gt;=14,"",'設定'!$C$6+$BZ358))</f>
        <v/>
      </c>
      <c r="CB358">
        <f>IF(OR($C358="",$M358=""),"",MIN($BL358:$BY358))</f>
        <v/>
      </c>
      <c r="CC358" s="90">
        <f>IF($CB358="","",IF($CB358&gt;=99,"",'設定'!$C$6+$CB358))</f>
        <v/>
      </c>
      <c r="CD358">
        <f>IF(OR($C358="",$M358=""),"",AVERAGE($V358:$AI358))</f>
        <v/>
      </c>
      <c r="CE358">
        <f>IF($C358="","",IFERROR(IF(MATCH(IF(ISNUMBER($P358),$P358,'設定'!$C$6+N('設定'!$C$7)),$V$3:$AI$3,0)=1,MAX(0,N($L358)),INDEX($AJ358:$AW358,MATCH(IF(ISNUMBER($P358),$P358,'設定'!$C$6+N('設定'!$C$7)),$V$3:$AI$3,0)-1)),""))</f>
        <v/>
      </c>
      <c r="CF358">
        <f>IF(OR($C358="",$O358="",$CE358=""),"",IF($O358-$CE358&lt;=0,0,ROUNDUP(($O358-$CE358)/$G358,0)))</f>
        <v/>
      </c>
      <c r="CG358">
        <f>IF(OR($C358="",$CF358="",NOT(ISNUMBER($Q358))),0,MAX(0,$Q358-$CF358))</f>
        <v/>
      </c>
      <c r="CH358">
        <f>IF(OR($C358="",$O358="",$U358=0),0,IFERROR(ROUNDUP(MAX(0,IF(MATCH($S358,$V$3:$AI$3,0)=1,MAX(0,N($L358)),INDEX($AX358:$BK358,MATCH($S358,$V$3:$AI$3,0)-1))+$U358-$O358)/$G358,0),0))</f>
        <v/>
      </c>
      <c r="CI358">
        <f>IF($C358="","",IF(AND($P358="",$Q358=""),"",IF($P358="","⚠ 入庫日を ▼ から選んでください",IF(NOT(ISNUMBER($P358)),"⚠ 入庫日は ▼ から選んでください",IF($P358&lt;N('設定'!$C$6),"⚠ 入庫日が過去です（もう在庫に入っています）→ 消してください",IF($P358&gt;N('設定'!$C$6)+13,"⚠ 入庫日が14日より先です",IF(N($Q358)&lt;=0,"⚠ 入庫数を入れてください",IF($CG358&gt;0,"⚠ 目安より "&amp;$CG358&amp;" 多い（定数を超える）→ 減らす",""))))))))</f>
        <v/>
      </c>
      <c r="CJ358">
        <f>IF($C358="","",IF(AND($S358="",$T358=""),"",IF($S358="","⚠ 2便目：入庫日を ▼ から選んでください",IF(NOT(ISNUMBER($S358)),"⚠ 2便目：入庫日は ▼ から選んでください",IF($S358&lt;N('設定'!$C$6),"⚠ 2便目：入庫日が過去です（もう在庫に入っています）→ 消してください",IF($S358&gt;N('設定'!$C$6)+13,"⚠ 2便目：入庫日が14日より先です",IF(N($T358)&lt;=0,"⚠ 2便目：入庫数を入れてください",IF($CH358&gt;0,"⚠ 2便目：定数を "&amp;$CH358&amp;" ケース超える → 減らす",""))))))))</f>
        <v/>
      </c>
      <c r="CK358">
        <f>IF(AND($CI358="",N($Q358)&gt;0,ISNUMBER($P358)),1,0)</f>
        <v/>
      </c>
      <c r="CL358">
        <f>IF(AND($CJ358="",N($T358)&gt;0,ISNUMBER($S358)),1,0)</f>
        <v/>
      </c>
      <c r="CM358">
        <f>IF(OR($CK358=1,$CL358=1),1,0)</f>
        <v/>
      </c>
      <c r="CN358">
        <f>IF($C358="",0,($CK358*$R358+$CL358*$U358)*N($H358))</f>
        <v/>
      </c>
      <c r="CO358">
        <f>IF($C358="","",IF($CC358="","入庫後は 14日以上もつ",IF($CC358-N('設定'!$C$7)&lt;='設定'!$C$6,"入庫後も "&amp;TEXT($CC358,"m/d")&amp;"("&amp;CHOOSE(WEEKDAY($CC358),"日","月","火","水","木","金","土")&amp;")"&amp;" に切れる　もう1便を至急発注","入庫後も "&amp;TEXT($CC358,"m/d")&amp;"("&amp;CHOOSE(WEEKDAY($CC358),"日","月","火","水","木","金","土")&amp;")"&amp;" に切れる　"&amp;TEXT($CC358-N('設定'!$C$7),"m/d")&amp;"("&amp;CHOOSE(WEEKDAY($CC358-N('設定'!$C$7)),"日","月","火","水","木","金","土")&amp;")"&amp;" までに次を発注")))</f>
        <v/>
      </c>
      <c r="CP358">
        <f>IF($C358="","",IF('設定'!$C$6="","？ ①在庫を貼る に今日のCSVが貼られていない",IF($CS358=1,"－ 今日のCSVに無い（終売？）",IF($L358&lt;0,"● 在庫がマイナス　数えて「数えた在庫」に入れる",IF($L358=0,"● 在庫なし　至急発注",IF($M358="","？ 減り数が未設定（商品マスタ）",IF($B$3=0,"？ 動員が未入力（動員を入れる）",IF($CA358="","○ 14日以上もつ",IF($BZ358&lt;N('設定'!$C$7),"● "&amp;TEXT($CA358,"m/d")&amp;"("&amp;CHOOSE(WEEKDAY($CA358),"日","月","火","水","木","金","土")&amp;")"&amp;" に切れる　至急発注",IF($BZ358=N('設定'!$C$7),"● "&amp;TEXT($CA358,"m/d")&amp;"("&amp;CHOOSE(WEEKDAY($CA358),"日","月","火","水","木","金","土")&amp;")"&amp;" に切れる　今日発注","△ "&amp;TEXT($CA358,"m/d")&amp;"("&amp;CHOOSE(WEEKDAY($CA358),"日","月","火","水","木","金","土")&amp;")"&amp;" に切れる　"&amp;TEXT($CA358-N('設定'!$C$7),"m/d")&amp;"("&amp;CHOOSE(WEEKDAY($CA358-N('設定'!$C$7)),"日","月","火","水","木","金","土")&amp;")"&amp;" までに発注"))))))))))</f>
        <v/>
      </c>
      <c r="CQ358">
        <f>IF($C358="","",IF(AND($P358="",$Q358="",$S358="",$T358=""),"",IF(AND($P358="",$Q358=""),"⚠ 先に1便目（左の入庫日・入庫数）に入れてください",IF($CI358&lt;&gt;"",$CI358,IF($CJ358&lt;&gt;"",$CJ358,IF($M358="","？ 減り数が未設定（発注書には載ります）",IF($B$3=0,"？ 動員が未入力（発注書には載ります）",IF(AND($CA358&lt;&gt;"",$P358&gt;$CA358),IF($P358&gt;'設定'!$C$6+N('設定'!$C$7),"● "&amp;TEXT($P358,"m/d")&amp;"("&amp;CHOOSE(WEEKDAY($P358),"日","月","火","水","木","金","土")&amp;")"&amp;" の入庫では間に合わない（"&amp;TEXT($CA358,"m/d")&amp;"("&amp;CHOOSE(WEEKDAY($CA358),"日","月","火","水","木","金","土")&amp;")"&amp;" に切れる）　入庫日を早める","△ 欠品 "&amp;TEXT($CA358,"m/d")&amp;"("&amp;CHOOSE(WEEKDAY($CA358),"日","月","火","水","木","金","土")&amp;")"&amp;"〜"&amp;TEXT($P358-1,"m/d")&amp;"("&amp;CHOOSE(WEEKDAY($P358-1),"日","月","火","水","木","金","土")&amp;")"&amp;"　"&amp;$CO358),IF($CC358="","○ "&amp;TEXT($P358,"m/d")&amp;"("&amp;CHOOSE(WEEKDAY($P358),"日","月","火","水","木","金","土")&amp;")"&amp;" 入庫で 14日以上もつ",IF($CC358-N('設定'!$C$7)&lt;='設定'!$C$6,"● 入庫しても "&amp;TEXT($CC358,"m/d")&amp;"("&amp;CHOOSE(WEEKDAY($CC358),"日","月","火","水","木","金","土")&amp;")"&amp;" に切れる　もう1便を至急発注（2便目に入れる）","△ 入庫しても "&amp;TEXT($CC358,"m/d")&amp;"("&amp;CHOOSE(WEEKDAY($CC358),"日","月","火","水","木","金","土")&amp;")"&amp;" に切れる　"&amp;TEXT($CC358-N('設定'!$C$7),"m/d")&amp;"("&amp;CHOOSE(WEEKDAY($CC358-N('設定'!$C$7)),"日","月","火","水","木","金","土")&amp;")"&amp;" までに次を発注（2便目に入れる）"))))))))))</f>
        <v/>
      </c>
      <c r="CR358">
        <f>IF($C358="","",IF($G358&gt;1,"ｹｰｽ("&amp;$G358&amp;"入)","個"))</f>
        <v/>
      </c>
      <c r="CS358">
        <f>IF($C358="",0,IF(COUNTIFS('①在庫を貼る'!$V$6:$V$10005,'設定'!$C$4,'①在庫を貼る'!$W$6:$W$10005,$C358)=0,1,0))</f>
        <v/>
      </c>
      <c r="CT358">
        <f>IF(AND($CK358=1,OR('③発注書'!$C$4="すべて",'③発注書'!$C$4="",$F358='③発注書'!$C$4)),N($CT357)+1,N($CT357))</f>
        <v/>
      </c>
      <c r="CU358">
        <f>IF(AND($CL358=1,OR('③発注書'!$C$4="すべて",'③発注書'!$C$4="",$F358='③発注書'!$C$4)),N($CU357)+1,N($CU357))</f>
        <v/>
      </c>
      <c r="CV358">
        <f>IF($C358="",0,IF(COUNTIFS('①在庫を貼る'!$V$6:$V$10005,'設定'!$C$4,'①在庫を貼る'!$W$6:$W$10005,$C358)&gt;0,1,0))</f>
        <v/>
      </c>
      <c r="CW358">
        <f>IF($C358="",0,IF(COUNTIFS('月1回_1ヶ月前の在庫'!$V$6:$V$10005,'設定'!$C$4,'月1回_1ヶ月前の在庫'!$W$6:$W$10005,$C358)&gt;0,1,0))</f>
        <v/>
      </c>
      <c r="CX358">
        <f>IF($C358="",0,IF(COUNTIFS('月1回_2ヶ月前の在庫'!$V$6:$V$10005,'設定'!$C$4,'月1回_2ヶ月前の在庫'!$W$6:$W$10005,$C358)&gt;0,1,0))</f>
        <v/>
      </c>
      <c r="CY358">
        <f>IF(OR($C358="",'設定'!$C$12=""),"",IF('設定'!$C$13="",IF(AND($CV358=1,$CW358=0),"新商品（今月から）",IF(AND($CV358=0,$CW358=1),"終売（今月から）","")),IF(AND($CV358=1,$CW358=0,$CX358=0),"新商品（今月から）",IF(AND($CV358=1,$CW358=1,$CX358=0),"新商品（先月から）",IF(AND($CV358=0,$CW358=1,$CX358=1),"終売（今月から）",IF(AND($CV358=0,$CW358=0,$CX358=1),"終売（先月から）",IF(AND($CV358=1,$CW358=0,$CX358=1),"復活（先月は無し）","")))))))</f>
        <v/>
      </c>
    </row>
    <row r="359">
      <c r="B359">
        <f>IF(354&lt;='設定'!$C$11,354,"")</f>
        <v/>
      </c>
      <c r="C359">
        <f>IF($B359="","",IF($B359&lt;='設定'!$C$20,INDEX('商品マスタ'!$B$6:$B$1005,MATCH($B359,'商品マスタ'!$M$6:$M$1005,0)),IF($B359&lt;='設定'!$C$20+'設定'!$C$17,INDEX('①在庫を貼る'!$W$6:$W$10005,MATCH($B359-'設定'!$C$20,'①在庫を貼る'!$U$6:$U$10005,0)),IF($B359&lt;='設定'!$C$20+'設定'!$C$17+'設定'!$C$18,INDEX('月1回_1ヶ月前の在庫'!$W$6:$W$10005,MATCH($B359-'設定'!$C$20-'設定'!$C$17,'月1回_1ヶ月前の在庫'!$U$6:$U$10005,0)),INDEX('月1回_2ヶ月前の在庫'!$W$6:$W$10005,MATCH($B359-'設定'!$C$20-'設定'!$C$17-'設定'!$C$18,'月1回_2ヶ月前の在庫'!$U$6:$U$10005,0))))))</f>
        <v/>
      </c>
      <c r="D359">
        <f>IF($C359="","",IFERROR(IF(INDEX('商品マスタ'!$C$6:$C$1005,MATCH($C359,'商品マスタ'!$B$6:$B$1005,0))="",IFERROR(INDEX('①在庫を貼る'!$J$6:$J$10005,MATCH($C359,'①在庫を貼る'!$W$6:$W$10005,0)),IFERROR(INDEX('月1回_1ヶ月前の在庫'!$J$6:$J$10005,MATCH($C359,'月1回_1ヶ月前の在庫'!$W$6:$W$10005,0)),IFERROR(INDEX('月1回_2ヶ月前の在庫'!$J$6:$J$10005,MATCH($C359,'月1回_2ヶ月前の在庫'!$W$6:$W$10005,0)),""))),INDEX('商品マスタ'!$C$6:$C$1005,MATCH($C359,'商品マスタ'!$B$6:$B$1005,0))),IFERROR(INDEX('①在庫を貼る'!$J$6:$J$10005,MATCH($C359,'①在庫を貼る'!$W$6:$W$10005,0)),IFERROR(INDEX('月1回_1ヶ月前の在庫'!$J$6:$J$10005,MATCH($C359,'月1回_1ヶ月前の在庫'!$W$6:$W$10005,0)),IFERROR(INDEX('月1回_2ヶ月前の在庫'!$J$6:$J$10005,MATCH($C359,'月1回_2ヶ月前の在庫'!$W$6:$W$10005,0)),"")))))</f>
        <v/>
      </c>
      <c r="E359">
        <f>IF($C359="","",IFERROR(IF(INDEX('商品マスタ'!$D$6:$D$1005,MATCH($C359,'商品マスタ'!$B$6:$B$1005,0))="",IFERROR(INDEX('①在庫を貼る'!$H$6:$H$10005,MATCH($C359,'①在庫を貼る'!$W$6:$W$10005,0)),IFERROR(INDEX('月1回_1ヶ月前の在庫'!$H$6:$H$10005,MATCH($C359,'月1回_1ヶ月前の在庫'!$W$6:$W$10005,0)),IFERROR(INDEX('月1回_2ヶ月前の在庫'!$H$6:$H$10005,MATCH($C359,'月1回_2ヶ月前の在庫'!$W$6:$W$10005,0)),""))),INDEX('商品マスタ'!$D$6:$D$1005,MATCH($C359,'商品マスタ'!$B$6:$B$1005,0))),IFERROR(INDEX('①在庫を貼る'!$H$6:$H$10005,MATCH($C359,'①在庫を貼る'!$W$6:$W$10005,0)),IFERROR(INDEX('月1回_1ヶ月前の在庫'!$H$6:$H$10005,MATCH($C359,'月1回_1ヶ月前の在庫'!$W$6:$W$10005,0)),IFERROR(INDEX('月1回_2ヶ月前の在庫'!$H$6:$H$10005,MATCH($C359,'月1回_2ヶ月前の在庫'!$W$6:$W$10005,0)),"")))))</f>
        <v/>
      </c>
      <c r="F359">
        <f>IF($C359="","",IFERROR(IF(INDEX('商品マスタ'!$E$6:$E$1005,MATCH($C359,'商品マスタ'!$B$6:$B$1005,0))="",IFERROR(INDEX('①在庫を貼る'!$E$6:$E$10005,MATCH($C359,'①在庫を貼る'!$W$6:$W$10005,0)),IFERROR(INDEX('月1回_1ヶ月前の在庫'!$E$6:$E$10005,MATCH($C359,'月1回_1ヶ月前の在庫'!$W$6:$W$10005,0)),IFERROR(INDEX('月1回_2ヶ月前の在庫'!$E$6:$E$10005,MATCH($C359,'月1回_2ヶ月前の在庫'!$W$6:$W$10005,0)),""))),INDEX('商品マスタ'!$E$6:$E$1005,MATCH($C359,'商品マスタ'!$B$6:$B$1005,0))),IFERROR(INDEX('①在庫を貼る'!$E$6:$E$10005,MATCH($C359,'①在庫を貼る'!$W$6:$W$10005,0)),IFERROR(INDEX('月1回_1ヶ月前の在庫'!$E$6:$E$10005,MATCH($C359,'月1回_1ヶ月前の在庫'!$W$6:$W$10005,0)),IFERROR(INDEX('月1回_2ヶ月前の在庫'!$E$6:$E$10005,MATCH($C359,'月1回_2ヶ月前の在庫'!$W$6:$W$10005,0)),"")))))</f>
        <v/>
      </c>
      <c r="G359">
        <f>IF($C359="","",MAX(1,N(IFERROR(IF(INDEX('商品マスタ'!$F$6:$F$1005,MATCH($C359,'商品マスタ'!$B$6:$B$1005,0))="",IF(COUNTIFS('①在庫を貼る'!$V$6:$V$10005,'設定'!$C$4,'①在庫を貼る'!$W$6:$W$10005,$C359)&gt;0,SUMIFS('①在庫を貼る'!$K$6:$K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K$6:$K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K$6:$K$10005,'月1回_2ヶ月前の在庫'!$V$6:$V$10005,'設定'!$C$4,'月1回_2ヶ月前の在庫'!$W$6:$W$10005,$C359)/COUNTIFS('月1回_2ヶ月前の在庫'!$V$6:$V$10005,'設定'!$C$4,'月1回_2ヶ月前の在庫'!$W$6:$W$10005,$C359),0))),INDEX('商品マスタ'!$F$6:$F$1005,MATCH($C359,'商品マスタ'!$B$6:$B$1005,0))),IF(COUNTIFS('①在庫を貼る'!$V$6:$V$10005,'設定'!$C$4,'①在庫を貼る'!$W$6:$W$10005,$C359)&gt;0,SUMIFS('①在庫を貼る'!$K$6:$K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K$6:$K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K$6:$K$10005,'月1回_2ヶ月前の在庫'!$V$6:$V$10005,'設定'!$C$4,'月1回_2ヶ月前の在庫'!$W$6:$W$10005,$C359)/COUNTIFS('月1回_2ヶ月前の在庫'!$V$6:$V$10005,'設定'!$C$4,'月1回_2ヶ月前の在庫'!$W$6:$W$10005,$C359),0)))))))</f>
        <v/>
      </c>
      <c r="H359">
        <f>IF($C359="","",N(IFERROR(IF(INDEX('商品マスタ'!$G$6:$G$1005,MATCH($C359,'商品マスタ'!$B$6:$B$1005,0))="",IF(COUNTIFS('①在庫を貼る'!$V$6:$V$10005,'設定'!$C$4,'①在庫を貼る'!$W$6:$W$10005,$C359)&gt;0,SUMIFS('①在庫を貼る'!$Q$6:$Q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Q$6:$Q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Q$6:$Q$10005,'月1回_2ヶ月前の在庫'!$V$6:$V$10005,'設定'!$C$4,'月1回_2ヶ月前の在庫'!$W$6:$W$10005,$C359)/COUNTIFS('月1回_2ヶ月前の在庫'!$V$6:$V$10005,'設定'!$C$4,'月1回_2ヶ月前の在庫'!$W$6:$W$10005,$C359),0))),INDEX('商品マスタ'!$G$6:$G$1005,MATCH($C359,'商品マスタ'!$B$6:$B$1005,0))),IF(COUNTIFS('①在庫を貼る'!$V$6:$V$10005,'設定'!$C$4,'①在庫を貼る'!$W$6:$W$10005,$C359)&gt;0,SUMIFS('①在庫を貼る'!$Q$6:$Q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Q$6:$Q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Q$6:$Q$10005,'月1回_2ヶ月前の在庫'!$V$6:$V$10005,'設定'!$C$4,'月1回_2ヶ月前の在庫'!$W$6:$W$10005,$C359)/COUNTIFS('月1回_2ヶ月前の在庫'!$V$6:$V$10005,'設定'!$C$4,'月1回_2ヶ月前の在庫'!$W$6:$W$10005,$C359),0))))))</f>
        <v/>
      </c>
      <c r="I359">
        <f>IF($C359="","",IF(COUNTIFS('①在庫を貼る'!$V$6:$V$10005,'設定'!$C$4,'①在庫を貼る'!$W$6:$W$10005,$C359)=0,"",SUMIFS('①在庫を貼る'!$N$6:$N$10005,'①在庫を貼る'!$V$6:$V$10005,'設定'!$C$4,'①在庫を貼る'!$W$6:$W$10005,$C359)))</f>
        <v/>
      </c>
      <c r="J359">
        <f>IF($C359="","",IF('②発注する'!$AD363="","",'②発注する'!$AD363))</f>
        <v/>
      </c>
      <c r="K359" s="90">
        <f>IF($C359="","",IF('②発注する'!$AE363="","",'②発注する'!$AE363))</f>
        <v/>
      </c>
      <c r="L359">
        <f>IF($C359="","",IF(AND(ISNUMBER($J359),ISNUMBER($K359),$K359&gt;='設定'!$C$6),$J359,N($I359)))</f>
        <v/>
      </c>
      <c r="M359">
        <f>IF($C359="","",IFERROR(IF(N(INDEX('商品マスタ'!$J$6:$J$1005,MATCH($C359,'商品マスタ'!$B$6:$B$1005,0)))&gt;0,INDEX('商品マスタ'!$J$6:$J$1005,MATCH($C359,'商品マスタ'!$B$6:$B$1005,0)),""),""))</f>
        <v/>
      </c>
      <c r="N359">
        <f>IF($C359="","",IFERROR(IF(N(INDEX('商品マスタ'!$H$6:$H$1005,MATCH($C359,'商品マスタ'!$B$6:$B$1005,0)))&gt;0,INDEX('商品マスタ'!$H$6:$H$1005,MATCH($C359,'商品マスタ'!$B$6:$B$1005,0)),""),""))</f>
        <v/>
      </c>
      <c r="O359">
        <f>IF($C359="","",IF($N359&lt;&gt;"",$N359*$G359,IF(N(IF(COUNTIFS('①在庫を貼る'!$V$6:$V$10005,'設定'!$C$4,'①在庫を貼る'!$W$6:$W$10005,$C359)&gt;0,SUMIFS('①在庫を貼る'!$O$6:$O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O$6:$O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O$6:$O$10005,'月1回_2ヶ月前の在庫'!$V$6:$V$10005,'設定'!$C$4,'月1回_2ヶ月前の在庫'!$W$6:$W$10005,$C359)/COUNTIFS('月1回_2ヶ月前の在庫'!$V$6:$V$10005,'設定'!$C$4,'月1回_2ヶ月前の在庫'!$W$6:$W$10005,$C359),0))))&gt;0,N(IF(COUNTIFS('①在庫を貼る'!$V$6:$V$10005,'設定'!$C$4,'①在庫を貼る'!$W$6:$W$10005,$C359)&gt;0,SUMIFS('①在庫を貼る'!$O$6:$O$10005,'①在庫を貼る'!$V$6:$V$10005,'設定'!$C$4,'①在庫を貼る'!$W$6:$W$10005,$C359)/COUNTIFS('①在庫を貼る'!$V$6:$V$10005,'設定'!$C$4,'①在庫を貼る'!$W$6:$W$10005,$C359),IF(COUNTIFS('月1回_1ヶ月前の在庫'!$V$6:$V$10005,'設定'!$C$4,'月1回_1ヶ月前の在庫'!$W$6:$W$10005,$C359)&gt;0,SUMIFS('月1回_1ヶ月前の在庫'!$O$6:$O$10005,'月1回_1ヶ月前の在庫'!$V$6:$V$10005,'設定'!$C$4,'月1回_1ヶ月前の在庫'!$W$6:$W$10005,$C359)/COUNTIFS('月1回_1ヶ月前の在庫'!$V$6:$V$10005,'設定'!$C$4,'月1回_1ヶ月前の在庫'!$W$6:$W$10005,$C359),IF(COUNTIFS('月1回_2ヶ月前の在庫'!$V$6:$V$10005,'設定'!$C$4,'月1回_2ヶ月前の在庫'!$W$6:$W$10005,$C359)&gt;0,SUMIFS('月1回_2ヶ月前の在庫'!$O$6:$O$10005,'月1回_2ヶ月前の在庫'!$V$6:$V$10005,'設定'!$C$4,'月1回_2ヶ月前の在庫'!$W$6:$W$10005,$C359)/COUNTIFS('月1回_2ヶ月前の在庫'!$V$6:$V$10005,'設定'!$C$4,'月1回_2ヶ月前の在庫'!$W$6:$W$10005,$C359),0)))),"")))</f>
        <v/>
      </c>
      <c r="P359" s="90">
        <f>IF($C359="","",IF('②発注する'!$I363="","",'②発注する'!$I363))</f>
        <v/>
      </c>
      <c r="Q359">
        <f>IF($C359="","",IF('②発注する'!$J363="","",'②発注する'!$J363))</f>
        <v/>
      </c>
      <c r="R359">
        <f>IF($C359="",0,IF(AND(ISNUMBER($P359),ISNUMBER($Q359)),MAX(0,$Q359)*$G359,0))</f>
        <v/>
      </c>
      <c r="S359" s="90">
        <f>IF($C359="","",IF('②発注する'!$M363="","",'②発注する'!$M363))</f>
        <v/>
      </c>
      <c r="T359">
        <f>IF($C359="","",IF('②発注する'!$N363="","",'②発注する'!$N363))</f>
        <v/>
      </c>
      <c r="U359">
        <f>IF($C359="",0,IF(AND(ISNUMBER($S359),ISNUMBER($T359)),MAX(0,$T359)*$G359,0))</f>
        <v/>
      </c>
      <c r="V359">
        <f>IF($C359="",0,IF($M359="",0,MAX(0,$M359)*MAX(0,V$4)/100))</f>
        <v/>
      </c>
      <c r="W359">
        <f>IF($C359="",0,IF($M359="",0,MAX(0,$M359)*MAX(0,W$4)/100))</f>
        <v/>
      </c>
      <c r="X359">
        <f>IF($C359="",0,IF($M359="",0,MAX(0,$M359)*MAX(0,X$4)/100))</f>
        <v/>
      </c>
      <c r="Y359">
        <f>IF($C359="",0,IF($M359="",0,MAX(0,$M359)*MAX(0,Y$4)/100))</f>
        <v/>
      </c>
      <c r="Z359">
        <f>IF($C359="",0,IF($M359="",0,MAX(0,$M359)*MAX(0,Z$4)/100))</f>
        <v/>
      </c>
      <c r="AA359">
        <f>IF($C359="",0,IF($M359="",0,MAX(0,$M359)*MAX(0,AA$4)/100))</f>
        <v/>
      </c>
      <c r="AB359">
        <f>IF($C359="",0,IF($M359="",0,MAX(0,$M359)*MAX(0,AB$4)/100))</f>
        <v/>
      </c>
      <c r="AC359">
        <f>IF($C359="",0,IF($M359="",0,MAX(0,$M359)*MAX(0,AC$4)/100))</f>
        <v/>
      </c>
      <c r="AD359">
        <f>IF($C359="",0,IF($M359="",0,MAX(0,$M359)*MAX(0,AD$4)/100))</f>
        <v/>
      </c>
      <c r="AE359">
        <f>IF($C359="",0,IF($M359="",0,MAX(0,$M359)*MAX(0,AE$4)/100))</f>
        <v/>
      </c>
      <c r="AF359">
        <f>IF($C359="",0,IF($M359="",0,MAX(0,$M359)*MAX(0,AF$4)/100))</f>
        <v/>
      </c>
      <c r="AG359">
        <f>IF($C359="",0,IF($M359="",0,MAX(0,$M359)*MAX(0,AG$4)/100))</f>
        <v/>
      </c>
      <c r="AH359">
        <f>IF($C359="",0,IF($M359="",0,MAX(0,$M359)*MAX(0,AH$4)/100))</f>
        <v/>
      </c>
      <c r="AI359">
        <f>IF($C359="",0,IF($M359="",0,MAX(0,$M359)*MAX(0,AI$4)/100))</f>
        <v/>
      </c>
      <c r="AJ359">
        <f>IF($C359="",0,MAX(0,MAX(0,N($L359))-$V359))</f>
        <v/>
      </c>
      <c r="AK359">
        <f>IF($C359="",0,MAX(0,$AJ359-$W359))</f>
        <v/>
      </c>
      <c r="AL359">
        <f>IF($C359="",0,MAX(0,$AK359-$X359))</f>
        <v/>
      </c>
      <c r="AM359">
        <f>IF($C359="",0,MAX(0,$AL359-$Y359))</f>
        <v/>
      </c>
      <c r="AN359">
        <f>IF($C359="",0,MAX(0,$AM359-$Z359))</f>
        <v/>
      </c>
      <c r="AO359">
        <f>IF($C359="",0,MAX(0,$AN359-$AA359))</f>
        <v/>
      </c>
      <c r="AP359">
        <f>IF($C359="",0,MAX(0,$AO359-$AB359))</f>
        <v/>
      </c>
      <c r="AQ359">
        <f>IF($C359="",0,MAX(0,$AP359-$AC359))</f>
        <v/>
      </c>
      <c r="AR359">
        <f>IF($C359="",0,MAX(0,$AQ359-$AD359))</f>
        <v/>
      </c>
      <c r="AS359">
        <f>IF($C359="",0,MAX(0,$AR359-$AE359))</f>
        <v/>
      </c>
      <c r="AT359">
        <f>IF($C359="",0,MAX(0,$AS359-$AF359))</f>
        <v/>
      </c>
      <c r="AU359">
        <f>IF($C359="",0,MAX(0,$AT359-$AG359))</f>
        <v/>
      </c>
      <c r="AV359">
        <f>IF($C359="",0,MAX(0,$AU359-$AH359))</f>
        <v/>
      </c>
      <c r="AW359">
        <f>IF($C359="",0,MAX(0,$AV359-$AI359))</f>
        <v/>
      </c>
      <c r="AX359">
        <f>IF($C359="",0,MAX(0,MAX(0,N($L359))+IF($P359=V$3,$R359,0)+IF($S359=V$3,$U359,0)-$V359))</f>
        <v/>
      </c>
      <c r="AY359">
        <f>IF($C359="",0,MAX(0,$AX359+IF($P359=W$3,$R359,0)+IF($S359=W$3,$U359,0)-$W359))</f>
        <v/>
      </c>
      <c r="AZ359">
        <f>IF($C359="",0,MAX(0,$AY359+IF($P359=X$3,$R359,0)+IF($S359=X$3,$U359,0)-$X359))</f>
        <v/>
      </c>
      <c r="BA359">
        <f>IF($C359="",0,MAX(0,$AZ359+IF($P359=Y$3,$R359,0)+IF($S359=Y$3,$U359,0)-$Y359))</f>
        <v/>
      </c>
      <c r="BB359">
        <f>IF($C359="",0,MAX(0,$BA359+IF($P359=Z$3,$R359,0)+IF($S359=Z$3,$U359,0)-$Z359))</f>
        <v/>
      </c>
      <c r="BC359">
        <f>IF($C359="",0,MAX(0,$BB359+IF($P359=AA$3,$R359,0)+IF($S359=AA$3,$U359,0)-$AA359))</f>
        <v/>
      </c>
      <c r="BD359">
        <f>IF($C359="",0,MAX(0,$BC359+IF($P359=AB$3,$R359,0)+IF($S359=AB$3,$U359,0)-$AB359))</f>
        <v/>
      </c>
      <c r="BE359">
        <f>IF($C359="",0,MAX(0,$BD359+IF($P359=AC$3,$R359,0)+IF($S359=AC$3,$U359,0)-$AC359))</f>
        <v/>
      </c>
      <c r="BF359">
        <f>IF($C359="",0,MAX(0,$BE359+IF($P359=AD$3,$R359,0)+IF($S359=AD$3,$U359,0)-$AD359))</f>
        <v/>
      </c>
      <c r="BG359">
        <f>IF($C359="",0,MAX(0,$BF359+IF($P359=AE$3,$R359,0)+IF($S359=AE$3,$U359,0)-$AE359))</f>
        <v/>
      </c>
      <c r="BH359">
        <f>IF($C359="",0,MAX(0,$BG359+IF($P359=AF$3,$R359,0)+IF($S359=AF$3,$U359,0)-$AF359))</f>
        <v/>
      </c>
      <c r="BI359">
        <f>IF($C359="",0,MAX(0,$BH359+IF($P359=AG$3,$R359,0)+IF($S359=AG$3,$U359,0)-$AG359))</f>
        <v/>
      </c>
      <c r="BJ359">
        <f>IF($C359="",0,MAX(0,$BI359+IF($P359=AH$3,$R359,0)+IF($S359=AH$3,$U359,0)-$AH359))</f>
        <v/>
      </c>
      <c r="BK359">
        <f>IF($C359="",0,MAX(0,$BJ359+IF($P359=AI$3,$R359,0)+IF($S359=AI$3,$U359,0)-$AI359))</f>
        <v/>
      </c>
      <c r="BL359">
        <f>IF($C359="",99,IF(AND($AX359&lt;1,V$3&gt;=MAX(N($P359),N($S359))),0,99))</f>
        <v/>
      </c>
      <c r="BM359">
        <f>IF($C359="",99,IF(AND($AY359&lt;1,W$3&gt;=MAX(N($P359),N($S359))),1,99))</f>
        <v/>
      </c>
      <c r="BN359">
        <f>IF($C359="",99,IF(AND($AZ359&lt;1,X$3&gt;=MAX(N($P359),N($S359))),2,99))</f>
        <v/>
      </c>
      <c r="BO359">
        <f>IF($C359="",99,IF(AND($BA359&lt;1,Y$3&gt;=MAX(N($P359),N($S359))),3,99))</f>
        <v/>
      </c>
      <c r="BP359">
        <f>IF($C359="",99,IF(AND($BB359&lt;1,Z$3&gt;=MAX(N($P359),N($S359))),4,99))</f>
        <v/>
      </c>
      <c r="BQ359">
        <f>IF($C359="",99,IF(AND($BC359&lt;1,AA$3&gt;=MAX(N($P359),N($S359))),5,99))</f>
        <v/>
      </c>
      <c r="BR359">
        <f>IF($C359="",99,IF(AND($BD359&lt;1,AB$3&gt;=MAX(N($P359),N($S359))),6,99))</f>
        <v/>
      </c>
      <c r="BS359">
        <f>IF($C359="",99,IF(AND($BE359&lt;1,AC$3&gt;=MAX(N($P359),N($S359))),7,99))</f>
        <v/>
      </c>
      <c r="BT359">
        <f>IF($C359="",99,IF(AND($BF359&lt;1,AD$3&gt;=MAX(N($P359),N($S359))),8,99))</f>
        <v/>
      </c>
      <c r="BU359">
        <f>IF($C359="",99,IF(AND($BG359&lt;1,AE$3&gt;=MAX(N($P359),N($S359))),9,99))</f>
        <v/>
      </c>
      <c r="BV359">
        <f>IF($C359="",99,IF(AND($BH359&lt;1,AF$3&gt;=MAX(N($P359),N($S359))),10,99))</f>
        <v/>
      </c>
      <c r="BW359">
        <f>IF($C359="",99,IF(AND($BI359&lt;1,AG$3&gt;=MAX(N($P359),N($S359))),11,99))</f>
        <v/>
      </c>
      <c r="BX359">
        <f>IF($C359="",99,IF(AND($BJ359&lt;1,AH$3&gt;=MAX(N($P359),N($S359))),12,99))</f>
        <v/>
      </c>
      <c r="BY359">
        <f>IF($C359="",99,IF(AND($BK359&lt;1,AI$3&gt;=MAX(N($P359),N($S359))),13,99))</f>
        <v/>
      </c>
      <c r="BZ359">
        <f>IF(OR($C359="",$M359=""),"",COUNTIF($AJ359:$AW359,"&gt;=1"))</f>
        <v/>
      </c>
      <c r="CA359" s="90">
        <f>IF($BZ359="","",IF($BZ359&gt;=14,"",'設定'!$C$6+$BZ359))</f>
        <v/>
      </c>
      <c r="CB359">
        <f>IF(OR($C359="",$M359=""),"",MIN($BL359:$BY359))</f>
        <v/>
      </c>
      <c r="CC359" s="90">
        <f>IF($CB359="","",IF($CB359&gt;=99,"",'設定'!$C$6+$CB359))</f>
        <v/>
      </c>
      <c r="CD359">
        <f>IF(OR($C359="",$M359=""),"",AVERAGE($V359:$AI359))</f>
        <v/>
      </c>
      <c r="CE359">
        <f>IF($C359="","",IFERROR(IF(MATCH(IF(ISNUMBER($P359),$P359,'設定'!$C$6+N('設定'!$C$7)),$V$3:$AI$3,0)=1,MAX(0,N($L359)),INDEX($AJ359:$AW359,MATCH(IF(ISNUMBER($P359),$P359,'設定'!$C$6+N('設定'!$C$7)),$V$3:$AI$3,0)-1)),""))</f>
        <v/>
      </c>
      <c r="CF359">
        <f>IF(OR($C359="",$O359="",$CE359=""),"",IF($O359-$CE359&lt;=0,0,ROUNDUP(($O359-$CE359)/$G359,0)))</f>
        <v/>
      </c>
      <c r="CG359">
        <f>IF(OR($C359="",$CF359="",NOT(ISNUMBER($Q359))),0,MAX(0,$Q359-$CF359))</f>
        <v/>
      </c>
      <c r="CH359">
        <f>IF(OR($C359="",$O359="",$U359=0),0,IFERROR(ROUNDUP(MAX(0,IF(MATCH($S359,$V$3:$AI$3,0)=1,MAX(0,N($L359)),INDEX($AX359:$BK359,MATCH($S359,$V$3:$AI$3,0)-1))+$U359-$O359)/$G359,0),0))</f>
        <v/>
      </c>
      <c r="CI359">
        <f>IF($C359="","",IF(AND($P359="",$Q359=""),"",IF($P359="","⚠ 入庫日を ▼ から選んでください",IF(NOT(ISNUMBER($P359)),"⚠ 入庫日は ▼ から選んでください",IF($P359&lt;N('設定'!$C$6),"⚠ 入庫日が過去です（もう在庫に入っています）→ 消してください",IF($P359&gt;N('設定'!$C$6)+13,"⚠ 入庫日が14日より先です",IF(N($Q359)&lt;=0,"⚠ 入庫数を入れてください",IF($CG359&gt;0,"⚠ 目安より "&amp;$CG359&amp;" 多い（定数を超える）→ 減らす",""))))))))</f>
        <v/>
      </c>
      <c r="CJ359">
        <f>IF($C359="","",IF(AND($S359="",$T359=""),"",IF($S359="","⚠ 2便目：入庫日を ▼ から選んでください",IF(NOT(ISNUMBER($S359)),"⚠ 2便目：入庫日は ▼ から選んでください",IF($S359&lt;N('設定'!$C$6),"⚠ 2便目：入庫日が過去です（もう在庫に入っています）→ 消してください",IF($S359&gt;N('設定'!$C$6)+13,"⚠ 2便目：入庫日が14日より先です",IF(N($T359)&lt;=0,"⚠ 2便目：入庫数を入れてください",IF($CH359&gt;0,"⚠ 2便目：定数を "&amp;$CH359&amp;" ケース超える → 減らす",""))))))))</f>
        <v/>
      </c>
      <c r="CK359">
        <f>IF(AND($CI359="",N($Q359)&gt;0,ISNUMBER($P359)),1,0)</f>
        <v/>
      </c>
      <c r="CL359">
        <f>IF(AND($CJ359="",N($T359)&gt;0,ISNUMBER($S359)),1,0)</f>
        <v/>
      </c>
      <c r="CM359">
        <f>IF(OR($CK359=1,$CL359=1),1,0)</f>
        <v/>
      </c>
      <c r="CN359">
        <f>IF($C359="",0,($CK359*$R359+$CL359*$U359)*N($H359))</f>
        <v/>
      </c>
      <c r="CO359">
        <f>IF($C359="","",IF($CC359="","入庫後は 14日以上もつ",IF($CC359-N('設定'!$C$7)&lt;='設定'!$C$6,"入庫後も "&amp;TEXT($CC359,"m/d")&amp;"("&amp;CHOOSE(WEEKDAY($CC359),"日","月","火","水","木","金","土")&amp;")"&amp;" に切れる　もう1便を至急発注","入庫後も "&amp;TEXT($CC359,"m/d")&amp;"("&amp;CHOOSE(WEEKDAY($CC359),"日","月","火","水","木","金","土")&amp;")"&amp;" に切れる　"&amp;TEXT($CC359-N('設定'!$C$7),"m/d")&amp;"("&amp;CHOOSE(WEEKDAY($CC359-N('設定'!$C$7)),"日","月","火","水","木","金","土")&amp;")"&amp;" までに次を発注")))</f>
        <v/>
      </c>
      <c r="CP359">
        <f>IF($C359="","",IF('設定'!$C$6="","？ ①在庫を貼る に今日のCSVが貼られていない",IF($CS359=1,"－ 今日のCSVに無い（終売？）",IF($L359&lt;0,"● 在庫がマイナス　数えて「数えた在庫」に入れる",IF($L359=0,"● 在庫なし　至急発注",IF($M359="","？ 減り数が未設定（商品マスタ）",IF($B$3=0,"？ 動員が未入力（動員を入れる）",IF($CA359="","○ 14日以上もつ",IF($BZ359&lt;N('設定'!$C$7),"● "&amp;TEXT($CA359,"m/d")&amp;"("&amp;CHOOSE(WEEKDAY($CA359),"日","月","火","水","木","金","土")&amp;")"&amp;" に切れる　至急発注",IF($BZ359=N('設定'!$C$7),"● "&amp;TEXT($CA359,"m/d")&amp;"("&amp;CHOOSE(WEEKDAY($CA359),"日","月","火","水","木","金","土")&amp;")"&amp;" に切れる　今日発注","△ "&amp;TEXT($CA359,"m/d")&amp;"("&amp;CHOOSE(WEEKDAY($CA359),"日","月","火","水","木","金","土")&amp;")"&amp;" に切れる　"&amp;TEXT($CA359-N('設定'!$C$7),"m/d")&amp;"("&amp;CHOOSE(WEEKDAY($CA359-N('設定'!$C$7)),"日","月","火","水","木","金","土")&amp;")"&amp;" までに発注"))))))))))</f>
        <v/>
      </c>
      <c r="CQ359">
        <f>IF($C359="","",IF(AND($P359="",$Q359="",$S359="",$T359=""),"",IF(AND($P359="",$Q359=""),"⚠ 先に1便目（左の入庫日・入庫数）に入れてください",IF($CI359&lt;&gt;"",$CI359,IF($CJ359&lt;&gt;"",$CJ359,IF($M359="","？ 減り数が未設定（発注書には載ります）",IF($B$3=0,"？ 動員が未入力（発注書には載ります）",IF(AND($CA359&lt;&gt;"",$P359&gt;$CA359),IF($P359&gt;'設定'!$C$6+N('設定'!$C$7),"● "&amp;TEXT($P359,"m/d")&amp;"("&amp;CHOOSE(WEEKDAY($P359),"日","月","火","水","木","金","土")&amp;")"&amp;" の入庫では間に合わない（"&amp;TEXT($CA359,"m/d")&amp;"("&amp;CHOOSE(WEEKDAY($CA359),"日","月","火","水","木","金","土")&amp;")"&amp;" に切れる）　入庫日を早める","△ 欠品 "&amp;TEXT($CA359,"m/d")&amp;"("&amp;CHOOSE(WEEKDAY($CA359),"日","月","火","水","木","金","土")&amp;")"&amp;"〜"&amp;TEXT($P359-1,"m/d")&amp;"("&amp;CHOOSE(WEEKDAY($P359-1),"日","月","火","水","木","金","土")&amp;")"&amp;"　"&amp;$CO359),IF($CC359="","○ "&amp;TEXT($P359,"m/d")&amp;"("&amp;CHOOSE(WEEKDAY($P359),"日","月","火","水","木","金","土")&amp;")"&amp;" 入庫で 14日以上もつ",IF($CC359-N('設定'!$C$7)&lt;='設定'!$C$6,"● 入庫しても "&amp;TEXT($CC359,"m/d")&amp;"("&amp;CHOOSE(WEEKDAY($CC359),"日","月","火","水","木","金","土")&amp;")"&amp;" に切れる　もう1便を至急発注（2便目に入れる）","△ 入庫しても "&amp;TEXT($CC359,"m/d")&amp;"("&amp;CHOOSE(WEEKDAY($CC359),"日","月","火","水","木","金","土")&amp;")"&amp;" に切れる　"&amp;TEXT($CC359-N('設定'!$C$7),"m/d")&amp;"("&amp;CHOOSE(WEEKDAY($CC359-N('設定'!$C$7)),"日","月","火","水","木","金","土")&amp;")"&amp;" までに次を発注（2便目に入れる）"))))))))))</f>
        <v/>
      </c>
      <c r="CR359">
        <f>IF($C359="","",IF($G359&gt;1,"ｹｰｽ("&amp;$G359&amp;"入)","個"))</f>
        <v/>
      </c>
      <c r="CS359">
        <f>IF($C359="",0,IF(COUNTIFS('①在庫を貼る'!$V$6:$V$10005,'設定'!$C$4,'①在庫を貼る'!$W$6:$W$10005,$C359)=0,1,0))</f>
        <v/>
      </c>
      <c r="CT359">
        <f>IF(AND($CK359=1,OR('③発注書'!$C$4="すべて",'③発注書'!$C$4="",$F359='③発注書'!$C$4)),N($CT358)+1,N($CT358))</f>
        <v/>
      </c>
      <c r="CU359">
        <f>IF(AND($CL359=1,OR('③発注書'!$C$4="すべて",'③発注書'!$C$4="",$F359='③発注書'!$C$4)),N($CU358)+1,N($CU358))</f>
        <v/>
      </c>
      <c r="CV359">
        <f>IF($C359="",0,IF(COUNTIFS('①在庫を貼る'!$V$6:$V$10005,'設定'!$C$4,'①在庫を貼る'!$W$6:$W$10005,$C359)&gt;0,1,0))</f>
        <v/>
      </c>
      <c r="CW359">
        <f>IF($C359="",0,IF(COUNTIFS('月1回_1ヶ月前の在庫'!$V$6:$V$10005,'設定'!$C$4,'月1回_1ヶ月前の在庫'!$W$6:$W$10005,$C359)&gt;0,1,0))</f>
        <v/>
      </c>
      <c r="CX359">
        <f>IF($C359="",0,IF(COUNTIFS('月1回_2ヶ月前の在庫'!$V$6:$V$10005,'設定'!$C$4,'月1回_2ヶ月前の在庫'!$W$6:$W$10005,$C359)&gt;0,1,0))</f>
        <v/>
      </c>
      <c r="CY359">
        <f>IF(OR($C359="",'設定'!$C$12=""),"",IF('設定'!$C$13="",IF(AND($CV359=1,$CW359=0),"新商品（今月から）",IF(AND($CV359=0,$CW359=1),"終売（今月から）","")),IF(AND($CV359=1,$CW359=0,$CX359=0),"新商品（今月から）",IF(AND($CV359=1,$CW359=1,$CX359=0),"新商品（先月から）",IF(AND($CV359=0,$CW359=1,$CX359=1),"終売（今月から）",IF(AND($CV359=0,$CW359=0,$CX359=1),"終売（先月から）",IF(AND($CV359=1,$CW359=0,$CX359=1),"復活（先月は無し）","")))))))</f>
        <v/>
      </c>
    </row>
    <row r="360">
      <c r="B360">
        <f>IF(355&lt;='設定'!$C$11,355,"")</f>
        <v/>
      </c>
      <c r="C360">
        <f>IF($B360="","",IF($B360&lt;='設定'!$C$20,INDEX('商品マスタ'!$B$6:$B$1005,MATCH($B360,'商品マスタ'!$M$6:$M$1005,0)),IF($B360&lt;='設定'!$C$20+'設定'!$C$17,INDEX('①在庫を貼る'!$W$6:$W$10005,MATCH($B360-'設定'!$C$20,'①在庫を貼る'!$U$6:$U$10005,0)),IF($B360&lt;='設定'!$C$20+'設定'!$C$17+'設定'!$C$18,INDEX('月1回_1ヶ月前の在庫'!$W$6:$W$10005,MATCH($B360-'設定'!$C$20-'設定'!$C$17,'月1回_1ヶ月前の在庫'!$U$6:$U$10005,0)),INDEX('月1回_2ヶ月前の在庫'!$W$6:$W$10005,MATCH($B360-'設定'!$C$20-'設定'!$C$17-'設定'!$C$18,'月1回_2ヶ月前の在庫'!$U$6:$U$10005,0))))))</f>
        <v/>
      </c>
      <c r="D360">
        <f>IF($C360="","",IFERROR(IF(INDEX('商品マスタ'!$C$6:$C$1005,MATCH($C360,'商品マスタ'!$B$6:$B$1005,0))="",IFERROR(INDEX('①在庫を貼る'!$J$6:$J$10005,MATCH($C360,'①在庫を貼る'!$W$6:$W$10005,0)),IFERROR(INDEX('月1回_1ヶ月前の在庫'!$J$6:$J$10005,MATCH($C360,'月1回_1ヶ月前の在庫'!$W$6:$W$10005,0)),IFERROR(INDEX('月1回_2ヶ月前の在庫'!$J$6:$J$10005,MATCH($C360,'月1回_2ヶ月前の在庫'!$W$6:$W$10005,0)),""))),INDEX('商品マスタ'!$C$6:$C$1005,MATCH($C360,'商品マスタ'!$B$6:$B$1005,0))),IFERROR(INDEX('①在庫を貼る'!$J$6:$J$10005,MATCH($C360,'①在庫を貼る'!$W$6:$W$10005,0)),IFERROR(INDEX('月1回_1ヶ月前の在庫'!$J$6:$J$10005,MATCH($C360,'月1回_1ヶ月前の在庫'!$W$6:$W$10005,0)),IFERROR(INDEX('月1回_2ヶ月前の在庫'!$J$6:$J$10005,MATCH($C360,'月1回_2ヶ月前の在庫'!$W$6:$W$10005,0)),"")))))</f>
        <v/>
      </c>
      <c r="E360">
        <f>IF($C360="","",IFERROR(IF(INDEX('商品マスタ'!$D$6:$D$1005,MATCH($C360,'商品マスタ'!$B$6:$B$1005,0))="",IFERROR(INDEX('①在庫を貼る'!$H$6:$H$10005,MATCH($C360,'①在庫を貼る'!$W$6:$W$10005,0)),IFERROR(INDEX('月1回_1ヶ月前の在庫'!$H$6:$H$10005,MATCH($C360,'月1回_1ヶ月前の在庫'!$W$6:$W$10005,0)),IFERROR(INDEX('月1回_2ヶ月前の在庫'!$H$6:$H$10005,MATCH($C360,'月1回_2ヶ月前の在庫'!$W$6:$W$10005,0)),""))),INDEX('商品マスタ'!$D$6:$D$1005,MATCH($C360,'商品マスタ'!$B$6:$B$1005,0))),IFERROR(INDEX('①在庫を貼る'!$H$6:$H$10005,MATCH($C360,'①在庫を貼る'!$W$6:$W$10005,0)),IFERROR(INDEX('月1回_1ヶ月前の在庫'!$H$6:$H$10005,MATCH($C360,'月1回_1ヶ月前の在庫'!$W$6:$W$10005,0)),IFERROR(INDEX('月1回_2ヶ月前の在庫'!$H$6:$H$10005,MATCH($C360,'月1回_2ヶ月前の在庫'!$W$6:$W$10005,0)),"")))))</f>
        <v/>
      </c>
      <c r="F360">
        <f>IF($C360="","",IFERROR(IF(INDEX('商品マスタ'!$E$6:$E$1005,MATCH($C360,'商品マスタ'!$B$6:$B$1005,0))="",IFERROR(INDEX('①在庫を貼る'!$E$6:$E$10005,MATCH($C360,'①在庫を貼る'!$W$6:$W$10005,0)),IFERROR(INDEX('月1回_1ヶ月前の在庫'!$E$6:$E$10005,MATCH($C360,'月1回_1ヶ月前の在庫'!$W$6:$W$10005,0)),IFERROR(INDEX('月1回_2ヶ月前の在庫'!$E$6:$E$10005,MATCH($C360,'月1回_2ヶ月前の在庫'!$W$6:$W$10005,0)),""))),INDEX('商品マスタ'!$E$6:$E$1005,MATCH($C360,'商品マスタ'!$B$6:$B$1005,0))),IFERROR(INDEX('①在庫を貼る'!$E$6:$E$10005,MATCH($C360,'①在庫を貼る'!$W$6:$W$10005,0)),IFERROR(INDEX('月1回_1ヶ月前の在庫'!$E$6:$E$10005,MATCH($C360,'月1回_1ヶ月前の在庫'!$W$6:$W$10005,0)),IFERROR(INDEX('月1回_2ヶ月前の在庫'!$E$6:$E$10005,MATCH($C360,'月1回_2ヶ月前の在庫'!$W$6:$W$10005,0)),"")))))</f>
        <v/>
      </c>
      <c r="G360">
        <f>IF($C360="","",MAX(1,N(IFERROR(IF(INDEX('商品マスタ'!$F$6:$F$1005,MATCH($C360,'商品マスタ'!$B$6:$B$1005,0))="",IF(COUNTIFS('①在庫を貼る'!$V$6:$V$10005,'設定'!$C$4,'①在庫を貼る'!$W$6:$W$10005,$C360)&gt;0,SUMIFS('①在庫を貼る'!$K$6:$K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K$6:$K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K$6:$K$10005,'月1回_2ヶ月前の在庫'!$V$6:$V$10005,'設定'!$C$4,'月1回_2ヶ月前の在庫'!$W$6:$W$10005,$C360)/COUNTIFS('月1回_2ヶ月前の在庫'!$V$6:$V$10005,'設定'!$C$4,'月1回_2ヶ月前の在庫'!$W$6:$W$10005,$C360),0))),INDEX('商品マスタ'!$F$6:$F$1005,MATCH($C360,'商品マスタ'!$B$6:$B$1005,0))),IF(COUNTIFS('①在庫を貼る'!$V$6:$V$10005,'設定'!$C$4,'①在庫を貼る'!$W$6:$W$10005,$C360)&gt;0,SUMIFS('①在庫を貼る'!$K$6:$K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K$6:$K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K$6:$K$10005,'月1回_2ヶ月前の在庫'!$V$6:$V$10005,'設定'!$C$4,'月1回_2ヶ月前の在庫'!$W$6:$W$10005,$C360)/COUNTIFS('月1回_2ヶ月前の在庫'!$V$6:$V$10005,'設定'!$C$4,'月1回_2ヶ月前の在庫'!$W$6:$W$10005,$C360),0)))))))</f>
        <v/>
      </c>
      <c r="H360">
        <f>IF($C360="","",N(IFERROR(IF(INDEX('商品マスタ'!$G$6:$G$1005,MATCH($C360,'商品マスタ'!$B$6:$B$1005,0))="",IF(COUNTIFS('①在庫を貼る'!$V$6:$V$10005,'設定'!$C$4,'①在庫を貼る'!$W$6:$W$10005,$C360)&gt;0,SUMIFS('①在庫を貼る'!$Q$6:$Q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Q$6:$Q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Q$6:$Q$10005,'月1回_2ヶ月前の在庫'!$V$6:$V$10005,'設定'!$C$4,'月1回_2ヶ月前の在庫'!$W$6:$W$10005,$C360)/COUNTIFS('月1回_2ヶ月前の在庫'!$V$6:$V$10005,'設定'!$C$4,'月1回_2ヶ月前の在庫'!$W$6:$W$10005,$C360),0))),INDEX('商品マスタ'!$G$6:$G$1005,MATCH($C360,'商品マスタ'!$B$6:$B$1005,0))),IF(COUNTIFS('①在庫を貼る'!$V$6:$V$10005,'設定'!$C$4,'①在庫を貼る'!$W$6:$W$10005,$C360)&gt;0,SUMIFS('①在庫を貼る'!$Q$6:$Q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Q$6:$Q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Q$6:$Q$10005,'月1回_2ヶ月前の在庫'!$V$6:$V$10005,'設定'!$C$4,'月1回_2ヶ月前の在庫'!$W$6:$W$10005,$C360)/COUNTIFS('月1回_2ヶ月前の在庫'!$V$6:$V$10005,'設定'!$C$4,'月1回_2ヶ月前の在庫'!$W$6:$W$10005,$C360),0))))))</f>
        <v/>
      </c>
      <c r="I360">
        <f>IF($C360="","",IF(COUNTIFS('①在庫を貼る'!$V$6:$V$10005,'設定'!$C$4,'①在庫を貼る'!$W$6:$W$10005,$C360)=0,"",SUMIFS('①在庫を貼る'!$N$6:$N$10005,'①在庫を貼る'!$V$6:$V$10005,'設定'!$C$4,'①在庫を貼る'!$W$6:$W$10005,$C360)))</f>
        <v/>
      </c>
      <c r="J360">
        <f>IF($C360="","",IF('②発注する'!$AD364="","",'②発注する'!$AD364))</f>
        <v/>
      </c>
      <c r="K360" s="90">
        <f>IF($C360="","",IF('②発注する'!$AE364="","",'②発注する'!$AE364))</f>
        <v/>
      </c>
      <c r="L360">
        <f>IF($C360="","",IF(AND(ISNUMBER($J360),ISNUMBER($K360),$K360&gt;='設定'!$C$6),$J360,N($I360)))</f>
        <v/>
      </c>
      <c r="M360">
        <f>IF($C360="","",IFERROR(IF(N(INDEX('商品マスタ'!$J$6:$J$1005,MATCH($C360,'商品マスタ'!$B$6:$B$1005,0)))&gt;0,INDEX('商品マスタ'!$J$6:$J$1005,MATCH($C360,'商品マスタ'!$B$6:$B$1005,0)),""),""))</f>
        <v/>
      </c>
      <c r="N360">
        <f>IF($C360="","",IFERROR(IF(N(INDEX('商品マスタ'!$H$6:$H$1005,MATCH($C360,'商品マスタ'!$B$6:$B$1005,0)))&gt;0,INDEX('商品マスタ'!$H$6:$H$1005,MATCH($C360,'商品マスタ'!$B$6:$B$1005,0)),""),""))</f>
        <v/>
      </c>
      <c r="O360">
        <f>IF($C360="","",IF($N360&lt;&gt;"",$N360*$G360,IF(N(IF(COUNTIFS('①在庫を貼る'!$V$6:$V$10005,'設定'!$C$4,'①在庫を貼る'!$W$6:$W$10005,$C360)&gt;0,SUMIFS('①在庫を貼る'!$O$6:$O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O$6:$O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O$6:$O$10005,'月1回_2ヶ月前の在庫'!$V$6:$V$10005,'設定'!$C$4,'月1回_2ヶ月前の在庫'!$W$6:$W$10005,$C360)/COUNTIFS('月1回_2ヶ月前の在庫'!$V$6:$V$10005,'設定'!$C$4,'月1回_2ヶ月前の在庫'!$W$6:$W$10005,$C360),0))))&gt;0,N(IF(COUNTIFS('①在庫を貼る'!$V$6:$V$10005,'設定'!$C$4,'①在庫を貼る'!$W$6:$W$10005,$C360)&gt;0,SUMIFS('①在庫を貼る'!$O$6:$O$10005,'①在庫を貼る'!$V$6:$V$10005,'設定'!$C$4,'①在庫を貼る'!$W$6:$W$10005,$C360)/COUNTIFS('①在庫を貼る'!$V$6:$V$10005,'設定'!$C$4,'①在庫を貼る'!$W$6:$W$10005,$C360),IF(COUNTIFS('月1回_1ヶ月前の在庫'!$V$6:$V$10005,'設定'!$C$4,'月1回_1ヶ月前の在庫'!$W$6:$W$10005,$C360)&gt;0,SUMIFS('月1回_1ヶ月前の在庫'!$O$6:$O$10005,'月1回_1ヶ月前の在庫'!$V$6:$V$10005,'設定'!$C$4,'月1回_1ヶ月前の在庫'!$W$6:$W$10005,$C360)/COUNTIFS('月1回_1ヶ月前の在庫'!$V$6:$V$10005,'設定'!$C$4,'月1回_1ヶ月前の在庫'!$W$6:$W$10005,$C360),IF(COUNTIFS('月1回_2ヶ月前の在庫'!$V$6:$V$10005,'設定'!$C$4,'月1回_2ヶ月前の在庫'!$W$6:$W$10005,$C360)&gt;0,SUMIFS('月1回_2ヶ月前の在庫'!$O$6:$O$10005,'月1回_2ヶ月前の在庫'!$V$6:$V$10005,'設定'!$C$4,'月1回_2ヶ月前の在庫'!$W$6:$W$10005,$C360)/COUNTIFS('月1回_2ヶ月前の在庫'!$V$6:$V$10005,'設定'!$C$4,'月1回_2ヶ月前の在庫'!$W$6:$W$10005,$C360),0)))),"")))</f>
        <v/>
      </c>
      <c r="P360" s="90">
        <f>IF($C360="","",IF('②発注する'!$I364="","",'②発注する'!$I364))</f>
        <v/>
      </c>
      <c r="Q360">
        <f>IF($C360="","",IF('②発注する'!$J364="","",'②発注する'!$J364))</f>
        <v/>
      </c>
      <c r="R360">
        <f>IF($C360="",0,IF(AND(ISNUMBER($P360),ISNUMBER($Q360)),MAX(0,$Q360)*$G360,0))</f>
        <v/>
      </c>
      <c r="S360" s="90">
        <f>IF($C360="","",IF('②発注する'!$M364="","",'②発注する'!$M364))</f>
        <v/>
      </c>
      <c r="T360">
        <f>IF($C360="","",IF('②発注する'!$N364="","",'②発注する'!$N364))</f>
        <v/>
      </c>
      <c r="U360">
        <f>IF($C360="",0,IF(AND(ISNUMBER($S360),ISNUMBER($T360)),MAX(0,$T360)*$G360,0))</f>
        <v/>
      </c>
      <c r="V360">
        <f>IF($C360="",0,IF($M360="",0,MAX(0,$M360)*MAX(0,V$4)/100))</f>
        <v/>
      </c>
      <c r="W360">
        <f>IF($C360="",0,IF($M360="",0,MAX(0,$M360)*MAX(0,W$4)/100))</f>
        <v/>
      </c>
      <c r="X360">
        <f>IF($C360="",0,IF($M360="",0,MAX(0,$M360)*MAX(0,X$4)/100))</f>
        <v/>
      </c>
      <c r="Y360">
        <f>IF($C360="",0,IF($M360="",0,MAX(0,$M360)*MAX(0,Y$4)/100))</f>
        <v/>
      </c>
      <c r="Z360">
        <f>IF($C360="",0,IF($M360="",0,MAX(0,$M360)*MAX(0,Z$4)/100))</f>
        <v/>
      </c>
      <c r="AA360">
        <f>IF($C360="",0,IF($M360="",0,MAX(0,$M360)*MAX(0,AA$4)/100))</f>
        <v/>
      </c>
      <c r="AB360">
        <f>IF($C360="",0,IF($M360="",0,MAX(0,$M360)*MAX(0,AB$4)/100))</f>
        <v/>
      </c>
      <c r="AC360">
        <f>IF($C360="",0,IF($M360="",0,MAX(0,$M360)*MAX(0,AC$4)/100))</f>
        <v/>
      </c>
      <c r="AD360">
        <f>IF($C360="",0,IF($M360="",0,MAX(0,$M360)*MAX(0,AD$4)/100))</f>
        <v/>
      </c>
      <c r="AE360">
        <f>IF($C360="",0,IF($M360="",0,MAX(0,$M360)*MAX(0,AE$4)/100))</f>
        <v/>
      </c>
      <c r="AF360">
        <f>IF($C360="",0,IF($M360="",0,MAX(0,$M360)*MAX(0,AF$4)/100))</f>
        <v/>
      </c>
      <c r="AG360">
        <f>IF($C360="",0,IF($M360="",0,MAX(0,$M360)*MAX(0,AG$4)/100))</f>
        <v/>
      </c>
      <c r="AH360">
        <f>IF($C360="",0,IF($M360="",0,MAX(0,$M360)*MAX(0,AH$4)/100))</f>
        <v/>
      </c>
      <c r="AI360">
        <f>IF($C360="",0,IF($M360="",0,MAX(0,$M360)*MAX(0,AI$4)/100))</f>
        <v/>
      </c>
      <c r="AJ360">
        <f>IF($C360="",0,MAX(0,MAX(0,N($L360))-$V360))</f>
        <v/>
      </c>
      <c r="AK360">
        <f>IF($C360="",0,MAX(0,$AJ360-$W360))</f>
        <v/>
      </c>
      <c r="AL360">
        <f>IF($C360="",0,MAX(0,$AK360-$X360))</f>
        <v/>
      </c>
      <c r="AM360">
        <f>IF($C360="",0,MAX(0,$AL360-$Y360))</f>
        <v/>
      </c>
      <c r="AN360">
        <f>IF($C360="",0,MAX(0,$AM360-$Z360))</f>
        <v/>
      </c>
      <c r="AO360">
        <f>IF($C360="",0,MAX(0,$AN360-$AA360))</f>
        <v/>
      </c>
      <c r="AP360">
        <f>IF($C360="",0,MAX(0,$AO360-$AB360))</f>
        <v/>
      </c>
      <c r="AQ360">
        <f>IF($C360="",0,MAX(0,$AP360-$AC360))</f>
        <v/>
      </c>
      <c r="AR360">
        <f>IF($C360="",0,MAX(0,$AQ360-$AD360))</f>
        <v/>
      </c>
      <c r="AS360">
        <f>IF($C360="",0,MAX(0,$AR360-$AE360))</f>
        <v/>
      </c>
      <c r="AT360">
        <f>IF($C360="",0,MAX(0,$AS360-$AF360))</f>
        <v/>
      </c>
      <c r="AU360">
        <f>IF($C360="",0,MAX(0,$AT360-$AG360))</f>
        <v/>
      </c>
      <c r="AV360">
        <f>IF($C360="",0,MAX(0,$AU360-$AH360))</f>
        <v/>
      </c>
      <c r="AW360">
        <f>IF($C360="",0,MAX(0,$AV360-$AI360))</f>
        <v/>
      </c>
      <c r="AX360">
        <f>IF($C360="",0,MAX(0,MAX(0,N($L360))+IF($P360=V$3,$R360,0)+IF($S360=V$3,$U360,0)-$V360))</f>
        <v/>
      </c>
      <c r="AY360">
        <f>IF($C360="",0,MAX(0,$AX360+IF($P360=W$3,$R360,0)+IF($S360=W$3,$U360,0)-$W360))</f>
        <v/>
      </c>
      <c r="AZ360">
        <f>IF($C360="",0,MAX(0,$AY360+IF($P360=X$3,$R360,0)+IF($S360=X$3,$U360,0)-$X360))</f>
        <v/>
      </c>
      <c r="BA360">
        <f>IF($C360="",0,MAX(0,$AZ360+IF($P360=Y$3,$R360,0)+IF($S360=Y$3,$U360,0)-$Y360))</f>
        <v/>
      </c>
      <c r="BB360">
        <f>IF($C360="",0,MAX(0,$BA360+IF($P360=Z$3,$R360,0)+IF($S360=Z$3,$U360,0)-$Z360))</f>
        <v/>
      </c>
      <c r="BC360">
        <f>IF($C360="",0,MAX(0,$BB360+IF($P360=AA$3,$R360,0)+IF($S360=AA$3,$U360,0)-$AA360))</f>
        <v/>
      </c>
      <c r="BD360">
        <f>IF($C360="",0,MAX(0,$BC360+IF($P360=AB$3,$R360,0)+IF($S360=AB$3,$U360,0)-$AB360))</f>
        <v/>
      </c>
      <c r="BE360">
        <f>IF($C360="",0,MAX(0,$BD360+IF($P360=AC$3,$R360,0)+IF($S360=AC$3,$U360,0)-$AC360))</f>
        <v/>
      </c>
      <c r="BF360">
        <f>IF($C360="",0,MAX(0,$BE360+IF($P360=AD$3,$R360,0)+IF($S360=AD$3,$U360,0)-$AD360))</f>
        <v/>
      </c>
      <c r="BG360">
        <f>IF($C360="",0,MAX(0,$BF360+IF($P360=AE$3,$R360,0)+IF($S360=AE$3,$U360,0)-$AE360))</f>
        <v/>
      </c>
      <c r="BH360">
        <f>IF($C360="",0,MAX(0,$BG360+IF($P360=AF$3,$R360,0)+IF($S360=AF$3,$U360,0)-$AF360))</f>
        <v/>
      </c>
      <c r="BI360">
        <f>IF($C360="",0,MAX(0,$BH360+IF($P360=AG$3,$R360,0)+IF($S360=AG$3,$U360,0)-$AG360))</f>
        <v/>
      </c>
      <c r="BJ360">
        <f>IF($C360="",0,MAX(0,$BI360+IF($P360=AH$3,$R360,0)+IF($S360=AH$3,$U360,0)-$AH360))</f>
        <v/>
      </c>
      <c r="BK360">
        <f>IF($C360="",0,MAX(0,$BJ360+IF($P360=AI$3,$R360,0)+IF($S360=AI$3,$U360,0)-$AI360))</f>
        <v/>
      </c>
      <c r="BL360">
        <f>IF($C360="",99,IF(AND($AX360&lt;1,V$3&gt;=MAX(N($P360),N($S360))),0,99))</f>
        <v/>
      </c>
      <c r="BM360">
        <f>IF($C360="",99,IF(AND($AY360&lt;1,W$3&gt;=MAX(N($P360),N($S360))),1,99))</f>
        <v/>
      </c>
      <c r="BN360">
        <f>IF($C360="",99,IF(AND($AZ360&lt;1,X$3&gt;=MAX(N($P360),N($S360))),2,99))</f>
        <v/>
      </c>
      <c r="BO360">
        <f>IF($C360="",99,IF(AND($BA360&lt;1,Y$3&gt;=MAX(N($P360),N($S360))),3,99))</f>
        <v/>
      </c>
      <c r="BP360">
        <f>IF($C360="",99,IF(AND($BB360&lt;1,Z$3&gt;=MAX(N($P360),N($S360))),4,99))</f>
        <v/>
      </c>
      <c r="BQ360">
        <f>IF($C360="",99,IF(AND($BC360&lt;1,AA$3&gt;=MAX(N($P360),N($S360))),5,99))</f>
        <v/>
      </c>
      <c r="BR360">
        <f>IF($C360="",99,IF(AND($BD360&lt;1,AB$3&gt;=MAX(N($P360),N($S360))),6,99))</f>
        <v/>
      </c>
      <c r="BS360">
        <f>IF($C360="",99,IF(AND($BE360&lt;1,AC$3&gt;=MAX(N($P360),N($S360))),7,99))</f>
        <v/>
      </c>
      <c r="BT360">
        <f>IF($C360="",99,IF(AND($BF360&lt;1,AD$3&gt;=MAX(N($P360),N($S360))),8,99))</f>
        <v/>
      </c>
      <c r="BU360">
        <f>IF($C360="",99,IF(AND($BG360&lt;1,AE$3&gt;=MAX(N($P360),N($S360))),9,99))</f>
        <v/>
      </c>
      <c r="BV360">
        <f>IF($C360="",99,IF(AND($BH360&lt;1,AF$3&gt;=MAX(N($P360),N($S360))),10,99))</f>
        <v/>
      </c>
      <c r="BW360">
        <f>IF($C360="",99,IF(AND($BI360&lt;1,AG$3&gt;=MAX(N($P360),N($S360))),11,99))</f>
        <v/>
      </c>
      <c r="BX360">
        <f>IF($C360="",99,IF(AND($BJ360&lt;1,AH$3&gt;=MAX(N($P360),N($S360))),12,99))</f>
        <v/>
      </c>
      <c r="BY360">
        <f>IF($C360="",99,IF(AND($BK360&lt;1,AI$3&gt;=MAX(N($P360),N($S360))),13,99))</f>
        <v/>
      </c>
      <c r="BZ360">
        <f>IF(OR($C360="",$M360=""),"",COUNTIF($AJ360:$AW360,"&gt;=1"))</f>
        <v/>
      </c>
      <c r="CA360" s="90">
        <f>IF($BZ360="","",IF($BZ360&gt;=14,"",'設定'!$C$6+$BZ360))</f>
        <v/>
      </c>
      <c r="CB360">
        <f>IF(OR($C360="",$M360=""),"",MIN($BL360:$BY360))</f>
        <v/>
      </c>
      <c r="CC360" s="90">
        <f>IF($CB360="","",IF($CB360&gt;=99,"",'設定'!$C$6+$CB360))</f>
        <v/>
      </c>
      <c r="CD360">
        <f>IF(OR($C360="",$M360=""),"",AVERAGE($V360:$AI360))</f>
        <v/>
      </c>
      <c r="CE360">
        <f>IF($C360="","",IFERROR(IF(MATCH(IF(ISNUMBER($P360),$P360,'設定'!$C$6+N('設定'!$C$7)),$V$3:$AI$3,0)=1,MAX(0,N($L360)),INDEX($AJ360:$AW360,MATCH(IF(ISNUMBER($P360),$P360,'設定'!$C$6+N('設定'!$C$7)),$V$3:$AI$3,0)-1)),""))</f>
        <v/>
      </c>
      <c r="CF360">
        <f>IF(OR($C360="",$O360="",$CE360=""),"",IF($O360-$CE360&lt;=0,0,ROUNDUP(($O360-$CE360)/$G360,0)))</f>
        <v/>
      </c>
      <c r="CG360">
        <f>IF(OR($C360="",$CF360="",NOT(ISNUMBER($Q360))),0,MAX(0,$Q360-$CF360))</f>
        <v/>
      </c>
      <c r="CH360">
        <f>IF(OR($C360="",$O360="",$U360=0),0,IFERROR(ROUNDUP(MAX(0,IF(MATCH($S360,$V$3:$AI$3,0)=1,MAX(0,N($L360)),INDEX($AX360:$BK360,MATCH($S360,$V$3:$AI$3,0)-1))+$U360-$O360)/$G360,0),0))</f>
        <v/>
      </c>
      <c r="CI360">
        <f>IF($C360="","",IF(AND($P360="",$Q360=""),"",IF($P360="","⚠ 入庫日を ▼ から選んでください",IF(NOT(ISNUMBER($P360)),"⚠ 入庫日は ▼ から選んでください",IF($P360&lt;N('設定'!$C$6),"⚠ 入庫日が過去です（もう在庫に入っています）→ 消してください",IF($P360&gt;N('設定'!$C$6)+13,"⚠ 入庫日が14日より先です",IF(N($Q360)&lt;=0,"⚠ 入庫数を入れてください",IF($CG360&gt;0,"⚠ 目安より "&amp;$CG360&amp;" 多い（定数を超える）→ 減らす",""))))))))</f>
        <v/>
      </c>
      <c r="CJ360">
        <f>IF($C360="","",IF(AND($S360="",$T360=""),"",IF($S360="","⚠ 2便目：入庫日を ▼ から選んでください",IF(NOT(ISNUMBER($S360)),"⚠ 2便目：入庫日は ▼ から選んでください",IF($S360&lt;N('設定'!$C$6),"⚠ 2便目：入庫日が過去です（もう在庫に入っています）→ 消してください",IF($S360&gt;N('設定'!$C$6)+13,"⚠ 2便目：入庫日が14日より先です",IF(N($T360)&lt;=0,"⚠ 2便目：入庫数を入れてください",IF($CH360&gt;0,"⚠ 2便目：定数を "&amp;$CH360&amp;" ケース超える → 減らす",""))))))))</f>
        <v/>
      </c>
      <c r="CK360">
        <f>IF(AND($CI360="",N($Q360)&gt;0,ISNUMBER($P360)),1,0)</f>
        <v/>
      </c>
      <c r="CL360">
        <f>IF(AND($CJ360="",N($T360)&gt;0,ISNUMBER($S360)),1,0)</f>
        <v/>
      </c>
      <c r="CM360">
        <f>IF(OR($CK360=1,$CL360=1),1,0)</f>
        <v/>
      </c>
      <c r="CN360">
        <f>IF($C360="",0,($CK360*$R360+$CL360*$U360)*N($H360))</f>
        <v/>
      </c>
      <c r="CO360">
        <f>IF($C360="","",IF($CC360="","入庫後は 14日以上もつ",IF($CC360-N('設定'!$C$7)&lt;='設定'!$C$6,"入庫後も "&amp;TEXT($CC360,"m/d")&amp;"("&amp;CHOOSE(WEEKDAY($CC360),"日","月","火","水","木","金","土")&amp;")"&amp;" に切れる　もう1便を至急発注","入庫後も "&amp;TEXT($CC360,"m/d")&amp;"("&amp;CHOOSE(WEEKDAY($CC360),"日","月","火","水","木","金","土")&amp;")"&amp;" に切れる　"&amp;TEXT($CC360-N('設定'!$C$7),"m/d")&amp;"("&amp;CHOOSE(WEEKDAY($CC360-N('設定'!$C$7)),"日","月","火","水","木","金","土")&amp;")"&amp;" までに次を発注")))</f>
        <v/>
      </c>
      <c r="CP360">
        <f>IF($C360="","",IF('設定'!$C$6="","？ ①在庫を貼る に今日のCSVが貼られていない",IF($CS360=1,"－ 今日のCSVに無い（終売？）",IF($L360&lt;0,"● 在庫がマイナス　数えて「数えた在庫」に入れる",IF($L360=0,"● 在庫なし　至急発注",IF($M360="","？ 減り数が未設定（商品マスタ）",IF($B$3=0,"？ 動員が未入力（動員を入れる）",IF($CA360="","○ 14日以上もつ",IF($BZ360&lt;N('設定'!$C$7),"● "&amp;TEXT($CA360,"m/d")&amp;"("&amp;CHOOSE(WEEKDAY($CA360),"日","月","火","水","木","金","土")&amp;")"&amp;" に切れる　至急発注",IF($BZ360=N('設定'!$C$7),"● "&amp;TEXT($CA360,"m/d")&amp;"("&amp;CHOOSE(WEEKDAY($CA360),"日","月","火","水","木","金","土")&amp;")"&amp;" に切れる　今日発注","△ "&amp;TEXT($CA360,"m/d")&amp;"("&amp;CHOOSE(WEEKDAY($CA360),"日","月","火","水","木","金","土")&amp;")"&amp;" に切れる　"&amp;TEXT($CA360-N('設定'!$C$7),"m/d")&amp;"("&amp;CHOOSE(WEEKDAY($CA360-N('設定'!$C$7)),"日","月","火","水","木","金","土")&amp;")"&amp;" までに発注"))))))))))</f>
        <v/>
      </c>
      <c r="CQ360">
        <f>IF($C360="","",IF(AND($P360="",$Q360="",$S360="",$T360=""),"",IF(AND($P360="",$Q360=""),"⚠ 先に1便目（左の入庫日・入庫数）に入れてください",IF($CI360&lt;&gt;"",$CI360,IF($CJ360&lt;&gt;"",$CJ360,IF($M360="","？ 減り数が未設定（発注書には載ります）",IF($B$3=0,"？ 動員が未入力（発注書には載ります）",IF(AND($CA360&lt;&gt;"",$P360&gt;$CA360),IF($P360&gt;'設定'!$C$6+N('設定'!$C$7),"● "&amp;TEXT($P360,"m/d")&amp;"("&amp;CHOOSE(WEEKDAY($P360),"日","月","火","水","木","金","土")&amp;")"&amp;" の入庫では間に合わない（"&amp;TEXT($CA360,"m/d")&amp;"("&amp;CHOOSE(WEEKDAY($CA360),"日","月","火","水","木","金","土")&amp;")"&amp;" に切れる）　入庫日を早める","△ 欠品 "&amp;TEXT($CA360,"m/d")&amp;"("&amp;CHOOSE(WEEKDAY($CA360),"日","月","火","水","木","金","土")&amp;")"&amp;"〜"&amp;TEXT($P360-1,"m/d")&amp;"("&amp;CHOOSE(WEEKDAY($P360-1),"日","月","火","水","木","金","土")&amp;")"&amp;"　"&amp;$CO360),IF($CC360="","○ "&amp;TEXT($P360,"m/d")&amp;"("&amp;CHOOSE(WEEKDAY($P360),"日","月","火","水","木","金","土")&amp;")"&amp;" 入庫で 14日以上もつ",IF($CC360-N('設定'!$C$7)&lt;='設定'!$C$6,"● 入庫しても "&amp;TEXT($CC360,"m/d")&amp;"("&amp;CHOOSE(WEEKDAY($CC360),"日","月","火","水","木","金","土")&amp;")"&amp;" に切れる　もう1便を至急発注（2便目に入れる）","△ 入庫しても "&amp;TEXT($CC360,"m/d")&amp;"("&amp;CHOOSE(WEEKDAY($CC360),"日","月","火","水","木","金","土")&amp;")"&amp;" に切れる　"&amp;TEXT($CC360-N('設定'!$C$7),"m/d")&amp;"("&amp;CHOOSE(WEEKDAY($CC360-N('設定'!$C$7)),"日","月","火","水","木","金","土")&amp;")"&amp;" までに次を発注（2便目に入れる）"))))))))))</f>
        <v/>
      </c>
      <c r="CR360">
        <f>IF($C360="","",IF($G360&gt;1,"ｹｰｽ("&amp;$G360&amp;"入)","個"))</f>
        <v/>
      </c>
      <c r="CS360">
        <f>IF($C360="",0,IF(COUNTIFS('①在庫を貼る'!$V$6:$V$10005,'設定'!$C$4,'①在庫を貼る'!$W$6:$W$10005,$C360)=0,1,0))</f>
        <v/>
      </c>
      <c r="CT360">
        <f>IF(AND($CK360=1,OR('③発注書'!$C$4="すべて",'③発注書'!$C$4="",$F360='③発注書'!$C$4)),N($CT359)+1,N($CT359))</f>
        <v/>
      </c>
      <c r="CU360">
        <f>IF(AND($CL360=1,OR('③発注書'!$C$4="すべて",'③発注書'!$C$4="",$F360='③発注書'!$C$4)),N($CU359)+1,N($CU359))</f>
        <v/>
      </c>
      <c r="CV360">
        <f>IF($C360="",0,IF(COUNTIFS('①在庫を貼る'!$V$6:$V$10005,'設定'!$C$4,'①在庫を貼る'!$W$6:$W$10005,$C360)&gt;0,1,0))</f>
        <v/>
      </c>
      <c r="CW360">
        <f>IF($C360="",0,IF(COUNTIFS('月1回_1ヶ月前の在庫'!$V$6:$V$10005,'設定'!$C$4,'月1回_1ヶ月前の在庫'!$W$6:$W$10005,$C360)&gt;0,1,0))</f>
        <v/>
      </c>
      <c r="CX360">
        <f>IF($C360="",0,IF(COUNTIFS('月1回_2ヶ月前の在庫'!$V$6:$V$10005,'設定'!$C$4,'月1回_2ヶ月前の在庫'!$W$6:$W$10005,$C360)&gt;0,1,0))</f>
        <v/>
      </c>
      <c r="CY360">
        <f>IF(OR($C360="",'設定'!$C$12=""),"",IF('設定'!$C$13="",IF(AND($CV360=1,$CW360=0),"新商品（今月から）",IF(AND($CV360=0,$CW360=1),"終売（今月から）","")),IF(AND($CV360=1,$CW360=0,$CX360=0),"新商品（今月から）",IF(AND($CV360=1,$CW360=1,$CX360=0),"新商品（先月から）",IF(AND($CV360=0,$CW360=1,$CX360=1),"終売（今月から）",IF(AND($CV360=0,$CW360=0,$CX360=1),"終売（先月から）",IF(AND($CV360=1,$CW360=0,$CX360=1),"復活（先月は無し）","")))))))</f>
        <v/>
      </c>
    </row>
    <row r="361">
      <c r="B361">
        <f>IF(356&lt;='設定'!$C$11,356,"")</f>
        <v/>
      </c>
      <c r="C361">
        <f>IF($B361="","",IF($B361&lt;='設定'!$C$20,INDEX('商品マスタ'!$B$6:$B$1005,MATCH($B361,'商品マスタ'!$M$6:$M$1005,0)),IF($B361&lt;='設定'!$C$20+'設定'!$C$17,INDEX('①在庫を貼る'!$W$6:$W$10005,MATCH($B361-'設定'!$C$20,'①在庫を貼る'!$U$6:$U$10005,0)),IF($B361&lt;='設定'!$C$20+'設定'!$C$17+'設定'!$C$18,INDEX('月1回_1ヶ月前の在庫'!$W$6:$W$10005,MATCH($B361-'設定'!$C$20-'設定'!$C$17,'月1回_1ヶ月前の在庫'!$U$6:$U$10005,0)),INDEX('月1回_2ヶ月前の在庫'!$W$6:$W$10005,MATCH($B361-'設定'!$C$20-'設定'!$C$17-'設定'!$C$18,'月1回_2ヶ月前の在庫'!$U$6:$U$10005,0))))))</f>
        <v/>
      </c>
      <c r="D361">
        <f>IF($C361="","",IFERROR(IF(INDEX('商品マスタ'!$C$6:$C$1005,MATCH($C361,'商品マスタ'!$B$6:$B$1005,0))="",IFERROR(INDEX('①在庫を貼る'!$J$6:$J$10005,MATCH($C361,'①在庫を貼る'!$W$6:$W$10005,0)),IFERROR(INDEX('月1回_1ヶ月前の在庫'!$J$6:$J$10005,MATCH($C361,'月1回_1ヶ月前の在庫'!$W$6:$W$10005,0)),IFERROR(INDEX('月1回_2ヶ月前の在庫'!$J$6:$J$10005,MATCH($C361,'月1回_2ヶ月前の在庫'!$W$6:$W$10005,0)),""))),INDEX('商品マスタ'!$C$6:$C$1005,MATCH($C361,'商品マスタ'!$B$6:$B$1005,0))),IFERROR(INDEX('①在庫を貼る'!$J$6:$J$10005,MATCH($C361,'①在庫を貼る'!$W$6:$W$10005,0)),IFERROR(INDEX('月1回_1ヶ月前の在庫'!$J$6:$J$10005,MATCH($C361,'月1回_1ヶ月前の在庫'!$W$6:$W$10005,0)),IFERROR(INDEX('月1回_2ヶ月前の在庫'!$J$6:$J$10005,MATCH($C361,'月1回_2ヶ月前の在庫'!$W$6:$W$10005,0)),"")))))</f>
        <v/>
      </c>
      <c r="E361">
        <f>IF($C361="","",IFERROR(IF(INDEX('商品マスタ'!$D$6:$D$1005,MATCH($C361,'商品マスタ'!$B$6:$B$1005,0))="",IFERROR(INDEX('①在庫を貼る'!$H$6:$H$10005,MATCH($C361,'①在庫を貼る'!$W$6:$W$10005,0)),IFERROR(INDEX('月1回_1ヶ月前の在庫'!$H$6:$H$10005,MATCH($C361,'月1回_1ヶ月前の在庫'!$W$6:$W$10005,0)),IFERROR(INDEX('月1回_2ヶ月前の在庫'!$H$6:$H$10005,MATCH($C361,'月1回_2ヶ月前の在庫'!$W$6:$W$10005,0)),""))),INDEX('商品マスタ'!$D$6:$D$1005,MATCH($C361,'商品マスタ'!$B$6:$B$1005,0))),IFERROR(INDEX('①在庫を貼る'!$H$6:$H$10005,MATCH($C361,'①在庫を貼る'!$W$6:$W$10005,0)),IFERROR(INDEX('月1回_1ヶ月前の在庫'!$H$6:$H$10005,MATCH($C361,'月1回_1ヶ月前の在庫'!$W$6:$W$10005,0)),IFERROR(INDEX('月1回_2ヶ月前の在庫'!$H$6:$H$10005,MATCH($C361,'月1回_2ヶ月前の在庫'!$W$6:$W$10005,0)),"")))))</f>
        <v/>
      </c>
      <c r="F361">
        <f>IF($C361="","",IFERROR(IF(INDEX('商品マスタ'!$E$6:$E$1005,MATCH($C361,'商品マスタ'!$B$6:$B$1005,0))="",IFERROR(INDEX('①在庫を貼る'!$E$6:$E$10005,MATCH($C361,'①在庫を貼る'!$W$6:$W$10005,0)),IFERROR(INDEX('月1回_1ヶ月前の在庫'!$E$6:$E$10005,MATCH($C361,'月1回_1ヶ月前の在庫'!$W$6:$W$10005,0)),IFERROR(INDEX('月1回_2ヶ月前の在庫'!$E$6:$E$10005,MATCH($C361,'月1回_2ヶ月前の在庫'!$W$6:$W$10005,0)),""))),INDEX('商品マスタ'!$E$6:$E$1005,MATCH($C361,'商品マスタ'!$B$6:$B$1005,0))),IFERROR(INDEX('①在庫を貼る'!$E$6:$E$10005,MATCH($C361,'①在庫を貼る'!$W$6:$W$10005,0)),IFERROR(INDEX('月1回_1ヶ月前の在庫'!$E$6:$E$10005,MATCH($C361,'月1回_1ヶ月前の在庫'!$W$6:$W$10005,0)),IFERROR(INDEX('月1回_2ヶ月前の在庫'!$E$6:$E$10005,MATCH($C361,'月1回_2ヶ月前の在庫'!$W$6:$W$10005,0)),"")))))</f>
        <v/>
      </c>
      <c r="G361">
        <f>IF($C361="","",MAX(1,N(IFERROR(IF(INDEX('商品マスタ'!$F$6:$F$1005,MATCH($C361,'商品マスタ'!$B$6:$B$1005,0))="",IF(COUNTIFS('①在庫を貼る'!$V$6:$V$10005,'設定'!$C$4,'①在庫を貼る'!$W$6:$W$10005,$C361)&gt;0,SUMIFS('①在庫を貼る'!$K$6:$K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K$6:$K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K$6:$K$10005,'月1回_2ヶ月前の在庫'!$V$6:$V$10005,'設定'!$C$4,'月1回_2ヶ月前の在庫'!$W$6:$W$10005,$C361)/COUNTIFS('月1回_2ヶ月前の在庫'!$V$6:$V$10005,'設定'!$C$4,'月1回_2ヶ月前の在庫'!$W$6:$W$10005,$C361),0))),INDEX('商品マスタ'!$F$6:$F$1005,MATCH($C361,'商品マスタ'!$B$6:$B$1005,0))),IF(COUNTIFS('①在庫を貼る'!$V$6:$V$10005,'設定'!$C$4,'①在庫を貼る'!$W$6:$W$10005,$C361)&gt;0,SUMIFS('①在庫を貼る'!$K$6:$K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K$6:$K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K$6:$K$10005,'月1回_2ヶ月前の在庫'!$V$6:$V$10005,'設定'!$C$4,'月1回_2ヶ月前の在庫'!$W$6:$W$10005,$C361)/COUNTIFS('月1回_2ヶ月前の在庫'!$V$6:$V$10005,'設定'!$C$4,'月1回_2ヶ月前の在庫'!$W$6:$W$10005,$C361),0)))))))</f>
        <v/>
      </c>
      <c r="H361">
        <f>IF($C361="","",N(IFERROR(IF(INDEX('商品マスタ'!$G$6:$G$1005,MATCH($C361,'商品マスタ'!$B$6:$B$1005,0))="",IF(COUNTIFS('①在庫を貼る'!$V$6:$V$10005,'設定'!$C$4,'①在庫を貼る'!$W$6:$W$10005,$C361)&gt;0,SUMIFS('①在庫を貼る'!$Q$6:$Q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Q$6:$Q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Q$6:$Q$10005,'月1回_2ヶ月前の在庫'!$V$6:$V$10005,'設定'!$C$4,'月1回_2ヶ月前の在庫'!$W$6:$W$10005,$C361)/COUNTIFS('月1回_2ヶ月前の在庫'!$V$6:$V$10005,'設定'!$C$4,'月1回_2ヶ月前の在庫'!$W$6:$W$10005,$C361),0))),INDEX('商品マスタ'!$G$6:$G$1005,MATCH($C361,'商品マスタ'!$B$6:$B$1005,0))),IF(COUNTIFS('①在庫を貼る'!$V$6:$V$10005,'設定'!$C$4,'①在庫を貼る'!$W$6:$W$10005,$C361)&gt;0,SUMIFS('①在庫を貼る'!$Q$6:$Q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Q$6:$Q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Q$6:$Q$10005,'月1回_2ヶ月前の在庫'!$V$6:$V$10005,'設定'!$C$4,'月1回_2ヶ月前の在庫'!$W$6:$W$10005,$C361)/COUNTIFS('月1回_2ヶ月前の在庫'!$V$6:$V$10005,'設定'!$C$4,'月1回_2ヶ月前の在庫'!$W$6:$W$10005,$C361),0))))))</f>
        <v/>
      </c>
      <c r="I361">
        <f>IF($C361="","",IF(COUNTIFS('①在庫を貼る'!$V$6:$V$10005,'設定'!$C$4,'①在庫を貼る'!$W$6:$W$10005,$C361)=0,"",SUMIFS('①在庫を貼る'!$N$6:$N$10005,'①在庫を貼る'!$V$6:$V$10005,'設定'!$C$4,'①在庫を貼る'!$W$6:$W$10005,$C361)))</f>
        <v/>
      </c>
      <c r="J361">
        <f>IF($C361="","",IF('②発注する'!$AD365="","",'②発注する'!$AD365))</f>
        <v/>
      </c>
      <c r="K361" s="90">
        <f>IF($C361="","",IF('②発注する'!$AE365="","",'②発注する'!$AE365))</f>
        <v/>
      </c>
      <c r="L361">
        <f>IF($C361="","",IF(AND(ISNUMBER($J361),ISNUMBER($K361),$K361&gt;='設定'!$C$6),$J361,N($I361)))</f>
        <v/>
      </c>
      <c r="M361">
        <f>IF($C361="","",IFERROR(IF(N(INDEX('商品マスタ'!$J$6:$J$1005,MATCH($C361,'商品マスタ'!$B$6:$B$1005,0)))&gt;0,INDEX('商品マスタ'!$J$6:$J$1005,MATCH($C361,'商品マスタ'!$B$6:$B$1005,0)),""),""))</f>
        <v/>
      </c>
      <c r="N361">
        <f>IF($C361="","",IFERROR(IF(N(INDEX('商品マスタ'!$H$6:$H$1005,MATCH($C361,'商品マスタ'!$B$6:$B$1005,0)))&gt;0,INDEX('商品マスタ'!$H$6:$H$1005,MATCH($C361,'商品マスタ'!$B$6:$B$1005,0)),""),""))</f>
        <v/>
      </c>
      <c r="O361">
        <f>IF($C361="","",IF($N361&lt;&gt;"",$N361*$G361,IF(N(IF(COUNTIFS('①在庫を貼る'!$V$6:$V$10005,'設定'!$C$4,'①在庫を貼る'!$W$6:$W$10005,$C361)&gt;0,SUMIFS('①在庫を貼る'!$O$6:$O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O$6:$O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O$6:$O$10005,'月1回_2ヶ月前の在庫'!$V$6:$V$10005,'設定'!$C$4,'月1回_2ヶ月前の在庫'!$W$6:$W$10005,$C361)/COUNTIFS('月1回_2ヶ月前の在庫'!$V$6:$V$10005,'設定'!$C$4,'月1回_2ヶ月前の在庫'!$W$6:$W$10005,$C361),0))))&gt;0,N(IF(COUNTIFS('①在庫を貼る'!$V$6:$V$10005,'設定'!$C$4,'①在庫を貼る'!$W$6:$W$10005,$C361)&gt;0,SUMIFS('①在庫を貼る'!$O$6:$O$10005,'①在庫を貼る'!$V$6:$V$10005,'設定'!$C$4,'①在庫を貼る'!$W$6:$W$10005,$C361)/COUNTIFS('①在庫を貼る'!$V$6:$V$10005,'設定'!$C$4,'①在庫を貼る'!$W$6:$W$10005,$C361),IF(COUNTIFS('月1回_1ヶ月前の在庫'!$V$6:$V$10005,'設定'!$C$4,'月1回_1ヶ月前の在庫'!$W$6:$W$10005,$C361)&gt;0,SUMIFS('月1回_1ヶ月前の在庫'!$O$6:$O$10005,'月1回_1ヶ月前の在庫'!$V$6:$V$10005,'設定'!$C$4,'月1回_1ヶ月前の在庫'!$W$6:$W$10005,$C361)/COUNTIFS('月1回_1ヶ月前の在庫'!$V$6:$V$10005,'設定'!$C$4,'月1回_1ヶ月前の在庫'!$W$6:$W$10005,$C361),IF(COUNTIFS('月1回_2ヶ月前の在庫'!$V$6:$V$10005,'設定'!$C$4,'月1回_2ヶ月前の在庫'!$W$6:$W$10005,$C361)&gt;0,SUMIFS('月1回_2ヶ月前の在庫'!$O$6:$O$10005,'月1回_2ヶ月前の在庫'!$V$6:$V$10005,'設定'!$C$4,'月1回_2ヶ月前の在庫'!$W$6:$W$10005,$C361)/COUNTIFS('月1回_2ヶ月前の在庫'!$V$6:$V$10005,'設定'!$C$4,'月1回_2ヶ月前の在庫'!$W$6:$W$10005,$C361),0)))),"")))</f>
        <v/>
      </c>
      <c r="P361" s="90">
        <f>IF($C361="","",IF('②発注する'!$I365="","",'②発注する'!$I365))</f>
        <v/>
      </c>
      <c r="Q361">
        <f>IF($C361="","",IF('②発注する'!$J365="","",'②発注する'!$J365))</f>
        <v/>
      </c>
      <c r="R361">
        <f>IF($C361="",0,IF(AND(ISNUMBER($P361),ISNUMBER($Q361)),MAX(0,$Q361)*$G361,0))</f>
        <v/>
      </c>
      <c r="S361" s="90">
        <f>IF($C361="","",IF('②発注する'!$M365="","",'②発注する'!$M365))</f>
        <v/>
      </c>
      <c r="T361">
        <f>IF($C361="","",IF('②発注する'!$N365="","",'②発注する'!$N365))</f>
        <v/>
      </c>
      <c r="U361">
        <f>IF($C361="",0,IF(AND(ISNUMBER($S361),ISNUMBER($T361)),MAX(0,$T361)*$G361,0))</f>
        <v/>
      </c>
      <c r="V361">
        <f>IF($C361="",0,IF($M361="",0,MAX(0,$M361)*MAX(0,V$4)/100))</f>
        <v/>
      </c>
      <c r="W361">
        <f>IF($C361="",0,IF($M361="",0,MAX(0,$M361)*MAX(0,W$4)/100))</f>
        <v/>
      </c>
      <c r="X361">
        <f>IF($C361="",0,IF($M361="",0,MAX(0,$M361)*MAX(0,X$4)/100))</f>
        <v/>
      </c>
      <c r="Y361">
        <f>IF($C361="",0,IF($M361="",0,MAX(0,$M361)*MAX(0,Y$4)/100))</f>
        <v/>
      </c>
      <c r="Z361">
        <f>IF($C361="",0,IF($M361="",0,MAX(0,$M361)*MAX(0,Z$4)/100))</f>
        <v/>
      </c>
      <c r="AA361">
        <f>IF($C361="",0,IF($M361="",0,MAX(0,$M361)*MAX(0,AA$4)/100))</f>
        <v/>
      </c>
      <c r="AB361">
        <f>IF($C361="",0,IF($M361="",0,MAX(0,$M361)*MAX(0,AB$4)/100))</f>
        <v/>
      </c>
      <c r="AC361">
        <f>IF($C361="",0,IF($M361="",0,MAX(0,$M361)*MAX(0,AC$4)/100))</f>
        <v/>
      </c>
      <c r="AD361">
        <f>IF($C361="",0,IF($M361="",0,MAX(0,$M361)*MAX(0,AD$4)/100))</f>
        <v/>
      </c>
      <c r="AE361">
        <f>IF($C361="",0,IF($M361="",0,MAX(0,$M361)*MAX(0,AE$4)/100))</f>
        <v/>
      </c>
      <c r="AF361">
        <f>IF($C361="",0,IF($M361="",0,MAX(0,$M361)*MAX(0,AF$4)/100))</f>
        <v/>
      </c>
      <c r="AG361">
        <f>IF($C361="",0,IF($M361="",0,MAX(0,$M361)*MAX(0,AG$4)/100))</f>
        <v/>
      </c>
      <c r="AH361">
        <f>IF($C361="",0,IF($M361="",0,MAX(0,$M361)*MAX(0,AH$4)/100))</f>
        <v/>
      </c>
      <c r="AI361">
        <f>IF($C361="",0,IF($M361="",0,MAX(0,$M361)*MAX(0,AI$4)/100))</f>
        <v/>
      </c>
      <c r="AJ361">
        <f>IF($C361="",0,MAX(0,MAX(0,N($L361))-$V361))</f>
        <v/>
      </c>
      <c r="AK361">
        <f>IF($C361="",0,MAX(0,$AJ361-$W361))</f>
        <v/>
      </c>
      <c r="AL361">
        <f>IF($C361="",0,MAX(0,$AK361-$X361))</f>
        <v/>
      </c>
      <c r="AM361">
        <f>IF($C361="",0,MAX(0,$AL361-$Y361))</f>
        <v/>
      </c>
      <c r="AN361">
        <f>IF($C361="",0,MAX(0,$AM361-$Z361))</f>
        <v/>
      </c>
      <c r="AO361">
        <f>IF($C361="",0,MAX(0,$AN361-$AA361))</f>
        <v/>
      </c>
      <c r="AP361">
        <f>IF($C361="",0,MAX(0,$AO361-$AB361))</f>
        <v/>
      </c>
      <c r="AQ361">
        <f>IF($C361="",0,MAX(0,$AP361-$AC361))</f>
        <v/>
      </c>
      <c r="AR361">
        <f>IF($C361="",0,MAX(0,$AQ361-$AD361))</f>
        <v/>
      </c>
      <c r="AS361">
        <f>IF($C361="",0,MAX(0,$AR361-$AE361))</f>
        <v/>
      </c>
      <c r="AT361">
        <f>IF($C361="",0,MAX(0,$AS361-$AF361))</f>
        <v/>
      </c>
      <c r="AU361">
        <f>IF($C361="",0,MAX(0,$AT361-$AG361))</f>
        <v/>
      </c>
      <c r="AV361">
        <f>IF($C361="",0,MAX(0,$AU361-$AH361))</f>
        <v/>
      </c>
      <c r="AW361">
        <f>IF($C361="",0,MAX(0,$AV361-$AI361))</f>
        <v/>
      </c>
      <c r="AX361">
        <f>IF($C361="",0,MAX(0,MAX(0,N($L361))+IF($P361=V$3,$R361,0)+IF($S361=V$3,$U361,0)-$V361))</f>
        <v/>
      </c>
      <c r="AY361">
        <f>IF($C361="",0,MAX(0,$AX361+IF($P361=W$3,$R361,0)+IF($S361=W$3,$U361,0)-$W361))</f>
        <v/>
      </c>
      <c r="AZ361">
        <f>IF($C361="",0,MAX(0,$AY361+IF($P361=X$3,$R361,0)+IF($S361=X$3,$U361,0)-$X361))</f>
        <v/>
      </c>
      <c r="BA361">
        <f>IF($C361="",0,MAX(0,$AZ361+IF($P361=Y$3,$R361,0)+IF($S361=Y$3,$U361,0)-$Y361))</f>
        <v/>
      </c>
      <c r="BB361">
        <f>IF($C361="",0,MAX(0,$BA361+IF($P361=Z$3,$R361,0)+IF($S361=Z$3,$U361,0)-$Z361))</f>
        <v/>
      </c>
      <c r="BC361">
        <f>IF($C361="",0,MAX(0,$BB361+IF($P361=AA$3,$R361,0)+IF($S361=AA$3,$U361,0)-$AA361))</f>
        <v/>
      </c>
      <c r="BD361">
        <f>IF($C361="",0,MAX(0,$BC361+IF($P361=AB$3,$R361,0)+IF($S361=AB$3,$U361,0)-$AB361))</f>
        <v/>
      </c>
      <c r="BE361">
        <f>IF($C361="",0,MAX(0,$BD361+IF($P361=AC$3,$R361,0)+IF($S361=AC$3,$U361,0)-$AC361))</f>
        <v/>
      </c>
      <c r="BF361">
        <f>IF($C361="",0,MAX(0,$BE361+IF($P361=AD$3,$R361,0)+IF($S361=AD$3,$U361,0)-$AD361))</f>
        <v/>
      </c>
      <c r="BG361">
        <f>IF($C361="",0,MAX(0,$BF361+IF($P361=AE$3,$R361,0)+IF($S361=AE$3,$U361,0)-$AE361))</f>
        <v/>
      </c>
      <c r="BH361">
        <f>IF($C361="",0,MAX(0,$BG361+IF($P361=AF$3,$R361,0)+IF($S361=AF$3,$U361,0)-$AF361))</f>
        <v/>
      </c>
      <c r="BI361">
        <f>IF($C361="",0,MAX(0,$BH361+IF($P361=AG$3,$R361,0)+IF($S361=AG$3,$U361,0)-$AG361))</f>
        <v/>
      </c>
      <c r="BJ361">
        <f>IF($C361="",0,MAX(0,$BI361+IF($P361=AH$3,$R361,0)+IF($S361=AH$3,$U361,0)-$AH361))</f>
        <v/>
      </c>
      <c r="BK361">
        <f>IF($C361="",0,MAX(0,$BJ361+IF($P361=AI$3,$R361,0)+IF($S361=AI$3,$U361,0)-$AI361))</f>
        <v/>
      </c>
      <c r="BL361">
        <f>IF($C361="",99,IF(AND($AX361&lt;1,V$3&gt;=MAX(N($P361),N($S361))),0,99))</f>
        <v/>
      </c>
      <c r="BM361">
        <f>IF($C361="",99,IF(AND($AY361&lt;1,W$3&gt;=MAX(N($P361),N($S361))),1,99))</f>
        <v/>
      </c>
      <c r="BN361">
        <f>IF($C361="",99,IF(AND($AZ361&lt;1,X$3&gt;=MAX(N($P361),N($S361))),2,99))</f>
        <v/>
      </c>
      <c r="BO361">
        <f>IF($C361="",99,IF(AND($BA361&lt;1,Y$3&gt;=MAX(N($P361),N($S361))),3,99))</f>
        <v/>
      </c>
      <c r="BP361">
        <f>IF($C361="",99,IF(AND($BB361&lt;1,Z$3&gt;=MAX(N($P361),N($S361))),4,99))</f>
        <v/>
      </c>
      <c r="BQ361">
        <f>IF($C361="",99,IF(AND($BC361&lt;1,AA$3&gt;=MAX(N($P361),N($S361))),5,99))</f>
        <v/>
      </c>
      <c r="BR361">
        <f>IF($C361="",99,IF(AND($BD361&lt;1,AB$3&gt;=MAX(N($P361),N($S361))),6,99))</f>
        <v/>
      </c>
      <c r="BS361">
        <f>IF($C361="",99,IF(AND($BE361&lt;1,AC$3&gt;=MAX(N($P361),N($S361))),7,99))</f>
        <v/>
      </c>
      <c r="BT361">
        <f>IF($C361="",99,IF(AND($BF361&lt;1,AD$3&gt;=MAX(N($P361),N($S361))),8,99))</f>
        <v/>
      </c>
      <c r="BU361">
        <f>IF($C361="",99,IF(AND($BG361&lt;1,AE$3&gt;=MAX(N($P361),N($S361))),9,99))</f>
        <v/>
      </c>
      <c r="BV361">
        <f>IF($C361="",99,IF(AND($BH361&lt;1,AF$3&gt;=MAX(N($P361),N($S361))),10,99))</f>
        <v/>
      </c>
      <c r="BW361">
        <f>IF($C361="",99,IF(AND($BI361&lt;1,AG$3&gt;=MAX(N($P361),N($S361))),11,99))</f>
        <v/>
      </c>
      <c r="BX361">
        <f>IF($C361="",99,IF(AND($BJ361&lt;1,AH$3&gt;=MAX(N($P361),N($S361))),12,99))</f>
        <v/>
      </c>
      <c r="BY361">
        <f>IF($C361="",99,IF(AND($BK361&lt;1,AI$3&gt;=MAX(N($P361),N($S361))),13,99))</f>
        <v/>
      </c>
      <c r="BZ361">
        <f>IF(OR($C361="",$M361=""),"",COUNTIF($AJ361:$AW361,"&gt;=1"))</f>
        <v/>
      </c>
      <c r="CA361" s="90">
        <f>IF($BZ361="","",IF($BZ361&gt;=14,"",'設定'!$C$6+$BZ361))</f>
        <v/>
      </c>
      <c r="CB361">
        <f>IF(OR($C361="",$M361=""),"",MIN($BL361:$BY361))</f>
        <v/>
      </c>
      <c r="CC361" s="90">
        <f>IF($CB361="","",IF($CB361&gt;=99,"",'設定'!$C$6+$CB361))</f>
        <v/>
      </c>
      <c r="CD361">
        <f>IF(OR($C361="",$M361=""),"",AVERAGE($V361:$AI361))</f>
        <v/>
      </c>
      <c r="CE361">
        <f>IF($C361="","",IFERROR(IF(MATCH(IF(ISNUMBER($P361),$P361,'設定'!$C$6+N('設定'!$C$7)),$V$3:$AI$3,0)=1,MAX(0,N($L361)),INDEX($AJ361:$AW361,MATCH(IF(ISNUMBER($P361),$P361,'設定'!$C$6+N('設定'!$C$7)),$V$3:$AI$3,0)-1)),""))</f>
        <v/>
      </c>
      <c r="CF361">
        <f>IF(OR($C361="",$O361="",$CE361=""),"",IF($O361-$CE361&lt;=0,0,ROUNDUP(($O361-$CE361)/$G361,0)))</f>
        <v/>
      </c>
      <c r="CG361">
        <f>IF(OR($C361="",$CF361="",NOT(ISNUMBER($Q361))),0,MAX(0,$Q361-$CF361))</f>
        <v/>
      </c>
      <c r="CH361">
        <f>IF(OR($C361="",$O361="",$U361=0),0,IFERROR(ROUNDUP(MAX(0,IF(MATCH($S361,$V$3:$AI$3,0)=1,MAX(0,N($L361)),INDEX($AX361:$BK361,MATCH($S361,$V$3:$AI$3,0)-1))+$U361-$O361)/$G361,0),0))</f>
        <v/>
      </c>
      <c r="CI361">
        <f>IF($C361="","",IF(AND($P361="",$Q361=""),"",IF($P361="","⚠ 入庫日を ▼ から選んでください",IF(NOT(ISNUMBER($P361)),"⚠ 入庫日は ▼ から選んでください",IF($P361&lt;N('設定'!$C$6),"⚠ 入庫日が過去です（もう在庫に入っています）→ 消してください",IF($P361&gt;N('設定'!$C$6)+13,"⚠ 入庫日が14日より先です",IF(N($Q361)&lt;=0,"⚠ 入庫数を入れてください",IF($CG361&gt;0,"⚠ 目安より "&amp;$CG361&amp;" 多い（定数を超える）→ 減らす",""))))))))</f>
        <v/>
      </c>
      <c r="CJ361">
        <f>IF($C361="","",IF(AND($S361="",$T361=""),"",IF($S361="","⚠ 2便目：入庫日を ▼ から選んでください",IF(NOT(ISNUMBER($S361)),"⚠ 2便目：入庫日は ▼ から選んでください",IF($S361&lt;N('設定'!$C$6),"⚠ 2便目：入庫日が過去です（もう在庫に入っています）→ 消してください",IF($S361&gt;N('設定'!$C$6)+13,"⚠ 2便目：入庫日が14日より先です",IF(N($T361)&lt;=0,"⚠ 2便目：入庫数を入れてください",IF($CH361&gt;0,"⚠ 2便目：定数を "&amp;$CH361&amp;" ケース超える → 減らす",""))))))))</f>
        <v/>
      </c>
      <c r="CK361">
        <f>IF(AND($CI361="",N($Q361)&gt;0,ISNUMBER($P361)),1,0)</f>
        <v/>
      </c>
      <c r="CL361">
        <f>IF(AND($CJ361="",N($T361)&gt;0,ISNUMBER($S361)),1,0)</f>
        <v/>
      </c>
      <c r="CM361">
        <f>IF(OR($CK361=1,$CL361=1),1,0)</f>
        <v/>
      </c>
      <c r="CN361">
        <f>IF($C361="",0,($CK361*$R361+$CL361*$U361)*N($H361))</f>
        <v/>
      </c>
      <c r="CO361">
        <f>IF($C361="","",IF($CC361="","入庫後は 14日以上もつ",IF($CC361-N('設定'!$C$7)&lt;='設定'!$C$6,"入庫後も "&amp;TEXT($CC361,"m/d")&amp;"("&amp;CHOOSE(WEEKDAY($CC361),"日","月","火","水","木","金","土")&amp;")"&amp;" に切れる　もう1便を至急発注","入庫後も "&amp;TEXT($CC361,"m/d")&amp;"("&amp;CHOOSE(WEEKDAY($CC361),"日","月","火","水","木","金","土")&amp;")"&amp;" に切れる　"&amp;TEXT($CC361-N('設定'!$C$7),"m/d")&amp;"("&amp;CHOOSE(WEEKDAY($CC361-N('設定'!$C$7)),"日","月","火","水","木","金","土")&amp;")"&amp;" までに次を発注")))</f>
        <v/>
      </c>
      <c r="CP361">
        <f>IF($C361="","",IF('設定'!$C$6="","？ ①在庫を貼る に今日のCSVが貼られていない",IF($CS361=1,"－ 今日のCSVに無い（終売？）",IF($L361&lt;0,"● 在庫がマイナス　数えて「数えた在庫」に入れる",IF($L361=0,"● 在庫なし　至急発注",IF($M361="","？ 減り数が未設定（商品マスタ）",IF($B$3=0,"？ 動員が未入力（動員を入れる）",IF($CA361="","○ 14日以上もつ",IF($BZ361&lt;N('設定'!$C$7),"● "&amp;TEXT($CA361,"m/d")&amp;"("&amp;CHOOSE(WEEKDAY($CA361),"日","月","火","水","木","金","土")&amp;")"&amp;" に切れる　至急発注",IF($BZ361=N('設定'!$C$7),"● "&amp;TEXT($CA361,"m/d")&amp;"("&amp;CHOOSE(WEEKDAY($CA361),"日","月","火","水","木","金","土")&amp;")"&amp;" に切れる　今日発注","△ "&amp;TEXT($CA361,"m/d")&amp;"("&amp;CHOOSE(WEEKDAY($CA361),"日","月","火","水","木","金","土")&amp;")"&amp;" に切れる　"&amp;TEXT($CA361-N('設定'!$C$7),"m/d")&amp;"("&amp;CHOOSE(WEEKDAY($CA361-N('設定'!$C$7)),"日","月","火","水","木","金","土")&amp;")"&amp;" までに発注"))))))))))</f>
        <v/>
      </c>
      <c r="CQ361">
        <f>IF($C361="","",IF(AND($P361="",$Q361="",$S361="",$T361=""),"",IF(AND($P361="",$Q361=""),"⚠ 先に1便目（左の入庫日・入庫数）に入れてください",IF($CI361&lt;&gt;"",$CI361,IF($CJ361&lt;&gt;"",$CJ361,IF($M361="","？ 減り数が未設定（発注書には載ります）",IF($B$3=0,"？ 動員が未入力（発注書には載ります）",IF(AND($CA361&lt;&gt;"",$P361&gt;$CA361),IF($P361&gt;'設定'!$C$6+N('設定'!$C$7),"● "&amp;TEXT($P361,"m/d")&amp;"("&amp;CHOOSE(WEEKDAY($P361),"日","月","火","水","木","金","土")&amp;")"&amp;" の入庫では間に合わない（"&amp;TEXT($CA361,"m/d")&amp;"("&amp;CHOOSE(WEEKDAY($CA361),"日","月","火","水","木","金","土")&amp;")"&amp;" に切れる）　入庫日を早める","△ 欠品 "&amp;TEXT($CA361,"m/d")&amp;"("&amp;CHOOSE(WEEKDAY($CA361),"日","月","火","水","木","金","土")&amp;")"&amp;"〜"&amp;TEXT($P361-1,"m/d")&amp;"("&amp;CHOOSE(WEEKDAY($P361-1),"日","月","火","水","木","金","土")&amp;")"&amp;"　"&amp;$CO361),IF($CC361="","○ "&amp;TEXT($P361,"m/d")&amp;"("&amp;CHOOSE(WEEKDAY($P361),"日","月","火","水","木","金","土")&amp;")"&amp;" 入庫で 14日以上もつ",IF($CC361-N('設定'!$C$7)&lt;='設定'!$C$6,"● 入庫しても "&amp;TEXT($CC361,"m/d")&amp;"("&amp;CHOOSE(WEEKDAY($CC361),"日","月","火","水","木","金","土")&amp;")"&amp;" に切れる　もう1便を至急発注（2便目に入れる）","△ 入庫しても "&amp;TEXT($CC361,"m/d")&amp;"("&amp;CHOOSE(WEEKDAY($CC361),"日","月","火","水","木","金","土")&amp;")"&amp;" に切れる　"&amp;TEXT($CC361-N('設定'!$C$7),"m/d")&amp;"("&amp;CHOOSE(WEEKDAY($CC361-N('設定'!$C$7)),"日","月","火","水","木","金","土")&amp;")"&amp;" までに次を発注（2便目に入れる）"))))))))))</f>
        <v/>
      </c>
      <c r="CR361">
        <f>IF($C361="","",IF($G361&gt;1,"ｹｰｽ("&amp;$G361&amp;"入)","個"))</f>
        <v/>
      </c>
      <c r="CS361">
        <f>IF($C361="",0,IF(COUNTIFS('①在庫を貼る'!$V$6:$V$10005,'設定'!$C$4,'①在庫を貼る'!$W$6:$W$10005,$C361)=0,1,0))</f>
        <v/>
      </c>
      <c r="CT361">
        <f>IF(AND($CK361=1,OR('③発注書'!$C$4="すべて",'③発注書'!$C$4="",$F361='③発注書'!$C$4)),N($CT360)+1,N($CT360))</f>
        <v/>
      </c>
      <c r="CU361">
        <f>IF(AND($CL361=1,OR('③発注書'!$C$4="すべて",'③発注書'!$C$4="",$F361='③発注書'!$C$4)),N($CU360)+1,N($CU360))</f>
        <v/>
      </c>
      <c r="CV361">
        <f>IF($C361="",0,IF(COUNTIFS('①在庫を貼る'!$V$6:$V$10005,'設定'!$C$4,'①在庫を貼る'!$W$6:$W$10005,$C361)&gt;0,1,0))</f>
        <v/>
      </c>
      <c r="CW361">
        <f>IF($C361="",0,IF(COUNTIFS('月1回_1ヶ月前の在庫'!$V$6:$V$10005,'設定'!$C$4,'月1回_1ヶ月前の在庫'!$W$6:$W$10005,$C361)&gt;0,1,0))</f>
        <v/>
      </c>
      <c r="CX361">
        <f>IF($C361="",0,IF(COUNTIFS('月1回_2ヶ月前の在庫'!$V$6:$V$10005,'設定'!$C$4,'月1回_2ヶ月前の在庫'!$W$6:$W$10005,$C361)&gt;0,1,0))</f>
        <v/>
      </c>
      <c r="CY361">
        <f>IF(OR($C361="",'設定'!$C$12=""),"",IF('設定'!$C$13="",IF(AND($CV361=1,$CW361=0),"新商品（今月から）",IF(AND($CV361=0,$CW361=1),"終売（今月から）","")),IF(AND($CV361=1,$CW361=0,$CX361=0),"新商品（今月から）",IF(AND($CV361=1,$CW361=1,$CX361=0),"新商品（先月から）",IF(AND($CV361=0,$CW361=1,$CX361=1),"終売（今月から）",IF(AND($CV361=0,$CW361=0,$CX361=1),"終売（先月から）",IF(AND($CV361=1,$CW361=0,$CX361=1),"復活（先月は無し）","")))))))</f>
        <v/>
      </c>
    </row>
    <row r="362">
      <c r="B362">
        <f>IF(357&lt;='設定'!$C$11,357,"")</f>
        <v/>
      </c>
      <c r="C362">
        <f>IF($B362="","",IF($B362&lt;='設定'!$C$20,INDEX('商品マスタ'!$B$6:$B$1005,MATCH($B362,'商品マスタ'!$M$6:$M$1005,0)),IF($B362&lt;='設定'!$C$20+'設定'!$C$17,INDEX('①在庫を貼る'!$W$6:$W$10005,MATCH($B362-'設定'!$C$20,'①在庫を貼る'!$U$6:$U$10005,0)),IF($B362&lt;='設定'!$C$20+'設定'!$C$17+'設定'!$C$18,INDEX('月1回_1ヶ月前の在庫'!$W$6:$W$10005,MATCH($B362-'設定'!$C$20-'設定'!$C$17,'月1回_1ヶ月前の在庫'!$U$6:$U$10005,0)),INDEX('月1回_2ヶ月前の在庫'!$W$6:$W$10005,MATCH($B362-'設定'!$C$20-'設定'!$C$17-'設定'!$C$18,'月1回_2ヶ月前の在庫'!$U$6:$U$10005,0))))))</f>
        <v/>
      </c>
      <c r="D362">
        <f>IF($C362="","",IFERROR(IF(INDEX('商品マスタ'!$C$6:$C$1005,MATCH($C362,'商品マスタ'!$B$6:$B$1005,0))="",IFERROR(INDEX('①在庫を貼る'!$J$6:$J$10005,MATCH($C362,'①在庫を貼る'!$W$6:$W$10005,0)),IFERROR(INDEX('月1回_1ヶ月前の在庫'!$J$6:$J$10005,MATCH($C362,'月1回_1ヶ月前の在庫'!$W$6:$W$10005,0)),IFERROR(INDEX('月1回_2ヶ月前の在庫'!$J$6:$J$10005,MATCH($C362,'月1回_2ヶ月前の在庫'!$W$6:$W$10005,0)),""))),INDEX('商品マスタ'!$C$6:$C$1005,MATCH($C362,'商品マスタ'!$B$6:$B$1005,0))),IFERROR(INDEX('①在庫を貼る'!$J$6:$J$10005,MATCH($C362,'①在庫を貼る'!$W$6:$W$10005,0)),IFERROR(INDEX('月1回_1ヶ月前の在庫'!$J$6:$J$10005,MATCH($C362,'月1回_1ヶ月前の在庫'!$W$6:$W$10005,0)),IFERROR(INDEX('月1回_2ヶ月前の在庫'!$J$6:$J$10005,MATCH($C362,'月1回_2ヶ月前の在庫'!$W$6:$W$10005,0)),"")))))</f>
        <v/>
      </c>
      <c r="E362">
        <f>IF($C362="","",IFERROR(IF(INDEX('商品マスタ'!$D$6:$D$1005,MATCH($C362,'商品マスタ'!$B$6:$B$1005,0))="",IFERROR(INDEX('①在庫を貼る'!$H$6:$H$10005,MATCH($C362,'①在庫を貼る'!$W$6:$W$10005,0)),IFERROR(INDEX('月1回_1ヶ月前の在庫'!$H$6:$H$10005,MATCH($C362,'月1回_1ヶ月前の在庫'!$W$6:$W$10005,0)),IFERROR(INDEX('月1回_2ヶ月前の在庫'!$H$6:$H$10005,MATCH($C362,'月1回_2ヶ月前の在庫'!$W$6:$W$10005,0)),""))),INDEX('商品マスタ'!$D$6:$D$1005,MATCH($C362,'商品マスタ'!$B$6:$B$1005,0))),IFERROR(INDEX('①在庫を貼る'!$H$6:$H$10005,MATCH($C362,'①在庫を貼る'!$W$6:$W$10005,0)),IFERROR(INDEX('月1回_1ヶ月前の在庫'!$H$6:$H$10005,MATCH($C362,'月1回_1ヶ月前の在庫'!$W$6:$W$10005,0)),IFERROR(INDEX('月1回_2ヶ月前の在庫'!$H$6:$H$10005,MATCH($C362,'月1回_2ヶ月前の在庫'!$W$6:$W$10005,0)),"")))))</f>
        <v/>
      </c>
      <c r="F362">
        <f>IF($C362="","",IFERROR(IF(INDEX('商品マスタ'!$E$6:$E$1005,MATCH($C362,'商品マスタ'!$B$6:$B$1005,0))="",IFERROR(INDEX('①在庫を貼る'!$E$6:$E$10005,MATCH($C362,'①在庫を貼る'!$W$6:$W$10005,0)),IFERROR(INDEX('月1回_1ヶ月前の在庫'!$E$6:$E$10005,MATCH($C362,'月1回_1ヶ月前の在庫'!$W$6:$W$10005,0)),IFERROR(INDEX('月1回_2ヶ月前の在庫'!$E$6:$E$10005,MATCH($C362,'月1回_2ヶ月前の在庫'!$W$6:$W$10005,0)),""))),INDEX('商品マスタ'!$E$6:$E$1005,MATCH($C362,'商品マスタ'!$B$6:$B$1005,0))),IFERROR(INDEX('①在庫を貼る'!$E$6:$E$10005,MATCH($C362,'①在庫を貼る'!$W$6:$W$10005,0)),IFERROR(INDEX('月1回_1ヶ月前の在庫'!$E$6:$E$10005,MATCH($C362,'月1回_1ヶ月前の在庫'!$W$6:$W$10005,0)),IFERROR(INDEX('月1回_2ヶ月前の在庫'!$E$6:$E$10005,MATCH($C362,'月1回_2ヶ月前の在庫'!$W$6:$W$10005,0)),"")))))</f>
        <v/>
      </c>
      <c r="G362">
        <f>IF($C362="","",MAX(1,N(IFERROR(IF(INDEX('商品マスタ'!$F$6:$F$1005,MATCH($C362,'商品マスタ'!$B$6:$B$1005,0))="",IF(COUNTIFS('①在庫を貼る'!$V$6:$V$10005,'設定'!$C$4,'①在庫を貼る'!$W$6:$W$10005,$C362)&gt;0,SUMIFS('①在庫を貼る'!$K$6:$K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K$6:$K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K$6:$K$10005,'月1回_2ヶ月前の在庫'!$V$6:$V$10005,'設定'!$C$4,'月1回_2ヶ月前の在庫'!$W$6:$W$10005,$C362)/COUNTIFS('月1回_2ヶ月前の在庫'!$V$6:$V$10005,'設定'!$C$4,'月1回_2ヶ月前の在庫'!$W$6:$W$10005,$C362),0))),INDEX('商品マスタ'!$F$6:$F$1005,MATCH($C362,'商品マスタ'!$B$6:$B$1005,0))),IF(COUNTIFS('①在庫を貼る'!$V$6:$V$10005,'設定'!$C$4,'①在庫を貼る'!$W$6:$W$10005,$C362)&gt;0,SUMIFS('①在庫を貼る'!$K$6:$K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K$6:$K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K$6:$K$10005,'月1回_2ヶ月前の在庫'!$V$6:$V$10005,'設定'!$C$4,'月1回_2ヶ月前の在庫'!$W$6:$W$10005,$C362)/COUNTIFS('月1回_2ヶ月前の在庫'!$V$6:$V$10005,'設定'!$C$4,'月1回_2ヶ月前の在庫'!$W$6:$W$10005,$C362),0)))))))</f>
        <v/>
      </c>
      <c r="H362">
        <f>IF($C362="","",N(IFERROR(IF(INDEX('商品マスタ'!$G$6:$G$1005,MATCH($C362,'商品マスタ'!$B$6:$B$1005,0))="",IF(COUNTIFS('①在庫を貼る'!$V$6:$V$10005,'設定'!$C$4,'①在庫を貼る'!$W$6:$W$10005,$C362)&gt;0,SUMIFS('①在庫を貼る'!$Q$6:$Q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Q$6:$Q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Q$6:$Q$10005,'月1回_2ヶ月前の在庫'!$V$6:$V$10005,'設定'!$C$4,'月1回_2ヶ月前の在庫'!$W$6:$W$10005,$C362)/COUNTIFS('月1回_2ヶ月前の在庫'!$V$6:$V$10005,'設定'!$C$4,'月1回_2ヶ月前の在庫'!$W$6:$W$10005,$C362),0))),INDEX('商品マスタ'!$G$6:$G$1005,MATCH($C362,'商品マスタ'!$B$6:$B$1005,0))),IF(COUNTIFS('①在庫を貼る'!$V$6:$V$10005,'設定'!$C$4,'①在庫を貼る'!$W$6:$W$10005,$C362)&gt;0,SUMIFS('①在庫を貼る'!$Q$6:$Q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Q$6:$Q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Q$6:$Q$10005,'月1回_2ヶ月前の在庫'!$V$6:$V$10005,'設定'!$C$4,'月1回_2ヶ月前の在庫'!$W$6:$W$10005,$C362)/COUNTIFS('月1回_2ヶ月前の在庫'!$V$6:$V$10005,'設定'!$C$4,'月1回_2ヶ月前の在庫'!$W$6:$W$10005,$C362),0))))))</f>
        <v/>
      </c>
      <c r="I362">
        <f>IF($C362="","",IF(COUNTIFS('①在庫を貼る'!$V$6:$V$10005,'設定'!$C$4,'①在庫を貼る'!$W$6:$W$10005,$C362)=0,"",SUMIFS('①在庫を貼る'!$N$6:$N$10005,'①在庫を貼る'!$V$6:$V$10005,'設定'!$C$4,'①在庫を貼る'!$W$6:$W$10005,$C362)))</f>
        <v/>
      </c>
      <c r="J362">
        <f>IF($C362="","",IF('②発注する'!$AD366="","",'②発注する'!$AD366))</f>
        <v/>
      </c>
      <c r="K362" s="90">
        <f>IF($C362="","",IF('②発注する'!$AE366="","",'②発注する'!$AE366))</f>
        <v/>
      </c>
      <c r="L362">
        <f>IF($C362="","",IF(AND(ISNUMBER($J362),ISNUMBER($K362),$K362&gt;='設定'!$C$6),$J362,N($I362)))</f>
        <v/>
      </c>
      <c r="M362">
        <f>IF($C362="","",IFERROR(IF(N(INDEX('商品マスタ'!$J$6:$J$1005,MATCH($C362,'商品マスタ'!$B$6:$B$1005,0)))&gt;0,INDEX('商品マスタ'!$J$6:$J$1005,MATCH($C362,'商品マスタ'!$B$6:$B$1005,0)),""),""))</f>
        <v/>
      </c>
      <c r="N362">
        <f>IF($C362="","",IFERROR(IF(N(INDEX('商品マスタ'!$H$6:$H$1005,MATCH($C362,'商品マスタ'!$B$6:$B$1005,0)))&gt;0,INDEX('商品マスタ'!$H$6:$H$1005,MATCH($C362,'商品マスタ'!$B$6:$B$1005,0)),""),""))</f>
        <v/>
      </c>
      <c r="O362">
        <f>IF($C362="","",IF($N362&lt;&gt;"",$N362*$G362,IF(N(IF(COUNTIFS('①在庫を貼る'!$V$6:$V$10005,'設定'!$C$4,'①在庫を貼る'!$W$6:$W$10005,$C362)&gt;0,SUMIFS('①在庫を貼る'!$O$6:$O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O$6:$O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O$6:$O$10005,'月1回_2ヶ月前の在庫'!$V$6:$V$10005,'設定'!$C$4,'月1回_2ヶ月前の在庫'!$W$6:$W$10005,$C362)/COUNTIFS('月1回_2ヶ月前の在庫'!$V$6:$V$10005,'設定'!$C$4,'月1回_2ヶ月前の在庫'!$W$6:$W$10005,$C362),0))))&gt;0,N(IF(COUNTIFS('①在庫を貼る'!$V$6:$V$10005,'設定'!$C$4,'①在庫を貼る'!$W$6:$W$10005,$C362)&gt;0,SUMIFS('①在庫を貼る'!$O$6:$O$10005,'①在庫を貼る'!$V$6:$V$10005,'設定'!$C$4,'①在庫を貼る'!$W$6:$W$10005,$C362)/COUNTIFS('①在庫を貼る'!$V$6:$V$10005,'設定'!$C$4,'①在庫を貼る'!$W$6:$W$10005,$C362),IF(COUNTIFS('月1回_1ヶ月前の在庫'!$V$6:$V$10005,'設定'!$C$4,'月1回_1ヶ月前の在庫'!$W$6:$W$10005,$C362)&gt;0,SUMIFS('月1回_1ヶ月前の在庫'!$O$6:$O$10005,'月1回_1ヶ月前の在庫'!$V$6:$V$10005,'設定'!$C$4,'月1回_1ヶ月前の在庫'!$W$6:$W$10005,$C362)/COUNTIFS('月1回_1ヶ月前の在庫'!$V$6:$V$10005,'設定'!$C$4,'月1回_1ヶ月前の在庫'!$W$6:$W$10005,$C362),IF(COUNTIFS('月1回_2ヶ月前の在庫'!$V$6:$V$10005,'設定'!$C$4,'月1回_2ヶ月前の在庫'!$W$6:$W$10005,$C362)&gt;0,SUMIFS('月1回_2ヶ月前の在庫'!$O$6:$O$10005,'月1回_2ヶ月前の在庫'!$V$6:$V$10005,'設定'!$C$4,'月1回_2ヶ月前の在庫'!$W$6:$W$10005,$C362)/COUNTIFS('月1回_2ヶ月前の在庫'!$V$6:$V$10005,'設定'!$C$4,'月1回_2ヶ月前の在庫'!$W$6:$W$10005,$C362),0)))),"")))</f>
        <v/>
      </c>
      <c r="P362" s="90">
        <f>IF($C362="","",IF('②発注する'!$I366="","",'②発注する'!$I366))</f>
        <v/>
      </c>
      <c r="Q362">
        <f>IF($C362="","",IF('②発注する'!$J366="","",'②発注する'!$J366))</f>
        <v/>
      </c>
      <c r="R362">
        <f>IF($C362="",0,IF(AND(ISNUMBER($P362),ISNUMBER($Q362)),MAX(0,$Q362)*$G362,0))</f>
        <v/>
      </c>
      <c r="S362" s="90">
        <f>IF($C362="","",IF('②発注する'!$M366="","",'②発注する'!$M366))</f>
        <v/>
      </c>
      <c r="T362">
        <f>IF($C362="","",IF('②発注する'!$N366="","",'②発注する'!$N366))</f>
        <v/>
      </c>
      <c r="U362">
        <f>IF($C362="",0,IF(AND(ISNUMBER($S362),ISNUMBER($T362)),MAX(0,$T362)*$G362,0))</f>
        <v/>
      </c>
      <c r="V362">
        <f>IF($C362="",0,IF($M362="",0,MAX(0,$M362)*MAX(0,V$4)/100))</f>
        <v/>
      </c>
      <c r="W362">
        <f>IF($C362="",0,IF($M362="",0,MAX(0,$M362)*MAX(0,W$4)/100))</f>
        <v/>
      </c>
      <c r="X362">
        <f>IF($C362="",0,IF($M362="",0,MAX(0,$M362)*MAX(0,X$4)/100))</f>
        <v/>
      </c>
      <c r="Y362">
        <f>IF($C362="",0,IF($M362="",0,MAX(0,$M362)*MAX(0,Y$4)/100))</f>
        <v/>
      </c>
      <c r="Z362">
        <f>IF($C362="",0,IF($M362="",0,MAX(0,$M362)*MAX(0,Z$4)/100))</f>
        <v/>
      </c>
      <c r="AA362">
        <f>IF($C362="",0,IF($M362="",0,MAX(0,$M362)*MAX(0,AA$4)/100))</f>
        <v/>
      </c>
      <c r="AB362">
        <f>IF($C362="",0,IF($M362="",0,MAX(0,$M362)*MAX(0,AB$4)/100))</f>
        <v/>
      </c>
      <c r="AC362">
        <f>IF($C362="",0,IF($M362="",0,MAX(0,$M362)*MAX(0,AC$4)/100))</f>
        <v/>
      </c>
      <c r="AD362">
        <f>IF($C362="",0,IF($M362="",0,MAX(0,$M362)*MAX(0,AD$4)/100))</f>
        <v/>
      </c>
      <c r="AE362">
        <f>IF($C362="",0,IF($M362="",0,MAX(0,$M362)*MAX(0,AE$4)/100))</f>
        <v/>
      </c>
      <c r="AF362">
        <f>IF($C362="",0,IF($M362="",0,MAX(0,$M362)*MAX(0,AF$4)/100))</f>
        <v/>
      </c>
      <c r="AG362">
        <f>IF($C362="",0,IF($M362="",0,MAX(0,$M362)*MAX(0,AG$4)/100))</f>
        <v/>
      </c>
      <c r="AH362">
        <f>IF($C362="",0,IF($M362="",0,MAX(0,$M362)*MAX(0,AH$4)/100))</f>
        <v/>
      </c>
      <c r="AI362">
        <f>IF($C362="",0,IF($M362="",0,MAX(0,$M362)*MAX(0,AI$4)/100))</f>
        <v/>
      </c>
      <c r="AJ362">
        <f>IF($C362="",0,MAX(0,MAX(0,N($L362))-$V362))</f>
        <v/>
      </c>
      <c r="AK362">
        <f>IF($C362="",0,MAX(0,$AJ362-$W362))</f>
        <v/>
      </c>
      <c r="AL362">
        <f>IF($C362="",0,MAX(0,$AK362-$X362))</f>
        <v/>
      </c>
      <c r="AM362">
        <f>IF($C362="",0,MAX(0,$AL362-$Y362))</f>
        <v/>
      </c>
      <c r="AN362">
        <f>IF($C362="",0,MAX(0,$AM362-$Z362))</f>
        <v/>
      </c>
      <c r="AO362">
        <f>IF($C362="",0,MAX(0,$AN362-$AA362))</f>
        <v/>
      </c>
      <c r="AP362">
        <f>IF($C362="",0,MAX(0,$AO362-$AB362))</f>
        <v/>
      </c>
      <c r="AQ362">
        <f>IF($C362="",0,MAX(0,$AP362-$AC362))</f>
        <v/>
      </c>
      <c r="AR362">
        <f>IF($C362="",0,MAX(0,$AQ362-$AD362))</f>
        <v/>
      </c>
      <c r="AS362">
        <f>IF($C362="",0,MAX(0,$AR362-$AE362))</f>
        <v/>
      </c>
      <c r="AT362">
        <f>IF($C362="",0,MAX(0,$AS362-$AF362))</f>
        <v/>
      </c>
      <c r="AU362">
        <f>IF($C362="",0,MAX(0,$AT362-$AG362))</f>
        <v/>
      </c>
      <c r="AV362">
        <f>IF($C362="",0,MAX(0,$AU362-$AH362))</f>
        <v/>
      </c>
      <c r="AW362">
        <f>IF($C362="",0,MAX(0,$AV362-$AI362))</f>
        <v/>
      </c>
      <c r="AX362">
        <f>IF($C362="",0,MAX(0,MAX(0,N($L362))+IF($P362=V$3,$R362,0)+IF($S362=V$3,$U362,0)-$V362))</f>
        <v/>
      </c>
      <c r="AY362">
        <f>IF($C362="",0,MAX(0,$AX362+IF($P362=W$3,$R362,0)+IF($S362=W$3,$U362,0)-$W362))</f>
        <v/>
      </c>
      <c r="AZ362">
        <f>IF($C362="",0,MAX(0,$AY362+IF($P362=X$3,$R362,0)+IF($S362=X$3,$U362,0)-$X362))</f>
        <v/>
      </c>
      <c r="BA362">
        <f>IF($C362="",0,MAX(0,$AZ362+IF($P362=Y$3,$R362,0)+IF($S362=Y$3,$U362,0)-$Y362))</f>
        <v/>
      </c>
      <c r="BB362">
        <f>IF($C362="",0,MAX(0,$BA362+IF($P362=Z$3,$R362,0)+IF($S362=Z$3,$U362,0)-$Z362))</f>
        <v/>
      </c>
      <c r="BC362">
        <f>IF($C362="",0,MAX(0,$BB362+IF($P362=AA$3,$R362,0)+IF($S362=AA$3,$U362,0)-$AA362))</f>
        <v/>
      </c>
      <c r="BD362">
        <f>IF($C362="",0,MAX(0,$BC362+IF($P362=AB$3,$R362,0)+IF($S362=AB$3,$U362,0)-$AB362))</f>
        <v/>
      </c>
      <c r="BE362">
        <f>IF($C362="",0,MAX(0,$BD362+IF($P362=AC$3,$R362,0)+IF($S362=AC$3,$U362,0)-$AC362))</f>
        <v/>
      </c>
      <c r="BF362">
        <f>IF($C362="",0,MAX(0,$BE362+IF($P362=AD$3,$R362,0)+IF($S362=AD$3,$U362,0)-$AD362))</f>
        <v/>
      </c>
      <c r="BG362">
        <f>IF($C362="",0,MAX(0,$BF362+IF($P362=AE$3,$R362,0)+IF($S362=AE$3,$U362,0)-$AE362))</f>
        <v/>
      </c>
      <c r="BH362">
        <f>IF($C362="",0,MAX(0,$BG362+IF($P362=AF$3,$R362,0)+IF($S362=AF$3,$U362,0)-$AF362))</f>
        <v/>
      </c>
      <c r="BI362">
        <f>IF($C362="",0,MAX(0,$BH362+IF($P362=AG$3,$R362,0)+IF($S362=AG$3,$U362,0)-$AG362))</f>
        <v/>
      </c>
      <c r="BJ362">
        <f>IF($C362="",0,MAX(0,$BI362+IF($P362=AH$3,$R362,0)+IF($S362=AH$3,$U362,0)-$AH362))</f>
        <v/>
      </c>
      <c r="BK362">
        <f>IF($C362="",0,MAX(0,$BJ362+IF($P362=AI$3,$R362,0)+IF($S362=AI$3,$U362,0)-$AI362))</f>
        <v/>
      </c>
      <c r="BL362">
        <f>IF($C362="",99,IF(AND($AX362&lt;1,V$3&gt;=MAX(N($P362),N($S362))),0,99))</f>
        <v/>
      </c>
      <c r="BM362">
        <f>IF($C362="",99,IF(AND($AY362&lt;1,W$3&gt;=MAX(N($P362),N($S362))),1,99))</f>
        <v/>
      </c>
      <c r="BN362">
        <f>IF($C362="",99,IF(AND($AZ362&lt;1,X$3&gt;=MAX(N($P362),N($S362))),2,99))</f>
        <v/>
      </c>
      <c r="BO362">
        <f>IF($C362="",99,IF(AND($BA362&lt;1,Y$3&gt;=MAX(N($P362),N($S362))),3,99))</f>
        <v/>
      </c>
      <c r="BP362">
        <f>IF($C362="",99,IF(AND($BB362&lt;1,Z$3&gt;=MAX(N($P362),N($S362))),4,99))</f>
        <v/>
      </c>
      <c r="BQ362">
        <f>IF($C362="",99,IF(AND($BC362&lt;1,AA$3&gt;=MAX(N($P362),N($S362))),5,99))</f>
        <v/>
      </c>
      <c r="BR362">
        <f>IF($C362="",99,IF(AND($BD362&lt;1,AB$3&gt;=MAX(N($P362),N($S362))),6,99))</f>
        <v/>
      </c>
      <c r="BS362">
        <f>IF($C362="",99,IF(AND($BE362&lt;1,AC$3&gt;=MAX(N($P362),N($S362))),7,99))</f>
        <v/>
      </c>
      <c r="BT362">
        <f>IF($C362="",99,IF(AND($BF362&lt;1,AD$3&gt;=MAX(N($P362),N($S362))),8,99))</f>
        <v/>
      </c>
      <c r="BU362">
        <f>IF($C362="",99,IF(AND($BG362&lt;1,AE$3&gt;=MAX(N($P362),N($S362))),9,99))</f>
        <v/>
      </c>
      <c r="BV362">
        <f>IF($C362="",99,IF(AND($BH362&lt;1,AF$3&gt;=MAX(N($P362),N($S362))),10,99))</f>
        <v/>
      </c>
      <c r="BW362">
        <f>IF($C362="",99,IF(AND($BI362&lt;1,AG$3&gt;=MAX(N($P362),N($S362))),11,99))</f>
        <v/>
      </c>
      <c r="BX362">
        <f>IF($C362="",99,IF(AND($BJ362&lt;1,AH$3&gt;=MAX(N($P362),N($S362))),12,99))</f>
        <v/>
      </c>
      <c r="BY362">
        <f>IF($C362="",99,IF(AND($BK362&lt;1,AI$3&gt;=MAX(N($P362),N($S362))),13,99))</f>
        <v/>
      </c>
      <c r="BZ362">
        <f>IF(OR($C362="",$M362=""),"",COUNTIF($AJ362:$AW362,"&gt;=1"))</f>
        <v/>
      </c>
      <c r="CA362" s="90">
        <f>IF($BZ362="","",IF($BZ362&gt;=14,"",'設定'!$C$6+$BZ362))</f>
        <v/>
      </c>
      <c r="CB362">
        <f>IF(OR($C362="",$M362=""),"",MIN($BL362:$BY362))</f>
        <v/>
      </c>
      <c r="CC362" s="90">
        <f>IF($CB362="","",IF($CB362&gt;=99,"",'設定'!$C$6+$CB362))</f>
        <v/>
      </c>
      <c r="CD362">
        <f>IF(OR($C362="",$M362=""),"",AVERAGE($V362:$AI362))</f>
        <v/>
      </c>
      <c r="CE362">
        <f>IF($C362="","",IFERROR(IF(MATCH(IF(ISNUMBER($P362),$P362,'設定'!$C$6+N('設定'!$C$7)),$V$3:$AI$3,0)=1,MAX(0,N($L362)),INDEX($AJ362:$AW362,MATCH(IF(ISNUMBER($P362),$P362,'設定'!$C$6+N('設定'!$C$7)),$V$3:$AI$3,0)-1)),""))</f>
        <v/>
      </c>
      <c r="CF362">
        <f>IF(OR($C362="",$O362="",$CE362=""),"",IF($O362-$CE362&lt;=0,0,ROUNDUP(($O362-$CE362)/$G362,0)))</f>
        <v/>
      </c>
      <c r="CG362">
        <f>IF(OR($C362="",$CF362="",NOT(ISNUMBER($Q362))),0,MAX(0,$Q362-$CF362))</f>
        <v/>
      </c>
      <c r="CH362">
        <f>IF(OR($C362="",$O362="",$U362=0),0,IFERROR(ROUNDUP(MAX(0,IF(MATCH($S362,$V$3:$AI$3,0)=1,MAX(0,N($L362)),INDEX($AX362:$BK362,MATCH($S362,$V$3:$AI$3,0)-1))+$U362-$O362)/$G362,0),0))</f>
        <v/>
      </c>
      <c r="CI362">
        <f>IF($C362="","",IF(AND($P362="",$Q362=""),"",IF($P362="","⚠ 入庫日を ▼ から選んでください",IF(NOT(ISNUMBER($P362)),"⚠ 入庫日は ▼ から選んでください",IF($P362&lt;N('設定'!$C$6),"⚠ 入庫日が過去です（もう在庫に入っています）→ 消してください",IF($P362&gt;N('設定'!$C$6)+13,"⚠ 入庫日が14日より先です",IF(N($Q362)&lt;=0,"⚠ 入庫数を入れてください",IF($CG362&gt;0,"⚠ 目安より "&amp;$CG362&amp;" 多い（定数を超える）→ 減らす",""))))))))</f>
        <v/>
      </c>
      <c r="CJ362">
        <f>IF($C362="","",IF(AND($S362="",$T362=""),"",IF($S362="","⚠ 2便目：入庫日を ▼ から選んでください",IF(NOT(ISNUMBER($S362)),"⚠ 2便目：入庫日は ▼ から選んでください",IF($S362&lt;N('設定'!$C$6),"⚠ 2便目：入庫日が過去です（もう在庫に入っています）→ 消してください",IF($S362&gt;N('設定'!$C$6)+13,"⚠ 2便目：入庫日が14日より先です",IF(N($T362)&lt;=0,"⚠ 2便目：入庫数を入れてください",IF($CH362&gt;0,"⚠ 2便目：定数を "&amp;$CH362&amp;" ケース超える → 減らす",""))))))))</f>
        <v/>
      </c>
      <c r="CK362">
        <f>IF(AND($CI362="",N($Q362)&gt;0,ISNUMBER($P362)),1,0)</f>
        <v/>
      </c>
      <c r="CL362">
        <f>IF(AND($CJ362="",N($T362)&gt;0,ISNUMBER($S362)),1,0)</f>
        <v/>
      </c>
      <c r="CM362">
        <f>IF(OR($CK362=1,$CL362=1),1,0)</f>
        <v/>
      </c>
      <c r="CN362">
        <f>IF($C362="",0,($CK362*$R362+$CL362*$U362)*N($H362))</f>
        <v/>
      </c>
      <c r="CO362">
        <f>IF($C362="","",IF($CC362="","入庫後は 14日以上もつ",IF($CC362-N('設定'!$C$7)&lt;='設定'!$C$6,"入庫後も "&amp;TEXT($CC362,"m/d")&amp;"("&amp;CHOOSE(WEEKDAY($CC362),"日","月","火","水","木","金","土")&amp;")"&amp;" に切れる　もう1便を至急発注","入庫後も "&amp;TEXT($CC362,"m/d")&amp;"("&amp;CHOOSE(WEEKDAY($CC362),"日","月","火","水","木","金","土")&amp;")"&amp;" に切れる　"&amp;TEXT($CC362-N('設定'!$C$7),"m/d")&amp;"("&amp;CHOOSE(WEEKDAY($CC362-N('設定'!$C$7)),"日","月","火","水","木","金","土")&amp;")"&amp;" までに次を発注")))</f>
        <v/>
      </c>
      <c r="CP362">
        <f>IF($C362="","",IF('設定'!$C$6="","？ ①在庫を貼る に今日のCSVが貼られていない",IF($CS362=1,"－ 今日のCSVに無い（終売？）",IF($L362&lt;0,"● 在庫がマイナス　数えて「数えた在庫」に入れる",IF($L362=0,"● 在庫なし　至急発注",IF($M362="","？ 減り数が未設定（商品マスタ）",IF($B$3=0,"？ 動員が未入力（動員を入れる）",IF($CA362="","○ 14日以上もつ",IF($BZ362&lt;N('設定'!$C$7),"● "&amp;TEXT($CA362,"m/d")&amp;"("&amp;CHOOSE(WEEKDAY($CA362),"日","月","火","水","木","金","土")&amp;")"&amp;" に切れる　至急発注",IF($BZ362=N('設定'!$C$7),"● "&amp;TEXT($CA362,"m/d")&amp;"("&amp;CHOOSE(WEEKDAY($CA362),"日","月","火","水","木","金","土")&amp;")"&amp;" に切れる　今日発注","△ "&amp;TEXT($CA362,"m/d")&amp;"("&amp;CHOOSE(WEEKDAY($CA362),"日","月","火","水","木","金","土")&amp;")"&amp;" に切れる　"&amp;TEXT($CA362-N('設定'!$C$7),"m/d")&amp;"("&amp;CHOOSE(WEEKDAY($CA362-N('設定'!$C$7)),"日","月","火","水","木","金","土")&amp;")"&amp;" までに発注"))))))))))</f>
        <v/>
      </c>
      <c r="CQ362">
        <f>IF($C362="","",IF(AND($P362="",$Q362="",$S362="",$T362=""),"",IF(AND($P362="",$Q362=""),"⚠ 先に1便目（左の入庫日・入庫数）に入れてください",IF($CI362&lt;&gt;"",$CI362,IF($CJ362&lt;&gt;"",$CJ362,IF($M362="","？ 減り数が未設定（発注書には載ります）",IF($B$3=0,"？ 動員が未入力（発注書には載ります）",IF(AND($CA362&lt;&gt;"",$P362&gt;$CA362),IF($P362&gt;'設定'!$C$6+N('設定'!$C$7),"● "&amp;TEXT($P362,"m/d")&amp;"("&amp;CHOOSE(WEEKDAY($P362),"日","月","火","水","木","金","土")&amp;")"&amp;" の入庫では間に合わない（"&amp;TEXT($CA362,"m/d")&amp;"("&amp;CHOOSE(WEEKDAY($CA362),"日","月","火","水","木","金","土")&amp;")"&amp;" に切れる）　入庫日を早める","△ 欠品 "&amp;TEXT($CA362,"m/d")&amp;"("&amp;CHOOSE(WEEKDAY($CA362),"日","月","火","水","木","金","土")&amp;")"&amp;"〜"&amp;TEXT($P362-1,"m/d")&amp;"("&amp;CHOOSE(WEEKDAY($P362-1),"日","月","火","水","木","金","土")&amp;")"&amp;"　"&amp;$CO362),IF($CC362="","○ "&amp;TEXT($P362,"m/d")&amp;"("&amp;CHOOSE(WEEKDAY($P362),"日","月","火","水","木","金","土")&amp;")"&amp;" 入庫で 14日以上もつ",IF($CC362-N('設定'!$C$7)&lt;='設定'!$C$6,"● 入庫しても "&amp;TEXT($CC362,"m/d")&amp;"("&amp;CHOOSE(WEEKDAY($CC362),"日","月","火","水","木","金","土")&amp;")"&amp;" に切れる　もう1便を至急発注（2便目に入れる）","△ 入庫しても "&amp;TEXT($CC362,"m/d")&amp;"("&amp;CHOOSE(WEEKDAY($CC362),"日","月","火","水","木","金","土")&amp;")"&amp;" に切れる　"&amp;TEXT($CC362-N('設定'!$C$7),"m/d")&amp;"("&amp;CHOOSE(WEEKDAY($CC362-N('設定'!$C$7)),"日","月","火","水","木","金","土")&amp;")"&amp;" までに次を発注（2便目に入れる）"))))))))))</f>
        <v/>
      </c>
      <c r="CR362">
        <f>IF($C362="","",IF($G362&gt;1,"ｹｰｽ("&amp;$G362&amp;"入)","個"))</f>
        <v/>
      </c>
      <c r="CS362">
        <f>IF($C362="",0,IF(COUNTIFS('①在庫を貼る'!$V$6:$V$10005,'設定'!$C$4,'①在庫を貼る'!$W$6:$W$10005,$C362)=0,1,0))</f>
        <v/>
      </c>
      <c r="CT362">
        <f>IF(AND($CK362=1,OR('③発注書'!$C$4="すべて",'③発注書'!$C$4="",$F362='③発注書'!$C$4)),N($CT361)+1,N($CT361))</f>
        <v/>
      </c>
      <c r="CU362">
        <f>IF(AND($CL362=1,OR('③発注書'!$C$4="すべて",'③発注書'!$C$4="",$F362='③発注書'!$C$4)),N($CU361)+1,N($CU361))</f>
        <v/>
      </c>
      <c r="CV362">
        <f>IF($C362="",0,IF(COUNTIFS('①在庫を貼る'!$V$6:$V$10005,'設定'!$C$4,'①在庫を貼る'!$W$6:$W$10005,$C362)&gt;0,1,0))</f>
        <v/>
      </c>
      <c r="CW362">
        <f>IF($C362="",0,IF(COUNTIFS('月1回_1ヶ月前の在庫'!$V$6:$V$10005,'設定'!$C$4,'月1回_1ヶ月前の在庫'!$W$6:$W$10005,$C362)&gt;0,1,0))</f>
        <v/>
      </c>
      <c r="CX362">
        <f>IF($C362="",0,IF(COUNTIFS('月1回_2ヶ月前の在庫'!$V$6:$V$10005,'設定'!$C$4,'月1回_2ヶ月前の在庫'!$W$6:$W$10005,$C362)&gt;0,1,0))</f>
        <v/>
      </c>
      <c r="CY362">
        <f>IF(OR($C362="",'設定'!$C$12=""),"",IF('設定'!$C$13="",IF(AND($CV362=1,$CW362=0),"新商品（今月から）",IF(AND($CV362=0,$CW362=1),"終売（今月から）","")),IF(AND($CV362=1,$CW362=0,$CX362=0),"新商品（今月から）",IF(AND($CV362=1,$CW362=1,$CX362=0),"新商品（先月から）",IF(AND($CV362=0,$CW362=1,$CX362=1),"終売（今月から）",IF(AND($CV362=0,$CW362=0,$CX362=1),"終売（先月から）",IF(AND($CV362=1,$CW362=0,$CX362=1),"復活（先月は無し）","")))))))</f>
        <v/>
      </c>
    </row>
    <row r="363">
      <c r="B363">
        <f>IF(358&lt;='設定'!$C$11,358,"")</f>
        <v/>
      </c>
      <c r="C363">
        <f>IF($B363="","",IF($B363&lt;='設定'!$C$20,INDEX('商品マスタ'!$B$6:$B$1005,MATCH($B363,'商品マスタ'!$M$6:$M$1005,0)),IF($B363&lt;='設定'!$C$20+'設定'!$C$17,INDEX('①在庫を貼る'!$W$6:$W$10005,MATCH($B363-'設定'!$C$20,'①在庫を貼る'!$U$6:$U$10005,0)),IF($B363&lt;='設定'!$C$20+'設定'!$C$17+'設定'!$C$18,INDEX('月1回_1ヶ月前の在庫'!$W$6:$W$10005,MATCH($B363-'設定'!$C$20-'設定'!$C$17,'月1回_1ヶ月前の在庫'!$U$6:$U$10005,0)),INDEX('月1回_2ヶ月前の在庫'!$W$6:$W$10005,MATCH($B363-'設定'!$C$20-'設定'!$C$17-'設定'!$C$18,'月1回_2ヶ月前の在庫'!$U$6:$U$10005,0))))))</f>
        <v/>
      </c>
      <c r="D363">
        <f>IF($C363="","",IFERROR(IF(INDEX('商品マスタ'!$C$6:$C$1005,MATCH($C363,'商品マスタ'!$B$6:$B$1005,0))="",IFERROR(INDEX('①在庫を貼る'!$J$6:$J$10005,MATCH($C363,'①在庫を貼る'!$W$6:$W$10005,0)),IFERROR(INDEX('月1回_1ヶ月前の在庫'!$J$6:$J$10005,MATCH($C363,'月1回_1ヶ月前の在庫'!$W$6:$W$10005,0)),IFERROR(INDEX('月1回_2ヶ月前の在庫'!$J$6:$J$10005,MATCH($C363,'月1回_2ヶ月前の在庫'!$W$6:$W$10005,0)),""))),INDEX('商品マスタ'!$C$6:$C$1005,MATCH($C363,'商品マスタ'!$B$6:$B$1005,0))),IFERROR(INDEX('①在庫を貼る'!$J$6:$J$10005,MATCH($C363,'①在庫を貼る'!$W$6:$W$10005,0)),IFERROR(INDEX('月1回_1ヶ月前の在庫'!$J$6:$J$10005,MATCH($C363,'月1回_1ヶ月前の在庫'!$W$6:$W$10005,0)),IFERROR(INDEX('月1回_2ヶ月前の在庫'!$J$6:$J$10005,MATCH($C363,'月1回_2ヶ月前の在庫'!$W$6:$W$10005,0)),"")))))</f>
        <v/>
      </c>
      <c r="E363">
        <f>IF($C363="","",IFERROR(IF(INDEX('商品マスタ'!$D$6:$D$1005,MATCH($C363,'商品マスタ'!$B$6:$B$1005,0))="",IFERROR(INDEX('①在庫を貼る'!$H$6:$H$10005,MATCH($C363,'①在庫を貼る'!$W$6:$W$10005,0)),IFERROR(INDEX('月1回_1ヶ月前の在庫'!$H$6:$H$10005,MATCH($C363,'月1回_1ヶ月前の在庫'!$W$6:$W$10005,0)),IFERROR(INDEX('月1回_2ヶ月前の在庫'!$H$6:$H$10005,MATCH($C363,'月1回_2ヶ月前の在庫'!$W$6:$W$10005,0)),""))),INDEX('商品マスタ'!$D$6:$D$1005,MATCH($C363,'商品マスタ'!$B$6:$B$1005,0))),IFERROR(INDEX('①在庫を貼る'!$H$6:$H$10005,MATCH($C363,'①在庫を貼る'!$W$6:$W$10005,0)),IFERROR(INDEX('月1回_1ヶ月前の在庫'!$H$6:$H$10005,MATCH($C363,'月1回_1ヶ月前の在庫'!$W$6:$W$10005,0)),IFERROR(INDEX('月1回_2ヶ月前の在庫'!$H$6:$H$10005,MATCH($C363,'月1回_2ヶ月前の在庫'!$W$6:$W$10005,0)),"")))))</f>
        <v/>
      </c>
      <c r="F363">
        <f>IF($C363="","",IFERROR(IF(INDEX('商品マスタ'!$E$6:$E$1005,MATCH($C363,'商品マスタ'!$B$6:$B$1005,0))="",IFERROR(INDEX('①在庫を貼る'!$E$6:$E$10005,MATCH($C363,'①在庫を貼る'!$W$6:$W$10005,0)),IFERROR(INDEX('月1回_1ヶ月前の在庫'!$E$6:$E$10005,MATCH($C363,'月1回_1ヶ月前の在庫'!$W$6:$W$10005,0)),IFERROR(INDEX('月1回_2ヶ月前の在庫'!$E$6:$E$10005,MATCH($C363,'月1回_2ヶ月前の在庫'!$W$6:$W$10005,0)),""))),INDEX('商品マスタ'!$E$6:$E$1005,MATCH($C363,'商品マスタ'!$B$6:$B$1005,0))),IFERROR(INDEX('①在庫を貼る'!$E$6:$E$10005,MATCH($C363,'①在庫を貼る'!$W$6:$W$10005,0)),IFERROR(INDEX('月1回_1ヶ月前の在庫'!$E$6:$E$10005,MATCH($C363,'月1回_1ヶ月前の在庫'!$W$6:$W$10005,0)),IFERROR(INDEX('月1回_2ヶ月前の在庫'!$E$6:$E$10005,MATCH($C363,'月1回_2ヶ月前の在庫'!$W$6:$W$10005,0)),"")))))</f>
        <v/>
      </c>
      <c r="G363">
        <f>IF($C363="","",MAX(1,N(IFERROR(IF(INDEX('商品マスタ'!$F$6:$F$1005,MATCH($C363,'商品マスタ'!$B$6:$B$1005,0))="",IF(COUNTIFS('①在庫を貼る'!$V$6:$V$10005,'設定'!$C$4,'①在庫を貼る'!$W$6:$W$10005,$C363)&gt;0,SUMIFS('①在庫を貼る'!$K$6:$K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K$6:$K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K$6:$K$10005,'月1回_2ヶ月前の在庫'!$V$6:$V$10005,'設定'!$C$4,'月1回_2ヶ月前の在庫'!$W$6:$W$10005,$C363)/COUNTIFS('月1回_2ヶ月前の在庫'!$V$6:$V$10005,'設定'!$C$4,'月1回_2ヶ月前の在庫'!$W$6:$W$10005,$C363),0))),INDEX('商品マスタ'!$F$6:$F$1005,MATCH($C363,'商品マスタ'!$B$6:$B$1005,0))),IF(COUNTIFS('①在庫を貼る'!$V$6:$V$10005,'設定'!$C$4,'①在庫を貼る'!$W$6:$W$10005,$C363)&gt;0,SUMIFS('①在庫を貼る'!$K$6:$K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K$6:$K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K$6:$K$10005,'月1回_2ヶ月前の在庫'!$V$6:$V$10005,'設定'!$C$4,'月1回_2ヶ月前の在庫'!$W$6:$W$10005,$C363)/COUNTIFS('月1回_2ヶ月前の在庫'!$V$6:$V$10005,'設定'!$C$4,'月1回_2ヶ月前の在庫'!$W$6:$W$10005,$C363),0)))))))</f>
        <v/>
      </c>
      <c r="H363">
        <f>IF($C363="","",N(IFERROR(IF(INDEX('商品マスタ'!$G$6:$G$1005,MATCH($C363,'商品マスタ'!$B$6:$B$1005,0))="",IF(COUNTIFS('①在庫を貼る'!$V$6:$V$10005,'設定'!$C$4,'①在庫を貼る'!$W$6:$W$10005,$C363)&gt;0,SUMIFS('①在庫を貼る'!$Q$6:$Q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Q$6:$Q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Q$6:$Q$10005,'月1回_2ヶ月前の在庫'!$V$6:$V$10005,'設定'!$C$4,'月1回_2ヶ月前の在庫'!$W$6:$W$10005,$C363)/COUNTIFS('月1回_2ヶ月前の在庫'!$V$6:$V$10005,'設定'!$C$4,'月1回_2ヶ月前の在庫'!$W$6:$W$10005,$C363),0))),INDEX('商品マスタ'!$G$6:$G$1005,MATCH($C363,'商品マスタ'!$B$6:$B$1005,0))),IF(COUNTIFS('①在庫を貼る'!$V$6:$V$10005,'設定'!$C$4,'①在庫を貼る'!$W$6:$W$10005,$C363)&gt;0,SUMIFS('①在庫を貼る'!$Q$6:$Q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Q$6:$Q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Q$6:$Q$10005,'月1回_2ヶ月前の在庫'!$V$6:$V$10005,'設定'!$C$4,'月1回_2ヶ月前の在庫'!$W$6:$W$10005,$C363)/COUNTIFS('月1回_2ヶ月前の在庫'!$V$6:$V$10005,'設定'!$C$4,'月1回_2ヶ月前の在庫'!$W$6:$W$10005,$C363),0))))))</f>
        <v/>
      </c>
      <c r="I363">
        <f>IF($C363="","",IF(COUNTIFS('①在庫を貼る'!$V$6:$V$10005,'設定'!$C$4,'①在庫を貼る'!$W$6:$W$10005,$C363)=0,"",SUMIFS('①在庫を貼る'!$N$6:$N$10005,'①在庫を貼る'!$V$6:$V$10005,'設定'!$C$4,'①在庫を貼る'!$W$6:$W$10005,$C363)))</f>
        <v/>
      </c>
      <c r="J363">
        <f>IF($C363="","",IF('②発注する'!$AD367="","",'②発注する'!$AD367))</f>
        <v/>
      </c>
      <c r="K363" s="90">
        <f>IF($C363="","",IF('②発注する'!$AE367="","",'②発注する'!$AE367))</f>
        <v/>
      </c>
      <c r="L363">
        <f>IF($C363="","",IF(AND(ISNUMBER($J363),ISNUMBER($K363),$K363&gt;='設定'!$C$6),$J363,N($I363)))</f>
        <v/>
      </c>
      <c r="M363">
        <f>IF($C363="","",IFERROR(IF(N(INDEX('商品マスタ'!$J$6:$J$1005,MATCH($C363,'商品マスタ'!$B$6:$B$1005,0)))&gt;0,INDEX('商品マスタ'!$J$6:$J$1005,MATCH($C363,'商品マスタ'!$B$6:$B$1005,0)),""),""))</f>
        <v/>
      </c>
      <c r="N363">
        <f>IF($C363="","",IFERROR(IF(N(INDEX('商品マスタ'!$H$6:$H$1005,MATCH($C363,'商品マスタ'!$B$6:$B$1005,0)))&gt;0,INDEX('商品マスタ'!$H$6:$H$1005,MATCH($C363,'商品マスタ'!$B$6:$B$1005,0)),""),""))</f>
        <v/>
      </c>
      <c r="O363">
        <f>IF($C363="","",IF($N363&lt;&gt;"",$N363*$G363,IF(N(IF(COUNTIFS('①在庫を貼る'!$V$6:$V$10005,'設定'!$C$4,'①在庫を貼る'!$W$6:$W$10005,$C363)&gt;0,SUMIFS('①在庫を貼る'!$O$6:$O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O$6:$O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O$6:$O$10005,'月1回_2ヶ月前の在庫'!$V$6:$V$10005,'設定'!$C$4,'月1回_2ヶ月前の在庫'!$W$6:$W$10005,$C363)/COUNTIFS('月1回_2ヶ月前の在庫'!$V$6:$V$10005,'設定'!$C$4,'月1回_2ヶ月前の在庫'!$W$6:$W$10005,$C363),0))))&gt;0,N(IF(COUNTIFS('①在庫を貼る'!$V$6:$V$10005,'設定'!$C$4,'①在庫を貼る'!$W$6:$W$10005,$C363)&gt;0,SUMIFS('①在庫を貼る'!$O$6:$O$10005,'①在庫を貼る'!$V$6:$V$10005,'設定'!$C$4,'①在庫を貼る'!$W$6:$W$10005,$C363)/COUNTIFS('①在庫を貼る'!$V$6:$V$10005,'設定'!$C$4,'①在庫を貼る'!$W$6:$W$10005,$C363),IF(COUNTIFS('月1回_1ヶ月前の在庫'!$V$6:$V$10005,'設定'!$C$4,'月1回_1ヶ月前の在庫'!$W$6:$W$10005,$C363)&gt;0,SUMIFS('月1回_1ヶ月前の在庫'!$O$6:$O$10005,'月1回_1ヶ月前の在庫'!$V$6:$V$10005,'設定'!$C$4,'月1回_1ヶ月前の在庫'!$W$6:$W$10005,$C363)/COUNTIFS('月1回_1ヶ月前の在庫'!$V$6:$V$10005,'設定'!$C$4,'月1回_1ヶ月前の在庫'!$W$6:$W$10005,$C363),IF(COUNTIFS('月1回_2ヶ月前の在庫'!$V$6:$V$10005,'設定'!$C$4,'月1回_2ヶ月前の在庫'!$W$6:$W$10005,$C363)&gt;0,SUMIFS('月1回_2ヶ月前の在庫'!$O$6:$O$10005,'月1回_2ヶ月前の在庫'!$V$6:$V$10005,'設定'!$C$4,'月1回_2ヶ月前の在庫'!$W$6:$W$10005,$C363)/COUNTIFS('月1回_2ヶ月前の在庫'!$V$6:$V$10005,'設定'!$C$4,'月1回_2ヶ月前の在庫'!$W$6:$W$10005,$C363),0)))),"")))</f>
        <v/>
      </c>
      <c r="P363" s="90">
        <f>IF($C363="","",IF('②発注する'!$I367="","",'②発注する'!$I367))</f>
        <v/>
      </c>
      <c r="Q363">
        <f>IF($C363="","",IF('②発注する'!$J367="","",'②発注する'!$J367))</f>
        <v/>
      </c>
      <c r="R363">
        <f>IF($C363="",0,IF(AND(ISNUMBER($P363),ISNUMBER($Q363)),MAX(0,$Q363)*$G363,0))</f>
        <v/>
      </c>
      <c r="S363" s="90">
        <f>IF($C363="","",IF('②発注する'!$M367="","",'②発注する'!$M367))</f>
        <v/>
      </c>
      <c r="T363">
        <f>IF($C363="","",IF('②発注する'!$N367="","",'②発注する'!$N367))</f>
        <v/>
      </c>
      <c r="U363">
        <f>IF($C363="",0,IF(AND(ISNUMBER($S363),ISNUMBER($T363)),MAX(0,$T363)*$G363,0))</f>
        <v/>
      </c>
      <c r="V363">
        <f>IF($C363="",0,IF($M363="",0,MAX(0,$M363)*MAX(0,V$4)/100))</f>
        <v/>
      </c>
      <c r="W363">
        <f>IF($C363="",0,IF($M363="",0,MAX(0,$M363)*MAX(0,W$4)/100))</f>
        <v/>
      </c>
      <c r="X363">
        <f>IF($C363="",0,IF($M363="",0,MAX(0,$M363)*MAX(0,X$4)/100))</f>
        <v/>
      </c>
      <c r="Y363">
        <f>IF($C363="",0,IF($M363="",0,MAX(0,$M363)*MAX(0,Y$4)/100))</f>
        <v/>
      </c>
      <c r="Z363">
        <f>IF($C363="",0,IF($M363="",0,MAX(0,$M363)*MAX(0,Z$4)/100))</f>
        <v/>
      </c>
      <c r="AA363">
        <f>IF($C363="",0,IF($M363="",0,MAX(0,$M363)*MAX(0,AA$4)/100))</f>
        <v/>
      </c>
      <c r="AB363">
        <f>IF($C363="",0,IF($M363="",0,MAX(0,$M363)*MAX(0,AB$4)/100))</f>
        <v/>
      </c>
      <c r="AC363">
        <f>IF($C363="",0,IF($M363="",0,MAX(0,$M363)*MAX(0,AC$4)/100))</f>
        <v/>
      </c>
      <c r="AD363">
        <f>IF($C363="",0,IF($M363="",0,MAX(0,$M363)*MAX(0,AD$4)/100))</f>
        <v/>
      </c>
      <c r="AE363">
        <f>IF($C363="",0,IF($M363="",0,MAX(0,$M363)*MAX(0,AE$4)/100))</f>
        <v/>
      </c>
      <c r="AF363">
        <f>IF($C363="",0,IF($M363="",0,MAX(0,$M363)*MAX(0,AF$4)/100))</f>
        <v/>
      </c>
      <c r="AG363">
        <f>IF($C363="",0,IF($M363="",0,MAX(0,$M363)*MAX(0,AG$4)/100))</f>
        <v/>
      </c>
      <c r="AH363">
        <f>IF($C363="",0,IF($M363="",0,MAX(0,$M363)*MAX(0,AH$4)/100))</f>
        <v/>
      </c>
      <c r="AI363">
        <f>IF($C363="",0,IF($M363="",0,MAX(0,$M363)*MAX(0,AI$4)/100))</f>
        <v/>
      </c>
      <c r="AJ363">
        <f>IF($C363="",0,MAX(0,MAX(0,N($L363))-$V363))</f>
        <v/>
      </c>
      <c r="AK363">
        <f>IF($C363="",0,MAX(0,$AJ363-$W363))</f>
        <v/>
      </c>
      <c r="AL363">
        <f>IF($C363="",0,MAX(0,$AK363-$X363))</f>
        <v/>
      </c>
      <c r="AM363">
        <f>IF($C363="",0,MAX(0,$AL363-$Y363))</f>
        <v/>
      </c>
      <c r="AN363">
        <f>IF($C363="",0,MAX(0,$AM363-$Z363))</f>
        <v/>
      </c>
      <c r="AO363">
        <f>IF($C363="",0,MAX(0,$AN363-$AA363))</f>
        <v/>
      </c>
      <c r="AP363">
        <f>IF($C363="",0,MAX(0,$AO363-$AB363))</f>
        <v/>
      </c>
      <c r="AQ363">
        <f>IF($C363="",0,MAX(0,$AP363-$AC363))</f>
        <v/>
      </c>
      <c r="AR363">
        <f>IF($C363="",0,MAX(0,$AQ363-$AD363))</f>
        <v/>
      </c>
      <c r="AS363">
        <f>IF($C363="",0,MAX(0,$AR363-$AE363))</f>
        <v/>
      </c>
      <c r="AT363">
        <f>IF($C363="",0,MAX(0,$AS363-$AF363))</f>
        <v/>
      </c>
      <c r="AU363">
        <f>IF($C363="",0,MAX(0,$AT363-$AG363))</f>
        <v/>
      </c>
      <c r="AV363">
        <f>IF($C363="",0,MAX(0,$AU363-$AH363))</f>
        <v/>
      </c>
      <c r="AW363">
        <f>IF($C363="",0,MAX(0,$AV363-$AI363))</f>
        <v/>
      </c>
      <c r="AX363">
        <f>IF($C363="",0,MAX(0,MAX(0,N($L363))+IF($P363=V$3,$R363,0)+IF($S363=V$3,$U363,0)-$V363))</f>
        <v/>
      </c>
      <c r="AY363">
        <f>IF($C363="",0,MAX(0,$AX363+IF($P363=W$3,$R363,0)+IF($S363=W$3,$U363,0)-$W363))</f>
        <v/>
      </c>
      <c r="AZ363">
        <f>IF($C363="",0,MAX(0,$AY363+IF($P363=X$3,$R363,0)+IF($S363=X$3,$U363,0)-$X363))</f>
        <v/>
      </c>
      <c r="BA363">
        <f>IF($C363="",0,MAX(0,$AZ363+IF($P363=Y$3,$R363,0)+IF($S363=Y$3,$U363,0)-$Y363))</f>
        <v/>
      </c>
      <c r="BB363">
        <f>IF($C363="",0,MAX(0,$BA363+IF($P363=Z$3,$R363,0)+IF($S363=Z$3,$U363,0)-$Z363))</f>
        <v/>
      </c>
      <c r="BC363">
        <f>IF($C363="",0,MAX(0,$BB363+IF($P363=AA$3,$R363,0)+IF($S363=AA$3,$U363,0)-$AA363))</f>
        <v/>
      </c>
      <c r="BD363">
        <f>IF($C363="",0,MAX(0,$BC363+IF($P363=AB$3,$R363,0)+IF($S363=AB$3,$U363,0)-$AB363))</f>
        <v/>
      </c>
      <c r="BE363">
        <f>IF($C363="",0,MAX(0,$BD363+IF($P363=AC$3,$R363,0)+IF($S363=AC$3,$U363,0)-$AC363))</f>
        <v/>
      </c>
      <c r="BF363">
        <f>IF($C363="",0,MAX(0,$BE363+IF($P363=AD$3,$R363,0)+IF($S363=AD$3,$U363,0)-$AD363))</f>
        <v/>
      </c>
      <c r="BG363">
        <f>IF($C363="",0,MAX(0,$BF363+IF($P363=AE$3,$R363,0)+IF($S363=AE$3,$U363,0)-$AE363))</f>
        <v/>
      </c>
      <c r="BH363">
        <f>IF($C363="",0,MAX(0,$BG363+IF($P363=AF$3,$R363,0)+IF($S363=AF$3,$U363,0)-$AF363))</f>
        <v/>
      </c>
      <c r="BI363">
        <f>IF($C363="",0,MAX(0,$BH363+IF($P363=AG$3,$R363,0)+IF($S363=AG$3,$U363,0)-$AG363))</f>
        <v/>
      </c>
      <c r="BJ363">
        <f>IF($C363="",0,MAX(0,$BI363+IF($P363=AH$3,$R363,0)+IF($S363=AH$3,$U363,0)-$AH363))</f>
        <v/>
      </c>
      <c r="BK363">
        <f>IF($C363="",0,MAX(0,$BJ363+IF($P363=AI$3,$R363,0)+IF($S363=AI$3,$U363,0)-$AI363))</f>
        <v/>
      </c>
      <c r="BL363">
        <f>IF($C363="",99,IF(AND($AX363&lt;1,V$3&gt;=MAX(N($P363),N($S363))),0,99))</f>
        <v/>
      </c>
      <c r="BM363">
        <f>IF($C363="",99,IF(AND($AY363&lt;1,W$3&gt;=MAX(N($P363),N($S363))),1,99))</f>
        <v/>
      </c>
      <c r="BN363">
        <f>IF($C363="",99,IF(AND($AZ363&lt;1,X$3&gt;=MAX(N($P363),N($S363))),2,99))</f>
        <v/>
      </c>
      <c r="BO363">
        <f>IF($C363="",99,IF(AND($BA363&lt;1,Y$3&gt;=MAX(N($P363),N($S363))),3,99))</f>
        <v/>
      </c>
      <c r="BP363">
        <f>IF($C363="",99,IF(AND($BB363&lt;1,Z$3&gt;=MAX(N($P363),N($S363))),4,99))</f>
        <v/>
      </c>
      <c r="BQ363">
        <f>IF($C363="",99,IF(AND($BC363&lt;1,AA$3&gt;=MAX(N($P363),N($S363))),5,99))</f>
        <v/>
      </c>
      <c r="BR363">
        <f>IF($C363="",99,IF(AND($BD363&lt;1,AB$3&gt;=MAX(N($P363),N($S363))),6,99))</f>
        <v/>
      </c>
      <c r="BS363">
        <f>IF($C363="",99,IF(AND($BE363&lt;1,AC$3&gt;=MAX(N($P363),N($S363))),7,99))</f>
        <v/>
      </c>
      <c r="BT363">
        <f>IF($C363="",99,IF(AND($BF363&lt;1,AD$3&gt;=MAX(N($P363),N($S363))),8,99))</f>
        <v/>
      </c>
      <c r="BU363">
        <f>IF($C363="",99,IF(AND($BG363&lt;1,AE$3&gt;=MAX(N($P363),N($S363))),9,99))</f>
        <v/>
      </c>
      <c r="BV363">
        <f>IF($C363="",99,IF(AND($BH363&lt;1,AF$3&gt;=MAX(N($P363),N($S363))),10,99))</f>
        <v/>
      </c>
      <c r="BW363">
        <f>IF($C363="",99,IF(AND($BI363&lt;1,AG$3&gt;=MAX(N($P363),N($S363))),11,99))</f>
        <v/>
      </c>
      <c r="BX363">
        <f>IF($C363="",99,IF(AND($BJ363&lt;1,AH$3&gt;=MAX(N($P363),N($S363))),12,99))</f>
        <v/>
      </c>
      <c r="BY363">
        <f>IF($C363="",99,IF(AND($BK363&lt;1,AI$3&gt;=MAX(N($P363),N($S363))),13,99))</f>
        <v/>
      </c>
      <c r="BZ363">
        <f>IF(OR($C363="",$M363=""),"",COUNTIF($AJ363:$AW363,"&gt;=1"))</f>
        <v/>
      </c>
      <c r="CA363" s="90">
        <f>IF($BZ363="","",IF($BZ363&gt;=14,"",'設定'!$C$6+$BZ363))</f>
        <v/>
      </c>
      <c r="CB363">
        <f>IF(OR($C363="",$M363=""),"",MIN($BL363:$BY363))</f>
        <v/>
      </c>
      <c r="CC363" s="90">
        <f>IF($CB363="","",IF($CB363&gt;=99,"",'設定'!$C$6+$CB363))</f>
        <v/>
      </c>
      <c r="CD363">
        <f>IF(OR($C363="",$M363=""),"",AVERAGE($V363:$AI363))</f>
        <v/>
      </c>
      <c r="CE363">
        <f>IF($C363="","",IFERROR(IF(MATCH(IF(ISNUMBER($P363),$P363,'設定'!$C$6+N('設定'!$C$7)),$V$3:$AI$3,0)=1,MAX(0,N($L363)),INDEX($AJ363:$AW363,MATCH(IF(ISNUMBER($P363),$P363,'設定'!$C$6+N('設定'!$C$7)),$V$3:$AI$3,0)-1)),""))</f>
        <v/>
      </c>
      <c r="CF363">
        <f>IF(OR($C363="",$O363="",$CE363=""),"",IF($O363-$CE363&lt;=0,0,ROUNDUP(($O363-$CE363)/$G363,0)))</f>
        <v/>
      </c>
      <c r="CG363">
        <f>IF(OR($C363="",$CF363="",NOT(ISNUMBER($Q363))),0,MAX(0,$Q363-$CF363))</f>
        <v/>
      </c>
      <c r="CH363">
        <f>IF(OR($C363="",$O363="",$U363=0),0,IFERROR(ROUNDUP(MAX(0,IF(MATCH($S363,$V$3:$AI$3,0)=1,MAX(0,N($L363)),INDEX($AX363:$BK363,MATCH($S363,$V$3:$AI$3,0)-1))+$U363-$O363)/$G363,0),0))</f>
        <v/>
      </c>
      <c r="CI363">
        <f>IF($C363="","",IF(AND($P363="",$Q363=""),"",IF($P363="","⚠ 入庫日を ▼ から選んでください",IF(NOT(ISNUMBER($P363)),"⚠ 入庫日は ▼ から選んでください",IF($P363&lt;N('設定'!$C$6),"⚠ 入庫日が過去です（もう在庫に入っています）→ 消してください",IF($P363&gt;N('設定'!$C$6)+13,"⚠ 入庫日が14日より先です",IF(N($Q363)&lt;=0,"⚠ 入庫数を入れてください",IF($CG363&gt;0,"⚠ 目安より "&amp;$CG363&amp;" 多い（定数を超える）→ 減らす",""))))))))</f>
        <v/>
      </c>
      <c r="CJ363">
        <f>IF($C363="","",IF(AND($S363="",$T363=""),"",IF($S363="","⚠ 2便目：入庫日を ▼ から選んでください",IF(NOT(ISNUMBER($S363)),"⚠ 2便目：入庫日は ▼ から選んでください",IF($S363&lt;N('設定'!$C$6),"⚠ 2便目：入庫日が過去です（もう在庫に入っています）→ 消してください",IF($S363&gt;N('設定'!$C$6)+13,"⚠ 2便目：入庫日が14日より先です",IF(N($T363)&lt;=0,"⚠ 2便目：入庫数を入れてください",IF($CH363&gt;0,"⚠ 2便目：定数を "&amp;$CH363&amp;" ケース超える → 減らす",""))))))))</f>
        <v/>
      </c>
      <c r="CK363">
        <f>IF(AND($CI363="",N($Q363)&gt;0,ISNUMBER($P363)),1,0)</f>
        <v/>
      </c>
      <c r="CL363">
        <f>IF(AND($CJ363="",N($T363)&gt;0,ISNUMBER($S363)),1,0)</f>
        <v/>
      </c>
      <c r="CM363">
        <f>IF(OR($CK363=1,$CL363=1),1,0)</f>
        <v/>
      </c>
      <c r="CN363">
        <f>IF($C363="",0,($CK363*$R363+$CL363*$U363)*N($H363))</f>
        <v/>
      </c>
      <c r="CO363">
        <f>IF($C363="","",IF($CC363="","入庫後は 14日以上もつ",IF($CC363-N('設定'!$C$7)&lt;='設定'!$C$6,"入庫後も "&amp;TEXT($CC363,"m/d")&amp;"("&amp;CHOOSE(WEEKDAY($CC363),"日","月","火","水","木","金","土")&amp;")"&amp;" に切れる　もう1便を至急発注","入庫後も "&amp;TEXT($CC363,"m/d")&amp;"("&amp;CHOOSE(WEEKDAY($CC363),"日","月","火","水","木","金","土")&amp;")"&amp;" に切れる　"&amp;TEXT($CC363-N('設定'!$C$7),"m/d")&amp;"("&amp;CHOOSE(WEEKDAY($CC363-N('設定'!$C$7)),"日","月","火","水","木","金","土")&amp;")"&amp;" までに次を発注")))</f>
        <v/>
      </c>
      <c r="CP363">
        <f>IF($C363="","",IF('設定'!$C$6="","？ ①在庫を貼る に今日のCSVが貼られていない",IF($CS363=1,"－ 今日のCSVに無い（終売？）",IF($L363&lt;0,"● 在庫がマイナス　数えて「数えた在庫」に入れる",IF($L363=0,"● 在庫なし　至急発注",IF($M363="","？ 減り数が未設定（商品マスタ）",IF($B$3=0,"？ 動員が未入力（動員を入れる）",IF($CA363="","○ 14日以上もつ",IF($BZ363&lt;N('設定'!$C$7),"● "&amp;TEXT($CA363,"m/d")&amp;"("&amp;CHOOSE(WEEKDAY($CA363),"日","月","火","水","木","金","土")&amp;")"&amp;" に切れる　至急発注",IF($BZ363=N('設定'!$C$7),"● "&amp;TEXT($CA363,"m/d")&amp;"("&amp;CHOOSE(WEEKDAY($CA363),"日","月","火","水","木","金","土")&amp;")"&amp;" に切れる　今日発注","△ "&amp;TEXT($CA363,"m/d")&amp;"("&amp;CHOOSE(WEEKDAY($CA363),"日","月","火","水","木","金","土")&amp;")"&amp;" に切れる　"&amp;TEXT($CA363-N('設定'!$C$7),"m/d")&amp;"("&amp;CHOOSE(WEEKDAY($CA363-N('設定'!$C$7)),"日","月","火","水","木","金","土")&amp;")"&amp;" までに発注"))))))))))</f>
        <v/>
      </c>
      <c r="CQ363">
        <f>IF($C363="","",IF(AND($P363="",$Q363="",$S363="",$T363=""),"",IF(AND($P363="",$Q363=""),"⚠ 先に1便目（左の入庫日・入庫数）に入れてください",IF($CI363&lt;&gt;"",$CI363,IF($CJ363&lt;&gt;"",$CJ363,IF($M363="","？ 減り数が未設定（発注書には載ります）",IF($B$3=0,"？ 動員が未入力（発注書には載ります）",IF(AND($CA363&lt;&gt;"",$P363&gt;$CA363),IF($P363&gt;'設定'!$C$6+N('設定'!$C$7),"● "&amp;TEXT($P363,"m/d")&amp;"("&amp;CHOOSE(WEEKDAY($P363),"日","月","火","水","木","金","土")&amp;")"&amp;" の入庫では間に合わない（"&amp;TEXT($CA363,"m/d")&amp;"("&amp;CHOOSE(WEEKDAY($CA363),"日","月","火","水","木","金","土")&amp;")"&amp;" に切れる）　入庫日を早める","△ 欠品 "&amp;TEXT($CA363,"m/d")&amp;"("&amp;CHOOSE(WEEKDAY($CA363),"日","月","火","水","木","金","土")&amp;")"&amp;"〜"&amp;TEXT($P363-1,"m/d")&amp;"("&amp;CHOOSE(WEEKDAY($P363-1),"日","月","火","水","木","金","土")&amp;")"&amp;"　"&amp;$CO363),IF($CC363="","○ "&amp;TEXT($P363,"m/d")&amp;"("&amp;CHOOSE(WEEKDAY($P363),"日","月","火","水","木","金","土")&amp;")"&amp;" 入庫で 14日以上もつ",IF($CC363-N('設定'!$C$7)&lt;='設定'!$C$6,"● 入庫しても "&amp;TEXT($CC363,"m/d")&amp;"("&amp;CHOOSE(WEEKDAY($CC363),"日","月","火","水","木","金","土")&amp;")"&amp;" に切れる　もう1便を至急発注（2便目に入れる）","△ 入庫しても "&amp;TEXT($CC363,"m/d")&amp;"("&amp;CHOOSE(WEEKDAY($CC363),"日","月","火","水","木","金","土")&amp;")"&amp;" に切れる　"&amp;TEXT($CC363-N('設定'!$C$7),"m/d")&amp;"("&amp;CHOOSE(WEEKDAY($CC363-N('設定'!$C$7)),"日","月","火","水","木","金","土")&amp;")"&amp;" までに次を発注（2便目に入れる）"))))))))))</f>
        <v/>
      </c>
      <c r="CR363">
        <f>IF($C363="","",IF($G363&gt;1,"ｹｰｽ("&amp;$G363&amp;"入)","個"))</f>
        <v/>
      </c>
      <c r="CS363">
        <f>IF($C363="",0,IF(COUNTIFS('①在庫を貼る'!$V$6:$V$10005,'設定'!$C$4,'①在庫を貼る'!$W$6:$W$10005,$C363)=0,1,0))</f>
        <v/>
      </c>
      <c r="CT363">
        <f>IF(AND($CK363=1,OR('③発注書'!$C$4="すべて",'③発注書'!$C$4="",$F363='③発注書'!$C$4)),N($CT362)+1,N($CT362))</f>
        <v/>
      </c>
      <c r="CU363">
        <f>IF(AND($CL363=1,OR('③発注書'!$C$4="すべて",'③発注書'!$C$4="",$F363='③発注書'!$C$4)),N($CU362)+1,N($CU362))</f>
        <v/>
      </c>
      <c r="CV363">
        <f>IF($C363="",0,IF(COUNTIFS('①在庫を貼る'!$V$6:$V$10005,'設定'!$C$4,'①在庫を貼る'!$W$6:$W$10005,$C363)&gt;0,1,0))</f>
        <v/>
      </c>
      <c r="CW363">
        <f>IF($C363="",0,IF(COUNTIFS('月1回_1ヶ月前の在庫'!$V$6:$V$10005,'設定'!$C$4,'月1回_1ヶ月前の在庫'!$W$6:$W$10005,$C363)&gt;0,1,0))</f>
        <v/>
      </c>
      <c r="CX363">
        <f>IF($C363="",0,IF(COUNTIFS('月1回_2ヶ月前の在庫'!$V$6:$V$10005,'設定'!$C$4,'月1回_2ヶ月前の在庫'!$W$6:$W$10005,$C363)&gt;0,1,0))</f>
        <v/>
      </c>
      <c r="CY363">
        <f>IF(OR($C363="",'設定'!$C$12=""),"",IF('設定'!$C$13="",IF(AND($CV363=1,$CW363=0),"新商品（今月から）",IF(AND($CV363=0,$CW363=1),"終売（今月から）","")),IF(AND($CV363=1,$CW363=0,$CX363=0),"新商品（今月から）",IF(AND($CV363=1,$CW363=1,$CX363=0),"新商品（先月から）",IF(AND($CV363=0,$CW363=1,$CX363=1),"終売（今月から）",IF(AND($CV363=0,$CW363=0,$CX363=1),"終売（先月から）",IF(AND($CV363=1,$CW363=0,$CX363=1),"復活（先月は無し）","")))))))</f>
        <v/>
      </c>
    </row>
    <row r="364">
      <c r="B364">
        <f>IF(359&lt;='設定'!$C$11,359,"")</f>
        <v/>
      </c>
      <c r="C364">
        <f>IF($B364="","",IF($B364&lt;='設定'!$C$20,INDEX('商品マスタ'!$B$6:$B$1005,MATCH($B364,'商品マスタ'!$M$6:$M$1005,0)),IF($B364&lt;='設定'!$C$20+'設定'!$C$17,INDEX('①在庫を貼る'!$W$6:$W$10005,MATCH($B364-'設定'!$C$20,'①在庫を貼る'!$U$6:$U$10005,0)),IF($B364&lt;='設定'!$C$20+'設定'!$C$17+'設定'!$C$18,INDEX('月1回_1ヶ月前の在庫'!$W$6:$W$10005,MATCH($B364-'設定'!$C$20-'設定'!$C$17,'月1回_1ヶ月前の在庫'!$U$6:$U$10005,0)),INDEX('月1回_2ヶ月前の在庫'!$W$6:$W$10005,MATCH($B364-'設定'!$C$20-'設定'!$C$17-'設定'!$C$18,'月1回_2ヶ月前の在庫'!$U$6:$U$10005,0))))))</f>
        <v/>
      </c>
      <c r="D364">
        <f>IF($C364="","",IFERROR(IF(INDEX('商品マスタ'!$C$6:$C$1005,MATCH($C364,'商品マスタ'!$B$6:$B$1005,0))="",IFERROR(INDEX('①在庫を貼る'!$J$6:$J$10005,MATCH($C364,'①在庫を貼る'!$W$6:$W$10005,0)),IFERROR(INDEX('月1回_1ヶ月前の在庫'!$J$6:$J$10005,MATCH($C364,'月1回_1ヶ月前の在庫'!$W$6:$W$10005,0)),IFERROR(INDEX('月1回_2ヶ月前の在庫'!$J$6:$J$10005,MATCH($C364,'月1回_2ヶ月前の在庫'!$W$6:$W$10005,0)),""))),INDEX('商品マスタ'!$C$6:$C$1005,MATCH($C364,'商品マスタ'!$B$6:$B$1005,0))),IFERROR(INDEX('①在庫を貼る'!$J$6:$J$10005,MATCH($C364,'①在庫を貼る'!$W$6:$W$10005,0)),IFERROR(INDEX('月1回_1ヶ月前の在庫'!$J$6:$J$10005,MATCH($C364,'月1回_1ヶ月前の在庫'!$W$6:$W$10005,0)),IFERROR(INDEX('月1回_2ヶ月前の在庫'!$J$6:$J$10005,MATCH($C364,'月1回_2ヶ月前の在庫'!$W$6:$W$10005,0)),"")))))</f>
        <v/>
      </c>
      <c r="E364">
        <f>IF($C364="","",IFERROR(IF(INDEX('商品マスタ'!$D$6:$D$1005,MATCH($C364,'商品マスタ'!$B$6:$B$1005,0))="",IFERROR(INDEX('①在庫を貼る'!$H$6:$H$10005,MATCH($C364,'①在庫を貼る'!$W$6:$W$10005,0)),IFERROR(INDEX('月1回_1ヶ月前の在庫'!$H$6:$H$10005,MATCH($C364,'月1回_1ヶ月前の在庫'!$W$6:$W$10005,0)),IFERROR(INDEX('月1回_2ヶ月前の在庫'!$H$6:$H$10005,MATCH($C364,'月1回_2ヶ月前の在庫'!$W$6:$W$10005,0)),""))),INDEX('商品マスタ'!$D$6:$D$1005,MATCH($C364,'商品マスタ'!$B$6:$B$1005,0))),IFERROR(INDEX('①在庫を貼る'!$H$6:$H$10005,MATCH($C364,'①在庫を貼る'!$W$6:$W$10005,0)),IFERROR(INDEX('月1回_1ヶ月前の在庫'!$H$6:$H$10005,MATCH($C364,'月1回_1ヶ月前の在庫'!$W$6:$W$10005,0)),IFERROR(INDEX('月1回_2ヶ月前の在庫'!$H$6:$H$10005,MATCH($C364,'月1回_2ヶ月前の在庫'!$W$6:$W$10005,0)),"")))))</f>
        <v/>
      </c>
      <c r="F364">
        <f>IF($C364="","",IFERROR(IF(INDEX('商品マスタ'!$E$6:$E$1005,MATCH($C364,'商品マスタ'!$B$6:$B$1005,0))="",IFERROR(INDEX('①在庫を貼る'!$E$6:$E$10005,MATCH($C364,'①在庫を貼る'!$W$6:$W$10005,0)),IFERROR(INDEX('月1回_1ヶ月前の在庫'!$E$6:$E$10005,MATCH($C364,'月1回_1ヶ月前の在庫'!$W$6:$W$10005,0)),IFERROR(INDEX('月1回_2ヶ月前の在庫'!$E$6:$E$10005,MATCH($C364,'月1回_2ヶ月前の在庫'!$W$6:$W$10005,0)),""))),INDEX('商品マスタ'!$E$6:$E$1005,MATCH($C364,'商品マスタ'!$B$6:$B$1005,0))),IFERROR(INDEX('①在庫を貼る'!$E$6:$E$10005,MATCH($C364,'①在庫を貼る'!$W$6:$W$10005,0)),IFERROR(INDEX('月1回_1ヶ月前の在庫'!$E$6:$E$10005,MATCH($C364,'月1回_1ヶ月前の在庫'!$W$6:$W$10005,0)),IFERROR(INDEX('月1回_2ヶ月前の在庫'!$E$6:$E$10005,MATCH($C364,'月1回_2ヶ月前の在庫'!$W$6:$W$10005,0)),"")))))</f>
        <v/>
      </c>
      <c r="G364">
        <f>IF($C364="","",MAX(1,N(IFERROR(IF(INDEX('商品マスタ'!$F$6:$F$1005,MATCH($C364,'商品マスタ'!$B$6:$B$1005,0))="",IF(COUNTIFS('①在庫を貼る'!$V$6:$V$10005,'設定'!$C$4,'①在庫を貼る'!$W$6:$W$10005,$C364)&gt;0,SUMIFS('①在庫を貼る'!$K$6:$K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K$6:$K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K$6:$K$10005,'月1回_2ヶ月前の在庫'!$V$6:$V$10005,'設定'!$C$4,'月1回_2ヶ月前の在庫'!$W$6:$W$10005,$C364)/COUNTIFS('月1回_2ヶ月前の在庫'!$V$6:$V$10005,'設定'!$C$4,'月1回_2ヶ月前の在庫'!$W$6:$W$10005,$C364),0))),INDEX('商品マスタ'!$F$6:$F$1005,MATCH($C364,'商品マスタ'!$B$6:$B$1005,0))),IF(COUNTIFS('①在庫を貼る'!$V$6:$V$10005,'設定'!$C$4,'①在庫を貼る'!$W$6:$W$10005,$C364)&gt;0,SUMIFS('①在庫を貼る'!$K$6:$K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K$6:$K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K$6:$K$10005,'月1回_2ヶ月前の在庫'!$V$6:$V$10005,'設定'!$C$4,'月1回_2ヶ月前の在庫'!$W$6:$W$10005,$C364)/COUNTIFS('月1回_2ヶ月前の在庫'!$V$6:$V$10005,'設定'!$C$4,'月1回_2ヶ月前の在庫'!$W$6:$W$10005,$C364),0)))))))</f>
        <v/>
      </c>
      <c r="H364">
        <f>IF($C364="","",N(IFERROR(IF(INDEX('商品マスタ'!$G$6:$G$1005,MATCH($C364,'商品マスタ'!$B$6:$B$1005,0))="",IF(COUNTIFS('①在庫を貼る'!$V$6:$V$10005,'設定'!$C$4,'①在庫を貼る'!$W$6:$W$10005,$C364)&gt;0,SUMIFS('①在庫を貼る'!$Q$6:$Q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Q$6:$Q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Q$6:$Q$10005,'月1回_2ヶ月前の在庫'!$V$6:$V$10005,'設定'!$C$4,'月1回_2ヶ月前の在庫'!$W$6:$W$10005,$C364)/COUNTIFS('月1回_2ヶ月前の在庫'!$V$6:$V$10005,'設定'!$C$4,'月1回_2ヶ月前の在庫'!$W$6:$W$10005,$C364),0))),INDEX('商品マスタ'!$G$6:$G$1005,MATCH($C364,'商品マスタ'!$B$6:$B$1005,0))),IF(COUNTIFS('①在庫を貼る'!$V$6:$V$10005,'設定'!$C$4,'①在庫を貼る'!$W$6:$W$10005,$C364)&gt;0,SUMIFS('①在庫を貼る'!$Q$6:$Q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Q$6:$Q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Q$6:$Q$10005,'月1回_2ヶ月前の在庫'!$V$6:$V$10005,'設定'!$C$4,'月1回_2ヶ月前の在庫'!$W$6:$W$10005,$C364)/COUNTIFS('月1回_2ヶ月前の在庫'!$V$6:$V$10005,'設定'!$C$4,'月1回_2ヶ月前の在庫'!$W$6:$W$10005,$C364),0))))))</f>
        <v/>
      </c>
      <c r="I364">
        <f>IF($C364="","",IF(COUNTIFS('①在庫を貼る'!$V$6:$V$10005,'設定'!$C$4,'①在庫を貼る'!$W$6:$W$10005,$C364)=0,"",SUMIFS('①在庫を貼る'!$N$6:$N$10005,'①在庫を貼る'!$V$6:$V$10005,'設定'!$C$4,'①在庫を貼る'!$W$6:$W$10005,$C364)))</f>
        <v/>
      </c>
      <c r="J364">
        <f>IF($C364="","",IF('②発注する'!$AD368="","",'②発注する'!$AD368))</f>
        <v/>
      </c>
      <c r="K364" s="90">
        <f>IF($C364="","",IF('②発注する'!$AE368="","",'②発注する'!$AE368))</f>
        <v/>
      </c>
      <c r="L364">
        <f>IF($C364="","",IF(AND(ISNUMBER($J364),ISNUMBER($K364),$K364&gt;='設定'!$C$6),$J364,N($I364)))</f>
        <v/>
      </c>
      <c r="M364">
        <f>IF($C364="","",IFERROR(IF(N(INDEX('商品マスタ'!$J$6:$J$1005,MATCH($C364,'商品マスタ'!$B$6:$B$1005,0)))&gt;0,INDEX('商品マスタ'!$J$6:$J$1005,MATCH($C364,'商品マスタ'!$B$6:$B$1005,0)),""),""))</f>
        <v/>
      </c>
      <c r="N364">
        <f>IF($C364="","",IFERROR(IF(N(INDEX('商品マスタ'!$H$6:$H$1005,MATCH($C364,'商品マスタ'!$B$6:$B$1005,0)))&gt;0,INDEX('商品マスタ'!$H$6:$H$1005,MATCH($C364,'商品マスタ'!$B$6:$B$1005,0)),""),""))</f>
        <v/>
      </c>
      <c r="O364">
        <f>IF($C364="","",IF($N364&lt;&gt;"",$N364*$G364,IF(N(IF(COUNTIFS('①在庫を貼る'!$V$6:$V$10005,'設定'!$C$4,'①在庫を貼る'!$W$6:$W$10005,$C364)&gt;0,SUMIFS('①在庫を貼る'!$O$6:$O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O$6:$O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O$6:$O$10005,'月1回_2ヶ月前の在庫'!$V$6:$V$10005,'設定'!$C$4,'月1回_2ヶ月前の在庫'!$W$6:$W$10005,$C364)/COUNTIFS('月1回_2ヶ月前の在庫'!$V$6:$V$10005,'設定'!$C$4,'月1回_2ヶ月前の在庫'!$W$6:$W$10005,$C364),0))))&gt;0,N(IF(COUNTIFS('①在庫を貼る'!$V$6:$V$10005,'設定'!$C$4,'①在庫を貼る'!$W$6:$W$10005,$C364)&gt;0,SUMIFS('①在庫を貼る'!$O$6:$O$10005,'①在庫を貼る'!$V$6:$V$10005,'設定'!$C$4,'①在庫を貼る'!$W$6:$W$10005,$C364)/COUNTIFS('①在庫を貼る'!$V$6:$V$10005,'設定'!$C$4,'①在庫を貼る'!$W$6:$W$10005,$C364),IF(COUNTIFS('月1回_1ヶ月前の在庫'!$V$6:$V$10005,'設定'!$C$4,'月1回_1ヶ月前の在庫'!$W$6:$W$10005,$C364)&gt;0,SUMIFS('月1回_1ヶ月前の在庫'!$O$6:$O$10005,'月1回_1ヶ月前の在庫'!$V$6:$V$10005,'設定'!$C$4,'月1回_1ヶ月前の在庫'!$W$6:$W$10005,$C364)/COUNTIFS('月1回_1ヶ月前の在庫'!$V$6:$V$10005,'設定'!$C$4,'月1回_1ヶ月前の在庫'!$W$6:$W$10005,$C364),IF(COUNTIFS('月1回_2ヶ月前の在庫'!$V$6:$V$10005,'設定'!$C$4,'月1回_2ヶ月前の在庫'!$W$6:$W$10005,$C364)&gt;0,SUMIFS('月1回_2ヶ月前の在庫'!$O$6:$O$10005,'月1回_2ヶ月前の在庫'!$V$6:$V$10005,'設定'!$C$4,'月1回_2ヶ月前の在庫'!$W$6:$W$10005,$C364)/COUNTIFS('月1回_2ヶ月前の在庫'!$V$6:$V$10005,'設定'!$C$4,'月1回_2ヶ月前の在庫'!$W$6:$W$10005,$C364),0)))),"")))</f>
        <v/>
      </c>
      <c r="P364" s="90">
        <f>IF($C364="","",IF('②発注する'!$I368="","",'②発注する'!$I368))</f>
        <v/>
      </c>
      <c r="Q364">
        <f>IF($C364="","",IF('②発注する'!$J368="","",'②発注する'!$J368))</f>
        <v/>
      </c>
      <c r="R364">
        <f>IF($C364="",0,IF(AND(ISNUMBER($P364),ISNUMBER($Q364)),MAX(0,$Q364)*$G364,0))</f>
        <v/>
      </c>
      <c r="S364" s="90">
        <f>IF($C364="","",IF('②発注する'!$M368="","",'②発注する'!$M368))</f>
        <v/>
      </c>
      <c r="T364">
        <f>IF($C364="","",IF('②発注する'!$N368="","",'②発注する'!$N368))</f>
        <v/>
      </c>
      <c r="U364">
        <f>IF($C364="",0,IF(AND(ISNUMBER($S364),ISNUMBER($T364)),MAX(0,$T364)*$G364,0))</f>
        <v/>
      </c>
      <c r="V364">
        <f>IF($C364="",0,IF($M364="",0,MAX(0,$M364)*MAX(0,V$4)/100))</f>
        <v/>
      </c>
      <c r="W364">
        <f>IF($C364="",0,IF($M364="",0,MAX(0,$M364)*MAX(0,W$4)/100))</f>
        <v/>
      </c>
      <c r="X364">
        <f>IF($C364="",0,IF($M364="",0,MAX(0,$M364)*MAX(0,X$4)/100))</f>
        <v/>
      </c>
      <c r="Y364">
        <f>IF($C364="",0,IF($M364="",0,MAX(0,$M364)*MAX(0,Y$4)/100))</f>
        <v/>
      </c>
      <c r="Z364">
        <f>IF($C364="",0,IF($M364="",0,MAX(0,$M364)*MAX(0,Z$4)/100))</f>
        <v/>
      </c>
      <c r="AA364">
        <f>IF($C364="",0,IF($M364="",0,MAX(0,$M364)*MAX(0,AA$4)/100))</f>
        <v/>
      </c>
      <c r="AB364">
        <f>IF($C364="",0,IF($M364="",0,MAX(0,$M364)*MAX(0,AB$4)/100))</f>
        <v/>
      </c>
      <c r="AC364">
        <f>IF($C364="",0,IF($M364="",0,MAX(0,$M364)*MAX(0,AC$4)/100))</f>
        <v/>
      </c>
      <c r="AD364">
        <f>IF($C364="",0,IF($M364="",0,MAX(0,$M364)*MAX(0,AD$4)/100))</f>
        <v/>
      </c>
      <c r="AE364">
        <f>IF($C364="",0,IF($M364="",0,MAX(0,$M364)*MAX(0,AE$4)/100))</f>
        <v/>
      </c>
      <c r="AF364">
        <f>IF($C364="",0,IF($M364="",0,MAX(0,$M364)*MAX(0,AF$4)/100))</f>
        <v/>
      </c>
      <c r="AG364">
        <f>IF($C364="",0,IF($M364="",0,MAX(0,$M364)*MAX(0,AG$4)/100))</f>
        <v/>
      </c>
      <c r="AH364">
        <f>IF($C364="",0,IF($M364="",0,MAX(0,$M364)*MAX(0,AH$4)/100))</f>
        <v/>
      </c>
      <c r="AI364">
        <f>IF($C364="",0,IF($M364="",0,MAX(0,$M364)*MAX(0,AI$4)/100))</f>
        <v/>
      </c>
      <c r="AJ364">
        <f>IF($C364="",0,MAX(0,MAX(0,N($L364))-$V364))</f>
        <v/>
      </c>
      <c r="AK364">
        <f>IF($C364="",0,MAX(0,$AJ364-$W364))</f>
        <v/>
      </c>
      <c r="AL364">
        <f>IF($C364="",0,MAX(0,$AK364-$X364))</f>
        <v/>
      </c>
      <c r="AM364">
        <f>IF($C364="",0,MAX(0,$AL364-$Y364))</f>
        <v/>
      </c>
      <c r="AN364">
        <f>IF($C364="",0,MAX(0,$AM364-$Z364))</f>
        <v/>
      </c>
      <c r="AO364">
        <f>IF($C364="",0,MAX(0,$AN364-$AA364))</f>
        <v/>
      </c>
      <c r="AP364">
        <f>IF($C364="",0,MAX(0,$AO364-$AB364))</f>
        <v/>
      </c>
      <c r="AQ364">
        <f>IF($C364="",0,MAX(0,$AP364-$AC364))</f>
        <v/>
      </c>
      <c r="AR364">
        <f>IF($C364="",0,MAX(0,$AQ364-$AD364))</f>
        <v/>
      </c>
      <c r="AS364">
        <f>IF($C364="",0,MAX(0,$AR364-$AE364))</f>
        <v/>
      </c>
      <c r="AT364">
        <f>IF($C364="",0,MAX(0,$AS364-$AF364))</f>
        <v/>
      </c>
      <c r="AU364">
        <f>IF($C364="",0,MAX(0,$AT364-$AG364))</f>
        <v/>
      </c>
      <c r="AV364">
        <f>IF($C364="",0,MAX(0,$AU364-$AH364))</f>
        <v/>
      </c>
      <c r="AW364">
        <f>IF($C364="",0,MAX(0,$AV364-$AI364))</f>
        <v/>
      </c>
      <c r="AX364">
        <f>IF($C364="",0,MAX(0,MAX(0,N($L364))+IF($P364=V$3,$R364,0)+IF($S364=V$3,$U364,0)-$V364))</f>
        <v/>
      </c>
      <c r="AY364">
        <f>IF($C364="",0,MAX(0,$AX364+IF($P364=W$3,$R364,0)+IF($S364=W$3,$U364,0)-$W364))</f>
        <v/>
      </c>
      <c r="AZ364">
        <f>IF($C364="",0,MAX(0,$AY364+IF($P364=X$3,$R364,0)+IF($S364=X$3,$U364,0)-$X364))</f>
        <v/>
      </c>
      <c r="BA364">
        <f>IF($C364="",0,MAX(0,$AZ364+IF($P364=Y$3,$R364,0)+IF($S364=Y$3,$U364,0)-$Y364))</f>
        <v/>
      </c>
      <c r="BB364">
        <f>IF($C364="",0,MAX(0,$BA364+IF($P364=Z$3,$R364,0)+IF($S364=Z$3,$U364,0)-$Z364))</f>
        <v/>
      </c>
      <c r="BC364">
        <f>IF($C364="",0,MAX(0,$BB364+IF($P364=AA$3,$R364,0)+IF($S364=AA$3,$U364,0)-$AA364))</f>
        <v/>
      </c>
      <c r="BD364">
        <f>IF($C364="",0,MAX(0,$BC364+IF($P364=AB$3,$R364,0)+IF($S364=AB$3,$U364,0)-$AB364))</f>
        <v/>
      </c>
      <c r="BE364">
        <f>IF($C364="",0,MAX(0,$BD364+IF($P364=AC$3,$R364,0)+IF($S364=AC$3,$U364,0)-$AC364))</f>
        <v/>
      </c>
      <c r="BF364">
        <f>IF($C364="",0,MAX(0,$BE364+IF($P364=AD$3,$R364,0)+IF($S364=AD$3,$U364,0)-$AD364))</f>
        <v/>
      </c>
      <c r="BG364">
        <f>IF($C364="",0,MAX(0,$BF364+IF($P364=AE$3,$R364,0)+IF($S364=AE$3,$U364,0)-$AE364))</f>
        <v/>
      </c>
      <c r="BH364">
        <f>IF($C364="",0,MAX(0,$BG364+IF($P364=AF$3,$R364,0)+IF($S364=AF$3,$U364,0)-$AF364))</f>
        <v/>
      </c>
      <c r="BI364">
        <f>IF($C364="",0,MAX(0,$BH364+IF($P364=AG$3,$R364,0)+IF($S364=AG$3,$U364,0)-$AG364))</f>
        <v/>
      </c>
      <c r="BJ364">
        <f>IF($C364="",0,MAX(0,$BI364+IF($P364=AH$3,$R364,0)+IF($S364=AH$3,$U364,0)-$AH364))</f>
        <v/>
      </c>
      <c r="BK364">
        <f>IF($C364="",0,MAX(0,$BJ364+IF($P364=AI$3,$R364,0)+IF($S364=AI$3,$U364,0)-$AI364))</f>
        <v/>
      </c>
      <c r="BL364">
        <f>IF($C364="",99,IF(AND($AX364&lt;1,V$3&gt;=MAX(N($P364),N($S364))),0,99))</f>
        <v/>
      </c>
      <c r="BM364">
        <f>IF($C364="",99,IF(AND($AY364&lt;1,W$3&gt;=MAX(N($P364),N($S364))),1,99))</f>
        <v/>
      </c>
      <c r="BN364">
        <f>IF($C364="",99,IF(AND($AZ364&lt;1,X$3&gt;=MAX(N($P364),N($S364))),2,99))</f>
        <v/>
      </c>
      <c r="BO364">
        <f>IF($C364="",99,IF(AND($BA364&lt;1,Y$3&gt;=MAX(N($P364),N($S364))),3,99))</f>
        <v/>
      </c>
      <c r="BP364">
        <f>IF($C364="",99,IF(AND($BB364&lt;1,Z$3&gt;=MAX(N($P364),N($S364))),4,99))</f>
        <v/>
      </c>
      <c r="BQ364">
        <f>IF($C364="",99,IF(AND($BC364&lt;1,AA$3&gt;=MAX(N($P364),N($S364))),5,99))</f>
        <v/>
      </c>
      <c r="BR364">
        <f>IF($C364="",99,IF(AND($BD364&lt;1,AB$3&gt;=MAX(N($P364),N($S364))),6,99))</f>
        <v/>
      </c>
      <c r="BS364">
        <f>IF($C364="",99,IF(AND($BE364&lt;1,AC$3&gt;=MAX(N($P364),N($S364))),7,99))</f>
        <v/>
      </c>
      <c r="BT364">
        <f>IF($C364="",99,IF(AND($BF364&lt;1,AD$3&gt;=MAX(N($P364),N($S364))),8,99))</f>
        <v/>
      </c>
      <c r="BU364">
        <f>IF($C364="",99,IF(AND($BG364&lt;1,AE$3&gt;=MAX(N($P364),N($S364))),9,99))</f>
        <v/>
      </c>
      <c r="BV364">
        <f>IF($C364="",99,IF(AND($BH364&lt;1,AF$3&gt;=MAX(N($P364),N($S364))),10,99))</f>
        <v/>
      </c>
      <c r="BW364">
        <f>IF($C364="",99,IF(AND($BI364&lt;1,AG$3&gt;=MAX(N($P364),N($S364))),11,99))</f>
        <v/>
      </c>
      <c r="BX364">
        <f>IF($C364="",99,IF(AND($BJ364&lt;1,AH$3&gt;=MAX(N($P364),N($S364))),12,99))</f>
        <v/>
      </c>
      <c r="BY364">
        <f>IF($C364="",99,IF(AND($BK364&lt;1,AI$3&gt;=MAX(N($P364),N($S364))),13,99))</f>
        <v/>
      </c>
      <c r="BZ364">
        <f>IF(OR($C364="",$M364=""),"",COUNTIF($AJ364:$AW364,"&gt;=1"))</f>
        <v/>
      </c>
      <c r="CA364" s="90">
        <f>IF($BZ364="","",IF($BZ364&gt;=14,"",'設定'!$C$6+$BZ364))</f>
        <v/>
      </c>
      <c r="CB364">
        <f>IF(OR($C364="",$M364=""),"",MIN($BL364:$BY364))</f>
        <v/>
      </c>
      <c r="CC364" s="90">
        <f>IF($CB364="","",IF($CB364&gt;=99,"",'設定'!$C$6+$CB364))</f>
        <v/>
      </c>
      <c r="CD364">
        <f>IF(OR($C364="",$M364=""),"",AVERAGE($V364:$AI364))</f>
        <v/>
      </c>
      <c r="CE364">
        <f>IF($C364="","",IFERROR(IF(MATCH(IF(ISNUMBER($P364),$P364,'設定'!$C$6+N('設定'!$C$7)),$V$3:$AI$3,0)=1,MAX(0,N($L364)),INDEX($AJ364:$AW364,MATCH(IF(ISNUMBER($P364),$P364,'設定'!$C$6+N('設定'!$C$7)),$V$3:$AI$3,0)-1)),""))</f>
        <v/>
      </c>
      <c r="CF364">
        <f>IF(OR($C364="",$O364="",$CE364=""),"",IF($O364-$CE364&lt;=0,0,ROUNDUP(($O364-$CE364)/$G364,0)))</f>
        <v/>
      </c>
      <c r="CG364">
        <f>IF(OR($C364="",$CF364="",NOT(ISNUMBER($Q364))),0,MAX(0,$Q364-$CF364))</f>
        <v/>
      </c>
      <c r="CH364">
        <f>IF(OR($C364="",$O364="",$U364=0),0,IFERROR(ROUNDUP(MAX(0,IF(MATCH($S364,$V$3:$AI$3,0)=1,MAX(0,N($L364)),INDEX($AX364:$BK364,MATCH($S364,$V$3:$AI$3,0)-1))+$U364-$O364)/$G364,0),0))</f>
        <v/>
      </c>
      <c r="CI364">
        <f>IF($C364="","",IF(AND($P364="",$Q364=""),"",IF($P364="","⚠ 入庫日を ▼ から選んでください",IF(NOT(ISNUMBER($P364)),"⚠ 入庫日は ▼ から選んでください",IF($P364&lt;N('設定'!$C$6),"⚠ 入庫日が過去です（もう在庫に入っています）→ 消してください",IF($P364&gt;N('設定'!$C$6)+13,"⚠ 入庫日が14日より先です",IF(N($Q364)&lt;=0,"⚠ 入庫数を入れてください",IF($CG364&gt;0,"⚠ 目安より "&amp;$CG364&amp;" 多い（定数を超える）→ 減らす",""))))))))</f>
        <v/>
      </c>
      <c r="CJ364">
        <f>IF($C364="","",IF(AND($S364="",$T364=""),"",IF($S364="","⚠ 2便目：入庫日を ▼ から選んでください",IF(NOT(ISNUMBER($S364)),"⚠ 2便目：入庫日は ▼ から選んでください",IF($S364&lt;N('設定'!$C$6),"⚠ 2便目：入庫日が過去です（もう在庫に入っています）→ 消してください",IF($S364&gt;N('設定'!$C$6)+13,"⚠ 2便目：入庫日が14日より先です",IF(N($T364)&lt;=0,"⚠ 2便目：入庫数を入れてください",IF($CH364&gt;0,"⚠ 2便目：定数を "&amp;$CH364&amp;" ケース超える → 減らす",""))))))))</f>
        <v/>
      </c>
      <c r="CK364">
        <f>IF(AND($CI364="",N($Q364)&gt;0,ISNUMBER($P364)),1,0)</f>
        <v/>
      </c>
      <c r="CL364">
        <f>IF(AND($CJ364="",N($T364)&gt;0,ISNUMBER($S364)),1,0)</f>
        <v/>
      </c>
      <c r="CM364">
        <f>IF(OR($CK364=1,$CL364=1),1,0)</f>
        <v/>
      </c>
      <c r="CN364">
        <f>IF($C364="",0,($CK364*$R364+$CL364*$U364)*N($H364))</f>
        <v/>
      </c>
      <c r="CO364">
        <f>IF($C364="","",IF($CC364="","入庫後は 14日以上もつ",IF($CC364-N('設定'!$C$7)&lt;='設定'!$C$6,"入庫後も "&amp;TEXT($CC364,"m/d")&amp;"("&amp;CHOOSE(WEEKDAY($CC364),"日","月","火","水","木","金","土")&amp;")"&amp;" に切れる　もう1便を至急発注","入庫後も "&amp;TEXT($CC364,"m/d")&amp;"("&amp;CHOOSE(WEEKDAY($CC364),"日","月","火","水","木","金","土")&amp;")"&amp;" に切れる　"&amp;TEXT($CC364-N('設定'!$C$7),"m/d")&amp;"("&amp;CHOOSE(WEEKDAY($CC364-N('設定'!$C$7)),"日","月","火","水","木","金","土")&amp;")"&amp;" までに次を発注")))</f>
        <v/>
      </c>
      <c r="CP364">
        <f>IF($C364="","",IF('設定'!$C$6="","？ ①在庫を貼る に今日のCSVが貼られていない",IF($CS364=1,"－ 今日のCSVに無い（終売？）",IF($L364&lt;0,"● 在庫がマイナス　数えて「数えた在庫」に入れる",IF($L364=0,"● 在庫なし　至急発注",IF($M364="","？ 減り数が未設定（商品マスタ）",IF($B$3=0,"？ 動員が未入力（動員を入れる）",IF($CA364="","○ 14日以上もつ",IF($BZ364&lt;N('設定'!$C$7),"● "&amp;TEXT($CA364,"m/d")&amp;"("&amp;CHOOSE(WEEKDAY($CA364),"日","月","火","水","木","金","土")&amp;")"&amp;" に切れる　至急発注",IF($BZ364=N('設定'!$C$7),"● "&amp;TEXT($CA364,"m/d")&amp;"("&amp;CHOOSE(WEEKDAY($CA364),"日","月","火","水","木","金","土")&amp;")"&amp;" に切れる　今日発注","△ "&amp;TEXT($CA364,"m/d")&amp;"("&amp;CHOOSE(WEEKDAY($CA364),"日","月","火","水","木","金","土")&amp;")"&amp;" に切れる　"&amp;TEXT($CA364-N('設定'!$C$7),"m/d")&amp;"("&amp;CHOOSE(WEEKDAY($CA364-N('設定'!$C$7)),"日","月","火","水","木","金","土")&amp;")"&amp;" までに発注"))))))))))</f>
        <v/>
      </c>
      <c r="CQ364">
        <f>IF($C364="","",IF(AND($P364="",$Q364="",$S364="",$T364=""),"",IF(AND($P364="",$Q364=""),"⚠ 先に1便目（左の入庫日・入庫数）に入れてください",IF($CI364&lt;&gt;"",$CI364,IF($CJ364&lt;&gt;"",$CJ364,IF($M364="","？ 減り数が未設定（発注書には載ります）",IF($B$3=0,"？ 動員が未入力（発注書には載ります）",IF(AND($CA364&lt;&gt;"",$P364&gt;$CA364),IF($P364&gt;'設定'!$C$6+N('設定'!$C$7),"● "&amp;TEXT($P364,"m/d")&amp;"("&amp;CHOOSE(WEEKDAY($P364),"日","月","火","水","木","金","土")&amp;")"&amp;" の入庫では間に合わない（"&amp;TEXT($CA364,"m/d")&amp;"("&amp;CHOOSE(WEEKDAY($CA364),"日","月","火","水","木","金","土")&amp;")"&amp;" に切れる）　入庫日を早める","△ 欠品 "&amp;TEXT($CA364,"m/d")&amp;"("&amp;CHOOSE(WEEKDAY($CA364),"日","月","火","水","木","金","土")&amp;")"&amp;"〜"&amp;TEXT($P364-1,"m/d")&amp;"("&amp;CHOOSE(WEEKDAY($P364-1),"日","月","火","水","木","金","土")&amp;")"&amp;"　"&amp;$CO364),IF($CC364="","○ "&amp;TEXT($P364,"m/d")&amp;"("&amp;CHOOSE(WEEKDAY($P364),"日","月","火","水","木","金","土")&amp;")"&amp;" 入庫で 14日以上もつ",IF($CC364-N('設定'!$C$7)&lt;='設定'!$C$6,"● 入庫しても "&amp;TEXT($CC364,"m/d")&amp;"("&amp;CHOOSE(WEEKDAY($CC364),"日","月","火","水","木","金","土")&amp;")"&amp;" に切れる　もう1便を至急発注（2便目に入れる）","△ 入庫しても "&amp;TEXT($CC364,"m/d")&amp;"("&amp;CHOOSE(WEEKDAY($CC364),"日","月","火","水","木","金","土")&amp;")"&amp;" に切れる　"&amp;TEXT($CC364-N('設定'!$C$7),"m/d")&amp;"("&amp;CHOOSE(WEEKDAY($CC364-N('設定'!$C$7)),"日","月","火","水","木","金","土")&amp;")"&amp;" までに次を発注（2便目に入れる）"))))))))))</f>
        <v/>
      </c>
      <c r="CR364">
        <f>IF($C364="","",IF($G364&gt;1,"ｹｰｽ("&amp;$G364&amp;"入)","個"))</f>
        <v/>
      </c>
      <c r="CS364">
        <f>IF($C364="",0,IF(COUNTIFS('①在庫を貼る'!$V$6:$V$10005,'設定'!$C$4,'①在庫を貼る'!$W$6:$W$10005,$C364)=0,1,0))</f>
        <v/>
      </c>
      <c r="CT364">
        <f>IF(AND($CK364=1,OR('③発注書'!$C$4="すべて",'③発注書'!$C$4="",$F364='③発注書'!$C$4)),N($CT363)+1,N($CT363))</f>
        <v/>
      </c>
      <c r="CU364">
        <f>IF(AND($CL364=1,OR('③発注書'!$C$4="すべて",'③発注書'!$C$4="",$F364='③発注書'!$C$4)),N($CU363)+1,N($CU363))</f>
        <v/>
      </c>
      <c r="CV364">
        <f>IF($C364="",0,IF(COUNTIFS('①在庫を貼る'!$V$6:$V$10005,'設定'!$C$4,'①在庫を貼る'!$W$6:$W$10005,$C364)&gt;0,1,0))</f>
        <v/>
      </c>
      <c r="CW364">
        <f>IF($C364="",0,IF(COUNTIFS('月1回_1ヶ月前の在庫'!$V$6:$V$10005,'設定'!$C$4,'月1回_1ヶ月前の在庫'!$W$6:$W$10005,$C364)&gt;0,1,0))</f>
        <v/>
      </c>
      <c r="CX364">
        <f>IF($C364="",0,IF(COUNTIFS('月1回_2ヶ月前の在庫'!$V$6:$V$10005,'設定'!$C$4,'月1回_2ヶ月前の在庫'!$W$6:$W$10005,$C364)&gt;0,1,0))</f>
        <v/>
      </c>
      <c r="CY364">
        <f>IF(OR($C364="",'設定'!$C$12=""),"",IF('設定'!$C$13="",IF(AND($CV364=1,$CW364=0),"新商品（今月から）",IF(AND($CV364=0,$CW364=1),"終売（今月から）","")),IF(AND($CV364=1,$CW364=0,$CX364=0),"新商品（今月から）",IF(AND($CV364=1,$CW364=1,$CX364=0),"新商品（先月から）",IF(AND($CV364=0,$CW364=1,$CX364=1),"終売（今月から）",IF(AND($CV364=0,$CW364=0,$CX364=1),"終売（先月から）",IF(AND($CV364=1,$CW364=0,$CX364=1),"復活（先月は無し）","")))))))</f>
        <v/>
      </c>
    </row>
    <row r="365">
      <c r="B365">
        <f>IF(360&lt;='設定'!$C$11,360,"")</f>
        <v/>
      </c>
      <c r="C365">
        <f>IF($B365="","",IF($B365&lt;='設定'!$C$20,INDEX('商品マスタ'!$B$6:$B$1005,MATCH($B365,'商品マスタ'!$M$6:$M$1005,0)),IF($B365&lt;='設定'!$C$20+'設定'!$C$17,INDEX('①在庫を貼る'!$W$6:$W$10005,MATCH($B365-'設定'!$C$20,'①在庫を貼る'!$U$6:$U$10005,0)),IF($B365&lt;='設定'!$C$20+'設定'!$C$17+'設定'!$C$18,INDEX('月1回_1ヶ月前の在庫'!$W$6:$W$10005,MATCH($B365-'設定'!$C$20-'設定'!$C$17,'月1回_1ヶ月前の在庫'!$U$6:$U$10005,0)),INDEX('月1回_2ヶ月前の在庫'!$W$6:$W$10005,MATCH($B365-'設定'!$C$20-'設定'!$C$17-'設定'!$C$18,'月1回_2ヶ月前の在庫'!$U$6:$U$10005,0))))))</f>
        <v/>
      </c>
      <c r="D365">
        <f>IF($C365="","",IFERROR(IF(INDEX('商品マスタ'!$C$6:$C$1005,MATCH($C365,'商品マスタ'!$B$6:$B$1005,0))="",IFERROR(INDEX('①在庫を貼る'!$J$6:$J$10005,MATCH($C365,'①在庫を貼る'!$W$6:$W$10005,0)),IFERROR(INDEX('月1回_1ヶ月前の在庫'!$J$6:$J$10005,MATCH($C365,'月1回_1ヶ月前の在庫'!$W$6:$W$10005,0)),IFERROR(INDEX('月1回_2ヶ月前の在庫'!$J$6:$J$10005,MATCH($C365,'月1回_2ヶ月前の在庫'!$W$6:$W$10005,0)),""))),INDEX('商品マスタ'!$C$6:$C$1005,MATCH($C365,'商品マスタ'!$B$6:$B$1005,0))),IFERROR(INDEX('①在庫を貼る'!$J$6:$J$10005,MATCH($C365,'①在庫を貼る'!$W$6:$W$10005,0)),IFERROR(INDEX('月1回_1ヶ月前の在庫'!$J$6:$J$10005,MATCH($C365,'月1回_1ヶ月前の在庫'!$W$6:$W$10005,0)),IFERROR(INDEX('月1回_2ヶ月前の在庫'!$J$6:$J$10005,MATCH($C365,'月1回_2ヶ月前の在庫'!$W$6:$W$10005,0)),"")))))</f>
        <v/>
      </c>
      <c r="E365">
        <f>IF($C365="","",IFERROR(IF(INDEX('商品マスタ'!$D$6:$D$1005,MATCH($C365,'商品マスタ'!$B$6:$B$1005,0))="",IFERROR(INDEX('①在庫を貼る'!$H$6:$H$10005,MATCH($C365,'①在庫を貼る'!$W$6:$W$10005,0)),IFERROR(INDEX('月1回_1ヶ月前の在庫'!$H$6:$H$10005,MATCH($C365,'月1回_1ヶ月前の在庫'!$W$6:$W$10005,0)),IFERROR(INDEX('月1回_2ヶ月前の在庫'!$H$6:$H$10005,MATCH($C365,'月1回_2ヶ月前の在庫'!$W$6:$W$10005,0)),""))),INDEX('商品マスタ'!$D$6:$D$1005,MATCH($C365,'商品マスタ'!$B$6:$B$1005,0))),IFERROR(INDEX('①在庫を貼る'!$H$6:$H$10005,MATCH($C365,'①在庫を貼る'!$W$6:$W$10005,0)),IFERROR(INDEX('月1回_1ヶ月前の在庫'!$H$6:$H$10005,MATCH($C365,'月1回_1ヶ月前の在庫'!$W$6:$W$10005,0)),IFERROR(INDEX('月1回_2ヶ月前の在庫'!$H$6:$H$10005,MATCH($C365,'月1回_2ヶ月前の在庫'!$W$6:$W$10005,0)),"")))))</f>
        <v/>
      </c>
      <c r="F365">
        <f>IF($C365="","",IFERROR(IF(INDEX('商品マスタ'!$E$6:$E$1005,MATCH($C365,'商品マスタ'!$B$6:$B$1005,0))="",IFERROR(INDEX('①在庫を貼る'!$E$6:$E$10005,MATCH($C365,'①在庫を貼る'!$W$6:$W$10005,0)),IFERROR(INDEX('月1回_1ヶ月前の在庫'!$E$6:$E$10005,MATCH($C365,'月1回_1ヶ月前の在庫'!$W$6:$W$10005,0)),IFERROR(INDEX('月1回_2ヶ月前の在庫'!$E$6:$E$10005,MATCH($C365,'月1回_2ヶ月前の在庫'!$W$6:$W$10005,0)),""))),INDEX('商品マスタ'!$E$6:$E$1005,MATCH($C365,'商品マスタ'!$B$6:$B$1005,0))),IFERROR(INDEX('①在庫を貼る'!$E$6:$E$10005,MATCH($C365,'①在庫を貼る'!$W$6:$W$10005,0)),IFERROR(INDEX('月1回_1ヶ月前の在庫'!$E$6:$E$10005,MATCH($C365,'月1回_1ヶ月前の在庫'!$W$6:$W$10005,0)),IFERROR(INDEX('月1回_2ヶ月前の在庫'!$E$6:$E$10005,MATCH($C365,'月1回_2ヶ月前の在庫'!$W$6:$W$10005,0)),"")))))</f>
        <v/>
      </c>
      <c r="G365">
        <f>IF($C365="","",MAX(1,N(IFERROR(IF(INDEX('商品マスタ'!$F$6:$F$1005,MATCH($C365,'商品マスタ'!$B$6:$B$1005,0))="",IF(COUNTIFS('①在庫を貼る'!$V$6:$V$10005,'設定'!$C$4,'①在庫を貼る'!$W$6:$W$10005,$C365)&gt;0,SUMIFS('①在庫を貼る'!$K$6:$K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K$6:$K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K$6:$K$10005,'月1回_2ヶ月前の在庫'!$V$6:$V$10005,'設定'!$C$4,'月1回_2ヶ月前の在庫'!$W$6:$W$10005,$C365)/COUNTIFS('月1回_2ヶ月前の在庫'!$V$6:$V$10005,'設定'!$C$4,'月1回_2ヶ月前の在庫'!$W$6:$W$10005,$C365),0))),INDEX('商品マスタ'!$F$6:$F$1005,MATCH($C365,'商品マスタ'!$B$6:$B$1005,0))),IF(COUNTIFS('①在庫を貼る'!$V$6:$V$10005,'設定'!$C$4,'①在庫を貼る'!$W$6:$W$10005,$C365)&gt;0,SUMIFS('①在庫を貼る'!$K$6:$K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K$6:$K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K$6:$K$10005,'月1回_2ヶ月前の在庫'!$V$6:$V$10005,'設定'!$C$4,'月1回_2ヶ月前の在庫'!$W$6:$W$10005,$C365)/COUNTIFS('月1回_2ヶ月前の在庫'!$V$6:$V$10005,'設定'!$C$4,'月1回_2ヶ月前の在庫'!$W$6:$W$10005,$C365),0)))))))</f>
        <v/>
      </c>
      <c r="H365">
        <f>IF($C365="","",N(IFERROR(IF(INDEX('商品マスタ'!$G$6:$G$1005,MATCH($C365,'商品マスタ'!$B$6:$B$1005,0))="",IF(COUNTIFS('①在庫を貼る'!$V$6:$V$10005,'設定'!$C$4,'①在庫を貼る'!$W$6:$W$10005,$C365)&gt;0,SUMIFS('①在庫を貼る'!$Q$6:$Q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Q$6:$Q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Q$6:$Q$10005,'月1回_2ヶ月前の在庫'!$V$6:$V$10005,'設定'!$C$4,'月1回_2ヶ月前の在庫'!$W$6:$W$10005,$C365)/COUNTIFS('月1回_2ヶ月前の在庫'!$V$6:$V$10005,'設定'!$C$4,'月1回_2ヶ月前の在庫'!$W$6:$W$10005,$C365),0))),INDEX('商品マスタ'!$G$6:$G$1005,MATCH($C365,'商品マスタ'!$B$6:$B$1005,0))),IF(COUNTIFS('①在庫を貼る'!$V$6:$V$10005,'設定'!$C$4,'①在庫を貼る'!$W$6:$W$10005,$C365)&gt;0,SUMIFS('①在庫を貼る'!$Q$6:$Q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Q$6:$Q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Q$6:$Q$10005,'月1回_2ヶ月前の在庫'!$V$6:$V$10005,'設定'!$C$4,'月1回_2ヶ月前の在庫'!$W$6:$W$10005,$C365)/COUNTIFS('月1回_2ヶ月前の在庫'!$V$6:$V$10005,'設定'!$C$4,'月1回_2ヶ月前の在庫'!$W$6:$W$10005,$C365),0))))))</f>
        <v/>
      </c>
      <c r="I365">
        <f>IF($C365="","",IF(COUNTIFS('①在庫を貼る'!$V$6:$V$10005,'設定'!$C$4,'①在庫を貼る'!$W$6:$W$10005,$C365)=0,"",SUMIFS('①在庫を貼る'!$N$6:$N$10005,'①在庫を貼る'!$V$6:$V$10005,'設定'!$C$4,'①在庫を貼る'!$W$6:$W$10005,$C365)))</f>
        <v/>
      </c>
      <c r="J365">
        <f>IF($C365="","",IF('②発注する'!$AD369="","",'②発注する'!$AD369))</f>
        <v/>
      </c>
      <c r="K365" s="90">
        <f>IF($C365="","",IF('②発注する'!$AE369="","",'②発注する'!$AE369))</f>
        <v/>
      </c>
      <c r="L365">
        <f>IF($C365="","",IF(AND(ISNUMBER($J365),ISNUMBER($K365),$K365&gt;='設定'!$C$6),$J365,N($I365)))</f>
        <v/>
      </c>
      <c r="M365">
        <f>IF($C365="","",IFERROR(IF(N(INDEX('商品マスタ'!$J$6:$J$1005,MATCH($C365,'商品マスタ'!$B$6:$B$1005,0)))&gt;0,INDEX('商品マスタ'!$J$6:$J$1005,MATCH($C365,'商品マスタ'!$B$6:$B$1005,0)),""),""))</f>
        <v/>
      </c>
      <c r="N365">
        <f>IF($C365="","",IFERROR(IF(N(INDEX('商品マスタ'!$H$6:$H$1005,MATCH($C365,'商品マスタ'!$B$6:$B$1005,0)))&gt;0,INDEX('商品マスタ'!$H$6:$H$1005,MATCH($C365,'商品マスタ'!$B$6:$B$1005,0)),""),""))</f>
        <v/>
      </c>
      <c r="O365">
        <f>IF($C365="","",IF($N365&lt;&gt;"",$N365*$G365,IF(N(IF(COUNTIFS('①在庫を貼る'!$V$6:$V$10005,'設定'!$C$4,'①在庫を貼る'!$W$6:$W$10005,$C365)&gt;0,SUMIFS('①在庫を貼る'!$O$6:$O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O$6:$O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O$6:$O$10005,'月1回_2ヶ月前の在庫'!$V$6:$V$10005,'設定'!$C$4,'月1回_2ヶ月前の在庫'!$W$6:$W$10005,$C365)/COUNTIFS('月1回_2ヶ月前の在庫'!$V$6:$V$10005,'設定'!$C$4,'月1回_2ヶ月前の在庫'!$W$6:$W$10005,$C365),0))))&gt;0,N(IF(COUNTIFS('①在庫を貼る'!$V$6:$V$10005,'設定'!$C$4,'①在庫を貼る'!$W$6:$W$10005,$C365)&gt;0,SUMIFS('①在庫を貼る'!$O$6:$O$10005,'①在庫を貼る'!$V$6:$V$10005,'設定'!$C$4,'①在庫を貼る'!$W$6:$W$10005,$C365)/COUNTIFS('①在庫を貼る'!$V$6:$V$10005,'設定'!$C$4,'①在庫を貼る'!$W$6:$W$10005,$C365),IF(COUNTIFS('月1回_1ヶ月前の在庫'!$V$6:$V$10005,'設定'!$C$4,'月1回_1ヶ月前の在庫'!$W$6:$W$10005,$C365)&gt;0,SUMIFS('月1回_1ヶ月前の在庫'!$O$6:$O$10005,'月1回_1ヶ月前の在庫'!$V$6:$V$10005,'設定'!$C$4,'月1回_1ヶ月前の在庫'!$W$6:$W$10005,$C365)/COUNTIFS('月1回_1ヶ月前の在庫'!$V$6:$V$10005,'設定'!$C$4,'月1回_1ヶ月前の在庫'!$W$6:$W$10005,$C365),IF(COUNTIFS('月1回_2ヶ月前の在庫'!$V$6:$V$10005,'設定'!$C$4,'月1回_2ヶ月前の在庫'!$W$6:$W$10005,$C365)&gt;0,SUMIFS('月1回_2ヶ月前の在庫'!$O$6:$O$10005,'月1回_2ヶ月前の在庫'!$V$6:$V$10005,'設定'!$C$4,'月1回_2ヶ月前の在庫'!$W$6:$W$10005,$C365)/COUNTIFS('月1回_2ヶ月前の在庫'!$V$6:$V$10005,'設定'!$C$4,'月1回_2ヶ月前の在庫'!$W$6:$W$10005,$C365),0)))),"")))</f>
        <v/>
      </c>
      <c r="P365" s="90">
        <f>IF($C365="","",IF('②発注する'!$I369="","",'②発注する'!$I369))</f>
        <v/>
      </c>
      <c r="Q365">
        <f>IF($C365="","",IF('②発注する'!$J369="","",'②発注する'!$J369))</f>
        <v/>
      </c>
      <c r="R365">
        <f>IF($C365="",0,IF(AND(ISNUMBER($P365),ISNUMBER($Q365)),MAX(0,$Q365)*$G365,0))</f>
        <v/>
      </c>
      <c r="S365" s="90">
        <f>IF($C365="","",IF('②発注する'!$M369="","",'②発注する'!$M369))</f>
        <v/>
      </c>
      <c r="T365">
        <f>IF($C365="","",IF('②発注する'!$N369="","",'②発注する'!$N369))</f>
        <v/>
      </c>
      <c r="U365">
        <f>IF($C365="",0,IF(AND(ISNUMBER($S365),ISNUMBER($T365)),MAX(0,$T365)*$G365,0))</f>
        <v/>
      </c>
      <c r="V365">
        <f>IF($C365="",0,IF($M365="",0,MAX(0,$M365)*MAX(0,V$4)/100))</f>
        <v/>
      </c>
      <c r="W365">
        <f>IF($C365="",0,IF($M365="",0,MAX(0,$M365)*MAX(0,W$4)/100))</f>
        <v/>
      </c>
      <c r="X365">
        <f>IF($C365="",0,IF($M365="",0,MAX(0,$M365)*MAX(0,X$4)/100))</f>
        <v/>
      </c>
      <c r="Y365">
        <f>IF($C365="",0,IF($M365="",0,MAX(0,$M365)*MAX(0,Y$4)/100))</f>
        <v/>
      </c>
      <c r="Z365">
        <f>IF($C365="",0,IF($M365="",0,MAX(0,$M365)*MAX(0,Z$4)/100))</f>
        <v/>
      </c>
      <c r="AA365">
        <f>IF($C365="",0,IF($M365="",0,MAX(0,$M365)*MAX(0,AA$4)/100))</f>
        <v/>
      </c>
      <c r="AB365">
        <f>IF($C365="",0,IF($M365="",0,MAX(0,$M365)*MAX(0,AB$4)/100))</f>
        <v/>
      </c>
      <c r="AC365">
        <f>IF($C365="",0,IF($M365="",0,MAX(0,$M365)*MAX(0,AC$4)/100))</f>
        <v/>
      </c>
      <c r="AD365">
        <f>IF($C365="",0,IF($M365="",0,MAX(0,$M365)*MAX(0,AD$4)/100))</f>
        <v/>
      </c>
      <c r="AE365">
        <f>IF($C365="",0,IF($M365="",0,MAX(0,$M365)*MAX(0,AE$4)/100))</f>
        <v/>
      </c>
      <c r="AF365">
        <f>IF($C365="",0,IF($M365="",0,MAX(0,$M365)*MAX(0,AF$4)/100))</f>
        <v/>
      </c>
      <c r="AG365">
        <f>IF($C365="",0,IF($M365="",0,MAX(0,$M365)*MAX(0,AG$4)/100))</f>
        <v/>
      </c>
      <c r="AH365">
        <f>IF($C365="",0,IF($M365="",0,MAX(0,$M365)*MAX(0,AH$4)/100))</f>
        <v/>
      </c>
      <c r="AI365">
        <f>IF($C365="",0,IF($M365="",0,MAX(0,$M365)*MAX(0,AI$4)/100))</f>
        <v/>
      </c>
      <c r="AJ365">
        <f>IF($C365="",0,MAX(0,MAX(0,N($L365))-$V365))</f>
        <v/>
      </c>
      <c r="AK365">
        <f>IF($C365="",0,MAX(0,$AJ365-$W365))</f>
        <v/>
      </c>
      <c r="AL365">
        <f>IF($C365="",0,MAX(0,$AK365-$X365))</f>
        <v/>
      </c>
      <c r="AM365">
        <f>IF($C365="",0,MAX(0,$AL365-$Y365))</f>
        <v/>
      </c>
      <c r="AN365">
        <f>IF($C365="",0,MAX(0,$AM365-$Z365))</f>
        <v/>
      </c>
      <c r="AO365">
        <f>IF($C365="",0,MAX(0,$AN365-$AA365))</f>
        <v/>
      </c>
      <c r="AP365">
        <f>IF($C365="",0,MAX(0,$AO365-$AB365))</f>
        <v/>
      </c>
      <c r="AQ365">
        <f>IF($C365="",0,MAX(0,$AP365-$AC365))</f>
        <v/>
      </c>
      <c r="AR365">
        <f>IF($C365="",0,MAX(0,$AQ365-$AD365))</f>
        <v/>
      </c>
      <c r="AS365">
        <f>IF($C365="",0,MAX(0,$AR365-$AE365))</f>
        <v/>
      </c>
      <c r="AT365">
        <f>IF($C365="",0,MAX(0,$AS365-$AF365))</f>
        <v/>
      </c>
      <c r="AU365">
        <f>IF($C365="",0,MAX(0,$AT365-$AG365))</f>
        <v/>
      </c>
      <c r="AV365">
        <f>IF($C365="",0,MAX(0,$AU365-$AH365))</f>
        <v/>
      </c>
      <c r="AW365">
        <f>IF($C365="",0,MAX(0,$AV365-$AI365))</f>
        <v/>
      </c>
      <c r="AX365">
        <f>IF($C365="",0,MAX(0,MAX(0,N($L365))+IF($P365=V$3,$R365,0)+IF($S365=V$3,$U365,0)-$V365))</f>
        <v/>
      </c>
      <c r="AY365">
        <f>IF($C365="",0,MAX(0,$AX365+IF($P365=W$3,$R365,0)+IF($S365=W$3,$U365,0)-$W365))</f>
        <v/>
      </c>
      <c r="AZ365">
        <f>IF($C365="",0,MAX(0,$AY365+IF($P365=X$3,$R365,0)+IF($S365=X$3,$U365,0)-$X365))</f>
        <v/>
      </c>
      <c r="BA365">
        <f>IF($C365="",0,MAX(0,$AZ365+IF($P365=Y$3,$R365,0)+IF($S365=Y$3,$U365,0)-$Y365))</f>
        <v/>
      </c>
      <c r="BB365">
        <f>IF($C365="",0,MAX(0,$BA365+IF($P365=Z$3,$R365,0)+IF($S365=Z$3,$U365,0)-$Z365))</f>
        <v/>
      </c>
      <c r="BC365">
        <f>IF($C365="",0,MAX(0,$BB365+IF($P365=AA$3,$R365,0)+IF($S365=AA$3,$U365,0)-$AA365))</f>
        <v/>
      </c>
      <c r="BD365">
        <f>IF($C365="",0,MAX(0,$BC365+IF($P365=AB$3,$R365,0)+IF($S365=AB$3,$U365,0)-$AB365))</f>
        <v/>
      </c>
      <c r="BE365">
        <f>IF($C365="",0,MAX(0,$BD365+IF($P365=AC$3,$R365,0)+IF($S365=AC$3,$U365,0)-$AC365))</f>
        <v/>
      </c>
      <c r="BF365">
        <f>IF($C365="",0,MAX(0,$BE365+IF($P365=AD$3,$R365,0)+IF($S365=AD$3,$U365,0)-$AD365))</f>
        <v/>
      </c>
      <c r="BG365">
        <f>IF($C365="",0,MAX(0,$BF365+IF($P365=AE$3,$R365,0)+IF($S365=AE$3,$U365,0)-$AE365))</f>
        <v/>
      </c>
      <c r="BH365">
        <f>IF($C365="",0,MAX(0,$BG365+IF($P365=AF$3,$R365,0)+IF($S365=AF$3,$U365,0)-$AF365))</f>
        <v/>
      </c>
      <c r="BI365">
        <f>IF($C365="",0,MAX(0,$BH365+IF($P365=AG$3,$R365,0)+IF($S365=AG$3,$U365,0)-$AG365))</f>
        <v/>
      </c>
      <c r="BJ365">
        <f>IF($C365="",0,MAX(0,$BI365+IF($P365=AH$3,$R365,0)+IF($S365=AH$3,$U365,0)-$AH365))</f>
        <v/>
      </c>
      <c r="BK365">
        <f>IF($C365="",0,MAX(0,$BJ365+IF($P365=AI$3,$R365,0)+IF($S365=AI$3,$U365,0)-$AI365))</f>
        <v/>
      </c>
      <c r="BL365">
        <f>IF($C365="",99,IF(AND($AX365&lt;1,V$3&gt;=MAX(N($P365),N($S365))),0,99))</f>
        <v/>
      </c>
      <c r="BM365">
        <f>IF($C365="",99,IF(AND($AY365&lt;1,W$3&gt;=MAX(N($P365),N($S365))),1,99))</f>
        <v/>
      </c>
      <c r="BN365">
        <f>IF($C365="",99,IF(AND($AZ365&lt;1,X$3&gt;=MAX(N($P365),N($S365))),2,99))</f>
        <v/>
      </c>
      <c r="BO365">
        <f>IF($C365="",99,IF(AND($BA365&lt;1,Y$3&gt;=MAX(N($P365),N($S365))),3,99))</f>
        <v/>
      </c>
      <c r="BP365">
        <f>IF($C365="",99,IF(AND($BB365&lt;1,Z$3&gt;=MAX(N($P365),N($S365))),4,99))</f>
        <v/>
      </c>
      <c r="BQ365">
        <f>IF($C365="",99,IF(AND($BC365&lt;1,AA$3&gt;=MAX(N($P365),N($S365))),5,99))</f>
        <v/>
      </c>
      <c r="BR365">
        <f>IF($C365="",99,IF(AND($BD365&lt;1,AB$3&gt;=MAX(N($P365),N($S365))),6,99))</f>
        <v/>
      </c>
      <c r="BS365">
        <f>IF($C365="",99,IF(AND($BE365&lt;1,AC$3&gt;=MAX(N($P365),N($S365))),7,99))</f>
        <v/>
      </c>
      <c r="BT365">
        <f>IF($C365="",99,IF(AND($BF365&lt;1,AD$3&gt;=MAX(N($P365),N($S365))),8,99))</f>
        <v/>
      </c>
      <c r="BU365">
        <f>IF($C365="",99,IF(AND($BG365&lt;1,AE$3&gt;=MAX(N($P365),N($S365))),9,99))</f>
        <v/>
      </c>
      <c r="BV365">
        <f>IF($C365="",99,IF(AND($BH365&lt;1,AF$3&gt;=MAX(N($P365),N($S365))),10,99))</f>
        <v/>
      </c>
      <c r="BW365">
        <f>IF($C365="",99,IF(AND($BI365&lt;1,AG$3&gt;=MAX(N($P365),N($S365))),11,99))</f>
        <v/>
      </c>
      <c r="BX365">
        <f>IF($C365="",99,IF(AND($BJ365&lt;1,AH$3&gt;=MAX(N($P365),N($S365))),12,99))</f>
        <v/>
      </c>
      <c r="BY365">
        <f>IF($C365="",99,IF(AND($BK365&lt;1,AI$3&gt;=MAX(N($P365),N($S365))),13,99))</f>
        <v/>
      </c>
      <c r="BZ365">
        <f>IF(OR($C365="",$M365=""),"",COUNTIF($AJ365:$AW365,"&gt;=1"))</f>
        <v/>
      </c>
      <c r="CA365" s="90">
        <f>IF($BZ365="","",IF($BZ365&gt;=14,"",'設定'!$C$6+$BZ365))</f>
        <v/>
      </c>
      <c r="CB365">
        <f>IF(OR($C365="",$M365=""),"",MIN($BL365:$BY365))</f>
        <v/>
      </c>
      <c r="CC365" s="90">
        <f>IF($CB365="","",IF($CB365&gt;=99,"",'設定'!$C$6+$CB365))</f>
        <v/>
      </c>
      <c r="CD365">
        <f>IF(OR($C365="",$M365=""),"",AVERAGE($V365:$AI365))</f>
        <v/>
      </c>
      <c r="CE365">
        <f>IF($C365="","",IFERROR(IF(MATCH(IF(ISNUMBER($P365),$P365,'設定'!$C$6+N('設定'!$C$7)),$V$3:$AI$3,0)=1,MAX(0,N($L365)),INDEX($AJ365:$AW365,MATCH(IF(ISNUMBER($P365),$P365,'設定'!$C$6+N('設定'!$C$7)),$V$3:$AI$3,0)-1)),""))</f>
        <v/>
      </c>
      <c r="CF365">
        <f>IF(OR($C365="",$O365="",$CE365=""),"",IF($O365-$CE365&lt;=0,0,ROUNDUP(($O365-$CE365)/$G365,0)))</f>
        <v/>
      </c>
      <c r="CG365">
        <f>IF(OR($C365="",$CF365="",NOT(ISNUMBER($Q365))),0,MAX(0,$Q365-$CF365))</f>
        <v/>
      </c>
      <c r="CH365">
        <f>IF(OR($C365="",$O365="",$U365=0),0,IFERROR(ROUNDUP(MAX(0,IF(MATCH($S365,$V$3:$AI$3,0)=1,MAX(0,N($L365)),INDEX($AX365:$BK365,MATCH($S365,$V$3:$AI$3,0)-1))+$U365-$O365)/$G365,0),0))</f>
        <v/>
      </c>
      <c r="CI365">
        <f>IF($C365="","",IF(AND($P365="",$Q365=""),"",IF($P365="","⚠ 入庫日を ▼ から選んでください",IF(NOT(ISNUMBER($P365)),"⚠ 入庫日は ▼ から選んでください",IF($P365&lt;N('設定'!$C$6),"⚠ 入庫日が過去です（もう在庫に入っています）→ 消してください",IF($P365&gt;N('設定'!$C$6)+13,"⚠ 入庫日が14日より先です",IF(N($Q365)&lt;=0,"⚠ 入庫数を入れてください",IF($CG365&gt;0,"⚠ 目安より "&amp;$CG365&amp;" 多い（定数を超える）→ 減らす",""))))))))</f>
        <v/>
      </c>
      <c r="CJ365">
        <f>IF($C365="","",IF(AND($S365="",$T365=""),"",IF($S365="","⚠ 2便目：入庫日を ▼ から選んでください",IF(NOT(ISNUMBER($S365)),"⚠ 2便目：入庫日は ▼ から選んでください",IF($S365&lt;N('設定'!$C$6),"⚠ 2便目：入庫日が過去です（もう在庫に入っています）→ 消してください",IF($S365&gt;N('設定'!$C$6)+13,"⚠ 2便目：入庫日が14日より先です",IF(N($T365)&lt;=0,"⚠ 2便目：入庫数を入れてください",IF($CH365&gt;0,"⚠ 2便目：定数を "&amp;$CH365&amp;" ケース超える → 減らす",""))))))))</f>
        <v/>
      </c>
      <c r="CK365">
        <f>IF(AND($CI365="",N($Q365)&gt;0,ISNUMBER($P365)),1,0)</f>
        <v/>
      </c>
      <c r="CL365">
        <f>IF(AND($CJ365="",N($T365)&gt;0,ISNUMBER($S365)),1,0)</f>
        <v/>
      </c>
      <c r="CM365">
        <f>IF(OR($CK365=1,$CL365=1),1,0)</f>
        <v/>
      </c>
      <c r="CN365">
        <f>IF($C365="",0,($CK365*$R365+$CL365*$U365)*N($H365))</f>
        <v/>
      </c>
      <c r="CO365">
        <f>IF($C365="","",IF($CC365="","入庫後は 14日以上もつ",IF($CC365-N('設定'!$C$7)&lt;='設定'!$C$6,"入庫後も "&amp;TEXT($CC365,"m/d")&amp;"("&amp;CHOOSE(WEEKDAY($CC365),"日","月","火","水","木","金","土")&amp;")"&amp;" に切れる　もう1便を至急発注","入庫後も "&amp;TEXT($CC365,"m/d")&amp;"("&amp;CHOOSE(WEEKDAY($CC365),"日","月","火","水","木","金","土")&amp;")"&amp;" に切れる　"&amp;TEXT($CC365-N('設定'!$C$7),"m/d")&amp;"("&amp;CHOOSE(WEEKDAY($CC365-N('設定'!$C$7)),"日","月","火","水","木","金","土")&amp;")"&amp;" までに次を発注")))</f>
        <v/>
      </c>
      <c r="CP365">
        <f>IF($C365="","",IF('設定'!$C$6="","？ ①在庫を貼る に今日のCSVが貼られていない",IF($CS365=1,"－ 今日のCSVに無い（終売？）",IF($L365&lt;0,"● 在庫がマイナス　数えて「数えた在庫」に入れる",IF($L365=0,"● 在庫なし　至急発注",IF($M365="","？ 減り数が未設定（商品マスタ）",IF($B$3=0,"？ 動員が未入力（動員を入れる）",IF($CA365="","○ 14日以上もつ",IF($BZ365&lt;N('設定'!$C$7),"● "&amp;TEXT($CA365,"m/d")&amp;"("&amp;CHOOSE(WEEKDAY($CA365),"日","月","火","水","木","金","土")&amp;")"&amp;" に切れる　至急発注",IF($BZ365=N('設定'!$C$7),"● "&amp;TEXT($CA365,"m/d")&amp;"("&amp;CHOOSE(WEEKDAY($CA365),"日","月","火","水","木","金","土")&amp;")"&amp;" に切れる　今日発注","△ "&amp;TEXT($CA365,"m/d")&amp;"("&amp;CHOOSE(WEEKDAY($CA365),"日","月","火","水","木","金","土")&amp;")"&amp;" に切れる　"&amp;TEXT($CA365-N('設定'!$C$7),"m/d")&amp;"("&amp;CHOOSE(WEEKDAY($CA365-N('設定'!$C$7)),"日","月","火","水","木","金","土")&amp;")"&amp;" までに発注"))))))))))</f>
        <v/>
      </c>
      <c r="CQ365">
        <f>IF($C365="","",IF(AND($P365="",$Q365="",$S365="",$T365=""),"",IF(AND($P365="",$Q365=""),"⚠ 先に1便目（左の入庫日・入庫数）に入れてください",IF($CI365&lt;&gt;"",$CI365,IF($CJ365&lt;&gt;"",$CJ365,IF($M365="","？ 減り数が未設定（発注書には載ります）",IF($B$3=0,"？ 動員が未入力（発注書には載ります）",IF(AND($CA365&lt;&gt;"",$P365&gt;$CA365),IF($P365&gt;'設定'!$C$6+N('設定'!$C$7),"● "&amp;TEXT($P365,"m/d")&amp;"("&amp;CHOOSE(WEEKDAY($P365),"日","月","火","水","木","金","土")&amp;")"&amp;" の入庫では間に合わない（"&amp;TEXT($CA365,"m/d")&amp;"("&amp;CHOOSE(WEEKDAY($CA365),"日","月","火","水","木","金","土")&amp;")"&amp;" に切れる）　入庫日を早める","△ 欠品 "&amp;TEXT($CA365,"m/d")&amp;"("&amp;CHOOSE(WEEKDAY($CA365),"日","月","火","水","木","金","土")&amp;")"&amp;"〜"&amp;TEXT($P365-1,"m/d")&amp;"("&amp;CHOOSE(WEEKDAY($P365-1),"日","月","火","水","木","金","土")&amp;")"&amp;"　"&amp;$CO365),IF($CC365="","○ "&amp;TEXT($P365,"m/d")&amp;"("&amp;CHOOSE(WEEKDAY($P365),"日","月","火","水","木","金","土")&amp;")"&amp;" 入庫で 14日以上もつ",IF($CC365-N('設定'!$C$7)&lt;='設定'!$C$6,"● 入庫しても "&amp;TEXT($CC365,"m/d")&amp;"("&amp;CHOOSE(WEEKDAY($CC365),"日","月","火","水","木","金","土")&amp;")"&amp;" に切れる　もう1便を至急発注（2便目に入れる）","△ 入庫しても "&amp;TEXT($CC365,"m/d")&amp;"("&amp;CHOOSE(WEEKDAY($CC365),"日","月","火","水","木","金","土")&amp;")"&amp;" に切れる　"&amp;TEXT($CC365-N('設定'!$C$7),"m/d")&amp;"("&amp;CHOOSE(WEEKDAY($CC365-N('設定'!$C$7)),"日","月","火","水","木","金","土")&amp;")"&amp;" までに次を発注（2便目に入れる）"))))))))))</f>
        <v/>
      </c>
      <c r="CR365">
        <f>IF($C365="","",IF($G365&gt;1,"ｹｰｽ("&amp;$G365&amp;"入)","個"))</f>
        <v/>
      </c>
      <c r="CS365">
        <f>IF($C365="",0,IF(COUNTIFS('①在庫を貼る'!$V$6:$V$10005,'設定'!$C$4,'①在庫を貼る'!$W$6:$W$10005,$C365)=0,1,0))</f>
        <v/>
      </c>
      <c r="CT365">
        <f>IF(AND($CK365=1,OR('③発注書'!$C$4="すべて",'③発注書'!$C$4="",$F365='③発注書'!$C$4)),N($CT364)+1,N($CT364))</f>
        <v/>
      </c>
      <c r="CU365">
        <f>IF(AND($CL365=1,OR('③発注書'!$C$4="すべて",'③発注書'!$C$4="",$F365='③発注書'!$C$4)),N($CU364)+1,N($CU364))</f>
        <v/>
      </c>
      <c r="CV365">
        <f>IF($C365="",0,IF(COUNTIFS('①在庫を貼る'!$V$6:$V$10005,'設定'!$C$4,'①在庫を貼る'!$W$6:$W$10005,$C365)&gt;0,1,0))</f>
        <v/>
      </c>
      <c r="CW365">
        <f>IF($C365="",0,IF(COUNTIFS('月1回_1ヶ月前の在庫'!$V$6:$V$10005,'設定'!$C$4,'月1回_1ヶ月前の在庫'!$W$6:$W$10005,$C365)&gt;0,1,0))</f>
        <v/>
      </c>
      <c r="CX365">
        <f>IF($C365="",0,IF(COUNTIFS('月1回_2ヶ月前の在庫'!$V$6:$V$10005,'設定'!$C$4,'月1回_2ヶ月前の在庫'!$W$6:$W$10005,$C365)&gt;0,1,0))</f>
        <v/>
      </c>
      <c r="CY365">
        <f>IF(OR($C365="",'設定'!$C$12=""),"",IF('設定'!$C$13="",IF(AND($CV365=1,$CW365=0),"新商品（今月から）",IF(AND($CV365=0,$CW365=1),"終売（今月から）","")),IF(AND($CV365=1,$CW365=0,$CX365=0),"新商品（今月から）",IF(AND($CV365=1,$CW365=1,$CX365=0),"新商品（先月から）",IF(AND($CV365=0,$CW365=1,$CX365=1),"終売（今月から）",IF(AND($CV365=0,$CW365=0,$CX365=1),"終売（先月から）",IF(AND($CV365=1,$CW365=0,$CX365=1),"復活（先月は無し）","")))))))</f>
        <v/>
      </c>
    </row>
    <row r="366">
      <c r="B366">
        <f>IF(361&lt;='設定'!$C$11,361,"")</f>
        <v/>
      </c>
      <c r="C366">
        <f>IF($B366="","",IF($B366&lt;='設定'!$C$20,INDEX('商品マスタ'!$B$6:$B$1005,MATCH($B366,'商品マスタ'!$M$6:$M$1005,0)),IF($B366&lt;='設定'!$C$20+'設定'!$C$17,INDEX('①在庫を貼る'!$W$6:$W$10005,MATCH($B366-'設定'!$C$20,'①在庫を貼る'!$U$6:$U$10005,0)),IF($B366&lt;='設定'!$C$20+'設定'!$C$17+'設定'!$C$18,INDEX('月1回_1ヶ月前の在庫'!$W$6:$W$10005,MATCH($B366-'設定'!$C$20-'設定'!$C$17,'月1回_1ヶ月前の在庫'!$U$6:$U$10005,0)),INDEX('月1回_2ヶ月前の在庫'!$W$6:$W$10005,MATCH($B366-'設定'!$C$20-'設定'!$C$17-'設定'!$C$18,'月1回_2ヶ月前の在庫'!$U$6:$U$10005,0))))))</f>
        <v/>
      </c>
      <c r="D366">
        <f>IF($C366="","",IFERROR(IF(INDEX('商品マスタ'!$C$6:$C$1005,MATCH($C366,'商品マスタ'!$B$6:$B$1005,0))="",IFERROR(INDEX('①在庫を貼る'!$J$6:$J$10005,MATCH($C366,'①在庫を貼る'!$W$6:$W$10005,0)),IFERROR(INDEX('月1回_1ヶ月前の在庫'!$J$6:$J$10005,MATCH($C366,'月1回_1ヶ月前の在庫'!$W$6:$W$10005,0)),IFERROR(INDEX('月1回_2ヶ月前の在庫'!$J$6:$J$10005,MATCH($C366,'月1回_2ヶ月前の在庫'!$W$6:$W$10005,0)),""))),INDEX('商品マスタ'!$C$6:$C$1005,MATCH($C366,'商品マスタ'!$B$6:$B$1005,0))),IFERROR(INDEX('①在庫を貼る'!$J$6:$J$10005,MATCH($C366,'①在庫を貼る'!$W$6:$W$10005,0)),IFERROR(INDEX('月1回_1ヶ月前の在庫'!$J$6:$J$10005,MATCH($C366,'月1回_1ヶ月前の在庫'!$W$6:$W$10005,0)),IFERROR(INDEX('月1回_2ヶ月前の在庫'!$J$6:$J$10005,MATCH($C366,'月1回_2ヶ月前の在庫'!$W$6:$W$10005,0)),"")))))</f>
        <v/>
      </c>
      <c r="E366">
        <f>IF($C366="","",IFERROR(IF(INDEX('商品マスタ'!$D$6:$D$1005,MATCH($C366,'商品マスタ'!$B$6:$B$1005,0))="",IFERROR(INDEX('①在庫を貼る'!$H$6:$H$10005,MATCH($C366,'①在庫を貼る'!$W$6:$W$10005,0)),IFERROR(INDEX('月1回_1ヶ月前の在庫'!$H$6:$H$10005,MATCH($C366,'月1回_1ヶ月前の在庫'!$W$6:$W$10005,0)),IFERROR(INDEX('月1回_2ヶ月前の在庫'!$H$6:$H$10005,MATCH($C366,'月1回_2ヶ月前の在庫'!$W$6:$W$10005,0)),""))),INDEX('商品マスタ'!$D$6:$D$1005,MATCH($C366,'商品マスタ'!$B$6:$B$1005,0))),IFERROR(INDEX('①在庫を貼る'!$H$6:$H$10005,MATCH($C366,'①在庫を貼る'!$W$6:$W$10005,0)),IFERROR(INDEX('月1回_1ヶ月前の在庫'!$H$6:$H$10005,MATCH($C366,'月1回_1ヶ月前の在庫'!$W$6:$W$10005,0)),IFERROR(INDEX('月1回_2ヶ月前の在庫'!$H$6:$H$10005,MATCH($C366,'月1回_2ヶ月前の在庫'!$W$6:$W$10005,0)),"")))))</f>
        <v/>
      </c>
      <c r="F366">
        <f>IF($C366="","",IFERROR(IF(INDEX('商品マスタ'!$E$6:$E$1005,MATCH($C366,'商品マスタ'!$B$6:$B$1005,0))="",IFERROR(INDEX('①在庫を貼る'!$E$6:$E$10005,MATCH($C366,'①在庫を貼る'!$W$6:$W$10005,0)),IFERROR(INDEX('月1回_1ヶ月前の在庫'!$E$6:$E$10005,MATCH($C366,'月1回_1ヶ月前の在庫'!$W$6:$W$10005,0)),IFERROR(INDEX('月1回_2ヶ月前の在庫'!$E$6:$E$10005,MATCH($C366,'月1回_2ヶ月前の在庫'!$W$6:$W$10005,0)),""))),INDEX('商品マスタ'!$E$6:$E$1005,MATCH($C366,'商品マスタ'!$B$6:$B$1005,0))),IFERROR(INDEX('①在庫を貼る'!$E$6:$E$10005,MATCH($C366,'①在庫を貼る'!$W$6:$W$10005,0)),IFERROR(INDEX('月1回_1ヶ月前の在庫'!$E$6:$E$10005,MATCH($C366,'月1回_1ヶ月前の在庫'!$W$6:$W$10005,0)),IFERROR(INDEX('月1回_2ヶ月前の在庫'!$E$6:$E$10005,MATCH($C366,'月1回_2ヶ月前の在庫'!$W$6:$W$10005,0)),"")))))</f>
        <v/>
      </c>
      <c r="G366">
        <f>IF($C366="","",MAX(1,N(IFERROR(IF(INDEX('商品マスタ'!$F$6:$F$1005,MATCH($C366,'商品マスタ'!$B$6:$B$1005,0))="",IF(COUNTIFS('①在庫を貼る'!$V$6:$V$10005,'設定'!$C$4,'①在庫を貼る'!$W$6:$W$10005,$C366)&gt;0,SUMIFS('①在庫を貼る'!$K$6:$K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K$6:$K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K$6:$K$10005,'月1回_2ヶ月前の在庫'!$V$6:$V$10005,'設定'!$C$4,'月1回_2ヶ月前の在庫'!$W$6:$W$10005,$C366)/COUNTIFS('月1回_2ヶ月前の在庫'!$V$6:$V$10005,'設定'!$C$4,'月1回_2ヶ月前の在庫'!$W$6:$W$10005,$C366),0))),INDEX('商品マスタ'!$F$6:$F$1005,MATCH($C366,'商品マスタ'!$B$6:$B$1005,0))),IF(COUNTIFS('①在庫を貼る'!$V$6:$V$10005,'設定'!$C$4,'①在庫を貼る'!$W$6:$W$10005,$C366)&gt;0,SUMIFS('①在庫を貼る'!$K$6:$K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K$6:$K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K$6:$K$10005,'月1回_2ヶ月前の在庫'!$V$6:$V$10005,'設定'!$C$4,'月1回_2ヶ月前の在庫'!$W$6:$W$10005,$C366)/COUNTIFS('月1回_2ヶ月前の在庫'!$V$6:$V$10005,'設定'!$C$4,'月1回_2ヶ月前の在庫'!$W$6:$W$10005,$C366),0)))))))</f>
        <v/>
      </c>
      <c r="H366">
        <f>IF($C366="","",N(IFERROR(IF(INDEX('商品マスタ'!$G$6:$G$1005,MATCH($C366,'商品マスタ'!$B$6:$B$1005,0))="",IF(COUNTIFS('①在庫を貼る'!$V$6:$V$10005,'設定'!$C$4,'①在庫を貼る'!$W$6:$W$10005,$C366)&gt;0,SUMIFS('①在庫を貼る'!$Q$6:$Q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Q$6:$Q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Q$6:$Q$10005,'月1回_2ヶ月前の在庫'!$V$6:$V$10005,'設定'!$C$4,'月1回_2ヶ月前の在庫'!$W$6:$W$10005,$C366)/COUNTIFS('月1回_2ヶ月前の在庫'!$V$6:$V$10005,'設定'!$C$4,'月1回_2ヶ月前の在庫'!$W$6:$W$10005,$C366),0))),INDEX('商品マスタ'!$G$6:$G$1005,MATCH($C366,'商品マスタ'!$B$6:$B$1005,0))),IF(COUNTIFS('①在庫を貼る'!$V$6:$V$10005,'設定'!$C$4,'①在庫を貼る'!$W$6:$W$10005,$C366)&gt;0,SUMIFS('①在庫を貼る'!$Q$6:$Q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Q$6:$Q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Q$6:$Q$10005,'月1回_2ヶ月前の在庫'!$V$6:$V$10005,'設定'!$C$4,'月1回_2ヶ月前の在庫'!$W$6:$W$10005,$C366)/COUNTIFS('月1回_2ヶ月前の在庫'!$V$6:$V$10005,'設定'!$C$4,'月1回_2ヶ月前の在庫'!$W$6:$W$10005,$C366),0))))))</f>
        <v/>
      </c>
      <c r="I366">
        <f>IF($C366="","",IF(COUNTIFS('①在庫を貼る'!$V$6:$V$10005,'設定'!$C$4,'①在庫を貼る'!$W$6:$W$10005,$C366)=0,"",SUMIFS('①在庫を貼る'!$N$6:$N$10005,'①在庫を貼る'!$V$6:$V$10005,'設定'!$C$4,'①在庫を貼る'!$W$6:$W$10005,$C366)))</f>
        <v/>
      </c>
      <c r="J366">
        <f>IF($C366="","",IF('②発注する'!$AD370="","",'②発注する'!$AD370))</f>
        <v/>
      </c>
      <c r="K366" s="90">
        <f>IF($C366="","",IF('②発注する'!$AE370="","",'②発注する'!$AE370))</f>
        <v/>
      </c>
      <c r="L366">
        <f>IF($C366="","",IF(AND(ISNUMBER($J366),ISNUMBER($K366),$K366&gt;='設定'!$C$6),$J366,N($I366)))</f>
        <v/>
      </c>
      <c r="M366">
        <f>IF($C366="","",IFERROR(IF(N(INDEX('商品マスタ'!$J$6:$J$1005,MATCH($C366,'商品マスタ'!$B$6:$B$1005,0)))&gt;0,INDEX('商品マスタ'!$J$6:$J$1005,MATCH($C366,'商品マスタ'!$B$6:$B$1005,0)),""),""))</f>
        <v/>
      </c>
      <c r="N366">
        <f>IF($C366="","",IFERROR(IF(N(INDEX('商品マスタ'!$H$6:$H$1005,MATCH($C366,'商品マスタ'!$B$6:$B$1005,0)))&gt;0,INDEX('商品マスタ'!$H$6:$H$1005,MATCH($C366,'商品マスタ'!$B$6:$B$1005,0)),""),""))</f>
        <v/>
      </c>
      <c r="O366">
        <f>IF($C366="","",IF($N366&lt;&gt;"",$N366*$G366,IF(N(IF(COUNTIFS('①在庫を貼る'!$V$6:$V$10005,'設定'!$C$4,'①在庫を貼る'!$W$6:$W$10005,$C366)&gt;0,SUMIFS('①在庫を貼る'!$O$6:$O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O$6:$O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O$6:$O$10005,'月1回_2ヶ月前の在庫'!$V$6:$V$10005,'設定'!$C$4,'月1回_2ヶ月前の在庫'!$W$6:$W$10005,$C366)/COUNTIFS('月1回_2ヶ月前の在庫'!$V$6:$V$10005,'設定'!$C$4,'月1回_2ヶ月前の在庫'!$W$6:$W$10005,$C366),0))))&gt;0,N(IF(COUNTIFS('①在庫を貼る'!$V$6:$V$10005,'設定'!$C$4,'①在庫を貼る'!$W$6:$W$10005,$C366)&gt;0,SUMIFS('①在庫を貼る'!$O$6:$O$10005,'①在庫を貼る'!$V$6:$V$10005,'設定'!$C$4,'①在庫を貼る'!$W$6:$W$10005,$C366)/COUNTIFS('①在庫を貼る'!$V$6:$V$10005,'設定'!$C$4,'①在庫を貼る'!$W$6:$W$10005,$C366),IF(COUNTIFS('月1回_1ヶ月前の在庫'!$V$6:$V$10005,'設定'!$C$4,'月1回_1ヶ月前の在庫'!$W$6:$W$10005,$C366)&gt;0,SUMIFS('月1回_1ヶ月前の在庫'!$O$6:$O$10005,'月1回_1ヶ月前の在庫'!$V$6:$V$10005,'設定'!$C$4,'月1回_1ヶ月前の在庫'!$W$6:$W$10005,$C366)/COUNTIFS('月1回_1ヶ月前の在庫'!$V$6:$V$10005,'設定'!$C$4,'月1回_1ヶ月前の在庫'!$W$6:$W$10005,$C366),IF(COUNTIFS('月1回_2ヶ月前の在庫'!$V$6:$V$10005,'設定'!$C$4,'月1回_2ヶ月前の在庫'!$W$6:$W$10005,$C366)&gt;0,SUMIFS('月1回_2ヶ月前の在庫'!$O$6:$O$10005,'月1回_2ヶ月前の在庫'!$V$6:$V$10005,'設定'!$C$4,'月1回_2ヶ月前の在庫'!$W$6:$W$10005,$C366)/COUNTIFS('月1回_2ヶ月前の在庫'!$V$6:$V$10005,'設定'!$C$4,'月1回_2ヶ月前の在庫'!$W$6:$W$10005,$C366),0)))),"")))</f>
        <v/>
      </c>
      <c r="P366" s="90">
        <f>IF($C366="","",IF('②発注する'!$I370="","",'②発注する'!$I370))</f>
        <v/>
      </c>
      <c r="Q366">
        <f>IF($C366="","",IF('②発注する'!$J370="","",'②発注する'!$J370))</f>
        <v/>
      </c>
      <c r="R366">
        <f>IF($C366="",0,IF(AND(ISNUMBER($P366),ISNUMBER($Q366)),MAX(0,$Q366)*$G366,0))</f>
        <v/>
      </c>
      <c r="S366" s="90">
        <f>IF($C366="","",IF('②発注する'!$M370="","",'②発注する'!$M370))</f>
        <v/>
      </c>
      <c r="T366">
        <f>IF($C366="","",IF('②発注する'!$N370="","",'②発注する'!$N370))</f>
        <v/>
      </c>
      <c r="U366">
        <f>IF($C366="",0,IF(AND(ISNUMBER($S366),ISNUMBER($T366)),MAX(0,$T366)*$G366,0))</f>
        <v/>
      </c>
      <c r="V366">
        <f>IF($C366="",0,IF($M366="",0,MAX(0,$M366)*MAX(0,V$4)/100))</f>
        <v/>
      </c>
      <c r="W366">
        <f>IF($C366="",0,IF($M366="",0,MAX(0,$M366)*MAX(0,W$4)/100))</f>
        <v/>
      </c>
      <c r="X366">
        <f>IF($C366="",0,IF($M366="",0,MAX(0,$M366)*MAX(0,X$4)/100))</f>
        <v/>
      </c>
      <c r="Y366">
        <f>IF($C366="",0,IF($M366="",0,MAX(0,$M366)*MAX(0,Y$4)/100))</f>
        <v/>
      </c>
      <c r="Z366">
        <f>IF($C366="",0,IF($M366="",0,MAX(0,$M366)*MAX(0,Z$4)/100))</f>
        <v/>
      </c>
      <c r="AA366">
        <f>IF($C366="",0,IF($M366="",0,MAX(0,$M366)*MAX(0,AA$4)/100))</f>
        <v/>
      </c>
      <c r="AB366">
        <f>IF($C366="",0,IF($M366="",0,MAX(0,$M366)*MAX(0,AB$4)/100))</f>
        <v/>
      </c>
      <c r="AC366">
        <f>IF($C366="",0,IF($M366="",0,MAX(0,$M366)*MAX(0,AC$4)/100))</f>
        <v/>
      </c>
      <c r="AD366">
        <f>IF($C366="",0,IF($M366="",0,MAX(0,$M366)*MAX(0,AD$4)/100))</f>
        <v/>
      </c>
      <c r="AE366">
        <f>IF($C366="",0,IF($M366="",0,MAX(0,$M366)*MAX(0,AE$4)/100))</f>
        <v/>
      </c>
      <c r="AF366">
        <f>IF($C366="",0,IF($M366="",0,MAX(0,$M366)*MAX(0,AF$4)/100))</f>
        <v/>
      </c>
      <c r="AG366">
        <f>IF($C366="",0,IF($M366="",0,MAX(0,$M366)*MAX(0,AG$4)/100))</f>
        <v/>
      </c>
      <c r="AH366">
        <f>IF($C366="",0,IF($M366="",0,MAX(0,$M366)*MAX(0,AH$4)/100))</f>
        <v/>
      </c>
      <c r="AI366">
        <f>IF($C366="",0,IF($M366="",0,MAX(0,$M366)*MAX(0,AI$4)/100))</f>
        <v/>
      </c>
      <c r="AJ366">
        <f>IF($C366="",0,MAX(0,MAX(0,N($L366))-$V366))</f>
        <v/>
      </c>
      <c r="AK366">
        <f>IF($C366="",0,MAX(0,$AJ366-$W366))</f>
        <v/>
      </c>
      <c r="AL366">
        <f>IF($C366="",0,MAX(0,$AK366-$X366))</f>
        <v/>
      </c>
      <c r="AM366">
        <f>IF($C366="",0,MAX(0,$AL366-$Y366))</f>
        <v/>
      </c>
      <c r="AN366">
        <f>IF($C366="",0,MAX(0,$AM366-$Z366))</f>
        <v/>
      </c>
      <c r="AO366">
        <f>IF($C366="",0,MAX(0,$AN366-$AA366))</f>
        <v/>
      </c>
      <c r="AP366">
        <f>IF($C366="",0,MAX(0,$AO366-$AB366))</f>
        <v/>
      </c>
      <c r="AQ366">
        <f>IF($C366="",0,MAX(0,$AP366-$AC366))</f>
        <v/>
      </c>
      <c r="AR366">
        <f>IF($C366="",0,MAX(0,$AQ366-$AD366))</f>
        <v/>
      </c>
      <c r="AS366">
        <f>IF($C366="",0,MAX(0,$AR366-$AE366))</f>
        <v/>
      </c>
      <c r="AT366">
        <f>IF($C366="",0,MAX(0,$AS366-$AF366))</f>
        <v/>
      </c>
      <c r="AU366">
        <f>IF($C366="",0,MAX(0,$AT366-$AG366))</f>
        <v/>
      </c>
      <c r="AV366">
        <f>IF($C366="",0,MAX(0,$AU366-$AH366))</f>
        <v/>
      </c>
      <c r="AW366">
        <f>IF($C366="",0,MAX(0,$AV366-$AI366))</f>
        <v/>
      </c>
      <c r="AX366">
        <f>IF($C366="",0,MAX(0,MAX(0,N($L366))+IF($P366=V$3,$R366,0)+IF($S366=V$3,$U366,0)-$V366))</f>
        <v/>
      </c>
      <c r="AY366">
        <f>IF($C366="",0,MAX(0,$AX366+IF($P366=W$3,$R366,0)+IF($S366=W$3,$U366,0)-$W366))</f>
        <v/>
      </c>
      <c r="AZ366">
        <f>IF($C366="",0,MAX(0,$AY366+IF($P366=X$3,$R366,0)+IF($S366=X$3,$U366,0)-$X366))</f>
        <v/>
      </c>
      <c r="BA366">
        <f>IF($C366="",0,MAX(0,$AZ366+IF($P366=Y$3,$R366,0)+IF($S366=Y$3,$U366,0)-$Y366))</f>
        <v/>
      </c>
      <c r="BB366">
        <f>IF($C366="",0,MAX(0,$BA366+IF($P366=Z$3,$R366,0)+IF($S366=Z$3,$U366,0)-$Z366))</f>
        <v/>
      </c>
      <c r="BC366">
        <f>IF($C366="",0,MAX(0,$BB366+IF($P366=AA$3,$R366,0)+IF($S366=AA$3,$U366,0)-$AA366))</f>
        <v/>
      </c>
      <c r="BD366">
        <f>IF($C366="",0,MAX(0,$BC366+IF($P366=AB$3,$R366,0)+IF($S366=AB$3,$U366,0)-$AB366))</f>
        <v/>
      </c>
      <c r="BE366">
        <f>IF($C366="",0,MAX(0,$BD366+IF($P366=AC$3,$R366,0)+IF($S366=AC$3,$U366,0)-$AC366))</f>
        <v/>
      </c>
      <c r="BF366">
        <f>IF($C366="",0,MAX(0,$BE366+IF($P366=AD$3,$R366,0)+IF($S366=AD$3,$U366,0)-$AD366))</f>
        <v/>
      </c>
      <c r="BG366">
        <f>IF($C366="",0,MAX(0,$BF366+IF($P366=AE$3,$R366,0)+IF($S366=AE$3,$U366,0)-$AE366))</f>
        <v/>
      </c>
      <c r="BH366">
        <f>IF($C366="",0,MAX(0,$BG366+IF($P366=AF$3,$R366,0)+IF($S366=AF$3,$U366,0)-$AF366))</f>
        <v/>
      </c>
      <c r="BI366">
        <f>IF($C366="",0,MAX(0,$BH366+IF($P366=AG$3,$R366,0)+IF($S366=AG$3,$U366,0)-$AG366))</f>
        <v/>
      </c>
      <c r="BJ366">
        <f>IF($C366="",0,MAX(0,$BI366+IF($P366=AH$3,$R366,0)+IF($S366=AH$3,$U366,0)-$AH366))</f>
        <v/>
      </c>
      <c r="BK366">
        <f>IF($C366="",0,MAX(0,$BJ366+IF($P366=AI$3,$R366,0)+IF($S366=AI$3,$U366,0)-$AI366))</f>
        <v/>
      </c>
      <c r="BL366">
        <f>IF($C366="",99,IF(AND($AX366&lt;1,V$3&gt;=MAX(N($P366),N($S366))),0,99))</f>
        <v/>
      </c>
      <c r="BM366">
        <f>IF($C366="",99,IF(AND($AY366&lt;1,W$3&gt;=MAX(N($P366),N($S366))),1,99))</f>
        <v/>
      </c>
      <c r="BN366">
        <f>IF($C366="",99,IF(AND($AZ366&lt;1,X$3&gt;=MAX(N($P366),N($S366))),2,99))</f>
        <v/>
      </c>
      <c r="BO366">
        <f>IF($C366="",99,IF(AND($BA366&lt;1,Y$3&gt;=MAX(N($P366),N($S366))),3,99))</f>
        <v/>
      </c>
      <c r="BP366">
        <f>IF($C366="",99,IF(AND($BB366&lt;1,Z$3&gt;=MAX(N($P366),N($S366))),4,99))</f>
        <v/>
      </c>
      <c r="BQ366">
        <f>IF($C366="",99,IF(AND($BC366&lt;1,AA$3&gt;=MAX(N($P366),N($S366))),5,99))</f>
        <v/>
      </c>
      <c r="BR366">
        <f>IF($C366="",99,IF(AND($BD366&lt;1,AB$3&gt;=MAX(N($P366),N($S366))),6,99))</f>
        <v/>
      </c>
      <c r="BS366">
        <f>IF($C366="",99,IF(AND($BE366&lt;1,AC$3&gt;=MAX(N($P366),N($S366))),7,99))</f>
        <v/>
      </c>
      <c r="BT366">
        <f>IF($C366="",99,IF(AND($BF366&lt;1,AD$3&gt;=MAX(N($P366),N($S366))),8,99))</f>
        <v/>
      </c>
      <c r="BU366">
        <f>IF($C366="",99,IF(AND($BG366&lt;1,AE$3&gt;=MAX(N($P366),N($S366))),9,99))</f>
        <v/>
      </c>
      <c r="BV366">
        <f>IF($C366="",99,IF(AND($BH366&lt;1,AF$3&gt;=MAX(N($P366),N($S366))),10,99))</f>
        <v/>
      </c>
      <c r="BW366">
        <f>IF($C366="",99,IF(AND($BI366&lt;1,AG$3&gt;=MAX(N($P366),N($S366))),11,99))</f>
        <v/>
      </c>
      <c r="BX366">
        <f>IF($C366="",99,IF(AND($BJ366&lt;1,AH$3&gt;=MAX(N($P366),N($S366))),12,99))</f>
        <v/>
      </c>
      <c r="BY366">
        <f>IF($C366="",99,IF(AND($BK366&lt;1,AI$3&gt;=MAX(N($P366),N($S366))),13,99))</f>
        <v/>
      </c>
      <c r="BZ366">
        <f>IF(OR($C366="",$M366=""),"",COUNTIF($AJ366:$AW366,"&gt;=1"))</f>
        <v/>
      </c>
      <c r="CA366" s="90">
        <f>IF($BZ366="","",IF($BZ366&gt;=14,"",'設定'!$C$6+$BZ366))</f>
        <v/>
      </c>
      <c r="CB366">
        <f>IF(OR($C366="",$M366=""),"",MIN($BL366:$BY366))</f>
        <v/>
      </c>
      <c r="CC366" s="90">
        <f>IF($CB366="","",IF($CB366&gt;=99,"",'設定'!$C$6+$CB366))</f>
        <v/>
      </c>
      <c r="CD366">
        <f>IF(OR($C366="",$M366=""),"",AVERAGE($V366:$AI366))</f>
        <v/>
      </c>
      <c r="CE366">
        <f>IF($C366="","",IFERROR(IF(MATCH(IF(ISNUMBER($P366),$P366,'設定'!$C$6+N('設定'!$C$7)),$V$3:$AI$3,0)=1,MAX(0,N($L366)),INDEX($AJ366:$AW366,MATCH(IF(ISNUMBER($P366),$P366,'設定'!$C$6+N('設定'!$C$7)),$V$3:$AI$3,0)-1)),""))</f>
        <v/>
      </c>
      <c r="CF366">
        <f>IF(OR($C366="",$O366="",$CE366=""),"",IF($O366-$CE366&lt;=0,0,ROUNDUP(($O366-$CE366)/$G366,0)))</f>
        <v/>
      </c>
      <c r="CG366">
        <f>IF(OR($C366="",$CF366="",NOT(ISNUMBER($Q366))),0,MAX(0,$Q366-$CF366))</f>
        <v/>
      </c>
      <c r="CH366">
        <f>IF(OR($C366="",$O366="",$U366=0),0,IFERROR(ROUNDUP(MAX(0,IF(MATCH($S366,$V$3:$AI$3,0)=1,MAX(0,N($L366)),INDEX($AX366:$BK366,MATCH($S366,$V$3:$AI$3,0)-1))+$U366-$O366)/$G366,0),0))</f>
        <v/>
      </c>
      <c r="CI366">
        <f>IF($C366="","",IF(AND($P366="",$Q366=""),"",IF($P366="","⚠ 入庫日を ▼ から選んでください",IF(NOT(ISNUMBER($P366)),"⚠ 入庫日は ▼ から選んでください",IF($P366&lt;N('設定'!$C$6),"⚠ 入庫日が過去です（もう在庫に入っています）→ 消してください",IF($P366&gt;N('設定'!$C$6)+13,"⚠ 入庫日が14日より先です",IF(N($Q366)&lt;=0,"⚠ 入庫数を入れてください",IF($CG366&gt;0,"⚠ 目安より "&amp;$CG366&amp;" 多い（定数を超える）→ 減らす",""))))))))</f>
        <v/>
      </c>
      <c r="CJ366">
        <f>IF($C366="","",IF(AND($S366="",$T366=""),"",IF($S366="","⚠ 2便目：入庫日を ▼ から選んでください",IF(NOT(ISNUMBER($S366)),"⚠ 2便目：入庫日は ▼ から選んでください",IF($S366&lt;N('設定'!$C$6),"⚠ 2便目：入庫日が過去です（もう在庫に入っています）→ 消してください",IF($S366&gt;N('設定'!$C$6)+13,"⚠ 2便目：入庫日が14日より先です",IF(N($T366)&lt;=0,"⚠ 2便目：入庫数を入れてください",IF($CH366&gt;0,"⚠ 2便目：定数を "&amp;$CH366&amp;" ケース超える → 減らす",""))))))))</f>
        <v/>
      </c>
      <c r="CK366">
        <f>IF(AND($CI366="",N($Q366)&gt;0,ISNUMBER($P366)),1,0)</f>
        <v/>
      </c>
      <c r="CL366">
        <f>IF(AND($CJ366="",N($T366)&gt;0,ISNUMBER($S366)),1,0)</f>
        <v/>
      </c>
      <c r="CM366">
        <f>IF(OR($CK366=1,$CL366=1),1,0)</f>
        <v/>
      </c>
      <c r="CN366">
        <f>IF($C366="",0,($CK366*$R366+$CL366*$U366)*N($H366))</f>
        <v/>
      </c>
      <c r="CO366">
        <f>IF($C366="","",IF($CC366="","入庫後は 14日以上もつ",IF($CC366-N('設定'!$C$7)&lt;='設定'!$C$6,"入庫後も "&amp;TEXT($CC366,"m/d")&amp;"("&amp;CHOOSE(WEEKDAY($CC366),"日","月","火","水","木","金","土")&amp;")"&amp;" に切れる　もう1便を至急発注","入庫後も "&amp;TEXT($CC366,"m/d")&amp;"("&amp;CHOOSE(WEEKDAY($CC366),"日","月","火","水","木","金","土")&amp;")"&amp;" に切れる　"&amp;TEXT($CC366-N('設定'!$C$7),"m/d")&amp;"("&amp;CHOOSE(WEEKDAY($CC366-N('設定'!$C$7)),"日","月","火","水","木","金","土")&amp;")"&amp;" までに次を発注")))</f>
        <v/>
      </c>
      <c r="CP366">
        <f>IF($C366="","",IF('設定'!$C$6="","？ ①在庫を貼る に今日のCSVが貼られていない",IF($CS366=1,"－ 今日のCSVに無い（終売？）",IF($L366&lt;0,"● 在庫がマイナス　数えて「数えた在庫」に入れる",IF($L366=0,"● 在庫なし　至急発注",IF($M366="","？ 減り数が未設定（商品マスタ）",IF($B$3=0,"？ 動員が未入力（動員を入れる）",IF($CA366="","○ 14日以上もつ",IF($BZ366&lt;N('設定'!$C$7),"● "&amp;TEXT($CA366,"m/d")&amp;"("&amp;CHOOSE(WEEKDAY($CA366),"日","月","火","水","木","金","土")&amp;")"&amp;" に切れる　至急発注",IF($BZ366=N('設定'!$C$7),"● "&amp;TEXT($CA366,"m/d")&amp;"("&amp;CHOOSE(WEEKDAY($CA366),"日","月","火","水","木","金","土")&amp;")"&amp;" に切れる　今日発注","△ "&amp;TEXT($CA366,"m/d")&amp;"("&amp;CHOOSE(WEEKDAY($CA366),"日","月","火","水","木","金","土")&amp;")"&amp;" に切れる　"&amp;TEXT($CA366-N('設定'!$C$7),"m/d")&amp;"("&amp;CHOOSE(WEEKDAY($CA366-N('設定'!$C$7)),"日","月","火","水","木","金","土")&amp;")"&amp;" までに発注"))))))))))</f>
        <v/>
      </c>
      <c r="CQ366">
        <f>IF($C366="","",IF(AND($P366="",$Q366="",$S366="",$T366=""),"",IF(AND($P366="",$Q366=""),"⚠ 先に1便目（左の入庫日・入庫数）に入れてください",IF($CI366&lt;&gt;"",$CI366,IF($CJ366&lt;&gt;"",$CJ366,IF($M366="","？ 減り数が未設定（発注書には載ります）",IF($B$3=0,"？ 動員が未入力（発注書には載ります）",IF(AND($CA366&lt;&gt;"",$P366&gt;$CA366),IF($P366&gt;'設定'!$C$6+N('設定'!$C$7),"● "&amp;TEXT($P366,"m/d")&amp;"("&amp;CHOOSE(WEEKDAY($P366),"日","月","火","水","木","金","土")&amp;")"&amp;" の入庫では間に合わない（"&amp;TEXT($CA366,"m/d")&amp;"("&amp;CHOOSE(WEEKDAY($CA366),"日","月","火","水","木","金","土")&amp;")"&amp;" に切れる）　入庫日を早める","△ 欠品 "&amp;TEXT($CA366,"m/d")&amp;"("&amp;CHOOSE(WEEKDAY($CA366),"日","月","火","水","木","金","土")&amp;")"&amp;"〜"&amp;TEXT($P366-1,"m/d")&amp;"("&amp;CHOOSE(WEEKDAY($P366-1),"日","月","火","水","木","金","土")&amp;")"&amp;"　"&amp;$CO366),IF($CC366="","○ "&amp;TEXT($P366,"m/d")&amp;"("&amp;CHOOSE(WEEKDAY($P366),"日","月","火","水","木","金","土")&amp;")"&amp;" 入庫で 14日以上もつ",IF($CC366-N('設定'!$C$7)&lt;='設定'!$C$6,"● 入庫しても "&amp;TEXT($CC366,"m/d")&amp;"("&amp;CHOOSE(WEEKDAY($CC366),"日","月","火","水","木","金","土")&amp;")"&amp;" に切れる　もう1便を至急発注（2便目に入れる）","△ 入庫しても "&amp;TEXT($CC366,"m/d")&amp;"("&amp;CHOOSE(WEEKDAY($CC366),"日","月","火","水","木","金","土")&amp;")"&amp;" に切れる　"&amp;TEXT($CC366-N('設定'!$C$7),"m/d")&amp;"("&amp;CHOOSE(WEEKDAY($CC366-N('設定'!$C$7)),"日","月","火","水","木","金","土")&amp;")"&amp;" までに次を発注（2便目に入れる）"))))))))))</f>
        <v/>
      </c>
      <c r="CR366">
        <f>IF($C366="","",IF($G366&gt;1,"ｹｰｽ("&amp;$G366&amp;"入)","個"))</f>
        <v/>
      </c>
      <c r="CS366">
        <f>IF($C366="",0,IF(COUNTIFS('①在庫を貼る'!$V$6:$V$10005,'設定'!$C$4,'①在庫を貼る'!$W$6:$W$10005,$C366)=0,1,0))</f>
        <v/>
      </c>
      <c r="CT366">
        <f>IF(AND($CK366=1,OR('③発注書'!$C$4="すべて",'③発注書'!$C$4="",$F366='③発注書'!$C$4)),N($CT365)+1,N($CT365))</f>
        <v/>
      </c>
      <c r="CU366">
        <f>IF(AND($CL366=1,OR('③発注書'!$C$4="すべて",'③発注書'!$C$4="",$F366='③発注書'!$C$4)),N($CU365)+1,N($CU365))</f>
        <v/>
      </c>
      <c r="CV366">
        <f>IF($C366="",0,IF(COUNTIFS('①在庫を貼る'!$V$6:$V$10005,'設定'!$C$4,'①在庫を貼る'!$W$6:$W$10005,$C366)&gt;0,1,0))</f>
        <v/>
      </c>
      <c r="CW366">
        <f>IF($C366="",0,IF(COUNTIFS('月1回_1ヶ月前の在庫'!$V$6:$V$10005,'設定'!$C$4,'月1回_1ヶ月前の在庫'!$W$6:$W$10005,$C366)&gt;0,1,0))</f>
        <v/>
      </c>
      <c r="CX366">
        <f>IF($C366="",0,IF(COUNTIFS('月1回_2ヶ月前の在庫'!$V$6:$V$10005,'設定'!$C$4,'月1回_2ヶ月前の在庫'!$W$6:$W$10005,$C366)&gt;0,1,0))</f>
        <v/>
      </c>
      <c r="CY366">
        <f>IF(OR($C366="",'設定'!$C$12=""),"",IF('設定'!$C$13="",IF(AND($CV366=1,$CW366=0),"新商品（今月から）",IF(AND($CV366=0,$CW366=1),"終売（今月から）","")),IF(AND($CV366=1,$CW366=0,$CX366=0),"新商品（今月から）",IF(AND($CV366=1,$CW366=1,$CX366=0),"新商品（先月から）",IF(AND($CV366=0,$CW366=1,$CX366=1),"終売（今月から）",IF(AND($CV366=0,$CW366=0,$CX366=1),"終売（先月から）",IF(AND($CV366=1,$CW366=0,$CX366=1),"復活（先月は無し）","")))))))</f>
        <v/>
      </c>
    </row>
    <row r="367">
      <c r="B367">
        <f>IF(362&lt;='設定'!$C$11,362,"")</f>
        <v/>
      </c>
      <c r="C367">
        <f>IF($B367="","",IF($B367&lt;='設定'!$C$20,INDEX('商品マスタ'!$B$6:$B$1005,MATCH($B367,'商品マスタ'!$M$6:$M$1005,0)),IF($B367&lt;='設定'!$C$20+'設定'!$C$17,INDEX('①在庫を貼る'!$W$6:$W$10005,MATCH($B367-'設定'!$C$20,'①在庫を貼る'!$U$6:$U$10005,0)),IF($B367&lt;='設定'!$C$20+'設定'!$C$17+'設定'!$C$18,INDEX('月1回_1ヶ月前の在庫'!$W$6:$W$10005,MATCH($B367-'設定'!$C$20-'設定'!$C$17,'月1回_1ヶ月前の在庫'!$U$6:$U$10005,0)),INDEX('月1回_2ヶ月前の在庫'!$W$6:$W$10005,MATCH($B367-'設定'!$C$20-'設定'!$C$17-'設定'!$C$18,'月1回_2ヶ月前の在庫'!$U$6:$U$10005,0))))))</f>
        <v/>
      </c>
      <c r="D367">
        <f>IF($C367="","",IFERROR(IF(INDEX('商品マスタ'!$C$6:$C$1005,MATCH($C367,'商品マスタ'!$B$6:$B$1005,0))="",IFERROR(INDEX('①在庫を貼る'!$J$6:$J$10005,MATCH($C367,'①在庫を貼る'!$W$6:$W$10005,0)),IFERROR(INDEX('月1回_1ヶ月前の在庫'!$J$6:$J$10005,MATCH($C367,'月1回_1ヶ月前の在庫'!$W$6:$W$10005,0)),IFERROR(INDEX('月1回_2ヶ月前の在庫'!$J$6:$J$10005,MATCH($C367,'月1回_2ヶ月前の在庫'!$W$6:$W$10005,0)),""))),INDEX('商品マスタ'!$C$6:$C$1005,MATCH($C367,'商品マスタ'!$B$6:$B$1005,0))),IFERROR(INDEX('①在庫を貼る'!$J$6:$J$10005,MATCH($C367,'①在庫を貼る'!$W$6:$W$10005,0)),IFERROR(INDEX('月1回_1ヶ月前の在庫'!$J$6:$J$10005,MATCH($C367,'月1回_1ヶ月前の在庫'!$W$6:$W$10005,0)),IFERROR(INDEX('月1回_2ヶ月前の在庫'!$J$6:$J$10005,MATCH($C367,'月1回_2ヶ月前の在庫'!$W$6:$W$10005,0)),"")))))</f>
        <v/>
      </c>
      <c r="E367">
        <f>IF($C367="","",IFERROR(IF(INDEX('商品マスタ'!$D$6:$D$1005,MATCH($C367,'商品マスタ'!$B$6:$B$1005,0))="",IFERROR(INDEX('①在庫を貼る'!$H$6:$H$10005,MATCH($C367,'①在庫を貼る'!$W$6:$W$10005,0)),IFERROR(INDEX('月1回_1ヶ月前の在庫'!$H$6:$H$10005,MATCH($C367,'月1回_1ヶ月前の在庫'!$W$6:$W$10005,0)),IFERROR(INDEX('月1回_2ヶ月前の在庫'!$H$6:$H$10005,MATCH($C367,'月1回_2ヶ月前の在庫'!$W$6:$W$10005,0)),""))),INDEX('商品マスタ'!$D$6:$D$1005,MATCH($C367,'商品マスタ'!$B$6:$B$1005,0))),IFERROR(INDEX('①在庫を貼る'!$H$6:$H$10005,MATCH($C367,'①在庫を貼る'!$W$6:$W$10005,0)),IFERROR(INDEX('月1回_1ヶ月前の在庫'!$H$6:$H$10005,MATCH($C367,'月1回_1ヶ月前の在庫'!$W$6:$W$10005,0)),IFERROR(INDEX('月1回_2ヶ月前の在庫'!$H$6:$H$10005,MATCH($C367,'月1回_2ヶ月前の在庫'!$W$6:$W$10005,0)),"")))))</f>
        <v/>
      </c>
      <c r="F367">
        <f>IF($C367="","",IFERROR(IF(INDEX('商品マスタ'!$E$6:$E$1005,MATCH($C367,'商品マスタ'!$B$6:$B$1005,0))="",IFERROR(INDEX('①在庫を貼る'!$E$6:$E$10005,MATCH($C367,'①在庫を貼る'!$W$6:$W$10005,0)),IFERROR(INDEX('月1回_1ヶ月前の在庫'!$E$6:$E$10005,MATCH($C367,'月1回_1ヶ月前の在庫'!$W$6:$W$10005,0)),IFERROR(INDEX('月1回_2ヶ月前の在庫'!$E$6:$E$10005,MATCH($C367,'月1回_2ヶ月前の在庫'!$W$6:$W$10005,0)),""))),INDEX('商品マスタ'!$E$6:$E$1005,MATCH($C367,'商品マスタ'!$B$6:$B$1005,0))),IFERROR(INDEX('①在庫を貼る'!$E$6:$E$10005,MATCH($C367,'①在庫を貼る'!$W$6:$W$10005,0)),IFERROR(INDEX('月1回_1ヶ月前の在庫'!$E$6:$E$10005,MATCH($C367,'月1回_1ヶ月前の在庫'!$W$6:$W$10005,0)),IFERROR(INDEX('月1回_2ヶ月前の在庫'!$E$6:$E$10005,MATCH($C367,'月1回_2ヶ月前の在庫'!$W$6:$W$10005,0)),"")))))</f>
        <v/>
      </c>
      <c r="G367">
        <f>IF($C367="","",MAX(1,N(IFERROR(IF(INDEX('商品マスタ'!$F$6:$F$1005,MATCH($C367,'商品マスタ'!$B$6:$B$1005,0))="",IF(COUNTIFS('①在庫を貼る'!$V$6:$V$10005,'設定'!$C$4,'①在庫を貼る'!$W$6:$W$10005,$C367)&gt;0,SUMIFS('①在庫を貼る'!$K$6:$K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K$6:$K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K$6:$K$10005,'月1回_2ヶ月前の在庫'!$V$6:$V$10005,'設定'!$C$4,'月1回_2ヶ月前の在庫'!$W$6:$W$10005,$C367)/COUNTIFS('月1回_2ヶ月前の在庫'!$V$6:$V$10005,'設定'!$C$4,'月1回_2ヶ月前の在庫'!$W$6:$W$10005,$C367),0))),INDEX('商品マスタ'!$F$6:$F$1005,MATCH($C367,'商品マスタ'!$B$6:$B$1005,0))),IF(COUNTIFS('①在庫を貼る'!$V$6:$V$10005,'設定'!$C$4,'①在庫を貼る'!$W$6:$W$10005,$C367)&gt;0,SUMIFS('①在庫を貼る'!$K$6:$K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K$6:$K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K$6:$K$10005,'月1回_2ヶ月前の在庫'!$V$6:$V$10005,'設定'!$C$4,'月1回_2ヶ月前の在庫'!$W$6:$W$10005,$C367)/COUNTIFS('月1回_2ヶ月前の在庫'!$V$6:$V$10005,'設定'!$C$4,'月1回_2ヶ月前の在庫'!$W$6:$W$10005,$C367),0)))))))</f>
        <v/>
      </c>
      <c r="H367">
        <f>IF($C367="","",N(IFERROR(IF(INDEX('商品マスタ'!$G$6:$G$1005,MATCH($C367,'商品マスタ'!$B$6:$B$1005,0))="",IF(COUNTIFS('①在庫を貼る'!$V$6:$V$10005,'設定'!$C$4,'①在庫を貼る'!$W$6:$W$10005,$C367)&gt;0,SUMIFS('①在庫を貼る'!$Q$6:$Q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Q$6:$Q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Q$6:$Q$10005,'月1回_2ヶ月前の在庫'!$V$6:$V$10005,'設定'!$C$4,'月1回_2ヶ月前の在庫'!$W$6:$W$10005,$C367)/COUNTIFS('月1回_2ヶ月前の在庫'!$V$6:$V$10005,'設定'!$C$4,'月1回_2ヶ月前の在庫'!$W$6:$W$10005,$C367),0))),INDEX('商品マスタ'!$G$6:$G$1005,MATCH($C367,'商品マスタ'!$B$6:$B$1005,0))),IF(COUNTIFS('①在庫を貼る'!$V$6:$V$10005,'設定'!$C$4,'①在庫を貼る'!$W$6:$W$10005,$C367)&gt;0,SUMIFS('①在庫を貼る'!$Q$6:$Q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Q$6:$Q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Q$6:$Q$10005,'月1回_2ヶ月前の在庫'!$V$6:$V$10005,'設定'!$C$4,'月1回_2ヶ月前の在庫'!$W$6:$W$10005,$C367)/COUNTIFS('月1回_2ヶ月前の在庫'!$V$6:$V$10005,'設定'!$C$4,'月1回_2ヶ月前の在庫'!$W$6:$W$10005,$C367),0))))))</f>
        <v/>
      </c>
      <c r="I367">
        <f>IF($C367="","",IF(COUNTIFS('①在庫を貼る'!$V$6:$V$10005,'設定'!$C$4,'①在庫を貼る'!$W$6:$W$10005,$C367)=0,"",SUMIFS('①在庫を貼る'!$N$6:$N$10005,'①在庫を貼る'!$V$6:$V$10005,'設定'!$C$4,'①在庫を貼る'!$W$6:$W$10005,$C367)))</f>
        <v/>
      </c>
      <c r="J367">
        <f>IF($C367="","",IF('②発注する'!$AD371="","",'②発注する'!$AD371))</f>
        <v/>
      </c>
      <c r="K367" s="90">
        <f>IF($C367="","",IF('②発注する'!$AE371="","",'②発注する'!$AE371))</f>
        <v/>
      </c>
      <c r="L367">
        <f>IF($C367="","",IF(AND(ISNUMBER($J367),ISNUMBER($K367),$K367&gt;='設定'!$C$6),$J367,N($I367)))</f>
        <v/>
      </c>
      <c r="M367">
        <f>IF($C367="","",IFERROR(IF(N(INDEX('商品マスタ'!$J$6:$J$1005,MATCH($C367,'商品マスタ'!$B$6:$B$1005,0)))&gt;0,INDEX('商品マスタ'!$J$6:$J$1005,MATCH($C367,'商品マスタ'!$B$6:$B$1005,0)),""),""))</f>
        <v/>
      </c>
      <c r="N367">
        <f>IF($C367="","",IFERROR(IF(N(INDEX('商品マスタ'!$H$6:$H$1005,MATCH($C367,'商品マスタ'!$B$6:$B$1005,0)))&gt;0,INDEX('商品マスタ'!$H$6:$H$1005,MATCH($C367,'商品マスタ'!$B$6:$B$1005,0)),""),""))</f>
        <v/>
      </c>
      <c r="O367">
        <f>IF($C367="","",IF($N367&lt;&gt;"",$N367*$G367,IF(N(IF(COUNTIFS('①在庫を貼る'!$V$6:$V$10005,'設定'!$C$4,'①在庫を貼る'!$W$6:$W$10005,$C367)&gt;0,SUMIFS('①在庫を貼る'!$O$6:$O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O$6:$O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O$6:$O$10005,'月1回_2ヶ月前の在庫'!$V$6:$V$10005,'設定'!$C$4,'月1回_2ヶ月前の在庫'!$W$6:$W$10005,$C367)/COUNTIFS('月1回_2ヶ月前の在庫'!$V$6:$V$10005,'設定'!$C$4,'月1回_2ヶ月前の在庫'!$W$6:$W$10005,$C367),0))))&gt;0,N(IF(COUNTIFS('①在庫を貼る'!$V$6:$V$10005,'設定'!$C$4,'①在庫を貼る'!$W$6:$W$10005,$C367)&gt;0,SUMIFS('①在庫を貼る'!$O$6:$O$10005,'①在庫を貼る'!$V$6:$V$10005,'設定'!$C$4,'①在庫を貼る'!$W$6:$W$10005,$C367)/COUNTIFS('①在庫を貼る'!$V$6:$V$10005,'設定'!$C$4,'①在庫を貼る'!$W$6:$W$10005,$C367),IF(COUNTIFS('月1回_1ヶ月前の在庫'!$V$6:$V$10005,'設定'!$C$4,'月1回_1ヶ月前の在庫'!$W$6:$W$10005,$C367)&gt;0,SUMIFS('月1回_1ヶ月前の在庫'!$O$6:$O$10005,'月1回_1ヶ月前の在庫'!$V$6:$V$10005,'設定'!$C$4,'月1回_1ヶ月前の在庫'!$W$6:$W$10005,$C367)/COUNTIFS('月1回_1ヶ月前の在庫'!$V$6:$V$10005,'設定'!$C$4,'月1回_1ヶ月前の在庫'!$W$6:$W$10005,$C367),IF(COUNTIFS('月1回_2ヶ月前の在庫'!$V$6:$V$10005,'設定'!$C$4,'月1回_2ヶ月前の在庫'!$W$6:$W$10005,$C367)&gt;0,SUMIFS('月1回_2ヶ月前の在庫'!$O$6:$O$10005,'月1回_2ヶ月前の在庫'!$V$6:$V$10005,'設定'!$C$4,'月1回_2ヶ月前の在庫'!$W$6:$W$10005,$C367)/COUNTIFS('月1回_2ヶ月前の在庫'!$V$6:$V$10005,'設定'!$C$4,'月1回_2ヶ月前の在庫'!$W$6:$W$10005,$C367),0)))),"")))</f>
        <v/>
      </c>
      <c r="P367" s="90">
        <f>IF($C367="","",IF('②発注する'!$I371="","",'②発注する'!$I371))</f>
        <v/>
      </c>
      <c r="Q367">
        <f>IF($C367="","",IF('②発注する'!$J371="","",'②発注する'!$J371))</f>
        <v/>
      </c>
      <c r="R367">
        <f>IF($C367="",0,IF(AND(ISNUMBER($P367),ISNUMBER($Q367)),MAX(0,$Q367)*$G367,0))</f>
        <v/>
      </c>
      <c r="S367" s="90">
        <f>IF($C367="","",IF('②発注する'!$M371="","",'②発注する'!$M371))</f>
        <v/>
      </c>
      <c r="T367">
        <f>IF($C367="","",IF('②発注する'!$N371="","",'②発注する'!$N371))</f>
        <v/>
      </c>
      <c r="U367">
        <f>IF($C367="",0,IF(AND(ISNUMBER($S367),ISNUMBER($T367)),MAX(0,$T367)*$G367,0))</f>
        <v/>
      </c>
      <c r="V367">
        <f>IF($C367="",0,IF($M367="",0,MAX(0,$M367)*MAX(0,V$4)/100))</f>
        <v/>
      </c>
      <c r="W367">
        <f>IF($C367="",0,IF($M367="",0,MAX(0,$M367)*MAX(0,W$4)/100))</f>
        <v/>
      </c>
      <c r="X367">
        <f>IF($C367="",0,IF($M367="",0,MAX(0,$M367)*MAX(0,X$4)/100))</f>
        <v/>
      </c>
      <c r="Y367">
        <f>IF($C367="",0,IF($M367="",0,MAX(0,$M367)*MAX(0,Y$4)/100))</f>
        <v/>
      </c>
      <c r="Z367">
        <f>IF($C367="",0,IF($M367="",0,MAX(0,$M367)*MAX(0,Z$4)/100))</f>
        <v/>
      </c>
      <c r="AA367">
        <f>IF($C367="",0,IF($M367="",0,MAX(0,$M367)*MAX(0,AA$4)/100))</f>
        <v/>
      </c>
      <c r="AB367">
        <f>IF($C367="",0,IF($M367="",0,MAX(0,$M367)*MAX(0,AB$4)/100))</f>
        <v/>
      </c>
      <c r="AC367">
        <f>IF($C367="",0,IF($M367="",0,MAX(0,$M367)*MAX(0,AC$4)/100))</f>
        <v/>
      </c>
      <c r="AD367">
        <f>IF($C367="",0,IF($M367="",0,MAX(0,$M367)*MAX(0,AD$4)/100))</f>
        <v/>
      </c>
      <c r="AE367">
        <f>IF($C367="",0,IF($M367="",0,MAX(0,$M367)*MAX(0,AE$4)/100))</f>
        <v/>
      </c>
      <c r="AF367">
        <f>IF($C367="",0,IF($M367="",0,MAX(0,$M367)*MAX(0,AF$4)/100))</f>
        <v/>
      </c>
      <c r="AG367">
        <f>IF($C367="",0,IF($M367="",0,MAX(0,$M367)*MAX(0,AG$4)/100))</f>
        <v/>
      </c>
      <c r="AH367">
        <f>IF($C367="",0,IF($M367="",0,MAX(0,$M367)*MAX(0,AH$4)/100))</f>
        <v/>
      </c>
      <c r="AI367">
        <f>IF($C367="",0,IF($M367="",0,MAX(0,$M367)*MAX(0,AI$4)/100))</f>
        <v/>
      </c>
      <c r="AJ367">
        <f>IF($C367="",0,MAX(0,MAX(0,N($L367))-$V367))</f>
        <v/>
      </c>
      <c r="AK367">
        <f>IF($C367="",0,MAX(0,$AJ367-$W367))</f>
        <v/>
      </c>
      <c r="AL367">
        <f>IF($C367="",0,MAX(0,$AK367-$X367))</f>
        <v/>
      </c>
      <c r="AM367">
        <f>IF($C367="",0,MAX(0,$AL367-$Y367))</f>
        <v/>
      </c>
      <c r="AN367">
        <f>IF($C367="",0,MAX(0,$AM367-$Z367))</f>
        <v/>
      </c>
      <c r="AO367">
        <f>IF($C367="",0,MAX(0,$AN367-$AA367))</f>
        <v/>
      </c>
      <c r="AP367">
        <f>IF($C367="",0,MAX(0,$AO367-$AB367))</f>
        <v/>
      </c>
      <c r="AQ367">
        <f>IF($C367="",0,MAX(0,$AP367-$AC367))</f>
        <v/>
      </c>
      <c r="AR367">
        <f>IF($C367="",0,MAX(0,$AQ367-$AD367))</f>
        <v/>
      </c>
      <c r="AS367">
        <f>IF($C367="",0,MAX(0,$AR367-$AE367))</f>
        <v/>
      </c>
      <c r="AT367">
        <f>IF($C367="",0,MAX(0,$AS367-$AF367))</f>
        <v/>
      </c>
      <c r="AU367">
        <f>IF($C367="",0,MAX(0,$AT367-$AG367))</f>
        <v/>
      </c>
      <c r="AV367">
        <f>IF($C367="",0,MAX(0,$AU367-$AH367))</f>
        <v/>
      </c>
      <c r="AW367">
        <f>IF($C367="",0,MAX(0,$AV367-$AI367))</f>
        <v/>
      </c>
      <c r="AX367">
        <f>IF($C367="",0,MAX(0,MAX(0,N($L367))+IF($P367=V$3,$R367,0)+IF($S367=V$3,$U367,0)-$V367))</f>
        <v/>
      </c>
      <c r="AY367">
        <f>IF($C367="",0,MAX(0,$AX367+IF($P367=W$3,$R367,0)+IF($S367=W$3,$U367,0)-$W367))</f>
        <v/>
      </c>
      <c r="AZ367">
        <f>IF($C367="",0,MAX(0,$AY367+IF($P367=X$3,$R367,0)+IF($S367=X$3,$U367,0)-$X367))</f>
        <v/>
      </c>
      <c r="BA367">
        <f>IF($C367="",0,MAX(0,$AZ367+IF($P367=Y$3,$R367,0)+IF($S367=Y$3,$U367,0)-$Y367))</f>
        <v/>
      </c>
      <c r="BB367">
        <f>IF($C367="",0,MAX(0,$BA367+IF($P367=Z$3,$R367,0)+IF($S367=Z$3,$U367,0)-$Z367))</f>
        <v/>
      </c>
      <c r="BC367">
        <f>IF($C367="",0,MAX(0,$BB367+IF($P367=AA$3,$R367,0)+IF($S367=AA$3,$U367,0)-$AA367))</f>
        <v/>
      </c>
      <c r="BD367">
        <f>IF($C367="",0,MAX(0,$BC367+IF($P367=AB$3,$R367,0)+IF($S367=AB$3,$U367,0)-$AB367))</f>
        <v/>
      </c>
      <c r="BE367">
        <f>IF($C367="",0,MAX(0,$BD367+IF($P367=AC$3,$R367,0)+IF($S367=AC$3,$U367,0)-$AC367))</f>
        <v/>
      </c>
      <c r="BF367">
        <f>IF($C367="",0,MAX(0,$BE367+IF($P367=AD$3,$R367,0)+IF($S367=AD$3,$U367,0)-$AD367))</f>
        <v/>
      </c>
      <c r="BG367">
        <f>IF($C367="",0,MAX(0,$BF367+IF($P367=AE$3,$R367,0)+IF($S367=AE$3,$U367,0)-$AE367))</f>
        <v/>
      </c>
      <c r="BH367">
        <f>IF($C367="",0,MAX(0,$BG367+IF($P367=AF$3,$R367,0)+IF($S367=AF$3,$U367,0)-$AF367))</f>
        <v/>
      </c>
      <c r="BI367">
        <f>IF($C367="",0,MAX(0,$BH367+IF($P367=AG$3,$R367,0)+IF($S367=AG$3,$U367,0)-$AG367))</f>
        <v/>
      </c>
      <c r="BJ367">
        <f>IF($C367="",0,MAX(0,$BI367+IF($P367=AH$3,$R367,0)+IF($S367=AH$3,$U367,0)-$AH367))</f>
        <v/>
      </c>
      <c r="BK367">
        <f>IF($C367="",0,MAX(0,$BJ367+IF($P367=AI$3,$R367,0)+IF($S367=AI$3,$U367,0)-$AI367))</f>
        <v/>
      </c>
      <c r="BL367">
        <f>IF($C367="",99,IF(AND($AX367&lt;1,V$3&gt;=MAX(N($P367),N($S367))),0,99))</f>
        <v/>
      </c>
      <c r="BM367">
        <f>IF($C367="",99,IF(AND($AY367&lt;1,W$3&gt;=MAX(N($P367),N($S367))),1,99))</f>
        <v/>
      </c>
      <c r="BN367">
        <f>IF($C367="",99,IF(AND($AZ367&lt;1,X$3&gt;=MAX(N($P367),N($S367))),2,99))</f>
        <v/>
      </c>
      <c r="BO367">
        <f>IF($C367="",99,IF(AND($BA367&lt;1,Y$3&gt;=MAX(N($P367),N($S367))),3,99))</f>
        <v/>
      </c>
      <c r="BP367">
        <f>IF($C367="",99,IF(AND($BB367&lt;1,Z$3&gt;=MAX(N($P367),N($S367))),4,99))</f>
        <v/>
      </c>
      <c r="BQ367">
        <f>IF($C367="",99,IF(AND($BC367&lt;1,AA$3&gt;=MAX(N($P367),N($S367))),5,99))</f>
        <v/>
      </c>
      <c r="BR367">
        <f>IF($C367="",99,IF(AND($BD367&lt;1,AB$3&gt;=MAX(N($P367),N($S367))),6,99))</f>
        <v/>
      </c>
      <c r="BS367">
        <f>IF($C367="",99,IF(AND($BE367&lt;1,AC$3&gt;=MAX(N($P367),N($S367))),7,99))</f>
        <v/>
      </c>
      <c r="BT367">
        <f>IF($C367="",99,IF(AND($BF367&lt;1,AD$3&gt;=MAX(N($P367),N($S367))),8,99))</f>
        <v/>
      </c>
      <c r="BU367">
        <f>IF($C367="",99,IF(AND($BG367&lt;1,AE$3&gt;=MAX(N($P367),N($S367))),9,99))</f>
        <v/>
      </c>
      <c r="BV367">
        <f>IF($C367="",99,IF(AND($BH367&lt;1,AF$3&gt;=MAX(N($P367),N($S367))),10,99))</f>
        <v/>
      </c>
      <c r="BW367">
        <f>IF($C367="",99,IF(AND($BI367&lt;1,AG$3&gt;=MAX(N($P367),N($S367))),11,99))</f>
        <v/>
      </c>
      <c r="BX367">
        <f>IF($C367="",99,IF(AND($BJ367&lt;1,AH$3&gt;=MAX(N($P367),N($S367))),12,99))</f>
        <v/>
      </c>
      <c r="BY367">
        <f>IF($C367="",99,IF(AND($BK367&lt;1,AI$3&gt;=MAX(N($P367),N($S367))),13,99))</f>
        <v/>
      </c>
      <c r="BZ367">
        <f>IF(OR($C367="",$M367=""),"",COUNTIF($AJ367:$AW367,"&gt;=1"))</f>
        <v/>
      </c>
      <c r="CA367" s="90">
        <f>IF($BZ367="","",IF($BZ367&gt;=14,"",'設定'!$C$6+$BZ367))</f>
        <v/>
      </c>
      <c r="CB367">
        <f>IF(OR($C367="",$M367=""),"",MIN($BL367:$BY367))</f>
        <v/>
      </c>
      <c r="CC367" s="90">
        <f>IF($CB367="","",IF($CB367&gt;=99,"",'設定'!$C$6+$CB367))</f>
        <v/>
      </c>
      <c r="CD367">
        <f>IF(OR($C367="",$M367=""),"",AVERAGE($V367:$AI367))</f>
        <v/>
      </c>
      <c r="CE367">
        <f>IF($C367="","",IFERROR(IF(MATCH(IF(ISNUMBER($P367),$P367,'設定'!$C$6+N('設定'!$C$7)),$V$3:$AI$3,0)=1,MAX(0,N($L367)),INDEX($AJ367:$AW367,MATCH(IF(ISNUMBER($P367),$P367,'設定'!$C$6+N('設定'!$C$7)),$V$3:$AI$3,0)-1)),""))</f>
        <v/>
      </c>
      <c r="CF367">
        <f>IF(OR($C367="",$O367="",$CE367=""),"",IF($O367-$CE367&lt;=0,0,ROUNDUP(($O367-$CE367)/$G367,0)))</f>
        <v/>
      </c>
      <c r="CG367">
        <f>IF(OR($C367="",$CF367="",NOT(ISNUMBER($Q367))),0,MAX(0,$Q367-$CF367))</f>
        <v/>
      </c>
      <c r="CH367">
        <f>IF(OR($C367="",$O367="",$U367=0),0,IFERROR(ROUNDUP(MAX(0,IF(MATCH($S367,$V$3:$AI$3,0)=1,MAX(0,N($L367)),INDEX($AX367:$BK367,MATCH($S367,$V$3:$AI$3,0)-1))+$U367-$O367)/$G367,0),0))</f>
        <v/>
      </c>
      <c r="CI367">
        <f>IF($C367="","",IF(AND($P367="",$Q367=""),"",IF($P367="","⚠ 入庫日を ▼ から選んでください",IF(NOT(ISNUMBER($P367)),"⚠ 入庫日は ▼ から選んでください",IF($P367&lt;N('設定'!$C$6),"⚠ 入庫日が過去です（もう在庫に入っています）→ 消してください",IF($P367&gt;N('設定'!$C$6)+13,"⚠ 入庫日が14日より先です",IF(N($Q367)&lt;=0,"⚠ 入庫数を入れてください",IF($CG367&gt;0,"⚠ 目安より "&amp;$CG367&amp;" 多い（定数を超える）→ 減らす",""))))))))</f>
        <v/>
      </c>
      <c r="CJ367">
        <f>IF($C367="","",IF(AND($S367="",$T367=""),"",IF($S367="","⚠ 2便目：入庫日を ▼ から選んでください",IF(NOT(ISNUMBER($S367)),"⚠ 2便目：入庫日は ▼ から選んでください",IF($S367&lt;N('設定'!$C$6),"⚠ 2便目：入庫日が過去です（もう在庫に入っています）→ 消してください",IF($S367&gt;N('設定'!$C$6)+13,"⚠ 2便目：入庫日が14日より先です",IF(N($T367)&lt;=0,"⚠ 2便目：入庫数を入れてください",IF($CH367&gt;0,"⚠ 2便目：定数を "&amp;$CH367&amp;" ケース超える → 減らす",""))))))))</f>
        <v/>
      </c>
      <c r="CK367">
        <f>IF(AND($CI367="",N($Q367)&gt;0,ISNUMBER($P367)),1,0)</f>
        <v/>
      </c>
      <c r="CL367">
        <f>IF(AND($CJ367="",N($T367)&gt;0,ISNUMBER($S367)),1,0)</f>
        <v/>
      </c>
      <c r="CM367">
        <f>IF(OR($CK367=1,$CL367=1),1,0)</f>
        <v/>
      </c>
      <c r="CN367">
        <f>IF($C367="",0,($CK367*$R367+$CL367*$U367)*N($H367))</f>
        <v/>
      </c>
      <c r="CO367">
        <f>IF($C367="","",IF($CC367="","入庫後は 14日以上もつ",IF($CC367-N('設定'!$C$7)&lt;='設定'!$C$6,"入庫後も "&amp;TEXT($CC367,"m/d")&amp;"("&amp;CHOOSE(WEEKDAY($CC367),"日","月","火","水","木","金","土")&amp;")"&amp;" に切れる　もう1便を至急発注","入庫後も "&amp;TEXT($CC367,"m/d")&amp;"("&amp;CHOOSE(WEEKDAY($CC367),"日","月","火","水","木","金","土")&amp;")"&amp;" に切れる　"&amp;TEXT($CC367-N('設定'!$C$7),"m/d")&amp;"("&amp;CHOOSE(WEEKDAY($CC367-N('設定'!$C$7)),"日","月","火","水","木","金","土")&amp;")"&amp;" までに次を発注")))</f>
        <v/>
      </c>
      <c r="CP367">
        <f>IF($C367="","",IF('設定'!$C$6="","？ ①在庫を貼る に今日のCSVが貼られていない",IF($CS367=1,"－ 今日のCSVに無い（終売？）",IF($L367&lt;0,"● 在庫がマイナス　数えて「数えた在庫」に入れる",IF($L367=0,"● 在庫なし　至急発注",IF($M367="","？ 減り数が未設定（商品マスタ）",IF($B$3=0,"？ 動員が未入力（動員を入れる）",IF($CA367="","○ 14日以上もつ",IF($BZ367&lt;N('設定'!$C$7),"● "&amp;TEXT($CA367,"m/d")&amp;"("&amp;CHOOSE(WEEKDAY($CA367),"日","月","火","水","木","金","土")&amp;")"&amp;" に切れる　至急発注",IF($BZ367=N('設定'!$C$7),"● "&amp;TEXT($CA367,"m/d")&amp;"("&amp;CHOOSE(WEEKDAY($CA367),"日","月","火","水","木","金","土")&amp;")"&amp;" に切れる　今日発注","△ "&amp;TEXT($CA367,"m/d")&amp;"("&amp;CHOOSE(WEEKDAY($CA367),"日","月","火","水","木","金","土")&amp;")"&amp;" に切れる　"&amp;TEXT($CA367-N('設定'!$C$7),"m/d")&amp;"("&amp;CHOOSE(WEEKDAY($CA367-N('設定'!$C$7)),"日","月","火","水","木","金","土")&amp;")"&amp;" までに発注"))))))))))</f>
        <v/>
      </c>
      <c r="CQ367">
        <f>IF($C367="","",IF(AND($P367="",$Q367="",$S367="",$T367=""),"",IF(AND($P367="",$Q367=""),"⚠ 先に1便目（左の入庫日・入庫数）に入れてください",IF($CI367&lt;&gt;"",$CI367,IF($CJ367&lt;&gt;"",$CJ367,IF($M367="","？ 減り数が未設定（発注書には載ります）",IF($B$3=0,"？ 動員が未入力（発注書には載ります）",IF(AND($CA367&lt;&gt;"",$P367&gt;$CA367),IF($P367&gt;'設定'!$C$6+N('設定'!$C$7),"● "&amp;TEXT($P367,"m/d")&amp;"("&amp;CHOOSE(WEEKDAY($P367),"日","月","火","水","木","金","土")&amp;")"&amp;" の入庫では間に合わない（"&amp;TEXT($CA367,"m/d")&amp;"("&amp;CHOOSE(WEEKDAY($CA367),"日","月","火","水","木","金","土")&amp;")"&amp;" に切れる）　入庫日を早める","△ 欠品 "&amp;TEXT($CA367,"m/d")&amp;"("&amp;CHOOSE(WEEKDAY($CA367),"日","月","火","水","木","金","土")&amp;")"&amp;"〜"&amp;TEXT($P367-1,"m/d")&amp;"("&amp;CHOOSE(WEEKDAY($P367-1),"日","月","火","水","木","金","土")&amp;")"&amp;"　"&amp;$CO367),IF($CC367="","○ "&amp;TEXT($P367,"m/d")&amp;"("&amp;CHOOSE(WEEKDAY($P367),"日","月","火","水","木","金","土")&amp;")"&amp;" 入庫で 14日以上もつ",IF($CC367-N('設定'!$C$7)&lt;='設定'!$C$6,"● 入庫しても "&amp;TEXT($CC367,"m/d")&amp;"("&amp;CHOOSE(WEEKDAY($CC367),"日","月","火","水","木","金","土")&amp;")"&amp;" に切れる　もう1便を至急発注（2便目に入れる）","△ 入庫しても "&amp;TEXT($CC367,"m/d")&amp;"("&amp;CHOOSE(WEEKDAY($CC367),"日","月","火","水","木","金","土")&amp;")"&amp;" に切れる　"&amp;TEXT($CC367-N('設定'!$C$7),"m/d")&amp;"("&amp;CHOOSE(WEEKDAY($CC367-N('設定'!$C$7)),"日","月","火","水","木","金","土")&amp;")"&amp;" までに次を発注（2便目に入れる）"))))))))))</f>
        <v/>
      </c>
      <c r="CR367">
        <f>IF($C367="","",IF($G367&gt;1,"ｹｰｽ("&amp;$G367&amp;"入)","個"))</f>
        <v/>
      </c>
      <c r="CS367">
        <f>IF($C367="",0,IF(COUNTIFS('①在庫を貼る'!$V$6:$V$10005,'設定'!$C$4,'①在庫を貼る'!$W$6:$W$10005,$C367)=0,1,0))</f>
        <v/>
      </c>
      <c r="CT367">
        <f>IF(AND($CK367=1,OR('③発注書'!$C$4="すべて",'③発注書'!$C$4="",$F367='③発注書'!$C$4)),N($CT366)+1,N($CT366))</f>
        <v/>
      </c>
      <c r="CU367">
        <f>IF(AND($CL367=1,OR('③発注書'!$C$4="すべて",'③発注書'!$C$4="",$F367='③発注書'!$C$4)),N($CU366)+1,N($CU366))</f>
        <v/>
      </c>
      <c r="CV367">
        <f>IF($C367="",0,IF(COUNTIFS('①在庫を貼る'!$V$6:$V$10005,'設定'!$C$4,'①在庫を貼る'!$W$6:$W$10005,$C367)&gt;0,1,0))</f>
        <v/>
      </c>
      <c r="CW367">
        <f>IF($C367="",0,IF(COUNTIFS('月1回_1ヶ月前の在庫'!$V$6:$V$10005,'設定'!$C$4,'月1回_1ヶ月前の在庫'!$W$6:$W$10005,$C367)&gt;0,1,0))</f>
        <v/>
      </c>
      <c r="CX367">
        <f>IF($C367="",0,IF(COUNTIFS('月1回_2ヶ月前の在庫'!$V$6:$V$10005,'設定'!$C$4,'月1回_2ヶ月前の在庫'!$W$6:$W$10005,$C367)&gt;0,1,0))</f>
        <v/>
      </c>
      <c r="CY367">
        <f>IF(OR($C367="",'設定'!$C$12=""),"",IF('設定'!$C$13="",IF(AND($CV367=1,$CW367=0),"新商品（今月から）",IF(AND($CV367=0,$CW367=1),"終売（今月から）","")),IF(AND($CV367=1,$CW367=0,$CX367=0),"新商品（今月から）",IF(AND($CV367=1,$CW367=1,$CX367=0),"新商品（先月から）",IF(AND($CV367=0,$CW367=1,$CX367=1),"終売（今月から）",IF(AND($CV367=0,$CW367=0,$CX367=1),"終売（先月から）",IF(AND($CV367=1,$CW367=0,$CX367=1),"復活（先月は無し）","")))))))</f>
        <v/>
      </c>
    </row>
    <row r="368">
      <c r="B368">
        <f>IF(363&lt;='設定'!$C$11,363,"")</f>
        <v/>
      </c>
      <c r="C368">
        <f>IF($B368="","",IF($B368&lt;='設定'!$C$20,INDEX('商品マスタ'!$B$6:$B$1005,MATCH($B368,'商品マスタ'!$M$6:$M$1005,0)),IF($B368&lt;='設定'!$C$20+'設定'!$C$17,INDEX('①在庫を貼る'!$W$6:$W$10005,MATCH($B368-'設定'!$C$20,'①在庫を貼る'!$U$6:$U$10005,0)),IF($B368&lt;='設定'!$C$20+'設定'!$C$17+'設定'!$C$18,INDEX('月1回_1ヶ月前の在庫'!$W$6:$W$10005,MATCH($B368-'設定'!$C$20-'設定'!$C$17,'月1回_1ヶ月前の在庫'!$U$6:$U$10005,0)),INDEX('月1回_2ヶ月前の在庫'!$W$6:$W$10005,MATCH($B368-'設定'!$C$20-'設定'!$C$17-'設定'!$C$18,'月1回_2ヶ月前の在庫'!$U$6:$U$10005,0))))))</f>
        <v/>
      </c>
      <c r="D368">
        <f>IF($C368="","",IFERROR(IF(INDEX('商品マスタ'!$C$6:$C$1005,MATCH($C368,'商品マスタ'!$B$6:$B$1005,0))="",IFERROR(INDEX('①在庫を貼る'!$J$6:$J$10005,MATCH($C368,'①在庫を貼る'!$W$6:$W$10005,0)),IFERROR(INDEX('月1回_1ヶ月前の在庫'!$J$6:$J$10005,MATCH($C368,'月1回_1ヶ月前の在庫'!$W$6:$W$10005,0)),IFERROR(INDEX('月1回_2ヶ月前の在庫'!$J$6:$J$10005,MATCH($C368,'月1回_2ヶ月前の在庫'!$W$6:$W$10005,0)),""))),INDEX('商品マスタ'!$C$6:$C$1005,MATCH($C368,'商品マスタ'!$B$6:$B$1005,0))),IFERROR(INDEX('①在庫を貼る'!$J$6:$J$10005,MATCH($C368,'①在庫を貼る'!$W$6:$W$10005,0)),IFERROR(INDEX('月1回_1ヶ月前の在庫'!$J$6:$J$10005,MATCH($C368,'月1回_1ヶ月前の在庫'!$W$6:$W$10005,0)),IFERROR(INDEX('月1回_2ヶ月前の在庫'!$J$6:$J$10005,MATCH($C368,'月1回_2ヶ月前の在庫'!$W$6:$W$10005,0)),"")))))</f>
        <v/>
      </c>
      <c r="E368">
        <f>IF($C368="","",IFERROR(IF(INDEX('商品マスタ'!$D$6:$D$1005,MATCH($C368,'商品マスタ'!$B$6:$B$1005,0))="",IFERROR(INDEX('①在庫を貼る'!$H$6:$H$10005,MATCH($C368,'①在庫を貼る'!$W$6:$W$10005,0)),IFERROR(INDEX('月1回_1ヶ月前の在庫'!$H$6:$H$10005,MATCH($C368,'月1回_1ヶ月前の在庫'!$W$6:$W$10005,0)),IFERROR(INDEX('月1回_2ヶ月前の在庫'!$H$6:$H$10005,MATCH($C368,'月1回_2ヶ月前の在庫'!$W$6:$W$10005,0)),""))),INDEX('商品マスタ'!$D$6:$D$1005,MATCH($C368,'商品マスタ'!$B$6:$B$1005,0))),IFERROR(INDEX('①在庫を貼る'!$H$6:$H$10005,MATCH($C368,'①在庫を貼る'!$W$6:$W$10005,0)),IFERROR(INDEX('月1回_1ヶ月前の在庫'!$H$6:$H$10005,MATCH($C368,'月1回_1ヶ月前の在庫'!$W$6:$W$10005,0)),IFERROR(INDEX('月1回_2ヶ月前の在庫'!$H$6:$H$10005,MATCH($C368,'月1回_2ヶ月前の在庫'!$W$6:$W$10005,0)),"")))))</f>
        <v/>
      </c>
      <c r="F368">
        <f>IF($C368="","",IFERROR(IF(INDEX('商品マスタ'!$E$6:$E$1005,MATCH($C368,'商品マスタ'!$B$6:$B$1005,0))="",IFERROR(INDEX('①在庫を貼る'!$E$6:$E$10005,MATCH($C368,'①在庫を貼る'!$W$6:$W$10005,0)),IFERROR(INDEX('月1回_1ヶ月前の在庫'!$E$6:$E$10005,MATCH($C368,'月1回_1ヶ月前の在庫'!$W$6:$W$10005,0)),IFERROR(INDEX('月1回_2ヶ月前の在庫'!$E$6:$E$10005,MATCH($C368,'月1回_2ヶ月前の在庫'!$W$6:$W$10005,0)),""))),INDEX('商品マスタ'!$E$6:$E$1005,MATCH($C368,'商品マスタ'!$B$6:$B$1005,0))),IFERROR(INDEX('①在庫を貼る'!$E$6:$E$10005,MATCH($C368,'①在庫を貼る'!$W$6:$W$10005,0)),IFERROR(INDEX('月1回_1ヶ月前の在庫'!$E$6:$E$10005,MATCH($C368,'月1回_1ヶ月前の在庫'!$W$6:$W$10005,0)),IFERROR(INDEX('月1回_2ヶ月前の在庫'!$E$6:$E$10005,MATCH($C368,'月1回_2ヶ月前の在庫'!$W$6:$W$10005,0)),"")))))</f>
        <v/>
      </c>
      <c r="G368">
        <f>IF($C368="","",MAX(1,N(IFERROR(IF(INDEX('商品マスタ'!$F$6:$F$1005,MATCH($C368,'商品マスタ'!$B$6:$B$1005,0))="",IF(COUNTIFS('①在庫を貼る'!$V$6:$V$10005,'設定'!$C$4,'①在庫を貼る'!$W$6:$W$10005,$C368)&gt;0,SUMIFS('①在庫を貼る'!$K$6:$K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K$6:$K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K$6:$K$10005,'月1回_2ヶ月前の在庫'!$V$6:$V$10005,'設定'!$C$4,'月1回_2ヶ月前の在庫'!$W$6:$W$10005,$C368)/COUNTIFS('月1回_2ヶ月前の在庫'!$V$6:$V$10005,'設定'!$C$4,'月1回_2ヶ月前の在庫'!$W$6:$W$10005,$C368),0))),INDEX('商品マスタ'!$F$6:$F$1005,MATCH($C368,'商品マスタ'!$B$6:$B$1005,0))),IF(COUNTIFS('①在庫を貼る'!$V$6:$V$10005,'設定'!$C$4,'①在庫を貼る'!$W$6:$W$10005,$C368)&gt;0,SUMIFS('①在庫を貼る'!$K$6:$K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K$6:$K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K$6:$K$10005,'月1回_2ヶ月前の在庫'!$V$6:$V$10005,'設定'!$C$4,'月1回_2ヶ月前の在庫'!$W$6:$W$10005,$C368)/COUNTIFS('月1回_2ヶ月前の在庫'!$V$6:$V$10005,'設定'!$C$4,'月1回_2ヶ月前の在庫'!$W$6:$W$10005,$C368),0)))))))</f>
        <v/>
      </c>
      <c r="H368">
        <f>IF($C368="","",N(IFERROR(IF(INDEX('商品マスタ'!$G$6:$G$1005,MATCH($C368,'商品マスタ'!$B$6:$B$1005,0))="",IF(COUNTIFS('①在庫を貼る'!$V$6:$V$10005,'設定'!$C$4,'①在庫を貼る'!$W$6:$W$10005,$C368)&gt;0,SUMIFS('①在庫を貼る'!$Q$6:$Q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Q$6:$Q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Q$6:$Q$10005,'月1回_2ヶ月前の在庫'!$V$6:$V$10005,'設定'!$C$4,'月1回_2ヶ月前の在庫'!$W$6:$W$10005,$C368)/COUNTIFS('月1回_2ヶ月前の在庫'!$V$6:$V$10005,'設定'!$C$4,'月1回_2ヶ月前の在庫'!$W$6:$W$10005,$C368),0))),INDEX('商品マスタ'!$G$6:$G$1005,MATCH($C368,'商品マスタ'!$B$6:$B$1005,0))),IF(COUNTIFS('①在庫を貼る'!$V$6:$V$10005,'設定'!$C$4,'①在庫を貼る'!$W$6:$W$10005,$C368)&gt;0,SUMIFS('①在庫を貼る'!$Q$6:$Q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Q$6:$Q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Q$6:$Q$10005,'月1回_2ヶ月前の在庫'!$V$6:$V$10005,'設定'!$C$4,'月1回_2ヶ月前の在庫'!$W$6:$W$10005,$C368)/COUNTIFS('月1回_2ヶ月前の在庫'!$V$6:$V$10005,'設定'!$C$4,'月1回_2ヶ月前の在庫'!$W$6:$W$10005,$C368),0))))))</f>
        <v/>
      </c>
      <c r="I368">
        <f>IF($C368="","",IF(COUNTIFS('①在庫を貼る'!$V$6:$V$10005,'設定'!$C$4,'①在庫を貼る'!$W$6:$W$10005,$C368)=0,"",SUMIFS('①在庫を貼る'!$N$6:$N$10005,'①在庫を貼る'!$V$6:$V$10005,'設定'!$C$4,'①在庫を貼る'!$W$6:$W$10005,$C368)))</f>
        <v/>
      </c>
      <c r="J368">
        <f>IF($C368="","",IF('②発注する'!$AD372="","",'②発注する'!$AD372))</f>
        <v/>
      </c>
      <c r="K368" s="90">
        <f>IF($C368="","",IF('②発注する'!$AE372="","",'②発注する'!$AE372))</f>
        <v/>
      </c>
      <c r="L368">
        <f>IF($C368="","",IF(AND(ISNUMBER($J368),ISNUMBER($K368),$K368&gt;='設定'!$C$6),$J368,N($I368)))</f>
        <v/>
      </c>
      <c r="M368">
        <f>IF($C368="","",IFERROR(IF(N(INDEX('商品マスタ'!$J$6:$J$1005,MATCH($C368,'商品マスタ'!$B$6:$B$1005,0)))&gt;0,INDEX('商品マスタ'!$J$6:$J$1005,MATCH($C368,'商品マスタ'!$B$6:$B$1005,0)),""),""))</f>
        <v/>
      </c>
      <c r="N368">
        <f>IF($C368="","",IFERROR(IF(N(INDEX('商品マスタ'!$H$6:$H$1005,MATCH($C368,'商品マスタ'!$B$6:$B$1005,0)))&gt;0,INDEX('商品マスタ'!$H$6:$H$1005,MATCH($C368,'商品マスタ'!$B$6:$B$1005,0)),""),""))</f>
        <v/>
      </c>
      <c r="O368">
        <f>IF($C368="","",IF($N368&lt;&gt;"",$N368*$G368,IF(N(IF(COUNTIFS('①在庫を貼る'!$V$6:$V$10005,'設定'!$C$4,'①在庫を貼る'!$W$6:$W$10005,$C368)&gt;0,SUMIFS('①在庫を貼る'!$O$6:$O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O$6:$O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O$6:$O$10005,'月1回_2ヶ月前の在庫'!$V$6:$V$10005,'設定'!$C$4,'月1回_2ヶ月前の在庫'!$W$6:$W$10005,$C368)/COUNTIFS('月1回_2ヶ月前の在庫'!$V$6:$V$10005,'設定'!$C$4,'月1回_2ヶ月前の在庫'!$W$6:$W$10005,$C368),0))))&gt;0,N(IF(COUNTIFS('①在庫を貼る'!$V$6:$V$10005,'設定'!$C$4,'①在庫を貼る'!$W$6:$W$10005,$C368)&gt;0,SUMIFS('①在庫を貼る'!$O$6:$O$10005,'①在庫を貼る'!$V$6:$V$10005,'設定'!$C$4,'①在庫を貼る'!$W$6:$W$10005,$C368)/COUNTIFS('①在庫を貼る'!$V$6:$V$10005,'設定'!$C$4,'①在庫を貼る'!$W$6:$W$10005,$C368),IF(COUNTIFS('月1回_1ヶ月前の在庫'!$V$6:$V$10005,'設定'!$C$4,'月1回_1ヶ月前の在庫'!$W$6:$W$10005,$C368)&gt;0,SUMIFS('月1回_1ヶ月前の在庫'!$O$6:$O$10005,'月1回_1ヶ月前の在庫'!$V$6:$V$10005,'設定'!$C$4,'月1回_1ヶ月前の在庫'!$W$6:$W$10005,$C368)/COUNTIFS('月1回_1ヶ月前の在庫'!$V$6:$V$10005,'設定'!$C$4,'月1回_1ヶ月前の在庫'!$W$6:$W$10005,$C368),IF(COUNTIFS('月1回_2ヶ月前の在庫'!$V$6:$V$10005,'設定'!$C$4,'月1回_2ヶ月前の在庫'!$W$6:$W$10005,$C368)&gt;0,SUMIFS('月1回_2ヶ月前の在庫'!$O$6:$O$10005,'月1回_2ヶ月前の在庫'!$V$6:$V$10005,'設定'!$C$4,'月1回_2ヶ月前の在庫'!$W$6:$W$10005,$C368)/COUNTIFS('月1回_2ヶ月前の在庫'!$V$6:$V$10005,'設定'!$C$4,'月1回_2ヶ月前の在庫'!$W$6:$W$10005,$C368),0)))),"")))</f>
        <v/>
      </c>
      <c r="P368" s="90">
        <f>IF($C368="","",IF('②発注する'!$I372="","",'②発注する'!$I372))</f>
        <v/>
      </c>
      <c r="Q368">
        <f>IF($C368="","",IF('②発注する'!$J372="","",'②発注する'!$J372))</f>
        <v/>
      </c>
      <c r="R368">
        <f>IF($C368="",0,IF(AND(ISNUMBER($P368),ISNUMBER($Q368)),MAX(0,$Q368)*$G368,0))</f>
        <v/>
      </c>
      <c r="S368" s="90">
        <f>IF($C368="","",IF('②発注する'!$M372="","",'②発注する'!$M372))</f>
        <v/>
      </c>
      <c r="T368">
        <f>IF($C368="","",IF('②発注する'!$N372="","",'②発注する'!$N372))</f>
        <v/>
      </c>
      <c r="U368">
        <f>IF($C368="",0,IF(AND(ISNUMBER($S368),ISNUMBER($T368)),MAX(0,$T368)*$G368,0))</f>
        <v/>
      </c>
      <c r="V368">
        <f>IF($C368="",0,IF($M368="",0,MAX(0,$M368)*MAX(0,V$4)/100))</f>
        <v/>
      </c>
      <c r="W368">
        <f>IF($C368="",0,IF($M368="",0,MAX(0,$M368)*MAX(0,W$4)/100))</f>
        <v/>
      </c>
      <c r="X368">
        <f>IF($C368="",0,IF($M368="",0,MAX(0,$M368)*MAX(0,X$4)/100))</f>
        <v/>
      </c>
      <c r="Y368">
        <f>IF($C368="",0,IF($M368="",0,MAX(0,$M368)*MAX(0,Y$4)/100))</f>
        <v/>
      </c>
      <c r="Z368">
        <f>IF($C368="",0,IF($M368="",0,MAX(0,$M368)*MAX(0,Z$4)/100))</f>
        <v/>
      </c>
      <c r="AA368">
        <f>IF($C368="",0,IF($M368="",0,MAX(0,$M368)*MAX(0,AA$4)/100))</f>
        <v/>
      </c>
      <c r="AB368">
        <f>IF($C368="",0,IF($M368="",0,MAX(0,$M368)*MAX(0,AB$4)/100))</f>
        <v/>
      </c>
      <c r="AC368">
        <f>IF($C368="",0,IF($M368="",0,MAX(0,$M368)*MAX(0,AC$4)/100))</f>
        <v/>
      </c>
      <c r="AD368">
        <f>IF($C368="",0,IF($M368="",0,MAX(0,$M368)*MAX(0,AD$4)/100))</f>
        <v/>
      </c>
      <c r="AE368">
        <f>IF($C368="",0,IF($M368="",0,MAX(0,$M368)*MAX(0,AE$4)/100))</f>
        <v/>
      </c>
      <c r="AF368">
        <f>IF($C368="",0,IF($M368="",0,MAX(0,$M368)*MAX(0,AF$4)/100))</f>
        <v/>
      </c>
      <c r="AG368">
        <f>IF($C368="",0,IF($M368="",0,MAX(0,$M368)*MAX(0,AG$4)/100))</f>
        <v/>
      </c>
      <c r="AH368">
        <f>IF($C368="",0,IF($M368="",0,MAX(0,$M368)*MAX(0,AH$4)/100))</f>
        <v/>
      </c>
      <c r="AI368">
        <f>IF($C368="",0,IF($M368="",0,MAX(0,$M368)*MAX(0,AI$4)/100))</f>
        <v/>
      </c>
      <c r="AJ368">
        <f>IF($C368="",0,MAX(0,MAX(0,N($L368))-$V368))</f>
        <v/>
      </c>
      <c r="AK368">
        <f>IF($C368="",0,MAX(0,$AJ368-$W368))</f>
        <v/>
      </c>
      <c r="AL368">
        <f>IF($C368="",0,MAX(0,$AK368-$X368))</f>
        <v/>
      </c>
      <c r="AM368">
        <f>IF($C368="",0,MAX(0,$AL368-$Y368))</f>
        <v/>
      </c>
      <c r="AN368">
        <f>IF($C368="",0,MAX(0,$AM368-$Z368))</f>
        <v/>
      </c>
      <c r="AO368">
        <f>IF($C368="",0,MAX(0,$AN368-$AA368))</f>
        <v/>
      </c>
      <c r="AP368">
        <f>IF($C368="",0,MAX(0,$AO368-$AB368))</f>
        <v/>
      </c>
      <c r="AQ368">
        <f>IF($C368="",0,MAX(0,$AP368-$AC368))</f>
        <v/>
      </c>
      <c r="AR368">
        <f>IF($C368="",0,MAX(0,$AQ368-$AD368))</f>
        <v/>
      </c>
      <c r="AS368">
        <f>IF($C368="",0,MAX(0,$AR368-$AE368))</f>
        <v/>
      </c>
      <c r="AT368">
        <f>IF($C368="",0,MAX(0,$AS368-$AF368))</f>
        <v/>
      </c>
      <c r="AU368">
        <f>IF($C368="",0,MAX(0,$AT368-$AG368))</f>
        <v/>
      </c>
      <c r="AV368">
        <f>IF($C368="",0,MAX(0,$AU368-$AH368))</f>
        <v/>
      </c>
      <c r="AW368">
        <f>IF($C368="",0,MAX(0,$AV368-$AI368))</f>
        <v/>
      </c>
      <c r="AX368">
        <f>IF($C368="",0,MAX(0,MAX(0,N($L368))+IF($P368=V$3,$R368,0)+IF($S368=V$3,$U368,0)-$V368))</f>
        <v/>
      </c>
      <c r="AY368">
        <f>IF($C368="",0,MAX(0,$AX368+IF($P368=W$3,$R368,0)+IF($S368=W$3,$U368,0)-$W368))</f>
        <v/>
      </c>
      <c r="AZ368">
        <f>IF($C368="",0,MAX(0,$AY368+IF($P368=X$3,$R368,0)+IF($S368=X$3,$U368,0)-$X368))</f>
        <v/>
      </c>
      <c r="BA368">
        <f>IF($C368="",0,MAX(0,$AZ368+IF($P368=Y$3,$R368,0)+IF($S368=Y$3,$U368,0)-$Y368))</f>
        <v/>
      </c>
      <c r="BB368">
        <f>IF($C368="",0,MAX(0,$BA368+IF($P368=Z$3,$R368,0)+IF($S368=Z$3,$U368,0)-$Z368))</f>
        <v/>
      </c>
      <c r="BC368">
        <f>IF($C368="",0,MAX(0,$BB368+IF($P368=AA$3,$R368,0)+IF($S368=AA$3,$U368,0)-$AA368))</f>
        <v/>
      </c>
      <c r="BD368">
        <f>IF($C368="",0,MAX(0,$BC368+IF($P368=AB$3,$R368,0)+IF($S368=AB$3,$U368,0)-$AB368))</f>
        <v/>
      </c>
      <c r="BE368">
        <f>IF($C368="",0,MAX(0,$BD368+IF($P368=AC$3,$R368,0)+IF($S368=AC$3,$U368,0)-$AC368))</f>
        <v/>
      </c>
      <c r="BF368">
        <f>IF($C368="",0,MAX(0,$BE368+IF($P368=AD$3,$R368,0)+IF($S368=AD$3,$U368,0)-$AD368))</f>
        <v/>
      </c>
      <c r="BG368">
        <f>IF($C368="",0,MAX(0,$BF368+IF($P368=AE$3,$R368,0)+IF($S368=AE$3,$U368,0)-$AE368))</f>
        <v/>
      </c>
      <c r="BH368">
        <f>IF($C368="",0,MAX(0,$BG368+IF($P368=AF$3,$R368,0)+IF($S368=AF$3,$U368,0)-$AF368))</f>
        <v/>
      </c>
      <c r="BI368">
        <f>IF($C368="",0,MAX(0,$BH368+IF($P368=AG$3,$R368,0)+IF($S368=AG$3,$U368,0)-$AG368))</f>
        <v/>
      </c>
      <c r="BJ368">
        <f>IF($C368="",0,MAX(0,$BI368+IF($P368=AH$3,$R368,0)+IF($S368=AH$3,$U368,0)-$AH368))</f>
        <v/>
      </c>
      <c r="BK368">
        <f>IF($C368="",0,MAX(0,$BJ368+IF($P368=AI$3,$R368,0)+IF($S368=AI$3,$U368,0)-$AI368))</f>
        <v/>
      </c>
      <c r="BL368">
        <f>IF($C368="",99,IF(AND($AX368&lt;1,V$3&gt;=MAX(N($P368),N($S368))),0,99))</f>
        <v/>
      </c>
      <c r="BM368">
        <f>IF($C368="",99,IF(AND($AY368&lt;1,W$3&gt;=MAX(N($P368),N($S368))),1,99))</f>
        <v/>
      </c>
      <c r="BN368">
        <f>IF($C368="",99,IF(AND($AZ368&lt;1,X$3&gt;=MAX(N($P368),N($S368))),2,99))</f>
        <v/>
      </c>
      <c r="BO368">
        <f>IF($C368="",99,IF(AND($BA368&lt;1,Y$3&gt;=MAX(N($P368),N($S368))),3,99))</f>
        <v/>
      </c>
      <c r="BP368">
        <f>IF($C368="",99,IF(AND($BB368&lt;1,Z$3&gt;=MAX(N($P368),N($S368))),4,99))</f>
        <v/>
      </c>
      <c r="BQ368">
        <f>IF($C368="",99,IF(AND($BC368&lt;1,AA$3&gt;=MAX(N($P368),N($S368))),5,99))</f>
        <v/>
      </c>
      <c r="BR368">
        <f>IF($C368="",99,IF(AND($BD368&lt;1,AB$3&gt;=MAX(N($P368),N($S368))),6,99))</f>
        <v/>
      </c>
      <c r="BS368">
        <f>IF($C368="",99,IF(AND($BE368&lt;1,AC$3&gt;=MAX(N($P368),N($S368))),7,99))</f>
        <v/>
      </c>
      <c r="BT368">
        <f>IF($C368="",99,IF(AND($BF368&lt;1,AD$3&gt;=MAX(N($P368),N($S368))),8,99))</f>
        <v/>
      </c>
      <c r="BU368">
        <f>IF($C368="",99,IF(AND($BG368&lt;1,AE$3&gt;=MAX(N($P368),N($S368))),9,99))</f>
        <v/>
      </c>
      <c r="BV368">
        <f>IF($C368="",99,IF(AND($BH368&lt;1,AF$3&gt;=MAX(N($P368),N($S368))),10,99))</f>
        <v/>
      </c>
      <c r="BW368">
        <f>IF($C368="",99,IF(AND($BI368&lt;1,AG$3&gt;=MAX(N($P368),N($S368))),11,99))</f>
        <v/>
      </c>
      <c r="BX368">
        <f>IF($C368="",99,IF(AND($BJ368&lt;1,AH$3&gt;=MAX(N($P368),N($S368))),12,99))</f>
        <v/>
      </c>
      <c r="BY368">
        <f>IF($C368="",99,IF(AND($BK368&lt;1,AI$3&gt;=MAX(N($P368),N($S368))),13,99))</f>
        <v/>
      </c>
      <c r="BZ368">
        <f>IF(OR($C368="",$M368=""),"",COUNTIF($AJ368:$AW368,"&gt;=1"))</f>
        <v/>
      </c>
      <c r="CA368" s="90">
        <f>IF($BZ368="","",IF($BZ368&gt;=14,"",'設定'!$C$6+$BZ368))</f>
        <v/>
      </c>
      <c r="CB368">
        <f>IF(OR($C368="",$M368=""),"",MIN($BL368:$BY368))</f>
        <v/>
      </c>
      <c r="CC368" s="90">
        <f>IF($CB368="","",IF($CB368&gt;=99,"",'設定'!$C$6+$CB368))</f>
        <v/>
      </c>
      <c r="CD368">
        <f>IF(OR($C368="",$M368=""),"",AVERAGE($V368:$AI368))</f>
        <v/>
      </c>
      <c r="CE368">
        <f>IF($C368="","",IFERROR(IF(MATCH(IF(ISNUMBER($P368),$P368,'設定'!$C$6+N('設定'!$C$7)),$V$3:$AI$3,0)=1,MAX(0,N($L368)),INDEX($AJ368:$AW368,MATCH(IF(ISNUMBER($P368),$P368,'設定'!$C$6+N('設定'!$C$7)),$V$3:$AI$3,0)-1)),""))</f>
        <v/>
      </c>
      <c r="CF368">
        <f>IF(OR($C368="",$O368="",$CE368=""),"",IF($O368-$CE368&lt;=0,0,ROUNDUP(($O368-$CE368)/$G368,0)))</f>
        <v/>
      </c>
      <c r="CG368">
        <f>IF(OR($C368="",$CF368="",NOT(ISNUMBER($Q368))),0,MAX(0,$Q368-$CF368))</f>
        <v/>
      </c>
      <c r="CH368">
        <f>IF(OR($C368="",$O368="",$U368=0),0,IFERROR(ROUNDUP(MAX(0,IF(MATCH($S368,$V$3:$AI$3,0)=1,MAX(0,N($L368)),INDEX($AX368:$BK368,MATCH($S368,$V$3:$AI$3,0)-1))+$U368-$O368)/$G368,0),0))</f>
        <v/>
      </c>
      <c r="CI368">
        <f>IF($C368="","",IF(AND($P368="",$Q368=""),"",IF($P368="","⚠ 入庫日を ▼ から選んでください",IF(NOT(ISNUMBER($P368)),"⚠ 入庫日は ▼ から選んでください",IF($P368&lt;N('設定'!$C$6),"⚠ 入庫日が過去です（もう在庫に入っています）→ 消してください",IF($P368&gt;N('設定'!$C$6)+13,"⚠ 入庫日が14日より先です",IF(N($Q368)&lt;=0,"⚠ 入庫数を入れてください",IF($CG368&gt;0,"⚠ 目安より "&amp;$CG368&amp;" 多い（定数を超える）→ 減らす",""))))))))</f>
        <v/>
      </c>
      <c r="CJ368">
        <f>IF($C368="","",IF(AND($S368="",$T368=""),"",IF($S368="","⚠ 2便目：入庫日を ▼ から選んでください",IF(NOT(ISNUMBER($S368)),"⚠ 2便目：入庫日は ▼ から選んでください",IF($S368&lt;N('設定'!$C$6),"⚠ 2便目：入庫日が過去です（もう在庫に入っています）→ 消してください",IF($S368&gt;N('設定'!$C$6)+13,"⚠ 2便目：入庫日が14日より先です",IF(N($T368)&lt;=0,"⚠ 2便目：入庫数を入れてください",IF($CH368&gt;0,"⚠ 2便目：定数を "&amp;$CH368&amp;" ケース超える → 減らす",""))))))))</f>
        <v/>
      </c>
      <c r="CK368">
        <f>IF(AND($CI368="",N($Q368)&gt;0,ISNUMBER($P368)),1,0)</f>
        <v/>
      </c>
      <c r="CL368">
        <f>IF(AND($CJ368="",N($T368)&gt;0,ISNUMBER($S368)),1,0)</f>
        <v/>
      </c>
      <c r="CM368">
        <f>IF(OR($CK368=1,$CL368=1),1,0)</f>
        <v/>
      </c>
      <c r="CN368">
        <f>IF($C368="",0,($CK368*$R368+$CL368*$U368)*N($H368))</f>
        <v/>
      </c>
      <c r="CO368">
        <f>IF($C368="","",IF($CC368="","入庫後は 14日以上もつ",IF($CC368-N('設定'!$C$7)&lt;='設定'!$C$6,"入庫後も "&amp;TEXT($CC368,"m/d")&amp;"("&amp;CHOOSE(WEEKDAY($CC368),"日","月","火","水","木","金","土")&amp;")"&amp;" に切れる　もう1便を至急発注","入庫後も "&amp;TEXT($CC368,"m/d")&amp;"("&amp;CHOOSE(WEEKDAY($CC368),"日","月","火","水","木","金","土")&amp;")"&amp;" に切れる　"&amp;TEXT($CC368-N('設定'!$C$7),"m/d")&amp;"("&amp;CHOOSE(WEEKDAY($CC368-N('設定'!$C$7)),"日","月","火","水","木","金","土")&amp;")"&amp;" までに次を発注")))</f>
        <v/>
      </c>
      <c r="CP368">
        <f>IF($C368="","",IF('設定'!$C$6="","？ ①在庫を貼る に今日のCSVが貼られていない",IF($CS368=1,"－ 今日のCSVに無い（終売？）",IF($L368&lt;0,"● 在庫がマイナス　数えて「数えた在庫」に入れる",IF($L368=0,"● 在庫なし　至急発注",IF($M368="","？ 減り数が未設定（商品マスタ）",IF($B$3=0,"？ 動員が未入力（動員を入れる）",IF($CA368="","○ 14日以上もつ",IF($BZ368&lt;N('設定'!$C$7),"● "&amp;TEXT($CA368,"m/d")&amp;"("&amp;CHOOSE(WEEKDAY($CA368),"日","月","火","水","木","金","土")&amp;")"&amp;" に切れる　至急発注",IF($BZ368=N('設定'!$C$7),"● "&amp;TEXT($CA368,"m/d")&amp;"("&amp;CHOOSE(WEEKDAY($CA368),"日","月","火","水","木","金","土")&amp;")"&amp;" に切れる　今日発注","△ "&amp;TEXT($CA368,"m/d")&amp;"("&amp;CHOOSE(WEEKDAY($CA368),"日","月","火","水","木","金","土")&amp;")"&amp;" に切れる　"&amp;TEXT($CA368-N('設定'!$C$7),"m/d")&amp;"("&amp;CHOOSE(WEEKDAY($CA368-N('設定'!$C$7)),"日","月","火","水","木","金","土")&amp;")"&amp;" までに発注"))))))))))</f>
        <v/>
      </c>
      <c r="CQ368">
        <f>IF($C368="","",IF(AND($P368="",$Q368="",$S368="",$T368=""),"",IF(AND($P368="",$Q368=""),"⚠ 先に1便目（左の入庫日・入庫数）に入れてください",IF($CI368&lt;&gt;"",$CI368,IF($CJ368&lt;&gt;"",$CJ368,IF($M368="","？ 減り数が未設定（発注書には載ります）",IF($B$3=0,"？ 動員が未入力（発注書には載ります）",IF(AND($CA368&lt;&gt;"",$P368&gt;$CA368),IF($P368&gt;'設定'!$C$6+N('設定'!$C$7),"● "&amp;TEXT($P368,"m/d")&amp;"("&amp;CHOOSE(WEEKDAY($P368),"日","月","火","水","木","金","土")&amp;")"&amp;" の入庫では間に合わない（"&amp;TEXT($CA368,"m/d")&amp;"("&amp;CHOOSE(WEEKDAY($CA368),"日","月","火","水","木","金","土")&amp;")"&amp;" に切れる）　入庫日を早める","△ 欠品 "&amp;TEXT($CA368,"m/d")&amp;"("&amp;CHOOSE(WEEKDAY($CA368),"日","月","火","水","木","金","土")&amp;")"&amp;"〜"&amp;TEXT($P368-1,"m/d")&amp;"("&amp;CHOOSE(WEEKDAY($P368-1),"日","月","火","水","木","金","土")&amp;")"&amp;"　"&amp;$CO368),IF($CC368="","○ "&amp;TEXT($P368,"m/d")&amp;"("&amp;CHOOSE(WEEKDAY($P368),"日","月","火","水","木","金","土")&amp;")"&amp;" 入庫で 14日以上もつ",IF($CC368-N('設定'!$C$7)&lt;='設定'!$C$6,"● 入庫しても "&amp;TEXT($CC368,"m/d")&amp;"("&amp;CHOOSE(WEEKDAY($CC368),"日","月","火","水","木","金","土")&amp;")"&amp;" に切れる　もう1便を至急発注（2便目に入れる）","△ 入庫しても "&amp;TEXT($CC368,"m/d")&amp;"("&amp;CHOOSE(WEEKDAY($CC368),"日","月","火","水","木","金","土")&amp;")"&amp;" に切れる　"&amp;TEXT($CC368-N('設定'!$C$7),"m/d")&amp;"("&amp;CHOOSE(WEEKDAY($CC368-N('設定'!$C$7)),"日","月","火","水","木","金","土")&amp;")"&amp;" までに次を発注（2便目に入れる）"))))))))))</f>
        <v/>
      </c>
      <c r="CR368">
        <f>IF($C368="","",IF($G368&gt;1,"ｹｰｽ("&amp;$G368&amp;"入)","個"))</f>
        <v/>
      </c>
      <c r="CS368">
        <f>IF($C368="",0,IF(COUNTIFS('①在庫を貼る'!$V$6:$V$10005,'設定'!$C$4,'①在庫を貼る'!$W$6:$W$10005,$C368)=0,1,0))</f>
        <v/>
      </c>
      <c r="CT368">
        <f>IF(AND($CK368=1,OR('③発注書'!$C$4="すべて",'③発注書'!$C$4="",$F368='③発注書'!$C$4)),N($CT367)+1,N($CT367))</f>
        <v/>
      </c>
      <c r="CU368">
        <f>IF(AND($CL368=1,OR('③発注書'!$C$4="すべて",'③発注書'!$C$4="",$F368='③発注書'!$C$4)),N($CU367)+1,N($CU367))</f>
        <v/>
      </c>
      <c r="CV368">
        <f>IF($C368="",0,IF(COUNTIFS('①在庫を貼る'!$V$6:$V$10005,'設定'!$C$4,'①在庫を貼る'!$W$6:$W$10005,$C368)&gt;0,1,0))</f>
        <v/>
      </c>
      <c r="CW368">
        <f>IF($C368="",0,IF(COUNTIFS('月1回_1ヶ月前の在庫'!$V$6:$V$10005,'設定'!$C$4,'月1回_1ヶ月前の在庫'!$W$6:$W$10005,$C368)&gt;0,1,0))</f>
        <v/>
      </c>
      <c r="CX368">
        <f>IF($C368="",0,IF(COUNTIFS('月1回_2ヶ月前の在庫'!$V$6:$V$10005,'設定'!$C$4,'月1回_2ヶ月前の在庫'!$W$6:$W$10005,$C368)&gt;0,1,0))</f>
        <v/>
      </c>
      <c r="CY368">
        <f>IF(OR($C368="",'設定'!$C$12=""),"",IF('設定'!$C$13="",IF(AND($CV368=1,$CW368=0),"新商品（今月から）",IF(AND($CV368=0,$CW368=1),"終売（今月から）","")),IF(AND($CV368=1,$CW368=0,$CX368=0),"新商品（今月から）",IF(AND($CV368=1,$CW368=1,$CX368=0),"新商品（先月から）",IF(AND($CV368=0,$CW368=1,$CX368=1),"終売（今月から）",IF(AND($CV368=0,$CW368=0,$CX368=1),"終売（先月から）",IF(AND($CV368=1,$CW368=0,$CX368=1),"復活（先月は無し）","")))))))</f>
        <v/>
      </c>
    </row>
    <row r="369">
      <c r="B369">
        <f>IF(364&lt;='設定'!$C$11,364,"")</f>
        <v/>
      </c>
      <c r="C369">
        <f>IF($B369="","",IF($B369&lt;='設定'!$C$20,INDEX('商品マスタ'!$B$6:$B$1005,MATCH($B369,'商品マスタ'!$M$6:$M$1005,0)),IF($B369&lt;='設定'!$C$20+'設定'!$C$17,INDEX('①在庫を貼る'!$W$6:$W$10005,MATCH($B369-'設定'!$C$20,'①在庫を貼る'!$U$6:$U$10005,0)),IF($B369&lt;='設定'!$C$20+'設定'!$C$17+'設定'!$C$18,INDEX('月1回_1ヶ月前の在庫'!$W$6:$W$10005,MATCH($B369-'設定'!$C$20-'設定'!$C$17,'月1回_1ヶ月前の在庫'!$U$6:$U$10005,0)),INDEX('月1回_2ヶ月前の在庫'!$W$6:$W$10005,MATCH($B369-'設定'!$C$20-'設定'!$C$17-'設定'!$C$18,'月1回_2ヶ月前の在庫'!$U$6:$U$10005,0))))))</f>
        <v/>
      </c>
      <c r="D369">
        <f>IF($C369="","",IFERROR(IF(INDEX('商品マスタ'!$C$6:$C$1005,MATCH($C369,'商品マスタ'!$B$6:$B$1005,0))="",IFERROR(INDEX('①在庫を貼る'!$J$6:$J$10005,MATCH($C369,'①在庫を貼る'!$W$6:$W$10005,0)),IFERROR(INDEX('月1回_1ヶ月前の在庫'!$J$6:$J$10005,MATCH($C369,'月1回_1ヶ月前の在庫'!$W$6:$W$10005,0)),IFERROR(INDEX('月1回_2ヶ月前の在庫'!$J$6:$J$10005,MATCH($C369,'月1回_2ヶ月前の在庫'!$W$6:$W$10005,0)),""))),INDEX('商品マスタ'!$C$6:$C$1005,MATCH($C369,'商品マスタ'!$B$6:$B$1005,0))),IFERROR(INDEX('①在庫を貼る'!$J$6:$J$10005,MATCH($C369,'①在庫を貼る'!$W$6:$W$10005,0)),IFERROR(INDEX('月1回_1ヶ月前の在庫'!$J$6:$J$10005,MATCH($C369,'月1回_1ヶ月前の在庫'!$W$6:$W$10005,0)),IFERROR(INDEX('月1回_2ヶ月前の在庫'!$J$6:$J$10005,MATCH($C369,'月1回_2ヶ月前の在庫'!$W$6:$W$10005,0)),"")))))</f>
        <v/>
      </c>
      <c r="E369">
        <f>IF($C369="","",IFERROR(IF(INDEX('商品マスタ'!$D$6:$D$1005,MATCH($C369,'商品マスタ'!$B$6:$B$1005,0))="",IFERROR(INDEX('①在庫を貼る'!$H$6:$H$10005,MATCH($C369,'①在庫を貼る'!$W$6:$W$10005,0)),IFERROR(INDEX('月1回_1ヶ月前の在庫'!$H$6:$H$10005,MATCH($C369,'月1回_1ヶ月前の在庫'!$W$6:$W$10005,0)),IFERROR(INDEX('月1回_2ヶ月前の在庫'!$H$6:$H$10005,MATCH($C369,'月1回_2ヶ月前の在庫'!$W$6:$W$10005,0)),""))),INDEX('商品マスタ'!$D$6:$D$1005,MATCH($C369,'商品マスタ'!$B$6:$B$1005,0))),IFERROR(INDEX('①在庫を貼る'!$H$6:$H$10005,MATCH($C369,'①在庫を貼る'!$W$6:$W$10005,0)),IFERROR(INDEX('月1回_1ヶ月前の在庫'!$H$6:$H$10005,MATCH($C369,'月1回_1ヶ月前の在庫'!$W$6:$W$10005,0)),IFERROR(INDEX('月1回_2ヶ月前の在庫'!$H$6:$H$10005,MATCH($C369,'月1回_2ヶ月前の在庫'!$W$6:$W$10005,0)),"")))))</f>
        <v/>
      </c>
      <c r="F369">
        <f>IF($C369="","",IFERROR(IF(INDEX('商品マスタ'!$E$6:$E$1005,MATCH($C369,'商品マスタ'!$B$6:$B$1005,0))="",IFERROR(INDEX('①在庫を貼る'!$E$6:$E$10005,MATCH($C369,'①在庫を貼る'!$W$6:$W$10005,0)),IFERROR(INDEX('月1回_1ヶ月前の在庫'!$E$6:$E$10005,MATCH($C369,'月1回_1ヶ月前の在庫'!$W$6:$W$10005,0)),IFERROR(INDEX('月1回_2ヶ月前の在庫'!$E$6:$E$10005,MATCH($C369,'月1回_2ヶ月前の在庫'!$W$6:$W$10005,0)),""))),INDEX('商品マスタ'!$E$6:$E$1005,MATCH($C369,'商品マスタ'!$B$6:$B$1005,0))),IFERROR(INDEX('①在庫を貼る'!$E$6:$E$10005,MATCH($C369,'①在庫を貼る'!$W$6:$W$10005,0)),IFERROR(INDEX('月1回_1ヶ月前の在庫'!$E$6:$E$10005,MATCH($C369,'月1回_1ヶ月前の在庫'!$W$6:$W$10005,0)),IFERROR(INDEX('月1回_2ヶ月前の在庫'!$E$6:$E$10005,MATCH($C369,'月1回_2ヶ月前の在庫'!$W$6:$W$10005,0)),"")))))</f>
        <v/>
      </c>
      <c r="G369">
        <f>IF($C369="","",MAX(1,N(IFERROR(IF(INDEX('商品マスタ'!$F$6:$F$1005,MATCH($C369,'商品マスタ'!$B$6:$B$1005,0))="",IF(COUNTIFS('①在庫を貼る'!$V$6:$V$10005,'設定'!$C$4,'①在庫を貼る'!$W$6:$W$10005,$C369)&gt;0,SUMIFS('①在庫を貼る'!$K$6:$K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K$6:$K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K$6:$K$10005,'月1回_2ヶ月前の在庫'!$V$6:$V$10005,'設定'!$C$4,'月1回_2ヶ月前の在庫'!$W$6:$W$10005,$C369)/COUNTIFS('月1回_2ヶ月前の在庫'!$V$6:$V$10005,'設定'!$C$4,'月1回_2ヶ月前の在庫'!$W$6:$W$10005,$C369),0))),INDEX('商品マスタ'!$F$6:$F$1005,MATCH($C369,'商品マスタ'!$B$6:$B$1005,0))),IF(COUNTIFS('①在庫を貼る'!$V$6:$V$10005,'設定'!$C$4,'①在庫を貼る'!$W$6:$W$10005,$C369)&gt;0,SUMIFS('①在庫を貼る'!$K$6:$K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K$6:$K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K$6:$K$10005,'月1回_2ヶ月前の在庫'!$V$6:$V$10005,'設定'!$C$4,'月1回_2ヶ月前の在庫'!$W$6:$W$10005,$C369)/COUNTIFS('月1回_2ヶ月前の在庫'!$V$6:$V$10005,'設定'!$C$4,'月1回_2ヶ月前の在庫'!$W$6:$W$10005,$C369),0)))))))</f>
        <v/>
      </c>
      <c r="H369">
        <f>IF($C369="","",N(IFERROR(IF(INDEX('商品マスタ'!$G$6:$G$1005,MATCH($C369,'商品マスタ'!$B$6:$B$1005,0))="",IF(COUNTIFS('①在庫を貼る'!$V$6:$V$10005,'設定'!$C$4,'①在庫を貼る'!$W$6:$W$10005,$C369)&gt;0,SUMIFS('①在庫を貼る'!$Q$6:$Q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Q$6:$Q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Q$6:$Q$10005,'月1回_2ヶ月前の在庫'!$V$6:$V$10005,'設定'!$C$4,'月1回_2ヶ月前の在庫'!$W$6:$W$10005,$C369)/COUNTIFS('月1回_2ヶ月前の在庫'!$V$6:$V$10005,'設定'!$C$4,'月1回_2ヶ月前の在庫'!$W$6:$W$10005,$C369),0))),INDEX('商品マスタ'!$G$6:$G$1005,MATCH($C369,'商品マスタ'!$B$6:$B$1005,0))),IF(COUNTIFS('①在庫を貼る'!$V$6:$V$10005,'設定'!$C$4,'①在庫を貼る'!$W$6:$W$10005,$C369)&gt;0,SUMIFS('①在庫を貼る'!$Q$6:$Q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Q$6:$Q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Q$6:$Q$10005,'月1回_2ヶ月前の在庫'!$V$6:$V$10005,'設定'!$C$4,'月1回_2ヶ月前の在庫'!$W$6:$W$10005,$C369)/COUNTIFS('月1回_2ヶ月前の在庫'!$V$6:$V$10005,'設定'!$C$4,'月1回_2ヶ月前の在庫'!$W$6:$W$10005,$C369),0))))))</f>
        <v/>
      </c>
      <c r="I369">
        <f>IF($C369="","",IF(COUNTIFS('①在庫を貼る'!$V$6:$V$10005,'設定'!$C$4,'①在庫を貼る'!$W$6:$W$10005,$C369)=0,"",SUMIFS('①在庫を貼る'!$N$6:$N$10005,'①在庫を貼る'!$V$6:$V$10005,'設定'!$C$4,'①在庫を貼る'!$W$6:$W$10005,$C369)))</f>
        <v/>
      </c>
      <c r="J369">
        <f>IF($C369="","",IF('②発注する'!$AD373="","",'②発注する'!$AD373))</f>
        <v/>
      </c>
      <c r="K369" s="90">
        <f>IF($C369="","",IF('②発注する'!$AE373="","",'②発注する'!$AE373))</f>
        <v/>
      </c>
      <c r="L369">
        <f>IF($C369="","",IF(AND(ISNUMBER($J369),ISNUMBER($K369),$K369&gt;='設定'!$C$6),$J369,N($I369)))</f>
        <v/>
      </c>
      <c r="M369">
        <f>IF($C369="","",IFERROR(IF(N(INDEX('商品マスタ'!$J$6:$J$1005,MATCH($C369,'商品マスタ'!$B$6:$B$1005,0)))&gt;0,INDEX('商品マスタ'!$J$6:$J$1005,MATCH($C369,'商品マスタ'!$B$6:$B$1005,0)),""),""))</f>
        <v/>
      </c>
      <c r="N369">
        <f>IF($C369="","",IFERROR(IF(N(INDEX('商品マスタ'!$H$6:$H$1005,MATCH($C369,'商品マスタ'!$B$6:$B$1005,0)))&gt;0,INDEX('商品マスタ'!$H$6:$H$1005,MATCH($C369,'商品マスタ'!$B$6:$B$1005,0)),""),""))</f>
        <v/>
      </c>
      <c r="O369">
        <f>IF($C369="","",IF($N369&lt;&gt;"",$N369*$G369,IF(N(IF(COUNTIFS('①在庫を貼る'!$V$6:$V$10005,'設定'!$C$4,'①在庫を貼る'!$W$6:$W$10005,$C369)&gt;0,SUMIFS('①在庫を貼る'!$O$6:$O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O$6:$O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O$6:$O$10005,'月1回_2ヶ月前の在庫'!$V$6:$V$10005,'設定'!$C$4,'月1回_2ヶ月前の在庫'!$W$6:$W$10005,$C369)/COUNTIFS('月1回_2ヶ月前の在庫'!$V$6:$V$10005,'設定'!$C$4,'月1回_2ヶ月前の在庫'!$W$6:$W$10005,$C369),0))))&gt;0,N(IF(COUNTIFS('①在庫を貼る'!$V$6:$V$10005,'設定'!$C$4,'①在庫を貼る'!$W$6:$W$10005,$C369)&gt;0,SUMIFS('①在庫を貼る'!$O$6:$O$10005,'①在庫を貼る'!$V$6:$V$10005,'設定'!$C$4,'①在庫を貼る'!$W$6:$W$10005,$C369)/COUNTIFS('①在庫を貼る'!$V$6:$V$10005,'設定'!$C$4,'①在庫を貼る'!$W$6:$W$10005,$C369),IF(COUNTIFS('月1回_1ヶ月前の在庫'!$V$6:$V$10005,'設定'!$C$4,'月1回_1ヶ月前の在庫'!$W$6:$W$10005,$C369)&gt;0,SUMIFS('月1回_1ヶ月前の在庫'!$O$6:$O$10005,'月1回_1ヶ月前の在庫'!$V$6:$V$10005,'設定'!$C$4,'月1回_1ヶ月前の在庫'!$W$6:$W$10005,$C369)/COUNTIFS('月1回_1ヶ月前の在庫'!$V$6:$V$10005,'設定'!$C$4,'月1回_1ヶ月前の在庫'!$W$6:$W$10005,$C369),IF(COUNTIFS('月1回_2ヶ月前の在庫'!$V$6:$V$10005,'設定'!$C$4,'月1回_2ヶ月前の在庫'!$W$6:$W$10005,$C369)&gt;0,SUMIFS('月1回_2ヶ月前の在庫'!$O$6:$O$10005,'月1回_2ヶ月前の在庫'!$V$6:$V$10005,'設定'!$C$4,'月1回_2ヶ月前の在庫'!$W$6:$W$10005,$C369)/COUNTIFS('月1回_2ヶ月前の在庫'!$V$6:$V$10005,'設定'!$C$4,'月1回_2ヶ月前の在庫'!$W$6:$W$10005,$C369),0)))),"")))</f>
        <v/>
      </c>
      <c r="P369" s="90">
        <f>IF($C369="","",IF('②発注する'!$I373="","",'②発注する'!$I373))</f>
        <v/>
      </c>
      <c r="Q369">
        <f>IF($C369="","",IF('②発注する'!$J373="","",'②発注する'!$J373))</f>
        <v/>
      </c>
      <c r="R369">
        <f>IF($C369="",0,IF(AND(ISNUMBER($P369),ISNUMBER($Q369)),MAX(0,$Q369)*$G369,0))</f>
        <v/>
      </c>
      <c r="S369" s="90">
        <f>IF($C369="","",IF('②発注する'!$M373="","",'②発注する'!$M373))</f>
        <v/>
      </c>
      <c r="T369">
        <f>IF($C369="","",IF('②発注する'!$N373="","",'②発注する'!$N373))</f>
        <v/>
      </c>
      <c r="U369">
        <f>IF($C369="",0,IF(AND(ISNUMBER($S369),ISNUMBER($T369)),MAX(0,$T369)*$G369,0))</f>
        <v/>
      </c>
      <c r="V369">
        <f>IF($C369="",0,IF($M369="",0,MAX(0,$M369)*MAX(0,V$4)/100))</f>
        <v/>
      </c>
      <c r="W369">
        <f>IF($C369="",0,IF($M369="",0,MAX(0,$M369)*MAX(0,W$4)/100))</f>
        <v/>
      </c>
      <c r="X369">
        <f>IF($C369="",0,IF($M369="",0,MAX(0,$M369)*MAX(0,X$4)/100))</f>
        <v/>
      </c>
      <c r="Y369">
        <f>IF($C369="",0,IF($M369="",0,MAX(0,$M369)*MAX(0,Y$4)/100))</f>
        <v/>
      </c>
      <c r="Z369">
        <f>IF($C369="",0,IF($M369="",0,MAX(0,$M369)*MAX(0,Z$4)/100))</f>
        <v/>
      </c>
      <c r="AA369">
        <f>IF($C369="",0,IF($M369="",0,MAX(0,$M369)*MAX(0,AA$4)/100))</f>
        <v/>
      </c>
      <c r="AB369">
        <f>IF($C369="",0,IF($M369="",0,MAX(0,$M369)*MAX(0,AB$4)/100))</f>
        <v/>
      </c>
      <c r="AC369">
        <f>IF($C369="",0,IF($M369="",0,MAX(0,$M369)*MAX(0,AC$4)/100))</f>
        <v/>
      </c>
      <c r="AD369">
        <f>IF($C369="",0,IF($M369="",0,MAX(0,$M369)*MAX(0,AD$4)/100))</f>
        <v/>
      </c>
      <c r="AE369">
        <f>IF($C369="",0,IF($M369="",0,MAX(0,$M369)*MAX(0,AE$4)/100))</f>
        <v/>
      </c>
      <c r="AF369">
        <f>IF($C369="",0,IF($M369="",0,MAX(0,$M369)*MAX(0,AF$4)/100))</f>
        <v/>
      </c>
      <c r="AG369">
        <f>IF($C369="",0,IF($M369="",0,MAX(0,$M369)*MAX(0,AG$4)/100))</f>
        <v/>
      </c>
      <c r="AH369">
        <f>IF($C369="",0,IF($M369="",0,MAX(0,$M369)*MAX(0,AH$4)/100))</f>
        <v/>
      </c>
      <c r="AI369">
        <f>IF($C369="",0,IF($M369="",0,MAX(0,$M369)*MAX(0,AI$4)/100))</f>
        <v/>
      </c>
      <c r="AJ369">
        <f>IF($C369="",0,MAX(0,MAX(0,N($L369))-$V369))</f>
        <v/>
      </c>
      <c r="AK369">
        <f>IF($C369="",0,MAX(0,$AJ369-$W369))</f>
        <v/>
      </c>
      <c r="AL369">
        <f>IF($C369="",0,MAX(0,$AK369-$X369))</f>
        <v/>
      </c>
      <c r="AM369">
        <f>IF($C369="",0,MAX(0,$AL369-$Y369))</f>
        <v/>
      </c>
      <c r="AN369">
        <f>IF($C369="",0,MAX(0,$AM369-$Z369))</f>
        <v/>
      </c>
      <c r="AO369">
        <f>IF($C369="",0,MAX(0,$AN369-$AA369))</f>
        <v/>
      </c>
      <c r="AP369">
        <f>IF($C369="",0,MAX(0,$AO369-$AB369))</f>
        <v/>
      </c>
      <c r="AQ369">
        <f>IF($C369="",0,MAX(0,$AP369-$AC369))</f>
        <v/>
      </c>
      <c r="AR369">
        <f>IF($C369="",0,MAX(0,$AQ369-$AD369))</f>
        <v/>
      </c>
      <c r="AS369">
        <f>IF($C369="",0,MAX(0,$AR369-$AE369))</f>
        <v/>
      </c>
      <c r="AT369">
        <f>IF($C369="",0,MAX(0,$AS369-$AF369))</f>
        <v/>
      </c>
      <c r="AU369">
        <f>IF($C369="",0,MAX(0,$AT369-$AG369))</f>
        <v/>
      </c>
      <c r="AV369">
        <f>IF($C369="",0,MAX(0,$AU369-$AH369))</f>
        <v/>
      </c>
      <c r="AW369">
        <f>IF($C369="",0,MAX(0,$AV369-$AI369))</f>
        <v/>
      </c>
      <c r="AX369">
        <f>IF($C369="",0,MAX(0,MAX(0,N($L369))+IF($P369=V$3,$R369,0)+IF($S369=V$3,$U369,0)-$V369))</f>
        <v/>
      </c>
      <c r="AY369">
        <f>IF($C369="",0,MAX(0,$AX369+IF($P369=W$3,$R369,0)+IF($S369=W$3,$U369,0)-$W369))</f>
        <v/>
      </c>
      <c r="AZ369">
        <f>IF($C369="",0,MAX(0,$AY369+IF($P369=X$3,$R369,0)+IF($S369=X$3,$U369,0)-$X369))</f>
        <v/>
      </c>
      <c r="BA369">
        <f>IF($C369="",0,MAX(0,$AZ369+IF($P369=Y$3,$R369,0)+IF($S369=Y$3,$U369,0)-$Y369))</f>
        <v/>
      </c>
      <c r="BB369">
        <f>IF($C369="",0,MAX(0,$BA369+IF($P369=Z$3,$R369,0)+IF($S369=Z$3,$U369,0)-$Z369))</f>
        <v/>
      </c>
      <c r="BC369">
        <f>IF($C369="",0,MAX(0,$BB369+IF($P369=AA$3,$R369,0)+IF($S369=AA$3,$U369,0)-$AA369))</f>
        <v/>
      </c>
      <c r="BD369">
        <f>IF($C369="",0,MAX(0,$BC369+IF($P369=AB$3,$R369,0)+IF($S369=AB$3,$U369,0)-$AB369))</f>
        <v/>
      </c>
      <c r="BE369">
        <f>IF($C369="",0,MAX(0,$BD369+IF($P369=AC$3,$R369,0)+IF($S369=AC$3,$U369,0)-$AC369))</f>
        <v/>
      </c>
      <c r="BF369">
        <f>IF($C369="",0,MAX(0,$BE369+IF($P369=AD$3,$R369,0)+IF($S369=AD$3,$U369,0)-$AD369))</f>
        <v/>
      </c>
      <c r="BG369">
        <f>IF($C369="",0,MAX(0,$BF369+IF($P369=AE$3,$R369,0)+IF($S369=AE$3,$U369,0)-$AE369))</f>
        <v/>
      </c>
      <c r="BH369">
        <f>IF($C369="",0,MAX(0,$BG369+IF($P369=AF$3,$R369,0)+IF($S369=AF$3,$U369,0)-$AF369))</f>
        <v/>
      </c>
      <c r="BI369">
        <f>IF($C369="",0,MAX(0,$BH369+IF($P369=AG$3,$R369,0)+IF($S369=AG$3,$U369,0)-$AG369))</f>
        <v/>
      </c>
      <c r="BJ369">
        <f>IF($C369="",0,MAX(0,$BI369+IF($P369=AH$3,$R369,0)+IF($S369=AH$3,$U369,0)-$AH369))</f>
        <v/>
      </c>
      <c r="BK369">
        <f>IF($C369="",0,MAX(0,$BJ369+IF($P369=AI$3,$R369,0)+IF($S369=AI$3,$U369,0)-$AI369))</f>
        <v/>
      </c>
      <c r="BL369">
        <f>IF($C369="",99,IF(AND($AX369&lt;1,V$3&gt;=MAX(N($P369),N($S369))),0,99))</f>
        <v/>
      </c>
      <c r="BM369">
        <f>IF($C369="",99,IF(AND($AY369&lt;1,W$3&gt;=MAX(N($P369),N($S369))),1,99))</f>
        <v/>
      </c>
      <c r="BN369">
        <f>IF($C369="",99,IF(AND($AZ369&lt;1,X$3&gt;=MAX(N($P369),N($S369))),2,99))</f>
        <v/>
      </c>
      <c r="BO369">
        <f>IF($C369="",99,IF(AND($BA369&lt;1,Y$3&gt;=MAX(N($P369),N($S369))),3,99))</f>
        <v/>
      </c>
      <c r="BP369">
        <f>IF($C369="",99,IF(AND($BB369&lt;1,Z$3&gt;=MAX(N($P369),N($S369))),4,99))</f>
        <v/>
      </c>
      <c r="BQ369">
        <f>IF($C369="",99,IF(AND($BC369&lt;1,AA$3&gt;=MAX(N($P369),N($S369))),5,99))</f>
        <v/>
      </c>
      <c r="BR369">
        <f>IF($C369="",99,IF(AND($BD369&lt;1,AB$3&gt;=MAX(N($P369),N($S369))),6,99))</f>
        <v/>
      </c>
      <c r="BS369">
        <f>IF($C369="",99,IF(AND($BE369&lt;1,AC$3&gt;=MAX(N($P369),N($S369))),7,99))</f>
        <v/>
      </c>
      <c r="BT369">
        <f>IF($C369="",99,IF(AND($BF369&lt;1,AD$3&gt;=MAX(N($P369),N($S369))),8,99))</f>
        <v/>
      </c>
      <c r="BU369">
        <f>IF($C369="",99,IF(AND($BG369&lt;1,AE$3&gt;=MAX(N($P369),N($S369))),9,99))</f>
        <v/>
      </c>
      <c r="BV369">
        <f>IF($C369="",99,IF(AND($BH369&lt;1,AF$3&gt;=MAX(N($P369),N($S369))),10,99))</f>
        <v/>
      </c>
      <c r="BW369">
        <f>IF($C369="",99,IF(AND($BI369&lt;1,AG$3&gt;=MAX(N($P369),N($S369))),11,99))</f>
        <v/>
      </c>
      <c r="BX369">
        <f>IF($C369="",99,IF(AND($BJ369&lt;1,AH$3&gt;=MAX(N($P369),N($S369))),12,99))</f>
        <v/>
      </c>
      <c r="BY369">
        <f>IF($C369="",99,IF(AND($BK369&lt;1,AI$3&gt;=MAX(N($P369),N($S369))),13,99))</f>
        <v/>
      </c>
      <c r="BZ369">
        <f>IF(OR($C369="",$M369=""),"",COUNTIF($AJ369:$AW369,"&gt;=1"))</f>
        <v/>
      </c>
      <c r="CA369" s="90">
        <f>IF($BZ369="","",IF($BZ369&gt;=14,"",'設定'!$C$6+$BZ369))</f>
        <v/>
      </c>
      <c r="CB369">
        <f>IF(OR($C369="",$M369=""),"",MIN($BL369:$BY369))</f>
        <v/>
      </c>
      <c r="CC369" s="90">
        <f>IF($CB369="","",IF($CB369&gt;=99,"",'設定'!$C$6+$CB369))</f>
        <v/>
      </c>
      <c r="CD369">
        <f>IF(OR($C369="",$M369=""),"",AVERAGE($V369:$AI369))</f>
        <v/>
      </c>
      <c r="CE369">
        <f>IF($C369="","",IFERROR(IF(MATCH(IF(ISNUMBER($P369),$P369,'設定'!$C$6+N('設定'!$C$7)),$V$3:$AI$3,0)=1,MAX(0,N($L369)),INDEX($AJ369:$AW369,MATCH(IF(ISNUMBER($P369),$P369,'設定'!$C$6+N('設定'!$C$7)),$V$3:$AI$3,0)-1)),""))</f>
        <v/>
      </c>
      <c r="CF369">
        <f>IF(OR($C369="",$O369="",$CE369=""),"",IF($O369-$CE369&lt;=0,0,ROUNDUP(($O369-$CE369)/$G369,0)))</f>
        <v/>
      </c>
      <c r="CG369">
        <f>IF(OR($C369="",$CF369="",NOT(ISNUMBER($Q369))),0,MAX(0,$Q369-$CF369))</f>
        <v/>
      </c>
      <c r="CH369">
        <f>IF(OR($C369="",$O369="",$U369=0),0,IFERROR(ROUNDUP(MAX(0,IF(MATCH($S369,$V$3:$AI$3,0)=1,MAX(0,N($L369)),INDEX($AX369:$BK369,MATCH($S369,$V$3:$AI$3,0)-1))+$U369-$O369)/$G369,0),0))</f>
        <v/>
      </c>
      <c r="CI369">
        <f>IF($C369="","",IF(AND($P369="",$Q369=""),"",IF($P369="","⚠ 入庫日を ▼ から選んでください",IF(NOT(ISNUMBER($P369)),"⚠ 入庫日は ▼ から選んでください",IF($P369&lt;N('設定'!$C$6),"⚠ 入庫日が過去です（もう在庫に入っています）→ 消してください",IF($P369&gt;N('設定'!$C$6)+13,"⚠ 入庫日が14日より先です",IF(N($Q369)&lt;=0,"⚠ 入庫数を入れてください",IF($CG369&gt;0,"⚠ 目安より "&amp;$CG369&amp;" 多い（定数を超える）→ 減らす",""))))))))</f>
        <v/>
      </c>
      <c r="CJ369">
        <f>IF($C369="","",IF(AND($S369="",$T369=""),"",IF($S369="","⚠ 2便目：入庫日を ▼ から選んでください",IF(NOT(ISNUMBER($S369)),"⚠ 2便目：入庫日は ▼ から選んでください",IF($S369&lt;N('設定'!$C$6),"⚠ 2便目：入庫日が過去です（もう在庫に入っています）→ 消してください",IF($S369&gt;N('設定'!$C$6)+13,"⚠ 2便目：入庫日が14日より先です",IF(N($T369)&lt;=0,"⚠ 2便目：入庫数を入れてください",IF($CH369&gt;0,"⚠ 2便目：定数を "&amp;$CH369&amp;" ケース超える → 減らす",""))))))))</f>
        <v/>
      </c>
      <c r="CK369">
        <f>IF(AND($CI369="",N($Q369)&gt;0,ISNUMBER($P369)),1,0)</f>
        <v/>
      </c>
      <c r="CL369">
        <f>IF(AND($CJ369="",N($T369)&gt;0,ISNUMBER($S369)),1,0)</f>
        <v/>
      </c>
      <c r="CM369">
        <f>IF(OR($CK369=1,$CL369=1),1,0)</f>
        <v/>
      </c>
      <c r="CN369">
        <f>IF($C369="",0,($CK369*$R369+$CL369*$U369)*N($H369))</f>
        <v/>
      </c>
      <c r="CO369">
        <f>IF($C369="","",IF($CC369="","入庫後は 14日以上もつ",IF($CC369-N('設定'!$C$7)&lt;='設定'!$C$6,"入庫後も "&amp;TEXT($CC369,"m/d")&amp;"("&amp;CHOOSE(WEEKDAY($CC369),"日","月","火","水","木","金","土")&amp;")"&amp;" に切れる　もう1便を至急発注","入庫後も "&amp;TEXT($CC369,"m/d")&amp;"("&amp;CHOOSE(WEEKDAY($CC369),"日","月","火","水","木","金","土")&amp;")"&amp;" に切れる　"&amp;TEXT($CC369-N('設定'!$C$7),"m/d")&amp;"("&amp;CHOOSE(WEEKDAY($CC369-N('設定'!$C$7)),"日","月","火","水","木","金","土")&amp;")"&amp;" までに次を発注")))</f>
        <v/>
      </c>
      <c r="CP369">
        <f>IF($C369="","",IF('設定'!$C$6="","？ ①在庫を貼る に今日のCSVが貼られていない",IF($CS369=1,"－ 今日のCSVに無い（終売？）",IF($L369&lt;0,"● 在庫がマイナス　数えて「数えた在庫」に入れる",IF($L369=0,"● 在庫なし　至急発注",IF($M369="","？ 減り数が未設定（商品マスタ）",IF($B$3=0,"？ 動員が未入力（動員を入れる）",IF($CA369="","○ 14日以上もつ",IF($BZ369&lt;N('設定'!$C$7),"● "&amp;TEXT($CA369,"m/d")&amp;"("&amp;CHOOSE(WEEKDAY($CA369),"日","月","火","水","木","金","土")&amp;")"&amp;" に切れる　至急発注",IF($BZ369=N('設定'!$C$7),"● "&amp;TEXT($CA369,"m/d")&amp;"("&amp;CHOOSE(WEEKDAY($CA369),"日","月","火","水","木","金","土")&amp;")"&amp;" に切れる　今日発注","△ "&amp;TEXT($CA369,"m/d")&amp;"("&amp;CHOOSE(WEEKDAY($CA369),"日","月","火","水","木","金","土")&amp;")"&amp;" に切れる　"&amp;TEXT($CA369-N('設定'!$C$7),"m/d")&amp;"("&amp;CHOOSE(WEEKDAY($CA369-N('設定'!$C$7)),"日","月","火","水","木","金","土")&amp;")"&amp;" までに発注"))))))))))</f>
        <v/>
      </c>
      <c r="CQ369">
        <f>IF($C369="","",IF(AND($P369="",$Q369="",$S369="",$T369=""),"",IF(AND($P369="",$Q369=""),"⚠ 先に1便目（左の入庫日・入庫数）に入れてください",IF($CI369&lt;&gt;"",$CI369,IF($CJ369&lt;&gt;"",$CJ369,IF($M369="","？ 減り数が未設定（発注書には載ります）",IF($B$3=0,"？ 動員が未入力（発注書には載ります）",IF(AND($CA369&lt;&gt;"",$P369&gt;$CA369),IF($P369&gt;'設定'!$C$6+N('設定'!$C$7),"● "&amp;TEXT($P369,"m/d")&amp;"("&amp;CHOOSE(WEEKDAY($P369),"日","月","火","水","木","金","土")&amp;")"&amp;" の入庫では間に合わない（"&amp;TEXT($CA369,"m/d")&amp;"("&amp;CHOOSE(WEEKDAY($CA369),"日","月","火","水","木","金","土")&amp;")"&amp;" に切れる）　入庫日を早める","△ 欠品 "&amp;TEXT($CA369,"m/d")&amp;"("&amp;CHOOSE(WEEKDAY($CA369),"日","月","火","水","木","金","土")&amp;")"&amp;"〜"&amp;TEXT($P369-1,"m/d")&amp;"("&amp;CHOOSE(WEEKDAY($P369-1),"日","月","火","水","木","金","土")&amp;")"&amp;"　"&amp;$CO369),IF($CC369="","○ "&amp;TEXT($P369,"m/d")&amp;"("&amp;CHOOSE(WEEKDAY($P369),"日","月","火","水","木","金","土")&amp;")"&amp;" 入庫で 14日以上もつ",IF($CC369-N('設定'!$C$7)&lt;='設定'!$C$6,"● 入庫しても "&amp;TEXT($CC369,"m/d")&amp;"("&amp;CHOOSE(WEEKDAY($CC369),"日","月","火","水","木","金","土")&amp;")"&amp;" に切れる　もう1便を至急発注（2便目に入れる）","△ 入庫しても "&amp;TEXT($CC369,"m/d")&amp;"("&amp;CHOOSE(WEEKDAY($CC369),"日","月","火","水","木","金","土")&amp;")"&amp;" に切れる　"&amp;TEXT($CC369-N('設定'!$C$7),"m/d")&amp;"("&amp;CHOOSE(WEEKDAY($CC369-N('設定'!$C$7)),"日","月","火","水","木","金","土")&amp;")"&amp;" までに次を発注（2便目に入れる）"))))))))))</f>
        <v/>
      </c>
      <c r="CR369">
        <f>IF($C369="","",IF($G369&gt;1,"ｹｰｽ("&amp;$G369&amp;"入)","個"))</f>
        <v/>
      </c>
      <c r="CS369">
        <f>IF($C369="",0,IF(COUNTIFS('①在庫を貼る'!$V$6:$V$10005,'設定'!$C$4,'①在庫を貼る'!$W$6:$W$10005,$C369)=0,1,0))</f>
        <v/>
      </c>
      <c r="CT369">
        <f>IF(AND($CK369=1,OR('③発注書'!$C$4="すべて",'③発注書'!$C$4="",$F369='③発注書'!$C$4)),N($CT368)+1,N($CT368))</f>
        <v/>
      </c>
      <c r="CU369">
        <f>IF(AND($CL369=1,OR('③発注書'!$C$4="すべて",'③発注書'!$C$4="",$F369='③発注書'!$C$4)),N($CU368)+1,N($CU368))</f>
        <v/>
      </c>
      <c r="CV369">
        <f>IF($C369="",0,IF(COUNTIFS('①在庫を貼る'!$V$6:$V$10005,'設定'!$C$4,'①在庫を貼る'!$W$6:$W$10005,$C369)&gt;0,1,0))</f>
        <v/>
      </c>
      <c r="CW369">
        <f>IF($C369="",0,IF(COUNTIFS('月1回_1ヶ月前の在庫'!$V$6:$V$10005,'設定'!$C$4,'月1回_1ヶ月前の在庫'!$W$6:$W$10005,$C369)&gt;0,1,0))</f>
        <v/>
      </c>
      <c r="CX369">
        <f>IF($C369="",0,IF(COUNTIFS('月1回_2ヶ月前の在庫'!$V$6:$V$10005,'設定'!$C$4,'月1回_2ヶ月前の在庫'!$W$6:$W$10005,$C369)&gt;0,1,0))</f>
        <v/>
      </c>
      <c r="CY369">
        <f>IF(OR($C369="",'設定'!$C$12=""),"",IF('設定'!$C$13="",IF(AND($CV369=1,$CW369=0),"新商品（今月から）",IF(AND($CV369=0,$CW369=1),"終売（今月から）","")),IF(AND($CV369=1,$CW369=0,$CX369=0),"新商品（今月から）",IF(AND($CV369=1,$CW369=1,$CX369=0),"新商品（先月から）",IF(AND($CV369=0,$CW369=1,$CX369=1),"終売（今月から）",IF(AND($CV369=0,$CW369=0,$CX369=1),"終売（先月から）",IF(AND($CV369=1,$CW369=0,$CX369=1),"復活（先月は無し）","")))))))</f>
        <v/>
      </c>
    </row>
    <row r="370">
      <c r="B370">
        <f>IF(365&lt;='設定'!$C$11,365,"")</f>
        <v/>
      </c>
      <c r="C370">
        <f>IF($B370="","",IF($B370&lt;='設定'!$C$20,INDEX('商品マスタ'!$B$6:$B$1005,MATCH($B370,'商品マスタ'!$M$6:$M$1005,0)),IF($B370&lt;='設定'!$C$20+'設定'!$C$17,INDEX('①在庫を貼る'!$W$6:$W$10005,MATCH($B370-'設定'!$C$20,'①在庫を貼る'!$U$6:$U$10005,0)),IF($B370&lt;='設定'!$C$20+'設定'!$C$17+'設定'!$C$18,INDEX('月1回_1ヶ月前の在庫'!$W$6:$W$10005,MATCH($B370-'設定'!$C$20-'設定'!$C$17,'月1回_1ヶ月前の在庫'!$U$6:$U$10005,0)),INDEX('月1回_2ヶ月前の在庫'!$W$6:$W$10005,MATCH($B370-'設定'!$C$20-'設定'!$C$17-'設定'!$C$18,'月1回_2ヶ月前の在庫'!$U$6:$U$10005,0))))))</f>
        <v/>
      </c>
      <c r="D370">
        <f>IF($C370="","",IFERROR(IF(INDEX('商品マスタ'!$C$6:$C$1005,MATCH($C370,'商品マスタ'!$B$6:$B$1005,0))="",IFERROR(INDEX('①在庫を貼る'!$J$6:$J$10005,MATCH($C370,'①在庫を貼る'!$W$6:$W$10005,0)),IFERROR(INDEX('月1回_1ヶ月前の在庫'!$J$6:$J$10005,MATCH($C370,'月1回_1ヶ月前の在庫'!$W$6:$W$10005,0)),IFERROR(INDEX('月1回_2ヶ月前の在庫'!$J$6:$J$10005,MATCH($C370,'月1回_2ヶ月前の在庫'!$W$6:$W$10005,0)),""))),INDEX('商品マスタ'!$C$6:$C$1005,MATCH($C370,'商品マスタ'!$B$6:$B$1005,0))),IFERROR(INDEX('①在庫を貼る'!$J$6:$J$10005,MATCH($C370,'①在庫を貼る'!$W$6:$W$10005,0)),IFERROR(INDEX('月1回_1ヶ月前の在庫'!$J$6:$J$10005,MATCH($C370,'月1回_1ヶ月前の在庫'!$W$6:$W$10005,0)),IFERROR(INDEX('月1回_2ヶ月前の在庫'!$J$6:$J$10005,MATCH($C370,'月1回_2ヶ月前の在庫'!$W$6:$W$10005,0)),"")))))</f>
        <v/>
      </c>
      <c r="E370">
        <f>IF($C370="","",IFERROR(IF(INDEX('商品マスタ'!$D$6:$D$1005,MATCH($C370,'商品マスタ'!$B$6:$B$1005,0))="",IFERROR(INDEX('①在庫を貼る'!$H$6:$H$10005,MATCH($C370,'①在庫を貼る'!$W$6:$W$10005,0)),IFERROR(INDEX('月1回_1ヶ月前の在庫'!$H$6:$H$10005,MATCH($C370,'月1回_1ヶ月前の在庫'!$W$6:$W$10005,0)),IFERROR(INDEX('月1回_2ヶ月前の在庫'!$H$6:$H$10005,MATCH($C370,'月1回_2ヶ月前の在庫'!$W$6:$W$10005,0)),""))),INDEX('商品マスタ'!$D$6:$D$1005,MATCH($C370,'商品マスタ'!$B$6:$B$1005,0))),IFERROR(INDEX('①在庫を貼る'!$H$6:$H$10005,MATCH($C370,'①在庫を貼る'!$W$6:$W$10005,0)),IFERROR(INDEX('月1回_1ヶ月前の在庫'!$H$6:$H$10005,MATCH($C370,'月1回_1ヶ月前の在庫'!$W$6:$W$10005,0)),IFERROR(INDEX('月1回_2ヶ月前の在庫'!$H$6:$H$10005,MATCH($C370,'月1回_2ヶ月前の在庫'!$W$6:$W$10005,0)),"")))))</f>
        <v/>
      </c>
      <c r="F370">
        <f>IF($C370="","",IFERROR(IF(INDEX('商品マスタ'!$E$6:$E$1005,MATCH($C370,'商品マスタ'!$B$6:$B$1005,0))="",IFERROR(INDEX('①在庫を貼る'!$E$6:$E$10005,MATCH($C370,'①在庫を貼る'!$W$6:$W$10005,0)),IFERROR(INDEX('月1回_1ヶ月前の在庫'!$E$6:$E$10005,MATCH($C370,'月1回_1ヶ月前の在庫'!$W$6:$W$10005,0)),IFERROR(INDEX('月1回_2ヶ月前の在庫'!$E$6:$E$10005,MATCH($C370,'月1回_2ヶ月前の在庫'!$W$6:$W$10005,0)),""))),INDEX('商品マスタ'!$E$6:$E$1005,MATCH($C370,'商品マスタ'!$B$6:$B$1005,0))),IFERROR(INDEX('①在庫を貼る'!$E$6:$E$10005,MATCH($C370,'①在庫を貼る'!$W$6:$W$10005,0)),IFERROR(INDEX('月1回_1ヶ月前の在庫'!$E$6:$E$10005,MATCH($C370,'月1回_1ヶ月前の在庫'!$W$6:$W$10005,0)),IFERROR(INDEX('月1回_2ヶ月前の在庫'!$E$6:$E$10005,MATCH($C370,'月1回_2ヶ月前の在庫'!$W$6:$W$10005,0)),"")))))</f>
        <v/>
      </c>
      <c r="G370">
        <f>IF($C370="","",MAX(1,N(IFERROR(IF(INDEX('商品マスタ'!$F$6:$F$1005,MATCH($C370,'商品マスタ'!$B$6:$B$1005,0))="",IF(COUNTIFS('①在庫を貼る'!$V$6:$V$10005,'設定'!$C$4,'①在庫を貼る'!$W$6:$W$10005,$C370)&gt;0,SUMIFS('①在庫を貼る'!$K$6:$K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K$6:$K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K$6:$K$10005,'月1回_2ヶ月前の在庫'!$V$6:$V$10005,'設定'!$C$4,'月1回_2ヶ月前の在庫'!$W$6:$W$10005,$C370)/COUNTIFS('月1回_2ヶ月前の在庫'!$V$6:$V$10005,'設定'!$C$4,'月1回_2ヶ月前の在庫'!$W$6:$W$10005,$C370),0))),INDEX('商品マスタ'!$F$6:$F$1005,MATCH($C370,'商品マスタ'!$B$6:$B$1005,0))),IF(COUNTIFS('①在庫を貼る'!$V$6:$V$10005,'設定'!$C$4,'①在庫を貼る'!$W$6:$W$10005,$C370)&gt;0,SUMIFS('①在庫を貼る'!$K$6:$K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K$6:$K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K$6:$K$10005,'月1回_2ヶ月前の在庫'!$V$6:$V$10005,'設定'!$C$4,'月1回_2ヶ月前の在庫'!$W$6:$W$10005,$C370)/COUNTIFS('月1回_2ヶ月前の在庫'!$V$6:$V$10005,'設定'!$C$4,'月1回_2ヶ月前の在庫'!$W$6:$W$10005,$C370),0)))))))</f>
        <v/>
      </c>
      <c r="H370">
        <f>IF($C370="","",N(IFERROR(IF(INDEX('商品マスタ'!$G$6:$G$1005,MATCH($C370,'商品マスタ'!$B$6:$B$1005,0))="",IF(COUNTIFS('①在庫を貼る'!$V$6:$V$10005,'設定'!$C$4,'①在庫を貼る'!$W$6:$W$10005,$C370)&gt;0,SUMIFS('①在庫を貼る'!$Q$6:$Q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Q$6:$Q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Q$6:$Q$10005,'月1回_2ヶ月前の在庫'!$V$6:$V$10005,'設定'!$C$4,'月1回_2ヶ月前の在庫'!$W$6:$W$10005,$C370)/COUNTIFS('月1回_2ヶ月前の在庫'!$V$6:$V$10005,'設定'!$C$4,'月1回_2ヶ月前の在庫'!$W$6:$W$10005,$C370),0))),INDEX('商品マスタ'!$G$6:$G$1005,MATCH($C370,'商品マスタ'!$B$6:$B$1005,0))),IF(COUNTIFS('①在庫を貼る'!$V$6:$V$10005,'設定'!$C$4,'①在庫を貼る'!$W$6:$W$10005,$C370)&gt;0,SUMIFS('①在庫を貼る'!$Q$6:$Q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Q$6:$Q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Q$6:$Q$10005,'月1回_2ヶ月前の在庫'!$V$6:$V$10005,'設定'!$C$4,'月1回_2ヶ月前の在庫'!$W$6:$W$10005,$C370)/COUNTIFS('月1回_2ヶ月前の在庫'!$V$6:$V$10005,'設定'!$C$4,'月1回_2ヶ月前の在庫'!$W$6:$W$10005,$C370),0))))))</f>
        <v/>
      </c>
      <c r="I370">
        <f>IF($C370="","",IF(COUNTIFS('①在庫を貼る'!$V$6:$V$10005,'設定'!$C$4,'①在庫を貼る'!$W$6:$W$10005,$C370)=0,"",SUMIFS('①在庫を貼る'!$N$6:$N$10005,'①在庫を貼る'!$V$6:$V$10005,'設定'!$C$4,'①在庫を貼る'!$W$6:$W$10005,$C370)))</f>
        <v/>
      </c>
      <c r="J370">
        <f>IF($C370="","",IF('②発注する'!$AD374="","",'②発注する'!$AD374))</f>
        <v/>
      </c>
      <c r="K370" s="90">
        <f>IF($C370="","",IF('②発注する'!$AE374="","",'②発注する'!$AE374))</f>
        <v/>
      </c>
      <c r="L370">
        <f>IF($C370="","",IF(AND(ISNUMBER($J370),ISNUMBER($K370),$K370&gt;='設定'!$C$6),$J370,N($I370)))</f>
        <v/>
      </c>
      <c r="M370">
        <f>IF($C370="","",IFERROR(IF(N(INDEX('商品マスタ'!$J$6:$J$1005,MATCH($C370,'商品マスタ'!$B$6:$B$1005,0)))&gt;0,INDEX('商品マスタ'!$J$6:$J$1005,MATCH($C370,'商品マスタ'!$B$6:$B$1005,0)),""),""))</f>
        <v/>
      </c>
      <c r="N370">
        <f>IF($C370="","",IFERROR(IF(N(INDEX('商品マスタ'!$H$6:$H$1005,MATCH($C370,'商品マスタ'!$B$6:$B$1005,0)))&gt;0,INDEX('商品マスタ'!$H$6:$H$1005,MATCH($C370,'商品マスタ'!$B$6:$B$1005,0)),""),""))</f>
        <v/>
      </c>
      <c r="O370">
        <f>IF($C370="","",IF($N370&lt;&gt;"",$N370*$G370,IF(N(IF(COUNTIFS('①在庫を貼る'!$V$6:$V$10005,'設定'!$C$4,'①在庫を貼る'!$W$6:$W$10005,$C370)&gt;0,SUMIFS('①在庫を貼る'!$O$6:$O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O$6:$O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O$6:$O$10005,'月1回_2ヶ月前の在庫'!$V$6:$V$10005,'設定'!$C$4,'月1回_2ヶ月前の在庫'!$W$6:$W$10005,$C370)/COUNTIFS('月1回_2ヶ月前の在庫'!$V$6:$V$10005,'設定'!$C$4,'月1回_2ヶ月前の在庫'!$W$6:$W$10005,$C370),0))))&gt;0,N(IF(COUNTIFS('①在庫を貼る'!$V$6:$V$10005,'設定'!$C$4,'①在庫を貼る'!$W$6:$W$10005,$C370)&gt;0,SUMIFS('①在庫を貼る'!$O$6:$O$10005,'①在庫を貼る'!$V$6:$V$10005,'設定'!$C$4,'①在庫を貼る'!$W$6:$W$10005,$C370)/COUNTIFS('①在庫を貼る'!$V$6:$V$10005,'設定'!$C$4,'①在庫を貼る'!$W$6:$W$10005,$C370),IF(COUNTIFS('月1回_1ヶ月前の在庫'!$V$6:$V$10005,'設定'!$C$4,'月1回_1ヶ月前の在庫'!$W$6:$W$10005,$C370)&gt;0,SUMIFS('月1回_1ヶ月前の在庫'!$O$6:$O$10005,'月1回_1ヶ月前の在庫'!$V$6:$V$10005,'設定'!$C$4,'月1回_1ヶ月前の在庫'!$W$6:$W$10005,$C370)/COUNTIFS('月1回_1ヶ月前の在庫'!$V$6:$V$10005,'設定'!$C$4,'月1回_1ヶ月前の在庫'!$W$6:$W$10005,$C370),IF(COUNTIFS('月1回_2ヶ月前の在庫'!$V$6:$V$10005,'設定'!$C$4,'月1回_2ヶ月前の在庫'!$W$6:$W$10005,$C370)&gt;0,SUMIFS('月1回_2ヶ月前の在庫'!$O$6:$O$10005,'月1回_2ヶ月前の在庫'!$V$6:$V$10005,'設定'!$C$4,'月1回_2ヶ月前の在庫'!$W$6:$W$10005,$C370)/COUNTIFS('月1回_2ヶ月前の在庫'!$V$6:$V$10005,'設定'!$C$4,'月1回_2ヶ月前の在庫'!$W$6:$W$10005,$C370),0)))),"")))</f>
        <v/>
      </c>
      <c r="P370" s="90">
        <f>IF($C370="","",IF('②発注する'!$I374="","",'②発注する'!$I374))</f>
        <v/>
      </c>
      <c r="Q370">
        <f>IF($C370="","",IF('②発注する'!$J374="","",'②発注する'!$J374))</f>
        <v/>
      </c>
      <c r="R370">
        <f>IF($C370="",0,IF(AND(ISNUMBER($P370),ISNUMBER($Q370)),MAX(0,$Q370)*$G370,0))</f>
        <v/>
      </c>
      <c r="S370" s="90">
        <f>IF($C370="","",IF('②発注する'!$M374="","",'②発注する'!$M374))</f>
        <v/>
      </c>
      <c r="T370">
        <f>IF($C370="","",IF('②発注する'!$N374="","",'②発注する'!$N374))</f>
        <v/>
      </c>
      <c r="U370">
        <f>IF($C370="",0,IF(AND(ISNUMBER($S370),ISNUMBER($T370)),MAX(0,$T370)*$G370,0))</f>
        <v/>
      </c>
      <c r="V370">
        <f>IF($C370="",0,IF($M370="",0,MAX(0,$M370)*MAX(0,V$4)/100))</f>
        <v/>
      </c>
      <c r="W370">
        <f>IF($C370="",0,IF($M370="",0,MAX(0,$M370)*MAX(0,W$4)/100))</f>
        <v/>
      </c>
      <c r="X370">
        <f>IF($C370="",0,IF($M370="",0,MAX(0,$M370)*MAX(0,X$4)/100))</f>
        <v/>
      </c>
      <c r="Y370">
        <f>IF($C370="",0,IF($M370="",0,MAX(0,$M370)*MAX(0,Y$4)/100))</f>
        <v/>
      </c>
      <c r="Z370">
        <f>IF($C370="",0,IF($M370="",0,MAX(0,$M370)*MAX(0,Z$4)/100))</f>
        <v/>
      </c>
      <c r="AA370">
        <f>IF($C370="",0,IF($M370="",0,MAX(0,$M370)*MAX(0,AA$4)/100))</f>
        <v/>
      </c>
      <c r="AB370">
        <f>IF($C370="",0,IF($M370="",0,MAX(0,$M370)*MAX(0,AB$4)/100))</f>
        <v/>
      </c>
      <c r="AC370">
        <f>IF($C370="",0,IF($M370="",0,MAX(0,$M370)*MAX(0,AC$4)/100))</f>
        <v/>
      </c>
      <c r="AD370">
        <f>IF($C370="",0,IF($M370="",0,MAX(0,$M370)*MAX(0,AD$4)/100))</f>
        <v/>
      </c>
      <c r="AE370">
        <f>IF($C370="",0,IF($M370="",0,MAX(0,$M370)*MAX(0,AE$4)/100))</f>
        <v/>
      </c>
      <c r="AF370">
        <f>IF($C370="",0,IF($M370="",0,MAX(0,$M370)*MAX(0,AF$4)/100))</f>
        <v/>
      </c>
      <c r="AG370">
        <f>IF($C370="",0,IF($M370="",0,MAX(0,$M370)*MAX(0,AG$4)/100))</f>
        <v/>
      </c>
      <c r="AH370">
        <f>IF($C370="",0,IF($M370="",0,MAX(0,$M370)*MAX(0,AH$4)/100))</f>
        <v/>
      </c>
      <c r="AI370">
        <f>IF($C370="",0,IF($M370="",0,MAX(0,$M370)*MAX(0,AI$4)/100))</f>
        <v/>
      </c>
      <c r="AJ370">
        <f>IF($C370="",0,MAX(0,MAX(0,N($L370))-$V370))</f>
        <v/>
      </c>
      <c r="AK370">
        <f>IF($C370="",0,MAX(0,$AJ370-$W370))</f>
        <v/>
      </c>
      <c r="AL370">
        <f>IF($C370="",0,MAX(0,$AK370-$X370))</f>
        <v/>
      </c>
      <c r="AM370">
        <f>IF($C370="",0,MAX(0,$AL370-$Y370))</f>
        <v/>
      </c>
      <c r="AN370">
        <f>IF($C370="",0,MAX(0,$AM370-$Z370))</f>
        <v/>
      </c>
      <c r="AO370">
        <f>IF($C370="",0,MAX(0,$AN370-$AA370))</f>
        <v/>
      </c>
      <c r="AP370">
        <f>IF($C370="",0,MAX(0,$AO370-$AB370))</f>
        <v/>
      </c>
      <c r="AQ370">
        <f>IF($C370="",0,MAX(0,$AP370-$AC370))</f>
        <v/>
      </c>
      <c r="AR370">
        <f>IF($C370="",0,MAX(0,$AQ370-$AD370))</f>
        <v/>
      </c>
      <c r="AS370">
        <f>IF($C370="",0,MAX(0,$AR370-$AE370))</f>
        <v/>
      </c>
      <c r="AT370">
        <f>IF($C370="",0,MAX(0,$AS370-$AF370))</f>
        <v/>
      </c>
      <c r="AU370">
        <f>IF($C370="",0,MAX(0,$AT370-$AG370))</f>
        <v/>
      </c>
      <c r="AV370">
        <f>IF($C370="",0,MAX(0,$AU370-$AH370))</f>
        <v/>
      </c>
      <c r="AW370">
        <f>IF($C370="",0,MAX(0,$AV370-$AI370))</f>
        <v/>
      </c>
      <c r="AX370">
        <f>IF($C370="",0,MAX(0,MAX(0,N($L370))+IF($P370=V$3,$R370,0)+IF($S370=V$3,$U370,0)-$V370))</f>
        <v/>
      </c>
      <c r="AY370">
        <f>IF($C370="",0,MAX(0,$AX370+IF($P370=W$3,$R370,0)+IF($S370=W$3,$U370,0)-$W370))</f>
        <v/>
      </c>
      <c r="AZ370">
        <f>IF($C370="",0,MAX(0,$AY370+IF($P370=X$3,$R370,0)+IF($S370=X$3,$U370,0)-$X370))</f>
        <v/>
      </c>
      <c r="BA370">
        <f>IF($C370="",0,MAX(0,$AZ370+IF($P370=Y$3,$R370,0)+IF($S370=Y$3,$U370,0)-$Y370))</f>
        <v/>
      </c>
      <c r="BB370">
        <f>IF($C370="",0,MAX(0,$BA370+IF($P370=Z$3,$R370,0)+IF($S370=Z$3,$U370,0)-$Z370))</f>
        <v/>
      </c>
      <c r="BC370">
        <f>IF($C370="",0,MAX(0,$BB370+IF($P370=AA$3,$R370,0)+IF($S370=AA$3,$U370,0)-$AA370))</f>
        <v/>
      </c>
      <c r="BD370">
        <f>IF($C370="",0,MAX(0,$BC370+IF($P370=AB$3,$R370,0)+IF($S370=AB$3,$U370,0)-$AB370))</f>
        <v/>
      </c>
      <c r="BE370">
        <f>IF($C370="",0,MAX(0,$BD370+IF($P370=AC$3,$R370,0)+IF($S370=AC$3,$U370,0)-$AC370))</f>
        <v/>
      </c>
      <c r="BF370">
        <f>IF($C370="",0,MAX(0,$BE370+IF($P370=AD$3,$R370,0)+IF($S370=AD$3,$U370,0)-$AD370))</f>
        <v/>
      </c>
      <c r="BG370">
        <f>IF($C370="",0,MAX(0,$BF370+IF($P370=AE$3,$R370,0)+IF($S370=AE$3,$U370,0)-$AE370))</f>
        <v/>
      </c>
      <c r="BH370">
        <f>IF($C370="",0,MAX(0,$BG370+IF($P370=AF$3,$R370,0)+IF($S370=AF$3,$U370,0)-$AF370))</f>
        <v/>
      </c>
      <c r="BI370">
        <f>IF($C370="",0,MAX(0,$BH370+IF($P370=AG$3,$R370,0)+IF($S370=AG$3,$U370,0)-$AG370))</f>
        <v/>
      </c>
      <c r="BJ370">
        <f>IF($C370="",0,MAX(0,$BI370+IF($P370=AH$3,$R370,0)+IF($S370=AH$3,$U370,0)-$AH370))</f>
        <v/>
      </c>
      <c r="BK370">
        <f>IF($C370="",0,MAX(0,$BJ370+IF($P370=AI$3,$R370,0)+IF($S370=AI$3,$U370,0)-$AI370))</f>
        <v/>
      </c>
      <c r="BL370">
        <f>IF($C370="",99,IF(AND($AX370&lt;1,V$3&gt;=MAX(N($P370),N($S370))),0,99))</f>
        <v/>
      </c>
      <c r="BM370">
        <f>IF($C370="",99,IF(AND($AY370&lt;1,W$3&gt;=MAX(N($P370),N($S370))),1,99))</f>
        <v/>
      </c>
      <c r="BN370">
        <f>IF($C370="",99,IF(AND($AZ370&lt;1,X$3&gt;=MAX(N($P370),N($S370))),2,99))</f>
        <v/>
      </c>
      <c r="BO370">
        <f>IF($C370="",99,IF(AND($BA370&lt;1,Y$3&gt;=MAX(N($P370),N($S370))),3,99))</f>
        <v/>
      </c>
      <c r="BP370">
        <f>IF($C370="",99,IF(AND($BB370&lt;1,Z$3&gt;=MAX(N($P370),N($S370))),4,99))</f>
        <v/>
      </c>
      <c r="BQ370">
        <f>IF($C370="",99,IF(AND($BC370&lt;1,AA$3&gt;=MAX(N($P370),N($S370))),5,99))</f>
        <v/>
      </c>
      <c r="BR370">
        <f>IF($C370="",99,IF(AND($BD370&lt;1,AB$3&gt;=MAX(N($P370),N($S370))),6,99))</f>
        <v/>
      </c>
      <c r="BS370">
        <f>IF($C370="",99,IF(AND($BE370&lt;1,AC$3&gt;=MAX(N($P370),N($S370))),7,99))</f>
        <v/>
      </c>
      <c r="BT370">
        <f>IF($C370="",99,IF(AND($BF370&lt;1,AD$3&gt;=MAX(N($P370),N($S370))),8,99))</f>
        <v/>
      </c>
      <c r="BU370">
        <f>IF($C370="",99,IF(AND($BG370&lt;1,AE$3&gt;=MAX(N($P370),N($S370))),9,99))</f>
        <v/>
      </c>
      <c r="BV370">
        <f>IF($C370="",99,IF(AND($BH370&lt;1,AF$3&gt;=MAX(N($P370),N($S370))),10,99))</f>
        <v/>
      </c>
      <c r="BW370">
        <f>IF($C370="",99,IF(AND($BI370&lt;1,AG$3&gt;=MAX(N($P370),N($S370))),11,99))</f>
        <v/>
      </c>
      <c r="BX370">
        <f>IF($C370="",99,IF(AND($BJ370&lt;1,AH$3&gt;=MAX(N($P370),N($S370))),12,99))</f>
        <v/>
      </c>
      <c r="BY370">
        <f>IF($C370="",99,IF(AND($BK370&lt;1,AI$3&gt;=MAX(N($P370),N($S370))),13,99))</f>
        <v/>
      </c>
      <c r="BZ370">
        <f>IF(OR($C370="",$M370=""),"",COUNTIF($AJ370:$AW370,"&gt;=1"))</f>
        <v/>
      </c>
      <c r="CA370" s="90">
        <f>IF($BZ370="","",IF($BZ370&gt;=14,"",'設定'!$C$6+$BZ370))</f>
        <v/>
      </c>
      <c r="CB370">
        <f>IF(OR($C370="",$M370=""),"",MIN($BL370:$BY370))</f>
        <v/>
      </c>
      <c r="CC370" s="90">
        <f>IF($CB370="","",IF($CB370&gt;=99,"",'設定'!$C$6+$CB370))</f>
        <v/>
      </c>
      <c r="CD370">
        <f>IF(OR($C370="",$M370=""),"",AVERAGE($V370:$AI370))</f>
        <v/>
      </c>
      <c r="CE370">
        <f>IF($C370="","",IFERROR(IF(MATCH(IF(ISNUMBER($P370),$P370,'設定'!$C$6+N('設定'!$C$7)),$V$3:$AI$3,0)=1,MAX(0,N($L370)),INDEX($AJ370:$AW370,MATCH(IF(ISNUMBER($P370),$P370,'設定'!$C$6+N('設定'!$C$7)),$V$3:$AI$3,0)-1)),""))</f>
        <v/>
      </c>
      <c r="CF370">
        <f>IF(OR($C370="",$O370="",$CE370=""),"",IF($O370-$CE370&lt;=0,0,ROUNDUP(($O370-$CE370)/$G370,0)))</f>
        <v/>
      </c>
      <c r="CG370">
        <f>IF(OR($C370="",$CF370="",NOT(ISNUMBER($Q370))),0,MAX(0,$Q370-$CF370))</f>
        <v/>
      </c>
      <c r="CH370">
        <f>IF(OR($C370="",$O370="",$U370=0),0,IFERROR(ROUNDUP(MAX(0,IF(MATCH($S370,$V$3:$AI$3,0)=1,MAX(0,N($L370)),INDEX($AX370:$BK370,MATCH($S370,$V$3:$AI$3,0)-1))+$U370-$O370)/$G370,0),0))</f>
        <v/>
      </c>
      <c r="CI370">
        <f>IF($C370="","",IF(AND($P370="",$Q370=""),"",IF($P370="","⚠ 入庫日を ▼ から選んでください",IF(NOT(ISNUMBER($P370)),"⚠ 入庫日は ▼ から選んでください",IF($P370&lt;N('設定'!$C$6),"⚠ 入庫日が過去です（もう在庫に入っています）→ 消してください",IF($P370&gt;N('設定'!$C$6)+13,"⚠ 入庫日が14日より先です",IF(N($Q370)&lt;=0,"⚠ 入庫数を入れてください",IF($CG370&gt;0,"⚠ 目安より "&amp;$CG370&amp;" 多い（定数を超える）→ 減らす",""))))))))</f>
        <v/>
      </c>
      <c r="CJ370">
        <f>IF($C370="","",IF(AND($S370="",$T370=""),"",IF($S370="","⚠ 2便目：入庫日を ▼ から選んでください",IF(NOT(ISNUMBER($S370)),"⚠ 2便目：入庫日は ▼ から選んでください",IF($S370&lt;N('設定'!$C$6),"⚠ 2便目：入庫日が過去です（もう在庫に入っています）→ 消してください",IF($S370&gt;N('設定'!$C$6)+13,"⚠ 2便目：入庫日が14日より先です",IF(N($T370)&lt;=0,"⚠ 2便目：入庫数を入れてください",IF($CH370&gt;0,"⚠ 2便目：定数を "&amp;$CH370&amp;" ケース超える → 減らす",""))))))))</f>
        <v/>
      </c>
      <c r="CK370">
        <f>IF(AND($CI370="",N($Q370)&gt;0,ISNUMBER($P370)),1,0)</f>
        <v/>
      </c>
      <c r="CL370">
        <f>IF(AND($CJ370="",N($T370)&gt;0,ISNUMBER($S370)),1,0)</f>
        <v/>
      </c>
      <c r="CM370">
        <f>IF(OR($CK370=1,$CL370=1),1,0)</f>
        <v/>
      </c>
      <c r="CN370">
        <f>IF($C370="",0,($CK370*$R370+$CL370*$U370)*N($H370))</f>
        <v/>
      </c>
      <c r="CO370">
        <f>IF($C370="","",IF($CC370="","入庫後は 14日以上もつ",IF($CC370-N('設定'!$C$7)&lt;='設定'!$C$6,"入庫後も "&amp;TEXT($CC370,"m/d")&amp;"("&amp;CHOOSE(WEEKDAY($CC370),"日","月","火","水","木","金","土")&amp;")"&amp;" に切れる　もう1便を至急発注","入庫後も "&amp;TEXT($CC370,"m/d")&amp;"("&amp;CHOOSE(WEEKDAY($CC370),"日","月","火","水","木","金","土")&amp;")"&amp;" に切れる　"&amp;TEXT($CC370-N('設定'!$C$7),"m/d")&amp;"("&amp;CHOOSE(WEEKDAY($CC370-N('設定'!$C$7)),"日","月","火","水","木","金","土")&amp;")"&amp;" までに次を発注")))</f>
        <v/>
      </c>
      <c r="CP370">
        <f>IF($C370="","",IF('設定'!$C$6="","？ ①在庫を貼る に今日のCSVが貼られていない",IF($CS370=1,"－ 今日のCSVに無い（終売？）",IF($L370&lt;0,"● 在庫がマイナス　数えて「数えた在庫」に入れる",IF($L370=0,"● 在庫なし　至急発注",IF($M370="","？ 減り数が未設定（商品マスタ）",IF($B$3=0,"？ 動員が未入力（動員を入れる）",IF($CA370="","○ 14日以上もつ",IF($BZ370&lt;N('設定'!$C$7),"● "&amp;TEXT($CA370,"m/d")&amp;"("&amp;CHOOSE(WEEKDAY($CA370),"日","月","火","水","木","金","土")&amp;")"&amp;" に切れる　至急発注",IF($BZ370=N('設定'!$C$7),"● "&amp;TEXT($CA370,"m/d")&amp;"("&amp;CHOOSE(WEEKDAY($CA370),"日","月","火","水","木","金","土")&amp;")"&amp;" に切れる　今日発注","△ "&amp;TEXT($CA370,"m/d")&amp;"("&amp;CHOOSE(WEEKDAY($CA370),"日","月","火","水","木","金","土")&amp;")"&amp;" に切れる　"&amp;TEXT($CA370-N('設定'!$C$7),"m/d")&amp;"("&amp;CHOOSE(WEEKDAY($CA370-N('設定'!$C$7)),"日","月","火","水","木","金","土")&amp;")"&amp;" までに発注"))))))))))</f>
        <v/>
      </c>
      <c r="CQ370">
        <f>IF($C370="","",IF(AND($P370="",$Q370="",$S370="",$T370=""),"",IF(AND($P370="",$Q370=""),"⚠ 先に1便目（左の入庫日・入庫数）に入れてください",IF($CI370&lt;&gt;"",$CI370,IF($CJ370&lt;&gt;"",$CJ370,IF($M370="","？ 減り数が未設定（発注書には載ります）",IF($B$3=0,"？ 動員が未入力（発注書には載ります）",IF(AND($CA370&lt;&gt;"",$P370&gt;$CA370),IF($P370&gt;'設定'!$C$6+N('設定'!$C$7),"● "&amp;TEXT($P370,"m/d")&amp;"("&amp;CHOOSE(WEEKDAY($P370),"日","月","火","水","木","金","土")&amp;")"&amp;" の入庫では間に合わない（"&amp;TEXT($CA370,"m/d")&amp;"("&amp;CHOOSE(WEEKDAY($CA370),"日","月","火","水","木","金","土")&amp;")"&amp;" に切れる）　入庫日を早める","△ 欠品 "&amp;TEXT($CA370,"m/d")&amp;"("&amp;CHOOSE(WEEKDAY($CA370),"日","月","火","水","木","金","土")&amp;")"&amp;"〜"&amp;TEXT($P370-1,"m/d")&amp;"("&amp;CHOOSE(WEEKDAY($P370-1),"日","月","火","水","木","金","土")&amp;")"&amp;"　"&amp;$CO370),IF($CC370="","○ "&amp;TEXT($P370,"m/d")&amp;"("&amp;CHOOSE(WEEKDAY($P370),"日","月","火","水","木","金","土")&amp;")"&amp;" 入庫で 14日以上もつ",IF($CC370-N('設定'!$C$7)&lt;='設定'!$C$6,"● 入庫しても "&amp;TEXT($CC370,"m/d")&amp;"("&amp;CHOOSE(WEEKDAY($CC370),"日","月","火","水","木","金","土")&amp;")"&amp;" に切れる　もう1便を至急発注（2便目に入れる）","△ 入庫しても "&amp;TEXT($CC370,"m/d")&amp;"("&amp;CHOOSE(WEEKDAY($CC370),"日","月","火","水","木","金","土")&amp;")"&amp;" に切れる　"&amp;TEXT($CC370-N('設定'!$C$7),"m/d")&amp;"("&amp;CHOOSE(WEEKDAY($CC370-N('設定'!$C$7)),"日","月","火","水","木","金","土")&amp;")"&amp;" までに次を発注（2便目に入れる）"))))))))))</f>
        <v/>
      </c>
      <c r="CR370">
        <f>IF($C370="","",IF($G370&gt;1,"ｹｰｽ("&amp;$G370&amp;"入)","個"))</f>
        <v/>
      </c>
      <c r="CS370">
        <f>IF($C370="",0,IF(COUNTIFS('①在庫を貼る'!$V$6:$V$10005,'設定'!$C$4,'①在庫を貼る'!$W$6:$W$10005,$C370)=0,1,0))</f>
        <v/>
      </c>
      <c r="CT370">
        <f>IF(AND($CK370=1,OR('③発注書'!$C$4="すべて",'③発注書'!$C$4="",$F370='③発注書'!$C$4)),N($CT369)+1,N($CT369))</f>
        <v/>
      </c>
      <c r="CU370">
        <f>IF(AND($CL370=1,OR('③発注書'!$C$4="すべて",'③発注書'!$C$4="",$F370='③発注書'!$C$4)),N($CU369)+1,N($CU369))</f>
        <v/>
      </c>
      <c r="CV370">
        <f>IF($C370="",0,IF(COUNTIFS('①在庫を貼る'!$V$6:$V$10005,'設定'!$C$4,'①在庫を貼る'!$W$6:$W$10005,$C370)&gt;0,1,0))</f>
        <v/>
      </c>
      <c r="CW370">
        <f>IF($C370="",0,IF(COUNTIFS('月1回_1ヶ月前の在庫'!$V$6:$V$10005,'設定'!$C$4,'月1回_1ヶ月前の在庫'!$W$6:$W$10005,$C370)&gt;0,1,0))</f>
        <v/>
      </c>
      <c r="CX370">
        <f>IF($C370="",0,IF(COUNTIFS('月1回_2ヶ月前の在庫'!$V$6:$V$10005,'設定'!$C$4,'月1回_2ヶ月前の在庫'!$W$6:$W$10005,$C370)&gt;0,1,0))</f>
        <v/>
      </c>
      <c r="CY370">
        <f>IF(OR($C370="",'設定'!$C$12=""),"",IF('設定'!$C$13="",IF(AND($CV370=1,$CW370=0),"新商品（今月から）",IF(AND($CV370=0,$CW370=1),"終売（今月から）","")),IF(AND($CV370=1,$CW370=0,$CX370=0),"新商品（今月から）",IF(AND($CV370=1,$CW370=1,$CX370=0),"新商品（先月から）",IF(AND($CV370=0,$CW370=1,$CX370=1),"終売（今月から）",IF(AND($CV370=0,$CW370=0,$CX370=1),"終売（先月から）",IF(AND($CV370=1,$CW370=0,$CX370=1),"復活（先月は無し）","")))))))</f>
        <v/>
      </c>
    </row>
    <row r="371">
      <c r="B371">
        <f>IF(366&lt;='設定'!$C$11,366,"")</f>
        <v/>
      </c>
      <c r="C371">
        <f>IF($B371="","",IF($B371&lt;='設定'!$C$20,INDEX('商品マスタ'!$B$6:$B$1005,MATCH($B371,'商品マスタ'!$M$6:$M$1005,0)),IF($B371&lt;='設定'!$C$20+'設定'!$C$17,INDEX('①在庫を貼る'!$W$6:$W$10005,MATCH($B371-'設定'!$C$20,'①在庫を貼る'!$U$6:$U$10005,0)),IF($B371&lt;='設定'!$C$20+'設定'!$C$17+'設定'!$C$18,INDEX('月1回_1ヶ月前の在庫'!$W$6:$W$10005,MATCH($B371-'設定'!$C$20-'設定'!$C$17,'月1回_1ヶ月前の在庫'!$U$6:$U$10005,0)),INDEX('月1回_2ヶ月前の在庫'!$W$6:$W$10005,MATCH($B371-'設定'!$C$20-'設定'!$C$17-'設定'!$C$18,'月1回_2ヶ月前の在庫'!$U$6:$U$10005,0))))))</f>
        <v/>
      </c>
      <c r="D371">
        <f>IF($C371="","",IFERROR(IF(INDEX('商品マスタ'!$C$6:$C$1005,MATCH($C371,'商品マスタ'!$B$6:$B$1005,0))="",IFERROR(INDEX('①在庫を貼る'!$J$6:$J$10005,MATCH($C371,'①在庫を貼る'!$W$6:$W$10005,0)),IFERROR(INDEX('月1回_1ヶ月前の在庫'!$J$6:$J$10005,MATCH($C371,'月1回_1ヶ月前の在庫'!$W$6:$W$10005,0)),IFERROR(INDEX('月1回_2ヶ月前の在庫'!$J$6:$J$10005,MATCH($C371,'月1回_2ヶ月前の在庫'!$W$6:$W$10005,0)),""))),INDEX('商品マスタ'!$C$6:$C$1005,MATCH($C371,'商品マスタ'!$B$6:$B$1005,0))),IFERROR(INDEX('①在庫を貼る'!$J$6:$J$10005,MATCH($C371,'①在庫を貼る'!$W$6:$W$10005,0)),IFERROR(INDEX('月1回_1ヶ月前の在庫'!$J$6:$J$10005,MATCH($C371,'月1回_1ヶ月前の在庫'!$W$6:$W$10005,0)),IFERROR(INDEX('月1回_2ヶ月前の在庫'!$J$6:$J$10005,MATCH($C371,'月1回_2ヶ月前の在庫'!$W$6:$W$10005,0)),"")))))</f>
        <v/>
      </c>
      <c r="E371">
        <f>IF($C371="","",IFERROR(IF(INDEX('商品マスタ'!$D$6:$D$1005,MATCH($C371,'商品マスタ'!$B$6:$B$1005,0))="",IFERROR(INDEX('①在庫を貼る'!$H$6:$H$10005,MATCH($C371,'①在庫を貼る'!$W$6:$W$10005,0)),IFERROR(INDEX('月1回_1ヶ月前の在庫'!$H$6:$H$10005,MATCH($C371,'月1回_1ヶ月前の在庫'!$W$6:$W$10005,0)),IFERROR(INDEX('月1回_2ヶ月前の在庫'!$H$6:$H$10005,MATCH($C371,'月1回_2ヶ月前の在庫'!$W$6:$W$10005,0)),""))),INDEX('商品マスタ'!$D$6:$D$1005,MATCH($C371,'商品マスタ'!$B$6:$B$1005,0))),IFERROR(INDEX('①在庫を貼る'!$H$6:$H$10005,MATCH($C371,'①在庫を貼る'!$W$6:$W$10005,0)),IFERROR(INDEX('月1回_1ヶ月前の在庫'!$H$6:$H$10005,MATCH($C371,'月1回_1ヶ月前の在庫'!$W$6:$W$10005,0)),IFERROR(INDEX('月1回_2ヶ月前の在庫'!$H$6:$H$10005,MATCH($C371,'月1回_2ヶ月前の在庫'!$W$6:$W$10005,0)),"")))))</f>
        <v/>
      </c>
      <c r="F371">
        <f>IF($C371="","",IFERROR(IF(INDEX('商品マスタ'!$E$6:$E$1005,MATCH($C371,'商品マスタ'!$B$6:$B$1005,0))="",IFERROR(INDEX('①在庫を貼る'!$E$6:$E$10005,MATCH($C371,'①在庫を貼る'!$W$6:$W$10005,0)),IFERROR(INDEX('月1回_1ヶ月前の在庫'!$E$6:$E$10005,MATCH($C371,'月1回_1ヶ月前の在庫'!$W$6:$W$10005,0)),IFERROR(INDEX('月1回_2ヶ月前の在庫'!$E$6:$E$10005,MATCH($C371,'月1回_2ヶ月前の在庫'!$W$6:$W$10005,0)),""))),INDEX('商品マスタ'!$E$6:$E$1005,MATCH($C371,'商品マスタ'!$B$6:$B$1005,0))),IFERROR(INDEX('①在庫を貼る'!$E$6:$E$10005,MATCH($C371,'①在庫を貼る'!$W$6:$W$10005,0)),IFERROR(INDEX('月1回_1ヶ月前の在庫'!$E$6:$E$10005,MATCH($C371,'月1回_1ヶ月前の在庫'!$W$6:$W$10005,0)),IFERROR(INDEX('月1回_2ヶ月前の在庫'!$E$6:$E$10005,MATCH($C371,'月1回_2ヶ月前の在庫'!$W$6:$W$10005,0)),"")))))</f>
        <v/>
      </c>
      <c r="G371">
        <f>IF($C371="","",MAX(1,N(IFERROR(IF(INDEX('商品マスタ'!$F$6:$F$1005,MATCH($C371,'商品マスタ'!$B$6:$B$1005,0))="",IF(COUNTIFS('①在庫を貼る'!$V$6:$V$10005,'設定'!$C$4,'①在庫を貼る'!$W$6:$W$10005,$C371)&gt;0,SUMIFS('①在庫を貼る'!$K$6:$K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K$6:$K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K$6:$K$10005,'月1回_2ヶ月前の在庫'!$V$6:$V$10005,'設定'!$C$4,'月1回_2ヶ月前の在庫'!$W$6:$W$10005,$C371)/COUNTIFS('月1回_2ヶ月前の在庫'!$V$6:$V$10005,'設定'!$C$4,'月1回_2ヶ月前の在庫'!$W$6:$W$10005,$C371),0))),INDEX('商品マスタ'!$F$6:$F$1005,MATCH($C371,'商品マスタ'!$B$6:$B$1005,0))),IF(COUNTIFS('①在庫を貼る'!$V$6:$V$10005,'設定'!$C$4,'①在庫を貼る'!$W$6:$W$10005,$C371)&gt;0,SUMIFS('①在庫を貼る'!$K$6:$K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K$6:$K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K$6:$K$10005,'月1回_2ヶ月前の在庫'!$V$6:$V$10005,'設定'!$C$4,'月1回_2ヶ月前の在庫'!$W$6:$W$10005,$C371)/COUNTIFS('月1回_2ヶ月前の在庫'!$V$6:$V$10005,'設定'!$C$4,'月1回_2ヶ月前の在庫'!$W$6:$W$10005,$C371),0)))))))</f>
        <v/>
      </c>
      <c r="H371">
        <f>IF($C371="","",N(IFERROR(IF(INDEX('商品マスタ'!$G$6:$G$1005,MATCH($C371,'商品マスタ'!$B$6:$B$1005,0))="",IF(COUNTIFS('①在庫を貼る'!$V$6:$V$10005,'設定'!$C$4,'①在庫を貼る'!$W$6:$W$10005,$C371)&gt;0,SUMIFS('①在庫を貼る'!$Q$6:$Q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Q$6:$Q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Q$6:$Q$10005,'月1回_2ヶ月前の在庫'!$V$6:$V$10005,'設定'!$C$4,'月1回_2ヶ月前の在庫'!$W$6:$W$10005,$C371)/COUNTIFS('月1回_2ヶ月前の在庫'!$V$6:$V$10005,'設定'!$C$4,'月1回_2ヶ月前の在庫'!$W$6:$W$10005,$C371),0))),INDEX('商品マスタ'!$G$6:$G$1005,MATCH($C371,'商品マスタ'!$B$6:$B$1005,0))),IF(COUNTIFS('①在庫を貼る'!$V$6:$V$10005,'設定'!$C$4,'①在庫を貼る'!$W$6:$W$10005,$C371)&gt;0,SUMIFS('①在庫を貼る'!$Q$6:$Q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Q$6:$Q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Q$6:$Q$10005,'月1回_2ヶ月前の在庫'!$V$6:$V$10005,'設定'!$C$4,'月1回_2ヶ月前の在庫'!$W$6:$W$10005,$C371)/COUNTIFS('月1回_2ヶ月前の在庫'!$V$6:$V$10005,'設定'!$C$4,'月1回_2ヶ月前の在庫'!$W$6:$W$10005,$C371),0))))))</f>
        <v/>
      </c>
      <c r="I371">
        <f>IF($C371="","",IF(COUNTIFS('①在庫を貼る'!$V$6:$V$10005,'設定'!$C$4,'①在庫を貼る'!$W$6:$W$10005,$C371)=0,"",SUMIFS('①在庫を貼る'!$N$6:$N$10005,'①在庫を貼る'!$V$6:$V$10005,'設定'!$C$4,'①在庫を貼る'!$W$6:$W$10005,$C371)))</f>
        <v/>
      </c>
      <c r="J371">
        <f>IF($C371="","",IF('②発注する'!$AD375="","",'②発注する'!$AD375))</f>
        <v/>
      </c>
      <c r="K371" s="90">
        <f>IF($C371="","",IF('②発注する'!$AE375="","",'②発注する'!$AE375))</f>
        <v/>
      </c>
      <c r="L371">
        <f>IF($C371="","",IF(AND(ISNUMBER($J371),ISNUMBER($K371),$K371&gt;='設定'!$C$6),$J371,N($I371)))</f>
        <v/>
      </c>
      <c r="M371">
        <f>IF($C371="","",IFERROR(IF(N(INDEX('商品マスタ'!$J$6:$J$1005,MATCH($C371,'商品マスタ'!$B$6:$B$1005,0)))&gt;0,INDEX('商品マスタ'!$J$6:$J$1005,MATCH($C371,'商品マスタ'!$B$6:$B$1005,0)),""),""))</f>
        <v/>
      </c>
      <c r="N371">
        <f>IF($C371="","",IFERROR(IF(N(INDEX('商品マスタ'!$H$6:$H$1005,MATCH($C371,'商品マスタ'!$B$6:$B$1005,0)))&gt;0,INDEX('商品マスタ'!$H$6:$H$1005,MATCH($C371,'商品マスタ'!$B$6:$B$1005,0)),""),""))</f>
        <v/>
      </c>
      <c r="O371">
        <f>IF($C371="","",IF($N371&lt;&gt;"",$N371*$G371,IF(N(IF(COUNTIFS('①在庫を貼る'!$V$6:$V$10005,'設定'!$C$4,'①在庫を貼る'!$W$6:$W$10005,$C371)&gt;0,SUMIFS('①在庫を貼る'!$O$6:$O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O$6:$O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O$6:$O$10005,'月1回_2ヶ月前の在庫'!$V$6:$V$10005,'設定'!$C$4,'月1回_2ヶ月前の在庫'!$W$6:$W$10005,$C371)/COUNTIFS('月1回_2ヶ月前の在庫'!$V$6:$V$10005,'設定'!$C$4,'月1回_2ヶ月前の在庫'!$W$6:$W$10005,$C371),0))))&gt;0,N(IF(COUNTIFS('①在庫を貼る'!$V$6:$V$10005,'設定'!$C$4,'①在庫を貼る'!$W$6:$W$10005,$C371)&gt;0,SUMIFS('①在庫を貼る'!$O$6:$O$10005,'①在庫を貼る'!$V$6:$V$10005,'設定'!$C$4,'①在庫を貼る'!$W$6:$W$10005,$C371)/COUNTIFS('①在庫を貼る'!$V$6:$V$10005,'設定'!$C$4,'①在庫を貼る'!$W$6:$W$10005,$C371),IF(COUNTIFS('月1回_1ヶ月前の在庫'!$V$6:$V$10005,'設定'!$C$4,'月1回_1ヶ月前の在庫'!$W$6:$W$10005,$C371)&gt;0,SUMIFS('月1回_1ヶ月前の在庫'!$O$6:$O$10005,'月1回_1ヶ月前の在庫'!$V$6:$V$10005,'設定'!$C$4,'月1回_1ヶ月前の在庫'!$W$6:$W$10005,$C371)/COUNTIFS('月1回_1ヶ月前の在庫'!$V$6:$V$10005,'設定'!$C$4,'月1回_1ヶ月前の在庫'!$W$6:$W$10005,$C371),IF(COUNTIFS('月1回_2ヶ月前の在庫'!$V$6:$V$10005,'設定'!$C$4,'月1回_2ヶ月前の在庫'!$W$6:$W$10005,$C371)&gt;0,SUMIFS('月1回_2ヶ月前の在庫'!$O$6:$O$10005,'月1回_2ヶ月前の在庫'!$V$6:$V$10005,'設定'!$C$4,'月1回_2ヶ月前の在庫'!$W$6:$W$10005,$C371)/COUNTIFS('月1回_2ヶ月前の在庫'!$V$6:$V$10005,'設定'!$C$4,'月1回_2ヶ月前の在庫'!$W$6:$W$10005,$C371),0)))),"")))</f>
        <v/>
      </c>
      <c r="P371" s="90">
        <f>IF($C371="","",IF('②発注する'!$I375="","",'②発注する'!$I375))</f>
        <v/>
      </c>
      <c r="Q371">
        <f>IF($C371="","",IF('②発注する'!$J375="","",'②発注する'!$J375))</f>
        <v/>
      </c>
      <c r="R371">
        <f>IF($C371="",0,IF(AND(ISNUMBER($P371),ISNUMBER($Q371)),MAX(0,$Q371)*$G371,0))</f>
        <v/>
      </c>
      <c r="S371" s="90">
        <f>IF($C371="","",IF('②発注する'!$M375="","",'②発注する'!$M375))</f>
        <v/>
      </c>
      <c r="T371">
        <f>IF($C371="","",IF('②発注する'!$N375="","",'②発注する'!$N375))</f>
        <v/>
      </c>
      <c r="U371">
        <f>IF($C371="",0,IF(AND(ISNUMBER($S371),ISNUMBER($T371)),MAX(0,$T371)*$G371,0))</f>
        <v/>
      </c>
      <c r="V371">
        <f>IF($C371="",0,IF($M371="",0,MAX(0,$M371)*MAX(0,V$4)/100))</f>
        <v/>
      </c>
      <c r="W371">
        <f>IF($C371="",0,IF($M371="",0,MAX(0,$M371)*MAX(0,W$4)/100))</f>
        <v/>
      </c>
      <c r="X371">
        <f>IF($C371="",0,IF($M371="",0,MAX(0,$M371)*MAX(0,X$4)/100))</f>
        <v/>
      </c>
      <c r="Y371">
        <f>IF($C371="",0,IF($M371="",0,MAX(0,$M371)*MAX(0,Y$4)/100))</f>
        <v/>
      </c>
      <c r="Z371">
        <f>IF($C371="",0,IF($M371="",0,MAX(0,$M371)*MAX(0,Z$4)/100))</f>
        <v/>
      </c>
      <c r="AA371">
        <f>IF($C371="",0,IF($M371="",0,MAX(0,$M371)*MAX(0,AA$4)/100))</f>
        <v/>
      </c>
      <c r="AB371">
        <f>IF($C371="",0,IF($M371="",0,MAX(0,$M371)*MAX(0,AB$4)/100))</f>
        <v/>
      </c>
      <c r="AC371">
        <f>IF($C371="",0,IF($M371="",0,MAX(0,$M371)*MAX(0,AC$4)/100))</f>
        <v/>
      </c>
      <c r="AD371">
        <f>IF($C371="",0,IF($M371="",0,MAX(0,$M371)*MAX(0,AD$4)/100))</f>
        <v/>
      </c>
      <c r="AE371">
        <f>IF($C371="",0,IF($M371="",0,MAX(0,$M371)*MAX(0,AE$4)/100))</f>
        <v/>
      </c>
      <c r="AF371">
        <f>IF($C371="",0,IF($M371="",0,MAX(0,$M371)*MAX(0,AF$4)/100))</f>
        <v/>
      </c>
      <c r="AG371">
        <f>IF($C371="",0,IF($M371="",0,MAX(0,$M371)*MAX(0,AG$4)/100))</f>
        <v/>
      </c>
      <c r="AH371">
        <f>IF($C371="",0,IF($M371="",0,MAX(0,$M371)*MAX(0,AH$4)/100))</f>
        <v/>
      </c>
      <c r="AI371">
        <f>IF($C371="",0,IF($M371="",0,MAX(0,$M371)*MAX(0,AI$4)/100))</f>
        <v/>
      </c>
      <c r="AJ371">
        <f>IF($C371="",0,MAX(0,MAX(0,N($L371))-$V371))</f>
        <v/>
      </c>
      <c r="AK371">
        <f>IF($C371="",0,MAX(0,$AJ371-$W371))</f>
        <v/>
      </c>
      <c r="AL371">
        <f>IF($C371="",0,MAX(0,$AK371-$X371))</f>
        <v/>
      </c>
      <c r="AM371">
        <f>IF($C371="",0,MAX(0,$AL371-$Y371))</f>
        <v/>
      </c>
      <c r="AN371">
        <f>IF($C371="",0,MAX(0,$AM371-$Z371))</f>
        <v/>
      </c>
      <c r="AO371">
        <f>IF($C371="",0,MAX(0,$AN371-$AA371))</f>
        <v/>
      </c>
      <c r="AP371">
        <f>IF($C371="",0,MAX(0,$AO371-$AB371))</f>
        <v/>
      </c>
      <c r="AQ371">
        <f>IF($C371="",0,MAX(0,$AP371-$AC371))</f>
        <v/>
      </c>
      <c r="AR371">
        <f>IF($C371="",0,MAX(0,$AQ371-$AD371))</f>
        <v/>
      </c>
      <c r="AS371">
        <f>IF($C371="",0,MAX(0,$AR371-$AE371))</f>
        <v/>
      </c>
      <c r="AT371">
        <f>IF($C371="",0,MAX(0,$AS371-$AF371))</f>
        <v/>
      </c>
      <c r="AU371">
        <f>IF($C371="",0,MAX(0,$AT371-$AG371))</f>
        <v/>
      </c>
      <c r="AV371">
        <f>IF($C371="",0,MAX(0,$AU371-$AH371))</f>
        <v/>
      </c>
      <c r="AW371">
        <f>IF($C371="",0,MAX(0,$AV371-$AI371))</f>
        <v/>
      </c>
      <c r="AX371">
        <f>IF($C371="",0,MAX(0,MAX(0,N($L371))+IF($P371=V$3,$R371,0)+IF($S371=V$3,$U371,0)-$V371))</f>
        <v/>
      </c>
      <c r="AY371">
        <f>IF($C371="",0,MAX(0,$AX371+IF($P371=W$3,$R371,0)+IF($S371=W$3,$U371,0)-$W371))</f>
        <v/>
      </c>
      <c r="AZ371">
        <f>IF($C371="",0,MAX(0,$AY371+IF($P371=X$3,$R371,0)+IF($S371=X$3,$U371,0)-$X371))</f>
        <v/>
      </c>
      <c r="BA371">
        <f>IF($C371="",0,MAX(0,$AZ371+IF($P371=Y$3,$R371,0)+IF($S371=Y$3,$U371,0)-$Y371))</f>
        <v/>
      </c>
      <c r="BB371">
        <f>IF($C371="",0,MAX(0,$BA371+IF($P371=Z$3,$R371,0)+IF($S371=Z$3,$U371,0)-$Z371))</f>
        <v/>
      </c>
      <c r="BC371">
        <f>IF($C371="",0,MAX(0,$BB371+IF($P371=AA$3,$R371,0)+IF($S371=AA$3,$U371,0)-$AA371))</f>
        <v/>
      </c>
      <c r="BD371">
        <f>IF($C371="",0,MAX(0,$BC371+IF($P371=AB$3,$R371,0)+IF($S371=AB$3,$U371,0)-$AB371))</f>
        <v/>
      </c>
      <c r="BE371">
        <f>IF($C371="",0,MAX(0,$BD371+IF($P371=AC$3,$R371,0)+IF($S371=AC$3,$U371,0)-$AC371))</f>
        <v/>
      </c>
      <c r="BF371">
        <f>IF($C371="",0,MAX(0,$BE371+IF($P371=AD$3,$R371,0)+IF($S371=AD$3,$U371,0)-$AD371))</f>
        <v/>
      </c>
      <c r="BG371">
        <f>IF($C371="",0,MAX(0,$BF371+IF($P371=AE$3,$R371,0)+IF($S371=AE$3,$U371,0)-$AE371))</f>
        <v/>
      </c>
      <c r="BH371">
        <f>IF($C371="",0,MAX(0,$BG371+IF($P371=AF$3,$R371,0)+IF($S371=AF$3,$U371,0)-$AF371))</f>
        <v/>
      </c>
      <c r="BI371">
        <f>IF($C371="",0,MAX(0,$BH371+IF($P371=AG$3,$R371,0)+IF($S371=AG$3,$U371,0)-$AG371))</f>
        <v/>
      </c>
      <c r="BJ371">
        <f>IF($C371="",0,MAX(0,$BI371+IF($P371=AH$3,$R371,0)+IF($S371=AH$3,$U371,0)-$AH371))</f>
        <v/>
      </c>
      <c r="BK371">
        <f>IF($C371="",0,MAX(0,$BJ371+IF($P371=AI$3,$R371,0)+IF($S371=AI$3,$U371,0)-$AI371))</f>
        <v/>
      </c>
      <c r="BL371">
        <f>IF($C371="",99,IF(AND($AX371&lt;1,V$3&gt;=MAX(N($P371),N($S371))),0,99))</f>
        <v/>
      </c>
      <c r="BM371">
        <f>IF($C371="",99,IF(AND($AY371&lt;1,W$3&gt;=MAX(N($P371),N($S371))),1,99))</f>
        <v/>
      </c>
      <c r="BN371">
        <f>IF($C371="",99,IF(AND($AZ371&lt;1,X$3&gt;=MAX(N($P371),N($S371))),2,99))</f>
        <v/>
      </c>
      <c r="BO371">
        <f>IF($C371="",99,IF(AND($BA371&lt;1,Y$3&gt;=MAX(N($P371),N($S371))),3,99))</f>
        <v/>
      </c>
      <c r="BP371">
        <f>IF($C371="",99,IF(AND($BB371&lt;1,Z$3&gt;=MAX(N($P371),N($S371))),4,99))</f>
        <v/>
      </c>
      <c r="BQ371">
        <f>IF($C371="",99,IF(AND($BC371&lt;1,AA$3&gt;=MAX(N($P371),N($S371))),5,99))</f>
        <v/>
      </c>
      <c r="BR371">
        <f>IF($C371="",99,IF(AND($BD371&lt;1,AB$3&gt;=MAX(N($P371),N($S371))),6,99))</f>
        <v/>
      </c>
      <c r="BS371">
        <f>IF($C371="",99,IF(AND($BE371&lt;1,AC$3&gt;=MAX(N($P371),N($S371))),7,99))</f>
        <v/>
      </c>
      <c r="BT371">
        <f>IF($C371="",99,IF(AND($BF371&lt;1,AD$3&gt;=MAX(N($P371),N($S371))),8,99))</f>
        <v/>
      </c>
      <c r="BU371">
        <f>IF($C371="",99,IF(AND($BG371&lt;1,AE$3&gt;=MAX(N($P371),N($S371))),9,99))</f>
        <v/>
      </c>
      <c r="BV371">
        <f>IF($C371="",99,IF(AND($BH371&lt;1,AF$3&gt;=MAX(N($P371),N($S371))),10,99))</f>
        <v/>
      </c>
      <c r="BW371">
        <f>IF($C371="",99,IF(AND($BI371&lt;1,AG$3&gt;=MAX(N($P371),N($S371))),11,99))</f>
        <v/>
      </c>
      <c r="BX371">
        <f>IF($C371="",99,IF(AND($BJ371&lt;1,AH$3&gt;=MAX(N($P371),N($S371))),12,99))</f>
        <v/>
      </c>
      <c r="BY371">
        <f>IF($C371="",99,IF(AND($BK371&lt;1,AI$3&gt;=MAX(N($P371),N($S371))),13,99))</f>
        <v/>
      </c>
      <c r="BZ371">
        <f>IF(OR($C371="",$M371=""),"",COUNTIF($AJ371:$AW371,"&gt;=1"))</f>
        <v/>
      </c>
      <c r="CA371" s="90">
        <f>IF($BZ371="","",IF($BZ371&gt;=14,"",'設定'!$C$6+$BZ371))</f>
        <v/>
      </c>
      <c r="CB371">
        <f>IF(OR($C371="",$M371=""),"",MIN($BL371:$BY371))</f>
        <v/>
      </c>
      <c r="CC371" s="90">
        <f>IF($CB371="","",IF($CB371&gt;=99,"",'設定'!$C$6+$CB371))</f>
        <v/>
      </c>
      <c r="CD371">
        <f>IF(OR($C371="",$M371=""),"",AVERAGE($V371:$AI371))</f>
        <v/>
      </c>
      <c r="CE371">
        <f>IF($C371="","",IFERROR(IF(MATCH(IF(ISNUMBER($P371),$P371,'設定'!$C$6+N('設定'!$C$7)),$V$3:$AI$3,0)=1,MAX(0,N($L371)),INDEX($AJ371:$AW371,MATCH(IF(ISNUMBER($P371),$P371,'設定'!$C$6+N('設定'!$C$7)),$V$3:$AI$3,0)-1)),""))</f>
        <v/>
      </c>
      <c r="CF371">
        <f>IF(OR($C371="",$O371="",$CE371=""),"",IF($O371-$CE371&lt;=0,0,ROUNDUP(($O371-$CE371)/$G371,0)))</f>
        <v/>
      </c>
      <c r="CG371">
        <f>IF(OR($C371="",$CF371="",NOT(ISNUMBER($Q371))),0,MAX(0,$Q371-$CF371))</f>
        <v/>
      </c>
      <c r="CH371">
        <f>IF(OR($C371="",$O371="",$U371=0),0,IFERROR(ROUNDUP(MAX(0,IF(MATCH($S371,$V$3:$AI$3,0)=1,MAX(0,N($L371)),INDEX($AX371:$BK371,MATCH($S371,$V$3:$AI$3,0)-1))+$U371-$O371)/$G371,0),0))</f>
        <v/>
      </c>
      <c r="CI371">
        <f>IF($C371="","",IF(AND($P371="",$Q371=""),"",IF($P371="","⚠ 入庫日を ▼ から選んでください",IF(NOT(ISNUMBER($P371)),"⚠ 入庫日は ▼ から選んでください",IF($P371&lt;N('設定'!$C$6),"⚠ 入庫日が過去です（もう在庫に入っています）→ 消してください",IF($P371&gt;N('設定'!$C$6)+13,"⚠ 入庫日が14日より先です",IF(N($Q371)&lt;=0,"⚠ 入庫数を入れてください",IF($CG371&gt;0,"⚠ 目安より "&amp;$CG371&amp;" 多い（定数を超える）→ 減らす",""))))))))</f>
        <v/>
      </c>
      <c r="CJ371">
        <f>IF($C371="","",IF(AND($S371="",$T371=""),"",IF($S371="","⚠ 2便目：入庫日を ▼ から選んでください",IF(NOT(ISNUMBER($S371)),"⚠ 2便目：入庫日は ▼ から選んでください",IF($S371&lt;N('設定'!$C$6),"⚠ 2便目：入庫日が過去です（もう在庫に入っています）→ 消してください",IF($S371&gt;N('設定'!$C$6)+13,"⚠ 2便目：入庫日が14日より先です",IF(N($T371)&lt;=0,"⚠ 2便目：入庫数を入れてください",IF($CH371&gt;0,"⚠ 2便目：定数を "&amp;$CH371&amp;" ケース超える → 減らす",""))))))))</f>
        <v/>
      </c>
      <c r="CK371">
        <f>IF(AND($CI371="",N($Q371)&gt;0,ISNUMBER($P371)),1,0)</f>
        <v/>
      </c>
      <c r="CL371">
        <f>IF(AND($CJ371="",N($T371)&gt;0,ISNUMBER($S371)),1,0)</f>
        <v/>
      </c>
      <c r="CM371">
        <f>IF(OR($CK371=1,$CL371=1),1,0)</f>
        <v/>
      </c>
      <c r="CN371">
        <f>IF($C371="",0,($CK371*$R371+$CL371*$U371)*N($H371))</f>
        <v/>
      </c>
      <c r="CO371">
        <f>IF($C371="","",IF($CC371="","入庫後は 14日以上もつ",IF($CC371-N('設定'!$C$7)&lt;='設定'!$C$6,"入庫後も "&amp;TEXT($CC371,"m/d")&amp;"("&amp;CHOOSE(WEEKDAY($CC371),"日","月","火","水","木","金","土")&amp;")"&amp;" に切れる　もう1便を至急発注","入庫後も "&amp;TEXT($CC371,"m/d")&amp;"("&amp;CHOOSE(WEEKDAY($CC371),"日","月","火","水","木","金","土")&amp;")"&amp;" に切れる　"&amp;TEXT($CC371-N('設定'!$C$7),"m/d")&amp;"("&amp;CHOOSE(WEEKDAY($CC371-N('設定'!$C$7)),"日","月","火","水","木","金","土")&amp;")"&amp;" までに次を発注")))</f>
        <v/>
      </c>
      <c r="CP371">
        <f>IF($C371="","",IF('設定'!$C$6="","？ ①在庫を貼る に今日のCSVが貼られていない",IF($CS371=1,"－ 今日のCSVに無い（終売？）",IF($L371&lt;0,"● 在庫がマイナス　数えて「数えた在庫」に入れる",IF($L371=0,"● 在庫なし　至急発注",IF($M371="","？ 減り数が未設定（商品マスタ）",IF($B$3=0,"？ 動員が未入力（動員を入れる）",IF($CA371="","○ 14日以上もつ",IF($BZ371&lt;N('設定'!$C$7),"● "&amp;TEXT($CA371,"m/d")&amp;"("&amp;CHOOSE(WEEKDAY($CA371),"日","月","火","水","木","金","土")&amp;")"&amp;" に切れる　至急発注",IF($BZ371=N('設定'!$C$7),"● "&amp;TEXT($CA371,"m/d")&amp;"("&amp;CHOOSE(WEEKDAY($CA371),"日","月","火","水","木","金","土")&amp;")"&amp;" に切れる　今日発注","△ "&amp;TEXT($CA371,"m/d")&amp;"("&amp;CHOOSE(WEEKDAY($CA371),"日","月","火","水","木","金","土")&amp;")"&amp;" に切れる　"&amp;TEXT($CA371-N('設定'!$C$7),"m/d")&amp;"("&amp;CHOOSE(WEEKDAY($CA371-N('設定'!$C$7)),"日","月","火","水","木","金","土")&amp;")"&amp;" までに発注"))))))))))</f>
        <v/>
      </c>
      <c r="CQ371">
        <f>IF($C371="","",IF(AND($P371="",$Q371="",$S371="",$T371=""),"",IF(AND($P371="",$Q371=""),"⚠ 先に1便目（左の入庫日・入庫数）に入れてください",IF($CI371&lt;&gt;"",$CI371,IF($CJ371&lt;&gt;"",$CJ371,IF($M371="","？ 減り数が未設定（発注書には載ります）",IF($B$3=0,"？ 動員が未入力（発注書には載ります）",IF(AND($CA371&lt;&gt;"",$P371&gt;$CA371),IF($P371&gt;'設定'!$C$6+N('設定'!$C$7),"● "&amp;TEXT($P371,"m/d")&amp;"("&amp;CHOOSE(WEEKDAY($P371),"日","月","火","水","木","金","土")&amp;")"&amp;" の入庫では間に合わない（"&amp;TEXT($CA371,"m/d")&amp;"("&amp;CHOOSE(WEEKDAY($CA371),"日","月","火","水","木","金","土")&amp;")"&amp;" に切れる）　入庫日を早める","△ 欠品 "&amp;TEXT($CA371,"m/d")&amp;"("&amp;CHOOSE(WEEKDAY($CA371),"日","月","火","水","木","金","土")&amp;")"&amp;"〜"&amp;TEXT($P371-1,"m/d")&amp;"("&amp;CHOOSE(WEEKDAY($P371-1),"日","月","火","水","木","金","土")&amp;")"&amp;"　"&amp;$CO371),IF($CC371="","○ "&amp;TEXT($P371,"m/d")&amp;"("&amp;CHOOSE(WEEKDAY($P371),"日","月","火","水","木","金","土")&amp;")"&amp;" 入庫で 14日以上もつ",IF($CC371-N('設定'!$C$7)&lt;='設定'!$C$6,"● 入庫しても "&amp;TEXT($CC371,"m/d")&amp;"("&amp;CHOOSE(WEEKDAY($CC371),"日","月","火","水","木","金","土")&amp;")"&amp;" に切れる　もう1便を至急発注（2便目に入れる）","△ 入庫しても "&amp;TEXT($CC371,"m/d")&amp;"("&amp;CHOOSE(WEEKDAY($CC371),"日","月","火","水","木","金","土")&amp;")"&amp;" に切れる　"&amp;TEXT($CC371-N('設定'!$C$7),"m/d")&amp;"("&amp;CHOOSE(WEEKDAY($CC371-N('設定'!$C$7)),"日","月","火","水","木","金","土")&amp;")"&amp;" までに次を発注（2便目に入れる）"))))))))))</f>
        <v/>
      </c>
      <c r="CR371">
        <f>IF($C371="","",IF($G371&gt;1,"ｹｰｽ("&amp;$G371&amp;"入)","個"))</f>
        <v/>
      </c>
      <c r="CS371">
        <f>IF($C371="",0,IF(COUNTIFS('①在庫を貼る'!$V$6:$V$10005,'設定'!$C$4,'①在庫を貼る'!$W$6:$W$10005,$C371)=0,1,0))</f>
        <v/>
      </c>
      <c r="CT371">
        <f>IF(AND($CK371=1,OR('③発注書'!$C$4="すべて",'③発注書'!$C$4="",$F371='③発注書'!$C$4)),N($CT370)+1,N($CT370))</f>
        <v/>
      </c>
      <c r="CU371">
        <f>IF(AND($CL371=1,OR('③発注書'!$C$4="すべて",'③発注書'!$C$4="",$F371='③発注書'!$C$4)),N($CU370)+1,N($CU370))</f>
        <v/>
      </c>
      <c r="CV371">
        <f>IF($C371="",0,IF(COUNTIFS('①在庫を貼る'!$V$6:$V$10005,'設定'!$C$4,'①在庫を貼る'!$W$6:$W$10005,$C371)&gt;0,1,0))</f>
        <v/>
      </c>
      <c r="CW371">
        <f>IF($C371="",0,IF(COUNTIFS('月1回_1ヶ月前の在庫'!$V$6:$V$10005,'設定'!$C$4,'月1回_1ヶ月前の在庫'!$W$6:$W$10005,$C371)&gt;0,1,0))</f>
        <v/>
      </c>
      <c r="CX371">
        <f>IF($C371="",0,IF(COUNTIFS('月1回_2ヶ月前の在庫'!$V$6:$V$10005,'設定'!$C$4,'月1回_2ヶ月前の在庫'!$W$6:$W$10005,$C371)&gt;0,1,0))</f>
        <v/>
      </c>
      <c r="CY371">
        <f>IF(OR($C371="",'設定'!$C$12=""),"",IF('設定'!$C$13="",IF(AND($CV371=1,$CW371=0),"新商品（今月から）",IF(AND($CV371=0,$CW371=1),"終売（今月から）","")),IF(AND($CV371=1,$CW371=0,$CX371=0),"新商品（今月から）",IF(AND($CV371=1,$CW371=1,$CX371=0),"新商品（先月から）",IF(AND($CV371=0,$CW371=1,$CX371=1),"終売（今月から）",IF(AND($CV371=0,$CW371=0,$CX371=1),"終売（先月から）",IF(AND($CV371=1,$CW371=0,$CX371=1),"復活（先月は無し）","")))))))</f>
        <v/>
      </c>
    </row>
    <row r="372">
      <c r="B372">
        <f>IF(367&lt;='設定'!$C$11,367,"")</f>
        <v/>
      </c>
      <c r="C372">
        <f>IF($B372="","",IF($B372&lt;='設定'!$C$20,INDEX('商品マスタ'!$B$6:$B$1005,MATCH($B372,'商品マスタ'!$M$6:$M$1005,0)),IF($B372&lt;='設定'!$C$20+'設定'!$C$17,INDEX('①在庫を貼る'!$W$6:$W$10005,MATCH($B372-'設定'!$C$20,'①在庫を貼る'!$U$6:$U$10005,0)),IF($B372&lt;='設定'!$C$20+'設定'!$C$17+'設定'!$C$18,INDEX('月1回_1ヶ月前の在庫'!$W$6:$W$10005,MATCH($B372-'設定'!$C$20-'設定'!$C$17,'月1回_1ヶ月前の在庫'!$U$6:$U$10005,0)),INDEX('月1回_2ヶ月前の在庫'!$W$6:$W$10005,MATCH($B372-'設定'!$C$20-'設定'!$C$17-'設定'!$C$18,'月1回_2ヶ月前の在庫'!$U$6:$U$10005,0))))))</f>
        <v/>
      </c>
      <c r="D372">
        <f>IF($C372="","",IFERROR(IF(INDEX('商品マスタ'!$C$6:$C$1005,MATCH($C372,'商品マスタ'!$B$6:$B$1005,0))="",IFERROR(INDEX('①在庫を貼る'!$J$6:$J$10005,MATCH($C372,'①在庫を貼る'!$W$6:$W$10005,0)),IFERROR(INDEX('月1回_1ヶ月前の在庫'!$J$6:$J$10005,MATCH($C372,'月1回_1ヶ月前の在庫'!$W$6:$W$10005,0)),IFERROR(INDEX('月1回_2ヶ月前の在庫'!$J$6:$J$10005,MATCH($C372,'月1回_2ヶ月前の在庫'!$W$6:$W$10005,0)),""))),INDEX('商品マスタ'!$C$6:$C$1005,MATCH($C372,'商品マスタ'!$B$6:$B$1005,0))),IFERROR(INDEX('①在庫を貼る'!$J$6:$J$10005,MATCH($C372,'①在庫を貼る'!$W$6:$W$10005,0)),IFERROR(INDEX('月1回_1ヶ月前の在庫'!$J$6:$J$10005,MATCH($C372,'月1回_1ヶ月前の在庫'!$W$6:$W$10005,0)),IFERROR(INDEX('月1回_2ヶ月前の在庫'!$J$6:$J$10005,MATCH($C372,'月1回_2ヶ月前の在庫'!$W$6:$W$10005,0)),"")))))</f>
        <v/>
      </c>
      <c r="E372">
        <f>IF($C372="","",IFERROR(IF(INDEX('商品マスタ'!$D$6:$D$1005,MATCH($C372,'商品マスタ'!$B$6:$B$1005,0))="",IFERROR(INDEX('①在庫を貼る'!$H$6:$H$10005,MATCH($C372,'①在庫を貼る'!$W$6:$W$10005,0)),IFERROR(INDEX('月1回_1ヶ月前の在庫'!$H$6:$H$10005,MATCH($C372,'月1回_1ヶ月前の在庫'!$W$6:$W$10005,0)),IFERROR(INDEX('月1回_2ヶ月前の在庫'!$H$6:$H$10005,MATCH($C372,'月1回_2ヶ月前の在庫'!$W$6:$W$10005,0)),""))),INDEX('商品マスタ'!$D$6:$D$1005,MATCH($C372,'商品マスタ'!$B$6:$B$1005,0))),IFERROR(INDEX('①在庫を貼る'!$H$6:$H$10005,MATCH($C372,'①在庫を貼る'!$W$6:$W$10005,0)),IFERROR(INDEX('月1回_1ヶ月前の在庫'!$H$6:$H$10005,MATCH($C372,'月1回_1ヶ月前の在庫'!$W$6:$W$10005,0)),IFERROR(INDEX('月1回_2ヶ月前の在庫'!$H$6:$H$10005,MATCH($C372,'月1回_2ヶ月前の在庫'!$W$6:$W$10005,0)),"")))))</f>
        <v/>
      </c>
      <c r="F372">
        <f>IF($C372="","",IFERROR(IF(INDEX('商品マスタ'!$E$6:$E$1005,MATCH($C372,'商品マスタ'!$B$6:$B$1005,0))="",IFERROR(INDEX('①在庫を貼る'!$E$6:$E$10005,MATCH($C372,'①在庫を貼る'!$W$6:$W$10005,0)),IFERROR(INDEX('月1回_1ヶ月前の在庫'!$E$6:$E$10005,MATCH($C372,'月1回_1ヶ月前の在庫'!$W$6:$W$10005,0)),IFERROR(INDEX('月1回_2ヶ月前の在庫'!$E$6:$E$10005,MATCH($C372,'月1回_2ヶ月前の在庫'!$W$6:$W$10005,0)),""))),INDEX('商品マスタ'!$E$6:$E$1005,MATCH($C372,'商品マスタ'!$B$6:$B$1005,0))),IFERROR(INDEX('①在庫を貼る'!$E$6:$E$10005,MATCH($C372,'①在庫を貼る'!$W$6:$W$10005,0)),IFERROR(INDEX('月1回_1ヶ月前の在庫'!$E$6:$E$10005,MATCH($C372,'月1回_1ヶ月前の在庫'!$W$6:$W$10005,0)),IFERROR(INDEX('月1回_2ヶ月前の在庫'!$E$6:$E$10005,MATCH($C372,'月1回_2ヶ月前の在庫'!$W$6:$W$10005,0)),"")))))</f>
        <v/>
      </c>
      <c r="G372">
        <f>IF($C372="","",MAX(1,N(IFERROR(IF(INDEX('商品マスタ'!$F$6:$F$1005,MATCH($C372,'商品マスタ'!$B$6:$B$1005,0))="",IF(COUNTIFS('①在庫を貼る'!$V$6:$V$10005,'設定'!$C$4,'①在庫を貼る'!$W$6:$W$10005,$C372)&gt;0,SUMIFS('①在庫を貼る'!$K$6:$K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K$6:$K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K$6:$K$10005,'月1回_2ヶ月前の在庫'!$V$6:$V$10005,'設定'!$C$4,'月1回_2ヶ月前の在庫'!$W$6:$W$10005,$C372)/COUNTIFS('月1回_2ヶ月前の在庫'!$V$6:$V$10005,'設定'!$C$4,'月1回_2ヶ月前の在庫'!$W$6:$W$10005,$C372),0))),INDEX('商品マスタ'!$F$6:$F$1005,MATCH($C372,'商品マスタ'!$B$6:$B$1005,0))),IF(COUNTIFS('①在庫を貼る'!$V$6:$V$10005,'設定'!$C$4,'①在庫を貼る'!$W$6:$W$10005,$C372)&gt;0,SUMIFS('①在庫を貼る'!$K$6:$K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K$6:$K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K$6:$K$10005,'月1回_2ヶ月前の在庫'!$V$6:$V$10005,'設定'!$C$4,'月1回_2ヶ月前の在庫'!$W$6:$W$10005,$C372)/COUNTIFS('月1回_2ヶ月前の在庫'!$V$6:$V$10005,'設定'!$C$4,'月1回_2ヶ月前の在庫'!$W$6:$W$10005,$C372),0)))))))</f>
        <v/>
      </c>
      <c r="H372">
        <f>IF($C372="","",N(IFERROR(IF(INDEX('商品マスタ'!$G$6:$G$1005,MATCH($C372,'商品マスタ'!$B$6:$B$1005,0))="",IF(COUNTIFS('①在庫を貼る'!$V$6:$V$10005,'設定'!$C$4,'①在庫を貼る'!$W$6:$W$10005,$C372)&gt;0,SUMIFS('①在庫を貼る'!$Q$6:$Q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Q$6:$Q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Q$6:$Q$10005,'月1回_2ヶ月前の在庫'!$V$6:$V$10005,'設定'!$C$4,'月1回_2ヶ月前の在庫'!$W$6:$W$10005,$C372)/COUNTIFS('月1回_2ヶ月前の在庫'!$V$6:$V$10005,'設定'!$C$4,'月1回_2ヶ月前の在庫'!$W$6:$W$10005,$C372),0))),INDEX('商品マスタ'!$G$6:$G$1005,MATCH($C372,'商品マスタ'!$B$6:$B$1005,0))),IF(COUNTIFS('①在庫を貼る'!$V$6:$V$10005,'設定'!$C$4,'①在庫を貼る'!$W$6:$W$10005,$C372)&gt;0,SUMIFS('①在庫を貼る'!$Q$6:$Q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Q$6:$Q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Q$6:$Q$10005,'月1回_2ヶ月前の在庫'!$V$6:$V$10005,'設定'!$C$4,'月1回_2ヶ月前の在庫'!$W$6:$W$10005,$C372)/COUNTIFS('月1回_2ヶ月前の在庫'!$V$6:$V$10005,'設定'!$C$4,'月1回_2ヶ月前の在庫'!$W$6:$W$10005,$C372),0))))))</f>
        <v/>
      </c>
      <c r="I372">
        <f>IF($C372="","",IF(COUNTIFS('①在庫を貼る'!$V$6:$V$10005,'設定'!$C$4,'①在庫を貼る'!$W$6:$W$10005,$C372)=0,"",SUMIFS('①在庫を貼る'!$N$6:$N$10005,'①在庫を貼る'!$V$6:$V$10005,'設定'!$C$4,'①在庫を貼る'!$W$6:$W$10005,$C372)))</f>
        <v/>
      </c>
      <c r="J372">
        <f>IF($C372="","",IF('②発注する'!$AD376="","",'②発注する'!$AD376))</f>
        <v/>
      </c>
      <c r="K372" s="90">
        <f>IF($C372="","",IF('②発注する'!$AE376="","",'②発注する'!$AE376))</f>
        <v/>
      </c>
      <c r="L372">
        <f>IF($C372="","",IF(AND(ISNUMBER($J372),ISNUMBER($K372),$K372&gt;='設定'!$C$6),$J372,N($I372)))</f>
        <v/>
      </c>
      <c r="M372">
        <f>IF($C372="","",IFERROR(IF(N(INDEX('商品マスタ'!$J$6:$J$1005,MATCH($C372,'商品マスタ'!$B$6:$B$1005,0)))&gt;0,INDEX('商品マスタ'!$J$6:$J$1005,MATCH($C372,'商品マスタ'!$B$6:$B$1005,0)),""),""))</f>
        <v/>
      </c>
      <c r="N372">
        <f>IF($C372="","",IFERROR(IF(N(INDEX('商品マスタ'!$H$6:$H$1005,MATCH($C372,'商品マスタ'!$B$6:$B$1005,0)))&gt;0,INDEX('商品マスタ'!$H$6:$H$1005,MATCH($C372,'商品マスタ'!$B$6:$B$1005,0)),""),""))</f>
        <v/>
      </c>
      <c r="O372">
        <f>IF($C372="","",IF($N372&lt;&gt;"",$N372*$G372,IF(N(IF(COUNTIFS('①在庫を貼る'!$V$6:$V$10005,'設定'!$C$4,'①在庫を貼る'!$W$6:$W$10005,$C372)&gt;0,SUMIFS('①在庫を貼る'!$O$6:$O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O$6:$O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O$6:$O$10005,'月1回_2ヶ月前の在庫'!$V$6:$V$10005,'設定'!$C$4,'月1回_2ヶ月前の在庫'!$W$6:$W$10005,$C372)/COUNTIFS('月1回_2ヶ月前の在庫'!$V$6:$V$10005,'設定'!$C$4,'月1回_2ヶ月前の在庫'!$W$6:$W$10005,$C372),0))))&gt;0,N(IF(COUNTIFS('①在庫を貼る'!$V$6:$V$10005,'設定'!$C$4,'①在庫を貼る'!$W$6:$W$10005,$C372)&gt;0,SUMIFS('①在庫を貼る'!$O$6:$O$10005,'①在庫を貼る'!$V$6:$V$10005,'設定'!$C$4,'①在庫を貼る'!$W$6:$W$10005,$C372)/COUNTIFS('①在庫を貼る'!$V$6:$V$10005,'設定'!$C$4,'①在庫を貼る'!$W$6:$W$10005,$C372),IF(COUNTIFS('月1回_1ヶ月前の在庫'!$V$6:$V$10005,'設定'!$C$4,'月1回_1ヶ月前の在庫'!$W$6:$W$10005,$C372)&gt;0,SUMIFS('月1回_1ヶ月前の在庫'!$O$6:$O$10005,'月1回_1ヶ月前の在庫'!$V$6:$V$10005,'設定'!$C$4,'月1回_1ヶ月前の在庫'!$W$6:$W$10005,$C372)/COUNTIFS('月1回_1ヶ月前の在庫'!$V$6:$V$10005,'設定'!$C$4,'月1回_1ヶ月前の在庫'!$W$6:$W$10005,$C372),IF(COUNTIFS('月1回_2ヶ月前の在庫'!$V$6:$V$10005,'設定'!$C$4,'月1回_2ヶ月前の在庫'!$W$6:$W$10005,$C372)&gt;0,SUMIFS('月1回_2ヶ月前の在庫'!$O$6:$O$10005,'月1回_2ヶ月前の在庫'!$V$6:$V$10005,'設定'!$C$4,'月1回_2ヶ月前の在庫'!$W$6:$W$10005,$C372)/COUNTIFS('月1回_2ヶ月前の在庫'!$V$6:$V$10005,'設定'!$C$4,'月1回_2ヶ月前の在庫'!$W$6:$W$10005,$C372),0)))),"")))</f>
        <v/>
      </c>
      <c r="P372" s="90">
        <f>IF($C372="","",IF('②発注する'!$I376="","",'②発注する'!$I376))</f>
        <v/>
      </c>
      <c r="Q372">
        <f>IF($C372="","",IF('②発注する'!$J376="","",'②発注する'!$J376))</f>
        <v/>
      </c>
      <c r="R372">
        <f>IF($C372="",0,IF(AND(ISNUMBER($P372),ISNUMBER($Q372)),MAX(0,$Q372)*$G372,0))</f>
        <v/>
      </c>
      <c r="S372" s="90">
        <f>IF($C372="","",IF('②発注する'!$M376="","",'②発注する'!$M376))</f>
        <v/>
      </c>
      <c r="T372">
        <f>IF($C372="","",IF('②発注する'!$N376="","",'②発注する'!$N376))</f>
        <v/>
      </c>
      <c r="U372">
        <f>IF($C372="",0,IF(AND(ISNUMBER($S372),ISNUMBER($T372)),MAX(0,$T372)*$G372,0))</f>
        <v/>
      </c>
      <c r="V372">
        <f>IF($C372="",0,IF($M372="",0,MAX(0,$M372)*MAX(0,V$4)/100))</f>
        <v/>
      </c>
      <c r="W372">
        <f>IF($C372="",0,IF($M372="",0,MAX(0,$M372)*MAX(0,W$4)/100))</f>
        <v/>
      </c>
      <c r="X372">
        <f>IF($C372="",0,IF($M372="",0,MAX(0,$M372)*MAX(0,X$4)/100))</f>
        <v/>
      </c>
      <c r="Y372">
        <f>IF($C372="",0,IF($M372="",0,MAX(0,$M372)*MAX(0,Y$4)/100))</f>
        <v/>
      </c>
      <c r="Z372">
        <f>IF($C372="",0,IF($M372="",0,MAX(0,$M372)*MAX(0,Z$4)/100))</f>
        <v/>
      </c>
      <c r="AA372">
        <f>IF($C372="",0,IF($M372="",0,MAX(0,$M372)*MAX(0,AA$4)/100))</f>
        <v/>
      </c>
      <c r="AB372">
        <f>IF($C372="",0,IF($M372="",0,MAX(0,$M372)*MAX(0,AB$4)/100))</f>
        <v/>
      </c>
      <c r="AC372">
        <f>IF($C372="",0,IF($M372="",0,MAX(0,$M372)*MAX(0,AC$4)/100))</f>
        <v/>
      </c>
      <c r="AD372">
        <f>IF($C372="",0,IF($M372="",0,MAX(0,$M372)*MAX(0,AD$4)/100))</f>
        <v/>
      </c>
      <c r="AE372">
        <f>IF($C372="",0,IF($M372="",0,MAX(0,$M372)*MAX(0,AE$4)/100))</f>
        <v/>
      </c>
      <c r="AF372">
        <f>IF($C372="",0,IF($M372="",0,MAX(0,$M372)*MAX(0,AF$4)/100))</f>
        <v/>
      </c>
      <c r="AG372">
        <f>IF($C372="",0,IF($M372="",0,MAX(0,$M372)*MAX(0,AG$4)/100))</f>
        <v/>
      </c>
      <c r="AH372">
        <f>IF($C372="",0,IF($M372="",0,MAX(0,$M372)*MAX(0,AH$4)/100))</f>
        <v/>
      </c>
      <c r="AI372">
        <f>IF($C372="",0,IF($M372="",0,MAX(0,$M372)*MAX(0,AI$4)/100))</f>
        <v/>
      </c>
      <c r="AJ372">
        <f>IF($C372="",0,MAX(0,MAX(0,N($L372))-$V372))</f>
        <v/>
      </c>
      <c r="AK372">
        <f>IF($C372="",0,MAX(0,$AJ372-$W372))</f>
        <v/>
      </c>
      <c r="AL372">
        <f>IF($C372="",0,MAX(0,$AK372-$X372))</f>
        <v/>
      </c>
      <c r="AM372">
        <f>IF($C372="",0,MAX(0,$AL372-$Y372))</f>
        <v/>
      </c>
      <c r="AN372">
        <f>IF($C372="",0,MAX(0,$AM372-$Z372))</f>
        <v/>
      </c>
      <c r="AO372">
        <f>IF($C372="",0,MAX(0,$AN372-$AA372))</f>
        <v/>
      </c>
      <c r="AP372">
        <f>IF($C372="",0,MAX(0,$AO372-$AB372))</f>
        <v/>
      </c>
      <c r="AQ372">
        <f>IF($C372="",0,MAX(0,$AP372-$AC372))</f>
        <v/>
      </c>
      <c r="AR372">
        <f>IF($C372="",0,MAX(0,$AQ372-$AD372))</f>
        <v/>
      </c>
      <c r="AS372">
        <f>IF($C372="",0,MAX(0,$AR372-$AE372))</f>
        <v/>
      </c>
      <c r="AT372">
        <f>IF($C372="",0,MAX(0,$AS372-$AF372))</f>
        <v/>
      </c>
      <c r="AU372">
        <f>IF($C372="",0,MAX(0,$AT372-$AG372))</f>
        <v/>
      </c>
      <c r="AV372">
        <f>IF($C372="",0,MAX(0,$AU372-$AH372))</f>
        <v/>
      </c>
      <c r="AW372">
        <f>IF($C372="",0,MAX(0,$AV372-$AI372))</f>
        <v/>
      </c>
      <c r="AX372">
        <f>IF($C372="",0,MAX(0,MAX(0,N($L372))+IF($P372=V$3,$R372,0)+IF($S372=V$3,$U372,0)-$V372))</f>
        <v/>
      </c>
      <c r="AY372">
        <f>IF($C372="",0,MAX(0,$AX372+IF($P372=W$3,$R372,0)+IF($S372=W$3,$U372,0)-$W372))</f>
        <v/>
      </c>
      <c r="AZ372">
        <f>IF($C372="",0,MAX(0,$AY372+IF($P372=X$3,$R372,0)+IF($S372=X$3,$U372,0)-$X372))</f>
        <v/>
      </c>
      <c r="BA372">
        <f>IF($C372="",0,MAX(0,$AZ372+IF($P372=Y$3,$R372,0)+IF($S372=Y$3,$U372,0)-$Y372))</f>
        <v/>
      </c>
      <c r="BB372">
        <f>IF($C372="",0,MAX(0,$BA372+IF($P372=Z$3,$R372,0)+IF($S372=Z$3,$U372,0)-$Z372))</f>
        <v/>
      </c>
      <c r="BC372">
        <f>IF($C372="",0,MAX(0,$BB372+IF($P372=AA$3,$R372,0)+IF($S372=AA$3,$U372,0)-$AA372))</f>
        <v/>
      </c>
      <c r="BD372">
        <f>IF($C372="",0,MAX(0,$BC372+IF($P372=AB$3,$R372,0)+IF($S372=AB$3,$U372,0)-$AB372))</f>
        <v/>
      </c>
      <c r="BE372">
        <f>IF($C372="",0,MAX(0,$BD372+IF($P372=AC$3,$R372,0)+IF($S372=AC$3,$U372,0)-$AC372))</f>
        <v/>
      </c>
      <c r="BF372">
        <f>IF($C372="",0,MAX(0,$BE372+IF($P372=AD$3,$R372,0)+IF($S372=AD$3,$U372,0)-$AD372))</f>
        <v/>
      </c>
      <c r="BG372">
        <f>IF($C372="",0,MAX(0,$BF372+IF($P372=AE$3,$R372,0)+IF($S372=AE$3,$U372,0)-$AE372))</f>
        <v/>
      </c>
      <c r="BH372">
        <f>IF($C372="",0,MAX(0,$BG372+IF($P372=AF$3,$R372,0)+IF($S372=AF$3,$U372,0)-$AF372))</f>
        <v/>
      </c>
      <c r="BI372">
        <f>IF($C372="",0,MAX(0,$BH372+IF($P372=AG$3,$R372,0)+IF($S372=AG$3,$U372,0)-$AG372))</f>
        <v/>
      </c>
      <c r="BJ372">
        <f>IF($C372="",0,MAX(0,$BI372+IF($P372=AH$3,$R372,0)+IF($S372=AH$3,$U372,0)-$AH372))</f>
        <v/>
      </c>
      <c r="BK372">
        <f>IF($C372="",0,MAX(0,$BJ372+IF($P372=AI$3,$R372,0)+IF($S372=AI$3,$U372,0)-$AI372))</f>
        <v/>
      </c>
      <c r="BL372">
        <f>IF($C372="",99,IF(AND($AX372&lt;1,V$3&gt;=MAX(N($P372),N($S372))),0,99))</f>
        <v/>
      </c>
      <c r="BM372">
        <f>IF($C372="",99,IF(AND($AY372&lt;1,W$3&gt;=MAX(N($P372),N($S372))),1,99))</f>
        <v/>
      </c>
      <c r="BN372">
        <f>IF($C372="",99,IF(AND($AZ372&lt;1,X$3&gt;=MAX(N($P372),N($S372))),2,99))</f>
        <v/>
      </c>
      <c r="BO372">
        <f>IF($C372="",99,IF(AND($BA372&lt;1,Y$3&gt;=MAX(N($P372),N($S372))),3,99))</f>
        <v/>
      </c>
      <c r="BP372">
        <f>IF($C372="",99,IF(AND($BB372&lt;1,Z$3&gt;=MAX(N($P372),N($S372))),4,99))</f>
        <v/>
      </c>
      <c r="BQ372">
        <f>IF($C372="",99,IF(AND($BC372&lt;1,AA$3&gt;=MAX(N($P372),N($S372))),5,99))</f>
        <v/>
      </c>
      <c r="BR372">
        <f>IF($C372="",99,IF(AND($BD372&lt;1,AB$3&gt;=MAX(N($P372),N($S372))),6,99))</f>
        <v/>
      </c>
      <c r="BS372">
        <f>IF($C372="",99,IF(AND($BE372&lt;1,AC$3&gt;=MAX(N($P372),N($S372))),7,99))</f>
        <v/>
      </c>
      <c r="BT372">
        <f>IF($C372="",99,IF(AND($BF372&lt;1,AD$3&gt;=MAX(N($P372),N($S372))),8,99))</f>
        <v/>
      </c>
      <c r="BU372">
        <f>IF($C372="",99,IF(AND($BG372&lt;1,AE$3&gt;=MAX(N($P372),N($S372))),9,99))</f>
        <v/>
      </c>
      <c r="BV372">
        <f>IF($C372="",99,IF(AND($BH372&lt;1,AF$3&gt;=MAX(N($P372),N($S372))),10,99))</f>
        <v/>
      </c>
      <c r="BW372">
        <f>IF($C372="",99,IF(AND($BI372&lt;1,AG$3&gt;=MAX(N($P372),N($S372))),11,99))</f>
        <v/>
      </c>
      <c r="BX372">
        <f>IF($C372="",99,IF(AND($BJ372&lt;1,AH$3&gt;=MAX(N($P372),N($S372))),12,99))</f>
        <v/>
      </c>
      <c r="BY372">
        <f>IF($C372="",99,IF(AND($BK372&lt;1,AI$3&gt;=MAX(N($P372),N($S372))),13,99))</f>
        <v/>
      </c>
      <c r="BZ372">
        <f>IF(OR($C372="",$M372=""),"",COUNTIF($AJ372:$AW372,"&gt;=1"))</f>
        <v/>
      </c>
      <c r="CA372" s="90">
        <f>IF($BZ372="","",IF($BZ372&gt;=14,"",'設定'!$C$6+$BZ372))</f>
        <v/>
      </c>
      <c r="CB372">
        <f>IF(OR($C372="",$M372=""),"",MIN($BL372:$BY372))</f>
        <v/>
      </c>
      <c r="CC372" s="90">
        <f>IF($CB372="","",IF($CB372&gt;=99,"",'設定'!$C$6+$CB372))</f>
        <v/>
      </c>
      <c r="CD372">
        <f>IF(OR($C372="",$M372=""),"",AVERAGE($V372:$AI372))</f>
        <v/>
      </c>
      <c r="CE372">
        <f>IF($C372="","",IFERROR(IF(MATCH(IF(ISNUMBER($P372),$P372,'設定'!$C$6+N('設定'!$C$7)),$V$3:$AI$3,0)=1,MAX(0,N($L372)),INDEX($AJ372:$AW372,MATCH(IF(ISNUMBER($P372),$P372,'設定'!$C$6+N('設定'!$C$7)),$V$3:$AI$3,0)-1)),""))</f>
        <v/>
      </c>
      <c r="CF372">
        <f>IF(OR($C372="",$O372="",$CE372=""),"",IF($O372-$CE372&lt;=0,0,ROUNDUP(($O372-$CE372)/$G372,0)))</f>
        <v/>
      </c>
      <c r="CG372">
        <f>IF(OR($C372="",$CF372="",NOT(ISNUMBER($Q372))),0,MAX(0,$Q372-$CF372))</f>
        <v/>
      </c>
      <c r="CH372">
        <f>IF(OR($C372="",$O372="",$U372=0),0,IFERROR(ROUNDUP(MAX(0,IF(MATCH($S372,$V$3:$AI$3,0)=1,MAX(0,N($L372)),INDEX($AX372:$BK372,MATCH($S372,$V$3:$AI$3,0)-1))+$U372-$O372)/$G372,0),0))</f>
        <v/>
      </c>
      <c r="CI372">
        <f>IF($C372="","",IF(AND($P372="",$Q372=""),"",IF($P372="","⚠ 入庫日を ▼ から選んでください",IF(NOT(ISNUMBER($P372)),"⚠ 入庫日は ▼ から選んでください",IF($P372&lt;N('設定'!$C$6),"⚠ 入庫日が過去です（もう在庫に入っています）→ 消してください",IF($P372&gt;N('設定'!$C$6)+13,"⚠ 入庫日が14日より先です",IF(N($Q372)&lt;=0,"⚠ 入庫数を入れてください",IF($CG372&gt;0,"⚠ 目安より "&amp;$CG372&amp;" 多い（定数を超える）→ 減らす",""))))))))</f>
        <v/>
      </c>
      <c r="CJ372">
        <f>IF($C372="","",IF(AND($S372="",$T372=""),"",IF($S372="","⚠ 2便目：入庫日を ▼ から選んでください",IF(NOT(ISNUMBER($S372)),"⚠ 2便目：入庫日は ▼ から選んでください",IF($S372&lt;N('設定'!$C$6),"⚠ 2便目：入庫日が過去です（もう在庫に入っています）→ 消してください",IF($S372&gt;N('設定'!$C$6)+13,"⚠ 2便目：入庫日が14日より先です",IF(N($T372)&lt;=0,"⚠ 2便目：入庫数を入れてください",IF($CH372&gt;0,"⚠ 2便目：定数を "&amp;$CH372&amp;" ケース超える → 減らす",""))))))))</f>
        <v/>
      </c>
      <c r="CK372">
        <f>IF(AND($CI372="",N($Q372)&gt;0,ISNUMBER($P372)),1,0)</f>
        <v/>
      </c>
      <c r="CL372">
        <f>IF(AND($CJ372="",N($T372)&gt;0,ISNUMBER($S372)),1,0)</f>
        <v/>
      </c>
      <c r="CM372">
        <f>IF(OR($CK372=1,$CL372=1),1,0)</f>
        <v/>
      </c>
      <c r="CN372">
        <f>IF($C372="",0,($CK372*$R372+$CL372*$U372)*N($H372))</f>
        <v/>
      </c>
      <c r="CO372">
        <f>IF($C372="","",IF($CC372="","入庫後は 14日以上もつ",IF($CC372-N('設定'!$C$7)&lt;='設定'!$C$6,"入庫後も "&amp;TEXT($CC372,"m/d")&amp;"("&amp;CHOOSE(WEEKDAY($CC372),"日","月","火","水","木","金","土")&amp;")"&amp;" に切れる　もう1便を至急発注","入庫後も "&amp;TEXT($CC372,"m/d")&amp;"("&amp;CHOOSE(WEEKDAY($CC372),"日","月","火","水","木","金","土")&amp;")"&amp;" に切れる　"&amp;TEXT($CC372-N('設定'!$C$7),"m/d")&amp;"("&amp;CHOOSE(WEEKDAY($CC372-N('設定'!$C$7)),"日","月","火","水","木","金","土")&amp;")"&amp;" までに次を発注")))</f>
        <v/>
      </c>
      <c r="CP372">
        <f>IF($C372="","",IF('設定'!$C$6="","？ ①在庫を貼る に今日のCSVが貼られていない",IF($CS372=1,"－ 今日のCSVに無い（終売？）",IF($L372&lt;0,"● 在庫がマイナス　数えて「数えた在庫」に入れる",IF($L372=0,"● 在庫なし　至急発注",IF($M372="","？ 減り数が未設定（商品マスタ）",IF($B$3=0,"？ 動員が未入力（動員を入れる）",IF($CA372="","○ 14日以上もつ",IF($BZ372&lt;N('設定'!$C$7),"● "&amp;TEXT($CA372,"m/d")&amp;"("&amp;CHOOSE(WEEKDAY($CA372),"日","月","火","水","木","金","土")&amp;")"&amp;" に切れる　至急発注",IF($BZ372=N('設定'!$C$7),"● "&amp;TEXT($CA372,"m/d")&amp;"("&amp;CHOOSE(WEEKDAY($CA372),"日","月","火","水","木","金","土")&amp;")"&amp;" に切れる　今日発注","△ "&amp;TEXT($CA372,"m/d")&amp;"("&amp;CHOOSE(WEEKDAY($CA372),"日","月","火","水","木","金","土")&amp;")"&amp;" に切れる　"&amp;TEXT($CA372-N('設定'!$C$7),"m/d")&amp;"("&amp;CHOOSE(WEEKDAY($CA372-N('設定'!$C$7)),"日","月","火","水","木","金","土")&amp;")"&amp;" までに発注"))))))))))</f>
        <v/>
      </c>
      <c r="CQ372">
        <f>IF($C372="","",IF(AND($P372="",$Q372="",$S372="",$T372=""),"",IF(AND($P372="",$Q372=""),"⚠ 先に1便目（左の入庫日・入庫数）に入れてください",IF($CI372&lt;&gt;"",$CI372,IF($CJ372&lt;&gt;"",$CJ372,IF($M372="","？ 減り数が未設定（発注書には載ります）",IF($B$3=0,"？ 動員が未入力（発注書には載ります）",IF(AND($CA372&lt;&gt;"",$P372&gt;$CA372),IF($P372&gt;'設定'!$C$6+N('設定'!$C$7),"● "&amp;TEXT($P372,"m/d")&amp;"("&amp;CHOOSE(WEEKDAY($P372),"日","月","火","水","木","金","土")&amp;")"&amp;" の入庫では間に合わない（"&amp;TEXT($CA372,"m/d")&amp;"("&amp;CHOOSE(WEEKDAY($CA372),"日","月","火","水","木","金","土")&amp;")"&amp;" に切れる）　入庫日を早める","△ 欠品 "&amp;TEXT($CA372,"m/d")&amp;"("&amp;CHOOSE(WEEKDAY($CA372),"日","月","火","水","木","金","土")&amp;")"&amp;"〜"&amp;TEXT($P372-1,"m/d")&amp;"("&amp;CHOOSE(WEEKDAY($P372-1),"日","月","火","水","木","金","土")&amp;")"&amp;"　"&amp;$CO372),IF($CC372="","○ "&amp;TEXT($P372,"m/d")&amp;"("&amp;CHOOSE(WEEKDAY($P372),"日","月","火","水","木","金","土")&amp;")"&amp;" 入庫で 14日以上もつ",IF($CC372-N('設定'!$C$7)&lt;='設定'!$C$6,"● 入庫しても "&amp;TEXT($CC372,"m/d")&amp;"("&amp;CHOOSE(WEEKDAY($CC372),"日","月","火","水","木","金","土")&amp;")"&amp;" に切れる　もう1便を至急発注（2便目に入れる）","△ 入庫しても "&amp;TEXT($CC372,"m/d")&amp;"("&amp;CHOOSE(WEEKDAY($CC372),"日","月","火","水","木","金","土")&amp;")"&amp;" に切れる　"&amp;TEXT($CC372-N('設定'!$C$7),"m/d")&amp;"("&amp;CHOOSE(WEEKDAY($CC372-N('設定'!$C$7)),"日","月","火","水","木","金","土")&amp;")"&amp;" までに次を発注（2便目に入れる）"))))))))))</f>
        <v/>
      </c>
      <c r="CR372">
        <f>IF($C372="","",IF($G372&gt;1,"ｹｰｽ("&amp;$G372&amp;"入)","個"))</f>
        <v/>
      </c>
      <c r="CS372">
        <f>IF($C372="",0,IF(COUNTIFS('①在庫を貼る'!$V$6:$V$10005,'設定'!$C$4,'①在庫を貼る'!$W$6:$W$10005,$C372)=0,1,0))</f>
        <v/>
      </c>
      <c r="CT372">
        <f>IF(AND($CK372=1,OR('③発注書'!$C$4="すべて",'③発注書'!$C$4="",$F372='③発注書'!$C$4)),N($CT371)+1,N($CT371))</f>
        <v/>
      </c>
      <c r="CU372">
        <f>IF(AND($CL372=1,OR('③発注書'!$C$4="すべて",'③発注書'!$C$4="",$F372='③発注書'!$C$4)),N($CU371)+1,N($CU371))</f>
        <v/>
      </c>
      <c r="CV372">
        <f>IF($C372="",0,IF(COUNTIFS('①在庫を貼る'!$V$6:$V$10005,'設定'!$C$4,'①在庫を貼る'!$W$6:$W$10005,$C372)&gt;0,1,0))</f>
        <v/>
      </c>
      <c r="CW372">
        <f>IF($C372="",0,IF(COUNTIFS('月1回_1ヶ月前の在庫'!$V$6:$V$10005,'設定'!$C$4,'月1回_1ヶ月前の在庫'!$W$6:$W$10005,$C372)&gt;0,1,0))</f>
        <v/>
      </c>
      <c r="CX372">
        <f>IF($C372="",0,IF(COUNTIFS('月1回_2ヶ月前の在庫'!$V$6:$V$10005,'設定'!$C$4,'月1回_2ヶ月前の在庫'!$W$6:$W$10005,$C372)&gt;0,1,0))</f>
        <v/>
      </c>
      <c r="CY372">
        <f>IF(OR($C372="",'設定'!$C$12=""),"",IF('設定'!$C$13="",IF(AND($CV372=1,$CW372=0),"新商品（今月から）",IF(AND($CV372=0,$CW372=1),"終売（今月から）","")),IF(AND($CV372=1,$CW372=0,$CX372=0),"新商品（今月から）",IF(AND($CV372=1,$CW372=1,$CX372=0),"新商品（先月から）",IF(AND($CV372=0,$CW372=1,$CX372=1),"終売（今月から）",IF(AND($CV372=0,$CW372=0,$CX372=1),"終売（先月から）",IF(AND($CV372=1,$CW372=0,$CX372=1),"復活（先月は無し）","")))))))</f>
        <v/>
      </c>
    </row>
    <row r="373">
      <c r="B373">
        <f>IF(368&lt;='設定'!$C$11,368,"")</f>
        <v/>
      </c>
      <c r="C373">
        <f>IF($B373="","",IF($B373&lt;='設定'!$C$20,INDEX('商品マスタ'!$B$6:$B$1005,MATCH($B373,'商品マスタ'!$M$6:$M$1005,0)),IF($B373&lt;='設定'!$C$20+'設定'!$C$17,INDEX('①在庫を貼る'!$W$6:$W$10005,MATCH($B373-'設定'!$C$20,'①在庫を貼る'!$U$6:$U$10005,0)),IF($B373&lt;='設定'!$C$20+'設定'!$C$17+'設定'!$C$18,INDEX('月1回_1ヶ月前の在庫'!$W$6:$W$10005,MATCH($B373-'設定'!$C$20-'設定'!$C$17,'月1回_1ヶ月前の在庫'!$U$6:$U$10005,0)),INDEX('月1回_2ヶ月前の在庫'!$W$6:$W$10005,MATCH($B373-'設定'!$C$20-'設定'!$C$17-'設定'!$C$18,'月1回_2ヶ月前の在庫'!$U$6:$U$10005,0))))))</f>
        <v/>
      </c>
      <c r="D373">
        <f>IF($C373="","",IFERROR(IF(INDEX('商品マスタ'!$C$6:$C$1005,MATCH($C373,'商品マスタ'!$B$6:$B$1005,0))="",IFERROR(INDEX('①在庫を貼る'!$J$6:$J$10005,MATCH($C373,'①在庫を貼る'!$W$6:$W$10005,0)),IFERROR(INDEX('月1回_1ヶ月前の在庫'!$J$6:$J$10005,MATCH($C373,'月1回_1ヶ月前の在庫'!$W$6:$W$10005,0)),IFERROR(INDEX('月1回_2ヶ月前の在庫'!$J$6:$J$10005,MATCH($C373,'月1回_2ヶ月前の在庫'!$W$6:$W$10005,0)),""))),INDEX('商品マスタ'!$C$6:$C$1005,MATCH($C373,'商品マスタ'!$B$6:$B$1005,0))),IFERROR(INDEX('①在庫を貼る'!$J$6:$J$10005,MATCH($C373,'①在庫を貼る'!$W$6:$W$10005,0)),IFERROR(INDEX('月1回_1ヶ月前の在庫'!$J$6:$J$10005,MATCH($C373,'月1回_1ヶ月前の在庫'!$W$6:$W$10005,0)),IFERROR(INDEX('月1回_2ヶ月前の在庫'!$J$6:$J$10005,MATCH($C373,'月1回_2ヶ月前の在庫'!$W$6:$W$10005,0)),"")))))</f>
        <v/>
      </c>
      <c r="E373">
        <f>IF($C373="","",IFERROR(IF(INDEX('商品マスタ'!$D$6:$D$1005,MATCH($C373,'商品マスタ'!$B$6:$B$1005,0))="",IFERROR(INDEX('①在庫を貼る'!$H$6:$H$10005,MATCH($C373,'①在庫を貼る'!$W$6:$W$10005,0)),IFERROR(INDEX('月1回_1ヶ月前の在庫'!$H$6:$H$10005,MATCH($C373,'月1回_1ヶ月前の在庫'!$W$6:$W$10005,0)),IFERROR(INDEX('月1回_2ヶ月前の在庫'!$H$6:$H$10005,MATCH($C373,'月1回_2ヶ月前の在庫'!$W$6:$W$10005,0)),""))),INDEX('商品マスタ'!$D$6:$D$1005,MATCH($C373,'商品マスタ'!$B$6:$B$1005,0))),IFERROR(INDEX('①在庫を貼る'!$H$6:$H$10005,MATCH($C373,'①在庫を貼る'!$W$6:$W$10005,0)),IFERROR(INDEX('月1回_1ヶ月前の在庫'!$H$6:$H$10005,MATCH($C373,'月1回_1ヶ月前の在庫'!$W$6:$W$10005,0)),IFERROR(INDEX('月1回_2ヶ月前の在庫'!$H$6:$H$10005,MATCH($C373,'月1回_2ヶ月前の在庫'!$W$6:$W$10005,0)),"")))))</f>
        <v/>
      </c>
      <c r="F373">
        <f>IF($C373="","",IFERROR(IF(INDEX('商品マスタ'!$E$6:$E$1005,MATCH($C373,'商品マスタ'!$B$6:$B$1005,0))="",IFERROR(INDEX('①在庫を貼る'!$E$6:$E$10005,MATCH($C373,'①在庫を貼る'!$W$6:$W$10005,0)),IFERROR(INDEX('月1回_1ヶ月前の在庫'!$E$6:$E$10005,MATCH($C373,'月1回_1ヶ月前の在庫'!$W$6:$W$10005,0)),IFERROR(INDEX('月1回_2ヶ月前の在庫'!$E$6:$E$10005,MATCH($C373,'月1回_2ヶ月前の在庫'!$W$6:$W$10005,0)),""))),INDEX('商品マスタ'!$E$6:$E$1005,MATCH($C373,'商品マスタ'!$B$6:$B$1005,0))),IFERROR(INDEX('①在庫を貼る'!$E$6:$E$10005,MATCH($C373,'①在庫を貼る'!$W$6:$W$10005,0)),IFERROR(INDEX('月1回_1ヶ月前の在庫'!$E$6:$E$10005,MATCH($C373,'月1回_1ヶ月前の在庫'!$W$6:$W$10005,0)),IFERROR(INDEX('月1回_2ヶ月前の在庫'!$E$6:$E$10005,MATCH($C373,'月1回_2ヶ月前の在庫'!$W$6:$W$10005,0)),"")))))</f>
        <v/>
      </c>
      <c r="G373">
        <f>IF($C373="","",MAX(1,N(IFERROR(IF(INDEX('商品マスタ'!$F$6:$F$1005,MATCH($C373,'商品マスタ'!$B$6:$B$1005,0))="",IF(COUNTIFS('①在庫を貼る'!$V$6:$V$10005,'設定'!$C$4,'①在庫を貼る'!$W$6:$W$10005,$C373)&gt;0,SUMIFS('①在庫を貼る'!$K$6:$K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K$6:$K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K$6:$K$10005,'月1回_2ヶ月前の在庫'!$V$6:$V$10005,'設定'!$C$4,'月1回_2ヶ月前の在庫'!$W$6:$W$10005,$C373)/COUNTIFS('月1回_2ヶ月前の在庫'!$V$6:$V$10005,'設定'!$C$4,'月1回_2ヶ月前の在庫'!$W$6:$W$10005,$C373),0))),INDEX('商品マスタ'!$F$6:$F$1005,MATCH($C373,'商品マスタ'!$B$6:$B$1005,0))),IF(COUNTIFS('①在庫を貼る'!$V$6:$V$10005,'設定'!$C$4,'①在庫を貼る'!$W$6:$W$10005,$C373)&gt;0,SUMIFS('①在庫を貼る'!$K$6:$K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K$6:$K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K$6:$K$10005,'月1回_2ヶ月前の在庫'!$V$6:$V$10005,'設定'!$C$4,'月1回_2ヶ月前の在庫'!$W$6:$W$10005,$C373)/COUNTIFS('月1回_2ヶ月前の在庫'!$V$6:$V$10005,'設定'!$C$4,'月1回_2ヶ月前の在庫'!$W$6:$W$10005,$C373),0)))))))</f>
        <v/>
      </c>
      <c r="H373">
        <f>IF($C373="","",N(IFERROR(IF(INDEX('商品マスタ'!$G$6:$G$1005,MATCH($C373,'商品マスタ'!$B$6:$B$1005,0))="",IF(COUNTIFS('①在庫を貼る'!$V$6:$V$10005,'設定'!$C$4,'①在庫を貼る'!$W$6:$W$10005,$C373)&gt;0,SUMIFS('①在庫を貼る'!$Q$6:$Q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Q$6:$Q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Q$6:$Q$10005,'月1回_2ヶ月前の在庫'!$V$6:$V$10005,'設定'!$C$4,'月1回_2ヶ月前の在庫'!$W$6:$W$10005,$C373)/COUNTIFS('月1回_2ヶ月前の在庫'!$V$6:$V$10005,'設定'!$C$4,'月1回_2ヶ月前の在庫'!$W$6:$W$10005,$C373),0))),INDEX('商品マスタ'!$G$6:$G$1005,MATCH($C373,'商品マスタ'!$B$6:$B$1005,0))),IF(COUNTIFS('①在庫を貼る'!$V$6:$V$10005,'設定'!$C$4,'①在庫を貼る'!$W$6:$W$10005,$C373)&gt;0,SUMIFS('①在庫を貼る'!$Q$6:$Q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Q$6:$Q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Q$6:$Q$10005,'月1回_2ヶ月前の在庫'!$V$6:$V$10005,'設定'!$C$4,'月1回_2ヶ月前の在庫'!$W$6:$W$10005,$C373)/COUNTIFS('月1回_2ヶ月前の在庫'!$V$6:$V$10005,'設定'!$C$4,'月1回_2ヶ月前の在庫'!$W$6:$W$10005,$C373),0))))))</f>
        <v/>
      </c>
      <c r="I373">
        <f>IF($C373="","",IF(COUNTIFS('①在庫を貼る'!$V$6:$V$10005,'設定'!$C$4,'①在庫を貼る'!$W$6:$W$10005,$C373)=0,"",SUMIFS('①在庫を貼る'!$N$6:$N$10005,'①在庫を貼る'!$V$6:$V$10005,'設定'!$C$4,'①在庫を貼る'!$W$6:$W$10005,$C373)))</f>
        <v/>
      </c>
      <c r="J373">
        <f>IF($C373="","",IF('②発注する'!$AD377="","",'②発注する'!$AD377))</f>
        <v/>
      </c>
      <c r="K373" s="90">
        <f>IF($C373="","",IF('②発注する'!$AE377="","",'②発注する'!$AE377))</f>
        <v/>
      </c>
      <c r="L373">
        <f>IF($C373="","",IF(AND(ISNUMBER($J373),ISNUMBER($K373),$K373&gt;='設定'!$C$6),$J373,N($I373)))</f>
        <v/>
      </c>
      <c r="M373">
        <f>IF($C373="","",IFERROR(IF(N(INDEX('商品マスタ'!$J$6:$J$1005,MATCH($C373,'商品マスタ'!$B$6:$B$1005,0)))&gt;0,INDEX('商品マスタ'!$J$6:$J$1005,MATCH($C373,'商品マスタ'!$B$6:$B$1005,0)),""),""))</f>
        <v/>
      </c>
      <c r="N373">
        <f>IF($C373="","",IFERROR(IF(N(INDEX('商品マスタ'!$H$6:$H$1005,MATCH($C373,'商品マスタ'!$B$6:$B$1005,0)))&gt;0,INDEX('商品マスタ'!$H$6:$H$1005,MATCH($C373,'商品マスタ'!$B$6:$B$1005,0)),""),""))</f>
        <v/>
      </c>
      <c r="O373">
        <f>IF($C373="","",IF($N373&lt;&gt;"",$N373*$G373,IF(N(IF(COUNTIFS('①在庫を貼る'!$V$6:$V$10005,'設定'!$C$4,'①在庫を貼る'!$W$6:$W$10005,$C373)&gt;0,SUMIFS('①在庫を貼る'!$O$6:$O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O$6:$O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O$6:$O$10005,'月1回_2ヶ月前の在庫'!$V$6:$V$10005,'設定'!$C$4,'月1回_2ヶ月前の在庫'!$W$6:$W$10005,$C373)/COUNTIFS('月1回_2ヶ月前の在庫'!$V$6:$V$10005,'設定'!$C$4,'月1回_2ヶ月前の在庫'!$W$6:$W$10005,$C373),0))))&gt;0,N(IF(COUNTIFS('①在庫を貼る'!$V$6:$V$10005,'設定'!$C$4,'①在庫を貼る'!$W$6:$W$10005,$C373)&gt;0,SUMIFS('①在庫を貼る'!$O$6:$O$10005,'①在庫を貼る'!$V$6:$V$10005,'設定'!$C$4,'①在庫を貼る'!$W$6:$W$10005,$C373)/COUNTIFS('①在庫を貼る'!$V$6:$V$10005,'設定'!$C$4,'①在庫を貼る'!$W$6:$W$10005,$C373),IF(COUNTIFS('月1回_1ヶ月前の在庫'!$V$6:$V$10005,'設定'!$C$4,'月1回_1ヶ月前の在庫'!$W$6:$W$10005,$C373)&gt;0,SUMIFS('月1回_1ヶ月前の在庫'!$O$6:$O$10005,'月1回_1ヶ月前の在庫'!$V$6:$V$10005,'設定'!$C$4,'月1回_1ヶ月前の在庫'!$W$6:$W$10005,$C373)/COUNTIFS('月1回_1ヶ月前の在庫'!$V$6:$V$10005,'設定'!$C$4,'月1回_1ヶ月前の在庫'!$W$6:$W$10005,$C373),IF(COUNTIFS('月1回_2ヶ月前の在庫'!$V$6:$V$10005,'設定'!$C$4,'月1回_2ヶ月前の在庫'!$W$6:$W$10005,$C373)&gt;0,SUMIFS('月1回_2ヶ月前の在庫'!$O$6:$O$10005,'月1回_2ヶ月前の在庫'!$V$6:$V$10005,'設定'!$C$4,'月1回_2ヶ月前の在庫'!$W$6:$W$10005,$C373)/COUNTIFS('月1回_2ヶ月前の在庫'!$V$6:$V$10005,'設定'!$C$4,'月1回_2ヶ月前の在庫'!$W$6:$W$10005,$C373),0)))),"")))</f>
        <v/>
      </c>
      <c r="P373" s="90">
        <f>IF($C373="","",IF('②発注する'!$I377="","",'②発注する'!$I377))</f>
        <v/>
      </c>
      <c r="Q373">
        <f>IF($C373="","",IF('②発注する'!$J377="","",'②発注する'!$J377))</f>
        <v/>
      </c>
      <c r="R373">
        <f>IF($C373="",0,IF(AND(ISNUMBER($P373),ISNUMBER($Q373)),MAX(0,$Q373)*$G373,0))</f>
        <v/>
      </c>
      <c r="S373" s="90">
        <f>IF($C373="","",IF('②発注する'!$M377="","",'②発注する'!$M377))</f>
        <v/>
      </c>
      <c r="T373">
        <f>IF($C373="","",IF('②発注する'!$N377="","",'②発注する'!$N377))</f>
        <v/>
      </c>
      <c r="U373">
        <f>IF($C373="",0,IF(AND(ISNUMBER($S373),ISNUMBER($T373)),MAX(0,$T373)*$G373,0))</f>
        <v/>
      </c>
      <c r="V373">
        <f>IF($C373="",0,IF($M373="",0,MAX(0,$M373)*MAX(0,V$4)/100))</f>
        <v/>
      </c>
      <c r="W373">
        <f>IF($C373="",0,IF($M373="",0,MAX(0,$M373)*MAX(0,W$4)/100))</f>
        <v/>
      </c>
      <c r="X373">
        <f>IF($C373="",0,IF($M373="",0,MAX(0,$M373)*MAX(0,X$4)/100))</f>
        <v/>
      </c>
      <c r="Y373">
        <f>IF($C373="",0,IF($M373="",0,MAX(0,$M373)*MAX(0,Y$4)/100))</f>
        <v/>
      </c>
      <c r="Z373">
        <f>IF($C373="",0,IF($M373="",0,MAX(0,$M373)*MAX(0,Z$4)/100))</f>
        <v/>
      </c>
      <c r="AA373">
        <f>IF($C373="",0,IF($M373="",0,MAX(0,$M373)*MAX(0,AA$4)/100))</f>
        <v/>
      </c>
      <c r="AB373">
        <f>IF($C373="",0,IF($M373="",0,MAX(0,$M373)*MAX(0,AB$4)/100))</f>
        <v/>
      </c>
      <c r="AC373">
        <f>IF($C373="",0,IF($M373="",0,MAX(0,$M373)*MAX(0,AC$4)/100))</f>
        <v/>
      </c>
      <c r="AD373">
        <f>IF($C373="",0,IF($M373="",0,MAX(0,$M373)*MAX(0,AD$4)/100))</f>
        <v/>
      </c>
      <c r="AE373">
        <f>IF($C373="",0,IF($M373="",0,MAX(0,$M373)*MAX(0,AE$4)/100))</f>
        <v/>
      </c>
      <c r="AF373">
        <f>IF($C373="",0,IF($M373="",0,MAX(0,$M373)*MAX(0,AF$4)/100))</f>
        <v/>
      </c>
      <c r="AG373">
        <f>IF($C373="",0,IF($M373="",0,MAX(0,$M373)*MAX(0,AG$4)/100))</f>
        <v/>
      </c>
      <c r="AH373">
        <f>IF($C373="",0,IF($M373="",0,MAX(0,$M373)*MAX(0,AH$4)/100))</f>
        <v/>
      </c>
      <c r="AI373">
        <f>IF($C373="",0,IF($M373="",0,MAX(0,$M373)*MAX(0,AI$4)/100))</f>
        <v/>
      </c>
      <c r="AJ373">
        <f>IF($C373="",0,MAX(0,MAX(0,N($L373))-$V373))</f>
        <v/>
      </c>
      <c r="AK373">
        <f>IF($C373="",0,MAX(0,$AJ373-$W373))</f>
        <v/>
      </c>
      <c r="AL373">
        <f>IF($C373="",0,MAX(0,$AK373-$X373))</f>
        <v/>
      </c>
      <c r="AM373">
        <f>IF($C373="",0,MAX(0,$AL373-$Y373))</f>
        <v/>
      </c>
      <c r="AN373">
        <f>IF($C373="",0,MAX(0,$AM373-$Z373))</f>
        <v/>
      </c>
      <c r="AO373">
        <f>IF($C373="",0,MAX(0,$AN373-$AA373))</f>
        <v/>
      </c>
      <c r="AP373">
        <f>IF($C373="",0,MAX(0,$AO373-$AB373))</f>
        <v/>
      </c>
      <c r="AQ373">
        <f>IF($C373="",0,MAX(0,$AP373-$AC373))</f>
        <v/>
      </c>
      <c r="AR373">
        <f>IF($C373="",0,MAX(0,$AQ373-$AD373))</f>
        <v/>
      </c>
      <c r="AS373">
        <f>IF($C373="",0,MAX(0,$AR373-$AE373))</f>
        <v/>
      </c>
      <c r="AT373">
        <f>IF($C373="",0,MAX(0,$AS373-$AF373))</f>
        <v/>
      </c>
      <c r="AU373">
        <f>IF($C373="",0,MAX(0,$AT373-$AG373))</f>
        <v/>
      </c>
      <c r="AV373">
        <f>IF($C373="",0,MAX(0,$AU373-$AH373))</f>
        <v/>
      </c>
      <c r="AW373">
        <f>IF($C373="",0,MAX(0,$AV373-$AI373))</f>
        <v/>
      </c>
      <c r="AX373">
        <f>IF($C373="",0,MAX(0,MAX(0,N($L373))+IF($P373=V$3,$R373,0)+IF($S373=V$3,$U373,0)-$V373))</f>
        <v/>
      </c>
      <c r="AY373">
        <f>IF($C373="",0,MAX(0,$AX373+IF($P373=W$3,$R373,0)+IF($S373=W$3,$U373,0)-$W373))</f>
        <v/>
      </c>
      <c r="AZ373">
        <f>IF($C373="",0,MAX(0,$AY373+IF($P373=X$3,$R373,0)+IF($S373=X$3,$U373,0)-$X373))</f>
        <v/>
      </c>
      <c r="BA373">
        <f>IF($C373="",0,MAX(0,$AZ373+IF($P373=Y$3,$R373,0)+IF($S373=Y$3,$U373,0)-$Y373))</f>
        <v/>
      </c>
      <c r="BB373">
        <f>IF($C373="",0,MAX(0,$BA373+IF($P373=Z$3,$R373,0)+IF($S373=Z$3,$U373,0)-$Z373))</f>
        <v/>
      </c>
      <c r="BC373">
        <f>IF($C373="",0,MAX(0,$BB373+IF($P373=AA$3,$R373,0)+IF($S373=AA$3,$U373,0)-$AA373))</f>
        <v/>
      </c>
      <c r="BD373">
        <f>IF($C373="",0,MAX(0,$BC373+IF($P373=AB$3,$R373,0)+IF($S373=AB$3,$U373,0)-$AB373))</f>
        <v/>
      </c>
      <c r="BE373">
        <f>IF($C373="",0,MAX(0,$BD373+IF($P373=AC$3,$R373,0)+IF($S373=AC$3,$U373,0)-$AC373))</f>
        <v/>
      </c>
      <c r="BF373">
        <f>IF($C373="",0,MAX(0,$BE373+IF($P373=AD$3,$R373,0)+IF($S373=AD$3,$U373,0)-$AD373))</f>
        <v/>
      </c>
      <c r="BG373">
        <f>IF($C373="",0,MAX(0,$BF373+IF($P373=AE$3,$R373,0)+IF($S373=AE$3,$U373,0)-$AE373))</f>
        <v/>
      </c>
      <c r="BH373">
        <f>IF($C373="",0,MAX(0,$BG373+IF($P373=AF$3,$R373,0)+IF($S373=AF$3,$U373,0)-$AF373))</f>
        <v/>
      </c>
      <c r="BI373">
        <f>IF($C373="",0,MAX(0,$BH373+IF($P373=AG$3,$R373,0)+IF($S373=AG$3,$U373,0)-$AG373))</f>
        <v/>
      </c>
      <c r="BJ373">
        <f>IF($C373="",0,MAX(0,$BI373+IF($P373=AH$3,$R373,0)+IF($S373=AH$3,$U373,0)-$AH373))</f>
        <v/>
      </c>
      <c r="BK373">
        <f>IF($C373="",0,MAX(0,$BJ373+IF($P373=AI$3,$R373,0)+IF($S373=AI$3,$U373,0)-$AI373))</f>
        <v/>
      </c>
      <c r="BL373">
        <f>IF($C373="",99,IF(AND($AX373&lt;1,V$3&gt;=MAX(N($P373),N($S373))),0,99))</f>
        <v/>
      </c>
      <c r="BM373">
        <f>IF($C373="",99,IF(AND($AY373&lt;1,W$3&gt;=MAX(N($P373),N($S373))),1,99))</f>
        <v/>
      </c>
      <c r="BN373">
        <f>IF($C373="",99,IF(AND($AZ373&lt;1,X$3&gt;=MAX(N($P373),N($S373))),2,99))</f>
        <v/>
      </c>
      <c r="BO373">
        <f>IF($C373="",99,IF(AND($BA373&lt;1,Y$3&gt;=MAX(N($P373),N($S373))),3,99))</f>
        <v/>
      </c>
      <c r="BP373">
        <f>IF($C373="",99,IF(AND($BB373&lt;1,Z$3&gt;=MAX(N($P373),N($S373))),4,99))</f>
        <v/>
      </c>
      <c r="BQ373">
        <f>IF($C373="",99,IF(AND($BC373&lt;1,AA$3&gt;=MAX(N($P373),N($S373))),5,99))</f>
        <v/>
      </c>
      <c r="BR373">
        <f>IF($C373="",99,IF(AND($BD373&lt;1,AB$3&gt;=MAX(N($P373),N($S373))),6,99))</f>
        <v/>
      </c>
      <c r="BS373">
        <f>IF($C373="",99,IF(AND($BE373&lt;1,AC$3&gt;=MAX(N($P373),N($S373))),7,99))</f>
        <v/>
      </c>
      <c r="BT373">
        <f>IF($C373="",99,IF(AND($BF373&lt;1,AD$3&gt;=MAX(N($P373),N($S373))),8,99))</f>
        <v/>
      </c>
      <c r="BU373">
        <f>IF($C373="",99,IF(AND($BG373&lt;1,AE$3&gt;=MAX(N($P373),N($S373))),9,99))</f>
        <v/>
      </c>
      <c r="BV373">
        <f>IF($C373="",99,IF(AND($BH373&lt;1,AF$3&gt;=MAX(N($P373),N($S373))),10,99))</f>
        <v/>
      </c>
      <c r="BW373">
        <f>IF($C373="",99,IF(AND($BI373&lt;1,AG$3&gt;=MAX(N($P373),N($S373))),11,99))</f>
        <v/>
      </c>
      <c r="BX373">
        <f>IF($C373="",99,IF(AND($BJ373&lt;1,AH$3&gt;=MAX(N($P373),N($S373))),12,99))</f>
        <v/>
      </c>
      <c r="BY373">
        <f>IF($C373="",99,IF(AND($BK373&lt;1,AI$3&gt;=MAX(N($P373),N($S373))),13,99))</f>
        <v/>
      </c>
      <c r="BZ373">
        <f>IF(OR($C373="",$M373=""),"",COUNTIF($AJ373:$AW373,"&gt;=1"))</f>
        <v/>
      </c>
      <c r="CA373" s="90">
        <f>IF($BZ373="","",IF($BZ373&gt;=14,"",'設定'!$C$6+$BZ373))</f>
        <v/>
      </c>
      <c r="CB373">
        <f>IF(OR($C373="",$M373=""),"",MIN($BL373:$BY373))</f>
        <v/>
      </c>
      <c r="CC373" s="90">
        <f>IF($CB373="","",IF($CB373&gt;=99,"",'設定'!$C$6+$CB373))</f>
        <v/>
      </c>
      <c r="CD373">
        <f>IF(OR($C373="",$M373=""),"",AVERAGE($V373:$AI373))</f>
        <v/>
      </c>
      <c r="CE373">
        <f>IF($C373="","",IFERROR(IF(MATCH(IF(ISNUMBER($P373),$P373,'設定'!$C$6+N('設定'!$C$7)),$V$3:$AI$3,0)=1,MAX(0,N($L373)),INDEX($AJ373:$AW373,MATCH(IF(ISNUMBER($P373),$P373,'設定'!$C$6+N('設定'!$C$7)),$V$3:$AI$3,0)-1)),""))</f>
        <v/>
      </c>
      <c r="CF373">
        <f>IF(OR($C373="",$O373="",$CE373=""),"",IF($O373-$CE373&lt;=0,0,ROUNDUP(($O373-$CE373)/$G373,0)))</f>
        <v/>
      </c>
      <c r="CG373">
        <f>IF(OR($C373="",$CF373="",NOT(ISNUMBER($Q373))),0,MAX(0,$Q373-$CF373))</f>
        <v/>
      </c>
      <c r="CH373">
        <f>IF(OR($C373="",$O373="",$U373=0),0,IFERROR(ROUNDUP(MAX(0,IF(MATCH($S373,$V$3:$AI$3,0)=1,MAX(0,N($L373)),INDEX($AX373:$BK373,MATCH($S373,$V$3:$AI$3,0)-1))+$U373-$O373)/$G373,0),0))</f>
        <v/>
      </c>
      <c r="CI373">
        <f>IF($C373="","",IF(AND($P373="",$Q373=""),"",IF($P373="","⚠ 入庫日を ▼ から選んでください",IF(NOT(ISNUMBER($P373)),"⚠ 入庫日は ▼ から選んでください",IF($P373&lt;N('設定'!$C$6),"⚠ 入庫日が過去です（もう在庫に入っています）→ 消してください",IF($P373&gt;N('設定'!$C$6)+13,"⚠ 入庫日が14日より先です",IF(N($Q373)&lt;=0,"⚠ 入庫数を入れてください",IF($CG373&gt;0,"⚠ 目安より "&amp;$CG373&amp;" 多い（定数を超える）→ 減らす",""))))))))</f>
        <v/>
      </c>
      <c r="CJ373">
        <f>IF($C373="","",IF(AND($S373="",$T373=""),"",IF($S373="","⚠ 2便目：入庫日を ▼ から選んでください",IF(NOT(ISNUMBER($S373)),"⚠ 2便目：入庫日は ▼ から選んでください",IF($S373&lt;N('設定'!$C$6),"⚠ 2便目：入庫日が過去です（もう在庫に入っています）→ 消してください",IF($S373&gt;N('設定'!$C$6)+13,"⚠ 2便目：入庫日が14日より先です",IF(N($T373)&lt;=0,"⚠ 2便目：入庫数を入れてください",IF($CH373&gt;0,"⚠ 2便目：定数を "&amp;$CH373&amp;" ケース超える → 減らす",""))))))))</f>
        <v/>
      </c>
      <c r="CK373">
        <f>IF(AND($CI373="",N($Q373)&gt;0,ISNUMBER($P373)),1,0)</f>
        <v/>
      </c>
      <c r="CL373">
        <f>IF(AND($CJ373="",N($T373)&gt;0,ISNUMBER($S373)),1,0)</f>
        <v/>
      </c>
      <c r="CM373">
        <f>IF(OR($CK373=1,$CL373=1),1,0)</f>
        <v/>
      </c>
      <c r="CN373">
        <f>IF($C373="",0,($CK373*$R373+$CL373*$U373)*N($H373))</f>
        <v/>
      </c>
      <c r="CO373">
        <f>IF($C373="","",IF($CC373="","入庫後は 14日以上もつ",IF($CC373-N('設定'!$C$7)&lt;='設定'!$C$6,"入庫後も "&amp;TEXT($CC373,"m/d")&amp;"("&amp;CHOOSE(WEEKDAY($CC373),"日","月","火","水","木","金","土")&amp;")"&amp;" に切れる　もう1便を至急発注","入庫後も "&amp;TEXT($CC373,"m/d")&amp;"("&amp;CHOOSE(WEEKDAY($CC373),"日","月","火","水","木","金","土")&amp;")"&amp;" に切れる　"&amp;TEXT($CC373-N('設定'!$C$7),"m/d")&amp;"("&amp;CHOOSE(WEEKDAY($CC373-N('設定'!$C$7)),"日","月","火","水","木","金","土")&amp;")"&amp;" までに次を発注")))</f>
        <v/>
      </c>
      <c r="CP373">
        <f>IF($C373="","",IF('設定'!$C$6="","？ ①在庫を貼る に今日のCSVが貼られていない",IF($CS373=1,"－ 今日のCSVに無い（終売？）",IF($L373&lt;0,"● 在庫がマイナス　数えて「数えた在庫」に入れる",IF($L373=0,"● 在庫なし　至急発注",IF($M373="","？ 減り数が未設定（商品マスタ）",IF($B$3=0,"？ 動員が未入力（動員を入れる）",IF($CA373="","○ 14日以上もつ",IF($BZ373&lt;N('設定'!$C$7),"● "&amp;TEXT($CA373,"m/d")&amp;"("&amp;CHOOSE(WEEKDAY($CA373),"日","月","火","水","木","金","土")&amp;")"&amp;" に切れる　至急発注",IF($BZ373=N('設定'!$C$7),"● "&amp;TEXT($CA373,"m/d")&amp;"("&amp;CHOOSE(WEEKDAY($CA373),"日","月","火","水","木","金","土")&amp;")"&amp;" に切れる　今日発注","△ "&amp;TEXT($CA373,"m/d")&amp;"("&amp;CHOOSE(WEEKDAY($CA373),"日","月","火","水","木","金","土")&amp;")"&amp;" に切れる　"&amp;TEXT($CA373-N('設定'!$C$7),"m/d")&amp;"("&amp;CHOOSE(WEEKDAY($CA373-N('設定'!$C$7)),"日","月","火","水","木","金","土")&amp;")"&amp;" までに発注"))))))))))</f>
        <v/>
      </c>
      <c r="CQ373">
        <f>IF($C373="","",IF(AND($P373="",$Q373="",$S373="",$T373=""),"",IF(AND($P373="",$Q373=""),"⚠ 先に1便目（左の入庫日・入庫数）に入れてください",IF($CI373&lt;&gt;"",$CI373,IF($CJ373&lt;&gt;"",$CJ373,IF($M373="","？ 減り数が未設定（発注書には載ります）",IF($B$3=0,"？ 動員が未入力（発注書には載ります）",IF(AND($CA373&lt;&gt;"",$P373&gt;$CA373),IF($P373&gt;'設定'!$C$6+N('設定'!$C$7),"● "&amp;TEXT($P373,"m/d")&amp;"("&amp;CHOOSE(WEEKDAY($P373),"日","月","火","水","木","金","土")&amp;")"&amp;" の入庫では間に合わない（"&amp;TEXT($CA373,"m/d")&amp;"("&amp;CHOOSE(WEEKDAY($CA373),"日","月","火","水","木","金","土")&amp;")"&amp;" に切れる）　入庫日を早める","△ 欠品 "&amp;TEXT($CA373,"m/d")&amp;"("&amp;CHOOSE(WEEKDAY($CA373),"日","月","火","水","木","金","土")&amp;")"&amp;"〜"&amp;TEXT($P373-1,"m/d")&amp;"("&amp;CHOOSE(WEEKDAY($P373-1),"日","月","火","水","木","金","土")&amp;")"&amp;"　"&amp;$CO373),IF($CC373="","○ "&amp;TEXT($P373,"m/d")&amp;"("&amp;CHOOSE(WEEKDAY($P373),"日","月","火","水","木","金","土")&amp;")"&amp;" 入庫で 14日以上もつ",IF($CC373-N('設定'!$C$7)&lt;='設定'!$C$6,"● 入庫しても "&amp;TEXT($CC373,"m/d")&amp;"("&amp;CHOOSE(WEEKDAY($CC373),"日","月","火","水","木","金","土")&amp;")"&amp;" に切れる　もう1便を至急発注（2便目に入れる）","△ 入庫しても "&amp;TEXT($CC373,"m/d")&amp;"("&amp;CHOOSE(WEEKDAY($CC373),"日","月","火","水","木","金","土")&amp;")"&amp;" に切れる　"&amp;TEXT($CC373-N('設定'!$C$7),"m/d")&amp;"("&amp;CHOOSE(WEEKDAY($CC373-N('設定'!$C$7)),"日","月","火","水","木","金","土")&amp;")"&amp;" までに次を発注（2便目に入れる）"))))))))))</f>
        <v/>
      </c>
      <c r="CR373">
        <f>IF($C373="","",IF($G373&gt;1,"ｹｰｽ("&amp;$G373&amp;"入)","個"))</f>
        <v/>
      </c>
      <c r="CS373">
        <f>IF($C373="",0,IF(COUNTIFS('①在庫を貼る'!$V$6:$V$10005,'設定'!$C$4,'①在庫を貼る'!$W$6:$W$10005,$C373)=0,1,0))</f>
        <v/>
      </c>
      <c r="CT373">
        <f>IF(AND($CK373=1,OR('③発注書'!$C$4="すべて",'③発注書'!$C$4="",$F373='③発注書'!$C$4)),N($CT372)+1,N($CT372))</f>
        <v/>
      </c>
      <c r="CU373">
        <f>IF(AND($CL373=1,OR('③発注書'!$C$4="すべて",'③発注書'!$C$4="",$F373='③発注書'!$C$4)),N($CU372)+1,N($CU372))</f>
        <v/>
      </c>
      <c r="CV373">
        <f>IF($C373="",0,IF(COUNTIFS('①在庫を貼る'!$V$6:$V$10005,'設定'!$C$4,'①在庫を貼る'!$W$6:$W$10005,$C373)&gt;0,1,0))</f>
        <v/>
      </c>
      <c r="CW373">
        <f>IF($C373="",0,IF(COUNTIFS('月1回_1ヶ月前の在庫'!$V$6:$V$10005,'設定'!$C$4,'月1回_1ヶ月前の在庫'!$W$6:$W$10005,$C373)&gt;0,1,0))</f>
        <v/>
      </c>
      <c r="CX373">
        <f>IF($C373="",0,IF(COUNTIFS('月1回_2ヶ月前の在庫'!$V$6:$V$10005,'設定'!$C$4,'月1回_2ヶ月前の在庫'!$W$6:$W$10005,$C373)&gt;0,1,0))</f>
        <v/>
      </c>
      <c r="CY373">
        <f>IF(OR($C373="",'設定'!$C$12=""),"",IF('設定'!$C$13="",IF(AND($CV373=1,$CW373=0),"新商品（今月から）",IF(AND($CV373=0,$CW373=1),"終売（今月から）","")),IF(AND($CV373=1,$CW373=0,$CX373=0),"新商品（今月から）",IF(AND($CV373=1,$CW373=1,$CX373=0),"新商品（先月から）",IF(AND($CV373=0,$CW373=1,$CX373=1),"終売（今月から）",IF(AND($CV373=0,$CW373=0,$CX373=1),"終売（先月から）",IF(AND($CV373=1,$CW373=0,$CX373=1),"復活（先月は無し）","")))))))</f>
        <v/>
      </c>
    </row>
    <row r="374">
      <c r="B374">
        <f>IF(369&lt;='設定'!$C$11,369,"")</f>
        <v/>
      </c>
      <c r="C374">
        <f>IF($B374="","",IF($B374&lt;='設定'!$C$20,INDEX('商品マスタ'!$B$6:$B$1005,MATCH($B374,'商品マスタ'!$M$6:$M$1005,0)),IF($B374&lt;='設定'!$C$20+'設定'!$C$17,INDEX('①在庫を貼る'!$W$6:$W$10005,MATCH($B374-'設定'!$C$20,'①在庫を貼る'!$U$6:$U$10005,0)),IF($B374&lt;='設定'!$C$20+'設定'!$C$17+'設定'!$C$18,INDEX('月1回_1ヶ月前の在庫'!$W$6:$W$10005,MATCH($B374-'設定'!$C$20-'設定'!$C$17,'月1回_1ヶ月前の在庫'!$U$6:$U$10005,0)),INDEX('月1回_2ヶ月前の在庫'!$W$6:$W$10005,MATCH($B374-'設定'!$C$20-'設定'!$C$17-'設定'!$C$18,'月1回_2ヶ月前の在庫'!$U$6:$U$10005,0))))))</f>
        <v/>
      </c>
      <c r="D374">
        <f>IF($C374="","",IFERROR(IF(INDEX('商品マスタ'!$C$6:$C$1005,MATCH($C374,'商品マスタ'!$B$6:$B$1005,0))="",IFERROR(INDEX('①在庫を貼る'!$J$6:$J$10005,MATCH($C374,'①在庫を貼る'!$W$6:$W$10005,0)),IFERROR(INDEX('月1回_1ヶ月前の在庫'!$J$6:$J$10005,MATCH($C374,'月1回_1ヶ月前の在庫'!$W$6:$W$10005,0)),IFERROR(INDEX('月1回_2ヶ月前の在庫'!$J$6:$J$10005,MATCH($C374,'月1回_2ヶ月前の在庫'!$W$6:$W$10005,0)),""))),INDEX('商品マスタ'!$C$6:$C$1005,MATCH($C374,'商品マスタ'!$B$6:$B$1005,0))),IFERROR(INDEX('①在庫を貼る'!$J$6:$J$10005,MATCH($C374,'①在庫を貼る'!$W$6:$W$10005,0)),IFERROR(INDEX('月1回_1ヶ月前の在庫'!$J$6:$J$10005,MATCH($C374,'月1回_1ヶ月前の在庫'!$W$6:$W$10005,0)),IFERROR(INDEX('月1回_2ヶ月前の在庫'!$J$6:$J$10005,MATCH($C374,'月1回_2ヶ月前の在庫'!$W$6:$W$10005,0)),"")))))</f>
        <v/>
      </c>
      <c r="E374">
        <f>IF($C374="","",IFERROR(IF(INDEX('商品マスタ'!$D$6:$D$1005,MATCH($C374,'商品マスタ'!$B$6:$B$1005,0))="",IFERROR(INDEX('①在庫を貼る'!$H$6:$H$10005,MATCH($C374,'①在庫を貼る'!$W$6:$W$10005,0)),IFERROR(INDEX('月1回_1ヶ月前の在庫'!$H$6:$H$10005,MATCH($C374,'月1回_1ヶ月前の在庫'!$W$6:$W$10005,0)),IFERROR(INDEX('月1回_2ヶ月前の在庫'!$H$6:$H$10005,MATCH($C374,'月1回_2ヶ月前の在庫'!$W$6:$W$10005,0)),""))),INDEX('商品マスタ'!$D$6:$D$1005,MATCH($C374,'商品マスタ'!$B$6:$B$1005,0))),IFERROR(INDEX('①在庫を貼る'!$H$6:$H$10005,MATCH($C374,'①在庫を貼る'!$W$6:$W$10005,0)),IFERROR(INDEX('月1回_1ヶ月前の在庫'!$H$6:$H$10005,MATCH($C374,'月1回_1ヶ月前の在庫'!$W$6:$W$10005,0)),IFERROR(INDEX('月1回_2ヶ月前の在庫'!$H$6:$H$10005,MATCH($C374,'月1回_2ヶ月前の在庫'!$W$6:$W$10005,0)),"")))))</f>
        <v/>
      </c>
      <c r="F374">
        <f>IF($C374="","",IFERROR(IF(INDEX('商品マスタ'!$E$6:$E$1005,MATCH($C374,'商品マスタ'!$B$6:$B$1005,0))="",IFERROR(INDEX('①在庫を貼る'!$E$6:$E$10005,MATCH($C374,'①在庫を貼る'!$W$6:$W$10005,0)),IFERROR(INDEX('月1回_1ヶ月前の在庫'!$E$6:$E$10005,MATCH($C374,'月1回_1ヶ月前の在庫'!$W$6:$W$10005,0)),IFERROR(INDEX('月1回_2ヶ月前の在庫'!$E$6:$E$10005,MATCH($C374,'月1回_2ヶ月前の在庫'!$W$6:$W$10005,0)),""))),INDEX('商品マスタ'!$E$6:$E$1005,MATCH($C374,'商品マスタ'!$B$6:$B$1005,0))),IFERROR(INDEX('①在庫を貼る'!$E$6:$E$10005,MATCH($C374,'①在庫を貼る'!$W$6:$W$10005,0)),IFERROR(INDEX('月1回_1ヶ月前の在庫'!$E$6:$E$10005,MATCH($C374,'月1回_1ヶ月前の在庫'!$W$6:$W$10005,0)),IFERROR(INDEX('月1回_2ヶ月前の在庫'!$E$6:$E$10005,MATCH($C374,'月1回_2ヶ月前の在庫'!$W$6:$W$10005,0)),"")))))</f>
        <v/>
      </c>
      <c r="G374">
        <f>IF($C374="","",MAX(1,N(IFERROR(IF(INDEX('商品マスタ'!$F$6:$F$1005,MATCH($C374,'商品マスタ'!$B$6:$B$1005,0))="",IF(COUNTIFS('①在庫を貼る'!$V$6:$V$10005,'設定'!$C$4,'①在庫を貼る'!$W$6:$W$10005,$C374)&gt;0,SUMIFS('①在庫を貼る'!$K$6:$K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K$6:$K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K$6:$K$10005,'月1回_2ヶ月前の在庫'!$V$6:$V$10005,'設定'!$C$4,'月1回_2ヶ月前の在庫'!$W$6:$W$10005,$C374)/COUNTIFS('月1回_2ヶ月前の在庫'!$V$6:$V$10005,'設定'!$C$4,'月1回_2ヶ月前の在庫'!$W$6:$W$10005,$C374),0))),INDEX('商品マスタ'!$F$6:$F$1005,MATCH($C374,'商品マスタ'!$B$6:$B$1005,0))),IF(COUNTIFS('①在庫を貼る'!$V$6:$V$10005,'設定'!$C$4,'①在庫を貼る'!$W$6:$W$10005,$C374)&gt;0,SUMIFS('①在庫を貼る'!$K$6:$K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K$6:$K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K$6:$K$10005,'月1回_2ヶ月前の在庫'!$V$6:$V$10005,'設定'!$C$4,'月1回_2ヶ月前の在庫'!$W$6:$W$10005,$C374)/COUNTIFS('月1回_2ヶ月前の在庫'!$V$6:$V$10005,'設定'!$C$4,'月1回_2ヶ月前の在庫'!$W$6:$W$10005,$C374),0)))))))</f>
        <v/>
      </c>
      <c r="H374">
        <f>IF($C374="","",N(IFERROR(IF(INDEX('商品マスタ'!$G$6:$G$1005,MATCH($C374,'商品マスタ'!$B$6:$B$1005,0))="",IF(COUNTIFS('①在庫を貼る'!$V$6:$V$10005,'設定'!$C$4,'①在庫を貼る'!$W$6:$W$10005,$C374)&gt;0,SUMIFS('①在庫を貼る'!$Q$6:$Q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Q$6:$Q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Q$6:$Q$10005,'月1回_2ヶ月前の在庫'!$V$6:$V$10005,'設定'!$C$4,'月1回_2ヶ月前の在庫'!$W$6:$W$10005,$C374)/COUNTIFS('月1回_2ヶ月前の在庫'!$V$6:$V$10005,'設定'!$C$4,'月1回_2ヶ月前の在庫'!$W$6:$W$10005,$C374),0))),INDEX('商品マスタ'!$G$6:$G$1005,MATCH($C374,'商品マスタ'!$B$6:$B$1005,0))),IF(COUNTIFS('①在庫を貼る'!$V$6:$V$10005,'設定'!$C$4,'①在庫を貼る'!$W$6:$W$10005,$C374)&gt;0,SUMIFS('①在庫を貼る'!$Q$6:$Q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Q$6:$Q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Q$6:$Q$10005,'月1回_2ヶ月前の在庫'!$V$6:$V$10005,'設定'!$C$4,'月1回_2ヶ月前の在庫'!$W$6:$W$10005,$C374)/COUNTIFS('月1回_2ヶ月前の在庫'!$V$6:$V$10005,'設定'!$C$4,'月1回_2ヶ月前の在庫'!$W$6:$W$10005,$C374),0))))))</f>
        <v/>
      </c>
      <c r="I374">
        <f>IF($C374="","",IF(COUNTIFS('①在庫を貼る'!$V$6:$V$10005,'設定'!$C$4,'①在庫を貼る'!$W$6:$W$10005,$C374)=0,"",SUMIFS('①在庫を貼る'!$N$6:$N$10005,'①在庫を貼る'!$V$6:$V$10005,'設定'!$C$4,'①在庫を貼る'!$W$6:$W$10005,$C374)))</f>
        <v/>
      </c>
      <c r="J374">
        <f>IF($C374="","",IF('②発注する'!$AD378="","",'②発注する'!$AD378))</f>
        <v/>
      </c>
      <c r="K374" s="90">
        <f>IF($C374="","",IF('②発注する'!$AE378="","",'②発注する'!$AE378))</f>
        <v/>
      </c>
      <c r="L374">
        <f>IF($C374="","",IF(AND(ISNUMBER($J374),ISNUMBER($K374),$K374&gt;='設定'!$C$6),$J374,N($I374)))</f>
        <v/>
      </c>
      <c r="M374">
        <f>IF($C374="","",IFERROR(IF(N(INDEX('商品マスタ'!$J$6:$J$1005,MATCH($C374,'商品マスタ'!$B$6:$B$1005,0)))&gt;0,INDEX('商品マスタ'!$J$6:$J$1005,MATCH($C374,'商品マスタ'!$B$6:$B$1005,0)),""),""))</f>
        <v/>
      </c>
      <c r="N374">
        <f>IF($C374="","",IFERROR(IF(N(INDEX('商品マスタ'!$H$6:$H$1005,MATCH($C374,'商品マスタ'!$B$6:$B$1005,0)))&gt;0,INDEX('商品マスタ'!$H$6:$H$1005,MATCH($C374,'商品マスタ'!$B$6:$B$1005,0)),""),""))</f>
        <v/>
      </c>
      <c r="O374">
        <f>IF($C374="","",IF($N374&lt;&gt;"",$N374*$G374,IF(N(IF(COUNTIFS('①在庫を貼る'!$V$6:$V$10005,'設定'!$C$4,'①在庫を貼る'!$W$6:$W$10005,$C374)&gt;0,SUMIFS('①在庫を貼る'!$O$6:$O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O$6:$O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O$6:$O$10005,'月1回_2ヶ月前の在庫'!$V$6:$V$10005,'設定'!$C$4,'月1回_2ヶ月前の在庫'!$W$6:$W$10005,$C374)/COUNTIFS('月1回_2ヶ月前の在庫'!$V$6:$V$10005,'設定'!$C$4,'月1回_2ヶ月前の在庫'!$W$6:$W$10005,$C374),0))))&gt;0,N(IF(COUNTIFS('①在庫を貼る'!$V$6:$V$10005,'設定'!$C$4,'①在庫を貼る'!$W$6:$W$10005,$C374)&gt;0,SUMIFS('①在庫を貼る'!$O$6:$O$10005,'①在庫を貼る'!$V$6:$V$10005,'設定'!$C$4,'①在庫を貼る'!$W$6:$W$10005,$C374)/COUNTIFS('①在庫を貼る'!$V$6:$V$10005,'設定'!$C$4,'①在庫を貼る'!$W$6:$W$10005,$C374),IF(COUNTIFS('月1回_1ヶ月前の在庫'!$V$6:$V$10005,'設定'!$C$4,'月1回_1ヶ月前の在庫'!$W$6:$W$10005,$C374)&gt;0,SUMIFS('月1回_1ヶ月前の在庫'!$O$6:$O$10005,'月1回_1ヶ月前の在庫'!$V$6:$V$10005,'設定'!$C$4,'月1回_1ヶ月前の在庫'!$W$6:$W$10005,$C374)/COUNTIFS('月1回_1ヶ月前の在庫'!$V$6:$V$10005,'設定'!$C$4,'月1回_1ヶ月前の在庫'!$W$6:$W$10005,$C374),IF(COUNTIFS('月1回_2ヶ月前の在庫'!$V$6:$V$10005,'設定'!$C$4,'月1回_2ヶ月前の在庫'!$W$6:$W$10005,$C374)&gt;0,SUMIFS('月1回_2ヶ月前の在庫'!$O$6:$O$10005,'月1回_2ヶ月前の在庫'!$V$6:$V$10005,'設定'!$C$4,'月1回_2ヶ月前の在庫'!$W$6:$W$10005,$C374)/COUNTIFS('月1回_2ヶ月前の在庫'!$V$6:$V$10005,'設定'!$C$4,'月1回_2ヶ月前の在庫'!$W$6:$W$10005,$C374),0)))),"")))</f>
        <v/>
      </c>
      <c r="P374" s="90">
        <f>IF($C374="","",IF('②発注する'!$I378="","",'②発注する'!$I378))</f>
        <v/>
      </c>
      <c r="Q374">
        <f>IF($C374="","",IF('②発注する'!$J378="","",'②発注する'!$J378))</f>
        <v/>
      </c>
      <c r="R374">
        <f>IF($C374="",0,IF(AND(ISNUMBER($P374),ISNUMBER($Q374)),MAX(0,$Q374)*$G374,0))</f>
        <v/>
      </c>
      <c r="S374" s="90">
        <f>IF($C374="","",IF('②発注する'!$M378="","",'②発注する'!$M378))</f>
        <v/>
      </c>
      <c r="T374">
        <f>IF($C374="","",IF('②発注する'!$N378="","",'②発注する'!$N378))</f>
        <v/>
      </c>
      <c r="U374">
        <f>IF($C374="",0,IF(AND(ISNUMBER($S374),ISNUMBER($T374)),MAX(0,$T374)*$G374,0))</f>
        <v/>
      </c>
      <c r="V374">
        <f>IF($C374="",0,IF($M374="",0,MAX(0,$M374)*MAX(0,V$4)/100))</f>
        <v/>
      </c>
      <c r="W374">
        <f>IF($C374="",0,IF($M374="",0,MAX(0,$M374)*MAX(0,W$4)/100))</f>
        <v/>
      </c>
      <c r="X374">
        <f>IF($C374="",0,IF($M374="",0,MAX(0,$M374)*MAX(0,X$4)/100))</f>
        <v/>
      </c>
      <c r="Y374">
        <f>IF($C374="",0,IF($M374="",0,MAX(0,$M374)*MAX(0,Y$4)/100))</f>
        <v/>
      </c>
      <c r="Z374">
        <f>IF($C374="",0,IF($M374="",0,MAX(0,$M374)*MAX(0,Z$4)/100))</f>
        <v/>
      </c>
      <c r="AA374">
        <f>IF($C374="",0,IF($M374="",0,MAX(0,$M374)*MAX(0,AA$4)/100))</f>
        <v/>
      </c>
      <c r="AB374">
        <f>IF($C374="",0,IF($M374="",0,MAX(0,$M374)*MAX(0,AB$4)/100))</f>
        <v/>
      </c>
      <c r="AC374">
        <f>IF($C374="",0,IF($M374="",0,MAX(0,$M374)*MAX(0,AC$4)/100))</f>
        <v/>
      </c>
      <c r="AD374">
        <f>IF($C374="",0,IF($M374="",0,MAX(0,$M374)*MAX(0,AD$4)/100))</f>
        <v/>
      </c>
      <c r="AE374">
        <f>IF($C374="",0,IF($M374="",0,MAX(0,$M374)*MAX(0,AE$4)/100))</f>
        <v/>
      </c>
      <c r="AF374">
        <f>IF($C374="",0,IF($M374="",0,MAX(0,$M374)*MAX(0,AF$4)/100))</f>
        <v/>
      </c>
      <c r="AG374">
        <f>IF($C374="",0,IF($M374="",0,MAX(0,$M374)*MAX(0,AG$4)/100))</f>
        <v/>
      </c>
      <c r="AH374">
        <f>IF($C374="",0,IF($M374="",0,MAX(0,$M374)*MAX(0,AH$4)/100))</f>
        <v/>
      </c>
      <c r="AI374">
        <f>IF($C374="",0,IF($M374="",0,MAX(0,$M374)*MAX(0,AI$4)/100))</f>
        <v/>
      </c>
      <c r="AJ374">
        <f>IF($C374="",0,MAX(0,MAX(0,N($L374))-$V374))</f>
        <v/>
      </c>
      <c r="AK374">
        <f>IF($C374="",0,MAX(0,$AJ374-$W374))</f>
        <v/>
      </c>
      <c r="AL374">
        <f>IF($C374="",0,MAX(0,$AK374-$X374))</f>
        <v/>
      </c>
      <c r="AM374">
        <f>IF($C374="",0,MAX(0,$AL374-$Y374))</f>
        <v/>
      </c>
      <c r="AN374">
        <f>IF($C374="",0,MAX(0,$AM374-$Z374))</f>
        <v/>
      </c>
      <c r="AO374">
        <f>IF($C374="",0,MAX(0,$AN374-$AA374))</f>
        <v/>
      </c>
      <c r="AP374">
        <f>IF($C374="",0,MAX(0,$AO374-$AB374))</f>
        <v/>
      </c>
      <c r="AQ374">
        <f>IF($C374="",0,MAX(0,$AP374-$AC374))</f>
        <v/>
      </c>
      <c r="AR374">
        <f>IF($C374="",0,MAX(0,$AQ374-$AD374))</f>
        <v/>
      </c>
      <c r="AS374">
        <f>IF($C374="",0,MAX(0,$AR374-$AE374))</f>
        <v/>
      </c>
      <c r="AT374">
        <f>IF($C374="",0,MAX(0,$AS374-$AF374))</f>
        <v/>
      </c>
      <c r="AU374">
        <f>IF($C374="",0,MAX(0,$AT374-$AG374))</f>
        <v/>
      </c>
      <c r="AV374">
        <f>IF($C374="",0,MAX(0,$AU374-$AH374))</f>
        <v/>
      </c>
      <c r="AW374">
        <f>IF($C374="",0,MAX(0,$AV374-$AI374))</f>
        <v/>
      </c>
      <c r="AX374">
        <f>IF($C374="",0,MAX(0,MAX(0,N($L374))+IF($P374=V$3,$R374,0)+IF($S374=V$3,$U374,0)-$V374))</f>
        <v/>
      </c>
      <c r="AY374">
        <f>IF($C374="",0,MAX(0,$AX374+IF($P374=W$3,$R374,0)+IF($S374=W$3,$U374,0)-$W374))</f>
        <v/>
      </c>
      <c r="AZ374">
        <f>IF($C374="",0,MAX(0,$AY374+IF($P374=X$3,$R374,0)+IF($S374=X$3,$U374,0)-$X374))</f>
        <v/>
      </c>
      <c r="BA374">
        <f>IF($C374="",0,MAX(0,$AZ374+IF($P374=Y$3,$R374,0)+IF($S374=Y$3,$U374,0)-$Y374))</f>
        <v/>
      </c>
      <c r="BB374">
        <f>IF($C374="",0,MAX(0,$BA374+IF($P374=Z$3,$R374,0)+IF($S374=Z$3,$U374,0)-$Z374))</f>
        <v/>
      </c>
      <c r="BC374">
        <f>IF($C374="",0,MAX(0,$BB374+IF($P374=AA$3,$R374,0)+IF($S374=AA$3,$U374,0)-$AA374))</f>
        <v/>
      </c>
      <c r="BD374">
        <f>IF($C374="",0,MAX(0,$BC374+IF($P374=AB$3,$R374,0)+IF($S374=AB$3,$U374,0)-$AB374))</f>
        <v/>
      </c>
      <c r="BE374">
        <f>IF($C374="",0,MAX(0,$BD374+IF($P374=AC$3,$R374,0)+IF($S374=AC$3,$U374,0)-$AC374))</f>
        <v/>
      </c>
      <c r="BF374">
        <f>IF($C374="",0,MAX(0,$BE374+IF($P374=AD$3,$R374,0)+IF($S374=AD$3,$U374,0)-$AD374))</f>
        <v/>
      </c>
      <c r="BG374">
        <f>IF($C374="",0,MAX(0,$BF374+IF($P374=AE$3,$R374,0)+IF($S374=AE$3,$U374,0)-$AE374))</f>
        <v/>
      </c>
      <c r="BH374">
        <f>IF($C374="",0,MAX(0,$BG374+IF($P374=AF$3,$R374,0)+IF($S374=AF$3,$U374,0)-$AF374))</f>
        <v/>
      </c>
      <c r="BI374">
        <f>IF($C374="",0,MAX(0,$BH374+IF($P374=AG$3,$R374,0)+IF($S374=AG$3,$U374,0)-$AG374))</f>
        <v/>
      </c>
      <c r="BJ374">
        <f>IF($C374="",0,MAX(0,$BI374+IF($P374=AH$3,$R374,0)+IF($S374=AH$3,$U374,0)-$AH374))</f>
        <v/>
      </c>
      <c r="BK374">
        <f>IF($C374="",0,MAX(0,$BJ374+IF($P374=AI$3,$R374,0)+IF($S374=AI$3,$U374,0)-$AI374))</f>
        <v/>
      </c>
      <c r="BL374">
        <f>IF($C374="",99,IF(AND($AX374&lt;1,V$3&gt;=MAX(N($P374),N($S374))),0,99))</f>
        <v/>
      </c>
      <c r="BM374">
        <f>IF($C374="",99,IF(AND($AY374&lt;1,W$3&gt;=MAX(N($P374),N($S374))),1,99))</f>
        <v/>
      </c>
      <c r="BN374">
        <f>IF($C374="",99,IF(AND($AZ374&lt;1,X$3&gt;=MAX(N($P374),N($S374))),2,99))</f>
        <v/>
      </c>
      <c r="BO374">
        <f>IF($C374="",99,IF(AND($BA374&lt;1,Y$3&gt;=MAX(N($P374),N($S374))),3,99))</f>
        <v/>
      </c>
      <c r="BP374">
        <f>IF($C374="",99,IF(AND($BB374&lt;1,Z$3&gt;=MAX(N($P374),N($S374))),4,99))</f>
        <v/>
      </c>
      <c r="BQ374">
        <f>IF($C374="",99,IF(AND($BC374&lt;1,AA$3&gt;=MAX(N($P374),N($S374))),5,99))</f>
        <v/>
      </c>
      <c r="BR374">
        <f>IF($C374="",99,IF(AND($BD374&lt;1,AB$3&gt;=MAX(N($P374),N($S374))),6,99))</f>
        <v/>
      </c>
      <c r="BS374">
        <f>IF($C374="",99,IF(AND($BE374&lt;1,AC$3&gt;=MAX(N($P374),N($S374))),7,99))</f>
        <v/>
      </c>
      <c r="BT374">
        <f>IF($C374="",99,IF(AND($BF374&lt;1,AD$3&gt;=MAX(N($P374),N($S374))),8,99))</f>
        <v/>
      </c>
      <c r="BU374">
        <f>IF($C374="",99,IF(AND($BG374&lt;1,AE$3&gt;=MAX(N($P374),N($S374))),9,99))</f>
        <v/>
      </c>
      <c r="BV374">
        <f>IF($C374="",99,IF(AND($BH374&lt;1,AF$3&gt;=MAX(N($P374),N($S374))),10,99))</f>
        <v/>
      </c>
      <c r="BW374">
        <f>IF($C374="",99,IF(AND($BI374&lt;1,AG$3&gt;=MAX(N($P374),N($S374))),11,99))</f>
        <v/>
      </c>
      <c r="BX374">
        <f>IF($C374="",99,IF(AND($BJ374&lt;1,AH$3&gt;=MAX(N($P374),N($S374))),12,99))</f>
        <v/>
      </c>
      <c r="BY374">
        <f>IF($C374="",99,IF(AND($BK374&lt;1,AI$3&gt;=MAX(N($P374),N($S374))),13,99))</f>
        <v/>
      </c>
      <c r="BZ374">
        <f>IF(OR($C374="",$M374=""),"",COUNTIF($AJ374:$AW374,"&gt;=1"))</f>
        <v/>
      </c>
      <c r="CA374" s="90">
        <f>IF($BZ374="","",IF($BZ374&gt;=14,"",'設定'!$C$6+$BZ374))</f>
        <v/>
      </c>
      <c r="CB374">
        <f>IF(OR($C374="",$M374=""),"",MIN($BL374:$BY374))</f>
        <v/>
      </c>
      <c r="CC374" s="90">
        <f>IF($CB374="","",IF($CB374&gt;=99,"",'設定'!$C$6+$CB374))</f>
        <v/>
      </c>
      <c r="CD374">
        <f>IF(OR($C374="",$M374=""),"",AVERAGE($V374:$AI374))</f>
        <v/>
      </c>
      <c r="CE374">
        <f>IF($C374="","",IFERROR(IF(MATCH(IF(ISNUMBER($P374),$P374,'設定'!$C$6+N('設定'!$C$7)),$V$3:$AI$3,0)=1,MAX(0,N($L374)),INDEX($AJ374:$AW374,MATCH(IF(ISNUMBER($P374),$P374,'設定'!$C$6+N('設定'!$C$7)),$V$3:$AI$3,0)-1)),""))</f>
        <v/>
      </c>
      <c r="CF374">
        <f>IF(OR($C374="",$O374="",$CE374=""),"",IF($O374-$CE374&lt;=0,0,ROUNDUP(($O374-$CE374)/$G374,0)))</f>
        <v/>
      </c>
      <c r="CG374">
        <f>IF(OR($C374="",$CF374="",NOT(ISNUMBER($Q374))),0,MAX(0,$Q374-$CF374))</f>
        <v/>
      </c>
      <c r="CH374">
        <f>IF(OR($C374="",$O374="",$U374=0),0,IFERROR(ROUNDUP(MAX(0,IF(MATCH($S374,$V$3:$AI$3,0)=1,MAX(0,N($L374)),INDEX($AX374:$BK374,MATCH($S374,$V$3:$AI$3,0)-1))+$U374-$O374)/$G374,0),0))</f>
        <v/>
      </c>
      <c r="CI374">
        <f>IF($C374="","",IF(AND($P374="",$Q374=""),"",IF($P374="","⚠ 入庫日を ▼ から選んでください",IF(NOT(ISNUMBER($P374)),"⚠ 入庫日は ▼ から選んでください",IF($P374&lt;N('設定'!$C$6),"⚠ 入庫日が過去です（もう在庫に入っています）→ 消してください",IF($P374&gt;N('設定'!$C$6)+13,"⚠ 入庫日が14日より先です",IF(N($Q374)&lt;=0,"⚠ 入庫数を入れてください",IF($CG374&gt;0,"⚠ 目安より "&amp;$CG374&amp;" 多い（定数を超える）→ 減らす",""))))))))</f>
        <v/>
      </c>
      <c r="CJ374">
        <f>IF($C374="","",IF(AND($S374="",$T374=""),"",IF($S374="","⚠ 2便目：入庫日を ▼ から選んでください",IF(NOT(ISNUMBER($S374)),"⚠ 2便目：入庫日は ▼ から選んでください",IF($S374&lt;N('設定'!$C$6),"⚠ 2便目：入庫日が過去です（もう在庫に入っています）→ 消してください",IF($S374&gt;N('設定'!$C$6)+13,"⚠ 2便目：入庫日が14日より先です",IF(N($T374)&lt;=0,"⚠ 2便目：入庫数を入れてください",IF($CH374&gt;0,"⚠ 2便目：定数を "&amp;$CH374&amp;" ケース超える → 減らす",""))))))))</f>
        <v/>
      </c>
      <c r="CK374">
        <f>IF(AND($CI374="",N($Q374)&gt;0,ISNUMBER($P374)),1,0)</f>
        <v/>
      </c>
      <c r="CL374">
        <f>IF(AND($CJ374="",N($T374)&gt;0,ISNUMBER($S374)),1,0)</f>
        <v/>
      </c>
      <c r="CM374">
        <f>IF(OR($CK374=1,$CL374=1),1,0)</f>
        <v/>
      </c>
      <c r="CN374">
        <f>IF($C374="",0,($CK374*$R374+$CL374*$U374)*N($H374))</f>
        <v/>
      </c>
      <c r="CO374">
        <f>IF($C374="","",IF($CC374="","入庫後は 14日以上もつ",IF($CC374-N('設定'!$C$7)&lt;='設定'!$C$6,"入庫後も "&amp;TEXT($CC374,"m/d")&amp;"("&amp;CHOOSE(WEEKDAY($CC374),"日","月","火","水","木","金","土")&amp;")"&amp;" に切れる　もう1便を至急発注","入庫後も "&amp;TEXT($CC374,"m/d")&amp;"("&amp;CHOOSE(WEEKDAY($CC374),"日","月","火","水","木","金","土")&amp;")"&amp;" に切れる　"&amp;TEXT($CC374-N('設定'!$C$7),"m/d")&amp;"("&amp;CHOOSE(WEEKDAY($CC374-N('設定'!$C$7)),"日","月","火","水","木","金","土")&amp;")"&amp;" までに次を発注")))</f>
        <v/>
      </c>
      <c r="CP374">
        <f>IF($C374="","",IF('設定'!$C$6="","？ ①在庫を貼る に今日のCSVが貼られていない",IF($CS374=1,"－ 今日のCSVに無い（終売？）",IF($L374&lt;0,"● 在庫がマイナス　数えて「数えた在庫」に入れる",IF($L374=0,"● 在庫なし　至急発注",IF($M374="","？ 減り数が未設定（商品マスタ）",IF($B$3=0,"？ 動員が未入力（動員を入れる）",IF($CA374="","○ 14日以上もつ",IF($BZ374&lt;N('設定'!$C$7),"● "&amp;TEXT($CA374,"m/d")&amp;"("&amp;CHOOSE(WEEKDAY($CA374),"日","月","火","水","木","金","土")&amp;")"&amp;" に切れる　至急発注",IF($BZ374=N('設定'!$C$7),"● "&amp;TEXT($CA374,"m/d")&amp;"("&amp;CHOOSE(WEEKDAY($CA374),"日","月","火","水","木","金","土")&amp;")"&amp;" に切れる　今日発注","△ "&amp;TEXT($CA374,"m/d")&amp;"("&amp;CHOOSE(WEEKDAY($CA374),"日","月","火","水","木","金","土")&amp;")"&amp;" に切れる　"&amp;TEXT($CA374-N('設定'!$C$7),"m/d")&amp;"("&amp;CHOOSE(WEEKDAY($CA374-N('設定'!$C$7)),"日","月","火","水","木","金","土")&amp;")"&amp;" までに発注"))))))))))</f>
        <v/>
      </c>
      <c r="CQ374">
        <f>IF($C374="","",IF(AND($P374="",$Q374="",$S374="",$T374=""),"",IF(AND($P374="",$Q374=""),"⚠ 先に1便目（左の入庫日・入庫数）に入れてください",IF($CI374&lt;&gt;"",$CI374,IF($CJ374&lt;&gt;"",$CJ374,IF($M374="","？ 減り数が未設定（発注書には載ります）",IF($B$3=0,"？ 動員が未入力（発注書には載ります）",IF(AND($CA374&lt;&gt;"",$P374&gt;$CA374),IF($P374&gt;'設定'!$C$6+N('設定'!$C$7),"● "&amp;TEXT($P374,"m/d")&amp;"("&amp;CHOOSE(WEEKDAY($P374),"日","月","火","水","木","金","土")&amp;")"&amp;" の入庫では間に合わない（"&amp;TEXT($CA374,"m/d")&amp;"("&amp;CHOOSE(WEEKDAY($CA374),"日","月","火","水","木","金","土")&amp;")"&amp;" に切れる）　入庫日を早める","△ 欠品 "&amp;TEXT($CA374,"m/d")&amp;"("&amp;CHOOSE(WEEKDAY($CA374),"日","月","火","水","木","金","土")&amp;")"&amp;"〜"&amp;TEXT($P374-1,"m/d")&amp;"("&amp;CHOOSE(WEEKDAY($P374-1),"日","月","火","水","木","金","土")&amp;")"&amp;"　"&amp;$CO374),IF($CC374="","○ "&amp;TEXT($P374,"m/d")&amp;"("&amp;CHOOSE(WEEKDAY($P374),"日","月","火","水","木","金","土")&amp;")"&amp;" 入庫で 14日以上もつ",IF($CC374-N('設定'!$C$7)&lt;='設定'!$C$6,"● 入庫しても "&amp;TEXT($CC374,"m/d")&amp;"("&amp;CHOOSE(WEEKDAY($CC374),"日","月","火","水","木","金","土")&amp;")"&amp;" に切れる　もう1便を至急発注（2便目に入れる）","△ 入庫しても "&amp;TEXT($CC374,"m/d")&amp;"("&amp;CHOOSE(WEEKDAY($CC374),"日","月","火","水","木","金","土")&amp;")"&amp;" に切れる　"&amp;TEXT($CC374-N('設定'!$C$7),"m/d")&amp;"("&amp;CHOOSE(WEEKDAY($CC374-N('設定'!$C$7)),"日","月","火","水","木","金","土")&amp;")"&amp;" までに次を発注（2便目に入れる）"))))))))))</f>
        <v/>
      </c>
      <c r="CR374">
        <f>IF($C374="","",IF($G374&gt;1,"ｹｰｽ("&amp;$G374&amp;"入)","個"))</f>
        <v/>
      </c>
      <c r="CS374">
        <f>IF($C374="",0,IF(COUNTIFS('①在庫を貼る'!$V$6:$V$10005,'設定'!$C$4,'①在庫を貼る'!$W$6:$W$10005,$C374)=0,1,0))</f>
        <v/>
      </c>
      <c r="CT374">
        <f>IF(AND($CK374=1,OR('③発注書'!$C$4="すべて",'③発注書'!$C$4="",$F374='③発注書'!$C$4)),N($CT373)+1,N($CT373))</f>
        <v/>
      </c>
      <c r="CU374">
        <f>IF(AND($CL374=1,OR('③発注書'!$C$4="すべて",'③発注書'!$C$4="",$F374='③発注書'!$C$4)),N($CU373)+1,N($CU373))</f>
        <v/>
      </c>
      <c r="CV374">
        <f>IF($C374="",0,IF(COUNTIFS('①在庫を貼る'!$V$6:$V$10005,'設定'!$C$4,'①在庫を貼る'!$W$6:$W$10005,$C374)&gt;0,1,0))</f>
        <v/>
      </c>
      <c r="CW374">
        <f>IF($C374="",0,IF(COUNTIFS('月1回_1ヶ月前の在庫'!$V$6:$V$10005,'設定'!$C$4,'月1回_1ヶ月前の在庫'!$W$6:$W$10005,$C374)&gt;0,1,0))</f>
        <v/>
      </c>
      <c r="CX374">
        <f>IF($C374="",0,IF(COUNTIFS('月1回_2ヶ月前の在庫'!$V$6:$V$10005,'設定'!$C$4,'月1回_2ヶ月前の在庫'!$W$6:$W$10005,$C374)&gt;0,1,0))</f>
        <v/>
      </c>
      <c r="CY374">
        <f>IF(OR($C374="",'設定'!$C$12=""),"",IF('設定'!$C$13="",IF(AND($CV374=1,$CW374=0),"新商品（今月から）",IF(AND($CV374=0,$CW374=1),"終売（今月から）","")),IF(AND($CV374=1,$CW374=0,$CX374=0),"新商品（今月から）",IF(AND($CV374=1,$CW374=1,$CX374=0),"新商品（先月から）",IF(AND($CV374=0,$CW374=1,$CX374=1),"終売（今月から）",IF(AND($CV374=0,$CW374=0,$CX374=1),"終売（先月から）",IF(AND($CV374=1,$CW374=0,$CX374=1),"復活（先月は無し）","")))))))</f>
        <v/>
      </c>
    </row>
    <row r="375">
      <c r="B375">
        <f>IF(370&lt;='設定'!$C$11,370,"")</f>
        <v/>
      </c>
      <c r="C375">
        <f>IF($B375="","",IF($B375&lt;='設定'!$C$20,INDEX('商品マスタ'!$B$6:$B$1005,MATCH($B375,'商品マスタ'!$M$6:$M$1005,0)),IF($B375&lt;='設定'!$C$20+'設定'!$C$17,INDEX('①在庫を貼る'!$W$6:$W$10005,MATCH($B375-'設定'!$C$20,'①在庫を貼る'!$U$6:$U$10005,0)),IF($B375&lt;='設定'!$C$20+'設定'!$C$17+'設定'!$C$18,INDEX('月1回_1ヶ月前の在庫'!$W$6:$W$10005,MATCH($B375-'設定'!$C$20-'設定'!$C$17,'月1回_1ヶ月前の在庫'!$U$6:$U$10005,0)),INDEX('月1回_2ヶ月前の在庫'!$W$6:$W$10005,MATCH($B375-'設定'!$C$20-'設定'!$C$17-'設定'!$C$18,'月1回_2ヶ月前の在庫'!$U$6:$U$10005,0))))))</f>
        <v/>
      </c>
      <c r="D375">
        <f>IF($C375="","",IFERROR(IF(INDEX('商品マスタ'!$C$6:$C$1005,MATCH($C375,'商品マスタ'!$B$6:$B$1005,0))="",IFERROR(INDEX('①在庫を貼る'!$J$6:$J$10005,MATCH($C375,'①在庫を貼る'!$W$6:$W$10005,0)),IFERROR(INDEX('月1回_1ヶ月前の在庫'!$J$6:$J$10005,MATCH($C375,'月1回_1ヶ月前の在庫'!$W$6:$W$10005,0)),IFERROR(INDEX('月1回_2ヶ月前の在庫'!$J$6:$J$10005,MATCH($C375,'月1回_2ヶ月前の在庫'!$W$6:$W$10005,0)),""))),INDEX('商品マスタ'!$C$6:$C$1005,MATCH($C375,'商品マスタ'!$B$6:$B$1005,0))),IFERROR(INDEX('①在庫を貼る'!$J$6:$J$10005,MATCH($C375,'①在庫を貼る'!$W$6:$W$10005,0)),IFERROR(INDEX('月1回_1ヶ月前の在庫'!$J$6:$J$10005,MATCH($C375,'月1回_1ヶ月前の在庫'!$W$6:$W$10005,0)),IFERROR(INDEX('月1回_2ヶ月前の在庫'!$J$6:$J$10005,MATCH($C375,'月1回_2ヶ月前の在庫'!$W$6:$W$10005,0)),"")))))</f>
        <v/>
      </c>
      <c r="E375">
        <f>IF($C375="","",IFERROR(IF(INDEX('商品マスタ'!$D$6:$D$1005,MATCH($C375,'商品マスタ'!$B$6:$B$1005,0))="",IFERROR(INDEX('①在庫を貼る'!$H$6:$H$10005,MATCH($C375,'①在庫を貼る'!$W$6:$W$10005,0)),IFERROR(INDEX('月1回_1ヶ月前の在庫'!$H$6:$H$10005,MATCH($C375,'月1回_1ヶ月前の在庫'!$W$6:$W$10005,0)),IFERROR(INDEX('月1回_2ヶ月前の在庫'!$H$6:$H$10005,MATCH($C375,'月1回_2ヶ月前の在庫'!$W$6:$W$10005,0)),""))),INDEX('商品マスタ'!$D$6:$D$1005,MATCH($C375,'商品マスタ'!$B$6:$B$1005,0))),IFERROR(INDEX('①在庫を貼る'!$H$6:$H$10005,MATCH($C375,'①在庫を貼る'!$W$6:$W$10005,0)),IFERROR(INDEX('月1回_1ヶ月前の在庫'!$H$6:$H$10005,MATCH($C375,'月1回_1ヶ月前の在庫'!$W$6:$W$10005,0)),IFERROR(INDEX('月1回_2ヶ月前の在庫'!$H$6:$H$10005,MATCH($C375,'月1回_2ヶ月前の在庫'!$W$6:$W$10005,0)),"")))))</f>
        <v/>
      </c>
      <c r="F375">
        <f>IF($C375="","",IFERROR(IF(INDEX('商品マスタ'!$E$6:$E$1005,MATCH($C375,'商品マスタ'!$B$6:$B$1005,0))="",IFERROR(INDEX('①在庫を貼る'!$E$6:$E$10005,MATCH($C375,'①在庫を貼る'!$W$6:$W$10005,0)),IFERROR(INDEX('月1回_1ヶ月前の在庫'!$E$6:$E$10005,MATCH($C375,'月1回_1ヶ月前の在庫'!$W$6:$W$10005,0)),IFERROR(INDEX('月1回_2ヶ月前の在庫'!$E$6:$E$10005,MATCH($C375,'月1回_2ヶ月前の在庫'!$W$6:$W$10005,0)),""))),INDEX('商品マスタ'!$E$6:$E$1005,MATCH($C375,'商品マスタ'!$B$6:$B$1005,0))),IFERROR(INDEX('①在庫を貼る'!$E$6:$E$10005,MATCH($C375,'①在庫を貼る'!$W$6:$W$10005,0)),IFERROR(INDEX('月1回_1ヶ月前の在庫'!$E$6:$E$10005,MATCH($C375,'月1回_1ヶ月前の在庫'!$W$6:$W$10005,0)),IFERROR(INDEX('月1回_2ヶ月前の在庫'!$E$6:$E$10005,MATCH($C375,'月1回_2ヶ月前の在庫'!$W$6:$W$10005,0)),"")))))</f>
        <v/>
      </c>
      <c r="G375">
        <f>IF($C375="","",MAX(1,N(IFERROR(IF(INDEX('商品マスタ'!$F$6:$F$1005,MATCH($C375,'商品マスタ'!$B$6:$B$1005,0))="",IF(COUNTIFS('①在庫を貼る'!$V$6:$V$10005,'設定'!$C$4,'①在庫を貼る'!$W$6:$W$10005,$C375)&gt;0,SUMIFS('①在庫を貼る'!$K$6:$K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K$6:$K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K$6:$K$10005,'月1回_2ヶ月前の在庫'!$V$6:$V$10005,'設定'!$C$4,'月1回_2ヶ月前の在庫'!$W$6:$W$10005,$C375)/COUNTIFS('月1回_2ヶ月前の在庫'!$V$6:$V$10005,'設定'!$C$4,'月1回_2ヶ月前の在庫'!$W$6:$W$10005,$C375),0))),INDEX('商品マスタ'!$F$6:$F$1005,MATCH($C375,'商品マスタ'!$B$6:$B$1005,0))),IF(COUNTIFS('①在庫を貼る'!$V$6:$V$10005,'設定'!$C$4,'①在庫を貼る'!$W$6:$W$10005,$C375)&gt;0,SUMIFS('①在庫を貼る'!$K$6:$K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K$6:$K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K$6:$K$10005,'月1回_2ヶ月前の在庫'!$V$6:$V$10005,'設定'!$C$4,'月1回_2ヶ月前の在庫'!$W$6:$W$10005,$C375)/COUNTIFS('月1回_2ヶ月前の在庫'!$V$6:$V$10005,'設定'!$C$4,'月1回_2ヶ月前の在庫'!$W$6:$W$10005,$C375),0)))))))</f>
        <v/>
      </c>
      <c r="H375">
        <f>IF($C375="","",N(IFERROR(IF(INDEX('商品マスタ'!$G$6:$G$1005,MATCH($C375,'商品マスタ'!$B$6:$B$1005,0))="",IF(COUNTIFS('①在庫を貼る'!$V$6:$V$10005,'設定'!$C$4,'①在庫を貼る'!$W$6:$W$10005,$C375)&gt;0,SUMIFS('①在庫を貼る'!$Q$6:$Q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Q$6:$Q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Q$6:$Q$10005,'月1回_2ヶ月前の在庫'!$V$6:$V$10005,'設定'!$C$4,'月1回_2ヶ月前の在庫'!$W$6:$W$10005,$C375)/COUNTIFS('月1回_2ヶ月前の在庫'!$V$6:$V$10005,'設定'!$C$4,'月1回_2ヶ月前の在庫'!$W$6:$W$10005,$C375),0))),INDEX('商品マスタ'!$G$6:$G$1005,MATCH($C375,'商品マスタ'!$B$6:$B$1005,0))),IF(COUNTIFS('①在庫を貼る'!$V$6:$V$10005,'設定'!$C$4,'①在庫を貼る'!$W$6:$W$10005,$C375)&gt;0,SUMIFS('①在庫を貼る'!$Q$6:$Q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Q$6:$Q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Q$6:$Q$10005,'月1回_2ヶ月前の在庫'!$V$6:$V$10005,'設定'!$C$4,'月1回_2ヶ月前の在庫'!$W$6:$W$10005,$C375)/COUNTIFS('月1回_2ヶ月前の在庫'!$V$6:$V$10005,'設定'!$C$4,'月1回_2ヶ月前の在庫'!$W$6:$W$10005,$C375),0))))))</f>
        <v/>
      </c>
      <c r="I375">
        <f>IF($C375="","",IF(COUNTIFS('①在庫を貼る'!$V$6:$V$10005,'設定'!$C$4,'①在庫を貼る'!$W$6:$W$10005,$C375)=0,"",SUMIFS('①在庫を貼る'!$N$6:$N$10005,'①在庫を貼る'!$V$6:$V$10005,'設定'!$C$4,'①在庫を貼る'!$W$6:$W$10005,$C375)))</f>
        <v/>
      </c>
      <c r="J375">
        <f>IF($C375="","",IF('②発注する'!$AD379="","",'②発注する'!$AD379))</f>
        <v/>
      </c>
      <c r="K375" s="90">
        <f>IF($C375="","",IF('②発注する'!$AE379="","",'②発注する'!$AE379))</f>
        <v/>
      </c>
      <c r="L375">
        <f>IF($C375="","",IF(AND(ISNUMBER($J375),ISNUMBER($K375),$K375&gt;='設定'!$C$6),$J375,N($I375)))</f>
        <v/>
      </c>
      <c r="M375">
        <f>IF($C375="","",IFERROR(IF(N(INDEX('商品マスタ'!$J$6:$J$1005,MATCH($C375,'商品マスタ'!$B$6:$B$1005,0)))&gt;0,INDEX('商品マスタ'!$J$6:$J$1005,MATCH($C375,'商品マスタ'!$B$6:$B$1005,0)),""),""))</f>
        <v/>
      </c>
      <c r="N375">
        <f>IF($C375="","",IFERROR(IF(N(INDEX('商品マスタ'!$H$6:$H$1005,MATCH($C375,'商品マスタ'!$B$6:$B$1005,0)))&gt;0,INDEX('商品マスタ'!$H$6:$H$1005,MATCH($C375,'商品マスタ'!$B$6:$B$1005,0)),""),""))</f>
        <v/>
      </c>
      <c r="O375">
        <f>IF($C375="","",IF($N375&lt;&gt;"",$N375*$G375,IF(N(IF(COUNTIFS('①在庫を貼る'!$V$6:$V$10005,'設定'!$C$4,'①在庫を貼る'!$W$6:$W$10005,$C375)&gt;0,SUMIFS('①在庫を貼る'!$O$6:$O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O$6:$O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O$6:$O$10005,'月1回_2ヶ月前の在庫'!$V$6:$V$10005,'設定'!$C$4,'月1回_2ヶ月前の在庫'!$W$6:$W$10005,$C375)/COUNTIFS('月1回_2ヶ月前の在庫'!$V$6:$V$10005,'設定'!$C$4,'月1回_2ヶ月前の在庫'!$W$6:$W$10005,$C375),0))))&gt;0,N(IF(COUNTIFS('①在庫を貼る'!$V$6:$V$10005,'設定'!$C$4,'①在庫を貼る'!$W$6:$W$10005,$C375)&gt;0,SUMIFS('①在庫を貼る'!$O$6:$O$10005,'①在庫を貼る'!$V$6:$V$10005,'設定'!$C$4,'①在庫を貼る'!$W$6:$W$10005,$C375)/COUNTIFS('①在庫を貼る'!$V$6:$V$10005,'設定'!$C$4,'①在庫を貼る'!$W$6:$W$10005,$C375),IF(COUNTIFS('月1回_1ヶ月前の在庫'!$V$6:$V$10005,'設定'!$C$4,'月1回_1ヶ月前の在庫'!$W$6:$W$10005,$C375)&gt;0,SUMIFS('月1回_1ヶ月前の在庫'!$O$6:$O$10005,'月1回_1ヶ月前の在庫'!$V$6:$V$10005,'設定'!$C$4,'月1回_1ヶ月前の在庫'!$W$6:$W$10005,$C375)/COUNTIFS('月1回_1ヶ月前の在庫'!$V$6:$V$10005,'設定'!$C$4,'月1回_1ヶ月前の在庫'!$W$6:$W$10005,$C375),IF(COUNTIFS('月1回_2ヶ月前の在庫'!$V$6:$V$10005,'設定'!$C$4,'月1回_2ヶ月前の在庫'!$W$6:$W$10005,$C375)&gt;0,SUMIFS('月1回_2ヶ月前の在庫'!$O$6:$O$10005,'月1回_2ヶ月前の在庫'!$V$6:$V$10005,'設定'!$C$4,'月1回_2ヶ月前の在庫'!$W$6:$W$10005,$C375)/COUNTIFS('月1回_2ヶ月前の在庫'!$V$6:$V$10005,'設定'!$C$4,'月1回_2ヶ月前の在庫'!$W$6:$W$10005,$C375),0)))),"")))</f>
        <v/>
      </c>
      <c r="P375" s="90">
        <f>IF($C375="","",IF('②発注する'!$I379="","",'②発注する'!$I379))</f>
        <v/>
      </c>
      <c r="Q375">
        <f>IF($C375="","",IF('②発注する'!$J379="","",'②発注する'!$J379))</f>
        <v/>
      </c>
      <c r="R375">
        <f>IF($C375="",0,IF(AND(ISNUMBER($P375),ISNUMBER($Q375)),MAX(0,$Q375)*$G375,0))</f>
        <v/>
      </c>
      <c r="S375" s="90">
        <f>IF($C375="","",IF('②発注する'!$M379="","",'②発注する'!$M379))</f>
        <v/>
      </c>
      <c r="T375">
        <f>IF($C375="","",IF('②発注する'!$N379="","",'②発注する'!$N379))</f>
        <v/>
      </c>
      <c r="U375">
        <f>IF($C375="",0,IF(AND(ISNUMBER($S375),ISNUMBER($T375)),MAX(0,$T375)*$G375,0))</f>
        <v/>
      </c>
      <c r="V375">
        <f>IF($C375="",0,IF($M375="",0,MAX(0,$M375)*MAX(0,V$4)/100))</f>
        <v/>
      </c>
      <c r="W375">
        <f>IF($C375="",0,IF($M375="",0,MAX(0,$M375)*MAX(0,W$4)/100))</f>
        <v/>
      </c>
      <c r="X375">
        <f>IF($C375="",0,IF($M375="",0,MAX(0,$M375)*MAX(0,X$4)/100))</f>
        <v/>
      </c>
      <c r="Y375">
        <f>IF($C375="",0,IF($M375="",0,MAX(0,$M375)*MAX(0,Y$4)/100))</f>
        <v/>
      </c>
      <c r="Z375">
        <f>IF($C375="",0,IF($M375="",0,MAX(0,$M375)*MAX(0,Z$4)/100))</f>
        <v/>
      </c>
      <c r="AA375">
        <f>IF($C375="",0,IF($M375="",0,MAX(0,$M375)*MAX(0,AA$4)/100))</f>
        <v/>
      </c>
      <c r="AB375">
        <f>IF($C375="",0,IF($M375="",0,MAX(0,$M375)*MAX(0,AB$4)/100))</f>
        <v/>
      </c>
      <c r="AC375">
        <f>IF($C375="",0,IF($M375="",0,MAX(0,$M375)*MAX(0,AC$4)/100))</f>
        <v/>
      </c>
      <c r="AD375">
        <f>IF($C375="",0,IF($M375="",0,MAX(0,$M375)*MAX(0,AD$4)/100))</f>
        <v/>
      </c>
      <c r="AE375">
        <f>IF($C375="",0,IF($M375="",0,MAX(0,$M375)*MAX(0,AE$4)/100))</f>
        <v/>
      </c>
      <c r="AF375">
        <f>IF($C375="",0,IF($M375="",0,MAX(0,$M375)*MAX(0,AF$4)/100))</f>
        <v/>
      </c>
      <c r="AG375">
        <f>IF($C375="",0,IF($M375="",0,MAX(0,$M375)*MAX(0,AG$4)/100))</f>
        <v/>
      </c>
      <c r="AH375">
        <f>IF($C375="",0,IF($M375="",0,MAX(0,$M375)*MAX(0,AH$4)/100))</f>
        <v/>
      </c>
      <c r="AI375">
        <f>IF($C375="",0,IF($M375="",0,MAX(0,$M375)*MAX(0,AI$4)/100))</f>
        <v/>
      </c>
      <c r="AJ375">
        <f>IF($C375="",0,MAX(0,MAX(0,N($L375))-$V375))</f>
        <v/>
      </c>
      <c r="AK375">
        <f>IF($C375="",0,MAX(0,$AJ375-$W375))</f>
        <v/>
      </c>
      <c r="AL375">
        <f>IF($C375="",0,MAX(0,$AK375-$X375))</f>
        <v/>
      </c>
      <c r="AM375">
        <f>IF($C375="",0,MAX(0,$AL375-$Y375))</f>
        <v/>
      </c>
      <c r="AN375">
        <f>IF($C375="",0,MAX(0,$AM375-$Z375))</f>
        <v/>
      </c>
      <c r="AO375">
        <f>IF($C375="",0,MAX(0,$AN375-$AA375))</f>
        <v/>
      </c>
      <c r="AP375">
        <f>IF($C375="",0,MAX(0,$AO375-$AB375))</f>
        <v/>
      </c>
      <c r="AQ375">
        <f>IF($C375="",0,MAX(0,$AP375-$AC375))</f>
        <v/>
      </c>
      <c r="AR375">
        <f>IF($C375="",0,MAX(0,$AQ375-$AD375))</f>
        <v/>
      </c>
      <c r="AS375">
        <f>IF($C375="",0,MAX(0,$AR375-$AE375))</f>
        <v/>
      </c>
      <c r="AT375">
        <f>IF($C375="",0,MAX(0,$AS375-$AF375))</f>
        <v/>
      </c>
      <c r="AU375">
        <f>IF($C375="",0,MAX(0,$AT375-$AG375))</f>
        <v/>
      </c>
      <c r="AV375">
        <f>IF($C375="",0,MAX(0,$AU375-$AH375))</f>
        <v/>
      </c>
      <c r="AW375">
        <f>IF($C375="",0,MAX(0,$AV375-$AI375))</f>
        <v/>
      </c>
      <c r="AX375">
        <f>IF($C375="",0,MAX(0,MAX(0,N($L375))+IF($P375=V$3,$R375,0)+IF($S375=V$3,$U375,0)-$V375))</f>
        <v/>
      </c>
      <c r="AY375">
        <f>IF($C375="",0,MAX(0,$AX375+IF($P375=W$3,$R375,0)+IF($S375=W$3,$U375,0)-$W375))</f>
        <v/>
      </c>
      <c r="AZ375">
        <f>IF($C375="",0,MAX(0,$AY375+IF($P375=X$3,$R375,0)+IF($S375=X$3,$U375,0)-$X375))</f>
        <v/>
      </c>
      <c r="BA375">
        <f>IF($C375="",0,MAX(0,$AZ375+IF($P375=Y$3,$R375,0)+IF($S375=Y$3,$U375,0)-$Y375))</f>
        <v/>
      </c>
      <c r="BB375">
        <f>IF($C375="",0,MAX(0,$BA375+IF($P375=Z$3,$R375,0)+IF($S375=Z$3,$U375,0)-$Z375))</f>
        <v/>
      </c>
      <c r="BC375">
        <f>IF($C375="",0,MAX(0,$BB375+IF($P375=AA$3,$R375,0)+IF($S375=AA$3,$U375,0)-$AA375))</f>
        <v/>
      </c>
      <c r="BD375">
        <f>IF($C375="",0,MAX(0,$BC375+IF($P375=AB$3,$R375,0)+IF($S375=AB$3,$U375,0)-$AB375))</f>
        <v/>
      </c>
      <c r="BE375">
        <f>IF($C375="",0,MAX(0,$BD375+IF($P375=AC$3,$R375,0)+IF($S375=AC$3,$U375,0)-$AC375))</f>
        <v/>
      </c>
      <c r="BF375">
        <f>IF($C375="",0,MAX(0,$BE375+IF($P375=AD$3,$R375,0)+IF($S375=AD$3,$U375,0)-$AD375))</f>
        <v/>
      </c>
      <c r="BG375">
        <f>IF($C375="",0,MAX(0,$BF375+IF($P375=AE$3,$R375,0)+IF($S375=AE$3,$U375,0)-$AE375))</f>
        <v/>
      </c>
      <c r="BH375">
        <f>IF($C375="",0,MAX(0,$BG375+IF($P375=AF$3,$R375,0)+IF($S375=AF$3,$U375,0)-$AF375))</f>
        <v/>
      </c>
      <c r="BI375">
        <f>IF($C375="",0,MAX(0,$BH375+IF($P375=AG$3,$R375,0)+IF($S375=AG$3,$U375,0)-$AG375))</f>
        <v/>
      </c>
      <c r="BJ375">
        <f>IF($C375="",0,MAX(0,$BI375+IF($P375=AH$3,$R375,0)+IF($S375=AH$3,$U375,0)-$AH375))</f>
        <v/>
      </c>
      <c r="BK375">
        <f>IF($C375="",0,MAX(0,$BJ375+IF($P375=AI$3,$R375,0)+IF($S375=AI$3,$U375,0)-$AI375))</f>
        <v/>
      </c>
      <c r="BL375">
        <f>IF($C375="",99,IF(AND($AX375&lt;1,V$3&gt;=MAX(N($P375),N($S375))),0,99))</f>
        <v/>
      </c>
      <c r="BM375">
        <f>IF($C375="",99,IF(AND($AY375&lt;1,W$3&gt;=MAX(N($P375),N($S375))),1,99))</f>
        <v/>
      </c>
      <c r="BN375">
        <f>IF($C375="",99,IF(AND($AZ375&lt;1,X$3&gt;=MAX(N($P375),N($S375))),2,99))</f>
        <v/>
      </c>
      <c r="BO375">
        <f>IF($C375="",99,IF(AND($BA375&lt;1,Y$3&gt;=MAX(N($P375),N($S375))),3,99))</f>
        <v/>
      </c>
      <c r="BP375">
        <f>IF($C375="",99,IF(AND($BB375&lt;1,Z$3&gt;=MAX(N($P375),N($S375))),4,99))</f>
        <v/>
      </c>
      <c r="BQ375">
        <f>IF($C375="",99,IF(AND($BC375&lt;1,AA$3&gt;=MAX(N($P375),N($S375))),5,99))</f>
        <v/>
      </c>
      <c r="BR375">
        <f>IF($C375="",99,IF(AND($BD375&lt;1,AB$3&gt;=MAX(N($P375),N($S375))),6,99))</f>
        <v/>
      </c>
      <c r="BS375">
        <f>IF($C375="",99,IF(AND($BE375&lt;1,AC$3&gt;=MAX(N($P375),N($S375))),7,99))</f>
        <v/>
      </c>
      <c r="BT375">
        <f>IF($C375="",99,IF(AND($BF375&lt;1,AD$3&gt;=MAX(N($P375),N($S375))),8,99))</f>
        <v/>
      </c>
      <c r="BU375">
        <f>IF($C375="",99,IF(AND($BG375&lt;1,AE$3&gt;=MAX(N($P375),N($S375))),9,99))</f>
        <v/>
      </c>
      <c r="BV375">
        <f>IF($C375="",99,IF(AND($BH375&lt;1,AF$3&gt;=MAX(N($P375),N($S375))),10,99))</f>
        <v/>
      </c>
      <c r="BW375">
        <f>IF($C375="",99,IF(AND($BI375&lt;1,AG$3&gt;=MAX(N($P375),N($S375))),11,99))</f>
        <v/>
      </c>
      <c r="BX375">
        <f>IF($C375="",99,IF(AND($BJ375&lt;1,AH$3&gt;=MAX(N($P375),N($S375))),12,99))</f>
        <v/>
      </c>
      <c r="BY375">
        <f>IF($C375="",99,IF(AND($BK375&lt;1,AI$3&gt;=MAX(N($P375),N($S375))),13,99))</f>
        <v/>
      </c>
      <c r="BZ375">
        <f>IF(OR($C375="",$M375=""),"",COUNTIF($AJ375:$AW375,"&gt;=1"))</f>
        <v/>
      </c>
      <c r="CA375" s="90">
        <f>IF($BZ375="","",IF($BZ375&gt;=14,"",'設定'!$C$6+$BZ375))</f>
        <v/>
      </c>
      <c r="CB375">
        <f>IF(OR($C375="",$M375=""),"",MIN($BL375:$BY375))</f>
        <v/>
      </c>
      <c r="CC375" s="90">
        <f>IF($CB375="","",IF($CB375&gt;=99,"",'設定'!$C$6+$CB375))</f>
        <v/>
      </c>
      <c r="CD375">
        <f>IF(OR($C375="",$M375=""),"",AVERAGE($V375:$AI375))</f>
        <v/>
      </c>
      <c r="CE375">
        <f>IF($C375="","",IFERROR(IF(MATCH(IF(ISNUMBER($P375),$P375,'設定'!$C$6+N('設定'!$C$7)),$V$3:$AI$3,0)=1,MAX(0,N($L375)),INDEX($AJ375:$AW375,MATCH(IF(ISNUMBER($P375),$P375,'設定'!$C$6+N('設定'!$C$7)),$V$3:$AI$3,0)-1)),""))</f>
        <v/>
      </c>
      <c r="CF375">
        <f>IF(OR($C375="",$O375="",$CE375=""),"",IF($O375-$CE375&lt;=0,0,ROUNDUP(($O375-$CE375)/$G375,0)))</f>
        <v/>
      </c>
      <c r="CG375">
        <f>IF(OR($C375="",$CF375="",NOT(ISNUMBER($Q375))),0,MAX(0,$Q375-$CF375))</f>
        <v/>
      </c>
      <c r="CH375">
        <f>IF(OR($C375="",$O375="",$U375=0),0,IFERROR(ROUNDUP(MAX(0,IF(MATCH($S375,$V$3:$AI$3,0)=1,MAX(0,N($L375)),INDEX($AX375:$BK375,MATCH($S375,$V$3:$AI$3,0)-1))+$U375-$O375)/$G375,0),0))</f>
        <v/>
      </c>
      <c r="CI375">
        <f>IF($C375="","",IF(AND($P375="",$Q375=""),"",IF($P375="","⚠ 入庫日を ▼ から選んでください",IF(NOT(ISNUMBER($P375)),"⚠ 入庫日は ▼ から選んでください",IF($P375&lt;N('設定'!$C$6),"⚠ 入庫日が過去です（もう在庫に入っています）→ 消してください",IF($P375&gt;N('設定'!$C$6)+13,"⚠ 入庫日が14日より先です",IF(N($Q375)&lt;=0,"⚠ 入庫数を入れてください",IF($CG375&gt;0,"⚠ 目安より "&amp;$CG375&amp;" 多い（定数を超える）→ 減らす",""))))))))</f>
        <v/>
      </c>
      <c r="CJ375">
        <f>IF($C375="","",IF(AND($S375="",$T375=""),"",IF($S375="","⚠ 2便目：入庫日を ▼ から選んでください",IF(NOT(ISNUMBER($S375)),"⚠ 2便目：入庫日は ▼ から選んでください",IF($S375&lt;N('設定'!$C$6),"⚠ 2便目：入庫日が過去です（もう在庫に入っています）→ 消してください",IF($S375&gt;N('設定'!$C$6)+13,"⚠ 2便目：入庫日が14日より先です",IF(N($T375)&lt;=0,"⚠ 2便目：入庫数を入れてください",IF($CH375&gt;0,"⚠ 2便目：定数を "&amp;$CH375&amp;" ケース超える → 減らす",""))))))))</f>
        <v/>
      </c>
      <c r="CK375">
        <f>IF(AND($CI375="",N($Q375)&gt;0,ISNUMBER($P375)),1,0)</f>
        <v/>
      </c>
      <c r="CL375">
        <f>IF(AND($CJ375="",N($T375)&gt;0,ISNUMBER($S375)),1,0)</f>
        <v/>
      </c>
      <c r="CM375">
        <f>IF(OR($CK375=1,$CL375=1),1,0)</f>
        <v/>
      </c>
      <c r="CN375">
        <f>IF($C375="",0,($CK375*$R375+$CL375*$U375)*N($H375))</f>
        <v/>
      </c>
      <c r="CO375">
        <f>IF($C375="","",IF($CC375="","入庫後は 14日以上もつ",IF($CC375-N('設定'!$C$7)&lt;='設定'!$C$6,"入庫後も "&amp;TEXT($CC375,"m/d")&amp;"("&amp;CHOOSE(WEEKDAY($CC375),"日","月","火","水","木","金","土")&amp;")"&amp;" に切れる　もう1便を至急発注","入庫後も "&amp;TEXT($CC375,"m/d")&amp;"("&amp;CHOOSE(WEEKDAY($CC375),"日","月","火","水","木","金","土")&amp;")"&amp;" に切れる　"&amp;TEXT($CC375-N('設定'!$C$7),"m/d")&amp;"("&amp;CHOOSE(WEEKDAY($CC375-N('設定'!$C$7)),"日","月","火","水","木","金","土")&amp;")"&amp;" までに次を発注")))</f>
        <v/>
      </c>
      <c r="CP375">
        <f>IF($C375="","",IF('設定'!$C$6="","？ ①在庫を貼る に今日のCSVが貼られていない",IF($CS375=1,"－ 今日のCSVに無い（終売？）",IF($L375&lt;0,"● 在庫がマイナス　数えて「数えた在庫」に入れる",IF($L375=0,"● 在庫なし　至急発注",IF($M375="","？ 減り数が未設定（商品マスタ）",IF($B$3=0,"？ 動員が未入力（動員を入れる）",IF($CA375="","○ 14日以上もつ",IF($BZ375&lt;N('設定'!$C$7),"● "&amp;TEXT($CA375,"m/d")&amp;"("&amp;CHOOSE(WEEKDAY($CA375),"日","月","火","水","木","金","土")&amp;")"&amp;" に切れる　至急発注",IF($BZ375=N('設定'!$C$7),"● "&amp;TEXT($CA375,"m/d")&amp;"("&amp;CHOOSE(WEEKDAY($CA375),"日","月","火","水","木","金","土")&amp;")"&amp;" に切れる　今日発注","△ "&amp;TEXT($CA375,"m/d")&amp;"("&amp;CHOOSE(WEEKDAY($CA375),"日","月","火","水","木","金","土")&amp;")"&amp;" に切れる　"&amp;TEXT($CA375-N('設定'!$C$7),"m/d")&amp;"("&amp;CHOOSE(WEEKDAY($CA375-N('設定'!$C$7)),"日","月","火","水","木","金","土")&amp;")"&amp;" までに発注"))))))))))</f>
        <v/>
      </c>
      <c r="CQ375">
        <f>IF($C375="","",IF(AND($P375="",$Q375="",$S375="",$T375=""),"",IF(AND($P375="",$Q375=""),"⚠ 先に1便目（左の入庫日・入庫数）に入れてください",IF($CI375&lt;&gt;"",$CI375,IF($CJ375&lt;&gt;"",$CJ375,IF($M375="","？ 減り数が未設定（発注書には載ります）",IF($B$3=0,"？ 動員が未入力（発注書には載ります）",IF(AND($CA375&lt;&gt;"",$P375&gt;$CA375),IF($P375&gt;'設定'!$C$6+N('設定'!$C$7),"● "&amp;TEXT($P375,"m/d")&amp;"("&amp;CHOOSE(WEEKDAY($P375),"日","月","火","水","木","金","土")&amp;")"&amp;" の入庫では間に合わない（"&amp;TEXT($CA375,"m/d")&amp;"("&amp;CHOOSE(WEEKDAY($CA375),"日","月","火","水","木","金","土")&amp;")"&amp;" に切れる）　入庫日を早める","△ 欠品 "&amp;TEXT($CA375,"m/d")&amp;"("&amp;CHOOSE(WEEKDAY($CA375),"日","月","火","水","木","金","土")&amp;")"&amp;"〜"&amp;TEXT($P375-1,"m/d")&amp;"("&amp;CHOOSE(WEEKDAY($P375-1),"日","月","火","水","木","金","土")&amp;")"&amp;"　"&amp;$CO375),IF($CC375="","○ "&amp;TEXT($P375,"m/d")&amp;"("&amp;CHOOSE(WEEKDAY($P375),"日","月","火","水","木","金","土")&amp;")"&amp;" 入庫で 14日以上もつ",IF($CC375-N('設定'!$C$7)&lt;='設定'!$C$6,"● 入庫しても "&amp;TEXT($CC375,"m/d")&amp;"("&amp;CHOOSE(WEEKDAY($CC375),"日","月","火","水","木","金","土")&amp;")"&amp;" に切れる　もう1便を至急発注（2便目に入れる）","△ 入庫しても "&amp;TEXT($CC375,"m/d")&amp;"("&amp;CHOOSE(WEEKDAY($CC375),"日","月","火","水","木","金","土")&amp;")"&amp;" に切れる　"&amp;TEXT($CC375-N('設定'!$C$7),"m/d")&amp;"("&amp;CHOOSE(WEEKDAY($CC375-N('設定'!$C$7)),"日","月","火","水","木","金","土")&amp;")"&amp;" までに次を発注（2便目に入れる）"))))))))))</f>
        <v/>
      </c>
      <c r="CR375">
        <f>IF($C375="","",IF($G375&gt;1,"ｹｰｽ("&amp;$G375&amp;"入)","個"))</f>
        <v/>
      </c>
      <c r="CS375">
        <f>IF($C375="",0,IF(COUNTIFS('①在庫を貼る'!$V$6:$V$10005,'設定'!$C$4,'①在庫を貼る'!$W$6:$W$10005,$C375)=0,1,0))</f>
        <v/>
      </c>
      <c r="CT375">
        <f>IF(AND($CK375=1,OR('③発注書'!$C$4="すべて",'③発注書'!$C$4="",$F375='③発注書'!$C$4)),N($CT374)+1,N($CT374))</f>
        <v/>
      </c>
      <c r="CU375">
        <f>IF(AND($CL375=1,OR('③発注書'!$C$4="すべて",'③発注書'!$C$4="",$F375='③発注書'!$C$4)),N($CU374)+1,N($CU374))</f>
        <v/>
      </c>
      <c r="CV375">
        <f>IF($C375="",0,IF(COUNTIFS('①在庫を貼る'!$V$6:$V$10005,'設定'!$C$4,'①在庫を貼る'!$W$6:$W$10005,$C375)&gt;0,1,0))</f>
        <v/>
      </c>
      <c r="CW375">
        <f>IF($C375="",0,IF(COUNTIFS('月1回_1ヶ月前の在庫'!$V$6:$V$10005,'設定'!$C$4,'月1回_1ヶ月前の在庫'!$W$6:$W$10005,$C375)&gt;0,1,0))</f>
        <v/>
      </c>
      <c r="CX375">
        <f>IF($C375="",0,IF(COUNTIFS('月1回_2ヶ月前の在庫'!$V$6:$V$10005,'設定'!$C$4,'月1回_2ヶ月前の在庫'!$W$6:$W$10005,$C375)&gt;0,1,0))</f>
        <v/>
      </c>
      <c r="CY375">
        <f>IF(OR($C375="",'設定'!$C$12=""),"",IF('設定'!$C$13="",IF(AND($CV375=1,$CW375=0),"新商品（今月から）",IF(AND($CV375=0,$CW375=1),"終売（今月から）","")),IF(AND($CV375=1,$CW375=0,$CX375=0),"新商品（今月から）",IF(AND($CV375=1,$CW375=1,$CX375=0),"新商品（先月から）",IF(AND($CV375=0,$CW375=1,$CX375=1),"終売（今月から）",IF(AND($CV375=0,$CW375=0,$CX375=1),"終売（先月から）",IF(AND($CV375=1,$CW375=0,$CX375=1),"復活（先月は無し）","")))))))</f>
        <v/>
      </c>
    </row>
    <row r="376">
      <c r="B376">
        <f>IF(371&lt;='設定'!$C$11,371,"")</f>
        <v/>
      </c>
      <c r="C376">
        <f>IF($B376="","",IF($B376&lt;='設定'!$C$20,INDEX('商品マスタ'!$B$6:$B$1005,MATCH($B376,'商品マスタ'!$M$6:$M$1005,0)),IF($B376&lt;='設定'!$C$20+'設定'!$C$17,INDEX('①在庫を貼る'!$W$6:$W$10005,MATCH($B376-'設定'!$C$20,'①在庫を貼る'!$U$6:$U$10005,0)),IF($B376&lt;='設定'!$C$20+'設定'!$C$17+'設定'!$C$18,INDEX('月1回_1ヶ月前の在庫'!$W$6:$W$10005,MATCH($B376-'設定'!$C$20-'設定'!$C$17,'月1回_1ヶ月前の在庫'!$U$6:$U$10005,0)),INDEX('月1回_2ヶ月前の在庫'!$W$6:$W$10005,MATCH($B376-'設定'!$C$20-'設定'!$C$17-'設定'!$C$18,'月1回_2ヶ月前の在庫'!$U$6:$U$10005,0))))))</f>
        <v/>
      </c>
      <c r="D376">
        <f>IF($C376="","",IFERROR(IF(INDEX('商品マスタ'!$C$6:$C$1005,MATCH($C376,'商品マスタ'!$B$6:$B$1005,0))="",IFERROR(INDEX('①在庫を貼る'!$J$6:$J$10005,MATCH($C376,'①在庫を貼る'!$W$6:$W$10005,0)),IFERROR(INDEX('月1回_1ヶ月前の在庫'!$J$6:$J$10005,MATCH($C376,'月1回_1ヶ月前の在庫'!$W$6:$W$10005,0)),IFERROR(INDEX('月1回_2ヶ月前の在庫'!$J$6:$J$10005,MATCH($C376,'月1回_2ヶ月前の在庫'!$W$6:$W$10005,0)),""))),INDEX('商品マスタ'!$C$6:$C$1005,MATCH($C376,'商品マスタ'!$B$6:$B$1005,0))),IFERROR(INDEX('①在庫を貼る'!$J$6:$J$10005,MATCH($C376,'①在庫を貼る'!$W$6:$W$10005,0)),IFERROR(INDEX('月1回_1ヶ月前の在庫'!$J$6:$J$10005,MATCH($C376,'月1回_1ヶ月前の在庫'!$W$6:$W$10005,0)),IFERROR(INDEX('月1回_2ヶ月前の在庫'!$J$6:$J$10005,MATCH($C376,'月1回_2ヶ月前の在庫'!$W$6:$W$10005,0)),"")))))</f>
        <v/>
      </c>
      <c r="E376">
        <f>IF($C376="","",IFERROR(IF(INDEX('商品マスタ'!$D$6:$D$1005,MATCH($C376,'商品マスタ'!$B$6:$B$1005,0))="",IFERROR(INDEX('①在庫を貼る'!$H$6:$H$10005,MATCH($C376,'①在庫を貼る'!$W$6:$W$10005,0)),IFERROR(INDEX('月1回_1ヶ月前の在庫'!$H$6:$H$10005,MATCH($C376,'月1回_1ヶ月前の在庫'!$W$6:$W$10005,0)),IFERROR(INDEX('月1回_2ヶ月前の在庫'!$H$6:$H$10005,MATCH($C376,'月1回_2ヶ月前の在庫'!$W$6:$W$10005,0)),""))),INDEX('商品マスタ'!$D$6:$D$1005,MATCH($C376,'商品マスタ'!$B$6:$B$1005,0))),IFERROR(INDEX('①在庫を貼る'!$H$6:$H$10005,MATCH($C376,'①在庫を貼る'!$W$6:$W$10005,0)),IFERROR(INDEX('月1回_1ヶ月前の在庫'!$H$6:$H$10005,MATCH($C376,'月1回_1ヶ月前の在庫'!$W$6:$W$10005,0)),IFERROR(INDEX('月1回_2ヶ月前の在庫'!$H$6:$H$10005,MATCH($C376,'月1回_2ヶ月前の在庫'!$W$6:$W$10005,0)),"")))))</f>
        <v/>
      </c>
      <c r="F376">
        <f>IF($C376="","",IFERROR(IF(INDEX('商品マスタ'!$E$6:$E$1005,MATCH($C376,'商品マスタ'!$B$6:$B$1005,0))="",IFERROR(INDEX('①在庫を貼る'!$E$6:$E$10005,MATCH($C376,'①在庫を貼る'!$W$6:$W$10005,0)),IFERROR(INDEX('月1回_1ヶ月前の在庫'!$E$6:$E$10005,MATCH($C376,'月1回_1ヶ月前の在庫'!$W$6:$W$10005,0)),IFERROR(INDEX('月1回_2ヶ月前の在庫'!$E$6:$E$10005,MATCH($C376,'月1回_2ヶ月前の在庫'!$W$6:$W$10005,0)),""))),INDEX('商品マスタ'!$E$6:$E$1005,MATCH($C376,'商品マスタ'!$B$6:$B$1005,0))),IFERROR(INDEX('①在庫を貼る'!$E$6:$E$10005,MATCH($C376,'①在庫を貼る'!$W$6:$W$10005,0)),IFERROR(INDEX('月1回_1ヶ月前の在庫'!$E$6:$E$10005,MATCH($C376,'月1回_1ヶ月前の在庫'!$W$6:$W$10005,0)),IFERROR(INDEX('月1回_2ヶ月前の在庫'!$E$6:$E$10005,MATCH($C376,'月1回_2ヶ月前の在庫'!$W$6:$W$10005,0)),"")))))</f>
        <v/>
      </c>
      <c r="G376">
        <f>IF($C376="","",MAX(1,N(IFERROR(IF(INDEX('商品マスタ'!$F$6:$F$1005,MATCH($C376,'商品マスタ'!$B$6:$B$1005,0))="",IF(COUNTIFS('①在庫を貼る'!$V$6:$V$10005,'設定'!$C$4,'①在庫を貼る'!$W$6:$W$10005,$C376)&gt;0,SUMIFS('①在庫を貼る'!$K$6:$K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K$6:$K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K$6:$K$10005,'月1回_2ヶ月前の在庫'!$V$6:$V$10005,'設定'!$C$4,'月1回_2ヶ月前の在庫'!$W$6:$W$10005,$C376)/COUNTIFS('月1回_2ヶ月前の在庫'!$V$6:$V$10005,'設定'!$C$4,'月1回_2ヶ月前の在庫'!$W$6:$W$10005,$C376),0))),INDEX('商品マスタ'!$F$6:$F$1005,MATCH($C376,'商品マスタ'!$B$6:$B$1005,0))),IF(COUNTIFS('①在庫を貼る'!$V$6:$V$10005,'設定'!$C$4,'①在庫を貼る'!$W$6:$W$10005,$C376)&gt;0,SUMIFS('①在庫を貼る'!$K$6:$K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K$6:$K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K$6:$K$10005,'月1回_2ヶ月前の在庫'!$V$6:$V$10005,'設定'!$C$4,'月1回_2ヶ月前の在庫'!$W$6:$W$10005,$C376)/COUNTIFS('月1回_2ヶ月前の在庫'!$V$6:$V$10005,'設定'!$C$4,'月1回_2ヶ月前の在庫'!$W$6:$W$10005,$C376),0)))))))</f>
        <v/>
      </c>
      <c r="H376">
        <f>IF($C376="","",N(IFERROR(IF(INDEX('商品マスタ'!$G$6:$G$1005,MATCH($C376,'商品マスタ'!$B$6:$B$1005,0))="",IF(COUNTIFS('①在庫を貼る'!$V$6:$V$10005,'設定'!$C$4,'①在庫を貼る'!$W$6:$W$10005,$C376)&gt;0,SUMIFS('①在庫を貼る'!$Q$6:$Q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Q$6:$Q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Q$6:$Q$10005,'月1回_2ヶ月前の在庫'!$V$6:$V$10005,'設定'!$C$4,'月1回_2ヶ月前の在庫'!$W$6:$W$10005,$C376)/COUNTIFS('月1回_2ヶ月前の在庫'!$V$6:$V$10005,'設定'!$C$4,'月1回_2ヶ月前の在庫'!$W$6:$W$10005,$C376),0))),INDEX('商品マスタ'!$G$6:$G$1005,MATCH($C376,'商品マスタ'!$B$6:$B$1005,0))),IF(COUNTIFS('①在庫を貼る'!$V$6:$V$10005,'設定'!$C$4,'①在庫を貼る'!$W$6:$W$10005,$C376)&gt;0,SUMIFS('①在庫を貼る'!$Q$6:$Q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Q$6:$Q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Q$6:$Q$10005,'月1回_2ヶ月前の在庫'!$V$6:$V$10005,'設定'!$C$4,'月1回_2ヶ月前の在庫'!$W$6:$W$10005,$C376)/COUNTIFS('月1回_2ヶ月前の在庫'!$V$6:$V$10005,'設定'!$C$4,'月1回_2ヶ月前の在庫'!$W$6:$W$10005,$C376),0))))))</f>
        <v/>
      </c>
      <c r="I376">
        <f>IF($C376="","",IF(COUNTIFS('①在庫を貼る'!$V$6:$V$10005,'設定'!$C$4,'①在庫を貼る'!$W$6:$W$10005,$C376)=0,"",SUMIFS('①在庫を貼る'!$N$6:$N$10005,'①在庫を貼る'!$V$6:$V$10005,'設定'!$C$4,'①在庫を貼る'!$W$6:$W$10005,$C376)))</f>
        <v/>
      </c>
      <c r="J376">
        <f>IF($C376="","",IF('②発注する'!$AD380="","",'②発注する'!$AD380))</f>
        <v/>
      </c>
      <c r="K376" s="90">
        <f>IF($C376="","",IF('②発注する'!$AE380="","",'②発注する'!$AE380))</f>
        <v/>
      </c>
      <c r="L376">
        <f>IF($C376="","",IF(AND(ISNUMBER($J376),ISNUMBER($K376),$K376&gt;='設定'!$C$6),$J376,N($I376)))</f>
        <v/>
      </c>
      <c r="M376">
        <f>IF($C376="","",IFERROR(IF(N(INDEX('商品マスタ'!$J$6:$J$1005,MATCH($C376,'商品マスタ'!$B$6:$B$1005,0)))&gt;0,INDEX('商品マスタ'!$J$6:$J$1005,MATCH($C376,'商品マスタ'!$B$6:$B$1005,0)),""),""))</f>
        <v/>
      </c>
      <c r="N376">
        <f>IF($C376="","",IFERROR(IF(N(INDEX('商品マスタ'!$H$6:$H$1005,MATCH($C376,'商品マスタ'!$B$6:$B$1005,0)))&gt;0,INDEX('商品マスタ'!$H$6:$H$1005,MATCH($C376,'商品マスタ'!$B$6:$B$1005,0)),""),""))</f>
        <v/>
      </c>
      <c r="O376">
        <f>IF($C376="","",IF($N376&lt;&gt;"",$N376*$G376,IF(N(IF(COUNTIFS('①在庫を貼る'!$V$6:$V$10005,'設定'!$C$4,'①在庫を貼る'!$W$6:$W$10005,$C376)&gt;0,SUMIFS('①在庫を貼る'!$O$6:$O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O$6:$O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O$6:$O$10005,'月1回_2ヶ月前の在庫'!$V$6:$V$10005,'設定'!$C$4,'月1回_2ヶ月前の在庫'!$W$6:$W$10005,$C376)/COUNTIFS('月1回_2ヶ月前の在庫'!$V$6:$V$10005,'設定'!$C$4,'月1回_2ヶ月前の在庫'!$W$6:$W$10005,$C376),0))))&gt;0,N(IF(COUNTIFS('①在庫を貼る'!$V$6:$V$10005,'設定'!$C$4,'①在庫を貼る'!$W$6:$W$10005,$C376)&gt;0,SUMIFS('①在庫を貼る'!$O$6:$O$10005,'①在庫を貼る'!$V$6:$V$10005,'設定'!$C$4,'①在庫を貼る'!$W$6:$W$10005,$C376)/COUNTIFS('①在庫を貼る'!$V$6:$V$10005,'設定'!$C$4,'①在庫を貼る'!$W$6:$W$10005,$C376),IF(COUNTIFS('月1回_1ヶ月前の在庫'!$V$6:$V$10005,'設定'!$C$4,'月1回_1ヶ月前の在庫'!$W$6:$W$10005,$C376)&gt;0,SUMIFS('月1回_1ヶ月前の在庫'!$O$6:$O$10005,'月1回_1ヶ月前の在庫'!$V$6:$V$10005,'設定'!$C$4,'月1回_1ヶ月前の在庫'!$W$6:$W$10005,$C376)/COUNTIFS('月1回_1ヶ月前の在庫'!$V$6:$V$10005,'設定'!$C$4,'月1回_1ヶ月前の在庫'!$W$6:$W$10005,$C376),IF(COUNTIFS('月1回_2ヶ月前の在庫'!$V$6:$V$10005,'設定'!$C$4,'月1回_2ヶ月前の在庫'!$W$6:$W$10005,$C376)&gt;0,SUMIFS('月1回_2ヶ月前の在庫'!$O$6:$O$10005,'月1回_2ヶ月前の在庫'!$V$6:$V$10005,'設定'!$C$4,'月1回_2ヶ月前の在庫'!$W$6:$W$10005,$C376)/COUNTIFS('月1回_2ヶ月前の在庫'!$V$6:$V$10005,'設定'!$C$4,'月1回_2ヶ月前の在庫'!$W$6:$W$10005,$C376),0)))),"")))</f>
        <v/>
      </c>
      <c r="P376" s="90">
        <f>IF($C376="","",IF('②発注する'!$I380="","",'②発注する'!$I380))</f>
        <v/>
      </c>
      <c r="Q376">
        <f>IF($C376="","",IF('②発注する'!$J380="","",'②発注する'!$J380))</f>
        <v/>
      </c>
      <c r="R376">
        <f>IF($C376="",0,IF(AND(ISNUMBER($P376),ISNUMBER($Q376)),MAX(0,$Q376)*$G376,0))</f>
        <v/>
      </c>
      <c r="S376" s="90">
        <f>IF($C376="","",IF('②発注する'!$M380="","",'②発注する'!$M380))</f>
        <v/>
      </c>
      <c r="T376">
        <f>IF($C376="","",IF('②発注する'!$N380="","",'②発注する'!$N380))</f>
        <v/>
      </c>
      <c r="U376">
        <f>IF($C376="",0,IF(AND(ISNUMBER($S376),ISNUMBER($T376)),MAX(0,$T376)*$G376,0))</f>
        <v/>
      </c>
      <c r="V376">
        <f>IF($C376="",0,IF($M376="",0,MAX(0,$M376)*MAX(0,V$4)/100))</f>
        <v/>
      </c>
      <c r="W376">
        <f>IF($C376="",0,IF($M376="",0,MAX(0,$M376)*MAX(0,W$4)/100))</f>
        <v/>
      </c>
      <c r="X376">
        <f>IF($C376="",0,IF($M376="",0,MAX(0,$M376)*MAX(0,X$4)/100))</f>
        <v/>
      </c>
      <c r="Y376">
        <f>IF($C376="",0,IF($M376="",0,MAX(0,$M376)*MAX(0,Y$4)/100))</f>
        <v/>
      </c>
      <c r="Z376">
        <f>IF($C376="",0,IF($M376="",0,MAX(0,$M376)*MAX(0,Z$4)/100))</f>
        <v/>
      </c>
      <c r="AA376">
        <f>IF($C376="",0,IF($M376="",0,MAX(0,$M376)*MAX(0,AA$4)/100))</f>
        <v/>
      </c>
      <c r="AB376">
        <f>IF($C376="",0,IF($M376="",0,MAX(0,$M376)*MAX(0,AB$4)/100))</f>
        <v/>
      </c>
      <c r="AC376">
        <f>IF($C376="",0,IF($M376="",0,MAX(0,$M376)*MAX(0,AC$4)/100))</f>
        <v/>
      </c>
      <c r="AD376">
        <f>IF($C376="",0,IF($M376="",0,MAX(0,$M376)*MAX(0,AD$4)/100))</f>
        <v/>
      </c>
      <c r="AE376">
        <f>IF($C376="",0,IF($M376="",0,MAX(0,$M376)*MAX(0,AE$4)/100))</f>
        <v/>
      </c>
      <c r="AF376">
        <f>IF($C376="",0,IF($M376="",0,MAX(0,$M376)*MAX(0,AF$4)/100))</f>
        <v/>
      </c>
      <c r="AG376">
        <f>IF($C376="",0,IF($M376="",0,MAX(0,$M376)*MAX(0,AG$4)/100))</f>
        <v/>
      </c>
      <c r="AH376">
        <f>IF($C376="",0,IF($M376="",0,MAX(0,$M376)*MAX(0,AH$4)/100))</f>
        <v/>
      </c>
      <c r="AI376">
        <f>IF($C376="",0,IF($M376="",0,MAX(0,$M376)*MAX(0,AI$4)/100))</f>
        <v/>
      </c>
      <c r="AJ376">
        <f>IF($C376="",0,MAX(0,MAX(0,N($L376))-$V376))</f>
        <v/>
      </c>
      <c r="AK376">
        <f>IF($C376="",0,MAX(0,$AJ376-$W376))</f>
        <v/>
      </c>
      <c r="AL376">
        <f>IF($C376="",0,MAX(0,$AK376-$X376))</f>
        <v/>
      </c>
      <c r="AM376">
        <f>IF($C376="",0,MAX(0,$AL376-$Y376))</f>
        <v/>
      </c>
      <c r="AN376">
        <f>IF($C376="",0,MAX(0,$AM376-$Z376))</f>
        <v/>
      </c>
      <c r="AO376">
        <f>IF($C376="",0,MAX(0,$AN376-$AA376))</f>
        <v/>
      </c>
      <c r="AP376">
        <f>IF($C376="",0,MAX(0,$AO376-$AB376))</f>
        <v/>
      </c>
      <c r="AQ376">
        <f>IF($C376="",0,MAX(0,$AP376-$AC376))</f>
        <v/>
      </c>
      <c r="AR376">
        <f>IF($C376="",0,MAX(0,$AQ376-$AD376))</f>
        <v/>
      </c>
      <c r="AS376">
        <f>IF($C376="",0,MAX(0,$AR376-$AE376))</f>
        <v/>
      </c>
      <c r="AT376">
        <f>IF($C376="",0,MAX(0,$AS376-$AF376))</f>
        <v/>
      </c>
      <c r="AU376">
        <f>IF($C376="",0,MAX(0,$AT376-$AG376))</f>
        <v/>
      </c>
      <c r="AV376">
        <f>IF($C376="",0,MAX(0,$AU376-$AH376))</f>
        <v/>
      </c>
      <c r="AW376">
        <f>IF($C376="",0,MAX(0,$AV376-$AI376))</f>
        <v/>
      </c>
      <c r="AX376">
        <f>IF($C376="",0,MAX(0,MAX(0,N($L376))+IF($P376=V$3,$R376,0)+IF($S376=V$3,$U376,0)-$V376))</f>
        <v/>
      </c>
      <c r="AY376">
        <f>IF($C376="",0,MAX(0,$AX376+IF($P376=W$3,$R376,0)+IF($S376=W$3,$U376,0)-$W376))</f>
        <v/>
      </c>
      <c r="AZ376">
        <f>IF($C376="",0,MAX(0,$AY376+IF($P376=X$3,$R376,0)+IF($S376=X$3,$U376,0)-$X376))</f>
        <v/>
      </c>
      <c r="BA376">
        <f>IF($C376="",0,MAX(0,$AZ376+IF($P376=Y$3,$R376,0)+IF($S376=Y$3,$U376,0)-$Y376))</f>
        <v/>
      </c>
      <c r="BB376">
        <f>IF($C376="",0,MAX(0,$BA376+IF($P376=Z$3,$R376,0)+IF($S376=Z$3,$U376,0)-$Z376))</f>
        <v/>
      </c>
      <c r="BC376">
        <f>IF($C376="",0,MAX(0,$BB376+IF($P376=AA$3,$R376,0)+IF($S376=AA$3,$U376,0)-$AA376))</f>
        <v/>
      </c>
      <c r="BD376">
        <f>IF($C376="",0,MAX(0,$BC376+IF($P376=AB$3,$R376,0)+IF($S376=AB$3,$U376,0)-$AB376))</f>
        <v/>
      </c>
      <c r="BE376">
        <f>IF($C376="",0,MAX(0,$BD376+IF($P376=AC$3,$R376,0)+IF($S376=AC$3,$U376,0)-$AC376))</f>
        <v/>
      </c>
      <c r="BF376">
        <f>IF($C376="",0,MAX(0,$BE376+IF($P376=AD$3,$R376,0)+IF($S376=AD$3,$U376,0)-$AD376))</f>
        <v/>
      </c>
      <c r="BG376">
        <f>IF($C376="",0,MAX(0,$BF376+IF($P376=AE$3,$R376,0)+IF($S376=AE$3,$U376,0)-$AE376))</f>
        <v/>
      </c>
      <c r="BH376">
        <f>IF($C376="",0,MAX(0,$BG376+IF($P376=AF$3,$R376,0)+IF($S376=AF$3,$U376,0)-$AF376))</f>
        <v/>
      </c>
      <c r="BI376">
        <f>IF($C376="",0,MAX(0,$BH376+IF($P376=AG$3,$R376,0)+IF($S376=AG$3,$U376,0)-$AG376))</f>
        <v/>
      </c>
      <c r="BJ376">
        <f>IF($C376="",0,MAX(0,$BI376+IF($P376=AH$3,$R376,0)+IF($S376=AH$3,$U376,0)-$AH376))</f>
        <v/>
      </c>
      <c r="BK376">
        <f>IF($C376="",0,MAX(0,$BJ376+IF($P376=AI$3,$R376,0)+IF($S376=AI$3,$U376,0)-$AI376))</f>
        <v/>
      </c>
      <c r="BL376">
        <f>IF($C376="",99,IF(AND($AX376&lt;1,V$3&gt;=MAX(N($P376),N($S376))),0,99))</f>
        <v/>
      </c>
      <c r="BM376">
        <f>IF($C376="",99,IF(AND($AY376&lt;1,W$3&gt;=MAX(N($P376),N($S376))),1,99))</f>
        <v/>
      </c>
      <c r="BN376">
        <f>IF($C376="",99,IF(AND($AZ376&lt;1,X$3&gt;=MAX(N($P376),N($S376))),2,99))</f>
        <v/>
      </c>
      <c r="BO376">
        <f>IF($C376="",99,IF(AND($BA376&lt;1,Y$3&gt;=MAX(N($P376),N($S376))),3,99))</f>
        <v/>
      </c>
      <c r="BP376">
        <f>IF($C376="",99,IF(AND($BB376&lt;1,Z$3&gt;=MAX(N($P376),N($S376))),4,99))</f>
        <v/>
      </c>
      <c r="BQ376">
        <f>IF($C376="",99,IF(AND($BC376&lt;1,AA$3&gt;=MAX(N($P376),N($S376))),5,99))</f>
        <v/>
      </c>
      <c r="BR376">
        <f>IF($C376="",99,IF(AND($BD376&lt;1,AB$3&gt;=MAX(N($P376),N($S376))),6,99))</f>
        <v/>
      </c>
      <c r="BS376">
        <f>IF($C376="",99,IF(AND($BE376&lt;1,AC$3&gt;=MAX(N($P376),N($S376))),7,99))</f>
        <v/>
      </c>
      <c r="BT376">
        <f>IF($C376="",99,IF(AND($BF376&lt;1,AD$3&gt;=MAX(N($P376),N($S376))),8,99))</f>
        <v/>
      </c>
      <c r="BU376">
        <f>IF($C376="",99,IF(AND($BG376&lt;1,AE$3&gt;=MAX(N($P376),N($S376))),9,99))</f>
        <v/>
      </c>
      <c r="BV376">
        <f>IF($C376="",99,IF(AND($BH376&lt;1,AF$3&gt;=MAX(N($P376),N($S376))),10,99))</f>
        <v/>
      </c>
      <c r="BW376">
        <f>IF($C376="",99,IF(AND($BI376&lt;1,AG$3&gt;=MAX(N($P376),N($S376))),11,99))</f>
        <v/>
      </c>
      <c r="BX376">
        <f>IF($C376="",99,IF(AND($BJ376&lt;1,AH$3&gt;=MAX(N($P376),N($S376))),12,99))</f>
        <v/>
      </c>
      <c r="BY376">
        <f>IF($C376="",99,IF(AND($BK376&lt;1,AI$3&gt;=MAX(N($P376),N($S376))),13,99))</f>
        <v/>
      </c>
      <c r="BZ376">
        <f>IF(OR($C376="",$M376=""),"",COUNTIF($AJ376:$AW376,"&gt;=1"))</f>
        <v/>
      </c>
      <c r="CA376" s="90">
        <f>IF($BZ376="","",IF($BZ376&gt;=14,"",'設定'!$C$6+$BZ376))</f>
        <v/>
      </c>
      <c r="CB376">
        <f>IF(OR($C376="",$M376=""),"",MIN($BL376:$BY376))</f>
        <v/>
      </c>
      <c r="CC376" s="90">
        <f>IF($CB376="","",IF($CB376&gt;=99,"",'設定'!$C$6+$CB376))</f>
        <v/>
      </c>
      <c r="CD376">
        <f>IF(OR($C376="",$M376=""),"",AVERAGE($V376:$AI376))</f>
        <v/>
      </c>
      <c r="CE376">
        <f>IF($C376="","",IFERROR(IF(MATCH(IF(ISNUMBER($P376),$P376,'設定'!$C$6+N('設定'!$C$7)),$V$3:$AI$3,0)=1,MAX(0,N($L376)),INDEX($AJ376:$AW376,MATCH(IF(ISNUMBER($P376),$P376,'設定'!$C$6+N('設定'!$C$7)),$V$3:$AI$3,0)-1)),""))</f>
        <v/>
      </c>
      <c r="CF376">
        <f>IF(OR($C376="",$O376="",$CE376=""),"",IF($O376-$CE376&lt;=0,0,ROUNDUP(($O376-$CE376)/$G376,0)))</f>
        <v/>
      </c>
      <c r="CG376">
        <f>IF(OR($C376="",$CF376="",NOT(ISNUMBER($Q376))),0,MAX(0,$Q376-$CF376))</f>
        <v/>
      </c>
      <c r="CH376">
        <f>IF(OR($C376="",$O376="",$U376=0),0,IFERROR(ROUNDUP(MAX(0,IF(MATCH($S376,$V$3:$AI$3,0)=1,MAX(0,N($L376)),INDEX($AX376:$BK376,MATCH($S376,$V$3:$AI$3,0)-1))+$U376-$O376)/$G376,0),0))</f>
        <v/>
      </c>
      <c r="CI376">
        <f>IF($C376="","",IF(AND($P376="",$Q376=""),"",IF($P376="","⚠ 入庫日を ▼ から選んでください",IF(NOT(ISNUMBER($P376)),"⚠ 入庫日は ▼ から選んでください",IF($P376&lt;N('設定'!$C$6),"⚠ 入庫日が過去です（もう在庫に入っています）→ 消してください",IF($P376&gt;N('設定'!$C$6)+13,"⚠ 入庫日が14日より先です",IF(N($Q376)&lt;=0,"⚠ 入庫数を入れてください",IF($CG376&gt;0,"⚠ 目安より "&amp;$CG376&amp;" 多い（定数を超える）→ 減らす",""))))))))</f>
        <v/>
      </c>
      <c r="CJ376">
        <f>IF($C376="","",IF(AND($S376="",$T376=""),"",IF($S376="","⚠ 2便目：入庫日を ▼ から選んでください",IF(NOT(ISNUMBER($S376)),"⚠ 2便目：入庫日は ▼ から選んでください",IF($S376&lt;N('設定'!$C$6),"⚠ 2便目：入庫日が過去です（もう在庫に入っています）→ 消してください",IF($S376&gt;N('設定'!$C$6)+13,"⚠ 2便目：入庫日が14日より先です",IF(N($T376)&lt;=0,"⚠ 2便目：入庫数を入れてください",IF($CH376&gt;0,"⚠ 2便目：定数を "&amp;$CH376&amp;" ケース超える → 減らす",""))))))))</f>
        <v/>
      </c>
      <c r="CK376">
        <f>IF(AND($CI376="",N($Q376)&gt;0,ISNUMBER($P376)),1,0)</f>
        <v/>
      </c>
      <c r="CL376">
        <f>IF(AND($CJ376="",N($T376)&gt;0,ISNUMBER($S376)),1,0)</f>
        <v/>
      </c>
      <c r="CM376">
        <f>IF(OR($CK376=1,$CL376=1),1,0)</f>
        <v/>
      </c>
      <c r="CN376">
        <f>IF($C376="",0,($CK376*$R376+$CL376*$U376)*N($H376))</f>
        <v/>
      </c>
      <c r="CO376">
        <f>IF($C376="","",IF($CC376="","入庫後は 14日以上もつ",IF($CC376-N('設定'!$C$7)&lt;='設定'!$C$6,"入庫後も "&amp;TEXT($CC376,"m/d")&amp;"("&amp;CHOOSE(WEEKDAY($CC376),"日","月","火","水","木","金","土")&amp;")"&amp;" に切れる　もう1便を至急発注","入庫後も "&amp;TEXT($CC376,"m/d")&amp;"("&amp;CHOOSE(WEEKDAY($CC376),"日","月","火","水","木","金","土")&amp;")"&amp;" に切れる　"&amp;TEXT($CC376-N('設定'!$C$7),"m/d")&amp;"("&amp;CHOOSE(WEEKDAY($CC376-N('設定'!$C$7)),"日","月","火","水","木","金","土")&amp;")"&amp;" までに次を発注")))</f>
        <v/>
      </c>
      <c r="CP376">
        <f>IF($C376="","",IF('設定'!$C$6="","？ ①在庫を貼る に今日のCSVが貼られていない",IF($CS376=1,"－ 今日のCSVに無い（終売？）",IF($L376&lt;0,"● 在庫がマイナス　数えて「数えた在庫」に入れる",IF($L376=0,"● 在庫なし　至急発注",IF($M376="","？ 減り数が未設定（商品マスタ）",IF($B$3=0,"？ 動員が未入力（動員を入れる）",IF($CA376="","○ 14日以上もつ",IF($BZ376&lt;N('設定'!$C$7),"● "&amp;TEXT($CA376,"m/d")&amp;"("&amp;CHOOSE(WEEKDAY($CA376),"日","月","火","水","木","金","土")&amp;")"&amp;" に切れる　至急発注",IF($BZ376=N('設定'!$C$7),"● "&amp;TEXT($CA376,"m/d")&amp;"("&amp;CHOOSE(WEEKDAY($CA376),"日","月","火","水","木","金","土")&amp;")"&amp;" に切れる　今日発注","△ "&amp;TEXT($CA376,"m/d")&amp;"("&amp;CHOOSE(WEEKDAY($CA376),"日","月","火","水","木","金","土")&amp;")"&amp;" に切れる　"&amp;TEXT($CA376-N('設定'!$C$7),"m/d")&amp;"("&amp;CHOOSE(WEEKDAY($CA376-N('設定'!$C$7)),"日","月","火","水","木","金","土")&amp;")"&amp;" までに発注"))))))))))</f>
        <v/>
      </c>
      <c r="CQ376">
        <f>IF($C376="","",IF(AND($P376="",$Q376="",$S376="",$T376=""),"",IF(AND($P376="",$Q376=""),"⚠ 先に1便目（左の入庫日・入庫数）に入れてください",IF($CI376&lt;&gt;"",$CI376,IF($CJ376&lt;&gt;"",$CJ376,IF($M376="","？ 減り数が未設定（発注書には載ります）",IF($B$3=0,"？ 動員が未入力（発注書には載ります）",IF(AND($CA376&lt;&gt;"",$P376&gt;$CA376),IF($P376&gt;'設定'!$C$6+N('設定'!$C$7),"● "&amp;TEXT($P376,"m/d")&amp;"("&amp;CHOOSE(WEEKDAY($P376),"日","月","火","水","木","金","土")&amp;")"&amp;" の入庫では間に合わない（"&amp;TEXT($CA376,"m/d")&amp;"("&amp;CHOOSE(WEEKDAY($CA376),"日","月","火","水","木","金","土")&amp;")"&amp;" に切れる）　入庫日を早める","△ 欠品 "&amp;TEXT($CA376,"m/d")&amp;"("&amp;CHOOSE(WEEKDAY($CA376),"日","月","火","水","木","金","土")&amp;")"&amp;"〜"&amp;TEXT($P376-1,"m/d")&amp;"("&amp;CHOOSE(WEEKDAY($P376-1),"日","月","火","水","木","金","土")&amp;")"&amp;"　"&amp;$CO376),IF($CC376="","○ "&amp;TEXT($P376,"m/d")&amp;"("&amp;CHOOSE(WEEKDAY($P376),"日","月","火","水","木","金","土")&amp;")"&amp;" 入庫で 14日以上もつ",IF($CC376-N('設定'!$C$7)&lt;='設定'!$C$6,"● 入庫しても "&amp;TEXT($CC376,"m/d")&amp;"("&amp;CHOOSE(WEEKDAY($CC376),"日","月","火","水","木","金","土")&amp;")"&amp;" に切れる　もう1便を至急発注（2便目に入れる）","△ 入庫しても "&amp;TEXT($CC376,"m/d")&amp;"("&amp;CHOOSE(WEEKDAY($CC376),"日","月","火","水","木","金","土")&amp;")"&amp;" に切れる　"&amp;TEXT($CC376-N('設定'!$C$7),"m/d")&amp;"("&amp;CHOOSE(WEEKDAY($CC376-N('設定'!$C$7)),"日","月","火","水","木","金","土")&amp;")"&amp;" までに次を発注（2便目に入れる）"))))))))))</f>
        <v/>
      </c>
      <c r="CR376">
        <f>IF($C376="","",IF($G376&gt;1,"ｹｰｽ("&amp;$G376&amp;"入)","個"))</f>
        <v/>
      </c>
      <c r="CS376">
        <f>IF($C376="",0,IF(COUNTIFS('①在庫を貼る'!$V$6:$V$10005,'設定'!$C$4,'①在庫を貼る'!$W$6:$W$10005,$C376)=0,1,0))</f>
        <v/>
      </c>
      <c r="CT376">
        <f>IF(AND($CK376=1,OR('③発注書'!$C$4="すべて",'③発注書'!$C$4="",$F376='③発注書'!$C$4)),N($CT375)+1,N($CT375))</f>
        <v/>
      </c>
      <c r="CU376">
        <f>IF(AND($CL376=1,OR('③発注書'!$C$4="すべて",'③発注書'!$C$4="",$F376='③発注書'!$C$4)),N($CU375)+1,N($CU375))</f>
        <v/>
      </c>
      <c r="CV376">
        <f>IF($C376="",0,IF(COUNTIFS('①在庫を貼る'!$V$6:$V$10005,'設定'!$C$4,'①在庫を貼る'!$W$6:$W$10005,$C376)&gt;0,1,0))</f>
        <v/>
      </c>
      <c r="CW376">
        <f>IF($C376="",0,IF(COUNTIFS('月1回_1ヶ月前の在庫'!$V$6:$V$10005,'設定'!$C$4,'月1回_1ヶ月前の在庫'!$W$6:$W$10005,$C376)&gt;0,1,0))</f>
        <v/>
      </c>
      <c r="CX376">
        <f>IF($C376="",0,IF(COUNTIFS('月1回_2ヶ月前の在庫'!$V$6:$V$10005,'設定'!$C$4,'月1回_2ヶ月前の在庫'!$W$6:$W$10005,$C376)&gt;0,1,0))</f>
        <v/>
      </c>
      <c r="CY376">
        <f>IF(OR($C376="",'設定'!$C$12=""),"",IF('設定'!$C$13="",IF(AND($CV376=1,$CW376=0),"新商品（今月から）",IF(AND($CV376=0,$CW376=1),"終売（今月から）","")),IF(AND($CV376=1,$CW376=0,$CX376=0),"新商品（今月から）",IF(AND($CV376=1,$CW376=1,$CX376=0),"新商品（先月から）",IF(AND($CV376=0,$CW376=1,$CX376=1),"終売（今月から）",IF(AND($CV376=0,$CW376=0,$CX376=1),"終売（先月から）",IF(AND($CV376=1,$CW376=0,$CX376=1),"復活（先月は無し）","")))))))</f>
        <v/>
      </c>
    </row>
    <row r="377">
      <c r="B377">
        <f>IF(372&lt;='設定'!$C$11,372,"")</f>
        <v/>
      </c>
      <c r="C377">
        <f>IF($B377="","",IF($B377&lt;='設定'!$C$20,INDEX('商品マスタ'!$B$6:$B$1005,MATCH($B377,'商品マスタ'!$M$6:$M$1005,0)),IF($B377&lt;='設定'!$C$20+'設定'!$C$17,INDEX('①在庫を貼る'!$W$6:$W$10005,MATCH($B377-'設定'!$C$20,'①在庫を貼る'!$U$6:$U$10005,0)),IF($B377&lt;='設定'!$C$20+'設定'!$C$17+'設定'!$C$18,INDEX('月1回_1ヶ月前の在庫'!$W$6:$W$10005,MATCH($B377-'設定'!$C$20-'設定'!$C$17,'月1回_1ヶ月前の在庫'!$U$6:$U$10005,0)),INDEX('月1回_2ヶ月前の在庫'!$W$6:$W$10005,MATCH($B377-'設定'!$C$20-'設定'!$C$17-'設定'!$C$18,'月1回_2ヶ月前の在庫'!$U$6:$U$10005,0))))))</f>
        <v/>
      </c>
      <c r="D377">
        <f>IF($C377="","",IFERROR(IF(INDEX('商品マスタ'!$C$6:$C$1005,MATCH($C377,'商品マスタ'!$B$6:$B$1005,0))="",IFERROR(INDEX('①在庫を貼る'!$J$6:$J$10005,MATCH($C377,'①在庫を貼る'!$W$6:$W$10005,0)),IFERROR(INDEX('月1回_1ヶ月前の在庫'!$J$6:$J$10005,MATCH($C377,'月1回_1ヶ月前の在庫'!$W$6:$W$10005,0)),IFERROR(INDEX('月1回_2ヶ月前の在庫'!$J$6:$J$10005,MATCH($C377,'月1回_2ヶ月前の在庫'!$W$6:$W$10005,0)),""))),INDEX('商品マスタ'!$C$6:$C$1005,MATCH($C377,'商品マスタ'!$B$6:$B$1005,0))),IFERROR(INDEX('①在庫を貼る'!$J$6:$J$10005,MATCH($C377,'①在庫を貼る'!$W$6:$W$10005,0)),IFERROR(INDEX('月1回_1ヶ月前の在庫'!$J$6:$J$10005,MATCH($C377,'月1回_1ヶ月前の在庫'!$W$6:$W$10005,0)),IFERROR(INDEX('月1回_2ヶ月前の在庫'!$J$6:$J$10005,MATCH($C377,'月1回_2ヶ月前の在庫'!$W$6:$W$10005,0)),"")))))</f>
        <v/>
      </c>
      <c r="E377">
        <f>IF($C377="","",IFERROR(IF(INDEX('商品マスタ'!$D$6:$D$1005,MATCH($C377,'商品マスタ'!$B$6:$B$1005,0))="",IFERROR(INDEX('①在庫を貼る'!$H$6:$H$10005,MATCH($C377,'①在庫を貼る'!$W$6:$W$10005,0)),IFERROR(INDEX('月1回_1ヶ月前の在庫'!$H$6:$H$10005,MATCH($C377,'月1回_1ヶ月前の在庫'!$W$6:$W$10005,0)),IFERROR(INDEX('月1回_2ヶ月前の在庫'!$H$6:$H$10005,MATCH($C377,'月1回_2ヶ月前の在庫'!$W$6:$W$10005,0)),""))),INDEX('商品マスタ'!$D$6:$D$1005,MATCH($C377,'商品マスタ'!$B$6:$B$1005,0))),IFERROR(INDEX('①在庫を貼る'!$H$6:$H$10005,MATCH($C377,'①在庫を貼る'!$W$6:$W$10005,0)),IFERROR(INDEX('月1回_1ヶ月前の在庫'!$H$6:$H$10005,MATCH($C377,'月1回_1ヶ月前の在庫'!$W$6:$W$10005,0)),IFERROR(INDEX('月1回_2ヶ月前の在庫'!$H$6:$H$10005,MATCH($C377,'月1回_2ヶ月前の在庫'!$W$6:$W$10005,0)),"")))))</f>
        <v/>
      </c>
      <c r="F377">
        <f>IF($C377="","",IFERROR(IF(INDEX('商品マスタ'!$E$6:$E$1005,MATCH($C377,'商品マスタ'!$B$6:$B$1005,0))="",IFERROR(INDEX('①在庫を貼る'!$E$6:$E$10005,MATCH($C377,'①在庫を貼る'!$W$6:$W$10005,0)),IFERROR(INDEX('月1回_1ヶ月前の在庫'!$E$6:$E$10005,MATCH($C377,'月1回_1ヶ月前の在庫'!$W$6:$W$10005,0)),IFERROR(INDEX('月1回_2ヶ月前の在庫'!$E$6:$E$10005,MATCH($C377,'月1回_2ヶ月前の在庫'!$W$6:$W$10005,0)),""))),INDEX('商品マスタ'!$E$6:$E$1005,MATCH($C377,'商品マスタ'!$B$6:$B$1005,0))),IFERROR(INDEX('①在庫を貼る'!$E$6:$E$10005,MATCH($C377,'①在庫を貼る'!$W$6:$W$10005,0)),IFERROR(INDEX('月1回_1ヶ月前の在庫'!$E$6:$E$10005,MATCH($C377,'月1回_1ヶ月前の在庫'!$W$6:$W$10005,0)),IFERROR(INDEX('月1回_2ヶ月前の在庫'!$E$6:$E$10005,MATCH($C377,'月1回_2ヶ月前の在庫'!$W$6:$W$10005,0)),"")))))</f>
        <v/>
      </c>
      <c r="G377">
        <f>IF($C377="","",MAX(1,N(IFERROR(IF(INDEX('商品マスタ'!$F$6:$F$1005,MATCH($C377,'商品マスタ'!$B$6:$B$1005,0))="",IF(COUNTIFS('①在庫を貼る'!$V$6:$V$10005,'設定'!$C$4,'①在庫を貼る'!$W$6:$W$10005,$C377)&gt;0,SUMIFS('①在庫を貼る'!$K$6:$K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K$6:$K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K$6:$K$10005,'月1回_2ヶ月前の在庫'!$V$6:$V$10005,'設定'!$C$4,'月1回_2ヶ月前の在庫'!$W$6:$W$10005,$C377)/COUNTIFS('月1回_2ヶ月前の在庫'!$V$6:$V$10005,'設定'!$C$4,'月1回_2ヶ月前の在庫'!$W$6:$W$10005,$C377),0))),INDEX('商品マスタ'!$F$6:$F$1005,MATCH($C377,'商品マスタ'!$B$6:$B$1005,0))),IF(COUNTIFS('①在庫を貼る'!$V$6:$V$10005,'設定'!$C$4,'①在庫を貼る'!$W$6:$W$10005,$C377)&gt;0,SUMIFS('①在庫を貼る'!$K$6:$K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K$6:$K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K$6:$K$10005,'月1回_2ヶ月前の在庫'!$V$6:$V$10005,'設定'!$C$4,'月1回_2ヶ月前の在庫'!$W$6:$W$10005,$C377)/COUNTIFS('月1回_2ヶ月前の在庫'!$V$6:$V$10005,'設定'!$C$4,'月1回_2ヶ月前の在庫'!$W$6:$W$10005,$C377),0)))))))</f>
        <v/>
      </c>
      <c r="H377">
        <f>IF($C377="","",N(IFERROR(IF(INDEX('商品マスタ'!$G$6:$G$1005,MATCH($C377,'商品マスタ'!$B$6:$B$1005,0))="",IF(COUNTIFS('①在庫を貼る'!$V$6:$V$10005,'設定'!$C$4,'①在庫を貼る'!$W$6:$W$10005,$C377)&gt;0,SUMIFS('①在庫を貼る'!$Q$6:$Q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Q$6:$Q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Q$6:$Q$10005,'月1回_2ヶ月前の在庫'!$V$6:$V$10005,'設定'!$C$4,'月1回_2ヶ月前の在庫'!$W$6:$W$10005,$C377)/COUNTIFS('月1回_2ヶ月前の在庫'!$V$6:$V$10005,'設定'!$C$4,'月1回_2ヶ月前の在庫'!$W$6:$W$10005,$C377),0))),INDEX('商品マスタ'!$G$6:$G$1005,MATCH($C377,'商品マスタ'!$B$6:$B$1005,0))),IF(COUNTIFS('①在庫を貼る'!$V$6:$V$10005,'設定'!$C$4,'①在庫を貼る'!$W$6:$W$10005,$C377)&gt;0,SUMIFS('①在庫を貼る'!$Q$6:$Q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Q$6:$Q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Q$6:$Q$10005,'月1回_2ヶ月前の在庫'!$V$6:$V$10005,'設定'!$C$4,'月1回_2ヶ月前の在庫'!$W$6:$W$10005,$C377)/COUNTIFS('月1回_2ヶ月前の在庫'!$V$6:$V$10005,'設定'!$C$4,'月1回_2ヶ月前の在庫'!$W$6:$W$10005,$C377),0))))))</f>
        <v/>
      </c>
      <c r="I377">
        <f>IF($C377="","",IF(COUNTIFS('①在庫を貼る'!$V$6:$V$10005,'設定'!$C$4,'①在庫を貼る'!$W$6:$W$10005,$C377)=0,"",SUMIFS('①在庫を貼る'!$N$6:$N$10005,'①在庫を貼る'!$V$6:$V$10005,'設定'!$C$4,'①在庫を貼る'!$W$6:$W$10005,$C377)))</f>
        <v/>
      </c>
      <c r="J377">
        <f>IF($C377="","",IF('②発注する'!$AD381="","",'②発注する'!$AD381))</f>
        <v/>
      </c>
      <c r="K377" s="90">
        <f>IF($C377="","",IF('②発注する'!$AE381="","",'②発注する'!$AE381))</f>
        <v/>
      </c>
      <c r="L377">
        <f>IF($C377="","",IF(AND(ISNUMBER($J377),ISNUMBER($K377),$K377&gt;='設定'!$C$6),$J377,N($I377)))</f>
        <v/>
      </c>
      <c r="M377">
        <f>IF($C377="","",IFERROR(IF(N(INDEX('商品マスタ'!$J$6:$J$1005,MATCH($C377,'商品マスタ'!$B$6:$B$1005,0)))&gt;0,INDEX('商品マスタ'!$J$6:$J$1005,MATCH($C377,'商品マスタ'!$B$6:$B$1005,0)),""),""))</f>
        <v/>
      </c>
      <c r="N377">
        <f>IF($C377="","",IFERROR(IF(N(INDEX('商品マスタ'!$H$6:$H$1005,MATCH($C377,'商品マスタ'!$B$6:$B$1005,0)))&gt;0,INDEX('商品マスタ'!$H$6:$H$1005,MATCH($C377,'商品マスタ'!$B$6:$B$1005,0)),""),""))</f>
        <v/>
      </c>
      <c r="O377">
        <f>IF($C377="","",IF($N377&lt;&gt;"",$N377*$G377,IF(N(IF(COUNTIFS('①在庫を貼る'!$V$6:$V$10005,'設定'!$C$4,'①在庫を貼る'!$W$6:$W$10005,$C377)&gt;0,SUMIFS('①在庫を貼る'!$O$6:$O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O$6:$O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O$6:$O$10005,'月1回_2ヶ月前の在庫'!$V$6:$V$10005,'設定'!$C$4,'月1回_2ヶ月前の在庫'!$W$6:$W$10005,$C377)/COUNTIFS('月1回_2ヶ月前の在庫'!$V$6:$V$10005,'設定'!$C$4,'月1回_2ヶ月前の在庫'!$W$6:$W$10005,$C377),0))))&gt;0,N(IF(COUNTIFS('①在庫を貼る'!$V$6:$V$10005,'設定'!$C$4,'①在庫を貼る'!$W$6:$W$10005,$C377)&gt;0,SUMIFS('①在庫を貼る'!$O$6:$O$10005,'①在庫を貼る'!$V$6:$V$10005,'設定'!$C$4,'①在庫を貼る'!$W$6:$W$10005,$C377)/COUNTIFS('①在庫を貼る'!$V$6:$V$10005,'設定'!$C$4,'①在庫を貼る'!$W$6:$W$10005,$C377),IF(COUNTIFS('月1回_1ヶ月前の在庫'!$V$6:$V$10005,'設定'!$C$4,'月1回_1ヶ月前の在庫'!$W$6:$W$10005,$C377)&gt;0,SUMIFS('月1回_1ヶ月前の在庫'!$O$6:$O$10005,'月1回_1ヶ月前の在庫'!$V$6:$V$10005,'設定'!$C$4,'月1回_1ヶ月前の在庫'!$W$6:$W$10005,$C377)/COUNTIFS('月1回_1ヶ月前の在庫'!$V$6:$V$10005,'設定'!$C$4,'月1回_1ヶ月前の在庫'!$W$6:$W$10005,$C377),IF(COUNTIFS('月1回_2ヶ月前の在庫'!$V$6:$V$10005,'設定'!$C$4,'月1回_2ヶ月前の在庫'!$W$6:$W$10005,$C377)&gt;0,SUMIFS('月1回_2ヶ月前の在庫'!$O$6:$O$10005,'月1回_2ヶ月前の在庫'!$V$6:$V$10005,'設定'!$C$4,'月1回_2ヶ月前の在庫'!$W$6:$W$10005,$C377)/COUNTIFS('月1回_2ヶ月前の在庫'!$V$6:$V$10005,'設定'!$C$4,'月1回_2ヶ月前の在庫'!$W$6:$W$10005,$C377),0)))),"")))</f>
        <v/>
      </c>
      <c r="P377" s="90">
        <f>IF($C377="","",IF('②発注する'!$I381="","",'②発注する'!$I381))</f>
        <v/>
      </c>
      <c r="Q377">
        <f>IF($C377="","",IF('②発注する'!$J381="","",'②発注する'!$J381))</f>
        <v/>
      </c>
      <c r="R377">
        <f>IF($C377="",0,IF(AND(ISNUMBER($P377),ISNUMBER($Q377)),MAX(0,$Q377)*$G377,0))</f>
        <v/>
      </c>
      <c r="S377" s="90">
        <f>IF($C377="","",IF('②発注する'!$M381="","",'②発注する'!$M381))</f>
        <v/>
      </c>
      <c r="T377">
        <f>IF($C377="","",IF('②発注する'!$N381="","",'②発注する'!$N381))</f>
        <v/>
      </c>
      <c r="U377">
        <f>IF($C377="",0,IF(AND(ISNUMBER($S377),ISNUMBER($T377)),MAX(0,$T377)*$G377,0))</f>
        <v/>
      </c>
      <c r="V377">
        <f>IF($C377="",0,IF($M377="",0,MAX(0,$M377)*MAX(0,V$4)/100))</f>
        <v/>
      </c>
      <c r="W377">
        <f>IF($C377="",0,IF($M377="",0,MAX(0,$M377)*MAX(0,W$4)/100))</f>
        <v/>
      </c>
      <c r="X377">
        <f>IF($C377="",0,IF($M377="",0,MAX(0,$M377)*MAX(0,X$4)/100))</f>
        <v/>
      </c>
      <c r="Y377">
        <f>IF($C377="",0,IF($M377="",0,MAX(0,$M377)*MAX(0,Y$4)/100))</f>
        <v/>
      </c>
      <c r="Z377">
        <f>IF($C377="",0,IF($M377="",0,MAX(0,$M377)*MAX(0,Z$4)/100))</f>
        <v/>
      </c>
      <c r="AA377">
        <f>IF($C377="",0,IF($M377="",0,MAX(0,$M377)*MAX(0,AA$4)/100))</f>
        <v/>
      </c>
      <c r="AB377">
        <f>IF($C377="",0,IF($M377="",0,MAX(0,$M377)*MAX(0,AB$4)/100))</f>
        <v/>
      </c>
      <c r="AC377">
        <f>IF($C377="",0,IF($M377="",0,MAX(0,$M377)*MAX(0,AC$4)/100))</f>
        <v/>
      </c>
      <c r="AD377">
        <f>IF($C377="",0,IF($M377="",0,MAX(0,$M377)*MAX(0,AD$4)/100))</f>
        <v/>
      </c>
      <c r="AE377">
        <f>IF($C377="",0,IF($M377="",0,MAX(0,$M377)*MAX(0,AE$4)/100))</f>
        <v/>
      </c>
      <c r="AF377">
        <f>IF($C377="",0,IF($M377="",0,MAX(0,$M377)*MAX(0,AF$4)/100))</f>
        <v/>
      </c>
      <c r="AG377">
        <f>IF($C377="",0,IF($M377="",0,MAX(0,$M377)*MAX(0,AG$4)/100))</f>
        <v/>
      </c>
      <c r="AH377">
        <f>IF($C377="",0,IF($M377="",0,MAX(0,$M377)*MAX(0,AH$4)/100))</f>
        <v/>
      </c>
      <c r="AI377">
        <f>IF($C377="",0,IF($M377="",0,MAX(0,$M377)*MAX(0,AI$4)/100))</f>
        <v/>
      </c>
      <c r="AJ377">
        <f>IF($C377="",0,MAX(0,MAX(0,N($L377))-$V377))</f>
        <v/>
      </c>
      <c r="AK377">
        <f>IF($C377="",0,MAX(0,$AJ377-$W377))</f>
        <v/>
      </c>
      <c r="AL377">
        <f>IF($C377="",0,MAX(0,$AK377-$X377))</f>
        <v/>
      </c>
      <c r="AM377">
        <f>IF($C377="",0,MAX(0,$AL377-$Y377))</f>
        <v/>
      </c>
      <c r="AN377">
        <f>IF($C377="",0,MAX(0,$AM377-$Z377))</f>
        <v/>
      </c>
      <c r="AO377">
        <f>IF($C377="",0,MAX(0,$AN377-$AA377))</f>
        <v/>
      </c>
      <c r="AP377">
        <f>IF($C377="",0,MAX(0,$AO377-$AB377))</f>
        <v/>
      </c>
      <c r="AQ377">
        <f>IF($C377="",0,MAX(0,$AP377-$AC377))</f>
        <v/>
      </c>
      <c r="AR377">
        <f>IF($C377="",0,MAX(0,$AQ377-$AD377))</f>
        <v/>
      </c>
      <c r="AS377">
        <f>IF($C377="",0,MAX(0,$AR377-$AE377))</f>
        <v/>
      </c>
      <c r="AT377">
        <f>IF($C377="",0,MAX(0,$AS377-$AF377))</f>
        <v/>
      </c>
      <c r="AU377">
        <f>IF($C377="",0,MAX(0,$AT377-$AG377))</f>
        <v/>
      </c>
      <c r="AV377">
        <f>IF($C377="",0,MAX(0,$AU377-$AH377))</f>
        <v/>
      </c>
      <c r="AW377">
        <f>IF($C377="",0,MAX(0,$AV377-$AI377))</f>
        <v/>
      </c>
      <c r="AX377">
        <f>IF($C377="",0,MAX(0,MAX(0,N($L377))+IF($P377=V$3,$R377,0)+IF($S377=V$3,$U377,0)-$V377))</f>
        <v/>
      </c>
      <c r="AY377">
        <f>IF($C377="",0,MAX(0,$AX377+IF($P377=W$3,$R377,0)+IF($S377=W$3,$U377,0)-$W377))</f>
        <v/>
      </c>
      <c r="AZ377">
        <f>IF($C377="",0,MAX(0,$AY377+IF($P377=X$3,$R377,0)+IF($S377=X$3,$U377,0)-$X377))</f>
        <v/>
      </c>
      <c r="BA377">
        <f>IF($C377="",0,MAX(0,$AZ377+IF($P377=Y$3,$R377,0)+IF($S377=Y$3,$U377,0)-$Y377))</f>
        <v/>
      </c>
      <c r="BB377">
        <f>IF($C377="",0,MAX(0,$BA377+IF($P377=Z$3,$R377,0)+IF($S377=Z$3,$U377,0)-$Z377))</f>
        <v/>
      </c>
      <c r="BC377">
        <f>IF($C377="",0,MAX(0,$BB377+IF($P377=AA$3,$R377,0)+IF($S377=AA$3,$U377,0)-$AA377))</f>
        <v/>
      </c>
      <c r="BD377">
        <f>IF($C377="",0,MAX(0,$BC377+IF($P377=AB$3,$R377,0)+IF($S377=AB$3,$U377,0)-$AB377))</f>
        <v/>
      </c>
      <c r="BE377">
        <f>IF($C377="",0,MAX(0,$BD377+IF($P377=AC$3,$R377,0)+IF($S377=AC$3,$U377,0)-$AC377))</f>
        <v/>
      </c>
      <c r="BF377">
        <f>IF($C377="",0,MAX(0,$BE377+IF($P377=AD$3,$R377,0)+IF($S377=AD$3,$U377,0)-$AD377))</f>
        <v/>
      </c>
      <c r="BG377">
        <f>IF($C377="",0,MAX(0,$BF377+IF($P377=AE$3,$R377,0)+IF($S377=AE$3,$U377,0)-$AE377))</f>
        <v/>
      </c>
      <c r="BH377">
        <f>IF($C377="",0,MAX(0,$BG377+IF($P377=AF$3,$R377,0)+IF($S377=AF$3,$U377,0)-$AF377))</f>
        <v/>
      </c>
      <c r="BI377">
        <f>IF($C377="",0,MAX(0,$BH377+IF($P377=AG$3,$R377,0)+IF($S377=AG$3,$U377,0)-$AG377))</f>
        <v/>
      </c>
      <c r="BJ377">
        <f>IF($C377="",0,MAX(0,$BI377+IF($P377=AH$3,$R377,0)+IF($S377=AH$3,$U377,0)-$AH377))</f>
        <v/>
      </c>
      <c r="BK377">
        <f>IF($C377="",0,MAX(0,$BJ377+IF($P377=AI$3,$R377,0)+IF($S377=AI$3,$U377,0)-$AI377))</f>
        <v/>
      </c>
      <c r="BL377">
        <f>IF($C377="",99,IF(AND($AX377&lt;1,V$3&gt;=MAX(N($P377),N($S377))),0,99))</f>
        <v/>
      </c>
      <c r="BM377">
        <f>IF($C377="",99,IF(AND($AY377&lt;1,W$3&gt;=MAX(N($P377),N($S377))),1,99))</f>
        <v/>
      </c>
      <c r="BN377">
        <f>IF($C377="",99,IF(AND($AZ377&lt;1,X$3&gt;=MAX(N($P377),N($S377))),2,99))</f>
        <v/>
      </c>
      <c r="BO377">
        <f>IF($C377="",99,IF(AND($BA377&lt;1,Y$3&gt;=MAX(N($P377),N($S377))),3,99))</f>
        <v/>
      </c>
      <c r="BP377">
        <f>IF($C377="",99,IF(AND($BB377&lt;1,Z$3&gt;=MAX(N($P377),N($S377))),4,99))</f>
        <v/>
      </c>
      <c r="BQ377">
        <f>IF($C377="",99,IF(AND($BC377&lt;1,AA$3&gt;=MAX(N($P377),N($S377))),5,99))</f>
        <v/>
      </c>
      <c r="BR377">
        <f>IF($C377="",99,IF(AND($BD377&lt;1,AB$3&gt;=MAX(N($P377),N($S377))),6,99))</f>
        <v/>
      </c>
      <c r="BS377">
        <f>IF($C377="",99,IF(AND($BE377&lt;1,AC$3&gt;=MAX(N($P377),N($S377))),7,99))</f>
        <v/>
      </c>
      <c r="BT377">
        <f>IF($C377="",99,IF(AND($BF377&lt;1,AD$3&gt;=MAX(N($P377),N($S377))),8,99))</f>
        <v/>
      </c>
      <c r="BU377">
        <f>IF($C377="",99,IF(AND($BG377&lt;1,AE$3&gt;=MAX(N($P377),N($S377))),9,99))</f>
        <v/>
      </c>
      <c r="BV377">
        <f>IF($C377="",99,IF(AND($BH377&lt;1,AF$3&gt;=MAX(N($P377),N($S377))),10,99))</f>
        <v/>
      </c>
      <c r="BW377">
        <f>IF($C377="",99,IF(AND($BI377&lt;1,AG$3&gt;=MAX(N($P377),N($S377))),11,99))</f>
        <v/>
      </c>
      <c r="BX377">
        <f>IF($C377="",99,IF(AND($BJ377&lt;1,AH$3&gt;=MAX(N($P377),N($S377))),12,99))</f>
        <v/>
      </c>
      <c r="BY377">
        <f>IF($C377="",99,IF(AND($BK377&lt;1,AI$3&gt;=MAX(N($P377),N($S377))),13,99))</f>
        <v/>
      </c>
      <c r="BZ377">
        <f>IF(OR($C377="",$M377=""),"",COUNTIF($AJ377:$AW377,"&gt;=1"))</f>
        <v/>
      </c>
      <c r="CA377" s="90">
        <f>IF($BZ377="","",IF($BZ377&gt;=14,"",'設定'!$C$6+$BZ377))</f>
        <v/>
      </c>
      <c r="CB377">
        <f>IF(OR($C377="",$M377=""),"",MIN($BL377:$BY377))</f>
        <v/>
      </c>
      <c r="CC377" s="90">
        <f>IF($CB377="","",IF($CB377&gt;=99,"",'設定'!$C$6+$CB377))</f>
        <v/>
      </c>
      <c r="CD377">
        <f>IF(OR($C377="",$M377=""),"",AVERAGE($V377:$AI377))</f>
        <v/>
      </c>
      <c r="CE377">
        <f>IF($C377="","",IFERROR(IF(MATCH(IF(ISNUMBER($P377),$P377,'設定'!$C$6+N('設定'!$C$7)),$V$3:$AI$3,0)=1,MAX(0,N($L377)),INDEX($AJ377:$AW377,MATCH(IF(ISNUMBER($P377),$P377,'設定'!$C$6+N('設定'!$C$7)),$V$3:$AI$3,0)-1)),""))</f>
        <v/>
      </c>
      <c r="CF377">
        <f>IF(OR($C377="",$O377="",$CE377=""),"",IF($O377-$CE377&lt;=0,0,ROUNDUP(($O377-$CE377)/$G377,0)))</f>
        <v/>
      </c>
      <c r="CG377">
        <f>IF(OR($C377="",$CF377="",NOT(ISNUMBER($Q377))),0,MAX(0,$Q377-$CF377))</f>
        <v/>
      </c>
      <c r="CH377">
        <f>IF(OR($C377="",$O377="",$U377=0),0,IFERROR(ROUNDUP(MAX(0,IF(MATCH($S377,$V$3:$AI$3,0)=1,MAX(0,N($L377)),INDEX($AX377:$BK377,MATCH($S377,$V$3:$AI$3,0)-1))+$U377-$O377)/$G377,0),0))</f>
        <v/>
      </c>
      <c r="CI377">
        <f>IF($C377="","",IF(AND($P377="",$Q377=""),"",IF($P377="","⚠ 入庫日を ▼ から選んでください",IF(NOT(ISNUMBER($P377)),"⚠ 入庫日は ▼ から選んでください",IF($P377&lt;N('設定'!$C$6),"⚠ 入庫日が過去です（もう在庫に入っています）→ 消してください",IF($P377&gt;N('設定'!$C$6)+13,"⚠ 入庫日が14日より先です",IF(N($Q377)&lt;=0,"⚠ 入庫数を入れてください",IF($CG377&gt;0,"⚠ 目安より "&amp;$CG377&amp;" 多い（定数を超える）→ 減らす",""))))))))</f>
        <v/>
      </c>
      <c r="CJ377">
        <f>IF($C377="","",IF(AND($S377="",$T377=""),"",IF($S377="","⚠ 2便目：入庫日を ▼ から選んでください",IF(NOT(ISNUMBER($S377)),"⚠ 2便目：入庫日は ▼ から選んでください",IF($S377&lt;N('設定'!$C$6),"⚠ 2便目：入庫日が過去です（もう在庫に入っています）→ 消してください",IF($S377&gt;N('設定'!$C$6)+13,"⚠ 2便目：入庫日が14日より先です",IF(N($T377)&lt;=0,"⚠ 2便目：入庫数を入れてください",IF($CH377&gt;0,"⚠ 2便目：定数を "&amp;$CH377&amp;" ケース超える → 減らす",""))))))))</f>
        <v/>
      </c>
      <c r="CK377">
        <f>IF(AND($CI377="",N($Q377)&gt;0,ISNUMBER($P377)),1,0)</f>
        <v/>
      </c>
      <c r="CL377">
        <f>IF(AND($CJ377="",N($T377)&gt;0,ISNUMBER($S377)),1,0)</f>
        <v/>
      </c>
      <c r="CM377">
        <f>IF(OR($CK377=1,$CL377=1),1,0)</f>
        <v/>
      </c>
      <c r="CN377">
        <f>IF($C377="",0,($CK377*$R377+$CL377*$U377)*N($H377))</f>
        <v/>
      </c>
      <c r="CO377">
        <f>IF($C377="","",IF($CC377="","入庫後は 14日以上もつ",IF($CC377-N('設定'!$C$7)&lt;='設定'!$C$6,"入庫後も "&amp;TEXT($CC377,"m/d")&amp;"("&amp;CHOOSE(WEEKDAY($CC377),"日","月","火","水","木","金","土")&amp;")"&amp;" に切れる　もう1便を至急発注","入庫後も "&amp;TEXT($CC377,"m/d")&amp;"("&amp;CHOOSE(WEEKDAY($CC377),"日","月","火","水","木","金","土")&amp;")"&amp;" に切れる　"&amp;TEXT($CC377-N('設定'!$C$7),"m/d")&amp;"("&amp;CHOOSE(WEEKDAY($CC377-N('設定'!$C$7)),"日","月","火","水","木","金","土")&amp;")"&amp;" までに次を発注")))</f>
        <v/>
      </c>
      <c r="CP377">
        <f>IF($C377="","",IF('設定'!$C$6="","？ ①在庫を貼る に今日のCSVが貼られていない",IF($CS377=1,"－ 今日のCSVに無い（終売？）",IF($L377&lt;0,"● 在庫がマイナス　数えて「数えた在庫」に入れる",IF($L377=0,"● 在庫なし　至急発注",IF($M377="","？ 減り数が未設定（商品マスタ）",IF($B$3=0,"？ 動員が未入力（動員を入れる）",IF($CA377="","○ 14日以上もつ",IF($BZ377&lt;N('設定'!$C$7),"● "&amp;TEXT($CA377,"m/d")&amp;"("&amp;CHOOSE(WEEKDAY($CA377),"日","月","火","水","木","金","土")&amp;")"&amp;" に切れる　至急発注",IF($BZ377=N('設定'!$C$7),"● "&amp;TEXT($CA377,"m/d")&amp;"("&amp;CHOOSE(WEEKDAY($CA377),"日","月","火","水","木","金","土")&amp;")"&amp;" に切れる　今日発注","△ "&amp;TEXT($CA377,"m/d")&amp;"("&amp;CHOOSE(WEEKDAY($CA377),"日","月","火","水","木","金","土")&amp;")"&amp;" に切れる　"&amp;TEXT($CA377-N('設定'!$C$7),"m/d")&amp;"("&amp;CHOOSE(WEEKDAY($CA377-N('設定'!$C$7)),"日","月","火","水","木","金","土")&amp;")"&amp;" までに発注"))))))))))</f>
        <v/>
      </c>
      <c r="CQ377">
        <f>IF($C377="","",IF(AND($P377="",$Q377="",$S377="",$T377=""),"",IF(AND($P377="",$Q377=""),"⚠ 先に1便目（左の入庫日・入庫数）に入れてください",IF($CI377&lt;&gt;"",$CI377,IF($CJ377&lt;&gt;"",$CJ377,IF($M377="","？ 減り数が未設定（発注書には載ります）",IF($B$3=0,"？ 動員が未入力（発注書には載ります）",IF(AND($CA377&lt;&gt;"",$P377&gt;$CA377),IF($P377&gt;'設定'!$C$6+N('設定'!$C$7),"● "&amp;TEXT($P377,"m/d")&amp;"("&amp;CHOOSE(WEEKDAY($P377),"日","月","火","水","木","金","土")&amp;")"&amp;" の入庫では間に合わない（"&amp;TEXT($CA377,"m/d")&amp;"("&amp;CHOOSE(WEEKDAY($CA377),"日","月","火","水","木","金","土")&amp;")"&amp;" に切れる）　入庫日を早める","△ 欠品 "&amp;TEXT($CA377,"m/d")&amp;"("&amp;CHOOSE(WEEKDAY($CA377),"日","月","火","水","木","金","土")&amp;")"&amp;"〜"&amp;TEXT($P377-1,"m/d")&amp;"("&amp;CHOOSE(WEEKDAY($P377-1),"日","月","火","水","木","金","土")&amp;")"&amp;"　"&amp;$CO377),IF($CC377="","○ "&amp;TEXT($P377,"m/d")&amp;"("&amp;CHOOSE(WEEKDAY($P377),"日","月","火","水","木","金","土")&amp;")"&amp;" 入庫で 14日以上もつ",IF($CC377-N('設定'!$C$7)&lt;='設定'!$C$6,"● 入庫しても "&amp;TEXT($CC377,"m/d")&amp;"("&amp;CHOOSE(WEEKDAY($CC377),"日","月","火","水","木","金","土")&amp;")"&amp;" に切れる　もう1便を至急発注（2便目に入れる）","△ 入庫しても "&amp;TEXT($CC377,"m/d")&amp;"("&amp;CHOOSE(WEEKDAY($CC377),"日","月","火","水","木","金","土")&amp;")"&amp;" に切れる　"&amp;TEXT($CC377-N('設定'!$C$7),"m/d")&amp;"("&amp;CHOOSE(WEEKDAY($CC377-N('設定'!$C$7)),"日","月","火","水","木","金","土")&amp;")"&amp;" までに次を発注（2便目に入れる）"))))))))))</f>
        <v/>
      </c>
      <c r="CR377">
        <f>IF($C377="","",IF($G377&gt;1,"ｹｰｽ("&amp;$G377&amp;"入)","個"))</f>
        <v/>
      </c>
      <c r="CS377">
        <f>IF($C377="",0,IF(COUNTIFS('①在庫を貼る'!$V$6:$V$10005,'設定'!$C$4,'①在庫を貼る'!$W$6:$W$10005,$C377)=0,1,0))</f>
        <v/>
      </c>
      <c r="CT377">
        <f>IF(AND($CK377=1,OR('③発注書'!$C$4="すべて",'③発注書'!$C$4="",$F377='③発注書'!$C$4)),N($CT376)+1,N($CT376))</f>
        <v/>
      </c>
      <c r="CU377">
        <f>IF(AND($CL377=1,OR('③発注書'!$C$4="すべて",'③発注書'!$C$4="",$F377='③発注書'!$C$4)),N($CU376)+1,N($CU376))</f>
        <v/>
      </c>
      <c r="CV377">
        <f>IF($C377="",0,IF(COUNTIFS('①在庫を貼る'!$V$6:$V$10005,'設定'!$C$4,'①在庫を貼る'!$W$6:$W$10005,$C377)&gt;0,1,0))</f>
        <v/>
      </c>
      <c r="CW377">
        <f>IF($C377="",0,IF(COUNTIFS('月1回_1ヶ月前の在庫'!$V$6:$V$10005,'設定'!$C$4,'月1回_1ヶ月前の在庫'!$W$6:$W$10005,$C377)&gt;0,1,0))</f>
        <v/>
      </c>
      <c r="CX377">
        <f>IF($C377="",0,IF(COUNTIFS('月1回_2ヶ月前の在庫'!$V$6:$V$10005,'設定'!$C$4,'月1回_2ヶ月前の在庫'!$W$6:$W$10005,$C377)&gt;0,1,0))</f>
        <v/>
      </c>
      <c r="CY377">
        <f>IF(OR($C377="",'設定'!$C$12=""),"",IF('設定'!$C$13="",IF(AND($CV377=1,$CW377=0),"新商品（今月から）",IF(AND($CV377=0,$CW377=1),"終売（今月から）","")),IF(AND($CV377=1,$CW377=0,$CX377=0),"新商品（今月から）",IF(AND($CV377=1,$CW377=1,$CX377=0),"新商品（先月から）",IF(AND($CV377=0,$CW377=1,$CX377=1),"終売（今月から）",IF(AND($CV377=0,$CW377=0,$CX377=1),"終売（先月から）",IF(AND($CV377=1,$CW377=0,$CX377=1),"復活（先月は無し）","")))))))</f>
        <v/>
      </c>
    </row>
    <row r="378">
      <c r="B378">
        <f>IF(373&lt;='設定'!$C$11,373,"")</f>
        <v/>
      </c>
      <c r="C378">
        <f>IF($B378="","",IF($B378&lt;='設定'!$C$20,INDEX('商品マスタ'!$B$6:$B$1005,MATCH($B378,'商品マスタ'!$M$6:$M$1005,0)),IF($B378&lt;='設定'!$C$20+'設定'!$C$17,INDEX('①在庫を貼る'!$W$6:$W$10005,MATCH($B378-'設定'!$C$20,'①在庫を貼る'!$U$6:$U$10005,0)),IF($B378&lt;='設定'!$C$20+'設定'!$C$17+'設定'!$C$18,INDEX('月1回_1ヶ月前の在庫'!$W$6:$W$10005,MATCH($B378-'設定'!$C$20-'設定'!$C$17,'月1回_1ヶ月前の在庫'!$U$6:$U$10005,0)),INDEX('月1回_2ヶ月前の在庫'!$W$6:$W$10005,MATCH($B378-'設定'!$C$20-'設定'!$C$17-'設定'!$C$18,'月1回_2ヶ月前の在庫'!$U$6:$U$10005,0))))))</f>
        <v/>
      </c>
      <c r="D378">
        <f>IF($C378="","",IFERROR(IF(INDEX('商品マスタ'!$C$6:$C$1005,MATCH($C378,'商品マスタ'!$B$6:$B$1005,0))="",IFERROR(INDEX('①在庫を貼る'!$J$6:$J$10005,MATCH($C378,'①在庫を貼る'!$W$6:$W$10005,0)),IFERROR(INDEX('月1回_1ヶ月前の在庫'!$J$6:$J$10005,MATCH($C378,'月1回_1ヶ月前の在庫'!$W$6:$W$10005,0)),IFERROR(INDEX('月1回_2ヶ月前の在庫'!$J$6:$J$10005,MATCH($C378,'月1回_2ヶ月前の在庫'!$W$6:$W$10005,0)),""))),INDEX('商品マスタ'!$C$6:$C$1005,MATCH($C378,'商品マスタ'!$B$6:$B$1005,0))),IFERROR(INDEX('①在庫を貼る'!$J$6:$J$10005,MATCH($C378,'①在庫を貼る'!$W$6:$W$10005,0)),IFERROR(INDEX('月1回_1ヶ月前の在庫'!$J$6:$J$10005,MATCH($C378,'月1回_1ヶ月前の在庫'!$W$6:$W$10005,0)),IFERROR(INDEX('月1回_2ヶ月前の在庫'!$J$6:$J$10005,MATCH($C378,'月1回_2ヶ月前の在庫'!$W$6:$W$10005,0)),"")))))</f>
        <v/>
      </c>
      <c r="E378">
        <f>IF($C378="","",IFERROR(IF(INDEX('商品マスタ'!$D$6:$D$1005,MATCH($C378,'商品マスタ'!$B$6:$B$1005,0))="",IFERROR(INDEX('①在庫を貼る'!$H$6:$H$10005,MATCH($C378,'①在庫を貼る'!$W$6:$W$10005,0)),IFERROR(INDEX('月1回_1ヶ月前の在庫'!$H$6:$H$10005,MATCH($C378,'月1回_1ヶ月前の在庫'!$W$6:$W$10005,0)),IFERROR(INDEX('月1回_2ヶ月前の在庫'!$H$6:$H$10005,MATCH($C378,'月1回_2ヶ月前の在庫'!$W$6:$W$10005,0)),""))),INDEX('商品マスタ'!$D$6:$D$1005,MATCH($C378,'商品マスタ'!$B$6:$B$1005,0))),IFERROR(INDEX('①在庫を貼る'!$H$6:$H$10005,MATCH($C378,'①在庫を貼る'!$W$6:$W$10005,0)),IFERROR(INDEX('月1回_1ヶ月前の在庫'!$H$6:$H$10005,MATCH($C378,'月1回_1ヶ月前の在庫'!$W$6:$W$10005,0)),IFERROR(INDEX('月1回_2ヶ月前の在庫'!$H$6:$H$10005,MATCH($C378,'月1回_2ヶ月前の在庫'!$W$6:$W$10005,0)),"")))))</f>
        <v/>
      </c>
      <c r="F378">
        <f>IF($C378="","",IFERROR(IF(INDEX('商品マスタ'!$E$6:$E$1005,MATCH($C378,'商品マスタ'!$B$6:$B$1005,0))="",IFERROR(INDEX('①在庫を貼る'!$E$6:$E$10005,MATCH($C378,'①在庫を貼る'!$W$6:$W$10005,0)),IFERROR(INDEX('月1回_1ヶ月前の在庫'!$E$6:$E$10005,MATCH($C378,'月1回_1ヶ月前の在庫'!$W$6:$W$10005,0)),IFERROR(INDEX('月1回_2ヶ月前の在庫'!$E$6:$E$10005,MATCH($C378,'月1回_2ヶ月前の在庫'!$W$6:$W$10005,0)),""))),INDEX('商品マスタ'!$E$6:$E$1005,MATCH($C378,'商品マスタ'!$B$6:$B$1005,0))),IFERROR(INDEX('①在庫を貼る'!$E$6:$E$10005,MATCH($C378,'①在庫を貼る'!$W$6:$W$10005,0)),IFERROR(INDEX('月1回_1ヶ月前の在庫'!$E$6:$E$10005,MATCH($C378,'月1回_1ヶ月前の在庫'!$W$6:$W$10005,0)),IFERROR(INDEX('月1回_2ヶ月前の在庫'!$E$6:$E$10005,MATCH($C378,'月1回_2ヶ月前の在庫'!$W$6:$W$10005,0)),"")))))</f>
        <v/>
      </c>
      <c r="G378">
        <f>IF($C378="","",MAX(1,N(IFERROR(IF(INDEX('商品マスタ'!$F$6:$F$1005,MATCH($C378,'商品マスタ'!$B$6:$B$1005,0))="",IF(COUNTIFS('①在庫を貼る'!$V$6:$V$10005,'設定'!$C$4,'①在庫を貼る'!$W$6:$W$10005,$C378)&gt;0,SUMIFS('①在庫を貼る'!$K$6:$K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K$6:$K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K$6:$K$10005,'月1回_2ヶ月前の在庫'!$V$6:$V$10005,'設定'!$C$4,'月1回_2ヶ月前の在庫'!$W$6:$W$10005,$C378)/COUNTIFS('月1回_2ヶ月前の在庫'!$V$6:$V$10005,'設定'!$C$4,'月1回_2ヶ月前の在庫'!$W$6:$W$10005,$C378),0))),INDEX('商品マスタ'!$F$6:$F$1005,MATCH($C378,'商品マスタ'!$B$6:$B$1005,0))),IF(COUNTIFS('①在庫を貼る'!$V$6:$V$10005,'設定'!$C$4,'①在庫を貼る'!$W$6:$W$10005,$C378)&gt;0,SUMIFS('①在庫を貼る'!$K$6:$K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K$6:$K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K$6:$K$10005,'月1回_2ヶ月前の在庫'!$V$6:$V$10005,'設定'!$C$4,'月1回_2ヶ月前の在庫'!$W$6:$W$10005,$C378)/COUNTIFS('月1回_2ヶ月前の在庫'!$V$6:$V$10005,'設定'!$C$4,'月1回_2ヶ月前の在庫'!$W$6:$W$10005,$C378),0)))))))</f>
        <v/>
      </c>
      <c r="H378">
        <f>IF($C378="","",N(IFERROR(IF(INDEX('商品マスタ'!$G$6:$G$1005,MATCH($C378,'商品マスタ'!$B$6:$B$1005,0))="",IF(COUNTIFS('①在庫を貼る'!$V$6:$V$10005,'設定'!$C$4,'①在庫を貼る'!$W$6:$W$10005,$C378)&gt;0,SUMIFS('①在庫を貼る'!$Q$6:$Q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Q$6:$Q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Q$6:$Q$10005,'月1回_2ヶ月前の在庫'!$V$6:$V$10005,'設定'!$C$4,'月1回_2ヶ月前の在庫'!$W$6:$W$10005,$C378)/COUNTIFS('月1回_2ヶ月前の在庫'!$V$6:$V$10005,'設定'!$C$4,'月1回_2ヶ月前の在庫'!$W$6:$W$10005,$C378),0))),INDEX('商品マスタ'!$G$6:$G$1005,MATCH($C378,'商品マスタ'!$B$6:$B$1005,0))),IF(COUNTIFS('①在庫を貼る'!$V$6:$V$10005,'設定'!$C$4,'①在庫を貼る'!$W$6:$W$10005,$C378)&gt;0,SUMIFS('①在庫を貼る'!$Q$6:$Q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Q$6:$Q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Q$6:$Q$10005,'月1回_2ヶ月前の在庫'!$V$6:$V$10005,'設定'!$C$4,'月1回_2ヶ月前の在庫'!$W$6:$W$10005,$C378)/COUNTIFS('月1回_2ヶ月前の在庫'!$V$6:$V$10005,'設定'!$C$4,'月1回_2ヶ月前の在庫'!$W$6:$W$10005,$C378),0))))))</f>
        <v/>
      </c>
      <c r="I378">
        <f>IF($C378="","",IF(COUNTIFS('①在庫を貼る'!$V$6:$V$10005,'設定'!$C$4,'①在庫を貼る'!$W$6:$W$10005,$C378)=0,"",SUMIFS('①在庫を貼る'!$N$6:$N$10005,'①在庫を貼る'!$V$6:$V$10005,'設定'!$C$4,'①在庫を貼る'!$W$6:$W$10005,$C378)))</f>
        <v/>
      </c>
      <c r="J378">
        <f>IF($C378="","",IF('②発注する'!$AD382="","",'②発注する'!$AD382))</f>
        <v/>
      </c>
      <c r="K378" s="90">
        <f>IF($C378="","",IF('②発注する'!$AE382="","",'②発注する'!$AE382))</f>
        <v/>
      </c>
      <c r="L378">
        <f>IF($C378="","",IF(AND(ISNUMBER($J378),ISNUMBER($K378),$K378&gt;='設定'!$C$6),$J378,N($I378)))</f>
        <v/>
      </c>
      <c r="M378">
        <f>IF($C378="","",IFERROR(IF(N(INDEX('商品マスタ'!$J$6:$J$1005,MATCH($C378,'商品マスタ'!$B$6:$B$1005,0)))&gt;0,INDEX('商品マスタ'!$J$6:$J$1005,MATCH($C378,'商品マスタ'!$B$6:$B$1005,0)),""),""))</f>
        <v/>
      </c>
      <c r="N378">
        <f>IF($C378="","",IFERROR(IF(N(INDEX('商品マスタ'!$H$6:$H$1005,MATCH($C378,'商品マスタ'!$B$6:$B$1005,0)))&gt;0,INDEX('商品マスタ'!$H$6:$H$1005,MATCH($C378,'商品マスタ'!$B$6:$B$1005,0)),""),""))</f>
        <v/>
      </c>
      <c r="O378">
        <f>IF($C378="","",IF($N378&lt;&gt;"",$N378*$G378,IF(N(IF(COUNTIFS('①在庫を貼る'!$V$6:$V$10005,'設定'!$C$4,'①在庫を貼る'!$W$6:$W$10005,$C378)&gt;0,SUMIFS('①在庫を貼る'!$O$6:$O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O$6:$O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O$6:$O$10005,'月1回_2ヶ月前の在庫'!$V$6:$V$10005,'設定'!$C$4,'月1回_2ヶ月前の在庫'!$W$6:$W$10005,$C378)/COUNTIFS('月1回_2ヶ月前の在庫'!$V$6:$V$10005,'設定'!$C$4,'月1回_2ヶ月前の在庫'!$W$6:$W$10005,$C378),0))))&gt;0,N(IF(COUNTIFS('①在庫を貼る'!$V$6:$V$10005,'設定'!$C$4,'①在庫を貼る'!$W$6:$W$10005,$C378)&gt;0,SUMIFS('①在庫を貼る'!$O$6:$O$10005,'①在庫を貼る'!$V$6:$V$10005,'設定'!$C$4,'①在庫を貼る'!$W$6:$W$10005,$C378)/COUNTIFS('①在庫を貼る'!$V$6:$V$10005,'設定'!$C$4,'①在庫を貼る'!$W$6:$W$10005,$C378),IF(COUNTIFS('月1回_1ヶ月前の在庫'!$V$6:$V$10005,'設定'!$C$4,'月1回_1ヶ月前の在庫'!$W$6:$W$10005,$C378)&gt;0,SUMIFS('月1回_1ヶ月前の在庫'!$O$6:$O$10005,'月1回_1ヶ月前の在庫'!$V$6:$V$10005,'設定'!$C$4,'月1回_1ヶ月前の在庫'!$W$6:$W$10005,$C378)/COUNTIFS('月1回_1ヶ月前の在庫'!$V$6:$V$10005,'設定'!$C$4,'月1回_1ヶ月前の在庫'!$W$6:$W$10005,$C378),IF(COUNTIFS('月1回_2ヶ月前の在庫'!$V$6:$V$10005,'設定'!$C$4,'月1回_2ヶ月前の在庫'!$W$6:$W$10005,$C378)&gt;0,SUMIFS('月1回_2ヶ月前の在庫'!$O$6:$O$10005,'月1回_2ヶ月前の在庫'!$V$6:$V$10005,'設定'!$C$4,'月1回_2ヶ月前の在庫'!$W$6:$W$10005,$C378)/COUNTIFS('月1回_2ヶ月前の在庫'!$V$6:$V$10005,'設定'!$C$4,'月1回_2ヶ月前の在庫'!$W$6:$W$10005,$C378),0)))),"")))</f>
        <v/>
      </c>
      <c r="P378" s="90">
        <f>IF($C378="","",IF('②発注する'!$I382="","",'②発注する'!$I382))</f>
        <v/>
      </c>
      <c r="Q378">
        <f>IF($C378="","",IF('②発注する'!$J382="","",'②発注する'!$J382))</f>
        <v/>
      </c>
      <c r="R378">
        <f>IF($C378="",0,IF(AND(ISNUMBER($P378),ISNUMBER($Q378)),MAX(0,$Q378)*$G378,0))</f>
        <v/>
      </c>
      <c r="S378" s="90">
        <f>IF($C378="","",IF('②発注する'!$M382="","",'②発注する'!$M382))</f>
        <v/>
      </c>
      <c r="T378">
        <f>IF($C378="","",IF('②発注する'!$N382="","",'②発注する'!$N382))</f>
        <v/>
      </c>
      <c r="U378">
        <f>IF($C378="",0,IF(AND(ISNUMBER($S378),ISNUMBER($T378)),MAX(0,$T378)*$G378,0))</f>
        <v/>
      </c>
      <c r="V378">
        <f>IF($C378="",0,IF($M378="",0,MAX(0,$M378)*MAX(0,V$4)/100))</f>
        <v/>
      </c>
      <c r="W378">
        <f>IF($C378="",0,IF($M378="",0,MAX(0,$M378)*MAX(0,W$4)/100))</f>
        <v/>
      </c>
      <c r="X378">
        <f>IF($C378="",0,IF($M378="",0,MAX(0,$M378)*MAX(0,X$4)/100))</f>
        <v/>
      </c>
      <c r="Y378">
        <f>IF($C378="",0,IF($M378="",0,MAX(0,$M378)*MAX(0,Y$4)/100))</f>
        <v/>
      </c>
      <c r="Z378">
        <f>IF($C378="",0,IF($M378="",0,MAX(0,$M378)*MAX(0,Z$4)/100))</f>
        <v/>
      </c>
      <c r="AA378">
        <f>IF($C378="",0,IF($M378="",0,MAX(0,$M378)*MAX(0,AA$4)/100))</f>
        <v/>
      </c>
      <c r="AB378">
        <f>IF($C378="",0,IF($M378="",0,MAX(0,$M378)*MAX(0,AB$4)/100))</f>
        <v/>
      </c>
      <c r="AC378">
        <f>IF($C378="",0,IF($M378="",0,MAX(0,$M378)*MAX(0,AC$4)/100))</f>
        <v/>
      </c>
      <c r="AD378">
        <f>IF($C378="",0,IF($M378="",0,MAX(0,$M378)*MAX(0,AD$4)/100))</f>
        <v/>
      </c>
      <c r="AE378">
        <f>IF($C378="",0,IF($M378="",0,MAX(0,$M378)*MAX(0,AE$4)/100))</f>
        <v/>
      </c>
      <c r="AF378">
        <f>IF($C378="",0,IF($M378="",0,MAX(0,$M378)*MAX(0,AF$4)/100))</f>
        <v/>
      </c>
      <c r="AG378">
        <f>IF($C378="",0,IF($M378="",0,MAX(0,$M378)*MAX(0,AG$4)/100))</f>
        <v/>
      </c>
      <c r="AH378">
        <f>IF($C378="",0,IF($M378="",0,MAX(0,$M378)*MAX(0,AH$4)/100))</f>
        <v/>
      </c>
      <c r="AI378">
        <f>IF($C378="",0,IF($M378="",0,MAX(0,$M378)*MAX(0,AI$4)/100))</f>
        <v/>
      </c>
      <c r="AJ378">
        <f>IF($C378="",0,MAX(0,MAX(0,N($L378))-$V378))</f>
        <v/>
      </c>
      <c r="AK378">
        <f>IF($C378="",0,MAX(0,$AJ378-$W378))</f>
        <v/>
      </c>
      <c r="AL378">
        <f>IF($C378="",0,MAX(0,$AK378-$X378))</f>
        <v/>
      </c>
      <c r="AM378">
        <f>IF($C378="",0,MAX(0,$AL378-$Y378))</f>
        <v/>
      </c>
      <c r="AN378">
        <f>IF($C378="",0,MAX(0,$AM378-$Z378))</f>
        <v/>
      </c>
      <c r="AO378">
        <f>IF($C378="",0,MAX(0,$AN378-$AA378))</f>
        <v/>
      </c>
      <c r="AP378">
        <f>IF($C378="",0,MAX(0,$AO378-$AB378))</f>
        <v/>
      </c>
      <c r="AQ378">
        <f>IF($C378="",0,MAX(0,$AP378-$AC378))</f>
        <v/>
      </c>
      <c r="AR378">
        <f>IF($C378="",0,MAX(0,$AQ378-$AD378))</f>
        <v/>
      </c>
      <c r="AS378">
        <f>IF($C378="",0,MAX(0,$AR378-$AE378))</f>
        <v/>
      </c>
      <c r="AT378">
        <f>IF($C378="",0,MAX(0,$AS378-$AF378))</f>
        <v/>
      </c>
      <c r="AU378">
        <f>IF($C378="",0,MAX(0,$AT378-$AG378))</f>
        <v/>
      </c>
      <c r="AV378">
        <f>IF($C378="",0,MAX(0,$AU378-$AH378))</f>
        <v/>
      </c>
      <c r="AW378">
        <f>IF($C378="",0,MAX(0,$AV378-$AI378))</f>
        <v/>
      </c>
      <c r="AX378">
        <f>IF($C378="",0,MAX(0,MAX(0,N($L378))+IF($P378=V$3,$R378,0)+IF($S378=V$3,$U378,0)-$V378))</f>
        <v/>
      </c>
      <c r="AY378">
        <f>IF($C378="",0,MAX(0,$AX378+IF($P378=W$3,$R378,0)+IF($S378=W$3,$U378,0)-$W378))</f>
        <v/>
      </c>
      <c r="AZ378">
        <f>IF($C378="",0,MAX(0,$AY378+IF($P378=X$3,$R378,0)+IF($S378=X$3,$U378,0)-$X378))</f>
        <v/>
      </c>
      <c r="BA378">
        <f>IF($C378="",0,MAX(0,$AZ378+IF($P378=Y$3,$R378,0)+IF($S378=Y$3,$U378,0)-$Y378))</f>
        <v/>
      </c>
      <c r="BB378">
        <f>IF($C378="",0,MAX(0,$BA378+IF($P378=Z$3,$R378,0)+IF($S378=Z$3,$U378,0)-$Z378))</f>
        <v/>
      </c>
      <c r="BC378">
        <f>IF($C378="",0,MAX(0,$BB378+IF($P378=AA$3,$R378,0)+IF($S378=AA$3,$U378,0)-$AA378))</f>
        <v/>
      </c>
      <c r="BD378">
        <f>IF($C378="",0,MAX(0,$BC378+IF($P378=AB$3,$R378,0)+IF($S378=AB$3,$U378,0)-$AB378))</f>
        <v/>
      </c>
      <c r="BE378">
        <f>IF($C378="",0,MAX(0,$BD378+IF($P378=AC$3,$R378,0)+IF($S378=AC$3,$U378,0)-$AC378))</f>
        <v/>
      </c>
      <c r="BF378">
        <f>IF($C378="",0,MAX(0,$BE378+IF($P378=AD$3,$R378,0)+IF($S378=AD$3,$U378,0)-$AD378))</f>
        <v/>
      </c>
      <c r="BG378">
        <f>IF($C378="",0,MAX(0,$BF378+IF($P378=AE$3,$R378,0)+IF($S378=AE$3,$U378,0)-$AE378))</f>
        <v/>
      </c>
      <c r="BH378">
        <f>IF($C378="",0,MAX(0,$BG378+IF($P378=AF$3,$R378,0)+IF($S378=AF$3,$U378,0)-$AF378))</f>
        <v/>
      </c>
      <c r="BI378">
        <f>IF($C378="",0,MAX(0,$BH378+IF($P378=AG$3,$R378,0)+IF($S378=AG$3,$U378,0)-$AG378))</f>
        <v/>
      </c>
      <c r="BJ378">
        <f>IF($C378="",0,MAX(0,$BI378+IF($P378=AH$3,$R378,0)+IF($S378=AH$3,$U378,0)-$AH378))</f>
        <v/>
      </c>
      <c r="BK378">
        <f>IF($C378="",0,MAX(0,$BJ378+IF($P378=AI$3,$R378,0)+IF($S378=AI$3,$U378,0)-$AI378))</f>
        <v/>
      </c>
      <c r="BL378">
        <f>IF($C378="",99,IF(AND($AX378&lt;1,V$3&gt;=MAX(N($P378),N($S378))),0,99))</f>
        <v/>
      </c>
      <c r="BM378">
        <f>IF($C378="",99,IF(AND($AY378&lt;1,W$3&gt;=MAX(N($P378),N($S378))),1,99))</f>
        <v/>
      </c>
      <c r="BN378">
        <f>IF($C378="",99,IF(AND($AZ378&lt;1,X$3&gt;=MAX(N($P378),N($S378))),2,99))</f>
        <v/>
      </c>
      <c r="BO378">
        <f>IF($C378="",99,IF(AND($BA378&lt;1,Y$3&gt;=MAX(N($P378),N($S378))),3,99))</f>
        <v/>
      </c>
      <c r="BP378">
        <f>IF($C378="",99,IF(AND($BB378&lt;1,Z$3&gt;=MAX(N($P378),N($S378))),4,99))</f>
        <v/>
      </c>
      <c r="BQ378">
        <f>IF($C378="",99,IF(AND($BC378&lt;1,AA$3&gt;=MAX(N($P378),N($S378))),5,99))</f>
        <v/>
      </c>
      <c r="BR378">
        <f>IF($C378="",99,IF(AND($BD378&lt;1,AB$3&gt;=MAX(N($P378),N($S378))),6,99))</f>
        <v/>
      </c>
      <c r="BS378">
        <f>IF($C378="",99,IF(AND($BE378&lt;1,AC$3&gt;=MAX(N($P378),N($S378))),7,99))</f>
        <v/>
      </c>
      <c r="BT378">
        <f>IF($C378="",99,IF(AND($BF378&lt;1,AD$3&gt;=MAX(N($P378),N($S378))),8,99))</f>
        <v/>
      </c>
      <c r="BU378">
        <f>IF($C378="",99,IF(AND($BG378&lt;1,AE$3&gt;=MAX(N($P378),N($S378))),9,99))</f>
        <v/>
      </c>
      <c r="BV378">
        <f>IF($C378="",99,IF(AND($BH378&lt;1,AF$3&gt;=MAX(N($P378),N($S378))),10,99))</f>
        <v/>
      </c>
      <c r="BW378">
        <f>IF($C378="",99,IF(AND($BI378&lt;1,AG$3&gt;=MAX(N($P378),N($S378))),11,99))</f>
        <v/>
      </c>
      <c r="BX378">
        <f>IF($C378="",99,IF(AND($BJ378&lt;1,AH$3&gt;=MAX(N($P378),N($S378))),12,99))</f>
        <v/>
      </c>
      <c r="BY378">
        <f>IF($C378="",99,IF(AND($BK378&lt;1,AI$3&gt;=MAX(N($P378),N($S378))),13,99))</f>
        <v/>
      </c>
      <c r="BZ378">
        <f>IF(OR($C378="",$M378=""),"",COUNTIF($AJ378:$AW378,"&gt;=1"))</f>
        <v/>
      </c>
      <c r="CA378" s="90">
        <f>IF($BZ378="","",IF($BZ378&gt;=14,"",'設定'!$C$6+$BZ378))</f>
        <v/>
      </c>
      <c r="CB378">
        <f>IF(OR($C378="",$M378=""),"",MIN($BL378:$BY378))</f>
        <v/>
      </c>
      <c r="CC378" s="90">
        <f>IF($CB378="","",IF($CB378&gt;=99,"",'設定'!$C$6+$CB378))</f>
        <v/>
      </c>
      <c r="CD378">
        <f>IF(OR($C378="",$M378=""),"",AVERAGE($V378:$AI378))</f>
        <v/>
      </c>
      <c r="CE378">
        <f>IF($C378="","",IFERROR(IF(MATCH(IF(ISNUMBER($P378),$P378,'設定'!$C$6+N('設定'!$C$7)),$V$3:$AI$3,0)=1,MAX(0,N($L378)),INDEX($AJ378:$AW378,MATCH(IF(ISNUMBER($P378),$P378,'設定'!$C$6+N('設定'!$C$7)),$V$3:$AI$3,0)-1)),""))</f>
        <v/>
      </c>
      <c r="CF378">
        <f>IF(OR($C378="",$O378="",$CE378=""),"",IF($O378-$CE378&lt;=0,0,ROUNDUP(($O378-$CE378)/$G378,0)))</f>
        <v/>
      </c>
      <c r="CG378">
        <f>IF(OR($C378="",$CF378="",NOT(ISNUMBER($Q378))),0,MAX(0,$Q378-$CF378))</f>
        <v/>
      </c>
      <c r="CH378">
        <f>IF(OR($C378="",$O378="",$U378=0),0,IFERROR(ROUNDUP(MAX(0,IF(MATCH($S378,$V$3:$AI$3,0)=1,MAX(0,N($L378)),INDEX($AX378:$BK378,MATCH($S378,$V$3:$AI$3,0)-1))+$U378-$O378)/$G378,0),0))</f>
        <v/>
      </c>
      <c r="CI378">
        <f>IF($C378="","",IF(AND($P378="",$Q378=""),"",IF($P378="","⚠ 入庫日を ▼ から選んでください",IF(NOT(ISNUMBER($P378)),"⚠ 入庫日は ▼ から選んでください",IF($P378&lt;N('設定'!$C$6),"⚠ 入庫日が過去です（もう在庫に入っています）→ 消してください",IF($P378&gt;N('設定'!$C$6)+13,"⚠ 入庫日が14日より先です",IF(N($Q378)&lt;=0,"⚠ 入庫数を入れてください",IF($CG378&gt;0,"⚠ 目安より "&amp;$CG378&amp;" 多い（定数を超える）→ 減らす",""))))))))</f>
        <v/>
      </c>
      <c r="CJ378">
        <f>IF($C378="","",IF(AND($S378="",$T378=""),"",IF($S378="","⚠ 2便目：入庫日を ▼ から選んでください",IF(NOT(ISNUMBER($S378)),"⚠ 2便目：入庫日は ▼ から選んでください",IF($S378&lt;N('設定'!$C$6),"⚠ 2便目：入庫日が過去です（もう在庫に入っています）→ 消してください",IF($S378&gt;N('設定'!$C$6)+13,"⚠ 2便目：入庫日が14日より先です",IF(N($T378)&lt;=0,"⚠ 2便目：入庫数を入れてください",IF($CH378&gt;0,"⚠ 2便目：定数を "&amp;$CH378&amp;" ケース超える → 減らす",""))))))))</f>
        <v/>
      </c>
      <c r="CK378">
        <f>IF(AND($CI378="",N($Q378)&gt;0,ISNUMBER($P378)),1,0)</f>
        <v/>
      </c>
      <c r="CL378">
        <f>IF(AND($CJ378="",N($T378)&gt;0,ISNUMBER($S378)),1,0)</f>
        <v/>
      </c>
      <c r="CM378">
        <f>IF(OR($CK378=1,$CL378=1),1,0)</f>
        <v/>
      </c>
      <c r="CN378">
        <f>IF($C378="",0,($CK378*$R378+$CL378*$U378)*N($H378))</f>
        <v/>
      </c>
      <c r="CO378">
        <f>IF($C378="","",IF($CC378="","入庫後は 14日以上もつ",IF($CC378-N('設定'!$C$7)&lt;='設定'!$C$6,"入庫後も "&amp;TEXT($CC378,"m/d")&amp;"("&amp;CHOOSE(WEEKDAY($CC378),"日","月","火","水","木","金","土")&amp;")"&amp;" に切れる　もう1便を至急発注","入庫後も "&amp;TEXT($CC378,"m/d")&amp;"("&amp;CHOOSE(WEEKDAY($CC378),"日","月","火","水","木","金","土")&amp;")"&amp;" に切れる　"&amp;TEXT($CC378-N('設定'!$C$7),"m/d")&amp;"("&amp;CHOOSE(WEEKDAY($CC378-N('設定'!$C$7)),"日","月","火","水","木","金","土")&amp;")"&amp;" までに次を発注")))</f>
        <v/>
      </c>
      <c r="CP378">
        <f>IF($C378="","",IF('設定'!$C$6="","？ ①在庫を貼る に今日のCSVが貼られていない",IF($CS378=1,"－ 今日のCSVに無い（終売？）",IF($L378&lt;0,"● 在庫がマイナス　数えて「数えた在庫」に入れる",IF($L378=0,"● 在庫なし　至急発注",IF($M378="","？ 減り数が未設定（商品マスタ）",IF($B$3=0,"？ 動員が未入力（動員を入れる）",IF($CA378="","○ 14日以上もつ",IF($BZ378&lt;N('設定'!$C$7),"● "&amp;TEXT($CA378,"m/d")&amp;"("&amp;CHOOSE(WEEKDAY($CA378),"日","月","火","水","木","金","土")&amp;")"&amp;" に切れる　至急発注",IF($BZ378=N('設定'!$C$7),"● "&amp;TEXT($CA378,"m/d")&amp;"("&amp;CHOOSE(WEEKDAY($CA378),"日","月","火","水","木","金","土")&amp;")"&amp;" に切れる　今日発注","△ "&amp;TEXT($CA378,"m/d")&amp;"("&amp;CHOOSE(WEEKDAY($CA378),"日","月","火","水","木","金","土")&amp;")"&amp;" に切れる　"&amp;TEXT($CA378-N('設定'!$C$7),"m/d")&amp;"("&amp;CHOOSE(WEEKDAY($CA378-N('設定'!$C$7)),"日","月","火","水","木","金","土")&amp;")"&amp;" までに発注"))))))))))</f>
        <v/>
      </c>
      <c r="CQ378">
        <f>IF($C378="","",IF(AND($P378="",$Q378="",$S378="",$T378=""),"",IF(AND($P378="",$Q378=""),"⚠ 先に1便目（左の入庫日・入庫数）に入れてください",IF($CI378&lt;&gt;"",$CI378,IF($CJ378&lt;&gt;"",$CJ378,IF($M378="","？ 減り数が未設定（発注書には載ります）",IF($B$3=0,"？ 動員が未入力（発注書には載ります）",IF(AND($CA378&lt;&gt;"",$P378&gt;$CA378),IF($P378&gt;'設定'!$C$6+N('設定'!$C$7),"● "&amp;TEXT($P378,"m/d")&amp;"("&amp;CHOOSE(WEEKDAY($P378),"日","月","火","水","木","金","土")&amp;")"&amp;" の入庫では間に合わない（"&amp;TEXT($CA378,"m/d")&amp;"("&amp;CHOOSE(WEEKDAY($CA378),"日","月","火","水","木","金","土")&amp;")"&amp;" に切れる）　入庫日を早める","△ 欠品 "&amp;TEXT($CA378,"m/d")&amp;"("&amp;CHOOSE(WEEKDAY($CA378),"日","月","火","水","木","金","土")&amp;")"&amp;"〜"&amp;TEXT($P378-1,"m/d")&amp;"("&amp;CHOOSE(WEEKDAY($P378-1),"日","月","火","水","木","金","土")&amp;")"&amp;"　"&amp;$CO378),IF($CC378="","○ "&amp;TEXT($P378,"m/d")&amp;"("&amp;CHOOSE(WEEKDAY($P378),"日","月","火","水","木","金","土")&amp;")"&amp;" 入庫で 14日以上もつ",IF($CC378-N('設定'!$C$7)&lt;='設定'!$C$6,"● 入庫しても "&amp;TEXT($CC378,"m/d")&amp;"("&amp;CHOOSE(WEEKDAY($CC378),"日","月","火","水","木","金","土")&amp;")"&amp;" に切れる　もう1便を至急発注（2便目に入れる）","△ 入庫しても "&amp;TEXT($CC378,"m/d")&amp;"("&amp;CHOOSE(WEEKDAY($CC378),"日","月","火","水","木","金","土")&amp;")"&amp;" に切れる　"&amp;TEXT($CC378-N('設定'!$C$7),"m/d")&amp;"("&amp;CHOOSE(WEEKDAY($CC378-N('設定'!$C$7)),"日","月","火","水","木","金","土")&amp;")"&amp;" までに次を発注（2便目に入れる）"))))))))))</f>
        <v/>
      </c>
      <c r="CR378">
        <f>IF($C378="","",IF($G378&gt;1,"ｹｰｽ("&amp;$G378&amp;"入)","個"))</f>
        <v/>
      </c>
      <c r="CS378">
        <f>IF($C378="",0,IF(COUNTIFS('①在庫を貼る'!$V$6:$V$10005,'設定'!$C$4,'①在庫を貼る'!$W$6:$W$10005,$C378)=0,1,0))</f>
        <v/>
      </c>
      <c r="CT378">
        <f>IF(AND($CK378=1,OR('③発注書'!$C$4="すべて",'③発注書'!$C$4="",$F378='③発注書'!$C$4)),N($CT377)+1,N($CT377))</f>
        <v/>
      </c>
      <c r="CU378">
        <f>IF(AND($CL378=1,OR('③発注書'!$C$4="すべて",'③発注書'!$C$4="",$F378='③発注書'!$C$4)),N($CU377)+1,N($CU377))</f>
        <v/>
      </c>
      <c r="CV378">
        <f>IF($C378="",0,IF(COUNTIFS('①在庫を貼る'!$V$6:$V$10005,'設定'!$C$4,'①在庫を貼る'!$W$6:$W$10005,$C378)&gt;0,1,0))</f>
        <v/>
      </c>
      <c r="CW378">
        <f>IF($C378="",0,IF(COUNTIFS('月1回_1ヶ月前の在庫'!$V$6:$V$10005,'設定'!$C$4,'月1回_1ヶ月前の在庫'!$W$6:$W$10005,$C378)&gt;0,1,0))</f>
        <v/>
      </c>
      <c r="CX378">
        <f>IF($C378="",0,IF(COUNTIFS('月1回_2ヶ月前の在庫'!$V$6:$V$10005,'設定'!$C$4,'月1回_2ヶ月前の在庫'!$W$6:$W$10005,$C378)&gt;0,1,0))</f>
        <v/>
      </c>
      <c r="CY378">
        <f>IF(OR($C378="",'設定'!$C$12=""),"",IF('設定'!$C$13="",IF(AND($CV378=1,$CW378=0),"新商品（今月から）",IF(AND($CV378=0,$CW378=1),"終売（今月から）","")),IF(AND($CV378=1,$CW378=0,$CX378=0),"新商品（今月から）",IF(AND($CV378=1,$CW378=1,$CX378=0),"新商品（先月から）",IF(AND($CV378=0,$CW378=1,$CX378=1),"終売（今月から）",IF(AND($CV378=0,$CW378=0,$CX378=1),"終売（先月から）",IF(AND($CV378=1,$CW378=0,$CX378=1),"復活（先月は無し）","")))))))</f>
        <v/>
      </c>
    </row>
    <row r="379">
      <c r="B379">
        <f>IF(374&lt;='設定'!$C$11,374,"")</f>
        <v/>
      </c>
      <c r="C379">
        <f>IF($B379="","",IF($B379&lt;='設定'!$C$20,INDEX('商品マスタ'!$B$6:$B$1005,MATCH($B379,'商品マスタ'!$M$6:$M$1005,0)),IF($B379&lt;='設定'!$C$20+'設定'!$C$17,INDEX('①在庫を貼る'!$W$6:$W$10005,MATCH($B379-'設定'!$C$20,'①在庫を貼る'!$U$6:$U$10005,0)),IF($B379&lt;='設定'!$C$20+'設定'!$C$17+'設定'!$C$18,INDEX('月1回_1ヶ月前の在庫'!$W$6:$W$10005,MATCH($B379-'設定'!$C$20-'設定'!$C$17,'月1回_1ヶ月前の在庫'!$U$6:$U$10005,0)),INDEX('月1回_2ヶ月前の在庫'!$W$6:$W$10005,MATCH($B379-'設定'!$C$20-'設定'!$C$17-'設定'!$C$18,'月1回_2ヶ月前の在庫'!$U$6:$U$10005,0))))))</f>
        <v/>
      </c>
      <c r="D379">
        <f>IF($C379="","",IFERROR(IF(INDEX('商品マスタ'!$C$6:$C$1005,MATCH($C379,'商品マスタ'!$B$6:$B$1005,0))="",IFERROR(INDEX('①在庫を貼る'!$J$6:$J$10005,MATCH($C379,'①在庫を貼る'!$W$6:$W$10005,0)),IFERROR(INDEX('月1回_1ヶ月前の在庫'!$J$6:$J$10005,MATCH($C379,'月1回_1ヶ月前の在庫'!$W$6:$W$10005,0)),IFERROR(INDEX('月1回_2ヶ月前の在庫'!$J$6:$J$10005,MATCH($C379,'月1回_2ヶ月前の在庫'!$W$6:$W$10005,0)),""))),INDEX('商品マスタ'!$C$6:$C$1005,MATCH($C379,'商品マスタ'!$B$6:$B$1005,0))),IFERROR(INDEX('①在庫を貼る'!$J$6:$J$10005,MATCH($C379,'①在庫を貼る'!$W$6:$W$10005,0)),IFERROR(INDEX('月1回_1ヶ月前の在庫'!$J$6:$J$10005,MATCH($C379,'月1回_1ヶ月前の在庫'!$W$6:$W$10005,0)),IFERROR(INDEX('月1回_2ヶ月前の在庫'!$J$6:$J$10005,MATCH($C379,'月1回_2ヶ月前の在庫'!$W$6:$W$10005,0)),"")))))</f>
        <v/>
      </c>
      <c r="E379">
        <f>IF($C379="","",IFERROR(IF(INDEX('商品マスタ'!$D$6:$D$1005,MATCH($C379,'商品マスタ'!$B$6:$B$1005,0))="",IFERROR(INDEX('①在庫を貼る'!$H$6:$H$10005,MATCH($C379,'①在庫を貼る'!$W$6:$W$10005,0)),IFERROR(INDEX('月1回_1ヶ月前の在庫'!$H$6:$H$10005,MATCH($C379,'月1回_1ヶ月前の在庫'!$W$6:$W$10005,0)),IFERROR(INDEX('月1回_2ヶ月前の在庫'!$H$6:$H$10005,MATCH($C379,'月1回_2ヶ月前の在庫'!$W$6:$W$10005,0)),""))),INDEX('商品マスタ'!$D$6:$D$1005,MATCH($C379,'商品マスタ'!$B$6:$B$1005,0))),IFERROR(INDEX('①在庫を貼る'!$H$6:$H$10005,MATCH($C379,'①在庫を貼る'!$W$6:$W$10005,0)),IFERROR(INDEX('月1回_1ヶ月前の在庫'!$H$6:$H$10005,MATCH($C379,'月1回_1ヶ月前の在庫'!$W$6:$W$10005,0)),IFERROR(INDEX('月1回_2ヶ月前の在庫'!$H$6:$H$10005,MATCH($C379,'月1回_2ヶ月前の在庫'!$W$6:$W$10005,0)),"")))))</f>
        <v/>
      </c>
      <c r="F379">
        <f>IF($C379="","",IFERROR(IF(INDEX('商品マスタ'!$E$6:$E$1005,MATCH($C379,'商品マスタ'!$B$6:$B$1005,0))="",IFERROR(INDEX('①在庫を貼る'!$E$6:$E$10005,MATCH($C379,'①在庫を貼る'!$W$6:$W$10005,0)),IFERROR(INDEX('月1回_1ヶ月前の在庫'!$E$6:$E$10005,MATCH($C379,'月1回_1ヶ月前の在庫'!$W$6:$W$10005,0)),IFERROR(INDEX('月1回_2ヶ月前の在庫'!$E$6:$E$10005,MATCH($C379,'月1回_2ヶ月前の在庫'!$W$6:$W$10005,0)),""))),INDEX('商品マスタ'!$E$6:$E$1005,MATCH($C379,'商品マスタ'!$B$6:$B$1005,0))),IFERROR(INDEX('①在庫を貼る'!$E$6:$E$10005,MATCH($C379,'①在庫を貼る'!$W$6:$W$10005,0)),IFERROR(INDEX('月1回_1ヶ月前の在庫'!$E$6:$E$10005,MATCH($C379,'月1回_1ヶ月前の在庫'!$W$6:$W$10005,0)),IFERROR(INDEX('月1回_2ヶ月前の在庫'!$E$6:$E$10005,MATCH($C379,'月1回_2ヶ月前の在庫'!$W$6:$W$10005,0)),"")))))</f>
        <v/>
      </c>
      <c r="G379">
        <f>IF($C379="","",MAX(1,N(IFERROR(IF(INDEX('商品マスタ'!$F$6:$F$1005,MATCH($C379,'商品マスタ'!$B$6:$B$1005,0))="",IF(COUNTIFS('①在庫を貼る'!$V$6:$V$10005,'設定'!$C$4,'①在庫を貼る'!$W$6:$W$10005,$C379)&gt;0,SUMIFS('①在庫を貼る'!$K$6:$K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K$6:$K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K$6:$K$10005,'月1回_2ヶ月前の在庫'!$V$6:$V$10005,'設定'!$C$4,'月1回_2ヶ月前の在庫'!$W$6:$W$10005,$C379)/COUNTIFS('月1回_2ヶ月前の在庫'!$V$6:$V$10005,'設定'!$C$4,'月1回_2ヶ月前の在庫'!$W$6:$W$10005,$C379),0))),INDEX('商品マスタ'!$F$6:$F$1005,MATCH($C379,'商品マスタ'!$B$6:$B$1005,0))),IF(COUNTIFS('①在庫を貼る'!$V$6:$V$10005,'設定'!$C$4,'①在庫を貼る'!$W$6:$W$10005,$C379)&gt;0,SUMIFS('①在庫を貼る'!$K$6:$K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K$6:$K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K$6:$K$10005,'月1回_2ヶ月前の在庫'!$V$6:$V$10005,'設定'!$C$4,'月1回_2ヶ月前の在庫'!$W$6:$W$10005,$C379)/COUNTIFS('月1回_2ヶ月前の在庫'!$V$6:$V$10005,'設定'!$C$4,'月1回_2ヶ月前の在庫'!$W$6:$W$10005,$C379),0)))))))</f>
        <v/>
      </c>
      <c r="H379">
        <f>IF($C379="","",N(IFERROR(IF(INDEX('商品マスタ'!$G$6:$G$1005,MATCH($C379,'商品マスタ'!$B$6:$B$1005,0))="",IF(COUNTIFS('①在庫を貼る'!$V$6:$V$10005,'設定'!$C$4,'①在庫を貼る'!$W$6:$W$10005,$C379)&gt;0,SUMIFS('①在庫を貼る'!$Q$6:$Q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Q$6:$Q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Q$6:$Q$10005,'月1回_2ヶ月前の在庫'!$V$6:$V$10005,'設定'!$C$4,'月1回_2ヶ月前の在庫'!$W$6:$W$10005,$C379)/COUNTIFS('月1回_2ヶ月前の在庫'!$V$6:$V$10005,'設定'!$C$4,'月1回_2ヶ月前の在庫'!$W$6:$W$10005,$C379),0))),INDEX('商品マスタ'!$G$6:$G$1005,MATCH($C379,'商品マスタ'!$B$6:$B$1005,0))),IF(COUNTIFS('①在庫を貼る'!$V$6:$V$10005,'設定'!$C$4,'①在庫を貼る'!$W$6:$W$10005,$C379)&gt;0,SUMIFS('①在庫を貼る'!$Q$6:$Q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Q$6:$Q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Q$6:$Q$10005,'月1回_2ヶ月前の在庫'!$V$6:$V$10005,'設定'!$C$4,'月1回_2ヶ月前の在庫'!$W$6:$W$10005,$C379)/COUNTIFS('月1回_2ヶ月前の在庫'!$V$6:$V$10005,'設定'!$C$4,'月1回_2ヶ月前の在庫'!$W$6:$W$10005,$C379),0))))))</f>
        <v/>
      </c>
      <c r="I379">
        <f>IF($C379="","",IF(COUNTIFS('①在庫を貼る'!$V$6:$V$10005,'設定'!$C$4,'①在庫を貼る'!$W$6:$W$10005,$C379)=0,"",SUMIFS('①在庫を貼る'!$N$6:$N$10005,'①在庫を貼る'!$V$6:$V$10005,'設定'!$C$4,'①在庫を貼る'!$W$6:$W$10005,$C379)))</f>
        <v/>
      </c>
      <c r="J379">
        <f>IF($C379="","",IF('②発注する'!$AD383="","",'②発注する'!$AD383))</f>
        <v/>
      </c>
      <c r="K379" s="90">
        <f>IF($C379="","",IF('②発注する'!$AE383="","",'②発注する'!$AE383))</f>
        <v/>
      </c>
      <c r="L379">
        <f>IF($C379="","",IF(AND(ISNUMBER($J379),ISNUMBER($K379),$K379&gt;='設定'!$C$6),$J379,N($I379)))</f>
        <v/>
      </c>
      <c r="M379">
        <f>IF($C379="","",IFERROR(IF(N(INDEX('商品マスタ'!$J$6:$J$1005,MATCH($C379,'商品マスタ'!$B$6:$B$1005,0)))&gt;0,INDEX('商品マスタ'!$J$6:$J$1005,MATCH($C379,'商品マスタ'!$B$6:$B$1005,0)),""),""))</f>
        <v/>
      </c>
      <c r="N379">
        <f>IF($C379="","",IFERROR(IF(N(INDEX('商品マスタ'!$H$6:$H$1005,MATCH($C379,'商品マスタ'!$B$6:$B$1005,0)))&gt;0,INDEX('商品マスタ'!$H$6:$H$1005,MATCH($C379,'商品マスタ'!$B$6:$B$1005,0)),""),""))</f>
        <v/>
      </c>
      <c r="O379">
        <f>IF($C379="","",IF($N379&lt;&gt;"",$N379*$G379,IF(N(IF(COUNTIFS('①在庫を貼る'!$V$6:$V$10005,'設定'!$C$4,'①在庫を貼る'!$W$6:$W$10005,$C379)&gt;0,SUMIFS('①在庫を貼る'!$O$6:$O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O$6:$O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O$6:$O$10005,'月1回_2ヶ月前の在庫'!$V$6:$V$10005,'設定'!$C$4,'月1回_2ヶ月前の在庫'!$W$6:$W$10005,$C379)/COUNTIFS('月1回_2ヶ月前の在庫'!$V$6:$V$10005,'設定'!$C$4,'月1回_2ヶ月前の在庫'!$W$6:$W$10005,$C379),0))))&gt;0,N(IF(COUNTIFS('①在庫を貼る'!$V$6:$V$10005,'設定'!$C$4,'①在庫を貼る'!$W$6:$W$10005,$C379)&gt;0,SUMIFS('①在庫を貼る'!$O$6:$O$10005,'①在庫を貼る'!$V$6:$V$10005,'設定'!$C$4,'①在庫を貼る'!$W$6:$W$10005,$C379)/COUNTIFS('①在庫を貼る'!$V$6:$V$10005,'設定'!$C$4,'①在庫を貼る'!$W$6:$W$10005,$C379),IF(COUNTIFS('月1回_1ヶ月前の在庫'!$V$6:$V$10005,'設定'!$C$4,'月1回_1ヶ月前の在庫'!$W$6:$W$10005,$C379)&gt;0,SUMIFS('月1回_1ヶ月前の在庫'!$O$6:$O$10005,'月1回_1ヶ月前の在庫'!$V$6:$V$10005,'設定'!$C$4,'月1回_1ヶ月前の在庫'!$W$6:$W$10005,$C379)/COUNTIFS('月1回_1ヶ月前の在庫'!$V$6:$V$10005,'設定'!$C$4,'月1回_1ヶ月前の在庫'!$W$6:$W$10005,$C379),IF(COUNTIFS('月1回_2ヶ月前の在庫'!$V$6:$V$10005,'設定'!$C$4,'月1回_2ヶ月前の在庫'!$W$6:$W$10005,$C379)&gt;0,SUMIFS('月1回_2ヶ月前の在庫'!$O$6:$O$10005,'月1回_2ヶ月前の在庫'!$V$6:$V$10005,'設定'!$C$4,'月1回_2ヶ月前の在庫'!$W$6:$W$10005,$C379)/COUNTIFS('月1回_2ヶ月前の在庫'!$V$6:$V$10005,'設定'!$C$4,'月1回_2ヶ月前の在庫'!$W$6:$W$10005,$C379),0)))),"")))</f>
        <v/>
      </c>
      <c r="P379" s="90">
        <f>IF($C379="","",IF('②発注する'!$I383="","",'②発注する'!$I383))</f>
        <v/>
      </c>
      <c r="Q379">
        <f>IF($C379="","",IF('②発注する'!$J383="","",'②発注する'!$J383))</f>
        <v/>
      </c>
      <c r="R379">
        <f>IF($C379="",0,IF(AND(ISNUMBER($P379),ISNUMBER($Q379)),MAX(0,$Q379)*$G379,0))</f>
        <v/>
      </c>
      <c r="S379" s="90">
        <f>IF($C379="","",IF('②発注する'!$M383="","",'②発注する'!$M383))</f>
        <v/>
      </c>
      <c r="T379">
        <f>IF($C379="","",IF('②発注する'!$N383="","",'②発注する'!$N383))</f>
        <v/>
      </c>
      <c r="U379">
        <f>IF($C379="",0,IF(AND(ISNUMBER($S379),ISNUMBER($T379)),MAX(0,$T379)*$G379,0))</f>
        <v/>
      </c>
      <c r="V379">
        <f>IF($C379="",0,IF($M379="",0,MAX(0,$M379)*MAX(0,V$4)/100))</f>
        <v/>
      </c>
      <c r="W379">
        <f>IF($C379="",0,IF($M379="",0,MAX(0,$M379)*MAX(0,W$4)/100))</f>
        <v/>
      </c>
      <c r="X379">
        <f>IF($C379="",0,IF($M379="",0,MAX(0,$M379)*MAX(0,X$4)/100))</f>
        <v/>
      </c>
      <c r="Y379">
        <f>IF($C379="",0,IF($M379="",0,MAX(0,$M379)*MAX(0,Y$4)/100))</f>
        <v/>
      </c>
      <c r="Z379">
        <f>IF($C379="",0,IF($M379="",0,MAX(0,$M379)*MAX(0,Z$4)/100))</f>
        <v/>
      </c>
      <c r="AA379">
        <f>IF($C379="",0,IF($M379="",0,MAX(0,$M379)*MAX(0,AA$4)/100))</f>
        <v/>
      </c>
      <c r="AB379">
        <f>IF($C379="",0,IF($M379="",0,MAX(0,$M379)*MAX(0,AB$4)/100))</f>
        <v/>
      </c>
      <c r="AC379">
        <f>IF($C379="",0,IF($M379="",0,MAX(0,$M379)*MAX(0,AC$4)/100))</f>
        <v/>
      </c>
      <c r="AD379">
        <f>IF($C379="",0,IF($M379="",0,MAX(0,$M379)*MAX(0,AD$4)/100))</f>
        <v/>
      </c>
      <c r="AE379">
        <f>IF($C379="",0,IF($M379="",0,MAX(0,$M379)*MAX(0,AE$4)/100))</f>
        <v/>
      </c>
      <c r="AF379">
        <f>IF($C379="",0,IF($M379="",0,MAX(0,$M379)*MAX(0,AF$4)/100))</f>
        <v/>
      </c>
      <c r="AG379">
        <f>IF($C379="",0,IF($M379="",0,MAX(0,$M379)*MAX(0,AG$4)/100))</f>
        <v/>
      </c>
      <c r="AH379">
        <f>IF($C379="",0,IF($M379="",0,MAX(0,$M379)*MAX(0,AH$4)/100))</f>
        <v/>
      </c>
      <c r="AI379">
        <f>IF($C379="",0,IF($M379="",0,MAX(0,$M379)*MAX(0,AI$4)/100))</f>
        <v/>
      </c>
      <c r="AJ379">
        <f>IF($C379="",0,MAX(0,MAX(0,N($L379))-$V379))</f>
        <v/>
      </c>
      <c r="AK379">
        <f>IF($C379="",0,MAX(0,$AJ379-$W379))</f>
        <v/>
      </c>
      <c r="AL379">
        <f>IF($C379="",0,MAX(0,$AK379-$X379))</f>
        <v/>
      </c>
      <c r="AM379">
        <f>IF($C379="",0,MAX(0,$AL379-$Y379))</f>
        <v/>
      </c>
      <c r="AN379">
        <f>IF($C379="",0,MAX(0,$AM379-$Z379))</f>
        <v/>
      </c>
      <c r="AO379">
        <f>IF($C379="",0,MAX(0,$AN379-$AA379))</f>
        <v/>
      </c>
      <c r="AP379">
        <f>IF($C379="",0,MAX(0,$AO379-$AB379))</f>
        <v/>
      </c>
      <c r="AQ379">
        <f>IF($C379="",0,MAX(0,$AP379-$AC379))</f>
        <v/>
      </c>
      <c r="AR379">
        <f>IF($C379="",0,MAX(0,$AQ379-$AD379))</f>
        <v/>
      </c>
      <c r="AS379">
        <f>IF($C379="",0,MAX(0,$AR379-$AE379))</f>
        <v/>
      </c>
      <c r="AT379">
        <f>IF($C379="",0,MAX(0,$AS379-$AF379))</f>
        <v/>
      </c>
      <c r="AU379">
        <f>IF($C379="",0,MAX(0,$AT379-$AG379))</f>
        <v/>
      </c>
      <c r="AV379">
        <f>IF($C379="",0,MAX(0,$AU379-$AH379))</f>
        <v/>
      </c>
      <c r="AW379">
        <f>IF($C379="",0,MAX(0,$AV379-$AI379))</f>
        <v/>
      </c>
      <c r="AX379">
        <f>IF($C379="",0,MAX(0,MAX(0,N($L379))+IF($P379=V$3,$R379,0)+IF($S379=V$3,$U379,0)-$V379))</f>
        <v/>
      </c>
      <c r="AY379">
        <f>IF($C379="",0,MAX(0,$AX379+IF($P379=W$3,$R379,0)+IF($S379=W$3,$U379,0)-$W379))</f>
        <v/>
      </c>
      <c r="AZ379">
        <f>IF($C379="",0,MAX(0,$AY379+IF($P379=X$3,$R379,0)+IF($S379=X$3,$U379,0)-$X379))</f>
        <v/>
      </c>
      <c r="BA379">
        <f>IF($C379="",0,MAX(0,$AZ379+IF($P379=Y$3,$R379,0)+IF($S379=Y$3,$U379,0)-$Y379))</f>
        <v/>
      </c>
      <c r="BB379">
        <f>IF($C379="",0,MAX(0,$BA379+IF($P379=Z$3,$R379,0)+IF($S379=Z$3,$U379,0)-$Z379))</f>
        <v/>
      </c>
      <c r="BC379">
        <f>IF($C379="",0,MAX(0,$BB379+IF($P379=AA$3,$R379,0)+IF($S379=AA$3,$U379,0)-$AA379))</f>
        <v/>
      </c>
      <c r="BD379">
        <f>IF($C379="",0,MAX(0,$BC379+IF($P379=AB$3,$R379,0)+IF($S379=AB$3,$U379,0)-$AB379))</f>
        <v/>
      </c>
      <c r="BE379">
        <f>IF($C379="",0,MAX(0,$BD379+IF($P379=AC$3,$R379,0)+IF($S379=AC$3,$U379,0)-$AC379))</f>
        <v/>
      </c>
      <c r="BF379">
        <f>IF($C379="",0,MAX(0,$BE379+IF($P379=AD$3,$R379,0)+IF($S379=AD$3,$U379,0)-$AD379))</f>
        <v/>
      </c>
      <c r="BG379">
        <f>IF($C379="",0,MAX(0,$BF379+IF($P379=AE$3,$R379,0)+IF($S379=AE$3,$U379,0)-$AE379))</f>
        <v/>
      </c>
      <c r="BH379">
        <f>IF($C379="",0,MAX(0,$BG379+IF($P379=AF$3,$R379,0)+IF($S379=AF$3,$U379,0)-$AF379))</f>
        <v/>
      </c>
      <c r="BI379">
        <f>IF($C379="",0,MAX(0,$BH379+IF($P379=AG$3,$R379,0)+IF($S379=AG$3,$U379,0)-$AG379))</f>
        <v/>
      </c>
      <c r="BJ379">
        <f>IF($C379="",0,MAX(0,$BI379+IF($P379=AH$3,$R379,0)+IF($S379=AH$3,$U379,0)-$AH379))</f>
        <v/>
      </c>
      <c r="BK379">
        <f>IF($C379="",0,MAX(0,$BJ379+IF($P379=AI$3,$R379,0)+IF($S379=AI$3,$U379,0)-$AI379))</f>
        <v/>
      </c>
      <c r="BL379">
        <f>IF($C379="",99,IF(AND($AX379&lt;1,V$3&gt;=MAX(N($P379),N($S379))),0,99))</f>
        <v/>
      </c>
      <c r="BM379">
        <f>IF($C379="",99,IF(AND($AY379&lt;1,W$3&gt;=MAX(N($P379),N($S379))),1,99))</f>
        <v/>
      </c>
      <c r="BN379">
        <f>IF($C379="",99,IF(AND($AZ379&lt;1,X$3&gt;=MAX(N($P379),N($S379))),2,99))</f>
        <v/>
      </c>
      <c r="BO379">
        <f>IF($C379="",99,IF(AND($BA379&lt;1,Y$3&gt;=MAX(N($P379),N($S379))),3,99))</f>
        <v/>
      </c>
      <c r="BP379">
        <f>IF($C379="",99,IF(AND($BB379&lt;1,Z$3&gt;=MAX(N($P379),N($S379))),4,99))</f>
        <v/>
      </c>
      <c r="BQ379">
        <f>IF($C379="",99,IF(AND($BC379&lt;1,AA$3&gt;=MAX(N($P379),N($S379))),5,99))</f>
        <v/>
      </c>
      <c r="BR379">
        <f>IF($C379="",99,IF(AND($BD379&lt;1,AB$3&gt;=MAX(N($P379),N($S379))),6,99))</f>
        <v/>
      </c>
      <c r="BS379">
        <f>IF($C379="",99,IF(AND($BE379&lt;1,AC$3&gt;=MAX(N($P379),N($S379))),7,99))</f>
        <v/>
      </c>
      <c r="BT379">
        <f>IF($C379="",99,IF(AND($BF379&lt;1,AD$3&gt;=MAX(N($P379),N($S379))),8,99))</f>
        <v/>
      </c>
      <c r="BU379">
        <f>IF($C379="",99,IF(AND($BG379&lt;1,AE$3&gt;=MAX(N($P379),N($S379))),9,99))</f>
        <v/>
      </c>
      <c r="BV379">
        <f>IF($C379="",99,IF(AND($BH379&lt;1,AF$3&gt;=MAX(N($P379),N($S379))),10,99))</f>
        <v/>
      </c>
      <c r="BW379">
        <f>IF($C379="",99,IF(AND($BI379&lt;1,AG$3&gt;=MAX(N($P379),N($S379))),11,99))</f>
        <v/>
      </c>
      <c r="BX379">
        <f>IF($C379="",99,IF(AND($BJ379&lt;1,AH$3&gt;=MAX(N($P379),N($S379))),12,99))</f>
        <v/>
      </c>
      <c r="BY379">
        <f>IF($C379="",99,IF(AND($BK379&lt;1,AI$3&gt;=MAX(N($P379),N($S379))),13,99))</f>
        <v/>
      </c>
      <c r="BZ379">
        <f>IF(OR($C379="",$M379=""),"",COUNTIF($AJ379:$AW379,"&gt;=1"))</f>
        <v/>
      </c>
      <c r="CA379" s="90">
        <f>IF($BZ379="","",IF($BZ379&gt;=14,"",'設定'!$C$6+$BZ379))</f>
        <v/>
      </c>
      <c r="CB379">
        <f>IF(OR($C379="",$M379=""),"",MIN($BL379:$BY379))</f>
        <v/>
      </c>
      <c r="CC379" s="90">
        <f>IF($CB379="","",IF($CB379&gt;=99,"",'設定'!$C$6+$CB379))</f>
        <v/>
      </c>
      <c r="CD379">
        <f>IF(OR($C379="",$M379=""),"",AVERAGE($V379:$AI379))</f>
        <v/>
      </c>
      <c r="CE379">
        <f>IF($C379="","",IFERROR(IF(MATCH(IF(ISNUMBER($P379),$P379,'設定'!$C$6+N('設定'!$C$7)),$V$3:$AI$3,0)=1,MAX(0,N($L379)),INDEX($AJ379:$AW379,MATCH(IF(ISNUMBER($P379),$P379,'設定'!$C$6+N('設定'!$C$7)),$V$3:$AI$3,0)-1)),""))</f>
        <v/>
      </c>
      <c r="CF379">
        <f>IF(OR($C379="",$O379="",$CE379=""),"",IF($O379-$CE379&lt;=0,0,ROUNDUP(($O379-$CE379)/$G379,0)))</f>
        <v/>
      </c>
      <c r="CG379">
        <f>IF(OR($C379="",$CF379="",NOT(ISNUMBER($Q379))),0,MAX(0,$Q379-$CF379))</f>
        <v/>
      </c>
      <c r="CH379">
        <f>IF(OR($C379="",$O379="",$U379=0),0,IFERROR(ROUNDUP(MAX(0,IF(MATCH($S379,$V$3:$AI$3,0)=1,MAX(0,N($L379)),INDEX($AX379:$BK379,MATCH($S379,$V$3:$AI$3,0)-1))+$U379-$O379)/$G379,0),0))</f>
        <v/>
      </c>
      <c r="CI379">
        <f>IF($C379="","",IF(AND($P379="",$Q379=""),"",IF($P379="","⚠ 入庫日を ▼ から選んでください",IF(NOT(ISNUMBER($P379)),"⚠ 入庫日は ▼ から選んでください",IF($P379&lt;N('設定'!$C$6),"⚠ 入庫日が過去です（もう在庫に入っています）→ 消してください",IF($P379&gt;N('設定'!$C$6)+13,"⚠ 入庫日が14日より先です",IF(N($Q379)&lt;=0,"⚠ 入庫数を入れてください",IF($CG379&gt;0,"⚠ 目安より "&amp;$CG379&amp;" 多い（定数を超える）→ 減らす",""))))))))</f>
        <v/>
      </c>
      <c r="CJ379">
        <f>IF($C379="","",IF(AND($S379="",$T379=""),"",IF($S379="","⚠ 2便目：入庫日を ▼ から選んでください",IF(NOT(ISNUMBER($S379)),"⚠ 2便目：入庫日は ▼ から選んでください",IF($S379&lt;N('設定'!$C$6),"⚠ 2便目：入庫日が過去です（もう在庫に入っています）→ 消してください",IF($S379&gt;N('設定'!$C$6)+13,"⚠ 2便目：入庫日が14日より先です",IF(N($T379)&lt;=0,"⚠ 2便目：入庫数を入れてください",IF($CH379&gt;0,"⚠ 2便目：定数を "&amp;$CH379&amp;" ケース超える → 減らす",""))))))))</f>
        <v/>
      </c>
      <c r="CK379">
        <f>IF(AND($CI379="",N($Q379)&gt;0,ISNUMBER($P379)),1,0)</f>
        <v/>
      </c>
      <c r="CL379">
        <f>IF(AND($CJ379="",N($T379)&gt;0,ISNUMBER($S379)),1,0)</f>
        <v/>
      </c>
      <c r="CM379">
        <f>IF(OR($CK379=1,$CL379=1),1,0)</f>
        <v/>
      </c>
      <c r="CN379">
        <f>IF($C379="",0,($CK379*$R379+$CL379*$U379)*N($H379))</f>
        <v/>
      </c>
      <c r="CO379">
        <f>IF($C379="","",IF($CC379="","入庫後は 14日以上もつ",IF($CC379-N('設定'!$C$7)&lt;='設定'!$C$6,"入庫後も "&amp;TEXT($CC379,"m/d")&amp;"("&amp;CHOOSE(WEEKDAY($CC379),"日","月","火","水","木","金","土")&amp;")"&amp;" に切れる　もう1便を至急発注","入庫後も "&amp;TEXT($CC379,"m/d")&amp;"("&amp;CHOOSE(WEEKDAY($CC379),"日","月","火","水","木","金","土")&amp;")"&amp;" に切れる　"&amp;TEXT($CC379-N('設定'!$C$7),"m/d")&amp;"("&amp;CHOOSE(WEEKDAY($CC379-N('設定'!$C$7)),"日","月","火","水","木","金","土")&amp;")"&amp;" までに次を発注")))</f>
        <v/>
      </c>
      <c r="CP379">
        <f>IF($C379="","",IF('設定'!$C$6="","？ ①在庫を貼る に今日のCSVが貼られていない",IF($CS379=1,"－ 今日のCSVに無い（終売？）",IF($L379&lt;0,"● 在庫がマイナス　数えて「数えた在庫」に入れる",IF($L379=0,"● 在庫なし　至急発注",IF($M379="","？ 減り数が未設定（商品マスタ）",IF($B$3=0,"？ 動員が未入力（動員を入れる）",IF($CA379="","○ 14日以上もつ",IF($BZ379&lt;N('設定'!$C$7),"● "&amp;TEXT($CA379,"m/d")&amp;"("&amp;CHOOSE(WEEKDAY($CA379),"日","月","火","水","木","金","土")&amp;")"&amp;" に切れる　至急発注",IF($BZ379=N('設定'!$C$7),"● "&amp;TEXT($CA379,"m/d")&amp;"("&amp;CHOOSE(WEEKDAY($CA379),"日","月","火","水","木","金","土")&amp;")"&amp;" に切れる　今日発注","△ "&amp;TEXT($CA379,"m/d")&amp;"("&amp;CHOOSE(WEEKDAY($CA379),"日","月","火","水","木","金","土")&amp;")"&amp;" に切れる　"&amp;TEXT($CA379-N('設定'!$C$7),"m/d")&amp;"("&amp;CHOOSE(WEEKDAY($CA379-N('設定'!$C$7)),"日","月","火","水","木","金","土")&amp;")"&amp;" までに発注"))))))))))</f>
        <v/>
      </c>
      <c r="CQ379">
        <f>IF($C379="","",IF(AND($P379="",$Q379="",$S379="",$T379=""),"",IF(AND($P379="",$Q379=""),"⚠ 先に1便目（左の入庫日・入庫数）に入れてください",IF($CI379&lt;&gt;"",$CI379,IF($CJ379&lt;&gt;"",$CJ379,IF($M379="","？ 減り数が未設定（発注書には載ります）",IF($B$3=0,"？ 動員が未入力（発注書には載ります）",IF(AND($CA379&lt;&gt;"",$P379&gt;$CA379),IF($P379&gt;'設定'!$C$6+N('設定'!$C$7),"● "&amp;TEXT($P379,"m/d")&amp;"("&amp;CHOOSE(WEEKDAY($P379),"日","月","火","水","木","金","土")&amp;")"&amp;" の入庫では間に合わない（"&amp;TEXT($CA379,"m/d")&amp;"("&amp;CHOOSE(WEEKDAY($CA379),"日","月","火","水","木","金","土")&amp;")"&amp;" に切れる）　入庫日を早める","△ 欠品 "&amp;TEXT($CA379,"m/d")&amp;"("&amp;CHOOSE(WEEKDAY($CA379),"日","月","火","水","木","金","土")&amp;")"&amp;"〜"&amp;TEXT($P379-1,"m/d")&amp;"("&amp;CHOOSE(WEEKDAY($P379-1),"日","月","火","水","木","金","土")&amp;")"&amp;"　"&amp;$CO379),IF($CC379="","○ "&amp;TEXT($P379,"m/d")&amp;"("&amp;CHOOSE(WEEKDAY($P379),"日","月","火","水","木","金","土")&amp;")"&amp;" 入庫で 14日以上もつ",IF($CC379-N('設定'!$C$7)&lt;='設定'!$C$6,"● 入庫しても "&amp;TEXT($CC379,"m/d")&amp;"("&amp;CHOOSE(WEEKDAY($CC379),"日","月","火","水","木","金","土")&amp;")"&amp;" に切れる　もう1便を至急発注（2便目に入れる）","△ 入庫しても "&amp;TEXT($CC379,"m/d")&amp;"("&amp;CHOOSE(WEEKDAY($CC379),"日","月","火","水","木","金","土")&amp;")"&amp;" に切れる　"&amp;TEXT($CC379-N('設定'!$C$7),"m/d")&amp;"("&amp;CHOOSE(WEEKDAY($CC379-N('設定'!$C$7)),"日","月","火","水","木","金","土")&amp;")"&amp;" までに次を発注（2便目に入れる）"))))))))))</f>
        <v/>
      </c>
      <c r="CR379">
        <f>IF($C379="","",IF($G379&gt;1,"ｹｰｽ("&amp;$G379&amp;"入)","個"))</f>
        <v/>
      </c>
      <c r="CS379">
        <f>IF($C379="",0,IF(COUNTIFS('①在庫を貼る'!$V$6:$V$10005,'設定'!$C$4,'①在庫を貼る'!$W$6:$W$10005,$C379)=0,1,0))</f>
        <v/>
      </c>
      <c r="CT379">
        <f>IF(AND($CK379=1,OR('③発注書'!$C$4="すべて",'③発注書'!$C$4="",$F379='③発注書'!$C$4)),N($CT378)+1,N($CT378))</f>
        <v/>
      </c>
      <c r="CU379">
        <f>IF(AND($CL379=1,OR('③発注書'!$C$4="すべて",'③発注書'!$C$4="",$F379='③発注書'!$C$4)),N($CU378)+1,N($CU378))</f>
        <v/>
      </c>
      <c r="CV379">
        <f>IF($C379="",0,IF(COUNTIFS('①在庫を貼る'!$V$6:$V$10005,'設定'!$C$4,'①在庫を貼る'!$W$6:$W$10005,$C379)&gt;0,1,0))</f>
        <v/>
      </c>
      <c r="CW379">
        <f>IF($C379="",0,IF(COUNTIFS('月1回_1ヶ月前の在庫'!$V$6:$V$10005,'設定'!$C$4,'月1回_1ヶ月前の在庫'!$W$6:$W$10005,$C379)&gt;0,1,0))</f>
        <v/>
      </c>
      <c r="CX379">
        <f>IF($C379="",0,IF(COUNTIFS('月1回_2ヶ月前の在庫'!$V$6:$V$10005,'設定'!$C$4,'月1回_2ヶ月前の在庫'!$W$6:$W$10005,$C379)&gt;0,1,0))</f>
        <v/>
      </c>
      <c r="CY379">
        <f>IF(OR($C379="",'設定'!$C$12=""),"",IF('設定'!$C$13="",IF(AND($CV379=1,$CW379=0),"新商品（今月から）",IF(AND($CV379=0,$CW379=1),"終売（今月から）","")),IF(AND($CV379=1,$CW379=0,$CX379=0),"新商品（今月から）",IF(AND($CV379=1,$CW379=1,$CX379=0),"新商品（先月から）",IF(AND($CV379=0,$CW379=1,$CX379=1),"終売（今月から）",IF(AND($CV379=0,$CW379=0,$CX379=1),"終売（先月から）",IF(AND($CV379=1,$CW379=0,$CX379=1),"復活（先月は無し）","")))))))</f>
        <v/>
      </c>
    </row>
    <row r="380">
      <c r="B380">
        <f>IF(375&lt;='設定'!$C$11,375,"")</f>
        <v/>
      </c>
      <c r="C380">
        <f>IF($B380="","",IF($B380&lt;='設定'!$C$20,INDEX('商品マスタ'!$B$6:$B$1005,MATCH($B380,'商品マスタ'!$M$6:$M$1005,0)),IF($B380&lt;='設定'!$C$20+'設定'!$C$17,INDEX('①在庫を貼る'!$W$6:$W$10005,MATCH($B380-'設定'!$C$20,'①在庫を貼る'!$U$6:$U$10005,0)),IF($B380&lt;='設定'!$C$20+'設定'!$C$17+'設定'!$C$18,INDEX('月1回_1ヶ月前の在庫'!$W$6:$W$10005,MATCH($B380-'設定'!$C$20-'設定'!$C$17,'月1回_1ヶ月前の在庫'!$U$6:$U$10005,0)),INDEX('月1回_2ヶ月前の在庫'!$W$6:$W$10005,MATCH($B380-'設定'!$C$20-'設定'!$C$17-'設定'!$C$18,'月1回_2ヶ月前の在庫'!$U$6:$U$10005,0))))))</f>
        <v/>
      </c>
      <c r="D380">
        <f>IF($C380="","",IFERROR(IF(INDEX('商品マスタ'!$C$6:$C$1005,MATCH($C380,'商品マスタ'!$B$6:$B$1005,0))="",IFERROR(INDEX('①在庫を貼る'!$J$6:$J$10005,MATCH($C380,'①在庫を貼る'!$W$6:$W$10005,0)),IFERROR(INDEX('月1回_1ヶ月前の在庫'!$J$6:$J$10005,MATCH($C380,'月1回_1ヶ月前の在庫'!$W$6:$W$10005,0)),IFERROR(INDEX('月1回_2ヶ月前の在庫'!$J$6:$J$10005,MATCH($C380,'月1回_2ヶ月前の在庫'!$W$6:$W$10005,0)),""))),INDEX('商品マスタ'!$C$6:$C$1005,MATCH($C380,'商品マスタ'!$B$6:$B$1005,0))),IFERROR(INDEX('①在庫を貼る'!$J$6:$J$10005,MATCH($C380,'①在庫を貼る'!$W$6:$W$10005,0)),IFERROR(INDEX('月1回_1ヶ月前の在庫'!$J$6:$J$10005,MATCH($C380,'月1回_1ヶ月前の在庫'!$W$6:$W$10005,0)),IFERROR(INDEX('月1回_2ヶ月前の在庫'!$J$6:$J$10005,MATCH($C380,'月1回_2ヶ月前の在庫'!$W$6:$W$10005,0)),"")))))</f>
        <v/>
      </c>
      <c r="E380">
        <f>IF($C380="","",IFERROR(IF(INDEX('商品マスタ'!$D$6:$D$1005,MATCH($C380,'商品マスタ'!$B$6:$B$1005,0))="",IFERROR(INDEX('①在庫を貼る'!$H$6:$H$10005,MATCH($C380,'①在庫を貼る'!$W$6:$W$10005,0)),IFERROR(INDEX('月1回_1ヶ月前の在庫'!$H$6:$H$10005,MATCH($C380,'月1回_1ヶ月前の在庫'!$W$6:$W$10005,0)),IFERROR(INDEX('月1回_2ヶ月前の在庫'!$H$6:$H$10005,MATCH($C380,'月1回_2ヶ月前の在庫'!$W$6:$W$10005,0)),""))),INDEX('商品マスタ'!$D$6:$D$1005,MATCH($C380,'商品マスタ'!$B$6:$B$1005,0))),IFERROR(INDEX('①在庫を貼る'!$H$6:$H$10005,MATCH($C380,'①在庫を貼る'!$W$6:$W$10005,0)),IFERROR(INDEX('月1回_1ヶ月前の在庫'!$H$6:$H$10005,MATCH($C380,'月1回_1ヶ月前の在庫'!$W$6:$W$10005,0)),IFERROR(INDEX('月1回_2ヶ月前の在庫'!$H$6:$H$10005,MATCH($C380,'月1回_2ヶ月前の在庫'!$W$6:$W$10005,0)),"")))))</f>
        <v/>
      </c>
      <c r="F380">
        <f>IF($C380="","",IFERROR(IF(INDEX('商品マスタ'!$E$6:$E$1005,MATCH($C380,'商品マスタ'!$B$6:$B$1005,0))="",IFERROR(INDEX('①在庫を貼る'!$E$6:$E$10005,MATCH($C380,'①在庫を貼る'!$W$6:$W$10005,0)),IFERROR(INDEX('月1回_1ヶ月前の在庫'!$E$6:$E$10005,MATCH($C380,'月1回_1ヶ月前の在庫'!$W$6:$W$10005,0)),IFERROR(INDEX('月1回_2ヶ月前の在庫'!$E$6:$E$10005,MATCH($C380,'月1回_2ヶ月前の在庫'!$W$6:$W$10005,0)),""))),INDEX('商品マスタ'!$E$6:$E$1005,MATCH($C380,'商品マスタ'!$B$6:$B$1005,0))),IFERROR(INDEX('①在庫を貼る'!$E$6:$E$10005,MATCH($C380,'①在庫を貼る'!$W$6:$W$10005,0)),IFERROR(INDEX('月1回_1ヶ月前の在庫'!$E$6:$E$10005,MATCH($C380,'月1回_1ヶ月前の在庫'!$W$6:$W$10005,0)),IFERROR(INDEX('月1回_2ヶ月前の在庫'!$E$6:$E$10005,MATCH($C380,'月1回_2ヶ月前の在庫'!$W$6:$W$10005,0)),"")))))</f>
        <v/>
      </c>
      <c r="G380">
        <f>IF($C380="","",MAX(1,N(IFERROR(IF(INDEX('商品マスタ'!$F$6:$F$1005,MATCH($C380,'商品マスタ'!$B$6:$B$1005,0))="",IF(COUNTIFS('①在庫を貼る'!$V$6:$V$10005,'設定'!$C$4,'①在庫を貼る'!$W$6:$W$10005,$C380)&gt;0,SUMIFS('①在庫を貼る'!$K$6:$K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K$6:$K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K$6:$K$10005,'月1回_2ヶ月前の在庫'!$V$6:$V$10005,'設定'!$C$4,'月1回_2ヶ月前の在庫'!$W$6:$W$10005,$C380)/COUNTIFS('月1回_2ヶ月前の在庫'!$V$6:$V$10005,'設定'!$C$4,'月1回_2ヶ月前の在庫'!$W$6:$W$10005,$C380),0))),INDEX('商品マスタ'!$F$6:$F$1005,MATCH($C380,'商品マスタ'!$B$6:$B$1005,0))),IF(COUNTIFS('①在庫を貼る'!$V$6:$V$10005,'設定'!$C$4,'①在庫を貼る'!$W$6:$W$10005,$C380)&gt;0,SUMIFS('①在庫を貼る'!$K$6:$K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K$6:$K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K$6:$K$10005,'月1回_2ヶ月前の在庫'!$V$6:$V$10005,'設定'!$C$4,'月1回_2ヶ月前の在庫'!$W$6:$W$10005,$C380)/COUNTIFS('月1回_2ヶ月前の在庫'!$V$6:$V$10005,'設定'!$C$4,'月1回_2ヶ月前の在庫'!$W$6:$W$10005,$C380),0)))))))</f>
        <v/>
      </c>
      <c r="H380">
        <f>IF($C380="","",N(IFERROR(IF(INDEX('商品マスタ'!$G$6:$G$1005,MATCH($C380,'商品マスタ'!$B$6:$B$1005,0))="",IF(COUNTIFS('①在庫を貼る'!$V$6:$V$10005,'設定'!$C$4,'①在庫を貼る'!$W$6:$W$10005,$C380)&gt;0,SUMIFS('①在庫を貼る'!$Q$6:$Q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Q$6:$Q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Q$6:$Q$10005,'月1回_2ヶ月前の在庫'!$V$6:$V$10005,'設定'!$C$4,'月1回_2ヶ月前の在庫'!$W$6:$W$10005,$C380)/COUNTIFS('月1回_2ヶ月前の在庫'!$V$6:$V$10005,'設定'!$C$4,'月1回_2ヶ月前の在庫'!$W$6:$W$10005,$C380),0))),INDEX('商品マスタ'!$G$6:$G$1005,MATCH($C380,'商品マスタ'!$B$6:$B$1005,0))),IF(COUNTIFS('①在庫を貼る'!$V$6:$V$10005,'設定'!$C$4,'①在庫を貼る'!$W$6:$W$10005,$C380)&gt;0,SUMIFS('①在庫を貼る'!$Q$6:$Q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Q$6:$Q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Q$6:$Q$10005,'月1回_2ヶ月前の在庫'!$V$6:$V$10005,'設定'!$C$4,'月1回_2ヶ月前の在庫'!$W$6:$W$10005,$C380)/COUNTIFS('月1回_2ヶ月前の在庫'!$V$6:$V$10005,'設定'!$C$4,'月1回_2ヶ月前の在庫'!$W$6:$W$10005,$C380),0))))))</f>
        <v/>
      </c>
      <c r="I380">
        <f>IF($C380="","",IF(COUNTIFS('①在庫を貼る'!$V$6:$V$10005,'設定'!$C$4,'①在庫を貼る'!$W$6:$W$10005,$C380)=0,"",SUMIFS('①在庫を貼る'!$N$6:$N$10005,'①在庫を貼る'!$V$6:$V$10005,'設定'!$C$4,'①在庫を貼る'!$W$6:$W$10005,$C380)))</f>
        <v/>
      </c>
      <c r="J380">
        <f>IF($C380="","",IF('②発注する'!$AD384="","",'②発注する'!$AD384))</f>
        <v/>
      </c>
      <c r="K380" s="90">
        <f>IF($C380="","",IF('②発注する'!$AE384="","",'②発注する'!$AE384))</f>
        <v/>
      </c>
      <c r="L380">
        <f>IF($C380="","",IF(AND(ISNUMBER($J380),ISNUMBER($K380),$K380&gt;='設定'!$C$6),$J380,N($I380)))</f>
        <v/>
      </c>
      <c r="M380">
        <f>IF($C380="","",IFERROR(IF(N(INDEX('商品マスタ'!$J$6:$J$1005,MATCH($C380,'商品マスタ'!$B$6:$B$1005,0)))&gt;0,INDEX('商品マスタ'!$J$6:$J$1005,MATCH($C380,'商品マスタ'!$B$6:$B$1005,0)),""),""))</f>
        <v/>
      </c>
      <c r="N380">
        <f>IF($C380="","",IFERROR(IF(N(INDEX('商品マスタ'!$H$6:$H$1005,MATCH($C380,'商品マスタ'!$B$6:$B$1005,0)))&gt;0,INDEX('商品マスタ'!$H$6:$H$1005,MATCH($C380,'商品マスタ'!$B$6:$B$1005,0)),""),""))</f>
        <v/>
      </c>
      <c r="O380">
        <f>IF($C380="","",IF($N380&lt;&gt;"",$N380*$G380,IF(N(IF(COUNTIFS('①在庫を貼る'!$V$6:$V$10005,'設定'!$C$4,'①在庫を貼る'!$W$6:$W$10005,$C380)&gt;0,SUMIFS('①在庫を貼る'!$O$6:$O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O$6:$O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O$6:$O$10005,'月1回_2ヶ月前の在庫'!$V$6:$V$10005,'設定'!$C$4,'月1回_2ヶ月前の在庫'!$W$6:$W$10005,$C380)/COUNTIFS('月1回_2ヶ月前の在庫'!$V$6:$V$10005,'設定'!$C$4,'月1回_2ヶ月前の在庫'!$W$6:$W$10005,$C380),0))))&gt;0,N(IF(COUNTIFS('①在庫を貼る'!$V$6:$V$10005,'設定'!$C$4,'①在庫を貼る'!$W$6:$W$10005,$C380)&gt;0,SUMIFS('①在庫を貼る'!$O$6:$O$10005,'①在庫を貼る'!$V$6:$V$10005,'設定'!$C$4,'①在庫を貼る'!$W$6:$W$10005,$C380)/COUNTIFS('①在庫を貼る'!$V$6:$V$10005,'設定'!$C$4,'①在庫を貼る'!$W$6:$W$10005,$C380),IF(COUNTIFS('月1回_1ヶ月前の在庫'!$V$6:$V$10005,'設定'!$C$4,'月1回_1ヶ月前の在庫'!$W$6:$W$10005,$C380)&gt;0,SUMIFS('月1回_1ヶ月前の在庫'!$O$6:$O$10005,'月1回_1ヶ月前の在庫'!$V$6:$V$10005,'設定'!$C$4,'月1回_1ヶ月前の在庫'!$W$6:$W$10005,$C380)/COUNTIFS('月1回_1ヶ月前の在庫'!$V$6:$V$10005,'設定'!$C$4,'月1回_1ヶ月前の在庫'!$W$6:$W$10005,$C380),IF(COUNTIFS('月1回_2ヶ月前の在庫'!$V$6:$V$10005,'設定'!$C$4,'月1回_2ヶ月前の在庫'!$W$6:$W$10005,$C380)&gt;0,SUMIFS('月1回_2ヶ月前の在庫'!$O$6:$O$10005,'月1回_2ヶ月前の在庫'!$V$6:$V$10005,'設定'!$C$4,'月1回_2ヶ月前の在庫'!$W$6:$W$10005,$C380)/COUNTIFS('月1回_2ヶ月前の在庫'!$V$6:$V$10005,'設定'!$C$4,'月1回_2ヶ月前の在庫'!$W$6:$W$10005,$C380),0)))),"")))</f>
        <v/>
      </c>
      <c r="P380" s="90">
        <f>IF($C380="","",IF('②発注する'!$I384="","",'②発注する'!$I384))</f>
        <v/>
      </c>
      <c r="Q380">
        <f>IF($C380="","",IF('②発注する'!$J384="","",'②発注する'!$J384))</f>
        <v/>
      </c>
      <c r="R380">
        <f>IF($C380="",0,IF(AND(ISNUMBER($P380),ISNUMBER($Q380)),MAX(0,$Q380)*$G380,0))</f>
        <v/>
      </c>
      <c r="S380" s="90">
        <f>IF($C380="","",IF('②発注する'!$M384="","",'②発注する'!$M384))</f>
        <v/>
      </c>
      <c r="T380">
        <f>IF($C380="","",IF('②発注する'!$N384="","",'②発注する'!$N384))</f>
        <v/>
      </c>
      <c r="U380">
        <f>IF($C380="",0,IF(AND(ISNUMBER($S380),ISNUMBER($T380)),MAX(0,$T380)*$G380,0))</f>
        <v/>
      </c>
      <c r="V380">
        <f>IF($C380="",0,IF($M380="",0,MAX(0,$M380)*MAX(0,V$4)/100))</f>
        <v/>
      </c>
      <c r="W380">
        <f>IF($C380="",0,IF($M380="",0,MAX(0,$M380)*MAX(0,W$4)/100))</f>
        <v/>
      </c>
      <c r="X380">
        <f>IF($C380="",0,IF($M380="",0,MAX(0,$M380)*MAX(0,X$4)/100))</f>
        <v/>
      </c>
      <c r="Y380">
        <f>IF($C380="",0,IF($M380="",0,MAX(0,$M380)*MAX(0,Y$4)/100))</f>
        <v/>
      </c>
      <c r="Z380">
        <f>IF($C380="",0,IF($M380="",0,MAX(0,$M380)*MAX(0,Z$4)/100))</f>
        <v/>
      </c>
      <c r="AA380">
        <f>IF($C380="",0,IF($M380="",0,MAX(0,$M380)*MAX(0,AA$4)/100))</f>
        <v/>
      </c>
      <c r="AB380">
        <f>IF($C380="",0,IF($M380="",0,MAX(0,$M380)*MAX(0,AB$4)/100))</f>
        <v/>
      </c>
      <c r="AC380">
        <f>IF($C380="",0,IF($M380="",0,MAX(0,$M380)*MAX(0,AC$4)/100))</f>
        <v/>
      </c>
      <c r="AD380">
        <f>IF($C380="",0,IF($M380="",0,MAX(0,$M380)*MAX(0,AD$4)/100))</f>
        <v/>
      </c>
      <c r="AE380">
        <f>IF($C380="",0,IF($M380="",0,MAX(0,$M380)*MAX(0,AE$4)/100))</f>
        <v/>
      </c>
      <c r="AF380">
        <f>IF($C380="",0,IF($M380="",0,MAX(0,$M380)*MAX(0,AF$4)/100))</f>
        <v/>
      </c>
      <c r="AG380">
        <f>IF($C380="",0,IF($M380="",0,MAX(0,$M380)*MAX(0,AG$4)/100))</f>
        <v/>
      </c>
      <c r="AH380">
        <f>IF($C380="",0,IF($M380="",0,MAX(0,$M380)*MAX(0,AH$4)/100))</f>
        <v/>
      </c>
      <c r="AI380">
        <f>IF($C380="",0,IF($M380="",0,MAX(0,$M380)*MAX(0,AI$4)/100))</f>
        <v/>
      </c>
      <c r="AJ380">
        <f>IF($C380="",0,MAX(0,MAX(0,N($L380))-$V380))</f>
        <v/>
      </c>
      <c r="AK380">
        <f>IF($C380="",0,MAX(0,$AJ380-$W380))</f>
        <v/>
      </c>
      <c r="AL380">
        <f>IF($C380="",0,MAX(0,$AK380-$X380))</f>
        <v/>
      </c>
      <c r="AM380">
        <f>IF($C380="",0,MAX(0,$AL380-$Y380))</f>
        <v/>
      </c>
      <c r="AN380">
        <f>IF($C380="",0,MAX(0,$AM380-$Z380))</f>
        <v/>
      </c>
      <c r="AO380">
        <f>IF($C380="",0,MAX(0,$AN380-$AA380))</f>
        <v/>
      </c>
      <c r="AP380">
        <f>IF($C380="",0,MAX(0,$AO380-$AB380))</f>
        <v/>
      </c>
      <c r="AQ380">
        <f>IF($C380="",0,MAX(0,$AP380-$AC380))</f>
        <v/>
      </c>
      <c r="AR380">
        <f>IF($C380="",0,MAX(0,$AQ380-$AD380))</f>
        <v/>
      </c>
      <c r="AS380">
        <f>IF($C380="",0,MAX(0,$AR380-$AE380))</f>
        <v/>
      </c>
      <c r="AT380">
        <f>IF($C380="",0,MAX(0,$AS380-$AF380))</f>
        <v/>
      </c>
      <c r="AU380">
        <f>IF($C380="",0,MAX(0,$AT380-$AG380))</f>
        <v/>
      </c>
      <c r="AV380">
        <f>IF($C380="",0,MAX(0,$AU380-$AH380))</f>
        <v/>
      </c>
      <c r="AW380">
        <f>IF($C380="",0,MAX(0,$AV380-$AI380))</f>
        <v/>
      </c>
      <c r="AX380">
        <f>IF($C380="",0,MAX(0,MAX(0,N($L380))+IF($P380=V$3,$R380,0)+IF($S380=V$3,$U380,0)-$V380))</f>
        <v/>
      </c>
      <c r="AY380">
        <f>IF($C380="",0,MAX(0,$AX380+IF($P380=W$3,$R380,0)+IF($S380=W$3,$U380,0)-$W380))</f>
        <v/>
      </c>
      <c r="AZ380">
        <f>IF($C380="",0,MAX(0,$AY380+IF($P380=X$3,$R380,0)+IF($S380=X$3,$U380,0)-$X380))</f>
        <v/>
      </c>
      <c r="BA380">
        <f>IF($C380="",0,MAX(0,$AZ380+IF($P380=Y$3,$R380,0)+IF($S380=Y$3,$U380,0)-$Y380))</f>
        <v/>
      </c>
      <c r="BB380">
        <f>IF($C380="",0,MAX(0,$BA380+IF($P380=Z$3,$R380,0)+IF($S380=Z$3,$U380,0)-$Z380))</f>
        <v/>
      </c>
      <c r="BC380">
        <f>IF($C380="",0,MAX(0,$BB380+IF($P380=AA$3,$R380,0)+IF($S380=AA$3,$U380,0)-$AA380))</f>
        <v/>
      </c>
      <c r="BD380">
        <f>IF($C380="",0,MAX(0,$BC380+IF($P380=AB$3,$R380,0)+IF($S380=AB$3,$U380,0)-$AB380))</f>
        <v/>
      </c>
      <c r="BE380">
        <f>IF($C380="",0,MAX(0,$BD380+IF($P380=AC$3,$R380,0)+IF($S380=AC$3,$U380,0)-$AC380))</f>
        <v/>
      </c>
      <c r="BF380">
        <f>IF($C380="",0,MAX(0,$BE380+IF($P380=AD$3,$R380,0)+IF($S380=AD$3,$U380,0)-$AD380))</f>
        <v/>
      </c>
      <c r="BG380">
        <f>IF($C380="",0,MAX(0,$BF380+IF($P380=AE$3,$R380,0)+IF($S380=AE$3,$U380,0)-$AE380))</f>
        <v/>
      </c>
      <c r="BH380">
        <f>IF($C380="",0,MAX(0,$BG380+IF($P380=AF$3,$R380,0)+IF($S380=AF$3,$U380,0)-$AF380))</f>
        <v/>
      </c>
      <c r="BI380">
        <f>IF($C380="",0,MAX(0,$BH380+IF($P380=AG$3,$R380,0)+IF($S380=AG$3,$U380,0)-$AG380))</f>
        <v/>
      </c>
      <c r="BJ380">
        <f>IF($C380="",0,MAX(0,$BI380+IF($P380=AH$3,$R380,0)+IF($S380=AH$3,$U380,0)-$AH380))</f>
        <v/>
      </c>
      <c r="BK380">
        <f>IF($C380="",0,MAX(0,$BJ380+IF($P380=AI$3,$R380,0)+IF($S380=AI$3,$U380,0)-$AI380))</f>
        <v/>
      </c>
      <c r="BL380">
        <f>IF($C380="",99,IF(AND($AX380&lt;1,V$3&gt;=MAX(N($P380),N($S380))),0,99))</f>
        <v/>
      </c>
      <c r="BM380">
        <f>IF($C380="",99,IF(AND($AY380&lt;1,W$3&gt;=MAX(N($P380),N($S380))),1,99))</f>
        <v/>
      </c>
      <c r="BN380">
        <f>IF($C380="",99,IF(AND($AZ380&lt;1,X$3&gt;=MAX(N($P380),N($S380))),2,99))</f>
        <v/>
      </c>
      <c r="BO380">
        <f>IF($C380="",99,IF(AND($BA380&lt;1,Y$3&gt;=MAX(N($P380),N($S380))),3,99))</f>
        <v/>
      </c>
      <c r="BP380">
        <f>IF($C380="",99,IF(AND($BB380&lt;1,Z$3&gt;=MAX(N($P380),N($S380))),4,99))</f>
        <v/>
      </c>
      <c r="BQ380">
        <f>IF($C380="",99,IF(AND($BC380&lt;1,AA$3&gt;=MAX(N($P380),N($S380))),5,99))</f>
        <v/>
      </c>
      <c r="BR380">
        <f>IF($C380="",99,IF(AND($BD380&lt;1,AB$3&gt;=MAX(N($P380),N($S380))),6,99))</f>
        <v/>
      </c>
      <c r="BS380">
        <f>IF($C380="",99,IF(AND($BE380&lt;1,AC$3&gt;=MAX(N($P380),N($S380))),7,99))</f>
        <v/>
      </c>
      <c r="BT380">
        <f>IF($C380="",99,IF(AND($BF380&lt;1,AD$3&gt;=MAX(N($P380),N($S380))),8,99))</f>
        <v/>
      </c>
      <c r="BU380">
        <f>IF($C380="",99,IF(AND($BG380&lt;1,AE$3&gt;=MAX(N($P380),N($S380))),9,99))</f>
        <v/>
      </c>
      <c r="BV380">
        <f>IF($C380="",99,IF(AND($BH380&lt;1,AF$3&gt;=MAX(N($P380),N($S380))),10,99))</f>
        <v/>
      </c>
      <c r="BW380">
        <f>IF($C380="",99,IF(AND($BI380&lt;1,AG$3&gt;=MAX(N($P380),N($S380))),11,99))</f>
        <v/>
      </c>
      <c r="BX380">
        <f>IF($C380="",99,IF(AND($BJ380&lt;1,AH$3&gt;=MAX(N($P380),N($S380))),12,99))</f>
        <v/>
      </c>
      <c r="BY380">
        <f>IF($C380="",99,IF(AND($BK380&lt;1,AI$3&gt;=MAX(N($P380),N($S380))),13,99))</f>
        <v/>
      </c>
      <c r="BZ380">
        <f>IF(OR($C380="",$M380=""),"",COUNTIF($AJ380:$AW380,"&gt;=1"))</f>
        <v/>
      </c>
      <c r="CA380" s="90">
        <f>IF($BZ380="","",IF($BZ380&gt;=14,"",'設定'!$C$6+$BZ380))</f>
        <v/>
      </c>
      <c r="CB380">
        <f>IF(OR($C380="",$M380=""),"",MIN($BL380:$BY380))</f>
        <v/>
      </c>
      <c r="CC380" s="90">
        <f>IF($CB380="","",IF($CB380&gt;=99,"",'設定'!$C$6+$CB380))</f>
        <v/>
      </c>
      <c r="CD380">
        <f>IF(OR($C380="",$M380=""),"",AVERAGE($V380:$AI380))</f>
        <v/>
      </c>
      <c r="CE380">
        <f>IF($C380="","",IFERROR(IF(MATCH(IF(ISNUMBER($P380),$P380,'設定'!$C$6+N('設定'!$C$7)),$V$3:$AI$3,0)=1,MAX(0,N($L380)),INDEX($AJ380:$AW380,MATCH(IF(ISNUMBER($P380),$P380,'設定'!$C$6+N('設定'!$C$7)),$V$3:$AI$3,0)-1)),""))</f>
        <v/>
      </c>
      <c r="CF380">
        <f>IF(OR($C380="",$O380="",$CE380=""),"",IF($O380-$CE380&lt;=0,0,ROUNDUP(($O380-$CE380)/$G380,0)))</f>
        <v/>
      </c>
      <c r="CG380">
        <f>IF(OR($C380="",$CF380="",NOT(ISNUMBER($Q380))),0,MAX(0,$Q380-$CF380))</f>
        <v/>
      </c>
      <c r="CH380">
        <f>IF(OR($C380="",$O380="",$U380=0),0,IFERROR(ROUNDUP(MAX(0,IF(MATCH($S380,$V$3:$AI$3,0)=1,MAX(0,N($L380)),INDEX($AX380:$BK380,MATCH($S380,$V$3:$AI$3,0)-1))+$U380-$O380)/$G380,0),0))</f>
        <v/>
      </c>
      <c r="CI380">
        <f>IF($C380="","",IF(AND($P380="",$Q380=""),"",IF($P380="","⚠ 入庫日を ▼ から選んでください",IF(NOT(ISNUMBER($P380)),"⚠ 入庫日は ▼ から選んでください",IF($P380&lt;N('設定'!$C$6),"⚠ 入庫日が過去です（もう在庫に入っています）→ 消してください",IF($P380&gt;N('設定'!$C$6)+13,"⚠ 入庫日が14日より先です",IF(N($Q380)&lt;=0,"⚠ 入庫数を入れてください",IF($CG380&gt;0,"⚠ 目安より "&amp;$CG380&amp;" 多い（定数を超える）→ 減らす",""))))))))</f>
        <v/>
      </c>
      <c r="CJ380">
        <f>IF($C380="","",IF(AND($S380="",$T380=""),"",IF($S380="","⚠ 2便目：入庫日を ▼ から選んでください",IF(NOT(ISNUMBER($S380)),"⚠ 2便目：入庫日は ▼ から選んでください",IF($S380&lt;N('設定'!$C$6),"⚠ 2便目：入庫日が過去です（もう在庫に入っています）→ 消してください",IF($S380&gt;N('設定'!$C$6)+13,"⚠ 2便目：入庫日が14日より先です",IF(N($T380)&lt;=0,"⚠ 2便目：入庫数を入れてください",IF($CH380&gt;0,"⚠ 2便目：定数を "&amp;$CH380&amp;" ケース超える → 減らす",""))))))))</f>
        <v/>
      </c>
      <c r="CK380">
        <f>IF(AND($CI380="",N($Q380)&gt;0,ISNUMBER($P380)),1,0)</f>
        <v/>
      </c>
      <c r="CL380">
        <f>IF(AND($CJ380="",N($T380)&gt;0,ISNUMBER($S380)),1,0)</f>
        <v/>
      </c>
      <c r="CM380">
        <f>IF(OR($CK380=1,$CL380=1),1,0)</f>
        <v/>
      </c>
      <c r="CN380">
        <f>IF($C380="",0,($CK380*$R380+$CL380*$U380)*N($H380))</f>
        <v/>
      </c>
      <c r="CO380">
        <f>IF($C380="","",IF($CC380="","入庫後は 14日以上もつ",IF($CC380-N('設定'!$C$7)&lt;='設定'!$C$6,"入庫後も "&amp;TEXT($CC380,"m/d")&amp;"("&amp;CHOOSE(WEEKDAY($CC380),"日","月","火","水","木","金","土")&amp;")"&amp;" に切れる　もう1便を至急発注","入庫後も "&amp;TEXT($CC380,"m/d")&amp;"("&amp;CHOOSE(WEEKDAY($CC380),"日","月","火","水","木","金","土")&amp;")"&amp;" に切れる　"&amp;TEXT($CC380-N('設定'!$C$7),"m/d")&amp;"("&amp;CHOOSE(WEEKDAY($CC380-N('設定'!$C$7)),"日","月","火","水","木","金","土")&amp;")"&amp;" までに次を発注")))</f>
        <v/>
      </c>
      <c r="CP380">
        <f>IF($C380="","",IF('設定'!$C$6="","？ ①在庫を貼る に今日のCSVが貼られていない",IF($CS380=1,"－ 今日のCSVに無い（終売？）",IF($L380&lt;0,"● 在庫がマイナス　数えて「数えた在庫」に入れる",IF($L380=0,"● 在庫なし　至急発注",IF($M380="","？ 減り数が未設定（商品マスタ）",IF($B$3=0,"？ 動員が未入力（動員を入れる）",IF($CA380="","○ 14日以上もつ",IF($BZ380&lt;N('設定'!$C$7),"● "&amp;TEXT($CA380,"m/d")&amp;"("&amp;CHOOSE(WEEKDAY($CA380),"日","月","火","水","木","金","土")&amp;")"&amp;" に切れる　至急発注",IF($BZ380=N('設定'!$C$7),"● "&amp;TEXT($CA380,"m/d")&amp;"("&amp;CHOOSE(WEEKDAY($CA380),"日","月","火","水","木","金","土")&amp;")"&amp;" に切れる　今日発注","△ "&amp;TEXT($CA380,"m/d")&amp;"("&amp;CHOOSE(WEEKDAY($CA380),"日","月","火","水","木","金","土")&amp;")"&amp;" に切れる　"&amp;TEXT($CA380-N('設定'!$C$7),"m/d")&amp;"("&amp;CHOOSE(WEEKDAY($CA380-N('設定'!$C$7)),"日","月","火","水","木","金","土")&amp;")"&amp;" までに発注"))))))))))</f>
        <v/>
      </c>
      <c r="CQ380">
        <f>IF($C380="","",IF(AND($P380="",$Q380="",$S380="",$T380=""),"",IF(AND($P380="",$Q380=""),"⚠ 先に1便目（左の入庫日・入庫数）に入れてください",IF($CI380&lt;&gt;"",$CI380,IF($CJ380&lt;&gt;"",$CJ380,IF($M380="","？ 減り数が未設定（発注書には載ります）",IF($B$3=0,"？ 動員が未入力（発注書には載ります）",IF(AND($CA380&lt;&gt;"",$P380&gt;$CA380),IF($P380&gt;'設定'!$C$6+N('設定'!$C$7),"● "&amp;TEXT($P380,"m/d")&amp;"("&amp;CHOOSE(WEEKDAY($P380),"日","月","火","水","木","金","土")&amp;")"&amp;" の入庫では間に合わない（"&amp;TEXT($CA380,"m/d")&amp;"("&amp;CHOOSE(WEEKDAY($CA380),"日","月","火","水","木","金","土")&amp;")"&amp;" に切れる）　入庫日を早める","△ 欠品 "&amp;TEXT($CA380,"m/d")&amp;"("&amp;CHOOSE(WEEKDAY($CA380),"日","月","火","水","木","金","土")&amp;")"&amp;"〜"&amp;TEXT($P380-1,"m/d")&amp;"("&amp;CHOOSE(WEEKDAY($P380-1),"日","月","火","水","木","金","土")&amp;")"&amp;"　"&amp;$CO380),IF($CC380="","○ "&amp;TEXT($P380,"m/d")&amp;"("&amp;CHOOSE(WEEKDAY($P380),"日","月","火","水","木","金","土")&amp;")"&amp;" 入庫で 14日以上もつ",IF($CC380-N('設定'!$C$7)&lt;='設定'!$C$6,"● 入庫しても "&amp;TEXT($CC380,"m/d")&amp;"("&amp;CHOOSE(WEEKDAY($CC380),"日","月","火","水","木","金","土")&amp;")"&amp;" に切れる　もう1便を至急発注（2便目に入れる）","△ 入庫しても "&amp;TEXT($CC380,"m/d")&amp;"("&amp;CHOOSE(WEEKDAY($CC380),"日","月","火","水","木","金","土")&amp;")"&amp;" に切れる　"&amp;TEXT($CC380-N('設定'!$C$7),"m/d")&amp;"("&amp;CHOOSE(WEEKDAY($CC380-N('設定'!$C$7)),"日","月","火","水","木","金","土")&amp;")"&amp;" までに次を発注（2便目に入れる）"))))))))))</f>
        <v/>
      </c>
      <c r="CR380">
        <f>IF($C380="","",IF($G380&gt;1,"ｹｰｽ("&amp;$G380&amp;"入)","個"))</f>
        <v/>
      </c>
      <c r="CS380">
        <f>IF($C380="",0,IF(COUNTIFS('①在庫を貼る'!$V$6:$V$10005,'設定'!$C$4,'①在庫を貼る'!$W$6:$W$10005,$C380)=0,1,0))</f>
        <v/>
      </c>
      <c r="CT380">
        <f>IF(AND($CK380=1,OR('③発注書'!$C$4="すべて",'③発注書'!$C$4="",$F380='③発注書'!$C$4)),N($CT379)+1,N($CT379))</f>
        <v/>
      </c>
      <c r="CU380">
        <f>IF(AND($CL380=1,OR('③発注書'!$C$4="すべて",'③発注書'!$C$4="",$F380='③発注書'!$C$4)),N($CU379)+1,N($CU379))</f>
        <v/>
      </c>
      <c r="CV380">
        <f>IF($C380="",0,IF(COUNTIFS('①在庫を貼る'!$V$6:$V$10005,'設定'!$C$4,'①在庫を貼る'!$W$6:$W$10005,$C380)&gt;0,1,0))</f>
        <v/>
      </c>
      <c r="CW380">
        <f>IF($C380="",0,IF(COUNTIFS('月1回_1ヶ月前の在庫'!$V$6:$V$10005,'設定'!$C$4,'月1回_1ヶ月前の在庫'!$W$6:$W$10005,$C380)&gt;0,1,0))</f>
        <v/>
      </c>
      <c r="CX380">
        <f>IF($C380="",0,IF(COUNTIFS('月1回_2ヶ月前の在庫'!$V$6:$V$10005,'設定'!$C$4,'月1回_2ヶ月前の在庫'!$W$6:$W$10005,$C380)&gt;0,1,0))</f>
        <v/>
      </c>
      <c r="CY380">
        <f>IF(OR($C380="",'設定'!$C$12=""),"",IF('設定'!$C$13="",IF(AND($CV380=1,$CW380=0),"新商品（今月から）",IF(AND($CV380=0,$CW380=1),"終売（今月から）","")),IF(AND($CV380=1,$CW380=0,$CX380=0),"新商品（今月から）",IF(AND($CV380=1,$CW380=1,$CX380=0),"新商品（先月から）",IF(AND($CV380=0,$CW380=1,$CX380=1),"終売（今月から）",IF(AND($CV380=0,$CW380=0,$CX380=1),"終売（先月から）",IF(AND($CV380=1,$CW380=0,$CX380=1),"復活（先月は無し）","")))))))</f>
        <v/>
      </c>
    </row>
    <row r="381">
      <c r="B381">
        <f>IF(376&lt;='設定'!$C$11,376,"")</f>
        <v/>
      </c>
      <c r="C381">
        <f>IF($B381="","",IF($B381&lt;='設定'!$C$20,INDEX('商品マスタ'!$B$6:$B$1005,MATCH($B381,'商品マスタ'!$M$6:$M$1005,0)),IF($B381&lt;='設定'!$C$20+'設定'!$C$17,INDEX('①在庫を貼る'!$W$6:$W$10005,MATCH($B381-'設定'!$C$20,'①在庫を貼る'!$U$6:$U$10005,0)),IF($B381&lt;='設定'!$C$20+'設定'!$C$17+'設定'!$C$18,INDEX('月1回_1ヶ月前の在庫'!$W$6:$W$10005,MATCH($B381-'設定'!$C$20-'設定'!$C$17,'月1回_1ヶ月前の在庫'!$U$6:$U$10005,0)),INDEX('月1回_2ヶ月前の在庫'!$W$6:$W$10005,MATCH($B381-'設定'!$C$20-'設定'!$C$17-'設定'!$C$18,'月1回_2ヶ月前の在庫'!$U$6:$U$10005,0))))))</f>
        <v/>
      </c>
      <c r="D381">
        <f>IF($C381="","",IFERROR(IF(INDEX('商品マスタ'!$C$6:$C$1005,MATCH($C381,'商品マスタ'!$B$6:$B$1005,0))="",IFERROR(INDEX('①在庫を貼る'!$J$6:$J$10005,MATCH($C381,'①在庫を貼る'!$W$6:$W$10005,0)),IFERROR(INDEX('月1回_1ヶ月前の在庫'!$J$6:$J$10005,MATCH($C381,'月1回_1ヶ月前の在庫'!$W$6:$W$10005,0)),IFERROR(INDEX('月1回_2ヶ月前の在庫'!$J$6:$J$10005,MATCH($C381,'月1回_2ヶ月前の在庫'!$W$6:$W$10005,0)),""))),INDEX('商品マスタ'!$C$6:$C$1005,MATCH($C381,'商品マスタ'!$B$6:$B$1005,0))),IFERROR(INDEX('①在庫を貼る'!$J$6:$J$10005,MATCH($C381,'①在庫を貼る'!$W$6:$W$10005,0)),IFERROR(INDEX('月1回_1ヶ月前の在庫'!$J$6:$J$10005,MATCH($C381,'月1回_1ヶ月前の在庫'!$W$6:$W$10005,0)),IFERROR(INDEX('月1回_2ヶ月前の在庫'!$J$6:$J$10005,MATCH($C381,'月1回_2ヶ月前の在庫'!$W$6:$W$10005,0)),"")))))</f>
        <v/>
      </c>
      <c r="E381">
        <f>IF($C381="","",IFERROR(IF(INDEX('商品マスタ'!$D$6:$D$1005,MATCH($C381,'商品マスタ'!$B$6:$B$1005,0))="",IFERROR(INDEX('①在庫を貼る'!$H$6:$H$10005,MATCH($C381,'①在庫を貼る'!$W$6:$W$10005,0)),IFERROR(INDEX('月1回_1ヶ月前の在庫'!$H$6:$H$10005,MATCH($C381,'月1回_1ヶ月前の在庫'!$W$6:$W$10005,0)),IFERROR(INDEX('月1回_2ヶ月前の在庫'!$H$6:$H$10005,MATCH($C381,'月1回_2ヶ月前の在庫'!$W$6:$W$10005,0)),""))),INDEX('商品マスタ'!$D$6:$D$1005,MATCH($C381,'商品マスタ'!$B$6:$B$1005,0))),IFERROR(INDEX('①在庫を貼る'!$H$6:$H$10005,MATCH($C381,'①在庫を貼る'!$W$6:$W$10005,0)),IFERROR(INDEX('月1回_1ヶ月前の在庫'!$H$6:$H$10005,MATCH($C381,'月1回_1ヶ月前の在庫'!$W$6:$W$10005,0)),IFERROR(INDEX('月1回_2ヶ月前の在庫'!$H$6:$H$10005,MATCH($C381,'月1回_2ヶ月前の在庫'!$W$6:$W$10005,0)),"")))))</f>
        <v/>
      </c>
      <c r="F381">
        <f>IF($C381="","",IFERROR(IF(INDEX('商品マスタ'!$E$6:$E$1005,MATCH($C381,'商品マスタ'!$B$6:$B$1005,0))="",IFERROR(INDEX('①在庫を貼る'!$E$6:$E$10005,MATCH($C381,'①在庫を貼る'!$W$6:$W$10005,0)),IFERROR(INDEX('月1回_1ヶ月前の在庫'!$E$6:$E$10005,MATCH($C381,'月1回_1ヶ月前の在庫'!$W$6:$W$10005,0)),IFERROR(INDEX('月1回_2ヶ月前の在庫'!$E$6:$E$10005,MATCH($C381,'月1回_2ヶ月前の在庫'!$W$6:$W$10005,0)),""))),INDEX('商品マスタ'!$E$6:$E$1005,MATCH($C381,'商品マスタ'!$B$6:$B$1005,0))),IFERROR(INDEX('①在庫を貼る'!$E$6:$E$10005,MATCH($C381,'①在庫を貼る'!$W$6:$W$10005,0)),IFERROR(INDEX('月1回_1ヶ月前の在庫'!$E$6:$E$10005,MATCH($C381,'月1回_1ヶ月前の在庫'!$W$6:$W$10005,0)),IFERROR(INDEX('月1回_2ヶ月前の在庫'!$E$6:$E$10005,MATCH($C381,'月1回_2ヶ月前の在庫'!$W$6:$W$10005,0)),"")))))</f>
        <v/>
      </c>
      <c r="G381">
        <f>IF($C381="","",MAX(1,N(IFERROR(IF(INDEX('商品マスタ'!$F$6:$F$1005,MATCH($C381,'商品マスタ'!$B$6:$B$1005,0))="",IF(COUNTIFS('①在庫を貼る'!$V$6:$V$10005,'設定'!$C$4,'①在庫を貼る'!$W$6:$W$10005,$C381)&gt;0,SUMIFS('①在庫を貼る'!$K$6:$K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K$6:$K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K$6:$K$10005,'月1回_2ヶ月前の在庫'!$V$6:$V$10005,'設定'!$C$4,'月1回_2ヶ月前の在庫'!$W$6:$W$10005,$C381)/COUNTIFS('月1回_2ヶ月前の在庫'!$V$6:$V$10005,'設定'!$C$4,'月1回_2ヶ月前の在庫'!$W$6:$W$10005,$C381),0))),INDEX('商品マスタ'!$F$6:$F$1005,MATCH($C381,'商品マスタ'!$B$6:$B$1005,0))),IF(COUNTIFS('①在庫を貼る'!$V$6:$V$10005,'設定'!$C$4,'①在庫を貼る'!$W$6:$W$10005,$C381)&gt;0,SUMIFS('①在庫を貼る'!$K$6:$K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K$6:$K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K$6:$K$10005,'月1回_2ヶ月前の在庫'!$V$6:$V$10005,'設定'!$C$4,'月1回_2ヶ月前の在庫'!$W$6:$W$10005,$C381)/COUNTIFS('月1回_2ヶ月前の在庫'!$V$6:$V$10005,'設定'!$C$4,'月1回_2ヶ月前の在庫'!$W$6:$W$10005,$C381),0)))))))</f>
        <v/>
      </c>
      <c r="H381">
        <f>IF($C381="","",N(IFERROR(IF(INDEX('商品マスタ'!$G$6:$G$1005,MATCH($C381,'商品マスタ'!$B$6:$B$1005,0))="",IF(COUNTIFS('①在庫を貼る'!$V$6:$V$10005,'設定'!$C$4,'①在庫を貼る'!$W$6:$W$10005,$C381)&gt;0,SUMIFS('①在庫を貼る'!$Q$6:$Q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Q$6:$Q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Q$6:$Q$10005,'月1回_2ヶ月前の在庫'!$V$6:$V$10005,'設定'!$C$4,'月1回_2ヶ月前の在庫'!$W$6:$W$10005,$C381)/COUNTIFS('月1回_2ヶ月前の在庫'!$V$6:$V$10005,'設定'!$C$4,'月1回_2ヶ月前の在庫'!$W$6:$W$10005,$C381),0))),INDEX('商品マスタ'!$G$6:$G$1005,MATCH($C381,'商品マスタ'!$B$6:$B$1005,0))),IF(COUNTIFS('①在庫を貼る'!$V$6:$V$10005,'設定'!$C$4,'①在庫を貼る'!$W$6:$W$10005,$C381)&gt;0,SUMIFS('①在庫を貼る'!$Q$6:$Q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Q$6:$Q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Q$6:$Q$10005,'月1回_2ヶ月前の在庫'!$V$6:$V$10005,'設定'!$C$4,'月1回_2ヶ月前の在庫'!$W$6:$W$10005,$C381)/COUNTIFS('月1回_2ヶ月前の在庫'!$V$6:$V$10005,'設定'!$C$4,'月1回_2ヶ月前の在庫'!$W$6:$W$10005,$C381),0))))))</f>
        <v/>
      </c>
      <c r="I381">
        <f>IF($C381="","",IF(COUNTIFS('①在庫を貼る'!$V$6:$V$10005,'設定'!$C$4,'①在庫を貼る'!$W$6:$W$10005,$C381)=0,"",SUMIFS('①在庫を貼る'!$N$6:$N$10005,'①在庫を貼る'!$V$6:$V$10005,'設定'!$C$4,'①在庫を貼る'!$W$6:$W$10005,$C381)))</f>
        <v/>
      </c>
      <c r="J381">
        <f>IF($C381="","",IF('②発注する'!$AD385="","",'②発注する'!$AD385))</f>
        <v/>
      </c>
      <c r="K381" s="90">
        <f>IF($C381="","",IF('②発注する'!$AE385="","",'②発注する'!$AE385))</f>
        <v/>
      </c>
      <c r="L381">
        <f>IF($C381="","",IF(AND(ISNUMBER($J381),ISNUMBER($K381),$K381&gt;='設定'!$C$6),$J381,N($I381)))</f>
        <v/>
      </c>
      <c r="M381">
        <f>IF($C381="","",IFERROR(IF(N(INDEX('商品マスタ'!$J$6:$J$1005,MATCH($C381,'商品マスタ'!$B$6:$B$1005,0)))&gt;0,INDEX('商品マスタ'!$J$6:$J$1005,MATCH($C381,'商品マスタ'!$B$6:$B$1005,0)),""),""))</f>
        <v/>
      </c>
      <c r="N381">
        <f>IF($C381="","",IFERROR(IF(N(INDEX('商品マスタ'!$H$6:$H$1005,MATCH($C381,'商品マスタ'!$B$6:$B$1005,0)))&gt;0,INDEX('商品マスタ'!$H$6:$H$1005,MATCH($C381,'商品マスタ'!$B$6:$B$1005,0)),""),""))</f>
        <v/>
      </c>
      <c r="O381">
        <f>IF($C381="","",IF($N381&lt;&gt;"",$N381*$G381,IF(N(IF(COUNTIFS('①在庫を貼る'!$V$6:$V$10005,'設定'!$C$4,'①在庫を貼る'!$W$6:$W$10005,$C381)&gt;0,SUMIFS('①在庫を貼る'!$O$6:$O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O$6:$O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O$6:$O$10005,'月1回_2ヶ月前の在庫'!$V$6:$V$10005,'設定'!$C$4,'月1回_2ヶ月前の在庫'!$W$6:$W$10005,$C381)/COUNTIFS('月1回_2ヶ月前の在庫'!$V$6:$V$10005,'設定'!$C$4,'月1回_2ヶ月前の在庫'!$W$6:$W$10005,$C381),0))))&gt;0,N(IF(COUNTIFS('①在庫を貼る'!$V$6:$V$10005,'設定'!$C$4,'①在庫を貼る'!$W$6:$W$10005,$C381)&gt;0,SUMIFS('①在庫を貼る'!$O$6:$O$10005,'①在庫を貼る'!$V$6:$V$10005,'設定'!$C$4,'①在庫を貼る'!$W$6:$W$10005,$C381)/COUNTIFS('①在庫を貼る'!$V$6:$V$10005,'設定'!$C$4,'①在庫を貼る'!$W$6:$W$10005,$C381),IF(COUNTIFS('月1回_1ヶ月前の在庫'!$V$6:$V$10005,'設定'!$C$4,'月1回_1ヶ月前の在庫'!$W$6:$W$10005,$C381)&gt;0,SUMIFS('月1回_1ヶ月前の在庫'!$O$6:$O$10005,'月1回_1ヶ月前の在庫'!$V$6:$V$10005,'設定'!$C$4,'月1回_1ヶ月前の在庫'!$W$6:$W$10005,$C381)/COUNTIFS('月1回_1ヶ月前の在庫'!$V$6:$V$10005,'設定'!$C$4,'月1回_1ヶ月前の在庫'!$W$6:$W$10005,$C381),IF(COUNTIFS('月1回_2ヶ月前の在庫'!$V$6:$V$10005,'設定'!$C$4,'月1回_2ヶ月前の在庫'!$W$6:$W$10005,$C381)&gt;0,SUMIFS('月1回_2ヶ月前の在庫'!$O$6:$O$10005,'月1回_2ヶ月前の在庫'!$V$6:$V$10005,'設定'!$C$4,'月1回_2ヶ月前の在庫'!$W$6:$W$10005,$C381)/COUNTIFS('月1回_2ヶ月前の在庫'!$V$6:$V$10005,'設定'!$C$4,'月1回_2ヶ月前の在庫'!$W$6:$W$10005,$C381),0)))),"")))</f>
        <v/>
      </c>
      <c r="P381" s="90">
        <f>IF($C381="","",IF('②発注する'!$I385="","",'②発注する'!$I385))</f>
        <v/>
      </c>
      <c r="Q381">
        <f>IF($C381="","",IF('②発注する'!$J385="","",'②発注する'!$J385))</f>
        <v/>
      </c>
      <c r="R381">
        <f>IF($C381="",0,IF(AND(ISNUMBER($P381),ISNUMBER($Q381)),MAX(0,$Q381)*$G381,0))</f>
        <v/>
      </c>
      <c r="S381" s="90">
        <f>IF($C381="","",IF('②発注する'!$M385="","",'②発注する'!$M385))</f>
        <v/>
      </c>
      <c r="T381">
        <f>IF($C381="","",IF('②発注する'!$N385="","",'②発注する'!$N385))</f>
        <v/>
      </c>
      <c r="U381">
        <f>IF($C381="",0,IF(AND(ISNUMBER($S381),ISNUMBER($T381)),MAX(0,$T381)*$G381,0))</f>
        <v/>
      </c>
      <c r="V381">
        <f>IF($C381="",0,IF($M381="",0,MAX(0,$M381)*MAX(0,V$4)/100))</f>
        <v/>
      </c>
      <c r="W381">
        <f>IF($C381="",0,IF($M381="",0,MAX(0,$M381)*MAX(0,W$4)/100))</f>
        <v/>
      </c>
      <c r="X381">
        <f>IF($C381="",0,IF($M381="",0,MAX(0,$M381)*MAX(0,X$4)/100))</f>
        <v/>
      </c>
      <c r="Y381">
        <f>IF($C381="",0,IF($M381="",0,MAX(0,$M381)*MAX(0,Y$4)/100))</f>
        <v/>
      </c>
      <c r="Z381">
        <f>IF($C381="",0,IF($M381="",0,MAX(0,$M381)*MAX(0,Z$4)/100))</f>
        <v/>
      </c>
      <c r="AA381">
        <f>IF($C381="",0,IF($M381="",0,MAX(0,$M381)*MAX(0,AA$4)/100))</f>
        <v/>
      </c>
      <c r="AB381">
        <f>IF($C381="",0,IF($M381="",0,MAX(0,$M381)*MAX(0,AB$4)/100))</f>
        <v/>
      </c>
      <c r="AC381">
        <f>IF($C381="",0,IF($M381="",0,MAX(0,$M381)*MAX(0,AC$4)/100))</f>
        <v/>
      </c>
      <c r="AD381">
        <f>IF($C381="",0,IF($M381="",0,MAX(0,$M381)*MAX(0,AD$4)/100))</f>
        <v/>
      </c>
      <c r="AE381">
        <f>IF($C381="",0,IF($M381="",0,MAX(0,$M381)*MAX(0,AE$4)/100))</f>
        <v/>
      </c>
      <c r="AF381">
        <f>IF($C381="",0,IF($M381="",0,MAX(0,$M381)*MAX(0,AF$4)/100))</f>
        <v/>
      </c>
      <c r="AG381">
        <f>IF($C381="",0,IF($M381="",0,MAX(0,$M381)*MAX(0,AG$4)/100))</f>
        <v/>
      </c>
      <c r="AH381">
        <f>IF($C381="",0,IF($M381="",0,MAX(0,$M381)*MAX(0,AH$4)/100))</f>
        <v/>
      </c>
      <c r="AI381">
        <f>IF($C381="",0,IF($M381="",0,MAX(0,$M381)*MAX(0,AI$4)/100))</f>
        <v/>
      </c>
      <c r="AJ381">
        <f>IF($C381="",0,MAX(0,MAX(0,N($L381))-$V381))</f>
        <v/>
      </c>
      <c r="AK381">
        <f>IF($C381="",0,MAX(0,$AJ381-$W381))</f>
        <v/>
      </c>
      <c r="AL381">
        <f>IF($C381="",0,MAX(0,$AK381-$X381))</f>
        <v/>
      </c>
      <c r="AM381">
        <f>IF($C381="",0,MAX(0,$AL381-$Y381))</f>
        <v/>
      </c>
      <c r="AN381">
        <f>IF($C381="",0,MAX(0,$AM381-$Z381))</f>
        <v/>
      </c>
      <c r="AO381">
        <f>IF($C381="",0,MAX(0,$AN381-$AA381))</f>
        <v/>
      </c>
      <c r="AP381">
        <f>IF($C381="",0,MAX(0,$AO381-$AB381))</f>
        <v/>
      </c>
      <c r="AQ381">
        <f>IF($C381="",0,MAX(0,$AP381-$AC381))</f>
        <v/>
      </c>
      <c r="AR381">
        <f>IF($C381="",0,MAX(0,$AQ381-$AD381))</f>
        <v/>
      </c>
      <c r="AS381">
        <f>IF($C381="",0,MAX(0,$AR381-$AE381))</f>
        <v/>
      </c>
      <c r="AT381">
        <f>IF($C381="",0,MAX(0,$AS381-$AF381))</f>
        <v/>
      </c>
      <c r="AU381">
        <f>IF($C381="",0,MAX(0,$AT381-$AG381))</f>
        <v/>
      </c>
      <c r="AV381">
        <f>IF($C381="",0,MAX(0,$AU381-$AH381))</f>
        <v/>
      </c>
      <c r="AW381">
        <f>IF($C381="",0,MAX(0,$AV381-$AI381))</f>
        <v/>
      </c>
      <c r="AX381">
        <f>IF($C381="",0,MAX(0,MAX(0,N($L381))+IF($P381=V$3,$R381,0)+IF($S381=V$3,$U381,0)-$V381))</f>
        <v/>
      </c>
      <c r="AY381">
        <f>IF($C381="",0,MAX(0,$AX381+IF($P381=W$3,$R381,0)+IF($S381=W$3,$U381,0)-$W381))</f>
        <v/>
      </c>
      <c r="AZ381">
        <f>IF($C381="",0,MAX(0,$AY381+IF($P381=X$3,$R381,0)+IF($S381=X$3,$U381,0)-$X381))</f>
        <v/>
      </c>
      <c r="BA381">
        <f>IF($C381="",0,MAX(0,$AZ381+IF($P381=Y$3,$R381,0)+IF($S381=Y$3,$U381,0)-$Y381))</f>
        <v/>
      </c>
      <c r="BB381">
        <f>IF($C381="",0,MAX(0,$BA381+IF($P381=Z$3,$R381,0)+IF($S381=Z$3,$U381,0)-$Z381))</f>
        <v/>
      </c>
      <c r="BC381">
        <f>IF($C381="",0,MAX(0,$BB381+IF($P381=AA$3,$R381,0)+IF($S381=AA$3,$U381,0)-$AA381))</f>
        <v/>
      </c>
      <c r="BD381">
        <f>IF($C381="",0,MAX(0,$BC381+IF($P381=AB$3,$R381,0)+IF($S381=AB$3,$U381,0)-$AB381))</f>
        <v/>
      </c>
      <c r="BE381">
        <f>IF($C381="",0,MAX(0,$BD381+IF($P381=AC$3,$R381,0)+IF($S381=AC$3,$U381,0)-$AC381))</f>
        <v/>
      </c>
      <c r="BF381">
        <f>IF($C381="",0,MAX(0,$BE381+IF($P381=AD$3,$R381,0)+IF($S381=AD$3,$U381,0)-$AD381))</f>
        <v/>
      </c>
      <c r="BG381">
        <f>IF($C381="",0,MAX(0,$BF381+IF($P381=AE$3,$R381,0)+IF($S381=AE$3,$U381,0)-$AE381))</f>
        <v/>
      </c>
      <c r="BH381">
        <f>IF($C381="",0,MAX(0,$BG381+IF($P381=AF$3,$R381,0)+IF($S381=AF$3,$U381,0)-$AF381))</f>
        <v/>
      </c>
      <c r="BI381">
        <f>IF($C381="",0,MAX(0,$BH381+IF($P381=AG$3,$R381,0)+IF($S381=AG$3,$U381,0)-$AG381))</f>
        <v/>
      </c>
      <c r="BJ381">
        <f>IF($C381="",0,MAX(0,$BI381+IF($P381=AH$3,$R381,0)+IF($S381=AH$3,$U381,0)-$AH381))</f>
        <v/>
      </c>
      <c r="BK381">
        <f>IF($C381="",0,MAX(0,$BJ381+IF($P381=AI$3,$R381,0)+IF($S381=AI$3,$U381,0)-$AI381))</f>
        <v/>
      </c>
      <c r="BL381">
        <f>IF($C381="",99,IF(AND($AX381&lt;1,V$3&gt;=MAX(N($P381),N($S381))),0,99))</f>
        <v/>
      </c>
      <c r="BM381">
        <f>IF($C381="",99,IF(AND($AY381&lt;1,W$3&gt;=MAX(N($P381),N($S381))),1,99))</f>
        <v/>
      </c>
      <c r="BN381">
        <f>IF($C381="",99,IF(AND($AZ381&lt;1,X$3&gt;=MAX(N($P381),N($S381))),2,99))</f>
        <v/>
      </c>
      <c r="BO381">
        <f>IF($C381="",99,IF(AND($BA381&lt;1,Y$3&gt;=MAX(N($P381),N($S381))),3,99))</f>
        <v/>
      </c>
      <c r="BP381">
        <f>IF($C381="",99,IF(AND($BB381&lt;1,Z$3&gt;=MAX(N($P381),N($S381))),4,99))</f>
        <v/>
      </c>
      <c r="BQ381">
        <f>IF($C381="",99,IF(AND($BC381&lt;1,AA$3&gt;=MAX(N($P381),N($S381))),5,99))</f>
        <v/>
      </c>
      <c r="BR381">
        <f>IF($C381="",99,IF(AND($BD381&lt;1,AB$3&gt;=MAX(N($P381),N($S381))),6,99))</f>
        <v/>
      </c>
      <c r="BS381">
        <f>IF($C381="",99,IF(AND($BE381&lt;1,AC$3&gt;=MAX(N($P381),N($S381))),7,99))</f>
        <v/>
      </c>
      <c r="BT381">
        <f>IF($C381="",99,IF(AND($BF381&lt;1,AD$3&gt;=MAX(N($P381),N($S381))),8,99))</f>
        <v/>
      </c>
      <c r="BU381">
        <f>IF($C381="",99,IF(AND($BG381&lt;1,AE$3&gt;=MAX(N($P381),N($S381))),9,99))</f>
        <v/>
      </c>
      <c r="BV381">
        <f>IF($C381="",99,IF(AND($BH381&lt;1,AF$3&gt;=MAX(N($P381),N($S381))),10,99))</f>
        <v/>
      </c>
      <c r="BW381">
        <f>IF($C381="",99,IF(AND($BI381&lt;1,AG$3&gt;=MAX(N($P381),N($S381))),11,99))</f>
        <v/>
      </c>
      <c r="BX381">
        <f>IF($C381="",99,IF(AND($BJ381&lt;1,AH$3&gt;=MAX(N($P381),N($S381))),12,99))</f>
        <v/>
      </c>
      <c r="BY381">
        <f>IF($C381="",99,IF(AND($BK381&lt;1,AI$3&gt;=MAX(N($P381),N($S381))),13,99))</f>
        <v/>
      </c>
      <c r="BZ381">
        <f>IF(OR($C381="",$M381=""),"",COUNTIF($AJ381:$AW381,"&gt;=1"))</f>
        <v/>
      </c>
      <c r="CA381" s="90">
        <f>IF($BZ381="","",IF($BZ381&gt;=14,"",'設定'!$C$6+$BZ381))</f>
        <v/>
      </c>
      <c r="CB381">
        <f>IF(OR($C381="",$M381=""),"",MIN($BL381:$BY381))</f>
        <v/>
      </c>
      <c r="CC381" s="90">
        <f>IF($CB381="","",IF($CB381&gt;=99,"",'設定'!$C$6+$CB381))</f>
        <v/>
      </c>
      <c r="CD381">
        <f>IF(OR($C381="",$M381=""),"",AVERAGE($V381:$AI381))</f>
        <v/>
      </c>
      <c r="CE381">
        <f>IF($C381="","",IFERROR(IF(MATCH(IF(ISNUMBER($P381),$P381,'設定'!$C$6+N('設定'!$C$7)),$V$3:$AI$3,0)=1,MAX(0,N($L381)),INDEX($AJ381:$AW381,MATCH(IF(ISNUMBER($P381),$P381,'設定'!$C$6+N('設定'!$C$7)),$V$3:$AI$3,0)-1)),""))</f>
        <v/>
      </c>
      <c r="CF381">
        <f>IF(OR($C381="",$O381="",$CE381=""),"",IF($O381-$CE381&lt;=0,0,ROUNDUP(($O381-$CE381)/$G381,0)))</f>
        <v/>
      </c>
      <c r="CG381">
        <f>IF(OR($C381="",$CF381="",NOT(ISNUMBER($Q381))),0,MAX(0,$Q381-$CF381))</f>
        <v/>
      </c>
      <c r="CH381">
        <f>IF(OR($C381="",$O381="",$U381=0),0,IFERROR(ROUNDUP(MAX(0,IF(MATCH($S381,$V$3:$AI$3,0)=1,MAX(0,N($L381)),INDEX($AX381:$BK381,MATCH($S381,$V$3:$AI$3,0)-1))+$U381-$O381)/$G381,0),0))</f>
        <v/>
      </c>
      <c r="CI381">
        <f>IF($C381="","",IF(AND($P381="",$Q381=""),"",IF($P381="","⚠ 入庫日を ▼ から選んでください",IF(NOT(ISNUMBER($P381)),"⚠ 入庫日は ▼ から選んでください",IF($P381&lt;N('設定'!$C$6),"⚠ 入庫日が過去です（もう在庫に入っています）→ 消してください",IF($P381&gt;N('設定'!$C$6)+13,"⚠ 入庫日が14日より先です",IF(N($Q381)&lt;=0,"⚠ 入庫数を入れてください",IF($CG381&gt;0,"⚠ 目安より "&amp;$CG381&amp;" 多い（定数を超える）→ 減らす",""))))))))</f>
        <v/>
      </c>
      <c r="CJ381">
        <f>IF($C381="","",IF(AND($S381="",$T381=""),"",IF($S381="","⚠ 2便目：入庫日を ▼ から選んでください",IF(NOT(ISNUMBER($S381)),"⚠ 2便目：入庫日は ▼ から選んでください",IF($S381&lt;N('設定'!$C$6),"⚠ 2便目：入庫日が過去です（もう在庫に入っています）→ 消してください",IF($S381&gt;N('設定'!$C$6)+13,"⚠ 2便目：入庫日が14日より先です",IF(N($T381)&lt;=0,"⚠ 2便目：入庫数を入れてください",IF($CH381&gt;0,"⚠ 2便目：定数を "&amp;$CH381&amp;" ケース超える → 減らす",""))))))))</f>
        <v/>
      </c>
      <c r="CK381">
        <f>IF(AND($CI381="",N($Q381)&gt;0,ISNUMBER($P381)),1,0)</f>
        <v/>
      </c>
      <c r="CL381">
        <f>IF(AND($CJ381="",N($T381)&gt;0,ISNUMBER($S381)),1,0)</f>
        <v/>
      </c>
      <c r="CM381">
        <f>IF(OR($CK381=1,$CL381=1),1,0)</f>
        <v/>
      </c>
      <c r="CN381">
        <f>IF($C381="",0,($CK381*$R381+$CL381*$U381)*N($H381))</f>
        <v/>
      </c>
      <c r="CO381">
        <f>IF($C381="","",IF($CC381="","入庫後は 14日以上もつ",IF($CC381-N('設定'!$C$7)&lt;='設定'!$C$6,"入庫後も "&amp;TEXT($CC381,"m/d")&amp;"("&amp;CHOOSE(WEEKDAY($CC381),"日","月","火","水","木","金","土")&amp;")"&amp;" に切れる　もう1便を至急発注","入庫後も "&amp;TEXT($CC381,"m/d")&amp;"("&amp;CHOOSE(WEEKDAY($CC381),"日","月","火","水","木","金","土")&amp;")"&amp;" に切れる　"&amp;TEXT($CC381-N('設定'!$C$7),"m/d")&amp;"("&amp;CHOOSE(WEEKDAY($CC381-N('設定'!$C$7)),"日","月","火","水","木","金","土")&amp;")"&amp;" までに次を発注")))</f>
        <v/>
      </c>
      <c r="CP381">
        <f>IF($C381="","",IF('設定'!$C$6="","？ ①在庫を貼る に今日のCSVが貼られていない",IF($CS381=1,"－ 今日のCSVに無い（終売？）",IF($L381&lt;0,"● 在庫がマイナス　数えて「数えた在庫」に入れる",IF($L381=0,"● 在庫なし　至急発注",IF($M381="","？ 減り数が未設定（商品マスタ）",IF($B$3=0,"？ 動員が未入力（動員を入れる）",IF($CA381="","○ 14日以上もつ",IF($BZ381&lt;N('設定'!$C$7),"● "&amp;TEXT($CA381,"m/d")&amp;"("&amp;CHOOSE(WEEKDAY($CA381),"日","月","火","水","木","金","土")&amp;")"&amp;" に切れる　至急発注",IF($BZ381=N('設定'!$C$7),"● "&amp;TEXT($CA381,"m/d")&amp;"("&amp;CHOOSE(WEEKDAY($CA381),"日","月","火","水","木","金","土")&amp;")"&amp;" に切れる　今日発注","△ "&amp;TEXT($CA381,"m/d")&amp;"("&amp;CHOOSE(WEEKDAY($CA381),"日","月","火","水","木","金","土")&amp;")"&amp;" に切れる　"&amp;TEXT($CA381-N('設定'!$C$7),"m/d")&amp;"("&amp;CHOOSE(WEEKDAY($CA381-N('設定'!$C$7)),"日","月","火","水","木","金","土")&amp;")"&amp;" までに発注"))))))))))</f>
        <v/>
      </c>
      <c r="CQ381">
        <f>IF($C381="","",IF(AND($P381="",$Q381="",$S381="",$T381=""),"",IF(AND($P381="",$Q381=""),"⚠ 先に1便目（左の入庫日・入庫数）に入れてください",IF($CI381&lt;&gt;"",$CI381,IF($CJ381&lt;&gt;"",$CJ381,IF($M381="","？ 減り数が未設定（発注書には載ります）",IF($B$3=0,"？ 動員が未入力（発注書には載ります）",IF(AND($CA381&lt;&gt;"",$P381&gt;$CA381),IF($P381&gt;'設定'!$C$6+N('設定'!$C$7),"● "&amp;TEXT($P381,"m/d")&amp;"("&amp;CHOOSE(WEEKDAY($P381),"日","月","火","水","木","金","土")&amp;")"&amp;" の入庫では間に合わない（"&amp;TEXT($CA381,"m/d")&amp;"("&amp;CHOOSE(WEEKDAY($CA381),"日","月","火","水","木","金","土")&amp;")"&amp;" に切れる）　入庫日を早める","△ 欠品 "&amp;TEXT($CA381,"m/d")&amp;"("&amp;CHOOSE(WEEKDAY($CA381),"日","月","火","水","木","金","土")&amp;")"&amp;"〜"&amp;TEXT($P381-1,"m/d")&amp;"("&amp;CHOOSE(WEEKDAY($P381-1),"日","月","火","水","木","金","土")&amp;")"&amp;"　"&amp;$CO381),IF($CC381="","○ "&amp;TEXT($P381,"m/d")&amp;"("&amp;CHOOSE(WEEKDAY($P381),"日","月","火","水","木","金","土")&amp;")"&amp;" 入庫で 14日以上もつ",IF($CC381-N('設定'!$C$7)&lt;='設定'!$C$6,"● 入庫しても "&amp;TEXT($CC381,"m/d")&amp;"("&amp;CHOOSE(WEEKDAY($CC381),"日","月","火","水","木","金","土")&amp;")"&amp;" に切れる　もう1便を至急発注（2便目に入れる）","△ 入庫しても "&amp;TEXT($CC381,"m/d")&amp;"("&amp;CHOOSE(WEEKDAY($CC381),"日","月","火","水","木","金","土")&amp;")"&amp;" に切れる　"&amp;TEXT($CC381-N('設定'!$C$7),"m/d")&amp;"("&amp;CHOOSE(WEEKDAY($CC381-N('設定'!$C$7)),"日","月","火","水","木","金","土")&amp;")"&amp;" までに次を発注（2便目に入れる）"))))))))))</f>
        <v/>
      </c>
      <c r="CR381">
        <f>IF($C381="","",IF($G381&gt;1,"ｹｰｽ("&amp;$G381&amp;"入)","個"))</f>
        <v/>
      </c>
      <c r="CS381">
        <f>IF($C381="",0,IF(COUNTIFS('①在庫を貼る'!$V$6:$V$10005,'設定'!$C$4,'①在庫を貼る'!$W$6:$W$10005,$C381)=0,1,0))</f>
        <v/>
      </c>
      <c r="CT381">
        <f>IF(AND($CK381=1,OR('③発注書'!$C$4="すべて",'③発注書'!$C$4="",$F381='③発注書'!$C$4)),N($CT380)+1,N($CT380))</f>
        <v/>
      </c>
      <c r="CU381">
        <f>IF(AND($CL381=1,OR('③発注書'!$C$4="すべて",'③発注書'!$C$4="",$F381='③発注書'!$C$4)),N($CU380)+1,N($CU380))</f>
        <v/>
      </c>
      <c r="CV381">
        <f>IF($C381="",0,IF(COUNTIFS('①在庫を貼る'!$V$6:$V$10005,'設定'!$C$4,'①在庫を貼る'!$W$6:$W$10005,$C381)&gt;0,1,0))</f>
        <v/>
      </c>
      <c r="CW381">
        <f>IF($C381="",0,IF(COUNTIFS('月1回_1ヶ月前の在庫'!$V$6:$V$10005,'設定'!$C$4,'月1回_1ヶ月前の在庫'!$W$6:$W$10005,$C381)&gt;0,1,0))</f>
        <v/>
      </c>
      <c r="CX381">
        <f>IF($C381="",0,IF(COUNTIFS('月1回_2ヶ月前の在庫'!$V$6:$V$10005,'設定'!$C$4,'月1回_2ヶ月前の在庫'!$W$6:$W$10005,$C381)&gt;0,1,0))</f>
        <v/>
      </c>
      <c r="CY381">
        <f>IF(OR($C381="",'設定'!$C$12=""),"",IF('設定'!$C$13="",IF(AND($CV381=1,$CW381=0),"新商品（今月から）",IF(AND($CV381=0,$CW381=1),"終売（今月から）","")),IF(AND($CV381=1,$CW381=0,$CX381=0),"新商品（今月から）",IF(AND($CV381=1,$CW381=1,$CX381=0),"新商品（先月から）",IF(AND($CV381=0,$CW381=1,$CX381=1),"終売（今月から）",IF(AND($CV381=0,$CW381=0,$CX381=1),"終売（先月から）",IF(AND($CV381=1,$CW381=0,$CX381=1),"復活（先月は無し）","")))))))</f>
        <v/>
      </c>
    </row>
    <row r="382">
      <c r="B382">
        <f>IF(377&lt;='設定'!$C$11,377,"")</f>
        <v/>
      </c>
      <c r="C382">
        <f>IF($B382="","",IF($B382&lt;='設定'!$C$20,INDEX('商品マスタ'!$B$6:$B$1005,MATCH($B382,'商品マスタ'!$M$6:$M$1005,0)),IF($B382&lt;='設定'!$C$20+'設定'!$C$17,INDEX('①在庫を貼る'!$W$6:$W$10005,MATCH($B382-'設定'!$C$20,'①在庫を貼る'!$U$6:$U$10005,0)),IF($B382&lt;='設定'!$C$20+'設定'!$C$17+'設定'!$C$18,INDEX('月1回_1ヶ月前の在庫'!$W$6:$W$10005,MATCH($B382-'設定'!$C$20-'設定'!$C$17,'月1回_1ヶ月前の在庫'!$U$6:$U$10005,0)),INDEX('月1回_2ヶ月前の在庫'!$W$6:$W$10005,MATCH($B382-'設定'!$C$20-'設定'!$C$17-'設定'!$C$18,'月1回_2ヶ月前の在庫'!$U$6:$U$10005,0))))))</f>
        <v/>
      </c>
      <c r="D382">
        <f>IF($C382="","",IFERROR(IF(INDEX('商品マスタ'!$C$6:$C$1005,MATCH($C382,'商品マスタ'!$B$6:$B$1005,0))="",IFERROR(INDEX('①在庫を貼る'!$J$6:$J$10005,MATCH($C382,'①在庫を貼る'!$W$6:$W$10005,0)),IFERROR(INDEX('月1回_1ヶ月前の在庫'!$J$6:$J$10005,MATCH($C382,'月1回_1ヶ月前の在庫'!$W$6:$W$10005,0)),IFERROR(INDEX('月1回_2ヶ月前の在庫'!$J$6:$J$10005,MATCH($C382,'月1回_2ヶ月前の在庫'!$W$6:$W$10005,0)),""))),INDEX('商品マスタ'!$C$6:$C$1005,MATCH($C382,'商品マスタ'!$B$6:$B$1005,0))),IFERROR(INDEX('①在庫を貼る'!$J$6:$J$10005,MATCH($C382,'①在庫を貼る'!$W$6:$W$10005,0)),IFERROR(INDEX('月1回_1ヶ月前の在庫'!$J$6:$J$10005,MATCH($C382,'月1回_1ヶ月前の在庫'!$W$6:$W$10005,0)),IFERROR(INDEX('月1回_2ヶ月前の在庫'!$J$6:$J$10005,MATCH($C382,'月1回_2ヶ月前の在庫'!$W$6:$W$10005,0)),"")))))</f>
        <v/>
      </c>
      <c r="E382">
        <f>IF($C382="","",IFERROR(IF(INDEX('商品マスタ'!$D$6:$D$1005,MATCH($C382,'商品マスタ'!$B$6:$B$1005,0))="",IFERROR(INDEX('①在庫を貼る'!$H$6:$H$10005,MATCH($C382,'①在庫を貼る'!$W$6:$W$10005,0)),IFERROR(INDEX('月1回_1ヶ月前の在庫'!$H$6:$H$10005,MATCH($C382,'月1回_1ヶ月前の在庫'!$W$6:$W$10005,0)),IFERROR(INDEX('月1回_2ヶ月前の在庫'!$H$6:$H$10005,MATCH($C382,'月1回_2ヶ月前の在庫'!$W$6:$W$10005,0)),""))),INDEX('商品マスタ'!$D$6:$D$1005,MATCH($C382,'商品マスタ'!$B$6:$B$1005,0))),IFERROR(INDEX('①在庫を貼る'!$H$6:$H$10005,MATCH($C382,'①在庫を貼る'!$W$6:$W$10005,0)),IFERROR(INDEX('月1回_1ヶ月前の在庫'!$H$6:$H$10005,MATCH($C382,'月1回_1ヶ月前の在庫'!$W$6:$W$10005,0)),IFERROR(INDEX('月1回_2ヶ月前の在庫'!$H$6:$H$10005,MATCH($C382,'月1回_2ヶ月前の在庫'!$W$6:$W$10005,0)),"")))))</f>
        <v/>
      </c>
      <c r="F382">
        <f>IF($C382="","",IFERROR(IF(INDEX('商品マスタ'!$E$6:$E$1005,MATCH($C382,'商品マスタ'!$B$6:$B$1005,0))="",IFERROR(INDEX('①在庫を貼る'!$E$6:$E$10005,MATCH($C382,'①在庫を貼る'!$W$6:$W$10005,0)),IFERROR(INDEX('月1回_1ヶ月前の在庫'!$E$6:$E$10005,MATCH($C382,'月1回_1ヶ月前の在庫'!$W$6:$W$10005,0)),IFERROR(INDEX('月1回_2ヶ月前の在庫'!$E$6:$E$10005,MATCH($C382,'月1回_2ヶ月前の在庫'!$W$6:$W$10005,0)),""))),INDEX('商品マスタ'!$E$6:$E$1005,MATCH($C382,'商品マスタ'!$B$6:$B$1005,0))),IFERROR(INDEX('①在庫を貼る'!$E$6:$E$10005,MATCH($C382,'①在庫を貼る'!$W$6:$W$10005,0)),IFERROR(INDEX('月1回_1ヶ月前の在庫'!$E$6:$E$10005,MATCH($C382,'月1回_1ヶ月前の在庫'!$W$6:$W$10005,0)),IFERROR(INDEX('月1回_2ヶ月前の在庫'!$E$6:$E$10005,MATCH($C382,'月1回_2ヶ月前の在庫'!$W$6:$W$10005,0)),"")))))</f>
        <v/>
      </c>
      <c r="G382">
        <f>IF($C382="","",MAX(1,N(IFERROR(IF(INDEX('商品マスタ'!$F$6:$F$1005,MATCH($C382,'商品マスタ'!$B$6:$B$1005,0))="",IF(COUNTIFS('①在庫を貼る'!$V$6:$V$10005,'設定'!$C$4,'①在庫を貼る'!$W$6:$W$10005,$C382)&gt;0,SUMIFS('①在庫を貼る'!$K$6:$K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K$6:$K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K$6:$K$10005,'月1回_2ヶ月前の在庫'!$V$6:$V$10005,'設定'!$C$4,'月1回_2ヶ月前の在庫'!$W$6:$W$10005,$C382)/COUNTIFS('月1回_2ヶ月前の在庫'!$V$6:$V$10005,'設定'!$C$4,'月1回_2ヶ月前の在庫'!$W$6:$W$10005,$C382),0))),INDEX('商品マスタ'!$F$6:$F$1005,MATCH($C382,'商品マスタ'!$B$6:$B$1005,0))),IF(COUNTIFS('①在庫を貼る'!$V$6:$V$10005,'設定'!$C$4,'①在庫を貼る'!$W$6:$W$10005,$C382)&gt;0,SUMIFS('①在庫を貼る'!$K$6:$K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K$6:$K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K$6:$K$10005,'月1回_2ヶ月前の在庫'!$V$6:$V$10005,'設定'!$C$4,'月1回_2ヶ月前の在庫'!$W$6:$W$10005,$C382)/COUNTIFS('月1回_2ヶ月前の在庫'!$V$6:$V$10005,'設定'!$C$4,'月1回_2ヶ月前の在庫'!$W$6:$W$10005,$C382),0)))))))</f>
        <v/>
      </c>
      <c r="H382">
        <f>IF($C382="","",N(IFERROR(IF(INDEX('商品マスタ'!$G$6:$G$1005,MATCH($C382,'商品マスタ'!$B$6:$B$1005,0))="",IF(COUNTIFS('①在庫を貼る'!$V$6:$V$10005,'設定'!$C$4,'①在庫を貼る'!$W$6:$W$10005,$C382)&gt;0,SUMIFS('①在庫を貼る'!$Q$6:$Q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Q$6:$Q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Q$6:$Q$10005,'月1回_2ヶ月前の在庫'!$V$6:$V$10005,'設定'!$C$4,'月1回_2ヶ月前の在庫'!$W$6:$W$10005,$C382)/COUNTIFS('月1回_2ヶ月前の在庫'!$V$6:$V$10005,'設定'!$C$4,'月1回_2ヶ月前の在庫'!$W$6:$W$10005,$C382),0))),INDEX('商品マスタ'!$G$6:$G$1005,MATCH($C382,'商品マスタ'!$B$6:$B$1005,0))),IF(COUNTIFS('①在庫を貼る'!$V$6:$V$10005,'設定'!$C$4,'①在庫を貼る'!$W$6:$W$10005,$C382)&gt;0,SUMIFS('①在庫を貼る'!$Q$6:$Q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Q$6:$Q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Q$6:$Q$10005,'月1回_2ヶ月前の在庫'!$V$6:$V$10005,'設定'!$C$4,'月1回_2ヶ月前の在庫'!$W$6:$W$10005,$C382)/COUNTIFS('月1回_2ヶ月前の在庫'!$V$6:$V$10005,'設定'!$C$4,'月1回_2ヶ月前の在庫'!$W$6:$W$10005,$C382),0))))))</f>
        <v/>
      </c>
      <c r="I382">
        <f>IF($C382="","",IF(COUNTIFS('①在庫を貼る'!$V$6:$V$10005,'設定'!$C$4,'①在庫を貼る'!$W$6:$W$10005,$C382)=0,"",SUMIFS('①在庫を貼る'!$N$6:$N$10005,'①在庫を貼る'!$V$6:$V$10005,'設定'!$C$4,'①在庫を貼る'!$W$6:$W$10005,$C382)))</f>
        <v/>
      </c>
      <c r="J382">
        <f>IF($C382="","",IF('②発注する'!$AD386="","",'②発注する'!$AD386))</f>
        <v/>
      </c>
      <c r="K382" s="90">
        <f>IF($C382="","",IF('②発注する'!$AE386="","",'②発注する'!$AE386))</f>
        <v/>
      </c>
      <c r="L382">
        <f>IF($C382="","",IF(AND(ISNUMBER($J382),ISNUMBER($K382),$K382&gt;='設定'!$C$6),$J382,N($I382)))</f>
        <v/>
      </c>
      <c r="M382">
        <f>IF($C382="","",IFERROR(IF(N(INDEX('商品マスタ'!$J$6:$J$1005,MATCH($C382,'商品マスタ'!$B$6:$B$1005,0)))&gt;0,INDEX('商品マスタ'!$J$6:$J$1005,MATCH($C382,'商品マスタ'!$B$6:$B$1005,0)),""),""))</f>
        <v/>
      </c>
      <c r="N382">
        <f>IF($C382="","",IFERROR(IF(N(INDEX('商品マスタ'!$H$6:$H$1005,MATCH($C382,'商品マスタ'!$B$6:$B$1005,0)))&gt;0,INDEX('商品マスタ'!$H$6:$H$1005,MATCH($C382,'商品マスタ'!$B$6:$B$1005,0)),""),""))</f>
        <v/>
      </c>
      <c r="O382">
        <f>IF($C382="","",IF($N382&lt;&gt;"",$N382*$G382,IF(N(IF(COUNTIFS('①在庫を貼る'!$V$6:$V$10005,'設定'!$C$4,'①在庫を貼る'!$W$6:$W$10005,$C382)&gt;0,SUMIFS('①在庫を貼る'!$O$6:$O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O$6:$O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O$6:$O$10005,'月1回_2ヶ月前の在庫'!$V$6:$V$10005,'設定'!$C$4,'月1回_2ヶ月前の在庫'!$W$6:$W$10005,$C382)/COUNTIFS('月1回_2ヶ月前の在庫'!$V$6:$V$10005,'設定'!$C$4,'月1回_2ヶ月前の在庫'!$W$6:$W$10005,$C382),0))))&gt;0,N(IF(COUNTIFS('①在庫を貼る'!$V$6:$V$10005,'設定'!$C$4,'①在庫を貼る'!$W$6:$W$10005,$C382)&gt;0,SUMIFS('①在庫を貼る'!$O$6:$O$10005,'①在庫を貼る'!$V$6:$V$10005,'設定'!$C$4,'①在庫を貼る'!$W$6:$W$10005,$C382)/COUNTIFS('①在庫を貼る'!$V$6:$V$10005,'設定'!$C$4,'①在庫を貼る'!$W$6:$W$10005,$C382),IF(COUNTIFS('月1回_1ヶ月前の在庫'!$V$6:$V$10005,'設定'!$C$4,'月1回_1ヶ月前の在庫'!$W$6:$W$10005,$C382)&gt;0,SUMIFS('月1回_1ヶ月前の在庫'!$O$6:$O$10005,'月1回_1ヶ月前の在庫'!$V$6:$V$10005,'設定'!$C$4,'月1回_1ヶ月前の在庫'!$W$6:$W$10005,$C382)/COUNTIFS('月1回_1ヶ月前の在庫'!$V$6:$V$10005,'設定'!$C$4,'月1回_1ヶ月前の在庫'!$W$6:$W$10005,$C382),IF(COUNTIFS('月1回_2ヶ月前の在庫'!$V$6:$V$10005,'設定'!$C$4,'月1回_2ヶ月前の在庫'!$W$6:$W$10005,$C382)&gt;0,SUMIFS('月1回_2ヶ月前の在庫'!$O$6:$O$10005,'月1回_2ヶ月前の在庫'!$V$6:$V$10005,'設定'!$C$4,'月1回_2ヶ月前の在庫'!$W$6:$W$10005,$C382)/COUNTIFS('月1回_2ヶ月前の在庫'!$V$6:$V$10005,'設定'!$C$4,'月1回_2ヶ月前の在庫'!$W$6:$W$10005,$C382),0)))),"")))</f>
        <v/>
      </c>
      <c r="P382" s="90">
        <f>IF($C382="","",IF('②発注する'!$I386="","",'②発注する'!$I386))</f>
        <v/>
      </c>
      <c r="Q382">
        <f>IF($C382="","",IF('②発注する'!$J386="","",'②発注する'!$J386))</f>
        <v/>
      </c>
      <c r="R382">
        <f>IF($C382="",0,IF(AND(ISNUMBER($P382),ISNUMBER($Q382)),MAX(0,$Q382)*$G382,0))</f>
        <v/>
      </c>
      <c r="S382" s="90">
        <f>IF($C382="","",IF('②発注する'!$M386="","",'②発注する'!$M386))</f>
        <v/>
      </c>
      <c r="T382">
        <f>IF($C382="","",IF('②発注する'!$N386="","",'②発注する'!$N386))</f>
        <v/>
      </c>
      <c r="U382">
        <f>IF($C382="",0,IF(AND(ISNUMBER($S382),ISNUMBER($T382)),MAX(0,$T382)*$G382,0))</f>
        <v/>
      </c>
      <c r="V382">
        <f>IF($C382="",0,IF($M382="",0,MAX(0,$M382)*MAX(0,V$4)/100))</f>
        <v/>
      </c>
      <c r="W382">
        <f>IF($C382="",0,IF($M382="",0,MAX(0,$M382)*MAX(0,W$4)/100))</f>
        <v/>
      </c>
      <c r="X382">
        <f>IF($C382="",0,IF($M382="",0,MAX(0,$M382)*MAX(0,X$4)/100))</f>
        <v/>
      </c>
      <c r="Y382">
        <f>IF($C382="",0,IF($M382="",0,MAX(0,$M382)*MAX(0,Y$4)/100))</f>
        <v/>
      </c>
      <c r="Z382">
        <f>IF($C382="",0,IF($M382="",0,MAX(0,$M382)*MAX(0,Z$4)/100))</f>
        <v/>
      </c>
      <c r="AA382">
        <f>IF($C382="",0,IF($M382="",0,MAX(0,$M382)*MAX(0,AA$4)/100))</f>
        <v/>
      </c>
      <c r="AB382">
        <f>IF($C382="",0,IF($M382="",0,MAX(0,$M382)*MAX(0,AB$4)/100))</f>
        <v/>
      </c>
      <c r="AC382">
        <f>IF($C382="",0,IF($M382="",0,MAX(0,$M382)*MAX(0,AC$4)/100))</f>
        <v/>
      </c>
      <c r="AD382">
        <f>IF($C382="",0,IF($M382="",0,MAX(0,$M382)*MAX(0,AD$4)/100))</f>
        <v/>
      </c>
      <c r="AE382">
        <f>IF($C382="",0,IF($M382="",0,MAX(0,$M382)*MAX(0,AE$4)/100))</f>
        <v/>
      </c>
      <c r="AF382">
        <f>IF($C382="",0,IF($M382="",0,MAX(0,$M382)*MAX(0,AF$4)/100))</f>
        <v/>
      </c>
      <c r="AG382">
        <f>IF($C382="",0,IF($M382="",0,MAX(0,$M382)*MAX(0,AG$4)/100))</f>
        <v/>
      </c>
      <c r="AH382">
        <f>IF($C382="",0,IF($M382="",0,MAX(0,$M382)*MAX(0,AH$4)/100))</f>
        <v/>
      </c>
      <c r="AI382">
        <f>IF($C382="",0,IF($M382="",0,MAX(0,$M382)*MAX(0,AI$4)/100))</f>
        <v/>
      </c>
      <c r="AJ382">
        <f>IF($C382="",0,MAX(0,MAX(0,N($L382))-$V382))</f>
        <v/>
      </c>
      <c r="AK382">
        <f>IF($C382="",0,MAX(0,$AJ382-$W382))</f>
        <v/>
      </c>
      <c r="AL382">
        <f>IF($C382="",0,MAX(0,$AK382-$X382))</f>
        <v/>
      </c>
      <c r="AM382">
        <f>IF($C382="",0,MAX(0,$AL382-$Y382))</f>
        <v/>
      </c>
      <c r="AN382">
        <f>IF($C382="",0,MAX(0,$AM382-$Z382))</f>
        <v/>
      </c>
      <c r="AO382">
        <f>IF($C382="",0,MAX(0,$AN382-$AA382))</f>
        <v/>
      </c>
      <c r="AP382">
        <f>IF($C382="",0,MAX(0,$AO382-$AB382))</f>
        <v/>
      </c>
      <c r="AQ382">
        <f>IF($C382="",0,MAX(0,$AP382-$AC382))</f>
        <v/>
      </c>
      <c r="AR382">
        <f>IF($C382="",0,MAX(0,$AQ382-$AD382))</f>
        <v/>
      </c>
      <c r="AS382">
        <f>IF($C382="",0,MAX(0,$AR382-$AE382))</f>
        <v/>
      </c>
      <c r="AT382">
        <f>IF($C382="",0,MAX(0,$AS382-$AF382))</f>
        <v/>
      </c>
      <c r="AU382">
        <f>IF($C382="",0,MAX(0,$AT382-$AG382))</f>
        <v/>
      </c>
      <c r="AV382">
        <f>IF($C382="",0,MAX(0,$AU382-$AH382))</f>
        <v/>
      </c>
      <c r="AW382">
        <f>IF($C382="",0,MAX(0,$AV382-$AI382))</f>
        <v/>
      </c>
      <c r="AX382">
        <f>IF($C382="",0,MAX(0,MAX(0,N($L382))+IF($P382=V$3,$R382,0)+IF($S382=V$3,$U382,0)-$V382))</f>
        <v/>
      </c>
      <c r="AY382">
        <f>IF($C382="",0,MAX(0,$AX382+IF($P382=W$3,$R382,0)+IF($S382=W$3,$U382,0)-$W382))</f>
        <v/>
      </c>
      <c r="AZ382">
        <f>IF($C382="",0,MAX(0,$AY382+IF($P382=X$3,$R382,0)+IF($S382=X$3,$U382,0)-$X382))</f>
        <v/>
      </c>
      <c r="BA382">
        <f>IF($C382="",0,MAX(0,$AZ382+IF($P382=Y$3,$R382,0)+IF($S382=Y$3,$U382,0)-$Y382))</f>
        <v/>
      </c>
      <c r="BB382">
        <f>IF($C382="",0,MAX(0,$BA382+IF($P382=Z$3,$R382,0)+IF($S382=Z$3,$U382,0)-$Z382))</f>
        <v/>
      </c>
      <c r="BC382">
        <f>IF($C382="",0,MAX(0,$BB382+IF($P382=AA$3,$R382,0)+IF($S382=AA$3,$U382,0)-$AA382))</f>
        <v/>
      </c>
      <c r="BD382">
        <f>IF($C382="",0,MAX(0,$BC382+IF($P382=AB$3,$R382,0)+IF($S382=AB$3,$U382,0)-$AB382))</f>
        <v/>
      </c>
      <c r="BE382">
        <f>IF($C382="",0,MAX(0,$BD382+IF($P382=AC$3,$R382,0)+IF($S382=AC$3,$U382,0)-$AC382))</f>
        <v/>
      </c>
      <c r="BF382">
        <f>IF($C382="",0,MAX(0,$BE382+IF($P382=AD$3,$R382,0)+IF($S382=AD$3,$U382,0)-$AD382))</f>
        <v/>
      </c>
      <c r="BG382">
        <f>IF($C382="",0,MAX(0,$BF382+IF($P382=AE$3,$R382,0)+IF($S382=AE$3,$U382,0)-$AE382))</f>
        <v/>
      </c>
      <c r="BH382">
        <f>IF($C382="",0,MAX(0,$BG382+IF($P382=AF$3,$R382,0)+IF($S382=AF$3,$U382,0)-$AF382))</f>
        <v/>
      </c>
      <c r="BI382">
        <f>IF($C382="",0,MAX(0,$BH382+IF($P382=AG$3,$R382,0)+IF($S382=AG$3,$U382,0)-$AG382))</f>
        <v/>
      </c>
      <c r="BJ382">
        <f>IF($C382="",0,MAX(0,$BI382+IF($P382=AH$3,$R382,0)+IF($S382=AH$3,$U382,0)-$AH382))</f>
        <v/>
      </c>
      <c r="BK382">
        <f>IF($C382="",0,MAX(0,$BJ382+IF($P382=AI$3,$R382,0)+IF($S382=AI$3,$U382,0)-$AI382))</f>
        <v/>
      </c>
      <c r="BL382">
        <f>IF($C382="",99,IF(AND($AX382&lt;1,V$3&gt;=MAX(N($P382),N($S382))),0,99))</f>
        <v/>
      </c>
      <c r="BM382">
        <f>IF($C382="",99,IF(AND($AY382&lt;1,W$3&gt;=MAX(N($P382),N($S382))),1,99))</f>
        <v/>
      </c>
      <c r="BN382">
        <f>IF($C382="",99,IF(AND($AZ382&lt;1,X$3&gt;=MAX(N($P382),N($S382))),2,99))</f>
        <v/>
      </c>
      <c r="BO382">
        <f>IF($C382="",99,IF(AND($BA382&lt;1,Y$3&gt;=MAX(N($P382),N($S382))),3,99))</f>
        <v/>
      </c>
      <c r="BP382">
        <f>IF($C382="",99,IF(AND($BB382&lt;1,Z$3&gt;=MAX(N($P382),N($S382))),4,99))</f>
        <v/>
      </c>
      <c r="BQ382">
        <f>IF($C382="",99,IF(AND($BC382&lt;1,AA$3&gt;=MAX(N($P382),N($S382))),5,99))</f>
        <v/>
      </c>
      <c r="BR382">
        <f>IF($C382="",99,IF(AND($BD382&lt;1,AB$3&gt;=MAX(N($P382),N($S382))),6,99))</f>
        <v/>
      </c>
      <c r="BS382">
        <f>IF($C382="",99,IF(AND($BE382&lt;1,AC$3&gt;=MAX(N($P382),N($S382))),7,99))</f>
        <v/>
      </c>
      <c r="BT382">
        <f>IF($C382="",99,IF(AND($BF382&lt;1,AD$3&gt;=MAX(N($P382),N($S382))),8,99))</f>
        <v/>
      </c>
      <c r="BU382">
        <f>IF($C382="",99,IF(AND($BG382&lt;1,AE$3&gt;=MAX(N($P382),N($S382))),9,99))</f>
        <v/>
      </c>
      <c r="BV382">
        <f>IF($C382="",99,IF(AND($BH382&lt;1,AF$3&gt;=MAX(N($P382),N($S382))),10,99))</f>
        <v/>
      </c>
      <c r="BW382">
        <f>IF($C382="",99,IF(AND($BI382&lt;1,AG$3&gt;=MAX(N($P382),N($S382))),11,99))</f>
        <v/>
      </c>
      <c r="BX382">
        <f>IF($C382="",99,IF(AND($BJ382&lt;1,AH$3&gt;=MAX(N($P382),N($S382))),12,99))</f>
        <v/>
      </c>
      <c r="BY382">
        <f>IF($C382="",99,IF(AND($BK382&lt;1,AI$3&gt;=MAX(N($P382),N($S382))),13,99))</f>
        <v/>
      </c>
      <c r="BZ382">
        <f>IF(OR($C382="",$M382=""),"",COUNTIF($AJ382:$AW382,"&gt;=1"))</f>
        <v/>
      </c>
      <c r="CA382" s="90">
        <f>IF($BZ382="","",IF($BZ382&gt;=14,"",'設定'!$C$6+$BZ382))</f>
        <v/>
      </c>
      <c r="CB382">
        <f>IF(OR($C382="",$M382=""),"",MIN($BL382:$BY382))</f>
        <v/>
      </c>
      <c r="CC382" s="90">
        <f>IF($CB382="","",IF($CB382&gt;=99,"",'設定'!$C$6+$CB382))</f>
        <v/>
      </c>
      <c r="CD382">
        <f>IF(OR($C382="",$M382=""),"",AVERAGE($V382:$AI382))</f>
        <v/>
      </c>
      <c r="CE382">
        <f>IF($C382="","",IFERROR(IF(MATCH(IF(ISNUMBER($P382),$P382,'設定'!$C$6+N('設定'!$C$7)),$V$3:$AI$3,0)=1,MAX(0,N($L382)),INDEX($AJ382:$AW382,MATCH(IF(ISNUMBER($P382),$P382,'設定'!$C$6+N('設定'!$C$7)),$V$3:$AI$3,0)-1)),""))</f>
        <v/>
      </c>
      <c r="CF382">
        <f>IF(OR($C382="",$O382="",$CE382=""),"",IF($O382-$CE382&lt;=0,0,ROUNDUP(($O382-$CE382)/$G382,0)))</f>
        <v/>
      </c>
      <c r="CG382">
        <f>IF(OR($C382="",$CF382="",NOT(ISNUMBER($Q382))),0,MAX(0,$Q382-$CF382))</f>
        <v/>
      </c>
      <c r="CH382">
        <f>IF(OR($C382="",$O382="",$U382=0),0,IFERROR(ROUNDUP(MAX(0,IF(MATCH($S382,$V$3:$AI$3,0)=1,MAX(0,N($L382)),INDEX($AX382:$BK382,MATCH($S382,$V$3:$AI$3,0)-1))+$U382-$O382)/$G382,0),0))</f>
        <v/>
      </c>
      <c r="CI382">
        <f>IF($C382="","",IF(AND($P382="",$Q382=""),"",IF($P382="","⚠ 入庫日を ▼ から選んでください",IF(NOT(ISNUMBER($P382)),"⚠ 入庫日は ▼ から選んでください",IF($P382&lt;N('設定'!$C$6),"⚠ 入庫日が過去です（もう在庫に入っています）→ 消してください",IF($P382&gt;N('設定'!$C$6)+13,"⚠ 入庫日が14日より先です",IF(N($Q382)&lt;=0,"⚠ 入庫数を入れてください",IF($CG382&gt;0,"⚠ 目安より "&amp;$CG382&amp;" 多い（定数を超える）→ 減らす",""))))))))</f>
        <v/>
      </c>
      <c r="CJ382">
        <f>IF($C382="","",IF(AND($S382="",$T382=""),"",IF($S382="","⚠ 2便目：入庫日を ▼ から選んでください",IF(NOT(ISNUMBER($S382)),"⚠ 2便目：入庫日は ▼ から選んでください",IF($S382&lt;N('設定'!$C$6),"⚠ 2便目：入庫日が過去です（もう在庫に入っています）→ 消してください",IF($S382&gt;N('設定'!$C$6)+13,"⚠ 2便目：入庫日が14日より先です",IF(N($T382)&lt;=0,"⚠ 2便目：入庫数を入れてください",IF($CH382&gt;0,"⚠ 2便目：定数を "&amp;$CH382&amp;" ケース超える → 減らす",""))))))))</f>
        <v/>
      </c>
      <c r="CK382">
        <f>IF(AND($CI382="",N($Q382)&gt;0,ISNUMBER($P382)),1,0)</f>
        <v/>
      </c>
      <c r="CL382">
        <f>IF(AND($CJ382="",N($T382)&gt;0,ISNUMBER($S382)),1,0)</f>
        <v/>
      </c>
      <c r="CM382">
        <f>IF(OR($CK382=1,$CL382=1),1,0)</f>
        <v/>
      </c>
      <c r="CN382">
        <f>IF($C382="",0,($CK382*$R382+$CL382*$U382)*N($H382))</f>
        <v/>
      </c>
      <c r="CO382">
        <f>IF($C382="","",IF($CC382="","入庫後は 14日以上もつ",IF($CC382-N('設定'!$C$7)&lt;='設定'!$C$6,"入庫後も "&amp;TEXT($CC382,"m/d")&amp;"("&amp;CHOOSE(WEEKDAY($CC382),"日","月","火","水","木","金","土")&amp;")"&amp;" に切れる　もう1便を至急発注","入庫後も "&amp;TEXT($CC382,"m/d")&amp;"("&amp;CHOOSE(WEEKDAY($CC382),"日","月","火","水","木","金","土")&amp;")"&amp;" に切れる　"&amp;TEXT($CC382-N('設定'!$C$7),"m/d")&amp;"("&amp;CHOOSE(WEEKDAY($CC382-N('設定'!$C$7)),"日","月","火","水","木","金","土")&amp;")"&amp;" までに次を発注")))</f>
        <v/>
      </c>
      <c r="CP382">
        <f>IF($C382="","",IF('設定'!$C$6="","？ ①在庫を貼る に今日のCSVが貼られていない",IF($CS382=1,"－ 今日のCSVに無い（終売？）",IF($L382&lt;0,"● 在庫がマイナス　数えて「数えた在庫」に入れる",IF($L382=0,"● 在庫なし　至急発注",IF($M382="","？ 減り数が未設定（商品マスタ）",IF($B$3=0,"？ 動員が未入力（動員を入れる）",IF($CA382="","○ 14日以上もつ",IF($BZ382&lt;N('設定'!$C$7),"● "&amp;TEXT($CA382,"m/d")&amp;"("&amp;CHOOSE(WEEKDAY($CA382),"日","月","火","水","木","金","土")&amp;")"&amp;" に切れる　至急発注",IF($BZ382=N('設定'!$C$7),"● "&amp;TEXT($CA382,"m/d")&amp;"("&amp;CHOOSE(WEEKDAY($CA382),"日","月","火","水","木","金","土")&amp;")"&amp;" に切れる　今日発注","△ "&amp;TEXT($CA382,"m/d")&amp;"("&amp;CHOOSE(WEEKDAY($CA382),"日","月","火","水","木","金","土")&amp;")"&amp;" に切れる　"&amp;TEXT($CA382-N('設定'!$C$7),"m/d")&amp;"("&amp;CHOOSE(WEEKDAY($CA382-N('設定'!$C$7)),"日","月","火","水","木","金","土")&amp;")"&amp;" までに発注"))))))))))</f>
        <v/>
      </c>
      <c r="CQ382">
        <f>IF($C382="","",IF(AND($P382="",$Q382="",$S382="",$T382=""),"",IF(AND($P382="",$Q382=""),"⚠ 先に1便目（左の入庫日・入庫数）に入れてください",IF($CI382&lt;&gt;"",$CI382,IF($CJ382&lt;&gt;"",$CJ382,IF($M382="","？ 減り数が未設定（発注書には載ります）",IF($B$3=0,"？ 動員が未入力（発注書には載ります）",IF(AND($CA382&lt;&gt;"",$P382&gt;$CA382),IF($P382&gt;'設定'!$C$6+N('設定'!$C$7),"● "&amp;TEXT($P382,"m/d")&amp;"("&amp;CHOOSE(WEEKDAY($P382),"日","月","火","水","木","金","土")&amp;")"&amp;" の入庫では間に合わない（"&amp;TEXT($CA382,"m/d")&amp;"("&amp;CHOOSE(WEEKDAY($CA382),"日","月","火","水","木","金","土")&amp;")"&amp;" に切れる）　入庫日を早める","△ 欠品 "&amp;TEXT($CA382,"m/d")&amp;"("&amp;CHOOSE(WEEKDAY($CA382),"日","月","火","水","木","金","土")&amp;")"&amp;"〜"&amp;TEXT($P382-1,"m/d")&amp;"("&amp;CHOOSE(WEEKDAY($P382-1),"日","月","火","水","木","金","土")&amp;")"&amp;"　"&amp;$CO382),IF($CC382="","○ "&amp;TEXT($P382,"m/d")&amp;"("&amp;CHOOSE(WEEKDAY($P382),"日","月","火","水","木","金","土")&amp;")"&amp;" 入庫で 14日以上もつ",IF($CC382-N('設定'!$C$7)&lt;='設定'!$C$6,"● 入庫しても "&amp;TEXT($CC382,"m/d")&amp;"("&amp;CHOOSE(WEEKDAY($CC382),"日","月","火","水","木","金","土")&amp;")"&amp;" に切れる　もう1便を至急発注（2便目に入れる）","△ 入庫しても "&amp;TEXT($CC382,"m/d")&amp;"("&amp;CHOOSE(WEEKDAY($CC382),"日","月","火","水","木","金","土")&amp;")"&amp;" に切れる　"&amp;TEXT($CC382-N('設定'!$C$7),"m/d")&amp;"("&amp;CHOOSE(WEEKDAY($CC382-N('設定'!$C$7)),"日","月","火","水","木","金","土")&amp;")"&amp;" までに次を発注（2便目に入れる）"))))))))))</f>
        <v/>
      </c>
      <c r="CR382">
        <f>IF($C382="","",IF($G382&gt;1,"ｹｰｽ("&amp;$G382&amp;"入)","個"))</f>
        <v/>
      </c>
      <c r="CS382">
        <f>IF($C382="",0,IF(COUNTIFS('①在庫を貼る'!$V$6:$V$10005,'設定'!$C$4,'①在庫を貼る'!$W$6:$W$10005,$C382)=0,1,0))</f>
        <v/>
      </c>
      <c r="CT382">
        <f>IF(AND($CK382=1,OR('③発注書'!$C$4="すべて",'③発注書'!$C$4="",$F382='③発注書'!$C$4)),N($CT381)+1,N($CT381))</f>
        <v/>
      </c>
      <c r="CU382">
        <f>IF(AND($CL382=1,OR('③発注書'!$C$4="すべて",'③発注書'!$C$4="",$F382='③発注書'!$C$4)),N($CU381)+1,N($CU381))</f>
        <v/>
      </c>
      <c r="CV382">
        <f>IF($C382="",0,IF(COUNTIFS('①在庫を貼る'!$V$6:$V$10005,'設定'!$C$4,'①在庫を貼る'!$W$6:$W$10005,$C382)&gt;0,1,0))</f>
        <v/>
      </c>
      <c r="CW382">
        <f>IF($C382="",0,IF(COUNTIFS('月1回_1ヶ月前の在庫'!$V$6:$V$10005,'設定'!$C$4,'月1回_1ヶ月前の在庫'!$W$6:$W$10005,$C382)&gt;0,1,0))</f>
        <v/>
      </c>
      <c r="CX382">
        <f>IF($C382="",0,IF(COUNTIFS('月1回_2ヶ月前の在庫'!$V$6:$V$10005,'設定'!$C$4,'月1回_2ヶ月前の在庫'!$W$6:$W$10005,$C382)&gt;0,1,0))</f>
        <v/>
      </c>
      <c r="CY382">
        <f>IF(OR($C382="",'設定'!$C$12=""),"",IF('設定'!$C$13="",IF(AND($CV382=1,$CW382=0),"新商品（今月から）",IF(AND($CV382=0,$CW382=1),"終売（今月から）","")),IF(AND($CV382=1,$CW382=0,$CX382=0),"新商品（今月から）",IF(AND($CV382=1,$CW382=1,$CX382=0),"新商品（先月から）",IF(AND($CV382=0,$CW382=1,$CX382=1),"終売（今月から）",IF(AND($CV382=0,$CW382=0,$CX382=1),"終売（先月から）",IF(AND($CV382=1,$CW382=0,$CX382=1),"復活（先月は無し）","")))))))</f>
        <v/>
      </c>
    </row>
    <row r="383">
      <c r="B383">
        <f>IF(378&lt;='設定'!$C$11,378,"")</f>
        <v/>
      </c>
      <c r="C383">
        <f>IF($B383="","",IF($B383&lt;='設定'!$C$20,INDEX('商品マスタ'!$B$6:$B$1005,MATCH($B383,'商品マスタ'!$M$6:$M$1005,0)),IF($B383&lt;='設定'!$C$20+'設定'!$C$17,INDEX('①在庫を貼る'!$W$6:$W$10005,MATCH($B383-'設定'!$C$20,'①在庫を貼る'!$U$6:$U$10005,0)),IF($B383&lt;='設定'!$C$20+'設定'!$C$17+'設定'!$C$18,INDEX('月1回_1ヶ月前の在庫'!$W$6:$W$10005,MATCH($B383-'設定'!$C$20-'設定'!$C$17,'月1回_1ヶ月前の在庫'!$U$6:$U$10005,0)),INDEX('月1回_2ヶ月前の在庫'!$W$6:$W$10005,MATCH($B383-'設定'!$C$20-'設定'!$C$17-'設定'!$C$18,'月1回_2ヶ月前の在庫'!$U$6:$U$10005,0))))))</f>
        <v/>
      </c>
      <c r="D383">
        <f>IF($C383="","",IFERROR(IF(INDEX('商品マスタ'!$C$6:$C$1005,MATCH($C383,'商品マスタ'!$B$6:$B$1005,0))="",IFERROR(INDEX('①在庫を貼る'!$J$6:$J$10005,MATCH($C383,'①在庫を貼る'!$W$6:$W$10005,0)),IFERROR(INDEX('月1回_1ヶ月前の在庫'!$J$6:$J$10005,MATCH($C383,'月1回_1ヶ月前の在庫'!$W$6:$W$10005,0)),IFERROR(INDEX('月1回_2ヶ月前の在庫'!$J$6:$J$10005,MATCH($C383,'月1回_2ヶ月前の在庫'!$W$6:$W$10005,0)),""))),INDEX('商品マスタ'!$C$6:$C$1005,MATCH($C383,'商品マスタ'!$B$6:$B$1005,0))),IFERROR(INDEX('①在庫を貼る'!$J$6:$J$10005,MATCH($C383,'①在庫を貼る'!$W$6:$W$10005,0)),IFERROR(INDEX('月1回_1ヶ月前の在庫'!$J$6:$J$10005,MATCH($C383,'月1回_1ヶ月前の在庫'!$W$6:$W$10005,0)),IFERROR(INDEX('月1回_2ヶ月前の在庫'!$J$6:$J$10005,MATCH($C383,'月1回_2ヶ月前の在庫'!$W$6:$W$10005,0)),"")))))</f>
        <v/>
      </c>
      <c r="E383">
        <f>IF($C383="","",IFERROR(IF(INDEX('商品マスタ'!$D$6:$D$1005,MATCH($C383,'商品マスタ'!$B$6:$B$1005,0))="",IFERROR(INDEX('①在庫を貼る'!$H$6:$H$10005,MATCH($C383,'①在庫を貼る'!$W$6:$W$10005,0)),IFERROR(INDEX('月1回_1ヶ月前の在庫'!$H$6:$H$10005,MATCH($C383,'月1回_1ヶ月前の在庫'!$W$6:$W$10005,0)),IFERROR(INDEX('月1回_2ヶ月前の在庫'!$H$6:$H$10005,MATCH($C383,'月1回_2ヶ月前の在庫'!$W$6:$W$10005,0)),""))),INDEX('商品マスタ'!$D$6:$D$1005,MATCH($C383,'商品マスタ'!$B$6:$B$1005,0))),IFERROR(INDEX('①在庫を貼る'!$H$6:$H$10005,MATCH($C383,'①在庫を貼る'!$W$6:$W$10005,0)),IFERROR(INDEX('月1回_1ヶ月前の在庫'!$H$6:$H$10005,MATCH($C383,'月1回_1ヶ月前の在庫'!$W$6:$W$10005,0)),IFERROR(INDEX('月1回_2ヶ月前の在庫'!$H$6:$H$10005,MATCH($C383,'月1回_2ヶ月前の在庫'!$W$6:$W$10005,0)),"")))))</f>
        <v/>
      </c>
      <c r="F383">
        <f>IF($C383="","",IFERROR(IF(INDEX('商品マスタ'!$E$6:$E$1005,MATCH($C383,'商品マスタ'!$B$6:$B$1005,0))="",IFERROR(INDEX('①在庫を貼る'!$E$6:$E$10005,MATCH($C383,'①在庫を貼る'!$W$6:$W$10005,0)),IFERROR(INDEX('月1回_1ヶ月前の在庫'!$E$6:$E$10005,MATCH($C383,'月1回_1ヶ月前の在庫'!$W$6:$W$10005,0)),IFERROR(INDEX('月1回_2ヶ月前の在庫'!$E$6:$E$10005,MATCH($C383,'月1回_2ヶ月前の在庫'!$W$6:$W$10005,0)),""))),INDEX('商品マスタ'!$E$6:$E$1005,MATCH($C383,'商品マスタ'!$B$6:$B$1005,0))),IFERROR(INDEX('①在庫を貼る'!$E$6:$E$10005,MATCH($C383,'①在庫を貼る'!$W$6:$W$10005,0)),IFERROR(INDEX('月1回_1ヶ月前の在庫'!$E$6:$E$10005,MATCH($C383,'月1回_1ヶ月前の在庫'!$W$6:$W$10005,0)),IFERROR(INDEX('月1回_2ヶ月前の在庫'!$E$6:$E$10005,MATCH($C383,'月1回_2ヶ月前の在庫'!$W$6:$W$10005,0)),"")))))</f>
        <v/>
      </c>
      <c r="G383">
        <f>IF($C383="","",MAX(1,N(IFERROR(IF(INDEX('商品マスタ'!$F$6:$F$1005,MATCH($C383,'商品マスタ'!$B$6:$B$1005,0))="",IF(COUNTIFS('①在庫を貼る'!$V$6:$V$10005,'設定'!$C$4,'①在庫を貼る'!$W$6:$W$10005,$C383)&gt;0,SUMIFS('①在庫を貼る'!$K$6:$K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K$6:$K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K$6:$K$10005,'月1回_2ヶ月前の在庫'!$V$6:$V$10005,'設定'!$C$4,'月1回_2ヶ月前の在庫'!$W$6:$W$10005,$C383)/COUNTIFS('月1回_2ヶ月前の在庫'!$V$6:$V$10005,'設定'!$C$4,'月1回_2ヶ月前の在庫'!$W$6:$W$10005,$C383),0))),INDEX('商品マスタ'!$F$6:$F$1005,MATCH($C383,'商品マスタ'!$B$6:$B$1005,0))),IF(COUNTIFS('①在庫を貼る'!$V$6:$V$10005,'設定'!$C$4,'①在庫を貼る'!$W$6:$W$10005,$C383)&gt;0,SUMIFS('①在庫を貼る'!$K$6:$K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K$6:$K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K$6:$K$10005,'月1回_2ヶ月前の在庫'!$V$6:$V$10005,'設定'!$C$4,'月1回_2ヶ月前の在庫'!$W$6:$W$10005,$C383)/COUNTIFS('月1回_2ヶ月前の在庫'!$V$6:$V$10005,'設定'!$C$4,'月1回_2ヶ月前の在庫'!$W$6:$W$10005,$C383),0)))))))</f>
        <v/>
      </c>
      <c r="H383">
        <f>IF($C383="","",N(IFERROR(IF(INDEX('商品マスタ'!$G$6:$G$1005,MATCH($C383,'商品マスタ'!$B$6:$B$1005,0))="",IF(COUNTIFS('①在庫を貼る'!$V$6:$V$10005,'設定'!$C$4,'①在庫を貼る'!$W$6:$W$10005,$C383)&gt;0,SUMIFS('①在庫を貼る'!$Q$6:$Q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Q$6:$Q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Q$6:$Q$10005,'月1回_2ヶ月前の在庫'!$V$6:$V$10005,'設定'!$C$4,'月1回_2ヶ月前の在庫'!$W$6:$W$10005,$C383)/COUNTIFS('月1回_2ヶ月前の在庫'!$V$6:$V$10005,'設定'!$C$4,'月1回_2ヶ月前の在庫'!$W$6:$W$10005,$C383),0))),INDEX('商品マスタ'!$G$6:$G$1005,MATCH($C383,'商品マスタ'!$B$6:$B$1005,0))),IF(COUNTIFS('①在庫を貼る'!$V$6:$V$10005,'設定'!$C$4,'①在庫を貼る'!$W$6:$W$10005,$C383)&gt;0,SUMIFS('①在庫を貼る'!$Q$6:$Q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Q$6:$Q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Q$6:$Q$10005,'月1回_2ヶ月前の在庫'!$V$6:$V$10005,'設定'!$C$4,'月1回_2ヶ月前の在庫'!$W$6:$W$10005,$C383)/COUNTIFS('月1回_2ヶ月前の在庫'!$V$6:$V$10005,'設定'!$C$4,'月1回_2ヶ月前の在庫'!$W$6:$W$10005,$C383),0))))))</f>
        <v/>
      </c>
      <c r="I383">
        <f>IF($C383="","",IF(COUNTIFS('①在庫を貼る'!$V$6:$V$10005,'設定'!$C$4,'①在庫を貼る'!$W$6:$W$10005,$C383)=0,"",SUMIFS('①在庫を貼る'!$N$6:$N$10005,'①在庫を貼る'!$V$6:$V$10005,'設定'!$C$4,'①在庫を貼る'!$W$6:$W$10005,$C383)))</f>
        <v/>
      </c>
      <c r="J383">
        <f>IF($C383="","",IF('②発注する'!$AD387="","",'②発注する'!$AD387))</f>
        <v/>
      </c>
      <c r="K383" s="90">
        <f>IF($C383="","",IF('②発注する'!$AE387="","",'②発注する'!$AE387))</f>
        <v/>
      </c>
      <c r="L383">
        <f>IF($C383="","",IF(AND(ISNUMBER($J383),ISNUMBER($K383),$K383&gt;='設定'!$C$6),$J383,N($I383)))</f>
        <v/>
      </c>
      <c r="M383">
        <f>IF($C383="","",IFERROR(IF(N(INDEX('商品マスタ'!$J$6:$J$1005,MATCH($C383,'商品マスタ'!$B$6:$B$1005,0)))&gt;0,INDEX('商品マスタ'!$J$6:$J$1005,MATCH($C383,'商品マスタ'!$B$6:$B$1005,0)),""),""))</f>
        <v/>
      </c>
      <c r="N383">
        <f>IF($C383="","",IFERROR(IF(N(INDEX('商品マスタ'!$H$6:$H$1005,MATCH($C383,'商品マスタ'!$B$6:$B$1005,0)))&gt;0,INDEX('商品マスタ'!$H$6:$H$1005,MATCH($C383,'商品マスタ'!$B$6:$B$1005,0)),""),""))</f>
        <v/>
      </c>
      <c r="O383">
        <f>IF($C383="","",IF($N383&lt;&gt;"",$N383*$G383,IF(N(IF(COUNTIFS('①在庫を貼る'!$V$6:$V$10005,'設定'!$C$4,'①在庫を貼る'!$W$6:$W$10005,$C383)&gt;0,SUMIFS('①在庫を貼る'!$O$6:$O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O$6:$O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O$6:$O$10005,'月1回_2ヶ月前の在庫'!$V$6:$V$10005,'設定'!$C$4,'月1回_2ヶ月前の在庫'!$W$6:$W$10005,$C383)/COUNTIFS('月1回_2ヶ月前の在庫'!$V$6:$V$10005,'設定'!$C$4,'月1回_2ヶ月前の在庫'!$W$6:$W$10005,$C383),0))))&gt;0,N(IF(COUNTIFS('①在庫を貼る'!$V$6:$V$10005,'設定'!$C$4,'①在庫を貼る'!$W$6:$W$10005,$C383)&gt;0,SUMIFS('①在庫を貼る'!$O$6:$O$10005,'①在庫を貼る'!$V$6:$V$10005,'設定'!$C$4,'①在庫を貼る'!$W$6:$W$10005,$C383)/COUNTIFS('①在庫を貼る'!$V$6:$V$10005,'設定'!$C$4,'①在庫を貼る'!$W$6:$W$10005,$C383),IF(COUNTIFS('月1回_1ヶ月前の在庫'!$V$6:$V$10005,'設定'!$C$4,'月1回_1ヶ月前の在庫'!$W$6:$W$10005,$C383)&gt;0,SUMIFS('月1回_1ヶ月前の在庫'!$O$6:$O$10005,'月1回_1ヶ月前の在庫'!$V$6:$V$10005,'設定'!$C$4,'月1回_1ヶ月前の在庫'!$W$6:$W$10005,$C383)/COUNTIFS('月1回_1ヶ月前の在庫'!$V$6:$V$10005,'設定'!$C$4,'月1回_1ヶ月前の在庫'!$W$6:$W$10005,$C383),IF(COUNTIFS('月1回_2ヶ月前の在庫'!$V$6:$V$10005,'設定'!$C$4,'月1回_2ヶ月前の在庫'!$W$6:$W$10005,$C383)&gt;0,SUMIFS('月1回_2ヶ月前の在庫'!$O$6:$O$10005,'月1回_2ヶ月前の在庫'!$V$6:$V$10005,'設定'!$C$4,'月1回_2ヶ月前の在庫'!$W$6:$W$10005,$C383)/COUNTIFS('月1回_2ヶ月前の在庫'!$V$6:$V$10005,'設定'!$C$4,'月1回_2ヶ月前の在庫'!$W$6:$W$10005,$C383),0)))),"")))</f>
        <v/>
      </c>
      <c r="P383" s="90">
        <f>IF($C383="","",IF('②発注する'!$I387="","",'②発注する'!$I387))</f>
        <v/>
      </c>
      <c r="Q383">
        <f>IF($C383="","",IF('②発注する'!$J387="","",'②発注する'!$J387))</f>
        <v/>
      </c>
      <c r="R383">
        <f>IF($C383="",0,IF(AND(ISNUMBER($P383),ISNUMBER($Q383)),MAX(0,$Q383)*$G383,0))</f>
        <v/>
      </c>
      <c r="S383" s="90">
        <f>IF($C383="","",IF('②発注する'!$M387="","",'②発注する'!$M387))</f>
        <v/>
      </c>
      <c r="T383">
        <f>IF($C383="","",IF('②発注する'!$N387="","",'②発注する'!$N387))</f>
        <v/>
      </c>
      <c r="U383">
        <f>IF($C383="",0,IF(AND(ISNUMBER($S383),ISNUMBER($T383)),MAX(0,$T383)*$G383,0))</f>
        <v/>
      </c>
      <c r="V383">
        <f>IF($C383="",0,IF($M383="",0,MAX(0,$M383)*MAX(0,V$4)/100))</f>
        <v/>
      </c>
      <c r="W383">
        <f>IF($C383="",0,IF($M383="",0,MAX(0,$M383)*MAX(0,W$4)/100))</f>
        <v/>
      </c>
      <c r="X383">
        <f>IF($C383="",0,IF($M383="",0,MAX(0,$M383)*MAX(0,X$4)/100))</f>
        <v/>
      </c>
      <c r="Y383">
        <f>IF($C383="",0,IF($M383="",0,MAX(0,$M383)*MAX(0,Y$4)/100))</f>
        <v/>
      </c>
      <c r="Z383">
        <f>IF($C383="",0,IF($M383="",0,MAX(0,$M383)*MAX(0,Z$4)/100))</f>
        <v/>
      </c>
      <c r="AA383">
        <f>IF($C383="",0,IF($M383="",0,MAX(0,$M383)*MAX(0,AA$4)/100))</f>
        <v/>
      </c>
      <c r="AB383">
        <f>IF($C383="",0,IF($M383="",0,MAX(0,$M383)*MAX(0,AB$4)/100))</f>
        <v/>
      </c>
      <c r="AC383">
        <f>IF($C383="",0,IF($M383="",0,MAX(0,$M383)*MAX(0,AC$4)/100))</f>
        <v/>
      </c>
      <c r="AD383">
        <f>IF($C383="",0,IF($M383="",0,MAX(0,$M383)*MAX(0,AD$4)/100))</f>
        <v/>
      </c>
      <c r="AE383">
        <f>IF($C383="",0,IF($M383="",0,MAX(0,$M383)*MAX(0,AE$4)/100))</f>
        <v/>
      </c>
      <c r="AF383">
        <f>IF($C383="",0,IF($M383="",0,MAX(0,$M383)*MAX(0,AF$4)/100))</f>
        <v/>
      </c>
      <c r="AG383">
        <f>IF($C383="",0,IF($M383="",0,MAX(0,$M383)*MAX(0,AG$4)/100))</f>
        <v/>
      </c>
      <c r="AH383">
        <f>IF($C383="",0,IF($M383="",0,MAX(0,$M383)*MAX(0,AH$4)/100))</f>
        <v/>
      </c>
      <c r="AI383">
        <f>IF($C383="",0,IF($M383="",0,MAX(0,$M383)*MAX(0,AI$4)/100))</f>
        <v/>
      </c>
      <c r="AJ383">
        <f>IF($C383="",0,MAX(0,MAX(0,N($L383))-$V383))</f>
        <v/>
      </c>
      <c r="AK383">
        <f>IF($C383="",0,MAX(0,$AJ383-$W383))</f>
        <v/>
      </c>
      <c r="AL383">
        <f>IF($C383="",0,MAX(0,$AK383-$X383))</f>
        <v/>
      </c>
      <c r="AM383">
        <f>IF($C383="",0,MAX(0,$AL383-$Y383))</f>
        <v/>
      </c>
      <c r="AN383">
        <f>IF($C383="",0,MAX(0,$AM383-$Z383))</f>
        <v/>
      </c>
      <c r="AO383">
        <f>IF($C383="",0,MAX(0,$AN383-$AA383))</f>
        <v/>
      </c>
      <c r="AP383">
        <f>IF($C383="",0,MAX(0,$AO383-$AB383))</f>
        <v/>
      </c>
      <c r="AQ383">
        <f>IF($C383="",0,MAX(0,$AP383-$AC383))</f>
        <v/>
      </c>
      <c r="AR383">
        <f>IF($C383="",0,MAX(0,$AQ383-$AD383))</f>
        <v/>
      </c>
      <c r="AS383">
        <f>IF($C383="",0,MAX(0,$AR383-$AE383))</f>
        <v/>
      </c>
      <c r="AT383">
        <f>IF($C383="",0,MAX(0,$AS383-$AF383))</f>
        <v/>
      </c>
      <c r="AU383">
        <f>IF($C383="",0,MAX(0,$AT383-$AG383))</f>
        <v/>
      </c>
      <c r="AV383">
        <f>IF($C383="",0,MAX(0,$AU383-$AH383))</f>
        <v/>
      </c>
      <c r="AW383">
        <f>IF($C383="",0,MAX(0,$AV383-$AI383))</f>
        <v/>
      </c>
      <c r="AX383">
        <f>IF($C383="",0,MAX(0,MAX(0,N($L383))+IF($P383=V$3,$R383,0)+IF($S383=V$3,$U383,0)-$V383))</f>
        <v/>
      </c>
      <c r="AY383">
        <f>IF($C383="",0,MAX(0,$AX383+IF($P383=W$3,$R383,0)+IF($S383=W$3,$U383,0)-$W383))</f>
        <v/>
      </c>
      <c r="AZ383">
        <f>IF($C383="",0,MAX(0,$AY383+IF($P383=X$3,$R383,0)+IF($S383=X$3,$U383,0)-$X383))</f>
        <v/>
      </c>
      <c r="BA383">
        <f>IF($C383="",0,MAX(0,$AZ383+IF($P383=Y$3,$R383,0)+IF($S383=Y$3,$U383,0)-$Y383))</f>
        <v/>
      </c>
      <c r="BB383">
        <f>IF($C383="",0,MAX(0,$BA383+IF($P383=Z$3,$R383,0)+IF($S383=Z$3,$U383,0)-$Z383))</f>
        <v/>
      </c>
      <c r="BC383">
        <f>IF($C383="",0,MAX(0,$BB383+IF($P383=AA$3,$R383,0)+IF($S383=AA$3,$U383,0)-$AA383))</f>
        <v/>
      </c>
      <c r="BD383">
        <f>IF($C383="",0,MAX(0,$BC383+IF($P383=AB$3,$R383,0)+IF($S383=AB$3,$U383,0)-$AB383))</f>
        <v/>
      </c>
      <c r="BE383">
        <f>IF($C383="",0,MAX(0,$BD383+IF($P383=AC$3,$R383,0)+IF($S383=AC$3,$U383,0)-$AC383))</f>
        <v/>
      </c>
      <c r="BF383">
        <f>IF($C383="",0,MAX(0,$BE383+IF($P383=AD$3,$R383,0)+IF($S383=AD$3,$U383,0)-$AD383))</f>
        <v/>
      </c>
      <c r="BG383">
        <f>IF($C383="",0,MAX(0,$BF383+IF($P383=AE$3,$R383,0)+IF($S383=AE$3,$U383,0)-$AE383))</f>
        <v/>
      </c>
      <c r="BH383">
        <f>IF($C383="",0,MAX(0,$BG383+IF($P383=AF$3,$R383,0)+IF($S383=AF$3,$U383,0)-$AF383))</f>
        <v/>
      </c>
      <c r="BI383">
        <f>IF($C383="",0,MAX(0,$BH383+IF($P383=AG$3,$R383,0)+IF($S383=AG$3,$U383,0)-$AG383))</f>
        <v/>
      </c>
      <c r="BJ383">
        <f>IF($C383="",0,MAX(0,$BI383+IF($P383=AH$3,$R383,0)+IF($S383=AH$3,$U383,0)-$AH383))</f>
        <v/>
      </c>
      <c r="BK383">
        <f>IF($C383="",0,MAX(0,$BJ383+IF($P383=AI$3,$R383,0)+IF($S383=AI$3,$U383,0)-$AI383))</f>
        <v/>
      </c>
      <c r="BL383">
        <f>IF($C383="",99,IF(AND($AX383&lt;1,V$3&gt;=MAX(N($P383),N($S383))),0,99))</f>
        <v/>
      </c>
      <c r="BM383">
        <f>IF($C383="",99,IF(AND($AY383&lt;1,W$3&gt;=MAX(N($P383),N($S383))),1,99))</f>
        <v/>
      </c>
      <c r="BN383">
        <f>IF($C383="",99,IF(AND($AZ383&lt;1,X$3&gt;=MAX(N($P383),N($S383))),2,99))</f>
        <v/>
      </c>
      <c r="BO383">
        <f>IF($C383="",99,IF(AND($BA383&lt;1,Y$3&gt;=MAX(N($P383),N($S383))),3,99))</f>
        <v/>
      </c>
      <c r="BP383">
        <f>IF($C383="",99,IF(AND($BB383&lt;1,Z$3&gt;=MAX(N($P383),N($S383))),4,99))</f>
        <v/>
      </c>
      <c r="BQ383">
        <f>IF($C383="",99,IF(AND($BC383&lt;1,AA$3&gt;=MAX(N($P383),N($S383))),5,99))</f>
        <v/>
      </c>
      <c r="BR383">
        <f>IF($C383="",99,IF(AND($BD383&lt;1,AB$3&gt;=MAX(N($P383),N($S383))),6,99))</f>
        <v/>
      </c>
      <c r="BS383">
        <f>IF($C383="",99,IF(AND($BE383&lt;1,AC$3&gt;=MAX(N($P383),N($S383))),7,99))</f>
        <v/>
      </c>
      <c r="BT383">
        <f>IF($C383="",99,IF(AND($BF383&lt;1,AD$3&gt;=MAX(N($P383),N($S383))),8,99))</f>
        <v/>
      </c>
      <c r="BU383">
        <f>IF($C383="",99,IF(AND($BG383&lt;1,AE$3&gt;=MAX(N($P383),N($S383))),9,99))</f>
        <v/>
      </c>
      <c r="BV383">
        <f>IF($C383="",99,IF(AND($BH383&lt;1,AF$3&gt;=MAX(N($P383),N($S383))),10,99))</f>
        <v/>
      </c>
      <c r="BW383">
        <f>IF($C383="",99,IF(AND($BI383&lt;1,AG$3&gt;=MAX(N($P383),N($S383))),11,99))</f>
        <v/>
      </c>
      <c r="BX383">
        <f>IF($C383="",99,IF(AND($BJ383&lt;1,AH$3&gt;=MAX(N($P383),N($S383))),12,99))</f>
        <v/>
      </c>
      <c r="BY383">
        <f>IF($C383="",99,IF(AND($BK383&lt;1,AI$3&gt;=MAX(N($P383),N($S383))),13,99))</f>
        <v/>
      </c>
      <c r="BZ383">
        <f>IF(OR($C383="",$M383=""),"",COUNTIF($AJ383:$AW383,"&gt;=1"))</f>
        <v/>
      </c>
      <c r="CA383" s="90">
        <f>IF($BZ383="","",IF($BZ383&gt;=14,"",'設定'!$C$6+$BZ383))</f>
        <v/>
      </c>
      <c r="CB383">
        <f>IF(OR($C383="",$M383=""),"",MIN($BL383:$BY383))</f>
        <v/>
      </c>
      <c r="CC383" s="90">
        <f>IF($CB383="","",IF($CB383&gt;=99,"",'設定'!$C$6+$CB383))</f>
        <v/>
      </c>
      <c r="CD383">
        <f>IF(OR($C383="",$M383=""),"",AVERAGE($V383:$AI383))</f>
        <v/>
      </c>
      <c r="CE383">
        <f>IF($C383="","",IFERROR(IF(MATCH(IF(ISNUMBER($P383),$P383,'設定'!$C$6+N('設定'!$C$7)),$V$3:$AI$3,0)=1,MAX(0,N($L383)),INDEX($AJ383:$AW383,MATCH(IF(ISNUMBER($P383),$P383,'設定'!$C$6+N('設定'!$C$7)),$V$3:$AI$3,0)-1)),""))</f>
        <v/>
      </c>
      <c r="CF383">
        <f>IF(OR($C383="",$O383="",$CE383=""),"",IF($O383-$CE383&lt;=0,0,ROUNDUP(($O383-$CE383)/$G383,0)))</f>
        <v/>
      </c>
      <c r="CG383">
        <f>IF(OR($C383="",$CF383="",NOT(ISNUMBER($Q383))),0,MAX(0,$Q383-$CF383))</f>
        <v/>
      </c>
      <c r="CH383">
        <f>IF(OR($C383="",$O383="",$U383=0),0,IFERROR(ROUNDUP(MAX(0,IF(MATCH($S383,$V$3:$AI$3,0)=1,MAX(0,N($L383)),INDEX($AX383:$BK383,MATCH($S383,$V$3:$AI$3,0)-1))+$U383-$O383)/$G383,0),0))</f>
        <v/>
      </c>
      <c r="CI383">
        <f>IF($C383="","",IF(AND($P383="",$Q383=""),"",IF($P383="","⚠ 入庫日を ▼ から選んでください",IF(NOT(ISNUMBER($P383)),"⚠ 入庫日は ▼ から選んでください",IF($P383&lt;N('設定'!$C$6),"⚠ 入庫日が過去です（もう在庫に入っています）→ 消してください",IF($P383&gt;N('設定'!$C$6)+13,"⚠ 入庫日が14日より先です",IF(N($Q383)&lt;=0,"⚠ 入庫数を入れてください",IF($CG383&gt;0,"⚠ 目安より "&amp;$CG383&amp;" 多い（定数を超える）→ 減らす",""))))))))</f>
        <v/>
      </c>
      <c r="CJ383">
        <f>IF($C383="","",IF(AND($S383="",$T383=""),"",IF($S383="","⚠ 2便目：入庫日を ▼ から選んでください",IF(NOT(ISNUMBER($S383)),"⚠ 2便目：入庫日は ▼ から選んでください",IF($S383&lt;N('設定'!$C$6),"⚠ 2便目：入庫日が過去です（もう在庫に入っています）→ 消してください",IF($S383&gt;N('設定'!$C$6)+13,"⚠ 2便目：入庫日が14日より先です",IF(N($T383)&lt;=0,"⚠ 2便目：入庫数を入れてください",IF($CH383&gt;0,"⚠ 2便目：定数を "&amp;$CH383&amp;" ケース超える → 減らす",""))))))))</f>
        <v/>
      </c>
      <c r="CK383">
        <f>IF(AND($CI383="",N($Q383)&gt;0,ISNUMBER($P383)),1,0)</f>
        <v/>
      </c>
      <c r="CL383">
        <f>IF(AND($CJ383="",N($T383)&gt;0,ISNUMBER($S383)),1,0)</f>
        <v/>
      </c>
      <c r="CM383">
        <f>IF(OR($CK383=1,$CL383=1),1,0)</f>
        <v/>
      </c>
      <c r="CN383">
        <f>IF($C383="",0,($CK383*$R383+$CL383*$U383)*N($H383))</f>
        <v/>
      </c>
      <c r="CO383">
        <f>IF($C383="","",IF($CC383="","入庫後は 14日以上もつ",IF($CC383-N('設定'!$C$7)&lt;='設定'!$C$6,"入庫後も "&amp;TEXT($CC383,"m/d")&amp;"("&amp;CHOOSE(WEEKDAY($CC383),"日","月","火","水","木","金","土")&amp;")"&amp;" に切れる　もう1便を至急発注","入庫後も "&amp;TEXT($CC383,"m/d")&amp;"("&amp;CHOOSE(WEEKDAY($CC383),"日","月","火","水","木","金","土")&amp;")"&amp;" に切れる　"&amp;TEXT($CC383-N('設定'!$C$7),"m/d")&amp;"("&amp;CHOOSE(WEEKDAY($CC383-N('設定'!$C$7)),"日","月","火","水","木","金","土")&amp;")"&amp;" までに次を発注")))</f>
        <v/>
      </c>
      <c r="CP383">
        <f>IF($C383="","",IF('設定'!$C$6="","？ ①在庫を貼る に今日のCSVが貼られていない",IF($CS383=1,"－ 今日のCSVに無い（終売？）",IF($L383&lt;0,"● 在庫がマイナス　数えて「数えた在庫」に入れる",IF($L383=0,"● 在庫なし　至急発注",IF($M383="","？ 減り数が未設定（商品マスタ）",IF($B$3=0,"？ 動員が未入力（動員を入れる）",IF($CA383="","○ 14日以上もつ",IF($BZ383&lt;N('設定'!$C$7),"● "&amp;TEXT($CA383,"m/d")&amp;"("&amp;CHOOSE(WEEKDAY($CA383),"日","月","火","水","木","金","土")&amp;")"&amp;" に切れる　至急発注",IF($BZ383=N('設定'!$C$7),"● "&amp;TEXT($CA383,"m/d")&amp;"("&amp;CHOOSE(WEEKDAY($CA383),"日","月","火","水","木","金","土")&amp;")"&amp;" に切れる　今日発注","△ "&amp;TEXT($CA383,"m/d")&amp;"("&amp;CHOOSE(WEEKDAY($CA383),"日","月","火","水","木","金","土")&amp;")"&amp;" に切れる　"&amp;TEXT($CA383-N('設定'!$C$7),"m/d")&amp;"("&amp;CHOOSE(WEEKDAY($CA383-N('設定'!$C$7)),"日","月","火","水","木","金","土")&amp;")"&amp;" までに発注"))))))))))</f>
        <v/>
      </c>
      <c r="CQ383">
        <f>IF($C383="","",IF(AND($P383="",$Q383="",$S383="",$T383=""),"",IF(AND($P383="",$Q383=""),"⚠ 先に1便目（左の入庫日・入庫数）に入れてください",IF($CI383&lt;&gt;"",$CI383,IF($CJ383&lt;&gt;"",$CJ383,IF($M383="","？ 減り数が未設定（発注書には載ります）",IF($B$3=0,"？ 動員が未入力（発注書には載ります）",IF(AND($CA383&lt;&gt;"",$P383&gt;$CA383),IF($P383&gt;'設定'!$C$6+N('設定'!$C$7),"● "&amp;TEXT($P383,"m/d")&amp;"("&amp;CHOOSE(WEEKDAY($P383),"日","月","火","水","木","金","土")&amp;")"&amp;" の入庫では間に合わない（"&amp;TEXT($CA383,"m/d")&amp;"("&amp;CHOOSE(WEEKDAY($CA383),"日","月","火","水","木","金","土")&amp;")"&amp;" に切れる）　入庫日を早める","△ 欠品 "&amp;TEXT($CA383,"m/d")&amp;"("&amp;CHOOSE(WEEKDAY($CA383),"日","月","火","水","木","金","土")&amp;")"&amp;"〜"&amp;TEXT($P383-1,"m/d")&amp;"("&amp;CHOOSE(WEEKDAY($P383-1),"日","月","火","水","木","金","土")&amp;")"&amp;"　"&amp;$CO383),IF($CC383="","○ "&amp;TEXT($P383,"m/d")&amp;"("&amp;CHOOSE(WEEKDAY($P383),"日","月","火","水","木","金","土")&amp;")"&amp;" 入庫で 14日以上もつ",IF($CC383-N('設定'!$C$7)&lt;='設定'!$C$6,"● 入庫しても "&amp;TEXT($CC383,"m/d")&amp;"("&amp;CHOOSE(WEEKDAY($CC383),"日","月","火","水","木","金","土")&amp;")"&amp;" に切れる　もう1便を至急発注（2便目に入れる）","△ 入庫しても "&amp;TEXT($CC383,"m/d")&amp;"("&amp;CHOOSE(WEEKDAY($CC383),"日","月","火","水","木","金","土")&amp;")"&amp;" に切れる　"&amp;TEXT($CC383-N('設定'!$C$7),"m/d")&amp;"("&amp;CHOOSE(WEEKDAY($CC383-N('設定'!$C$7)),"日","月","火","水","木","金","土")&amp;")"&amp;" までに次を発注（2便目に入れる）"))))))))))</f>
        <v/>
      </c>
      <c r="CR383">
        <f>IF($C383="","",IF($G383&gt;1,"ｹｰｽ("&amp;$G383&amp;"入)","個"))</f>
        <v/>
      </c>
      <c r="CS383">
        <f>IF($C383="",0,IF(COUNTIFS('①在庫を貼る'!$V$6:$V$10005,'設定'!$C$4,'①在庫を貼る'!$W$6:$W$10005,$C383)=0,1,0))</f>
        <v/>
      </c>
      <c r="CT383">
        <f>IF(AND($CK383=1,OR('③発注書'!$C$4="すべて",'③発注書'!$C$4="",$F383='③発注書'!$C$4)),N($CT382)+1,N($CT382))</f>
        <v/>
      </c>
      <c r="CU383">
        <f>IF(AND($CL383=1,OR('③発注書'!$C$4="すべて",'③発注書'!$C$4="",$F383='③発注書'!$C$4)),N($CU382)+1,N($CU382))</f>
        <v/>
      </c>
      <c r="CV383">
        <f>IF($C383="",0,IF(COUNTIFS('①在庫を貼る'!$V$6:$V$10005,'設定'!$C$4,'①在庫を貼る'!$W$6:$W$10005,$C383)&gt;0,1,0))</f>
        <v/>
      </c>
      <c r="CW383">
        <f>IF($C383="",0,IF(COUNTIFS('月1回_1ヶ月前の在庫'!$V$6:$V$10005,'設定'!$C$4,'月1回_1ヶ月前の在庫'!$W$6:$W$10005,$C383)&gt;0,1,0))</f>
        <v/>
      </c>
      <c r="CX383">
        <f>IF($C383="",0,IF(COUNTIFS('月1回_2ヶ月前の在庫'!$V$6:$V$10005,'設定'!$C$4,'月1回_2ヶ月前の在庫'!$W$6:$W$10005,$C383)&gt;0,1,0))</f>
        <v/>
      </c>
      <c r="CY383">
        <f>IF(OR($C383="",'設定'!$C$12=""),"",IF('設定'!$C$13="",IF(AND($CV383=1,$CW383=0),"新商品（今月から）",IF(AND($CV383=0,$CW383=1),"終売（今月から）","")),IF(AND($CV383=1,$CW383=0,$CX383=0),"新商品（今月から）",IF(AND($CV383=1,$CW383=1,$CX383=0),"新商品（先月から）",IF(AND($CV383=0,$CW383=1,$CX383=1),"終売（今月から）",IF(AND($CV383=0,$CW383=0,$CX383=1),"終売（先月から）",IF(AND($CV383=1,$CW383=0,$CX383=1),"復活（先月は無し）","")))))))</f>
        <v/>
      </c>
    </row>
    <row r="384">
      <c r="B384">
        <f>IF(379&lt;='設定'!$C$11,379,"")</f>
        <v/>
      </c>
      <c r="C384">
        <f>IF($B384="","",IF($B384&lt;='設定'!$C$20,INDEX('商品マスタ'!$B$6:$B$1005,MATCH($B384,'商品マスタ'!$M$6:$M$1005,0)),IF($B384&lt;='設定'!$C$20+'設定'!$C$17,INDEX('①在庫を貼る'!$W$6:$W$10005,MATCH($B384-'設定'!$C$20,'①在庫を貼る'!$U$6:$U$10005,0)),IF($B384&lt;='設定'!$C$20+'設定'!$C$17+'設定'!$C$18,INDEX('月1回_1ヶ月前の在庫'!$W$6:$W$10005,MATCH($B384-'設定'!$C$20-'設定'!$C$17,'月1回_1ヶ月前の在庫'!$U$6:$U$10005,0)),INDEX('月1回_2ヶ月前の在庫'!$W$6:$W$10005,MATCH($B384-'設定'!$C$20-'設定'!$C$17-'設定'!$C$18,'月1回_2ヶ月前の在庫'!$U$6:$U$10005,0))))))</f>
        <v/>
      </c>
      <c r="D384">
        <f>IF($C384="","",IFERROR(IF(INDEX('商品マスタ'!$C$6:$C$1005,MATCH($C384,'商品マスタ'!$B$6:$B$1005,0))="",IFERROR(INDEX('①在庫を貼る'!$J$6:$J$10005,MATCH($C384,'①在庫を貼る'!$W$6:$W$10005,0)),IFERROR(INDEX('月1回_1ヶ月前の在庫'!$J$6:$J$10005,MATCH($C384,'月1回_1ヶ月前の在庫'!$W$6:$W$10005,0)),IFERROR(INDEX('月1回_2ヶ月前の在庫'!$J$6:$J$10005,MATCH($C384,'月1回_2ヶ月前の在庫'!$W$6:$W$10005,0)),""))),INDEX('商品マスタ'!$C$6:$C$1005,MATCH($C384,'商品マスタ'!$B$6:$B$1005,0))),IFERROR(INDEX('①在庫を貼る'!$J$6:$J$10005,MATCH($C384,'①在庫を貼る'!$W$6:$W$10005,0)),IFERROR(INDEX('月1回_1ヶ月前の在庫'!$J$6:$J$10005,MATCH($C384,'月1回_1ヶ月前の在庫'!$W$6:$W$10005,0)),IFERROR(INDEX('月1回_2ヶ月前の在庫'!$J$6:$J$10005,MATCH($C384,'月1回_2ヶ月前の在庫'!$W$6:$W$10005,0)),"")))))</f>
        <v/>
      </c>
      <c r="E384">
        <f>IF($C384="","",IFERROR(IF(INDEX('商品マスタ'!$D$6:$D$1005,MATCH($C384,'商品マスタ'!$B$6:$B$1005,0))="",IFERROR(INDEX('①在庫を貼る'!$H$6:$H$10005,MATCH($C384,'①在庫を貼る'!$W$6:$W$10005,0)),IFERROR(INDEX('月1回_1ヶ月前の在庫'!$H$6:$H$10005,MATCH($C384,'月1回_1ヶ月前の在庫'!$W$6:$W$10005,0)),IFERROR(INDEX('月1回_2ヶ月前の在庫'!$H$6:$H$10005,MATCH($C384,'月1回_2ヶ月前の在庫'!$W$6:$W$10005,0)),""))),INDEX('商品マスタ'!$D$6:$D$1005,MATCH($C384,'商品マスタ'!$B$6:$B$1005,0))),IFERROR(INDEX('①在庫を貼る'!$H$6:$H$10005,MATCH($C384,'①在庫を貼る'!$W$6:$W$10005,0)),IFERROR(INDEX('月1回_1ヶ月前の在庫'!$H$6:$H$10005,MATCH($C384,'月1回_1ヶ月前の在庫'!$W$6:$W$10005,0)),IFERROR(INDEX('月1回_2ヶ月前の在庫'!$H$6:$H$10005,MATCH($C384,'月1回_2ヶ月前の在庫'!$W$6:$W$10005,0)),"")))))</f>
        <v/>
      </c>
      <c r="F384">
        <f>IF($C384="","",IFERROR(IF(INDEX('商品マスタ'!$E$6:$E$1005,MATCH($C384,'商品マスタ'!$B$6:$B$1005,0))="",IFERROR(INDEX('①在庫を貼る'!$E$6:$E$10005,MATCH($C384,'①在庫を貼る'!$W$6:$W$10005,0)),IFERROR(INDEX('月1回_1ヶ月前の在庫'!$E$6:$E$10005,MATCH($C384,'月1回_1ヶ月前の在庫'!$W$6:$W$10005,0)),IFERROR(INDEX('月1回_2ヶ月前の在庫'!$E$6:$E$10005,MATCH($C384,'月1回_2ヶ月前の在庫'!$W$6:$W$10005,0)),""))),INDEX('商品マスタ'!$E$6:$E$1005,MATCH($C384,'商品マスタ'!$B$6:$B$1005,0))),IFERROR(INDEX('①在庫を貼る'!$E$6:$E$10005,MATCH($C384,'①在庫を貼る'!$W$6:$W$10005,0)),IFERROR(INDEX('月1回_1ヶ月前の在庫'!$E$6:$E$10005,MATCH($C384,'月1回_1ヶ月前の在庫'!$W$6:$W$10005,0)),IFERROR(INDEX('月1回_2ヶ月前の在庫'!$E$6:$E$10005,MATCH($C384,'月1回_2ヶ月前の在庫'!$W$6:$W$10005,0)),"")))))</f>
        <v/>
      </c>
      <c r="G384">
        <f>IF($C384="","",MAX(1,N(IFERROR(IF(INDEX('商品マスタ'!$F$6:$F$1005,MATCH($C384,'商品マスタ'!$B$6:$B$1005,0))="",IF(COUNTIFS('①在庫を貼る'!$V$6:$V$10005,'設定'!$C$4,'①在庫を貼る'!$W$6:$W$10005,$C384)&gt;0,SUMIFS('①在庫を貼る'!$K$6:$K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K$6:$K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K$6:$K$10005,'月1回_2ヶ月前の在庫'!$V$6:$V$10005,'設定'!$C$4,'月1回_2ヶ月前の在庫'!$W$6:$W$10005,$C384)/COUNTIFS('月1回_2ヶ月前の在庫'!$V$6:$V$10005,'設定'!$C$4,'月1回_2ヶ月前の在庫'!$W$6:$W$10005,$C384),0))),INDEX('商品マスタ'!$F$6:$F$1005,MATCH($C384,'商品マスタ'!$B$6:$B$1005,0))),IF(COUNTIFS('①在庫を貼る'!$V$6:$V$10005,'設定'!$C$4,'①在庫を貼る'!$W$6:$W$10005,$C384)&gt;0,SUMIFS('①在庫を貼る'!$K$6:$K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K$6:$K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K$6:$K$10005,'月1回_2ヶ月前の在庫'!$V$6:$V$10005,'設定'!$C$4,'月1回_2ヶ月前の在庫'!$W$6:$W$10005,$C384)/COUNTIFS('月1回_2ヶ月前の在庫'!$V$6:$V$10005,'設定'!$C$4,'月1回_2ヶ月前の在庫'!$W$6:$W$10005,$C384),0)))))))</f>
        <v/>
      </c>
      <c r="H384">
        <f>IF($C384="","",N(IFERROR(IF(INDEX('商品マスタ'!$G$6:$G$1005,MATCH($C384,'商品マスタ'!$B$6:$B$1005,0))="",IF(COUNTIFS('①在庫を貼る'!$V$6:$V$10005,'設定'!$C$4,'①在庫を貼る'!$W$6:$W$10005,$C384)&gt;0,SUMIFS('①在庫を貼る'!$Q$6:$Q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Q$6:$Q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Q$6:$Q$10005,'月1回_2ヶ月前の在庫'!$V$6:$V$10005,'設定'!$C$4,'月1回_2ヶ月前の在庫'!$W$6:$W$10005,$C384)/COUNTIFS('月1回_2ヶ月前の在庫'!$V$6:$V$10005,'設定'!$C$4,'月1回_2ヶ月前の在庫'!$W$6:$W$10005,$C384),0))),INDEX('商品マスタ'!$G$6:$G$1005,MATCH($C384,'商品マスタ'!$B$6:$B$1005,0))),IF(COUNTIFS('①在庫を貼る'!$V$6:$V$10005,'設定'!$C$4,'①在庫を貼る'!$W$6:$W$10005,$C384)&gt;0,SUMIFS('①在庫を貼る'!$Q$6:$Q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Q$6:$Q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Q$6:$Q$10005,'月1回_2ヶ月前の在庫'!$V$6:$V$10005,'設定'!$C$4,'月1回_2ヶ月前の在庫'!$W$6:$W$10005,$C384)/COUNTIFS('月1回_2ヶ月前の在庫'!$V$6:$V$10005,'設定'!$C$4,'月1回_2ヶ月前の在庫'!$W$6:$W$10005,$C384),0))))))</f>
        <v/>
      </c>
      <c r="I384">
        <f>IF($C384="","",IF(COUNTIFS('①在庫を貼る'!$V$6:$V$10005,'設定'!$C$4,'①在庫を貼る'!$W$6:$W$10005,$C384)=0,"",SUMIFS('①在庫を貼る'!$N$6:$N$10005,'①在庫を貼る'!$V$6:$V$10005,'設定'!$C$4,'①在庫を貼る'!$W$6:$W$10005,$C384)))</f>
        <v/>
      </c>
      <c r="J384">
        <f>IF($C384="","",IF('②発注する'!$AD388="","",'②発注する'!$AD388))</f>
        <v/>
      </c>
      <c r="K384" s="90">
        <f>IF($C384="","",IF('②発注する'!$AE388="","",'②発注する'!$AE388))</f>
        <v/>
      </c>
      <c r="L384">
        <f>IF($C384="","",IF(AND(ISNUMBER($J384),ISNUMBER($K384),$K384&gt;='設定'!$C$6),$J384,N($I384)))</f>
        <v/>
      </c>
      <c r="M384">
        <f>IF($C384="","",IFERROR(IF(N(INDEX('商品マスタ'!$J$6:$J$1005,MATCH($C384,'商品マスタ'!$B$6:$B$1005,0)))&gt;0,INDEX('商品マスタ'!$J$6:$J$1005,MATCH($C384,'商品マスタ'!$B$6:$B$1005,0)),""),""))</f>
        <v/>
      </c>
      <c r="N384">
        <f>IF($C384="","",IFERROR(IF(N(INDEX('商品マスタ'!$H$6:$H$1005,MATCH($C384,'商品マスタ'!$B$6:$B$1005,0)))&gt;0,INDEX('商品マスタ'!$H$6:$H$1005,MATCH($C384,'商品マスタ'!$B$6:$B$1005,0)),""),""))</f>
        <v/>
      </c>
      <c r="O384">
        <f>IF($C384="","",IF($N384&lt;&gt;"",$N384*$G384,IF(N(IF(COUNTIFS('①在庫を貼る'!$V$6:$V$10005,'設定'!$C$4,'①在庫を貼る'!$W$6:$W$10005,$C384)&gt;0,SUMIFS('①在庫を貼る'!$O$6:$O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O$6:$O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O$6:$O$10005,'月1回_2ヶ月前の在庫'!$V$6:$V$10005,'設定'!$C$4,'月1回_2ヶ月前の在庫'!$W$6:$W$10005,$C384)/COUNTIFS('月1回_2ヶ月前の在庫'!$V$6:$V$10005,'設定'!$C$4,'月1回_2ヶ月前の在庫'!$W$6:$W$10005,$C384),0))))&gt;0,N(IF(COUNTIFS('①在庫を貼る'!$V$6:$V$10005,'設定'!$C$4,'①在庫を貼る'!$W$6:$W$10005,$C384)&gt;0,SUMIFS('①在庫を貼る'!$O$6:$O$10005,'①在庫を貼る'!$V$6:$V$10005,'設定'!$C$4,'①在庫を貼る'!$W$6:$W$10005,$C384)/COUNTIFS('①在庫を貼る'!$V$6:$V$10005,'設定'!$C$4,'①在庫を貼る'!$W$6:$W$10005,$C384),IF(COUNTIFS('月1回_1ヶ月前の在庫'!$V$6:$V$10005,'設定'!$C$4,'月1回_1ヶ月前の在庫'!$W$6:$W$10005,$C384)&gt;0,SUMIFS('月1回_1ヶ月前の在庫'!$O$6:$O$10005,'月1回_1ヶ月前の在庫'!$V$6:$V$10005,'設定'!$C$4,'月1回_1ヶ月前の在庫'!$W$6:$W$10005,$C384)/COUNTIFS('月1回_1ヶ月前の在庫'!$V$6:$V$10005,'設定'!$C$4,'月1回_1ヶ月前の在庫'!$W$6:$W$10005,$C384),IF(COUNTIFS('月1回_2ヶ月前の在庫'!$V$6:$V$10005,'設定'!$C$4,'月1回_2ヶ月前の在庫'!$W$6:$W$10005,$C384)&gt;0,SUMIFS('月1回_2ヶ月前の在庫'!$O$6:$O$10005,'月1回_2ヶ月前の在庫'!$V$6:$V$10005,'設定'!$C$4,'月1回_2ヶ月前の在庫'!$W$6:$W$10005,$C384)/COUNTIFS('月1回_2ヶ月前の在庫'!$V$6:$V$10005,'設定'!$C$4,'月1回_2ヶ月前の在庫'!$W$6:$W$10005,$C384),0)))),"")))</f>
        <v/>
      </c>
      <c r="P384" s="90">
        <f>IF($C384="","",IF('②発注する'!$I388="","",'②発注する'!$I388))</f>
        <v/>
      </c>
      <c r="Q384">
        <f>IF($C384="","",IF('②発注する'!$J388="","",'②発注する'!$J388))</f>
        <v/>
      </c>
      <c r="R384">
        <f>IF($C384="",0,IF(AND(ISNUMBER($P384),ISNUMBER($Q384)),MAX(0,$Q384)*$G384,0))</f>
        <v/>
      </c>
      <c r="S384" s="90">
        <f>IF($C384="","",IF('②発注する'!$M388="","",'②発注する'!$M388))</f>
        <v/>
      </c>
      <c r="T384">
        <f>IF($C384="","",IF('②発注する'!$N388="","",'②発注する'!$N388))</f>
        <v/>
      </c>
      <c r="U384">
        <f>IF($C384="",0,IF(AND(ISNUMBER($S384),ISNUMBER($T384)),MAX(0,$T384)*$G384,0))</f>
        <v/>
      </c>
      <c r="V384">
        <f>IF($C384="",0,IF($M384="",0,MAX(0,$M384)*MAX(0,V$4)/100))</f>
        <v/>
      </c>
      <c r="W384">
        <f>IF($C384="",0,IF($M384="",0,MAX(0,$M384)*MAX(0,W$4)/100))</f>
        <v/>
      </c>
      <c r="X384">
        <f>IF($C384="",0,IF($M384="",0,MAX(0,$M384)*MAX(0,X$4)/100))</f>
        <v/>
      </c>
      <c r="Y384">
        <f>IF($C384="",0,IF($M384="",0,MAX(0,$M384)*MAX(0,Y$4)/100))</f>
        <v/>
      </c>
      <c r="Z384">
        <f>IF($C384="",0,IF($M384="",0,MAX(0,$M384)*MAX(0,Z$4)/100))</f>
        <v/>
      </c>
      <c r="AA384">
        <f>IF($C384="",0,IF($M384="",0,MAX(0,$M384)*MAX(0,AA$4)/100))</f>
        <v/>
      </c>
      <c r="AB384">
        <f>IF($C384="",0,IF($M384="",0,MAX(0,$M384)*MAX(0,AB$4)/100))</f>
        <v/>
      </c>
      <c r="AC384">
        <f>IF($C384="",0,IF($M384="",0,MAX(0,$M384)*MAX(0,AC$4)/100))</f>
        <v/>
      </c>
      <c r="AD384">
        <f>IF($C384="",0,IF($M384="",0,MAX(0,$M384)*MAX(0,AD$4)/100))</f>
        <v/>
      </c>
      <c r="AE384">
        <f>IF($C384="",0,IF($M384="",0,MAX(0,$M384)*MAX(0,AE$4)/100))</f>
        <v/>
      </c>
      <c r="AF384">
        <f>IF($C384="",0,IF($M384="",0,MAX(0,$M384)*MAX(0,AF$4)/100))</f>
        <v/>
      </c>
      <c r="AG384">
        <f>IF($C384="",0,IF($M384="",0,MAX(0,$M384)*MAX(0,AG$4)/100))</f>
        <v/>
      </c>
      <c r="AH384">
        <f>IF($C384="",0,IF($M384="",0,MAX(0,$M384)*MAX(0,AH$4)/100))</f>
        <v/>
      </c>
      <c r="AI384">
        <f>IF($C384="",0,IF($M384="",0,MAX(0,$M384)*MAX(0,AI$4)/100))</f>
        <v/>
      </c>
      <c r="AJ384">
        <f>IF($C384="",0,MAX(0,MAX(0,N($L384))-$V384))</f>
        <v/>
      </c>
      <c r="AK384">
        <f>IF($C384="",0,MAX(0,$AJ384-$W384))</f>
        <v/>
      </c>
      <c r="AL384">
        <f>IF($C384="",0,MAX(0,$AK384-$X384))</f>
        <v/>
      </c>
      <c r="AM384">
        <f>IF($C384="",0,MAX(0,$AL384-$Y384))</f>
        <v/>
      </c>
      <c r="AN384">
        <f>IF($C384="",0,MAX(0,$AM384-$Z384))</f>
        <v/>
      </c>
      <c r="AO384">
        <f>IF($C384="",0,MAX(0,$AN384-$AA384))</f>
        <v/>
      </c>
      <c r="AP384">
        <f>IF($C384="",0,MAX(0,$AO384-$AB384))</f>
        <v/>
      </c>
      <c r="AQ384">
        <f>IF($C384="",0,MAX(0,$AP384-$AC384))</f>
        <v/>
      </c>
      <c r="AR384">
        <f>IF($C384="",0,MAX(0,$AQ384-$AD384))</f>
        <v/>
      </c>
      <c r="AS384">
        <f>IF($C384="",0,MAX(0,$AR384-$AE384))</f>
        <v/>
      </c>
      <c r="AT384">
        <f>IF($C384="",0,MAX(0,$AS384-$AF384))</f>
        <v/>
      </c>
      <c r="AU384">
        <f>IF($C384="",0,MAX(0,$AT384-$AG384))</f>
        <v/>
      </c>
      <c r="AV384">
        <f>IF($C384="",0,MAX(0,$AU384-$AH384))</f>
        <v/>
      </c>
      <c r="AW384">
        <f>IF($C384="",0,MAX(0,$AV384-$AI384))</f>
        <v/>
      </c>
      <c r="AX384">
        <f>IF($C384="",0,MAX(0,MAX(0,N($L384))+IF($P384=V$3,$R384,0)+IF($S384=V$3,$U384,0)-$V384))</f>
        <v/>
      </c>
      <c r="AY384">
        <f>IF($C384="",0,MAX(0,$AX384+IF($P384=W$3,$R384,0)+IF($S384=W$3,$U384,0)-$W384))</f>
        <v/>
      </c>
      <c r="AZ384">
        <f>IF($C384="",0,MAX(0,$AY384+IF($P384=X$3,$R384,0)+IF($S384=X$3,$U384,0)-$X384))</f>
        <v/>
      </c>
      <c r="BA384">
        <f>IF($C384="",0,MAX(0,$AZ384+IF($P384=Y$3,$R384,0)+IF($S384=Y$3,$U384,0)-$Y384))</f>
        <v/>
      </c>
      <c r="BB384">
        <f>IF($C384="",0,MAX(0,$BA384+IF($P384=Z$3,$R384,0)+IF($S384=Z$3,$U384,0)-$Z384))</f>
        <v/>
      </c>
      <c r="BC384">
        <f>IF($C384="",0,MAX(0,$BB384+IF($P384=AA$3,$R384,0)+IF($S384=AA$3,$U384,0)-$AA384))</f>
        <v/>
      </c>
      <c r="BD384">
        <f>IF($C384="",0,MAX(0,$BC384+IF($P384=AB$3,$R384,0)+IF($S384=AB$3,$U384,0)-$AB384))</f>
        <v/>
      </c>
      <c r="BE384">
        <f>IF($C384="",0,MAX(0,$BD384+IF($P384=AC$3,$R384,0)+IF($S384=AC$3,$U384,0)-$AC384))</f>
        <v/>
      </c>
      <c r="BF384">
        <f>IF($C384="",0,MAX(0,$BE384+IF($P384=AD$3,$R384,0)+IF($S384=AD$3,$U384,0)-$AD384))</f>
        <v/>
      </c>
      <c r="BG384">
        <f>IF($C384="",0,MAX(0,$BF384+IF($P384=AE$3,$R384,0)+IF($S384=AE$3,$U384,0)-$AE384))</f>
        <v/>
      </c>
      <c r="BH384">
        <f>IF($C384="",0,MAX(0,$BG384+IF($P384=AF$3,$R384,0)+IF($S384=AF$3,$U384,0)-$AF384))</f>
        <v/>
      </c>
      <c r="BI384">
        <f>IF($C384="",0,MAX(0,$BH384+IF($P384=AG$3,$R384,0)+IF($S384=AG$3,$U384,0)-$AG384))</f>
        <v/>
      </c>
      <c r="BJ384">
        <f>IF($C384="",0,MAX(0,$BI384+IF($P384=AH$3,$R384,0)+IF($S384=AH$3,$U384,0)-$AH384))</f>
        <v/>
      </c>
      <c r="BK384">
        <f>IF($C384="",0,MAX(0,$BJ384+IF($P384=AI$3,$R384,0)+IF($S384=AI$3,$U384,0)-$AI384))</f>
        <v/>
      </c>
      <c r="BL384">
        <f>IF($C384="",99,IF(AND($AX384&lt;1,V$3&gt;=MAX(N($P384),N($S384))),0,99))</f>
        <v/>
      </c>
      <c r="BM384">
        <f>IF($C384="",99,IF(AND($AY384&lt;1,W$3&gt;=MAX(N($P384),N($S384))),1,99))</f>
        <v/>
      </c>
      <c r="BN384">
        <f>IF($C384="",99,IF(AND($AZ384&lt;1,X$3&gt;=MAX(N($P384),N($S384))),2,99))</f>
        <v/>
      </c>
      <c r="BO384">
        <f>IF($C384="",99,IF(AND($BA384&lt;1,Y$3&gt;=MAX(N($P384),N($S384))),3,99))</f>
        <v/>
      </c>
      <c r="BP384">
        <f>IF($C384="",99,IF(AND($BB384&lt;1,Z$3&gt;=MAX(N($P384),N($S384))),4,99))</f>
        <v/>
      </c>
      <c r="BQ384">
        <f>IF($C384="",99,IF(AND($BC384&lt;1,AA$3&gt;=MAX(N($P384),N($S384))),5,99))</f>
        <v/>
      </c>
      <c r="BR384">
        <f>IF($C384="",99,IF(AND($BD384&lt;1,AB$3&gt;=MAX(N($P384),N($S384))),6,99))</f>
        <v/>
      </c>
      <c r="BS384">
        <f>IF($C384="",99,IF(AND($BE384&lt;1,AC$3&gt;=MAX(N($P384),N($S384))),7,99))</f>
        <v/>
      </c>
      <c r="BT384">
        <f>IF($C384="",99,IF(AND($BF384&lt;1,AD$3&gt;=MAX(N($P384),N($S384))),8,99))</f>
        <v/>
      </c>
      <c r="BU384">
        <f>IF($C384="",99,IF(AND($BG384&lt;1,AE$3&gt;=MAX(N($P384),N($S384))),9,99))</f>
        <v/>
      </c>
      <c r="BV384">
        <f>IF($C384="",99,IF(AND($BH384&lt;1,AF$3&gt;=MAX(N($P384),N($S384))),10,99))</f>
        <v/>
      </c>
      <c r="BW384">
        <f>IF($C384="",99,IF(AND($BI384&lt;1,AG$3&gt;=MAX(N($P384),N($S384))),11,99))</f>
        <v/>
      </c>
      <c r="BX384">
        <f>IF($C384="",99,IF(AND($BJ384&lt;1,AH$3&gt;=MAX(N($P384),N($S384))),12,99))</f>
        <v/>
      </c>
      <c r="BY384">
        <f>IF($C384="",99,IF(AND($BK384&lt;1,AI$3&gt;=MAX(N($P384),N($S384))),13,99))</f>
        <v/>
      </c>
      <c r="BZ384">
        <f>IF(OR($C384="",$M384=""),"",COUNTIF($AJ384:$AW384,"&gt;=1"))</f>
        <v/>
      </c>
      <c r="CA384" s="90">
        <f>IF($BZ384="","",IF($BZ384&gt;=14,"",'設定'!$C$6+$BZ384))</f>
        <v/>
      </c>
      <c r="CB384">
        <f>IF(OR($C384="",$M384=""),"",MIN($BL384:$BY384))</f>
        <v/>
      </c>
      <c r="CC384" s="90">
        <f>IF($CB384="","",IF($CB384&gt;=99,"",'設定'!$C$6+$CB384))</f>
        <v/>
      </c>
      <c r="CD384">
        <f>IF(OR($C384="",$M384=""),"",AVERAGE($V384:$AI384))</f>
        <v/>
      </c>
      <c r="CE384">
        <f>IF($C384="","",IFERROR(IF(MATCH(IF(ISNUMBER($P384),$P384,'設定'!$C$6+N('設定'!$C$7)),$V$3:$AI$3,0)=1,MAX(0,N($L384)),INDEX($AJ384:$AW384,MATCH(IF(ISNUMBER($P384),$P384,'設定'!$C$6+N('設定'!$C$7)),$V$3:$AI$3,0)-1)),""))</f>
        <v/>
      </c>
      <c r="CF384">
        <f>IF(OR($C384="",$O384="",$CE384=""),"",IF($O384-$CE384&lt;=0,0,ROUNDUP(($O384-$CE384)/$G384,0)))</f>
        <v/>
      </c>
      <c r="CG384">
        <f>IF(OR($C384="",$CF384="",NOT(ISNUMBER($Q384))),0,MAX(0,$Q384-$CF384))</f>
        <v/>
      </c>
      <c r="CH384">
        <f>IF(OR($C384="",$O384="",$U384=0),0,IFERROR(ROUNDUP(MAX(0,IF(MATCH($S384,$V$3:$AI$3,0)=1,MAX(0,N($L384)),INDEX($AX384:$BK384,MATCH($S384,$V$3:$AI$3,0)-1))+$U384-$O384)/$G384,0),0))</f>
        <v/>
      </c>
      <c r="CI384">
        <f>IF($C384="","",IF(AND($P384="",$Q384=""),"",IF($P384="","⚠ 入庫日を ▼ から選んでください",IF(NOT(ISNUMBER($P384)),"⚠ 入庫日は ▼ から選んでください",IF($P384&lt;N('設定'!$C$6),"⚠ 入庫日が過去です（もう在庫に入っています）→ 消してください",IF($P384&gt;N('設定'!$C$6)+13,"⚠ 入庫日が14日より先です",IF(N($Q384)&lt;=0,"⚠ 入庫数を入れてください",IF($CG384&gt;0,"⚠ 目安より "&amp;$CG384&amp;" 多い（定数を超える）→ 減らす",""))))))))</f>
        <v/>
      </c>
      <c r="CJ384">
        <f>IF($C384="","",IF(AND($S384="",$T384=""),"",IF($S384="","⚠ 2便目：入庫日を ▼ から選んでください",IF(NOT(ISNUMBER($S384)),"⚠ 2便目：入庫日は ▼ から選んでください",IF($S384&lt;N('設定'!$C$6),"⚠ 2便目：入庫日が過去です（もう在庫に入っています）→ 消してください",IF($S384&gt;N('設定'!$C$6)+13,"⚠ 2便目：入庫日が14日より先です",IF(N($T384)&lt;=0,"⚠ 2便目：入庫数を入れてください",IF($CH384&gt;0,"⚠ 2便目：定数を "&amp;$CH384&amp;" ケース超える → 減らす",""))))))))</f>
        <v/>
      </c>
      <c r="CK384">
        <f>IF(AND($CI384="",N($Q384)&gt;0,ISNUMBER($P384)),1,0)</f>
        <v/>
      </c>
      <c r="CL384">
        <f>IF(AND($CJ384="",N($T384)&gt;0,ISNUMBER($S384)),1,0)</f>
        <v/>
      </c>
      <c r="CM384">
        <f>IF(OR($CK384=1,$CL384=1),1,0)</f>
        <v/>
      </c>
      <c r="CN384">
        <f>IF($C384="",0,($CK384*$R384+$CL384*$U384)*N($H384))</f>
        <v/>
      </c>
      <c r="CO384">
        <f>IF($C384="","",IF($CC384="","入庫後は 14日以上もつ",IF($CC384-N('設定'!$C$7)&lt;='設定'!$C$6,"入庫後も "&amp;TEXT($CC384,"m/d")&amp;"("&amp;CHOOSE(WEEKDAY($CC384),"日","月","火","水","木","金","土")&amp;")"&amp;" に切れる　もう1便を至急発注","入庫後も "&amp;TEXT($CC384,"m/d")&amp;"("&amp;CHOOSE(WEEKDAY($CC384),"日","月","火","水","木","金","土")&amp;")"&amp;" に切れる　"&amp;TEXT($CC384-N('設定'!$C$7),"m/d")&amp;"("&amp;CHOOSE(WEEKDAY($CC384-N('設定'!$C$7)),"日","月","火","水","木","金","土")&amp;")"&amp;" までに次を発注")))</f>
        <v/>
      </c>
      <c r="CP384">
        <f>IF($C384="","",IF('設定'!$C$6="","？ ①在庫を貼る に今日のCSVが貼られていない",IF($CS384=1,"－ 今日のCSVに無い（終売？）",IF($L384&lt;0,"● 在庫がマイナス　数えて「数えた在庫」に入れる",IF($L384=0,"● 在庫なし　至急発注",IF($M384="","？ 減り数が未設定（商品マスタ）",IF($B$3=0,"？ 動員が未入力（動員を入れる）",IF($CA384="","○ 14日以上もつ",IF($BZ384&lt;N('設定'!$C$7),"● "&amp;TEXT($CA384,"m/d")&amp;"("&amp;CHOOSE(WEEKDAY($CA384),"日","月","火","水","木","金","土")&amp;")"&amp;" に切れる　至急発注",IF($BZ384=N('設定'!$C$7),"● "&amp;TEXT($CA384,"m/d")&amp;"("&amp;CHOOSE(WEEKDAY($CA384),"日","月","火","水","木","金","土")&amp;")"&amp;" に切れる　今日発注","△ "&amp;TEXT($CA384,"m/d")&amp;"("&amp;CHOOSE(WEEKDAY($CA384),"日","月","火","水","木","金","土")&amp;")"&amp;" に切れる　"&amp;TEXT($CA384-N('設定'!$C$7),"m/d")&amp;"("&amp;CHOOSE(WEEKDAY($CA384-N('設定'!$C$7)),"日","月","火","水","木","金","土")&amp;")"&amp;" までに発注"))))))))))</f>
        <v/>
      </c>
      <c r="CQ384">
        <f>IF($C384="","",IF(AND($P384="",$Q384="",$S384="",$T384=""),"",IF(AND($P384="",$Q384=""),"⚠ 先に1便目（左の入庫日・入庫数）に入れてください",IF($CI384&lt;&gt;"",$CI384,IF($CJ384&lt;&gt;"",$CJ384,IF($M384="","？ 減り数が未設定（発注書には載ります）",IF($B$3=0,"？ 動員が未入力（発注書には載ります）",IF(AND($CA384&lt;&gt;"",$P384&gt;$CA384),IF($P384&gt;'設定'!$C$6+N('設定'!$C$7),"● "&amp;TEXT($P384,"m/d")&amp;"("&amp;CHOOSE(WEEKDAY($P384),"日","月","火","水","木","金","土")&amp;")"&amp;" の入庫では間に合わない（"&amp;TEXT($CA384,"m/d")&amp;"("&amp;CHOOSE(WEEKDAY($CA384),"日","月","火","水","木","金","土")&amp;")"&amp;" に切れる）　入庫日を早める","△ 欠品 "&amp;TEXT($CA384,"m/d")&amp;"("&amp;CHOOSE(WEEKDAY($CA384),"日","月","火","水","木","金","土")&amp;")"&amp;"〜"&amp;TEXT($P384-1,"m/d")&amp;"("&amp;CHOOSE(WEEKDAY($P384-1),"日","月","火","水","木","金","土")&amp;")"&amp;"　"&amp;$CO384),IF($CC384="","○ "&amp;TEXT($P384,"m/d")&amp;"("&amp;CHOOSE(WEEKDAY($P384),"日","月","火","水","木","金","土")&amp;")"&amp;" 入庫で 14日以上もつ",IF($CC384-N('設定'!$C$7)&lt;='設定'!$C$6,"● 入庫しても "&amp;TEXT($CC384,"m/d")&amp;"("&amp;CHOOSE(WEEKDAY($CC384),"日","月","火","水","木","金","土")&amp;")"&amp;" に切れる　もう1便を至急発注（2便目に入れる）","△ 入庫しても "&amp;TEXT($CC384,"m/d")&amp;"("&amp;CHOOSE(WEEKDAY($CC384),"日","月","火","水","木","金","土")&amp;")"&amp;" に切れる　"&amp;TEXT($CC384-N('設定'!$C$7),"m/d")&amp;"("&amp;CHOOSE(WEEKDAY($CC384-N('設定'!$C$7)),"日","月","火","水","木","金","土")&amp;")"&amp;" までに次を発注（2便目に入れる）"))))))))))</f>
        <v/>
      </c>
      <c r="CR384">
        <f>IF($C384="","",IF($G384&gt;1,"ｹｰｽ("&amp;$G384&amp;"入)","個"))</f>
        <v/>
      </c>
      <c r="CS384">
        <f>IF($C384="",0,IF(COUNTIFS('①在庫を貼る'!$V$6:$V$10005,'設定'!$C$4,'①在庫を貼る'!$W$6:$W$10005,$C384)=0,1,0))</f>
        <v/>
      </c>
      <c r="CT384">
        <f>IF(AND($CK384=1,OR('③発注書'!$C$4="すべて",'③発注書'!$C$4="",$F384='③発注書'!$C$4)),N($CT383)+1,N($CT383))</f>
        <v/>
      </c>
      <c r="CU384">
        <f>IF(AND($CL384=1,OR('③発注書'!$C$4="すべて",'③発注書'!$C$4="",$F384='③発注書'!$C$4)),N($CU383)+1,N($CU383))</f>
        <v/>
      </c>
      <c r="CV384">
        <f>IF($C384="",0,IF(COUNTIFS('①在庫を貼る'!$V$6:$V$10005,'設定'!$C$4,'①在庫を貼る'!$W$6:$W$10005,$C384)&gt;0,1,0))</f>
        <v/>
      </c>
      <c r="CW384">
        <f>IF($C384="",0,IF(COUNTIFS('月1回_1ヶ月前の在庫'!$V$6:$V$10005,'設定'!$C$4,'月1回_1ヶ月前の在庫'!$W$6:$W$10005,$C384)&gt;0,1,0))</f>
        <v/>
      </c>
      <c r="CX384">
        <f>IF($C384="",0,IF(COUNTIFS('月1回_2ヶ月前の在庫'!$V$6:$V$10005,'設定'!$C$4,'月1回_2ヶ月前の在庫'!$W$6:$W$10005,$C384)&gt;0,1,0))</f>
        <v/>
      </c>
      <c r="CY384">
        <f>IF(OR($C384="",'設定'!$C$12=""),"",IF('設定'!$C$13="",IF(AND($CV384=1,$CW384=0),"新商品（今月から）",IF(AND($CV384=0,$CW384=1),"終売（今月から）","")),IF(AND($CV384=1,$CW384=0,$CX384=0),"新商品（今月から）",IF(AND($CV384=1,$CW384=1,$CX384=0),"新商品（先月から）",IF(AND($CV384=0,$CW384=1,$CX384=1),"終売（今月から）",IF(AND($CV384=0,$CW384=0,$CX384=1),"終売（先月から）",IF(AND($CV384=1,$CW384=0,$CX384=1),"復活（先月は無し）","")))))))</f>
        <v/>
      </c>
    </row>
    <row r="385">
      <c r="B385">
        <f>IF(380&lt;='設定'!$C$11,380,"")</f>
        <v/>
      </c>
      <c r="C385">
        <f>IF($B385="","",IF($B385&lt;='設定'!$C$20,INDEX('商品マスタ'!$B$6:$B$1005,MATCH($B385,'商品マスタ'!$M$6:$M$1005,0)),IF($B385&lt;='設定'!$C$20+'設定'!$C$17,INDEX('①在庫を貼る'!$W$6:$W$10005,MATCH($B385-'設定'!$C$20,'①在庫を貼る'!$U$6:$U$10005,0)),IF($B385&lt;='設定'!$C$20+'設定'!$C$17+'設定'!$C$18,INDEX('月1回_1ヶ月前の在庫'!$W$6:$W$10005,MATCH($B385-'設定'!$C$20-'設定'!$C$17,'月1回_1ヶ月前の在庫'!$U$6:$U$10005,0)),INDEX('月1回_2ヶ月前の在庫'!$W$6:$W$10005,MATCH($B385-'設定'!$C$20-'設定'!$C$17-'設定'!$C$18,'月1回_2ヶ月前の在庫'!$U$6:$U$10005,0))))))</f>
        <v/>
      </c>
      <c r="D385">
        <f>IF($C385="","",IFERROR(IF(INDEX('商品マスタ'!$C$6:$C$1005,MATCH($C385,'商品マスタ'!$B$6:$B$1005,0))="",IFERROR(INDEX('①在庫を貼る'!$J$6:$J$10005,MATCH($C385,'①在庫を貼る'!$W$6:$W$10005,0)),IFERROR(INDEX('月1回_1ヶ月前の在庫'!$J$6:$J$10005,MATCH($C385,'月1回_1ヶ月前の在庫'!$W$6:$W$10005,0)),IFERROR(INDEX('月1回_2ヶ月前の在庫'!$J$6:$J$10005,MATCH($C385,'月1回_2ヶ月前の在庫'!$W$6:$W$10005,0)),""))),INDEX('商品マスタ'!$C$6:$C$1005,MATCH($C385,'商品マスタ'!$B$6:$B$1005,0))),IFERROR(INDEX('①在庫を貼る'!$J$6:$J$10005,MATCH($C385,'①在庫を貼る'!$W$6:$W$10005,0)),IFERROR(INDEX('月1回_1ヶ月前の在庫'!$J$6:$J$10005,MATCH($C385,'月1回_1ヶ月前の在庫'!$W$6:$W$10005,0)),IFERROR(INDEX('月1回_2ヶ月前の在庫'!$J$6:$J$10005,MATCH($C385,'月1回_2ヶ月前の在庫'!$W$6:$W$10005,0)),"")))))</f>
        <v/>
      </c>
      <c r="E385">
        <f>IF($C385="","",IFERROR(IF(INDEX('商品マスタ'!$D$6:$D$1005,MATCH($C385,'商品マスタ'!$B$6:$B$1005,0))="",IFERROR(INDEX('①在庫を貼る'!$H$6:$H$10005,MATCH($C385,'①在庫を貼る'!$W$6:$W$10005,0)),IFERROR(INDEX('月1回_1ヶ月前の在庫'!$H$6:$H$10005,MATCH($C385,'月1回_1ヶ月前の在庫'!$W$6:$W$10005,0)),IFERROR(INDEX('月1回_2ヶ月前の在庫'!$H$6:$H$10005,MATCH($C385,'月1回_2ヶ月前の在庫'!$W$6:$W$10005,0)),""))),INDEX('商品マスタ'!$D$6:$D$1005,MATCH($C385,'商品マスタ'!$B$6:$B$1005,0))),IFERROR(INDEX('①在庫を貼る'!$H$6:$H$10005,MATCH($C385,'①在庫を貼る'!$W$6:$W$10005,0)),IFERROR(INDEX('月1回_1ヶ月前の在庫'!$H$6:$H$10005,MATCH($C385,'月1回_1ヶ月前の在庫'!$W$6:$W$10005,0)),IFERROR(INDEX('月1回_2ヶ月前の在庫'!$H$6:$H$10005,MATCH($C385,'月1回_2ヶ月前の在庫'!$W$6:$W$10005,0)),"")))))</f>
        <v/>
      </c>
      <c r="F385">
        <f>IF($C385="","",IFERROR(IF(INDEX('商品マスタ'!$E$6:$E$1005,MATCH($C385,'商品マスタ'!$B$6:$B$1005,0))="",IFERROR(INDEX('①在庫を貼る'!$E$6:$E$10005,MATCH($C385,'①在庫を貼る'!$W$6:$W$10005,0)),IFERROR(INDEX('月1回_1ヶ月前の在庫'!$E$6:$E$10005,MATCH($C385,'月1回_1ヶ月前の在庫'!$W$6:$W$10005,0)),IFERROR(INDEX('月1回_2ヶ月前の在庫'!$E$6:$E$10005,MATCH($C385,'月1回_2ヶ月前の在庫'!$W$6:$W$10005,0)),""))),INDEX('商品マスタ'!$E$6:$E$1005,MATCH($C385,'商品マスタ'!$B$6:$B$1005,0))),IFERROR(INDEX('①在庫を貼る'!$E$6:$E$10005,MATCH($C385,'①在庫を貼る'!$W$6:$W$10005,0)),IFERROR(INDEX('月1回_1ヶ月前の在庫'!$E$6:$E$10005,MATCH($C385,'月1回_1ヶ月前の在庫'!$W$6:$W$10005,0)),IFERROR(INDEX('月1回_2ヶ月前の在庫'!$E$6:$E$10005,MATCH($C385,'月1回_2ヶ月前の在庫'!$W$6:$W$10005,0)),"")))))</f>
        <v/>
      </c>
      <c r="G385">
        <f>IF($C385="","",MAX(1,N(IFERROR(IF(INDEX('商品マスタ'!$F$6:$F$1005,MATCH($C385,'商品マスタ'!$B$6:$B$1005,0))="",IF(COUNTIFS('①在庫を貼る'!$V$6:$V$10005,'設定'!$C$4,'①在庫を貼る'!$W$6:$W$10005,$C385)&gt;0,SUMIFS('①在庫を貼る'!$K$6:$K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K$6:$K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K$6:$K$10005,'月1回_2ヶ月前の在庫'!$V$6:$V$10005,'設定'!$C$4,'月1回_2ヶ月前の在庫'!$W$6:$W$10005,$C385)/COUNTIFS('月1回_2ヶ月前の在庫'!$V$6:$V$10005,'設定'!$C$4,'月1回_2ヶ月前の在庫'!$W$6:$W$10005,$C385),0))),INDEX('商品マスタ'!$F$6:$F$1005,MATCH($C385,'商品マスタ'!$B$6:$B$1005,0))),IF(COUNTIFS('①在庫を貼る'!$V$6:$V$10005,'設定'!$C$4,'①在庫を貼る'!$W$6:$W$10005,$C385)&gt;0,SUMIFS('①在庫を貼る'!$K$6:$K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K$6:$K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K$6:$K$10005,'月1回_2ヶ月前の在庫'!$V$6:$V$10005,'設定'!$C$4,'月1回_2ヶ月前の在庫'!$W$6:$W$10005,$C385)/COUNTIFS('月1回_2ヶ月前の在庫'!$V$6:$V$10005,'設定'!$C$4,'月1回_2ヶ月前の在庫'!$W$6:$W$10005,$C385),0)))))))</f>
        <v/>
      </c>
      <c r="H385">
        <f>IF($C385="","",N(IFERROR(IF(INDEX('商品マスタ'!$G$6:$G$1005,MATCH($C385,'商品マスタ'!$B$6:$B$1005,0))="",IF(COUNTIFS('①在庫を貼る'!$V$6:$V$10005,'設定'!$C$4,'①在庫を貼る'!$W$6:$W$10005,$C385)&gt;0,SUMIFS('①在庫を貼る'!$Q$6:$Q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Q$6:$Q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Q$6:$Q$10005,'月1回_2ヶ月前の在庫'!$V$6:$V$10005,'設定'!$C$4,'月1回_2ヶ月前の在庫'!$W$6:$W$10005,$C385)/COUNTIFS('月1回_2ヶ月前の在庫'!$V$6:$V$10005,'設定'!$C$4,'月1回_2ヶ月前の在庫'!$W$6:$W$10005,$C385),0))),INDEX('商品マスタ'!$G$6:$G$1005,MATCH($C385,'商品マスタ'!$B$6:$B$1005,0))),IF(COUNTIFS('①在庫を貼る'!$V$6:$V$10005,'設定'!$C$4,'①在庫を貼る'!$W$6:$W$10005,$C385)&gt;0,SUMIFS('①在庫を貼る'!$Q$6:$Q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Q$6:$Q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Q$6:$Q$10005,'月1回_2ヶ月前の在庫'!$V$6:$V$10005,'設定'!$C$4,'月1回_2ヶ月前の在庫'!$W$6:$W$10005,$C385)/COUNTIFS('月1回_2ヶ月前の在庫'!$V$6:$V$10005,'設定'!$C$4,'月1回_2ヶ月前の在庫'!$W$6:$W$10005,$C385),0))))))</f>
        <v/>
      </c>
      <c r="I385">
        <f>IF($C385="","",IF(COUNTIFS('①在庫を貼る'!$V$6:$V$10005,'設定'!$C$4,'①在庫を貼る'!$W$6:$W$10005,$C385)=0,"",SUMIFS('①在庫を貼る'!$N$6:$N$10005,'①在庫を貼る'!$V$6:$V$10005,'設定'!$C$4,'①在庫を貼る'!$W$6:$W$10005,$C385)))</f>
        <v/>
      </c>
      <c r="J385">
        <f>IF($C385="","",IF('②発注する'!$AD389="","",'②発注する'!$AD389))</f>
        <v/>
      </c>
      <c r="K385" s="90">
        <f>IF($C385="","",IF('②発注する'!$AE389="","",'②発注する'!$AE389))</f>
        <v/>
      </c>
      <c r="L385">
        <f>IF($C385="","",IF(AND(ISNUMBER($J385),ISNUMBER($K385),$K385&gt;='設定'!$C$6),$J385,N($I385)))</f>
        <v/>
      </c>
      <c r="M385">
        <f>IF($C385="","",IFERROR(IF(N(INDEX('商品マスタ'!$J$6:$J$1005,MATCH($C385,'商品マスタ'!$B$6:$B$1005,0)))&gt;0,INDEX('商品マスタ'!$J$6:$J$1005,MATCH($C385,'商品マスタ'!$B$6:$B$1005,0)),""),""))</f>
        <v/>
      </c>
      <c r="N385">
        <f>IF($C385="","",IFERROR(IF(N(INDEX('商品マスタ'!$H$6:$H$1005,MATCH($C385,'商品マスタ'!$B$6:$B$1005,0)))&gt;0,INDEX('商品マスタ'!$H$6:$H$1005,MATCH($C385,'商品マスタ'!$B$6:$B$1005,0)),""),""))</f>
        <v/>
      </c>
      <c r="O385">
        <f>IF($C385="","",IF($N385&lt;&gt;"",$N385*$G385,IF(N(IF(COUNTIFS('①在庫を貼る'!$V$6:$V$10005,'設定'!$C$4,'①在庫を貼る'!$W$6:$W$10005,$C385)&gt;0,SUMIFS('①在庫を貼る'!$O$6:$O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O$6:$O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O$6:$O$10005,'月1回_2ヶ月前の在庫'!$V$6:$V$10005,'設定'!$C$4,'月1回_2ヶ月前の在庫'!$W$6:$W$10005,$C385)/COUNTIFS('月1回_2ヶ月前の在庫'!$V$6:$V$10005,'設定'!$C$4,'月1回_2ヶ月前の在庫'!$W$6:$W$10005,$C385),0))))&gt;0,N(IF(COUNTIFS('①在庫を貼る'!$V$6:$V$10005,'設定'!$C$4,'①在庫を貼る'!$W$6:$W$10005,$C385)&gt;0,SUMIFS('①在庫を貼る'!$O$6:$O$10005,'①在庫を貼る'!$V$6:$V$10005,'設定'!$C$4,'①在庫を貼る'!$W$6:$W$10005,$C385)/COUNTIFS('①在庫を貼る'!$V$6:$V$10005,'設定'!$C$4,'①在庫を貼る'!$W$6:$W$10005,$C385),IF(COUNTIFS('月1回_1ヶ月前の在庫'!$V$6:$V$10005,'設定'!$C$4,'月1回_1ヶ月前の在庫'!$W$6:$W$10005,$C385)&gt;0,SUMIFS('月1回_1ヶ月前の在庫'!$O$6:$O$10005,'月1回_1ヶ月前の在庫'!$V$6:$V$10005,'設定'!$C$4,'月1回_1ヶ月前の在庫'!$W$6:$W$10005,$C385)/COUNTIFS('月1回_1ヶ月前の在庫'!$V$6:$V$10005,'設定'!$C$4,'月1回_1ヶ月前の在庫'!$W$6:$W$10005,$C385),IF(COUNTIFS('月1回_2ヶ月前の在庫'!$V$6:$V$10005,'設定'!$C$4,'月1回_2ヶ月前の在庫'!$W$6:$W$10005,$C385)&gt;0,SUMIFS('月1回_2ヶ月前の在庫'!$O$6:$O$10005,'月1回_2ヶ月前の在庫'!$V$6:$V$10005,'設定'!$C$4,'月1回_2ヶ月前の在庫'!$W$6:$W$10005,$C385)/COUNTIFS('月1回_2ヶ月前の在庫'!$V$6:$V$10005,'設定'!$C$4,'月1回_2ヶ月前の在庫'!$W$6:$W$10005,$C385),0)))),"")))</f>
        <v/>
      </c>
      <c r="P385" s="90">
        <f>IF($C385="","",IF('②発注する'!$I389="","",'②発注する'!$I389))</f>
        <v/>
      </c>
      <c r="Q385">
        <f>IF($C385="","",IF('②発注する'!$J389="","",'②発注する'!$J389))</f>
        <v/>
      </c>
      <c r="R385">
        <f>IF($C385="",0,IF(AND(ISNUMBER($P385),ISNUMBER($Q385)),MAX(0,$Q385)*$G385,0))</f>
        <v/>
      </c>
      <c r="S385" s="90">
        <f>IF($C385="","",IF('②発注する'!$M389="","",'②発注する'!$M389))</f>
        <v/>
      </c>
      <c r="T385">
        <f>IF($C385="","",IF('②発注する'!$N389="","",'②発注する'!$N389))</f>
        <v/>
      </c>
      <c r="U385">
        <f>IF($C385="",0,IF(AND(ISNUMBER($S385),ISNUMBER($T385)),MAX(0,$T385)*$G385,0))</f>
        <v/>
      </c>
      <c r="V385">
        <f>IF($C385="",0,IF($M385="",0,MAX(0,$M385)*MAX(0,V$4)/100))</f>
        <v/>
      </c>
      <c r="W385">
        <f>IF($C385="",0,IF($M385="",0,MAX(0,$M385)*MAX(0,W$4)/100))</f>
        <v/>
      </c>
      <c r="X385">
        <f>IF($C385="",0,IF($M385="",0,MAX(0,$M385)*MAX(0,X$4)/100))</f>
        <v/>
      </c>
      <c r="Y385">
        <f>IF($C385="",0,IF($M385="",0,MAX(0,$M385)*MAX(0,Y$4)/100))</f>
        <v/>
      </c>
      <c r="Z385">
        <f>IF($C385="",0,IF($M385="",0,MAX(0,$M385)*MAX(0,Z$4)/100))</f>
        <v/>
      </c>
      <c r="AA385">
        <f>IF($C385="",0,IF($M385="",0,MAX(0,$M385)*MAX(0,AA$4)/100))</f>
        <v/>
      </c>
      <c r="AB385">
        <f>IF($C385="",0,IF($M385="",0,MAX(0,$M385)*MAX(0,AB$4)/100))</f>
        <v/>
      </c>
      <c r="AC385">
        <f>IF($C385="",0,IF($M385="",0,MAX(0,$M385)*MAX(0,AC$4)/100))</f>
        <v/>
      </c>
      <c r="AD385">
        <f>IF($C385="",0,IF($M385="",0,MAX(0,$M385)*MAX(0,AD$4)/100))</f>
        <v/>
      </c>
      <c r="AE385">
        <f>IF($C385="",0,IF($M385="",0,MAX(0,$M385)*MAX(0,AE$4)/100))</f>
        <v/>
      </c>
      <c r="AF385">
        <f>IF($C385="",0,IF($M385="",0,MAX(0,$M385)*MAX(0,AF$4)/100))</f>
        <v/>
      </c>
      <c r="AG385">
        <f>IF($C385="",0,IF($M385="",0,MAX(0,$M385)*MAX(0,AG$4)/100))</f>
        <v/>
      </c>
      <c r="AH385">
        <f>IF($C385="",0,IF($M385="",0,MAX(0,$M385)*MAX(0,AH$4)/100))</f>
        <v/>
      </c>
      <c r="AI385">
        <f>IF($C385="",0,IF($M385="",0,MAX(0,$M385)*MAX(0,AI$4)/100))</f>
        <v/>
      </c>
      <c r="AJ385">
        <f>IF($C385="",0,MAX(0,MAX(0,N($L385))-$V385))</f>
        <v/>
      </c>
      <c r="AK385">
        <f>IF($C385="",0,MAX(0,$AJ385-$W385))</f>
        <v/>
      </c>
      <c r="AL385">
        <f>IF($C385="",0,MAX(0,$AK385-$X385))</f>
        <v/>
      </c>
      <c r="AM385">
        <f>IF($C385="",0,MAX(0,$AL385-$Y385))</f>
        <v/>
      </c>
      <c r="AN385">
        <f>IF($C385="",0,MAX(0,$AM385-$Z385))</f>
        <v/>
      </c>
      <c r="AO385">
        <f>IF($C385="",0,MAX(0,$AN385-$AA385))</f>
        <v/>
      </c>
      <c r="AP385">
        <f>IF($C385="",0,MAX(0,$AO385-$AB385))</f>
        <v/>
      </c>
      <c r="AQ385">
        <f>IF($C385="",0,MAX(0,$AP385-$AC385))</f>
        <v/>
      </c>
      <c r="AR385">
        <f>IF($C385="",0,MAX(0,$AQ385-$AD385))</f>
        <v/>
      </c>
      <c r="AS385">
        <f>IF($C385="",0,MAX(0,$AR385-$AE385))</f>
        <v/>
      </c>
      <c r="AT385">
        <f>IF($C385="",0,MAX(0,$AS385-$AF385))</f>
        <v/>
      </c>
      <c r="AU385">
        <f>IF($C385="",0,MAX(0,$AT385-$AG385))</f>
        <v/>
      </c>
      <c r="AV385">
        <f>IF($C385="",0,MAX(0,$AU385-$AH385))</f>
        <v/>
      </c>
      <c r="AW385">
        <f>IF($C385="",0,MAX(0,$AV385-$AI385))</f>
        <v/>
      </c>
      <c r="AX385">
        <f>IF($C385="",0,MAX(0,MAX(0,N($L385))+IF($P385=V$3,$R385,0)+IF($S385=V$3,$U385,0)-$V385))</f>
        <v/>
      </c>
      <c r="AY385">
        <f>IF($C385="",0,MAX(0,$AX385+IF($P385=W$3,$R385,0)+IF($S385=W$3,$U385,0)-$W385))</f>
        <v/>
      </c>
      <c r="AZ385">
        <f>IF($C385="",0,MAX(0,$AY385+IF($P385=X$3,$R385,0)+IF($S385=X$3,$U385,0)-$X385))</f>
        <v/>
      </c>
      <c r="BA385">
        <f>IF($C385="",0,MAX(0,$AZ385+IF($P385=Y$3,$R385,0)+IF($S385=Y$3,$U385,0)-$Y385))</f>
        <v/>
      </c>
      <c r="BB385">
        <f>IF($C385="",0,MAX(0,$BA385+IF($P385=Z$3,$R385,0)+IF($S385=Z$3,$U385,0)-$Z385))</f>
        <v/>
      </c>
      <c r="BC385">
        <f>IF($C385="",0,MAX(0,$BB385+IF($P385=AA$3,$R385,0)+IF($S385=AA$3,$U385,0)-$AA385))</f>
        <v/>
      </c>
      <c r="BD385">
        <f>IF($C385="",0,MAX(0,$BC385+IF($P385=AB$3,$R385,0)+IF($S385=AB$3,$U385,0)-$AB385))</f>
        <v/>
      </c>
      <c r="BE385">
        <f>IF($C385="",0,MAX(0,$BD385+IF($P385=AC$3,$R385,0)+IF($S385=AC$3,$U385,0)-$AC385))</f>
        <v/>
      </c>
      <c r="BF385">
        <f>IF($C385="",0,MAX(0,$BE385+IF($P385=AD$3,$R385,0)+IF($S385=AD$3,$U385,0)-$AD385))</f>
        <v/>
      </c>
      <c r="BG385">
        <f>IF($C385="",0,MAX(0,$BF385+IF($P385=AE$3,$R385,0)+IF($S385=AE$3,$U385,0)-$AE385))</f>
        <v/>
      </c>
      <c r="BH385">
        <f>IF($C385="",0,MAX(0,$BG385+IF($P385=AF$3,$R385,0)+IF($S385=AF$3,$U385,0)-$AF385))</f>
        <v/>
      </c>
      <c r="BI385">
        <f>IF($C385="",0,MAX(0,$BH385+IF($P385=AG$3,$R385,0)+IF($S385=AG$3,$U385,0)-$AG385))</f>
        <v/>
      </c>
      <c r="BJ385">
        <f>IF($C385="",0,MAX(0,$BI385+IF($P385=AH$3,$R385,0)+IF($S385=AH$3,$U385,0)-$AH385))</f>
        <v/>
      </c>
      <c r="BK385">
        <f>IF($C385="",0,MAX(0,$BJ385+IF($P385=AI$3,$R385,0)+IF($S385=AI$3,$U385,0)-$AI385))</f>
        <v/>
      </c>
      <c r="BL385">
        <f>IF($C385="",99,IF(AND($AX385&lt;1,V$3&gt;=MAX(N($P385),N($S385))),0,99))</f>
        <v/>
      </c>
      <c r="BM385">
        <f>IF($C385="",99,IF(AND($AY385&lt;1,W$3&gt;=MAX(N($P385),N($S385))),1,99))</f>
        <v/>
      </c>
      <c r="BN385">
        <f>IF($C385="",99,IF(AND($AZ385&lt;1,X$3&gt;=MAX(N($P385),N($S385))),2,99))</f>
        <v/>
      </c>
      <c r="BO385">
        <f>IF($C385="",99,IF(AND($BA385&lt;1,Y$3&gt;=MAX(N($P385),N($S385))),3,99))</f>
        <v/>
      </c>
      <c r="BP385">
        <f>IF($C385="",99,IF(AND($BB385&lt;1,Z$3&gt;=MAX(N($P385),N($S385))),4,99))</f>
        <v/>
      </c>
      <c r="BQ385">
        <f>IF($C385="",99,IF(AND($BC385&lt;1,AA$3&gt;=MAX(N($P385),N($S385))),5,99))</f>
        <v/>
      </c>
      <c r="BR385">
        <f>IF($C385="",99,IF(AND($BD385&lt;1,AB$3&gt;=MAX(N($P385),N($S385))),6,99))</f>
        <v/>
      </c>
      <c r="BS385">
        <f>IF($C385="",99,IF(AND($BE385&lt;1,AC$3&gt;=MAX(N($P385),N($S385))),7,99))</f>
        <v/>
      </c>
      <c r="BT385">
        <f>IF($C385="",99,IF(AND($BF385&lt;1,AD$3&gt;=MAX(N($P385),N($S385))),8,99))</f>
        <v/>
      </c>
      <c r="BU385">
        <f>IF($C385="",99,IF(AND($BG385&lt;1,AE$3&gt;=MAX(N($P385),N($S385))),9,99))</f>
        <v/>
      </c>
      <c r="BV385">
        <f>IF($C385="",99,IF(AND($BH385&lt;1,AF$3&gt;=MAX(N($P385),N($S385))),10,99))</f>
        <v/>
      </c>
      <c r="BW385">
        <f>IF($C385="",99,IF(AND($BI385&lt;1,AG$3&gt;=MAX(N($P385),N($S385))),11,99))</f>
        <v/>
      </c>
      <c r="BX385">
        <f>IF($C385="",99,IF(AND($BJ385&lt;1,AH$3&gt;=MAX(N($P385),N($S385))),12,99))</f>
        <v/>
      </c>
      <c r="BY385">
        <f>IF($C385="",99,IF(AND($BK385&lt;1,AI$3&gt;=MAX(N($P385),N($S385))),13,99))</f>
        <v/>
      </c>
      <c r="BZ385">
        <f>IF(OR($C385="",$M385=""),"",COUNTIF($AJ385:$AW385,"&gt;=1"))</f>
        <v/>
      </c>
      <c r="CA385" s="90">
        <f>IF($BZ385="","",IF($BZ385&gt;=14,"",'設定'!$C$6+$BZ385))</f>
        <v/>
      </c>
      <c r="CB385">
        <f>IF(OR($C385="",$M385=""),"",MIN($BL385:$BY385))</f>
        <v/>
      </c>
      <c r="CC385" s="90">
        <f>IF($CB385="","",IF($CB385&gt;=99,"",'設定'!$C$6+$CB385))</f>
        <v/>
      </c>
      <c r="CD385">
        <f>IF(OR($C385="",$M385=""),"",AVERAGE($V385:$AI385))</f>
        <v/>
      </c>
      <c r="CE385">
        <f>IF($C385="","",IFERROR(IF(MATCH(IF(ISNUMBER($P385),$P385,'設定'!$C$6+N('設定'!$C$7)),$V$3:$AI$3,0)=1,MAX(0,N($L385)),INDEX($AJ385:$AW385,MATCH(IF(ISNUMBER($P385),$P385,'設定'!$C$6+N('設定'!$C$7)),$V$3:$AI$3,0)-1)),""))</f>
        <v/>
      </c>
      <c r="CF385">
        <f>IF(OR($C385="",$O385="",$CE385=""),"",IF($O385-$CE385&lt;=0,0,ROUNDUP(($O385-$CE385)/$G385,0)))</f>
        <v/>
      </c>
      <c r="CG385">
        <f>IF(OR($C385="",$CF385="",NOT(ISNUMBER($Q385))),0,MAX(0,$Q385-$CF385))</f>
        <v/>
      </c>
      <c r="CH385">
        <f>IF(OR($C385="",$O385="",$U385=0),0,IFERROR(ROUNDUP(MAX(0,IF(MATCH($S385,$V$3:$AI$3,0)=1,MAX(0,N($L385)),INDEX($AX385:$BK385,MATCH($S385,$V$3:$AI$3,0)-1))+$U385-$O385)/$G385,0),0))</f>
        <v/>
      </c>
      <c r="CI385">
        <f>IF($C385="","",IF(AND($P385="",$Q385=""),"",IF($P385="","⚠ 入庫日を ▼ から選んでください",IF(NOT(ISNUMBER($P385)),"⚠ 入庫日は ▼ から選んでください",IF($P385&lt;N('設定'!$C$6),"⚠ 入庫日が過去です（もう在庫に入っています）→ 消してください",IF($P385&gt;N('設定'!$C$6)+13,"⚠ 入庫日が14日より先です",IF(N($Q385)&lt;=0,"⚠ 入庫数を入れてください",IF($CG385&gt;0,"⚠ 目安より "&amp;$CG385&amp;" 多い（定数を超える）→ 減らす",""))))))))</f>
        <v/>
      </c>
      <c r="CJ385">
        <f>IF($C385="","",IF(AND($S385="",$T385=""),"",IF($S385="","⚠ 2便目：入庫日を ▼ から選んでください",IF(NOT(ISNUMBER($S385)),"⚠ 2便目：入庫日は ▼ から選んでください",IF($S385&lt;N('設定'!$C$6),"⚠ 2便目：入庫日が過去です（もう在庫に入っています）→ 消してください",IF($S385&gt;N('設定'!$C$6)+13,"⚠ 2便目：入庫日が14日より先です",IF(N($T385)&lt;=0,"⚠ 2便目：入庫数を入れてください",IF($CH385&gt;0,"⚠ 2便目：定数を "&amp;$CH385&amp;" ケース超える → 減らす",""))))))))</f>
        <v/>
      </c>
      <c r="CK385">
        <f>IF(AND($CI385="",N($Q385)&gt;0,ISNUMBER($P385)),1,0)</f>
        <v/>
      </c>
      <c r="CL385">
        <f>IF(AND($CJ385="",N($T385)&gt;0,ISNUMBER($S385)),1,0)</f>
        <v/>
      </c>
      <c r="CM385">
        <f>IF(OR($CK385=1,$CL385=1),1,0)</f>
        <v/>
      </c>
      <c r="CN385">
        <f>IF($C385="",0,($CK385*$R385+$CL385*$U385)*N($H385))</f>
        <v/>
      </c>
      <c r="CO385">
        <f>IF($C385="","",IF($CC385="","入庫後は 14日以上もつ",IF($CC385-N('設定'!$C$7)&lt;='設定'!$C$6,"入庫後も "&amp;TEXT($CC385,"m/d")&amp;"("&amp;CHOOSE(WEEKDAY($CC385),"日","月","火","水","木","金","土")&amp;")"&amp;" に切れる　もう1便を至急発注","入庫後も "&amp;TEXT($CC385,"m/d")&amp;"("&amp;CHOOSE(WEEKDAY($CC385),"日","月","火","水","木","金","土")&amp;")"&amp;" に切れる　"&amp;TEXT($CC385-N('設定'!$C$7),"m/d")&amp;"("&amp;CHOOSE(WEEKDAY($CC385-N('設定'!$C$7)),"日","月","火","水","木","金","土")&amp;")"&amp;" までに次を発注")))</f>
        <v/>
      </c>
      <c r="CP385">
        <f>IF($C385="","",IF('設定'!$C$6="","？ ①在庫を貼る に今日のCSVが貼られていない",IF($CS385=1,"－ 今日のCSVに無い（終売？）",IF($L385&lt;0,"● 在庫がマイナス　数えて「数えた在庫」に入れる",IF($L385=0,"● 在庫なし　至急発注",IF($M385="","？ 減り数が未設定（商品マスタ）",IF($B$3=0,"？ 動員が未入力（動員を入れる）",IF($CA385="","○ 14日以上もつ",IF($BZ385&lt;N('設定'!$C$7),"● "&amp;TEXT($CA385,"m/d")&amp;"("&amp;CHOOSE(WEEKDAY($CA385),"日","月","火","水","木","金","土")&amp;")"&amp;" に切れる　至急発注",IF($BZ385=N('設定'!$C$7),"● "&amp;TEXT($CA385,"m/d")&amp;"("&amp;CHOOSE(WEEKDAY($CA385),"日","月","火","水","木","金","土")&amp;")"&amp;" に切れる　今日発注","△ "&amp;TEXT($CA385,"m/d")&amp;"("&amp;CHOOSE(WEEKDAY($CA385),"日","月","火","水","木","金","土")&amp;")"&amp;" に切れる　"&amp;TEXT($CA385-N('設定'!$C$7),"m/d")&amp;"("&amp;CHOOSE(WEEKDAY($CA385-N('設定'!$C$7)),"日","月","火","水","木","金","土")&amp;")"&amp;" までに発注"))))))))))</f>
        <v/>
      </c>
      <c r="CQ385">
        <f>IF($C385="","",IF(AND($P385="",$Q385="",$S385="",$T385=""),"",IF(AND($P385="",$Q385=""),"⚠ 先に1便目（左の入庫日・入庫数）に入れてください",IF($CI385&lt;&gt;"",$CI385,IF($CJ385&lt;&gt;"",$CJ385,IF($M385="","？ 減り数が未設定（発注書には載ります）",IF($B$3=0,"？ 動員が未入力（発注書には載ります）",IF(AND($CA385&lt;&gt;"",$P385&gt;$CA385),IF($P385&gt;'設定'!$C$6+N('設定'!$C$7),"● "&amp;TEXT($P385,"m/d")&amp;"("&amp;CHOOSE(WEEKDAY($P385),"日","月","火","水","木","金","土")&amp;")"&amp;" の入庫では間に合わない（"&amp;TEXT($CA385,"m/d")&amp;"("&amp;CHOOSE(WEEKDAY($CA385),"日","月","火","水","木","金","土")&amp;")"&amp;" に切れる）　入庫日を早める","△ 欠品 "&amp;TEXT($CA385,"m/d")&amp;"("&amp;CHOOSE(WEEKDAY($CA385),"日","月","火","水","木","金","土")&amp;")"&amp;"〜"&amp;TEXT($P385-1,"m/d")&amp;"("&amp;CHOOSE(WEEKDAY($P385-1),"日","月","火","水","木","金","土")&amp;")"&amp;"　"&amp;$CO385),IF($CC385="","○ "&amp;TEXT($P385,"m/d")&amp;"("&amp;CHOOSE(WEEKDAY($P385),"日","月","火","水","木","金","土")&amp;")"&amp;" 入庫で 14日以上もつ",IF($CC385-N('設定'!$C$7)&lt;='設定'!$C$6,"● 入庫しても "&amp;TEXT($CC385,"m/d")&amp;"("&amp;CHOOSE(WEEKDAY($CC385),"日","月","火","水","木","金","土")&amp;")"&amp;" に切れる　もう1便を至急発注（2便目に入れる）","△ 入庫しても "&amp;TEXT($CC385,"m/d")&amp;"("&amp;CHOOSE(WEEKDAY($CC385),"日","月","火","水","木","金","土")&amp;")"&amp;" に切れる　"&amp;TEXT($CC385-N('設定'!$C$7),"m/d")&amp;"("&amp;CHOOSE(WEEKDAY($CC385-N('設定'!$C$7)),"日","月","火","水","木","金","土")&amp;")"&amp;" までに次を発注（2便目に入れる）"))))))))))</f>
        <v/>
      </c>
      <c r="CR385">
        <f>IF($C385="","",IF($G385&gt;1,"ｹｰｽ("&amp;$G385&amp;"入)","個"))</f>
        <v/>
      </c>
      <c r="CS385">
        <f>IF($C385="",0,IF(COUNTIFS('①在庫を貼る'!$V$6:$V$10005,'設定'!$C$4,'①在庫を貼る'!$W$6:$W$10005,$C385)=0,1,0))</f>
        <v/>
      </c>
      <c r="CT385">
        <f>IF(AND($CK385=1,OR('③発注書'!$C$4="すべて",'③発注書'!$C$4="",$F385='③発注書'!$C$4)),N($CT384)+1,N($CT384))</f>
        <v/>
      </c>
      <c r="CU385">
        <f>IF(AND($CL385=1,OR('③発注書'!$C$4="すべて",'③発注書'!$C$4="",$F385='③発注書'!$C$4)),N($CU384)+1,N($CU384))</f>
        <v/>
      </c>
      <c r="CV385">
        <f>IF($C385="",0,IF(COUNTIFS('①在庫を貼る'!$V$6:$V$10005,'設定'!$C$4,'①在庫を貼る'!$W$6:$W$10005,$C385)&gt;0,1,0))</f>
        <v/>
      </c>
      <c r="CW385">
        <f>IF($C385="",0,IF(COUNTIFS('月1回_1ヶ月前の在庫'!$V$6:$V$10005,'設定'!$C$4,'月1回_1ヶ月前の在庫'!$W$6:$W$10005,$C385)&gt;0,1,0))</f>
        <v/>
      </c>
      <c r="CX385">
        <f>IF($C385="",0,IF(COUNTIFS('月1回_2ヶ月前の在庫'!$V$6:$V$10005,'設定'!$C$4,'月1回_2ヶ月前の在庫'!$W$6:$W$10005,$C385)&gt;0,1,0))</f>
        <v/>
      </c>
      <c r="CY385">
        <f>IF(OR($C385="",'設定'!$C$12=""),"",IF('設定'!$C$13="",IF(AND($CV385=1,$CW385=0),"新商品（今月から）",IF(AND($CV385=0,$CW385=1),"終売（今月から）","")),IF(AND($CV385=1,$CW385=0,$CX385=0),"新商品（今月から）",IF(AND($CV385=1,$CW385=1,$CX385=0),"新商品（先月から）",IF(AND($CV385=0,$CW385=1,$CX385=1),"終売（今月から）",IF(AND($CV385=0,$CW385=0,$CX385=1),"終売（先月から）",IF(AND($CV385=1,$CW385=0,$CX385=1),"復活（先月は無し）","")))))))</f>
        <v/>
      </c>
    </row>
    <row r="386">
      <c r="B386">
        <f>IF(381&lt;='設定'!$C$11,381,"")</f>
        <v/>
      </c>
      <c r="C386">
        <f>IF($B386="","",IF($B386&lt;='設定'!$C$20,INDEX('商品マスタ'!$B$6:$B$1005,MATCH($B386,'商品マスタ'!$M$6:$M$1005,0)),IF($B386&lt;='設定'!$C$20+'設定'!$C$17,INDEX('①在庫を貼る'!$W$6:$W$10005,MATCH($B386-'設定'!$C$20,'①在庫を貼る'!$U$6:$U$10005,0)),IF($B386&lt;='設定'!$C$20+'設定'!$C$17+'設定'!$C$18,INDEX('月1回_1ヶ月前の在庫'!$W$6:$W$10005,MATCH($B386-'設定'!$C$20-'設定'!$C$17,'月1回_1ヶ月前の在庫'!$U$6:$U$10005,0)),INDEX('月1回_2ヶ月前の在庫'!$W$6:$W$10005,MATCH($B386-'設定'!$C$20-'設定'!$C$17-'設定'!$C$18,'月1回_2ヶ月前の在庫'!$U$6:$U$10005,0))))))</f>
        <v/>
      </c>
      <c r="D386">
        <f>IF($C386="","",IFERROR(IF(INDEX('商品マスタ'!$C$6:$C$1005,MATCH($C386,'商品マスタ'!$B$6:$B$1005,0))="",IFERROR(INDEX('①在庫を貼る'!$J$6:$J$10005,MATCH($C386,'①在庫を貼る'!$W$6:$W$10005,0)),IFERROR(INDEX('月1回_1ヶ月前の在庫'!$J$6:$J$10005,MATCH($C386,'月1回_1ヶ月前の在庫'!$W$6:$W$10005,0)),IFERROR(INDEX('月1回_2ヶ月前の在庫'!$J$6:$J$10005,MATCH($C386,'月1回_2ヶ月前の在庫'!$W$6:$W$10005,0)),""))),INDEX('商品マスタ'!$C$6:$C$1005,MATCH($C386,'商品マスタ'!$B$6:$B$1005,0))),IFERROR(INDEX('①在庫を貼る'!$J$6:$J$10005,MATCH($C386,'①在庫を貼る'!$W$6:$W$10005,0)),IFERROR(INDEX('月1回_1ヶ月前の在庫'!$J$6:$J$10005,MATCH($C386,'月1回_1ヶ月前の在庫'!$W$6:$W$10005,0)),IFERROR(INDEX('月1回_2ヶ月前の在庫'!$J$6:$J$10005,MATCH($C386,'月1回_2ヶ月前の在庫'!$W$6:$W$10005,0)),"")))))</f>
        <v/>
      </c>
      <c r="E386">
        <f>IF($C386="","",IFERROR(IF(INDEX('商品マスタ'!$D$6:$D$1005,MATCH($C386,'商品マスタ'!$B$6:$B$1005,0))="",IFERROR(INDEX('①在庫を貼る'!$H$6:$H$10005,MATCH($C386,'①在庫を貼る'!$W$6:$W$10005,0)),IFERROR(INDEX('月1回_1ヶ月前の在庫'!$H$6:$H$10005,MATCH($C386,'月1回_1ヶ月前の在庫'!$W$6:$W$10005,0)),IFERROR(INDEX('月1回_2ヶ月前の在庫'!$H$6:$H$10005,MATCH($C386,'月1回_2ヶ月前の在庫'!$W$6:$W$10005,0)),""))),INDEX('商品マスタ'!$D$6:$D$1005,MATCH($C386,'商品マスタ'!$B$6:$B$1005,0))),IFERROR(INDEX('①在庫を貼る'!$H$6:$H$10005,MATCH($C386,'①在庫を貼る'!$W$6:$W$10005,0)),IFERROR(INDEX('月1回_1ヶ月前の在庫'!$H$6:$H$10005,MATCH($C386,'月1回_1ヶ月前の在庫'!$W$6:$W$10005,0)),IFERROR(INDEX('月1回_2ヶ月前の在庫'!$H$6:$H$10005,MATCH($C386,'月1回_2ヶ月前の在庫'!$W$6:$W$10005,0)),"")))))</f>
        <v/>
      </c>
      <c r="F386">
        <f>IF($C386="","",IFERROR(IF(INDEX('商品マスタ'!$E$6:$E$1005,MATCH($C386,'商品マスタ'!$B$6:$B$1005,0))="",IFERROR(INDEX('①在庫を貼る'!$E$6:$E$10005,MATCH($C386,'①在庫を貼る'!$W$6:$W$10005,0)),IFERROR(INDEX('月1回_1ヶ月前の在庫'!$E$6:$E$10005,MATCH($C386,'月1回_1ヶ月前の在庫'!$W$6:$W$10005,0)),IFERROR(INDEX('月1回_2ヶ月前の在庫'!$E$6:$E$10005,MATCH($C386,'月1回_2ヶ月前の在庫'!$W$6:$W$10005,0)),""))),INDEX('商品マスタ'!$E$6:$E$1005,MATCH($C386,'商品マスタ'!$B$6:$B$1005,0))),IFERROR(INDEX('①在庫を貼る'!$E$6:$E$10005,MATCH($C386,'①在庫を貼る'!$W$6:$W$10005,0)),IFERROR(INDEX('月1回_1ヶ月前の在庫'!$E$6:$E$10005,MATCH($C386,'月1回_1ヶ月前の在庫'!$W$6:$W$10005,0)),IFERROR(INDEX('月1回_2ヶ月前の在庫'!$E$6:$E$10005,MATCH($C386,'月1回_2ヶ月前の在庫'!$W$6:$W$10005,0)),"")))))</f>
        <v/>
      </c>
      <c r="G386">
        <f>IF($C386="","",MAX(1,N(IFERROR(IF(INDEX('商品マスタ'!$F$6:$F$1005,MATCH($C386,'商品マスタ'!$B$6:$B$1005,0))="",IF(COUNTIFS('①在庫を貼る'!$V$6:$V$10005,'設定'!$C$4,'①在庫を貼る'!$W$6:$W$10005,$C386)&gt;0,SUMIFS('①在庫を貼る'!$K$6:$K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K$6:$K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K$6:$K$10005,'月1回_2ヶ月前の在庫'!$V$6:$V$10005,'設定'!$C$4,'月1回_2ヶ月前の在庫'!$W$6:$W$10005,$C386)/COUNTIFS('月1回_2ヶ月前の在庫'!$V$6:$V$10005,'設定'!$C$4,'月1回_2ヶ月前の在庫'!$W$6:$W$10005,$C386),0))),INDEX('商品マスタ'!$F$6:$F$1005,MATCH($C386,'商品マスタ'!$B$6:$B$1005,0))),IF(COUNTIFS('①在庫を貼る'!$V$6:$V$10005,'設定'!$C$4,'①在庫を貼る'!$W$6:$W$10005,$C386)&gt;0,SUMIFS('①在庫を貼る'!$K$6:$K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K$6:$K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K$6:$K$10005,'月1回_2ヶ月前の在庫'!$V$6:$V$10005,'設定'!$C$4,'月1回_2ヶ月前の在庫'!$W$6:$W$10005,$C386)/COUNTIFS('月1回_2ヶ月前の在庫'!$V$6:$V$10005,'設定'!$C$4,'月1回_2ヶ月前の在庫'!$W$6:$W$10005,$C386),0)))))))</f>
        <v/>
      </c>
      <c r="H386">
        <f>IF($C386="","",N(IFERROR(IF(INDEX('商品マスタ'!$G$6:$G$1005,MATCH($C386,'商品マスタ'!$B$6:$B$1005,0))="",IF(COUNTIFS('①在庫を貼る'!$V$6:$V$10005,'設定'!$C$4,'①在庫を貼る'!$W$6:$W$10005,$C386)&gt;0,SUMIFS('①在庫を貼る'!$Q$6:$Q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Q$6:$Q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Q$6:$Q$10005,'月1回_2ヶ月前の在庫'!$V$6:$V$10005,'設定'!$C$4,'月1回_2ヶ月前の在庫'!$W$6:$W$10005,$C386)/COUNTIFS('月1回_2ヶ月前の在庫'!$V$6:$V$10005,'設定'!$C$4,'月1回_2ヶ月前の在庫'!$W$6:$W$10005,$C386),0))),INDEX('商品マスタ'!$G$6:$G$1005,MATCH($C386,'商品マスタ'!$B$6:$B$1005,0))),IF(COUNTIFS('①在庫を貼る'!$V$6:$V$10005,'設定'!$C$4,'①在庫を貼る'!$W$6:$W$10005,$C386)&gt;0,SUMIFS('①在庫を貼る'!$Q$6:$Q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Q$6:$Q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Q$6:$Q$10005,'月1回_2ヶ月前の在庫'!$V$6:$V$10005,'設定'!$C$4,'月1回_2ヶ月前の在庫'!$W$6:$W$10005,$C386)/COUNTIFS('月1回_2ヶ月前の在庫'!$V$6:$V$10005,'設定'!$C$4,'月1回_2ヶ月前の在庫'!$W$6:$W$10005,$C386),0))))))</f>
        <v/>
      </c>
      <c r="I386">
        <f>IF($C386="","",IF(COUNTIFS('①在庫を貼る'!$V$6:$V$10005,'設定'!$C$4,'①在庫を貼る'!$W$6:$W$10005,$C386)=0,"",SUMIFS('①在庫を貼る'!$N$6:$N$10005,'①在庫を貼る'!$V$6:$V$10005,'設定'!$C$4,'①在庫を貼る'!$W$6:$W$10005,$C386)))</f>
        <v/>
      </c>
      <c r="J386">
        <f>IF($C386="","",IF('②発注する'!$AD390="","",'②発注する'!$AD390))</f>
        <v/>
      </c>
      <c r="K386" s="90">
        <f>IF($C386="","",IF('②発注する'!$AE390="","",'②発注する'!$AE390))</f>
        <v/>
      </c>
      <c r="L386">
        <f>IF($C386="","",IF(AND(ISNUMBER($J386),ISNUMBER($K386),$K386&gt;='設定'!$C$6),$J386,N($I386)))</f>
        <v/>
      </c>
      <c r="M386">
        <f>IF($C386="","",IFERROR(IF(N(INDEX('商品マスタ'!$J$6:$J$1005,MATCH($C386,'商品マスタ'!$B$6:$B$1005,0)))&gt;0,INDEX('商品マスタ'!$J$6:$J$1005,MATCH($C386,'商品マスタ'!$B$6:$B$1005,0)),""),""))</f>
        <v/>
      </c>
      <c r="N386">
        <f>IF($C386="","",IFERROR(IF(N(INDEX('商品マスタ'!$H$6:$H$1005,MATCH($C386,'商品マスタ'!$B$6:$B$1005,0)))&gt;0,INDEX('商品マスタ'!$H$6:$H$1005,MATCH($C386,'商品マスタ'!$B$6:$B$1005,0)),""),""))</f>
        <v/>
      </c>
      <c r="O386">
        <f>IF($C386="","",IF($N386&lt;&gt;"",$N386*$G386,IF(N(IF(COUNTIFS('①在庫を貼る'!$V$6:$V$10005,'設定'!$C$4,'①在庫を貼る'!$W$6:$W$10005,$C386)&gt;0,SUMIFS('①在庫を貼る'!$O$6:$O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O$6:$O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O$6:$O$10005,'月1回_2ヶ月前の在庫'!$V$6:$V$10005,'設定'!$C$4,'月1回_2ヶ月前の在庫'!$W$6:$W$10005,$C386)/COUNTIFS('月1回_2ヶ月前の在庫'!$V$6:$V$10005,'設定'!$C$4,'月1回_2ヶ月前の在庫'!$W$6:$W$10005,$C386),0))))&gt;0,N(IF(COUNTIFS('①在庫を貼る'!$V$6:$V$10005,'設定'!$C$4,'①在庫を貼る'!$W$6:$W$10005,$C386)&gt;0,SUMIFS('①在庫を貼る'!$O$6:$O$10005,'①在庫を貼る'!$V$6:$V$10005,'設定'!$C$4,'①在庫を貼る'!$W$6:$W$10005,$C386)/COUNTIFS('①在庫を貼る'!$V$6:$V$10005,'設定'!$C$4,'①在庫を貼る'!$W$6:$W$10005,$C386),IF(COUNTIFS('月1回_1ヶ月前の在庫'!$V$6:$V$10005,'設定'!$C$4,'月1回_1ヶ月前の在庫'!$W$6:$W$10005,$C386)&gt;0,SUMIFS('月1回_1ヶ月前の在庫'!$O$6:$O$10005,'月1回_1ヶ月前の在庫'!$V$6:$V$10005,'設定'!$C$4,'月1回_1ヶ月前の在庫'!$W$6:$W$10005,$C386)/COUNTIFS('月1回_1ヶ月前の在庫'!$V$6:$V$10005,'設定'!$C$4,'月1回_1ヶ月前の在庫'!$W$6:$W$10005,$C386),IF(COUNTIFS('月1回_2ヶ月前の在庫'!$V$6:$V$10005,'設定'!$C$4,'月1回_2ヶ月前の在庫'!$W$6:$W$10005,$C386)&gt;0,SUMIFS('月1回_2ヶ月前の在庫'!$O$6:$O$10005,'月1回_2ヶ月前の在庫'!$V$6:$V$10005,'設定'!$C$4,'月1回_2ヶ月前の在庫'!$W$6:$W$10005,$C386)/COUNTIFS('月1回_2ヶ月前の在庫'!$V$6:$V$10005,'設定'!$C$4,'月1回_2ヶ月前の在庫'!$W$6:$W$10005,$C386),0)))),"")))</f>
        <v/>
      </c>
      <c r="P386" s="90">
        <f>IF($C386="","",IF('②発注する'!$I390="","",'②発注する'!$I390))</f>
        <v/>
      </c>
      <c r="Q386">
        <f>IF($C386="","",IF('②発注する'!$J390="","",'②発注する'!$J390))</f>
        <v/>
      </c>
      <c r="R386">
        <f>IF($C386="",0,IF(AND(ISNUMBER($P386),ISNUMBER($Q386)),MAX(0,$Q386)*$G386,0))</f>
        <v/>
      </c>
      <c r="S386" s="90">
        <f>IF($C386="","",IF('②発注する'!$M390="","",'②発注する'!$M390))</f>
        <v/>
      </c>
      <c r="T386">
        <f>IF($C386="","",IF('②発注する'!$N390="","",'②発注する'!$N390))</f>
        <v/>
      </c>
      <c r="U386">
        <f>IF($C386="",0,IF(AND(ISNUMBER($S386),ISNUMBER($T386)),MAX(0,$T386)*$G386,0))</f>
        <v/>
      </c>
      <c r="V386">
        <f>IF($C386="",0,IF($M386="",0,MAX(0,$M386)*MAX(0,V$4)/100))</f>
        <v/>
      </c>
      <c r="W386">
        <f>IF($C386="",0,IF($M386="",0,MAX(0,$M386)*MAX(0,W$4)/100))</f>
        <v/>
      </c>
      <c r="X386">
        <f>IF($C386="",0,IF($M386="",0,MAX(0,$M386)*MAX(0,X$4)/100))</f>
        <v/>
      </c>
      <c r="Y386">
        <f>IF($C386="",0,IF($M386="",0,MAX(0,$M386)*MAX(0,Y$4)/100))</f>
        <v/>
      </c>
      <c r="Z386">
        <f>IF($C386="",0,IF($M386="",0,MAX(0,$M386)*MAX(0,Z$4)/100))</f>
        <v/>
      </c>
      <c r="AA386">
        <f>IF($C386="",0,IF($M386="",0,MAX(0,$M386)*MAX(0,AA$4)/100))</f>
        <v/>
      </c>
      <c r="AB386">
        <f>IF($C386="",0,IF($M386="",0,MAX(0,$M386)*MAX(0,AB$4)/100))</f>
        <v/>
      </c>
      <c r="AC386">
        <f>IF($C386="",0,IF($M386="",0,MAX(0,$M386)*MAX(0,AC$4)/100))</f>
        <v/>
      </c>
      <c r="AD386">
        <f>IF($C386="",0,IF($M386="",0,MAX(0,$M386)*MAX(0,AD$4)/100))</f>
        <v/>
      </c>
      <c r="AE386">
        <f>IF($C386="",0,IF($M386="",0,MAX(0,$M386)*MAX(0,AE$4)/100))</f>
        <v/>
      </c>
      <c r="AF386">
        <f>IF($C386="",0,IF($M386="",0,MAX(0,$M386)*MAX(0,AF$4)/100))</f>
        <v/>
      </c>
      <c r="AG386">
        <f>IF($C386="",0,IF($M386="",0,MAX(0,$M386)*MAX(0,AG$4)/100))</f>
        <v/>
      </c>
      <c r="AH386">
        <f>IF($C386="",0,IF($M386="",0,MAX(0,$M386)*MAX(0,AH$4)/100))</f>
        <v/>
      </c>
      <c r="AI386">
        <f>IF($C386="",0,IF($M386="",0,MAX(0,$M386)*MAX(0,AI$4)/100))</f>
        <v/>
      </c>
      <c r="AJ386">
        <f>IF($C386="",0,MAX(0,MAX(0,N($L386))-$V386))</f>
        <v/>
      </c>
      <c r="AK386">
        <f>IF($C386="",0,MAX(0,$AJ386-$W386))</f>
        <v/>
      </c>
      <c r="AL386">
        <f>IF($C386="",0,MAX(0,$AK386-$X386))</f>
        <v/>
      </c>
      <c r="AM386">
        <f>IF($C386="",0,MAX(0,$AL386-$Y386))</f>
        <v/>
      </c>
      <c r="AN386">
        <f>IF($C386="",0,MAX(0,$AM386-$Z386))</f>
        <v/>
      </c>
      <c r="AO386">
        <f>IF($C386="",0,MAX(0,$AN386-$AA386))</f>
        <v/>
      </c>
      <c r="AP386">
        <f>IF($C386="",0,MAX(0,$AO386-$AB386))</f>
        <v/>
      </c>
      <c r="AQ386">
        <f>IF($C386="",0,MAX(0,$AP386-$AC386))</f>
        <v/>
      </c>
      <c r="AR386">
        <f>IF($C386="",0,MAX(0,$AQ386-$AD386))</f>
        <v/>
      </c>
      <c r="AS386">
        <f>IF($C386="",0,MAX(0,$AR386-$AE386))</f>
        <v/>
      </c>
      <c r="AT386">
        <f>IF($C386="",0,MAX(0,$AS386-$AF386))</f>
        <v/>
      </c>
      <c r="AU386">
        <f>IF($C386="",0,MAX(0,$AT386-$AG386))</f>
        <v/>
      </c>
      <c r="AV386">
        <f>IF($C386="",0,MAX(0,$AU386-$AH386))</f>
        <v/>
      </c>
      <c r="AW386">
        <f>IF($C386="",0,MAX(0,$AV386-$AI386))</f>
        <v/>
      </c>
      <c r="AX386">
        <f>IF($C386="",0,MAX(0,MAX(0,N($L386))+IF($P386=V$3,$R386,0)+IF($S386=V$3,$U386,0)-$V386))</f>
        <v/>
      </c>
      <c r="AY386">
        <f>IF($C386="",0,MAX(0,$AX386+IF($P386=W$3,$R386,0)+IF($S386=W$3,$U386,0)-$W386))</f>
        <v/>
      </c>
      <c r="AZ386">
        <f>IF($C386="",0,MAX(0,$AY386+IF($P386=X$3,$R386,0)+IF($S386=X$3,$U386,0)-$X386))</f>
        <v/>
      </c>
      <c r="BA386">
        <f>IF($C386="",0,MAX(0,$AZ386+IF($P386=Y$3,$R386,0)+IF($S386=Y$3,$U386,0)-$Y386))</f>
        <v/>
      </c>
      <c r="BB386">
        <f>IF($C386="",0,MAX(0,$BA386+IF($P386=Z$3,$R386,0)+IF($S386=Z$3,$U386,0)-$Z386))</f>
        <v/>
      </c>
      <c r="BC386">
        <f>IF($C386="",0,MAX(0,$BB386+IF($P386=AA$3,$R386,0)+IF($S386=AA$3,$U386,0)-$AA386))</f>
        <v/>
      </c>
      <c r="BD386">
        <f>IF($C386="",0,MAX(0,$BC386+IF($P386=AB$3,$R386,0)+IF($S386=AB$3,$U386,0)-$AB386))</f>
        <v/>
      </c>
      <c r="BE386">
        <f>IF($C386="",0,MAX(0,$BD386+IF($P386=AC$3,$R386,0)+IF($S386=AC$3,$U386,0)-$AC386))</f>
        <v/>
      </c>
      <c r="BF386">
        <f>IF($C386="",0,MAX(0,$BE386+IF($P386=AD$3,$R386,0)+IF($S386=AD$3,$U386,0)-$AD386))</f>
        <v/>
      </c>
      <c r="BG386">
        <f>IF($C386="",0,MAX(0,$BF386+IF($P386=AE$3,$R386,0)+IF($S386=AE$3,$U386,0)-$AE386))</f>
        <v/>
      </c>
      <c r="BH386">
        <f>IF($C386="",0,MAX(0,$BG386+IF($P386=AF$3,$R386,0)+IF($S386=AF$3,$U386,0)-$AF386))</f>
        <v/>
      </c>
      <c r="BI386">
        <f>IF($C386="",0,MAX(0,$BH386+IF($P386=AG$3,$R386,0)+IF($S386=AG$3,$U386,0)-$AG386))</f>
        <v/>
      </c>
      <c r="BJ386">
        <f>IF($C386="",0,MAX(0,$BI386+IF($P386=AH$3,$R386,0)+IF($S386=AH$3,$U386,0)-$AH386))</f>
        <v/>
      </c>
      <c r="BK386">
        <f>IF($C386="",0,MAX(0,$BJ386+IF($P386=AI$3,$R386,0)+IF($S386=AI$3,$U386,0)-$AI386))</f>
        <v/>
      </c>
      <c r="BL386">
        <f>IF($C386="",99,IF(AND($AX386&lt;1,V$3&gt;=MAX(N($P386),N($S386))),0,99))</f>
        <v/>
      </c>
      <c r="BM386">
        <f>IF($C386="",99,IF(AND($AY386&lt;1,W$3&gt;=MAX(N($P386),N($S386))),1,99))</f>
        <v/>
      </c>
      <c r="BN386">
        <f>IF($C386="",99,IF(AND($AZ386&lt;1,X$3&gt;=MAX(N($P386),N($S386))),2,99))</f>
        <v/>
      </c>
      <c r="BO386">
        <f>IF($C386="",99,IF(AND($BA386&lt;1,Y$3&gt;=MAX(N($P386),N($S386))),3,99))</f>
        <v/>
      </c>
      <c r="BP386">
        <f>IF($C386="",99,IF(AND($BB386&lt;1,Z$3&gt;=MAX(N($P386),N($S386))),4,99))</f>
        <v/>
      </c>
      <c r="BQ386">
        <f>IF($C386="",99,IF(AND($BC386&lt;1,AA$3&gt;=MAX(N($P386),N($S386))),5,99))</f>
        <v/>
      </c>
      <c r="BR386">
        <f>IF($C386="",99,IF(AND($BD386&lt;1,AB$3&gt;=MAX(N($P386),N($S386))),6,99))</f>
        <v/>
      </c>
      <c r="BS386">
        <f>IF($C386="",99,IF(AND($BE386&lt;1,AC$3&gt;=MAX(N($P386),N($S386))),7,99))</f>
        <v/>
      </c>
      <c r="BT386">
        <f>IF($C386="",99,IF(AND($BF386&lt;1,AD$3&gt;=MAX(N($P386),N($S386))),8,99))</f>
        <v/>
      </c>
      <c r="BU386">
        <f>IF($C386="",99,IF(AND($BG386&lt;1,AE$3&gt;=MAX(N($P386),N($S386))),9,99))</f>
        <v/>
      </c>
      <c r="BV386">
        <f>IF($C386="",99,IF(AND($BH386&lt;1,AF$3&gt;=MAX(N($P386),N($S386))),10,99))</f>
        <v/>
      </c>
      <c r="BW386">
        <f>IF($C386="",99,IF(AND($BI386&lt;1,AG$3&gt;=MAX(N($P386),N($S386))),11,99))</f>
        <v/>
      </c>
      <c r="BX386">
        <f>IF($C386="",99,IF(AND($BJ386&lt;1,AH$3&gt;=MAX(N($P386),N($S386))),12,99))</f>
        <v/>
      </c>
      <c r="BY386">
        <f>IF($C386="",99,IF(AND($BK386&lt;1,AI$3&gt;=MAX(N($P386),N($S386))),13,99))</f>
        <v/>
      </c>
      <c r="BZ386">
        <f>IF(OR($C386="",$M386=""),"",COUNTIF($AJ386:$AW386,"&gt;=1"))</f>
        <v/>
      </c>
      <c r="CA386" s="90">
        <f>IF($BZ386="","",IF($BZ386&gt;=14,"",'設定'!$C$6+$BZ386))</f>
        <v/>
      </c>
      <c r="CB386">
        <f>IF(OR($C386="",$M386=""),"",MIN($BL386:$BY386))</f>
        <v/>
      </c>
      <c r="CC386" s="90">
        <f>IF($CB386="","",IF($CB386&gt;=99,"",'設定'!$C$6+$CB386))</f>
        <v/>
      </c>
      <c r="CD386">
        <f>IF(OR($C386="",$M386=""),"",AVERAGE($V386:$AI386))</f>
        <v/>
      </c>
      <c r="CE386">
        <f>IF($C386="","",IFERROR(IF(MATCH(IF(ISNUMBER($P386),$P386,'設定'!$C$6+N('設定'!$C$7)),$V$3:$AI$3,0)=1,MAX(0,N($L386)),INDEX($AJ386:$AW386,MATCH(IF(ISNUMBER($P386),$P386,'設定'!$C$6+N('設定'!$C$7)),$V$3:$AI$3,0)-1)),""))</f>
        <v/>
      </c>
      <c r="CF386">
        <f>IF(OR($C386="",$O386="",$CE386=""),"",IF($O386-$CE386&lt;=0,0,ROUNDUP(($O386-$CE386)/$G386,0)))</f>
        <v/>
      </c>
      <c r="CG386">
        <f>IF(OR($C386="",$CF386="",NOT(ISNUMBER($Q386))),0,MAX(0,$Q386-$CF386))</f>
        <v/>
      </c>
      <c r="CH386">
        <f>IF(OR($C386="",$O386="",$U386=0),0,IFERROR(ROUNDUP(MAX(0,IF(MATCH($S386,$V$3:$AI$3,0)=1,MAX(0,N($L386)),INDEX($AX386:$BK386,MATCH($S386,$V$3:$AI$3,0)-1))+$U386-$O386)/$G386,0),0))</f>
        <v/>
      </c>
      <c r="CI386">
        <f>IF($C386="","",IF(AND($P386="",$Q386=""),"",IF($P386="","⚠ 入庫日を ▼ から選んでください",IF(NOT(ISNUMBER($P386)),"⚠ 入庫日は ▼ から選んでください",IF($P386&lt;N('設定'!$C$6),"⚠ 入庫日が過去です（もう在庫に入っています）→ 消してください",IF($P386&gt;N('設定'!$C$6)+13,"⚠ 入庫日が14日より先です",IF(N($Q386)&lt;=0,"⚠ 入庫数を入れてください",IF($CG386&gt;0,"⚠ 目安より "&amp;$CG386&amp;" 多い（定数を超える）→ 減らす",""))))))))</f>
        <v/>
      </c>
      <c r="CJ386">
        <f>IF($C386="","",IF(AND($S386="",$T386=""),"",IF($S386="","⚠ 2便目：入庫日を ▼ から選んでください",IF(NOT(ISNUMBER($S386)),"⚠ 2便目：入庫日は ▼ から選んでください",IF($S386&lt;N('設定'!$C$6),"⚠ 2便目：入庫日が過去です（もう在庫に入っています）→ 消してください",IF($S386&gt;N('設定'!$C$6)+13,"⚠ 2便目：入庫日が14日より先です",IF(N($T386)&lt;=0,"⚠ 2便目：入庫数を入れてください",IF($CH386&gt;0,"⚠ 2便目：定数を "&amp;$CH386&amp;" ケース超える → 減らす",""))))))))</f>
        <v/>
      </c>
      <c r="CK386">
        <f>IF(AND($CI386="",N($Q386)&gt;0,ISNUMBER($P386)),1,0)</f>
        <v/>
      </c>
      <c r="CL386">
        <f>IF(AND($CJ386="",N($T386)&gt;0,ISNUMBER($S386)),1,0)</f>
        <v/>
      </c>
      <c r="CM386">
        <f>IF(OR($CK386=1,$CL386=1),1,0)</f>
        <v/>
      </c>
      <c r="CN386">
        <f>IF($C386="",0,($CK386*$R386+$CL386*$U386)*N($H386))</f>
        <v/>
      </c>
      <c r="CO386">
        <f>IF($C386="","",IF($CC386="","入庫後は 14日以上もつ",IF($CC386-N('設定'!$C$7)&lt;='設定'!$C$6,"入庫後も "&amp;TEXT($CC386,"m/d")&amp;"("&amp;CHOOSE(WEEKDAY($CC386),"日","月","火","水","木","金","土")&amp;")"&amp;" に切れる　もう1便を至急発注","入庫後も "&amp;TEXT($CC386,"m/d")&amp;"("&amp;CHOOSE(WEEKDAY($CC386),"日","月","火","水","木","金","土")&amp;")"&amp;" に切れる　"&amp;TEXT($CC386-N('設定'!$C$7),"m/d")&amp;"("&amp;CHOOSE(WEEKDAY($CC386-N('設定'!$C$7)),"日","月","火","水","木","金","土")&amp;")"&amp;" までに次を発注")))</f>
        <v/>
      </c>
      <c r="CP386">
        <f>IF($C386="","",IF('設定'!$C$6="","？ ①在庫を貼る に今日のCSVが貼られていない",IF($CS386=1,"－ 今日のCSVに無い（終売？）",IF($L386&lt;0,"● 在庫がマイナス　数えて「数えた在庫」に入れる",IF($L386=0,"● 在庫なし　至急発注",IF($M386="","？ 減り数が未設定（商品マスタ）",IF($B$3=0,"？ 動員が未入力（動員を入れる）",IF($CA386="","○ 14日以上もつ",IF($BZ386&lt;N('設定'!$C$7),"● "&amp;TEXT($CA386,"m/d")&amp;"("&amp;CHOOSE(WEEKDAY($CA386),"日","月","火","水","木","金","土")&amp;")"&amp;" に切れる　至急発注",IF($BZ386=N('設定'!$C$7),"● "&amp;TEXT($CA386,"m/d")&amp;"("&amp;CHOOSE(WEEKDAY($CA386),"日","月","火","水","木","金","土")&amp;")"&amp;" に切れる　今日発注","△ "&amp;TEXT($CA386,"m/d")&amp;"("&amp;CHOOSE(WEEKDAY($CA386),"日","月","火","水","木","金","土")&amp;")"&amp;" に切れる　"&amp;TEXT($CA386-N('設定'!$C$7),"m/d")&amp;"("&amp;CHOOSE(WEEKDAY($CA386-N('設定'!$C$7)),"日","月","火","水","木","金","土")&amp;")"&amp;" までに発注"))))))))))</f>
        <v/>
      </c>
      <c r="CQ386">
        <f>IF($C386="","",IF(AND($P386="",$Q386="",$S386="",$T386=""),"",IF(AND($P386="",$Q386=""),"⚠ 先に1便目（左の入庫日・入庫数）に入れてください",IF($CI386&lt;&gt;"",$CI386,IF($CJ386&lt;&gt;"",$CJ386,IF($M386="","？ 減り数が未設定（発注書には載ります）",IF($B$3=0,"？ 動員が未入力（発注書には載ります）",IF(AND($CA386&lt;&gt;"",$P386&gt;$CA386),IF($P386&gt;'設定'!$C$6+N('設定'!$C$7),"● "&amp;TEXT($P386,"m/d")&amp;"("&amp;CHOOSE(WEEKDAY($P386),"日","月","火","水","木","金","土")&amp;")"&amp;" の入庫では間に合わない（"&amp;TEXT($CA386,"m/d")&amp;"("&amp;CHOOSE(WEEKDAY($CA386),"日","月","火","水","木","金","土")&amp;")"&amp;" に切れる）　入庫日を早める","△ 欠品 "&amp;TEXT($CA386,"m/d")&amp;"("&amp;CHOOSE(WEEKDAY($CA386),"日","月","火","水","木","金","土")&amp;")"&amp;"〜"&amp;TEXT($P386-1,"m/d")&amp;"("&amp;CHOOSE(WEEKDAY($P386-1),"日","月","火","水","木","金","土")&amp;")"&amp;"　"&amp;$CO386),IF($CC386="","○ "&amp;TEXT($P386,"m/d")&amp;"("&amp;CHOOSE(WEEKDAY($P386),"日","月","火","水","木","金","土")&amp;")"&amp;" 入庫で 14日以上もつ",IF($CC386-N('設定'!$C$7)&lt;='設定'!$C$6,"● 入庫しても "&amp;TEXT($CC386,"m/d")&amp;"("&amp;CHOOSE(WEEKDAY($CC386),"日","月","火","水","木","金","土")&amp;")"&amp;" に切れる　もう1便を至急発注（2便目に入れる）","△ 入庫しても "&amp;TEXT($CC386,"m/d")&amp;"("&amp;CHOOSE(WEEKDAY($CC386),"日","月","火","水","木","金","土")&amp;")"&amp;" に切れる　"&amp;TEXT($CC386-N('設定'!$C$7),"m/d")&amp;"("&amp;CHOOSE(WEEKDAY($CC386-N('設定'!$C$7)),"日","月","火","水","木","金","土")&amp;")"&amp;" までに次を発注（2便目に入れる）"))))))))))</f>
        <v/>
      </c>
      <c r="CR386">
        <f>IF($C386="","",IF($G386&gt;1,"ｹｰｽ("&amp;$G386&amp;"入)","個"))</f>
        <v/>
      </c>
      <c r="CS386">
        <f>IF($C386="",0,IF(COUNTIFS('①在庫を貼る'!$V$6:$V$10005,'設定'!$C$4,'①在庫を貼る'!$W$6:$W$10005,$C386)=0,1,0))</f>
        <v/>
      </c>
      <c r="CT386">
        <f>IF(AND($CK386=1,OR('③発注書'!$C$4="すべて",'③発注書'!$C$4="",$F386='③発注書'!$C$4)),N($CT385)+1,N($CT385))</f>
        <v/>
      </c>
      <c r="CU386">
        <f>IF(AND($CL386=1,OR('③発注書'!$C$4="すべて",'③発注書'!$C$4="",$F386='③発注書'!$C$4)),N($CU385)+1,N($CU385))</f>
        <v/>
      </c>
      <c r="CV386">
        <f>IF($C386="",0,IF(COUNTIFS('①在庫を貼る'!$V$6:$V$10005,'設定'!$C$4,'①在庫を貼る'!$W$6:$W$10005,$C386)&gt;0,1,0))</f>
        <v/>
      </c>
      <c r="CW386">
        <f>IF($C386="",0,IF(COUNTIFS('月1回_1ヶ月前の在庫'!$V$6:$V$10005,'設定'!$C$4,'月1回_1ヶ月前の在庫'!$W$6:$W$10005,$C386)&gt;0,1,0))</f>
        <v/>
      </c>
      <c r="CX386">
        <f>IF($C386="",0,IF(COUNTIFS('月1回_2ヶ月前の在庫'!$V$6:$V$10005,'設定'!$C$4,'月1回_2ヶ月前の在庫'!$W$6:$W$10005,$C386)&gt;0,1,0))</f>
        <v/>
      </c>
      <c r="CY386">
        <f>IF(OR($C386="",'設定'!$C$12=""),"",IF('設定'!$C$13="",IF(AND($CV386=1,$CW386=0),"新商品（今月から）",IF(AND($CV386=0,$CW386=1),"終売（今月から）","")),IF(AND($CV386=1,$CW386=0,$CX386=0),"新商品（今月から）",IF(AND($CV386=1,$CW386=1,$CX386=0),"新商品（先月から）",IF(AND($CV386=0,$CW386=1,$CX386=1),"終売（今月から）",IF(AND($CV386=0,$CW386=0,$CX386=1),"終売（先月から）",IF(AND($CV386=1,$CW386=0,$CX386=1),"復活（先月は無し）","")))))))</f>
        <v/>
      </c>
    </row>
    <row r="387">
      <c r="B387">
        <f>IF(382&lt;='設定'!$C$11,382,"")</f>
        <v/>
      </c>
      <c r="C387">
        <f>IF($B387="","",IF($B387&lt;='設定'!$C$20,INDEX('商品マスタ'!$B$6:$B$1005,MATCH($B387,'商品マスタ'!$M$6:$M$1005,0)),IF($B387&lt;='設定'!$C$20+'設定'!$C$17,INDEX('①在庫を貼る'!$W$6:$W$10005,MATCH($B387-'設定'!$C$20,'①在庫を貼る'!$U$6:$U$10005,0)),IF($B387&lt;='設定'!$C$20+'設定'!$C$17+'設定'!$C$18,INDEX('月1回_1ヶ月前の在庫'!$W$6:$W$10005,MATCH($B387-'設定'!$C$20-'設定'!$C$17,'月1回_1ヶ月前の在庫'!$U$6:$U$10005,0)),INDEX('月1回_2ヶ月前の在庫'!$W$6:$W$10005,MATCH($B387-'設定'!$C$20-'設定'!$C$17-'設定'!$C$18,'月1回_2ヶ月前の在庫'!$U$6:$U$10005,0))))))</f>
        <v/>
      </c>
      <c r="D387">
        <f>IF($C387="","",IFERROR(IF(INDEX('商品マスタ'!$C$6:$C$1005,MATCH($C387,'商品マスタ'!$B$6:$B$1005,0))="",IFERROR(INDEX('①在庫を貼る'!$J$6:$J$10005,MATCH($C387,'①在庫を貼る'!$W$6:$W$10005,0)),IFERROR(INDEX('月1回_1ヶ月前の在庫'!$J$6:$J$10005,MATCH($C387,'月1回_1ヶ月前の在庫'!$W$6:$W$10005,0)),IFERROR(INDEX('月1回_2ヶ月前の在庫'!$J$6:$J$10005,MATCH($C387,'月1回_2ヶ月前の在庫'!$W$6:$W$10005,0)),""))),INDEX('商品マスタ'!$C$6:$C$1005,MATCH($C387,'商品マスタ'!$B$6:$B$1005,0))),IFERROR(INDEX('①在庫を貼る'!$J$6:$J$10005,MATCH($C387,'①在庫を貼る'!$W$6:$W$10005,0)),IFERROR(INDEX('月1回_1ヶ月前の在庫'!$J$6:$J$10005,MATCH($C387,'月1回_1ヶ月前の在庫'!$W$6:$W$10005,0)),IFERROR(INDEX('月1回_2ヶ月前の在庫'!$J$6:$J$10005,MATCH($C387,'月1回_2ヶ月前の在庫'!$W$6:$W$10005,0)),"")))))</f>
        <v/>
      </c>
      <c r="E387">
        <f>IF($C387="","",IFERROR(IF(INDEX('商品マスタ'!$D$6:$D$1005,MATCH($C387,'商品マスタ'!$B$6:$B$1005,0))="",IFERROR(INDEX('①在庫を貼る'!$H$6:$H$10005,MATCH($C387,'①在庫を貼る'!$W$6:$W$10005,0)),IFERROR(INDEX('月1回_1ヶ月前の在庫'!$H$6:$H$10005,MATCH($C387,'月1回_1ヶ月前の在庫'!$W$6:$W$10005,0)),IFERROR(INDEX('月1回_2ヶ月前の在庫'!$H$6:$H$10005,MATCH($C387,'月1回_2ヶ月前の在庫'!$W$6:$W$10005,0)),""))),INDEX('商品マスタ'!$D$6:$D$1005,MATCH($C387,'商品マスタ'!$B$6:$B$1005,0))),IFERROR(INDEX('①在庫を貼る'!$H$6:$H$10005,MATCH($C387,'①在庫を貼る'!$W$6:$W$10005,0)),IFERROR(INDEX('月1回_1ヶ月前の在庫'!$H$6:$H$10005,MATCH($C387,'月1回_1ヶ月前の在庫'!$W$6:$W$10005,0)),IFERROR(INDEX('月1回_2ヶ月前の在庫'!$H$6:$H$10005,MATCH($C387,'月1回_2ヶ月前の在庫'!$W$6:$W$10005,0)),"")))))</f>
        <v/>
      </c>
      <c r="F387">
        <f>IF($C387="","",IFERROR(IF(INDEX('商品マスタ'!$E$6:$E$1005,MATCH($C387,'商品マスタ'!$B$6:$B$1005,0))="",IFERROR(INDEX('①在庫を貼る'!$E$6:$E$10005,MATCH($C387,'①在庫を貼る'!$W$6:$W$10005,0)),IFERROR(INDEX('月1回_1ヶ月前の在庫'!$E$6:$E$10005,MATCH($C387,'月1回_1ヶ月前の在庫'!$W$6:$W$10005,0)),IFERROR(INDEX('月1回_2ヶ月前の在庫'!$E$6:$E$10005,MATCH($C387,'月1回_2ヶ月前の在庫'!$W$6:$W$10005,0)),""))),INDEX('商品マスタ'!$E$6:$E$1005,MATCH($C387,'商品マスタ'!$B$6:$B$1005,0))),IFERROR(INDEX('①在庫を貼る'!$E$6:$E$10005,MATCH($C387,'①在庫を貼る'!$W$6:$W$10005,0)),IFERROR(INDEX('月1回_1ヶ月前の在庫'!$E$6:$E$10005,MATCH($C387,'月1回_1ヶ月前の在庫'!$W$6:$W$10005,0)),IFERROR(INDEX('月1回_2ヶ月前の在庫'!$E$6:$E$10005,MATCH($C387,'月1回_2ヶ月前の在庫'!$W$6:$W$10005,0)),"")))))</f>
        <v/>
      </c>
      <c r="G387">
        <f>IF($C387="","",MAX(1,N(IFERROR(IF(INDEX('商品マスタ'!$F$6:$F$1005,MATCH($C387,'商品マスタ'!$B$6:$B$1005,0))="",IF(COUNTIFS('①在庫を貼る'!$V$6:$V$10005,'設定'!$C$4,'①在庫を貼る'!$W$6:$W$10005,$C387)&gt;0,SUMIFS('①在庫を貼る'!$K$6:$K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K$6:$K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K$6:$K$10005,'月1回_2ヶ月前の在庫'!$V$6:$V$10005,'設定'!$C$4,'月1回_2ヶ月前の在庫'!$W$6:$W$10005,$C387)/COUNTIFS('月1回_2ヶ月前の在庫'!$V$6:$V$10005,'設定'!$C$4,'月1回_2ヶ月前の在庫'!$W$6:$W$10005,$C387),0))),INDEX('商品マスタ'!$F$6:$F$1005,MATCH($C387,'商品マスタ'!$B$6:$B$1005,0))),IF(COUNTIFS('①在庫を貼る'!$V$6:$V$10005,'設定'!$C$4,'①在庫を貼る'!$W$6:$W$10005,$C387)&gt;0,SUMIFS('①在庫を貼る'!$K$6:$K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K$6:$K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K$6:$K$10005,'月1回_2ヶ月前の在庫'!$V$6:$V$10005,'設定'!$C$4,'月1回_2ヶ月前の在庫'!$W$6:$W$10005,$C387)/COUNTIFS('月1回_2ヶ月前の在庫'!$V$6:$V$10005,'設定'!$C$4,'月1回_2ヶ月前の在庫'!$W$6:$W$10005,$C387),0)))))))</f>
        <v/>
      </c>
      <c r="H387">
        <f>IF($C387="","",N(IFERROR(IF(INDEX('商品マスタ'!$G$6:$G$1005,MATCH($C387,'商品マスタ'!$B$6:$B$1005,0))="",IF(COUNTIFS('①在庫を貼る'!$V$6:$V$10005,'設定'!$C$4,'①在庫を貼る'!$W$6:$W$10005,$C387)&gt;0,SUMIFS('①在庫を貼る'!$Q$6:$Q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Q$6:$Q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Q$6:$Q$10005,'月1回_2ヶ月前の在庫'!$V$6:$V$10005,'設定'!$C$4,'月1回_2ヶ月前の在庫'!$W$6:$W$10005,$C387)/COUNTIFS('月1回_2ヶ月前の在庫'!$V$6:$V$10005,'設定'!$C$4,'月1回_2ヶ月前の在庫'!$W$6:$W$10005,$C387),0))),INDEX('商品マスタ'!$G$6:$G$1005,MATCH($C387,'商品マスタ'!$B$6:$B$1005,0))),IF(COUNTIFS('①在庫を貼る'!$V$6:$V$10005,'設定'!$C$4,'①在庫を貼る'!$W$6:$W$10005,$C387)&gt;0,SUMIFS('①在庫を貼る'!$Q$6:$Q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Q$6:$Q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Q$6:$Q$10005,'月1回_2ヶ月前の在庫'!$V$6:$V$10005,'設定'!$C$4,'月1回_2ヶ月前の在庫'!$W$6:$W$10005,$C387)/COUNTIFS('月1回_2ヶ月前の在庫'!$V$6:$V$10005,'設定'!$C$4,'月1回_2ヶ月前の在庫'!$W$6:$W$10005,$C387),0))))))</f>
        <v/>
      </c>
      <c r="I387">
        <f>IF($C387="","",IF(COUNTIFS('①在庫を貼る'!$V$6:$V$10005,'設定'!$C$4,'①在庫を貼る'!$W$6:$W$10005,$C387)=0,"",SUMIFS('①在庫を貼る'!$N$6:$N$10005,'①在庫を貼る'!$V$6:$V$10005,'設定'!$C$4,'①在庫を貼る'!$W$6:$W$10005,$C387)))</f>
        <v/>
      </c>
      <c r="J387">
        <f>IF($C387="","",IF('②発注する'!$AD391="","",'②発注する'!$AD391))</f>
        <v/>
      </c>
      <c r="K387" s="90">
        <f>IF($C387="","",IF('②発注する'!$AE391="","",'②発注する'!$AE391))</f>
        <v/>
      </c>
      <c r="L387">
        <f>IF($C387="","",IF(AND(ISNUMBER($J387),ISNUMBER($K387),$K387&gt;='設定'!$C$6),$J387,N($I387)))</f>
        <v/>
      </c>
      <c r="M387">
        <f>IF($C387="","",IFERROR(IF(N(INDEX('商品マスタ'!$J$6:$J$1005,MATCH($C387,'商品マスタ'!$B$6:$B$1005,0)))&gt;0,INDEX('商品マスタ'!$J$6:$J$1005,MATCH($C387,'商品マスタ'!$B$6:$B$1005,0)),""),""))</f>
        <v/>
      </c>
      <c r="N387">
        <f>IF($C387="","",IFERROR(IF(N(INDEX('商品マスタ'!$H$6:$H$1005,MATCH($C387,'商品マスタ'!$B$6:$B$1005,0)))&gt;0,INDEX('商品マスタ'!$H$6:$H$1005,MATCH($C387,'商品マスタ'!$B$6:$B$1005,0)),""),""))</f>
        <v/>
      </c>
      <c r="O387">
        <f>IF($C387="","",IF($N387&lt;&gt;"",$N387*$G387,IF(N(IF(COUNTIFS('①在庫を貼る'!$V$6:$V$10005,'設定'!$C$4,'①在庫を貼る'!$W$6:$W$10005,$C387)&gt;0,SUMIFS('①在庫を貼る'!$O$6:$O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O$6:$O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O$6:$O$10005,'月1回_2ヶ月前の在庫'!$V$6:$V$10005,'設定'!$C$4,'月1回_2ヶ月前の在庫'!$W$6:$W$10005,$C387)/COUNTIFS('月1回_2ヶ月前の在庫'!$V$6:$V$10005,'設定'!$C$4,'月1回_2ヶ月前の在庫'!$W$6:$W$10005,$C387),0))))&gt;0,N(IF(COUNTIFS('①在庫を貼る'!$V$6:$V$10005,'設定'!$C$4,'①在庫を貼る'!$W$6:$W$10005,$C387)&gt;0,SUMIFS('①在庫を貼る'!$O$6:$O$10005,'①在庫を貼る'!$V$6:$V$10005,'設定'!$C$4,'①在庫を貼る'!$W$6:$W$10005,$C387)/COUNTIFS('①在庫を貼る'!$V$6:$V$10005,'設定'!$C$4,'①在庫を貼る'!$W$6:$W$10005,$C387),IF(COUNTIFS('月1回_1ヶ月前の在庫'!$V$6:$V$10005,'設定'!$C$4,'月1回_1ヶ月前の在庫'!$W$6:$W$10005,$C387)&gt;0,SUMIFS('月1回_1ヶ月前の在庫'!$O$6:$O$10005,'月1回_1ヶ月前の在庫'!$V$6:$V$10005,'設定'!$C$4,'月1回_1ヶ月前の在庫'!$W$6:$W$10005,$C387)/COUNTIFS('月1回_1ヶ月前の在庫'!$V$6:$V$10005,'設定'!$C$4,'月1回_1ヶ月前の在庫'!$W$6:$W$10005,$C387),IF(COUNTIFS('月1回_2ヶ月前の在庫'!$V$6:$V$10005,'設定'!$C$4,'月1回_2ヶ月前の在庫'!$W$6:$W$10005,$C387)&gt;0,SUMIFS('月1回_2ヶ月前の在庫'!$O$6:$O$10005,'月1回_2ヶ月前の在庫'!$V$6:$V$10005,'設定'!$C$4,'月1回_2ヶ月前の在庫'!$W$6:$W$10005,$C387)/COUNTIFS('月1回_2ヶ月前の在庫'!$V$6:$V$10005,'設定'!$C$4,'月1回_2ヶ月前の在庫'!$W$6:$W$10005,$C387),0)))),"")))</f>
        <v/>
      </c>
      <c r="P387" s="90">
        <f>IF($C387="","",IF('②発注する'!$I391="","",'②発注する'!$I391))</f>
        <v/>
      </c>
      <c r="Q387">
        <f>IF($C387="","",IF('②発注する'!$J391="","",'②発注する'!$J391))</f>
        <v/>
      </c>
      <c r="R387">
        <f>IF($C387="",0,IF(AND(ISNUMBER($P387),ISNUMBER($Q387)),MAX(0,$Q387)*$G387,0))</f>
        <v/>
      </c>
      <c r="S387" s="90">
        <f>IF($C387="","",IF('②発注する'!$M391="","",'②発注する'!$M391))</f>
        <v/>
      </c>
      <c r="T387">
        <f>IF($C387="","",IF('②発注する'!$N391="","",'②発注する'!$N391))</f>
        <v/>
      </c>
      <c r="U387">
        <f>IF($C387="",0,IF(AND(ISNUMBER($S387),ISNUMBER($T387)),MAX(0,$T387)*$G387,0))</f>
        <v/>
      </c>
      <c r="V387">
        <f>IF($C387="",0,IF($M387="",0,MAX(0,$M387)*MAX(0,V$4)/100))</f>
        <v/>
      </c>
      <c r="W387">
        <f>IF($C387="",0,IF($M387="",0,MAX(0,$M387)*MAX(0,W$4)/100))</f>
        <v/>
      </c>
      <c r="X387">
        <f>IF($C387="",0,IF($M387="",0,MAX(0,$M387)*MAX(0,X$4)/100))</f>
        <v/>
      </c>
      <c r="Y387">
        <f>IF($C387="",0,IF($M387="",0,MAX(0,$M387)*MAX(0,Y$4)/100))</f>
        <v/>
      </c>
      <c r="Z387">
        <f>IF($C387="",0,IF($M387="",0,MAX(0,$M387)*MAX(0,Z$4)/100))</f>
        <v/>
      </c>
      <c r="AA387">
        <f>IF($C387="",0,IF($M387="",0,MAX(0,$M387)*MAX(0,AA$4)/100))</f>
        <v/>
      </c>
      <c r="AB387">
        <f>IF($C387="",0,IF($M387="",0,MAX(0,$M387)*MAX(0,AB$4)/100))</f>
        <v/>
      </c>
      <c r="AC387">
        <f>IF($C387="",0,IF($M387="",0,MAX(0,$M387)*MAX(0,AC$4)/100))</f>
        <v/>
      </c>
      <c r="AD387">
        <f>IF($C387="",0,IF($M387="",0,MAX(0,$M387)*MAX(0,AD$4)/100))</f>
        <v/>
      </c>
      <c r="AE387">
        <f>IF($C387="",0,IF($M387="",0,MAX(0,$M387)*MAX(0,AE$4)/100))</f>
        <v/>
      </c>
      <c r="AF387">
        <f>IF($C387="",0,IF($M387="",0,MAX(0,$M387)*MAX(0,AF$4)/100))</f>
        <v/>
      </c>
      <c r="AG387">
        <f>IF($C387="",0,IF($M387="",0,MAX(0,$M387)*MAX(0,AG$4)/100))</f>
        <v/>
      </c>
      <c r="AH387">
        <f>IF($C387="",0,IF($M387="",0,MAX(0,$M387)*MAX(0,AH$4)/100))</f>
        <v/>
      </c>
      <c r="AI387">
        <f>IF($C387="",0,IF($M387="",0,MAX(0,$M387)*MAX(0,AI$4)/100))</f>
        <v/>
      </c>
      <c r="AJ387">
        <f>IF($C387="",0,MAX(0,MAX(0,N($L387))-$V387))</f>
        <v/>
      </c>
      <c r="AK387">
        <f>IF($C387="",0,MAX(0,$AJ387-$W387))</f>
        <v/>
      </c>
      <c r="AL387">
        <f>IF($C387="",0,MAX(0,$AK387-$X387))</f>
        <v/>
      </c>
      <c r="AM387">
        <f>IF($C387="",0,MAX(0,$AL387-$Y387))</f>
        <v/>
      </c>
      <c r="AN387">
        <f>IF($C387="",0,MAX(0,$AM387-$Z387))</f>
        <v/>
      </c>
      <c r="AO387">
        <f>IF($C387="",0,MAX(0,$AN387-$AA387))</f>
        <v/>
      </c>
      <c r="AP387">
        <f>IF($C387="",0,MAX(0,$AO387-$AB387))</f>
        <v/>
      </c>
      <c r="AQ387">
        <f>IF($C387="",0,MAX(0,$AP387-$AC387))</f>
        <v/>
      </c>
      <c r="AR387">
        <f>IF($C387="",0,MAX(0,$AQ387-$AD387))</f>
        <v/>
      </c>
      <c r="AS387">
        <f>IF($C387="",0,MAX(0,$AR387-$AE387))</f>
        <v/>
      </c>
      <c r="AT387">
        <f>IF($C387="",0,MAX(0,$AS387-$AF387))</f>
        <v/>
      </c>
      <c r="AU387">
        <f>IF($C387="",0,MAX(0,$AT387-$AG387))</f>
        <v/>
      </c>
      <c r="AV387">
        <f>IF($C387="",0,MAX(0,$AU387-$AH387))</f>
        <v/>
      </c>
      <c r="AW387">
        <f>IF($C387="",0,MAX(0,$AV387-$AI387))</f>
        <v/>
      </c>
      <c r="AX387">
        <f>IF($C387="",0,MAX(0,MAX(0,N($L387))+IF($P387=V$3,$R387,0)+IF($S387=V$3,$U387,0)-$V387))</f>
        <v/>
      </c>
      <c r="AY387">
        <f>IF($C387="",0,MAX(0,$AX387+IF($P387=W$3,$R387,0)+IF($S387=W$3,$U387,0)-$W387))</f>
        <v/>
      </c>
      <c r="AZ387">
        <f>IF($C387="",0,MAX(0,$AY387+IF($P387=X$3,$R387,0)+IF($S387=X$3,$U387,0)-$X387))</f>
        <v/>
      </c>
      <c r="BA387">
        <f>IF($C387="",0,MAX(0,$AZ387+IF($P387=Y$3,$R387,0)+IF($S387=Y$3,$U387,0)-$Y387))</f>
        <v/>
      </c>
      <c r="BB387">
        <f>IF($C387="",0,MAX(0,$BA387+IF($P387=Z$3,$R387,0)+IF($S387=Z$3,$U387,0)-$Z387))</f>
        <v/>
      </c>
      <c r="BC387">
        <f>IF($C387="",0,MAX(0,$BB387+IF($P387=AA$3,$R387,0)+IF($S387=AA$3,$U387,0)-$AA387))</f>
        <v/>
      </c>
      <c r="BD387">
        <f>IF($C387="",0,MAX(0,$BC387+IF($P387=AB$3,$R387,0)+IF($S387=AB$3,$U387,0)-$AB387))</f>
        <v/>
      </c>
      <c r="BE387">
        <f>IF($C387="",0,MAX(0,$BD387+IF($P387=AC$3,$R387,0)+IF($S387=AC$3,$U387,0)-$AC387))</f>
        <v/>
      </c>
      <c r="BF387">
        <f>IF($C387="",0,MAX(0,$BE387+IF($P387=AD$3,$R387,0)+IF($S387=AD$3,$U387,0)-$AD387))</f>
        <v/>
      </c>
      <c r="BG387">
        <f>IF($C387="",0,MAX(0,$BF387+IF($P387=AE$3,$R387,0)+IF($S387=AE$3,$U387,0)-$AE387))</f>
        <v/>
      </c>
      <c r="BH387">
        <f>IF($C387="",0,MAX(0,$BG387+IF($P387=AF$3,$R387,0)+IF($S387=AF$3,$U387,0)-$AF387))</f>
        <v/>
      </c>
      <c r="BI387">
        <f>IF($C387="",0,MAX(0,$BH387+IF($P387=AG$3,$R387,0)+IF($S387=AG$3,$U387,0)-$AG387))</f>
        <v/>
      </c>
      <c r="BJ387">
        <f>IF($C387="",0,MAX(0,$BI387+IF($P387=AH$3,$R387,0)+IF($S387=AH$3,$U387,0)-$AH387))</f>
        <v/>
      </c>
      <c r="BK387">
        <f>IF($C387="",0,MAX(0,$BJ387+IF($P387=AI$3,$R387,0)+IF($S387=AI$3,$U387,0)-$AI387))</f>
        <v/>
      </c>
      <c r="BL387">
        <f>IF($C387="",99,IF(AND($AX387&lt;1,V$3&gt;=MAX(N($P387),N($S387))),0,99))</f>
        <v/>
      </c>
      <c r="BM387">
        <f>IF($C387="",99,IF(AND($AY387&lt;1,W$3&gt;=MAX(N($P387),N($S387))),1,99))</f>
        <v/>
      </c>
      <c r="BN387">
        <f>IF($C387="",99,IF(AND($AZ387&lt;1,X$3&gt;=MAX(N($P387),N($S387))),2,99))</f>
        <v/>
      </c>
      <c r="BO387">
        <f>IF($C387="",99,IF(AND($BA387&lt;1,Y$3&gt;=MAX(N($P387),N($S387))),3,99))</f>
        <v/>
      </c>
      <c r="BP387">
        <f>IF($C387="",99,IF(AND($BB387&lt;1,Z$3&gt;=MAX(N($P387),N($S387))),4,99))</f>
        <v/>
      </c>
      <c r="BQ387">
        <f>IF($C387="",99,IF(AND($BC387&lt;1,AA$3&gt;=MAX(N($P387),N($S387))),5,99))</f>
        <v/>
      </c>
      <c r="BR387">
        <f>IF($C387="",99,IF(AND($BD387&lt;1,AB$3&gt;=MAX(N($P387),N($S387))),6,99))</f>
        <v/>
      </c>
      <c r="BS387">
        <f>IF($C387="",99,IF(AND($BE387&lt;1,AC$3&gt;=MAX(N($P387),N($S387))),7,99))</f>
        <v/>
      </c>
      <c r="BT387">
        <f>IF($C387="",99,IF(AND($BF387&lt;1,AD$3&gt;=MAX(N($P387),N($S387))),8,99))</f>
        <v/>
      </c>
      <c r="BU387">
        <f>IF($C387="",99,IF(AND($BG387&lt;1,AE$3&gt;=MAX(N($P387),N($S387))),9,99))</f>
        <v/>
      </c>
      <c r="BV387">
        <f>IF($C387="",99,IF(AND($BH387&lt;1,AF$3&gt;=MAX(N($P387),N($S387))),10,99))</f>
        <v/>
      </c>
      <c r="BW387">
        <f>IF($C387="",99,IF(AND($BI387&lt;1,AG$3&gt;=MAX(N($P387),N($S387))),11,99))</f>
        <v/>
      </c>
      <c r="BX387">
        <f>IF($C387="",99,IF(AND($BJ387&lt;1,AH$3&gt;=MAX(N($P387),N($S387))),12,99))</f>
        <v/>
      </c>
      <c r="BY387">
        <f>IF($C387="",99,IF(AND($BK387&lt;1,AI$3&gt;=MAX(N($P387),N($S387))),13,99))</f>
        <v/>
      </c>
      <c r="BZ387">
        <f>IF(OR($C387="",$M387=""),"",COUNTIF($AJ387:$AW387,"&gt;=1"))</f>
        <v/>
      </c>
      <c r="CA387" s="90">
        <f>IF($BZ387="","",IF($BZ387&gt;=14,"",'設定'!$C$6+$BZ387))</f>
        <v/>
      </c>
      <c r="CB387">
        <f>IF(OR($C387="",$M387=""),"",MIN($BL387:$BY387))</f>
        <v/>
      </c>
      <c r="CC387" s="90">
        <f>IF($CB387="","",IF($CB387&gt;=99,"",'設定'!$C$6+$CB387))</f>
        <v/>
      </c>
      <c r="CD387">
        <f>IF(OR($C387="",$M387=""),"",AVERAGE($V387:$AI387))</f>
        <v/>
      </c>
      <c r="CE387">
        <f>IF($C387="","",IFERROR(IF(MATCH(IF(ISNUMBER($P387),$P387,'設定'!$C$6+N('設定'!$C$7)),$V$3:$AI$3,0)=1,MAX(0,N($L387)),INDEX($AJ387:$AW387,MATCH(IF(ISNUMBER($P387),$P387,'設定'!$C$6+N('設定'!$C$7)),$V$3:$AI$3,0)-1)),""))</f>
        <v/>
      </c>
      <c r="CF387">
        <f>IF(OR($C387="",$O387="",$CE387=""),"",IF($O387-$CE387&lt;=0,0,ROUNDUP(($O387-$CE387)/$G387,0)))</f>
        <v/>
      </c>
      <c r="CG387">
        <f>IF(OR($C387="",$CF387="",NOT(ISNUMBER($Q387))),0,MAX(0,$Q387-$CF387))</f>
        <v/>
      </c>
      <c r="CH387">
        <f>IF(OR($C387="",$O387="",$U387=0),0,IFERROR(ROUNDUP(MAX(0,IF(MATCH($S387,$V$3:$AI$3,0)=1,MAX(0,N($L387)),INDEX($AX387:$BK387,MATCH($S387,$V$3:$AI$3,0)-1))+$U387-$O387)/$G387,0),0))</f>
        <v/>
      </c>
      <c r="CI387">
        <f>IF($C387="","",IF(AND($P387="",$Q387=""),"",IF($P387="","⚠ 入庫日を ▼ から選んでください",IF(NOT(ISNUMBER($P387)),"⚠ 入庫日は ▼ から選んでください",IF($P387&lt;N('設定'!$C$6),"⚠ 入庫日が過去です（もう在庫に入っています）→ 消してください",IF($P387&gt;N('設定'!$C$6)+13,"⚠ 入庫日が14日より先です",IF(N($Q387)&lt;=0,"⚠ 入庫数を入れてください",IF($CG387&gt;0,"⚠ 目安より "&amp;$CG387&amp;" 多い（定数を超える）→ 減らす",""))))))))</f>
        <v/>
      </c>
      <c r="CJ387">
        <f>IF($C387="","",IF(AND($S387="",$T387=""),"",IF($S387="","⚠ 2便目：入庫日を ▼ から選んでください",IF(NOT(ISNUMBER($S387)),"⚠ 2便目：入庫日は ▼ から選んでください",IF($S387&lt;N('設定'!$C$6),"⚠ 2便目：入庫日が過去です（もう在庫に入っています）→ 消してください",IF($S387&gt;N('設定'!$C$6)+13,"⚠ 2便目：入庫日が14日より先です",IF(N($T387)&lt;=0,"⚠ 2便目：入庫数を入れてください",IF($CH387&gt;0,"⚠ 2便目：定数を "&amp;$CH387&amp;" ケース超える → 減らす",""))))))))</f>
        <v/>
      </c>
      <c r="CK387">
        <f>IF(AND($CI387="",N($Q387)&gt;0,ISNUMBER($P387)),1,0)</f>
        <v/>
      </c>
      <c r="CL387">
        <f>IF(AND($CJ387="",N($T387)&gt;0,ISNUMBER($S387)),1,0)</f>
        <v/>
      </c>
      <c r="CM387">
        <f>IF(OR($CK387=1,$CL387=1),1,0)</f>
        <v/>
      </c>
      <c r="CN387">
        <f>IF($C387="",0,($CK387*$R387+$CL387*$U387)*N($H387))</f>
        <v/>
      </c>
      <c r="CO387">
        <f>IF($C387="","",IF($CC387="","入庫後は 14日以上もつ",IF($CC387-N('設定'!$C$7)&lt;='設定'!$C$6,"入庫後も "&amp;TEXT($CC387,"m/d")&amp;"("&amp;CHOOSE(WEEKDAY($CC387),"日","月","火","水","木","金","土")&amp;")"&amp;" に切れる　もう1便を至急発注","入庫後も "&amp;TEXT($CC387,"m/d")&amp;"("&amp;CHOOSE(WEEKDAY($CC387),"日","月","火","水","木","金","土")&amp;")"&amp;" に切れる　"&amp;TEXT($CC387-N('設定'!$C$7),"m/d")&amp;"("&amp;CHOOSE(WEEKDAY($CC387-N('設定'!$C$7)),"日","月","火","水","木","金","土")&amp;")"&amp;" までに次を発注")))</f>
        <v/>
      </c>
      <c r="CP387">
        <f>IF($C387="","",IF('設定'!$C$6="","？ ①在庫を貼る に今日のCSVが貼られていない",IF($CS387=1,"－ 今日のCSVに無い（終売？）",IF($L387&lt;0,"● 在庫がマイナス　数えて「数えた在庫」に入れる",IF($L387=0,"● 在庫なし　至急発注",IF($M387="","？ 減り数が未設定（商品マスタ）",IF($B$3=0,"？ 動員が未入力（動員を入れる）",IF($CA387="","○ 14日以上もつ",IF($BZ387&lt;N('設定'!$C$7),"● "&amp;TEXT($CA387,"m/d")&amp;"("&amp;CHOOSE(WEEKDAY($CA387),"日","月","火","水","木","金","土")&amp;")"&amp;" に切れる　至急発注",IF($BZ387=N('設定'!$C$7),"● "&amp;TEXT($CA387,"m/d")&amp;"("&amp;CHOOSE(WEEKDAY($CA387),"日","月","火","水","木","金","土")&amp;")"&amp;" に切れる　今日発注","△ "&amp;TEXT($CA387,"m/d")&amp;"("&amp;CHOOSE(WEEKDAY($CA387),"日","月","火","水","木","金","土")&amp;")"&amp;" に切れる　"&amp;TEXT($CA387-N('設定'!$C$7),"m/d")&amp;"("&amp;CHOOSE(WEEKDAY($CA387-N('設定'!$C$7)),"日","月","火","水","木","金","土")&amp;")"&amp;" までに発注"))))))))))</f>
        <v/>
      </c>
      <c r="CQ387">
        <f>IF($C387="","",IF(AND($P387="",$Q387="",$S387="",$T387=""),"",IF(AND($P387="",$Q387=""),"⚠ 先に1便目（左の入庫日・入庫数）に入れてください",IF($CI387&lt;&gt;"",$CI387,IF($CJ387&lt;&gt;"",$CJ387,IF($M387="","？ 減り数が未設定（発注書には載ります）",IF($B$3=0,"？ 動員が未入力（発注書には載ります）",IF(AND($CA387&lt;&gt;"",$P387&gt;$CA387),IF($P387&gt;'設定'!$C$6+N('設定'!$C$7),"● "&amp;TEXT($P387,"m/d")&amp;"("&amp;CHOOSE(WEEKDAY($P387),"日","月","火","水","木","金","土")&amp;")"&amp;" の入庫では間に合わない（"&amp;TEXT($CA387,"m/d")&amp;"("&amp;CHOOSE(WEEKDAY($CA387),"日","月","火","水","木","金","土")&amp;")"&amp;" に切れる）　入庫日を早める","△ 欠品 "&amp;TEXT($CA387,"m/d")&amp;"("&amp;CHOOSE(WEEKDAY($CA387),"日","月","火","水","木","金","土")&amp;")"&amp;"〜"&amp;TEXT($P387-1,"m/d")&amp;"("&amp;CHOOSE(WEEKDAY($P387-1),"日","月","火","水","木","金","土")&amp;")"&amp;"　"&amp;$CO387),IF($CC387="","○ "&amp;TEXT($P387,"m/d")&amp;"("&amp;CHOOSE(WEEKDAY($P387),"日","月","火","水","木","金","土")&amp;")"&amp;" 入庫で 14日以上もつ",IF($CC387-N('設定'!$C$7)&lt;='設定'!$C$6,"● 入庫しても "&amp;TEXT($CC387,"m/d")&amp;"("&amp;CHOOSE(WEEKDAY($CC387),"日","月","火","水","木","金","土")&amp;")"&amp;" に切れる　もう1便を至急発注（2便目に入れる）","△ 入庫しても "&amp;TEXT($CC387,"m/d")&amp;"("&amp;CHOOSE(WEEKDAY($CC387),"日","月","火","水","木","金","土")&amp;")"&amp;" に切れる　"&amp;TEXT($CC387-N('設定'!$C$7),"m/d")&amp;"("&amp;CHOOSE(WEEKDAY($CC387-N('設定'!$C$7)),"日","月","火","水","木","金","土")&amp;")"&amp;" までに次を発注（2便目に入れる）"))))))))))</f>
        <v/>
      </c>
      <c r="CR387">
        <f>IF($C387="","",IF($G387&gt;1,"ｹｰｽ("&amp;$G387&amp;"入)","個"))</f>
        <v/>
      </c>
      <c r="CS387">
        <f>IF($C387="",0,IF(COUNTIFS('①在庫を貼る'!$V$6:$V$10005,'設定'!$C$4,'①在庫を貼る'!$W$6:$W$10005,$C387)=0,1,0))</f>
        <v/>
      </c>
      <c r="CT387">
        <f>IF(AND($CK387=1,OR('③発注書'!$C$4="すべて",'③発注書'!$C$4="",$F387='③発注書'!$C$4)),N($CT386)+1,N($CT386))</f>
        <v/>
      </c>
      <c r="CU387">
        <f>IF(AND($CL387=1,OR('③発注書'!$C$4="すべて",'③発注書'!$C$4="",$F387='③発注書'!$C$4)),N($CU386)+1,N($CU386))</f>
        <v/>
      </c>
      <c r="CV387">
        <f>IF($C387="",0,IF(COUNTIFS('①在庫を貼る'!$V$6:$V$10005,'設定'!$C$4,'①在庫を貼る'!$W$6:$W$10005,$C387)&gt;0,1,0))</f>
        <v/>
      </c>
      <c r="CW387">
        <f>IF($C387="",0,IF(COUNTIFS('月1回_1ヶ月前の在庫'!$V$6:$V$10005,'設定'!$C$4,'月1回_1ヶ月前の在庫'!$W$6:$W$10005,$C387)&gt;0,1,0))</f>
        <v/>
      </c>
      <c r="CX387">
        <f>IF($C387="",0,IF(COUNTIFS('月1回_2ヶ月前の在庫'!$V$6:$V$10005,'設定'!$C$4,'月1回_2ヶ月前の在庫'!$W$6:$W$10005,$C387)&gt;0,1,0))</f>
        <v/>
      </c>
      <c r="CY387">
        <f>IF(OR($C387="",'設定'!$C$12=""),"",IF('設定'!$C$13="",IF(AND($CV387=1,$CW387=0),"新商品（今月から）",IF(AND($CV387=0,$CW387=1),"終売（今月から）","")),IF(AND($CV387=1,$CW387=0,$CX387=0),"新商品（今月から）",IF(AND($CV387=1,$CW387=1,$CX387=0),"新商品（先月から）",IF(AND($CV387=0,$CW387=1,$CX387=1),"終売（今月から）",IF(AND($CV387=0,$CW387=0,$CX387=1),"終売（先月から）",IF(AND($CV387=1,$CW387=0,$CX387=1),"復活（先月は無し）","")))))))</f>
        <v/>
      </c>
    </row>
    <row r="388">
      <c r="B388">
        <f>IF(383&lt;='設定'!$C$11,383,"")</f>
        <v/>
      </c>
      <c r="C388">
        <f>IF($B388="","",IF($B388&lt;='設定'!$C$20,INDEX('商品マスタ'!$B$6:$B$1005,MATCH($B388,'商品マスタ'!$M$6:$M$1005,0)),IF($B388&lt;='設定'!$C$20+'設定'!$C$17,INDEX('①在庫を貼る'!$W$6:$W$10005,MATCH($B388-'設定'!$C$20,'①在庫を貼る'!$U$6:$U$10005,0)),IF($B388&lt;='設定'!$C$20+'設定'!$C$17+'設定'!$C$18,INDEX('月1回_1ヶ月前の在庫'!$W$6:$W$10005,MATCH($B388-'設定'!$C$20-'設定'!$C$17,'月1回_1ヶ月前の在庫'!$U$6:$U$10005,0)),INDEX('月1回_2ヶ月前の在庫'!$W$6:$W$10005,MATCH($B388-'設定'!$C$20-'設定'!$C$17-'設定'!$C$18,'月1回_2ヶ月前の在庫'!$U$6:$U$10005,0))))))</f>
        <v/>
      </c>
      <c r="D388">
        <f>IF($C388="","",IFERROR(IF(INDEX('商品マスタ'!$C$6:$C$1005,MATCH($C388,'商品マスタ'!$B$6:$B$1005,0))="",IFERROR(INDEX('①在庫を貼る'!$J$6:$J$10005,MATCH($C388,'①在庫を貼る'!$W$6:$W$10005,0)),IFERROR(INDEX('月1回_1ヶ月前の在庫'!$J$6:$J$10005,MATCH($C388,'月1回_1ヶ月前の在庫'!$W$6:$W$10005,0)),IFERROR(INDEX('月1回_2ヶ月前の在庫'!$J$6:$J$10005,MATCH($C388,'月1回_2ヶ月前の在庫'!$W$6:$W$10005,0)),""))),INDEX('商品マスタ'!$C$6:$C$1005,MATCH($C388,'商品マスタ'!$B$6:$B$1005,0))),IFERROR(INDEX('①在庫を貼る'!$J$6:$J$10005,MATCH($C388,'①在庫を貼る'!$W$6:$W$10005,0)),IFERROR(INDEX('月1回_1ヶ月前の在庫'!$J$6:$J$10005,MATCH($C388,'月1回_1ヶ月前の在庫'!$W$6:$W$10005,0)),IFERROR(INDEX('月1回_2ヶ月前の在庫'!$J$6:$J$10005,MATCH($C388,'月1回_2ヶ月前の在庫'!$W$6:$W$10005,0)),"")))))</f>
        <v/>
      </c>
      <c r="E388">
        <f>IF($C388="","",IFERROR(IF(INDEX('商品マスタ'!$D$6:$D$1005,MATCH($C388,'商品マスタ'!$B$6:$B$1005,0))="",IFERROR(INDEX('①在庫を貼る'!$H$6:$H$10005,MATCH($C388,'①在庫を貼る'!$W$6:$W$10005,0)),IFERROR(INDEX('月1回_1ヶ月前の在庫'!$H$6:$H$10005,MATCH($C388,'月1回_1ヶ月前の在庫'!$W$6:$W$10005,0)),IFERROR(INDEX('月1回_2ヶ月前の在庫'!$H$6:$H$10005,MATCH($C388,'月1回_2ヶ月前の在庫'!$W$6:$W$10005,0)),""))),INDEX('商品マスタ'!$D$6:$D$1005,MATCH($C388,'商品マスタ'!$B$6:$B$1005,0))),IFERROR(INDEX('①在庫を貼る'!$H$6:$H$10005,MATCH($C388,'①在庫を貼る'!$W$6:$W$10005,0)),IFERROR(INDEX('月1回_1ヶ月前の在庫'!$H$6:$H$10005,MATCH($C388,'月1回_1ヶ月前の在庫'!$W$6:$W$10005,0)),IFERROR(INDEX('月1回_2ヶ月前の在庫'!$H$6:$H$10005,MATCH($C388,'月1回_2ヶ月前の在庫'!$W$6:$W$10005,0)),"")))))</f>
        <v/>
      </c>
      <c r="F388">
        <f>IF($C388="","",IFERROR(IF(INDEX('商品マスタ'!$E$6:$E$1005,MATCH($C388,'商品マスタ'!$B$6:$B$1005,0))="",IFERROR(INDEX('①在庫を貼る'!$E$6:$E$10005,MATCH($C388,'①在庫を貼る'!$W$6:$W$10005,0)),IFERROR(INDEX('月1回_1ヶ月前の在庫'!$E$6:$E$10005,MATCH($C388,'月1回_1ヶ月前の在庫'!$W$6:$W$10005,0)),IFERROR(INDEX('月1回_2ヶ月前の在庫'!$E$6:$E$10005,MATCH($C388,'月1回_2ヶ月前の在庫'!$W$6:$W$10005,0)),""))),INDEX('商品マスタ'!$E$6:$E$1005,MATCH($C388,'商品マスタ'!$B$6:$B$1005,0))),IFERROR(INDEX('①在庫を貼る'!$E$6:$E$10005,MATCH($C388,'①在庫を貼る'!$W$6:$W$10005,0)),IFERROR(INDEX('月1回_1ヶ月前の在庫'!$E$6:$E$10005,MATCH($C388,'月1回_1ヶ月前の在庫'!$W$6:$W$10005,0)),IFERROR(INDEX('月1回_2ヶ月前の在庫'!$E$6:$E$10005,MATCH($C388,'月1回_2ヶ月前の在庫'!$W$6:$W$10005,0)),"")))))</f>
        <v/>
      </c>
      <c r="G388">
        <f>IF($C388="","",MAX(1,N(IFERROR(IF(INDEX('商品マスタ'!$F$6:$F$1005,MATCH($C388,'商品マスタ'!$B$6:$B$1005,0))="",IF(COUNTIFS('①在庫を貼る'!$V$6:$V$10005,'設定'!$C$4,'①在庫を貼る'!$W$6:$W$10005,$C388)&gt;0,SUMIFS('①在庫を貼る'!$K$6:$K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K$6:$K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K$6:$K$10005,'月1回_2ヶ月前の在庫'!$V$6:$V$10005,'設定'!$C$4,'月1回_2ヶ月前の在庫'!$W$6:$W$10005,$C388)/COUNTIFS('月1回_2ヶ月前の在庫'!$V$6:$V$10005,'設定'!$C$4,'月1回_2ヶ月前の在庫'!$W$6:$W$10005,$C388),0))),INDEX('商品マスタ'!$F$6:$F$1005,MATCH($C388,'商品マスタ'!$B$6:$B$1005,0))),IF(COUNTIFS('①在庫を貼る'!$V$6:$V$10005,'設定'!$C$4,'①在庫を貼る'!$W$6:$W$10005,$C388)&gt;0,SUMIFS('①在庫を貼る'!$K$6:$K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K$6:$K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K$6:$K$10005,'月1回_2ヶ月前の在庫'!$V$6:$V$10005,'設定'!$C$4,'月1回_2ヶ月前の在庫'!$W$6:$W$10005,$C388)/COUNTIFS('月1回_2ヶ月前の在庫'!$V$6:$V$10005,'設定'!$C$4,'月1回_2ヶ月前の在庫'!$W$6:$W$10005,$C388),0)))))))</f>
        <v/>
      </c>
      <c r="H388">
        <f>IF($C388="","",N(IFERROR(IF(INDEX('商品マスタ'!$G$6:$G$1005,MATCH($C388,'商品マスタ'!$B$6:$B$1005,0))="",IF(COUNTIFS('①在庫を貼る'!$V$6:$V$10005,'設定'!$C$4,'①在庫を貼る'!$W$6:$W$10005,$C388)&gt;0,SUMIFS('①在庫を貼る'!$Q$6:$Q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Q$6:$Q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Q$6:$Q$10005,'月1回_2ヶ月前の在庫'!$V$6:$V$10005,'設定'!$C$4,'月1回_2ヶ月前の在庫'!$W$6:$W$10005,$C388)/COUNTIFS('月1回_2ヶ月前の在庫'!$V$6:$V$10005,'設定'!$C$4,'月1回_2ヶ月前の在庫'!$W$6:$W$10005,$C388),0))),INDEX('商品マスタ'!$G$6:$G$1005,MATCH($C388,'商品マスタ'!$B$6:$B$1005,0))),IF(COUNTIFS('①在庫を貼る'!$V$6:$V$10005,'設定'!$C$4,'①在庫を貼る'!$W$6:$W$10005,$C388)&gt;0,SUMIFS('①在庫を貼る'!$Q$6:$Q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Q$6:$Q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Q$6:$Q$10005,'月1回_2ヶ月前の在庫'!$V$6:$V$10005,'設定'!$C$4,'月1回_2ヶ月前の在庫'!$W$6:$W$10005,$C388)/COUNTIFS('月1回_2ヶ月前の在庫'!$V$6:$V$10005,'設定'!$C$4,'月1回_2ヶ月前の在庫'!$W$6:$W$10005,$C388),0))))))</f>
        <v/>
      </c>
      <c r="I388">
        <f>IF($C388="","",IF(COUNTIFS('①在庫を貼る'!$V$6:$V$10005,'設定'!$C$4,'①在庫を貼る'!$W$6:$W$10005,$C388)=0,"",SUMIFS('①在庫を貼る'!$N$6:$N$10005,'①在庫を貼る'!$V$6:$V$10005,'設定'!$C$4,'①在庫を貼る'!$W$6:$W$10005,$C388)))</f>
        <v/>
      </c>
      <c r="J388">
        <f>IF($C388="","",IF('②発注する'!$AD392="","",'②発注する'!$AD392))</f>
        <v/>
      </c>
      <c r="K388" s="90">
        <f>IF($C388="","",IF('②発注する'!$AE392="","",'②発注する'!$AE392))</f>
        <v/>
      </c>
      <c r="L388">
        <f>IF($C388="","",IF(AND(ISNUMBER($J388),ISNUMBER($K388),$K388&gt;='設定'!$C$6),$J388,N($I388)))</f>
        <v/>
      </c>
      <c r="M388">
        <f>IF($C388="","",IFERROR(IF(N(INDEX('商品マスタ'!$J$6:$J$1005,MATCH($C388,'商品マスタ'!$B$6:$B$1005,0)))&gt;0,INDEX('商品マスタ'!$J$6:$J$1005,MATCH($C388,'商品マスタ'!$B$6:$B$1005,0)),""),""))</f>
        <v/>
      </c>
      <c r="N388">
        <f>IF($C388="","",IFERROR(IF(N(INDEX('商品マスタ'!$H$6:$H$1005,MATCH($C388,'商品マスタ'!$B$6:$B$1005,0)))&gt;0,INDEX('商品マスタ'!$H$6:$H$1005,MATCH($C388,'商品マスタ'!$B$6:$B$1005,0)),""),""))</f>
        <v/>
      </c>
      <c r="O388">
        <f>IF($C388="","",IF($N388&lt;&gt;"",$N388*$G388,IF(N(IF(COUNTIFS('①在庫を貼る'!$V$6:$V$10005,'設定'!$C$4,'①在庫を貼る'!$W$6:$W$10005,$C388)&gt;0,SUMIFS('①在庫を貼る'!$O$6:$O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O$6:$O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O$6:$O$10005,'月1回_2ヶ月前の在庫'!$V$6:$V$10005,'設定'!$C$4,'月1回_2ヶ月前の在庫'!$W$6:$W$10005,$C388)/COUNTIFS('月1回_2ヶ月前の在庫'!$V$6:$V$10005,'設定'!$C$4,'月1回_2ヶ月前の在庫'!$W$6:$W$10005,$C388),0))))&gt;0,N(IF(COUNTIFS('①在庫を貼る'!$V$6:$V$10005,'設定'!$C$4,'①在庫を貼る'!$W$6:$W$10005,$C388)&gt;0,SUMIFS('①在庫を貼る'!$O$6:$O$10005,'①在庫を貼る'!$V$6:$V$10005,'設定'!$C$4,'①在庫を貼る'!$W$6:$W$10005,$C388)/COUNTIFS('①在庫を貼る'!$V$6:$V$10005,'設定'!$C$4,'①在庫を貼る'!$W$6:$W$10005,$C388),IF(COUNTIFS('月1回_1ヶ月前の在庫'!$V$6:$V$10005,'設定'!$C$4,'月1回_1ヶ月前の在庫'!$W$6:$W$10005,$C388)&gt;0,SUMIFS('月1回_1ヶ月前の在庫'!$O$6:$O$10005,'月1回_1ヶ月前の在庫'!$V$6:$V$10005,'設定'!$C$4,'月1回_1ヶ月前の在庫'!$W$6:$W$10005,$C388)/COUNTIFS('月1回_1ヶ月前の在庫'!$V$6:$V$10005,'設定'!$C$4,'月1回_1ヶ月前の在庫'!$W$6:$W$10005,$C388),IF(COUNTIFS('月1回_2ヶ月前の在庫'!$V$6:$V$10005,'設定'!$C$4,'月1回_2ヶ月前の在庫'!$W$6:$W$10005,$C388)&gt;0,SUMIFS('月1回_2ヶ月前の在庫'!$O$6:$O$10005,'月1回_2ヶ月前の在庫'!$V$6:$V$10005,'設定'!$C$4,'月1回_2ヶ月前の在庫'!$W$6:$W$10005,$C388)/COUNTIFS('月1回_2ヶ月前の在庫'!$V$6:$V$10005,'設定'!$C$4,'月1回_2ヶ月前の在庫'!$W$6:$W$10005,$C388),0)))),"")))</f>
        <v/>
      </c>
      <c r="P388" s="90">
        <f>IF($C388="","",IF('②発注する'!$I392="","",'②発注する'!$I392))</f>
        <v/>
      </c>
      <c r="Q388">
        <f>IF($C388="","",IF('②発注する'!$J392="","",'②発注する'!$J392))</f>
        <v/>
      </c>
      <c r="R388">
        <f>IF($C388="",0,IF(AND(ISNUMBER($P388),ISNUMBER($Q388)),MAX(0,$Q388)*$G388,0))</f>
        <v/>
      </c>
      <c r="S388" s="90">
        <f>IF($C388="","",IF('②発注する'!$M392="","",'②発注する'!$M392))</f>
        <v/>
      </c>
      <c r="T388">
        <f>IF($C388="","",IF('②発注する'!$N392="","",'②発注する'!$N392))</f>
        <v/>
      </c>
      <c r="U388">
        <f>IF($C388="",0,IF(AND(ISNUMBER($S388),ISNUMBER($T388)),MAX(0,$T388)*$G388,0))</f>
        <v/>
      </c>
      <c r="V388">
        <f>IF($C388="",0,IF($M388="",0,MAX(0,$M388)*MAX(0,V$4)/100))</f>
        <v/>
      </c>
      <c r="W388">
        <f>IF($C388="",0,IF($M388="",0,MAX(0,$M388)*MAX(0,W$4)/100))</f>
        <v/>
      </c>
      <c r="X388">
        <f>IF($C388="",0,IF($M388="",0,MAX(0,$M388)*MAX(0,X$4)/100))</f>
        <v/>
      </c>
      <c r="Y388">
        <f>IF($C388="",0,IF($M388="",0,MAX(0,$M388)*MAX(0,Y$4)/100))</f>
        <v/>
      </c>
      <c r="Z388">
        <f>IF($C388="",0,IF($M388="",0,MAX(0,$M388)*MAX(0,Z$4)/100))</f>
        <v/>
      </c>
      <c r="AA388">
        <f>IF($C388="",0,IF($M388="",0,MAX(0,$M388)*MAX(0,AA$4)/100))</f>
        <v/>
      </c>
      <c r="AB388">
        <f>IF($C388="",0,IF($M388="",0,MAX(0,$M388)*MAX(0,AB$4)/100))</f>
        <v/>
      </c>
      <c r="AC388">
        <f>IF($C388="",0,IF($M388="",0,MAX(0,$M388)*MAX(0,AC$4)/100))</f>
        <v/>
      </c>
      <c r="AD388">
        <f>IF($C388="",0,IF($M388="",0,MAX(0,$M388)*MAX(0,AD$4)/100))</f>
        <v/>
      </c>
      <c r="AE388">
        <f>IF($C388="",0,IF($M388="",0,MAX(0,$M388)*MAX(0,AE$4)/100))</f>
        <v/>
      </c>
      <c r="AF388">
        <f>IF($C388="",0,IF($M388="",0,MAX(0,$M388)*MAX(0,AF$4)/100))</f>
        <v/>
      </c>
      <c r="AG388">
        <f>IF($C388="",0,IF($M388="",0,MAX(0,$M388)*MAX(0,AG$4)/100))</f>
        <v/>
      </c>
      <c r="AH388">
        <f>IF($C388="",0,IF($M388="",0,MAX(0,$M388)*MAX(0,AH$4)/100))</f>
        <v/>
      </c>
      <c r="AI388">
        <f>IF($C388="",0,IF($M388="",0,MAX(0,$M388)*MAX(0,AI$4)/100))</f>
        <v/>
      </c>
      <c r="AJ388">
        <f>IF($C388="",0,MAX(0,MAX(0,N($L388))-$V388))</f>
        <v/>
      </c>
      <c r="AK388">
        <f>IF($C388="",0,MAX(0,$AJ388-$W388))</f>
        <v/>
      </c>
      <c r="AL388">
        <f>IF($C388="",0,MAX(0,$AK388-$X388))</f>
        <v/>
      </c>
      <c r="AM388">
        <f>IF($C388="",0,MAX(0,$AL388-$Y388))</f>
        <v/>
      </c>
      <c r="AN388">
        <f>IF($C388="",0,MAX(0,$AM388-$Z388))</f>
        <v/>
      </c>
      <c r="AO388">
        <f>IF($C388="",0,MAX(0,$AN388-$AA388))</f>
        <v/>
      </c>
      <c r="AP388">
        <f>IF($C388="",0,MAX(0,$AO388-$AB388))</f>
        <v/>
      </c>
      <c r="AQ388">
        <f>IF($C388="",0,MAX(0,$AP388-$AC388))</f>
        <v/>
      </c>
      <c r="AR388">
        <f>IF($C388="",0,MAX(0,$AQ388-$AD388))</f>
        <v/>
      </c>
      <c r="AS388">
        <f>IF($C388="",0,MAX(0,$AR388-$AE388))</f>
        <v/>
      </c>
      <c r="AT388">
        <f>IF($C388="",0,MAX(0,$AS388-$AF388))</f>
        <v/>
      </c>
      <c r="AU388">
        <f>IF($C388="",0,MAX(0,$AT388-$AG388))</f>
        <v/>
      </c>
      <c r="AV388">
        <f>IF($C388="",0,MAX(0,$AU388-$AH388))</f>
        <v/>
      </c>
      <c r="AW388">
        <f>IF($C388="",0,MAX(0,$AV388-$AI388))</f>
        <v/>
      </c>
      <c r="AX388">
        <f>IF($C388="",0,MAX(0,MAX(0,N($L388))+IF($P388=V$3,$R388,0)+IF($S388=V$3,$U388,0)-$V388))</f>
        <v/>
      </c>
      <c r="AY388">
        <f>IF($C388="",0,MAX(0,$AX388+IF($P388=W$3,$R388,0)+IF($S388=W$3,$U388,0)-$W388))</f>
        <v/>
      </c>
      <c r="AZ388">
        <f>IF($C388="",0,MAX(0,$AY388+IF($P388=X$3,$R388,0)+IF($S388=X$3,$U388,0)-$X388))</f>
        <v/>
      </c>
      <c r="BA388">
        <f>IF($C388="",0,MAX(0,$AZ388+IF($P388=Y$3,$R388,0)+IF($S388=Y$3,$U388,0)-$Y388))</f>
        <v/>
      </c>
      <c r="BB388">
        <f>IF($C388="",0,MAX(0,$BA388+IF($P388=Z$3,$R388,0)+IF($S388=Z$3,$U388,0)-$Z388))</f>
        <v/>
      </c>
      <c r="BC388">
        <f>IF($C388="",0,MAX(0,$BB388+IF($P388=AA$3,$R388,0)+IF($S388=AA$3,$U388,0)-$AA388))</f>
        <v/>
      </c>
      <c r="BD388">
        <f>IF($C388="",0,MAX(0,$BC388+IF($P388=AB$3,$R388,0)+IF($S388=AB$3,$U388,0)-$AB388))</f>
        <v/>
      </c>
      <c r="BE388">
        <f>IF($C388="",0,MAX(0,$BD388+IF($P388=AC$3,$R388,0)+IF($S388=AC$3,$U388,0)-$AC388))</f>
        <v/>
      </c>
      <c r="BF388">
        <f>IF($C388="",0,MAX(0,$BE388+IF($P388=AD$3,$R388,0)+IF($S388=AD$3,$U388,0)-$AD388))</f>
        <v/>
      </c>
      <c r="BG388">
        <f>IF($C388="",0,MAX(0,$BF388+IF($P388=AE$3,$R388,0)+IF($S388=AE$3,$U388,0)-$AE388))</f>
        <v/>
      </c>
      <c r="BH388">
        <f>IF($C388="",0,MAX(0,$BG388+IF($P388=AF$3,$R388,0)+IF($S388=AF$3,$U388,0)-$AF388))</f>
        <v/>
      </c>
      <c r="BI388">
        <f>IF($C388="",0,MAX(0,$BH388+IF($P388=AG$3,$R388,0)+IF($S388=AG$3,$U388,0)-$AG388))</f>
        <v/>
      </c>
      <c r="BJ388">
        <f>IF($C388="",0,MAX(0,$BI388+IF($P388=AH$3,$R388,0)+IF($S388=AH$3,$U388,0)-$AH388))</f>
        <v/>
      </c>
      <c r="BK388">
        <f>IF($C388="",0,MAX(0,$BJ388+IF($P388=AI$3,$R388,0)+IF($S388=AI$3,$U388,0)-$AI388))</f>
        <v/>
      </c>
      <c r="BL388">
        <f>IF($C388="",99,IF(AND($AX388&lt;1,V$3&gt;=MAX(N($P388),N($S388))),0,99))</f>
        <v/>
      </c>
      <c r="BM388">
        <f>IF($C388="",99,IF(AND($AY388&lt;1,W$3&gt;=MAX(N($P388),N($S388))),1,99))</f>
        <v/>
      </c>
      <c r="BN388">
        <f>IF($C388="",99,IF(AND($AZ388&lt;1,X$3&gt;=MAX(N($P388),N($S388))),2,99))</f>
        <v/>
      </c>
      <c r="BO388">
        <f>IF($C388="",99,IF(AND($BA388&lt;1,Y$3&gt;=MAX(N($P388),N($S388))),3,99))</f>
        <v/>
      </c>
      <c r="BP388">
        <f>IF($C388="",99,IF(AND($BB388&lt;1,Z$3&gt;=MAX(N($P388),N($S388))),4,99))</f>
        <v/>
      </c>
      <c r="BQ388">
        <f>IF($C388="",99,IF(AND($BC388&lt;1,AA$3&gt;=MAX(N($P388),N($S388))),5,99))</f>
        <v/>
      </c>
      <c r="BR388">
        <f>IF($C388="",99,IF(AND($BD388&lt;1,AB$3&gt;=MAX(N($P388),N($S388))),6,99))</f>
        <v/>
      </c>
      <c r="BS388">
        <f>IF($C388="",99,IF(AND($BE388&lt;1,AC$3&gt;=MAX(N($P388),N($S388))),7,99))</f>
        <v/>
      </c>
      <c r="BT388">
        <f>IF($C388="",99,IF(AND($BF388&lt;1,AD$3&gt;=MAX(N($P388),N($S388))),8,99))</f>
        <v/>
      </c>
      <c r="BU388">
        <f>IF($C388="",99,IF(AND($BG388&lt;1,AE$3&gt;=MAX(N($P388),N($S388))),9,99))</f>
        <v/>
      </c>
      <c r="BV388">
        <f>IF($C388="",99,IF(AND($BH388&lt;1,AF$3&gt;=MAX(N($P388),N($S388))),10,99))</f>
        <v/>
      </c>
      <c r="BW388">
        <f>IF($C388="",99,IF(AND($BI388&lt;1,AG$3&gt;=MAX(N($P388),N($S388))),11,99))</f>
        <v/>
      </c>
      <c r="BX388">
        <f>IF($C388="",99,IF(AND($BJ388&lt;1,AH$3&gt;=MAX(N($P388),N($S388))),12,99))</f>
        <v/>
      </c>
      <c r="BY388">
        <f>IF($C388="",99,IF(AND($BK388&lt;1,AI$3&gt;=MAX(N($P388),N($S388))),13,99))</f>
        <v/>
      </c>
      <c r="BZ388">
        <f>IF(OR($C388="",$M388=""),"",COUNTIF($AJ388:$AW388,"&gt;=1"))</f>
        <v/>
      </c>
      <c r="CA388" s="90">
        <f>IF($BZ388="","",IF($BZ388&gt;=14,"",'設定'!$C$6+$BZ388))</f>
        <v/>
      </c>
      <c r="CB388">
        <f>IF(OR($C388="",$M388=""),"",MIN($BL388:$BY388))</f>
        <v/>
      </c>
      <c r="CC388" s="90">
        <f>IF($CB388="","",IF($CB388&gt;=99,"",'設定'!$C$6+$CB388))</f>
        <v/>
      </c>
      <c r="CD388">
        <f>IF(OR($C388="",$M388=""),"",AVERAGE($V388:$AI388))</f>
        <v/>
      </c>
      <c r="CE388">
        <f>IF($C388="","",IFERROR(IF(MATCH(IF(ISNUMBER($P388),$P388,'設定'!$C$6+N('設定'!$C$7)),$V$3:$AI$3,0)=1,MAX(0,N($L388)),INDEX($AJ388:$AW388,MATCH(IF(ISNUMBER($P388),$P388,'設定'!$C$6+N('設定'!$C$7)),$V$3:$AI$3,0)-1)),""))</f>
        <v/>
      </c>
      <c r="CF388">
        <f>IF(OR($C388="",$O388="",$CE388=""),"",IF($O388-$CE388&lt;=0,0,ROUNDUP(($O388-$CE388)/$G388,0)))</f>
        <v/>
      </c>
      <c r="CG388">
        <f>IF(OR($C388="",$CF388="",NOT(ISNUMBER($Q388))),0,MAX(0,$Q388-$CF388))</f>
        <v/>
      </c>
      <c r="CH388">
        <f>IF(OR($C388="",$O388="",$U388=0),0,IFERROR(ROUNDUP(MAX(0,IF(MATCH($S388,$V$3:$AI$3,0)=1,MAX(0,N($L388)),INDEX($AX388:$BK388,MATCH($S388,$V$3:$AI$3,0)-1))+$U388-$O388)/$G388,0),0))</f>
        <v/>
      </c>
      <c r="CI388">
        <f>IF($C388="","",IF(AND($P388="",$Q388=""),"",IF($P388="","⚠ 入庫日を ▼ から選んでください",IF(NOT(ISNUMBER($P388)),"⚠ 入庫日は ▼ から選んでください",IF($P388&lt;N('設定'!$C$6),"⚠ 入庫日が過去です（もう在庫に入っています）→ 消してください",IF($P388&gt;N('設定'!$C$6)+13,"⚠ 入庫日が14日より先です",IF(N($Q388)&lt;=0,"⚠ 入庫数を入れてください",IF($CG388&gt;0,"⚠ 目安より "&amp;$CG388&amp;" 多い（定数を超える）→ 減らす",""))))))))</f>
        <v/>
      </c>
      <c r="CJ388">
        <f>IF($C388="","",IF(AND($S388="",$T388=""),"",IF($S388="","⚠ 2便目：入庫日を ▼ から選んでください",IF(NOT(ISNUMBER($S388)),"⚠ 2便目：入庫日は ▼ から選んでください",IF($S388&lt;N('設定'!$C$6),"⚠ 2便目：入庫日が過去です（もう在庫に入っています）→ 消してください",IF($S388&gt;N('設定'!$C$6)+13,"⚠ 2便目：入庫日が14日より先です",IF(N($T388)&lt;=0,"⚠ 2便目：入庫数を入れてください",IF($CH388&gt;0,"⚠ 2便目：定数を "&amp;$CH388&amp;" ケース超える → 減らす",""))))))))</f>
        <v/>
      </c>
      <c r="CK388">
        <f>IF(AND($CI388="",N($Q388)&gt;0,ISNUMBER($P388)),1,0)</f>
        <v/>
      </c>
      <c r="CL388">
        <f>IF(AND($CJ388="",N($T388)&gt;0,ISNUMBER($S388)),1,0)</f>
        <v/>
      </c>
      <c r="CM388">
        <f>IF(OR($CK388=1,$CL388=1),1,0)</f>
        <v/>
      </c>
      <c r="CN388">
        <f>IF($C388="",0,($CK388*$R388+$CL388*$U388)*N($H388))</f>
        <v/>
      </c>
      <c r="CO388">
        <f>IF($C388="","",IF($CC388="","入庫後は 14日以上もつ",IF($CC388-N('設定'!$C$7)&lt;='設定'!$C$6,"入庫後も "&amp;TEXT($CC388,"m/d")&amp;"("&amp;CHOOSE(WEEKDAY($CC388),"日","月","火","水","木","金","土")&amp;")"&amp;" に切れる　もう1便を至急発注","入庫後も "&amp;TEXT($CC388,"m/d")&amp;"("&amp;CHOOSE(WEEKDAY($CC388),"日","月","火","水","木","金","土")&amp;")"&amp;" に切れる　"&amp;TEXT($CC388-N('設定'!$C$7),"m/d")&amp;"("&amp;CHOOSE(WEEKDAY($CC388-N('設定'!$C$7)),"日","月","火","水","木","金","土")&amp;")"&amp;" までに次を発注")))</f>
        <v/>
      </c>
      <c r="CP388">
        <f>IF($C388="","",IF('設定'!$C$6="","？ ①在庫を貼る に今日のCSVが貼られていない",IF($CS388=1,"－ 今日のCSVに無い（終売？）",IF($L388&lt;0,"● 在庫がマイナス　数えて「数えた在庫」に入れる",IF($L388=0,"● 在庫なし　至急発注",IF($M388="","？ 減り数が未設定（商品マスタ）",IF($B$3=0,"？ 動員が未入力（動員を入れる）",IF($CA388="","○ 14日以上もつ",IF($BZ388&lt;N('設定'!$C$7),"● "&amp;TEXT($CA388,"m/d")&amp;"("&amp;CHOOSE(WEEKDAY($CA388),"日","月","火","水","木","金","土")&amp;")"&amp;" に切れる　至急発注",IF($BZ388=N('設定'!$C$7),"● "&amp;TEXT($CA388,"m/d")&amp;"("&amp;CHOOSE(WEEKDAY($CA388),"日","月","火","水","木","金","土")&amp;")"&amp;" に切れる　今日発注","△ "&amp;TEXT($CA388,"m/d")&amp;"("&amp;CHOOSE(WEEKDAY($CA388),"日","月","火","水","木","金","土")&amp;")"&amp;" に切れる　"&amp;TEXT($CA388-N('設定'!$C$7),"m/d")&amp;"("&amp;CHOOSE(WEEKDAY($CA388-N('設定'!$C$7)),"日","月","火","水","木","金","土")&amp;")"&amp;" までに発注"))))))))))</f>
        <v/>
      </c>
      <c r="CQ388">
        <f>IF($C388="","",IF(AND($P388="",$Q388="",$S388="",$T388=""),"",IF(AND($P388="",$Q388=""),"⚠ 先に1便目（左の入庫日・入庫数）に入れてください",IF($CI388&lt;&gt;"",$CI388,IF($CJ388&lt;&gt;"",$CJ388,IF($M388="","？ 減り数が未設定（発注書には載ります）",IF($B$3=0,"？ 動員が未入力（発注書には載ります）",IF(AND($CA388&lt;&gt;"",$P388&gt;$CA388),IF($P388&gt;'設定'!$C$6+N('設定'!$C$7),"● "&amp;TEXT($P388,"m/d")&amp;"("&amp;CHOOSE(WEEKDAY($P388),"日","月","火","水","木","金","土")&amp;")"&amp;" の入庫では間に合わない（"&amp;TEXT($CA388,"m/d")&amp;"("&amp;CHOOSE(WEEKDAY($CA388),"日","月","火","水","木","金","土")&amp;")"&amp;" に切れる）　入庫日を早める","△ 欠品 "&amp;TEXT($CA388,"m/d")&amp;"("&amp;CHOOSE(WEEKDAY($CA388),"日","月","火","水","木","金","土")&amp;")"&amp;"〜"&amp;TEXT($P388-1,"m/d")&amp;"("&amp;CHOOSE(WEEKDAY($P388-1),"日","月","火","水","木","金","土")&amp;")"&amp;"　"&amp;$CO388),IF($CC388="","○ "&amp;TEXT($P388,"m/d")&amp;"("&amp;CHOOSE(WEEKDAY($P388),"日","月","火","水","木","金","土")&amp;")"&amp;" 入庫で 14日以上もつ",IF($CC388-N('設定'!$C$7)&lt;='設定'!$C$6,"● 入庫しても "&amp;TEXT($CC388,"m/d")&amp;"("&amp;CHOOSE(WEEKDAY($CC388),"日","月","火","水","木","金","土")&amp;")"&amp;" に切れる　もう1便を至急発注（2便目に入れる）","△ 入庫しても "&amp;TEXT($CC388,"m/d")&amp;"("&amp;CHOOSE(WEEKDAY($CC388),"日","月","火","水","木","金","土")&amp;")"&amp;" に切れる　"&amp;TEXT($CC388-N('設定'!$C$7),"m/d")&amp;"("&amp;CHOOSE(WEEKDAY($CC388-N('設定'!$C$7)),"日","月","火","水","木","金","土")&amp;")"&amp;" までに次を発注（2便目に入れる）"))))))))))</f>
        <v/>
      </c>
      <c r="CR388">
        <f>IF($C388="","",IF($G388&gt;1,"ｹｰｽ("&amp;$G388&amp;"入)","個"))</f>
        <v/>
      </c>
      <c r="CS388">
        <f>IF($C388="",0,IF(COUNTIFS('①在庫を貼る'!$V$6:$V$10005,'設定'!$C$4,'①在庫を貼る'!$W$6:$W$10005,$C388)=0,1,0))</f>
        <v/>
      </c>
      <c r="CT388">
        <f>IF(AND($CK388=1,OR('③発注書'!$C$4="すべて",'③発注書'!$C$4="",$F388='③発注書'!$C$4)),N($CT387)+1,N($CT387))</f>
        <v/>
      </c>
      <c r="CU388">
        <f>IF(AND($CL388=1,OR('③発注書'!$C$4="すべて",'③発注書'!$C$4="",$F388='③発注書'!$C$4)),N($CU387)+1,N($CU387))</f>
        <v/>
      </c>
      <c r="CV388">
        <f>IF($C388="",0,IF(COUNTIFS('①在庫を貼る'!$V$6:$V$10005,'設定'!$C$4,'①在庫を貼る'!$W$6:$W$10005,$C388)&gt;0,1,0))</f>
        <v/>
      </c>
      <c r="CW388">
        <f>IF($C388="",0,IF(COUNTIFS('月1回_1ヶ月前の在庫'!$V$6:$V$10005,'設定'!$C$4,'月1回_1ヶ月前の在庫'!$W$6:$W$10005,$C388)&gt;0,1,0))</f>
        <v/>
      </c>
      <c r="CX388">
        <f>IF($C388="",0,IF(COUNTIFS('月1回_2ヶ月前の在庫'!$V$6:$V$10005,'設定'!$C$4,'月1回_2ヶ月前の在庫'!$W$6:$W$10005,$C388)&gt;0,1,0))</f>
        <v/>
      </c>
      <c r="CY388">
        <f>IF(OR($C388="",'設定'!$C$12=""),"",IF('設定'!$C$13="",IF(AND($CV388=1,$CW388=0),"新商品（今月から）",IF(AND($CV388=0,$CW388=1),"終売（今月から）","")),IF(AND($CV388=1,$CW388=0,$CX388=0),"新商品（今月から）",IF(AND($CV388=1,$CW388=1,$CX388=0),"新商品（先月から）",IF(AND($CV388=0,$CW388=1,$CX388=1),"終売（今月から）",IF(AND($CV388=0,$CW388=0,$CX388=1),"終売（先月から）",IF(AND($CV388=1,$CW388=0,$CX388=1),"復活（先月は無し）","")))))))</f>
        <v/>
      </c>
    </row>
    <row r="389">
      <c r="B389">
        <f>IF(384&lt;='設定'!$C$11,384,"")</f>
        <v/>
      </c>
      <c r="C389">
        <f>IF($B389="","",IF($B389&lt;='設定'!$C$20,INDEX('商品マスタ'!$B$6:$B$1005,MATCH($B389,'商品マスタ'!$M$6:$M$1005,0)),IF($B389&lt;='設定'!$C$20+'設定'!$C$17,INDEX('①在庫を貼る'!$W$6:$W$10005,MATCH($B389-'設定'!$C$20,'①在庫を貼る'!$U$6:$U$10005,0)),IF($B389&lt;='設定'!$C$20+'設定'!$C$17+'設定'!$C$18,INDEX('月1回_1ヶ月前の在庫'!$W$6:$W$10005,MATCH($B389-'設定'!$C$20-'設定'!$C$17,'月1回_1ヶ月前の在庫'!$U$6:$U$10005,0)),INDEX('月1回_2ヶ月前の在庫'!$W$6:$W$10005,MATCH($B389-'設定'!$C$20-'設定'!$C$17-'設定'!$C$18,'月1回_2ヶ月前の在庫'!$U$6:$U$10005,0))))))</f>
        <v/>
      </c>
      <c r="D389">
        <f>IF($C389="","",IFERROR(IF(INDEX('商品マスタ'!$C$6:$C$1005,MATCH($C389,'商品マスタ'!$B$6:$B$1005,0))="",IFERROR(INDEX('①在庫を貼る'!$J$6:$J$10005,MATCH($C389,'①在庫を貼る'!$W$6:$W$10005,0)),IFERROR(INDEX('月1回_1ヶ月前の在庫'!$J$6:$J$10005,MATCH($C389,'月1回_1ヶ月前の在庫'!$W$6:$W$10005,0)),IFERROR(INDEX('月1回_2ヶ月前の在庫'!$J$6:$J$10005,MATCH($C389,'月1回_2ヶ月前の在庫'!$W$6:$W$10005,0)),""))),INDEX('商品マスタ'!$C$6:$C$1005,MATCH($C389,'商品マスタ'!$B$6:$B$1005,0))),IFERROR(INDEX('①在庫を貼る'!$J$6:$J$10005,MATCH($C389,'①在庫を貼る'!$W$6:$W$10005,0)),IFERROR(INDEX('月1回_1ヶ月前の在庫'!$J$6:$J$10005,MATCH($C389,'月1回_1ヶ月前の在庫'!$W$6:$W$10005,0)),IFERROR(INDEX('月1回_2ヶ月前の在庫'!$J$6:$J$10005,MATCH($C389,'月1回_2ヶ月前の在庫'!$W$6:$W$10005,0)),"")))))</f>
        <v/>
      </c>
      <c r="E389">
        <f>IF($C389="","",IFERROR(IF(INDEX('商品マスタ'!$D$6:$D$1005,MATCH($C389,'商品マスタ'!$B$6:$B$1005,0))="",IFERROR(INDEX('①在庫を貼る'!$H$6:$H$10005,MATCH($C389,'①在庫を貼る'!$W$6:$W$10005,0)),IFERROR(INDEX('月1回_1ヶ月前の在庫'!$H$6:$H$10005,MATCH($C389,'月1回_1ヶ月前の在庫'!$W$6:$W$10005,0)),IFERROR(INDEX('月1回_2ヶ月前の在庫'!$H$6:$H$10005,MATCH($C389,'月1回_2ヶ月前の在庫'!$W$6:$W$10005,0)),""))),INDEX('商品マスタ'!$D$6:$D$1005,MATCH($C389,'商品マスタ'!$B$6:$B$1005,0))),IFERROR(INDEX('①在庫を貼る'!$H$6:$H$10005,MATCH($C389,'①在庫を貼る'!$W$6:$W$10005,0)),IFERROR(INDEX('月1回_1ヶ月前の在庫'!$H$6:$H$10005,MATCH($C389,'月1回_1ヶ月前の在庫'!$W$6:$W$10005,0)),IFERROR(INDEX('月1回_2ヶ月前の在庫'!$H$6:$H$10005,MATCH($C389,'月1回_2ヶ月前の在庫'!$W$6:$W$10005,0)),"")))))</f>
        <v/>
      </c>
      <c r="F389">
        <f>IF($C389="","",IFERROR(IF(INDEX('商品マスタ'!$E$6:$E$1005,MATCH($C389,'商品マスタ'!$B$6:$B$1005,0))="",IFERROR(INDEX('①在庫を貼る'!$E$6:$E$10005,MATCH($C389,'①在庫を貼る'!$W$6:$W$10005,0)),IFERROR(INDEX('月1回_1ヶ月前の在庫'!$E$6:$E$10005,MATCH($C389,'月1回_1ヶ月前の在庫'!$W$6:$W$10005,0)),IFERROR(INDEX('月1回_2ヶ月前の在庫'!$E$6:$E$10005,MATCH($C389,'月1回_2ヶ月前の在庫'!$W$6:$W$10005,0)),""))),INDEX('商品マスタ'!$E$6:$E$1005,MATCH($C389,'商品マスタ'!$B$6:$B$1005,0))),IFERROR(INDEX('①在庫を貼る'!$E$6:$E$10005,MATCH($C389,'①在庫を貼る'!$W$6:$W$10005,0)),IFERROR(INDEX('月1回_1ヶ月前の在庫'!$E$6:$E$10005,MATCH($C389,'月1回_1ヶ月前の在庫'!$W$6:$W$10005,0)),IFERROR(INDEX('月1回_2ヶ月前の在庫'!$E$6:$E$10005,MATCH($C389,'月1回_2ヶ月前の在庫'!$W$6:$W$10005,0)),"")))))</f>
        <v/>
      </c>
      <c r="G389">
        <f>IF($C389="","",MAX(1,N(IFERROR(IF(INDEX('商品マスタ'!$F$6:$F$1005,MATCH($C389,'商品マスタ'!$B$6:$B$1005,0))="",IF(COUNTIFS('①在庫を貼る'!$V$6:$V$10005,'設定'!$C$4,'①在庫を貼る'!$W$6:$W$10005,$C389)&gt;0,SUMIFS('①在庫を貼る'!$K$6:$K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K$6:$K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K$6:$K$10005,'月1回_2ヶ月前の在庫'!$V$6:$V$10005,'設定'!$C$4,'月1回_2ヶ月前の在庫'!$W$6:$W$10005,$C389)/COUNTIFS('月1回_2ヶ月前の在庫'!$V$6:$V$10005,'設定'!$C$4,'月1回_2ヶ月前の在庫'!$W$6:$W$10005,$C389),0))),INDEX('商品マスタ'!$F$6:$F$1005,MATCH($C389,'商品マスタ'!$B$6:$B$1005,0))),IF(COUNTIFS('①在庫を貼る'!$V$6:$V$10005,'設定'!$C$4,'①在庫を貼る'!$W$6:$W$10005,$C389)&gt;0,SUMIFS('①在庫を貼る'!$K$6:$K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K$6:$K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K$6:$K$10005,'月1回_2ヶ月前の在庫'!$V$6:$V$10005,'設定'!$C$4,'月1回_2ヶ月前の在庫'!$W$6:$W$10005,$C389)/COUNTIFS('月1回_2ヶ月前の在庫'!$V$6:$V$10005,'設定'!$C$4,'月1回_2ヶ月前の在庫'!$W$6:$W$10005,$C389),0)))))))</f>
        <v/>
      </c>
      <c r="H389">
        <f>IF($C389="","",N(IFERROR(IF(INDEX('商品マスタ'!$G$6:$G$1005,MATCH($C389,'商品マスタ'!$B$6:$B$1005,0))="",IF(COUNTIFS('①在庫を貼る'!$V$6:$V$10005,'設定'!$C$4,'①在庫を貼る'!$W$6:$W$10005,$C389)&gt;0,SUMIFS('①在庫を貼る'!$Q$6:$Q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Q$6:$Q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Q$6:$Q$10005,'月1回_2ヶ月前の在庫'!$V$6:$V$10005,'設定'!$C$4,'月1回_2ヶ月前の在庫'!$W$6:$W$10005,$C389)/COUNTIFS('月1回_2ヶ月前の在庫'!$V$6:$V$10005,'設定'!$C$4,'月1回_2ヶ月前の在庫'!$W$6:$W$10005,$C389),0))),INDEX('商品マスタ'!$G$6:$G$1005,MATCH($C389,'商品マスタ'!$B$6:$B$1005,0))),IF(COUNTIFS('①在庫を貼る'!$V$6:$V$10005,'設定'!$C$4,'①在庫を貼る'!$W$6:$W$10005,$C389)&gt;0,SUMIFS('①在庫を貼る'!$Q$6:$Q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Q$6:$Q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Q$6:$Q$10005,'月1回_2ヶ月前の在庫'!$V$6:$V$10005,'設定'!$C$4,'月1回_2ヶ月前の在庫'!$W$6:$W$10005,$C389)/COUNTIFS('月1回_2ヶ月前の在庫'!$V$6:$V$10005,'設定'!$C$4,'月1回_2ヶ月前の在庫'!$W$6:$W$10005,$C389),0))))))</f>
        <v/>
      </c>
      <c r="I389">
        <f>IF($C389="","",IF(COUNTIFS('①在庫を貼る'!$V$6:$V$10005,'設定'!$C$4,'①在庫を貼る'!$W$6:$W$10005,$C389)=0,"",SUMIFS('①在庫を貼る'!$N$6:$N$10005,'①在庫を貼る'!$V$6:$V$10005,'設定'!$C$4,'①在庫を貼る'!$W$6:$W$10005,$C389)))</f>
        <v/>
      </c>
      <c r="J389">
        <f>IF($C389="","",IF('②発注する'!$AD393="","",'②発注する'!$AD393))</f>
        <v/>
      </c>
      <c r="K389" s="90">
        <f>IF($C389="","",IF('②発注する'!$AE393="","",'②発注する'!$AE393))</f>
        <v/>
      </c>
      <c r="L389">
        <f>IF($C389="","",IF(AND(ISNUMBER($J389),ISNUMBER($K389),$K389&gt;='設定'!$C$6),$J389,N($I389)))</f>
        <v/>
      </c>
      <c r="M389">
        <f>IF($C389="","",IFERROR(IF(N(INDEX('商品マスタ'!$J$6:$J$1005,MATCH($C389,'商品マスタ'!$B$6:$B$1005,0)))&gt;0,INDEX('商品マスタ'!$J$6:$J$1005,MATCH($C389,'商品マスタ'!$B$6:$B$1005,0)),""),""))</f>
        <v/>
      </c>
      <c r="N389">
        <f>IF($C389="","",IFERROR(IF(N(INDEX('商品マスタ'!$H$6:$H$1005,MATCH($C389,'商品マスタ'!$B$6:$B$1005,0)))&gt;0,INDEX('商品マスタ'!$H$6:$H$1005,MATCH($C389,'商品マスタ'!$B$6:$B$1005,0)),""),""))</f>
        <v/>
      </c>
      <c r="O389">
        <f>IF($C389="","",IF($N389&lt;&gt;"",$N389*$G389,IF(N(IF(COUNTIFS('①在庫を貼る'!$V$6:$V$10005,'設定'!$C$4,'①在庫を貼る'!$W$6:$W$10005,$C389)&gt;0,SUMIFS('①在庫を貼る'!$O$6:$O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O$6:$O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O$6:$O$10005,'月1回_2ヶ月前の在庫'!$V$6:$V$10005,'設定'!$C$4,'月1回_2ヶ月前の在庫'!$W$6:$W$10005,$C389)/COUNTIFS('月1回_2ヶ月前の在庫'!$V$6:$V$10005,'設定'!$C$4,'月1回_2ヶ月前の在庫'!$W$6:$W$10005,$C389),0))))&gt;0,N(IF(COUNTIFS('①在庫を貼る'!$V$6:$V$10005,'設定'!$C$4,'①在庫を貼る'!$W$6:$W$10005,$C389)&gt;0,SUMIFS('①在庫を貼る'!$O$6:$O$10005,'①在庫を貼る'!$V$6:$V$10005,'設定'!$C$4,'①在庫を貼る'!$W$6:$W$10005,$C389)/COUNTIFS('①在庫を貼る'!$V$6:$V$10005,'設定'!$C$4,'①在庫を貼る'!$W$6:$W$10005,$C389),IF(COUNTIFS('月1回_1ヶ月前の在庫'!$V$6:$V$10005,'設定'!$C$4,'月1回_1ヶ月前の在庫'!$W$6:$W$10005,$C389)&gt;0,SUMIFS('月1回_1ヶ月前の在庫'!$O$6:$O$10005,'月1回_1ヶ月前の在庫'!$V$6:$V$10005,'設定'!$C$4,'月1回_1ヶ月前の在庫'!$W$6:$W$10005,$C389)/COUNTIFS('月1回_1ヶ月前の在庫'!$V$6:$V$10005,'設定'!$C$4,'月1回_1ヶ月前の在庫'!$W$6:$W$10005,$C389),IF(COUNTIFS('月1回_2ヶ月前の在庫'!$V$6:$V$10005,'設定'!$C$4,'月1回_2ヶ月前の在庫'!$W$6:$W$10005,$C389)&gt;0,SUMIFS('月1回_2ヶ月前の在庫'!$O$6:$O$10005,'月1回_2ヶ月前の在庫'!$V$6:$V$10005,'設定'!$C$4,'月1回_2ヶ月前の在庫'!$W$6:$W$10005,$C389)/COUNTIFS('月1回_2ヶ月前の在庫'!$V$6:$V$10005,'設定'!$C$4,'月1回_2ヶ月前の在庫'!$W$6:$W$10005,$C389),0)))),"")))</f>
        <v/>
      </c>
      <c r="P389" s="90">
        <f>IF($C389="","",IF('②発注する'!$I393="","",'②発注する'!$I393))</f>
        <v/>
      </c>
      <c r="Q389">
        <f>IF($C389="","",IF('②発注する'!$J393="","",'②発注する'!$J393))</f>
        <v/>
      </c>
      <c r="R389">
        <f>IF($C389="",0,IF(AND(ISNUMBER($P389),ISNUMBER($Q389)),MAX(0,$Q389)*$G389,0))</f>
        <v/>
      </c>
      <c r="S389" s="90">
        <f>IF($C389="","",IF('②発注する'!$M393="","",'②発注する'!$M393))</f>
        <v/>
      </c>
      <c r="T389">
        <f>IF($C389="","",IF('②発注する'!$N393="","",'②発注する'!$N393))</f>
        <v/>
      </c>
      <c r="U389">
        <f>IF($C389="",0,IF(AND(ISNUMBER($S389),ISNUMBER($T389)),MAX(0,$T389)*$G389,0))</f>
        <v/>
      </c>
      <c r="V389">
        <f>IF($C389="",0,IF($M389="",0,MAX(0,$M389)*MAX(0,V$4)/100))</f>
        <v/>
      </c>
      <c r="W389">
        <f>IF($C389="",0,IF($M389="",0,MAX(0,$M389)*MAX(0,W$4)/100))</f>
        <v/>
      </c>
      <c r="X389">
        <f>IF($C389="",0,IF($M389="",0,MAX(0,$M389)*MAX(0,X$4)/100))</f>
        <v/>
      </c>
      <c r="Y389">
        <f>IF($C389="",0,IF($M389="",0,MAX(0,$M389)*MAX(0,Y$4)/100))</f>
        <v/>
      </c>
      <c r="Z389">
        <f>IF($C389="",0,IF($M389="",0,MAX(0,$M389)*MAX(0,Z$4)/100))</f>
        <v/>
      </c>
      <c r="AA389">
        <f>IF($C389="",0,IF($M389="",0,MAX(0,$M389)*MAX(0,AA$4)/100))</f>
        <v/>
      </c>
      <c r="AB389">
        <f>IF($C389="",0,IF($M389="",0,MAX(0,$M389)*MAX(0,AB$4)/100))</f>
        <v/>
      </c>
      <c r="AC389">
        <f>IF($C389="",0,IF($M389="",0,MAX(0,$M389)*MAX(0,AC$4)/100))</f>
        <v/>
      </c>
      <c r="AD389">
        <f>IF($C389="",0,IF($M389="",0,MAX(0,$M389)*MAX(0,AD$4)/100))</f>
        <v/>
      </c>
      <c r="AE389">
        <f>IF($C389="",0,IF($M389="",0,MAX(0,$M389)*MAX(0,AE$4)/100))</f>
        <v/>
      </c>
      <c r="AF389">
        <f>IF($C389="",0,IF($M389="",0,MAX(0,$M389)*MAX(0,AF$4)/100))</f>
        <v/>
      </c>
      <c r="AG389">
        <f>IF($C389="",0,IF($M389="",0,MAX(0,$M389)*MAX(0,AG$4)/100))</f>
        <v/>
      </c>
      <c r="AH389">
        <f>IF($C389="",0,IF($M389="",0,MAX(0,$M389)*MAX(0,AH$4)/100))</f>
        <v/>
      </c>
      <c r="AI389">
        <f>IF($C389="",0,IF($M389="",0,MAX(0,$M389)*MAX(0,AI$4)/100))</f>
        <v/>
      </c>
      <c r="AJ389">
        <f>IF($C389="",0,MAX(0,MAX(0,N($L389))-$V389))</f>
        <v/>
      </c>
      <c r="AK389">
        <f>IF($C389="",0,MAX(0,$AJ389-$W389))</f>
        <v/>
      </c>
      <c r="AL389">
        <f>IF($C389="",0,MAX(0,$AK389-$X389))</f>
        <v/>
      </c>
      <c r="AM389">
        <f>IF($C389="",0,MAX(0,$AL389-$Y389))</f>
        <v/>
      </c>
      <c r="AN389">
        <f>IF($C389="",0,MAX(0,$AM389-$Z389))</f>
        <v/>
      </c>
      <c r="AO389">
        <f>IF($C389="",0,MAX(0,$AN389-$AA389))</f>
        <v/>
      </c>
      <c r="AP389">
        <f>IF($C389="",0,MAX(0,$AO389-$AB389))</f>
        <v/>
      </c>
      <c r="AQ389">
        <f>IF($C389="",0,MAX(0,$AP389-$AC389))</f>
        <v/>
      </c>
      <c r="AR389">
        <f>IF($C389="",0,MAX(0,$AQ389-$AD389))</f>
        <v/>
      </c>
      <c r="AS389">
        <f>IF($C389="",0,MAX(0,$AR389-$AE389))</f>
        <v/>
      </c>
      <c r="AT389">
        <f>IF($C389="",0,MAX(0,$AS389-$AF389))</f>
        <v/>
      </c>
      <c r="AU389">
        <f>IF($C389="",0,MAX(0,$AT389-$AG389))</f>
        <v/>
      </c>
      <c r="AV389">
        <f>IF($C389="",0,MAX(0,$AU389-$AH389))</f>
        <v/>
      </c>
      <c r="AW389">
        <f>IF($C389="",0,MAX(0,$AV389-$AI389))</f>
        <v/>
      </c>
      <c r="AX389">
        <f>IF($C389="",0,MAX(0,MAX(0,N($L389))+IF($P389=V$3,$R389,0)+IF($S389=V$3,$U389,0)-$V389))</f>
        <v/>
      </c>
      <c r="AY389">
        <f>IF($C389="",0,MAX(0,$AX389+IF($P389=W$3,$R389,0)+IF($S389=W$3,$U389,0)-$W389))</f>
        <v/>
      </c>
      <c r="AZ389">
        <f>IF($C389="",0,MAX(0,$AY389+IF($P389=X$3,$R389,0)+IF($S389=X$3,$U389,0)-$X389))</f>
        <v/>
      </c>
      <c r="BA389">
        <f>IF($C389="",0,MAX(0,$AZ389+IF($P389=Y$3,$R389,0)+IF($S389=Y$3,$U389,0)-$Y389))</f>
        <v/>
      </c>
      <c r="BB389">
        <f>IF($C389="",0,MAX(0,$BA389+IF($P389=Z$3,$R389,0)+IF($S389=Z$3,$U389,0)-$Z389))</f>
        <v/>
      </c>
      <c r="BC389">
        <f>IF($C389="",0,MAX(0,$BB389+IF($P389=AA$3,$R389,0)+IF($S389=AA$3,$U389,0)-$AA389))</f>
        <v/>
      </c>
      <c r="BD389">
        <f>IF($C389="",0,MAX(0,$BC389+IF($P389=AB$3,$R389,0)+IF($S389=AB$3,$U389,0)-$AB389))</f>
        <v/>
      </c>
      <c r="BE389">
        <f>IF($C389="",0,MAX(0,$BD389+IF($P389=AC$3,$R389,0)+IF($S389=AC$3,$U389,0)-$AC389))</f>
        <v/>
      </c>
      <c r="BF389">
        <f>IF($C389="",0,MAX(0,$BE389+IF($P389=AD$3,$R389,0)+IF($S389=AD$3,$U389,0)-$AD389))</f>
        <v/>
      </c>
      <c r="BG389">
        <f>IF($C389="",0,MAX(0,$BF389+IF($P389=AE$3,$R389,0)+IF($S389=AE$3,$U389,0)-$AE389))</f>
        <v/>
      </c>
      <c r="BH389">
        <f>IF($C389="",0,MAX(0,$BG389+IF($P389=AF$3,$R389,0)+IF($S389=AF$3,$U389,0)-$AF389))</f>
        <v/>
      </c>
      <c r="BI389">
        <f>IF($C389="",0,MAX(0,$BH389+IF($P389=AG$3,$R389,0)+IF($S389=AG$3,$U389,0)-$AG389))</f>
        <v/>
      </c>
      <c r="BJ389">
        <f>IF($C389="",0,MAX(0,$BI389+IF($P389=AH$3,$R389,0)+IF($S389=AH$3,$U389,0)-$AH389))</f>
        <v/>
      </c>
      <c r="BK389">
        <f>IF($C389="",0,MAX(0,$BJ389+IF($P389=AI$3,$R389,0)+IF($S389=AI$3,$U389,0)-$AI389))</f>
        <v/>
      </c>
      <c r="BL389">
        <f>IF($C389="",99,IF(AND($AX389&lt;1,V$3&gt;=MAX(N($P389),N($S389))),0,99))</f>
        <v/>
      </c>
      <c r="BM389">
        <f>IF($C389="",99,IF(AND($AY389&lt;1,W$3&gt;=MAX(N($P389),N($S389))),1,99))</f>
        <v/>
      </c>
      <c r="BN389">
        <f>IF($C389="",99,IF(AND($AZ389&lt;1,X$3&gt;=MAX(N($P389),N($S389))),2,99))</f>
        <v/>
      </c>
      <c r="BO389">
        <f>IF($C389="",99,IF(AND($BA389&lt;1,Y$3&gt;=MAX(N($P389),N($S389))),3,99))</f>
        <v/>
      </c>
      <c r="BP389">
        <f>IF($C389="",99,IF(AND($BB389&lt;1,Z$3&gt;=MAX(N($P389),N($S389))),4,99))</f>
        <v/>
      </c>
      <c r="BQ389">
        <f>IF($C389="",99,IF(AND($BC389&lt;1,AA$3&gt;=MAX(N($P389),N($S389))),5,99))</f>
        <v/>
      </c>
      <c r="BR389">
        <f>IF($C389="",99,IF(AND($BD389&lt;1,AB$3&gt;=MAX(N($P389),N($S389))),6,99))</f>
        <v/>
      </c>
      <c r="BS389">
        <f>IF($C389="",99,IF(AND($BE389&lt;1,AC$3&gt;=MAX(N($P389),N($S389))),7,99))</f>
        <v/>
      </c>
      <c r="BT389">
        <f>IF($C389="",99,IF(AND($BF389&lt;1,AD$3&gt;=MAX(N($P389),N($S389))),8,99))</f>
        <v/>
      </c>
      <c r="BU389">
        <f>IF($C389="",99,IF(AND($BG389&lt;1,AE$3&gt;=MAX(N($P389),N($S389))),9,99))</f>
        <v/>
      </c>
      <c r="BV389">
        <f>IF($C389="",99,IF(AND($BH389&lt;1,AF$3&gt;=MAX(N($P389),N($S389))),10,99))</f>
        <v/>
      </c>
      <c r="BW389">
        <f>IF($C389="",99,IF(AND($BI389&lt;1,AG$3&gt;=MAX(N($P389),N($S389))),11,99))</f>
        <v/>
      </c>
      <c r="BX389">
        <f>IF($C389="",99,IF(AND($BJ389&lt;1,AH$3&gt;=MAX(N($P389),N($S389))),12,99))</f>
        <v/>
      </c>
      <c r="BY389">
        <f>IF($C389="",99,IF(AND($BK389&lt;1,AI$3&gt;=MAX(N($P389),N($S389))),13,99))</f>
        <v/>
      </c>
      <c r="BZ389">
        <f>IF(OR($C389="",$M389=""),"",COUNTIF($AJ389:$AW389,"&gt;=1"))</f>
        <v/>
      </c>
      <c r="CA389" s="90">
        <f>IF($BZ389="","",IF($BZ389&gt;=14,"",'設定'!$C$6+$BZ389))</f>
        <v/>
      </c>
      <c r="CB389">
        <f>IF(OR($C389="",$M389=""),"",MIN($BL389:$BY389))</f>
        <v/>
      </c>
      <c r="CC389" s="90">
        <f>IF($CB389="","",IF($CB389&gt;=99,"",'設定'!$C$6+$CB389))</f>
        <v/>
      </c>
      <c r="CD389">
        <f>IF(OR($C389="",$M389=""),"",AVERAGE($V389:$AI389))</f>
        <v/>
      </c>
      <c r="CE389">
        <f>IF($C389="","",IFERROR(IF(MATCH(IF(ISNUMBER($P389),$P389,'設定'!$C$6+N('設定'!$C$7)),$V$3:$AI$3,0)=1,MAX(0,N($L389)),INDEX($AJ389:$AW389,MATCH(IF(ISNUMBER($P389),$P389,'設定'!$C$6+N('設定'!$C$7)),$V$3:$AI$3,0)-1)),""))</f>
        <v/>
      </c>
      <c r="CF389">
        <f>IF(OR($C389="",$O389="",$CE389=""),"",IF($O389-$CE389&lt;=0,0,ROUNDUP(($O389-$CE389)/$G389,0)))</f>
        <v/>
      </c>
      <c r="CG389">
        <f>IF(OR($C389="",$CF389="",NOT(ISNUMBER($Q389))),0,MAX(0,$Q389-$CF389))</f>
        <v/>
      </c>
      <c r="CH389">
        <f>IF(OR($C389="",$O389="",$U389=0),0,IFERROR(ROUNDUP(MAX(0,IF(MATCH($S389,$V$3:$AI$3,0)=1,MAX(0,N($L389)),INDEX($AX389:$BK389,MATCH($S389,$V$3:$AI$3,0)-1))+$U389-$O389)/$G389,0),0))</f>
        <v/>
      </c>
      <c r="CI389">
        <f>IF($C389="","",IF(AND($P389="",$Q389=""),"",IF($P389="","⚠ 入庫日を ▼ から選んでください",IF(NOT(ISNUMBER($P389)),"⚠ 入庫日は ▼ から選んでください",IF($P389&lt;N('設定'!$C$6),"⚠ 入庫日が過去です（もう在庫に入っています）→ 消してください",IF($P389&gt;N('設定'!$C$6)+13,"⚠ 入庫日が14日より先です",IF(N($Q389)&lt;=0,"⚠ 入庫数を入れてください",IF($CG389&gt;0,"⚠ 目安より "&amp;$CG389&amp;" 多い（定数を超える）→ 減らす",""))))))))</f>
        <v/>
      </c>
      <c r="CJ389">
        <f>IF($C389="","",IF(AND($S389="",$T389=""),"",IF($S389="","⚠ 2便目：入庫日を ▼ から選んでください",IF(NOT(ISNUMBER($S389)),"⚠ 2便目：入庫日は ▼ から選んでください",IF($S389&lt;N('設定'!$C$6),"⚠ 2便目：入庫日が過去です（もう在庫に入っています）→ 消してください",IF($S389&gt;N('設定'!$C$6)+13,"⚠ 2便目：入庫日が14日より先です",IF(N($T389)&lt;=0,"⚠ 2便目：入庫数を入れてください",IF($CH389&gt;0,"⚠ 2便目：定数を "&amp;$CH389&amp;" ケース超える → 減らす",""))))))))</f>
        <v/>
      </c>
      <c r="CK389">
        <f>IF(AND($CI389="",N($Q389)&gt;0,ISNUMBER($P389)),1,0)</f>
        <v/>
      </c>
      <c r="CL389">
        <f>IF(AND($CJ389="",N($T389)&gt;0,ISNUMBER($S389)),1,0)</f>
        <v/>
      </c>
      <c r="CM389">
        <f>IF(OR($CK389=1,$CL389=1),1,0)</f>
        <v/>
      </c>
      <c r="CN389">
        <f>IF($C389="",0,($CK389*$R389+$CL389*$U389)*N($H389))</f>
        <v/>
      </c>
      <c r="CO389">
        <f>IF($C389="","",IF($CC389="","入庫後は 14日以上もつ",IF($CC389-N('設定'!$C$7)&lt;='設定'!$C$6,"入庫後も "&amp;TEXT($CC389,"m/d")&amp;"("&amp;CHOOSE(WEEKDAY($CC389),"日","月","火","水","木","金","土")&amp;")"&amp;" に切れる　もう1便を至急発注","入庫後も "&amp;TEXT($CC389,"m/d")&amp;"("&amp;CHOOSE(WEEKDAY($CC389),"日","月","火","水","木","金","土")&amp;")"&amp;" に切れる　"&amp;TEXT($CC389-N('設定'!$C$7),"m/d")&amp;"("&amp;CHOOSE(WEEKDAY($CC389-N('設定'!$C$7)),"日","月","火","水","木","金","土")&amp;")"&amp;" までに次を発注")))</f>
        <v/>
      </c>
      <c r="CP389">
        <f>IF($C389="","",IF('設定'!$C$6="","？ ①在庫を貼る に今日のCSVが貼られていない",IF($CS389=1,"－ 今日のCSVに無い（終売？）",IF($L389&lt;0,"● 在庫がマイナス　数えて「数えた在庫」に入れる",IF($L389=0,"● 在庫なし　至急発注",IF($M389="","？ 減り数が未設定（商品マスタ）",IF($B$3=0,"？ 動員が未入力（動員を入れる）",IF($CA389="","○ 14日以上もつ",IF($BZ389&lt;N('設定'!$C$7),"● "&amp;TEXT($CA389,"m/d")&amp;"("&amp;CHOOSE(WEEKDAY($CA389),"日","月","火","水","木","金","土")&amp;")"&amp;" に切れる　至急発注",IF($BZ389=N('設定'!$C$7),"● "&amp;TEXT($CA389,"m/d")&amp;"("&amp;CHOOSE(WEEKDAY($CA389),"日","月","火","水","木","金","土")&amp;")"&amp;" に切れる　今日発注","△ "&amp;TEXT($CA389,"m/d")&amp;"("&amp;CHOOSE(WEEKDAY($CA389),"日","月","火","水","木","金","土")&amp;")"&amp;" に切れる　"&amp;TEXT($CA389-N('設定'!$C$7),"m/d")&amp;"("&amp;CHOOSE(WEEKDAY($CA389-N('設定'!$C$7)),"日","月","火","水","木","金","土")&amp;")"&amp;" までに発注"))))))))))</f>
        <v/>
      </c>
      <c r="CQ389">
        <f>IF($C389="","",IF(AND($P389="",$Q389="",$S389="",$T389=""),"",IF(AND($P389="",$Q389=""),"⚠ 先に1便目（左の入庫日・入庫数）に入れてください",IF($CI389&lt;&gt;"",$CI389,IF($CJ389&lt;&gt;"",$CJ389,IF($M389="","？ 減り数が未設定（発注書には載ります）",IF($B$3=0,"？ 動員が未入力（発注書には載ります）",IF(AND($CA389&lt;&gt;"",$P389&gt;$CA389),IF($P389&gt;'設定'!$C$6+N('設定'!$C$7),"● "&amp;TEXT($P389,"m/d")&amp;"("&amp;CHOOSE(WEEKDAY($P389),"日","月","火","水","木","金","土")&amp;")"&amp;" の入庫では間に合わない（"&amp;TEXT($CA389,"m/d")&amp;"("&amp;CHOOSE(WEEKDAY($CA389),"日","月","火","水","木","金","土")&amp;")"&amp;" に切れる）　入庫日を早める","△ 欠品 "&amp;TEXT($CA389,"m/d")&amp;"("&amp;CHOOSE(WEEKDAY($CA389),"日","月","火","水","木","金","土")&amp;")"&amp;"〜"&amp;TEXT($P389-1,"m/d")&amp;"("&amp;CHOOSE(WEEKDAY($P389-1),"日","月","火","水","木","金","土")&amp;")"&amp;"　"&amp;$CO389),IF($CC389="","○ "&amp;TEXT($P389,"m/d")&amp;"("&amp;CHOOSE(WEEKDAY($P389),"日","月","火","水","木","金","土")&amp;")"&amp;" 入庫で 14日以上もつ",IF($CC389-N('設定'!$C$7)&lt;='設定'!$C$6,"● 入庫しても "&amp;TEXT($CC389,"m/d")&amp;"("&amp;CHOOSE(WEEKDAY($CC389),"日","月","火","水","木","金","土")&amp;")"&amp;" に切れる　もう1便を至急発注（2便目に入れる）","△ 入庫しても "&amp;TEXT($CC389,"m/d")&amp;"("&amp;CHOOSE(WEEKDAY($CC389),"日","月","火","水","木","金","土")&amp;")"&amp;" に切れる　"&amp;TEXT($CC389-N('設定'!$C$7),"m/d")&amp;"("&amp;CHOOSE(WEEKDAY($CC389-N('設定'!$C$7)),"日","月","火","水","木","金","土")&amp;")"&amp;" までに次を発注（2便目に入れる）"))))))))))</f>
        <v/>
      </c>
      <c r="CR389">
        <f>IF($C389="","",IF($G389&gt;1,"ｹｰｽ("&amp;$G389&amp;"入)","個"))</f>
        <v/>
      </c>
      <c r="CS389">
        <f>IF($C389="",0,IF(COUNTIFS('①在庫を貼る'!$V$6:$V$10005,'設定'!$C$4,'①在庫を貼る'!$W$6:$W$10005,$C389)=0,1,0))</f>
        <v/>
      </c>
      <c r="CT389">
        <f>IF(AND($CK389=1,OR('③発注書'!$C$4="すべて",'③発注書'!$C$4="",$F389='③発注書'!$C$4)),N($CT388)+1,N($CT388))</f>
        <v/>
      </c>
      <c r="CU389">
        <f>IF(AND($CL389=1,OR('③発注書'!$C$4="すべて",'③発注書'!$C$4="",$F389='③発注書'!$C$4)),N($CU388)+1,N($CU388))</f>
        <v/>
      </c>
      <c r="CV389">
        <f>IF($C389="",0,IF(COUNTIFS('①在庫を貼る'!$V$6:$V$10005,'設定'!$C$4,'①在庫を貼る'!$W$6:$W$10005,$C389)&gt;0,1,0))</f>
        <v/>
      </c>
      <c r="CW389">
        <f>IF($C389="",0,IF(COUNTIFS('月1回_1ヶ月前の在庫'!$V$6:$V$10005,'設定'!$C$4,'月1回_1ヶ月前の在庫'!$W$6:$W$10005,$C389)&gt;0,1,0))</f>
        <v/>
      </c>
      <c r="CX389">
        <f>IF($C389="",0,IF(COUNTIFS('月1回_2ヶ月前の在庫'!$V$6:$V$10005,'設定'!$C$4,'月1回_2ヶ月前の在庫'!$W$6:$W$10005,$C389)&gt;0,1,0))</f>
        <v/>
      </c>
      <c r="CY389">
        <f>IF(OR($C389="",'設定'!$C$12=""),"",IF('設定'!$C$13="",IF(AND($CV389=1,$CW389=0),"新商品（今月から）",IF(AND($CV389=0,$CW389=1),"終売（今月から）","")),IF(AND($CV389=1,$CW389=0,$CX389=0),"新商品（今月から）",IF(AND($CV389=1,$CW389=1,$CX389=0),"新商品（先月から）",IF(AND($CV389=0,$CW389=1,$CX389=1),"終売（今月から）",IF(AND($CV389=0,$CW389=0,$CX389=1),"終売（先月から）",IF(AND($CV389=1,$CW389=0,$CX389=1),"復活（先月は無し）","")))))))</f>
        <v/>
      </c>
    </row>
    <row r="390">
      <c r="B390">
        <f>IF(385&lt;='設定'!$C$11,385,"")</f>
        <v/>
      </c>
      <c r="C390">
        <f>IF($B390="","",IF($B390&lt;='設定'!$C$20,INDEX('商品マスタ'!$B$6:$B$1005,MATCH($B390,'商品マスタ'!$M$6:$M$1005,0)),IF($B390&lt;='設定'!$C$20+'設定'!$C$17,INDEX('①在庫を貼る'!$W$6:$W$10005,MATCH($B390-'設定'!$C$20,'①在庫を貼る'!$U$6:$U$10005,0)),IF($B390&lt;='設定'!$C$20+'設定'!$C$17+'設定'!$C$18,INDEX('月1回_1ヶ月前の在庫'!$W$6:$W$10005,MATCH($B390-'設定'!$C$20-'設定'!$C$17,'月1回_1ヶ月前の在庫'!$U$6:$U$10005,0)),INDEX('月1回_2ヶ月前の在庫'!$W$6:$W$10005,MATCH($B390-'設定'!$C$20-'設定'!$C$17-'設定'!$C$18,'月1回_2ヶ月前の在庫'!$U$6:$U$10005,0))))))</f>
        <v/>
      </c>
      <c r="D390">
        <f>IF($C390="","",IFERROR(IF(INDEX('商品マスタ'!$C$6:$C$1005,MATCH($C390,'商品マスタ'!$B$6:$B$1005,0))="",IFERROR(INDEX('①在庫を貼る'!$J$6:$J$10005,MATCH($C390,'①在庫を貼る'!$W$6:$W$10005,0)),IFERROR(INDEX('月1回_1ヶ月前の在庫'!$J$6:$J$10005,MATCH($C390,'月1回_1ヶ月前の在庫'!$W$6:$W$10005,0)),IFERROR(INDEX('月1回_2ヶ月前の在庫'!$J$6:$J$10005,MATCH($C390,'月1回_2ヶ月前の在庫'!$W$6:$W$10005,0)),""))),INDEX('商品マスタ'!$C$6:$C$1005,MATCH($C390,'商品マスタ'!$B$6:$B$1005,0))),IFERROR(INDEX('①在庫を貼る'!$J$6:$J$10005,MATCH($C390,'①在庫を貼る'!$W$6:$W$10005,0)),IFERROR(INDEX('月1回_1ヶ月前の在庫'!$J$6:$J$10005,MATCH($C390,'月1回_1ヶ月前の在庫'!$W$6:$W$10005,0)),IFERROR(INDEX('月1回_2ヶ月前の在庫'!$J$6:$J$10005,MATCH($C390,'月1回_2ヶ月前の在庫'!$W$6:$W$10005,0)),"")))))</f>
        <v/>
      </c>
      <c r="E390">
        <f>IF($C390="","",IFERROR(IF(INDEX('商品マスタ'!$D$6:$D$1005,MATCH($C390,'商品マスタ'!$B$6:$B$1005,0))="",IFERROR(INDEX('①在庫を貼る'!$H$6:$H$10005,MATCH($C390,'①在庫を貼る'!$W$6:$W$10005,0)),IFERROR(INDEX('月1回_1ヶ月前の在庫'!$H$6:$H$10005,MATCH($C390,'月1回_1ヶ月前の在庫'!$W$6:$W$10005,0)),IFERROR(INDEX('月1回_2ヶ月前の在庫'!$H$6:$H$10005,MATCH($C390,'月1回_2ヶ月前の在庫'!$W$6:$W$10005,0)),""))),INDEX('商品マスタ'!$D$6:$D$1005,MATCH($C390,'商品マスタ'!$B$6:$B$1005,0))),IFERROR(INDEX('①在庫を貼る'!$H$6:$H$10005,MATCH($C390,'①在庫を貼る'!$W$6:$W$10005,0)),IFERROR(INDEX('月1回_1ヶ月前の在庫'!$H$6:$H$10005,MATCH($C390,'月1回_1ヶ月前の在庫'!$W$6:$W$10005,0)),IFERROR(INDEX('月1回_2ヶ月前の在庫'!$H$6:$H$10005,MATCH($C390,'月1回_2ヶ月前の在庫'!$W$6:$W$10005,0)),"")))))</f>
        <v/>
      </c>
      <c r="F390">
        <f>IF($C390="","",IFERROR(IF(INDEX('商品マスタ'!$E$6:$E$1005,MATCH($C390,'商品マスタ'!$B$6:$B$1005,0))="",IFERROR(INDEX('①在庫を貼る'!$E$6:$E$10005,MATCH($C390,'①在庫を貼る'!$W$6:$W$10005,0)),IFERROR(INDEX('月1回_1ヶ月前の在庫'!$E$6:$E$10005,MATCH($C390,'月1回_1ヶ月前の在庫'!$W$6:$W$10005,0)),IFERROR(INDEX('月1回_2ヶ月前の在庫'!$E$6:$E$10005,MATCH($C390,'月1回_2ヶ月前の在庫'!$W$6:$W$10005,0)),""))),INDEX('商品マスタ'!$E$6:$E$1005,MATCH($C390,'商品マスタ'!$B$6:$B$1005,0))),IFERROR(INDEX('①在庫を貼る'!$E$6:$E$10005,MATCH($C390,'①在庫を貼る'!$W$6:$W$10005,0)),IFERROR(INDEX('月1回_1ヶ月前の在庫'!$E$6:$E$10005,MATCH($C390,'月1回_1ヶ月前の在庫'!$W$6:$W$10005,0)),IFERROR(INDEX('月1回_2ヶ月前の在庫'!$E$6:$E$10005,MATCH($C390,'月1回_2ヶ月前の在庫'!$W$6:$W$10005,0)),"")))))</f>
        <v/>
      </c>
      <c r="G390">
        <f>IF($C390="","",MAX(1,N(IFERROR(IF(INDEX('商品マスタ'!$F$6:$F$1005,MATCH($C390,'商品マスタ'!$B$6:$B$1005,0))="",IF(COUNTIFS('①在庫を貼る'!$V$6:$V$10005,'設定'!$C$4,'①在庫を貼る'!$W$6:$W$10005,$C390)&gt;0,SUMIFS('①在庫を貼る'!$K$6:$K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K$6:$K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K$6:$K$10005,'月1回_2ヶ月前の在庫'!$V$6:$V$10005,'設定'!$C$4,'月1回_2ヶ月前の在庫'!$W$6:$W$10005,$C390)/COUNTIFS('月1回_2ヶ月前の在庫'!$V$6:$V$10005,'設定'!$C$4,'月1回_2ヶ月前の在庫'!$W$6:$W$10005,$C390),0))),INDEX('商品マスタ'!$F$6:$F$1005,MATCH($C390,'商品マスタ'!$B$6:$B$1005,0))),IF(COUNTIFS('①在庫を貼る'!$V$6:$V$10005,'設定'!$C$4,'①在庫を貼る'!$W$6:$W$10005,$C390)&gt;0,SUMIFS('①在庫を貼る'!$K$6:$K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K$6:$K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K$6:$K$10005,'月1回_2ヶ月前の在庫'!$V$6:$V$10005,'設定'!$C$4,'月1回_2ヶ月前の在庫'!$W$6:$W$10005,$C390)/COUNTIFS('月1回_2ヶ月前の在庫'!$V$6:$V$10005,'設定'!$C$4,'月1回_2ヶ月前の在庫'!$W$6:$W$10005,$C390),0)))))))</f>
        <v/>
      </c>
      <c r="H390">
        <f>IF($C390="","",N(IFERROR(IF(INDEX('商品マスタ'!$G$6:$G$1005,MATCH($C390,'商品マスタ'!$B$6:$B$1005,0))="",IF(COUNTIFS('①在庫を貼る'!$V$6:$V$10005,'設定'!$C$4,'①在庫を貼る'!$W$6:$W$10005,$C390)&gt;0,SUMIFS('①在庫を貼る'!$Q$6:$Q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Q$6:$Q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Q$6:$Q$10005,'月1回_2ヶ月前の在庫'!$V$6:$V$10005,'設定'!$C$4,'月1回_2ヶ月前の在庫'!$W$6:$W$10005,$C390)/COUNTIFS('月1回_2ヶ月前の在庫'!$V$6:$V$10005,'設定'!$C$4,'月1回_2ヶ月前の在庫'!$W$6:$W$10005,$C390),0))),INDEX('商品マスタ'!$G$6:$G$1005,MATCH($C390,'商品マスタ'!$B$6:$B$1005,0))),IF(COUNTIFS('①在庫を貼る'!$V$6:$V$10005,'設定'!$C$4,'①在庫を貼る'!$W$6:$W$10005,$C390)&gt;0,SUMIFS('①在庫を貼る'!$Q$6:$Q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Q$6:$Q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Q$6:$Q$10005,'月1回_2ヶ月前の在庫'!$V$6:$V$10005,'設定'!$C$4,'月1回_2ヶ月前の在庫'!$W$6:$W$10005,$C390)/COUNTIFS('月1回_2ヶ月前の在庫'!$V$6:$V$10005,'設定'!$C$4,'月1回_2ヶ月前の在庫'!$W$6:$W$10005,$C390),0))))))</f>
        <v/>
      </c>
      <c r="I390">
        <f>IF($C390="","",IF(COUNTIFS('①在庫を貼る'!$V$6:$V$10005,'設定'!$C$4,'①在庫を貼る'!$W$6:$W$10005,$C390)=0,"",SUMIFS('①在庫を貼る'!$N$6:$N$10005,'①在庫を貼る'!$V$6:$V$10005,'設定'!$C$4,'①在庫を貼る'!$W$6:$W$10005,$C390)))</f>
        <v/>
      </c>
      <c r="J390">
        <f>IF($C390="","",IF('②発注する'!$AD394="","",'②発注する'!$AD394))</f>
        <v/>
      </c>
      <c r="K390" s="90">
        <f>IF($C390="","",IF('②発注する'!$AE394="","",'②発注する'!$AE394))</f>
        <v/>
      </c>
      <c r="L390">
        <f>IF($C390="","",IF(AND(ISNUMBER($J390),ISNUMBER($K390),$K390&gt;='設定'!$C$6),$J390,N($I390)))</f>
        <v/>
      </c>
      <c r="M390">
        <f>IF($C390="","",IFERROR(IF(N(INDEX('商品マスタ'!$J$6:$J$1005,MATCH($C390,'商品マスタ'!$B$6:$B$1005,0)))&gt;0,INDEX('商品マスタ'!$J$6:$J$1005,MATCH($C390,'商品マスタ'!$B$6:$B$1005,0)),""),""))</f>
        <v/>
      </c>
      <c r="N390">
        <f>IF($C390="","",IFERROR(IF(N(INDEX('商品マスタ'!$H$6:$H$1005,MATCH($C390,'商品マスタ'!$B$6:$B$1005,0)))&gt;0,INDEX('商品マスタ'!$H$6:$H$1005,MATCH($C390,'商品マスタ'!$B$6:$B$1005,0)),""),""))</f>
        <v/>
      </c>
      <c r="O390">
        <f>IF($C390="","",IF($N390&lt;&gt;"",$N390*$G390,IF(N(IF(COUNTIFS('①在庫を貼る'!$V$6:$V$10005,'設定'!$C$4,'①在庫を貼る'!$W$6:$W$10005,$C390)&gt;0,SUMIFS('①在庫を貼る'!$O$6:$O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O$6:$O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O$6:$O$10005,'月1回_2ヶ月前の在庫'!$V$6:$V$10005,'設定'!$C$4,'月1回_2ヶ月前の在庫'!$W$6:$W$10005,$C390)/COUNTIFS('月1回_2ヶ月前の在庫'!$V$6:$V$10005,'設定'!$C$4,'月1回_2ヶ月前の在庫'!$W$6:$W$10005,$C390),0))))&gt;0,N(IF(COUNTIFS('①在庫を貼る'!$V$6:$V$10005,'設定'!$C$4,'①在庫を貼る'!$W$6:$W$10005,$C390)&gt;0,SUMIFS('①在庫を貼る'!$O$6:$O$10005,'①在庫を貼る'!$V$6:$V$10005,'設定'!$C$4,'①在庫を貼る'!$W$6:$W$10005,$C390)/COUNTIFS('①在庫を貼る'!$V$6:$V$10005,'設定'!$C$4,'①在庫を貼る'!$W$6:$W$10005,$C390),IF(COUNTIFS('月1回_1ヶ月前の在庫'!$V$6:$V$10005,'設定'!$C$4,'月1回_1ヶ月前の在庫'!$W$6:$W$10005,$C390)&gt;0,SUMIFS('月1回_1ヶ月前の在庫'!$O$6:$O$10005,'月1回_1ヶ月前の在庫'!$V$6:$V$10005,'設定'!$C$4,'月1回_1ヶ月前の在庫'!$W$6:$W$10005,$C390)/COUNTIFS('月1回_1ヶ月前の在庫'!$V$6:$V$10005,'設定'!$C$4,'月1回_1ヶ月前の在庫'!$W$6:$W$10005,$C390),IF(COUNTIFS('月1回_2ヶ月前の在庫'!$V$6:$V$10005,'設定'!$C$4,'月1回_2ヶ月前の在庫'!$W$6:$W$10005,$C390)&gt;0,SUMIFS('月1回_2ヶ月前の在庫'!$O$6:$O$10005,'月1回_2ヶ月前の在庫'!$V$6:$V$10005,'設定'!$C$4,'月1回_2ヶ月前の在庫'!$W$6:$W$10005,$C390)/COUNTIFS('月1回_2ヶ月前の在庫'!$V$6:$V$10005,'設定'!$C$4,'月1回_2ヶ月前の在庫'!$W$6:$W$10005,$C390),0)))),"")))</f>
        <v/>
      </c>
      <c r="P390" s="90">
        <f>IF($C390="","",IF('②発注する'!$I394="","",'②発注する'!$I394))</f>
        <v/>
      </c>
      <c r="Q390">
        <f>IF($C390="","",IF('②発注する'!$J394="","",'②発注する'!$J394))</f>
        <v/>
      </c>
      <c r="R390">
        <f>IF($C390="",0,IF(AND(ISNUMBER($P390),ISNUMBER($Q390)),MAX(0,$Q390)*$G390,0))</f>
        <v/>
      </c>
      <c r="S390" s="90">
        <f>IF($C390="","",IF('②発注する'!$M394="","",'②発注する'!$M394))</f>
        <v/>
      </c>
      <c r="T390">
        <f>IF($C390="","",IF('②発注する'!$N394="","",'②発注する'!$N394))</f>
        <v/>
      </c>
      <c r="U390">
        <f>IF($C390="",0,IF(AND(ISNUMBER($S390),ISNUMBER($T390)),MAX(0,$T390)*$G390,0))</f>
        <v/>
      </c>
      <c r="V390">
        <f>IF($C390="",0,IF($M390="",0,MAX(0,$M390)*MAX(0,V$4)/100))</f>
        <v/>
      </c>
      <c r="W390">
        <f>IF($C390="",0,IF($M390="",0,MAX(0,$M390)*MAX(0,W$4)/100))</f>
        <v/>
      </c>
      <c r="X390">
        <f>IF($C390="",0,IF($M390="",0,MAX(0,$M390)*MAX(0,X$4)/100))</f>
        <v/>
      </c>
      <c r="Y390">
        <f>IF($C390="",0,IF($M390="",0,MAX(0,$M390)*MAX(0,Y$4)/100))</f>
        <v/>
      </c>
      <c r="Z390">
        <f>IF($C390="",0,IF($M390="",0,MAX(0,$M390)*MAX(0,Z$4)/100))</f>
        <v/>
      </c>
      <c r="AA390">
        <f>IF($C390="",0,IF($M390="",0,MAX(0,$M390)*MAX(0,AA$4)/100))</f>
        <v/>
      </c>
      <c r="AB390">
        <f>IF($C390="",0,IF($M390="",0,MAX(0,$M390)*MAX(0,AB$4)/100))</f>
        <v/>
      </c>
      <c r="AC390">
        <f>IF($C390="",0,IF($M390="",0,MAX(0,$M390)*MAX(0,AC$4)/100))</f>
        <v/>
      </c>
      <c r="AD390">
        <f>IF($C390="",0,IF($M390="",0,MAX(0,$M390)*MAX(0,AD$4)/100))</f>
        <v/>
      </c>
      <c r="AE390">
        <f>IF($C390="",0,IF($M390="",0,MAX(0,$M390)*MAX(0,AE$4)/100))</f>
        <v/>
      </c>
      <c r="AF390">
        <f>IF($C390="",0,IF($M390="",0,MAX(0,$M390)*MAX(0,AF$4)/100))</f>
        <v/>
      </c>
      <c r="AG390">
        <f>IF($C390="",0,IF($M390="",0,MAX(0,$M390)*MAX(0,AG$4)/100))</f>
        <v/>
      </c>
      <c r="AH390">
        <f>IF($C390="",0,IF($M390="",0,MAX(0,$M390)*MAX(0,AH$4)/100))</f>
        <v/>
      </c>
      <c r="AI390">
        <f>IF($C390="",0,IF($M390="",0,MAX(0,$M390)*MAX(0,AI$4)/100))</f>
        <v/>
      </c>
      <c r="AJ390">
        <f>IF($C390="",0,MAX(0,MAX(0,N($L390))-$V390))</f>
        <v/>
      </c>
      <c r="AK390">
        <f>IF($C390="",0,MAX(0,$AJ390-$W390))</f>
        <v/>
      </c>
      <c r="AL390">
        <f>IF($C390="",0,MAX(0,$AK390-$X390))</f>
        <v/>
      </c>
      <c r="AM390">
        <f>IF($C390="",0,MAX(0,$AL390-$Y390))</f>
        <v/>
      </c>
      <c r="AN390">
        <f>IF($C390="",0,MAX(0,$AM390-$Z390))</f>
        <v/>
      </c>
      <c r="AO390">
        <f>IF($C390="",0,MAX(0,$AN390-$AA390))</f>
        <v/>
      </c>
      <c r="AP390">
        <f>IF($C390="",0,MAX(0,$AO390-$AB390))</f>
        <v/>
      </c>
      <c r="AQ390">
        <f>IF($C390="",0,MAX(0,$AP390-$AC390))</f>
        <v/>
      </c>
      <c r="AR390">
        <f>IF($C390="",0,MAX(0,$AQ390-$AD390))</f>
        <v/>
      </c>
      <c r="AS390">
        <f>IF($C390="",0,MAX(0,$AR390-$AE390))</f>
        <v/>
      </c>
      <c r="AT390">
        <f>IF($C390="",0,MAX(0,$AS390-$AF390))</f>
        <v/>
      </c>
      <c r="AU390">
        <f>IF($C390="",0,MAX(0,$AT390-$AG390))</f>
        <v/>
      </c>
      <c r="AV390">
        <f>IF($C390="",0,MAX(0,$AU390-$AH390))</f>
        <v/>
      </c>
      <c r="AW390">
        <f>IF($C390="",0,MAX(0,$AV390-$AI390))</f>
        <v/>
      </c>
      <c r="AX390">
        <f>IF($C390="",0,MAX(0,MAX(0,N($L390))+IF($P390=V$3,$R390,0)+IF($S390=V$3,$U390,0)-$V390))</f>
        <v/>
      </c>
      <c r="AY390">
        <f>IF($C390="",0,MAX(0,$AX390+IF($P390=W$3,$R390,0)+IF($S390=W$3,$U390,0)-$W390))</f>
        <v/>
      </c>
      <c r="AZ390">
        <f>IF($C390="",0,MAX(0,$AY390+IF($P390=X$3,$R390,0)+IF($S390=X$3,$U390,0)-$X390))</f>
        <v/>
      </c>
      <c r="BA390">
        <f>IF($C390="",0,MAX(0,$AZ390+IF($P390=Y$3,$R390,0)+IF($S390=Y$3,$U390,0)-$Y390))</f>
        <v/>
      </c>
      <c r="BB390">
        <f>IF($C390="",0,MAX(0,$BA390+IF($P390=Z$3,$R390,0)+IF($S390=Z$3,$U390,0)-$Z390))</f>
        <v/>
      </c>
      <c r="BC390">
        <f>IF($C390="",0,MAX(0,$BB390+IF($P390=AA$3,$R390,0)+IF($S390=AA$3,$U390,0)-$AA390))</f>
        <v/>
      </c>
      <c r="BD390">
        <f>IF($C390="",0,MAX(0,$BC390+IF($P390=AB$3,$R390,0)+IF($S390=AB$3,$U390,0)-$AB390))</f>
        <v/>
      </c>
      <c r="BE390">
        <f>IF($C390="",0,MAX(0,$BD390+IF($P390=AC$3,$R390,0)+IF($S390=AC$3,$U390,0)-$AC390))</f>
        <v/>
      </c>
      <c r="BF390">
        <f>IF($C390="",0,MAX(0,$BE390+IF($P390=AD$3,$R390,0)+IF($S390=AD$3,$U390,0)-$AD390))</f>
        <v/>
      </c>
      <c r="BG390">
        <f>IF($C390="",0,MAX(0,$BF390+IF($P390=AE$3,$R390,0)+IF($S390=AE$3,$U390,0)-$AE390))</f>
        <v/>
      </c>
      <c r="BH390">
        <f>IF($C390="",0,MAX(0,$BG390+IF($P390=AF$3,$R390,0)+IF($S390=AF$3,$U390,0)-$AF390))</f>
        <v/>
      </c>
      <c r="BI390">
        <f>IF($C390="",0,MAX(0,$BH390+IF($P390=AG$3,$R390,0)+IF($S390=AG$3,$U390,0)-$AG390))</f>
        <v/>
      </c>
      <c r="BJ390">
        <f>IF($C390="",0,MAX(0,$BI390+IF($P390=AH$3,$R390,0)+IF($S390=AH$3,$U390,0)-$AH390))</f>
        <v/>
      </c>
      <c r="BK390">
        <f>IF($C390="",0,MAX(0,$BJ390+IF($P390=AI$3,$R390,0)+IF($S390=AI$3,$U390,0)-$AI390))</f>
        <v/>
      </c>
      <c r="BL390">
        <f>IF($C390="",99,IF(AND($AX390&lt;1,V$3&gt;=MAX(N($P390),N($S390))),0,99))</f>
        <v/>
      </c>
      <c r="BM390">
        <f>IF($C390="",99,IF(AND($AY390&lt;1,W$3&gt;=MAX(N($P390),N($S390))),1,99))</f>
        <v/>
      </c>
      <c r="BN390">
        <f>IF($C390="",99,IF(AND($AZ390&lt;1,X$3&gt;=MAX(N($P390),N($S390))),2,99))</f>
        <v/>
      </c>
      <c r="BO390">
        <f>IF($C390="",99,IF(AND($BA390&lt;1,Y$3&gt;=MAX(N($P390),N($S390))),3,99))</f>
        <v/>
      </c>
      <c r="BP390">
        <f>IF($C390="",99,IF(AND($BB390&lt;1,Z$3&gt;=MAX(N($P390),N($S390))),4,99))</f>
        <v/>
      </c>
      <c r="BQ390">
        <f>IF($C390="",99,IF(AND($BC390&lt;1,AA$3&gt;=MAX(N($P390),N($S390))),5,99))</f>
        <v/>
      </c>
      <c r="BR390">
        <f>IF($C390="",99,IF(AND($BD390&lt;1,AB$3&gt;=MAX(N($P390),N($S390))),6,99))</f>
        <v/>
      </c>
      <c r="BS390">
        <f>IF($C390="",99,IF(AND($BE390&lt;1,AC$3&gt;=MAX(N($P390),N($S390))),7,99))</f>
        <v/>
      </c>
      <c r="BT390">
        <f>IF($C390="",99,IF(AND($BF390&lt;1,AD$3&gt;=MAX(N($P390),N($S390))),8,99))</f>
        <v/>
      </c>
      <c r="BU390">
        <f>IF($C390="",99,IF(AND($BG390&lt;1,AE$3&gt;=MAX(N($P390),N($S390))),9,99))</f>
        <v/>
      </c>
      <c r="BV390">
        <f>IF($C390="",99,IF(AND($BH390&lt;1,AF$3&gt;=MAX(N($P390),N($S390))),10,99))</f>
        <v/>
      </c>
      <c r="BW390">
        <f>IF($C390="",99,IF(AND($BI390&lt;1,AG$3&gt;=MAX(N($P390),N($S390))),11,99))</f>
        <v/>
      </c>
      <c r="BX390">
        <f>IF($C390="",99,IF(AND($BJ390&lt;1,AH$3&gt;=MAX(N($P390),N($S390))),12,99))</f>
        <v/>
      </c>
      <c r="BY390">
        <f>IF($C390="",99,IF(AND($BK390&lt;1,AI$3&gt;=MAX(N($P390),N($S390))),13,99))</f>
        <v/>
      </c>
      <c r="BZ390">
        <f>IF(OR($C390="",$M390=""),"",COUNTIF($AJ390:$AW390,"&gt;=1"))</f>
        <v/>
      </c>
      <c r="CA390" s="90">
        <f>IF($BZ390="","",IF($BZ390&gt;=14,"",'設定'!$C$6+$BZ390))</f>
        <v/>
      </c>
      <c r="CB390">
        <f>IF(OR($C390="",$M390=""),"",MIN($BL390:$BY390))</f>
        <v/>
      </c>
      <c r="CC390" s="90">
        <f>IF($CB390="","",IF($CB390&gt;=99,"",'設定'!$C$6+$CB390))</f>
        <v/>
      </c>
      <c r="CD390">
        <f>IF(OR($C390="",$M390=""),"",AVERAGE($V390:$AI390))</f>
        <v/>
      </c>
      <c r="CE390">
        <f>IF($C390="","",IFERROR(IF(MATCH(IF(ISNUMBER($P390),$P390,'設定'!$C$6+N('設定'!$C$7)),$V$3:$AI$3,0)=1,MAX(0,N($L390)),INDEX($AJ390:$AW390,MATCH(IF(ISNUMBER($P390),$P390,'設定'!$C$6+N('設定'!$C$7)),$V$3:$AI$3,0)-1)),""))</f>
        <v/>
      </c>
      <c r="CF390">
        <f>IF(OR($C390="",$O390="",$CE390=""),"",IF($O390-$CE390&lt;=0,0,ROUNDUP(($O390-$CE390)/$G390,0)))</f>
        <v/>
      </c>
      <c r="CG390">
        <f>IF(OR($C390="",$CF390="",NOT(ISNUMBER($Q390))),0,MAX(0,$Q390-$CF390))</f>
        <v/>
      </c>
      <c r="CH390">
        <f>IF(OR($C390="",$O390="",$U390=0),0,IFERROR(ROUNDUP(MAX(0,IF(MATCH($S390,$V$3:$AI$3,0)=1,MAX(0,N($L390)),INDEX($AX390:$BK390,MATCH($S390,$V$3:$AI$3,0)-1))+$U390-$O390)/$G390,0),0))</f>
        <v/>
      </c>
      <c r="CI390">
        <f>IF($C390="","",IF(AND($P390="",$Q390=""),"",IF($P390="","⚠ 入庫日を ▼ から選んでください",IF(NOT(ISNUMBER($P390)),"⚠ 入庫日は ▼ から選んでください",IF($P390&lt;N('設定'!$C$6),"⚠ 入庫日が過去です（もう在庫に入っています）→ 消してください",IF($P390&gt;N('設定'!$C$6)+13,"⚠ 入庫日が14日より先です",IF(N($Q390)&lt;=0,"⚠ 入庫数を入れてください",IF($CG390&gt;0,"⚠ 目安より "&amp;$CG390&amp;" 多い（定数を超える）→ 減らす",""))))))))</f>
        <v/>
      </c>
      <c r="CJ390">
        <f>IF($C390="","",IF(AND($S390="",$T390=""),"",IF($S390="","⚠ 2便目：入庫日を ▼ から選んでください",IF(NOT(ISNUMBER($S390)),"⚠ 2便目：入庫日は ▼ から選んでください",IF($S390&lt;N('設定'!$C$6),"⚠ 2便目：入庫日が過去です（もう在庫に入っています）→ 消してください",IF($S390&gt;N('設定'!$C$6)+13,"⚠ 2便目：入庫日が14日より先です",IF(N($T390)&lt;=0,"⚠ 2便目：入庫数を入れてください",IF($CH390&gt;0,"⚠ 2便目：定数を "&amp;$CH390&amp;" ケース超える → 減らす",""))))))))</f>
        <v/>
      </c>
      <c r="CK390">
        <f>IF(AND($CI390="",N($Q390)&gt;0,ISNUMBER($P390)),1,0)</f>
        <v/>
      </c>
      <c r="CL390">
        <f>IF(AND($CJ390="",N($T390)&gt;0,ISNUMBER($S390)),1,0)</f>
        <v/>
      </c>
      <c r="CM390">
        <f>IF(OR($CK390=1,$CL390=1),1,0)</f>
        <v/>
      </c>
      <c r="CN390">
        <f>IF($C390="",0,($CK390*$R390+$CL390*$U390)*N($H390))</f>
        <v/>
      </c>
      <c r="CO390">
        <f>IF($C390="","",IF($CC390="","入庫後は 14日以上もつ",IF($CC390-N('設定'!$C$7)&lt;='設定'!$C$6,"入庫後も "&amp;TEXT($CC390,"m/d")&amp;"("&amp;CHOOSE(WEEKDAY($CC390),"日","月","火","水","木","金","土")&amp;")"&amp;" に切れる　もう1便を至急発注","入庫後も "&amp;TEXT($CC390,"m/d")&amp;"("&amp;CHOOSE(WEEKDAY($CC390),"日","月","火","水","木","金","土")&amp;")"&amp;" に切れる　"&amp;TEXT($CC390-N('設定'!$C$7),"m/d")&amp;"("&amp;CHOOSE(WEEKDAY($CC390-N('設定'!$C$7)),"日","月","火","水","木","金","土")&amp;")"&amp;" までに次を発注")))</f>
        <v/>
      </c>
      <c r="CP390">
        <f>IF($C390="","",IF('設定'!$C$6="","？ ①在庫を貼る に今日のCSVが貼られていない",IF($CS390=1,"－ 今日のCSVに無い（終売？）",IF($L390&lt;0,"● 在庫がマイナス　数えて「数えた在庫」に入れる",IF($L390=0,"● 在庫なし　至急発注",IF($M390="","？ 減り数が未設定（商品マスタ）",IF($B$3=0,"？ 動員が未入力（動員を入れる）",IF($CA390="","○ 14日以上もつ",IF($BZ390&lt;N('設定'!$C$7),"● "&amp;TEXT($CA390,"m/d")&amp;"("&amp;CHOOSE(WEEKDAY($CA390),"日","月","火","水","木","金","土")&amp;")"&amp;" に切れる　至急発注",IF($BZ390=N('設定'!$C$7),"● "&amp;TEXT($CA390,"m/d")&amp;"("&amp;CHOOSE(WEEKDAY($CA390),"日","月","火","水","木","金","土")&amp;")"&amp;" に切れる　今日発注","△ "&amp;TEXT($CA390,"m/d")&amp;"("&amp;CHOOSE(WEEKDAY($CA390),"日","月","火","水","木","金","土")&amp;")"&amp;" に切れる　"&amp;TEXT($CA390-N('設定'!$C$7),"m/d")&amp;"("&amp;CHOOSE(WEEKDAY($CA390-N('設定'!$C$7)),"日","月","火","水","木","金","土")&amp;")"&amp;" までに発注"))))))))))</f>
        <v/>
      </c>
      <c r="CQ390">
        <f>IF($C390="","",IF(AND($P390="",$Q390="",$S390="",$T390=""),"",IF(AND($P390="",$Q390=""),"⚠ 先に1便目（左の入庫日・入庫数）に入れてください",IF($CI390&lt;&gt;"",$CI390,IF($CJ390&lt;&gt;"",$CJ390,IF($M390="","？ 減り数が未設定（発注書には載ります）",IF($B$3=0,"？ 動員が未入力（発注書には載ります）",IF(AND($CA390&lt;&gt;"",$P390&gt;$CA390),IF($P390&gt;'設定'!$C$6+N('設定'!$C$7),"● "&amp;TEXT($P390,"m/d")&amp;"("&amp;CHOOSE(WEEKDAY($P390),"日","月","火","水","木","金","土")&amp;")"&amp;" の入庫では間に合わない（"&amp;TEXT($CA390,"m/d")&amp;"("&amp;CHOOSE(WEEKDAY($CA390),"日","月","火","水","木","金","土")&amp;")"&amp;" に切れる）　入庫日を早める","△ 欠品 "&amp;TEXT($CA390,"m/d")&amp;"("&amp;CHOOSE(WEEKDAY($CA390),"日","月","火","水","木","金","土")&amp;")"&amp;"〜"&amp;TEXT($P390-1,"m/d")&amp;"("&amp;CHOOSE(WEEKDAY($P390-1),"日","月","火","水","木","金","土")&amp;")"&amp;"　"&amp;$CO390),IF($CC390="","○ "&amp;TEXT($P390,"m/d")&amp;"("&amp;CHOOSE(WEEKDAY($P390),"日","月","火","水","木","金","土")&amp;")"&amp;" 入庫で 14日以上もつ",IF($CC390-N('設定'!$C$7)&lt;='設定'!$C$6,"● 入庫しても "&amp;TEXT($CC390,"m/d")&amp;"("&amp;CHOOSE(WEEKDAY($CC390),"日","月","火","水","木","金","土")&amp;")"&amp;" に切れる　もう1便を至急発注（2便目に入れる）","△ 入庫しても "&amp;TEXT($CC390,"m/d")&amp;"("&amp;CHOOSE(WEEKDAY($CC390),"日","月","火","水","木","金","土")&amp;")"&amp;" に切れる　"&amp;TEXT($CC390-N('設定'!$C$7),"m/d")&amp;"("&amp;CHOOSE(WEEKDAY($CC390-N('設定'!$C$7)),"日","月","火","水","木","金","土")&amp;")"&amp;" までに次を発注（2便目に入れる）"))))))))))</f>
        <v/>
      </c>
      <c r="CR390">
        <f>IF($C390="","",IF($G390&gt;1,"ｹｰｽ("&amp;$G390&amp;"入)","個"))</f>
        <v/>
      </c>
      <c r="CS390">
        <f>IF($C390="",0,IF(COUNTIFS('①在庫を貼る'!$V$6:$V$10005,'設定'!$C$4,'①在庫を貼る'!$W$6:$W$10005,$C390)=0,1,0))</f>
        <v/>
      </c>
      <c r="CT390">
        <f>IF(AND($CK390=1,OR('③発注書'!$C$4="すべて",'③発注書'!$C$4="",$F390='③発注書'!$C$4)),N($CT389)+1,N($CT389))</f>
        <v/>
      </c>
      <c r="CU390">
        <f>IF(AND($CL390=1,OR('③発注書'!$C$4="すべて",'③発注書'!$C$4="",$F390='③発注書'!$C$4)),N($CU389)+1,N($CU389))</f>
        <v/>
      </c>
      <c r="CV390">
        <f>IF($C390="",0,IF(COUNTIFS('①在庫を貼る'!$V$6:$V$10005,'設定'!$C$4,'①在庫を貼る'!$W$6:$W$10005,$C390)&gt;0,1,0))</f>
        <v/>
      </c>
      <c r="CW390">
        <f>IF($C390="",0,IF(COUNTIFS('月1回_1ヶ月前の在庫'!$V$6:$V$10005,'設定'!$C$4,'月1回_1ヶ月前の在庫'!$W$6:$W$10005,$C390)&gt;0,1,0))</f>
        <v/>
      </c>
      <c r="CX390">
        <f>IF($C390="",0,IF(COUNTIFS('月1回_2ヶ月前の在庫'!$V$6:$V$10005,'設定'!$C$4,'月1回_2ヶ月前の在庫'!$W$6:$W$10005,$C390)&gt;0,1,0))</f>
        <v/>
      </c>
      <c r="CY390">
        <f>IF(OR($C390="",'設定'!$C$12=""),"",IF('設定'!$C$13="",IF(AND($CV390=1,$CW390=0),"新商品（今月から）",IF(AND($CV390=0,$CW390=1),"終売（今月から）","")),IF(AND($CV390=1,$CW390=0,$CX390=0),"新商品（今月から）",IF(AND($CV390=1,$CW390=1,$CX390=0),"新商品（先月から）",IF(AND($CV390=0,$CW390=1,$CX390=1),"終売（今月から）",IF(AND($CV390=0,$CW390=0,$CX390=1),"終売（先月から）",IF(AND($CV390=1,$CW390=0,$CX390=1),"復活（先月は無し）","")))))))</f>
        <v/>
      </c>
    </row>
    <row r="391">
      <c r="B391">
        <f>IF(386&lt;='設定'!$C$11,386,"")</f>
        <v/>
      </c>
      <c r="C391">
        <f>IF($B391="","",IF($B391&lt;='設定'!$C$20,INDEX('商品マスタ'!$B$6:$B$1005,MATCH($B391,'商品マスタ'!$M$6:$M$1005,0)),IF($B391&lt;='設定'!$C$20+'設定'!$C$17,INDEX('①在庫を貼る'!$W$6:$W$10005,MATCH($B391-'設定'!$C$20,'①在庫を貼る'!$U$6:$U$10005,0)),IF($B391&lt;='設定'!$C$20+'設定'!$C$17+'設定'!$C$18,INDEX('月1回_1ヶ月前の在庫'!$W$6:$W$10005,MATCH($B391-'設定'!$C$20-'設定'!$C$17,'月1回_1ヶ月前の在庫'!$U$6:$U$10005,0)),INDEX('月1回_2ヶ月前の在庫'!$W$6:$W$10005,MATCH($B391-'設定'!$C$20-'設定'!$C$17-'設定'!$C$18,'月1回_2ヶ月前の在庫'!$U$6:$U$10005,0))))))</f>
        <v/>
      </c>
      <c r="D391">
        <f>IF($C391="","",IFERROR(IF(INDEX('商品マスタ'!$C$6:$C$1005,MATCH($C391,'商品マスタ'!$B$6:$B$1005,0))="",IFERROR(INDEX('①在庫を貼る'!$J$6:$J$10005,MATCH($C391,'①在庫を貼る'!$W$6:$W$10005,0)),IFERROR(INDEX('月1回_1ヶ月前の在庫'!$J$6:$J$10005,MATCH($C391,'月1回_1ヶ月前の在庫'!$W$6:$W$10005,0)),IFERROR(INDEX('月1回_2ヶ月前の在庫'!$J$6:$J$10005,MATCH($C391,'月1回_2ヶ月前の在庫'!$W$6:$W$10005,0)),""))),INDEX('商品マスタ'!$C$6:$C$1005,MATCH($C391,'商品マスタ'!$B$6:$B$1005,0))),IFERROR(INDEX('①在庫を貼る'!$J$6:$J$10005,MATCH($C391,'①在庫を貼る'!$W$6:$W$10005,0)),IFERROR(INDEX('月1回_1ヶ月前の在庫'!$J$6:$J$10005,MATCH($C391,'月1回_1ヶ月前の在庫'!$W$6:$W$10005,0)),IFERROR(INDEX('月1回_2ヶ月前の在庫'!$J$6:$J$10005,MATCH($C391,'月1回_2ヶ月前の在庫'!$W$6:$W$10005,0)),"")))))</f>
        <v/>
      </c>
      <c r="E391">
        <f>IF($C391="","",IFERROR(IF(INDEX('商品マスタ'!$D$6:$D$1005,MATCH($C391,'商品マスタ'!$B$6:$B$1005,0))="",IFERROR(INDEX('①在庫を貼る'!$H$6:$H$10005,MATCH($C391,'①在庫を貼る'!$W$6:$W$10005,0)),IFERROR(INDEX('月1回_1ヶ月前の在庫'!$H$6:$H$10005,MATCH($C391,'月1回_1ヶ月前の在庫'!$W$6:$W$10005,0)),IFERROR(INDEX('月1回_2ヶ月前の在庫'!$H$6:$H$10005,MATCH($C391,'月1回_2ヶ月前の在庫'!$W$6:$W$10005,0)),""))),INDEX('商品マスタ'!$D$6:$D$1005,MATCH($C391,'商品マスタ'!$B$6:$B$1005,0))),IFERROR(INDEX('①在庫を貼る'!$H$6:$H$10005,MATCH($C391,'①在庫を貼る'!$W$6:$W$10005,0)),IFERROR(INDEX('月1回_1ヶ月前の在庫'!$H$6:$H$10005,MATCH($C391,'月1回_1ヶ月前の在庫'!$W$6:$W$10005,0)),IFERROR(INDEX('月1回_2ヶ月前の在庫'!$H$6:$H$10005,MATCH($C391,'月1回_2ヶ月前の在庫'!$W$6:$W$10005,0)),"")))))</f>
        <v/>
      </c>
      <c r="F391">
        <f>IF($C391="","",IFERROR(IF(INDEX('商品マスタ'!$E$6:$E$1005,MATCH($C391,'商品マスタ'!$B$6:$B$1005,0))="",IFERROR(INDEX('①在庫を貼る'!$E$6:$E$10005,MATCH($C391,'①在庫を貼る'!$W$6:$W$10005,0)),IFERROR(INDEX('月1回_1ヶ月前の在庫'!$E$6:$E$10005,MATCH($C391,'月1回_1ヶ月前の在庫'!$W$6:$W$10005,0)),IFERROR(INDEX('月1回_2ヶ月前の在庫'!$E$6:$E$10005,MATCH($C391,'月1回_2ヶ月前の在庫'!$W$6:$W$10005,0)),""))),INDEX('商品マスタ'!$E$6:$E$1005,MATCH($C391,'商品マスタ'!$B$6:$B$1005,0))),IFERROR(INDEX('①在庫を貼る'!$E$6:$E$10005,MATCH($C391,'①在庫を貼る'!$W$6:$W$10005,0)),IFERROR(INDEX('月1回_1ヶ月前の在庫'!$E$6:$E$10005,MATCH($C391,'月1回_1ヶ月前の在庫'!$W$6:$W$10005,0)),IFERROR(INDEX('月1回_2ヶ月前の在庫'!$E$6:$E$10005,MATCH($C391,'月1回_2ヶ月前の在庫'!$W$6:$W$10005,0)),"")))))</f>
        <v/>
      </c>
      <c r="G391">
        <f>IF($C391="","",MAX(1,N(IFERROR(IF(INDEX('商品マスタ'!$F$6:$F$1005,MATCH($C391,'商品マスタ'!$B$6:$B$1005,0))="",IF(COUNTIFS('①在庫を貼る'!$V$6:$V$10005,'設定'!$C$4,'①在庫を貼る'!$W$6:$W$10005,$C391)&gt;0,SUMIFS('①在庫を貼る'!$K$6:$K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K$6:$K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K$6:$K$10005,'月1回_2ヶ月前の在庫'!$V$6:$V$10005,'設定'!$C$4,'月1回_2ヶ月前の在庫'!$W$6:$W$10005,$C391)/COUNTIFS('月1回_2ヶ月前の在庫'!$V$6:$V$10005,'設定'!$C$4,'月1回_2ヶ月前の在庫'!$W$6:$W$10005,$C391),0))),INDEX('商品マスタ'!$F$6:$F$1005,MATCH($C391,'商品マスタ'!$B$6:$B$1005,0))),IF(COUNTIFS('①在庫を貼る'!$V$6:$V$10005,'設定'!$C$4,'①在庫を貼る'!$W$6:$W$10005,$C391)&gt;0,SUMIFS('①在庫を貼る'!$K$6:$K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K$6:$K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K$6:$K$10005,'月1回_2ヶ月前の在庫'!$V$6:$V$10005,'設定'!$C$4,'月1回_2ヶ月前の在庫'!$W$6:$W$10005,$C391)/COUNTIFS('月1回_2ヶ月前の在庫'!$V$6:$V$10005,'設定'!$C$4,'月1回_2ヶ月前の在庫'!$W$6:$W$10005,$C391),0)))))))</f>
        <v/>
      </c>
      <c r="H391">
        <f>IF($C391="","",N(IFERROR(IF(INDEX('商品マスタ'!$G$6:$G$1005,MATCH($C391,'商品マスタ'!$B$6:$B$1005,0))="",IF(COUNTIFS('①在庫を貼る'!$V$6:$V$10005,'設定'!$C$4,'①在庫を貼る'!$W$6:$W$10005,$C391)&gt;0,SUMIFS('①在庫を貼る'!$Q$6:$Q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Q$6:$Q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Q$6:$Q$10005,'月1回_2ヶ月前の在庫'!$V$6:$V$10005,'設定'!$C$4,'月1回_2ヶ月前の在庫'!$W$6:$W$10005,$C391)/COUNTIFS('月1回_2ヶ月前の在庫'!$V$6:$V$10005,'設定'!$C$4,'月1回_2ヶ月前の在庫'!$W$6:$W$10005,$C391),0))),INDEX('商品マスタ'!$G$6:$G$1005,MATCH($C391,'商品マスタ'!$B$6:$B$1005,0))),IF(COUNTIFS('①在庫を貼る'!$V$6:$V$10005,'設定'!$C$4,'①在庫を貼る'!$W$6:$W$10005,$C391)&gt;0,SUMIFS('①在庫を貼る'!$Q$6:$Q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Q$6:$Q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Q$6:$Q$10005,'月1回_2ヶ月前の在庫'!$V$6:$V$10005,'設定'!$C$4,'月1回_2ヶ月前の在庫'!$W$6:$W$10005,$C391)/COUNTIFS('月1回_2ヶ月前の在庫'!$V$6:$V$10005,'設定'!$C$4,'月1回_2ヶ月前の在庫'!$W$6:$W$10005,$C391),0))))))</f>
        <v/>
      </c>
      <c r="I391">
        <f>IF($C391="","",IF(COUNTIFS('①在庫を貼る'!$V$6:$V$10005,'設定'!$C$4,'①在庫を貼る'!$W$6:$W$10005,$C391)=0,"",SUMIFS('①在庫を貼る'!$N$6:$N$10005,'①在庫を貼る'!$V$6:$V$10005,'設定'!$C$4,'①在庫を貼る'!$W$6:$W$10005,$C391)))</f>
        <v/>
      </c>
      <c r="J391">
        <f>IF($C391="","",IF('②発注する'!$AD395="","",'②発注する'!$AD395))</f>
        <v/>
      </c>
      <c r="K391" s="90">
        <f>IF($C391="","",IF('②発注する'!$AE395="","",'②発注する'!$AE395))</f>
        <v/>
      </c>
      <c r="L391">
        <f>IF($C391="","",IF(AND(ISNUMBER($J391),ISNUMBER($K391),$K391&gt;='設定'!$C$6),$J391,N($I391)))</f>
        <v/>
      </c>
      <c r="M391">
        <f>IF($C391="","",IFERROR(IF(N(INDEX('商品マスタ'!$J$6:$J$1005,MATCH($C391,'商品マスタ'!$B$6:$B$1005,0)))&gt;0,INDEX('商品マスタ'!$J$6:$J$1005,MATCH($C391,'商品マスタ'!$B$6:$B$1005,0)),""),""))</f>
        <v/>
      </c>
      <c r="N391">
        <f>IF($C391="","",IFERROR(IF(N(INDEX('商品マスタ'!$H$6:$H$1005,MATCH($C391,'商品マスタ'!$B$6:$B$1005,0)))&gt;0,INDEX('商品マスタ'!$H$6:$H$1005,MATCH($C391,'商品マスタ'!$B$6:$B$1005,0)),""),""))</f>
        <v/>
      </c>
      <c r="O391">
        <f>IF($C391="","",IF($N391&lt;&gt;"",$N391*$G391,IF(N(IF(COUNTIFS('①在庫を貼る'!$V$6:$V$10005,'設定'!$C$4,'①在庫を貼る'!$W$6:$W$10005,$C391)&gt;0,SUMIFS('①在庫を貼る'!$O$6:$O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O$6:$O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O$6:$O$10005,'月1回_2ヶ月前の在庫'!$V$6:$V$10005,'設定'!$C$4,'月1回_2ヶ月前の在庫'!$W$6:$W$10005,$C391)/COUNTIFS('月1回_2ヶ月前の在庫'!$V$6:$V$10005,'設定'!$C$4,'月1回_2ヶ月前の在庫'!$W$6:$W$10005,$C391),0))))&gt;0,N(IF(COUNTIFS('①在庫を貼る'!$V$6:$V$10005,'設定'!$C$4,'①在庫を貼る'!$W$6:$W$10005,$C391)&gt;0,SUMIFS('①在庫を貼る'!$O$6:$O$10005,'①在庫を貼る'!$V$6:$V$10005,'設定'!$C$4,'①在庫を貼る'!$W$6:$W$10005,$C391)/COUNTIFS('①在庫を貼る'!$V$6:$V$10005,'設定'!$C$4,'①在庫を貼る'!$W$6:$W$10005,$C391),IF(COUNTIFS('月1回_1ヶ月前の在庫'!$V$6:$V$10005,'設定'!$C$4,'月1回_1ヶ月前の在庫'!$W$6:$W$10005,$C391)&gt;0,SUMIFS('月1回_1ヶ月前の在庫'!$O$6:$O$10005,'月1回_1ヶ月前の在庫'!$V$6:$V$10005,'設定'!$C$4,'月1回_1ヶ月前の在庫'!$W$6:$W$10005,$C391)/COUNTIFS('月1回_1ヶ月前の在庫'!$V$6:$V$10005,'設定'!$C$4,'月1回_1ヶ月前の在庫'!$W$6:$W$10005,$C391),IF(COUNTIFS('月1回_2ヶ月前の在庫'!$V$6:$V$10005,'設定'!$C$4,'月1回_2ヶ月前の在庫'!$W$6:$W$10005,$C391)&gt;0,SUMIFS('月1回_2ヶ月前の在庫'!$O$6:$O$10005,'月1回_2ヶ月前の在庫'!$V$6:$V$10005,'設定'!$C$4,'月1回_2ヶ月前の在庫'!$W$6:$W$10005,$C391)/COUNTIFS('月1回_2ヶ月前の在庫'!$V$6:$V$10005,'設定'!$C$4,'月1回_2ヶ月前の在庫'!$W$6:$W$10005,$C391),0)))),"")))</f>
        <v/>
      </c>
      <c r="P391" s="90">
        <f>IF($C391="","",IF('②発注する'!$I395="","",'②発注する'!$I395))</f>
        <v/>
      </c>
      <c r="Q391">
        <f>IF($C391="","",IF('②発注する'!$J395="","",'②発注する'!$J395))</f>
        <v/>
      </c>
      <c r="R391">
        <f>IF($C391="",0,IF(AND(ISNUMBER($P391),ISNUMBER($Q391)),MAX(0,$Q391)*$G391,0))</f>
        <v/>
      </c>
      <c r="S391" s="90">
        <f>IF($C391="","",IF('②発注する'!$M395="","",'②発注する'!$M395))</f>
        <v/>
      </c>
      <c r="T391">
        <f>IF($C391="","",IF('②発注する'!$N395="","",'②発注する'!$N395))</f>
        <v/>
      </c>
      <c r="U391">
        <f>IF($C391="",0,IF(AND(ISNUMBER($S391),ISNUMBER($T391)),MAX(0,$T391)*$G391,0))</f>
        <v/>
      </c>
      <c r="V391">
        <f>IF($C391="",0,IF($M391="",0,MAX(0,$M391)*MAX(0,V$4)/100))</f>
        <v/>
      </c>
      <c r="W391">
        <f>IF($C391="",0,IF($M391="",0,MAX(0,$M391)*MAX(0,W$4)/100))</f>
        <v/>
      </c>
      <c r="X391">
        <f>IF($C391="",0,IF($M391="",0,MAX(0,$M391)*MAX(0,X$4)/100))</f>
        <v/>
      </c>
      <c r="Y391">
        <f>IF($C391="",0,IF($M391="",0,MAX(0,$M391)*MAX(0,Y$4)/100))</f>
        <v/>
      </c>
      <c r="Z391">
        <f>IF($C391="",0,IF($M391="",0,MAX(0,$M391)*MAX(0,Z$4)/100))</f>
        <v/>
      </c>
      <c r="AA391">
        <f>IF($C391="",0,IF($M391="",0,MAX(0,$M391)*MAX(0,AA$4)/100))</f>
        <v/>
      </c>
      <c r="AB391">
        <f>IF($C391="",0,IF($M391="",0,MAX(0,$M391)*MAX(0,AB$4)/100))</f>
        <v/>
      </c>
      <c r="AC391">
        <f>IF($C391="",0,IF($M391="",0,MAX(0,$M391)*MAX(0,AC$4)/100))</f>
        <v/>
      </c>
      <c r="AD391">
        <f>IF($C391="",0,IF($M391="",0,MAX(0,$M391)*MAX(0,AD$4)/100))</f>
        <v/>
      </c>
      <c r="AE391">
        <f>IF($C391="",0,IF($M391="",0,MAX(0,$M391)*MAX(0,AE$4)/100))</f>
        <v/>
      </c>
      <c r="AF391">
        <f>IF($C391="",0,IF($M391="",0,MAX(0,$M391)*MAX(0,AF$4)/100))</f>
        <v/>
      </c>
      <c r="AG391">
        <f>IF($C391="",0,IF($M391="",0,MAX(0,$M391)*MAX(0,AG$4)/100))</f>
        <v/>
      </c>
      <c r="AH391">
        <f>IF($C391="",0,IF($M391="",0,MAX(0,$M391)*MAX(0,AH$4)/100))</f>
        <v/>
      </c>
      <c r="AI391">
        <f>IF($C391="",0,IF($M391="",0,MAX(0,$M391)*MAX(0,AI$4)/100))</f>
        <v/>
      </c>
      <c r="AJ391">
        <f>IF($C391="",0,MAX(0,MAX(0,N($L391))-$V391))</f>
        <v/>
      </c>
      <c r="AK391">
        <f>IF($C391="",0,MAX(0,$AJ391-$W391))</f>
        <v/>
      </c>
      <c r="AL391">
        <f>IF($C391="",0,MAX(0,$AK391-$X391))</f>
        <v/>
      </c>
      <c r="AM391">
        <f>IF($C391="",0,MAX(0,$AL391-$Y391))</f>
        <v/>
      </c>
      <c r="AN391">
        <f>IF($C391="",0,MAX(0,$AM391-$Z391))</f>
        <v/>
      </c>
      <c r="AO391">
        <f>IF($C391="",0,MAX(0,$AN391-$AA391))</f>
        <v/>
      </c>
      <c r="AP391">
        <f>IF($C391="",0,MAX(0,$AO391-$AB391))</f>
        <v/>
      </c>
      <c r="AQ391">
        <f>IF($C391="",0,MAX(0,$AP391-$AC391))</f>
        <v/>
      </c>
      <c r="AR391">
        <f>IF($C391="",0,MAX(0,$AQ391-$AD391))</f>
        <v/>
      </c>
      <c r="AS391">
        <f>IF($C391="",0,MAX(0,$AR391-$AE391))</f>
        <v/>
      </c>
      <c r="AT391">
        <f>IF($C391="",0,MAX(0,$AS391-$AF391))</f>
        <v/>
      </c>
      <c r="AU391">
        <f>IF($C391="",0,MAX(0,$AT391-$AG391))</f>
        <v/>
      </c>
      <c r="AV391">
        <f>IF($C391="",0,MAX(0,$AU391-$AH391))</f>
        <v/>
      </c>
      <c r="AW391">
        <f>IF($C391="",0,MAX(0,$AV391-$AI391))</f>
        <v/>
      </c>
      <c r="AX391">
        <f>IF($C391="",0,MAX(0,MAX(0,N($L391))+IF($P391=V$3,$R391,0)+IF($S391=V$3,$U391,0)-$V391))</f>
        <v/>
      </c>
      <c r="AY391">
        <f>IF($C391="",0,MAX(0,$AX391+IF($P391=W$3,$R391,0)+IF($S391=W$3,$U391,0)-$W391))</f>
        <v/>
      </c>
      <c r="AZ391">
        <f>IF($C391="",0,MAX(0,$AY391+IF($P391=X$3,$R391,0)+IF($S391=X$3,$U391,0)-$X391))</f>
        <v/>
      </c>
      <c r="BA391">
        <f>IF($C391="",0,MAX(0,$AZ391+IF($P391=Y$3,$R391,0)+IF($S391=Y$3,$U391,0)-$Y391))</f>
        <v/>
      </c>
      <c r="BB391">
        <f>IF($C391="",0,MAX(0,$BA391+IF($P391=Z$3,$R391,0)+IF($S391=Z$3,$U391,0)-$Z391))</f>
        <v/>
      </c>
      <c r="BC391">
        <f>IF($C391="",0,MAX(0,$BB391+IF($P391=AA$3,$R391,0)+IF($S391=AA$3,$U391,0)-$AA391))</f>
        <v/>
      </c>
      <c r="BD391">
        <f>IF($C391="",0,MAX(0,$BC391+IF($P391=AB$3,$R391,0)+IF($S391=AB$3,$U391,0)-$AB391))</f>
        <v/>
      </c>
      <c r="BE391">
        <f>IF($C391="",0,MAX(0,$BD391+IF($P391=AC$3,$R391,0)+IF($S391=AC$3,$U391,0)-$AC391))</f>
        <v/>
      </c>
      <c r="BF391">
        <f>IF($C391="",0,MAX(0,$BE391+IF($P391=AD$3,$R391,0)+IF($S391=AD$3,$U391,0)-$AD391))</f>
        <v/>
      </c>
      <c r="BG391">
        <f>IF($C391="",0,MAX(0,$BF391+IF($P391=AE$3,$R391,0)+IF($S391=AE$3,$U391,0)-$AE391))</f>
        <v/>
      </c>
      <c r="BH391">
        <f>IF($C391="",0,MAX(0,$BG391+IF($P391=AF$3,$R391,0)+IF($S391=AF$3,$U391,0)-$AF391))</f>
        <v/>
      </c>
      <c r="BI391">
        <f>IF($C391="",0,MAX(0,$BH391+IF($P391=AG$3,$R391,0)+IF($S391=AG$3,$U391,0)-$AG391))</f>
        <v/>
      </c>
      <c r="BJ391">
        <f>IF($C391="",0,MAX(0,$BI391+IF($P391=AH$3,$R391,0)+IF($S391=AH$3,$U391,0)-$AH391))</f>
        <v/>
      </c>
      <c r="BK391">
        <f>IF($C391="",0,MAX(0,$BJ391+IF($P391=AI$3,$R391,0)+IF($S391=AI$3,$U391,0)-$AI391))</f>
        <v/>
      </c>
      <c r="BL391">
        <f>IF($C391="",99,IF(AND($AX391&lt;1,V$3&gt;=MAX(N($P391),N($S391))),0,99))</f>
        <v/>
      </c>
      <c r="BM391">
        <f>IF($C391="",99,IF(AND($AY391&lt;1,W$3&gt;=MAX(N($P391),N($S391))),1,99))</f>
        <v/>
      </c>
      <c r="BN391">
        <f>IF($C391="",99,IF(AND($AZ391&lt;1,X$3&gt;=MAX(N($P391),N($S391))),2,99))</f>
        <v/>
      </c>
      <c r="BO391">
        <f>IF($C391="",99,IF(AND($BA391&lt;1,Y$3&gt;=MAX(N($P391),N($S391))),3,99))</f>
        <v/>
      </c>
      <c r="BP391">
        <f>IF($C391="",99,IF(AND($BB391&lt;1,Z$3&gt;=MAX(N($P391),N($S391))),4,99))</f>
        <v/>
      </c>
      <c r="BQ391">
        <f>IF($C391="",99,IF(AND($BC391&lt;1,AA$3&gt;=MAX(N($P391),N($S391))),5,99))</f>
        <v/>
      </c>
      <c r="BR391">
        <f>IF($C391="",99,IF(AND($BD391&lt;1,AB$3&gt;=MAX(N($P391),N($S391))),6,99))</f>
        <v/>
      </c>
      <c r="BS391">
        <f>IF($C391="",99,IF(AND($BE391&lt;1,AC$3&gt;=MAX(N($P391),N($S391))),7,99))</f>
        <v/>
      </c>
      <c r="BT391">
        <f>IF($C391="",99,IF(AND($BF391&lt;1,AD$3&gt;=MAX(N($P391),N($S391))),8,99))</f>
        <v/>
      </c>
      <c r="BU391">
        <f>IF($C391="",99,IF(AND($BG391&lt;1,AE$3&gt;=MAX(N($P391),N($S391))),9,99))</f>
        <v/>
      </c>
      <c r="BV391">
        <f>IF($C391="",99,IF(AND($BH391&lt;1,AF$3&gt;=MAX(N($P391),N($S391))),10,99))</f>
        <v/>
      </c>
      <c r="BW391">
        <f>IF($C391="",99,IF(AND($BI391&lt;1,AG$3&gt;=MAX(N($P391),N($S391))),11,99))</f>
        <v/>
      </c>
      <c r="BX391">
        <f>IF($C391="",99,IF(AND($BJ391&lt;1,AH$3&gt;=MAX(N($P391),N($S391))),12,99))</f>
        <v/>
      </c>
      <c r="BY391">
        <f>IF($C391="",99,IF(AND($BK391&lt;1,AI$3&gt;=MAX(N($P391),N($S391))),13,99))</f>
        <v/>
      </c>
      <c r="BZ391">
        <f>IF(OR($C391="",$M391=""),"",COUNTIF($AJ391:$AW391,"&gt;=1"))</f>
        <v/>
      </c>
      <c r="CA391" s="90">
        <f>IF($BZ391="","",IF($BZ391&gt;=14,"",'設定'!$C$6+$BZ391))</f>
        <v/>
      </c>
      <c r="CB391">
        <f>IF(OR($C391="",$M391=""),"",MIN($BL391:$BY391))</f>
        <v/>
      </c>
      <c r="CC391" s="90">
        <f>IF($CB391="","",IF($CB391&gt;=99,"",'設定'!$C$6+$CB391))</f>
        <v/>
      </c>
      <c r="CD391">
        <f>IF(OR($C391="",$M391=""),"",AVERAGE($V391:$AI391))</f>
        <v/>
      </c>
      <c r="CE391">
        <f>IF($C391="","",IFERROR(IF(MATCH(IF(ISNUMBER($P391),$P391,'設定'!$C$6+N('設定'!$C$7)),$V$3:$AI$3,0)=1,MAX(0,N($L391)),INDEX($AJ391:$AW391,MATCH(IF(ISNUMBER($P391),$P391,'設定'!$C$6+N('設定'!$C$7)),$V$3:$AI$3,0)-1)),""))</f>
        <v/>
      </c>
      <c r="CF391">
        <f>IF(OR($C391="",$O391="",$CE391=""),"",IF($O391-$CE391&lt;=0,0,ROUNDUP(($O391-$CE391)/$G391,0)))</f>
        <v/>
      </c>
      <c r="CG391">
        <f>IF(OR($C391="",$CF391="",NOT(ISNUMBER($Q391))),0,MAX(0,$Q391-$CF391))</f>
        <v/>
      </c>
      <c r="CH391">
        <f>IF(OR($C391="",$O391="",$U391=0),0,IFERROR(ROUNDUP(MAX(0,IF(MATCH($S391,$V$3:$AI$3,0)=1,MAX(0,N($L391)),INDEX($AX391:$BK391,MATCH($S391,$V$3:$AI$3,0)-1))+$U391-$O391)/$G391,0),0))</f>
        <v/>
      </c>
      <c r="CI391">
        <f>IF($C391="","",IF(AND($P391="",$Q391=""),"",IF($P391="","⚠ 入庫日を ▼ から選んでください",IF(NOT(ISNUMBER($P391)),"⚠ 入庫日は ▼ から選んでください",IF($P391&lt;N('設定'!$C$6),"⚠ 入庫日が過去です（もう在庫に入っています）→ 消してください",IF($P391&gt;N('設定'!$C$6)+13,"⚠ 入庫日が14日より先です",IF(N($Q391)&lt;=0,"⚠ 入庫数を入れてください",IF($CG391&gt;0,"⚠ 目安より "&amp;$CG391&amp;" 多い（定数を超える）→ 減らす",""))))))))</f>
        <v/>
      </c>
      <c r="CJ391">
        <f>IF($C391="","",IF(AND($S391="",$T391=""),"",IF($S391="","⚠ 2便目：入庫日を ▼ から選んでください",IF(NOT(ISNUMBER($S391)),"⚠ 2便目：入庫日は ▼ から選んでください",IF($S391&lt;N('設定'!$C$6),"⚠ 2便目：入庫日が過去です（もう在庫に入っています）→ 消してください",IF($S391&gt;N('設定'!$C$6)+13,"⚠ 2便目：入庫日が14日より先です",IF(N($T391)&lt;=0,"⚠ 2便目：入庫数を入れてください",IF($CH391&gt;0,"⚠ 2便目：定数を "&amp;$CH391&amp;" ケース超える → 減らす",""))))))))</f>
        <v/>
      </c>
      <c r="CK391">
        <f>IF(AND($CI391="",N($Q391)&gt;0,ISNUMBER($P391)),1,0)</f>
        <v/>
      </c>
      <c r="CL391">
        <f>IF(AND($CJ391="",N($T391)&gt;0,ISNUMBER($S391)),1,0)</f>
        <v/>
      </c>
      <c r="CM391">
        <f>IF(OR($CK391=1,$CL391=1),1,0)</f>
        <v/>
      </c>
      <c r="CN391">
        <f>IF($C391="",0,($CK391*$R391+$CL391*$U391)*N($H391))</f>
        <v/>
      </c>
      <c r="CO391">
        <f>IF($C391="","",IF($CC391="","入庫後は 14日以上もつ",IF($CC391-N('設定'!$C$7)&lt;='設定'!$C$6,"入庫後も "&amp;TEXT($CC391,"m/d")&amp;"("&amp;CHOOSE(WEEKDAY($CC391),"日","月","火","水","木","金","土")&amp;")"&amp;" に切れる　もう1便を至急発注","入庫後も "&amp;TEXT($CC391,"m/d")&amp;"("&amp;CHOOSE(WEEKDAY($CC391),"日","月","火","水","木","金","土")&amp;")"&amp;" に切れる　"&amp;TEXT($CC391-N('設定'!$C$7),"m/d")&amp;"("&amp;CHOOSE(WEEKDAY($CC391-N('設定'!$C$7)),"日","月","火","水","木","金","土")&amp;")"&amp;" までに次を発注")))</f>
        <v/>
      </c>
      <c r="CP391">
        <f>IF($C391="","",IF('設定'!$C$6="","？ ①在庫を貼る に今日のCSVが貼られていない",IF($CS391=1,"－ 今日のCSVに無い（終売？）",IF($L391&lt;0,"● 在庫がマイナス　数えて「数えた在庫」に入れる",IF($L391=0,"● 在庫なし　至急発注",IF($M391="","？ 減り数が未設定（商品マスタ）",IF($B$3=0,"？ 動員が未入力（動員を入れる）",IF($CA391="","○ 14日以上もつ",IF($BZ391&lt;N('設定'!$C$7),"● "&amp;TEXT($CA391,"m/d")&amp;"("&amp;CHOOSE(WEEKDAY($CA391),"日","月","火","水","木","金","土")&amp;")"&amp;" に切れる　至急発注",IF($BZ391=N('設定'!$C$7),"● "&amp;TEXT($CA391,"m/d")&amp;"("&amp;CHOOSE(WEEKDAY($CA391),"日","月","火","水","木","金","土")&amp;")"&amp;" に切れる　今日発注","△ "&amp;TEXT($CA391,"m/d")&amp;"("&amp;CHOOSE(WEEKDAY($CA391),"日","月","火","水","木","金","土")&amp;")"&amp;" に切れる　"&amp;TEXT($CA391-N('設定'!$C$7),"m/d")&amp;"("&amp;CHOOSE(WEEKDAY($CA391-N('設定'!$C$7)),"日","月","火","水","木","金","土")&amp;")"&amp;" までに発注"))))))))))</f>
        <v/>
      </c>
      <c r="CQ391">
        <f>IF($C391="","",IF(AND($P391="",$Q391="",$S391="",$T391=""),"",IF(AND($P391="",$Q391=""),"⚠ 先に1便目（左の入庫日・入庫数）に入れてください",IF($CI391&lt;&gt;"",$CI391,IF($CJ391&lt;&gt;"",$CJ391,IF($M391="","？ 減り数が未設定（発注書には載ります）",IF($B$3=0,"？ 動員が未入力（発注書には載ります）",IF(AND($CA391&lt;&gt;"",$P391&gt;$CA391),IF($P391&gt;'設定'!$C$6+N('設定'!$C$7),"● "&amp;TEXT($P391,"m/d")&amp;"("&amp;CHOOSE(WEEKDAY($P391),"日","月","火","水","木","金","土")&amp;")"&amp;" の入庫では間に合わない（"&amp;TEXT($CA391,"m/d")&amp;"("&amp;CHOOSE(WEEKDAY($CA391),"日","月","火","水","木","金","土")&amp;")"&amp;" に切れる）　入庫日を早める","△ 欠品 "&amp;TEXT($CA391,"m/d")&amp;"("&amp;CHOOSE(WEEKDAY($CA391),"日","月","火","水","木","金","土")&amp;")"&amp;"〜"&amp;TEXT($P391-1,"m/d")&amp;"("&amp;CHOOSE(WEEKDAY($P391-1),"日","月","火","水","木","金","土")&amp;")"&amp;"　"&amp;$CO391),IF($CC391="","○ "&amp;TEXT($P391,"m/d")&amp;"("&amp;CHOOSE(WEEKDAY($P391),"日","月","火","水","木","金","土")&amp;")"&amp;" 入庫で 14日以上もつ",IF($CC391-N('設定'!$C$7)&lt;='設定'!$C$6,"● 入庫しても "&amp;TEXT($CC391,"m/d")&amp;"("&amp;CHOOSE(WEEKDAY($CC391),"日","月","火","水","木","金","土")&amp;")"&amp;" に切れる　もう1便を至急発注（2便目に入れる）","△ 入庫しても "&amp;TEXT($CC391,"m/d")&amp;"("&amp;CHOOSE(WEEKDAY($CC391),"日","月","火","水","木","金","土")&amp;")"&amp;" に切れる　"&amp;TEXT($CC391-N('設定'!$C$7),"m/d")&amp;"("&amp;CHOOSE(WEEKDAY($CC391-N('設定'!$C$7)),"日","月","火","水","木","金","土")&amp;")"&amp;" までに次を発注（2便目に入れる）"))))))))))</f>
        <v/>
      </c>
      <c r="CR391">
        <f>IF($C391="","",IF($G391&gt;1,"ｹｰｽ("&amp;$G391&amp;"入)","個"))</f>
        <v/>
      </c>
      <c r="CS391">
        <f>IF($C391="",0,IF(COUNTIFS('①在庫を貼る'!$V$6:$V$10005,'設定'!$C$4,'①在庫を貼る'!$W$6:$W$10005,$C391)=0,1,0))</f>
        <v/>
      </c>
      <c r="CT391">
        <f>IF(AND($CK391=1,OR('③発注書'!$C$4="すべて",'③発注書'!$C$4="",$F391='③発注書'!$C$4)),N($CT390)+1,N($CT390))</f>
        <v/>
      </c>
      <c r="CU391">
        <f>IF(AND($CL391=1,OR('③発注書'!$C$4="すべて",'③発注書'!$C$4="",$F391='③発注書'!$C$4)),N($CU390)+1,N($CU390))</f>
        <v/>
      </c>
      <c r="CV391">
        <f>IF($C391="",0,IF(COUNTIFS('①在庫を貼る'!$V$6:$V$10005,'設定'!$C$4,'①在庫を貼る'!$W$6:$W$10005,$C391)&gt;0,1,0))</f>
        <v/>
      </c>
      <c r="CW391">
        <f>IF($C391="",0,IF(COUNTIFS('月1回_1ヶ月前の在庫'!$V$6:$V$10005,'設定'!$C$4,'月1回_1ヶ月前の在庫'!$W$6:$W$10005,$C391)&gt;0,1,0))</f>
        <v/>
      </c>
      <c r="CX391">
        <f>IF($C391="",0,IF(COUNTIFS('月1回_2ヶ月前の在庫'!$V$6:$V$10005,'設定'!$C$4,'月1回_2ヶ月前の在庫'!$W$6:$W$10005,$C391)&gt;0,1,0))</f>
        <v/>
      </c>
      <c r="CY391">
        <f>IF(OR($C391="",'設定'!$C$12=""),"",IF('設定'!$C$13="",IF(AND($CV391=1,$CW391=0),"新商品（今月から）",IF(AND($CV391=0,$CW391=1),"終売（今月から）","")),IF(AND($CV391=1,$CW391=0,$CX391=0),"新商品（今月から）",IF(AND($CV391=1,$CW391=1,$CX391=0),"新商品（先月から）",IF(AND($CV391=0,$CW391=1,$CX391=1),"終売（今月から）",IF(AND($CV391=0,$CW391=0,$CX391=1),"終売（先月から）",IF(AND($CV391=1,$CW391=0,$CX391=1),"復活（先月は無し）","")))))))</f>
        <v/>
      </c>
    </row>
    <row r="392">
      <c r="B392">
        <f>IF(387&lt;='設定'!$C$11,387,"")</f>
        <v/>
      </c>
      <c r="C392">
        <f>IF($B392="","",IF($B392&lt;='設定'!$C$20,INDEX('商品マスタ'!$B$6:$B$1005,MATCH($B392,'商品マスタ'!$M$6:$M$1005,0)),IF($B392&lt;='設定'!$C$20+'設定'!$C$17,INDEX('①在庫を貼る'!$W$6:$W$10005,MATCH($B392-'設定'!$C$20,'①在庫を貼る'!$U$6:$U$10005,0)),IF($B392&lt;='設定'!$C$20+'設定'!$C$17+'設定'!$C$18,INDEX('月1回_1ヶ月前の在庫'!$W$6:$W$10005,MATCH($B392-'設定'!$C$20-'設定'!$C$17,'月1回_1ヶ月前の在庫'!$U$6:$U$10005,0)),INDEX('月1回_2ヶ月前の在庫'!$W$6:$W$10005,MATCH($B392-'設定'!$C$20-'設定'!$C$17-'設定'!$C$18,'月1回_2ヶ月前の在庫'!$U$6:$U$10005,0))))))</f>
        <v/>
      </c>
      <c r="D392">
        <f>IF($C392="","",IFERROR(IF(INDEX('商品マスタ'!$C$6:$C$1005,MATCH($C392,'商品マスタ'!$B$6:$B$1005,0))="",IFERROR(INDEX('①在庫を貼る'!$J$6:$J$10005,MATCH($C392,'①在庫を貼る'!$W$6:$W$10005,0)),IFERROR(INDEX('月1回_1ヶ月前の在庫'!$J$6:$J$10005,MATCH($C392,'月1回_1ヶ月前の在庫'!$W$6:$W$10005,0)),IFERROR(INDEX('月1回_2ヶ月前の在庫'!$J$6:$J$10005,MATCH($C392,'月1回_2ヶ月前の在庫'!$W$6:$W$10005,0)),""))),INDEX('商品マスタ'!$C$6:$C$1005,MATCH($C392,'商品マスタ'!$B$6:$B$1005,0))),IFERROR(INDEX('①在庫を貼る'!$J$6:$J$10005,MATCH($C392,'①在庫を貼る'!$W$6:$W$10005,0)),IFERROR(INDEX('月1回_1ヶ月前の在庫'!$J$6:$J$10005,MATCH($C392,'月1回_1ヶ月前の在庫'!$W$6:$W$10005,0)),IFERROR(INDEX('月1回_2ヶ月前の在庫'!$J$6:$J$10005,MATCH($C392,'月1回_2ヶ月前の在庫'!$W$6:$W$10005,0)),"")))))</f>
        <v/>
      </c>
      <c r="E392">
        <f>IF($C392="","",IFERROR(IF(INDEX('商品マスタ'!$D$6:$D$1005,MATCH($C392,'商品マスタ'!$B$6:$B$1005,0))="",IFERROR(INDEX('①在庫を貼る'!$H$6:$H$10005,MATCH($C392,'①在庫を貼る'!$W$6:$W$10005,0)),IFERROR(INDEX('月1回_1ヶ月前の在庫'!$H$6:$H$10005,MATCH($C392,'月1回_1ヶ月前の在庫'!$W$6:$W$10005,0)),IFERROR(INDEX('月1回_2ヶ月前の在庫'!$H$6:$H$10005,MATCH($C392,'月1回_2ヶ月前の在庫'!$W$6:$W$10005,0)),""))),INDEX('商品マスタ'!$D$6:$D$1005,MATCH($C392,'商品マスタ'!$B$6:$B$1005,0))),IFERROR(INDEX('①在庫を貼る'!$H$6:$H$10005,MATCH($C392,'①在庫を貼る'!$W$6:$W$10005,0)),IFERROR(INDEX('月1回_1ヶ月前の在庫'!$H$6:$H$10005,MATCH($C392,'月1回_1ヶ月前の在庫'!$W$6:$W$10005,0)),IFERROR(INDEX('月1回_2ヶ月前の在庫'!$H$6:$H$10005,MATCH($C392,'月1回_2ヶ月前の在庫'!$W$6:$W$10005,0)),"")))))</f>
        <v/>
      </c>
      <c r="F392">
        <f>IF($C392="","",IFERROR(IF(INDEX('商品マスタ'!$E$6:$E$1005,MATCH($C392,'商品マスタ'!$B$6:$B$1005,0))="",IFERROR(INDEX('①在庫を貼る'!$E$6:$E$10005,MATCH($C392,'①在庫を貼る'!$W$6:$W$10005,0)),IFERROR(INDEX('月1回_1ヶ月前の在庫'!$E$6:$E$10005,MATCH($C392,'月1回_1ヶ月前の在庫'!$W$6:$W$10005,0)),IFERROR(INDEX('月1回_2ヶ月前の在庫'!$E$6:$E$10005,MATCH($C392,'月1回_2ヶ月前の在庫'!$W$6:$W$10005,0)),""))),INDEX('商品マスタ'!$E$6:$E$1005,MATCH($C392,'商品マスタ'!$B$6:$B$1005,0))),IFERROR(INDEX('①在庫を貼る'!$E$6:$E$10005,MATCH($C392,'①在庫を貼る'!$W$6:$W$10005,0)),IFERROR(INDEX('月1回_1ヶ月前の在庫'!$E$6:$E$10005,MATCH($C392,'月1回_1ヶ月前の在庫'!$W$6:$W$10005,0)),IFERROR(INDEX('月1回_2ヶ月前の在庫'!$E$6:$E$10005,MATCH($C392,'月1回_2ヶ月前の在庫'!$W$6:$W$10005,0)),"")))))</f>
        <v/>
      </c>
      <c r="G392">
        <f>IF($C392="","",MAX(1,N(IFERROR(IF(INDEX('商品マスタ'!$F$6:$F$1005,MATCH($C392,'商品マスタ'!$B$6:$B$1005,0))="",IF(COUNTIFS('①在庫を貼る'!$V$6:$V$10005,'設定'!$C$4,'①在庫を貼る'!$W$6:$W$10005,$C392)&gt;0,SUMIFS('①在庫を貼る'!$K$6:$K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K$6:$K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K$6:$K$10005,'月1回_2ヶ月前の在庫'!$V$6:$V$10005,'設定'!$C$4,'月1回_2ヶ月前の在庫'!$W$6:$W$10005,$C392)/COUNTIFS('月1回_2ヶ月前の在庫'!$V$6:$V$10005,'設定'!$C$4,'月1回_2ヶ月前の在庫'!$W$6:$W$10005,$C392),0))),INDEX('商品マスタ'!$F$6:$F$1005,MATCH($C392,'商品マスタ'!$B$6:$B$1005,0))),IF(COUNTIFS('①在庫を貼る'!$V$6:$V$10005,'設定'!$C$4,'①在庫を貼る'!$W$6:$W$10005,$C392)&gt;0,SUMIFS('①在庫を貼る'!$K$6:$K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K$6:$K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K$6:$K$10005,'月1回_2ヶ月前の在庫'!$V$6:$V$10005,'設定'!$C$4,'月1回_2ヶ月前の在庫'!$W$6:$W$10005,$C392)/COUNTIFS('月1回_2ヶ月前の在庫'!$V$6:$V$10005,'設定'!$C$4,'月1回_2ヶ月前の在庫'!$W$6:$W$10005,$C392),0)))))))</f>
        <v/>
      </c>
      <c r="H392">
        <f>IF($C392="","",N(IFERROR(IF(INDEX('商品マスタ'!$G$6:$G$1005,MATCH($C392,'商品マスタ'!$B$6:$B$1005,0))="",IF(COUNTIFS('①在庫を貼る'!$V$6:$V$10005,'設定'!$C$4,'①在庫を貼る'!$W$6:$W$10005,$C392)&gt;0,SUMIFS('①在庫を貼る'!$Q$6:$Q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Q$6:$Q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Q$6:$Q$10005,'月1回_2ヶ月前の在庫'!$V$6:$V$10005,'設定'!$C$4,'月1回_2ヶ月前の在庫'!$W$6:$W$10005,$C392)/COUNTIFS('月1回_2ヶ月前の在庫'!$V$6:$V$10005,'設定'!$C$4,'月1回_2ヶ月前の在庫'!$W$6:$W$10005,$C392),0))),INDEX('商品マスタ'!$G$6:$G$1005,MATCH($C392,'商品マスタ'!$B$6:$B$1005,0))),IF(COUNTIFS('①在庫を貼る'!$V$6:$V$10005,'設定'!$C$4,'①在庫を貼る'!$W$6:$W$10005,$C392)&gt;0,SUMIFS('①在庫を貼る'!$Q$6:$Q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Q$6:$Q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Q$6:$Q$10005,'月1回_2ヶ月前の在庫'!$V$6:$V$10005,'設定'!$C$4,'月1回_2ヶ月前の在庫'!$W$6:$W$10005,$C392)/COUNTIFS('月1回_2ヶ月前の在庫'!$V$6:$V$10005,'設定'!$C$4,'月1回_2ヶ月前の在庫'!$W$6:$W$10005,$C392),0))))))</f>
        <v/>
      </c>
      <c r="I392">
        <f>IF($C392="","",IF(COUNTIFS('①在庫を貼る'!$V$6:$V$10005,'設定'!$C$4,'①在庫を貼る'!$W$6:$W$10005,$C392)=0,"",SUMIFS('①在庫を貼る'!$N$6:$N$10005,'①在庫を貼る'!$V$6:$V$10005,'設定'!$C$4,'①在庫を貼る'!$W$6:$W$10005,$C392)))</f>
        <v/>
      </c>
      <c r="J392">
        <f>IF($C392="","",IF('②発注する'!$AD396="","",'②発注する'!$AD396))</f>
        <v/>
      </c>
      <c r="K392" s="90">
        <f>IF($C392="","",IF('②発注する'!$AE396="","",'②発注する'!$AE396))</f>
        <v/>
      </c>
      <c r="L392">
        <f>IF($C392="","",IF(AND(ISNUMBER($J392),ISNUMBER($K392),$K392&gt;='設定'!$C$6),$J392,N($I392)))</f>
        <v/>
      </c>
      <c r="M392">
        <f>IF($C392="","",IFERROR(IF(N(INDEX('商品マスタ'!$J$6:$J$1005,MATCH($C392,'商品マスタ'!$B$6:$B$1005,0)))&gt;0,INDEX('商品マスタ'!$J$6:$J$1005,MATCH($C392,'商品マスタ'!$B$6:$B$1005,0)),""),""))</f>
        <v/>
      </c>
      <c r="N392">
        <f>IF($C392="","",IFERROR(IF(N(INDEX('商品マスタ'!$H$6:$H$1005,MATCH($C392,'商品マスタ'!$B$6:$B$1005,0)))&gt;0,INDEX('商品マスタ'!$H$6:$H$1005,MATCH($C392,'商品マスタ'!$B$6:$B$1005,0)),""),""))</f>
        <v/>
      </c>
      <c r="O392">
        <f>IF($C392="","",IF($N392&lt;&gt;"",$N392*$G392,IF(N(IF(COUNTIFS('①在庫を貼る'!$V$6:$V$10005,'設定'!$C$4,'①在庫を貼る'!$W$6:$W$10005,$C392)&gt;0,SUMIFS('①在庫を貼る'!$O$6:$O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O$6:$O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O$6:$O$10005,'月1回_2ヶ月前の在庫'!$V$6:$V$10005,'設定'!$C$4,'月1回_2ヶ月前の在庫'!$W$6:$W$10005,$C392)/COUNTIFS('月1回_2ヶ月前の在庫'!$V$6:$V$10005,'設定'!$C$4,'月1回_2ヶ月前の在庫'!$W$6:$W$10005,$C392),0))))&gt;0,N(IF(COUNTIFS('①在庫を貼る'!$V$6:$V$10005,'設定'!$C$4,'①在庫を貼る'!$W$6:$W$10005,$C392)&gt;0,SUMIFS('①在庫を貼る'!$O$6:$O$10005,'①在庫を貼る'!$V$6:$V$10005,'設定'!$C$4,'①在庫を貼る'!$W$6:$W$10005,$C392)/COUNTIFS('①在庫を貼る'!$V$6:$V$10005,'設定'!$C$4,'①在庫を貼る'!$W$6:$W$10005,$C392),IF(COUNTIFS('月1回_1ヶ月前の在庫'!$V$6:$V$10005,'設定'!$C$4,'月1回_1ヶ月前の在庫'!$W$6:$W$10005,$C392)&gt;0,SUMIFS('月1回_1ヶ月前の在庫'!$O$6:$O$10005,'月1回_1ヶ月前の在庫'!$V$6:$V$10005,'設定'!$C$4,'月1回_1ヶ月前の在庫'!$W$6:$W$10005,$C392)/COUNTIFS('月1回_1ヶ月前の在庫'!$V$6:$V$10005,'設定'!$C$4,'月1回_1ヶ月前の在庫'!$W$6:$W$10005,$C392),IF(COUNTIFS('月1回_2ヶ月前の在庫'!$V$6:$V$10005,'設定'!$C$4,'月1回_2ヶ月前の在庫'!$W$6:$W$10005,$C392)&gt;0,SUMIFS('月1回_2ヶ月前の在庫'!$O$6:$O$10005,'月1回_2ヶ月前の在庫'!$V$6:$V$10005,'設定'!$C$4,'月1回_2ヶ月前の在庫'!$W$6:$W$10005,$C392)/COUNTIFS('月1回_2ヶ月前の在庫'!$V$6:$V$10005,'設定'!$C$4,'月1回_2ヶ月前の在庫'!$W$6:$W$10005,$C392),0)))),"")))</f>
        <v/>
      </c>
      <c r="P392" s="90">
        <f>IF($C392="","",IF('②発注する'!$I396="","",'②発注する'!$I396))</f>
        <v/>
      </c>
      <c r="Q392">
        <f>IF($C392="","",IF('②発注する'!$J396="","",'②発注する'!$J396))</f>
        <v/>
      </c>
      <c r="R392">
        <f>IF($C392="",0,IF(AND(ISNUMBER($P392),ISNUMBER($Q392)),MAX(0,$Q392)*$G392,0))</f>
        <v/>
      </c>
      <c r="S392" s="90">
        <f>IF($C392="","",IF('②発注する'!$M396="","",'②発注する'!$M396))</f>
        <v/>
      </c>
      <c r="T392">
        <f>IF($C392="","",IF('②発注する'!$N396="","",'②発注する'!$N396))</f>
        <v/>
      </c>
      <c r="U392">
        <f>IF($C392="",0,IF(AND(ISNUMBER($S392),ISNUMBER($T392)),MAX(0,$T392)*$G392,0))</f>
        <v/>
      </c>
      <c r="V392">
        <f>IF($C392="",0,IF($M392="",0,MAX(0,$M392)*MAX(0,V$4)/100))</f>
        <v/>
      </c>
      <c r="W392">
        <f>IF($C392="",0,IF($M392="",0,MAX(0,$M392)*MAX(0,W$4)/100))</f>
        <v/>
      </c>
      <c r="X392">
        <f>IF($C392="",0,IF($M392="",0,MAX(0,$M392)*MAX(0,X$4)/100))</f>
        <v/>
      </c>
      <c r="Y392">
        <f>IF($C392="",0,IF($M392="",0,MAX(0,$M392)*MAX(0,Y$4)/100))</f>
        <v/>
      </c>
      <c r="Z392">
        <f>IF($C392="",0,IF($M392="",0,MAX(0,$M392)*MAX(0,Z$4)/100))</f>
        <v/>
      </c>
      <c r="AA392">
        <f>IF($C392="",0,IF($M392="",0,MAX(0,$M392)*MAX(0,AA$4)/100))</f>
        <v/>
      </c>
      <c r="AB392">
        <f>IF($C392="",0,IF($M392="",0,MAX(0,$M392)*MAX(0,AB$4)/100))</f>
        <v/>
      </c>
      <c r="AC392">
        <f>IF($C392="",0,IF($M392="",0,MAX(0,$M392)*MAX(0,AC$4)/100))</f>
        <v/>
      </c>
      <c r="AD392">
        <f>IF($C392="",0,IF($M392="",0,MAX(0,$M392)*MAX(0,AD$4)/100))</f>
        <v/>
      </c>
      <c r="AE392">
        <f>IF($C392="",0,IF($M392="",0,MAX(0,$M392)*MAX(0,AE$4)/100))</f>
        <v/>
      </c>
      <c r="AF392">
        <f>IF($C392="",0,IF($M392="",0,MAX(0,$M392)*MAX(0,AF$4)/100))</f>
        <v/>
      </c>
      <c r="AG392">
        <f>IF($C392="",0,IF($M392="",0,MAX(0,$M392)*MAX(0,AG$4)/100))</f>
        <v/>
      </c>
      <c r="AH392">
        <f>IF($C392="",0,IF($M392="",0,MAX(0,$M392)*MAX(0,AH$4)/100))</f>
        <v/>
      </c>
      <c r="AI392">
        <f>IF($C392="",0,IF($M392="",0,MAX(0,$M392)*MAX(0,AI$4)/100))</f>
        <v/>
      </c>
      <c r="AJ392">
        <f>IF($C392="",0,MAX(0,MAX(0,N($L392))-$V392))</f>
        <v/>
      </c>
      <c r="AK392">
        <f>IF($C392="",0,MAX(0,$AJ392-$W392))</f>
        <v/>
      </c>
      <c r="AL392">
        <f>IF($C392="",0,MAX(0,$AK392-$X392))</f>
        <v/>
      </c>
      <c r="AM392">
        <f>IF($C392="",0,MAX(0,$AL392-$Y392))</f>
        <v/>
      </c>
      <c r="AN392">
        <f>IF($C392="",0,MAX(0,$AM392-$Z392))</f>
        <v/>
      </c>
      <c r="AO392">
        <f>IF($C392="",0,MAX(0,$AN392-$AA392))</f>
        <v/>
      </c>
      <c r="AP392">
        <f>IF($C392="",0,MAX(0,$AO392-$AB392))</f>
        <v/>
      </c>
      <c r="AQ392">
        <f>IF($C392="",0,MAX(0,$AP392-$AC392))</f>
        <v/>
      </c>
      <c r="AR392">
        <f>IF($C392="",0,MAX(0,$AQ392-$AD392))</f>
        <v/>
      </c>
      <c r="AS392">
        <f>IF($C392="",0,MAX(0,$AR392-$AE392))</f>
        <v/>
      </c>
      <c r="AT392">
        <f>IF($C392="",0,MAX(0,$AS392-$AF392))</f>
        <v/>
      </c>
      <c r="AU392">
        <f>IF($C392="",0,MAX(0,$AT392-$AG392))</f>
        <v/>
      </c>
      <c r="AV392">
        <f>IF($C392="",0,MAX(0,$AU392-$AH392))</f>
        <v/>
      </c>
      <c r="AW392">
        <f>IF($C392="",0,MAX(0,$AV392-$AI392))</f>
        <v/>
      </c>
      <c r="AX392">
        <f>IF($C392="",0,MAX(0,MAX(0,N($L392))+IF($P392=V$3,$R392,0)+IF($S392=V$3,$U392,0)-$V392))</f>
        <v/>
      </c>
      <c r="AY392">
        <f>IF($C392="",0,MAX(0,$AX392+IF($P392=W$3,$R392,0)+IF($S392=W$3,$U392,0)-$W392))</f>
        <v/>
      </c>
      <c r="AZ392">
        <f>IF($C392="",0,MAX(0,$AY392+IF($P392=X$3,$R392,0)+IF($S392=X$3,$U392,0)-$X392))</f>
        <v/>
      </c>
      <c r="BA392">
        <f>IF($C392="",0,MAX(0,$AZ392+IF($P392=Y$3,$R392,0)+IF($S392=Y$3,$U392,0)-$Y392))</f>
        <v/>
      </c>
      <c r="BB392">
        <f>IF($C392="",0,MAX(0,$BA392+IF($P392=Z$3,$R392,0)+IF($S392=Z$3,$U392,0)-$Z392))</f>
        <v/>
      </c>
      <c r="BC392">
        <f>IF($C392="",0,MAX(0,$BB392+IF($P392=AA$3,$R392,0)+IF($S392=AA$3,$U392,0)-$AA392))</f>
        <v/>
      </c>
      <c r="BD392">
        <f>IF($C392="",0,MAX(0,$BC392+IF($P392=AB$3,$R392,0)+IF($S392=AB$3,$U392,0)-$AB392))</f>
        <v/>
      </c>
      <c r="BE392">
        <f>IF($C392="",0,MAX(0,$BD392+IF($P392=AC$3,$R392,0)+IF($S392=AC$3,$U392,0)-$AC392))</f>
        <v/>
      </c>
      <c r="BF392">
        <f>IF($C392="",0,MAX(0,$BE392+IF($P392=AD$3,$R392,0)+IF($S392=AD$3,$U392,0)-$AD392))</f>
        <v/>
      </c>
      <c r="BG392">
        <f>IF($C392="",0,MAX(0,$BF392+IF($P392=AE$3,$R392,0)+IF($S392=AE$3,$U392,0)-$AE392))</f>
        <v/>
      </c>
      <c r="BH392">
        <f>IF($C392="",0,MAX(0,$BG392+IF($P392=AF$3,$R392,0)+IF($S392=AF$3,$U392,0)-$AF392))</f>
        <v/>
      </c>
      <c r="BI392">
        <f>IF($C392="",0,MAX(0,$BH392+IF($P392=AG$3,$R392,0)+IF($S392=AG$3,$U392,0)-$AG392))</f>
        <v/>
      </c>
      <c r="BJ392">
        <f>IF($C392="",0,MAX(0,$BI392+IF($P392=AH$3,$R392,0)+IF($S392=AH$3,$U392,0)-$AH392))</f>
        <v/>
      </c>
      <c r="BK392">
        <f>IF($C392="",0,MAX(0,$BJ392+IF($P392=AI$3,$R392,0)+IF($S392=AI$3,$U392,0)-$AI392))</f>
        <v/>
      </c>
      <c r="BL392">
        <f>IF($C392="",99,IF(AND($AX392&lt;1,V$3&gt;=MAX(N($P392),N($S392))),0,99))</f>
        <v/>
      </c>
      <c r="BM392">
        <f>IF($C392="",99,IF(AND($AY392&lt;1,W$3&gt;=MAX(N($P392),N($S392))),1,99))</f>
        <v/>
      </c>
      <c r="BN392">
        <f>IF($C392="",99,IF(AND($AZ392&lt;1,X$3&gt;=MAX(N($P392),N($S392))),2,99))</f>
        <v/>
      </c>
      <c r="BO392">
        <f>IF($C392="",99,IF(AND($BA392&lt;1,Y$3&gt;=MAX(N($P392),N($S392))),3,99))</f>
        <v/>
      </c>
      <c r="BP392">
        <f>IF($C392="",99,IF(AND($BB392&lt;1,Z$3&gt;=MAX(N($P392),N($S392))),4,99))</f>
        <v/>
      </c>
      <c r="BQ392">
        <f>IF($C392="",99,IF(AND($BC392&lt;1,AA$3&gt;=MAX(N($P392),N($S392))),5,99))</f>
        <v/>
      </c>
      <c r="BR392">
        <f>IF($C392="",99,IF(AND($BD392&lt;1,AB$3&gt;=MAX(N($P392),N($S392))),6,99))</f>
        <v/>
      </c>
      <c r="BS392">
        <f>IF($C392="",99,IF(AND($BE392&lt;1,AC$3&gt;=MAX(N($P392),N($S392))),7,99))</f>
        <v/>
      </c>
      <c r="BT392">
        <f>IF($C392="",99,IF(AND($BF392&lt;1,AD$3&gt;=MAX(N($P392),N($S392))),8,99))</f>
        <v/>
      </c>
      <c r="BU392">
        <f>IF($C392="",99,IF(AND($BG392&lt;1,AE$3&gt;=MAX(N($P392),N($S392))),9,99))</f>
        <v/>
      </c>
      <c r="BV392">
        <f>IF($C392="",99,IF(AND($BH392&lt;1,AF$3&gt;=MAX(N($P392),N($S392))),10,99))</f>
        <v/>
      </c>
      <c r="BW392">
        <f>IF($C392="",99,IF(AND($BI392&lt;1,AG$3&gt;=MAX(N($P392),N($S392))),11,99))</f>
        <v/>
      </c>
      <c r="BX392">
        <f>IF($C392="",99,IF(AND($BJ392&lt;1,AH$3&gt;=MAX(N($P392),N($S392))),12,99))</f>
        <v/>
      </c>
      <c r="BY392">
        <f>IF($C392="",99,IF(AND($BK392&lt;1,AI$3&gt;=MAX(N($P392),N($S392))),13,99))</f>
        <v/>
      </c>
      <c r="BZ392">
        <f>IF(OR($C392="",$M392=""),"",COUNTIF($AJ392:$AW392,"&gt;=1"))</f>
        <v/>
      </c>
      <c r="CA392" s="90">
        <f>IF($BZ392="","",IF($BZ392&gt;=14,"",'設定'!$C$6+$BZ392))</f>
        <v/>
      </c>
      <c r="CB392">
        <f>IF(OR($C392="",$M392=""),"",MIN($BL392:$BY392))</f>
        <v/>
      </c>
      <c r="CC392" s="90">
        <f>IF($CB392="","",IF($CB392&gt;=99,"",'設定'!$C$6+$CB392))</f>
        <v/>
      </c>
      <c r="CD392">
        <f>IF(OR($C392="",$M392=""),"",AVERAGE($V392:$AI392))</f>
        <v/>
      </c>
      <c r="CE392">
        <f>IF($C392="","",IFERROR(IF(MATCH(IF(ISNUMBER($P392),$P392,'設定'!$C$6+N('設定'!$C$7)),$V$3:$AI$3,0)=1,MAX(0,N($L392)),INDEX($AJ392:$AW392,MATCH(IF(ISNUMBER($P392),$P392,'設定'!$C$6+N('設定'!$C$7)),$V$3:$AI$3,0)-1)),""))</f>
        <v/>
      </c>
      <c r="CF392">
        <f>IF(OR($C392="",$O392="",$CE392=""),"",IF($O392-$CE392&lt;=0,0,ROUNDUP(($O392-$CE392)/$G392,0)))</f>
        <v/>
      </c>
      <c r="CG392">
        <f>IF(OR($C392="",$CF392="",NOT(ISNUMBER($Q392))),0,MAX(0,$Q392-$CF392))</f>
        <v/>
      </c>
      <c r="CH392">
        <f>IF(OR($C392="",$O392="",$U392=0),0,IFERROR(ROUNDUP(MAX(0,IF(MATCH($S392,$V$3:$AI$3,0)=1,MAX(0,N($L392)),INDEX($AX392:$BK392,MATCH($S392,$V$3:$AI$3,0)-1))+$U392-$O392)/$G392,0),0))</f>
        <v/>
      </c>
      <c r="CI392">
        <f>IF($C392="","",IF(AND($P392="",$Q392=""),"",IF($P392="","⚠ 入庫日を ▼ から選んでください",IF(NOT(ISNUMBER($P392)),"⚠ 入庫日は ▼ から選んでください",IF($P392&lt;N('設定'!$C$6),"⚠ 入庫日が過去です（もう在庫に入っています）→ 消してください",IF($P392&gt;N('設定'!$C$6)+13,"⚠ 入庫日が14日より先です",IF(N($Q392)&lt;=0,"⚠ 入庫数を入れてください",IF($CG392&gt;0,"⚠ 目安より "&amp;$CG392&amp;" 多い（定数を超える）→ 減らす",""))))))))</f>
        <v/>
      </c>
      <c r="CJ392">
        <f>IF($C392="","",IF(AND($S392="",$T392=""),"",IF($S392="","⚠ 2便目：入庫日を ▼ から選んでください",IF(NOT(ISNUMBER($S392)),"⚠ 2便目：入庫日は ▼ から選んでください",IF($S392&lt;N('設定'!$C$6),"⚠ 2便目：入庫日が過去です（もう在庫に入っています）→ 消してください",IF($S392&gt;N('設定'!$C$6)+13,"⚠ 2便目：入庫日が14日より先です",IF(N($T392)&lt;=0,"⚠ 2便目：入庫数を入れてください",IF($CH392&gt;0,"⚠ 2便目：定数を "&amp;$CH392&amp;" ケース超える → 減らす",""))))))))</f>
        <v/>
      </c>
      <c r="CK392">
        <f>IF(AND($CI392="",N($Q392)&gt;0,ISNUMBER($P392)),1,0)</f>
        <v/>
      </c>
      <c r="CL392">
        <f>IF(AND($CJ392="",N($T392)&gt;0,ISNUMBER($S392)),1,0)</f>
        <v/>
      </c>
      <c r="CM392">
        <f>IF(OR($CK392=1,$CL392=1),1,0)</f>
        <v/>
      </c>
      <c r="CN392">
        <f>IF($C392="",0,($CK392*$R392+$CL392*$U392)*N($H392))</f>
        <v/>
      </c>
      <c r="CO392">
        <f>IF($C392="","",IF($CC392="","入庫後は 14日以上もつ",IF($CC392-N('設定'!$C$7)&lt;='設定'!$C$6,"入庫後も "&amp;TEXT($CC392,"m/d")&amp;"("&amp;CHOOSE(WEEKDAY($CC392),"日","月","火","水","木","金","土")&amp;")"&amp;" に切れる　もう1便を至急発注","入庫後も "&amp;TEXT($CC392,"m/d")&amp;"("&amp;CHOOSE(WEEKDAY($CC392),"日","月","火","水","木","金","土")&amp;")"&amp;" に切れる　"&amp;TEXT($CC392-N('設定'!$C$7),"m/d")&amp;"("&amp;CHOOSE(WEEKDAY($CC392-N('設定'!$C$7)),"日","月","火","水","木","金","土")&amp;")"&amp;" までに次を発注")))</f>
        <v/>
      </c>
      <c r="CP392">
        <f>IF($C392="","",IF('設定'!$C$6="","？ ①在庫を貼る に今日のCSVが貼られていない",IF($CS392=1,"－ 今日のCSVに無い（終売？）",IF($L392&lt;0,"● 在庫がマイナス　数えて「数えた在庫」に入れる",IF($L392=0,"● 在庫なし　至急発注",IF($M392="","？ 減り数が未設定（商品マスタ）",IF($B$3=0,"？ 動員が未入力（動員を入れる）",IF($CA392="","○ 14日以上もつ",IF($BZ392&lt;N('設定'!$C$7),"● "&amp;TEXT($CA392,"m/d")&amp;"("&amp;CHOOSE(WEEKDAY($CA392),"日","月","火","水","木","金","土")&amp;")"&amp;" に切れる　至急発注",IF($BZ392=N('設定'!$C$7),"● "&amp;TEXT($CA392,"m/d")&amp;"("&amp;CHOOSE(WEEKDAY($CA392),"日","月","火","水","木","金","土")&amp;")"&amp;" に切れる　今日発注","△ "&amp;TEXT($CA392,"m/d")&amp;"("&amp;CHOOSE(WEEKDAY($CA392),"日","月","火","水","木","金","土")&amp;")"&amp;" に切れる　"&amp;TEXT($CA392-N('設定'!$C$7),"m/d")&amp;"("&amp;CHOOSE(WEEKDAY($CA392-N('設定'!$C$7)),"日","月","火","水","木","金","土")&amp;")"&amp;" までに発注"))))))))))</f>
        <v/>
      </c>
      <c r="CQ392">
        <f>IF($C392="","",IF(AND($P392="",$Q392="",$S392="",$T392=""),"",IF(AND($P392="",$Q392=""),"⚠ 先に1便目（左の入庫日・入庫数）に入れてください",IF($CI392&lt;&gt;"",$CI392,IF($CJ392&lt;&gt;"",$CJ392,IF($M392="","？ 減り数が未設定（発注書には載ります）",IF($B$3=0,"？ 動員が未入力（発注書には載ります）",IF(AND($CA392&lt;&gt;"",$P392&gt;$CA392),IF($P392&gt;'設定'!$C$6+N('設定'!$C$7),"● "&amp;TEXT($P392,"m/d")&amp;"("&amp;CHOOSE(WEEKDAY($P392),"日","月","火","水","木","金","土")&amp;")"&amp;" の入庫では間に合わない（"&amp;TEXT($CA392,"m/d")&amp;"("&amp;CHOOSE(WEEKDAY($CA392),"日","月","火","水","木","金","土")&amp;")"&amp;" に切れる）　入庫日を早める","△ 欠品 "&amp;TEXT($CA392,"m/d")&amp;"("&amp;CHOOSE(WEEKDAY($CA392),"日","月","火","水","木","金","土")&amp;")"&amp;"〜"&amp;TEXT($P392-1,"m/d")&amp;"("&amp;CHOOSE(WEEKDAY($P392-1),"日","月","火","水","木","金","土")&amp;")"&amp;"　"&amp;$CO392),IF($CC392="","○ "&amp;TEXT($P392,"m/d")&amp;"("&amp;CHOOSE(WEEKDAY($P392),"日","月","火","水","木","金","土")&amp;")"&amp;" 入庫で 14日以上もつ",IF($CC392-N('設定'!$C$7)&lt;='設定'!$C$6,"● 入庫しても "&amp;TEXT($CC392,"m/d")&amp;"("&amp;CHOOSE(WEEKDAY($CC392),"日","月","火","水","木","金","土")&amp;")"&amp;" に切れる　もう1便を至急発注（2便目に入れる）","△ 入庫しても "&amp;TEXT($CC392,"m/d")&amp;"("&amp;CHOOSE(WEEKDAY($CC392),"日","月","火","水","木","金","土")&amp;")"&amp;" に切れる　"&amp;TEXT($CC392-N('設定'!$C$7),"m/d")&amp;"("&amp;CHOOSE(WEEKDAY($CC392-N('設定'!$C$7)),"日","月","火","水","木","金","土")&amp;")"&amp;" までに次を発注（2便目に入れる）"))))))))))</f>
        <v/>
      </c>
      <c r="CR392">
        <f>IF($C392="","",IF($G392&gt;1,"ｹｰｽ("&amp;$G392&amp;"入)","個"))</f>
        <v/>
      </c>
      <c r="CS392">
        <f>IF($C392="",0,IF(COUNTIFS('①在庫を貼る'!$V$6:$V$10005,'設定'!$C$4,'①在庫を貼る'!$W$6:$W$10005,$C392)=0,1,0))</f>
        <v/>
      </c>
      <c r="CT392">
        <f>IF(AND($CK392=1,OR('③発注書'!$C$4="すべて",'③発注書'!$C$4="",$F392='③発注書'!$C$4)),N($CT391)+1,N($CT391))</f>
        <v/>
      </c>
      <c r="CU392">
        <f>IF(AND($CL392=1,OR('③発注書'!$C$4="すべて",'③発注書'!$C$4="",$F392='③発注書'!$C$4)),N($CU391)+1,N($CU391))</f>
        <v/>
      </c>
      <c r="CV392">
        <f>IF($C392="",0,IF(COUNTIFS('①在庫を貼る'!$V$6:$V$10005,'設定'!$C$4,'①在庫を貼る'!$W$6:$W$10005,$C392)&gt;0,1,0))</f>
        <v/>
      </c>
      <c r="CW392">
        <f>IF($C392="",0,IF(COUNTIFS('月1回_1ヶ月前の在庫'!$V$6:$V$10005,'設定'!$C$4,'月1回_1ヶ月前の在庫'!$W$6:$W$10005,$C392)&gt;0,1,0))</f>
        <v/>
      </c>
      <c r="CX392">
        <f>IF($C392="",0,IF(COUNTIFS('月1回_2ヶ月前の在庫'!$V$6:$V$10005,'設定'!$C$4,'月1回_2ヶ月前の在庫'!$W$6:$W$10005,$C392)&gt;0,1,0))</f>
        <v/>
      </c>
      <c r="CY392">
        <f>IF(OR($C392="",'設定'!$C$12=""),"",IF('設定'!$C$13="",IF(AND($CV392=1,$CW392=0),"新商品（今月から）",IF(AND($CV392=0,$CW392=1),"終売（今月から）","")),IF(AND($CV392=1,$CW392=0,$CX392=0),"新商品（今月から）",IF(AND($CV392=1,$CW392=1,$CX392=0),"新商品（先月から）",IF(AND($CV392=0,$CW392=1,$CX392=1),"終売（今月から）",IF(AND($CV392=0,$CW392=0,$CX392=1),"終売（先月から）",IF(AND($CV392=1,$CW392=0,$CX392=1),"復活（先月は無し）","")))))))</f>
        <v/>
      </c>
    </row>
    <row r="393">
      <c r="B393">
        <f>IF(388&lt;='設定'!$C$11,388,"")</f>
        <v/>
      </c>
      <c r="C393">
        <f>IF($B393="","",IF($B393&lt;='設定'!$C$20,INDEX('商品マスタ'!$B$6:$B$1005,MATCH($B393,'商品マスタ'!$M$6:$M$1005,0)),IF($B393&lt;='設定'!$C$20+'設定'!$C$17,INDEX('①在庫を貼る'!$W$6:$W$10005,MATCH($B393-'設定'!$C$20,'①在庫を貼る'!$U$6:$U$10005,0)),IF($B393&lt;='設定'!$C$20+'設定'!$C$17+'設定'!$C$18,INDEX('月1回_1ヶ月前の在庫'!$W$6:$W$10005,MATCH($B393-'設定'!$C$20-'設定'!$C$17,'月1回_1ヶ月前の在庫'!$U$6:$U$10005,0)),INDEX('月1回_2ヶ月前の在庫'!$W$6:$W$10005,MATCH($B393-'設定'!$C$20-'設定'!$C$17-'設定'!$C$18,'月1回_2ヶ月前の在庫'!$U$6:$U$10005,0))))))</f>
        <v/>
      </c>
      <c r="D393">
        <f>IF($C393="","",IFERROR(IF(INDEX('商品マスタ'!$C$6:$C$1005,MATCH($C393,'商品マスタ'!$B$6:$B$1005,0))="",IFERROR(INDEX('①在庫を貼る'!$J$6:$J$10005,MATCH($C393,'①在庫を貼る'!$W$6:$W$10005,0)),IFERROR(INDEX('月1回_1ヶ月前の在庫'!$J$6:$J$10005,MATCH($C393,'月1回_1ヶ月前の在庫'!$W$6:$W$10005,0)),IFERROR(INDEX('月1回_2ヶ月前の在庫'!$J$6:$J$10005,MATCH($C393,'月1回_2ヶ月前の在庫'!$W$6:$W$10005,0)),""))),INDEX('商品マスタ'!$C$6:$C$1005,MATCH($C393,'商品マスタ'!$B$6:$B$1005,0))),IFERROR(INDEX('①在庫を貼る'!$J$6:$J$10005,MATCH($C393,'①在庫を貼る'!$W$6:$W$10005,0)),IFERROR(INDEX('月1回_1ヶ月前の在庫'!$J$6:$J$10005,MATCH($C393,'月1回_1ヶ月前の在庫'!$W$6:$W$10005,0)),IFERROR(INDEX('月1回_2ヶ月前の在庫'!$J$6:$J$10005,MATCH($C393,'月1回_2ヶ月前の在庫'!$W$6:$W$10005,0)),"")))))</f>
        <v/>
      </c>
      <c r="E393">
        <f>IF($C393="","",IFERROR(IF(INDEX('商品マスタ'!$D$6:$D$1005,MATCH($C393,'商品マスタ'!$B$6:$B$1005,0))="",IFERROR(INDEX('①在庫を貼る'!$H$6:$H$10005,MATCH($C393,'①在庫を貼る'!$W$6:$W$10005,0)),IFERROR(INDEX('月1回_1ヶ月前の在庫'!$H$6:$H$10005,MATCH($C393,'月1回_1ヶ月前の在庫'!$W$6:$W$10005,0)),IFERROR(INDEX('月1回_2ヶ月前の在庫'!$H$6:$H$10005,MATCH($C393,'月1回_2ヶ月前の在庫'!$W$6:$W$10005,0)),""))),INDEX('商品マスタ'!$D$6:$D$1005,MATCH($C393,'商品マスタ'!$B$6:$B$1005,0))),IFERROR(INDEX('①在庫を貼る'!$H$6:$H$10005,MATCH($C393,'①在庫を貼る'!$W$6:$W$10005,0)),IFERROR(INDEX('月1回_1ヶ月前の在庫'!$H$6:$H$10005,MATCH($C393,'月1回_1ヶ月前の在庫'!$W$6:$W$10005,0)),IFERROR(INDEX('月1回_2ヶ月前の在庫'!$H$6:$H$10005,MATCH($C393,'月1回_2ヶ月前の在庫'!$W$6:$W$10005,0)),"")))))</f>
        <v/>
      </c>
      <c r="F393">
        <f>IF($C393="","",IFERROR(IF(INDEX('商品マスタ'!$E$6:$E$1005,MATCH($C393,'商品マスタ'!$B$6:$B$1005,0))="",IFERROR(INDEX('①在庫を貼る'!$E$6:$E$10005,MATCH($C393,'①在庫を貼る'!$W$6:$W$10005,0)),IFERROR(INDEX('月1回_1ヶ月前の在庫'!$E$6:$E$10005,MATCH($C393,'月1回_1ヶ月前の在庫'!$W$6:$W$10005,0)),IFERROR(INDEX('月1回_2ヶ月前の在庫'!$E$6:$E$10005,MATCH($C393,'月1回_2ヶ月前の在庫'!$W$6:$W$10005,0)),""))),INDEX('商品マスタ'!$E$6:$E$1005,MATCH($C393,'商品マスタ'!$B$6:$B$1005,0))),IFERROR(INDEX('①在庫を貼る'!$E$6:$E$10005,MATCH($C393,'①在庫を貼る'!$W$6:$W$10005,0)),IFERROR(INDEX('月1回_1ヶ月前の在庫'!$E$6:$E$10005,MATCH($C393,'月1回_1ヶ月前の在庫'!$W$6:$W$10005,0)),IFERROR(INDEX('月1回_2ヶ月前の在庫'!$E$6:$E$10005,MATCH($C393,'月1回_2ヶ月前の在庫'!$W$6:$W$10005,0)),"")))))</f>
        <v/>
      </c>
      <c r="G393">
        <f>IF($C393="","",MAX(1,N(IFERROR(IF(INDEX('商品マスタ'!$F$6:$F$1005,MATCH($C393,'商品マスタ'!$B$6:$B$1005,0))="",IF(COUNTIFS('①在庫を貼る'!$V$6:$V$10005,'設定'!$C$4,'①在庫を貼る'!$W$6:$W$10005,$C393)&gt;0,SUMIFS('①在庫を貼る'!$K$6:$K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K$6:$K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K$6:$K$10005,'月1回_2ヶ月前の在庫'!$V$6:$V$10005,'設定'!$C$4,'月1回_2ヶ月前の在庫'!$W$6:$W$10005,$C393)/COUNTIFS('月1回_2ヶ月前の在庫'!$V$6:$V$10005,'設定'!$C$4,'月1回_2ヶ月前の在庫'!$W$6:$W$10005,$C393),0))),INDEX('商品マスタ'!$F$6:$F$1005,MATCH($C393,'商品マスタ'!$B$6:$B$1005,0))),IF(COUNTIFS('①在庫を貼る'!$V$6:$V$10005,'設定'!$C$4,'①在庫を貼る'!$W$6:$W$10005,$C393)&gt;0,SUMIFS('①在庫を貼る'!$K$6:$K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K$6:$K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K$6:$K$10005,'月1回_2ヶ月前の在庫'!$V$6:$V$10005,'設定'!$C$4,'月1回_2ヶ月前の在庫'!$W$6:$W$10005,$C393)/COUNTIFS('月1回_2ヶ月前の在庫'!$V$6:$V$10005,'設定'!$C$4,'月1回_2ヶ月前の在庫'!$W$6:$W$10005,$C393),0)))))))</f>
        <v/>
      </c>
      <c r="H393">
        <f>IF($C393="","",N(IFERROR(IF(INDEX('商品マスタ'!$G$6:$G$1005,MATCH($C393,'商品マスタ'!$B$6:$B$1005,0))="",IF(COUNTIFS('①在庫を貼る'!$V$6:$V$10005,'設定'!$C$4,'①在庫を貼る'!$W$6:$W$10005,$C393)&gt;0,SUMIFS('①在庫を貼る'!$Q$6:$Q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Q$6:$Q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Q$6:$Q$10005,'月1回_2ヶ月前の在庫'!$V$6:$V$10005,'設定'!$C$4,'月1回_2ヶ月前の在庫'!$W$6:$W$10005,$C393)/COUNTIFS('月1回_2ヶ月前の在庫'!$V$6:$V$10005,'設定'!$C$4,'月1回_2ヶ月前の在庫'!$W$6:$W$10005,$C393),0))),INDEX('商品マスタ'!$G$6:$G$1005,MATCH($C393,'商品マスタ'!$B$6:$B$1005,0))),IF(COUNTIFS('①在庫を貼る'!$V$6:$V$10005,'設定'!$C$4,'①在庫を貼る'!$W$6:$W$10005,$C393)&gt;0,SUMIFS('①在庫を貼る'!$Q$6:$Q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Q$6:$Q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Q$6:$Q$10005,'月1回_2ヶ月前の在庫'!$V$6:$V$10005,'設定'!$C$4,'月1回_2ヶ月前の在庫'!$W$6:$W$10005,$C393)/COUNTIFS('月1回_2ヶ月前の在庫'!$V$6:$V$10005,'設定'!$C$4,'月1回_2ヶ月前の在庫'!$W$6:$W$10005,$C393),0))))))</f>
        <v/>
      </c>
      <c r="I393">
        <f>IF($C393="","",IF(COUNTIFS('①在庫を貼る'!$V$6:$V$10005,'設定'!$C$4,'①在庫を貼る'!$W$6:$W$10005,$C393)=0,"",SUMIFS('①在庫を貼る'!$N$6:$N$10005,'①在庫を貼る'!$V$6:$V$10005,'設定'!$C$4,'①在庫を貼る'!$W$6:$W$10005,$C393)))</f>
        <v/>
      </c>
      <c r="J393">
        <f>IF($C393="","",IF('②発注する'!$AD397="","",'②発注する'!$AD397))</f>
        <v/>
      </c>
      <c r="K393" s="90">
        <f>IF($C393="","",IF('②発注する'!$AE397="","",'②発注する'!$AE397))</f>
        <v/>
      </c>
      <c r="L393">
        <f>IF($C393="","",IF(AND(ISNUMBER($J393),ISNUMBER($K393),$K393&gt;='設定'!$C$6),$J393,N($I393)))</f>
        <v/>
      </c>
      <c r="M393">
        <f>IF($C393="","",IFERROR(IF(N(INDEX('商品マスタ'!$J$6:$J$1005,MATCH($C393,'商品マスタ'!$B$6:$B$1005,0)))&gt;0,INDEX('商品マスタ'!$J$6:$J$1005,MATCH($C393,'商品マスタ'!$B$6:$B$1005,0)),""),""))</f>
        <v/>
      </c>
      <c r="N393">
        <f>IF($C393="","",IFERROR(IF(N(INDEX('商品マスタ'!$H$6:$H$1005,MATCH($C393,'商品マスタ'!$B$6:$B$1005,0)))&gt;0,INDEX('商品マスタ'!$H$6:$H$1005,MATCH($C393,'商品マスタ'!$B$6:$B$1005,0)),""),""))</f>
        <v/>
      </c>
      <c r="O393">
        <f>IF($C393="","",IF($N393&lt;&gt;"",$N393*$G393,IF(N(IF(COUNTIFS('①在庫を貼る'!$V$6:$V$10005,'設定'!$C$4,'①在庫を貼る'!$W$6:$W$10005,$C393)&gt;0,SUMIFS('①在庫を貼る'!$O$6:$O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O$6:$O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O$6:$O$10005,'月1回_2ヶ月前の在庫'!$V$6:$V$10005,'設定'!$C$4,'月1回_2ヶ月前の在庫'!$W$6:$W$10005,$C393)/COUNTIFS('月1回_2ヶ月前の在庫'!$V$6:$V$10005,'設定'!$C$4,'月1回_2ヶ月前の在庫'!$W$6:$W$10005,$C393),0))))&gt;0,N(IF(COUNTIFS('①在庫を貼る'!$V$6:$V$10005,'設定'!$C$4,'①在庫を貼る'!$W$6:$W$10005,$C393)&gt;0,SUMIFS('①在庫を貼る'!$O$6:$O$10005,'①在庫を貼る'!$V$6:$V$10005,'設定'!$C$4,'①在庫を貼る'!$W$6:$W$10005,$C393)/COUNTIFS('①在庫を貼る'!$V$6:$V$10005,'設定'!$C$4,'①在庫を貼る'!$W$6:$W$10005,$C393),IF(COUNTIFS('月1回_1ヶ月前の在庫'!$V$6:$V$10005,'設定'!$C$4,'月1回_1ヶ月前の在庫'!$W$6:$W$10005,$C393)&gt;0,SUMIFS('月1回_1ヶ月前の在庫'!$O$6:$O$10005,'月1回_1ヶ月前の在庫'!$V$6:$V$10005,'設定'!$C$4,'月1回_1ヶ月前の在庫'!$W$6:$W$10005,$C393)/COUNTIFS('月1回_1ヶ月前の在庫'!$V$6:$V$10005,'設定'!$C$4,'月1回_1ヶ月前の在庫'!$W$6:$W$10005,$C393),IF(COUNTIFS('月1回_2ヶ月前の在庫'!$V$6:$V$10005,'設定'!$C$4,'月1回_2ヶ月前の在庫'!$W$6:$W$10005,$C393)&gt;0,SUMIFS('月1回_2ヶ月前の在庫'!$O$6:$O$10005,'月1回_2ヶ月前の在庫'!$V$6:$V$10005,'設定'!$C$4,'月1回_2ヶ月前の在庫'!$W$6:$W$10005,$C393)/COUNTIFS('月1回_2ヶ月前の在庫'!$V$6:$V$10005,'設定'!$C$4,'月1回_2ヶ月前の在庫'!$W$6:$W$10005,$C393),0)))),"")))</f>
        <v/>
      </c>
      <c r="P393" s="90">
        <f>IF($C393="","",IF('②発注する'!$I397="","",'②発注する'!$I397))</f>
        <v/>
      </c>
      <c r="Q393">
        <f>IF($C393="","",IF('②発注する'!$J397="","",'②発注する'!$J397))</f>
        <v/>
      </c>
      <c r="R393">
        <f>IF($C393="",0,IF(AND(ISNUMBER($P393),ISNUMBER($Q393)),MAX(0,$Q393)*$G393,0))</f>
        <v/>
      </c>
      <c r="S393" s="90">
        <f>IF($C393="","",IF('②発注する'!$M397="","",'②発注する'!$M397))</f>
        <v/>
      </c>
      <c r="T393">
        <f>IF($C393="","",IF('②発注する'!$N397="","",'②発注する'!$N397))</f>
        <v/>
      </c>
      <c r="U393">
        <f>IF($C393="",0,IF(AND(ISNUMBER($S393),ISNUMBER($T393)),MAX(0,$T393)*$G393,0))</f>
        <v/>
      </c>
      <c r="V393">
        <f>IF($C393="",0,IF($M393="",0,MAX(0,$M393)*MAX(0,V$4)/100))</f>
        <v/>
      </c>
      <c r="W393">
        <f>IF($C393="",0,IF($M393="",0,MAX(0,$M393)*MAX(0,W$4)/100))</f>
        <v/>
      </c>
      <c r="X393">
        <f>IF($C393="",0,IF($M393="",0,MAX(0,$M393)*MAX(0,X$4)/100))</f>
        <v/>
      </c>
      <c r="Y393">
        <f>IF($C393="",0,IF($M393="",0,MAX(0,$M393)*MAX(0,Y$4)/100))</f>
        <v/>
      </c>
      <c r="Z393">
        <f>IF($C393="",0,IF($M393="",0,MAX(0,$M393)*MAX(0,Z$4)/100))</f>
        <v/>
      </c>
      <c r="AA393">
        <f>IF($C393="",0,IF($M393="",0,MAX(0,$M393)*MAX(0,AA$4)/100))</f>
        <v/>
      </c>
      <c r="AB393">
        <f>IF($C393="",0,IF($M393="",0,MAX(0,$M393)*MAX(0,AB$4)/100))</f>
        <v/>
      </c>
      <c r="AC393">
        <f>IF($C393="",0,IF($M393="",0,MAX(0,$M393)*MAX(0,AC$4)/100))</f>
        <v/>
      </c>
      <c r="AD393">
        <f>IF($C393="",0,IF($M393="",0,MAX(0,$M393)*MAX(0,AD$4)/100))</f>
        <v/>
      </c>
      <c r="AE393">
        <f>IF($C393="",0,IF($M393="",0,MAX(0,$M393)*MAX(0,AE$4)/100))</f>
        <v/>
      </c>
      <c r="AF393">
        <f>IF($C393="",0,IF($M393="",0,MAX(0,$M393)*MAX(0,AF$4)/100))</f>
        <v/>
      </c>
      <c r="AG393">
        <f>IF($C393="",0,IF($M393="",0,MAX(0,$M393)*MAX(0,AG$4)/100))</f>
        <v/>
      </c>
      <c r="AH393">
        <f>IF($C393="",0,IF($M393="",0,MAX(0,$M393)*MAX(0,AH$4)/100))</f>
        <v/>
      </c>
      <c r="AI393">
        <f>IF($C393="",0,IF($M393="",0,MAX(0,$M393)*MAX(0,AI$4)/100))</f>
        <v/>
      </c>
      <c r="AJ393">
        <f>IF($C393="",0,MAX(0,MAX(0,N($L393))-$V393))</f>
        <v/>
      </c>
      <c r="AK393">
        <f>IF($C393="",0,MAX(0,$AJ393-$W393))</f>
        <v/>
      </c>
      <c r="AL393">
        <f>IF($C393="",0,MAX(0,$AK393-$X393))</f>
        <v/>
      </c>
      <c r="AM393">
        <f>IF($C393="",0,MAX(0,$AL393-$Y393))</f>
        <v/>
      </c>
      <c r="AN393">
        <f>IF($C393="",0,MAX(0,$AM393-$Z393))</f>
        <v/>
      </c>
      <c r="AO393">
        <f>IF($C393="",0,MAX(0,$AN393-$AA393))</f>
        <v/>
      </c>
      <c r="AP393">
        <f>IF($C393="",0,MAX(0,$AO393-$AB393))</f>
        <v/>
      </c>
      <c r="AQ393">
        <f>IF($C393="",0,MAX(0,$AP393-$AC393))</f>
        <v/>
      </c>
      <c r="AR393">
        <f>IF($C393="",0,MAX(0,$AQ393-$AD393))</f>
        <v/>
      </c>
      <c r="AS393">
        <f>IF($C393="",0,MAX(0,$AR393-$AE393))</f>
        <v/>
      </c>
      <c r="AT393">
        <f>IF($C393="",0,MAX(0,$AS393-$AF393))</f>
        <v/>
      </c>
      <c r="AU393">
        <f>IF($C393="",0,MAX(0,$AT393-$AG393))</f>
        <v/>
      </c>
      <c r="AV393">
        <f>IF($C393="",0,MAX(0,$AU393-$AH393))</f>
        <v/>
      </c>
      <c r="AW393">
        <f>IF($C393="",0,MAX(0,$AV393-$AI393))</f>
        <v/>
      </c>
      <c r="AX393">
        <f>IF($C393="",0,MAX(0,MAX(0,N($L393))+IF($P393=V$3,$R393,0)+IF($S393=V$3,$U393,0)-$V393))</f>
        <v/>
      </c>
      <c r="AY393">
        <f>IF($C393="",0,MAX(0,$AX393+IF($P393=W$3,$R393,0)+IF($S393=W$3,$U393,0)-$W393))</f>
        <v/>
      </c>
      <c r="AZ393">
        <f>IF($C393="",0,MAX(0,$AY393+IF($P393=X$3,$R393,0)+IF($S393=X$3,$U393,0)-$X393))</f>
        <v/>
      </c>
      <c r="BA393">
        <f>IF($C393="",0,MAX(0,$AZ393+IF($P393=Y$3,$R393,0)+IF($S393=Y$3,$U393,0)-$Y393))</f>
        <v/>
      </c>
      <c r="BB393">
        <f>IF($C393="",0,MAX(0,$BA393+IF($P393=Z$3,$R393,0)+IF($S393=Z$3,$U393,0)-$Z393))</f>
        <v/>
      </c>
      <c r="BC393">
        <f>IF($C393="",0,MAX(0,$BB393+IF($P393=AA$3,$R393,0)+IF($S393=AA$3,$U393,0)-$AA393))</f>
        <v/>
      </c>
      <c r="BD393">
        <f>IF($C393="",0,MAX(0,$BC393+IF($P393=AB$3,$R393,0)+IF($S393=AB$3,$U393,0)-$AB393))</f>
        <v/>
      </c>
      <c r="BE393">
        <f>IF($C393="",0,MAX(0,$BD393+IF($P393=AC$3,$R393,0)+IF($S393=AC$3,$U393,0)-$AC393))</f>
        <v/>
      </c>
      <c r="BF393">
        <f>IF($C393="",0,MAX(0,$BE393+IF($P393=AD$3,$R393,0)+IF($S393=AD$3,$U393,0)-$AD393))</f>
        <v/>
      </c>
      <c r="BG393">
        <f>IF($C393="",0,MAX(0,$BF393+IF($P393=AE$3,$R393,0)+IF($S393=AE$3,$U393,0)-$AE393))</f>
        <v/>
      </c>
      <c r="BH393">
        <f>IF($C393="",0,MAX(0,$BG393+IF($P393=AF$3,$R393,0)+IF($S393=AF$3,$U393,0)-$AF393))</f>
        <v/>
      </c>
      <c r="BI393">
        <f>IF($C393="",0,MAX(0,$BH393+IF($P393=AG$3,$R393,0)+IF($S393=AG$3,$U393,0)-$AG393))</f>
        <v/>
      </c>
      <c r="BJ393">
        <f>IF($C393="",0,MAX(0,$BI393+IF($P393=AH$3,$R393,0)+IF($S393=AH$3,$U393,0)-$AH393))</f>
        <v/>
      </c>
      <c r="BK393">
        <f>IF($C393="",0,MAX(0,$BJ393+IF($P393=AI$3,$R393,0)+IF($S393=AI$3,$U393,0)-$AI393))</f>
        <v/>
      </c>
      <c r="BL393">
        <f>IF($C393="",99,IF(AND($AX393&lt;1,V$3&gt;=MAX(N($P393),N($S393))),0,99))</f>
        <v/>
      </c>
      <c r="BM393">
        <f>IF($C393="",99,IF(AND($AY393&lt;1,W$3&gt;=MAX(N($P393),N($S393))),1,99))</f>
        <v/>
      </c>
      <c r="BN393">
        <f>IF($C393="",99,IF(AND($AZ393&lt;1,X$3&gt;=MAX(N($P393),N($S393))),2,99))</f>
        <v/>
      </c>
      <c r="BO393">
        <f>IF($C393="",99,IF(AND($BA393&lt;1,Y$3&gt;=MAX(N($P393),N($S393))),3,99))</f>
        <v/>
      </c>
      <c r="BP393">
        <f>IF($C393="",99,IF(AND($BB393&lt;1,Z$3&gt;=MAX(N($P393),N($S393))),4,99))</f>
        <v/>
      </c>
      <c r="BQ393">
        <f>IF($C393="",99,IF(AND($BC393&lt;1,AA$3&gt;=MAX(N($P393),N($S393))),5,99))</f>
        <v/>
      </c>
      <c r="BR393">
        <f>IF($C393="",99,IF(AND($BD393&lt;1,AB$3&gt;=MAX(N($P393),N($S393))),6,99))</f>
        <v/>
      </c>
      <c r="BS393">
        <f>IF($C393="",99,IF(AND($BE393&lt;1,AC$3&gt;=MAX(N($P393),N($S393))),7,99))</f>
        <v/>
      </c>
      <c r="BT393">
        <f>IF($C393="",99,IF(AND($BF393&lt;1,AD$3&gt;=MAX(N($P393),N($S393))),8,99))</f>
        <v/>
      </c>
      <c r="BU393">
        <f>IF($C393="",99,IF(AND($BG393&lt;1,AE$3&gt;=MAX(N($P393),N($S393))),9,99))</f>
        <v/>
      </c>
      <c r="BV393">
        <f>IF($C393="",99,IF(AND($BH393&lt;1,AF$3&gt;=MAX(N($P393),N($S393))),10,99))</f>
        <v/>
      </c>
      <c r="BW393">
        <f>IF($C393="",99,IF(AND($BI393&lt;1,AG$3&gt;=MAX(N($P393),N($S393))),11,99))</f>
        <v/>
      </c>
      <c r="BX393">
        <f>IF($C393="",99,IF(AND($BJ393&lt;1,AH$3&gt;=MAX(N($P393),N($S393))),12,99))</f>
        <v/>
      </c>
      <c r="BY393">
        <f>IF($C393="",99,IF(AND($BK393&lt;1,AI$3&gt;=MAX(N($P393),N($S393))),13,99))</f>
        <v/>
      </c>
      <c r="BZ393">
        <f>IF(OR($C393="",$M393=""),"",COUNTIF($AJ393:$AW393,"&gt;=1"))</f>
        <v/>
      </c>
      <c r="CA393" s="90">
        <f>IF($BZ393="","",IF($BZ393&gt;=14,"",'設定'!$C$6+$BZ393))</f>
        <v/>
      </c>
      <c r="CB393">
        <f>IF(OR($C393="",$M393=""),"",MIN($BL393:$BY393))</f>
        <v/>
      </c>
      <c r="CC393" s="90">
        <f>IF($CB393="","",IF($CB393&gt;=99,"",'設定'!$C$6+$CB393))</f>
        <v/>
      </c>
      <c r="CD393">
        <f>IF(OR($C393="",$M393=""),"",AVERAGE($V393:$AI393))</f>
        <v/>
      </c>
      <c r="CE393">
        <f>IF($C393="","",IFERROR(IF(MATCH(IF(ISNUMBER($P393),$P393,'設定'!$C$6+N('設定'!$C$7)),$V$3:$AI$3,0)=1,MAX(0,N($L393)),INDEX($AJ393:$AW393,MATCH(IF(ISNUMBER($P393),$P393,'設定'!$C$6+N('設定'!$C$7)),$V$3:$AI$3,0)-1)),""))</f>
        <v/>
      </c>
      <c r="CF393">
        <f>IF(OR($C393="",$O393="",$CE393=""),"",IF($O393-$CE393&lt;=0,0,ROUNDUP(($O393-$CE393)/$G393,0)))</f>
        <v/>
      </c>
      <c r="CG393">
        <f>IF(OR($C393="",$CF393="",NOT(ISNUMBER($Q393))),0,MAX(0,$Q393-$CF393))</f>
        <v/>
      </c>
      <c r="CH393">
        <f>IF(OR($C393="",$O393="",$U393=0),0,IFERROR(ROUNDUP(MAX(0,IF(MATCH($S393,$V$3:$AI$3,0)=1,MAX(0,N($L393)),INDEX($AX393:$BK393,MATCH($S393,$V$3:$AI$3,0)-1))+$U393-$O393)/$G393,0),0))</f>
        <v/>
      </c>
      <c r="CI393">
        <f>IF($C393="","",IF(AND($P393="",$Q393=""),"",IF($P393="","⚠ 入庫日を ▼ から選んでください",IF(NOT(ISNUMBER($P393)),"⚠ 入庫日は ▼ から選んでください",IF($P393&lt;N('設定'!$C$6),"⚠ 入庫日が過去です（もう在庫に入っています）→ 消してください",IF($P393&gt;N('設定'!$C$6)+13,"⚠ 入庫日が14日より先です",IF(N($Q393)&lt;=0,"⚠ 入庫数を入れてください",IF($CG393&gt;0,"⚠ 目安より "&amp;$CG393&amp;" 多い（定数を超える）→ 減らす",""))))))))</f>
        <v/>
      </c>
      <c r="CJ393">
        <f>IF($C393="","",IF(AND($S393="",$T393=""),"",IF($S393="","⚠ 2便目：入庫日を ▼ から選んでください",IF(NOT(ISNUMBER($S393)),"⚠ 2便目：入庫日は ▼ から選んでください",IF($S393&lt;N('設定'!$C$6),"⚠ 2便目：入庫日が過去です（もう在庫に入っています）→ 消してください",IF($S393&gt;N('設定'!$C$6)+13,"⚠ 2便目：入庫日が14日より先です",IF(N($T393)&lt;=0,"⚠ 2便目：入庫数を入れてください",IF($CH393&gt;0,"⚠ 2便目：定数を "&amp;$CH393&amp;" ケース超える → 減らす",""))))))))</f>
        <v/>
      </c>
      <c r="CK393">
        <f>IF(AND($CI393="",N($Q393)&gt;0,ISNUMBER($P393)),1,0)</f>
        <v/>
      </c>
      <c r="CL393">
        <f>IF(AND($CJ393="",N($T393)&gt;0,ISNUMBER($S393)),1,0)</f>
        <v/>
      </c>
      <c r="CM393">
        <f>IF(OR($CK393=1,$CL393=1),1,0)</f>
        <v/>
      </c>
      <c r="CN393">
        <f>IF($C393="",0,($CK393*$R393+$CL393*$U393)*N($H393))</f>
        <v/>
      </c>
      <c r="CO393">
        <f>IF($C393="","",IF($CC393="","入庫後は 14日以上もつ",IF($CC393-N('設定'!$C$7)&lt;='設定'!$C$6,"入庫後も "&amp;TEXT($CC393,"m/d")&amp;"("&amp;CHOOSE(WEEKDAY($CC393),"日","月","火","水","木","金","土")&amp;")"&amp;" に切れる　もう1便を至急発注","入庫後も "&amp;TEXT($CC393,"m/d")&amp;"("&amp;CHOOSE(WEEKDAY($CC393),"日","月","火","水","木","金","土")&amp;")"&amp;" に切れる　"&amp;TEXT($CC393-N('設定'!$C$7),"m/d")&amp;"("&amp;CHOOSE(WEEKDAY($CC393-N('設定'!$C$7)),"日","月","火","水","木","金","土")&amp;")"&amp;" までに次を発注")))</f>
        <v/>
      </c>
      <c r="CP393">
        <f>IF($C393="","",IF('設定'!$C$6="","？ ①在庫を貼る に今日のCSVが貼られていない",IF($CS393=1,"－ 今日のCSVに無い（終売？）",IF($L393&lt;0,"● 在庫がマイナス　数えて「数えた在庫」に入れる",IF($L393=0,"● 在庫なし　至急発注",IF($M393="","？ 減り数が未設定（商品マスタ）",IF($B$3=0,"？ 動員が未入力（動員を入れる）",IF($CA393="","○ 14日以上もつ",IF($BZ393&lt;N('設定'!$C$7),"● "&amp;TEXT($CA393,"m/d")&amp;"("&amp;CHOOSE(WEEKDAY($CA393),"日","月","火","水","木","金","土")&amp;")"&amp;" に切れる　至急発注",IF($BZ393=N('設定'!$C$7),"● "&amp;TEXT($CA393,"m/d")&amp;"("&amp;CHOOSE(WEEKDAY($CA393),"日","月","火","水","木","金","土")&amp;")"&amp;" に切れる　今日発注","△ "&amp;TEXT($CA393,"m/d")&amp;"("&amp;CHOOSE(WEEKDAY($CA393),"日","月","火","水","木","金","土")&amp;")"&amp;" に切れる　"&amp;TEXT($CA393-N('設定'!$C$7),"m/d")&amp;"("&amp;CHOOSE(WEEKDAY($CA393-N('設定'!$C$7)),"日","月","火","水","木","金","土")&amp;")"&amp;" までに発注"))))))))))</f>
        <v/>
      </c>
      <c r="CQ393">
        <f>IF($C393="","",IF(AND($P393="",$Q393="",$S393="",$T393=""),"",IF(AND($P393="",$Q393=""),"⚠ 先に1便目（左の入庫日・入庫数）に入れてください",IF($CI393&lt;&gt;"",$CI393,IF($CJ393&lt;&gt;"",$CJ393,IF($M393="","？ 減り数が未設定（発注書には載ります）",IF($B$3=0,"？ 動員が未入力（発注書には載ります）",IF(AND($CA393&lt;&gt;"",$P393&gt;$CA393),IF($P393&gt;'設定'!$C$6+N('設定'!$C$7),"● "&amp;TEXT($P393,"m/d")&amp;"("&amp;CHOOSE(WEEKDAY($P393),"日","月","火","水","木","金","土")&amp;")"&amp;" の入庫では間に合わない（"&amp;TEXT($CA393,"m/d")&amp;"("&amp;CHOOSE(WEEKDAY($CA393),"日","月","火","水","木","金","土")&amp;")"&amp;" に切れる）　入庫日を早める","△ 欠品 "&amp;TEXT($CA393,"m/d")&amp;"("&amp;CHOOSE(WEEKDAY($CA393),"日","月","火","水","木","金","土")&amp;")"&amp;"〜"&amp;TEXT($P393-1,"m/d")&amp;"("&amp;CHOOSE(WEEKDAY($P393-1),"日","月","火","水","木","金","土")&amp;")"&amp;"　"&amp;$CO393),IF($CC393="","○ "&amp;TEXT($P393,"m/d")&amp;"("&amp;CHOOSE(WEEKDAY($P393),"日","月","火","水","木","金","土")&amp;")"&amp;" 入庫で 14日以上もつ",IF($CC393-N('設定'!$C$7)&lt;='設定'!$C$6,"● 入庫しても "&amp;TEXT($CC393,"m/d")&amp;"("&amp;CHOOSE(WEEKDAY($CC393),"日","月","火","水","木","金","土")&amp;")"&amp;" に切れる　もう1便を至急発注（2便目に入れる）","△ 入庫しても "&amp;TEXT($CC393,"m/d")&amp;"("&amp;CHOOSE(WEEKDAY($CC393),"日","月","火","水","木","金","土")&amp;")"&amp;" に切れる　"&amp;TEXT($CC393-N('設定'!$C$7),"m/d")&amp;"("&amp;CHOOSE(WEEKDAY($CC393-N('設定'!$C$7)),"日","月","火","水","木","金","土")&amp;")"&amp;" までに次を発注（2便目に入れる）"))))))))))</f>
        <v/>
      </c>
      <c r="CR393">
        <f>IF($C393="","",IF($G393&gt;1,"ｹｰｽ("&amp;$G393&amp;"入)","個"))</f>
        <v/>
      </c>
      <c r="CS393">
        <f>IF($C393="",0,IF(COUNTIFS('①在庫を貼る'!$V$6:$V$10005,'設定'!$C$4,'①在庫を貼る'!$W$6:$W$10005,$C393)=0,1,0))</f>
        <v/>
      </c>
      <c r="CT393">
        <f>IF(AND($CK393=1,OR('③発注書'!$C$4="すべて",'③発注書'!$C$4="",$F393='③発注書'!$C$4)),N($CT392)+1,N($CT392))</f>
        <v/>
      </c>
      <c r="CU393">
        <f>IF(AND($CL393=1,OR('③発注書'!$C$4="すべて",'③発注書'!$C$4="",$F393='③発注書'!$C$4)),N($CU392)+1,N($CU392))</f>
        <v/>
      </c>
      <c r="CV393">
        <f>IF($C393="",0,IF(COUNTIFS('①在庫を貼る'!$V$6:$V$10005,'設定'!$C$4,'①在庫を貼る'!$W$6:$W$10005,$C393)&gt;0,1,0))</f>
        <v/>
      </c>
      <c r="CW393">
        <f>IF($C393="",0,IF(COUNTIFS('月1回_1ヶ月前の在庫'!$V$6:$V$10005,'設定'!$C$4,'月1回_1ヶ月前の在庫'!$W$6:$W$10005,$C393)&gt;0,1,0))</f>
        <v/>
      </c>
      <c r="CX393">
        <f>IF($C393="",0,IF(COUNTIFS('月1回_2ヶ月前の在庫'!$V$6:$V$10005,'設定'!$C$4,'月1回_2ヶ月前の在庫'!$W$6:$W$10005,$C393)&gt;0,1,0))</f>
        <v/>
      </c>
      <c r="CY393">
        <f>IF(OR($C393="",'設定'!$C$12=""),"",IF('設定'!$C$13="",IF(AND($CV393=1,$CW393=0),"新商品（今月から）",IF(AND($CV393=0,$CW393=1),"終売（今月から）","")),IF(AND($CV393=1,$CW393=0,$CX393=0),"新商品（今月から）",IF(AND($CV393=1,$CW393=1,$CX393=0),"新商品（先月から）",IF(AND($CV393=0,$CW393=1,$CX393=1),"終売（今月から）",IF(AND($CV393=0,$CW393=0,$CX393=1),"終売（先月から）",IF(AND($CV393=1,$CW393=0,$CX393=1),"復活（先月は無し）","")))))))</f>
        <v/>
      </c>
    </row>
    <row r="394">
      <c r="B394">
        <f>IF(389&lt;='設定'!$C$11,389,"")</f>
        <v/>
      </c>
      <c r="C394">
        <f>IF($B394="","",IF($B394&lt;='設定'!$C$20,INDEX('商品マスタ'!$B$6:$B$1005,MATCH($B394,'商品マスタ'!$M$6:$M$1005,0)),IF($B394&lt;='設定'!$C$20+'設定'!$C$17,INDEX('①在庫を貼る'!$W$6:$W$10005,MATCH($B394-'設定'!$C$20,'①在庫を貼る'!$U$6:$U$10005,0)),IF($B394&lt;='設定'!$C$20+'設定'!$C$17+'設定'!$C$18,INDEX('月1回_1ヶ月前の在庫'!$W$6:$W$10005,MATCH($B394-'設定'!$C$20-'設定'!$C$17,'月1回_1ヶ月前の在庫'!$U$6:$U$10005,0)),INDEX('月1回_2ヶ月前の在庫'!$W$6:$W$10005,MATCH($B394-'設定'!$C$20-'設定'!$C$17-'設定'!$C$18,'月1回_2ヶ月前の在庫'!$U$6:$U$10005,0))))))</f>
        <v/>
      </c>
      <c r="D394">
        <f>IF($C394="","",IFERROR(IF(INDEX('商品マスタ'!$C$6:$C$1005,MATCH($C394,'商品マスタ'!$B$6:$B$1005,0))="",IFERROR(INDEX('①在庫を貼る'!$J$6:$J$10005,MATCH($C394,'①在庫を貼る'!$W$6:$W$10005,0)),IFERROR(INDEX('月1回_1ヶ月前の在庫'!$J$6:$J$10005,MATCH($C394,'月1回_1ヶ月前の在庫'!$W$6:$W$10005,0)),IFERROR(INDEX('月1回_2ヶ月前の在庫'!$J$6:$J$10005,MATCH($C394,'月1回_2ヶ月前の在庫'!$W$6:$W$10005,0)),""))),INDEX('商品マスタ'!$C$6:$C$1005,MATCH($C394,'商品マスタ'!$B$6:$B$1005,0))),IFERROR(INDEX('①在庫を貼る'!$J$6:$J$10005,MATCH($C394,'①在庫を貼る'!$W$6:$W$10005,0)),IFERROR(INDEX('月1回_1ヶ月前の在庫'!$J$6:$J$10005,MATCH($C394,'月1回_1ヶ月前の在庫'!$W$6:$W$10005,0)),IFERROR(INDEX('月1回_2ヶ月前の在庫'!$J$6:$J$10005,MATCH($C394,'月1回_2ヶ月前の在庫'!$W$6:$W$10005,0)),"")))))</f>
        <v/>
      </c>
      <c r="E394">
        <f>IF($C394="","",IFERROR(IF(INDEX('商品マスタ'!$D$6:$D$1005,MATCH($C394,'商品マスタ'!$B$6:$B$1005,0))="",IFERROR(INDEX('①在庫を貼る'!$H$6:$H$10005,MATCH($C394,'①在庫を貼る'!$W$6:$W$10005,0)),IFERROR(INDEX('月1回_1ヶ月前の在庫'!$H$6:$H$10005,MATCH($C394,'月1回_1ヶ月前の在庫'!$W$6:$W$10005,0)),IFERROR(INDEX('月1回_2ヶ月前の在庫'!$H$6:$H$10005,MATCH($C394,'月1回_2ヶ月前の在庫'!$W$6:$W$10005,0)),""))),INDEX('商品マスタ'!$D$6:$D$1005,MATCH($C394,'商品マスタ'!$B$6:$B$1005,0))),IFERROR(INDEX('①在庫を貼る'!$H$6:$H$10005,MATCH($C394,'①在庫を貼る'!$W$6:$W$10005,0)),IFERROR(INDEX('月1回_1ヶ月前の在庫'!$H$6:$H$10005,MATCH($C394,'月1回_1ヶ月前の在庫'!$W$6:$W$10005,0)),IFERROR(INDEX('月1回_2ヶ月前の在庫'!$H$6:$H$10005,MATCH($C394,'月1回_2ヶ月前の在庫'!$W$6:$W$10005,0)),"")))))</f>
        <v/>
      </c>
      <c r="F394">
        <f>IF($C394="","",IFERROR(IF(INDEX('商品マスタ'!$E$6:$E$1005,MATCH($C394,'商品マスタ'!$B$6:$B$1005,0))="",IFERROR(INDEX('①在庫を貼る'!$E$6:$E$10005,MATCH($C394,'①在庫を貼る'!$W$6:$W$10005,0)),IFERROR(INDEX('月1回_1ヶ月前の在庫'!$E$6:$E$10005,MATCH($C394,'月1回_1ヶ月前の在庫'!$W$6:$W$10005,0)),IFERROR(INDEX('月1回_2ヶ月前の在庫'!$E$6:$E$10005,MATCH($C394,'月1回_2ヶ月前の在庫'!$W$6:$W$10005,0)),""))),INDEX('商品マスタ'!$E$6:$E$1005,MATCH($C394,'商品マスタ'!$B$6:$B$1005,0))),IFERROR(INDEX('①在庫を貼る'!$E$6:$E$10005,MATCH($C394,'①在庫を貼る'!$W$6:$W$10005,0)),IFERROR(INDEX('月1回_1ヶ月前の在庫'!$E$6:$E$10005,MATCH($C394,'月1回_1ヶ月前の在庫'!$W$6:$W$10005,0)),IFERROR(INDEX('月1回_2ヶ月前の在庫'!$E$6:$E$10005,MATCH($C394,'月1回_2ヶ月前の在庫'!$W$6:$W$10005,0)),"")))))</f>
        <v/>
      </c>
      <c r="G394">
        <f>IF($C394="","",MAX(1,N(IFERROR(IF(INDEX('商品マスタ'!$F$6:$F$1005,MATCH($C394,'商品マスタ'!$B$6:$B$1005,0))="",IF(COUNTIFS('①在庫を貼る'!$V$6:$V$10005,'設定'!$C$4,'①在庫を貼る'!$W$6:$W$10005,$C394)&gt;0,SUMIFS('①在庫を貼る'!$K$6:$K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K$6:$K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K$6:$K$10005,'月1回_2ヶ月前の在庫'!$V$6:$V$10005,'設定'!$C$4,'月1回_2ヶ月前の在庫'!$W$6:$W$10005,$C394)/COUNTIFS('月1回_2ヶ月前の在庫'!$V$6:$V$10005,'設定'!$C$4,'月1回_2ヶ月前の在庫'!$W$6:$W$10005,$C394),0))),INDEX('商品マスタ'!$F$6:$F$1005,MATCH($C394,'商品マスタ'!$B$6:$B$1005,0))),IF(COUNTIFS('①在庫を貼る'!$V$6:$V$10005,'設定'!$C$4,'①在庫を貼る'!$W$6:$W$10005,$C394)&gt;0,SUMIFS('①在庫を貼る'!$K$6:$K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K$6:$K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K$6:$K$10005,'月1回_2ヶ月前の在庫'!$V$6:$V$10005,'設定'!$C$4,'月1回_2ヶ月前の在庫'!$W$6:$W$10005,$C394)/COUNTIFS('月1回_2ヶ月前の在庫'!$V$6:$V$10005,'設定'!$C$4,'月1回_2ヶ月前の在庫'!$W$6:$W$10005,$C394),0)))))))</f>
        <v/>
      </c>
      <c r="H394">
        <f>IF($C394="","",N(IFERROR(IF(INDEX('商品マスタ'!$G$6:$G$1005,MATCH($C394,'商品マスタ'!$B$6:$B$1005,0))="",IF(COUNTIFS('①在庫を貼る'!$V$6:$V$10005,'設定'!$C$4,'①在庫を貼る'!$W$6:$W$10005,$C394)&gt;0,SUMIFS('①在庫を貼る'!$Q$6:$Q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Q$6:$Q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Q$6:$Q$10005,'月1回_2ヶ月前の在庫'!$V$6:$V$10005,'設定'!$C$4,'月1回_2ヶ月前の在庫'!$W$6:$W$10005,$C394)/COUNTIFS('月1回_2ヶ月前の在庫'!$V$6:$V$10005,'設定'!$C$4,'月1回_2ヶ月前の在庫'!$W$6:$W$10005,$C394),0))),INDEX('商品マスタ'!$G$6:$G$1005,MATCH($C394,'商品マスタ'!$B$6:$B$1005,0))),IF(COUNTIFS('①在庫を貼る'!$V$6:$V$10005,'設定'!$C$4,'①在庫を貼る'!$W$6:$W$10005,$C394)&gt;0,SUMIFS('①在庫を貼る'!$Q$6:$Q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Q$6:$Q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Q$6:$Q$10005,'月1回_2ヶ月前の在庫'!$V$6:$V$10005,'設定'!$C$4,'月1回_2ヶ月前の在庫'!$W$6:$W$10005,$C394)/COUNTIFS('月1回_2ヶ月前の在庫'!$V$6:$V$10005,'設定'!$C$4,'月1回_2ヶ月前の在庫'!$W$6:$W$10005,$C394),0))))))</f>
        <v/>
      </c>
      <c r="I394">
        <f>IF($C394="","",IF(COUNTIFS('①在庫を貼る'!$V$6:$V$10005,'設定'!$C$4,'①在庫を貼る'!$W$6:$W$10005,$C394)=0,"",SUMIFS('①在庫を貼る'!$N$6:$N$10005,'①在庫を貼る'!$V$6:$V$10005,'設定'!$C$4,'①在庫を貼る'!$W$6:$W$10005,$C394)))</f>
        <v/>
      </c>
      <c r="J394">
        <f>IF($C394="","",IF('②発注する'!$AD398="","",'②発注する'!$AD398))</f>
        <v/>
      </c>
      <c r="K394" s="90">
        <f>IF($C394="","",IF('②発注する'!$AE398="","",'②発注する'!$AE398))</f>
        <v/>
      </c>
      <c r="L394">
        <f>IF($C394="","",IF(AND(ISNUMBER($J394),ISNUMBER($K394),$K394&gt;='設定'!$C$6),$J394,N($I394)))</f>
        <v/>
      </c>
      <c r="M394">
        <f>IF($C394="","",IFERROR(IF(N(INDEX('商品マスタ'!$J$6:$J$1005,MATCH($C394,'商品マスタ'!$B$6:$B$1005,0)))&gt;0,INDEX('商品マスタ'!$J$6:$J$1005,MATCH($C394,'商品マスタ'!$B$6:$B$1005,0)),""),""))</f>
        <v/>
      </c>
      <c r="N394">
        <f>IF($C394="","",IFERROR(IF(N(INDEX('商品マスタ'!$H$6:$H$1005,MATCH($C394,'商品マスタ'!$B$6:$B$1005,0)))&gt;0,INDEX('商品マスタ'!$H$6:$H$1005,MATCH($C394,'商品マスタ'!$B$6:$B$1005,0)),""),""))</f>
        <v/>
      </c>
      <c r="O394">
        <f>IF($C394="","",IF($N394&lt;&gt;"",$N394*$G394,IF(N(IF(COUNTIFS('①在庫を貼る'!$V$6:$V$10005,'設定'!$C$4,'①在庫を貼る'!$W$6:$W$10005,$C394)&gt;0,SUMIFS('①在庫を貼る'!$O$6:$O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O$6:$O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O$6:$O$10005,'月1回_2ヶ月前の在庫'!$V$6:$V$10005,'設定'!$C$4,'月1回_2ヶ月前の在庫'!$W$6:$W$10005,$C394)/COUNTIFS('月1回_2ヶ月前の在庫'!$V$6:$V$10005,'設定'!$C$4,'月1回_2ヶ月前の在庫'!$W$6:$W$10005,$C394),0))))&gt;0,N(IF(COUNTIFS('①在庫を貼る'!$V$6:$V$10005,'設定'!$C$4,'①在庫を貼る'!$W$6:$W$10005,$C394)&gt;0,SUMIFS('①在庫を貼る'!$O$6:$O$10005,'①在庫を貼る'!$V$6:$V$10005,'設定'!$C$4,'①在庫を貼る'!$W$6:$W$10005,$C394)/COUNTIFS('①在庫を貼る'!$V$6:$V$10005,'設定'!$C$4,'①在庫を貼る'!$W$6:$W$10005,$C394),IF(COUNTIFS('月1回_1ヶ月前の在庫'!$V$6:$V$10005,'設定'!$C$4,'月1回_1ヶ月前の在庫'!$W$6:$W$10005,$C394)&gt;0,SUMIFS('月1回_1ヶ月前の在庫'!$O$6:$O$10005,'月1回_1ヶ月前の在庫'!$V$6:$V$10005,'設定'!$C$4,'月1回_1ヶ月前の在庫'!$W$6:$W$10005,$C394)/COUNTIFS('月1回_1ヶ月前の在庫'!$V$6:$V$10005,'設定'!$C$4,'月1回_1ヶ月前の在庫'!$W$6:$W$10005,$C394),IF(COUNTIFS('月1回_2ヶ月前の在庫'!$V$6:$V$10005,'設定'!$C$4,'月1回_2ヶ月前の在庫'!$W$6:$W$10005,$C394)&gt;0,SUMIFS('月1回_2ヶ月前の在庫'!$O$6:$O$10005,'月1回_2ヶ月前の在庫'!$V$6:$V$10005,'設定'!$C$4,'月1回_2ヶ月前の在庫'!$W$6:$W$10005,$C394)/COUNTIFS('月1回_2ヶ月前の在庫'!$V$6:$V$10005,'設定'!$C$4,'月1回_2ヶ月前の在庫'!$W$6:$W$10005,$C394),0)))),"")))</f>
        <v/>
      </c>
      <c r="P394" s="90">
        <f>IF($C394="","",IF('②発注する'!$I398="","",'②発注する'!$I398))</f>
        <v/>
      </c>
      <c r="Q394">
        <f>IF($C394="","",IF('②発注する'!$J398="","",'②発注する'!$J398))</f>
        <v/>
      </c>
      <c r="R394">
        <f>IF($C394="",0,IF(AND(ISNUMBER($P394),ISNUMBER($Q394)),MAX(0,$Q394)*$G394,0))</f>
        <v/>
      </c>
      <c r="S394" s="90">
        <f>IF($C394="","",IF('②発注する'!$M398="","",'②発注する'!$M398))</f>
        <v/>
      </c>
      <c r="T394">
        <f>IF($C394="","",IF('②発注する'!$N398="","",'②発注する'!$N398))</f>
        <v/>
      </c>
      <c r="U394">
        <f>IF($C394="",0,IF(AND(ISNUMBER($S394),ISNUMBER($T394)),MAX(0,$T394)*$G394,0))</f>
        <v/>
      </c>
      <c r="V394">
        <f>IF($C394="",0,IF($M394="",0,MAX(0,$M394)*MAX(0,V$4)/100))</f>
        <v/>
      </c>
      <c r="W394">
        <f>IF($C394="",0,IF($M394="",0,MAX(0,$M394)*MAX(0,W$4)/100))</f>
        <v/>
      </c>
      <c r="X394">
        <f>IF($C394="",0,IF($M394="",0,MAX(0,$M394)*MAX(0,X$4)/100))</f>
        <v/>
      </c>
      <c r="Y394">
        <f>IF($C394="",0,IF($M394="",0,MAX(0,$M394)*MAX(0,Y$4)/100))</f>
        <v/>
      </c>
      <c r="Z394">
        <f>IF($C394="",0,IF($M394="",0,MAX(0,$M394)*MAX(0,Z$4)/100))</f>
        <v/>
      </c>
      <c r="AA394">
        <f>IF($C394="",0,IF($M394="",0,MAX(0,$M394)*MAX(0,AA$4)/100))</f>
        <v/>
      </c>
      <c r="AB394">
        <f>IF($C394="",0,IF($M394="",0,MAX(0,$M394)*MAX(0,AB$4)/100))</f>
        <v/>
      </c>
      <c r="AC394">
        <f>IF($C394="",0,IF($M394="",0,MAX(0,$M394)*MAX(0,AC$4)/100))</f>
        <v/>
      </c>
      <c r="AD394">
        <f>IF($C394="",0,IF($M394="",0,MAX(0,$M394)*MAX(0,AD$4)/100))</f>
        <v/>
      </c>
      <c r="AE394">
        <f>IF($C394="",0,IF($M394="",0,MAX(0,$M394)*MAX(0,AE$4)/100))</f>
        <v/>
      </c>
      <c r="AF394">
        <f>IF($C394="",0,IF($M394="",0,MAX(0,$M394)*MAX(0,AF$4)/100))</f>
        <v/>
      </c>
      <c r="AG394">
        <f>IF($C394="",0,IF($M394="",0,MAX(0,$M394)*MAX(0,AG$4)/100))</f>
        <v/>
      </c>
      <c r="AH394">
        <f>IF($C394="",0,IF($M394="",0,MAX(0,$M394)*MAX(0,AH$4)/100))</f>
        <v/>
      </c>
      <c r="AI394">
        <f>IF($C394="",0,IF($M394="",0,MAX(0,$M394)*MAX(0,AI$4)/100))</f>
        <v/>
      </c>
      <c r="AJ394">
        <f>IF($C394="",0,MAX(0,MAX(0,N($L394))-$V394))</f>
        <v/>
      </c>
      <c r="AK394">
        <f>IF($C394="",0,MAX(0,$AJ394-$W394))</f>
        <v/>
      </c>
      <c r="AL394">
        <f>IF($C394="",0,MAX(0,$AK394-$X394))</f>
        <v/>
      </c>
      <c r="AM394">
        <f>IF($C394="",0,MAX(0,$AL394-$Y394))</f>
        <v/>
      </c>
      <c r="AN394">
        <f>IF($C394="",0,MAX(0,$AM394-$Z394))</f>
        <v/>
      </c>
      <c r="AO394">
        <f>IF($C394="",0,MAX(0,$AN394-$AA394))</f>
        <v/>
      </c>
      <c r="AP394">
        <f>IF($C394="",0,MAX(0,$AO394-$AB394))</f>
        <v/>
      </c>
      <c r="AQ394">
        <f>IF($C394="",0,MAX(0,$AP394-$AC394))</f>
        <v/>
      </c>
      <c r="AR394">
        <f>IF($C394="",0,MAX(0,$AQ394-$AD394))</f>
        <v/>
      </c>
      <c r="AS394">
        <f>IF($C394="",0,MAX(0,$AR394-$AE394))</f>
        <v/>
      </c>
      <c r="AT394">
        <f>IF($C394="",0,MAX(0,$AS394-$AF394))</f>
        <v/>
      </c>
      <c r="AU394">
        <f>IF($C394="",0,MAX(0,$AT394-$AG394))</f>
        <v/>
      </c>
      <c r="AV394">
        <f>IF($C394="",0,MAX(0,$AU394-$AH394))</f>
        <v/>
      </c>
      <c r="AW394">
        <f>IF($C394="",0,MAX(0,$AV394-$AI394))</f>
        <v/>
      </c>
      <c r="AX394">
        <f>IF($C394="",0,MAX(0,MAX(0,N($L394))+IF($P394=V$3,$R394,0)+IF($S394=V$3,$U394,0)-$V394))</f>
        <v/>
      </c>
      <c r="AY394">
        <f>IF($C394="",0,MAX(0,$AX394+IF($P394=W$3,$R394,0)+IF($S394=W$3,$U394,0)-$W394))</f>
        <v/>
      </c>
      <c r="AZ394">
        <f>IF($C394="",0,MAX(0,$AY394+IF($P394=X$3,$R394,0)+IF($S394=X$3,$U394,0)-$X394))</f>
        <v/>
      </c>
      <c r="BA394">
        <f>IF($C394="",0,MAX(0,$AZ394+IF($P394=Y$3,$R394,0)+IF($S394=Y$3,$U394,0)-$Y394))</f>
        <v/>
      </c>
      <c r="BB394">
        <f>IF($C394="",0,MAX(0,$BA394+IF($P394=Z$3,$R394,0)+IF($S394=Z$3,$U394,0)-$Z394))</f>
        <v/>
      </c>
      <c r="BC394">
        <f>IF($C394="",0,MAX(0,$BB394+IF($P394=AA$3,$R394,0)+IF($S394=AA$3,$U394,0)-$AA394))</f>
        <v/>
      </c>
      <c r="BD394">
        <f>IF($C394="",0,MAX(0,$BC394+IF($P394=AB$3,$R394,0)+IF($S394=AB$3,$U394,0)-$AB394))</f>
        <v/>
      </c>
      <c r="BE394">
        <f>IF($C394="",0,MAX(0,$BD394+IF($P394=AC$3,$R394,0)+IF($S394=AC$3,$U394,0)-$AC394))</f>
        <v/>
      </c>
      <c r="BF394">
        <f>IF($C394="",0,MAX(0,$BE394+IF($P394=AD$3,$R394,0)+IF($S394=AD$3,$U394,0)-$AD394))</f>
        <v/>
      </c>
      <c r="BG394">
        <f>IF($C394="",0,MAX(0,$BF394+IF($P394=AE$3,$R394,0)+IF($S394=AE$3,$U394,0)-$AE394))</f>
        <v/>
      </c>
      <c r="BH394">
        <f>IF($C394="",0,MAX(0,$BG394+IF($P394=AF$3,$R394,0)+IF($S394=AF$3,$U394,0)-$AF394))</f>
        <v/>
      </c>
      <c r="BI394">
        <f>IF($C394="",0,MAX(0,$BH394+IF($P394=AG$3,$R394,0)+IF($S394=AG$3,$U394,0)-$AG394))</f>
        <v/>
      </c>
      <c r="BJ394">
        <f>IF($C394="",0,MAX(0,$BI394+IF($P394=AH$3,$R394,0)+IF($S394=AH$3,$U394,0)-$AH394))</f>
        <v/>
      </c>
      <c r="BK394">
        <f>IF($C394="",0,MAX(0,$BJ394+IF($P394=AI$3,$R394,0)+IF($S394=AI$3,$U394,0)-$AI394))</f>
        <v/>
      </c>
      <c r="BL394">
        <f>IF($C394="",99,IF(AND($AX394&lt;1,V$3&gt;=MAX(N($P394),N($S394))),0,99))</f>
        <v/>
      </c>
      <c r="BM394">
        <f>IF($C394="",99,IF(AND($AY394&lt;1,W$3&gt;=MAX(N($P394),N($S394))),1,99))</f>
        <v/>
      </c>
      <c r="BN394">
        <f>IF($C394="",99,IF(AND($AZ394&lt;1,X$3&gt;=MAX(N($P394),N($S394))),2,99))</f>
        <v/>
      </c>
      <c r="BO394">
        <f>IF($C394="",99,IF(AND($BA394&lt;1,Y$3&gt;=MAX(N($P394),N($S394))),3,99))</f>
        <v/>
      </c>
      <c r="BP394">
        <f>IF($C394="",99,IF(AND($BB394&lt;1,Z$3&gt;=MAX(N($P394),N($S394))),4,99))</f>
        <v/>
      </c>
      <c r="BQ394">
        <f>IF($C394="",99,IF(AND($BC394&lt;1,AA$3&gt;=MAX(N($P394),N($S394))),5,99))</f>
        <v/>
      </c>
      <c r="BR394">
        <f>IF($C394="",99,IF(AND($BD394&lt;1,AB$3&gt;=MAX(N($P394),N($S394))),6,99))</f>
        <v/>
      </c>
      <c r="BS394">
        <f>IF($C394="",99,IF(AND($BE394&lt;1,AC$3&gt;=MAX(N($P394),N($S394))),7,99))</f>
        <v/>
      </c>
      <c r="BT394">
        <f>IF($C394="",99,IF(AND($BF394&lt;1,AD$3&gt;=MAX(N($P394),N($S394))),8,99))</f>
        <v/>
      </c>
      <c r="BU394">
        <f>IF($C394="",99,IF(AND($BG394&lt;1,AE$3&gt;=MAX(N($P394),N($S394))),9,99))</f>
        <v/>
      </c>
      <c r="BV394">
        <f>IF($C394="",99,IF(AND($BH394&lt;1,AF$3&gt;=MAX(N($P394),N($S394))),10,99))</f>
        <v/>
      </c>
      <c r="BW394">
        <f>IF($C394="",99,IF(AND($BI394&lt;1,AG$3&gt;=MAX(N($P394),N($S394))),11,99))</f>
        <v/>
      </c>
      <c r="BX394">
        <f>IF($C394="",99,IF(AND($BJ394&lt;1,AH$3&gt;=MAX(N($P394),N($S394))),12,99))</f>
        <v/>
      </c>
      <c r="BY394">
        <f>IF($C394="",99,IF(AND($BK394&lt;1,AI$3&gt;=MAX(N($P394),N($S394))),13,99))</f>
        <v/>
      </c>
      <c r="BZ394">
        <f>IF(OR($C394="",$M394=""),"",COUNTIF($AJ394:$AW394,"&gt;=1"))</f>
        <v/>
      </c>
      <c r="CA394" s="90">
        <f>IF($BZ394="","",IF($BZ394&gt;=14,"",'設定'!$C$6+$BZ394))</f>
        <v/>
      </c>
      <c r="CB394">
        <f>IF(OR($C394="",$M394=""),"",MIN($BL394:$BY394))</f>
        <v/>
      </c>
      <c r="CC394" s="90">
        <f>IF($CB394="","",IF($CB394&gt;=99,"",'設定'!$C$6+$CB394))</f>
        <v/>
      </c>
      <c r="CD394">
        <f>IF(OR($C394="",$M394=""),"",AVERAGE($V394:$AI394))</f>
        <v/>
      </c>
      <c r="CE394">
        <f>IF($C394="","",IFERROR(IF(MATCH(IF(ISNUMBER($P394),$P394,'設定'!$C$6+N('設定'!$C$7)),$V$3:$AI$3,0)=1,MAX(0,N($L394)),INDEX($AJ394:$AW394,MATCH(IF(ISNUMBER($P394),$P394,'設定'!$C$6+N('設定'!$C$7)),$V$3:$AI$3,0)-1)),""))</f>
        <v/>
      </c>
      <c r="CF394">
        <f>IF(OR($C394="",$O394="",$CE394=""),"",IF($O394-$CE394&lt;=0,0,ROUNDUP(($O394-$CE394)/$G394,0)))</f>
        <v/>
      </c>
      <c r="CG394">
        <f>IF(OR($C394="",$CF394="",NOT(ISNUMBER($Q394))),0,MAX(0,$Q394-$CF394))</f>
        <v/>
      </c>
      <c r="CH394">
        <f>IF(OR($C394="",$O394="",$U394=0),0,IFERROR(ROUNDUP(MAX(0,IF(MATCH($S394,$V$3:$AI$3,0)=1,MAX(0,N($L394)),INDEX($AX394:$BK394,MATCH($S394,$V$3:$AI$3,0)-1))+$U394-$O394)/$G394,0),0))</f>
        <v/>
      </c>
      <c r="CI394">
        <f>IF($C394="","",IF(AND($P394="",$Q394=""),"",IF($P394="","⚠ 入庫日を ▼ から選んでください",IF(NOT(ISNUMBER($P394)),"⚠ 入庫日は ▼ から選んでください",IF($P394&lt;N('設定'!$C$6),"⚠ 入庫日が過去です（もう在庫に入っています）→ 消してください",IF($P394&gt;N('設定'!$C$6)+13,"⚠ 入庫日が14日より先です",IF(N($Q394)&lt;=0,"⚠ 入庫数を入れてください",IF($CG394&gt;0,"⚠ 目安より "&amp;$CG394&amp;" 多い（定数を超える）→ 減らす",""))))))))</f>
        <v/>
      </c>
      <c r="CJ394">
        <f>IF($C394="","",IF(AND($S394="",$T394=""),"",IF($S394="","⚠ 2便目：入庫日を ▼ から選んでください",IF(NOT(ISNUMBER($S394)),"⚠ 2便目：入庫日は ▼ から選んでください",IF($S394&lt;N('設定'!$C$6),"⚠ 2便目：入庫日が過去です（もう在庫に入っています）→ 消してください",IF($S394&gt;N('設定'!$C$6)+13,"⚠ 2便目：入庫日が14日より先です",IF(N($T394)&lt;=0,"⚠ 2便目：入庫数を入れてください",IF($CH394&gt;0,"⚠ 2便目：定数を "&amp;$CH394&amp;" ケース超える → 減らす",""))))))))</f>
        <v/>
      </c>
      <c r="CK394">
        <f>IF(AND($CI394="",N($Q394)&gt;0,ISNUMBER($P394)),1,0)</f>
        <v/>
      </c>
      <c r="CL394">
        <f>IF(AND($CJ394="",N($T394)&gt;0,ISNUMBER($S394)),1,0)</f>
        <v/>
      </c>
      <c r="CM394">
        <f>IF(OR($CK394=1,$CL394=1),1,0)</f>
        <v/>
      </c>
      <c r="CN394">
        <f>IF($C394="",0,($CK394*$R394+$CL394*$U394)*N($H394))</f>
        <v/>
      </c>
      <c r="CO394">
        <f>IF($C394="","",IF($CC394="","入庫後は 14日以上もつ",IF($CC394-N('設定'!$C$7)&lt;='設定'!$C$6,"入庫後も "&amp;TEXT($CC394,"m/d")&amp;"("&amp;CHOOSE(WEEKDAY($CC394),"日","月","火","水","木","金","土")&amp;")"&amp;" に切れる　もう1便を至急発注","入庫後も "&amp;TEXT($CC394,"m/d")&amp;"("&amp;CHOOSE(WEEKDAY($CC394),"日","月","火","水","木","金","土")&amp;")"&amp;" に切れる　"&amp;TEXT($CC394-N('設定'!$C$7),"m/d")&amp;"("&amp;CHOOSE(WEEKDAY($CC394-N('設定'!$C$7)),"日","月","火","水","木","金","土")&amp;")"&amp;" までに次を発注")))</f>
        <v/>
      </c>
      <c r="CP394">
        <f>IF($C394="","",IF('設定'!$C$6="","？ ①在庫を貼る に今日のCSVが貼られていない",IF($CS394=1,"－ 今日のCSVに無い（終売？）",IF($L394&lt;0,"● 在庫がマイナス　数えて「数えた在庫」に入れる",IF($L394=0,"● 在庫なし　至急発注",IF($M394="","？ 減り数が未設定（商品マスタ）",IF($B$3=0,"？ 動員が未入力（動員を入れる）",IF($CA394="","○ 14日以上もつ",IF($BZ394&lt;N('設定'!$C$7),"● "&amp;TEXT($CA394,"m/d")&amp;"("&amp;CHOOSE(WEEKDAY($CA394),"日","月","火","水","木","金","土")&amp;")"&amp;" に切れる　至急発注",IF($BZ394=N('設定'!$C$7),"● "&amp;TEXT($CA394,"m/d")&amp;"("&amp;CHOOSE(WEEKDAY($CA394),"日","月","火","水","木","金","土")&amp;")"&amp;" に切れる　今日発注","△ "&amp;TEXT($CA394,"m/d")&amp;"("&amp;CHOOSE(WEEKDAY($CA394),"日","月","火","水","木","金","土")&amp;")"&amp;" に切れる　"&amp;TEXT($CA394-N('設定'!$C$7),"m/d")&amp;"("&amp;CHOOSE(WEEKDAY($CA394-N('設定'!$C$7)),"日","月","火","水","木","金","土")&amp;")"&amp;" までに発注"))))))))))</f>
        <v/>
      </c>
      <c r="CQ394">
        <f>IF($C394="","",IF(AND($P394="",$Q394="",$S394="",$T394=""),"",IF(AND($P394="",$Q394=""),"⚠ 先に1便目（左の入庫日・入庫数）に入れてください",IF($CI394&lt;&gt;"",$CI394,IF($CJ394&lt;&gt;"",$CJ394,IF($M394="","？ 減り数が未設定（発注書には載ります）",IF($B$3=0,"？ 動員が未入力（発注書には載ります）",IF(AND($CA394&lt;&gt;"",$P394&gt;$CA394),IF($P394&gt;'設定'!$C$6+N('設定'!$C$7),"● "&amp;TEXT($P394,"m/d")&amp;"("&amp;CHOOSE(WEEKDAY($P394),"日","月","火","水","木","金","土")&amp;")"&amp;" の入庫では間に合わない（"&amp;TEXT($CA394,"m/d")&amp;"("&amp;CHOOSE(WEEKDAY($CA394),"日","月","火","水","木","金","土")&amp;")"&amp;" に切れる）　入庫日を早める","△ 欠品 "&amp;TEXT($CA394,"m/d")&amp;"("&amp;CHOOSE(WEEKDAY($CA394),"日","月","火","水","木","金","土")&amp;")"&amp;"〜"&amp;TEXT($P394-1,"m/d")&amp;"("&amp;CHOOSE(WEEKDAY($P394-1),"日","月","火","水","木","金","土")&amp;")"&amp;"　"&amp;$CO394),IF($CC394="","○ "&amp;TEXT($P394,"m/d")&amp;"("&amp;CHOOSE(WEEKDAY($P394),"日","月","火","水","木","金","土")&amp;")"&amp;" 入庫で 14日以上もつ",IF($CC394-N('設定'!$C$7)&lt;='設定'!$C$6,"● 入庫しても "&amp;TEXT($CC394,"m/d")&amp;"("&amp;CHOOSE(WEEKDAY($CC394),"日","月","火","水","木","金","土")&amp;")"&amp;" に切れる　もう1便を至急発注（2便目に入れる）","△ 入庫しても "&amp;TEXT($CC394,"m/d")&amp;"("&amp;CHOOSE(WEEKDAY($CC394),"日","月","火","水","木","金","土")&amp;")"&amp;" に切れる　"&amp;TEXT($CC394-N('設定'!$C$7),"m/d")&amp;"("&amp;CHOOSE(WEEKDAY($CC394-N('設定'!$C$7)),"日","月","火","水","木","金","土")&amp;")"&amp;" までに次を発注（2便目に入れる）"))))))))))</f>
        <v/>
      </c>
      <c r="CR394">
        <f>IF($C394="","",IF($G394&gt;1,"ｹｰｽ("&amp;$G394&amp;"入)","個"))</f>
        <v/>
      </c>
      <c r="CS394">
        <f>IF($C394="",0,IF(COUNTIFS('①在庫を貼る'!$V$6:$V$10005,'設定'!$C$4,'①在庫を貼る'!$W$6:$W$10005,$C394)=0,1,0))</f>
        <v/>
      </c>
      <c r="CT394">
        <f>IF(AND($CK394=1,OR('③発注書'!$C$4="すべて",'③発注書'!$C$4="",$F394='③発注書'!$C$4)),N($CT393)+1,N($CT393))</f>
        <v/>
      </c>
      <c r="CU394">
        <f>IF(AND($CL394=1,OR('③発注書'!$C$4="すべて",'③発注書'!$C$4="",$F394='③発注書'!$C$4)),N($CU393)+1,N($CU393))</f>
        <v/>
      </c>
      <c r="CV394">
        <f>IF($C394="",0,IF(COUNTIFS('①在庫を貼る'!$V$6:$V$10005,'設定'!$C$4,'①在庫を貼る'!$W$6:$W$10005,$C394)&gt;0,1,0))</f>
        <v/>
      </c>
      <c r="CW394">
        <f>IF($C394="",0,IF(COUNTIFS('月1回_1ヶ月前の在庫'!$V$6:$V$10005,'設定'!$C$4,'月1回_1ヶ月前の在庫'!$W$6:$W$10005,$C394)&gt;0,1,0))</f>
        <v/>
      </c>
      <c r="CX394">
        <f>IF($C394="",0,IF(COUNTIFS('月1回_2ヶ月前の在庫'!$V$6:$V$10005,'設定'!$C$4,'月1回_2ヶ月前の在庫'!$W$6:$W$10005,$C394)&gt;0,1,0))</f>
        <v/>
      </c>
      <c r="CY394">
        <f>IF(OR($C394="",'設定'!$C$12=""),"",IF('設定'!$C$13="",IF(AND($CV394=1,$CW394=0),"新商品（今月から）",IF(AND($CV394=0,$CW394=1),"終売（今月から）","")),IF(AND($CV394=1,$CW394=0,$CX394=0),"新商品（今月から）",IF(AND($CV394=1,$CW394=1,$CX394=0),"新商品（先月から）",IF(AND($CV394=0,$CW394=1,$CX394=1),"終売（今月から）",IF(AND($CV394=0,$CW394=0,$CX394=1),"終売（先月から）",IF(AND($CV394=1,$CW394=0,$CX394=1),"復活（先月は無し）","")))))))</f>
        <v/>
      </c>
    </row>
    <row r="395">
      <c r="B395">
        <f>IF(390&lt;='設定'!$C$11,390,"")</f>
        <v/>
      </c>
      <c r="C395">
        <f>IF($B395="","",IF($B395&lt;='設定'!$C$20,INDEX('商品マスタ'!$B$6:$B$1005,MATCH($B395,'商品マスタ'!$M$6:$M$1005,0)),IF($B395&lt;='設定'!$C$20+'設定'!$C$17,INDEX('①在庫を貼る'!$W$6:$W$10005,MATCH($B395-'設定'!$C$20,'①在庫を貼る'!$U$6:$U$10005,0)),IF($B395&lt;='設定'!$C$20+'設定'!$C$17+'設定'!$C$18,INDEX('月1回_1ヶ月前の在庫'!$W$6:$W$10005,MATCH($B395-'設定'!$C$20-'設定'!$C$17,'月1回_1ヶ月前の在庫'!$U$6:$U$10005,0)),INDEX('月1回_2ヶ月前の在庫'!$W$6:$W$10005,MATCH($B395-'設定'!$C$20-'設定'!$C$17-'設定'!$C$18,'月1回_2ヶ月前の在庫'!$U$6:$U$10005,0))))))</f>
        <v/>
      </c>
      <c r="D395">
        <f>IF($C395="","",IFERROR(IF(INDEX('商品マスタ'!$C$6:$C$1005,MATCH($C395,'商品マスタ'!$B$6:$B$1005,0))="",IFERROR(INDEX('①在庫を貼る'!$J$6:$J$10005,MATCH($C395,'①在庫を貼る'!$W$6:$W$10005,0)),IFERROR(INDEX('月1回_1ヶ月前の在庫'!$J$6:$J$10005,MATCH($C395,'月1回_1ヶ月前の在庫'!$W$6:$W$10005,0)),IFERROR(INDEX('月1回_2ヶ月前の在庫'!$J$6:$J$10005,MATCH($C395,'月1回_2ヶ月前の在庫'!$W$6:$W$10005,0)),""))),INDEX('商品マスタ'!$C$6:$C$1005,MATCH($C395,'商品マスタ'!$B$6:$B$1005,0))),IFERROR(INDEX('①在庫を貼る'!$J$6:$J$10005,MATCH($C395,'①在庫を貼る'!$W$6:$W$10005,0)),IFERROR(INDEX('月1回_1ヶ月前の在庫'!$J$6:$J$10005,MATCH($C395,'月1回_1ヶ月前の在庫'!$W$6:$W$10005,0)),IFERROR(INDEX('月1回_2ヶ月前の在庫'!$J$6:$J$10005,MATCH($C395,'月1回_2ヶ月前の在庫'!$W$6:$W$10005,0)),"")))))</f>
        <v/>
      </c>
      <c r="E395">
        <f>IF($C395="","",IFERROR(IF(INDEX('商品マスタ'!$D$6:$D$1005,MATCH($C395,'商品マスタ'!$B$6:$B$1005,0))="",IFERROR(INDEX('①在庫を貼る'!$H$6:$H$10005,MATCH($C395,'①在庫を貼る'!$W$6:$W$10005,0)),IFERROR(INDEX('月1回_1ヶ月前の在庫'!$H$6:$H$10005,MATCH($C395,'月1回_1ヶ月前の在庫'!$W$6:$W$10005,0)),IFERROR(INDEX('月1回_2ヶ月前の在庫'!$H$6:$H$10005,MATCH($C395,'月1回_2ヶ月前の在庫'!$W$6:$W$10005,0)),""))),INDEX('商品マスタ'!$D$6:$D$1005,MATCH($C395,'商品マスタ'!$B$6:$B$1005,0))),IFERROR(INDEX('①在庫を貼る'!$H$6:$H$10005,MATCH($C395,'①在庫を貼る'!$W$6:$W$10005,0)),IFERROR(INDEX('月1回_1ヶ月前の在庫'!$H$6:$H$10005,MATCH($C395,'月1回_1ヶ月前の在庫'!$W$6:$W$10005,0)),IFERROR(INDEX('月1回_2ヶ月前の在庫'!$H$6:$H$10005,MATCH($C395,'月1回_2ヶ月前の在庫'!$W$6:$W$10005,0)),"")))))</f>
        <v/>
      </c>
      <c r="F395">
        <f>IF($C395="","",IFERROR(IF(INDEX('商品マスタ'!$E$6:$E$1005,MATCH($C395,'商品マスタ'!$B$6:$B$1005,0))="",IFERROR(INDEX('①在庫を貼る'!$E$6:$E$10005,MATCH($C395,'①在庫を貼る'!$W$6:$W$10005,0)),IFERROR(INDEX('月1回_1ヶ月前の在庫'!$E$6:$E$10005,MATCH($C395,'月1回_1ヶ月前の在庫'!$W$6:$W$10005,0)),IFERROR(INDEX('月1回_2ヶ月前の在庫'!$E$6:$E$10005,MATCH($C395,'月1回_2ヶ月前の在庫'!$W$6:$W$10005,0)),""))),INDEX('商品マスタ'!$E$6:$E$1005,MATCH($C395,'商品マスタ'!$B$6:$B$1005,0))),IFERROR(INDEX('①在庫を貼る'!$E$6:$E$10005,MATCH($C395,'①在庫を貼る'!$W$6:$W$10005,0)),IFERROR(INDEX('月1回_1ヶ月前の在庫'!$E$6:$E$10005,MATCH($C395,'月1回_1ヶ月前の在庫'!$W$6:$W$10005,0)),IFERROR(INDEX('月1回_2ヶ月前の在庫'!$E$6:$E$10005,MATCH($C395,'月1回_2ヶ月前の在庫'!$W$6:$W$10005,0)),"")))))</f>
        <v/>
      </c>
      <c r="G395">
        <f>IF($C395="","",MAX(1,N(IFERROR(IF(INDEX('商品マスタ'!$F$6:$F$1005,MATCH($C395,'商品マスタ'!$B$6:$B$1005,0))="",IF(COUNTIFS('①在庫を貼る'!$V$6:$V$10005,'設定'!$C$4,'①在庫を貼る'!$W$6:$W$10005,$C395)&gt;0,SUMIFS('①在庫を貼る'!$K$6:$K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K$6:$K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K$6:$K$10005,'月1回_2ヶ月前の在庫'!$V$6:$V$10005,'設定'!$C$4,'月1回_2ヶ月前の在庫'!$W$6:$W$10005,$C395)/COUNTIFS('月1回_2ヶ月前の在庫'!$V$6:$V$10005,'設定'!$C$4,'月1回_2ヶ月前の在庫'!$W$6:$W$10005,$C395),0))),INDEX('商品マスタ'!$F$6:$F$1005,MATCH($C395,'商品マスタ'!$B$6:$B$1005,0))),IF(COUNTIFS('①在庫を貼る'!$V$6:$V$10005,'設定'!$C$4,'①在庫を貼る'!$W$6:$W$10005,$C395)&gt;0,SUMIFS('①在庫を貼る'!$K$6:$K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K$6:$K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K$6:$K$10005,'月1回_2ヶ月前の在庫'!$V$6:$V$10005,'設定'!$C$4,'月1回_2ヶ月前の在庫'!$W$6:$W$10005,$C395)/COUNTIFS('月1回_2ヶ月前の在庫'!$V$6:$V$10005,'設定'!$C$4,'月1回_2ヶ月前の在庫'!$W$6:$W$10005,$C395),0)))))))</f>
        <v/>
      </c>
      <c r="H395">
        <f>IF($C395="","",N(IFERROR(IF(INDEX('商品マスタ'!$G$6:$G$1005,MATCH($C395,'商品マスタ'!$B$6:$B$1005,0))="",IF(COUNTIFS('①在庫を貼る'!$V$6:$V$10005,'設定'!$C$4,'①在庫を貼る'!$W$6:$W$10005,$C395)&gt;0,SUMIFS('①在庫を貼る'!$Q$6:$Q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Q$6:$Q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Q$6:$Q$10005,'月1回_2ヶ月前の在庫'!$V$6:$V$10005,'設定'!$C$4,'月1回_2ヶ月前の在庫'!$W$6:$W$10005,$C395)/COUNTIFS('月1回_2ヶ月前の在庫'!$V$6:$V$10005,'設定'!$C$4,'月1回_2ヶ月前の在庫'!$W$6:$W$10005,$C395),0))),INDEX('商品マスタ'!$G$6:$G$1005,MATCH($C395,'商品マスタ'!$B$6:$B$1005,0))),IF(COUNTIFS('①在庫を貼る'!$V$6:$V$10005,'設定'!$C$4,'①在庫を貼る'!$W$6:$W$10005,$C395)&gt;0,SUMIFS('①在庫を貼る'!$Q$6:$Q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Q$6:$Q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Q$6:$Q$10005,'月1回_2ヶ月前の在庫'!$V$6:$V$10005,'設定'!$C$4,'月1回_2ヶ月前の在庫'!$W$6:$W$10005,$C395)/COUNTIFS('月1回_2ヶ月前の在庫'!$V$6:$V$10005,'設定'!$C$4,'月1回_2ヶ月前の在庫'!$W$6:$W$10005,$C395),0))))))</f>
        <v/>
      </c>
      <c r="I395">
        <f>IF($C395="","",IF(COUNTIFS('①在庫を貼る'!$V$6:$V$10005,'設定'!$C$4,'①在庫を貼る'!$W$6:$W$10005,$C395)=0,"",SUMIFS('①在庫を貼る'!$N$6:$N$10005,'①在庫を貼る'!$V$6:$V$10005,'設定'!$C$4,'①在庫を貼る'!$W$6:$W$10005,$C395)))</f>
        <v/>
      </c>
      <c r="J395">
        <f>IF($C395="","",IF('②発注する'!$AD399="","",'②発注する'!$AD399))</f>
        <v/>
      </c>
      <c r="K395" s="90">
        <f>IF($C395="","",IF('②発注する'!$AE399="","",'②発注する'!$AE399))</f>
        <v/>
      </c>
      <c r="L395">
        <f>IF($C395="","",IF(AND(ISNUMBER($J395),ISNUMBER($K395),$K395&gt;='設定'!$C$6),$J395,N($I395)))</f>
        <v/>
      </c>
      <c r="M395">
        <f>IF($C395="","",IFERROR(IF(N(INDEX('商品マスタ'!$J$6:$J$1005,MATCH($C395,'商品マスタ'!$B$6:$B$1005,0)))&gt;0,INDEX('商品マスタ'!$J$6:$J$1005,MATCH($C395,'商品マスタ'!$B$6:$B$1005,0)),""),""))</f>
        <v/>
      </c>
      <c r="N395">
        <f>IF($C395="","",IFERROR(IF(N(INDEX('商品マスタ'!$H$6:$H$1005,MATCH($C395,'商品マスタ'!$B$6:$B$1005,0)))&gt;0,INDEX('商品マスタ'!$H$6:$H$1005,MATCH($C395,'商品マスタ'!$B$6:$B$1005,0)),""),""))</f>
        <v/>
      </c>
      <c r="O395">
        <f>IF($C395="","",IF($N395&lt;&gt;"",$N395*$G395,IF(N(IF(COUNTIFS('①在庫を貼る'!$V$6:$V$10005,'設定'!$C$4,'①在庫を貼る'!$W$6:$W$10005,$C395)&gt;0,SUMIFS('①在庫を貼る'!$O$6:$O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O$6:$O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O$6:$O$10005,'月1回_2ヶ月前の在庫'!$V$6:$V$10005,'設定'!$C$4,'月1回_2ヶ月前の在庫'!$W$6:$W$10005,$C395)/COUNTIFS('月1回_2ヶ月前の在庫'!$V$6:$V$10005,'設定'!$C$4,'月1回_2ヶ月前の在庫'!$W$6:$W$10005,$C395),0))))&gt;0,N(IF(COUNTIFS('①在庫を貼る'!$V$6:$V$10005,'設定'!$C$4,'①在庫を貼る'!$W$6:$W$10005,$C395)&gt;0,SUMIFS('①在庫を貼る'!$O$6:$O$10005,'①在庫を貼る'!$V$6:$V$10005,'設定'!$C$4,'①在庫を貼る'!$W$6:$W$10005,$C395)/COUNTIFS('①在庫を貼る'!$V$6:$V$10005,'設定'!$C$4,'①在庫を貼る'!$W$6:$W$10005,$C395),IF(COUNTIFS('月1回_1ヶ月前の在庫'!$V$6:$V$10005,'設定'!$C$4,'月1回_1ヶ月前の在庫'!$W$6:$W$10005,$C395)&gt;0,SUMIFS('月1回_1ヶ月前の在庫'!$O$6:$O$10005,'月1回_1ヶ月前の在庫'!$V$6:$V$10005,'設定'!$C$4,'月1回_1ヶ月前の在庫'!$W$6:$W$10005,$C395)/COUNTIFS('月1回_1ヶ月前の在庫'!$V$6:$V$10005,'設定'!$C$4,'月1回_1ヶ月前の在庫'!$W$6:$W$10005,$C395),IF(COUNTIFS('月1回_2ヶ月前の在庫'!$V$6:$V$10005,'設定'!$C$4,'月1回_2ヶ月前の在庫'!$W$6:$W$10005,$C395)&gt;0,SUMIFS('月1回_2ヶ月前の在庫'!$O$6:$O$10005,'月1回_2ヶ月前の在庫'!$V$6:$V$10005,'設定'!$C$4,'月1回_2ヶ月前の在庫'!$W$6:$W$10005,$C395)/COUNTIFS('月1回_2ヶ月前の在庫'!$V$6:$V$10005,'設定'!$C$4,'月1回_2ヶ月前の在庫'!$W$6:$W$10005,$C395),0)))),"")))</f>
        <v/>
      </c>
      <c r="P395" s="90">
        <f>IF($C395="","",IF('②発注する'!$I399="","",'②発注する'!$I399))</f>
        <v/>
      </c>
      <c r="Q395">
        <f>IF($C395="","",IF('②発注する'!$J399="","",'②発注する'!$J399))</f>
        <v/>
      </c>
      <c r="R395">
        <f>IF($C395="",0,IF(AND(ISNUMBER($P395),ISNUMBER($Q395)),MAX(0,$Q395)*$G395,0))</f>
        <v/>
      </c>
      <c r="S395" s="90">
        <f>IF($C395="","",IF('②発注する'!$M399="","",'②発注する'!$M399))</f>
        <v/>
      </c>
      <c r="T395">
        <f>IF($C395="","",IF('②発注する'!$N399="","",'②発注する'!$N399))</f>
        <v/>
      </c>
      <c r="U395">
        <f>IF($C395="",0,IF(AND(ISNUMBER($S395),ISNUMBER($T395)),MAX(0,$T395)*$G395,0))</f>
        <v/>
      </c>
      <c r="V395">
        <f>IF($C395="",0,IF($M395="",0,MAX(0,$M395)*MAX(0,V$4)/100))</f>
        <v/>
      </c>
      <c r="W395">
        <f>IF($C395="",0,IF($M395="",0,MAX(0,$M395)*MAX(0,W$4)/100))</f>
        <v/>
      </c>
      <c r="X395">
        <f>IF($C395="",0,IF($M395="",0,MAX(0,$M395)*MAX(0,X$4)/100))</f>
        <v/>
      </c>
      <c r="Y395">
        <f>IF($C395="",0,IF($M395="",0,MAX(0,$M395)*MAX(0,Y$4)/100))</f>
        <v/>
      </c>
      <c r="Z395">
        <f>IF($C395="",0,IF($M395="",0,MAX(0,$M395)*MAX(0,Z$4)/100))</f>
        <v/>
      </c>
      <c r="AA395">
        <f>IF($C395="",0,IF($M395="",0,MAX(0,$M395)*MAX(0,AA$4)/100))</f>
        <v/>
      </c>
      <c r="AB395">
        <f>IF($C395="",0,IF($M395="",0,MAX(0,$M395)*MAX(0,AB$4)/100))</f>
        <v/>
      </c>
      <c r="AC395">
        <f>IF($C395="",0,IF($M395="",0,MAX(0,$M395)*MAX(0,AC$4)/100))</f>
        <v/>
      </c>
      <c r="AD395">
        <f>IF($C395="",0,IF($M395="",0,MAX(0,$M395)*MAX(0,AD$4)/100))</f>
        <v/>
      </c>
      <c r="AE395">
        <f>IF($C395="",0,IF($M395="",0,MAX(0,$M395)*MAX(0,AE$4)/100))</f>
        <v/>
      </c>
      <c r="AF395">
        <f>IF($C395="",0,IF($M395="",0,MAX(0,$M395)*MAX(0,AF$4)/100))</f>
        <v/>
      </c>
      <c r="AG395">
        <f>IF($C395="",0,IF($M395="",0,MAX(0,$M395)*MAX(0,AG$4)/100))</f>
        <v/>
      </c>
      <c r="AH395">
        <f>IF($C395="",0,IF($M395="",0,MAX(0,$M395)*MAX(0,AH$4)/100))</f>
        <v/>
      </c>
      <c r="AI395">
        <f>IF($C395="",0,IF($M395="",0,MAX(0,$M395)*MAX(0,AI$4)/100))</f>
        <v/>
      </c>
      <c r="AJ395">
        <f>IF($C395="",0,MAX(0,MAX(0,N($L395))-$V395))</f>
        <v/>
      </c>
      <c r="AK395">
        <f>IF($C395="",0,MAX(0,$AJ395-$W395))</f>
        <v/>
      </c>
      <c r="AL395">
        <f>IF($C395="",0,MAX(0,$AK395-$X395))</f>
        <v/>
      </c>
      <c r="AM395">
        <f>IF($C395="",0,MAX(0,$AL395-$Y395))</f>
        <v/>
      </c>
      <c r="AN395">
        <f>IF($C395="",0,MAX(0,$AM395-$Z395))</f>
        <v/>
      </c>
      <c r="AO395">
        <f>IF($C395="",0,MAX(0,$AN395-$AA395))</f>
        <v/>
      </c>
      <c r="AP395">
        <f>IF($C395="",0,MAX(0,$AO395-$AB395))</f>
        <v/>
      </c>
      <c r="AQ395">
        <f>IF($C395="",0,MAX(0,$AP395-$AC395))</f>
        <v/>
      </c>
      <c r="AR395">
        <f>IF($C395="",0,MAX(0,$AQ395-$AD395))</f>
        <v/>
      </c>
      <c r="AS395">
        <f>IF($C395="",0,MAX(0,$AR395-$AE395))</f>
        <v/>
      </c>
      <c r="AT395">
        <f>IF($C395="",0,MAX(0,$AS395-$AF395))</f>
        <v/>
      </c>
      <c r="AU395">
        <f>IF($C395="",0,MAX(0,$AT395-$AG395))</f>
        <v/>
      </c>
      <c r="AV395">
        <f>IF($C395="",0,MAX(0,$AU395-$AH395))</f>
        <v/>
      </c>
      <c r="AW395">
        <f>IF($C395="",0,MAX(0,$AV395-$AI395))</f>
        <v/>
      </c>
      <c r="AX395">
        <f>IF($C395="",0,MAX(0,MAX(0,N($L395))+IF($P395=V$3,$R395,0)+IF($S395=V$3,$U395,0)-$V395))</f>
        <v/>
      </c>
      <c r="AY395">
        <f>IF($C395="",0,MAX(0,$AX395+IF($P395=W$3,$R395,0)+IF($S395=W$3,$U395,0)-$W395))</f>
        <v/>
      </c>
      <c r="AZ395">
        <f>IF($C395="",0,MAX(0,$AY395+IF($P395=X$3,$R395,0)+IF($S395=X$3,$U395,0)-$X395))</f>
        <v/>
      </c>
      <c r="BA395">
        <f>IF($C395="",0,MAX(0,$AZ395+IF($P395=Y$3,$R395,0)+IF($S395=Y$3,$U395,0)-$Y395))</f>
        <v/>
      </c>
      <c r="BB395">
        <f>IF($C395="",0,MAX(0,$BA395+IF($P395=Z$3,$R395,0)+IF($S395=Z$3,$U395,0)-$Z395))</f>
        <v/>
      </c>
      <c r="BC395">
        <f>IF($C395="",0,MAX(0,$BB395+IF($P395=AA$3,$R395,0)+IF($S395=AA$3,$U395,0)-$AA395))</f>
        <v/>
      </c>
      <c r="BD395">
        <f>IF($C395="",0,MAX(0,$BC395+IF($P395=AB$3,$R395,0)+IF($S395=AB$3,$U395,0)-$AB395))</f>
        <v/>
      </c>
      <c r="BE395">
        <f>IF($C395="",0,MAX(0,$BD395+IF($P395=AC$3,$R395,0)+IF($S395=AC$3,$U395,0)-$AC395))</f>
        <v/>
      </c>
      <c r="BF395">
        <f>IF($C395="",0,MAX(0,$BE395+IF($P395=AD$3,$R395,0)+IF($S395=AD$3,$U395,0)-$AD395))</f>
        <v/>
      </c>
      <c r="BG395">
        <f>IF($C395="",0,MAX(0,$BF395+IF($P395=AE$3,$R395,0)+IF($S395=AE$3,$U395,0)-$AE395))</f>
        <v/>
      </c>
      <c r="BH395">
        <f>IF($C395="",0,MAX(0,$BG395+IF($P395=AF$3,$R395,0)+IF($S395=AF$3,$U395,0)-$AF395))</f>
        <v/>
      </c>
      <c r="BI395">
        <f>IF($C395="",0,MAX(0,$BH395+IF($P395=AG$3,$R395,0)+IF($S395=AG$3,$U395,0)-$AG395))</f>
        <v/>
      </c>
      <c r="BJ395">
        <f>IF($C395="",0,MAX(0,$BI395+IF($P395=AH$3,$R395,0)+IF($S395=AH$3,$U395,0)-$AH395))</f>
        <v/>
      </c>
      <c r="BK395">
        <f>IF($C395="",0,MAX(0,$BJ395+IF($P395=AI$3,$R395,0)+IF($S395=AI$3,$U395,0)-$AI395))</f>
        <v/>
      </c>
      <c r="BL395">
        <f>IF($C395="",99,IF(AND($AX395&lt;1,V$3&gt;=MAX(N($P395),N($S395))),0,99))</f>
        <v/>
      </c>
      <c r="BM395">
        <f>IF($C395="",99,IF(AND($AY395&lt;1,W$3&gt;=MAX(N($P395),N($S395))),1,99))</f>
        <v/>
      </c>
      <c r="BN395">
        <f>IF($C395="",99,IF(AND($AZ395&lt;1,X$3&gt;=MAX(N($P395),N($S395))),2,99))</f>
        <v/>
      </c>
      <c r="BO395">
        <f>IF($C395="",99,IF(AND($BA395&lt;1,Y$3&gt;=MAX(N($P395),N($S395))),3,99))</f>
        <v/>
      </c>
      <c r="BP395">
        <f>IF($C395="",99,IF(AND($BB395&lt;1,Z$3&gt;=MAX(N($P395),N($S395))),4,99))</f>
        <v/>
      </c>
      <c r="BQ395">
        <f>IF($C395="",99,IF(AND($BC395&lt;1,AA$3&gt;=MAX(N($P395),N($S395))),5,99))</f>
        <v/>
      </c>
      <c r="BR395">
        <f>IF($C395="",99,IF(AND($BD395&lt;1,AB$3&gt;=MAX(N($P395),N($S395))),6,99))</f>
        <v/>
      </c>
      <c r="BS395">
        <f>IF($C395="",99,IF(AND($BE395&lt;1,AC$3&gt;=MAX(N($P395),N($S395))),7,99))</f>
        <v/>
      </c>
      <c r="BT395">
        <f>IF($C395="",99,IF(AND($BF395&lt;1,AD$3&gt;=MAX(N($P395),N($S395))),8,99))</f>
        <v/>
      </c>
      <c r="BU395">
        <f>IF($C395="",99,IF(AND($BG395&lt;1,AE$3&gt;=MAX(N($P395),N($S395))),9,99))</f>
        <v/>
      </c>
      <c r="BV395">
        <f>IF($C395="",99,IF(AND($BH395&lt;1,AF$3&gt;=MAX(N($P395),N($S395))),10,99))</f>
        <v/>
      </c>
      <c r="BW395">
        <f>IF($C395="",99,IF(AND($BI395&lt;1,AG$3&gt;=MAX(N($P395),N($S395))),11,99))</f>
        <v/>
      </c>
      <c r="BX395">
        <f>IF($C395="",99,IF(AND($BJ395&lt;1,AH$3&gt;=MAX(N($P395),N($S395))),12,99))</f>
        <v/>
      </c>
      <c r="BY395">
        <f>IF($C395="",99,IF(AND($BK395&lt;1,AI$3&gt;=MAX(N($P395),N($S395))),13,99))</f>
        <v/>
      </c>
      <c r="BZ395">
        <f>IF(OR($C395="",$M395=""),"",COUNTIF($AJ395:$AW395,"&gt;=1"))</f>
        <v/>
      </c>
      <c r="CA395" s="90">
        <f>IF($BZ395="","",IF($BZ395&gt;=14,"",'設定'!$C$6+$BZ395))</f>
        <v/>
      </c>
      <c r="CB395">
        <f>IF(OR($C395="",$M395=""),"",MIN($BL395:$BY395))</f>
        <v/>
      </c>
      <c r="CC395" s="90">
        <f>IF($CB395="","",IF($CB395&gt;=99,"",'設定'!$C$6+$CB395))</f>
        <v/>
      </c>
      <c r="CD395">
        <f>IF(OR($C395="",$M395=""),"",AVERAGE($V395:$AI395))</f>
        <v/>
      </c>
      <c r="CE395">
        <f>IF($C395="","",IFERROR(IF(MATCH(IF(ISNUMBER($P395),$P395,'設定'!$C$6+N('設定'!$C$7)),$V$3:$AI$3,0)=1,MAX(0,N($L395)),INDEX($AJ395:$AW395,MATCH(IF(ISNUMBER($P395),$P395,'設定'!$C$6+N('設定'!$C$7)),$V$3:$AI$3,0)-1)),""))</f>
        <v/>
      </c>
      <c r="CF395">
        <f>IF(OR($C395="",$O395="",$CE395=""),"",IF($O395-$CE395&lt;=0,0,ROUNDUP(($O395-$CE395)/$G395,0)))</f>
        <v/>
      </c>
      <c r="CG395">
        <f>IF(OR($C395="",$CF395="",NOT(ISNUMBER($Q395))),0,MAX(0,$Q395-$CF395))</f>
        <v/>
      </c>
      <c r="CH395">
        <f>IF(OR($C395="",$O395="",$U395=0),0,IFERROR(ROUNDUP(MAX(0,IF(MATCH($S395,$V$3:$AI$3,0)=1,MAX(0,N($L395)),INDEX($AX395:$BK395,MATCH($S395,$V$3:$AI$3,0)-1))+$U395-$O395)/$G395,0),0))</f>
        <v/>
      </c>
      <c r="CI395">
        <f>IF($C395="","",IF(AND($P395="",$Q395=""),"",IF($P395="","⚠ 入庫日を ▼ から選んでください",IF(NOT(ISNUMBER($P395)),"⚠ 入庫日は ▼ から選んでください",IF($P395&lt;N('設定'!$C$6),"⚠ 入庫日が過去です（もう在庫に入っています）→ 消してください",IF($P395&gt;N('設定'!$C$6)+13,"⚠ 入庫日が14日より先です",IF(N($Q395)&lt;=0,"⚠ 入庫数を入れてください",IF($CG395&gt;0,"⚠ 目安より "&amp;$CG395&amp;" 多い（定数を超える）→ 減らす",""))))))))</f>
        <v/>
      </c>
      <c r="CJ395">
        <f>IF($C395="","",IF(AND($S395="",$T395=""),"",IF($S395="","⚠ 2便目：入庫日を ▼ から選んでください",IF(NOT(ISNUMBER($S395)),"⚠ 2便目：入庫日は ▼ から選んでください",IF($S395&lt;N('設定'!$C$6),"⚠ 2便目：入庫日が過去です（もう在庫に入っています）→ 消してください",IF($S395&gt;N('設定'!$C$6)+13,"⚠ 2便目：入庫日が14日より先です",IF(N($T395)&lt;=0,"⚠ 2便目：入庫数を入れてください",IF($CH395&gt;0,"⚠ 2便目：定数を "&amp;$CH395&amp;" ケース超える → 減らす",""))))))))</f>
        <v/>
      </c>
      <c r="CK395">
        <f>IF(AND($CI395="",N($Q395)&gt;0,ISNUMBER($P395)),1,0)</f>
        <v/>
      </c>
      <c r="CL395">
        <f>IF(AND($CJ395="",N($T395)&gt;0,ISNUMBER($S395)),1,0)</f>
        <v/>
      </c>
      <c r="CM395">
        <f>IF(OR($CK395=1,$CL395=1),1,0)</f>
        <v/>
      </c>
      <c r="CN395">
        <f>IF($C395="",0,($CK395*$R395+$CL395*$U395)*N($H395))</f>
        <v/>
      </c>
      <c r="CO395">
        <f>IF($C395="","",IF($CC395="","入庫後は 14日以上もつ",IF($CC395-N('設定'!$C$7)&lt;='設定'!$C$6,"入庫後も "&amp;TEXT($CC395,"m/d")&amp;"("&amp;CHOOSE(WEEKDAY($CC395),"日","月","火","水","木","金","土")&amp;")"&amp;" に切れる　もう1便を至急発注","入庫後も "&amp;TEXT($CC395,"m/d")&amp;"("&amp;CHOOSE(WEEKDAY($CC395),"日","月","火","水","木","金","土")&amp;")"&amp;" に切れる　"&amp;TEXT($CC395-N('設定'!$C$7),"m/d")&amp;"("&amp;CHOOSE(WEEKDAY($CC395-N('設定'!$C$7)),"日","月","火","水","木","金","土")&amp;")"&amp;" までに次を発注")))</f>
        <v/>
      </c>
      <c r="CP395">
        <f>IF($C395="","",IF('設定'!$C$6="","？ ①在庫を貼る に今日のCSVが貼られていない",IF($CS395=1,"－ 今日のCSVに無い（終売？）",IF($L395&lt;0,"● 在庫がマイナス　数えて「数えた在庫」に入れる",IF($L395=0,"● 在庫なし　至急発注",IF($M395="","？ 減り数が未設定（商品マスタ）",IF($B$3=0,"？ 動員が未入力（動員を入れる）",IF($CA395="","○ 14日以上もつ",IF($BZ395&lt;N('設定'!$C$7),"● "&amp;TEXT($CA395,"m/d")&amp;"("&amp;CHOOSE(WEEKDAY($CA395),"日","月","火","水","木","金","土")&amp;")"&amp;" に切れる　至急発注",IF($BZ395=N('設定'!$C$7),"● "&amp;TEXT($CA395,"m/d")&amp;"("&amp;CHOOSE(WEEKDAY($CA395),"日","月","火","水","木","金","土")&amp;")"&amp;" に切れる　今日発注","△ "&amp;TEXT($CA395,"m/d")&amp;"("&amp;CHOOSE(WEEKDAY($CA395),"日","月","火","水","木","金","土")&amp;")"&amp;" に切れる　"&amp;TEXT($CA395-N('設定'!$C$7),"m/d")&amp;"("&amp;CHOOSE(WEEKDAY($CA395-N('設定'!$C$7)),"日","月","火","水","木","金","土")&amp;")"&amp;" までに発注"))))))))))</f>
        <v/>
      </c>
      <c r="CQ395">
        <f>IF($C395="","",IF(AND($P395="",$Q395="",$S395="",$T395=""),"",IF(AND($P395="",$Q395=""),"⚠ 先に1便目（左の入庫日・入庫数）に入れてください",IF($CI395&lt;&gt;"",$CI395,IF($CJ395&lt;&gt;"",$CJ395,IF($M395="","？ 減り数が未設定（発注書には載ります）",IF($B$3=0,"？ 動員が未入力（発注書には載ります）",IF(AND($CA395&lt;&gt;"",$P395&gt;$CA395),IF($P395&gt;'設定'!$C$6+N('設定'!$C$7),"● "&amp;TEXT($P395,"m/d")&amp;"("&amp;CHOOSE(WEEKDAY($P395),"日","月","火","水","木","金","土")&amp;")"&amp;" の入庫では間に合わない（"&amp;TEXT($CA395,"m/d")&amp;"("&amp;CHOOSE(WEEKDAY($CA395),"日","月","火","水","木","金","土")&amp;")"&amp;" に切れる）　入庫日を早める","△ 欠品 "&amp;TEXT($CA395,"m/d")&amp;"("&amp;CHOOSE(WEEKDAY($CA395),"日","月","火","水","木","金","土")&amp;")"&amp;"〜"&amp;TEXT($P395-1,"m/d")&amp;"("&amp;CHOOSE(WEEKDAY($P395-1),"日","月","火","水","木","金","土")&amp;")"&amp;"　"&amp;$CO395),IF($CC395="","○ "&amp;TEXT($P395,"m/d")&amp;"("&amp;CHOOSE(WEEKDAY($P395),"日","月","火","水","木","金","土")&amp;")"&amp;" 入庫で 14日以上もつ",IF($CC395-N('設定'!$C$7)&lt;='設定'!$C$6,"● 入庫しても "&amp;TEXT($CC395,"m/d")&amp;"("&amp;CHOOSE(WEEKDAY($CC395),"日","月","火","水","木","金","土")&amp;")"&amp;" に切れる　もう1便を至急発注（2便目に入れる）","△ 入庫しても "&amp;TEXT($CC395,"m/d")&amp;"("&amp;CHOOSE(WEEKDAY($CC395),"日","月","火","水","木","金","土")&amp;")"&amp;" に切れる　"&amp;TEXT($CC395-N('設定'!$C$7),"m/d")&amp;"("&amp;CHOOSE(WEEKDAY($CC395-N('設定'!$C$7)),"日","月","火","水","木","金","土")&amp;")"&amp;" までに次を発注（2便目に入れる）"))))))))))</f>
        <v/>
      </c>
      <c r="CR395">
        <f>IF($C395="","",IF($G395&gt;1,"ｹｰｽ("&amp;$G395&amp;"入)","個"))</f>
        <v/>
      </c>
      <c r="CS395">
        <f>IF($C395="",0,IF(COUNTIFS('①在庫を貼る'!$V$6:$V$10005,'設定'!$C$4,'①在庫を貼る'!$W$6:$W$10005,$C395)=0,1,0))</f>
        <v/>
      </c>
      <c r="CT395">
        <f>IF(AND($CK395=1,OR('③発注書'!$C$4="すべて",'③発注書'!$C$4="",$F395='③発注書'!$C$4)),N($CT394)+1,N($CT394))</f>
        <v/>
      </c>
      <c r="CU395">
        <f>IF(AND($CL395=1,OR('③発注書'!$C$4="すべて",'③発注書'!$C$4="",$F395='③発注書'!$C$4)),N($CU394)+1,N($CU394))</f>
        <v/>
      </c>
      <c r="CV395">
        <f>IF($C395="",0,IF(COUNTIFS('①在庫を貼る'!$V$6:$V$10005,'設定'!$C$4,'①在庫を貼る'!$W$6:$W$10005,$C395)&gt;0,1,0))</f>
        <v/>
      </c>
      <c r="CW395">
        <f>IF($C395="",0,IF(COUNTIFS('月1回_1ヶ月前の在庫'!$V$6:$V$10005,'設定'!$C$4,'月1回_1ヶ月前の在庫'!$W$6:$W$10005,$C395)&gt;0,1,0))</f>
        <v/>
      </c>
      <c r="CX395">
        <f>IF($C395="",0,IF(COUNTIFS('月1回_2ヶ月前の在庫'!$V$6:$V$10005,'設定'!$C$4,'月1回_2ヶ月前の在庫'!$W$6:$W$10005,$C395)&gt;0,1,0))</f>
        <v/>
      </c>
      <c r="CY395">
        <f>IF(OR($C395="",'設定'!$C$12=""),"",IF('設定'!$C$13="",IF(AND($CV395=1,$CW395=0),"新商品（今月から）",IF(AND($CV395=0,$CW395=1),"終売（今月から）","")),IF(AND($CV395=1,$CW395=0,$CX395=0),"新商品（今月から）",IF(AND($CV395=1,$CW395=1,$CX395=0),"新商品（先月から）",IF(AND($CV395=0,$CW395=1,$CX395=1),"終売（今月から）",IF(AND($CV395=0,$CW395=0,$CX395=1),"終売（先月から）",IF(AND($CV395=1,$CW395=0,$CX395=1),"復活（先月は無し）","")))))))</f>
        <v/>
      </c>
    </row>
    <row r="396">
      <c r="B396">
        <f>IF(391&lt;='設定'!$C$11,391,"")</f>
        <v/>
      </c>
      <c r="C396">
        <f>IF($B396="","",IF($B396&lt;='設定'!$C$20,INDEX('商品マスタ'!$B$6:$B$1005,MATCH($B396,'商品マスタ'!$M$6:$M$1005,0)),IF($B396&lt;='設定'!$C$20+'設定'!$C$17,INDEX('①在庫を貼る'!$W$6:$W$10005,MATCH($B396-'設定'!$C$20,'①在庫を貼る'!$U$6:$U$10005,0)),IF($B396&lt;='設定'!$C$20+'設定'!$C$17+'設定'!$C$18,INDEX('月1回_1ヶ月前の在庫'!$W$6:$W$10005,MATCH($B396-'設定'!$C$20-'設定'!$C$17,'月1回_1ヶ月前の在庫'!$U$6:$U$10005,0)),INDEX('月1回_2ヶ月前の在庫'!$W$6:$W$10005,MATCH($B396-'設定'!$C$20-'設定'!$C$17-'設定'!$C$18,'月1回_2ヶ月前の在庫'!$U$6:$U$10005,0))))))</f>
        <v/>
      </c>
      <c r="D396">
        <f>IF($C396="","",IFERROR(IF(INDEX('商品マスタ'!$C$6:$C$1005,MATCH($C396,'商品マスタ'!$B$6:$B$1005,0))="",IFERROR(INDEX('①在庫を貼る'!$J$6:$J$10005,MATCH($C396,'①在庫を貼る'!$W$6:$W$10005,0)),IFERROR(INDEX('月1回_1ヶ月前の在庫'!$J$6:$J$10005,MATCH($C396,'月1回_1ヶ月前の在庫'!$W$6:$W$10005,0)),IFERROR(INDEX('月1回_2ヶ月前の在庫'!$J$6:$J$10005,MATCH($C396,'月1回_2ヶ月前の在庫'!$W$6:$W$10005,0)),""))),INDEX('商品マスタ'!$C$6:$C$1005,MATCH($C396,'商品マスタ'!$B$6:$B$1005,0))),IFERROR(INDEX('①在庫を貼る'!$J$6:$J$10005,MATCH($C396,'①在庫を貼る'!$W$6:$W$10005,0)),IFERROR(INDEX('月1回_1ヶ月前の在庫'!$J$6:$J$10005,MATCH($C396,'月1回_1ヶ月前の在庫'!$W$6:$W$10005,0)),IFERROR(INDEX('月1回_2ヶ月前の在庫'!$J$6:$J$10005,MATCH($C396,'月1回_2ヶ月前の在庫'!$W$6:$W$10005,0)),"")))))</f>
        <v/>
      </c>
      <c r="E396">
        <f>IF($C396="","",IFERROR(IF(INDEX('商品マスタ'!$D$6:$D$1005,MATCH($C396,'商品マスタ'!$B$6:$B$1005,0))="",IFERROR(INDEX('①在庫を貼る'!$H$6:$H$10005,MATCH($C396,'①在庫を貼る'!$W$6:$W$10005,0)),IFERROR(INDEX('月1回_1ヶ月前の在庫'!$H$6:$H$10005,MATCH($C396,'月1回_1ヶ月前の在庫'!$W$6:$W$10005,0)),IFERROR(INDEX('月1回_2ヶ月前の在庫'!$H$6:$H$10005,MATCH($C396,'月1回_2ヶ月前の在庫'!$W$6:$W$10005,0)),""))),INDEX('商品マスタ'!$D$6:$D$1005,MATCH($C396,'商品マスタ'!$B$6:$B$1005,0))),IFERROR(INDEX('①在庫を貼る'!$H$6:$H$10005,MATCH($C396,'①在庫を貼る'!$W$6:$W$10005,0)),IFERROR(INDEX('月1回_1ヶ月前の在庫'!$H$6:$H$10005,MATCH($C396,'月1回_1ヶ月前の在庫'!$W$6:$W$10005,0)),IFERROR(INDEX('月1回_2ヶ月前の在庫'!$H$6:$H$10005,MATCH($C396,'月1回_2ヶ月前の在庫'!$W$6:$W$10005,0)),"")))))</f>
        <v/>
      </c>
      <c r="F396">
        <f>IF($C396="","",IFERROR(IF(INDEX('商品マスタ'!$E$6:$E$1005,MATCH($C396,'商品マスタ'!$B$6:$B$1005,0))="",IFERROR(INDEX('①在庫を貼る'!$E$6:$E$10005,MATCH($C396,'①在庫を貼る'!$W$6:$W$10005,0)),IFERROR(INDEX('月1回_1ヶ月前の在庫'!$E$6:$E$10005,MATCH($C396,'月1回_1ヶ月前の在庫'!$W$6:$W$10005,0)),IFERROR(INDEX('月1回_2ヶ月前の在庫'!$E$6:$E$10005,MATCH($C396,'月1回_2ヶ月前の在庫'!$W$6:$W$10005,0)),""))),INDEX('商品マスタ'!$E$6:$E$1005,MATCH($C396,'商品マスタ'!$B$6:$B$1005,0))),IFERROR(INDEX('①在庫を貼る'!$E$6:$E$10005,MATCH($C396,'①在庫を貼る'!$W$6:$W$10005,0)),IFERROR(INDEX('月1回_1ヶ月前の在庫'!$E$6:$E$10005,MATCH($C396,'月1回_1ヶ月前の在庫'!$W$6:$W$10005,0)),IFERROR(INDEX('月1回_2ヶ月前の在庫'!$E$6:$E$10005,MATCH($C396,'月1回_2ヶ月前の在庫'!$W$6:$W$10005,0)),"")))))</f>
        <v/>
      </c>
      <c r="G396">
        <f>IF($C396="","",MAX(1,N(IFERROR(IF(INDEX('商品マスタ'!$F$6:$F$1005,MATCH($C396,'商品マスタ'!$B$6:$B$1005,0))="",IF(COUNTIFS('①在庫を貼る'!$V$6:$V$10005,'設定'!$C$4,'①在庫を貼る'!$W$6:$W$10005,$C396)&gt;0,SUMIFS('①在庫を貼る'!$K$6:$K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K$6:$K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K$6:$K$10005,'月1回_2ヶ月前の在庫'!$V$6:$V$10005,'設定'!$C$4,'月1回_2ヶ月前の在庫'!$W$6:$W$10005,$C396)/COUNTIFS('月1回_2ヶ月前の在庫'!$V$6:$V$10005,'設定'!$C$4,'月1回_2ヶ月前の在庫'!$W$6:$W$10005,$C396),0))),INDEX('商品マスタ'!$F$6:$F$1005,MATCH($C396,'商品マスタ'!$B$6:$B$1005,0))),IF(COUNTIFS('①在庫を貼る'!$V$6:$V$10005,'設定'!$C$4,'①在庫を貼る'!$W$6:$W$10005,$C396)&gt;0,SUMIFS('①在庫を貼る'!$K$6:$K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K$6:$K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K$6:$K$10005,'月1回_2ヶ月前の在庫'!$V$6:$V$10005,'設定'!$C$4,'月1回_2ヶ月前の在庫'!$W$6:$W$10005,$C396)/COUNTIFS('月1回_2ヶ月前の在庫'!$V$6:$V$10005,'設定'!$C$4,'月1回_2ヶ月前の在庫'!$W$6:$W$10005,$C396),0)))))))</f>
        <v/>
      </c>
      <c r="H396">
        <f>IF($C396="","",N(IFERROR(IF(INDEX('商品マスタ'!$G$6:$G$1005,MATCH($C396,'商品マスタ'!$B$6:$B$1005,0))="",IF(COUNTIFS('①在庫を貼る'!$V$6:$V$10005,'設定'!$C$4,'①在庫を貼る'!$W$6:$W$10005,$C396)&gt;0,SUMIFS('①在庫を貼る'!$Q$6:$Q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Q$6:$Q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Q$6:$Q$10005,'月1回_2ヶ月前の在庫'!$V$6:$V$10005,'設定'!$C$4,'月1回_2ヶ月前の在庫'!$W$6:$W$10005,$C396)/COUNTIFS('月1回_2ヶ月前の在庫'!$V$6:$V$10005,'設定'!$C$4,'月1回_2ヶ月前の在庫'!$W$6:$W$10005,$C396),0))),INDEX('商品マスタ'!$G$6:$G$1005,MATCH($C396,'商品マスタ'!$B$6:$B$1005,0))),IF(COUNTIFS('①在庫を貼る'!$V$6:$V$10005,'設定'!$C$4,'①在庫を貼る'!$W$6:$W$10005,$C396)&gt;0,SUMIFS('①在庫を貼る'!$Q$6:$Q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Q$6:$Q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Q$6:$Q$10005,'月1回_2ヶ月前の在庫'!$V$6:$V$10005,'設定'!$C$4,'月1回_2ヶ月前の在庫'!$W$6:$W$10005,$C396)/COUNTIFS('月1回_2ヶ月前の在庫'!$V$6:$V$10005,'設定'!$C$4,'月1回_2ヶ月前の在庫'!$W$6:$W$10005,$C396),0))))))</f>
        <v/>
      </c>
      <c r="I396">
        <f>IF($C396="","",IF(COUNTIFS('①在庫を貼る'!$V$6:$V$10005,'設定'!$C$4,'①在庫を貼る'!$W$6:$W$10005,$C396)=0,"",SUMIFS('①在庫を貼る'!$N$6:$N$10005,'①在庫を貼る'!$V$6:$V$10005,'設定'!$C$4,'①在庫を貼る'!$W$6:$W$10005,$C396)))</f>
        <v/>
      </c>
      <c r="J396">
        <f>IF($C396="","",IF('②発注する'!$AD400="","",'②発注する'!$AD400))</f>
        <v/>
      </c>
      <c r="K396" s="90">
        <f>IF($C396="","",IF('②発注する'!$AE400="","",'②発注する'!$AE400))</f>
        <v/>
      </c>
      <c r="L396">
        <f>IF($C396="","",IF(AND(ISNUMBER($J396),ISNUMBER($K396),$K396&gt;='設定'!$C$6),$J396,N($I396)))</f>
        <v/>
      </c>
      <c r="M396">
        <f>IF($C396="","",IFERROR(IF(N(INDEX('商品マスタ'!$J$6:$J$1005,MATCH($C396,'商品マスタ'!$B$6:$B$1005,0)))&gt;0,INDEX('商品マスタ'!$J$6:$J$1005,MATCH($C396,'商品マスタ'!$B$6:$B$1005,0)),""),""))</f>
        <v/>
      </c>
      <c r="N396">
        <f>IF($C396="","",IFERROR(IF(N(INDEX('商品マスタ'!$H$6:$H$1005,MATCH($C396,'商品マスタ'!$B$6:$B$1005,0)))&gt;0,INDEX('商品マスタ'!$H$6:$H$1005,MATCH($C396,'商品マスタ'!$B$6:$B$1005,0)),""),""))</f>
        <v/>
      </c>
      <c r="O396">
        <f>IF($C396="","",IF($N396&lt;&gt;"",$N396*$G396,IF(N(IF(COUNTIFS('①在庫を貼る'!$V$6:$V$10005,'設定'!$C$4,'①在庫を貼る'!$W$6:$W$10005,$C396)&gt;0,SUMIFS('①在庫を貼る'!$O$6:$O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O$6:$O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O$6:$O$10005,'月1回_2ヶ月前の在庫'!$V$6:$V$10005,'設定'!$C$4,'月1回_2ヶ月前の在庫'!$W$6:$W$10005,$C396)/COUNTIFS('月1回_2ヶ月前の在庫'!$V$6:$V$10005,'設定'!$C$4,'月1回_2ヶ月前の在庫'!$W$6:$W$10005,$C396),0))))&gt;0,N(IF(COUNTIFS('①在庫を貼る'!$V$6:$V$10005,'設定'!$C$4,'①在庫を貼る'!$W$6:$W$10005,$C396)&gt;0,SUMIFS('①在庫を貼る'!$O$6:$O$10005,'①在庫を貼る'!$V$6:$V$10005,'設定'!$C$4,'①在庫を貼る'!$W$6:$W$10005,$C396)/COUNTIFS('①在庫を貼る'!$V$6:$V$10005,'設定'!$C$4,'①在庫を貼る'!$W$6:$W$10005,$C396),IF(COUNTIFS('月1回_1ヶ月前の在庫'!$V$6:$V$10005,'設定'!$C$4,'月1回_1ヶ月前の在庫'!$W$6:$W$10005,$C396)&gt;0,SUMIFS('月1回_1ヶ月前の在庫'!$O$6:$O$10005,'月1回_1ヶ月前の在庫'!$V$6:$V$10005,'設定'!$C$4,'月1回_1ヶ月前の在庫'!$W$6:$W$10005,$C396)/COUNTIFS('月1回_1ヶ月前の在庫'!$V$6:$V$10005,'設定'!$C$4,'月1回_1ヶ月前の在庫'!$W$6:$W$10005,$C396),IF(COUNTIFS('月1回_2ヶ月前の在庫'!$V$6:$V$10005,'設定'!$C$4,'月1回_2ヶ月前の在庫'!$W$6:$W$10005,$C396)&gt;0,SUMIFS('月1回_2ヶ月前の在庫'!$O$6:$O$10005,'月1回_2ヶ月前の在庫'!$V$6:$V$10005,'設定'!$C$4,'月1回_2ヶ月前の在庫'!$W$6:$W$10005,$C396)/COUNTIFS('月1回_2ヶ月前の在庫'!$V$6:$V$10005,'設定'!$C$4,'月1回_2ヶ月前の在庫'!$W$6:$W$10005,$C396),0)))),"")))</f>
        <v/>
      </c>
      <c r="P396" s="90">
        <f>IF($C396="","",IF('②発注する'!$I400="","",'②発注する'!$I400))</f>
        <v/>
      </c>
      <c r="Q396">
        <f>IF($C396="","",IF('②発注する'!$J400="","",'②発注する'!$J400))</f>
        <v/>
      </c>
      <c r="R396">
        <f>IF($C396="",0,IF(AND(ISNUMBER($P396),ISNUMBER($Q396)),MAX(0,$Q396)*$G396,0))</f>
        <v/>
      </c>
      <c r="S396" s="90">
        <f>IF($C396="","",IF('②発注する'!$M400="","",'②発注する'!$M400))</f>
        <v/>
      </c>
      <c r="T396">
        <f>IF($C396="","",IF('②発注する'!$N400="","",'②発注する'!$N400))</f>
        <v/>
      </c>
      <c r="U396">
        <f>IF($C396="",0,IF(AND(ISNUMBER($S396),ISNUMBER($T396)),MAX(0,$T396)*$G396,0))</f>
        <v/>
      </c>
      <c r="V396">
        <f>IF($C396="",0,IF($M396="",0,MAX(0,$M396)*MAX(0,V$4)/100))</f>
        <v/>
      </c>
      <c r="W396">
        <f>IF($C396="",0,IF($M396="",0,MAX(0,$M396)*MAX(0,W$4)/100))</f>
        <v/>
      </c>
      <c r="X396">
        <f>IF($C396="",0,IF($M396="",0,MAX(0,$M396)*MAX(0,X$4)/100))</f>
        <v/>
      </c>
      <c r="Y396">
        <f>IF($C396="",0,IF($M396="",0,MAX(0,$M396)*MAX(0,Y$4)/100))</f>
        <v/>
      </c>
      <c r="Z396">
        <f>IF($C396="",0,IF($M396="",0,MAX(0,$M396)*MAX(0,Z$4)/100))</f>
        <v/>
      </c>
      <c r="AA396">
        <f>IF($C396="",0,IF($M396="",0,MAX(0,$M396)*MAX(0,AA$4)/100))</f>
        <v/>
      </c>
      <c r="AB396">
        <f>IF($C396="",0,IF($M396="",0,MAX(0,$M396)*MAX(0,AB$4)/100))</f>
        <v/>
      </c>
      <c r="AC396">
        <f>IF($C396="",0,IF($M396="",0,MAX(0,$M396)*MAX(0,AC$4)/100))</f>
        <v/>
      </c>
      <c r="AD396">
        <f>IF($C396="",0,IF($M396="",0,MAX(0,$M396)*MAX(0,AD$4)/100))</f>
        <v/>
      </c>
      <c r="AE396">
        <f>IF($C396="",0,IF($M396="",0,MAX(0,$M396)*MAX(0,AE$4)/100))</f>
        <v/>
      </c>
      <c r="AF396">
        <f>IF($C396="",0,IF($M396="",0,MAX(0,$M396)*MAX(0,AF$4)/100))</f>
        <v/>
      </c>
      <c r="AG396">
        <f>IF($C396="",0,IF($M396="",0,MAX(0,$M396)*MAX(0,AG$4)/100))</f>
        <v/>
      </c>
      <c r="AH396">
        <f>IF($C396="",0,IF($M396="",0,MAX(0,$M396)*MAX(0,AH$4)/100))</f>
        <v/>
      </c>
      <c r="AI396">
        <f>IF($C396="",0,IF($M396="",0,MAX(0,$M396)*MAX(0,AI$4)/100))</f>
        <v/>
      </c>
      <c r="AJ396">
        <f>IF($C396="",0,MAX(0,MAX(0,N($L396))-$V396))</f>
        <v/>
      </c>
      <c r="AK396">
        <f>IF($C396="",0,MAX(0,$AJ396-$W396))</f>
        <v/>
      </c>
      <c r="AL396">
        <f>IF($C396="",0,MAX(0,$AK396-$X396))</f>
        <v/>
      </c>
      <c r="AM396">
        <f>IF($C396="",0,MAX(0,$AL396-$Y396))</f>
        <v/>
      </c>
      <c r="AN396">
        <f>IF($C396="",0,MAX(0,$AM396-$Z396))</f>
        <v/>
      </c>
      <c r="AO396">
        <f>IF($C396="",0,MAX(0,$AN396-$AA396))</f>
        <v/>
      </c>
      <c r="AP396">
        <f>IF($C396="",0,MAX(0,$AO396-$AB396))</f>
        <v/>
      </c>
      <c r="AQ396">
        <f>IF($C396="",0,MAX(0,$AP396-$AC396))</f>
        <v/>
      </c>
      <c r="AR396">
        <f>IF($C396="",0,MAX(0,$AQ396-$AD396))</f>
        <v/>
      </c>
      <c r="AS396">
        <f>IF($C396="",0,MAX(0,$AR396-$AE396))</f>
        <v/>
      </c>
      <c r="AT396">
        <f>IF($C396="",0,MAX(0,$AS396-$AF396))</f>
        <v/>
      </c>
      <c r="AU396">
        <f>IF($C396="",0,MAX(0,$AT396-$AG396))</f>
        <v/>
      </c>
      <c r="AV396">
        <f>IF($C396="",0,MAX(0,$AU396-$AH396))</f>
        <v/>
      </c>
      <c r="AW396">
        <f>IF($C396="",0,MAX(0,$AV396-$AI396))</f>
        <v/>
      </c>
      <c r="AX396">
        <f>IF($C396="",0,MAX(0,MAX(0,N($L396))+IF($P396=V$3,$R396,0)+IF($S396=V$3,$U396,0)-$V396))</f>
        <v/>
      </c>
      <c r="AY396">
        <f>IF($C396="",0,MAX(0,$AX396+IF($P396=W$3,$R396,0)+IF($S396=W$3,$U396,0)-$W396))</f>
        <v/>
      </c>
      <c r="AZ396">
        <f>IF($C396="",0,MAX(0,$AY396+IF($P396=X$3,$R396,0)+IF($S396=X$3,$U396,0)-$X396))</f>
        <v/>
      </c>
      <c r="BA396">
        <f>IF($C396="",0,MAX(0,$AZ396+IF($P396=Y$3,$R396,0)+IF($S396=Y$3,$U396,0)-$Y396))</f>
        <v/>
      </c>
      <c r="BB396">
        <f>IF($C396="",0,MAX(0,$BA396+IF($P396=Z$3,$R396,0)+IF($S396=Z$3,$U396,0)-$Z396))</f>
        <v/>
      </c>
      <c r="BC396">
        <f>IF($C396="",0,MAX(0,$BB396+IF($P396=AA$3,$R396,0)+IF($S396=AA$3,$U396,0)-$AA396))</f>
        <v/>
      </c>
      <c r="BD396">
        <f>IF($C396="",0,MAX(0,$BC396+IF($P396=AB$3,$R396,0)+IF($S396=AB$3,$U396,0)-$AB396))</f>
        <v/>
      </c>
      <c r="BE396">
        <f>IF($C396="",0,MAX(0,$BD396+IF($P396=AC$3,$R396,0)+IF($S396=AC$3,$U396,0)-$AC396))</f>
        <v/>
      </c>
      <c r="BF396">
        <f>IF($C396="",0,MAX(0,$BE396+IF($P396=AD$3,$R396,0)+IF($S396=AD$3,$U396,0)-$AD396))</f>
        <v/>
      </c>
      <c r="BG396">
        <f>IF($C396="",0,MAX(0,$BF396+IF($P396=AE$3,$R396,0)+IF($S396=AE$3,$U396,0)-$AE396))</f>
        <v/>
      </c>
      <c r="BH396">
        <f>IF($C396="",0,MAX(0,$BG396+IF($P396=AF$3,$R396,0)+IF($S396=AF$3,$U396,0)-$AF396))</f>
        <v/>
      </c>
      <c r="BI396">
        <f>IF($C396="",0,MAX(0,$BH396+IF($P396=AG$3,$R396,0)+IF($S396=AG$3,$U396,0)-$AG396))</f>
        <v/>
      </c>
      <c r="BJ396">
        <f>IF($C396="",0,MAX(0,$BI396+IF($P396=AH$3,$R396,0)+IF($S396=AH$3,$U396,0)-$AH396))</f>
        <v/>
      </c>
      <c r="BK396">
        <f>IF($C396="",0,MAX(0,$BJ396+IF($P396=AI$3,$R396,0)+IF($S396=AI$3,$U396,0)-$AI396))</f>
        <v/>
      </c>
      <c r="BL396">
        <f>IF($C396="",99,IF(AND($AX396&lt;1,V$3&gt;=MAX(N($P396),N($S396))),0,99))</f>
        <v/>
      </c>
      <c r="BM396">
        <f>IF($C396="",99,IF(AND($AY396&lt;1,W$3&gt;=MAX(N($P396),N($S396))),1,99))</f>
        <v/>
      </c>
      <c r="BN396">
        <f>IF($C396="",99,IF(AND($AZ396&lt;1,X$3&gt;=MAX(N($P396),N($S396))),2,99))</f>
        <v/>
      </c>
      <c r="BO396">
        <f>IF($C396="",99,IF(AND($BA396&lt;1,Y$3&gt;=MAX(N($P396),N($S396))),3,99))</f>
        <v/>
      </c>
      <c r="BP396">
        <f>IF($C396="",99,IF(AND($BB396&lt;1,Z$3&gt;=MAX(N($P396),N($S396))),4,99))</f>
        <v/>
      </c>
      <c r="BQ396">
        <f>IF($C396="",99,IF(AND($BC396&lt;1,AA$3&gt;=MAX(N($P396),N($S396))),5,99))</f>
        <v/>
      </c>
      <c r="BR396">
        <f>IF($C396="",99,IF(AND($BD396&lt;1,AB$3&gt;=MAX(N($P396),N($S396))),6,99))</f>
        <v/>
      </c>
      <c r="BS396">
        <f>IF($C396="",99,IF(AND($BE396&lt;1,AC$3&gt;=MAX(N($P396),N($S396))),7,99))</f>
        <v/>
      </c>
      <c r="BT396">
        <f>IF($C396="",99,IF(AND($BF396&lt;1,AD$3&gt;=MAX(N($P396),N($S396))),8,99))</f>
        <v/>
      </c>
      <c r="BU396">
        <f>IF($C396="",99,IF(AND($BG396&lt;1,AE$3&gt;=MAX(N($P396),N($S396))),9,99))</f>
        <v/>
      </c>
      <c r="BV396">
        <f>IF($C396="",99,IF(AND($BH396&lt;1,AF$3&gt;=MAX(N($P396),N($S396))),10,99))</f>
        <v/>
      </c>
      <c r="BW396">
        <f>IF($C396="",99,IF(AND($BI396&lt;1,AG$3&gt;=MAX(N($P396),N($S396))),11,99))</f>
        <v/>
      </c>
      <c r="BX396">
        <f>IF($C396="",99,IF(AND($BJ396&lt;1,AH$3&gt;=MAX(N($P396),N($S396))),12,99))</f>
        <v/>
      </c>
      <c r="BY396">
        <f>IF($C396="",99,IF(AND($BK396&lt;1,AI$3&gt;=MAX(N($P396),N($S396))),13,99))</f>
        <v/>
      </c>
      <c r="BZ396">
        <f>IF(OR($C396="",$M396=""),"",COUNTIF($AJ396:$AW396,"&gt;=1"))</f>
        <v/>
      </c>
      <c r="CA396" s="90">
        <f>IF($BZ396="","",IF($BZ396&gt;=14,"",'設定'!$C$6+$BZ396))</f>
        <v/>
      </c>
      <c r="CB396">
        <f>IF(OR($C396="",$M396=""),"",MIN($BL396:$BY396))</f>
        <v/>
      </c>
      <c r="CC396" s="90">
        <f>IF($CB396="","",IF($CB396&gt;=99,"",'設定'!$C$6+$CB396))</f>
        <v/>
      </c>
      <c r="CD396">
        <f>IF(OR($C396="",$M396=""),"",AVERAGE($V396:$AI396))</f>
        <v/>
      </c>
      <c r="CE396">
        <f>IF($C396="","",IFERROR(IF(MATCH(IF(ISNUMBER($P396),$P396,'設定'!$C$6+N('設定'!$C$7)),$V$3:$AI$3,0)=1,MAX(0,N($L396)),INDEX($AJ396:$AW396,MATCH(IF(ISNUMBER($P396),$P396,'設定'!$C$6+N('設定'!$C$7)),$V$3:$AI$3,0)-1)),""))</f>
        <v/>
      </c>
      <c r="CF396">
        <f>IF(OR($C396="",$O396="",$CE396=""),"",IF($O396-$CE396&lt;=0,0,ROUNDUP(($O396-$CE396)/$G396,0)))</f>
        <v/>
      </c>
      <c r="CG396">
        <f>IF(OR($C396="",$CF396="",NOT(ISNUMBER($Q396))),0,MAX(0,$Q396-$CF396))</f>
        <v/>
      </c>
      <c r="CH396">
        <f>IF(OR($C396="",$O396="",$U396=0),0,IFERROR(ROUNDUP(MAX(0,IF(MATCH($S396,$V$3:$AI$3,0)=1,MAX(0,N($L396)),INDEX($AX396:$BK396,MATCH($S396,$V$3:$AI$3,0)-1))+$U396-$O396)/$G396,0),0))</f>
        <v/>
      </c>
      <c r="CI396">
        <f>IF($C396="","",IF(AND($P396="",$Q396=""),"",IF($P396="","⚠ 入庫日を ▼ から選んでください",IF(NOT(ISNUMBER($P396)),"⚠ 入庫日は ▼ から選んでください",IF($P396&lt;N('設定'!$C$6),"⚠ 入庫日が過去です（もう在庫に入っています）→ 消してください",IF($P396&gt;N('設定'!$C$6)+13,"⚠ 入庫日が14日より先です",IF(N($Q396)&lt;=0,"⚠ 入庫数を入れてください",IF($CG396&gt;0,"⚠ 目安より "&amp;$CG396&amp;" 多い（定数を超える）→ 減らす",""))))))))</f>
        <v/>
      </c>
      <c r="CJ396">
        <f>IF($C396="","",IF(AND($S396="",$T396=""),"",IF($S396="","⚠ 2便目：入庫日を ▼ から選んでください",IF(NOT(ISNUMBER($S396)),"⚠ 2便目：入庫日は ▼ から選んでください",IF($S396&lt;N('設定'!$C$6),"⚠ 2便目：入庫日が過去です（もう在庫に入っています）→ 消してください",IF($S396&gt;N('設定'!$C$6)+13,"⚠ 2便目：入庫日が14日より先です",IF(N($T396)&lt;=0,"⚠ 2便目：入庫数を入れてください",IF($CH396&gt;0,"⚠ 2便目：定数を "&amp;$CH396&amp;" ケース超える → 減らす",""))))))))</f>
        <v/>
      </c>
      <c r="CK396">
        <f>IF(AND($CI396="",N($Q396)&gt;0,ISNUMBER($P396)),1,0)</f>
        <v/>
      </c>
      <c r="CL396">
        <f>IF(AND($CJ396="",N($T396)&gt;0,ISNUMBER($S396)),1,0)</f>
        <v/>
      </c>
      <c r="CM396">
        <f>IF(OR($CK396=1,$CL396=1),1,0)</f>
        <v/>
      </c>
      <c r="CN396">
        <f>IF($C396="",0,($CK396*$R396+$CL396*$U396)*N($H396))</f>
        <v/>
      </c>
      <c r="CO396">
        <f>IF($C396="","",IF($CC396="","入庫後は 14日以上もつ",IF($CC396-N('設定'!$C$7)&lt;='設定'!$C$6,"入庫後も "&amp;TEXT($CC396,"m/d")&amp;"("&amp;CHOOSE(WEEKDAY($CC396),"日","月","火","水","木","金","土")&amp;")"&amp;" に切れる　もう1便を至急発注","入庫後も "&amp;TEXT($CC396,"m/d")&amp;"("&amp;CHOOSE(WEEKDAY($CC396),"日","月","火","水","木","金","土")&amp;")"&amp;" に切れる　"&amp;TEXT($CC396-N('設定'!$C$7),"m/d")&amp;"("&amp;CHOOSE(WEEKDAY($CC396-N('設定'!$C$7)),"日","月","火","水","木","金","土")&amp;")"&amp;" までに次を発注")))</f>
        <v/>
      </c>
      <c r="CP396">
        <f>IF($C396="","",IF('設定'!$C$6="","？ ①在庫を貼る に今日のCSVが貼られていない",IF($CS396=1,"－ 今日のCSVに無い（終売？）",IF($L396&lt;0,"● 在庫がマイナス　数えて「数えた在庫」に入れる",IF($L396=0,"● 在庫なし　至急発注",IF($M396="","？ 減り数が未設定（商品マスタ）",IF($B$3=0,"？ 動員が未入力（動員を入れる）",IF($CA396="","○ 14日以上もつ",IF($BZ396&lt;N('設定'!$C$7),"● "&amp;TEXT($CA396,"m/d")&amp;"("&amp;CHOOSE(WEEKDAY($CA396),"日","月","火","水","木","金","土")&amp;")"&amp;" に切れる　至急発注",IF($BZ396=N('設定'!$C$7),"● "&amp;TEXT($CA396,"m/d")&amp;"("&amp;CHOOSE(WEEKDAY($CA396),"日","月","火","水","木","金","土")&amp;")"&amp;" に切れる　今日発注","△ "&amp;TEXT($CA396,"m/d")&amp;"("&amp;CHOOSE(WEEKDAY($CA396),"日","月","火","水","木","金","土")&amp;")"&amp;" に切れる　"&amp;TEXT($CA396-N('設定'!$C$7),"m/d")&amp;"("&amp;CHOOSE(WEEKDAY($CA396-N('設定'!$C$7)),"日","月","火","水","木","金","土")&amp;")"&amp;" までに発注"))))))))))</f>
        <v/>
      </c>
      <c r="CQ396">
        <f>IF($C396="","",IF(AND($P396="",$Q396="",$S396="",$T396=""),"",IF(AND($P396="",$Q396=""),"⚠ 先に1便目（左の入庫日・入庫数）に入れてください",IF($CI396&lt;&gt;"",$CI396,IF($CJ396&lt;&gt;"",$CJ396,IF($M396="","？ 減り数が未設定（発注書には載ります）",IF($B$3=0,"？ 動員が未入力（発注書には載ります）",IF(AND($CA396&lt;&gt;"",$P396&gt;$CA396),IF($P396&gt;'設定'!$C$6+N('設定'!$C$7),"● "&amp;TEXT($P396,"m/d")&amp;"("&amp;CHOOSE(WEEKDAY($P396),"日","月","火","水","木","金","土")&amp;")"&amp;" の入庫では間に合わない（"&amp;TEXT($CA396,"m/d")&amp;"("&amp;CHOOSE(WEEKDAY($CA396),"日","月","火","水","木","金","土")&amp;")"&amp;" に切れる）　入庫日を早める","△ 欠品 "&amp;TEXT($CA396,"m/d")&amp;"("&amp;CHOOSE(WEEKDAY($CA396),"日","月","火","水","木","金","土")&amp;")"&amp;"〜"&amp;TEXT($P396-1,"m/d")&amp;"("&amp;CHOOSE(WEEKDAY($P396-1),"日","月","火","水","木","金","土")&amp;")"&amp;"　"&amp;$CO396),IF($CC396="","○ "&amp;TEXT($P396,"m/d")&amp;"("&amp;CHOOSE(WEEKDAY($P396),"日","月","火","水","木","金","土")&amp;")"&amp;" 入庫で 14日以上もつ",IF($CC396-N('設定'!$C$7)&lt;='設定'!$C$6,"● 入庫しても "&amp;TEXT($CC396,"m/d")&amp;"("&amp;CHOOSE(WEEKDAY($CC396),"日","月","火","水","木","金","土")&amp;")"&amp;" に切れる　もう1便を至急発注（2便目に入れる）","△ 入庫しても "&amp;TEXT($CC396,"m/d")&amp;"("&amp;CHOOSE(WEEKDAY($CC396),"日","月","火","水","木","金","土")&amp;")"&amp;" に切れる　"&amp;TEXT($CC396-N('設定'!$C$7),"m/d")&amp;"("&amp;CHOOSE(WEEKDAY($CC396-N('設定'!$C$7)),"日","月","火","水","木","金","土")&amp;")"&amp;" までに次を発注（2便目に入れる）"))))))))))</f>
        <v/>
      </c>
      <c r="CR396">
        <f>IF($C396="","",IF($G396&gt;1,"ｹｰｽ("&amp;$G396&amp;"入)","個"))</f>
        <v/>
      </c>
      <c r="CS396">
        <f>IF($C396="",0,IF(COUNTIFS('①在庫を貼る'!$V$6:$V$10005,'設定'!$C$4,'①在庫を貼る'!$W$6:$W$10005,$C396)=0,1,0))</f>
        <v/>
      </c>
      <c r="CT396">
        <f>IF(AND($CK396=1,OR('③発注書'!$C$4="すべて",'③発注書'!$C$4="",$F396='③発注書'!$C$4)),N($CT395)+1,N($CT395))</f>
        <v/>
      </c>
      <c r="CU396">
        <f>IF(AND($CL396=1,OR('③発注書'!$C$4="すべて",'③発注書'!$C$4="",$F396='③発注書'!$C$4)),N($CU395)+1,N($CU395))</f>
        <v/>
      </c>
      <c r="CV396">
        <f>IF($C396="",0,IF(COUNTIFS('①在庫を貼る'!$V$6:$V$10005,'設定'!$C$4,'①在庫を貼る'!$W$6:$W$10005,$C396)&gt;0,1,0))</f>
        <v/>
      </c>
      <c r="CW396">
        <f>IF($C396="",0,IF(COUNTIFS('月1回_1ヶ月前の在庫'!$V$6:$V$10005,'設定'!$C$4,'月1回_1ヶ月前の在庫'!$W$6:$W$10005,$C396)&gt;0,1,0))</f>
        <v/>
      </c>
      <c r="CX396">
        <f>IF($C396="",0,IF(COUNTIFS('月1回_2ヶ月前の在庫'!$V$6:$V$10005,'設定'!$C$4,'月1回_2ヶ月前の在庫'!$W$6:$W$10005,$C396)&gt;0,1,0))</f>
        <v/>
      </c>
      <c r="CY396">
        <f>IF(OR($C396="",'設定'!$C$12=""),"",IF('設定'!$C$13="",IF(AND($CV396=1,$CW396=0),"新商品（今月から）",IF(AND($CV396=0,$CW396=1),"終売（今月から）","")),IF(AND($CV396=1,$CW396=0,$CX396=0),"新商品（今月から）",IF(AND($CV396=1,$CW396=1,$CX396=0),"新商品（先月から）",IF(AND($CV396=0,$CW396=1,$CX396=1),"終売（今月から）",IF(AND($CV396=0,$CW396=0,$CX396=1),"終売（先月から）",IF(AND($CV396=1,$CW396=0,$CX396=1),"復活（先月は無し）","")))))))</f>
        <v/>
      </c>
    </row>
    <row r="397">
      <c r="B397">
        <f>IF(392&lt;='設定'!$C$11,392,"")</f>
        <v/>
      </c>
      <c r="C397">
        <f>IF($B397="","",IF($B397&lt;='設定'!$C$20,INDEX('商品マスタ'!$B$6:$B$1005,MATCH($B397,'商品マスタ'!$M$6:$M$1005,0)),IF($B397&lt;='設定'!$C$20+'設定'!$C$17,INDEX('①在庫を貼る'!$W$6:$W$10005,MATCH($B397-'設定'!$C$20,'①在庫を貼る'!$U$6:$U$10005,0)),IF($B397&lt;='設定'!$C$20+'設定'!$C$17+'設定'!$C$18,INDEX('月1回_1ヶ月前の在庫'!$W$6:$W$10005,MATCH($B397-'設定'!$C$20-'設定'!$C$17,'月1回_1ヶ月前の在庫'!$U$6:$U$10005,0)),INDEX('月1回_2ヶ月前の在庫'!$W$6:$W$10005,MATCH($B397-'設定'!$C$20-'設定'!$C$17-'設定'!$C$18,'月1回_2ヶ月前の在庫'!$U$6:$U$10005,0))))))</f>
        <v/>
      </c>
      <c r="D397">
        <f>IF($C397="","",IFERROR(IF(INDEX('商品マスタ'!$C$6:$C$1005,MATCH($C397,'商品マスタ'!$B$6:$B$1005,0))="",IFERROR(INDEX('①在庫を貼る'!$J$6:$J$10005,MATCH($C397,'①在庫を貼る'!$W$6:$W$10005,0)),IFERROR(INDEX('月1回_1ヶ月前の在庫'!$J$6:$J$10005,MATCH($C397,'月1回_1ヶ月前の在庫'!$W$6:$W$10005,0)),IFERROR(INDEX('月1回_2ヶ月前の在庫'!$J$6:$J$10005,MATCH($C397,'月1回_2ヶ月前の在庫'!$W$6:$W$10005,0)),""))),INDEX('商品マスタ'!$C$6:$C$1005,MATCH($C397,'商品マスタ'!$B$6:$B$1005,0))),IFERROR(INDEX('①在庫を貼る'!$J$6:$J$10005,MATCH($C397,'①在庫を貼る'!$W$6:$W$10005,0)),IFERROR(INDEX('月1回_1ヶ月前の在庫'!$J$6:$J$10005,MATCH($C397,'月1回_1ヶ月前の在庫'!$W$6:$W$10005,0)),IFERROR(INDEX('月1回_2ヶ月前の在庫'!$J$6:$J$10005,MATCH($C397,'月1回_2ヶ月前の在庫'!$W$6:$W$10005,0)),"")))))</f>
        <v/>
      </c>
      <c r="E397">
        <f>IF($C397="","",IFERROR(IF(INDEX('商品マスタ'!$D$6:$D$1005,MATCH($C397,'商品マスタ'!$B$6:$B$1005,0))="",IFERROR(INDEX('①在庫を貼る'!$H$6:$H$10005,MATCH($C397,'①在庫を貼る'!$W$6:$W$10005,0)),IFERROR(INDEX('月1回_1ヶ月前の在庫'!$H$6:$H$10005,MATCH($C397,'月1回_1ヶ月前の在庫'!$W$6:$W$10005,0)),IFERROR(INDEX('月1回_2ヶ月前の在庫'!$H$6:$H$10005,MATCH($C397,'月1回_2ヶ月前の在庫'!$W$6:$W$10005,0)),""))),INDEX('商品マスタ'!$D$6:$D$1005,MATCH($C397,'商品マスタ'!$B$6:$B$1005,0))),IFERROR(INDEX('①在庫を貼る'!$H$6:$H$10005,MATCH($C397,'①在庫を貼る'!$W$6:$W$10005,0)),IFERROR(INDEX('月1回_1ヶ月前の在庫'!$H$6:$H$10005,MATCH($C397,'月1回_1ヶ月前の在庫'!$W$6:$W$10005,0)),IFERROR(INDEX('月1回_2ヶ月前の在庫'!$H$6:$H$10005,MATCH($C397,'月1回_2ヶ月前の在庫'!$W$6:$W$10005,0)),"")))))</f>
        <v/>
      </c>
      <c r="F397">
        <f>IF($C397="","",IFERROR(IF(INDEX('商品マスタ'!$E$6:$E$1005,MATCH($C397,'商品マスタ'!$B$6:$B$1005,0))="",IFERROR(INDEX('①在庫を貼る'!$E$6:$E$10005,MATCH($C397,'①在庫を貼る'!$W$6:$W$10005,0)),IFERROR(INDEX('月1回_1ヶ月前の在庫'!$E$6:$E$10005,MATCH($C397,'月1回_1ヶ月前の在庫'!$W$6:$W$10005,0)),IFERROR(INDEX('月1回_2ヶ月前の在庫'!$E$6:$E$10005,MATCH($C397,'月1回_2ヶ月前の在庫'!$W$6:$W$10005,0)),""))),INDEX('商品マスタ'!$E$6:$E$1005,MATCH($C397,'商品マスタ'!$B$6:$B$1005,0))),IFERROR(INDEX('①在庫を貼る'!$E$6:$E$10005,MATCH($C397,'①在庫を貼る'!$W$6:$W$10005,0)),IFERROR(INDEX('月1回_1ヶ月前の在庫'!$E$6:$E$10005,MATCH($C397,'月1回_1ヶ月前の在庫'!$W$6:$W$10005,0)),IFERROR(INDEX('月1回_2ヶ月前の在庫'!$E$6:$E$10005,MATCH($C397,'月1回_2ヶ月前の在庫'!$W$6:$W$10005,0)),"")))))</f>
        <v/>
      </c>
      <c r="G397">
        <f>IF($C397="","",MAX(1,N(IFERROR(IF(INDEX('商品マスタ'!$F$6:$F$1005,MATCH($C397,'商品マスタ'!$B$6:$B$1005,0))="",IF(COUNTIFS('①在庫を貼る'!$V$6:$V$10005,'設定'!$C$4,'①在庫を貼る'!$W$6:$W$10005,$C397)&gt;0,SUMIFS('①在庫を貼る'!$K$6:$K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K$6:$K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K$6:$K$10005,'月1回_2ヶ月前の在庫'!$V$6:$V$10005,'設定'!$C$4,'月1回_2ヶ月前の在庫'!$W$6:$W$10005,$C397)/COUNTIFS('月1回_2ヶ月前の在庫'!$V$6:$V$10005,'設定'!$C$4,'月1回_2ヶ月前の在庫'!$W$6:$W$10005,$C397),0))),INDEX('商品マスタ'!$F$6:$F$1005,MATCH($C397,'商品マスタ'!$B$6:$B$1005,0))),IF(COUNTIFS('①在庫を貼る'!$V$6:$V$10005,'設定'!$C$4,'①在庫を貼る'!$W$6:$W$10005,$C397)&gt;0,SUMIFS('①在庫を貼る'!$K$6:$K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K$6:$K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K$6:$K$10005,'月1回_2ヶ月前の在庫'!$V$6:$V$10005,'設定'!$C$4,'月1回_2ヶ月前の在庫'!$W$6:$W$10005,$C397)/COUNTIFS('月1回_2ヶ月前の在庫'!$V$6:$V$10005,'設定'!$C$4,'月1回_2ヶ月前の在庫'!$W$6:$W$10005,$C397),0)))))))</f>
        <v/>
      </c>
      <c r="H397">
        <f>IF($C397="","",N(IFERROR(IF(INDEX('商品マスタ'!$G$6:$G$1005,MATCH($C397,'商品マスタ'!$B$6:$B$1005,0))="",IF(COUNTIFS('①在庫を貼る'!$V$6:$V$10005,'設定'!$C$4,'①在庫を貼る'!$W$6:$W$10005,$C397)&gt;0,SUMIFS('①在庫を貼る'!$Q$6:$Q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Q$6:$Q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Q$6:$Q$10005,'月1回_2ヶ月前の在庫'!$V$6:$V$10005,'設定'!$C$4,'月1回_2ヶ月前の在庫'!$W$6:$W$10005,$C397)/COUNTIFS('月1回_2ヶ月前の在庫'!$V$6:$V$10005,'設定'!$C$4,'月1回_2ヶ月前の在庫'!$W$6:$W$10005,$C397),0))),INDEX('商品マスタ'!$G$6:$G$1005,MATCH($C397,'商品マスタ'!$B$6:$B$1005,0))),IF(COUNTIFS('①在庫を貼る'!$V$6:$V$10005,'設定'!$C$4,'①在庫を貼る'!$W$6:$W$10005,$C397)&gt;0,SUMIFS('①在庫を貼る'!$Q$6:$Q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Q$6:$Q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Q$6:$Q$10005,'月1回_2ヶ月前の在庫'!$V$6:$V$10005,'設定'!$C$4,'月1回_2ヶ月前の在庫'!$W$6:$W$10005,$C397)/COUNTIFS('月1回_2ヶ月前の在庫'!$V$6:$V$10005,'設定'!$C$4,'月1回_2ヶ月前の在庫'!$W$6:$W$10005,$C397),0))))))</f>
        <v/>
      </c>
      <c r="I397">
        <f>IF($C397="","",IF(COUNTIFS('①在庫を貼る'!$V$6:$V$10005,'設定'!$C$4,'①在庫を貼る'!$W$6:$W$10005,$C397)=0,"",SUMIFS('①在庫を貼る'!$N$6:$N$10005,'①在庫を貼る'!$V$6:$V$10005,'設定'!$C$4,'①在庫を貼る'!$W$6:$W$10005,$C397)))</f>
        <v/>
      </c>
      <c r="J397">
        <f>IF($C397="","",IF('②発注する'!$AD401="","",'②発注する'!$AD401))</f>
        <v/>
      </c>
      <c r="K397" s="90">
        <f>IF($C397="","",IF('②発注する'!$AE401="","",'②発注する'!$AE401))</f>
        <v/>
      </c>
      <c r="L397">
        <f>IF($C397="","",IF(AND(ISNUMBER($J397),ISNUMBER($K397),$K397&gt;='設定'!$C$6),$J397,N($I397)))</f>
        <v/>
      </c>
      <c r="M397">
        <f>IF($C397="","",IFERROR(IF(N(INDEX('商品マスタ'!$J$6:$J$1005,MATCH($C397,'商品マスタ'!$B$6:$B$1005,0)))&gt;0,INDEX('商品マスタ'!$J$6:$J$1005,MATCH($C397,'商品マスタ'!$B$6:$B$1005,0)),""),""))</f>
        <v/>
      </c>
      <c r="N397">
        <f>IF($C397="","",IFERROR(IF(N(INDEX('商品マスタ'!$H$6:$H$1005,MATCH($C397,'商品マスタ'!$B$6:$B$1005,0)))&gt;0,INDEX('商品マスタ'!$H$6:$H$1005,MATCH($C397,'商品マスタ'!$B$6:$B$1005,0)),""),""))</f>
        <v/>
      </c>
      <c r="O397">
        <f>IF($C397="","",IF($N397&lt;&gt;"",$N397*$G397,IF(N(IF(COUNTIFS('①在庫を貼る'!$V$6:$V$10005,'設定'!$C$4,'①在庫を貼る'!$W$6:$W$10005,$C397)&gt;0,SUMIFS('①在庫を貼る'!$O$6:$O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O$6:$O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O$6:$O$10005,'月1回_2ヶ月前の在庫'!$V$6:$V$10005,'設定'!$C$4,'月1回_2ヶ月前の在庫'!$W$6:$W$10005,$C397)/COUNTIFS('月1回_2ヶ月前の在庫'!$V$6:$V$10005,'設定'!$C$4,'月1回_2ヶ月前の在庫'!$W$6:$W$10005,$C397),0))))&gt;0,N(IF(COUNTIFS('①在庫を貼る'!$V$6:$V$10005,'設定'!$C$4,'①在庫を貼る'!$W$6:$W$10005,$C397)&gt;0,SUMIFS('①在庫を貼る'!$O$6:$O$10005,'①在庫を貼る'!$V$6:$V$10005,'設定'!$C$4,'①在庫を貼る'!$W$6:$W$10005,$C397)/COUNTIFS('①在庫を貼る'!$V$6:$V$10005,'設定'!$C$4,'①在庫を貼る'!$W$6:$W$10005,$C397),IF(COUNTIFS('月1回_1ヶ月前の在庫'!$V$6:$V$10005,'設定'!$C$4,'月1回_1ヶ月前の在庫'!$W$6:$W$10005,$C397)&gt;0,SUMIFS('月1回_1ヶ月前の在庫'!$O$6:$O$10005,'月1回_1ヶ月前の在庫'!$V$6:$V$10005,'設定'!$C$4,'月1回_1ヶ月前の在庫'!$W$6:$W$10005,$C397)/COUNTIFS('月1回_1ヶ月前の在庫'!$V$6:$V$10005,'設定'!$C$4,'月1回_1ヶ月前の在庫'!$W$6:$W$10005,$C397),IF(COUNTIFS('月1回_2ヶ月前の在庫'!$V$6:$V$10005,'設定'!$C$4,'月1回_2ヶ月前の在庫'!$W$6:$W$10005,$C397)&gt;0,SUMIFS('月1回_2ヶ月前の在庫'!$O$6:$O$10005,'月1回_2ヶ月前の在庫'!$V$6:$V$10005,'設定'!$C$4,'月1回_2ヶ月前の在庫'!$W$6:$W$10005,$C397)/COUNTIFS('月1回_2ヶ月前の在庫'!$V$6:$V$10005,'設定'!$C$4,'月1回_2ヶ月前の在庫'!$W$6:$W$10005,$C397),0)))),"")))</f>
        <v/>
      </c>
      <c r="P397" s="90">
        <f>IF($C397="","",IF('②発注する'!$I401="","",'②発注する'!$I401))</f>
        <v/>
      </c>
      <c r="Q397">
        <f>IF($C397="","",IF('②発注する'!$J401="","",'②発注する'!$J401))</f>
        <v/>
      </c>
      <c r="R397">
        <f>IF($C397="",0,IF(AND(ISNUMBER($P397),ISNUMBER($Q397)),MAX(0,$Q397)*$G397,0))</f>
        <v/>
      </c>
      <c r="S397" s="90">
        <f>IF($C397="","",IF('②発注する'!$M401="","",'②発注する'!$M401))</f>
        <v/>
      </c>
      <c r="T397">
        <f>IF($C397="","",IF('②発注する'!$N401="","",'②発注する'!$N401))</f>
        <v/>
      </c>
      <c r="U397">
        <f>IF($C397="",0,IF(AND(ISNUMBER($S397),ISNUMBER($T397)),MAX(0,$T397)*$G397,0))</f>
        <v/>
      </c>
      <c r="V397">
        <f>IF($C397="",0,IF($M397="",0,MAX(0,$M397)*MAX(0,V$4)/100))</f>
        <v/>
      </c>
      <c r="W397">
        <f>IF($C397="",0,IF($M397="",0,MAX(0,$M397)*MAX(0,W$4)/100))</f>
        <v/>
      </c>
      <c r="X397">
        <f>IF($C397="",0,IF($M397="",0,MAX(0,$M397)*MAX(0,X$4)/100))</f>
        <v/>
      </c>
      <c r="Y397">
        <f>IF($C397="",0,IF($M397="",0,MAX(0,$M397)*MAX(0,Y$4)/100))</f>
        <v/>
      </c>
      <c r="Z397">
        <f>IF($C397="",0,IF($M397="",0,MAX(0,$M397)*MAX(0,Z$4)/100))</f>
        <v/>
      </c>
      <c r="AA397">
        <f>IF($C397="",0,IF($M397="",0,MAX(0,$M397)*MAX(0,AA$4)/100))</f>
        <v/>
      </c>
      <c r="AB397">
        <f>IF($C397="",0,IF($M397="",0,MAX(0,$M397)*MAX(0,AB$4)/100))</f>
        <v/>
      </c>
      <c r="AC397">
        <f>IF($C397="",0,IF($M397="",0,MAX(0,$M397)*MAX(0,AC$4)/100))</f>
        <v/>
      </c>
      <c r="AD397">
        <f>IF($C397="",0,IF($M397="",0,MAX(0,$M397)*MAX(0,AD$4)/100))</f>
        <v/>
      </c>
      <c r="AE397">
        <f>IF($C397="",0,IF($M397="",0,MAX(0,$M397)*MAX(0,AE$4)/100))</f>
        <v/>
      </c>
      <c r="AF397">
        <f>IF($C397="",0,IF($M397="",0,MAX(0,$M397)*MAX(0,AF$4)/100))</f>
        <v/>
      </c>
      <c r="AG397">
        <f>IF($C397="",0,IF($M397="",0,MAX(0,$M397)*MAX(0,AG$4)/100))</f>
        <v/>
      </c>
      <c r="AH397">
        <f>IF($C397="",0,IF($M397="",0,MAX(0,$M397)*MAX(0,AH$4)/100))</f>
        <v/>
      </c>
      <c r="AI397">
        <f>IF($C397="",0,IF($M397="",0,MAX(0,$M397)*MAX(0,AI$4)/100))</f>
        <v/>
      </c>
      <c r="AJ397">
        <f>IF($C397="",0,MAX(0,MAX(0,N($L397))-$V397))</f>
        <v/>
      </c>
      <c r="AK397">
        <f>IF($C397="",0,MAX(0,$AJ397-$W397))</f>
        <v/>
      </c>
      <c r="AL397">
        <f>IF($C397="",0,MAX(0,$AK397-$X397))</f>
        <v/>
      </c>
      <c r="AM397">
        <f>IF($C397="",0,MAX(0,$AL397-$Y397))</f>
        <v/>
      </c>
      <c r="AN397">
        <f>IF($C397="",0,MAX(0,$AM397-$Z397))</f>
        <v/>
      </c>
      <c r="AO397">
        <f>IF($C397="",0,MAX(0,$AN397-$AA397))</f>
        <v/>
      </c>
      <c r="AP397">
        <f>IF($C397="",0,MAX(0,$AO397-$AB397))</f>
        <v/>
      </c>
      <c r="AQ397">
        <f>IF($C397="",0,MAX(0,$AP397-$AC397))</f>
        <v/>
      </c>
      <c r="AR397">
        <f>IF($C397="",0,MAX(0,$AQ397-$AD397))</f>
        <v/>
      </c>
      <c r="AS397">
        <f>IF($C397="",0,MAX(0,$AR397-$AE397))</f>
        <v/>
      </c>
      <c r="AT397">
        <f>IF($C397="",0,MAX(0,$AS397-$AF397))</f>
        <v/>
      </c>
      <c r="AU397">
        <f>IF($C397="",0,MAX(0,$AT397-$AG397))</f>
        <v/>
      </c>
      <c r="AV397">
        <f>IF($C397="",0,MAX(0,$AU397-$AH397))</f>
        <v/>
      </c>
      <c r="AW397">
        <f>IF($C397="",0,MAX(0,$AV397-$AI397))</f>
        <v/>
      </c>
      <c r="AX397">
        <f>IF($C397="",0,MAX(0,MAX(0,N($L397))+IF($P397=V$3,$R397,0)+IF($S397=V$3,$U397,0)-$V397))</f>
        <v/>
      </c>
      <c r="AY397">
        <f>IF($C397="",0,MAX(0,$AX397+IF($P397=W$3,$R397,0)+IF($S397=W$3,$U397,0)-$W397))</f>
        <v/>
      </c>
      <c r="AZ397">
        <f>IF($C397="",0,MAX(0,$AY397+IF($P397=X$3,$R397,0)+IF($S397=X$3,$U397,0)-$X397))</f>
        <v/>
      </c>
      <c r="BA397">
        <f>IF($C397="",0,MAX(0,$AZ397+IF($P397=Y$3,$R397,0)+IF($S397=Y$3,$U397,0)-$Y397))</f>
        <v/>
      </c>
      <c r="BB397">
        <f>IF($C397="",0,MAX(0,$BA397+IF($P397=Z$3,$R397,0)+IF($S397=Z$3,$U397,0)-$Z397))</f>
        <v/>
      </c>
      <c r="BC397">
        <f>IF($C397="",0,MAX(0,$BB397+IF($P397=AA$3,$R397,0)+IF($S397=AA$3,$U397,0)-$AA397))</f>
        <v/>
      </c>
      <c r="BD397">
        <f>IF($C397="",0,MAX(0,$BC397+IF($P397=AB$3,$R397,0)+IF($S397=AB$3,$U397,0)-$AB397))</f>
        <v/>
      </c>
      <c r="BE397">
        <f>IF($C397="",0,MAX(0,$BD397+IF($P397=AC$3,$R397,0)+IF($S397=AC$3,$U397,0)-$AC397))</f>
        <v/>
      </c>
      <c r="BF397">
        <f>IF($C397="",0,MAX(0,$BE397+IF($P397=AD$3,$R397,0)+IF($S397=AD$3,$U397,0)-$AD397))</f>
        <v/>
      </c>
      <c r="BG397">
        <f>IF($C397="",0,MAX(0,$BF397+IF($P397=AE$3,$R397,0)+IF($S397=AE$3,$U397,0)-$AE397))</f>
        <v/>
      </c>
      <c r="BH397">
        <f>IF($C397="",0,MAX(0,$BG397+IF($P397=AF$3,$R397,0)+IF($S397=AF$3,$U397,0)-$AF397))</f>
        <v/>
      </c>
      <c r="BI397">
        <f>IF($C397="",0,MAX(0,$BH397+IF($P397=AG$3,$R397,0)+IF($S397=AG$3,$U397,0)-$AG397))</f>
        <v/>
      </c>
      <c r="BJ397">
        <f>IF($C397="",0,MAX(0,$BI397+IF($P397=AH$3,$R397,0)+IF($S397=AH$3,$U397,0)-$AH397))</f>
        <v/>
      </c>
      <c r="BK397">
        <f>IF($C397="",0,MAX(0,$BJ397+IF($P397=AI$3,$R397,0)+IF($S397=AI$3,$U397,0)-$AI397))</f>
        <v/>
      </c>
      <c r="BL397">
        <f>IF($C397="",99,IF(AND($AX397&lt;1,V$3&gt;=MAX(N($P397),N($S397))),0,99))</f>
        <v/>
      </c>
      <c r="BM397">
        <f>IF($C397="",99,IF(AND($AY397&lt;1,W$3&gt;=MAX(N($P397),N($S397))),1,99))</f>
        <v/>
      </c>
      <c r="BN397">
        <f>IF($C397="",99,IF(AND($AZ397&lt;1,X$3&gt;=MAX(N($P397),N($S397))),2,99))</f>
        <v/>
      </c>
      <c r="BO397">
        <f>IF($C397="",99,IF(AND($BA397&lt;1,Y$3&gt;=MAX(N($P397),N($S397))),3,99))</f>
        <v/>
      </c>
      <c r="BP397">
        <f>IF($C397="",99,IF(AND($BB397&lt;1,Z$3&gt;=MAX(N($P397),N($S397))),4,99))</f>
        <v/>
      </c>
      <c r="BQ397">
        <f>IF($C397="",99,IF(AND($BC397&lt;1,AA$3&gt;=MAX(N($P397),N($S397))),5,99))</f>
        <v/>
      </c>
      <c r="BR397">
        <f>IF($C397="",99,IF(AND($BD397&lt;1,AB$3&gt;=MAX(N($P397),N($S397))),6,99))</f>
        <v/>
      </c>
      <c r="BS397">
        <f>IF($C397="",99,IF(AND($BE397&lt;1,AC$3&gt;=MAX(N($P397),N($S397))),7,99))</f>
        <v/>
      </c>
      <c r="BT397">
        <f>IF($C397="",99,IF(AND($BF397&lt;1,AD$3&gt;=MAX(N($P397),N($S397))),8,99))</f>
        <v/>
      </c>
      <c r="BU397">
        <f>IF($C397="",99,IF(AND($BG397&lt;1,AE$3&gt;=MAX(N($P397),N($S397))),9,99))</f>
        <v/>
      </c>
      <c r="BV397">
        <f>IF($C397="",99,IF(AND($BH397&lt;1,AF$3&gt;=MAX(N($P397),N($S397))),10,99))</f>
        <v/>
      </c>
      <c r="BW397">
        <f>IF($C397="",99,IF(AND($BI397&lt;1,AG$3&gt;=MAX(N($P397),N($S397))),11,99))</f>
        <v/>
      </c>
      <c r="BX397">
        <f>IF($C397="",99,IF(AND($BJ397&lt;1,AH$3&gt;=MAX(N($P397),N($S397))),12,99))</f>
        <v/>
      </c>
      <c r="BY397">
        <f>IF($C397="",99,IF(AND($BK397&lt;1,AI$3&gt;=MAX(N($P397),N($S397))),13,99))</f>
        <v/>
      </c>
      <c r="BZ397">
        <f>IF(OR($C397="",$M397=""),"",COUNTIF($AJ397:$AW397,"&gt;=1"))</f>
        <v/>
      </c>
      <c r="CA397" s="90">
        <f>IF($BZ397="","",IF($BZ397&gt;=14,"",'設定'!$C$6+$BZ397))</f>
        <v/>
      </c>
      <c r="CB397">
        <f>IF(OR($C397="",$M397=""),"",MIN($BL397:$BY397))</f>
        <v/>
      </c>
      <c r="CC397" s="90">
        <f>IF($CB397="","",IF($CB397&gt;=99,"",'設定'!$C$6+$CB397))</f>
        <v/>
      </c>
      <c r="CD397">
        <f>IF(OR($C397="",$M397=""),"",AVERAGE($V397:$AI397))</f>
        <v/>
      </c>
      <c r="CE397">
        <f>IF($C397="","",IFERROR(IF(MATCH(IF(ISNUMBER($P397),$P397,'設定'!$C$6+N('設定'!$C$7)),$V$3:$AI$3,0)=1,MAX(0,N($L397)),INDEX($AJ397:$AW397,MATCH(IF(ISNUMBER($P397),$P397,'設定'!$C$6+N('設定'!$C$7)),$V$3:$AI$3,0)-1)),""))</f>
        <v/>
      </c>
      <c r="CF397">
        <f>IF(OR($C397="",$O397="",$CE397=""),"",IF($O397-$CE397&lt;=0,0,ROUNDUP(($O397-$CE397)/$G397,0)))</f>
        <v/>
      </c>
      <c r="CG397">
        <f>IF(OR($C397="",$CF397="",NOT(ISNUMBER($Q397))),0,MAX(0,$Q397-$CF397))</f>
        <v/>
      </c>
      <c r="CH397">
        <f>IF(OR($C397="",$O397="",$U397=0),0,IFERROR(ROUNDUP(MAX(0,IF(MATCH($S397,$V$3:$AI$3,0)=1,MAX(0,N($L397)),INDEX($AX397:$BK397,MATCH($S397,$V$3:$AI$3,0)-1))+$U397-$O397)/$G397,0),0))</f>
        <v/>
      </c>
      <c r="CI397">
        <f>IF($C397="","",IF(AND($P397="",$Q397=""),"",IF($P397="","⚠ 入庫日を ▼ から選んでください",IF(NOT(ISNUMBER($P397)),"⚠ 入庫日は ▼ から選んでください",IF($P397&lt;N('設定'!$C$6),"⚠ 入庫日が過去です（もう在庫に入っています）→ 消してください",IF($P397&gt;N('設定'!$C$6)+13,"⚠ 入庫日が14日より先です",IF(N($Q397)&lt;=0,"⚠ 入庫数を入れてください",IF($CG397&gt;0,"⚠ 目安より "&amp;$CG397&amp;" 多い（定数を超える）→ 減らす",""))))))))</f>
        <v/>
      </c>
      <c r="CJ397">
        <f>IF($C397="","",IF(AND($S397="",$T397=""),"",IF($S397="","⚠ 2便目：入庫日を ▼ から選んでください",IF(NOT(ISNUMBER($S397)),"⚠ 2便目：入庫日は ▼ から選んでください",IF($S397&lt;N('設定'!$C$6),"⚠ 2便目：入庫日が過去です（もう在庫に入っています）→ 消してください",IF($S397&gt;N('設定'!$C$6)+13,"⚠ 2便目：入庫日が14日より先です",IF(N($T397)&lt;=0,"⚠ 2便目：入庫数を入れてください",IF($CH397&gt;0,"⚠ 2便目：定数を "&amp;$CH397&amp;" ケース超える → 減らす",""))))))))</f>
        <v/>
      </c>
      <c r="CK397">
        <f>IF(AND($CI397="",N($Q397)&gt;0,ISNUMBER($P397)),1,0)</f>
        <v/>
      </c>
      <c r="CL397">
        <f>IF(AND($CJ397="",N($T397)&gt;0,ISNUMBER($S397)),1,0)</f>
        <v/>
      </c>
      <c r="CM397">
        <f>IF(OR($CK397=1,$CL397=1),1,0)</f>
        <v/>
      </c>
      <c r="CN397">
        <f>IF($C397="",0,($CK397*$R397+$CL397*$U397)*N($H397))</f>
        <v/>
      </c>
      <c r="CO397">
        <f>IF($C397="","",IF($CC397="","入庫後は 14日以上もつ",IF($CC397-N('設定'!$C$7)&lt;='設定'!$C$6,"入庫後も "&amp;TEXT($CC397,"m/d")&amp;"("&amp;CHOOSE(WEEKDAY($CC397),"日","月","火","水","木","金","土")&amp;")"&amp;" に切れる　もう1便を至急発注","入庫後も "&amp;TEXT($CC397,"m/d")&amp;"("&amp;CHOOSE(WEEKDAY($CC397),"日","月","火","水","木","金","土")&amp;")"&amp;" に切れる　"&amp;TEXT($CC397-N('設定'!$C$7),"m/d")&amp;"("&amp;CHOOSE(WEEKDAY($CC397-N('設定'!$C$7)),"日","月","火","水","木","金","土")&amp;")"&amp;" までに次を発注")))</f>
        <v/>
      </c>
      <c r="CP397">
        <f>IF($C397="","",IF('設定'!$C$6="","？ ①在庫を貼る に今日のCSVが貼られていない",IF($CS397=1,"－ 今日のCSVに無い（終売？）",IF($L397&lt;0,"● 在庫がマイナス　数えて「数えた在庫」に入れる",IF($L397=0,"● 在庫なし　至急発注",IF($M397="","？ 減り数が未設定（商品マスタ）",IF($B$3=0,"？ 動員が未入力（動員を入れる）",IF($CA397="","○ 14日以上もつ",IF($BZ397&lt;N('設定'!$C$7),"● "&amp;TEXT($CA397,"m/d")&amp;"("&amp;CHOOSE(WEEKDAY($CA397),"日","月","火","水","木","金","土")&amp;")"&amp;" に切れる　至急発注",IF($BZ397=N('設定'!$C$7),"● "&amp;TEXT($CA397,"m/d")&amp;"("&amp;CHOOSE(WEEKDAY($CA397),"日","月","火","水","木","金","土")&amp;")"&amp;" に切れる　今日発注","△ "&amp;TEXT($CA397,"m/d")&amp;"("&amp;CHOOSE(WEEKDAY($CA397),"日","月","火","水","木","金","土")&amp;")"&amp;" に切れる　"&amp;TEXT($CA397-N('設定'!$C$7),"m/d")&amp;"("&amp;CHOOSE(WEEKDAY($CA397-N('設定'!$C$7)),"日","月","火","水","木","金","土")&amp;")"&amp;" までに発注"))))))))))</f>
        <v/>
      </c>
      <c r="CQ397">
        <f>IF($C397="","",IF(AND($P397="",$Q397="",$S397="",$T397=""),"",IF(AND($P397="",$Q397=""),"⚠ 先に1便目（左の入庫日・入庫数）に入れてください",IF($CI397&lt;&gt;"",$CI397,IF($CJ397&lt;&gt;"",$CJ397,IF($M397="","？ 減り数が未設定（発注書には載ります）",IF($B$3=0,"？ 動員が未入力（発注書には載ります）",IF(AND($CA397&lt;&gt;"",$P397&gt;$CA397),IF($P397&gt;'設定'!$C$6+N('設定'!$C$7),"● "&amp;TEXT($P397,"m/d")&amp;"("&amp;CHOOSE(WEEKDAY($P397),"日","月","火","水","木","金","土")&amp;")"&amp;" の入庫では間に合わない（"&amp;TEXT($CA397,"m/d")&amp;"("&amp;CHOOSE(WEEKDAY($CA397),"日","月","火","水","木","金","土")&amp;")"&amp;" に切れる）　入庫日を早める","△ 欠品 "&amp;TEXT($CA397,"m/d")&amp;"("&amp;CHOOSE(WEEKDAY($CA397),"日","月","火","水","木","金","土")&amp;")"&amp;"〜"&amp;TEXT($P397-1,"m/d")&amp;"("&amp;CHOOSE(WEEKDAY($P397-1),"日","月","火","水","木","金","土")&amp;")"&amp;"　"&amp;$CO397),IF($CC397="","○ "&amp;TEXT($P397,"m/d")&amp;"("&amp;CHOOSE(WEEKDAY($P397),"日","月","火","水","木","金","土")&amp;")"&amp;" 入庫で 14日以上もつ",IF($CC397-N('設定'!$C$7)&lt;='設定'!$C$6,"● 入庫しても "&amp;TEXT($CC397,"m/d")&amp;"("&amp;CHOOSE(WEEKDAY($CC397),"日","月","火","水","木","金","土")&amp;")"&amp;" に切れる　もう1便を至急発注（2便目に入れる）","△ 入庫しても "&amp;TEXT($CC397,"m/d")&amp;"("&amp;CHOOSE(WEEKDAY($CC397),"日","月","火","水","木","金","土")&amp;")"&amp;" に切れる　"&amp;TEXT($CC397-N('設定'!$C$7),"m/d")&amp;"("&amp;CHOOSE(WEEKDAY($CC397-N('設定'!$C$7)),"日","月","火","水","木","金","土")&amp;")"&amp;" までに次を発注（2便目に入れる）"))))))))))</f>
        <v/>
      </c>
      <c r="CR397">
        <f>IF($C397="","",IF($G397&gt;1,"ｹｰｽ("&amp;$G397&amp;"入)","個"))</f>
        <v/>
      </c>
      <c r="CS397">
        <f>IF($C397="",0,IF(COUNTIFS('①在庫を貼る'!$V$6:$V$10005,'設定'!$C$4,'①在庫を貼る'!$W$6:$W$10005,$C397)=0,1,0))</f>
        <v/>
      </c>
      <c r="CT397">
        <f>IF(AND($CK397=1,OR('③発注書'!$C$4="すべて",'③発注書'!$C$4="",$F397='③発注書'!$C$4)),N($CT396)+1,N($CT396))</f>
        <v/>
      </c>
      <c r="CU397">
        <f>IF(AND($CL397=1,OR('③発注書'!$C$4="すべて",'③発注書'!$C$4="",$F397='③発注書'!$C$4)),N($CU396)+1,N($CU396))</f>
        <v/>
      </c>
      <c r="CV397">
        <f>IF($C397="",0,IF(COUNTIFS('①在庫を貼る'!$V$6:$V$10005,'設定'!$C$4,'①在庫を貼る'!$W$6:$W$10005,$C397)&gt;0,1,0))</f>
        <v/>
      </c>
      <c r="CW397">
        <f>IF($C397="",0,IF(COUNTIFS('月1回_1ヶ月前の在庫'!$V$6:$V$10005,'設定'!$C$4,'月1回_1ヶ月前の在庫'!$W$6:$W$10005,$C397)&gt;0,1,0))</f>
        <v/>
      </c>
      <c r="CX397">
        <f>IF($C397="",0,IF(COUNTIFS('月1回_2ヶ月前の在庫'!$V$6:$V$10005,'設定'!$C$4,'月1回_2ヶ月前の在庫'!$W$6:$W$10005,$C397)&gt;0,1,0))</f>
        <v/>
      </c>
      <c r="CY397">
        <f>IF(OR($C397="",'設定'!$C$12=""),"",IF('設定'!$C$13="",IF(AND($CV397=1,$CW397=0),"新商品（今月から）",IF(AND($CV397=0,$CW397=1),"終売（今月から）","")),IF(AND($CV397=1,$CW397=0,$CX397=0),"新商品（今月から）",IF(AND($CV397=1,$CW397=1,$CX397=0),"新商品（先月から）",IF(AND($CV397=0,$CW397=1,$CX397=1),"終売（今月から）",IF(AND($CV397=0,$CW397=0,$CX397=1),"終売（先月から）",IF(AND($CV397=1,$CW397=0,$CX397=1),"復活（先月は無し）","")))))))</f>
        <v/>
      </c>
    </row>
    <row r="398">
      <c r="B398">
        <f>IF(393&lt;='設定'!$C$11,393,"")</f>
        <v/>
      </c>
      <c r="C398">
        <f>IF($B398="","",IF($B398&lt;='設定'!$C$20,INDEX('商品マスタ'!$B$6:$B$1005,MATCH($B398,'商品マスタ'!$M$6:$M$1005,0)),IF($B398&lt;='設定'!$C$20+'設定'!$C$17,INDEX('①在庫を貼る'!$W$6:$W$10005,MATCH($B398-'設定'!$C$20,'①在庫を貼る'!$U$6:$U$10005,0)),IF($B398&lt;='設定'!$C$20+'設定'!$C$17+'設定'!$C$18,INDEX('月1回_1ヶ月前の在庫'!$W$6:$W$10005,MATCH($B398-'設定'!$C$20-'設定'!$C$17,'月1回_1ヶ月前の在庫'!$U$6:$U$10005,0)),INDEX('月1回_2ヶ月前の在庫'!$W$6:$W$10005,MATCH($B398-'設定'!$C$20-'設定'!$C$17-'設定'!$C$18,'月1回_2ヶ月前の在庫'!$U$6:$U$10005,0))))))</f>
        <v/>
      </c>
      <c r="D398">
        <f>IF($C398="","",IFERROR(IF(INDEX('商品マスタ'!$C$6:$C$1005,MATCH($C398,'商品マスタ'!$B$6:$B$1005,0))="",IFERROR(INDEX('①在庫を貼る'!$J$6:$J$10005,MATCH($C398,'①在庫を貼る'!$W$6:$W$10005,0)),IFERROR(INDEX('月1回_1ヶ月前の在庫'!$J$6:$J$10005,MATCH($C398,'月1回_1ヶ月前の在庫'!$W$6:$W$10005,0)),IFERROR(INDEX('月1回_2ヶ月前の在庫'!$J$6:$J$10005,MATCH($C398,'月1回_2ヶ月前の在庫'!$W$6:$W$10005,0)),""))),INDEX('商品マスタ'!$C$6:$C$1005,MATCH($C398,'商品マスタ'!$B$6:$B$1005,0))),IFERROR(INDEX('①在庫を貼る'!$J$6:$J$10005,MATCH($C398,'①在庫を貼る'!$W$6:$W$10005,0)),IFERROR(INDEX('月1回_1ヶ月前の在庫'!$J$6:$J$10005,MATCH($C398,'月1回_1ヶ月前の在庫'!$W$6:$W$10005,0)),IFERROR(INDEX('月1回_2ヶ月前の在庫'!$J$6:$J$10005,MATCH($C398,'月1回_2ヶ月前の在庫'!$W$6:$W$10005,0)),"")))))</f>
        <v/>
      </c>
      <c r="E398">
        <f>IF($C398="","",IFERROR(IF(INDEX('商品マスタ'!$D$6:$D$1005,MATCH($C398,'商品マスタ'!$B$6:$B$1005,0))="",IFERROR(INDEX('①在庫を貼る'!$H$6:$H$10005,MATCH($C398,'①在庫を貼る'!$W$6:$W$10005,0)),IFERROR(INDEX('月1回_1ヶ月前の在庫'!$H$6:$H$10005,MATCH($C398,'月1回_1ヶ月前の在庫'!$W$6:$W$10005,0)),IFERROR(INDEX('月1回_2ヶ月前の在庫'!$H$6:$H$10005,MATCH($C398,'月1回_2ヶ月前の在庫'!$W$6:$W$10005,0)),""))),INDEX('商品マスタ'!$D$6:$D$1005,MATCH($C398,'商品マスタ'!$B$6:$B$1005,0))),IFERROR(INDEX('①在庫を貼る'!$H$6:$H$10005,MATCH($C398,'①在庫を貼る'!$W$6:$W$10005,0)),IFERROR(INDEX('月1回_1ヶ月前の在庫'!$H$6:$H$10005,MATCH($C398,'月1回_1ヶ月前の在庫'!$W$6:$W$10005,0)),IFERROR(INDEX('月1回_2ヶ月前の在庫'!$H$6:$H$10005,MATCH($C398,'月1回_2ヶ月前の在庫'!$W$6:$W$10005,0)),"")))))</f>
        <v/>
      </c>
      <c r="F398">
        <f>IF($C398="","",IFERROR(IF(INDEX('商品マスタ'!$E$6:$E$1005,MATCH($C398,'商品マスタ'!$B$6:$B$1005,0))="",IFERROR(INDEX('①在庫を貼る'!$E$6:$E$10005,MATCH($C398,'①在庫を貼る'!$W$6:$W$10005,0)),IFERROR(INDEX('月1回_1ヶ月前の在庫'!$E$6:$E$10005,MATCH($C398,'月1回_1ヶ月前の在庫'!$W$6:$W$10005,0)),IFERROR(INDEX('月1回_2ヶ月前の在庫'!$E$6:$E$10005,MATCH($C398,'月1回_2ヶ月前の在庫'!$W$6:$W$10005,0)),""))),INDEX('商品マスタ'!$E$6:$E$1005,MATCH($C398,'商品マスタ'!$B$6:$B$1005,0))),IFERROR(INDEX('①在庫を貼る'!$E$6:$E$10005,MATCH($C398,'①在庫を貼る'!$W$6:$W$10005,0)),IFERROR(INDEX('月1回_1ヶ月前の在庫'!$E$6:$E$10005,MATCH($C398,'月1回_1ヶ月前の在庫'!$W$6:$W$10005,0)),IFERROR(INDEX('月1回_2ヶ月前の在庫'!$E$6:$E$10005,MATCH($C398,'月1回_2ヶ月前の在庫'!$W$6:$W$10005,0)),"")))))</f>
        <v/>
      </c>
      <c r="G398">
        <f>IF($C398="","",MAX(1,N(IFERROR(IF(INDEX('商品マスタ'!$F$6:$F$1005,MATCH($C398,'商品マスタ'!$B$6:$B$1005,0))="",IF(COUNTIFS('①在庫を貼る'!$V$6:$V$10005,'設定'!$C$4,'①在庫を貼る'!$W$6:$W$10005,$C398)&gt;0,SUMIFS('①在庫を貼る'!$K$6:$K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K$6:$K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K$6:$K$10005,'月1回_2ヶ月前の在庫'!$V$6:$V$10005,'設定'!$C$4,'月1回_2ヶ月前の在庫'!$W$6:$W$10005,$C398)/COUNTIFS('月1回_2ヶ月前の在庫'!$V$6:$V$10005,'設定'!$C$4,'月1回_2ヶ月前の在庫'!$W$6:$W$10005,$C398),0))),INDEX('商品マスタ'!$F$6:$F$1005,MATCH($C398,'商品マスタ'!$B$6:$B$1005,0))),IF(COUNTIFS('①在庫を貼る'!$V$6:$V$10005,'設定'!$C$4,'①在庫を貼る'!$W$6:$W$10005,$C398)&gt;0,SUMIFS('①在庫を貼る'!$K$6:$K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K$6:$K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K$6:$K$10005,'月1回_2ヶ月前の在庫'!$V$6:$V$10005,'設定'!$C$4,'月1回_2ヶ月前の在庫'!$W$6:$W$10005,$C398)/COUNTIFS('月1回_2ヶ月前の在庫'!$V$6:$V$10005,'設定'!$C$4,'月1回_2ヶ月前の在庫'!$W$6:$W$10005,$C398),0)))))))</f>
        <v/>
      </c>
      <c r="H398">
        <f>IF($C398="","",N(IFERROR(IF(INDEX('商品マスタ'!$G$6:$G$1005,MATCH($C398,'商品マスタ'!$B$6:$B$1005,0))="",IF(COUNTIFS('①在庫を貼る'!$V$6:$V$10005,'設定'!$C$4,'①在庫を貼る'!$W$6:$W$10005,$C398)&gt;0,SUMIFS('①在庫を貼る'!$Q$6:$Q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Q$6:$Q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Q$6:$Q$10005,'月1回_2ヶ月前の在庫'!$V$6:$V$10005,'設定'!$C$4,'月1回_2ヶ月前の在庫'!$W$6:$W$10005,$C398)/COUNTIFS('月1回_2ヶ月前の在庫'!$V$6:$V$10005,'設定'!$C$4,'月1回_2ヶ月前の在庫'!$W$6:$W$10005,$C398),0))),INDEX('商品マスタ'!$G$6:$G$1005,MATCH($C398,'商品マスタ'!$B$6:$B$1005,0))),IF(COUNTIFS('①在庫を貼る'!$V$6:$V$10005,'設定'!$C$4,'①在庫を貼る'!$W$6:$W$10005,$C398)&gt;0,SUMIFS('①在庫を貼る'!$Q$6:$Q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Q$6:$Q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Q$6:$Q$10005,'月1回_2ヶ月前の在庫'!$V$6:$V$10005,'設定'!$C$4,'月1回_2ヶ月前の在庫'!$W$6:$W$10005,$C398)/COUNTIFS('月1回_2ヶ月前の在庫'!$V$6:$V$10005,'設定'!$C$4,'月1回_2ヶ月前の在庫'!$W$6:$W$10005,$C398),0))))))</f>
        <v/>
      </c>
      <c r="I398">
        <f>IF($C398="","",IF(COUNTIFS('①在庫を貼る'!$V$6:$V$10005,'設定'!$C$4,'①在庫を貼る'!$W$6:$W$10005,$C398)=0,"",SUMIFS('①在庫を貼る'!$N$6:$N$10005,'①在庫を貼る'!$V$6:$V$10005,'設定'!$C$4,'①在庫を貼る'!$W$6:$W$10005,$C398)))</f>
        <v/>
      </c>
      <c r="J398">
        <f>IF($C398="","",IF('②発注する'!$AD402="","",'②発注する'!$AD402))</f>
        <v/>
      </c>
      <c r="K398" s="90">
        <f>IF($C398="","",IF('②発注する'!$AE402="","",'②発注する'!$AE402))</f>
        <v/>
      </c>
      <c r="L398">
        <f>IF($C398="","",IF(AND(ISNUMBER($J398),ISNUMBER($K398),$K398&gt;='設定'!$C$6),$J398,N($I398)))</f>
        <v/>
      </c>
      <c r="M398">
        <f>IF($C398="","",IFERROR(IF(N(INDEX('商品マスタ'!$J$6:$J$1005,MATCH($C398,'商品マスタ'!$B$6:$B$1005,0)))&gt;0,INDEX('商品マスタ'!$J$6:$J$1005,MATCH($C398,'商品マスタ'!$B$6:$B$1005,0)),""),""))</f>
        <v/>
      </c>
      <c r="N398">
        <f>IF($C398="","",IFERROR(IF(N(INDEX('商品マスタ'!$H$6:$H$1005,MATCH($C398,'商品マスタ'!$B$6:$B$1005,0)))&gt;0,INDEX('商品マスタ'!$H$6:$H$1005,MATCH($C398,'商品マスタ'!$B$6:$B$1005,0)),""),""))</f>
        <v/>
      </c>
      <c r="O398">
        <f>IF($C398="","",IF($N398&lt;&gt;"",$N398*$G398,IF(N(IF(COUNTIFS('①在庫を貼る'!$V$6:$V$10005,'設定'!$C$4,'①在庫を貼る'!$W$6:$W$10005,$C398)&gt;0,SUMIFS('①在庫を貼る'!$O$6:$O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O$6:$O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O$6:$O$10005,'月1回_2ヶ月前の在庫'!$V$6:$V$10005,'設定'!$C$4,'月1回_2ヶ月前の在庫'!$W$6:$W$10005,$C398)/COUNTIFS('月1回_2ヶ月前の在庫'!$V$6:$V$10005,'設定'!$C$4,'月1回_2ヶ月前の在庫'!$W$6:$W$10005,$C398),0))))&gt;0,N(IF(COUNTIFS('①在庫を貼る'!$V$6:$V$10005,'設定'!$C$4,'①在庫を貼る'!$W$6:$W$10005,$C398)&gt;0,SUMIFS('①在庫を貼る'!$O$6:$O$10005,'①在庫を貼る'!$V$6:$V$10005,'設定'!$C$4,'①在庫を貼る'!$W$6:$W$10005,$C398)/COUNTIFS('①在庫を貼る'!$V$6:$V$10005,'設定'!$C$4,'①在庫を貼る'!$W$6:$W$10005,$C398),IF(COUNTIFS('月1回_1ヶ月前の在庫'!$V$6:$V$10005,'設定'!$C$4,'月1回_1ヶ月前の在庫'!$W$6:$W$10005,$C398)&gt;0,SUMIFS('月1回_1ヶ月前の在庫'!$O$6:$O$10005,'月1回_1ヶ月前の在庫'!$V$6:$V$10005,'設定'!$C$4,'月1回_1ヶ月前の在庫'!$W$6:$W$10005,$C398)/COUNTIFS('月1回_1ヶ月前の在庫'!$V$6:$V$10005,'設定'!$C$4,'月1回_1ヶ月前の在庫'!$W$6:$W$10005,$C398),IF(COUNTIFS('月1回_2ヶ月前の在庫'!$V$6:$V$10005,'設定'!$C$4,'月1回_2ヶ月前の在庫'!$W$6:$W$10005,$C398)&gt;0,SUMIFS('月1回_2ヶ月前の在庫'!$O$6:$O$10005,'月1回_2ヶ月前の在庫'!$V$6:$V$10005,'設定'!$C$4,'月1回_2ヶ月前の在庫'!$W$6:$W$10005,$C398)/COUNTIFS('月1回_2ヶ月前の在庫'!$V$6:$V$10005,'設定'!$C$4,'月1回_2ヶ月前の在庫'!$W$6:$W$10005,$C398),0)))),"")))</f>
        <v/>
      </c>
      <c r="P398" s="90">
        <f>IF($C398="","",IF('②発注する'!$I402="","",'②発注する'!$I402))</f>
        <v/>
      </c>
      <c r="Q398">
        <f>IF($C398="","",IF('②発注する'!$J402="","",'②発注する'!$J402))</f>
        <v/>
      </c>
      <c r="R398">
        <f>IF($C398="",0,IF(AND(ISNUMBER($P398),ISNUMBER($Q398)),MAX(0,$Q398)*$G398,0))</f>
        <v/>
      </c>
      <c r="S398" s="90">
        <f>IF($C398="","",IF('②発注する'!$M402="","",'②発注する'!$M402))</f>
        <v/>
      </c>
      <c r="T398">
        <f>IF($C398="","",IF('②発注する'!$N402="","",'②発注する'!$N402))</f>
        <v/>
      </c>
      <c r="U398">
        <f>IF($C398="",0,IF(AND(ISNUMBER($S398),ISNUMBER($T398)),MAX(0,$T398)*$G398,0))</f>
        <v/>
      </c>
      <c r="V398">
        <f>IF($C398="",0,IF($M398="",0,MAX(0,$M398)*MAX(0,V$4)/100))</f>
        <v/>
      </c>
      <c r="W398">
        <f>IF($C398="",0,IF($M398="",0,MAX(0,$M398)*MAX(0,W$4)/100))</f>
        <v/>
      </c>
      <c r="X398">
        <f>IF($C398="",0,IF($M398="",0,MAX(0,$M398)*MAX(0,X$4)/100))</f>
        <v/>
      </c>
      <c r="Y398">
        <f>IF($C398="",0,IF($M398="",0,MAX(0,$M398)*MAX(0,Y$4)/100))</f>
        <v/>
      </c>
      <c r="Z398">
        <f>IF($C398="",0,IF($M398="",0,MAX(0,$M398)*MAX(0,Z$4)/100))</f>
        <v/>
      </c>
      <c r="AA398">
        <f>IF($C398="",0,IF($M398="",0,MAX(0,$M398)*MAX(0,AA$4)/100))</f>
        <v/>
      </c>
      <c r="AB398">
        <f>IF($C398="",0,IF($M398="",0,MAX(0,$M398)*MAX(0,AB$4)/100))</f>
        <v/>
      </c>
      <c r="AC398">
        <f>IF($C398="",0,IF($M398="",0,MAX(0,$M398)*MAX(0,AC$4)/100))</f>
        <v/>
      </c>
      <c r="AD398">
        <f>IF($C398="",0,IF($M398="",0,MAX(0,$M398)*MAX(0,AD$4)/100))</f>
        <v/>
      </c>
      <c r="AE398">
        <f>IF($C398="",0,IF($M398="",0,MAX(0,$M398)*MAX(0,AE$4)/100))</f>
        <v/>
      </c>
      <c r="AF398">
        <f>IF($C398="",0,IF($M398="",0,MAX(0,$M398)*MAX(0,AF$4)/100))</f>
        <v/>
      </c>
      <c r="AG398">
        <f>IF($C398="",0,IF($M398="",0,MAX(0,$M398)*MAX(0,AG$4)/100))</f>
        <v/>
      </c>
      <c r="AH398">
        <f>IF($C398="",0,IF($M398="",0,MAX(0,$M398)*MAX(0,AH$4)/100))</f>
        <v/>
      </c>
      <c r="AI398">
        <f>IF($C398="",0,IF($M398="",0,MAX(0,$M398)*MAX(0,AI$4)/100))</f>
        <v/>
      </c>
      <c r="AJ398">
        <f>IF($C398="",0,MAX(0,MAX(0,N($L398))-$V398))</f>
        <v/>
      </c>
      <c r="AK398">
        <f>IF($C398="",0,MAX(0,$AJ398-$W398))</f>
        <v/>
      </c>
      <c r="AL398">
        <f>IF($C398="",0,MAX(0,$AK398-$X398))</f>
        <v/>
      </c>
      <c r="AM398">
        <f>IF($C398="",0,MAX(0,$AL398-$Y398))</f>
        <v/>
      </c>
      <c r="AN398">
        <f>IF($C398="",0,MAX(0,$AM398-$Z398))</f>
        <v/>
      </c>
      <c r="AO398">
        <f>IF($C398="",0,MAX(0,$AN398-$AA398))</f>
        <v/>
      </c>
      <c r="AP398">
        <f>IF($C398="",0,MAX(0,$AO398-$AB398))</f>
        <v/>
      </c>
      <c r="AQ398">
        <f>IF($C398="",0,MAX(0,$AP398-$AC398))</f>
        <v/>
      </c>
      <c r="AR398">
        <f>IF($C398="",0,MAX(0,$AQ398-$AD398))</f>
        <v/>
      </c>
      <c r="AS398">
        <f>IF($C398="",0,MAX(0,$AR398-$AE398))</f>
        <v/>
      </c>
      <c r="AT398">
        <f>IF($C398="",0,MAX(0,$AS398-$AF398))</f>
        <v/>
      </c>
      <c r="AU398">
        <f>IF($C398="",0,MAX(0,$AT398-$AG398))</f>
        <v/>
      </c>
      <c r="AV398">
        <f>IF($C398="",0,MAX(0,$AU398-$AH398))</f>
        <v/>
      </c>
      <c r="AW398">
        <f>IF($C398="",0,MAX(0,$AV398-$AI398))</f>
        <v/>
      </c>
      <c r="AX398">
        <f>IF($C398="",0,MAX(0,MAX(0,N($L398))+IF($P398=V$3,$R398,0)+IF($S398=V$3,$U398,0)-$V398))</f>
        <v/>
      </c>
      <c r="AY398">
        <f>IF($C398="",0,MAX(0,$AX398+IF($P398=W$3,$R398,0)+IF($S398=W$3,$U398,0)-$W398))</f>
        <v/>
      </c>
      <c r="AZ398">
        <f>IF($C398="",0,MAX(0,$AY398+IF($P398=X$3,$R398,0)+IF($S398=X$3,$U398,0)-$X398))</f>
        <v/>
      </c>
      <c r="BA398">
        <f>IF($C398="",0,MAX(0,$AZ398+IF($P398=Y$3,$R398,0)+IF($S398=Y$3,$U398,0)-$Y398))</f>
        <v/>
      </c>
      <c r="BB398">
        <f>IF($C398="",0,MAX(0,$BA398+IF($P398=Z$3,$R398,0)+IF($S398=Z$3,$U398,0)-$Z398))</f>
        <v/>
      </c>
      <c r="BC398">
        <f>IF($C398="",0,MAX(0,$BB398+IF($P398=AA$3,$R398,0)+IF($S398=AA$3,$U398,0)-$AA398))</f>
        <v/>
      </c>
      <c r="BD398">
        <f>IF($C398="",0,MAX(0,$BC398+IF($P398=AB$3,$R398,0)+IF($S398=AB$3,$U398,0)-$AB398))</f>
        <v/>
      </c>
      <c r="BE398">
        <f>IF($C398="",0,MAX(0,$BD398+IF($P398=AC$3,$R398,0)+IF($S398=AC$3,$U398,0)-$AC398))</f>
        <v/>
      </c>
      <c r="BF398">
        <f>IF($C398="",0,MAX(0,$BE398+IF($P398=AD$3,$R398,0)+IF($S398=AD$3,$U398,0)-$AD398))</f>
        <v/>
      </c>
      <c r="BG398">
        <f>IF($C398="",0,MAX(0,$BF398+IF($P398=AE$3,$R398,0)+IF($S398=AE$3,$U398,0)-$AE398))</f>
        <v/>
      </c>
      <c r="BH398">
        <f>IF($C398="",0,MAX(0,$BG398+IF($P398=AF$3,$R398,0)+IF($S398=AF$3,$U398,0)-$AF398))</f>
        <v/>
      </c>
      <c r="BI398">
        <f>IF($C398="",0,MAX(0,$BH398+IF($P398=AG$3,$R398,0)+IF($S398=AG$3,$U398,0)-$AG398))</f>
        <v/>
      </c>
      <c r="BJ398">
        <f>IF($C398="",0,MAX(0,$BI398+IF($P398=AH$3,$R398,0)+IF($S398=AH$3,$U398,0)-$AH398))</f>
        <v/>
      </c>
      <c r="BK398">
        <f>IF($C398="",0,MAX(0,$BJ398+IF($P398=AI$3,$R398,0)+IF($S398=AI$3,$U398,0)-$AI398))</f>
        <v/>
      </c>
      <c r="BL398">
        <f>IF($C398="",99,IF(AND($AX398&lt;1,V$3&gt;=MAX(N($P398),N($S398))),0,99))</f>
        <v/>
      </c>
      <c r="BM398">
        <f>IF($C398="",99,IF(AND($AY398&lt;1,W$3&gt;=MAX(N($P398),N($S398))),1,99))</f>
        <v/>
      </c>
      <c r="BN398">
        <f>IF($C398="",99,IF(AND($AZ398&lt;1,X$3&gt;=MAX(N($P398),N($S398))),2,99))</f>
        <v/>
      </c>
      <c r="BO398">
        <f>IF($C398="",99,IF(AND($BA398&lt;1,Y$3&gt;=MAX(N($P398),N($S398))),3,99))</f>
        <v/>
      </c>
      <c r="BP398">
        <f>IF($C398="",99,IF(AND($BB398&lt;1,Z$3&gt;=MAX(N($P398),N($S398))),4,99))</f>
        <v/>
      </c>
      <c r="BQ398">
        <f>IF($C398="",99,IF(AND($BC398&lt;1,AA$3&gt;=MAX(N($P398),N($S398))),5,99))</f>
        <v/>
      </c>
      <c r="BR398">
        <f>IF($C398="",99,IF(AND($BD398&lt;1,AB$3&gt;=MAX(N($P398),N($S398))),6,99))</f>
        <v/>
      </c>
      <c r="BS398">
        <f>IF($C398="",99,IF(AND($BE398&lt;1,AC$3&gt;=MAX(N($P398),N($S398))),7,99))</f>
        <v/>
      </c>
      <c r="BT398">
        <f>IF($C398="",99,IF(AND($BF398&lt;1,AD$3&gt;=MAX(N($P398),N($S398))),8,99))</f>
        <v/>
      </c>
      <c r="BU398">
        <f>IF($C398="",99,IF(AND($BG398&lt;1,AE$3&gt;=MAX(N($P398),N($S398))),9,99))</f>
        <v/>
      </c>
      <c r="BV398">
        <f>IF($C398="",99,IF(AND($BH398&lt;1,AF$3&gt;=MAX(N($P398),N($S398))),10,99))</f>
        <v/>
      </c>
      <c r="BW398">
        <f>IF($C398="",99,IF(AND($BI398&lt;1,AG$3&gt;=MAX(N($P398),N($S398))),11,99))</f>
        <v/>
      </c>
      <c r="BX398">
        <f>IF($C398="",99,IF(AND($BJ398&lt;1,AH$3&gt;=MAX(N($P398),N($S398))),12,99))</f>
        <v/>
      </c>
      <c r="BY398">
        <f>IF($C398="",99,IF(AND($BK398&lt;1,AI$3&gt;=MAX(N($P398),N($S398))),13,99))</f>
        <v/>
      </c>
      <c r="BZ398">
        <f>IF(OR($C398="",$M398=""),"",COUNTIF($AJ398:$AW398,"&gt;=1"))</f>
        <v/>
      </c>
      <c r="CA398" s="90">
        <f>IF($BZ398="","",IF($BZ398&gt;=14,"",'設定'!$C$6+$BZ398))</f>
        <v/>
      </c>
      <c r="CB398">
        <f>IF(OR($C398="",$M398=""),"",MIN($BL398:$BY398))</f>
        <v/>
      </c>
      <c r="CC398" s="90">
        <f>IF($CB398="","",IF($CB398&gt;=99,"",'設定'!$C$6+$CB398))</f>
        <v/>
      </c>
      <c r="CD398">
        <f>IF(OR($C398="",$M398=""),"",AVERAGE($V398:$AI398))</f>
        <v/>
      </c>
      <c r="CE398">
        <f>IF($C398="","",IFERROR(IF(MATCH(IF(ISNUMBER($P398),$P398,'設定'!$C$6+N('設定'!$C$7)),$V$3:$AI$3,0)=1,MAX(0,N($L398)),INDEX($AJ398:$AW398,MATCH(IF(ISNUMBER($P398),$P398,'設定'!$C$6+N('設定'!$C$7)),$V$3:$AI$3,0)-1)),""))</f>
        <v/>
      </c>
      <c r="CF398">
        <f>IF(OR($C398="",$O398="",$CE398=""),"",IF($O398-$CE398&lt;=0,0,ROUNDUP(($O398-$CE398)/$G398,0)))</f>
        <v/>
      </c>
      <c r="CG398">
        <f>IF(OR($C398="",$CF398="",NOT(ISNUMBER($Q398))),0,MAX(0,$Q398-$CF398))</f>
        <v/>
      </c>
      <c r="CH398">
        <f>IF(OR($C398="",$O398="",$U398=0),0,IFERROR(ROUNDUP(MAX(0,IF(MATCH($S398,$V$3:$AI$3,0)=1,MAX(0,N($L398)),INDEX($AX398:$BK398,MATCH($S398,$V$3:$AI$3,0)-1))+$U398-$O398)/$G398,0),0))</f>
        <v/>
      </c>
      <c r="CI398">
        <f>IF($C398="","",IF(AND($P398="",$Q398=""),"",IF($P398="","⚠ 入庫日を ▼ から選んでください",IF(NOT(ISNUMBER($P398)),"⚠ 入庫日は ▼ から選んでください",IF($P398&lt;N('設定'!$C$6),"⚠ 入庫日が過去です（もう在庫に入っています）→ 消してください",IF($P398&gt;N('設定'!$C$6)+13,"⚠ 入庫日が14日より先です",IF(N($Q398)&lt;=0,"⚠ 入庫数を入れてください",IF($CG398&gt;0,"⚠ 目安より "&amp;$CG398&amp;" 多い（定数を超える）→ 減らす",""))))))))</f>
        <v/>
      </c>
      <c r="CJ398">
        <f>IF($C398="","",IF(AND($S398="",$T398=""),"",IF($S398="","⚠ 2便目：入庫日を ▼ から選んでください",IF(NOT(ISNUMBER($S398)),"⚠ 2便目：入庫日は ▼ から選んでください",IF($S398&lt;N('設定'!$C$6),"⚠ 2便目：入庫日が過去です（もう在庫に入っています）→ 消してください",IF($S398&gt;N('設定'!$C$6)+13,"⚠ 2便目：入庫日が14日より先です",IF(N($T398)&lt;=0,"⚠ 2便目：入庫数を入れてください",IF($CH398&gt;0,"⚠ 2便目：定数を "&amp;$CH398&amp;" ケース超える → 減らす",""))))))))</f>
        <v/>
      </c>
      <c r="CK398">
        <f>IF(AND($CI398="",N($Q398)&gt;0,ISNUMBER($P398)),1,0)</f>
        <v/>
      </c>
      <c r="CL398">
        <f>IF(AND($CJ398="",N($T398)&gt;0,ISNUMBER($S398)),1,0)</f>
        <v/>
      </c>
      <c r="CM398">
        <f>IF(OR($CK398=1,$CL398=1),1,0)</f>
        <v/>
      </c>
      <c r="CN398">
        <f>IF($C398="",0,($CK398*$R398+$CL398*$U398)*N($H398))</f>
        <v/>
      </c>
      <c r="CO398">
        <f>IF($C398="","",IF($CC398="","入庫後は 14日以上もつ",IF($CC398-N('設定'!$C$7)&lt;='設定'!$C$6,"入庫後も "&amp;TEXT($CC398,"m/d")&amp;"("&amp;CHOOSE(WEEKDAY($CC398),"日","月","火","水","木","金","土")&amp;")"&amp;" に切れる　もう1便を至急発注","入庫後も "&amp;TEXT($CC398,"m/d")&amp;"("&amp;CHOOSE(WEEKDAY($CC398),"日","月","火","水","木","金","土")&amp;")"&amp;" に切れる　"&amp;TEXT($CC398-N('設定'!$C$7),"m/d")&amp;"("&amp;CHOOSE(WEEKDAY($CC398-N('設定'!$C$7)),"日","月","火","水","木","金","土")&amp;")"&amp;" までに次を発注")))</f>
        <v/>
      </c>
      <c r="CP398">
        <f>IF($C398="","",IF('設定'!$C$6="","？ ①在庫を貼る に今日のCSVが貼られていない",IF($CS398=1,"－ 今日のCSVに無い（終売？）",IF($L398&lt;0,"● 在庫がマイナス　数えて「数えた在庫」に入れる",IF($L398=0,"● 在庫なし　至急発注",IF($M398="","？ 減り数が未設定（商品マスタ）",IF($B$3=0,"？ 動員が未入力（動員を入れる）",IF($CA398="","○ 14日以上もつ",IF($BZ398&lt;N('設定'!$C$7),"● "&amp;TEXT($CA398,"m/d")&amp;"("&amp;CHOOSE(WEEKDAY($CA398),"日","月","火","水","木","金","土")&amp;")"&amp;" に切れる　至急発注",IF($BZ398=N('設定'!$C$7),"● "&amp;TEXT($CA398,"m/d")&amp;"("&amp;CHOOSE(WEEKDAY($CA398),"日","月","火","水","木","金","土")&amp;")"&amp;" に切れる　今日発注","△ "&amp;TEXT($CA398,"m/d")&amp;"("&amp;CHOOSE(WEEKDAY($CA398),"日","月","火","水","木","金","土")&amp;")"&amp;" に切れる　"&amp;TEXT($CA398-N('設定'!$C$7),"m/d")&amp;"("&amp;CHOOSE(WEEKDAY($CA398-N('設定'!$C$7)),"日","月","火","水","木","金","土")&amp;")"&amp;" までに発注"))))))))))</f>
        <v/>
      </c>
      <c r="CQ398">
        <f>IF($C398="","",IF(AND($P398="",$Q398="",$S398="",$T398=""),"",IF(AND($P398="",$Q398=""),"⚠ 先に1便目（左の入庫日・入庫数）に入れてください",IF($CI398&lt;&gt;"",$CI398,IF($CJ398&lt;&gt;"",$CJ398,IF($M398="","？ 減り数が未設定（発注書には載ります）",IF($B$3=0,"？ 動員が未入力（発注書には載ります）",IF(AND($CA398&lt;&gt;"",$P398&gt;$CA398),IF($P398&gt;'設定'!$C$6+N('設定'!$C$7),"● "&amp;TEXT($P398,"m/d")&amp;"("&amp;CHOOSE(WEEKDAY($P398),"日","月","火","水","木","金","土")&amp;")"&amp;" の入庫では間に合わない（"&amp;TEXT($CA398,"m/d")&amp;"("&amp;CHOOSE(WEEKDAY($CA398),"日","月","火","水","木","金","土")&amp;")"&amp;" に切れる）　入庫日を早める","△ 欠品 "&amp;TEXT($CA398,"m/d")&amp;"("&amp;CHOOSE(WEEKDAY($CA398),"日","月","火","水","木","金","土")&amp;")"&amp;"〜"&amp;TEXT($P398-1,"m/d")&amp;"("&amp;CHOOSE(WEEKDAY($P398-1),"日","月","火","水","木","金","土")&amp;")"&amp;"　"&amp;$CO398),IF($CC398="","○ "&amp;TEXT($P398,"m/d")&amp;"("&amp;CHOOSE(WEEKDAY($P398),"日","月","火","水","木","金","土")&amp;")"&amp;" 入庫で 14日以上もつ",IF($CC398-N('設定'!$C$7)&lt;='設定'!$C$6,"● 入庫しても "&amp;TEXT($CC398,"m/d")&amp;"("&amp;CHOOSE(WEEKDAY($CC398),"日","月","火","水","木","金","土")&amp;")"&amp;" に切れる　もう1便を至急発注（2便目に入れる）","△ 入庫しても "&amp;TEXT($CC398,"m/d")&amp;"("&amp;CHOOSE(WEEKDAY($CC398),"日","月","火","水","木","金","土")&amp;")"&amp;" に切れる　"&amp;TEXT($CC398-N('設定'!$C$7),"m/d")&amp;"("&amp;CHOOSE(WEEKDAY($CC398-N('設定'!$C$7)),"日","月","火","水","木","金","土")&amp;")"&amp;" までに次を発注（2便目に入れる）"))))))))))</f>
        <v/>
      </c>
      <c r="CR398">
        <f>IF($C398="","",IF($G398&gt;1,"ｹｰｽ("&amp;$G398&amp;"入)","個"))</f>
        <v/>
      </c>
      <c r="CS398">
        <f>IF($C398="",0,IF(COUNTIFS('①在庫を貼る'!$V$6:$V$10005,'設定'!$C$4,'①在庫を貼る'!$W$6:$W$10005,$C398)=0,1,0))</f>
        <v/>
      </c>
      <c r="CT398">
        <f>IF(AND($CK398=1,OR('③発注書'!$C$4="すべて",'③発注書'!$C$4="",$F398='③発注書'!$C$4)),N($CT397)+1,N($CT397))</f>
        <v/>
      </c>
      <c r="CU398">
        <f>IF(AND($CL398=1,OR('③発注書'!$C$4="すべて",'③発注書'!$C$4="",$F398='③発注書'!$C$4)),N($CU397)+1,N($CU397))</f>
        <v/>
      </c>
      <c r="CV398">
        <f>IF($C398="",0,IF(COUNTIFS('①在庫を貼る'!$V$6:$V$10005,'設定'!$C$4,'①在庫を貼る'!$W$6:$W$10005,$C398)&gt;0,1,0))</f>
        <v/>
      </c>
      <c r="CW398">
        <f>IF($C398="",0,IF(COUNTIFS('月1回_1ヶ月前の在庫'!$V$6:$V$10005,'設定'!$C$4,'月1回_1ヶ月前の在庫'!$W$6:$W$10005,$C398)&gt;0,1,0))</f>
        <v/>
      </c>
      <c r="CX398">
        <f>IF($C398="",0,IF(COUNTIFS('月1回_2ヶ月前の在庫'!$V$6:$V$10005,'設定'!$C$4,'月1回_2ヶ月前の在庫'!$W$6:$W$10005,$C398)&gt;0,1,0))</f>
        <v/>
      </c>
      <c r="CY398">
        <f>IF(OR($C398="",'設定'!$C$12=""),"",IF('設定'!$C$13="",IF(AND($CV398=1,$CW398=0),"新商品（今月から）",IF(AND($CV398=0,$CW398=1),"終売（今月から）","")),IF(AND($CV398=1,$CW398=0,$CX398=0),"新商品（今月から）",IF(AND($CV398=1,$CW398=1,$CX398=0),"新商品（先月から）",IF(AND($CV398=0,$CW398=1,$CX398=1),"終売（今月から）",IF(AND($CV398=0,$CW398=0,$CX398=1),"終売（先月から）",IF(AND($CV398=1,$CW398=0,$CX398=1),"復活（先月は無し）","")))))))</f>
        <v/>
      </c>
    </row>
    <row r="399">
      <c r="B399">
        <f>IF(394&lt;='設定'!$C$11,394,"")</f>
        <v/>
      </c>
      <c r="C399">
        <f>IF($B399="","",IF($B399&lt;='設定'!$C$20,INDEX('商品マスタ'!$B$6:$B$1005,MATCH($B399,'商品マスタ'!$M$6:$M$1005,0)),IF($B399&lt;='設定'!$C$20+'設定'!$C$17,INDEX('①在庫を貼る'!$W$6:$W$10005,MATCH($B399-'設定'!$C$20,'①在庫を貼る'!$U$6:$U$10005,0)),IF($B399&lt;='設定'!$C$20+'設定'!$C$17+'設定'!$C$18,INDEX('月1回_1ヶ月前の在庫'!$W$6:$W$10005,MATCH($B399-'設定'!$C$20-'設定'!$C$17,'月1回_1ヶ月前の在庫'!$U$6:$U$10005,0)),INDEX('月1回_2ヶ月前の在庫'!$W$6:$W$10005,MATCH($B399-'設定'!$C$20-'設定'!$C$17-'設定'!$C$18,'月1回_2ヶ月前の在庫'!$U$6:$U$10005,0))))))</f>
        <v/>
      </c>
      <c r="D399">
        <f>IF($C399="","",IFERROR(IF(INDEX('商品マスタ'!$C$6:$C$1005,MATCH($C399,'商品マスタ'!$B$6:$B$1005,0))="",IFERROR(INDEX('①在庫を貼る'!$J$6:$J$10005,MATCH($C399,'①在庫を貼る'!$W$6:$W$10005,0)),IFERROR(INDEX('月1回_1ヶ月前の在庫'!$J$6:$J$10005,MATCH($C399,'月1回_1ヶ月前の在庫'!$W$6:$W$10005,0)),IFERROR(INDEX('月1回_2ヶ月前の在庫'!$J$6:$J$10005,MATCH($C399,'月1回_2ヶ月前の在庫'!$W$6:$W$10005,0)),""))),INDEX('商品マスタ'!$C$6:$C$1005,MATCH($C399,'商品マスタ'!$B$6:$B$1005,0))),IFERROR(INDEX('①在庫を貼る'!$J$6:$J$10005,MATCH($C399,'①在庫を貼る'!$W$6:$W$10005,0)),IFERROR(INDEX('月1回_1ヶ月前の在庫'!$J$6:$J$10005,MATCH($C399,'月1回_1ヶ月前の在庫'!$W$6:$W$10005,0)),IFERROR(INDEX('月1回_2ヶ月前の在庫'!$J$6:$J$10005,MATCH($C399,'月1回_2ヶ月前の在庫'!$W$6:$W$10005,0)),"")))))</f>
        <v/>
      </c>
      <c r="E399">
        <f>IF($C399="","",IFERROR(IF(INDEX('商品マスタ'!$D$6:$D$1005,MATCH($C399,'商品マスタ'!$B$6:$B$1005,0))="",IFERROR(INDEX('①在庫を貼る'!$H$6:$H$10005,MATCH($C399,'①在庫を貼る'!$W$6:$W$10005,0)),IFERROR(INDEX('月1回_1ヶ月前の在庫'!$H$6:$H$10005,MATCH($C399,'月1回_1ヶ月前の在庫'!$W$6:$W$10005,0)),IFERROR(INDEX('月1回_2ヶ月前の在庫'!$H$6:$H$10005,MATCH($C399,'月1回_2ヶ月前の在庫'!$W$6:$W$10005,0)),""))),INDEX('商品マスタ'!$D$6:$D$1005,MATCH($C399,'商品マスタ'!$B$6:$B$1005,0))),IFERROR(INDEX('①在庫を貼る'!$H$6:$H$10005,MATCH($C399,'①在庫を貼る'!$W$6:$W$10005,0)),IFERROR(INDEX('月1回_1ヶ月前の在庫'!$H$6:$H$10005,MATCH($C399,'月1回_1ヶ月前の在庫'!$W$6:$W$10005,0)),IFERROR(INDEX('月1回_2ヶ月前の在庫'!$H$6:$H$10005,MATCH($C399,'月1回_2ヶ月前の在庫'!$W$6:$W$10005,0)),"")))))</f>
        <v/>
      </c>
      <c r="F399">
        <f>IF($C399="","",IFERROR(IF(INDEX('商品マスタ'!$E$6:$E$1005,MATCH($C399,'商品マスタ'!$B$6:$B$1005,0))="",IFERROR(INDEX('①在庫を貼る'!$E$6:$E$10005,MATCH($C399,'①在庫を貼る'!$W$6:$W$10005,0)),IFERROR(INDEX('月1回_1ヶ月前の在庫'!$E$6:$E$10005,MATCH($C399,'月1回_1ヶ月前の在庫'!$W$6:$W$10005,0)),IFERROR(INDEX('月1回_2ヶ月前の在庫'!$E$6:$E$10005,MATCH($C399,'月1回_2ヶ月前の在庫'!$W$6:$W$10005,0)),""))),INDEX('商品マスタ'!$E$6:$E$1005,MATCH($C399,'商品マスタ'!$B$6:$B$1005,0))),IFERROR(INDEX('①在庫を貼る'!$E$6:$E$10005,MATCH($C399,'①在庫を貼る'!$W$6:$W$10005,0)),IFERROR(INDEX('月1回_1ヶ月前の在庫'!$E$6:$E$10005,MATCH($C399,'月1回_1ヶ月前の在庫'!$W$6:$W$10005,0)),IFERROR(INDEX('月1回_2ヶ月前の在庫'!$E$6:$E$10005,MATCH($C399,'月1回_2ヶ月前の在庫'!$W$6:$W$10005,0)),"")))))</f>
        <v/>
      </c>
      <c r="G399">
        <f>IF($C399="","",MAX(1,N(IFERROR(IF(INDEX('商品マスタ'!$F$6:$F$1005,MATCH($C399,'商品マスタ'!$B$6:$B$1005,0))="",IF(COUNTIFS('①在庫を貼る'!$V$6:$V$10005,'設定'!$C$4,'①在庫を貼る'!$W$6:$W$10005,$C399)&gt;0,SUMIFS('①在庫を貼る'!$K$6:$K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K$6:$K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K$6:$K$10005,'月1回_2ヶ月前の在庫'!$V$6:$V$10005,'設定'!$C$4,'月1回_2ヶ月前の在庫'!$W$6:$W$10005,$C399)/COUNTIFS('月1回_2ヶ月前の在庫'!$V$6:$V$10005,'設定'!$C$4,'月1回_2ヶ月前の在庫'!$W$6:$W$10005,$C399),0))),INDEX('商品マスタ'!$F$6:$F$1005,MATCH($C399,'商品マスタ'!$B$6:$B$1005,0))),IF(COUNTIFS('①在庫を貼る'!$V$6:$V$10005,'設定'!$C$4,'①在庫を貼る'!$W$6:$W$10005,$C399)&gt;0,SUMIFS('①在庫を貼る'!$K$6:$K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K$6:$K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K$6:$K$10005,'月1回_2ヶ月前の在庫'!$V$6:$V$10005,'設定'!$C$4,'月1回_2ヶ月前の在庫'!$W$6:$W$10005,$C399)/COUNTIFS('月1回_2ヶ月前の在庫'!$V$6:$V$10005,'設定'!$C$4,'月1回_2ヶ月前の在庫'!$W$6:$W$10005,$C399),0)))))))</f>
        <v/>
      </c>
      <c r="H399">
        <f>IF($C399="","",N(IFERROR(IF(INDEX('商品マスタ'!$G$6:$G$1005,MATCH($C399,'商品マスタ'!$B$6:$B$1005,0))="",IF(COUNTIFS('①在庫を貼る'!$V$6:$V$10005,'設定'!$C$4,'①在庫を貼る'!$W$6:$W$10005,$C399)&gt;0,SUMIFS('①在庫を貼る'!$Q$6:$Q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Q$6:$Q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Q$6:$Q$10005,'月1回_2ヶ月前の在庫'!$V$6:$V$10005,'設定'!$C$4,'月1回_2ヶ月前の在庫'!$W$6:$W$10005,$C399)/COUNTIFS('月1回_2ヶ月前の在庫'!$V$6:$V$10005,'設定'!$C$4,'月1回_2ヶ月前の在庫'!$W$6:$W$10005,$C399),0))),INDEX('商品マスタ'!$G$6:$G$1005,MATCH($C399,'商品マスタ'!$B$6:$B$1005,0))),IF(COUNTIFS('①在庫を貼る'!$V$6:$V$10005,'設定'!$C$4,'①在庫を貼る'!$W$6:$W$10005,$C399)&gt;0,SUMIFS('①在庫を貼る'!$Q$6:$Q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Q$6:$Q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Q$6:$Q$10005,'月1回_2ヶ月前の在庫'!$V$6:$V$10005,'設定'!$C$4,'月1回_2ヶ月前の在庫'!$W$6:$W$10005,$C399)/COUNTIFS('月1回_2ヶ月前の在庫'!$V$6:$V$10005,'設定'!$C$4,'月1回_2ヶ月前の在庫'!$W$6:$W$10005,$C399),0))))))</f>
        <v/>
      </c>
      <c r="I399">
        <f>IF($C399="","",IF(COUNTIFS('①在庫を貼る'!$V$6:$V$10005,'設定'!$C$4,'①在庫を貼る'!$W$6:$W$10005,$C399)=0,"",SUMIFS('①在庫を貼る'!$N$6:$N$10005,'①在庫を貼る'!$V$6:$V$10005,'設定'!$C$4,'①在庫を貼る'!$W$6:$W$10005,$C399)))</f>
        <v/>
      </c>
      <c r="J399">
        <f>IF($C399="","",IF('②発注する'!$AD403="","",'②発注する'!$AD403))</f>
        <v/>
      </c>
      <c r="K399" s="90">
        <f>IF($C399="","",IF('②発注する'!$AE403="","",'②発注する'!$AE403))</f>
        <v/>
      </c>
      <c r="L399">
        <f>IF($C399="","",IF(AND(ISNUMBER($J399),ISNUMBER($K399),$K399&gt;='設定'!$C$6),$J399,N($I399)))</f>
        <v/>
      </c>
      <c r="M399">
        <f>IF($C399="","",IFERROR(IF(N(INDEX('商品マスタ'!$J$6:$J$1005,MATCH($C399,'商品マスタ'!$B$6:$B$1005,0)))&gt;0,INDEX('商品マスタ'!$J$6:$J$1005,MATCH($C399,'商品マスタ'!$B$6:$B$1005,0)),""),""))</f>
        <v/>
      </c>
      <c r="N399">
        <f>IF($C399="","",IFERROR(IF(N(INDEX('商品マスタ'!$H$6:$H$1005,MATCH($C399,'商品マスタ'!$B$6:$B$1005,0)))&gt;0,INDEX('商品マスタ'!$H$6:$H$1005,MATCH($C399,'商品マスタ'!$B$6:$B$1005,0)),""),""))</f>
        <v/>
      </c>
      <c r="O399">
        <f>IF($C399="","",IF($N399&lt;&gt;"",$N399*$G399,IF(N(IF(COUNTIFS('①在庫を貼る'!$V$6:$V$10005,'設定'!$C$4,'①在庫を貼る'!$W$6:$W$10005,$C399)&gt;0,SUMIFS('①在庫を貼る'!$O$6:$O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O$6:$O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O$6:$O$10005,'月1回_2ヶ月前の在庫'!$V$6:$V$10005,'設定'!$C$4,'月1回_2ヶ月前の在庫'!$W$6:$W$10005,$C399)/COUNTIFS('月1回_2ヶ月前の在庫'!$V$6:$V$10005,'設定'!$C$4,'月1回_2ヶ月前の在庫'!$W$6:$W$10005,$C399),0))))&gt;0,N(IF(COUNTIFS('①在庫を貼る'!$V$6:$V$10005,'設定'!$C$4,'①在庫を貼る'!$W$6:$W$10005,$C399)&gt;0,SUMIFS('①在庫を貼る'!$O$6:$O$10005,'①在庫を貼る'!$V$6:$V$10005,'設定'!$C$4,'①在庫を貼る'!$W$6:$W$10005,$C399)/COUNTIFS('①在庫を貼る'!$V$6:$V$10005,'設定'!$C$4,'①在庫を貼る'!$W$6:$W$10005,$C399),IF(COUNTIFS('月1回_1ヶ月前の在庫'!$V$6:$V$10005,'設定'!$C$4,'月1回_1ヶ月前の在庫'!$W$6:$W$10005,$C399)&gt;0,SUMIFS('月1回_1ヶ月前の在庫'!$O$6:$O$10005,'月1回_1ヶ月前の在庫'!$V$6:$V$10005,'設定'!$C$4,'月1回_1ヶ月前の在庫'!$W$6:$W$10005,$C399)/COUNTIFS('月1回_1ヶ月前の在庫'!$V$6:$V$10005,'設定'!$C$4,'月1回_1ヶ月前の在庫'!$W$6:$W$10005,$C399),IF(COUNTIFS('月1回_2ヶ月前の在庫'!$V$6:$V$10005,'設定'!$C$4,'月1回_2ヶ月前の在庫'!$W$6:$W$10005,$C399)&gt;0,SUMIFS('月1回_2ヶ月前の在庫'!$O$6:$O$10005,'月1回_2ヶ月前の在庫'!$V$6:$V$10005,'設定'!$C$4,'月1回_2ヶ月前の在庫'!$W$6:$W$10005,$C399)/COUNTIFS('月1回_2ヶ月前の在庫'!$V$6:$V$10005,'設定'!$C$4,'月1回_2ヶ月前の在庫'!$W$6:$W$10005,$C399),0)))),"")))</f>
        <v/>
      </c>
      <c r="P399" s="90">
        <f>IF($C399="","",IF('②発注する'!$I403="","",'②発注する'!$I403))</f>
        <v/>
      </c>
      <c r="Q399">
        <f>IF($C399="","",IF('②発注する'!$J403="","",'②発注する'!$J403))</f>
        <v/>
      </c>
      <c r="R399">
        <f>IF($C399="",0,IF(AND(ISNUMBER($P399),ISNUMBER($Q399)),MAX(0,$Q399)*$G399,0))</f>
        <v/>
      </c>
      <c r="S399" s="90">
        <f>IF($C399="","",IF('②発注する'!$M403="","",'②発注する'!$M403))</f>
        <v/>
      </c>
      <c r="T399">
        <f>IF($C399="","",IF('②発注する'!$N403="","",'②発注する'!$N403))</f>
        <v/>
      </c>
      <c r="U399">
        <f>IF($C399="",0,IF(AND(ISNUMBER($S399),ISNUMBER($T399)),MAX(0,$T399)*$G399,0))</f>
        <v/>
      </c>
      <c r="V399">
        <f>IF($C399="",0,IF($M399="",0,MAX(0,$M399)*MAX(0,V$4)/100))</f>
        <v/>
      </c>
      <c r="W399">
        <f>IF($C399="",0,IF($M399="",0,MAX(0,$M399)*MAX(0,W$4)/100))</f>
        <v/>
      </c>
      <c r="X399">
        <f>IF($C399="",0,IF($M399="",0,MAX(0,$M399)*MAX(0,X$4)/100))</f>
        <v/>
      </c>
      <c r="Y399">
        <f>IF($C399="",0,IF($M399="",0,MAX(0,$M399)*MAX(0,Y$4)/100))</f>
        <v/>
      </c>
      <c r="Z399">
        <f>IF($C399="",0,IF($M399="",0,MAX(0,$M399)*MAX(0,Z$4)/100))</f>
        <v/>
      </c>
      <c r="AA399">
        <f>IF($C399="",0,IF($M399="",0,MAX(0,$M399)*MAX(0,AA$4)/100))</f>
        <v/>
      </c>
      <c r="AB399">
        <f>IF($C399="",0,IF($M399="",0,MAX(0,$M399)*MAX(0,AB$4)/100))</f>
        <v/>
      </c>
      <c r="AC399">
        <f>IF($C399="",0,IF($M399="",0,MAX(0,$M399)*MAX(0,AC$4)/100))</f>
        <v/>
      </c>
      <c r="AD399">
        <f>IF($C399="",0,IF($M399="",0,MAX(0,$M399)*MAX(0,AD$4)/100))</f>
        <v/>
      </c>
      <c r="AE399">
        <f>IF($C399="",0,IF($M399="",0,MAX(0,$M399)*MAX(0,AE$4)/100))</f>
        <v/>
      </c>
      <c r="AF399">
        <f>IF($C399="",0,IF($M399="",0,MAX(0,$M399)*MAX(0,AF$4)/100))</f>
        <v/>
      </c>
      <c r="AG399">
        <f>IF($C399="",0,IF($M399="",0,MAX(0,$M399)*MAX(0,AG$4)/100))</f>
        <v/>
      </c>
      <c r="AH399">
        <f>IF($C399="",0,IF($M399="",0,MAX(0,$M399)*MAX(0,AH$4)/100))</f>
        <v/>
      </c>
      <c r="AI399">
        <f>IF($C399="",0,IF($M399="",0,MAX(0,$M399)*MAX(0,AI$4)/100))</f>
        <v/>
      </c>
      <c r="AJ399">
        <f>IF($C399="",0,MAX(0,MAX(0,N($L399))-$V399))</f>
        <v/>
      </c>
      <c r="AK399">
        <f>IF($C399="",0,MAX(0,$AJ399-$W399))</f>
        <v/>
      </c>
      <c r="AL399">
        <f>IF($C399="",0,MAX(0,$AK399-$X399))</f>
        <v/>
      </c>
      <c r="AM399">
        <f>IF($C399="",0,MAX(0,$AL399-$Y399))</f>
        <v/>
      </c>
      <c r="AN399">
        <f>IF($C399="",0,MAX(0,$AM399-$Z399))</f>
        <v/>
      </c>
      <c r="AO399">
        <f>IF($C399="",0,MAX(0,$AN399-$AA399))</f>
        <v/>
      </c>
      <c r="AP399">
        <f>IF($C399="",0,MAX(0,$AO399-$AB399))</f>
        <v/>
      </c>
      <c r="AQ399">
        <f>IF($C399="",0,MAX(0,$AP399-$AC399))</f>
        <v/>
      </c>
      <c r="AR399">
        <f>IF($C399="",0,MAX(0,$AQ399-$AD399))</f>
        <v/>
      </c>
      <c r="AS399">
        <f>IF($C399="",0,MAX(0,$AR399-$AE399))</f>
        <v/>
      </c>
      <c r="AT399">
        <f>IF($C399="",0,MAX(0,$AS399-$AF399))</f>
        <v/>
      </c>
      <c r="AU399">
        <f>IF($C399="",0,MAX(0,$AT399-$AG399))</f>
        <v/>
      </c>
      <c r="AV399">
        <f>IF($C399="",0,MAX(0,$AU399-$AH399))</f>
        <v/>
      </c>
      <c r="AW399">
        <f>IF($C399="",0,MAX(0,$AV399-$AI399))</f>
        <v/>
      </c>
      <c r="AX399">
        <f>IF($C399="",0,MAX(0,MAX(0,N($L399))+IF($P399=V$3,$R399,0)+IF($S399=V$3,$U399,0)-$V399))</f>
        <v/>
      </c>
      <c r="AY399">
        <f>IF($C399="",0,MAX(0,$AX399+IF($P399=W$3,$R399,0)+IF($S399=W$3,$U399,0)-$W399))</f>
        <v/>
      </c>
      <c r="AZ399">
        <f>IF($C399="",0,MAX(0,$AY399+IF($P399=X$3,$R399,0)+IF($S399=X$3,$U399,0)-$X399))</f>
        <v/>
      </c>
      <c r="BA399">
        <f>IF($C399="",0,MAX(0,$AZ399+IF($P399=Y$3,$R399,0)+IF($S399=Y$3,$U399,0)-$Y399))</f>
        <v/>
      </c>
      <c r="BB399">
        <f>IF($C399="",0,MAX(0,$BA399+IF($P399=Z$3,$R399,0)+IF($S399=Z$3,$U399,0)-$Z399))</f>
        <v/>
      </c>
      <c r="BC399">
        <f>IF($C399="",0,MAX(0,$BB399+IF($P399=AA$3,$R399,0)+IF($S399=AA$3,$U399,0)-$AA399))</f>
        <v/>
      </c>
      <c r="BD399">
        <f>IF($C399="",0,MAX(0,$BC399+IF($P399=AB$3,$R399,0)+IF($S399=AB$3,$U399,0)-$AB399))</f>
        <v/>
      </c>
      <c r="BE399">
        <f>IF($C399="",0,MAX(0,$BD399+IF($P399=AC$3,$R399,0)+IF($S399=AC$3,$U399,0)-$AC399))</f>
        <v/>
      </c>
      <c r="BF399">
        <f>IF($C399="",0,MAX(0,$BE399+IF($P399=AD$3,$R399,0)+IF($S399=AD$3,$U399,0)-$AD399))</f>
        <v/>
      </c>
      <c r="BG399">
        <f>IF($C399="",0,MAX(0,$BF399+IF($P399=AE$3,$R399,0)+IF($S399=AE$3,$U399,0)-$AE399))</f>
        <v/>
      </c>
      <c r="BH399">
        <f>IF($C399="",0,MAX(0,$BG399+IF($P399=AF$3,$R399,0)+IF($S399=AF$3,$U399,0)-$AF399))</f>
        <v/>
      </c>
      <c r="BI399">
        <f>IF($C399="",0,MAX(0,$BH399+IF($P399=AG$3,$R399,0)+IF($S399=AG$3,$U399,0)-$AG399))</f>
        <v/>
      </c>
      <c r="BJ399">
        <f>IF($C399="",0,MAX(0,$BI399+IF($P399=AH$3,$R399,0)+IF($S399=AH$3,$U399,0)-$AH399))</f>
        <v/>
      </c>
      <c r="BK399">
        <f>IF($C399="",0,MAX(0,$BJ399+IF($P399=AI$3,$R399,0)+IF($S399=AI$3,$U399,0)-$AI399))</f>
        <v/>
      </c>
      <c r="BL399">
        <f>IF($C399="",99,IF(AND($AX399&lt;1,V$3&gt;=MAX(N($P399),N($S399))),0,99))</f>
        <v/>
      </c>
      <c r="BM399">
        <f>IF($C399="",99,IF(AND($AY399&lt;1,W$3&gt;=MAX(N($P399),N($S399))),1,99))</f>
        <v/>
      </c>
      <c r="BN399">
        <f>IF($C399="",99,IF(AND($AZ399&lt;1,X$3&gt;=MAX(N($P399),N($S399))),2,99))</f>
        <v/>
      </c>
      <c r="BO399">
        <f>IF($C399="",99,IF(AND($BA399&lt;1,Y$3&gt;=MAX(N($P399),N($S399))),3,99))</f>
        <v/>
      </c>
      <c r="BP399">
        <f>IF($C399="",99,IF(AND($BB399&lt;1,Z$3&gt;=MAX(N($P399),N($S399))),4,99))</f>
        <v/>
      </c>
      <c r="BQ399">
        <f>IF($C399="",99,IF(AND($BC399&lt;1,AA$3&gt;=MAX(N($P399),N($S399))),5,99))</f>
        <v/>
      </c>
      <c r="BR399">
        <f>IF($C399="",99,IF(AND($BD399&lt;1,AB$3&gt;=MAX(N($P399),N($S399))),6,99))</f>
        <v/>
      </c>
      <c r="BS399">
        <f>IF($C399="",99,IF(AND($BE399&lt;1,AC$3&gt;=MAX(N($P399),N($S399))),7,99))</f>
        <v/>
      </c>
      <c r="BT399">
        <f>IF($C399="",99,IF(AND($BF399&lt;1,AD$3&gt;=MAX(N($P399),N($S399))),8,99))</f>
        <v/>
      </c>
      <c r="BU399">
        <f>IF($C399="",99,IF(AND($BG399&lt;1,AE$3&gt;=MAX(N($P399),N($S399))),9,99))</f>
        <v/>
      </c>
      <c r="BV399">
        <f>IF($C399="",99,IF(AND($BH399&lt;1,AF$3&gt;=MAX(N($P399),N($S399))),10,99))</f>
        <v/>
      </c>
      <c r="BW399">
        <f>IF($C399="",99,IF(AND($BI399&lt;1,AG$3&gt;=MAX(N($P399),N($S399))),11,99))</f>
        <v/>
      </c>
      <c r="BX399">
        <f>IF($C399="",99,IF(AND($BJ399&lt;1,AH$3&gt;=MAX(N($P399),N($S399))),12,99))</f>
        <v/>
      </c>
      <c r="BY399">
        <f>IF($C399="",99,IF(AND($BK399&lt;1,AI$3&gt;=MAX(N($P399),N($S399))),13,99))</f>
        <v/>
      </c>
      <c r="BZ399">
        <f>IF(OR($C399="",$M399=""),"",COUNTIF($AJ399:$AW399,"&gt;=1"))</f>
        <v/>
      </c>
      <c r="CA399" s="90">
        <f>IF($BZ399="","",IF($BZ399&gt;=14,"",'設定'!$C$6+$BZ399))</f>
        <v/>
      </c>
      <c r="CB399">
        <f>IF(OR($C399="",$M399=""),"",MIN($BL399:$BY399))</f>
        <v/>
      </c>
      <c r="CC399" s="90">
        <f>IF($CB399="","",IF($CB399&gt;=99,"",'設定'!$C$6+$CB399))</f>
        <v/>
      </c>
      <c r="CD399">
        <f>IF(OR($C399="",$M399=""),"",AVERAGE($V399:$AI399))</f>
        <v/>
      </c>
      <c r="CE399">
        <f>IF($C399="","",IFERROR(IF(MATCH(IF(ISNUMBER($P399),$P399,'設定'!$C$6+N('設定'!$C$7)),$V$3:$AI$3,0)=1,MAX(0,N($L399)),INDEX($AJ399:$AW399,MATCH(IF(ISNUMBER($P399),$P399,'設定'!$C$6+N('設定'!$C$7)),$V$3:$AI$3,0)-1)),""))</f>
        <v/>
      </c>
      <c r="CF399">
        <f>IF(OR($C399="",$O399="",$CE399=""),"",IF($O399-$CE399&lt;=0,0,ROUNDUP(($O399-$CE399)/$G399,0)))</f>
        <v/>
      </c>
      <c r="CG399">
        <f>IF(OR($C399="",$CF399="",NOT(ISNUMBER($Q399))),0,MAX(0,$Q399-$CF399))</f>
        <v/>
      </c>
      <c r="CH399">
        <f>IF(OR($C399="",$O399="",$U399=0),0,IFERROR(ROUNDUP(MAX(0,IF(MATCH($S399,$V$3:$AI$3,0)=1,MAX(0,N($L399)),INDEX($AX399:$BK399,MATCH($S399,$V$3:$AI$3,0)-1))+$U399-$O399)/$G399,0),0))</f>
        <v/>
      </c>
      <c r="CI399">
        <f>IF($C399="","",IF(AND($P399="",$Q399=""),"",IF($P399="","⚠ 入庫日を ▼ から選んでください",IF(NOT(ISNUMBER($P399)),"⚠ 入庫日は ▼ から選んでください",IF($P399&lt;N('設定'!$C$6),"⚠ 入庫日が過去です（もう在庫に入っています）→ 消してください",IF($P399&gt;N('設定'!$C$6)+13,"⚠ 入庫日が14日より先です",IF(N($Q399)&lt;=0,"⚠ 入庫数を入れてください",IF($CG399&gt;0,"⚠ 目安より "&amp;$CG399&amp;" 多い（定数を超える）→ 減らす",""))))))))</f>
        <v/>
      </c>
      <c r="CJ399">
        <f>IF($C399="","",IF(AND($S399="",$T399=""),"",IF($S399="","⚠ 2便目：入庫日を ▼ から選んでください",IF(NOT(ISNUMBER($S399)),"⚠ 2便目：入庫日は ▼ から選んでください",IF($S399&lt;N('設定'!$C$6),"⚠ 2便目：入庫日が過去です（もう在庫に入っています）→ 消してください",IF($S399&gt;N('設定'!$C$6)+13,"⚠ 2便目：入庫日が14日より先です",IF(N($T399)&lt;=0,"⚠ 2便目：入庫数を入れてください",IF($CH399&gt;0,"⚠ 2便目：定数を "&amp;$CH399&amp;" ケース超える → 減らす",""))))))))</f>
        <v/>
      </c>
      <c r="CK399">
        <f>IF(AND($CI399="",N($Q399)&gt;0,ISNUMBER($P399)),1,0)</f>
        <v/>
      </c>
      <c r="CL399">
        <f>IF(AND($CJ399="",N($T399)&gt;0,ISNUMBER($S399)),1,0)</f>
        <v/>
      </c>
      <c r="CM399">
        <f>IF(OR($CK399=1,$CL399=1),1,0)</f>
        <v/>
      </c>
      <c r="CN399">
        <f>IF($C399="",0,($CK399*$R399+$CL399*$U399)*N($H399))</f>
        <v/>
      </c>
      <c r="CO399">
        <f>IF($C399="","",IF($CC399="","入庫後は 14日以上もつ",IF($CC399-N('設定'!$C$7)&lt;='設定'!$C$6,"入庫後も "&amp;TEXT($CC399,"m/d")&amp;"("&amp;CHOOSE(WEEKDAY($CC399),"日","月","火","水","木","金","土")&amp;")"&amp;" に切れる　もう1便を至急発注","入庫後も "&amp;TEXT($CC399,"m/d")&amp;"("&amp;CHOOSE(WEEKDAY($CC399),"日","月","火","水","木","金","土")&amp;")"&amp;" に切れる　"&amp;TEXT($CC399-N('設定'!$C$7),"m/d")&amp;"("&amp;CHOOSE(WEEKDAY($CC399-N('設定'!$C$7)),"日","月","火","水","木","金","土")&amp;")"&amp;" までに次を発注")))</f>
        <v/>
      </c>
      <c r="CP399">
        <f>IF($C399="","",IF('設定'!$C$6="","？ ①在庫を貼る に今日のCSVが貼られていない",IF($CS399=1,"－ 今日のCSVに無い（終売？）",IF($L399&lt;0,"● 在庫がマイナス　数えて「数えた在庫」に入れる",IF($L399=0,"● 在庫なし　至急発注",IF($M399="","？ 減り数が未設定（商品マスタ）",IF($B$3=0,"？ 動員が未入力（動員を入れる）",IF($CA399="","○ 14日以上もつ",IF($BZ399&lt;N('設定'!$C$7),"● "&amp;TEXT($CA399,"m/d")&amp;"("&amp;CHOOSE(WEEKDAY($CA399),"日","月","火","水","木","金","土")&amp;")"&amp;" に切れる　至急発注",IF($BZ399=N('設定'!$C$7),"● "&amp;TEXT($CA399,"m/d")&amp;"("&amp;CHOOSE(WEEKDAY($CA399),"日","月","火","水","木","金","土")&amp;")"&amp;" に切れる　今日発注","△ "&amp;TEXT($CA399,"m/d")&amp;"("&amp;CHOOSE(WEEKDAY($CA399),"日","月","火","水","木","金","土")&amp;")"&amp;" に切れる　"&amp;TEXT($CA399-N('設定'!$C$7),"m/d")&amp;"("&amp;CHOOSE(WEEKDAY($CA399-N('設定'!$C$7)),"日","月","火","水","木","金","土")&amp;")"&amp;" までに発注"))))))))))</f>
        <v/>
      </c>
      <c r="CQ399">
        <f>IF($C399="","",IF(AND($P399="",$Q399="",$S399="",$T399=""),"",IF(AND($P399="",$Q399=""),"⚠ 先に1便目（左の入庫日・入庫数）に入れてください",IF($CI399&lt;&gt;"",$CI399,IF($CJ399&lt;&gt;"",$CJ399,IF($M399="","？ 減り数が未設定（発注書には載ります）",IF($B$3=0,"？ 動員が未入力（発注書には載ります）",IF(AND($CA399&lt;&gt;"",$P399&gt;$CA399),IF($P399&gt;'設定'!$C$6+N('設定'!$C$7),"● "&amp;TEXT($P399,"m/d")&amp;"("&amp;CHOOSE(WEEKDAY($P399),"日","月","火","水","木","金","土")&amp;")"&amp;" の入庫では間に合わない（"&amp;TEXT($CA399,"m/d")&amp;"("&amp;CHOOSE(WEEKDAY($CA399),"日","月","火","水","木","金","土")&amp;")"&amp;" に切れる）　入庫日を早める","△ 欠品 "&amp;TEXT($CA399,"m/d")&amp;"("&amp;CHOOSE(WEEKDAY($CA399),"日","月","火","水","木","金","土")&amp;")"&amp;"〜"&amp;TEXT($P399-1,"m/d")&amp;"("&amp;CHOOSE(WEEKDAY($P399-1),"日","月","火","水","木","金","土")&amp;")"&amp;"　"&amp;$CO399),IF($CC399="","○ "&amp;TEXT($P399,"m/d")&amp;"("&amp;CHOOSE(WEEKDAY($P399),"日","月","火","水","木","金","土")&amp;")"&amp;" 入庫で 14日以上もつ",IF($CC399-N('設定'!$C$7)&lt;='設定'!$C$6,"● 入庫しても "&amp;TEXT($CC399,"m/d")&amp;"("&amp;CHOOSE(WEEKDAY($CC399),"日","月","火","水","木","金","土")&amp;")"&amp;" に切れる　もう1便を至急発注（2便目に入れる）","△ 入庫しても "&amp;TEXT($CC399,"m/d")&amp;"("&amp;CHOOSE(WEEKDAY($CC399),"日","月","火","水","木","金","土")&amp;")"&amp;" に切れる　"&amp;TEXT($CC399-N('設定'!$C$7),"m/d")&amp;"("&amp;CHOOSE(WEEKDAY($CC399-N('設定'!$C$7)),"日","月","火","水","木","金","土")&amp;")"&amp;" までに次を発注（2便目に入れる）"))))))))))</f>
        <v/>
      </c>
      <c r="CR399">
        <f>IF($C399="","",IF($G399&gt;1,"ｹｰｽ("&amp;$G399&amp;"入)","個"))</f>
        <v/>
      </c>
      <c r="CS399">
        <f>IF($C399="",0,IF(COUNTIFS('①在庫を貼る'!$V$6:$V$10005,'設定'!$C$4,'①在庫を貼る'!$W$6:$W$10005,$C399)=0,1,0))</f>
        <v/>
      </c>
      <c r="CT399">
        <f>IF(AND($CK399=1,OR('③発注書'!$C$4="すべて",'③発注書'!$C$4="",$F399='③発注書'!$C$4)),N($CT398)+1,N($CT398))</f>
        <v/>
      </c>
      <c r="CU399">
        <f>IF(AND($CL399=1,OR('③発注書'!$C$4="すべて",'③発注書'!$C$4="",$F399='③発注書'!$C$4)),N($CU398)+1,N($CU398))</f>
        <v/>
      </c>
      <c r="CV399">
        <f>IF($C399="",0,IF(COUNTIFS('①在庫を貼る'!$V$6:$V$10005,'設定'!$C$4,'①在庫を貼る'!$W$6:$W$10005,$C399)&gt;0,1,0))</f>
        <v/>
      </c>
      <c r="CW399">
        <f>IF($C399="",0,IF(COUNTIFS('月1回_1ヶ月前の在庫'!$V$6:$V$10005,'設定'!$C$4,'月1回_1ヶ月前の在庫'!$W$6:$W$10005,$C399)&gt;0,1,0))</f>
        <v/>
      </c>
      <c r="CX399">
        <f>IF($C399="",0,IF(COUNTIFS('月1回_2ヶ月前の在庫'!$V$6:$V$10005,'設定'!$C$4,'月1回_2ヶ月前の在庫'!$W$6:$W$10005,$C399)&gt;0,1,0))</f>
        <v/>
      </c>
      <c r="CY399">
        <f>IF(OR($C399="",'設定'!$C$12=""),"",IF('設定'!$C$13="",IF(AND($CV399=1,$CW399=0),"新商品（今月から）",IF(AND($CV399=0,$CW399=1),"終売（今月から）","")),IF(AND($CV399=1,$CW399=0,$CX399=0),"新商品（今月から）",IF(AND($CV399=1,$CW399=1,$CX399=0),"新商品（先月から）",IF(AND($CV399=0,$CW399=1,$CX399=1),"終売（今月から）",IF(AND($CV399=0,$CW399=0,$CX399=1),"終売（先月から）",IF(AND($CV399=1,$CW399=0,$CX399=1),"復活（先月は無し）","")))))))</f>
        <v/>
      </c>
    </row>
    <row r="400">
      <c r="B400">
        <f>IF(395&lt;='設定'!$C$11,395,"")</f>
        <v/>
      </c>
      <c r="C400">
        <f>IF($B400="","",IF($B400&lt;='設定'!$C$20,INDEX('商品マスタ'!$B$6:$B$1005,MATCH($B400,'商品マスタ'!$M$6:$M$1005,0)),IF($B400&lt;='設定'!$C$20+'設定'!$C$17,INDEX('①在庫を貼る'!$W$6:$W$10005,MATCH($B400-'設定'!$C$20,'①在庫を貼る'!$U$6:$U$10005,0)),IF($B400&lt;='設定'!$C$20+'設定'!$C$17+'設定'!$C$18,INDEX('月1回_1ヶ月前の在庫'!$W$6:$W$10005,MATCH($B400-'設定'!$C$20-'設定'!$C$17,'月1回_1ヶ月前の在庫'!$U$6:$U$10005,0)),INDEX('月1回_2ヶ月前の在庫'!$W$6:$W$10005,MATCH($B400-'設定'!$C$20-'設定'!$C$17-'設定'!$C$18,'月1回_2ヶ月前の在庫'!$U$6:$U$10005,0))))))</f>
        <v/>
      </c>
      <c r="D400">
        <f>IF($C400="","",IFERROR(IF(INDEX('商品マスタ'!$C$6:$C$1005,MATCH($C400,'商品マスタ'!$B$6:$B$1005,0))="",IFERROR(INDEX('①在庫を貼る'!$J$6:$J$10005,MATCH($C400,'①在庫を貼る'!$W$6:$W$10005,0)),IFERROR(INDEX('月1回_1ヶ月前の在庫'!$J$6:$J$10005,MATCH($C400,'月1回_1ヶ月前の在庫'!$W$6:$W$10005,0)),IFERROR(INDEX('月1回_2ヶ月前の在庫'!$J$6:$J$10005,MATCH($C400,'月1回_2ヶ月前の在庫'!$W$6:$W$10005,0)),""))),INDEX('商品マスタ'!$C$6:$C$1005,MATCH($C400,'商品マスタ'!$B$6:$B$1005,0))),IFERROR(INDEX('①在庫を貼る'!$J$6:$J$10005,MATCH($C400,'①在庫を貼る'!$W$6:$W$10005,0)),IFERROR(INDEX('月1回_1ヶ月前の在庫'!$J$6:$J$10005,MATCH($C400,'月1回_1ヶ月前の在庫'!$W$6:$W$10005,0)),IFERROR(INDEX('月1回_2ヶ月前の在庫'!$J$6:$J$10005,MATCH($C400,'月1回_2ヶ月前の在庫'!$W$6:$W$10005,0)),"")))))</f>
        <v/>
      </c>
      <c r="E400">
        <f>IF($C400="","",IFERROR(IF(INDEX('商品マスタ'!$D$6:$D$1005,MATCH($C400,'商品マスタ'!$B$6:$B$1005,0))="",IFERROR(INDEX('①在庫を貼る'!$H$6:$H$10005,MATCH($C400,'①在庫を貼る'!$W$6:$W$10005,0)),IFERROR(INDEX('月1回_1ヶ月前の在庫'!$H$6:$H$10005,MATCH($C400,'月1回_1ヶ月前の在庫'!$W$6:$W$10005,0)),IFERROR(INDEX('月1回_2ヶ月前の在庫'!$H$6:$H$10005,MATCH($C400,'月1回_2ヶ月前の在庫'!$W$6:$W$10005,0)),""))),INDEX('商品マスタ'!$D$6:$D$1005,MATCH($C400,'商品マスタ'!$B$6:$B$1005,0))),IFERROR(INDEX('①在庫を貼る'!$H$6:$H$10005,MATCH($C400,'①在庫を貼る'!$W$6:$W$10005,0)),IFERROR(INDEX('月1回_1ヶ月前の在庫'!$H$6:$H$10005,MATCH($C400,'月1回_1ヶ月前の在庫'!$W$6:$W$10005,0)),IFERROR(INDEX('月1回_2ヶ月前の在庫'!$H$6:$H$10005,MATCH($C400,'月1回_2ヶ月前の在庫'!$W$6:$W$10005,0)),"")))))</f>
        <v/>
      </c>
      <c r="F400">
        <f>IF($C400="","",IFERROR(IF(INDEX('商品マスタ'!$E$6:$E$1005,MATCH($C400,'商品マスタ'!$B$6:$B$1005,0))="",IFERROR(INDEX('①在庫を貼る'!$E$6:$E$10005,MATCH($C400,'①在庫を貼る'!$W$6:$W$10005,0)),IFERROR(INDEX('月1回_1ヶ月前の在庫'!$E$6:$E$10005,MATCH($C400,'月1回_1ヶ月前の在庫'!$W$6:$W$10005,0)),IFERROR(INDEX('月1回_2ヶ月前の在庫'!$E$6:$E$10005,MATCH($C400,'月1回_2ヶ月前の在庫'!$W$6:$W$10005,0)),""))),INDEX('商品マスタ'!$E$6:$E$1005,MATCH($C400,'商品マスタ'!$B$6:$B$1005,0))),IFERROR(INDEX('①在庫を貼る'!$E$6:$E$10005,MATCH($C400,'①在庫を貼る'!$W$6:$W$10005,0)),IFERROR(INDEX('月1回_1ヶ月前の在庫'!$E$6:$E$10005,MATCH($C400,'月1回_1ヶ月前の在庫'!$W$6:$W$10005,0)),IFERROR(INDEX('月1回_2ヶ月前の在庫'!$E$6:$E$10005,MATCH($C400,'月1回_2ヶ月前の在庫'!$W$6:$W$10005,0)),"")))))</f>
        <v/>
      </c>
      <c r="G400">
        <f>IF($C400="","",MAX(1,N(IFERROR(IF(INDEX('商品マスタ'!$F$6:$F$1005,MATCH($C400,'商品マスタ'!$B$6:$B$1005,0))="",IF(COUNTIFS('①在庫を貼る'!$V$6:$V$10005,'設定'!$C$4,'①在庫を貼る'!$W$6:$W$10005,$C400)&gt;0,SUMIFS('①在庫を貼る'!$K$6:$K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K$6:$K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K$6:$K$10005,'月1回_2ヶ月前の在庫'!$V$6:$V$10005,'設定'!$C$4,'月1回_2ヶ月前の在庫'!$W$6:$W$10005,$C400)/COUNTIFS('月1回_2ヶ月前の在庫'!$V$6:$V$10005,'設定'!$C$4,'月1回_2ヶ月前の在庫'!$W$6:$W$10005,$C400),0))),INDEX('商品マスタ'!$F$6:$F$1005,MATCH($C400,'商品マスタ'!$B$6:$B$1005,0))),IF(COUNTIFS('①在庫を貼る'!$V$6:$V$10005,'設定'!$C$4,'①在庫を貼る'!$W$6:$W$10005,$C400)&gt;0,SUMIFS('①在庫を貼る'!$K$6:$K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K$6:$K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K$6:$K$10005,'月1回_2ヶ月前の在庫'!$V$6:$V$10005,'設定'!$C$4,'月1回_2ヶ月前の在庫'!$W$6:$W$10005,$C400)/COUNTIFS('月1回_2ヶ月前の在庫'!$V$6:$V$10005,'設定'!$C$4,'月1回_2ヶ月前の在庫'!$W$6:$W$10005,$C400),0)))))))</f>
        <v/>
      </c>
      <c r="H400">
        <f>IF($C400="","",N(IFERROR(IF(INDEX('商品マスタ'!$G$6:$G$1005,MATCH($C400,'商品マスタ'!$B$6:$B$1005,0))="",IF(COUNTIFS('①在庫を貼る'!$V$6:$V$10005,'設定'!$C$4,'①在庫を貼る'!$W$6:$W$10005,$C400)&gt;0,SUMIFS('①在庫を貼る'!$Q$6:$Q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Q$6:$Q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Q$6:$Q$10005,'月1回_2ヶ月前の在庫'!$V$6:$V$10005,'設定'!$C$4,'月1回_2ヶ月前の在庫'!$W$6:$W$10005,$C400)/COUNTIFS('月1回_2ヶ月前の在庫'!$V$6:$V$10005,'設定'!$C$4,'月1回_2ヶ月前の在庫'!$W$6:$W$10005,$C400),0))),INDEX('商品マスタ'!$G$6:$G$1005,MATCH($C400,'商品マスタ'!$B$6:$B$1005,0))),IF(COUNTIFS('①在庫を貼る'!$V$6:$V$10005,'設定'!$C$4,'①在庫を貼る'!$W$6:$W$10005,$C400)&gt;0,SUMIFS('①在庫を貼る'!$Q$6:$Q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Q$6:$Q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Q$6:$Q$10005,'月1回_2ヶ月前の在庫'!$V$6:$V$10005,'設定'!$C$4,'月1回_2ヶ月前の在庫'!$W$6:$W$10005,$C400)/COUNTIFS('月1回_2ヶ月前の在庫'!$V$6:$V$10005,'設定'!$C$4,'月1回_2ヶ月前の在庫'!$W$6:$W$10005,$C400),0))))))</f>
        <v/>
      </c>
      <c r="I400">
        <f>IF($C400="","",IF(COUNTIFS('①在庫を貼る'!$V$6:$V$10005,'設定'!$C$4,'①在庫を貼る'!$W$6:$W$10005,$C400)=0,"",SUMIFS('①在庫を貼る'!$N$6:$N$10005,'①在庫を貼る'!$V$6:$V$10005,'設定'!$C$4,'①在庫を貼る'!$W$6:$W$10005,$C400)))</f>
        <v/>
      </c>
      <c r="J400">
        <f>IF($C400="","",IF('②発注する'!$AD404="","",'②発注する'!$AD404))</f>
        <v/>
      </c>
      <c r="K400" s="90">
        <f>IF($C400="","",IF('②発注する'!$AE404="","",'②発注する'!$AE404))</f>
        <v/>
      </c>
      <c r="L400">
        <f>IF($C400="","",IF(AND(ISNUMBER($J400),ISNUMBER($K400),$K400&gt;='設定'!$C$6),$J400,N($I400)))</f>
        <v/>
      </c>
      <c r="M400">
        <f>IF($C400="","",IFERROR(IF(N(INDEX('商品マスタ'!$J$6:$J$1005,MATCH($C400,'商品マスタ'!$B$6:$B$1005,0)))&gt;0,INDEX('商品マスタ'!$J$6:$J$1005,MATCH($C400,'商品マスタ'!$B$6:$B$1005,0)),""),""))</f>
        <v/>
      </c>
      <c r="N400">
        <f>IF($C400="","",IFERROR(IF(N(INDEX('商品マスタ'!$H$6:$H$1005,MATCH($C400,'商品マスタ'!$B$6:$B$1005,0)))&gt;0,INDEX('商品マスタ'!$H$6:$H$1005,MATCH($C400,'商品マスタ'!$B$6:$B$1005,0)),""),""))</f>
        <v/>
      </c>
      <c r="O400">
        <f>IF($C400="","",IF($N400&lt;&gt;"",$N400*$G400,IF(N(IF(COUNTIFS('①在庫を貼る'!$V$6:$V$10005,'設定'!$C$4,'①在庫を貼る'!$W$6:$W$10005,$C400)&gt;0,SUMIFS('①在庫を貼る'!$O$6:$O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O$6:$O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O$6:$O$10005,'月1回_2ヶ月前の在庫'!$V$6:$V$10005,'設定'!$C$4,'月1回_2ヶ月前の在庫'!$W$6:$W$10005,$C400)/COUNTIFS('月1回_2ヶ月前の在庫'!$V$6:$V$10005,'設定'!$C$4,'月1回_2ヶ月前の在庫'!$W$6:$W$10005,$C400),0))))&gt;0,N(IF(COUNTIFS('①在庫を貼る'!$V$6:$V$10005,'設定'!$C$4,'①在庫を貼る'!$W$6:$W$10005,$C400)&gt;0,SUMIFS('①在庫を貼る'!$O$6:$O$10005,'①在庫を貼る'!$V$6:$V$10005,'設定'!$C$4,'①在庫を貼る'!$W$6:$W$10005,$C400)/COUNTIFS('①在庫を貼る'!$V$6:$V$10005,'設定'!$C$4,'①在庫を貼る'!$W$6:$W$10005,$C400),IF(COUNTIFS('月1回_1ヶ月前の在庫'!$V$6:$V$10005,'設定'!$C$4,'月1回_1ヶ月前の在庫'!$W$6:$W$10005,$C400)&gt;0,SUMIFS('月1回_1ヶ月前の在庫'!$O$6:$O$10005,'月1回_1ヶ月前の在庫'!$V$6:$V$10005,'設定'!$C$4,'月1回_1ヶ月前の在庫'!$W$6:$W$10005,$C400)/COUNTIFS('月1回_1ヶ月前の在庫'!$V$6:$V$10005,'設定'!$C$4,'月1回_1ヶ月前の在庫'!$W$6:$W$10005,$C400),IF(COUNTIFS('月1回_2ヶ月前の在庫'!$V$6:$V$10005,'設定'!$C$4,'月1回_2ヶ月前の在庫'!$W$6:$W$10005,$C400)&gt;0,SUMIFS('月1回_2ヶ月前の在庫'!$O$6:$O$10005,'月1回_2ヶ月前の在庫'!$V$6:$V$10005,'設定'!$C$4,'月1回_2ヶ月前の在庫'!$W$6:$W$10005,$C400)/COUNTIFS('月1回_2ヶ月前の在庫'!$V$6:$V$10005,'設定'!$C$4,'月1回_2ヶ月前の在庫'!$W$6:$W$10005,$C400),0)))),"")))</f>
        <v/>
      </c>
      <c r="P400" s="90">
        <f>IF($C400="","",IF('②発注する'!$I404="","",'②発注する'!$I404))</f>
        <v/>
      </c>
      <c r="Q400">
        <f>IF($C400="","",IF('②発注する'!$J404="","",'②発注する'!$J404))</f>
        <v/>
      </c>
      <c r="R400">
        <f>IF($C400="",0,IF(AND(ISNUMBER($P400),ISNUMBER($Q400)),MAX(0,$Q400)*$G400,0))</f>
        <v/>
      </c>
      <c r="S400" s="90">
        <f>IF($C400="","",IF('②発注する'!$M404="","",'②発注する'!$M404))</f>
        <v/>
      </c>
      <c r="T400">
        <f>IF($C400="","",IF('②発注する'!$N404="","",'②発注する'!$N404))</f>
        <v/>
      </c>
      <c r="U400">
        <f>IF($C400="",0,IF(AND(ISNUMBER($S400),ISNUMBER($T400)),MAX(0,$T400)*$G400,0))</f>
        <v/>
      </c>
      <c r="V400">
        <f>IF($C400="",0,IF($M400="",0,MAX(0,$M400)*MAX(0,V$4)/100))</f>
        <v/>
      </c>
      <c r="W400">
        <f>IF($C400="",0,IF($M400="",0,MAX(0,$M400)*MAX(0,W$4)/100))</f>
        <v/>
      </c>
      <c r="X400">
        <f>IF($C400="",0,IF($M400="",0,MAX(0,$M400)*MAX(0,X$4)/100))</f>
        <v/>
      </c>
      <c r="Y400">
        <f>IF($C400="",0,IF($M400="",0,MAX(0,$M400)*MAX(0,Y$4)/100))</f>
        <v/>
      </c>
      <c r="Z400">
        <f>IF($C400="",0,IF($M400="",0,MAX(0,$M400)*MAX(0,Z$4)/100))</f>
        <v/>
      </c>
      <c r="AA400">
        <f>IF($C400="",0,IF($M400="",0,MAX(0,$M400)*MAX(0,AA$4)/100))</f>
        <v/>
      </c>
      <c r="AB400">
        <f>IF($C400="",0,IF($M400="",0,MAX(0,$M400)*MAX(0,AB$4)/100))</f>
        <v/>
      </c>
      <c r="AC400">
        <f>IF($C400="",0,IF($M400="",0,MAX(0,$M400)*MAX(0,AC$4)/100))</f>
        <v/>
      </c>
      <c r="AD400">
        <f>IF($C400="",0,IF($M400="",0,MAX(0,$M400)*MAX(0,AD$4)/100))</f>
        <v/>
      </c>
      <c r="AE400">
        <f>IF($C400="",0,IF($M400="",0,MAX(0,$M400)*MAX(0,AE$4)/100))</f>
        <v/>
      </c>
      <c r="AF400">
        <f>IF($C400="",0,IF($M400="",0,MAX(0,$M400)*MAX(0,AF$4)/100))</f>
        <v/>
      </c>
      <c r="AG400">
        <f>IF($C400="",0,IF($M400="",0,MAX(0,$M400)*MAX(0,AG$4)/100))</f>
        <v/>
      </c>
      <c r="AH400">
        <f>IF($C400="",0,IF($M400="",0,MAX(0,$M400)*MAX(0,AH$4)/100))</f>
        <v/>
      </c>
      <c r="AI400">
        <f>IF($C400="",0,IF($M400="",0,MAX(0,$M400)*MAX(0,AI$4)/100))</f>
        <v/>
      </c>
      <c r="AJ400">
        <f>IF($C400="",0,MAX(0,MAX(0,N($L400))-$V400))</f>
        <v/>
      </c>
      <c r="AK400">
        <f>IF($C400="",0,MAX(0,$AJ400-$W400))</f>
        <v/>
      </c>
      <c r="AL400">
        <f>IF($C400="",0,MAX(0,$AK400-$X400))</f>
        <v/>
      </c>
      <c r="AM400">
        <f>IF($C400="",0,MAX(0,$AL400-$Y400))</f>
        <v/>
      </c>
      <c r="AN400">
        <f>IF($C400="",0,MAX(0,$AM400-$Z400))</f>
        <v/>
      </c>
      <c r="AO400">
        <f>IF($C400="",0,MAX(0,$AN400-$AA400))</f>
        <v/>
      </c>
      <c r="AP400">
        <f>IF($C400="",0,MAX(0,$AO400-$AB400))</f>
        <v/>
      </c>
      <c r="AQ400">
        <f>IF($C400="",0,MAX(0,$AP400-$AC400))</f>
        <v/>
      </c>
      <c r="AR400">
        <f>IF($C400="",0,MAX(0,$AQ400-$AD400))</f>
        <v/>
      </c>
      <c r="AS400">
        <f>IF($C400="",0,MAX(0,$AR400-$AE400))</f>
        <v/>
      </c>
      <c r="AT400">
        <f>IF($C400="",0,MAX(0,$AS400-$AF400))</f>
        <v/>
      </c>
      <c r="AU400">
        <f>IF($C400="",0,MAX(0,$AT400-$AG400))</f>
        <v/>
      </c>
      <c r="AV400">
        <f>IF($C400="",0,MAX(0,$AU400-$AH400))</f>
        <v/>
      </c>
      <c r="AW400">
        <f>IF($C400="",0,MAX(0,$AV400-$AI400))</f>
        <v/>
      </c>
      <c r="AX400">
        <f>IF($C400="",0,MAX(0,MAX(0,N($L400))+IF($P400=V$3,$R400,0)+IF($S400=V$3,$U400,0)-$V400))</f>
        <v/>
      </c>
      <c r="AY400">
        <f>IF($C400="",0,MAX(0,$AX400+IF($P400=W$3,$R400,0)+IF($S400=W$3,$U400,0)-$W400))</f>
        <v/>
      </c>
      <c r="AZ400">
        <f>IF($C400="",0,MAX(0,$AY400+IF($P400=X$3,$R400,0)+IF($S400=X$3,$U400,0)-$X400))</f>
        <v/>
      </c>
      <c r="BA400">
        <f>IF($C400="",0,MAX(0,$AZ400+IF($P400=Y$3,$R400,0)+IF($S400=Y$3,$U400,0)-$Y400))</f>
        <v/>
      </c>
      <c r="BB400">
        <f>IF($C400="",0,MAX(0,$BA400+IF($P400=Z$3,$R400,0)+IF($S400=Z$3,$U400,0)-$Z400))</f>
        <v/>
      </c>
      <c r="BC400">
        <f>IF($C400="",0,MAX(0,$BB400+IF($P400=AA$3,$R400,0)+IF($S400=AA$3,$U400,0)-$AA400))</f>
        <v/>
      </c>
      <c r="BD400">
        <f>IF($C400="",0,MAX(0,$BC400+IF($P400=AB$3,$R400,0)+IF($S400=AB$3,$U400,0)-$AB400))</f>
        <v/>
      </c>
      <c r="BE400">
        <f>IF($C400="",0,MAX(0,$BD400+IF($P400=AC$3,$R400,0)+IF($S400=AC$3,$U400,0)-$AC400))</f>
        <v/>
      </c>
      <c r="BF400">
        <f>IF($C400="",0,MAX(0,$BE400+IF($P400=AD$3,$R400,0)+IF($S400=AD$3,$U400,0)-$AD400))</f>
        <v/>
      </c>
      <c r="BG400">
        <f>IF($C400="",0,MAX(0,$BF400+IF($P400=AE$3,$R400,0)+IF($S400=AE$3,$U400,0)-$AE400))</f>
        <v/>
      </c>
      <c r="BH400">
        <f>IF($C400="",0,MAX(0,$BG400+IF($P400=AF$3,$R400,0)+IF($S400=AF$3,$U400,0)-$AF400))</f>
        <v/>
      </c>
      <c r="BI400">
        <f>IF($C400="",0,MAX(0,$BH400+IF($P400=AG$3,$R400,0)+IF($S400=AG$3,$U400,0)-$AG400))</f>
        <v/>
      </c>
      <c r="BJ400">
        <f>IF($C400="",0,MAX(0,$BI400+IF($P400=AH$3,$R400,0)+IF($S400=AH$3,$U400,0)-$AH400))</f>
        <v/>
      </c>
      <c r="BK400">
        <f>IF($C400="",0,MAX(0,$BJ400+IF($P400=AI$3,$R400,0)+IF($S400=AI$3,$U400,0)-$AI400))</f>
        <v/>
      </c>
      <c r="BL400">
        <f>IF($C400="",99,IF(AND($AX400&lt;1,V$3&gt;=MAX(N($P400),N($S400))),0,99))</f>
        <v/>
      </c>
      <c r="BM400">
        <f>IF($C400="",99,IF(AND($AY400&lt;1,W$3&gt;=MAX(N($P400),N($S400))),1,99))</f>
        <v/>
      </c>
      <c r="BN400">
        <f>IF($C400="",99,IF(AND($AZ400&lt;1,X$3&gt;=MAX(N($P400),N($S400))),2,99))</f>
        <v/>
      </c>
      <c r="BO400">
        <f>IF($C400="",99,IF(AND($BA400&lt;1,Y$3&gt;=MAX(N($P400),N($S400))),3,99))</f>
        <v/>
      </c>
      <c r="BP400">
        <f>IF($C400="",99,IF(AND($BB400&lt;1,Z$3&gt;=MAX(N($P400),N($S400))),4,99))</f>
        <v/>
      </c>
      <c r="BQ400">
        <f>IF($C400="",99,IF(AND($BC400&lt;1,AA$3&gt;=MAX(N($P400),N($S400))),5,99))</f>
        <v/>
      </c>
      <c r="BR400">
        <f>IF($C400="",99,IF(AND($BD400&lt;1,AB$3&gt;=MAX(N($P400),N($S400))),6,99))</f>
        <v/>
      </c>
      <c r="BS400">
        <f>IF($C400="",99,IF(AND($BE400&lt;1,AC$3&gt;=MAX(N($P400),N($S400))),7,99))</f>
        <v/>
      </c>
      <c r="BT400">
        <f>IF($C400="",99,IF(AND($BF400&lt;1,AD$3&gt;=MAX(N($P400),N($S400))),8,99))</f>
        <v/>
      </c>
      <c r="BU400">
        <f>IF($C400="",99,IF(AND($BG400&lt;1,AE$3&gt;=MAX(N($P400),N($S400))),9,99))</f>
        <v/>
      </c>
      <c r="BV400">
        <f>IF($C400="",99,IF(AND($BH400&lt;1,AF$3&gt;=MAX(N($P400),N($S400))),10,99))</f>
        <v/>
      </c>
      <c r="BW400">
        <f>IF($C400="",99,IF(AND($BI400&lt;1,AG$3&gt;=MAX(N($P400),N($S400))),11,99))</f>
        <v/>
      </c>
      <c r="BX400">
        <f>IF($C400="",99,IF(AND($BJ400&lt;1,AH$3&gt;=MAX(N($P400),N($S400))),12,99))</f>
        <v/>
      </c>
      <c r="BY400">
        <f>IF($C400="",99,IF(AND($BK400&lt;1,AI$3&gt;=MAX(N($P400),N($S400))),13,99))</f>
        <v/>
      </c>
      <c r="BZ400">
        <f>IF(OR($C400="",$M400=""),"",COUNTIF($AJ400:$AW400,"&gt;=1"))</f>
        <v/>
      </c>
      <c r="CA400" s="90">
        <f>IF($BZ400="","",IF($BZ400&gt;=14,"",'設定'!$C$6+$BZ400))</f>
        <v/>
      </c>
      <c r="CB400">
        <f>IF(OR($C400="",$M400=""),"",MIN($BL400:$BY400))</f>
        <v/>
      </c>
      <c r="CC400" s="90">
        <f>IF($CB400="","",IF($CB400&gt;=99,"",'設定'!$C$6+$CB400))</f>
        <v/>
      </c>
      <c r="CD400">
        <f>IF(OR($C400="",$M400=""),"",AVERAGE($V400:$AI400))</f>
        <v/>
      </c>
      <c r="CE400">
        <f>IF($C400="","",IFERROR(IF(MATCH(IF(ISNUMBER($P400),$P400,'設定'!$C$6+N('設定'!$C$7)),$V$3:$AI$3,0)=1,MAX(0,N($L400)),INDEX($AJ400:$AW400,MATCH(IF(ISNUMBER($P400),$P400,'設定'!$C$6+N('設定'!$C$7)),$V$3:$AI$3,0)-1)),""))</f>
        <v/>
      </c>
      <c r="CF400">
        <f>IF(OR($C400="",$O400="",$CE400=""),"",IF($O400-$CE400&lt;=0,0,ROUNDUP(($O400-$CE400)/$G400,0)))</f>
        <v/>
      </c>
      <c r="CG400">
        <f>IF(OR($C400="",$CF400="",NOT(ISNUMBER($Q400))),0,MAX(0,$Q400-$CF400))</f>
        <v/>
      </c>
      <c r="CH400">
        <f>IF(OR($C400="",$O400="",$U400=0),0,IFERROR(ROUNDUP(MAX(0,IF(MATCH($S400,$V$3:$AI$3,0)=1,MAX(0,N($L400)),INDEX($AX400:$BK400,MATCH($S400,$V$3:$AI$3,0)-1))+$U400-$O400)/$G400,0),0))</f>
        <v/>
      </c>
      <c r="CI400">
        <f>IF($C400="","",IF(AND($P400="",$Q400=""),"",IF($P400="","⚠ 入庫日を ▼ から選んでください",IF(NOT(ISNUMBER($P400)),"⚠ 入庫日は ▼ から選んでください",IF($P400&lt;N('設定'!$C$6),"⚠ 入庫日が過去です（もう在庫に入っています）→ 消してください",IF($P400&gt;N('設定'!$C$6)+13,"⚠ 入庫日が14日より先です",IF(N($Q400)&lt;=0,"⚠ 入庫数を入れてください",IF($CG400&gt;0,"⚠ 目安より "&amp;$CG400&amp;" 多い（定数を超える）→ 減らす",""))))))))</f>
        <v/>
      </c>
      <c r="CJ400">
        <f>IF($C400="","",IF(AND($S400="",$T400=""),"",IF($S400="","⚠ 2便目：入庫日を ▼ から選んでください",IF(NOT(ISNUMBER($S400)),"⚠ 2便目：入庫日は ▼ から選んでください",IF($S400&lt;N('設定'!$C$6),"⚠ 2便目：入庫日が過去です（もう在庫に入っています）→ 消してください",IF($S400&gt;N('設定'!$C$6)+13,"⚠ 2便目：入庫日が14日より先です",IF(N($T400)&lt;=0,"⚠ 2便目：入庫数を入れてください",IF($CH400&gt;0,"⚠ 2便目：定数を "&amp;$CH400&amp;" ケース超える → 減らす",""))))))))</f>
        <v/>
      </c>
      <c r="CK400">
        <f>IF(AND($CI400="",N($Q400)&gt;0,ISNUMBER($P400)),1,0)</f>
        <v/>
      </c>
      <c r="CL400">
        <f>IF(AND($CJ400="",N($T400)&gt;0,ISNUMBER($S400)),1,0)</f>
        <v/>
      </c>
      <c r="CM400">
        <f>IF(OR($CK400=1,$CL400=1),1,0)</f>
        <v/>
      </c>
      <c r="CN400">
        <f>IF($C400="",0,($CK400*$R400+$CL400*$U400)*N($H400))</f>
        <v/>
      </c>
      <c r="CO400">
        <f>IF($C400="","",IF($CC400="","入庫後は 14日以上もつ",IF($CC400-N('設定'!$C$7)&lt;='設定'!$C$6,"入庫後も "&amp;TEXT($CC400,"m/d")&amp;"("&amp;CHOOSE(WEEKDAY($CC400),"日","月","火","水","木","金","土")&amp;")"&amp;" に切れる　もう1便を至急発注","入庫後も "&amp;TEXT($CC400,"m/d")&amp;"("&amp;CHOOSE(WEEKDAY($CC400),"日","月","火","水","木","金","土")&amp;")"&amp;" に切れる　"&amp;TEXT($CC400-N('設定'!$C$7),"m/d")&amp;"("&amp;CHOOSE(WEEKDAY($CC400-N('設定'!$C$7)),"日","月","火","水","木","金","土")&amp;")"&amp;" までに次を発注")))</f>
        <v/>
      </c>
      <c r="CP400">
        <f>IF($C400="","",IF('設定'!$C$6="","？ ①在庫を貼る に今日のCSVが貼られていない",IF($CS400=1,"－ 今日のCSVに無い（終売？）",IF($L400&lt;0,"● 在庫がマイナス　数えて「数えた在庫」に入れる",IF($L400=0,"● 在庫なし　至急発注",IF($M400="","？ 減り数が未設定（商品マスタ）",IF($B$3=0,"？ 動員が未入力（動員を入れる）",IF($CA400="","○ 14日以上もつ",IF($BZ400&lt;N('設定'!$C$7),"● "&amp;TEXT($CA400,"m/d")&amp;"("&amp;CHOOSE(WEEKDAY($CA400),"日","月","火","水","木","金","土")&amp;")"&amp;" に切れる　至急発注",IF($BZ400=N('設定'!$C$7),"● "&amp;TEXT($CA400,"m/d")&amp;"("&amp;CHOOSE(WEEKDAY($CA400),"日","月","火","水","木","金","土")&amp;")"&amp;" に切れる　今日発注","△ "&amp;TEXT($CA400,"m/d")&amp;"("&amp;CHOOSE(WEEKDAY($CA400),"日","月","火","水","木","金","土")&amp;")"&amp;" に切れる　"&amp;TEXT($CA400-N('設定'!$C$7),"m/d")&amp;"("&amp;CHOOSE(WEEKDAY($CA400-N('設定'!$C$7)),"日","月","火","水","木","金","土")&amp;")"&amp;" までに発注"))))))))))</f>
        <v/>
      </c>
      <c r="CQ400">
        <f>IF($C400="","",IF(AND($P400="",$Q400="",$S400="",$T400=""),"",IF(AND($P400="",$Q400=""),"⚠ 先に1便目（左の入庫日・入庫数）に入れてください",IF($CI400&lt;&gt;"",$CI400,IF($CJ400&lt;&gt;"",$CJ400,IF($M400="","？ 減り数が未設定（発注書には載ります）",IF($B$3=0,"？ 動員が未入力（発注書には載ります）",IF(AND($CA400&lt;&gt;"",$P400&gt;$CA400),IF($P400&gt;'設定'!$C$6+N('設定'!$C$7),"● "&amp;TEXT($P400,"m/d")&amp;"("&amp;CHOOSE(WEEKDAY($P400),"日","月","火","水","木","金","土")&amp;")"&amp;" の入庫では間に合わない（"&amp;TEXT($CA400,"m/d")&amp;"("&amp;CHOOSE(WEEKDAY($CA400),"日","月","火","水","木","金","土")&amp;")"&amp;" に切れる）　入庫日を早める","△ 欠品 "&amp;TEXT($CA400,"m/d")&amp;"("&amp;CHOOSE(WEEKDAY($CA400),"日","月","火","水","木","金","土")&amp;")"&amp;"〜"&amp;TEXT($P400-1,"m/d")&amp;"("&amp;CHOOSE(WEEKDAY($P400-1),"日","月","火","水","木","金","土")&amp;")"&amp;"　"&amp;$CO400),IF($CC400="","○ "&amp;TEXT($P400,"m/d")&amp;"("&amp;CHOOSE(WEEKDAY($P400),"日","月","火","水","木","金","土")&amp;")"&amp;" 入庫で 14日以上もつ",IF($CC400-N('設定'!$C$7)&lt;='設定'!$C$6,"● 入庫しても "&amp;TEXT($CC400,"m/d")&amp;"("&amp;CHOOSE(WEEKDAY($CC400),"日","月","火","水","木","金","土")&amp;")"&amp;" に切れる　もう1便を至急発注（2便目に入れる）","△ 入庫しても "&amp;TEXT($CC400,"m/d")&amp;"("&amp;CHOOSE(WEEKDAY($CC400),"日","月","火","水","木","金","土")&amp;")"&amp;" に切れる　"&amp;TEXT($CC400-N('設定'!$C$7),"m/d")&amp;"("&amp;CHOOSE(WEEKDAY($CC400-N('設定'!$C$7)),"日","月","火","水","木","金","土")&amp;")"&amp;" までに次を発注（2便目に入れる）"))))))))))</f>
        <v/>
      </c>
      <c r="CR400">
        <f>IF($C400="","",IF($G400&gt;1,"ｹｰｽ("&amp;$G400&amp;"入)","個"))</f>
        <v/>
      </c>
      <c r="CS400">
        <f>IF($C400="",0,IF(COUNTIFS('①在庫を貼る'!$V$6:$V$10005,'設定'!$C$4,'①在庫を貼る'!$W$6:$W$10005,$C400)=0,1,0))</f>
        <v/>
      </c>
      <c r="CT400">
        <f>IF(AND($CK400=1,OR('③発注書'!$C$4="すべて",'③発注書'!$C$4="",$F400='③発注書'!$C$4)),N($CT399)+1,N($CT399))</f>
        <v/>
      </c>
      <c r="CU400">
        <f>IF(AND($CL400=1,OR('③発注書'!$C$4="すべて",'③発注書'!$C$4="",$F400='③発注書'!$C$4)),N($CU399)+1,N($CU399))</f>
        <v/>
      </c>
      <c r="CV400">
        <f>IF($C400="",0,IF(COUNTIFS('①在庫を貼る'!$V$6:$V$10005,'設定'!$C$4,'①在庫を貼る'!$W$6:$W$10005,$C400)&gt;0,1,0))</f>
        <v/>
      </c>
      <c r="CW400">
        <f>IF($C400="",0,IF(COUNTIFS('月1回_1ヶ月前の在庫'!$V$6:$V$10005,'設定'!$C$4,'月1回_1ヶ月前の在庫'!$W$6:$W$10005,$C400)&gt;0,1,0))</f>
        <v/>
      </c>
      <c r="CX400">
        <f>IF($C400="",0,IF(COUNTIFS('月1回_2ヶ月前の在庫'!$V$6:$V$10005,'設定'!$C$4,'月1回_2ヶ月前の在庫'!$W$6:$W$10005,$C400)&gt;0,1,0))</f>
        <v/>
      </c>
      <c r="CY400">
        <f>IF(OR($C400="",'設定'!$C$12=""),"",IF('設定'!$C$13="",IF(AND($CV400=1,$CW400=0),"新商品（今月から）",IF(AND($CV400=0,$CW400=1),"終売（今月から）","")),IF(AND($CV400=1,$CW400=0,$CX400=0),"新商品（今月から）",IF(AND($CV400=1,$CW400=1,$CX400=0),"新商品（先月から）",IF(AND($CV400=0,$CW400=1,$CX400=1),"終売（今月から）",IF(AND($CV400=0,$CW400=0,$CX400=1),"終売（先月から）",IF(AND($CV400=1,$CW400=0,$CX400=1),"復活（先月は無し）","")))))))</f>
        <v/>
      </c>
    </row>
    <row r="401">
      <c r="B401">
        <f>IF(396&lt;='設定'!$C$11,396,"")</f>
        <v/>
      </c>
      <c r="C401">
        <f>IF($B401="","",IF($B401&lt;='設定'!$C$20,INDEX('商品マスタ'!$B$6:$B$1005,MATCH($B401,'商品マスタ'!$M$6:$M$1005,0)),IF($B401&lt;='設定'!$C$20+'設定'!$C$17,INDEX('①在庫を貼る'!$W$6:$W$10005,MATCH($B401-'設定'!$C$20,'①在庫を貼る'!$U$6:$U$10005,0)),IF($B401&lt;='設定'!$C$20+'設定'!$C$17+'設定'!$C$18,INDEX('月1回_1ヶ月前の在庫'!$W$6:$W$10005,MATCH($B401-'設定'!$C$20-'設定'!$C$17,'月1回_1ヶ月前の在庫'!$U$6:$U$10005,0)),INDEX('月1回_2ヶ月前の在庫'!$W$6:$W$10005,MATCH($B401-'設定'!$C$20-'設定'!$C$17-'設定'!$C$18,'月1回_2ヶ月前の在庫'!$U$6:$U$10005,0))))))</f>
        <v/>
      </c>
      <c r="D401">
        <f>IF($C401="","",IFERROR(IF(INDEX('商品マスタ'!$C$6:$C$1005,MATCH($C401,'商品マスタ'!$B$6:$B$1005,0))="",IFERROR(INDEX('①在庫を貼る'!$J$6:$J$10005,MATCH($C401,'①在庫を貼る'!$W$6:$W$10005,0)),IFERROR(INDEX('月1回_1ヶ月前の在庫'!$J$6:$J$10005,MATCH($C401,'月1回_1ヶ月前の在庫'!$W$6:$W$10005,0)),IFERROR(INDEX('月1回_2ヶ月前の在庫'!$J$6:$J$10005,MATCH($C401,'月1回_2ヶ月前の在庫'!$W$6:$W$10005,0)),""))),INDEX('商品マスタ'!$C$6:$C$1005,MATCH($C401,'商品マスタ'!$B$6:$B$1005,0))),IFERROR(INDEX('①在庫を貼る'!$J$6:$J$10005,MATCH($C401,'①在庫を貼る'!$W$6:$W$10005,0)),IFERROR(INDEX('月1回_1ヶ月前の在庫'!$J$6:$J$10005,MATCH($C401,'月1回_1ヶ月前の在庫'!$W$6:$W$10005,0)),IFERROR(INDEX('月1回_2ヶ月前の在庫'!$J$6:$J$10005,MATCH($C401,'月1回_2ヶ月前の在庫'!$W$6:$W$10005,0)),"")))))</f>
        <v/>
      </c>
      <c r="E401">
        <f>IF($C401="","",IFERROR(IF(INDEX('商品マスタ'!$D$6:$D$1005,MATCH($C401,'商品マスタ'!$B$6:$B$1005,0))="",IFERROR(INDEX('①在庫を貼る'!$H$6:$H$10005,MATCH($C401,'①在庫を貼る'!$W$6:$W$10005,0)),IFERROR(INDEX('月1回_1ヶ月前の在庫'!$H$6:$H$10005,MATCH($C401,'月1回_1ヶ月前の在庫'!$W$6:$W$10005,0)),IFERROR(INDEX('月1回_2ヶ月前の在庫'!$H$6:$H$10005,MATCH($C401,'月1回_2ヶ月前の在庫'!$W$6:$W$10005,0)),""))),INDEX('商品マスタ'!$D$6:$D$1005,MATCH($C401,'商品マスタ'!$B$6:$B$1005,0))),IFERROR(INDEX('①在庫を貼る'!$H$6:$H$10005,MATCH($C401,'①在庫を貼る'!$W$6:$W$10005,0)),IFERROR(INDEX('月1回_1ヶ月前の在庫'!$H$6:$H$10005,MATCH($C401,'月1回_1ヶ月前の在庫'!$W$6:$W$10005,0)),IFERROR(INDEX('月1回_2ヶ月前の在庫'!$H$6:$H$10005,MATCH($C401,'月1回_2ヶ月前の在庫'!$W$6:$W$10005,0)),"")))))</f>
        <v/>
      </c>
      <c r="F401">
        <f>IF($C401="","",IFERROR(IF(INDEX('商品マスタ'!$E$6:$E$1005,MATCH($C401,'商品マスタ'!$B$6:$B$1005,0))="",IFERROR(INDEX('①在庫を貼る'!$E$6:$E$10005,MATCH($C401,'①在庫を貼る'!$W$6:$W$10005,0)),IFERROR(INDEX('月1回_1ヶ月前の在庫'!$E$6:$E$10005,MATCH($C401,'月1回_1ヶ月前の在庫'!$W$6:$W$10005,0)),IFERROR(INDEX('月1回_2ヶ月前の在庫'!$E$6:$E$10005,MATCH($C401,'月1回_2ヶ月前の在庫'!$W$6:$W$10005,0)),""))),INDEX('商品マスタ'!$E$6:$E$1005,MATCH($C401,'商品マスタ'!$B$6:$B$1005,0))),IFERROR(INDEX('①在庫を貼る'!$E$6:$E$10005,MATCH($C401,'①在庫を貼る'!$W$6:$W$10005,0)),IFERROR(INDEX('月1回_1ヶ月前の在庫'!$E$6:$E$10005,MATCH($C401,'月1回_1ヶ月前の在庫'!$W$6:$W$10005,0)),IFERROR(INDEX('月1回_2ヶ月前の在庫'!$E$6:$E$10005,MATCH($C401,'月1回_2ヶ月前の在庫'!$W$6:$W$10005,0)),"")))))</f>
        <v/>
      </c>
      <c r="G401">
        <f>IF($C401="","",MAX(1,N(IFERROR(IF(INDEX('商品マスタ'!$F$6:$F$1005,MATCH($C401,'商品マスタ'!$B$6:$B$1005,0))="",IF(COUNTIFS('①在庫を貼る'!$V$6:$V$10005,'設定'!$C$4,'①在庫を貼る'!$W$6:$W$10005,$C401)&gt;0,SUMIFS('①在庫を貼る'!$K$6:$K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K$6:$K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K$6:$K$10005,'月1回_2ヶ月前の在庫'!$V$6:$V$10005,'設定'!$C$4,'月1回_2ヶ月前の在庫'!$W$6:$W$10005,$C401)/COUNTIFS('月1回_2ヶ月前の在庫'!$V$6:$V$10005,'設定'!$C$4,'月1回_2ヶ月前の在庫'!$W$6:$W$10005,$C401),0))),INDEX('商品マスタ'!$F$6:$F$1005,MATCH($C401,'商品マスタ'!$B$6:$B$1005,0))),IF(COUNTIFS('①在庫を貼る'!$V$6:$V$10005,'設定'!$C$4,'①在庫を貼る'!$W$6:$W$10005,$C401)&gt;0,SUMIFS('①在庫を貼る'!$K$6:$K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K$6:$K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K$6:$K$10005,'月1回_2ヶ月前の在庫'!$V$6:$V$10005,'設定'!$C$4,'月1回_2ヶ月前の在庫'!$W$6:$W$10005,$C401)/COUNTIFS('月1回_2ヶ月前の在庫'!$V$6:$V$10005,'設定'!$C$4,'月1回_2ヶ月前の在庫'!$W$6:$W$10005,$C401),0)))))))</f>
        <v/>
      </c>
      <c r="H401">
        <f>IF($C401="","",N(IFERROR(IF(INDEX('商品マスタ'!$G$6:$G$1005,MATCH($C401,'商品マスタ'!$B$6:$B$1005,0))="",IF(COUNTIFS('①在庫を貼る'!$V$6:$V$10005,'設定'!$C$4,'①在庫を貼る'!$W$6:$W$10005,$C401)&gt;0,SUMIFS('①在庫を貼る'!$Q$6:$Q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Q$6:$Q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Q$6:$Q$10005,'月1回_2ヶ月前の在庫'!$V$6:$V$10005,'設定'!$C$4,'月1回_2ヶ月前の在庫'!$W$6:$W$10005,$C401)/COUNTIFS('月1回_2ヶ月前の在庫'!$V$6:$V$10005,'設定'!$C$4,'月1回_2ヶ月前の在庫'!$W$6:$W$10005,$C401),0))),INDEX('商品マスタ'!$G$6:$G$1005,MATCH($C401,'商品マスタ'!$B$6:$B$1005,0))),IF(COUNTIFS('①在庫を貼る'!$V$6:$V$10005,'設定'!$C$4,'①在庫を貼る'!$W$6:$W$10005,$C401)&gt;0,SUMIFS('①在庫を貼る'!$Q$6:$Q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Q$6:$Q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Q$6:$Q$10005,'月1回_2ヶ月前の在庫'!$V$6:$V$10005,'設定'!$C$4,'月1回_2ヶ月前の在庫'!$W$6:$W$10005,$C401)/COUNTIFS('月1回_2ヶ月前の在庫'!$V$6:$V$10005,'設定'!$C$4,'月1回_2ヶ月前の在庫'!$W$6:$W$10005,$C401),0))))))</f>
        <v/>
      </c>
      <c r="I401">
        <f>IF($C401="","",IF(COUNTIFS('①在庫を貼る'!$V$6:$V$10005,'設定'!$C$4,'①在庫を貼る'!$W$6:$W$10005,$C401)=0,"",SUMIFS('①在庫を貼る'!$N$6:$N$10005,'①在庫を貼る'!$V$6:$V$10005,'設定'!$C$4,'①在庫を貼る'!$W$6:$W$10005,$C401)))</f>
        <v/>
      </c>
      <c r="J401">
        <f>IF($C401="","",IF('②発注する'!$AD405="","",'②発注する'!$AD405))</f>
        <v/>
      </c>
      <c r="K401" s="90">
        <f>IF($C401="","",IF('②発注する'!$AE405="","",'②発注する'!$AE405))</f>
        <v/>
      </c>
      <c r="L401">
        <f>IF($C401="","",IF(AND(ISNUMBER($J401),ISNUMBER($K401),$K401&gt;='設定'!$C$6),$J401,N($I401)))</f>
        <v/>
      </c>
      <c r="M401">
        <f>IF($C401="","",IFERROR(IF(N(INDEX('商品マスタ'!$J$6:$J$1005,MATCH($C401,'商品マスタ'!$B$6:$B$1005,0)))&gt;0,INDEX('商品マスタ'!$J$6:$J$1005,MATCH($C401,'商品マスタ'!$B$6:$B$1005,0)),""),""))</f>
        <v/>
      </c>
      <c r="N401">
        <f>IF($C401="","",IFERROR(IF(N(INDEX('商品マスタ'!$H$6:$H$1005,MATCH($C401,'商品マスタ'!$B$6:$B$1005,0)))&gt;0,INDEX('商品マスタ'!$H$6:$H$1005,MATCH($C401,'商品マスタ'!$B$6:$B$1005,0)),""),""))</f>
        <v/>
      </c>
      <c r="O401">
        <f>IF($C401="","",IF($N401&lt;&gt;"",$N401*$G401,IF(N(IF(COUNTIFS('①在庫を貼る'!$V$6:$V$10005,'設定'!$C$4,'①在庫を貼る'!$W$6:$W$10005,$C401)&gt;0,SUMIFS('①在庫を貼る'!$O$6:$O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O$6:$O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O$6:$O$10005,'月1回_2ヶ月前の在庫'!$V$6:$V$10005,'設定'!$C$4,'月1回_2ヶ月前の在庫'!$W$6:$W$10005,$C401)/COUNTIFS('月1回_2ヶ月前の在庫'!$V$6:$V$10005,'設定'!$C$4,'月1回_2ヶ月前の在庫'!$W$6:$W$10005,$C401),0))))&gt;0,N(IF(COUNTIFS('①在庫を貼る'!$V$6:$V$10005,'設定'!$C$4,'①在庫を貼る'!$W$6:$W$10005,$C401)&gt;0,SUMIFS('①在庫を貼る'!$O$6:$O$10005,'①在庫を貼る'!$V$6:$V$10005,'設定'!$C$4,'①在庫を貼る'!$W$6:$W$10005,$C401)/COUNTIFS('①在庫を貼る'!$V$6:$V$10005,'設定'!$C$4,'①在庫を貼る'!$W$6:$W$10005,$C401),IF(COUNTIFS('月1回_1ヶ月前の在庫'!$V$6:$V$10005,'設定'!$C$4,'月1回_1ヶ月前の在庫'!$W$6:$W$10005,$C401)&gt;0,SUMIFS('月1回_1ヶ月前の在庫'!$O$6:$O$10005,'月1回_1ヶ月前の在庫'!$V$6:$V$10005,'設定'!$C$4,'月1回_1ヶ月前の在庫'!$W$6:$W$10005,$C401)/COUNTIFS('月1回_1ヶ月前の在庫'!$V$6:$V$10005,'設定'!$C$4,'月1回_1ヶ月前の在庫'!$W$6:$W$10005,$C401),IF(COUNTIFS('月1回_2ヶ月前の在庫'!$V$6:$V$10005,'設定'!$C$4,'月1回_2ヶ月前の在庫'!$W$6:$W$10005,$C401)&gt;0,SUMIFS('月1回_2ヶ月前の在庫'!$O$6:$O$10005,'月1回_2ヶ月前の在庫'!$V$6:$V$10005,'設定'!$C$4,'月1回_2ヶ月前の在庫'!$W$6:$W$10005,$C401)/COUNTIFS('月1回_2ヶ月前の在庫'!$V$6:$V$10005,'設定'!$C$4,'月1回_2ヶ月前の在庫'!$W$6:$W$10005,$C401),0)))),"")))</f>
        <v/>
      </c>
      <c r="P401" s="90">
        <f>IF($C401="","",IF('②発注する'!$I405="","",'②発注する'!$I405))</f>
        <v/>
      </c>
      <c r="Q401">
        <f>IF($C401="","",IF('②発注する'!$J405="","",'②発注する'!$J405))</f>
        <v/>
      </c>
      <c r="R401">
        <f>IF($C401="",0,IF(AND(ISNUMBER($P401),ISNUMBER($Q401)),MAX(0,$Q401)*$G401,0))</f>
        <v/>
      </c>
      <c r="S401" s="90">
        <f>IF($C401="","",IF('②発注する'!$M405="","",'②発注する'!$M405))</f>
        <v/>
      </c>
      <c r="T401">
        <f>IF($C401="","",IF('②発注する'!$N405="","",'②発注する'!$N405))</f>
        <v/>
      </c>
      <c r="U401">
        <f>IF($C401="",0,IF(AND(ISNUMBER($S401),ISNUMBER($T401)),MAX(0,$T401)*$G401,0))</f>
        <v/>
      </c>
      <c r="V401">
        <f>IF($C401="",0,IF($M401="",0,MAX(0,$M401)*MAX(0,V$4)/100))</f>
        <v/>
      </c>
      <c r="W401">
        <f>IF($C401="",0,IF($M401="",0,MAX(0,$M401)*MAX(0,W$4)/100))</f>
        <v/>
      </c>
      <c r="X401">
        <f>IF($C401="",0,IF($M401="",0,MAX(0,$M401)*MAX(0,X$4)/100))</f>
        <v/>
      </c>
      <c r="Y401">
        <f>IF($C401="",0,IF($M401="",0,MAX(0,$M401)*MAX(0,Y$4)/100))</f>
        <v/>
      </c>
      <c r="Z401">
        <f>IF($C401="",0,IF($M401="",0,MAX(0,$M401)*MAX(0,Z$4)/100))</f>
        <v/>
      </c>
      <c r="AA401">
        <f>IF($C401="",0,IF($M401="",0,MAX(0,$M401)*MAX(0,AA$4)/100))</f>
        <v/>
      </c>
      <c r="AB401">
        <f>IF($C401="",0,IF($M401="",0,MAX(0,$M401)*MAX(0,AB$4)/100))</f>
        <v/>
      </c>
      <c r="AC401">
        <f>IF($C401="",0,IF($M401="",0,MAX(0,$M401)*MAX(0,AC$4)/100))</f>
        <v/>
      </c>
      <c r="AD401">
        <f>IF($C401="",0,IF($M401="",0,MAX(0,$M401)*MAX(0,AD$4)/100))</f>
        <v/>
      </c>
      <c r="AE401">
        <f>IF($C401="",0,IF($M401="",0,MAX(0,$M401)*MAX(0,AE$4)/100))</f>
        <v/>
      </c>
      <c r="AF401">
        <f>IF($C401="",0,IF($M401="",0,MAX(0,$M401)*MAX(0,AF$4)/100))</f>
        <v/>
      </c>
      <c r="AG401">
        <f>IF($C401="",0,IF($M401="",0,MAX(0,$M401)*MAX(0,AG$4)/100))</f>
        <v/>
      </c>
      <c r="AH401">
        <f>IF($C401="",0,IF($M401="",0,MAX(0,$M401)*MAX(0,AH$4)/100))</f>
        <v/>
      </c>
      <c r="AI401">
        <f>IF($C401="",0,IF($M401="",0,MAX(0,$M401)*MAX(0,AI$4)/100))</f>
        <v/>
      </c>
      <c r="AJ401">
        <f>IF($C401="",0,MAX(0,MAX(0,N($L401))-$V401))</f>
        <v/>
      </c>
      <c r="AK401">
        <f>IF($C401="",0,MAX(0,$AJ401-$W401))</f>
        <v/>
      </c>
      <c r="AL401">
        <f>IF($C401="",0,MAX(0,$AK401-$X401))</f>
        <v/>
      </c>
      <c r="AM401">
        <f>IF($C401="",0,MAX(0,$AL401-$Y401))</f>
        <v/>
      </c>
      <c r="AN401">
        <f>IF($C401="",0,MAX(0,$AM401-$Z401))</f>
        <v/>
      </c>
      <c r="AO401">
        <f>IF($C401="",0,MAX(0,$AN401-$AA401))</f>
        <v/>
      </c>
      <c r="AP401">
        <f>IF($C401="",0,MAX(0,$AO401-$AB401))</f>
        <v/>
      </c>
      <c r="AQ401">
        <f>IF($C401="",0,MAX(0,$AP401-$AC401))</f>
        <v/>
      </c>
      <c r="AR401">
        <f>IF($C401="",0,MAX(0,$AQ401-$AD401))</f>
        <v/>
      </c>
      <c r="AS401">
        <f>IF($C401="",0,MAX(0,$AR401-$AE401))</f>
        <v/>
      </c>
      <c r="AT401">
        <f>IF($C401="",0,MAX(0,$AS401-$AF401))</f>
        <v/>
      </c>
      <c r="AU401">
        <f>IF($C401="",0,MAX(0,$AT401-$AG401))</f>
        <v/>
      </c>
      <c r="AV401">
        <f>IF($C401="",0,MAX(0,$AU401-$AH401))</f>
        <v/>
      </c>
      <c r="AW401">
        <f>IF($C401="",0,MAX(0,$AV401-$AI401))</f>
        <v/>
      </c>
      <c r="AX401">
        <f>IF($C401="",0,MAX(0,MAX(0,N($L401))+IF($P401=V$3,$R401,0)+IF($S401=V$3,$U401,0)-$V401))</f>
        <v/>
      </c>
      <c r="AY401">
        <f>IF($C401="",0,MAX(0,$AX401+IF($P401=W$3,$R401,0)+IF($S401=W$3,$U401,0)-$W401))</f>
        <v/>
      </c>
      <c r="AZ401">
        <f>IF($C401="",0,MAX(0,$AY401+IF($P401=X$3,$R401,0)+IF($S401=X$3,$U401,0)-$X401))</f>
        <v/>
      </c>
      <c r="BA401">
        <f>IF($C401="",0,MAX(0,$AZ401+IF($P401=Y$3,$R401,0)+IF($S401=Y$3,$U401,0)-$Y401))</f>
        <v/>
      </c>
      <c r="BB401">
        <f>IF($C401="",0,MAX(0,$BA401+IF($P401=Z$3,$R401,0)+IF($S401=Z$3,$U401,0)-$Z401))</f>
        <v/>
      </c>
      <c r="BC401">
        <f>IF($C401="",0,MAX(0,$BB401+IF($P401=AA$3,$R401,0)+IF($S401=AA$3,$U401,0)-$AA401))</f>
        <v/>
      </c>
      <c r="BD401">
        <f>IF($C401="",0,MAX(0,$BC401+IF($P401=AB$3,$R401,0)+IF($S401=AB$3,$U401,0)-$AB401))</f>
        <v/>
      </c>
      <c r="BE401">
        <f>IF($C401="",0,MAX(0,$BD401+IF($P401=AC$3,$R401,0)+IF($S401=AC$3,$U401,0)-$AC401))</f>
        <v/>
      </c>
      <c r="BF401">
        <f>IF($C401="",0,MAX(0,$BE401+IF($P401=AD$3,$R401,0)+IF($S401=AD$3,$U401,0)-$AD401))</f>
        <v/>
      </c>
      <c r="BG401">
        <f>IF($C401="",0,MAX(0,$BF401+IF($P401=AE$3,$R401,0)+IF($S401=AE$3,$U401,0)-$AE401))</f>
        <v/>
      </c>
      <c r="BH401">
        <f>IF($C401="",0,MAX(0,$BG401+IF($P401=AF$3,$R401,0)+IF($S401=AF$3,$U401,0)-$AF401))</f>
        <v/>
      </c>
      <c r="BI401">
        <f>IF($C401="",0,MAX(0,$BH401+IF($P401=AG$3,$R401,0)+IF($S401=AG$3,$U401,0)-$AG401))</f>
        <v/>
      </c>
      <c r="BJ401">
        <f>IF($C401="",0,MAX(0,$BI401+IF($P401=AH$3,$R401,0)+IF($S401=AH$3,$U401,0)-$AH401))</f>
        <v/>
      </c>
      <c r="BK401">
        <f>IF($C401="",0,MAX(0,$BJ401+IF($P401=AI$3,$R401,0)+IF($S401=AI$3,$U401,0)-$AI401))</f>
        <v/>
      </c>
      <c r="BL401">
        <f>IF($C401="",99,IF(AND($AX401&lt;1,V$3&gt;=MAX(N($P401),N($S401))),0,99))</f>
        <v/>
      </c>
      <c r="BM401">
        <f>IF($C401="",99,IF(AND($AY401&lt;1,W$3&gt;=MAX(N($P401),N($S401))),1,99))</f>
        <v/>
      </c>
      <c r="BN401">
        <f>IF($C401="",99,IF(AND($AZ401&lt;1,X$3&gt;=MAX(N($P401),N($S401))),2,99))</f>
        <v/>
      </c>
      <c r="BO401">
        <f>IF($C401="",99,IF(AND($BA401&lt;1,Y$3&gt;=MAX(N($P401),N($S401))),3,99))</f>
        <v/>
      </c>
      <c r="BP401">
        <f>IF($C401="",99,IF(AND($BB401&lt;1,Z$3&gt;=MAX(N($P401),N($S401))),4,99))</f>
        <v/>
      </c>
      <c r="BQ401">
        <f>IF($C401="",99,IF(AND($BC401&lt;1,AA$3&gt;=MAX(N($P401),N($S401))),5,99))</f>
        <v/>
      </c>
      <c r="BR401">
        <f>IF($C401="",99,IF(AND($BD401&lt;1,AB$3&gt;=MAX(N($P401),N($S401))),6,99))</f>
        <v/>
      </c>
      <c r="BS401">
        <f>IF($C401="",99,IF(AND($BE401&lt;1,AC$3&gt;=MAX(N($P401),N($S401))),7,99))</f>
        <v/>
      </c>
      <c r="BT401">
        <f>IF($C401="",99,IF(AND($BF401&lt;1,AD$3&gt;=MAX(N($P401),N($S401))),8,99))</f>
        <v/>
      </c>
      <c r="BU401">
        <f>IF($C401="",99,IF(AND($BG401&lt;1,AE$3&gt;=MAX(N($P401),N($S401))),9,99))</f>
        <v/>
      </c>
      <c r="BV401">
        <f>IF($C401="",99,IF(AND($BH401&lt;1,AF$3&gt;=MAX(N($P401),N($S401))),10,99))</f>
        <v/>
      </c>
      <c r="BW401">
        <f>IF($C401="",99,IF(AND($BI401&lt;1,AG$3&gt;=MAX(N($P401),N($S401))),11,99))</f>
        <v/>
      </c>
      <c r="BX401">
        <f>IF($C401="",99,IF(AND($BJ401&lt;1,AH$3&gt;=MAX(N($P401),N($S401))),12,99))</f>
        <v/>
      </c>
      <c r="BY401">
        <f>IF($C401="",99,IF(AND($BK401&lt;1,AI$3&gt;=MAX(N($P401),N($S401))),13,99))</f>
        <v/>
      </c>
      <c r="BZ401">
        <f>IF(OR($C401="",$M401=""),"",COUNTIF($AJ401:$AW401,"&gt;=1"))</f>
        <v/>
      </c>
      <c r="CA401" s="90">
        <f>IF($BZ401="","",IF($BZ401&gt;=14,"",'設定'!$C$6+$BZ401))</f>
        <v/>
      </c>
      <c r="CB401">
        <f>IF(OR($C401="",$M401=""),"",MIN($BL401:$BY401))</f>
        <v/>
      </c>
      <c r="CC401" s="90">
        <f>IF($CB401="","",IF($CB401&gt;=99,"",'設定'!$C$6+$CB401))</f>
        <v/>
      </c>
      <c r="CD401">
        <f>IF(OR($C401="",$M401=""),"",AVERAGE($V401:$AI401))</f>
        <v/>
      </c>
      <c r="CE401">
        <f>IF($C401="","",IFERROR(IF(MATCH(IF(ISNUMBER($P401),$P401,'設定'!$C$6+N('設定'!$C$7)),$V$3:$AI$3,0)=1,MAX(0,N($L401)),INDEX($AJ401:$AW401,MATCH(IF(ISNUMBER($P401),$P401,'設定'!$C$6+N('設定'!$C$7)),$V$3:$AI$3,0)-1)),""))</f>
        <v/>
      </c>
      <c r="CF401">
        <f>IF(OR($C401="",$O401="",$CE401=""),"",IF($O401-$CE401&lt;=0,0,ROUNDUP(($O401-$CE401)/$G401,0)))</f>
        <v/>
      </c>
      <c r="CG401">
        <f>IF(OR($C401="",$CF401="",NOT(ISNUMBER($Q401))),0,MAX(0,$Q401-$CF401))</f>
        <v/>
      </c>
      <c r="CH401">
        <f>IF(OR($C401="",$O401="",$U401=0),0,IFERROR(ROUNDUP(MAX(0,IF(MATCH($S401,$V$3:$AI$3,0)=1,MAX(0,N($L401)),INDEX($AX401:$BK401,MATCH($S401,$V$3:$AI$3,0)-1))+$U401-$O401)/$G401,0),0))</f>
        <v/>
      </c>
      <c r="CI401">
        <f>IF($C401="","",IF(AND($P401="",$Q401=""),"",IF($P401="","⚠ 入庫日を ▼ から選んでください",IF(NOT(ISNUMBER($P401)),"⚠ 入庫日は ▼ から選んでください",IF($P401&lt;N('設定'!$C$6),"⚠ 入庫日が過去です（もう在庫に入っています）→ 消してください",IF($P401&gt;N('設定'!$C$6)+13,"⚠ 入庫日が14日より先です",IF(N($Q401)&lt;=0,"⚠ 入庫数を入れてください",IF($CG401&gt;0,"⚠ 目安より "&amp;$CG401&amp;" 多い（定数を超える）→ 減らす",""))))))))</f>
        <v/>
      </c>
      <c r="CJ401">
        <f>IF($C401="","",IF(AND($S401="",$T401=""),"",IF($S401="","⚠ 2便目：入庫日を ▼ から選んでください",IF(NOT(ISNUMBER($S401)),"⚠ 2便目：入庫日は ▼ から選んでください",IF($S401&lt;N('設定'!$C$6),"⚠ 2便目：入庫日が過去です（もう在庫に入っています）→ 消してください",IF($S401&gt;N('設定'!$C$6)+13,"⚠ 2便目：入庫日が14日より先です",IF(N($T401)&lt;=0,"⚠ 2便目：入庫数を入れてください",IF($CH401&gt;0,"⚠ 2便目：定数を "&amp;$CH401&amp;" ケース超える → 減らす",""))))))))</f>
        <v/>
      </c>
      <c r="CK401">
        <f>IF(AND($CI401="",N($Q401)&gt;0,ISNUMBER($P401)),1,0)</f>
        <v/>
      </c>
      <c r="CL401">
        <f>IF(AND($CJ401="",N($T401)&gt;0,ISNUMBER($S401)),1,0)</f>
        <v/>
      </c>
      <c r="CM401">
        <f>IF(OR($CK401=1,$CL401=1),1,0)</f>
        <v/>
      </c>
      <c r="CN401">
        <f>IF($C401="",0,($CK401*$R401+$CL401*$U401)*N($H401))</f>
        <v/>
      </c>
      <c r="CO401">
        <f>IF($C401="","",IF($CC401="","入庫後は 14日以上もつ",IF($CC401-N('設定'!$C$7)&lt;='設定'!$C$6,"入庫後も "&amp;TEXT($CC401,"m/d")&amp;"("&amp;CHOOSE(WEEKDAY($CC401),"日","月","火","水","木","金","土")&amp;")"&amp;" に切れる　もう1便を至急発注","入庫後も "&amp;TEXT($CC401,"m/d")&amp;"("&amp;CHOOSE(WEEKDAY($CC401),"日","月","火","水","木","金","土")&amp;")"&amp;" に切れる　"&amp;TEXT($CC401-N('設定'!$C$7),"m/d")&amp;"("&amp;CHOOSE(WEEKDAY($CC401-N('設定'!$C$7)),"日","月","火","水","木","金","土")&amp;")"&amp;" までに次を発注")))</f>
        <v/>
      </c>
      <c r="CP401">
        <f>IF($C401="","",IF('設定'!$C$6="","？ ①在庫を貼る に今日のCSVが貼られていない",IF($CS401=1,"－ 今日のCSVに無い（終売？）",IF($L401&lt;0,"● 在庫がマイナス　数えて「数えた在庫」に入れる",IF($L401=0,"● 在庫なし　至急発注",IF($M401="","？ 減り数が未設定（商品マスタ）",IF($B$3=0,"？ 動員が未入力（動員を入れる）",IF($CA401="","○ 14日以上もつ",IF($BZ401&lt;N('設定'!$C$7),"● "&amp;TEXT($CA401,"m/d")&amp;"("&amp;CHOOSE(WEEKDAY($CA401),"日","月","火","水","木","金","土")&amp;")"&amp;" に切れる　至急発注",IF($BZ401=N('設定'!$C$7),"● "&amp;TEXT($CA401,"m/d")&amp;"("&amp;CHOOSE(WEEKDAY($CA401),"日","月","火","水","木","金","土")&amp;")"&amp;" に切れる　今日発注","△ "&amp;TEXT($CA401,"m/d")&amp;"("&amp;CHOOSE(WEEKDAY($CA401),"日","月","火","水","木","金","土")&amp;")"&amp;" に切れる　"&amp;TEXT($CA401-N('設定'!$C$7),"m/d")&amp;"("&amp;CHOOSE(WEEKDAY($CA401-N('設定'!$C$7)),"日","月","火","水","木","金","土")&amp;")"&amp;" までに発注"))))))))))</f>
        <v/>
      </c>
      <c r="CQ401">
        <f>IF($C401="","",IF(AND($P401="",$Q401="",$S401="",$T401=""),"",IF(AND($P401="",$Q401=""),"⚠ 先に1便目（左の入庫日・入庫数）に入れてください",IF($CI401&lt;&gt;"",$CI401,IF($CJ401&lt;&gt;"",$CJ401,IF($M401="","？ 減り数が未設定（発注書には載ります）",IF($B$3=0,"？ 動員が未入力（発注書には載ります）",IF(AND($CA401&lt;&gt;"",$P401&gt;$CA401),IF($P401&gt;'設定'!$C$6+N('設定'!$C$7),"● "&amp;TEXT($P401,"m/d")&amp;"("&amp;CHOOSE(WEEKDAY($P401),"日","月","火","水","木","金","土")&amp;")"&amp;" の入庫では間に合わない（"&amp;TEXT($CA401,"m/d")&amp;"("&amp;CHOOSE(WEEKDAY($CA401),"日","月","火","水","木","金","土")&amp;")"&amp;" に切れる）　入庫日を早める","△ 欠品 "&amp;TEXT($CA401,"m/d")&amp;"("&amp;CHOOSE(WEEKDAY($CA401),"日","月","火","水","木","金","土")&amp;")"&amp;"〜"&amp;TEXT($P401-1,"m/d")&amp;"("&amp;CHOOSE(WEEKDAY($P401-1),"日","月","火","水","木","金","土")&amp;")"&amp;"　"&amp;$CO401),IF($CC401="","○ "&amp;TEXT($P401,"m/d")&amp;"("&amp;CHOOSE(WEEKDAY($P401),"日","月","火","水","木","金","土")&amp;")"&amp;" 入庫で 14日以上もつ",IF($CC401-N('設定'!$C$7)&lt;='設定'!$C$6,"● 入庫しても "&amp;TEXT($CC401,"m/d")&amp;"("&amp;CHOOSE(WEEKDAY($CC401),"日","月","火","水","木","金","土")&amp;")"&amp;" に切れる　もう1便を至急発注（2便目に入れる）","△ 入庫しても "&amp;TEXT($CC401,"m/d")&amp;"("&amp;CHOOSE(WEEKDAY($CC401),"日","月","火","水","木","金","土")&amp;")"&amp;" に切れる　"&amp;TEXT($CC401-N('設定'!$C$7),"m/d")&amp;"("&amp;CHOOSE(WEEKDAY($CC401-N('設定'!$C$7)),"日","月","火","水","木","金","土")&amp;")"&amp;" までに次を発注（2便目に入れる）"))))))))))</f>
        <v/>
      </c>
      <c r="CR401">
        <f>IF($C401="","",IF($G401&gt;1,"ｹｰｽ("&amp;$G401&amp;"入)","個"))</f>
        <v/>
      </c>
      <c r="CS401">
        <f>IF($C401="",0,IF(COUNTIFS('①在庫を貼る'!$V$6:$V$10005,'設定'!$C$4,'①在庫を貼る'!$W$6:$W$10005,$C401)=0,1,0))</f>
        <v/>
      </c>
      <c r="CT401">
        <f>IF(AND($CK401=1,OR('③発注書'!$C$4="すべて",'③発注書'!$C$4="",$F401='③発注書'!$C$4)),N($CT400)+1,N($CT400))</f>
        <v/>
      </c>
      <c r="CU401">
        <f>IF(AND($CL401=1,OR('③発注書'!$C$4="すべて",'③発注書'!$C$4="",$F401='③発注書'!$C$4)),N($CU400)+1,N($CU400))</f>
        <v/>
      </c>
      <c r="CV401">
        <f>IF($C401="",0,IF(COUNTIFS('①在庫を貼る'!$V$6:$V$10005,'設定'!$C$4,'①在庫を貼る'!$W$6:$W$10005,$C401)&gt;0,1,0))</f>
        <v/>
      </c>
      <c r="CW401">
        <f>IF($C401="",0,IF(COUNTIFS('月1回_1ヶ月前の在庫'!$V$6:$V$10005,'設定'!$C$4,'月1回_1ヶ月前の在庫'!$W$6:$W$10005,$C401)&gt;0,1,0))</f>
        <v/>
      </c>
      <c r="CX401">
        <f>IF($C401="",0,IF(COUNTIFS('月1回_2ヶ月前の在庫'!$V$6:$V$10005,'設定'!$C$4,'月1回_2ヶ月前の在庫'!$W$6:$W$10005,$C401)&gt;0,1,0))</f>
        <v/>
      </c>
      <c r="CY401">
        <f>IF(OR($C401="",'設定'!$C$12=""),"",IF('設定'!$C$13="",IF(AND($CV401=1,$CW401=0),"新商品（今月から）",IF(AND($CV401=0,$CW401=1),"終売（今月から）","")),IF(AND($CV401=1,$CW401=0,$CX401=0),"新商品（今月から）",IF(AND($CV401=1,$CW401=1,$CX401=0),"新商品（先月から）",IF(AND($CV401=0,$CW401=1,$CX401=1),"終売（今月から）",IF(AND($CV401=0,$CW401=0,$CX401=1),"終売（先月から）",IF(AND($CV401=1,$CW401=0,$CX401=1),"復活（先月は無し）","")))))))</f>
        <v/>
      </c>
    </row>
    <row r="402">
      <c r="B402">
        <f>IF(397&lt;='設定'!$C$11,397,"")</f>
        <v/>
      </c>
      <c r="C402">
        <f>IF($B402="","",IF($B402&lt;='設定'!$C$20,INDEX('商品マスタ'!$B$6:$B$1005,MATCH($B402,'商品マスタ'!$M$6:$M$1005,0)),IF($B402&lt;='設定'!$C$20+'設定'!$C$17,INDEX('①在庫を貼る'!$W$6:$W$10005,MATCH($B402-'設定'!$C$20,'①在庫を貼る'!$U$6:$U$10005,0)),IF($B402&lt;='設定'!$C$20+'設定'!$C$17+'設定'!$C$18,INDEX('月1回_1ヶ月前の在庫'!$W$6:$W$10005,MATCH($B402-'設定'!$C$20-'設定'!$C$17,'月1回_1ヶ月前の在庫'!$U$6:$U$10005,0)),INDEX('月1回_2ヶ月前の在庫'!$W$6:$W$10005,MATCH($B402-'設定'!$C$20-'設定'!$C$17-'設定'!$C$18,'月1回_2ヶ月前の在庫'!$U$6:$U$10005,0))))))</f>
        <v/>
      </c>
      <c r="D402">
        <f>IF($C402="","",IFERROR(IF(INDEX('商品マスタ'!$C$6:$C$1005,MATCH($C402,'商品マスタ'!$B$6:$B$1005,0))="",IFERROR(INDEX('①在庫を貼る'!$J$6:$J$10005,MATCH($C402,'①在庫を貼る'!$W$6:$W$10005,0)),IFERROR(INDEX('月1回_1ヶ月前の在庫'!$J$6:$J$10005,MATCH($C402,'月1回_1ヶ月前の在庫'!$W$6:$W$10005,0)),IFERROR(INDEX('月1回_2ヶ月前の在庫'!$J$6:$J$10005,MATCH($C402,'月1回_2ヶ月前の在庫'!$W$6:$W$10005,0)),""))),INDEX('商品マスタ'!$C$6:$C$1005,MATCH($C402,'商品マスタ'!$B$6:$B$1005,0))),IFERROR(INDEX('①在庫を貼る'!$J$6:$J$10005,MATCH($C402,'①在庫を貼る'!$W$6:$W$10005,0)),IFERROR(INDEX('月1回_1ヶ月前の在庫'!$J$6:$J$10005,MATCH($C402,'月1回_1ヶ月前の在庫'!$W$6:$W$10005,0)),IFERROR(INDEX('月1回_2ヶ月前の在庫'!$J$6:$J$10005,MATCH($C402,'月1回_2ヶ月前の在庫'!$W$6:$W$10005,0)),"")))))</f>
        <v/>
      </c>
      <c r="E402">
        <f>IF($C402="","",IFERROR(IF(INDEX('商品マスタ'!$D$6:$D$1005,MATCH($C402,'商品マスタ'!$B$6:$B$1005,0))="",IFERROR(INDEX('①在庫を貼る'!$H$6:$H$10005,MATCH($C402,'①在庫を貼る'!$W$6:$W$10005,0)),IFERROR(INDEX('月1回_1ヶ月前の在庫'!$H$6:$H$10005,MATCH($C402,'月1回_1ヶ月前の在庫'!$W$6:$W$10005,0)),IFERROR(INDEX('月1回_2ヶ月前の在庫'!$H$6:$H$10005,MATCH($C402,'月1回_2ヶ月前の在庫'!$W$6:$W$10005,0)),""))),INDEX('商品マスタ'!$D$6:$D$1005,MATCH($C402,'商品マスタ'!$B$6:$B$1005,0))),IFERROR(INDEX('①在庫を貼る'!$H$6:$H$10005,MATCH($C402,'①在庫を貼る'!$W$6:$W$10005,0)),IFERROR(INDEX('月1回_1ヶ月前の在庫'!$H$6:$H$10005,MATCH($C402,'月1回_1ヶ月前の在庫'!$W$6:$W$10005,0)),IFERROR(INDEX('月1回_2ヶ月前の在庫'!$H$6:$H$10005,MATCH($C402,'月1回_2ヶ月前の在庫'!$W$6:$W$10005,0)),"")))))</f>
        <v/>
      </c>
      <c r="F402">
        <f>IF($C402="","",IFERROR(IF(INDEX('商品マスタ'!$E$6:$E$1005,MATCH($C402,'商品マスタ'!$B$6:$B$1005,0))="",IFERROR(INDEX('①在庫を貼る'!$E$6:$E$10005,MATCH($C402,'①在庫を貼る'!$W$6:$W$10005,0)),IFERROR(INDEX('月1回_1ヶ月前の在庫'!$E$6:$E$10005,MATCH($C402,'月1回_1ヶ月前の在庫'!$W$6:$W$10005,0)),IFERROR(INDEX('月1回_2ヶ月前の在庫'!$E$6:$E$10005,MATCH($C402,'月1回_2ヶ月前の在庫'!$W$6:$W$10005,0)),""))),INDEX('商品マスタ'!$E$6:$E$1005,MATCH($C402,'商品マスタ'!$B$6:$B$1005,0))),IFERROR(INDEX('①在庫を貼る'!$E$6:$E$10005,MATCH($C402,'①在庫を貼る'!$W$6:$W$10005,0)),IFERROR(INDEX('月1回_1ヶ月前の在庫'!$E$6:$E$10005,MATCH($C402,'月1回_1ヶ月前の在庫'!$W$6:$W$10005,0)),IFERROR(INDEX('月1回_2ヶ月前の在庫'!$E$6:$E$10005,MATCH($C402,'月1回_2ヶ月前の在庫'!$W$6:$W$10005,0)),"")))))</f>
        <v/>
      </c>
      <c r="G402">
        <f>IF($C402="","",MAX(1,N(IFERROR(IF(INDEX('商品マスタ'!$F$6:$F$1005,MATCH($C402,'商品マスタ'!$B$6:$B$1005,0))="",IF(COUNTIFS('①在庫を貼る'!$V$6:$V$10005,'設定'!$C$4,'①在庫を貼る'!$W$6:$W$10005,$C402)&gt;0,SUMIFS('①在庫を貼る'!$K$6:$K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K$6:$K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K$6:$K$10005,'月1回_2ヶ月前の在庫'!$V$6:$V$10005,'設定'!$C$4,'月1回_2ヶ月前の在庫'!$W$6:$W$10005,$C402)/COUNTIFS('月1回_2ヶ月前の在庫'!$V$6:$V$10005,'設定'!$C$4,'月1回_2ヶ月前の在庫'!$W$6:$W$10005,$C402),0))),INDEX('商品マスタ'!$F$6:$F$1005,MATCH($C402,'商品マスタ'!$B$6:$B$1005,0))),IF(COUNTIFS('①在庫を貼る'!$V$6:$V$10005,'設定'!$C$4,'①在庫を貼る'!$W$6:$W$10005,$C402)&gt;0,SUMIFS('①在庫を貼る'!$K$6:$K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K$6:$K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K$6:$K$10005,'月1回_2ヶ月前の在庫'!$V$6:$V$10005,'設定'!$C$4,'月1回_2ヶ月前の在庫'!$W$6:$W$10005,$C402)/COUNTIFS('月1回_2ヶ月前の在庫'!$V$6:$V$10005,'設定'!$C$4,'月1回_2ヶ月前の在庫'!$W$6:$W$10005,$C402),0)))))))</f>
        <v/>
      </c>
      <c r="H402">
        <f>IF($C402="","",N(IFERROR(IF(INDEX('商品マスタ'!$G$6:$G$1005,MATCH($C402,'商品マスタ'!$B$6:$B$1005,0))="",IF(COUNTIFS('①在庫を貼る'!$V$6:$V$10005,'設定'!$C$4,'①在庫を貼る'!$W$6:$W$10005,$C402)&gt;0,SUMIFS('①在庫を貼る'!$Q$6:$Q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Q$6:$Q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Q$6:$Q$10005,'月1回_2ヶ月前の在庫'!$V$6:$V$10005,'設定'!$C$4,'月1回_2ヶ月前の在庫'!$W$6:$W$10005,$C402)/COUNTIFS('月1回_2ヶ月前の在庫'!$V$6:$V$10005,'設定'!$C$4,'月1回_2ヶ月前の在庫'!$W$6:$W$10005,$C402),0))),INDEX('商品マスタ'!$G$6:$G$1005,MATCH($C402,'商品マスタ'!$B$6:$B$1005,0))),IF(COUNTIFS('①在庫を貼る'!$V$6:$V$10005,'設定'!$C$4,'①在庫を貼る'!$W$6:$W$10005,$C402)&gt;0,SUMIFS('①在庫を貼る'!$Q$6:$Q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Q$6:$Q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Q$6:$Q$10005,'月1回_2ヶ月前の在庫'!$V$6:$V$10005,'設定'!$C$4,'月1回_2ヶ月前の在庫'!$W$6:$W$10005,$C402)/COUNTIFS('月1回_2ヶ月前の在庫'!$V$6:$V$10005,'設定'!$C$4,'月1回_2ヶ月前の在庫'!$W$6:$W$10005,$C402),0))))))</f>
        <v/>
      </c>
      <c r="I402">
        <f>IF($C402="","",IF(COUNTIFS('①在庫を貼る'!$V$6:$V$10005,'設定'!$C$4,'①在庫を貼る'!$W$6:$W$10005,$C402)=0,"",SUMIFS('①在庫を貼る'!$N$6:$N$10005,'①在庫を貼る'!$V$6:$V$10005,'設定'!$C$4,'①在庫を貼る'!$W$6:$W$10005,$C402)))</f>
        <v/>
      </c>
      <c r="J402">
        <f>IF($C402="","",IF('②発注する'!$AD406="","",'②発注する'!$AD406))</f>
        <v/>
      </c>
      <c r="K402" s="90">
        <f>IF($C402="","",IF('②発注する'!$AE406="","",'②発注する'!$AE406))</f>
        <v/>
      </c>
      <c r="L402">
        <f>IF($C402="","",IF(AND(ISNUMBER($J402),ISNUMBER($K402),$K402&gt;='設定'!$C$6),$J402,N($I402)))</f>
        <v/>
      </c>
      <c r="M402">
        <f>IF($C402="","",IFERROR(IF(N(INDEX('商品マスタ'!$J$6:$J$1005,MATCH($C402,'商品マスタ'!$B$6:$B$1005,0)))&gt;0,INDEX('商品マスタ'!$J$6:$J$1005,MATCH($C402,'商品マスタ'!$B$6:$B$1005,0)),""),""))</f>
        <v/>
      </c>
      <c r="N402">
        <f>IF($C402="","",IFERROR(IF(N(INDEX('商品マスタ'!$H$6:$H$1005,MATCH($C402,'商品マスタ'!$B$6:$B$1005,0)))&gt;0,INDEX('商品マスタ'!$H$6:$H$1005,MATCH($C402,'商品マスタ'!$B$6:$B$1005,0)),""),""))</f>
        <v/>
      </c>
      <c r="O402">
        <f>IF($C402="","",IF($N402&lt;&gt;"",$N402*$G402,IF(N(IF(COUNTIFS('①在庫を貼る'!$V$6:$V$10005,'設定'!$C$4,'①在庫を貼る'!$W$6:$W$10005,$C402)&gt;0,SUMIFS('①在庫を貼る'!$O$6:$O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O$6:$O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O$6:$O$10005,'月1回_2ヶ月前の在庫'!$V$6:$V$10005,'設定'!$C$4,'月1回_2ヶ月前の在庫'!$W$6:$W$10005,$C402)/COUNTIFS('月1回_2ヶ月前の在庫'!$V$6:$V$10005,'設定'!$C$4,'月1回_2ヶ月前の在庫'!$W$6:$W$10005,$C402),0))))&gt;0,N(IF(COUNTIFS('①在庫を貼る'!$V$6:$V$10005,'設定'!$C$4,'①在庫を貼る'!$W$6:$W$10005,$C402)&gt;0,SUMIFS('①在庫を貼る'!$O$6:$O$10005,'①在庫を貼る'!$V$6:$V$10005,'設定'!$C$4,'①在庫を貼る'!$W$6:$W$10005,$C402)/COUNTIFS('①在庫を貼る'!$V$6:$V$10005,'設定'!$C$4,'①在庫を貼る'!$W$6:$W$10005,$C402),IF(COUNTIFS('月1回_1ヶ月前の在庫'!$V$6:$V$10005,'設定'!$C$4,'月1回_1ヶ月前の在庫'!$W$6:$W$10005,$C402)&gt;0,SUMIFS('月1回_1ヶ月前の在庫'!$O$6:$O$10005,'月1回_1ヶ月前の在庫'!$V$6:$V$10005,'設定'!$C$4,'月1回_1ヶ月前の在庫'!$W$6:$W$10005,$C402)/COUNTIFS('月1回_1ヶ月前の在庫'!$V$6:$V$10005,'設定'!$C$4,'月1回_1ヶ月前の在庫'!$W$6:$W$10005,$C402),IF(COUNTIFS('月1回_2ヶ月前の在庫'!$V$6:$V$10005,'設定'!$C$4,'月1回_2ヶ月前の在庫'!$W$6:$W$10005,$C402)&gt;0,SUMIFS('月1回_2ヶ月前の在庫'!$O$6:$O$10005,'月1回_2ヶ月前の在庫'!$V$6:$V$10005,'設定'!$C$4,'月1回_2ヶ月前の在庫'!$W$6:$W$10005,$C402)/COUNTIFS('月1回_2ヶ月前の在庫'!$V$6:$V$10005,'設定'!$C$4,'月1回_2ヶ月前の在庫'!$W$6:$W$10005,$C402),0)))),"")))</f>
        <v/>
      </c>
      <c r="P402" s="90">
        <f>IF($C402="","",IF('②発注する'!$I406="","",'②発注する'!$I406))</f>
        <v/>
      </c>
      <c r="Q402">
        <f>IF($C402="","",IF('②発注する'!$J406="","",'②発注する'!$J406))</f>
        <v/>
      </c>
      <c r="R402">
        <f>IF($C402="",0,IF(AND(ISNUMBER($P402),ISNUMBER($Q402)),MAX(0,$Q402)*$G402,0))</f>
        <v/>
      </c>
      <c r="S402" s="90">
        <f>IF($C402="","",IF('②発注する'!$M406="","",'②発注する'!$M406))</f>
        <v/>
      </c>
      <c r="T402">
        <f>IF($C402="","",IF('②発注する'!$N406="","",'②発注する'!$N406))</f>
        <v/>
      </c>
      <c r="U402">
        <f>IF($C402="",0,IF(AND(ISNUMBER($S402),ISNUMBER($T402)),MAX(0,$T402)*$G402,0))</f>
        <v/>
      </c>
      <c r="V402">
        <f>IF($C402="",0,IF($M402="",0,MAX(0,$M402)*MAX(0,V$4)/100))</f>
        <v/>
      </c>
      <c r="W402">
        <f>IF($C402="",0,IF($M402="",0,MAX(0,$M402)*MAX(0,W$4)/100))</f>
        <v/>
      </c>
      <c r="X402">
        <f>IF($C402="",0,IF($M402="",0,MAX(0,$M402)*MAX(0,X$4)/100))</f>
        <v/>
      </c>
      <c r="Y402">
        <f>IF($C402="",0,IF($M402="",0,MAX(0,$M402)*MAX(0,Y$4)/100))</f>
        <v/>
      </c>
      <c r="Z402">
        <f>IF($C402="",0,IF($M402="",0,MAX(0,$M402)*MAX(0,Z$4)/100))</f>
        <v/>
      </c>
      <c r="AA402">
        <f>IF($C402="",0,IF($M402="",0,MAX(0,$M402)*MAX(0,AA$4)/100))</f>
        <v/>
      </c>
      <c r="AB402">
        <f>IF($C402="",0,IF($M402="",0,MAX(0,$M402)*MAX(0,AB$4)/100))</f>
        <v/>
      </c>
      <c r="AC402">
        <f>IF($C402="",0,IF($M402="",0,MAX(0,$M402)*MAX(0,AC$4)/100))</f>
        <v/>
      </c>
      <c r="AD402">
        <f>IF($C402="",0,IF($M402="",0,MAX(0,$M402)*MAX(0,AD$4)/100))</f>
        <v/>
      </c>
      <c r="AE402">
        <f>IF($C402="",0,IF($M402="",0,MAX(0,$M402)*MAX(0,AE$4)/100))</f>
        <v/>
      </c>
      <c r="AF402">
        <f>IF($C402="",0,IF($M402="",0,MAX(0,$M402)*MAX(0,AF$4)/100))</f>
        <v/>
      </c>
      <c r="AG402">
        <f>IF($C402="",0,IF($M402="",0,MAX(0,$M402)*MAX(0,AG$4)/100))</f>
        <v/>
      </c>
      <c r="AH402">
        <f>IF($C402="",0,IF($M402="",0,MAX(0,$M402)*MAX(0,AH$4)/100))</f>
        <v/>
      </c>
      <c r="AI402">
        <f>IF($C402="",0,IF($M402="",0,MAX(0,$M402)*MAX(0,AI$4)/100))</f>
        <v/>
      </c>
      <c r="AJ402">
        <f>IF($C402="",0,MAX(0,MAX(0,N($L402))-$V402))</f>
        <v/>
      </c>
      <c r="AK402">
        <f>IF($C402="",0,MAX(0,$AJ402-$W402))</f>
        <v/>
      </c>
      <c r="AL402">
        <f>IF($C402="",0,MAX(0,$AK402-$X402))</f>
        <v/>
      </c>
      <c r="AM402">
        <f>IF($C402="",0,MAX(0,$AL402-$Y402))</f>
        <v/>
      </c>
      <c r="AN402">
        <f>IF($C402="",0,MAX(0,$AM402-$Z402))</f>
        <v/>
      </c>
      <c r="AO402">
        <f>IF($C402="",0,MAX(0,$AN402-$AA402))</f>
        <v/>
      </c>
      <c r="AP402">
        <f>IF($C402="",0,MAX(0,$AO402-$AB402))</f>
        <v/>
      </c>
      <c r="AQ402">
        <f>IF($C402="",0,MAX(0,$AP402-$AC402))</f>
        <v/>
      </c>
      <c r="AR402">
        <f>IF($C402="",0,MAX(0,$AQ402-$AD402))</f>
        <v/>
      </c>
      <c r="AS402">
        <f>IF($C402="",0,MAX(0,$AR402-$AE402))</f>
        <v/>
      </c>
      <c r="AT402">
        <f>IF($C402="",0,MAX(0,$AS402-$AF402))</f>
        <v/>
      </c>
      <c r="AU402">
        <f>IF($C402="",0,MAX(0,$AT402-$AG402))</f>
        <v/>
      </c>
      <c r="AV402">
        <f>IF($C402="",0,MAX(0,$AU402-$AH402))</f>
        <v/>
      </c>
      <c r="AW402">
        <f>IF($C402="",0,MAX(0,$AV402-$AI402))</f>
        <v/>
      </c>
      <c r="AX402">
        <f>IF($C402="",0,MAX(0,MAX(0,N($L402))+IF($P402=V$3,$R402,0)+IF($S402=V$3,$U402,0)-$V402))</f>
        <v/>
      </c>
      <c r="AY402">
        <f>IF($C402="",0,MAX(0,$AX402+IF($P402=W$3,$R402,0)+IF($S402=W$3,$U402,0)-$W402))</f>
        <v/>
      </c>
      <c r="AZ402">
        <f>IF($C402="",0,MAX(0,$AY402+IF($P402=X$3,$R402,0)+IF($S402=X$3,$U402,0)-$X402))</f>
        <v/>
      </c>
      <c r="BA402">
        <f>IF($C402="",0,MAX(0,$AZ402+IF($P402=Y$3,$R402,0)+IF($S402=Y$3,$U402,0)-$Y402))</f>
        <v/>
      </c>
      <c r="BB402">
        <f>IF($C402="",0,MAX(0,$BA402+IF($P402=Z$3,$R402,0)+IF($S402=Z$3,$U402,0)-$Z402))</f>
        <v/>
      </c>
      <c r="BC402">
        <f>IF($C402="",0,MAX(0,$BB402+IF($P402=AA$3,$R402,0)+IF($S402=AA$3,$U402,0)-$AA402))</f>
        <v/>
      </c>
      <c r="BD402">
        <f>IF($C402="",0,MAX(0,$BC402+IF($P402=AB$3,$R402,0)+IF($S402=AB$3,$U402,0)-$AB402))</f>
        <v/>
      </c>
      <c r="BE402">
        <f>IF($C402="",0,MAX(0,$BD402+IF($P402=AC$3,$R402,0)+IF($S402=AC$3,$U402,0)-$AC402))</f>
        <v/>
      </c>
      <c r="BF402">
        <f>IF($C402="",0,MAX(0,$BE402+IF($P402=AD$3,$R402,0)+IF($S402=AD$3,$U402,0)-$AD402))</f>
        <v/>
      </c>
      <c r="BG402">
        <f>IF($C402="",0,MAX(0,$BF402+IF($P402=AE$3,$R402,0)+IF($S402=AE$3,$U402,0)-$AE402))</f>
        <v/>
      </c>
      <c r="BH402">
        <f>IF($C402="",0,MAX(0,$BG402+IF($P402=AF$3,$R402,0)+IF($S402=AF$3,$U402,0)-$AF402))</f>
        <v/>
      </c>
      <c r="BI402">
        <f>IF($C402="",0,MAX(0,$BH402+IF($P402=AG$3,$R402,0)+IF($S402=AG$3,$U402,0)-$AG402))</f>
        <v/>
      </c>
      <c r="BJ402">
        <f>IF($C402="",0,MAX(0,$BI402+IF($P402=AH$3,$R402,0)+IF($S402=AH$3,$U402,0)-$AH402))</f>
        <v/>
      </c>
      <c r="BK402">
        <f>IF($C402="",0,MAX(0,$BJ402+IF($P402=AI$3,$R402,0)+IF($S402=AI$3,$U402,0)-$AI402))</f>
        <v/>
      </c>
      <c r="BL402">
        <f>IF($C402="",99,IF(AND($AX402&lt;1,V$3&gt;=MAX(N($P402),N($S402))),0,99))</f>
        <v/>
      </c>
      <c r="BM402">
        <f>IF($C402="",99,IF(AND($AY402&lt;1,W$3&gt;=MAX(N($P402),N($S402))),1,99))</f>
        <v/>
      </c>
      <c r="BN402">
        <f>IF($C402="",99,IF(AND($AZ402&lt;1,X$3&gt;=MAX(N($P402),N($S402))),2,99))</f>
        <v/>
      </c>
      <c r="BO402">
        <f>IF($C402="",99,IF(AND($BA402&lt;1,Y$3&gt;=MAX(N($P402),N($S402))),3,99))</f>
        <v/>
      </c>
      <c r="BP402">
        <f>IF($C402="",99,IF(AND($BB402&lt;1,Z$3&gt;=MAX(N($P402),N($S402))),4,99))</f>
        <v/>
      </c>
      <c r="BQ402">
        <f>IF($C402="",99,IF(AND($BC402&lt;1,AA$3&gt;=MAX(N($P402),N($S402))),5,99))</f>
        <v/>
      </c>
      <c r="BR402">
        <f>IF($C402="",99,IF(AND($BD402&lt;1,AB$3&gt;=MAX(N($P402),N($S402))),6,99))</f>
        <v/>
      </c>
      <c r="BS402">
        <f>IF($C402="",99,IF(AND($BE402&lt;1,AC$3&gt;=MAX(N($P402),N($S402))),7,99))</f>
        <v/>
      </c>
      <c r="BT402">
        <f>IF($C402="",99,IF(AND($BF402&lt;1,AD$3&gt;=MAX(N($P402),N($S402))),8,99))</f>
        <v/>
      </c>
      <c r="BU402">
        <f>IF($C402="",99,IF(AND($BG402&lt;1,AE$3&gt;=MAX(N($P402),N($S402))),9,99))</f>
        <v/>
      </c>
      <c r="BV402">
        <f>IF($C402="",99,IF(AND($BH402&lt;1,AF$3&gt;=MAX(N($P402),N($S402))),10,99))</f>
        <v/>
      </c>
      <c r="BW402">
        <f>IF($C402="",99,IF(AND($BI402&lt;1,AG$3&gt;=MAX(N($P402),N($S402))),11,99))</f>
        <v/>
      </c>
      <c r="BX402">
        <f>IF($C402="",99,IF(AND($BJ402&lt;1,AH$3&gt;=MAX(N($P402),N($S402))),12,99))</f>
        <v/>
      </c>
      <c r="BY402">
        <f>IF($C402="",99,IF(AND($BK402&lt;1,AI$3&gt;=MAX(N($P402),N($S402))),13,99))</f>
        <v/>
      </c>
      <c r="BZ402">
        <f>IF(OR($C402="",$M402=""),"",COUNTIF($AJ402:$AW402,"&gt;=1"))</f>
        <v/>
      </c>
      <c r="CA402" s="90">
        <f>IF($BZ402="","",IF($BZ402&gt;=14,"",'設定'!$C$6+$BZ402))</f>
        <v/>
      </c>
      <c r="CB402">
        <f>IF(OR($C402="",$M402=""),"",MIN($BL402:$BY402))</f>
        <v/>
      </c>
      <c r="CC402" s="90">
        <f>IF($CB402="","",IF($CB402&gt;=99,"",'設定'!$C$6+$CB402))</f>
        <v/>
      </c>
      <c r="CD402">
        <f>IF(OR($C402="",$M402=""),"",AVERAGE($V402:$AI402))</f>
        <v/>
      </c>
      <c r="CE402">
        <f>IF($C402="","",IFERROR(IF(MATCH(IF(ISNUMBER($P402),$P402,'設定'!$C$6+N('設定'!$C$7)),$V$3:$AI$3,0)=1,MAX(0,N($L402)),INDEX($AJ402:$AW402,MATCH(IF(ISNUMBER($P402),$P402,'設定'!$C$6+N('設定'!$C$7)),$V$3:$AI$3,0)-1)),""))</f>
        <v/>
      </c>
      <c r="CF402">
        <f>IF(OR($C402="",$O402="",$CE402=""),"",IF($O402-$CE402&lt;=0,0,ROUNDUP(($O402-$CE402)/$G402,0)))</f>
        <v/>
      </c>
      <c r="CG402">
        <f>IF(OR($C402="",$CF402="",NOT(ISNUMBER($Q402))),0,MAX(0,$Q402-$CF402))</f>
        <v/>
      </c>
      <c r="CH402">
        <f>IF(OR($C402="",$O402="",$U402=0),0,IFERROR(ROUNDUP(MAX(0,IF(MATCH($S402,$V$3:$AI$3,0)=1,MAX(0,N($L402)),INDEX($AX402:$BK402,MATCH($S402,$V$3:$AI$3,0)-1))+$U402-$O402)/$G402,0),0))</f>
        <v/>
      </c>
      <c r="CI402">
        <f>IF($C402="","",IF(AND($P402="",$Q402=""),"",IF($P402="","⚠ 入庫日を ▼ から選んでください",IF(NOT(ISNUMBER($P402)),"⚠ 入庫日は ▼ から選んでください",IF($P402&lt;N('設定'!$C$6),"⚠ 入庫日が過去です（もう在庫に入っています）→ 消してください",IF($P402&gt;N('設定'!$C$6)+13,"⚠ 入庫日が14日より先です",IF(N($Q402)&lt;=0,"⚠ 入庫数を入れてください",IF($CG402&gt;0,"⚠ 目安より "&amp;$CG402&amp;" 多い（定数を超える）→ 減らす",""))))))))</f>
        <v/>
      </c>
      <c r="CJ402">
        <f>IF($C402="","",IF(AND($S402="",$T402=""),"",IF($S402="","⚠ 2便目：入庫日を ▼ から選んでください",IF(NOT(ISNUMBER($S402)),"⚠ 2便目：入庫日は ▼ から選んでください",IF($S402&lt;N('設定'!$C$6),"⚠ 2便目：入庫日が過去です（もう在庫に入っています）→ 消してください",IF($S402&gt;N('設定'!$C$6)+13,"⚠ 2便目：入庫日が14日より先です",IF(N($T402)&lt;=0,"⚠ 2便目：入庫数を入れてください",IF($CH402&gt;0,"⚠ 2便目：定数を "&amp;$CH402&amp;" ケース超える → 減らす",""))))))))</f>
        <v/>
      </c>
      <c r="CK402">
        <f>IF(AND($CI402="",N($Q402)&gt;0,ISNUMBER($P402)),1,0)</f>
        <v/>
      </c>
      <c r="CL402">
        <f>IF(AND($CJ402="",N($T402)&gt;0,ISNUMBER($S402)),1,0)</f>
        <v/>
      </c>
      <c r="CM402">
        <f>IF(OR($CK402=1,$CL402=1),1,0)</f>
        <v/>
      </c>
      <c r="CN402">
        <f>IF($C402="",0,($CK402*$R402+$CL402*$U402)*N($H402))</f>
        <v/>
      </c>
      <c r="CO402">
        <f>IF($C402="","",IF($CC402="","入庫後は 14日以上もつ",IF($CC402-N('設定'!$C$7)&lt;='設定'!$C$6,"入庫後も "&amp;TEXT($CC402,"m/d")&amp;"("&amp;CHOOSE(WEEKDAY($CC402),"日","月","火","水","木","金","土")&amp;")"&amp;" に切れる　もう1便を至急発注","入庫後も "&amp;TEXT($CC402,"m/d")&amp;"("&amp;CHOOSE(WEEKDAY($CC402),"日","月","火","水","木","金","土")&amp;")"&amp;" に切れる　"&amp;TEXT($CC402-N('設定'!$C$7),"m/d")&amp;"("&amp;CHOOSE(WEEKDAY($CC402-N('設定'!$C$7)),"日","月","火","水","木","金","土")&amp;")"&amp;" までに次を発注")))</f>
        <v/>
      </c>
      <c r="CP402">
        <f>IF($C402="","",IF('設定'!$C$6="","？ ①在庫を貼る に今日のCSVが貼られていない",IF($CS402=1,"－ 今日のCSVに無い（終売？）",IF($L402&lt;0,"● 在庫がマイナス　数えて「数えた在庫」に入れる",IF($L402=0,"● 在庫なし　至急発注",IF($M402="","？ 減り数が未設定（商品マスタ）",IF($B$3=0,"？ 動員が未入力（動員を入れる）",IF($CA402="","○ 14日以上もつ",IF($BZ402&lt;N('設定'!$C$7),"● "&amp;TEXT($CA402,"m/d")&amp;"("&amp;CHOOSE(WEEKDAY($CA402),"日","月","火","水","木","金","土")&amp;")"&amp;" に切れる　至急発注",IF($BZ402=N('設定'!$C$7),"● "&amp;TEXT($CA402,"m/d")&amp;"("&amp;CHOOSE(WEEKDAY($CA402),"日","月","火","水","木","金","土")&amp;")"&amp;" に切れる　今日発注","△ "&amp;TEXT($CA402,"m/d")&amp;"("&amp;CHOOSE(WEEKDAY($CA402),"日","月","火","水","木","金","土")&amp;")"&amp;" に切れる　"&amp;TEXT($CA402-N('設定'!$C$7),"m/d")&amp;"("&amp;CHOOSE(WEEKDAY($CA402-N('設定'!$C$7)),"日","月","火","水","木","金","土")&amp;")"&amp;" までに発注"))))))))))</f>
        <v/>
      </c>
      <c r="CQ402">
        <f>IF($C402="","",IF(AND($P402="",$Q402="",$S402="",$T402=""),"",IF(AND($P402="",$Q402=""),"⚠ 先に1便目（左の入庫日・入庫数）に入れてください",IF($CI402&lt;&gt;"",$CI402,IF($CJ402&lt;&gt;"",$CJ402,IF($M402="","？ 減り数が未設定（発注書には載ります）",IF($B$3=0,"？ 動員が未入力（発注書には載ります）",IF(AND($CA402&lt;&gt;"",$P402&gt;$CA402),IF($P402&gt;'設定'!$C$6+N('設定'!$C$7),"● "&amp;TEXT($P402,"m/d")&amp;"("&amp;CHOOSE(WEEKDAY($P402),"日","月","火","水","木","金","土")&amp;")"&amp;" の入庫では間に合わない（"&amp;TEXT($CA402,"m/d")&amp;"("&amp;CHOOSE(WEEKDAY($CA402),"日","月","火","水","木","金","土")&amp;")"&amp;" に切れる）　入庫日を早める","△ 欠品 "&amp;TEXT($CA402,"m/d")&amp;"("&amp;CHOOSE(WEEKDAY($CA402),"日","月","火","水","木","金","土")&amp;")"&amp;"〜"&amp;TEXT($P402-1,"m/d")&amp;"("&amp;CHOOSE(WEEKDAY($P402-1),"日","月","火","水","木","金","土")&amp;")"&amp;"　"&amp;$CO402),IF($CC402="","○ "&amp;TEXT($P402,"m/d")&amp;"("&amp;CHOOSE(WEEKDAY($P402),"日","月","火","水","木","金","土")&amp;")"&amp;" 入庫で 14日以上もつ",IF($CC402-N('設定'!$C$7)&lt;='設定'!$C$6,"● 入庫しても "&amp;TEXT($CC402,"m/d")&amp;"("&amp;CHOOSE(WEEKDAY($CC402),"日","月","火","水","木","金","土")&amp;")"&amp;" に切れる　もう1便を至急発注（2便目に入れる）","△ 入庫しても "&amp;TEXT($CC402,"m/d")&amp;"("&amp;CHOOSE(WEEKDAY($CC402),"日","月","火","水","木","金","土")&amp;")"&amp;" に切れる　"&amp;TEXT($CC402-N('設定'!$C$7),"m/d")&amp;"("&amp;CHOOSE(WEEKDAY($CC402-N('設定'!$C$7)),"日","月","火","水","木","金","土")&amp;")"&amp;" までに次を発注（2便目に入れる）"))))))))))</f>
        <v/>
      </c>
      <c r="CR402">
        <f>IF($C402="","",IF($G402&gt;1,"ｹｰｽ("&amp;$G402&amp;"入)","個"))</f>
        <v/>
      </c>
      <c r="CS402">
        <f>IF($C402="",0,IF(COUNTIFS('①在庫を貼る'!$V$6:$V$10005,'設定'!$C$4,'①在庫を貼る'!$W$6:$W$10005,$C402)=0,1,0))</f>
        <v/>
      </c>
      <c r="CT402">
        <f>IF(AND($CK402=1,OR('③発注書'!$C$4="すべて",'③発注書'!$C$4="",$F402='③発注書'!$C$4)),N($CT401)+1,N($CT401))</f>
        <v/>
      </c>
      <c r="CU402">
        <f>IF(AND($CL402=1,OR('③発注書'!$C$4="すべて",'③発注書'!$C$4="",$F402='③発注書'!$C$4)),N($CU401)+1,N($CU401))</f>
        <v/>
      </c>
      <c r="CV402">
        <f>IF($C402="",0,IF(COUNTIFS('①在庫を貼る'!$V$6:$V$10005,'設定'!$C$4,'①在庫を貼る'!$W$6:$W$10005,$C402)&gt;0,1,0))</f>
        <v/>
      </c>
      <c r="CW402">
        <f>IF($C402="",0,IF(COUNTIFS('月1回_1ヶ月前の在庫'!$V$6:$V$10005,'設定'!$C$4,'月1回_1ヶ月前の在庫'!$W$6:$W$10005,$C402)&gt;0,1,0))</f>
        <v/>
      </c>
      <c r="CX402">
        <f>IF($C402="",0,IF(COUNTIFS('月1回_2ヶ月前の在庫'!$V$6:$V$10005,'設定'!$C$4,'月1回_2ヶ月前の在庫'!$W$6:$W$10005,$C402)&gt;0,1,0))</f>
        <v/>
      </c>
      <c r="CY402">
        <f>IF(OR($C402="",'設定'!$C$12=""),"",IF('設定'!$C$13="",IF(AND($CV402=1,$CW402=0),"新商品（今月から）",IF(AND($CV402=0,$CW402=1),"終売（今月から）","")),IF(AND($CV402=1,$CW402=0,$CX402=0),"新商品（今月から）",IF(AND($CV402=1,$CW402=1,$CX402=0),"新商品（先月から）",IF(AND($CV402=0,$CW402=1,$CX402=1),"終売（今月から）",IF(AND($CV402=0,$CW402=0,$CX402=1),"終売（先月から）",IF(AND($CV402=1,$CW402=0,$CX402=1),"復活（先月は無し）","")))))))</f>
        <v/>
      </c>
    </row>
    <row r="403">
      <c r="B403">
        <f>IF(398&lt;='設定'!$C$11,398,"")</f>
        <v/>
      </c>
      <c r="C403">
        <f>IF($B403="","",IF($B403&lt;='設定'!$C$20,INDEX('商品マスタ'!$B$6:$B$1005,MATCH($B403,'商品マスタ'!$M$6:$M$1005,0)),IF($B403&lt;='設定'!$C$20+'設定'!$C$17,INDEX('①在庫を貼る'!$W$6:$W$10005,MATCH($B403-'設定'!$C$20,'①在庫を貼る'!$U$6:$U$10005,0)),IF($B403&lt;='設定'!$C$20+'設定'!$C$17+'設定'!$C$18,INDEX('月1回_1ヶ月前の在庫'!$W$6:$W$10005,MATCH($B403-'設定'!$C$20-'設定'!$C$17,'月1回_1ヶ月前の在庫'!$U$6:$U$10005,0)),INDEX('月1回_2ヶ月前の在庫'!$W$6:$W$10005,MATCH($B403-'設定'!$C$20-'設定'!$C$17-'設定'!$C$18,'月1回_2ヶ月前の在庫'!$U$6:$U$10005,0))))))</f>
        <v/>
      </c>
      <c r="D403">
        <f>IF($C403="","",IFERROR(IF(INDEX('商品マスタ'!$C$6:$C$1005,MATCH($C403,'商品マスタ'!$B$6:$B$1005,0))="",IFERROR(INDEX('①在庫を貼る'!$J$6:$J$10005,MATCH($C403,'①在庫を貼る'!$W$6:$W$10005,0)),IFERROR(INDEX('月1回_1ヶ月前の在庫'!$J$6:$J$10005,MATCH($C403,'月1回_1ヶ月前の在庫'!$W$6:$W$10005,0)),IFERROR(INDEX('月1回_2ヶ月前の在庫'!$J$6:$J$10005,MATCH($C403,'月1回_2ヶ月前の在庫'!$W$6:$W$10005,0)),""))),INDEX('商品マスタ'!$C$6:$C$1005,MATCH($C403,'商品マスタ'!$B$6:$B$1005,0))),IFERROR(INDEX('①在庫を貼る'!$J$6:$J$10005,MATCH($C403,'①在庫を貼る'!$W$6:$W$10005,0)),IFERROR(INDEX('月1回_1ヶ月前の在庫'!$J$6:$J$10005,MATCH($C403,'月1回_1ヶ月前の在庫'!$W$6:$W$10005,0)),IFERROR(INDEX('月1回_2ヶ月前の在庫'!$J$6:$J$10005,MATCH($C403,'月1回_2ヶ月前の在庫'!$W$6:$W$10005,0)),"")))))</f>
        <v/>
      </c>
      <c r="E403">
        <f>IF($C403="","",IFERROR(IF(INDEX('商品マスタ'!$D$6:$D$1005,MATCH($C403,'商品マスタ'!$B$6:$B$1005,0))="",IFERROR(INDEX('①在庫を貼る'!$H$6:$H$10005,MATCH($C403,'①在庫を貼る'!$W$6:$W$10005,0)),IFERROR(INDEX('月1回_1ヶ月前の在庫'!$H$6:$H$10005,MATCH($C403,'月1回_1ヶ月前の在庫'!$W$6:$W$10005,0)),IFERROR(INDEX('月1回_2ヶ月前の在庫'!$H$6:$H$10005,MATCH($C403,'月1回_2ヶ月前の在庫'!$W$6:$W$10005,0)),""))),INDEX('商品マスタ'!$D$6:$D$1005,MATCH($C403,'商品マスタ'!$B$6:$B$1005,0))),IFERROR(INDEX('①在庫を貼る'!$H$6:$H$10005,MATCH($C403,'①在庫を貼る'!$W$6:$W$10005,0)),IFERROR(INDEX('月1回_1ヶ月前の在庫'!$H$6:$H$10005,MATCH($C403,'月1回_1ヶ月前の在庫'!$W$6:$W$10005,0)),IFERROR(INDEX('月1回_2ヶ月前の在庫'!$H$6:$H$10005,MATCH($C403,'月1回_2ヶ月前の在庫'!$W$6:$W$10005,0)),"")))))</f>
        <v/>
      </c>
      <c r="F403">
        <f>IF($C403="","",IFERROR(IF(INDEX('商品マスタ'!$E$6:$E$1005,MATCH($C403,'商品マスタ'!$B$6:$B$1005,0))="",IFERROR(INDEX('①在庫を貼る'!$E$6:$E$10005,MATCH($C403,'①在庫を貼る'!$W$6:$W$10005,0)),IFERROR(INDEX('月1回_1ヶ月前の在庫'!$E$6:$E$10005,MATCH($C403,'月1回_1ヶ月前の在庫'!$W$6:$W$10005,0)),IFERROR(INDEX('月1回_2ヶ月前の在庫'!$E$6:$E$10005,MATCH($C403,'月1回_2ヶ月前の在庫'!$W$6:$W$10005,0)),""))),INDEX('商品マスタ'!$E$6:$E$1005,MATCH($C403,'商品マスタ'!$B$6:$B$1005,0))),IFERROR(INDEX('①在庫を貼る'!$E$6:$E$10005,MATCH($C403,'①在庫を貼る'!$W$6:$W$10005,0)),IFERROR(INDEX('月1回_1ヶ月前の在庫'!$E$6:$E$10005,MATCH($C403,'月1回_1ヶ月前の在庫'!$W$6:$W$10005,0)),IFERROR(INDEX('月1回_2ヶ月前の在庫'!$E$6:$E$10005,MATCH($C403,'月1回_2ヶ月前の在庫'!$W$6:$W$10005,0)),"")))))</f>
        <v/>
      </c>
      <c r="G403">
        <f>IF($C403="","",MAX(1,N(IFERROR(IF(INDEX('商品マスタ'!$F$6:$F$1005,MATCH($C403,'商品マスタ'!$B$6:$B$1005,0))="",IF(COUNTIFS('①在庫を貼る'!$V$6:$V$10005,'設定'!$C$4,'①在庫を貼る'!$W$6:$W$10005,$C403)&gt;0,SUMIFS('①在庫を貼る'!$K$6:$K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K$6:$K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K$6:$K$10005,'月1回_2ヶ月前の在庫'!$V$6:$V$10005,'設定'!$C$4,'月1回_2ヶ月前の在庫'!$W$6:$W$10005,$C403)/COUNTIFS('月1回_2ヶ月前の在庫'!$V$6:$V$10005,'設定'!$C$4,'月1回_2ヶ月前の在庫'!$W$6:$W$10005,$C403),0))),INDEX('商品マスタ'!$F$6:$F$1005,MATCH($C403,'商品マスタ'!$B$6:$B$1005,0))),IF(COUNTIFS('①在庫を貼る'!$V$6:$V$10005,'設定'!$C$4,'①在庫を貼る'!$W$6:$W$10005,$C403)&gt;0,SUMIFS('①在庫を貼る'!$K$6:$K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K$6:$K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K$6:$K$10005,'月1回_2ヶ月前の在庫'!$V$6:$V$10005,'設定'!$C$4,'月1回_2ヶ月前の在庫'!$W$6:$W$10005,$C403)/COUNTIFS('月1回_2ヶ月前の在庫'!$V$6:$V$10005,'設定'!$C$4,'月1回_2ヶ月前の在庫'!$W$6:$W$10005,$C403),0)))))))</f>
        <v/>
      </c>
      <c r="H403">
        <f>IF($C403="","",N(IFERROR(IF(INDEX('商品マスタ'!$G$6:$G$1005,MATCH($C403,'商品マスタ'!$B$6:$B$1005,0))="",IF(COUNTIFS('①在庫を貼る'!$V$6:$V$10005,'設定'!$C$4,'①在庫を貼る'!$W$6:$W$10005,$C403)&gt;0,SUMIFS('①在庫を貼る'!$Q$6:$Q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Q$6:$Q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Q$6:$Q$10005,'月1回_2ヶ月前の在庫'!$V$6:$V$10005,'設定'!$C$4,'月1回_2ヶ月前の在庫'!$W$6:$W$10005,$C403)/COUNTIFS('月1回_2ヶ月前の在庫'!$V$6:$V$10005,'設定'!$C$4,'月1回_2ヶ月前の在庫'!$W$6:$W$10005,$C403),0))),INDEX('商品マスタ'!$G$6:$G$1005,MATCH($C403,'商品マスタ'!$B$6:$B$1005,0))),IF(COUNTIFS('①在庫を貼る'!$V$6:$V$10005,'設定'!$C$4,'①在庫を貼る'!$W$6:$W$10005,$C403)&gt;0,SUMIFS('①在庫を貼る'!$Q$6:$Q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Q$6:$Q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Q$6:$Q$10005,'月1回_2ヶ月前の在庫'!$V$6:$V$10005,'設定'!$C$4,'月1回_2ヶ月前の在庫'!$W$6:$W$10005,$C403)/COUNTIFS('月1回_2ヶ月前の在庫'!$V$6:$V$10005,'設定'!$C$4,'月1回_2ヶ月前の在庫'!$W$6:$W$10005,$C403),0))))))</f>
        <v/>
      </c>
      <c r="I403">
        <f>IF($C403="","",IF(COUNTIFS('①在庫を貼る'!$V$6:$V$10005,'設定'!$C$4,'①在庫を貼る'!$W$6:$W$10005,$C403)=0,"",SUMIFS('①在庫を貼る'!$N$6:$N$10005,'①在庫を貼る'!$V$6:$V$10005,'設定'!$C$4,'①在庫を貼る'!$W$6:$W$10005,$C403)))</f>
        <v/>
      </c>
      <c r="J403">
        <f>IF($C403="","",IF('②発注する'!$AD407="","",'②発注する'!$AD407))</f>
        <v/>
      </c>
      <c r="K403" s="90">
        <f>IF($C403="","",IF('②発注する'!$AE407="","",'②発注する'!$AE407))</f>
        <v/>
      </c>
      <c r="L403">
        <f>IF($C403="","",IF(AND(ISNUMBER($J403),ISNUMBER($K403),$K403&gt;='設定'!$C$6),$J403,N($I403)))</f>
        <v/>
      </c>
      <c r="M403">
        <f>IF($C403="","",IFERROR(IF(N(INDEX('商品マスタ'!$J$6:$J$1005,MATCH($C403,'商品マスタ'!$B$6:$B$1005,0)))&gt;0,INDEX('商品マスタ'!$J$6:$J$1005,MATCH($C403,'商品マスタ'!$B$6:$B$1005,0)),""),""))</f>
        <v/>
      </c>
      <c r="N403">
        <f>IF($C403="","",IFERROR(IF(N(INDEX('商品マスタ'!$H$6:$H$1005,MATCH($C403,'商品マスタ'!$B$6:$B$1005,0)))&gt;0,INDEX('商品マスタ'!$H$6:$H$1005,MATCH($C403,'商品マスタ'!$B$6:$B$1005,0)),""),""))</f>
        <v/>
      </c>
      <c r="O403">
        <f>IF($C403="","",IF($N403&lt;&gt;"",$N403*$G403,IF(N(IF(COUNTIFS('①在庫を貼る'!$V$6:$V$10005,'設定'!$C$4,'①在庫を貼る'!$W$6:$W$10005,$C403)&gt;0,SUMIFS('①在庫を貼る'!$O$6:$O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O$6:$O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O$6:$O$10005,'月1回_2ヶ月前の在庫'!$V$6:$V$10005,'設定'!$C$4,'月1回_2ヶ月前の在庫'!$W$6:$W$10005,$C403)/COUNTIFS('月1回_2ヶ月前の在庫'!$V$6:$V$10005,'設定'!$C$4,'月1回_2ヶ月前の在庫'!$W$6:$W$10005,$C403),0))))&gt;0,N(IF(COUNTIFS('①在庫を貼る'!$V$6:$V$10005,'設定'!$C$4,'①在庫を貼る'!$W$6:$W$10005,$C403)&gt;0,SUMIFS('①在庫を貼る'!$O$6:$O$10005,'①在庫を貼る'!$V$6:$V$10005,'設定'!$C$4,'①在庫を貼る'!$W$6:$W$10005,$C403)/COUNTIFS('①在庫を貼る'!$V$6:$V$10005,'設定'!$C$4,'①在庫を貼る'!$W$6:$W$10005,$C403),IF(COUNTIFS('月1回_1ヶ月前の在庫'!$V$6:$V$10005,'設定'!$C$4,'月1回_1ヶ月前の在庫'!$W$6:$W$10005,$C403)&gt;0,SUMIFS('月1回_1ヶ月前の在庫'!$O$6:$O$10005,'月1回_1ヶ月前の在庫'!$V$6:$V$10005,'設定'!$C$4,'月1回_1ヶ月前の在庫'!$W$6:$W$10005,$C403)/COUNTIFS('月1回_1ヶ月前の在庫'!$V$6:$V$10005,'設定'!$C$4,'月1回_1ヶ月前の在庫'!$W$6:$W$10005,$C403),IF(COUNTIFS('月1回_2ヶ月前の在庫'!$V$6:$V$10005,'設定'!$C$4,'月1回_2ヶ月前の在庫'!$W$6:$W$10005,$C403)&gt;0,SUMIFS('月1回_2ヶ月前の在庫'!$O$6:$O$10005,'月1回_2ヶ月前の在庫'!$V$6:$V$10005,'設定'!$C$4,'月1回_2ヶ月前の在庫'!$W$6:$W$10005,$C403)/COUNTIFS('月1回_2ヶ月前の在庫'!$V$6:$V$10005,'設定'!$C$4,'月1回_2ヶ月前の在庫'!$W$6:$W$10005,$C403),0)))),"")))</f>
        <v/>
      </c>
      <c r="P403" s="90">
        <f>IF($C403="","",IF('②発注する'!$I407="","",'②発注する'!$I407))</f>
        <v/>
      </c>
      <c r="Q403">
        <f>IF($C403="","",IF('②発注する'!$J407="","",'②発注する'!$J407))</f>
        <v/>
      </c>
      <c r="R403">
        <f>IF($C403="",0,IF(AND(ISNUMBER($P403),ISNUMBER($Q403)),MAX(0,$Q403)*$G403,0))</f>
        <v/>
      </c>
      <c r="S403" s="90">
        <f>IF($C403="","",IF('②発注する'!$M407="","",'②発注する'!$M407))</f>
        <v/>
      </c>
      <c r="T403">
        <f>IF($C403="","",IF('②発注する'!$N407="","",'②発注する'!$N407))</f>
        <v/>
      </c>
      <c r="U403">
        <f>IF($C403="",0,IF(AND(ISNUMBER($S403),ISNUMBER($T403)),MAX(0,$T403)*$G403,0))</f>
        <v/>
      </c>
      <c r="V403">
        <f>IF($C403="",0,IF($M403="",0,MAX(0,$M403)*MAX(0,V$4)/100))</f>
        <v/>
      </c>
      <c r="W403">
        <f>IF($C403="",0,IF($M403="",0,MAX(0,$M403)*MAX(0,W$4)/100))</f>
        <v/>
      </c>
      <c r="X403">
        <f>IF($C403="",0,IF($M403="",0,MAX(0,$M403)*MAX(0,X$4)/100))</f>
        <v/>
      </c>
      <c r="Y403">
        <f>IF($C403="",0,IF($M403="",0,MAX(0,$M403)*MAX(0,Y$4)/100))</f>
        <v/>
      </c>
      <c r="Z403">
        <f>IF($C403="",0,IF($M403="",0,MAX(0,$M403)*MAX(0,Z$4)/100))</f>
        <v/>
      </c>
      <c r="AA403">
        <f>IF($C403="",0,IF($M403="",0,MAX(0,$M403)*MAX(0,AA$4)/100))</f>
        <v/>
      </c>
      <c r="AB403">
        <f>IF($C403="",0,IF($M403="",0,MAX(0,$M403)*MAX(0,AB$4)/100))</f>
        <v/>
      </c>
      <c r="AC403">
        <f>IF($C403="",0,IF($M403="",0,MAX(0,$M403)*MAX(0,AC$4)/100))</f>
        <v/>
      </c>
      <c r="AD403">
        <f>IF($C403="",0,IF($M403="",0,MAX(0,$M403)*MAX(0,AD$4)/100))</f>
        <v/>
      </c>
      <c r="AE403">
        <f>IF($C403="",0,IF($M403="",0,MAX(0,$M403)*MAX(0,AE$4)/100))</f>
        <v/>
      </c>
      <c r="AF403">
        <f>IF($C403="",0,IF($M403="",0,MAX(0,$M403)*MAX(0,AF$4)/100))</f>
        <v/>
      </c>
      <c r="AG403">
        <f>IF($C403="",0,IF($M403="",0,MAX(0,$M403)*MAX(0,AG$4)/100))</f>
        <v/>
      </c>
      <c r="AH403">
        <f>IF($C403="",0,IF($M403="",0,MAX(0,$M403)*MAX(0,AH$4)/100))</f>
        <v/>
      </c>
      <c r="AI403">
        <f>IF($C403="",0,IF($M403="",0,MAX(0,$M403)*MAX(0,AI$4)/100))</f>
        <v/>
      </c>
      <c r="AJ403">
        <f>IF($C403="",0,MAX(0,MAX(0,N($L403))-$V403))</f>
        <v/>
      </c>
      <c r="AK403">
        <f>IF($C403="",0,MAX(0,$AJ403-$W403))</f>
        <v/>
      </c>
      <c r="AL403">
        <f>IF($C403="",0,MAX(0,$AK403-$X403))</f>
        <v/>
      </c>
      <c r="AM403">
        <f>IF($C403="",0,MAX(0,$AL403-$Y403))</f>
        <v/>
      </c>
      <c r="AN403">
        <f>IF($C403="",0,MAX(0,$AM403-$Z403))</f>
        <v/>
      </c>
      <c r="AO403">
        <f>IF($C403="",0,MAX(0,$AN403-$AA403))</f>
        <v/>
      </c>
      <c r="AP403">
        <f>IF($C403="",0,MAX(0,$AO403-$AB403))</f>
        <v/>
      </c>
      <c r="AQ403">
        <f>IF($C403="",0,MAX(0,$AP403-$AC403))</f>
        <v/>
      </c>
      <c r="AR403">
        <f>IF($C403="",0,MAX(0,$AQ403-$AD403))</f>
        <v/>
      </c>
      <c r="AS403">
        <f>IF($C403="",0,MAX(0,$AR403-$AE403))</f>
        <v/>
      </c>
      <c r="AT403">
        <f>IF($C403="",0,MAX(0,$AS403-$AF403))</f>
        <v/>
      </c>
      <c r="AU403">
        <f>IF($C403="",0,MAX(0,$AT403-$AG403))</f>
        <v/>
      </c>
      <c r="AV403">
        <f>IF($C403="",0,MAX(0,$AU403-$AH403))</f>
        <v/>
      </c>
      <c r="AW403">
        <f>IF($C403="",0,MAX(0,$AV403-$AI403))</f>
        <v/>
      </c>
      <c r="AX403">
        <f>IF($C403="",0,MAX(0,MAX(0,N($L403))+IF($P403=V$3,$R403,0)+IF($S403=V$3,$U403,0)-$V403))</f>
        <v/>
      </c>
      <c r="AY403">
        <f>IF($C403="",0,MAX(0,$AX403+IF($P403=W$3,$R403,0)+IF($S403=W$3,$U403,0)-$W403))</f>
        <v/>
      </c>
      <c r="AZ403">
        <f>IF($C403="",0,MAX(0,$AY403+IF($P403=X$3,$R403,0)+IF($S403=X$3,$U403,0)-$X403))</f>
        <v/>
      </c>
      <c r="BA403">
        <f>IF($C403="",0,MAX(0,$AZ403+IF($P403=Y$3,$R403,0)+IF($S403=Y$3,$U403,0)-$Y403))</f>
        <v/>
      </c>
      <c r="BB403">
        <f>IF($C403="",0,MAX(0,$BA403+IF($P403=Z$3,$R403,0)+IF($S403=Z$3,$U403,0)-$Z403))</f>
        <v/>
      </c>
      <c r="BC403">
        <f>IF($C403="",0,MAX(0,$BB403+IF($P403=AA$3,$R403,0)+IF($S403=AA$3,$U403,0)-$AA403))</f>
        <v/>
      </c>
      <c r="BD403">
        <f>IF($C403="",0,MAX(0,$BC403+IF($P403=AB$3,$R403,0)+IF($S403=AB$3,$U403,0)-$AB403))</f>
        <v/>
      </c>
      <c r="BE403">
        <f>IF($C403="",0,MAX(0,$BD403+IF($P403=AC$3,$R403,0)+IF($S403=AC$3,$U403,0)-$AC403))</f>
        <v/>
      </c>
      <c r="BF403">
        <f>IF($C403="",0,MAX(0,$BE403+IF($P403=AD$3,$R403,0)+IF($S403=AD$3,$U403,0)-$AD403))</f>
        <v/>
      </c>
      <c r="BG403">
        <f>IF($C403="",0,MAX(0,$BF403+IF($P403=AE$3,$R403,0)+IF($S403=AE$3,$U403,0)-$AE403))</f>
        <v/>
      </c>
      <c r="BH403">
        <f>IF($C403="",0,MAX(0,$BG403+IF($P403=AF$3,$R403,0)+IF($S403=AF$3,$U403,0)-$AF403))</f>
        <v/>
      </c>
      <c r="BI403">
        <f>IF($C403="",0,MAX(0,$BH403+IF($P403=AG$3,$R403,0)+IF($S403=AG$3,$U403,0)-$AG403))</f>
        <v/>
      </c>
      <c r="BJ403">
        <f>IF($C403="",0,MAX(0,$BI403+IF($P403=AH$3,$R403,0)+IF($S403=AH$3,$U403,0)-$AH403))</f>
        <v/>
      </c>
      <c r="BK403">
        <f>IF($C403="",0,MAX(0,$BJ403+IF($P403=AI$3,$R403,0)+IF($S403=AI$3,$U403,0)-$AI403))</f>
        <v/>
      </c>
      <c r="BL403">
        <f>IF($C403="",99,IF(AND($AX403&lt;1,V$3&gt;=MAX(N($P403),N($S403))),0,99))</f>
        <v/>
      </c>
      <c r="BM403">
        <f>IF($C403="",99,IF(AND($AY403&lt;1,W$3&gt;=MAX(N($P403),N($S403))),1,99))</f>
        <v/>
      </c>
      <c r="BN403">
        <f>IF($C403="",99,IF(AND($AZ403&lt;1,X$3&gt;=MAX(N($P403),N($S403))),2,99))</f>
        <v/>
      </c>
      <c r="BO403">
        <f>IF($C403="",99,IF(AND($BA403&lt;1,Y$3&gt;=MAX(N($P403),N($S403))),3,99))</f>
        <v/>
      </c>
      <c r="BP403">
        <f>IF($C403="",99,IF(AND($BB403&lt;1,Z$3&gt;=MAX(N($P403),N($S403))),4,99))</f>
        <v/>
      </c>
      <c r="BQ403">
        <f>IF($C403="",99,IF(AND($BC403&lt;1,AA$3&gt;=MAX(N($P403),N($S403))),5,99))</f>
        <v/>
      </c>
      <c r="BR403">
        <f>IF($C403="",99,IF(AND($BD403&lt;1,AB$3&gt;=MAX(N($P403),N($S403))),6,99))</f>
        <v/>
      </c>
      <c r="BS403">
        <f>IF($C403="",99,IF(AND($BE403&lt;1,AC$3&gt;=MAX(N($P403),N($S403))),7,99))</f>
        <v/>
      </c>
      <c r="BT403">
        <f>IF($C403="",99,IF(AND($BF403&lt;1,AD$3&gt;=MAX(N($P403),N($S403))),8,99))</f>
        <v/>
      </c>
      <c r="BU403">
        <f>IF($C403="",99,IF(AND($BG403&lt;1,AE$3&gt;=MAX(N($P403),N($S403))),9,99))</f>
        <v/>
      </c>
      <c r="BV403">
        <f>IF($C403="",99,IF(AND($BH403&lt;1,AF$3&gt;=MAX(N($P403),N($S403))),10,99))</f>
        <v/>
      </c>
      <c r="BW403">
        <f>IF($C403="",99,IF(AND($BI403&lt;1,AG$3&gt;=MAX(N($P403),N($S403))),11,99))</f>
        <v/>
      </c>
      <c r="BX403">
        <f>IF($C403="",99,IF(AND($BJ403&lt;1,AH$3&gt;=MAX(N($P403),N($S403))),12,99))</f>
        <v/>
      </c>
      <c r="BY403">
        <f>IF($C403="",99,IF(AND($BK403&lt;1,AI$3&gt;=MAX(N($P403),N($S403))),13,99))</f>
        <v/>
      </c>
      <c r="BZ403">
        <f>IF(OR($C403="",$M403=""),"",COUNTIF($AJ403:$AW403,"&gt;=1"))</f>
        <v/>
      </c>
      <c r="CA403" s="90">
        <f>IF($BZ403="","",IF($BZ403&gt;=14,"",'設定'!$C$6+$BZ403))</f>
        <v/>
      </c>
      <c r="CB403">
        <f>IF(OR($C403="",$M403=""),"",MIN($BL403:$BY403))</f>
        <v/>
      </c>
      <c r="CC403" s="90">
        <f>IF($CB403="","",IF($CB403&gt;=99,"",'設定'!$C$6+$CB403))</f>
        <v/>
      </c>
      <c r="CD403">
        <f>IF(OR($C403="",$M403=""),"",AVERAGE($V403:$AI403))</f>
        <v/>
      </c>
      <c r="CE403">
        <f>IF($C403="","",IFERROR(IF(MATCH(IF(ISNUMBER($P403),$P403,'設定'!$C$6+N('設定'!$C$7)),$V$3:$AI$3,0)=1,MAX(0,N($L403)),INDEX($AJ403:$AW403,MATCH(IF(ISNUMBER($P403),$P403,'設定'!$C$6+N('設定'!$C$7)),$V$3:$AI$3,0)-1)),""))</f>
        <v/>
      </c>
      <c r="CF403">
        <f>IF(OR($C403="",$O403="",$CE403=""),"",IF($O403-$CE403&lt;=0,0,ROUNDUP(($O403-$CE403)/$G403,0)))</f>
        <v/>
      </c>
      <c r="CG403">
        <f>IF(OR($C403="",$CF403="",NOT(ISNUMBER($Q403))),0,MAX(0,$Q403-$CF403))</f>
        <v/>
      </c>
      <c r="CH403">
        <f>IF(OR($C403="",$O403="",$U403=0),0,IFERROR(ROUNDUP(MAX(0,IF(MATCH($S403,$V$3:$AI$3,0)=1,MAX(0,N($L403)),INDEX($AX403:$BK403,MATCH($S403,$V$3:$AI$3,0)-1))+$U403-$O403)/$G403,0),0))</f>
        <v/>
      </c>
      <c r="CI403">
        <f>IF($C403="","",IF(AND($P403="",$Q403=""),"",IF($P403="","⚠ 入庫日を ▼ から選んでください",IF(NOT(ISNUMBER($P403)),"⚠ 入庫日は ▼ から選んでください",IF($P403&lt;N('設定'!$C$6),"⚠ 入庫日が過去です（もう在庫に入っています）→ 消してください",IF($P403&gt;N('設定'!$C$6)+13,"⚠ 入庫日が14日より先です",IF(N($Q403)&lt;=0,"⚠ 入庫数を入れてください",IF($CG403&gt;0,"⚠ 目安より "&amp;$CG403&amp;" 多い（定数を超える）→ 減らす",""))))))))</f>
        <v/>
      </c>
      <c r="CJ403">
        <f>IF($C403="","",IF(AND($S403="",$T403=""),"",IF($S403="","⚠ 2便目：入庫日を ▼ から選んでください",IF(NOT(ISNUMBER($S403)),"⚠ 2便目：入庫日は ▼ から選んでください",IF($S403&lt;N('設定'!$C$6),"⚠ 2便目：入庫日が過去です（もう在庫に入っています）→ 消してください",IF($S403&gt;N('設定'!$C$6)+13,"⚠ 2便目：入庫日が14日より先です",IF(N($T403)&lt;=0,"⚠ 2便目：入庫数を入れてください",IF($CH403&gt;0,"⚠ 2便目：定数を "&amp;$CH403&amp;" ケース超える → 減らす",""))))))))</f>
        <v/>
      </c>
      <c r="CK403">
        <f>IF(AND($CI403="",N($Q403)&gt;0,ISNUMBER($P403)),1,0)</f>
        <v/>
      </c>
      <c r="CL403">
        <f>IF(AND($CJ403="",N($T403)&gt;0,ISNUMBER($S403)),1,0)</f>
        <v/>
      </c>
      <c r="CM403">
        <f>IF(OR($CK403=1,$CL403=1),1,0)</f>
        <v/>
      </c>
      <c r="CN403">
        <f>IF($C403="",0,($CK403*$R403+$CL403*$U403)*N($H403))</f>
        <v/>
      </c>
      <c r="CO403">
        <f>IF($C403="","",IF($CC403="","入庫後は 14日以上もつ",IF($CC403-N('設定'!$C$7)&lt;='設定'!$C$6,"入庫後も "&amp;TEXT($CC403,"m/d")&amp;"("&amp;CHOOSE(WEEKDAY($CC403),"日","月","火","水","木","金","土")&amp;")"&amp;" に切れる　もう1便を至急発注","入庫後も "&amp;TEXT($CC403,"m/d")&amp;"("&amp;CHOOSE(WEEKDAY($CC403),"日","月","火","水","木","金","土")&amp;")"&amp;" に切れる　"&amp;TEXT($CC403-N('設定'!$C$7),"m/d")&amp;"("&amp;CHOOSE(WEEKDAY($CC403-N('設定'!$C$7)),"日","月","火","水","木","金","土")&amp;")"&amp;" までに次を発注")))</f>
        <v/>
      </c>
      <c r="CP403">
        <f>IF($C403="","",IF('設定'!$C$6="","？ ①在庫を貼る に今日のCSVが貼られていない",IF($CS403=1,"－ 今日のCSVに無い（終売？）",IF($L403&lt;0,"● 在庫がマイナス　数えて「数えた在庫」に入れる",IF($L403=0,"● 在庫なし　至急発注",IF($M403="","？ 減り数が未設定（商品マスタ）",IF($B$3=0,"？ 動員が未入力（動員を入れる）",IF($CA403="","○ 14日以上もつ",IF($BZ403&lt;N('設定'!$C$7),"● "&amp;TEXT($CA403,"m/d")&amp;"("&amp;CHOOSE(WEEKDAY($CA403),"日","月","火","水","木","金","土")&amp;")"&amp;" に切れる　至急発注",IF($BZ403=N('設定'!$C$7),"● "&amp;TEXT($CA403,"m/d")&amp;"("&amp;CHOOSE(WEEKDAY($CA403),"日","月","火","水","木","金","土")&amp;")"&amp;" に切れる　今日発注","△ "&amp;TEXT($CA403,"m/d")&amp;"("&amp;CHOOSE(WEEKDAY($CA403),"日","月","火","水","木","金","土")&amp;")"&amp;" に切れる　"&amp;TEXT($CA403-N('設定'!$C$7),"m/d")&amp;"("&amp;CHOOSE(WEEKDAY($CA403-N('設定'!$C$7)),"日","月","火","水","木","金","土")&amp;")"&amp;" までに発注"))))))))))</f>
        <v/>
      </c>
      <c r="CQ403">
        <f>IF($C403="","",IF(AND($P403="",$Q403="",$S403="",$T403=""),"",IF(AND($P403="",$Q403=""),"⚠ 先に1便目（左の入庫日・入庫数）に入れてください",IF($CI403&lt;&gt;"",$CI403,IF($CJ403&lt;&gt;"",$CJ403,IF($M403="","？ 減り数が未設定（発注書には載ります）",IF($B$3=0,"？ 動員が未入力（発注書には載ります）",IF(AND($CA403&lt;&gt;"",$P403&gt;$CA403),IF($P403&gt;'設定'!$C$6+N('設定'!$C$7),"● "&amp;TEXT($P403,"m/d")&amp;"("&amp;CHOOSE(WEEKDAY($P403),"日","月","火","水","木","金","土")&amp;")"&amp;" の入庫では間に合わない（"&amp;TEXT($CA403,"m/d")&amp;"("&amp;CHOOSE(WEEKDAY($CA403),"日","月","火","水","木","金","土")&amp;")"&amp;" に切れる）　入庫日を早める","△ 欠品 "&amp;TEXT($CA403,"m/d")&amp;"("&amp;CHOOSE(WEEKDAY($CA403),"日","月","火","水","木","金","土")&amp;")"&amp;"〜"&amp;TEXT($P403-1,"m/d")&amp;"("&amp;CHOOSE(WEEKDAY($P403-1),"日","月","火","水","木","金","土")&amp;")"&amp;"　"&amp;$CO403),IF($CC403="","○ "&amp;TEXT($P403,"m/d")&amp;"("&amp;CHOOSE(WEEKDAY($P403),"日","月","火","水","木","金","土")&amp;")"&amp;" 入庫で 14日以上もつ",IF($CC403-N('設定'!$C$7)&lt;='設定'!$C$6,"● 入庫しても "&amp;TEXT($CC403,"m/d")&amp;"("&amp;CHOOSE(WEEKDAY($CC403),"日","月","火","水","木","金","土")&amp;")"&amp;" に切れる　もう1便を至急発注（2便目に入れる）","△ 入庫しても "&amp;TEXT($CC403,"m/d")&amp;"("&amp;CHOOSE(WEEKDAY($CC403),"日","月","火","水","木","金","土")&amp;")"&amp;" に切れる　"&amp;TEXT($CC403-N('設定'!$C$7),"m/d")&amp;"("&amp;CHOOSE(WEEKDAY($CC403-N('設定'!$C$7)),"日","月","火","水","木","金","土")&amp;")"&amp;" までに次を発注（2便目に入れる）"))))))))))</f>
        <v/>
      </c>
      <c r="CR403">
        <f>IF($C403="","",IF($G403&gt;1,"ｹｰｽ("&amp;$G403&amp;"入)","個"))</f>
        <v/>
      </c>
      <c r="CS403">
        <f>IF($C403="",0,IF(COUNTIFS('①在庫を貼る'!$V$6:$V$10005,'設定'!$C$4,'①在庫を貼る'!$W$6:$W$10005,$C403)=0,1,0))</f>
        <v/>
      </c>
      <c r="CT403">
        <f>IF(AND($CK403=1,OR('③発注書'!$C$4="すべて",'③発注書'!$C$4="",$F403='③発注書'!$C$4)),N($CT402)+1,N($CT402))</f>
        <v/>
      </c>
      <c r="CU403">
        <f>IF(AND($CL403=1,OR('③発注書'!$C$4="すべて",'③発注書'!$C$4="",$F403='③発注書'!$C$4)),N($CU402)+1,N($CU402))</f>
        <v/>
      </c>
      <c r="CV403">
        <f>IF($C403="",0,IF(COUNTIFS('①在庫を貼る'!$V$6:$V$10005,'設定'!$C$4,'①在庫を貼る'!$W$6:$W$10005,$C403)&gt;0,1,0))</f>
        <v/>
      </c>
      <c r="CW403">
        <f>IF($C403="",0,IF(COUNTIFS('月1回_1ヶ月前の在庫'!$V$6:$V$10005,'設定'!$C$4,'月1回_1ヶ月前の在庫'!$W$6:$W$10005,$C403)&gt;0,1,0))</f>
        <v/>
      </c>
      <c r="CX403">
        <f>IF($C403="",0,IF(COUNTIFS('月1回_2ヶ月前の在庫'!$V$6:$V$10005,'設定'!$C$4,'月1回_2ヶ月前の在庫'!$W$6:$W$10005,$C403)&gt;0,1,0))</f>
        <v/>
      </c>
      <c r="CY403">
        <f>IF(OR($C403="",'設定'!$C$12=""),"",IF('設定'!$C$13="",IF(AND($CV403=1,$CW403=0),"新商品（今月から）",IF(AND($CV403=0,$CW403=1),"終売（今月から）","")),IF(AND($CV403=1,$CW403=0,$CX403=0),"新商品（今月から）",IF(AND($CV403=1,$CW403=1,$CX403=0),"新商品（先月から）",IF(AND($CV403=0,$CW403=1,$CX403=1),"終売（今月から）",IF(AND($CV403=0,$CW403=0,$CX403=1),"終売（先月から）",IF(AND($CV403=1,$CW403=0,$CX403=1),"復活（先月は無し）","")))))))</f>
        <v/>
      </c>
    </row>
    <row r="404">
      <c r="B404">
        <f>IF(399&lt;='設定'!$C$11,399,"")</f>
        <v/>
      </c>
      <c r="C404">
        <f>IF($B404="","",IF($B404&lt;='設定'!$C$20,INDEX('商品マスタ'!$B$6:$B$1005,MATCH($B404,'商品マスタ'!$M$6:$M$1005,0)),IF($B404&lt;='設定'!$C$20+'設定'!$C$17,INDEX('①在庫を貼る'!$W$6:$W$10005,MATCH($B404-'設定'!$C$20,'①在庫を貼る'!$U$6:$U$10005,0)),IF($B404&lt;='設定'!$C$20+'設定'!$C$17+'設定'!$C$18,INDEX('月1回_1ヶ月前の在庫'!$W$6:$W$10005,MATCH($B404-'設定'!$C$20-'設定'!$C$17,'月1回_1ヶ月前の在庫'!$U$6:$U$10005,0)),INDEX('月1回_2ヶ月前の在庫'!$W$6:$W$10005,MATCH($B404-'設定'!$C$20-'設定'!$C$17-'設定'!$C$18,'月1回_2ヶ月前の在庫'!$U$6:$U$10005,0))))))</f>
        <v/>
      </c>
      <c r="D404">
        <f>IF($C404="","",IFERROR(IF(INDEX('商品マスタ'!$C$6:$C$1005,MATCH($C404,'商品マスタ'!$B$6:$B$1005,0))="",IFERROR(INDEX('①在庫を貼る'!$J$6:$J$10005,MATCH($C404,'①在庫を貼る'!$W$6:$W$10005,0)),IFERROR(INDEX('月1回_1ヶ月前の在庫'!$J$6:$J$10005,MATCH($C404,'月1回_1ヶ月前の在庫'!$W$6:$W$10005,0)),IFERROR(INDEX('月1回_2ヶ月前の在庫'!$J$6:$J$10005,MATCH($C404,'月1回_2ヶ月前の在庫'!$W$6:$W$10005,0)),""))),INDEX('商品マスタ'!$C$6:$C$1005,MATCH($C404,'商品マスタ'!$B$6:$B$1005,0))),IFERROR(INDEX('①在庫を貼る'!$J$6:$J$10005,MATCH($C404,'①在庫を貼る'!$W$6:$W$10005,0)),IFERROR(INDEX('月1回_1ヶ月前の在庫'!$J$6:$J$10005,MATCH($C404,'月1回_1ヶ月前の在庫'!$W$6:$W$10005,0)),IFERROR(INDEX('月1回_2ヶ月前の在庫'!$J$6:$J$10005,MATCH($C404,'月1回_2ヶ月前の在庫'!$W$6:$W$10005,0)),"")))))</f>
        <v/>
      </c>
      <c r="E404">
        <f>IF($C404="","",IFERROR(IF(INDEX('商品マスタ'!$D$6:$D$1005,MATCH($C404,'商品マスタ'!$B$6:$B$1005,0))="",IFERROR(INDEX('①在庫を貼る'!$H$6:$H$10005,MATCH($C404,'①在庫を貼る'!$W$6:$W$10005,0)),IFERROR(INDEX('月1回_1ヶ月前の在庫'!$H$6:$H$10005,MATCH($C404,'月1回_1ヶ月前の在庫'!$W$6:$W$10005,0)),IFERROR(INDEX('月1回_2ヶ月前の在庫'!$H$6:$H$10005,MATCH($C404,'月1回_2ヶ月前の在庫'!$W$6:$W$10005,0)),""))),INDEX('商品マスタ'!$D$6:$D$1005,MATCH($C404,'商品マスタ'!$B$6:$B$1005,0))),IFERROR(INDEX('①在庫を貼る'!$H$6:$H$10005,MATCH($C404,'①在庫を貼る'!$W$6:$W$10005,0)),IFERROR(INDEX('月1回_1ヶ月前の在庫'!$H$6:$H$10005,MATCH($C404,'月1回_1ヶ月前の在庫'!$W$6:$W$10005,0)),IFERROR(INDEX('月1回_2ヶ月前の在庫'!$H$6:$H$10005,MATCH($C404,'月1回_2ヶ月前の在庫'!$W$6:$W$10005,0)),"")))))</f>
        <v/>
      </c>
      <c r="F404">
        <f>IF($C404="","",IFERROR(IF(INDEX('商品マスタ'!$E$6:$E$1005,MATCH($C404,'商品マスタ'!$B$6:$B$1005,0))="",IFERROR(INDEX('①在庫を貼る'!$E$6:$E$10005,MATCH($C404,'①在庫を貼る'!$W$6:$W$10005,0)),IFERROR(INDEX('月1回_1ヶ月前の在庫'!$E$6:$E$10005,MATCH($C404,'月1回_1ヶ月前の在庫'!$W$6:$W$10005,0)),IFERROR(INDEX('月1回_2ヶ月前の在庫'!$E$6:$E$10005,MATCH($C404,'月1回_2ヶ月前の在庫'!$W$6:$W$10005,0)),""))),INDEX('商品マスタ'!$E$6:$E$1005,MATCH($C404,'商品マスタ'!$B$6:$B$1005,0))),IFERROR(INDEX('①在庫を貼る'!$E$6:$E$10005,MATCH($C404,'①在庫を貼る'!$W$6:$W$10005,0)),IFERROR(INDEX('月1回_1ヶ月前の在庫'!$E$6:$E$10005,MATCH($C404,'月1回_1ヶ月前の在庫'!$W$6:$W$10005,0)),IFERROR(INDEX('月1回_2ヶ月前の在庫'!$E$6:$E$10005,MATCH($C404,'月1回_2ヶ月前の在庫'!$W$6:$W$10005,0)),"")))))</f>
        <v/>
      </c>
      <c r="G404">
        <f>IF($C404="","",MAX(1,N(IFERROR(IF(INDEX('商品マスタ'!$F$6:$F$1005,MATCH($C404,'商品マスタ'!$B$6:$B$1005,0))="",IF(COUNTIFS('①在庫を貼る'!$V$6:$V$10005,'設定'!$C$4,'①在庫を貼る'!$W$6:$W$10005,$C404)&gt;0,SUMIFS('①在庫を貼る'!$K$6:$K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K$6:$K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K$6:$K$10005,'月1回_2ヶ月前の在庫'!$V$6:$V$10005,'設定'!$C$4,'月1回_2ヶ月前の在庫'!$W$6:$W$10005,$C404)/COUNTIFS('月1回_2ヶ月前の在庫'!$V$6:$V$10005,'設定'!$C$4,'月1回_2ヶ月前の在庫'!$W$6:$W$10005,$C404),0))),INDEX('商品マスタ'!$F$6:$F$1005,MATCH($C404,'商品マスタ'!$B$6:$B$1005,0))),IF(COUNTIFS('①在庫を貼る'!$V$6:$V$10005,'設定'!$C$4,'①在庫を貼る'!$W$6:$W$10005,$C404)&gt;0,SUMIFS('①在庫を貼る'!$K$6:$K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K$6:$K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K$6:$K$10005,'月1回_2ヶ月前の在庫'!$V$6:$V$10005,'設定'!$C$4,'月1回_2ヶ月前の在庫'!$W$6:$W$10005,$C404)/COUNTIFS('月1回_2ヶ月前の在庫'!$V$6:$V$10005,'設定'!$C$4,'月1回_2ヶ月前の在庫'!$W$6:$W$10005,$C404),0)))))))</f>
        <v/>
      </c>
      <c r="H404">
        <f>IF($C404="","",N(IFERROR(IF(INDEX('商品マスタ'!$G$6:$G$1005,MATCH($C404,'商品マスタ'!$B$6:$B$1005,0))="",IF(COUNTIFS('①在庫を貼る'!$V$6:$V$10005,'設定'!$C$4,'①在庫を貼る'!$W$6:$W$10005,$C404)&gt;0,SUMIFS('①在庫を貼る'!$Q$6:$Q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Q$6:$Q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Q$6:$Q$10005,'月1回_2ヶ月前の在庫'!$V$6:$V$10005,'設定'!$C$4,'月1回_2ヶ月前の在庫'!$W$6:$W$10005,$C404)/COUNTIFS('月1回_2ヶ月前の在庫'!$V$6:$V$10005,'設定'!$C$4,'月1回_2ヶ月前の在庫'!$W$6:$W$10005,$C404),0))),INDEX('商品マスタ'!$G$6:$G$1005,MATCH($C404,'商品マスタ'!$B$6:$B$1005,0))),IF(COUNTIFS('①在庫を貼る'!$V$6:$V$10005,'設定'!$C$4,'①在庫を貼る'!$W$6:$W$10005,$C404)&gt;0,SUMIFS('①在庫を貼る'!$Q$6:$Q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Q$6:$Q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Q$6:$Q$10005,'月1回_2ヶ月前の在庫'!$V$6:$V$10005,'設定'!$C$4,'月1回_2ヶ月前の在庫'!$W$6:$W$10005,$C404)/COUNTIFS('月1回_2ヶ月前の在庫'!$V$6:$V$10005,'設定'!$C$4,'月1回_2ヶ月前の在庫'!$W$6:$W$10005,$C404),0))))))</f>
        <v/>
      </c>
      <c r="I404">
        <f>IF($C404="","",IF(COUNTIFS('①在庫を貼る'!$V$6:$V$10005,'設定'!$C$4,'①在庫を貼る'!$W$6:$W$10005,$C404)=0,"",SUMIFS('①在庫を貼る'!$N$6:$N$10005,'①在庫を貼る'!$V$6:$V$10005,'設定'!$C$4,'①在庫を貼る'!$W$6:$W$10005,$C404)))</f>
        <v/>
      </c>
      <c r="J404">
        <f>IF($C404="","",IF('②発注する'!$AD408="","",'②発注する'!$AD408))</f>
        <v/>
      </c>
      <c r="K404" s="90">
        <f>IF($C404="","",IF('②発注する'!$AE408="","",'②発注する'!$AE408))</f>
        <v/>
      </c>
      <c r="L404">
        <f>IF($C404="","",IF(AND(ISNUMBER($J404),ISNUMBER($K404),$K404&gt;='設定'!$C$6),$J404,N($I404)))</f>
        <v/>
      </c>
      <c r="M404">
        <f>IF($C404="","",IFERROR(IF(N(INDEX('商品マスタ'!$J$6:$J$1005,MATCH($C404,'商品マスタ'!$B$6:$B$1005,0)))&gt;0,INDEX('商品マスタ'!$J$6:$J$1005,MATCH($C404,'商品マスタ'!$B$6:$B$1005,0)),""),""))</f>
        <v/>
      </c>
      <c r="N404">
        <f>IF($C404="","",IFERROR(IF(N(INDEX('商品マスタ'!$H$6:$H$1005,MATCH($C404,'商品マスタ'!$B$6:$B$1005,0)))&gt;0,INDEX('商品マスタ'!$H$6:$H$1005,MATCH($C404,'商品マスタ'!$B$6:$B$1005,0)),""),""))</f>
        <v/>
      </c>
      <c r="O404">
        <f>IF($C404="","",IF($N404&lt;&gt;"",$N404*$G404,IF(N(IF(COUNTIFS('①在庫を貼る'!$V$6:$V$10005,'設定'!$C$4,'①在庫を貼る'!$W$6:$W$10005,$C404)&gt;0,SUMIFS('①在庫を貼る'!$O$6:$O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O$6:$O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O$6:$O$10005,'月1回_2ヶ月前の在庫'!$V$6:$V$10005,'設定'!$C$4,'月1回_2ヶ月前の在庫'!$W$6:$W$10005,$C404)/COUNTIFS('月1回_2ヶ月前の在庫'!$V$6:$V$10005,'設定'!$C$4,'月1回_2ヶ月前の在庫'!$W$6:$W$10005,$C404),0))))&gt;0,N(IF(COUNTIFS('①在庫を貼る'!$V$6:$V$10005,'設定'!$C$4,'①在庫を貼る'!$W$6:$W$10005,$C404)&gt;0,SUMIFS('①在庫を貼る'!$O$6:$O$10005,'①在庫を貼る'!$V$6:$V$10005,'設定'!$C$4,'①在庫を貼る'!$W$6:$W$10005,$C404)/COUNTIFS('①在庫を貼る'!$V$6:$V$10005,'設定'!$C$4,'①在庫を貼る'!$W$6:$W$10005,$C404),IF(COUNTIFS('月1回_1ヶ月前の在庫'!$V$6:$V$10005,'設定'!$C$4,'月1回_1ヶ月前の在庫'!$W$6:$W$10005,$C404)&gt;0,SUMIFS('月1回_1ヶ月前の在庫'!$O$6:$O$10005,'月1回_1ヶ月前の在庫'!$V$6:$V$10005,'設定'!$C$4,'月1回_1ヶ月前の在庫'!$W$6:$W$10005,$C404)/COUNTIFS('月1回_1ヶ月前の在庫'!$V$6:$V$10005,'設定'!$C$4,'月1回_1ヶ月前の在庫'!$W$6:$W$10005,$C404),IF(COUNTIFS('月1回_2ヶ月前の在庫'!$V$6:$V$10005,'設定'!$C$4,'月1回_2ヶ月前の在庫'!$W$6:$W$10005,$C404)&gt;0,SUMIFS('月1回_2ヶ月前の在庫'!$O$6:$O$10005,'月1回_2ヶ月前の在庫'!$V$6:$V$10005,'設定'!$C$4,'月1回_2ヶ月前の在庫'!$W$6:$W$10005,$C404)/COUNTIFS('月1回_2ヶ月前の在庫'!$V$6:$V$10005,'設定'!$C$4,'月1回_2ヶ月前の在庫'!$W$6:$W$10005,$C404),0)))),"")))</f>
        <v/>
      </c>
      <c r="P404" s="90">
        <f>IF($C404="","",IF('②発注する'!$I408="","",'②発注する'!$I408))</f>
        <v/>
      </c>
      <c r="Q404">
        <f>IF($C404="","",IF('②発注する'!$J408="","",'②発注する'!$J408))</f>
        <v/>
      </c>
      <c r="R404">
        <f>IF($C404="",0,IF(AND(ISNUMBER($P404),ISNUMBER($Q404)),MAX(0,$Q404)*$G404,0))</f>
        <v/>
      </c>
      <c r="S404" s="90">
        <f>IF($C404="","",IF('②発注する'!$M408="","",'②発注する'!$M408))</f>
        <v/>
      </c>
      <c r="T404">
        <f>IF($C404="","",IF('②発注する'!$N408="","",'②発注する'!$N408))</f>
        <v/>
      </c>
      <c r="U404">
        <f>IF($C404="",0,IF(AND(ISNUMBER($S404),ISNUMBER($T404)),MAX(0,$T404)*$G404,0))</f>
        <v/>
      </c>
      <c r="V404">
        <f>IF($C404="",0,IF($M404="",0,MAX(0,$M404)*MAX(0,V$4)/100))</f>
        <v/>
      </c>
      <c r="W404">
        <f>IF($C404="",0,IF($M404="",0,MAX(0,$M404)*MAX(0,W$4)/100))</f>
        <v/>
      </c>
      <c r="X404">
        <f>IF($C404="",0,IF($M404="",0,MAX(0,$M404)*MAX(0,X$4)/100))</f>
        <v/>
      </c>
      <c r="Y404">
        <f>IF($C404="",0,IF($M404="",0,MAX(0,$M404)*MAX(0,Y$4)/100))</f>
        <v/>
      </c>
      <c r="Z404">
        <f>IF($C404="",0,IF($M404="",0,MAX(0,$M404)*MAX(0,Z$4)/100))</f>
        <v/>
      </c>
      <c r="AA404">
        <f>IF($C404="",0,IF($M404="",0,MAX(0,$M404)*MAX(0,AA$4)/100))</f>
        <v/>
      </c>
      <c r="AB404">
        <f>IF($C404="",0,IF($M404="",0,MAX(0,$M404)*MAX(0,AB$4)/100))</f>
        <v/>
      </c>
      <c r="AC404">
        <f>IF($C404="",0,IF($M404="",0,MAX(0,$M404)*MAX(0,AC$4)/100))</f>
        <v/>
      </c>
      <c r="AD404">
        <f>IF($C404="",0,IF($M404="",0,MAX(0,$M404)*MAX(0,AD$4)/100))</f>
        <v/>
      </c>
      <c r="AE404">
        <f>IF($C404="",0,IF($M404="",0,MAX(0,$M404)*MAX(0,AE$4)/100))</f>
        <v/>
      </c>
      <c r="AF404">
        <f>IF($C404="",0,IF($M404="",0,MAX(0,$M404)*MAX(0,AF$4)/100))</f>
        <v/>
      </c>
      <c r="AG404">
        <f>IF($C404="",0,IF($M404="",0,MAX(0,$M404)*MAX(0,AG$4)/100))</f>
        <v/>
      </c>
      <c r="AH404">
        <f>IF($C404="",0,IF($M404="",0,MAX(0,$M404)*MAX(0,AH$4)/100))</f>
        <v/>
      </c>
      <c r="AI404">
        <f>IF($C404="",0,IF($M404="",0,MAX(0,$M404)*MAX(0,AI$4)/100))</f>
        <v/>
      </c>
      <c r="AJ404">
        <f>IF($C404="",0,MAX(0,MAX(0,N($L404))-$V404))</f>
        <v/>
      </c>
      <c r="AK404">
        <f>IF($C404="",0,MAX(0,$AJ404-$W404))</f>
        <v/>
      </c>
      <c r="AL404">
        <f>IF($C404="",0,MAX(0,$AK404-$X404))</f>
        <v/>
      </c>
      <c r="AM404">
        <f>IF($C404="",0,MAX(0,$AL404-$Y404))</f>
        <v/>
      </c>
      <c r="AN404">
        <f>IF($C404="",0,MAX(0,$AM404-$Z404))</f>
        <v/>
      </c>
      <c r="AO404">
        <f>IF($C404="",0,MAX(0,$AN404-$AA404))</f>
        <v/>
      </c>
      <c r="AP404">
        <f>IF($C404="",0,MAX(0,$AO404-$AB404))</f>
        <v/>
      </c>
      <c r="AQ404">
        <f>IF($C404="",0,MAX(0,$AP404-$AC404))</f>
        <v/>
      </c>
      <c r="AR404">
        <f>IF($C404="",0,MAX(0,$AQ404-$AD404))</f>
        <v/>
      </c>
      <c r="AS404">
        <f>IF($C404="",0,MAX(0,$AR404-$AE404))</f>
        <v/>
      </c>
      <c r="AT404">
        <f>IF($C404="",0,MAX(0,$AS404-$AF404))</f>
        <v/>
      </c>
      <c r="AU404">
        <f>IF($C404="",0,MAX(0,$AT404-$AG404))</f>
        <v/>
      </c>
      <c r="AV404">
        <f>IF($C404="",0,MAX(0,$AU404-$AH404))</f>
        <v/>
      </c>
      <c r="AW404">
        <f>IF($C404="",0,MAX(0,$AV404-$AI404))</f>
        <v/>
      </c>
      <c r="AX404">
        <f>IF($C404="",0,MAX(0,MAX(0,N($L404))+IF($P404=V$3,$R404,0)+IF($S404=V$3,$U404,0)-$V404))</f>
        <v/>
      </c>
      <c r="AY404">
        <f>IF($C404="",0,MAX(0,$AX404+IF($P404=W$3,$R404,0)+IF($S404=W$3,$U404,0)-$W404))</f>
        <v/>
      </c>
      <c r="AZ404">
        <f>IF($C404="",0,MAX(0,$AY404+IF($P404=X$3,$R404,0)+IF($S404=X$3,$U404,0)-$X404))</f>
        <v/>
      </c>
      <c r="BA404">
        <f>IF($C404="",0,MAX(0,$AZ404+IF($P404=Y$3,$R404,0)+IF($S404=Y$3,$U404,0)-$Y404))</f>
        <v/>
      </c>
      <c r="BB404">
        <f>IF($C404="",0,MAX(0,$BA404+IF($P404=Z$3,$R404,0)+IF($S404=Z$3,$U404,0)-$Z404))</f>
        <v/>
      </c>
      <c r="BC404">
        <f>IF($C404="",0,MAX(0,$BB404+IF($P404=AA$3,$R404,0)+IF($S404=AA$3,$U404,0)-$AA404))</f>
        <v/>
      </c>
      <c r="BD404">
        <f>IF($C404="",0,MAX(0,$BC404+IF($P404=AB$3,$R404,0)+IF($S404=AB$3,$U404,0)-$AB404))</f>
        <v/>
      </c>
      <c r="BE404">
        <f>IF($C404="",0,MAX(0,$BD404+IF($P404=AC$3,$R404,0)+IF($S404=AC$3,$U404,0)-$AC404))</f>
        <v/>
      </c>
      <c r="BF404">
        <f>IF($C404="",0,MAX(0,$BE404+IF($P404=AD$3,$R404,0)+IF($S404=AD$3,$U404,0)-$AD404))</f>
        <v/>
      </c>
      <c r="BG404">
        <f>IF($C404="",0,MAX(0,$BF404+IF($P404=AE$3,$R404,0)+IF($S404=AE$3,$U404,0)-$AE404))</f>
        <v/>
      </c>
      <c r="BH404">
        <f>IF($C404="",0,MAX(0,$BG404+IF($P404=AF$3,$R404,0)+IF($S404=AF$3,$U404,0)-$AF404))</f>
        <v/>
      </c>
      <c r="BI404">
        <f>IF($C404="",0,MAX(0,$BH404+IF($P404=AG$3,$R404,0)+IF($S404=AG$3,$U404,0)-$AG404))</f>
        <v/>
      </c>
      <c r="BJ404">
        <f>IF($C404="",0,MAX(0,$BI404+IF($P404=AH$3,$R404,0)+IF($S404=AH$3,$U404,0)-$AH404))</f>
        <v/>
      </c>
      <c r="BK404">
        <f>IF($C404="",0,MAX(0,$BJ404+IF($P404=AI$3,$R404,0)+IF($S404=AI$3,$U404,0)-$AI404))</f>
        <v/>
      </c>
      <c r="BL404">
        <f>IF($C404="",99,IF(AND($AX404&lt;1,V$3&gt;=MAX(N($P404),N($S404))),0,99))</f>
        <v/>
      </c>
      <c r="BM404">
        <f>IF($C404="",99,IF(AND($AY404&lt;1,W$3&gt;=MAX(N($P404),N($S404))),1,99))</f>
        <v/>
      </c>
      <c r="BN404">
        <f>IF($C404="",99,IF(AND($AZ404&lt;1,X$3&gt;=MAX(N($P404),N($S404))),2,99))</f>
        <v/>
      </c>
      <c r="BO404">
        <f>IF($C404="",99,IF(AND($BA404&lt;1,Y$3&gt;=MAX(N($P404),N($S404))),3,99))</f>
        <v/>
      </c>
      <c r="BP404">
        <f>IF($C404="",99,IF(AND($BB404&lt;1,Z$3&gt;=MAX(N($P404),N($S404))),4,99))</f>
        <v/>
      </c>
      <c r="BQ404">
        <f>IF($C404="",99,IF(AND($BC404&lt;1,AA$3&gt;=MAX(N($P404),N($S404))),5,99))</f>
        <v/>
      </c>
      <c r="BR404">
        <f>IF($C404="",99,IF(AND($BD404&lt;1,AB$3&gt;=MAX(N($P404),N($S404))),6,99))</f>
        <v/>
      </c>
      <c r="BS404">
        <f>IF($C404="",99,IF(AND($BE404&lt;1,AC$3&gt;=MAX(N($P404),N($S404))),7,99))</f>
        <v/>
      </c>
      <c r="BT404">
        <f>IF($C404="",99,IF(AND($BF404&lt;1,AD$3&gt;=MAX(N($P404),N($S404))),8,99))</f>
        <v/>
      </c>
      <c r="BU404">
        <f>IF($C404="",99,IF(AND($BG404&lt;1,AE$3&gt;=MAX(N($P404),N($S404))),9,99))</f>
        <v/>
      </c>
      <c r="BV404">
        <f>IF($C404="",99,IF(AND($BH404&lt;1,AF$3&gt;=MAX(N($P404),N($S404))),10,99))</f>
        <v/>
      </c>
      <c r="BW404">
        <f>IF($C404="",99,IF(AND($BI404&lt;1,AG$3&gt;=MAX(N($P404),N($S404))),11,99))</f>
        <v/>
      </c>
      <c r="BX404">
        <f>IF($C404="",99,IF(AND($BJ404&lt;1,AH$3&gt;=MAX(N($P404),N($S404))),12,99))</f>
        <v/>
      </c>
      <c r="BY404">
        <f>IF($C404="",99,IF(AND($BK404&lt;1,AI$3&gt;=MAX(N($P404),N($S404))),13,99))</f>
        <v/>
      </c>
      <c r="BZ404">
        <f>IF(OR($C404="",$M404=""),"",COUNTIF($AJ404:$AW404,"&gt;=1"))</f>
        <v/>
      </c>
      <c r="CA404" s="90">
        <f>IF($BZ404="","",IF($BZ404&gt;=14,"",'設定'!$C$6+$BZ404))</f>
        <v/>
      </c>
      <c r="CB404">
        <f>IF(OR($C404="",$M404=""),"",MIN($BL404:$BY404))</f>
        <v/>
      </c>
      <c r="CC404" s="90">
        <f>IF($CB404="","",IF($CB404&gt;=99,"",'設定'!$C$6+$CB404))</f>
        <v/>
      </c>
      <c r="CD404">
        <f>IF(OR($C404="",$M404=""),"",AVERAGE($V404:$AI404))</f>
        <v/>
      </c>
      <c r="CE404">
        <f>IF($C404="","",IFERROR(IF(MATCH(IF(ISNUMBER($P404),$P404,'設定'!$C$6+N('設定'!$C$7)),$V$3:$AI$3,0)=1,MAX(0,N($L404)),INDEX($AJ404:$AW404,MATCH(IF(ISNUMBER($P404),$P404,'設定'!$C$6+N('設定'!$C$7)),$V$3:$AI$3,0)-1)),""))</f>
        <v/>
      </c>
      <c r="CF404">
        <f>IF(OR($C404="",$O404="",$CE404=""),"",IF($O404-$CE404&lt;=0,0,ROUNDUP(($O404-$CE404)/$G404,0)))</f>
        <v/>
      </c>
      <c r="CG404">
        <f>IF(OR($C404="",$CF404="",NOT(ISNUMBER($Q404))),0,MAX(0,$Q404-$CF404))</f>
        <v/>
      </c>
      <c r="CH404">
        <f>IF(OR($C404="",$O404="",$U404=0),0,IFERROR(ROUNDUP(MAX(0,IF(MATCH($S404,$V$3:$AI$3,0)=1,MAX(0,N($L404)),INDEX($AX404:$BK404,MATCH($S404,$V$3:$AI$3,0)-1))+$U404-$O404)/$G404,0),0))</f>
        <v/>
      </c>
      <c r="CI404">
        <f>IF($C404="","",IF(AND($P404="",$Q404=""),"",IF($P404="","⚠ 入庫日を ▼ から選んでください",IF(NOT(ISNUMBER($P404)),"⚠ 入庫日は ▼ から選んでください",IF($P404&lt;N('設定'!$C$6),"⚠ 入庫日が過去です（もう在庫に入っています）→ 消してください",IF($P404&gt;N('設定'!$C$6)+13,"⚠ 入庫日が14日より先です",IF(N($Q404)&lt;=0,"⚠ 入庫数を入れてください",IF($CG404&gt;0,"⚠ 目安より "&amp;$CG404&amp;" 多い（定数を超える）→ 減らす",""))))))))</f>
        <v/>
      </c>
      <c r="CJ404">
        <f>IF($C404="","",IF(AND($S404="",$T404=""),"",IF($S404="","⚠ 2便目：入庫日を ▼ から選んでください",IF(NOT(ISNUMBER($S404)),"⚠ 2便目：入庫日は ▼ から選んでください",IF($S404&lt;N('設定'!$C$6),"⚠ 2便目：入庫日が過去です（もう在庫に入っています）→ 消してください",IF($S404&gt;N('設定'!$C$6)+13,"⚠ 2便目：入庫日が14日より先です",IF(N($T404)&lt;=0,"⚠ 2便目：入庫数を入れてください",IF($CH404&gt;0,"⚠ 2便目：定数を "&amp;$CH404&amp;" ケース超える → 減らす",""))))))))</f>
        <v/>
      </c>
      <c r="CK404">
        <f>IF(AND($CI404="",N($Q404)&gt;0,ISNUMBER($P404)),1,0)</f>
        <v/>
      </c>
      <c r="CL404">
        <f>IF(AND($CJ404="",N($T404)&gt;0,ISNUMBER($S404)),1,0)</f>
        <v/>
      </c>
      <c r="CM404">
        <f>IF(OR($CK404=1,$CL404=1),1,0)</f>
        <v/>
      </c>
      <c r="CN404">
        <f>IF($C404="",0,($CK404*$R404+$CL404*$U404)*N($H404))</f>
        <v/>
      </c>
      <c r="CO404">
        <f>IF($C404="","",IF($CC404="","入庫後は 14日以上もつ",IF($CC404-N('設定'!$C$7)&lt;='設定'!$C$6,"入庫後も "&amp;TEXT($CC404,"m/d")&amp;"("&amp;CHOOSE(WEEKDAY($CC404),"日","月","火","水","木","金","土")&amp;")"&amp;" に切れる　もう1便を至急発注","入庫後も "&amp;TEXT($CC404,"m/d")&amp;"("&amp;CHOOSE(WEEKDAY($CC404),"日","月","火","水","木","金","土")&amp;")"&amp;" に切れる　"&amp;TEXT($CC404-N('設定'!$C$7),"m/d")&amp;"("&amp;CHOOSE(WEEKDAY($CC404-N('設定'!$C$7)),"日","月","火","水","木","金","土")&amp;")"&amp;" までに次を発注")))</f>
        <v/>
      </c>
      <c r="CP404">
        <f>IF($C404="","",IF('設定'!$C$6="","？ ①在庫を貼る に今日のCSVが貼られていない",IF($CS404=1,"－ 今日のCSVに無い（終売？）",IF($L404&lt;0,"● 在庫がマイナス　数えて「数えた在庫」に入れる",IF($L404=0,"● 在庫なし　至急発注",IF($M404="","？ 減り数が未設定（商品マスタ）",IF($B$3=0,"？ 動員が未入力（動員を入れる）",IF($CA404="","○ 14日以上もつ",IF($BZ404&lt;N('設定'!$C$7),"● "&amp;TEXT($CA404,"m/d")&amp;"("&amp;CHOOSE(WEEKDAY($CA404),"日","月","火","水","木","金","土")&amp;")"&amp;" に切れる　至急発注",IF($BZ404=N('設定'!$C$7),"● "&amp;TEXT($CA404,"m/d")&amp;"("&amp;CHOOSE(WEEKDAY($CA404),"日","月","火","水","木","金","土")&amp;")"&amp;" に切れる　今日発注","△ "&amp;TEXT($CA404,"m/d")&amp;"("&amp;CHOOSE(WEEKDAY($CA404),"日","月","火","水","木","金","土")&amp;")"&amp;" に切れる　"&amp;TEXT($CA404-N('設定'!$C$7),"m/d")&amp;"("&amp;CHOOSE(WEEKDAY($CA404-N('設定'!$C$7)),"日","月","火","水","木","金","土")&amp;")"&amp;" までに発注"))))))))))</f>
        <v/>
      </c>
      <c r="CQ404">
        <f>IF($C404="","",IF(AND($P404="",$Q404="",$S404="",$T404=""),"",IF(AND($P404="",$Q404=""),"⚠ 先に1便目（左の入庫日・入庫数）に入れてください",IF($CI404&lt;&gt;"",$CI404,IF($CJ404&lt;&gt;"",$CJ404,IF($M404="","？ 減り数が未設定（発注書には載ります）",IF($B$3=0,"？ 動員が未入力（発注書には載ります）",IF(AND($CA404&lt;&gt;"",$P404&gt;$CA404),IF($P404&gt;'設定'!$C$6+N('設定'!$C$7),"● "&amp;TEXT($P404,"m/d")&amp;"("&amp;CHOOSE(WEEKDAY($P404),"日","月","火","水","木","金","土")&amp;")"&amp;" の入庫では間に合わない（"&amp;TEXT($CA404,"m/d")&amp;"("&amp;CHOOSE(WEEKDAY($CA404),"日","月","火","水","木","金","土")&amp;")"&amp;" に切れる）　入庫日を早める","△ 欠品 "&amp;TEXT($CA404,"m/d")&amp;"("&amp;CHOOSE(WEEKDAY($CA404),"日","月","火","水","木","金","土")&amp;")"&amp;"〜"&amp;TEXT($P404-1,"m/d")&amp;"("&amp;CHOOSE(WEEKDAY($P404-1),"日","月","火","水","木","金","土")&amp;")"&amp;"　"&amp;$CO404),IF($CC404="","○ "&amp;TEXT($P404,"m/d")&amp;"("&amp;CHOOSE(WEEKDAY($P404),"日","月","火","水","木","金","土")&amp;")"&amp;" 入庫で 14日以上もつ",IF($CC404-N('設定'!$C$7)&lt;='設定'!$C$6,"● 入庫しても "&amp;TEXT($CC404,"m/d")&amp;"("&amp;CHOOSE(WEEKDAY($CC404),"日","月","火","水","木","金","土")&amp;")"&amp;" に切れる　もう1便を至急発注（2便目に入れる）","△ 入庫しても "&amp;TEXT($CC404,"m/d")&amp;"("&amp;CHOOSE(WEEKDAY($CC404),"日","月","火","水","木","金","土")&amp;")"&amp;" に切れる　"&amp;TEXT($CC404-N('設定'!$C$7),"m/d")&amp;"("&amp;CHOOSE(WEEKDAY($CC404-N('設定'!$C$7)),"日","月","火","水","木","金","土")&amp;")"&amp;" までに次を発注（2便目に入れる）"))))))))))</f>
        <v/>
      </c>
      <c r="CR404">
        <f>IF($C404="","",IF($G404&gt;1,"ｹｰｽ("&amp;$G404&amp;"入)","個"))</f>
        <v/>
      </c>
      <c r="CS404">
        <f>IF($C404="",0,IF(COUNTIFS('①在庫を貼る'!$V$6:$V$10005,'設定'!$C$4,'①在庫を貼る'!$W$6:$W$10005,$C404)=0,1,0))</f>
        <v/>
      </c>
      <c r="CT404">
        <f>IF(AND($CK404=1,OR('③発注書'!$C$4="すべて",'③発注書'!$C$4="",$F404='③発注書'!$C$4)),N($CT403)+1,N($CT403))</f>
        <v/>
      </c>
      <c r="CU404">
        <f>IF(AND($CL404=1,OR('③発注書'!$C$4="すべて",'③発注書'!$C$4="",$F404='③発注書'!$C$4)),N($CU403)+1,N($CU403))</f>
        <v/>
      </c>
      <c r="CV404">
        <f>IF($C404="",0,IF(COUNTIFS('①在庫を貼る'!$V$6:$V$10005,'設定'!$C$4,'①在庫を貼る'!$W$6:$W$10005,$C404)&gt;0,1,0))</f>
        <v/>
      </c>
      <c r="CW404">
        <f>IF($C404="",0,IF(COUNTIFS('月1回_1ヶ月前の在庫'!$V$6:$V$10005,'設定'!$C$4,'月1回_1ヶ月前の在庫'!$W$6:$W$10005,$C404)&gt;0,1,0))</f>
        <v/>
      </c>
      <c r="CX404">
        <f>IF($C404="",0,IF(COUNTIFS('月1回_2ヶ月前の在庫'!$V$6:$V$10005,'設定'!$C$4,'月1回_2ヶ月前の在庫'!$W$6:$W$10005,$C404)&gt;0,1,0))</f>
        <v/>
      </c>
      <c r="CY404">
        <f>IF(OR($C404="",'設定'!$C$12=""),"",IF('設定'!$C$13="",IF(AND($CV404=1,$CW404=0),"新商品（今月から）",IF(AND($CV404=0,$CW404=1),"終売（今月から）","")),IF(AND($CV404=1,$CW404=0,$CX404=0),"新商品（今月から）",IF(AND($CV404=1,$CW404=1,$CX404=0),"新商品（先月から）",IF(AND($CV404=0,$CW404=1,$CX404=1),"終売（今月から）",IF(AND($CV404=0,$CW404=0,$CX404=1),"終売（先月から）",IF(AND($CV404=1,$CW404=0,$CX404=1),"復活（先月は無し）","")))))))</f>
        <v/>
      </c>
    </row>
    <row r="405">
      <c r="B405">
        <f>IF(400&lt;='設定'!$C$11,400,"")</f>
        <v/>
      </c>
      <c r="C405">
        <f>IF($B405="","",IF($B405&lt;='設定'!$C$20,INDEX('商品マスタ'!$B$6:$B$1005,MATCH($B405,'商品マスタ'!$M$6:$M$1005,0)),IF($B405&lt;='設定'!$C$20+'設定'!$C$17,INDEX('①在庫を貼る'!$W$6:$W$10005,MATCH($B405-'設定'!$C$20,'①在庫を貼る'!$U$6:$U$10005,0)),IF($B405&lt;='設定'!$C$20+'設定'!$C$17+'設定'!$C$18,INDEX('月1回_1ヶ月前の在庫'!$W$6:$W$10005,MATCH($B405-'設定'!$C$20-'設定'!$C$17,'月1回_1ヶ月前の在庫'!$U$6:$U$10005,0)),INDEX('月1回_2ヶ月前の在庫'!$W$6:$W$10005,MATCH($B405-'設定'!$C$20-'設定'!$C$17-'設定'!$C$18,'月1回_2ヶ月前の在庫'!$U$6:$U$10005,0))))))</f>
        <v/>
      </c>
      <c r="D405">
        <f>IF($C405="","",IFERROR(IF(INDEX('商品マスタ'!$C$6:$C$1005,MATCH($C405,'商品マスタ'!$B$6:$B$1005,0))="",IFERROR(INDEX('①在庫を貼る'!$J$6:$J$10005,MATCH($C405,'①在庫を貼る'!$W$6:$W$10005,0)),IFERROR(INDEX('月1回_1ヶ月前の在庫'!$J$6:$J$10005,MATCH($C405,'月1回_1ヶ月前の在庫'!$W$6:$W$10005,0)),IFERROR(INDEX('月1回_2ヶ月前の在庫'!$J$6:$J$10005,MATCH($C405,'月1回_2ヶ月前の在庫'!$W$6:$W$10005,0)),""))),INDEX('商品マスタ'!$C$6:$C$1005,MATCH($C405,'商品マスタ'!$B$6:$B$1005,0))),IFERROR(INDEX('①在庫を貼る'!$J$6:$J$10005,MATCH($C405,'①在庫を貼る'!$W$6:$W$10005,0)),IFERROR(INDEX('月1回_1ヶ月前の在庫'!$J$6:$J$10005,MATCH($C405,'月1回_1ヶ月前の在庫'!$W$6:$W$10005,0)),IFERROR(INDEX('月1回_2ヶ月前の在庫'!$J$6:$J$10005,MATCH($C405,'月1回_2ヶ月前の在庫'!$W$6:$W$10005,0)),"")))))</f>
        <v/>
      </c>
      <c r="E405">
        <f>IF($C405="","",IFERROR(IF(INDEX('商品マスタ'!$D$6:$D$1005,MATCH($C405,'商品マスタ'!$B$6:$B$1005,0))="",IFERROR(INDEX('①在庫を貼る'!$H$6:$H$10005,MATCH($C405,'①在庫を貼る'!$W$6:$W$10005,0)),IFERROR(INDEX('月1回_1ヶ月前の在庫'!$H$6:$H$10005,MATCH($C405,'月1回_1ヶ月前の在庫'!$W$6:$W$10005,0)),IFERROR(INDEX('月1回_2ヶ月前の在庫'!$H$6:$H$10005,MATCH($C405,'月1回_2ヶ月前の在庫'!$W$6:$W$10005,0)),""))),INDEX('商品マスタ'!$D$6:$D$1005,MATCH($C405,'商品マスタ'!$B$6:$B$1005,0))),IFERROR(INDEX('①在庫を貼る'!$H$6:$H$10005,MATCH($C405,'①在庫を貼る'!$W$6:$W$10005,0)),IFERROR(INDEX('月1回_1ヶ月前の在庫'!$H$6:$H$10005,MATCH($C405,'月1回_1ヶ月前の在庫'!$W$6:$W$10005,0)),IFERROR(INDEX('月1回_2ヶ月前の在庫'!$H$6:$H$10005,MATCH($C405,'月1回_2ヶ月前の在庫'!$W$6:$W$10005,0)),"")))))</f>
        <v/>
      </c>
      <c r="F405">
        <f>IF($C405="","",IFERROR(IF(INDEX('商品マスタ'!$E$6:$E$1005,MATCH($C405,'商品マスタ'!$B$6:$B$1005,0))="",IFERROR(INDEX('①在庫を貼る'!$E$6:$E$10005,MATCH($C405,'①在庫を貼る'!$W$6:$W$10005,0)),IFERROR(INDEX('月1回_1ヶ月前の在庫'!$E$6:$E$10005,MATCH($C405,'月1回_1ヶ月前の在庫'!$W$6:$W$10005,0)),IFERROR(INDEX('月1回_2ヶ月前の在庫'!$E$6:$E$10005,MATCH($C405,'月1回_2ヶ月前の在庫'!$W$6:$W$10005,0)),""))),INDEX('商品マスタ'!$E$6:$E$1005,MATCH($C405,'商品マスタ'!$B$6:$B$1005,0))),IFERROR(INDEX('①在庫を貼る'!$E$6:$E$10005,MATCH($C405,'①在庫を貼る'!$W$6:$W$10005,0)),IFERROR(INDEX('月1回_1ヶ月前の在庫'!$E$6:$E$10005,MATCH($C405,'月1回_1ヶ月前の在庫'!$W$6:$W$10005,0)),IFERROR(INDEX('月1回_2ヶ月前の在庫'!$E$6:$E$10005,MATCH($C405,'月1回_2ヶ月前の在庫'!$W$6:$W$10005,0)),"")))))</f>
        <v/>
      </c>
      <c r="G405">
        <f>IF($C405="","",MAX(1,N(IFERROR(IF(INDEX('商品マスタ'!$F$6:$F$1005,MATCH($C405,'商品マスタ'!$B$6:$B$1005,0))="",IF(COUNTIFS('①在庫を貼る'!$V$6:$V$10005,'設定'!$C$4,'①在庫を貼る'!$W$6:$W$10005,$C405)&gt;0,SUMIFS('①在庫を貼る'!$K$6:$K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K$6:$K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K$6:$K$10005,'月1回_2ヶ月前の在庫'!$V$6:$V$10005,'設定'!$C$4,'月1回_2ヶ月前の在庫'!$W$6:$W$10005,$C405)/COUNTIFS('月1回_2ヶ月前の在庫'!$V$6:$V$10005,'設定'!$C$4,'月1回_2ヶ月前の在庫'!$W$6:$W$10005,$C405),0))),INDEX('商品マスタ'!$F$6:$F$1005,MATCH($C405,'商品マスタ'!$B$6:$B$1005,0))),IF(COUNTIFS('①在庫を貼る'!$V$6:$V$10005,'設定'!$C$4,'①在庫を貼る'!$W$6:$W$10005,$C405)&gt;0,SUMIFS('①在庫を貼る'!$K$6:$K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K$6:$K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K$6:$K$10005,'月1回_2ヶ月前の在庫'!$V$6:$V$10005,'設定'!$C$4,'月1回_2ヶ月前の在庫'!$W$6:$W$10005,$C405)/COUNTIFS('月1回_2ヶ月前の在庫'!$V$6:$V$10005,'設定'!$C$4,'月1回_2ヶ月前の在庫'!$W$6:$W$10005,$C405),0)))))))</f>
        <v/>
      </c>
      <c r="H405">
        <f>IF($C405="","",N(IFERROR(IF(INDEX('商品マスタ'!$G$6:$G$1005,MATCH($C405,'商品マスタ'!$B$6:$B$1005,0))="",IF(COUNTIFS('①在庫を貼る'!$V$6:$V$10005,'設定'!$C$4,'①在庫を貼る'!$W$6:$W$10005,$C405)&gt;0,SUMIFS('①在庫を貼る'!$Q$6:$Q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Q$6:$Q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Q$6:$Q$10005,'月1回_2ヶ月前の在庫'!$V$6:$V$10005,'設定'!$C$4,'月1回_2ヶ月前の在庫'!$W$6:$W$10005,$C405)/COUNTIFS('月1回_2ヶ月前の在庫'!$V$6:$V$10005,'設定'!$C$4,'月1回_2ヶ月前の在庫'!$W$6:$W$10005,$C405),0))),INDEX('商品マスタ'!$G$6:$G$1005,MATCH($C405,'商品マスタ'!$B$6:$B$1005,0))),IF(COUNTIFS('①在庫を貼る'!$V$6:$V$10005,'設定'!$C$4,'①在庫を貼る'!$W$6:$W$10005,$C405)&gt;0,SUMIFS('①在庫を貼る'!$Q$6:$Q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Q$6:$Q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Q$6:$Q$10005,'月1回_2ヶ月前の在庫'!$V$6:$V$10005,'設定'!$C$4,'月1回_2ヶ月前の在庫'!$W$6:$W$10005,$C405)/COUNTIFS('月1回_2ヶ月前の在庫'!$V$6:$V$10005,'設定'!$C$4,'月1回_2ヶ月前の在庫'!$W$6:$W$10005,$C405),0))))))</f>
        <v/>
      </c>
      <c r="I405">
        <f>IF($C405="","",IF(COUNTIFS('①在庫を貼る'!$V$6:$V$10005,'設定'!$C$4,'①在庫を貼る'!$W$6:$W$10005,$C405)=0,"",SUMIFS('①在庫を貼る'!$N$6:$N$10005,'①在庫を貼る'!$V$6:$V$10005,'設定'!$C$4,'①在庫を貼る'!$W$6:$W$10005,$C405)))</f>
        <v/>
      </c>
      <c r="J405">
        <f>IF($C405="","",IF('②発注する'!$AD409="","",'②発注する'!$AD409))</f>
        <v/>
      </c>
      <c r="K405" s="90">
        <f>IF($C405="","",IF('②発注する'!$AE409="","",'②発注する'!$AE409))</f>
        <v/>
      </c>
      <c r="L405">
        <f>IF($C405="","",IF(AND(ISNUMBER($J405),ISNUMBER($K405),$K405&gt;='設定'!$C$6),$J405,N($I405)))</f>
        <v/>
      </c>
      <c r="M405">
        <f>IF($C405="","",IFERROR(IF(N(INDEX('商品マスタ'!$J$6:$J$1005,MATCH($C405,'商品マスタ'!$B$6:$B$1005,0)))&gt;0,INDEX('商品マスタ'!$J$6:$J$1005,MATCH($C405,'商品マスタ'!$B$6:$B$1005,0)),""),""))</f>
        <v/>
      </c>
      <c r="N405">
        <f>IF($C405="","",IFERROR(IF(N(INDEX('商品マスタ'!$H$6:$H$1005,MATCH($C405,'商品マスタ'!$B$6:$B$1005,0)))&gt;0,INDEX('商品マスタ'!$H$6:$H$1005,MATCH($C405,'商品マスタ'!$B$6:$B$1005,0)),""),""))</f>
        <v/>
      </c>
      <c r="O405">
        <f>IF($C405="","",IF($N405&lt;&gt;"",$N405*$G405,IF(N(IF(COUNTIFS('①在庫を貼る'!$V$6:$V$10005,'設定'!$C$4,'①在庫を貼る'!$W$6:$W$10005,$C405)&gt;0,SUMIFS('①在庫を貼る'!$O$6:$O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O$6:$O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O$6:$O$10005,'月1回_2ヶ月前の在庫'!$V$6:$V$10005,'設定'!$C$4,'月1回_2ヶ月前の在庫'!$W$6:$W$10005,$C405)/COUNTIFS('月1回_2ヶ月前の在庫'!$V$6:$V$10005,'設定'!$C$4,'月1回_2ヶ月前の在庫'!$W$6:$W$10005,$C405),0))))&gt;0,N(IF(COUNTIFS('①在庫を貼る'!$V$6:$V$10005,'設定'!$C$4,'①在庫を貼る'!$W$6:$W$10005,$C405)&gt;0,SUMIFS('①在庫を貼る'!$O$6:$O$10005,'①在庫を貼る'!$V$6:$V$10005,'設定'!$C$4,'①在庫を貼る'!$W$6:$W$10005,$C405)/COUNTIFS('①在庫を貼る'!$V$6:$V$10005,'設定'!$C$4,'①在庫を貼る'!$W$6:$W$10005,$C405),IF(COUNTIFS('月1回_1ヶ月前の在庫'!$V$6:$V$10005,'設定'!$C$4,'月1回_1ヶ月前の在庫'!$W$6:$W$10005,$C405)&gt;0,SUMIFS('月1回_1ヶ月前の在庫'!$O$6:$O$10005,'月1回_1ヶ月前の在庫'!$V$6:$V$10005,'設定'!$C$4,'月1回_1ヶ月前の在庫'!$W$6:$W$10005,$C405)/COUNTIFS('月1回_1ヶ月前の在庫'!$V$6:$V$10005,'設定'!$C$4,'月1回_1ヶ月前の在庫'!$W$6:$W$10005,$C405),IF(COUNTIFS('月1回_2ヶ月前の在庫'!$V$6:$V$10005,'設定'!$C$4,'月1回_2ヶ月前の在庫'!$W$6:$W$10005,$C405)&gt;0,SUMIFS('月1回_2ヶ月前の在庫'!$O$6:$O$10005,'月1回_2ヶ月前の在庫'!$V$6:$V$10005,'設定'!$C$4,'月1回_2ヶ月前の在庫'!$W$6:$W$10005,$C405)/COUNTIFS('月1回_2ヶ月前の在庫'!$V$6:$V$10005,'設定'!$C$4,'月1回_2ヶ月前の在庫'!$W$6:$W$10005,$C405),0)))),"")))</f>
        <v/>
      </c>
      <c r="P405" s="90">
        <f>IF($C405="","",IF('②発注する'!$I409="","",'②発注する'!$I409))</f>
        <v/>
      </c>
      <c r="Q405">
        <f>IF($C405="","",IF('②発注する'!$J409="","",'②発注する'!$J409))</f>
        <v/>
      </c>
      <c r="R405">
        <f>IF($C405="",0,IF(AND(ISNUMBER($P405),ISNUMBER($Q405)),MAX(0,$Q405)*$G405,0))</f>
        <v/>
      </c>
      <c r="S405" s="90">
        <f>IF($C405="","",IF('②発注する'!$M409="","",'②発注する'!$M409))</f>
        <v/>
      </c>
      <c r="T405">
        <f>IF($C405="","",IF('②発注する'!$N409="","",'②発注する'!$N409))</f>
        <v/>
      </c>
      <c r="U405">
        <f>IF($C405="",0,IF(AND(ISNUMBER($S405),ISNUMBER($T405)),MAX(0,$T405)*$G405,0))</f>
        <v/>
      </c>
      <c r="V405">
        <f>IF($C405="",0,IF($M405="",0,MAX(0,$M405)*MAX(0,V$4)/100))</f>
        <v/>
      </c>
      <c r="W405">
        <f>IF($C405="",0,IF($M405="",0,MAX(0,$M405)*MAX(0,W$4)/100))</f>
        <v/>
      </c>
      <c r="X405">
        <f>IF($C405="",0,IF($M405="",0,MAX(0,$M405)*MAX(0,X$4)/100))</f>
        <v/>
      </c>
      <c r="Y405">
        <f>IF($C405="",0,IF($M405="",0,MAX(0,$M405)*MAX(0,Y$4)/100))</f>
        <v/>
      </c>
      <c r="Z405">
        <f>IF($C405="",0,IF($M405="",0,MAX(0,$M405)*MAX(0,Z$4)/100))</f>
        <v/>
      </c>
      <c r="AA405">
        <f>IF($C405="",0,IF($M405="",0,MAX(0,$M405)*MAX(0,AA$4)/100))</f>
        <v/>
      </c>
      <c r="AB405">
        <f>IF($C405="",0,IF($M405="",0,MAX(0,$M405)*MAX(0,AB$4)/100))</f>
        <v/>
      </c>
      <c r="AC405">
        <f>IF($C405="",0,IF($M405="",0,MAX(0,$M405)*MAX(0,AC$4)/100))</f>
        <v/>
      </c>
      <c r="AD405">
        <f>IF($C405="",0,IF($M405="",0,MAX(0,$M405)*MAX(0,AD$4)/100))</f>
        <v/>
      </c>
      <c r="AE405">
        <f>IF($C405="",0,IF($M405="",0,MAX(0,$M405)*MAX(0,AE$4)/100))</f>
        <v/>
      </c>
      <c r="AF405">
        <f>IF($C405="",0,IF($M405="",0,MAX(0,$M405)*MAX(0,AF$4)/100))</f>
        <v/>
      </c>
      <c r="AG405">
        <f>IF($C405="",0,IF($M405="",0,MAX(0,$M405)*MAX(0,AG$4)/100))</f>
        <v/>
      </c>
      <c r="AH405">
        <f>IF($C405="",0,IF($M405="",0,MAX(0,$M405)*MAX(0,AH$4)/100))</f>
        <v/>
      </c>
      <c r="AI405">
        <f>IF($C405="",0,IF($M405="",0,MAX(0,$M405)*MAX(0,AI$4)/100))</f>
        <v/>
      </c>
      <c r="AJ405">
        <f>IF($C405="",0,MAX(0,MAX(0,N($L405))-$V405))</f>
        <v/>
      </c>
      <c r="AK405">
        <f>IF($C405="",0,MAX(0,$AJ405-$W405))</f>
        <v/>
      </c>
      <c r="AL405">
        <f>IF($C405="",0,MAX(0,$AK405-$X405))</f>
        <v/>
      </c>
      <c r="AM405">
        <f>IF($C405="",0,MAX(0,$AL405-$Y405))</f>
        <v/>
      </c>
      <c r="AN405">
        <f>IF($C405="",0,MAX(0,$AM405-$Z405))</f>
        <v/>
      </c>
      <c r="AO405">
        <f>IF($C405="",0,MAX(0,$AN405-$AA405))</f>
        <v/>
      </c>
      <c r="AP405">
        <f>IF($C405="",0,MAX(0,$AO405-$AB405))</f>
        <v/>
      </c>
      <c r="AQ405">
        <f>IF($C405="",0,MAX(0,$AP405-$AC405))</f>
        <v/>
      </c>
      <c r="AR405">
        <f>IF($C405="",0,MAX(0,$AQ405-$AD405))</f>
        <v/>
      </c>
      <c r="AS405">
        <f>IF($C405="",0,MAX(0,$AR405-$AE405))</f>
        <v/>
      </c>
      <c r="AT405">
        <f>IF($C405="",0,MAX(0,$AS405-$AF405))</f>
        <v/>
      </c>
      <c r="AU405">
        <f>IF($C405="",0,MAX(0,$AT405-$AG405))</f>
        <v/>
      </c>
      <c r="AV405">
        <f>IF($C405="",0,MAX(0,$AU405-$AH405))</f>
        <v/>
      </c>
      <c r="AW405">
        <f>IF($C405="",0,MAX(0,$AV405-$AI405))</f>
        <v/>
      </c>
      <c r="AX405">
        <f>IF($C405="",0,MAX(0,MAX(0,N($L405))+IF($P405=V$3,$R405,0)+IF($S405=V$3,$U405,0)-$V405))</f>
        <v/>
      </c>
      <c r="AY405">
        <f>IF($C405="",0,MAX(0,$AX405+IF($P405=W$3,$R405,0)+IF($S405=W$3,$U405,0)-$W405))</f>
        <v/>
      </c>
      <c r="AZ405">
        <f>IF($C405="",0,MAX(0,$AY405+IF($P405=X$3,$R405,0)+IF($S405=X$3,$U405,0)-$X405))</f>
        <v/>
      </c>
      <c r="BA405">
        <f>IF($C405="",0,MAX(0,$AZ405+IF($P405=Y$3,$R405,0)+IF($S405=Y$3,$U405,0)-$Y405))</f>
        <v/>
      </c>
      <c r="BB405">
        <f>IF($C405="",0,MAX(0,$BA405+IF($P405=Z$3,$R405,0)+IF($S405=Z$3,$U405,0)-$Z405))</f>
        <v/>
      </c>
      <c r="BC405">
        <f>IF($C405="",0,MAX(0,$BB405+IF($P405=AA$3,$R405,0)+IF($S405=AA$3,$U405,0)-$AA405))</f>
        <v/>
      </c>
      <c r="BD405">
        <f>IF($C405="",0,MAX(0,$BC405+IF($P405=AB$3,$R405,0)+IF($S405=AB$3,$U405,0)-$AB405))</f>
        <v/>
      </c>
      <c r="BE405">
        <f>IF($C405="",0,MAX(0,$BD405+IF($P405=AC$3,$R405,0)+IF($S405=AC$3,$U405,0)-$AC405))</f>
        <v/>
      </c>
      <c r="BF405">
        <f>IF($C405="",0,MAX(0,$BE405+IF($P405=AD$3,$R405,0)+IF($S405=AD$3,$U405,0)-$AD405))</f>
        <v/>
      </c>
      <c r="BG405">
        <f>IF($C405="",0,MAX(0,$BF405+IF($P405=AE$3,$R405,0)+IF($S405=AE$3,$U405,0)-$AE405))</f>
        <v/>
      </c>
      <c r="BH405">
        <f>IF($C405="",0,MAX(0,$BG405+IF($P405=AF$3,$R405,0)+IF($S405=AF$3,$U405,0)-$AF405))</f>
        <v/>
      </c>
      <c r="BI405">
        <f>IF($C405="",0,MAX(0,$BH405+IF($P405=AG$3,$R405,0)+IF($S405=AG$3,$U405,0)-$AG405))</f>
        <v/>
      </c>
      <c r="BJ405">
        <f>IF($C405="",0,MAX(0,$BI405+IF($P405=AH$3,$R405,0)+IF($S405=AH$3,$U405,0)-$AH405))</f>
        <v/>
      </c>
      <c r="BK405">
        <f>IF($C405="",0,MAX(0,$BJ405+IF($P405=AI$3,$R405,0)+IF($S405=AI$3,$U405,0)-$AI405))</f>
        <v/>
      </c>
      <c r="BL405">
        <f>IF($C405="",99,IF(AND($AX405&lt;1,V$3&gt;=MAX(N($P405),N($S405))),0,99))</f>
        <v/>
      </c>
      <c r="BM405">
        <f>IF($C405="",99,IF(AND($AY405&lt;1,W$3&gt;=MAX(N($P405),N($S405))),1,99))</f>
        <v/>
      </c>
      <c r="BN405">
        <f>IF($C405="",99,IF(AND($AZ405&lt;1,X$3&gt;=MAX(N($P405),N($S405))),2,99))</f>
        <v/>
      </c>
      <c r="BO405">
        <f>IF($C405="",99,IF(AND($BA405&lt;1,Y$3&gt;=MAX(N($P405),N($S405))),3,99))</f>
        <v/>
      </c>
      <c r="BP405">
        <f>IF($C405="",99,IF(AND($BB405&lt;1,Z$3&gt;=MAX(N($P405),N($S405))),4,99))</f>
        <v/>
      </c>
      <c r="BQ405">
        <f>IF($C405="",99,IF(AND($BC405&lt;1,AA$3&gt;=MAX(N($P405),N($S405))),5,99))</f>
        <v/>
      </c>
      <c r="BR405">
        <f>IF($C405="",99,IF(AND($BD405&lt;1,AB$3&gt;=MAX(N($P405),N($S405))),6,99))</f>
        <v/>
      </c>
      <c r="BS405">
        <f>IF($C405="",99,IF(AND($BE405&lt;1,AC$3&gt;=MAX(N($P405),N($S405))),7,99))</f>
        <v/>
      </c>
      <c r="BT405">
        <f>IF($C405="",99,IF(AND($BF405&lt;1,AD$3&gt;=MAX(N($P405),N($S405))),8,99))</f>
        <v/>
      </c>
      <c r="BU405">
        <f>IF($C405="",99,IF(AND($BG405&lt;1,AE$3&gt;=MAX(N($P405),N($S405))),9,99))</f>
        <v/>
      </c>
      <c r="BV405">
        <f>IF($C405="",99,IF(AND($BH405&lt;1,AF$3&gt;=MAX(N($P405),N($S405))),10,99))</f>
        <v/>
      </c>
      <c r="BW405">
        <f>IF($C405="",99,IF(AND($BI405&lt;1,AG$3&gt;=MAX(N($P405),N($S405))),11,99))</f>
        <v/>
      </c>
      <c r="BX405">
        <f>IF($C405="",99,IF(AND($BJ405&lt;1,AH$3&gt;=MAX(N($P405),N($S405))),12,99))</f>
        <v/>
      </c>
      <c r="BY405">
        <f>IF($C405="",99,IF(AND($BK405&lt;1,AI$3&gt;=MAX(N($P405),N($S405))),13,99))</f>
        <v/>
      </c>
      <c r="BZ405">
        <f>IF(OR($C405="",$M405=""),"",COUNTIF($AJ405:$AW405,"&gt;=1"))</f>
        <v/>
      </c>
      <c r="CA405" s="90">
        <f>IF($BZ405="","",IF($BZ405&gt;=14,"",'設定'!$C$6+$BZ405))</f>
        <v/>
      </c>
      <c r="CB405">
        <f>IF(OR($C405="",$M405=""),"",MIN($BL405:$BY405))</f>
        <v/>
      </c>
      <c r="CC405" s="90">
        <f>IF($CB405="","",IF($CB405&gt;=99,"",'設定'!$C$6+$CB405))</f>
        <v/>
      </c>
      <c r="CD405">
        <f>IF(OR($C405="",$M405=""),"",AVERAGE($V405:$AI405))</f>
        <v/>
      </c>
      <c r="CE405">
        <f>IF($C405="","",IFERROR(IF(MATCH(IF(ISNUMBER($P405),$P405,'設定'!$C$6+N('設定'!$C$7)),$V$3:$AI$3,0)=1,MAX(0,N($L405)),INDEX($AJ405:$AW405,MATCH(IF(ISNUMBER($P405),$P405,'設定'!$C$6+N('設定'!$C$7)),$V$3:$AI$3,0)-1)),""))</f>
        <v/>
      </c>
      <c r="CF405">
        <f>IF(OR($C405="",$O405="",$CE405=""),"",IF($O405-$CE405&lt;=0,0,ROUNDUP(($O405-$CE405)/$G405,0)))</f>
        <v/>
      </c>
      <c r="CG405">
        <f>IF(OR($C405="",$CF405="",NOT(ISNUMBER($Q405))),0,MAX(0,$Q405-$CF405))</f>
        <v/>
      </c>
      <c r="CH405">
        <f>IF(OR($C405="",$O405="",$U405=0),0,IFERROR(ROUNDUP(MAX(0,IF(MATCH($S405,$V$3:$AI$3,0)=1,MAX(0,N($L405)),INDEX($AX405:$BK405,MATCH($S405,$V$3:$AI$3,0)-1))+$U405-$O405)/$G405,0),0))</f>
        <v/>
      </c>
      <c r="CI405">
        <f>IF($C405="","",IF(AND($P405="",$Q405=""),"",IF($P405="","⚠ 入庫日を ▼ から選んでください",IF(NOT(ISNUMBER($P405)),"⚠ 入庫日は ▼ から選んでください",IF($P405&lt;N('設定'!$C$6),"⚠ 入庫日が過去です（もう在庫に入っています）→ 消してください",IF($P405&gt;N('設定'!$C$6)+13,"⚠ 入庫日が14日より先です",IF(N($Q405)&lt;=0,"⚠ 入庫数を入れてください",IF($CG405&gt;0,"⚠ 目安より "&amp;$CG405&amp;" 多い（定数を超える）→ 減らす",""))))))))</f>
        <v/>
      </c>
      <c r="CJ405">
        <f>IF($C405="","",IF(AND($S405="",$T405=""),"",IF($S405="","⚠ 2便目：入庫日を ▼ から選んでください",IF(NOT(ISNUMBER($S405)),"⚠ 2便目：入庫日は ▼ から選んでください",IF($S405&lt;N('設定'!$C$6),"⚠ 2便目：入庫日が過去です（もう在庫に入っています）→ 消してください",IF($S405&gt;N('設定'!$C$6)+13,"⚠ 2便目：入庫日が14日より先です",IF(N($T405)&lt;=0,"⚠ 2便目：入庫数を入れてください",IF($CH405&gt;0,"⚠ 2便目：定数を "&amp;$CH405&amp;" ケース超える → 減らす",""))))))))</f>
        <v/>
      </c>
      <c r="CK405">
        <f>IF(AND($CI405="",N($Q405)&gt;0,ISNUMBER($P405)),1,0)</f>
        <v/>
      </c>
      <c r="CL405">
        <f>IF(AND($CJ405="",N($T405)&gt;0,ISNUMBER($S405)),1,0)</f>
        <v/>
      </c>
      <c r="CM405">
        <f>IF(OR($CK405=1,$CL405=1),1,0)</f>
        <v/>
      </c>
      <c r="CN405">
        <f>IF($C405="",0,($CK405*$R405+$CL405*$U405)*N($H405))</f>
        <v/>
      </c>
      <c r="CO405">
        <f>IF($C405="","",IF($CC405="","入庫後は 14日以上もつ",IF($CC405-N('設定'!$C$7)&lt;='設定'!$C$6,"入庫後も "&amp;TEXT($CC405,"m/d")&amp;"("&amp;CHOOSE(WEEKDAY($CC405),"日","月","火","水","木","金","土")&amp;")"&amp;" に切れる　もう1便を至急発注","入庫後も "&amp;TEXT($CC405,"m/d")&amp;"("&amp;CHOOSE(WEEKDAY($CC405),"日","月","火","水","木","金","土")&amp;")"&amp;" に切れる　"&amp;TEXT($CC405-N('設定'!$C$7),"m/d")&amp;"("&amp;CHOOSE(WEEKDAY($CC405-N('設定'!$C$7)),"日","月","火","水","木","金","土")&amp;")"&amp;" までに次を発注")))</f>
        <v/>
      </c>
      <c r="CP405">
        <f>IF($C405="","",IF('設定'!$C$6="","？ ①在庫を貼る に今日のCSVが貼られていない",IF($CS405=1,"－ 今日のCSVに無い（終売？）",IF($L405&lt;0,"● 在庫がマイナス　数えて「数えた在庫」に入れる",IF($L405=0,"● 在庫なし　至急発注",IF($M405="","？ 減り数が未設定（商品マスタ）",IF($B$3=0,"？ 動員が未入力（動員を入れる）",IF($CA405="","○ 14日以上もつ",IF($BZ405&lt;N('設定'!$C$7),"● "&amp;TEXT($CA405,"m/d")&amp;"("&amp;CHOOSE(WEEKDAY($CA405),"日","月","火","水","木","金","土")&amp;")"&amp;" に切れる　至急発注",IF($BZ405=N('設定'!$C$7),"● "&amp;TEXT($CA405,"m/d")&amp;"("&amp;CHOOSE(WEEKDAY($CA405),"日","月","火","水","木","金","土")&amp;")"&amp;" に切れる　今日発注","△ "&amp;TEXT($CA405,"m/d")&amp;"("&amp;CHOOSE(WEEKDAY($CA405),"日","月","火","水","木","金","土")&amp;")"&amp;" に切れる　"&amp;TEXT($CA405-N('設定'!$C$7),"m/d")&amp;"("&amp;CHOOSE(WEEKDAY($CA405-N('設定'!$C$7)),"日","月","火","水","木","金","土")&amp;")"&amp;" までに発注"))))))))))</f>
        <v/>
      </c>
      <c r="CQ405">
        <f>IF($C405="","",IF(AND($P405="",$Q405="",$S405="",$T405=""),"",IF(AND($P405="",$Q405=""),"⚠ 先に1便目（左の入庫日・入庫数）に入れてください",IF($CI405&lt;&gt;"",$CI405,IF($CJ405&lt;&gt;"",$CJ405,IF($M405="","？ 減り数が未設定（発注書には載ります）",IF($B$3=0,"？ 動員が未入力（発注書には載ります）",IF(AND($CA405&lt;&gt;"",$P405&gt;$CA405),IF($P405&gt;'設定'!$C$6+N('設定'!$C$7),"● "&amp;TEXT($P405,"m/d")&amp;"("&amp;CHOOSE(WEEKDAY($P405),"日","月","火","水","木","金","土")&amp;")"&amp;" の入庫では間に合わない（"&amp;TEXT($CA405,"m/d")&amp;"("&amp;CHOOSE(WEEKDAY($CA405),"日","月","火","水","木","金","土")&amp;")"&amp;" に切れる）　入庫日を早める","△ 欠品 "&amp;TEXT($CA405,"m/d")&amp;"("&amp;CHOOSE(WEEKDAY($CA405),"日","月","火","水","木","金","土")&amp;")"&amp;"〜"&amp;TEXT($P405-1,"m/d")&amp;"("&amp;CHOOSE(WEEKDAY($P405-1),"日","月","火","水","木","金","土")&amp;")"&amp;"　"&amp;$CO405),IF($CC405="","○ "&amp;TEXT($P405,"m/d")&amp;"("&amp;CHOOSE(WEEKDAY($P405),"日","月","火","水","木","金","土")&amp;")"&amp;" 入庫で 14日以上もつ",IF($CC405-N('設定'!$C$7)&lt;='設定'!$C$6,"● 入庫しても "&amp;TEXT($CC405,"m/d")&amp;"("&amp;CHOOSE(WEEKDAY($CC405),"日","月","火","水","木","金","土")&amp;")"&amp;" に切れる　もう1便を至急発注（2便目に入れる）","△ 入庫しても "&amp;TEXT($CC405,"m/d")&amp;"("&amp;CHOOSE(WEEKDAY($CC405),"日","月","火","水","木","金","土")&amp;")"&amp;" に切れる　"&amp;TEXT($CC405-N('設定'!$C$7),"m/d")&amp;"("&amp;CHOOSE(WEEKDAY($CC405-N('設定'!$C$7)),"日","月","火","水","木","金","土")&amp;")"&amp;" までに次を発注（2便目に入れる）"))))))))))</f>
        <v/>
      </c>
      <c r="CR405">
        <f>IF($C405="","",IF($G405&gt;1,"ｹｰｽ("&amp;$G405&amp;"入)","個"))</f>
        <v/>
      </c>
      <c r="CS405">
        <f>IF($C405="",0,IF(COUNTIFS('①在庫を貼る'!$V$6:$V$10005,'設定'!$C$4,'①在庫を貼る'!$W$6:$W$10005,$C405)=0,1,0))</f>
        <v/>
      </c>
      <c r="CT405">
        <f>IF(AND($CK405=1,OR('③発注書'!$C$4="すべて",'③発注書'!$C$4="",$F405='③発注書'!$C$4)),N($CT404)+1,N($CT404))</f>
        <v/>
      </c>
      <c r="CU405">
        <f>IF(AND($CL405=1,OR('③発注書'!$C$4="すべて",'③発注書'!$C$4="",$F405='③発注書'!$C$4)),N($CU404)+1,N($CU404))</f>
        <v/>
      </c>
      <c r="CV405">
        <f>IF($C405="",0,IF(COUNTIFS('①在庫を貼る'!$V$6:$V$10005,'設定'!$C$4,'①在庫を貼る'!$W$6:$W$10005,$C405)&gt;0,1,0))</f>
        <v/>
      </c>
      <c r="CW405">
        <f>IF($C405="",0,IF(COUNTIFS('月1回_1ヶ月前の在庫'!$V$6:$V$10005,'設定'!$C$4,'月1回_1ヶ月前の在庫'!$W$6:$W$10005,$C405)&gt;0,1,0))</f>
        <v/>
      </c>
      <c r="CX405">
        <f>IF($C405="",0,IF(COUNTIFS('月1回_2ヶ月前の在庫'!$V$6:$V$10005,'設定'!$C$4,'月1回_2ヶ月前の在庫'!$W$6:$W$10005,$C405)&gt;0,1,0))</f>
        <v/>
      </c>
      <c r="CY405">
        <f>IF(OR($C405="",'設定'!$C$12=""),"",IF('設定'!$C$13="",IF(AND($CV405=1,$CW405=0),"新商品（今月から）",IF(AND($CV405=0,$CW405=1),"終売（今月から）","")),IF(AND($CV405=1,$CW405=0,$CX405=0),"新商品（今月から）",IF(AND($CV405=1,$CW405=1,$CX405=0),"新商品（先月から）",IF(AND($CV405=0,$CW405=1,$CX405=1),"終売（今月から）",IF(AND($CV405=0,$CW405=0,$CX405=1),"終売（先月から）",IF(AND($CV405=1,$CW405=0,$CX405=1),"復活（先月は無し）",""))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2026-09-03T17:58:55Z</dcterms:created>
  <dcterms:modified xsi:type="dcterms:W3CDTF">2026-09-03T17:58:58Z</dcterms:modified>
</cp:coreProperties>
</file>